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metodoengenharia.sharepoint.com/Processos/PropostasOrcamentos/2026/2026-061 - FRIGELAR_GERENCIAMENTO DE OBRA/02. Orçamento/Rev.03/"/>
    </mc:Choice>
  </mc:AlternateContent>
  <xr:revisionPtr revIDLastSave="0" documentId="8_{3F09E032-2E32-4C9B-8E6E-0C0530F743F2}" xr6:coauthVersionLast="47" xr6:coauthVersionMax="47" xr10:uidLastSave="{00000000-0000-0000-0000-000000000000}"/>
  <bookViews>
    <workbookView xWindow="-110" yWindow="-110" windowWidth="19420" windowHeight="10300" tabRatio="612" firstSheet="10" activeTab="10" xr2:uid="{B867E389-B91A-46D2-BD63-D0855292E1A4}"/>
  </bookViews>
  <sheets>
    <sheet name="Dashboard" sheetId="2" r:id="rId1"/>
    <sheet name="Gráficos" sheetId="14" state="hidden" r:id="rId2"/>
    <sheet name="HISTOGRAMA" sheetId="31" r:id="rId3"/>
    <sheet name="Tarefas" sheetId="4" r:id="rId4"/>
    <sheet name="PPU" sheetId="27" r:id="rId5"/>
    <sheet name="Cronog. e Histog." sheetId="9" r:id="rId6"/>
    <sheet name="Curva S" sheetId="10" state="hidden" r:id="rId7"/>
    <sheet name="Equipamentos" sheetId="11" r:id="rId8"/>
    <sheet name="Salários" sheetId="8" r:id="rId9"/>
    <sheet name="Base Salarial" sheetId="28" r:id="rId10"/>
    <sheet name="Precificação" sheetId="6" r:id="rId11"/>
    <sheet name="Improdutividade" sheetId="23" r:id="rId12"/>
    <sheet name="Análise de Risco" sheetId="19" state="hidden" r:id="rId13"/>
    <sheet name="Fluxo de Caixa" sheetId="18" state="hidden" r:id="rId14"/>
    <sheet name="Calendário" sheetId="16" r:id="rId15"/>
    <sheet name="Tabela ICMS" sheetId="3" state="hidden" r:id="rId16"/>
    <sheet name="Check List de Orçamento" sheetId="20" state="hidden" r:id="rId17"/>
    <sheet name="CC" sheetId="24" state="hidden" r:id="rId18"/>
    <sheet name="CC_Bando de Dados" sheetId="26" state="hidden" r:id="rId19"/>
    <sheet name="Listas de apoio" sheetId="7" r:id="rId20"/>
    <sheet name="APOIO Impostos" sheetId="29" r:id="rId21"/>
    <sheet name="Resumo de Tributação" sheetId="30" r:id="rId22"/>
    <sheet name="Fechamento" sheetId="15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</externalReferences>
  <definedNames>
    <definedName name="\\\" localSheetId="2" hidden="1">{#N/A,#N/A,FALSE,"RESUMO-BB1";#N/A,#N/A,FALSE,"MOD-A01-R - BB1";#N/A,#N/A,FALSE,"URB-BB1"}</definedName>
    <definedName name="\\\" hidden="1">{#N/A,#N/A,FALSE,"RESUMO-BB1";#N/A,#N/A,FALSE,"MOD-A01-R - BB1";#N/A,#N/A,FALSE,"URB-BB1"}</definedName>
    <definedName name="\0">#REF!</definedName>
    <definedName name="\a">#REF!</definedName>
    <definedName name="\b">#REF!</definedName>
    <definedName name="\b1">[1]MEDIÇÃO!#REF!</definedName>
    <definedName name="\c">#REF!</definedName>
    <definedName name="\CC">#REF!</definedName>
    <definedName name="\D">#REF!</definedName>
    <definedName name="\e">#REF!</definedName>
    <definedName name="\f">#REF!</definedName>
    <definedName name="\i">#REF!</definedName>
    <definedName name="\j">#REF!</definedName>
    <definedName name="\l">#REF!</definedName>
    <definedName name="\M">#REF!</definedName>
    <definedName name="\M1">[1]MEDIÇÃO!#REF!</definedName>
    <definedName name="\M10">#REF!</definedName>
    <definedName name="\M11">#REF!</definedName>
    <definedName name="\M12">#REF!</definedName>
    <definedName name="\M13">#REF!</definedName>
    <definedName name="\M2">#REF!</definedName>
    <definedName name="\M3">#REF!</definedName>
    <definedName name="\M4">#REF!</definedName>
    <definedName name="\M5">#REF!</definedName>
    <definedName name="\M6">#REF!</definedName>
    <definedName name="\M7">#REF!</definedName>
    <definedName name="\M8">#REF!</definedName>
    <definedName name="\M9">#REF!</definedName>
    <definedName name="\MM">#REF!</definedName>
    <definedName name="\O">#REF!</definedName>
    <definedName name="\p">[2]DETAILS!#REF!</definedName>
    <definedName name="\PP">#REF!</definedName>
    <definedName name="\q">#REF!</definedName>
    <definedName name="\R">#REF!</definedName>
    <definedName name="\s">#REF!</definedName>
    <definedName name="\T">#REF!</definedName>
    <definedName name="\y">#REF!</definedName>
    <definedName name="\z">#REF!</definedName>
    <definedName name="__________CAB1">#REF!</definedName>
    <definedName name="__________LOC1">#REF!</definedName>
    <definedName name="__________R" localSheetId="2" hidden="1">{#N/A,#N/A,FALSE,"ORC-ACKE";#N/A,#N/A,FALSE,"RESUMO"}</definedName>
    <definedName name="__________R" hidden="1">{#N/A,#N/A,FALSE,"ORC-ACKE";#N/A,#N/A,FALSE,"RESUMO"}</definedName>
    <definedName name="_________ANT1202">[3]FaixasCrit!#REF!</definedName>
    <definedName name="_________ANT1203">[3]FaixasCrit!#REF!</definedName>
    <definedName name="_________CAB1">#REF!</definedName>
    <definedName name="_________la29" hidden="1">#REF!</definedName>
    <definedName name="_________la3" hidden="1">#REF!</definedName>
    <definedName name="_________la31" hidden="1">#REF!</definedName>
    <definedName name="_________la32" hidden="1">#REF!</definedName>
    <definedName name="_________la4" hidden="1">#REF!</definedName>
    <definedName name="_________la5" hidden="1">#REF!</definedName>
    <definedName name="_________la6" hidden="1">#REF!</definedName>
    <definedName name="_________la7" hidden="1">#REF!</definedName>
    <definedName name="_________la8" hidden="1">#REF!</definedName>
    <definedName name="_________la9" hidden="1">#REF!</definedName>
    <definedName name="_________lb1" hidden="1">#REF!</definedName>
    <definedName name="_________lb10" hidden="1">#REF!</definedName>
    <definedName name="_________lb11" hidden="1">#REF!</definedName>
    <definedName name="_________lb12" hidden="1">#REF!</definedName>
    <definedName name="_________lb13" hidden="1">#REF!</definedName>
    <definedName name="_________lb14" hidden="1">#REF!</definedName>
    <definedName name="_________lb15" hidden="1">#REF!</definedName>
    <definedName name="_________lb16" hidden="1">#REF!</definedName>
    <definedName name="_________lb17" hidden="1">#REF!</definedName>
    <definedName name="_________lb18" hidden="1">#REF!</definedName>
    <definedName name="_________lb19" hidden="1">#REF!</definedName>
    <definedName name="_________lb2" hidden="1">#REF!</definedName>
    <definedName name="_________lb20" hidden="1">#REF!</definedName>
    <definedName name="_________lb21" hidden="1">#REF!</definedName>
    <definedName name="_________lb22" hidden="1">#REF!</definedName>
    <definedName name="_________lb23" hidden="1">#REF!</definedName>
    <definedName name="_________lb24" hidden="1">#REF!</definedName>
    <definedName name="_________lb25" hidden="1">#REF!</definedName>
    <definedName name="_________lb27" hidden="1">#REF!</definedName>
    <definedName name="_________lb28" hidden="1">#REF!</definedName>
    <definedName name="_________lb29" hidden="1">#REF!</definedName>
    <definedName name="_________lb3" hidden="1">#REF!</definedName>
    <definedName name="_________lb30" hidden="1">#REF!</definedName>
    <definedName name="_________lb31" hidden="1">#REF!</definedName>
    <definedName name="_________lb32" hidden="1">#REF!</definedName>
    <definedName name="_________lb4" hidden="1">#REF!</definedName>
    <definedName name="_________lb5" hidden="1">#REF!</definedName>
    <definedName name="_________lb6" hidden="1">#REF!</definedName>
    <definedName name="_________lb7" hidden="1">#REF!</definedName>
    <definedName name="_________lb8" hidden="1">#REF!</definedName>
    <definedName name="_________lb9" hidden="1">#REF!</definedName>
    <definedName name="_________lbc1" hidden="1">#REF!</definedName>
    <definedName name="_________lbc10" hidden="1">#REF!</definedName>
    <definedName name="_________lbc11" hidden="1">#REF!</definedName>
    <definedName name="_________lbc12" hidden="1">#REF!</definedName>
    <definedName name="_________lbc13" hidden="1">#REF!</definedName>
    <definedName name="_________lbc14" hidden="1">#REF!</definedName>
    <definedName name="_________lbc15" hidden="1">#REF!</definedName>
    <definedName name="_________lbc16" hidden="1">#REF!</definedName>
    <definedName name="_________lbc17" hidden="1">#REF!</definedName>
    <definedName name="_________lbc18" hidden="1">#REF!</definedName>
    <definedName name="_________lbc19" hidden="1">#REF!</definedName>
    <definedName name="_________lbc2" hidden="1">#REF!</definedName>
    <definedName name="_________lbc20" hidden="1">#REF!</definedName>
    <definedName name="_________lbc21" hidden="1">#REF!</definedName>
    <definedName name="_________lbc22" hidden="1">#REF!</definedName>
    <definedName name="_________lbc23" hidden="1">#REF!</definedName>
    <definedName name="_________lbc24" hidden="1">#REF!</definedName>
    <definedName name="_________lbc25" hidden="1">#REF!</definedName>
    <definedName name="_________lbc26" hidden="1">#REF!</definedName>
    <definedName name="_________lbc27" hidden="1">#REF!</definedName>
    <definedName name="_________lbc28" hidden="1">#REF!</definedName>
    <definedName name="_________lbc29" hidden="1">#REF!</definedName>
    <definedName name="_________lbc3" hidden="1">#REF!</definedName>
    <definedName name="_________lbc31" hidden="1">#REF!</definedName>
    <definedName name="_________lbc32" hidden="1">#REF!</definedName>
    <definedName name="_________lbc4" hidden="1">#REF!</definedName>
    <definedName name="_________lbc5" hidden="1">#REF!</definedName>
    <definedName name="_________lbc6" hidden="1">#REF!</definedName>
    <definedName name="_________lbc7" hidden="1">#REF!</definedName>
    <definedName name="_________lbc8" hidden="1">#REF!</definedName>
    <definedName name="_________lbc9" hidden="1">#REF!</definedName>
    <definedName name="_________ld26" hidden="1">#REF!</definedName>
    <definedName name="_________ld31" hidden="1">#REF!</definedName>
    <definedName name="_________le31" hidden="1">#REF!</definedName>
    <definedName name="_________lf31" hidden="1">#REF!</definedName>
    <definedName name="_________LOC1">#REF!</definedName>
    <definedName name="_________LOC10">'[4]MEDIÇAO 1'!#REF!</definedName>
    <definedName name="_________LOC11">'[4]MEDIÇAO 1'!#REF!</definedName>
    <definedName name="_________LOC12">'[4]MEDIÇAO 1'!#REF!</definedName>
    <definedName name="_________LOC13">'[4]MEDIÇAO 1'!#REF!</definedName>
    <definedName name="_________LOC14">'[4]MEDIÇAO 1'!#REF!</definedName>
    <definedName name="_________LOC15">'[4]MEDIÇAO 1'!#REF!</definedName>
    <definedName name="_________LOC16">'[4]MEDIÇAO 1'!#REF!</definedName>
    <definedName name="_________LOC17">'[4]MEDIÇAO 1'!#REF!</definedName>
    <definedName name="_________LOC18">'[4]MEDIÇAO 1'!#REF!</definedName>
    <definedName name="_________LOC19">'[4]MEDIÇAO 1'!#REF!</definedName>
    <definedName name="_________LOC2">'[4]MEDIÇAO 1'!#REF!</definedName>
    <definedName name="_________LOC20">'[4]MEDIÇAO 1'!#REF!</definedName>
    <definedName name="_________LOC21">'[4]MEDIÇAO 1'!#REF!</definedName>
    <definedName name="_________LOC22">'[4]MEDIÇAO 1'!#REF!</definedName>
    <definedName name="_________LOC23">'[4]MEDIÇAO 1'!#REF!</definedName>
    <definedName name="_________LOC24">'[4]MEDIÇAO 1'!#REF!</definedName>
    <definedName name="_________LOC25">'[4]MEDIÇAO 1'!#REF!</definedName>
    <definedName name="_________LOC26">'[4]MEDIÇAO 1'!#REF!</definedName>
    <definedName name="_________LOC27">'[4]MEDIÇAO 1'!#REF!</definedName>
    <definedName name="_________LOC28">'[4]MEDIÇAO 1'!#REF!</definedName>
    <definedName name="_________LOC29">'[4]MEDIÇAO 1'!#REF!</definedName>
    <definedName name="_________LOC3">'[4]MEDIÇAO 1'!#REF!</definedName>
    <definedName name="_________LOC30">'[4]MEDIÇAO 1'!#REF!</definedName>
    <definedName name="_________LOC31">'[4]MEDIÇAO 1'!#REF!</definedName>
    <definedName name="_________LOC32">'[4]MEDIÇAO 1'!#REF!</definedName>
    <definedName name="_________LOC33">'[4]MEDIÇAO 1'!#REF!</definedName>
    <definedName name="_________LOC34">'[4]MEDIÇAO 1'!#REF!</definedName>
    <definedName name="_________LOC35">'[4]MEDIÇAO 1'!#REF!</definedName>
    <definedName name="_________LOC36">'[4]MEDIÇAO 1'!#REF!</definedName>
    <definedName name="_________LOC37">'[4]MEDIÇAO 1'!#REF!</definedName>
    <definedName name="_________LOC38">'[4]MEDIÇAO 1'!#REF!</definedName>
    <definedName name="_________LOC39">'[4]MEDIÇAO 1'!#REF!</definedName>
    <definedName name="_________LOC4">'[4]MEDIÇAO 1'!#REF!</definedName>
    <definedName name="_________LOC40">'[4]MEDIÇAO 1'!#REF!</definedName>
    <definedName name="_________LOC41">'[4]MEDIÇAO 1'!#REF!</definedName>
    <definedName name="_________LOC42">'[4]MEDIÇAO 1'!#REF!</definedName>
    <definedName name="_________LOC5">'[4]MEDIÇAO 1'!#REF!</definedName>
    <definedName name="_________LOC6">'[4]MEDIÇAO 1'!#REF!</definedName>
    <definedName name="_________LOC7">'[4]MEDIÇAO 1'!#REF!</definedName>
    <definedName name="_________LOC8">'[4]MEDIÇAO 1'!#REF!</definedName>
    <definedName name="_________LOC9">'[4]MEDIÇAO 1'!#REF!</definedName>
    <definedName name="_________MED1202">[3]FaixasCrit!#REF!</definedName>
    <definedName name="_________MED1203">[3]FaixasCrit!#REF!</definedName>
    <definedName name="_________PU1">[5]Custo!#REF!</definedName>
    <definedName name="_________TA1">[5]Custo!#REF!</definedName>
    <definedName name="_________TA2">[5]Custo!#REF!</definedName>
    <definedName name="_________TAB32">#REF!</definedName>
    <definedName name="_________TAB33">#REF!</definedName>
    <definedName name="_________TAB34">#REF!</definedName>
    <definedName name="_________x10" hidden="1">#REF!</definedName>
    <definedName name="_________x11" hidden="1">#REF!</definedName>
    <definedName name="_________x12" hidden="1">#REF!</definedName>
    <definedName name="_________x13" hidden="1">#REF!</definedName>
    <definedName name="_________x14" hidden="1">#REF!</definedName>
    <definedName name="_________x15" hidden="1">#REF!</definedName>
    <definedName name="_________x16" hidden="1">#REF!</definedName>
    <definedName name="_________x17" hidden="1">#REF!</definedName>
    <definedName name="_________x18" hidden="1">#REF!</definedName>
    <definedName name="_________x19" hidden="1">#REF!</definedName>
    <definedName name="_________x20" hidden="1">#REF!</definedName>
    <definedName name="_________x21" hidden="1">#REF!</definedName>
    <definedName name="_________x22" hidden="1">#REF!</definedName>
    <definedName name="_________x23" hidden="1">#REF!</definedName>
    <definedName name="_________x24" hidden="1">#REF!</definedName>
    <definedName name="_________x25" hidden="1">#REF!</definedName>
    <definedName name="_________x28" hidden="1">#REF!</definedName>
    <definedName name="_________x29" hidden="1">#REF!</definedName>
    <definedName name="_________x32" hidden="1">#REF!</definedName>
    <definedName name="_________x4" hidden="1">#REF!</definedName>
    <definedName name="_________x5" hidden="1">#REF!</definedName>
    <definedName name="_________x6" hidden="1">#REF!</definedName>
    <definedName name="_________x7" hidden="1">#REF!</definedName>
    <definedName name="_________x8" hidden="1">#REF!</definedName>
    <definedName name="_________x9" hidden="1">#REF!</definedName>
    <definedName name="________BXF1392">[6]CAMINHÕES!#REF!</definedName>
    <definedName name="________CRC7674">[6]CAMINHÕES!#REF!</definedName>
    <definedName name="________CRT2673">[6]CAMINHÕES!#REF!</definedName>
    <definedName name="________htn1">#REF!</definedName>
    <definedName name="________LOC10">'[4]MEDIÇAO 1'!#REF!</definedName>
    <definedName name="________LOC11">'[4]MEDIÇAO 1'!#REF!</definedName>
    <definedName name="________LOC12">'[4]MEDIÇAO 1'!#REF!</definedName>
    <definedName name="________LOC13">'[4]MEDIÇAO 1'!#REF!</definedName>
    <definedName name="________LOC14">'[4]MEDIÇAO 1'!#REF!</definedName>
    <definedName name="________LOC15">'[4]MEDIÇAO 1'!#REF!</definedName>
    <definedName name="________LOC16">'[4]MEDIÇAO 1'!#REF!</definedName>
    <definedName name="________LOC17">'[4]MEDIÇAO 1'!#REF!</definedName>
    <definedName name="________LOC18">'[4]MEDIÇAO 1'!#REF!</definedName>
    <definedName name="________LOC19">'[4]MEDIÇAO 1'!#REF!</definedName>
    <definedName name="________LOC2">'[4]MEDIÇAO 1'!#REF!</definedName>
    <definedName name="________LOC20">'[4]MEDIÇAO 1'!#REF!</definedName>
    <definedName name="________LOC21">'[4]MEDIÇAO 1'!#REF!</definedName>
    <definedName name="________LOC22">'[4]MEDIÇAO 1'!#REF!</definedName>
    <definedName name="________LOC23">'[4]MEDIÇAO 1'!#REF!</definedName>
    <definedName name="________LOC24">'[4]MEDIÇAO 1'!#REF!</definedName>
    <definedName name="________LOC25">'[4]MEDIÇAO 1'!#REF!</definedName>
    <definedName name="________LOC26">'[4]MEDIÇAO 1'!#REF!</definedName>
    <definedName name="________LOC27">'[4]MEDIÇAO 1'!#REF!</definedName>
    <definedName name="________LOC28">'[4]MEDIÇAO 1'!#REF!</definedName>
    <definedName name="________LOC29">'[4]MEDIÇAO 1'!#REF!</definedName>
    <definedName name="________LOC3">'[4]MEDIÇAO 1'!#REF!</definedName>
    <definedName name="________LOC30">'[4]MEDIÇAO 1'!#REF!</definedName>
    <definedName name="________LOC31">'[4]MEDIÇAO 1'!#REF!</definedName>
    <definedName name="________LOC32">'[4]MEDIÇAO 1'!#REF!</definedName>
    <definedName name="________LOC33">'[4]MEDIÇAO 1'!#REF!</definedName>
    <definedName name="________LOC34">'[4]MEDIÇAO 1'!#REF!</definedName>
    <definedName name="________LOC35">'[4]MEDIÇAO 1'!#REF!</definedName>
    <definedName name="________LOC36">'[4]MEDIÇAO 1'!#REF!</definedName>
    <definedName name="________LOC37">'[4]MEDIÇAO 1'!#REF!</definedName>
    <definedName name="________LOC38">'[4]MEDIÇAO 1'!#REF!</definedName>
    <definedName name="________LOC39">'[4]MEDIÇAO 1'!#REF!</definedName>
    <definedName name="________LOC4">'[4]MEDIÇAO 1'!#REF!</definedName>
    <definedName name="________LOC40">'[4]MEDIÇAO 1'!#REF!</definedName>
    <definedName name="________LOC41">'[4]MEDIÇAO 1'!#REF!</definedName>
    <definedName name="________LOC42">'[4]MEDIÇAO 1'!#REF!</definedName>
    <definedName name="________LOC5">'[4]MEDIÇAO 1'!#REF!</definedName>
    <definedName name="________LOC6">'[4]MEDIÇAO 1'!#REF!</definedName>
    <definedName name="________LOC7">'[4]MEDIÇAO 1'!#REF!</definedName>
    <definedName name="________LOC8">'[4]MEDIÇAO 1'!#REF!</definedName>
    <definedName name="________LOC9">'[4]MEDIÇAO 1'!#REF!</definedName>
    <definedName name="________PU1">[5]Custo!#REF!</definedName>
    <definedName name="________R" localSheetId="2" hidden="1">{#N/A,#N/A,FALSE,"ORC-ACKE";#N/A,#N/A,FALSE,"RESUMO"}</definedName>
    <definedName name="________R" hidden="1">{#N/A,#N/A,FALSE,"ORC-ACKE";#N/A,#N/A,FALSE,"RESUMO"}</definedName>
    <definedName name="________TA1">[5]Custo!#REF!</definedName>
    <definedName name="________TA2">[5]Custo!#REF!</definedName>
    <definedName name="________TAB32">#REF!</definedName>
    <definedName name="________TAB33">#REF!</definedName>
    <definedName name="________TAB34">#REF!</definedName>
    <definedName name="_______ANT1202">[3]FaixasCrit!#REF!</definedName>
    <definedName name="_______ANT1203">[3]FaixasCrit!#REF!</definedName>
    <definedName name="_______BXF1392">[6]CAMINHÕES!#REF!</definedName>
    <definedName name="_______CAB1">#REF!</definedName>
    <definedName name="_______CRC7674">[6]CAMINHÕES!#REF!</definedName>
    <definedName name="_______CRT2673">[6]CAMINHÕES!#REF!</definedName>
    <definedName name="_______htn1">#REF!</definedName>
    <definedName name="_______KA1">#REF!</definedName>
    <definedName name="_______KA2">#REF!</definedName>
    <definedName name="_______la29" hidden="1">#REF!</definedName>
    <definedName name="_______la3" hidden="1">#REF!</definedName>
    <definedName name="_______la31" hidden="1">#REF!</definedName>
    <definedName name="_______la32" hidden="1">#REF!</definedName>
    <definedName name="_______la4" hidden="1">#REF!</definedName>
    <definedName name="_______la5" hidden="1">#REF!</definedName>
    <definedName name="_______la6" hidden="1">#REF!</definedName>
    <definedName name="_______la7" hidden="1">#REF!</definedName>
    <definedName name="_______la8" hidden="1">#REF!</definedName>
    <definedName name="_______la9" hidden="1">#REF!</definedName>
    <definedName name="_______lb1" hidden="1">#REF!</definedName>
    <definedName name="_______lb10" hidden="1">#REF!</definedName>
    <definedName name="_______lb11" hidden="1">#REF!</definedName>
    <definedName name="_______lb12" hidden="1">#REF!</definedName>
    <definedName name="_______lb13" hidden="1">#REF!</definedName>
    <definedName name="_______lb14" hidden="1">#REF!</definedName>
    <definedName name="_______lb15" hidden="1">#REF!</definedName>
    <definedName name="_______lb16" hidden="1">#REF!</definedName>
    <definedName name="_______lb17" hidden="1">#REF!</definedName>
    <definedName name="_______lb18" hidden="1">#REF!</definedName>
    <definedName name="_______lb19" hidden="1">#REF!</definedName>
    <definedName name="_______lb2" hidden="1">#REF!</definedName>
    <definedName name="_______lb20" hidden="1">#REF!</definedName>
    <definedName name="_______lb21" hidden="1">#REF!</definedName>
    <definedName name="_______lb22" hidden="1">#REF!</definedName>
    <definedName name="_______lb23" hidden="1">#REF!</definedName>
    <definedName name="_______lb24" hidden="1">#REF!</definedName>
    <definedName name="_______lb25" hidden="1">#REF!</definedName>
    <definedName name="_______lb27" hidden="1">#REF!</definedName>
    <definedName name="_______lb28" hidden="1">#REF!</definedName>
    <definedName name="_______lb29" hidden="1">#REF!</definedName>
    <definedName name="_______lb3" hidden="1">#REF!</definedName>
    <definedName name="_______lb30" hidden="1">#REF!</definedName>
    <definedName name="_______lb31" hidden="1">#REF!</definedName>
    <definedName name="_______lb32" hidden="1">#REF!</definedName>
    <definedName name="_______lb4" hidden="1">#REF!</definedName>
    <definedName name="_______lb5" hidden="1">#REF!</definedName>
    <definedName name="_______lb6" hidden="1">#REF!</definedName>
    <definedName name="_______lb7" hidden="1">#REF!</definedName>
    <definedName name="_______lb8" hidden="1">#REF!</definedName>
    <definedName name="_______lb9" hidden="1">#REF!</definedName>
    <definedName name="_______lbc1" hidden="1">#REF!</definedName>
    <definedName name="_______lbc10" hidden="1">#REF!</definedName>
    <definedName name="_______lbc11" hidden="1">#REF!</definedName>
    <definedName name="_______lbc12" hidden="1">#REF!</definedName>
    <definedName name="_______lbc13" hidden="1">#REF!</definedName>
    <definedName name="_______lbc14" hidden="1">#REF!</definedName>
    <definedName name="_______lbc15" hidden="1">#REF!</definedName>
    <definedName name="_______lbc16" hidden="1">#REF!</definedName>
    <definedName name="_______lbc17" hidden="1">#REF!</definedName>
    <definedName name="_______lbc18" hidden="1">#REF!</definedName>
    <definedName name="_______lbc19" hidden="1">#REF!</definedName>
    <definedName name="_______lbc2" hidden="1">#REF!</definedName>
    <definedName name="_______lbc20" hidden="1">#REF!</definedName>
    <definedName name="_______lbc21" hidden="1">#REF!</definedName>
    <definedName name="_______lbc22" hidden="1">#REF!</definedName>
    <definedName name="_______lbc23" hidden="1">#REF!</definedName>
    <definedName name="_______lbc24" hidden="1">#REF!</definedName>
    <definedName name="_______lbc25" hidden="1">#REF!</definedName>
    <definedName name="_______lbc26" hidden="1">#REF!</definedName>
    <definedName name="_______lbc27" hidden="1">#REF!</definedName>
    <definedName name="_______lbc28" hidden="1">#REF!</definedName>
    <definedName name="_______lbc29" hidden="1">#REF!</definedName>
    <definedName name="_______lbc3" hidden="1">#REF!</definedName>
    <definedName name="_______lbc31" hidden="1">#REF!</definedName>
    <definedName name="_______lbc32" hidden="1">#REF!</definedName>
    <definedName name="_______lbc4" hidden="1">#REF!</definedName>
    <definedName name="_______lbc5" hidden="1">#REF!</definedName>
    <definedName name="_______lbc6" hidden="1">#REF!</definedName>
    <definedName name="_______lbc7" hidden="1">#REF!</definedName>
    <definedName name="_______lbc8" hidden="1">#REF!</definedName>
    <definedName name="_______lbc9" hidden="1">#REF!</definedName>
    <definedName name="_______ld26" hidden="1">#REF!</definedName>
    <definedName name="_______ld31" hidden="1">#REF!</definedName>
    <definedName name="_______le31" hidden="1">#REF!</definedName>
    <definedName name="_______lf31" hidden="1">#REF!</definedName>
    <definedName name="_______LOC1">#REF!</definedName>
    <definedName name="_______LOC10">'[4]MEDIÇAO 1'!#REF!</definedName>
    <definedName name="_______LOC11">'[4]MEDIÇAO 1'!#REF!</definedName>
    <definedName name="_______LOC12">'[4]MEDIÇAO 1'!#REF!</definedName>
    <definedName name="_______LOC13">'[4]MEDIÇAO 1'!#REF!</definedName>
    <definedName name="_______LOC14">'[4]MEDIÇAO 1'!#REF!</definedName>
    <definedName name="_______LOC15">'[4]MEDIÇAO 1'!#REF!</definedName>
    <definedName name="_______LOC16">'[4]MEDIÇAO 1'!#REF!</definedName>
    <definedName name="_______LOC17">'[4]MEDIÇAO 1'!#REF!</definedName>
    <definedName name="_______LOC18">'[4]MEDIÇAO 1'!#REF!</definedName>
    <definedName name="_______LOC19">'[4]MEDIÇAO 1'!#REF!</definedName>
    <definedName name="_______LOC2">'[4]MEDIÇAO 1'!#REF!</definedName>
    <definedName name="_______LOC20">'[4]MEDIÇAO 1'!#REF!</definedName>
    <definedName name="_______LOC21">'[4]MEDIÇAO 1'!#REF!</definedName>
    <definedName name="_______LOC22">'[4]MEDIÇAO 1'!#REF!</definedName>
    <definedName name="_______LOC23">'[4]MEDIÇAO 1'!#REF!</definedName>
    <definedName name="_______LOC24">'[4]MEDIÇAO 1'!#REF!</definedName>
    <definedName name="_______LOC25">'[4]MEDIÇAO 1'!#REF!</definedName>
    <definedName name="_______LOC26">'[4]MEDIÇAO 1'!#REF!</definedName>
    <definedName name="_______LOC27">'[4]MEDIÇAO 1'!#REF!</definedName>
    <definedName name="_______LOC28">'[4]MEDIÇAO 1'!#REF!</definedName>
    <definedName name="_______LOC29">'[4]MEDIÇAO 1'!#REF!</definedName>
    <definedName name="_______LOC3">'[4]MEDIÇAO 1'!#REF!</definedName>
    <definedName name="_______LOC30">'[4]MEDIÇAO 1'!#REF!</definedName>
    <definedName name="_______LOC31">'[4]MEDIÇAO 1'!#REF!</definedName>
    <definedName name="_______LOC32">'[4]MEDIÇAO 1'!#REF!</definedName>
    <definedName name="_______LOC33">'[4]MEDIÇAO 1'!#REF!</definedName>
    <definedName name="_______LOC34">'[4]MEDIÇAO 1'!#REF!</definedName>
    <definedName name="_______LOC35">'[4]MEDIÇAO 1'!#REF!</definedName>
    <definedName name="_______LOC36">'[4]MEDIÇAO 1'!#REF!</definedName>
    <definedName name="_______LOC37">'[4]MEDIÇAO 1'!#REF!</definedName>
    <definedName name="_______LOC38">'[4]MEDIÇAO 1'!#REF!</definedName>
    <definedName name="_______LOC39">'[4]MEDIÇAO 1'!#REF!</definedName>
    <definedName name="_______LOC4">'[4]MEDIÇAO 1'!#REF!</definedName>
    <definedName name="_______LOC40">'[4]MEDIÇAO 1'!#REF!</definedName>
    <definedName name="_______LOC41">'[4]MEDIÇAO 1'!#REF!</definedName>
    <definedName name="_______LOC42">'[4]MEDIÇAO 1'!#REF!</definedName>
    <definedName name="_______LOC5">'[4]MEDIÇAO 1'!#REF!</definedName>
    <definedName name="_______LOC6">'[4]MEDIÇAO 1'!#REF!</definedName>
    <definedName name="_______LOC7">'[4]MEDIÇAO 1'!#REF!</definedName>
    <definedName name="_______LOC8">'[4]MEDIÇAO 1'!#REF!</definedName>
    <definedName name="_______LOC9">'[4]MEDIÇAO 1'!#REF!</definedName>
    <definedName name="_______MED1202">[3]FaixasCrit!#REF!</definedName>
    <definedName name="_______MED1203">[3]FaixasCrit!#REF!</definedName>
    <definedName name="_______PU1">#REF!</definedName>
    <definedName name="_______R" localSheetId="2" hidden="1">{#N/A,#N/A,FALSE,"ORC-ACKE";#N/A,#N/A,FALSE,"RESUMO"}</definedName>
    <definedName name="_______R" hidden="1">{#N/A,#N/A,FALSE,"ORC-ACKE";#N/A,#N/A,FALSE,"RESUMO"}</definedName>
    <definedName name="_______TA1">#REF!</definedName>
    <definedName name="_______TA2">#REF!</definedName>
    <definedName name="_______tab31">'[7]Tabela 31'!$A$1:$D$3166</definedName>
    <definedName name="_______x10" hidden="1">#REF!</definedName>
    <definedName name="_______x11" hidden="1">#REF!</definedName>
    <definedName name="_______x12" hidden="1">#REF!</definedName>
    <definedName name="_______x13" hidden="1">#REF!</definedName>
    <definedName name="_______x14" hidden="1">#REF!</definedName>
    <definedName name="_______x15" hidden="1">#REF!</definedName>
    <definedName name="_______x16" hidden="1">#REF!</definedName>
    <definedName name="_______x17" hidden="1">#REF!</definedName>
    <definedName name="_______x18" hidden="1">#REF!</definedName>
    <definedName name="_______x19" hidden="1">#REF!</definedName>
    <definedName name="_______x20" hidden="1">#REF!</definedName>
    <definedName name="_______x21" hidden="1">#REF!</definedName>
    <definedName name="_______x22" hidden="1">#REF!</definedName>
    <definedName name="_______x23" hidden="1">#REF!</definedName>
    <definedName name="_______x24" hidden="1">#REF!</definedName>
    <definedName name="_______x25" hidden="1">#REF!</definedName>
    <definedName name="_______x28" hidden="1">#REF!</definedName>
    <definedName name="_______x29" hidden="1">#REF!</definedName>
    <definedName name="_______x32" hidden="1">#REF!</definedName>
    <definedName name="_______x4" hidden="1">#REF!</definedName>
    <definedName name="_______x5" hidden="1">#REF!</definedName>
    <definedName name="_______x6" hidden="1">#REF!</definedName>
    <definedName name="_______x7" hidden="1">#REF!</definedName>
    <definedName name="_______x8" hidden="1">#REF!</definedName>
    <definedName name="_______x9" hidden="1">#REF!</definedName>
    <definedName name="______ANT1202">[3]FaixasCrit!#REF!</definedName>
    <definedName name="______ANT1203">[3]FaixasCrit!#REF!</definedName>
    <definedName name="______AUX1">#REF!</definedName>
    <definedName name="______aux2">#REF!</definedName>
    <definedName name="______BXF1392">[6]CAMINHÕES!#REF!</definedName>
    <definedName name="______CAB1">#REF!</definedName>
    <definedName name="______CRC7674">[6]CAMINHÕES!#REF!</definedName>
    <definedName name="______CRT2673">[6]CAMINHÕES!#REF!</definedName>
    <definedName name="______dre1">#REF!</definedName>
    <definedName name="______htn1">#REF!</definedName>
    <definedName name="______KA1">#REF!</definedName>
    <definedName name="______KA2">#REF!</definedName>
    <definedName name="______la29" hidden="1">#REF!</definedName>
    <definedName name="______la3" hidden="1">#REF!</definedName>
    <definedName name="______la31" hidden="1">#REF!</definedName>
    <definedName name="______la32" hidden="1">#REF!</definedName>
    <definedName name="______la4" hidden="1">#REF!</definedName>
    <definedName name="______la5" hidden="1">#REF!</definedName>
    <definedName name="______la6" hidden="1">#REF!</definedName>
    <definedName name="______la7" hidden="1">#REF!</definedName>
    <definedName name="______la8" hidden="1">#REF!</definedName>
    <definedName name="______la9" hidden="1">#REF!</definedName>
    <definedName name="______lb1" hidden="1">#REF!</definedName>
    <definedName name="______lb10" hidden="1">#REF!</definedName>
    <definedName name="______lb11" hidden="1">#REF!</definedName>
    <definedName name="______lb12" hidden="1">#REF!</definedName>
    <definedName name="______lb13" hidden="1">#REF!</definedName>
    <definedName name="______lb14" hidden="1">#REF!</definedName>
    <definedName name="______lb15" hidden="1">#REF!</definedName>
    <definedName name="______lb16" hidden="1">#REF!</definedName>
    <definedName name="______lb17" hidden="1">#REF!</definedName>
    <definedName name="______lb18" hidden="1">#REF!</definedName>
    <definedName name="______lb19" hidden="1">#REF!</definedName>
    <definedName name="______lb2" hidden="1">#REF!</definedName>
    <definedName name="______lb20" hidden="1">#REF!</definedName>
    <definedName name="______lb21" hidden="1">#REF!</definedName>
    <definedName name="______lb22" hidden="1">#REF!</definedName>
    <definedName name="______lb23" hidden="1">#REF!</definedName>
    <definedName name="______lb24" hidden="1">#REF!</definedName>
    <definedName name="______lb25" hidden="1">#REF!</definedName>
    <definedName name="______lb27" hidden="1">#REF!</definedName>
    <definedName name="______lb28" hidden="1">#REF!</definedName>
    <definedName name="______lb29" hidden="1">#REF!</definedName>
    <definedName name="______lb3" hidden="1">#REF!</definedName>
    <definedName name="______lb30" hidden="1">#REF!</definedName>
    <definedName name="______lb31" hidden="1">#REF!</definedName>
    <definedName name="______lb32" hidden="1">#REF!</definedName>
    <definedName name="______lb4" hidden="1">#REF!</definedName>
    <definedName name="______lb5" hidden="1">#REF!</definedName>
    <definedName name="______lb6" hidden="1">#REF!</definedName>
    <definedName name="______lb7" hidden="1">#REF!</definedName>
    <definedName name="______lb8" hidden="1">#REF!</definedName>
    <definedName name="______lb9" hidden="1">#REF!</definedName>
    <definedName name="______lbc1" hidden="1">#REF!</definedName>
    <definedName name="______lbc10" hidden="1">#REF!</definedName>
    <definedName name="______lbc11" hidden="1">#REF!</definedName>
    <definedName name="______lbc12" hidden="1">#REF!</definedName>
    <definedName name="______lbc13" hidden="1">#REF!</definedName>
    <definedName name="______lbc14" hidden="1">#REF!</definedName>
    <definedName name="______lbc15" hidden="1">#REF!</definedName>
    <definedName name="______lbc16" hidden="1">#REF!</definedName>
    <definedName name="______lbc17" hidden="1">#REF!</definedName>
    <definedName name="______lbc18" hidden="1">#REF!</definedName>
    <definedName name="______lbc19" hidden="1">#REF!</definedName>
    <definedName name="______lbc2" hidden="1">#REF!</definedName>
    <definedName name="______lbc20" hidden="1">#REF!</definedName>
    <definedName name="______lbc21" hidden="1">#REF!</definedName>
    <definedName name="______lbc22" hidden="1">#REF!</definedName>
    <definedName name="______lbc23" hidden="1">#REF!</definedName>
    <definedName name="______lbc24" hidden="1">#REF!</definedName>
    <definedName name="______lbc25" hidden="1">#REF!</definedName>
    <definedName name="______lbc26" hidden="1">#REF!</definedName>
    <definedName name="______lbc27" hidden="1">#REF!</definedName>
    <definedName name="______lbc28" hidden="1">#REF!</definedName>
    <definedName name="______lbc29" hidden="1">#REF!</definedName>
    <definedName name="______lbc3" hidden="1">#REF!</definedName>
    <definedName name="______lbc31" hidden="1">#REF!</definedName>
    <definedName name="______lbc32" hidden="1">#REF!</definedName>
    <definedName name="______lbc4" hidden="1">#REF!</definedName>
    <definedName name="______lbc5" hidden="1">#REF!</definedName>
    <definedName name="______lbc6" hidden="1">#REF!</definedName>
    <definedName name="______lbc7" hidden="1">#REF!</definedName>
    <definedName name="______lbc8" hidden="1">#REF!</definedName>
    <definedName name="______lbc9" hidden="1">#REF!</definedName>
    <definedName name="______ld26" hidden="1">#REF!</definedName>
    <definedName name="______ld31" hidden="1">#REF!</definedName>
    <definedName name="______le31" hidden="1">#REF!</definedName>
    <definedName name="______lf31" hidden="1">#REF!</definedName>
    <definedName name="______LOC1">#REF!</definedName>
    <definedName name="______LOC10">'[4]MEDIÇAO 1'!#REF!</definedName>
    <definedName name="______LOC11">'[4]MEDIÇAO 1'!#REF!</definedName>
    <definedName name="______LOC12">'[4]MEDIÇAO 1'!#REF!</definedName>
    <definedName name="______LOC13">'[4]MEDIÇAO 1'!#REF!</definedName>
    <definedName name="______LOC14">'[4]MEDIÇAO 1'!#REF!</definedName>
    <definedName name="______LOC15">'[4]MEDIÇAO 1'!#REF!</definedName>
    <definedName name="______LOC16">'[4]MEDIÇAO 1'!#REF!</definedName>
    <definedName name="______LOC17">'[4]MEDIÇAO 1'!#REF!</definedName>
    <definedName name="______LOC18">'[4]MEDIÇAO 1'!#REF!</definedName>
    <definedName name="______LOC19">'[4]MEDIÇAO 1'!#REF!</definedName>
    <definedName name="______LOC2">'[4]MEDIÇAO 1'!#REF!</definedName>
    <definedName name="______LOC20">'[4]MEDIÇAO 1'!#REF!</definedName>
    <definedName name="______LOC21">'[4]MEDIÇAO 1'!#REF!</definedName>
    <definedName name="______LOC22">'[4]MEDIÇAO 1'!#REF!</definedName>
    <definedName name="______LOC23">'[4]MEDIÇAO 1'!#REF!</definedName>
    <definedName name="______LOC24">'[4]MEDIÇAO 1'!#REF!</definedName>
    <definedName name="______LOC25">'[4]MEDIÇAO 1'!#REF!</definedName>
    <definedName name="______LOC26">'[4]MEDIÇAO 1'!#REF!</definedName>
    <definedName name="______LOC27">'[4]MEDIÇAO 1'!#REF!</definedName>
    <definedName name="______LOC28">'[4]MEDIÇAO 1'!#REF!</definedName>
    <definedName name="______LOC29">'[4]MEDIÇAO 1'!#REF!</definedName>
    <definedName name="______LOC3">'[4]MEDIÇAO 1'!#REF!</definedName>
    <definedName name="______LOC30">'[4]MEDIÇAO 1'!#REF!</definedName>
    <definedName name="______LOC31">'[4]MEDIÇAO 1'!#REF!</definedName>
    <definedName name="______LOC32">'[4]MEDIÇAO 1'!#REF!</definedName>
    <definedName name="______LOC33">'[4]MEDIÇAO 1'!#REF!</definedName>
    <definedName name="______LOC34">'[4]MEDIÇAO 1'!#REF!</definedName>
    <definedName name="______LOC35">'[4]MEDIÇAO 1'!#REF!</definedName>
    <definedName name="______LOC36">'[4]MEDIÇAO 1'!#REF!</definedName>
    <definedName name="______LOC37">'[4]MEDIÇAO 1'!#REF!</definedName>
    <definedName name="______LOC38">'[4]MEDIÇAO 1'!#REF!</definedName>
    <definedName name="______LOC39">'[4]MEDIÇAO 1'!#REF!</definedName>
    <definedName name="______LOC4">'[4]MEDIÇAO 1'!#REF!</definedName>
    <definedName name="______LOC40">'[4]MEDIÇAO 1'!#REF!</definedName>
    <definedName name="______LOC41">'[4]MEDIÇAO 1'!#REF!</definedName>
    <definedName name="______LOC42">'[4]MEDIÇAO 1'!#REF!</definedName>
    <definedName name="______LOC5">'[4]MEDIÇAO 1'!#REF!</definedName>
    <definedName name="______LOC6">'[4]MEDIÇAO 1'!#REF!</definedName>
    <definedName name="______LOC7">'[4]MEDIÇAO 1'!#REF!</definedName>
    <definedName name="______LOC8">'[4]MEDIÇAO 1'!#REF!</definedName>
    <definedName name="______LOC9">'[4]MEDIÇAO 1'!#REF!</definedName>
    <definedName name="______MED1202">[3]FaixasCrit!#REF!</definedName>
    <definedName name="______MED1203">[3]FaixasCrit!#REF!</definedName>
    <definedName name="______oae1">#REF!</definedName>
    <definedName name="______pav1">#REF!</definedName>
    <definedName name="______pre1">#REF!</definedName>
    <definedName name="______PU1">[8]OBRJU95!#REF!</definedName>
    <definedName name="______R" localSheetId="2" hidden="1">{#N/A,#N/A,FALSE,"ORC-ACKE";#N/A,#N/A,FALSE,"RESUMO"}</definedName>
    <definedName name="______R" hidden="1">{#N/A,#N/A,FALSE,"ORC-ACKE";#N/A,#N/A,FALSE,"RESUMO"}</definedName>
    <definedName name="______REC3">#REF!</definedName>
    <definedName name="______REC35">#REF!</definedName>
    <definedName name="______REC4">#REF!</definedName>
    <definedName name="______REP1">#REF!</definedName>
    <definedName name="______REP15">#REF!</definedName>
    <definedName name="______REP2">#REF!</definedName>
    <definedName name="______rev1">#REF!</definedName>
    <definedName name="______SE2">#REF!</definedName>
    <definedName name="______seg1">#REF!</definedName>
    <definedName name="______sih1">#REF!</definedName>
    <definedName name="______TA1">[8]OBRJU95!#REF!</definedName>
    <definedName name="______TA2">[8]OBRJU95!#REF!</definedName>
    <definedName name="______tab1">[9]Preços_BSTC!$B$4:$R$77</definedName>
    <definedName name="______tab31">'[7]Tabela 31'!$A$1:$D$3166</definedName>
    <definedName name="______TAB32">#REF!</definedName>
    <definedName name="______TAB33">#REF!</definedName>
    <definedName name="______TAB34">#REF!</definedName>
    <definedName name="______x10" hidden="1">#REF!</definedName>
    <definedName name="______x11" hidden="1">#REF!</definedName>
    <definedName name="______x12" hidden="1">#REF!</definedName>
    <definedName name="______x13" hidden="1">#REF!</definedName>
    <definedName name="______x14" hidden="1">#REF!</definedName>
    <definedName name="______x15" hidden="1">#REF!</definedName>
    <definedName name="______x16" hidden="1">#REF!</definedName>
    <definedName name="______x17" hidden="1">#REF!</definedName>
    <definedName name="______x18" hidden="1">#REF!</definedName>
    <definedName name="______x19" hidden="1">#REF!</definedName>
    <definedName name="______x20" hidden="1">#REF!</definedName>
    <definedName name="______x21" hidden="1">#REF!</definedName>
    <definedName name="______x22" hidden="1">#REF!</definedName>
    <definedName name="______x23" hidden="1">#REF!</definedName>
    <definedName name="______x24" hidden="1">#REF!</definedName>
    <definedName name="______x25" hidden="1">#REF!</definedName>
    <definedName name="______x28" hidden="1">#REF!</definedName>
    <definedName name="______x29" hidden="1">#REF!</definedName>
    <definedName name="______x32" hidden="1">#REF!</definedName>
    <definedName name="______x4" hidden="1">#REF!</definedName>
    <definedName name="______x5" hidden="1">#REF!</definedName>
    <definedName name="______x6" hidden="1">#REF!</definedName>
    <definedName name="______x7" hidden="1">#REF!</definedName>
    <definedName name="______x8" hidden="1">#REF!</definedName>
    <definedName name="______x9" hidden="1">#REF!</definedName>
    <definedName name="_____ANT1202">[3]FaixasCrit!#REF!</definedName>
    <definedName name="_____ANT1203">[3]FaixasCrit!#REF!</definedName>
    <definedName name="_____AUX1">#REF!</definedName>
    <definedName name="_____aux2">#REF!</definedName>
    <definedName name="_____BXF1392">[6]CAMINHÕES!#REF!</definedName>
    <definedName name="_____CAB1">#REF!</definedName>
    <definedName name="_____CRC7674">[6]CAMINHÕES!#REF!</definedName>
    <definedName name="_____CRT2673">[6]CAMINHÕES!#REF!</definedName>
    <definedName name="_____CTD1">#REF!</definedName>
    <definedName name="_____dre1">#REF!</definedName>
    <definedName name="_____htn1">#REF!</definedName>
    <definedName name="_____la29" hidden="1">#REF!</definedName>
    <definedName name="_____la3" hidden="1">#REF!</definedName>
    <definedName name="_____la31" hidden="1">#REF!</definedName>
    <definedName name="_____la32" hidden="1">#REF!</definedName>
    <definedName name="_____la4" hidden="1">#REF!</definedName>
    <definedName name="_____la5" hidden="1">#REF!</definedName>
    <definedName name="_____la6" hidden="1">#REF!</definedName>
    <definedName name="_____la7" hidden="1">#REF!</definedName>
    <definedName name="_____la8" hidden="1">#REF!</definedName>
    <definedName name="_____la9" hidden="1">#REF!</definedName>
    <definedName name="_____lb1" hidden="1">#REF!</definedName>
    <definedName name="_____lb10" hidden="1">#REF!</definedName>
    <definedName name="_____lb11" hidden="1">#REF!</definedName>
    <definedName name="_____lb12" hidden="1">#REF!</definedName>
    <definedName name="_____lb13" hidden="1">#REF!</definedName>
    <definedName name="_____lb14" hidden="1">#REF!</definedName>
    <definedName name="_____lb15" hidden="1">#REF!</definedName>
    <definedName name="_____lb16" hidden="1">#REF!</definedName>
    <definedName name="_____lb17" hidden="1">#REF!</definedName>
    <definedName name="_____lb18" hidden="1">#REF!</definedName>
    <definedName name="_____lb19" hidden="1">#REF!</definedName>
    <definedName name="_____lb2" hidden="1">#REF!</definedName>
    <definedName name="_____lb20" hidden="1">#REF!</definedName>
    <definedName name="_____lb21" hidden="1">#REF!</definedName>
    <definedName name="_____lb22" hidden="1">#REF!</definedName>
    <definedName name="_____lb23" hidden="1">#REF!</definedName>
    <definedName name="_____lb24" hidden="1">#REF!</definedName>
    <definedName name="_____lb25" hidden="1">#REF!</definedName>
    <definedName name="_____lb27" hidden="1">#REF!</definedName>
    <definedName name="_____lb28" hidden="1">#REF!</definedName>
    <definedName name="_____lb29" hidden="1">#REF!</definedName>
    <definedName name="_____lb3" hidden="1">#REF!</definedName>
    <definedName name="_____lb30" hidden="1">#REF!</definedName>
    <definedName name="_____lb31" hidden="1">#REF!</definedName>
    <definedName name="_____lb32" hidden="1">#REF!</definedName>
    <definedName name="_____lb4" hidden="1">#REF!</definedName>
    <definedName name="_____lb5" hidden="1">#REF!</definedName>
    <definedName name="_____lb6" hidden="1">#REF!</definedName>
    <definedName name="_____lb7" hidden="1">#REF!</definedName>
    <definedName name="_____lb8" hidden="1">#REF!</definedName>
    <definedName name="_____lb9" hidden="1">#REF!</definedName>
    <definedName name="_____lbc1" hidden="1">#REF!</definedName>
    <definedName name="_____lbc10" hidden="1">#REF!</definedName>
    <definedName name="_____lbc11" hidden="1">#REF!</definedName>
    <definedName name="_____lbc12" hidden="1">#REF!</definedName>
    <definedName name="_____lbc13" hidden="1">#REF!</definedName>
    <definedName name="_____lbc14" hidden="1">#REF!</definedName>
    <definedName name="_____lbc15" hidden="1">#REF!</definedName>
    <definedName name="_____lbc16" hidden="1">#REF!</definedName>
    <definedName name="_____lbc17" hidden="1">#REF!</definedName>
    <definedName name="_____lbc18" hidden="1">#REF!</definedName>
    <definedName name="_____lbc19" hidden="1">#REF!</definedName>
    <definedName name="_____lbc2" hidden="1">#REF!</definedName>
    <definedName name="_____lbc20" hidden="1">#REF!</definedName>
    <definedName name="_____lbc21" hidden="1">#REF!</definedName>
    <definedName name="_____lbc22" hidden="1">#REF!</definedName>
    <definedName name="_____lbc23" hidden="1">#REF!</definedName>
    <definedName name="_____lbc24" hidden="1">#REF!</definedName>
    <definedName name="_____lbc25" hidden="1">#REF!</definedName>
    <definedName name="_____lbc26" hidden="1">#REF!</definedName>
    <definedName name="_____lbc27" hidden="1">#REF!</definedName>
    <definedName name="_____lbc28" hidden="1">#REF!</definedName>
    <definedName name="_____lbc29" hidden="1">#REF!</definedName>
    <definedName name="_____lbc3" hidden="1">#REF!</definedName>
    <definedName name="_____lbc31" hidden="1">#REF!</definedName>
    <definedName name="_____lbc32" hidden="1">#REF!</definedName>
    <definedName name="_____lbc4" hidden="1">#REF!</definedName>
    <definedName name="_____lbc5" hidden="1">#REF!</definedName>
    <definedName name="_____lbc6" hidden="1">#REF!</definedName>
    <definedName name="_____lbc7" hidden="1">#REF!</definedName>
    <definedName name="_____lbc8" hidden="1">#REF!</definedName>
    <definedName name="_____lbc9" hidden="1">#REF!</definedName>
    <definedName name="_____ld26" hidden="1">#REF!</definedName>
    <definedName name="_____ld31" hidden="1">#REF!</definedName>
    <definedName name="_____le31" hidden="1">#REF!</definedName>
    <definedName name="_____lf31" hidden="1">#REF!</definedName>
    <definedName name="_____LOC1">#REF!</definedName>
    <definedName name="_____LOC10">'[4]MEDIÇAO 1'!#REF!</definedName>
    <definedName name="_____LOC11">'[4]MEDIÇAO 1'!#REF!</definedName>
    <definedName name="_____LOC12">'[4]MEDIÇAO 1'!#REF!</definedName>
    <definedName name="_____LOC13">'[4]MEDIÇAO 1'!#REF!</definedName>
    <definedName name="_____LOC14">'[4]MEDIÇAO 1'!#REF!</definedName>
    <definedName name="_____LOC15">'[4]MEDIÇAO 1'!#REF!</definedName>
    <definedName name="_____LOC16">'[4]MEDIÇAO 1'!#REF!</definedName>
    <definedName name="_____LOC17">'[4]MEDIÇAO 1'!#REF!</definedName>
    <definedName name="_____LOC18">'[4]MEDIÇAO 1'!#REF!</definedName>
    <definedName name="_____LOC19">'[4]MEDIÇAO 1'!#REF!</definedName>
    <definedName name="_____LOC2">'[4]MEDIÇAO 1'!#REF!</definedName>
    <definedName name="_____LOC20">'[4]MEDIÇAO 1'!#REF!</definedName>
    <definedName name="_____LOC21">'[4]MEDIÇAO 1'!#REF!</definedName>
    <definedName name="_____LOC22">'[4]MEDIÇAO 1'!#REF!</definedName>
    <definedName name="_____LOC23">'[4]MEDIÇAO 1'!#REF!</definedName>
    <definedName name="_____LOC24">'[4]MEDIÇAO 1'!#REF!</definedName>
    <definedName name="_____LOC25">'[4]MEDIÇAO 1'!#REF!</definedName>
    <definedName name="_____LOC26">'[4]MEDIÇAO 1'!#REF!</definedName>
    <definedName name="_____LOC27">'[4]MEDIÇAO 1'!#REF!</definedName>
    <definedName name="_____LOC28">'[4]MEDIÇAO 1'!#REF!</definedName>
    <definedName name="_____LOC29">'[4]MEDIÇAO 1'!#REF!</definedName>
    <definedName name="_____LOC3">'[4]MEDIÇAO 1'!#REF!</definedName>
    <definedName name="_____LOC30">'[4]MEDIÇAO 1'!#REF!</definedName>
    <definedName name="_____LOC31">'[4]MEDIÇAO 1'!#REF!</definedName>
    <definedName name="_____LOC32">'[4]MEDIÇAO 1'!#REF!</definedName>
    <definedName name="_____LOC33">'[4]MEDIÇAO 1'!#REF!</definedName>
    <definedName name="_____LOC34">'[4]MEDIÇAO 1'!#REF!</definedName>
    <definedName name="_____LOC35">'[4]MEDIÇAO 1'!#REF!</definedName>
    <definedName name="_____LOC36">'[4]MEDIÇAO 1'!#REF!</definedName>
    <definedName name="_____LOC37">'[4]MEDIÇAO 1'!#REF!</definedName>
    <definedName name="_____LOC38">'[4]MEDIÇAO 1'!#REF!</definedName>
    <definedName name="_____LOC39">'[4]MEDIÇAO 1'!#REF!</definedName>
    <definedName name="_____LOC4">'[4]MEDIÇAO 1'!#REF!</definedName>
    <definedName name="_____LOC40">'[4]MEDIÇAO 1'!#REF!</definedName>
    <definedName name="_____LOC41">'[4]MEDIÇAO 1'!#REF!</definedName>
    <definedName name="_____LOC42">'[4]MEDIÇAO 1'!#REF!</definedName>
    <definedName name="_____LOC5">'[4]MEDIÇAO 1'!#REF!</definedName>
    <definedName name="_____LOC6">'[4]MEDIÇAO 1'!#REF!</definedName>
    <definedName name="_____LOC7">'[4]MEDIÇAO 1'!#REF!</definedName>
    <definedName name="_____LOC8">'[4]MEDIÇAO 1'!#REF!</definedName>
    <definedName name="_____LOC9">'[4]MEDIÇAO 1'!#REF!</definedName>
    <definedName name="_____MED1202">[3]FaixasCrit!#REF!</definedName>
    <definedName name="_____MED1203">[3]FaixasCrit!#REF!</definedName>
    <definedName name="_____MLH1">#REF!</definedName>
    <definedName name="_____MLH2">#REF!</definedName>
    <definedName name="_____MLH3">#REF!</definedName>
    <definedName name="_____oae1">#REF!</definedName>
    <definedName name="_____pav1">#REF!</definedName>
    <definedName name="_____pre1">#REF!</definedName>
    <definedName name="_____PU1">#REF!</definedName>
    <definedName name="_____R" localSheetId="2" hidden="1">{#N/A,#N/A,FALSE,"ORC-ACKE";#N/A,#N/A,FALSE,"RESUMO"}</definedName>
    <definedName name="_____R" hidden="1">{#N/A,#N/A,FALSE,"ORC-ACKE";#N/A,#N/A,FALSE,"RESUMO"}</definedName>
    <definedName name="_____REC3">#REF!</definedName>
    <definedName name="_____REC35">#REF!</definedName>
    <definedName name="_____REC4">#REF!</definedName>
    <definedName name="_____REP1">#REF!</definedName>
    <definedName name="_____REP15">#REF!</definedName>
    <definedName name="_____REP2">#REF!</definedName>
    <definedName name="_____rev1">#REF!</definedName>
    <definedName name="_____seg1">#REF!</definedName>
    <definedName name="_____sih1">#REF!</definedName>
    <definedName name="_____TA1">#REF!</definedName>
    <definedName name="_____TA2">#REF!</definedName>
    <definedName name="_____tab1">[9]Preços_BSTC!$B$4:$R$77</definedName>
    <definedName name="_____tab31">'[7]Tabela 31'!$A$1:$D$3166</definedName>
    <definedName name="_____TAB32">#REF!</definedName>
    <definedName name="_____TAB33">#REF!</definedName>
    <definedName name="_____TAB34">#REF!</definedName>
    <definedName name="_____VAX1">#REF!</definedName>
    <definedName name="_____VAX2">#REF!</definedName>
    <definedName name="_____VRL1">#REF!</definedName>
    <definedName name="_____VRL2">#REF!</definedName>
    <definedName name="_____VRL3">#REF!</definedName>
    <definedName name="_____x10" hidden="1">#REF!</definedName>
    <definedName name="_____x11" hidden="1">#REF!</definedName>
    <definedName name="_____x12" hidden="1">#REF!</definedName>
    <definedName name="_____x13" hidden="1">#REF!</definedName>
    <definedName name="_____x14" hidden="1">#REF!</definedName>
    <definedName name="_____x15" hidden="1">#REF!</definedName>
    <definedName name="_____x16" hidden="1">#REF!</definedName>
    <definedName name="_____x17" hidden="1">#REF!</definedName>
    <definedName name="_____x18" hidden="1">#REF!</definedName>
    <definedName name="_____x19" hidden="1">#REF!</definedName>
    <definedName name="_____x20" hidden="1">#REF!</definedName>
    <definedName name="_____x21" hidden="1">#REF!</definedName>
    <definedName name="_____x22" hidden="1">#REF!</definedName>
    <definedName name="_____x23" hidden="1">#REF!</definedName>
    <definedName name="_____x24" hidden="1">#REF!</definedName>
    <definedName name="_____x25" hidden="1">#REF!</definedName>
    <definedName name="_____x28" hidden="1">#REF!</definedName>
    <definedName name="_____x29" hidden="1">#REF!</definedName>
    <definedName name="_____x32" hidden="1">#REF!</definedName>
    <definedName name="_____x4" hidden="1">#REF!</definedName>
    <definedName name="_____x5" hidden="1">#REF!</definedName>
    <definedName name="_____x6" hidden="1">#REF!</definedName>
    <definedName name="_____x7" hidden="1">#REF!</definedName>
    <definedName name="_____x8" hidden="1">#REF!</definedName>
    <definedName name="_____x9" hidden="1">#REF!</definedName>
    <definedName name="____ANT1202">[3]FaixasCrit!#REF!</definedName>
    <definedName name="____ANT1203">[3]FaixasCrit!#REF!</definedName>
    <definedName name="____BXF1392">[6]CAMINHÕES!#REF!</definedName>
    <definedName name="____CAB1">#REF!</definedName>
    <definedName name="____CRC7674">[6]CAMINHÕES!#REF!</definedName>
    <definedName name="____CRT2673">[6]CAMINHÕES!#REF!</definedName>
    <definedName name="____CTD1">#REF!</definedName>
    <definedName name="____CUB01">[10]ORIGINAL!$AF$74:$AF$77</definedName>
    <definedName name="____htn1">#REF!</definedName>
    <definedName name="____inv2">'[11]MP+Insumos'!#REF!</definedName>
    <definedName name="____KA1">#REF!</definedName>
    <definedName name="____KA2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LOC1">#REF!</definedName>
    <definedName name="____LOC10">'[4]MEDIÇAO 1'!#REF!</definedName>
    <definedName name="____LOC11">'[4]MEDIÇAO 1'!#REF!</definedName>
    <definedName name="____LOC12">'[4]MEDIÇAO 1'!#REF!</definedName>
    <definedName name="____LOC13">'[4]MEDIÇAO 1'!#REF!</definedName>
    <definedName name="____LOC14">'[4]MEDIÇAO 1'!#REF!</definedName>
    <definedName name="____LOC15">'[4]MEDIÇAO 1'!#REF!</definedName>
    <definedName name="____LOC16">'[4]MEDIÇAO 1'!#REF!</definedName>
    <definedName name="____LOC17">'[4]MEDIÇAO 1'!#REF!</definedName>
    <definedName name="____LOC18">'[4]MEDIÇAO 1'!#REF!</definedName>
    <definedName name="____LOC19">'[4]MEDIÇAO 1'!#REF!</definedName>
    <definedName name="____LOC2">'[4]MEDIÇAO 1'!#REF!</definedName>
    <definedName name="____LOC20">'[4]MEDIÇAO 1'!#REF!</definedName>
    <definedName name="____LOC21">'[4]MEDIÇAO 1'!#REF!</definedName>
    <definedName name="____LOC22">'[4]MEDIÇAO 1'!#REF!</definedName>
    <definedName name="____LOC23">'[4]MEDIÇAO 1'!#REF!</definedName>
    <definedName name="____LOC24">'[4]MEDIÇAO 1'!#REF!</definedName>
    <definedName name="____LOC25">'[4]MEDIÇAO 1'!#REF!</definedName>
    <definedName name="____LOC26">'[4]MEDIÇAO 1'!#REF!</definedName>
    <definedName name="____LOC27">'[4]MEDIÇAO 1'!#REF!</definedName>
    <definedName name="____LOC28">'[4]MEDIÇAO 1'!#REF!</definedName>
    <definedName name="____LOC29">'[4]MEDIÇAO 1'!#REF!</definedName>
    <definedName name="____LOC3">'[4]MEDIÇAO 1'!#REF!</definedName>
    <definedName name="____LOC30">'[4]MEDIÇAO 1'!#REF!</definedName>
    <definedName name="____LOC31">'[4]MEDIÇAO 1'!#REF!</definedName>
    <definedName name="____LOC32">'[4]MEDIÇAO 1'!#REF!</definedName>
    <definedName name="____LOC33">'[4]MEDIÇAO 1'!#REF!</definedName>
    <definedName name="____LOC34">'[4]MEDIÇAO 1'!#REF!</definedName>
    <definedName name="____LOC35">'[4]MEDIÇAO 1'!#REF!</definedName>
    <definedName name="____LOC36">'[4]MEDIÇAO 1'!#REF!</definedName>
    <definedName name="____LOC37">'[4]MEDIÇAO 1'!#REF!</definedName>
    <definedName name="____LOC38">'[4]MEDIÇAO 1'!#REF!</definedName>
    <definedName name="____LOC39">'[4]MEDIÇAO 1'!#REF!</definedName>
    <definedName name="____LOC4">'[4]MEDIÇAO 1'!#REF!</definedName>
    <definedName name="____LOC40">'[4]MEDIÇAO 1'!#REF!</definedName>
    <definedName name="____LOC41">'[4]MEDIÇAO 1'!#REF!</definedName>
    <definedName name="____LOC42">'[4]MEDIÇAO 1'!#REF!</definedName>
    <definedName name="____LOC5">'[4]MEDIÇAO 1'!#REF!</definedName>
    <definedName name="____LOC6">'[4]MEDIÇAO 1'!#REF!</definedName>
    <definedName name="____LOC7">'[4]MEDIÇAO 1'!#REF!</definedName>
    <definedName name="____LOC8">'[4]MEDIÇAO 1'!#REF!</definedName>
    <definedName name="____LOC9">'[4]MEDIÇAO 1'!#REF!</definedName>
    <definedName name="____MED1202">[3]FaixasCrit!#REF!</definedName>
    <definedName name="____MED1203">[3]FaixasCrit!#REF!</definedName>
    <definedName name="____MLH1">#REF!</definedName>
    <definedName name="____MLH2">#REF!</definedName>
    <definedName name="____MLH3">#REF!</definedName>
    <definedName name="____MP100">#REF!</definedName>
    <definedName name="____PL1">#REF!</definedName>
    <definedName name="____PU1">[12]Custo!#REF!</definedName>
    <definedName name="____R" localSheetId="2" hidden="1">{#N/A,#N/A,FALSE,"ORC-ACKE";#N/A,#N/A,FALSE,"RESUMO"}</definedName>
    <definedName name="____R" hidden="1">{#N/A,#N/A,FALSE,"ORC-ACKE";#N/A,#N/A,FALSE,"RESUMO"}</definedName>
    <definedName name="____REC3">#REF!</definedName>
    <definedName name="____REC35">#REF!</definedName>
    <definedName name="____REC4">#REF!</definedName>
    <definedName name="____REP1">#REF!</definedName>
    <definedName name="____REP15">#REF!</definedName>
    <definedName name="____REP2">#REF!</definedName>
    <definedName name="____SE2">#REF!</definedName>
    <definedName name="____TA1">[12]Custo!#REF!</definedName>
    <definedName name="____TA2">[12]Custo!#REF!</definedName>
    <definedName name="____tab0198">#REF!</definedName>
    <definedName name="____tab31">'[7]Tabela 31'!$A$1:$D$3166</definedName>
    <definedName name="____TAB32">#REF!</definedName>
    <definedName name="____TAB33">#REF!</definedName>
    <definedName name="____TAB34">#REF!</definedName>
    <definedName name="____VAX1">#REF!</definedName>
    <definedName name="____VAX2">#REF!</definedName>
    <definedName name="____VRL1">#REF!</definedName>
    <definedName name="____VRL2">#REF!</definedName>
    <definedName name="____VRL3">#REF!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1Excel_BuiltIn_Print_Titles_15_1_1_1_1">#REF!</definedName>
    <definedName name="___2Excel_BuiltIn_Print_Titles_16_1">#REF!</definedName>
    <definedName name="___3Excel_BuiltIn_Print_Titles_16_1_1_1">#REF!</definedName>
    <definedName name="___ANT1202">[3]FaixasCrit!#REF!</definedName>
    <definedName name="___ANT1203">[3]FaixasCrit!#REF!</definedName>
    <definedName name="___apf1">#REF!</definedName>
    <definedName name="___BXF1392">[6]CAMINHÕES!#REF!</definedName>
    <definedName name="___CAB1">#REF!</definedName>
    <definedName name="___cpf1">#REF!</definedName>
    <definedName name="___CRC7674">[6]CAMINHÕES!#REF!</definedName>
    <definedName name="___CRT2673">[6]CAMINHÕES!#REF!</definedName>
    <definedName name="___CUB01">[10]ORIGINAL!$AF$74:$AF$77</definedName>
    <definedName name="___htn1">#REF!</definedName>
    <definedName name="___inv2">'[11]MP+Insumos'!#REF!</definedName>
    <definedName name="___KA1">#REF!</definedName>
    <definedName name="___KA2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LOC1">#REF!</definedName>
    <definedName name="___LOC10">'[4]MEDIÇAO 1'!#REF!</definedName>
    <definedName name="___LOC11">'[4]MEDIÇAO 1'!#REF!</definedName>
    <definedName name="___LOC12">'[4]MEDIÇAO 1'!#REF!</definedName>
    <definedName name="___LOC13">'[4]MEDIÇAO 1'!#REF!</definedName>
    <definedName name="___LOC14">'[4]MEDIÇAO 1'!#REF!</definedName>
    <definedName name="___LOC15">'[4]MEDIÇAO 1'!#REF!</definedName>
    <definedName name="___LOC16">'[4]MEDIÇAO 1'!#REF!</definedName>
    <definedName name="___LOC17">'[4]MEDIÇAO 1'!#REF!</definedName>
    <definedName name="___LOC18">'[4]MEDIÇAO 1'!#REF!</definedName>
    <definedName name="___LOC19">'[4]MEDIÇAO 1'!#REF!</definedName>
    <definedName name="___LOC2">'[4]MEDIÇAO 1'!#REF!</definedName>
    <definedName name="___LOC20">'[4]MEDIÇAO 1'!#REF!</definedName>
    <definedName name="___LOC21">'[4]MEDIÇAO 1'!#REF!</definedName>
    <definedName name="___LOC22">'[4]MEDIÇAO 1'!#REF!</definedName>
    <definedName name="___LOC23">'[4]MEDIÇAO 1'!#REF!</definedName>
    <definedName name="___LOC24">'[4]MEDIÇAO 1'!#REF!</definedName>
    <definedName name="___LOC25">'[4]MEDIÇAO 1'!#REF!</definedName>
    <definedName name="___LOC26">'[4]MEDIÇAO 1'!#REF!</definedName>
    <definedName name="___LOC27">'[4]MEDIÇAO 1'!#REF!</definedName>
    <definedName name="___LOC28">'[4]MEDIÇAO 1'!#REF!</definedName>
    <definedName name="___LOC29">'[4]MEDIÇAO 1'!#REF!</definedName>
    <definedName name="___LOC3">'[4]MEDIÇAO 1'!#REF!</definedName>
    <definedName name="___LOC30">'[4]MEDIÇAO 1'!#REF!</definedName>
    <definedName name="___LOC31">'[4]MEDIÇAO 1'!#REF!</definedName>
    <definedName name="___LOC32">'[4]MEDIÇAO 1'!#REF!</definedName>
    <definedName name="___LOC33">'[4]MEDIÇAO 1'!#REF!</definedName>
    <definedName name="___LOC34">'[4]MEDIÇAO 1'!#REF!</definedName>
    <definedName name="___LOC35">'[4]MEDIÇAO 1'!#REF!</definedName>
    <definedName name="___LOC36">'[4]MEDIÇAO 1'!#REF!</definedName>
    <definedName name="___LOC37">'[4]MEDIÇAO 1'!#REF!</definedName>
    <definedName name="___LOC38">'[4]MEDIÇAO 1'!#REF!</definedName>
    <definedName name="___LOC39">'[4]MEDIÇAO 1'!#REF!</definedName>
    <definedName name="___LOC4">'[4]MEDIÇAO 1'!#REF!</definedName>
    <definedName name="___LOC40">'[4]MEDIÇAO 1'!#REF!</definedName>
    <definedName name="___LOC41">'[4]MEDIÇAO 1'!#REF!</definedName>
    <definedName name="___LOC42">'[4]MEDIÇAO 1'!#REF!</definedName>
    <definedName name="___LOC5">'[4]MEDIÇAO 1'!#REF!</definedName>
    <definedName name="___LOC6">'[4]MEDIÇAO 1'!#REF!</definedName>
    <definedName name="___LOC7">'[4]MEDIÇAO 1'!#REF!</definedName>
    <definedName name="___LOC8">'[4]MEDIÇAO 1'!#REF!</definedName>
    <definedName name="___LOC9">'[4]MEDIÇAO 1'!#REF!</definedName>
    <definedName name="___MED1202">[3]FaixasCrit!#REF!</definedName>
    <definedName name="___MED1203">[3]FaixasCrit!#REF!</definedName>
    <definedName name="___MP100">#REF!</definedName>
    <definedName name="___MTV1">[13]Plan1!$D$20:$G$41</definedName>
    <definedName name="___MTV2">[14]Plan1!$E$20:$H$37</definedName>
    <definedName name="___MTV3">[15]Plan1!$D$19:$G$32</definedName>
    <definedName name="___MTV4">[16]Plan1!$C$20:$F$29</definedName>
    <definedName name="___MTV5">[17]Plan1!$E$16:$G$20</definedName>
    <definedName name="___PL1">#REF!</definedName>
    <definedName name="___PU1">#REF!</definedName>
    <definedName name="___R" localSheetId="2" hidden="1">{#N/A,#N/A,FALSE,"ORC-ACKE";#N/A,#N/A,FALSE,"RESUMO"}</definedName>
    <definedName name="___R" hidden="1">{#N/A,#N/A,FALSE,"ORC-ACKE";#N/A,#N/A,FALSE,"RESUMO"}</definedName>
    <definedName name="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EC3">#REF!</definedName>
    <definedName name="___REC35">#REF!</definedName>
    <definedName name="___REC4">#REF!</definedName>
    <definedName name="___REP1">#REF!</definedName>
    <definedName name="___REP15">#REF!</definedName>
    <definedName name="___REP2">#REF!</definedName>
    <definedName name="___SE2">#REF!</definedName>
    <definedName name="___SE2A">#REF!</definedName>
    <definedName name="___TA1">#REF!</definedName>
    <definedName name="___TA2">#REF!</definedName>
    <definedName name="___tab0198">#REF!</definedName>
    <definedName name="___tab31">'[7]Tabela 31'!$A$1:$D$3166</definedName>
    <definedName name="___TAB32">#REF!</definedName>
    <definedName name="___TAB33">#REF!</definedName>
    <definedName name="___TAB34">#REF!</definedName>
    <definedName name="___VV9">#REF!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Excel_BuiltIn_Print_Area_3_1">#REF!</definedName>
    <definedName name="__1Excel_BuiltIn_Print_Titles_15_1_1_1_1">#REF!</definedName>
    <definedName name="__1Excel_BuiltIn_Print_Titles_16_1">(#REF!,#REF!)</definedName>
    <definedName name="__2Excel_BuiltIn_Print_Titles_16_1">#REF!</definedName>
    <definedName name="__2Excel_BuiltIn_Print_Titles_17_1">#REF!</definedName>
    <definedName name="__3Excel_BuiltIn_Print_Titles_16_1_1_1">#REF!</definedName>
    <definedName name="__3Excel_BuiltIn_Print_Titles_18_1">#REF!</definedName>
    <definedName name="__4Excel_BuiltIn_Print_Titles_17_1">(#REF!,#REF!)</definedName>
    <definedName name="__4Excel_BuiltIn_Print_Titles_19_1">#REF!</definedName>
    <definedName name="__5Excel_BuiltIn_Print_Titles_18_1">#REF!</definedName>
    <definedName name="__5Excel_BuiltIn_Print_Titles_21_1_1_1">#REF!</definedName>
    <definedName name="__6Excel_BuiltIn_Print_Titles_19_1">#REF!</definedName>
    <definedName name="__7Excel_BuiltIn_Print_Titles_21_1_1_1">#REF!</definedName>
    <definedName name="__A1">#REF!</definedName>
    <definedName name="__ANT1202">[3]FaixasCrit!#REF!</definedName>
    <definedName name="__ANT1203">[3]FaixasCrit!#REF!</definedName>
    <definedName name="__apf1">#REF!</definedName>
    <definedName name="__BXF1392">[6]CAMINHÕES!#REF!</definedName>
    <definedName name="__CAB1">#REF!</definedName>
    <definedName name="__cpf1">#REF!</definedName>
    <definedName name="__CRC7674">[6]CAMINHÕES!#REF!</definedName>
    <definedName name="__CRT2673">[6]CAMINHÕES!#REF!</definedName>
    <definedName name="__CUB01">[18]ORIGINAL!$AF$74:$AF$77</definedName>
    <definedName name="__htm2">#REF!</definedName>
    <definedName name="__htn1">#REF!</definedName>
    <definedName name="__htn2">#REF!</definedName>
    <definedName name="__inv2">'[11]MP+Insumos'!#REF!</definedName>
    <definedName name="__iss2">#REF!</definedName>
    <definedName name="__KA1">#REF!</definedName>
    <definedName name="__KA2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LOC1">#REF!</definedName>
    <definedName name="__LOC10">'[4]MEDIÇAO 1'!#REF!</definedName>
    <definedName name="__LOC11">'[4]MEDIÇAO 1'!#REF!</definedName>
    <definedName name="__LOC12">'[4]MEDIÇAO 1'!#REF!</definedName>
    <definedName name="__LOC13">'[4]MEDIÇAO 1'!#REF!</definedName>
    <definedName name="__LOC14">'[4]MEDIÇAO 1'!#REF!</definedName>
    <definedName name="__LOC15">'[4]MEDIÇAO 1'!#REF!</definedName>
    <definedName name="__LOC16">'[4]MEDIÇAO 1'!#REF!</definedName>
    <definedName name="__LOC17">'[4]MEDIÇAO 1'!#REF!</definedName>
    <definedName name="__LOC18">'[4]MEDIÇAO 1'!#REF!</definedName>
    <definedName name="__LOC19">'[4]MEDIÇAO 1'!#REF!</definedName>
    <definedName name="__LOC2">'[4]MEDIÇAO 1'!#REF!</definedName>
    <definedName name="__LOC20">'[4]MEDIÇAO 1'!#REF!</definedName>
    <definedName name="__LOC21">'[4]MEDIÇAO 1'!#REF!</definedName>
    <definedName name="__LOC22">'[4]MEDIÇAO 1'!#REF!</definedName>
    <definedName name="__LOC23">'[4]MEDIÇAO 1'!#REF!</definedName>
    <definedName name="__LOC24">'[4]MEDIÇAO 1'!#REF!</definedName>
    <definedName name="__LOC25">'[4]MEDIÇAO 1'!#REF!</definedName>
    <definedName name="__LOC26">'[4]MEDIÇAO 1'!#REF!</definedName>
    <definedName name="__LOC27">'[4]MEDIÇAO 1'!#REF!</definedName>
    <definedName name="__LOC28">'[4]MEDIÇAO 1'!#REF!</definedName>
    <definedName name="__LOC29">'[4]MEDIÇAO 1'!#REF!</definedName>
    <definedName name="__LOC3">'[4]MEDIÇAO 1'!#REF!</definedName>
    <definedName name="__LOC30">'[4]MEDIÇAO 1'!#REF!</definedName>
    <definedName name="__LOC31">'[4]MEDIÇAO 1'!#REF!</definedName>
    <definedName name="__LOC32">'[4]MEDIÇAO 1'!#REF!</definedName>
    <definedName name="__LOC33">'[4]MEDIÇAO 1'!#REF!</definedName>
    <definedName name="__LOC34">'[4]MEDIÇAO 1'!#REF!</definedName>
    <definedName name="__LOC35">'[4]MEDIÇAO 1'!#REF!</definedName>
    <definedName name="__LOC36">'[4]MEDIÇAO 1'!#REF!</definedName>
    <definedName name="__LOC37">'[4]MEDIÇAO 1'!#REF!</definedName>
    <definedName name="__LOC38">'[4]MEDIÇAO 1'!#REF!</definedName>
    <definedName name="__LOC39">'[4]MEDIÇAO 1'!#REF!</definedName>
    <definedName name="__LOC4">'[4]MEDIÇAO 1'!#REF!</definedName>
    <definedName name="__LOC40">'[4]MEDIÇAO 1'!#REF!</definedName>
    <definedName name="__LOC41">'[4]MEDIÇAO 1'!#REF!</definedName>
    <definedName name="__LOC42">'[4]MEDIÇAO 1'!#REF!</definedName>
    <definedName name="__LOC5">'[4]MEDIÇAO 1'!#REF!</definedName>
    <definedName name="__LOC6">'[4]MEDIÇAO 1'!#REF!</definedName>
    <definedName name="__LOC7">'[4]MEDIÇAO 1'!#REF!</definedName>
    <definedName name="__LOC8">'[4]MEDIÇAO 1'!#REF!</definedName>
    <definedName name="__LOC9">'[4]MEDIÇAO 1'!#REF!</definedName>
    <definedName name="__MED1202">[3]FaixasCrit!#REF!</definedName>
    <definedName name="__MED1203">[3]FaixasCrit!#REF!</definedName>
    <definedName name="__MTV1">[13]Plan1!$D$20:$G$41</definedName>
    <definedName name="__MTV2">[14]Plan1!$E$20:$H$37</definedName>
    <definedName name="__MTV3">[15]Plan1!$D$19:$G$32</definedName>
    <definedName name="__MTV4">[16]Plan1!$C$20:$F$29</definedName>
    <definedName name="__MTV5">[17]Plan1!$E$16:$G$20</definedName>
    <definedName name="__MX1">#REF!</definedName>
    <definedName name="__MX2">#REF!</definedName>
    <definedName name="__MX3">#REF!</definedName>
    <definedName name="__MX4">#REF!</definedName>
    <definedName name="__MX5">#REF!</definedName>
    <definedName name="__MX6">#REF!</definedName>
    <definedName name="__MX7">#REF!</definedName>
    <definedName name="__MX8">#REF!</definedName>
    <definedName name="__MX9">#REF!</definedName>
    <definedName name="__MZ1">#REF!</definedName>
    <definedName name="__MZ2">#REF!</definedName>
    <definedName name="__MZ3">#REF!</definedName>
    <definedName name="__OR1">'[19]orcID nº1'!$A$14:$G$1025</definedName>
    <definedName name="__OR12">'[19]orc ID nº12'!$A$16:$G$181</definedName>
    <definedName name="__OR13">'[19]orc ID nº13'!$A$13:$G$34</definedName>
    <definedName name="__OR14">'[19]orc ID nº 14'!$A$14:$G$16</definedName>
    <definedName name="__OR15">'[19]orc ID nº 15'!$A$14:$G$104</definedName>
    <definedName name="__OR16">'[19]orc ID nº16'!$A$14:$G$33</definedName>
    <definedName name="__OR17">'[19]orc ID nº17'!$A$16:$G$80</definedName>
    <definedName name="__OR18">'[19]orc ID nº 18'!$A$14:$G$123</definedName>
    <definedName name="__OR19">'[19]orc ID nº19'!$A$14:$G$96</definedName>
    <definedName name="__OR2">'[19]orc ID nº2 '!$A$14:$G$70</definedName>
    <definedName name="__OR3">'[19]orc ID nº3'!$A$14:$G$134</definedName>
    <definedName name="__OR4">'[19]orcID nº4'!$A$14:$G$165</definedName>
    <definedName name="__OR5">'[19]orcID nº5'!$A$14:$G$149</definedName>
    <definedName name="__OR6">'[19]orcID nº6'!$A$14:$G$138</definedName>
    <definedName name="__OR7">'[19]orcID nº7'!$A$14:$G$137</definedName>
    <definedName name="__OR8">'[19]orc ID nº8'!$A$14:$G$133</definedName>
    <definedName name="__OR9">'[19]orc ID nº9'!$A$14:$G$157</definedName>
    <definedName name="__PRE010206">#REF!</definedName>
    <definedName name="__PU1">[8]OBRJU95!#REF!</definedName>
    <definedName name="__R">#REF!</definedName>
    <definedName name="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EC13112">#REF!</definedName>
    <definedName name="__REC3">#REF!</definedName>
    <definedName name="__REC35">#REF!</definedName>
    <definedName name="__REC4">#REF!</definedName>
    <definedName name="__REP1">#REF!</definedName>
    <definedName name="__REP15">#REF!</definedName>
    <definedName name="__REP2">#REF!</definedName>
    <definedName name="__SE2">#REF!</definedName>
    <definedName name="__siv1">#REF!</definedName>
    <definedName name="__TA1">[8]OBRJU95!#REF!</definedName>
    <definedName name="__TA2">[8]OBRJU95!#REF!</definedName>
    <definedName name="__tab0198">'[20]DER janeiro98'!$A$1:$D$810</definedName>
    <definedName name="__tab31">'[21]Tabela 31'!$A$1:$D$3166</definedName>
    <definedName name="__TAB32">#REF!</definedName>
    <definedName name="__TAB33">#REF!</definedName>
    <definedName name="__TAB34">#REF!</definedName>
    <definedName name="__TT102">'[22]Relatório-1ª med.'!#REF!</definedName>
    <definedName name="__TT107">'[22]Relatório-1ª med.'!#REF!</definedName>
    <definedName name="__TT121">'[22]Relatório-1ª med.'!#REF!</definedName>
    <definedName name="__TT123">'[22]Relatório-1ª med.'!#REF!</definedName>
    <definedName name="__TT19">'[22]Relatório-1ª med.'!#REF!</definedName>
    <definedName name="__TT20">'[22]Relatório-1ª med.'!#REF!</definedName>
    <definedName name="__TT21">'[22]Relatório-1ª med.'!#REF!</definedName>
    <definedName name="__TT22">'[22]Relatório-1ª med.'!#REF!</definedName>
    <definedName name="__TT26">'[22]Relatório-1ª med.'!#REF!</definedName>
    <definedName name="__TT27">'[22]Relatório-1ª med.'!#REF!</definedName>
    <definedName name="__TT28">'[22]Relatório-1ª med.'!#REF!</definedName>
    <definedName name="__TT30">'[22]Relatório-1ª med.'!#REF!</definedName>
    <definedName name="__TT31">'[22]Relatório-1ª med.'!#REF!</definedName>
    <definedName name="__TT32">'[22]Relatório-1ª med.'!#REF!</definedName>
    <definedName name="__TT33">'[22]Relatório-1ª med.'!#REF!</definedName>
    <definedName name="__TT34">'[22]Relatório-1ª med.'!#REF!</definedName>
    <definedName name="__TT36">'[22]Relatório-1ª med.'!#REF!</definedName>
    <definedName name="__TT37">'[22]Relatório-1ª med.'!#REF!</definedName>
    <definedName name="__TT38">'[22]Relatório-1ª med.'!#REF!</definedName>
    <definedName name="__TT39">'[22]Relatório-1ª med.'!#REF!</definedName>
    <definedName name="__TT40">'[22]Relatório-1ª med.'!#REF!</definedName>
    <definedName name="__TT5">'[22]Relatório-1ª med.'!#REF!</definedName>
    <definedName name="__TT52">'[22]Relatório-1ª med.'!#REF!</definedName>
    <definedName name="__TT53">'[22]Relatório-1ª med.'!#REF!</definedName>
    <definedName name="__TT54">'[22]Relatório-1ª med.'!#REF!</definedName>
    <definedName name="__TT55">'[22]Relatório-1ª med.'!#REF!</definedName>
    <definedName name="__TT6">'[22]Relatório-1ª med.'!#REF!</definedName>
    <definedName name="__TT60">'[22]Relatório-1ª med.'!#REF!</definedName>
    <definedName name="__TT61">'[22]Relatório-1ª med.'!#REF!</definedName>
    <definedName name="__TT69">'[22]Relatório-1ª med.'!#REF!</definedName>
    <definedName name="__TT7">'[22]Relatório-1ª med.'!#REF!</definedName>
    <definedName name="__TT70">'[22]Relatório-1ª med.'!#REF!</definedName>
    <definedName name="__TT71">'[22]Relatório-1ª med.'!#REF!</definedName>
    <definedName name="__TT74">'[22]Relatório-1ª med.'!#REF!</definedName>
    <definedName name="__TT75">'[22]Relatório-1ª med.'!#REF!</definedName>
    <definedName name="__TT76">'[22]Relatório-1ª med.'!#REF!</definedName>
    <definedName name="__TT77">'[22]Relatório-1ª med.'!#REF!</definedName>
    <definedName name="__TT78">'[22]Relatório-1ª med.'!#REF!</definedName>
    <definedName name="__TT79">'[22]Relatório-1ª med.'!#REF!</definedName>
    <definedName name="__TT94">'[22]Relatório-1ª med.'!#REF!</definedName>
    <definedName name="__TT95">'[22]Relatório-1ª med.'!#REF!</definedName>
    <definedName name="__TT97">'[22]Relatório-1ª med.'!#REF!</definedName>
    <definedName name="__UNI13112">#REF!</definedName>
    <definedName name="__VAL13112">#REF!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_xlfn_AGGREGATE">NA()</definedName>
    <definedName name="__xlfn_COUNTIFS">NA()</definedName>
    <definedName name="__xlfn_CUBEVALUE">NA()</definedName>
    <definedName name="__xlfn_IFERROR">NA()</definedName>
    <definedName name="__xlnm._FilterDatabase">#REF!</definedName>
    <definedName name="__xlnm._FilterDatabase_1">#REF!</definedName>
    <definedName name="__xlnm.Criteria">#REF!</definedName>
    <definedName name="__xlnm.Print_Titles">#REF!</definedName>
    <definedName name="_0.CURVA_OBRA">#REF!</definedName>
    <definedName name="_00.VAR._GASTO">#REF!</definedName>
    <definedName name="_000.CURVA_FINA">#REF!</definedName>
    <definedName name="_01.01.01">#REF!</definedName>
    <definedName name="_1__123Graph_ACHART_1" hidden="1">#REF!</definedName>
    <definedName name="_1_3">#REF!</definedName>
    <definedName name="_10Excel_BuiltIn_Print_Area_5_1_1">#REF!</definedName>
    <definedName name="_10Excel_BuiltIn_Print_Titles_16_1">(#REF!,#REF!)</definedName>
    <definedName name="_10Excel_BuiltIn_Print_Titles_17_1">(#REF!,#REF!)</definedName>
    <definedName name="_11.SERV.TECNIC">#REF!</definedName>
    <definedName name="_11Excel_BuiltIn_Print_Titles_18_1">#REF!</definedName>
    <definedName name="_11Sin_nombre">#REF!</definedName>
    <definedName name="_12.GAST_GERAIS">#REF!</definedName>
    <definedName name="_12Excel_BuiltIn_Print_Titles_17_1">(#REF!,#REF!)</definedName>
    <definedName name="_12Excel_BuiltIn_Print_Titles_19_1">#REF!</definedName>
    <definedName name="_13.P._PERMAN.">#REF!</definedName>
    <definedName name="_13Excel_BuiltIn_Print_Titles_21_1_1_1">#REF!</definedName>
    <definedName name="_14Excel_BuiltIn_Print_Titles_21_1_1_1">#REF!</definedName>
    <definedName name="_15.IMPL._CANT">#REF!</definedName>
    <definedName name="_15Excel_BuiltIn_Print_Titles_17_1">#REF!</definedName>
    <definedName name="_16.EQUIPAM.">#REF!</definedName>
    <definedName name="_16Excel_BuiltIn_Print_Titles_18_1">#REF!</definedName>
    <definedName name="_17.OPER._CANT.">#REF!</definedName>
    <definedName name="_17Excel_BuiltIn_Print_Titles_18_1">(#REF!,#REF!)</definedName>
    <definedName name="_17Excel_BuiltIn_Print_Titles_19_1">#REF!</definedName>
    <definedName name="_18Excel_BuiltIn_Print_Titles_21_1_1_1">#REF!</definedName>
    <definedName name="_19.TRANC_LIMP.">#REF!</definedName>
    <definedName name="_1ESQ_MADEIRA">#N/A</definedName>
    <definedName name="_1Excel_BuiltIn_Print_Area_1_1">[23]PQP!$A$1:$G$30</definedName>
    <definedName name="_1Excel_BuiltIn_Print_Area_3_1">#REF!</definedName>
    <definedName name="_1Excel_BuiltIn_Print_Titles_1_1">#REF!</definedName>
    <definedName name="_1Excel_BuiltIn_Print_Titles_15_1_1_1_1">#REF!</definedName>
    <definedName name="_1Excel_BuiltIn_Print_Titles_16_1">(#REF!,#REF!)</definedName>
    <definedName name="_20Excel_BuiltIn_Print_Titles_17_1">(#REF!,#REF!)</definedName>
    <definedName name="_22Excel_BuiltIn_Print_Titles_19_1">(#REF!,#REF!)</definedName>
    <definedName name="_23Excel_BuiltIn_Print_Titles_17_1">#REF!</definedName>
    <definedName name="_24Excel_BuiltIn_Print_Titles_18_1">#REF!</definedName>
    <definedName name="_25.PREP.TERREN">#REF!</definedName>
    <definedName name="_25Excel_BuiltIn_Print_Titles_19_1">#REF!</definedName>
    <definedName name="_26Excel_BuiltIn_Print_Titles_21_1_1_1">#REF!</definedName>
    <definedName name="_27.FUND._ESCOR">#REF!</definedName>
    <definedName name="_27Excel_BuiltIn_Print_Titles_21_1_1_1">(#REF!,#REF!)</definedName>
    <definedName name="_2ESQ_METÁL">#N/A</definedName>
    <definedName name="_2Excel_BuiltIn_Print_Area_1_1_1">#REF!</definedName>
    <definedName name="_2Excel_BuiltIn_Print_Titles_15_1_1_1_1">#REF!</definedName>
    <definedName name="_2Excel_BuiltIn_Print_Titles_16_1">(#REF!,#REF!)</definedName>
    <definedName name="_2Excel_BuiltIn_Print_Titles_17_1">(#REF!,#REF!)</definedName>
    <definedName name="_30_05_2002">"maio"</definedName>
    <definedName name="_306.016">#REF!</definedName>
    <definedName name="_30Excel_BuiltIn_Print_Titles_18_1">(#REF!,#REF!)</definedName>
    <definedName name="_31_32_33.C_A">#REF!</definedName>
    <definedName name="_3Excel_BuiltIn_Print_Area_1_1_1_1">#REF!</definedName>
    <definedName name="_3Excel_BuiltIn_Print_Titles_16_1_1_1">#REF!</definedName>
    <definedName name="_3Excel_BuiltIn_Print_Titles_18_1">(#REF!,#REF!)</definedName>
    <definedName name="_3REV_PAREDES">#N/A</definedName>
    <definedName name="_40Excel_BuiltIn_Print_Titles_19_1">(#REF!,#REF!)</definedName>
    <definedName name="_41.ALVENARIA">#REF!</definedName>
    <definedName name="_47.IMP._ISOLA.">#REF!</definedName>
    <definedName name="_4Excel_BuiltIn_Print_Area_1_1_1_1_1">#REF!</definedName>
    <definedName name="_4Excel_BuiltIn_Print_Titles_16_1">#REF!</definedName>
    <definedName name="_4Excel_BuiltIn_Print_Titles_17_1">(#REF!,#REF!)</definedName>
    <definedName name="_4Excel_BuiltIn_Print_Titles_19_1">(#REF!,#REF!)</definedName>
    <definedName name="_4REV_PISOS">#N/A</definedName>
    <definedName name="_50Excel_BuiltIn_Print_Titles_21_1_1_1">(#REF!,#REF!)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5Excel_BuiltIn_Print_Area_1_1_1_1_1_1">[24]PQP!$A$1:$H$19</definedName>
    <definedName name="_5Excel_BuiltIn_Print_Titles_17_1">(#REF!,#REF!)</definedName>
    <definedName name="_5Excel_BuiltIn_Print_Titles_18_1">(#REF!,#REF!)</definedName>
    <definedName name="_5Excel_BuiltIn_Print_Titles_21_1_1_1">(#REF!,#REF!)</definedName>
    <definedName name="_61.ESQUAD._MAD">#REF!</definedName>
    <definedName name="_63.ESQUAD._ALU">#REF!</definedName>
    <definedName name="_65.ESQUAD._FER">#REF!</definedName>
    <definedName name="_67.VIDROS">#REF!</definedName>
    <definedName name="_6Excel_BuiltIn_Print_Area_1_1_1_1_1_1_1">[23]PQP!$A$1:$G$70</definedName>
    <definedName name="_6Excel_BuiltIn_Print_Titles_16_1">(#REF!,#REF!)</definedName>
    <definedName name="_6Excel_BuiltIn_Print_Titles_16_1_1_1">#REF!</definedName>
    <definedName name="_6Excel_BuiltIn_Print_Titles_18_1">#REF!</definedName>
    <definedName name="_6Excel_BuiltIn_Print_Titles_19_1">(#REF!,#REF!)</definedName>
    <definedName name="_71_73.I.ELET_H">#REF!</definedName>
    <definedName name="_77.OUTRAS_INST.">#REF!</definedName>
    <definedName name="_78.ELEVADORES">#REF!</definedName>
    <definedName name="_7Excel_BuiltIn_Print_Area_1_1_1_1_1_1_1_1">#REF!</definedName>
    <definedName name="_7Excel_BuiltIn_Print_Titles_16_1_1_1">#REF!</definedName>
    <definedName name="_7Excel_BuiltIn_Print_Titles_19_1">#REF!</definedName>
    <definedName name="_7Excel_BuiltIn_Print_Titles_21_1_1_1">(#REF!,#REF!)</definedName>
    <definedName name="_81.APAR._SANIT">#REF!</definedName>
    <definedName name="_83_85.PINT_LIM">#REF!</definedName>
    <definedName name="_8Excel_BuiltIn_Print_Area_1_1_1_1_1_1_1_1_1">#REF!</definedName>
    <definedName name="_8Excel_BuiltIn_Print_Titles_17_1">#REF!</definedName>
    <definedName name="_8Excel_BuiltIn_Print_Titles_21_1_1_1">#REF!</definedName>
    <definedName name="_9Excel_BuiltIn_Print_Area_5_1">#REF!</definedName>
    <definedName name="_a" localSheetId="21">#REF!</definedName>
    <definedName name="_a">NA()</definedName>
    <definedName name="_a_1">#REF!</definedName>
    <definedName name="_A1">#REF!</definedName>
    <definedName name="_ANT1202">[3]FaixasCrit!#REF!</definedName>
    <definedName name="_ANT1203">[3]FaixasCrit!#REF!</definedName>
    <definedName name="_apf1">#REF!</definedName>
    <definedName name="_AUX1">#REF!</definedName>
    <definedName name="_aux2">#REF!</definedName>
    <definedName name="_aux9000">#REF!</definedName>
    <definedName name="_BDI1">#REF!</definedName>
    <definedName name="_BDI2">#REF!</definedName>
    <definedName name="_BXF1392">[6]CAMINHÕES!#REF!</definedName>
    <definedName name="_cab1">#REF!</definedName>
    <definedName name="_CEN30" localSheetId="2" hidden="1">{#N/A,#N/A,FALSE,"SIM95"}</definedName>
    <definedName name="_CEN30" hidden="1">{#N/A,#N/A,FALSE,"SIM95"}</definedName>
    <definedName name="_CEN300" localSheetId="2" hidden="1">{#N/A,#N/A,FALSE,"SIM95"}</definedName>
    <definedName name="_CEN300" hidden="1">{#N/A,#N/A,FALSE,"SIM95"}</definedName>
    <definedName name="_cen301" localSheetId="2" hidden="1">{#N/A,#N/A,FALSE,"SIM95"}</definedName>
    <definedName name="_cen301" hidden="1">{#N/A,#N/A,FALSE,"SIM95"}</definedName>
    <definedName name="_cen31" localSheetId="2" hidden="1">{#N/A,#N/A,FALSE,"SIM95"}</definedName>
    <definedName name="_cen31" hidden="1">{#N/A,#N/A,FALSE,"SIM95"}</definedName>
    <definedName name="_COM010201">#REF!</definedName>
    <definedName name="_COM010202">#REF!</definedName>
    <definedName name="_COM010205">#REF!</definedName>
    <definedName name="_COM010206">#REF!</definedName>
    <definedName name="_COM010210">#REF!</definedName>
    <definedName name="_COM010301">#REF!</definedName>
    <definedName name="_COM010401">#REF!</definedName>
    <definedName name="_COM010402">#REF!</definedName>
    <definedName name="_COM010407">#REF!</definedName>
    <definedName name="_COM010413">#REF!</definedName>
    <definedName name="_COM010501">#REF!</definedName>
    <definedName name="_COM010503">#REF!</definedName>
    <definedName name="_COM010505">#REF!</definedName>
    <definedName name="_COM010509">#REF!</definedName>
    <definedName name="_COM010512">#REF!</definedName>
    <definedName name="_COM010518">#REF!</definedName>
    <definedName name="_COM010519">#REF!</definedName>
    <definedName name="_COM010521">#REF!</definedName>
    <definedName name="_COM010523">#REF!</definedName>
    <definedName name="_COM010532">#REF!</definedName>
    <definedName name="_COM010533">#REF!</definedName>
    <definedName name="_COM010536">#REF!</definedName>
    <definedName name="_COM010701">#REF!</definedName>
    <definedName name="_COM010703">#REF!</definedName>
    <definedName name="_COM010705">#REF!</definedName>
    <definedName name="_COM010708">#REF!</definedName>
    <definedName name="_COM010710">#REF!</definedName>
    <definedName name="_COM010712">#REF!</definedName>
    <definedName name="_COM010717">#REF!</definedName>
    <definedName name="_COM010718">#REF!</definedName>
    <definedName name="_COM020201">#REF!</definedName>
    <definedName name="_COM020205">#REF!</definedName>
    <definedName name="_COM020211">#REF!</definedName>
    <definedName name="_COM020217">#REF!</definedName>
    <definedName name="_COM030102">#REF!</definedName>
    <definedName name="_COM030201">#REF!</definedName>
    <definedName name="_COM030303">#REF!</definedName>
    <definedName name="_COM030317">#REF!</definedName>
    <definedName name="_COM040101">#REF!</definedName>
    <definedName name="_COM040202">#REF!</definedName>
    <definedName name="_COM050103">#REF!</definedName>
    <definedName name="_COM050207">#REF!</definedName>
    <definedName name="_COM060101">#REF!</definedName>
    <definedName name="_COM080101">#REF!</definedName>
    <definedName name="_COM080310">#REF!</definedName>
    <definedName name="_COM090101">#REF!</definedName>
    <definedName name="_COM100302">#REF!</definedName>
    <definedName name="_COM110101">#REF!</definedName>
    <definedName name="_COM110104">#REF!</definedName>
    <definedName name="_COM110107">#REF!</definedName>
    <definedName name="_COM120101">#REF!</definedName>
    <definedName name="_COM120105">#REF!</definedName>
    <definedName name="_COM120106">#REF!</definedName>
    <definedName name="_COM120107">#REF!</definedName>
    <definedName name="_COM120110">#REF!</definedName>
    <definedName name="_COM120150">#REF!</definedName>
    <definedName name="_COM130101">#REF!</definedName>
    <definedName name="_COM130103">#REF!</definedName>
    <definedName name="_COM130304">#REF!</definedName>
    <definedName name="_COM130401">#REF!</definedName>
    <definedName name="_COM140102">#REF!</definedName>
    <definedName name="_COM140109">#REF!</definedName>
    <definedName name="_COM140113">#REF!</definedName>
    <definedName name="_COM140122">#REF!</definedName>
    <definedName name="_COM140126">#REF!</definedName>
    <definedName name="_COM140129">#REF!</definedName>
    <definedName name="_COM140135">#REF!</definedName>
    <definedName name="_COM140143">#REF!</definedName>
    <definedName name="_COM140145">#REF!</definedName>
    <definedName name="_COM150130">#REF!</definedName>
    <definedName name="_COM170101">#REF!</definedName>
    <definedName name="_COM170102">#REF!</definedName>
    <definedName name="_COM170103">#REF!</definedName>
    <definedName name="_compila">#REF!</definedName>
    <definedName name="_cpf1">#REF!</definedName>
    <definedName name="_CPU04">#REF!</definedName>
    <definedName name="_CRC7674">[6]CAMINHÕES!#REF!</definedName>
    <definedName name="_CRT2673">[6]CAMINHÕES!#REF!</definedName>
    <definedName name="_CTD1">#REF!</definedName>
    <definedName name="_CUB01">[18]ORIGINAL!$AF$74:$AF$77</definedName>
    <definedName name="_dre1">#REF!</definedName>
    <definedName name="_ep1" localSheetId="2" hidden="1">{#N/A,#N/A,FALSE,"CONTROLE"}</definedName>
    <definedName name="_ep1" hidden="1">{#N/A,#N/A,FALSE,"CONTROLE"}</definedName>
    <definedName name="_Fill" hidden="1">#REF!</definedName>
    <definedName name="_fill1" hidden="1">#REF!</definedName>
    <definedName name="_xlnm._FilterDatabase" localSheetId="14" hidden="1">Calendário!$B$21:$J$1847</definedName>
    <definedName name="_xlnm._FilterDatabase" localSheetId="21" hidden="1">'Resumo de Tributação'!$A$3:$P$16</definedName>
    <definedName name="_xlnm._FilterDatabase" localSheetId="3" hidden="1">Tarefas!$A$30:$GK$30</definedName>
    <definedName name="_xlnm._FilterDatabase" hidden="1">#REF!</definedName>
    <definedName name="_FT08" hidden="1">"3OYHDJRF05V1IN1D1R6C32J5E"</definedName>
    <definedName name="_GLB2">#REF!</definedName>
    <definedName name="_GSRATES_1" hidden="1">"CT30000119991231        "</definedName>
    <definedName name="_GSRATES_2" hidden="1">"CT30000120000516        "</definedName>
    <definedName name="_GSRATES_3" hidden="1">"CT30000119991231        "</definedName>
    <definedName name="_GSRATES_4" hidden="1">"CT30000119981231        "</definedName>
    <definedName name="_GSRATES_5" hidden="1">"CT30000119981231        "</definedName>
    <definedName name="_GSRATES_6" hidden="1">"CT30000120000517        "</definedName>
    <definedName name="_GSRATES_7" hidden="1">"CT30000120000331        "</definedName>
    <definedName name="_GSRATES_COUNT" hidden="1">7</definedName>
    <definedName name="_GSRATESR_1" hidden="1">#REF!</definedName>
    <definedName name="_GSRATESR_2" hidden="1">#REF!</definedName>
    <definedName name="_GSRATESR_3" hidden="1">#REF!</definedName>
    <definedName name="_GSRATESR_4" hidden="1">#REF!</definedName>
    <definedName name="_GSRATESR_5" hidden="1">#REF!</definedName>
    <definedName name="_GSRATESR_6" hidden="1">#REF!</definedName>
    <definedName name="_GSRATESR_7" hidden="1">#REF!</definedName>
    <definedName name="_htm2">#REF!</definedName>
    <definedName name="_htn1">#REF!</definedName>
    <definedName name="_htn2">#REF!</definedName>
    <definedName name="_i3">#REF!</definedName>
    <definedName name="_inv2">'[11]MP+Insumos'!#REF!</definedName>
    <definedName name="_iss2">#REF!</definedName>
    <definedName name="_jkhjk" localSheetId="2" hidden="1">{#N/A,#N/A,FALSE,"Bericht 2";#N/A,#N/A,FALSE,"Bericht 3";#N/A,#N/A,FALSE,"Bericht 1"}</definedName>
    <definedName name="_jkhjk" hidden="1">{#N/A,#N/A,FALSE,"Bericht 2";#N/A,#N/A,FALSE,"Bericht 3";#N/A,#N/A,FALSE,"Bericht 1"}</definedName>
    <definedName name="_jkhjk1" localSheetId="2" hidden="1">{#N/A,#N/A,FALSE,"Bericht 2";#N/A,#N/A,FALSE,"Bericht 3";#N/A,#N/A,FALSE,"Bericht 1"}</definedName>
    <definedName name="_jkhjk1" hidden="1">{#N/A,#N/A,FALSE,"Bericht 2";#N/A,#N/A,FALSE,"Bericht 3";#N/A,#N/A,FALSE,"Bericht 1"}</definedName>
    <definedName name="_KA1">#REF!</definedName>
    <definedName name="_KA2">#REF!</definedName>
    <definedName name="_Key1" hidden="1">#REF!</definedName>
    <definedName name="_Key2" hidden="1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LOC1">#REF!</definedName>
    <definedName name="_LOC10">#REF!</definedName>
    <definedName name="_LOC11">#REF!</definedName>
    <definedName name="_LOC12">#REF!</definedName>
    <definedName name="_LOC13">#REF!</definedName>
    <definedName name="_LOC14">#REF!</definedName>
    <definedName name="_LOC15">#REF!</definedName>
    <definedName name="_LOC16">#REF!</definedName>
    <definedName name="_LOC17">#REF!</definedName>
    <definedName name="_LOC18">#REF!</definedName>
    <definedName name="_LOC19">#REF!</definedName>
    <definedName name="_LOC2">#REF!</definedName>
    <definedName name="_LOC20">#REF!</definedName>
    <definedName name="_LOC21">#REF!</definedName>
    <definedName name="_LOC22">#REF!</definedName>
    <definedName name="_LOC23">#REF!</definedName>
    <definedName name="_LOC24">#REF!</definedName>
    <definedName name="_LOC25">#REF!</definedName>
    <definedName name="_LOC26">#REF!</definedName>
    <definedName name="_LOC27">#REF!</definedName>
    <definedName name="_LOC28">#REF!</definedName>
    <definedName name="_LOC29">#REF!</definedName>
    <definedName name="_LOC3">#REF!</definedName>
    <definedName name="_LOC30">#REF!</definedName>
    <definedName name="_LOC31">#REF!</definedName>
    <definedName name="_LOC32">#REF!</definedName>
    <definedName name="_LOC33">#REF!</definedName>
    <definedName name="_LOC34">#REF!</definedName>
    <definedName name="_LOC35">#REF!</definedName>
    <definedName name="_LOC36">#REF!</definedName>
    <definedName name="_LOC37">#REF!</definedName>
    <definedName name="_LOC38">#REF!</definedName>
    <definedName name="_LOC39">#REF!</definedName>
    <definedName name="_LOC4">#REF!</definedName>
    <definedName name="_LOC40">#REF!</definedName>
    <definedName name="_LOC41">#REF!</definedName>
    <definedName name="_LOC42">#REF!</definedName>
    <definedName name="_LOC5">#REF!</definedName>
    <definedName name="_LOC6">#REF!</definedName>
    <definedName name="_LOC7">#REF!</definedName>
    <definedName name="_LOC8">#REF!</definedName>
    <definedName name="_LOC9">#REF!</definedName>
    <definedName name="_MA0001">#REF!</definedName>
    <definedName name="_MAO010201">#REF!</definedName>
    <definedName name="_MAO010202">#REF!</definedName>
    <definedName name="_MAO010205">#REF!</definedName>
    <definedName name="_MAO010206">#REF!</definedName>
    <definedName name="_MAO010210">#REF!</definedName>
    <definedName name="_MAO010401">#REF!</definedName>
    <definedName name="_MAO010402">#REF!</definedName>
    <definedName name="_MAO010407">#REF!</definedName>
    <definedName name="_MAO010413">#REF!</definedName>
    <definedName name="_MAO010501">#REF!</definedName>
    <definedName name="_MAO010503">#REF!</definedName>
    <definedName name="_MAO010505">#REF!</definedName>
    <definedName name="_MAO010509">#REF!</definedName>
    <definedName name="_MAO010512">#REF!</definedName>
    <definedName name="_MAO010518">#REF!</definedName>
    <definedName name="_MAO010519">#REF!</definedName>
    <definedName name="_MAO010521">#REF!</definedName>
    <definedName name="_MAO010523">#REF!</definedName>
    <definedName name="_MAO010532">#REF!</definedName>
    <definedName name="_MAO010533">#REF!</definedName>
    <definedName name="_MAO010536">#REF!</definedName>
    <definedName name="_MAO010701">#REF!</definedName>
    <definedName name="_MAO010703">#REF!</definedName>
    <definedName name="_MAO010705">#REF!</definedName>
    <definedName name="_MAO010708">#REF!</definedName>
    <definedName name="_MAO010710">#REF!</definedName>
    <definedName name="_MAO010712">#REF!</definedName>
    <definedName name="_MAO010717">#REF!</definedName>
    <definedName name="_MAO020201">#REF!</definedName>
    <definedName name="_MAO020205">#REF!</definedName>
    <definedName name="_MAO020211">#REF!</definedName>
    <definedName name="_MAO020217">#REF!</definedName>
    <definedName name="_MAO030102">#REF!</definedName>
    <definedName name="_MAO030201">#REF!</definedName>
    <definedName name="_MAO030303">#REF!</definedName>
    <definedName name="_MAO030317">#REF!</definedName>
    <definedName name="_MAO040101">#REF!</definedName>
    <definedName name="_MAO040202">#REF!</definedName>
    <definedName name="_MAO050103">#REF!</definedName>
    <definedName name="_MAO050207">#REF!</definedName>
    <definedName name="_MAO060101">#REF!</definedName>
    <definedName name="_MAO080310">#REF!</definedName>
    <definedName name="_MAO090101">#REF!</definedName>
    <definedName name="_MAO110101">#REF!</definedName>
    <definedName name="_MAO110104">#REF!</definedName>
    <definedName name="_MAO110107">#REF!</definedName>
    <definedName name="_MAO120101">#REF!</definedName>
    <definedName name="_MAO120105">#REF!</definedName>
    <definedName name="_MAO120106">#REF!</definedName>
    <definedName name="_MAO120107">#REF!</definedName>
    <definedName name="_MAO120110">#REF!</definedName>
    <definedName name="_MAO120150">#REF!</definedName>
    <definedName name="_MAO130101">#REF!</definedName>
    <definedName name="_MAO130103">#REF!</definedName>
    <definedName name="_MAO130304">#REF!</definedName>
    <definedName name="_MAO130401">#REF!</definedName>
    <definedName name="_MAO140102">#REF!</definedName>
    <definedName name="_MAO140109">#REF!</definedName>
    <definedName name="_MAO140113">#REF!</definedName>
    <definedName name="_MAO140122">#REF!</definedName>
    <definedName name="_MAO140126">#REF!</definedName>
    <definedName name="_MAO140129">#REF!</definedName>
    <definedName name="_MAO140135">#REF!</definedName>
    <definedName name="_MAO140143">#REF!</definedName>
    <definedName name="_MAO140145">#REF!</definedName>
    <definedName name="_MAT010301">#REF!</definedName>
    <definedName name="_MAT010401">#REF!</definedName>
    <definedName name="_MAT010402">#REF!</definedName>
    <definedName name="_MAT010407">#REF!</definedName>
    <definedName name="_MAT010413">#REF!</definedName>
    <definedName name="_MAT010536">#REF!</definedName>
    <definedName name="_MAT010703">#REF!</definedName>
    <definedName name="_MAT010708">#REF!</definedName>
    <definedName name="_MAT010710">#REF!</definedName>
    <definedName name="_MAT010718">#REF!</definedName>
    <definedName name="_MAT020201">#REF!</definedName>
    <definedName name="_MAT020205">#REF!</definedName>
    <definedName name="_MAT020211">#REF!</definedName>
    <definedName name="_MAT030102">#REF!</definedName>
    <definedName name="_MAT030201">#REF!</definedName>
    <definedName name="_MAT030303">#REF!</definedName>
    <definedName name="_MAT030317">#REF!</definedName>
    <definedName name="_MAT040101">#REF!</definedName>
    <definedName name="_MAT040202">#REF!</definedName>
    <definedName name="_MAT050103">#REF!</definedName>
    <definedName name="_MAT050207">#REF!</definedName>
    <definedName name="_MAT060101">#REF!</definedName>
    <definedName name="_MAT080101">#REF!</definedName>
    <definedName name="_MAT080310">#REF!</definedName>
    <definedName name="_MAT090101">#REF!</definedName>
    <definedName name="_MAT100302">#REF!</definedName>
    <definedName name="_MAT110101">#REF!</definedName>
    <definedName name="_MAT110104">#REF!</definedName>
    <definedName name="_MAT110107">#REF!</definedName>
    <definedName name="_MAT120101">#REF!</definedName>
    <definedName name="_MAT120105">#REF!</definedName>
    <definedName name="_MAT120106">#REF!</definedName>
    <definedName name="_MAT120107">#REF!</definedName>
    <definedName name="_MAT120110">#REF!</definedName>
    <definedName name="_MAT120150">#REF!</definedName>
    <definedName name="_MAT130101">#REF!</definedName>
    <definedName name="_MAT130103">#REF!</definedName>
    <definedName name="_MAT130304">#REF!</definedName>
    <definedName name="_MAT130401">#REF!</definedName>
    <definedName name="_MAT140102">#REF!</definedName>
    <definedName name="_MAT140109">#REF!</definedName>
    <definedName name="_MAT140113">#REF!</definedName>
    <definedName name="_MAT140122">#REF!</definedName>
    <definedName name="_MAT140126">#REF!</definedName>
    <definedName name="_MAT140129">#REF!</definedName>
    <definedName name="_MAT140135">#REF!</definedName>
    <definedName name="_MAT140143">#REF!</definedName>
    <definedName name="_MAT140145">#REF!</definedName>
    <definedName name="_MAT150130">#REF!</definedName>
    <definedName name="_MAT170101">#REF!</definedName>
    <definedName name="_MAT170102">#REF!</definedName>
    <definedName name="_MAT170103">#REF!</definedName>
    <definedName name="_MatMult_A" hidden="1">#REF!</definedName>
    <definedName name="_MED1202">[3]FaixasCrit!#REF!</definedName>
    <definedName name="_MED1203">[3]FaixasCrit!#REF!</definedName>
    <definedName name="_med2" localSheetId="2" hidden="1">{#N/A,#N/A,FALSE,"CONTROLE";#N/A,#N/A,FALSE,"CONTROLE"}</definedName>
    <definedName name="_med2" hidden="1">{#N/A,#N/A,FALSE,"CONTROLE";#N/A,#N/A,FALSE,"CONTROLE"}</definedName>
    <definedName name="_mil1" localSheetId="2" hidden="1">{#N/A,#N/A,FALSE,"QuadroAntigo"}</definedName>
    <definedName name="_mil1" hidden="1">{#N/A,#N/A,FALSE,"QuadroAntigo"}</definedName>
    <definedName name="_mil2" localSheetId="2" hidden="1">{#N/A,#N/A,FALSE,"Lojas por Faturamento (R$)"}</definedName>
    <definedName name="_mil2" hidden="1">{#N/A,#N/A,FALSE,"Lojas por Faturamento (R$)"}</definedName>
    <definedName name="_mil20" localSheetId="2" hidden="1">{#N/A,#N/A,FALSE,"Vendas"}</definedName>
    <definedName name="_mil20" hidden="1">{#N/A,#N/A,FALSE,"Vendas"}</definedName>
    <definedName name="_mil21" localSheetId="2" hidden="1">{#N/A,#N/A,FALSE,"Aluguel"}</definedName>
    <definedName name="_mil21" hidden="1">{#N/A,#N/A,FALSE,"Aluguel"}</definedName>
    <definedName name="_mil3" localSheetId="2" hidden="1">{#N/A,#N/A,FALSE,"Mapa de Aluguel - Sintético"}</definedName>
    <definedName name="_mil3" hidden="1">{#N/A,#N/A,FALSE,"Mapa de Aluguel - Sintético"}</definedName>
    <definedName name="_mil4" localSheetId="2" hidden="1">{#N/A,#N/A,FALSE,"Performance Vendas"}</definedName>
    <definedName name="_mil4" hidden="1">{#N/A,#N/A,FALSE,"Performance Vendas"}</definedName>
    <definedName name="_mil5" localSheetId="2" hidden="1">{#N/A,#N/A,FALSE,"QuadroAntigo"}</definedName>
    <definedName name="_mil5" hidden="1">{#N/A,#N/A,FALSE,"QuadroAntigo"}</definedName>
    <definedName name="_mil6" localSheetId="2" hidden="1">{#N/A,#N/A,FALSE,"Quadro de Areas"}</definedName>
    <definedName name="_mil6" hidden="1">{#N/A,#N/A,FALSE,"Quadro de Areas"}</definedName>
    <definedName name="_mil7" localSheetId="2" hidden="1">{#N/A,#N/A,FALSE,"RamosLj"}</definedName>
    <definedName name="_mil7" hidden="1">{#N/A,#N/A,FALSE,"RamosLj"}</definedName>
    <definedName name="_mil8" localSheetId="2" hidden="1">{#N/A,#N/A,FALSE,"Vendas"}</definedName>
    <definedName name="_mil8" hidden="1">{#N/A,#N/A,FALSE,"Vendas"}</definedName>
    <definedName name="_mil9" localSheetId="2" hidden="1">{#N/A,#N/A,FALSE,"RamosLj"}</definedName>
    <definedName name="_mil9" hidden="1">{#N/A,#N/A,FALSE,"RamosLj"}</definedName>
    <definedName name="_MLH1">#REF!</definedName>
    <definedName name="_MLH2">#REF!</definedName>
    <definedName name="_MLH3">#REF!</definedName>
    <definedName name="_MO0001">#REF!</definedName>
    <definedName name="_MO0002">#REF!</definedName>
    <definedName name="_MO0003">#REF!</definedName>
    <definedName name="_MO0004">#REF!</definedName>
    <definedName name="_MTV1">[13]Plan1!$D$20:$G$41</definedName>
    <definedName name="_MTV2">[14]Plan1!$E$20:$H$37</definedName>
    <definedName name="_MTV3">[15]Plan1!$D$19:$G$32</definedName>
    <definedName name="_MTV4">[16]Plan1!$C$20:$F$29</definedName>
    <definedName name="_MTV5">[17]Plan1!$E$16:$G$20</definedName>
    <definedName name="_MX1">#REF!</definedName>
    <definedName name="_MX2">#REF!</definedName>
    <definedName name="_MX3">#REF!</definedName>
    <definedName name="_MX4">#REF!</definedName>
    <definedName name="_MX5">#REF!</definedName>
    <definedName name="_MX6">#REF!</definedName>
    <definedName name="_MX7">#REF!</definedName>
    <definedName name="_MX8">#REF!</definedName>
    <definedName name="_MX9">#REF!</definedName>
    <definedName name="_MZ1">#REF!</definedName>
    <definedName name="_MZ2">#REF!</definedName>
    <definedName name="_MZ3">#REF!</definedName>
    <definedName name="_oae1">#REF!</definedName>
    <definedName name="_OR1">'[19]orcID nº1'!$A$14:$G$1025</definedName>
    <definedName name="_OR12">'[19]orc ID nº12'!$A$16:$G$181</definedName>
    <definedName name="_OR13">'[19]orc ID nº13'!$A$13:$G$34</definedName>
    <definedName name="_OR14">'[19]orc ID nº 14'!$A$14:$G$16</definedName>
    <definedName name="_OR15">'[19]orc ID nº 15'!$A$14:$G$104</definedName>
    <definedName name="_OR16">'[19]orc ID nº16'!$A$14:$G$33</definedName>
    <definedName name="_OR17">'[19]orc ID nº17'!$A$16:$G$80</definedName>
    <definedName name="_OR18">'[19]orc ID nº 18'!$A$14:$G$123</definedName>
    <definedName name="_OR19">'[19]orc ID nº19'!$A$14:$G$96</definedName>
    <definedName name="_OR2">'[19]orc ID nº2 '!$A$14:$G$70</definedName>
    <definedName name="_OR3">'[19]orc ID nº3'!$A$14:$G$134</definedName>
    <definedName name="_OR4">'[19]orcID nº4'!$A$14:$G$165</definedName>
    <definedName name="_OR5">'[19]orcID nº5'!$A$14:$G$149</definedName>
    <definedName name="_OR6">'[19]orcID nº6'!$A$14:$G$138</definedName>
    <definedName name="_OR7">'[19]orcID nº7'!$A$14:$G$137</definedName>
    <definedName name="_OR8">'[19]orc ID nº8'!$A$14:$G$133</definedName>
    <definedName name="_OR9">'[19]orc ID nº9'!$A$14:$G$157</definedName>
    <definedName name="_Order1" hidden="1">0</definedName>
    <definedName name="_Order2" hidden="1">0</definedName>
    <definedName name="_Parse_Out" hidden="1">#REF!</definedName>
    <definedName name="_pav1">#REF!</definedName>
    <definedName name="_PRE010201">#REF!</definedName>
    <definedName name="_PRE010202">#REF!</definedName>
    <definedName name="_PRE010205">#REF!</definedName>
    <definedName name="_PRE010206">#REF!</definedName>
    <definedName name="_PRE010210">#REF!</definedName>
    <definedName name="_PRE010301">#REF!</definedName>
    <definedName name="_PRE010401">#REF!</definedName>
    <definedName name="_PRE010402">#REF!</definedName>
    <definedName name="_PRE010407">#REF!</definedName>
    <definedName name="_PRE010413">#REF!</definedName>
    <definedName name="_PRE010501">#REF!</definedName>
    <definedName name="_PRE010503">#REF!</definedName>
    <definedName name="_PRE010505">#REF!</definedName>
    <definedName name="_PRE010509">#REF!</definedName>
    <definedName name="_PRE010512">#REF!</definedName>
    <definedName name="_PRE010518">#REF!</definedName>
    <definedName name="_PRE010519">#REF!</definedName>
    <definedName name="_PRE010521">#REF!</definedName>
    <definedName name="_PRE010523">#REF!</definedName>
    <definedName name="_PRE010532">#REF!</definedName>
    <definedName name="_PRE010533">#REF!</definedName>
    <definedName name="_PRE010536">#REF!</definedName>
    <definedName name="_PRE010701">#REF!</definedName>
    <definedName name="_PRE010703">#REF!</definedName>
    <definedName name="_PRE010705">#REF!</definedName>
    <definedName name="_PRE010708">#REF!</definedName>
    <definedName name="_PRE010710">#REF!</definedName>
    <definedName name="_PRE010712">#REF!</definedName>
    <definedName name="_PRE010717">#REF!</definedName>
    <definedName name="_PRE010718">#REF!</definedName>
    <definedName name="_PRE020201">#REF!</definedName>
    <definedName name="_PRE020205">#REF!</definedName>
    <definedName name="_PRE020211">#REF!</definedName>
    <definedName name="_PRE020217">#REF!</definedName>
    <definedName name="_PRE030102">#REF!</definedName>
    <definedName name="_PRE030201">#REF!</definedName>
    <definedName name="_PRE030303">#REF!</definedName>
    <definedName name="_PRE030317">#REF!</definedName>
    <definedName name="_PRE040101">#REF!</definedName>
    <definedName name="_PRE040202">#REF!</definedName>
    <definedName name="_PRE050103">#REF!</definedName>
    <definedName name="_PRE050207">#REF!</definedName>
    <definedName name="_PRE060101">#REF!</definedName>
    <definedName name="_PRE080101">#REF!</definedName>
    <definedName name="_PRE080310">#REF!</definedName>
    <definedName name="_PRE090101">#REF!</definedName>
    <definedName name="_pre1">#REF!</definedName>
    <definedName name="_PRE100302">#REF!</definedName>
    <definedName name="_PRE110101">#REF!</definedName>
    <definedName name="_PRE110104">#REF!</definedName>
    <definedName name="_PRE110107">#REF!</definedName>
    <definedName name="_PRE120101">#REF!</definedName>
    <definedName name="_PRE120105">#REF!</definedName>
    <definedName name="_PRE120106">#REF!</definedName>
    <definedName name="_PRE120107">#REF!</definedName>
    <definedName name="_PRE120110">#REF!</definedName>
    <definedName name="_PRE120150">#REF!</definedName>
    <definedName name="_PRE130101">#REF!</definedName>
    <definedName name="_PRE130103">#REF!</definedName>
    <definedName name="_PRE130304">#REF!</definedName>
    <definedName name="_PRE130401">#REF!</definedName>
    <definedName name="_PRE140102">#REF!</definedName>
    <definedName name="_PRE140109">#REF!</definedName>
    <definedName name="_PRE140113">#REF!</definedName>
    <definedName name="_PRE140122">#REF!</definedName>
    <definedName name="_PRE140126">#REF!</definedName>
    <definedName name="_PRE140129">#REF!</definedName>
    <definedName name="_PRE140135">#REF!</definedName>
    <definedName name="_PRE140143">#REF!</definedName>
    <definedName name="_PRE140145">#REF!</definedName>
    <definedName name="_PRE150130">#REF!</definedName>
    <definedName name="_PRE170101">#REF!</definedName>
    <definedName name="_PRE170102">#REF!</definedName>
    <definedName name="_PRE170103">#REF!</definedName>
    <definedName name="_PU1">[8]OBRJU95!#REF!</definedName>
    <definedName name="_QUA010201">#REF!</definedName>
    <definedName name="_QUA010202">#REF!</definedName>
    <definedName name="_QUA010205">#REF!</definedName>
    <definedName name="_QUA010206">#REF!</definedName>
    <definedName name="_QUA010210">#REF!</definedName>
    <definedName name="_QUA010301">#REF!</definedName>
    <definedName name="_QUA010401">#REF!</definedName>
    <definedName name="_QUA010402">#REF!</definedName>
    <definedName name="_QUA010407">#REF!</definedName>
    <definedName name="_QUA010413">#REF!</definedName>
    <definedName name="_QUA010501">#REF!</definedName>
    <definedName name="_QUA010503">#REF!</definedName>
    <definedName name="_QUA010505">#REF!</definedName>
    <definedName name="_QUA010509">#REF!</definedName>
    <definedName name="_QUA010512">#REF!</definedName>
    <definedName name="_QUA010518">#REF!</definedName>
    <definedName name="_QUA010519">#REF!</definedName>
    <definedName name="_QUA010521">#REF!</definedName>
    <definedName name="_QUA010523">#REF!</definedName>
    <definedName name="_QUA010532">#REF!</definedName>
    <definedName name="_QUA010533">#REF!</definedName>
    <definedName name="_QUA010536">#REF!</definedName>
    <definedName name="_QUA010701">#REF!</definedName>
    <definedName name="_QUA010703">#REF!</definedName>
    <definedName name="_QUA010705">#REF!</definedName>
    <definedName name="_QUA010708">#REF!</definedName>
    <definedName name="_QUA010710">#REF!</definedName>
    <definedName name="_QUA010712">#REF!</definedName>
    <definedName name="_QUA010717">#REF!</definedName>
    <definedName name="_QUA010718">#REF!</definedName>
    <definedName name="_QUA020201">#REF!</definedName>
    <definedName name="_QUA020205">#REF!</definedName>
    <definedName name="_QUA020211">#REF!</definedName>
    <definedName name="_QUA020217">#REF!</definedName>
    <definedName name="_QUA030102">#REF!</definedName>
    <definedName name="_QUA030201">#REF!</definedName>
    <definedName name="_QUA030303">#REF!</definedName>
    <definedName name="_QUA030317">#REF!</definedName>
    <definedName name="_QUA040101">#REF!</definedName>
    <definedName name="_QUA040202">#REF!</definedName>
    <definedName name="_QUA050103">#REF!</definedName>
    <definedName name="_QUA050207">#REF!</definedName>
    <definedName name="_QUA060101">#REF!</definedName>
    <definedName name="_QUA080101">#REF!</definedName>
    <definedName name="_QUA080310">#REF!</definedName>
    <definedName name="_QUA090101">#REF!</definedName>
    <definedName name="_QUA100302">#REF!</definedName>
    <definedName name="_QUA110101">#REF!</definedName>
    <definedName name="_QUA110104">#REF!</definedName>
    <definedName name="_QUA110107">#REF!</definedName>
    <definedName name="_QUA120101">#REF!</definedName>
    <definedName name="_QUA120105">#REF!</definedName>
    <definedName name="_QUA120106">#REF!</definedName>
    <definedName name="_QUA120107">#REF!</definedName>
    <definedName name="_QUA120110">#REF!</definedName>
    <definedName name="_QUA120150">#REF!</definedName>
    <definedName name="_QUA130101">#REF!</definedName>
    <definedName name="_QUA130103">#REF!</definedName>
    <definedName name="_QUA130304">#REF!</definedName>
    <definedName name="_QUA130401">#REF!</definedName>
    <definedName name="_QUA140102">#REF!</definedName>
    <definedName name="_QUA140109">#REF!</definedName>
    <definedName name="_QUA140113">#REF!</definedName>
    <definedName name="_QUA140122">#REF!</definedName>
    <definedName name="_QUA140126">#REF!</definedName>
    <definedName name="_QUA140129">#REF!</definedName>
    <definedName name="_QUA140135">#REF!</definedName>
    <definedName name="_QUA140143">#REF!</definedName>
    <definedName name="_QUA140145">#REF!</definedName>
    <definedName name="_QUA150130">#REF!</definedName>
    <definedName name="_QUA170101">#REF!</definedName>
    <definedName name="_QUA170102">#REF!</definedName>
    <definedName name="_QUA170103">#REF!</definedName>
    <definedName name="_R">#REF!</definedName>
    <definedName name="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C11100">#REF!</definedName>
    <definedName name="_REC11110">#REF!</definedName>
    <definedName name="_REC11115">#REF!</definedName>
    <definedName name="_REC11125">#REF!</definedName>
    <definedName name="_REC11130">#REF!</definedName>
    <definedName name="_REC11135">#REF!</definedName>
    <definedName name="_REC11145">#REF!</definedName>
    <definedName name="_REC11150">#REF!</definedName>
    <definedName name="_REC11165">#REF!</definedName>
    <definedName name="_REC11170">#REF!</definedName>
    <definedName name="_REC11180">#REF!</definedName>
    <definedName name="_REC11185">#REF!</definedName>
    <definedName name="_REC11220">#REF!</definedName>
    <definedName name="_REC12105">#REF!</definedName>
    <definedName name="_REC12555">#REF!</definedName>
    <definedName name="_REC12570">#REF!</definedName>
    <definedName name="_REC12575">#REF!</definedName>
    <definedName name="_REC12580">#REF!</definedName>
    <definedName name="_REC12600">#REF!</definedName>
    <definedName name="_REC12610">#REF!</definedName>
    <definedName name="_REC12630">#REF!</definedName>
    <definedName name="_REC12631">#REF!</definedName>
    <definedName name="_REC12640">#REF!</definedName>
    <definedName name="_REC12645">#REF!</definedName>
    <definedName name="_REC12665">#REF!</definedName>
    <definedName name="_REC12690">#REF!</definedName>
    <definedName name="_REC12700">#REF!</definedName>
    <definedName name="_REC12710">#REF!</definedName>
    <definedName name="_REC13111">#REF!</definedName>
    <definedName name="_REC13112">#REF!</definedName>
    <definedName name="_REC13121">#REF!</definedName>
    <definedName name="_REC13720">#REF!</definedName>
    <definedName name="_REC14100">#REF!</definedName>
    <definedName name="_REC14161">#REF!</definedName>
    <definedName name="_REC14195">#REF!</definedName>
    <definedName name="_REC14205">#REF!</definedName>
    <definedName name="_REC14260">#REF!</definedName>
    <definedName name="_REC14500">#REF!</definedName>
    <definedName name="_REC14515">#REF!</definedName>
    <definedName name="_REC14555">#REF!</definedName>
    <definedName name="_REC14565">#REF!</definedName>
    <definedName name="_REC15135">#REF!</definedName>
    <definedName name="_REC15140">#REF!</definedName>
    <definedName name="_REC15195">#REF!</definedName>
    <definedName name="_REC15225">#REF!</definedName>
    <definedName name="_REC15230">#REF!</definedName>
    <definedName name="_REC15515">#REF!</definedName>
    <definedName name="_REC15560">#REF!</definedName>
    <definedName name="_REC15565">#REF!</definedName>
    <definedName name="_REC15570">#REF!</definedName>
    <definedName name="_REC15575">#REF!</definedName>
    <definedName name="_REC15583">#REF!</definedName>
    <definedName name="_REC15590">#REF!</definedName>
    <definedName name="_REC15591">#REF!</definedName>
    <definedName name="_REC15610">#REF!</definedName>
    <definedName name="_REC15625">#REF!</definedName>
    <definedName name="_REC15635">#REF!</definedName>
    <definedName name="_REC15655">#REF!</definedName>
    <definedName name="_REC15665">#REF!</definedName>
    <definedName name="_REC16515">#REF!</definedName>
    <definedName name="_REC16535">#REF!</definedName>
    <definedName name="_REC17140">#REF!</definedName>
    <definedName name="_REC19500">#REF!</definedName>
    <definedName name="_REC19501">#REF!</definedName>
    <definedName name="_REC19502">#REF!</definedName>
    <definedName name="_REC19503">#REF!</definedName>
    <definedName name="_REC19504">#REF!</definedName>
    <definedName name="_REC19505">#REF!</definedName>
    <definedName name="_REC20100">#REF!</definedName>
    <definedName name="_REC20105">#REF!</definedName>
    <definedName name="_REC20110">#REF!</definedName>
    <definedName name="_REC20115">#REF!</definedName>
    <definedName name="_REC20130">#REF!</definedName>
    <definedName name="_REC20135">#REF!</definedName>
    <definedName name="_REC20140">#REF!</definedName>
    <definedName name="_REC20145">#REF!</definedName>
    <definedName name="_REC20150">#REF!</definedName>
    <definedName name="_REC20155">#REF!</definedName>
    <definedName name="_REC20175">#REF!</definedName>
    <definedName name="_REC20185">#REF!</definedName>
    <definedName name="_REC20190">#REF!</definedName>
    <definedName name="_REC20195">#REF!</definedName>
    <definedName name="_REC20210">#REF!</definedName>
    <definedName name="_REC3">#REF!</definedName>
    <definedName name="_REC35">#REF!</definedName>
    <definedName name="_REC4">#REF!</definedName>
    <definedName name="_Regression_Int">1</definedName>
    <definedName name="_REP1">#REF!</definedName>
    <definedName name="_REP15">#REF!</definedName>
    <definedName name="_REP2">#REF!</definedName>
    <definedName name="_RET1">[25]Regula!$J$36</definedName>
    <definedName name="_rev1">#REF!</definedName>
    <definedName name="_RK1">#REF!</definedName>
    <definedName name="_SE2">#REF!</definedName>
    <definedName name="_seg1">#REF!</definedName>
    <definedName name="_sih1">#REF!</definedName>
    <definedName name="_siv1">#REF!</definedName>
    <definedName name="_Sort" hidden="1">#REF!</definedName>
    <definedName name="_svi2">#REF!</definedName>
    <definedName name="_TA1">[8]OBRJU95!#REF!</definedName>
    <definedName name="_TA2">[8]OBRJU95!#REF!</definedName>
    <definedName name="_tab0198">'[20]DER janeiro98'!$A$1:$D$810</definedName>
    <definedName name="_tab1">[26]Preços_BSTC!$B$4:$R$77</definedName>
    <definedName name="_tab31">'[21]Tabela 31'!$A$1:$D$3166</definedName>
    <definedName name="_TAB32">#REF!</definedName>
    <definedName name="_TAB33">#REF!</definedName>
    <definedName name="_TAB34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G1">#REF!</definedName>
    <definedName name="_TAG2">#REF!</definedName>
    <definedName name="_TAG3">#REF!</definedName>
    <definedName name="_TAG4">#REF!</definedName>
    <definedName name="_tk1">#REF!</definedName>
    <definedName name="_tk2">#REF!</definedName>
    <definedName name="_tk3">#REF!</definedName>
    <definedName name="_tk4">#REF!</definedName>
    <definedName name="_TT102">'[22]Relatório-1ª med.'!#REF!</definedName>
    <definedName name="_TT107">'[22]Relatório-1ª med.'!#REF!</definedName>
    <definedName name="_TT121">'[22]Relatório-1ª med.'!#REF!</definedName>
    <definedName name="_TT123">'[22]Relatório-1ª med.'!#REF!</definedName>
    <definedName name="_TT19">'[22]Relatório-1ª med.'!#REF!</definedName>
    <definedName name="_TT20">'[22]Relatório-1ª med.'!#REF!</definedName>
    <definedName name="_TT21">'[22]Relatório-1ª med.'!#REF!</definedName>
    <definedName name="_TT22">'[22]Relatório-1ª med.'!#REF!</definedName>
    <definedName name="_TT26">'[22]Relatório-1ª med.'!#REF!</definedName>
    <definedName name="_TT27">'[22]Relatório-1ª med.'!#REF!</definedName>
    <definedName name="_TT28">'[22]Relatório-1ª med.'!#REF!</definedName>
    <definedName name="_TT30">'[22]Relatório-1ª med.'!#REF!</definedName>
    <definedName name="_TT31">'[22]Relatório-1ª med.'!#REF!</definedName>
    <definedName name="_TT32">'[22]Relatório-1ª med.'!#REF!</definedName>
    <definedName name="_TT33">'[22]Relatório-1ª med.'!#REF!</definedName>
    <definedName name="_TT34">'[22]Relatório-1ª med.'!#REF!</definedName>
    <definedName name="_TT36">'[22]Relatório-1ª med.'!#REF!</definedName>
    <definedName name="_TT37">'[22]Relatório-1ª med.'!#REF!</definedName>
    <definedName name="_TT38">'[22]Relatório-1ª med.'!#REF!</definedName>
    <definedName name="_TT39">'[22]Relatório-1ª med.'!#REF!</definedName>
    <definedName name="_TT40">'[22]Relatório-1ª med.'!#REF!</definedName>
    <definedName name="_TT5">'[22]Relatório-1ª med.'!#REF!</definedName>
    <definedName name="_TT52">'[22]Relatório-1ª med.'!#REF!</definedName>
    <definedName name="_TT53">'[22]Relatório-1ª med.'!#REF!</definedName>
    <definedName name="_TT54">'[22]Relatório-1ª med.'!#REF!</definedName>
    <definedName name="_TT55">'[22]Relatório-1ª med.'!#REF!</definedName>
    <definedName name="_TT6">'[22]Relatório-1ª med.'!#REF!</definedName>
    <definedName name="_TT60">'[22]Relatório-1ª med.'!#REF!</definedName>
    <definedName name="_TT61">'[22]Relatório-1ª med.'!#REF!</definedName>
    <definedName name="_TT69">'[22]Relatório-1ª med.'!#REF!</definedName>
    <definedName name="_TT7">'[22]Relatório-1ª med.'!#REF!</definedName>
    <definedName name="_TT70">'[22]Relatório-1ª med.'!#REF!</definedName>
    <definedName name="_TT71">'[22]Relatório-1ª med.'!#REF!</definedName>
    <definedName name="_TT74">'[22]Relatório-1ª med.'!#REF!</definedName>
    <definedName name="_TT75">'[22]Relatório-1ª med.'!#REF!</definedName>
    <definedName name="_TT76">'[22]Relatório-1ª med.'!#REF!</definedName>
    <definedName name="_TT77">'[22]Relatório-1ª med.'!#REF!</definedName>
    <definedName name="_TT78">'[22]Relatório-1ª med.'!#REF!</definedName>
    <definedName name="_TT79">'[22]Relatório-1ª med.'!#REF!</definedName>
    <definedName name="_TT94">'[22]Relatório-1ª med.'!#REF!</definedName>
    <definedName name="_TT95">'[22]Relatório-1ª med.'!#REF!</definedName>
    <definedName name="_TT97">'[22]Relatório-1ª med.'!#REF!</definedName>
    <definedName name="_tx1">#REF!</definedName>
    <definedName name="_tx2">#REF!</definedName>
    <definedName name="_tx3">#REF!</definedName>
    <definedName name="_tx4">#REF!</definedName>
    <definedName name="_UNI11100">#REF!</definedName>
    <definedName name="_UNI11110">#REF!</definedName>
    <definedName name="_UNI11115">#REF!</definedName>
    <definedName name="_UNI11125">#REF!</definedName>
    <definedName name="_UNI11130">#REF!</definedName>
    <definedName name="_UNI11135">#REF!</definedName>
    <definedName name="_UNI11145">#REF!</definedName>
    <definedName name="_UNI11150">#REF!</definedName>
    <definedName name="_UNI11165">#REF!</definedName>
    <definedName name="_UNI11170">#REF!</definedName>
    <definedName name="_UNI11180">#REF!</definedName>
    <definedName name="_UNI11185">#REF!</definedName>
    <definedName name="_UNI11220">#REF!</definedName>
    <definedName name="_UNI12105">#REF!</definedName>
    <definedName name="_UNI12555">#REF!</definedName>
    <definedName name="_UNI12570">#REF!</definedName>
    <definedName name="_UNI12575">#REF!</definedName>
    <definedName name="_UNI12580">#REF!</definedName>
    <definedName name="_UNI12600">#REF!</definedName>
    <definedName name="_UNI12610">#REF!</definedName>
    <definedName name="_UNI12630">#REF!</definedName>
    <definedName name="_UNI12631">#REF!</definedName>
    <definedName name="_UNI12640">#REF!</definedName>
    <definedName name="_UNI12645">#REF!</definedName>
    <definedName name="_UNI12665">#REF!</definedName>
    <definedName name="_UNI12690">#REF!</definedName>
    <definedName name="_UNI12700">#REF!</definedName>
    <definedName name="_UNI12710">#REF!</definedName>
    <definedName name="_UNI13111">#REF!</definedName>
    <definedName name="_UNI13112">#REF!</definedName>
    <definedName name="_UNI13121">#REF!</definedName>
    <definedName name="_UNI13720">#REF!</definedName>
    <definedName name="_UNI14100">#REF!</definedName>
    <definedName name="_UNI14161">#REF!</definedName>
    <definedName name="_UNI14195">#REF!</definedName>
    <definedName name="_UNI14205">#REF!</definedName>
    <definedName name="_UNI14260">#REF!</definedName>
    <definedName name="_UNI14500">#REF!</definedName>
    <definedName name="_UNI14515">#REF!</definedName>
    <definedName name="_UNI14555">#REF!</definedName>
    <definedName name="_UNI14565">#REF!</definedName>
    <definedName name="_UNI15135">#REF!</definedName>
    <definedName name="_UNI15140">#REF!</definedName>
    <definedName name="_UNI15195">#REF!</definedName>
    <definedName name="_UNI15225">#REF!</definedName>
    <definedName name="_UNI15230">#REF!</definedName>
    <definedName name="_UNI15515">#REF!</definedName>
    <definedName name="_UNI15560">#REF!</definedName>
    <definedName name="_UNI15565">#REF!</definedName>
    <definedName name="_UNI15570">#REF!</definedName>
    <definedName name="_UNI15575">#REF!</definedName>
    <definedName name="_UNI15583">#REF!</definedName>
    <definedName name="_UNI15590">#REF!</definedName>
    <definedName name="_UNI15591">#REF!</definedName>
    <definedName name="_UNI15610">#REF!</definedName>
    <definedName name="_UNI15625">#REF!</definedName>
    <definedName name="_UNI15635">#REF!</definedName>
    <definedName name="_UNI15655">#REF!</definedName>
    <definedName name="_UNI15665">#REF!</definedName>
    <definedName name="_UNI16515">#REF!</definedName>
    <definedName name="_UNI16535">#REF!</definedName>
    <definedName name="_UNI17140">#REF!</definedName>
    <definedName name="_UNI19500">#REF!</definedName>
    <definedName name="_UNI19501">#REF!</definedName>
    <definedName name="_UNI19502">#REF!</definedName>
    <definedName name="_UNI19503">#REF!</definedName>
    <definedName name="_UNI19504">#REF!</definedName>
    <definedName name="_UNI19505">#REF!</definedName>
    <definedName name="_UNI20100">#REF!</definedName>
    <definedName name="_UNI20105">#REF!</definedName>
    <definedName name="_UNI20110">#REF!</definedName>
    <definedName name="_UNI20115">#REF!</definedName>
    <definedName name="_UNI20130">#REF!</definedName>
    <definedName name="_UNI20135">#REF!</definedName>
    <definedName name="_UNI20140">#REF!</definedName>
    <definedName name="_UNI20145">#REF!</definedName>
    <definedName name="_UNI20150">#REF!</definedName>
    <definedName name="_UNI20155">#REF!</definedName>
    <definedName name="_UNI20175">#REF!</definedName>
    <definedName name="_UNI20185">#REF!</definedName>
    <definedName name="_UNI20190">#REF!</definedName>
    <definedName name="_UNI20195">#REF!</definedName>
    <definedName name="_UNI20210">#REF!</definedName>
    <definedName name="_VAL11100">#REF!</definedName>
    <definedName name="_VAL11110">#REF!</definedName>
    <definedName name="_VAL11115">#REF!</definedName>
    <definedName name="_VAL11125">#REF!</definedName>
    <definedName name="_VAL11130">#REF!</definedName>
    <definedName name="_VAL11135">#REF!</definedName>
    <definedName name="_VAL11145">#REF!</definedName>
    <definedName name="_VAL11150">#REF!</definedName>
    <definedName name="_VAL11165">#REF!</definedName>
    <definedName name="_VAL11170">#REF!</definedName>
    <definedName name="_VAL11180">#REF!</definedName>
    <definedName name="_VAL11185">#REF!</definedName>
    <definedName name="_VAL11220">#REF!</definedName>
    <definedName name="_VAL12105">#REF!</definedName>
    <definedName name="_VAL12555">#REF!</definedName>
    <definedName name="_VAL12570">#REF!</definedName>
    <definedName name="_VAL12575">#REF!</definedName>
    <definedName name="_VAL12580">#REF!</definedName>
    <definedName name="_VAL12600">#REF!</definedName>
    <definedName name="_VAL12610">#REF!</definedName>
    <definedName name="_VAL12630">#REF!</definedName>
    <definedName name="_VAL12631">#REF!</definedName>
    <definedName name="_VAL12640">#REF!</definedName>
    <definedName name="_VAL12645">#REF!</definedName>
    <definedName name="_VAL12665">#REF!</definedName>
    <definedName name="_VAL12690">#REF!</definedName>
    <definedName name="_VAL12700">#REF!</definedName>
    <definedName name="_VAL12710">#REF!</definedName>
    <definedName name="_VAL13111">#REF!</definedName>
    <definedName name="_VAL13112">#REF!</definedName>
    <definedName name="_VAL13121">#REF!</definedName>
    <definedName name="_VAL13720">#REF!</definedName>
    <definedName name="_VAL14100">#REF!</definedName>
    <definedName name="_VAL14161">#REF!</definedName>
    <definedName name="_VAL14195">#REF!</definedName>
    <definedName name="_VAL14205">#REF!</definedName>
    <definedName name="_VAL14260">#REF!</definedName>
    <definedName name="_VAL14500">#REF!</definedName>
    <definedName name="_VAL14515">#REF!</definedName>
    <definedName name="_VAL14555">#REF!</definedName>
    <definedName name="_VAL14565">#REF!</definedName>
    <definedName name="_VAL15135">#REF!</definedName>
    <definedName name="_VAL15140">#REF!</definedName>
    <definedName name="_VAL15195">#REF!</definedName>
    <definedName name="_VAL15225">#REF!</definedName>
    <definedName name="_VAL15230">#REF!</definedName>
    <definedName name="_VAL15515">#REF!</definedName>
    <definedName name="_VAL15560">#REF!</definedName>
    <definedName name="_VAL15565">#REF!</definedName>
    <definedName name="_VAL15570">#REF!</definedName>
    <definedName name="_VAL15575">#REF!</definedName>
    <definedName name="_VAL15583">#REF!</definedName>
    <definedName name="_VAL15590">#REF!</definedName>
    <definedName name="_VAL15591">#REF!</definedName>
    <definedName name="_VAL15610">#REF!</definedName>
    <definedName name="_VAL15625">#REF!</definedName>
    <definedName name="_VAL15635">#REF!</definedName>
    <definedName name="_VAL15655">#REF!</definedName>
    <definedName name="_VAL15665">#REF!</definedName>
    <definedName name="_VAL16515">#REF!</definedName>
    <definedName name="_VAL16535">#REF!</definedName>
    <definedName name="_VAL17140">#REF!</definedName>
    <definedName name="_VAL19500">#REF!</definedName>
    <definedName name="_VAL19501">#REF!</definedName>
    <definedName name="_VAL19502">#REF!</definedName>
    <definedName name="_VAL19503">#REF!</definedName>
    <definedName name="_VAL19504">#REF!</definedName>
    <definedName name="_VAL19505">#REF!</definedName>
    <definedName name="_VAL20100">#REF!</definedName>
    <definedName name="_VAL20105">#REF!</definedName>
    <definedName name="_VAL20110">#REF!</definedName>
    <definedName name="_VAL20115">#REF!</definedName>
    <definedName name="_VAL20130">#REF!</definedName>
    <definedName name="_VAL20135">#REF!</definedName>
    <definedName name="_VAL20140">#REF!</definedName>
    <definedName name="_VAL20145">#REF!</definedName>
    <definedName name="_VAL20150">#REF!</definedName>
    <definedName name="_VAL20155">#REF!</definedName>
    <definedName name="_VAL20175">#REF!</definedName>
    <definedName name="_VAL20185">#REF!</definedName>
    <definedName name="_VAL20190">#REF!</definedName>
    <definedName name="_VAL20195">#REF!</definedName>
    <definedName name="_VAL20210">#REF!</definedName>
    <definedName name="_VAX1">#REF!</definedName>
    <definedName name="_VAX2">#REF!</definedName>
    <definedName name="_VRL1">#REF!</definedName>
    <definedName name="_VRL2">#REF!</definedName>
    <definedName name="_VRL3">#REF!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A">#REF!</definedName>
    <definedName name="aa">#REF!</definedName>
    <definedName name="aaa" localSheetId="21">'[27]PQP Op2'!$A$1:$H$24</definedName>
    <definedName name="aaa">#REF!</definedName>
    <definedName name="AAA_DOCTOPS" hidden="1">"AAA_SET"</definedName>
    <definedName name="AAA_duser" hidden="1">"OFF"</definedName>
    <definedName name="AAAA">#REF!</definedName>
    <definedName name="aaaaa" localSheetId="2" hidden="1">{"tabela",#N/A,FALSE,"Tabela";"decoração",#N/A,FALSE,"Decor.";"Informações",#N/A,FALSE,"Inform."}</definedName>
    <definedName name="aaaaa" hidden="1">{"tabela",#N/A,FALSE,"Tabela";"decoração",#N/A,FALSE,"Decor.";"Informações",#N/A,FALSE,"Inform."}</definedName>
    <definedName name="aaaaaa">'[27]PQP Op2'!$A$1:$H$24</definedName>
    <definedName name="aaaaaaa" localSheetId="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AAAAAAA" localSheetId="21">[28]PQP!$A$1:$G$23</definedName>
    <definedName name="aaaaaaa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aaaaa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aaa">'[27]PQP Op2'!$A$1:$H$24</definedName>
    <definedName name="aaaaaaaaaaaaaaa">#REF!</definedName>
    <definedName name="aaaaaaaaaaaaaaaaaaaaa">'[27]PQP Op2'!$A$1:$H$24</definedName>
    <definedName name="aaacccc" localSheetId="2" hidden="1">{#N/A,#N/A,FALSE,"Plan1";#N/A,#N/A,FALSE,"Plan2"}</definedName>
    <definedName name="aaacccc" hidden="1">{#N/A,#N/A,FALSE,"Plan1";#N/A,#N/A,FALSE,"Plan2"}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GFA">#REF!</definedName>
    <definedName name="a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BC">#REF!</definedName>
    <definedName name="ABC_SERV_2">#REF!</definedName>
    <definedName name="ABCD" hidden="1">[29]Plan1!#REF!</definedName>
    <definedName name="ABRA">#REF!</definedName>
    <definedName name="AC">#REF!</definedName>
    <definedName name="Acabamento_Solesa">#REF!</definedName>
    <definedName name="Acabamento_Solesa_1">#REF!</definedName>
    <definedName name="Acabamento_Solesa_2">#REF!</definedName>
    <definedName name="Acabamento_Solesa_3">#REF!</definedName>
    <definedName name="AccessDatabase" hidden="1">"C:\Documents and Settings\JPMELLO\Meus documentos\ARQUIVOS 2004\MONITORAMENTO OAC\Monitoramento de OAC.mdb"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o">#REF!</definedName>
    <definedName name="ACOM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localSheetId="2" hidden="1">{#N/A,#N/A,FALSE,"GRÁFICO";#N/A,#N/A,FALSE,"MED-URBANIZ";#N/A,#N/A,FALSE,"RES-URBANIZ";#N/A,#N/A,FALSE,"POS-FÍSICA-BLOCO2";#N/A,#N/A,FALSE,"MED-BLOCO2";#N/A,#N/A,FALSE,"RES-BLOCO2";#N/A,#N/A,FALSE,"POS-FÍSICA-BLOCO1";#N/A,#N/A,FALSE,"MED-BLOCO1";#N/A,#N/A,FALSE,"RES-BLOCO1";#N/A,#N/A,FALSE,"REAJUSTE";#N/A,#N/A,FALSE,"POS-FÍSICA-RESUMO";#N/A,#N/A,FALSE,"EXTCRO";#N/A,#N/A,FALSE,"RES-GERAL";#N/A,#N/A,FALSE,"MULTA"}</definedName>
    <definedName name="ad" hidden="1">{#N/A,#N/A,FALSE,"GRÁFICO";#N/A,#N/A,FALSE,"MED-URBANIZ";#N/A,#N/A,FALSE,"RES-URBANIZ";#N/A,#N/A,FALSE,"POS-FÍSICA-BLOCO2";#N/A,#N/A,FALSE,"MED-BLOCO2";#N/A,#N/A,FALSE,"RES-BLOCO2";#N/A,#N/A,FALSE,"POS-FÍSICA-BLOCO1";#N/A,#N/A,FALSE,"MED-BLOCO1";#N/A,#N/A,FALSE,"RES-BLOCO1";#N/A,#N/A,FALSE,"REAJUSTE";#N/A,#N/A,FALSE,"POS-FÍSICA-RESUMO";#N/A,#N/A,FALSE,"EXTCRO";#N/A,#N/A,FALSE,"RES-GERAL";#N/A,#N/A,FALSE,"MULTA"}</definedName>
    <definedName name="adcionais2" localSheetId="2" hidden="1">{#N/A,#N/A,FALSE,"Aluguéis Mensais"}</definedName>
    <definedName name="adcionais2" hidden="1">{#N/A,#N/A,FALSE,"Aluguéis Mensais"}</definedName>
    <definedName name="adcionais2_1" localSheetId="2" hidden="1">{#N/A,#N/A,FALSE,"Aluguéis Mensais"}</definedName>
    <definedName name="adcionais2_1" hidden="1">{#N/A,#N/A,FALSE,"Aluguéis Mensais"}</definedName>
    <definedName name="adcionais2_1_1_1" localSheetId="2" hidden="1">{#N/A,#N/A,FALSE,"Aluguéis Mensais"}</definedName>
    <definedName name="adcionais2_1_1_1" hidden="1">{#N/A,#N/A,FALSE,"Aluguéis Mensais"}</definedName>
    <definedName name="adcionais2_2" localSheetId="2" hidden="1">{#N/A,#N/A,FALSE,"Aluguéis Mensais"}</definedName>
    <definedName name="adcionais2_2" hidden="1">{#N/A,#N/A,FALSE,"Aluguéis Mensais"}</definedName>
    <definedName name="adcionais2_2_1" localSheetId="2" hidden="1">{#N/A,#N/A,FALSE,"Aluguéis Mensais"}</definedName>
    <definedName name="adcionais2_2_1" hidden="1">{#N/A,#N/A,FALSE,"Aluguéis Mensais"}</definedName>
    <definedName name="ADIANTAMENTO" localSheetId="21">'[30]Cotação de Materiais'!#REF!</definedName>
    <definedName name="ADIANTAMENTO">#REF!</definedName>
    <definedName name="adm">#REF!</definedName>
    <definedName name="ADM.EXTERNA">#REF!</definedName>
    <definedName name="Administrativo">[31]RESUMO!$S$10</definedName>
    <definedName name="aerop">#REF!</definedName>
    <definedName name="AFS">[32]TD!$A$5:$A$13</definedName>
    <definedName name="AGAS" localSheetId="2" hidden="1">{#N/A,#N/A,FALSE,"ORC-ACKE";#N/A,#N/A,FALSE,"RESUMO"}</definedName>
    <definedName name="AGAS" hidden="1">{#N/A,#N/A,FALSE,"ORC-ACKE";#N/A,#N/A,FALSE,"RESUMO"}</definedName>
    <definedName name="AGE" localSheetId="2" hidden="1">{#N/A,#N/A,FALSE,"CONTROLE"}</definedName>
    <definedName name="AGE" hidden="1">{#N/A,#N/A,FALSE,"CONTROLE"}</definedName>
    <definedName name="agencias" localSheetId="2" hidden="1">{#N/A,#N/A,FALSE,"CONTROLE"}</definedName>
    <definedName name="agencias" hidden="1">{#N/A,#N/A,FALSE,"CONTROLE"}</definedName>
    <definedName name="Agências">#REF!</definedName>
    <definedName name="AGÊNCIAS_COD">#REF!</definedName>
    <definedName name="AGOA">#REF!</definedName>
    <definedName name="AGORA">#REF!</definedName>
    <definedName name="agval" localSheetId="2" hidden="1">{#N/A,#N/A,FALSE,"CONTROLE"}</definedName>
    <definedName name="agval" hidden="1">{#N/A,#N/A,FALSE,"CONTROLE"}</definedName>
    <definedName name="alexandre">#REF!</definedName>
    <definedName name="ALT">#REF!</definedName>
    <definedName name="aluguel_de_máquinas__veículos_e_equipamentos">#REF!</definedName>
    <definedName name="ALV_BL1">[33]BL1!$G$126</definedName>
    <definedName name="ALV_BL2">[33]BL2!$G$145</definedName>
    <definedName name="ALV_BL4">'[33]BL3-4'!$G$124</definedName>
    <definedName name="ALV_BL5">[33]BL5!$G$123</definedName>
    <definedName name="ALV_BL6">[33]BL6!$G$120</definedName>
    <definedName name="ALV_BL7">[33]BL7!$G$123</definedName>
    <definedName name="ALV_BL8">[33]BL8!$G$119</definedName>
    <definedName name="ALV_POR">[33]PORTARIA!$G$111</definedName>
    <definedName name="ALV_SUB">[33]SUBEST.!$G$114</definedName>
    <definedName name="ALVENARIA">#N/A</definedName>
    <definedName name="am">#REF!</definedName>
    <definedName name="AME">#REF!</definedName>
    <definedName name="an">'[34]LM ESCADA MARINHEIRO'!#REF!</definedName>
    <definedName name="ANALITICO">#REF!</definedName>
    <definedName name="ANEXOS">#REF!</definedName>
    <definedName name="ANJR.ADMCRP">Tarefas!$DP$30</definedName>
    <definedName name="ANJR.ENGARQ">Tarefas!$DC$30</definedName>
    <definedName name="Annex6_2NotPiping">#REF!</definedName>
    <definedName name="ano">#REF!</definedName>
    <definedName name="ANPL.ADMCRP">Tarefas!$DL$30</definedName>
    <definedName name="ANPL.ENGARQ">Tarefas!$CY$30</definedName>
    <definedName name="anscount" localSheetId="21" hidden="1">1</definedName>
    <definedName name="anscount" hidden="1">2</definedName>
    <definedName name="ANSR.ADMCRP">Tarefas!$DH$30</definedName>
    <definedName name="ANSR.ENGARQ">Tarefas!$CU$30</definedName>
    <definedName name="ANTIGA">#REF!</definedName>
    <definedName name="aplicação" localSheetId="2" hidden="1">{#N/A,#N/A,FALSE,"CONTROLE"}</definedName>
    <definedName name="aplicação" hidden="1">{#N/A,#N/A,FALSE,"CONTROLE"}</definedName>
    <definedName name="APOIO">#REF!</definedName>
    <definedName name="Apresentação">'[35]Orçamento construbase'!#REF!</definedName>
    <definedName name="APTO_TIPO">#REF!</definedName>
    <definedName name="ar">#REF!</definedName>
    <definedName name="ArComprimido" localSheetId="2" hidden="1">{"'Estimativa de Lançamento-JAN'!$A$1:$AI$85"}</definedName>
    <definedName name="ArComprimido" hidden="1">{"'Estimativa de Lançamento-JAN'!$A$1:$AI$85"}</definedName>
    <definedName name="AREA">#REF!</definedName>
    <definedName name="área">#REF!</definedName>
    <definedName name="area_base">[25]Base!$U$40</definedName>
    <definedName name="_xlnm.Extract">#REF!</definedName>
    <definedName name="_xlnm.Print_Area" localSheetId="20">'APOIO Impostos'!$B$1:$E$17</definedName>
    <definedName name="_xlnm.Print_Area" localSheetId="0">Dashboard!$A$1:$AA$65</definedName>
    <definedName name="_xlnm.Print_Area" localSheetId="10">Precificação!$I$1:$W$1559</definedName>
    <definedName name="_xlnm.Print_Area" localSheetId="3">Tarefas!$A$1:$AV$55</definedName>
    <definedName name="_xlnm.Print_Area">#REF!</definedName>
    <definedName name="area_impressÃO">#REF!</definedName>
    <definedName name="Área_impressão_IM">#N/A</definedName>
    <definedName name="area1">#REF!</definedName>
    <definedName name="AREACPLM">#REF!</definedName>
    <definedName name="AREADREN">#REF!</definedName>
    <definedName name="AREAPAV">#REF!</definedName>
    <definedName name="AREARESUMO">#REF!</definedName>
    <definedName name="AreaTeste">#REF!</definedName>
    <definedName name="AreaTeste2">#REF!</definedName>
    <definedName name="as" localSheetId="2" hidden="1">{#N/A,#N/A,FALSE,"BETER -1";#N/A,#N/A,FALSE,"BETER -2";#N/A,#N/A,FALSE,"BETER -3";#N/A,#N/A,FALSE,"BETER -urb";#N/A,#N/A,FALSE,"BETER -RESUMO"}</definedName>
    <definedName name="as" hidden="1">{#N/A,#N/A,FALSE,"BETER -1";#N/A,#N/A,FALSE,"BETER -2";#N/A,#N/A,FALSE,"BETER -3";#N/A,#N/A,FALSE,"BETER -urb";#N/A,#N/A,FALSE,"BETER -RESUMO"}</definedName>
    <definedName name="AS2DocOpenMode" hidden="1">"AS2DocumentEdit"</definedName>
    <definedName name="asadadada" localSheetId="2" hidden="1">{#N/A,#N/A,TRUE,"Resumo de Preços"}</definedName>
    <definedName name="asadadada" hidden="1">{#N/A,#N/A,TRUE,"Resumo de Preços"}</definedName>
    <definedName name="asd">#REF!</definedName>
    <definedName name="asdd" hidden="1">#REF!</definedName>
    <definedName name="ASDF" localSheetId="2" hidden="1">{#N/A,#N/A,FALSE,"RESUMO-BB1";#N/A,#N/A,FALSE,"MOD-A01-R - BB1";#N/A,#N/A,FALSE,"URB-BB1"}</definedName>
    <definedName name="ASDF" hidden="1">{#N/A,#N/A,FALSE,"RESUMO-BB1";#N/A,#N/A,FALSE,"MOD-A01-R - BB1";#N/A,#N/A,FALSE,"URB-BB1"}</definedName>
    <definedName name="ASDFASFA" localSheetId="2" hidden="1">{#N/A,#N/A,TRUE,"Resumo de Preços"}</definedName>
    <definedName name="ASDFASFA" hidden="1">{#N/A,#N/A,TRUE,"Resumo de Preços"}</definedName>
    <definedName name="ASDFASFA2" localSheetId="2" hidden="1">{#N/A,#N/A,TRUE,"Resumo de Preços"}</definedName>
    <definedName name="ASDFASFA2" hidden="1">{#N/A,#N/A,TRUE,"Resumo de Preços"}</definedName>
    <definedName name="ASDFG" localSheetId="2" hidden="1">{#N/A,#N/A,FALSE,"RESUMO-BB1";#N/A,#N/A,FALSE,"MOD-A01-R - BB1";#N/A,#N/A,FALSE,"URB-BB1"}</definedName>
    <definedName name="ASDFG" hidden="1">{#N/A,#N/A,FALSE,"RESUMO-BB1";#N/A,#N/A,FALSE,"MOD-A01-R - BB1";#N/A,#N/A,FALSE,"URB-BB1"}</definedName>
    <definedName name="asdfgh">#REF!</definedName>
    <definedName name="asfa">#REF!</definedName>
    <definedName name="ASFASDF">#REF!</definedName>
    <definedName name="ASP">[36]Reaproveitamento_de_formas!$M$5</definedName>
    <definedName name="assd" localSheetId="2" hidden="1">{#N/A,#N/A,FALSE,"Bericht 2";#N/A,#N/A,FALSE,"Bericht 3";#N/A,#N/A,FALSE,"Bericht 1"}</definedName>
    <definedName name="assd" hidden="1">{#N/A,#N/A,FALSE,"Bericht 2";#N/A,#N/A,FALSE,"Bericht 3";#N/A,#N/A,FALSE,"Bericht 1"}</definedName>
    <definedName name="asxc">#REF!</definedName>
    <definedName name="ATR">[32]TD!$A$15:$A$18</definedName>
    <definedName name="atual">[37]Imai03!$A$2:$D$3535</definedName>
    <definedName name="aux">#REF!</definedName>
    <definedName name="Aux_meses">[38]Variações!$T$1:$AQ$1</definedName>
    <definedName name="AUXADM">Tarefas!$EL$30</definedName>
    <definedName name="auxiliar">#REF!</definedName>
    <definedName name="Auxiliar_Pintura___0">#REF!</definedName>
    <definedName name="AUXTEC">Tarefas!$EH$30</definedName>
    <definedName name="AVAL" localSheetId="2" hidden="1">{#N/A,#N/A,FALSE,"CONTROLE"}</definedName>
    <definedName name="AVAL" hidden="1">{#N/A,#N/A,FALSE,"CONTROLE"}</definedName>
    <definedName name="b">#REF!</definedName>
    <definedName name="bad" localSheetId="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bad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balão1">"AutoForma 17"</definedName>
    <definedName name="Banco_dados_IM">#REF!</definedName>
    <definedName name="BANCO_INSUMOS">'[39]BANCO DE INSUMOS GERAL'!$B$9:$F$979</definedName>
    <definedName name="BANCO1">#REF!</definedName>
    <definedName name="BANCO2">#REF!</definedName>
    <definedName name="BANCO2_13">[40]Cobertura!#REF!</definedName>
    <definedName name="BANCO3">#REF!</definedName>
    <definedName name="BANCO3_13">[40]Cobertura!#REF!</definedName>
    <definedName name="BANCO4">#REF!</definedName>
    <definedName name="BANCO4_13">[40]Cobertura!#REF!</definedName>
    <definedName name="BARRETE">#REF!</definedName>
    <definedName name="base">'[41]CPU ANTT'!$B$11:$H$3263</definedName>
    <definedName name="BASECONTA">#REF!</definedName>
    <definedName name="_xlnm.Database">#REF!</definedName>
    <definedName name="BASERH">#REF!</definedName>
    <definedName name="bb" localSheetId="2" hidden="1">{#N/A,#N/A,TRUE,"DIVIDER PAGE";#N/A,#N/A,TRUE,"Exist + Reg A IS";#N/A,#N/A,TRUE,"Summary IS exc. B";#N/A,#N/A,TRUE,"New Stores";#N/A,#N/A,TRUE,"Existing DCF";#N/A,#N/A,TRUE,"Region A DCF";#N/A,#N/A,TRUE,"Existing + Reg. A DCF"}</definedName>
    <definedName name="bb" hidden="1">{#N/A,#N/A,TRUE,"DIVIDER PAGE";#N/A,#N/A,TRUE,"Exist + Reg A IS";#N/A,#N/A,TRUE,"Summary IS exc. B";#N/A,#N/A,TRUE,"New Stores";#N/A,#N/A,TRUE,"Existing DCF";#N/A,#N/A,TRUE,"Region A DCF";#N/A,#N/A,TRUE,"Existing + Reg. A DCF"}</definedName>
    <definedName name="BBB" localSheetId="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21">#REF!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" localSheetId="2" hidden="1">{#N/A,#N/A,FALSE,"GP";#N/A,#N/A,FALSE,"Assinantes";#N/A,#N/A,FALSE,"Rede";#N/A,#N/A,FALSE,"Evolução";#N/A,#N/A,FALSE,"Resultado"}</definedName>
    <definedName name="bbbb" hidden="1">{#N/A,#N/A,FALSE,"GP";#N/A,#N/A,FALSE,"Assinantes";#N/A,#N/A,FALSE,"Rede";#N/A,#N/A,FALSE,"Evolução";#N/A,#N/A,FALSE,"Resultado"}</definedName>
    <definedName name="BBBBBBBBBBBB">#REF!</definedName>
    <definedName name="bc" localSheetId="2" hidden="1">{#N/A,#N/A,FALSE,"ORC-ACKE";#N/A,#N/A,FALSE,"RESUMO"}</definedName>
    <definedName name="bc" hidden="1">{#N/A,#N/A,FALSE,"ORC-ACKE";#N/A,#N/A,FALSE,"RESUMO"}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COS">#REF!</definedName>
    <definedName name="BD01_20">#REF!</definedName>
    <definedName name="BD1_9">#REF!</definedName>
    <definedName name="BD100_900">#REF!</definedName>
    <definedName name="BD20_90">#REF!</definedName>
    <definedName name="BDI" localSheetId="21">1.43344312465585</definedName>
    <definedName name="BDI">[42]Analitica!$U$3:$U$8</definedName>
    <definedName name="BDI.">#REF!</definedName>
    <definedName name="BDIADM">#REF!</definedName>
    <definedName name="bdimerigo">#REF!</definedName>
    <definedName name="BE">#REF!</definedName>
    <definedName name="BERCO">#REF!</definedName>
    <definedName name="bete" localSheetId="2" hidden="1">{#N/A,#N/A,FALSE,"CONTROLE"}</definedName>
    <definedName name="bete" hidden="1">{#N/A,#N/A,FALSE,"CONTROLE"}</definedName>
    <definedName name="BG">#REF!</definedName>
    <definedName name="BI">#REF!</definedName>
    <definedName name="BL">#REF!</definedName>
    <definedName name="bloco">#REF!</definedName>
    <definedName name="BLPH10" hidden="1">[43]HIST!#REF!</definedName>
    <definedName name="BLPH11" hidden="1">[43]HIST!#REF!</definedName>
    <definedName name="BLPH12" hidden="1">[43]HIST!#REF!</definedName>
    <definedName name="BLPH13" hidden="1">[43]HIST!#REF!</definedName>
    <definedName name="BLPH14" hidden="1">[43]HIST!#REF!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[43]HIST!#REF!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[43]HIST!#REF!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0" hidden="1">#REF!</definedName>
    <definedName name="BLPH6" hidden="1">[43]HIST!#REF!</definedName>
    <definedName name="BLPH7" hidden="1">[43]HIST!#REF!</definedName>
    <definedName name="BLPH8" hidden="1">[43]HIST!#REF!</definedName>
    <definedName name="BLPH9" hidden="1">[43]HIST!#REF!</definedName>
    <definedName name="BNP_Pab">#REF!</definedName>
    <definedName name="Bomba_putzmeister">#REF!</definedName>
    <definedName name="BORD">#REF!</definedName>
    <definedName name="BORDA_2">#REF!</definedName>
    <definedName name="BORDAINV">#REF!</definedName>
    <definedName name="BORDAOBS">#REF!</definedName>
    <definedName name="BRUTO" localSheetId="21">'[30]Cotação de Materiais'!#REF!</definedName>
    <definedName name="BRUTO">#REF!</definedName>
    <definedName name="bsbend">#REF!</definedName>
    <definedName name="bsmend">#REF!</definedName>
    <definedName name="BT__1">#REF!</definedName>
    <definedName name="BT_AOES">#REF!</definedName>
    <definedName name="BT_BLH">#REF!</definedName>
    <definedName name="Bt_Cancel_Clique">[44]!Bt_Cancel_Clique</definedName>
    <definedName name="BT_CEM">#REF!</definedName>
    <definedName name="BT_CTAVO">#REF!</definedName>
    <definedName name="BT_DE">#REF!</definedName>
    <definedName name="BT_E">#REF!</definedName>
    <definedName name="BT_EVG">#REF!</definedName>
    <definedName name="Bt_Fechar_Clique">[44]!Bt_Fechar_Clique</definedName>
    <definedName name="BT_MDA">#REF!</definedName>
    <definedName name="BT_MIL">#REF!</definedName>
    <definedName name="BT_MLH">#REF!</definedName>
    <definedName name="BT_VG">#REF!</definedName>
    <definedName name="Bueiros">#REF!</definedName>
    <definedName name="BuiltIn_AutoFilter___7_1">#REF!</definedName>
    <definedName name="BuiltIn_AutoFilter___7_10">#REF!</definedName>
    <definedName name="BuiltIn_AutoFilter___7_11">#REF!</definedName>
    <definedName name="BuiltIn_AutoFilter___7_12">#REF!</definedName>
    <definedName name="BuiltIn_AutoFilter___7_2">#REF!</definedName>
    <definedName name="BuiltIn_AutoFilter___7_3">#REF!</definedName>
    <definedName name="BuiltIn_AutoFilter___7_4">#REF!</definedName>
    <definedName name="BuiltIn_AutoFilter___7_5">#REF!</definedName>
    <definedName name="BuiltIn_AutoFilter___7_6">#REF!</definedName>
    <definedName name="BuiltIn_AutoFilter___7_7">#REF!</definedName>
    <definedName name="BuiltIn_AutoFilter___7_8">#REF!</definedName>
    <definedName name="BuiltIn_AutoFilter___7_9">#REF!</definedName>
    <definedName name="BuiltIn_AutoFilter___8">#REF!</definedName>
    <definedName name="BuiltIn_AutoFilter___8_1">#REF!</definedName>
    <definedName name="BuiltIn_AutoFilter___8_10">#REF!</definedName>
    <definedName name="BuiltIn_AutoFilter___8_11">#REF!</definedName>
    <definedName name="BuiltIn_AutoFilter___8_12">#REF!</definedName>
    <definedName name="BuiltIn_AutoFilter___8_13">#REF!</definedName>
    <definedName name="BuiltIn_AutoFilter___8_14">#REF!</definedName>
    <definedName name="BuiltIn_AutoFilter___8_15">#REF!</definedName>
    <definedName name="BuiltIn_AutoFilter___8_16">#REF!</definedName>
    <definedName name="BuiltIn_AutoFilter___8_17">#REF!</definedName>
    <definedName name="BuiltIn_AutoFilter___8_18">#REF!</definedName>
    <definedName name="BuiltIn_AutoFilter___8_19">#REF!</definedName>
    <definedName name="BuiltIn_AutoFilter___8_2">#REF!</definedName>
    <definedName name="BuiltIn_AutoFilter___8_20">#REF!</definedName>
    <definedName name="BuiltIn_AutoFilter___8_21">#REF!</definedName>
    <definedName name="BuiltIn_AutoFilter___8_22">#REF!</definedName>
    <definedName name="BuiltIn_AutoFilter___8_23">#REF!</definedName>
    <definedName name="BuiltIn_AutoFilter___8_24">#REF!</definedName>
    <definedName name="BuiltIn_AutoFilter___8_25">#REF!</definedName>
    <definedName name="BuiltIn_AutoFilter___8_26">#REF!</definedName>
    <definedName name="BuiltIn_AutoFilter___8_27">#REF!</definedName>
    <definedName name="BuiltIn_AutoFilter___8_28">#REF!</definedName>
    <definedName name="BuiltIn_AutoFilter___8_29">#REF!</definedName>
    <definedName name="BuiltIn_AutoFilter___8_3">#REF!</definedName>
    <definedName name="BuiltIn_AutoFilter___8_30">#REF!</definedName>
    <definedName name="BuiltIn_AutoFilter___8_31">#REF!</definedName>
    <definedName name="BuiltIn_AutoFilter___8_32">#REF!</definedName>
    <definedName name="BuiltIn_AutoFilter___8_4">#REF!</definedName>
    <definedName name="BuiltIn_AutoFilter___8_5">#REF!</definedName>
    <definedName name="BuiltIn_AutoFilter___8_6">#REF!</definedName>
    <definedName name="BuiltIn_AutoFilter___8_7">#REF!</definedName>
    <definedName name="BuiltIn_AutoFilter___8_8">#REF!</definedName>
    <definedName name="BuiltIn_AutoFilter___8_9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10">#REF!</definedName>
    <definedName name="BuiltIn_Print_Area___0___1">#REF!</definedName>
    <definedName name="BuiltIn_Print_Area___0___1___0">#REF!</definedName>
    <definedName name="BuiltIn_Print_Area___0___1___0___0">#REF!</definedName>
    <definedName name="BuiltIn_Print_Area___0___1___0___0___0">#REF!</definedName>
    <definedName name="BuiltIn_Print_Area___0___1___0___0___0___0">#REF!</definedName>
    <definedName name="BuiltIn_Print_Area___0___1___0___0___0___0___0">#REF!</definedName>
    <definedName name="BuiltIn_Print_Area___0___1___0___0___0___0___0___0">#REF!</definedName>
    <definedName name="BuiltIn_Print_Area___0___1___0___0___0___0___0___0___0">#REF!</definedName>
    <definedName name="BuiltIn_Print_Area___0___1___0___0___0___0___0___0___0___0">#REF!</definedName>
    <definedName name="BuiltIn_Print_Area___0___1___0___0___0___0___0___0___0___0_10">#REF!</definedName>
    <definedName name="BuiltIn_Print_Area___0___1___0___0___0___0___0___0___0___0_11">#REF!</definedName>
    <definedName name="BuiltIn_Print_Area___0___1___0___0___0___0___0___0___0___0_12">#REF!</definedName>
    <definedName name="BuiltIn_Print_Area___0___1___0___0___0___0___0___0___0___0_6">#REF!</definedName>
    <definedName name="BuiltIn_Print_Area___0___1___0___0___0___0___0___0___0___0_7">#REF!</definedName>
    <definedName name="BuiltIn_Print_Area___0___1___0___0___0___0___0___0___0___0_8">#REF!</definedName>
    <definedName name="BuiltIn_Print_Area___0___1___0___0___0___0___0___0___0___0_9">#REF!</definedName>
    <definedName name="BuiltIn_Print_Area___0___1___0___0___0___0___0___0___0_10">#REF!</definedName>
    <definedName name="BuiltIn_Print_Area___0___1___0___0___0___0___0___0___0_11">#REF!</definedName>
    <definedName name="BuiltIn_Print_Area___0___1___0___0___0___0___0___0___0_12">#REF!</definedName>
    <definedName name="BuiltIn_Print_Area___0___1___0___0___0___0___0___0___0_6">#REF!</definedName>
    <definedName name="BuiltIn_Print_Area___0___1___0___0___0___0___0___0___0_7">#REF!</definedName>
    <definedName name="BuiltIn_Print_Area___0___1___0___0___0___0___0___0___0_8">#REF!</definedName>
    <definedName name="BuiltIn_Print_Area___0___1___0___0___0___0___0___0___0_9">#REF!</definedName>
    <definedName name="BuiltIn_Print_Area___0___1___0___0___0___0___0___0_10">#REF!</definedName>
    <definedName name="BuiltIn_Print_Area___0___1___0___0___0___0___0___0_11">#REF!</definedName>
    <definedName name="BuiltIn_Print_Area___0___1___0___0___0___0___0___0_12">#REF!</definedName>
    <definedName name="BuiltIn_Print_Area___0___1___0___0___0___0___0___0_6">#REF!</definedName>
    <definedName name="BuiltIn_Print_Area___0___1___0___0___0___0___0___0_7">#REF!</definedName>
    <definedName name="BuiltIn_Print_Area___0___1___0___0___0___0___0___0_8">#REF!</definedName>
    <definedName name="BuiltIn_Print_Area___0___1___0___0___0___0___0___0_9">#REF!</definedName>
    <definedName name="BuiltIn_Print_Area___0___1___0___0___0___0___0_10">#REF!</definedName>
    <definedName name="BuiltIn_Print_Area___0___1___0___0___0___0___0_11">#REF!</definedName>
    <definedName name="BuiltIn_Print_Area___0___1___0___0___0___0___0_12">#REF!</definedName>
    <definedName name="BuiltIn_Print_Area___0___1___0___0___0___0___0_6">#REF!</definedName>
    <definedName name="BuiltIn_Print_Area___0___1___0___0___0___0___0_7">#REF!</definedName>
    <definedName name="BuiltIn_Print_Area___0___1___0___0___0___0___0_8">#REF!</definedName>
    <definedName name="BuiltIn_Print_Area___0___1___0___0___0___0___0_9">#REF!</definedName>
    <definedName name="BuiltIn_Print_Area___0___1___0___0___0___0_10">#REF!</definedName>
    <definedName name="BuiltIn_Print_Area___0___1___0___0___0___0_11">#REF!</definedName>
    <definedName name="BuiltIn_Print_Area___0___1___0___0___0___0_12">#REF!</definedName>
    <definedName name="BuiltIn_Print_Area___0___1___0___0___0___0_6">#REF!</definedName>
    <definedName name="BuiltIn_Print_Area___0___1___0___0___0___0_7">#REF!</definedName>
    <definedName name="BuiltIn_Print_Area___0___1___0___0___0___0_8">#REF!</definedName>
    <definedName name="BuiltIn_Print_Area___0___1___0___0___0___0_9">#REF!</definedName>
    <definedName name="BuiltIn_Print_Area___0___1___0___0___0_10">#REF!</definedName>
    <definedName name="BuiltIn_Print_Area___0___1___0___0___0_11">#REF!</definedName>
    <definedName name="BuiltIn_Print_Area___0___1___0___0___0_12">#REF!</definedName>
    <definedName name="BuiltIn_Print_Area___0___1___0___0___0_6">#REF!</definedName>
    <definedName name="BuiltIn_Print_Area___0___1___0___0___0_7">#REF!</definedName>
    <definedName name="BuiltIn_Print_Area___0___1___0___0___0_8">#REF!</definedName>
    <definedName name="BuiltIn_Print_Area___0___1___0___0___0_9">#REF!</definedName>
    <definedName name="BuiltIn_Print_Area___0___1___0___0_10">#REF!</definedName>
    <definedName name="BuiltIn_Print_Area___0___1___0___0_11">#REF!</definedName>
    <definedName name="BuiltIn_Print_Area___0___1___0___0_12">#REF!</definedName>
    <definedName name="BuiltIn_Print_Area___0___1___0___0_6">#REF!</definedName>
    <definedName name="BuiltIn_Print_Area___0___1___0___0_7">#REF!</definedName>
    <definedName name="BuiltIn_Print_Area___0___1___0___0_8">#REF!</definedName>
    <definedName name="BuiltIn_Print_Area___0___1___0___0_9">#REF!</definedName>
    <definedName name="BuiltIn_Print_Area___0___1___0_10">#REF!</definedName>
    <definedName name="BuiltIn_Print_Area___0___1___0_11">#REF!</definedName>
    <definedName name="BuiltIn_Print_Area___0___1___0_12">#REF!</definedName>
    <definedName name="BuiltIn_Print_Area___0___1___0_6">#REF!</definedName>
    <definedName name="BuiltIn_Print_Area___0___1___0_7">#REF!</definedName>
    <definedName name="BuiltIn_Print_Area___0___1___0_8">#REF!</definedName>
    <definedName name="BuiltIn_Print_Area___0___1___0_9">#REF!</definedName>
    <definedName name="BuiltIn_Print_Area___0___1_10">#REF!</definedName>
    <definedName name="BuiltIn_Print_Area___0___1_11">#REF!</definedName>
    <definedName name="BuiltIn_Print_Area___0___1_12">#REF!</definedName>
    <definedName name="BuiltIn_Print_Area___0___1_6">#REF!</definedName>
    <definedName name="BuiltIn_Print_Area___0___1_7">#REF!</definedName>
    <definedName name="BuiltIn_Print_Area___0___1_8">#REF!</definedName>
    <definedName name="BuiltIn_Print_Area___0___1_9">#REF!</definedName>
    <definedName name="BuiltIn_Print_Area___0_10">#REF!</definedName>
    <definedName name="BuiltIn_Print_Area___0_11">#REF!</definedName>
    <definedName name="BuiltIn_Print_Area___0_12">#REF!</definedName>
    <definedName name="BuiltIn_Print_Area___0_7">#REF!</definedName>
    <definedName name="BuiltIn_Print_Area___0_8">#REF!</definedName>
    <definedName name="BuiltIn_Print_Area___0_9">#REF!</definedName>
    <definedName name="BuiltIn_Print_Area_10">#REF!</definedName>
    <definedName name="BuiltIn_Print_Area_11">#REF!</definedName>
    <definedName name="BuiltIn_Print_Area_12">#REF!</definedName>
    <definedName name="BuiltIn_Print_Area_6">#REF!</definedName>
    <definedName name="BuiltIn_Print_Area_7">#REF!</definedName>
    <definedName name="BuiltIn_Print_Area_8">#REF!</definedName>
    <definedName name="BuiltIn_Print_Area_9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10">#REF!</definedName>
    <definedName name="BuiltIn_Print_Titles___0___1">#REF!</definedName>
    <definedName name="BuiltIn_Print_Titles___0_10">#REF!</definedName>
    <definedName name="BuiltIn_Print_Titles___0_11">#REF!</definedName>
    <definedName name="BuiltIn_Print_Titles___0_12">#REF!</definedName>
    <definedName name="BuiltIn_Print_Titles___0_6">#REF!</definedName>
    <definedName name="BuiltIn_Print_Titles___0_7">#REF!</definedName>
    <definedName name="BuiltIn_Print_Titles___0_8">#REF!</definedName>
    <definedName name="BuiltIn_Print_Titles___0_9">#REF!</definedName>
    <definedName name="BuiltIn_Print_Titles_10">#REF!</definedName>
    <definedName name="BuiltIn_Print_Titles_11">#REF!</definedName>
    <definedName name="BuiltIn_Print_Titles_12">#REF!</definedName>
    <definedName name="BuiltIn_Print_Titles_6">#REF!</definedName>
    <definedName name="BuiltIn_Print_Titles_7">#REF!</definedName>
    <definedName name="BuiltIn_Print_Titles_8">#REF!</definedName>
    <definedName name="BuiltIn_Print_Titles_9">#REF!</definedName>
    <definedName name="Button_3">"Monitoramento_de_OAC_Caixas_de_ligação_Reg_I_Lista"</definedName>
    <definedName name="Button_4">"Monitoramento_de_OAC_Caixas_de_ligação_Reg_I_Lista"</definedName>
    <definedName name="BZXCVBADH">#REF!</definedName>
    <definedName name="ç">#REF!</definedName>
    <definedName name="C_">#REF!</definedName>
    <definedName name="c_bueiros">#REF!</definedName>
    <definedName name="CAB">#REF!</definedName>
    <definedName name="cab_cortes">#REF!</definedName>
    <definedName name="cab_dmt">#REF!</definedName>
    <definedName name="cab_limpeza">#REF!</definedName>
    <definedName name="cabmeio">#REF!</definedName>
    <definedName name="CAC">#REF!</definedName>
    <definedName name="CADASTRO">#REF!</definedName>
    <definedName name="Caix120">#REF!</definedName>
    <definedName name="Caix160">#REF!</definedName>
    <definedName name="CaixMax">#REF!</definedName>
    <definedName name="camargo">#REF!</definedName>
    <definedName name="CAMPOS">[45]!Tabela1[[#Headers],[VENDEDOR]:[ESTADO]]</definedName>
    <definedName name="Canteiro_">#REF!</definedName>
    <definedName name="canteiro_de_obras">#REF!</definedName>
    <definedName name="Cantoneiras">#REF!</definedName>
    <definedName name="capa" localSheetId="2" hidden="1">{#N/A,#N/A,FALSE,"CONTROLE"}</definedName>
    <definedName name="capa" hidden="1">{#N/A,#N/A,FALSE,"CONTROLE"}</definedName>
    <definedName name="CAPEX_ORÇADO">#REF!</definedName>
    <definedName name="CAPTALOUNAO">#REF!</definedName>
    <definedName name="CAR">#REF!</definedName>
    <definedName name="CargaHorariaFeriados">[46]Encargos!$W$25</definedName>
    <definedName name="CargaHorariaTotal">[46]Encargos!$V$25</definedName>
    <definedName name="CARLA" hidden="1">#REF!</definedName>
    <definedName name="Carros">#REF!</definedName>
    <definedName name="Carros1">#REF!</definedName>
    <definedName name="CARTÃO4">#REF!</definedName>
    <definedName name="CARTEIRA_CLIENTE">[45]!Tabela1[CARTEIRA_CLIENTE]</definedName>
    <definedName name="categoria_correta">OFFSET([47]aux!$AM$1,1,0,COUNTA([47]aux!$AM:$AM)-1,1)</definedName>
    <definedName name="cb">#REF!</definedName>
    <definedName name="CBU">#REF!</definedName>
    <definedName name="CBUQB">#REF!</definedName>
    <definedName name="cc" localSheetId="2" hidden="1">{#N/A,#N/A,FALSE,"RESUMO";#N/A,#N/A,FALSE,"EXTR-CRONO";#N/A,#N/A,FALSE,"REAJUSTE";#N/A,#N/A,FALSE,"ACOMP-OBRA";#N/A,#N/A,FALSE,"MEDIÇÃO";#N/A,#N/A,FALSE,"POSIÇÃO FÍSICA";#N/A,#N/A,FALSE,"GRÁFICO"}</definedName>
    <definedName name="cc" hidden="1">{#N/A,#N/A,FALSE,"RESUMO";#N/A,#N/A,FALSE,"EXTR-CRONO";#N/A,#N/A,FALSE,"REAJUSTE";#N/A,#N/A,FALSE,"ACOMP-OBRA";#N/A,#N/A,FALSE,"MEDIÇÃO";#N/A,#N/A,FALSE,"POSIÇÃO FÍSICA";#N/A,#N/A,FALSE,"GRÁFICO"}</definedName>
    <definedName name="ççç" localSheetId="2" hidden="1">{#N/A,#N/A,FALSE,"Plan1";#N/A,#N/A,FALSE,"Plan2"}</definedName>
    <definedName name="ççç" hidden="1">{#N/A,#N/A,FALSE,"Plan1";#N/A,#N/A,FALSE,"Plan2"}</definedName>
    <definedName name="cccc" localSheetId="2" hidden="1">{#N/A,#N/A,FALSE,"Plan1";#N/A,#N/A,FALSE,"Plan2"}</definedName>
    <definedName name="cccc" hidden="1">{#N/A,#N/A,FALSE,"Plan1";#N/A,#N/A,FALSE,"Plan2"}</definedName>
    <definedName name="cccccc">#REF!</definedName>
    <definedName name="ccccccc" localSheetId="2" hidden="1">{#N/A,#N/A,TRUE,"Resumo de Preços"}</definedName>
    <definedName name="ccccccc" hidden="1">{#N/A,#N/A,TRUE,"Resumo de Preços"}</definedName>
    <definedName name="ççççççç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" localSheetId="2" hidden="1">{#N/A,#N/A,TRUE,"Resumo de Preços"}</definedName>
    <definedName name="CCCCCCCCCC" hidden="1">{#N/A,#N/A,TRUE,"Resumo de Preços"}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CCM">#REF!</definedName>
    <definedName name="ccusto">#REF!</definedName>
    <definedName name="CD">#REF!</definedName>
    <definedName name="CélulaInicioPlanilha">#REF!</definedName>
    <definedName name="CélulaResumo">#REF!</definedName>
    <definedName name="CER">#REF!</definedName>
    <definedName name="CFCG">#REF!</definedName>
    <definedName name="cgico" localSheetId="2" hidden="1">{#N/A,#N/A,FALSE,"CONTROLE"}</definedName>
    <definedName name="cgico" hidden="1">{#N/A,#N/A,FALSE,"CONTROLE"}</definedName>
    <definedName name="changedbname2" localSheetId="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changedbname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changedname" localSheetId="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changedname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Chico" localSheetId="2" hidden="1">{#N/A,#N/A,FALSE,"CONTROLE"}</definedName>
    <definedName name="Chico" hidden="1">{#N/A,#N/A,FALSE,"CONTROLE"}</definedName>
    <definedName name="Chico_" localSheetId="2" hidden="1">{#N/A,#N/A,FALSE,"CONTROLE"}</definedName>
    <definedName name="Chico_" hidden="1">{#N/A,#N/A,FALSE,"CONTROLE"}</definedName>
    <definedName name="Chico__" localSheetId="2" hidden="1">{#N/A,#N/A,FALSE,"CONTROLE"}</definedName>
    <definedName name="Chico__" hidden="1">{#N/A,#N/A,FALSE,"CONTROLE"}</definedName>
    <definedName name="Chico___" localSheetId="2" hidden="1">{#N/A,#N/A,FALSE,"CONTROLE";#N/A,#N/A,FALSE,"CONTROLE"}</definedName>
    <definedName name="Chico___" hidden="1">{#N/A,#N/A,FALSE,"CONTROLE";#N/A,#N/A,FALSE,"CONTROLE"}</definedName>
    <definedName name="CI">#REF!</definedName>
    <definedName name="CIDADE">#REF!</definedName>
    <definedName name="CL">#REF!</definedName>
    <definedName name="çl">#REF!</definedName>
    <definedName name="Class_Equipamentos">#REF!</definedName>
    <definedName name="Class_Mão_de_Obra">#REF!</definedName>
    <definedName name="Class_Materiais">#REF!</definedName>
    <definedName name="classe_HH">[48]Plan2!$Q$5:$X$5</definedName>
    <definedName name="Classificação_ABC">[49]ABC!$J$17:$J$65536</definedName>
    <definedName name="cliente">'[50]Dados Iniciais'!$B$1</definedName>
    <definedName name="CNPJ">[31]RESUMO!$E$6</definedName>
    <definedName name="COB_BL1">[33]BL1!$G$150</definedName>
    <definedName name="COB_BL2">[33]BL2!$G$166</definedName>
    <definedName name="COB_BL4">'[33]BL3-4'!$G$147</definedName>
    <definedName name="COB_BL5">[33]BL5!$G$144</definedName>
    <definedName name="COB_BL6">[33]BL6!$G$141</definedName>
    <definedName name="COB_BL7">[33]BL7!$G$144</definedName>
    <definedName name="COB_BL8">[33]BL8!$G$136</definedName>
    <definedName name="COB_POR">[33]PORTARIA!$G$126</definedName>
    <definedName name="COB_SUB">[33]SUBEST.!$G$129</definedName>
    <definedName name="COBERTURA">#N/A</definedName>
    <definedName name="cod">#REF!</definedName>
    <definedName name="Cód.">"serv"</definedName>
    <definedName name="CÓD_EMP">#REF!</definedName>
    <definedName name="Cód_empresas">[38]aux!$C$3:$D$19</definedName>
    <definedName name="CÓD_IE">#REF!</definedName>
    <definedName name="code">'[50]Dados Iniciais'!$B$6</definedName>
    <definedName name="Codigo">#REF!</definedName>
    <definedName name="Código">#REF!</definedName>
    <definedName name="Código.">#REF!</definedName>
    <definedName name="Código02">'[51]DER E DERSA TPU Mar09'!#REF!</definedName>
    <definedName name="Código03">'[51]DER E DERSA TPU Mar09'!#REF!</definedName>
    <definedName name="Código04">'[51]DER E DERSA TPU Mar09'!#REF!</definedName>
    <definedName name="Código05">'[51]DER E DERSA TPU Mar09'!#REF!</definedName>
    <definedName name="Código06">'[51]DER E DERSA TPU Mar09'!#REF!</definedName>
    <definedName name="Código07">'[51]DER E DERSA TPU Mar09'!#REF!</definedName>
    <definedName name="Código08">'[51]DER E DERSA TPU Mar09'!#REF!</definedName>
    <definedName name="Código09">'[51]DER E DERSA TPU Mar09'!#REF!</definedName>
    <definedName name="Código10">'[51]DER E DERSA TPU Mar09'!#REF!</definedName>
    <definedName name="Código11">'[51]DER E DERSA TPU Mar09'!#REF!</definedName>
    <definedName name="Código12">'[51]DER E DERSA TPU Mar09'!#REF!</definedName>
    <definedName name="Código13">'[51]DER E DERSA TPU Mar09'!#REF!</definedName>
    <definedName name="Código14">'[51]DER E DERSA TPU Mar09'!#REF!</definedName>
    <definedName name="Código15">'[51]DER E DERSA TPU Mar09'!#REF!</definedName>
    <definedName name="Código21">'[51]DER E DERSA TPU Mar09'!$A$3:$A$100</definedName>
    <definedName name="Código22">'[51]DER E DERSA TPU Mar09'!$A$102:$A$176</definedName>
    <definedName name="Código23">'[51]DER E DERSA TPU Mar09'!$A$178:$A$277</definedName>
    <definedName name="Código24">'[51]DER E DERSA TPU Mar09'!$A$279:$A$445</definedName>
    <definedName name="Código25">'[51]DER E DERSA TPU Mar09'!$A$447:$A$643</definedName>
    <definedName name="Código26">'[51]DER E DERSA TPU Mar09'!$A$645:$A$740</definedName>
    <definedName name="Código27">'[51]DER E DERSA TPU Mar09'!$A$742:$A$841</definedName>
    <definedName name="Código28">'[51]DER E DERSA TPU Mar09'!$A$843:$A$916</definedName>
    <definedName name="Código30">'[51]DER E DERSA TPU Mar09'!$A$918:$A$938</definedName>
    <definedName name="Código34">'[51]DER E DERSA TPU Mar09'!$A$940:$A$974</definedName>
    <definedName name="Código35">'[51]DER E DERSA TPU Mar09'!$A$976:$A$1075</definedName>
    <definedName name="Código36">'[51]TPU Notas Técnicas Mar09'!$A$14:$A$22</definedName>
    <definedName name="Código37">'[51]DER E DERSA TPU Mar09'!$A$1077:$A$1267</definedName>
    <definedName name="Código72">'[51]DER E DERSA TPU Mar09'!$A$1269:$A$1975</definedName>
    <definedName name="CODOR1">'[19]orcID nº1'!$A$14:$A$1025</definedName>
    <definedName name="CODOR15">'[19]orc ID nº 15'!$A$14:$A$1000</definedName>
    <definedName name="CODOR17">'[19]orc ID nº17'!$A$16:$A$1000</definedName>
    <definedName name="CODOR18">'[19]orc ID nº 18'!$A$14:$A$1000</definedName>
    <definedName name="CODOR19">'[19]orc ID nº19'!$A$14:$A$1000</definedName>
    <definedName name="CODOR2">'[19]orc ID nº2 '!$A$14:$A$1000</definedName>
    <definedName name="CODOR3">'[19]orc ID nº3'!$A$14:$A$1001</definedName>
    <definedName name="CODOR4">'[19]orcID nº4'!$A$14:$A$1002</definedName>
    <definedName name="CODOR5">'[19]orcID nº5'!$A$14:$A$1002</definedName>
    <definedName name="CODOR6">'[19]orcID nº6'!$A$14:$A$1002</definedName>
    <definedName name="CODOR7">'[19]orcID nº7'!$A$14:$A$1003</definedName>
    <definedName name="CODOR8">'[19]orc ID nº8'!$A$14:$A$1003</definedName>
    <definedName name="CODOR9">'[19]orc ID nº9'!$A$14:$A$1002</definedName>
    <definedName name="COFINS">#REF!</definedName>
    <definedName name="cofins2">#REF!</definedName>
    <definedName name="CofinsAbat">#REF!</definedName>
    <definedName name="Coluna_ProcuraSolesa">#REF!</definedName>
    <definedName name="Coluna_ProcuraSolesa_1">#REF!</definedName>
    <definedName name="Coluna_ProcuraSolesa_2">#REF!</definedName>
    <definedName name="Coluna_ProcuraSolesa_3">#REF!</definedName>
    <definedName name="comentário" localSheetId="2" hidden="1">{#N/A,#N/A,FALSE,"Aluguéis Mensais"}</definedName>
    <definedName name="comentário" hidden="1">{#N/A,#N/A,FALSE,"Aluguéis Mensais"}</definedName>
    <definedName name="comentário_1" localSheetId="2" hidden="1">{#N/A,#N/A,FALSE,"Aluguéis Mensais"}</definedName>
    <definedName name="comentário_1" hidden="1">{#N/A,#N/A,FALSE,"Aluguéis Mensais"}</definedName>
    <definedName name="comentário_1_1_1" localSheetId="2" hidden="1">{#N/A,#N/A,FALSE,"Aluguéis Mensais"}</definedName>
    <definedName name="comentário_1_1_1" hidden="1">{#N/A,#N/A,FALSE,"Aluguéis Mensais"}</definedName>
    <definedName name="comentário_2" localSheetId="2" hidden="1">{#N/A,#N/A,FALSE,"Aluguéis Mensais"}</definedName>
    <definedName name="comentário_2" hidden="1">{#N/A,#N/A,FALSE,"Aluguéis Mensais"}</definedName>
    <definedName name="comentário_2_1" localSheetId="2" hidden="1">{#N/A,#N/A,FALSE,"Aluguéis Mensais"}</definedName>
    <definedName name="comentário_2_1" hidden="1">{#N/A,#N/A,FALSE,"Aluguéis Mensais"}</definedName>
    <definedName name="COMERCIAL">#REF!</definedName>
    <definedName name="comp">#REF!</definedName>
    <definedName name="comp.SP.pag.4.PIRA" localSheetId="2" hidden="1">{#N/A,#N/A,FALSE,"CONTROLE";#N/A,#N/A,FALSE,"CONTROLE"}</definedName>
    <definedName name="comp.SP.pag.4.PIRA" hidden="1">{#N/A,#N/A,FALSE,"CONTROLE";#N/A,#N/A,FALSE,"CONTROLE"}</definedName>
    <definedName name="comp_custo">#REF!</definedName>
    <definedName name="completo">#REF!</definedName>
    <definedName name="COMPOSICAO">#REF!</definedName>
    <definedName name="Composição_do_BDI">#REF!</definedName>
    <definedName name="Composições_Cd">#REF!</definedName>
    <definedName name="Composições_Custo">#REF!</definedName>
    <definedName name="Composições_Qtde">#REF!</definedName>
    <definedName name="Composições_QtdeSrv">#REF!</definedName>
    <definedName name="Composições_Tabela">#REF!</definedName>
    <definedName name="CONFIRMAR" localSheetId="2" hidden="1">{#N/A,#N/A,TRUE,"Quinzena 01 à 15-04-98 "}</definedName>
    <definedName name="CONFIRMAR" hidden="1">{#N/A,#N/A,TRUE,"Quinzena 01 à 15-04-98 "}</definedName>
    <definedName name="cons">#REF!</definedName>
    <definedName name="conservação_de_rotina">#REF!</definedName>
    <definedName name="conservação_especial">#REF!</definedName>
    <definedName name="conservação_rodoviária">#REF!</definedName>
    <definedName name="Consulta">#REF!</definedName>
    <definedName name="Consulta_itens_financeiros">#REF!</definedName>
    <definedName name="Consultb">#REF!</definedName>
    <definedName name="Contingencia">#REF!</definedName>
    <definedName name="COORD.">Tarefas!$BX$30</definedName>
    <definedName name="COPIA" localSheetId="2" hidden="1">{#N/A,#N/A,FALSE,"CONTROLE"}</definedName>
    <definedName name="COPIA" hidden="1">{#N/A,#N/A,FALSE,"CONTROLE"}</definedName>
    <definedName name="COPIA1" localSheetId="2" hidden="1">{#N/A,#N/A,FALSE,"CONTROLE"}</definedName>
    <definedName name="COPIA1" hidden="1">{#N/A,#N/A,FALSE,"CONTROLE"}</definedName>
    <definedName name="corina3">[52]talude!#REF!</definedName>
    <definedName name="corte">#REF!</definedName>
    <definedName name="cortina_1">#REF!</definedName>
    <definedName name="cortina_2">[52]talude!#REF!</definedName>
    <definedName name="cot">#REF!</definedName>
    <definedName name="CPAV">#REF!</definedName>
    <definedName name="CPMF">#REF!</definedName>
    <definedName name="CPONT">#REF!</definedName>
    <definedName name="CPUparalelo">#REF!</definedName>
    <definedName name="CPUPSOK">[53]CPU!$C$9:$K$1447</definedName>
    <definedName name="CR">#REF!</definedName>
    <definedName name="Criter">#REF!</definedName>
    <definedName name="CRITÉRIO">#REF!</definedName>
    <definedName name="_xlnm.Criteria">#REF!</definedName>
    <definedName name="Critérios_IM">#REF!</definedName>
    <definedName name="CRONG">#REF!</definedName>
    <definedName name="crono">[54]ORÇAMENTO!$A$15:$N$531</definedName>
    <definedName name="CRONOGRAMA_FÍSICO_FINANCEIRO">#REF!</definedName>
    <definedName name="CSDFSDAF">#REF!</definedName>
    <definedName name="CSE">[32]TD!$A$74:$A$94</definedName>
    <definedName name="ct">#REF!</definedName>
    <definedName name="CTD">#REF!</definedName>
    <definedName name="cu">#REF!</definedName>
    <definedName name="cu102.ShareScalingFactor" hidden="1">1000000</definedName>
    <definedName name="cu103.EmployeeScalingFactor" hidden="1">1000</definedName>
    <definedName name="cu107.DPSSymbol" hidden="1">"R$"</definedName>
    <definedName name="cu107.EPSSymbol" hidden="1">"R$"</definedName>
    <definedName name="cu71.ScalingFactor" hidden="1">1000</definedName>
    <definedName name="Curva_ABC">[49]ABC!$C$17:$K$972</definedName>
    <definedName name="Custo">#REF!</definedName>
    <definedName name="Custo_Direto_de_Obras_Civis_e_Instalações_...........................................">#REF!</definedName>
    <definedName name="CustoIncorrido01">[10]ORIGINAL!$AE$197</definedName>
    <definedName name="cv" localSheetId="2" hidden="1">{#N/A,#N/A,FALSE,"CONTROLE"}</definedName>
    <definedName name="cv" hidden="1">{#N/A,#N/A,FALSE,"CONTROLE"}</definedName>
    <definedName name="cxczczxc">#REF!</definedName>
    <definedName name="d" localSheetId="21">[55]kubus!$C$1:$H$65536</definedName>
    <definedName name="d">#REF!</definedName>
    <definedName name="d_1">[56]kubus!$C$1:$H$65536</definedName>
    <definedName name="da">[55]kubus!$C$1:$H$65536</definedName>
    <definedName name="da_1">[56]kubus!$C$1:$H$65536</definedName>
    <definedName name="dadinho">#REF!</definedName>
    <definedName name="Dados">#REF!</definedName>
    <definedName name="Dados_">#REF!</definedName>
    <definedName name="Dados_1">#REF!</definedName>
    <definedName name="Dados_2">#REF!</definedName>
    <definedName name="Dados_3">#REF!</definedName>
    <definedName name="dados_ok" localSheetId="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_ok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_Resumo">[10]ORIGINAL!#REF!</definedName>
    <definedName name="dados2" localSheetId="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" localSheetId="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1" localSheetId="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ok" localSheetId="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ok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Resumo">'[57]EVCO-set-04'!#REF!</definedName>
    <definedName name="dadsada">#REF!</definedName>
    <definedName name="daf" localSheetId="2" hidden="1">{#N/A,#N/A,FALSE,"RESUMO-BB1";#N/A,#N/A,FALSE,"MOD-A01-R - BB1";#N/A,#N/A,FALSE,"URB-BB1"}</definedName>
    <definedName name="daf" hidden="1">{#N/A,#N/A,FALSE,"RESUMO-BB1";#N/A,#N/A,FALSE,"MOD-A01-R - BB1";#N/A,#N/A,FALSE,"URB-BB1"}</definedName>
    <definedName name="dalm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d">#REF!</definedName>
    <definedName name="data">#REF!</definedName>
    <definedName name="Data_do_Envio_Mapa">#REF!</definedName>
    <definedName name="DATA_ENVIO_MAPA">#REF!</definedName>
    <definedName name="Data_Final">#REF!</definedName>
    <definedName name="data_finalizacao_brief">#REF!</definedName>
    <definedName name="Data_Inicio">[49]Contr_Global!$P$10</definedName>
    <definedName name="DataFinal">[46]Encargos!$X$1</definedName>
    <definedName name="DataInicial">[46]Encargos!$U$1</definedName>
    <definedName name="datas">#REF!</definedName>
    <definedName name="DatasFeriados">OFFSET([46]Encargos!$O$1,1,0,COUNTA([46]Encargos!$O:$O)-1,1)</definedName>
    <definedName name="datasource">#REF!</definedName>
    <definedName name="DCC" localSheetId="2" hidden="1">{#N/A,#N/A,FALSE,"CONTROLE"}</definedName>
    <definedName name="DCC" hidden="1">{#N/A,#N/A,FALSE,"CONTROLE"}</definedName>
    <definedName name="dchart26" hidden="1">#REF!</definedName>
    <definedName name="dchart31" hidden="1">#REF!</definedName>
    <definedName name="dd" hidden="1">#REF!</definedName>
    <definedName name="DDD" localSheetId="2" hidden="1">{#N/A,#N/A,FALSE,"RESUMO-BB1";#N/A,#N/A,FALSE,"MOD-A01-R - BB1";#N/A,#N/A,FALSE,"URB-BB1"}</definedName>
    <definedName name="DDD" hidden="1">{#N/A,#N/A,FALSE,"RESUMO-BB1";#N/A,#N/A,FALSE,"MOD-A01-R - BB1";#N/A,#N/A,FALSE,"URB-BB1"}</definedName>
    <definedName name="dddd" localSheetId="2" hidden="1">{#N/A,#N/A,FALSE,"BOQCIC";#N/A,#N/A,FALSE,"3Ds";#N/A,#N/A,FALSE,"COST DETAIL"}</definedName>
    <definedName name="dddd" hidden="1">{#N/A,#N/A,FALSE,"BOQCIC";#N/A,#N/A,FALSE,"3Ds";#N/A,#N/A,FALSE,"COST DETAIL"}</definedName>
    <definedName name="ddddd">#REF!</definedName>
    <definedName name="DDDDDDD">#REF!</definedName>
    <definedName name="dddddddddd" localSheetId="2" hidden="1">{#N/A,#N/A,TRUE,"Resumo de Preços"}</definedName>
    <definedName name="dddddddddd" hidden="1">{#N/A,#N/A,TRUE,"Resumo de Preços"}</definedName>
    <definedName name="ddgfdvgd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EBORA">#REF!</definedName>
    <definedName name="DEL.000.0000.42">"          DESPESAS"</definedName>
    <definedName name="DEL.000.0000.421">"               DESPESAS"</definedName>
    <definedName name="DEL.000.0000.42101">"                    DESPESAS COM PESSOAL"</definedName>
    <definedName name="DEL.000.0000.4210101">"                         DESPESAS COM PESSOAL"</definedName>
    <definedName name="DEL.000.0000.42101010001">"                              HONORARIOS"</definedName>
    <definedName name="DEL.000.0000.42101010002">"                              SALARIOS"</definedName>
    <definedName name="DEL.000.0000.42101010003">"                              REMUNERACAO VARIAVEL"</definedName>
    <definedName name="DEL.000.0000.42101010004">"                              PARTIC NOS RESULTADOS MP 1487"</definedName>
    <definedName name="DEL.000.0000.42101010005">"                              ESTAGIARIOS"</definedName>
    <definedName name="DEL.000.0000.42101010006">"                              FERIAS"</definedName>
    <definedName name="DEL.000.0000.42101010007">"                              13 SALARIO"</definedName>
    <definedName name="DEL.000.0000.42101010008">"                              ENCARGOS SOCIAIS E TRABALHISTA"</definedName>
    <definedName name="DEL.000.0000.42101010009">"                              RECRUTAMENTO E SELECAO"</definedName>
    <definedName name="DEL.000.0000.42101010010">"                              TREINAMENTO"</definedName>
    <definedName name="DEL.000.0000.42101010011">"                              MUDANCA"</definedName>
    <definedName name="DEL.000.0000.42101010012">"                              OUTROS CUSTOS COM PESSOAL"</definedName>
    <definedName name="DEL.000.0000.42101010013">"                              AJUDA HABITACIONAL"</definedName>
    <definedName name="DEL.000.0000.42101010014">"                              INDENIZACOES"</definedName>
    <definedName name="DEL.000.0000.42101010015">"                              HORAS EXTRAS"</definedName>
    <definedName name="DEL.000.0000.42101010016">"                              HONORARIOS DE CONSELHEIROS"</definedName>
    <definedName name="DEL.000.0000.42101010017">"                              CESTAS DE NATAL"</definedName>
    <definedName name="DEL.000.0000.42101010018">"                              (-) RECUPERAÇÃO DE DESPESAS"</definedName>
    <definedName name="DEL.000.0000.42101010019">"                              PPR PROFISSIONAL/GERENCIA"</definedName>
    <definedName name="DEL.000.0000.4210102">"                         VALE TRANSPORTE"</definedName>
    <definedName name="DEL.000.0000.42101020001">"                              VT PARTIC EMPRESA"</definedName>
    <definedName name="DEL.000.0000.42101020002">"                              VT PARTIC DOS COLABORADORES LE"</definedName>
    <definedName name="DEL.000.0000.4210103">"                         ALIMENTACAO"</definedName>
    <definedName name="DEL.000.0000.42101030001">"                              ALIMENTACAO PARTIC EMPRESA"</definedName>
    <definedName name="DEL.000.0000.42101030002">"                              ALIMENTACAO PARTIC COLABORADOR"</definedName>
    <definedName name="DEL.000.0000.4210104">"                         ASSISTENCIA MEDICA"</definedName>
    <definedName name="DEL.000.0000.42101040001">"                              ASSISTENCIA MEDICA PARTIC EMPR"</definedName>
    <definedName name="DEL.000.0000.42101040002">"                              ASSISTENCIA MEDICA PARTIC COLA"</definedName>
    <definedName name="DEL.000.0000.4210105">"                         SEGURO DE VIDA"</definedName>
    <definedName name="DEL.000.0000.42101050001">"                              SEGURO DE VIDA PARTIC EMPRESA"</definedName>
    <definedName name="DEL.000.0000.42101050002">"                              SEGURO DE VIDA PARTIC COLABORA"</definedName>
    <definedName name="DEL.000.0000.4210106">"                         PREVIDENCIA PRIVADA"</definedName>
    <definedName name="DEL.000.0000.42101060001">"                              PREVIDENCIA PRIVADA PARTIC EMP"</definedName>
    <definedName name="DEL.000.0000.42101060002">"                              PREVIDENCIA PRIVADA PARTIC COL"</definedName>
    <definedName name="DEL.000.0000.4210107">"                         ASSISTENCIA ODONTOLOGICA"</definedName>
    <definedName name="DEL.000.0000.42101070001">"                              ASSIST.ODONTOLOGICA EMPRESA"</definedName>
    <definedName name="DEL.000.0000.42101070002">"                              ASSIST.ODONTOLOGICA COLABORADO"</definedName>
    <definedName name="DEL.000.0000.42102">"                    DESPESAS DE SERVICOS"</definedName>
    <definedName name="DEL.000.0000.4210201">"                         SERVICOS DE TERCEIROS"</definedName>
    <definedName name="DEL.000.0000.42102010001">"                              AUDITORIA"</definedName>
    <definedName name="DEL.000.0000.42102010002">"                              MANUTENCAO E CONSERVACAO"</definedName>
    <definedName name="DEL.000.0000.42102010003">"                              MAO DE OBRA TEMPORARIA"</definedName>
    <definedName name="DEL.000.0000.42102010004">"                              FRETES E CARRETOS"</definedName>
    <definedName name="DEL.000.0000.42102010009">"                              PRESTACAO DE SERVICOS MEDICOS"</definedName>
    <definedName name="DEL.000.0000.42102010011">"                              PRESTACAO DE SERVICOS DE INFOR"</definedName>
    <definedName name="DEL.000.0000.42102010012">"                              OUTROS SERVICOS DE TERCEIROS"</definedName>
    <definedName name="DEL.000.0000.42102010015">"                              DANOS GERAIS DA RODOVIA"</definedName>
    <definedName name="DEL.000.0000.42103">"                    DESPESAS DE MATERIAIS"</definedName>
    <definedName name="DEL.000.0000.4210301">"                         DESPESAS DE MATERIAIS"</definedName>
    <definedName name="DEL.000.0000.42103010001">"                              MATERIAIS DE ESCRITORIO"</definedName>
    <definedName name="DEL.000.0000.42103010002">"                              MATERIAIS DE LIMPEZA"</definedName>
    <definedName name="DEL.000.0000.42103010003">"                              MATERIAIS DIVERSOS"</definedName>
    <definedName name="DEL.000.0000.42104">"                    DESPESAS GERAIS E ADMINISTRATI"</definedName>
    <definedName name="DEL.000.0000.4210401">"                         DESPESAS GERAIS"</definedName>
    <definedName name="DEL.000.0000.42104010001">"                              DESPESAS DE VIAGEM"</definedName>
    <definedName name="DEL.000.0000.42104010002">"                              CONDUCAO E ALIMENTACAO EVENTUA"</definedName>
    <definedName name="DEL.000.0000.42104010003">"                              COMUNICACOES"</definedName>
    <definedName name="DEL.000.0000.42104010004">"                              SEGUROS"</definedName>
    <definedName name="DEL.000.0000.42104010005">"                              AGUA"</definedName>
    <definedName name="DEL.000.0000.42104010007">"                              MULTAS FISCAIS DEDUTIVEIS"</definedName>
    <definedName name="DEL.000.0000.42104010008">"                              MULTAS FISCAIS INDEDUTIVEIS"</definedName>
    <definedName name="DEL.000.0000.42104010010">"                              COMBUSTIVEIS E LUBRIFICANTES"</definedName>
    <definedName name="DEL.000.0000.42104010011">"                              COPA E COZINHA"</definedName>
    <definedName name="DEL.000.0000.42104010012">"                              UNIFORMES E MATERIAIS DE SEGUR"</definedName>
    <definedName name="DEL.000.0000.42104010013">"                              LIVROS"</definedName>
    <definedName name="DEL.000.0000.42104010014">"                              REPRODUCOES"</definedName>
    <definedName name="DEL.000.0000.42104010015">"                              FOTOS"</definedName>
    <definedName name="DEL.000.0000.42104010017">"                              IMPOSTOS E TAXAS ESTADUAIS"</definedName>
    <definedName name="DEL.000.0000.42104010018">"                              IMPOSTOS E TAXAS MUNICIPAIS"</definedName>
    <definedName name="DEL.000.0000.42104010020">"                              BRINDES"</definedName>
    <definedName name="DEL.000.0000.42104010022">"                              IMPOSTO PREDIAL E TLF"</definedName>
    <definedName name="DEL.000.0000.42104010023">"                              EMOLUMENTOS E TAXAS JUDICIAIS"</definedName>
    <definedName name="DEL.000.0000.42104010026">"                              MANUTENCAO DE VEICULOS"</definedName>
    <definedName name="DEL.000.0000.42104010027">"                              CONTRIBUICOES E ASSOCIACOES"</definedName>
    <definedName name="DEL.000.0000.42104010028">"                              BENS PATRIMONIAIS"</definedName>
    <definedName name="DEL.000.0000.42104010029">"                              ICMS - DIFERENCA DE ALIQUOTA"</definedName>
    <definedName name="DEL.000.0000.42104010030">"                              ANUNCIOS E PUBLICACOES"</definedName>
    <definedName name="DEL.000.0000.42104010031">"                              INDENIZACOES"</definedName>
    <definedName name="DEL.000.0000.42104010032">"                              OUTRAS DESPESAS ADMINISTRATIVA"</definedName>
    <definedName name="DEL.000.0000.42104010034">"                              FOMENTO A PESQUISA"</definedName>
    <definedName name="DEL.000.0000.42104010035">"                              DESPESAS INDEDUTIVEIS"</definedName>
    <definedName name="DEL.000.0000.42104010037">"                              PERDAS NA OPERAÇÃO"</definedName>
    <definedName name="DEL.000.0000.42105">"                    DESPESAS COM ALUGUEIS"</definedName>
    <definedName name="DEL.000.0000.4210501">"                         DESPESAS COM ALUGUEIS"</definedName>
    <definedName name="DEL.000.0000.42105010001">"                              EQUIPAMENTOS"</definedName>
    <definedName name="DEL.000.0000.42105010002">"                              IMOVEIS E CONDOMINIOS"</definedName>
    <definedName name="DEL.000.0000.42105010003">"                              VEICULOS"</definedName>
    <definedName name="DEL.000.0000.42105010004">"                              OUTROS ALUGUEIS"</definedName>
    <definedName name="DEL.000.0000.42107">"                    DEPRECIACAO"</definedName>
    <definedName name="DEL.000.0000.4210701">"                         DEPRECIACAO"</definedName>
    <definedName name="DEL.000.0000.42107010004">"                              DEPRECIACAO DE EQUIPAMENTOS DE"</definedName>
    <definedName name="DEL.000.0000.42108">"                    AMORTIZACAO"</definedName>
    <definedName name="DEL.000.0000.4210801">"                         AMORTIZACAO"</definedName>
    <definedName name="DEL.000.0000.42108010003">"                              AMORTIZACAO DE SOFTWARE"</definedName>
    <definedName name="Demonstrativo">#REF!</definedName>
    <definedName name="DEMONSTRATIVO_DO_RESULTADO_GERENCIAL___DGR">#REF!</definedName>
    <definedName name="Denominação">#REF!</definedName>
    <definedName name="densidade_cap">#REF!</definedName>
    <definedName name="DEp_Inflam">#REF!</definedName>
    <definedName name="departamentos" localSheetId="2" hidden="1">{#N/A,#N/A,FALSE,"CONTROLE";#N/A,#N/A,FALSE,"CONTROLE"}</definedName>
    <definedName name="departamentos" hidden="1">{#N/A,#N/A,FALSE,"CONTROLE";#N/A,#N/A,FALSE,"CONTROLE"}</definedName>
    <definedName name="DEPÓSITO">#REF!</definedName>
    <definedName name="der">#REF!</definedName>
    <definedName name="des">[58]Insumos!$C$3:$F$6528</definedName>
    <definedName name="desc" localSheetId="2" hidden="1">{#N/A,#N/A,FALSE,"Plan1";#N/A,#N/A,FALSE,"Plan2"}</definedName>
    <definedName name="desc" hidden="1">{#N/A,#N/A,FALSE,"Plan1";#N/A,#N/A,FALSE,"Plan2"}</definedName>
    <definedName name="DESC_I" localSheetId="21">'[30]Cotação de Materiais'!#REF!</definedName>
    <definedName name="DESC_I">#REF!</definedName>
    <definedName name="DESC_II" localSheetId="21">'[30]Cotação de Materiais'!#REF!</definedName>
    <definedName name="DESC_II">#REF!</definedName>
    <definedName name="DESCR">"bds"</definedName>
    <definedName name="DESCRICAO">[8]OBRJU95!#REF!</definedName>
    <definedName name="Descrição_Total">#REF!</definedName>
    <definedName name="DESCRITIVO1">#REF!</definedName>
    <definedName name="DESCRONI">#REF!</definedName>
    <definedName name="Desmatamento_destocamento_e_limpeza">#REF!</definedName>
    <definedName name="DESNIVEL" localSheetId="2" hidden="1">{#N/A,#N/A,FALSE,"RESUMO-BB1";#N/A,#N/A,FALSE,"MOD-A01-R - BB1";#N/A,#N/A,FALSE,"URB-BB1"}</definedName>
    <definedName name="DESNIVEL" hidden="1">{#N/A,#N/A,FALSE,"RESUMO-BB1";#N/A,#N/A,FALSE,"MOD-A01-R - BB1";#N/A,#N/A,FALSE,"URB-BB1"}</definedName>
    <definedName name="DespesasIndiretas">#REF!</definedName>
    <definedName name="DESTINO">#REF!</definedName>
    <definedName name="Detalhamento" localSheetId="2" hidden="1">{#N/A,#N/A,FALSE,"Plan1";#N/A,#N/A,FALSE,"Plan2"}</definedName>
    <definedName name="Detalhamento" hidden="1">{#N/A,#N/A,FALSE,"Plan1";#N/A,#N/A,FALSE,"Plan2"}</definedName>
    <definedName name="DETALHAMENTO_PROJETO">#REF!</definedName>
    <definedName name="DEZA">#REF!</definedName>
    <definedName name="DF">#REF!</definedName>
    <definedName name="dfd" localSheetId="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fd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fdaf" hidden="1">15</definedName>
    <definedName name="dfdf" localSheetId="2" hidden="1">{#N/A,#N/A,FALSE,"SIM95"}</definedName>
    <definedName name="dfdf" hidden="1">{#N/A,#N/A,FALSE,"SIM95"}</definedName>
    <definedName name="dfs">'[59]RP-1 SB (3)'!$B$13</definedName>
    <definedName name="DGA">'[60]PRO-08'!#REF!</definedName>
    <definedName name="dggfdg" localSheetId="2" hidden="1">{#N/A,#N/A,FALSE,"Plan1";#N/A,#N/A,FALSE,"Plan2"}</definedName>
    <definedName name="dggfdg" hidden="1">{#N/A,#N/A,FALSE,"Plan1";#N/A,#N/A,FALSE,"Plan2"}</definedName>
    <definedName name="DI">#REF!</definedName>
    <definedName name="DI_Jorge">[61]ORÇAMENTO_Rev01!#REF!</definedName>
    <definedName name="DI_Jorge_II">[61]ORÇAMENTO_Rev01!#REF!</definedName>
    <definedName name="dia3estac">#REF!</definedName>
    <definedName name="diaestaca">#REF!</definedName>
    <definedName name="DIAFPREMOLD">#REF!</definedName>
    <definedName name="DIAFRAF_INLOCO">#REF!</definedName>
    <definedName name="DIAFRAINLOCO">#REF!</definedName>
    <definedName name="DIAFRAPREMOL">#REF!</definedName>
    <definedName name="diambase">#REF!</definedName>
    <definedName name="DiasDeSemana">[46]Encargos!$V$7:$V$11</definedName>
    <definedName name="DiasFeriados">OFFSET([46]Encargos!$P$1,1,0,COUNTA([46]Encargos!$P:$P),1)</definedName>
    <definedName name="DIRNAME">#REF!</definedName>
    <definedName name="DIS">#REF!</definedName>
    <definedName name="DIST">#REF!</definedName>
    <definedName name="DIST1">#REF!</definedName>
    <definedName name="DIST10">[36]Reaproveitamento_de_formas!$I$5</definedName>
    <definedName name="DISTRIOVER">#REF!</definedName>
    <definedName name="DJ">#REF!</definedName>
    <definedName name="DMT_0_50">#REF!</definedName>
    <definedName name="DMT_1000">#REF!</definedName>
    <definedName name="DMT_200">#REF!</definedName>
    <definedName name="DMT_200_400">#REF!</definedName>
    <definedName name="DMT_400">#REF!</definedName>
    <definedName name="DMT_400_600">#REF!</definedName>
    <definedName name="DMT_50">#REF!</definedName>
    <definedName name="DMT_50_200">#REF!</definedName>
    <definedName name="DMT_600">#REF!</definedName>
    <definedName name="DMT_800">#REF!</definedName>
    <definedName name="dmt_aterro">[62]considerações!$D$16</definedName>
    <definedName name="dmt_bfora">[62]considerações!$D$17</definedName>
    <definedName name="DOC_1">#REF!</definedName>
    <definedName name="DOCAS">#REF!</definedName>
    <definedName name="docas_">#REF!</definedName>
    <definedName name="DOLAR">#REF!</definedName>
    <definedName name="Dólar">#REF!</definedName>
    <definedName name="dolar2">#REF!</definedName>
    <definedName name="Domingos">[46]Encargos!$V$6</definedName>
    <definedName name="dontknow" localSheetId="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dontknow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DR">#REF!</definedName>
    <definedName name="DRE">#REF!</definedName>
    <definedName name="dreaa">#REF!</definedName>
    <definedName name="Dren_preços">#REF!</definedName>
    <definedName name="drena">#REF!</definedName>
    <definedName name="DRENAGEM">#REF!</definedName>
    <definedName name="DRENO">[33]DRENAGEM!$F$45</definedName>
    <definedName name="DRI">#REF!</definedName>
    <definedName name="DRIVER">#REF!</definedName>
    <definedName name="DRN">#REF!</definedName>
    <definedName name="drtr" hidden="1">[63]Bomb!#REF!</definedName>
    <definedName name="drtrt" localSheetId="2" hidden="1">{"'Estimativa de Lançamento-JAN'!$A$1:$AI$85"}</definedName>
    <definedName name="drtrt" hidden="1">{"'Estimativa de Lançamento-JAN'!$A$1:$AI$85"}</definedName>
    <definedName name="dsad">#REF!</definedName>
    <definedName name="DSSD" localSheetId="2" hidden="1">{#N/A,#N/A,FALSE,"ORC-ACKE";#N/A,#N/A,FALSE,"RESUMO"}</definedName>
    <definedName name="DSSD" hidden="1">{#N/A,#N/A,FALSE,"ORC-ACKE";#N/A,#N/A,FALSE,"RESUMO"}</definedName>
    <definedName name="Düs" localSheetId="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Düs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dzg" localSheetId="2" hidden="1">{#N/A,#N/A,FALSE,"Tabelle1"}</definedName>
    <definedName name="dzg" hidden="1">{#N/A,#N/A,FALSE,"Tabelle1"}</definedName>
    <definedName name="e">[64]ORÇAMENTO_Rev01!#REF!</definedName>
    <definedName name="E4WR" localSheetId="2" hidden="1">{#N/A,#N/A,FALSE,"GRÁFICO";#N/A,#N/A,FALSE,"MED-URBANIZ";#N/A,#N/A,FALSE,"RES-URBANIZ";#N/A,#N/A,FALSE,"POS-FÍSICA-BLOCO2";#N/A,#N/A,FALSE,"MED-BLOCO2";#N/A,#N/A,FALSE,"RES-BLOCO2";#N/A,#N/A,FALSE,"POS-FÍSICA-BLOCO1";#N/A,#N/A,FALSE,"MED-BLOCO1";#N/A,#N/A,FALSE,"RES-BLOCO1";#N/A,#N/A,FALSE,"REAJUSTE";#N/A,#N/A,FALSE,"POS-FÍSICA-RESUMO";#N/A,#N/A,FALSE,"EXTCRO";#N/A,#N/A,FALSE,"RES-GERAL";#N/A,#N/A,FALSE,"MULTA"}</definedName>
    <definedName name="E4WR" hidden="1">{#N/A,#N/A,FALSE,"GRÁFICO";#N/A,#N/A,FALSE,"MED-URBANIZ";#N/A,#N/A,FALSE,"RES-URBANIZ";#N/A,#N/A,FALSE,"POS-FÍSICA-BLOCO2";#N/A,#N/A,FALSE,"MED-BLOCO2";#N/A,#N/A,FALSE,"RES-BLOCO2";#N/A,#N/A,FALSE,"POS-FÍSICA-BLOCO1";#N/A,#N/A,FALSE,"MED-BLOCO1";#N/A,#N/A,FALSE,"RES-BLOCO1";#N/A,#N/A,FALSE,"REAJUSTE";#N/A,#N/A,FALSE,"POS-FÍSICA-RESUMO";#N/A,#N/A,FALSE,"EXTCRO";#N/A,#N/A,FALSE,"RES-GERAL";#N/A,#N/A,FALSE,"MULTA"}</definedName>
    <definedName name="EA">#REF!</definedName>
    <definedName name="EAEEE" localSheetId="2" hidden="1">{#N/A,#N/A,FALSE,"CONTROLE";#N/A,#N/A,FALSE,"CONTROLE"}</definedName>
    <definedName name="EAEEE" hidden="1">{#N/A,#N/A,FALSE,"CONTROLE";#N/A,#N/A,FALSE,"CONTROLE"}</definedName>
    <definedName name="EAP_CIV">#REF!</definedName>
    <definedName name="EB">#REF!</definedName>
    <definedName name="EC">#REF!</definedName>
    <definedName name="echart31" hidden="1">#REF!</definedName>
    <definedName name="EDIFICAÇÕES">#N/A</definedName>
    <definedName name="Edilene">#REF!</definedName>
    <definedName name="eeeeeee">#REF!</definedName>
    <definedName name="eerr" localSheetId="2" hidden="1">{"Alle Perioden",#N/A,FALSE,"Erf";"Alle Perioden",#N/A,FALSE,"Ang";"Alle Perioden",#N/A,FALSE,"BV";"Alle Perioden",#N/A,FALSE,"BE";"Alle Perioden",#N/A,FALSE,"Re";"Alle Perioden",#N/A,FALSE,"Vol"}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err1" localSheetId="2" hidden="1">{"Alle Perioden",#N/A,FALSE,"Erf";"Alle Perioden",#N/A,FALSE,"Ang";"Alle Perioden",#N/A,FALSE,"BV";"Alle Perioden",#N/A,FALSE,"BE";"Alle Perioden",#N/A,FALSE,"Re";"Alle Perioden",#N/A,FALSE,"Vol"}</definedName>
    <definedName name="eerr1" hidden="1">{"Alle Perioden",#N/A,FALSE,"Erf";"Alle Perioden",#N/A,FALSE,"Ang";"Alle Perioden",#N/A,FALSE,"BV";"Alle Perioden",#N/A,FALSE,"BE";"Alle Perioden",#N/A,FALSE,"Re";"Alle Perioden",#N/A,FALSE,"Vol"}</definedName>
    <definedName name="ef" localSheetId="2" hidden="1">{#N/A,#N/A,FALSE,"BETER -1";#N/A,#N/A,FALSE,"BETER -2";#N/A,#N/A,FALSE,"BETER -3";#N/A,#N/A,FALSE,"BETER -urb";#N/A,#N/A,FALSE,"BETER -RESUMO"}</definedName>
    <definedName name="ef" hidden="1">{#N/A,#N/A,FALSE,"BETER -1";#N/A,#N/A,FALSE,"BETER -2";#N/A,#N/A,FALSE,"BETER -3";#N/A,#N/A,FALSE,"BETER -urb";#N/A,#N/A,FALSE,"BETER -RESUMO"}</definedName>
    <definedName name="efi" localSheetId="2" hidden="1">{#N/A,#N/A,FALSE,"CONTROLE"}</definedName>
    <definedName name="efi" hidden="1">{#N/A,#N/A,FALSE,"CONTROLE"}</definedName>
    <definedName name="eficiencia" localSheetId="2" hidden="1">{#N/A,#N/A,FALSE,"CONTROLE"}</definedName>
    <definedName name="eficiencia" hidden="1">{#N/A,#N/A,FALSE,"CONTROLE"}</definedName>
    <definedName name="EG">#REF!</definedName>
    <definedName name="EIC">#REF!</definedName>
    <definedName name="EJ">#REF!</definedName>
    <definedName name="ELE_BL1">[33]BL1!$G$222</definedName>
    <definedName name="ELE_BL2">[33]BL2!$G$213</definedName>
    <definedName name="ELE_BL4">'[33]BL3-4'!$G$193</definedName>
    <definedName name="ELE_BL5">[33]BL5!$G$208</definedName>
    <definedName name="ELE_BL6">[33]BL6!$G$166</definedName>
    <definedName name="ELE_BL7">[33]BL7!$G$209</definedName>
    <definedName name="ELE_BL8">[33]BL8!$G$183</definedName>
    <definedName name="ELE_POR">[33]PORTARIA!$G$158</definedName>
    <definedName name="ELE_SUB">[33]SUBEST.!$G$136</definedName>
    <definedName name="ELÉTRICA">#N/A</definedName>
    <definedName name="ELEVADOR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VADOR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ton">#REF!</definedName>
    <definedName name="EMAD_BL2">[33]BL2!$G$154</definedName>
    <definedName name="EMAD_BL4">'[33]BL3-4'!$G$131</definedName>
    <definedName name="EMAD_BL5">[33]BL5!$G$132</definedName>
    <definedName name="EMAD_BL6">[33]BL6!$G$129</definedName>
    <definedName name="EMAD_BL7">[33]BL7!$G$133</definedName>
    <definedName name="EMAD_BL8">[33]BL8!$G$126</definedName>
    <definedName name="EMAD_POR">[33]PORTARIA!$G$116</definedName>
    <definedName name="EMAD_SUB">[33]SUBEST.!$G$119</definedName>
    <definedName name="EMET_BL2">[33]BL2!$G$159</definedName>
    <definedName name="EMET_BL4">'[33]BL3-4'!$G$139</definedName>
    <definedName name="EMET_BL5">[33]BL5!$G$137</definedName>
    <definedName name="EMET_BL6">[33]BL6!$G$134</definedName>
    <definedName name="EMET_BL7">[33]BL7!$G$138</definedName>
    <definedName name="EMET_BL8">[33]BL8!$G$131</definedName>
    <definedName name="EMET_POR">[33]PORTARIA!$G$121</definedName>
    <definedName name="EMET_SUB">[33]SUBEST.!$G$124</definedName>
    <definedName name="Empolamento">#REF!</definedName>
    <definedName name="EMPRESA">#REF!</definedName>
    <definedName name="Empresas">[38]aux!$B$3:$C$19</definedName>
    <definedName name="Encargos_MOI">[46]Encargos!$M$42</definedName>
    <definedName name="enchoras">[65]Alterar!$D$11</definedName>
    <definedName name="encmes">[65]Alterar!$D$9</definedName>
    <definedName name="ENGARQJR">Tarefas!$CP$30</definedName>
    <definedName name="ENGARQPL">Tarefas!$CL$30</definedName>
    <definedName name="ENGARQSR">Tarefas!$CH$30</definedName>
    <definedName name="ENGARQSR.">Tarefas!$CH$30</definedName>
    <definedName name="ENTSE">[32]TD!$A$98:$A$100</definedName>
    <definedName name="epilogo" localSheetId="2" hidden="1">{#N/A,#N/A,FALSE,"CONTROLE"}</definedName>
    <definedName name="epilogo" hidden="1">{#N/A,#N/A,FALSE,"CONTROLE"}</definedName>
    <definedName name="eprd_cod">#REF!</definedName>
    <definedName name="EPVT">#REF!</definedName>
    <definedName name="EQP">[66]Servivel!$B$3:$L$528</definedName>
    <definedName name="EQPTO">#REF!</definedName>
    <definedName name="EQUIP">#REF!</definedName>
    <definedName name="Equipamentos">#REF!</definedName>
    <definedName name="Equipamentos1">#REF!</definedName>
    <definedName name="EQUIPE">#REF!</definedName>
    <definedName name="equipe_de_projeto__gerenciamento__meio_ambiente_e_obra">#REF!</definedName>
    <definedName name="ERA" localSheetId="2" hidden="1">{#N/A,#N/A,FALSE,"ORC-ACKE";#N/A,#N/A,FALSE,"RESUMO"}</definedName>
    <definedName name="ERA" hidden="1">{#N/A,#N/A,FALSE,"ORC-ACKE";#N/A,#N/A,FALSE,"RESUMO"}</definedName>
    <definedName name="ere">'[67]MP+Insumos'!#REF!</definedName>
    <definedName name="erte" hidden="1">#REF!</definedName>
    <definedName name="ESC">#REF!</definedName>
    <definedName name="Escr_A">#REF!</definedName>
    <definedName name="Escr_B">#REF!</definedName>
    <definedName name="Escr_C">#REF!</definedName>
    <definedName name="Escr_D">#REF!</definedName>
    <definedName name="Espaçamento">#REF!</definedName>
    <definedName name="ESQ_BL1">[33]BL1!$G$136</definedName>
    <definedName name="ESQMAD_BL1">[68]BL1!#REF!</definedName>
    <definedName name="ESQMET_BL1">[33]BL1!$G$142</definedName>
    <definedName name="EST" localSheetId="20">#REF!</definedName>
    <definedName name="est" localSheetId="21">#REF!</definedName>
    <definedName name="EST">Tarefas!$EX$30</definedName>
    <definedName name="estaca">#REF!</definedName>
    <definedName name="estaca3">#REF!</definedName>
    <definedName name="ESTACIONAMENTO">#REF!</definedName>
    <definedName name="ESTADO">[45]!Tabela1[ESTADO]</definedName>
    <definedName name="ESTADOS">#REF!</definedName>
    <definedName name="ESTESCAVADA">#REF!</definedName>
    <definedName name="ESTFRANKI">#REF!</definedName>
    <definedName name="ESTMETAL">#REF!</definedName>
    <definedName name="ESTPREMOLD">#REF!</definedName>
    <definedName name="ESTRAIZ">#REF!</definedName>
    <definedName name="ev.Calculation" hidden="1">-4135</definedName>
    <definedName name="ev.Initialized" hidden="1">FALSE</definedName>
    <definedName name="EV__LASTREFTIME__" hidden="1">39965.7223611111</definedName>
    <definedName name="evolucao" localSheetId="2" hidden="1">{#N/A,#N/A,FALSE,"GP";#N/A,#N/A,FALSE,"Assinantes";#N/A,#N/A,FALSE,"Rede";#N/A,#N/A,FALSE,"Evolução";#N/A,#N/A,FALSE,"Resultado"}</definedName>
    <definedName name="evolucao" hidden="1">{#N/A,#N/A,FALSE,"GP";#N/A,#N/A,FALSE,"Assinantes";#N/A,#N/A,FALSE,"Rede";#N/A,#N/A,FALSE,"Evolução";#N/A,#N/A,FALSE,"Resultado"}</definedName>
    <definedName name="Evolução" localSheetId="2" hidden="1">{#N/A,#N/A,FALSE,"GP";#N/A,#N/A,FALSE,"Assinantes";#N/A,#N/A,FALSE,"Rede";#N/A,#N/A,FALSE,"Evolução";#N/A,#N/A,FALSE,"Resultado"}</definedName>
    <definedName name="Evolução" hidden="1">{#N/A,#N/A,FALSE,"GP";#N/A,#N/A,FALSE,"Assinantes";#N/A,#N/A,FALSE,"Rede";#N/A,#N/A,FALSE,"Evolução";#N/A,#N/A,FALSE,"Resultado"}</definedName>
    <definedName name="EVOLUTION_DES_ROI" localSheetId="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x">#REF!</definedName>
    <definedName name="Excel_BuiltIn__FilterDatabase_1" localSheetId="21">#N/A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2">'[40]Acabamentos Internos'!#REF!</definedName>
    <definedName name="Excel_BuiltIn__FilterDatabase_3">#REF!</definedName>
    <definedName name="Excel_BuiltIn__FilterDatabase_4">#REF!</definedName>
    <definedName name="Excel_BuiltIn__FilterDatabase_6">#REF!</definedName>
    <definedName name="Excel_BuiltIn_Criteria">#REF!</definedName>
    <definedName name="Excel_BuiltIn_Database">#REF!</definedName>
    <definedName name="Excel_BuiltIn_Extract">#REF!</definedName>
    <definedName name="Excel_BuiltIn_Extract_2">[69]Plan1!#REF!</definedName>
    <definedName name="Excel_BuiltIn_Print_Area">#REF!</definedName>
    <definedName name="Excel_BuiltIn_Print_Area_0">"$#REF!.$A$1:$G$349"</definedName>
    <definedName name="Excel_BuiltIn_Print_Area_1">#REF!</definedName>
    <definedName name="Excel_BuiltIn_Print_Area_1_1">[70]PQP!$A$1:$G$30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[70]PQP!$A$1:$G$70</definedName>
    <definedName name="Excel_BuiltIn_Print_Area_1_1_1_1_1_1_1_1">#REF!</definedName>
    <definedName name="Excel_BuiltIn_Print_Area_1_1_1_1_1_1_1_1_1">[71]PQP!$A$1:$G$93</definedName>
    <definedName name="Excel_BuiltIn_Print_Area_10">#REF!</definedName>
    <definedName name="Excel_BuiltIn_Print_Area_10_1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">#REF!</definedName>
    <definedName name="Excel_BuiltIn_Print_Area_12">#REF!</definedName>
    <definedName name="Excel_BuiltIn_Print_Area_12_1">#REF!</definedName>
    <definedName name="Excel_BuiltIn_Print_Area_12_1_1">#REF!</definedName>
    <definedName name="Excel_BuiltIn_Print_Area_13">#REF!</definedName>
    <definedName name="Excel_BuiltIn_Print_Area_13_1">#REF!</definedName>
    <definedName name="Excel_BuiltIn_Print_Area_13_1_1">#REF!</definedName>
    <definedName name="Excel_BuiltIn_Print_Area_14">#REF!</definedName>
    <definedName name="Excel_BuiltIn_Print_Area_14_1">#REF!</definedName>
    <definedName name="Excel_BuiltIn_Print_Area_15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1_1">#REF!</definedName>
    <definedName name="Excel_BuiltIn_Print_Area_23_1">#REF!</definedName>
    <definedName name="Excel_BuiltIn_Print_Area_26_1">#REF!</definedName>
    <definedName name="Excel_BuiltIn_Print_Area_3">#REF!</definedName>
    <definedName name="Excel_BuiltIn_Print_Area_3_1_1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Titles_0">"$#REF!.$A$1:$IJ$7"</definedName>
    <definedName name="Excel_BuiltIn_Print_Titles_1">#REF!</definedName>
    <definedName name="Excel_BuiltIn_Print_Titles_1_1">#REF!</definedName>
    <definedName name="Excel_BuiltIn_Print_Titles_1_1_1" localSheetId="21">"$#REF!.$A$1:$IS$7"</definedName>
    <definedName name="Excel_BuiltIn_Print_Titles_1_1_1">#REF!</definedName>
    <definedName name="Excel_BuiltIn_Print_Titles_10">#REF!</definedName>
    <definedName name="Excel_BuiltIn_Print_Titles_10_1_1">#REF!</definedName>
    <definedName name="Excel_BuiltIn_Print_Titles_11">'[40]Esquadrias Madeira'!#REF!</definedName>
    <definedName name="Excel_BuiltIn_Print_Titles_11_1_1">#REF!</definedName>
    <definedName name="Excel_BuiltIn_Print_Titles_11_1_1_1">#REF!</definedName>
    <definedName name="Excel_BuiltIn_Print_Titles_12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(#REF!,#REF!)</definedName>
    <definedName name="Excel_BuiltIn_Print_Titles_14_1_1">#REF!</definedName>
    <definedName name="Excel_BuiltIn_Print_Titles_15_1">(#REF!,#REF!)</definedName>
    <definedName name="Excel_BuiltIn_Print_Titles_15_1_1">(#REF!,#REF!)</definedName>
    <definedName name="Excel_BuiltIn_Print_Titles_15_1_1_1">(#REF!,#REF!)</definedName>
    <definedName name="Excel_BuiltIn_Print_Titles_15_1_1_1_1">#REF!</definedName>
    <definedName name="Excel_BuiltIn_Print_Titles_16_1">#REF!</definedName>
    <definedName name="Excel_BuiltIn_Print_Titles_16_1_1">(#REF!,#REF!)</definedName>
    <definedName name="Excel_BuiltIn_Print_Titles_16_1_1_1">#REF!</definedName>
    <definedName name="Excel_BuiltIn_Print_Titles_17_1">#REF!</definedName>
    <definedName name="Excel_BuiltIn_Print_Titles_17_1_1">(#REF!,#REF!)</definedName>
    <definedName name="Excel_BuiltIn_Print_Titles_17_1_1_1">(#REF!,#REF!)</definedName>
    <definedName name="Excel_BuiltIn_Print_Titles_17_1_1_1_1">#REF!</definedName>
    <definedName name="Excel_BuiltIn_Print_Titles_17_1_1_1_1_1">#REF!</definedName>
    <definedName name="Excel_BuiltIn_Print_Titles_18_1">#REF!</definedName>
    <definedName name="Excel_BuiltIn_Print_Titles_18_1_1">(#REF!,#REF!)</definedName>
    <definedName name="Excel_BuiltIn_Print_Titles_18_1_1_1">#REF!</definedName>
    <definedName name="Excel_BuiltIn_Print_Titles_18_1_1_1_1">#REF!</definedName>
    <definedName name="Excel_BuiltIn_Print_Titles_19_1">#REF!</definedName>
    <definedName name="Excel_BuiltIn_Print_Titles_19_1_1">(#REF!,#REF!)</definedName>
    <definedName name="Excel_BuiltIn_Print_Titles_19_1_1_1">#REF!</definedName>
    <definedName name="Excel_BuiltIn_Print_Titles_19_1_1_1_1">#REF!</definedName>
    <definedName name="Excel_BuiltIn_Print_Titles_2">#REF!</definedName>
    <definedName name="Excel_BuiltIn_Print_Titles_2_1">#REF!</definedName>
    <definedName name="Excel_BuiltIn_Print_Titles_20_1">(#REF!,#REF!)</definedName>
    <definedName name="Excel_BuiltIn_Print_Titles_20_1_1">(#REF!,#REF!)</definedName>
    <definedName name="Excel_BuiltIn_Print_Titles_21_1">(#REF!,#REF!)</definedName>
    <definedName name="Excel_BuiltIn_Print_Titles_21_1_1">(#REF!,#REF!)</definedName>
    <definedName name="Excel_BuiltIn_Print_Titles_21_1_1_1">#REF!</definedName>
    <definedName name="Excel_BuiltIn_Print_Titles_21_1_1_1_1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_1">#REF!</definedName>
    <definedName name="Excel_BuiltIn_Print_Titles_5">#REF!</definedName>
    <definedName name="Excel_BuiltIn_Print_Titles_5_1">#REF!</definedName>
    <definedName name="Excel_BuiltIn_Print_Titles_6_1">#REF!</definedName>
    <definedName name="Excel_BuiltIn_Print_Titles_6_1_1">#REF!</definedName>
    <definedName name="Excel_BuiltIn_Print_Titles_7">(#REF!,#REF!)</definedName>
    <definedName name="Excel_BuiltIn_Print_Titles_7_1">#REF!</definedName>
    <definedName name="Excel_BuiltIn_Print_Titles_8_1_1">#REF!</definedName>
    <definedName name="Excel_BuiltIn_Print_Titles_9">'[40]Loucas e tampos'!#REF!</definedName>
    <definedName name="Excel_BuiltIn_Print_Titles_9_1_1">#REF!</definedName>
    <definedName name="ExpPesoComplexidade">[72]Auxiliar!#REF!</definedName>
    <definedName name="ExpPesoConcentraçao">[72]Auxiliar!#REF!</definedName>
    <definedName name="ExpPesoFornecedoresHomologados">[72]Auxiliar!#REF!</definedName>
    <definedName name="ExpPesoImpactoOperaçao">[72]Auxiliar!$R$24</definedName>
    <definedName name="ExpPesoSubstituir">[72]Auxiliar!$R$23</definedName>
    <definedName name="ExpValorComplexidade">[72]Auxiliar!#REF!</definedName>
    <definedName name="ExpValorConcentraçao">[72]Auxiliar!#REF!</definedName>
    <definedName name="ExpValorFornecedoresHomologados">[72]Auxiliar!#REF!</definedName>
    <definedName name="ExpValorFornecedoresViaveis">[72]Auxiliar!$Q$22</definedName>
    <definedName name="ExpValorImpactoOperaçao">[72]Auxiliar!$Q$24</definedName>
    <definedName name="ExpValorSubstituir">[72]Auxiliar!$Q$23</definedName>
    <definedName name="EXT">#REF!</definedName>
    <definedName name="Extenso">#N/A</definedName>
    <definedName name="Extrair_IM">#REF!</definedName>
    <definedName name="F" localSheetId="21">SUM(#REF!,#REF!,#REF!,#REF!)</definedName>
    <definedName name="f">#REF!</definedName>
    <definedName name="fa" localSheetId="2" hidden="1">{#N/A,#N/A,FALSE,"CONTROLE"}</definedName>
    <definedName name="fa" hidden="1">{#N/A,#N/A,FALSE,"CONTROLE"}</definedName>
    <definedName name="FAB">"Figura 3"</definedName>
    <definedName name="FACULDADE">#REF!</definedName>
    <definedName name="FA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IXA1">#REF!</definedName>
    <definedName name="FAIXA2">#REF!</definedName>
    <definedName name="FAIXA3">#REF!</definedName>
    <definedName name="FAIXA4">#REF!</definedName>
    <definedName name="FAIXA5">#REF!</definedName>
    <definedName name="FAIXA6">#REF!</definedName>
    <definedName name="FAL">#REF!</definedName>
    <definedName name="FASDF" localSheetId="2" hidden="1">{#N/A,#N/A,FALSE,"ORC-ACKE";#N/A,#N/A,FALSE,"RESUMO"}</definedName>
    <definedName name="FASDF" hidden="1">{#N/A,#N/A,FALSE,"ORC-ACKE";#N/A,#N/A,FALSE,"RESUMO"}</definedName>
    <definedName name="fasfasf" localSheetId="2" hidden="1">{#N/A,#N/A,TRUE,"Quinzena 01 à 15-04-98 "}</definedName>
    <definedName name="fasfasf" hidden="1">{#N/A,#N/A,TRUE,"Quinzena 01 à 15-04-98 "}</definedName>
    <definedName name="fat_direto" localSheetId="21">'[30]Cotação de Materiais'!#REF!</definedName>
    <definedName name="fat_direto">#REF!</definedName>
    <definedName name="FatDirPercent">#REF!</definedName>
    <definedName name="FatDirPercent1">#REF!</definedName>
    <definedName name="FatIntermedPerc">#REF!</definedName>
    <definedName name="fator">#REF!</definedName>
    <definedName name="Fator_K">#REF!</definedName>
    <definedName name="FatorBDI">#REF!</definedName>
    <definedName name="FC">#REF!</definedName>
    <definedName name="FC2A">'[60]PRO-08'!#REF!</definedName>
    <definedName name="fchart31" hidden="1">#REF!</definedName>
    <definedName name="fdgaf" localSheetId="2" hidden="1">{#N/A,#N/A,FALSE,"Plan1";#N/A,#N/A,FALSE,"Plan2"}</definedName>
    <definedName name="fdgaf" hidden="1">{#N/A,#N/A,FALSE,"Plan1";#N/A,#N/A,FALSE,"Plan2"}</definedName>
    <definedName name="fdhgfdf" localSheetId="2" hidden="1">{#N/A,#N/A,FALSE,"Plan1";#N/A,#N/A,FALSE,"Plan2"}</definedName>
    <definedName name="fdhgfdf" hidden="1">{#N/A,#N/A,FALSE,"Plan1";#N/A,#N/A,FALSE,"Plan2"}</definedName>
    <definedName name="fdjfksdjkfljsdlkfsjd">#REF!</definedName>
    <definedName name="fdnhgf" localSheetId="2" hidden="1">{"'Estimativa de Lançamento-JAN'!$A$1:$AI$85"}</definedName>
    <definedName name="fdnhgf" hidden="1">{"'Estimativa de Lançamento-JAN'!$A$1:$AI$85"}</definedName>
    <definedName name="fdsgdsgsdfgsdgsd">#REF!</definedName>
    <definedName name="fe">'[73]CUSTO RESUMO'!#REF!</definedName>
    <definedName name="fe_areia">'[50]Dados Iniciais'!$B$5</definedName>
    <definedName name="FERRAGENS">#N/A</definedName>
    <definedName name="FEVA">#REF!</definedName>
    <definedName name="fevcpflr" localSheetId="2" hidden="1">{#N/A,#N/A,FALSE,"CONTROLE";#N/A,#N/A,FALSE,"CONTROLE"}</definedName>
    <definedName name="fevcpflr" hidden="1">{#N/A,#N/A,FALSE,"CONTROLE";#N/A,#N/A,FALSE,"CONTROLE"}</definedName>
    <definedName name="fffff" localSheetId="2" hidden="1">{#N/A,#N/A,FALSE,"Plan1";#N/A,#N/A,FALSE,"Plan2"}</definedName>
    <definedName name="fffff" hidden="1">{#N/A,#N/A,FALSE,"Plan1";#N/A,#N/A,FALSE,"Plan2"}</definedName>
    <definedName name="fgfg" localSheetId="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fgfg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fgfghtfhjgh" localSheetId="2" hidden="1">{#N/A,#N/A,FALSE,"CONTROLE"}</definedName>
    <definedName name="fgfghtfhjgh" hidden="1">{#N/A,#N/A,FALSE,"CONTROLE"}</definedName>
    <definedName name="fghfh" localSheetId="2" hidden="1">{"'Estimativa de Lançamento-JAN'!$A$1:$AI$85"}</definedName>
    <definedName name="fghfh" hidden="1">{"'Estimativa de Lançamento-JAN'!$A$1:$AI$85"}</definedName>
    <definedName name="FGJHFGK" localSheetId="2" hidden="1">{#N/A,#N/A,FALSE,"Plan1";#N/A,#N/A,FALSE,"Plan2"}</definedName>
    <definedName name="FGJHFGK" hidden="1">{#N/A,#N/A,FALSE,"Plan1";#N/A,#N/A,FALSE,"Plan2"}</definedName>
    <definedName name="FGSF">#REF!</definedName>
    <definedName name="FILTRO" localSheetId="2" hidden="1">{#N/A,#N/A,TRUE,"Quinzena 01 à 15-04-98 "}</definedName>
    <definedName name="FILTRO" hidden="1">{#N/A,#N/A,TRUE,"Quinzena 01 à 15-04-98 "}</definedName>
    <definedName name="FINAL">#REF!</definedName>
    <definedName name="FJG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2" hidden="1">{#N/A,#N/A,FALSE,"Plan1";#N/A,#N/A,FALSE,"Plan2"}</definedName>
    <definedName name="FJHJHG" hidden="1">{#N/A,#N/A,FALSE,"Plan1";#N/A,#N/A,FALSE,"Plan2"}</definedName>
    <definedName name="FL_1">#REF!</definedName>
    <definedName name="FONTE">#REF!</definedName>
    <definedName name="FOR_BL1">[33]BL1!$G$283</definedName>
    <definedName name="FOR_BL2">[33]BL2!$G$274</definedName>
    <definedName name="FOR_BL4">'[33]BL3-4'!$G$265</definedName>
    <definedName name="FOR_BL5">[33]BL5!$G$262</definedName>
    <definedName name="FOR_BL7">[33]BL7!$G$269</definedName>
    <definedName name="FOR_BL8">[33]BL8!$G$219</definedName>
    <definedName name="FOR_POR">[33]PORTARIA!$G$174</definedName>
    <definedName name="FORECAST1">#REF!</definedName>
    <definedName name="FORMA_DE_PAGAMENTO">[45]!Tabela1[FORMA_DE_PAGAMENTO]</definedName>
    <definedName name="Formato_da_Loja">#REF!</definedName>
    <definedName name="FORMATOS">#REF!</definedName>
    <definedName name="FORNECEDOReMATERIAIS">#REF!</definedName>
    <definedName name="FORNECEDORES">'[42]MDO Civil'!$F$4:$J$4</definedName>
    <definedName name="fornecimento" localSheetId="21" hidden="1">{#N/A,#N/A,FALSE,"CONTROLE"}</definedName>
    <definedName name="fornecimento">#REF!</definedName>
    <definedName name="FORNO">#REF!</definedName>
    <definedName name="FORRO">#REF!</definedName>
    <definedName name="FPOLIS">#REF!</definedName>
    <definedName name="Frete">#REF!</definedName>
    <definedName name="FRONT">[2]DETAILS!#REF!</definedName>
    <definedName name="fsdgkljkljfjgqrueopghgjçgjjgadlpi" localSheetId="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fsdgkljkljfjgqrueopghgjçgjjgadlpi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fsg" localSheetId="2" hidden="1">{"Alle Perioden",#N/A,FALSE,"Erf";"Alle Perioden",#N/A,FALSE,"Ang";"Alle Perioden",#N/A,FALSE,"BV";"Alle Perioden",#N/A,FALSE,"BE";"Alle Perioden",#N/A,FALSE,"Re";"Alle Perioden",#N/A,FALSE,"Vol"}</definedName>
    <definedName name="fsg" hidden="1">{"Alle Perioden",#N/A,FALSE,"Erf";"Alle Perioden",#N/A,FALSE,"Ang";"Alle Perioden",#N/A,FALSE,"BV";"Alle Perioden",#N/A,FALSE,"BE";"Alle Perioden",#N/A,FALSE,"Re";"Alle Perioden",#N/A,FALSE,"Vol"}</definedName>
    <definedName name="fss">'[59]RP-1 SB (3)'!$E$39</definedName>
    <definedName name="FUNC">[74]FUNC!$B$3:$D$52</definedName>
    <definedName name="fund">#REF!</definedName>
    <definedName name="fund1">#REF!</definedName>
    <definedName name="fundacoes">#REF!</definedName>
    <definedName name="fundações">#REF!</definedName>
    <definedName name="fundações1">[75]Genéricos!$B$5:$E$727</definedName>
    <definedName name="fuste">#REF!</definedName>
    <definedName name="fyuk">#N/A</definedName>
    <definedName name="g">#REF!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'[76]orc_raso sp'!#REF!</definedName>
    <definedName name="G_27">#REF!</definedName>
    <definedName name="G_31">#REF!</definedName>
    <definedName name="G_32">#REF!</definedName>
    <definedName name="G_33">#REF!</definedName>
    <definedName name="g_34">'[76]orc_raso sp'!#REF!</definedName>
    <definedName name="G_35">#REF!</definedName>
    <definedName name="g_37">#REF!</definedName>
    <definedName name="G_41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'[76]orc_raso sp'!#REF!</definedName>
    <definedName name="G_91">'[76]orc_raso sp'!#REF!</definedName>
    <definedName name="G_92">'[76]orc_raso sp'!#REF!</definedName>
    <definedName name="G_94">'[76]orc_raso sp'!#REF!</definedName>
    <definedName name="G_95">'[77]orc_raso sp'!#REF!</definedName>
    <definedName name="G_96">'[77]orc_raso sp'!#REF!</definedName>
    <definedName name="GAC">#REF!</definedName>
    <definedName name="GASE" localSheetId="2" hidden="1">{#N/A,#N/A,FALSE,"RESUMO-BB1";#N/A,#N/A,FALSE,"MOD-A01-R - BB1";#N/A,#N/A,FALSE,"URB-BB1"}</definedName>
    <definedName name="GASE" hidden="1">{#N/A,#N/A,FALSE,"RESUMO-BB1";#N/A,#N/A,FALSE,"MOD-A01-R - BB1";#N/A,#N/A,FALSE,"URB-BB1"}</definedName>
    <definedName name="GCD">#REF!</definedName>
    <definedName name="GCE">#REF!</definedName>
    <definedName name="gdfsdfdsgsdgsd">#REF!</definedName>
    <definedName name="gen">#REF!</definedName>
    <definedName name="ger" localSheetId="21" hidden="1">{#N/A,#N/A,FALSE,"CONTROLE"}</definedName>
    <definedName name="GER">Tarefas!$BT$30</definedName>
    <definedName name="GER.">Tarefas!$BT$30</definedName>
    <definedName name="GERAL">#REF!</definedName>
    <definedName name="gerencial" localSheetId="2" hidden="1">{#N/A,#N/A,FALSE,"CONTROLE"}</definedName>
    <definedName name="gerencial" hidden="1">{#N/A,#N/A,FALSE,"CONTROLE"}</definedName>
    <definedName name="Gerente">[31]RESUMO!$S$4</definedName>
    <definedName name="gf" localSheetId="2" hidden="1">{#N/A,#N/A,FALSE,"ORC-ACKE";#N/A,#N/A,FALSE,"RESUMO"}</definedName>
    <definedName name="gf" hidden="1">{#N/A,#N/A,FALSE,"ORC-ACKE";#N/A,#N/A,FALSE,"RESUMO"}</definedName>
    <definedName name="gfgfg">'[59]RP-1 SB (3)'!$D$31</definedName>
    <definedName name="gfhfgh">#REF!</definedName>
    <definedName name="gfhfgh___6">#REF!</definedName>
    <definedName name="gg">#REF!</definedName>
    <definedName name="ggg">#REF!</definedName>
    <definedName name="ggggggggg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gggg">#REF!</definedName>
    <definedName name="ghgh" localSheetId="2" hidden="1">{#N/A,#N/A,FALSE,"SIM95"}</definedName>
    <definedName name="ghgh" hidden="1">{#N/A,#N/A,FALSE,"SIM95"}</definedName>
    <definedName name="ghjg" localSheetId="2" hidden="1">{"'Estimativa de Lançamento-JAN'!$A$1:$AI$85"}</definedName>
    <definedName name="ghjg" hidden="1">{"'Estimativa de Lançamento-JAN'!$A$1:$AI$85"}</definedName>
    <definedName name="GINV">#REF!</definedName>
    <definedName name="gipl_cod">#REF!</definedName>
    <definedName name="GLOBAL">#REF!</definedName>
    <definedName name="Gomes" hidden="1">0</definedName>
    <definedName name="GPOA">#REF!</definedName>
    <definedName name="GR">#REF!</definedName>
    <definedName name="gr_25">'[78]11 ao 19'!#REF!</definedName>
    <definedName name="_xlnm.Recorder">#REF!</definedName>
    <definedName name="Graf" localSheetId="2" hidden="1">{#N/A,#N/A,FALSE,"CONTROLE"}</definedName>
    <definedName name="Graf" hidden="1">{#N/A,#N/A,FALSE,"CONTROLE"}</definedName>
    <definedName name="GRAF_1">#REF!</definedName>
    <definedName name="GRAF_1B">#REF!</definedName>
    <definedName name="Grafico" localSheetId="2" hidden="1">{#N/A,#N/A,FALSE,"CONTROLE"}</definedName>
    <definedName name="Grafico" hidden="1">{#N/A,#N/A,FALSE,"CONTROLE"}</definedName>
    <definedName name="gran">#REF!</definedName>
    <definedName name="granito_02">#REF!</definedName>
    <definedName name="grf" localSheetId="2" hidden="1">{#N/A,#N/A,FALSE,"ORC-ACKE";#N/A,#N/A,FALSE,"RESUMO"}</definedName>
    <definedName name="grf" hidden="1">{#N/A,#N/A,FALSE,"ORC-ACKE";#N/A,#N/A,FALSE,"RESUMO"}</definedName>
    <definedName name="grt">#REF!</definedName>
    <definedName name="GRV">#REF!</definedName>
    <definedName name="h" localSheetId="2" hidden="1">{#N/A,#N/A,FALSE,"GRÁFICO";#N/A,#N/A,FALSE,"MED-URBANIZ";#N/A,#N/A,FALSE,"RES-URBANIZ";#N/A,#N/A,FALSE,"POS-FÍSICA-BLOCO2";#N/A,#N/A,FALSE,"MED-BLOCO2";#N/A,#N/A,FALSE,"RES-BLOCO2";#N/A,#N/A,FALSE,"POS-FÍSICA-BLOCO1";#N/A,#N/A,FALSE,"MED-BLOCO1";#N/A,#N/A,FALSE,"RES-BLOCO1";#N/A,#N/A,FALSE,"REAJUSTE";#N/A,#N/A,FALSE,"POS-FÍSICA-RESUMO";#N/A,#N/A,FALSE,"EXTCRO";#N/A,#N/A,FALSE,"RES-GERAL";#N/A,#N/A,FALSE,"MULTA"}</definedName>
    <definedName name="h" hidden="1">{#N/A,#N/A,FALSE,"GRÁFICO";#N/A,#N/A,FALSE,"MED-URBANIZ";#N/A,#N/A,FALSE,"RES-URBANIZ";#N/A,#N/A,FALSE,"POS-FÍSICA-BLOCO2";#N/A,#N/A,FALSE,"MED-BLOCO2";#N/A,#N/A,FALSE,"RES-BLOCO2";#N/A,#N/A,FALSE,"POS-FÍSICA-BLOCO1";#N/A,#N/A,FALSE,"MED-BLOCO1";#N/A,#N/A,FALSE,"RES-BLOCO1";#N/A,#N/A,FALSE,"REAJUSTE";#N/A,#N/A,FALSE,"POS-FÍSICA-RESUMO";#N/A,#N/A,FALSE,"EXTCRO";#N/A,#N/A,FALSE,"RES-GERAL";#N/A,#N/A,FALSE,"MULTA"}</definedName>
    <definedName name="H2446g647">#REF!</definedName>
    <definedName name="hANGAR_01">#REF!</definedName>
    <definedName name="Hangar_02">#REF!</definedName>
    <definedName name="HH">#REF!</definedName>
    <definedName name="hhh">#REF!</definedName>
    <definedName name="HHHHHHHHH">#REF!</definedName>
    <definedName name="hi">#REF!</definedName>
    <definedName name="HID_BL1">[33]BL1!$G$158</definedName>
    <definedName name="HID_BL2">[33]BL2!$G$174</definedName>
    <definedName name="HID_BL4">'[33]BL3-4'!$G$155</definedName>
    <definedName name="HID_BL5">[33]BL5!$G$151</definedName>
    <definedName name="HID_BL6">[33]BL6!$G$149</definedName>
    <definedName name="HID_BL7">[33]BL7!$G$152</definedName>
    <definedName name="HID_BL8">[33]BL8!$G$145</definedName>
    <definedName name="HID_POR">[33]PORTARIA!$G$134</definedName>
    <definedName name="HIDRÁULICA">#N/A</definedName>
    <definedName name="HIPERMERCADO">#REF!,#REF!,#REF!,#REF!</definedName>
    <definedName name="histo">#REF!</definedName>
    <definedName name="hjjhj">#REF!</definedName>
    <definedName name="HONORARIOS">#REF!</definedName>
    <definedName name="HOTEL">#REF!</definedName>
    <definedName name="HRA" localSheetId="2" hidden="1">{#N/A,#N/A,FALSE,"ORC-ACKE";#N/A,#N/A,FALSE,"RESUMO"}</definedName>
    <definedName name="HRA" hidden="1">{#N/A,#N/A,FALSE,"ORC-ACKE";#N/A,#N/A,FALSE,"RESUMO"}</definedName>
    <definedName name="ht" localSheetId="2" hidden="1">{"'DEC ou FEC'!$A$1:$O$132"}</definedName>
    <definedName name="ht" hidden="1">{"'DEC ou FEC'!$A$1:$O$132"}</definedName>
    <definedName name="HTM">#REF!</definedName>
    <definedName name="HTML_CodePage" hidden="1">1252</definedName>
    <definedName name="HTML_Control" localSheetId="2" hidden="1">{"'Estimativa de Lançamento-JAN'!$A$1:$AI$85"}</definedName>
    <definedName name="HTML_Control" hidden="1">{"'Estimativa de Lançamento-JAN'!$A$1:$AI$85"}</definedName>
    <definedName name="HTML_Control2" localSheetId="2" hidden="1">{"'DEC ou FEC'!$A$1:$O$132"}</definedName>
    <definedName name="HTML_Control2" hidden="1">{"'DEC ou FEC'!$A$1:$O$132"}</definedName>
    <definedName name="HTML_Control3" localSheetId="2" hidden="1">{"'DEC ou FEC'!$A$1:$O$132"}</definedName>
    <definedName name="HTML_Control3" hidden="1">{"'DEC ou FEC'!$A$1:$O$132"}</definedName>
    <definedName name="HTML_Control4" localSheetId="2" hidden="1">{"'DEC ou FEC'!$A$1:$O$132"}</definedName>
    <definedName name="HTML_Control4" hidden="1">{"'DEC ou FEC'!$A$1:$O$132"}</definedName>
    <definedName name="HTML_Control5" localSheetId="2" hidden="1">{"'DEC ou FEC'!$A$1:$O$132"}</definedName>
    <definedName name="HTML_Control5" hidden="1">{"'DEC ou FEC'!$A$1:$O$132"}</definedName>
    <definedName name="HTML_Control6" localSheetId="2" hidden="1">{"'DEC ou FEC'!$A$1:$O$132"}</definedName>
    <definedName name="HTML_Control6" hidden="1">{"'DEC ou FEC'!$A$1:$O$132"}</definedName>
    <definedName name="HTML_Control7" localSheetId="2" hidden="1">{"'DEC ou FEC'!$A$1:$O$132"}</definedName>
    <definedName name="HTML_Control7" hidden="1">{"'DEC ou FEC'!$A$1:$O$132"}</definedName>
    <definedName name="HTML_Control8" localSheetId="2" hidden="1">{"'DEC ou FEC'!$A$1:$O$132"}</definedName>
    <definedName name="HTML_Control8" hidden="1">{"'DEC ou FEC'!$A$1:$O$132"}</definedName>
    <definedName name="HTML_Description" hidden="1">""</definedName>
    <definedName name="HTML_Email" hidden="1">""</definedName>
    <definedName name="HTML_Header" hidden="1">"Estimativa de Lançamento-JAN"</definedName>
    <definedName name="HTML_LastUpdate" hidden="1">"03/01/01"</definedName>
    <definedName name="HTML_LineAfter" hidden="1">FALSE</definedName>
    <definedName name="HTML_LineBefore" hidden="1">FALSE</definedName>
    <definedName name="HTML_Name" hidden="1">"CAMARGO CORREA"</definedName>
    <definedName name="HTML_OBDlg2" hidden="1">TRUE</definedName>
    <definedName name="HTML_OBDlg4" hidden="1">TRUE</definedName>
    <definedName name="HTML_OS" hidden="1">0</definedName>
    <definedName name="HTML_PathFile" hidden="1">"Y:\Producao de Concreto\Meus documentos\Aylton\Roberto\MeuHTML.htm"</definedName>
    <definedName name="HTML_Title" hidden="1">"Previsão Lançamento Concreto"</definedName>
    <definedName name="HTML2_CONTROL" localSheetId="2" hidden="1">{"'Estimativa de Lançamento-JAN'!$A$1:$AI$85"}</definedName>
    <definedName name="HTML2_CONTROL" hidden="1">{"'Estimativa de Lançamento-JAN'!$A$1:$AI$85"}</definedName>
    <definedName name="HTML3_CONTROL" localSheetId="2" hidden="1">{"'Estimativa de Lançamento-JAN'!$A$1:$AI$85"}</definedName>
    <definedName name="HTML3_CONTROL" hidden="1">{"'Estimativa de Lançamento-JAN'!$A$1:$AI$85"}</definedName>
    <definedName name="HTN">#REF!</definedName>
    <definedName name="i">#REF!</definedName>
    <definedName name="ICMS_Solesa">#REF!</definedName>
    <definedName name="ICMS_Solesa_1">#REF!</definedName>
    <definedName name="ICMS_Solesa_2">#REF!</definedName>
    <definedName name="ICMS_Solesa_3">#REF!</definedName>
    <definedName name="ID_IMÓVEL">#REF!</definedName>
    <definedName name="IGUAIS">#REF!</definedName>
    <definedName name="iinstalaçõ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mob" localSheetId="2" hidden="1">{#N/A,#N/A,FALSE,"CONTROLE"}</definedName>
    <definedName name="imob" hidden="1">{#N/A,#N/A,FALSE,"CONTROLE"}</definedName>
    <definedName name="imobiliariav" localSheetId="2" hidden="1">{#N/A,#N/A,FALSE,"CONTROLE"}</definedName>
    <definedName name="imobiliariav" hidden="1">{#N/A,#N/A,FALSE,"CONTROLE"}</definedName>
    <definedName name="IMOBILIARIAV1" localSheetId="2" hidden="1">{#N/A,#N/A,FALSE,"CONTROLE"}</definedName>
    <definedName name="IMOBILIARIAV1" hidden="1">{#N/A,#N/A,FALSE,"CONTROLE"}</definedName>
    <definedName name="IMP" hidden="1">#REF!</definedName>
    <definedName name="IMP_BL1">[33]BL1!$G$322</definedName>
    <definedName name="IMPERMEABILIZA">#N/A</definedName>
    <definedName name="IMPERMEABILIZACAO">#REF!</definedName>
    <definedName name="Importação_Mapa_Contratação">#REF!</definedName>
    <definedName name="IMPOSTO">#REF!</definedName>
    <definedName name="IMPR">'[4]MEDIÇAO 1'!#REF!</definedName>
    <definedName name="IMPR1">'[4]MEDIÇAO 1'!#REF!</definedName>
    <definedName name="ImprCronograma">[10]ORIGINAL!$AN$95:$CD$167</definedName>
    <definedName name="IMPRES">#REF!</definedName>
    <definedName name="ImprEvco">[10]ORIGINAL!$A$1:$AC$81</definedName>
    <definedName name="in">'[11]MP+Insumos'!#REF!</definedName>
    <definedName name="Inad" hidden="1">49</definedName>
    <definedName name="INCC">#REF!</definedName>
    <definedName name="incc_">[79]RESUMO!$E$40</definedName>
    <definedName name="Incorrido01">[10]ORIGINAL!$Q$12:$U$68</definedName>
    <definedName name="indicde" localSheetId="2" hidden="1">{#N/A,#N/A,FALSE,"CONTROLE";#N/A,#N/A,FALSE,"CONTROLE"}</definedName>
    <definedName name="indicde" hidden="1">{#N/A,#N/A,FALSE,"CONTROLE";#N/A,#N/A,FALSE,"CONTROLE"}</definedName>
    <definedName name="indice">[26]Tabela!$B$3:$Q$3</definedName>
    <definedName name="Índice_do_CritérioContrato">[49]Índice!$F$16:$M$87</definedName>
    <definedName name="Índice_Lançado">[49]Índice!$G$16:$G$87</definedName>
    <definedName name="indice1">#REF!</definedName>
    <definedName name="inf">'[80]Orçamento Global'!$D$38</definedName>
    <definedName name="INFRA_BL1">[33]BL1!$G$92</definedName>
    <definedName name="INFRA_BL2">[33]BL2!$G$111</definedName>
    <definedName name="INFRA_BL4">'[33]BL3-4'!$G$92</definedName>
    <definedName name="INFRA_BL5">[33]BL5!$G$92</definedName>
    <definedName name="INFRA_BL6">[33]BL6!$G$92</definedName>
    <definedName name="INFRA_BL7">[33]BL7!$G$92</definedName>
    <definedName name="INFRA_BL8">[33]BL8!$G$92</definedName>
    <definedName name="INFRA_POR">[33]PORTARIA!$G$92</definedName>
    <definedName name="INFRA_SUB">[33]SUBEST.!$G$92</definedName>
    <definedName name="Inicio">#REF!</definedName>
    <definedName name="INSS" localSheetId="21">'[30]Cotação de Materiais'!#REF!</definedName>
    <definedName name="INSS">#REF!</definedName>
    <definedName name="inst">#REF!</definedName>
    <definedName name="instalaçoe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_JAN_06">[81]Titulo_Insu!$A$1:$E$2383</definedName>
    <definedName name="INSU_JAN_07">[82]INSU!$A$2:$D$2152</definedName>
    <definedName name="INSU_JUL_07">#REF!</definedName>
    <definedName name="INSUMOS">#REF!</definedName>
    <definedName name="Insumos_Cd">#REF!</definedName>
    <definedName name="Insumos_Preço">#REF!</definedName>
    <definedName name="Inter_Cabe">#REF!</definedName>
    <definedName name="Intervalo_Graf_2">#REF!</definedName>
    <definedName name="Intervalo_Grafico">OFFSET(#REF!,0,0,COUNTA(#REF!),13)</definedName>
    <definedName name="IPMF">#REF!</definedName>
    <definedName name="IRRF" localSheetId="21">'[30]Cotação de Materiais'!#REF!</definedName>
    <definedName name="IRRF">#REF!</definedName>
    <definedName name="ISS">#REF!</definedName>
    <definedName name="ISSabat">#REF!</definedName>
    <definedName name="ITEM">[8]OBRJU95!#REF!</definedName>
    <definedName name="item_1">#REF!</definedName>
    <definedName name="item1">[83]Plan1!$J$13</definedName>
    <definedName name="item3">[83]Plan1!$J$30</definedName>
    <definedName name="item4">[83]Plan1!$J$39</definedName>
    <definedName name="ITENS">#REF!</definedName>
    <definedName name="Itens_dos_Serviços">[49]ABC!$B$17:$B$65536</definedName>
    <definedName name="J">(#REF!/#REF!)</definedName>
    <definedName name="JANA">#REF!</definedName>
    <definedName name="jg" localSheetId="2" hidden="1">{#N/A,#N/A,FALSE,"RESUMO-BB1";#N/A,#N/A,FALSE,"MOD-A01-R - BB1";#N/A,#N/A,FALSE,"URB-BB1"}</definedName>
    <definedName name="jg" hidden="1">{#N/A,#N/A,FALSE,"RESUMO-BB1";#N/A,#N/A,FALSE,"MOD-A01-R - BB1";#N/A,#N/A,FALSE,"URB-BB1"}</definedName>
    <definedName name="jgg" localSheetId="2" hidden="1">{#N/A,#N/A,FALSE,"GRÁFICO";#N/A,#N/A,FALSE,"MED-URBANIZ";#N/A,#N/A,FALSE,"RES-URBANIZ";#N/A,#N/A,FALSE,"POS-FÍSICA-BLOCO2";#N/A,#N/A,FALSE,"MED-BLOCO2";#N/A,#N/A,FALSE,"RES-BLOCO2";#N/A,#N/A,FALSE,"POS-FÍSICA-BLOCO1";#N/A,#N/A,FALSE,"MED-BLOCO1";#N/A,#N/A,FALSE,"RES-BLOCO1";#N/A,#N/A,FALSE,"REAJUSTE";#N/A,#N/A,FALSE,"POS-FÍSICA-RESUMO";#N/A,#N/A,FALSE,"EXTCRO";#N/A,#N/A,FALSE,"RES-GERAL";#N/A,#N/A,FALSE,"MULTA"}</definedName>
    <definedName name="jgg" hidden="1">{#N/A,#N/A,FALSE,"GRÁFICO";#N/A,#N/A,FALSE,"MED-URBANIZ";#N/A,#N/A,FALSE,"RES-URBANIZ";#N/A,#N/A,FALSE,"POS-FÍSICA-BLOCO2";#N/A,#N/A,FALSE,"MED-BLOCO2";#N/A,#N/A,FALSE,"RES-BLOCO2";#N/A,#N/A,FALSE,"POS-FÍSICA-BLOCO1";#N/A,#N/A,FALSE,"MED-BLOCO1";#N/A,#N/A,FALSE,"RES-BLOCO1";#N/A,#N/A,FALSE,"REAJUSTE";#N/A,#N/A,FALSE,"POS-FÍSICA-RESUMO";#N/A,#N/A,FALSE,"EXTCRO";#N/A,#N/A,FALSE,"RES-GERAL";#N/A,#N/A,FALSE,"MULTA"}</definedName>
    <definedName name="JGH">#REF!</definedName>
    <definedName name="JHGJH">#REF!</definedName>
    <definedName name="jhsdfwuileyiop" localSheetId="2" hidden="1">{#N/A,#N/A,FALSE,"CONTROLE"}</definedName>
    <definedName name="jhsdfwuileyiop" hidden="1">{#N/A,#N/A,FALSE,"CONTROLE"}</definedName>
    <definedName name="jj" localSheetId="21" hidden="1">{#N/A,#N/A,FALSE,"Plan1";#N/A,#N/A,FALSE,"Plan2"}</definedName>
    <definedName name="JJ">#REF!</definedName>
    <definedName name="JJJ">#REF!</definedName>
    <definedName name="jjjj">#REF!</definedName>
    <definedName name="jmt">#REF!</definedName>
    <definedName name="jose" localSheetId="2" hidden="1">{#N/A,#N/A,FALSE,"CONTROLE"}</definedName>
    <definedName name="jose" hidden="1">{#N/A,#N/A,FALSE,"CONTROLE"}</definedName>
    <definedName name="joselito">#REF!</definedName>
    <definedName name="JULA">#REF!</definedName>
    <definedName name="JULHO99" localSheetId="2" hidden="1">{#N/A,#N/A,TRUE,"Quinzena 01 à 15-04-98 "}</definedName>
    <definedName name="JULHO99" hidden="1">{#N/A,#N/A,TRUE,"Quinzena 01 à 15-04-98 "}</definedName>
    <definedName name="JUNA">#REF!</definedName>
    <definedName name="k" localSheetId="21">[72]Auxiliar!#REF!</definedName>
    <definedName name="k">#REF!</definedName>
    <definedName name="KA">'[84]Planilha Básica'!#REF!</definedName>
    <definedName name="kb">#REF!</definedName>
    <definedName name="kico" localSheetId="2" hidden="1">{#N/A,#N/A,FALSE,"CONTROLE";#N/A,#N/A,FALSE,"CONTROLE"}</definedName>
    <definedName name="kico" hidden="1">{#N/A,#N/A,FALSE,"CONTROLE";#N/A,#N/A,FALSE,"CONTROLE"}</definedName>
    <definedName name="kiko" localSheetId="2" hidden="1">{#N/A,#N/A,FALSE,"CONTROLE";#N/A,#N/A,FALSE,"CONTROLE"}</definedName>
    <definedName name="kiko" hidden="1">{#N/A,#N/A,FALSE,"CONTROLE";#N/A,#N/A,FALSE,"CONTROLE"}</definedName>
    <definedName name="KIT">#REF!</definedName>
    <definedName name="KIT_TECNOFRAME_STEEL__DETALHAMENTO_ITEM_V___MEMORIAL_DESCRITIVO">#REF!</definedName>
    <definedName name="KK">#REF!</definedName>
    <definedName name="KKKKK">#REF!</definedName>
    <definedName name="KKKKKK">#REF!</definedName>
    <definedName name="kljflksjk" localSheetId="2" hidden="1">{#N/A,#N/A,FALSE,"SIM95"}</definedName>
    <definedName name="kljflksjk" hidden="1">{#N/A,#N/A,FALSE,"SIM95"}</definedName>
    <definedName name="klkjlh" hidden="1">#REF!</definedName>
    <definedName name="KLKKLKÇJÇ" localSheetId="2" hidden="1">{#N/A,#N/A,FALSE,"Plan1";#N/A,#N/A,FALSE,"Plan2"}</definedName>
    <definedName name="KLKKLKÇJÇ" hidden="1">{#N/A,#N/A,FALSE,"Plan1";#N/A,#N/A,FALSE,"Plan2"}</definedName>
    <definedName name="klmn" localSheetId="2" hidden="1">{#N/A,#N/A,FALSE,"Bericht 2";#N/A,#N/A,FALSE,"Bericht 3";#N/A,#N/A,FALSE,"Bericht 1"}</definedName>
    <definedName name="klmn" hidden="1">{#N/A,#N/A,FALSE,"Bericht 2";#N/A,#N/A,FALSE,"Bericht 3";#N/A,#N/A,FALSE,"Bericht 1"}</definedName>
    <definedName name="koae">#REF!</definedName>
    <definedName name="kpavi">#REF!</definedName>
    <definedName name="KSDNFK">#REF!</definedName>
    <definedName name="kterra">#REF!</definedName>
    <definedName name="kubus">#REF!</definedName>
    <definedName name="kubus_1">#REF!</definedName>
    <definedName name="kubus1">#REF!</definedName>
    <definedName name="kubus1_1">#REF!</definedName>
    <definedName name="kubuspalmeiras">#REF!</definedName>
    <definedName name="kubusretiro">#REF!</definedName>
    <definedName name="Lança_Avaliações">[85]Painel_Contr!$D$7:$BQ$15</definedName>
    <definedName name="LARG">#REF!</definedName>
    <definedName name="LAT">#REF!</definedName>
    <definedName name="LB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CPPLA">#REF!</definedName>
    <definedName name="Leg" hidden="1">#REF!</definedName>
    <definedName name="LEIS">#REF!</definedName>
    <definedName name="Leis_Sociais">'[86]P   CARGOS SAL CARAJAS '!$D$6</definedName>
    <definedName name="LEIVLAJA" localSheetId="2" hidden="1">{#N/A,#N/A,TRUE,"DIVIDER PAGE";#N/A,#N/A,TRUE,"Exist + Reg A IS";#N/A,#N/A,TRUE,"Summary IS exc. B";#N/A,#N/A,TRUE,"New Stores";#N/A,#N/A,TRUE,"Existing DCF";#N/A,#N/A,TRUE,"Region A DCF";#N/A,#N/A,TRUE,"Existing + Reg. A DCF"}</definedName>
    <definedName name="LEIVLAJA" hidden="1">{#N/A,#N/A,TRUE,"DIVIDER PAGE";#N/A,#N/A,TRUE,"Exist + Reg A IS";#N/A,#N/A,TRUE,"Summary IS exc. B";#N/A,#N/A,TRUE,"New Stores";#N/A,#N/A,TRUE,"Existing DCF";#N/A,#N/A,TRUE,"Region A DCF";#N/A,#N/A,TRUE,"Existing + Reg. A DCF"}</definedName>
    <definedName name="LEVANT5">#REF!</definedName>
    <definedName name="LEVANTAMENTO">'[87]2'!#REF!</definedName>
    <definedName name="libero" localSheetId="2" hidden="1">{#N/A,#N/A,FALSE,"CONTROLE"}</definedName>
    <definedName name="libero" hidden="1">{#N/A,#N/A,FALSE,"CONTROLE"}</definedName>
    <definedName name="LIC">#REF!</definedName>
    <definedName name="LILASDRENA">#REF!</definedName>
    <definedName name="lim_var">#REF!</definedName>
    <definedName name="limcount" localSheetId="21" hidden="1">1</definedName>
    <definedName name="limcount" hidden="1">2</definedName>
    <definedName name="limite">#REF!</definedName>
    <definedName name="Limpar_001">[10]ORIGINAL!#REF!</definedName>
    <definedName name="Limpar001">'[57]EVCO-set-04'!#REF!</definedName>
    <definedName name="Line">#REF!</definedName>
    <definedName name="linha">#REF!</definedName>
    <definedName name="LIQUIDO" localSheetId="21">'[30]Cotação de Materiais'!#REF!</definedName>
    <definedName name="LIQUIDO">#REF!</definedName>
    <definedName name="LIST">#REF!</definedName>
    <definedName name="LIST_EQP">[66]Servivel!$C$3:$C$529</definedName>
    <definedName name="LIST_PLACAS">[66]Servivel!$I$3:$I$528</definedName>
    <definedName name="LIST1">#REF!</definedName>
    <definedName name="LIST2">#REF!</definedName>
    <definedName name="LISTA">#REF!</definedName>
    <definedName name="lista_de_materiais">#REF!</definedName>
    <definedName name="LISTA_FUNC">[74]FUNC!$C$3:$C$52</definedName>
    <definedName name="Lista1">#REF!</definedName>
    <definedName name="lista2">#REF!</definedName>
    <definedName name="LISTACOMPLETA">#REF!</definedName>
    <definedName name="LISTACOMPLETA1">#REF!</definedName>
    <definedName name="LISTACOMPLETA2">#REF!</definedName>
    <definedName name="LISTADIAS">#REF!</definedName>
    <definedName name="ListaFim">#REF!</definedName>
    <definedName name="LISTAFOB">#REF!</definedName>
    <definedName name="ListaServiços">OFFSET(#REF!,3,0,COUNTA(#REF!)-1,1)</definedName>
    <definedName name="ListaServiços_Cd">#REF!</definedName>
    <definedName name="ListaServiços_Lista">#REF!</definedName>
    <definedName name="ListaServiços_Tab">#REF!</definedName>
    <definedName name="ListaServiços_Unid">#REF!</definedName>
    <definedName name="LISTASN">#REF!</definedName>
    <definedName name="LISTAVENDEDOR">#REF!</definedName>
    <definedName name="LISTAVISITA">#REF!</definedName>
    <definedName name="Livres" localSheetId="2" hidden="1">{#N/A,#N/A,FALSE,"CONTROLE"}</definedName>
    <definedName name="Livres" hidden="1">{#N/A,#N/A,FALSE,"CONTROLE"}</definedName>
    <definedName name="lixo">#REF!</definedName>
    <definedName name="LK" localSheetId="2" hidden="1">{#N/A,#N/A,TRUE,"Quinzena 01 à 15-04-98 "}</definedName>
    <definedName name="LK" hidden="1">{#N/A,#N/A,TRUE,"Quinzena 01 à 15-04-98 "}</definedName>
    <definedName name="LL">#REF!</definedName>
    <definedName name="ll_1" localSheetId="2" hidden="1">{#N/A,#N/A,FALSE,"Inad Unidade-OTN"}</definedName>
    <definedName name="ll_1" hidden="1">{#N/A,#N/A,FALSE,"Inad Unidade-OTN"}</definedName>
    <definedName name="ll_1_1_1" localSheetId="2" hidden="1">{#N/A,#N/A,FALSE,"Inad Unidade-OTN"}</definedName>
    <definedName name="ll_1_1_1" hidden="1">{#N/A,#N/A,FALSE,"Inad Unidade-OTN"}</definedName>
    <definedName name="ll_2" localSheetId="2" hidden="1">{#N/A,#N/A,FALSE,"Inad Unidade-OTN"}</definedName>
    <definedName name="ll_2" hidden="1">{#N/A,#N/A,FALSE,"Inad Unidade-OTN"}</definedName>
    <definedName name="ll_2_1" localSheetId="2" hidden="1">{#N/A,#N/A,FALSE,"Inad Unidade-OTN"}</definedName>
    <definedName name="ll_2_1" hidden="1">{#N/A,#N/A,FALSE,"Inad Unidade-OTN"}</definedName>
    <definedName name="lll" localSheetId="21" hidden="1">{#N/A,#N/A,FALSE,"BOQCIC";#N/A,#N/A,FALSE,"3Ds";#N/A,#N/A,FALSE,"COST DETAIL"}</definedName>
    <definedName name="LLL">#REF!</definedName>
    <definedName name="llll" localSheetId="2" hidden="1">{#N/A,#N/A,FALSE,"Plan1";#N/A,#N/A,FALSE,"Plan2"}</definedName>
    <definedName name="llll" hidden="1">{#N/A,#N/A,FALSE,"Plan1";#N/A,#N/A,FALSE,"Plan2"}</definedName>
    <definedName name="LOCAÇÃO_RECICLAGEM">#REF!</definedName>
    <definedName name="LOCALIDADES">#REF!</definedName>
    <definedName name="LOCALMENU">#REF!</definedName>
    <definedName name="LOGOTIPO">"Imagem 18"</definedName>
    <definedName name="loja" localSheetId="2" hidden="1">{#N/A,#N/A,FALSE,"BETER -1";#N/A,#N/A,FALSE,"BETER -2";#N/A,#N/A,FALSE,"BETER -3";#N/A,#N/A,FALSE,"BETER -urb";#N/A,#N/A,FALSE,"BETER -RESUMO"}</definedName>
    <definedName name="loja" hidden="1">{#N/A,#N/A,FALSE,"BETER -1";#N/A,#N/A,FALSE,"BETER -2";#N/A,#N/A,FALSE,"BETER -3";#N/A,#N/A,FALSE,"BETER -urb";#N/A,#N/A,FALSE,"BETER -RESUMO"}</definedName>
    <definedName name="LOTE_01_330">#REF!</definedName>
    <definedName name="LOTE_01_348">#REF!</definedName>
    <definedName name="LOTE_03_323">#REF!</definedName>
    <definedName name="LOTE_05_322">#REF!</definedName>
    <definedName name="LOTE_08_225">#REF!</definedName>
    <definedName name="LOTE_09_0">#REF!</definedName>
    <definedName name="LOTE_09_310">#REF!</definedName>
    <definedName name="LOTE_10_255">#REF!</definedName>
    <definedName name="LOTE_10_318">#REF!</definedName>
    <definedName name="LOTE_10_330">#REF!</definedName>
    <definedName name="LOTE_10_334">#REF!</definedName>
    <definedName name="LOTE_10_345">#REF!</definedName>
    <definedName name="LOTE_11_215">#REF!</definedName>
    <definedName name="LOTE_11_340">#REF!</definedName>
    <definedName name="LOTE_11_342">#REF!</definedName>
    <definedName name="LOTE_11_344">#REF!</definedName>
    <definedName name="LOTE_11_350">#REF!</definedName>
    <definedName name="LS" localSheetId="21">'[88]M.O.'!#REF!</definedName>
    <definedName name="LS">#REF!</definedName>
    <definedName name="lsh">'[89]MDO Própria'!$E$22</definedName>
    <definedName name="lsm">'[89]MDO Própria'!$D$22</definedName>
    <definedName name="LT">#REF!</definedName>
    <definedName name="m" localSheetId="20">#REF!</definedName>
    <definedName name="m">#REF!</definedName>
    <definedName name="M1_">#REF!</definedName>
    <definedName name="ma">#REF!</definedName>
    <definedName name="Macro1">#REF!</definedName>
    <definedName name="Macro2">#REF!</definedName>
    <definedName name="MACROS">#REF!</definedName>
    <definedName name="MAIA">#REF!</definedName>
    <definedName name="MAIORES">#REF!</definedName>
    <definedName name="Mar_98">"Mestre05"</definedName>
    <definedName name="MARA">#REF!</definedName>
    <definedName name="marcelo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marcelo" hidden="1">{#N/A,#N/A,FALSE,"QUADRO GERAL";#N/A,#N/A,FALSE,"RECEITA OPERACIONAL";#N/A,#N/A,FALSE,"DESP.OPERACIONAIS";#N/A,#N/A,FALSE,"INVESTIMENTOS";#N/A,#N/A,FALSE,"NÃO OPERACIONAL";#N/A,#N/A,FALSE,"PROJEÇÃO INDICADORES"}</definedName>
    <definedName name="marcelo_1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marcelo_1" hidden="1">{#N/A,#N/A,FALSE,"QUADRO GERAL";#N/A,#N/A,FALSE,"RECEITA OPERACIONAL";#N/A,#N/A,FALSE,"DESP.OPERACIONAIS";#N/A,#N/A,FALSE,"INVESTIMENTOS";#N/A,#N/A,FALSE,"NÃO OPERACIONAL";#N/A,#N/A,FALSE,"PROJEÇÃO INDICADORES"}</definedName>
    <definedName name="marcelo_1_1_1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marcelo_1_1_1" hidden="1">{#N/A,#N/A,FALSE,"QUADRO GERAL";#N/A,#N/A,FALSE,"RECEITA OPERACIONAL";#N/A,#N/A,FALSE,"DESP.OPERACIONAIS";#N/A,#N/A,FALSE,"INVESTIMENTOS";#N/A,#N/A,FALSE,"NÃO OPERACIONAL";#N/A,#N/A,FALSE,"PROJEÇÃO INDICADORES"}</definedName>
    <definedName name="marcelo_2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marcelo_2" hidden="1">{#N/A,#N/A,FALSE,"QUADRO GERAL";#N/A,#N/A,FALSE,"RECEITA OPERACIONAL";#N/A,#N/A,FALSE,"DESP.OPERACIONAIS";#N/A,#N/A,FALSE,"INVESTIMENTOS";#N/A,#N/A,FALSE,"NÃO OPERACIONAL";#N/A,#N/A,FALSE,"PROJEÇÃO INDICADORES"}</definedName>
    <definedName name="marcelo_2_1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marcelo_2_1" hidden="1">{#N/A,#N/A,FALSE,"QUADRO GERAL";#N/A,#N/A,FALSE,"RECEITA OPERACIONAL";#N/A,#N/A,FALSE,"DESP.OPERACIONAIS";#N/A,#N/A,FALSE,"INVESTIMENTOS";#N/A,#N/A,FALSE,"NÃO OPERACIONAL";#N/A,#N/A,FALSE,"PROJEÇÃO INDICADORES"}</definedName>
    <definedName name="marcelo1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marcelo1" hidden="1">{#N/A,#N/A,FALSE,"QUADRO GERAL";#N/A,#N/A,FALSE,"RECEITA OPERACIONAL";#N/A,#N/A,FALSE,"DESP.OPERACIONAIS";#N/A,#N/A,FALSE,"INVESTIMENTOS";#N/A,#N/A,FALSE,"NÃO OPERACIONAL";#N/A,#N/A,FALSE,"PROJEÇÃO INDICADORES"}</definedName>
    <definedName name="marcelo1_1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marcelo1_1" hidden="1">{#N/A,#N/A,FALSE,"QUADRO GERAL";#N/A,#N/A,FALSE,"RECEITA OPERACIONAL";#N/A,#N/A,FALSE,"DESP.OPERACIONAIS";#N/A,#N/A,FALSE,"INVESTIMENTOS";#N/A,#N/A,FALSE,"NÃO OPERACIONAL";#N/A,#N/A,FALSE,"PROJEÇÃO INDICADORES"}</definedName>
    <definedName name="marcelo1_1_1_1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marcelo1_1_1_1" hidden="1">{#N/A,#N/A,FALSE,"QUADRO GERAL";#N/A,#N/A,FALSE,"RECEITA OPERACIONAL";#N/A,#N/A,FALSE,"DESP.OPERACIONAIS";#N/A,#N/A,FALSE,"INVESTIMENTOS";#N/A,#N/A,FALSE,"NÃO OPERACIONAL";#N/A,#N/A,FALSE,"PROJEÇÃO INDICADORES"}</definedName>
    <definedName name="marcelo1_2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marcelo1_2" hidden="1">{#N/A,#N/A,FALSE,"QUADRO GERAL";#N/A,#N/A,FALSE,"RECEITA OPERACIONAL";#N/A,#N/A,FALSE,"DESP.OPERACIONAIS";#N/A,#N/A,FALSE,"INVESTIMENTOS";#N/A,#N/A,FALSE,"NÃO OPERACIONAL";#N/A,#N/A,FALSE,"PROJEÇÃO INDICADORES"}</definedName>
    <definedName name="marcelo1_2_1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marcelo1_2_1" hidden="1">{#N/A,#N/A,FALSE,"QUADRO GERAL";#N/A,#N/A,FALSE,"RECEITA OPERACIONAL";#N/A,#N/A,FALSE,"DESP.OPERACIONAIS";#N/A,#N/A,FALSE,"INVESTIMENTOS";#N/A,#N/A,FALSE,"NÃO OPERACIONAL";#N/A,#N/A,FALSE,"PROJEÇÃO INDICADORES"}</definedName>
    <definedName name="margem">#REF!</definedName>
    <definedName name="MARRIMO">'[33]MURO DE ARRIMO'!$G$92</definedName>
    <definedName name="MAT">#REF!</definedName>
    <definedName name="Mat_Fator">[48]Plan2!$G$5:$G$22</definedName>
    <definedName name="Mat_Requerido">[48]Plan2!$E$5:$E$22</definedName>
    <definedName name="matriz">#REF!</definedName>
    <definedName name="matriz1">#REF!</definedName>
    <definedName name="Mau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Mau" hidden="1">{#N/A,#N/A,FALSE,"QUADRO GERAL";#N/A,#N/A,FALSE,"RECEITA OPERACIONAL";#N/A,#N/A,FALSE,"DESP.OPERACIONAIS";#N/A,#N/A,FALSE,"INVESTIMENTOS";#N/A,#N/A,FALSE,"NÃO OPERACIONAL";#N/A,#N/A,FALSE,"PROJEÇÃO INDICADORES"}</definedName>
    <definedName name="Mc_CGráfico">[44]!Mc_CGráfico</definedName>
    <definedName name="MCS">#REF!</definedName>
    <definedName name="Mec_Geral">#REF!</definedName>
    <definedName name="mediana" localSheetId="2" hidden="1">{#N/A,#N/A,FALSE,"CONTROLE";#N/A,#N/A,FALSE,"CONTROLE"}</definedName>
    <definedName name="mediana" hidden="1">{#N/A,#N/A,FALSE,"CONTROLE";#N/A,#N/A,FALSE,"CONTROLE"}</definedName>
    <definedName name="medicao" localSheetId="21">'[30]Cotação de Materiais'!#REF!</definedName>
    <definedName name="medicao">#REF!</definedName>
    <definedName name="medida">[90]Lev.!$G$4:$G$22</definedName>
    <definedName name="Meg" localSheetId="2" hidden="1">{#N/A,#N/A,FALSE,"CONTROLE";#N/A,#N/A,FALSE,"CONTROLE"}</definedName>
    <definedName name="Meg" hidden="1">{#N/A,#N/A,FALSE,"CONTROLE";#N/A,#N/A,FALSE,"CONTROLE"}</definedName>
    <definedName name="MEIO_FIO">#REF!</definedName>
    <definedName name="MEMO">#REF!</definedName>
    <definedName name="MEMÓRIA">#REF!</definedName>
    <definedName name="memória2">#REF!</definedName>
    <definedName name="MEMORIAL">#REF!</definedName>
    <definedName name="MEMORIAL1">#REF!,#REF!,#REF!,#REF!</definedName>
    <definedName name="MENORES">#REF!</definedName>
    <definedName name="MENU">'[91]Resumo - Cortina'!#REF!</definedName>
    <definedName name="MENU1">'[91]Resumo - Cortina'!#REF!</definedName>
    <definedName name="MENU2">'[91]Resumo - Cortina'!#REF!</definedName>
    <definedName name="MENU3">'[91]Resumo - Cortina'!#REF!</definedName>
    <definedName name="MENU4">'[91]Resumo - Cortina'!#REF!</definedName>
    <definedName name="MENU5">'[91]Resumo - Cortina'!#REF!</definedName>
    <definedName name="MENU6">'[91]Resumo - Cortina'!#REF!</definedName>
    <definedName name="mes">#REF!</definedName>
    <definedName name="Mês">#REF!</definedName>
    <definedName name="Mês_Índice_Contrato">[49]Índice!$F$16:$G$87</definedName>
    <definedName name="Meses">[46]Encargos!$W$2</definedName>
    <definedName name="meses_cro">[92]PLA!$AS$13:$CZ$13</definedName>
    <definedName name="meses_INCC">[93]MRV!$D$6:$D$84</definedName>
    <definedName name="Mestre_02">[10]ORIGINAL!#REF!</definedName>
    <definedName name="Mestre02">'[57]EVCO-set-04'!#REF!</definedName>
    <definedName name="Mestre03">'[57]EVCO-set-04'!#REF!</definedName>
    <definedName name="Mestre04">[10]ORIGINAL!$AT$173</definedName>
    <definedName name="Mestre05">[10]ORIGINAL!#REF!</definedName>
    <definedName name="MG">#REF!</definedName>
    <definedName name="mil">#N/A</definedName>
    <definedName name="mil_1" localSheetId="2" hidden="1">{#N/A,#N/A,FALSE,"Inadimplencia Absoluta"}</definedName>
    <definedName name="mil_1" hidden="1">{#N/A,#N/A,FALSE,"Inadimplencia Absoluta"}</definedName>
    <definedName name="mil_1_1_1" localSheetId="2" hidden="1">{#N/A,#N/A,FALSE,"Inadimplencia Absoluta"}</definedName>
    <definedName name="mil_1_1_1" hidden="1">{#N/A,#N/A,FALSE,"Inadimplencia Absoluta"}</definedName>
    <definedName name="mil_2" localSheetId="2" hidden="1">{#N/A,#N/A,FALSE,"Inadimplencia Absoluta"}</definedName>
    <definedName name="mil_2" hidden="1">{#N/A,#N/A,FALSE,"Inadimplencia Absoluta"}</definedName>
    <definedName name="mil_2_1" localSheetId="2" hidden="1">{#N/A,#N/A,FALSE,"Inadimplencia Absoluta"}</definedName>
    <definedName name="mil_2_1" hidden="1">{#N/A,#N/A,FALSE,"Inadimplencia Absoluta"}</definedName>
    <definedName name="mil1_1" localSheetId="2" hidden="1">{#N/A,#N/A,FALSE,"QuadroAntigo"}</definedName>
    <definedName name="mil1_1" hidden="1">{#N/A,#N/A,FALSE,"QuadroAntigo"}</definedName>
    <definedName name="mil1_1_1_1" localSheetId="2" hidden="1">{#N/A,#N/A,FALSE,"QuadroAntigo"}</definedName>
    <definedName name="mil1_1_1_1" hidden="1">{#N/A,#N/A,FALSE,"QuadroAntigo"}</definedName>
    <definedName name="mil1_2" localSheetId="2" hidden="1">{#N/A,#N/A,FALSE,"QuadroAntigo"}</definedName>
    <definedName name="mil1_2" hidden="1">{#N/A,#N/A,FALSE,"QuadroAntigo"}</definedName>
    <definedName name="mil1_2_1" localSheetId="2" hidden="1">{#N/A,#N/A,FALSE,"QuadroAntigo"}</definedName>
    <definedName name="mil1_2_1" hidden="1">{#N/A,#N/A,FALSE,"QuadroAntigo"}</definedName>
    <definedName name="mil2_1" localSheetId="2" hidden="1">{#N/A,#N/A,FALSE,"Lojas por Faturamento (R$)"}</definedName>
    <definedName name="mil2_1" hidden="1">{#N/A,#N/A,FALSE,"Lojas por Faturamento (R$)"}</definedName>
    <definedName name="mil2_1_1_1" localSheetId="2" hidden="1">{#N/A,#N/A,FALSE,"Lojas por Faturamento (R$)"}</definedName>
    <definedName name="mil2_1_1_1" hidden="1">{#N/A,#N/A,FALSE,"Lojas por Faturamento (R$)"}</definedName>
    <definedName name="mil2_2" localSheetId="2" hidden="1">{#N/A,#N/A,FALSE,"Lojas por Faturamento (R$)"}</definedName>
    <definedName name="mil2_2" hidden="1">{#N/A,#N/A,FALSE,"Lojas por Faturamento (R$)"}</definedName>
    <definedName name="mil2_2_1" localSheetId="2" hidden="1">{#N/A,#N/A,FALSE,"Lojas por Faturamento (R$)"}</definedName>
    <definedName name="mil2_2_1" hidden="1">{#N/A,#N/A,FALSE,"Lojas por Faturamento (R$)"}</definedName>
    <definedName name="mil20_1" localSheetId="2" hidden="1">{#N/A,#N/A,FALSE,"Vendas"}</definedName>
    <definedName name="mil20_1" hidden="1">{#N/A,#N/A,FALSE,"Vendas"}</definedName>
    <definedName name="mil20_1_1_1" localSheetId="2" hidden="1">{#N/A,#N/A,FALSE,"Vendas"}</definedName>
    <definedName name="mil20_1_1_1" hidden="1">{#N/A,#N/A,FALSE,"Vendas"}</definedName>
    <definedName name="mil20_2" localSheetId="2" hidden="1">{#N/A,#N/A,FALSE,"Vendas"}</definedName>
    <definedName name="mil20_2" hidden="1">{#N/A,#N/A,FALSE,"Vendas"}</definedName>
    <definedName name="mil20_2_1" localSheetId="2" hidden="1">{#N/A,#N/A,FALSE,"Vendas"}</definedName>
    <definedName name="mil20_2_1" hidden="1">{#N/A,#N/A,FALSE,"Vendas"}</definedName>
    <definedName name="mil21_1" localSheetId="2" hidden="1">{#N/A,#N/A,FALSE,"Aluguel"}</definedName>
    <definedName name="mil21_1" hidden="1">{#N/A,#N/A,FALSE,"Aluguel"}</definedName>
    <definedName name="mil21_1_1_1" localSheetId="2" hidden="1">{#N/A,#N/A,FALSE,"Aluguel"}</definedName>
    <definedName name="mil21_1_1_1" hidden="1">{#N/A,#N/A,FALSE,"Aluguel"}</definedName>
    <definedName name="mil21_2" localSheetId="2" hidden="1">{#N/A,#N/A,FALSE,"Aluguel"}</definedName>
    <definedName name="mil21_2" hidden="1">{#N/A,#N/A,FALSE,"Aluguel"}</definedName>
    <definedName name="mil21_2_1" localSheetId="2" hidden="1">{#N/A,#N/A,FALSE,"Aluguel"}</definedName>
    <definedName name="mil21_2_1" hidden="1">{#N/A,#N/A,FALSE,"Aluguel"}</definedName>
    <definedName name="mil3_1" localSheetId="2" hidden="1">{#N/A,#N/A,FALSE,"Mapa de Aluguel - Sintético"}</definedName>
    <definedName name="mil3_1" hidden="1">{#N/A,#N/A,FALSE,"Mapa de Aluguel - Sintético"}</definedName>
    <definedName name="mil3_1_1_1" localSheetId="2" hidden="1">{#N/A,#N/A,FALSE,"Mapa de Aluguel - Sintético"}</definedName>
    <definedName name="mil3_1_1_1" hidden="1">{#N/A,#N/A,FALSE,"Mapa de Aluguel - Sintético"}</definedName>
    <definedName name="mil3_2" localSheetId="2" hidden="1">{#N/A,#N/A,FALSE,"Mapa de Aluguel - Sintético"}</definedName>
    <definedName name="mil3_2" hidden="1">{#N/A,#N/A,FALSE,"Mapa de Aluguel - Sintético"}</definedName>
    <definedName name="mil3_2_1" localSheetId="2" hidden="1">{#N/A,#N/A,FALSE,"Mapa de Aluguel - Sintético"}</definedName>
    <definedName name="mil3_2_1" hidden="1">{#N/A,#N/A,FALSE,"Mapa de Aluguel - Sintético"}</definedName>
    <definedName name="mil4_1" localSheetId="2" hidden="1">{#N/A,#N/A,FALSE,"Performance Vendas"}</definedName>
    <definedName name="mil4_1" hidden="1">{#N/A,#N/A,FALSE,"Performance Vendas"}</definedName>
    <definedName name="mil4_1_1_1" localSheetId="2" hidden="1">{#N/A,#N/A,FALSE,"Performance Vendas"}</definedName>
    <definedName name="mil4_1_1_1" hidden="1">{#N/A,#N/A,FALSE,"Performance Vendas"}</definedName>
    <definedName name="mil4_2" localSheetId="2" hidden="1">{#N/A,#N/A,FALSE,"Performance Vendas"}</definedName>
    <definedName name="mil4_2" hidden="1">{#N/A,#N/A,FALSE,"Performance Vendas"}</definedName>
    <definedName name="mil4_2_1" localSheetId="2" hidden="1">{#N/A,#N/A,FALSE,"Performance Vendas"}</definedName>
    <definedName name="mil4_2_1" hidden="1">{#N/A,#N/A,FALSE,"Performance Vendas"}</definedName>
    <definedName name="mil5_1" localSheetId="2" hidden="1">{#N/A,#N/A,FALSE,"QuadroAntigo"}</definedName>
    <definedName name="mil5_1" hidden="1">{#N/A,#N/A,FALSE,"QuadroAntigo"}</definedName>
    <definedName name="mil5_1_1_1" localSheetId="2" hidden="1">{#N/A,#N/A,FALSE,"QuadroAntigo"}</definedName>
    <definedName name="mil5_1_1_1" hidden="1">{#N/A,#N/A,FALSE,"QuadroAntigo"}</definedName>
    <definedName name="mil5_2" localSheetId="2" hidden="1">{#N/A,#N/A,FALSE,"QuadroAntigo"}</definedName>
    <definedName name="mil5_2" hidden="1">{#N/A,#N/A,FALSE,"QuadroAntigo"}</definedName>
    <definedName name="mil5_2_1" localSheetId="2" hidden="1">{#N/A,#N/A,FALSE,"QuadroAntigo"}</definedName>
    <definedName name="mil5_2_1" hidden="1">{#N/A,#N/A,FALSE,"QuadroAntigo"}</definedName>
    <definedName name="mil6_1" localSheetId="2" hidden="1">{#N/A,#N/A,FALSE,"Quadro de Areas"}</definedName>
    <definedName name="mil6_1" hidden="1">{#N/A,#N/A,FALSE,"Quadro de Areas"}</definedName>
    <definedName name="mil6_1_1_1" localSheetId="2" hidden="1">{#N/A,#N/A,FALSE,"Quadro de Areas"}</definedName>
    <definedName name="mil6_1_1_1" hidden="1">{#N/A,#N/A,FALSE,"Quadro de Areas"}</definedName>
    <definedName name="mil6_2" localSheetId="2" hidden="1">{#N/A,#N/A,FALSE,"Quadro de Areas"}</definedName>
    <definedName name="mil6_2" hidden="1">{#N/A,#N/A,FALSE,"Quadro de Areas"}</definedName>
    <definedName name="mil6_2_1" localSheetId="2" hidden="1">{#N/A,#N/A,FALSE,"Quadro de Areas"}</definedName>
    <definedName name="mil6_2_1" hidden="1">{#N/A,#N/A,FALSE,"Quadro de Areas"}</definedName>
    <definedName name="mil7_1" localSheetId="2" hidden="1">{#N/A,#N/A,FALSE,"RamosLj"}</definedName>
    <definedName name="mil7_1" hidden="1">{#N/A,#N/A,FALSE,"RamosLj"}</definedName>
    <definedName name="mil7_1_1_1" localSheetId="2" hidden="1">{#N/A,#N/A,FALSE,"RamosLj"}</definedName>
    <definedName name="mil7_1_1_1" hidden="1">{#N/A,#N/A,FALSE,"RamosLj"}</definedName>
    <definedName name="mil7_2" localSheetId="2" hidden="1">{#N/A,#N/A,FALSE,"RamosLj"}</definedName>
    <definedName name="mil7_2" hidden="1">{#N/A,#N/A,FALSE,"RamosLj"}</definedName>
    <definedName name="mil7_2_1" localSheetId="2" hidden="1">{#N/A,#N/A,FALSE,"RamosLj"}</definedName>
    <definedName name="mil7_2_1" hidden="1">{#N/A,#N/A,FALSE,"RamosLj"}</definedName>
    <definedName name="mil8_1" localSheetId="2" hidden="1">{#N/A,#N/A,FALSE,"Vendas"}</definedName>
    <definedName name="mil8_1" hidden="1">{#N/A,#N/A,FALSE,"Vendas"}</definedName>
    <definedName name="mil8_1_1_1" localSheetId="2" hidden="1">{#N/A,#N/A,FALSE,"Vendas"}</definedName>
    <definedName name="mil8_1_1_1" hidden="1">{#N/A,#N/A,FALSE,"Vendas"}</definedName>
    <definedName name="mil8_2" localSheetId="2" hidden="1">{#N/A,#N/A,FALSE,"Vendas"}</definedName>
    <definedName name="mil8_2" hidden="1">{#N/A,#N/A,FALSE,"Vendas"}</definedName>
    <definedName name="mil8_2_1" localSheetId="2" hidden="1">{#N/A,#N/A,FALSE,"Vendas"}</definedName>
    <definedName name="mil8_2_1" hidden="1">{#N/A,#N/A,FALSE,"Vendas"}</definedName>
    <definedName name="mil9_1" localSheetId="2" hidden="1">{#N/A,#N/A,FALSE,"RamosLj"}</definedName>
    <definedName name="mil9_1" hidden="1">{#N/A,#N/A,FALSE,"RamosLj"}</definedName>
    <definedName name="mil9_1_1_1" localSheetId="2" hidden="1">{#N/A,#N/A,FALSE,"RamosLj"}</definedName>
    <definedName name="mil9_1_1_1" hidden="1">{#N/A,#N/A,FALSE,"RamosLj"}</definedName>
    <definedName name="mil9_2" localSheetId="2" hidden="1">{#N/A,#N/A,FALSE,"RamosLj"}</definedName>
    <definedName name="mil9_2" hidden="1">{#N/A,#N/A,FALSE,"RamosLj"}</definedName>
    <definedName name="mil9_2_1" localSheetId="2" hidden="1">{#N/A,#N/A,FALSE,"RamosLj"}</definedName>
    <definedName name="mil9_2_1" hidden="1">{#N/A,#N/A,FALSE,"RamosLj"}</definedName>
    <definedName name="MILENA" hidden="1">[29]Plan1!#REF!</definedName>
    <definedName name="MLH0">#REF!</definedName>
    <definedName name="mm">#REF!</definedName>
    <definedName name="mmmmm">[94]RESUMO!$E$35</definedName>
    <definedName name="mmmmm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lm" localSheetId="2" hidden="1">{#N/A,#N/A,FALSE,"RESUMO";#N/A,#N/A,FALSE,"EXTR-CRONO";#N/A,#N/A,FALSE,"REAJUSTE";#N/A,#N/A,FALSE,"ACOMP-OBRA";#N/A,#N/A,FALSE,"MEDIÇÃO";#N/A,#N/A,FALSE,"POSIÇÃO FÍSICA";#N/A,#N/A,FALSE,"GRÁFICO"}</definedName>
    <definedName name="mnlm" hidden="1">{#N/A,#N/A,FALSE,"RESUMO";#N/A,#N/A,FALSE,"EXTR-CRONO";#N/A,#N/A,FALSE,"REAJUSTE";#N/A,#N/A,FALSE,"ACOMP-OBRA";#N/A,#N/A,FALSE,"MEDIÇÃO";#N/A,#N/A,FALSE,"POSIÇÃO FÍSICA";#N/A,#N/A,FALSE,"GRÁFICO"}</definedName>
    <definedName name="mnlmm" localSheetId="2" hidden="1">{#N/A,#N/A,FALSE,"RESUMO";#N/A,#N/A,FALSE,"EXTR-CRONO";#N/A,#N/A,FALSE,"REAJUSTE";#N/A,#N/A,FALSE,"ACOMP-OBRA";#N/A,#N/A,FALSE,"MEDIÇÃO";#N/A,#N/A,FALSE,"POSIÇÃO FÍSICA";#N/A,#N/A,FALSE,"GRÁFICO"}</definedName>
    <definedName name="mnlmm" hidden="1">{#N/A,#N/A,FALSE,"RESUMO";#N/A,#N/A,FALSE,"EXTR-CRONO";#N/A,#N/A,FALSE,"REAJUSTE";#N/A,#N/A,FALSE,"ACOMP-OBRA";#N/A,#N/A,FALSE,"MEDIÇÃO";#N/A,#N/A,FALSE,"POSIÇÃO FÍSICA";#N/A,#N/A,FALSE,"GRÁFICO"}</definedName>
    <definedName name="MO">#REF!</definedName>
    <definedName name="mo_base">[25]Base!$U$39</definedName>
    <definedName name="mo_sub_base">'[25]Sub-base'!$U$36</definedName>
    <definedName name="Mod">#REF!</definedName>
    <definedName name="módulo1.Extenso">#N/A</definedName>
    <definedName name="MOE">#REF!</definedName>
    <definedName name="MOH">#REF!</definedName>
    <definedName name="Monitoramento_de_OAC_Caixas_de_ligação_Reg_I_Lista">#REF!</definedName>
    <definedName name="montagem">#REF!</definedName>
    <definedName name="montante">#REF!</definedName>
    <definedName name="mso" localSheetId="2" hidden="1">{#N/A,#N/A,FALSE,"CONTROLE"}</definedName>
    <definedName name="mso" hidden="1">{#N/A,#N/A,FALSE,"CONTROLE"}</definedName>
    <definedName name="MT">#REF!</definedName>
    <definedName name="MTV1_DIAM">[13]Plan1!$A$20:$A$41</definedName>
    <definedName name="MTV1_VALV">[13]Plan1!$D$18:$G$18</definedName>
    <definedName name="MTV2_DIAM">[14]Plan1!$A$20:$A$37</definedName>
    <definedName name="MTV2_VALV">[14]Plan1!$E$18:$H$18</definedName>
    <definedName name="MTV3_DIAM">[15]Plan1!$A$19:$A$32</definedName>
    <definedName name="MTV3_VALV">[15]Plan1!$D$17:$G$17</definedName>
    <definedName name="MTV4_DIAM">[16]Plan1!$A$20:$A$29</definedName>
    <definedName name="MTV4_VALV">[16]Plan1!$C$18:$F$18</definedName>
    <definedName name="MTV5_DIAM">[17]Plan1!$A$16:$A$20</definedName>
    <definedName name="MTV5_VALV">[17]Plan1!$E$15:$G$15</definedName>
    <definedName name="multa1" localSheetId="2" hidden="1">{#N/A,#N/A,FALSE,"RESUMO FINANC.";#N/A,#N/A,FALSE,"RESUMO POS.FÍS.";#N/A,#N/A,FALSE,"EXTRATO CRON.";#N/A,#N/A,FALSE,"REAJUSTE";#N/A,#N/A,FALSE,"MEDIÇÃO";#N/A,#N/A,FALSE,"POSIÇÃO FÍSICA";#N/A,#N/A,FALSE,"GRÁFICO"}</definedName>
    <definedName name="multa1" hidden="1">{#N/A,#N/A,FALSE,"RESUMO FINANC.";#N/A,#N/A,FALSE,"RESUMO POS.FÍS.";#N/A,#N/A,FALSE,"EXTRATO CRON.";#N/A,#N/A,FALSE,"REAJUSTE";#N/A,#N/A,FALSE,"MEDIÇÃO";#N/A,#N/A,FALSE,"POSIÇÃO FÍSICA";#N/A,#N/A,FALSE,"GRÁFICO"}</definedName>
    <definedName name="Multi_Plate___MP100___Espessura___2_7___Ø___1_2___Revest.___Concreto">#REF!</definedName>
    <definedName name="MUNICÍPIOS" localSheetId="2">'[95]APOIO Impostos'!$L$22:$L$101</definedName>
    <definedName name="MUNICÍPIOS">'APOIO Impostos'!$L$22:$L$101</definedName>
    <definedName name="N" localSheetId="21" hidden="1">[96]Planilha!#REF!</definedName>
    <definedName name="n">#REF!</definedName>
    <definedName name="name1" localSheetId="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name1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nb" localSheetId="2" hidden="1">{#N/A,#N/A,FALSE,"RESUMO-BB1";#N/A,#N/A,FALSE,"MOD-A01-R - BB1";#N/A,#N/A,FALSE,"URB-BB1"}</definedName>
    <definedName name="nb" hidden="1">{#N/A,#N/A,FALSE,"RESUMO-BB1";#N/A,#N/A,FALSE,"MOD-A01-R - BB1";#N/A,#N/A,FALSE,"URB-BB1"}</definedName>
    <definedName name="newname" localSheetId="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newname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newname2" localSheetId="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newname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nivaldo">#REF!</definedName>
    <definedName name="Nivel">#REF!</definedName>
    <definedName name="NN">"Dialog Frame 1"</definedName>
    <definedName name="No_Período_Mês">[49]Contr_Global!$Y$12</definedName>
    <definedName name="NOC">#REF!</definedName>
    <definedName name="NOME_FANTASIA">[31]RESUMO!$E$4</definedName>
    <definedName name="NOME_INSTALAÇÃO">#REF!</definedName>
    <definedName name="nome_separadores">[97]CFG!$C$19:$C$26</definedName>
    <definedName name="NOMEDIR">[3]OBRA!#REF!</definedName>
    <definedName name="NOMEDOPROJETO">#REF!</definedName>
    <definedName name="NOMEITEM">#REF!</definedName>
    <definedName name="NOT">#REF!</definedName>
    <definedName name="NOVA">#REF!</definedName>
    <definedName name="NOVO" localSheetId="2" hidden="1">{#N/A,#N/A,FALSE,"BOQCIC";#N/A,#N/A,FALSE,"3Ds";#N/A,#N/A,FALSE,"COST DETAIL"}</definedName>
    <definedName name="NOVO" hidden="1">{#N/A,#N/A,FALSE,"BOQCIC";#N/A,#N/A,FALSE,"3Ds";#N/A,#N/A,FALSE,"COST DETAIL"}</definedName>
    <definedName name="Nregistros">#REF!</definedName>
    <definedName name="NRO">#REF!</definedName>
    <definedName name="num_linhas">#REF!</definedName>
    <definedName name="o">#REF!</definedName>
    <definedName name="oac">#REF!</definedName>
    <definedName name="OAE">#REF!</definedName>
    <definedName name="oaeaa">#REF!</definedName>
    <definedName name="obras_de_arte_corrente_e_drenagem">#REF!</definedName>
    <definedName name="obras_de_arte_especiais">#REF!</definedName>
    <definedName name="obras_de_contenção_geotécnica">#REF!</definedName>
    <definedName name="OBSERV_2">#REF!</definedName>
    <definedName name="OBSERVACAO">#REF!</definedName>
    <definedName name="ocom">#REF!</definedName>
    <definedName name="OCS">[31]RESUMO!$E$9</definedName>
    <definedName name="Oficinas">#REF!</definedName>
    <definedName name="oi">#REF!</definedName>
    <definedName name="oitente">'[98]2000'!#REF!</definedName>
    <definedName name="ok">[37]Imai03!$A$2:$D$3535</definedName>
    <definedName name="ooo" localSheetId="2" hidden="1">{"tabela",#N/A,FALSE,"Tabela";"decoração",#N/A,FALSE,"Decor.";"Informações",#N/A,FALSE,"Inform."}</definedName>
    <definedName name="ooo" hidden="1">{"tabela",#N/A,FALSE,"Tabela";"decoração",#N/A,FALSE,"Decor.";"Informações",#N/A,FALSE,"Inform."}</definedName>
    <definedName name="OOOOOOOOOO">#REF!</definedName>
    <definedName name="OPA">'[60]PRO-08'!#REF!</definedName>
    <definedName name="Opcao_Contencao">#REF!</definedName>
    <definedName name="operação" localSheetId="2" hidden="1">{#N/A,#N/A,FALSE,"CONTROLE"}</definedName>
    <definedName name="operação" hidden="1">{#N/A,#N/A,FALSE,"CONTROLE"}</definedName>
    <definedName name="Operador">[99]EPI!$AS$7</definedName>
    <definedName name="ORÇAMENTO_APROVADO">[49]Contr_Global!$E$20:$R$65536</definedName>
    <definedName name="Orçamento_Cd">#REF!</definedName>
    <definedName name="Orçamento_Qtde">#REF!</definedName>
    <definedName name="Orçamento_ValorGlobal">#REF!</definedName>
    <definedName name="ORDENACAO">#REF!</definedName>
    <definedName name="OUTA">#REF!</definedName>
    <definedName name="Outros">#REF!</definedName>
    <definedName name="P.Aparente">#REF!</definedName>
    <definedName name="P.Reatia">#REF!</definedName>
    <definedName name="P2_JUL_07">[100]P2_JUL_07!$A$2:$E$1577</definedName>
    <definedName name="pab">#REF!</definedName>
    <definedName name="pagani" localSheetId="2" hidden="1">{#N/A,#N/A,TRUE,"Resumo de Preços"}</definedName>
    <definedName name="pagani" hidden="1">{#N/A,#N/A,TRUE,"Resumo de Preços"}</definedName>
    <definedName name="Painel_Custo">[85]TabsAux!$C$11:$D$28</definedName>
    <definedName name="Painel_Fluxo_Desemb">[85]TabsAux!$G$11:$H$15</definedName>
    <definedName name="Painel_Prazo">[85]TabsAux!$E$11:$F$19</definedName>
    <definedName name="Painel_Qualidade">[85]TabsAux!$I$11:$J$23</definedName>
    <definedName name="PAISAGISMO">[33]PAISAGISMO!$F$34</definedName>
    <definedName name="PAR_BL2">[33]BL2!$G$278</definedName>
    <definedName name="PAR_BL4">'[33]BL3-4'!$G$269</definedName>
    <definedName name="PAR_BL5">[33]BL5!$G$266</definedName>
    <definedName name="PAR_BL6">[33]BL6!$G$210</definedName>
    <definedName name="PAR_BL7">[33]BL7!$G$273</definedName>
    <definedName name="PAR_BL8">[33]BL8!$G$223</definedName>
    <definedName name="PAR_POR">[33]PORTARIA!$G$178</definedName>
    <definedName name="PAR_SUB">[33]SUBEST.!$G$202</definedName>
    <definedName name="para2002">'[98]2002'!#REF!</definedName>
    <definedName name="param2001">'[101]2001'!#REF!</definedName>
    <definedName name="parametro">'[98]2000'!#REF!</definedName>
    <definedName name="PARANA">#REF!</definedName>
    <definedName name="PAREDE_MAT">#REF!</definedName>
    <definedName name="PAREDE_MO">#REF!</definedName>
    <definedName name="PARFAIXAMAT">#REF!</definedName>
    <definedName name="PARFAIXAMO">#REF!</definedName>
    <definedName name="PARTE">#REF!</definedName>
    <definedName name="passa">#REF!</definedName>
    <definedName name="PasteArea">#REF!</definedName>
    <definedName name="Patio_aer">#REF!</definedName>
    <definedName name="pativar">#REF!</definedName>
    <definedName name="PAV">#REF!</definedName>
    <definedName name="Pav_preços">'[102]Pavim-preços'!$A$2:$C$30</definedName>
    <definedName name="pavaa">#REF!</definedName>
    <definedName name="pavi">#REF!</definedName>
    <definedName name="pavimentação">#REF!</definedName>
    <definedName name="PAVIMENTO">[33]PAVIMENTAÇÃO!$F$45</definedName>
    <definedName name="PEDRO" localSheetId="2" hidden="1">{#N/A,#N/A,FALSE,"CONTROLE"}</definedName>
    <definedName name="PEDRO" hidden="1">{#N/A,#N/A,FALSE,"CONTROLE"}</definedName>
    <definedName name="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cent_Financeiro">[49]Contr_Global!$BA$4:$IV$4</definedName>
    <definedName name="Percent_Fisico">[49]Contr_Global!$BA$5:$IV$5</definedName>
    <definedName name="perfura">#REF!</definedName>
    <definedName name="PesoAbrangencia">[72]Auxiliar!#REF!</definedName>
    <definedName name="PesoClientes">[72]Auxiliar!#REF!</definedName>
    <definedName name="PesoComplexidadeFornecer">[72]Auxiliar!#REF!</definedName>
    <definedName name="PesoConcentraçao">[72]Auxiliar!#REF!</definedName>
    <definedName name="PesoFornecedores">[72]Auxiliar!#REF!</definedName>
    <definedName name="PesoFornecedoresHomologados">[72]Auxiliar!#REF!</definedName>
    <definedName name="PesoImpactoOperaçao">[72]Auxiliar!$R$10</definedName>
    <definedName name="PesoSubstituir">[72]Auxiliar!$R$9</definedName>
    <definedName name="pesquisa">#REF!</definedName>
    <definedName name="PG">#REF!</definedName>
    <definedName name="PIN_BL1">[33]BL1!$G$335</definedName>
    <definedName name="PIN_BL2">[33]BL2!$G$297</definedName>
    <definedName name="PIN_BL4">'[33]BL3-4'!$G$291</definedName>
    <definedName name="PIN_BL5">[33]BL5!$G$285</definedName>
    <definedName name="PIN_BL6">[33]BL6!$G$224</definedName>
    <definedName name="PIN_BL7">[33]BL7!$G$294</definedName>
    <definedName name="PIN_BL8">[33]BL8!$G$243</definedName>
    <definedName name="PIN_POR">[33]PORTARIA!$G$196</definedName>
    <definedName name="PIN_SUB">[33]SUBEST.!$G$219</definedName>
    <definedName name="PINTFOR">#REF!</definedName>
    <definedName name="pinto" localSheetId="2" hidden="1">{#N/A,#N/A,FALSE,"CONTROLE";#N/A,#N/A,FALSE,"CONTROLE"}</definedName>
    <definedName name="pinto" hidden="1">{#N/A,#N/A,FALSE,"CONTROLE";#N/A,#N/A,FALSE,"CONTROLE"}</definedName>
    <definedName name="PINTPAR">#REF!</definedName>
    <definedName name="PINTURA">#REF!</definedName>
    <definedName name="Piratininga" localSheetId="2" hidden="1">{#N/A,#N/A,FALSE,"CONTROLE"}</definedName>
    <definedName name="Piratininga" hidden="1">{#N/A,#N/A,FALSE,"CONTROLE"}</definedName>
    <definedName name="PIRATININGAV2" localSheetId="2" hidden="1">{#N/A,#N/A,FALSE,"CONTROLE"}</definedName>
    <definedName name="PIRATININGAV2" hidden="1">{#N/A,#N/A,FALSE,"CONTROLE"}</definedName>
    <definedName name="PIS">#REF!</definedName>
    <definedName name="PIS_BL2">[33]BL2!$G$286</definedName>
    <definedName name="PIS_BL4">'[33]BL3-4'!$G$277</definedName>
    <definedName name="PIS_BL5">[33]BL5!$G$274</definedName>
    <definedName name="PIS_BL6">[33]BL6!$G$217</definedName>
    <definedName name="PIS_BL7">[33]BL7!$G$281</definedName>
    <definedName name="PIS_BL8">[33]BL8!$G$231</definedName>
    <definedName name="PIS_POR">[33]PORTARIA!$G$186</definedName>
    <definedName name="PIS_SUB">[33]SUBEST.!$G$209</definedName>
    <definedName name="PISAbat">#REF!</definedName>
    <definedName name="PISO">#REF!</definedName>
    <definedName name="PL_ABC">#REF!</definedName>
    <definedName name="PLACAS" localSheetId="2" hidden="1">{#N/A,#N/A,TRUE,"Quinzena 01 à 15-04-98 "}</definedName>
    <definedName name="PLACAS" hidden="1">{#N/A,#N/A,TRUE,"Quinzena 01 à 15-04-98 "}</definedName>
    <definedName name="Placas_Areas" localSheetId="2" hidden="1">{#N/A,#N/A,TRUE,"Quinzena 01 à 15-04-98 "}</definedName>
    <definedName name="Placas_Areas" hidden="1">{#N/A,#N/A,TRUE,"Quinzena 01 à 15-04-98 "}</definedName>
    <definedName name="plan" hidden="1">#REF!</definedName>
    <definedName name="PLAN1">#REF!</definedName>
    <definedName name="PLAN2">#REF!</definedName>
    <definedName name="plan275">#REF!</definedName>
    <definedName name="Planejamento">[31]RESUMO!$S$8</definedName>
    <definedName name="PLANILHA">#REF!</definedName>
    <definedName name="plano">#REF!</definedName>
    <definedName name="planoContas">#REF!</definedName>
    <definedName name="PlanoDeContas">[10]ORIGINAL!$AN$102:$AQ$159</definedName>
    <definedName name="PLLOJA">#REF!</definedName>
    <definedName name="pm">#REF!</definedName>
    <definedName name="POA">#REF!</definedName>
    <definedName name="Ponderações">#REF!</definedName>
    <definedName name="Pont">#REF!</definedName>
    <definedName name="PONTE">#REF!</definedName>
    <definedName name="Pontos">#REF!</definedName>
    <definedName name="POSTOS_ENCERRADOS_SAONT">#REF!</definedName>
    <definedName name="POSTOS_INSTALADOS_SAONT">'[103]Banco de Dados'!#REF!</definedName>
    <definedName name="POSTOS_POR_REGIAO">#REF!</definedName>
    <definedName name="Potencia">#REF!</definedName>
    <definedName name="PP">#REF!</definedName>
    <definedName name="ppt_pistas_e_patios">#REF!</definedName>
    <definedName name="pqpu">#REF!</definedName>
    <definedName name="PRACHEAM">#REF!</definedName>
    <definedName name="PRANCHEAM">#REF!</definedName>
    <definedName name="PRAZO" localSheetId="21">#REF!</definedName>
    <definedName name="prazo">[42]Analitica!$L$11</definedName>
    <definedName name="prazo_obra">[65]Alterar!$D$19</definedName>
    <definedName name="prazo2">#REF!</definedName>
    <definedName name="PRE">#REF!</definedName>
    <definedName name="preaa">#REF!</definedName>
    <definedName name="Preço">#REF!</definedName>
    <definedName name="PREÇO_UNITÁRIO">#REF!</definedName>
    <definedName name="PrecoVenda">#REF!</definedName>
    <definedName name="Predio_Apoio">#REF!</definedName>
    <definedName name="PREV">#REF!</definedName>
    <definedName name="PRF">[72]Auxiliar!#REF!</definedName>
    <definedName name="Print_Area">#REF!</definedName>
    <definedName name="Print_Area_MI">#REF!</definedName>
    <definedName name="Print_Area_MI_1">#REF!</definedName>
    <definedName name="Print_Titles">#REF!</definedName>
    <definedName name="Print_Titles_MI">#REF!</definedName>
    <definedName name="Print_Titles_MI_1">#REF!</definedName>
    <definedName name="PRIORIDADE">#REF!</definedName>
    <definedName name="PROD_MAR">[104]Mem_MAR_base!$D$20:$S$433</definedName>
    <definedName name="Produção">[31]RESUMO!$S$6</definedName>
    <definedName name="PRODUTO">[45]!Tabela1[PRODUTO]</definedName>
    <definedName name="Programada_1">#REF!</definedName>
    <definedName name="Programada_1_SP_t">#REF!</definedName>
    <definedName name="Programada_2">#REF!</definedName>
    <definedName name="Programada_2_SP_t">#REF!</definedName>
    <definedName name="Proj_">#REF!</definedName>
    <definedName name="Projeção_de_Custos">[49]Projecao!$F$20:$BQ$65536</definedName>
    <definedName name="Projeto" localSheetId="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PROJETO" localSheetId="21">[31]RESUMO!$E$2</definedName>
    <definedName name="Projeto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Projetos">#REF!</definedName>
    <definedName name="PROPOSTA">#REF!</definedName>
    <definedName name="Proposta_Técnica_SP_t">#REF!</definedName>
    <definedName name="PU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aqwwsqwwd" hidden="1">#REF!</definedName>
    <definedName name="QERTT" localSheetId="2" hidden="1">{#N/A,#N/A,FALSE,"ORC-ACKE";#N/A,#N/A,FALSE,"RESUMO"}</definedName>
    <definedName name="QERTT" hidden="1">{#N/A,#N/A,FALSE,"ORC-ACKE";#N/A,#N/A,FALSE,"RESUMO"}</definedName>
    <definedName name="QQ_2">#N/A</definedName>
    <definedName name="qqq">#REF!</definedName>
    <definedName name="Qt_Acum" localSheetId="21">'[30]Cotação de Materiais'!#REF!</definedName>
    <definedName name="Qt_Acum">#REF!</definedName>
    <definedName name="qtd3esta">#REF!</definedName>
    <definedName name="qtdbase">#REF!</definedName>
    <definedName name="qtdbltub">#REF!</definedName>
    <definedName name="Qtde_Indice">[49]Contr_Global!$BA$3:$IV$3</definedName>
    <definedName name="qtdestac">#REF!</definedName>
    <definedName name="qtdsap">#REF!</definedName>
    <definedName name="qtdtub">#REF!</definedName>
    <definedName name="QUAD1">NA()</definedName>
    <definedName name="QUAD11">NA()</definedName>
    <definedName name="QUAD21">NA()</definedName>
    <definedName name="QUAD211">NA()</definedName>
    <definedName name="QUAD22">NA()</definedName>
    <definedName name="QUAD221">NA()</definedName>
    <definedName name="QUAD23">NA()</definedName>
    <definedName name="QUADRO_3.1.___INVESTIMENTOS_PROGRAMADOS">'[105]MP+Insumos'!#REF!</definedName>
    <definedName name="QUADRO_3.2.___CAPITAL_DE_TRABALHO_ADICIONAL">'[105]MP+Insumos'!#REF!</definedName>
    <definedName name="QUADRO_5.1.___RECEITA_BRUTA">'[105]MP+Insumos'!#REF!</definedName>
    <definedName name="QUADRO_5.2.___CUSTO_TOTAL_ANUAL">'[105]MP+Insumos'!#REF!</definedName>
    <definedName name="QUADRO_5.3.___MÃO_DE_OBRA___QUANTITATIVOS_E_CUSTOS">'[105]MP+Insumos'!#REF!</definedName>
    <definedName name="QUADRO_5.4.___MATERIAIS_DE_CONSUMO_E_UTILIDADES">'[105]MP+Insumos'!#REF!</definedName>
    <definedName name="QUADRO_5.6.___CONTAS_DE_RESULTADO___PROJECAO">'[105]MP+Insumos'!#REF!</definedName>
    <definedName name="QUADRO_5.7.___FLUXO_DE_CAIXA_DO_EMPREENDIMENTO">'[105]MP+Insumos'!#REF!</definedName>
    <definedName name="QUADRO_5.8.___CALCULO_DA_TAXA_INTERNA_DE_RETORNO__TIR">'[105]MP+Insumos'!#REF!</definedName>
    <definedName name="QUADRO_5.9.___OUTROS_INDICES_ECONOMICO_FINANCEIROS">'[105]MP+Insumos'!#REF!</definedName>
    <definedName name="QUANT_acumu">#REF!</definedName>
    <definedName name="Query1">#REF!</definedName>
    <definedName name="qw" localSheetId="2" hidden="1">{#N/A,#N/A,FALSE,"GP";#N/A,#N/A,FALSE,"Assinantes";#N/A,#N/A,FALSE,"Rede";#N/A,#N/A,FALSE,"Evolução";#N/A,#N/A,FALSE,"Resultado"}</definedName>
    <definedName name="qw" hidden="1">{#N/A,#N/A,FALSE,"GP";#N/A,#N/A,FALSE,"Assinantes";#N/A,#N/A,FALSE,"Rede";#N/A,#N/A,FALSE,"Evolução";#N/A,#N/A,FALSE,"Resultado"}</definedName>
    <definedName name="QWE">'[106]MP+Insumos'!#REF!</definedName>
    <definedName name="QWEFR" localSheetId="2" hidden="1">{#N/A,#N/A,FALSE,"RESUMO-BB1";#N/A,#N/A,FALSE,"MOD-A01-R - BB1";#N/A,#N/A,FALSE,"URB-BB1"}</definedName>
    <definedName name="QWEFR" hidden="1">{#N/A,#N/A,FALSE,"RESUMO-BB1";#N/A,#N/A,FALSE,"MOD-A01-R - BB1";#N/A,#N/A,FALSE,"URB-BB1"}</definedName>
    <definedName name="QWEQWEQWE">'[106]MP+Insumos'!#REF!</definedName>
    <definedName name="QWEWQ">'[106]MP+Insumos'!#REF!</definedName>
    <definedName name="qwre" localSheetId="2" hidden="1">{#N/A,#N/A,FALSE,"GP";#N/A,#N/A,FALSE,"Assinantes";#N/A,#N/A,FALSE,"Rede";#N/A,#N/A,FALSE,"Evolução";#N/A,#N/A,FALSE,"Resultado"}</definedName>
    <definedName name="qwre" hidden="1">{#N/A,#N/A,FALSE,"GP";#N/A,#N/A,FALSE,"Assinantes";#N/A,#N/A,FALSE,"Rede";#N/A,#N/A,FALSE,"Evolução";#N/A,#N/A,FALSE,"Resultado"}</definedName>
    <definedName name="RAFAEL" localSheetId="2" hidden="1">{#N/A,#N/A,TRUE,"Resumo de Preços"}</definedName>
    <definedName name="RAFAEL" hidden="1">{#N/A,#N/A,TRUE,"Resumo de Preços"}</definedName>
    <definedName name="RAZAO_SOCIAL">[31]RESUMO!$E$5</definedName>
    <definedName name="Rcost">#REF!</definedName>
    <definedName name="re">#REF!</definedName>
    <definedName name="rea">#REF!</definedName>
    <definedName name="reajuste">[107]MEDIÇÃO!#REF!</definedName>
    <definedName name="REAL">#REF!</definedName>
    <definedName name="Real_Realizar" localSheetId="2" hidden="1">{#N/A,#N/A,FALSE,"Aluguéis Mensais"}</definedName>
    <definedName name="Real_Realizar" hidden="1">{#N/A,#N/A,FALSE,"Aluguéis Mensais"}</definedName>
    <definedName name="REBAILENCOL">#REF!</definedName>
    <definedName name="REBAIXLENC">#REF!</definedName>
    <definedName name="RecDesFinAlex" localSheetId="2" hidden="1">{#N/A,#N/A,FALSE,"SIM95"}</definedName>
    <definedName name="RecDesFinAlex" hidden="1">{#N/A,#N/A,FALSE,"SIM95"}</definedName>
    <definedName name="recuperação_de_obras_de_arte_especiais">#REF!</definedName>
    <definedName name="REDU">#REF!</definedName>
    <definedName name="REEEE">#REF!</definedName>
    <definedName name="REF">[8]OBRJU95!#REF!</definedName>
    <definedName name="RefaturaPerc">#REF!</definedName>
    <definedName name="REFEITA">#REF!</definedName>
    <definedName name="Reforma" localSheetId="2" hidden="1">{#N/A,#N/A,FALSE,"BOQCIC";#N/A,#N/A,FALSE,"3Ds";#N/A,#N/A,FALSE,"COST DETAIL"}</definedName>
    <definedName name="Reforma" hidden="1">{#N/A,#N/A,FALSE,"BOQCIC";#N/A,#N/A,FALSE,"3Ds";#N/A,#N/A,FALSE,"COST DETAIL"}</definedName>
    <definedName name="reforsu">#REF!</definedName>
    <definedName name="REG">#REF!</definedName>
    <definedName name="REGIÃO">#REF!</definedName>
    <definedName name="REGIOES_PORTA_INST_FRETE_MINEORO">#REF!</definedName>
    <definedName name="REGIOES_PORTA_INST_FRETE_SERV_IECO">#REF!</definedName>
    <definedName name="REGIOES_PORTA_SERV_MINEORO">#REF!</definedName>
    <definedName name="REGULA">[25]Regula!$M$36</definedName>
    <definedName name="REL_RJ">#REF!</definedName>
    <definedName name="REL_SP">#REF!</definedName>
    <definedName name="Relat" localSheetId="2" hidden="1">{#N/A,#N/A,FALSE,"CONTROLE";#N/A,#N/A,FALSE,"CONTROLE"}</definedName>
    <definedName name="Relat" hidden="1">{#N/A,#N/A,FALSE,"CONTROLE";#N/A,#N/A,FALSE,"CONTROLE"}</definedName>
    <definedName name="ren">#REF!</definedName>
    <definedName name="Renato" localSheetId="2" hidden="1">{#N/A,#N/A,FALSE,"CONTROLE"}</definedName>
    <definedName name="Renato" hidden="1">{#N/A,#N/A,FALSE,"CONTROLE"}</definedName>
    <definedName name="Rendimento">#REF!</definedName>
    <definedName name="REPAR_BL1">[33]BL1!$G$289</definedName>
    <definedName name="REPIS_BL1">[33]BL1!$G$298</definedName>
    <definedName name="REPR1">#REF!</definedName>
    <definedName name="REPR2">#REF!</definedName>
    <definedName name="rerer" localSheetId="2" hidden="1">{#N/A,#N/A,TRUE,"Resumo de Preços"}</definedName>
    <definedName name="rerer" hidden="1">{#N/A,#N/A,TRUE,"Resumo de Preços"}</definedName>
    <definedName name="resfund">#REF!</definedName>
    <definedName name="resultadorendimento">#REF!</definedName>
    <definedName name="RESUMO">#REF!</definedName>
    <definedName name="resumo_campeão">#REF!</definedName>
    <definedName name="RESUMO2" localSheetId="2" hidden="1">{#N/A,#N/A,TRUE,"Quinzena 01 à 15-04-98 "}</definedName>
    <definedName name="RESUMO2" hidden="1">{#N/A,#N/A,TRUE,"Quinzena 01 à 15-04-98 "}</definedName>
    <definedName name="RESUMO3" localSheetId="2" hidden="1">{#N/A,#N/A,FALSE,"CONTROLE"}</definedName>
    <definedName name="RESUMO3" hidden="1">{#N/A,#N/A,FALSE,"CONTROLE"}</definedName>
    <definedName name="RESUMOTOTAL">#REF!</definedName>
    <definedName name="RETENCAO" localSheetId="21">'[30]Cotação de Materiais'!#REF!</definedName>
    <definedName name="RETENCAO">#REF!</definedName>
    <definedName name="REV">#REF!</definedName>
    <definedName name="REV.">#REF!</definedName>
    <definedName name="revaa">#REF!</definedName>
    <definedName name="REVESTIMENTOS">#REF!</definedName>
    <definedName name="revisão">'[50]Dados Iniciais'!$B$4</definedName>
    <definedName name="RFP">[72]Auxiliar!#REF!</definedName>
    <definedName name="RLC">#REF!</definedName>
    <definedName name="RM" localSheetId="21">[108]RM!$A$1:$J$65536</definedName>
    <definedName name="rm">#REF!</definedName>
    <definedName name="RODAPE">#REF!</definedName>
    <definedName name="rodovia">'[50]Dados Iniciais'!$B$2</definedName>
    <definedName name="RONI">#REF!</definedName>
    <definedName name="rr" localSheetId="2" hidden="1">{#N/A,#N/A,FALSE,"CONTROLE"}</definedName>
    <definedName name="rr" hidden="1">{#N/A,#N/A,FALSE,"CONTROLE"}</definedName>
    <definedName name="rrrrrrrr">#REF!</definedName>
    <definedName name="rrrrrrrrrrr" localSheetId="2" hidden="1">{#N/A,#N/A,TRUE,"Quinzena 01 à 15-04-98 "}</definedName>
    <definedName name="rrrrrrrrrrr" hidden="1">{#N/A,#N/A,TRUE,"Quinzena 01 à 15-04-98 "}</definedName>
    <definedName name="rt" localSheetId="2" hidden="1">{#N/A,#N/A,FALSE,"ORC-ACKE";#N/A,#N/A,FALSE,"RESUMO"}</definedName>
    <definedName name="rt" hidden="1">{#N/A,#N/A,FALSE,"ORC-ACKE";#N/A,#N/A,FALSE,"RESUMO"}</definedName>
    <definedName name="RTC">#REF!</definedName>
    <definedName name="RTE">#REF!</definedName>
    <definedName name="RTP">#REF!</definedName>
    <definedName name="s">#REF!</definedName>
    <definedName name="s2h">'[11]MP+Insumos'!#REF!</definedName>
    <definedName name="SA">#REF!</definedName>
    <definedName name="saa">'[59]RP-1 SB (3)'!$G$39</definedName>
    <definedName name="sadasd" hidden="1">#REF!</definedName>
    <definedName name="SAKA">#REF!</definedName>
    <definedName name="SALAS" localSheetId="2" hidden="1">{#N/A,#N/A,FALSE,"BOQCIC";#N/A,#N/A,FALSE,"3Ds";#N/A,#N/A,FALSE,"COST DETAIL"}</definedName>
    <definedName name="SALAS" hidden="1">{#N/A,#N/A,FALSE,"BOQCIC";#N/A,#N/A,FALSE,"3Ds";#N/A,#N/A,FALSE,"COST DETAIL"}</definedName>
    <definedName name="SALVE" localSheetId="2">{#N/A,#N/A,FALSE,"RESUMO-BB1";#N/A,#N/A,FALSE,"MOD-A01-R - BB1";#N/A,#N/A,FALSE,"URB-BB1"}</definedName>
    <definedName name="SALVE">{#N/A,#N/A,FALSE,"RESUMO-BB1";#N/A,#N/A,FALSE,"MOD-A01-R - BB1";#N/A,#N/A,FALSE,"URB-BB1"}</definedName>
    <definedName name="Sanitarios">#REF!</definedName>
    <definedName name="sapata">#REF!</definedName>
    <definedName name="SAPBEXdnldView" hidden="1">"43HL0Z0QR77LM2D6AZHQT61W3"</definedName>
    <definedName name="SAPBEXrevision" hidden="1">1</definedName>
    <definedName name="SAPBEXsysID" hidden="1">"PBW"</definedName>
    <definedName name="SAPBEXwbID" hidden="1">"3NOKGUUFBSCX0A1U3U2IO4KFM"</definedName>
    <definedName name="sd" localSheetId="2" hidden="1">{#N/A,#N/A,FALSE,"CONTROLE"}</definedName>
    <definedName name="sd" hidden="1">{#N/A,#N/A,FALSE,"CONTROLE"}</definedName>
    <definedName name="SDA">#REF!</definedName>
    <definedName name="SDASDAWDA">#REF!</definedName>
    <definedName name="SDF">#REF!</definedName>
    <definedName name="sdfdsfds" hidden="1">#REF!</definedName>
    <definedName name="sdfsd" localSheetId="2" hidden="1">{"'Estimativa de Lançamento-JAN'!$A$1:$AI$85"}</definedName>
    <definedName name="sdfsd" hidden="1">{"'Estimativa de Lançamento-JAN'!$A$1:$AI$85"}</definedName>
    <definedName name="sdfsdf" localSheetId="2" hidden="1">{#N/A,#N/A,FALSE,"CONTROLE"}</definedName>
    <definedName name="sdfsdf" hidden="1">{#N/A,#N/A,FALSE,"CONTROLE"}</definedName>
    <definedName name="SDS" localSheetId="2" hidden="1">{#N/A,#N/A,FALSE,"RESUMO-BB1";#N/A,#N/A,FALSE,"MOD-A01-R - BB1";#N/A,#N/A,FALSE,"URB-BB1"}</definedName>
    <definedName name="SDS" hidden="1">{#N/A,#N/A,FALSE,"RESUMO-BB1";#N/A,#N/A,FALSE,"MOD-A01-R - BB1";#N/A,#N/A,FALSE,"URB-BB1"}</definedName>
    <definedName name="SEG">#REF!</definedName>
    <definedName name="segaa">#REF!</definedName>
    <definedName name="Semnome">#REF!</definedName>
    <definedName name="Semnome___0___0">#REF!</definedName>
    <definedName name="Semnome___0___0___0">#REF!</definedName>
    <definedName name="Semnome___0___0___0___0">#REF!</definedName>
    <definedName name="Semnome___0___0___0___0___0">#REF!</definedName>
    <definedName name="Semnome___0___0___0___0___0___0">#REF!</definedName>
    <definedName name="Semnome___0___0___0___0___0___0___0">#REF!</definedName>
    <definedName name="Semnome___0___0___0___0___0___0___0_13">'[109]TAB_CARGA LOJAS'!#REF!</definedName>
    <definedName name="Semnome___0___0___0___0___0___0___0_13_6">'[110]TAB_CARGA LOJAS'!#REF!</definedName>
    <definedName name="Semnome_10">#REF!</definedName>
    <definedName name="Semnome_11">#REF!</definedName>
    <definedName name="Semnome_12">#REF!</definedName>
    <definedName name="Semnome_6">#REF!</definedName>
    <definedName name="Semnome_7">#REF!</definedName>
    <definedName name="Semnome_8">#REF!</definedName>
    <definedName name="Semnome_9">#REF!</definedName>
    <definedName name="sencount" localSheetId="21" hidden="1">1</definedName>
    <definedName name="sencount" hidden="1">3</definedName>
    <definedName name="SER_COMPL">'[33]SERV. COMP.'!$F$88</definedName>
    <definedName name="SER_PREL">'[33]SER. PREL.'!$G$88</definedName>
    <definedName name="SERRA">#REF!</definedName>
    <definedName name="serv">#REF!</definedName>
    <definedName name="servDNER">'[19]1ExecuçServiços'!$A$9:$H$1081</definedName>
    <definedName name="serviços_de_proteção_ao_meio_ambiente">#REF!</definedName>
    <definedName name="Serviços_Decrescente">[49]ABC!$E$17:$E$65536</definedName>
    <definedName name="serviços_preliminares">#REF!</definedName>
    <definedName name="serviços_terceirizados">#REF!</definedName>
    <definedName name="SETA">#REF!</definedName>
    <definedName name="SGDAGT" localSheetId="2" hidden="1">{#N/A,#N/A,TRUE,"Resumo de Preços"}</definedName>
    <definedName name="SGDAGT" hidden="1">{#N/A,#N/A,TRUE,"Resumo de Preços"}</definedName>
    <definedName name="SHARED_FORMULA_0">IF(#REF!="F",(60*#REF!)/1000,IF(#REF!&lt;100,90*#REF!/1000,IF(#REF!&lt;=1000,80*#REF!/1000,70*#REF!/1000)))</definedName>
    <definedName name="SHARED_FORMULA_1">IF(#REF!="L",250*#REF!/1000,IF(#REF!="J",300*#REF!/1000,0))</definedName>
    <definedName name="SHARED_FORMULA_10">((#REF!/#REF!)*1000)</definedName>
    <definedName name="SHARED_FORMULA_100">IF(#REF!="S",50*#REF!/1000,IF(#REF!="J",40*#REF!/1000,20*#REF!/1000))</definedName>
    <definedName name="SHARED_FORMULA_101">IF(#REF!="l",IF(#REF!&lt;1,1,#REF!),IF(#REF!="J",IF(#REF!&lt;3,3,#REF!),IF(#REF!="S",IF(#REF!&lt;5,5,#REF!),IF(#REF!="F",0,IF(#REF!="S",0,#REF!)))))</definedName>
    <definedName name="SHARED_FORMULA_102">IF(#REF!="E",200000,IF(#REF!="F",IF(#REF!&lt;=60,700*#REF!/1000,IF(#REF!&lt;=100,45,IF(#REF!&lt;=300,60,80))),0))</definedName>
    <definedName name="SHARED_FORMULA_103">SUM(#REF!,#REF!,#REF!,#REF!)</definedName>
    <definedName name="SHARED_FORMULA_104">((#REF!/#REF!)*1000)</definedName>
    <definedName name="SHARED_FORMULA_105">(#REF!/0.658179306)</definedName>
    <definedName name="SHARED_FORMULA_106">IF(#REF!&gt;0,IF(#REF!&lt;30,30,#REF!),0)</definedName>
    <definedName name="SHARED_FORMULA_107">(#REF!*0.8)</definedName>
    <definedName name="SHARED_FORMULA_108">IF(#REF!="F",(60*#REF!)/1000,IF(#REF!&lt;100,90*#REF!/1000,IF(#REF!&lt;=1000,80*#REF!/1000,70*#REF!/1000)))</definedName>
    <definedName name="SHARED_FORMULA_109">IF(#REF!="L",250*#REF!/1000,IF(#REF!="J",300*#REF!/1000,0))</definedName>
    <definedName name="SHARED_FORMULA_11">(#REF!/0.658179306)</definedName>
    <definedName name="SHARED_FORMULA_110">IF(#REF!="F",(40*#REF!)/1000,(20*#REF!)/1000)</definedName>
    <definedName name="SHARED_FORMULA_111">(#REF!/#REF!)</definedName>
    <definedName name="SHARED_FORMULA_112">IF(#REF!="S",50*#REF!/1000,IF(#REF!="J",40*#REF!/1000,20*#REF!/1000))</definedName>
    <definedName name="SHARED_FORMULA_113">IF(#REF!="l",IF(#REF!&lt;1,1,#REF!),IF(#REF!="J",IF(#REF!&lt;3,3,#REF!),IF(#REF!="S",IF(#REF!&lt;5,5,#REF!),IF(#REF!="F",0,IF(#REF!="S",0,#REF!)))))</definedName>
    <definedName name="SHARED_FORMULA_114">IF(#REF!="E",200000,IF(#REF!="F",IF(#REF!&lt;=60,700*#REF!/1000,IF(#REF!&lt;=100,45,IF(#REF!&lt;=300,60,80))),0))</definedName>
    <definedName name="SHARED_FORMULA_115">SUM(#REF!,#REF!,#REF!,#REF!)</definedName>
    <definedName name="SHARED_FORMULA_116">((#REF!/#REF!)*1000)</definedName>
    <definedName name="SHARED_FORMULA_117">(#REF!/0.658179306)</definedName>
    <definedName name="SHARED_FORMULA_118">IF(#REF!="F",(60*#REF!)/1000,IF(#REF!&lt;100,90*#REF!/1000,IF(#REF!&lt;=1000,80*#REF!/1000,70*#REF!/1000)))</definedName>
    <definedName name="SHARED_FORMULA_119">IF(#REF!="L",250*#REF!/1000,IF(#REF!="J",300*#REF!/1000,0))</definedName>
    <definedName name="SHARED_FORMULA_12">IF(#REF!="F",(60*#REF!)/1000,IF(#REF!&lt;100,90*#REF!/1000,IF(#REF!&lt;=1000,80*#REF!/1000,70*#REF!/1000)))</definedName>
    <definedName name="SHARED_FORMULA_120">IF(#REF!="F",(40*#REF!)/1000,(20*#REF!)/1000)</definedName>
    <definedName name="SHARED_FORMULA_121">(#REF!/#REF!)</definedName>
    <definedName name="SHARED_FORMULA_122">IF(#REF!="S",50*#REF!/1000,IF(#REF!="J",40*#REF!/1000,20*#REF!/1000))</definedName>
    <definedName name="SHARED_FORMULA_123">IF(#REF!="l",IF(#REF!&lt;1,1,#REF!),IF(#REF!="J",IF(#REF!&lt;3,3,#REF!),IF(#REF!="S",IF(#REF!&lt;5,5,#REF!),IF(#REF!="F",0,IF(#REF!="S",0,#REF!)))))</definedName>
    <definedName name="SHARED_FORMULA_124">IF(#REF!="E",200000,IF(#REF!="F",IF(#REF!&lt;=60,700*#REF!/1000,IF(#REF!&lt;=100,45,IF(#REF!&lt;=300,60,80))),0))</definedName>
    <definedName name="SHARED_FORMULA_125">IF(#REF!&gt;0,IF(#REF!&lt;30,30,#REF!),0)</definedName>
    <definedName name="SHARED_FORMULA_126">SUM(#REF!,#REF!,#REF!,#REF!)</definedName>
    <definedName name="SHARED_FORMULA_127">(#REF!*0.8)</definedName>
    <definedName name="SHARED_FORMULA_128">IF(#REF!="F",(60*#REF!)/1000,IF(#REF!&lt;100,90*#REF!/1000,IF(#REF!&lt;=1000,80*#REF!/1000,70*#REF!/1000)))</definedName>
    <definedName name="SHARED_FORMULA_129">IF(#REF!="L",250*#REF!/1000,IF(#REF!="J",300*#REF!/1000,0))</definedName>
    <definedName name="SHARED_FORMULA_13">IF(#REF!="L",250*#REF!/1000,IF(#REF!="J",300*#REF!/1000,0))</definedName>
    <definedName name="SHARED_FORMULA_130">IF(#REF!="F",(40*#REF!)/1000,(20*#REF!)/1000)</definedName>
    <definedName name="SHARED_FORMULA_131">(#REF!/#REF!)</definedName>
    <definedName name="SHARED_FORMULA_132">IF(#REF!="S",50*#REF!/1000,IF(#REF!="J",40*#REF!/1000,20*#REF!/1000))</definedName>
    <definedName name="SHARED_FORMULA_133">IF(#REF!="l",IF(#REF!&lt;1,1,#REF!),IF(#REF!="J",IF(#REF!&lt;3,3,#REF!),IF(#REF!="S",IF(#REF!&lt;5,5,#REF!),IF(#REF!="F",0,IF(#REF!="S",0,#REF!)))))</definedName>
    <definedName name="SHARED_FORMULA_134">IF(#REF!="E",200000,IF(#REF!="F",IF(#REF!&lt;=60,700*#REF!/1000,IF(#REF!&lt;=100,45,IF(#REF!&lt;=300,60,80))),0))</definedName>
    <definedName name="SHARED_FORMULA_135">SUM(#REF!,#REF!,#REF!,#REF!)</definedName>
    <definedName name="SHARED_FORMULA_136">((#REF!/#REF!)*1000)</definedName>
    <definedName name="SHARED_FORMULA_137">(#REF!/0.658179306)</definedName>
    <definedName name="SHARED_FORMULA_138">IF(#REF!&gt;0,IF(#REF!&lt;30,30,#REF!),0)</definedName>
    <definedName name="SHARED_FORMULA_139">IF(#REF!="F",(60*#REF!)/1000,IF(#REF!&lt;100,90*#REF!/1000,IF(#REF!&lt;=1000,80*#REF!/1000,70*#REF!/1000)))</definedName>
    <definedName name="SHARED_FORMULA_14">IF(#REF!="F",(40*#REF!)/1000,(20*#REF!)/1000)</definedName>
    <definedName name="SHARED_FORMULA_140">IF(#REF!="L",250*#REF!/1000,IF(#REF!="J",300*#REF!/1000,0))</definedName>
    <definedName name="SHARED_FORMULA_141">IF(#REF!="F",(40*#REF!)/1000,(20*#REF!)/1000)</definedName>
    <definedName name="SHARED_FORMULA_142">(#REF!/#REF!)</definedName>
    <definedName name="SHARED_FORMULA_143">IF(#REF!="S",50*#REF!/1000,IF(#REF!="J",40*#REF!/1000,20*#REF!/1000))</definedName>
    <definedName name="SHARED_FORMULA_144">IF(#REF!="l",IF(#REF!&lt;1,1,#REF!),IF(#REF!="J",IF(#REF!&lt;3,3,#REF!),IF(#REF!="S",IF(#REF!&lt;5,5,#REF!),IF(#REF!="F",0,IF(#REF!="S",0,#REF!)))))</definedName>
    <definedName name="SHARED_FORMULA_145">IF(#REF!="E",200000,IF(#REF!="F",IF(#REF!&lt;=60,700*#REF!/1000,IF(#REF!&lt;=100,45,IF(#REF!&lt;=300,60,80))),0))</definedName>
    <definedName name="SHARED_FORMULA_146">SUM(#REF!,#REF!,#REF!,#REF!)</definedName>
    <definedName name="SHARED_FORMULA_147">((#REF!/#REF!)*1000)</definedName>
    <definedName name="SHARED_FORMULA_148">(#REF!/0.658179306)</definedName>
    <definedName name="SHARED_FORMULA_149">IF(#REF!&gt;0,IF(#REF!&lt;30,30,#REF!),0)</definedName>
    <definedName name="SHARED_FORMULA_15">(#REF!/#REF!)</definedName>
    <definedName name="SHARED_FORMULA_150">(#REF!*0.8)</definedName>
    <definedName name="SHARED_FORMULA_151">IF(#REF!="F",(60*#REF!)/1000,IF(#REF!&lt;100,90*#REF!/1000,IF(#REF!&lt;=1000,80*#REF!/1000,70*#REF!/1000)))</definedName>
    <definedName name="SHARED_FORMULA_152">IF(#REF!="L",250*#REF!/1000,IF(#REF!="J",300*#REF!/1000,0))</definedName>
    <definedName name="SHARED_FORMULA_153">IF(#REF!="F",(40*#REF!)/1000,(20*#REF!)/1000)</definedName>
    <definedName name="SHARED_FORMULA_154">(#REF!/#REF!)</definedName>
    <definedName name="SHARED_FORMULA_155">IF(#REF!="S",50*#REF!/1000,IF(#REF!="J",40*#REF!/1000,20*#REF!/1000))</definedName>
    <definedName name="SHARED_FORMULA_156">IF(#REF!="l",IF(#REF!&lt;1,1,#REF!),IF(#REF!="J",IF(#REF!&lt;3,3,#REF!),IF(#REF!="S",IF(#REF!&lt;5,5,#REF!),IF(#REF!="F",0,IF(#REF!="S",0,#REF!)))))</definedName>
    <definedName name="SHARED_FORMULA_157">IF(#REF!="E",200000,IF(#REF!="F",IF(#REF!&lt;=60,700*#REF!/1000,IF(#REF!&lt;=100,45,IF(#REF!&lt;=300,60,80))),0))</definedName>
    <definedName name="SHARED_FORMULA_158">SUM(#REF!,#REF!,#REF!,#REF!)</definedName>
    <definedName name="SHARED_FORMULA_159">((#REF!/#REF!)*1000)</definedName>
    <definedName name="SHARED_FORMULA_16">IF(#REF!="S",50*#REF!/1000,IF(#REF!="J",40*#REF!/1000,20*#REF!/1000))</definedName>
    <definedName name="SHARED_FORMULA_160">(#REF!/0.658179306)</definedName>
    <definedName name="SHARED_FORMULA_161">IF(#REF!&gt;0,IF(#REF!&lt;30,30,#REF!),0)</definedName>
    <definedName name="SHARED_FORMULA_162">(#REF!*0.8)</definedName>
    <definedName name="SHARED_FORMULA_163">IF(#REF!="F",(60*#REF!)/1000,IF(#REF!&lt;100,90*#REF!/1000,IF(#REF!&lt;=1000,80*#REF!/1000,70*#REF!/1000)))</definedName>
    <definedName name="SHARED_FORMULA_164">IF(#REF!="L",250*#REF!/1000,IF(#REF!="J",300*#REF!/1000,0))</definedName>
    <definedName name="SHARED_FORMULA_165">IF(#REF!="F",(40*#REF!)/1000,(20*#REF!)/1000)</definedName>
    <definedName name="SHARED_FORMULA_166">(#REF!/#REF!)</definedName>
    <definedName name="SHARED_FORMULA_167">IF(#REF!="S",50*#REF!/1000,IF(#REF!="J",40*#REF!/1000,20*#REF!/1000))</definedName>
    <definedName name="SHARED_FORMULA_168">IF(#REF!="l",IF(#REF!&lt;1,1,#REF!),IF(#REF!="J",IF(#REF!&lt;3,3,#REF!),IF(#REF!="S",IF(#REF!&lt;5,5,#REF!),IF(#REF!="F",0,IF(#REF!="S",0,#REF!)))))</definedName>
    <definedName name="SHARED_FORMULA_169">IF(#REF!="E",200000,IF(#REF!="F",IF(#REF!&lt;=60,700*#REF!/1000,IF(#REF!&lt;=100,45,IF(#REF!&lt;=300,60,80))),0))</definedName>
    <definedName name="SHARED_FORMULA_17">IF(#REF!="l",IF(#REF!&lt;1,1,#REF!),IF(#REF!="J",IF(#REF!&lt;3,3,#REF!),IF(#REF!="S",IF(#REF!&lt;5,5,#REF!),IF(#REF!="F",0,IF(#REF!="S",0,#REF!)))))</definedName>
    <definedName name="SHARED_FORMULA_170">SUM(#REF!,#REF!,#REF!,#REF!)</definedName>
    <definedName name="SHARED_FORMULA_171">((#REF!/#REF!)*1000)</definedName>
    <definedName name="SHARED_FORMULA_172">(#REF!/0.658179306)</definedName>
    <definedName name="SHARED_FORMULA_173">IF(#REF!="F",(60*#REF!)/1000,IF(#REF!&lt;100,90*#REF!/1000,IF(#REF!&lt;=1000,80*#REF!/1000,70*#REF!/1000)))</definedName>
    <definedName name="SHARED_FORMULA_174">IF(#REF!="L",250*#REF!/1000,IF(#REF!="J",300*#REF!/1000,0))</definedName>
    <definedName name="SHARED_FORMULA_175">IF(#REF!="F",(40*#REF!)/1000,(20*#REF!)/1000)</definedName>
    <definedName name="SHARED_FORMULA_176">(#REF!/#REF!)</definedName>
    <definedName name="SHARED_FORMULA_177">IF(#REF!="S",50*#REF!/1000,IF(#REF!="J",40*#REF!/1000,20*#REF!/1000))</definedName>
    <definedName name="SHARED_FORMULA_178">IF(#REF!="l",IF(#REF!&lt;1,1,#REF!),IF(#REF!="J",IF(#REF!&lt;3,3,#REF!),IF(#REF!="S",IF(#REF!&lt;5,5,#REF!),IF(#REF!="F",0,IF(#REF!="S",0,#REF!)))))</definedName>
    <definedName name="SHARED_FORMULA_179">IF(#REF!="E",200000,IF(#REF!="F",IF(#REF!&lt;=60,700*#REF!/1000,IF(#REF!&lt;=100,45,IF(#REF!&lt;=300,60,80))),0))</definedName>
    <definedName name="SHARED_FORMULA_18">IF(#REF!="E",200000,IF(#REF!="F",IF(#REF!&lt;=60,700*#REF!/1000,IF(#REF!&lt;=100,45,IF(#REF!&lt;=300,60,80))),0))</definedName>
    <definedName name="SHARED_FORMULA_180">SUM(#REF!,#REF!,#REF!,#REF!)</definedName>
    <definedName name="SHARED_FORMULA_181">((#REF!/#REF!)*1000)</definedName>
    <definedName name="SHARED_FORMULA_182">(#REF!/0.658179306)</definedName>
    <definedName name="SHARED_FORMULA_183">IF(#REF!&gt;0,IF(#REF!&lt;30,30,#REF!),0)</definedName>
    <definedName name="SHARED_FORMULA_184">(#REF!*0.8)</definedName>
    <definedName name="SHARED_FORMULA_185">IF(#REF!="F",(60*#REF!)/1000,IF(#REF!&lt;100,90*#REF!/1000,IF(#REF!&lt;=1000,80*#REF!/1000,70*#REF!/1000)))</definedName>
    <definedName name="SHARED_FORMULA_186">IF(#REF!="L",250*#REF!/1000,IF(#REF!="J",300*#REF!/1000,0))</definedName>
    <definedName name="SHARED_FORMULA_187">IF(#REF!="F",(40*#REF!)/1000,(20*#REF!)/1000)</definedName>
    <definedName name="SHARED_FORMULA_188">(#REF!/#REF!)</definedName>
    <definedName name="SHARED_FORMULA_189">IF(#REF!="S",50*#REF!/1000,IF(#REF!="J",40*#REF!/1000,20*#REF!/1000))</definedName>
    <definedName name="SHARED_FORMULA_19">SUM(#REF!,#REF!,#REF!,#REF!)</definedName>
    <definedName name="SHARED_FORMULA_190">IF(#REF!="l",IF(#REF!&lt;1,1,#REF!),IF(#REF!="J",IF(#REF!&lt;3,3,#REF!),IF(#REF!="S",IF(#REF!&lt;5,5,#REF!),IF(#REF!="F",0,IF(#REF!="S",0,#REF!)))))</definedName>
    <definedName name="SHARED_FORMULA_191">IF(#REF!="E",200000,IF(#REF!="F",IF(#REF!&lt;=60,700*#REF!/1000,IF(#REF!&lt;=100,45,IF(#REF!&lt;=300,60,80))),0))</definedName>
    <definedName name="SHARED_FORMULA_192">SUM(#REF!,#REF!,#REF!,#REF!)</definedName>
    <definedName name="SHARED_FORMULA_193">((#REF!/#REF!)*1000)</definedName>
    <definedName name="SHARED_FORMULA_194">(#REF!/0.658179306)</definedName>
    <definedName name="SHARED_FORMULA_195">IF(#REF!="F",(60*#REF!)/1000,IF(#REF!&lt;100,90*#REF!/1000,IF(#REF!&lt;=1000,80*#REF!/1000,70*#REF!/1000)))</definedName>
    <definedName name="SHARED_FORMULA_196">IF(#REF!="L",250*#REF!/1000,IF(#REF!="J",300*#REF!/1000,0))</definedName>
    <definedName name="SHARED_FORMULA_197">IF(#REF!="F",(40*#REF!)/1000,(20*#REF!)/1000)</definedName>
    <definedName name="SHARED_FORMULA_198">(#REF!/#REF!)</definedName>
    <definedName name="SHARED_FORMULA_199">IF(#REF!="S",50*#REF!/1000,IF(#REF!="J",40*#REF!/1000,20*#REF!/1000))</definedName>
    <definedName name="SHARED_FORMULA_2">IF(#REF!="F",(40*#REF!)/1000,(20*#REF!)/1000)</definedName>
    <definedName name="SHARED_FORMULA_20">((#REF!/#REF!)*1000)</definedName>
    <definedName name="SHARED_FORMULA_200">IF(#REF!="l",IF(#REF!&lt;1,1,#REF!),IF(#REF!="J",IF(#REF!&lt;3,3,#REF!),IF(#REF!="S",IF(#REF!&lt;5,5,#REF!),IF(#REF!="F",0,IF(#REF!="S",0,#REF!)))))</definedName>
    <definedName name="SHARED_FORMULA_201">IF(#REF!="E",200000,IF(#REF!="F",IF(#REF!&lt;=60,700*#REF!/1000,IF(#REF!&lt;=100,45,IF(#REF!&lt;=300,60,80))),0))</definedName>
    <definedName name="SHARED_FORMULA_202">SUM(#REF!,#REF!,#REF!,#REF!)</definedName>
    <definedName name="SHARED_FORMULA_203">((#REF!/#REF!)*1000)</definedName>
    <definedName name="SHARED_FORMULA_204">(#REF!/0.658179306)</definedName>
    <definedName name="SHARED_FORMULA_205">IF(#REF!="F",(60*#REF!)/1000,IF(#REF!&lt;100,90*#REF!/1000,IF(#REF!&lt;=1000,80*#REF!/1000,70*#REF!/1000)))</definedName>
    <definedName name="SHARED_FORMULA_206">IF(#REF!="L",250*#REF!/1000,IF(#REF!="J",300*#REF!/1000,0))</definedName>
    <definedName name="SHARED_FORMULA_207">IF(#REF!="F",(40*#REF!)/1000,(20*#REF!)/1000)</definedName>
    <definedName name="SHARED_FORMULA_208">(#REF!/#REF!)</definedName>
    <definedName name="SHARED_FORMULA_209">IF(#REF!="S",50*#REF!/1000,IF(#REF!="J",40*#REF!/1000,20*#REF!/1000))</definedName>
    <definedName name="SHARED_FORMULA_21">(#REF!/0.658179306)</definedName>
    <definedName name="SHARED_FORMULA_210">IF(#REF!="l",IF(#REF!&lt;1,1,#REF!),IF(#REF!="J",IF(#REF!&lt;3,3,#REF!),IF(#REF!="S",IF(#REF!&lt;5,5,#REF!),IF(#REF!="F",0,IF(#REF!="S",0,#REF!)))))</definedName>
    <definedName name="SHARED_FORMULA_211">IF(#REF!="E",200000,IF(#REF!="F",IF(#REF!&lt;=60,700*#REF!/1000,IF(#REF!&lt;=100,45,IF(#REF!&lt;=300,60,80))),0))</definedName>
    <definedName name="SHARED_FORMULA_212">SUM(#REF!,#REF!,#REF!,#REF!)</definedName>
    <definedName name="SHARED_FORMULA_213">((#REF!/#REF!)*1000)</definedName>
    <definedName name="SHARED_FORMULA_214">IF(#REF!="F",(60*#REF!)/1000,IF(#REF!&lt;100,90*#REF!/1000,IF(#REF!&lt;=1000,80*#REF!/1000,70*#REF!/1000)))</definedName>
    <definedName name="SHARED_FORMULA_215">IF(#REF!="L",250*#REF!/1000,IF(#REF!="J",300*#REF!/1000,0))</definedName>
    <definedName name="SHARED_FORMULA_216">IF(#REF!="F",(40*#REF!)/1000,(20*#REF!)/1000)</definedName>
    <definedName name="SHARED_FORMULA_217">(#REF!/#REF!)</definedName>
    <definedName name="SHARED_FORMULA_218">IF(#REF!="S",50*#REF!/1000,IF(#REF!="J",40*#REF!/1000,20*#REF!/1000))</definedName>
    <definedName name="SHARED_FORMULA_219">IF(#REF!="l",IF(#REF!&lt;1,1,#REF!),IF(#REF!="J",IF(#REF!&lt;3,3,#REF!),IF(#REF!="S",IF(#REF!&lt;5,5,#REF!),IF(#REF!="F",0,IF(#REF!="S",0,#REF!)))))</definedName>
    <definedName name="SHARED_FORMULA_22">IF(#REF!="F",(60*#REF!)/1000,IF(#REF!&lt;100,90*#REF!/1000,IF(#REF!&lt;=1000,80*#REF!/1000,70*#REF!/1000)))</definedName>
    <definedName name="SHARED_FORMULA_220">IF(#REF!="E",200000,IF(#REF!="F",IF(#REF!&lt;=60,700*#REF!/1000,IF(#REF!&lt;=100,45,IF(#REF!&lt;=300,60,80))),0))</definedName>
    <definedName name="SHARED_FORMULA_221">SUM(#REF!,#REF!,#REF!,#REF!)</definedName>
    <definedName name="SHARED_FORMULA_222">((#REF!/#REF!)*1000)</definedName>
    <definedName name="SHARED_FORMULA_223">IF(#REF!&gt;0,IF(#REF!&lt;30,30,#REF!),0)</definedName>
    <definedName name="SHARED_FORMULA_224">(#REF!*0.8)</definedName>
    <definedName name="SHARED_FORMULA_225">IF(#REF!="F",(60*#REF!)/1000,IF(#REF!&lt;100,90*#REF!/1000,IF(#REF!&lt;=1000,80*#REF!/1000,70*#REF!/1000)))</definedName>
    <definedName name="SHARED_FORMULA_226">IF(#REF!="L",250*#REF!/1000,IF(#REF!="J",300*#REF!/1000,0))</definedName>
    <definedName name="SHARED_FORMULA_227">IF(#REF!="F",(40*#REF!)/1000,(20*#REF!)/1000)</definedName>
    <definedName name="SHARED_FORMULA_228">(#REF!/#REF!)</definedName>
    <definedName name="SHARED_FORMULA_229">IF(#REF!="S",50*#REF!/1000,IF(#REF!="J",40*#REF!/1000,20*#REF!/1000))</definedName>
    <definedName name="SHARED_FORMULA_23">IF(#REF!="L",250*#REF!/1000,IF(#REF!="J",300*#REF!/1000,0))</definedName>
    <definedName name="SHARED_FORMULA_230">IF(#REF!="l",IF(#REF!&lt;1,1,#REF!),IF(#REF!="J",IF(#REF!&lt;3,3,#REF!),IF(#REF!="S",IF(#REF!&lt;5,5,#REF!),IF(#REF!="F",0,IF(#REF!="S",0,#REF!)))))</definedName>
    <definedName name="SHARED_FORMULA_231">IF(#REF!="E",200000,IF(#REF!="F",IF(#REF!&lt;=60,700*#REF!/1000,IF(#REF!&lt;=100,45,IF(#REF!&lt;=300,60,80))),0))</definedName>
    <definedName name="SHARED_FORMULA_232">((#REF!/#REF!)*1000)</definedName>
    <definedName name="SHARED_FORMULA_233">(#REF!/0.658179306)</definedName>
    <definedName name="SHARED_FORMULA_234">IF(#REF!&gt;0,IF(#REF!&lt;30,30,#REF!),0)</definedName>
    <definedName name="SHARED_FORMULA_235">(#REF!*0.8)</definedName>
    <definedName name="SHARED_FORMULA_236">IF(#REF!="F",(60*#REF!)/1000,IF(#REF!&lt;100,90*#REF!/1000,IF(#REF!&lt;=1000,80*#REF!/1000,70*#REF!/1000)))</definedName>
    <definedName name="SHARED_FORMULA_237">IF(#REF!="L",250*#REF!/1000,IF(#REF!="J",300*#REF!/1000,0))</definedName>
    <definedName name="SHARED_FORMULA_238">IF(#REF!="F",(40*#REF!)/1000,(20*#REF!)/1000)</definedName>
    <definedName name="SHARED_FORMULA_239">(#REF!/#REF!)</definedName>
    <definedName name="SHARED_FORMULA_24">IF(#REF!="F",(40*#REF!)/1000,(20*#REF!)/1000)</definedName>
    <definedName name="SHARED_FORMULA_240">IF(#REF!="S",50*#REF!/1000,IF(#REF!="J",40*#REF!/1000,20*#REF!/1000))</definedName>
    <definedName name="SHARED_FORMULA_241">IF(#REF!="l",IF(#REF!&lt;1,1,#REF!),IF(#REF!="J",IF(#REF!&lt;3,3,#REF!),IF(#REF!="S",IF(#REF!&lt;5,5,#REF!),IF(#REF!="F",0,IF(#REF!="S",0,#REF!)))))</definedName>
    <definedName name="SHARED_FORMULA_242">IF(#REF!="E",200000,IF(#REF!="F",IF(#REF!&lt;=60,700*#REF!/1000,IF(#REF!&lt;=100,45,IF(#REF!&lt;=300,60,80))),0))</definedName>
    <definedName name="SHARED_FORMULA_243">((#REF!/#REF!)*1000)</definedName>
    <definedName name="SHARED_FORMULA_244">(#REF!/0.658179306)</definedName>
    <definedName name="SHARED_FORMULA_245">(#REF!/50)</definedName>
    <definedName name="SHARED_FORMULA_246">IF(#REF!&lt;=3,3,ROUND(#REF!,0))</definedName>
    <definedName name="SHARED_FORMULA_247">(#REF!/50)</definedName>
    <definedName name="SHARED_FORMULA_248">IF(#REF!&lt;=3,3,ROUND(#REF!,0))</definedName>
    <definedName name="SHARED_FORMULA_249">(#REF!/50)</definedName>
    <definedName name="SHARED_FORMULA_25">(#REF!/#REF!)</definedName>
    <definedName name="SHARED_FORMULA_250">IF(#REF!&lt;=3,3,ROUND(#REF!,0))</definedName>
    <definedName name="SHARED_FORMULA_251">(#REF!/50)</definedName>
    <definedName name="SHARED_FORMULA_252">IF(#REF!&lt;=3,3,ROUND(#REF!,0))</definedName>
    <definedName name="SHARED_FORMULA_253">(#REF!/50)</definedName>
    <definedName name="SHARED_FORMULA_254">IF(#REF!&lt;=3,3,ROUND(#REF!,0))</definedName>
    <definedName name="SHARED_FORMULA_255">(#REF!/50)</definedName>
    <definedName name="SHARED_FORMULA_256">IF(#REF!&lt;=3,3,ROUND(#REF!,0))</definedName>
    <definedName name="SHARED_FORMULA_257">(#REF!/50)</definedName>
    <definedName name="SHARED_FORMULA_258">IF(#REF!&lt;=3,3,ROUND(#REF!,0))</definedName>
    <definedName name="SHARED_FORMULA_259">(#REF!/50)</definedName>
    <definedName name="SHARED_FORMULA_26">IF(#REF!="S",50*#REF!/1000,IF(#REF!="J",40*#REF!/1000,20*#REF!/1000))</definedName>
    <definedName name="SHARED_FORMULA_260">IF(#REF!&lt;=3,3,ROUND(#REF!,0))</definedName>
    <definedName name="SHARED_FORMULA_261">(#REF!/50)</definedName>
    <definedName name="SHARED_FORMULA_262">IF(#REF!&lt;=3,3,ROUND(#REF!,0))</definedName>
    <definedName name="SHARED_FORMULA_263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264">(#REF!/#REF!)</definedName>
    <definedName name="SHARED_FORMULA_265">IF(#REF!="E",200000,IF(#REF!="F",IF(#REF!&lt;=60,700*#REF!/1000,IF(#REF!&lt;=100,45,IF(#REF!&lt;=300,60,80))),0))</definedName>
    <definedName name="SHARED_FORMULA_266">IF(#REF!&gt;0,IF(#REF!&lt;30,30,#REF!),0)</definedName>
    <definedName name="SHARED_FORMULA_267">SUM(#REF!,#REF!,#REF!,#REF!)</definedName>
    <definedName name="SHARED_FORMULA_268">(#REF!*0.75)</definedName>
    <definedName name="SHARED_FORMULA_269">IF(OR(#REF!="L",#REF!="S"),#REF!*250/1000,IF(#REF!="J",#REF!*300/1000,0))</definedName>
    <definedName name="SHARED_FORMULA_27">IF(#REF!="l",IF(#REF!&lt;1,1,#REF!),IF(#REF!="J",IF(#REF!&lt;3,3,#REF!),IF(#REF!="S",IF(#REF!&lt;5,5,#REF!),IF(#REF!="F",0,IF(#REF!="S",0,#REF!)))))</definedName>
    <definedName name="SHARED_FORMULA_270">IF(#REF!="F",IF(#REF!&lt;=100,#REF!*40/1000,#REF!*20/1000),IF(#REF!&lt;=100,#REF!*20/1000,#REF!*10/1000))</definedName>
    <definedName name="SHARED_FORMULA_271">IF(#REF!="S",#REF!*50/1000,IF(#REF!="J",IF(#REF!&lt;=250,#REF!*40/1000,#REF!*30/1000),IF(#REF!&lt;=250,#REF!*20/1000,#REF!*15/1000)))</definedName>
    <definedName name="SHARED_FORMULA_272">IF(#REF!="l",IF(#REF!&lt;1,1,#REF!),IF(#REF!="J",IF(#REF!&lt;3,3,#REF!),IF(#REF!="S",IF(#REF!&lt;5,5,#REF!),IF(#REF!="F",0,IF(#REF!="S",0,#REF!)))))</definedName>
    <definedName name="SHARED_FORMULA_273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274">(#REF!*0.75)</definedName>
    <definedName name="SHARED_FORMULA_275">(#REF!/#REF!)</definedName>
    <definedName name="SHARED_FORMULA_276">IF(#REF!="E",200000,IF(#REF!="F",IF(#REF!&lt;=60,700*#REF!/1000,IF(#REF!&lt;=100,45,IF(#REF!&lt;=300,60,80))),0))</definedName>
    <definedName name="SHARED_FORMULA_277">IF(#REF!&gt;0,IF(#REF!&lt;30,30,#REF!),0)</definedName>
    <definedName name="SHARED_FORMULA_278">SUM(#REF!,#REF!,#REF!,#REF!)</definedName>
    <definedName name="SHARED_FORMULA_279">IF(#REF!="l",IF(#REF!&lt;1,1,#REF!),IF(#REF!="J",IF(#REF!&lt;3,3,#REF!),IF(#REF!="S",IF(#REF!&lt;5,5,#REF!),IF(#REF!="F",0,IF(#REF!="S",0,#REF!)))))</definedName>
    <definedName name="SHARED_FORMULA_28">IF(#REF!="E",200000,IF(#REF!="F",IF(#REF!&lt;=60,700*#REF!/1000,IF(#REF!&lt;=100,45,IF(#REF!&lt;=300,60,80))),0))</definedName>
    <definedName name="SHARED_FORMULA_280">IF(OR(#REF!="L",#REF!="S"),#REF!*250/1000,IF(#REF!="J",#REF!*300/1000,0))</definedName>
    <definedName name="SHARED_FORMULA_281">(#REF!/#REF!)</definedName>
    <definedName name="SHARED_FORMULA_282">IF(#REF!="E",200000,IF(#REF!="F",IF(#REF!&lt;=60,700*#REF!/1000,IF(#REF!&lt;=100,45,IF(#REF!&lt;=300,60,80))),0))</definedName>
    <definedName name="SHARED_FORMULA_283">IF(#REF!&gt;0,IF(#REF!&lt;30,30,#REF!),0)</definedName>
    <definedName name="SHARED_FORMULA_284">IF(#REF!="F",IF(#REF!&lt;=100,#REF!*40/1000,#REF!*20/1000),IF(#REF!&lt;=100,#REF!*20/1000,#REF!*10/1000))</definedName>
    <definedName name="SHARED_FORMULA_285">IF(#REF!="S",#REF!*50/1000,IF(#REF!="J",IF(#REF!&lt;=250,#REF!*40/1000,#REF!*30/1000),IF(#REF!&lt;=250,#REF!*20/1000,#REF!*15/1000)))</definedName>
    <definedName name="SHARED_FORMULA_286">IF(#REF!="l",IF(#REF!&lt;1,1,#REF!),IF(#REF!="J",IF(#REF!&lt;3,3,#REF!),IF(#REF!="S",IF(#REF!&lt;5,5,#REF!),IF(#REF!="F",0,IF(#REF!="S",0,#REF!)))))</definedName>
    <definedName name="SHARED_FORMULA_287">(#REF!*0.75)</definedName>
    <definedName name="SHARED_FORMULA_288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289">(#REF!/#REF!)</definedName>
    <definedName name="SHARED_FORMULA_29">SUM(#REF!,#REF!,#REF!,#REF!)</definedName>
    <definedName name="SHARED_FORMULA_290">IF(#REF!="E",200000,IF(#REF!="F",IF(#REF!&lt;=60,700*#REF!/1000,IF(#REF!&lt;=100,45,IF(#REF!&lt;=300,60,80))),0))</definedName>
    <definedName name="SHARED_FORMULA_291">IF(#REF!&gt;0,IF(#REF!&lt;30,30,#REF!),0)</definedName>
    <definedName name="SHARED_FORMULA_292">SUM(#REF!,#REF!,#REF!,#REF!)</definedName>
    <definedName name="SHARED_FORMULA_293">IF(#REF!="l",IF(#REF!&lt;1,1,#REF!),IF(#REF!="J",IF(#REF!&lt;3,3,#REF!),IF(#REF!="S",IF(#REF!&lt;5,5,#REF!),IF(#REF!="F",0,IF(#REF!="S",0,#REF!)))))</definedName>
    <definedName name="SHARED_FORMULA_294">(#REF!*0.75)</definedName>
    <definedName name="SHARED_FORMULA_295">IF(OR(#REF!="L",#REF!="S"),#REF!*250/1000,IF(#REF!="J",#REF!*300/1000,0))</definedName>
    <definedName name="SHARED_FORMULA_296">IF(#REF!="F",IF(#REF!&lt;=100,#REF!*40/1000,#REF!*20/1000),IF(#REF!&lt;=100,#REF!*20/1000,#REF!*10/1000))</definedName>
    <definedName name="SHARED_FORMULA_297">IF(#REF!="S",#REF!*50/1000,IF(#REF!="J",IF(#REF!&lt;=250,#REF!*40/1000,#REF!*30/1000),IF(#REF!&lt;=250,#REF!*20/1000,#REF!*15/1000)))</definedName>
    <definedName name="SHARED_FORMULA_298">IF(#REF!&gt;0,IF(#REF!&lt;30,30,#REF!),0)</definedName>
    <definedName name="SHARED_FORMULA_299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3">(#REF!/#REF!)</definedName>
    <definedName name="SHARED_FORMULA_30">((#REF!/#REF!)*1000)</definedName>
    <definedName name="SHARED_FORMULA_300">(#REF!/#REF!)</definedName>
    <definedName name="SHARED_FORMULA_301">IF(#REF!="E",200000,IF(#REF!="F",IF(#REF!&lt;=60,700*#REF!/1000,IF(#REF!&lt;=100,45,IF(#REF!&lt;=300,60,80))),0))</definedName>
    <definedName name="SHARED_FORMULA_302">SUM(#REF!,#REF!,#REF!,#REF!)</definedName>
    <definedName name="SHARED_FORMULA_303">(#REF!*0.75)</definedName>
    <definedName name="SHARED_FORMULA_304">(#REF!/#REF!)</definedName>
    <definedName name="SHARED_FORMULA_305">IF(#REF!="E",200000,IF(#REF!="F",IF(#REF!&lt;=60,700*#REF!/1000,IF(#REF!&lt;=100,45,IF(#REF!&lt;=300,60,80))),0))</definedName>
    <definedName name="SHARED_FORMULA_306">SUM(#REF!,#REF!,#REF!,#REF!)</definedName>
    <definedName name="SHARED_FORMULA_307">IF(OR(#REF!="L",#REF!="S"),#REF!*250/1000,IF(#REF!="J",#REF!*300/1000,0))</definedName>
    <definedName name="SHARED_FORMULA_308">IF(#REF!="l",IF(#REF!&lt;1,1,#REF!),IF(#REF!="J",IF(#REF!&lt;3,3,#REF!),IF(#REF!="S",IF(#REF!&lt;5,5,#REF!),IF(#REF!="F",0,IF(#REF!="S",0,#REF!)))))</definedName>
    <definedName name="SHARED_FORMULA_309">IF(#REF!="F",IF(#REF!&lt;=100,#REF!*40/1000,#REF!*20/1000),IF(#REF!&lt;=100,#REF!*20/1000,#REF!*10/1000))</definedName>
    <definedName name="SHARED_FORMULA_31">(#REF!/0.658179306)</definedName>
    <definedName name="SHARED_FORMULA_310">IF(#REF!="S",#REF!*50/1000,IF(#REF!="J",IF(#REF!&lt;=250,#REF!*40/1000,#REF!*30/1000),IF(#REF!&lt;=250,#REF!*20/1000,#REF!*15/1000)))</definedName>
    <definedName name="SHARED_FORMULA_311">IF(#REF!&gt;0,IF(#REF!&lt;30,30,#REF!),0)</definedName>
    <definedName name="SHARED_FORMULA_312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313">(#REF!/#REF!)</definedName>
    <definedName name="SHARED_FORMULA_314">IF(#REF!="l",IF(#REF!&lt;1,1,#REF!),IF(#REF!="J",IF(#REF!&lt;3,3,#REF!),IF(#REF!="S",IF(#REF!&lt;5,5,#REF!),IF(#REF!="F",0,IF(#REF!="S",0,#REF!)))))</definedName>
    <definedName name="SHARED_FORMULA_315">IF(#REF!="E",200000,IF(#REF!="F",IF(#REF!&lt;=60,700*#REF!/1000,IF(#REF!&lt;=100,45,IF(#REF!&lt;=300,60,80))),0))</definedName>
    <definedName name="SHARED_FORMULA_316">IF(#REF!&gt;0,IF(#REF!&lt;30,30,#REF!),0)</definedName>
    <definedName name="SHARED_FORMULA_317">SUM(#REF!,#REF!,#REF!,#REF!)</definedName>
    <definedName name="SHARED_FORMULA_318">(#REF!*0.75)</definedName>
    <definedName name="SHARED_FORMULA_319">IF(OR(#REF!="L",#REF!="S"),#REF!*250/1000,IF(#REF!="J",#REF!*300/1000,0))</definedName>
    <definedName name="SHARED_FORMULA_32">IF(#REF!="F",(60*#REF!)/1000,IF(#REF!&lt;100,90*#REF!/1000,IF(#REF!&lt;=1000,80*#REF!/1000,70*#REF!/1000)))</definedName>
    <definedName name="SHARED_FORMULA_320">(#REF!/#REF!)</definedName>
    <definedName name="SHARED_FORMULA_321">IF(#REF!="l",IF(#REF!&lt;1,1,#REF!),IF(#REF!="J",IF(#REF!&lt;3,3,#REF!),IF(#REF!="S",IF(#REF!&lt;5,5,#REF!),IF(#REF!="F",0,IF(#REF!="S",0,#REF!)))))</definedName>
    <definedName name="SHARED_FORMULA_322">IF(#REF!="E",200000,IF(#REF!="F",IF(#REF!&lt;=60,700*#REF!/1000,IF(#REF!&lt;=100,45,IF(#REF!&lt;=300,60,80))),0))</definedName>
    <definedName name="SHARED_FORMULA_323">IF(#REF!&gt;0,IF(#REF!&lt;30,30,#REF!),0)</definedName>
    <definedName name="SHARED_FORMULA_324">IF(#REF!="F",IF(#REF!&lt;=100,#REF!*40/1000,#REF!*20/1000),IF(#REF!&lt;=100,#REF!*20/1000,#REF!*10/1000))</definedName>
    <definedName name="SHARED_FORMULA_325">IF(#REF!="S",#REF!*50/1000,IF(#REF!="J",IF(#REF!&lt;=250,#REF!*40/1000,#REF!*30/1000),IF(#REF!&lt;=250,#REF!*20/1000,#REF!*15/1000)))</definedName>
    <definedName name="SHARED_FORMULA_326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327">SUM(#REF!,#REF!,#REF!,#REF!)</definedName>
    <definedName name="SHARED_FORMULA_328">(#REF!*0.75)</definedName>
    <definedName name="SHARED_FORMULA_329">(#REF!/#REF!)</definedName>
    <definedName name="SHARED_FORMULA_33">IF(#REF!="L",250*#REF!/1000,IF(#REF!="J",300*#REF!/1000,0))</definedName>
    <definedName name="SHARED_FORMULA_330">IF(#REF!="l",IF(#REF!&lt;1,1,#REF!),IF(#REF!="J",IF(#REF!&lt;3,3,#REF!),IF(#REF!="S",IF(#REF!&lt;5,5,#REF!),IF(#REF!="F",0,IF(#REF!="S",0,#REF!)))))</definedName>
    <definedName name="SHARED_FORMULA_331">IF(#REF!="E",200000,IF(#REF!="F",IF(#REF!&lt;=60,700*#REF!/1000,IF(#REF!&lt;=100,45,IF(#REF!&lt;=300,60,80))),0))</definedName>
    <definedName name="SHARED_FORMULA_332">IF(#REF!&gt;0,IF(#REF!&lt;30,30,#REF!),0)</definedName>
    <definedName name="SHARED_FORMULA_333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334">IF(OR(#REF!="L",#REF!="S"),#REF!*250/1000,IF(#REF!="J",#REF!*300/1000,0))</definedName>
    <definedName name="SHARED_FORMULA_335">IF(#REF!="F",IF(#REF!&lt;=100,#REF!*40/1000,#REF!*20/1000),IF(#REF!&lt;=100,#REF!*20/1000,#REF!*10/1000))</definedName>
    <definedName name="SHARED_FORMULA_336">IF(#REF!="S",#REF!*50/1000,IF(#REF!="J",IF(#REF!&lt;=250,#REF!*40/1000,#REF!*30/1000),IF(#REF!&lt;=250,#REF!*20/1000,#REF!*15/1000)))</definedName>
    <definedName name="SHARED_FORMULA_337">(#REF!*0.75)</definedName>
    <definedName name="SHARED_FORMULA_338">SUM(#REF!,#REF!,#REF!,#REF!)</definedName>
    <definedName name="SHARED_FORMULA_339">(#REF!*0.75)</definedName>
    <definedName name="SHARED_FORMULA_34">IF(#REF!="F",(40*#REF!)/1000,(20*#REF!)/1000)</definedName>
    <definedName name="SHARED_FORMULA_340">IF(OR(#REF!="L",#REF!="S"),#REF!*250/1000,IF(#REF!="J",#REF!*300/1000,0))</definedName>
    <definedName name="SHARED_FORMULA_341">(#REF!/#REF!)</definedName>
    <definedName name="SHARED_FORMULA_342">IF(#REF!="l",IF(#REF!&lt;1,1,#REF!),IF(#REF!="J",IF(#REF!&lt;3,3,#REF!),IF(#REF!="S",IF(#REF!&lt;5,5,#REF!),IF(#REF!="F",0,IF(#REF!="S",0,#REF!)))))</definedName>
    <definedName name="SHARED_FORMULA_343">IF(#REF!="E",200000,IF(#REF!="F",IF(#REF!&lt;=60,700*#REF!/1000,IF(#REF!&lt;=100,45,IF(#REF!&lt;=300,60,80))),0))</definedName>
    <definedName name="SHARED_FORMULA_344">IF(#REF!&gt;0,IF(#REF!&lt;30,30,#REF!),0)</definedName>
    <definedName name="SHARED_FORMULA_345">IF(#REF!="F",IF(#REF!&lt;=100,#REF!*40/1000,#REF!*20/1000),IF(#REF!&lt;=100,#REF!*20/1000,#REF!*10/1000))</definedName>
    <definedName name="SHARED_FORMULA_346">IF(#REF!="S",#REF!*50/1000,IF(#REF!="J",IF(#REF!&lt;=250,#REF!*40/1000,#REF!*30/1000),IF(#REF!&lt;=250,#REF!*20/1000,#REF!*15/1000)))</definedName>
    <definedName name="SHARED_FORMULA_347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348">IF(OR(#REF!="L",#REF!="S"),#REF!*250/1000,IF(#REF!="J",#REF!*300/1000,0))</definedName>
    <definedName name="SHARED_FORMULA_349">IF(#REF!="F",IF(#REF!&lt;=100,#REF!*40/1000,#REF!*20/1000),IF(#REF!&lt;=100,#REF!*20/1000,#REF!*10/1000))</definedName>
    <definedName name="SHARED_FORMULA_35">(#REF!/#REF!)</definedName>
    <definedName name="SHARED_FORMULA_350">(#REF!/#REF!)</definedName>
    <definedName name="SHARED_FORMULA_351">IF(#REF!="S",#REF!*50/1000,IF(#REF!="J",IF(#REF!&lt;=250,#REF!*40/1000,#REF!*30/1000),IF(#REF!&lt;=250,#REF!*20/1000,#REF!*15/1000)))</definedName>
    <definedName name="SHARED_FORMULA_352">IF(#REF!="l",IF(#REF!&lt;1,1,#REF!),IF(#REF!="J",IF(#REF!&lt;3,3,#REF!),IF(#REF!="S",IF(#REF!&lt;5,5,#REF!),IF(#REF!="F",0,IF(#REF!="S",0,#REF!)))))</definedName>
    <definedName name="SHARED_FORMULA_353">IF(#REF!="E",200000,IF(#REF!="F",IF(#REF!&lt;=60,700*#REF!/1000,IF(#REF!&lt;=100,45,IF(#REF!&lt;=300,60,80))),0))</definedName>
    <definedName name="SHARED_FORMULA_354">IF(#REF!&gt;0,IF(#REF!&lt;30,30,#REF!),0)</definedName>
    <definedName name="SHARED_FORMULA_355">SUM(#REF!,#REF!,#REF!,#REF!)</definedName>
    <definedName name="SHARED_FORMULA_356">(#REF!*0.75)</definedName>
    <definedName name="SHARED_FORMULA_357">IF(#REF!="l",IF(#REF!&lt;1,1,#REF!),IF(#REF!="J",IF(#REF!&lt;3,3,#REF!),IF(#REF!="S",IF(#REF!&lt;5,5,#REF!),IF(#REF!="F",0,IF(#REF!="S",0,#REF!)))))</definedName>
    <definedName name="SHARED_FORMULA_358">IF(#REF!="E",200000,IF(#REF!="F",IF(#REF!&lt;=60,700*#REF!/1000,IF(#REF!&lt;=100,45,IF(#REF!&lt;=300,60,80))),0))</definedName>
    <definedName name="SHARED_FORMULA_359">IF(#REF!&gt;0,IF(#REF!&lt;30,30,#REF!),0)</definedName>
    <definedName name="SHARED_FORMULA_36">IF(#REF!="S",50*#REF!/1000,IF(#REF!="J",40*#REF!/1000,20*#REF!/1000))</definedName>
    <definedName name="SHARED_FORMULA_360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361">IF(OR(#REF!="L",#REF!="S"),#REF!*250/1000,IF(#REF!="J",#REF!*300/1000,0))</definedName>
    <definedName name="SHARED_FORMULA_362">IF(#REF!="F",IF(#REF!&lt;=100,#REF!*40/1000,#REF!*20/1000),IF(#REF!&lt;=100,#REF!*20/1000,#REF!*10/1000))</definedName>
    <definedName name="SHARED_FORMULA_363">(#REF!/#REF!)</definedName>
    <definedName name="SHARED_FORMULA_364">IF(#REF!="S",#REF!*50/1000,IF(#REF!="J",IF(#REF!&lt;=250,#REF!*40/1000,#REF!*30/1000),IF(#REF!&lt;=250,#REF!*20/1000,#REF!*15/1000)))</definedName>
    <definedName name="SHARED_FORMULA_365">SUM(#REF!,#REF!,#REF!,#REF!)</definedName>
    <definedName name="SHARED_FORMULA_366">IF(OR(#REF!="L",#REF!="S"),#REF!*250/1000,IF(#REF!="J",#REF!*300/1000,0))</definedName>
    <definedName name="SHARED_FORMULA_367">IF(#REF!="F",IF(#REF!&lt;=100,#REF!*40/1000,#REF!*20/1000),IF(#REF!&lt;=100,#REF!*20/1000,#REF!*10/1000))</definedName>
    <definedName name="SHARED_FORMULA_368">IF(#REF!="S",#REF!*50/1000,IF(#REF!="J",IF(#REF!&lt;=250,#REF!*40/1000,#REF!*30/1000),IF(#REF!&lt;=250,#REF!*20/1000,#REF!*15/1000)))</definedName>
    <definedName name="SHARED_FORMULA_369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37">IF(#REF!="l",IF(#REF!&lt;1,1,#REF!),IF(#REF!="J",IF(#REF!&lt;3,3,#REF!),IF(#REF!="S",IF(#REF!&lt;5,5,#REF!),IF(#REF!="F",0,IF(#REF!="S",0,#REF!)))))</definedName>
    <definedName name="SHARED_FORMULA_370">SUM(#REF!,#REF!,#REF!,#REF!)</definedName>
    <definedName name="SHARED_FORMULA_371">(#REF!/#REF!)</definedName>
    <definedName name="SHARED_FORMULA_372">IF(#REF!="l",IF(#REF!&lt;1,1,#REF!),IF(#REF!="J",IF(#REF!&lt;3,3,#REF!),IF(#REF!="S",IF(#REF!&lt;5,5,#REF!),IF(#REF!="F",0,IF(#REF!="S",0,#REF!)))))</definedName>
    <definedName name="SHARED_FORMULA_373">IF(#REF!="E",200000,IF(#REF!="F",IF(#REF!&lt;=60,700*#REF!/1000,IF(#REF!&lt;=100,45,IF(#REF!&lt;=300,60,80))),0))</definedName>
    <definedName name="SHARED_FORMULA_374">IF(#REF!&gt;0,IF(#REF!&lt;30,30,#REF!),0)</definedName>
    <definedName name="SHARED_FORMULA_375">(#REF!*0.75)</definedName>
    <definedName name="SHARED_FORMULA_376">(#REF!*0.75)</definedName>
    <definedName name="SHARED_FORMULA_377">IF(OR(#REF!="L",#REF!="S"),#REF!*250/1000,IF(#REF!="J",#REF!*300/1000,0))</definedName>
    <definedName name="SHARED_FORMULA_378">IF(#REF!="F",IF(#REF!&lt;=100,#REF!*40/1000,#REF!*20/1000),IF(#REF!&lt;=100,#REF!*20/1000,#REF!*10/1000))</definedName>
    <definedName name="SHARED_FORMULA_379">IF(#REF!="S",#REF!*50/1000,IF(#REF!="J",IF(#REF!&lt;=250,#REF!*40/1000,#REF!*30/1000),IF(#REF!&lt;=250,#REF!*20/1000,#REF!*15/1000)))</definedName>
    <definedName name="SHARED_FORMULA_38">IF(#REF!="E",200000,IF(#REF!="F",IF(#REF!&lt;=60,700*#REF!/1000,IF(#REF!&lt;=100,45,IF(#REF!&lt;=300,60,80))),0))</definedName>
    <definedName name="SHARED_FORMULA_380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381">(#REF!/#REF!)</definedName>
    <definedName name="SHARED_FORMULA_382">IF(#REF!="l",IF(#REF!&lt;1,1,#REF!),IF(#REF!="J",IF(#REF!&lt;3,3,#REF!),IF(#REF!="S",IF(#REF!&lt;5,5,#REF!),IF(#REF!="F",0,IF(#REF!="S",0,#REF!)))))</definedName>
    <definedName name="SHARED_FORMULA_383">IF(#REF!="E",200000,IF(#REF!="F",IF(#REF!&lt;=60,700*#REF!/1000,IF(#REF!&lt;=100,45,IF(#REF!&lt;=300,60,80))),0))</definedName>
    <definedName name="SHARED_FORMULA_384">IF(#REF!&gt;0,IF(#REF!&lt;30,30,#REF!),0)</definedName>
    <definedName name="SHARED_FORMULA_385">SUM(#REF!,#REF!,#REF!,#REF!)</definedName>
    <definedName name="SHARED_FORMULA_386">(#REF!/#REF!)</definedName>
    <definedName name="SHARED_FORMULA_387">IF(#REF!="l",IF(#REF!&lt;1,1,#REF!),IF(#REF!="J",IF(#REF!&lt;3,3,#REF!),IF(#REF!="S",IF(#REF!&lt;5,5,#REF!),IF(#REF!="F",0,IF(#REF!="S",0,#REF!)))))</definedName>
    <definedName name="SHARED_FORMULA_388">IF(#REF!="E",200000,IF(#REF!="F",IF(#REF!&lt;=60,700*#REF!/1000,IF(#REF!&lt;=100,45,IF(#REF!&lt;=300,60,80))),0))</definedName>
    <definedName name="SHARED_FORMULA_389">SUM(#REF!,#REF!,#REF!,#REF!)</definedName>
    <definedName name="SHARED_FORMULA_39">SUM(#REF!,#REF!,#REF!,#REF!)</definedName>
    <definedName name="SHARED_FORMULA_390">IF(OR(#REF!="L",#REF!="S"),#REF!*250/1000,IF(#REF!="J",#REF!*300/1000,0))</definedName>
    <definedName name="SHARED_FORMULA_391">IF(#REF!="F",IF(#REF!&lt;=100,#REF!*40/1000,#REF!*20/1000),IF(#REF!&lt;=100,#REF!*20/1000,#REF!*10/1000))</definedName>
    <definedName name="SHARED_FORMULA_392">IF(#REF!="S",#REF!*50/1000,IF(#REF!="J",IF(#REF!&lt;=250,#REF!*40/1000,#REF!*30/1000),IF(#REF!&lt;=250,#REF!*20/1000,#REF!*15/1000)))</definedName>
    <definedName name="SHARED_FORMULA_393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394">(#REF!/#REF!)</definedName>
    <definedName name="SHARED_FORMULA_395">IF(#REF!="l",IF(#REF!&lt;1,1,#REF!),IF(#REF!="J",IF(#REF!&lt;3,3,#REF!),IF(#REF!="S",IF(#REF!&lt;5,5,#REF!),IF(#REF!="F",0,IF(#REF!="S",0,#REF!)))))</definedName>
    <definedName name="SHARED_FORMULA_396">IF(#REF!="E",200000,IF(#REF!="F",IF(#REF!&lt;=60,700*#REF!/1000,IF(#REF!&lt;=100,45,IF(#REF!&lt;=300,60,80))),0))</definedName>
    <definedName name="SHARED_FORMULA_397">IF(#REF!&gt;0,IF(#REF!&lt;30,30,#REF!),0)</definedName>
    <definedName name="SHARED_FORMULA_398">SUM(#REF!,#REF!,#REF!,#REF!)</definedName>
    <definedName name="SHARED_FORMULA_399">(#REF!*0.75)</definedName>
    <definedName name="SHARED_FORMULA_4">IF(#REF!="S",50*#REF!/1000,IF(#REF!="J",40*#REF!/1000,20*#REF!/1000))</definedName>
    <definedName name="SHARED_FORMULA_40">(#REF!/0.658179306)</definedName>
    <definedName name="SHARED_FORMULA_400">(#REF!*0.75)</definedName>
    <definedName name="SHARED_FORMULA_401">SUM(#REF!,#REF!,#REF!,#REF!)</definedName>
    <definedName name="SHARED_FORMULA_402">IF(OR(#REF!="L",#REF!="S"),#REF!*250/1000,IF(#REF!="J",#REF!*300/1000,0))</definedName>
    <definedName name="SHARED_FORMULA_403">IF(#REF!="F",IF(#REF!&lt;=100,#REF!*40/1000,#REF!*20/1000),IF(#REF!&lt;=100,#REF!*20/1000,#REF!*10/1000))</definedName>
    <definedName name="SHARED_FORMULA_404">IF(#REF!="S",#REF!*50/1000,IF(#REF!="J",IF(#REF!&lt;=250,#REF!*40/1000,#REF!*30/1000),IF(#REF!&lt;=250,#REF!*20/1000,#REF!*15/1000)))</definedName>
    <definedName name="SHARED_FORMULA_405">(#REF!/#REF!)</definedName>
    <definedName name="SHARED_FORMULA_406">IF(#REF!="l",IF(#REF!&lt;1,1,#REF!),IF(#REF!="J",IF(#REF!&lt;3,3,#REF!),IF(#REF!="S",IF(#REF!&lt;5,5,#REF!),IF(#REF!="F",0,IF(#REF!="S",0,#REF!)))))</definedName>
    <definedName name="SHARED_FORMULA_407">IF(#REF!="E",200000,IF(#REF!="F",IF(#REF!&lt;=60,700*#REF!/1000,IF(#REF!&lt;=100,45,IF(#REF!&lt;=300,60,80))),0))</definedName>
    <definedName name="SHARED_FORMULA_408">IF(#REF!&gt;0,IF(#REF!&lt;30,30,#REF!),0)</definedName>
    <definedName name="SHARED_FORMULA_409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41">IF(#REF!="S",50*#REF!/1000,IF(#REF!="J",40*#REF!/1000,20*#REF!/1000))</definedName>
    <definedName name="SHARED_FORMULA_410">(#REF!/#REF!)</definedName>
    <definedName name="SHARED_FORMULA_411">IF(#REF!="l",IF(#REF!&lt;1,1,#REF!),IF(#REF!="J",IF(#REF!&lt;3,3,#REF!),IF(#REF!="S",IF(#REF!&lt;5,5,#REF!),IF(#REF!="F",0,IF(#REF!="S",0,#REF!)))))</definedName>
    <definedName name="SHARED_FORMULA_412">IF(#REF!="E",200000,IF(#REF!="F",IF(#REF!&lt;=60,700*#REF!/1000,IF(#REF!&lt;=100,45,IF(#REF!&lt;=300,60,80))),0))</definedName>
    <definedName name="SHARED_FORMULA_413">IF(#REF!&gt;0,IF(#REF!&lt;30,30,#REF!),0)</definedName>
    <definedName name="SHARED_FORMULA_414">SUM(#REF!,#REF!,#REF!,#REF!)</definedName>
    <definedName name="SHARED_FORMULA_415">(#REF!*0.75)</definedName>
    <definedName name="SHARED_FORMULA_416">IF(OR(#REF!="L",#REF!="S"),#REF!*250/1000,IF(#REF!="J",#REF!*300/1000,0))</definedName>
    <definedName name="SHARED_FORMULA_417">IF(#REF!="F",IF(#REF!&lt;=100,#REF!*40/1000,#REF!*20/1000),IF(#REF!&lt;=100,#REF!*20/1000,#REF!*10/1000))</definedName>
    <definedName name="SHARED_FORMULA_418">IF(#REF!="S",#REF!*50/1000,IF(#REF!="J",IF(#REF!&lt;=250,#REF!*40/1000,#REF!*30/1000),IF(#REF!&lt;=250,#REF!*20/1000,#REF!*15/1000)))</definedName>
    <definedName name="SHARED_FORMULA_419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42">IF(#REF!="l",IF(#REF!&lt;1,1,#REF!),IF(#REF!="J",IF(#REF!&lt;3,3,#REF!),IF(#REF!="S",IF(#REF!&lt;5,5,#REF!),IF(#REF!="F",0,IF(#REF!="S",0,#REF!)))))</definedName>
    <definedName name="SHARED_FORMULA_420">(#REF!*0.75)</definedName>
    <definedName name="SHARED_FORMULA_421">(#REF!/#REF!)</definedName>
    <definedName name="SHARED_FORMULA_422">IF(#REF!="l",IF(#REF!&lt;1,1,#REF!),IF(#REF!="J",IF(#REF!&lt;3,3,#REF!),IF(#REF!="S",IF(#REF!&lt;5,5,#REF!),IF(#REF!="F",0,IF(#REF!="S",0,#REF!)))))</definedName>
    <definedName name="SHARED_FORMULA_423">IF(#REF!="E",200000,IF(#REF!="F",IF(#REF!&lt;=60,700*#REF!/1000,IF(#REF!&lt;=100,45,IF(#REF!&lt;=300,60,80))),0))</definedName>
    <definedName name="SHARED_FORMULA_424">IF(#REF!&gt;0,IF(#REF!&lt;30,30,#REF!),0)</definedName>
    <definedName name="SHARED_FORMULA_425">SUM(#REF!,#REF!,#REF!,#REF!)</definedName>
    <definedName name="SHARED_FORMULA_426">IF(OR(#REF!="L",#REF!="S"),#REF!*250/1000,IF(#REF!="J",#REF!*300/1000,0))</definedName>
    <definedName name="SHARED_FORMULA_427">IF(#REF!="F",IF(#REF!&lt;=100,#REF!*40/1000,#REF!*20/1000),IF(#REF!&lt;=100,#REF!*20/1000,#REF!*10/1000))</definedName>
    <definedName name="SHARED_FORMULA_428">IF(#REF!="S",#REF!*50/1000,IF(#REF!="J",IF(#REF!&lt;=250,#REF!*40/1000,#REF!*30/1000),IF(#REF!&lt;=250,#REF!*20/1000,#REF!*15/1000)))</definedName>
    <definedName name="SHARED_FORMULA_429">IF(#REF!="l",IF(#REF!&lt;1,1,#REF!),IF(#REF!="J",IF(#REF!&lt;3,3,#REF!),IF(#REF!="S",IF(#REF!&lt;5,5,#REF!),IF(#REF!="F",0,IF(#REF!="S",0,#REF!)))))</definedName>
    <definedName name="SHARED_FORMULA_43">IF(#REF!="E",200000,IF(#REF!="F",IF(#REF!&lt;=60,700*#REF!/1000,IF(#REF!&lt;=100,45,IF(#REF!&lt;=300,60,80))),0))</definedName>
    <definedName name="SHARED_FORMULA_430">IF(#REF!="E",200000,IF(#REF!="F",IF(#REF!&lt;=60,700*#REF!/1000,IF(#REF!&lt;=100,45,IF(#REF!&lt;=300,60,80))),0))</definedName>
    <definedName name="SHARED_FORMULA_431">IF(#REF!&gt;0,IF(#REF!&lt;30,30,#REF!),0)</definedName>
    <definedName name="SHARED_FORMULA_432">(#REF!/#REF!)</definedName>
    <definedName name="SHARED_FORMULA_433">SUM(#REF!,#REF!,#REF!,#REF!)</definedName>
    <definedName name="SHARED_FORMULA_434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435">(#REF!*0.75)</definedName>
    <definedName name="SHARED_FORMULA_436">IF(OR(#REF!="L",#REF!="S"),#REF!*250/1000,IF(#REF!="J",#REF!*300/1000,0))</definedName>
    <definedName name="SHARED_FORMULA_437">IF(#REF!="F",IF(#REF!&lt;=100,#REF!*40/1000,#REF!*20/1000),IF(#REF!&lt;=100,#REF!*20/1000,#REF!*10/1000))</definedName>
    <definedName name="SHARED_FORMULA_438">IF(#REF!="S",#REF!*50/1000,IF(#REF!="J",IF(#REF!&lt;=250,#REF!*40/1000,#REF!*30/1000),IF(#REF!&lt;=250,#REF!*20/1000,#REF!*15/1000)))</definedName>
    <definedName name="SHARED_FORMULA_439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44">SUM(#REF!,#REF!,#REF!,#REF!)</definedName>
    <definedName name="SHARED_FORMULA_440">SUM(#REF!,#REF!,#REF!,#REF!)</definedName>
    <definedName name="SHARED_FORMULA_441">IF(OR(#REF!="L",#REF!="S"),#REF!*250/1000,IF(#REF!="J",#REF!*300/1000,0))</definedName>
    <definedName name="SHARED_FORMULA_442">IF(#REF!="F",IF(#REF!&lt;=100,#REF!*40/1000,#REF!*20/1000),IF(#REF!&lt;=100,#REF!*20/1000,#REF!*10/1000))</definedName>
    <definedName name="SHARED_FORMULA_443">IF(#REF!="S",#REF!*50/1000,IF(#REF!="J",IF(#REF!&lt;=250,#REF!*40/1000,#REF!*30/1000),IF(#REF!&lt;=250,#REF!*20/1000,#REF!*15/1000)))</definedName>
    <definedName name="SHARED_FORMULA_444">(#REF!*0.75)</definedName>
    <definedName name="SHARED_FORMULA_445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446">IF(#REF!="l",IF(#REF!&lt;1,1,#REF!),IF(#REF!="J",IF(#REF!&lt;3,3,#REF!),IF(#REF!="S",IF(#REF!&lt;5,5,#REF!),IF(#REF!="F",0,IF(#REF!="S",0,#REF!)))))</definedName>
    <definedName name="SHARED_FORMULA_447">IF(#REF!&gt;0,IF(#REF!&lt;30,30,#REF!),0)</definedName>
    <definedName name="SHARED_FORMULA_448">SUM(#REF!,#REF!,#REF!,#REF!)</definedName>
    <definedName name="SHARED_FORMULA_449">(#REF!*0.75)</definedName>
    <definedName name="SHARED_FORMULA_45">IF(#REF!="F",(60*#REF!)/1000,IF(#REF!&lt;100,90*#REF!/1000,IF(#REF!&lt;=1000,80*#REF!/1000,70*#REF!/1000)))</definedName>
    <definedName name="SHARED_FORMULA_450">IF(OR(#REF!="L",#REF!="S"),#REF!*250/1000,IF(#REF!="J",#REF!*300/1000,0))</definedName>
    <definedName name="SHARED_FORMULA_451">(#REF!/#REF!)</definedName>
    <definedName name="SHARED_FORMULA_452">IF(#REF!="l",IF(#REF!&lt;1,1,#REF!),IF(#REF!="J",IF(#REF!&lt;3,3,#REF!),IF(#REF!="S",IF(#REF!&lt;5,5,#REF!),IF(#REF!="F",0,IF(#REF!="S",0,#REF!)))))</definedName>
    <definedName name="SHARED_FORMULA_453">IF(#REF!="E",200000,IF(#REF!="F",IF(#REF!&lt;=60,700*#REF!/1000,IF(#REF!&lt;=100,45,IF(#REF!&lt;=300,60,80))),0))</definedName>
    <definedName name="SHARED_FORMULA_454">IF(#REF!&gt;0,IF(#REF!&lt;30,30,#REF!),0)</definedName>
    <definedName name="SHARED_FORMULA_455">SUM(#REF!,#REF!,#REF!,#REF!)</definedName>
    <definedName name="SHARED_FORMULA_456">IF(#REF!="F",IF(#REF!&lt;=100,#REF!*40/1000,#REF!*20/1000),IF(#REF!&lt;=100,#REF!*20/1000,#REF!*10/1000))</definedName>
    <definedName name="SHARED_FORMULA_457">IF(#REF!="S",#REF!*50/1000,IF(#REF!="J",IF(#REF!&lt;=250,#REF!*40/1000,#REF!*30/1000),IF(#REF!&lt;=250,#REF!*20/1000,#REF!*15/1000)))</definedName>
    <definedName name="SHARED_FORMULA_458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459">IF(OR(#REF!="L",#REF!="S"),#REF!*250/1000,IF(#REF!="J",#REF!*300/1000,0))</definedName>
    <definedName name="SHARED_FORMULA_46">IF(#REF!="L",250*#REF!/1000,IF(#REF!="J",300*#REF!/1000,0))</definedName>
    <definedName name="SHARED_FORMULA_460">IF(#REF!="l",IF(#REF!&lt;1,1,#REF!),IF(#REF!="J",IF(#REF!&lt;3,3,#REF!),IF(#REF!="S",IF(#REF!&lt;5,5,#REF!),IF(#REF!="F",0,IF(#REF!="S",0,#REF!)))))</definedName>
    <definedName name="SHARED_FORMULA_461">IF(#REF!&gt;0,IF(#REF!&lt;30,30,#REF!),0)</definedName>
    <definedName name="SHARED_FORMULA_462">(#REF!/#REF!)</definedName>
    <definedName name="SHARED_FORMULA_463">IF(#REF!="E",200000,IF(#REF!="F",IF(#REF!&lt;=60,700*#REF!/1000,IF(#REF!&lt;=100,45,IF(#REF!&lt;=300,60,80))),0))</definedName>
    <definedName name="SHARED_FORMULA_464">SUM(#REF!,#REF!,#REF!,#REF!)</definedName>
    <definedName name="SHARED_FORMULA_465">IF(OR(#REF!="L",#REF!="S"),#REF!*250/1000,IF(#REF!="J",#REF!*300/1000,0))</definedName>
    <definedName name="SHARED_FORMULA_466">(#REF!*0.75)</definedName>
    <definedName name="SHARED_FORMULA_467">IF(#REF!="F",IF(#REF!&lt;=100,#REF!*40/1000,#REF!*20/1000),IF(#REF!&lt;=100,#REF!*20/1000,#REF!*10/1000))</definedName>
    <definedName name="SHARED_FORMULA_468">(#REF!/#REF!)</definedName>
    <definedName name="SHARED_FORMULA_469">IF(#REF!="S",#REF!*50/1000,IF(#REF!="J",IF(#REF!&lt;=250,#REF!*40/1000,#REF!*30/1000),IF(#REF!&lt;=250,#REF!*20/1000,#REF!*15/1000)))</definedName>
    <definedName name="SHARED_FORMULA_47">IF(#REF!="F",(40*#REF!)/1000,(20*#REF!)/1000)</definedName>
    <definedName name="SHARED_FORMULA_470">IF(#REF!="l",IF(#REF!&lt;1,1,#REF!),IF(#REF!="J",IF(#REF!&lt;3,3,#REF!),IF(#REF!="S",IF(#REF!&lt;5,5,#REF!),IF(#REF!="F",0,IF(#REF!="S",0,#REF!)))))</definedName>
    <definedName name="SHARED_FORMULA_471">IF(#REF!="E",200000,IF(#REF!="F",IF(#REF!&lt;=60,700*#REF!/1000,IF(#REF!&lt;=100,45,IF(#REF!&lt;=300,60,80))),0))</definedName>
    <definedName name="SHARED_FORMULA_472">SUM(#REF!,#REF!,#REF!,#REF!)</definedName>
    <definedName name="SHARED_FORMULA_473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474">IF(#REF!&gt;0,IF(#REF!&lt;30,30,#REF!),0)</definedName>
    <definedName name="SHARED_FORMULA_475">SUM(#REF!,#REF!,#REF!,#REF!)</definedName>
    <definedName name="SHARED_FORMULA_476">IF(OR(#REF!="L",#REF!="S"),#REF!*250/1000,IF(#REF!="J",#REF!*300/1000,0))</definedName>
    <definedName name="SHARED_FORMULA_477">IF(#REF!="l",IF(#REF!&lt;1,1,#REF!),IF(#REF!="J",IF(#REF!&lt;3,3,#REF!),IF(#REF!="S",IF(#REF!&lt;5,5,#REF!),IF(#REF!="F",0,IF(#REF!="S",0,#REF!)))))</definedName>
    <definedName name="SHARED_FORMULA_478">(#REF!*0.75)</definedName>
    <definedName name="SHARED_FORMULA_479">IF(#REF!="F",IF(#REF!&lt;=100,#REF!*40/1000,#REF!*20/1000),IF(#REF!&lt;=100,#REF!*20/1000,#REF!*10/1000))</definedName>
    <definedName name="SHARED_FORMULA_48">(#REF!/#REF!)</definedName>
    <definedName name="SHARED_FORMULA_480">IF(#REF!="S",#REF!*50/1000,IF(#REF!="J",IF(#REF!&lt;=250,#REF!*40/1000,#REF!*30/1000),IF(#REF!&lt;=250,#REF!*20/1000,#REF!*15/1000)))</definedName>
    <definedName name="SHARED_FORMULA_481">SUM(#REF!,#REF!,#REF!,#REF!)</definedName>
    <definedName name="SHARED_FORMULA_482">(#REF!/#REF!)</definedName>
    <definedName name="SHARED_FORMULA_483">IF(#REF!="l",IF(#REF!&lt;1,1,#REF!),IF(#REF!="J",IF(#REF!&lt;3,3,#REF!),IF(#REF!="S",IF(#REF!&lt;5,5,#REF!),IF(#REF!="F",0,IF(#REF!="S",0,#REF!)))))</definedName>
    <definedName name="SHARED_FORMULA_484">IF(#REF!="E",200000,IF(#REF!="F",IF(#REF!&lt;=60,700*#REF!/1000,IF(#REF!&lt;=100,45,IF(#REF!&lt;=300,60,80))),0))</definedName>
    <definedName name="SHARED_FORMULA_485">IF(#REF!&gt;0,IF(#REF!&lt;30,30,#REF!),0)</definedName>
    <definedName name="SHARED_FORMULA_486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487">IF(OR(#REF!="L",#REF!="S"),#REF!*250/1000,IF(#REF!="J",#REF!*300/1000,0))</definedName>
    <definedName name="SHARED_FORMULA_488">IF(#REF!&gt;0,IF(#REF!&lt;30,30,#REF!),0)</definedName>
    <definedName name="SHARED_FORMULA_489">(#REF!/#REF!)</definedName>
    <definedName name="SHARED_FORMULA_49">IF(#REF!="S",50*#REF!/1000,IF(#REF!="J",40*#REF!/1000,20*#REF!/1000))</definedName>
    <definedName name="SHARED_FORMULA_490">IF(#REF!="E",200000,IF(#REF!="F",IF(#REF!&lt;=60,700*#REF!/1000,IF(#REF!&lt;=100,45,IF(#REF!&lt;=300,60,80))),0))</definedName>
    <definedName name="SHARED_FORMULA_491">(#REF!*0.75)</definedName>
    <definedName name="SHARED_FORMULA_492">IF(#REF!="l",IF(#REF!&lt;1,1,#REF!),IF(#REF!="J",IF(#REF!&lt;3,3,#REF!),IF(#REF!="S",IF(#REF!&lt;5,5,#REF!),IF(#REF!="F",0,IF(#REF!="S",0,#REF!)))))</definedName>
    <definedName name="SHARED_FORMULA_493">IF(#REF!="F",IF(#REF!&lt;=100,#REF!*40/1000,#REF!*20/1000),IF(#REF!&lt;=100,#REF!*20/1000,#REF!*10/1000))</definedName>
    <definedName name="SHARED_FORMULA_494">IF(#REF!="S",#REF!*50/1000,IF(#REF!="J",IF(#REF!&lt;=250,#REF!*40/1000,#REF!*30/1000),IF(#REF!&lt;=250,#REF!*20/1000,#REF!*15/1000)))</definedName>
    <definedName name="SHARED_FORMULA_495">SUM(#REF!,#REF!,#REF!,#REF!)</definedName>
    <definedName name="SHARED_FORMULA_496">IF(#REF!="F",IF(#REF!&lt;=100,60*#REF!/1000,40*#REF!/1000),IF(#REF!&lt;=100,#REF!*90/1000,IF(#REF!&lt;=150,#REF!*80/1000,IF(#REF!&lt;=200,#REF!*70/1000,IF(#REF!&lt;=300,#REF!*60/1000,IF(#REF!&lt;=1000,#REF!*50/1000,#REF!*40/1000))))))</definedName>
    <definedName name="SHARED_FORMULA_497">IF(#REF!&gt;0,IF(#REF!&lt;30,30,#REF!),0)</definedName>
    <definedName name="SHARED_FORMULA_498">IF(#REF!="E",200000,IF(#REF!="F",IF(#REF!&lt;=60,700*#REF!/1000,IF(#REF!&lt;=100,45000,IF(#REF!&lt;=300,60000,80000))),0))</definedName>
    <definedName name="SHARED_FORMULA_499">IF(#REF!="E",200000,IF(#REF!="F",IF(#REF!&lt;=60,700*#REF!/1000,IF(#REF!&lt;=100,45000,IF(#REF!&lt;=300,60000,80000))),0))</definedName>
    <definedName name="SHARED_FORMULA_5">IF(#REF!="l",IF(#REF!&lt;1,1,#REF!),IF(#REF!="J",IF(#REF!&lt;3,3,#REF!),IF(#REF!="S",IF(#REF!&lt;5,5,#REF!),IF(#REF!="F",0,IF(#REF!="S",0,#REF!)))))</definedName>
    <definedName name="SHARED_FORMULA_50">IF(#REF!="l",IF(#REF!&lt;1,1,#REF!),IF(#REF!="J",IF(#REF!&lt;3,3,#REF!),IF(#REF!="S",IF(#REF!&lt;5,5,#REF!),IF(#REF!="F",0,IF(#REF!="S",0,#REF!)))))</definedName>
    <definedName name="SHARED_FORMULA_500">IF(#REF!="E",200000,IF(#REF!="F",IF(#REF!&lt;=60,700*#REF!/1000,IF(#REF!&lt;=100,45000,IF(#REF!&lt;=300,60000,80000))),0))</definedName>
    <definedName name="SHARED_FORMULA_501">IF(#REF!="E",200000,IF(#REF!="F",IF(#REF!&lt;=60,700*#REF!/1000,IF(#REF!&lt;=100,45000,IF(#REF!&lt;=300,60000,80000))),0))</definedName>
    <definedName name="SHARED_FORMULA_502">IF(#REF!="E",200000,IF(#REF!="F",IF(#REF!&lt;=60,700*#REF!/1000,IF(#REF!&lt;=100,45000,IF(#REF!&lt;=300,60000,80000))),0))</definedName>
    <definedName name="SHARED_FORMULA_503">IF(#REF!="E",200000,IF(#REF!="F",IF(#REF!&lt;=60,700*#REF!/1000,IF(#REF!&lt;=100,45000,IF(#REF!&lt;=300,60000,80000))),0))</definedName>
    <definedName name="SHARED_FORMULA_504">IF(#REF!="E",200000,IF(#REF!="F",IF(#REF!&lt;=60,700*#REF!/1000,IF(#REF!&lt;=100,45000,IF(#REF!&lt;=300,60000,80000))),0))</definedName>
    <definedName name="SHARED_FORMULA_505">IF(#REF!="E",200000,IF(#REF!="F",IF(#REF!&lt;=60,700*#REF!/1000,IF(#REF!&lt;=100,45000,IF(#REF!&lt;=300,60000,80000))),0))</definedName>
    <definedName name="SHARED_FORMULA_506">IF(#REF!="E",200000,IF(#REF!="F",IF(#REF!&lt;=60,700*#REF!/1000,IF(#REF!&lt;=100,45000,IF(#REF!&lt;=300,60000,80000))),0))</definedName>
    <definedName name="SHARED_FORMULA_507">IF(#REF!="E",200000,IF(#REF!="F",IF(#REF!&lt;=60,700*#REF!/1000,IF(#REF!&lt;=100,45000,IF(#REF!&lt;=300,60000,80000))),0))</definedName>
    <definedName name="SHARED_FORMULA_508">IF(#REF!="E",200000,IF(#REF!="F",IF(#REF!&lt;=60,700*#REF!/1000,IF(#REF!&lt;=100,45000,IF(#REF!&lt;=300,60000,80000))),0))</definedName>
    <definedName name="SHARED_FORMULA_509">IF(#REF!="E",200000,IF(#REF!="F",IF(#REF!&lt;=60,700*#REF!/1000,IF(#REF!&lt;=100,45000,IF(#REF!&lt;=300,60000,80000))),0))</definedName>
    <definedName name="SHARED_FORMULA_51">IF(#REF!="E",200000,IF(#REF!="F",IF(#REF!&lt;=60,700*#REF!/1000,IF(#REF!&lt;=100,45,IF(#REF!&lt;=300,60,80))),0))</definedName>
    <definedName name="SHARED_FORMULA_510">IF(#REF!="E",200000,IF(#REF!="F",IF(#REF!&lt;=60,700*#REF!/1000,IF(#REF!&lt;=100,45000,IF(#REF!&lt;=300,60000,80000))),0))</definedName>
    <definedName name="SHARED_FORMULA_52">SUM(#REF!,#REF!,#REF!,#REF!)</definedName>
    <definedName name="SHARED_FORMULA_53">(#REF!/0.658179306)</definedName>
    <definedName name="SHARED_FORMULA_54">IF(#REF!="F",(60*#REF!)/1000,IF(#REF!&lt;100,90*#REF!/1000,IF(#REF!&lt;=1000,80*#REF!/1000,70*#REF!/1000)))</definedName>
    <definedName name="SHARED_FORMULA_55">IF(#REF!="L",250*#REF!/1000,IF(#REF!="J",300*#REF!/1000,0))</definedName>
    <definedName name="SHARED_FORMULA_56">IF(#REF!="F",(40*#REF!)/1000,(20*#REF!)/1000)</definedName>
    <definedName name="SHARED_FORMULA_57">(#REF!/#REF!)</definedName>
    <definedName name="SHARED_FORMULA_58">IF(#REF!="S",50*#REF!/1000,IF(#REF!="J",40*#REF!/1000,20*#REF!/1000))</definedName>
    <definedName name="SHARED_FORMULA_59">IF(#REF!="l",IF(#REF!&lt;1,1,#REF!),IF(#REF!="J",IF(#REF!&lt;3,3,#REF!),IF(#REF!="S",IF(#REF!&lt;5,5,#REF!),IF(#REF!="F",0,IF(#REF!="S",0,#REF!)))))</definedName>
    <definedName name="SHARED_FORMULA_6">IF(#REF!="E",200000,IF(#REF!="F",IF(#REF!&lt;=60,700*#REF!/1000,IF(#REF!&lt;=100,45,IF(#REF!&lt;=300,60,80))),0))</definedName>
    <definedName name="SHARED_FORMULA_60">IF(#REF!="E",200000,IF(#REF!="F",IF(#REF!&lt;=60,700*#REF!/1000,IF(#REF!&lt;=100,45,IF(#REF!&lt;=300,60,80))),0))</definedName>
    <definedName name="SHARED_FORMULA_61">SUM(#REF!,#REF!,#REF!,#REF!)</definedName>
    <definedName name="SHARED_FORMULA_62">((#REF!/#REF!)*1000)</definedName>
    <definedName name="SHARED_FORMULA_63">(#REF!/0.658179306)</definedName>
    <definedName name="SHARED_FORMULA_64">IF(#REF!="F",(60*#REF!)/1000,IF(#REF!&lt;100,90*#REF!/1000,IF(#REF!&lt;=1000,80*#REF!/1000,70*#REF!/1000)))</definedName>
    <definedName name="SHARED_FORMULA_65">IF(#REF!="L",250*#REF!/1000,IF(#REF!="J",300*#REF!/1000,0))</definedName>
    <definedName name="SHARED_FORMULA_66">IF(#REF!="F",(40*#REF!)/1000,(20*#REF!)/1000)</definedName>
    <definedName name="SHARED_FORMULA_67">(#REF!/#REF!)</definedName>
    <definedName name="SHARED_FORMULA_68">IF(#REF!="S",50*#REF!/1000,IF(#REF!="J",40*#REF!/1000,20*#REF!/1000))</definedName>
    <definedName name="SHARED_FORMULA_69">IF(#REF!="l",IF(#REF!&lt;1,1,#REF!),IF(#REF!="J",IF(#REF!&lt;3,3,#REF!),IF(#REF!="S",IF(#REF!&lt;5,5,#REF!),IF(#REF!="F",0,IF(#REF!="S",0,#REF!)))))</definedName>
    <definedName name="SHARED_FORMULA_7">IF(#REF!&gt;0,IF(#REF!&lt;30,30,#REF!),0)</definedName>
    <definedName name="SHARED_FORMULA_70">IF(#REF!="E",200000,IF(#REF!="F",IF(#REF!&lt;=60,700*#REF!/1000,IF(#REF!&lt;=100,45,IF(#REF!&lt;=300,60,80))),0))</definedName>
    <definedName name="SHARED_FORMULA_71">SUM(#REF!,#REF!,#REF!,#REF!)</definedName>
    <definedName name="SHARED_FORMULA_72">IF(#REF!&gt;0,IF(#REF!&lt;30,30,#REF!),0)</definedName>
    <definedName name="SHARED_FORMULA_73">(#REF!*0.8)</definedName>
    <definedName name="SHARED_FORMULA_74">IF(#REF!="F",(60*#REF!)/1000,IF(#REF!&lt;100,90*#REF!/1000,IF(#REF!&lt;=1000,80*#REF!/1000,70*#REF!/1000)))</definedName>
    <definedName name="SHARED_FORMULA_75">IF(#REF!="L",250*#REF!/1000,IF(#REF!="J",300*#REF!/1000,0))</definedName>
    <definedName name="SHARED_FORMULA_76">IF(#REF!="F",(40*#REF!)/1000,(20*#REF!)/1000)</definedName>
    <definedName name="SHARED_FORMULA_77">(#REF!/#REF!)</definedName>
    <definedName name="SHARED_FORMULA_78">IF(#REF!="S",50*#REF!/1000,IF(#REF!="J",40*#REF!/1000,20*#REF!/1000))</definedName>
    <definedName name="SHARED_FORMULA_79">IF(#REF!="l",IF(#REF!&lt;1,1,#REF!),IF(#REF!="J",IF(#REF!&lt;3,3,#REF!),IF(#REF!="S",IF(#REF!&lt;5,5,#REF!),IF(#REF!="F",0,IF(#REF!="S",0,#REF!)))))</definedName>
    <definedName name="SHARED_FORMULA_8">SUM(#REF!,#REF!,#REF!,#REF!)</definedName>
    <definedName name="SHARED_FORMULA_80">IF(#REF!="E",200000,IF(#REF!="F",IF(#REF!&lt;=60,700*#REF!/1000,IF(#REF!&lt;=100,45,IF(#REF!&lt;=300,60,80))),0))</definedName>
    <definedName name="SHARED_FORMULA_81">SUM(#REF!,#REF!,#REF!,#REF!)</definedName>
    <definedName name="SHARED_FORMULA_82">((#REF!/#REF!)*1000)</definedName>
    <definedName name="SHARED_FORMULA_83">(#REF!/0.658179306)</definedName>
    <definedName name="SHARED_FORMULA_84">IF(#REF!&gt;0,IF(#REF!&lt;30,30,#REF!),0)</definedName>
    <definedName name="SHARED_FORMULA_85">(#REF!*0.8)</definedName>
    <definedName name="SHARED_FORMULA_86">IF(#REF!="F",(60*#REF!)/1000,IF(#REF!&lt;100,90*#REF!/1000,IF(#REF!&lt;=1000,80*#REF!/1000,70*#REF!/1000)))</definedName>
    <definedName name="SHARED_FORMULA_87">IF(#REF!="L",250*#REF!/1000,IF(#REF!="J",300*#REF!/1000,0))</definedName>
    <definedName name="SHARED_FORMULA_88">IF(#REF!="F",(40*#REF!)/1000,(20*#REF!)/1000)</definedName>
    <definedName name="SHARED_FORMULA_89">(#REF!/#REF!)</definedName>
    <definedName name="SHARED_FORMULA_9">(#REF!*0.8)</definedName>
    <definedName name="SHARED_FORMULA_90">IF(#REF!="S",50*#REF!/1000,IF(#REF!="J",40*#REF!/1000,20*#REF!/1000))</definedName>
    <definedName name="SHARED_FORMULA_91">IF(#REF!="l",IF(#REF!&lt;1,1,#REF!),IF(#REF!="J",IF(#REF!&lt;3,3,#REF!),IF(#REF!="S",IF(#REF!&lt;5,5,#REF!),IF(#REF!="F",0,IF(#REF!="S",0,#REF!)))))</definedName>
    <definedName name="SHARED_FORMULA_92">IF(#REF!="E",200000,IF(#REF!="F",IF(#REF!&lt;=60,700*#REF!/1000,IF(#REF!&lt;=100,45,IF(#REF!&lt;=300,60,80))),0))</definedName>
    <definedName name="SHARED_FORMULA_93">SUM(#REF!,#REF!,#REF!,#REF!)</definedName>
    <definedName name="SHARED_FORMULA_94">((#REF!/#REF!)*1000)</definedName>
    <definedName name="SHARED_FORMULA_95">(#REF!/0.658179306)</definedName>
    <definedName name="SHARED_FORMULA_96">IF(#REF!="F",(60*#REF!)/1000,IF(#REF!&lt;100,90*#REF!/1000,IF(#REF!&lt;=1000,80*#REF!/1000,70*#REF!/1000)))</definedName>
    <definedName name="SHARED_FORMULA_97">IF(#REF!="L",250*#REF!/1000,IF(#REF!="J",300*#REF!/1000,0))</definedName>
    <definedName name="SHARED_FORMULA_98">IF(#REF!="F",(40*#REF!)/1000,(20*#REF!)/1000)</definedName>
    <definedName name="SHARED_FORMULA_99">(#REF!/#REF!)</definedName>
    <definedName name="SIGLA_ÁREA">#REF!</definedName>
    <definedName name="SIH">#REF!</definedName>
    <definedName name="sihaa">#REF!</definedName>
    <definedName name="SimxNao">[111]Menu!$Y$2:$Y$4</definedName>
    <definedName name="SIN">#REF!</definedName>
    <definedName name="Sinaleiro">[112]Plan3!$B$3:$B$7</definedName>
    <definedName name="SINALIZAÇÃO">#REF!</definedName>
    <definedName name="sinalização_e_elementos_de_segurança">#REF!</definedName>
    <definedName name="SIV">#REF!</definedName>
    <definedName name="sivaa">#REF!</definedName>
    <definedName name="SLD.000.C.0.00.0000.00.00.42">-6637872.08</definedName>
    <definedName name="SLD.000.C.0.00.0000.00.00.421">-6637872.08</definedName>
    <definedName name="SLD.000.C.0.00.0000.00.00.42101">-3179544.07</definedName>
    <definedName name="SLD.000.C.0.00.0000.00.00.4210101">-3012633.78</definedName>
    <definedName name="SLD.000.C.0.00.0000.00.00.42101010001">0</definedName>
    <definedName name="SLD.000.C.0.00.0000.00.00.42101010002">-1499629.64</definedName>
    <definedName name="SLD.000.C.0.00.0000.00.00.42101010003">0</definedName>
    <definedName name="SLD.000.C.0.00.0000.00.00.42101010004">-124252.87</definedName>
    <definedName name="SLD.000.C.0.00.0000.00.00.42101010005">-4977.5</definedName>
    <definedName name="SLD.000.C.0.00.0000.00.00.42101010006">-165699.16</definedName>
    <definedName name="SLD.000.C.0.00.0000.00.00.42101010007">-133002.13</definedName>
    <definedName name="SLD.000.C.0.00.0000.00.00.42101010008">-677910.15</definedName>
    <definedName name="SLD.000.C.0.00.0000.00.00.42101010009">0</definedName>
    <definedName name="SLD.000.C.0.00.0000.00.00.42101010010">-28734.28</definedName>
    <definedName name="SLD.000.C.0.00.0000.00.00.42101010011">0</definedName>
    <definedName name="SLD.000.C.0.00.0000.00.00.42101010012">0</definedName>
    <definedName name="SLD.000.C.0.00.0000.00.00.42101010013">-52702.65</definedName>
    <definedName name="SLD.000.C.0.00.0000.00.00.42101010014">0</definedName>
    <definedName name="SLD.000.C.0.00.0000.00.00.42101010015">-6715.04</definedName>
    <definedName name="SLD.000.C.0.00.0000.00.00.42101010016">-39600</definedName>
    <definedName name="SLD.000.C.0.00.0000.00.00.42101010017">0</definedName>
    <definedName name="SLD.000.C.0.00.0000.00.00.42101010018">0</definedName>
    <definedName name="SLD.000.C.0.00.0000.00.00.42101010019">-279410.36</definedName>
    <definedName name="SLD.000.C.0.00.0000.00.00.4210102">-8970.67</definedName>
    <definedName name="SLD.000.C.0.00.0000.00.00.42101020001">-17173.24</definedName>
    <definedName name="SLD.000.C.0.00.0000.00.00.42101020002">8202.57</definedName>
    <definedName name="SLD.000.C.0.00.0000.00.00.4210103">-76325</definedName>
    <definedName name="SLD.000.C.0.00.0000.00.00.42101030001">-84989</definedName>
    <definedName name="SLD.000.C.0.00.0000.00.00.42101030002">8664</definedName>
    <definedName name="SLD.000.C.0.00.0000.00.00.4210104">-63934.09</definedName>
    <definedName name="SLD.000.C.0.00.0000.00.00.42101040001">-99988.23</definedName>
    <definedName name="SLD.000.C.0.00.0000.00.00.42101040002">36054.14</definedName>
    <definedName name="SLD.000.C.0.00.0000.00.00.4210105">-13713.53</definedName>
    <definedName name="SLD.000.C.0.00.0000.00.00.42101050001">-34308.68</definedName>
    <definedName name="SLD.000.C.0.00.0000.00.00.42101050002">20595.15</definedName>
    <definedName name="SLD.000.C.0.00.0000.00.00.4210106">-3967</definedName>
    <definedName name="SLD.000.C.0.00.0000.00.00.42101060001">-19144.63</definedName>
    <definedName name="SLD.000.C.0.00.0000.00.00.42101060002">15177.63</definedName>
    <definedName name="SLD.000.C.0.00.0000.00.00.4210107">0</definedName>
    <definedName name="SLD.000.C.0.00.0000.00.00.42101070001">0</definedName>
    <definedName name="SLD.000.C.0.00.0000.00.00.42101070002">0</definedName>
    <definedName name="SLD.000.C.0.00.0000.00.00.42102">-1315714.79</definedName>
    <definedName name="SLD.000.C.0.00.0000.00.00.4210201">-1315714.79</definedName>
    <definedName name="SLD.000.C.0.00.0000.00.00.42102010001">-565564.74</definedName>
    <definedName name="SLD.000.C.0.00.0000.00.00.42102010002">-47934.87</definedName>
    <definedName name="SLD.000.C.0.00.0000.00.00.42102010003">-61198.22</definedName>
    <definedName name="SLD.000.C.0.00.0000.00.00.42102010004">-19555.3</definedName>
    <definedName name="SLD.000.C.0.00.0000.00.00.42102010009">-23900</definedName>
    <definedName name="SLD.000.C.0.00.0000.00.00.42102010011">-141904.71</definedName>
    <definedName name="SLD.000.C.0.00.0000.00.00.42102010012">-548628.94</definedName>
    <definedName name="SLD.000.C.0.00.0000.00.00.42102010015">92971.99</definedName>
    <definedName name="SLD.000.C.0.00.0000.00.00.42103">-185441.45</definedName>
    <definedName name="SLD.000.C.0.00.0000.00.00.4210301">-185441.45</definedName>
    <definedName name="SLD.000.C.0.00.0000.00.00.42103010001">-61388.02</definedName>
    <definedName name="SLD.000.C.0.00.0000.00.00.42103010002">-6075.96</definedName>
    <definedName name="SLD.000.C.0.00.0000.00.00.42103010003">-117977.47</definedName>
    <definedName name="SLD.000.C.0.00.0000.00.00.42104">-1488632.3</definedName>
    <definedName name="SLD.000.C.0.00.0000.00.00.4210401">-1488632.3</definedName>
    <definedName name="SLD.000.C.0.00.0000.00.00.42104010001">-128085.15</definedName>
    <definedName name="SLD.000.C.0.00.0000.00.00.42104010002">-54457.45</definedName>
    <definedName name="SLD.000.C.0.00.0000.00.00.42104010003">-159151.82</definedName>
    <definedName name="SLD.000.C.0.00.0000.00.00.42104010004">-428380.53</definedName>
    <definedName name="SLD.000.C.0.00.0000.00.00.42104010005">-52557.72</definedName>
    <definedName name="SLD.000.C.0.00.0000.00.00.42104010007">-11117.01</definedName>
    <definedName name="SLD.000.C.0.00.0000.00.00.42104010008">-651.18</definedName>
    <definedName name="SLD.000.C.0.00.0000.00.00.42104010010">-24026.06</definedName>
    <definedName name="SLD.000.C.0.00.0000.00.00.42104010011">-13384.73</definedName>
    <definedName name="SLD.000.C.0.00.0000.00.00.42104010012">-1926</definedName>
    <definedName name="SLD.000.C.0.00.0000.00.00.42104010013">-68000.66</definedName>
    <definedName name="SLD.000.C.0.00.0000.00.00.42104010014">-12154.05</definedName>
    <definedName name="SLD.000.C.0.00.0000.00.00.42104010015">-33937.91</definedName>
    <definedName name="SLD.000.C.0.00.0000.00.00.42104010017">-7905.75</definedName>
    <definedName name="SLD.000.C.0.00.0000.00.00.42104010018">-509.78</definedName>
    <definedName name="SLD.000.C.0.00.0000.00.00.42104010020">-17964</definedName>
    <definedName name="SLD.000.C.0.00.0000.00.00.42104010022">-475.8</definedName>
    <definedName name="SLD.000.C.0.00.0000.00.00.42104010023">-22896.35</definedName>
    <definedName name="SLD.000.C.0.00.0000.00.00.42104010026">-18308.98</definedName>
    <definedName name="SLD.000.C.0.00.0000.00.00.42104010027">-22616.44</definedName>
    <definedName name="SLD.000.C.0.00.0000.00.00.42104010028">-3051.76</definedName>
    <definedName name="SLD.000.C.0.00.0000.00.00.42104010029">-365.38</definedName>
    <definedName name="SLD.000.C.0.00.0000.00.00.42104010030">-34450</definedName>
    <definedName name="SLD.000.C.0.00.0000.00.00.42104010031">-17740.54</definedName>
    <definedName name="SLD.000.C.0.00.0000.00.00.42104010032">-24105.23</definedName>
    <definedName name="SLD.000.C.0.00.0000.00.00.42104010034">-207617.57</definedName>
    <definedName name="SLD.000.C.0.00.0000.00.00.42104010035">-121452.54</definedName>
    <definedName name="SLD.000.C.0.00.0000.00.00.42104010037">-1341.91</definedName>
    <definedName name="SLD.000.C.0.00.0000.00.00.42105">-284960.72</definedName>
    <definedName name="SLD.000.C.0.00.0000.00.00.4210501">-284960.72</definedName>
    <definedName name="SLD.000.C.0.00.0000.00.00.42105010001">-1320</definedName>
    <definedName name="SLD.000.C.0.00.0000.00.00.42105010002">-221746.1</definedName>
    <definedName name="SLD.000.C.0.00.0000.00.00.42105010003">-10855.86</definedName>
    <definedName name="SLD.000.C.0.00.0000.00.00.42105010004">-51038.76</definedName>
    <definedName name="SLD.000.C.0.00.0000.00.00.42107">-49805.66</definedName>
    <definedName name="SLD.000.C.0.00.0000.00.00.4210701">-49805.66</definedName>
    <definedName name="SLD.000.C.0.00.0000.00.00.42107010004">-49805.66</definedName>
    <definedName name="SLD.000.C.0.00.0000.00.00.42108">-133773.09</definedName>
    <definedName name="SLD.000.C.0.00.0000.00.00.4210801">-133773.09</definedName>
    <definedName name="SLD.000.C.0.00.0000.00.00.42108010003">-133773.09</definedName>
    <definedName name="SLD.000.C.0.00.2001.00.00.42">-5901725.46</definedName>
    <definedName name="SLD.000.C.0.00.2001.00.00.421">-5901725.46</definedName>
    <definedName name="SLD.000.C.0.00.2001.00.00.42101">-2044209.95</definedName>
    <definedName name="SLD.000.C.0.00.2001.00.00.4210101">-1912122.71</definedName>
    <definedName name="SLD.000.C.0.00.2001.00.00.42101010001">0</definedName>
    <definedName name="SLD.000.C.0.00.2001.00.00.42101010002">-981639.15</definedName>
    <definedName name="SLD.000.C.0.00.2001.00.00.42101010003">0</definedName>
    <definedName name="SLD.000.C.0.00.2001.00.00.42101010004">-121757.73</definedName>
    <definedName name="SLD.000.C.0.00.2001.00.00.42101010005">-10655.34</definedName>
    <definedName name="SLD.000.C.0.00.2001.00.00.42101010006">-120371.72</definedName>
    <definedName name="SLD.000.C.0.00.2001.00.00.42101010007">-90476.67</definedName>
    <definedName name="SLD.000.C.0.00.2001.00.00.42101010008">-448554.71</definedName>
    <definedName name="SLD.000.C.0.00.2001.00.00.42101010009">0</definedName>
    <definedName name="SLD.000.C.0.00.2001.00.00.42101010010">-18155.58</definedName>
    <definedName name="SLD.000.C.0.00.2001.00.00.42101010011">0</definedName>
    <definedName name="SLD.000.C.0.00.2001.00.00.42101010012">-276.94</definedName>
    <definedName name="SLD.000.C.0.00.2001.00.00.42101010013">-56477.08</definedName>
    <definedName name="SLD.000.C.0.00.2001.00.00.42101010014">0</definedName>
    <definedName name="SLD.000.C.0.00.2001.00.00.42101010015">-5394.24</definedName>
    <definedName name="SLD.000.C.0.00.2001.00.00.42101010016">-43200</definedName>
    <definedName name="SLD.000.C.0.00.2001.00.00.42101010017">0</definedName>
    <definedName name="SLD.000.C.0.00.2001.00.00.42101010018">85951.44</definedName>
    <definedName name="SLD.000.C.0.00.2001.00.00.42101010019">-101114.99</definedName>
    <definedName name="SLD.000.C.0.00.2001.00.00.4210102">-7044.09</definedName>
    <definedName name="SLD.000.C.0.00.2001.00.00.42101020001">-12126.4</definedName>
    <definedName name="SLD.000.C.0.00.2001.00.00.42101020002">5082.31</definedName>
    <definedName name="SLD.000.C.0.00.2001.00.00.4210103">-68729.48</definedName>
    <definedName name="SLD.000.C.0.00.2001.00.00.42101030001">-75413.48</definedName>
    <definedName name="SLD.000.C.0.00.2001.00.00.42101030002">6684</definedName>
    <definedName name="SLD.000.C.0.00.2001.00.00.4210104">-48288.26</definedName>
    <definedName name="SLD.000.C.0.00.2001.00.00.42101040001">-78757.26</definedName>
    <definedName name="SLD.000.C.0.00.2001.00.00.42101040002">30469</definedName>
    <definedName name="SLD.000.C.0.00.2001.00.00.4210105">-8158.41</definedName>
    <definedName name="SLD.000.C.0.00.2001.00.00.42101050001">-22491.34</definedName>
    <definedName name="SLD.000.C.0.00.2001.00.00.42101050002">14332.93</definedName>
    <definedName name="SLD.000.C.0.00.2001.00.00.4210106">0</definedName>
    <definedName name="SLD.000.C.0.00.2001.00.00.42101060001">0</definedName>
    <definedName name="SLD.000.C.0.00.2001.00.00.42101060002">0</definedName>
    <definedName name="SLD.000.C.0.00.2001.00.00.4210107">133</definedName>
    <definedName name="SLD.000.C.0.00.2001.00.00.42101070001">0</definedName>
    <definedName name="SLD.000.C.0.00.2001.00.00.42101070002">133</definedName>
    <definedName name="SLD.000.C.0.00.2001.00.00.42102">-1204467.64</definedName>
    <definedName name="SLD.000.C.0.00.2001.00.00.4210201">-1204467.64</definedName>
    <definedName name="SLD.000.C.0.00.2001.00.00.42102010001">-540656.88</definedName>
    <definedName name="SLD.000.C.0.00.2001.00.00.42102010002">-87110.05</definedName>
    <definedName name="SLD.000.C.0.00.2001.00.00.42102010003">0</definedName>
    <definedName name="SLD.000.C.0.00.2001.00.00.42102010004">-13789.73</definedName>
    <definedName name="SLD.000.C.0.00.2001.00.00.42102010009">-13800</definedName>
    <definedName name="SLD.000.C.0.00.2001.00.00.42102010011">-112116.56</definedName>
    <definedName name="SLD.000.C.0.00.2001.00.00.42102010012">-579236.84</definedName>
    <definedName name="SLD.000.C.0.00.2001.00.00.42102010015">133871.08</definedName>
    <definedName name="SLD.000.C.0.00.2001.00.00.42103">-110915.22</definedName>
    <definedName name="SLD.000.C.0.00.2001.00.00.4210301">-110915.22</definedName>
    <definedName name="SLD.000.C.0.00.2001.00.00.42103010001">-62506.31</definedName>
    <definedName name="SLD.000.C.0.00.2001.00.00.42103010002">-4211.61</definedName>
    <definedName name="SLD.000.C.0.00.2001.00.00.42103010003">-47416.6</definedName>
    <definedName name="SLD.000.C.0.00.2001.00.00.42104">-2149767.07</definedName>
    <definedName name="SLD.000.C.0.00.2001.00.00.4210401">-2149767.07</definedName>
    <definedName name="SLD.000.C.0.00.2001.00.00.42104010001">-123744.48</definedName>
    <definedName name="SLD.000.C.0.00.2001.00.00.42104010002">-130884.38</definedName>
    <definedName name="SLD.000.C.0.00.2001.00.00.42104010003">-145824.92</definedName>
    <definedName name="SLD.000.C.0.00.2001.00.00.42104010004">-408761.28</definedName>
    <definedName name="SLD.000.C.0.00.2001.00.00.42104010005">-74762.45</definedName>
    <definedName name="SLD.000.C.0.00.2001.00.00.42104010007">-350.35</definedName>
    <definedName name="SLD.000.C.0.00.2001.00.00.42104010008">-800</definedName>
    <definedName name="SLD.000.C.0.00.2001.00.00.42104010010">-15200.07</definedName>
    <definedName name="SLD.000.C.0.00.2001.00.00.42104010011">-21627.68</definedName>
    <definedName name="SLD.000.C.0.00.2001.00.00.42104010012">-761.6</definedName>
    <definedName name="SLD.000.C.0.00.2001.00.00.42104010013">-6393.92</definedName>
    <definedName name="SLD.000.C.0.00.2001.00.00.42104010014">-18284.81</definedName>
    <definedName name="SLD.000.C.0.00.2001.00.00.42104010015">-38336.35</definedName>
    <definedName name="SLD.000.C.0.00.2001.00.00.42104010017">-17905.13</definedName>
    <definedName name="SLD.000.C.0.00.2001.00.00.42104010018">-9322.72</definedName>
    <definedName name="SLD.000.C.0.00.2001.00.00.42104010020">-74951.91</definedName>
    <definedName name="SLD.000.C.0.00.2001.00.00.42104010022">0</definedName>
    <definedName name="SLD.000.C.0.00.2001.00.00.42104010023">-12143.65</definedName>
    <definedName name="SLD.000.C.0.00.2001.00.00.42104010026">-15376.74</definedName>
    <definedName name="SLD.000.C.0.00.2001.00.00.42104010027">-16735.5</definedName>
    <definedName name="SLD.000.C.0.00.2001.00.00.42104010028">-14964.33</definedName>
    <definedName name="SLD.000.C.0.00.2001.00.00.42104010029">0</definedName>
    <definedName name="SLD.000.C.0.00.2001.00.00.42104010030">-552145.48</definedName>
    <definedName name="SLD.000.C.0.00.2001.00.00.42104010031">-26850.32</definedName>
    <definedName name="SLD.000.C.0.00.2001.00.00.42104010032">-131401.05</definedName>
    <definedName name="SLD.000.C.0.00.2001.00.00.42104010034">-185961.98</definedName>
    <definedName name="SLD.000.C.0.00.2001.00.00.42104010035">-118559.02</definedName>
    <definedName name="SLD.000.C.0.00.2001.00.00.42104010037">0</definedName>
    <definedName name="SLD.000.C.0.00.2001.00.00.42105">-245520.65</definedName>
    <definedName name="SLD.000.C.0.00.2001.00.00.4210501">-245520.65</definedName>
    <definedName name="SLD.000.C.0.00.2001.00.00.42105010001">-6743</definedName>
    <definedName name="SLD.000.C.0.00.2001.00.00.42105010002">-217554.69</definedName>
    <definedName name="SLD.000.C.0.00.2001.00.00.42105010003">-10208.8</definedName>
    <definedName name="SLD.000.C.0.00.2001.00.00.42105010004">-11014.16</definedName>
    <definedName name="SLD.000.C.0.00.2001.00.00.42107">-2515.86</definedName>
    <definedName name="SLD.000.C.0.00.2001.00.00.4210701">-2515.86</definedName>
    <definedName name="SLD.000.C.0.00.2001.00.00.42107010004">-2515.86</definedName>
    <definedName name="SLD.000.C.0.00.2001.00.00.42108">-144329.07</definedName>
    <definedName name="SLD.000.C.0.00.2001.00.00.4210801">-144329.07</definedName>
    <definedName name="SLD.000.C.0.00.2001.00.00.42108010003">-144329.07</definedName>
    <definedName name="SLD.000.C.0.12.2001.00.00.42">-32799381.8599999</definedName>
    <definedName name="SLD.000.C.0.12.2001.00.00.421">-32799381.8599999</definedName>
    <definedName name="SLD.000.C.0.12.2001.00.00.42101">-11434398.03</definedName>
    <definedName name="SLD.000.C.0.12.2001.00.00.4210101">-10858063.83</definedName>
    <definedName name="SLD.000.C.0.12.2001.00.00.42101010001">0</definedName>
    <definedName name="SLD.000.C.0.12.2001.00.00.42101010002">-4765965.71</definedName>
    <definedName name="SLD.000.C.0.12.2001.00.00.42101010003">0</definedName>
    <definedName name="SLD.000.C.0.12.2001.00.00.42101010004">-1934396.92</definedName>
    <definedName name="SLD.000.C.0.12.2001.00.00.42101010005">-52322.48</definedName>
    <definedName name="SLD.000.C.0.12.2001.00.00.42101010006">-750124.24</definedName>
    <definedName name="SLD.000.C.0.12.2001.00.00.42101010007">-519033.38</definedName>
    <definedName name="SLD.000.C.0.12.2001.00.00.42101010008">-2278478.67</definedName>
    <definedName name="SLD.000.C.0.12.2001.00.00.42101010009">0</definedName>
    <definedName name="SLD.000.C.0.12.2001.00.00.42101010010">-285370.12</definedName>
    <definedName name="SLD.000.C.0.12.2001.00.00.42101010011">0</definedName>
    <definedName name="SLD.000.C.0.12.2001.00.00.42101010012">12817.06</definedName>
    <definedName name="SLD.000.C.0.12.2001.00.00.42101010013">-252515.83</definedName>
    <definedName name="SLD.000.C.0.12.2001.00.00.42101010014">-754.8</definedName>
    <definedName name="SLD.000.C.0.12.2001.00.00.42101010015">-18479.88</definedName>
    <definedName name="SLD.000.C.0.12.2001.00.00.42101010016">-170400</definedName>
    <definedName name="SLD.000.C.0.12.2001.00.00.42101010017">0</definedName>
    <definedName name="SLD.000.C.0.12.2001.00.00.42101010018">332323.01</definedName>
    <definedName name="SLD.000.C.0.12.2001.00.00.42101010019">-175361.87</definedName>
    <definedName name="SLD.000.C.0.12.2001.00.00.4210102">-36798.64</definedName>
    <definedName name="SLD.000.C.0.12.2001.00.00.42101020001">-56696.92</definedName>
    <definedName name="SLD.000.C.0.12.2001.00.00.42101020002">19898.28</definedName>
    <definedName name="SLD.000.C.0.12.2001.00.00.4210103">-287640.08</definedName>
    <definedName name="SLD.000.C.0.12.2001.00.00.42101030001">-317404.44</definedName>
    <definedName name="SLD.000.C.0.12.2001.00.00.42101030002">29764.36</definedName>
    <definedName name="SLD.000.C.0.12.2001.00.00.4210104">-210564.55</definedName>
    <definedName name="SLD.000.C.0.12.2001.00.00.42101040001">-347822.61</definedName>
    <definedName name="SLD.000.C.0.12.2001.00.00.42101040002">137258.06</definedName>
    <definedName name="SLD.000.C.0.12.2001.00.00.4210105">-40580.97</definedName>
    <definedName name="SLD.000.C.0.12.2001.00.00.42101050001">-106892.72</definedName>
    <definedName name="SLD.000.C.0.12.2001.00.00.42101050002">66311.75</definedName>
    <definedName name="SLD.000.C.0.12.2001.00.00.4210106">-749.96</definedName>
    <definedName name="SLD.000.C.0.12.2001.00.00.42101060001">-11603.28</definedName>
    <definedName name="SLD.000.C.0.12.2001.00.00.42101060002">10853.32</definedName>
    <definedName name="SLD.000.C.0.12.2001.00.00.4210107">0</definedName>
    <definedName name="SLD.000.C.0.12.2001.00.00.42101070001">0</definedName>
    <definedName name="SLD.000.C.0.12.2001.00.00.42101070002">0</definedName>
    <definedName name="SLD.000.C.0.12.2001.00.00.42102">-11539783.82</definedName>
    <definedName name="SLD.000.C.0.12.2001.00.00.4210201">-11539783.82</definedName>
    <definedName name="SLD.000.C.0.12.2001.00.00.42102010001">-8875614.06</definedName>
    <definedName name="SLD.000.C.0.12.2001.00.00.42102010002">-312763.99</definedName>
    <definedName name="SLD.000.C.0.12.2001.00.00.42102010003">-120609.01</definedName>
    <definedName name="SLD.000.C.0.12.2001.00.00.42102010004">-87022.38</definedName>
    <definedName name="SLD.000.C.0.12.2001.00.00.42102010009">-91545.88</definedName>
    <definedName name="SLD.000.C.0.12.2001.00.00.42102010011">-563704.97</definedName>
    <definedName name="SLD.000.C.0.12.2001.00.00.42102010012">-2072047.07</definedName>
    <definedName name="SLD.000.C.0.12.2001.00.00.42102010015">531058.99</definedName>
    <definedName name="SLD.000.C.0.12.2001.00.00.42103">-560943.09</definedName>
    <definedName name="SLD.000.C.0.12.2001.00.00.4210301">-560943.09</definedName>
    <definedName name="SLD.000.C.0.12.2001.00.00.42103010001">-290203.44</definedName>
    <definedName name="SLD.000.C.0.12.2001.00.00.42103010002">-23951.1</definedName>
    <definedName name="SLD.000.C.0.12.2001.00.00.42103010003">-267807.03</definedName>
    <definedName name="SLD.000.C.0.12.2001.00.00.42104">-7526633.08</definedName>
    <definedName name="SLD.000.C.0.12.2001.00.00.4210401">-7526633.08</definedName>
    <definedName name="SLD.000.C.0.12.2001.00.00.42104010001">-630806.07</definedName>
    <definedName name="SLD.000.C.0.12.2001.00.00.42104010002">-330326.69</definedName>
    <definedName name="SLD.000.C.0.12.2001.00.00.42104010003">-639405.08</definedName>
    <definedName name="SLD.000.C.0.12.2001.00.00.42104010004">-1656987.36</definedName>
    <definedName name="SLD.000.C.0.12.2001.00.00.42104010005">-204205.46</definedName>
    <definedName name="SLD.000.C.0.12.2001.00.00.42104010007">-18032.03</definedName>
    <definedName name="SLD.000.C.0.12.2001.00.00.42104010008">-6226.75</definedName>
    <definedName name="SLD.000.C.0.12.2001.00.00.42104010010">-97646.11</definedName>
    <definedName name="SLD.000.C.0.12.2001.00.00.42104010011">-85149</definedName>
    <definedName name="SLD.000.C.0.12.2001.00.00.42104010012">-5089.58</definedName>
    <definedName name="SLD.000.C.0.12.2001.00.00.42104010013">-34629.7</definedName>
    <definedName name="SLD.000.C.0.12.2001.00.00.42104010014">-65539.93</definedName>
    <definedName name="SLD.000.C.0.12.2001.00.00.42104010015">-207163.73</definedName>
    <definedName name="SLD.000.C.0.12.2001.00.00.42104010017">-22497.36</definedName>
    <definedName name="SLD.000.C.0.12.2001.00.00.42104010018">-17505.12</definedName>
    <definedName name="SLD.000.C.0.12.2001.00.00.42104010020">-288118.35</definedName>
    <definedName name="SLD.000.C.0.12.2001.00.00.42104010022">0</definedName>
    <definedName name="SLD.000.C.0.12.2001.00.00.42104010023">-106888.93</definedName>
    <definedName name="SLD.000.C.0.12.2001.00.00.42104010026">-73323.09</definedName>
    <definedName name="SLD.000.C.0.12.2001.00.00.42104010027">-112583.03</definedName>
    <definedName name="SLD.000.C.0.12.2001.00.00.42104010028">-37441.64</definedName>
    <definedName name="SLD.000.C.0.12.2001.00.00.42104010029">-8630.12</definedName>
    <definedName name="SLD.000.C.0.12.2001.00.00.42104010030">-878300.41</definedName>
    <definedName name="SLD.000.C.0.12.2001.00.00.42104010031">-129204</definedName>
    <definedName name="SLD.000.C.0.12.2001.00.00.42104010032">-444173.19</definedName>
    <definedName name="SLD.000.C.0.12.2001.00.00.42104010034">-785994.85</definedName>
    <definedName name="SLD.000.C.0.12.2001.00.00.42104010035">-636910.34</definedName>
    <definedName name="SLD.000.C.0.12.2001.00.00.42104010037">0</definedName>
    <definedName name="SLD.000.C.0.12.2001.00.00.42105">-1100133.54</definedName>
    <definedName name="SLD.000.C.0.12.2001.00.00.4210501">-1100133.54</definedName>
    <definedName name="SLD.000.C.0.12.2001.00.00.42105010001">-32837.88</definedName>
    <definedName name="SLD.000.C.0.12.2001.00.00.42105010002">-876825.03</definedName>
    <definedName name="SLD.000.C.0.12.2001.00.00.42105010003">-63510.29</definedName>
    <definedName name="SLD.000.C.0.12.2001.00.00.42105010004">-112898.52</definedName>
    <definedName name="SLD.000.C.0.12.2001.00.00.42107">-72016.46</definedName>
    <definedName name="SLD.000.C.0.12.2001.00.00.4210701">-72016.46</definedName>
    <definedName name="SLD.000.C.0.12.2001.00.00.42107010004">-72016.46</definedName>
    <definedName name="SLD.000.C.0.12.2001.00.00.42108">-565473.84</definedName>
    <definedName name="SLD.000.C.0.12.2001.00.00.4210801">-565473.84</definedName>
    <definedName name="SLD.000.C.0.12.2001.00.00.42108010003">-565473.84</definedName>
    <definedName name="SOBRA" localSheetId="2" hidden="1">{#N/A,#N/A,FALSE,"CONTROLE";#N/A,#N/A,FALSE,"CONTROLE"}</definedName>
    <definedName name="SOBRA" hidden="1">{#N/A,#N/A,FALSE,"CONTROLE";#N/A,#N/A,FALSE,"CONTROLE"}</definedName>
    <definedName name="SOLEIRA">#REF!</definedName>
    <definedName name="Solesa___0">#REF!</definedName>
    <definedName name="solicitações" localSheetId="2" hidden="1">{#N/A,#N/A,FALSE,"CONTROLE"}</definedName>
    <definedName name="solicitações" hidden="1">{#N/A,#N/A,FALSE,"CONTROLE"}</definedName>
    <definedName name="SOLICITANTE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 localSheetId="2" hidden="1">{#N/A,#N/A,FALSE,"CONTROLE";#N/A,#N/A,FALSE,"CONTROLE"}</definedName>
    <definedName name="Soma" hidden="1">{#N/A,#N/A,FALSE,"CONTROLE";#N/A,#N/A,FALSE,"CONTROLE"}</definedName>
    <definedName name="SOMA_DRENO">[33]DRENAGEM!$F$47:$F$74</definedName>
    <definedName name="SOMA_PAISA">[33]PAISAGISMO!$F$36:$F$41</definedName>
    <definedName name="SOMA_PAV">[33]PAVIMENTAÇÃO!$F$47:$F$67</definedName>
    <definedName name="SOMA_SER_COMPL">'[33]SERV. COMP.'!$F$90:$F$103</definedName>
    <definedName name="SOMA_SER_PREL">'[33]SER. PREL.'!$G$90:$G$102</definedName>
    <definedName name="SOMA10_BL6">[33]BL6!$G$212:$G$215</definedName>
    <definedName name="SOMA10_BL8">[33]BL8!$G$221</definedName>
    <definedName name="SOMA10B1">[33]BL1!$G$285:$G$287</definedName>
    <definedName name="SOMA11_BL2">[33]BL2!$G$280:$G$284</definedName>
    <definedName name="SOMA11_BL4">'[33]BL3-4'!$G$271:$G$275</definedName>
    <definedName name="SOMA11_BL5">[33]BL5!$G$268:$G$272</definedName>
    <definedName name="SOMA11_BL7">[33]BL7!$G$275:$G$279</definedName>
    <definedName name="SOMA11_BL8">[33]BL8!$G$225:$G$229</definedName>
    <definedName name="SOMA11_POR">[33]PORTARIA!$G$180:$G$184</definedName>
    <definedName name="SOMA11_SUB">[33]SUBEST.!$G$204:$G$207</definedName>
    <definedName name="SOMA11B1">[33]BL1!$G$291:$G$296</definedName>
    <definedName name="SOMA12_BL2">[33]BL2!$G$288:$G$290</definedName>
    <definedName name="SOMA12_BL4">'[33]BL3-4'!$G$281:$G$285</definedName>
    <definedName name="SOMA12_BL5">[33]BL5!$G$276:$G$278</definedName>
    <definedName name="SOMA12_BL7">[33]BL7!$G$283:$G$286</definedName>
    <definedName name="SOMA12_BL8">[33]BL8!$G$233:$G$237</definedName>
    <definedName name="SOMA12_POR">[33]PORTARIA!$G$189:$G$190</definedName>
    <definedName name="SOMA12_SUB">[33]SUBEST.!$G$212:$G$213</definedName>
    <definedName name="SOMA12B1">[33]BL1!$G$300:$G$320</definedName>
    <definedName name="SOMA13_BL5">[33]BL5!$G$282:$G$283</definedName>
    <definedName name="SOMA13B1">[33]BL1!$G$324:$G$326</definedName>
    <definedName name="SOMA14_BL2">[33]BL2!$G$294:$G$295</definedName>
    <definedName name="SOMA14_BL4">'[33]BL3-4'!$G$293:$G$296</definedName>
    <definedName name="SOMA14_BL5">[33]BL5!$G$287:$G$290</definedName>
    <definedName name="SOMA15_BL2">[33]BL2!$G$299:$G$302</definedName>
    <definedName name="SOMA15_BL7">[33]BL7!$G$296:$G$299</definedName>
    <definedName name="SOMA15_BL8">[33]BL8!$G$245:$G$248</definedName>
    <definedName name="SOMA15_POR">[33]PORTARIA!$G$198:$G$201</definedName>
    <definedName name="SOMA15_SUB">[33]SUBEST.!$G$221:$G$224</definedName>
    <definedName name="SOMA15B1">[33]BL1!$G$337:$G$341</definedName>
    <definedName name="SOMA19">'[33]MURO DE ARRIMO'!$G$94:$G$107</definedName>
    <definedName name="SOMA2_BL2">[33]BL2!$G$114:$G$127</definedName>
    <definedName name="SOMA2_BL4">'[33]BL3-4'!$G$95:$G$105</definedName>
    <definedName name="SOMA2_BL5">[33]BL5!$G$95:$G$107</definedName>
    <definedName name="SOMA2_BL6">[33]BL6!$G$95:$G$104</definedName>
    <definedName name="SOMA2_BL7">[33]BL7!$G$95:$G$109</definedName>
    <definedName name="SOMA2_BL8">[33]BL8!$G$95:$G$109</definedName>
    <definedName name="SOMA2_POR">[33]PORTARIA!$G$95:$G$103</definedName>
    <definedName name="SOMA2_SUB">[33]SUBEST.!$G$95:$G$105</definedName>
    <definedName name="SOMA2B1">[33]BL1!$G$95:$G$110</definedName>
    <definedName name="SOMA3_BL2">[33]BL2!$G$131:$G$143</definedName>
    <definedName name="SOMA3_BL3">[33]BL6!$G$109:$G$118</definedName>
    <definedName name="SOMA3_BL4">'[33]BL3-4'!$G$109:$G$122</definedName>
    <definedName name="SOMA3_BL5">[33]BL5!$G$111:$G$121</definedName>
    <definedName name="SOMA3_BL6">[68]BL6!#REF!</definedName>
    <definedName name="SOMA3_BL7">[33]BL7!$G$113:$G$121</definedName>
    <definedName name="SOMA3_BL8">[33]BL8!$G$113:$G$117</definedName>
    <definedName name="SOMA3_POR">[33]PORTARIA!$G$107:$G$109</definedName>
    <definedName name="SOMA3_SUB">[33]SUBEST.!$G$109:$G$112</definedName>
    <definedName name="SOMA3B1">[33]BL1!$G$114:$G$124</definedName>
    <definedName name="SOMA4_BL2">[33]BL2!$G$147:$G$151</definedName>
    <definedName name="SOMA4_BL4">'[33]BL3-4'!$G$126:$G$129</definedName>
    <definedName name="SOMA4_BL5">[33]BL5!$G$125:$G$129</definedName>
    <definedName name="SOMA4_BL6">[33]BL6!$G$122:$G$123</definedName>
    <definedName name="SOMA4_BL7">[33]BL7!$G$125:$G$131</definedName>
    <definedName name="SOMA4_BL8">[33]BL8!$G$121:$G$124</definedName>
    <definedName name="SOMA4_POR">[33]PORTARIA!$G$113:$G$114</definedName>
    <definedName name="SOMA4_SUB">[33]SUBEST.!$G$116:$G$117</definedName>
    <definedName name="SOMA4B1">[33]BL1!$G$128:$G$134</definedName>
    <definedName name="SOMA5_BL2">[33]BL2!$G$156:$G$157</definedName>
    <definedName name="SOMA5_BL4">'[33]BL3-4'!$G$133:$G$137</definedName>
    <definedName name="SOMA5_BL5">[33]BL5!$G$134:$G$135</definedName>
    <definedName name="SOMA5_BL6">[33]BL6!$G$131:$G$132</definedName>
    <definedName name="SOMA5_BL7">[33]BL7!$G$135:$G$136</definedName>
    <definedName name="SOMA5_BL8">[33]BL8!$G$128:$G$129</definedName>
    <definedName name="SOMA5_POR">[33]PORTARIA!$G$118:$G$119</definedName>
    <definedName name="SOMA5_SUB">[33]SUBEST.!$G$121:$G$122</definedName>
    <definedName name="SOMA5B1">[33]BL1!$G$138:$G$140</definedName>
    <definedName name="SOMA6_BL2">[33]BL2!$G$161:$G$164</definedName>
    <definedName name="SOMA6_BL4">'[33]BL3-4'!$G$141:$G$145</definedName>
    <definedName name="SOMA6_BL5">[33]BL5!$G$139:$G$142</definedName>
    <definedName name="SOMA6_BL6">[33]BL6!$G$136:$G$139</definedName>
    <definedName name="SOMA6_BL7">[33]BL7!$G$140:$G$142</definedName>
    <definedName name="SOMA6_BL8">[33]BL8!$G$133:$G$134</definedName>
    <definedName name="SOMA6_POR">[33]PORTARIA!$G$123:$G$124</definedName>
    <definedName name="SOMA6_SUB">[33]SUBEST.!$G$126:$G$127</definedName>
    <definedName name="SOMA6B1">[33]BL1!$G$144:$G$148</definedName>
    <definedName name="SOMA7_BL2">[33]BL2!$G$168:$G$172</definedName>
    <definedName name="SOMA7_BL4">'[33]BL3-4'!$G$149:$G$153</definedName>
    <definedName name="SOMA7_BL5">[33]BL5!$G$146:$G$149</definedName>
    <definedName name="SOMA7_BL6">[33]BL6!$G$144:$G$147</definedName>
    <definedName name="SOMA7_BL7">[33]BL7!$G$146:$G$150</definedName>
    <definedName name="SOMA7_BL8">[33]BL8!$G$138:$G$143</definedName>
    <definedName name="SOMA7_POR">[33]PORTARIA!$G$128:$G$132</definedName>
    <definedName name="SOMA7_SUB">[33]SUBEST.!$G$131:$G$134</definedName>
    <definedName name="SOMA7B1">[33]BL1!$G$152:$G$156</definedName>
    <definedName name="SOMA8_BL2">[33]BL2!$G$176:$G$211</definedName>
    <definedName name="SOMA8_BL4">'[33]BL3-4'!$G$157:$G$191</definedName>
    <definedName name="SOMA8_BL5">[33]BL5!$G$153:$G$206</definedName>
    <definedName name="SOMA8_BL6">[33]BL6!$G$151:$G$164</definedName>
    <definedName name="SOMA8_BL7">[33]BL7!$G$154:$G$207</definedName>
    <definedName name="SOMA8_BL8">[33]BL8!$G$147:$G$181</definedName>
    <definedName name="SOMA8_POR">[33]PORTARIA!$G$136:$G$156</definedName>
    <definedName name="SOMA8B1">[33]BL1!$G$160:$G$220</definedName>
    <definedName name="SOMA9_BL2">[33]BL2!$G$215:$G$272</definedName>
    <definedName name="SOMA9_BL4">'[33]BL3-4'!$G$195:$G$263</definedName>
    <definedName name="SOMA9_BL5">[33]BL5!$G$210:$G$260</definedName>
    <definedName name="SOMA9_BL6">[33]BL6!$G$168:$G$208</definedName>
    <definedName name="SOMA9_BL7">[33]BL7!$G$211:$G$267</definedName>
    <definedName name="SOMA9_BL8">[33]BL8!$G$185:$G$217</definedName>
    <definedName name="SOMA9_POR">[33]PORTARIA!$G$160:$G$172</definedName>
    <definedName name="SOMA9_SUB">[33]SUBEST.!$G$138:$G$200</definedName>
    <definedName name="SOMA9B1">[33]BL1!$G$224:$G$281</definedName>
    <definedName name="SOMAADM">'[33]ADM LOC'!$F$36:$F$41</definedName>
    <definedName name="SRT">#REF!</definedName>
    <definedName name="ss" hidden="1">#REF!</definedName>
    <definedName name="ssss">#REF!</definedName>
    <definedName name="sssss" localSheetId="2" hidden="1">{#N/A,#N/A,FALSE,"Bericht 2";#N/A,#N/A,FALSE,"Bericht 3";#N/A,#N/A,FALSE,"Bericht 1"}</definedName>
    <definedName name="sssss" hidden="1">{#N/A,#N/A,FALSE,"Bericht 2";#N/A,#N/A,FALSE,"Bericht 3";#N/A,#N/A,FALSE,"Bericht 1"}</definedName>
    <definedName name="STATUS">#REF!</definedName>
    <definedName name="STATUS_PAGAMENTO">[45]!Tabela1[STATUS_PAGAMENTO]</definedName>
    <definedName name="STD_Ag">#REF!</definedName>
    <definedName name="STR">[32]TD!$A$144:$A$159</definedName>
    <definedName name="Subest_">#REF!</definedName>
    <definedName name="Subestação">#REF!</definedName>
    <definedName name="SUBT">#REF!</definedName>
    <definedName name="SUBTOTAL2">#REF!</definedName>
    <definedName name="SUBTOTCPL">#REF!</definedName>
    <definedName name="SUBTOTCPLE">#REF!</definedName>
    <definedName name="SUBTOTDRN">#REF!</definedName>
    <definedName name="SUBTOTDRNE">#REF!</definedName>
    <definedName name="SUBTOTPAV">#REF!</definedName>
    <definedName name="SUBTOTPAVE">#REF!</definedName>
    <definedName name="SUL">#REF!</definedName>
    <definedName name="SUMMARY" localSheetId="2" hidden="1">{#N/A,#N/A,FALSE,"BOQCIC";#N/A,#N/A,FALSE,"3Ds"}</definedName>
    <definedName name="SUMMARY" hidden="1">{#N/A,#N/A,FALSE,"BOQCIC";#N/A,#N/A,FALSE,"3Ds"}</definedName>
    <definedName name="SUP.ESP">Tarefas!$CC$30</definedName>
    <definedName name="SUPER_BL1">[33]BL1!$G$112</definedName>
    <definedName name="SUPER_BL2">[33]BL2!$G$129</definedName>
    <definedName name="SUPER_BL4">'[33]BL3-4'!$G$107</definedName>
    <definedName name="SUPER_BL5">[33]BL5!$G$109</definedName>
    <definedName name="SUPER_BL6">[33]BL6!$G$106</definedName>
    <definedName name="SUPER_BL7">[33]BL7!$G$111</definedName>
    <definedName name="SUPER_BL8">[33]BL8!$G$111</definedName>
    <definedName name="SUPER_POR">[33]PORTARIA!$G$105</definedName>
    <definedName name="SUPER_SUB">[33]SUBEST.!$G$107</definedName>
    <definedName name="susref">#REF!</definedName>
    <definedName name="sv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">#REF!</definedName>
    <definedName name="tab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CPressao">[48]Plan2!$B$5:$C$22</definedName>
    <definedName name="Tab_Diam">[48]Plan2!$I$5:$K$40</definedName>
    <definedName name="tab_HH">[48]Plan2!$Q$6:$X$24</definedName>
    <definedName name="TAB_JAN_06">[113]Titulo_Insu!$A$1:$F$3159</definedName>
    <definedName name="TAB_JAN_07">[114]SERV!$A$3:$D$2463</definedName>
    <definedName name="TAB_JUL_07">#REF!</definedName>
    <definedName name="tab_Mat">[48]Plan2!$E$5:$G$22</definedName>
    <definedName name="TAB_P2_JAN_06">[115]TAB33P2!$A$1:$F$1221</definedName>
    <definedName name="TAB_P2_JAN_07">[116]P2_JAN_07!$A$1:$E$1395</definedName>
    <definedName name="tab_resumo">#REF!</definedName>
    <definedName name="tab_valv">[48]Plan2!$M$5:$O$22</definedName>
    <definedName name="TABACABAMENTOS">#REF!</definedName>
    <definedName name="tabder">'[117]tabela DER julho97'!$A$1:$D$793</definedName>
    <definedName name="tabela">#REF!</definedName>
    <definedName name="Tabela_de_Chapas">#REF!</definedName>
    <definedName name="TABELA_DE_REVESTIMENTOS">'[87]2'!#REF!</definedName>
    <definedName name="Tabela_de_Trilhos">#REF!</definedName>
    <definedName name="tabela0198">'[118]tabela DER janeiro98'!$A$1:$D$810</definedName>
    <definedName name="tabelaDenominação">#REF!</definedName>
    <definedName name="tabelapmsp">#REF!</definedName>
    <definedName name="tabjul04">#REF!</definedName>
    <definedName name="TABREF">#REF!</definedName>
    <definedName name="TABSERBO">#REF!</definedName>
    <definedName name="Tag_Carga">#REF!</definedName>
    <definedName name="Tag_CCM">#REF!</definedName>
    <definedName name="Tax_Adm">#REF!</definedName>
    <definedName name="taxa_cap">#REF!</definedName>
    <definedName name="tbjan01">#REF!</definedName>
    <definedName name="TBJAN02">#REF!</definedName>
    <definedName name="TBJAN03">#REF!</definedName>
    <definedName name="tbjan04">#REF!</definedName>
    <definedName name="TBJUL01">#REF!</definedName>
    <definedName name="TBJUL02">#REF!</definedName>
    <definedName name="TECI">Tarefas!$EC$30</definedName>
    <definedName name="TECII">Tarefas!$DY$30</definedName>
    <definedName name="TECIII">Tarefas!$DU$30</definedName>
    <definedName name="tempo" localSheetId="2" hidden="1">{#N/A,#N/A,FALSE,"CONTROLE";#N/A,#N/A,FALSE,"CONTROLE"}</definedName>
    <definedName name="tempo" hidden="1">{#N/A,#N/A,FALSE,"CONTROLE";#N/A,#N/A,FALSE,"CONTROLE"}</definedName>
    <definedName name="Terr_preços">'[119]Terr-preços'!$A$2:$C$29</definedName>
    <definedName name="terra">#REF!</definedName>
    <definedName name="terraplenagem">#REF!</definedName>
    <definedName name="TEST">#REF!</definedName>
    <definedName name="TESTANDO" localSheetId="2" hidden="1">{#N/A,#N/A,TRUE,"Quinzena 01 à 15-04-98 "}</definedName>
    <definedName name="TESTANDO" hidden="1">{#N/A,#N/A,TRUE,"Quinzena 01 à 15-04-98 "}</definedName>
    <definedName name="TESTE">#REF!</definedName>
    <definedName name="TESTE1">[120]ORÇAMENTO_Rev01!#REF!</definedName>
    <definedName name="teste2">#REF!</definedName>
    <definedName name="teste3">#REF!</definedName>
    <definedName name="TETO">#REF!</definedName>
    <definedName name="TIME">#REF!</definedName>
    <definedName name="Tipo_Ar">#REF!</definedName>
    <definedName name="TIPO_CLIENTE">[45]!Tabela1[TIPO_CLIENTE]</definedName>
    <definedName name="Tipo_de_Retencao">#REF!</definedName>
    <definedName name="TIPO_INSTALAÇÃO">#REF!</definedName>
    <definedName name="tipo_obra">[32]TD!$F$2:$F$3</definedName>
    <definedName name="TIPO_PROJETO">#REF!</definedName>
    <definedName name="tipobloco">#REF!</definedName>
    <definedName name="TIRANTES">#REF!</definedName>
    <definedName name="TITEL">[2]DETAILS!#REF!</definedName>
    <definedName name="_xlnm.Print_Titles">#REF!</definedName>
    <definedName name="Títulos_impressão_IM">[121]MCBR!#REF!</definedName>
    <definedName name="TMO">#REF!</definedName>
    <definedName name="todas">#REF!</definedName>
    <definedName name="TOLTAL2">#REF!</definedName>
    <definedName name="TOT">#REF!</definedName>
    <definedName name="tot3estac">#REF!</definedName>
    <definedName name="TOTAIS">#REF!</definedName>
    <definedName name="TOTAISA">#REF!</definedName>
    <definedName name="TOTAISAH">#REF!</definedName>
    <definedName name="TOTAISH">#REF!</definedName>
    <definedName name="Total" localSheetId="21">#REF!</definedName>
    <definedName name="Total">'[42]Totais (Base)'!#REF!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BUDGET">#REF!</definedName>
    <definedName name="TOTALGP">#REF!</definedName>
    <definedName name="TOTALITEM">#REF!</definedName>
    <definedName name="TOTALMISCEL">#REF!</definedName>
    <definedName name="totbase">#REF!</definedName>
    <definedName name="totestaca">#REF!</definedName>
    <definedName name="Toto" localSheetId="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perfura">#REF!</definedName>
    <definedName name="TP">#REF!</definedName>
    <definedName name="TP_0707">#REF!</definedName>
    <definedName name="TRAFOS">[32]TD!$A$161:$A$172</definedName>
    <definedName name="trecho">'[50]Dados Iniciais'!$B$3</definedName>
    <definedName name="TROCA">#REF!</definedName>
    <definedName name="TRP">#REF!</definedName>
    <definedName name="trpaa">#REF!</definedName>
    <definedName name="ttttt">#REF!</definedName>
    <definedName name="TTTTTTTTTT">#REF!</definedName>
    <definedName name="TUDO">#REF!</definedName>
    <definedName name="Tunnel_Liner">#REF!</definedName>
    <definedName name="TxImp">#REF!</definedName>
    <definedName name="tyuty" localSheetId="2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tyuty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Über" localSheetId="2" hidden="1">{#N/A,#N/A,FALSE,"Tabelle1"}</definedName>
    <definedName name="Über" hidden="1">{#N/A,#N/A,FALSE,"Tabelle1"}</definedName>
    <definedName name="um" hidden="1">0</definedName>
    <definedName name="UN">[8]OBRJU95!#REF!</definedName>
    <definedName name="UND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rios" localSheetId="21">'[30]Cotação de Materiais'!#REF!</definedName>
    <definedName name="Unitarios">#REF!</definedName>
    <definedName name="USD" localSheetId="21">#N/A</definedName>
    <definedName name="USD">#REF!</definedName>
    <definedName name="USDOLAR">#REF!</definedName>
    <definedName name="Utensílio">#REF!</definedName>
    <definedName name="Utensílios">#REF!</definedName>
    <definedName name="Utensílios1">#REF!</definedName>
    <definedName name="uuuu" localSheetId="2" hidden="1">{#N/A,#N/A,FALSE,"BOQCIC";#N/A,#N/A,FALSE,"3Ds";#N/A,#N/A,FALSE,"COST DETAIL"}</definedName>
    <definedName name="uuuu" hidden="1">{#N/A,#N/A,FALSE,"BOQCIC";#N/A,#N/A,FALSE,"3Ds";#N/A,#N/A,FALSE,"COST DETAIL"}</definedName>
    <definedName name="v">#REF!</definedName>
    <definedName name="ValFatDir">#REF!</definedName>
    <definedName name="ValFatInt">#REF!</definedName>
    <definedName name="ValFatMet">#REF!</definedName>
    <definedName name="VALOR">[45]!Tabela1[VALOR2]</definedName>
    <definedName name="Valor_Moeda_Real">[49]Contr_Global!$BA$2:$IV$2</definedName>
    <definedName name="ValorAtuacaoGeografica">[72]Auxiliar!#REF!</definedName>
    <definedName name="ValorComplexidadeFornecer">[72]Auxiliar!#REF!</definedName>
    <definedName name="ValorConcentraçao">[72]Auxiliar!#REF!</definedName>
    <definedName name="VALORES">[42]Analitica!$V$3:$V$8</definedName>
    <definedName name="VALORES_VALORES_Listar">#REF!</definedName>
    <definedName name="VALORESB">#REF!</definedName>
    <definedName name="VALORESC">#REF!</definedName>
    <definedName name="ValorFornecedoresHomologados">[72]Auxiliar!#REF!</definedName>
    <definedName name="ValorFornecedoresViaveis">[72]Auxiliar!$Q$8</definedName>
    <definedName name="ValorRisco">[72]Auxiliar!$Q$10</definedName>
    <definedName name="ValorShareItau">[72]Auxiliar!#REF!</definedName>
    <definedName name="ValorSubstituir">[72]Auxiliar!$Q$9</definedName>
    <definedName name="VALTER" hidden="1">#REF!</definedName>
    <definedName name="VAX_ANT">#REF!</definedName>
    <definedName name="VENDEDOR">[45]!Tabela1[VENDEDOR]</definedName>
    <definedName name="VERIFICAR" localSheetId="2" hidden="1">{#N/A,#N/A,TRUE,"Quinzena 01 à 15-04-98 "}</definedName>
    <definedName name="VERIFICAR" hidden="1">{#N/A,#N/A,TRUE,"Quinzena 01 à 15-04-98 "}</definedName>
    <definedName name="VF">#REF!</definedName>
    <definedName name="Viário">#REF!</definedName>
    <definedName name="VID_BL1">[33]BL1!$G$329</definedName>
    <definedName name="VID_BL2">[33]BL2!$G$292</definedName>
    <definedName name="VID_BL4">'[33]BL3-4'!$G$287</definedName>
    <definedName name="VID_BL5">[33]BL5!$G$280</definedName>
    <definedName name="VID_BL7">[33]BL7!$G$289</definedName>
    <definedName name="VID_BL8">[33]BL8!$G$239</definedName>
    <definedName name="VID_POR">[33]PORTARIA!$G$192</definedName>
    <definedName name="VID_SUB">[33]SUBEST.!$G$215</definedName>
    <definedName name="VIDROS">#N/A</definedName>
    <definedName name="volume">#REF!</definedName>
    <definedName name="VOLUME1">#REF!</definedName>
    <definedName name="VOLUME2">#REF!</definedName>
    <definedName name="VOLUME3">#REF!</definedName>
    <definedName name="vr">#REF!</definedName>
    <definedName name="VRL">#REF!</definedName>
    <definedName name="VRL0">#REF!</definedName>
    <definedName name="vt">#REF!</definedName>
    <definedName name="vvbb" localSheetId="2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2" hidden="1">{#N/A,#N/A,FALSE,"Plan1";#N/A,#N/A,FALSE,"Plan2"}</definedName>
    <definedName name="vvcbnb" hidden="1">{#N/A,#N/A,FALSE,"Plan1";#N/A,#N/A,FALSE,"Plan2"}</definedName>
    <definedName name="vvvvv" localSheetId="2" hidden="1">{#N/A,#N/A,FALSE,"Plan1";#N/A,#N/A,FALSE,"Plan2"}</definedName>
    <definedName name="vvvvv" hidden="1">{#N/A,#N/A,FALSE,"Plan1";#N/A,#N/A,FALSE,"Plan2"}</definedName>
    <definedName name="vvvvvv" localSheetId="2" hidden="1">{#N/A,#N/A,FALSE,"Plan1";#N/A,#N/A,FALSE,"Plan2"}</definedName>
    <definedName name="vvvvvv" hidden="1">{#N/A,#N/A,FALSE,"Plan1";#N/A,#N/A,FALSE,"Plan2"}</definedName>
    <definedName name="VVVVVVVVVV">#REF!</definedName>
    <definedName name="w" localSheetId="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W" localSheetId="21">'[106]MP+Insumos'!#REF!</definedName>
    <definedName name="w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w3eswsw">#REF!</definedName>
    <definedName name="WBS_Etapa">[85]Contr_Global!$E$20:$E$65536</definedName>
    <definedName name="we" localSheetId="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e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erjweioprqwjeiortjqreiotjklfja" localSheetId="2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erjweioprqwjeiortjqreiotjklfja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itt" localSheetId="2" hidden="1">{#N/A,#N/A,FALSE,"Tabelle1"}</definedName>
    <definedName name="witt" hidden="1">{#N/A,#N/A,FALSE,"Tabelle1"}</definedName>
    <definedName name="wprf" localSheetId="2" hidden="1">{#N/A,#N/A,FALSE,"BOQCIC";#N/A,#N/A,FALSE,"3Ds";#N/A,#N/A,FALSE,"COST DETAIL"}</definedName>
    <definedName name="wprf" hidden="1">{#N/A,#N/A,FALSE,"BOQCIC";#N/A,#N/A,FALSE,"3Ds";#N/A,#N/A,FALSE,"COST DETAIL"}</definedName>
    <definedName name="WQEWQ">'[106]MP+Insumos'!#REF!</definedName>
    <definedName name="WR" localSheetId="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Accretion._.Dilution." localSheetId="2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" localSheetId="2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lugueis._.Mensais." localSheetId="2" hidden="1">{#N/A,#N/A,FALSE,"Aluguéis Mensais"}</definedName>
    <definedName name="wrn.Alugueis._.Mensais." hidden="1">{#N/A,#N/A,FALSE,"Aluguéis Mensais"}</definedName>
    <definedName name="wrn.Alugueis._.Mensais._1" localSheetId="2" hidden="1">{#N/A,#N/A,FALSE,"Aluguéis Mensais"}</definedName>
    <definedName name="wrn.Alugueis._.Mensais._1" hidden="1">{#N/A,#N/A,FALSE,"Aluguéis Mensais"}</definedName>
    <definedName name="wrn.Alugueis._.Mensais._1_1_1" localSheetId="2" hidden="1">{#N/A,#N/A,FALSE,"Aluguéis Mensais"}</definedName>
    <definedName name="wrn.Alugueis._.Mensais._1_1_1" hidden="1">{#N/A,#N/A,FALSE,"Aluguéis Mensais"}</definedName>
    <definedName name="wrn.Alugueis._.Mensais._2" localSheetId="2" hidden="1">{#N/A,#N/A,FALSE,"Aluguéis Mensais"}</definedName>
    <definedName name="wrn.Alugueis._.Mensais._2" hidden="1">{#N/A,#N/A,FALSE,"Aluguéis Mensais"}</definedName>
    <definedName name="wrn.Alugueis._.Mensais._2_1" localSheetId="2" hidden="1">{#N/A,#N/A,FALSE,"Aluguéis Mensais"}</definedName>
    <definedName name="wrn.Alugueis._.Mensais._2_1" hidden="1">{#N/A,#N/A,FALSE,"Aluguéis Mensais"}</definedName>
    <definedName name="wrn.Aluguel." localSheetId="2" hidden="1">{#N/A,#N/A,FALSE,"Aluguel"}</definedName>
    <definedName name="wrn.Aluguel." hidden="1">{#N/A,#N/A,FALSE,"Aluguel"}</definedName>
    <definedName name="wrn.Aluguel._1" localSheetId="2" hidden="1">{#N/A,#N/A,FALSE,"Aluguel"}</definedName>
    <definedName name="wrn.Aluguel._1" hidden="1">{#N/A,#N/A,FALSE,"Aluguel"}</definedName>
    <definedName name="wrn.Aluguel._1_1_1" localSheetId="2" hidden="1">{#N/A,#N/A,FALSE,"Aluguel"}</definedName>
    <definedName name="wrn.Aluguel._1_1_1" hidden="1">{#N/A,#N/A,FALSE,"Aluguel"}</definedName>
    <definedName name="wrn.Aluguel._2" localSheetId="2" hidden="1">{#N/A,#N/A,FALSE,"Aluguel"}</definedName>
    <definedName name="wrn.Aluguel._2" hidden="1">{#N/A,#N/A,FALSE,"Aluguel"}</definedName>
    <definedName name="wrn.Aluguel._2_1" localSheetId="2" hidden="1">{#N/A,#N/A,FALSE,"Aluguel"}</definedName>
    <definedName name="wrn.Aluguel._2_1" hidden="1">{#N/A,#N/A,FALSE,"Aluguel"}</definedName>
    <definedName name="wrn.Anteilig._.alle._.Perioden." localSheetId="2" hidden="1">{"Alle Perioden",#N/A,FALSE,"Erf";"Alle Perioden",#N/A,FALSE,"Ang";"Alle Perioden",#N/A,FALSE,"BV";"Alle Perioden",#N/A,FALSE,"BE";"Alle Perioden",#N/A,FALSE,"Re";"Alle Perioden",#N/A,FALSE,"Vol"}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localSheetId="2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PLICAÇÃO." localSheetId="2" hidden="1">{#N/A,#N/A,FALSE,"CONTROLE"}</definedName>
    <definedName name="wrn.APLICAÇÃO." hidden="1">{#N/A,#N/A,FALSE,"CONTROLE"}</definedName>
    <definedName name="wrn.Asia.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BB1." localSheetId="2" hidden="1">{#N/A,#N/A,FALSE,"RESUMO-BB1";#N/A,#N/A,FALSE,"MOD-A01-R - BB1";#N/A,#N/A,FALSE,"URB-BB1"}</definedName>
    <definedName name="wrn.BB1." hidden="1">{#N/A,#N/A,FALSE,"RESUMO-BB1";#N/A,#N/A,FALSE,"MOD-A01-R - BB1";#N/A,#N/A,FALSE,"URB-BB1"}</definedName>
    <definedName name="wrn.BETER." localSheetId="2" hidden="1">{#N/A,#N/A,FALSE,"BETER -1";#N/A,#N/A,FALSE,"BETER -2";#N/A,#N/A,FALSE,"BETER -3";#N/A,#N/A,FALSE,"BETER -urb";#N/A,#N/A,FALSE,"BETER -RESUMO"}</definedName>
    <definedName name="wrn.BETER." hidden="1">{#N/A,#N/A,FALSE,"BETER -1";#N/A,#N/A,FALSE,"BETER -2";#N/A,#N/A,FALSE,"BETER -3";#N/A,#N/A,FALSE,"BETER -urb";#N/A,#N/A,FALSE,"BETER -RESUMO"}</definedName>
    <definedName name="wrn.Board._.Pack." localSheetId="2" hidden="1">{"Board Income Statement",#N/A,FALSE,"Board Summary";"Board Balance Sheet",#N/A,FALSE,"Board Summary";"Board Cash Flow",#N/A,FALSE,"Board Summary"}</definedName>
    <definedName name="wrn.Board._.Pack." hidden="1">{"Board Income Statement",#N/A,FALSE,"Board Summary";"Board Balance Sheet",#N/A,FALSE,"Board Summary";"Board Cash Flow",#N/A,FALSE,"Board Summary"}</definedName>
    <definedName name="wrn.BOQCIC." localSheetId="2" hidden="1">{#N/A,#N/A,FALSE,"BOQCIC";#N/A,#N/A,FALSE,"3Ds";#N/A,#N/A,FALSE,"COST DETAIL"}</definedName>
    <definedName name="wrn.BOQCIC." hidden="1">{#N/A,#N/A,FALSE,"BOQCIC";#N/A,#N/A,FALSE,"3Ds";#N/A,#N/A,FALSE,"COST DETAIL"}</definedName>
    <definedName name="wrn.Brita98.xls." localSheetId="2" hidden="1">{#N/A,#N/A,TRUE,"Quinzena 01 à 15-04-98 "}</definedName>
    <definedName name="wrn.Brita98.xls." hidden="1">{#N/A,#N/A,TRUE,"Quinzena 01 à 15-04-98 "}</definedName>
    <definedName name="wrn.Carrefour._.Worse._.Case." localSheetId="2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" localSheetId="2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omp._.Aluguel._.Mes." localSheetId="2" hidden="1">{#N/A,#N/A,FALSE,"Comp Aluguel Mes"}</definedName>
    <definedName name="wrn.Comp._.Aluguel._.Mes." hidden="1">{#N/A,#N/A,FALSE,"Comp Aluguel Mes"}</definedName>
    <definedName name="wrn.Comp._.Aluguel._.Mes._1" localSheetId="2" hidden="1">{#N/A,#N/A,FALSE,"Comp Aluguel Mes"}</definedName>
    <definedName name="wrn.Comp._.Aluguel._.Mes._1" hidden="1">{#N/A,#N/A,FALSE,"Comp Aluguel Mes"}</definedName>
    <definedName name="wrn.Comp._.Aluguel._.Mes._1_1_1" localSheetId="2" hidden="1">{#N/A,#N/A,FALSE,"Comp Aluguel Mes"}</definedName>
    <definedName name="wrn.Comp._.Aluguel._.Mes._1_1_1" hidden="1">{#N/A,#N/A,FALSE,"Comp Aluguel Mes"}</definedName>
    <definedName name="wrn.Comp._.Aluguel._.Mes._2" localSheetId="2" hidden="1">{#N/A,#N/A,FALSE,"Comp Aluguel Mes"}</definedName>
    <definedName name="wrn.Comp._.Aluguel._.Mes._2" hidden="1">{#N/A,#N/A,FALSE,"Comp Aluguel Mes"}</definedName>
    <definedName name="wrn.Comp._.Aluguel._.Mes._2_1" localSheetId="2" hidden="1">{#N/A,#N/A,FALSE,"Comp Aluguel Mes"}</definedName>
    <definedName name="wrn.Comp._.Aluguel._.Mes._2_1" hidden="1">{#N/A,#N/A,FALSE,"Comp Aluguel Mes"}</definedName>
    <definedName name="wrn.Comp._.Venda._.Mes." localSheetId="2" hidden="1">{#N/A,#N/A,FALSE,"Comp Venda Mes"}</definedName>
    <definedName name="wrn.Comp._.Venda._.Mes." hidden="1">{#N/A,#N/A,FALSE,"Comp Venda Mes"}</definedName>
    <definedName name="wrn.Comp._.Venda._.Mes._1" localSheetId="2" hidden="1">{#N/A,#N/A,FALSE,"Comp Venda Mes"}</definedName>
    <definedName name="wrn.Comp._.Venda._.Mes._1" hidden="1">{#N/A,#N/A,FALSE,"Comp Venda Mes"}</definedName>
    <definedName name="wrn.Comp._.Venda._.Mes._1_1_1" localSheetId="2" hidden="1">{#N/A,#N/A,FALSE,"Comp Venda Mes"}</definedName>
    <definedName name="wrn.Comp._.Venda._.Mes._1_1_1" hidden="1">{#N/A,#N/A,FALSE,"Comp Venda Mes"}</definedName>
    <definedName name="wrn.Comp._.Venda._.Mes._2" localSheetId="2" hidden="1">{#N/A,#N/A,FALSE,"Comp Venda Mes"}</definedName>
    <definedName name="wrn.Comp._.Venda._.Mes._2" hidden="1">{#N/A,#N/A,FALSE,"Comp Venda Mes"}</definedName>
    <definedName name="wrn.Comp._.Venda._.Mes._2_1" localSheetId="2" hidden="1">{#N/A,#N/A,FALSE,"Comp Venda Mes"}</definedName>
    <definedName name="wrn.Comp._.Venda._.Mes._2_1" hidden="1">{#N/A,#N/A,FALSE,"Comp Venda Mes"}</definedName>
    <definedName name="wrn.Company._.Analysis." localSheetId="2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" localSheetId="2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LETO." localSheetId="2" hidden="1">{#N/A,#N/A,FALSE,"RESUMO";#N/A,#N/A,FALSE,"EXTR.CRON.";#N/A,#N/A,FALSE,"REAJUSTE";#N/A,#N/A,FALSE,"RES.FIN.-APTO";#N/A,#N/A,FALSE,"RES.FÍS.-APTO";#N/A,#N/A,FALSE,"MED-APTO";#N/A,#N/A,FALSE,"RES.FIN.-CASA";#N/A,#N/A,FALSE,"RES.FÍS.-CASA";#N/A,#N/A,FALSE,"MED-CASA";#N/A,#N/A,FALSE,"RES.FIN.-FUND.";#N/A,#N/A,FALSE,"RES.FÍS.-FUND.";#N/A,#N/A,FALSE,"MED-FUND.";#N/A,#N/A,FALSE,"GRÁFICO"}</definedName>
    <definedName name="wrn.COMPLETO." hidden="1">{#N/A,#N/A,FALSE,"RESUMO";#N/A,#N/A,FALSE,"EXTR.CRON.";#N/A,#N/A,FALSE,"REAJUSTE";#N/A,#N/A,FALSE,"RES.FIN.-APTO";#N/A,#N/A,FALSE,"RES.FÍS.-APTO";#N/A,#N/A,FALSE,"MED-APTO";#N/A,#N/A,FALSE,"RES.FIN.-CASA";#N/A,#N/A,FALSE,"RES.FÍS.-CASA";#N/A,#N/A,FALSE,"MED-CASA";#N/A,#N/A,FALSE,"RES.FIN.-FUND.";#N/A,#N/A,FALSE,"RES.FÍS.-FUND.";#N/A,#N/A,FALSE,"MED-FUND.";#N/A,#N/A,FALSE,"GRÁFICO"}</definedName>
    <definedName name="wrn.Cover.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_.All." localSheetId="2" hidden="1">{"Asia and Europe",#N/A,FALSE,"Selected Output 1";"United States",#N/A,FALSE,"Selected Output 1"}</definedName>
    <definedName name="wrn.CSC._.All." hidden="1">{"Asia and Europe",#N/A,FALSE,"Selected Output 1";"United States",#N/A,FALSE,"Selected Output 1"}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ivestiture." localSheetId="2" hidden="1">{#N/A,#N/A,TRUE,"Overview";#N/A,#N/A,TRUE,"Divest Val";#N/A,#N/A,TRUE,"sources &amp; uses";#N/A,#N/A,TRUE,"Has-Gets Divest"}</definedName>
    <definedName name="wrn.divestiture." hidden="1">{#N/A,#N/A,TRUE,"Overview";#N/A,#N/A,TRUE,"Divest Val";#N/A,#N/A,TRUE,"sources &amp; uses";#N/A,#N/A,TRUE,"Has-Gets Divest"}</definedName>
    <definedName name="wrn.Einhundert._.Prozent._.alle._.Perioden." localSheetId="2" hidden="1">{"Alle Perioden",#N/A,FALSE,"Erf";"Alle Perioden",#N/A,FALSE,"BV100";"Alle Perioden",#N/A,FALSE,"BE100";"Alle Perioden",#N/A,FALSE,"Re100";"Alle Perioden",#N/A,FALSE,"Vol100"}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localSheetId="2" hidden="1">{"Erste elf Perioden",#N/A,FALSE,"Erf";"Erste elf Perioden",#N/A,FALSE,"BV100";"Erste elf Perioden",#N/A,FALSE,"BE100";"Erste elf Perioden",#N/A,FALSE,"Re100";"Erste elf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urope.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XITO." localSheetId="2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forneci" localSheetId="2" hidden="1">{#N/A,#N/A,FALSE,"CONTROLE";#N/A,#N/A,FALSE,"CONTROLE"}</definedName>
    <definedName name="wrn.forneci" hidden="1">{#N/A,#N/A,FALSE,"CONTROLE";#N/A,#N/A,FALSE,"CONTROLE"}</definedName>
    <definedName name="wrn.Friendly." localSheetId="2" hidden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samtausdruck._.alle._.Perioden." localSheetId="2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localSheetId="2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imp." localSheetId="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.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RESSO." localSheetId="2" hidden="1">{#N/A,#N/A,FALSE,"Plan1";#N/A,#N/A,FALSE,"Plan2"}</definedName>
    <definedName name="wrn.IMPRESSO." hidden="1">{#N/A,#N/A,FALSE,"Plan1";#N/A,#N/A,FALSE,"Plan2"}</definedName>
    <definedName name="wrn.Imprimir." localSheetId="2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Inad._.Unidade._.OTN." localSheetId="2" hidden="1">{#N/A,#N/A,FALSE,"Inad Unidade-OTN"}</definedName>
    <definedName name="wrn.Inad._.Unidade._.OTN." hidden="1">{#N/A,#N/A,FALSE,"Inad Unidade-OTN"}</definedName>
    <definedName name="wrn.Inad._.Unidade._.OTN._1" localSheetId="2" hidden="1">{#N/A,#N/A,FALSE,"Inad Unidade-OTN"}</definedName>
    <definedName name="wrn.Inad._.Unidade._.OTN._1" hidden="1">{#N/A,#N/A,FALSE,"Inad Unidade-OTN"}</definedName>
    <definedName name="wrn.Inad._.Unidade._.OTN._1_1_1" localSheetId="2" hidden="1">{#N/A,#N/A,FALSE,"Inad Unidade-OTN"}</definedName>
    <definedName name="wrn.Inad._.Unidade._.OTN._1_1_1" hidden="1">{#N/A,#N/A,FALSE,"Inad Unidade-OTN"}</definedName>
    <definedName name="wrn.Inad._.Unidade._.OTN._2" localSheetId="2" hidden="1">{#N/A,#N/A,FALSE,"Inad Unidade-OTN"}</definedName>
    <definedName name="wrn.Inad._.Unidade._.OTN._2" hidden="1">{#N/A,#N/A,FALSE,"Inad Unidade-OTN"}</definedName>
    <definedName name="wrn.Inad._.Unidade._.OTN._2_1" localSheetId="2" hidden="1">{#N/A,#N/A,FALSE,"Inad Unidade-OTN"}</definedName>
    <definedName name="wrn.Inad._.Unidade._.OTN._2_1" hidden="1">{#N/A,#N/A,FALSE,"Inad Unidade-OTN"}</definedName>
    <definedName name="wrn.Inad._.Unidade._.real." localSheetId="2" hidden="1">{#N/A,#N/A,FALSE,"Inad Unidade-R$"}</definedName>
    <definedName name="wrn.Inad._.Unidade._.real." hidden="1">{#N/A,#N/A,FALSE,"Inad Unidade-R$"}</definedName>
    <definedName name="wrn.Inad._.Unidade._.real._1" localSheetId="2" hidden="1">{#N/A,#N/A,FALSE,"Inad Unidade-R$"}</definedName>
    <definedName name="wrn.Inad._.Unidade._.real._1" hidden="1">{#N/A,#N/A,FALSE,"Inad Unidade-R$"}</definedName>
    <definedName name="wrn.Inad._.Unidade._.real._1_1_1" localSheetId="2" hidden="1">{#N/A,#N/A,FALSE,"Inad Unidade-R$"}</definedName>
    <definedName name="wrn.Inad._.Unidade._.real._1_1_1" hidden="1">{#N/A,#N/A,FALSE,"Inad Unidade-R$"}</definedName>
    <definedName name="wrn.Inad._.Unidade._.real._2" localSheetId="2" hidden="1">{#N/A,#N/A,FALSE,"Inad Unidade-R$"}</definedName>
    <definedName name="wrn.Inad._.Unidade._.real._2" hidden="1">{#N/A,#N/A,FALSE,"Inad Unidade-R$"}</definedName>
    <definedName name="wrn.Inad._.Unidade._.real._2_1" localSheetId="2" hidden="1">{#N/A,#N/A,FALSE,"Inad Unidade-R$"}</definedName>
    <definedName name="wrn.Inad._.Unidade._.real._2_1" hidden="1">{#N/A,#N/A,FALSE,"Inad Unidade-R$"}</definedName>
    <definedName name="wrn.Inadimplencia._.Absoluta." localSheetId="2" hidden="1">{#N/A,#N/A,FALSE,"Inadimplencia Absoluta"}</definedName>
    <definedName name="wrn.Inadimplencia._.Absoluta." hidden="1">{#N/A,#N/A,FALSE,"Inadimplencia Absoluta"}</definedName>
    <definedName name="wrn.Inadimplencia._.Absoluta._1" localSheetId="2" hidden="1">{#N/A,#N/A,FALSE,"Inadimplencia Absoluta"}</definedName>
    <definedName name="wrn.Inadimplencia._.Absoluta._1" hidden="1">{#N/A,#N/A,FALSE,"Inadimplencia Absoluta"}</definedName>
    <definedName name="wrn.Inadimplencia._.Absoluta._1_1_1" localSheetId="2" hidden="1">{#N/A,#N/A,FALSE,"Inadimplencia Absoluta"}</definedName>
    <definedName name="wrn.Inadimplencia._.Absoluta._1_1_1" hidden="1">{#N/A,#N/A,FALSE,"Inadimplencia Absoluta"}</definedName>
    <definedName name="wrn.Inadimplencia._.Absoluta._2" localSheetId="2" hidden="1">{#N/A,#N/A,FALSE,"Inadimplencia Absoluta"}</definedName>
    <definedName name="wrn.Inadimplencia._.Absoluta._2" hidden="1">{#N/A,#N/A,FALSE,"Inadimplencia Absoluta"}</definedName>
    <definedName name="wrn.Inadimplencia._.Absoluta._2_1" localSheetId="2" hidden="1">{#N/A,#N/A,FALSE,"Inadimplencia Absoluta"}</definedName>
    <definedName name="wrn.Inadimplencia._.Absoluta._2_1" hidden="1">{#N/A,#N/A,FALSE,"Inadimplencia Absoluta"}</definedName>
    <definedName name="wrn.Inadimplencia._.Relativa." localSheetId="2" hidden="1">{#N/A,#N/A,FALSE,"Inadimplencia Relativa"}</definedName>
    <definedName name="wrn.Inadimplencia._.Relativa." hidden="1">{#N/A,#N/A,FALSE,"Inadimplencia Relativa"}</definedName>
    <definedName name="wrn.Inadimplencia._.Relativa._1" localSheetId="2" hidden="1">{#N/A,#N/A,FALSE,"Inadimplencia Relativa"}</definedName>
    <definedName name="wrn.Inadimplencia._.Relativa._1" hidden="1">{#N/A,#N/A,FALSE,"Inadimplencia Relativa"}</definedName>
    <definedName name="wrn.Inadimplencia._.Relativa._1_1_1" localSheetId="2" hidden="1">{#N/A,#N/A,FALSE,"Inadimplencia Relativa"}</definedName>
    <definedName name="wrn.Inadimplencia._.Relativa._1_1_1" hidden="1">{#N/A,#N/A,FALSE,"Inadimplencia Relativa"}</definedName>
    <definedName name="wrn.Inadimplencia._.Relativa._2" localSheetId="2" hidden="1">{#N/A,#N/A,FALSE,"Inadimplencia Relativa"}</definedName>
    <definedName name="wrn.Inadimplencia._.Relativa._2" hidden="1">{#N/A,#N/A,FALSE,"Inadimplencia Relativa"}</definedName>
    <definedName name="wrn.Inadimplencia._.Relativa._2_1" localSheetId="2" hidden="1">{#N/A,#N/A,FALSE,"Inadimplencia Relativa"}</definedName>
    <definedName name="wrn.Inadimplencia._.Relativa._2_1" hidden="1">{#N/A,#N/A,FALSE,"Inadimplencia Relativa"}</definedName>
    <definedName name="wrn.Latin._.America." localSheetId="2" hidden="1">{"rawdata",#N/A,TRUE,"CANTV";"in",#N/A,TRUE,"CANTV";"rawdata",#N/A,TRUE,"Entel";"in",#N/A,TRUE,"Entel";"rawdata",#N/A,TRUE,"TBra";"in",#N/A,TRUE,"TBra";"rawdata",#N/A,TRUE,"TArg";"in",#N/A,TRUE,"TArg";"rawdata",#N/A,TRUE,"TdArg";"in",#N/A,TRUE,"TdArg";"rawdata",#N/A,TRUE,"TdPer";"in",#N/A,TRUE,"TdPer";"rawdata",#N/A,TRUE,"CTC";"in",#N/A,TRUE,"CTC";"rawdata",#N/A,TRUE,"TMX";"in",#N/A,TRUE,"TMX"}</definedName>
    <definedName name="wrn.Latin._.America." hidden="1">{"rawdata",#N/A,TRUE,"CANTV";"in",#N/A,TRUE,"CANTV";"rawdata",#N/A,TRUE,"Entel";"in",#N/A,TRUE,"Entel";"rawdata",#N/A,TRUE,"TBra";"in",#N/A,TRUE,"TBra";"rawdata",#N/A,TRUE,"TArg";"in",#N/A,TRUE,"TArg";"rawdata",#N/A,TRUE,"TdArg";"in",#N/A,TRUE,"TdArg";"rawdata",#N/A,TRUE,"TdPer";"in",#N/A,TRUE,"TdPer";"rawdata",#N/A,TRUE,"CTC";"in",#N/A,TRUE,"CTC";"rawdata",#N/A,TRUE,"TMX";"in",#N/A,TRUE,"TMX"}</definedName>
    <definedName name="wrn.Lojas._.por._.Aluguel._.Real." localSheetId="2" hidden="1">{#N/A,#N/A,FALSE,"Lojas por Aluguel (R$)"}</definedName>
    <definedName name="wrn.Lojas._.por._.Aluguel._.Real." hidden="1">{#N/A,#N/A,FALSE,"Lojas por Aluguel (R$)"}</definedName>
    <definedName name="wrn.Lojas._.por._.Aluguel._.Real._1" localSheetId="2" hidden="1">{#N/A,#N/A,FALSE,"Lojas por Aluguel (R$)"}</definedName>
    <definedName name="wrn.Lojas._.por._.Aluguel._.Real._1" hidden="1">{#N/A,#N/A,FALSE,"Lojas por Aluguel (R$)"}</definedName>
    <definedName name="wrn.Lojas._.por._.Aluguel._.Real._1_1_1" localSheetId="2" hidden="1">{#N/A,#N/A,FALSE,"Lojas por Aluguel (R$)"}</definedName>
    <definedName name="wrn.Lojas._.por._.Aluguel._.Real._1_1_1" hidden="1">{#N/A,#N/A,FALSE,"Lojas por Aluguel (R$)"}</definedName>
    <definedName name="wrn.Lojas._.por._.Aluguel._.Real._2" localSheetId="2" hidden="1">{#N/A,#N/A,FALSE,"Lojas por Aluguel (R$)"}</definedName>
    <definedName name="wrn.Lojas._.por._.Aluguel._.Real._2" hidden="1">{#N/A,#N/A,FALSE,"Lojas por Aluguel (R$)"}</definedName>
    <definedName name="wrn.Lojas._.por._.Aluguel._.Real._2_1" localSheetId="2" hidden="1">{#N/A,#N/A,FALSE,"Lojas por Aluguel (R$)"}</definedName>
    <definedName name="wrn.Lojas._.por._.Aluguel._.Real._2_1" hidden="1">{#N/A,#N/A,FALSE,"Lojas por Aluguel (R$)"}</definedName>
    <definedName name="wrn.Lojas._.por._.Faturamento._.real." localSheetId="2" hidden="1">{#N/A,#N/A,FALSE,"Lojas por Faturamento (R$)"}</definedName>
    <definedName name="wrn.Lojas._.por._.Faturamento._.real." hidden="1">{#N/A,#N/A,FALSE,"Lojas por Faturamento (R$)"}</definedName>
    <definedName name="wrn.Lojas._.por._.Faturamento._.real._1" localSheetId="2" hidden="1">{#N/A,#N/A,FALSE,"Lojas por Faturamento (R$)"}</definedName>
    <definedName name="wrn.Lojas._.por._.Faturamento._.real._1" hidden="1">{#N/A,#N/A,FALSE,"Lojas por Faturamento (R$)"}</definedName>
    <definedName name="wrn.Lojas._.por._.Faturamento._.real._1_1_1" localSheetId="2" hidden="1">{#N/A,#N/A,FALSE,"Lojas por Faturamento (R$)"}</definedName>
    <definedName name="wrn.Lojas._.por._.Faturamento._.real._1_1_1" hidden="1">{#N/A,#N/A,FALSE,"Lojas por Faturamento (R$)"}</definedName>
    <definedName name="wrn.Lojas._.por._.Faturamento._.real._2" localSheetId="2" hidden="1">{#N/A,#N/A,FALSE,"Lojas por Faturamento (R$)"}</definedName>
    <definedName name="wrn.Lojas._.por._.Faturamento._.real._2" hidden="1">{#N/A,#N/A,FALSE,"Lojas por Faturamento (R$)"}</definedName>
    <definedName name="wrn.Lojas._.por._.Faturamento._.real._2_1" localSheetId="2" hidden="1">{#N/A,#N/A,FALSE,"Lojas por Faturamento (R$)"}</definedName>
    <definedName name="wrn.Lojas._.por._.Faturamento._.real._2_1" hidden="1">{#N/A,#N/A,FALSE,"Lojas por Faturamento (R$)"}</definedName>
    <definedName name="wrn.Mapa._.de._.Aluguel._.Analitico." localSheetId="2" hidden="1">{#N/A,#N/A,FALSE,"Mapa de Aluguel - Analítico"}</definedName>
    <definedName name="wrn.Mapa._.de._.Aluguel._.Analitico." hidden="1">{#N/A,#N/A,FALSE,"Mapa de Aluguel - Analítico"}</definedName>
    <definedName name="wrn.Mapa._.de._.Aluguel._.Analitico._1" localSheetId="2" hidden="1">{#N/A,#N/A,FALSE,"Mapa de Aluguel - Analítico"}</definedName>
    <definedName name="wrn.Mapa._.de._.Aluguel._.Analitico._1" hidden="1">{#N/A,#N/A,FALSE,"Mapa de Aluguel - Analítico"}</definedName>
    <definedName name="wrn.Mapa._.de._.Aluguel._.Analitico._1_1_1" localSheetId="2" hidden="1">{#N/A,#N/A,FALSE,"Mapa de Aluguel - Analítico"}</definedName>
    <definedName name="wrn.Mapa._.de._.Aluguel._.Analitico._1_1_1" hidden="1">{#N/A,#N/A,FALSE,"Mapa de Aluguel - Analítico"}</definedName>
    <definedName name="wrn.Mapa._.de._.Aluguel._.Analitico._2" localSheetId="2" hidden="1">{#N/A,#N/A,FALSE,"Mapa de Aluguel - Analítico"}</definedName>
    <definedName name="wrn.Mapa._.de._.Aluguel._.Analitico._2" hidden="1">{#N/A,#N/A,FALSE,"Mapa de Aluguel - Analítico"}</definedName>
    <definedName name="wrn.Mapa._.de._.Aluguel._.Analitico._2_1" localSheetId="2" hidden="1">{#N/A,#N/A,FALSE,"Mapa de Aluguel - Analítico"}</definedName>
    <definedName name="wrn.Mapa._.de._.Aluguel._.Analitico._2_1" hidden="1">{#N/A,#N/A,FALSE,"Mapa de Aluguel - Analítico"}</definedName>
    <definedName name="wrn.Mapa._.de._.Aluguel._.Sintetico." localSheetId="2" hidden="1">{#N/A,#N/A,FALSE,"Mapa de Aluguel - Sintético"}</definedName>
    <definedName name="wrn.Mapa._.de._.Aluguel._.Sintetico." hidden="1">{#N/A,#N/A,FALSE,"Mapa de Aluguel - Sintético"}</definedName>
    <definedName name="wrn.Mapa._.de._.Aluguel._.Sintetico._1" localSheetId="2" hidden="1">{#N/A,#N/A,FALSE,"Mapa de Aluguel - Sintético"}</definedName>
    <definedName name="wrn.Mapa._.de._.Aluguel._.Sintetico._1" hidden="1">{#N/A,#N/A,FALSE,"Mapa de Aluguel - Sintético"}</definedName>
    <definedName name="wrn.Mapa._.de._.Aluguel._.Sintetico._1_1_1" localSheetId="2" hidden="1">{#N/A,#N/A,FALSE,"Mapa de Aluguel - Sintético"}</definedName>
    <definedName name="wrn.Mapa._.de._.Aluguel._.Sintetico._1_1_1" hidden="1">{#N/A,#N/A,FALSE,"Mapa de Aluguel - Sintético"}</definedName>
    <definedName name="wrn.Mapa._.de._.Aluguel._.Sintetico._2" localSheetId="2" hidden="1">{#N/A,#N/A,FALSE,"Mapa de Aluguel - Sintético"}</definedName>
    <definedName name="wrn.Mapa._.de._.Aluguel._.Sintetico._2" hidden="1">{#N/A,#N/A,FALSE,"Mapa de Aluguel - Sintético"}</definedName>
    <definedName name="wrn.Mapa._.de._.Aluguel._.Sintetico._2_1" localSheetId="2" hidden="1">{#N/A,#N/A,FALSE,"Mapa de Aluguel - Sintético"}</definedName>
    <definedName name="wrn.Mapa._.de._.Aluguel._.Sintetico._2_1" hidden="1">{#N/A,#N/A,FALSE,"Mapa de Aluguel - Sintético"}</definedName>
    <definedName name="wrn.Media._.Aluguel._.12._.meses." localSheetId="2" hidden="1">{#N/A,#N/A,FALSE,"Média Aluguel 12 Meses"}</definedName>
    <definedName name="wrn.Media._.Aluguel._.12._.meses." hidden="1">{#N/A,#N/A,FALSE,"Média Aluguel 12 Meses"}</definedName>
    <definedName name="wrn.Media._.Aluguel._.12._.meses._1" localSheetId="2" hidden="1">{#N/A,#N/A,FALSE,"Média Aluguel 12 Meses"}</definedName>
    <definedName name="wrn.Media._.Aluguel._.12._.meses._1" hidden="1">{#N/A,#N/A,FALSE,"Média Aluguel 12 Meses"}</definedName>
    <definedName name="wrn.Media._.Aluguel._.12._.meses._1_1_1" localSheetId="2" hidden="1">{#N/A,#N/A,FALSE,"Média Aluguel 12 Meses"}</definedName>
    <definedName name="wrn.Media._.Aluguel._.12._.meses._1_1_1" hidden="1">{#N/A,#N/A,FALSE,"Média Aluguel 12 Meses"}</definedName>
    <definedName name="wrn.Media._.Aluguel._.12._.meses._2" localSheetId="2" hidden="1">{#N/A,#N/A,FALSE,"Média Aluguel 12 Meses"}</definedName>
    <definedName name="wrn.Media._.Aluguel._.12._.meses._2" hidden="1">{#N/A,#N/A,FALSE,"Média Aluguel 12 Meses"}</definedName>
    <definedName name="wrn.Media._.Aluguel._.12._.meses._2_1" localSheetId="2" hidden="1">{#N/A,#N/A,FALSE,"Média Aluguel 12 Meses"}</definedName>
    <definedName name="wrn.Media._.Aluguel._.12._.meses._2_1" hidden="1">{#N/A,#N/A,FALSE,"Média Aluguel 12 Meses"}</definedName>
    <definedName name="wrn.North._.America." localSheetId="2" hidden="1">{"rawdata",#N/A,TRUE,"AT&amp;T";"in",#N/A,TRUE,"AT&amp;T";"rawdata",#N/A,TRUE,"MCI";"in",#N/A,TRUE,"MCI";"rawdata",#N/A,TRUE,"Sprint";"in",#N/A,TRUE,"Sprint";"rawdata",#N/A,TRUE,"ALL";"in",#N/A,TRUE,"ALL";"rawdata",#N/A,TRUE,"Cent";"in",#N/A,TRUE,"Cent";"rawdata",#N/A,TRUE,"Cin";"in",#N/A,TRUE,"Cin";"rawdata",#N/A,TRUE,"Front";"in",#N/A,TRUE,"Front";"rawdata",#N/A,TRUE,"LCI";"in",#N/A,TRUE,"LCI";"rawdata",#N/A,TRUE,"MFS";"in",#N/A,TRUE,"MFS";"rawdata",#N/A,TRUE,"SNET";"in",#N/A,TRUE,"SNET";"rawdata",#N/A,TRUE,"World";"in",#N/A,TRUE,"World";"rawdata",#N/A,TRUE,"BCE";"in",#N/A,TRUE,"BCE";"rawdata",#N/A,TRUE,"Ameri";"in",#N/A,TRUE,"Ameri";"rawdata",#N/A,TRUE,"BellA";"in",#N/A,TRUE,"BellA";"rawdata",#N/A,TRUE,"BellS";"in",#N/A,TRUE,"BellS";"rawdata",#N/A,TRUE,"PacTel";"in",#N/A,TRUE,"PacTel";"rawdata",#N/A,TRUE,"NYN";"in",#N/A,TRUE,"NYN";"rawdata",#N/A,TRUE,"SBC";"in",#N/A,TRUE,"SBC";"rawdata",#N/A,TRUE,"USW";"in",#N/A,TRUE,"USW";"rawdata",#N/A,TRUE,"GTE";"in",#N/A,TRUE,"GTE"}</definedName>
    <definedName name="wrn.North._.America." hidden="1">{"rawdata",#N/A,TRUE,"AT&amp;T";"in",#N/A,TRUE,"AT&amp;T";"rawdata",#N/A,TRUE,"MCI";"in",#N/A,TRUE,"MCI";"rawdata",#N/A,TRUE,"Sprint";"in",#N/A,TRUE,"Sprint";"rawdata",#N/A,TRUE,"ALL";"in",#N/A,TRUE,"ALL";"rawdata",#N/A,TRUE,"Cent";"in",#N/A,TRUE,"Cent";"rawdata",#N/A,TRUE,"Cin";"in",#N/A,TRUE,"Cin";"rawdata",#N/A,TRUE,"Front";"in",#N/A,TRUE,"Front";"rawdata",#N/A,TRUE,"LCI";"in",#N/A,TRUE,"LCI";"rawdata",#N/A,TRUE,"MFS";"in",#N/A,TRUE,"MFS";"rawdata",#N/A,TRUE,"SNET";"in",#N/A,TRUE,"SNET";"rawdata",#N/A,TRUE,"World";"in",#N/A,TRUE,"World";"rawdata",#N/A,TRUE,"BCE";"in",#N/A,TRUE,"BCE";"rawdata",#N/A,TRUE,"Ameri";"in",#N/A,TRUE,"Ameri";"rawdata",#N/A,TRUE,"BellA";"in",#N/A,TRUE,"BellA";"rawdata",#N/A,TRUE,"BellS";"in",#N/A,TRUE,"BellS";"rawdata",#N/A,TRUE,"PacTel";"in",#N/A,TRUE,"PacTel";"rawdata",#N/A,TRUE,"NYN";"in",#N/A,TRUE,"NYN";"rawdata",#N/A,TRUE,"SBC";"in",#N/A,TRUE,"SBC";"rawdata",#N/A,TRUE,"USW";"in",#N/A,TRUE,"USW";"rawdata",#N/A,TRUE,"GTE";"in",#N/A,TRUE,"GTE"}</definedName>
    <definedName name="wrn.ORÇAMENTO." localSheetId="2" hidden="1">{#N/A,#N/A,FALSE,"ORC-ACKE";#N/A,#N/A,FALSE,"RESUMO"}</definedName>
    <definedName name="wrn.ORÇAMENTO." hidden="1">{#N/A,#N/A,FALSE,"ORC-ACKE";#N/A,#N/A,FALSE,"RESUMO"}</definedName>
    <definedName name="wrn.Orcamento._.Completo.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" hidden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_1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_1" hidden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_1_1_1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_1_1_1" hidden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_2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_2" hidden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_2_1" localSheetId="2" hidden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_2_1" hidden="1">{#N/A,#N/A,FALSE,"QUADRO GERAL";#N/A,#N/A,FALSE,"RECEITA OPERACIONAL";#N/A,#N/A,FALSE,"DESP.OPERACIONAIS";#N/A,#N/A,FALSE,"INVESTIMENTOS";#N/A,#N/A,FALSE,"NÃO OPERACIONAL";#N/A,#N/A,FALSE,"PROJEÇÃO INDICADORES"}</definedName>
    <definedName name="wrn.Output." localSheetId="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rformance._.Aluguel." localSheetId="2" hidden="1">{#N/A,#N/A,FALSE,"Performance Aluguel"}</definedName>
    <definedName name="wrn.Performance._.Aluguel." hidden="1">{#N/A,#N/A,FALSE,"Performance Aluguel"}</definedName>
    <definedName name="wrn.Performance._.Aluguel._1" localSheetId="2" hidden="1">{#N/A,#N/A,FALSE,"Performance Aluguel"}</definedName>
    <definedName name="wrn.Performance._.Aluguel._1" hidden="1">{#N/A,#N/A,FALSE,"Performance Aluguel"}</definedName>
    <definedName name="wrn.Performance._.Aluguel._1_1_1" localSheetId="2" hidden="1">{#N/A,#N/A,FALSE,"Performance Aluguel"}</definedName>
    <definedName name="wrn.Performance._.Aluguel._1_1_1" hidden="1">{#N/A,#N/A,FALSE,"Performance Aluguel"}</definedName>
    <definedName name="wrn.Performance._.Aluguel._2" localSheetId="2" hidden="1">{#N/A,#N/A,FALSE,"Performance Aluguel"}</definedName>
    <definedName name="wrn.Performance._.Aluguel._2" hidden="1">{#N/A,#N/A,FALSE,"Performance Aluguel"}</definedName>
    <definedName name="wrn.Performance._.Aluguel._2_1" localSheetId="2" hidden="1">{#N/A,#N/A,FALSE,"Performance Aluguel"}</definedName>
    <definedName name="wrn.Performance._.Aluguel._2_1" hidden="1">{#N/A,#N/A,FALSE,"Performance Aluguel"}</definedName>
    <definedName name="wrn.Performance._.Vendas." localSheetId="2" hidden="1">{#N/A,#N/A,FALSE,"Performance Vendas"}</definedName>
    <definedName name="wrn.Performance._.Vendas." hidden="1">{#N/A,#N/A,FALSE,"Performance Vendas"}</definedName>
    <definedName name="wrn.Performance._.Vendas._1" localSheetId="2" hidden="1">{#N/A,#N/A,FALSE,"Performance Vendas"}</definedName>
    <definedName name="wrn.Performance._.Vendas._1" hidden="1">{#N/A,#N/A,FALSE,"Performance Vendas"}</definedName>
    <definedName name="wrn.Performance._.Vendas._1_1_1" localSheetId="2" hidden="1">{#N/A,#N/A,FALSE,"Performance Vendas"}</definedName>
    <definedName name="wrn.Performance._.Vendas._1_1_1" hidden="1">{#N/A,#N/A,FALSE,"Performance Vendas"}</definedName>
    <definedName name="wrn.Performance._.Vendas._2" localSheetId="2" hidden="1">{#N/A,#N/A,FALSE,"Performance Vendas"}</definedName>
    <definedName name="wrn.Performance._.Vendas._2" hidden="1">{#N/A,#N/A,FALSE,"Performance Vendas"}</definedName>
    <definedName name="wrn.Performance._.Vendas._2_1" localSheetId="2" hidden="1">{#N/A,#N/A,FALSE,"Performance Vendas"}</definedName>
    <definedName name="wrn.Performance._.Vendas._2_1" hidden="1">{#N/A,#N/A,FALSE,"Performance Vendas"}</definedName>
    <definedName name="wrn.PL." localSheetId="2" hidden="1">{"20 Years",#N/A,FALSE,"P&amp;Ls";"2001",#N/A,FALSE,"P&amp;Ls"}</definedName>
    <definedName name="wrn.PL." hidden="1">{"20 Years",#N/A,FALSE,"P&amp;Ls";"2001",#N/A,FALSE,"P&amp;Ls"}</definedName>
    <definedName name="wrn.prices." localSheetId="2" hidden="1">{#N/A,#N/A,TRUE,"BANAMEX";#N/A,#N/A,TRUE,"CGT";#N/A,#N/A,TRUE,"ALFA";#N/A,#N/A,TRUE,"ICA (2)"}</definedName>
    <definedName name="wrn.prices." hidden="1">{#N/A,#N/A,TRUE,"BANAMEX";#N/A,#N/A,TRUE,"CGT";#N/A,#N/A,TRUE,"ALFA";#N/A,#N/A,TRUE,"ICA (2)"}</definedName>
    <definedName name="wrn.Print._.Entire._.Business._.Case." localSheetId="2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wrn.Print._.Entire._.Business._.Case.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wrn.Project._.Summaries." localSheetId="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wrn.Project._.Summaries.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wrn.Quadro._.Antigo." localSheetId="2" hidden="1">{#N/A,#N/A,FALSE,"QuadroAntigo"}</definedName>
    <definedName name="wrn.Quadro._.Antigo." hidden="1">{#N/A,#N/A,FALSE,"QuadroAntigo"}</definedName>
    <definedName name="wrn.Quadro._.Antigo._1" localSheetId="2" hidden="1">{#N/A,#N/A,FALSE,"QuadroAntigo"}</definedName>
    <definedName name="wrn.Quadro._.Antigo._1" hidden="1">{#N/A,#N/A,FALSE,"QuadroAntigo"}</definedName>
    <definedName name="wrn.Quadro._.Antigo._1_1_1" localSheetId="2" hidden="1">{#N/A,#N/A,FALSE,"QuadroAntigo"}</definedName>
    <definedName name="wrn.Quadro._.Antigo._1_1_1" hidden="1">{#N/A,#N/A,FALSE,"QuadroAntigo"}</definedName>
    <definedName name="wrn.Quadro._.Antigo._2" localSheetId="2" hidden="1">{#N/A,#N/A,FALSE,"QuadroAntigo"}</definedName>
    <definedName name="wrn.Quadro._.Antigo._2" hidden="1">{#N/A,#N/A,FALSE,"QuadroAntigo"}</definedName>
    <definedName name="wrn.Quadro._.Antigo._2_1" localSheetId="2" hidden="1">{#N/A,#N/A,FALSE,"QuadroAntigo"}</definedName>
    <definedName name="wrn.Quadro._.Antigo._2_1" hidden="1">{#N/A,#N/A,FALSE,"QuadroAntigo"}</definedName>
    <definedName name="wrn.Quadro._.de._.Areas." localSheetId="2" hidden="1">{#N/A,#N/A,FALSE,"Quadro de Areas"}</definedName>
    <definedName name="wrn.Quadro._.de._.Areas." hidden="1">{#N/A,#N/A,FALSE,"Quadro de Areas"}</definedName>
    <definedName name="wrn.Quadro._.de._.Areas._1" localSheetId="2" hidden="1">{#N/A,#N/A,FALSE,"Quadro de Areas"}</definedName>
    <definedName name="wrn.Quadro._.de._.Areas._1" hidden="1">{#N/A,#N/A,FALSE,"Quadro de Areas"}</definedName>
    <definedName name="wrn.Quadro._.de._.Areas._1_1_1" localSheetId="2" hidden="1">{#N/A,#N/A,FALSE,"Quadro de Areas"}</definedName>
    <definedName name="wrn.Quadro._.de._.Areas._1_1_1" hidden="1">{#N/A,#N/A,FALSE,"Quadro de Areas"}</definedName>
    <definedName name="wrn.Quadro._.de._.Areas._2" localSheetId="2" hidden="1">{#N/A,#N/A,FALSE,"Quadro de Areas"}</definedName>
    <definedName name="wrn.Quadro._.de._.Areas._2" hidden="1">{#N/A,#N/A,FALSE,"Quadro de Areas"}</definedName>
    <definedName name="wrn.Quadro._.de._.Areas._2_1" localSheetId="2" hidden="1">{#N/A,#N/A,FALSE,"Quadro de Areas"}</definedName>
    <definedName name="wrn.Quadro._.de._.Areas._2_1" hidden="1">{#N/A,#N/A,FALSE,"Quadro de Areas"}</definedName>
    <definedName name="wrn.Quadros._.relatório.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amos._.LJ." localSheetId="2" hidden="1">{#N/A,#N/A,FALSE,"RamosLj"}</definedName>
    <definedName name="wrn.Ramos._.LJ." hidden="1">{#N/A,#N/A,FALSE,"RamosLj"}</definedName>
    <definedName name="wrn.Ramos._.LJ._1" localSheetId="2" hidden="1">{#N/A,#N/A,FALSE,"RamosLj"}</definedName>
    <definedName name="wrn.Ramos._.LJ._1" hidden="1">{#N/A,#N/A,FALSE,"RamosLj"}</definedName>
    <definedName name="wrn.Ramos._.LJ._1_1_1" localSheetId="2" hidden="1">{#N/A,#N/A,FALSE,"RamosLj"}</definedName>
    <definedName name="wrn.Ramos._.LJ._1_1_1" hidden="1">{#N/A,#N/A,FALSE,"RamosLj"}</definedName>
    <definedName name="wrn.Ramos._.LJ._2" localSheetId="2" hidden="1">{#N/A,#N/A,FALSE,"RamosLj"}</definedName>
    <definedName name="wrn.Ramos._.LJ._2" hidden="1">{#N/A,#N/A,FALSE,"RamosLj"}</definedName>
    <definedName name="wrn.Ramos._.LJ._2_1" localSheetId="2" hidden="1">{#N/A,#N/A,FALSE,"RamosLj"}</definedName>
    <definedName name="wrn.Ramos._.LJ._2_1" hidden="1">{#N/A,#N/A,FALSE,"RamosLj"}</definedName>
    <definedName name="wrn.RELATORIO." localSheetId="2" hidden="1">{#N/A,#N/A,FALSE,"CONTROLE";#N/A,#N/A,FALSE,"CONTROLE"}</definedName>
    <definedName name="wrn.RELATORIO." hidden="1">{#N/A,#N/A,FALSE,"CONTROLE";#N/A,#N/A,FALSE,"CONTROLE"}</definedName>
    <definedName name="wrn.RELATÓRIO." localSheetId="2" hidden="1">{#N/A,#N/A,FALSE,"BET-HEL";#N/A,#N/A,FALSE,"CCAMP-SI";#N/A,#N/A,FALSE,"DELL-ORQ";#N/A,#N/A,FALSE,"LOPES-IT";#N/A,#N/A,FALSE,"MAST-HN";#N/A,#N/A,FALSE,"MULT-CAM";#N/A,#N/A,FALSE,"PLIMA-ASHCAR";#N/A,#N/A,FALSE,"RCOSTA-IVC";#N/A,#N/A,FALSE,"SERG-ACAC";#N/A,#N/A,FALSE,"SERTRY-IPES";#N/A,#N/A,FALSE,"VENDRA-IM";#N/A,#N/A,FALSE,"VM-BBII";#N/A,#N/A,FALSE,"YAZ-CEDROS"}</definedName>
    <definedName name="wrn.RELATÓRIO." hidden="1">{#N/A,#N/A,FALSE,"BET-HEL";#N/A,#N/A,FALSE,"CCAMP-SI";#N/A,#N/A,FALSE,"DELL-ORQ";#N/A,#N/A,FALSE,"LOPES-IT";#N/A,#N/A,FALSE,"MAST-HN";#N/A,#N/A,FALSE,"MULT-CAM";#N/A,#N/A,FALSE,"PLIMA-ASHCAR";#N/A,#N/A,FALSE,"RCOSTA-IVC";#N/A,#N/A,FALSE,"SERG-ACAC";#N/A,#N/A,FALSE,"SERTRY-IPES";#N/A,#N/A,FALSE,"VENDRA-IM";#N/A,#N/A,FALSE,"VM-BBII";#N/A,#N/A,FALSE,"YAZ-CEDROS"}</definedName>
    <definedName name="wrn.Relatório._.01." localSheetId="2" hidden="1">{#N/A,#N/A,TRUE,"Resumo de Preços"}</definedName>
    <definedName name="wrn.Relatório._.01." hidden="1">{#N/A,#N/A,TRUE,"Resumo de Preços"}</definedName>
    <definedName name="wrn.Relatório._.Resumido." localSheetId="2" hidden="1">{#N/A,#N/A,FALSE,"GP";#N/A,#N/A,FALSE,"Assinantes";#N/A,#N/A,FALSE,"Rede";#N/A,#N/A,FALSE,"Evolução";#N/A,#N/A,FALSE,"Resultado"}</definedName>
    <definedName name="wrn.Relatório._.Resumido." hidden="1">{#N/A,#N/A,FALSE,"GP";#N/A,#N/A,FALSE,"Assinantes";#N/A,#N/A,FALSE,"Rede";#N/A,#N/A,FALSE,"Evolução";#N/A,#N/A,FALSE,"Resultado"}</definedName>
    <definedName name="wrn.Relatório.1_.01." localSheetId="2" hidden="1">{#N/A,#N/A,TRUE,"Resumo de Preços"}</definedName>
    <definedName name="wrn.Relatório.1_.01." hidden="1">{#N/A,#N/A,TRUE,"Resumo de Preços"}</definedName>
    <definedName name="WRN.RELATORIO.2_01." localSheetId="2" hidden="1">{#N/A,#N/A,TRUE,"Resumo de Preços"}</definedName>
    <definedName name="WRN.RELATORIO.2_01." hidden="1">{#N/A,#N/A,TRUE,"Resumo de Preços"}</definedName>
    <definedName name="wrn.Scenario._.Summary.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IM95." localSheetId="2" hidden="1">{#N/A,#N/A,FALSE,"SIM95"}</definedName>
    <definedName name="wrn.SIM95." hidden="1">{#N/A,#N/A,FALSE,"SIM95"}</definedName>
    <definedName name="wrn.sim953" localSheetId="2" hidden="1">{#N/A,#N/A,FALSE,"SIM95"}</definedName>
    <definedName name="wrn.sim953" hidden="1">{#N/A,#N/A,FALSE,"SIM95"}</definedName>
    <definedName name="wrn.sim954" localSheetId="2" hidden="1">{#N/A,#N/A,FALSE,"SIM95"}</definedName>
    <definedName name="wrn.sim954" hidden="1">{#N/A,#N/A,FALSE,"SIM95"}</definedName>
    <definedName name="wrn.SOCIEDAD." localSheetId="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test." localSheetId="2" hidden="1">{#N/A,#N/A,FALSE,"Bericht 2";#N/A,#N/A,FALSE,"Bericht 3";#N/A,#N/A,FALSE,"Bericht 1"}</definedName>
    <definedName name="wrn.test." hidden="1">{#N/A,#N/A,FALSE,"Bericht 2";#N/A,#N/A,FALSE,"Bericht 3";#N/A,#N/A,FALSE,"Bericht 1"}</definedName>
    <definedName name="wrn.testbericht." localSheetId="2" hidden="1">{#N/A,#N/A,FALSE,"Tabelle1"}</definedName>
    <definedName name="wrn.testbericht." hidden="1">{#N/A,#N/A,FALSE,"Tabelle1"}</definedName>
    <definedName name="wrn.totalcomp." localSheetId="2" hidden="1">{"comp1",#N/A,FALSE,"COMPS";"footnotes",#N/A,FALSE,"COMPS"}</definedName>
    <definedName name="wrn.totalcomp." hidden="1">{"comp1",#N/A,FALSE,"COMPS";"footnotes",#N/A,FALSE,"COMPS"}</definedName>
    <definedName name="wrn.Vendas." localSheetId="2" hidden="1">{#N/A,#N/A,FALSE,"Vendas"}</definedName>
    <definedName name="wrn.Vendas." hidden="1">{#N/A,#N/A,FALSE,"Vendas"}</definedName>
    <definedName name="wrn.Vendas._1" localSheetId="2" hidden="1">{#N/A,#N/A,FALSE,"Vendas"}</definedName>
    <definedName name="wrn.Vendas._1" hidden="1">{#N/A,#N/A,FALSE,"Vendas"}</definedName>
    <definedName name="wrn.Vendas._1_1_1" localSheetId="2" hidden="1">{#N/A,#N/A,FALSE,"Vendas"}</definedName>
    <definedName name="wrn.Vendas._1_1_1" hidden="1">{#N/A,#N/A,FALSE,"Vendas"}</definedName>
    <definedName name="wrn.Vendas._2" localSheetId="2" hidden="1">{#N/A,#N/A,FALSE,"Vendas"}</definedName>
    <definedName name="wrn.Vendas._2" hidden="1">{#N/A,#N/A,FALSE,"Vendas"}</definedName>
    <definedName name="wrn.Vendas._2_1" localSheetId="2" hidden="1">{#N/A,#N/A,FALSE,"Vendas"}</definedName>
    <definedName name="wrn.Vendas._2_1" hidden="1">{#N/A,#N/A,FALSE,"Vendas"}</definedName>
    <definedName name="wrn.Whole._.Pack." localSheetId="2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ork._.rev._.sal._.uss." localSheetId="2" hidden="1">{"work rev sal uss",#N/A,TRUE,"WORKSHEET REV &amp; SAL"}</definedName>
    <definedName name="wrn.work._.rev._.sal._.uss." hidden="1">{"work rev sal uss",#N/A,TRUE,"WORKSHEET REV &amp; SAL"}</definedName>
    <definedName name="wrn.Work._.sal._.RS." localSheetId="2" hidden="1">{"WORK REV SAL R$",#N/A,TRUE,"WORKSHEET REV &amp; SAL"}</definedName>
    <definedName name="wrn.Work._.sal._.RS." hidden="1">{"WORK REV SAL R$",#N/A,TRUE,"WORKSHEET REV &amp; SAL"}</definedName>
    <definedName name="wvu.PLANILHA2.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'[106]MP+Insumos'!#REF!</definedName>
    <definedName name="WWW">#REF!</definedName>
    <definedName name="WWWWW">#REF!</definedName>
    <definedName name="WWWWWWWW">#REF!</definedName>
    <definedName name="x">#REF!</definedName>
    <definedName name="Xuxu" localSheetId="2" hidden="1">{#N/A,#N/A,FALSE,"CONTROLE"}</definedName>
    <definedName name="Xuxu" hidden="1">{#N/A,#N/A,FALSE,"CONTROLE"}</definedName>
    <definedName name="xx" localSheetId="2" hidden="1">{#N/A,#N/A,FALSE,"SIM95"}</definedName>
    <definedName name="xx" hidden="1">{#N/A,#N/A,FALSE,"SIM95"}</definedName>
    <definedName name="XXW" localSheetId="2" hidden="1">{#N/A,#N/A,FALSE,"SIM95"}</definedName>
    <definedName name="XXW" hidden="1">{#N/A,#N/A,FALSE,"SIM95"}</definedName>
    <definedName name="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">[8]OBRJU95!#REF!</definedName>
    <definedName name="xxxxx" localSheetId="2" hidden="1">{#N/A,#N/A,FALSE,"CONTROLE";#N/A,#N/A,FALSE,"CONTROLE"}</definedName>
    <definedName name="xxxxx" hidden="1">{#N/A,#N/A,FALSE,"CONTROLE";#N/A,#N/A,FALSE,"CONTROLE"}</definedName>
    <definedName name="XXXXXXXXX">#REF!</definedName>
    <definedName name="xxy" localSheetId="2" hidden="1">{#N/A,#N/A,FALSE,"SIM95"}</definedName>
    <definedName name="xxy" hidden="1">{#N/A,#N/A,FALSE,"SIM95"}</definedName>
    <definedName name="xyz" localSheetId="2" hidden="1">{#N/A,#N/A,FALSE,"Bericht 2";#N/A,#N/A,FALSE,"Bericht 3";#N/A,#N/A,FALSE,"Bericht 1"}</definedName>
    <definedName name="xyz" hidden="1">{#N/A,#N/A,FALSE,"Bericht 2";#N/A,#N/A,FALSE,"Bericht 3";#N/A,#N/A,FALSE,"Bericht 1"}</definedName>
    <definedName name="xyz2" localSheetId="2" hidden="1">{#N/A,#N/A,FALSE,"Bericht 2";#N/A,#N/A,FALSE,"Bericht 3";#N/A,#N/A,FALSE,"Bericht 1"}</definedName>
    <definedName name="xyz2" hidden="1">{#N/A,#N/A,FALSE,"Bericht 2";#N/A,#N/A,FALSE,"Bericht 3";#N/A,#N/A,FALSE,"Bericht 1"}</definedName>
    <definedName name="xzsdvcxz" hidden="1">#REF!</definedName>
    <definedName name="Y">#REF!</definedName>
    <definedName name="YA">'[84]Planilha Básica'!#REF!</definedName>
    <definedName name="yfdsf" localSheetId="2" hidden="1">{#N/A,#N/A,FALSE,"Bericht 2";#N/A,#N/A,FALSE,"Bericht 3";#N/A,#N/A,FALSE,"Bericht 1"}</definedName>
    <definedName name="yfdsf" hidden="1">{#N/A,#N/A,FALSE,"Bericht 2";#N/A,#N/A,FALSE,"Bericht 3";#N/A,#N/A,FALSE,"Bericht 1"}</definedName>
    <definedName name="YT" localSheetId="2" hidden="1">{#N/A,#N/A,FALSE,"RESUMO-BB1";#N/A,#N/A,FALSE,"MOD-A01-R - BB1";#N/A,#N/A,FALSE,"URB-BB1"}</definedName>
    <definedName name="YT" hidden="1">{#N/A,#N/A,FALSE,"RESUMO-BB1";#N/A,#N/A,FALSE,"MOD-A01-R - BB1";#N/A,#N/A,FALSE,"URB-BB1"}</definedName>
    <definedName name="YYY" localSheetId="2" hidden="1">{#N/A,#N/A,FALSE,"SIM95"}</definedName>
    <definedName name="YYY" hidden="1">{#N/A,#N/A,FALSE,"SIM95"}</definedName>
    <definedName name="YYYYYYYY">#REF!</definedName>
    <definedName name="YYZ" localSheetId="2" hidden="1">{#N/A,#N/A,FALSE,"SIM95"}</definedName>
    <definedName name="YYZ" hidden="1">{#N/A,#N/A,FALSE,"SIM95"}</definedName>
    <definedName name="z">'[122]2001'!#REF!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9C1DBB7_5941_4035_92B6_7F07B68B1B1C_.wvu.PrintArea" localSheetId="20" hidden="1">'APOIO Impostos'!$B$1:$E$17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[123]Jurídico!$D$1:$D$65536,[123]Jurídico!$F$1:$K$65536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B3FF224_5984_4E44_B545_75E944D53A30_.wvu.PrintArea" localSheetId="20" hidden="1">'APOIO Impostos'!$B$1:$E$17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A8D9414_7BC6_41A2_ABAB_7CBCF30AF152_.wvu.PrintArea" localSheetId="20" hidden="1">'APOIO Impostos'!$B$1:$E$17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19691F_B2ED_4DD0_B084_B5CD21B3AE17_.wvu.PrintArea" localSheetId="20" hidden="1">'APOIO Impostos'!$B$1:$E$17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05AD31D_BF4C_473F_878C_575EFEB37607_.wvu.PrintArea" localSheetId="20" hidden="1">'APOIO Impostos'!$B$1:$E$17</definedName>
    <definedName name="Z_E3FFE9E0_6C4F_4FB4_A56E_FBE96871B5C8_.wvu.Cols" hidden="1">[123]Jurídico!$D$1:$D$65536,[123]Jurídico!$F$1:$K$65536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0DF9026_A610_48E5_BEAC_5155E5DA2AC7_.wvu.PrintArea" localSheetId="20" hidden="1">'APOIO Impostos'!$B$1:$E$17</definedName>
    <definedName name="Z_F1326E0B_5376_4D6E_9BC8_214AA525DE83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850663E_D381_4907_BA4B_70650ABB88FB_.wvu.PrintArea" localSheetId="20" hidden="1">'APOIO Impostos'!$B$1:$E$17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ERF" localSheetId="2" hidden="1">{#N/A,#N/A,FALSE,"BETER -1";#N/A,#N/A,FALSE,"BETER -2";#N/A,#N/A,FALSE,"BETER -3";#N/A,#N/A,FALSE,"BETER -urb";#N/A,#N/A,FALSE,"BETER -RESUMO"}</definedName>
    <definedName name="ZERF" hidden="1">{#N/A,#N/A,FALSE,"BETER -1";#N/A,#N/A,FALSE,"BETER -2";#N/A,#N/A,FALSE,"BETER -3";#N/A,#N/A,FALSE,"BETER -urb";#N/A,#N/A,FALSE,"BETER -RESUMO"}</definedName>
    <definedName name="zz">'[122]2000'!#REF!</definedName>
    <definedName name="zzz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zzzzzzzz" localSheetId="2" hidden="1">{#N/A,#N/A,FALSE,"Plan1";#N/A,#N/A,FALSE,"Plan2"}</definedName>
    <definedName name="zzzzzzzzzzz" hidden="1">{#N/A,#N/A,FALSE,"Plan1";#N/A,#N/A,FALSE,"Plan2"}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7" i="6" l="1"/>
  <c r="T44" i="31"/>
  <c r="S44" i="31"/>
  <c r="R44" i="31"/>
  <c r="Q44" i="31"/>
  <c r="P44" i="31"/>
  <c r="O44" i="31"/>
  <c r="N44" i="31"/>
  <c r="K44" i="31"/>
  <c r="J44" i="31"/>
  <c r="I44" i="31"/>
  <c r="H44" i="31"/>
  <c r="G44" i="31"/>
  <c r="F44" i="31"/>
  <c r="E44" i="31"/>
  <c r="D44" i="31"/>
  <c r="B44" i="31"/>
  <c r="CJ38" i="4"/>
  <c r="C14" i="31"/>
  <c r="H38" i="4" s="1"/>
  <c r="B14" i="31"/>
  <c r="EX38" i="4"/>
  <c r="ET38" i="4"/>
  <c r="EP38" i="4"/>
  <c r="EL38" i="4"/>
  <c r="EH38" i="4"/>
  <c r="EC38" i="4"/>
  <c r="DY38" i="4"/>
  <c r="DU38" i="4"/>
  <c r="DP38" i="4"/>
  <c r="DL38" i="4"/>
  <c r="DH38" i="4"/>
  <c r="DC38" i="4"/>
  <c r="CY38" i="4"/>
  <c r="CU38" i="4"/>
  <c r="CP38" i="4"/>
  <c r="CL38" i="4"/>
  <c r="CF38" i="4"/>
  <c r="CH38" i="4" s="1"/>
  <c r="K38" i="4" s="1"/>
  <c r="CC38" i="4"/>
  <c r="BX38" i="4"/>
  <c r="BV38" i="4"/>
  <c r="BT38" i="4"/>
  <c r="BR38" i="4"/>
  <c r="AI38" i="4"/>
  <c r="AH38" i="4"/>
  <c r="AG38" i="4"/>
  <c r="AF38" i="4" a="1"/>
  <c r="AF38" i="4" s="1"/>
  <c r="X38" i="4"/>
  <c r="AB38" i="4" s="1"/>
  <c r="C38" i="4"/>
  <c r="B38" i="4"/>
  <c r="D40" i="2"/>
  <c r="EZ39" i="4"/>
  <c r="BR32" i="4"/>
  <c r="BR33" i="4"/>
  <c r="BR34" i="4"/>
  <c r="BT34" i="4" s="1"/>
  <c r="K34" i="4" s="1"/>
  <c r="BR39" i="4"/>
  <c r="BR37" i="4"/>
  <c r="M17" i="31"/>
  <c r="M16" i="31"/>
  <c r="E17" i="31"/>
  <c r="D17" i="31"/>
  <c r="E16" i="31"/>
  <c r="D16" i="31"/>
  <c r="DF39" i="4"/>
  <c r="H54" i="4"/>
  <c r="DF53" i="4"/>
  <c r="DF54" i="4"/>
  <c r="DH54" i="4" s="1"/>
  <c r="B6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B40" i="31"/>
  <c r="CJ33" i="4"/>
  <c r="CJ34" i="4"/>
  <c r="EX34" i="4"/>
  <c r="ET34" i="4"/>
  <c r="EP34" i="4"/>
  <c r="EL34" i="4"/>
  <c r="EH34" i="4"/>
  <c r="EC34" i="4"/>
  <c r="DY34" i="4"/>
  <c r="DU34" i="4"/>
  <c r="DP34" i="4"/>
  <c r="DL34" i="4"/>
  <c r="DH34" i="4"/>
  <c r="DC34" i="4"/>
  <c r="CY34" i="4"/>
  <c r="CU34" i="4"/>
  <c r="CP34" i="4"/>
  <c r="CL34" i="4"/>
  <c r="CF34" i="4"/>
  <c r="CH34" i="4" s="1"/>
  <c r="CC34" i="4"/>
  <c r="BX34" i="4"/>
  <c r="AI34" i="4"/>
  <c r="AH34" i="4"/>
  <c r="AG34" i="4"/>
  <c r="X34" i="4"/>
  <c r="AB34" i="4" s="1"/>
  <c r="C34" i="4"/>
  <c r="B34" i="4"/>
  <c r="AF34" i="4" s="1" a="1"/>
  <c r="AF34" i="4" s="1"/>
  <c r="C10" i="31"/>
  <c r="H34" i="4" s="1"/>
  <c r="B10" i="31"/>
  <c r="AC34" i="4" l="1"/>
  <c r="F7" i="28" l="1"/>
  <c r="EZ35" i="4"/>
  <c r="CN35" i="4" l="1"/>
  <c r="DF36" i="4" l="1"/>
  <c r="B49" i="31"/>
  <c r="D49" i="31"/>
  <c r="E49" i="31"/>
  <c r="F49" i="31"/>
  <c r="G49" i="31"/>
  <c r="H49" i="31"/>
  <c r="I49" i="31"/>
  <c r="J49" i="31"/>
  <c r="K49" i="31"/>
  <c r="L49" i="31"/>
  <c r="M49" i="31"/>
  <c r="N49" i="31"/>
  <c r="O49" i="31"/>
  <c r="P49" i="31"/>
  <c r="Q49" i="31"/>
  <c r="R49" i="31"/>
  <c r="S49" i="31"/>
  <c r="T49" i="31"/>
  <c r="B50" i="31"/>
  <c r="D50" i="31"/>
  <c r="E50" i="31"/>
  <c r="F50" i="31"/>
  <c r="G50" i="31"/>
  <c r="H50" i="31"/>
  <c r="I50" i="31"/>
  <c r="J50" i="31"/>
  <c r="K50" i="31"/>
  <c r="L50" i="31"/>
  <c r="M50" i="31"/>
  <c r="N50" i="31"/>
  <c r="O50" i="31"/>
  <c r="P50" i="31"/>
  <c r="Q50" i="31"/>
  <c r="R50" i="31"/>
  <c r="S50" i="31"/>
  <c r="T50" i="31"/>
  <c r="B51" i="31"/>
  <c r="D51" i="31"/>
  <c r="E51" i="31"/>
  <c r="F51" i="31"/>
  <c r="G51" i="31"/>
  <c r="H51" i="31"/>
  <c r="I51" i="31"/>
  <c r="J51" i="31"/>
  <c r="K51" i="31"/>
  <c r="L51" i="31"/>
  <c r="M51" i="31"/>
  <c r="N51" i="31"/>
  <c r="O51" i="31"/>
  <c r="P51" i="31"/>
  <c r="Q51" i="31"/>
  <c r="R51" i="31"/>
  <c r="S51" i="31"/>
  <c r="T51" i="31"/>
  <c r="B52" i="31"/>
  <c r="D52" i="31"/>
  <c r="E52" i="31"/>
  <c r="F52" i="31"/>
  <c r="G52" i="31"/>
  <c r="H52" i="31"/>
  <c r="I52" i="31"/>
  <c r="J52" i="31"/>
  <c r="K52" i="31"/>
  <c r="L52" i="31"/>
  <c r="M52" i="31"/>
  <c r="N52" i="31"/>
  <c r="O52" i="31"/>
  <c r="P52" i="31"/>
  <c r="Q52" i="31"/>
  <c r="R52" i="31"/>
  <c r="S52" i="31"/>
  <c r="T52" i="31"/>
  <c r="B53" i="31"/>
  <c r="D53" i="31"/>
  <c r="E53" i="31"/>
  <c r="F53" i="31"/>
  <c r="G53" i="31"/>
  <c r="H53" i="31"/>
  <c r="I53" i="31"/>
  <c r="J53" i="31"/>
  <c r="K53" i="31"/>
  <c r="L53" i="31"/>
  <c r="M53" i="31"/>
  <c r="N53" i="31"/>
  <c r="O53" i="31"/>
  <c r="P53" i="31"/>
  <c r="Q53" i="31"/>
  <c r="R53" i="31"/>
  <c r="S53" i="31"/>
  <c r="T53" i="31"/>
  <c r="B54" i="31"/>
  <c r="D54" i="31"/>
  <c r="E54" i="31"/>
  <c r="F54" i="31"/>
  <c r="G54" i="31"/>
  <c r="H54" i="31"/>
  <c r="I54" i="31"/>
  <c r="J54" i="31"/>
  <c r="K54" i="31"/>
  <c r="L54" i="31"/>
  <c r="M54" i="31"/>
  <c r="N54" i="31"/>
  <c r="O54" i="31"/>
  <c r="P54" i="31"/>
  <c r="Q54" i="31"/>
  <c r="R54" i="31"/>
  <c r="S54" i="31"/>
  <c r="T54" i="31"/>
  <c r="B19" i="31"/>
  <c r="C19" i="31"/>
  <c r="B20" i="31"/>
  <c r="C20" i="31"/>
  <c r="B21" i="31"/>
  <c r="C21" i="31"/>
  <c r="B22" i="31"/>
  <c r="C22" i="31"/>
  <c r="B23" i="31"/>
  <c r="C23" i="31"/>
  <c r="B24" i="31"/>
  <c r="C24" i="31"/>
  <c r="B59" i="31"/>
  <c r="B58" i="31"/>
  <c r="B57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T47" i="31"/>
  <c r="S47" i="31"/>
  <c r="R47" i="31"/>
  <c r="Q47" i="31"/>
  <c r="P47" i="31"/>
  <c r="O47" i="31"/>
  <c r="N47" i="31"/>
  <c r="M47" i="31"/>
  <c r="E47" i="31"/>
  <c r="D47" i="31"/>
  <c r="T46" i="31"/>
  <c r="S46" i="31"/>
  <c r="R46" i="31"/>
  <c r="Q46" i="31"/>
  <c r="P46" i="31"/>
  <c r="O46" i="31"/>
  <c r="N46" i="31"/>
  <c r="M46" i="31"/>
  <c r="E46" i="31"/>
  <c r="D46" i="31"/>
  <c r="T45" i="31"/>
  <c r="S45" i="31"/>
  <c r="R45" i="31"/>
  <c r="Q45" i="31"/>
  <c r="P45" i="31"/>
  <c r="O45" i="31"/>
  <c r="N45" i="31"/>
  <c r="T43" i="31"/>
  <c r="S43" i="31"/>
  <c r="R43" i="31"/>
  <c r="Q43" i="31"/>
  <c r="P43" i="31"/>
  <c r="O43" i="31"/>
  <c r="N43" i="31"/>
  <c r="E43" i="31"/>
  <c r="D43" i="31"/>
  <c r="T42" i="31"/>
  <c r="S42" i="31"/>
  <c r="R42" i="31"/>
  <c r="Q42" i="31"/>
  <c r="P42" i="31"/>
  <c r="O42" i="31"/>
  <c r="N42" i="31"/>
  <c r="G42" i="31"/>
  <c r="F42" i="31"/>
  <c r="E42" i="31"/>
  <c r="D42" i="31"/>
  <c r="T41" i="31"/>
  <c r="S41" i="31"/>
  <c r="R41" i="31"/>
  <c r="Q41" i="31"/>
  <c r="P41" i="31"/>
  <c r="O41" i="31"/>
  <c r="N41" i="31"/>
  <c r="H41" i="31"/>
  <c r="G41" i="31"/>
  <c r="F41" i="31"/>
  <c r="E41" i="31"/>
  <c r="D41" i="31"/>
  <c r="T39" i="31"/>
  <c r="S39" i="31"/>
  <c r="R39" i="31"/>
  <c r="Q39" i="31"/>
  <c r="P39" i="31"/>
  <c r="O39" i="31"/>
  <c r="N39" i="31"/>
  <c r="T38" i="31"/>
  <c r="S38" i="31"/>
  <c r="R38" i="31"/>
  <c r="Q38" i="31"/>
  <c r="P38" i="31"/>
  <c r="O38" i="31"/>
  <c r="N38" i="31"/>
  <c r="B48" i="31"/>
  <c r="B47" i="31"/>
  <c r="B46" i="31"/>
  <c r="B45" i="31"/>
  <c r="B43" i="31"/>
  <c r="B42" i="31"/>
  <c r="B41" i="31"/>
  <c r="B39" i="31"/>
  <c r="B38" i="31"/>
  <c r="B28" i="31"/>
  <c r="B27" i="31"/>
  <c r="B26" i="31"/>
  <c r="L17" i="31"/>
  <c r="L47" i="31" s="1"/>
  <c r="K17" i="31"/>
  <c r="K47" i="31" s="1"/>
  <c r="J17" i="31"/>
  <c r="J47" i="31" s="1"/>
  <c r="I17" i="31"/>
  <c r="I47" i="31" s="1"/>
  <c r="H17" i="31"/>
  <c r="H47" i="31" s="1"/>
  <c r="G17" i="31"/>
  <c r="G47" i="31" s="1"/>
  <c r="F17" i="31"/>
  <c r="F47" i="31" s="1"/>
  <c r="L16" i="31"/>
  <c r="L46" i="31" s="1"/>
  <c r="K16" i="31"/>
  <c r="K46" i="31" s="1"/>
  <c r="J16" i="31"/>
  <c r="J46" i="31" s="1"/>
  <c r="I16" i="31"/>
  <c r="I46" i="31" s="1"/>
  <c r="H16" i="31"/>
  <c r="H46" i="31" s="1"/>
  <c r="G16" i="31"/>
  <c r="G46" i="31" s="1"/>
  <c r="F16" i="31"/>
  <c r="F46" i="31" s="1"/>
  <c r="CF39" i="4"/>
  <c r="CF37" i="4"/>
  <c r="CF33" i="4"/>
  <c r="CF32" i="4"/>
  <c r="BR40" i="4"/>
  <c r="L61" i="31" l="1"/>
  <c r="S55" i="31"/>
  <c r="K61" i="31"/>
  <c r="M61" i="31"/>
  <c r="F61" i="31"/>
  <c r="H61" i="31"/>
  <c r="O55" i="31"/>
  <c r="J61" i="31"/>
  <c r="P55" i="31"/>
  <c r="Q55" i="31"/>
  <c r="R55" i="31"/>
  <c r="G61" i="31"/>
  <c r="T55" i="31"/>
  <c r="N55" i="31"/>
  <c r="I61" i="31"/>
  <c r="C53" i="31"/>
  <c r="C54" i="31"/>
  <c r="C51" i="31"/>
  <c r="C50" i="31"/>
  <c r="C52" i="31"/>
  <c r="C49" i="31"/>
  <c r="C47" i="31"/>
  <c r="C48" i="31"/>
  <c r="C11" i="31" l="1"/>
  <c r="H35" i="4" s="1"/>
  <c r="B11" i="31"/>
  <c r="H48" i="4"/>
  <c r="CJ41" i="4"/>
  <c r="CJ52" i="4"/>
  <c r="CL52" i="4" s="1"/>
  <c r="CJ51" i="4"/>
  <c r="CL51" i="4"/>
  <c r="BV50" i="4"/>
  <c r="C8" i="31"/>
  <c r="H32" i="4" s="1"/>
  <c r="C9" i="31"/>
  <c r="H33" i="4" s="1"/>
  <c r="C12" i="31"/>
  <c r="H36" i="4" s="1"/>
  <c r="C13" i="31"/>
  <c r="H37" i="4" s="1"/>
  <c r="C15" i="31"/>
  <c r="C16" i="31"/>
  <c r="H40" i="4" s="1"/>
  <c r="C17" i="31"/>
  <c r="H41" i="4" s="1"/>
  <c r="C18" i="31"/>
  <c r="H42" i="4" s="1"/>
  <c r="H43" i="4"/>
  <c r="H44" i="4"/>
  <c r="H45" i="4"/>
  <c r="H46" i="4"/>
  <c r="H47" i="4"/>
  <c r="H39" i="4" l="1"/>
  <c r="B18" i="31"/>
  <c r="B17" i="31"/>
  <c r="B16" i="31"/>
  <c r="B29" i="31"/>
  <c r="B15" i="31"/>
  <c r="B13" i="31"/>
  <c r="B12" i="31"/>
  <c r="B9" i="31"/>
  <c r="B8" i="31"/>
  <c r="C64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29" i="31"/>
  <c r="H53" i="4" s="1"/>
  <c r="C28" i="31"/>
  <c r="H52" i="4" s="1"/>
  <c r="C27" i="31"/>
  <c r="H51" i="4" s="1"/>
  <c r="C26" i="31"/>
  <c r="H50" i="4" s="1"/>
  <c r="AC38" i="4" l="1"/>
  <c r="O61" i="31"/>
  <c r="P61" i="31"/>
  <c r="Q61" i="31"/>
  <c r="R61" i="31"/>
  <c r="S61" i="31"/>
  <c r="T61" i="31"/>
  <c r="C46" i="31"/>
  <c r="N61" i="31"/>
  <c r="S984" i="6" l="1"/>
  <c r="S983" i="6"/>
  <c r="U983" i="6" s="1"/>
  <c r="F28" i="4"/>
  <c r="BV42" i="4" l="1"/>
  <c r="BT39" i="4"/>
  <c r="CJ39" i="4"/>
  <c r="BV37" i="4"/>
  <c r="BX37" i="4" s="1"/>
  <c r="BX32" i="4"/>
  <c r="F27" i="4"/>
  <c r="D12" i="27"/>
  <c r="D11" i="27"/>
  <c r="D10" i="27"/>
  <c r="D9" i="27"/>
  <c r="D8" i="27"/>
  <c r="D7" i="27"/>
  <c r="D6" i="27"/>
  <c r="D5" i="27"/>
  <c r="D4" i="27"/>
  <c r="D3" i="27"/>
  <c r="C12" i="27"/>
  <c r="C11" i="27"/>
  <c r="C10" i="27"/>
  <c r="C9" i="27"/>
  <c r="C8" i="27"/>
  <c r="C7" i="27"/>
  <c r="C6" i="27"/>
  <c r="C5" i="27"/>
  <c r="C4" i="27"/>
  <c r="C3" i="27"/>
  <c r="BT37" i="4" l="1"/>
  <c r="EX35" i="4"/>
  <c r="ET35" i="4"/>
  <c r="EP35" i="4"/>
  <c r="EL35" i="4"/>
  <c r="EH35" i="4"/>
  <c r="EC35" i="4"/>
  <c r="DY35" i="4"/>
  <c r="DU35" i="4"/>
  <c r="DP35" i="4"/>
  <c r="DL35" i="4"/>
  <c r="DH35" i="4"/>
  <c r="DC35" i="4"/>
  <c r="CY35" i="4"/>
  <c r="CU35" i="4"/>
  <c r="CP35" i="4"/>
  <c r="CL35" i="4"/>
  <c r="CH35" i="4"/>
  <c r="CC35" i="4"/>
  <c r="BX35" i="4"/>
  <c r="BT35" i="4"/>
  <c r="AH35" i="4"/>
  <c r="AG35" i="4"/>
  <c r="X35" i="4"/>
  <c r="AB35" i="4" s="1"/>
  <c r="E5" i="27"/>
  <c r="C35" i="4"/>
  <c r="B35" i="4"/>
  <c r="AF35" i="4" s="1" a="1"/>
  <c r="AF35" i="4" s="1"/>
  <c r="D39" i="2"/>
  <c r="D41" i="2"/>
  <c r="D38" i="2"/>
  <c r="BR756" i="9"/>
  <c r="BQ756" i="9"/>
  <c r="BP756" i="9"/>
  <c r="BO756" i="9"/>
  <c r="BN756" i="9"/>
  <c r="BM756" i="9"/>
  <c r="BL756" i="9"/>
  <c r="BK756" i="9"/>
  <c r="BJ756" i="9"/>
  <c r="BI756" i="9"/>
  <c r="BH756" i="9"/>
  <c r="BG756" i="9"/>
  <c r="BF756" i="9"/>
  <c r="BE756" i="9"/>
  <c r="BD756" i="9"/>
  <c r="BC756" i="9"/>
  <c r="BB756" i="9"/>
  <c r="BA756" i="9"/>
  <c r="AZ756" i="9"/>
  <c r="AY756" i="9"/>
  <c r="AX756" i="9"/>
  <c r="AW756" i="9"/>
  <c r="AV756" i="9"/>
  <c r="AU756" i="9"/>
  <c r="AT756" i="9"/>
  <c r="AS756" i="9"/>
  <c r="AR756" i="9"/>
  <c r="AQ756" i="9"/>
  <c r="AP756" i="9"/>
  <c r="AO756" i="9"/>
  <c r="AN756" i="9"/>
  <c r="AM756" i="9"/>
  <c r="AL756" i="9"/>
  <c r="AK756" i="9"/>
  <c r="AJ756" i="9"/>
  <c r="AI756" i="9"/>
  <c r="AH756" i="9"/>
  <c r="AG756" i="9"/>
  <c r="AF756" i="9"/>
  <c r="AE756" i="9"/>
  <c r="AD756" i="9"/>
  <c r="AC756" i="9"/>
  <c r="AB756" i="9"/>
  <c r="AA756" i="9"/>
  <c r="Z756" i="9"/>
  <c r="Y756" i="9"/>
  <c r="X756" i="9"/>
  <c r="W756" i="9"/>
  <c r="V756" i="9"/>
  <c r="U756" i="9"/>
  <c r="T756" i="9"/>
  <c r="S756" i="9"/>
  <c r="R756" i="9"/>
  <c r="Q756" i="9"/>
  <c r="P756" i="9"/>
  <c r="O756" i="9"/>
  <c r="N756" i="9"/>
  <c r="M756" i="9"/>
  <c r="L756" i="9"/>
  <c r="K756" i="9"/>
  <c r="BR857" i="9"/>
  <c r="BQ857" i="9"/>
  <c r="BP857" i="9"/>
  <c r="BO857" i="9"/>
  <c r="BN857" i="9"/>
  <c r="BM857" i="9"/>
  <c r="BL857" i="9"/>
  <c r="BK857" i="9"/>
  <c r="BJ857" i="9"/>
  <c r="BI857" i="9"/>
  <c r="BH857" i="9"/>
  <c r="BG857" i="9"/>
  <c r="BF857" i="9"/>
  <c r="BE857" i="9"/>
  <c r="BD857" i="9"/>
  <c r="BC857" i="9"/>
  <c r="BB857" i="9"/>
  <c r="BA857" i="9"/>
  <c r="AZ857" i="9"/>
  <c r="AY857" i="9"/>
  <c r="AX857" i="9"/>
  <c r="AW857" i="9"/>
  <c r="AV857" i="9"/>
  <c r="AU857" i="9"/>
  <c r="AT857" i="9"/>
  <c r="AS857" i="9"/>
  <c r="AR857" i="9"/>
  <c r="AQ857" i="9"/>
  <c r="AP857" i="9"/>
  <c r="AO857" i="9"/>
  <c r="AN857" i="9"/>
  <c r="AM857" i="9"/>
  <c r="AL857" i="9"/>
  <c r="AK857" i="9"/>
  <c r="AJ857" i="9"/>
  <c r="AI857" i="9"/>
  <c r="AH857" i="9"/>
  <c r="AG857" i="9"/>
  <c r="AF857" i="9"/>
  <c r="AE857" i="9"/>
  <c r="AD857" i="9"/>
  <c r="AC857" i="9"/>
  <c r="AB857" i="9"/>
  <c r="AA857" i="9"/>
  <c r="Z857" i="9"/>
  <c r="Y857" i="9"/>
  <c r="X857" i="9"/>
  <c r="W857" i="9"/>
  <c r="V857" i="9"/>
  <c r="U857" i="9"/>
  <c r="T857" i="9"/>
  <c r="S857" i="9"/>
  <c r="R857" i="9"/>
  <c r="Q857" i="9"/>
  <c r="P857" i="9"/>
  <c r="O857" i="9"/>
  <c r="N857" i="9"/>
  <c r="M857" i="9"/>
  <c r="L857" i="9"/>
  <c r="K857" i="9"/>
  <c r="EX55" i="4"/>
  <c r="EX54" i="4"/>
  <c r="EX53" i="4"/>
  <c r="EX52" i="4"/>
  <c r="EX51" i="4"/>
  <c r="EX50" i="4"/>
  <c r="EX48" i="4"/>
  <c r="EX47" i="4"/>
  <c r="EX46" i="4"/>
  <c r="EX45" i="4"/>
  <c r="EX44" i="4"/>
  <c r="EX43" i="4"/>
  <c r="EX42" i="4"/>
  <c r="EX41" i="4"/>
  <c r="EX40" i="4"/>
  <c r="EX39" i="4"/>
  <c r="EX37" i="4"/>
  <c r="EX36" i="4"/>
  <c r="EX33" i="4"/>
  <c r="EX32" i="4"/>
  <c r="ET55" i="4"/>
  <c r="ET54" i="4"/>
  <c r="ET53" i="4"/>
  <c r="ET52" i="4"/>
  <c r="ET51" i="4"/>
  <c r="ET50" i="4"/>
  <c r="ET48" i="4"/>
  <c r="ET47" i="4"/>
  <c r="ET46" i="4"/>
  <c r="ET45" i="4"/>
  <c r="ET44" i="4"/>
  <c r="ET43" i="4"/>
  <c r="ET42" i="4"/>
  <c r="ET41" i="4"/>
  <c r="ET40" i="4"/>
  <c r="ET39" i="4"/>
  <c r="ET37" i="4"/>
  <c r="ET36" i="4"/>
  <c r="ET33" i="4"/>
  <c r="ET32" i="4"/>
  <c r="EP55" i="4"/>
  <c r="EP54" i="4"/>
  <c r="EP53" i="4"/>
  <c r="EP52" i="4"/>
  <c r="EP51" i="4"/>
  <c r="EP50" i="4"/>
  <c r="EP48" i="4"/>
  <c r="EP47" i="4"/>
  <c r="EP46" i="4"/>
  <c r="EP45" i="4"/>
  <c r="EP44" i="4"/>
  <c r="EP43" i="4"/>
  <c r="EP42" i="4"/>
  <c r="EP41" i="4"/>
  <c r="EP40" i="4"/>
  <c r="EP39" i="4"/>
  <c r="EP37" i="4"/>
  <c r="EP36" i="4"/>
  <c r="EP33" i="4"/>
  <c r="EP32" i="4"/>
  <c r="EL55" i="4"/>
  <c r="EL54" i="4"/>
  <c r="EL53" i="4"/>
  <c r="EL52" i="4"/>
  <c r="EL51" i="4"/>
  <c r="EL50" i="4"/>
  <c r="EL48" i="4"/>
  <c r="EL47" i="4"/>
  <c r="EL46" i="4"/>
  <c r="EL45" i="4"/>
  <c r="EL44" i="4"/>
  <c r="EL43" i="4"/>
  <c r="EL42" i="4"/>
  <c r="EL41" i="4"/>
  <c r="EL40" i="4"/>
  <c r="EL39" i="4"/>
  <c r="EL37" i="4"/>
  <c r="EL36" i="4"/>
  <c r="EL33" i="4"/>
  <c r="EL32" i="4"/>
  <c r="EH55" i="4"/>
  <c r="EH54" i="4"/>
  <c r="EH53" i="4"/>
  <c r="EH52" i="4"/>
  <c r="EH51" i="4"/>
  <c r="EH50" i="4"/>
  <c r="EH48" i="4"/>
  <c r="EH47" i="4"/>
  <c r="EH46" i="4"/>
  <c r="EH45" i="4"/>
  <c r="EH44" i="4"/>
  <c r="EH43" i="4"/>
  <c r="EH42" i="4"/>
  <c r="EH41" i="4"/>
  <c r="EH40" i="4"/>
  <c r="EH39" i="4"/>
  <c r="EH37" i="4"/>
  <c r="EH36" i="4"/>
  <c r="EH33" i="4"/>
  <c r="EH32" i="4"/>
  <c r="EC55" i="4"/>
  <c r="EC54" i="4"/>
  <c r="EC53" i="4"/>
  <c r="EC52" i="4"/>
  <c r="EC51" i="4"/>
  <c r="EC50" i="4"/>
  <c r="EC48" i="4"/>
  <c r="EC47" i="4"/>
  <c r="EC46" i="4"/>
  <c r="EC45" i="4"/>
  <c r="EC44" i="4"/>
  <c r="EC43" i="4"/>
  <c r="EC42" i="4"/>
  <c r="EC41" i="4"/>
  <c r="EC40" i="4"/>
  <c r="EC39" i="4"/>
  <c r="EC37" i="4"/>
  <c r="EC36" i="4"/>
  <c r="EC33" i="4"/>
  <c r="EC32" i="4"/>
  <c r="DY55" i="4"/>
  <c r="DY54" i="4"/>
  <c r="DY53" i="4"/>
  <c r="DY52" i="4"/>
  <c r="DY51" i="4"/>
  <c r="DY50" i="4"/>
  <c r="DY48" i="4"/>
  <c r="DY47" i="4"/>
  <c r="DY46" i="4"/>
  <c r="DY45" i="4"/>
  <c r="DY44" i="4"/>
  <c r="DY43" i="4"/>
  <c r="DY42" i="4"/>
  <c r="DY41" i="4"/>
  <c r="DY40" i="4"/>
  <c r="DY39" i="4"/>
  <c r="DY37" i="4"/>
  <c r="DY36" i="4"/>
  <c r="DY33" i="4"/>
  <c r="DY32" i="4"/>
  <c r="DU55" i="4"/>
  <c r="DU54" i="4"/>
  <c r="DU53" i="4"/>
  <c r="DU52" i="4"/>
  <c r="DU51" i="4"/>
  <c r="DU50" i="4"/>
  <c r="DU48" i="4"/>
  <c r="DU47" i="4"/>
  <c r="DU46" i="4"/>
  <c r="DU45" i="4"/>
  <c r="DU44" i="4"/>
  <c r="DU43" i="4"/>
  <c r="DU42" i="4"/>
  <c r="DU41" i="4"/>
  <c r="DU40" i="4"/>
  <c r="DU39" i="4"/>
  <c r="DU37" i="4"/>
  <c r="DU36" i="4"/>
  <c r="DU33" i="4"/>
  <c r="DU32" i="4"/>
  <c r="DP55" i="4"/>
  <c r="DP54" i="4"/>
  <c r="DP53" i="4"/>
  <c r="DP52" i="4"/>
  <c r="DP51" i="4"/>
  <c r="DP50" i="4"/>
  <c r="DP48" i="4"/>
  <c r="DP47" i="4"/>
  <c r="DP46" i="4"/>
  <c r="DP45" i="4"/>
  <c r="DP44" i="4"/>
  <c r="DP43" i="4"/>
  <c r="DP42" i="4"/>
  <c r="DP41" i="4"/>
  <c r="DP40" i="4"/>
  <c r="DP39" i="4"/>
  <c r="DP37" i="4"/>
  <c r="DP36" i="4"/>
  <c r="DP33" i="4"/>
  <c r="DP32" i="4"/>
  <c r="DL55" i="4"/>
  <c r="DL54" i="4"/>
  <c r="DL53" i="4"/>
  <c r="DL52" i="4"/>
  <c r="DL51" i="4"/>
  <c r="DL50" i="4"/>
  <c r="DL48" i="4"/>
  <c r="DL47" i="4"/>
  <c r="DL46" i="4"/>
  <c r="DL45" i="4"/>
  <c r="DL44" i="4"/>
  <c r="DL43" i="4"/>
  <c r="DL42" i="4"/>
  <c r="DL41" i="4"/>
  <c r="DL40" i="4"/>
  <c r="DL39" i="4"/>
  <c r="DL37" i="4"/>
  <c r="DL36" i="4"/>
  <c r="DL33" i="4"/>
  <c r="DL32" i="4"/>
  <c r="DH55" i="4"/>
  <c r="DH53" i="4"/>
  <c r="DH52" i="4"/>
  <c r="DH51" i="4"/>
  <c r="DH50" i="4"/>
  <c r="DH48" i="4"/>
  <c r="DH47" i="4"/>
  <c r="DH46" i="4"/>
  <c r="DH45" i="4"/>
  <c r="DH44" i="4"/>
  <c r="DH43" i="4"/>
  <c r="DH42" i="4"/>
  <c r="DH41" i="4"/>
  <c r="DH40" i="4"/>
  <c r="DH39" i="4"/>
  <c r="DH37" i="4"/>
  <c r="DH36" i="4"/>
  <c r="DH33" i="4"/>
  <c r="DH32" i="4"/>
  <c r="DC55" i="4"/>
  <c r="DC54" i="4"/>
  <c r="DC53" i="4"/>
  <c r="DC52" i="4"/>
  <c r="DC51" i="4"/>
  <c r="DC50" i="4"/>
  <c r="DC48" i="4"/>
  <c r="DC47" i="4"/>
  <c r="DC46" i="4"/>
  <c r="DC45" i="4"/>
  <c r="DC44" i="4"/>
  <c r="DC43" i="4"/>
  <c r="DC42" i="4"/>
  <c r="DC41" i="4"/>
  <c r="DC40" i="4"/>
  <c r="DC39" i="4"/>
  <c r="DC37" i="4"/>
  <c r="DC36" i="4"/>
  <c r="DC33" i="4"/>
  <c r="DC32" i="4"/>
  <c r="CY55" i="4"/>
  <c r="CY54" i="4"/>
  <c r="CY53" i="4"/>
  <c r="CY52" i="4"/>
  <c r="CY51" i="4"/>
  <c r="CY50" i="4"/>
  <c r="CY48" i="4"/>
  <c r="CY47" i="4"/>
  <c r="CY46" i="4"/>
  <c r="CY45" i="4"/>
  <c r="CY44" i="4"/>
  <c r="CY43" i="4"/>
  <c r="CY42" i="4"/>
  <c r="CY41" i="4"/>
  <c r="CY40" i="4"/>
  <c r="CY39" i="4"/>
  <c r="CY37" i="4"/>
  <c r="CY36" i="4"/>
  <c r="CY33" i="4"/>
  <c r="CY32" i="4"/>
  <c r="CU55" i="4"/>
  <c r="CU54" i="4"/>
  <c r="CU53" i="4"/>
  <c r="CU52" i="4"/>
  <c r="CU51" i="4"/>
  <c r="CU50" i="4"/>
  <c r="CU48" i="4"/>
  <c r="CU47" i="4"/>
  <c r="CU46" i="4"/>
  <c r="CU45" i="4"/>
  <c r="CU44" i="4"/>
  <c r="CU43" i="4"/>
  <c r="CU42" i="4"/>
  <c r="CU41" i="4"/>
  <c r="CU40" i="4"/>
  <c r="CU39" i="4"/>
  <c r="CU37" i="4"/>
  <c r="CU36" i="4"/>
  <c r="CU33" i="4"/>
  <c r="CU32" i="4"/>
  <c r="CP55" i="4"/>
  <c r="CP54" i="4"/>
  <c r="CP53" i="4"/>
  <c r="CP52" i="4"/>
  <c r="CP51" i="4"/>
  <c r="CP50" i="4"/>
  <c r="CP48" i="4"/>
  <c r="CP47" i="4"/>
  <c r="CP46" i="4"/>
  <c r="CP45" i="4"/>
  <c r="CP44" i="4"/>
  <c r="CP43" i="4"/>
  <c r="CP42" i="4"/>
  <c r="CP41" i="4"/>
  <c r="CP40" i="4"/>
  <c r="CP39" i="4"/>
  <c r="CP37" i="4"/>
  <c r="CP36" i="4"/>
  <c r="CP33" i="4"/>
  <c r="CP32" i="4"/>
  <c r="CL55" i="4"/>
  <c r="CL54" i="4"/>
  <c r="CL53" i="4"/>
  <c r="CL50" i="4"/>
  <c r="CL48" i="4"/>
  <c r="CL47" i="4"/>
  <c r="CL46" i="4"/>
  <c r="CL45" i="4"/>
  <c r="CL44" i="4"/>
  <c r="CL43" i="4"/>
  <c r="CL42" i="4"/>
  <c r="CL41" i="4"/>
  <c r="CL40" i="4"/>
  <c r="CL39" i="4"/>
  <c r="CL37" i="4"/>
  <c r="CL36" i="4"/>
  <c r="CL33" i="4"/>
  <c r="CL32" i="4"/>
  <c r="CH55" i="4"/>
  <c r="CH54" i="4"/>
  <c r="CH53" i="4"/>
  <c r="CH52" i="4"/>
  <c r="CH51" i="4"/>
  <c r="CH50" i="4"/>
  <c r="CH48" i="4"/>
  <c r="CH47" i="4"/>
  <c r="CH46" i="4"/>
  <c r="CH45" i="4"/>
  <c r="CH44" i="4"/>
  <c r="CH43" i="4"/>
  <c r="CH42" i="4"/>
  <c r="CH41" i="4"/>
  <c r="CH40" i="4"/>
  <c r="CH39" i="4"/>
  <c r="CH37" i="4"/>
  <c r="CH36" i="4"/>
  <c r="CH33" i="4"/>
  <c r="CH32" i="4"/>
  <c r="CC55" i="4"/>
  <c r="CC54" i="4"/>
  <c r="CC53" i="4"/>
  <c r="CC52" i="4"/>
  <c r="CC51" i="4"/>
  <c r="CC50" i="4"/>
  <c r="CC48" i="4"/>
  <c r="CC47" i="4"/>
  <c r="CC46" i="4"/>
  <c r="CC45" i="4"/>
  <c r="CC44" i="4"/>
  <c r="CC43" i="4"/>
  <c r="CC42" i="4"/>
  <c r="CC41" i="4"/>
  <c r="CC40" i="4"/>
  <c r="CC39" i="4"/>
  <c r="CC37" i="4"/>
  <c r="CC36" i="4"/>
  <c r="CC33" i="4"/>
  <c r="CC32" i="4"/>
  <c r="BX55" i="4"/>
  <c r="BX54" i="4"/>
  <c r="BX53" i="4"/>
  <c r="BX52" i="4"/>
  <c r="BX51" i="4"/>
  <c r="BX50" i="4"/>
  <c r="BX48" i="4"/>
  <c r="BX47" i="4"/>
  <c r="BX46" i="4"/>
  <c r="BX45" i="4"/>
  <c r="BX44" i="4"/>
  <c r="BX43" i="4"/>
  <c r="BX42" i="4"/>
  <c r="BX41" i="4"/>
  <c r="BX40" i="4"/>
  <c r="BX39" i="4"/>
  <c r="BX36" i="4"/>
  <c r="BX33" i="4"/>
  <c r="BT55" i="4"/>
  <c r="BT54" i="4"/>
  <c r="BT53" i="4"/>
  <c r="BT52" i="4"/>
  <c r="BT51" i="4"/>
  <c r="BT50" i="4"/>
  <c r="BT48" i="4"/>
  <c r="BT47" i="4"/>
  <c r="BT46" i="4"/>
  <c r="BT45" i="4"/>
  <c r="BT44" i="4"/>
  <c r="BT43" i="4"/>
  <c r="BT42" i="4"/>
  <c r="BT41" i="4"/>
  <c r="BT40" i="4"/>
  <c r="BT36" i="4"/>
  <c r="BT33" i="4"/>
  <c r="BT32" i="4"/>
  <c r="X54" i="4"/>
  <c r="X53" i="4"/>
  <c r="X52" i="4"/>
  <c r="X51" i="4"/>
  <c r="X50" i="4"/>
  <c r="X48" i="4"/>
  <c r="X47" i="4"/>
  <c r="X46" i="4"/>
  <c r="X45" i="4"/>
  <c r="X44" i="4"/>
  <c r="X43" i="4"/>
  <c r="X42" i="4"/>
  <c r="X41" i="4"/>
  <c r="X40" i="4"/>
  <c r="X39" i="4"/>
  <c r="X37" i="4"/>
  <c r="X36" i="4"/>
  <c r="X33" i="4"/>
  <c r="X32" i="4"/>
  <c r="F23" i="28"/>
  <c r="F24" i="28"/>
  <c r="EP30" i="4"/>
  <c r="AH54" i="4"/>
  <c r="AG54" i="4"/>
  <c r="AH53" i="4"/>
  <c r="AG53" i="4"/>
  <c r="AH52" i="4"/>
  <c r="AG52" i="4"/>
  <c r="AH51" i="4"/>
  <c r="AG51" i="4"/>
  <c r="AH50" i="4"/>
  <c r="AG50" i="4"/>
  <c r="AH48" i="4"/>
  <c r="AG48" i="4"/>
  <c r="AH47" i="4"/>
  <c r="AG47" i="4"/>
  <c r="AH46" i="4"/>
  <c r="AG46" i="4"/>
  <c r="AH45" i="4"/>
  <c r="AG45" i="4"/>
  <c r="AH44" i="4"/>
  <c r="AG44" i="4"/>
  <c r="AH43" i="4"/>
  <c r="AG43" i="4"/>
  <c r="AH42" i="4"/>
  <c r="AG42" i="4"/>
  <c r="AH41" i="4"/>
  <c r="AG41" i="4"/>
  <c r="AH40" i="4"/>
  <c r="AG40" i="4"/>
  <c r="AH39" i="4"/>
  <c r="AG39" i="4"/>
  <c r="AH37" i="4"/>
  <c r="AG37" i="4"/>
  <c r="AH36" i="4"/>
  <c r="AG36" i="4"/>
  <c r="AH33" i="4"/>
  <c r="AG33" i="4"/>
  <c r="AH32" i="4"/>
  <c r="AG32" i="4"/>
  <c r="K53" i="4" l="1"/>
  <c r="K51" i="4"/>
  <c r="K52" i="4"/>
  <c r="K35" i="4"/>
  <c r="AC35" i="4"/>
  <c r="L9" i="30"/>
  <c r="L10" i="30"/>
  <c r="M4" i="30"/>
  <c r="L4" i="30"/>
  <c r="L54" i="4"/>
  <c r="G688" i="9"/>
  <c r="G687" i="9"/>
  <c r="G669" i="9"/>
  <c r="E517" i="8" s="1"/>
  <c r="I517" i="8" s="1"/>
  <c r="H517" i="8" s="1"/>
  <c r="G664" i="9"/>
  <c r="G663" i="9"/>
  <c r="G645" i="9"/>
  <c r="G640" i="9"/>
  <c r="G639" i="9"/>
  <c r="G621" i="9"/>
  <c r="G616" i="9"/>
  <c r="G615" i="9"/>
  <c r="G597" i="9"/>
  <c r="G592" i="9"/>
  <c r="G591" i="9"/>
  <c r="G573" i="9"/>
  <c r="G568" i="9"/>
  <c r="G567" i="9"/>
  <c r="G549" i="9"/>
  <c r="G544" i="9"/>
  <c r="G543" i="9"/>
  <c r="G525" i="9"/>
  <c r="G520" i="9"/>
  <c r="G519" i="9"/>
  <c r="G501" i="9"/>
  <c r="G496" i="9"/>
  <c r="G495" i="9"/>
  <c r="G477" i="9"/>
  <c r="G472" i="9"/>
  <c r="G471" i="9"/>
  <c r="G453" i="9"/>
  <c r="G448" i="9"/>
  <c r="G447" i="9"/>
  <c r="G429" i="9"/>
  <c r="G424" i="9"/>
  <c r="G423" i="9"/>
  <c r="G405" i="9"/>
  <c r="G400" i="9"/>
  <c r="G399" i="9"/>
  <c r="G381" i="9"/>
  <c r="G376" i="9"/>
  <c r="G375" i="9"/>
  <c r="G357" i="9"/>
  <c r="G352" i="9"/>
  <c r="G351" i="9"/>
  <c r="G333" i="9"/>
  <c r="G328" i="9"/>
  <c r="G327" i="9"/>
  <c r="G309" i="9"/>
  <c r="G304" i="9"/>
  <c r="G303" i="9"/>
  <c r="G285" i="9"/>
  <c r="G280" i="9"/>
  <c r="G279" i="9"/>
  <c r="G261" i="9"/>
  <c r="G256" i="9"/>
  <c r="G255" i="9"/>
  <c r="G237" i="9"/>
  <c r="B161" i="8"/>
  <c r="B160" i="8"/>
  <c r="B139" i="8"/>
  <c r="O9" i="23"/>
  <c r="EH30" i="4"/>
  <c r="G468" i="9" s="1"/>
  <c r="D8" i="28"/>
  <c r="L617" i="6"/>
  <c r="K54" i="4" l="1"/>
  <c r="K50" i="4"/>
  <c r="K48" i="4"/>
  <c r="K47" i="4"/>
  <c r="K46" i="4"/>
  <c r="K45" i="4"/>
  <c r="K44" i="4"/>
  <c r="K43" i="4"/>
  <c r="K42" i="4"/>
  <c r="K41" i="4"/>
  <c r="K40" i="4"/>
  <c r="K39" i="4"/>
  <c r="K37" i="4"/>
  <c r="K36" i="4"/>
  <c r="K33" i="4"/>
  <c r="K32" i="4"/>
  <c r="G492" i="9"/>
  <c r="G588" i="9"/>
  <c r="G540" i="9"/>
  <c r="G276" i="9"/>
  <c r="G324" i="9"/>
  <c r="G372" i="9"/>
  <c r="G420" i="9"/>
  <c r="G660" i="9"/>
  <c r="G612" i="9"/>
  <c r="G564" i="9"/>
  <c r="G516" i="9"/>
  <c r="G684" i="9"/>
  <c r="G252" i="9"/>
  <c r="G300" i="9"/>
  <c r="G348" i="9"/>
  <c r="G396" i="9"/>
  <c r="G444" i="9"/>
  <c r="G636" i="9"/>
  <c r="F18" i="16"/>
  <c r="F22" i="28"/>
  <c r="F21" i="28"/>
  <c r="F20" i="28"/>
  <c r="F19" i="28"/>
  <c r="F18" i="28"/>
  <c r="F17" i="28"/>
  <c r="F16" i="28"/>
  <c r="F15" i="28"/>
  <c r="F14" i="28"/>
  <c r="F13" i="28"/>
  <c r="F12" i="28"/>
  <c r="F25" i="28"/>
  <c r="K126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AM51" i="9"/>
  <c r="AN51" i="9"/>
  <c r="AO51" i="9"/>
  <c r="AP51" i="9"/>
  <c r="AQ51" i="9"/>
  <c r="AR51" i="9"/>
  <c r="AS51" i="9"/>
  <c r="AT51" i="9"/>
  <c r="AU51" i="9"/>
  <c r="AV51" i="9"/>
  <c r="AW51" i="9"/>
  <c r="AX51" i="9"/>
  <c r="AY51" i="9"/>
  <c r="AZ51" i="9"/>
  <c r="BA51" i="9"/>
  <c r="BB51" i="9"/>
  <c r="BC51" i="9"/>
  <c r="BD51" i="9"/>
  <c r="BE51" i="9"/>
  <c r="BF51" i="9"/>
  <c r="BG51" i="9"/>
  <c r="BH51" i="9"/>
  <c r="BI51" i="9"/>
  <c r="BJ51" i="9"/>
  <c r="BK51" i="9"/>
  <c r="BL51" i="9"/>
  <c r="BM51" i="9"/>
  <c r="BN51" i="9"/>
  <c r="BO51" i="9"/>
  <c r="BP51" i="9"/>
  <c r="BQ51" i="9"/>
  <c r="BR51" i="9"/>
  <c r="L52" i="9"/>
  <c r="M52" i="9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AK52" i="9"/>
  <c r="AL52" i="9"/>
  <c r="AM52" i="9"/>
  <c r="AN52" i="9"/>
  <c r="AO52" i="9"/>
  <c r="AP52" i="9"/>
  <c r="AQ52" i="9"/>
  <c r="AR52" i="9"/>
  <c r="AS52" i="9"/>
  <c r="AT52" i="9"/>
  <c r="AU52" i="9"/>
  <c r="AV52" i="9"/>
  <c r="AW52" i="9"/>
  <c r="AX52" i="9"/>
  <c r="AY52" i="9"/>
  <c r="AZ52" i="9"/>
  <c r="BA52" i="9"/>
  <c r="BB52" i="9"/>
  <c r="BC52" i="9"/>
  <c r="BD52" i="9"/>
  <c r="BE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AJ53" i="9"/>
  <c r="AK53" i="9"/>
  <c r="AL53" i="9"/>
  <c r="AM53" i="9"/>
  <c r="AN53" i="9"/>
  <c r="AO53" i="9"/>
  <c r="AP53" i="9"/>
  <c r="AQ53" i="9"/>
  <c r="AR53" i="9"/>
  <c r="AS53" i="9"/>
  <c r="AT53" i="9"/>
  <c r="AU53" i="9"/>
  <c r="AV53" i="9"/>
  <c r="AW53" i="9"/>
  <c r="AX53" i="9"/>
  <c r="AY53" i="9"/>
  <c r="AZ53" i="9"/>
  <c r="BA53" i="9"/>
  <c r="BB53" i="9"/>
  <c r="BC53" i="9"/>
  <c r="BD53" i="9"/>
  <c r="BE53" i="9"/>
  <c r="BF53" i="9"/>
  <c r="BG53" i="9"/>
  <c r="BH53" i="9"/>
  <c r="BI53" i="9"/>
  <c r="BJ53" i="9"/>
  <c r="BK53" i="9"/>
  <c r="BL53" i="9"/>
  <c r="BM53" i="9"/>
  <c r="BN53" i="9"/>
  <c r="BO53" i="9"/>
  <c r="BP53" i="9"/>
  <c r="BQ53" i="9"/>
  <c r="BR53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AJ54" i="9"/>
  <c r="AK54" i="9"/>
  <c r="AL54" i="9"/>
  <c r="AM54" i="9"/>
  <c r="AN54" i="9"/>
  <c r="AO54" i="9"/>
  <c r="AP54" i="9"/>
  <c r="AQ54" i="9"/>
  <c r="AR54" i="9"/>
  <c r="AS54" i="9"/>
  <c r="AT54" i="9"/>
  <c r="AU54" i="9"/>
  <c r="AV54" i="9"/>
  <c r="AW54" i="9"/>
  <c r="AX54" i="9"/>
  <c r="AY54" i="9"/>
  <c r="AZ54" i="9"/>
  <c r="BA54" i="9"/>
  <c r="BB54" i="9"/>
  <c r="BC54" i="9"/>
  <c r="BD54" i="9"/>
  <c r="BE54" i="9"/>
  <c r="BF54" i="9"/>
  <c r="BG54" i="9"/>
  <c r="BH54" i="9"/>
  <c r="BI54" i="9"/>
  <c r="BJ54" i="9"/>
  <c r="BK54" i="9"/>
  <c r="BL54" i="9"/>
  <c r="BM54" i="9"/>
  <c r="BN54" i="9"/>
  <c r="BO54" i="9"/>
  <c r="BP54" i="9"/>
  <c r="BQ54" i="9"/>
  <c r="BR54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M55" i="9"/>
  <c r="AN55" i="9"/>
  <c r="AO55" i="9"/>
  <c r="AP55" i="9"/>
  <c r="AQ55" i="9"/>
  <c r="AR55" i="9"/>
  <c r="AS55" i="9"/>
  <c r="AT55" i="9"/>
  <c r="AU55" i="9"/>
  <c r="AV55" i="9"/>
  <c r="AW55" i="9"/>
  <c r="AX55" i="9"/>
  <c r="AY55" i="9"/>
  <c r="AZ55" i="9"/>
  <c r="BA55" i="9"/>
  <c r="BB55" i="9"/>
  <c r="BC55" i="9"/>
  <c r="BD55" i="9"/>
  <c r="BE55" i="9"/>
  <c r="BF55" i="9"/>
  <c r="BG55" i="9"/>
  <c r="BH55" i="9"/>
  <c r="BI55" i="9"/>
  <c r="BJ55" i="9"/>
  <c r="BK55" i="9"/>
  <c r="BL55" i="9"/>
  <c r="BM55" i="9"/>
  <c r="BN55" i="9"/>
  <c r="BO55" i="9"/>
  <c r="BP55" i="9"/>
  <c r="BQ55" i="9"/>
  <c r="BR55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AJ56" i="9"/>
  <c r="AK56" i="9"/>
  <c r="AL56" i="9"/>
  <c r="AM56" i="9"/>
  <c r="AN56" i="9"/>
  <c r="AO56" i="9"/>
  <c r="AP56" i="9"/>
  <c r="AQ56" i="9"/>
  <c r="AR56" i="9"/>
  <c r="AS56" i="9"/>
  <c r="AT56" i="9"/>
  <c r="AU56" i="9"/>
  <c r="AV56" i="9"/>
  <c r="AW56" i="9"/>
  <c r="AX56" i="9"/>
  <c r="AY56" i="9"/>
  <c r="AZ56" i="9"/>
  <c r="BA56" i="9"/>
  <c r="BB56" i="9"/>
  <c r="BC56" i="9"/>
  <c r="BD56" i="9"/>
  <c r="BE56" i="9"/>
  <c r="BF56" i="9"/>
  <c r="BG56" i="9"/>
  <c r="BH56" i="9"/>
  <c r="BI56" i="9"/>
  <c r="BJ56" i="9"/>
  <c r="BK56" i="9"/>
  <c r="BL56" i="9"/>
  <c r="BM56" i="9"/>
  <c r="BN56" i="9"/>
  <c r="BO56" i="9"/>
  <c r="BP56" i="9"/>
  <c r="BQ56" i="9"/>
  <c r="BR56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AJ57" i="9"/>
  <c r="AK57" i="9"/>
  <c r="AL57" i="9"/>
  <c r="AM57" i="9"/>
  <c r="AN57" i="9"/>
  <c r="AO57" i="9"/>
  <c r="AP57" i="9"/>
  <c r="AQ57" i="9"/>
  <c r="AR57" i="9"/>
  <c r="AS57" i="9"/>
  <c r="AT57" i="9"/>
  <c r="AU57" i="9"/>
  <c r="AV57" i="9"/>
  <c r="AW57" i="9"/>
  <c r="AX57" i="9"/>
  <c r="AY57" i="9"/>
  <c r="AZ57" i="9"/>
  <c r="BA57" i="9"/>
  <c r="BB57" i="9"/>
  <c r="BC57" i="9"/>
  <c r="BD57" i="9"/>
  <c r="BE57" i="9"/>
  <c r="BF57" i="9"/>
  <c r="BG57" i="9"/>
  <c r="BH57" i="9"/>
  <c r="BI57" i="9"/>
  <c r="BJ57" i="9"/>
  <c r="BK57" i="9"/>
  <c r="BL57" i="9"/>
  <c r="BM57" i="9"/>
  <c r="BN57" i="9"/>
  <c r="BO57" i="9"/>
  <c r="BP57" i="9"/>
  <c r="BQ57" i="9"/>
  <c r="BR57" i="9"/>
  <c r="L58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AJ58" i="9"/>
  <c r="AK58" i="9"/>
  <c r="AL58" i="9"/>
  <c r="AM58" i="9"/>
  <c r="AN58" i="9"/>
  <c r="AO58" i="9"/>
  <c r="AP58" i="9"/>
  <c r="AQ58" i="9"/>
  <c r="AR58" i="9"/>
  <c r="AS58" i="9"/>
  <c r="AT58" i="9"/>
  <c r="AU58" i="9"/>
  <c r="AV58" i="9"/>
  <c r="AW58" i="9"/>
  <c r="AX58" i="9"/>
  <c r="AY58" i="9"/>
  <c r="AZ58" i="9"/>
  <c r="BA58" i="9"/>
  <c r="BB58" i="9"/>
  <c r="BC58" i="9"/>
  <c r="BD58" i="9"/>
  <c r="BE58" i="9"/>
  <c r="BF58" i="9"/>
  <c r="BG58" i="9"/>
  <c r="BH58" i="9"/>
  <c r="BI58" i="9"/>
  <c r="BJ58" i="9"/>
  <c r="BK58" i="9"/>
  <c r="BL58" i="9"/>
  <c r="BM58" i="9"/>
  <c r="BN58" i="9"/>
  <c r="BO58" i="9"/>
  <c r="BP58" i="9"/>
  <c r="BQ58" i="9"/>
  <c r="BR58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E59" i="9"/>
  <c r="AF59" i="9"/>
  <c r="AG59" i="9"/>
  <c r="AH59" i="9"/>
  <c r="AI59" i="9"/>
  <c r="AJ59" i="9"/>
  <c r="AK59" i="9"/>
  <c r="AL59" i="9"/>
  <c r="AM59" i="9"/>
  <c r="AN59" i="9"/>
  <c r="AO59" i="9"/>
  <c r="AP59" i="9"/>
  <c r="AQ59" i="9"/>
  <c r="AR59" i="9"/>
  <c r="AS59" i="9"/>
  <c r="AT59" i="9"/>
  <c r="AU59" i="9"/>
  <c r="AV59" i="9"/>
  <c r="AW59" i="9"/>
  <c r="AX59" i="9"/>
  <c r="AY59" i="9"/>
  <c r="AZ59" i="9"/>
  <c r="BA59" i="9"/>
  <c r="BB59" i="9"/>
  <c r="BC59" i="9"/>
  <c r="BD59" i="9"/>
  <c r="BE59" i="9"/>
  <c r="BF59" i="9"/>
  <c r="BG59" i="9"/>
  <c r="BH59" i="9"/>
  <c r="BI59" i="9"/>
  <c r="BJ59" i="9"/>
  <c r="BK59" i="9"/>
  <c r="BL59" i="9"/>
  <c r="BM59" i="9"/>
  <c r="BN59" i="9"/>
  <c r="BO59" i="9"/>
  <c r="BP59" i="9"/>
  <c r="BQ59" i="9"/>
  <c r="BR59" i="9"/>
  <c r="L60" i="9"/>
  <c r="M60" i="9"/>
  <c r="N60" i="9"/>
  <c r="O60" i="9"/>
  <c r="P60" i="9"/>
  <c r="Q60" i="9"/>
  <c r="R60" i="9"/>
  <c r="S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AJ60" i="9"/>
  <c r="AK60" i="9"/>
  <c r="AL60" i="9"/>
  <c r="AM60" i="9"/>
  <c r="AN60" i="9"/>
  <c r="AO60" i="9"/>
  <c r="AP60" i="9"/>
  <c r="AQ60" i="9"/>
  <c r="AR60" i="9"/>
  <c r="AS60" i="9"/>
  <c r="AT60" i="9"/>
  <c r="AU60" i="9"/>
  <c r="AV60" i="9"/>
  <c r="AW60" i="9"/>
  <c r="AX60" i="9"/>
  <c r="AY60" i="9"/>
  <c r="AZ60" i="9"/>
  <c r="BA60" i="9"/>
  <c r="BB60" i="9"/>
  <c r="BC60" i="9"/>
  <c r="BD60" i="9"/>
  <c r="BE60" i="9"/>
  <c r="BF60" i="9"/>
  <c r="BG60" i="9"/>
  <c r="BH60" i="9"/>
  <c r="BI60" i="9"/>
  <c r="BJ60" i="9"/>
  <c r="BK60" i="9"/>
  <c r="BL60" i="9"/>
  <c r="BM60" i="9"/>
  <c r="BN60" i="9"/>
  <c r="BO60" i="9"/>
  <c r="BP60" i="9"/>
  <c r="BQ60" i="9"/>
  <c r="BR60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BJ61" i="9"/>
  <c r="BK61" i="9"/>
  <c r="BL61" i="9"/>
  <c r="BM61" i="9"/>
  <c r="BN61" i="9"/>
  <c r="BO61" i="9"/>
  <c r="BP61" i="9"/>
  <c r="BQ61" i="9"/>
  <c r="BR61" i="9"/>
  <c r="L62" i="9"/>
  <c r="M62" i="9"/>
  <c r="N62" i="9"/>
  <c r="O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AJ62" i="9"/>
  <c r="AK62" i="9"/>
  <c r="AL62" i="9"/>
  <c r="AM62" i="9"/>
  <c r="AN62" i="9"/>
  <c r="AO62" i="9"/>
  <c r="AP62" i="9"/>
  <c r="AQ62" i="9"/>
  <c r="AR62" i="9"/>
  <c r="AS62" i="9"/>
  <c r="AT62" i="9"/>
  <c r="AU62" i="9"/>
  <c r="AV62" i="9"/>
  <c r="AW62" i="9"/>
  <c r="AX62" i="9"/>
  <c r="AY62" i="9"/>
  <c r="AZ62" i="9"/>
  <c r="BA62" i="9"/>
  <c r="BB62" i="9"/>
  <c r="BC62" i="9"/>
  <c r="BD62" i="9"/>
  <c r="BE62" i="9"/>
  <c r="BF62" i="9"/>
  <c r="BG62" i="9"/>
  <c r="BH62" i="9"/>
  <c r="BI62" i="9"/>
  <c r="BJ62" i="9"/>
  <c r="BK62" i="9"/>
  <c r="BL62" i="9"/>
  <c r="BM62" i="9"/>
  <c r="BN62" i="9"/>
  <c r="BO62" i="9"/>
  <c r="BP62" i="9"/>
  <c r="BQ62" i="9"/>
  <c r="BR62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AM63" i="9"/>
  <c r="AN63" i="9"/>
  <c r="AO63" i="9"/>
  <c r="AP63" i="9"/>
  <c r="AQ63" i="9"/>
  <c r="AR63" i="9"/>
  <c r="AS63" i="9"/>
  <c r="AT63" i="9"/>
  <c r="AU63" i="9"/>
  <c r="AV63" i="9"/>
  <c r="AW63" i="9"/>
  <c r="AX63" i="9"/>
  <c r="AY63" i="9"/>
  <c r="AZ63" i="9"/>
  <c r="BA63" i="9"/>
  <c r="BB63" i="9"/>
  <c r="BC63" i="9"/>
  <c r="BD63" i="9"/>
  <c r="BE63" i="9"/>
  <c r="BF63" i="9"/>
  <c r="BG63" i="9"/>
  <c r="BH63" i="9"/>
  <c r="BI63" i="9"/>
  <c r="BJ63" i="9"/>
  <c r="BK63" i="9"/>
  <c r="BL63" i="9"/>
  <c r="BM63" i="9"/>
  <c r="BN63" i="9"/>
  <c r="BO63" i="9"/>
  <c r="BP63" i="9"/>
  <c r="BQ63" i="9"/>
  <c r="BR63" i="9"/>
  <c r="L64" i="9"/>
  <c r="M64" i="9"/>
  <c r="N64" i="9"/>
  <c r="O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AJ64" i="9"/>
  <c r="AK64" i="9"/>
  <c r="AL64" i="9"/>
  <c r="AM64" i="9"/>
  <c r="AN64" i="9"/>
  <c r="AO64" i="9"/>
  <c r="AP64" i="9"/>
  <c r="AQ64" i="9"/>
  <c r="AR64" i="9"/>
  <c r="AS64" i="9"/>
  <c r="AT64" i="9"/>
  <c r="AU64" i="9"/>
  <c r="AV64" i="9"/>
  <c r="AW64" i="9"/>
  <c r="AX64" i="9"/>
  <c r="AY64" i="9"/>
  <c r="AZ64" i="9"/>
  <c r="BA64" i="9"/>
  <c r="BB64" i="9"/>
  <c r="BC64" i="9"/>
  <c r="BD64" i="9"/>
  <c r="BE64" i="9"/>
  <c r="BF64" i="9"/>
  <c r="BG64" i="9"/>
  <c r="BH64" i="9"/>
  <c r="BI64" i="9"/>
  <c r="BJ64" i="9"/>
  <c r="BK64" i="9"/>
  <c r="BL64" i="9"/>
  <c r="BM64" i="9"/>
  <c r="BN64" i="9"/>
  <c r="BO64" i="9"/>
  <c r="BP64" i="9"/>
  <c r="BQ64" i="9"/>
  <c r="BR64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AJ65" i="9"/>
  <c r="AK65" i="9"/>
  <c r="AL65" i="9"/>
  <c r="AM65" i="9"/>
  <c r="AN65" i="9"/>
  <c r="AO65" i="9"/>
  <c r="AP65" i="9"/>
  <c r="AQ65" i="9"/>
  <c r="AR65" i="9"/>
  <c r="AS65" i="9"/>
  <c r="AT65" i="9"/>
  <c r="AU65" i="9"/>
  <c r="AV65" i="9"/>
  <c r="AW65" i="9"/>
  <c r="AX65" i="9"/>
  <c r="AY65" i="9"/>
  <c r="AZ65" i="9"/>
  <c r="BA65" i="9"/>
  <c r="BB65" i="9"/>
  <c r="BC65" i="9"/>
  <c r="BD65" i="9"/>
  <c r="BE65" i="9"/>
  <c r="BF65" i="9"/>
  <c r="BG65" i="9"/>
  <c r="BH65" i="9"/>
  <c r="BI65" i="9"/>
  <c r="BJ65" i="9"/>
  <c r="BK65" i="9"/>
  <c r="BL65" i="9"/>
  <c r="BM65" i="9"/>
  <c r="BN65" i="9"/>
  <c r="BO65" i="9"/>
  <c r="BP65" i="9"/>
  <c r="BQ65" i="9"/>
  <c r="BR65" i="9"/>
  <c r="L66" i="9"/>
  <c r="M66" i="9"/>
  <c r="N66" i="9"/>
  <c r="O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AJ66" i="9"/>
  <c r="AK66" i="9"/>
  <c r="AL66" i="9"/>
  <c r="AM66" i="9"/>
  <c r="AN66" i="9"/>
  <c r="AO66" i="9"/>
  <c r="AP66" i="9"/>
  <c r="AQ66" i="9"/>
  <c r="AR66" i="9"/>
  <c r="AS66" i="9"/>
  <c r="AT66" i="9"/>
  <c r="AU66" i="9"/>
  <c r="AV66" i="9"/>
  <c r="AW66" i="9"/>
  <c r="AX66" i="9"/>
  <c r="AY66" i="9"/>
  <c r="AZ66" i="9"/>
  <c r="BA66" i="9"/>
  <c r="BB66" i="9"/>
  <c r="BC66" i="9"/>
  <c r="BD66" i="9"/>
  <c r="BE66" i="9"/>
  <c r="BF66" i="9"/>
  <c r="BG66" i="9"/>
  <c r="BH66" i="9"/>
  <c r="BI66" i="9"/>
  <c r="BJ66" i="9"/>
  <c r="BK66" i="9"/>
  <c r="BL66" i="9"/>
  <c r="BM66" i="9"/>
  <c r="BN66" i="9"/>
  <c r="BO66" i="9"/>
  <c r="BP66" i="9"/>
  <c r="BQ66" i="9"/>
  <c r="BR66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AK67" i="9"/>
  <c r="AL67" i="9"/>
  <c r="AM67" i="9"/>
  <c r="AN67" i="9"/>
  <c r="AO67" i="9"/>
  <c r="AP67" i="9"/>
  <c r="AQ67" i="9"/>
  <c r="AR67" i="9"/>
  <c r="AS67" i="9"/>
  <c r="AT67" i="9"/>
  <c r="AU67" i="9"/>
  <c r="AV67" i="9"/>
  <c r="AW67" i="9"/>
  <c r="AX67" i="9"/>
  <c r="AY67" i="9"/>
  <c r="AZ67" i="9"/>
  <c r="BA67" i="9"/>
  <c r="BB67" i="9"/>
  <c r="BC67" i="9"/>
  <c r="BD67" i="9"/>
  <c r="BE67" i="9"/>
  <c r="BF67" i="9"/>
  <c r="BG67" i="9"/>
  <c r="BH67" i="9"/>
  <c r="BI67" i="9"/>
  <c r="BJ67" i="9"/>
  <c r="BK67" i="9"/>
  <c r="BL67" i="9"/>
  <c r="BM67" i="9"/>
  <c r="BN67" i="9"/>
  <c r="BO67" i="9"/>
  <c r="BP67" i="9"/>
  <c r="BQ67" i="9"/>
  <c r="BR67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AJ68" i="9"/>
  <c r="AK68" i="9"/>
  <c r="AL68" i="9"/>
  <c r="AM68" i="9"/>
  <c r="AN68" i="9"/>
  <c r="AO68" i="9"/>
  <c r="AP68" i="9"/>
  <c r="AQ68" i="9"/>
  <c r="AR68" i="9"/>
  <c r="AS68" i="9"/>
  <c r="AT68" i="9"/>
  <c r="AU68" i="9"/>
  <c r="AV68" i="9"/>
  <c r="AW68" i="9"/>
  <c r="AX68" i="9"/>
  <c r="AY68" i="9"/>
  <c r="AZ68" i="9"/>
  <c r="BA68" i="9"/>
  <c r="BB68" i="9"/>
  <c r="BC68" i="9"/>
  <c r="BD68" i="9"/>
  <c r="BE68" i="9"/>
  <c r="BF68" i="9"/>
  <c r="BG68" i="9"/>
  <c r="BH68" i="9"/>
  <c r="BI68" i="9"/>
  <c r="BJ68" i="9"/>
  <c r="BK68" i="9"/>
  <c r="BL68" i="9"/>
  <c r="BM68" i="9"/>
  <c r="BN68" i="9"/>
  <c r="BO68" i="9"/>
  <c r="BP68" i="9"/>
  <c r="BQ68" i="9"/>
  <c r="BR68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AJ69" i="9"/>
  <c r="AK69" i="9"/>
  <c r="AL69" i="9"/>
  <c r="AM69" i="9"/>
  <c r="AN69" i="9"/>
  <c r="AO69" i="9"/>
  <c r="AP69" i="9"/>
  <c r="AQ69" i="9"/>
  <c r="AR69" i="9"/>
  <c r="AS69" i="9"/>
  <c r="AT69" i="9"/>
  <c r="AU69" i="9"/>
  <c r="AV69" i="9"/>
  <c r="AW69" i="9"/>
  <c r="AX69" i="9"/>
  <c r="AY69" i="9"/>
  <c r="AZ69" i="9"/>
  <c r="BA69" i="9"/>
  <c r="BB69" i="9"/>
  <c r="BC69" i="9"/>
  <c r="BD69" i="9"/>
  <c r="BE69" i="9"/>
  <c r="BF69" i="9"/>
  <c r="BG69" i="9"/>
  <c r="BH69" i="9"/>
  <c r="BI69" i="9"/>
  <c r="BJ69" i="9"/>
  <c r="BK69" i="9"/>
  <c r="BL69" i="9"/>
  <c r="BM69" i="9"/>
  <c r="BN69" i="9"/>
  <c r="BO69" i="9"/>
  <c r="BP69" i="9"/>
  <c r="BQ69" i="9"/>
  <c r="BR69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AJ70" i="9"/>
  <c r="AK70" i="9"/>
  <c r="AL70" i="9"/>
  <c r="AM70" i="9"/>
  <c r="AN70" i="9"/>
  <c r="AO70" i="9"/>
  <c r="AP70" i="9"/>
  <c r="AQ70" i="9"/>
  <c r="AR70" i="9"/>
  <c r="AS70" i="9"/>
  <c r="AT70" i="9"/>
  <c r="AU70" i="9"/>
  <c r="AV70" i="9"/>
  <c r="AW70" i="9"/>
  <c r="AX70" i="9"/>
  <c r="AY70" i="9"/>
  <c r="AZ70" i="9"/>
  <c r="BA70" i="9"/>
  <c r="BB70" i="9"/>
  <c r="BC70" i="9"/>
  <c r="BD70" i="9"/>
  <c r="BE70" i="9"/>
  <c r="BF70" i="9"/>
  <c r="BG70" i="9"/>
  <c r="BH70" i="9"/>
  <c r="BI70" i="9"/>
  <c r="BJ70" i="9"/>
  <c r="BK70" i="9"/>
  <c r="BL70" i="9"/>
  <c r="BM70" i="9"/>
  <c r="BN70" i="9"/>
  <c r="BO70" i="9"/>
  <c r="BP70" i="9"/>
  <c r="BQ70" i="9"/>
  <c r="BR70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51" i="9"/>
  <c r="D45" i="2"/>
  <c r="D32" i="2"/>
  <c r="N16" i="30"/>
  <c r="L16" i="30"/>
  <c r="J16" i="30"/>
  <c r="I16" i="30"/>
  <c r="M16" i="30" s="1"/>
  <c r="L15" i="30"/>
  <c r="J15" i="30"/>
  <c r="N15" i="30" s="1"/>
  <c r="I15" i="30"/>
  <c r="M15" i="30" s="1"/>
  <c r="M14" i="30"/>
  <c r="L14" i="30"/>
  <c r="J14" i="30"/>
  <c r="N14" i="30" s="1"/>
  <c r="I14" i="30"/>
  <c r="N13" i="30"/>
  <c r="M13" i="30"/>
  <c r="L13" i="30"/>
  <c r="J13" i="30"/>
  <c r="I13" i="30"/>
  <c r="L12" i="30"/>
  <c r="J12" i="30"/>
  <c r="N12" i="30" s="1"/>
  <c r="I12" i="30"/>
  <c r="M12" i="30" s="1"/>
  <c r="L11" i="30"/>
  <c r="J11" i="30"/>
  <c r="N11" i="30" s="1"/>
  <c r="I11" i="30"/>
  <c r="M11" i="30" s="1"/>
  <c r="M10" i="30"/>
  <c r="J10" i="30"/>
  <c r="N10" i="30" s="1"/>
  <c r="I10" i="30"/>
  <c r="N9" i="30"/>
  <c r="J9" i="30"/>
  <c r="I9" i="30"/>
  <c r="M9" i="30" s="1"/>
  <c r="N8" i="30"/>
  <c r="L8" i="30"/>
  <c r="J8" i="30"/>
  <c r="I8" i="30"/>
  <c r="M8" i="30" s="1"/>
  <c r="L7" i="30"/>
  <c r="J7" i="30"/>
  <c r="N7" i="30" s="1"/>
  <c r="I7" i="30"/>
  <c r="M7" i="30" s="1"/>
  <c r="M6" i="30"/>
  <c r="L6" i="30"/>
  <c r="J6" i="30"/>
  <c r="N6" i="30" s="1"/>
  <c r="I6" i="30"/>
  <c r="N5" i="30"/>
  <c r="M5" i="30"/>
  <c r="L5" i="30"/>
  <c r="J5" i="30"/>
  <c r="I5" i="30"/>
  <c r="J4" i="30"/>
  <c r="N4" i="30" s="1"/>
  <c r="I4" i="30"/>
  <c r="AI54" i="4" l="1"/>
  <c r="AI51" i="4"/>
  <c r="AI47" i="4"/>
  <c r="AI39" i="4"/>
  <c r="AI44" i="4"/>
  <c r="AI33" i="4"/>
  <c r="AI50" i="4"/>
  <c r="AI41" i="4"/>
  <c r="AI45" i="4"/>
  <c r="AI42" i="4"/>
  <c r="AI53" i="4"/>
  <c r="AI35" i="4"/>
  <c r="AI46" i="4"/>
  <c r="AI37" i="4"/>
  <c r="AI43" i="4"/>
  <c r="AI32" i="4"/>
  <c r="AI48" i="4"/>
  <c r="AI40" i="4"/>
  <c r="AI36" i="4"/>
  <c r="AI52" i="4"/>
  <c r="S47" i="2"/>
  <c r="S46" i="2"/>
  <c r="S45" i="2"/>
  <c r="S44" i="2"/>
  <c r="S41" i="2"/>
  <c r="S40" i="2"/>
  <c r="S39" i="2"/>
  <c r="C25" i="29"/>
  <c r="C26" i="29" s="1"/>
  <c r="X15" i="29"/>
  <c r="X10" i="29"/>
  <c r="X9" i="29"/>
  <c r="AD5" i="29"/>
  <c r="AC5" i="29"/>
  <c r="AB5" i="29"/>
  <c r="AA5" i="29"/>
  <c r="Z5" i="29"/>
  <c r="Y5" i="29"/>
  <c r="AD1" i="29"/>
  <c r="AD3" i="29" s="1"/>
  <c r="AD6" i="29" s="1"/>
  <c r="AC1" i="29"/>
  <c r="AB1" i="29"/>
  <c r="AB4" i="29" s="1"/>
  <c r="AA1" i="29"/>
  <c r="Z1" i="29"/>
  <c r="Z3" i="29" s="1"/>
  <c r="Y1" i="29"/>
  <c r="Y3" i="29" s="1"/>
  <c r="AB3" i="29" l="1"/>
  <c r="AB6" i="29" s="1"/>
  <c r="AD4" i="29"/>
  <c r="AD10" i="29"/>
  <c r="AC3" i="29"/>
  <c r="AD9" i="29"/>
  <c r="AD16" i="29" s="1"/>
  <c r="AA3" i="29"/>
  <c r="AC4" i="29"/>
  <c r="Y4" i="29"/>
  <c r="Y6" i="29" s="1"/>
  <c r="Y10" i="29"/>
  <c r="W13" i="29"/>
  <c r="W16" i="29" s="1"/>
  <c r="AD7" i="29" s="1"/>
  <c r="Z4" i="29"/>
  <c r="Z6" i="29" s="1"/>
  <c r="Y9" i="29"/>
  <c r="AA4" i="29"/>
  <c r="Z7" i="29" l="1"/>
  <c r="Z15" i="29"/>
  <c r="AD14" i="29"/>
  <c r="AD11" i="29"/>
  <c r="AD15" i="29"/>
  <c r="AD12" i="29"/>
  <c r="AD17" i="29"/>
  <c r="AD13" i="29"/>
  <c r="AA6" i="29"/>
  <c r="AA7" i="29" s="1"/>
  <c r="AC6" i="29"/>
  <c r="AC7" i="29" s="1"/>
  <c r="Y7" i="29"/>
  <c r="AB7" i="29"/>
  <c r="AB15" i="29" l="1"/>
  <c r="AB14" i="29"/>
  <c r="AB11" i="29"/>
  <c r="AB17" i="29"/>
  <c r="AB13" i="29"/>
  <c r="AB12" i="29"/>
  <c r="AB10" i="29"/>
  <c r="AB9" i="29"/>
  <c r="Y17" i="29"/>
  <c r="Y13" i="29"/>
  <c r="Y15" i="29"/>
  <c r="Y14" i="29"/>
  <c r="Y11" i="29"/>
  <c r="Y12" i="29"/>
  <c r="AC14" i="29"/>
  <c r="AC11" i="29"/>
  <c r="AC15" i="29"/>
  <c r="AC13" i="29"/>
  <c r="AC12" i="29"/>
  <c r="AC17" i="29"/>
  <c r="AC9" i="29"/>
  <c r="AC10" i="29"/>
  <c r="AA13" i="29"/>
  <c r="AA17" i="29"/>
  <c r="AA14" i="29"/>
  <c r="AA11" i="29"/>
  <c r="AA12" i="29"/>
  <c r="AA9" i="29"/>
  <c r="AA15" i="29"/>
  <c r="AA10" i="29"/>
  <c r="Z17" i="29"/>
  <c r="Z9" i="29"/>
  <c r="Z10" i="29"/>
  <c r="AB16" i="29" l="1"/>
  <c r="AA16" i="29"/>
  <c r="AC16" i="29"/>
  <c r="Z16" i="29"/>
  <c r="Y16" i="29"/>
  <c r="F3" i="23" l="1"/>
  <c r="C38" i="2"/>
  <c r="S38" i="2" s="1"/>
  <c r="B38" i="2"/>
  <c r="B25" i="2"/>
  <c r="C25" i="2"/>
  <c r="E43" i="2"/>
  <c r="E38" i="2"/>
  <c r="E3" i="27"/>
  <c r="E4" i="27"/>
  <c r="E6" i="27"/>
  <c r="E7" i="27"/>
  <c r="E8" i="27"/>
  <c r="E9" i="27"/>
  <c r="E10" i="27"/>
  <c r="E11" i="27"/>
  <c r="E12" i="27"/>
  <c r="CL30" i="4"/>
  <c r="G231" i="9"/>
  <c r="G232" i="9"/>
  <c r="BU3" i="4"/>
  <c r="BT3" i="4" s="1"/>
  <c r="EL30" i="4"/>
  <c r="G228" i="9"/>
  <c r="EC30" i="4"/>
  <c r="DY30" i="4"/>
  <c r="DU30" i="4"/>
  <c r="DP30" i="4"/>
  <c r="DL30" i="4"/>
  <c r="DH30" i="4"/>
  <c r="DC30" i="4"/>
  <c r="CY30" i="4"/>
  <c r="CU30" i="4"/>
  <c r="CP30" i="4"/>
  <c r="CC30" i="4"/>
  <c r="BX30" i="4"/>
  <c r="G213" i="9"/>
  <c r="BU4" i="4"/>
  <c r="BT4" i="4" s="1"/>
  <c r="BU5" i="4"/>
  <c r="BT5" i="4" s="1"/>
  <c r="BU6" i="4"/>
  <c r="BT6" i="4" s="1"/>
  <c r="BU7" i="4"/>
  <c r="BT7" i="4" s="1"/>
  <c r="BU8" i="4"/>
  <c r="BT8" i="4" s="1"/>
  <c r="BU9" i="4"/>
  <c r="BT9" i="4" s="1"/>
  <c r="BU10" i="4"/>
  <c r="BT10" i="4" s="1"/>
  <c r="BU11" i="4"/>
  <c r="BT11" i="4" s="1"/>
  <c r="BU12" i="4"/>
  <c r="BT12" i="4" s="1"/>
  <c r="BU13" i="4"/>
  <c r="BT13" i="4" s="1"/>
  <c r="BU14" i="4"/>
  <c r="BT14" i="4" s="1"/>
  <c r="BU15" i="4"/>
  <c r="BT15" i="4" s="1"/>
  <c r="BU16" i="4"/>
  <c r="BT16" i="4" s="1"/>
  <c r="BU17" i="4"/>
  <c r="BT17" i="4" s="1"/>
  <c r="BU18" i="4"/>
  <c r="BT18" i="4" s="1"/>
  <c r="BU19" i="4"/>
  <c r="BT19" i="4" s="1"/>
  <c r="BU2" i="4"/>
  <c r="BT2" i="4" s="1"/>
  <c r="BT25" i="4"/>
  <c r="H3" i="28"/>
  <c r="S834" i="6"/>
  <c r="S699" i="6" s="1"/>
  <c r="S1212" i="6"/>
  <c r="J589" i="8"/>
  <c r="K589" i="8" s="1"/>
  <c r="J588" i="8"/>
  <c r="K588" i="8" s="1"/>
  <c r="J587" i="8"/>
  <c r="K587" i="8" s="1"/>
  <c r="J586" i="8"/>
  <c r="K586" i="8" s="1"/>
  <c r="J585" i="8"/>
  <c r="K585" i="8" s="1"/>
  <c r="J584" i="8"/>
  <c r="K584" i="8" s="1"/>
  <c r="J583" i="8"/>
  <c r="K583" i="8" s="1"/>
  <c r="J582" i="8"/>
  <c r="K582" i="8" s="1"/>
  <c r="J581" i="8"/>
  <c r="K581" i="8" s="1"/>
  <c r="J580" i="8"/>
  <c r="K580" i="8" s="1"/>
  <c r="J579" i="8"/>
  <c r="K579" i="8" s="1"/>
  <c r="J578" i="8"/>
  <c r="K578" i="8" s="1"/>
  <c r="J577" i="8"/>
  <c r="K577" i="8" s="1"/>
  <c r="J576" i="8"/>
  <c r="K576" i="8" s="1"/>
  <c r="J575" i="8"/>
  <c r="K575" i="8" s="1"/>
  <c r="J574" i="8"/>
  <c r="K574" i="8" s="1"/>
  <c r="J573" i="8"/>
  <c r="K573" i="8" s="1"/>
  <c r="J572" i="8"/>
  <c r="K572" i="8" s="1"/>
  <c r="J571" i="8"/>
  <c r="K571" i="8" s="1"/>
  <c r="J570" i="8"/>
  <c r="K570" i="8" s="1"/>
  <c r="J569" i="8"/>
  <c r="K569" i="8" s="1"/>
  <c r="J568" i="8"/>
  <c r="K568" i="8" s="1"/>
  <c r="J567" i="8"/>
  <c r="K567" i="8" s="1"/>
  <c r="J566" i="8"/>
  <c r="K566" i="8" s="1"/>
  <c r="J565" i="8"/>
  <c r="K565" i="8" s="1"/>
  <c r="J564" i="8"/>
  <c r="K564" i="8" s="1"/>
  <c r="J563" i="8"/>
  <c r="K563" i="8" s="1"/>
  <c r="J562" i="8"/>
  <c r="K562" i="8" s="1"/>
  <c r="J561" i="8"/>
  <c r="K561" i="8" s="1"/>
  <c r="J560" i="8"/>
  <c r="K560" i="8" s="1"/>
  <c r="J559" i="8"/>
  <c r="K559" i="8" s="1"/>
  <c r="J558" i="8"/>
  <c r="K558" i="8" s="1"/>
  <c r="J557" i="8"/>
  <c r="K557" i="8" s="1"/>
  <c r="J556" i="8"/>
  <c r="K556" i="8" s="1"/>
  <c r="J555" i="8"/>
  <c r="K555" i="8" s="1"/>
  <c r="J554" i="8"/>
  <c r="K554" i="8" s="1"/>
  <c r="J553" i="8"/>
  <c r="K553" i="8" s="1"/>
  <c r="J552" i="8"/>
  <c r="K552" i="8" s="1"/>
  <c r="J551" i="8"/>
  <c r="K551" i="8" s="1"/>
  <c r="J550" i="8"/>
  <c r="K550" i="8" s="1"/>
  <c r="J549" i="8"/>
  <c r="K549" i="8" s="1"/>
  <c r="J548" i="8"/>
  <c r="K548" i="8" s="1"/>
  <c r="J547" i="8"/>
  <c r="K547" i="8" s="1"/>
  <c r="J546" i="8"/>
  <c r="K546" i="8" s="1"/>
  <c r="J545" i="8"/>
  <c r="K545" i="8" s="1"/>
  <c r="J544" i="8"/>
  <c r="K544" i="8" s="1"/>
  <c r="J543" i="8"/>
  <c r="K543" i="8" s="1"/>
  <c r="J542" i="8"/>
  <c r="K542" i="8" s="1"/>
  <c r="J541" i="8"/>
  <c r="K541" i="8" s="1"/>
  <c r="J540" i="8"/>
  <c r="K540" i="8" s="1"/>
  <c r="J517" i="8"/>
  <c r="K517" i="8" s="1"/>
  <c r="J114" i="8"/>
  <c r="K114" i="8" s="1"/>
  <c r="J113" i="8"/>
  <c r="K113" i="8" s="1"/>
  <c r="J112" i="8"/>
  <c r="K112" i="8" s="1"/>
  <c r="J111" i="8"/>
  <c r="K111" i="8" s="1"/>
  <c r="J110" i="8"/>
  <c r="K110" i="8" s="1"/>
  <c r="J109" i="8"/>
  <c r="K109" i="8" s="1"/>
  <c r="J108" i="8"/>
  <c r="K108" i="8" s="1"/>
  <c r="J107" i="8"/>
  <c r="K107" i="8" s="1"/>
  <c r="J106" i="8"/>
  <c r="K106" i="8" s="1"/>
  <c r="J105" i="8"/>
  <c r="K105" i="8" s="1"/>
  <c r="J104" i="8"/>
  <c r="K104" i="8" s="1"/>
  <c r="J103" i="8"/>
  <c r="K103" i="8" s="1"/>
  <c r="J102" i="8"/>
  <c r="K102" i="8" s="1"/>
  <c r="J101" i="8"/>
  <c r="K101" i="8" s="1"/>
  <c r="J100" i="8"/>
  <c r="K100" i="8" s="1"/>
  <c r="J99" i="8"/>
  <c r="K99" i="8" s="1"/>
  <c r="J98" i="8"/>
  <c r="K98" i="8" s="1"/>
  <c r="J97" i="8"/>
  <c r="K97" i="8" s="1"/>
  <c r="J96" i="8"/>
  <c r="K96" i="8" s="1"/>
  <c r="J95" i="8"/>
  <c r="K95" i="8" s="1"/>
  <c r="J94" i="8"/>
  <c r="K94" i="8" s="1"/>
  <c r="J93" i="8"/>
  <c r="K93" i="8" s="1"/>
  <c r="J92" i="8"/>
  <c r="K92" i="8" s="1"/>
  <c r="J91" i="8"/>
  <c r="K91" i="8" s="1"/>
  <c r="J90" i="8"/>
  <c r="K90" i="8" s="1"/>
  <c r="J89" i="8"/>
  <c r="K89" i="8" s="1"/>
  <c r="J88" i="8"/>
  <c r="K88" i="8" s="1"/>
  <c r="J87" i="8"/>
  <c r="K87" i="8" s="1"/>
  <c r="J86" i="8"/>
  <c r="K86" i="8" s="1"/>
  <c r="J85" i="8"/>
  <c r="K85" i="8" s="1"/>
  <c r="J84" i="8"/>
  <c r="K84" i="8" s="1"/>
  <c r="J83" i="8"/>
  <c r="K83" i="8" s="1"/>
  <c r="J82" i="8"/>
  <c r="K82" i="8" s="1"/>
  <c r="J81" i="8"/>
  <c r="K81" i="8" s="1"/>
  <c r="J80" i="8"/>
  <c r="K80" i="8" s="1"/>
  <c r="J79" i="8"/>
  <c r="K79" i="8" s="1"/>
  <c r="J78" i="8"/>
  <c r="K78" i="8" s="1"/>
  <c r="J77" i="8"/>
  <c r="K77" i="8" s="1"/>
  <c r="J76" i="8"/>
  <c r="K76" i="8" s="1"/>
  <c r="J75" i="8"/>
  <c r="K75" i="8" s="1"/>
  <c r="J74" i="8"/>
  <c r="K74" i="8" s="1"/>
  <c r="J73" i="8"/>
  <c r="K73" i="8" s="1"/>
  <c r="J72" i="8"/>
  <c r="K72" i="8" s="1"/>
  <c r="J71" i="8"/>
  <c r="K71" i="8" s="1"/>
  <c r="J70" i="8"/>
  <c r="K70" i="8" s="1"/>
  <c r="J69" i="8"/>
  <c r="K69" i="8" s="1"/>
  <c r="J68" i="8"/>
  <c r="K68" i="8" s="1"/>
  <c r="J67" i="8"/>
  <c r="K67" i="8" s="1"/>
  <c r="J66" i="8"/>
  <c r="K66" i="8" s="1"/>
  <c r="J65" i="8"/>
  <c r="K65" i="8" s="1"/>
  <c r="J64" i="8"/>
  <c r="K64" i="8" s="1"/>
  <c r="J63" i="8"/>
  <c r="K63" i="8" s="1"/>
  <c r="J62" i="8"/>
  <c r="K62" i="8" s="1"/>
  <c r="J61" i="8"/>
  <c r="K61" i="8" s="1"/>
  <c r="J60" i="8"/>
  <c r="K60" i="8" s="1"/>
  <c r="J59" i="8"/>
  <c r="K59" i="8" s="1"/>
  <c r="J58" i="8"/>
  <c r="K58" i="8" s="1"/>
  <c r="J57" i="8"/>
  <c r="K57" i="8" s="1"/>
  <c r="J56" i="8"/>
  <c r="K56" i="8" s="1"/>
  <c r="J55" i="8"/>
  <c r="K55" i="8" s="1"/>
  <c r="J54" i="8"/>
  <c r="K54" i="8" s="1"/>
  <c r="J53" i="8"/>
  <c r="K53" i="8" s="1"/>
  <c r="J52" i="8"/>
  <c r="K52" i="8" s="1"/>
  <c r="J51" i="8"/>
  <c r="K51" i="8" s="1"/>
  <c r="J50" i="8"/>
  <c r="K50" i="8" s="1"/>
  <c r="J49" i="8"/>
  <c r="K49" i="8" s="1"/>
  <c r="J48" i="8"/>
  <c r="K48" i="8" s="1"/>
  <c r="J47" i="8"/>
  <c r="K47" i="8" s="1"/>
  <c r="J46" i="8"/>
  <c r="K46" i="8" s="1"/>
  <c r="J45" i="8"/>
  <c r="K45" i="8" s="1"/>
  <c r="J44" i="8"/>
  <c r="K44" i="8" s="1"/>
  <c r="J43" i="8"/>
  <c r="K43" i="8" s="1"/>
  <c r="J42" i="8"/>
  <c r="K42" i="8" s="1"/>
  <c r="J41" i="8"/>
  <c r="K41" i="8" s="1"/>
  <c r="J40" i="8"/>
  <c r="K40" i="8" s="1"/>
  <c r="J39" i="8"/>
  <c r="K39" i="8" s="1"/>
  <c r="J38" i="8"/>
  <c r="K38" i="8" s="1"/>
  <c r="J37" i="8"/>
  <c r="K37" i="8" s="1"/>
  <c r="J36" i="8"/>
  <c r="K36" i="8" s="1"/>
  <c r="J35" i="8"/>
  <c r="K35" i="8" s="1"/>
  <c r="J34" i="8"/>
  <c r="K34" i="8" s="1"/>
  <c r="J33" i="8"/>
  <c r="K33" i="8" s="1"/>
  <c r="J32" i="8"/>
  <c r="K32" i="8" s="1"/>
  <c r="S690" i="6"/>
  <c r="S691" i="6"/>
  <c r="S692" i="6"/>
  <c r="S693" i="6"/>
  <c r="S689" i="6"/>
  <c r="S671" i="6"/>
  <c r="S672" i="6"/>
  <c r="S673" i="6"/>
  <c r="S674" i="6"/>
  <c r="S675" i="6"/>
  <c r="S698" i="6"/>
  <c r="S697" i="6"/>
  <c r="S696" i="6"/>
  <c r="S680" i="6"/>
  <c r="S679" i="6"/>
  <c r="S678" i="6"/>
  <c r="M693" i="6"/>
  <c r="M692" i="6"/>
  <c r="M691" i="6"/>
  <c r="M690" i="6"/>
  <c r="M689" i="6"/>
  <c r="M681" i="6"/>
  <c r="M680" i="6"/>
  <c r="M679" i="6"/>
  <c r="M678" i="6"/>
  <c r="M675" i="6"/>
  <c r="M674" i="6"/>
  <c r="M673" i="6"/>
  <c r="M672" i="6"/>
  <c r="M671" i="6"/>
  <c r="S681" i="6" l="1"/>
  <c r="G221" i="9"/>
  <c r="G677" i="9"/>
  <c r="G629" i="9"/>
  <c r="G581" i="9"/>
  <c r="G533" i="9"/>
  <c r="G557" i="9"/>
  <c r="G437" i="9"/>
  <c r="G389" i="9"/>
  <c r="G341" i="9"/>
  <c r="G293" i="9"/>
  <c r="G245" i="9"/>
  <c r="G605" i="9"/>
  <c r="G485" i="9"/>
  <c r="G653" i="9"/>
  <c r="G461" i="9"/>
  <c r="G413" i="9"/>
  <c r="G365" i="9"/>
  <c r="G317" i="9"/>
  <c r="G269" i="9"/>
  <c r="G509" i="9"/>
  <c r="G229" i="9"/>
  <c r="G685" i="9"/>
  <c r="G637" i="9"/>
  <c r="G589" i="9"/>
  <c r="G541" i="9"/>
  <c r="G613" i="9"/>
  <c r="G517" i="9"/>
  <c r="G445" i="9"/>
  <c r="G397" i="9"/>
  <c r="G349" i="9"/>
  <c r="G301" i="9"/>
  <c r="G253" i="9"/>
  <c r="G661" i="9"/>
  <c r="G469" i="9"/>
  <c r="G421" i="9"/>
  <c r="G373" i="9"/>
  <c r="G325" i="9"/>
  <c r="G277" i="9"/>
  <c r="G565" i="9"/>
  <c r="G493" i="9"/>
  <c r="G214" i="9"/>
  <c r="G670" i="9"/>
  <c r="G622" i="9"/>
  <c r="G574" i="9"/>
  <c r="G526" i="9"/>
  <c r="G646" i="9"/>
  <c r="G598" i="9"/>
  <c r="G550" i="9"/>
  <c r="G478" i="9"/>
  <c r="G430" i="9"/>
  <c r="G382" i="9"/>
  <c r="G334" i="9"/>
  <c r="G286" i="9"/>
  <c r="G238" i="9"/>
  <c r="G502" i="9"/>
  <c r="G454" i="9"/>
  <c r="G406" i="9"/>
  <c r="G358" i="9"/>
  <c r="G310" i="9"/>
  <c r="G262" i="9"/>
  <c r="G223" i="9"/>
  <c r="G679" i="9"/>
  <c r="G631" i="9"/>
  <c r="G583" i="9"/>
  <c r="G535" i="9"/>
  <c r="G487" i="9"/>
  <c r="G655" i="9"/>
  <c r="G607" i="9"/>
  <c r="G559" i="9"/>
  <c r="G391" i="9"/>
  <c r="G463" i="9"/>
  <c r="G415" i="9"/>
  <c r="G367" i="9"/>
  <c r="G319" i="9"/>
  <c r="G271" i="9"/>
  <c r="G343" i="9"/>
  <c r="G295" i="9"/>
  <c r="G511" i="9"/>
  <c r="G247" i="9"/>
  <c r="G439" i="9"/>
  <c r="G230" i="9"/>
  <c r="G686" i="9"/>
  <c r="G638" i="9"/>
  <c r="G590" i="9"/>
  <c r="G542" i="9"/>
  <c r="G494" i="9"/>
  <c r="G662" i="9"/>
  <c r="G614" i="9"/>
  <c r="G566" i="9"/>
  <c r="G518" i="9"/>
  <c r="G446" i="9"/>
  <c r="G398" i="9"/>
  <c r="G350" i="9"/>
  <c r="G302" i="9"/>
  <c r="G254" i="9"/>
  <c r="G470" i="9"/>
  <c r="G422" i="9"/>
  <c r="G374" i="9"/>
  <c r="G326" i="9"/>
  <c r="G278" i="9"/>
  <c r="G224" i="9"/>
  <c r="G680" i="9"/>
  <c r="G632" i="9"/>
  <c r="G584" i="9"/>
  <c r="G536" i="9"/>
  <c r="G488" i="9"/>
  <c r="G608" i="9"/>
  <c r="G464" i="9"/>
  <c r="G416" i="9"/>
  <c r="G368" i="9"/>
  <c r="G320" i="9"/>
  <c r="G272" i="9"/>
  <c r="G656" i="9"/>
  <c r="G512" i="9"/>
  <c r="G560" i="9"/>
  <c r="G440" i="9"/>
  <c r="G392" i="9"/>
  <c r="G344" i="9"/>
  <c r="G296" i="9"/>
  <c r="G248" i="9"/>
  <c r="G215" i="9"/>
  <c r="G671" i="9"/>
  <c r="G623" i="9"/>
  <c r="G575" i="9"/>
  <c r="G527" i="9"/>
  <c r="G479" i="9"/>
  <c r="G647" i="9"/>
  <c r="G599" i="9"/>
  <c r="G503" i="9"/>
  <c r="G431" i="9"/>
  <c r="G551" i="9"/>
  <c r="G455" i="9"/>
  <c r="G407" i="9"/>
  <c r="G359" i="9"/>
  <c r="G311" i="9"/>
  <c r="G263" i="9"/>
  <c r="G383" i="9"/>
  <c r="G287" i="9"/>
  <c r="G335" i="9"/>
  <c r="G239" i="9"/>
  <c r="G216" i="9"/>
  <c r="G672" i="9"/>
  <c r="G624" i="9"/>
  <c r="G576" i="9"/>
  <c r="G528" i="9"/>
  <c r="G480" i="9"/>
  <c r="G504" i="9"/>
  <c r="G552" i="9"/>
  <c r="G456" i="9"/>
  <c r="G408" i="9"/>
  <c r="G360" i="9"/>
  <c r="G312" i="9"/>
  <c r="G264" i="9"/>
  <c r="G600" i="9"/>
  <c r="G648" i="9"/>
  <c r="G432" i="9"/>
  <c r="G384" i="9"/>
  <c r="G336" i="9"/>
  <c r="G288" i="9"/>
  <c r="G240" i="9"/>
  <c r="G225" i="9"/>
  <c r="G657" i="9"/>
  <c r="G609" i="9"/>
  <c r="G561" i="9"/>
  <c r="G585" i="9"/>
  <c r="G537" i="9"/>
  <c r="G465" i="9"/>
  <c r="G417" i="9"/>
  <c r="G369" i="9"/>
  <c r="G321" i="9"/>
  <c r="G273" i="9"/>
  <c r="G633" i="9"/>
  <c r="G513" i="9"/>
  <c r="G489" i="9"/>
  <c r="G681" i="9"/>
  <c r="G441" i="9"/>
  <c r="G393" i="9"/>
  <c r="G345" i="9"/>
  <c r="G297" i="9"/>
  <c r="G249" i="9"/>
  <c r="G218" i="9"/>
  <c r="G650" i="9"/>
  <c r="G602" i="9"/>
  <c r="G554" i="9"/>
  <c r="G506" i="9"/>
  <c r="G674" i="9"/>
  <c r="G626" i="9"/>
  <c r="G578" i="9"/>
  <c r="G530" i="9"/>
  <c r="G458" i="9"/>
  <c r="G410" i="9"/>
  <c r="G362" i="9"/>
  <c r="G314" i="9"/>
  <c r="G266" i="9"/>
  <c r="G434" i="9"/>
  <c r="G386" i="9"/>
  <c r="G338" i="9"/>
  <c r="G290" i="9"/>
  <c r="G242" i="9"/>
  <c r="G482" i="9"/>
  <c r="G226" i="9"/>
  <c r="G658" i="9"/>
  <c r="G610" i="9"/>
  <c r="G562" i="9"/>
  <c r="G514" i="9"/>
  <c r="G682" i="9"/>
  <c r="G634" i="9"/>
  <c r="G586" i="9"/>
  <c r="G538" i="9"/>
  <c r="G466" i="9"/>
  <c r="G418" i="9"/>
  <c r="G370" i="9"/>
  <c r="G322" i="9"/>
  <c r="G274" i="9"/>
  <c r="G490" i="9"/>
  <c r="G442" i="9"/>
  <c r="G394" i="9"/>
  <c r="G346" i="9"/>
  <c r="G298" i="9"/>
  <c r="G250" i="9"/>
  <c r="G217" i="9"/>
  <c r="G649" i="9"/>
  <c r="G601" i="9"/>
  <c r="G553" i="9"/>
  <c r="G457" i="9"/>
  <c r="G409" i="9"/>
  <c r="G361" i="9"/>
  <c r="G313" i="9"/>
  <c r="G265" i="9"/>
  <c r="G577" i="9"/>
  <c r="G505" i="9"/>
  <c r="G625" i="9"/>
  <c r="G529" i="9"/>
  <c r="G433" i="9"/>
  <c r="G385" i="9"/>
  <c r="G337" i="9"/>
  <c r="G289" i="9"/>
  <c r="G241" i="9"/>
  <c r="G481" i="9"/>
  <c r="G673" i="9"/>
  <c r="G219" i="9"/>
  <c r="G651" i="9"/>
  <c r="G603" i="9"/>
  <c r="G555" i="9"/>
  <c r="G507" i="9"/>
  <c r="G675" i="9"/>
  <c r="G627" i="9"/>
  <c r="G579" i="9"/>
  <c r="G459" i="9"/>
  <c r="G267" i="9"/>
  <c r="G363" i="9"/>
  <c r="G315" i="9"/>
  <c r="G531" i="9"/>
  <c r="G435" i="9"/>
  <c r="G387" i="9"/>
  <c r="G339" i="9"/>
  <c r="G291" i="9"/>
  <c r="G243" i="9"/>
  <c r="E145" i="8" s="1"/>
  <c r="I145" i="8" s="1"/>
  <c r="G411" i="9"/>
  <c r="G483" i="9"/>
  <c r="G227" i="9"/>
  <c r="G659" i="9"/>
  <c r="G611" i="9"/>
  <c r="G563" i="9"/>
  <c r="G515" i="9"/>
  <c r="G683" i="9"/>
  <c r="G635" i="9"/>
  <c r="G587" i="9"/>
  <c r="G539" i="9"/>
  <c r="G491" i="9"/>
  <c r="G419" i="9"/>
  <c r="G371" i="9"/>
  <c r="G323" i="9"/>
  <c r="G275" i="9"/>
  <c r="G443" i="9"/>
  <c r="G395" i="9"/>
  <c r="G347" i="9"/>
  <c r="G299" i="9"/>
  <c r="G251" i="9"/>
  <c r="G467" i="9"/>
  <c r="G222" i="9"/>
  <c r="G678" i="9"/>
  <c r="G630" i="9"/>
  <c r="G582" i="9"/>
  <c r="G534" i="9"/>
  <c r="G486" i="9"/>
  <c r="G654" i="9"/>
  <c r="G606" i="9"/>
  <c r="G558" i="9"/>
  <c r="G438" i="9"/>
  <c r="G390" i="9"/>
  <c r="G342" i="9"/>
  <c r="G294" i="9"/>
  <c r="G246" i="9"/>
  <c r="G462" i="9"/>
  <c r="G414" i="9"/>
  <c r="G366" i="9"/>
  <c r="G318" i="9"/>
  <c r="G270" i="9"/>
  <c r="G510" i="9"/>
  <c r="G220" i="9"/>
  <c r="G652" i="9"/>
  <c r="G604" i="9"/>
  <c r="G556" i="9"/>
  <c r="G508" i="9"/>
  <c r="G580" i="9"/>
  <c r="G532" i="9"/>
  <c r="G436" i="9"/>
  <c r="G388" i="9"/>
  <c r="G340" i="9"/>
  <c r="G292" i="9"/>
  <c r="G244" i="9"/>
  <c r="G628" i="9"/>
  <c r="G484" i="9"/>
  <c r="G676" i="9"/>
  <c r="G460" i="9"/>
  <c r="G412" i="9"/>
  <c r="G364" i="9"/>
  <c r="G316" i="9"/>
  <c r="G268" i="9"/>
  <c r="D48" i="2"/>
  <c r="L618" i="6"/>
  <c r="L612" i="6"/>
  <c r="L611" i="6"/>
  <c r="L610" i="6"/>
  <c r="L609" i="6"/>
  <c r="L608" i="6"/>
  <c r="L607" i="6"/>
  <c r="L606" i="6"/>
  <c r="L605" i="6"/>
  <c r="L604" i="6"/>
  <c r="L598" i="6"/>
  <c r="L656" i="6"/>
  <c r="L650" i="6"/>
  <c r="L649" i="6"/>
  <c r="L648" i="6"/>
  <c r="L647" i="6"/>
  <c r="L646" i="6"/>
  <c r="L645" i="6"/>
  <c r="L644" i="6"/>
  <c r="L643" i="6"/>
  <c r="L642" i="6"/>
  <c r="L636" i="6"/>
  <c r="L613" i="6" l="1"/>
  <c r="H145" i="8"/>
  <c r="J145" i="8" s="1"/>
  <c r="K145" i="8" s="1"/>
  <c r="L651" i="6"/>
  <c r="L655" i="6" s="1"/>
  <c r="E536" i="8" l="1"/>
  <c r="I536" i="8" s="1"/>
  <c r="E535" i="8"/>
  <c r="I535" i="8" s="1"/>
  <c r="E534" i="8"/>
  <c r="I534" i="8" s="1"/>
  <c r="E533" i="8"/>
  <c r="I533" i="8" s="1"/>
  <c r="E532" i="8"/>
  <c r="I532" i="8" s="1"/>
  <c r="E531" i="8"/>
  <c r="I531" i="8" s="1"/>
  <c r="E530" i="8"/>
  <c r="I530" i="8" s="1"/>
  <c r="E529" i="8"/>
  <c r="I529" i="8" s="1"/>
  <c r="E528" i="8"/>
  <c r="I528" i="8" s="1"/>
  <c r="E527" i="8"/>
  <c r="I527" i="8" s="1"/>
  <c r="E526" i="8"/>
  <c r="I526" i="8" s="1"/>
  <c r="E525" i="8"/>
  <c r="I525" i="8" s="1"/>
  <c r="E524" i="8"/>
  <c r="I524" i="8" s="1"/>
  <c r="E523" i="8"/>
  <c r="I523" i="8" s="1"/>
  <c r="E522" i="8"/>
  <c r="I522" i="8" s="1"/>
  <c r="E521" i="8"/>
  <c r="I521" i="8" s="1"/>
  <c r="E520" i="8"/>
  <c r="I520" i="8" s="1"/>
  <c r="E519" i="8"/>
  <c r="I519" i="8" s="1"/>
  <c r="E518" i="8"/>
  <c r="I518" i="8" s="1"/>
  <c r="E515" i="8"/>
  <c r="I515" i="8" s="1"/>
  <c r="E514" i="8"/>
  <c r="I514" i="8" s="1"/>
  <c r="E513" i="8"/>
  <c r="I513" i="8" s="1"/>
  <c r="E512" i="8"/>
  <c r="E511" i="8"/>
  <c r="I511" i="8" s="1"/>
  <c r="E510" i="8"/>
  <c r="I510" i="8" s="1"/>
  <c r="E509" i="8"/>
  <c r="I509" i="8" s="1"/>
  <c r="E508" i="8"/>
  <c r="E507" i="8"/>
  <c r="I507" i="8" s="1"/>
  <c r="E506" i="8"/>
  <c r="I506" i="8" s="1"/>
  <c r="E505" i="8"/>
  <c r="I505" i="8" s="1"/>
  <c r="E504" i="8"/>
  <c r="E503" i="8"/>
  <c r="I503" i="8" s="1"/>
  <c r="E502" i="8"/>
  <c r="I502" i="8" s="1"/>
  <c r="E501" i="8"/>
  <c r="I501" i="8" s="1"/>
  <c r="E500" i="8"/>
  <c r="E499" i="8"/>
  <c r="I499" i="8" s="1"/>
  <c r="E498" i="8"/>
  <c r="I498" i="8" s="1"/>
  <c r="E497" i="8"/>
  <c r="I497" i="8" s="1"/>
  <c r="E494" i="8"/>
  <c r="I494" i="8" s="1"/>
  <c r="E493" i="8"/>
  <c r="I493" i="8" s="1"/>
  <c r="E492" i="8"/>
  <c r="I492" i="8" s="1"/>
  <c r="E491" i="8"/>
  <c r="E490" i="8"/>
  <c r="I490" i="8" s="1"/>
  <c r="E489" i="8"/>
  <c r="I489" i="8" s="1"/>
  <c r="E488" i="8"/>
  <c r="I488" i="8" s="1"/>
  <c r="E487" i="8"/>
  <c r="E486" i="8"/>
  <c r="I486" i="8" s="1"/>
  <c r="E485" i="8"/>
  <c r="I485" i="8" s="1"/>
  <c r="E484" i="8"/>
  <c r="I484" i="8" s="1"/>
  <c r="E483" i="8"/>
  <c r="E482" i="8"/>
  <c r="I482" i="8" s="1"/>
  <c r="E481" i="8"/>
  <c r="I481" i="8" s="1"/>
  <c r="E480" i="8"/>
  <c r="I480" i="8" s="1"/>
  <c r="E479" i="8"/>
  <c r="E478" i="8"/>
  <c r="I478" i="8" s="1"/>
  <c r="E477" i="8"/>
  <c r="I477" i="8" s="1"/>
  <c r="E476" i="8"/>
  <c r="I476" i="8" s="1"/>
  <c r="E473" i="8"/>
  <c r="I473" i="8" s="1"/>
  <c r="E472" i="8"/>
  <c r="I472" i="8" s="1"/>
  <c r="E471" i="8"/>
  <c r="I471" i="8" s="1"/>
  <c r="E470" i="8"/>
  <c r="E469" i="8"/>
  <c r="I469" i="8" s="1"/>
  <c r="E468" i="8"/>
  <c r="I468" i="8" s="1"/>
  <c r="E467" i="8"/>
  <c r="I467" i="8" s="1"/>
  <c r="E466" i="8"/>
  <c r="E465" i="8"/>
  <c r="I465" i="8" s="1"/>
  <c r="E464" i="8"/>
  <c r="I464" i="8" s="1"/>
  <c r="E463" i="8"/>
  <c r="I463" i="8" s="1"/>
  <c r="E462" i="8"/>
  <c r="E461" i="8"/>
  <c r="I461" i="8" s="1"/>
  <c r="E460" i="8"/>
  <c r="I460" i="8" s="1"/>
  <c r="E459" i="8"/>
  <c r="I459" i="8" s="1"/>
  <c r="E458" i="8"/>
  <c r="E457" i="8"/>
  <c r="I457" i="8" s="1"/>
  <c r="E456" i="8"/>
  <c r="I456" i="8" s="1"/>
  <c r="E455" i="8"/>
  <c r="I455" i="8" s="1"/>
  <c r="E452" i="8"/>
  <c r="I452" i="8" s="1"/>
  <c r="E451" i="8"/>
  <c r="I451" i="8" s="1"/>
  <c r="E450" i="8"/>
  <c r="I450" i="8" s="1"/>
  <c r="E449" i="8"/>
  <c r="I449" i="8" s="1"/>
  <c r="E448" i="8"/>
  <c r="I448" i="8" s="1"/>
  <c r="E447" i="8"/>
  <c r="I447" i="8" s="1"/>
  <c r="E446" i="8"/>
  <c r="I446" i="8" s="1"/>
  <c r="E445" i="8"/>
  <c r="I445" i="8" s="1"/>
  <c r="E444" i="8"/>
  <c r="I444" i="8" s="1"/>
  <c r="E443" i="8"/>
  <c r="I443" i="8" s="1"/>
  <c r="E442" i="8"/>
  <c r="I442" i="8" s="1"/>
  <c r="E441" i="8"/>
  <c r="I441" i="8" s="1"/>
  <c r="E440" i="8"/>
  <c r="I440" i="8" s="1"/>
  <c r="E439" i="8"/>
  <c r="I439" i="8" s="1"/>
  <c r="E438" i="8"/>
  <c r="I438" i="8" s="1"/>
  <c r="E437" i="8"/>
  <c r="I437" i="8" s="1"/>
  <c r="E436" i="8"/>
  <c r="I436" i="8" s="1"/>
  <c r="E435" i="8"/>
  <c r="I435" i="8" s="1"/>
  <c r="E434" i="8"/>
  <c r="I434" i="8" s="1"/>
  <c r="E431" i="8"/>
  <c r="I431" i="8" s="1"/>
  <c r="E430" i="8"/>
  <c r="I430" i="8" s="1"/>
  <c r="E429" i="8"/>
  <c r="I429" i="8" s="1"/>
  <c r="E428" i="8"/>
  <c r="I428" i="8" s="1"/>
  <c r="E427" i="8"/>
  <c r="I427" i="8" s="1"/>
  <c r="E426" i="8"/>
  <c r="I426" i="8" s="1"/>
  <c r="E425" i="8"/>
  <c r="I425" i="8" s="1"/>
  <c r="E424" i="8"/>
  <c r="I424" i="8" s="1"/>
  <c r="E423" i="8"/>
  <c r="I423" i="8" s="1"/>
  <c r="E422" i="8"/>
  <c r="I422" i="8" s="1"/>
  <c r="E421" i="8"/>
  <c r="I421" i="8" s="1"/>
  <c r="E420" i="8"/>
  <c r="I420" i="8" s="1"/>
  <c r="E419" i="8"/>
  <c r="I419" i="8" s="1"/>
  <c r="E418" i="8"/>
  <c r="I418" i="8" s="1"/>
  <c r="E417" i="8"/>
  <c r="I417" i="8" s="1"/>
  <c r="E416" i="8"/>
  <c r="I416" i="8" s="1"/>
  <c r="E415" i="8"/>
  <c r="I415" i="8" s="1"/>
  <c r="E414" i="8"/>
  <c r="I414" i="8" s="1"/>
  <c r="E413" i="8"/>
  <c r="I413" i="8" s="1"/>
  <c r="E410" i="8"/>
  <c r="I410" i="8" s="1"/>
  <c r="E409" i="8"/>
  <c r="I409" i="8" s="1"/>
  <c r="E408" i="8"/>
  <c r="I408" i="8" s="1"/>
  <c r="E407" i="8"/>
  <c r="I407" i="8" s="1"/>
  <c r="E406" i="8"/>
  <c r="I406" i="8" s="1"/>
  <c r="E405" i="8"/>
  <c r="I405" i="8" s="1"/>
  <c r="E404" i="8"/>
  <c r="I404" i="8" s="1"/>
  <c r="E403" i="8"/>
  <c r="I403" i="8" s="1"/>
  <c r="E402" i="8"/>
  <c r="I402" i="8" s="1"/>
  <c r="E401" i="8"/>
  <c r="I401" i="8" s="1"/>
  <c r="E400" i="8"/>
  <c r="I400" i="8" s="1"/>
  <c r="E399" i="8"/>
  <c r="I399" i="8" s="1"/>
  <c r="E398" i="8"/>
  <c r="I398" i="8" s="1"/>
  <c r="E397" i="8"/>
  <c r="I397" i="8" s="1"/>
  <c r="E396" i="8"/>
  <c r="I396" i="8" s="1"/>
  <c r="E395" i="8"/>
  <c r="I395" i="8" s="1"/>
  <c r="E394" i="8"/>
  <c r="I394" i="8" s="1"/>
  <c r="E393" i="8"/>
  <c r="I393" i="8" s="1"/>
  <c r="E392" i="8"/>
  <c r="I392" i="8" s="1"/>
  <c r="E389" i="8"/>
  <c r="I389" i="8" s="1"/>
  <c r="E388" i="8"/>
  <c r="I388" i="8" s="1"/>
  <c r="E387" i="8"/>
  <c r="I387" i="8" s="1"/>
  <c r="E386" i="8"/>
  <c r="I386" i="8" s="1"/>
  <c r="E385" i="8"/>
  <c r="I385" i="8" s="1"/>
  <c r="E384" i="8"/>
  <c r="I384" i="8" s="1"/>
  <c r="E383" i="8"/>
  <c r="I383" i="8" s="1"/>
  <c r="E382" i="8"/>
  <c r="I382" i="8" s="1"/>
  <c r="E381" i="8"/>
  <c r="I381" i="8" s="1"/>
  <c r="E380" i="8"/>
  <c r="I380" i="8" s="1"/>
  <c r="E379" i="8"/>
  <c r="I379" i="8" s="1"/>
  <c r="E378" i="8"/>
  <c r="I378" i="8" s="1"/>
  <c r="E377" i="8"/>
  <c r="I377" i="8" s="1"/>
  <c r="E376" i="8"/>
  <c r="I376" i="8" s="1"/>
  <c r="E375" i="8"/>
  <c r="I375" i="8" s="1"/>
  <c r="E374" i="8"/>
  <c r="I374" i="8" s="1"/>
  <c r="E373" i="8"/>
  <c r="I373" i="8" s="1"/>
  <c r="E372" i="8"/>
  <c r="I372" i="8" s="1"/>
  <c r="E371" i="8"/>
  <c r="I371" i="8" s="1"/>
  <c r="E368" i="8"/>
  <c r="E367" i="8"/>
  <c r="E366" i="8"/>
  <c r="I366" i="8" s="1"/>
  <c r="E365" i="8"/>
  <c r="E364" i="8"/>
  <c r="E363" i="8"/>
  <c r="E362" i="8"/>
  <c r="I362" i="8" s="1"/>
  <c r="E361" i="8"/>
  <c r="E360" i="8"/>
  <c r="E359" i="8"/>
  <c r="E358" i="8"/>
  <c r="I358" i="8" s="1"/>
  <c r="E357" i="8"/>
  <c r="E356" i="8"/>
  <c r="E355" i="8"/>
  <c r="E354" i="8"/>
  <c r="I354" i="8" s="1"/>
  <c r="E353" i="8"/>
  <c r="E352" i="8"/>
  <c r="E351" i="8"/>
  <c r="E350" i="8"/>
  <c r="I350" i="8" s="1"/>
  <c r="E347" i="8"/>
  <c r="I347" i="8" s="1"/>
  <c r="E346" i="8"/>
  <c r="I346" i="8" s="1"/>
  <c r="E345" i="8"/>
  <c r="I345" i="8" s="1"/>
  <c r="E344" i="8"/>
  <c r="E343" i="8"/>
  <c r="I343" i="8" s="1"/>
  <c r="E342" i="8"/>
  <c r="I342" i="8" s="1"/>
  <c r="E341" i="8"/>
  <c r="I341" i="8" s="1"/>
  <c r="E340" i="8"/>
  <c r="E339" i="8"/>
  <c r="I339" i="8" s="1"/>
  <c r="E338" i="8"/>
  <c r="I338" i="8" s="1"/>
  <c r="E337" i="8"/>
  <c r="I337" i="8" s="1"/>
  <c r="E336" i="8"/>
  <c r="E335" i="8"/>
  <c r="I335" i="8" s="1"/>
  <c r="E334" i="8"/>
  <c r="I334" i="8" s="1"/>
  <c r="E333" i="8"/>
  <c r="I333" i="8" s="1"/>
  <c r="E332" i="8"/>
  <c r="E331" i="8"/>
  <c r="I331" i="8" s="1"/>
  <c r="E330" i="8"/>
  <c r="I330" i="8" s="1"/>
  <c r="E329" i="8"/>
  <c r="I329" i="8" s="1"/>
  <c r="E326" i="8"/>
  <c r="E325" i="8"/>
  <c r="E324" i="8"/>
  <c r="I324" i="8" s="1"/>
  <c r="E323" i="8"/>
  <c r="I323" i="8" s="1"/>
  <c r="E322" i="8"/>
  <c r="E321" i="8"/>
  <c r="E320" i="8"/>
  <c r="I320" i="8" s="1"/>
  <c r="E319" i="8"/>
  <c r="I319" i="8" s="1"/>
  <c r="E318" i="8"/>
  <c r="E317" i="8"/>
  <c r="E316" i="8"/>
  <c r="I316" i="8" s="1"/>
  <c r="E315" i="8"/>
  <c r="I315" i="8" s="1"/>
  <c r="E314" i="8"/>
  <c r="E313" i="8"/>
  <c r="E312" i="8"/>
  <c r="I312" i="8" s="1"/>
  <c r="E311" i="8"/>
  <c r="I311" i="8" s="1"/>
  <c r="E310" i="8"/>
  <c r="E309" i="8"/>
  <c r="E308" i="8"/>
  <c r="I308" i="8" s="1"/>
  <c r="E305" i="8"/>
  <c r="I305" i="8" s="1"/>
  <c r="E304" i="8"/>
  <c r="I304" i="8" s="1"/>
  <c r="E303" i="8"/>
  <c r="I303" i="8" s="1"/>
  <c r="E302" i="8"/>
  <c r="I302" i="8" s="1"/>
  <c r="E301" i="8"/>
  <c r="I301" i="8" s="1"/>
  <c r="E300" i="8"/>
  <c r="I300" i="8" s="1"/>
  <c r="E299" i="8"/>
  <c r="I299" i="8" s="1"/>
  <c r="E298" i="8"/>
  <c r="I298" i="8" s="1"/>
  <c r="E297" i="8"/>
  <c r="I297" i="8" s="1"/>
  <c r="E296" i="8"/>
  <c r="I296" i="8" s="1"/>
  <c r="E295" i="8"/>
  <c r="I295" i="8" s="1"/>
  <c r="E294" i="8"/>
  <c r="I294" i="8" s="1"/>
  <c r="E293" i="8"/>
  <c r="I293" i="8" s="1"/>
  <c r="E292" i="8"/>
  <c r="I292" i="8" s="1"/>
  <c r="E291" i="8"/>
  <c r="I291" i="8" s="1"/>
  <c r="E290" i="8"/>
  <c r="I290" i="8" s="1"/>
  <c r="E289" i="8"/>
  <c r="I289" i="8" s="1"/>
  <c r="E288" i="8"/>
  <c r="I288" i="8" s="1"/>
  <c r="E287" i="8"/>
  <c r="I287" i="8" s="1"/>
  <c r="E284" i="8"/>
  <c r="E283" i="8"/>
  <c r="E282" i="8"/>
  <c r="I282" i="8" s="1"/>
  <c r="E281" i="8"/>
  <c r="E280" i="8"/>
  <c r="E279" i="8"/>
  <c r="E278" i="8"/>
  <c r="I278" i="8" s="1"/>
  <c r="E277" i="8"/>
  <c r="E276" i="8"/>
  <c r="E275" i="8"/>
  <c r="E274" i="8"/>
  <c r="I274" i="8" s="1"/>
  <c r="E273" i="8"/>
  <c r="E272" i="8"/>
  <c r="E271" i="8"/>
  <c r="E270" i="8"/>
  <c r="I270" i="8" s="1"/>
  <c r="E269" i="8"/>
  <c r="E268" i="8"/>
  <c r="E267" i="8"/>
  <c r="E266" i="8"/>
  <c r="I266" i="8" s="1"/>
  <c r="E263" i="8"/>
  <c r="I263" i="8" s="1"/>
  <c r="E262" i="8"/>
  <c r="I262" i="8" s="1"/>
  <c r="E261" i="8"/>
  <c r="I261" i="8" s="1"/>
  <c r="E260" i="8"/>
  <c r="E259" i="8"/>
  <c r="I259" i="8" s="1"/>
  <c r="E258" i="8"/>
  <c r="I258" i="8" s="1"/>
  <c r="E257" i="8"/>
  <c r="I257" i="8" s="1"/>
  <c r="E256" i="8"/>
  <c r="E255" i="8"/>
  <c r="I255" i="8" s="1"/>
  <c r="E254" i="8"/>
  <c r="I254" i="8" s="1"/>
  <c r="E253" i="8"/>
  <c r="I253" i="8" s="1"/>
  <c r="E252" i="8"/>
  <c r="E251" i="8"/>
  <c r="I251" i="8" s="1"/>
  <c r="E250" i="8"/>
  <c r="I250" i="8" s="1"/>
  <c r="E249" i="8"/>
  <c r="I249" i="8" s="1"/>
  <c r="E248" i="8"/>
  <c r="E247" i="8"/>
  <c r="I247" i="8" s="1"/>
  <c r="E246" i="8"/>
  <c r="I246" i="8" s="1"/>
  <c r="E245" i="8"/>
  <c r="I245" i="8" s="1"/>
  <c r="E242" i="8"/>
  <c r="I242" i="8" s="1"/>
  <c r="E241" i="8"/>
  <c r="I241" i="8" s="1"/>
  <c r="E240" i="8"/>
  <c r="I240" i="8" s="1"/>
  <c r="E239" i="8"/>
  <c r="I239" i="8" s="1"/>
  <c r="E238" i="8"/>
  <c r="I238" i="8" s="1"/>
  <c r="E237" i="8"/>
  <c r="I237" i="8" s="1"/>
  <c r="E236" i="8"/>
  <c r="I236" i="8" s="1"/>
  <c r="E235" i="8"/>
  <c r="I235" i="8" s="1"/>
  <c r="E234" i="8"/>
  <c r="I234" i="8" s="1"/>
  <c r="E233" i="8"/>
  <c r="I233" i="8" s="1"/>
  <c r="E232" i="8"/>
  <c r="I232" i="8" s="1"/>
  <c r="E231" i="8"/>
  <c r="I231" i="8" s="1"/>
  <c r="E230" i="8"/>
  <c r="I230" i="8" s="1"/>
  <c r="E229" i="8"/>
  <c r="I229" i="8" s="1"/>
  <c r="E228" i="8"/>
  <c r="I228" i="8" s="1"/>
  <c r="E227" i="8"/>
  <c r="I227" i="8" s="1"/>
  <c r="E226" i="8"/>
  <c r="I226" i="8" s="1"/>
  <c r="E225" i="8"/>
  <c r="I225" i="8" s="1"/>
  <c r="E224" i="8"/>
  <c r="I224" i="8" s="1"/>
  <c r="E221" i="8"/>
  <c r="I221" i="8" s="1"/>
  <c r="E220" i="8"/>
  <c r="I220" i="8" s="1"/>
  <c r="E219" i="8"/>
  <c r="I219" i="8" s="1"/>
  <c r="E218" i="8"/>
  <c r="E217" i="8"/>
  <c r="I217" i="8" s="1"/>
  <c r="E216" i="8"/>
  <c r="I216" i="8" s="1"/>
  <c r="E215" i="8"/>
  <c r="I215" i="8" s="1"/>
  <c r="E214" i="8"/>
  <c r="E213" i="8"/>
  <c r="I213" i="8" s="1"/>
  <c r="E212" i="8"/>
  <c r="I212" i="8" s="1"/>
  <c r="E211" i="8"/>
  <c r="I211" i="8" s="1"/>
  <c r="E210" i="8"/>
  <c r="E209" i="8"/>
  <c r="I209" i="8" s="1"/>
  <c r="E208" i="8"/>
  <c r="I208" i="8" s="1"/>
  <c r="E207" i="8"/>
  <c r="I207" i="8" s="1"/>
  <c r="E206" i="8"/>
  <c r="E205" i="8"/>
  <c r="I205" i="8" s="1"/>
  <c r="E204" i="8"/>
  <c r="I204" i="8" s="1"/>
  <c r="E203" i="8"/>
  <c r="I203" i="8" s="1"/>
  <c r="E200" i="8"/>
  <c r="I200" i="8" s="1"/>
  <c r="E199" i="8"/>
  <c r="I199" i="8" s="1"/>
  <c r="E198" i="8"/>
  <c r="I198" i="8" s="1"/>
  <c r="E197" i="8"/>
  <c r="I197" i="8" s="1"/>
  <c r="E196" i="8"/>
  <c r="I196" i="8" s="1"/>
  <c r="E195" i="8"/>
  <c r="I195" i="8" s="1"/>
  <c r="E194" i="8"/>
  <c r="I194" i="8" s="1"/>
  <c r="E193" i="8"/>
  <c r="I193" i="8" s="1"/>
  <c r="E192" i="8"/>
  <c r="I192" i="8" s="1"/>
  <c r="E191" i="8"/>
  <c r="I191" i="8" s="1"/>
  <c r="E190" i="8"/>
  <c r="I190" i="8" s="1"/>
  <c r="E189" i="8"/>
  <c r="I189" i="8" s="1"/>
  <c r="E188" i="8"/>
  <c r="I188" i="8" s="1"/>
  <c r="E187" i="8"/>
  <c r="I187" i="8" s="1"/>
  <c r="E186" i="8"/>
  <c r="I186" i="8" s="1"/>
  <c r="E185" i="8"/>
  <c r="I185" i="8" s="1"/>
  <c r="E184" i="8"/>
  <c r="I184" i="8" s="1"/>
  <c r="E183" i="8"/>
  <c r="I183" i="8" s="1"/>
  <c r="E182" i="8"/>
  <c r="I182" i="8" s="1"/>
  <c r="E179" i="8"/>
  <c r="I179" i="8" s="1"/>
  <c r="E178" i="8"/>
  <c r="I178" i="8" s="1"/>
  <c r="E177" i="8"/>
  <c r="I177" i="8" s="1"/>
  <c r="E176" i="8"/>
  <c r="E175" i="8"/>
  <c r="I175" i="8" s="1"/>
  <c r="E174" i="8"/>
  <c r="I174" i="8" s="1"/>
  <c r="E173" i="8"/>
  <c r="I173" i="8" s="1"/>
  <c r="E172" i="8"/>
  <c r="E171" i="8"/>
  <c r="I171" i="8" s="1"/>
  <c r="E170" i="8"/>
  <c r="I170" i="8" s="1"/>
  <c r="E169" i="8"/>
  <c r="I169" i="8" s="1"/>
  <c r="E168" i="8"/>
  <c r="E167" i="8"/>
  <c r="I167" i="8" s="1"/>
  <c r="E166" i="8"/>
  <c r="I166" i="8" s="1"/>
  <c r="E165" i="8"/>
  <c r="I165" i="8" s="1"/>
  <c r="E164" i="8"/>
  <c r="E163" i="8"/>
  <c r="I163" i="8" s="1"/>
  <c r="E162" i="8"/>
  <c r="I162" i="8" s="1"/>
  <c r="E161" i="8"/>
  <c r="I161" i="8" s="1"/>
  <c r="E158" i="8"/>
  <c r="I158" i="8" s="1"/>
  <c r="E157" i="8"/>
  <c r="I157" i="8" s="1"/>
  <c r="E156" i="8"/>
  <c r="I156" i="8" s="1"/>
  <c r="E155" i="8"/>
  <c r="E154" i="8"/>
  <c r="E153" i="8"/>
  <c r="I153" i="8" s="1"/>
  <c r="E152" i="8"/>
  <c r="E151" i="8"/>
  <c r="E150" i="8"/>
  <c r="E149" i="8"/>
  <c r="I149" i="8" s="1"/>
  <c r="E148" i="8"/>
  <c r="E147" i="8"/>
  <c r="E146" i="8"/>
  <c r="E144" i="8"/>
  <c r="E143" i="8"/>
  <c r="E142" i="8"/>
  <c r="E141" i="8"/>
  <c r="I141" i="8" s="1"/>
  <c r="E140" i="8"/>
  <c r="E137" i="8"/>
  <c r="I137" i="8" s="1"/>
  <c r="E136" i="8"/>
  <c r="I136" i="8" s="1"/>
  <c r="E135" i="8"/>
  <c r="I135" i="8" s="1"/>
  <c r="H135" i="8" s="1"/>
  <c r="J135" i="8" s="1"/>
  <c r="K135" i="8" s="1"/>
  <c r="E134" i="8"/>
  <c r="I134" i="8" s="1"/>
  <c r="E133" i="8"/>
  <c r="E132" i="8"/>
  <c r="I132" i="8" s="1"/>
  <c r="E131" i="8"/>
  <c r="I131" i="8" s="1"/>
  <c r="H131" i="8" s="1"/>
  <c r="J131" i="8" s="1"/>
  <c r="K131" i="8" s="1"/>
  <c r="E130" i="8"/>
  <c r="I130" i="8" s="1"/>
  <c r="H130" i="8" s="1"/>
  <c r="J130" i="8" s="1"/>
  <c r="K130" i="8" s="1"/>
  <c r="E129" i="8"/>
  <c r="I129" i="8" s="1"/>
  <c r="H129" i="8" s="1"/>
  <c r="J129" i="8" s="1"/>
  <c r="K129" i="8" s="1"/>
  <c r="E128" i="8"/>
  <c r="I128" i="8" s="1"/>
  <c r="H128" i="8" s="1"/>
  <c r="J128" i="8" s="1"/>
  <c r="K128" i="8" s="1"/>
  <c r="E127" i="8"/>
  <c r="I127" i="8" s="1"/>
  <c r="H127" i="8" s="1"/>
  <c r="J127" i="8" s="1"/>
  <c r="K127" i="8" s="1"/>
  <c r="E126" i="8"/>
  <c r="I126" i="8" s="1"/>
  <c r="H126" i="8" s="1"/>
  <c r="J126" i="8" s="1"/>
  <c r="K126" i="8" s="1"/>
  <c r="E125" i="8"/>
  <c r="E124" i="8"/>
  <c r="I124" i="8" s="1"/>
  <c r="H124" i="8" s="1"/>
  <c r="J124" i="8" s="1"/>
  <c r="K124" i="8" s="1"/>
  <c r="E123" i="8"/>
  <c r="I123" i="8" s="1"/>
  <c r="H123" i="8" s="1"/>
  <c r="J123" i="8" s="1"/>
  <c r="K123" i="8" s="1"/>
  <c r="E122" i="8"/>
  <c r="I122" i="8" s="1"/>
  <c r="E121" i="8"/>
  <c r="I121" i="8" s="1"/>
  <c r="H121" i="8" s="1"/>
  <c r="J121" i="8" s="1"/>
  <c r="K121" i="8" s="1"/>
  <c r="E120" i="8"/>
  <c r="I120" i="8" s="1"/>
  <c r="H120" i="8" s="1"/>
  <c r="J120" i="8" s="1"/>
  <c r="K120" i="8" s="1"/>
  <c r="E119" i="8"/>
  <c r="I119" i="8" s="1"/>
  <c r="H119" i="8" s="1"/>
  <c r="J119" i="8" s="1"/>
  <c r="K119" i="8" s="1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BG524" i="6"/>
  <c r="BB524" i="6"/>
  <c r="AW524" i="6"/>
  <c r="AR524" i="6"/>
  <c r="AM524" i="6"/>
  <c r="AH524" i="6"/>
  <c r="BG523" i="6"/>
  <c r="BB523" i="6"/>
  <c r="AW523" i="6"/>
  <c r="AR523" i="6"/>
  <c r="AM523" i="6"/>
  <c r="AH523" i="6"/>
  <c r="BG522" i="6"/>
  <c r="BB522" i="6"/>
  <c r="AW522" i="6"/>
  <c r="AR522" i="6"/>
  <c r="AM522" i="6"/>
  <c r="AH522" i="6"/>
  <c r="BG521" i="6"/>
  <c r="BB521" i="6"/>
  <c r="AW521" i="6"/>
  <c r="AR521" i="6"/>
  <c r="AM521" i="6"/>
  <c r="AH521" i="6"/>
  <c r="BG520" i="6"/>
  <c r="BB520" i="6"/>
  <c r="AW520" i="6"/>
  <c r="AR520" i="6"/>
  <c r="AM520" i="6"/>
  <c r="AH520" i="6"/>
  <c r="BG519" i="6"/>
  <c r="BB519" i="6"/>
  <c r="AW519" i="6"/>
  <c r="AR519" i="6"/>
  <c r="AM519" i="6"/>
  <c r="AH519" i="6"/>
  <c r="BG518" i="6"/>
  <c r="BB518" i="6"/>
  <c r="AW518" i="6"/>
  <c r="AR518" i="6"/>
  <c r="AM518" i="6"/>
  <c r="AH518" i="6"/>
  <c r="BG517" i="6"/>
  <c r="BB517" i="6"/>
  <c r="AW517" i="6"/>
  <c r="AR517" i="6"/>
  <c r="AM517" i="6"/>
  <c r="AH517" i="6"/>
  <c r="BG516" i="6"/>
  <c r="BB516" i="6"/>
  <c r="AW516" i="6"/>
  <c r="AR516" i="6"/>
  <c r="AM516" i="6"/>
  <c r="AH516" i="6"/>
  <c r="BG515" i="6"/>
  <c r="BB515" i="6"/>
  <c r="AW515" i="6"/>
  <c r="AR515" i="6"/>
  <c r="AM515" i="6"/>
  <c r="AH515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BG502" i="6"/>
  <c r="BB502" i="6"/>
  <c r="AW502" i="6"/>
  <c r="AR502" i="6"/>
  <c r="AM502" i="6"/>
  <c r="AH502" i="6"/>
  <c r="BG501" i="6"/>
  <c r="BB501" i="6"/>
  <c r="AW501" i="6"/>
  <c r="AR501" i="6"/>
  <c r="AM501" i="6"/>
  <c r="AH501" i="6"/>
  <c r="BG500" i="6"/>
  <c r="BB500" i="6"/>
  <c r="AW500" i="6"/>
  <c r="AR500" i="6"/>
  <c r="AM500" i="6"/>
  <c r="AH500" i="6"/>
  <c r="BG499" i="6"/>
  <c r="BB499" i="6"/>
  <c r="AW499" i="6"/>
  <c r="AR499" i="6"/>
  <c r="AM499" i="6"/>
  <c r="AH499" i="6"/>
  <c r="BG498" i="6"/>
  <c r="BB498" i="6"/>
  <c r="AW498" i="6"/>
  <c r="AR498" i="6"/>
  <c r="AM498" i="6"/>
  <c r="AH498" i="6"/>
  <c r="BG497" i="6"/>
  <c r="BB497" i="6"/>
  <c r="AW497" i="6"/>
  <c r="AR497" i="6"/>
  <c r="AM497" i="6"/>
  <c r="AH497" i="6"/>
  <c r="BG496" i="6"/>
  <c r="BB496" i="6"/>
  <c r="AW496" i="6"/>
  <c r="AR496" i="6"/>
  <c r="AM496" i="6"/>
  <c r="AH496" i="6"/>
  <c r="BG495" i="6"/>
  <c r="BB495" i="6"/>
  <c r="AW495" i="6"/>
  <c r="AR495" i="6"/>
  <c r="AM495" i="6"/>
  <c r="AH495" i="6"/>
  <c r="BG494" i="6"/>
  <c r="BB494" i="6"/>
  <c r="AW494" i="6"/>
  <c r="AR494" i="6"/>
  <c r="AM494" i="6"/>
  <c r="AH494" i="6"/>
  <c r="BG493" i="6"/>
  <c r="BB493" i="6"/>
  <c r="AW493" i="6"/>
  <c r="AR493" i="6"/>
  <c r="AM493" i="6"/>
  <c r="AH493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BG480" i="6"/>
  <c r="BB480" i="6"/>
  <c r="AW480" i="6"/>
  <c r="AR480" i="6"/>
  <c r="AM480" i="6"/>
  <c r="AH480" i="6"/>
  <c r="BG479" i="6"/>
  <c r="BB479" i="6"/>
  <c r="AW479" i="6"/>
  <c r="AR479" i="6"/>
  <c r="AM479" i="6"/>
  <c r="AH479" i="6"/>
  <c r="BG478" i="6"/>
  <c r="BB478" i="6"/>
  <c r="AW478" i="6"/>
  <c r="AR478" i="6"/>
  <c r="AM478" i="6"/>
  <c r="AH478" i="6"/>
  <c r="BG477" i="6"/>
  <c r="BB477" i="6"/>
  <c r="AW477" i="6"/>
  <c r="AR477" i="6"/>
  <c r="AM477" i="6"/>
  <c r="AH477" i="6"/>
  <c r="BG476" i="6"/>
  <c r="BB476" i="6"/>
  <c r="AW476" i="6"/>
  <c r="AR476" i="6"/>
  <c r="AM476" i="6"/>
  <c r="AH476" i="6"/>
  <c r="BG475" i="6"/>
  <c r="BB475" i="6"/>
  <c r="AW475" i="6"/>
  <c r="AR475" i="6"/>
  <c r="AM475" i="6"/>
  <c r="AH475" i="6"/>
  <c r="BG474" i="6"/>
  <c r="BB474" i="6"/>
  <c r="AW474" i="6"/>
  <c r="AR474" i="6"/>
  <c r="AM474" i="6"/>
  <c r="AH474" i="6"/>
  <c r="BG473" i="6"/>
  <c r="BB473" i="6"/>
  <c r="AW473" i="6"/>
  <c r="AR473" i="6"/>
  <c r="AM473" i="6"/>
  <c r="AH473" i="6"/>
  <c r="BG472" i="6"/>
  <c r="BB472" i="6"/>
  <c r="AW472" i="6"/>
  <c r="AR472" i="6"/>
  <c r="AM472" i="6"/>
  <c r="AH472" i="6"/>
  <c r="BG471" i="6"/>
  <c r="BB471" i="6"/>
  <c r="AW471" i="6"/>
  <c r="AR471" i="6"/>
  <c r="AM471" i="6"/>
  <c r="AH471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BG458" i="6"/>
  <c r="BB458" i="6"/>
  <c r="AW458" i="6"/>
  <c r="AR458" i="6"/>
  <c r="AM458" i="6"/>
  <c r="AH458" i="6"/>
  <c r="BG457" i="6"/>
  <c r="BB457" i="6"/>
  <c r="AW457" i="6"/>
  <c r="AR457" i="6"/>
  <c r="AM457" i="6"/>
  <c r="AH457" i="6"/>
  <c r="BG456" i="6"/>
  <c r="BB456" i="6"/>
  <c r="AW456" i="6"/>
  <c r="AR456" i="6"/>
  <c r="AM456" i="6"/>
  <c r="AH456" i="6"/>
  <c r="BG455" i="6"/>
  <c r="BB455" i="6"/>
  <c r="AW455" i="6"/>
  <c r="AR455" i="6"/>
  <c r="AM455" i="6"/>
  <c r="AH455" i="6"/>
  <c r="BG454" i="6"/>
  <c r="BB454" i="6"/>
  <c r="AW454" i="6"/>
  <c r="AR454" i="6"/>
  <c r="AM454" i="6"/>
  <c r="AH454" i="6"/>
  <c r="BG453" i="6"/>
  <c r="BB453" i="6"/>
  <c r="AW453" i="6"/>
  <c r="AR453" i="6"/>
  <c r="AM453" i="6"/>
  <c r="AH453" i="6"/>
  <c r="BG452" i="6"/>
  <c r="BB452" i="6"/>
  <c r="AW452" i="6"/>
  <c r="AR452" i="6"/>
  <c r="AM452" i="6"/>
  <c r="AH452" i="6"/>
  <c r="BG451" i="6"/>
  <c r="BB451" i="6"/>
  <c r="AW451" i="6"/>
  <c r="AR451" i="6"/>
  <c r="AM451" i="6"/>
  <c r="AH451" i="6"/>
  <c r="BG450" i="6"/>
  <c r="BB450" i="6"/>
  <c r="AW450" i="6"/>
  <c r="AR450" i="6"/>
  <c r="AM450" i="6"/>
  <c r="AH450" i="6"/>
  <c r="BG449" i="6"/>
  <c r="BB449" i="6"/>
  <c r="AW449" i="6"/>
  <c r="AR449" i="6"/>
  <c r="AM449" i="6"/>
  <c r="AH449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BG436" i="6"/>
  <c r="BB436" i="6"/>
  <c r="AW436" i="6"/>
  <c r="AR436" i="6"/>
  <c r="AM436" i="6"/>
  <c r="AH436" i="6"/>
  <c r="BG435" i="6"/>
  <c r="BB435" i="6"/>
  <c r="AW435" i="6"/>
  <c r="AR435" i="6"/>
  <c r="AM435" i="6"/>
  <c r="AH435" i="6"/>
  <c r="BG434" i="6"/>
  <c r="BB434" i="6"/>
  <c r="AW434" i="6"/>
  <c r="AR434" i="6"/>
  <c r="AM434" i="6"/>
  <c r="AH434" i="6"/>
  <c r="BG433" i="6"/>
  <c r="BB433" i="6"/>
  <c r="AW433" i="6"/>
  <c r="AR433" i="6"/>
  <c r="AM433" i="6"/>
  <c r="AH433" i="6"/>
  <c r="BG432" i="6"/>
  <c r="BB432" i="6"/>
  <c r="AW432" i="6"/>
  <c r="AR432" i="6"/>
  <c r="AM432" i="6"/>
  <c r="AH432" i="6"/>
  <c r="BG431" i="6"/>
  <c r="BB431" i="6"/>
  <c r="AW431" i="6"/>
  <c r="AR431" i="6"/>
  <c r="AM431" i="6"/>
  <c r="AH431" i="6"/>
  <c r="BG430" i="6"/>
  <c r="BB430" i="6"/>
  <c r="AW430" i="6"/>
  <c r="AR430" i="6"/>
  <c r="AM430" i="6"/>
  <c r="AH430" i="6"/>
  <c r="BG429" i="6"/>
  <c r="BB429" i="6"/>
  <c r="AW429" i="6"/>
  <c r="AR429" i="6"/>
  <c r="AM429" i="6"/>
  <c r="AH429" i="6"/>
  <c r="BG428" i="6"/>
  <c r="BB428" i="6"/>
  <c r="AW428" i="6"/>
  <c r="AR428" i="6"/>
  <c r="AM428" i="6"/>
  <c r="AH428" i="6"/>
  <c r="BG427" i="6"/>
  <c r="BB427" i="6"/>
  <c r="AW427" i="6"/>
  <c r="AR427" i="6"/>
  <c r="AM427" i="6"/>
  <c r="AH427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BG414" i="6"/>
  <c r="BB414" i="6"/>
  <c r="AW414" i="6"/>
  <c r="AR414" i="6"/>
  <c r="AM414" i="6"/>
  <c r="AH414" i="6"/>
  <c r="BG413" i="6"/>
  <c r="BB413" i="6"/>
  <c r="AW413" i="6"/>
  <c r="AR413" i="6"/>
  <c r="AM413" i="6"/>
  <c r="AH413" i="6"/>
  <c r="BG412" i="6"/>
  <c r="BB412" i="6"/>
  <c r="AW412" i="6"/>
  <c r="AR412" i="6"/>
  <c r="AM412" i="6"/>
  <c r="AH412" i="6"/>
  <c r="BG411" i="6"/>
  <c r="BB411" i="6"/>
  <c r="AW411" i="6"/>
  <c r="AR411" i="6"/>
  <c r="AM411" i="6"/>
  <c r="AH411" i="6"/>
  <c r="BG410" i="6"/>
  <c r="BB410" i="6"/>
  <c r="AW410" i="6"/>
  <c r="AR410" i="6"/>
  <c r="AM410" i="6"/>
  <c r="AH410" i="6"/>
  <c r="BG409" i="6"/>
  <c r="BB409" i="6"/>
  <c r="AW409" i="6"/>
  <c r="AR409" i="6"/>
  <c r="AM409" i="6"/>
  <c r="AH409" i="6"/>
  <c r="BG408" i="6"/>
  <c r="BB408" i="6"/>
  <c r="AW408" i="6"/>
  <c r="AR408" i="6"/>
  <c r="AM408" i="6"/>
  <c r="AH408" i="6"/>
  <c r="BG407" i="6"/>
  <c r="BB407" i="6"/>
  <c r="AW407" i="6"/>
  <c r="AR407" i="6"/>
  <c r="AM407" i="6"/>
  <c r="AH407" i="6"/>
  <c r="BG406" i="6"/>
  <c r="BB406" i="6"/>
  <c r="AW406" i="6"/>
  <c r="AR406" i="6"/>
  <c r="AM406" i="6"/>
  <c r="AH406" i="6"/>
  <c r="BG405" i="6"/>
  <c r="BB405" i="6"/>
  <c r="AW405" i="6"/>
  <c r="AR405" i="6"/>
  <c r="AM405" i="6"/>
  <c r="AH405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BG392" i="6"/>
  <c r="BB392" i="6"/>
  <c r="AW392" i="6"/>
  <c r="AR392" i="6"/>
  <c r="AM392" i="6"/>
  <c r="AH392" i="6"/>
  <c r="BG391" i="6"/>
  <c r="BB391" i="6"/>
  <c r="AW391" i="6"/>
  <c r="AR391" i="6"/>
  <c r="AM391" i="6"/>
  <c r="AH391" i="6"/>
  <c r="BG390" i="6"/>
  <c r="BB390" i="6"/>
  <c r="AW390" i="6"/>
  <c r="AR390" i="6"/>
  <c r="AM390" i="6"/>
  <c r="AH390" i="6"/>
  <c r="BG389" i="6"/>
  <c r="BB389" i="6"/>
  <c r="AW389" i="6"/>
  <c r="AR389" i="6"/>
  <c r="AM389" i="6"/>
  <c r="AH389" i="6"/>
  <c r="BG388" i="6"/>
  <c r="BB388" i="6"/>
  <c r="AW388" i="6"/>
  <c r="AR388" i="6"/>
  <c r="AM388" i="6"/>
  <c r="AH388" i="6"/>
  <c r="BG387" i="6"/>
  <c r="BB387" i="6"/>
  <c r="AW387" i="6"/>
  <c r="AR387" i="6"/>
  <c r="AM387" i="6"/>
  <c r="AH387" i="6"/>
  <c r="BG386" i="6"/>
  <c r="BB386" i="6"/>
  <c r="AW386" i="6"/>
  <c r="AR386" i="6"/>
  <c r="AM386" i="6"/>
  <c r="AH386" i="6"/>
  <c r="BG385" i="6"/>
  <c r="BB385" i="6"/>
  <c r="AW385" i="6"/>
  <c r="AR385" i="6"/>
  <c r="AM385" i="6"/>
  <c r="AH385" i="6"/>
  <c r="BG384" i="6"/>
  <c r="BB384" i="6"/>
  <c r="AW384" i="6"/>
  <c r="AR384" i="6"/>
  <c r="AM384" i="6"/>
  <c r="AH384" i="6"/>
  <c r="BG383" i="6"/>
  <c r="BB383" i="6"/>
  <c r="AW383" i="6"/>
  <c r="AR383" i="6"/>
  <c r="AM383" i="6"/>
  <c r="AH383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BG370" i="6"/>
  <c r="BB370" i="6"/>
  <c r="AW370" i="6"/>
  <c r="AR370" i="6"/>
  <c r="AM370" i="6"/>
  <c r="AH370" i="6"/>
  <c r="BG369" i="6"/>
  <c r="BB369" i="6"/>
  <c r="AW369" i="6"/>
  <c r="AR369" i="6"/>
  <c r="AM369" i="6"/>
  <c r="AH369" i="6"/>
  <c r="BG368" i="6"/>
  <c r="BB368" i="6"/>
  <c r="AW368" i="6"/>
  <c r="AR368" i="6"/>
  <c r="AM368" i="6"/>
  <c r="AH368" i="6"/>
  <c r="BG367" i="6"/>
  <c r="BB367" i="6"/>
  <c r="AW367" i="6"/>
  <c r="AR367" i="6"/>
  <c r="AM367" i="6"/>
  <c r="AH367" i="6"/>
  <c r="BG366" i="6"/>
  <c r="BB366" i="6"/>
  <c r="AW366" i="6"/>
  <c r="AR366" i="6"/>
  <c r="AM366" i="6"/>
  <c r="AH366" i="6"/>
  <c r="BG365" i="6"/>
  <c r="BB365" i="6"/>
  <c r="AW365" i="6"/>
  <c r="AR365" i="6"/>
  <c r="AM365" i="6"/>
  <c r="AH365" i="6"/>
  <c r="BG364" i="6"/>
  <c r="BB364" i="6"/>
  <c r="AW364" i="6"/>
  <c r="AR364" i="6"/>
  <c r="AM364" i="6"/>
  <c r="AH364" i="6"/>
  <c r="BG363" i="6"/>
  <c r="BB363" i="6"/>
  <c r="AW363" i="6"/>
  <c r="AR363" i="6"/>
  <c r="AM363" i="6"/>
  <c r="AH363" i="6"/>
  <c r="BG362" i="6"/>
  <c r="BB362" i="6"/>
  <c r="AW362" i="6"/>
  <c r="AR362" i="6"/>
  <c r="AM362" i="6"/>
  <c r="AH362" i="6"/>
  <c r="BG361" i="6"/>
  <c r="BB361" i="6"/>
  <c r="AW361" i="6"/>
  <c r="AR361" i="6"/>
  <c r="AM361" i="6"/>
  <c r="AH361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BG348" i="6"/>
  <c r="BB348" i="6"/>
  <c r="AW348" i="6"/>
  <c r="AR348" i="6"/>
  <c r="AM348" i="6"/>
  <c r="AH348" i="6"/>
  <c r="BG347" i="6"/>
  <c r="BB347" i="6"/>
  <c r="AW347" i="6"/>
  <c r="AR347" i="6"/>
  <c r="AM347" i="6"/>
  <c r="AH347" i="6"/>
  <c r="BG346" i="6"/>
  <c r="BB346" i="6"/>
  <c r="AW346" i="6"/>
  <c r="AR346" i="6"/>
  <c r="AM346" i="6"/>
  <c r="AH346" i="6"/>
  <c r="BG345" i="6"/>
  <c r="BB345" i="6"/>
  <c r="AW345" i="6"/>
  <c r="AR345" i="6"/>
  <c r="AM345" i="6"/>
  <c r="AH345" i="6"/>
  <c r="BG344" i="6"/>
  <c r="BB344" i="6"/>
  <c r="AW344" i="6"/>
  <c r="AR344" i="6"/>
  <c r="AM344" i="6"/>
  <c r="AH344" i="6"/>
  <c r="BG343" i="6"/>
  <c r="BB343" i="6"/>
  <c r="AW343" i="6"/>
  <c r="AR343" i="6"/>
  <c r="AM343" i="6"/>
  <c r="AH343" i="6"/>
  <c r="BG342" i="6"/>
  <c r="BB342" i="6"/>
  <c r="AW342" i="6"/>
  <c r="AR342" i="6"/>
  <c r="AM342" i="6"/>
  <c r="AH342" i="6"/>
  <c r="BG341" i="6"/>
  <c r="BB341" i="6"/>
  <c r="AW341" i="6"/>
  <c r="AR341" i="6"/>
  <c r="AM341" i="6"/>
  <c r="AH341" i="6"/>
  <c r="BG340" i="6"/>
  <c r="BB340" i="6"/>
  <c r="AW340" i="6"/>
  <c r="AR340" i="6"/>
  <c r="AM340" i="6"/>
  <c r="AH340" i="6"/>
  <c r="BG339" i="6"/>
  <c r="BB339" i="6"/>
  <c r="AW339" i="6"/>
  <c r="AR339" i="6"/>
  <c r="AM339" i="6"/>
  <c r="AH339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BG326" i="6"/>
  <c r="BB326" i="6"/>
  <c r="AW326" i="6"/>
  <c r="AR326" i="6"/>
  <c r="AM326" i="6"/>
  <c r="AH326" i="6"/>
  <c r="BG325" i="6"/>
  <c r="BB325" i="6"/>
  <c r="AW325" i="6"/>
  <c r="AR325" i="6"/>
  <c r="AM325" i="6"/>
  <c r="AH325" i="6"/>
  <c r="BG324" i="6"/>
  <c r="BB324" i="6"/>
  <c r="AW324" i="6"/>
  <c r="AR324" i="6"/>
  <c r="AM324" i="6"/>
  <c r="AH324" i="6"/>
  <c r="BG323" i="6"/>
  <c r="BB323" i="6"/>
  <c r="AW323" i="6"/>
  <c r="AR323" i="6"/>
  <c r="AM323" i="6"/>
  <c r="AH323" i="6"/>
  <c r="BG322" i="6"/>
  <c r="BB322" i="6"/>
  <c r="AW322" i="6"/>
  <c r="AR322" i="6"/>
  <c r="AM322" i="6"/>
  <c r="AH322" i="6"/>
  <c r="BG321" i="6"/>
  <c r="BB321" i="6"/>
  <c r="AW321" i="6"/>
  <c r="AR321" i="6"/>
  <c r="AM321" i="6"/>
  <c r="AH321" i="6"/>
  <c r="BG320" i="6"/>
  <c r="BB320" i="6"/>
  <c r="AW320" i="6"/>
  <c r="AR320" i="6"/>
  <c r="AM320" i="6"/>
  <c r="AH320" i="6"/>
  <c r="BG319" i="6"/>
  <c r="BB319" i="6"/>
  <c r="AW319" i="6"/>
  <c r="AR319" i="6"/>
  <c r="AM319" i="6"/>
  <c r="AH319" i="6"/>
  <c r="BG318" i="6"/>
  <c r="BB318" i="6"/>
  <c r="AW318" i="6"/>
  <c r="AR318" i="6"/>
  <c r="AM318" i="6"/>
  <c r="AH318" i="6"/>
  <c r="BG317" i="6"/>
  <c r="BB317" i="6"/>
  <c r="AW317" i="6"/>
  <c r="AR317" i="6"/>
  <c r="AM317" i="6"/>
  <c r="AH317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BG304" i="6"/>
  <c r="BB304" i="6"/>
  <c r="AW304" i="6"/>
  <c r="AR304" i="6"/>
  <c r="AM304" i="6"/>
  <c r="AH304" i="6"/>
  <c r="BG303" i="6"/>
  <c r="BB303" i="6"/>
  <c r="AW303" i="6"/>
  <c r="AR303" i="6"/>
  <c r="AM303" i="6"/>
  <c r="AH303" i="6"/>
  <c r="BG302" i="6"/>
  <c r="BB302" i="6"/>
  <c r="AW302" i="6"/>
  <c r="AR302" i="6"/>
  <c r="AM302" i="6"/>
  <c r="AH302" i="6"/>
  <c r="BG301" i="6"/>
  <c r="BB301" i="6"/>
  <c r="AW301" i="6"/>
  <c r="AR301" i="6"/>
  <c r="AM301" i="6"/>
  <c r="AH301" i="6"/>
  <c r="BG300" i="6"/>
  <c r="BB300" i="6"/>
  <c r="AW300" i="6"/>
  <c r="AR300" i="6"/>
  <c r="AM300" i="6"/>
  <c r="AH300" i="6"/>
  <c r="BG299" i="6"/>
  <c r="BB299" i="6"/>
  <c r="AW299" i="6"/>
  <c r="AR299" i="6"/>
  <c r="AM299" i="6"/>
  <c r="AH299" i="6"/>
  <c r="BG298" i="6"/>
  <c r="BB298" i="6"/>
  <c r="AW298" i="6"/>
  <c r="AR298" i="6"/>
  <c r="AM298" i="6"/>
  <c r="AH298" i="6"/>
  <c r="BG297" i="6"/>
  <c r="BB297" i="6"/>
  <c r="AW297" i="6"/>
  <c r="AR297" i="6"/>
  <c r="AM297" i="6"/>
  <c r="AH297" i="6"/>
  <c r="BG296" i="6"/>
  <c r="BB296" i="6"/>
  <c r="AW296" i="6"/>
  <c r="AR296" i="6"/>
  <c r="AM296" i="6"/>
  <c r="AH296" i="6"/>
  <c r="BG295" i="6"/>
  <c r="BB295" i="6"/>
  <c r="AW295" i="6"/>
  <c r="AR295" i="6"/>
  <c r="AM295" i="6"/>
  <c r="AH295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BG282" i="6"/>
  <c r="BB282" i="6"/>
  <c r="AW282" i="6"/>
  <c r="AR282" i="6"/>
  <c r="AM282" i="6"/>
  <c r="AH282" i="6"/>
  <c r="BG281" i="6"/>
  <c r="BB281" i="6"/>
  <c r="AW281" i="6"/>
  <c r="AR281" i="6"/>
  <c r="AM281" i="6"/>
  <c r="AH281" i="6"/>
  <c r="BG280" i="6"/>
  <c r="BB280" i="6"/>
  <c r="AW280" i="6"/>
  <c r="AR280" i="6"/>
  <c r="AM280" i="6"/>
  <c r="AH280" i="6"/>
  <c r="BG279" i="6"/>
  <c r="BB279" i="6"/>
  <c r="AW279" i="6"/>
  <c r="AR279" i="6"/>
  <c r="AM279" i="6"/>
  <c r="AH279" i="6"/>
  <c r="BG278" i="6"/>
  <c r="BB278" i="6"/>
  <c r="AW278" i="6"/>
  <c r="AR278" i="6"/>
  <c r="AM278" i="6"/>
  <c r="AH278" i="6"/>
  <c r="BG277" i="6"/>
  <c r="BB277" i="6"/>
  <c r="AW277" i="6"/>
  <c r="AR277" i="6"/>
  <c r="AM277" i="6"/>
  <c r="AH277" i="6"/>
  <c r="BG276" i="6"/>
  <c r="BB276" i="6"/>
  <c r="AW276" i="6"/>
  <c r="AR276" i="6"/>
  <c r="AM276" i="6"/>
  <c r="AH276" i="6"/>
  <c r="BG275" i="6"/>
  <c r="BB275" i="6"/>
  <c r="AW275" i="6"/>
  <c r="AR275" i="6"/>
  <c r="AM275" i="6"/>
  <c r="AH275" i="6"/>
  <c r="BG274" i="6"/>
  <c r="BB274" i="6"/>
  <c r="AW274" i="6"/>
  <c r="AR274" i="6"/>
  <c r="AM274" i="6"/>
  <c r="AH274" i="6"/>
  <c r="BG273" i="6"/>
  <c r="BB273" i="6"/>
  <c r="AW273" i="6"/>
  <c r="AR273" i="6"/>
  <c r="AM273" i="6"/>
  <c r="AH273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BG260" i="6"/>
  <c r="BB260" i="6"/>
  <c r="AW260" i="6"/>
  <c r="AR260" i="6"/>
  <c r="AM260" i="6"/>
  <c r="AH260" i="6"/>
  <c r="BG259" i="6"/>
  <c r="BB259" i="6"/>
  <c r="AW259" i="6"/>
  <c r="AR259" i="6"/>
  <c r="AM259" i="6"/>
  <c r="AH259" i="6"/>
  <c r="BG258" i="6"/>
  <c r="BB258" i="6"/>
  <c r="AW258" i="6"/>
  <c r="AR258" i="6"/>
  <c r="AM258" i="6"/>
  <c r="AH258" i="6"/>
  <c r="BG257" i="6"/>
  <c r="BB257" i="6"/>
  <c r="AW257" i="6"/>
  <c r="AR257" i="6"/>
  <c r="AM257" i="6"/>
  <c r="AH257" i="6"/>
  <c r="BG256" i="6"/>
  <c r="BB256" i="6"/>
  <c r="AW256" i="6"/>
  <c r="AR256" i="6"/>
  <c r="AM256" i="6"/>
  <c r="AH256" i="6"/>
  <c r="BG255" i="6"/>
  <c r="BB255" i="6"/>
  <c r="AW255" i="6"/>
  <c r="AR255" i="6"/>
  <c r="AM255" i="6"/>
  <c r="AH255" i="6"/>
  <c r="BG254" i="6"/>
  <c r="BB254" i="6"/>
  <c r="AW254" i="6"/>
  <c r="AR254" i="6"/>
  <c r="AM254" i="6"/>
  <c r="AH254" i="6"/>
  <c r="BG253" i="6"/>
  <c r="BB253" i="6"/>
  <c r="AW253" i="6"/>
  <c r="AR253" i="6"/>
  <c r="AM253" i="6"/>
  <c r="AH253" i="6"/>
  <c r="BG252" i="6"/>
  <c r="BB252" i="6"/>
  <c r="AW252" i="6"/>
  <c r="AR252" i="6"/>
  <c r="AM252" i="6"/>
  <c r="AH252" i="6"/>
  <c r="BG251" i="6"/>
  <c r="BB251" i="6"/>
  <c r="AW251" i="6"/>
  <c r="AR251" i="6"/>
  <c r="AM251" i="6"/>
  <c r="AH251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BG238" i="6"/>
  <c r="BB238" i="6"/>
  <c r="AW238" i="6"/>
  <c r="AR238" i="6"/>
  <c r="AM238" i="6"/>
  <c r="AH238" i="6"/>
  <c r="BG237" i="6"/>
  <c r="BB237" i="6"/>
  <c r="AW237" i="6"/>
  <c r="AR237" i="6"/>
  <c r="AM237" i="6"/>
  <c r="AH237" i="6"/>
  <c r="BG236" i="6"/>
  <c r="BB236" i="6"/>
  <c r="AW236" i="6"/>
  <c r="AR236" i="6"/>
  <c r="AM236" i="6"/>
  <c r="AH236" i="6"/>
  <c r="BG235" i="6"/>
  <c r="BB235" i="6"/>
  <c r="AW235" i="6"/>
  <c r="AR235" i="6"/>
  <c r="AM235" i="6"/>
  <c r="AH235" i="6"/>
  <c r="BG234" i="6"/>
  <c r="BB234" i="6"/>
  <c r="AW234" i="6"/>
  <c r="AR234" i="6"/>
  <c r="AM234" i="6"/>
  <c r="AH234" i="6"/>
  <c r="BG233" i="6"/>
  <c r="BB233" i="6"/>
  <c r="AW233" i="6"/>
  <c r="AR233" i="6"/>
  <c r="AM233" i="6"/>
  <c r="AH233" i="6"/>
  <c r="BG232" i="6"/>
  <c r="BB232" i="6"/>
  <c r="AW232" i="6"/>
  <c r="AR232" i="6"/>
  <c r="AM232" i="6"/>
  <c r="AH232" i="6"/>
  <c r="BG231" i="6"/>
  <c r="BB231" i="6"/>
  <c r="AW231" i="6"/>
  <c r="AR231" i="6"/>
  <c r="AM231" i="6"/>
  <c r="AH231" i="6"/>
  <c r="BG230" i="6"/>
  <c r="BB230" i="6"/>
  <c r="AW230" i="6"/>
  <c r="AR230" i="6"/>
  <c r="AM230" i="6"/>
  <c r="AH230" i="6"/>
  <c r="BG229" i="6"/>
  <c r="BB229" i="6"/>
  <c r="AW229" i="6"/>
  <c r="AR229" i="6"/>
  <c r="AM229" i="6"/>
  <c r="AH229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BG216" i="6"/>
  <c r="BB216" i="6"/>
  <c r="AW216" i="6"/>
  <c r="AR216" i="6"/>
  <c r="AM216" i="6"/>
  <c r="AH216" i="6"/>
  <c r="BG215" i="6"/>
  <c r="BB215" i="6"/>
  <c r="AW215" i="6"/>
  <c r="AR215" i="6"/>
  <c r="AM215" i="6"/>
  <c r="AH215" i="6"/>
  <c r="BG214" i="6"/>
  <c r="BB214" i="6"/>
  <c r="AW214" i="6"/>
  <c r="AR214" i="6"/>
  <c r="AM214" i="6"/>
  <c r="AH214" i="6"/>
  <c r="BG213" i="6"/>
  <c r="BB213" i="6"/>
  <c r="AW213" i="6"/>
  <c r="AR213" i="6"/>
  <c r="AM213" i="6"/>
  <c r="AH213" i="6"/>
  <c r="BG212" i="6"/>
  <c r="BB212" i="6"/>
  <c r="AW212" i="6"/>
  <c r="AR212" i="6"/>
  <c r="AM212" i="6"/>
  <c r="AH212" i="6"/>
  <c r="BG211" i="6"/>
  <c r="BB211" i="6"/>
  <c r="AW211" i="6"/>
  <c r="AR211" i="6"/>
  <c r="AM211" i="6"/>
  <c r="AH211" i="6"/>
  <c r="BG210" i="6"/>
  <c r="BB210" i="6"/>
  <c r="AW210" i="6"/>
  <c r="AR210" i="6"/>
  <c r="AM210" i="6"/>
  <c r="AH210" i="6"/>
  <c r="BG209" i="6"/>
  <c r="BB209" i="6"/>
  <c r="AW209" i="6"/>
  <c r="AR209" i="6"/>
  <c r="AM209" i="6"/>
  <c r="AH209" i="6"/>
  <c r="BG208" i="6"/>
  <c r="BB208" i="6"/>
  <c r="AW208" i="6"/>
  <c r="AR208" i="6"/>
  <c r="AM208" i="6"/>
  <c r="AH208" i="6"/>
  <c r="BG207" i="6"/>
  <c r="BB207" i="6"/>
  <c r="AW207" i="6"/>
  <c r="AR207" i="6"/>
  <c r="AM207" i="6"/>
  <c r="AH207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BG194" i="6"/>
  <c r="BB194" i="6"/>
  <c r="AW194" i="6"/>
  <c r="AR194" i="6"/>
  <c r="AM194" i="6"/>
  <c r="AH194" i="6"/>
  <c r="BG193" i="6"/>
  <c r="BB193" i="6"/>
  <c r="AW193" i="6"/>
  <c r="AR193" i="6"/>
  <c r="AM193" i="6"/>
  <c r="AH193" i="6"/>
  <c r="BG192" i="6"/>
  <c r="BB192" i="6"/>
  <c r="AW192" i="6"/>
  <c r="AR192" i="6"/>
  <c r="AM192" i="6"/>
  <c r="AH192" i="6"/>
  <c r="BG191" i="6"/>
  <c r="BB191" i="6"/>
  <c r="AW191" i="6"/>
  <c r="AR191" i="6"/>
  <c r="AM191" i="6"/>
  <c r="AH191" i="6"/>
  <c r="BG190" i="6"/>
  <c r="BB190" i="6"/>
  <c r="AW190" i="6"/>
  <c r="AR190" i="6"/>
  <c r="AM190" i="6"/>
  <c r="AH190" i="6"/>
  <c r="BG189" i="6"/>
  <c r="BB189" i="6"/>
  <c r="AW189" i="6"/>
  <c r="AR189" i="6"/>
  <c r="AM189" i="6"/>
  <c r="AH189" i="6"/>
  <c r="BG188" i="6"/>
  <c r="BB188" i="6"/>
  <c r="AW188" i="6"/>
  <c r="AR188" i="6"/>
  <c r="AM188" i="6"/>
  <c r="AH188" i="6"/>
  <c r="BG187" i="6"/>
  <c r="BB187" i="6"/>
  <c r="AW187" i="6"/>
  <c r="AR187" i="6"/>
  <c r="AM187" i="6"/>
  <c r="AH187" i="6"/>
  <c r="BG186" i="6"/>
  <c r="BB186" i="6"/>
  <c r="AW186" i="6"/>
  <c r="AR186" i="6"/>
  <c r="AM186" i="6"/>
  <c r="AH186" i="6"/>
  <c r="BG185" i="6"/>
  <c r="BB185" i="6"/>
  <c r="AW185" i="6"/>
  <c r="AR185" i="6"/>
  <c r="AM185" i="6"/>
  <c r="AH185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BG172" i="6"/>
  <c r="BB172" i="6"/>
  <c r="AW172" i="6"/>
  <c r="AR172" i="6"/>
  <c r="AM172" i="6"/>
  <c r="AH172" i="6"/>
  <c r="BG171" i="6"/>
  <c r="BB171" i="6"/>
  <c r="AW171" i="6"/>
  <c r="AR171" i="6"/>
  <c r="AM171" i="6"/>
  <c r="AH171" i="6"/>
  <c r="BG170" i="6"/>
  <c r="BB170" i="6"/>
  <c r="AW170" i="6"/>
  <c r="AR170" i="6"/>
  <c r="AM170" i="6"/>
  <c r="AH170" i="6"/>
  <c r="BG169" i="6"/>
  <c r="BB169" i="6"/>
  <c r="AW169" i="6"/>
  <c r="AR169" i="6"/>
  <c r="AM169" i="6"/>
  <c r="AH169" i="6"/>
  <c r="BG168" i="6"/>
  <c r="BB168" i="6"/>
  <c r="AW168" i="6"/>
  <c r="AR168" i="6"/>
  <c r="AM168" i="6"/>
  <c r="AH168" i="6"/>
  <c r="BG167" i="6"/>
  <c r="BB167" i="6"/>
  <c r="AW167" i="6"/>
  <c r="AR167" i="6"/>
  <c r="AM167" i="6"/>
  <c r="AH167" i="6"/>
  <c r="BG166" i="6"/>
  <c r="BB166" i="6"/>
  <c r="AW166" i="6"/>
  <c r="AR166" i="6"/>
  <c r="AM166" i="6"/>
  <c r="AH166" i="6"/>
  <c r="BG165" i="6"/>
  <c r="BB165" i="6"/>
  <c r="AW165" i="6"/>
  <c r="AR165" i="6"/>
  <c r="AM165" i="6"/>
  <c r="AH165" i="6"/>
  <c r="BG164" i="6"/>
  <c r="BB164" i="6"/>
  <c r="AW164" i="6"/>
  <c r="AR164" i="6"/>
  <c r="AM164" i="6"/>
  <c r="AH164" i="6"/>
  <c r="BG163" i="6"/>
  <c r="BB163" i="6"/>
  <c r="AW163" i="6"/>
  <c r="AR163" i="6"/>
  <c r="AM163" i="6"/>
  <c r="AH163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BG150" i="6"/>
  <c r="BB150" i="6"/>
  <c r="AW150" i="6"/>
  <c r="AR150" i="6"/>
  <c r="AM150" i="6"/>
  <c r="AH150" i="6"/>
  <c r="BG149" i="6"/>
  <c r="BB149" i="6"/>
  <c r="AW149" i="6"/>
  <c r="AR149" i="6"/>
  <c r="AM149" i="6"/>
  <c r="AH149" i="6"/>
  <c r="BG148" i="6"/>
  <c r="BB148" i="6"/>
  <c r="AW148" i="6"/>
  <c r="AR148" i="6"/>
  <c r="AM148" i="6"/>
  <c r="AH148" i="6"/>
  <c r="BG147" i="6"/>
  <c r="BB147" i="6"/>
  <c r="AW147" i="6"/>
  <c r="AR147" i="6"/>
  <c r="AM147" i="6"/>
  <c r="AH147" i="6"/>
  <c r="BG146" i="6"/>
  <c r="BB146" i="6"/>
  <c r="AW146" i="6"/>
  <c r="AR146" i="6"/>
  <c r="AM146" i="6"/>
  <c r="AH146" i="6"/>
  <c r="BG145" i="6"/>
  <c r="BB145" i="6"/>
  <c r="AW145" i="6"/>
  <c r="AR145" i="6"/>
  <c r="AM145" i="6"/>
  <c r="AH145" i="6"/>
  <c r="BG144" i="6"/>
  <c r="BB144" i="6"/>
  <c r="AW144" i="6"/>
  <c r="AR144" i="6"/>
  <c r="AM144" i="6"/>
  <c r="AH144" i="6"/>
  <c r="BG143" i="6"/>
  <c r="BB143" i="6"/>
  <c r="AW143" i="6"/>
  <c r="AR143" i="6"/>
  <c r="AM143" i="6"/>
  <c r="AH143" i="6"/>
  <c r="BG142" i="6"/>
  <c r="BB142" i="6"/>
  <c r="AW142" i="6"/>
  <c r="AR142" i="6"/>
  <c r="AM142" i="6"/>
  <c r="AH142" i="6"/>
  <c r="BG141" i="6"/>
  <c r="BB141" i="6"/>
  <c r="AW141" i="6"/>
  <c r="AR141" i="6"/>
  <c r="AM141" i="6"/>
  <c r="AH141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BG128" i="6"/>
  <c r="BB128" i="6"/>
  <c r="AW128" i="6"/>
  <c r="AR128" i="6"/>
  <c r="AM128" i="6"/>
  <c r="AH128" i="6"/>
  <c r="BG127" i="6"/>
  <c r="BB127" i="6"/>
  <c r="AW127" i="6"/>
  <c r="AR127" i="6"/>
  <c r="AM127" i="6"/>
  <c r="AH127" i="6"/>
  <c r="BG126" i="6"/>
  <c r="BB126" i="6"/>
  <c r="AW126" i="6"/>
  <c r="AR126" i="6"/>
  <c r="AM126" i="6"/>
  <c r="AH126" i="6"/>
  <c r="BG125" i="6"/>
  <c r="BB125" i="6"/>
  <c r="AW125" i="6"/>
  <c r="AR125" i="6"/>
  <c r="AM125" i="6"/>
  <c r="AH125" i="6"/>
  <c r="BG124" i="6"/>
  <c r="BB124" i="6"/>
  <c r="AW124" i="6"/>
  <c r="AR124" i="6"/>
  <c r="AM124" i="6"/>
  <c r="AH124" i="6"/>
  <c r="BG123" i="6"/>
  <c r="BB123" i="6"/>
  <c r="AW123" i="6"/>
  <c r="AR123" i="6"/>
  <c r="AM123" i="6"/>
  <c r="AH123" i="6"/>
  <c r="BG122" i="6"/>
  <c r="BB122" i="6"/>
  <c r="AW122" i="6"/>
  <c r="AR122" i="6"/>
  <c r="AM122" i="6"/>
  <c r="AH122" i="6"/>
  <c r="BG121" i="6"/>
  <c r="BB121" i="6"/>
  <c r="AW121" i="6"/>
  <c r="AR121" i="6"/>
  <c r="AM121" i="6"/>
  <c r="AH121" i="6"/>
  <c r="BG120" i="6"/>
  <c r="BB120" i="6"/>
  <c r="AW120" i="6"/>
  <c r="AR120" i="6"/>
  <c r="AM120" i="6"/>
  <c r="AH120" i="6"/>
  <c r="BG119" i="6"/>
  <c r="BB119" i="6"/>
  <c r="AW119" i="6"/>
  <c r="AR119" i="6"/>
  <c r="AM119" i="6"/>
  <c r="AH119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BG106" i="6"/>
  <c r="BB106" i="6"/>
  <c r="AW106" i="6"/>
  <c r="AR106" i="6"/>
  <c r="AM106" i="6"/>
  <c r="AH106" i="6"/>
  <c r="BG105" i="6"/>
  <c r="BB105" i="6"/>
  <c r="AW105" i="6"/>
  <c r="AR105" i="6"/>
  <c r="AM105" i="6"/>
  <c r="AH105" i="6"/>
  <c r="BG104" i="6"/>
  <c r="BB104" i="6"/>
  <c r="AW104" i="6"/>
  <c r="AR104" i="6"/>
  <c r="AM104" i="6"/>
  <c r="AH104" i="6"/>
  <c r="BG103" i="6"/>
  <c r="BB103" i="6"/>
  <c r="AW103" i="6"/>
  <c r="AR103" i="6"/>
  <c r="AM103" i="6"/>
  <c r="AH103" i="6"/>
  <c r="BG102" i="6"/>
  <c r="BB102" i="6"/>
  <c r="AW102" i="6"/>
  <c r="AR102" i="6"/>
  <c r="AM102" i="6"/>
  <c r="AH102" i="6"/>
  <c r="BG101" i="6"/>
  <c r="BB101" i="6"/>
  <c r="AW101" i="6"/>
  <c r="AR101" i="6"/>
  <c r="AM101" i="6"/>
  <c r="AH101" i="6"/>
  <c r="BG100" i="6"/>
  <c r="BB100" i="6"/>
  <c r="AW100" i="6"/>
  <c r="AR100" i="6"/>
  <c r="AM100" i="6"/>
  <c r="AH100" i="6"/>
  <c r="BG99" i="6"/>
  <c r="BB99" i="6"/>
  <c r="AW99" i="6"/>
  <c r="AR99" i="6"/>
  <c r="AM99" i="6"/>
  <c r="AH99" i="6"/>
  <c r="BG98" i="6"/>
  <c r="BB98" i="6"/>
  <c r="AW98" i="6"/>
  <c r="AR98" i="6"/>
  <c r="AM98" i="6"/>
  <c r="AH98" i="6"/>
  <c r="BG97" i="6"/>
  <c r="BB97" i="6"/>
  <c r="AW97" i="6"/>
  <c r="AR97" i="6"/>
  <c r="AM97" i="6"/>
  <c r="AH97" i="6"/>
  <c r="CA679" i="9"/>
  <c r="BY679" i="9"/>
  <c r="CA678" i="9"/>
  <c r="BY678" i="9"/>
  <c r="CA677" i="9"/>
  <c r="BY677" i="9"/>
  <c r="CA676" i="9"/>
  <c r="BY676" i="9"/>
  <c r="CA675" i="9"/>
  <c r="BY675" i="9"/>
  <c r="CA674" i="9"/>
  <c r="BY674" i="9"/>
  <c r="CA673" i="9"/>
  <c r="BY673" i="9"/>
  <c r="CA672" i="9"/>
  <c r="BY672" i="9"/>
  <c r="CA671" i="9"/>
  <c r="BY671" i="9"/>
  <c r="CA670" i="9"/>
  <c r="BY670" i="9"/>
  <c r="CA655" i="9"/>
  <c r="BY655" i="9"/>
  <c r="CA654" i="9"/>
  <c r="BY654" i="9"/>
  <c r="CA653" i="9"/>
  <c r="BY653" i="9"/>
  <c r="CA652" i="9"/>
  <c r="BY652" i="9"/>
  <c r="CA651" i="9"/>
  <c r="BY651" i="9"/>
  <c r="CA650" i="9"/>
  <c r="BY650" i="9"/>
  <c r="CA649" i="9"/>
  <c r="BY649" i="9"/>
  <c r="CA648" i="9"/>
  <c r="BY648" i="9"/>
  <c r="CA647" i="9"/>
  <c r="BY647" i="9"/>
  <c r="CA646" i="9"/>
  <c r="BY646" i="9"/>
  <c r="CA631" i="9"/>
  <c r="BY631" i="9"/>
  <c r="CA630" i="9"/>
  <c r="BY630" i="9"/>
  <c r="CA629" i="9"/>
  <c r="BY629" i="9"/>
  <c r="CA628" i="9"/>
  <c r="BY628" i="9"/>
  <c r="CA627" i="9"/>
  <c r="BY627" i="9"/>
  <c r="CA626" i="9"/>
  <c r="BY626" i="9"/>
  <c r="CA625" i="9"/>
  <c r="BY625" i="9"/>
  <c r="CA624" i="9"/>
  <c r="BY624" i="9"/>
  <c r="CA623" i="9"/>
  <c r="BY623" i="9"/>
  <c r="CA622" i="9"/>
  <c r="BY622" i="9"/>
  <c r="CA607" i="9"/>
  <c r="BY607" i="9"/>
  <c r="CA606" i="9"/>
  <c r="BY606" i="9"/>
  <c r="CA605" i="9"/>
  <c r="BY605" i="9"/>
  <c r="CA604" i="9"/>
  <c r="BY604" i="9"/>
  <c r="CA603" i="9"/>
  <c r="BY603" i="9"/>
  <c r="CA602" i="9"/>
  <c r="BY602" i="9"/>
  <c r="CA601" i="9"/>
  <c r="BY601" i="9"/>
  <c r="CA600" i="9"/>
  <c r="BY600" i="9"/>
  <c r="CA599" i="9"/>
  <c r="BY599" i="9"/>
  <c r="CA598" i="9"/>
  <c r="BY598" i="9"/>
  <c r="CA583" i="9"/>
  <c r="BY583" i="9"/>
  <c r="CA582" i="9"/>
  <c r="BY582" i="9"/>
  <c r="CA581" i="9"/>
  <c r="BY581" i="9"/>
  <c r="CA580" i="9"/>
  <c r="BY580" i="9"/>
  <c r="CA579" i="9"/>
  <c r="BY579" i="9"/>
  <c r="CA578" i="9"/>
  <c r="BY578" i="9"/>
  <c r="CA577" i="9"/>
  <c r="BY577" i="9"/>
  <c r="CA576" i="9"/>
  <c r="BY576" i="9"/>
  <c r="CA575" i="9"/>
  <c r="BY575" i="9"/>
  <c r="CA574" i="9"/>
  <c r="BY574" i="9"/>
  <c r="CA559" i="9"/>
  <c r="BY559" i="9"/>
  <c r="CA558" i="9"/>
  <c r="BY558" i="9"/>
  <c r="CA557" i="9"/>
  <c r="BY557" i="9"/>
  <c r="CA556" i="9"/>
  <c r="BY556" i="9"/>
  <c r="CA555" i="9"/>
  <c r="BY555" i="9"/>
  <c r="CA554" i="9"/>
  <c r="BY554" i="9"/>
  <c r="CA553" i="9"/>
  <c r="BY553" i="9"/>
  <c r="CA552" i="9"/>
  <c r="BY552" i="9"/>
  <c r="CA551" i="9"/>
  <c r="BY551" i="9"/>
  <c r="CA550" i="9"/>
  <c r="BY550" i="9"/>
  <c r="CA535" i="9"/>
  <c r="BY535" i="9"/>
  <c r="CA534" i="9"/>
  <c r="BY534" i="9"/>
  <c r="CA533" i="9"/>
  <c r="BY533" i="9"/>
  <c r="CA532" i="9"/>
  <c r="BY532" i="9"/>
  <c r="CA531" i="9"/>
  <c r="BY531" i="9"/>
  <c r="CA530" i="9"/>
  <c r="BY530" i="9"/>
  <c r="CA529" i="9"/>
  <c r="BY529" i="9"/>
  <c r="CA528" i="9"/>
  <c r="BY528" i="9"/>
  <c r="CA527" i="9"/>
  <c r="BY527" i="9"/>
  <c r="CA526" i="9"/>
  <c r="BY526" i="9"/>
  <c r="CA511" i="9"/>
  <c r="BY511" i="9"/>
  <c r="CA510" i="9"/>
  <c r="BY510" i="9"/>
  <c r="CA509" i="9"/>
  <c r="BY509" i="9"/>
  <c r="CA508" i="9"/>
  <c r="BY508" i="9"/>
  <c r="CA507" i="9"/>
  <c r="BY507" i="9"/>
  <c r="CA506" i="9"/>
  <c r="BY506" i="9"/>
  <c r="CA505" i="9"/>
  <c r="BY505" i="9"/>
  <c r="CA504" i="9"/>
  <c r="BY504" i="9"/>
  <c r="CA503" i="9"/>
  <c r="BY503" i="9"/>
  <c r="CA502" i="9"/>
  <c r="BY502" i="9"/>
  <c r="CA487" i="9"/>
  <c r="BY487" i="9"/>
  <c r="CA486" i="9"/>
  <c r="BY486" i="9"/>
  <c r="CA485" i="9"/>
  <c r="BY485" i="9"/>
  <c r="CA484" i="9"/>
  <c r="BY484" i="9"/>
  <c r="CA483" i="9"/>
  <c r="BY483" i="9"/>
  <c r="CA482" i="9"/>
  <c r="BY482" i="9"/>
  <c r="CA481" i="9"/>
  <c r="BY481" i="9"/>
  <c r="CA480" i="9"/>
  <c r="BY480" i="9"/>
  <c r="CA479" i="9"/>
  <c r="BY479" i="9"/>
  <c r="CA478" i="9"/>
  <c r="BY478" i="9"/>
  <c r="CA463" i="9"/>
  <c r="BY463" i="9"/>
  <c r="CA462" i="9"/>
  <c r="BY462" i="9"/>
  <c r="CA461" i="9"/>
  <c r="BY461" i="9"/>
  <c r="CA460" i="9"/>
  <c r="BY460" i="9"/>
  <c r="CA459" i="9"/>
  <c r="BY459" i="9"/>
  <c r="CA458" i="9"/>
  <c r="BY458" i="9"/>
  <c r="CA457" i="9"/>
  <c r="BY457" i="9"/>
  <c r="CA456" i="9"/>
  <c r="BY456" i="9"/>
  <c r="CA455" i="9"/>
  <c r="BY455" i="9"/>
  <c r="CA454" i="9"/>
  <c r="BY454" i="9"/>
  <c r="CA439" i="9"/>
  <c r="BY439" i="9"/>
  <c r="CA438" i="9"/>
  <c r="BY438" i="9"/>
  <c r="CA437" i="9"/>
  <c r="BY437" i="9"/>
  <c r="CA436" i="9"/>
  <c r="BY436" i="9"/>
  <c r="CA435" i="9"/>
  <c r="BY435" i="9"/>
  <c r="CA434" i="9"/>
  <c r="BY434" i="9"/>
  <c r="CA433" i="9"/>
  <c r="BY433" i="9"/>
  <c r="CA432" i="9"/>
  <c r="BY432" i="9"/>
  <c r="CA431" i="9"/>
  <c r="BY431" i="9"/>
  <c r="CA430" i="9"/>
  <c r="BY430" i="9"/>
  <c r="CA415" i="9"/>
  <c r="BY415" i="9"/>
  <c r="CA414" i="9"/>
  <c r="BY414" i="9"/>
  <c r="CA413" i="9"/>
  <c r="BY413" i="9"/>
  <c r="CA412" i="9"/>
  <c r="BY412" i="9"/>
  <c r="CA411" i="9"/>
  <c r="BY411" i="9"/>
  <c r="CA410" i="9"/>
  <c r="BY410" i="9"/>
  <c r="CA409" i="9"/>
  <c r="BY409" i="9"/>
  <c r="CA408" i="9"/>
  <c r="BY408" i="9"/>
  <c r="CA407" i="9"/>
  <c r="BY407" i="9"/>
  <c r="CA406" i="9"/>
  <c r="BY406" i="9"/>
  <c r="CA391" i="9"/>
  <c r="BY391" i="9"/>
  <c r="CA390" i="9"/>
  <c r="BY390" i="9"/>
  <c r="CA389" i="9"/>
  <c r="BY389" i="9"/>
  <c r="CA388" i="9"/>
  <c r="BY388" i="9"/>
  <c r="CA387" i="9"/>
  <c r="BY387" i="9"/>
  <c r="CA386" i="9"/>
  <c r="BY386" i="9"/>
  <c r="CA385" i="9"/>
  <c r="BY385" i="9"/>
  <c r="CA384" i="9"/>
  <c r="BY384" i="9"/>
  <c r="CA383" i="9"/>
  <c r="BY383" i="9"/>
  <c r="CA382" i="9"/>
  <c r="BY382" i="9"/>
  <c r="CA367" i="9"/>
  <c r="BY367" i="9"/>
  <c r="CA366" i="9"/>
  <c r="BY366" i="9"/>
  <c r="CA365" i="9"/>
  <c r="BY365" i="9"/>
  <c r="CA364" i="9"/>
  <c r="BY364" i="9"/>
  <c r="CA363" i="9"/>
  <c r="BY363" i="9"/>
  <c r="CA362" i="9"/>
  <c r="BY362" i="9"/>
  <c r="CA361" i="9"/>
  <c r="BY361" i="9"/>
  <c r="CA360" i="9"/>
  <c r="BY360" i="9"/>
  <c r="CA359" i="9"/>
  <c r="BY359" i="9"/>
  <c r="CA358" i="9"/>
  <c r="BY358" i="9"/>
  <c r="CA344" i="9"/>
  <c r="BY344" i="9"/>
  <c r="CA343" i="9"/>
  <c r="BY343" i="9"/>
  <c r="CA342" i="9"/>
  <c r="BY342" i="9"/>
  <c r="CA341" i="9"/>
  <c r="BY341" i="9"/>
  <c r="CA340" i="9"/>
  <c r="BY340" i="9"/>
  <c r="CA339" i="9"/>
  <c r="BY339" i="9"/>
  <c r="CA338" i="9"/>
  <c r="BY338" i="9"/>
  <c r="CA337" i="9"/>
  <c r="BY337" i="9"/>
  <c r="CA336" i="9"/>
  <c r="BY336" i="9"/>
  <c r="CA335" i="9"/>
  <c r="BY335" i="9"/>
  <c r="CA324" i="9"/>
  <c r="BY324" i="9"/>
  <c r="CA323" i="9"/>
  <c r="BY323" i="9"/>
  <c r="CA322" i="9"/>
  <c r="BY322" i="9"/>
  <c r="CA321" i="9"/>
  <c r="BY321" i="9"/>
  <c r="CA320" i="9"/>
  <c r="BY320" i="9"/>
  <c r="CA319" i="9"/>
  <c r="BY319" i="9"/>
  <c r="CA318" i="9"/>
  <c r="BY318" i="9"/>
  <c r="CA317" i="9"/>
  <c r="BY317" i="9"/>
  <c r="CA316" i="9"/>
  <c r="BY316" i="9"/>
  <c r="CA315" i="9"/>
  <c r="BY315" i="9"/>
  <c r="CA301" i="9"/>
  <c r="BY301" i="9"/>
  <c r="CA300" i="9"/>
  <c r="BY300" i="9"/>
  <c r="CA299" i="9"/>
  <c r="BY299" i="9"/>
  <c r="CA298" i="9"/>
  <c r="BY298" i="9"/>
  <c r="CA297" i="9"/>
  <c r="BY297" i="9"/>
  <c r="CA296" i="9"/>
  <c r="BY296" i="9"/>
  <c r="CA295" i="9"/>
  <c r="BY295" i="9"/>
  <c r="CA294" i="9"/>
  <c r="BY294" i="9"/>
  <c r="CA293" i="9"/>
  <c r="BY293" i="9"/>
  <c r="CA292" i="9"/>
  <c r="BY292" i="9"/>
  <c r="FP25" i="4"/>
  <c r="CA275" i="9"/>
  <c r="BY275" i="9"/>
  <c r="CA274" i="9"/>
  <c r="BY274" i="9"/>
  <c r="CA273" i="9"/>
  <c r="BY273" i="9"/>
  <c r="CA272" i="9"/>
  <c r="BY272" i="9"/>
  <c r="CA271" i="9"/>
  <c r="BY271" i="9"/>
  <c r="CA270" i="9"/>
  <c r="BY270" i="9"/>
  <c r="CA269" i="9"/>
  <c r="BY269" i="9"/>
  <c r="CA268" i="9"/>
  <c r="BY268" i="9"/>
  <c r="CA267" i="9"/>
  <c r="BY267" i="9"/>
  <c r="CA266" i="9"/>
  <c r="BY266" i="9"/>
  <c r="CA251" i="9"/>
  <c r="BY251" i="9"/>
  <c r="CA250" i="9"/>
  <c r="BY250" i="9"/>
  <c r="CA249" i="9"/>
  <c r="BY249" i="9"/>
  <c r="CA248" i="9"/>
  <c r="BY248" i="9"/>
  <c r="CA247" i="9"/>
  <c r="BY247" i="9"/>
  <c r="CA246" i="9"/>
  <c r="BY246" i="9"/>
  <c r="CA245" i="9"/>
  <c r="BY245" i="9"/>
  <c r="CA244" i="9"/>
  <c r="BY244" i="9"/>
  <c r="CA243" i="9"/>
  <c r="BY243" i="9"/>
  <c r="CA242" i="9"/>
  <c r="BY242" i="9"/>
  <c r="BY214" i="9"/>
  <c r="CA214" i="9"/>
  <c r="BY215" i="9"/>
  <c r="CA215" i="9"/>
  <c r="BY216" i="9"/>
  <c r="CA216" i="9"/>
  <c r="BY217" i="9"/>
  <c r="CA217" i="9"/>
  <c r="BY218" i="9"/>
  <c r="CA218" i="9"/>
  <c r="BY219" i="9"/>
  <c r="CA219" i="9"/>
  <c r="BY220" i="9"/>
  <c r="CA220" i="9"/>
  <c r="BY221" i="9"/>
  <c r="CA221" i="9"/>
  <c r="BY222" i="9"/>
  <c r="CA222" i="9"/>
  <c r="BY223" i="9"/>
  <c r="CA223" i="9"/>
  <c r="BY224" i="9"/>
  <c r="CA224" i="9"/>
  <c r="BY225" i="9"/>
  <c r="CA225" i="9"/>
  <c r="BY226" i="9"/>
  <c r="CA226" i="9"/>
  <c r="BY227" i="9"/>
  <c r="CA227" i="9"/>
  <c r="BY228" i="9"/>
  <c r="CA228" i="9"/>
  <c r="BY229" i="9"/>
  <c r="CA229" i="9"/>
  <c r="BY230" i="9"/>
  <c r="CA230" i="9"/>
  <c r="BY231" i="9"/>
  <c r="CA231" i="9"/>
  <c r="BY232" i="9"/>
  <c r="CA232" i="9"/>
  <c r="H521" i="8" l="1"/>
  <c r="J521" i="8" s="1"/>
  <c r="K521" i="8" s="1"/>
  <c r="H529" i="8"/>
  <c r="J529" i="8" s="1"/>
  <c r="K529" i="8" s="1"/>
  <c r="H523" i="8"/>
  <c r="J523" i="8" s="1"/>
  <c r="K523" i="8" s="1"/>
  <c r="H531" i="8"/>
  <c r="J531" i="8" s="1"/>
  <c r="K531" i="8" s="1"/>
  <c r="H530" i="8"/>
  <c r="J530" i="8" s="1"/>
  <c r="K530" i="8" s="1"/>
  <c r="H524" i="8"/>
  <c r="J524" i="8" s="1"/>
  <c r="K524" i="8" s="1"/>
  <c r="H532" i="8"/>
  <c r="J532" i="8" s="1"/>
  <c r="K532" i="8" s="1"/>
  <c r="H525" i="8"/>
  <c r="J525" i="8" s="1"/>
  <c r="K525" i="8" s="1"/>
  <c r="H533" i="8"/>
  <c r="J533" i="8" s="1"/>
  <c r="K533" i="8" s="1"/>
  <c r="H518" i="8"/>
  <c r="J518" i="8" s="1"/>
  <c r="K518" i="8" s="1"/>
  <c r="H526" i="8"/>
  <c r="J526" i="8" s="1"/>
  <c r="K526" i="8" s="1"/>
  <c r="H534" i="8"/>
  <c r="J534" i="8" s="1"/>
  <c r="K534" i="8" s="1"/>
  <c r="H519" i="8"/>
  <c r="J519" i="8" s="1"/>
  <c r="K519" i="8" s="1"/>
  <c r="H527" i="8"/>
  <c r="J527" i="8" s="1"/>
  <c r="K527" i="8" s="1"/>
  <c r="H535" i="8"/>
  <c r="J535" i="8" s="1"/>
  <c r="K535" i="8" s="1"/>
  <c r="H522" i="8"/>
  <c r="J522" i="8" s="1"/>
  <c r="K522" i="8" s="1"/>
  <c r="H520" i="8"/>
  <c r="J520" i="8" s="1"/>
  <c r="K520" i="8" s="1"/>
  <c r="H528" i="8"/>
  <c r="J528" i="8" s="1"/>
  <c r="K528" i="8" s="1"/>
  <c r="H536" i="8"/>
  <c r="J536" i="8" s="1"/>
  <c r="K536" i="8" s="1"/>
  <c r="I504" i="8"/>
  <c r="H504" i="8" s="1"/>
  <c r="I512" i="8"/>
  <c r="H512" i="8" s="1"/>
  <c r="H497" i="8"/>
  <c r="J497" i="8" s="1"/>
  <c r="K497" i="8" s="1"/>
  <c r="H505" i="8"/>
  <c r="J505" i="8" s="1"/>
  <c r="K505" i="8" s="1"/>
  <c r="H513" i="8"/>
  <c r="J513" i="8" s="1"/>
  <c r="K513" i="8" s="1"/>
  <c r="H498" i="8"/>
  <c r="J498" i="8" s="1"/>
  <c r="K498" i="8" s="1"/>
  <c r="H506" i="8"/>
  <c r="J506" i="8" s="1"/>
  <c r="K506" i="8" s="1"/>
  <c r="H514" i="8"/>
  <c r="J514" i="8" s="1"/>
  <c r="K514" i="8" s="1"/>
  <c r="H511" i="8"/>
  <c r="J511" i="8" s="1"/>
  <c r="K511" i="8" s="1"/>
  <c r="H499" i="8"/>
  <c r="J499" i="8" s="1"/>
  <c r="K499" i="8" s="1"/>
  <c r="H507" i="8"/>
  <c r="J507" i="8" s="1"/>
  <c r="K507" i="8" s="1"/>
  <c r="H515" i="8"/>
  <c r="J515" i="8" s="1"/>
  <c r="K515" i="8" s="1"/>
  <c r="I500" i="8"/>
  <c r="I508" i="8"/>
  <c r="H508" i="8" s="1"/>
  <c r="H503" i="8"/>
  <c r="J503" i="8" s="1"/>
  <c r="K503" i="8" s="1"/>
  <c r="H501" i="8"/>
  <c r="J501" i="8" s="1"/>
  <c r="K501" i="8" s="1"/>
  <c r="H509" i="8"/>
  <c r="J509" i="8" s="1"/>
  <c r="K509" i="8" s="1"/>
  <c r="H502" i="8"/>
  <c r="J502" i="8" s="1"/>
  <c r="K502" i="8" s="1"/>
  <c r="H510" i="8"/>
  <c r="J510" i="8" s="1"/>
  <c r="K510" i="8" s="1"/>
  <c r="H494" i="8"/>
  <c r="J494" i="8" s="1"/>
  <c r="K494" i="8" s="1"/>
  <c r="H477" i="8"/>
  <c r="J477" i="8" s="1"/>
  <c r="K477" i="8" s="1"/>
  <c r="H485" i="8"/>
  <c r="J485" i="8" s="1"/>
  <c r="K485" i="8" s="1"/>
  <c r="H493" i="8"/>
  <c r="J493" i="8" s="1"/>
  <c r="K493" i="8" s="1"/>
  <c r="I479" i="8"/>
  <c r="H479" i="8" s="1"/>
  <c r="I487" i="8"/>
  <c r="H487" i="8" s="1"/>
  <c r="H480" i="8"/>
  <c r="J480" i="8" s="1"/>
  <c r="K480" i="8" s="1"/>
  <c r="H488" i="8"/>
  <c r="J488" i="8" s="1"/>
  <c r="K488" i="8" s="1"/>
  <c r="H486" i="8"/>
  <c r="J486" i="8" s="1"/>
  <c r="K486" i="8" s="1"/>
  <c r="H481" i="8"/>
  <c r="J481" i="8" s="1"/>
  <c r="K481" i="8" s="1"/>
  <c r="H489" i="8"/>
  <c r="J489" i="8" s="1"/>
  <c r="K489" i="8" s="1"/>
  <c r="H482" i="8"/>
  <c r="J482" i="8" s="1"/>
  <c r="K482" i="8" s="1"/>
  <c r="H490" i="8"/>
  <c r="J490" i="8" s="1"/>
  <c r="K490" i="8" s="1"/>
  <c r="H478" i="8"/>
  <c r="J478" i="8" s="1"/>
  <c r="K478" i="8" s="1"/>
  <c r="I483" i="8"/>
  <c r="H483" i="8" s="1"/>
  <c r="I491" i="8"/>
  <c r="H491" i="8" s="1"/>
  <c r="H476" i="8"/>
  <c r="J476" i="8" s="1"/>
  <c r="K476" i="8" s="1"/>
  <c r="H484" i="8"/>
  <c r="J484" i="8" s="1"/>
  <c r="K484" i="8" s="1"/>
  <c r="H492" i="8"/>
  <c r="J492" i="8" s="1"/>
  <c r="K492" i="8" s="1"/>
  <c r="H459" i="8"/>
  <c r="J459" i="8" s="1"/>
  <c r="K459" i="8" s="1"/>
  <c r="H468" i="8"/>
  <c r="J468" i="8" s="1"/>
  <c r="K468" i="8" s="1"/>
  <c r="H467" i="8"/>
  <c r="J467" i="8" s="1"/>
  <c r="K467" i="8" s="1"/>
  <c r="H460" i="8"/>
  <c r="J460" i="8" s="1"/>
  <c r="K460" i="8" s="1"/>
  <c r="H461" i="8"/>
  <c r="J461" i="8" s="1"/>
  <c r="K461" i="8" s="1"/>
  <c r="H469" i="8"/>
  <c r="J469" i="8" s="1"/>
  <c r="K469" i="8" s="1"/>
  <c r="I462" i="8"/>
  <c r="H462" i="8" s="1"/>
  <c r="I470" i="8"/>
  <c r="H470" i="8" s="1"/>
  <c r="H455" i="8"/>
  <c r="J455" i="8" s="1"/>
  <c r="K455" i="8" s="1"/>
  <c r="H463" i="8"/>
  <c r="J463" i="8" s="1"/>
  <c r="K463" i="8" s="1"/>
  <c r="H471" i="8"/>
  <c r="J471" i="8" s="1"/>
  <c r="K471" i="8" s="1"/>
  <c r="H456" i="8"/>
  <c r="J456" i="8" s="1"/>
  <c r="K456" i="8" s="1"/>
  <c r="H464" i="8"/>
  <c r="J464" i="8" s="1"/>
  <c r="K464" i="8" s="1"/>
  <c r="H472" i="8"/>
  <c r="J472" i="8" s="1"/>
  <c r="K472" i="8" s="1"/>
  <c r="H457" i="8"/>
  <c r="J457" i="8" s="1"/>
  <c r="K457" i="8" s="1"/>
  <c r="H465" i="8"/>
  <c r="J465" i="8" s="1"/>
  <c r="K465" i="8" s="1"/>
  <c r="H473" i="8"/>
  <c r="J473" i="8" s="1"/>
  <c r="K473" i="8" s="1"/>
  <c r="I458" i="8"/>
  <c r="H458" i="8" s="1"/>
  <c r="I466" i="8"/>
  <c r="H466" i="8" s="1"/>
  <c r="H434" i="8"/>
  <c r="J434" i="8" s="1"/>
  <c r="K434" i="8" s="1"/>
  <c r="H442" i="8"/>
  <c r="J442" i="8" s="1"/>
  <c r="K442" i="8" s="1"/>
  <c r="H450" i="8"/>
  <c r="J450" i="8" s="1"/>
  <c r="K450" i="8" s="1"/>
  <c r="H435" i="8"/>
  <c r="J435" i="8" s="1"/>
  <c r="K435" i="8" s="1"/>
  <c r="H443" i="8"/>
  <c r="J443" i="8" s="1"/>
  <c r="K443" i="8" s="1"/>
  <c r="H451" i="8"/>
  <c r="J451" i="8" s="1"/>
  <c r="K451" i="8" s="1"/>
  <c r="H441" i="8"/>
  <c r="J441" i="8" s="1"/>
  <c r="K441" i="8" s="1"/>
  <c r="H436" i="8"/>
  <c r="J436" i="8" s="1"/>
  <c r="K436" i="8" s="1"/>
  <c r="H452" i="8"/>
  <c r="J452" i="8" s="1"/>
  <c r="K452" i="8" s="1"/>
  <c r="H449" i="8"/>
  <c r="J449" i="8" s="1"/>
  <c r="K449" i="8" s="1"/>
  <c r="H437" i="8"/>
  <c r="J437" i="8" s="1"/>
  <c r="K437" i="8" s="1"/>
  <c r="H445" i="8"/>
  <c r="J445" i="8" s="1"/>
  <c r="K445" i="8" s="1"/>
  <c r="H444" i="8"/>
  <c r="J444" i="8" s="1"/>
  <c r="K444" i="8" s="1"/>
  <c r="H438" i="8"/>
  <c r="J438" i="8" s="1"/>
  <c r="K438" i="8" s="1"/>
  <c r="H446" i="8"/>
  <c r="J446" i="8" s="1"/>
  <c r="K446" i="8" s="1"/>
  <c r="H439" i="8"/>
  <c r="J439" i="8" s="1"/>
  <c r="K439" i="8" s="1"/>
  <c r="H447" i="8"/>
  <c r="J447" i="8" s="1"/>
  <c r="K447" i="8" s="1"/>
  <c r="H440" i="8"/>
  <c r="J440" i="8" s="1"/>
  <c r="K440" i="8" s="1"/>
  <c r="H448" i="8"/>
  <c r="J448" i="8" s="1"/>
  <c r="K448" i="8" s="1"/>
  <c r="H416" i="8"/>
  <c r="J416" i="8" s="1"/>
  <c r="K416" i="8" s="1"/>
  <c r="H425" i="8"/>
  <c r="J425" i="8" s="1"/>
  <c r="K425" i="8" s="1"/>
  <c r="H415" i="8"/>
  <c r="J415" i="8" s="1"/>
  <c r="K415" i="8" s="1"/>
  <c r="H423" i="8"/>
  <c r="J423" i="8" s="1"/>
  <c r="K423" i="8" s="1"/>
  <c r="H431" i="8"/>
  <c r="J431" i="8" s="1"/>
  <c r="K431" i="8" s="1"/>
  <c r="H418" i="8"/>
  <c r="J418" i="8" s="1"/>
  <c r="K418" i="8" s="1"/>
  <c r="H426" i="8"/>
  <c r="J426" i="8" s="1"/>
  <c r="K426" i="8" s="1"/>
  <c r="H417" i="8"/>
  <c r="J417" i="8" s="1"/>
  <c r="K417" i="8" s="1"/>
  <c r="H419" i="8"/>
  <c r="J419" i="8" s="1"/>
  <c r="K419" i="8" s="1"/>
  <c r="H427" i="8"/>
  <c r="J427" i="8" s="1"/>
  <c r="K427" i="8" s="1"/>
  <c r="H420" i="8"/>
  <c r="J420" i="8" s="1"/>
  <c r="K420" i="8" s="1"/>
  <c r="H428" i="8"/>
  <c r="J428" i="8" s="1"/>
  <c r="K428" i="8" s="1"/>
  <c r="H413" i="8"/>
  <c r="J413" i="8" s="1"/>
  <c r="K413" i="8" s="1"/>
  <c r="H421" i="8"/>
  <c r="J421" i="8" s="1"/>
  <c r="K421" i="8" s="1"/>
  <c r="H429" i="8"/>
  <c r="J429" i="8" s="1"/>
  <c r="K429" i="8" s="1"/>
  <c r="H424" i="8"/>
  <c r="J424" i="8" s="1"/>
  <c r="K424" i="8" s="1"/>
  <c r="H414" i="8"/>
  <c r="J414" i="8" s="1"/>
  <c r="K414" i="8" s="1"/>
  <c r="H422" i="8"/>
  <c r="J422" i="8" s="1"/>
  <c r="K422" i="8" s="1"/>
  <c r="H430" i="8"/>
  <c r="J430" i="8" s="1"/>
  <c r="K430" i="8" s="1"/>
  <c r="H406" i="8"/>
  <c r="J406" i="8" s="1"/>
  <c r="K406" i="8" s="1"/>
  <c r="H399" i="8"/>
  <c r="J399" i="8" s="1"/>
  <c r="K399" i="8" s="1"/>
  <c r="H407" i="8"/>
  <c r="J407" i="8" s="1"/>
  <c r="K407" i="8" s="1"/>
  <c r="H397" i="8"/>
  <c r="J397" i="8" s="1"/>
  <c r="K397" i="8" s="1"/>
  <c r="H392" i="8"/>
  <c r="J392" i="8" s="1"/>
  <c r="K392" i="8" s="1"/>
  <c r="H400" i="8"/>
  <c r="J400" i="8" s="1"/>
  <c r="K400" i="8" s="1"/>
  <c r="H408" i="8"/>
  <c r="J408" i="8" s="1"/>
  <c r="K408" i="8" s="1"/>
  <c r="H393" i="8"/>
  <c r="J393" i="8" s="1"/>
  <c r="K393" i="8" s="1"/>
  <c r="H401" i="8"/>
  <c r="J401" i="8" s="1"/>
  <c r="K401" i="8" s="1"/>
  <c r="H409" i="8"/>
  <c r="J409" i="8" s="1"/>
  <c r="K409" i="8" s="1"/>
  <c r="H394" i="8"/>
  <c r="J394" i="8" s="1"/>
  <c r="K394" i="8" s="1"/>
  <c r="H402" i="8"/>
  <c r="J402" i="8" s="1"/>
  <c r="K402" i="8" s="1"/>
  <c r="H410" i="8"/>
  <c r="J410" i="8" s="1"/>
  <c r="K410" i="8" s="1"/>
  <c r="H398" i="8"/>
  <c r="J398" i="8" s="1"/>
  <c r="K398" i="8" s="1"/>
  <c r="H395" i="8"/>
  <c r="J395" i="8" s="1"/>
  <c r="K395" i="8" s="1"/>
  <c r="H403" i="8"/>
  <c r="J403" i="8" s="1"/>
  <c r="K403" i="8" s="1"/>
  <c r="H405" i="8"/>
  <c r="J405" i="8" s="1"/>
  <c r="K405" i="8" s="1"/>
  <c r="H396" i="8"/>
  <c r="J396" i="8" s="1"/>
  <c r="K396" i="8" s="1"/>
  <c r="H404" i="8"/>
  <c r="J404" i="8" s="1"/>
  <c r="K404" i="8" s="1"/>
  <c r="H371" i="8"/>
  <c r="J371" i="8" s="1"/>
  <c r="K371" i="8" s="1"/>
  <c r="H379" i="8"/>
  <c r="J379" i="8" s="1"/>
  <c r="K379" i="8" s="1"/>
  <c r="H387" i="8"/>
  <c r="J387" i="8" s="1"/>
  <c r="K387" i="8" s="1"/>
  <c r="H372" i="8"/>
  <c r="J372" i="8" s="1"/>
  <c r="K372" i="8" s="1"/>
  <c r="H388" i="8"/>
  <c r="J388" i="8" s="1"/>
  <c r="K388" i="8" s="1"/>
  <c r="H373" i="8"/>
  <c r="J373" i="8" s="1"/>
  <c r="K373" i="8" s="1"/>
  <c r="H381" i="8"/>
  <c r="J381" i="8" s="1"/>
  <c r="K381" i="8" s="1"/>
  <c r="H389" i="8"/>
  <c r="J389" i="8" s="1"/>
  <c r="K389" i="8" s="1"/>
  <c r="H380" i="8"/>
  <c r="J380" i="8" s="1"/>
  <c r="K380" i="8" s="1"/>
  <c r="H374" i="8"/>
  <c r="J374" i="8" s="1"/>
  <c r="K374" i="8" s="1"/>
  <c r="H382" i="8"/>
  <c r="J382" i="8" s="1"/>
  <c r="K382" i="8" s="1"/>
  <c r="H375" i="8"/>
  <c r="J375" i="8" s="1"/>
  <c r="K375" i="8" s="1"/>
  <c r="H383" i="8"/>
  <c r="J383" i="8" s="1"/>
  <c r="K383" i="8" s="1"/>
  <c r="H376" i="8"/>
  <c r="J376" i="8" s="1"/>
  <c r="K376" i="8" s="1"/>
  <c r="H384" i="8"/>
  <c r="J384" i="8" s="1"/>
  <c r="K384" i="8" s="1"/>
  <c r="H377" i="8"/>
  <c r="J377" i="8" s="1"/>
  <c r="K377" i="8" s="1"/>
  <c r="H385" i="8"/>
  <c r="J385" i="8" s="1"/>
  <c r="K385" i="8" s="1"/>
  <c r="H378" i="8"/>
  <c r="J378" i="8" s="1"/>
  <c r="K378" i="8" s="1"/>
  <c r="H386" i="8"/>
  <c r="J386" i="8" s="1"/>
  <c r="K386" i="8" s="1"/>
  <c r="I355" i="8"/>
  <c r="H355" i="8" s="1"/>
  <c r="I363" i="8"/>
  <c r="H354" i="8"/>
  <c r="J354" i="8" s="1"/>
  <c r="K354" i="8" s="1"/>
  <c r="I356" i="8"/>
  <c r="H356" i="8" s="1"/>
  <c r="I364" i="8"/>
  <c r="H364" i="8" s="1"/>
  <c r="I357" i="8"/>
  <c r="H357" i="8" s="1"/>
  <c r="I365" i="8"/>
  <c r="H365" i="8" s="1"/>
  <c r="I353" i="8"/>
  <c r="H353" i="8" s="1"/>
  <c r="H350" i="8"/>
  <c r="J350" i="8" s="1"/>
  <c r="K350" i="8" s="1"/>
  <c r="H358" i="8"/>
  <c r="J358" i="8" s="1"/>
  <c r="K358" i="8" s="1"/>
  <c r="H366" i="8"/>
  <c r="J366" i="8" s="1"/>
  <c r="K366" i="8" s="1"/>
  <c r="I361" i="8"/>
  <c r="H361" i="8" s="1"/>
  <c r="H362" i="8"/>
  <c r="J362" i="8" s="1"/>
  <c r="K362" i="8" s="1"/>
  <c r="I351" i="8"/>
  <c r="H351" i="8" s="1"/>
  <c r="I359" i="8"/>
  <c r="I367" i="8"/>
  <c r="I352" i="8"/>
  <c r="H352" i="8" s="1"/>
  <c r="I360" i="8"/>
  <c r="H360" i="8" s="1"/>
  <c r="I368" i="8"/>
  <c r="H335" i="8"/>
  <c r="J335" i="8" s="1"/>
  <c r="K335" i="8" s="1"/>
  <c r="H343" i="8"/>
  <c r="J343" i="8" s="1"/>
  <c r="K343" i="8" s="1"/>
  <c r="I336" i="8"/>
  <c r="H336" i="8" s="1"/>
  <c r="I344" i="8"/>
  <c r="H344" i="8" s="1"/>
  <c r="H329" i="8"/>
  <c r="J329" i="8" s="1"/>
  <c r="K329" i="8" s="1"/>
  <c r="H337" i="8"/>
  <c r="J337" i="8" s="1"/>
  <c r="K337" i="8" s="1"/>
  <c r="H345" i="8"/>
  <c r="J345" i="8" s="1"/>
  <c r="K345" i="8" s="1"/>
  <c r="H330" i="8"/>
  <c r="J330" i="8" s="1"/>
  <c r="K330" i="8" s="1"/>
  <c r="H338" i="8"/>
  <c r="J338" i="8" s="1"/>
  <c r="K338" i="8" s="1"/>
  <c r="H346" i="8"/>
  <c r="J346" i="8" s="1"/>
  <c r="K346" i="8" s="1"/>
  <c r="H331" i="8"/>
  <c r="J331" i="8" s="1"/>
  <c r="K331" i="8" s="1"/>
  <c r="H339" i="8"/>
  <c r="J339" i="8" s="1"/>
  <c r="K339" i="8" s="1"/>
  <c r="H347" i="8"/>
  <c r="J347" i="8" s="1"/>
  <c r="K347" i="8" s="1"/>
  <c r="I332" i="8"/>
  <c r="I340" i="8"/>
  <c r="H340" i="8" s="1"/>
  <c r="H333" i="8"/>
  <c r="J333" i="8" s="1"/>
  <c r="K333" i="8" s="1"/>
  <c r="H341" i="8"/>
  <c r="J341" i="8" s="1"/>
  <c r="K341" i="8" s="1"/>
  <c r="H334" i="8"/>
  <c r="J334" i="8" s="1"/>
  <c r="K334" i="8" s="1"/>
  <c r="H342" i="8"/>
  <c r="J342" i="8" s="1"/>
  <c r="K342" i="8" s="1"/>
  <c r="I310" i="8"/>
  <c r="I309" i="8"/>
  <c r="H309" i="8" s="1"/>
  <c r="I317" i="8"/>
  <c r="H317" i="8" s="1"/>
  <c r="I325" i="8"/>
  <c r="H311" i="8"/>
  <c r="J311" i="8" s="1"/>
  <c r="K311" i="8" s="1"/>
  <c r="H319" i="8"/>
  <c r="J319" i="8" s="1"/>
  <c r="K319" i="8" s="1"/>
  <c r="H312" i="8"/>
  <c r="J312" i="8" s="1"/>
  <c r="K312" i="8" s="1"/>
  <c r="H320" i="8"/>
  <c r="J320" i="8" s="1"/>
  <c r="K320" i="8" s="1"/>
  <c r="I313" i="8"/>
  <c r="H313" i="8" s="1"/>
  <c r="I321" i="8"/>
  <c r="H321" i="8" s="1"/>
  <c r="I318" i="8"/>
  <c r="H318" i="8" s="1"/>
  <c r="I314" i="8"/>
  <c r="H314" i="8" s="1"/>
  <c r="I322" i="8"/>
  <c r="H322" i="8" s="1"/>
  <c r="H315" i="8"/>
  <c r="J315" i="8" s="1"/>
  <c r="K315" i="8" s="1"/>
  <c r="H323" i="8"/>
  <c r="J323" i="8" s="1"/>
  <c r="K323" i="8" s="1"/>
  <c r="I326" i="8"/>
  <c r="H308" i="8"/>
  <c r="J308" i="8" s="1"/>
  <c r="K308" i="8" s="1"/>
  <c r="H316" i="8"/>
  <c r="J316" i="8" s="1"/>
  <c r="K316" i="8" s="1"/>
  <c r="H324" i="8"/>
  <c r="J324" i="8" s="1"/>
  <c r="K324" i="8" s="1"/>
  <c r="H299" i="8"/>
  <c r="J299" i="8" s="1"/>
  <c r="K299" i="8" s="1"/>
  <c r="H292" i="8"/>
  <c r="J292" i="8" s="1"/>
  <c r="K292" i="8" s="1"/>
  <c r="H300" i="8"/>
  <c r="J300" i="8" s="1"/>
  <c r="K300" i="8" s="1"/>
  <c r="H293" i="8"/>
  <c r="J293" i="8" s="1"/>
  <c r="K293" i="8" s="1"/>
  <c r="H301" i="8"/>
  <c r="J301" i="8" s="1"/>
  <c r="K301" i="8" s="1"/>
  <c r="H294" i="8"/>
  <c r="J294" i="8" s="1"/>
  <c r="K294" i="8" s="1"/>
  <c r="H302" i="8"/>
  <c r="J302" i="8" s="1"/>
  <c r="K302" i="8" s="1"/>
  <c r="H287" i="8"/>
  <c r="J287" i="8" s="1"/>
  <c r="K287" i="8" s="1"/>
  <c r="H295" i="8"/>
  <c r="J295" i="8" s="1"/>
  <c r="K295" i="8" s="1"/>
  <c r="H303" i="8"/>
  <c r="J303" i="8" s="1"/>
  <c r="K303" i="8" s="1"/>
  <c r="H291" i="8"/>
  <c r="J291" i="8" s="1"/>
  <c r="K291" i="8" s="1"/>
  <c r="H288" i="8"/>
  <c r="J288" i="8" s="1"/>
  <c r="K288" i="8" s="1"/>
  <c r="H296" i="8"/>
  <c r="J296" i="8" s="1"/>
  <c r="K296" i="8" s="1"/>
  <c r="H304" i="8"/>
  <c r="J304" i="8" s="1"/>
  <c r="K304" i="8" s="1"/>
  <c r="H289" i="8"/>
  <c r="J289" i="8" s="1"/>
  <c r="K289" i="8" s="1"/>
  <c r="H297" i="8"/>
  <c r="J297" i="8" s="1"/>
  <c r="K297" i="8" s="1"/>
  <c r="H305" i="8"/>
  <c r="J305" i="8" s="1"/>
  <c r="K305" i="8" s="1"/>
  <c r="H290" i="8"/>
  <c r="J290" i="8" s="1"/>
  <c r="K290" i="8" s="1"/>
  <c r="H298" i="8"/>
  <c r="J298" i="8" s="1"/>
  <c r="K298" i="8" s="1"/>
  <c r="I273" i="8"/>
  <c r="H273" i="8" s="1"/>
  <c r="H274" i="8"/>
  <c r="J274" i="8" s="1"/>
  <c r="K274" i="8" s="1"/>
  <c r="I267" i="8"/>
  <c r="H267" i="8" s="1"/>
  <c r="I275" i="8"/>
  <c r="I283" i="8"/>
  <c r="H266" i="8"/>
  <c r="J266" i="8" s="1"/>
  <c r="K266" i="8" s="1"/>
  <c r="I268" i="8"/>
  <c r="I276" i="8"/>
  <c r="H276" i="8" s="1"/>
  <c r="I284" i="8"/>
  <c r="I269" i="8"/>
  <c r="H269" i="8" s="1"/>
  <c r="I277" i="8"/>
  <c r="H277" i="8" s="1"/>
  <c r="H270" i="8"/>
  <c r="J270" i="8" s="1"/>
  <c r="K270" i="8" s="1"/>
  <c r="H278" i="8"/>
  <c r="J278" i="8" s="1"/>
  <c r="K278" i="8" s="1"/>
  <c r="I281" i="8"/>
  <c r="H281" i="8" s="1"/>
  <c r="H282" i="8"/>
  <c r="J282" i="8" s="1"/>
  <c r="K282" i="8" s="1"/>
  <c r="I271" i="8"/>
  <c r="H271" i="8" s="1"/>
  <c r="I279" i="8"/>
  <c r="H279" i="8" s="1"/>
  <c r="I272" i="8"/>
  <c r="H272" i="8" s="1"/>
  <c r="I280" i="8"/>
  <c r="H280" i="8" s="1"/>
  <c r="H247" i="8"/>
  <c r="J247" i="8" s="1"/>
  <c r="K247" i="8" s="1"/>
  <c r="H255" i="8"/>
  <c r="J255" i="8" s="1"/>
  <c r="K255" i="8" s="1"/>
  <c r="H263" i="8"/>
  <c r="J263" i="8" s="1"/>
  <c r="K263" i="8" s="1"/>
  <c r="I248" i="8"/>
  <c r="H248" i="8" s="1"/>
  <c r="I256" i="8"/>
  <c r="H256" i="8" s="1"/>
  <c r="H249" i="8"/>
  <c r="J249" i="8" s="1"/>
  <c r="K249" i="8" s="1"/>
  <c r="H257" i="8"/>
  <c r="J257" i="8" s="1"/>
  <c r="K257" i="8" s="1"/>
  <c r="H250" i="8"/>
  <c r="J250" i="8" s="1"/>
  <c r="K250" i="8" s="1"/>
  <c r="H258" i="8"/>
  <c r="J258" i="8" s="1"/>
  <c r="K258" i="8" s="1"/>
  <c r="H251" i="8"/>
  <c r="J251" i="8" s="1"/>
  <c r="K251" i="8" s="1"/>
  <c r="H259" i="8"/>
  <c r="J259" i="8" s="1"/>
  <c r="K259" i="8" s="1"/>
  <c r="I252" i="8"/>
  <c r="H252" i="8" s="1"/>
  <c r="I260" i="8"/>
  <c r="H260" i="8" s="1"/>
  <c r="H245" i="8"/>
  <c r="J245" i="8" s="1"/>
  <c r="K245" i="8" s="1"/>
  <c r="H253" i="8"/>
  <c r="J253" i="8" s="1"/>
  <c r="K253" i="8" s="1"/>
  <c r="H261" i="8"/>
  <c r="J261" i="8" s="1"/>
  <c r="K261" i="8" s="1"/>
  <c r="H246" i="8"/>
  <c r="J246" i="8" s="1"/>
  <c r="K246" i="8" s="1"/>
  <c r="H254" i="8"/>
  <c r="J254" i="8" s="1"/>
  <c r="K254" i="8" s="1"/>
  <c r="H262" i="8"/>
  <c r="J262" i="8" s="1"/>
  <c r="K262" i="8" s="1"/>
  <c r="H229" i="8"/>
  <c r="J229" i="8" s="1"/>
  <c r="K229" i="8" s="1"/>
  <c r="H237" i="8"/>
  <c r="J237" i="8" s="1"/>
  <c r="K237" i="8" s="1"/>
  <c r="H230" i="8"/>
  <c r="J230" i="8" s="1"/>
  <c r="K230" i="8" s="1"/>
  <c r="H231" i="8"/>
  <c r="J231" i="8" s="1"/>
  <c r="K231" i="8" s="1"/>
  <c r="H239" i="8"/>
  <c r="J239" i="8" s="1"/>
  <c r="K239" i="8" s="1"/>
  <c r="H224" i="8"/>
  <c r="J224" i="8" s="1"/>
  <c r="K224" i="8" s="1"/>
  <c r="H232" i="8"/>
  <c r="J232" i="8" s="1"/>
  <c r="K232" i="8" s="1"/>
  <c r="H240" i="8"/>
  <c r="J240" i="8" s="1"/>
  <c r="K240" i="8" s="1"/>
  <c r="H225" i="8"/>
  <c r="J225" i="8" s="1"/>
  <c r="K225" i="8" s="1"/>
  <c r="H233" i="8"/>
  <c r="J233" i="8" s="1"/>
  <c r="K233" i="8" s="1"/>
  <c r="H241" i="8"/>
  <c r="J241" i="8" s="1"/>
  <c r="K241" i="8" s="1"/>
  <c r="H226" i="8"/>
  <c r="J226" i="8" s="1"/>
  <c r="K226" i="8" s="1"/>
  <c r="H234" i="8"/>
  <c r="J234" i="8" s="1"/>
  <c r="K234" i="8" s="1"/>
  <c r="H242" i="8"/>
  <c r="J242" i="8" s="1"/>
  <c r="K242" i="8" s="1"/>
  <c r="H238" i="8"/>
  <c r="J238" i="8" s="1"/>
  <c r="K238" i="8" s="1"/>
  <c r="H227" i="8"/>
  <c r="J227" i="8" s="1"/>
  <c r="K227" i="8" s="1"/>
  <c r="H235" i="8"/>
  <c r="J235" i="8" s="1"/>
  <c r="K235" i="8" s="1"/>
  <c r="H228" i="8"/>
  <c r="J228" i="8" s="1"/>
  <c r="K228" i="8" s="1"/>
  <c r="H236" i="8"/>
  <c r="J236" i="8" s="1"/>
  <c r="K236" i="8" s="1"/>
  <c r="H203" i="8"/>
  <c r="J203" i="8" s="1"/>
  <c r="K203" i="8" s="1"/>
  <c r="H211" i="8"/>
  <c r="J211" i="8" s="1"/>
  <c r="K211" i="8" s="1"/>
  <c r="H219" i="8"/>
  <c r="J219" i="8" s="1"/>
  <c r="K219" i="8" s="1"/>
  <c r="H212" i="8"/>
  <c r="J212" i="8" s="1"/>
  <c r="K212" i="8" s="1"/>
  <c r="H205" i="8"/>
  <c r="J205" i="8" s="1"/>
  <c r="K205" i="8" s="1"/>
  <c r="H213" i="8"/>
  <c r="J213" i="8" s="1"/>
  <c r="K213" i="8" s="1"/>
  <c r="H221" i="8"/>
  <c r="J221" i="8" s="1"/>
  <c r="K221" i="8" s="1"/>
  <c r="H204" i="8"/>
  <c r="J204" i="8" s="1"/>
  <c r="K204" i="8" s="1"/>
  <c r="I206" i="8"/>
  <c r="H206" i="8" s="1"/>
  <c r="I214" i="8"/>
  <c r="H214" i="8" s="1"/>
  <c r="H207" i="8"/>
  <c r="J207" i="8" s="1"/>
  <c r="K207" i="8" s="1"/>
  <c r="H215" i="8"/>
  <c r="J215" i="8" s="1"/>
  <c r="K215" i="8" s="1"/>
  <c r="H208" i="8"/>
  <c r="J208" i="8" s="1"/>
  <c r="K208" i="8" s="1"/>
  <c r="H216" i="8"/>
  <c r="J216" i="8" s="1"/>
  <c r="K216" i="8" s="1"/>
  <c r="H209" i="8"/>
  <c r="J209" i="8" s="1"/>
  <c r="K209" i="8" s="1"/>
  <c r="H217" i="8"/>
  <c r="J217" i="8" s="1"/>
  <c r="K217" i="8" s="1"/>
  <c r="H220" i="8"/>
  <c r="J220" i="8" s="1"/>
  <c r="K220" i="8" s="1"/>
  <c r="I210" i="8"/>
  <c r="H210" i="8" s="1"/>
  <c r="I218" i="8"/>
  <c r="H218" i="8" s="1"/>
  <c r="H185" i="8"/>
  <c r="J185" i="8" s="1"/>
  <c r="K185" i="8" s="1"/>
  <c r="H193" i="8"/>
  <c r="J193" i="8" s="1"/>
  <c r="K193" i="8" s="1"/>
  <c r="H187" i="8"/>
  <c r="J187" i="8" s="1"/>
  <c r="K187" i="8" s="1"/>
  <c r="H195" i="8"/>
  <c r="J195" i="8" s="1"/>
  <c r="K195" i="8" s="1"/>
  <c r="H188" i="8"/>
  <c r="J188" i="8" s="1"/>
  <c r="K188" i="8" s="1"/>
  <c r="H196" i="8"/>
  <c r="J196" i="8" s="1"/>
  <c r="K196" i="8" s="1"/>
  <c r="H189" i="8"/>
  <c r="J189" i="8" s="1"/>
  <c r="K189" i="8" s="1"/>
  <c r="H197" i="8"/>
  <c r="J197" i="8" s="1"/>
  <c r="K197" i="8" s="1"/>
  <c r="H182" i="8"/>
  <c r="J182" i="8" s="1"/>
  <c r="K182" i="8" s="1"/>
  <c r="H190" i="8"/>
  <c r="J190" i="8" s="1"/>
  <c r="K190" i="8" s="1"/>
  <c r="H198" i="8"/>
  <c r="J198" i="8" s="1"/>
  <c r="K198" i="8" s="1"/>
  <c r="H186" i="8"/>
  <c r="J186" i="8" s="1"/>
  <c r="K186" i="8" s="1"/>
  <c r="H183" i="8"/>
  <c r="J183" i="8" s="1"/>
  <c r="K183" i="8" s="1"/>
  <c r="H191" i="8"/>
  <c r="J191" i="8" s="1"/>
  <c r="K191" i="8" s="1"/>
  <c r="H199" i="8"/>
  <c r="J199" i="8" s="1"/>
  <c r="K199" i="8" s="1"/>
  <c r="H194" i="8"/>
  <c r="J194" i="8" s="1"/>
  <c r="K194" i="8" s="1"/>
  <c r="H184" i="8"/>
  <c r="J184" i="8" s="1"/>
  <c r="K184" i="8" s="1"/>
  <c r="H192" i="8"/>
  <c r="J192" i="8" s="1"/>
  <c r="K192" i="8" s="1"/>
  <c r="H200" i="8"/>
  <c r="J200" i="8" s="1"/>
  <c r="K200" i="8" s="1"/>
  <c r="I168" i="8"/>
  <c r="H168" i="8" s="1"/>
  <c r="H167" i="8"/>
  <c r="J167" i="8" s="1"/>
  <c r="K167" i="8" s="1"/>
  <c r="H175" i="8"/>
  <c r="J175" i="8" s="1"/>
  <c r="K175" i="8" s="1"/>
  <c r="H161" i="8"/>
  <c r="J161" i="8" s="1"/>
  <c r="K161" i="8" s="1"/>
  <c r="H169" i="8"/>
  <c r="J169" i="8" s="1"/>
  <c r="K169" i="8" s="1"/>
  <c r="H177" i="8"/>
  <c r="J177" i="8" s="1"/>
  <c r="K177" i="8" s="1"/>
  <c r="H162" i="8"/>
  <c r="J162" i="8" s="1"/>
  <c r="K162" i="8" s="1"/>
  <c r="H170" i="8"/>
  <c r="J170" i="8" s="1"/>
  <c r="K170" i="8" s="1"/>
  <c r="H178" i="8"/>
  <c r="J178" i="8" s="1"/>
  <c r="K178" i="8" s="1"/>
  <c r="H163" i="8"/>
  <c r="J163" i="8" s="1"/>
  <c r="K163" i="8" s="1"/>
  <c r="H171" i="8"/>
  <c r="J171" i="8" s="1"/>
  <c r="K171" i="8" s="1"/>
  <c r="H179" i="8"/>
  <c r="J179" i="8" s="1"/>
  <c r="K179" i="8" s="1"/>
  <c r="I176" i="8"/>
  <c r="H176" i="8" s="1"/>
  <c r="I164" i="8"/>
  <c r="H164" i="8" s="1"/>
  <c r="I172" i="8"/>
  <c r="H172" i="8" s="1"/>
  <c r="H165" i="8"/>
  <c r="J165" i="8" s="1"/>
  <c r="K165" i="8" s="1"/>
  <c r="H173" i="8"/>
  <c r="J173" i="8" s="1"/>
  <c r="K173" i="8" s="1"/>
  <c r="H166" i="8"/>
  <c r="J166" i="8" s="1"/>
  <c r="K166" i="8" s="1"/>
  <c r="H174" i="8"/>
  <c r="J174" i="8" s="1"/>
  <c r="K174" i="8" s="1"/>
  <c r="H149" i="8"/>
  <c r="J149" i="8" s="1"/>
  <c r="K149" i="8" s="1"/>
  <c r="H158" i="8"/>
  <c r="J158" i="8" s="1"/>
  <c r="K158" i="8" s="1"/>
  <c r="I142" i="8"/>
  <c r="H142" i="8" s="1"/>
  <c r="I151" i="8"/>
  <c r="H151" i="8" s="1"/>
  <c r="I140" i="8"/>
  <c r="H141" i="8"/>
  <c r="J141" i="8" s="1"/>
  <c r="K141" i="8" s="1"/>
  <c r="I150" i="8"/>
  <c r="H150" i="8" s="1"/>
  <c r="I143" i="8"/>
  <c r="H143" i="8" s="1"/>
  <c r="I152" i="8"/>
  <c r="H152" i="8" s="1"/>
  <c r="I144" i="8"/>
  <c r="H144" i="8" s="1"/>
  <c r="H153" i="8"/>
  <c r="J153" i="8" s="1"/>
  <c r="K153" i="8" s="1"/>
  <c r="I146" i="8"/>
  <c r="H146" i="8" s="1"/>
  <c r="I154" i="8"/>
  <c r="H154" i="8" s="1"/>
  <c r="H157" i="8"/>
  <c r="J157" i="8" s="1"/>
  <c r="K157" i="8" s="1"/>
  <c r="I147" i="8"/>
  <c r="H147" i="8" s="1"/>
  <c r="I155" i="8"/>
  <c r="H155" i="8" s="1"/>
  <c r="I148" i="8"/>
  <c r="H148" i="8" s="1"/>
  <c r="H156" i="8"/>
  <c r="J156" i="8" s="1"/>
  <c r="K156" i="8" s="1"/>
  <c r="H132" i="8"/>
  <c r="J132" i="8" s="1"/>
  <c r="K132" i="8" s="1"/>
  <c r="I125" i="8"/>
  <c r="H125" i="8" s="1"/>
  <c r="J125" i="8" s="1"/>
  <c r="K125" i="8" s="1"/>
  <c r="I133" i="8"/>
  <c r="H133" i="8" s="1"/>
  <c r="J133" i="8" s="1"/>
  <c r="K133" i="8" s="1"/>
  <c r="H134" i="8"/>
  <c r="J134" i="8" s="1"/>
  <c r="K134" i="8" s="1"/>
  <c r="H136" i="8"/>
  <c r="J136" i="8" s="1"/>
  <c r="K136" i="8" s="1"/>
  <c r="H137" i="8"/>
  <c r="J137" i="8" s="1"/>
  <c r="K137" i="8" s="1"/>
  <c r="H122" i="8"/>
  <c r="J122" i="8" s="1"/>
  <c r="K122" i="8" s="1"/>
  <c r="AC517" i="6"/>
  <c r="P517" i="6" s="1"/>
  <c r="AC515" i="6"/>
  <c r="P515" i="6" s="1"/>
  <c r="AC518" i="6"/>
  <c r="P518" i="6" s="1"/>
  <c r="AC523" i="6"/>
  <c r="P523" i="6" s="1"/>
  <c r="AC524" i="6"/>
  <c r="P524" i="6" s="1"/>
  <c r="AC519" i="6"/>
  <c r="P519" i="6" s="1"/>
  <c r="AC516" i="6"/>
  <c r="P516" i="6" s="1"/>
  <c r="AC520" i="6"/>
  <c r="P520" i="6" s="1"/>
  <c r="AC521" i="6"/>
  <c r="P521" i="6" s="1"/>
  <c r="AC522" i="6"/>
  <c r="P522" i="6" s="1"/>
  <c r="AC494" i="6"/>
  <c r="P494" i="6" s="1"/>
  <c r="AC502" i="6"/>
  <c r="P502" i="6" s="1"/>
  <c r="AC493" i="6"/>
  <c r="P493" i="6" s="1"/>
  <c r="AC500" i="6"/>
  <c r="P500" i="6" s="1"/>
  <c r="AC495" i="6"/>
  <c r="P495" i="6" s="1"/>
  <c r="AC496" i="6"/>
  <c r="P496" i="6" s="1"/>
  <c r="AC497" i="6"/>
  <c r="P497" i="6" s="1"/>
  <c r="AC498" i="6"/>
  <c r="P498" i="6" s="1"/>
  <c r="AC499" i="6"/>
  <c r="P499" i="6" s="1"/>
  <c r="AC501" i="6"/>
  <c r="P501" i="6" s="1"/>
  <c r="AC475" i="6"/>
  <c r="P475" i="6" s="1"/>
  <c r="AC480" i="6"/>
  <c r="P480" i="6" s="1"/>
  <c r="AC474" i="6"/>
  <c r="P474" i="6" s="1"/>
  <c r="AC477" i="6"/>
  <c r="P477" i="6" s="1"/>
  <c r="AC452" i="6"/>
  <c r="P452" i="6" s="1"/>
  <c r="AC471" i="6"/>
  <c r="P471" i="6" s="1"/>
  <c r="AC478" i="6"/>
  <c r="P478" i="6" s="1"/>
  <c r="AC479" i="6"/>
  <c r="P479" i="6" s="1"/>
  <c r="AC473" i="6"/>
  <c r="P473" i="6" s="1"/>
  <c r="AC472" i="6"/>
  <c r="P472" i="6" s="1"/>
  <c r="AC456" i="6"/>
  <c r="P456" i="6" s="1"/>
  <c r="AC458" i="6"/>
  <c r="P458" i="6" s="1"/>
  <c r="AC476" i="6"/>
  <c r="P476" i="6" s="1"/>
  <c r="AC450" i="6"/>
  <c r="P450" i="6" s="1"/>
  <c r="AC451" i="6"/>
  <c r="P451" i="6" s="1"/>
  <c r="AC457" i="6"/>
  <c r="P457" i="6" s="1"/>
  <c r="AC449" i="6"/>
  <c r="P449" i="6" s="1"/>
  <c r="AC453" i="6"/>
  <c r="P453" i="6" s="1"/>
  <c r="AC454" i="6"/>
  <c r="P454" i="6" s="1"/>
  <c r="AC455" i="6"/>
  <c r="P455" i="6" s="1"/>
  <c r="AC413" i="6"/>
  <c r="P413" i="6" s="1"/>
  <c r="AC428" i="6"/>
  <c r="P428" i="6" s="1"/>
  <c r="AC436" i="6"/>
  <c r="P436" i="6" s="1"/>
  <c r="AC427" i="6"/>
  <c r="P427" i="6" s="1"/>
  <c r="AC430" i="6"/>
  <c r="P430" i="6" s="1"/>
  <c r="AC434" i="6"/>
  <c r="P434" i="6" s="1"/>
  <c r="AC435" i="6"/>
  <c r="P435" i="6" s="1"/>
  <c r="AC410" i="6"/>
  <c r="P410" i="6" s="1"/>
  <c r="AC429" i="6"/>
  <c r="P429" i="6" s="1"/>
  <c r="AC432" i="6"/>
  <c r="P432" i="6" s="1"/>
  <c r="AC431" i="6"/>
  <c r="P431" i="6" s="1"/>
  <c r="AC433" i="6"/>
  <c r="P433" i="6" s="1"/>
  <c r="AC414" i="6"/>
  <c r="P414" i="6" s="1"/>
  <c r="AC408" i="6"/>
  <c r="P408" i="6" s="1"/>
  <c r="AC412" i="6"/>
  <c r="P412" i="6" s="1"/>
  <c r="AC409" i="6"/>
  <c r="P409" i="6" s="1"/>
  <c r="AC405" i="6"/>
  <c r="P405" i="6" s="1"/>
  <c r="AC406" i="6"/>
  <c r="P406" i="6" s="1"/>
  <c r="AC407" i="6"/>
  <c r="P407" i="6" s="1"/>
  <c r="AC411" i="6"/>
  <c r="P411" i="6" s="1"/>
  <c r="AC388" i="6"/>
  <c r="P388" i="6" s="1"/>
  <c r="AC390" i="6"/>
  <c r="P390" i="6" s="1"/>
  <c r="AC386" i="6"/>
  <c r="P386" i="6" s="1"/>
  <c r="AC385" i="6"/>
  <c r="P385" i="6" s="1"/>
  <c r="AC384" i="6"/>
  <c r="P384" i="6" s="1"/>
  <c r="AC392" i="6"/>
  <c r="P392" i="6" s="1"/>
  <c r="AC370" i="6"/>
  <c r="P370" i="6" s="1"/>
  <c r="AC387" i="6"/>
  <c r="P387" i="6" s="1"/>
  <c r="AC383" i="6"/>
  <c r="P383" i="6" s="1"/>
  <c r="AC389" i="6"/>
  <c r="P389" i="6" s="1"/>
  <c r="AC391" i="6"/>
  <c r="P391" i="6" s="1"/>
  <c r="AC364" i="6"/>
  <c r="P364" i="6" s="1"/>
  <c r="AC369" i="6"/>
  <c r="P369" i="6" s="1"/>
  <c r="AC368" i="6"/>
  <c r="P368" i="6" s="1"/>
  <c r="AC348" i="6"/>
  <c r="P348" i="6" s="1"/>
  <c r="AC362" i="6"/>
  <c r="P362" i="6" s="1"/>
  <c r="AC367" i="6"/>
  <c r="P367" i="6" s="1"/>
  <c r="AC363" i="6"/>
  <c r="P363" i="6" s="1"/>
  <c r="AC341" i="6"/>
  <c r="P341" i="6" s="1"/>
  <c r="AC365" i="6"/>
  <c r="P365" i="6" s="1"/>
  <c r="AC366" i="6"/>
  <c r="P366" i="6" s="1"/>
  <c r="AC361" i="6"/>
  <c r="P361" i="6" s="1"/>
  <c r="AC342" i="6"/>
  <c r="P342" i="6" s="1"/>
  <c r="AC322" i="6"/>
  <c r="P322" i="6" s="1"/>
  <c r="AC340" i="6"/>
  <c r="P340" i="6" s="1"/>
  <c r="AC325" i="6"/>
  <c r="P325" i="6" s="1"/>
  <c r="AC339" i="6"/>
  <c r="P339" i="6" s="1"/>
  <c r="AC345" i="6"/>
  <c r="P345" i="6" s="1"/>
  <c r="AC343" i="6"/>
  <c r="P343" i="6" s="1"/>
  <c r="AC344" i="6"/>
  <c r="P344" i="6" s="1"/>
  <c r="AC346" i="6"/>
  <c r="P346" i="6" s="1"/>
  <c r="AC347" i="6"/>
  <c r="P347" i="6" s="1"/>
  <c r="AC326" i="6"/>
  <c r="P326" i="6" s="1"/>
  <c r="AC324" i="6"/>
  <c r="P324" i="6" s="1"/>
  <c r="AC320" i="6"/>
  <c r="P320" i="6" s="1"/>
  <c r="AC300" i="6"/>
  <c r="P300" i="6" s="1"/>
  <c r="AC304" i="6"/>
  <c r="P304" i="6" s="1"/>
  <c r="AC321" i="6"/>
  <c r="P321" i="6" s="1"/>
  <c r="AC317" i="6"/>
  <c r="P317" i="6" s="1"/>
  <c r="AC318" i="6"/>
  <c r="P318" i="6" s="1"/>
  <c r="AC319" i="6"/>
  <c r="P319" i="6" s="1"/>
  <c r="AC323" i="6"/>
  <c r="P323" i="6" s="1"/>
  <c r="AC298" i="6"/>
  <c r="P298" i="6" s="1"/>
  <c r="AC302" i="6"/>
  <c r="P302" i="6" s="1"/>
  <c r="AC297" i="6"/>
  <c r="P297" i="6" s="1"/>
  <c r="AC301" i="6"/>
  <c r="P301" i="6" s="1"/>
  <c r="AC299" i="6"/>
  <c r="P299" i="6" s="1"/>
  <c r="AC295" i="6"/>
  <c r="P295" i="6" s="1"/>
  <c r="AC276" i="6"/>
  <c r="P276" i="6" s="1"/>
  <c r="AC303" i="6"/>
  <c r="P303" i="6" s="1"/>
  <c r="AC296" i="6"/>
  <c r="P296" i="6" s="1"/>
  <c r="AC278" i="6"/>
  <c r="P278" i="6" s="1"/>
  <c r="AC273" i="6"/>
  <c r="P273" i="6" s="1"/>
  <c r="AC275" i="6"/>
  <c r="P275" i="6" s="1"/>
  <c r="AC279" i="6"/>
  <c r="P279" i="6" s="1"/>
  <c r="AC282" i="6"/>
  <c r="P282" i="6" s="1"/>
  <c r="AC274" i="6"/>
  <c r="P274" i="6" s="1"/>
  <c r="AC280" i="6"/>
  <c r="P280" i="6" s="1"/>
  <c r="AC281" i="6"/>
  <c r="P281" i="6" s="1"/>
  <c r="AC260" i="6"/>
  <c r="P260" i="6" s="1"/>
  <c r="AC277" i="6"/>
  <c r="P277" i="6" s="1"/>
  <c r="AC256" i="6"/>
  <c r="P256" i="6" s="1"/>
  <c r="AC257" i="6"/>
  <c r="P257" i="6" s="1"/>
  <c r="AC255" i="6"/>
  <c r="P255" i="6" s="1"/>
  <c r="AC252" i="6"/>
  <c r="P252" i="6" s="1"/>
  <c r="AC254" i="6"/>
  <c r="P254" i="6" s="1"/>
  <c r="AC259" i="6"/>
  <c r="P259" i="6" s="1"/>
  <c r="AC253" i="6"/>
  <c r="P253" i="6" s="1"/>
  <c r="AC258" i="6"/>
  <c r="P258" i="6" s="1"/>
  <c r="AC251" i="6"/>
  <c r="P251" i="6" s="1"/>
  <c r="AC232" i="6"/>
  <c r="P232" i="6" s="1"/>
  <c r="AC233" i="6"/>
  <c r="P233" i="6" s="1"/>
  <c r="AC229" i="6"/>
  <c r="P229" i="6" s="1"/>
  <c r="AC237" i="6"/>
  <c r="P237" i="6" s="1"/>
  <c r="AC230" i="6"/>
  <c r="P230" i="6" s="1"/>
  <c r="AC231" i="6"/>
  <c r="P231" i="6" s="1"/>
  <c r="AC234" i="6"/>
  <c r="P234" i="6" s="1"/>
  <c r="AC235" i="6"/>
  <c r="P235" i="6" s="1"/>
  <c r="AC236" i="6"/>
  <c r="P236" i="6" s="1"/>
  <c r="AC238" i="6"/>
  <c r="P238" i="6" s="1"/>
  <c r="AC210" i="6"/>
  <c r="P210" i="6" s="1"/>
  <c r="AC216" i="6"/>
  <c r="P216" i="6" s="1"/>
  <c r="AC209" i="6"/>
  <c r="P209" i="6" s="1"/>
  <c r="AC214" i="6"/>
  <c r="P214" i="6" s="1"/>
  <c r="AC211" i="6"/>
  <c r="P211" i="6" s="1"/>
  <c r="AC186" i="6"/>
  <c r="P186" i="6" s="1"/>
  <c r="AC212" i="6"/>
  <c r="P212" i="6" s="1"/>
  <c r="AC207" i="6"/>
  <c r="P207" i="6" s="1"/>
  <c r="AC213" i="6"/>
  <c r="P213" i="6" s="1"/>
  <c r="AC208" i="6"/>
  <c r="P208" i="6" s="1"/>
  <c r="AC215" i="6"/>
  <c r="P215" i="6" s="1"/>
  <c r="AC189" i="6"/>
  <c r="P189" i="6" s="1"/>
  <c r="AC187" i="6"/>
  <c r="P187" i="6" s="1"/>
  <c r="AC188" i="6"/>
  <c r="P188" i="6" s="1"/>
  <c r="AC185" i="6"/>
  <c r="P185" i="6" s="1"/>
  <c r="AC191" i="6"/>
  <c r="P191" i="6" s="1"/>
  <c r="AC193" i="6"/>
  <c r="P193" i="6" s="1"/>
  <c r="AC192" i="6"/>
  <c r="P192" i="6" s="1"/>
  <c r="AC172" i="6"/>
  <c r="P172" i="6" s="1"/>
  <c r="AC190" i="6"/>
  <c r="P190" i="6" s="1"/>
  <c r="AC194" i="6"/>
  <c r="P194" i="6" s="1"/>
  <c r="AC166" i="6"/>
  <c r="P166" i="6" s="1"/>
  <c r="AC163" i="6"/>
  <c r="P163" i="6" s="1"/>
  <c r="AC164" i="6"/>
  <c r="P164" i="6" s="1"/>
  <c r="AC165" i="6"/>
  <c r="P165" i="6" s="1"/>
  <c r="AC167" i="6"/>
  <c r="P167" i="6" s="1"/>
  <c r="AC168" i="6"/>
  <c r="P168" i="6" s="1"/>
  <c r="AC170" i="6"/>
  <c r="P170" i="6" s="1"/>
  <c r="AC150" i="6"/>
  <c r="P150" i="6" s="1"/>
  <c r="AC169" i="6"/>
  <c r="P169" i="6" s="1"/>
  <c r="AC171" i="6"/>
  <c r="P171" i="6" s="1"/>
  <c r="AC142" i="6"/>
  <c r="P142" i="6" s="1"/>
  <c r="AC149" i="6"/>
  <c r="P149" i="6" s="1"/>
  <c r="AC143" i="6"/>
  <c r="P143" i="6" s="1"/>
  <c r="AC144" i="6"/>
  <c r="P144" i="6" s="1"/>
  <c r="AC145" i="6"/>
  <c r="P145" i="6" s="1"/>
  <c r="AC147" i="6"/>
  <c r="P147" i="6" s="1"/>
  <c r="AC141" i="6"/>
  <c r="P141" i="6" s="1"/>
  <c r="AC146" i="6"/>
  <c r="P146" i="6" s="1"/>
  <c r="AC148" i="6"/>
  <c r="P148" i="6" s="1"/>
  <c r="AC122" i="6"/>
  <c r="P122" i="6" s="1"/>
  <c r="AC119" i="6"/>
  <c r="P119" i="6" s="1"/>
  <c r="AC125" i="6"/>
  <c r="P125" i="6" s="1"/>
  <c r="AC121" i="6"/>
  <c r="P121" i="6" s="1"/>
  <c r="AC123" i="6"/>
  <c r="P123" i="6" s="1"/>
  <c r="AC124" i="6"/>
  <c r="P124" i="6" s="1"/>
  <c r="AC126" i="6"/>
  <c r="P126" i="6" s="1"/>
  <c r="AC127" i="6"/>
  <c r="P127" i="6" s="1"/>
  <c r="AC128" i="6"/>
  <c r="P128" i="6" s="1"/>
  <c r="AC100" i="6"/>
  <c r="P100" i="6" s="1"/>
  <c r="AC120" i="6"/>
  <c r="P120" i="6" s="1"/>
  <c r="AC102" i="6"/>
  <c r="P102" i="6" s="1"/>
  <c r="AC106" i="6"/>
  <c r="P106" i="6" s="1"/>
  <c r="AC99" i="6"/>
  <c r="P99" i="6" s="1"/>
  <c r="AC104" i="6"/>
  <c r="P104" i="6" s="1"/>
  <c r="AC97" i="6"/>
  <c r="P97" i="6" s="1"/>
  <c r="AC105" i="6"/>
  <c r="P105" i="6" s="1"/>
  <c r="AC101" i="6"/>
  <c r="P101" i="6" s="1"/>
  <c r="AC103" i="6"/>
  <c r="P103" i="6" s="1"/>
  <c r="AC98" i="6"/>
  <c r="P98" i="6" s="1"/>
  <c r="H325" i="8" l="1"/>
  <c r="J325" i="8" s="1"/>
  <c r="K325" i="8" s="1"/>
  <c r="H326" i="8"/>
  <c r="J326" i="8" s="1"/>
  <c r="K326" i="8" s="1"/>
  <c r="H500" i="8"/>
  <c r="J500" i="8" s="1"/>
  <c r="K500" i="8" s="1"/>
  <c r="J512" i="8"/>
  <c r="K512" i="8" s="1"/>
  <c r="J504" i="8"/>
  <c r="K504" i="8" s="1"/>
  <c r="J508" i="8"/>
  <c r="K508" i="8" s="1"/>
  <c r="J491" i="8"/>
  <c r="K491" i="8" s="1"/>
  <c r="J483" i="8"/>
  <c r="K483" i="8" s="1"/>
  <c r="J487" i="8"/>
  <c r="K487" i="8" s="1"/>
  <c r="J479" i="8"/>
  <c r="K479" i="8" s="1"/>
  <c r="J462" i="8"/>
  <c r="K462" i="8" s="1"/>
  <c r="J466" i="8"/>
  <c r="K466" i="8" s="1"/>
  <c r="J458" i="8"/>
  <c r="K458" i="8" s="1"/>
  <c r="J470" i="8"/>
  <c r="K470" i="8" s="1"/>
  <c r="H367" i="8"/>
  <c r="J367" i="8" s="1"/>
  <c r="K367" i="8" s="1"/>
  <c r="J357" i="8"/>
  <c r="K357" i="8" s="1"/>
  <c r="H368" i="8"/>
  <c r="J368" i="8" s="1"/>
  <c r="K368" i="8" s="1"/>
  <c r="H359" i="8"/>
  <c r="J359" i="8" s="1"/>
  <c r="K359" i="8" s="1"/>
  <c r="J361" i="8"/>
  <c r="K361" i="8" s="1"/>
  <c r="J353" i="8"/>
  <c r="K353" i="8" s="1"/>
  <c r="J364" i="8"/>
  <c r="K364" i="8" s="1"/>
  <c r="H363" i="8"/>
  <c r="J363" i="8" s="1"/>
  <c r="K363" i="8" s="1"/>
  <c r="J360" i="8"/>
  <c r="K360" i="8" s="1"/>
  <c r="J351" i="8"/>
  <c r="K351" i="8" s="1"/>
  <c r="J356" i="8"/>
  <c r="K356" i="8" s="1"/>
  <c r="J355" i="8"/>
  <c r="K355" i="8" s="1"/>
  <c r="J352" i="8"/>
  <c r="K352" i="8" s="1"/>
  <c r="J365" i="8"/>
  <c r="K365" i="8" s="1"/>
  <c r="J344" i="8"/>
  <c r="K344" i="8" s="1"/>
  <c r="J336" i="8"/>
  <c r="K336" i="8" s="1"/>
  <c r="J340" i="8"/>
  <c r="K340" i="8" s="1"/>
  <c r="H332" i="8"/>
  <c r="J332" i="8" s="1"/>
  <c r="K332" i="8" s="1"/>
  <c r="J322" i="8"/>
  <c r="K322" i="8" s="1"/>
  <c r="J313" i="8"/>
  <c r="K313" i="8" s="1"/>
  <c r="J314" i="8"/>
  <c r="K314" i="8" s="1"/>
  <c r="J309" i="8"/>
  <c r="K309" i="8" s="1"/>
  <c r="J317" i="8"/>
  <c r="K317" i="8" s="1"/>
  <c r="J318" i="8"/>
  <c r="K318" i="8" s="1"/>
  <c r="J321" i="8"/>
  <c r="K321" i="8" s="1"/>
  <c r="H310" i="8"/>
  <c r="J310" i="8" s="1"/>
  <c r="K310" i="8" s="1"/>
  <c r="J269" i="8"/>
  <c r="K269" i="8" s="1"/>
  <c r="J280" i="8"/>
  <c r="K280" i="8" s="1"/>
  <c r="J267" i="8"/>
  <c r="K267" i="8" s="1"/>
  <c r="J272" i="8"/>
  <c r="K272" i="8" s="1"/>
  <c r="H284" i="8"/>
  <c r="J284" i="8" s="1"/>
  <c r="K284" i="8" s="1"/>
  <c r="J271" i="8"/>
  <c r="K271" i="8" s="1"/>
  <c r="J276" i="8"/>
  <c r="K276" i="8" s="1"/>
  <c r="H283" i="8"/>
  <c r="J283" i="8" s="1"/>
  <c r="K283" i="8" s="1"/>
  <c r="J279" i="8"/>
  <c r="K279" i="8" s="1"/>
  <c r="J281" i="8"/>
  <c r="K281" i="8" s="1"/>
  <c r="J277" i="8"/>
  <c r="K277" i="8" s="1"/>
  <c r="H268" i="8"/>
  <c r="J268" i="8" s="1"/>
  <c r="K268" i="8" s="1"/>
  <c r="H275" i="8"/>
  <c r="J275" i="8" s="1"/>
  <c r="K275" i="8" s="1"/>
  <c r="J273" i="8"/>
  <c r="K273" i="8" s="1"/>
  <c r="J260" i="8"/>
  <c r="K260" i="8" s="1"/>
  <c r="J252" i="8"/>
  <c r="K252" i="8" s="1"/>
  <c r="J256" i="8"/>
  <c r="K256" i="8" s="1"/>
  <c r="J248" i="8"/>
  <c r="K248" i="8" s="1"/>
  <c r="J206" i="8"/>
  <c r="K206" i="8" s="1"/>
  <c r="J210" i="8"/>
  <c r="K210" i="8" s="1"/>
  <c r="J218" i="8"/>
  <c r="K218" i="8" s="1"/>
  <c r="J214" i="8"/>
  <c r="K214" i="8" s="1"/>
  <c r="J176" i="8"/>
  <c r="K176" i="8" s="1"/>
  <c r="J172" i="8"/>
  <c r="K172" i="8" s="1"/>
  <c r="J164" i="8"/>
  <c r="K164" i="8" s="1"/>
  <c r="J168" i="8"/>
  <c r="K168" i="8" s="1"/>
  <c r="J151" i="8"/>
  <c r="K151" i="8" s="1"/>
  <c r="J146" i="8"/>
  <c r="K146" i="8" s="1"/>
  <c r="J142" i="8"/>
  <c r="K142" i="8" s="1"/>
  <c r="J147" i="8"/>
  <c r="K147" i="8" s="1"/>
  <c r="J152" i="8"/>
  <c r="K152" i="8" s="1"/>
  <c r="J144" i="8"/>
  <c r="K144" i="8" s="1"/>
  <c r="J148" i="8"/>
  <c r="K148" i="8" s="1"/>
  <c r="J143" i="8"/>
  <c r="K143" i="8" s="1"/>
  <c r="J155" i="8"/>
  <c r="K155" i="8" s="1"/>
  <c r="J150" i="8"/>
  <c r="K150" i="8" s="1"/>
  <c r="J154" i="8"/>
  <c r="K154" i="8" s="1"/>
  <c r="H140" i="8"/>
  <c r="J140" i="8" s="1"/>
  <c r="K140" i="8" s="1"/>
  <c r="L1541" i="6"/>
  <c r="L1540" i="6"/>
  <c r="L1539" i="6"/>
  <c r="L1538" i="6"/>
  <c r="L1537" i="6"/>
  <c r="L1536" i="6"/>
  <c r="L1535" i="6"/>
  <c r="L1534" i="6"/>
  <c r="L1533" i="6"/>
  <c r="L1532" i="6"/>
  <c r="L1531" i="6"/>
  <c r="L1530" i="6"/>
  <c r="L1529" i="6"/>
  <c r="L1528" i="6"/>
  <c r="L1527" i="6"/>
  <c r="L1526" i="6"/>
  <c r="L1525" i="6"/>
  <c r="L1524" i="6"/>
  <c r="L1523" i="6"/>
  <c r="L1522" i="6"/>
  <c r="L1521" i="6"/>
  <c r="L1520" i="6"/>
  <c r="L1519" i="6"/>
  <c r="L1518" i="6"/>
  <c r="L1517" i="6"/>
  <c r="L1516" i="6"/>
  <c r="L1515" i="6"/>
  <c r="L1514" i="6"/>
  <c r="L1513" i="6"/>
  <c r="L1512" i="6"/>
  <c r="L1511" i="6"/>
  <c r="L1510" i="6"/>
  <c r="L1509" i="6"/>
  <c r="L1508" i="6"/>
  <c r="L1507" i="6"/>
  <c r="L1506" i="6"/>
  <c r="L1505" i="6"/>
  <c r="L1504" i="6"/>
  <c r="L1503" i="6"/>
  <c r="L1502" i="6"/>
  <c r="L1501" i="6"/>
  <c r="L1500" i="6"/>
  <c r="L1499" i="6"/>
  <c r="L1498" i="6"/>
  <c r="L1497" i="6"/>
  <c r="L1496" i="6"/>
  <c r="L1495" i="6"/>
  <c r="L1494" i="6"/>
  <c r="L1493" i="6"/>
  <c r="L1492" i="6"/>
  <c r="L1491" i="6"/>
  <c r="L1490" i="6"/>
  <c r="L1489" i="6"/>
  <c r="L1488" i="6"/>
  <c r="L1487" i="6"/>
  <c r="L1486" i="6"/>
  <c r="L1485" i="6"/>
  <c r="L1484" i="6"/>
  <c r="L1483" i="6"/>
  <c r="L1482" i="6"/>
  <c r="S1553" i="6"/>
  <c r="U1553" i="6" s="1"/>
  <c r="S1552" i="6"/>
  <c r="G4" i="16" l="1"/>
  <c r="G3" i="16"/>
  <c r="G2" i="16"/>
  <c r="G15" i="16"/>
  <c r="G14" i="16"/>
  <c r="F10" i="23"/>
  <c r="AU55" i="19"/>
  <c r="AU54" i="19"/>
  <c r="AU53" i="19"/>
  <c r="AU52" i="19"/>
  <c r="AU51" i="19"/>
  <c r="AU50" i="19"/>
  <c r="AU49" i="19"/>
  <c r="AU48" i="19"/>
  <c r="AU47" i="19"/>
  <c r="AU46" i="19"/>
  <c r="AU45" i="19"/>
  <c r="AU44" i="19"/>
  <c r="AU43" i="19"/>
  <c r="AU42" i="19"/>
  <c r="AU41" i="19"/>
  <c r="AU40" i="19"/>
  <c r="AU39" i="19"/>
  <c r="AU38" i="19"/>
  <c r="AU37" i="19"/>
  <c r="AU36" i="19"/>
  <c r="AU35" i="19"/>
  <c r="AU34" i="19"/>
  <c r="AU33" i="19"/>
  <c r="AU32" i="19"/>
  <c r="AU31" i="19"/>
  <c r="AU30" i="19"/>
  <c r="AU29" i="19"/>
  <c r="AU28" i="19"/>
  <c r="AU27" i="19"/>
  <c r="AU26" i="19"/>
  <c r="AU25" i="19"/>
  <c r="AU24" i="19"/>
  <c r="AU23" i="19"/>
  <c r="AU22" i="19"/>
  <c r="AU21" i="19"/>
  <c r="AU20" i="19"/>
  <c r="AU19" i="19"/>
  <c r="AU18" i="19"/>
  <c r="AU17" i="19"/>
  <c r="AU16" i="19"/>
  <c r="AU15" i="19"/>
  <c r="AU14" i="19"/>
  <c r="AU13" i="19"/>
  <c r="AU9" i="19"/>
  <c r="AU8" i="19"/>
  <c r="AU7" i="19"/>
  <c r="AU6" i="19"/>
  <c r="AU10" i="19"/>
  <c r="AU12" i="19"/>
  <c r="AU11" i="19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BF15" i="23"/>
  <c r="BE15" i="23"/>
  <c r="BD15" i="23"/>
  <c r="BC15" i="23"/>
  <c r="BB15" i="23"/>
  <c r="BA15" i="23"/>
  <c r="AZ15" i="23"/>
  <c r="AY15" i="23"/>
  <c r="AX15" i="23"/>
  <c r="AW15" i="23"/>
  <c r="AV15" i="23"/>
  <c r="AU15" i="23"/>
  <c r="AT15" i="23"/>
  <c r="AS15" i="23"/>
  <c r="AR15" i="23"/>
  <c r="AQ15" i="23"/>
  <c r="AP15" i="23"/>
  <c r="AO15" i="23"/>
  <c r="AN15" i="23"/>
  <c r="AM15" i="23"/>
  <c r="BF14" i="23"/>
  <c r="BE14" i="23"/>
  <c r="BD14" i="23"/>
  <c r="BC14" i="23"/>
  <c r="BB14" i="23"/>
  <c r="BA14" i="23"/>
  <c r="AZ14" i="23"/>
  <c r="AY14" i="23"/>
  <c r="AX14" i="23"/>
  <c r="AW14" i="23"/>
  <c r="AV14" i="23"/>
  <c r="AU14" i="23"/>
  <c r="AT14" i="23"/>
  <c r="AS14" i="23"/>
  <c r="AR14" i="23"/>
  <c r="AQ14" i="23"/>
  <c r="AP14" i="23"/>
  <c r="AO14" i="23"/>
  <c r="AN14" i="23"/>
  <c r="AM14" i="23"/>
  <c r="BF13" i="23"/>
  <c r="BE13" i="23"/>
  <c r="BD13" i="23"/>
  <c r="BC13" i="23"/>
  <c r="BB13" i="23"/>
  <c r="BA13" i="23"/>
  <c r="AZ13" i="23"/>
  <c r="AY13" i="23"/>
  <c r="AX13" i="23"/>
  <c r="AW13" i="23"/>
  <c r="AV13" i="23"/>
  <c r="AU13" i="23"/>
  <c r="AT13" i="23"/>
  <c r="AS13" i="23"/>
  <c r="AR13" i="23"/>
  <c r="AQ13" i="23"/>
  <c r="AP13" i="23"/>
  <c r="AO13" i="23"/>
  <c r="AN13" i="23"/>
  <c r="AM13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T12" i="23"/>
  <c r="AS12" i="23"/>
  <c r="AR12" i="23"/>
  <c r="AQ12" i="23"/>
  <c r="AP12" i="23"/>
  <c r="AO12" i="23"/>
  <c r="AN12" i="23"/>
  <c r="AM12" i="23"/>
  <c r="BF11" i="23"/>
  <c r="BE11" i="23"/>
  <c r="BD11" i="23"/>
  <c r="BC11" i="23"/>
  <c r="BB11" i="23"/>
  <c r="BA11" i="23"/>
  <c r="AZ11" i="23"/>
  <c r="AY11" i="23"/>
  <c r="AX11" i="23"/>
  <c r="AW11" i="23"/>
  <c r="AV11" i="23"/>
  <c r="AU11" i="23"/>
  <c r="AT11" i="23"/>
  <c r="AS11" i="23"/>
  <c r="AR11" i="23"/>
  <c r="AQ11" i="23"/>
  <c r="AP11" i="23"/>
  <c r="AO11" i="23"/>
  <c r="AN11" i="23"/>
  <c r="AM11" i="23"/>
  <c r="BF10" i="23"/>
  <c r="BE10" i="23"/>
  <c r="BD10" i="23"/>
  <c r="BC10" i="23"/>
  <c r="BB10" i="23"/>
  <c r="BA10" i="23"/>
  <c r="AZ10" i="23"/>
  <c r="AY10" i="23"/>
  <c r="AX10" i="23"/>
  <c r="AW10" i="23"/>
  <c r="AV10" i="23"/>
  <c r="AU10" i="23"/>
  <c r="AT10" i="23"/>
  <c r="AS10" i="23"/>
  <c r="AR10" i="23"/>
  <c r="AQ10" i="23"/>
  <c r="AP10" i="23"/>
  <c r="AO10" i="23"/>
  <c r="AN10" i="23"/>
  <c r="AM10" i="23"/>
  <c r="BF9" i="23"/>
  <c r="BE9" i="23"/>
  <c r="BD9" i="23"/>
  <c r="BC9" i="23"/>
  <c r="BB9" i="23"/>
  <c r="BA9" i="23"/>
  <c r="AZ9" i="23"/>
  <c r="AY9" i="23"/>
  <c r="AX9" i="23"/>
  <c r="AW9" i="23"/>
  <c r="AV9" i="23"/>
  <c r="AU9" i="23"/>
  <c r="AT9" i="23"/>
  <c r="AS9" i="23"/>
  <c r="AR9" i="23"/>
  <c r="AQ9" i="23"/>
  <c r="AP9" i="23"/>
  <c r="AO9" i="23"/>
  <c r="AN9" i="23"/>
  <c r="AM9" i="23"/>
  <c r="BF8" i="23"/>
  <c r="BE8" i="23"/>
  <c r="BD8" i="23"/>
  <c r="BC8" i="23"/>
  <c r="BB8" i="23"/>
  <c r="BA8" i="23"/>
  <c r="AZ8" i="23"/>
  <c r="AY8" i="23"/>
  <c r="AX8" i="23"/>
  <c r="AW8" i="23"/>
  <c r="AV8" i="23"/>
  <c r="AU8" i="23"/>
  <c r="AT8" i="23"/>
  <c r="AS8" i="23"/>
  <c r="AR8" i="23"/>
  <c r="AQ8" i="23"/>
  <c r="AP8" i="23"/>
  <c r="AO8" i="23"/>
  <c r="AN8" i="23"/>
  <c r="AM8" i="23"/>
  <c r="BF7" i="23"/>
  <c r="BE7" i="23"/>
  <c r="BD7" i="23"/>
  <c r="BC7" i="23"/>
  <c r="BB7" i="23"/>
  <c r="BA7" i="23"/>
  <c r="AZ7" i="23"/>
  <c r="AY7" i="23"/>
  <c r="AX7" i="23"/>
  <c r="AW7" i="23"/>
  <c r="AV7" i="23"/>
  <c r="AU7" i="23"/>
  <c r="AT7" i="23"/>
  <c r="AS7" i="23"/>
  <c r="AR7" i="23"/>
  <c r="AQ7" i="23"/>
  <c r="AP7" i="23"/>
  <c r="AO7" i="23"/>
  <c r="AN7" i="23"/>
  <c r="AM7" i="23"/>
  <c r="BF6" i="23"/>
  <c r="BE6" i="23"/>
  <c r="BD6" i="23"/>
  <c r="BC6" i="23"/>
  <c r="BB6" i="23"/>
  <c r="BA6" i="23"/>
  <c r="AZ6" i="23"/>
  <c r="AY6" i="23"/>
  <c r="AX6" i="23"/>
  <c r="AW6" i="23"/>
  <c r="AV6" i="23"/>
  <c r="AU6" i="23"/>
  <c r="AT6" i="23"/>
  <c r="AS6" i="23"/>
  <c r="AR6" i="23"/>
  <c r="AQ6" i="23"/>
  <c r="AP6" i="23"/>
  <c r="AO6" i="23"/>
  <c r="AN6" i="23"/>
  <c r="AM6" i="23"/>
  <c r="BF5" i="23"/>
  <c r="BE5" i="23"/>
  <c r="BD5" i="23"/>
  <c r="BC5" i="23"/>
  <c r="BB5" i="23"/>
  <c r="BA5" i="23"/>
  <c r="AZ5" i="23"/>
  <c r="AY5" i="23"/>
  <c r="AX5" i="23"/>
  <c r="AW5" i="23"/>
  <c r="AV5" i="23"/>
  <c r="AU5" i="23"/>
  <c r="AT5" i="23"/>
  <c r="AS5" i="23"/>
  <c r="AR5" i="23"/>
  <c r="AQ5" i="23"/>
  <c r="AP5" i="23"/>
  <c r="AO5" i="23"/>
  <c r="AN5" i="23"/>
  <c r="AM5" i="23"/>
  <c r="BF4" i="23"/>
  <c r="BE4" i="23"/>
  <c r="BD4" i="23"/>
  <c r="BC4" i="23"/>
  <c r="BB4" i="23"/>
  <c r="BA4" i="23"/>
  <c r="AZ4" i="23"/>
  <c r="AY4" i="23"/>
  <c r="AX4" i="23"/>
  <c r="AW4" i="23"/>
  <c r="AV4" i="23"/>
  <c r="AU4" i="23"/>
  <c r="AT4" i="23"/>
  <c r="AS4" i="23"/>
  <c r="AR4" i="23"/>
  <c r="AQ4" i="23"/>
  <c r="AP4" i="23"/>
  <c r="AO4" i="23"/>
  <c r="AN4" i="23"/>
  <c r="AM4" i="23"/>
  <c r="BF3" i="23"/>
  <c r="BF17" i="23" s="1"/>
  <c r="AK17" i="23" s="1"/>
  <c r="AK19" i="23" s="1"/>
  <c r="BE3" i="23"/>
  <c r="BD3" i="23"/>
  <c r="BC3" i="23"/>
  <c r="BB3" i="23"/>
  <c r="BA3" i="23"/>
  <c r="AZ3" i="23"/>
  <c r="AY3" i="23"/>
  <c r="AX3" i="23"/>
  <c r="AW3" i="23"/>
  <c r="AV3" i="23"/>
  <c r="AU3" i="23"/>
  <c r="AT3" i="23"/>
  <c r="AS3" i="23"/>
  <c r="AR3" i="23"/>
  <c r="AQ3" i="23"/>
  <c r="AP3" i="23"/>
  <c r="AO3" i="23"/>
  <c r="AN3" i="23"/>
  <c r="AM3" i="23"/>
  <c r="BF2" i="23"/>
  <c r="BE2" i="23"/>
  <c r="BD2" i="23"/>
  <c r="BC2" i="23"/>
  <c r="BB2" i="23"/>
  <c r="BA2" i="23"/>
  <c r="AZ2" i="23"/>
  <c r="AY2" i="23"/>
  <c r="AX2" i="23"/>
  <c r="AW2" i="23"/>
  <c r="AV2" i="23"/>
  <c r="AU2" i="23"/>
  <c r="AT2" i="23"/>
  <c r="AS2" i="23"/>
  <c r="AS17" i="23" s="1"/>
  <c r="X17" i="23" s="1"/>
  <c r="AR2" i="23"/>
  <c r="AQ2" i="23"/>
  <c r="AP2" i="23"/>
  <c r="AO2" i="23"/>
  <c r="AN2" i="23"/>
  <c r="AM2" i="23"/>
  <c r="AK1" i="23"/>
  <c r="BF1" i="23" s="1"/>
  <c r="AD1" i="23"/>
  <c r="AY1" i="23" s="1"/>
  <c r="AE1" i="23"/>
  <c r="AZ1" i="23" s="1"/>
  <c r="AF1" i="23"/>
  <c r="BA1" i="23" s="1"/>
  <c r="AG1" i="23"/>
  <c r="BB1" i="23" s="1"/>
  <c r="AH1" i="23"/>
  <c r="BC1" i="23" s="1"/>
  <c r="AI1" i="23"/>
  <c r="BD1" i="23" s="1"/>
  <c r="AJ1" i="23"/>
  <c r="BE1" i="23" s="1"/>
  <c r="S1" i="23"/>
  <c r="AN1" i="23" s="1"/>
  <c r="T1" i="23"/>
  <c r="AO1" i="23" s="1"/>
  <c r="U1" i="23"/>
  <c r="AP1" i="23" s="1"/>
  <c r="V1" i="23"/>
  <c r="AQ1" i="23" s="1"/>
  <c r="W1" i="23"/>
  <c r="X1" i="23"/>
  <c r="AS1" i="23" s="1"/>
  <c r="Y1" i="23"/>
  <c r="AT1" i="23" s="1"/>
  <c r="Z1" i="23"/>
  <c r="AU1" i="23" s="1"/>
  <c r="AA1" i="23"/>
  <c r="AV1" i="23" s="1"/>
  <c r="AB1" i="23"/>
  <c r="AW1" i="23" s="1"/>
  <c r="AC1" i="23"/>
  <c r="AX1" i="23" s="1"/>
  <c r="R1" i="23"/>
  <c r="O16" i="23"/>
  <c r="O15" i="23"/>
  <c r="O14" i="23"/>
  <c r="O13" i="23"/>
  <c r="O12" i="23"/>
  <c r="O11" i="23"/>
  <c r="O10" i="23"/>
  <c r="O8" i="23"/>
  <c r="O7" i="23"/>
  <c r="O6" i="23"/>
  <c r="O5" i="23"/>
  <c r="O4" i="23"/>
  <c r="O3" i="23"/>
  <c r="I10" i="23"/>
  <c r="I9" i="23"/>
  <c r="F9" i="23"/>
  <c r="I8" i="23"/>
  <c r="F8" i="23"/>
  <c r="I7" i="23"/>
  <c r="F7" i="23"/>
  <c r="L6" i="23"/>
  <c r="I6" i="23"/>
  <c r="F6" i="23"/>
  <c r="I5" i="23"/>
  <c r="F5" i="23"/>
  <c r="I4" i="23"/>
  <c r="F4" i="23"/>
  <c r="I3" i="23"/>
  <c r="L2" i="23"/>
  <c r="O2" i="23" s="1"/>
  <c r="G5" i="16" l="1"/>
  <c r="G16" i="16"/>
  <c r="L21" i="4"/>
  <c r="AR1" i="23"/>
  <c r="L22" i="4"/>
  <c r="L53" i="4" s="1"/>
  <c r="AM1" i="23"/>
  <c r="L18" i="4"/>
  <c r="X19" i="23"/>
  <c r="L9" i="4"/>
  <c r="AV17" i="23"/>
  <c r="AA17" i="23" s="1"/>
  <c r="AA19" i="23" s="1"/>
  <c r="AQ17" i="23"/>
  <c r="V17" i="23" s="1"/>
  <c r="AP17" i="23"/>
  <c r="U17" i="23" s="1"/>
  <c r="AN17" i="23"/>
  <c r="S17" i="23" s="1"/>
  <c r="AX17" i="23"/>
  <c r="AC17" i="23" s="1"/>
  <c r="AT17" i="23"/>
  <c r="Y17" i="23" s="1"/>
  <c r="BB17" i="23"/>
  <c r="AG17" i="23" s="1"/>
  <c r="AG19" i="23" s="1"/>
  <c r="AY17" i="23"/>
  <c r="AD17" i="23" s="1"/>
  <c r="AU17" i="23"/>
  <c r="Z17" i="23" s="1"/>
  <c r="BC17" i="23"/>
  <c r="AH17" i="23" s="1"/>
  <c r="AH19" i="23" s="1"/>
  <c r="BA17" i="23"/>
  <c r="AF17" i="23" s="1"/>
  <c r="AO17" i="23"/>
  <c r="T17" i="23" s="1"/>
  <c r="AW17" i="23"/>
  <c r="AB17" i="23" s="1"/>
  <c r="BE17" i="23"/>
  <c r="AJ17" i="23" s="1"/>
  <c r="AJ19" i="23" s="1"/>
  <c r="BD17" i="23"/>
  <c r="AR17" i="23"/>
  <c r="W17" i="23" s="1"/>
  <c r="AZ17" i="23"/>
  <c r="AE17" i="23" s="1"/>
  <c r="AM17" i="23"/>
  <c r="R17" i="23" s="1"/>
  <c r="L19" i="4" l="1"/>
  <c r="L50" i="4" s="1"/>
  <c r="G18" i="16"/>
  <c r="AF19" i="23"/>
  <c r="L17" i="4"/>
  <c r="AE19" i="23"/>
  <c r="L16" i="4"/>
  <c r="L46" i="4" s="1"/>
  <c r="AD19" i="23"/>
  <c r="L15" i="4"/>
  <c r="AC19" i="23"/>
  <c r="L14" i="4"/>
  <c r="L44" i="4" s="1"/>
  <c r="AB19" i="23"/>
  <c r="L13" i="4"/>
  <c r="L12" i="4"/>
  <c r="Z19" i="23"/>
  <c r="L11" i="4"/>
  <c r="Y19" i="23"/>
  <c r="L10" i="4"/>
  <c r="L40" i="4" s="1"/>
  <c r="W19" i="23"/>
  <c r="L8" i="4"/>
  <c r="V19" i="23"/>
  <c r="L7" i="4"/>
  <c r="L38" i="4" s="1"/>
  <c r="M38" i="4" s="1"/>
  <c r="U19" i="23"/>
  <c r="L6" i="4"/>
  <c r="T19" i="23"/>
  <c r="L5" i="4"/>
  <c r="S19" i="23"/>
  <c r="L4" i="4"/>
  <c r="R19" i="23"/>
  <c r="L3" i="4"/>
  <c r="AI17" i="23"/>
  <c r="O17" i="23"/>
  <c r="O19" i="23" s="1"/>
  <c r="R67" i="20"/>
  <c r="Q67" i="20"/>
  <c r="R66" i="20"/>
  <c r="Q66" i="20"/>
  <c r="R65" i="20"/>
  <c r="Q65" i="20"/>
  <c r="R64" i="20"/>
  <c r="Q64" i="20"/>
  <c r="R63" i="20"/>
  <c r="Q63" i="20"/>
  <c r="R62" i="20"/>
  <c r="Q62" i="20"/>
  <c r="R61" i="20"/>
  <c r="Q61" i="20"/>
  <c r="R60" i="20"/>
  <c r="Q60" i="20"/>
  <c r="R59" i="20"/>
  <c r="Q59" i="20"/>
  <c r="R58" i="20"/>
  <c r="Q58" i="20"/>
  <c r="R57" i="20"/>
  <c r="Q57" i="20"/>
  <c r="R56" i="20"/>
  <c r="Q56" i="20"/>
  <c r="R55" i="20"/>
  <c r="Q55" i="20"/>
  <c r="R54" i="20"/>
  <c r="Q54" i="20"/>
  <c r="R53" i="20"/>
  <c r="Q53" i="20"/>
  <c r="R52" i="20"/>
  <c r="Q52" i="20"/>
  <c r="R51" i="20"/>
  <c r="Q51" i="20"/>
  <c r="R50" i="20"/>
  <c r="Q50" i="20"/>
  <c r="R49" i="20"/>
  <c r="Q49" i="20"/>
  <c r="R48" i="20"/>
  <c r="Q48" i="20"/>
  <c r="R47" i="20"/>
  <c r="Q47" i="20"/>
  <c r="R46" i="20"/>
  <c r="Q46" i="20"/>
  <c r="R45" i="20"/>
  <c r="Q45" i="20"/>
  <c r="R44" i="20"/>
  <c r="Q44" i="20"/>
  <c r="R43" i="20"/>
  <c r="Q43" i="20"/>
  <c r="R42" i="20"/>
  <c r="Q42" i="20"/>
  <c r="R41" i="20"/>
  <c r="Q41" i="20"/>
  <c r="R40" i="20"/>
  <c r="Q40" i="20"/>
  <c r="R39" i="20"/>
  <c r="Q39" i="20"/>
  <c r="R38" i="20"/>
  <c r="Q38" i="20"/>
  <c r="R37" i="20"/>
  <c r="Q37" i="20"/>
  <c r="R36" i="20"/>
  <c r="Q36" i="20"/>
  <c r="R35" i="20"/>
  <c r="Q35" i="20"/>
  <c r="R34" i="20"/>
  <c r="Q34" i="20"/>
  <c r="R33" i="20"/>
  <c r="Q33" i="20"/>
  <c r="R32" i="20"/>
  <c r="Q32" i="20"/>
  <c r="R31" i="20"/>
  <c r="Q31" i="20"/>
  <c r="R30" i="20"/>
  <c r="Q30" i="20"/>
  <c r="R29" i="20"/>
  <c r="Q29" i="20"/>
  <c r="R28" i="20"/>
  <c r="Q28" i="20"/>
  <c r="R27" i="20"/>
  <c r="Q27" i="20"/>
  <c r="R26" i="20"/>
  <c r="Q26" i="20"/>
  <c r="R25" i="20"/>
  <c r="Q25" i="20"/>
  <c r="R24" i="20"/>
  <c r="Q24" i="20"/>
  <c r="R23" i="20"/>
  <c r="Q23" i="20"/>
  <c r="R22" i="20"/>
  <c r="Q22" i="20"/>
  <c r="R21" i="20"/>
  <c r="Q21" i="20"/>
  <c r="R20" i="20"/>
  <c r="Q20" i="20"/>
  <c r="R19" i="20"/>
  <c r="Q19" i="20"/>
  <c r="R18" i="20"/>
  <c r="Q18" i="20"/>
  <c r="R17" i="20"/>
  <c r="Q17" i="20"/>
  <c r="R16" i="20"/>
  <c r="Q16" i="20"/>
  <c r="R15" i="20"/>
  <c r="Q15" i="20"/>
  <c r="R14" i="20"/>
  <c r="Q14" i="20"/>
  <c r="R13" i="20"/>
  <c r="Q13" i="20"/>
  <c r="R12" i="20"/>
  <c r="Q12" i="20"/>
  <c r="R11" i="20"/>
  <c r="Q11" i="20"/>
  <c r="R10" i="20"/>
  <c r="Q10" i="20"/>
  <c r="R9" i="20"/>
  <c r="Q9" i="20"/>
  <c r="R8" i="20"/>
  <c r="Q8" i="20"/>
  <c r="R7" i="20"/>
  <c r="Q7" i="20"/>
  <c r="O55" i="20"/>
  <c r="O62" i="20"/>
  <c r="O61" i="20"/>
  <c r="O17" i="20"/>
  <c r="O33" i="20"/>
  <c r="O32" i="20"/>
  <c r="O30" i="20"/>
  <c r="O29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67" i="20"/>
  <c r="O66" i="20"/>
  <c r="O65" i="20"/>
  <c r="O64" i="20"/>
  <c r="O63" i="20"/>
  <c r="O54" i="20"/>
  <c r="O60" i="20"/>
  <c r="O59" i="20"/>
  <c r="O58" i="20"/>
  <c r="O57" i="20"/>
  <c r="O56" i="20"/>
  <c r="O31" i="20"/>
  <c r="O28" i="20"/>
  <c r="O27" i="20"/>
  <c r="O26" i="20"/>
  <c r="O25" i="20"/>
  <c r="O24" i="20"/>
  <c r="O23" i="20"/>
  <c r="O22" i="20"/>
  <c r="O21" i="20"/>
  <c r="O20" i="20"/>
  <c r="O19" i="20"/>
  <c r="O18" i="20"/>
  <c r="O16" i="20"/>
  <c r="O15" i="20"/>
  <c r="O14" i="20"/>
  <c r="O13" i="20"/>
  <c r="O12" i="20"/>
  <c r="O11" i="20"/>
  <c r="O10" i="20"/>
  <c r="O9" i="20"/>
  <c r="O8" i="20"/>
  <c r="O7" i="20"/>
  <c r="O6" i="20"/>
  <c r="O5" i="20"/>
  <c r="N2" i="20"/>
  <c r="O38" i="4" l="1"/>
  <c r="L43" i="4"/>
  <c r="L34" i="4"/>
  <c r="M34" i="4" s="1"/>
  <c r="L47" i="4"/>
  <c r="L45" i="4"/>
  <c r="O34" i="4"/>
  <c r="L48" i="4"/>
  <c r="L41" i="4"/>
  <c r="L42" i="4"/>
  <c r="L37" i="4"/>
  <c r="L36" i="4"/>
  <c r="L32" i="4"/>
  <c r="L39" i="4"/>
  <c r="L33" i="4"/>
  <c r="L35" i="4"/>
  <c r="M35" i="4" s="1"/>
  <c r="AI19" i="23"/>
  <c r="L20" i="4"/>
  <c r="S9" i="20"/>
  <c r="S17" i="20"/>
  <c r="S25" i="20"/>
  <c r="S33" i="20"/>
  <c r="S37" i="20"/>
  <c r="S41" i="20"/>
  <c r="S45" i="20"/>
  <c r="S49" i="20"/>
  <c r="S53" i="20"/>
  <c r="S57" i="20"/>
  <c r="S61" i="20"/>
  <c r="S65" i="20"/>
  <c r="S7" i="20"/>
  <c r="S11" i="20"/>
  <c r="S15" i="20"/>
  <c r="S19" i="20"/>
  <c r="S23" i="20"/>
  <c r="S27" i="20"/>
  <c r="S31" i="20"/>
  <c r="S35" i="20"/>
  <c r="S39" i="20"/>
  <c r="S43" i="20"/>
  <c r="S47" i="20"/>
  <c r="S51" i="20"/>
  <c r="S55" i="20"/>
  <c r="S59" i="20"/>
  <c r="S63" i="20"/>
  <c r="S67" i="20"/>
  <c r="S62" i="20"/>
  <c r="S38" i="20"/>
  <c r="S46" i="20"/>
  <c r="S34" i="20"/>
  <c r="S50" i="20"/>
  <c r="S30" i="20"/>
  <c r="S42" i="20"/>
  <c r="S10" i="20"/>
  <c r="S14" i="20"/>
  <c r="S18" i="20"/>
  <c r="S22" i="20"/>
  <c r="S26" i="20"/>
  <c r="S54" i="20"/>
  <c r="S58" i="20"/>
  <c r="S66" i="20"/>
  <c r="S8" i="20"/>
  <c r="S12" i="20"/>
  <c r="S16" i="20"/>
  <c r="S20" i="20"/>
  <c r="S24" i="20"/>
  <c r="S28" i="20"/>
  <c r="S32" i="20"/>
  <c r="S36" i="20"/>
  <c r="S40" i="20"/>
  <c r="S44" i="20"/>
  <c r="S48" i="20"/>
  <c r="S52" i="20"/>
  <c r="S56" i="20"/>
  <c r="S60" i="20"/>
  <c r="S64" i="20"/>
  <c r="S13" i="20"/>
  <c r="S21" i="20"/>
  <c r="S29" i="20"/>
  <c r="O2" i="20"/>
  <c r="P5" i="20" s="1"/>
  <c r="L51" i="4" l="1"/>
  <c r="L52" i="4"/>
  <c r="O35" i="4"/>
  <c r="R5" i="20"/>
  <c r="Q5" i="20"/>
  <c r="P62" i="20"/>
  <c r="P55" i="20"/>
  <c r="P61" i="20"/>
  <c r="P17" i="20"/>
  <c r="P33" i="20"/>
  <c r="P32" i="20"/>
  <c r="P7" i="20"/>
  <c r="P65" i="20"/>
  <c r="P59" i="20"/>
  <c r="P31" i="20"/>
  <c r="P26" i="20"/>
  <c r="P10" i="20"/>
  <c r="P9" i="20"/>
  <c r="P23" i="20"/>
  <c r="P30" i="20"/>
  <c r="P20" i="20"/>
  <c r="P64" i="20"/>
  <c r="P16" i="20"/>
  <c r="P14" i="20"/>
  <c r="P39" i="20"/>
  <c r="P67" i="20"/>
  <c r="P29" i="20"/>
  <c r="P48" i="20"/>
  <c r="P58" i="20"/>
  <c r="P27" i="20"/>
  <c r="P8" i="20"/>
  <c r="P13" i="20"/>
  <c r="P28" i="20"/>
  <c r="P19" i="20"/>
  <c r="P21" i="20"/>
  <c r="P18" i="20"/>
  <c r="P60" i="20"/>
  <c r="P47" i="20"/>
  <c r="P6" i="20"/>
  <c r="P51" i="20"/>
  <c r="P43" i="20"/>
  <c r="P56" i="20"/>
  <c r="P66" i="20"/>
  <c r="P22" i="20"/>
  <c r="P12" i="20"/>
  <c r="P40" i="20"/>
  <c r="P52" i="20"/>
  <c r="P35" i="20"/>
  <c r="P44" i="20"/>
  <c r="P63" i="20"/>
  <c r="P24" i="20"/>
  <c r="P11" i="20"/>
  <c r="P53" i="20"/>
  <c r="P50" i="20"/>
  <c r="P46" i="20"/>
  <c r="P42" i="20"/>
  <c r="P38" i="20"/>
  <c r="P34" i="20"/>
  <c r="P49" i="20"/>
  <c r="P45" i="20"/>
  <c r="P41" i="20"/>
  <c r="P37" i="20"/>
  <c r="P57" i="20"/>
  <c r="P36" i="20"/>
  <c r="P25" i="20"/>
  <c r="P15" i="20"/>
  <c r="P54" i="20"/>
  <c r="Q6" i="20" l="1"/>
  <c r="R6" i="20"/>
  <c r="R2" i="20" s="1"/>
  <c r="S5" i="20"/>
  <c r="P2" i="20"/>
  <c r="S6" i="20" l="1"/>
  <c r="S2" i="20" s="1"/>
  <c r="C2" i="20" s="1"/>
  <c r="Q2" i="20"/>
  <c r="AM55" i="19" l="1"/>
  <c r="AL55" i="19"/>
  <c r="AK55" i="19"/>
  <c r="AJ55" i="19"/>
  <c r="AI55" i="19"/>
  <c r="AH55" i="19"/>
  <c r="AG55" i="19"/>
  <c r="AF55" i="19"/>
  <c r="AE55" i="19"/>
  <c r="AD55" i="19"/>
  <c r="AC55" i="19"/>
  <c r="AA55" i="19"/>
  <c r="S55" i="19"/>
  <c r="R55" i="19"/>
  <c r="Q55" i="19"/>
  <c r="P55" i="19"/>
  <c r="O55" i="19"/>
  <c r="N55" i="19"/>
  <c r="L55" i="19"/>
  <c r="AM54" i="19"/>
  <c r="AL54" i="19"/>
  <c r="AK54" i="19"/>
  <c r="AJ54" i="19"/>
  <c r="AI54" i="19"/>
  <c r="AH54" i="19"/>
  <c r="AG54" i="19"/>
  <c r="AF54" i="19"/>
  <c r="AE54" i="19"/>
  <c r="AD54" i="19"/>
  <c r="AC54" i="19"/>
  <c r="AA54" i="19"/>
  <c r="S54" i="19"/>
  <c r="R54" i="19"/>
  <c r="Q54" i="19"/>
  <c r="P54" i="19"/>
  <c r="O54" i="19"/>
  <c r="N54" i="19"/>
  <c r="L54" i="19"/>
  <c r="AM53" i="19"/>
  <c r="AL53" i="19"/>
  <c r="AK53" i="19"/>
  <c r="AJ53" i="19"/>
  <c r="AI53" i="19"/>
  <c r="AH53" i="19"/>
  <c r="AG53" i="19"/>
  <c r="AF53" i="19"/>
  <c r="AE53" i="19"/>
  <c r="AD53" i="19"/>
  <c r="AC53" i="19"/>
  <c r="AA53" i="19"/>
  <c r="S53" i="19"/>
  <c r="R53" i="19"/>
  <c r="Q53" i="19"/>
  <c r="P53" i="19"/>
  <c r="O53" i="19"/>
  <c r="N53" i="19"/>
  <c r="L53" i="19"/>
  <c r="AM52" i="19"/>
  <c r="AL52" i="19"/>
  <c r="AK52" i="19"/>
  <c r="AJ52" i="19"/>
  <c r="AI52" i="19"/>
  <c r="AH52" i="19"/>
  <c r="AG52" i="19"/>
  <c r="AF52" i="19"/>
  <c r="AE52" i="19"/>
  <c r="AD52" i="19"/>
  <c r="AC52" i="19"/>
  <c r="AA52" i="19"/>
  <c r="S52" i="19"/>
  <c r="R52" i="19"/>
  <c r="Q52" i="19"/>
  <c r="P52" i="19"/>
  <c r="O52" i="19"/>
  <c r="N52" i="19"/>
  <c r="L52" i="19"/>
  <c r="AM51" i="19"/>
  <c r="AL51" i="19"/>
  <c r="AK51" i="19"/>
  <c r="AJ51" i="19"/>
  <c r="AI51" i="19"/>
  <c r="AH51" i="19"/>
  <c r="AG51" i="19"/>
  <c r="AF51" i="19"/>
  <c r="AE51" i="19"/>
  <c r="AD51" i="19"/>
  <c r="AC51" i="19"/>
  <c r="AA51" i="19"/>
  <c r="S51" i="19"/>
  <c r="R51" i="19"/>
  <c r="Q51" i="19"/>
  <c r="P51" i="19"/>
  <c r="O51" i="19"/>
  <c r="N51" i="19"/>
  <c r="L51" i="19"/>
  <c r="AM50" i="19"/>
  <c r="AL50" i="19"/>
  <c r="AK50" i="19"/>
  <c r="AJ50" i="19"/>
  <c r="AI50" i="19"/>
  <c r="AH50" i="19"/>
  <c r="AG50" i="19"/>
  <c r="AF50" i="19"/>
  <c r="AE50" i="19"/>
  <c r="AD50" i="19"/>
  <c r="AC50" i="19"/>
  <c r="AA50" i="19"/>
  <c r="S50" i="19"/>
  <c r="R50" i="19"/>
  <c r="Q50" i="19"/>
  <c r="P50" i="19"/>
  <c r="O50" i="19"/>
  <c r="N50" i="19"/>
  <c r="L50" i="19"/>
  <c r="AM49" i="19"/>
  <c r="AL49" i="19"/>
  <c r="AK49" i="19"/>
  <c r="AJ49" i="19"/>
  <c r="AI49" i="19"/>
  <c r="AH49" i="19"/>
  <c r="AG49" i="19"/>
  <c r="AF49" i="19"/>
  <c r="AE49" i="19"/>
  <c r="AD49" i="19"/>
  <c r="AC49" i="19"/>
  <c r="AA49" i="19"/>
  <c r="S49" i="19"/>
  <c r="R49" i="19"/>
  <c r="Q49" i="19"/>
  <c r="P49" i="19"/>
  <c r="O49" i="19"/>
  <c r="N49" i="19"/>
  <c r="L49" i="19"/>
  <c r="AM48" i="19"/>
  <c r="AL48" i="19"/>
  <c r="AK48" i="19"/>
  <c r="AJ48" i="19"/>
  <c r="AI48" i="19"/>
  <c r="AH48" i="19"/>
  <c r="AG48" i="19"/>
  <c r="AF48" i="19"/>
  <c r="AE48" i="19"/>
  <c r="AD48" i="19"/>
  <c r="AC48" i="19"/>
  <c r="AA48" i="19"/>
  <c r="S48" i="19"/>
  <c r="R48" i="19"/>
  <c r="Q48" i="19"/>
  <c r="P48" i="19"/>
  <c r="O48" i="19"/>
  <c r="N48" i="19"/>
  <c r="L48" i="19"/>
  <c r="AM47" i="19"/>
  <c r="AL47" i="19"/>
  <c r="AK47" i="19"/>
  <c r="AJ47" i="19"/>
  <c r="AI47" i="19"/>
  <c r="AH47" i="19"/>
  <c r="AG47" i="19"/>
  <c r="AF47" i="19"/>
  <c r="AE47" i="19"/>
  <c r="AD47" i="19"/>
  <c r="AC47" i="19"/>
  <c r="AA47" i="19"/>
  <c r="S47" i="19"/>
  <c r="R47" i="19"/>
  <c r="Q47" i="19"/>
  <c r="P47" i="19"/>
  <c r="O47" i="19"/>
  <c r="N47" i="19"/>
  <c r="L47" i="19"/>
  <c r="AM46" i="19"/>
  <c r="AL46" i="19"/>
  <c r="AK46" i="19"/>
  <c r="AJ46" i="19"/>
  <c r="AI46" i="19"/>
  <c r="AH46" i="19"/>
  <c r="AG46" i="19"/>
  <c r="AF46" i="19"/>
  <c r="AE46" i="19"/>
  <c r="AD46" i="19"/>
  <c r="AC46" i="19"/>
  <c r="AA46" i="19"/>
  <c r="S46" i="19"/>
  <c r="R46" i="19"/>
  <c r="Q46" i="19"/>
  <c r="P46" i="19"/>
  <c r="O46" i="19"/>
  <c r="N46" i="19"/>
  <c r="L46" i="19"/>
  <c r="AM45" i="19"/>
  <c r="AL45" i="19"/>
  <c r="AK45" i="19"/>
  <c r="AJ45" i="19"/>
  <c r="AI45" i="19"/>
  <c r="AH45" i="19"/>
  <c r="AG45" i="19"/>
  <c r="AF45" i="19"/>
  <c r="AE45" i="19"/>
  <c r="AD45" i="19"/>
  <c r="AC45" i="19"/>
  <c r="AA45" i="19"/>
  <c r="S45" i="19"/>
  <c r="R45" i="19"/>
  <c r="Q45" i="19"/>
  <c r="P45" i="19"/>
  <c r="O45" i="19"/>
  <c r="N45" i="19"/>
  <c r="L45" i="19"/>
  <c r="AM44" i="19"/>
  <c r="AL44" i="19"/>
  <c r="AK44" i="19"/>
  <c r="AJ44" i="19"/>
  <c r="AI44" i="19"/>
  <c r="AH44" i="19"/>
  <c r="AG44" i="19"/>
  <c r="AF44" i="19"/>
  <c r="AE44" i="19"/>
  <c r="AD44" i="19"/>
  <c r="AC44" i="19"/>
  <c r="AA44" i="19"/>
  <c r="S44" i="19"/>
  <c r="R44" i="19"/>
  <c r="Q44" i="19"/>
  <c r="P44" i="19"/>
  <c r="O44" i="19"/>
  <c r="N44" i="19"/>
  <c r="L44" i="19"/>
  <c r="AM43" i="19"/>
  <c r="AL43" i="19"/>
  <c r="AK43" i="19"/>
  <c r="AJ43" i="19"/>
  <c r="AI43" i="19"/>
  <c r="AH43" i="19"/>
  <c r="AG43" i="19"/>
  <c r="AF43" i="19"/>
  <c r="AE43" i="19"/>
  <c r="AD43" i="19"/>
  <c r="AC43" i="19"/>
  <c r="AA43" i="19"/>
  <c r="S43" i="19"/>
  <c r="R43" i="19"/>
  <c r="Q43" i="19"/>
  <c r="P43" i="19"/>
  <c r="O43" i="19"/>
  <c r="N43" i="19"/>
  <c r="L43" i="19"/>
  <c r="AM42" i="19"/>
  <c r="AL42" i="19"/>
  <c r="AK42" i="19"/>
  <c r="AJ42" i="19"/>
  <c r="AI42" i="19"/>
  <c r="AH42" i="19"/>
  <c r="AG42" i="19"/>
  <c r="AF42" i="19"/>
  <c r="AE42" i="19"/>
  <c r="AD42" i="19"/>
  <c r="AC42" i="19"/>
  <c r="AA42" i="19"/>
  <c r="S42" i="19"/>
  <c r="R42" i="19"/>
  <c r="Q42" i="19"/>
  <c r="P42" i="19"/>
  <c r="O42" i="19"/>
  <c r="N42" i="19"/>
  <c r="L42" i="19"/>
  <c r="AM41" i="19"/>
  <c r="AL41" i="19"/>
  <c r="AK41" i="19"/>
  <c r="AJ41" i="19"/>
  <c r="AI41" i="19"/>
  <c r="AH41" i="19"/>
  <c r="AG41" i="19"/>
  <c r="AF41" i="19"/>
  <c r="AE41" i="19"/>
  <c r="AD41" i="19"/>
  <c r="AC41" i="19"/>
  <c r="AA41" i="19"/>
  <c r="S41" i="19"/>
  <c r="R41" i="19"/>
  <c r="Q41" i="19"/>
  <c r="P41" i="19"/>
  <c r="O41" i="19"/>
  <c r="N41" i="19"/>
  <c r="L41" i="19"/>
  <c r="AM40" i="19"/>
  <c r="AL40" i="19"/>
  <c r="AK40" i="19"/>
  <c r="AJ40" i="19"/>
  <c r="AI40" i="19"/>
  <c r="AH40" i="19"/>
  <c r="AG40" i="19"/>
  <c r="AF40" i="19"/>
  <c r="AE40" i="19"/>
  <c r="AD40" i="19"/>
  <c r="AC40" i="19"/>
  <c r="AA40" i="19"/>
  <c r="S40" i="19"/>
  <c r="R40" i="19"/>
  <c r="Q40" i="19"/>
  <c r="P40" i="19"/>
  <c r="O40" i="19"/>
  <c r="N40" i="19"/>
  <c r="L40" i="19"/>
  <c r="AM39" i="19"/>
  <c r="AL39" i="19"/>
  <c r="AK39" i="19"/>
  <c r="AJ39" i="19"/>
  <c r="AI39" i="19"/>
  <c r="AH39" i="19"/>
  <c r="AG39" i="19"/>
  <c r="AF39" i="19"/>
  <c r="AE39" i="19"/>
  <c r="AD39" i="19"/>
  <c r="AC39" i="19"/>
  <c r="AA39" i="19"/>
  <c r="S39" i="19"/>
  <c r="R39" i="19"/>
  <c r="Q39" i="19"/>
  <c r="P39" i="19"/>
  <c r="O39" i="19"/>
  <c r="N39" i="19"/>
  <c r="L39" i="19"/>
  <c r="AM38" i="19"/>
  <c r="AL38" i="19"/>
  <c r="AK38" i="19"/>
  <c r="AJ38" i="19"/>
  <c r="AI38" i="19"/>
  <c r="AH38" i="19"/>
  <c r="AG38" i="19"/>
  <c r="AF38" i="19"/>
  <c r="AE38" i="19"/>
  <c r="AD38" i="19"/>
  <c r="AC38" i="19"/>
  <c r="AA38" i="19"/>
  <c r="S38" i="19"/>
  <c r="R38" i="19"/>
  <c r="Q38" i="19"/>
  <c r="P38" i="19"/>
  <c r="O38" i="19"/>
  <c r="N38" i="19"/>
  <c r="L38" i="19"/>
  <c r="AM37" i="19"/>
  <c r="AL37" i="19"/>
  <c r="AK37" i="19"/>
  <c r="AJ37" i="19"/>
  <c r="AI37" i="19"/>
  <c r="AH37" i="19"/>
  <c r="AG37" i="19"/>
  <c r="AF37" i="19"/>
  <c r="AE37" i="19"/>
  <c r="AD37" i="19"/>
  <c r="AC37" i="19"/>
  <c r="AA37" i="19"/>
  <c r="S37" i="19"/>
  <c r="R37" i="19"/>
  <c r="Q37" i="19"/>
  <c r="P37" i="19"/>
  <c r="O37" i="19"/>
  <c r="N37" i="19"/>
  <c r="L37" i="19"/>
  <c r="AM36" i="19"/>
  <c r="AL36" i="19"/>
  <c r="AK36" i="19"/>
  <c r="AJ36" i="19"/>
  <c r="AI36" i="19"/>
  <c r="AH36" i="19"/>
  <c r="AG36" i="19"/>
  <c r="AF36" i="19"/>
  <c r="AE36" i="19"/>
  <c r="AD36" i="19"/>
  <c r="AC36" i="19"/>
  <c r="AA36" i="19"/>
  <c r="S36" i="19"/>
  <c r="R36" i="19"/>
  <c r="Q36" i="19"/>
  <c r="P36" i="19"/>
  <c r="O36" i="19"/>
  <c r="N36" i="19"/>
  <c r="L36" i="19"/>
  <c r="AM35" i="19"/>
  <c r="AL35" i="19"/>
  <c r="AK35" i="19"/>
  <c r="AJ35" i="19"/>
  <c r="AI35" i="19"/>
  <c r="AH35" i="19"/>
  <c r="AG35" i="19"/>
  <c r="AF35" i="19"/>
  <c r="AE35" i="19"/>
  <c r="AD35" i="19"/>
  <c r="AC35" i="19"/>
  <c r="AA35" i="19"/>
  <c r="S35" i="19"/>
  <c r="R35" i="19"/>
  <c r="Q35" i="19"/>
  <c r="P35" i="19"/>
  <c r="O35" i="19"/>
  <c r="N35" i="19"/>
  <c r="L35" i="19"/>
  <c r="AM34" i="19"/>
  <c r="AL34" i="19"/>
  <c r="AK34" i="19"/>
  <c r="AJ34" i="19"/>
  <c r="AI34" i="19"/>
  <c r="AH34" i="19"/>
  <c r="AG34" i="19"/>
  <c r="AF34" i="19"/>
  <c r="AE34" i="19"/>
  <c r="AD34" i="19"/>
  <c r="AC34" i="19"/>
  <c r="AA34" i="19"/>
  <c r="S34" i="19"/>
  <c r="R34" i="19"/>
  <c r="Q34" i="19"/>
  <c r="P34" i="19"/>
  <c r="O34" i="19"/>
  <c r="N34" i="19"/>
  <c r="L34" i="19"/>
  <c r="AM33" i="19"/>
  <c r="AL33" i="19"/>
  <c r="AK33" i="19"/>
  <c r="AJ33" i="19"/>
  <c r="AI33" i="19"/>
  <c r="AH33" i="19"/>
  <c r="AG33" i="19"/>
  <c r="AF33" i="19"/>
  <c r="AE33" i="19"/>
  <c r="AD33" i="19"/>
  <c r="AC33" i="19"/>
  <c r="AA33" i="19"/>
  <c r="S33" i="19"/>
  <c r="R33" i="19"/>
  <c r="Q33" i="19"/>
  <c r="P33" i="19"/>
  <c r="O33" i="19"/>
  <c r="N33" i="19"/>
  <c r="L33" i="19"/>
  <c r="AM32" i="19"/>
  <c r="AL32" i="19"/>
  <c r="AK32" i="19"/>
  <c r="AJ32" i="19"/>
  <c r="AI32" i="19"/>
  <c r="AH32" i="19"/>
  <c r="AG32" i="19"/>
  <c r="AF32" i="19"/>
  <c r="AE32" i="19"/>
  <c r="AD32" i="19"/>
  <c r="AC32" i="19"/>
  <c r="AA32" i="19"/>
  <c r="S32" i="19"/>
  <c r="R32" i="19"/>
  <c r="Q32" i="19"/>
  <c r="P32" i="19"/>
  <c r="O32" i="19"/>
  <c r="N32" i="19"/>
  <c r="L32" i="19"/>
  <c r="AM31" i="19"/>
  <c r="AL31" i="19"/>
  <c r="AK31" i="19"/>
  <c r="AJ31" i="19"/>
  <c r="AI31" i="19"/>
  <c r="AH31" i="19"/>
  <c r="AG31" i="19"/>
  <c r="AF31" i="19"/>
  <c r="AE31" i="19"/>
  <c r="AD31" i="19"/>
  <c r="AC31" i="19"/>
  <c r="AA31" i="19"/>
  <c r="S31" i="19"/>
  <c r="R31" i="19"/>
  <c r="Q31" i="19"/>
  <c r="P31" i="19"/>
  <c r="O31" i="19"/>
  <c r="N31" i="19"/>
  <c r="L31" i="19"/>
  <c r="AM30" i="19"/>
  <c r="AL30" i="19"/>
  <c r="AK30" i="19"/>
  <c r="AJ30" i="19"/>
  <c r="AI30" i="19"/>
  <c r="AH30" i="19"/>
  <c r="AG30" i="19"/>
  <c r="AF30" i="19"/>
  <c r="AE30" i="19"/>
  <c r="AD30" i="19"/>
  <c r="AC30" i="19"/>
  <c r="AA30" i="19"/>
  <c r="S30" i="19"/>
  <c r="R30" i="19"/>
  <c r="Q30" i="19"/>
  <c r="P30" i="19"/>
  <c r="O30" i="19"/>
  <c r="N30" i="19"/>
  <c r="L30" i="19"/>
  <c r="AM29" i="19"/>
  <c r="AL29" i="19"/>
  <c r="AK29" i="19"/>
  <c r="AJ29" i="19"/>
  <c r="AI29" i="19"/>
  <c r="AH29" i="19"/>
  <c r="AG29" i="19"/>
  <c r="AF29" i="19"/>
  <c r="AE29" i="19"/>
  <c r="AD29" i="19"/>
  <c r="AC29" i="19"/>
  <c r="AA29" i="19"/>
  <c r="S29" i="19"/>
  <c r="R29" i="19"/>
  <c r="Q29" i="19"/>
  <c r="P29" i="19"/>
  <c r="O29" i="19"/>
  <c r="N29" i="19"/>
  <c r="L29" i="19"/>
  <c r="AM28" i="19"/>
  <c r="AL28" i="19"/>
  <c r="AK28" i="19"/>
  <c r="AJ28" i="19"/>
  <c r="AI28" i="19"/>
  <c r="AH28" i="19"/>
  <c r="AG28" i="19"/>
  <c r="AF28" i="19"/>
  <c r="AE28" i="19"/>
  <c r="AD28" i="19"/>
  <c r="AC28" i="19"/>
  <c r="AA28" i="19"/>
  <c r="S28" i="19"/>
  <c r="R28" i="19"/>
  <c r="Q28" i="19"/>
  <c r="P28" i="19"/>
  <c r="O28" i="19"/>
  <c r="N28" i="19"/>
  <c r="L28" i="19"/>
  <c r="AM27" i="19"/>
  <c r="AL27" i="19"/>
  <c r="AK27" i="19"/>
  <c r="AJ27" i="19"/>
  <c r="AI27" i="19"/>
  <c r="AH27" i="19"/>
  <c r="AG27" i="19"/>
  <c r="AF27" i="19"/>
  <c r="AE27" i="19"/>
  <c r="AD27" i="19"/>
  <c r="AC27" i="19"/>
  <c r="AA27" i="19"/>
  <c r="S27" i="19"/>
  <c r="R27" i="19"/>
  <c r="Q27" i="19"/>
  <c r="P27" i="19"/>
  <c r="O27" i="19"/>
  <c r="N27" i="19"/>
  <c r="L27" i="19"/>
  <c r="AM26" i="19"/>
  <c r="AL26" i="19"/>
  <c r="AK26" i="19"/>
  <c r="AJ26" i="19"/>
  <c r="AI26" i="19"/>
  <c r="AH26" i="19"/>
  <c r="AG26" i="19"/>
  <c r="AF26" i="19"/>
  <c r="AE26" i="19"/>
  <c r="AD26" i="19"/>
  <c r="AC26" i="19"/>
  <c r="AA26" i="19"/>
  <c r="S26" i="19"/>
  <c r="R26" i="19"/>
  <c r="Q26" i="19"/>
  <c r="P26" i="19"/>
  <c r="O26" i="19"/>
  <c r="N26" i="19"/>
  <c r="L26" i="19"/>
  <c r="AM25" i="19"/>
  <c r="AL25" i="19"/>
  <c r="AK25" i="19"/>
  <c r="AJ25" i="19"/>
  <c r="AI25" i="19"/>
  <c r="AH25" i="19"/>
  <c r="AG25" i="19"/>
  <c r="AF25" i="19"/>
  <c r="AE25" i="19"/>
  <c r="AD25" i="19"/>
  <c r="AC25" i="19"/>
  <c r="AA25" i="19"/>
  <c r="S25" i="19"/>
  <c r="R25" i="19"/>
  <c r="Q25" i="19"/>
  <c r="P25" i="19"/>
  <c r="O25" i="19"/>
  <c r="N25" i="19"/>
  <c r="L25" i="19"/>
  <c r="AM24" i="19"/>
  <c r="AL24" i="19"/>
  <c r="AK24" i="19"/>
  <c r="AJ24" i="19"/>
  <c r="AI24" i="19"/>
  <c r="AH24" i="19"/>
  <c r="AG24" i="19"/>
  <c r="AF24" i="19"/>
  <c r="AE24" i="19"/>
  <c r="AD24" i="19"/>
  <c r="AC24" i="19"/>
  <c r="AA24" i="19"/>
  <c r="S24" i="19"/>
  <c r="R24" i="19"/>
  <c r="Q24" i="19"/>
  <c r="P24" i="19"/>
  <c r="O24" i="19"/>
  <c r="N24" i="19"/>
  <c r="L24" i="19"/>
  <c r="AM23" i="19"/>
  <c r="AL23" i="19"/>
  <c r="AK23" i="19"/>
  <c r="AJ23" i="19"/>
  <c r="AI23" i="19"/>
  <c r="AH23" i="19"/>
  <c r="AG23" i="19"/>
  <c r="AF23" i="19"/>
  <c r="AE23" i="19"/>
  <c r="AD23" i="19"/>
  <c r="AC23" i="19"/>
  <c r="AA23" i="19"/>
  <c r="S23" i="19"/>
  <c r="R23" i="19"/>
  <c r="Q23" i="19"/>
  <c r="P23" i="19"/>
  <c r="O23" i="19"/>
  <c r="N23" i="19"/>
  <c r="L23" i="19"/>
  <c r="AM22" i="19"/>
  <c r="AL22" i="19"/>
  <c r="AK22" i="19"/>
  <c r="AJ22" i="19"/>
  <c r="AI22" i="19"/>
  <c r="AH22" i="19"/>
  <c r="AG22" i="19"/>
  <c r="AF22" i="19"/>
  <c r="AE22" i="19"/>
  <c r="AD22" i="19"/>
  <c r="AC22" i="19"/>
  <c r="AA22" i="19"/>
  <c r="S22" i="19"/>
  <c r="R22" i="19"/>
  <c r="Q22" i="19"/>
  <c r="P22" i="19"/>
  <c r="O22" i="19"/>
  <c r="N22" i="19"/>
  <c r="L22" i="19"/>
  <c r="AM21" i="19"/>
  <c r="AL21" i="19"/>
  <c r="AK21" i="19"/>
  <c r="AJ21" i="19"/>
  <c r="AI21" i="19"/>
  <c r="AH21" i="19"/>
  <c r="AG21" i="19"/>
  <c r="AF21" i="19"/>
  <c r="AE21" i="19"/>
  <c r="AD21" i="19"/>
  <c r="AC21" i="19"/>
  <c r="AA21" i="19"/>
  <c r="S21" i="19"/>
  <c r="R21" i="19"/>
  <c r="Q21" i="19"/>
  <c r="P21" i="19"/>
  <c r="O21" i="19"/>
  <c r="N21" i="19"/>
  <c r="L21" i="19"/>
  <c r="AM20" i="19"/>
  <c r="AL20" i="19"/>
  <c r="AK20" i="19"/>
  <c r="AJ20" i="19"/>
  <c r="AI20" i="19"/>
  <c r="AH20" i="19"/>
  <c r="AG20" i="19"/>
  <c r="AF20" i="19"/>
  <c r="AE20" i="19"/>
  <c r="AD20" i="19"/>
  <c r="AC20" i="19"/>
  <c r="AA20" i="19"/>
  <c r="S20" i="19"/>
  <c r="R20" i="19"/>
  <c r="Q20" i="19"/>
  <c r="P20" i="19"/>
  <c r="O20" i="19"/>
  <c r="N20" i="19"/>
  <c r="L20" i="19"/>
  <c r="AM19" i="19"/>
  <c r="AL19" i="19"/>
  <c r="AK19" i="19"/>
  <c r="AJ19" i="19"/>
  <c r="AI19" i="19"/>
  <c r="AH19" i="19"/>
  <c r="AG19" i="19"/>
  <c r="AF19" i="19"/>
  <c r="AE19" i="19"/>
  <c r="AD19" i="19"/>
  <c r="AC19" i="19"/>
  <c r="AA19" i="19"/>
  <c r="S19" i="19"/>
  <c r="R19" i="19"/>
  <c r="Q19" i="19"/>
  <c r="P19" i="19"/>
  <c r="O19" i="19"/>
  <c r="N19" i="19"/>
  <c r="L19" i="19"/>
  <c r="AM18" i="19"/>
  <c r="AL18" i="19"/>
  <c r="AK18" i="19"/>
  <c r="AJ18" i="19"/>
  <c r="AI18" i="19"/>
  <c r="AH18" i="19"/>
  <c r="AG18" i="19"/>
  <c r="AF18" i="19"/>
  <c r="AE18" i="19"/>
  <c r="AD18" i="19"/>
  <c r="AC18" i="19"/>
  <c r="AA18" i="19"/>
  <c r="S18" i="19"/>
  <c r="R18" i="19"/>
  <c r="Q18" i="19"/>
  <c r="P18" i="19"/>
  <c r="O18" i="19"/>
  <c r="N18" i="19"/>
  <c r="L18" i="19"/>
  <c r="AM17" i="19"/>
  <c r="AL17" i="19"/>
  <c r="AK17" i="19"/>
  <c r="AJ17" i="19"/>
  <c r="AI17" i="19"/>
  <c r="AH17" i="19"/>
  <c r="AG17" i="19"/>
  <c r="AF17" i="19"/>
  <c r="AE17" i="19"/>
  <c r="AD17" i="19"/>
  <c r="AC17" i="19"/>
  <c r="AA17" i="19"/>
  <c r="S17" i="19"/>
  <c r="R17" i="19"/>
  <c r="Q17" i="19"/>
  <c r="P17" i="19"/>
  <c r="O17" i="19"/>
  <c r="N17" i="19"/>
  <c r="L17" i="19"/>
  <c r="AM16" i="19"/>
  <c r="AL16" i="19"/>
  <c r="AK16" i="19"/>
  <c r="AJ16" i="19"/>
  <c r="AI16" i="19"/>
  <c r="AH16" i="19"/>
  <c r="AG16" i="19"/>
  <c r="AF16" i="19"/>
  <c r="AE16" i="19"/>
  <c r="AD16" i="19"/>
  <c r="AC16" i="19"/>
  <c r="AA16" i="19"/>
  <c r="S16" i="19"/>
  <c r="R16" i="19"/>
  <c r="Q16" i="19"/>
  <c r="P16" i="19"/>
  <c r="O16" i="19"/>
  <c r="N16" i="19"/>
  <c r="L16" i="19"/>
  <c r="AM15" i="19"/>
  <c r="AL15" i="19"/>
  <c r="AK15" i="19"/>
  <c r="AJ15" i="19"/>
  <c r="AI15" i="19"/>
  <c r="AH15" i="19"/>
  <c r="AG15" i="19"/>
  <c r="AF15" i="19"/>
  <c r="AE15" i="19"/>
  <c r="AD15" i="19"/>
  <c r="AC15" i="19"/>
  <c r="AA15" i="19"/>
  <c r="S15" i="19"/>
  <c r="R15" i="19"/>
  <c r="Q15" i="19"/>
  <c r="P15" i="19"/>
  <c r="O15" i="19"/>
  <c r="N15" i="19"/>
  <c r="L15" i="19"/>
  <c r="AM14" i="19"/>
  <c r="AL14" i="19"/>
  <c r="AK14" i="19"/>
  <c r="AJ14" i="19"/>
  <c r="AI14" i="19"/>
  <c r="AH14" i="19"/>
  <c r="AG14" i="19"/>
  <c r="AF14" i="19"/>
  <c r="AE14" i="19"/>
  <c r="AD14" i="19"/>
  <c r="AC14" i="19"/>
  <c r="AA14" i="19"/>
  <c r="S14" i="19"/>
  <c r="R14" i="19"/>
  <c r="Q14" i="19"/>
  <c r="P14" i="19"/>
  <c r="O14" i="19"/>
  <c r="N14" i="19"/>
  <c r="L14" i="19"/>
  <c r="AM13" i="19"/>
  <c r="AL13" i="19"/>
  <c r="AK13" i="19"/>
  <c r="AJ13" i="19"/>
  <c r="AI13" i="19"/>
  <c r="AH13" i="19"/>
  <c r="AG13" i="19"/>
  <c r="AF13" i="19"/>
  <c r="AE13" i="19"/>
  <c r="AD13" i="19"/>
  <c r="AC13" i="19"/>
  <c r="AA13" i="19"/>
  <c r="S13" i="19"/>
  <c r="R13" i="19"/>
  <c r="Q13" i="19"/>
  <c r="P13" i="19"/>
  <c r="O13" i="19"/>
  <c r="N13" i="19"/>
  <c r="L13" i="19"/>
  <c r="AM12" i="19"/>
  <c r="AL12" i="19"/>
  <c r="AK12" i="19"/>
  <c r="AJ12" i="19"/>
  <c r="AI12" i="19"/>
  <c r="AH12" i="19"/>
  <c r="AG12" i="19"/>
  <c r="AF12" i="19"/>
  <c r="AE12" i="19"/>
  <c r="AD12" i="19"/>
  <c r="AC12" i="19"/>
  <c r="AA12" i="19"/>
  <c r="S12" i="19"/>
  <c r="R12" i="19"/>
  <c r="Q12" i="19"/>
  <c r="P12" i="19"/>
  <c r="O12" i="19"/>
  <c r="N12" i="19"/>
  <c r="L12" i="19"/>
  <c r="AM11" i="19"/>
  <c r="AL11" i="19"/>
  <c r="AK11" i="19"/>
  <c r="AJ11" i="19"/>
  <c r="AI11" i="19"/>
  <c r="AH11" i="19"/>
  <c r="AG11" i="19"/>
  <c r="AF11" i="19"/>
  <c r="AE11" i="19"/>
  <c r="AD11" i="19"/>
  <c r="AC11" i="19"/>
  <c r="AA11" i="19"/>
  <c r="S11" i="19"/>
  <c r="R11" i="19"/>
  <c r="Q11" i="19"/>
  <c r="P11" i="19"/>
  <c r="O11" i="19"/>
  <c r="N11" i="19"/>
  <c r="L11" i="19"/>
  <c r="AM10" i="19"/>
  <c r="AL10" i="19"/>
  <c r="AK10" i="19"/>
  <c r="AJ10" i="19"/>
  <c r="AI10" i="19"/>
  <c r="AH10" i="19"/>
  <c r="AG10" i="19"/>
  <c r="AF10" i="19"/>
  <c r="AE10" i="19"/>
  <c r="AD10" i="19"/>
  <c r="AC10" i="19"/>
  <c r="AA10" i="19"/>
  <c r="S10" i="19"/>
  <c r="R10" i="19"/>
  <c r="Q10" i="19"/>
  <c r="P10" i="19"/>
  <c r="O10" i="19"/>
  <c r="N10" i="19"/>
  <c r="L10" i="19"/>
  <c r="AM9" i="19"/>
  <c r="AL9" i="19"/>
  <c r="AK9" i="19"/>
  <c r="AJ9" i="19"/>
  <c r="AI9" i="19"/>
  <c r="AH9" i="19"/>
  <c r="AG9" i="19"/>
  <c r="AF9" i="19"/>
  <c r="AE9" i="19"/>
  <c r="AD9" i="19"/>
  <c r="AC9" i="19"/>
  <c r="AA9" i="19"/>
  <c r="S9" i="19"/>
  <c r="R9" i="19"/>
  <c r="Q9" i="19"/>
  <c r="P9" i="19"/>
  <c r="O9" i="19"/>
  <c r="N9" i="19"/>
  <c r="L9" i="19"/>
  <c r="AM8" i="19"/>
  <c r="AL8" i="19"/>
  <c r="AK8" i="19"/>
  <c r="AJ8" i="19"/>
  <c r="AI8" i="19"/>
  <c r="AH8" i="19"/>
  <c r="AG8" i="19"/>
  <c r="AF8" i="19"/>
  <c r="AE8" i="19"/>
  <c r="AD8" i="19"/>
  <c r="AC8" i="19"/>
  <c r="AA8" i="19"/>
  <c r="S8" i="19"/>
  <c r="R8" i="19"/>
  <c r="Q8" i="19"/>
  <c r="P8" i="19"/>
  <c r="O8" i="19"/>
  <c r="N8" i="19"/>
  <c r="L8" i="19"/>
  <c r="AM7" i="19"/>
  <c r="AL7" i="19"/>
  <c r="AK7" i="19"/>
  <c r="AJ7" i="19"/>
  <c r="AI7" i="19"/>
  <c r="AH7" i="19"/>
  <c r="AG7" i="19"/>
  <c r="AF7" i="19"/>
  <c r="AE7" i="19"/>
  <c r="AD7" i="19"/>
  <c r="AC7" i="19"/>
  <c r="AA7" i="19"/>
  <c r="S7" i="19"/>
  <c r="R7" i="19"/>
  <c r="Q7" i="19"/>
  <c r="P7" i="19"/>
  <c r="O7" i="19"/>
  <c r="N7" i="19"/>
  <c r="L7" i="19"/>
  <c r="AI6" i="19"/>
  <c r="AH6" i="19"/>
  <c r="AG6" i="19"/>
  <c r="AF6" i="19"/>
  <c r="AE6" i="19"/>
  <c r="AD6" i="19"/>
  <c r="O6" i="19"/>
  <c r="AM6" i="19"/>
  <c r="AL6" i="19"/>
  <c r="AK6" i="19"/>
  <c r="AJ6" i="19"/>
  <c r="S6" i="19"/>
  <c r="R6" i="19"/>
  <c r="Q6" i="19"/>
  <c r="P6" i="19"/>
  <c r="AC6" i="19"/>
  <c r="AA6" i="19"/>
  <c r="N6" i="19"/>
  <c r="L6" i="19"/>
  <c r="AU1" i="19" l="1"/>
  <c r="AN6" i="19"/>
  <c r="AN1" i="19" s="1"/>
  <c r="T17" i="19"/>
  <c r="T25" i="19"/>
  <c r="AN9" i="19"/>
  <c r="T12" i="19"/>
  <c r="T32" i="19"/>
  <c r="T13" i="19"/>
  <c r="T29" i="19"/>
  <c r="T33" i="19"/>
  <c r="AN36" i="19"/>
  <c r="T37" i="19"/>
  <c r="T18" i="19"/>
  <c r="AN19" i="19"/>
  <c r="T20" i="19"/>
  <c r="T24" i="19"/>
  <c r="AN26" i="19"/>
  <c r="T51" i="19"/>
  <c r="AN13" i="19"/>
  <c r="T16" i="19"/>
  <c r="AN30" i="19"/>
  <c r="AN46" i="19"/>
  <c r="AN54" i="19"/>
  <c r="AN25" i="19"/>
  <c r="T28" i="19"/>
  <c r="T36" i="19"/>
  <c r="T40" i="19"/>
  <c r="T44" i="19"/>
  <c r="T48" i="19"/>
  <c r="AN49" i="19"/>
  <c r="T50" i="19"/>
  <c r="AN51" i="19"/>
  <c r="T52" i="19"/>
  <c r="AN55" i="19"/>
  <c r="T9" i="19"/>
  <c r="AN20" i="19"/>
  <c r="T21" i="19"/>
  <c r="AN8" i="19"/>
  <c r="T8" i="19"/>
  <c r="AN14" i="19"/>
  <c r="AN16" i="19"/>
  <c r="AN21" i="19"/>
  <c r="AN32" i="19"/>
  <c r="AN41" i="19"/>
  <c r="T42" i="19"/>
  <c r="AN43" i="19"/>
  <c r="T10" i="19"/>
  <c r="AN11" i="19"/>
  <c r="T19" i="19"/>
  <c r="T26" i="19"/>
  <c r="AN27" i="19"/>
  <c r="T35" i="19"/>
  <c r="AN45" i="19"/>
  <c r="T46" i="19"/>
  <c r="AN47" i="19"/>
  <c r="AN50" i="19"/>
  <c r="T55" i="19"/>
  <c r="T7" i="19"/>
  <c r="T14" i="19"/>
  <c r="AN15" i="19"/>
  <c r="T23" i="19"/>
  <c r="T30" i="19"/>
  <c r="AN31" i="19"/>
  <c r="T39" i="19"/>
  <c r="AN53" i="19"/>
  <c r="T54" i="19"/>
  <c r="AN18" i="19"/>
  <c r="AN24" i="19"/>
  <c r="AN29" i="19"/>
  <c r="AN34" i="19"/>
  <c r="AN40" i="19"/>
  <c r="T41" i="19"/>
  <c r="T11" i="19"/>
  <c r="T27" i="19"/>
  <c r="AN33" i="19"/>
  <c r="T34" i="19"/>
  <c r="AN35" i="19"/>
  <c r="AN44" i="19"/>
  <c r="T45" i="19"/>
  <c r="AN10" i="19"/>
  <c r="AN12" i="19"/>
  <c r="AN17" i="19"/>
  <c r="AN22" i="19"/>
  <c r="AN28" i="19"/>
  <c r="AN38" i="19"/>
  <c r="T43" i="19"/>
  <c r="AN48" i="19"/>
  <c r="T49" i="19"/>
  <c r="T15" i="19"/>
  <c r="T22" i="19"/>
  <c r="AN23" i="19"/>
  <c r="T31" i="19"/>
  <c r="AN37" i="19"/>
  <c r="T38" i="19"/>
  <c r="AN39" i="19"/>
  <c r="AN42" i="19"/>
  <c r="T47" i="19"/>
  <c r="AN52" i="19"/>
  <c r="T53" i="19"/>
  <c r="AN7" i="19"/>
  <c r="T6" i="19"/>
  <c r="M849" i="6"/>
  <c r="C90" i="18"/>
  <c r="E100" i="18"/>
  <c r="AV18" i="19" l="1"/>
  <c r="AV49" i="19"/>
  <c r="AV16" i="19"/>
  <c r="AV26" i="19"/>
  <c r="AV33" i="19"/>
  <c r="AV32" i="19"/>
  <c r="AV42" i="19"/>
  <c r="AV17" i="19"/>
  <c r="AV40" i="19"/>
  <c r="AV50" i="19"/>
  <c r="AV41" i="19"/>
  <c r="AV24" i="19"/>
  <c r="AV34" i="19"/>
  <c r="AV25" i="19"/>
  <c r="AV48" i="19"/>
  <c r="AV55" i="19"/>
  <c r="AV23" i="19"/>
  <c r="AV36" i="19"/>
  <c r="AV13" i="19"/>
  <c r="AV27" i="19"/>
  <c r="AV22" i="19"/>
  <c r="AV47" i="19"/>
  <c r="AV44" i="19"/>
  <c r="AV21" i="19"/>
  <c r="AV14" i="19"/>
  <c r="AV38" i="19"/>
  <c r="AV15" i="19"/>
  <c r="AV46" i="19"/>
  <c r="AV19" i="19"/>
  <c r="AV52" i="19"/>
  <c r="AV29" i="19"/>
  <c r="AV45" i="19"/>
  <c r="AV30" i="19"/>
  <c r="AV39" i="19"/>
  <c r="AV37" i="19"/>
  <c r="AV35" i="19"/>
  <c r="AV51" i="19"/>
  <c r="AV53" i="19"/>
  <c r="AV11" i="19"/>
  <c r="AV54" i="19"/>
  <c r="AV20" i="19"/>
  <c r="AV31" i="19"/>
  <c r="AV12" i="19"/>
  <c r="AV28" i="19"/>
  <c r="AV43" i="19"/>
  <c r="AV6" i="19"/>
  <c r="AV10" i="19"/>
  <c r="AV8" i="19"/>
  <c r="AV9" i="19"/>
  <c r="AV7" i="19"/>
  <c r="U1546" i="6"/>
  <c r="T1" i="19"/>
  <c r="E2" i="18"/>
  <c r="E3" i="18" s="1"/>
  <c r="U760" i="6"/>
  <c r="U759" i="6"/>
  <c r="U758" i="6"/>
  <c r="U757" i="6"/>
  <c r="U756" i="6"/>
  <c r="U755" i="6"/>
  <c r="U754" i="6"/>
  <c r="E8" i="18"/>
  <c r="BP8" i="18"/>
  <c r="BO8" i="18"/>
  <c r="BN8" i="18"/>
  <c r="BM8" i="18"/>
  <c r="BL8" i="18"/>
  <c r="BK8" i="18"/>
  <c r="BJ8" i="18"/>
  <c r="BI8" i="18"/>
  <c r="BH8" i="18"/>
  <c r="BG8" i="18"/>
  <c r="BF8" i="18"/>
  <c r="BE8" i="18"/>
  <c r="BD8" i="18"/>
  <c r="BC8" i="18"/>
  <c r="BB8" i="18"/>
  <c r="BA8" i="18"/>
  <c r="AZ8" i="18"/>
  <c r="AY8" i="18"/>
  <c r="AX8" i="18"/>
  <c r="AW8" i="18"/>
  <c r="AV8" i="18"/>
  <c r="AU8" i="18"/>
  <c r="AT8" i="18"/>
  <c r="AS8" i="18"/>
  <c r="AR8" i="18"/>
  <c r="AQ8" i="18"/>
  <c r="AP8" i="18"/>
  <c r="AO8" i="18"/>
  <c r="AN8" i="18"/>
  <c r="AM8" i="18"/>
  <c r="AL8" i="18"/>
  <c r="AK8" i="18"/>
  <c r="AJ8" i="18"/>
  <c r="AI8" i="18"/>
  <c r="AG8" i="18"/>
  <c r="AF8" i="18"/>
  <c r="AE8" i="18"/>
  <c r="AD8" i="18"/>
  <c r="AA8" i="18"/>
  <c r="Z8" i="18"/>
  <c r="Y8" i="18"/>
  <c r="X8" i="18"/>
  <c r="V8" i="18"/>
  <c r="U8" i="18"/>
  <c r="T8" i="18"/>
  <c r="S8" i="18"/>
  <c r="R8" i="18"/>
  <c r="Q8" i="18"/>
  <c r="O8" i="18"/>
  <c r="M8" i="18"/>
  <c r="L8" i="18"/>
  <c r="K8" i="18"/>
  <c r="J8" i="18"/>
  <c r="H8" i="18"/>
  <c r="G8" i="18"/>
  <c r="BP12" i="18"/>
  <c r="BO12" i="18"/>
  <c r="BN12" i="18"/>
  <c r="BM12" i="18"/>
  <c r="BL12" i="18"/>
  <c r="BK12" i="18"/>
  <c r="BJ12" i="18"/>
  <c r="BI12" i="18"/>
  <c r="BH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U12" i="18"/>
  <c r="AT12" i="18"/>
  <c r="AS12" i="18"/>
  <c r="AR12" i="18"/>
  <c r="AQ12" i="18"/>
  <c r="AP12" i="18"/>
  <c r="AO12" i="18"/>
  <c r="AN12" i="18"/>
  <c r="AM12" i="18"/>
  <c r="AL12" i="18"/>
  <c r="AK12" i="18"/>
  <c r="AJ12" i="18"/>
  <c r="AI12" i="18"/>
  <c r="AG12" i="18"/>
  <c r="AF12" i="18"/>
  <c r="AE12" i="18"/>
  <c r="AD12" i="18"/>
  <c r="AA12" i="18"/>
  <c r="Z12" i="18"/>
  <c r="Y12" i="18"/>
  <c r="X12" i="18"/>
  <c r="V12" i="18"/>
  <c r="U12" i="18"/>
  <c r="T12" i="18"/>
  <c r="S12" i="18"/>
  <c r="R12" i="18"/>
  <c r="Q12" i="18"/>
  <c r="O12" i="18"/>
  <c r="M12" i="18"/>
  <c r="L12" i="18"/>
  <c r="K12" i="18"/>
  <c r="J12" i="18"/>
  <c r="H12" i="18"/>
  <c r="G12" i="18"/>
  <c r="F2" i="18"/>
  <c r="F3" i="18" s="1"/>
  <c r="G2" i="18"/>
  <c r="G3" i="18" s="1"/>
  <c r="H2" i="18"/>
  <c r="H3" i="18" s="1"/>
  <c r="I2" i="18"/>
  <c r="I3" i="18" s="1"/>
  <c r="J2" i="18"/>
  <c r="J3" i="18" s="1"/>
  <c r="K2" i="18"/>
  <c r="K3" i="18" s="1"/>
  <c r="L2" i="18"/>
  <c r="L3" i="18" s="1"/>
  <c r="M2" i="18"/>
  <c r="M3" i="18" s="1"/>
  <c r="N2" i="18"/>
  <c r="N3" i="18" s="1"/>
  <c r="O2" i="18"/>
  <c r="O3" i="18" s="1"/>
  <c r="P2" i="18"/>
  <c r="P3" i="18" s="1"/>
  <c r="Q2" i="18"/>
  <c r="Q3" i="18" s="1"/>
  <c r="R2" i="18"/>
  <c r="R3" i="18" s="1"/>
  <c r="S2" i="18"/>
  <c r="S3" i="18" s="1"/>
  <c r="T2" i="18"/>
  <c r="T3" i="18" s="1"/>
  <c r="U2" i="18"/>
  <c r="U3" i="18" s="1"/>
  <c r="V2" i="18"/>
  <c r="V3" i="18" s="1"/>
  <c r="W2" i="18"/>
  <c r="W3" i="18" s="1"/>
  <c r="X2" i="18"/>
  <c r="X3" i="18" s="1"/>
  <c r="Y2" i="18"/>
  <c r="Y3" i="18" s="1"/>
  <c r="Z2" i="18"/>
  <c r="Z3" i="18" s="1"/>
  <c r="AA2" i="18"/>
  <c r="AA3" i="18" s="1"/>
  <c r="AB2" i="18"/>
  <c r="AB3" i="18" s="1"/>
  <c r="AC2" i="18"/>
  <c r="AC3" i="18" s="1"/>
  <c r="AD2" i="18"/>
  <c r="AD3" i="18" s="1"/>
  <c r="AE2" i="18"/>
  <c r="AE3" i="18" s="1"/>
  <c r="AF2" i="18"/>
  <c r="AF3" i="18" s="1"/>
  <c r="AG2" i="18"/>
  <c r="AG3" i="18" s="1"/>
  <c r="AH2" i="18"/>
  <c r="AH3" i="18" s="1"/>
  <c r="AI2" i="18"/>
  <c r="AI3" i="18" s="1"/>
  <c r="AJ2" i="18"/>
  <c r="AJ3" i="18" s="1"/>
  <c r="AK2" i="18"/>
  <c r="AK3" i="18" s="1"/>
  <c r="AL2" i="18"/>
  <c r="AL3" i="18" s="1"/>
  <c r="AM2" i="18"/>
  <c r="AM3" i="18" s="1"/>
  <c r="AN2" i="18"/>
  <c r="AN3" i="18" s="1"/>
  <c r="AO2" i="18"/>
  <c r="AO3" i="18" s="1"/>
  <c r="AP2" i="18"/>
  <c r="AP3" i="18" s="1"/>
  <c r="AQ2" i="18"/>
  <c r="AQ3" i="18" s="1"/>
  <c r="AR2" i="18"/>
  <c r="AR3" i="18" s="1"/>
  <c r="AS2" i="18"/>
  <c r="AS3" i="18" s="1"/>
  <c r="AT2" i="18"/>
  <c r="AT3" i="18" s="1"/>
  <c r="AU2" i="18"/>
  <c r="AU3" i="18" s="1"/>
  <c r="AV2" i="18"/>
  <c r="AV3" i="18" s="1"/>
  <c r="AW2" i="18"/>
  <c r="AW3" i="18" s="1"/>
  <c r="AX2" i="18"/>
  <c r="AX3" i="18" s="1"/>
  <c r="AY2" i="18"/>
  <c r="AY3" i="18" s="1"/>
  <c r="AZ2" i="18"/>
  <c r="AZ3" i="18" s="1"/>
  <c r="BA2" i="18"/>
  <c r="BA3" i="18" s="1"/>
  <c r="BB2" i="18"/>
  <c r="BB3" i="18" s="1"/>
  <c r="BC2" i="18"/>
  <c r="BC3" i="18" s="1"/>
  <c r="BD2" i="18"/>
  <c r="BD3" i="18" s="1"/>
  <c r="BE2" i="18"/>
  <c r="BE3" i="18" s="1"/>
  <c r="BF2" i="18"/>
  <c r="BF3" i="18" s="1"/>
  <c r="BG2" i="18"/>
  <c r="BG3" i="18" s="1"/>
  <c r="BH2" i="18"/>
  <c r="BH3" i="18" s="1"/>
  <c r="BI2" i="18"/>
  <c r="BI3" i="18" s="1"/>
  <c r="BJ2" i="18"/>
  <c r="BJ3" i="18" s="1"/>
  <c r="BK2" i="18"/>
  <c r="BK3" i="18" s="1"/>
  <c r="BL2" i="18"/>
  <c r="BL3" i="18" s="1"/>
  <c r="BM2" i="18"/>
  <c r="BM3" i="18" s="1"/>
  <c r="BN2" i="18"/>
  <c r="BN3" i="18" s="1"/>
  <c r="BO2" i="18"/>
  <c r="BO3" i="18" s="1"/>
  <c r="BP2" i="18"/>
  <c r="BP3" i="18" s="1"/>
  <c r="T4" i="18" l="1"/>
  <c r="AZ4" i="18"/>
  <c r="L4" i="18"/>
  <c r="BO4" i="18"/>
  <c r="BG4" i="18"/>
  <c r="AY4" i="18"/>
  <c r="AQ4" i="18"/>
  <c r="AI4" i="18"/>
  <c r="AA4" i="18"/>
  <c r="S4" i="18"/>
  <c r="K4" i="18"/>
  <c r="BP4" i="18"/>
  <c r="AB4" i="18"/>
  <c r="AP4" i="18"/>
  <c r="J4" i="18"/>
  <c r="BM4" i="18"/>
  <c r="BE4" i="18"/>
  <c r="AW4" i="18"/>
  <c r="AO4" i="18"/>
  <c r="AG4" i="18"/>
  <c r="Y4" i="18"/>
  <c r="Q4" i="18"/>
  <c r="I4" i="18"/>
  <c r="BH4" i="18"/>
  <c r="AJ4" i="18"/>
  <c r="BN4" i="18"/>
  <c r="Z4" i="18"/>
  <c r="AV4" i="18"/>
  <c r="X4" i="18"/>
  <c r="P4" i="18"/>
  <c r="H4" i="18"/>
  <c r="E4" i="18"/>
  <c r="AX4" i="18"/>
  <c r="AF4" i="18"/>
  <c r="BC4" i="18"/>
  <c r="AM4" i="18"/>
  <c r="AE4" i="18"/>
  <c r="W4" i="18"/>
  <c r="O4" i="18"/>
  <c r="G4" i="18"/>
  <c r="AR4" i="18"/>
  <c r="BF4" i="18"/>
  <c r="R4" i="18"/>
  <c r="BD4" i="18"/>
  <c r="BK4" i="18"/>
  <c r="BJ4" i="18"/>
  <c r="BB4" i="18"/>
  <c r="AT4" i="18"/>
  <c r="AL4" i="18"/>
  <c r="AD4" i="18"/>
  <c r="V4" i="18"/>
  <c r="N4" i="18"/>
  <c r="F4" i="18"/>
  <c r="AH4" i="18"/>
  <c r="BL4" i="18"/>
  <c r="AN4" i="18"/>
  <c r="AU4" i="18"/>
  <c r="BI4" i="18"/>
  <c r="BA4" i="18"/>
  <c r="AS4" i="18"/>
  <c r="AK4" i="18"/>
  <c r="AC4" i="18"/>
  <c r="U4" i="18"/>
  <c r="M4" i="18"/>
  <c r="F21" i="18"/>
  <c r="BP71" i="18"/>
  <c r="BO71" i="18"/>
  <c r="BN71" i="18"/>
  <c r="BM71" i="18"/>
  <c r="BL71" i="18"/>
  <c r="BK71" i="18"/>
  <c r="BJ71" i="18"/>
  <c r="BI71" i="18"/>
  <c r="BH71" i="18"/>
  <c r="BG71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L71" i="18"/>
  <c r="AK71" i="18"/>
  <c r="AJ71" i="18"/>
  <c r="AI71" i="18"/>
  <c r="AG71" i="18"/>
  <c r="AF71" i="18"/>
  <c r="AE71" i="18"/>
  <c r="AD71" i="18"/>
  <c r="Z71" i="18"/>
  <c r="Y71" i="18"/>
  <c r="X71" i="18"/>
  <c r="V71" i="18"/>
  <c r="U71" i="18"/>
  <c r="T71" i="18"/>
  <c r="S71" i="18"/>
  <c r="R71" i="18"/>
  <c r="Q71" i="18"/>
  <c r="M71" i="18"/>
  <c r="L71" i="18"/>
  <c r="K71" i="18"/>
  <c r="J71" i="18"/>
  <c r="H71" i="18"/>
  <c r="G71" i="18"/>
  <c r="BP55" i="18"/>
  <c r="BO55" i="18"/>
  <c r="BN55" i="18"/>
  <c r="BM55" i="18"/>
  <c r="BL55" i="18"/>
  <c r="BK55" i="18"/>
  <c r="BJ55" i="18"/>
  <c r="BI55" i="18"/>
  <c r="BH55" i="18"/>
  <c r="BG55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G55" i="18"/>
  <c r="AF55" i="18"/>
  <c r="AE55" i="18"/>
  <c r="AD55" i="18"/>
  <c r="AA55" i="18"/>
  <c r="Z55" i="18"/>
  <c r="Y55" i="18"/>
  <c r="X55" i="18"/>
  <c r="V55" i="18"/>
  <c r="U55" i="18"/>
  <c r="T55" i="18"/>
  <c r="S55" i="18"/>
  <c r="R55" i="18"/>
  <c r="Q55" i="18"/>
  <c r="O55" i="18"/>
  <c r="M55" i="18"/>
  <c r="L55" i="18"/>
  <c r="K55" i="18"/>
  <c r="J55" i="18"/>
  <c r="H55" i="18"/>
  <c r="G55" i="18"/>
  <c r="BP25" i="18"/>
  <c r="BO25" i="18"/>
  <c r="BN25" i="18"/>
  <c r="BM25" i="18"/>
  <c r="BL25" i="18"/>
  <c r="BK25" i="18"/>
  <c r="BJ25" i="18"/>
  <c r="BI25" i="18"/>
  <c r="BH25" i="18"/>
  <c r="BG25" i="18"/>
  <c r="BF25" i="18"/>
  <c r="BE25" i="18"/>
  <c r="BD25" i="18"/>
  <c r="BC25" i="18"/>
  <c r="BB25" i="18"/>
  <c r="BA25" i="18"/>
  <c r="AZ25" i="18"/>
  <c r="AY25" i="18"/>
  <c r="AX25" i="18"/>
  <c r="AW25" i="18"/>
  <c r="AV25" i="18"/>
  <c r="AU25" i="18"/>
  <c r="AT25" i="18"/>
  <c r="AS25" i="18"/>
  <c r="AR25" i="18"/>
  <c r="AQ25" i="18"/>
  <c r="AP25" i="18"/>
  <c r="AO25" i="18"/>
  <c r="AN25" i="18"/>
  <c r="AM25" i="18"/>
  <c r="AL25" i="18"/>
  <c r="AK25" i="18"/>
  <c r="AJ25" i="18"/>
  <c r="AI25" i="18"/>
  <c r="AH25" i="18"/>
  <c r="AG25" i="18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I173" i="9" l="1"/>
  <c r="H173" i="9"/>
  <c r="I172" i="9"/>
  <c r="H172" i="9"/>
  <c r="I171" i="9"/>
  <c r="H171" i="9"/>
  <c r="I170" i="9"/>
  <c r="H170" i="9"/>
  <c r="I169" i="9"/>
  <c r="H169" i="9"/>
  <c r="I156" i="9"/>
  <c r="H156" i="9"/>
  <c r="I155" i="9"/>
  <c r="H155" i="9"/>
  <c r="I154" i="9"/>
  <c r="H154" i="9"/>
  <c r="I149" i="9"/>
  <c r="H149" i="9"/>
  <c r="I148" i="9"/>
  <c r="H148" i="9"/>
  <c r="I147" i="9"/>
  <c r="H147" i="9"/>
  <c r="I146" i="9"/>
  <c r="H146" i="9"/>
  <c r="I145" i="9"/>
  <c r="H145" i="9"/>
  <c r="I132" i="9"/>
  <c r="H132" i="9"/>
  <c r="I131" i="9"/>
  <c r="H131" i="9"/>
  <c r="I130" i="9"/>
  <c r="H130" i="9"/>
  <c r="BT174" i="9"/>
  <c r="BR174" i="9"/>
  <c r="BQ174" i="9"/>
  <c r="BP174" i="9"/>
  <c r="BO174" i="9"/>
  <c r="BN174" i="9"/>
  <c r="BM174" i="9"/>
  <c r="BL174" i="9"/>
  <c r="BK174" i="9"/>
  <c r="BJ174" i="9"/>
  <c r="BI174" i="9"/>
  <c r="BH174" i="9"/>
  <c r="BG174" i="9"/>
  <c r="BF174" i="9"/>
  <c r="BE174" i="9"/>
  <c r="BD174" i="9"/>
  <c r="BC174" i="9"/>
  <c r="BB174" i="9"/>
  <c r="BA174" i="9"/>
  <c r="AZ174" i="9"/>
  <c r="AY174" i="9"/>
  <c r="AX174" i="9"/>
  <c r="AW174" i="9"/>
  <c r="AV174" i="9"/>
  <c r="AU174" i="9"/>
  <c r="AT174" i="9"/>
  <c r="AS174" i="9"/>
  <c r="AR174" i="9"/>
  <c r="AQ174" i="9"/>
  <c r="AP174" i="9"/>
  <c r="AO174" i="9"/>
  <c r="AN174" i="9"/>
  <c r="AM174" i="9"/>
  <c r="AL174" i="9"/>
  <c r="AK174" i="9"/>
  <c r="AJ174" i="9"/>
  <c r="AI174" i="9"/>
  <c r="AH174" i="9"/>
  <c r="AG174" i="9"/>
  <c r="AF174" i="9"/>
  <c r="AE174" i="9"/>
  <c r="AD174" i="9"/>
  <c r="AC174" i="9"/>
  <c r="AB174" i="9"/>
  <c r="AA174" i="9"/>
  <c r="Z174" i="9"/>
  <c r="Y174" i="9"/>
  <c r="X174" i="9"/>
  <c r="W174" i="9"/>
  <c r="V174" i="9"/>
  <c r="U174" i="9"/>
  <c r="T174" i="9"/>
  <c r="S174" i="9"/>
  <c r="R174" i="9"/>
  <c r="Q174" i="9"/>
  <c r="P174" i="9"/>
  <c r="O174" i="9"/>
  <c r="BT150" i="9"/>
  <c r="BR150" i="9"/>
  <c r="BQ150" i="9"/>
  <c r="BP150" i="9"/>
  <c r="BO150" i="9"/>
  <c r="BN150" i="9"/>
  <c r="BM150" i="9"/>
  <c r="BL150" i="9"/>
  <c r="BK150" i="9"/>
  <c r="BJ150" i="9"/>
  <c r="BI150" i="9"/>
  <c r="BH150" i="9"/>
  <c r="BG150" i="9"/>
  <c r="BF150" i="9"/>
  <c r="BE150" i="9"/>
  <c r="BD150" i="9"/>
  <c r="BC150" i="9"/>
  <c r="BB150" i="9"/>
  <c r="BA150" i="9"/>
  <c r="AZ150" i="9"/>
  <c r="AY150" i="9"/>
  <c r="AX150" i="9"/>
  <c r="AW150" i="9"/>
  <c r="AV150" i="9"/>
  <c r="AU150" i="9"/>
  <c r="AT150" i="9"/>
  <c r="AS150" i="9"/>
  <c r="AR150" i="9"/>
  <c r="AQ150" i="9"/>
  <c r="AP150" i="9"/>
  <c r="AO150" i="9"/>
  <c r="AN150" i="9"/>
  <c r="AM150" i="9"/>
  <c r="AL150" i="9"/>
  <c r="AK150" i="9"/>
  <c r="AJ150" i="9"/>
  <c r="AI150" i="9"/>
  <c r="AH150" i="9"/>
  <c r="AG150" i="9"/>
  <c r="AF150" i="9"/>
  <c r="AE150" i="9"/>
  <c r="AD150" i="9"/>
  <c r="AC150" i="9"/>
  <c r="AB150" i="9"/>
  <c r="AA150" i="9"/>
  <c r="Z150" i="9"/>
  <c r="Y150" i="9"/>
  <c r="X150" i="9"/>
  <c r="W150" i="9"/>
  <c r="V150" i="9"/>
  <c r="U150" i="9"/>
  <c r="T150" i="9"/>
  <c r="S150" i="9"/>
  <c r="R150" i="9"/>
  <c r="Q150" i="9"/>
  <c r="P150" i="9"/>
  <c r="O150" i="9"/>
  <c r="BR126" i="9"/>
  <c r="BQ126" i="9"/>
  <c r="BP126" i="9"/>
  <c r="BO126" i="9"/>
  <c r="BN126" i="9"/>
  <c r="BM126" i="9"/>
  <c r="BL126" i="9"/>
  <c r="BK126" i="9"/>
  <c r="BJ126" i="9"/>
  <c r="BI126" i="9"/>
  <c r="BH126" i="9"/>
  <c r="BG126" i="9"/>
  <c r="BF126" i="9"/>
  <c r="BE126" i="9"/>
  <c r="BD126" i="9"/>
  <c r="BC126" i="9"/>
  <c r="BB126" i="9"/>
  <c r="BA126" i="9"/>
  <c r="AZ126" i="9"/>
  <c r="AY126" i="9"/>
  <c r="AX126" i="9"/>
  <c r="AW126" i="9"/>
  <c r="AV126" i="9"/>
  <c r="AU126" i="9"/>
  <c r="AT126" i="9"/>
  <c r="AS126" i="9"/>
  <c r="AR126" i="9"/>
  <c r="AQ126" i="9"/>
  <c r="AP126" i="9"/>
  <c r="AO126" i="9"/>
  <c r="AN126" i="9"/>
  <c r="AM126" i="9"/>
  <c r="AL126" i="9"/>
  <c r="AK126" i="9"/>
  <c r="AJ126" i="9"/>
  <c r="AI126" i="9"/>
  <c r="AH126" i="9"/>
  <c r="AG126" i="9"/>
  <c r="AF126" i="9"/>
  <c r="AE126" i="9"/>
  <c r="AD126" i="9"/>
  <c r="AC126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BT126" i="9"/>
  <c r="I125" i="9"/>
  <c r="H125" i="9"/>
  <c r="I124" i="9"/>
  <c r="H124" i="9"/>
  <c r="I123" i="9"/>
  <c r="H123" i="9"/>
  <c r="I122" i="9"/>
  <c r="H122" i="9"/>
  <c r="I121" i="9"/>
  <c r="H121" i="9"/>
  <c r="I108" i="9"/>
  <c r="H108" i="9"/>
  <c r="I107" i="9"/>
  <c r="H107" i="9"/>
  <c r="I106" i="9"/>
  <c r="H106" i="9"/>
  <c r="N1456" i="6"/>
  <c r="N1455" i="6"/>
  <c r="N1454" i="6"/>
  <c r="N1453" i="6"/>
  <c r="L1454" i="6"/>
  <c r="L1453" i="6"/>
  <c r="L774" i="6"/>
  <c r="L773" i="6"/>
  <c r="U773" i="6" s="1"/>
  <c r="N812" i="6"/>
  <c r="N811" i="6"/>
  <c r="U811" i="6" s="1"/>
  <c r="N810" i="6"/>
  <c r="N809" i="6"/>
  <c r="N808" i="6"/>
  <c r="N807" i="6"/>
  <c r="N806" i="6"/>
  <c r="N805" i="6"/>
  <c r="N804" i="6"/>
  <c r="S777" i="6"/>
  <c r="S776" i="6"/>
  <c r="S775" i="6"/>
  <c r="S774" i="6"/>
  <c r="S772" i="6"/>
  <c r="S771" i="6"/>
  <c r="U771" i="6" s="1"/>
  <c r="S770" i="6"/>
  <c r="U770" i="6" s="1"/>
  <c r="S769" i="6"/>
  <c r="U769" i="6" s="1"/>
  <c r="S768" i="6"/>
  <c r="S767" i="6"/>
  <c r="S766" i="6"/>
  <c r="U744" i="6"/>
  <c r="BP26" i="18"/>
  <c r="BO26" i="18"/>
  <c r="BN26" i="18"/>
  <c r="BM26" i="18"/>
  <c r="BP27" i="18"/>
  <c r="BO27" i="18"/>
  <c r="BN27" i="18"/>
  <c r="BM27" i="18"/>
  <c r="BL27" i="18"/>
  <c r="BK27" i="18"/>
  <c r="BJ27" i="18"/>
  <c r="BI27" i="18"/>
  <c r="BH27" i="18"/>
  <c r="BG27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U1453" i="6" l="1"/>
  <c r="U1454" i="6"/>
  <c r="L29" i="18"/>
  <c r="N31" i="18"/>
  <c r="O32" i="18"/>
  <c r="P33" i="18"/>
  <c r="M30" i="18"/>
  <c r="T29" i="18"/>
  <c r="V31" i="18"/>
  <c r="X33" i="18"/>
  <c r="W32" i="18"/>
  <c r="U30" i="18"/>
  <c r="AB29" i="18"/>
  <c r="AD31" i="18"/>
  <c r="AF33" i="18"/>
  <c r="AC30" i="18"/>
  <c r="AE32" i="18"/>
  <c r="AJ29" i="18"/>
  <c r="AL31" i="18"/>
  <c r="AM32" i="18"/>
  <c r="AN33" i="18"/>
  <c r="AK30" i="18"/>
  <c r="AR29" i="18"/>
  <c r="AT31" i="18"/>
  <c r="AV33" i="18"/>
  <c r="AU32" i="18"/>
  <c r="AS30" i="18"/>
  <c r="AZ29" i="18"/>
  <c r="BB31" i="18"/>
  <c r="BD33" i="18"/>
  <c r="BA30" i="18"/>
  <c r="BC32" i="18"/>
  <c r="BH29" i="18"/>
  <c r="BJ31" i="18"/>
  <c r="BK32" i="18"/>
  <c r="BL33" i="18"/>
  <c r="BI30" i="18"/>
  <c r="H32" i="18"/>
  <c r="G31" i="18"/>
  <c r="E29" i="18"/>
  <c r="I33" i="18"/>
  <c r="F30" i="18"/>
  <c r="O31" i="18"/>
  <c r="Q33" i="18"/>
  <c r="M29" i="18"/>
  <c r="N30" i="18"/>
  <c r="P32" i="18"/>
  <c r="W31" i="18"/>
  <c r="Y33" i="18"/>
  <c r="V30" i="18"/>
  <c r="X32" i="18"/>
  <c r="U29" i="18"/>
  <c r="AE31" i="18"/>
  <c r="AG33" i="18"/>
  <c r="AD30" i="18"/>
  <c r="AC29" i="18"/>
  <c r="AF32" i="18"/>
  <c r="AM31" i="18"/>
  <c r="AO33" i="18"/>
  <c r="AK29" i="18"/>
  <c r="AL30" i="18"/>
  <c r="AN32" i="18"/>
  <c r="AU31" i="18"/>
  <c r="AW33" i="18"/>
  <c r="AT30" i="18"/>
  <c r="AV32" i="18"/>
  <c r="AS29" i="18"/>
  <c r="BC31" i="18"/>
  <c r="BE33" i="18"/>
  <c r="BB30" i="18"/>
  <c r="BA29" i="18"/>
  <c r="BD32" i="18"/>
  <c r="BK31" i="18"/>
  <c r="BM33" i="18"/>
  <c r="BJ30" i="18"/>
  <c r="BL32" i="18"/>
  <c r="BI29" i="18"/>
  <c r="H31" i="18"/>
  <c r="J33" i="18"/>
  <c r="G30" i="18"/>
  <c r="I32" i="18"/>
  <c r="F29" i="18"/>
  <c r="P31" i="18"/>
  <c r="R33" i="18"/>
  <c r="O30" i="18"/>
  <c r="Q32" i="18"/>
  <c r="N29" i="18"/>
  <c r="X31" i="18"/>
  <c r="Z33" i="18"/>
  <c r="W30" i="18"/>
  <c r="Y32" i="18"/>
  <c r="V29" i="18"/>
  <c r="AF31" i="18"/>
  <c r="AH33" i="18"/>
  <c r="AE30" i="18"/>
  <c r="AG32" i="18"/>
  <c r="AD29" i="18"/>
  <c r="AN31" i="18"/>
  <c r="AP33" i="18"/>
  <c r="AM30" i="18"/>
  <c r="AO32" i="18"/>
  <c r="AL29" i="18"/>
  <c r="AV31" i="18"/>
  <c r="AX33" i="18"/>
  <c r="AU30" i="18"/>
  <c r="AW32" i="18"/>
  <c r="AT29" i="18"/>
  <c r="BD31" i="18"/>
  <c r="BF33" i="18"/>
  <c r="BC30" i="18"/>
  <c r="BE32" i="18"/>
  <c r="BB29" i="18"/>
  <c r="BL31" i="18"/>
  <c r="BN33" i="18"/>
  <c r="BK30" i="18"/>
  <c r="BM32" i="18"/>
  <c r="BJ29" i="18"/>
  <c r="K33" i="18"/>
  <c r="J32" i="18"/>
  <c r="I31" i="18"/>
  <c r="G29" i="18"/>
  <c r="H30" i="18"/>
  <c r="S33" i="18"/>
  <c r="P30" i="18"/>
  <c r="R32" i="18"/>
  <c r="O29" i="18"/>
  <c r="Q31" i="18"/>
  <c r="AA33" i="18"/>
  <c r="Z32" i="18"/>
  <c r="Y31" i="18"/>
  <c r="X30" i="18"/>
  <c r="W29" i="18"/>
  <c r="AI33" i="18"/>
  <c r="AF30" i="18"/>
  <c r="AH32" i="18"/>
  <c r="AE29" i="18"/>
  <c r="AG31" i="18"/>
  <c r="AQ33" i="18"/>
  <c r="AN30" i="18"/>
  <c r="AP32" i="18"/>
  <c r="AO31" i="18"/>
  <c r="AM29" i="18"/>
  <c r="AY33" i="18"/>
  <c r="AV30" i="18"/>
  <c r="AX32" i="18"/>
  <c r="AU29" i="18"/>
  <c r="AW31" i="18"/>
  <c r="BG33" i="18"/>
  <c r="BD30" i="18"/>
  <c r="BE31" i="18"/>
  <c r="BF32" i="18"/>
  <c r="BC29" i="18"/>
  <c r="BO33" i="18"/>
  <c r="BL30" i="18"/>
  <c r="BN32" i="18"/>
  <c r="BK29" i="18"/>
  <c r="BM31" i="18"/>
  <c r="L33" i="18"/>
  <c r="I30" i="18"/>
  <c r="K32" i="18"/>
  <c r="H29" i="18"/>
  <c r="J31" i="18"/>
  <c r="T33" i="18"/>
  <c r="Q30" i="18"/>
  <c r="S32" i="18"/>
  <c r="P29" i="18"/>
  <c r="R31" i="18"/>
  <c r="AB33" i="18"/>
  <c r="Y30" i="18"/>
  <c r="AA32" i="18"/>
  <c r="X29" i="18"/>
  <c r="Z31" i="18"/>
  <c r="AJ33" i="18"/>
  <c r="AG30" i="18"/>
  <c r="AI32" i="18"/>
  <c r="AF29" i="18"/>
  <c r="AH31" i="18"/>
  <c r="AR33" i="18"/>
  <c r="AO30" i="18"/>
  <c r="AQ32" i="18"/>
  <c r="AN29" i="18"/>
  <c r="AP31" i="18"/>
  <c r="AZ33" i="18"/>
  <c r="AW30" i="18"/>
  <c r="AY32" i="18"/>
  <c r="AV29" i="18"/>
  <c r="AX31" i="18"/>
  <c r="BH33" i="18"/>
  <c r="BE30" i="18"/>
  <c r="BG32" i="18"/>
  <c r="BD29" i="18"/>
  <c r="BF31" i="18"/>
  <c r="BP33" i="18"/>
  <c r="BM30" i="18"/>
  <c r="BO32" i="18"/>
  <c r="BL29" i="18"/>
  <c r="BN31" i="18"/>
  <c r="J30" i="18"/>
  <c r="L32" i="18"/>
  <c r="I29" i="18"/>
  <c r="M33" i="18"/>
  <c r="K31" i="18"/>
  <c r="R30" i="18"/>
  <c r="T32" i="18"/>
  <c r="Q29" i="18"/>
  <c r="U33" i="18"/>
  <c r="S31" i="18"/>
  <c r="Z30" i="18"/>
  <c r="AB32" i="18"/>
  <c r="Y29" i="18"/>
  <c r="AA31" i="18"/>
  <c r="AC33" i="18"/>
  <c r="AH30" i="18"/>
  <c r="AJ32" i="18"/>
  <c r="AG29" i="18"/>
  <c r="AK33" i="18"/>
  <c r="AI31" i="18"/>
  <c r="AP30" i="18"/>
  <c r="AR32" i="18"/>
  <c r="AO29" i="18"/>
  <c r="AS33" i="18"/>
  <c r="AQ31" i="18"/>
  <c r="AX30" i="18"/>
  <c r="AZ32" i="18"/>
  <c r="AW29" i="18"/>
  <c r="BA33" i="18"/>
  <c r="AY31" i="18"/>
  <c r="BF30" i="18"/>
  <c r="BH32" i="18"/>
  <c r="BE29" i="18"/>
  <c r="BG31" i="18"/>
  <c r="BI33" i="18"/>
  <c r="M32" i="18"/>
  <c r="J29" i="18"/>
  <c r="K30" i="18"/>
  <c r="L31" i="18"/>
  <c r="N33" i="18"/>
  <c r="U32" i="18"/>
  <c r="T31" i="18"/>
  <c r="S30" i="18"/>
  <c r="V33" i="18"/>
  <c r="R29" i="18"/>
  <c r="AC32" i="18"/>
  <c r="Z29" i="18"/>
  <c r="AB31" i="18"/>
  <c r="AD33" i="18"/>
  <c r="AA30" i="18"/>
  <c r="AK32" i="18"/>
  <c r="AJ31" i="18"/>
  <c r="AI30" i="18"/>
  <c r="AH29" i="18"/>
  <c r="AL33" i="18"/>
  <c r="AS32" i="18"/>
  <c r="AR31" i="18"/>
  <c r="AP29" i="18"/>
  <c r="AT33" i="18"/>
  <c r="AQ30" i="18"/>
  <c r="AX29" i="18"/>
  <c r="BA32" i="18"/>
  <c r="AY30" i="18"/>
  <c r="AZ31" i="18"/>
  <c r="BB33" i="18"/>
  <c r="BI32" i="18"/>
  <c r="BF29" i="18"/>
  <c r="BH31" i="18"/>
  <c r="BJ33" i="18"/>
  <c r="BG30" i="18"/>
  <c r="N32" i="18"/>
  <c r="K29" i="18"/>
  <c r="M31" i="18"/>
  <c r="O33" i="18"/>
  <c r="L30" i="18"/>
  <c r="V32" i="18"/>
  <c r="S29" i="18"/>
  <c r="U31" i="18"/>
  <c r="W33" i="18"/>
  <c r="T30" i="18"/>
  <c r="AD32" i="18"/>
  <c r="AA29" i="18"/>
  <c r="AC31" i="18"/>
  <c r="AE33" i="18"/>
  <c r="AB30" i="18"/>
  <c r="AL32" i="18"/>
  <c r="AI29" i="18"/>
  <c r="AK31" i="18"/>
  <c r="AM33" i="18"/>
  <c r="AJ30" i="18"/>
  <c r="AT32" i="18"/>
  <c r="AQ29" i="18"/>
  <c r="AS31" i="18"/>
  <c r="AU33" i="18"/>
  <c r="AR30" i="18"/>
  <c r="BB32" i="18"/>
  <c r="AY29" i="18"/>
  <c r="BA31" i="18"/>
  <c r="BC33" i="18"/>
  <c r="AZ30" i="18"/>
  <c r="BJ32" i="18"/>
  <c r="BG29" i="18"/>
  <c r="BI31" i="18"/>
  <c r="BK33" i="18"/>
  <c r="BH30" i="18"/>
  <c r="H157" i="9"/>
  <c r="I157" i="9"/>
  <c r="H133" i="9"/>
  <c r="I134" i="9"/>
  <c r="H134" i="9"/>
  <c r="I133" i="9"/>
  <c r="I109" i="9"/>
  <c r="H109" i="9"/>
  <c r="M126" i="9"/>
  <c r="R176" i="9"/>
  <c r="R177" i="9" s="1"/>
  <c r="Z176" i="9"/>
  <c r="Z177" i="9" s="1"/>
  <c r="AH176" i="9"/>
  <c r="AH177" i="9" s="1"/>
  <c r="AP176" i="9"/>
  <c r="AP177" i="9" s="1"/>
  <c r="AX176" i="9"/>
  <c r="AX177" i="9" s="1"/>
  <c r="BF176" i="9"/>
  <c r="BF177" i="9" s="1"/>
  <c r="BN176" i="9"/>
  <c r="BN177" i="9" s="1"/>
  <c r="AI176" i="9"/>
  <c r="AI177" i="9" s="1"/>
  <c r="AQ176" i="9"/>
  <c r="AQ177" i="9" s="1"/>
  <c r="BO176" i="9"/>
  <c r="BO177" i="9" s="1"/>
  <c r="T176" i="9"/>
  <c r="T177" i="9" s="1"/>
  <c r="AB176" i="9"/>
  <c r="AB177" i="9" s="1"/>
  <c r="AJ176" i="9"/>
  <c r="AJ177" i="9" s="1"/>
  <c r="AR176" i="9"/>
  <c r="AR177" i="9" s="1"/>
  <c r="AZ176" i="9"/>
  <c r="AZ177" i="9" s="1"/>
  <c r="BH176" i="9"/>
  <c r="BH177" i="9" s="1"/>
  <c r="BP176" i="9"/>
  <c r="BP177" i="9" s="1"/>
  <c r="S176" i="9"/>
  <c r="S177" i="9" s="1"/>
  <c r="AY176" i="9"/>
  <c r="AY177" i="9" s="1"/>
  <c r="P176" i="9"/>
  <c r="P177" i="9" s="1"/>
  <c r="X176" i="9"/>
  <c r="X177" i="9" s="1"/>
  <c r="AF176" i="9"/>
  <c r="AF177" i="9" s="1"/>
  <c r="AN176" i="9"/>
  <c r="AN177" i="9" s="1"/>
  <c r="AV176" i="9"/>
  <c r="AV177" i="9" s="1"/>
  <c r="BD176" i="9"/>
  <c r="BD177" i="9" s="1"/>
  <c r="BL176" i="9"/>
  <c r="BL177" i="9" s="1"/>
  <c r="AA176" i="9"/>
  <c r="AA177" i="9" s="1"/>
  <c r="BG176" i="9"/>
  <c r="BG177" i="9" s="1"/>
  <c r="U176" i="9"/>
  <c r="U177" i="9" s="1"/>
  <c r="AC176" i="9"/>
  <c r="AC177" i="9" s="1"/>
  <c r="AK176" i="9"/>
  <c r="AK177" i="9" s="1"/>
  <c r="AS176" i="9"/>
  <c r="AS177" i="9" s="1"/>
  <c r="BA176" i="9"/>
  <c r="BA177" i="9" s="1"/>
  <c r="BI176" i="9"/>
  <c r="BI177" i="9" s="1"/>
  <c r="BQ176" i="9"/>
  <c r="BQ177" i="9" s="1"/>
  <c r="V176" i="9"/>
  <c r="V177" i="9" s="1"/>
  <c r="AD176" i="9"/>
  <c r="AD177" i="9" s="1"/>
  <c r="AL176" i="9"/>
  <c r="AL177" i="9" s="1"/>
  <c r="AT176" i="9"/>
  <c r="AT177" i="9" s="1"/>
  <c r="BB176" i="9"/>
  <c r="BB177" i="9" s="1"/>
  <c r="BJ176" i="9"/>
  <c r="BJ177" i="9" s="1"/>
  <c r="BR176" i="9"/>
  <c r="BR177" i="9" s="1"/>
  <c r="O176" i="9"/>
  <c r="O177" i="9" s="1"/>
  <c r="W176" i="9"/>
  <c r="W177" i="9" s="1"/>
  <c r="AE176" i="9"/>
  <c r="AE177" i="9" s="1"/>
  <c r="AM176" i="9"/>
  <c r="AM177" i="9" s="1"/>
  <c r="AU176" i="9"/>
  <c r="AU177" i="9" s="1"/>
  <c r="BC176" i="9"/>
  <c r="BC177" i="9" s="1"/>
  <c r="BK176" i="9"/>
  <c r="BK177" i="9" s="1"/>
  <c r="Q176" i="9"/>
  <c r="Q177" i="9" s="1"/>
  <c r="Y176" i="9"/>
  <c r="Y177" i="9" s="1"/>
  <c r="AG176" i="9"/>
  <c r="AG177" i="9" s="1"/>
  <c r="AO176" i="9"/>
  <c r="AO177" i="9" s="1"/>
  <c r="AW176" i="9"/>
  <c r="AW177" i="9" s="1"/>
  <c r="BE176" i="9"/>
  <c r="BE177" i="9" s="1"/>
  <c r="BM176" i="9"/>
  <c r="BM177" i="9" s="1"/>
  <c r="U774" i="6"/>
  <c r="U808" i="6"/>
  <c r="U809" i="6"/>
  <c r="L30" i="2"/>
  <c r="K74" i="18" l="1"/>
  <c r="BO74" i="18"/>
  <c r="AI74" i="18"/>
  <c r="BL74" i="18"/>
  <c r="BK74" i="18"/>
  <c r="F74" i="18"/>
  <c r="AK74" i="18"/>
  <c r="BF74" i="18"/>
  <c r="AV74" i="18"/>
  <c r="AU74" i="18"/>
  <c r="BB74" i="18"/>
  <c r="BE74" i="18"/>
  <c r="U74" i="18"/>
  <c r="AP74" i="18"/>
  <c r="AA74" i="18"/>
  <c r="E74" i="18"/>
  <c r="AF74" i="18"/>
  <c r="BM74" i="18"/>
  <c r="AE74" i="18"/>
  <c r="AL74" i="18"/>
  <c r="Q74" i="18"/>
  <c r="Z74" i="18"/>
  <c r="AW74" i="18"/>
  <c r="R74" i="18"/>
  <c r="AH74" i="18"/>
  <c r="AX74" i="18"/>
  <c r="BN74" i="18"/>
  <c r="M74" i="18"/>
  <c r="AC74" i="18"/>
  <c r="AS74" i="18"/>
  <c r="BI74" i="18"/>
  <c r="AG74" i="18"/>
  <c r="N74" i="18"/>
  <c r="AD74" i="18"/>
  <c r="AT74" i="18"/>
  <c r="BJ74" i="18"/>
  <c r="G74" i="18"/>
  <c r="W74" i="18"/>
  <c r="AM74" i="18"/>
  <c r="BC74" i="18"/>
  <c r="I74" i="18"/>
  <c r="AO74" i="18"/>
  <c r="H74" i="18"/>
  <c r="X74" i="18"/>
  <c r="AN74" i="18"/>
  <c r="BD74" i="18"/>
  <c r="T74" i="18"/>
  <c r="AJ74" i="18"/>
  <c r="AZ74" i="18"/>
  <c r="BP74" i="18"/>
  <c r="AY74" i="18"/>
  <c r="BG74" i="18"/>
  <c r="S74" i="18"/>
  <c r="AQ74" i="18"/>
  <c r="L74" i="18"/>
  <c r="AB74" i="18"/>
  <c r="AR74" i="18"/>
  <c r="BH74" i="18"/>
  <c r="P74" i="18"/>
  <c r="Y74" i="18"/>
  <c r="O74" i="18"/>
  <c r="V74" i="18"/>
  <c r="BA74" i="18"/>
  <c r="J74" i="18"/>
  <c r="I158" i="9"/>
  <c r="H158" i="9"/>
  <c r="N174" i="9"/>
  <c r="L174" i="9"/>
  <c r="M174" i="9"/>
  <c r="N150" i="9"/>
  <c r="I135" i="9"/>
  <c r="H135" i="9"/>
  <c r="M150" i="9"/>
  <c r="L150" i="9"/>
  <c r="N126" i="9"/>
  <c r="L126" i="9"/>
  <c r="I110" i="9"/>
  <c r="H110" i="9"/>
  <c r="M176" i="9" l="1"/>
  <c r="L176" i="9"/>
  <c r="I159" i="9"/>
  <c r="H159" i="9"/>
  <c r="N176" i="9"/>
  <c r="I136" i="9"/>
  <c r="H136" i="9"/>
  <c r="I111" i="9"/>
  <c r="H111" i="9"/>
  <c r="F15" i="16"/>
  <c r="F14" i="16"/>
  <c r="D1847" i="16"/>
  <c r="E1847" i="16" s="1"/>
  <c r="F1847" i="16" s="1"/>
  <c r="G1847" i="16" s="1"/>
  <c r="D1846" i="16"/>
  <c r="E1846" i="16" s="1"/>
  <c r="F1846" i="16" s="1"/>
  <c r="G1846" i="16" s="1"/>
  <c r="D1845" i="16"/>
  <c r="E1845" i="16" s="1"/>
  <c r="F1845" i="16" s="1"/>
  <c r="G1845" i="16" s="1"/>
  <c r="D1844" i="16"/>
  <c r="E1844" i="16" s="1"/>
  <c r="F1844" i="16" s="1"/>
  <c r="G1844" i="16" s="1"/>
  <c r="D1843" i="16"/>
  <c r="E1843" i="16" s="1"/>
  <c r="F1843" i="16" s="1"/>
  <c r="G1843" i="16" s="1"/>
  <c r="D1842" i="16"/>
  <c r="E1842" i="16" s="1"/>
  <c r="F1842" i="16" s="1"/>
  <c r="G1842" i="16" s="1"/>
  <c r="D1841" i="16"/>
  <c r="E1841" i="16" s="1"/>
  <c r="G1841" i="16" s="1"/>
  <c r="D1840" i="16"/>
  <c r="E1840" i="16" s="1"/>
  <c r="F1840" i="16" s="1"/>
  <c r="G1840" i="16" s="1"/>
  <c r="D1839" i="16"/>
  <c r="E1839" i="16" s="1"/>
  <c r="F1839" i="16" s="1"/>
  <c r="G1839" i="16" s="1"/>
  <c r="D1838" i="16"/>
  <c r="E1838" i="16" s="1"/>
  <c r="F1838" i="16" s="1"/>
  <c r="G1838" i="16" s="1"/>
  <c r="D1837" i="16"/>
  <c r="E1837" i="16" s="1"/>
  <c r="F1837" i="16" s="1"/>
  <c r="G1837" i="16" s="1"/>
  <c r="D1836" i="16"/>
  <c r="E1836" i="16" s="1"/>
  <c r="F1836" i="16" s="1"/>
  <c r="G1836" i="16" s="1"/>
  <c r="D1835" i="16"/>
  <c r="E1835" i="16" s="1"/>
  <c r="F1835" i="16" s="1"/>
  <c r="G1835" i="16" s="1"/>
  <c r="D1834" i="16"/>
  <c r="E1834" i="16" s="1"/>
  <c r="F1834" i="16" s="1"/>
  <c r="G1834" i="16" s="1"/>
  <c r="D1833" i="16"/>
  <c r="E1833" i="16" s="1"/>
  <c r="F1833" i="16" s="1"/>
  <c r="G1833" i="16" s="1"/>
  <c r="D1832" i="16"/>
  <c r="E1832" i="16" s="1"/>
  <c r="F1832" i="16" s="1"/>
  <c r="G1832" i="16" s="1"/>
  <c r="D1831" i="16"/>
  <c r="E1831" i="16" s="1"/>
  <c r="F1831" i="16" s="1"/>
  <c r="G1831" i="16" s="1"/>
  <c r="D1830" i="16"/>
  <c r="E1830" i="16" s="1"/>
  <c r="F1830" i="16" s="1"/>
  <c r="G1830" i="16" s="1"/>
  <c r="D1829" i="16"/>
  <c r="E1829" i="16" s="1"/>
  <c r="F1829" i="16" s="1"/>
  <c r="G1829" i="16" s="1"/>
  <c r="D1828" i="16"/>
  <c r="E1828" i="16" s="1"/>
  <c r="F1828" i="16" s="1"/>
  <c r="G1828" i="16" s="1"/>
  <c r="D1827" i="16"/>
  <c r="E1827" i="16" s="1"/>
  <c r="F1827" i="16" s="1"/>
  <c r="G1827" i="16" s="1"/>
  <c r="D1826" i="16"/>
  <c r="E1826" i="16" s="1"/>
  <c r="F1826" i="16" s="1"/>
  <c r="G1826" i="16" s="1"/>
  <c r="D1825" i="16"/>
  <c r="E1825" i="16" s="1"/>
  <c r="F1825" i="16" s="1"/>
  <c r="G1825" i="16" s="1"/>
  <c r="D1824" i="16"/>
  <c r="E1824" i="16" s="1"/>
  <c r="F1824" i="16" s="1"/>
  <c r="G1824" i="16" s="1"/>
  <c r="D1823" i="16"/>
  <c r="E1823" i="16" s="1"/>
  <c r="F1823" i="16" s="1"/>
  <c r="G1823" i="16" s="1"/>
  <c r="D1822" i="16"/>
  <c r="E1822" i="16" s="1"/>
  <c r="F1822" i="16" s="1"/>
  <c r="G1822" i="16" s="1"/>
  <c r="D1821" i="16"/>
  <c r="E1821" i="16" s="1"/>
  <c r="F1821" i="16" s="1"/>
  <c r="G1821" i="16" s="1"/>
  <c r="D1820" i="16"/>
  <c r="E1820" i="16" s="1"/>
  <c r="F1820" i="16" s="1"/>
  <c r="G1820" i="16" s="1"/>
  <c r="D1819" i="16"/>
  <c r="E1819" i="16" s="1"/>
  <c r="F1819" i="16" s="1"/>
  <c r="G1819" i="16" s="1"/>
  <c r="D1818" i="16"/>
  <c r="E1818" i="16" s="1"/>
  <c r="F1818" i="16" s="1"/>
  <c r="G1818" i="16" s="1"/>
  <c r="D1817" i="16"/>
  <c r="E1817" i="16" s="1"/>
  <c r="F1817" i="16" s="1"/>
  <c r="G1817" i="16" s="1"/>
  <c r="D1816" i="16"/>
  <c r="E1816" i="16" s="1"/>
  <c r="F1816" i="16" s="1"/>
  <c r="G1816" i="16" s="1"/>
  <c r="D1815" i="16"/>
  <c r="E1815" i="16" s="1"/>
  <c r="F1815" i="16" s="1"/>
  <c r="G1815" i="16" s="1"/>
  <c r="D1814" i="16"/>
  <c r="E1814" i="16" s="1"/>
  <c r="F1814" i="16" s="1"/>
  <c r="G1814" i="16" s="1"/>
  <c r="D1813" i="16"/>
  <c r="E1813" i="16" s="1"/>
  <c r="F1813" i="16" s="1"/>
  <c r="G1813" i="16" s="1"/>
  <c r="D1812" i="16"/>
  <c r="E1812" i="16" s="1"/>
  <c r="F1812" i="16" s="1"/>
  <c r="G1812" i="16" s="1"/>
  <c r="D1811" i="16"/>
  <c r="E1811" i="16" s="1"/>
  <c r="F1811" i="16" s="1"/>
  <c r="G1811" i="16" s="1"/>
  <c r="D1810" i="16"/>
  <c r="E1810" i="16" s="1"/>
  <c r="F1810" i="16" s="1"/>
  <c r="G1810" i="16" s="1"/>
  <c r="D1809" i="16"/>
  <c r="E1809" i="16" s="1"/>
  <c r="F1809" i="16" s="1"/>
  <c r="G1809" i="16" s="1"/>
  <c r="D1808" i="16"/>
  <c r="E1808" i="16" s="1"/>
  <c r="F1808" i="16" s="1"/>
  <c r="G1808" i="16" s="1"/>
  <c r="D1807" i="16"/>
  <c r="E1807" i="16" s="1"/>
  <c r="F1807" i="16" s="1"/>
  <c r="G1807" i="16" s="1"/>
  <c r="D1806" i="16"/>
  <c r="E1806" i="16" s="1"/>
  <c r="F1806" i="16" s="1"/>
  <c r="G1806" i="16" s="1"/>
  <c r="D1805" i="16"/>
  <c r="E1805" i="16" s="1"/>
  <c r="F1805" i="16" s="1"/>
  <c r="G1805" i="16" s="1"/>
  <c r="D1804" i="16"/>
  <c r="E1804" i="16" s="1"/>
  <c r="F1804" i="16" s="1"/>
  <c r="G1804" i="16" s="1"/>
  <c r="D1803" i="16"/>
  <c r="E1803" i="16" s="1"/>
  <c r="F1803" i="16" s="1"/>
  <c r="G1803" i="16" s="1"/>
  <c r="D1802" i="16"/>
  <c r="E1802" i="16" s="1"/>
  <c r="F1802" i="16" s="1"/>
  <c r="G1802" i="16" s="1"/>
  <c r="D1801" i="16"/>
  <c r="E1801" i="16" s="1"/>
  <c r="G1801" i="16" s="1"/>
  <c r="D1800" i="16"/>
  <c r="E1800" i="16" s="1"/>
  <c r="F1800" i="16" s="1"/>
  <c r="G1800" i="16" s="1"/>
  <c r="D1799" i="16"/>
  <c r="E1799" i="16" s="1"/>
  <c r="F1799" i="16" s="1"/>
  <c r="G1799" i="16" s="1"/>
  <c r="D1798" i="16"/>
  <c r="E1798" i="16" s="1"/>
  <c r="F1798" i="16" s="1"/>
  <c r="G1798" i="16" s="1"/>
  <c r="D1797" i="16"/>
  <c r="E1797" i="16" s="1"/>
  <c r="F1797" i="16" s="1"/>
  <c r="G1797" i="16" s="1"/>
  <c r="D1796" i="16"/>
  <c r="E1796" i="16" s="1"/>
  <c r="F1796" i="16" s="1"/>
  <c r="G1796" i="16" s="1"/>
  <c r="D1795" i="16"/>
  <c r="E1795" i="16" s="1"/>
  <c r="F1795" i="16" s="1"/>
  <c r="G1795" i="16" s="1"/>
  <c r="D1794" i="16"/>
  <c r="E1794" i="16" s="1"/>
  <c r="F1794" i="16" s="1"/>
  <c r="G1794" i="16" s="1"/>
  <c r="D1793" i="16"/>
  <c r="E1793" i="16" s="1"/>
  <c r="F1793" i="16" s="1"/>
  <c r="G1793" i="16" s="1"/>
  <c r="D1792" i="16"/>
  <c r="E1792" i="16" s="1"/>
  <c r="F1792" i="16" s="1"/>
  <c r="G1792" i="16" s="1"/>
  <c r="D1791" i="16"/>
  <c r="E1791" i="16" s="1"/>
  <c r="F1791" i="16" s="1"/>
  <c r="G1791" i="16" s="1"/>
  <c r="D1790" i="16"/>
  <c r="E1790" i="16" s="1"/>
  <c r="F1790" i="16" s="1"/>
  <c r="G1790" i="16" s="1"/>
  <c r="D1789" i="16"/>
  <c r="E1789" i="16" s="1"/>
  <c r="F1789" i="16" s="1"/>
  <c r="G1789" i="16" s="1"/>
  <c r="D1788" i="16"/>
  <c r="E1788" i="16" s="1"/>
  <c r="G1788" i="16" s="1"/>
  <c r="D1787" i="16"/>
  <c r="E1787" i="16" s="1"/>
  <c r="F1787" i="16" s="1"/>
  <c r="G1787" i="16" s="1"/>
  <c r="D1786" i="16"/>
  <c r="E1786" i="16" s="1"/>
  <c r="F1786" i="16" s="1"/>
  <c r="G1786" i="16" s="1"/>
  <c r="D1785" i="16"/>
  <c r="E1785" i="16" s="1"/>
  <c r="F1785" i="16" s="1"/>
  <c r="G1785" i="16" s="1"/>
  <c r="D1784" i="16"/>
  <c r="E1784" i="16" s="1"/>
  <c r="F1784" i="16" s="1"/>
  <c r="G1784" i="16" s="1"/>
  <c r="D1783" i="16"/>
  <c r="E1783" i="16" s="1"/>
  <c r="F1783" i="16" s="1"/>
  <c r="G1783" i="16" s="1"/>
  <c r="D1782" i="16"/>
  <c r="E1782" i="16" s="1"/>
  <c r="F1782" i="16" s="1"/>
  <c r="G1782" i="16" s="1"/>
  <c r="D1781" i="16"/>
  <c r="E1781" i="16" s="1"/>
  <c r="F1781" i="16" s="1"/>
  <c r="G1781" i="16" s="1"/>
  <c r="D1780" i="16"/>
  <c r="E1780" i="16" s="1"/>
  <c r="F1780" i="16" s="1"/>
  <c r="G1780" i="16" s="1"/>
  <c r="D1779" i="16"/>
  <c r="E1779" i="16" s="1"/>
  <c r="F1779" i="16" s="1"/>
  <c r="G1779" i="16" s="1"/>
  <c r="D1778" i="16"/>
  <c r="E1778" i="16" s="1"/>
  <c r="F1778" i="16" s="1"/>
  <c r="G1778" i="16" s="1"/>
  <c r="D1777" i="16"/>
  <c r="E1777" i="16" s="1"/>
  <c r="F1777" i="16" s="1"/>
  <c r="G1777" i="16" s="1"/>
  <c r="D1776" i="16"/>
  <c r="E1776" i="16" s="1"/>
  <c r="F1776" i="16" s="1"/>
  <c r="G1776" i="16" s="1"/>
  <c r="D1775" i="16"/>
  <c r="E1775" i="16" s="1"/>
  <c r="F1775" i="16" s="1"/>
  <c r="G1775" i="16" s="1"/>
  <c r="D1774" i="16"/>
  <c r="E1774" i="16" s="1"/>
  <c r="F1774" i="16" s="1"/>
  <c r="G1774" i="16" s="1"/>
  <c r="D1773" i="16"/>
  <c r="E1773" i="16" s="1"/>
  <c r="F1773" i="16" s="1"/>
  <c r="G1773" i="16" s="1"/>
  <c r="D1772" i="16"/>
  <c r="E1772" i="16" s="1"/>
  <c r="F1772" i="16" s="1"/>
  <c r="G1772" i="16" s="1"/>
  <c r="D1771" i="16"/>
  <c r="E1771" i="16" s="1"/>
  <c r="F1771" i="16" s="1"/>
  <c r="G1771" i="16" s="1"/>
  <c r="D1770" i="16"/>
  <c r="E1770" i="16" s="1"/>
  <c r="F1770" i="16" s="1"/>
  <c r="G1770" i="16" s="1"/>
  <c r="D1769" i="16"/>
  <c r="E1769" i="16" s="1"/>
  <c r="F1769" i="16" s="1"/>
  <c r="G1769" i="16" s="1"/>
  <c r="D1768" i="16"/>
  <c r="E1768" i="16" s="1"/>
  <c r="F1768" i="16" s="1"/>
  <c r="G1768" i="16" s="1"/>
  <c r="D1767" i="16"/>
  <c r="E1767" i="16" s="1"/>
  <c r="G1767" i="16" s="1"/>
  <c r="D1766" i="16"/>
  <c r="E1766" i="16" s="1"/>
  <c r="F1766" i="16" s="1"/>
  <c r="G1766" i="16" s="1"/>
  <c r="D1765" i="16"/>
  <c r="E1765" i="16" s="1"/>
  <c r="F1765" i="16" s="1"/>
  <c r="G1765" i="16" s="1"/>
  <c r="D1764" i="16"/>
  <c r="E1764" i="16" s="1"/>
  <c r="F1764" i="16" s="1"/>
  <c r="G1764" i="16" s="1"/>
  <c r="D1763" i="16"/>
  <c r="E1763" i="16" s="1"/>
  <c r="F1763" i="16" s="1"/>
  <c r="G1763" i="16" s="1"/>
  <c r="D1762" i="16"/>
  <c r="E1762" i="16" s="1"/>
  <c r="F1762" i="16" s="1"/>
  <c r="G1762" i="16" s="1"/>
  <c r="D1761" i="16"/>
  <c r="E1761" i="16" s="1"/>
  <c r="F1761" i="16" s="1"/>
  <c r="G1761" i="16" s="1"/>
  <c r="D1760" i="16"/>
  <c r="E1760" i="16" s="1"/>
  <c r="F1760" i="16" s="1"/>
  <c r="G1760" i="16" s="1"/>
  <c r="D1759" i="16"/>
  <c r="E1759" i="16" s="1"/>
  <c r="F1759" i="16" s="1"/>
  <c r="G1759" i="16" s="1"/>
  <c r="D1758" i="16"/>
  <c r="E1758" i="16" s="1"/>
  <c r="F1758" i="16" s="1"/>
  <c r="G1758" i="16" s="1"/>
  <c r="D1757" i="16"/>
  <c r="E1757" i="16" s="1"/>
  <c r="F1757" i="16" s="1"/>
  <c r="G1757" i="16" s="1"/>
  <c r="D1756" i="16"/>
  <c r="E1756" i="16" s="1"/>
  <c r="F1756" i="16" s="1"/>
  <c r="G1756" i="16" s="1"/>
  <c r="D1755" i="16"/>
  <c r="E1755" i="16" s="1"/>
  <c r="F1755" i="16" s="1"/>
  <c r="G1755" i="16" s="1"/>
  <c r="D1754" i="16"/>
  <c r="E1754" i="16" s="1"/>
  <c r="F1754" i="16" s="1"/>
  <c r="G1754" i="16" s="1"/>
  <c r="D1753" i="16"/>
  <c r="E1753" i="16" s="1"/>
  <c r="F1753" i="16" s="1"/>
  <c r="G1753" i="16" s="1"/>
  <c r="D1752" i="16"/>
  <c r="E1752" i="16" s="1"/>
  <c r="F1752" i="16" s="1"/>
  <c r="G1752" i="16" s="1"/>
  <c r="D1751" i="16"/>
  <c r="E1751" i="16" s="1"/>
  <c r="F1751" i="16" s="1"/>
  <c r="G1751" i="16" s="1"/>
  <c r="D1750" i="16"/>
  <c r="E1750" i="16" s="1"/>
  <c r="F1750" i="16" s="1"/>
  <c r="G1750" i="16" s="1"/>
  <c r="D1749" i="16"/>
  <c r="E1749" i="16" s="1"/>
  <c r="F1749" i="16" s="1"/>
  <c r="G1749" i="16" s="1"/>
  <c r="D1748" i="16"/>
  <c r="E1748" i="16" s="1"/>
  <c r="F1748" i="16" s="1"/>
  <c r="G1748" i="16" s="1"/>
  <c r="D1747" i="16"/>
  <c r="E1747" i="16" s="1"/>
  <c r="F1747" i="16" s="1"/>
  <c r="G1747" i="16" s="1"/>
  <c r="D1746" i="16"/>
  <c r="E1746" i="16" s="1"/>
  <c r="F1746" i="16" s="1"/>
  <c r="G1746" i="16" s="1"/>
  <c r="D1745" i="16"/>
  <c r="E1745" i="16" s="1"/>
  <c r="F1745" i="16" s="1"/>
  <c r="G1745" i="16" s="1"/>
  <c r="D1744" i="16"/>
  <c r="E1744" i="16" s="1"/>
  <c r="F1744" i="16" s="1"/>
  <c r="G1744" i="16" s="1"/>
  <c r="D1743" i="16"/>
  <c r="E1743" i="16" s="1"/>
  <c r="F1743" i="16" s="1"/>
  <c r="G1743" i="16" s="1"/>
  <c r="D1742" i="16"/>
  <c r="E1742" i="16" s="1"/>
  <c r="F1742" i="16" s="1"/>
  <c r="G1742" i="16" s="1"/>
  <c r="D1741" i="16"/>
  <c r="E1741" i="16" s="1"/>
  <c r="F1741" i="16" s="1"/>
  <c r="G1741" i="16" s="1"/>
  <c r="D1740" i="16"/>
  <c r="E1740" i="16" s="1"/>
  <c r="F1740" i="16" s="1"/>
  <c r="G1740" i="16" s="1"/>
  <c r="D1739" i="16"/>
  <c r="E1739" i="16" s="1"/>
  <c r="F1739" i="16" s="1"/>
  <c r="G1739" i="16" s="1"/>
  <c r="D1738" i="16"/>
  <c r="E1738" i="16" s="1"/>
  <c r="F1738" i="16" s="1"/>
  <c r="G1738" i="16" s="1"/>
  <c r="D1737" i="16"/>
  <c r="E1737" i="16" s="1"/>
  <c r="F1737" i="16" s="1"/>
  <c r="G1737" i="16" s="1"/>
  <c r="D1736" i="16"/>
  <c r="E1736" i="16" s="1"/>
  <c r="F1736" i="16" s="1"/>
  <c r="G1736" i="16" s="1"/>
  <c r="D1735" i="16"/>
  <c r="E1735" i="16" s="1"/>
  <c r="F1735" i="16" s="1"/>
  <c r="G1735" i="16" s="1"/>
  <c r="D1734" i="16"/>
  <c r="E1734" i="16" s="1"/>
  <c r="F1734" i="16" s="1"/>
  <c r="G1734" i="16" s="1"/>
  <c r="D1733" i="16"/>
  <c r="E1733" i="16" s="1"/>
  <c r="F1733" i="16" s="1"/>
  <c r="G1733" i="16" s="1"/>
  <c r="D1732" i="16"/>
  <c r="E1732" i="16" s="1"/>
  <c r="G1732" i="16" s="1"/>
  <c r="D1731" i="16"/>
  <c r="E1731" i="16" s="1"/>
  <c r="F1731" i="16" s="1"/>
  <c r="G1731" i="16" s="1"/>
  <c r="D1730" i="16"/>
  <c r="E1730" i="16" s="1"/>
  <c r="F1730" i="16" s="1"/>
  <c r="G1730" i="16" s="1"/>
  <c r="D1729" i="16"/>
  <c r="E1729" i="16" s="1"/>
  <c r="F1729" i="16" s="1"/>
  <c r="G1729" i="16" s="1"/>
  <c r="D1728" i="16"/>
  <c r="E1728" i="16" s="1"/>
  <c r="F1728" i="16" s="1"/>
  <c r="G1728" i="16" s="1"/>
  <c r="D1727" i="16"/>
  <c r="E1727" i="16" s="1"/>
  <c r="F1727" i="16" s="1"/>
  <c r="G1727" i="16" s="1"/>
  <c r="D1726" i="16"/>
  <c r="E1726" i="16" s="1"/>
  <c r="F1726" i="16" s="1"/>
  <c r="G1726" i="16" s="1"/>
  <c r="D1725" i="16"/>
  <c r="E1725" i="16" s="1"/>
  <c r="F1725" i="16" s="1"/>
  <c r="G1725" i="16" s="1"/>
  <c r="D1724" i="16"/>
  <c r="E1724" i="16" s="1"/>
  <c r="F1724" i="16" s="1"/>
  <c r="G1724" i="16" s="1"/>
  <c r="D1723" i="16"/>
  <c r="E1723" i="16" s="1"/>
  <c r="F1723" i="16" s="1"/>
  <c r="G1723" i="16" s="1"/>
  <c r="D1722" i="16"/>
  <c r="E1722" i="16" s="1"/>
  <c r="F1722" i="16" s="1"/>
  <c r="G1722" i="16" s="1"/>
  <c r="D1721" i="16"/>
  <c r="E1721" i="16" s="1"/>
  <c r="F1721" i="16" s="1"/>
  <c r="G1721" i="16" s="1"/>
  <c r="D1720" i="16"/>
  <c r="E1720" i="16" s="1"/>
  <c r="F1720" i="16" s="1"/>
  <c r="G1720" i="16" s="1"/>
  <c r="D1719" i="16"/>
  <c r="E1719" i="16" s="1"/>
  <c r="F1719" i="16" s="1"/>
  <c r="G1719" i="16" s="1"/>
  <c r="D1718" i="16"/>
  <c r="E1718" i="16" s="1"/>
  <c r="F1718" i="16" s="1"/>
  <c r="G1718" i="16" s="1"/>
  <c r="D1717" i="16"/>
  <c r="E1717" i="16" s="1"/>
  <c r="F1717" i="16" s="1"/>
  <c r="G1717" i="16" s="1"/>
  <c r="D1716" i="16"/>
  <c r="E1716" i="16" s="1"/>
  <c r="F1716" i="16" s="1"/>
  <c r="G1716" i="16" s="1"/>
  <c r="D1715" i="16"/>
  <c r="E1715" i="16" s="1"/>
  <c r="F1715" i="16" s="1"/>
  <c r="G1715" i="16" s="1"/>
  <c r="D1714" i="16"/>
  <c r="E1714" i="16" s="1"/>
  <c r="F1714" i="16" s="1"/>
  <c r="G1714" i="16" s="1"/>
  <c r="D1713" i="16"/>
  <c r="E1713" i="16" s="1"/>
  <c r="F1713" i="16" s="1"/>
  <c r="G1713" i="16" s="1"/>
  <c r="D1712" i="16"/>
  <c r="E1712" i="16" s="1"/>
  <c r="F1712" i="16" s="1"/>
  <c r="G1712" i="16" s="1"/>
  <c r="D1711" i="16"/>
  <c r="E1711" i="16" s="1"/>
  <c r="F1711" i="16" s="1"/>
  <c r="G1711" i="16" s="1"/>
  <c r="D1710" i="16"/>
  <c r="E1710" i="16" s="1"/>
  <c r="F1710" i="16" s="1"/>
  <c r="G1710" i="16" s="1"/>
  <c r="D1709" i="16"/>
  <c r="E1709" i="16" s="1"/>
  <c r="F1709" i="16" s="1"/>
  <c r="G1709" i="16" s="1"/>
  <c r="D1708" i="16"/>
  <c r="E1708" i="16" s="1"/>
  <c r="F1708" i="16" s="1"/>
  <c r="G1708" i="16" s="1"/>
  <c r="D1707" i="16"/>
  <c r="E1707" i="16" s="1"/>
  <c r="F1707" i="16" s="1"/>
  <c r="G1707" i="16" s="1"/>
  <c r="D1706" i="16"/>
  <c r="E1706" i="16" s="1"/>
  <c r="F1706" i="16" s="1"/>
  <c r="G1706" i="16" s="1"/>
  <c r="D1705" i="16"/>
  <c r="E1705" i="16" s="1"/>
  <c r="F1705" i="16" s="1"/>
  <c r="G1705" i="16" s="1"/>
  <c r="D1704" i="16"/>
  <c r="E1704" i="16" s="1"/>
  <c r="F1704" i="16" s="1"/>
  <c r="G1704" i="16" s="1"/>
  <c r="D1703" i="16"/>
  <c r="E1703" i="16" s="1"/>
  <c r="F1703" i="16" s="1"/>
  <c r="G1703" i="16" s="1"/>
  <c r="D1702" i="16"/>
  <c r="E1702" i="16" s="1"/>
  <c r="F1702" i="16" s="1"/>
  <c r="G1702" i="16" s="1"/>
  <c r="D1701" i="16"/>
  <c r="E1701" i="16" s="1"/>
  <c r="F1701" i="16" s="1"/>
  <c r="G1701" i="16" s="1"/>
  <c r="D1700" i="16"/>
  <c r="E1700" i="16" s="1"/>
  <c r="F1700" i="16" s="1"/>
  <c r="G1700" i="16" s="1"/>
  <c r="D1699" i="16"/>
  <c r="E1699" i="16" s="1"/>
  <c r="F1699" i="16" s="1"/>
  <c r="G1699" i="16" s="1"/>
  <c r="D1698" i="16"/>
  <c r="E1698" i="16" s="1"/>
  <c r="F1698" i="16" s="1"/>
  <c r="G1698" i="16" s="1"/>
  <c r="D1697" i="16"/>
  <c r="E1697" i="16" s="1"/>
  <c r="F1697" i="16" s="1"/>
  <c r="G1697" i="16" s="1"/>
  <c r="D1696" i="16"/>
  <c r="E1696" i="16" s="1"/>
  <c r="F1696" i="16" s="1"/>
  <c r="G1696" i="16" s="1"/>
  <c r="D1695" i="16"/>
  <c r="E1695" i="16" s="1"/>
  <c r="F1695" i="16" s="1"/>
  <c r="G1695" i="16" s="1"/>
  <c r="D1694" i="16"/>
  <c r="E1694" i="16" s="1"/>
  <c r="F1694" i="16" s="1"/>
  <c r="G1694" i="16" s="1"/>
  <c r="D1693" i="16"/>
  <c r="E1693" i="16" s="1"/>
  <c r="F1693" i="16" s="1"/>
  <c r="G1693" i="16" s="1"/>
  <c r="D1692" i="16"/>
  <c r="E1692" i="16" s="1"/>
  <c r="F1692" i="16" s="1"/>
  <c r="G1692" i="16" s="1"/>
  <c r="D1691" i="16"/>
  <c r="E1691" i="16" s="1"/>
  <c r="F1691" i="16" s="1"/>
  <c r="G1691" i="16" s="1"/>
  <c r="D1690" i="16"/>
  <c r="E1690" i="16" s="1"/>
  <c r="F1690" i="16" s="1"/>
  <c r="G1690" i="16" s="1"/>
  <c r="D1689" i="16"/>
  <c r="E1689" i="16" s="1"/>
  <c r="F1689" i="16" s="1"/>
  <c r="G1689" i="16" s="1"/>
  <c r="D1688" i="16"/>
  <c r="E1688" i="16" s="1"/>
  <c r="F1688" i="16" s="1"/>
  <c r="G1688" i="16" s="1"/>
  <c r="D1687" i="16"/>
  <c r="E1687" i="16" s="1"/>
  <c r="F1687" i="16" s="1"/>
  <c r="G1687" i="16" s="1"/>
  <c r="D1686" i="16"/>
  <c r="E1686" i="16" s="1"/>
  <c r="F1686" i="16" s="1"/>
  <c r="G1686" i="16" s="1"/>
  <c r="D1685" i="16"/>
  <c r="E1685" i="16" s="1"/>
  <c r="F1685" i="16" s="1"/>
  <c r="G1685" i="16" s="1"/>
  <c r="D1684" i="16"/>
  <c r="E1684" i="16" s="1"/>
  <c r="F1684" i="16" s="1"/>
  <c r="G1684" i="16" s="1"/>
  <c r="D1683" i="16"/>
  <c r="E1683" i="16" s="1"/>
  <c r="F1683" i="16" s="1"/>
  <c r="G1683" i="16" s="1"/>
  <c r="D1682" i="16"/>
  <c r="E1682" i="16" s="1"/>
  <c r="F1682" i="16" s="1"/>
  <c r="G1682" i="16" s="1"/>
  <c r="D1681" i="16"/>
  <c r="E1681" i="16" s="1"/>
  <c r="F1681" i="16" s="1"/>
  <c r="G1681" i="16" s="1"/>
  <c r="D1680" i="16"/>
  <c r="E1680" i="16" s="1"/>
  <c r="F1680" i="16" s="1"/>
  <c r="G1680" i="16" s="1"/>
  <c r="D1679" i="16"/>
  <c r="E1679" i="16" s="1"/>
  <c r="F1679" i="16" s="1"/>
  <c r="G1679" i="16" s="1"/>
  <c r="D1678" i="16"/>
  <c r="E1678" i="16" s="1"/>
  <c r="F1678" i="16" s="1"/>
  <c r="G1678" i="16" s="1"/>
  <c r="D1677" i="16"/>
  <c r="E1677" i="16" s="1"/>
  <c r="F1677" i="16" s="1"/>
  <c r="G1677" i="16" s="1"/>
  <c r="D1676" i="16"/>
  <c r="E1676" i="16" s="1"/>
  <c r="F1676" i="16" s="1"/>
  <c r="G1676" i="16" s="1"/>
  <c r="D1675" i="16"/>
  <c r="E1675" i="16" s="1"/>
  <c r="F1675" i="16" s="1"/>
  <c r="G1675" i="16" s="1"/>
  <c r="D1674" i="16"/>
  <c r="E1674" i="16" s="1"/>
  <c r="F1674" i="16" s="1"/>
  <c r="G1674" i="16" s="1"/>
  <c r="D1673" i="16"/>
  <c r="E1673" i="16" s="1"/>
  <c r="F1673" i="16" s="1"/>
  <c r="G1673" i="16" s="1"/>
  <c r="D1672" i="16"/>
  <c r="E1672" i="16" s="1"/>
  <c r="F1672" i="16" s="1"/>
  <c r="G1672" i="16" s="1"/>
  <c r="D1671" i="16"/>
  <c r="E1671" i="16" s="1"/>
  <c r="F1671" i="16" s="1"/>
  <c r="G1671" i="16" s="1"/>
  <c r="D1670" i="16"/>
  <c r="E1670" i="16" s="1"/>
  <c r="F1670" i="16" s="1"/>
  <c r="G1670" i="16" s="1"/>
  <c r="D1669" i="16"/>
  <c r="E1669" i="16" s="1"/>
  <c r="F1669" i="16" s="1"/>
  <c r="G1669" i="16" s="1"/>
  <c r="D1668" i="16"/>
  <c r="E1668" i="16" s="1"/>
  <c r="F1668" i="16" s="1"/>
  <c r="G1668" i="16" s="1"/>
  <c r="D1667" i="16"/>
  <c r="E1667" i="16" s="1"/>
  <c r="F1667" i="16" s="1"/>
  <c r="G1667" i="16" s="1"/>
  <c r="D1666" i="16"/>
  <c r="E1666" i="16" s="1"/>
  <c r="F1666" i="16" s="1"/>
  <c r="G1666" i="16" s="1"/>
  <c r="D1665" i="16"/>
  <c r="E1665" i="16" s="1"/>
  <c r="F1665" i="16" s="1"/>
  <c r="G1665" i="16" s="1"/>
  <c r="D1664" i="16"/>
  <c r="E1664" i="16" s="1"/>
  <c r="F1664" i="16" s="1"/>
  <c r="G1664" i="16" s="1"/>
  <c r="D1663" i="16"/>
  <c r="E1663" i="16" s="1"/>
  <c r="F1663" i="16" s="1"/>
  <c r="G1663" i="16" s="1"/>
  <c r="D1662" i="16"/>
  <c r="E1662" i="16" s="1"/>
  <c r="F1662" i="16" s="1"/>
  <c r="G1662" i="16" s="1"/>
  <c r="D1661" i="16"/>
  <c r="E1661" i="16" s="1"/>
  <c r="F1661" i="16" s="1"/>
  <c r="G1661" i="16" s="1"/>
  <c r="D1660" i="16"/>
  <c r="E1660" i="16" s="1"/>
  <c r="F1660" i="16" s="1"/>
  <c r="G1660" i="16" s="1"/>
  <c r="D1659" i="16"/>
  <c r="E1659" i="16" s="1"/>
  <c r="F1659" i="16" s="1"/>
  <c r="G1659" i="16" s="1"/>
  <c r="D1658" i="16"/>
  <c r="E1658" i="16" s="1"/>
  <c r="F1658" i="16" s="1"/>
  <c r="G1658" i="16" s="1"/>
  <c r="D1657" i="16"/>
  <c r="E1657" i="16" s="1"/>
  <c r="F1657" i="16" s="1"/>
  <c r="G1657" i="16" s="1"/>
  <c r="D1656" i="16"/>
  <c r="E1656" i="16" s="1"/>
  <c r="F1656" i="16" s="1"/>
  <c r="G1656" i="16" s="1"/>
  <c r="D1655" i="16"/>
  <c r="E1655" i="16" s="1"/>
  <c r="F1655" i="16" s="1"/>
  <c r="G1655" i="16" s="1"/>
  <c r="D1654" i="16"/>
  <c r="E1654" i="16" s="1"/>
  <c r="F1654" i="16" s="1"/>
  <c r="G1654" i="16" s="1"/>
  <c r="D1653" i="16"/>
  <c r="E1653" i="16" s="1"/>
  <c r="F1653" i="16" s="1"/>
  <c r="G1653" i="16" s="1"/>
  <c r="D1652" i="16"/>
  <c r="E1652" i="16" s="1"/>
  <c r="F1652" i="16" s="1"/>
  <c r="G1652" i="16" s="1"/>
  <c r="D1651" i="16"/>
  <c r="E1651" i="16" s="1"/>
  <c r="F1651" i="16" s="1"/>
  <c r="G1651" i="16" s="1"/>
  <c r="D1650" i="16"/>
  <c r="E1650" i="16" s="1"/>
  <c r="F1650" i="16" s="1"/>
  <c r="G1650" i="16" s="1"/>
  <c r="D1649" i="16"/>
  <c r="E1649" i="16" s="1"/>
  <c r="F1649" i="16" s="1"/>
  <c r="G1649" i="16" s="1"/>
  <c r="D1648" i="16"/>
  <c r="E1648" i="16" s="1"/>
  <c r="F1648" i="16" s="1"/>
  <c r="G1648" i="16" s="1"/>
  <c r="D1647" i="16"/>
  <c r="E1647" i="16" s="1"/>
  <c r="F1647" i="16" s="1"/>
  <c r="G1647" i="16" s="1"/>
  <c r="D1646" i="16"/>
  <c r="E1646" i="16" s="1"/>
  <c r="F1646" i="16" s="1"/>
  <c r="G1646" i="16" s="1"/>
  <c r="D1645" i="16"/>
  <c r="E1645" i="16" s="1"/>
  <c r="F1645" i="16" s="1"/>
  <c r="G1645" i="16" s="1"/>
  <c r="D1644" i="16"/>
  <c r="E1644" i="16" s="1"/>
  <c r="F1644" i="16" s="1"/>
  <c r="G1644" i="16" s="1"/>
  <c r="D1643" i="16"/>
  <c r="E1643" i="16" s="1"/>
  <c r="F1643" i="16" s="1"/>
  <c r="G1643" i="16" s="1"/>
  <c r="D1642" i="16"/>
  <c r="E1642" i="16" s="1"/>
  <c r="F1642" i="16" s="1"/>
  <c r="G1642" i="16" s="1"/>
  <c r="D1641" i="16"/>
  <c r="E1641" i="16" s="1"/>
  <c r="G1641" i="16" s="1"/>
  <c r="D1640" i="16"/>
  <c r="E1640" i="16" s="1"/>
  <c r="F1640" i="16" s="1"/>
  <c r="G1640" i="16" s="1"/>
  <c r="D1639" i="16"/>
  <c r="E1639" i="16" s="1"/>
  <c r="F1639" i="16" s="1"/>
  <c r="G1639" i="16" s="1"/>
  <c r="D1638" i="16"/>
  <c r="E1638" i="16" s="1"/>
  <c r="F1638" i="16" s="1"/>
  <c r="G1638" i="16" s="1"/>
  <c r="D1637" i="16"/>
  <c r="E1637" i="16" s="1"/>
  <c r="F1637" i="16" s="1"/>
  <c r="G1637" i="16" s="1"/>
  <c r="D1636" i="16"/>
  <c r="E1636" i="16" s="1"/>
  <c r="F1636" i="16" s="1"/>
  <c r="G1636" i="16" s="1"/>
  <c r="D1635" i="16"/>
  <c r="E1635" i="16" s="1"/>
  <c r="F1635" i="16" s="1"/>
  <c r="G1635" i="16" s="1"/>
  <c r="D1634" i="16"/>
  <c r="E1634" i="16" s="1"/>
  <c r="F1634" i="16" s="1"/>
  <c r="G1634" i="16" s="1"/>
  <c r="D1633" i="16"/>
  <c r="E1633" i="16" s="1"/>
  <c r="F1633" i="16" s="1"/>
  <c r="G1633" i="16" s="1"/>
  <c r="D1632" i="16"/>
  <c r="E1632" i="16" s="1"/>
  <c r="F1632" i="16" s="1"/>
  <c r="G1632" i="16" s="1"/>
  <c r="D1631" i="16"/>
  <c r="E1631" i="16" s="1"/>
  <c r="F1631" i="16" s="1"/>
  <c r="G1631" i="16" s="1"/>
  <c r="D1630" i="16"/>
  <c r="E1630" i="16" s="1"/>
  <c r="F1630" i="16" s="1"/>
  <c r="G1630" i="16" s="1"/>
  <c r="D1629" i="16"/>
  <c r="E1629" i="16" s="1"/>
  <c r="F1629" i="16" s="1"/>
  <c r="G1629" i="16" s="1"/>
  <c r="D1628" i="16"/>
  <c r="E1628" i="16" s="1"/>
  <c r="F1628" i="16" s="1"/>
  <c r="G1628" i="16" s="1"/>
  <c r="D1627" i="16"/>
  <c r="E1627" i="16" s="1"/>
  <c r="F1627" i="16" s="1"/>
  <c r="G1627" i="16" s="1"/>
  <c r="D1626" i="16"/>
  <c r="E1626" i="16" s="1"/>
  <c r="F1626" i="16" s="1"/>
  <c r="G1626" i="16" s="1"/>
  <c r="D1625" i="16"/>
  <c r="E1625" i="16" s="1"/>
  <c r="F1625" i="16" s="1"/>
  <c r="G1625" i="16" s="1"/>
  <c r="D1624" i="16"/>
  <c r="E1624" i="16" s="1"/>
  <c r="F1624" i="16" s="1"/>
  <c r="G1624" i="16" s="1"/>
  <c r="D1623" i="16"/>
  <c r="E1623" i="16" s="1"/>
  <c r="F1623" i="16" s="1"/>
  <c r="G1623" i="16" s="1"/>
  <c r="D1622" i="16"/>
  <c r="E1622" i="16" s="1"/>
  <c r="F1622" i="16" s="1"/>
  <c r="G1622" i="16" s="1"/>
  <c r="D1621" i="16"/>
  <c r="E1621" i="16" s="1"/>
  <c r="F1621" i="16" s="1"/>
  <c r="G1621" i="16" s="1"/>
  <c r="D1620" i="16"/>
  <c r="E1620" i="16" s="1"/>
  <c r="F1620" i="16" s="1"/>
  <c r="G1620" i="16" s="1"/>
  <c r="D1619" i="16"/>
  <c r="E1619" i="16" s="1"/>
  <c r="F1619" i="16" s="1"/>
  <c r="G1619" i="16" s="1"/>
  <c r="D1618" i="16"/>
  <c r="E1618" i="16" s="1"/>
  <c r="F1618" i="16" s="1"/>
  <c r="G1618" i="16" s="1"/>
  <c r="D1617" i="16"/>
  <c r="E1617" i="16" s="1"/>
  <c r="F1617" i="16" s="1"/>
  <c r="G1617" i="16" s="1"/>
  <c r="D1616" i="16"/>
  <c r="E1616" i="16" s="1"/>
  <c r="F1616" i="16" s="1"/>
  <c r="G1616" i="16" s="1"/>
  <c r="D1615" i="16"/>
  <c r="E1615" i="16" s="1"/>
  <c r="F1615" i="16" s="1"/>
  <c r="G1615" i="16" s="1"/>
  <c r="D1614" i="16"/>
  <c r="E1614" i="16" s="1"/>
  <c r="F1614" i="16" s="1"/>
  <c r="G1614" i="16" s="1"/>
  <c r="D1613" i="16"/>
  <c r="E1613" i="16" s="1"/>
  <c r="F1613" i="16" s="1"/>
  <c r="G1613" i="16" s="1"/>
  <c r="D1612" i="16"/>
  <c r="E1612" i="16" s="1"/>
  <c r="F1612" i="16" s="1"/>
  <c r="G1612" i="16" s="1"/>
  <c r="D1611" i="16"/>
  <c r="E1611" i="16" s="1"/>
  <c r="F1611" i="16" s="1"/>
  <c r="G1611" i="16" s="1"/>
  <c r="D1610" i="16"/>
  <c r="E1610" i="16" s="1"/>
  <c r="F1610" i="16" s="1"/>
  <c r="G1610" i="16" s="1"/>
  <c r="D1609" i="16"/>
  <c r="E1609" i="16" s="1"/>
  <c r="F1609" i="16" s="1"/>
  <c r="G1609" i="16" s="1"/>
  <c r="D1608" i="16"/>
  <c r="E1608" i="16" s="1"/>
  <c r="F1608" i="16" s="1"/>
  <c r="G1608" i="16" s="1"/>
  <c r="D1607" i="16"/>
  <c r="E1607" i="16" s="1"/>
  <c r="F1607" i="16" s="1"/>
  <c r="G1607" i="16" s="1"/>
  <c r="D1606" i="16"/>
  <c r="E1606" i="16" s="1"/>
  <c r="F1606" i="16" s="1"/>
  <c r="G1606" i="16" s="1"/>
  <c r="D1605" i="16"/>
  <c r="E1605" i="16" s="1"/>
  <c r="F1605" i="16" s="1"/>
  <c r="G1605" i="16" s="1"/>
  <c r="D1604" i="16"/>
  <c r="E1604" i="16" s="1"/>
  <c r="F1604" i="16" s="1"/>
  <c r="G1604" i="16" s="1"/>
  <c r="D1603" i="16"/>
  <c r="E1603" i="16" s="1"/>
  <c r="G1603" i="16" s="1"/>
  <c r="D1602" i="16"/>
  <c r="E1602" i="16" s="1"/>
  <c r="F1602" i="16" s="1"/>
  <c r="G1602" i="16" s="1"/>
  <c r="D1601" i="16"/>
  <c r="E1601" i="16" s="1"/>
  <c r="F1601" i="16" s="1"/>
  <c r="G1601" i="16" s="1"/>
  <c r="D1600" i="16"/>
  <c r="E1600" i="16" s="1"/>
  <c r="F1600" i="16" s="1"/>
  <c r="G1600" i="16" s="1"/>
  <c r="D1599" i="16"/>
  <c r="E1599" i="16" s="1"/>
  <c r="F1599" i="16" s="1"/>
  <c r="G1599" i="16" s="1"/>
  <c r="D1598" i="16"/>
  <c r="E1598" i="16" s="1"/>
  <c r="F1598" i="16" s="1"/>
  <c r="G1598" i="16" s="1"/>
  <c r="D1597" i="16"/>
  <c r="E1597" i="16" s="1"/>
  <c r="F1597" i="16" s="1"/>
  <c r="G1597" i="16" s="1"/>
  <c r="D1596" i="16"/>
  <c r="E1596" i="16" s="1"/>
  <c r="F1596" i="16" s="1"/>
  <c r="G1596" i="16" s="1"/>
  <c r="D1595" i="16"/>
  <c r="E1595" i="16" s="1"/>
  <c r="F1595" i="16" s="1"/>
  <c r="G1595" i="16" s="1"/>
  <c r="D1594" i="16"/>
  <c r="E1594" i="16" s="1"/>
  <c r="F1594" i="16" s="1"/>
  <c r="G1594" i="16" s="1"/>
  <c r="D1593" i="16"/>
  <c r="E1593" i="16" s="1"/>
  <c r="G1593" i="16" s="1"/>
  <c r="D1592" i="16"/>
  <c r="E1592" i="16" s="1"/>
  <c r="F1592" i="16" s="1"/>
  <c r="G1592" i="16" s="1"/>
  <c r="D1591" i="16"/>
  <c r="E1591" i="16" s="1"/>
  <c r="F1591" i="16" s="1"/>
  <c r="G1591" i="16" s="1"/>
  <c r="D1590" i="16"/>
  <c r="E1590" i="16" s="1"/>
  <c r="F1590" i="16" s="1"/>
  <c r="G1590" i="16" s="1"/>
  <c r="D1589" i="16"/>
  <c r="E1589" i="16" s="1"/>
  <c r="F1589" i="16" s="1"/>
  <c r="G1589" i="16" s="1"/>
  <c r="D1588" i="16"/>
  <c r="E1588" i="16" s="1"/>
  <c r="F1588" i="16" s="1"/>
  <c r="G1588" i="16" s="1"/>
  <c r="D1587" i="16"/>
  <c r="E1587" i="16" s="1"/>
  <c r="F1587" i="16" s="1"/>
  <c r="G1587" i="16" s="1"/>
  <c r="D1586" i="16"/>
  <c r="E1586" i="16" s="1"/>
  <c r="F1586" i="16" s="1"/>
  <c r="G1586" i="16" s="1"/>
  <c r="D1585" i="16"/>
  <c r="E1585" i="16" s="1"/>
  <c r="F1585" i="16" s="1"/>
  <c r="G1585" i="16" s="1"/>
  <c r="D1584" i="16"/>
  <c r="E1584" i="16" s="1"/>
  <c r="F1584" i="16" s="1"/>
  <c r="G1584" i="16" s="1"/>
  <c r="D1583" i="16"/>
  <c r="E1583" i="16" s="1"/>
  <c r="F1583" i="16" s="1"/>
  <c r="G1583" i="16" s="1"/>
  <c r="D1582" i="16"/>
  <c r="E1582" i="16" s="1"/>
  <c r="F1582" i="16" s="1"/>
  <c r="G1582" i="16" s="1"/>
  <c r="D1581" i="16"/>
  <c r="E1581" i="16" s="1"/>
  <c r="F1581" i="16" s="1"/>
  <c r="G1581" i="16" s="1"/>
  <c r="D1580" i="16"/>
  <c r="E1580" i="16" s="1"/>
  <c r="F1580" i="16" s="1"/>
  <c r="G1580" i="16" s="1"/>
  <c r="D1579" i="16"/>
  <c r="E1579" i="16" s="1"/>
  <c r="F1579" i="16" s="1"/>
  <c r="G1579" i="16" s="1"/>
  <c r="D1578" i="16"/>
  <c r="E1578" i="16" s="1"/>
  <c r="F1578" i="16" s="1"/>
  <c r="G1578" i="16" s="1"/>
  <c r="D1577" i="16"/>
  <c r="E1577" i="16" s="1"/>
  <c r="G1577" i="16" s="1"/>
  <c r="D1576" i="16"/>
  <c r="E1576" i="16" s="1"/>
  <c r="F1576" i="16" s="1"/>
  <c r="G1576" i="16" s="1"/>
  <c r="D1575" i="16"/>
  <c r="E1575" i="16" s="1"/>
  <c r="G1575" i="16" s="1"/>
  <c r="D1574" i="16"/>
  <c r="E1574" i="16" s="1"/>
  <c r="F1574" i="16" s="1"/>
  <c r="G1574" i="16" s="1"/>
  <c r="D1573" i="16"/>
  <c r="E1573" i="16" s="1"/>
  <c r="F1573" i="16" s="1"/>
  <c r="G1573" i="16" s="1"/>
  <c r="D1572" i="16"/>
  <c r="E1572" i="16" s="1"/>
  <c r="F1572" i="16" s="1"/>
  <c r="G1572" i="16" s="1"/>
  <c r="D1571" i="16"/>
  <c r="E1571" i="16" s="1"/>
  <c r="F1571" i="16" s="1"/>
  <c r="G1571" i="16" s="1"/>
  <c r="D1570" i="16"/>
  <c r="E1570" i="16" s="1"/>
  <c r="F1570" i="16" s="1"/>
  <c r="G1570" i="16" s="1"/>
  <c r="D1569" i="16"/>
  <c r="E1569" i="16" s="1"/>
  <c r="F1569" i="16" s="1"/>
  <c r="G1569" i="16" s="1"/>
  <c r="D1568" i="16"/>
  <c r="E1568" i="16" s="1"/>
  <c r="F1568" i="16" s="1"/>
  <c r="G1568" i="16" s="1"/>
  <c r="D1567" i="16"/>
  <c r="E1567" i="16" s="1"/>
  <c r="F1567" i="16" s="1"/>
  <c r="G1567" i="16" s="1"/>
  <c r="D1566" i="16"/>
  <c r="E1566" i="16" s="1"/>
  <c r="F1566" i="16" s="1"/>
  <c r="G1566" i="16" s="1"/>
  <c r="D1565" i="16"/>
  <c r="E1565" i="16" s="1"/>
  <c r="F1565" i="16" s="1"/>
  <c r="G1565" i="16" s="1"/>
  <c r="D1564" i="16"/>
  <c r="E1564" i="16" s="1"/>
  <c r="F1564" i="16" s="1"/>
  <c r="G1564" i="16" s="1"/>
  <c r="D1563" i="16"/>
  <c r="E1563" i="16" s="1"/>
  <c r="F1563" i="16" s="1"/>
  <c r="G1563" i="16" s="1"/>
  <c r="D1562" i="16"/>
  <c r="E1562" i="16" s="1"/>
  <c r="F1562" i="16" s="1"/>
  <c r="G1562" i="16" s="1"/>
  <c r="D1561" i="16"/>
  <c r="E1561" i="16" s="1"/>
  <c r="F1561" i="16" s="1"/>
  <c r="G1561" i="16" s="1"/>
  <c r="D1560" i="16"/>
  <c r="E1560" i="16" s="1"/>
  <c r="F1560" i="16" s="1"/>
  <c r="G1560" i="16" s="1"/>
  <c r="D1559" i="16"/>
  <c r="E1559" i="16" s="1"/>
  <c r="F1559" i="16" s="1"/>
  <c r="G1559" i="16" s="1"/>
  <c r="D1558" i="16"/>
  <c r="E1558" i="16" s="1"/>
  <c r="F1558" i="16" s="1"/>
  <c r="G1558" i="16" s="1"/>
  <c r="D1557" i="16"/>
  <c r="E1557" i="16" s="1"/>
  <c r="F1557" i="16" s="1"/>
  <c r="G1557" i="16" s="1"/>
  <c r="D1556" i="16"/>
  <c r="E1556" i="16" s="1"/>
  <c r="F1556" i="16" s="1"/>
  <c r="G1556" i="16" s="1"/>
  <c r="D1555" i="16"/>
  <c r="E1555" i="16" s="1"/>
  <c r="F1555" i="16" s="1"/>
  <c r="G1555" i="16" s="1"/>
  <c r="D1554" i="16"/>
  <c r="E1554" i="16" s="1"/>
  <c r="F1554" i="16" s="1"/>
  <c r="G1554" i="16" s="1"/>
  <c r="D1553" i="16"/>
  <c r="E1553" i="16" s="1"/>
  <c r="F1553" i="16" s="1"/>
  <c r="G1553" i="16" s="1"/>
  <c r="D1552" i="16"/>
  <c r="E1552" i="16" s="1"/>
  <c r="F1552" i="16" s="1"/>
  <c r="G1552" i="16" s="1"/>
  <c r="D1551" i="16"/>
  <c r="E1551" i="16" s="1"/>
  <c r="F1551" i="16" s="1"/>
  <c r="G1551" i="16" s="1"/>
  <c r="D1550" i="16"/>
  <c r="E1550" i="16" s="1"/>
  <c r="F1550" i="16" s="1"/>
  <c r="G1550" i="16" s="1"/>
  <c r="D1549" i="16"/>
  <c r="E1549" i="16" s="1"/>
  <c r="F1549" i="16" s="1"/>
  <c r="G1549" i="16" s="1"/>
  <c r="D1548" i="16"/>
  <c r="E1548" i="16" s="1"/>
  <c r="F1548" i="16" s="1"/>
  <c r="G1548" i="16" s="1"/>
  <c r="D1547" i="16"/>
  <c r="E1547" i="16" s="1"/>
  <c r="F1547" i="16" s="1"/>
  <c r="G1547" i="16" s="1"/>
  <c r="D1546" i="16"/>
  <c r="E1546" i="16" s="1"/>
  <c r="F1546" i="16" s="1"/>
  <c r="G1546" i="16" s="1"/>
  <c r="D1545" i="16"/>
  <c r="E1545" i="16" s="1"/>
  <c r="F1545" i="16" s="1"/>
  <c r="G1545" i="16" s="1"/>
  <c r="D1544" i="16"/>
  <c r="E1544" i="16" s="1"/>
  <c r="F1544" i="16" s="1"/>
  <c r="G1544" i="16" s="1"/>
  <c r="D1543" i="16"/>
  <c r="E1543" i="16" s="1"/>
  <c r="F1543" i="16" s="1"/>
  <c r="G1543" i="16" s="1"/>
  <c r="D1542" i="16"/>
  <c r="E1542" i="16" s="1"/>
  <c r="F1542" i="16" s="1"/>
  <c r="G1542" i="16" s="1"/>
  <c r="D1541" i="16"/>
  <c r="E1541" i="16" s="1"/>
  <c r="F1541" i="16" s="1"/>
  <c r="G1541" i="16" s="1"/>
  <c r="D1540" i="16"/>
  <c r="E1540" i="16" s="1"/>
  <c r="F1540" i="16" s="1"/>
  <c r="G1540" i="16" s="1"/>
  <c r="D1539" i="16"/>
  <c r="E1539" i="16" s="1"/>
  <c r="F1539" i="16" s="1"/>
  <c r="G1539" i="16" s="1"/>
  <c r="D1538" i="16"/>
  <c r="E1538" i="16" s="1"/>
  <c r="F1538" i="16" s="1"/>
  <c r="G1538" i="16" s="1"/>
  <c r="D1537" i="16"/>
  <c r="E1537" i="16" s="1"/>
  <c r="F1537" i="16" s="1"/>
  <c r="G1537" i="16" s="1"/>
  <c r="D1536" i="16"/>
  <c r="E1536" i="16" s="1"/>
  <c r="F1536" i="16" s="1"/>
  <c r="G1536" i="16" s="1"/>
  <c r="D1535" i="16"/>
  <c r="E1535" i="16" s="1"/>
  <c r="F1535" i="16" s="1"/>
  <c r="G1535" i="16" s="1"/>
  <c r="D1534" i="16"/>
  <c r="E1534" i="16" s="1"/>
  <c r="F1534" i="16" s="1"/>
  <c r="G1534" i="16" s="1"/>
  <c r="D1533" i="16"/>
  <c r="E1533" i="16" s="1"/>
  <c r="F1533" i="16" s="1"/>
  <c r="G1533" i="16" s="1"/>
  <c r="D1532" i="16"/>
  <c r="E1532" i="16" s="1"/>
  <c r="F1532" i="16" s="1"/>
  <c r="G1532" i="16" s="1"/>
  <c r="D1531" i="16"/>
  <c r="E1531" i="16" s="1"/>
  <c r="F1531" i="16" s="1"/>
  <c r="G1531" i="16" s="1"/>
  <c r="D1530" i="16"/>
  <c r="E1530" i="16" s="1"/>
  <c r="F1530" i="16" s="1"/>
  <c r="G1530" i="16" s="1"/>
  <c r="D1529" i="16"/>
  <c r="E1529" i="16" s="1"/>
  <c r="F1529" i="16" s="1"/>
  <c r="G1529" i="16" s="1"/>
  <c r="D1528" i="16"/>
  <c r="E1528" i="16" s="1"/>
  <c r="F1528" i="16" s="1"/>
  <c r="G1528" i="16" s="1"/>
  <c r="D1527" i="16"/>
  <c r="E1527" i="16" s="1"/>
  <c r="F1527" i="16" s="1"/>
  <c r="G1527" i="16" s="1"/>
  <c r="D1526" i="16"/>
  <c r="E1526" i="16" s="1"/>
  <c r="F1526" i="16" s="1"/>
  <c r="G1526" i="16" s="1"/>
  <c r="D1525" i="16"/>
  <c r="E1525" i="16" s="1"/>
  <c r="F1525" i="16" s="1"/>
  <c r="G1525" i="16" s="1"/>
  <c r="D1524" i="16"/>
  <c r="E1524" i="16" s="1"/>
  <c r="F1524" i="16" s="1"/>
  <c r="G1524" i="16" s="1"/>
  <c r="D1523" i="16"/>
  <c r="E1523" i="16" s="1"/>
  <c r="F1523" i="16" s="1"/>
  <c r="G1523" i="16" s="1"/>
  <c r="D1522" i="16"/>
  <c r="E1522" i="16" s="1"/>
  <c r="F1522" i="16" s="1"/>
  <c r="G1522" i="16" s="1"/>
  <c r="D1521" i="16"/>
  <c r="E1521" i="16" s="1"/>
  <c r="F1521" i="16" s="1"/>
  <c r="G1521" i="16" s="1"/>
  <c r="D1520" i="16"/>
  <c r="E1520" i="16" s="1"/>
  <c r="F1520" i="16" s="1"/>
  <c r="G1520" i="16" s="1"/>
  <c r="D1519" i="16"/>
  <c r="E1519" i="16" s="1"/>
  <c r="F1519" i="16" s="1"/>
  <c r="G1519" i="16" s="1"/>
  <c r="D1518" i="16"/>
  <c r="E1518" i="16" s="1"/>
  <c r="F1518" i="16" s="1"/>
  <c r="G1518" i="16" s="1"/>
  <c r="D1517" i="16"/>
  <c r="E1517" i="16" s="1"/>
  <c r="F1517" i="16" s="1"/>
  <c r="G1517" i="16" s="1"/>
  <c r="D1516" i="16"/>
  <c r="E1516" i="16" s="1"/>
  <c r="F1516" i="16" s="1"/>
  <c r="G1516" i="16" s="1"/>
  <c r="D1515" i="16"/>
  <c r="E1515" i="16" s="1"/>
  <c r="F1515" i="16" s="1"/>
  <c r="G1515" i="16" s="1"/>
  <c r="D1514" i="16"/>
  <c r="E1514" i="16" s="1"/>
  <c r="F1514" i="16" s="1"/>
  <c r="G1514" i="16" s="1"/>
  <c r="D1513" i="16"/>
  <c r="E1513" i="16" s="1"/>
  <c r="F1513" i="16" s="1"/>
  <c r="G1513" i="16" s="1"/>
  <c r="D1512" i="16"/>
  <c r="E1512" i="16" s="1"/>
  <c r="F1512" i="16" s="1"/>
  <c r="G1512" i="16" s="1"/>
  <c r="D1511" i="16"/>
  <c r="E1511" i="16" s="1"/>
  <c r="F1511" i="16" s="1"/>
  <c r="G1511" i="16" s="1"/>
  <c r="D1510" i="16"/>
  <c r="E1510" i="16" s="1"/>
  <c r="F1510" i="16" s="1"/>
  <c r="G1510" i="16" s="1"/>
  <c r="D1509" i="16"/>
  <c r="E1509" i="16" s="1"/>
  <c r="F1509" i="16" s="1"/>
  <c r="G1509" i="16" s="1"/>
  <c r="D1508" i="16"/>
  <c r="E1508" i="16" s="1"/>
  <c r="F1508" i="16" s="1"/>
  <c r="G1508" i="16" s="1"/>
  <c r="D1507" i="16"/>
  <c r="E1507" i="16" s="1"/>
  <c r="F1507" i="16" s="1"/>
  <c r="G1507" i="16" s="1"/>
  <c r="D1506" i="16"/>
  <c r="E1506" i="16" s="1"/>
  <c r="F1506" i="16" s="1"/>
  <c r="G1506" i="16" s="1"/>
  <c r="D1505" i="16"/>
  <c r="E1505" i="16" s="1"/>
  <c r="F1505" i="16" s="1"/>
  <c r="G1505" i="16" s="1"/>
  <c r="D1504" i="16"/>
  <c r="E1504" i="16" s="1"/>
  <c r="F1504" i="16" s="1"/>
  <c r="G1504" i="16" s="1"/>
  <c r="D1503" i="16"/>
  <c r="E1503" i="16" s="1"/>
  <c r="F1503" i="16" s="1"/>
  <c r="G1503" i="16" s="1"/>
  <c r="D1502" i="16"/>
  <c r="E1502" i="16" s="1"/>
  <c r="F1502" i="16" s="1"/>
  <c r="G1502" i="16" s="1"/>
  <c r="D1501" i="16"/>
  <c r="E1501" i="16" s="1"/>
  <c r="F1501" i="16" s="1"/>
  <c r="G1501" i="16" s="1"/>
  <c r="D1500" i="16"/>
  <c r="E1500" i="16" s="1"/>
  <c r="F1500" i="16" s="1"/>
  <c r="G1500" i="16" s="1"/>
  <c r="D1499" i="16"/>
  <c r="E1499" i="16" s="1"/>
  <c r="F1499" i="16" s="1"/>
  <c r="G1499" i="16" s="1"/>
  <c r="D1498" i="16"/>
  <c r="E1498" i="16" s="1"/>
  <c r="F1498" i="16" s="1"/>
  <c r="G1498" i="16" s="1"/>
  <c r="D1497" i="16"/>
  <c r="E1497" i="16" s="1"/>
  <c r="F1497" i="16" s="1"/>
  <c r="G1497" i="16" s="1"/>
  <c r="D1496" i="16"/>
  <c r="E1496" i="16" s="1"/>
  <c r="F1496" i="16" s="1"/>
  <c r="G1496" i="16" s="1"/>
  <c r="D1495" i="16"/>
  <c r="E1495" i="16" s="1"/>
  <c r="F1495" i="16" s="1"/>
  <c r="G1495" i="16" s="1"/>
  <c r="D1494" i="16"/>
  <c r="E1494" i="16" s="1"/>
  <c r="F1494" i="16" s="1"/>
  <c r="G1494" i="16" s="1"/>
  <c r="D1493" i="16"/>
  <c r="E1493" i="16" s="1"/>
  <c r="F1493" i="16" s="1"/>
  <c r="G1493" i="16" s="1"/>
  <c r="D1492" i="16"/>
  <c r="E1492" i="16" s="1"/>
  <c r="F1492" i="16" s="1"/>
  <c r="G1492" i="16" s="1"/>
  <c r="D1491" i="16"/>
  <c r="E1491" i="16" s="1"/>
  <c r="F1491" i="16" s="1"/>
  <c r="G1491" i="16" s="1"/>
  <c r="D1490" i="16"/>
  <c r="E1490" i="16" s="1"/>
  <c r="F1490" i="16" s="1"/>
  <c r="G1490" i="16" s="1"/>
  <c r="D1489" i="16"/>
  <c r="E1489" i="16" s="1"/>
  <c r="F1489" i="16" s="1"/>
  <c r="G1489" i="16" s="1"/>
  <c r="D1488" i="16"/>
  <c r="E1488" i="16" s="1"/>
  <c r="F1488" i="16" s="1"/>
  <c r="G1488" i="16" s="1"/>
  <c r="D1487" i="16"/>
  <c r="E1487" i="16" s="1"/>
  <c r="F1487" i="16" s="1"/>
  <c r="G1487" i="16" s="1"/>
  <c r="D1486" i="16"/>
  <c r="E1486" i="16" s="1"/>
  <c r="F1486" i="16" s="1"/>
  <c r="G1486" i="16" s="1"/>
  <c r="D1485" i="16"/>
  <c r="E1485" i="16" s="1"/>
  <c r="F1485" i="16" s="1"/>
  <c r="G1485" i="16" s="1"/>
  <c r="D1484" i="16"/>
  <c r="E1484" i="16" s="1"/>
  <c r="F1484" i="16" s="1"/>
  <c r="G1484" i="16" s="1"/>
  <c r="D1483" i="16"/>
  <c r="E1483" i="16" s="1"/>
  <c r="F1483" i="16" s="1"/>
  <c r="G1483" i="16" s="1"/>
  <c r="D1482" i="16"/>
  <c r="E1482" i="16" s="1"/>
  <c r="F1482" i="16" s="1"/>
  <c r="G1482" i="16" s="1"/>
  <c r="D1481" i="16"/>
  <c r="E1481" i="16" s="1"/>
  <c r="F1481" i="16" s="1"/>
  <c r="G1481" i="16" s="1"/>
  <c r="D1480" i="16"/>
  <c r="E1480" i="16" s="1"/>
  <c r="F1480" i="16" s="1"/>
  <c r="G1480" i="16" s="1"/>
  <c r="D1479" i="16"/>
  <c r="E1479" i="16" s="1"/>
  <c r="F1479" i="16" s="1"/>
  <c r="G1479" i="16" s="1"/>
  <c r="D1478" i="16"/>
  <c r="E1478" i="16" s="1"/>
  <c r="F1478" i="16" s="1"/>
  <c r="G1478" i="16" s="1"/>
  <c r="D1477" i="16"/>
  <c r="E1477" i="16" s="1"/>
  <c r="F1477" i="16" s="1"/>
  <c r="G1477" i="16" s="1"/>
  <c r="D1476" i="16"/>
  <c r="E1476" i="16" s="1"/>
  <c r="G1476" i="16" s="1"/>
  <c r="D1475" i="16"/>
  <c r="E1475" i="16" s="1"/>
  <c r="F1475" i="16" s="1"/>
  <c r="G1475" i="16" s="1"/>
  <c r="D1474" i="16"/>
  <c r="E1474" i="16" s="1"/>
  <c r="F1474" i="16" s="1"/>
  <c r="G1474" i="16" s="1"/>
  <c r="D1473" i="16"/>
  <c r="E1473" i="16" s="1"/>
  <c r="F1473" i="16" s="1"/>
  <c r="G1473" i="16" s="1"/>
  <c r="D1472" i="16"/>
  <c r="E1472" i="16" s="1"/>
  <c r="F1472" i="16" s="1"/>
  <c r="G1472" i="16" s="1"/>
  <c r="D1471" i="16"/>
  <c r="E1471" i="16" s="1"/>
  <c r="F1471" i="16" s="1"/>
  <c r="G1471" i="16" s="1"/>
  <c r="D1470" i="16"/>
  <c r="E1470" i="16" s="1"/>
  <c r="F1470" i="16" s="1"/>
  <c r="G1470" i="16" s="1"/>
  <c r="D1469" i="16"/>
  <c r="E1469" i="16" s="1"/>
  <c r="F1469" i="16" s="1"/>
  <c r="G1469" i="16" s="1"/>
  <c r="D1468" i="16"/>
  <c r="E1468" i="16" s="1"/>
  <c r="F1468" i="16" s="1"/>
  <c r="G1468" i="16" s="1"/>
  <c r="D1467" i="16"/>
  <c r="E1467" i="16" s="1"/>
  <c r="F1467" i="16" s="1"/>
  <c r="G1467" i="16" s="1"/>
  <c r="D1466" i="16"/>
  <c r="E1466" i="16" s="1"/>
  <c r="F1466" i="16" s="1"/>
  <c r="G1466" i="16" s="1"/>
  <c r="D1465" i="16"/>
  <c r="E1465" i="16" s="1"/>
  <c r="F1465" i="16" s="1"/>
  <c r="G1465" i="16" s="1"/>
  <c r="D1464" i="16"/>
  <c r="E1464" i="16" s="1"/>
  <c r="F1464" i="16" s="1"/>
  <c r="G1464" i="16" s="1"/>
  <c r="D1463" i="16"/>
  <c r="E1463" i="16" s="1"/>
  <c r="F1463" i="16" s="1"/>
  <c r="G1463" i="16" s="1"/>
  <c r="D1462" i="16"/>
  <c r="E1462" i="16" s="1"/>
  <c r="F1462" i="16" s="1"/>
  <c r="G1462" i="16" s="1"/>
  <c r="D1461" i="16"/>
  <c r="E1461" i="16" s="1"/>
  <c r="F1461" i="16" s="1"/>
  <c r="G1461" i="16" s="1"/>
  <c r="D1460" i="16"/>
  <c r="E1460" i="16" s="1"/>
  <c r="F1460" i="16" s="1"/>
  <c r="G1460" i="16" s="1"/>
  <c r="D1459" i="16"/>
  <c r="E1459" i="16" s="1"/>
  <c r="F1459" i="16" s="1"/>
  <c r="G1459" i="16" s="1"/>
  <c r="D1458" i="16"/>
  <c r="E1458" i="16" s="1"/>
  <c r="F1458" i="16" s="1"/>
  <c r="G1458" i="16" s="1"/>
  <c r="D1457" i="16"/>
  <c r="E1457" i="16" s="1"/>
  <c r="F1457" i="16" s="1"/>
  <c r="G1457" i="16" s="1"/>
  <c r="D1456" i="16"/>
  <c r="E1456" i="16" s="1"/>
  <c r="F1456" i="16" s="1"/>
  <c r="G1456" i="16" s="1"/>
  <c r="D1455" i="16"/>
  <c r="E1455" i="16" s="1"/>
  <c r="F1455" i="16" s="1"/>
  <c r="G1455" i="16" s="1"/>
  <c r="D1454" i="16"/>
  <c r="E1454" i="16" s="1"/>
  <c r="F1454" i="16" s="1"/>
  <c r="G1454" i="16" s="1"/>
  <c r="D1453" i="16"/>
  <c r="E1453" i="16" s="1"/>
  <c r="F1453" i="16" s="1"/>
  <c r="G1453" i="16" s="1"/>
  <c r="D1452" i="16"/>
  <c r="E1452" i="16" s="1"/>
  <c r="F1452" i="16" s="1"/>
  <c r="G1452" i="16" s="1"/>
  <c r="D1451" i="16"/>
  <c r="E1451" i="16" s="1"/>
  <c r="F1451" i="16" s="1"/>
  <c r="G1451" i="16" s="1"/>
  <c r="D1450" i="16"/>
  <c r="E1450" i="16" s="1"/>
  <c r="F1450" i="16" s="1"/>
  <c r="G1450" i="16" s="1"/>
  <c r="D1449" i="16"/>
  <c r="E1449" i="16" s="1"/>
  <c r="F1449" i="16" s="1"/>
  <c r="G1449" i="16" s="1"/>
  <c r="D1448" i="16"/>
  <c r="E1448" i="16" s="1"/>
  <c r="F1448" i="16" s="1"/>
  <c r="G1448" i="16" s="1"/>
  <c r="D1447" i="16"/>
  <c r="E1447" i="16" s="1"/>
  <c r="F1447" i="16" s="1"/>
  <c r="G1447" i="16" s="1"/>
  <c r="D1446" i="16"/>
  <c r="E1446" i="16" s="1"/>
  <c r="F1446" i="16" s="1"/>
  <c r="G1446" i="16" s="1"/>
  <c r="D1445" i="16"/>
  <c r="E1445" i="16" s="1"/>
  <c r="F1445" i="16" s="1"/>
  <c r="G1445" i="16" s="1"/>
  <c r="D1444" i="16"/>
  <c r="E1444" i="16" s="1"/>
  <c r="F1444" i="16" s="1"/>
  <c r="G1444" i="16" s="1"/>
  <c r="D1443" i="16"/>
  <c r="E1443" i="16" s="1"/>
  <c r="F1443" i="16" s="1"/>
  <c r="G1443" i="16" s="1"/>
  <c r="D1442" i="16"/>
  <c r="E1442" i="16" s="1"/>
  <c r="F1442" i="16" s="1"/>
  <c r="G1442" i="16" s="1"/>
  <c r="D1441" i="16"/>
  <c r="E1441" i="16" s="1"/>
  <c r="F1441" i="16" s="1"/>
  <c r="G1441" i="16" s="1"/>
  <c r="D1440" i="16"/>
  <c r="E1440" i="16" s="1"/>
  <c r="F1440" i="16" s="1"/>
  <c r="G1440" i="16" s="1"/>
  <c r="D1439" i="16"/>
  <c r="E1439" i="16" s="1"/>
  <c r="F1439" i="16" s="1"/>
  <c r="G1439" i="16" s="1"/>
  <c r="D1438" i="16"/>
  <c r="E1438" i="16" s="1"/>
  <c r="F1438" i="16" s="1"/>
  <c r="G1438" i="16" s="1"/>
  <c r="D1437" i="16"/>
  <c r="E1437" i="16" s="1"/>
  <c r="F1437" i="16" s="1"/>
  <c r="G1437" i="16" s="1"/>
  <c r="D1436" i="16"/>
  <c r="E1436" i="16" s="1"/>
  <c r="G1436" i="16" s="1"/>
  <c r="D1435" i="16"/>
  <c r="E1435" i="16" s="1"/>
  <c r="F1435" i="16" s="1"/>
  <c r="G1435" i="16" s="1"/>
  <c r="D1434" i="16"/>
  <c r="E1434" i="16" s="1"/>
  <c r="F1434" i="16" s="1"/>
  <c r="G1434" i="16" s="1"/>
  <c r="D1433" i="16"/>
  <c r="E1433" i="16" s="1"/>
  <c r="F1433" i="16" s="1"/>
  <c r="G1433" i="16" s="1"/>
  <c r="D1432" i="16"/>
  <c r="E1432" i="16" s="1"/>
  <c r="F1432" i="16" s="1"/>
  <c r="G1432" i="16" s="1"/>
  <c r="D1431" i="16"/>
  <c r="E1431" i="16" s="1"/>
  <c r="F1431" i="16" s="1"/>
  <c r="G1431" i="16" s="1"/>
  <c r="D1430" i="16"/>
  <c r="E1430" i="16" s="1"/>
  <c r="F1430" i="16" s="1"/>
  <c r="G1430" i="16" s="1"/>
  <c r="D1429" i="16"/>
  <c r="E1429" i="16" s="1"/>
  <c r="F1429" i="16" s="1"/>
  <c r="G1429" i="16" s="1"/>
  <c r="D1428" i="16"/>
  <c r="E1428" i="16" s="1"/>
  <c r="F1428" i="16" s="1"/>
  <c r="G1428" i="16" s="1"/>
  <c r="D1427" i="16"/>
  <c r="E1427" i="16" s="1"/>
  <c r="F1427" i="16" s="1"/>
  <c r="G1427" i="16" s="1"/>
  <c r="D1426" i="16"/>
  <c r="E1426" i="16" s="1"/>
  <c r="F1426" i="16" s="1"/>
  <c r="G1426" i="16" s="1"/>
  <c r="D1425" i="16"/>
  <c r="E1425" i="16" s="1"/>
  <c r="F1425" i="16" s="1"/>
  <c r="G1425" i="16" s="1"/>
  <c r="D1424" i="16"/>
  <c r="E1424" i="16" s="1"/>
  <c r="F1424" i="16" s="1"/>
  <c r="G1424" i="16" s="1"/>
  <c r="D1423" i="16"/>
  <c r="E1423" i="16" s="1"/>
  <c r="G1423" i="16" s="1"/>
  <c r="D1422" i="16"/>
  <c r="E1422" i="16" s="1"/>
  <c r="F1422" i="16" s="1"/>
  <c r="G1422" i="16" s="1"/>
  <c r="D1421" i="16"/>
  <c r="E1421" i="16" s="1"/>
  <c r="F1421" i="16" s="1"/>
  <c r="G1421" i="16" s="1"/>
  <c r="D1420" i="16"/>
  <c r="E1420" i="16" s="1"/>
  <c r="F1420" i="16" s="1"/>
  <c r="G1420" i="16" s="1"/>
  <c r="D1419" i="16"/>
  <c r="E1419" i="16" s="1"/>
  <c r="F1419" i="16" s="1"/>
  <c r="G1419" i="16" s="1"/>
  <c r="D1418" i="16"/>
  <c r="E1418" i="16" s="1"/>
  <c r="F1418" i="16" s="1"/>
  <c r="G1418" i="16" s="1"/>
  <c r="D1417" i="16"/>
  <c r="E1417" i="16" s="1"/>
  <c r="F1417" i="16" s="1"/>
  <c r="G1417" i="16" s="1"/>
  <c r="D1416" i="16"/>
  <c r="E1416" i="16" s="1"/>
  <c r="F1416" i="16" s="1"/>
  <c r="G1416" i="16" s="1"/>
  <c r="D1415" i="16"/>
  <c r="E1415" i="16" s="1"/>
  <c r="F1415" i="16" s="1"/>
  <c r="G1415" i="16" s="1"/>
  <c r="D1414" i="16"/>
  <c r="E1414" i="16" s="1"/>
  <c r="F1414" i="16" s="1"/>
  <c r="G1414" i="16" s="1"/>
  <c r="D1413" i="16"/>
  <c r="E1413" i="16" s="1"/>
  <c r="F1413" i="16" s="1"/>
  <c r="G1413" i="16" s="1"/>
  <c r="D1412" i="16"/>
  <c r="E1412" i="16" s="1"/>
  <c r="F1412" i="16" s="1"/>
  <c r="G1412" i="16" s="1"/>
  <c r="D1411" i="16"/>
  <c r="E1411" i="16" s="1"/>
  <c r="F1411" i="16" s="1"/>
  <c r="G1411" i="16" s="1"/>
  <c r="D1410" i="16"/>
  <c r="E1410" i="16" s="1"/>
  <c r="F1410" i="16" s="1"/>
  <c r="G1410" i="16" s="1"/>
  <c r="D1409" i="16"/>
  <c r="E1409" i="16" s="1"/>
  <c r="F1409" i="16" s="1"/>
  <c r="G1409" i="16" s="1"/>
  <c r="D1408" i="16"/>
  <c r="E1408" i="16" s="1"/>
  <c r="F1408" i="16" s="1"/>
  <c r="G1408" i="16" s="1"/>
  <c r="D1407" i="16"/>
  <c r="E1407" i="16" s="1"/>
  <c r="F1407" i="16" s="1"/>
  <c r="G1407" i="16" s="1"/>
  <c r="D1406" i="16"/>
  <c r="E1406" i="16" s="1"/>
  <c r="F1406" i="16" s="1"/>
  <c r="G1406" i="16" s="1"/>
  <c r="D1405" i="16"/>
  <c r="E1405" i="16" s="1"/>
  <c r="F1405" i="16" s="1"/>
  <c r="G1405" i="16" s="1"/>
  <c r="D1404" i="16"/>
  <c r="E1404" i="16" s="1"/>
  <c r="F1404" i="16" s="1"/>
  <c r="G1404" i="16" s="1"/>
  <c r="D1403" i="16"/>
  <c r="E1403" i="16" s="1"/>
  <c r="F1403" i="16" s="1"/>
  <c r="G1403" i="16" s="1"/>
  <c r="D1402" i="16"/>
  <c r="E1402" i="16" s="1"/>
  <c r="G1402" i="16" s="1"/>
  <c r="D1401" i="16"/>
  <c r="E1401" i="16" s="1"/>
  <c r="F1401" i="16" s="1"/>
  <c r="G1401" i="16" s="1"/>
  <c r="D1400" i="16"/>
  <c r="E1400" i="16" s="1"/>
  <c r="F1400" i="16" s="1"/>
  <c r="G1400" i="16" s="1"/>
  <c r="D1399" i="16"/>
  <c r="E1399" i="16" s="1"/>
  <c r="F1399" i="16" s="1"/>
  <c r="G1399" i="16" s="1"/>
  <c r="D1398" i="16"/>
  <c r="E1398" i="16" s="1"/>
  <c r="F1398" i="16" s="1"/>
  <c r="G1398" i="16" s="1"/>
  <c r="D1397" i="16"/>
  <c r="E1397" i="16" s="1"/>
  <c r="F1397" i="16" s="1"/>
  <c r="G1397" i="16" s="1"/>
  <c r="D1396" i="16"/>
  <c r="E1396" i="16" s="1"/>
  <c r="F1396" i="16" s="1"/>
  <c r="G1396" i="16" s="1"/>
  <c r="D1395" i="16"/>
  <c r="E1395" i="16" s="1"/>
  <c r="F1395" i="16" s="1"/>
  <c r="G1395" i="16" s="1"/>
  <c r="D1394" i="16"/>
  <c r="E1394" i="16" s="1"/>
  <c r="F1394" i="16" s="1"/>
  <c r="G1394" i="16" s="1"/>
  <c r="D1393" i="16"/>
  <c r="E1393" i="16" s="1"/>
  <c r="F1393" i="16" s="1"/>
  <c r="G1393" i="16" s="1"/>
  <c r="D1392" i="16"/>
  <c r="E1392" i="16" s="1"/>
  <c r="F1392" i="16" s="1"/>
  <c r="G1392" i="16" s="1"/>
  <c r="D1391" i="16"/>
  <c r="E1391" i="16" s="1"/>
  <c r="F1391" i="16" s="1"/>
  <c r="G1391" i="16" s="1"/>
  <c r="D1390" i="16"/>
  <c r="E1390" i="16" s="1"/>
  <c r="F1390" i="16" s="1"/>
  <c r="G1390" i="16" s="1"/>
  <c r="D1389" i="16"/>
  <c r="E1389" i="16" s="1"/>
  <c r="F1389" i="16" s="1"/>
  <c r="G1389" i="16" s="1"/>
  <c r="D1388" i="16"/>
  <c r="E1388" i="16" s="1"/>
  <c r="F1388" i="16" s="1"/>
  <c r="G1388" i="16" s="1"/>
  <c r="D1387" i="16"/>
  <c r="E1387" i="16" s="1"/>
  <c r="F1387" i="16" s="1"/>
  <c r="G1387" i="16" s="1"/>
  <c r="D1386" i="16"/>
  <c r="E1386" i="16" s="1"/>
  <c r="F1386" i="16" s="1"/>
  <c r="G1386" i="16" s="1"/>
  <c r="D1385" i="16"/>
  <c r="E1385" i="16" s="1"/>
  <c r="F1385" i="16" s="1"/>
  <c r="G1385" i="16" s="1"/>
  <c r="D1384" i="16"/>
  <c r="E1384" i="16" s="1"/>
  <c r="F1384" i="16" s="1"/>
  <c r="G1384" i="16" s="1"/>
  <c r="D1383" i="16"/>
  <c r="E1383" i="16" s="1"/>
  <c r="F1383" i="16" s="1"/>
  <c r="G1383" i="16" s="1"/>
  <c r="D1382" i="16"/>
  <c r="E1382" i="16" s="1"/>
  <c r="F1382" i="16" s="1"/>
  <c r="G1382" i="16" s="1"/>
  <c r="D1381" i="16"/>
  <c r="E1381" i="16" s="1"/>
  <c r="F1381" i="16" s="1"/>
  <c r="G1381" i="16" s="1"/>
  <c r="D1380" i="16"/>
  <c r="E1380" i="16" s="1"/>
  <c r="F1380" i="16" s="1"/>
  <c r="G1380" i="16" s="1"/>
  <c r="D1379" i="16"/>
  <c r="E1379" i="16" s="1"/>
  <c r="F1379" i="16" s="1"/>
  <c r="G1379" i="16" s="1"/>
  <c r="D1378" i="16"/>
  <c r="E1378" i="16" s="1"/>
  <c r="F1378" i="16" s="1"/>
  <c r="G1378" i="16" s="1"/>
  <c r="D1377" i="16"/>
  <c r="E1377" i="16" s="1"/>
  <c r="F1377" i="16" s="1"/>
  <c r="G1377" i="16" s="1"/>
  <c r="D1376" i="16"/>
  <c r="E1376" i="16" s="1"/>
  <c r="F1376" i="16" s="1"/>
  <c r="G1376" i="16" s="1"/>
  <c r="D1375" i="16"/>
  <c r="E1375" i="16" s="1"/>
  <c r="F1375" i="16" s="1"/>
  <c r="G1375" i="16" s="1"/>
  <c r="D1374" i="16"/>
  <c r="E1374" i="16" s="1"/>
  <c r="F1374" i="16" s="1"/>
  <c r="G1374" i="16" s="1"/>
  <c r="D1373" i="16"/>
  <c r="E1373" i="16" s="1"/>
  <c r="F1373" i="16" s="1"/>
  <c r="G1373" i="16" s="1"/>
  <c r="D1372" i="16"/>
  <c r="E1372" i="16" s="1"/>
  <c r="F1372" i="16" s="1"/>
  <c r="G1372" i="16" s="1"/>
  <c r="D1371" i="16"/>
  <c r="E1371" i="16" s="1"/>
  <c r="F1371" i="16" s="1"/>
  <c r="G1371" i="16" s="1"/>
  <c r="D1370" i="16"/>
  <c r="E1370" i="16" s="1"/>
  <c r="F1370" i="16" s="1"/>
  <c r="G1370" i="16" s="1"/>
  <c r="D1369" i="16"/>
  <c r="E1369" i="16" s="1"/>
  <c r="F1369" i="16" s="1"/>
  <c r="G1369" i="16" s="1"/>
  <c r="D1368" i="16"/>
  <c r="E1368" i="16" s="1"/>
  <c r="F1368" i="16" s="1"/>
  <c r="G1368" i="16" s="1"/>
  <c r="D1367" i="16"/>
  <c r="E1367" i="16" s="1"/>
  <c r="G1367" i="16" s="1"/>
  <c r="D1366" i="16"/>
  <c r="E1366" i="16" s="1"/>
  <c r="F1366" i="16" s="1"/>
  <c r="G1366" i="16" s="1"/>
  <c r="D1365" i="16"/>
  <c r="E1365" i="16" s="1"/>
  <c r="F1365" i="16" s="1"/>
  <c r="G1365" i="16" s="1"/>
  <c r="D1364" i="16"/>
  <c r="E1364" i="16" s="1"/>
  <c r="F1364" i="16" s="1"/>
  <c r="G1364" i="16" s="1"/>
  <c r="D1363" i="16"/>
  <c r="E1363" i="16" s="1"/>
  <c r="F1363" i="16" s="1"/>
  <c r="G1363" i="16" s="1"/>
  <c r="D1362" i="16"/>
  <c r="E1362" i="16" s="1"/>
  <c r="F1362" i="16" s="1"/>
  <c r="G1362" i="16" s="1"/>
  <c r="D1361" i="16"/>
  <c r="E1361" i="16" s="1"/>
  <c r="F1361" i="16" s="1"/>
  <c r="G1361" i="16" s="1"/>
  <c r="D1360" i="16"/>
  <c r="E1360" i="16" s="1"/>
  <c r="F1360" i="16" s="1"/>
  <c r="G1360" i="16" s="1"/>
  <c r="D1359" i="16"/>
  <c r="E1359" i="16" s="1"/>
  <c r="F1359" i="16" s="1"/>
  <c r="G1359" i="16" s="1"/>
  <c r="D1358" i="16"/>
  <c r="E1358" i="16" s="1"/>
  <c r="F1358" i="16" s="1"/>
  <c r="G1358" i="16" s="1"/>
  <c r="D1357" i="16"/>
  <c r="E1357" i="16" s="1"/>
  <c r="F1357" i="16" s="1"/>
  <c r="G1357" i="16" s="1"/>
  <c r="D1356" i="16"/>
  <c r="E1356" i="16" s="1"/>
  <c r="F1356" i="16" s="1"/>
  <c r="G1356" i="16" s="1"/>
  <c r="D1355" i="16"/>
  <c r="E1355" i="16" s="1"/>
  <c r="F1355" i="16" s="1"/>
  <c r="G1355" i="16" s="1"/>
  <c r="D1354" i="16"/>
  <c r="E1354" i="16" s="1"/>
  <c r="F1354" i="16" s="1"/>
  <c r="G1354" i="16" s="1"/>
  <c r="D1353" i="16"/>
  <c r="E1353" i="16" s="1"/>
  <c r="F1353" i="16" s="1"/>
  <c r="G1353" i="16" s="1"/>
  <c r="D1352" i="16"/>
  <c r="E1352" i="16" s="1"/>
  <c r="F1352" i="16" s="1"/>
  <c r="G1352" i="16" s="1"/>
  <c r="D1351" i="16"/>
  <c r="E1351" i="16" s="1"/>
  <c r="F1351" i="16" s="1"/>
  <c r="G1351" i="16" s="1"/>
  <c r="D1350" i="16"/>
  <c r="E1350" i="16" s="1"/>
  <c r="F1350" i="16" s="1"/>
  <c r="G1350" i="16" s="1"/>
  <c r="D1349" i="16"/>
  <c r="E1349" i="16" s="1"/>
  <c r="F1349" i="16" s="1"/>
  <c r="G1349" i="16" s="1"/>
  <c r="D1348" i="16"/>
  <c r="E1348" i="16" s="1"/>
  <c r="F1348" i="16" s="1"/>
  <c r="G1348" i="16" s="1"/>
  <c r="D1347" i="16"/>
  <c r="E1347" i="16" s="1"/>
  <c r="F1347" i="16" s="1"/>
  <c r="G1347" i="16" s="1"/>
  <c r="D1346" i="16"/>
  <c r="E1346" i="16" s="1"/>
  <c r="F1346" i="16" s="1"/>
  <c r="G1346" i="16" s="1"/>
  <c r="D1345" i="16"/>
  <c r="E1345" i="16" s="1"/>
  <c r="F1345" i="16" s="1"/>
  <c r="G1345" i="16" s="1"/>
  <c r="D1344" i="16"/>
  <c r="E1344" i="16" s="1"/>
  <c r="F1344" i="16" s="1"/>
  <c r="G1344" i="16" s="1"/>
  <c r="D1343" i="16"/>
  <c r="E1343" i="16" s="1"/>
  <c r="F1343" i="16" s="1"/>
  <c r="G1343" i="16" s="1"/>
  <c r="D1342" i="16"/>
  <c r="E1342" i="16" s="1"/>
  <c r="F1342" i="16" s="1"/>
  <c r="G1342" i="16" s="1"/>
  <c r="D1341" i="16"/>
  <c r="E1341" i="16" s="1"/>
  <c r="F1341" i="16" s="1"/>
  <c r="G1341" i="16" s="1"/>
  <c r="D1340" i="16"/>
  <c r="E1340" i="16" s="1"/>
  <c r="F1340" i="16" s="1"/>
  <c r="G1340" i="16" s="1"/>
  <c r="D1339" i="16"/>
  <c r="E1339" i="16" s="1"/>
  <c r="F1339" i="16" s="1"/>
  <c r="G1339" i="16" s="1"/>
  <c r="D1338" i="16"/>
  <c r="E1338" i="16" s="1"/>
  <c r="F1338" i="16" s="1"/>
  <c r="G1338" i="16" s="1"/>
  <c r="D1337" i="16"/>
  <c r="E1337" i="16" s="1"/>
  <c r="F1337" i="16" s="1"/>
  <c r="G1337" i="16" s="1"/>
  <c r="D1336" i="16"/>
  <c r="E1336" i="16" s="1"/>
  <c r="F1336" i="16" s="1"/>
  <c r="G1336" i="16" s="1"/>
  <c r="D1335" i="16"/>
  <c r="E1335" i="16" s="1"/>
  <c r="F1335" i="16" s="1"/>
  <c r="G1335" i="16" s="1"/>
  <c r="D1334" i="16"/>
  <c r="E1334" i="16" s="1"/>
  <c r="F1334" i="16" s="1"/>
  <c r="G1334" i="16" s="1"/>
  <c r="D1333" i="16"/>
  <c r="E1333" i="16" s="1"/>
  <c r="F1333" i="16" s="1"/>
  <c r="G1333" i="16" s="1"/>
  <c r="D1332" i="16"/>
  <c r="E1332" i="16" s="1"/>
  <c r="F1332" i="16" s="1"/>
  <c r="G1332" i="16" s="1"/>
  <c r="D1331" i="16"/>
  <c r="E1331" i="16" s="1"/>
  <c r="F1331" i="16" s="1"/>
  <c r="G1331" i="16" s="1"/>
  <c r="D1330" i="16"/>
  <c r="E1330" i="16" s="1"/>
  <c r="F1330" i="16" s="1"/>
  <c r="G1330" i="16" s="1"/>
  <c r="D1329" i="16"/>
  <c r="E1329" i="16" s="1"/>
  <c r="F1329" i="16" s="1"/>
  <c r="G1329" i="16" s="1"/>
  <c r="D1328" i="16"/>
  <c r="E1328" i="16" s="1"/>
  <c r="F1328" i="16" s="1"/>
  <c r="G1328" i="16" s="1"/>
  <c r="D1327" i="16"/>
  <c r="E1327" i="16" s="1"/>
  <c r="F1327" i="16" s="1"/>
  <c r="G1327" i="16" s="1"/>
  <c r="D1326" i="16"/>
  <c r="E1326" i="16" s="1"/>
  <c r="F1326" i="16" s="1"/>
  <c r="G1326" i="16" s="1"/>
  <c r="D1325" i="16"/>
  <c r="E1325" i="16" s="1"/>
  <c r="F1325" i="16" s="1"/>
  <c r="G1325" i="16" s="1"/>
  <c r="D1324" i="16"/>
  <c r="E1324" i="16" s="1"/>
  <c r="F1324" i="16" s="1"/>
  <c r="G1324" i="16" s="1"/>
  <c r="D1323" i="16"/>
  <c r="E1323" i="16" s="1"/>
  <c r="F1323" i="16" s="1"/>
  <c r="G1323" i="16" s="1"/>
  <c r="D1322" i="16"/>
  <c r="E1322" i="16" s="1"/>
  <c r="F1322" i="16" s="1"/>
  <c r="G1322" i="16" s="1"/>
  <c r="D1321" i="16"/>
  <c r="E1321" i="16" s="1"/>
  <c r="F1321" i="16" s="1"/>
  <c r="G1321" i="16" s="1"/>
  <c r="D1320" i="16"/>
  <c r="E1320" i="16" s="1"/>
  <c r="F1320" i="16" s="1"/>
  <c r="G1320" i="16" s="1"/>
  <c r="D1319" i="16"/>
  <c r="E1319" i="16" s="1"/>
  <c r="F1319" i="16" s="1"/>
  <c r="G1319" i="16" s="1"/>
  <c r="D1318" i="16"/>
  <c r="E1318" i="16" s="1"/>
  <c r="F1318" i="16" s="1"/>
  <c r="G1318" i="16" s="1"/>
  <c r="D1317" i="16"/>
  <c r="E1317" i="16" s="1"/>
  <c r="F1317" i="16" s="1"/>
  <c r="G1317" i="16" s="1"/>
  <c r="D1316" i="16"/>
  <c r="E1316" i="16" s="1"/>
  <c r="F1316" i="16" s="1"/>
  <c r="G1316" i="16" s="1"/>
  <c r="D1315" i="16"/>
  <c r="E1315" i="16" s="1"/>
  <c r="F1315" i="16" s="1"/>
  <c r="G1315" i="16" s="1"/>
  <c r="D1314" i="16"/>
  <c r="E1314" i="16" s="1"/>
  <c r="F1314" i="16" s="1"/>
  <c r="G1314" i="16" s="1"/>
  <c r="D1313" i="16"/>
  <c r="E1313" i="16" s="1"/>
  <c r="F1313" i="16" s="1"/>
  <c r="G1313" i="16" s="1"/>
  <c r="D1312" i="16"/>
  <c r="E1312" i="16" s="1"/>
  <c r="F1312" i="16" s="1"/>
  <c r="G1312" i="16" s="1"/>
  <c r="D1311" i="16"/>
  <c r="E1311" i="16" s="1"/>
  <c r="F1311" i="16" s="1"/>
  <c r="G1311" i="16" s="1"/>
  <c r="D1310" i="16"/>
  <c r="E1310" i="16" s="1"/>
  <c r="F1310" i="16" s="1"/>
  <c r="G1310" i="16" s="1"/>
  <c r="D1309" i="16"/>
  <c r="E1309" i="16" s="1"/>
  <c r="F1309" i="16" s="1"/>
  <c r="G1309" i="16" s="1"/>
  <c r="D1308" i="16"/>
  <c r="E1308" i="16" s="1"/>
  <c r="F1308" i="16" s="1"/>
  <c r="G1308" i="16" s="1"/>
  <c r="D1307" i="16"/>
  <c r="E1307" i="16" s="1"/>
  <c r="F1307" i="16" s="1"/>
  <c r="G1307" i="16" s="1"/>
  <c r="D1306" i="16"/>
  <c r="E1306" i="16" s="1"/>
  <c r="F1306" i="16" s="1"/>
  <c r="G1306" i="16" s="1"/>
  <c r="D1305" i="16"/>
  <c r="E1305" i="16" s="1"/>
  <c r="F1305" i="16" s="1"/>
  <c r="G1305" i="16" s="1"/>
  <c r="D1304" i="16"/>
  <c r="E1304" i="16" s="1"/>
  <c r="F1304" i="16" s="1"/>
  <c r="G1304" i="16" s="1"/>
  <c r="D1303" i="16"/>
  <c r="E1303" i="16" s="1"/>
  <c r="F1303" i="16" s="1"/>
  <c r="G1303" i="16" s="1"/>
  <c r="D1302" i="16"/>
  <c r="E1302" i="16" s="1"/>
  <c r="F1302" i="16" s="1"/>
  <c r="G1302" i="16" s="1"/>
  <c r="D1301" i="16"/>
  <c r="E1301" i="16" s="1"/>
  <c r="F1301" i="16" s="1"/>
  <c r="G1301" i="16" s="1"/>
  <c r="D1300" i="16"/>
  <c r="E1300" i="16" s="1"/>
  <c r="F1300" i="16" s="1"/>
  <c r="G1300" i="16" s="1"/>
  <c r="D1299" i="16"/>
  <c r="E1299" i="16" s="1"/>
  <c r="F1299" i="16" s="1"/>
  <c r="G1299" i="16" s="1"/>
  <c r="D1298" i="16"/>
  <c r="E1298" i="16" s="1"/>
  <c r="F1298" i="16" s="1"/>
  <c r="G1298" i="16" s="1"/>
  <c r="D1297" i="16"/>
  <c r="E1297" i="16" s="1"/>
  <c r="F1297" i="16" s="1"/>
  <c r="G1297" i="16" s="1"/>
  <c r="D1296" i="16"/>
  <c r="E1296" i="16" s="1"/>
  <c r="F1296" i="16" s="1"/>
  <c r="G1296" i="16" s="1"/>
  <c r="D1295" i="16"/>
  <c r="E1295" i="16" s="1"/>
  <c r="F1295" i="16" s="1"/>
  <c r="G1295" i="16" s="1"/>
  <c r="D1294" i="16"/>
  <c r="E1294" i="16" s="1"/>
  <c r="F1294" i="16" s="1"/>
  <c r="G1294" i="16" s="1"/>
  <c r="D1293" i="16"/>
  <c r="E1293" i="16" s="1"/>
  <c r="F1293" i="16" s="1"/>
  <c r="G1293" i="16" s="1"/>
  <c r="D1292" i="16"/>
  <c r="E1292" i="16" s="1"/>
  <c r="F1292" i="16" s="1"/>
  <c r="G1292" i="16" s="1"/>
  <c r="D1291" i="16"/>
  <c r="E1291" i="16" s="1"/>
  <c r="F1291" i="16" s="1"/>
  <c r="G1291" i="16" s="1"/>
  <c r="D1290" i="16"/>
  <c r="E1290" i="16" s="1"/>
  <c r="F1290" i="16" s="1"/>
  <c r="G1290" i="16" s="1"/>
  <c r="D1289" i="16"/>
  <c r="E1289" i="16" s="1"/>
  <c r="F1289" i="16" s="1"/>
  <c r="G1289" i="16" s="1"/>
  <c r="D1288" i="16"/>
  <c r="E1288" i="16" s="1"/>
  <c r="F1288" i="16" s="1"/>
  <c r="G1288" i="16" s="1"/>
  <c r="D1287" i="16"/>
  <c r="E1287" i="16" s="1"/>
  <c r="F1287" i="16" s="1"/>
  <c r="G1287" i="16" s="1"/>
  <c r="D1286" i="16"/>
  <c r="E1286" i="16" s="1"/>
  <c r="F1286" i="16" s="1"/>
  <c r="G1286" i="16" s="1"/>
  <c r="D1285" i="16"/>
  <c r="E1285" i="16" s="1"/>
  <c r="F1285" i="16" s="1"/>
  <c r="G1285" i="16" s="1"/>
  <c r="D1284" i="16"/>
  <c r="E1284" i="16" s="1"/>
  <c r="F1284" i="16" s="1"/>
  <c r="G1284" i="16" s="1"/>
  <c r="D1283" i="16"/>
  <c r="E1283" i="16" s="1"/>
  <c r="F1283" i="16" s="1"/>
  <c r="G1283" i="16" s="1"/>
  <c r="D1282" i="16"/>
  <c r="E1282" i="16" s="1"/>
  <c r="F1282" i="16" s="1"/>
  <c r="G1282" i="16" s="1"/>
  <c r="D1281" i="16"/>
  <c r="E1281" i="16" s="1"/>
  <c r="F1281" i="16" s="1"/>
  <c r="G1281" i="16" s="1"/>
  <c r="D1280" i="16"/>
  <c r="E1280" i="16" s="1"/>
  <c r="F1280" i="16" s="1"/>
  <c r="G1280" i="16" s="1"/>
  <c r="D1279" i="16"/>
  <c r="E1279" i="16" s="1"/>
  <c r="F1279" i="16" s="1"/>
  <c r="G1279" i="16" s="1"/>
  <c r="D1278" i="16"/>
  <c r="E1278" i="16" s="1"/>
  <c r="F1278" i="16" s="1"/>
  <c r="G1278" i="16" s="1"/>
  <c r="D1277" i="16"/>
  <c r="E1277" i="16" s="1"/>
  <c r="F1277" i="16" s="1"/>
  <c r="G1277" i="16" s="1"/>
  <c r="D1276" i="16"/>
  <c r="E1276" i="16" s="1"/>
  <c r="G1276" i="16" s="1"/>
  <c r="D1275" i="16"/>
  <c r="E1275" i="16" s="1"/>
  <c r="F1275" i="16" s="1"/>
  <c r="G1275" i="16" s="1"/>
  <c r="D1274" i="16"/>
  <c r="E1274" i="16" s="1"/>
  <c r="F1274" i="16" s="1"/>
  <c r="G1274" i="16" s="1"/>
  <c r="D1273" i="16"/>
  <c r="E1273" i="16" s="1"/>
  <c r="F1273" i="16" s="1"/>
  <c r="G1273" i="16" s="1"/>
  <c r="D1272" i="16"/>
  <c r="E1272" i="16" s="1"/>
  <c r="F1272" i="16" s="1"/>
  <c r="G1272" i="16" s="1"/>
  <c r="D1271" i="16"/>
  <c r="E1271" i="16" s="1"/>
  <c r="F1271" i="16" s="1"/>
  <c r="G1271" i="16" s="1"/>
  <c r="D1270" i="16"/>
  <c r="E1270" i="16" s="1"/>
  <c r="F1270" i="16" s="1"/>
  <c r="G1270" i="16" s="1"/>
  <c r="D1269" i="16"/>
  <c r="E1269" i="16" s="1"/>
  <c r="F1269" i="16" s="1"/>
  <c r="G1269" i="16" s="1"/>
  <c r="D1268" i="16"/>
  <c r="E1268" i="16" s="1"/>
  <c r="F1268" i="16" s="1"/>
  <c r="G1268" i="16" s="1"/>
  <c r="D1267" i="16"/>
  <c r="E1267" i="16" s="1"/>
  <c r="F1267" i="16" s="1"/>
  <c r="G1267" i="16" s="1"/>
  <c r="D1266" i="16"/>
  <c r="E1266" i="16" s="1"/>
  <c r="F1266" i="16" s="1"/>
  <c r="G1266" i="16" s="1"/>
  <c r="D1265" i="16"/>
  <c r="E1265" i="16" s="1"/>
  <c r="F1265" i="16" s="1"/>
  <c r="G1265" i="16" s="1"/>
  <c r="D1264" i="16"/>
  <c r="E1264" i="16" s="1"/>
  <c r="F1264" i="16" s="1"/>
  <c r="G1264" i="16" s="1"/>
  <c r="D1263" i="16"/>
  <c r="E1263" i="16" s="1"/>
  <c r="F1263" i="16" s="1"/>
  <c r="G1263" i="16" s="1"/>
  <c r="D1262" i="16"/>
  <c r="E1262" i="16" s="1"/>
  <c r="F1262" i="16" s="1"/>
  <c r="G1262" i="16" s="1"/>
  <c r="D1261" i="16"/>
  <c r="E1261" i="16" s="1"/>
  <c r="F1261" i="16" s="1"/>
  <c r="G1261" i="16" s="1"/>
  <c r="D1260" i="16"/>
  <c r="E1260" i="16" s="1"/>
  <c r="F1260" i="16" s="1"/>
  <c r="G1260" i="16" s="1"/>
  <c r="D1259" i="16"/>
  <c r="E1259" i="16" s="1"/>
  <c r="F1259" i="16" s="1"/>
  <c r="G1259" i="16" s="1"/>
  <c r="D1258" i="16"/>
  <c r="E1258" i="16" s="1"/>
  <c r="F1258" i="16" s="1"/>
  <c r="G1258" i="16" s="1"/>
  <c r="D1257" i="16"/>
  <c r="E1257" i="16" s="1"/>
  <c r="F1257" i="16" s="1"/>
  <c r="G1257" i="16" s="1"/>
  <c r="D1256" i="16"/>
  <c r="E1256" i="16" s="1"/>
  <c r="F1256" i="16" s="1"/>
  <c r="G1256" i="16" s="1"/>
  <c r="D1255" i="16"/>
  <c r="E1255" i="16" s="1"/>
  <c r="F1255" i="16" s="1"/>
  <c r="G1255" i="16" s="1"/>
  <c r="D1254" i="16"/>
  <c r="E1254" i="16" s="1"/>
  <c r="F1254" i="16" s="1"/>
  <c r="G1254" i="16" s="1"/>
  <c r="D1253" i="16"/>
  <c r="E1253" i="16" s="1"/>
  <c r="F1253" i="16" s="1"/>
  <c r="G1253" i="16" s="1"/>
  <c r="D1252" i="16"/>
  <c r="E1252" i="16" s="1"/>
  <c r="F1252" i="16" s="1"/>
  <c r="G1252" i="16" s="1"/>
  <c r="D1251" i="16"/>
  <c r="E1251" i="16" s="1"/>
  <c r="F1251" i="16" s="1"/>
  <c r="G1251" i="16" s="1"/>
  <c r="D1250" i="16"/>
  <c r="E1250" i="16" s="1"/>
  <c r="F1250" i="16" s="1"/>
  <c r="G1250" i="16" s="1"/>
  <c r="D1249" i="16"/>
  <c r="E1249" i="16" s="1"/>
  <c r="F1249" i="16" s="1"/>
  <c r="G1249" i="16" s="1"/>
  <c r="D1248" i="16"/>
  <c r="E1248" i="16" s="1"/>
  <c r="F1248" i="16" s="1"/>
  <c r="G1248" i="16" s="1"/>
  <c r="D1247" i="16"/>
  <c r="E1247" i="16" s="1"/>
  <c r="F1247" i="16" s="1"/>
  <c r="G1247" i="16" s="1"/>
  <c r="D1246" i="16"/>
  <c r="E1246" i="16" s="1"/>
  <c r="F1246" i="16" s="1"/>
  <c r="G1246" i="16" s="1"/>
  <c r="D1245" i="16"/>
  <c r="E1245" i="16" s="1"/>
  <c r="F1245" i="16" s="1"/>
  <c r="G1245" i="16" s="1"/>
  <c r="D1244" i="16"/>
  <c r="E1244" i="16" s="1"/>
  <c r="F1244" i="16" s="1"/>
  <c r="G1244" i="16" s="1"/>
  <c r="D1243" i="16"/>
  <c r="E1243" i="16" s="1"/>
  <c r="F1243" i="16" s="1"/>
  <c r="G1243" i="16" s="1"/>
  <c r="D1242" i="16"/>
  <c r="E1242" i="16" s="1"/>
  <c r="F1242" i="16" s="1"/>
  <c r="G1242" i="16" s="1"/>
  <c r="D1241" i="16"/>
  <c r="E1241" i="16" s="1"/>
  <c r="F1241" i="16" s="1"/>
  <c r="G1241" i="16" s="1"/>
  <c r="D1240" i="16"/>
  <c r="E1240" i="16" s="1"/>
  <c r="F1240" i="16" s="1"/>
  <c r="G1240" i="16" s="1"/>
  <c r="D1239" i="16"/>
  <c r="E1239" i="16" s="1"/>
  <c r="F1239" i="16" s="1"/>
  <c r="G1239" i="16" s="1"/>
  <c r="D1238" i="16"/>
  <c r="E1238" i="16" s="1"/>
  <c r="G1238" i="16" s="1"/>
  <c r="D1237" i="16"/>
  <c r="E1237" i="16" s="1"/>
  <c r="F1237" i="16" s="1"/>
  <c r="G1237" i="16" s="1"/>
  <c r="D1236" i="16"/>
  <c r="E1236" i="16" s="1"/>
  <c r="F1236" i="16" s="1"/>
  <c r="G1236" i="16" s="1"/>
  <c r="D1235" i="16"/>
  <c r="E1235" i="16" s="1"/>
  <c r="F1235" i="16" s="1"/>
  <c r="G1235" i="16" s="1"/>
  <c r="D1234" i="16"/>
  <c r="E1234" i="16" s="1"/>
  <c r="F1234" i="16" s="1"/>
  <c r="G1234" i="16" s="1"/>
  <c r="D1233" i="16"/>
  <c r="E1233" i="16" s="1"/>
  <c r="F1233" i="16" s="1"/>
  <c r="G1233" i="16" s="1"/>
  <c r="D1232" i="16"/>
  <c r="E1232" i="16" s="1"/>
  <c r="F1232" i="16" s="1"/>
  <c r="G1232" i="16" s="1"/>
  <c r="D1231" i="16"/>
  <c r="E1231" i="16" s="1"/>
  <c r="F1231" i="16" s="1"/>
  <c r="G1231" i="16" s="1"/>
  <c r="D1230" i="16"/>
  <c r="E1230" i="16" s="1"/>
  <c r="F1230" i="16" s="1"/>
  <c r="G1230" i="16" s="1"/>
  <c r="D1229" i="16"/>
  <c r="E1229" i="16" s="1"/>
  <c r="F1229" i="16" s="1"/>
  <c r="G1229" i="16" s="1"/>
  <c r="D1228" i="16"/>
  <c r="E1228" i="16" s="1"/>
  <c r="G1228" i="16" s="1"/>
  <c r="D1227" i="16"/>
  <c r="E1227" i="16" s="1"/>
  <c r="G1227" i="16" s="1"/>
  <c r="D1226" i="16"/>
  <c r="E1226" i="16" s="1"/>
  <c r="F1226" i="16" s="1"/>
  <c r="G1226" i="16" s="1"/>
  <c r="D1225" i="16"/>
  <c r="E1225" i="16" s="1"/>
  <c r="G1225" i="16" s="1"/>
  <c r="D1224" i="16"/>
  <c r="E1224" i="16" s="1"/>
  <c r="F1224" i="16" s="1"/>
  <c r="G1224" i="16" s="1"/>
  <c r="D1223" i="16"/>
  <c r="E1223" i="16" s="1"/>
  <c r="F1223" i="16" s="1"/>
  <c r="G1223" i="16" s="1"/>
  <c r="D1222" i="16"/>
  <c r="E1222" i="16" s="1"/>
  <c r="F1222" i="16" s="1"/>
  <c r="G1222" i="16" s="1"/>
  <c r="D1221" i="16"/>
  <c r="E1221" i="16" s="1"/>
  <c r="F1221" i="16" s="1"/>
  <c r="G1221" i="16" s="1"/>
  <c r="D1220" i="16"/>
  <c r="E1220" i="16" s="1"/>
  <c r="F1220" i="16" s="1"/>
  <c r="G1220" i="16" s="1"/>
  <c r="D1219" i="16"/>
  <c r="E1219" i="16" s="1"/>
  <c r="F1219" i="16" s="1"/>
  <c r="G1219" i="16" s="1"/>
  <c r="D1218" i="16"/>
  <c r="E1218" i="16" s="1"/>
  <c r="F1218" i="16" s="1"/>
  <c r="G1218" i="16" s="1"/>
  <c r="D1217" i="16"/>
  <c r="E1217" i="16" s="1"/>
  <c r="F1217" i="16" s="1"/>
  <c r="G1217" i="16" s="1"/>
  <c r="D1216" i="16"/>
  <c r="E1216" i="16" s="1"/>
  <c r="F1216" i="16" s="1"/>
  <c r="G1216" i="16" s="1"/>
  <c r="D1215" i="16"/>
  <c r="E1215" i="16" s="1"/>
  <c r="F1215" i="16" s="1"/>
  <c r="G1215" i="16" s="1"/>
  <c r="D1214" i="16"/>
  <c r="E1214" i="16" s="1"/>
  <c r="F1214" i="16" s="1"/>
  <c r="G1214" i="16" s="1"/>
  <c r="D1213" i="16"/>
  <c r="E1213" i="16" s="1"/>
  <c r="D1212" i="16"/>
  <c r="E1212" i="16" s="1"/>
  <c r="D1211" i="16"/>
  <c r="E1211" i="16" s="1"/>
  <c r="D1210" i="16"/>
  <c r="E1210" i="16" s="1"/>
  <c r="F1210" i="16" s="1"/>
  <c r="G1210" i="16" s="1"/>
  <c r="D1209" i="16"/>
  <c r="E1209" i="16" s="1"/>
  <c r="F1209" i="16" s="1"/>
  <c r="G1209" i="16" s="1"/>
  <c r="D1208" i="16"/>
  <c r="E1208" i="16" s="1"/>
  <c r="F1208" i="16" s="1"/>
  <c r="G1208" i="16" s="1"/>
  <c r="D1207" i="16"/>
  <c r="E1207" i="16" s="1"/>
  <c r="F1207" i="16" s="1"/>
  <c r="G1207" i="16" s="1"/>
  <c r="D1206" i="16"/>
  <c r="E1206" i="16" s="1"/>
  <c r="F1206" i="16" s="1"/>
  <c r="G1206" i="16" s="1"/>
  <c r="D1205" i="16"/>
  <c r="E1205" i="16" s="1"/>
  <c r="F1205" i="16" s="1"/>
  <c r="G1205" i="16" s="1"/>
  <c r="D1204" i="16"/>
  <c r="E1204" i="16" s="1"/>
  <c r="F1204" i="16" s="1"/>
  <c r="G1204" i="16" s="1"/>
  <c r="D1203" i="16"/>
  <c r="E1203" i="16" s="1"/>
  <c r="F1203" i="16" s="1"/>
  <c r="G1203" i="16" s="1"/>
  <c r="D1202" i="16"/>
  <c r="E1202" i="16" s="1"/>
  <c r="F1202" i="16" s="1"/>
  <c r="G1202" i="16" s="1"/>
  <c r="D1201" i="16"/>
  <c r="E1201" i="16" s="1"/>
  <c r="F1201" i="16" s="1"/>
  <c r="G1201" i="16" s="1"/>
  <c r="D1200" i="16"/>
  <c r="E1200" i="16" s="1"/>
  <c r="F1200" i="16" s="1"/>
  <c r="G1200" i="16" s="1"/>
  <c r="D1199" i="16"/>
  <c r="E1199" i="16" s="1"/>
  <c r="F1199" i="16" s="1"/>
  <c r="G1199" i="16" s="1"/>
  <c r="D1198" i="16"/>
  <c r="E1198" i="16" s="1"/>
  <c r="F1198" i="16" s="1"/>
  <c r="G1198" i="16" s="1"/>
  <c r="D1197" i="16"/>
  <c r="E1197" i="16" s="1"/>
  <c r="F1197" i="16" s="1"/>
  <c r="G1197" i="16" s="1"/>
  <c r="D1196" i="16"/>
  <c r="E1196" i="16" s="1"/>
  <c r="F1196" i="16" s="1"/>
  <c r="G1196" i="16" s="1"/>
  <c r="D1195" i="16"/>
  <c r="E1195" i="16" s="1"/>
  <c r="F1195" i="16" s="1"/>
  <c r="G1195" i="16" s="1"/>
  <c r="D1194" i="16"/>
  <c r="E1194" i="16" s="1"/>
  <c r="F1194" i="16" s="1"/>
  <c r="G1194" i="16" s="1"/>
  <c r="D1193" i="16"/>
  <c r="E1193" i="16" s="1"/>
  <c r="F1193" i="16" s="1"/>
  <c r="G1193" i="16" s="1"/>
  <c r="D1192" i="16"/>
  <c r="E1192" i="16" s="1"/>
  <c r="F1192" i="16" s="1"/>
  <c r="G1192" i="16" s="1"/>
  <c r="D1191" i="16"/>
  <c r="E1191" i="16" s="1"/>
  <c r="F1191" i="16" s="1"/>
  <c r="G1191" i="16" s="1"/>
  <c r="D1190" i="16"/>
  <c r="E1190" i="16" s="1"/>
  <c r="F1190" i="16" s="1"/>
  <c r="G1190" i="16" s="1"/>
  <c r="D1189" i="16"/>
  <c r="E1189" i="16" s="1"/>
  <c r="F1189" i="16" s="1"/>
  <c r="G1189" i="16" s="1"/>
  <c r="D1188" i="16"/>
  <c r="E1188" i="16" s="1"/>
  <c r="F1188" i="16" s="1"/>
  <c r="G1188" i="16" s="1"/>
  <c r="D1187" i="16"/>
  <c r="E1187" i="16" s="1"/>
  <c r="F1187" i="16" s="1"/>
  <c r="G1187" i="16" s="1"/>
  <c r="D1186" i="16"/>
  <c r="E1186" i="16" s="1"/>
  <c r="F1186" i="16" s="1"/>
  <c r="G1186" i="16" s="1"/>
  <c r="D1185" i="16"/>
  <c r="E1185" i="16" s="1"/>
  <c r="F1185" i="16" s="1"/>
  <c r="G1185" i="16" s="1"/>
  <c r="D1184" i="16"/>
  <c r="E1184" i="16" s="1"/>
  <c r="F1184" i="16" s="1"/>
  <c r="G1184" i="16" s="1"/>
  <c r="D1183" i="16"/>
  <c r="E1183" i="16" s="1"/>
  <c r="F1183" i="16" s="1"/>
  <c r="G1183" i="16" s="1"/>
  <c r="D1182" i="16"/>
  <c r="E1182" i="16" s="1"/>
  <c r="F1182" i="16" s="1"/>
  <c r="G1182" i="16" s="1"/>
  <c r="D1181" i="16"/>
  <c r="E1181" i="16" s="1"/>
  <c r="F1181" i="16" s="1"/>
  <c r="G1181" i="16" s="1"/>
  <c r="D1180" i="16"/>
  <c r="E1180" i="16" s="1"/>
  <c r="F1180" i="16" s="1"/>
  <c r="G1180" i="16" s="1"/>
  <c r="D1179" i="16"/>
  <c r="E1179" i="16" s="1"/>
  <c r="F1179" i="16" s="1"/>
  <c r="G1179" i="16" s="1"/>
  <c r="D1178" i="16"/>
  <c r="E1178" i="16" s="1"/>
  <c r="F1178" i="16" s="1"/>
  <c r="G1178" i="16" s="1"/>
  <c r="D1177" i="16"/>
  <c r="E1177" i="16" s="1"/>
  <c r="F1177" i="16" s="1"/>
  <c r="G1177" i="16" s="1"/>
  <c r="D1176" i="16"/>
  <c r="E1176" i="16" s="1"/>
  <c r="F1176" i="16" s="1"/>
  <c r="G1176" i="16" s="1"/>
  <c r="D1175" i="16"/>
  <c r="E1175" i="16" s="1"/>
  <c r="F1175" i="16" s="1"/>
  <c r="G1175" i="16" s="1"/>
  <c r="D1174" i="16"/>
  <c r="E1174" i="16" s="1"/>
  <c r="F1174" i="16" s="1"/>
  <c r="G1174" i="16" s="1"/>
  <c r="D1173" i="16"/>
  <c r="E1173" i="16" s="1"/>
  <c r="F1173" i="16" s="1"/>
  <c r="G1173" i="16" s="1"/>
  <c r="D1172" i="16"/>
  <c r="E1172" i="16" s="1"/>
  <c r="F1172" i="16" s="1"/>
  <c r="G1172" i="16" s="1"/>
  <c r="D1171" i="16"/>
  <c r="E1171" i="16" s="1"/>
  <c r="F1171" i="16" s="1"/>
  <c r="G1171" i="16" s="1"/>
  <c r="D1170" i="16"/>
  <c r="E1170" i="16" s="1"/>
  <c r="F1170" i="16" s="1"/>
  <c r="G1170" i="16" s="1"/>
  <c r="D1169" i="16"/>
  <c r="E1169" i="16" s="1"/>
  <c r="F1169" i="16" s="1"/>
  <c r="G1169" i="16" s="1"/>
  <c r="D1168" i="16"/>
  <c r="E1168" i="16" s="1"/>
  <c r="F1168" i="16" s="1"/>
  <c r="G1168" i="16" s="1"/>
  <c r="D1167" i="16"/>
  <c r="E1167" i="16" s="1"/>
  <c r="F1167" i="16" s="1"/>
  <c r="G1167" i="16" s="1"/>
  <c r="D1166" i="16"/>
  <c r="E1166" i="16" s="1"/>
  <c r="F1166" i="16" s="1"/>
  <c r="G1166" i="16" s="1"/>
  <c r="D1165" i="16"/>
  <c r="E1165" i="16" s="1"/>
  <c r="F1165" i="16" s="1"/>
  <c r="G1165" i="16" s="1"/>
  <c r="D1164" i="16"/>
  <c r="E1164" i="16" s="1"/>
  <c r="F1164" i="16" s="1"/>
  <c r="G1164" i="16" s="1"/>
  <c r="D1163" i="16"/>
  <c r="E1163" i="16" s="1"/>
  <c r="F1163" i="16" s="1"/>
  <c r="G1163" i="16" s="1"/>
  <c r="D1162" i="16"/>
  <c r="E1162" i="16" s="1"/>
  <c r="F1162" i="16" s="1"/>
  <c r="G1162" i="16" s="1"/>
  <c r="D1161" i="16"/>
  <c r="E1161" i="16" s="1"/>
  <c r="F1161" i="16" s="1"/>
  <c r="G1161" i="16" s="1"/>
  <c r="D1160" i="16"/>
  <c r="E1160" i="16" s="1"/>
  <c r="F1160" i="16" s="1"/>
  <c r="G1160" i="16" s="1"/>
  <c r="D1159" i="16"/>
  <c r="E1159" i="16" s="1"/>
  <c r="F1159" i="16" s="1"/>
  <c r="G1159" i="16" s="1"/>
  <c r="D1158" i="16"/>
  <c r="E1158" i="16" s="1"/>
  <c r="F1158" i="16" s="1"/>
  <c r="G1158" i="16" s="1"/>
  <c r="D1157" i="16"/>
  <c r="E1157" i="16" s="1"/>
  <c r="F1157" i="16" s="1"/>
  <c r="G1157" i="16" s="1"/>
  <c r="D1156" i="16"/>
  <c r="E1156" i="16" s="1"/>
  <c r="F1156" i="16" s="1"/>
  <c r="G1156" i="16" s="1"/>
  <c r="D1155" i="16"/>
  <c r="E1155" i="16" s="1"/>
  <c r="F1155" i="16" s="1"/>
  <c r="G1155" i="16" s="1"/>
  <c r="D1154" i="16"/>
  <c r="E1154" i="16" s="1"/>
  <c r="F1154" i="16" s="1"/>
  <c r="G1154" i="16" s="1"/>
  <c r="D1153" i="16"/>
  <c r="E1153" i="16" s="1"/>
  <c r="F1153" i="16" s="1"/>
  <c r="G1153" i="16" s="1"/>
  <c r="D1152" i="16"/>
  <c r="E1152" i="16" s="1"/>
  <c r="F1152" i="16" s="1"/>
  <c r="G1152" i="16" s="1"/>
  <c r="D1151" i="16"/>
  <c r="E1151" i="16" s="1"/>
  <c r="F1151" i="16" s="1"/>
  <c r="G1151" i="16" s="1"/>
  <c r="D1150" i="16"/>
  <c r="E1150" i="16" s="1"/>
  <c r="F1150" i="16" s="1"/>
  <c r="G1150" i="16" s="1"/>
  <c r="D1149" i="16"/>
  <c r="E1149" i="16" s="1"/>
  <c r="F1149" i="16" s="1"/>
  <c r="G1149" i="16" s="1"/>
  <c r="D1148" i="16"/>
  <c r="E1148" i="16" s="1"/>
  <c r="F1148" i="16" s="1"/>
  <c r="G1148" i="16" s="1"/>
  <c r="D1147" i="16"/>
  <c r="E1147" i="16" s="1"/>
  <c r="F1147" i="16" s="1"/>
  <c r="G1147" i="16" s="1"/>
  <c r="D1146" i="16"/>
  <c r="E1146" i="16" s="1"/>
  <c r="F1146" i="16" s="1"/>
  <c r="G1146" i="16" s="1"/>
  <c r="D1145" i="16"/>
  <c r="E1145" i="16" s="1"/>
  <c r="F1145" i="16" s="1"/>
  <c r="G1145" i="16" s="1"/>
  <c r="D1144" i="16"/>
  <c r="E1144" i="16" s="1"/>
  <c r="F1144" i="16" s="1"/>
  <c r="G1144" i="16" s="1"/>
  <c r="D1143" i="16"/>
  <c r="E1143" i="16" s="1"/>
  <c r="F1143" i="16" s="1"/>
  <c r="G1143" i="16" s="1"/>
  <c r="D1142" i="16"/>
  <c r="E1142" i="16" s="1"/>
  <c r="F1142" i="16" s="1"/>
  <c r="G1142" i="16" s="1"/>
  <c r="D1141" i="16"/>
  <c r="E1141" i="16" s="1"/>
  <c r="F1141" i="16" s="1"/>
  <c r="G1141" i="16" s="1"/>
  <c r="D1140" i="16"/>
  <c r="E1140" i="16" s="1"/>
  <c r="F1140" i="16" s="1"/>
  <c r="G1140" i="16" s="1"/>
  <c r="D1139" i="16"/>
  <c r="E1139" i="16" s="1"/>
  <c r="F1139" i="16" s="1"/>
  <c r="G1139" i="16" s="1"/>
  <c r="D1138" i="16"/>
  <c r="E1138" i="16" s="1"/>
  <c r="F1138" i="16" s="1"/>
  <c r="G1138" i="16" s="1"/>
  <c r="D1137" i="16"/>
  <c r="E1137" i="16" s="1"/>
  <c r="F1137" i="16" s="1"/>
  <c r="G1137" i="16" s="1"/>
  <c r="D1136" i="16"/>
  <c r="E1136" i="16" s="1"/>
  <c r="F1136" i="16" s="1"/>
  <c r="G1136" i="16" s="1"/>
  <c r="D1135" i="16"/>
  <c r="E1135" i="16" s="1"/>
  <c r="F1135" i="16" s="1"/>
  <c r="G1135" i="16" s="1"/>
  <c r="D1134" i="16"/>
  <c r="E1134" i="16" s="1"/>
  <c r="F1134" i="16" s="1"/>
  <c r="G1134" i="16" s="1"/>
  <c r="D1133" i="16"/>
  <c r="E1133" i="16" s="1"/>
  <c r="F1133" i="16" s="1"/>
  <c r="G1133" i="16" s="1"/>
  <c r="D1132" i="16"/>
  <c r="E1132" i="16" s="1"/>
  <c r="F1132" i="16" s="1"/>
  <c r="G1132" i="16" s="1"/>
  <c r="D1131" i="16"/>
  <c r="E1131" i="16" s="1"/>
  <c r="F1131" i="16" s="1"/>
  <c r="G1131" i="16" s="1"/>
  <c r="D1130" i="16"/>
  <c r="E1130" i="16" s="1"/>
  <c r="F1130" i="16" s="1"/>
  <c r="G1130" i="16" s="1"/>
  <c r="D1129" i="16"/>
  <c r="E1129" i="16" s="1"/>
  <c r="F1129" i="16" s="1"/>
  <c r="G1129" i="16" s="1"/>
  <c r="D1128" i="16"/>
  <c r="E1128" i="16" s="1"/>
  <c r="F1128" i="16" s="1"/>
  <c r="G1128" i="16" s="1"/>
  <c r="D1127" i="16"/>
  <c r="E1127" i="16" s="1"/>
  <c r="F1127" i="16" s="1"/>
  <c r="G1127" i="16" s="1"/>
  <c r="D1126" i="16"/>
  <c r="E1126" i="16" s="1"/>
  <c r="F1126" i="16" s="1"/>
  <c r="G1126" i="16" s="1"/>
  <c r="D1125" i="16"/>
  <c r="E1125" i="16" s="1"/>
  <c r="F1125" i="16" s="1"/>
  <c r="G1125" i="16" s="1"/>
  <c r="D1124" i="16"/>
  <c r="E1124" i="16" s="1"/>
  <c r="F1124" i="16" s="1"/>
  <c r="G1124" i="16" s="1"/>
  <c r="D1123" i="16"/>
  <c r="E1123" i="16" s="1"/>
  <c r="F1123" i="16" s="1"/>
  <c r="G1123" i="16" s="1"/>
  <c r="D1122" i="16"/>
  <c r="E1122" i="16" s="1"/>
  <c r="F1122" i="16" s="1"/>
  <c r="G1122" i="16" s="1"/>
  <c r="D1121" i="16"/>
  <c r="E1121" i="16" s="1"/>
  <c r="F1121" i="16" s="1"/>
  <c r="G1121" i="16" s="1"/>
  <c r="D1120" i="16"/>
  <c r="E1120" i="16" s="1"/>
  <c r="F1120" i="16" s="1"/>
  <c r="G1120" i="16" s="1"/>
  <c r="D1119" i="16"/>
  <c r="E1119" i="16" s="1"/>
  <c r="F1119" i="16" s="1"/>
  <c r="G1119" i="16" s="1"/>
  <c r="D1118" i="16"/>
  <c r="E1118" i="16" s="1"/>
  <c r="F1118" i="16" s="1"/>
  <c r="G1118" i="16" s="1"/>
  <c r="D1117" i="16"/>
  <c r="E1117" i="16" s="1"/>
  <c r="F1117" i="16" s="1"/>
  <c r="G1117" i="16" s="1"/>
  <c r="D1116" i="16"/>
  <c r="E1116" i="16" s="1"/>
  <c r="F1116" i="16" s="1"/>
  <c r="G1116" i="16" s="1"/>
  <c r="D1115" i="16"/>
  <c r="E1115" i="16" s="1"/>
  <c r="F1115" i="16" s="1"/>
  <c r="G1115" i="16" s="1"/>
  <c r="D1114" i="16"/>
  <c r="E1114" i="16" s="1"/>
  <c r="F1114" i="16" s="1"/>
  <c r="G1114" i="16" s="1"/>
  <c r="D1113" i="16"/>
  <c r="E1113" i="16" s="1"/>
  <c r="F1113" i="16" s="1"/>
  <c r="G1113" i="16" s="1"/>
  <c r="D1112" i="16"/>
  <c r="E1112" i="16" s="1"/>
  <c r="F1112" i="16" s="1"/>
  <c r="G1112" i="16" s="1"/>
  <c r="D1111" i="16"/>
  <c r="E1111" i="16" s="1"/>
  <c r="G1111" i="16" s="1"/>
  <c r="D1110" i="16"/>
  <c r="E1110" i="16" s="1"/>
  <c r="F1110" i="16" s="1"/>
  <c r="G1110" i="16" s="1"/>
  <c r="D1109" i="16"/>
  <c r="E1109" i="16" s="1"/>
  <c r="F1109" i="16" s="1"/>
  <c r="G1109" i="16" s="1"/>
  <c r="D1108" i="16"/>
  <c r="E1108" i="16" s="1"/>
  <c r="F1108" i="16" s="1"/>
  <c r="G1108" i="16" s="1"/>
  <c r="D1107" i="16"/>
  <c r="E1107" i="16" s="1"/>
  <c r="F1107" i="16" s="1"/>
  <c r="G1107" i="16" s="1"/>
  <c r="D1106" i="16"/>
  <c r="E1106" i="16" s="1"/>
  <c r="F1106" i="16" s="1"/>
  <c r="G1106" i="16" s="1"/>
  <c r="D1105" i="16"/>
  <c r="E1105" i="16" s="1"/>
  <c r="F1105" i="16" s="1"/>
  <c r="G1105" i="16" s="1"/>
  <c r="D1104" i="16"/>
  <c r="E1104" i="16" s="1"/>
  <c r="F1104" i="16" s="1"/>
  <c r="G1104" i="16" s="1"/>
  <c r="D1103" i="16"/>
  <c r="E1103" i="16" s="1"/>
  <c r="F1103" i="16" s="1"/>
  <c r="G1103" i="16" s="1"/>
  <c r="D1102" i="16"/>
  <c r="E1102" i="16" s="1"/>
  <c r="F1102" i="16" s="1"/>
  <c r="G1102" i="16" s="1"/>
  <c r="D1101" i="16"/>
  <c r="E1101" i="16" s="1"/>
  <c r="F1101" i="16" s="1"/>
  <c r="G1101" i="16" s="1"/>
  <c r="D1100" i="16"/>
  <c r="E1100" i="16" s="1"/>
  <c r="F1100" i="16" s="1"/>
  <c r="G1100" i="16" s="1"/>
  <c r="D1099" i="16"/>
  <c r="E1099" i="16" s="1"/>
  <c r="F1099" i="16" s="1"/>
  <c r="G1099" i="16" s="1"/>
  <c r="D1098" i="16"/>
  <c r="E1098" i="16" s="1"/>
  <c r="F1098" i="16" s="1"/>
  <c r="G1098" i="16" s="1"/>
  <c r="D1097" i="16"/>
  <c r="E1097" i="16" s="1"/>
  <c r="F1097" i="16" s="1"/>
  <c r="G1097" i="16" s="1"/>
  <c r="D1096" i="16"/>
  <c r="E1096" i="16" s="1"/>
  <c r="F1096" i="16" s="1"/>
  <c r="G1096" i="16" s="1"/>
  <c r="D1095" i="16"/>
  <c r="E1095" i="16" s="1"/>
  <c r="F1095" i="16" s="1"/>
  <c r="G1095" i="16" s="1"/>
  <c r="D1094" i="16"/>
  <c r="E1094" i="16" s="1"/>
  <c r="F1094" i="16" s="1"/>
  <c r="G1094" i="16" s="1"/>
  <c r="D1093" i="16"/>
  <c r="E1093" i="16" s="1"/>
  <c r="F1093" i="16" s="1"/>
  <c r="G1093" i="16" s="1"/>
  <c r="D1092" i="16"/>
  <c r="E1092" i="16" s="1"/>
  <c r="F1092" i="16" s="1"/>
  <c r="G1092" i="16" s="1"/>
  <c r="D1091" i="16"/>
  <c r="E1091" i="16" s="1"/>
  <c r="F1091" i="16" s="1"/>
  <c r="G1091" i="16" s="1"/>
  <c r="D1090" i="16"/>
  <c r="E1090" i="16" s="1"/>
  <c r="F1090" i="16" s="1"/>
  <c r="G1090" i="16" s="1"/>
  <c r="D1089" i="16"/>
  <c r="E1089" i="16" s="1"/>
  <c r="F1089" i="16" s="1"/>
  <c r="G1089" i="16" s="1"/>
  <c r="D1088" i="16"/>
  <c r="E1088" i="16" s="1"/>
  <c r="F1088" i="16" s="1"/>
  <c r="G1088" i="16" s="1"/>
  <c r="D1087" i="16"/>
  <c r="E1087" i="16" s="1"/>
  <c r="F1087" i="16" s="1"/>
  <c r="G1087" i="16" s="1"/>
  <c r="D1086" i="16"/>
  <c r="E1086" i="16" s="1"/>
  <c r="F1086" i="16" s="1"/>
  <c r="G1086" i="16" s="1"/>
  <c r="D1085" i="16"/>
  <c r="E1085" i="16" s="1"/>
  <c r="F1085" i="16" s="1"/>
  <c r="G1085" i="16" s="1"/>
  <c r="D1084" i="16"/>
  <c r="E1084" i="16" s="1"/>
  <c r="F1084" i="16" s="1"/>
  <c r="G1084" i="16" s="1"/>
  <c r="D1083" i="16"/>
  <c r="E1083" i="16" s="1"/>
  <c r="F1083" i="16" s="1"/>
  <c r="G1083" i="16" s="1"/>
  <c r="D1082" i="16"/>
  <c r="E1082" i="16" s="1"/>
  <c r="F1082" i="16" s="1"/>
  <c r="G1082" i="16" s="1"/>
  <c r="D1081" i="16"/>
  <c r="E1081" i="16" s="1"/>
  <c r="F1081" i="16" s="1"/>
  <c r="G1081" i="16" s="1"/>
  <c r="D1080" i="16"/>
  <c r="E1080" i="16" s="1"/>
  <c r="F1080" i="16" s="1"/>
  <c r="G1080" i="16" s="1"/>
  <c r="D1079" i="16"/>
  <c r="E1079" i="16" s="1"/>
  <c r="F1079" i="16" s="1"/>
  <c r="G1079" i="16" s="1"/>
  <c r="D1078" i="16"/>
  <c r="E1078" i="16" s="1"/>
  <c r="F1078" i="16" s="1"/>
  <c r="G1078" i="16" s="1"/>
  <c r="D1077" i="16"/>
  <c r="E1077" i="16" s="1"/>
  <c r="F1077" i="16" s="1"/>
  <c r="G1077" i="16" s="1"/>
  <c r="D1076" i="16"/>
  <c r="E1076" i="16" s="1"/>
  <c r="F1076" i="16" s="1"/>
  <c r="G1076" i="16" s="1"/>
  <c r="D1075" i="16"/>
  <c r="E1075" i="16" s="1"/>
  <c r="F1075" i="16" s="1"/>
  <c r="G1075" i="16" s="1"/>
  <c r="D1074" i="16"/>
  <c r="E1074" i="16" s="1"/>
  <c r="F1074" i="16" s="1"/>
  <c r="G1074" i="16" s="1"/>
  <c r="D1073" i="16"/>
  <c r="E1073" i="16" s="1"/>
  <c r="F1073" i="16" s="1"/>
  <c r="G1073" i="16" s="1"/>
  <c r="D1072" i="16"/>
  <c r="E1072" i="16" s="1"/>
  <c r="F1072" i="16" s="1"/>
  <c r="G1072" i="16" s="1"/>
  <c r="D1071" i="16"/>
  <c r="E1071" i="16" s="1"/>
  <c r="G1071" i="16" s="1"/>
  <c r="D1070" i="16"/>
  <c r="E1070" i="16" s="1"/>
  <c r="F1070" i="16" s="1"/>
  <c r="G1070" i="16" s="1"/>
  <c r="D1069" i="16"/>
  <c r="E1069" i="16" s="1"/>
  <c r="F1069" i="16" s="1"/>
  <c r="G1069" i="16" s="1"/>
  <c r="D1068" i="16"/>
  <c r="E1068" i="16" s="1"/>
  <c r="F1068" i="16" s="1"/>
  <c r="G1068" i="16" s="1"/>
  <c r="D1067" i="16"/>
  <c r="E1067" i="16" s="1"/>
  <c r="F1067" i="16" s="1"/>
  <c r="G1067" i="16" s="1"/>
  <c r="D1066" i="16"/>
  <c r="E1066" i="16" s="1"/>
  <c r="F1066" i="16" s="1"/>
  <c r="G1066" i="16" s="1"/>
  <c r="D1065" i="16"/>
  <c r="E1065" i="16" s="1"/>
  <c r="F1065" i="16" s="1"/>
  <c r="G1065" i="16" s="1"/>
  <c r="D1064" i="16"/>
  <c r="E1064" i="16" s="1"/>
  <c r="F1064" i="16" s="1"/>
  <c r="G1064" i="16" s="1"/>
  <c r="D1063" i="16"/>
  <c r="E1063" i="16" s="1"/>
  <c r="F1063" i="16" s="1"/>
  <c r="G1063" i="16" s="1"/>
  <c r="D1062" i="16"/>
  <c r="E1062" i="16" s="1"/>
  <c r="F1062" i="16" s="1"/>
  <c r="G1062" i="16" s="1"/>
  <c r="D1061" i="16"/>
  <c r="E1061" i="16" s="1"/>
  <c r="F1061" i="16" s="1"/>
  <c r="G1061" i="16" s="1"/>
  <c r="D1060" i="16"/>
  <c r="E1060" i="16" s="1"/>
  <c r="F1060" i="16" s="1"/>
  <c r="G1060" i="16" s="1"/>
  <c r="D1059" i="16"/>
  <c r="E1059" i="16" s="1"/>
  <c r="F1059" i="16" s="1"/>
  <c r="G1059" i="16" s="1"/>
  <c r="D1058" i="16"/>
  <c r="E1058" i="16" s="1"/>
  <c r="G1058" i="16" s="1"/>
  <c r="D1057" i="16"/>
  <c r="E1057" i="16" s="1"/>
  <c r="F1057" i="16" s="1"/>
  <c r="G1057" i="16" s="1"/>
  <c r="D1056" i="16"/>
  <c r="E1056" i="16" s="1"/>
  <c r="F1056" i="16" s="1"/>
  <c r="G1056" i="16" s="1"/>
  <c r="D1055" i="16"/>
  <c r="E1055" i="16" s="1"/>
  <c r="F1055" i="16" s="1"/>
  <c r="G1055" i="16" s="1"/>
  <c r="D1054" i="16"/>
  <c r="E1054" i="16" s="1"/>
  <c r="F1054" i="16" s="1"/>
  <c r="G1054" i="16" s="1"/>
  <c r="D1053" i="16"/>
  <c r="E1053" i="16" s="1"/>
  <c r="F1053" i="16" s="1"/>
  <c r="G1053" i="16" s="1"/>
  <c r="D1052" i="16"/>
  <c r="E1052" i="16" s="1"/>
  <c r="F1052" i="16" s="1"/>
  <c r="G1052" i="16" s="1"/>
  <c r="D1051" i="16"/>
  <c r="E1051" i="16" s="1"/>
  <c r="F1051" i="16" s="1"/>
  <c r="G1051" i="16" s="1"/>
  <c r="D1050" i="16"/>
  <c r="E1050" i="16" s="1"/>
  <c r="F1050" i="16" s="1"/>
  <c r="G1050" i="16" s="1"/>
  <c r="D1049" i="16"/>
  <c r="E1049" i="16" s="1"/>
  <c r="F1049" i="16" s="1"/>
  <c r="G1049" i="16" s="1"/>
  <c r="D1048" i="16"/>
  <c r="E1048" i="16" s="1"/>
  <c r="F1048" i="16" s="1"/>
  <c r="G1048" i="16" s="1"/>
  <c r="D1047" i="16"/>
  <c r="E1047" i="16" s="1"/>
  <c r="F1047" i="16" s="1"/>
  <c r="G1047" i="16" s="1"/>
  <c r="D1046" i="16"/>
  <c r="E1046" i="16" s="1"/>
  <c r="F1046" i="16" s="1"/>
  <c r="G1046" i="16" s="1"/>
  <c r="D1045" i="16"/>
  <c r="E1045" i="16" s="1"/>
  <c r="F1045" i="16" s="1"/>
  <c r="G1045" i="16" s="1"/>
  <c r="D1044" i="16"/>
  <c r="E1044" i="16" s="1"/>
  <c r="F1044" i="16" s="1"/>
  <c r="G1044" i="16" s="1"/>
  <c r="D1043" i="16"/>
  <c r="E1043" i="16" s="1"/>
  <c r="F1043" i="16" s="1"/>
  <c r="G1043" i="16" s="1"/>
  <c r="D1042" i="16"/>
  <c r="E1042" i="16" s="1"/>
  <c r="F1042" i="16" s="1"/>
  <c r="G1042" i="16" s="1"/>
  <c r="D1041" i="16"/>
  <c r="E1041" i="16" s="1"/>
  <c r="F1041" i="16" s="1"/>
  <c r="G1041" i="16" s="1"/>
  <c r="D1040" i="16"/>
  <c r="E1040" i="16" s="1"/>
  <c r="F1040" i="16" s="1"/>
  <c r="G1040" i="16" s="1"/>
  <c r="D1039" i="16"/>
  <c r="E1039" i="16" s="1"/>
  <c r="F1039" i="16" s="1"/>
  <c r="G1039" i="16" s="1"/>
  <c r="D1038" i="16"/>
  <c r="E1038" i="16" s="1"/>
  <c r="F1038" i="16" s="1"/>
  <c r="G1038" i="16" s="1"/>
  <c r="D1037" i="16"/>
  <c r="E1037" i="16" s="1"/>
  <c r="G1037" i="16" s="1"/>
  <c r="D1036" i="16"/>
  <c r="E1036" i="16" s="1"/>
  <c r="F1036" i="16" s="1"/>
  <c r="G1036" i="16" s="1"/>
  <c r="D1035" i="16"/>
  <c r="E1035" i="16" s="1"/>
  <c r="F1035" i="16" s="1"/>
  <c r="G1035" i="16" s="1"/>
  <c r="D1034" i="16"/>
  <c r="E1034" i="16" s="1"/>
  <c r="F1034" i="16" s="1"/>
  <c r="G1034" i="16" s="1"/>
  <c r="D1033" i="16"/>
  <c r="E1033" i="16" s="1"/>
  <c r="F1033" i="16" s="1"/>
  <c r="G1033" i="16" s="1"/>
  <c r="D1032" i="16"/>
  <c r="E1032" i="16" s="1"/>
  <c r="F1032" i="16" s="1"/>
  <c r="G1032" i="16" s="1"/>
  <c r="D1031" i="16"/>
  <c r="E1031" i="16" s="1"/>
  <c r="F1031" i="16" s="1"/>
  <c r="G1031" i="16" s="1"/>
  <c r="D1030" i="16"/>
  <c r="E1030" i="16" s="1"/>
  <c r="F1030" i="16" s="1"/>
  <c r="G1030" i="16" s="1"/>
  <c r="D1029" i="16"/>
  <c r="E1029" i="16" s="1"/>
  <c r="F1029" i="16" s="1"/>
  <c r="G1029" i="16" s="1"/>
  <c r="D1028" i="16"/>
  <c r="E1028" i="16" s="1"/>
  <c r="F1028" i="16" s="1"/>
  <c r="G1028" i="16" s="1"/>
  <c r="D1027" i="16"/>
  <c r="E1027" i="16" s="1"/>
  <c r="F1027" i="16" s="1"/>
  <c r="G1027" i="16" s="1"/>
  <c r="D1026" i="16"/>
  <c r="E1026" i="16" s="1"/>
  <c r="F1026" i="16" s="1"/>
  <c r="G1026" i="16" s="1"/>
  <c r="D1025" i="16"/>
  <c r="E1025" i="16" s="1"/>
  <c r="F1025" i="16" s="1"/>
  <c r="G1025" i="16" s="1"/>
  <c r="D1024" i="16"/>
  <c r="E1024" i="16" s="1"/>
  <c r="F1024" i="16" s="1"/>
  <c r="G1024" i="16" s="1"/>
  <c r="D1023" i="16"/>
  <c r="E1023" i="16" s="1"/>
  <c r="F1023" i="16" s="1"/>
  <c r="G1023" i="16" s="1"/>
  <c r="D1022" i="16"/>
  <c r="E1022" i="16" s="1"/>
  <c r="F1022" i="16" s="1"/>
  <c r="G1022" i="16" s="1"/>
  <c r="D1021" i="16"/>
  <c r="E1021" i="16" s="1"/>
  <c r="F1021" i="16" s="1"/>
  <c r="G1021" i="16" s="1"/>
  <c r="D1020" i="16"/>
  <c r="E1020" i="16" s="1"/>
  <c r="F1020" i="16" s="1"/>
  <c r="G1020" i="16" s="1"/>
  <c r="D1019" i="16"/>
  <c r="E1019" i="16" s="1"/>
  <c r="F1019" i="16" s="1"/>
  <c r="G1019" i="16" s="1"/>
  <c r="D1018" i="16"/>
  <c r="E1018" i="16" s="1"/>
  <c r="F1018" i="16" s="1"/>
  <c r="G1018" i="16" s="1"/>
  <c r="D1017" i="16"/>
  <c r="E1017" i="16" s="1"/>
  <c r="F1017" i="16" s="1"/>
  <c r="G1017" i="16" s="1"/>
  <c r="D1016" i="16"/>
  <c r="E1016" i="16" s="1"/>
  <c r="F1016" i="16" s="1"/>
  <c r="G1016" i="16" s="1"/>
  <c r="D1015" i="16"/>
  <c r="E1015" i="16" s="1"/>
  <c r="F1015" i="16" s="1"/>
  <c r="G1015" i="16" s="1"/>
  <c r="D1014" i="16"/>
  <c r="E1014" i="16" s="1"/>
  <c r="F1014" i="16" s="1"/>
  <c r="G1014" i="16" s="1"/>
  <c r="D1013" i="16"/>
  <c r="E1013" i="16" s="1"/>
  <c r="F1013" i="16" s="1"/>
  <c r="G1013" i="16" s="1"/>
  <c r="D1012" i="16"/>
  <c r="E1012" i="16" s="1"/>
  <c r="F1012" i="16" s="1"/>
  <c r="G1012" i="16" s="1"/>
  <c r="D1011" i="16"/>
  <c r="E1011" i="16" s="1"/>
  <c r="F1011" i="16" s="1"/>
  <c r="G1011" i="16" s="1"/>
  <c r="D1010" i="16"/>
  <c r="E1010" i="16" s="1"/>
  <c r="F1010" i="16" s="1"/>
  <c r="G1010" i="16" s="1"/>
  <c r="D1009" i="16"/>
  <c r="E1009" i="16" s="1"/>
  <c r="F1009" i="16" s="1"/>
  <c r="G1009" i="16" s="1"/>
  <c r="D1008" i="16"/>
  <c r="E1008" i="16" s="1"/>
  <c r="F1008" i="16" s="1"/>
  <c r="G1008" i="16" s="1"/>
  <c r="D1007" i="16"/>
  <c r="E1007" i="16" s="1"/>
  <c r="F1007" i="16" s="1"/>
  <c r="G1007" i="16" s="1"/>
  <c r="D1006" i="16"/>
  <c r="E1006" i="16" s="1"/>
  <c r="F1006" i="16" s="1"/>
  <c r="G1006" i="16" s="1"/>
  <c r="D1005" i="16"/>
  <c r="E1005" i="16" s="1"/>
  <c r="F1005" i="16" s="1"/>
  <c r="G1005" i="16" s="1"/>
  <c r="D1004" i="16"/>
  <c r="E1004" i="16" s="1"/>
  <c r="F1004" i="16" s="1"/>
  <c r="G1004" i="16" s="1"/>
  <c r="D1003" i="16"/>
  <c r="E1003" i="16" s="1"/>
  <c r="F1003" i="16" s="1"/>
  <c r="G1003" i="16" s="1"/>
  <c r="D1002" i="16"/>
  <c r="E1002" i="16" s="1"/>
  <c r="G1002" i="16" s="1"/>
  <c r="D1001" i="16"/>
  <c r="E1001" i="16" s="1"/>
  <c r="F1001" i="16" s="1"/>
  <c r="G1001" i="16" s="1"/>
  <c r="D1000" i="16"/>
  <c r="E1000" i="16" s="1"/>
  <c r="F1000" i="16" s="1"/>
  <c r="G1000" i="16" s="1"/>
  <c r="D999" i="16"/>
  <c r="E999" i="16" s="1"/>
  <c r="F999" i="16" s="1"/>
  <c r="G999" i="16" s="1"/>
  <c r="D998" i="16"/>
  <c r="E998" i="16" s="1"/>
  <c r="F998" i="16" s="1"/>
  <c r="G998" i="16" s="1"/>
  <c r="D997" i="16"/>
  <c r="E997" i="16" s="1"/>
  <c r="F997" i="16" s="1"/>
  <c r="G997" i="16" s="1"/>
  <c r="D996" i="16"/>
  <c r="E996" i="16" s="1"/>
  <c r="F996" i="16" s="1"/>
  <c r="G996" i="16" s="1"/>
  <c r="D995" i="16"/>
  <c r="E995" i="16" s="1"/>
  <c r="F995" i="16" s="1"/>
  <c r="G995" i="16" s="1"/>
  <c r="D994" i="16"/>
  <c r="E994" i="16" s="1"/>
  <c r="F994" i="16" s="1"/>
  <c r="G994" i="16" s="1"/>
  <c r="D993" i="16"/>
  <c r="E993" i="16" s="1"/>
  <c r="F993" i="16" s="1"/>
  <c r="G993" i="16" s="1"/>
  <c r="D992" i="16"/>
  <c r="E992" i="16" s="1"/>
  <c r="F992" i="16" s="1"/>
  <c r="G992" i="16" s="1"/>
  <c r="D991" i="16"/>
  <c r="E991" i="16" s="1"/>
  <c r="F991" i="16" s="1"/>
  <c r="G991" i="16" s="1"/>
  <c r="D990" i="16"/>
  <c r="E990" i="16" s="1"/>
  <c r="F990" i="16" s="1"/>
  <c r="G990" i="16" s="1"/>
  <c r="D989" i="16"/>
  <c r="E989" i="16" s="1"/>
  <c r="F989" i="16" s="1"/>
  <c r="G989" i="16" s="1"/>
  <c r="D988" i="16"/>
  <c r="E988" i="16" s="1"/>
  <c r="F988" i="16" s="1"/>
  <c r="G988" i="16" s="1"/>
  <c r="D987" i="16"/>
  <c r="E987" i="16" s="1"/>
  <c r="F987" i="16" s="1"/>
  <c r="G987" i="16" s="1"/>
  <c r="D986" i="16"/>
  <c r="E986" i="16" s="1"/>
  <c r="F986" i="16" s="1"/>
  <c r="G986" i="16" s="1"/>
  <c r="D985" i="16"/>
  <c r="E985" i="16" s="1"/>
  <c r="F985" i="16" s="1"/>
  <c r="G985" i="16" s="1"/>
  <c r="D984" i="16"/>
  <c r="E984" i="16" s="1"/>
  <c r="F984" i="16" s="1"/>
  <c r="G984" i="16" s="1"/>
  <c r="D983" i="16"/>
  <c r="E983" i="16" s="1"/>
  <c r="F983" i="16" s="1"/>
  <c r="G983" i="16" s="1"/>
  <c r="D982" i="16"/>
  <c r="E982" i="16" s="1"/>
  <c r="F982" i="16" s="1"/>
  <c r="G982" i="16" s="1"/>
  <c r="D981" i="16"/>
  <c r="E981" i="16" s="1"/>
  <c r="F981" i="16" s="1"/>
  <c r="G981" i="16" s="1"/>
  <c r="D980" i="16"/>
  <c r="E980" i="16" s="1"/>
  <c r="F980" i="16" s="1"/>
  <c r="G980" i="16" s="1"/>
  <c r="D979" i="16"/>
  <c r="E979" i="16" s="1"/>
  <c r="F979" i="16" s="1"/>
  <c r="G979" i="16" s="1"/>
  <c r="D978" i="16"/>
  <c r="E978" i="16" s="1"/>
  <c r="F978" i="16" s="1"/>
  <c r="G978" i="16" s="1"/>
  <c r="D977" i="16"/>
  <c r="E977" i="16" s="1"/>
  <c r="F977" i="16" s="1"/>
  <c r="G977" i="16" s="1"/>
  <c r="D976" i="16"/>
  <c r="E976" i="16" s="1"/>
  <c r="F976" i="16" s="1"/>
  <c r="G976" i="16" s="1"/>
  <c r="D975" i="16"/>
  <c r="E975" i="16" s="1"/>
  <c r="F975" i="16" s="1"/>
  <c r="G975" i="16" s="1"/>
  <c r="D974" i="16"/>
  <c r="E974" i="16" s="1"/>
  <c r="F974" i="16" s="1"/>
  <c r="G974" i="16" s="1"/>
  <c r="D973" i="16"/>
  <c r="E973" i="16" s="1"/>
  <c r="F973" i="16" s="1"/>
  <c r="G973" i="16" s="1"/>
  <c r="D972" i="16"/>
  <c r="E972" i="16" s="1"/>
  <c r="F972" i="16" s="1"/>
  <c r="G972" i="16" s="1"/>
  <c r="D971" i="16"/>
  <c r="E971" i="16" s="1"/>
  <c r="F971" i="16" s="1"/>
  <c r="G971" i="16" s="1"/>
  <c r="D970" i="16"/>
  <c r="E970" i="16" s="1"/>
  <c r="F970" i="16" s="1"/>
  <c r="G970" i="16" s="1"/>
  <c r="D969" i="16"/>
  <c r="E969" i="16" s="1"/>
  <c r="F969" i="16" s="1"/>
  <c r="G969" i="16" s="1"/>
  <c r="D968" i="16"/>
  <c r="E968" i="16" s="1"/>
  <c r="F968" i="16" s="1"/>
  <c r="G968" i="16" s="1"/>
  <c r="D967" i="16"/>
  <c r="E967" i="16" s="1"/>
  <c r="F967" i="16" s="1"/>
  <c r="G967" i="16" s="1"/>
  <c r="D966" i="16"/>
  <c r="E966" i="16" s="1"/>
  <c r="F966" i="16" s="1"/>
  <c r="G966" i="16" s="1"/>
  <c r="D965" i="16"/>
  <c r="E965" i="16" s="1"/>
  <c r="F965" i="16" s="1"/>
  <c r="G965" i="16" s="1"/>
  <c r="D964" i="16"/>
  <c r="E964" i="16" s="1"/>
  <c r="F964" i="16" s="1"/>
  <c r="G964" i="16" s="1"/>
  <c r="D963" i="16"/>
  <c r="E963" i="16" s="1"/>
  <c r="F963" i="16" s="1"/>
  <c r="G963" i="16" s="1"/>
  <c r="D962" i="16"/>
  <c r="E962" i="16" s="1"/>
  <c r="F962" i="16" s="1"/>
  <c r="G962" i="16" s="1"/>
  <c r="D961" i="16"/>
  <c r="E961" i="16" s="1"/>
  <c r="F961" i="16" s="1"/>
  <c r="G961" i="16" s="1"/>
  <c r="D960" i="16"/>
  <c r="E960" i="16" s="1"/>
  <c r="F960" i="16" s="1"/>
  <c r="G960" i="16" s="1"/>
  <c r="D959" i="16"/>
  <c r="E959" i="16" s="1"/>
  <c r="F959" i="16" s="1"/>
  <c r="G959" i="16" s="1"/>
  <c r="D958" i="16"/>
  <c r="E958" i="16" s="1"/>
  <c r="F958" i="16" s="1"/>
  <c r="G958" i="16" s="1"/>
  <c r="D957" i="16"/>
  <c r="E957" i="16" s="1"/>
  <c r="F957" i="16" s="1"/>
  <c r="G957" i="16" s="1"/>
  <c r="D956" i="16"/>
  <c r="E956" i="16" s="1"/>
  <c r="F956" i="16" s="1"/>
  <c r="G956" i="16" s="1"/>
  <c r="D955" i="16"/>
  <c r="E955" i="16" s="1"/>
  <c r="F955" i="16" s="1"/>
  <c r="G955" i="16" s="1"/>
  <c r="D954" i="16"/>
  <c r="E954" i="16" s="1"/>
  <c r="F954" i="16" s="1"/>
  <c r="G954" i="16" s="1"/>
  <c r="D953" i="16"/>
  <c r="E953" i="16" s="1"/>
  <c r="F953" i="16" s="1"/>
  <c r="G953" i="16" s="1"/>
  <c r="D952" i="16"/>
  <c r="E952" i="16" s="1"/>
  <c r="F952" i="16" s="1"/>
  <c r="G952" i="16" s="1"/>
  <c r="D951" i="16"/>
  <c r="E951" i="16" s="1"/>
  <c r="F951" i="16" s="1"/>
  <c r="G951" i="16" s="1"/>
  <c r="D950" i="16"/>
  <c r="E950" i="16" s="1"/>
  <c r="F950" i="16" s="1"/>
  <c r="G950" i="16" s="1"/>
  <c r="D949" i="16"/>
  <c r="E949" i="16" s="1"/>
  <c r="F949" i="16" s="1"/>
  <c r="G949" i="16" s="1"/>
  <c r="D948" i="16"/>
  <c r="E948" i="16" s="1"/>
  <c r="F948" i="16" s="1"/>
  <c r="G948" i="16" s="1"/>
  <c r="D947" i="16"/>
  <c r="E947" i="16" s="1"/>
  <c r="F947" i="16" s="1"/>
  <c r="G947" i="16" s="1"/>
  <c r="D946" i="16"/>
  <c r="E946" i="16" s="1"/>
  <c r="F946" i="16" s="1"/>
  <c r="G946" i="16" s="1"/>
  <c r="D945" i="16"/>
  <c r="E945" i="16" s="1"/>
  <c r="F945" i="16" s="1"/>
  <c r="G945" i="16" s="1"/>
  <c r="D944" i="16"/>
  <c r="E944" i="16" s="1"/>
  <c r="F944" i="16" s="1"/>
  <c r="G944" i="16" s="1"/>
  <c r="D943" i="16"/>
  <c r="E943" i="16" s="1"/>
  <c r="F943" i="16" s="1"/>
  <c r="G943" i="16" s="1"/>
  <c r="D942" i="16"/>
  <c r="E942" i="16" s="1"/>
  <c r="F942" i="16" s="1"/>
  <c r="G942" i="16" s="1"/>
  <c r="D941" i="16"/>
  <c r="E941" i="16" s="1"/>
  <c r="F941" i="16" s="1"/>
  <c r="G941" i="16" s="1"/>
  <c r="D940" i="16"/>
  <c r="E940" i="16" s="1"/>
  <c r="F940" i="16" s="1"/>
  <c r="G940" i="16" s="1"/>
  <c r="D939" i="16"/>
  <c r="E939" i="16" s="1"/>
  <c r="F939" i="16" s="1"/>
  <c r="G939" i="16" s="1"/>
  <c r="D938" i="16"/>
  <c r="E938" i="16" s="1"/>
  <c r="F938" i="16" s="1"/>
  <c r="G938" i="16" s="1"/>
  <c r="D937" i="16"/>
  <c r="E937" i="16" s="1"/>
  <c r="F937" i="16" s="1"/>
  <c r="G937" i="16" s="1"/>
  <c r="D936" i="16"/>
  <c r="E936" i="16" s="1"/>
  <c r="F936" i="16" s="1"/>
  <c r="G936" i="16" s="1"/>
  <c r="D935" i="16"/>
  <c r="E935" i="16" s="1"/>
  <c r="F935" i="16" s="1"/>
  <c r="G935" i="16" s="1"/>
  <c r="D934" i="16"/>
  <c r="E934" i="16" s="1"/>
  <c r="F934" i="16" s="1"/>
  <c r="G934" i="16" s="1"/>
  <c r="D933" i="16"/>
  <c r="E933" i="16" s="1"/>
  <c r="F933" i="16" s="1"/>
  <c r="G933" i="16" s="1"/>
  <c r="D932" i="16"/>
  <c r="E932" i="16" s="1"/>
  <c r="F932" i="16" s="1"/>
  <c r="G932" i="16" s="1"/>
  <c r="D931" i="16"/>
  <c r="E931" i="16" s="1"/>
  <c r="F931" i="16" s="1"/>
  <c r="G931" i="16" s="1"/>
  <c r="D930" i="16"/>
  <c r="E930" i="16" s="1"/>
  <c r="F930" i="16" s="1"/>
  <c r="G930" i="16" s="1"/>
  <c r="D929" i="16"/>
  <c r="E929" i="16" s="1"/>
  <c r="F929" i="16" s="1"/>
  <c r="G929" i="16" s="1"/>
  <c r="D928" i="16"/>
  <c r="E928" i="16" s="1"/>
  <c r="F928" i="16" s="1"/>
  <c r="G928" i="16" s="1"/>
  <c r="D927" i="16"/>
  <c r="E927" i="16" s="1"/>
  <c r="F927" i="16" s="1"/>
  <c r="G927" i="16" s="1"/>
  <c r="D926" i="16"/>
  <c r="E926" i="16" s="1"/>
  <c r="F926" i="16" s="1"/>
  <c r="G926" i="16" s="1"/>
  <c r="D925" i="16"/>
  <c r="E925" i="16" s="1"/>
  <c r="F925" i="16" s="1"/>
  <c r="G925" i="16" s="1"/>
  <c r="D924" i="16"/>
  <c r="E924" i="16" s="1"/>
  <c r="F924" i="16" s="1"/>
  <c r="G924" i="16" s="1"/>
  <c r="D923" i="16"/>
  <c r="E923" i="16" s="1"/>
  <c r="F923" i="16" s="1"/>
  <c r="G923" i="16" s="1"/>
  <c r="D922" i="16"/>
  <c r="E922" i="16" s="1"/>
  <c r="F922" i="16" s="1"/>
  <c r="G922" i="16" s="1"/>
  <c r="D921" i="16"/>
  <c r="E921" i="16" s="1"/>
  <c r="F921" i="16" s="1"/>
  <c r="G921" i="16" s="1"/>
  <c r="D920" i="16"/>
  <c r="E920" i="16" s="1"/>
  <c r="F920" i="16" s="1"/>
  <c r="G920" i="16" s="1"/>
  <c r="D919" i="16"/>
  <c r="E919" i="16" s="1"/>
  <c r="F919" i="16" s="1"/>
  <c r="G919" i="16" s="1"/>
  <c r="D918" i="16"/>
  <c r="E918" i="16" s="1"/>
  <c r="F918" i="16" s="1"/>
  <c r="G918" i="16" s="1"/>
  <c r="D917" i="16"/>
  <c r="E917" i="16" s="1"/>
  <c r="F917" i="16" s="1"/>
  <c r="G917" i="16" s="1"/>
  <c r="D916" i="16"/>
  <c r="E916" i="16" s="1"/>
  <c r="F916" i="16" s="1"/>
  <c r="G916" i="16" s="1"/>
  <c r="D915" i="16"/>
  <c r="E915" i="16" s="1"/>
  <c r="F915" i="16" s="1"/>
  <c r="G915" i="16" s="1"/>
  <c r="D914" i="16"/>
  <c r="E914" i="16" s="1"/>
  <c r="F914" i="16" s="1"/>
  <c r="G914" i="16" s="1"/>
  <c r="D913" i="16"/>
  <c r="E913" i="16" s="1"/>
  <c r="F913" i="16" s="1"/>
  <c r="G913" i="16" s="1"/>
  <c r="D912" i="16"/>
  <c r="E912" i="16" s="1"/>
  <c r="F912" i="16" s="1"/>
  <c r="G912" i="16" s="1"/>
  <c r="D911" i="16"/>
  <c r="E911" i="16" s="1"/>
  <c r="G911" i="16" s="1"/>
  <c r="D910" i="16"/>
  <c r="E910" i="16" s="1"/>
  <c r="F910" i="16" s="1"/>
  <c r="G910" i="16" s="1"/>
  <c r="D909" i="16"/>
  <c r="E909" i="16" s="1"/>
  <c r="F909" i="16" s="1"/>
  <c r="G909" i="16" s="1"/>
  <c r="D908" i="16"/>
  <c r="E908" i="16" s="1"/>
  <c r="F908" i="16" s="1"/>
  <c r="G908" i="16" s="1"/>
  <c r="D907" i="16"/>
  <c r="E907" i="16" s="1"/>
  <c r="F907" i="16" s="1"/>
  <c r="G907" i="16" s="1"/>
  <c r="D906" i="16"/>
  <c r="E906" i="16" s="1"/>
  <c r="F906" i="16" s="1"/>
  <c r="G906" i="16" s="1"/>
  <c r="D905" i="16"/>
  <c r="E905" i="16" s="1"/>
  <c r="F905" i="16" s="1"/>
  <c r="G905" i="16" s="1"/>
  <c r="D904" i="16"/>
  <c r="E904" i="16" s="1"/>
  <c r="F904" i="16" s="1"/>
  <c r="G904" i="16" s="1"/>
  <c r="D903" i="16"/>
  <c r="E903" i="16" s="1"/>
  <c r="F903" i="16" s="1"/>
  <c r="G903" i="16" s="1"/>
  <c r="D902" i="16"/>
  <c r="E902" i="16" s="1"/>
  <c r="F902" i="16" s="1"/>
  <c r="G902" i="16" s="1"/>
  <c r="D901" i="16"/>
  <c r="E901" i="16" s="1"/>
  <c r="F901" i="16" s="1"/>
  <c r="G901" i="16" s="1"/>
  <c r="D900" i="16"/>
  <c r="E900" i="16" s="1"/>
  <c r="F900" i="16" s="1"/>
  <c r="G900" i="16" s="1"/>
  <c r="D899" i="16"/>
  <c r="E899" i="16" s="1"/>
  <c r="F899" i="16" s="1"/>
  <c r="G899" i="16" s="1"/>
  <c r="D898" i="16"/>
  <c r="E898" i="16" s="1"/>
  <c r="F898" i="16" s="1"/>
  <c r="G898" i="16" s="1"/>
  <c r="D897" i="16"/>
  <c r="E897" i="16" s="1"/>
  <c r="F897" i="16" s="1"/>
  <c r="G897" i="16" s="1"/>
  <c r="D896" i="16"/>
  <c r="E896" i="16" s="1"/>
  <c r="F896" i="16" s="1"/>
  <c r="G896" i="16" s="1"/>
  <c r="D895" i="16"/>
  <c r="E895" i="16" s="1"/>
  <c r="F895" i="16" s="1"/>
  <c r="G895" i="16" s="1"/>
  <c r="D894" i="16"/>
  <c r="E894" i="16" s="1"/>
  <c r="F894" i="16" s="1"/>
  <c r="G894" i="16" s="1"/>
  <c r="D893" i="16"/>
  <c r="E893" i="16" s="1"/>
  <c r="F893" i="16" s="1"/>
  <c r="G893" i="16" s="1"/>
  <c r="D892" i="16"/>
  <c r="E892" i="16" s="1"/>
  <c r="F892" i="16" s="1"/>
  <c r="G892" i="16" s="1"/>
  <c r="D891" i="16"/>
  <c r="E891" i="16" s="1"/>
  <c r="F891" i="16" s="1"/>
  <c r="G891" i="16" s="1"/>
  <c r="D890" i="16"/>
  <c r="E890" i="16" s="1"/>
  <c r="F890" i="16" s="1"/>
  <c r="G890" i="16" s="1"/>
  <c r="D889" i="16"/>
  <c r="E889" i="16" s="1"/>
  <c r="F889" i="16" s="1"/>
  <c r="G889" i="16" s="1"/>
  <c r="D888" i="16"/>
  <c r="E888" i="16" s="1"/>
  <c r="F888" i="16" s="1"/>
  <c r="G888" i="16" s="1"/>
  <c r="D887" i="16"/>
  <c r="E887" i="16" s="1"/>
  <c r="F887" i="16" s="1"/>
  <c r="G887" i="16" s="1"/>
  <c r="D886" i="16"/>
  <c r="E886" i="16" s="1"/>
  <c r="F886" i="16" s="1"/>
  <c r="G886" i="16" s="1"/>
  <c r="D885" i="16"/>
  <c r="E885" i="16" s="1"/>
  <c r="F885" i="16" s="1"/>
  <c r="G885" i="16" s="1"/>
  <c r="D884" i="16"/>
  <c r="E884" i="16" s="1"/>
  <c r="F884" i="16" s="1"/>
  <c r="G884" i="16" s="1"/>
  <c r="D883" i="16"/>
  <c r="E883" i="16" s="1"/>
  <c r="F883" i="16" s="1"/>
  <c r="G883" i="16" s="1"/>
  <c r="D882" i="16"/>
  <c r="E882" i="16" s="1"/>
  <c r="F882" i="16" s="1"/>
  <c r="G882" i="16" s="1"/>
  <c r="D881" i="16"/>
  <c r="E881" i="16" s="1"/>
  <c r="F881" i="16" s="1"/>
  <c r="G881" i="16" s="1"/>
  <c r="D880" i="16"/>
  <c r="E880" i="16" s="1"/>
  <c r="F880" i="16" s="1"/>
  <c r="G880" i="16" s="1"/>
  <c r="D879" i="16"/>
  <c r="E879" i="16" s="1"/>
  <c r="F879" i="16" s="1"/>
  <c r="G879" i="16" s="1"/>
  <c r="D878" i="16"/>
  <c r="E878" i="16" s="1"/>
  <c r="F878" i="16" s="1"/>
  <c r="G878" i="16" s="1"/>
  <c r="D877" i="16"/>
  <c r="E877" i="16" s="1"/>
  <c r="F877" i="16" s="1"/>
  <c r="G877" i="16" s="1"/>
  <c r="D876" i="16"/>
  <c r="E876" i="16" s="1"/>
  <c r="F876" i="16" s="1"/>
  <c r="G876" i="16" s="1"/>
  <c r="D875" i="16"/>
  <c r="E875" i="16" s="1"/>
  <c r="F875" i="16" s="1"/>
  <c r="G875" i="16" s="1"/>
  <c r="D874" i="16"/>
  <c r="E874" i="16" s="1"/>
  <c r="F874" i="16" s="1"/>
  <c r="G874" i="16" s="1"/>
  <c r="D873" i="16"/>
  <c r="E873" i="16" s="1"/>
  <c r="G873" i="16" s="1"/>
  <c r="D872" i="16"/>
  <c r="E872" i="16" s="1"/>
  <c r="F872" i="16" s="1"/>
  <c r="G872" i="16" s="1"/>
  <c r="D871" i="16"/>
  <c r="E871" i="16" s="1"/>
  <c r="F871" i="16" s="1"/>
  <c r="G871" i="16" s="1"/>
  <c r="D870" i="16"/>
  <c r="E870" i="16" s="1"/>
  <c r="F870" i="16" s="1"/>
  <c r="G870" i="16" s="1"/>
  <c r="D869" i="16"/>
  <c r="E869" i="16" s="1"/>
  <c r="F869" i="16" s="1"/>
  <c r="G869" i="16" s="1"/>
  <c r="D868" i="16"/>
  <c r="E868" i="16" s="1"/>
  <c r="F868" i="16" s="1"/>
  <c r="G868" i="16" s="1"/>
  <c r="D867" i="16"/>
  <c r="E867" i="16" s="1"/>
  <c r="F867" i="16" s="1"/>
  <c r="G867" i="16" s="1"/>
  <c r="D866" i="16"/>
  <c r="E866" i="16" s="1"/>
  <c r="F866" i="16" s="1"/>
  <c r="G866" i="16" s="1"/>
  <c r="D865" i="16"/>
  <c r="E865" i="16" s="1"/>
  <c r="F865" i="16" s="1"/>
  <c r="G865" i="16" s="1"/>
  <c r="D864" i="16"/>
  <c r="E864" i="16" s="1"/>
  <c r="F864" i="16" s="1"/>
  <c r="G864" i="16" s="1"/>
  <c r="D863" i="16"/>
  <c r="E863" i="16" s="1"/>
  <c r="G863" i="16" s="1"/>
  <c r="D862" i="16"/>
  <c r="E862" i="16" s="1"/>
  <c r="F862" i="16" s="1"/>
  <c r="G862" i="16" s="1"/>
  <c r="D861" i="16"/>
  <c r="E861" i="16" s="1"/>
  <c r="F861" i="16" s="1"/>
  <c r="G861" i="16" s="1"/>
  <c r="D860" i="16"/>
  <c r="E860" i="16" s="1"/>
  <c r="F860" i="16" s="1"/>
  <c r="G860" i="16" s="1"/>
  <c r="D859" i="16"/>
  <c r="E859" i="16" s="1"/>
  <c r="F859" i="16" s="1"/>
  <c r="G859" i="16" s="1"/>
  <c r="D858" i="16"/>
  <c r="E858" i="16" s="1"/>
  <c r="F858" i="16" s="1"/>
  <c r="G858" i="16" s="1"/>
  <c r="D857" i="16"/>
  <c r="E857" i="16" s="1"/>
  <c r="F857" i="16" s="1"/>
  <c r="G857" i="16" s="1"/>
  <c r="D856" i="16"/>
  <c r="E856" i="16" s="1"/>
  <c r="F856" i="16" s="1"/>
  <c r="G856" i="16" s="1"/>
  <c r="D855" i="16"/>
  <c r="E855" i="16" s="1"/>
  <c r="F855" i="16" s="1"/>
  <c r="G855" i="16" s="1"/>
  <c r="D854" i="16"/>
  <c r="E854" i="16" s="1"/>
  <c r="F854" i="16" s="1"/>
  <c r="G854" i="16" s="1"/>
  <c r="D853" i="16"/>
  <c r="E853" i="16" s="1"/>
  <c r="F853" i="16" s="1"/>
  <c r="G853" i="16" s="1"/>
  <c r="D852" i="16"/>
  <c r="E852" i="16" s="1"/>
  <c r="F852" i="16" s="1"/>
  <c r="G852" i="16" s="1"/>
  <c r="D851" i="16"/>
  <c r="E851" i="16" s="1"/>
  <c r="F851" i="16" s="1"/>
  <c r="G851" i="16" s="1"/>
  <c r="D850" i="16"/>
  <c r="E850" i="16" s="1"/>
  <c r="F850" i="16" s="1"/>
  <c r="G850" i="16" s="1"/>
  <c r="D849" i="16"/>
  <c r="E849" i="16" s="1"/>
  <c r="D848" i="16"/>
  <c r="E848" i="16" s="1"/>
  <c r="D847" i="16"/>
  <c r="E847" i="16" s="1"/>
  <c r="D846" i="16"/>
  <c r="E846" i="16" s="1"/>
  <c r="F846" i="16" s="1"/>
  <c r="G846" i="16" s="1"/>
  <c r="D845" i="16"/>
  <c r="E845" i="16" s="1"/>
  <c r="F845" i="16" s="1"/>
  <c r="G845" i="16" s="1"/>
  <c r="D844" i="16"/>
  <c r="E844" i="16" s="1"/>
  <c r="F844" i="16" s="1"/>
  <c r="G844" i="16" s="1"/>
  <c r="D843" i="16"/>
  <c r="E843" i="16" s="1"/>
  <c r="F843" i="16" s="1"/>
  <c r="G843" i="16" s="1"/>
  <c r="D842" i="16"/>
  <c r="E842" i="16" s="1"/>
  <c r="G842" i="16" s="1"/>
  <c r="D841" i="16"/>
  <c r="E841" i="16" s="1"/>
  <c r="F841" i="16" s="1"/>
  <c r="G841" i="16" s="1"/>
  <c r="D840" i="16"/>
  <c r="E840" i="16" s="1"/>
  <c r="G840" i="16" s="1"/>
  <c r="D839" i="16"/>
  <c r="E839" i="16" s="1"/>
  <c r="F839" i="16" s="1"/>
  <c r="G839" i="16" s="1"/>
  <c r="D838" i="16"/>
  <c r="E838" i="16" s="1"/>
  <c r="F838" i="16" s="1"/>
  <c r="G838" i="16" s="1"/>
  <c r="D837" i="16"/>
  <c r="E837" i="16" s="1"/>
  <c r="F837" i="16" s="1"/>
  <c r="G837" i="16" s="1"/>
  <c r="D836" i="16"/>
  <c r="E836" i="16" s="1"/>
  <c r="F836" i="16" s="1"/>
  <c r="G836" i="16" s="1"/>
  <c r="D835" i="16"/>
  <c r="E835" i="16" s="1"/>
  <c r="F835" i="16" s="1"/>
  <c r="G835" i="16" s="1"/>
  <c r="D834" i="16"/>
  <c r="E834" i="16" s="1"/>
  <c r="F834" i="16" s="1"/>
  <c r="G834" i="16" s="1"/>
  <c r="D833" i="16"/>
  <c r="E833" i="16" s="1"/>
  <c r="F833" i="16" s="1"/>
  <c r="G833" i="16" s="1"/>
  <c r="D832" i="16"/>
  <c r="E832" i="16" s="1"/>
  <c r="F832" i="16" s="1"/>
  <c r="G832" i="16" s="1"/>
  <c r="D831" i="16"/>
  <c r="E831" i="16" s="1"/>
  <c r="F831" i="16" s="1"/>
  <c r="G831" i="16" s="1"/>
  <c r="D830" i="16"/>
  <c r="E830" i="16" s="1"/>
  <c r="F830" i="16" s="1"/>
  <c r="G830" i="16" s="1"/>
  <c r="D829" i="16"/>
  <c r="E829" i="16" s="1"/>
  <c r="F829" i="16" s="1"/>
  <c r="G829" i="16" s="1"/>
  <c r="D828" i="16"/>
  <c r="E828" i="16" s="1"/>
  <c r="F828" i="16" s="1"/>
  <c r="G828" i="16" s="1"/>
  <c r="D827" i="16"/>
  <c r="E827" i="16" s="1"/>
  <c r="F827" i="16" s="1"/>
  <c r="G827" i="16" s="1"/>
  <c r="D826" i="16"/>
  <c r="E826" i="16" s="1"/>
  <c r="F826" i="16" s="1"/>
  <c r="G826" i="16" s="1"/>
  <c r="D825" i="16"/>
  <c r="E825" i="16" s="1"/>
  <c r="F825" i="16" s="1"/>
  <c r="G825" i="16" s="1"/>
  <c r="D824" i="16"/>
  <c r="E824" i="16" s="1"/>
  <c r="F824" i="16" s="1"/>
  <c r="G824" i="16" s="1"/>
  <c r="D823" i="16"/>
  <c r="E823" i="16" s="1"/>
  <c r="F823" i="16" s="1"/>
  <c r="G823" i="16" s="1"/>
  <c r="D822" i="16"/>
  <c r="E822" i="16" s="1"/>
  <c r="F822" i="16" s="1"/>
  <c r="G822" i="16" s="1"/>
  <c r="D821" i="16"/>
  <c r="E821" i="16" s="1"/>
  <c r="F821" i="16" s="1"/>
  <c r="G821" i="16" s="1"/>
  <c r="D820" i="16"/>
  <c r="E820" i="16" s="1"/>
  <c r="F820" i="16" s="1"/>
  <c r="G820" i="16" s="1"/>
  <c r="D819" i="16"/>
  <c r="E819" i="16" s="1"/>
  <c r="F819" i="16" s="1"/>
  <c r="G819" i="16" s="1"/>
  <c r="D818" i="16"/>
  <c r="E818" i="16" s="1"/>
  <c r="F818" i="16" s="1"/>
  <c r="G818" i="16" s="1"/>
  <c r="D817" i="16"/>
  <c r="E817" i="16" s="1"/>
  <c r="F817" i="16" s="1"/>
  <c r="G817" i="16" s="1"/>
  <c r="D816" i="16"/>
  <c r="E816" i="16" s="1"/>
  <c r="F816" i="16" s="1"/>
  <c r="G816" i="16" s="1"/>
  <c r="D815" i="16"/>
  <c r="E815" i="16" s="1"/>
  <c r="F815" i="16" s="1"/>
  <c r="G815" i="16" s="1"/>
  <c r="D814" i="16"/>
  <c r="E814" i="16" s="1"/>
  <c r="F814" i="16" s="1"/>
  <c r="G814" i="16" s="1"/>
  <c r="D813" i="16"/>
  <c r="E813" i="16" s="1"/>
  <c r="F813" i="16" s="1"/>
  <c r="G813" i="16" s="1"/>
  <c r="D812" i="16"/>
  <c r="E812" i="16" s="1"/>
  <c r="F812" i="16" s="1"/>
  <c r="G812" i="16" s="1"/>
  <c r="D811" i="16"/>
  <c r="E811" i="16" s="1"/>
  <c r="F811" i="16" s="1"/>
  <c r="G811" i="16" s="1"/>
  <c r="D810" i="16"/>
  <c r="E810" i="16" s="1"/>
  <c r="F810" i="16" s="1"/>
  <c r="G810" i="16" s="1"/>
  <c r="D809" i="16"/>
  <c r="E809" i="16" s="1"/>
  <c r="F809" i="16" s="1"/>
  <c r="G809" i="16" s="1"/>
  <c r="D808" i="16"/>
  <c r="E808" i="16" s="1"/>
  <c r="F808" i="16" s="1"/>
  <c r="G808" i="16" s="1"/>
  <c r="D807" i="16"/>
  <c r="E807" i="16" s="1"/>
  <c r="F807" i="16" s="1"/>
  <c r="G807" i="16" s="1"/>
  <c r="D806" i="16"/>
  <c r="E806" i="16" s="1"/>
  <c r="F806" i="16" s="1"/>
  <c r="G806" i="16" s="1"/>
  <c r="D805" i="16"/>
  <c r="E805" i="16" s="1"/>
  <c r="F805" i="16" s="1"/>
  <c r="G805" i="16" s="1"/>
  <c r="D804" i="16"/>
  <c r="E804" i="16" s="1"/>
  <c r="F804" i="16" s="1"/>
  <c r="G804" i="16" s="1"/>
  <c r="D803" i="16"/>
  <c r="E803" i="16" s="1"/>
  <c r="F803" i="16" s="1"/>
  <c r="G803" i="16" s="1"/>
  <c r="D802" i="16"/>
  <c r="E802" i="16" s="1"/>
  <c r="F802" i="16" s="1"/>
  <c r="G802" i="16" s="1"/>
  <c r="D801" i="16"/>
  <c r="E801" i="16" s="1"/>
  <c r="F801" i="16" s="1"/>
  <c r="G801" i="16" s="1"/>
  <c r="D800" i="16"/>
  <c r="E800" i="16" s="1"/>
  <c r="F800" i="16" s="1"/>
  <c r="G800" i="16" s="1"/>
  <c r="D799" i="16"/>
  <c r="E799" i="16" s="1"/>
  <c r="F799" i="16" s="1"/>
  <c r="G799" i="16" s="1"/>
  <c r="D798" i="16"/>
  <c r="E798" i="16" s="1"/>
  <c r="F798" i="16" s="1"/>
  <c r="G798" i="16" s="1"/>
  <c r="D797" i="16"/>
  <c r="E797" i="16" s="1"/>
  <c r="F797" i="16" s="1"/>
  <c r="G797" i="16" s="1"/>
  <c r="D796" i="16"/>
  <c r="E796" i="16" s="1"/>
  <c r="F796" i="16" s="1"/>
  <c r="G796" i="16" s="1"/>
  <c r="D795" i="16"/>
  <c r="E795" i="16" s="1"/>
  <c r="F795" i="16" s="1"/>
  <c r="G795" i="16" s="1"/>
  <c r="D794" i="16"/>
  <c r="E794" i="16" s="1"/>
  <c r="F794" i="16" s="1"/>
  <c r="G794" i="16" s="1"/>
  <c r="D793" i="16"/>
  <c r="E793" i="16" s="1"/>
  <c r="F793" i="16" s="1"/>
  <c r="G793" i="16" s="1"/>
  <c r="D792" i="16"/>
  <c r="E792" i="16" s="1"/>
  <c r="F792" i="16" s="1"/>
  <c r="G792" i="16" s="1"/>
  <c r="D791" i="16"/>
  <c r="E791" i="16" s="1"/>
  <c r="F791" i="16" s="1"/>
  <c r="G791" i="16" s="1"/>
  <c r="D790" i="16"/>
  <c r="E790" i="16" s="1"/>
  <c r="F790" i="16" s="1"/>
  <c r="G790" i="16" s="1"/>
  <c r="D789" i="16"/>
  <c r="E789" i="16" s="1"/>
  <c r="F789" i="16" s="1"/>
  <c r="G789" i="16" s="1"/>
  <c r="D788" i="16"/>
  <c r="E788" i="16" s="1"/>
  <c r="F788" i="16" s="1"/>
  <c r="G788" i="16" s="1"/>
  <c r="D787" i="16"/>
  <c r="E787" i="16" s="1"/>
  <c r="F787" i="16" s="1"/>
  <c r="G787" i="16" s="1"/>
  <c r="D786" i="16"/>
  <c r="E786" i="16" s="1"/>
  <c r="F786" i="16" s="1"/>
  <c r="G786" i="16" s="1"/>
  <c r="D785" i="16"/>
  <c r="E785" i="16" s="1"/>
  <c r="F785" i="16" s="1"/>
  <c r="G785" i="16" s="1"/>
  <c r="D784" i="16"/>
  <c r="E784" i="16" s="1"/>
  <c r="F784" i="16" s="1"/>
  <c r="G784" i="16" s="1"/>
  <c r="D783" i="16"/>
  <c r="E783" i="16" s="1"/>
  <c r="F783" i="16" s="1"/>
  <c r="G783" i="16" s="1"/>
  <c r="D782" i="16"/>
  <c r="E782" i="16" s="1"/>
  <c r="F782" i="16" s="1"/>
  <c r="G782" i="16" s="1"/>
  <c r="D781" i="16"/>
  <c r="E781" i="16" s="1"/>
  <c r="F781" i="16" s="1"/>
  <c r="G781" i="16" s="1"/>
  <c r="D780" i="16"/>
  <c r="E780" i="16" s="1"/>
  <c r="F780" i="16" s="1"/>
  <c r="G780" i="16" s="1"/>
  <c r="D779" i="16"/>
  <c r="E779" i="16" s="1"/>
  <c r="F779" i="16" s="1"/>
  <c r="G779" i="16" s="1"/>
  <c r="D778" i="16"/>
  <c r="E778" i="16" s="1"/>
  <c r="F778" i="16" s="1"/>
  <c r="G778" i="16" s="1"/>
  <c r="D777" i="16"/>
  <c r="E777" i="16" s="1"/>
  <c r="F777" i="16" s="1"/>
  <c r="G777" i="16" s="1"/>
  <c r="D776" i="16"/>
  <c r="E776" i="16" s="1"/>
  <c r="F776" i="16" s="1"/>
  <c r="G776" i="16" s="1"/>
  <c r="D775" i="16"/>
  <c r="E775" i="16" s="1"/>
  <c r="F775" i="16" s="1"/>
  <c r="G775" i="16" s="1"/>
  <c r="D774" i="16"/>
  <c r="E774" i="16" s="1"/>
  <c r="F774" i="16" s="1"/>
  <c r="G774" i="16" s="1"/>
  <c r="D773" i="16"/>
  <c r="E773" i="16" s="1"/>
  <c r="F773" i="16" s="1"/>
  <c r="G773" i="16" s="1"/>
  <c r="D772" i="16"/>
  <c r="E772" i="16" s="1"/>
  <c r="F772" i="16" s="1"/>
  <c r="G772" i="16" s="1"/>
  <c r="D771" i="16"/>
  <c r="E771" i="16" s="1"/>
  <c r="F771" i="16" s="1"/>
  <c r="G771" i="16" s="1"/>
  <c r="D770" i="16"/>
  <c r="E770" i="16" s="1"/>
  <c r="F770" i="16" s="1"/>
  <c r="G770" i="16" s="1"/>
  <c r="D769" i="16"/>
  <c r="E769" i="16" s="1"/>
  <c r="F769" i="16" s="1"/>
  <c r="G769" i="16" s="1"/>
  <c r="D768" i="16"/>
  <c r="E768" i="16" s="1"/>
  <c r="F768" i="16" s="1"/>
  <c r="G768" i="16" s="1"/>
  <c r="D767" i="16"/>
  <c r="E767" i="16" s="1"/>
  <c r="F767" i="16" s="1"/>
  <c r="G767" i="16" s="1"/>
  <c r="D766" i="16"/>
  <c r="E766" i="16" s="1"/>
  <c r="F766" i="16" s="1"/>
  <c r="G766" i="16" s="1"/>
  <c r="D765" i="16"/>
  <c r="E765" i="16" s="1"/>
  <c r="F765" i="16" s="1"/>
  <c r="G765" i="16" s="1"/>
  <c r="D764" i="16"/>
  <c r="E764" i="16" s="1"/>
  <c r="F764" i="16" s="1"/>
  <c r="G764" i="16" s="1"/>
  <c r="D763" i="16"/>
  <c r="E763" i="16" s="1"/>
  <c r="F763" i="16" s="1"/>
  <c r="G763" i="16" s="1"/>
  <c r="D762" i="16"/>
  <c r="E762" i="16" s="1"/>
  <c r="F762" i="16" s="1"/>
  <c r="G762" i="16" s="1"/>
  <c r="D761" i="16"/>
  <c r="E761" i="16" s="1"/>
  <c r="F761" i="16" s="1"/>
  <c r="G761" i="16" s="1"/>
  <c r="D760" i="16"/>
  <c r="E760" i="16" s="1"/>
  <c r="F760" i="16" s="1"/>
  <c r="G760" i="16" s="1"/>
  <c r="D759" i="16"/>
  <c r="E759" i="16" s="1"/>
  <c r="F759" i="16" s="1"/>
  <c r="G759" i="16" s="1"/>
  <c r="D758" i="16"/>
  <c r="E758" i="16" s="1"/>
  <c r="F758" i="16" s="1"/>
  <c r="G758" i="16" s="1"/>
  <c r="D757" i="16"/>
  <c r="E757" i="16" s="1"/>
  <c r="F757" i="16" s="1"/>
  <c r="G757" i="16" s="1"/>
  <c r="D756" i="16"/>
  <c r="E756" i="16" s="1"/>
  <c r="F756" i="16" s="1"/>
  <c r="G756" i="16" s="1"/>
  <c r="D755" i="16"/>
  <c r="E755" i="16" s="1"/>
  <c r="F755" i="16" s="1"/>
  <c r="G755" i="16" s="1"/>
  <c r="D754" i="16"/>
  <c r="E754" i="16" s="1"/>
  <c r="F754" i="16" s="1"/>
  <c r="G754" i="16" s="1"/>
  <c r="D753" i="16"/>
  <c r="E753" i="16" s="1"/>
  <c r="F753" i="16" s="1"/>
  <c r="G753" i="16" s="1"/>
  <c r="D752" i="16"/>
  <c r="E752" i="16" s="1"/>
  <c r="F752" i="16" s="1"/>
  <c r="G752" i="16" s="1"/>
  <c r="D751" i="16"/>
  <c r="E751" i="16" s="1"/>
  <c r="F751" i="16" s="1"/>
  <c r="G751" i="16" s="1"/>
  <c r="D750" i="16"/>
  <c r="E750" i="16" s="1"/>
  <c r="F750" i="16" s="1"/>
  <c r="G750" i="16" s="1"/>
  <c r="D749" i="16"/>
  <c r="E749" i="16" s="1"/>
  <c r="F749" i="16" s="1"/>
  <c r="G749" i="16" s="1"/>
  <c r="D748" i="16"/>
  <c r="E748" i="16" s="1"/>
  <c r="F748" i="16" s="1"/>
  <c r="G748" i="16" s="1"/>
  <c r="D747" i="16"/>
  <c r="E747" i="16" s="1"/>
  <c r="F747" i="16" s="1"/>
  <c r="G747" i="16" s="1"/>
  <c r="D746" i="16"/>
  <c r="E746" i="16" s="1"/>
  <c r="F746" i="16" s="1"/>
  <c r="G746" i="16" s="1"/>
  <c r="D745" i="16"/>
  <c r="E745" i="16" s="1"/>
  <c r="G745" i="16" s="1"/>
  <c r="D744" i="16"/>
  <c r="E744" i="16" s="1"/>
  <c r="F744" i="16" s="1"/>
  <c r="G744" i="16" s="1"/>
  <c r="D743" i="16"/>
  <c r="E743" i="16" s="1"/>
  <c r="F743" i="16" s="1"/>
  <c r="G743" i="16" s="1"/>
  <c r="D742" i="16"/>
  <c r="E742" i="16" s="1"/>
  <c r="F742" i="16" s="1"/>
  <c r="G742" i="16" s="1"/>
  <c r="D741" i="16"/>
  <c r="E741" i="16" s="1"/>
  <c r="F741" i="16" s="1"/>
  <c r="G741" i="16" s="1"/>
  <c r="D740" i="16"/>
  <c r="E740" i="16" s="1"/>
  <c r="F740" i="16" s="1"/>
  <c r="G740" i="16" s="1"/>
  <c r="D739" i="16"/>
  <c r="E739" i="16" s="1"/>
  <c r="F739" i="16" s="1"/>
  <c r="G739" i="16" s="1"/>
  <c r="D738" i="16"/>
  <c r="E738" i="16" s="1"/>
  <c r="F738" i="16" s="1"/>
  <c r="G738" i="16" s="1"/>
  <c r="D737" i="16"/>
  <c r="E737" i="16" s="1"/>
  <c r="F737" i="16" s="1"/>
  <c r="G737" i="16" s="1"/>
  <c r="D736" i="16"/>
  <c r="E736" i="16" s="1"/>
  <c r="F736" i="16" s="1"/>
  <c r="G736" i="16" s="1"/>
  <c r="D735" i="16"/>
  <c r="E735" i="16" s="1"/>
  <c r="F735" i="16" s="1"/>
  <c r="G735" i="16" s="1"/>
  <c r="D734" i="16"/>
  <c r="E734" i="16" s="1"/>
  <c r="F734" i="16" s="1"/>
  <c r="G734" i="16" s="1"/>
  <c r="D733" i="16"/>
  <c r="E733" i="16" s="1"/>
  <c r="F733" i="16" s="1"/>
  <c r="G733" i="16" s="1"/>
  <c r="D732" i="16"/>
  <c r="E732" i="16" s="1"/>
  <c r="F732" i="16" s="1"/>
  <c r="G732" i="16" s="1"/>
  <c r="D731" i="16"/>
  <c r="E731" i="16" s="1"/>
  <c r="F731" i="16" s="1"/>
  <c r="G731" i="16" s="1"/>
  <c r="D730" i="16"/>
  <c r="E730" i="16" s="1"/>
  <c r="F730" i="16" s="1"/>
  <c r="G730" i="16" s="1"/>
  <c r="D729" i="16"/>
  <c r="E729" i="16" s="1"/>
  <c r="F729" i="16" s="1"/>
  <c r="G729" i="16" s="1"/>
  <c r="D728" i="16"/>
  <c r="E728" i="16" s="1"/>
  <c r="F728" i="16" s="1"/>
  <c r="G728" i="16" s="1"/>
  <c r="D727" i="16"/>
  <c r="E727" i="16" s="1"/>
  <c r="F727" i="16" s="1"/>
  <c r="G727" i="16" s="1"/>
  <c r="D726" i="16"/>
  <c r="E726" i="16" s="1"/>
  <c r="F726" i="16" s="1"/>
  <c r="G726" i="16" s="1"/>
  <c r="D725" i="16"/>
  <c r="E725" i="16" s="1"/>
  <c r="F725" i="16" s="1"/>
  <c r="G725" i="16" s="1"/>
  <c r="D724" i="16"/>
  <c r="E724" i="16" s="1"/>
  <c r="F724" i="16" s="1"/>
  <c r="G724" i="16" s="1"/>
  <c r="D723" i="16"/>
  <c r="E723" i="16" s="1"/>
  <c r="F723" i="16" s="1"/>
  <c r="G723" i="16" s="1"/>
  <c r="D722" i="16"/>
  <c r="E722" i="16" s="1"/>
  <c r="F722" i="16" s="1"/>
  <c r="G722" i="16" s="1"/>
  <c r="D721" i="16"/>
  <c r="E721" i="16" s="1"/>
  <c r="F721" i="16" s="1"/>
  <c r="G721" i="16" s="1"/>
  <c r="D720" i="16"/>
  <c r="E720" i="16" s="1"/>
  <c r="F720" i="16" s="1"/>
  <c r="G720" i="16" s="1"/>
  <c r="D719" i="16"/>
  <c r="E719" i="16" s="1"/>
  <c r="F719" i="16" s="1"/>
  <c r="G719" i="16" s="1"/>
  <c r="D718" i="16"/>
  <c r="E718" i="16" s="1"/>
  <c r="F718" i="16" s="1"/>
  <c r="G718" i="16" s="1"/>
  <c r="D717" i="16"/>
  <c r="E717" i="16" s="1"/>
  <c r="F717" i="16" s="1"/>
  <c r="G717" i="16" s="1"/>
  <c r="D716" i="16"/>
  <c r="E716" i="16" s="1"/>
  <c r="F716" i="16" s="1"/>
  <c r="G716" i="16" s="1"/>
  <c r="D715" i="16"/>
  <c r="E715" i="16" s="1"/>
  <c r="F715" i="16" s="1"/>
  <c r="G715" i="16" s="1"/>
  <c r="D714" i="16"/>
  <c r="E714" i="16" s="1"/>
  <c r="F714" i="16" s="1"/>
  <c r="G714" i="16" s="1"/>
  <c r="D713" i="16"/>
  <c r="E713" i="16" s="1"/>
  <c r="F713" i="16" s="1"/>
  <c r="G713" i="16" s="1"/>
  <c r="D712" i="16"/>
  <c r="E712" i="16" s="1"/>
  <c r="F712" i="16" s="1"/>
  <c r="G712" i="16" s="1"/>
  <c r="D711" i="16"/>
  <c r="E711" i="16" s="1"/>
  <c r="F711" i="16" s="1"/>
  <c r="G711" i="16" s="1"/>
  <c r="D710" i="16"/>
  <c r="E710" i="16" s="1"/>
  <c r="F710" i="16" s="1"/>
  <c r="G710" i="16" s="1"/>
  <c r="D709" i="16"/>
  <c r="E709" i="16" s="1"/>
  <c r="F709" i="16" s="1"/>
  <c r="G709" i="16" s="1"/>
  <c r="D708" i="16"/>
  <c r="E708" i="16" s="1"/>
  <c r="F708" i="16" s="1"/>
  <c r="G708" i="16" s="1"/>
  <c r="D707" i="16"/>
  <c r="E707" i="16" s="1"/>
  <c r="F707" i="16" s="1"/>
  <c r="G707" i="16" s="1"/>
  <c r="D706" i="16"/>
  <c r="E706" i="16" s="1"/>
  <c r="F706" i="16" s="1"/>
  <c r="G706" i="16" s="1"/>
  <c r="D705" i="16"/>
  <c r="E705" i="16" s="1"/>
  <c r="G705" i="16" s="1"/>
  <c r="D704" i="16"/>
  <c r="E704" i="16" s="1"/>
  <c r="F704" i="16" s="1"/>
  <c r="G704" i="16" s="1"/>
  <c r="D703" i="16"/>
  <c r="E703" i="16" s="1"/>
  <c r="F703" i="16" s="1"/>
  <c r="G703" i="16" s="1"/>
  <c r="D702" i="16"/>
  <c r="E702" i="16" s="1"/>
  <c r="F702" i="16" s="1"/>
  <c r="G702" i="16" s="1"/>
  <c r="D701" i="16"/>
  <c r="E701" i="16" s="1"/>
  <c r="F701" i="16" s="1"/>
  <c r="G701" i="16" s="1"/>
  <c r="D700" i="16"/>
  <c r="E700" i="16" s="1"/>
  <c r="F700" i="16" s="1"/>
  <c r="G700" i="16" s="1"/>
  <c r="D699" i="16"/>
  <c r="E699" i="16" s="1"/>
  <c r="F699" i="16" s="1"/>
  <c r="G699" i="16" s="1"/>
  <c r="D698" i="16"/>
  <c r="E698" i="16" s="1"/>
  <c r="F698" i="16" s="1"/>
  <c r="G698" i="16" s="1"/>
  <c r="D697" i="16"/>
  <c r="E697" i="16" s="1"/>
  <c r="F697" i="16" s="1"/>
  <c r="G697" i="16" s="1"/>
  <c r="D696" i="16"/>
  <c r="E696" i="16" s="1"/>
  <c r="F696" i="16" s="1"/>
  <c r="G696" i="16" s="1"/>
  <c r="D695" i="16"/>
  <c r="E695" i="16" s="1"/>
  <c r="F695" i="16" s="1"/>
  <c r="G695" i="16" s="1"/>
  <c r="D694" i="16"/>
  <c r="E694" i="16" s="1"/>
  <c r="F694" i="16" s="1"/>
  <c r="G694" i="16" s="1"/>
  <c r="D693" i="16"/>
  <c r="E693" i="16" s="1"/>
  <c r="F693" i="16" s="1"/>
  <c r="G693" i="16" s="1"/>
  <c r="D692" i="16"/>
  <c r="E692" i="16" s="1"/>
  <c r="G692" i="16" s="1"/>
  <c r="D691" i="16"/>
  <c r="E691" i="16" s="1"/>
  <c r="F691" i="16" s="1"/>
  <c r="G691" i="16" s="1"/>
  <c r="D690" i="16"/>
  <c r="E690" i="16" s="1"/>
  <c r="F690" i="16" s="1"/>
  <c r="G690" i="16" s="1"/>
  <c r="D689" i="16"/>
  <c r="E689" i="16" s="1"/>
  <c r="F689" i="16" s="1"/>
  <c r="G689" i="16" s="1"/>
  <c r="D688" i="16"/>
  <c r="E688" i="16" s="1"/>
  <c r="F688" i="16" s="1"/>
  <c r="G688" i="16" s="1"/>
  <c r="D687" i="16"/>
  <c r="E687" i="16" s="1"/>
  <c r="F687" i="16" s="1"/>
  <c r="G687" i="16" s="1"/>
  <c r="D686" i="16"/>
  <c r="E686" i="16" s="1"/>
  <c r="F686" i="16" s="1"/>
  <c r="G686" i="16" s="1"/>
  <c r="D685" i="16"/>
  <c r="E685" i="16" s="1"/>
  <c r="F685" i="16" s="1"/>
  <c r="G685" i="16" s="1"/>
  <c r="D684" i="16"/>
  <c r="E684" i="16" s="1"/>
  <c r="F684" i="16" s="1"/>
  <c r="G684" i="16" s="1"/>
  <c r="D683" i="16"/>
  <c r="E683" i="16" s="1"/>
  <c r="F683" i="16" s="1"/>
  <c r="G683" i="16" s="1"/>
  <c r="D682" i="16"/>
  <c r="E682" i="16" s="1"/>
  <c r="F682" i="16" s="1"/>
  <c r="G682" i="16" s="1"/>
  <c r="D681" i="16"/>
  <c r="E681" i="16" s="1"/>
  <c r="F681" i="16" s="1"/>
  <c r="G681" i="16" s="1"/>
  <c r="D680" i="16"/>
  <c r="E680" i="16" s="1"/>
  <c r="F680" i="16" s="1"/>
  <c r="G680" i="16" s="1"/>
  <c r="D679" i="16"/>
  <c r="E679" i="16" s="1"/>
  <c r="F679" i="16" s="1"/>
  <c r="G679" i="16" s="1"/>
  <c r="D678" i="16"/>
  <c r="E678" i="16" s="1"/>
  <c r="F678" i="16" s="1"/>
  <c r="G678" i="16" s="1"/>
  <c r="D677" i="16"/>
  <c r="E677" i="16" s="1"/>
  <c r="F677" i="16" s="1"/>
  <c r="G677" i="16" s="1"/>
  <c r="D676" i="16"/>
  <c r="E676" i="16" s="1"/>
  <c r="F676" i="16" s="1"/>
  <c r="G676" i="16" s="1"/>
  <c r="D675" i="16"/>
  <c r="E675" i="16" s="1"/>
  <c r="F675" i="16" s="1"/>
  <c r="G675" i="16" s="1"/>
  <c r="D674" i="16"/>
  <c r="E674" i="16" s="1"/>
  <c r="F674" i="16" s="1"/>
  <c r="G674" i="16" s="1"/>
  <c r="D673" i="16"/>
  <c r="E673" i="16" s="1"/>
  <c r="F673" i="16" s="1"/>
  <c r="G673" i="16" s="1"/>
  <c r="D672" i="16"/>
  <c r="E672" i="16" s="1"/>
  <c r="F672" i="16" s="1"/>
  <c r="G672" i="16" s="1"/>
  <c r="D671" i="16"/>
  <c r="E671" i="16" s="1"/>
  <c r="G671" i="16" s="1"/>
  <c r="D670" i="16"/>
  <c r="E670" i="16" s="1"/>
  <c r="F670" i="16" s="1"/>
  <c r="G670" i="16" s="1"/>
  <c r="D669" i="16"/>
  <c r="E669" i="16" s="1"/>
  <c r="F669" i="16" s="1"/>
  <c r="G669" i="16" s="1"/>
  <c r="D668" i="16"/>
  <c r="E668" i="16" s="1"/>
  <c r="F668" i="16" s="1"/>
  <c r="G668" i="16" s="1"/>
  <c r="D667" i="16"/>
  <c r="E667" i="16" s="1"/>
  <c r="F667" i="16" s="1"/>
  <c r="G667" i="16" s="1"/>
  <c r="D666" i="16"/>
  <c r="E666" i="16" s="1"/>
  <c r="F666" i="16" s="1"/>
  <c r="G666" i="16" s="1"/>
  <c r="D665" i="16"/>
  <c r="E665" i="16" s="1"/>
  <c r="F665" i="16" s="1"/>
  <c r="G665" i="16" s="1"/>
  <c r="D664" i="16"/>
  <c r="E664" i="16" s="1"/>
  <c r="F664" i="16" s="1"/>
  <c r="G664" i="16" s="1"/>
  <c r="D663" i="16"/>
  <c r="E663" i="16" s="1"/>
  <c r="F663" i="16" s="1"/>
  <c r="G663" i="16" s="1"/>
  <c r="D662" i="16"/>
  <c r="E662" i="16" s="1"/>
  <c r="F662" i="16" s="1"/>
  <c r="G662" i="16" s="1"/>
  <c r="D661" i="16"/>
  <c r="E661" i="16" s="1"/>
  <c r="F661" i="16" s="1"/>
  <c r="G661" i="16" s="1"/>
  <c r="D660" i="16"/>
  <c r="E660" i="16" s="1"/>
  <c r="F660" i="16" s="1"/>
  <c r="G660" i="16" s="1"/>
  <c r="D659" i="16"/>
  <c r="E659" i="16" s="1"/>
  <c r="F659" i="16" s="1"/>
  <c r="G659" i="16" s="1"/>
  <c r="D658" i="16"/>
  <c r="E658" i="16" s="1"/>
  <c r="F658" i="16" s="1"/>
  <c r="G658" i="16" s="1"/>
  <c r="D657" i="16"/>
  <c r="E657" i="16" s="1"/>
  <c r="F657" i="16" s="1"/>
  <c r="G657" i="16" s="1"/>
  <c r="D656" i="16"/>
  <c r="E656" i="16" s="1"/>
  <c r="F656" i="16" s="1"/>
  <c r="G656" i="16" s="1"/>
  <c r="D655" i="16"/>
  <c r="E655" i="16" s="1"/>
  <c r="F655" i="16" s="1"/>
  <c r="G655" i="16" s="1"/>
  <c r="D654" i="16"/>
  <c r="E654" i="16" s="1"/>
  <c r="F654" i="16" s="1"/>
  <c r="G654" i="16" s="1"/>
  <c r="D653" i="16"/>
  <c r="E653" i="16" s="1"/>
  <c r="F653" i="16" s="1"/>
  <c r="G653" i="16" s="1"/>
  <c r="D652" i="16"/>
  <c r="E652" i="16" s="1"/>
  <c r="F652" i="16" s="1"/>
  <c r="G652" i="16" s="1"/>
  <c r="D651" i="16"/>
  <c r="E651" i="16" s="1"/>
  <c r="F651" i="16" s="1"/>
  <c r="G651" i="16" s="1"/>
  <c r="D650" i="16"/>
  <c r="E650" i="16" s="1"/>
  <c r="F650" i="16" s="1"/>
  <c r="G650" i="16" s="1"/>
  <c r="D649" i="16"/>
  <c r="E649" i="16" s="1"/>
  <c r="F649" i="16" s="1"/>
  <c r="G649" i="16" s="1"/>
  <c r="D648" i="16"/>
  <c r="E648" i="16" s="1"/>
  <c r="F648" i="16" s="1"/>
  <c r="G648" i="16" s="1"/>
  <c r="D647" i="16"/>
  <c r="E647" i="16" s="1"/>
  <c r="F647" i="16" s="1"/>
  <c r="G647" i="16" s="1"/>
  <c r="D646" i="16"/>
  <c r="E646" i="16" s="1"/>
  <c r="F646" i="16" s="1"/>
  <c r="G646" i="16" s="1"/>
  <c r="D645" i="16"/>
  <c r="E645" i="16" s="1"/>
  <c r="F645" i="16" s="1"/>
  <c r="G645" i="16" s="1"/>
  <c r="D644" i="16"/>
  <c r="E644" i="16" s="1"/>
  <c r="F644" i="16" s="1"/>
  <c r="G644" i="16" s="1"/>
  <c r="D643" i="16"/>
  <c r="E643" i="16" s="1"/>
  <c r="F643" i="16" s="1"/>
  <c r="G643" i="16" s="1"/>
  <c r="D642" i="16"/>
  <c r="E642" i="16" s="1"/>
  <c r="F642" i="16" s="1"/>
  <c r="G642" i="16" s="1"/>
  <c r="D641" i="16"/>
  <c r="E641" i="16" s="1"/>
  <c r="F641" i="16" s="1"/>
  <c r="G641" i="16" s="1"/>
  <c r="D640" i="16"/>
  <c r="E640" i="16" s="1"/>
  <c r="F640" i="16" s="1"/>
  <c r="G640" i="16" s="1"/>
  <c r="D639" i="16"/>
  <c r="E639" i="16" s="1"/>
  <c r="F639" i="16" s="1"/>
  <c r="G639" i="16" s="1"/>
  <c r="D638" i="16"/>
  <c r="E638" i="16" s="1"/>
  <c r="F638" i="16" s="1"/>
  <c r="G638" i="16" s="1"/>
  <c r="D637" i="16"/>
  <c r="E637" i="16" s="1"/>
  <c r="F637" i="16" s="1"/>
  <c r="G637" i="16" s="1"/>
  <c r="D636" i="16"/>
  <c r="E636" i="16" s="1"/>
  <c r="G636" i="16" s="1"/>
  <c r="D635" i="16"/>
  <c r="E635" i="16" s="1"/>
  <c r="F635" i="16" s="1"/>
  <c r="G635" i="16" s="1"/>
  <c r="D634" i="16"/>
  <c r="E634" i="16" s="1"/>
  <c r="F634" i="16" s="1"/>
  <c r="G634" i="16" s="1"/>
  <c r="D633" i="16"/>
  <c r="E633" i="16" s="1"/>
  <c r="F633" i="16" s="1"/>
  <c r="G633" i="16" s="1"/>
  <c r="D632" i="16"/>
  <c r="E632" i="16" s="1"/>
  <c r="F632" i="16" s="1"/>
  <c r="G632" i="16" s="1"/>
  <c r="D631" i="16"/>
  <c r="E631" i="16" s="1"/>
  <c r="F631" i="16" s="1"/>
  <c r="G631" i="16" s="1"/>
  <c r="D630" i="16"/>
  <c r="E630" i="16" s="1"/>
  <c r="F630" i="16" s="1"/>
  <c r="G630" i="16" s="1"/>
  <c r="D629" i="16"/>
  <c r="E629" i="16" s="1"/>
  <c r="F629" i="16" s="1"/>
  <c r="G629" i="16" s="1"/>
  <c r="D628" i="16"/>
  <c r="E628" i="16" s="1"/>
  <c r="F628" i="16" s="1"/>
  <c r="G628" i="16" s="1"/>
  <c r="D627" i="16"/>
  <c r="E627" i="16" s="1"/>
  <c r="F627" i="16" s="1"/>
  <c r="G627" i="16" s="1"/>
  <c r="D626" i="16"/>
  <c r="E626" i="16" s="1"/>
  <c r="F626" i="16" s="1"/>
  <c r="G626" i="16" s="1"/>
  <c r="D625" i="16"/>
  <c r="E625" i="16" s="1"/>
  <c r="F625" i="16" s="1"/>
  <c r="G625" i="16" s="1"/>
  <c r="D624" i="16"/>
  <c r="E624" i="16" s="1"/>
  <c r="F624" i="16" s="1"/>
  <c r="G624" i="16" s="1"/>
  <c r="D623" i="16"/>
  <c r="E623" i="16" s="1"/>
  <c r="F623" i="16" s="1"/>
  <c r="G623" i="16" s="1"/>
  <c r="D622" i="16"/>
  <c r="E622" i="16" s="1"/>
  <c r="F622" i="16" s="1"/>
  <c r="G622" i="16" s="1"/>
  <c r="D621" i="16"/>
  <c r="E621" i="16" s="1"/>
  <c r="F621" i="16" s="1"/>
  <c r="G621" i="16" s="1"/>
  <c r="D620" i="16"/>
  <c r="E620" i="16" s="1"/>
  <c r="F620" i="16" s="1"/>
  <c r="G620" i="16" s="1"/>
  <c r="D619" i="16"/>
  <c r="E619" i="16" s="1"/>
  <c r="F619" i="16" s="1"/>
  <c r="G619" i="16" s="1"/>
  <c r="D618" i="16"/>
  <c r="E618" i="16" s="1"/>
  <c r="F618" i="16" s="1"/>
  <c r="G618" i="16" s="1"/>
  <c r="D617" i="16"/>
  <c r="E617" i="16" s="1"/>
  <c r="F617" i="16" s="1"/>
  <c r="G617" i="16" s="1"/>
  <c r="D616" i="16"/>
  <c r="E616" i="16" s="1"/>
  <c r="F616" i="16" s="1"/>
  <c r="G616" i="16" s="1"/>
  <c r="D615" i="16"/>
  <c r="E615" i="16" s="1"/>
  <c r="F615" i="16" s="1"/>
  <c r="G615" i="16" s="1"/>
  <c r="D614" i="16"/>
  <c r="E614" i="16" s="1"/>
  <c r="F614" i="16" s="1"/>
  <c r="G614" i="16" s="1"/>
  <c r="D613" i="16"/>
  <c r="E613" i="16" s="1"/>
  <c r="F613" i="16" s="1"/>
  <c r="G613" i="16" s="1"/>
  <c r="D612" i="16"/>
  <c r="E612" i="16" s="1"/>
  <c r="F612" i="16" s="1"/>
  <c r="G612" i="16" s="1"/>
  <c r="D611" i="16"/>
  <c r="E611" i="16" s="1"/>
  <c r="F611" i="16" s="1"/>
  <c r="G611" i="16" s="1"/>
  <c r="D610" i="16"/>
  <c r="E610" i="16" s="1"/>
  <c r="F610" i="16" s="1"/>
  <c r="G610" i="16" s="1"/>
  <c r="D609" i="16"/>
  <c r="E609" i="16" s="1"/>
  <c r="F609" i="16" s="1"/>
  <c r="G609" i="16" s="1"/>
  <c r="D608" i="16"/>
  <c r="E608" i="16" s="1"/>
  <c r="F608" i="16" s="1"/>
  <c r="G608" i="16" s="1"/>
  <c r="D607" i="16"/>
  <c r="E607" i="16" s="1"/>
  <c r="F607" i="16" s="1"/>
  <c r="G607" i="16" s="1"/>
  <c r="D606" i="16"/>
  <c r="E606" i="16" s="1"/>
  <c r="F606" i="16" s="1"/>
  <c r="G606" i="16" s="1"/>
  <c r="D605" i="16"/>
  <c r="E605" i="16" s="1"/>
  <c r="F605" i="16" s="1"/>
  <c r="G605" i="16" s="1"/>
  <c r="D604" i="16"/>
  <c r="E604" i="16" s="1"/>
  <c r="F604" i="16" s="1"/>
  <c r="G604" i="16" s="1"/>
  <c r="D603" i="16"/>
  <c r="E603" i="16" s="1"/>
  <c r="F603" i="16" s="1"/>
  <c r="G603" i="16" s="1"/>
  <c r="D602" i="16"/>
  <c r="E602" i="16" s="1"/>
  <c r="F602" i="16" s="1"/>
  <c r="G602" i="16" s="1"/>
  <c r="D601" i="16"/>
  <c r="E601" i="16" s="1"/>
  <c r="F601" i="16" s="1"/>
  <c r="G601" i="16" s="1"/>
  <c r="D600" i="16"/>
  <c r="E600" i="16" s="1"/>
  <c r="F600" i="16" s="1"/>
  <c r="G600" i="16" s="1"/>
  <c r="D599" i="16"/>
  <c r="E599" i="16" s="1"/>
  <c r="F599" i="16" s="1"/>
  <c r="G599" i="16" s="1"/>
  <c r="D598" i="16"/>
  <c r="E598" i="16" s="1"/>
  <c r="F598" i="16" s="1"/>
  <c r="G598" i="16" s="1"/>
  <c r="D597" i="16"/>
  <c r="E597" i="16" s="1"/>
  <c r="F597" i="16" s="1"/>
  <c r="G597" i="16" s="1"/>
  <c r="D596" i="16"/>
  <c r="E596" i="16" s="1"/>
  <c r="F596" i="16" s="1"/>
  <c r="G596" i="16" s="1"/>
  <c r="D595" i="16"/>
  <c r="E595" i="16" s="1"/>
  <c r="F595" i="16" s="1"/>
  <c r="G595" i="16" s="1"/>
  <c r="D594" i="16"/>
  <c r="E594" i="16" s="1"/>
  <c r="F594" i="16" s="1"/>
  <c r="G594" i="16" s="1"/>
  <c r="D593" i="16"/>
  <c r="E593" i="16" s="1"/>
  <c r="F593" i="16" s="1"/>
  <c r="G593" i="16" s="1"/>
  <c r="D592" i="16"/>
  <c r="E592" i="16" s="1"/>
  <c r="F592" i="16" s="1"/>
  <c r="G592" i="16" s="1"/>
  <c r="D591" i="16"/>
  <c r="E591" i="16" s="1"/>
  <c r="F591" i="16" s="1"/>
  <c r="G591" i="16" s="1"/>
  <c r="D590" i="16"/>
  <c r="E590" i="16" s="1"/>
  <c r="F590" i="16" s="1"/>
  <c r="G590" i="16" s="1"/>
  <c r="D589" i="16"/>
  <c r="E589" i="16" s="1"/>
  <c r="F589" i="16" s="1"/>
  <c r="G589" i="16" s="1"/>
  <c r="D588" i="16"/>
  <c r="E588" i="16" s="1"/>
  <c r="F588" i="16" s="1"/>
  <c r="G588" i="16" s="1"/>
  <c r="D587" i="16"/>
  <c r="E587" i="16" s="1"/>
  <c r="F587" i="16" s="1"/>
  <c r="G587" i="16" s="1"/>
  <c r="D586" i="16"/>
  <c r="E586" i="16" s="1"/>
  <c r="F586" i="16" s="1"/>
  <c r="G586" i="16" s="1"/>
  <c r="D585" i="16"/>
  <c r="E585" i="16" s="1"/>
  <c r="F585" i="16" s="1"/>
  <c r="G585" i="16" s="1"/>
  <c r="D584" i="16"/>
  <c r="E584" i="16" s="1"/>
  <c r="F584" i="16" s="1"/>
  <c r="G584" i="16" s="1"/>
  <c r="D583" i="16"/>
  <c r="E583" i="16" s="1"/>
  <c r="F583" i="16" s="1"/>
  <c r="G583" i="16" s="1"/>
  <c r="D582" i="16"/>
  <c r="E582" i="16" s="1"/>
  <c r="F582" i="16" s="1"/>
  <c r="G582" i="16" s="1"/>
  <c r="D581" i="16"/>
  <c r="E581" i="16" s="1"/>
  <c r="F581" i="16" s="1"/>
  <c r="G581" i="16" s="1"/>
  <c r="D580" i="16"/>
  <c r="E580" i="16" s="1"/>
  <c r="F580" i="16" s="1"/>
  <c r="G580" i="16" s="1"/>
  <c r="D579" i="16"/>
  <c r="E579" i="16" s="1"/>
  <c r="F579" i="16" s="1"/>
  <c r="G579" i="16" s="1"/>
  <c r="D578" i="16"/>
  <c r="E578" i="16" s="1"/>
  <c r="F578" i="16" s="1"/>
  <c r="G578" i="16" s="1"/>
  <c r="D577" i="16"/>
  <c r="E577" i="16" s="1"/>
  <c r="F577" i="16" s="1"/>
  <c r="G577" i="16" s="1"/>
  <c r="D576" i="16"/>
  <c r="E576" i="16" s="1"/>
  <c r="F576" i="16" s="1"/>
  <c r="G576" i="16" s="1"/>
  <c r="D575" i="16"/>
  <c r="E575" i="16" s="1"/>
  <c r="F575" i="16" s="1"/>
  <c r="G575" i="16" s="1"/>
  <c r="D574" i="16"/>
  <c r="E574" i="16" s="1"/>
  <c r="D573" i="16"/>
  <c r="E573" i="16" s="1"/>
  <c r="F573" i="16" s="1"/>
  <c r="G573" i="16" s="1"/>
  <c r="D572" i="16"/>
  <c r="E572" i="16" s="1"/>
  <c r="F572" i="16" s="1"/>
  <c r="G572" i="16" s="1"/>
  <c r="D571" i="16"/>
  <c r="E571" i="16" s="1"/>
  <c r="F571" i="16" s="1"/>
  <c r="G571" i="16" s="1"/>
  <c r="D570" i="16"/>
  <c r="E570" i="16" s="1"/>
  <c r="F570" i="16" s="1"/>
  <c r="G570" i="16" s="1"/>
  <c r="D569" i="16"/>
  <c r="E569" i="16" s="1"/>
  <c r="F569" i="16" s="1"/>
  <c r="G569" i="16" s="1"/>
  <c r="D568" i="16"/>
  <c r="E568" i="16" s="1"/>
  <c r="F568" i="16" s="1"/>
  <c r="G568" i="16" s="1"/>
  <c r="D567" i="16"/>
  <c r="E567" i="16" s="1"/>
  <c r="F567" i="16" s="1"/>
  <c r="G567" i="16" s="1"/>
  <c r="D566" i="16"/>
  <c r="E566" i="16" s="1"/>
  <c r="F566" i="16" s="1"/>
  <c r="G566" i="16" s="1"/>
  <c r="D565" i="16"/>
  <c r="E565" i="16" s="1"/>
  <c r="F565" i="16" s="1"/>
  <c r="G565" i="16" s="1"/>
  <c r="D564" i="16"/>
  <c r="E564" i="16" s="1"/>
  <c r="F564" i="16" s="1"/>
  <c r="G564" i="16" s="1"/>
  <c r="D563" i="16"/>
  <c r="E563" i="16" s="1"/>
  <c r="F563" i="16" s="1"/>
  <c r="G563" i="16" s="1"/>
  <c r="D562" i="16"/>
  <c r="E562" i="16" s="1"/>
  <c r="F562" i="16" s="1"/>
  <c r="G562" i="16" s="1"/>
  <c r="D561" i="16"/>
  <c r="E561" i="16" s="1"/>
  <c r="F561" i="16" s="1"/>
  <c r="G561" i="16" s="1"/>
  <c r="D560" i="16"/>
  <c r="E560" i="16" s="1"/>
  <c r="F560" i="16" s="1"/>
  <c r="G560" i="16" s="1"/>
  <c r="D559" i="16"/>
  <c r="E559" i="16" s="1"/>
  <c r="F559" i="16" s="1"/>
  <c r="G559" i="16" s="1"/>
  <c r="D558" i="16"/>
  <c r="E558" i="16" s="1"/>
  <c r="F558" i="16" s="1"/>
  <c r="G558" i="16" s="1"/>
  <c r="D557" i="16"/>
  <c r="E557" i="16" s="1"/>
  <c r="F557" i="16" s="1"/>
  <c r="G557" i="16" s="1"/>
  <c r="D556" i="16"/>
  <c r="E556" i="16" s="1"/>
  <c r="F556" i="16" s="1"/>
  <c r="G556" i="16" s="1"/>
  <c r="D555" i="16"/>
  <c r="E555" i="16" s="1"/>
  <c r="F555" i="16" s="1"/>
  <c r="G555" i="16" s="1"/>
  <c r="D554" i="16"/>
  <c r="E554" i="16" s="1"/>
  <c r="F554" i="16" s="1"/>
  <c r="G554" i="16" s="1"/>
  <c r="D553" i="16"/>
  <c r="E553" i="16" s="1"/>
  <c r="F553" i="16" s="1"/>
  <c r="G553" i="16" s="1"/>
  <c r="D552" i="16"/>
  <c r="E552" i="16" s="1"/>
  <c r="F552" i="16" s="1"/>
  <c r="G552" i="16" s="1"/>
  <c r="D551" i="16"/>
  <c r="E551" i="16" s="1"/>
  <c r="F551" i="16" s="1"/>
  <c r="G551" i="16" s="1"/>
  <c r="D550" i="16"/>
  <c r="E550" i="16" s="1"/>
  <c r="F550" i="16" s="1"/>
  <c r="G550" i="16" s="1"/>
  <c r="D549" i="16"/>
  <c r="E549" i="16" s="1"/>
  <c r="F549" i="16" s="1"/>
  <c r="G549" i="16" s="1"/>
  <c r="D548" i="16"/>
  <c r="E548" i="16" s="1"/>
  <c r="F548" i="16" s="1"/>
  <c r="G548" i="16" s="1"/>
  <c r="D547" i="16"/>
  <c r="E547" i="16" s="1"/>
  <c r="F547" i="16" s="1"/>
  <c r="G547" i="16" s="1"/>
  <c r="D546" i="16"/>
  <c r="E546" i="16" s="1"/>
  <c r="F546" i="16" s="1"/>
  <c r="G546" i="16" s="1"/>
  <c r="D545" i="16"/>
  <c r="E545" i="16" s="1"/>
  <c r="G545" i="16" s="1"/>
  <c r="D544" i="16"/>
  <c r="E544" i="16" s="1"/>
  <c r="F544" i="16" s="1"/>
  <c r="G544" i="16" s="1"/>
  <c r="D543" i="16"/>
  <c r="E543" i="16" s="1"/>
  <c r="F543" i="16" s="1"/>
  <c r="G543" i="16" s="1"/>
  <c r="D542" i="16"/>
  <c r="E542" i="16" s="1"/>
  <c r="F542" i="16" s="1"/>
  <c r="G542" i="16" s="1"/>
  <c r="D541" i="16"/>
  <c r="E541" i="16" s="1"/>
  <c r="F541" i="16" s="1"/>
  <c r="G541" i="16" s="1"/>
  <c r="D540" i="16"/>
  <c r="E540" i="16" s="1"/>
  <c r="F540" i="16" s="1"/>
  <c r="G540" i="16" s="1"/>
  <c r="D539" i="16"/>
  <c r="E539" i="16" s="1"/>
  <c r="F539" i="16" s="1"/>
  <c r="G539" i="16" s="1"/>
  <c r="D538" i="16"/>
  <c r="E538" i="16" s="1"/>
  <c r="F538" i="16" s="1"/>
  <c r="G538" i="16" s="1"/>
  <c r="D537" i="16"/>
  <c r="E537" i="16" s="1"/>
  <c r="F537" i="16" s="1"/>
  <c r="G537" i="16" s="1"/>
  <c r="D536" i="16"/>
  <c r="E536" i="16" s="1"/>
  <c r="F536" i="16" s="1"/>
  <c r="G536" i="16" s="1"/>
  <c r="D535" i="16"/>
  <c r="E535" i="16" s="1"/>
  <c r="F535" i="16" s="1"/>
  <c r="G535" i="16" s="1"/>
  <c r="D534" i="16"/>
  <c r="E534" i="16" s="1"/>
  <c r="F534" i="16" s="1"/>
  <c r="G534" i="16" s="1"/>
  <c r="D533" i="16"/>
  <c r="E533" i="16" s="1"/>
  <c r="F533" i="16" s="1"/>
  <c r="G533" i="16" s="1"/>
  <c r="D532" i="16"/>
  <c r="E532" i="16" s="1"/>
  <c r="F532" i="16" s="1"/>
  <c r="G532" i="16" s="1"/>
  <c r="D531" i="16"/>
  <c r="E531" i="16" s="1"/>
  <c r="F531" i="16" s="1"/>
  <c r="G531" i="16" s="1"/>
  <c r="D530" i="16"/>
  <c r="E530" i="16" s="1"/>
  <c r="F530" i="16" s="1"/>
  <c r="G530" i="16" s="1"/>
  <c r="D529" i="16"/>
  <c r="E529" i="16" s="1"/>
  <c r="F529" i="16" s="1"/>
  <c r="G529" i="16" s="1"/>
  <c r="D528" i="16"/>
  <c r="E528" i="16" s="1"/>
  <c r="F528" i="16" s="1"/>
  <c r="G528" i="16" s="1"/>
  <c r="D527" i="16"/>
  <c r="E527" i="16" s="1"/>
  <c r="F527" i="16" s="1"/>
  <c r="G527" i="16" s="1"/>
  <c r="D526" i="16"/>
  <c r="E526" i="16" s="1"/>
  <c r="F526" i="16" s="1"/>
  <c r="G526" i="16" s="1"/>
  <c r="D525" i="16"/>
  <c r="E525" i="16" s="1"/>
  <c r="F525" i="16" s="1"/>
  <c r="G525" i="16" s="1"/>
  <c r="D524" i="16"/>
  <c r="E524" i="16" s="1"/>
  <c r="F524" i="16" s="1"/>
  <c r="G524" i="16" s="1"/>
  <c r="D523" i="16"/>
  <c r="E523" i="16" s="1"/>
  <c r="F523" i="16" s="1"/>
  <c r="G523" i="16" s="1"/>
  <c r="D522" i="16"/>
  <c r="E522" i="16" s="1"/>
  <c r="F522" i="16" s="1"/>
  <c r="G522" i="16" s="1"/>
  <c r="D521" i="16"/>
  <c r="E521" i="16" s="1"/>
  <c r="F521" i="16" s="1"/>
  <c r="G521" i="16" s="1"/>
  <c r="D520" i="16"/>
  <c r="E520" i="16" s="1"/>
  <c r="F520" i="16" s="1"/>
  <c r="G520" i="16" s="1"/>
  <c r="D519" i="16"/>
  <c r="E519" i="16" s="1"/>
  <c r="F519" i="16" s="1"/>
  <c r="G519" i="16" s="1"/>
  <c r="D518" i="16"/>
  <c r="E518" i="16" s="1"/>
  <c r="F518" i="16" s="1"/>
  <c r="G518" i="16" s="1"/>
  <c r="D517" i="16"/>
  <c r="E517" i="16" s="1"/>
  <c r="F517" i="16" s="1"/>
  <c r="G517" i="16" s="1"/>
  <c r="D516" i="16"/>
  <c r="E516" i="16" s="1"/>
  <c r="F516" i="16" s="1"/>
  <c r="G516" i="16" s="1"/>
  <c r="D515" i="16"/>
  <c r="E515" i="16" s="1"/>
  <c r="D514" i="16"/>
  <c r="E514" i="16" s="1"/>
  <c r="D513" i="16"/>
  <c r="E513" i="16" s="1"/>
  <c r="D512" i="16"/>
  <c r="E512" i="16" s="1"/>
  <c r="D511" i="16"/>
  <c r="E511" i="16" s="1"/>
  <c r="D510" i="16"/>
  <c r="E510" i="16" s="1"/>
  <c r="D509" i="16"/>
  <c r="E509" i="16" s="1"/>
  <c r="D508" i="16"/>
  <c r="E508" i="16" s="1"/>
  <c r="D507" i="16"/>
  <c r="E507" i="16" s="1"/>
  <c r="G507" i="16" s="1"/>
  <c r="D506" i="16"/>
  <c r="E506" i="16" s="1"/>
  <c r="D505" i="16"/>
  <c r="E505" i="16" s="1"/>
  <c r="D504" i="16"/>
  <c r="E504" i="16" s="1"/>
  <c r="D503" i="16"/>
  <c r="E503" i="16" s="1"/>
  <c r="D502" i="16"/>
  <c r="E502" i="16" s="1"/>
  <c r="D501" i="16"/>
  <c r="E501" i="16" s="1"/>
  <c r="D500" i="16"/>
  <c r="E500" i="16" s="1"/>
  <c r="D499" i="16"/>
  <c r="E499" i="16" s="1"/>
  <c r="D498" i="16"/>
  <c r="E498" i="16" s="1"/>
  <c r="D497" i="16"/>
  <c r="E497" i="16" s="1"/>
  <c r="G497" i="16" s="1"/>
  <c r="D496" i="16"/>
  <c r="E496" i="16" s="1"/>
  <c r="F496" i="16" s="1"/>
  <c r="G496" i="16" s="1"/>
  <c r="D495" i="16"/>
  <c r="E495" i="16" s="1"/>
  <c r="F495" i="16" s="1"/>
  <c r="G495" i="16" s="1"/>
  <c r="D494" i="16"/>
  <c r="E494" i="16" s="1"/>
  <c r="F494" i="16" s="1"/>
  <c r="G494" i="16" s="1"/>
  <c r="D493" i="16"/>
  <c r="E493" i="16" s="1"/>
  <c r="F493" i="16" s="1"/>
  <c r="G493" i="16" s="1"/>
  <c r="D492" i="16"/>
  <c r="E492" i="16" s="1"/>
  <c r="F492" i="16" s="1"/>
  <c r="G492" i="16" s="1"/>
  <c r="D491" i="16"/>
  <c r="E491" i="16" s="1"/>
  <c r="F491" i="16" s="1"/>
  <c r="G491" i="16" s="1"/>
  <c r="D490" i="16"/>
  <c r="E490" i="16" s="1"/>
  <c r="F490" i="16" s="1"/>
  <c r="G490" i="16" s="1"/>
  <c r="D489" i="16"/>
  <c r="E489" i="16" s="1"/>
  <c r="F489" i="16" s="1"/>
  <c r="G489" i="16" s="1"/>
  <c r="D488" i="16"/>
  <c r="E488" i="16" s="1"/>
  <c r="F488" i="16" s="1"/>
  <c r="G488" i="16" s="1"/>
  <c r="D487" i="16"/>
  <c r="E487" i="16" s="1"/>
  <c r="F487" i="16" s="1"/>
  <c r="G487" i="16" s="1"/>
  <c r="D486" i="16"/>
  <c r="E486" i="16" s="1"/>
  <c r="F486" i="16" s="1"/>
  <c r="G486" i="16" s="1"/>
  <c r="D485" i="16"/>
  <c r="E485" i="16" s="1"/>
  <c r="G485" i="16" s="1"/>
  <c r="D484" i="16"/>
  <c r="E484" i="16" s="1"/>
  <c r="F484" i="16" s="1"/>
  <c r="G484" i="16" s="1"/>
  <c r="D483" i="16"/>
  <c r="E483" i="16" s="1"/>
  <c r="G483" i="16" s="1"/>
  <c r="D482" i="16"/>
  <c r="E482" i="16" s="1"/>
  <c r="F482" i="16" s="1"/>
  <c r="G482" i="16" s="1"/>
  <c r="D481" i="16"/>
  <c r="E481" i="16" s="1"/>
  <c r="F481" i="16" s="1"/>
  <c r="G481" i="16" s="1"/>
  <c r="D480" i="16"/>
  <c r="E480" i="16" s="1"/>
  <c r="F480" i="16" s="1"/>
  <c r="G480" i="16" s="1"/>
  <c r="D479" i="16"/>
  <c r="E479" i="16" s="1"/>
  <c r="F479" i="16" s="1"/>
  <c r="G479" i="16" s="1"/>
  <c r="D478" i="16"/>
  <c r="E478" i="16" s="1"/>
  <c r="F478" i="16" s="1"/>
  <c r="G478" i="16" s="1"/>
  <c r="D477" i="16"/>
  <c r="E477" i="16" s="1"/>
  <c r="F477" i="16" s="1"/>
  <c r="G477" i="16" s="1"/>
  <c r="D476" i="16"/>
  <c r="E476" i="16" s="1"/>
  <c r="F476" i="16" s="1"/>
  <c r="G476" i="16" s="1"/>
  <c r="D475" i="16"/>
  <c r="E475" i="16" s="1"/>
  <c r="F475" i="16" s="1"/>
  <c r="G475" i="16" s="1"/>
  <c r="D474" i="16"/>
  <c r="E474" i="16" s="1"/>
  <c r="F474" i="16" s="1"/>
  <c r="G474" i="16" s="1"/>
  <c r="D473" i="16"/>
  <c r="E473" i="16" s="1"/>
  <c r="F473" i="16" s="1"/>
  <c r="G473" i="16" s="1"/>
  <c r="D472" i="16"/>
  <c r="E472" i="16" s="1"/>
  <c r="F472" i="16" s="1"/>
  <c r="G472" i="16" s="1"/>
  <c r="D471" i="16"/>
  <c r="E471" i="16" s="1"/>
  <c r="F471" i="16" s="1"/>
  <c r="G471" i="16" s="1"/>
  <c r="D470" i="16"/>
  <c r="E470" i="16" s="1"/>
  <c r="F470" i="16" s="1"/>
  <c r="G470" i="16" s="1"/>
  <c r="D469" i="16"/>
  <c r="E469" i="16" s="1"/>
  <c r="F469" i="16" s="1"/>
  <c r="G469" i="16" s="1"/>
  <c r="D468" i="16"/>
  <c r="E468" i="16" s="1"/>
  <c r="F468" i="16" s="1"/>
  <c r="G468" i="16" s="1"/>
  <c r="D467" i="16"/>
  <c r="E467" i="16" s="1"/>
  <c r="F467" i="16" s="1"/>
  <c r="G467" i="16" s="1"/>
  <c r="D466" i="16"/>
  <c r="E466" i="16" s="1"/>
  <c r="F466" i="16" s="1"/>
  <c r="G466" i="16" s="1"/>
  <c r="D465" i="16"/>
  <c r="E465" i="16" s="1"/>
  <c r="F465" i="16" s="1"/>
  <c r="G465" i="16" s="1"/>
  <c r="D464" i="16"/>
  <c r="E464" i="16" s="1"/>
  <c r="F464" i="16" s="1"/>
  <c r="G464" i="16" s="1"/>
  <c r="D463" i="16"/>
  <c r="E463" i="16" s="1"/>
  <c r="F463" i="16" s="1"/>
  <c r="G463" i="16" s="1"/>
  <c r="D462" i="16"/>
  <c r="E462" i="16" s="1"/>
  <c r="F462" i="16" s="1"/>
  <c r="G462" i="16" s="1"/>
  <c r="D461" i="16"/>
  <c r="E461" i="16" s="1"/>
  <c r="F461" i="16" s="1"/>
  <c r="G461" i="16" s="1"/>
  <c r="D460" i="16"/>
  <c r="E460" i="16" s="1"/>
  <c r="F460" i="16" s="1"/>
  <c r="G460" i="16" s="1"/>
  <c r="D459" i="16"/>
  <c r="E459" i="16" s="1"/>
  <c r="F459" i="16" s="1"/>
  <c r="G459" i="16" s="1"/>
  <c r="D458" i="16"/>
  <c r="E458" i="16" s="1"/>
  <c r="F458" i="16" s="1"/>
  <c r="G458" i="16" s="1"/>
  <c r="D457" i="16"/>
  <c r="E457" i="16" s="1"/>
  <c r="F457" i="16" s="1"/>
  <c r="G457" i="16" s="1"/>
  <c r="D456" i="16"/>
  <c r="E456" i="16" s="1"/>
  <c r="F456" i="16" s="1"/>
  <c r="G456" i="16" s="1"/>
  <c r="D455" i="16"/>
  <c r="E455" i="16" s="1"/>
  <c r="F455" i="16" s="1"/>
  <c r="G455" i="16" s="1"/>
  <c r="D454" i="16"/>
  <c r="E454" i="16" s="1"/>
  <c r="F454" i="16" s="1"/>
  <c r="G454" i="16" s="1"/>
  <c r="D453" i="16"/>
  <c r="E453" i="16" s="1"/>
  <c r="F453" i="16" s="1"/>
  <c r="G453" i="16" s="1"/>
  <c r="D452" i="16"/>
  <c r="E452" i="16" s="1"/>
  <c r="F452" i="16" s="1"/>
  <c r="G452" i="16" s="1"/>
  <c r="D451" i="16"/>
  <c r="E451" i="16" s="1"/>
  <c r="F451" i="16" s="1"/>
  <c r="G451" i="16" s="1"/>
  <c r="D450" i="16"/>
  <c r="E450" i="16" s="1"/>
  <c r="F450" i="16" s="1"/>
  <c r="G450" i="16" s="1"/>
  <c r="D449" i="16"/>
  <c r="E449" i="16" s="1"/>
  <c r="F449" i="16" s="1"/>
  <c r="G449" i="16" s="1"/>
  <c r="D448" i="16"/>
  <c r="E448" i="16" s="1"/>
  <c r="F448" i="16" s="1"/>
  <c r="G448" i="16" s="1"/>
  <c r="D447" i="16"/>
  <c r="E447" i="16" s="1"/>
  <c r="F447" i="16" s="1"/>
  <c r="G447" i="16" s="1"/>
  <c r="D446" i="16"/>
  <c r="E446" i="16" s="1"/>
  <c r="F446" i="16" s="1"/>
  <c r="G446" i="16" s="1"/>
  <c r="D445" i="16"/>
  <c r="E445" i="16" s="1"/>
  <c r="F445" i="16" s="1"/>
  <c r="G445" i="16" s="1"/>
  <c r="D444" i="16"/>
  <c r="E444" i="16" s="1"/>
  <c r="F444" i="16" s="1"/>
  <c r="G444" i="16" s="1"/>
  <c r="D443" i="16"/>
  <c r="E443" i="16" s="1"/>
  <c r="F443" i="16" s="1"/>
  <c r="G443" i="16" s="1"/>
  <c r="D442" i="16"/>
  <c r="E442" i="16" s="1"/>
  <c r="F442" i="16" s="1"/>
  <c r="G442" i="16" s="1"/>
  <c r="D441" i="16"/>
  <c r="E441" i="16" s="1"/>
  <c r="F441" i="16" s="1"/>
  <c r="G441" i="16" s="1"/>
  <c r="D440" i="16"/>
  <c r="E440" i="16" s="1"/>
  <c r="F440" i="16" s="1"/>
  <c r="G440" i="16" s="1"/>
  <c r="D439" i="16"/>
  <c r="E439" i="16" s="1"/>
  <c r="F439" i="16" s="1"/>
  <c r="G439" i="16" s="1"/>
  <c r="D438" i="16"/>
  <c r="E438" i="16" s="1"/>
  <c r="F438" i="16" s="1"/>
  <c r="G438" i="16" s="1"/>
  <c r="D437" i="16"/>
  <c r="E437" i="16" s="1"/>
  <c r="F437" i="16" s="1"/>
  <c r="G437" i="16" s="1"/>
  <c r="D436" i="16"/>
  <c r="E436" i="16" s="1"/>
  <c r="F436" i="16" s="1"/>
  <c r="G436" i="16" s="1"/>
  <c r="D435" i="16"/>
  <c r="E435" i="16" s="1"/>
  <c r="G435" i="16" s="1"/>
  <c r="D434" i="16"/>
  <c r="E434" i="16" s="1"/>
  <c r="F434" i="16" s="1"/>
  <c r="G434" i="16" s="1"/>
  <c r="D433" i="16"/>
  <c r="E433" i="16" s="1"/>
  <c r="F433" i="16" s="1"/>
  <c r="G433" i="16" s="1"/>
  <c r="D432" i="16"/>
  <c r="E432" i="16" s="1"/>
  <c r="F432" i="16" s="1"/>
  <c r="G432" i="16" s="1"/>
  <c r="D431" i="16"/>
  <c r="E431" i="16" s="1"/>
  <c r="F431" i="16" s="1"/>
  <c r="G431" i="16" s="1"/>
  <c r="D430" i="16"/>
  <c r="E430" i="16" s="1"/>
  <c r="F430" i="16" s="1"/>
  <c r="G430" i="16" s="1"/>
  <c r="D429" i="16"/>
  <c r="E429" i="16" s="1"/>
  <c r="F429" i="16" s="1"/>
  <c r="G429" i="16" s="1"/>
  <c r="D428" i="16"/>
  <c r="E428" i="16" s="1"/>
  <c r="F428" i="16" s="1"/>
  <c r="G428" i="16" s="1"/>
  <c r="D427" i="16"/>
  <c r="E427" i="16" s="1"/>
  <c r="F427" i="16" s="1"/>
  <c r="G427" i="16" s="1"/>
  <c r="D426" i="16"/>
  <c r="E426" i="16" s="1"/>
  <c r="F426" i="16" s="1"/>
  <c r="G426" i="16" s="1"/>
  <c r="D425" i="16"/>
  <c r="E425" i="16" s="1"/>
  <c r="F425" i="16" s="1"/>
  <c r="G425" i="16" s="1"/>
  <c r="D424" i="16"/>
  <c r="E424" i="16" s="1"/>
  <c r="F424" i="16" s="1"/>
  <c r="G424" i="16" s="1"/>
  <c r="D423" i="16"/>
  <c r="E423" i="16" s="1"/>
  <c r="F423" i="16" s="1"/>
  <c r="G423" i="16" s="1"/>
  <c r="D422" i="16"/>
  <c r="E422" i="16" s="1"/>
  <c r="F422" i="16" s="1"/>
  <c r="G422" i="16" s="1"/>
  <c r="D421" i="16"/>
  <c r="E421" i="16" s="1"/>
  <c r="F421" i="16" s="1"/>
  <c r="G421" i="16" s="1"/>
  <c r="D420" i="16"/>
  <c r="E420" i="16" s="1"/>
  <c r="F420" i="16" s="1"/>
  <c r="G420" i="16" s="1"/>
  <c r="D419" i="16"/>
  <c r="E419" i="16" s="1"/>
  <c r="F419" i="16" s="1"/>
  <c r="G419" i="16" s="1"/>
  <c r="D418" i="16"/>
  <c r="E418" i="16" s="1"/>
  <c r="F418" i="16" s="1"/>
  <c r="G418" i="16" s="1"/>
  <c r="D417" i="16"/>
  <c r="E417" i="16" s="1"/>
  <c r="F417" i="16" s="1"/>
  <c r="G417" i="16" s="1"/>
  <c r="D416" i="16"/>
  <c r="E416" i="16" s="1"/>
  <c r="F416" i="16" s="1"/>
  <c r="G416" i="16" s="1"/>
  <c r="D415" i="16"/>
  <c r="E415" i="16" s="1"/>
  <c r="F415" i="16" s="1"/>
  <c r="G415" i="16" s="1"/>
  <c r="D414" i="16"/>
  <c r="E414" i="16" s="1"/>
  <c r="F414" i="16" s="1"/>
  <c r="G414" i="16" s="1"/>
  <c r="D413" i="16"/>
  <c r="E413" i="16" s="1"/>
  <c r="F413" i="16" s="1"/>
  <c r="G413" i="16" s="1"/>
  <c r="D412" i="16"/>
  <c r="E412" i="16" s="1"/>
  <c r="F412" i="16" s="1"/>
  <c r="G412" i="16" s="1"/>
  <c r="D411" i="16"/>
  <c r="E411" i="16" s="1"/>
  <c r="F411" i="16" s="1"/>
  <c r="G411" i="16" s="1"/>
  <c r="D410" i="16"/>
  <c r="E410" i="16" s="1"/>
  <c r="F410" i="16" s="1"/>
  <c r="G410" i="16" s="1"/>
  <c r="D409" i="16"/>
  <c r="E409" i="16" s="1"/>
  <c r="F409" i="16" s="1"/>
  <c r="G409" i="16" s="1"/>
  <c r="D408" i="16"/>
  <c r="E408" i="16" s="1"/>
  <c r="F408" i="16" s="1"/>
  <c r="G408" i="16" s="1"/>
  <c r="D407" i="16"/>
  <c r="E407" i="16" s="1"/>
  <c r="F407" i="16" s="1"/>
  <c r="G407" i="16" s="1"/>
  <c r="D406" i="16"/>
  <c r="E406" i="16" s="1"/>
  <c r="F406" i="16" s="1"/>
  <c r="G406" i="16" s="1"/>
  <c r="D405" i="16"/>
  <c r="E405" i="16" s="1"/>
  <c r="F405" i="16" s="1"/>
  <c r="G405" i="16" s="1"/>
  <c r="D404" i="16"/>
  <c r="E404" i="16" s="1"/>
  <c r="F404" i="16" s="1"/>
  <c r="G404" i="16" s="1"/>
  <c r="D403" i="16"/>
  <c r="E403" i="16" s="1"/>
  <c r="F403" i="16" s="1"/>
  <c r="G403" i="16" s="1"/>
  <c r="D402" i="16"/>
  <c r="E402" i="16" s="1"/>
  <c r="F402" i="16" s="1"/>
  <c r="G402" i="16" s="1"/>
  <c r="D401" i="16"/>
  <c r="E401" i="16" s="1"/>
  <c r="F401" i="16" s="1"/>
  <c r="G401" i="16" s="1"/>
  <c r="D400" i="16"/>
  <c r="E400" i="16" s="1"/>
  <c r="F400" i="16" s="1"/>
  <c r="G400" i="16" s="1"/>
  <c r="D399" i="16"/>
  <c r="E399" i="16" s="1"/>
  <c r="F399" i="16" s="1"/>
  <c r="G399" i="16" s="1"/>
  <c r="D398" i="16"/>
  <c r="E398" i="16" s="1"/>
  <c r="F398" i="16" s="1"/>
  <c r="G398" i="16" s="1"/>
  <c r="D397" i="16"/>
  <c r="E397" i="16" s="1"/>
  <c r="F397" i="16" s="1"/>
  <c r="G397" i="16" s="1"/>
  <c r="D396" i="16"/>
  <c r="E396" i="16" s="1"/>
  <c r="F396" i="16" s="1"/>
  <c r="G396" i="16" s="1"/>
  <c r="D395" i="16"/>
  <c r="E395" i="16" s="1"/>
  <c r="F395" i="16" s="1"/>
  <c r="G395" i="16" s="1"/>
  <c r="D394" i="16"/>
  <c r="E394" i="16" s="1"/>
  <c r="F394" i="16" s="1"/>
  <c r="G394" i="16" s="1"/>
  <c r="D393" i="16"/>
  <c r="E393" i="16" s="1"/>
  <c r="F393" i="16" s="1"/>
  <c r="G393" i="16" s="1"/>
  <c r="D392" i="16"/>
  <c r="E392" i="16" s="1"/>
  <c r="F392" i="16" s="1"/>
  <c r="G392" i="16" s="1"/>
  <c r="D391" i="16"/>
  <c r="E391" i="16" s="1"/>
  <c r="F391" i="16" s="1"/>
  <c r="G391" i="16" s="1"/>
  <c r="D390" i="16"/>
  <c r="E390" i="16" s="1"/>
  <c r="F390" i="16" s="1"/>
  <c r="G390" i="16" s="1"/>
  <c r="D389" i="16"/>
  <c r="E389" i="16" s="1"/>
  <c r="F389" i="16" s="1"/>
  <c r="G389" i="16" s="1"/>
  <c r="D388" i="16"/>
  <c r="E388" i="16" s="1"/>
  <c r="F388" i="16" s="1"/>
  <c r="G388" i="16" s="1"/>
  <c r="D387" i="16"/>
  <c r="E387" i="16" s="1"/>
  <c r="F387" i="16" s="1"/>
  <c r="G387" i="16" s="1"/>
  <c r="D386" i="16"/>
  <c r="E386" i="16" s="1"/>
  <c r="F386" i="16" s="1"/>
  <c r="G386" i="16" s="1"/>
  <c r="D385" i="16"/>
  <c r="E385" i="16" s="1"/>
  <c r="F385" i="16" s="1"/>
  <c r="G385" i="16" s="1"/>
  <c r="D384" i="16"/>
  <c r="E384" i="16" s="1"/>
  <c r="F384" i="16" s="1"/>
  <c r="G384" i="16" s="1"/>
  <c r="D383" i="16"/>
  <c r="E383" i="16" s="1"/>
  <c r="F383" i="16" s="1"/>
  <c r="G383" i="16" s="1"/>
  <c r="D382" i="16"/>
  <c r="E382" i="16" s="1"/>
  <c r="F382" i="16" s="1"/>
  <c r="G382" i="16" s="1"/>
  <c r="D381" i="16"/>
  <c r="E381" i="16" s="1"/>
  <c r="F381" i="16" s="1"/>
  <c r="G381" i="16" s="1"/>
  <c r="D380" i="16"/>
  <c r="E380" i="16" s="1"/>
  <c r="G380" i="16" s="1"/>
  <c r="D379" i="16"/>
  <c r="E379" i="16" s="1"/>
  <c r="F379" i="16" s="1"/>
  <c r="G379" i="16" s="1"/>
  <c r="D378" i="16"/>
  <c r="E378" i="16" s="1"/>
  <c r="F378" i="16" s="1"/>
  <c r="G378" i="16" s="1"/>
  <c r="D377" i="16"/>
  <c r="E377" i="16" s="1"/>
  <c r="F377" i="16" s="1"/>
  <c r="G377" i="16" s="1"/>
  <c r="D376" i="16"/>
  <c r="E376" i="16" s="1"/>
  <c r="F376" i="16" s="1"/>
  <c r="G376" i="16" s="1"/>
  <c r="D375" i="16"/>
  <c r="E375" i="16" s="1"/>
  <c r="F375" i="16" s="1"/>
  <c r="G375" i="16" s="1"/>
  <c r="D374" i="16"/>
  <c r="E374" i="16" s="1"/>
  <c r="F374" i="16" s="1"/>
  <c r="G374" i="16" s="1"/>
  <c r="D373" i="16"/>
  <c r="E373" i="16" s="1"/>
  <c r="F373" i="16" s="1"/>
  <c r="G373" i="16" s="1"/>
  <c r="D372" i="16"/>
  <c r="E372" i="16" s="1"/>
  <c r="F372" i="16" s="1"/>
  <c r="G372" i="16" s="1"/>
  <c r="D371" i="16"/>
  <c r="E371" i="16" s="1"/>
  <c r="F371" i="16" s="1"/>
  <c r="G371" i="16" s="1"/>
  <c r="D370" i="16"/>
  <c r="E370" i="16" s="1"/>
  <c r="F370" i="16" s="1"/>
  <c r="G370" i="16" s="1"/>
  <c r="D369" i="16"/>
  <c r="E369" i="16" s="1"/>
  <c r="F369" i="16" s="1"/>
  <c r="G369" i="16" s="1"/>
  <c r="D368" i="16"/>
  <c r="E368" i="16" s="1"/>
  <c r="F368" i="16" s="1"/>
  <c r="G368" i="16" s="1"/>
  <c r="D367" i="16"/>
  <c r="E367" i="16" s="1"/>
  <c r="F367" i="16" s="1"/>
  <c r="G367" i="16" s="1"/>
  <c r="D366" i="16"/>
  <c r="E366" i="16" s="1"/>
  <c r="F366" i="16" s="1"/>
  <c r="G366" i="16" s="1"/>
  <c r="D365" i="16"/>
  <c r="E365" i="16" s="1"/>
  <c r="F365" i="16" s="1"/>
  <c r="G365" i="16" s="1"/>
  <c r="D364" i="16"/>
  <c r="E364" i="16" s="1"/>
  <c r="F364" i="16" s="1"/>
  <c r="G364" i="16" s="1"/>
  <c r="D363" i="16"/>
  <c r="E363" i="16" s="1"/>
  <c r="F363" i="16" s="1"/>
  <c r="G363" i="16" s="1"/>
  <c r="D362" i="16"/>
  <c r="E362" i="16" s="1"/>
  <c r="F362" i="16" s="1"/>
  <c r="G362" i="16" s="1"/>
  <c r="D361" i="16"/>
  <c r="E361" i="16" s="1"/>
  <c r="F361" i="16" s="1"/>
  <c r="G361" i="16" s="1"/>
  <c r="D360" i="16"/>
  <c r="E360" i="16" s="1"/>
  <c r="F360" i="16" s="1"/>
  <c r="G360" i="16" s="1"/>
  <c r="D359" i="16"/>
  <c r="E359" i="16" s="1"/>
  <c r="F359" i="16" s="1"/>
  <c r="G359" i="16" s="1"/>
  <c r="D358" i="16"/>
  <c r="E358" i="16" s="1"/>
  <c r="F358" i="16" s="1"/>
  <c r="G358" i="16" s="1"/>
  <c r="D357" i="16"/>
  <c r="E357" i="16" s="1"/>
  <c r="F357" i="16" s="1"/>
  <c r="G357" i="16" s="1"/>
  <c r="D356" i="16"/>
  <c r="E356" i="16" s="1"/>
  <c r="F356" i="16" s="1"/>
  <c r="G356" i="16" s="1"/>
  <c r="D355" i="16"/>
  <c r="E355" i="16" s="1"/>
  <c r="F355" i="16" s="1"/>
  <c r="G355" i="16" s="1"/>
  <c r="D354" i="16"/>
  <c r="E354" i="16" s="1"/>
  <c r="F354" i="16" s="1"/>
  <c r="G354" i="16" s="1"/>
  <c r="D353" i="16"/>
  <c r="E353" i="16" s="1"/>
  <c r="F353" i="16" s="1"/>
  <c r="G353" i="16" s="1"/>
  <c r="D352" i="16"/>
  <c r="E352" i="16" s="1"/>
  <c r="F352" i="16" s="1"/>
  <c r="G352" i="16" s="1"/>
  <c r="D351" i="16"/>
  <c r="E351" i="16" s="1"/>
  <c r="F351" i="16" s="1"/>
  <c r="G351" i="16" s="1"/>
  <c r="D350" i="16"/>
  <c r="E350" i="16" s="1"/>
  <c r="F350" i="16" s="1"/>
  <c r="G350" i="16" s="1"/>
  <c r="D349" i="16"/>
  <c r="E349" i="16" s="1"/>
  <c r="F349" i="16" s="1"/>
  <c r="G349" i="16" s="1"/>
  <c r="D348" i="16"/>
  <c r="E348" i="16" s="1"/>
  <c r="F348" i="16" s="1"/>
  <c r="G348" i="16" s="1"/>
  <c r="D347" i="16"/>
  <c r="E347" i="16" s="1"/>
  <c r="F347" i="16" s="1"/>
  <c r="G347" i="16" s="1"/>
  <c r="D346" i="16"/>
  <c r="E346" i="16" s="1"/>
  <c r="F346" i="16" s="1"/>
  <c r="G346" i="16" s="1"/>
  <c r="D345" i="16"/>
  <c r="E345" i="16" s="1"/>
  <c r="F345" i="16" s="1"/>
  <c r="G345" i="16" s="1"/>
  <c r="D344" i="16"/>
  <c r="E344" i="16" s="1"/>
  <c r="F344" i="16" s="1"/>
  <c r="G344" i="16" s="1"/>
  <c r="D343" i="16"/>
  <c r="E343" i="16" s="1"/>
  <c r="F343" i="16" s="1"/>
  <c r="G343" i="16" s="1"/>
  <c r="D342" i="16"/>
  <c r="E342" i="16" s="1"/>
  <c r="F342" i="16" s="1"/>
  <c r="G342" i="16" s="1"/>
  <c r="D341" i="16"/>
  <c r="E341" i="16" s="1"/>
  <c r="F341" i="16" s="1"/>
  <c r="G341" i="16" s="1"/>
  <c r="D340" i="16"/>
  <c r="E340" i="16" s="1"/>
  <c r="G340" i="16" s="1"/>
  <c r="D339" i="16"/>
  <c r="E339" i="16" s="1"/>
  <c r="F339" i="16" s="1"/>
  <c r="G339" i="16" s="1"/>
  <c r="D338" i="16"/>
  <c r="E338" i="16" s="1"/>
  <c r="F338" i="16" s="1"/>
  <c r="G338" i="16" s="1"/>
  <c r="D337" i="16"/>
  <c r="E337" i="16" s="1"/>
  <c r="F337" i="16" s="1"/>
  <c r="G337" i="16" s="1"/>
  <c r="D336" i="16"/>
  <c r="E336" i="16" s="1"/>
  <c r="F336" i="16" s="1"/>
  <c r="G336" i="16" s="1"/>
  <c r="D335" i="16"/>
  <c r="E335" i="16" s="1"/>
  <c r="F335" i="16" s="1"/>
  <c r="G335" i="16" s="1"/>
  <c r="D334" i="16"/>
  <c r="E334" i="16" s="1"/>
  <c r="F334" i="16" s="1"/>
  <c r="G334" i="16" s="1"/>
  <c r="D333" i="16"/>
  <c r="E333" i="16" s="1"/>
  <c r="F333" i="16" s="1"/>
  <c r="G333" i="16" s="1"/>
  <c r="D332" i="16"/>
  <c r="E332" i="16" s="1"/>
  <c r="F332" i="16" s="1"/>
  <c r="G332" i="16" s="1"/>
  <c r="D331" i="16"/>
  <c r="E331" i="16" s="1"/>
  <c r="F331" i="16" s="1"/>
  <c r="G331" i="16" s="1"/>
  <c r="D330" i="16"/>
  <c r="E330" i="16" s="1"/>
  <c r="F330" i="16" s="1"/>
  <c r="G330" i="16" s="1"/>
  <c r="D329" i="16"/>
  <c r="E329" i="16" s="1"/>
  <c r="F329" i="16" s="1"/>
  <c r="G329" i="16" s="1"/>
  <c r="D328" i="16"/>
  <c r="E328" i="16" s="1"/>
  <c r="F328" i="16" s="1"/>
  <c r="G328" i="16" s="1"/>
  <c r="D327" i="16"/>
  <c r="E327" i="16" s="1"/>
  <c r="G327" i="16" s="1"/>
  <c r="D326" i="16"/>
  <c r="E326" i="16" s="1"/>
  <c r="F326" i="16" s="1"/>
  <c r="G326" i="16" s="1"/>
  <c r="D325" i="16"/>
  <c r="E325" i="16" s="1"/>
  <c r="F325" i="16" s="1"/>
  <c r="G325" i="16" s="1"/>
  <c r="D324" i="16"/>
  <c r="E324" i="16" s="1"/>
  <c r="F324" i="16" s="1"/>
  <c r="G324" i="16" s="1"/>
  <c r="D323" i="16"/>
  <c r="E323" i="16" s="1"/>
  <c r="F323" i="16" s="1"/>
  <c r="G323" i="16" s="1"/>
  <c r="D322" i="16"/>
  <c r="E322" i="16" s="1"/>
  <c r="F322" i="16" s="1"/>
  <c r="G322" i="16" s="1"/>
  <c r="D321" i="16"/>
  <c r="E321" i="16" s="1"/>
  <c r="F321" i="16" s="1"/>
  <c r="G321" i="16" s="1"/>
  <c r="D320" i="16"/>
  <c r="E320" i="16" s="1"/>
  <c r="F320" i="16" s="1"/>
  <c r="G320" i="16" s="1"/>
  <c r="D319" i="16"/>
  <c r="E319" i="16" s="1"/>
  <c r="F319" i="16" s="1"/>
  <c r="G319" i="16" s="1"/>
  <c r="D318" i="16"/>
  <c r="E318" i="16" s="1"/>
  <c r="F318" i="16" s="1"/>
  <c r="G318" i="16" s="1"/>
  <c r="D317" i="16"/>
  <c r="E317" i="16" s="1"/>
  <c r="F317" i="16" s="1"/>
  <c r="G317" i="16" s="1"/>
  <c r="D316" i="16"/>
  <c r="E316" i="16" s="1"/>
  <c r="F316" i="16" s="1"/>
  <c r="G316" i="16" s="1"/>
  <c r="D315" i="16"/>
  <c r="E315" i="16" s="1"/>
  <c r="F315" i="16" s="1"/>
  <c r="G315" i="16" s="1"/>
  <c r="D314" i="16"/>
  <c r="E314" i="16" s="1"/>
  <c r="F314" i="16" s="1"/>
  <c r="G314" i="16" s="1"/>
  <c r="D313" i="16"/>
  <c r="E313" i="16" s="1"/>
  <c r="F313" i="16" s="1"/>
  <c r="G313" i="16" s="1"/>
  <c r="D312" i="16"/>
  <c r="E312" i="16" s="1"/>
  <c r="F312" i="16" s="1"/>
  <c r="G312" i="16" s="1"/>
  <c r="D311" i="16"/>
  <c r="E311" i="16" s="1"/>
  <c r="F311" i="16" s="1"/>
  <c r="G311" i="16" s="1"/>
  <c r="D310" i="16"/>
  <c r="E310" i="16" s="1"/>
  <c r="F310" i="16" s="1"/>
  <c r="G310" i="16" s="1"/>
  <c r="D309" i="16"/>
  <c r="E309" i="16" s="1"/>
  <c r="F309" i="16" s="1"/>
  <c r="G309" i="16" s="1"/>
  <c r="D308" i="16"/>
  <c r="E308" i="16" s="1"/>
  <c r="F308" i="16" s="1"/>
  <c r="G308" i="16" s="1"/>
  <c r="D307" i="16"/>
  <c r="E307" i="16" s="1"/>
  <c r="F307" i="16" s="1"/>
  <c r="G307" i="16" s="1"/>
  <c r="D306" i="16"/>
  <c r="E306" i="16" s="1"/>
  <c r="G306" i="16" s="1"/>
  <c r="D305" i="16"/>
  <c r="E305" i="16" s="1"/>
  <c r="F305" i="16" s="1"/>
  <c r="G305" i="16" s="1"/>
  <c r="D304" i="16"/>
  <c r="E304" i="16" s="1"/>
  <c r="F304" i="16" s="1"/>
  <c r="G304" i="16" s="1"/>
  <c r="D303" i="16"/>
  <c r="E303" i="16" s="1"/>
  <c r="F303" i="16" s="1"/>
  <c r="G303" i="16" s="1"/>
  <c r="D302" i="16"/>
  <c r="E302" i="16" s="1"/>
  <c r="F302" i="16" s="1"/>
  <c r="G302" i="16" s="1"/>
  <c r="D301" i="16"/>
  <c r="E301" i="16" s="1"/>
  <c r="F301" i="16" s="1"/>
  <c r="G301" i="16" s="1"/>
  <c r="D300" i="16"/>
  <c r="E300" i="16" s="1"/>
  <c r="F300" i="16" s="1"/>
  <c r="G300" i="16" s="1"/>
  <c r="D299" i="16"/>
  <c r="E299" i="16" s="1"/>
  <c r="F299" i="16" s="1"/>
  <c r="G299" i="16" s="1"/>
  <c r="D298" i="16"/>
  <c r="E298" i="16" s="1"/>
  <c r="F298" i="16" s="1"/>
  <c r="G298" i="16" s="1"/>
  <c r="D297" i="16"/>
  <c r="E297" i="16" s="1"/>
  <c r="F297" i="16" s="1"/>
  <c r="G297" i="16" s="1"/>
  <c r="D296" i="16"/>
  <c r="E296" i="16" s="1"/>
  <c r="F296" i="16" s="1"/>
  <c r="G296" i="16" s="1"/>
  <c r="D295" i="16"/>
  <c r="E295" i="16" s="1"/>
  <c r="F295" i="16" s="1"/>
  <c r="G295" i="16" s="1"/>
  <c r="D294" i="16"/>
  <c r="E294" i="16" s="1"/>
  <c r="F294" i="16" s="1"/>
  <c r="G294" i="16" s="1"/>
  <c r="D293" i="16"/>
  <c r="E293" i="16" s="1"/>
  <c r="F293" i="16" s="1"/>
  <c r="G293" i="16" s="1"/>
  <c r="D292" i="16"/>
  <c r="E292" i="16" s="1"/>
  <c r="F292" i="16" s="1"/>
  <c r="G292" i="16" s="1"/>
  <c r="D291" i="16"/>
  <c r="E291" i="16" s="1"/>
  <c r="F291" i="16" s="1"/>
  <c r="G291" i="16" s="1"/>
  <c r="D290" i="16"/>
  <c r="E290" i="16" s="1"/>
  <c r="F290" i="16" s="1"/>
  <c r="G290" i="16" s="1"/>
  <c r="D289" i="16"/>
  <c r="E289" i="16" s="1"/>
  <c r="F289" i="16" s="1"/>
  <c r="G289" i="16" s="1"/>
  <c r="D288" i="16"/>
  <c r="E288" i="16" s="1"/>
  <c r="F288" i="16" s="1"/>
  <c r="G288" i="16" s="1"/>
  <c r="D287" i="16"/>
  <c r="E287" i="16" s="1"/>
  <c r="F287" i="16" s="1"/>
  <c r="G287" i="16" s="1"/>
  <c r="D286" i="16"/>
  <c r="E286" i="16" s="1"/>
  <c r="F286" i="16" s="1"/>
  <c r="G286" i="16" s="1"/>
  <c r="D285" i="16"/>
  <c r="E285" i="16" s="1"/>
  <c r="F285" i="16" s="1"/>
  <c r="G285" i="16" s="1"/>
  <c r="D284" i="16"/>
  <c r="E284" i="16" s="1"/>
  <c r="F284" i="16" s="1"/>
  <c r="G284" i="16" s="1"/>
  <c r="D283" i="16"/>
  <c r="E283" i="16" s="1"/>
  <c r="F283" i="16" s="1"/>
  <c r="G283" i="16" s="1"/>
  <c r="D282" i="16"/>
  <c r="E282" i="16" s="1"/>
  <c r="F282" i="16" s="1"/>
  <c r="G282" i="16" s="1"/>
  <c r="D281" i="16"/>
  <c r="E281" i="16" s="1"/>
  <c r="F281" i="16" s="1"/>
  <c r="G281" i="16" s="1"/>
  <c r="D280" i="16"/>
  <c r="E280" i="16" s="1"/>
  <c r="F280" i="16" s="1"/>
  <c r="G280" i="16" s="1"/>
  <c r="D279" i="16"/>
  <c r="E279" i="16" s="1"/>
  <c r="F279" i="16" s="1"/>
  <c r="G279" i="16" s="1"/>
  <c r="D278" i="16"/>
  <c r="E278" i="16" s="1"/>
  <c r="F278" i="16" s="1"/>
  <c r="G278" i="16" s="1"/>
  <c r="D277" i="16"/>
  <c r="E277" i="16" s="1"/>
  <c r="F277" i="16" s="1"/>
  <c r="G277" i="16" s="1"/>
  <c r="D276" i="16"/>
  <c r="E276" i="16" s="1"/>
  <c r="F276" i="16" s="1"/>
  <c r="G276" i="16" s="1"/>
  <c r="D275" i="16"/>
  <c r="E275" i="16" s="1"/>
  <c r="F275" i="16" s="1"/>
  <c r="G275" i="16" s="1"/>
  <c r="D274" i="16"/>
  <c r="E274" i="16" s="1"/>
  <c r="F274" i="16" s="1"/>
  <c r="G274" i="16" s="1"/>
  <c r="D273" i="16"/>
  <c r="E273" i="16" s="1"/>
  <c r="F273" i="16" s="1"/>
  <c r="G273" i="16" s="1"/>
  <c r="D272" i="16"/>
  <c r="E272" i="16" s="1"/>
  <c r="F272" i="16" s="1"/>
  <c r="G272" i="16" s="1"/>
  <c r="D271" i="16"/>
  <c r="E271" i="16" s="1"/>
  <c r="G271" i="16" s="1"/>
  <c r="D270" i="16"/>
  <c r="E270" i="16" s="1"/>
  <c r="F270" i="16" s="1"/>
  <c r="G270" i="16" s="1"/>
  <c r="D269" i="16"/>
  <c r="E269" i="16" s="1"/>
  <c r="F269" i="16" s="1"/>
  <c r="G269" i="16" s="1"/>
  <c r="D268" i="16"/>
  <c r="E268" i="16" s="1"/>
  <c r="F268" i="16" s="1"/>
  <c r="G268" i="16" s="1"/>
  <c r="D267" i="16"/>
  <c r="E267" i="16" s="1"/>
  <c r="F267" i="16" s="1"/>
  <c r="G267" i="16" s="1"/>
  <c r="D266" i="16"/>
  <c r="E266" i="16" s="1"/>
  <c r="F266" i="16" s="1"/>
  <c r="G266" i="16" s="1"/>
  <c r="D265" i="16"/>
  <c r="E265" i="16" s="1"/>
  <c r="F265" i="16" s="1"/>
  <c r="G265" i="16" s="1"/>
  <c r="D264" i="16"/>
  <c r="E264" i="16" s="1"/>
  <c r="F264" i="16" s="1"/>
  <c r="G264" i="16" s="1"/>
  <c r="D263" i="16"/>
  <c r="E263" i="16" s="1"/>
  <c r="F263" i="16" s="1"/>
  <c r="G263" i="16" s="1"/>
  <c r="D262" i="16"/>
  <c r="E262" i="16" s="1"/>
  <c r="F262" i="16" s="1"/>
  <c r="G262" i="16" s="1"/>
  <c r="D261" i="16"/>
  <c r="E261" i="16" s="1"/>
  <c r="F261" i="16" s="1"/>
  <c r="G261" i="16" s="1"/>
  <c r="D260" i="16"/>
  <c r="E260" i="16" s="1"/>
  <c r="F260" i="16" s="1"/>
  <c r="G260" i="16" s="1"/>
  <c r="D259" i="16"/>
  <c r="E259" i="16" s="1"/>
  <c r="F259" i="16" s="1"/>
  <c r="G259" i="16" s="1"/>
  <c r="D258" i="16"/>
  <c r="E258" i="16" s="1"/>
  <c r="F258" i="16" s="1"/>
  <c r="G258" i="16" s="1"/>
  <c r="D257" i="16"/>
  <c r="E257" i="16" s="1"/>
  <c r="F257" i="16" s="1"/>
  <c r="G257" i="16" s="1"/>
  <c r="D256" i="16"/>
  <c r="E256" i="16" s="1"/>
  <c r="F256" i="16" s="1"/>
  <c r="G256" i="16" s="1"/>
  <c r="D255" i="16"/>
  <c r="E255" i="16" s="1"/>
  <c r="F255" i="16" s="1"/>
  <c r="G255" i="16" s="1"/>
  <c r="D254" i="16"/>
  <c r="E254" i="16" s="1"/>
  <c r="F254" i="16" s="1"/>
  <c r="G254" i="16" s="1"/>
  <c r="D253" i="16"/>
  <c r="E253" i="16" s="1"/>
  <c r="F253" i="16" s="1"/>
  <c r="G253" i="16" s="1"/>
  <c r="D252" i="16"/>
  <c r="E252" i="16" s="1"/>
  <c r="F252" i="16" s="1"/>
  <c r="G252" i="16" s="1"/>
  <c r="D251" i="16"/>
  <c r="E251" i="16" s="1"/>
  <c r="F251" i="16" s="1"/>
  <c r="G251" i="16" s="1"/>
  <c r="D250" i="16"/>
  <c r="E250" i="16" s="1"/>
  <c r="F250" i="16" s="1"/>
  <c r="G250" i="16" s="1"/>
  <c r="D249" i="16"/>
  <c r="E249" i="16" s="1"/>
  <c r="F249" i="16" s="1"/>
  <c r="G249" i="16" s="1"/>
  <c r="D248" i="16"/>
  <c r="E248" i="16" s="1"/>
  <c r="F248" i="16" s="1"/>
  <c r="G248" i="16" s="1"/>
  <c r="D247" i="16"/>
  <c r="E247" i="16" s="1"/>
  <c r="F247" i="16" s="1"/>
  <c r="G247" i="16" s="1"/>
  <c r="D246" i="16"/>
  <c r="E246" i="16" s="1"/>
  <c r="F246" i="16" s="1"/>
  <c r="G246" i="16" s="1"/>
  <c r="D245" i="16"/>
  <c r="E245" i="16" s="1"/>
  <c r="F245" i="16" s="1"/>
  <c r="G245" i="16" s="1"/>
  <c r="D244" i="16"/>
  <c r="E244" i="16" s="1"/>
  <c r="F244" i="16" s="1"/>
  <c r="G244" i="16" s="1"/>
  <c r="D243" i="16"/>
  <c r="E243" i="16" s="1"/>
  <c r="F243" i="16" s="1"/>
  <c r="G243" i="16" s="1"/>
  <c r="D242" i="16"/>
  <c r="E242" i="16" s="1"/>
  <c r="F242" i="16" s="1"/>
  <c r="G242" i="16" s="1"/>
  <c r="D241" i="16"/>
  <c r="E241" i="16" s="1"/>
  <c r="F241" i="16" s="1"/>
  <c r="G241" i="16" s="1"/>
  <c r="D240" i="16"/>
  <c r="E240" i="16" s="1"/>
  <c r="F240" i="16" s="1"/>
  <c r="G240" i="16" s="1"/>
  <c r="D239" i="16"/>
  <c r="E239" i="16" s="1"/>
  <c r="F239" i="16" s="1"/>
  <c r="G239" i="16" s="1"/>
  <c r="D238" i="16"/>
  <c r="E238" i="16" s="1"/>
  <c r="F238" i="16" s="1"/>
  <c r="G238" i="16" s="1"/>
  <c r="D237" i="16"/>
  <c r="E237" i="16" s="1"/>
  <c r="F237" i="16" s="1"/>
  <c r="G237" i="16" s="1"/>
  <c r="D236" i="16"/>
  <c r="E236" i="16" s="1"/>
  <c r="F236" i="16" s="1"/>
  <c r="G236" i="16" s="1"/>
  <c r="D235" i="16"/>
  <c r="E235" i="16" s="1"/>
  <c r="F235" i="16" s="1"/>
  <c r="G235" i="16" s="1"/>
  <c r="D234" i="16"/>
  <c r="E234" i="16" s="1"/>
  <c r="F234" i="16" s="1"/>
  <c r="G234" i="16" s="1"/>
  <c r="D233" i="16"/>
  <c r="E233" i="16" s="1"/>
  <c r="F233" i="16" s="1"/>
  <c r="G233" i="16" s="1"/>
  <c r="D232" i="16"/>
  <c r="E232" i="16" s="1"/>
  <c r="F232" i="16" s="1"/>
  <c r="G232" i="16" s="1"/>
  <c r="D231" i="16"/>
  <c r="E231" i="16" s="1"/>
  <c r="F231" i="16" s="1"/>
  <c r="G231" i="16" s="1"/>
  <c r="D230" i="16"/>
  <c r="E230" i="16" s="1"/>
  <c r="F230" i="16" s="1"/>
  <c r="G230" i="16" s="1"/>
  <c r="D229" i="16"/>
  <c r="E229" i="16" s="1"/>
  <c r="F229" i="16" s="1"/>
  <c r="G229" i="16" s="1"/>
  <c r="D228" i="16"/>
  <c r="E228" i="16" s="1"/>
  <c r="F228" i="16" s="1"/>
  <c r="G228" i="16" s="1"/>
  <c r="D227" i="16"/>
  <c r="E227" i="16" s="1"/>
  <c r="F227" i="16" s="1"/>
  <c r="G227" i="16" s="1"/>
  <c r="D226" i="16"/>
  <c r="E226" i="16" s="1"/>
  <c r="F226" i="16" s="1"/>
  <c r="G226" i="16" s="1"/>
  <c r="D225" i="16"/>
  <c r="E225" i="16" s="1"/>
  <c r="F225" i="16" s="1"/>
  <c r="G225" i="16" s="1"/>
  <c r="D224" i="16"/>
  <c r="E224" i="16" s="1"/>
  <c r="F224" i="16" s="1"/>
  <c r="G224" i="16" s="1"/>
  <c r="D223" i="16"/>
  <c r="E223" i="16" s="1"/>
  <c r="F223" i="16" s="1"/>
  <c r="G223" i="16" s="1"/>
  <c r="D222" i="16"/>
  <c r="E222" i="16" s="1"/>
  <c r="F222" i="16" s="1"/>
  <c r="G222" i="16" s="1"/>
  <c r="D221" i="16"/>
  <c r="E221" i="16" s="1"/>
  <c r="F221" i="16" s="1"/>
  <c r="G221" i="16" s="1"/>
  <c r="D220" i="16"/>
  <c r="E220" i="16" s="1"/>
  <c r="F220" i="16" s="1"/>
  <c r="G220" i="16" s="1"/>
  <c r="D219" i="16"/>
  <c r="E219" i="16" s="1"/>
  <c r="F219" i="16" s="1"/>
  <c r="G219" i="16" s="1"/>
  <c r="D218" i="16"/>
  <c r="E218" i="16" s="1"/>
  <c r="F218" i="16" s="1"/>
  <c r="G218" i="16" s="1"/>
  <c r="D217" i="16"/>
  <c r="E217" i="16" s="1"/>
  <c r="F217" i="16" s="1"/>
  <c r="G217" i="16" s="1"/>
  <c r="D216" i="16"/>
  <c r="E216" i="16" s="1"/>
  <c r="F216" i="16" s="1"/>
  <c r="G216" i="16" s="1"/>
  <c r="D215" i="16"/>
  <c r="E215" i="16" s="1"/>
  <c r="F215" i="16" s="1"/>
  <c r="G215" i="16" s="1"/>
  <c r="D214" i="16"/>
  <c r="E214" i="16" s="1"/>
  <c r="F214" i="16" s="1"/>
  <c r="G214" i="16" s="1"/>
  <c r="D213" i="16"/>
  <c r="E213" i="16" s="1"/>
  <c r="F213" i="16" s="1"/>
  <c r="G213" i="16" s="1"/>
  <c r="D212" i="16"/>
  <c r="E212" i="16" s="1"/>
  <c r="F212" i="16" s="1"/>
  <c r="G212" i="16" s="1"/>
  <c r="D211" i="16"/>
  <c r="E211" i="16" s="1"/>
  <c r="F211" i="16" s="1"/>
  <c r="G211" i="16" s="1"/>
  <c r="D210" i="16"/>
  <c r="E210" i="16" s="1"/>
  <c r="F210" i="16" s="1"/>
  <c r="G210" i="16" s="1"/>
  <c r="D209" i="16"/>
  <c r="E209" i="16" s="1"/>
  <c r="F209" i="16" s="1"/>
  <c r="G209" i="16" s="1"/>
  <c r="D208" i="16"/>
  <c r="E208" i="16" s="1"/>
  <c r="F208" i="16" s="1"/>
  <c r="G208" i="16" s="1"/>
  <c r="D207" i="16"/>
  <c r="E207" i="16" s="1"/>
  <c r="F207" i="16" s="1"/>
  <c r="G207" i="16" s="1"/>
  <c r="D206" i="16"/>
  <c r="E206" i="16" s="1"/>
  <c r="F206" i="16" s="1"/>
  <c r="G206" i="16" s="1"/>
  <c r="D205" i="16"/>
  <c r="E205" i="16" s="1"/>
  <c r="F205" i="16" s="1"/>
  <c r="G205" i="16" s="1"/>
  <c r="D204" i="16"/>
  <c r="E204" i="16" s="1"/>
  <c r="F204" i="16" s="1"/>
  <c r="G204" i="16" s="1"/>
  <c r="D203" i="16"/>
  <c r="E203" i="16" s="1"/>
  <c r="F203" i="16" s="1"/>
  <c r="G203" i="16" s="1"/>
  <c r="D202" i="16"/>
  <c r="E202" i="16" s="1"/>
  <c r="F202" i="16" s="1"/>
  <c r="G202" i="16" s="1"/>
  <c r="D201" i="16"/>
  <c r="E201" i="16" s="1"/>
  <c r="F201" i="16" s="1"/>
  <c r="G201" i="16" s="1"/>
  <c r="D200" i="16"/>
  <c r="E200" i="16" s="1"/>
  <c r="F200" i="16" s="1"/>
  <c r="G200" i="16" s="1"/>
  <c r="D199" i="16"/>
  <c r="E199" i="16" s="1"/>
  <c r="F199" i="16" s="1"/>
  <c r="G199" i="16" s="1"/>
  <c r="D198" i="16"/>
  <c r="E198" i="16" s="1"/>
  <c r="F198" i="16" s="1"/>
  <c r="G198" i="16" s="1"/>
  <c r="D197" i="16"/>
  <c r="E197" i="16" s="1"/>
  <c r="F197" i="16" s="1"/>
  <c r="G197" i="16" s="1"/>
  <c r="D196" i="16"/>
  <c r="E196" i="16" s="1"/>
  <c r="F196" i="16" s="1"/>
  <c r="G196" i="16" s="1"/>
  <c r="D195" i="16"/>
  <c r="E195" i="16" s="1"/>
  <c r="F195" i="16" s="1"/>
  <c r="G195" i="16" s="1"/>
  <c r="D194" i="16"/>
  <c r="E194" i="16" s="1"/>
  <c r="F194" i="16" s="1"/>
  <c r="G194" i="16" s="1"/>
  <c r="D193" i="16"/>
  <c r="E193" i="16" s="1"/>
  <c r="F193" i="16" s="1"/>
  <c r="G193" i="16" s="1"/>
  <c r="D192" i="16"/>
  <c r="E192" i="16" s="1"/>
  <c r="F192" i="16" s="1"/>
  <c r="G192" i="16" s="1"/>
  <c r="D191" i="16"/>
  <c r="E191" i="16" s="1"/>
  <c r="F191" i="16" s="1"/>
  <c r="G191" i="16" s="1"/>
  <c r="D190" i="16"/>
  <c r="E190" i="16" s="1"/>
  <c r="F190" i="16" s="1"/>
  <c r="G190" i="16" s="1"/>
  <c r="D189" i="16"/>
  <c r="E189" i="16" s="1"/>
  <c r="F189" i="16" s="1"/>
  <c r="G189" i="16" s="1"/>
  <c r="D188" i="16"/>
  <c r="E188" i="16" s="1"/>
  <c r="F188" i="16" s="1"/>
  <c r="G188" i="16" s="1"/>
  <c r="D187" i="16"/>
  <c r="E187" i="16" s="1"/>
  <c r="F187" i="16" s="1"/>
  <c r="G187" i="16" s="1"/>
  <c r="D186" i="16"/>
  <c r="E186" i="16" s="1"/>
  <c r="F186" i="16" s="1"/>
  <c r="G186" i="16" s="1"/>
  <c r="D185" i="16"/>
  <c r="E185" i="16" s="1"/>
  <c r="F185" i="16" s="1"/>
  <c r="G185" i="16" s="1"/>
  <c r="D184" i="16"/>
  <c r="E184" i="16" s="1"/>
  <c r="F184" i="16" s="1"/>
  <c r="G184" i="16" s="1"/>
  <c r="D183" i="16"/>
  <c r="E183" i="16" s="1"/>
  <c r="F183" i="16" s="1"/>
  <c r="G183" i="16" s="1"/>
  <c r="D182" i="16"/>
  <c r="E182" i="16" s="1"/>
  <c r="F182" i="16" s="1"/>
  <c r="G182" i="16" s="1"/>
  <c r="D181" i="16"/>
  <c r="E181" i="16" s="1"/>
  <c r="F181" i="16" s="1"/>
  <c r="G181" i="16" s="1"/>
  <c r="D180" i="16"/>
  <c r="E180" i="16" s="1"/>
  <c r="G180" i="16" s="1"/>
  <c r="D179" i="16"/>
  <c r="E179" i="16" s="1"/>
  <c r="F179" i="16" s="1"/>
  <c r="G179" i="16" s="1"/>
  <c r="D178" i="16"/>
  <c r="E178" i="16" s="1"/>
  <c r="F178" i="16" s="1"/>
  <c r="G178" i="16" s="1"/>
  <c r="D177" i="16"/>
  <c r="E177" i="16" s="1"/>
  <c r="F177" i="16" s="1"/>
  <c r="G177" i="16" s="1"/>
  <c r="D176" i="16"/>
  <c r="E176" i="16" s="1"/>
  <c r="F176" i="16" s="1"/>
  <c r="G176" i="16" s="1"/>
  <c r="D175" i="16"/>
  <c r="E175" i="16" s="1"/>
  <c r="F175" i="16" s="1"/>
  <c r="G175" i="16" s="1"/>
  <c r="D174" i="16"/>
  <c r="E174" i="16" s="1"/>
  <c r="F174" i="16" s="1"/>
  <c r="G174" i="16" s="1"/>
  <c r="D173" i="16"/>
  <c r="E173" i="16" s="1"/>
  <c r="F173" i="16" s="1"/>
  <c r="G173" i="16" s="1"/>
  <c r="D172" i="16"/>
  <c r="E172" i="16" s="1"/>
  <c r="F172" i="16" s="1"/>
  <c r="G172" i="16" s="1"/>
  <c r="D171" i="16"/>
  <c r="E171" i="16" s="1"/>
  <c r="F171" i="16" s="1"/>
  <c r="G171" i="16" s="1"/>
  <c r="D170" i="16"/>
  <c r="E170" i="16" s="1"/>
  <c r="F170" i="16" s="1"/>
  <c r="G170" i="16" s="1"/>
  <c r="D169" i="16"/>
  <c r="E169" i="16" s="1"/>
  <c r="F169" i="16" s="1"/>
  <c r="G169" i="16" s="1"/>
  <c r="D168" i="16"/>
  <c r="E168" i="16" s="1"/>
  <c r="F168" i="16" s="1"/>
  <c r="G168" i="16" s="1"/>
  <c r="D167" i="16"/>
  <c r="E167" i="16" s="1"/>
  <c r="F167" i="16" s="1"/>
  <c r="G167" i="16" s="1"/>
  <c r="D166" i="16"/>
  <c r="E166" i="16" s="1"/>
  <c r="F166" i="16" s="1"/>
  <c r="G166" i="16" s="1"/>
  <c r="D165" i="16"/>
  <c r="E165" i="16" s="1"/>
  <c r="F165" i="16" s="1"/>
  <c r="G165" i="16" s="1"/>
  <c r="D164" i="16"/>
  <c r="E164" i="16" s="1"/>
  <c r="F164" i="16" s="1"/>
  <c r="G164" i="16" s="1"/>
  <c r="D163" i="16"/>
  <c r="E163" i="16" s="1"/>
  <c r="F163" i="16" s="1"/>
  <c r="G163" i="16" s="1"/>
  <c r="D162" i="16"/>
  <c r="E162" i="16" s="1"/>
  <c r="F162" i="16" s="1"/>
  <c r="G162" i="16" s="1"/>
  <c r="D161" i="16"/>
  <c r="E161" i="16" s="1"/>
  <c r="F161" i="16" s="1"/>
  <c r="G161" i="16" s="1"/>
  <c r="D160" i="16"/>
  <c r="E160" i="16" s="1"/>
  <c r="F160" i="16" s="1"/>
  <c r="G160" i="16" s="1"/>
  <c r="D159" i="16"/>
  <c r="E159" i="16" s="1"/>
  <c r="F159" i="16" s="1"/>
  <c r="G159" i="16" s="1"/>
  <c r="D158" i="16"/>
  <c r="E158" i="16" s="1"/>
  <c r="F158" i="16" s="1"/>
  <c r="G158" i="16" s="1"/>
  <c r="D157" i="16"/>
  <c r="E157" i="16" s="1"/>
  <c r="F157" i="16" s="1"/>
  <c r="G157" i="16" s="1"/>
  <c r="D156" i="16"/>
  <c r="E156" i="16" s="1"/>
  <c r="F156" i="16" s="1"/>
  <c r="G156" i="16" s="1"/>
  <c r="D155" i="16"/>
  <c r="E155" i="16" s="1"/>
  <c r="F155" i="16" s="1"/>
  <c r="G155" i="16" s="1"/>
  <c r="D154" i="16"/>
  <c r="E154" i="16" s="1"/>
  <c r="F154" i="16" s="1"/>
  <c r="G154" i="16" s="1"/>
  <c r="D153" i="16"/>
  <c r="E153" i="16" s="1"/>
  <c r="F153" i="16" s="1"/>
  <c r="G153" i="16" s="1"/>
  <c r="D152" i="16"/>
  <c r="E152" i="16" s="1"/>
  <c r="F152" i="16" s="1"/>
  <c r="G152" i="16" s="1"/>
  <c r="D151" i="16"/>
  <c r="E151" i="16" s="1"/>
  <c r="F151" i="16" s="1"/>
  <c r="G151" i="16" s="1"/>
  <c r="D150" i="16"/>
  <c r="E150" i="16" s="1"/>
  <c r="F150" i="16" s="1"/>
  <c r="G150" i="16" s="1"/>
  <c r="D149" i="16"/>
  <c r="E149" i="16" s="1"/>
  <c r="F149" i="16" s="1"/>
  <c r="G149" i="16" s="1"/>
  <c r="D148" i="16"/>
  <c r="E148" i="16" s="1"/>
  <c r="F148" i="16" s="1"/>
  <c r="G148" i="16" s="1"/>
  <c r="D147" i="16"/>
  <c r="E147" i="16" s="1"/>
  <c r="F147" i="16" s="1"/>
  <c r="G147" i="16" s="1"/>
  <c r="D146" i="16"/>
  <c r="E146" i="16" s="1"/>
  <c r="F146" i="16" s="1"/>
  <c r="G146" i="16" s="1"/>
  <c r="D145" i="16"/>
  <c r="E145" i="16" s="1"/>
  <c r="F145" i="16" s="1"/>
  <c r="G145" i="16" s="1"/>
  <c r="D144" i="16"/>
  <c r="E144" i="16" s="1"/>
  <c r="F144" i="16" s="1"/>
  <c r="G144" i="16" s="1"/>
  <c r="D143" i="16"/>
  <c r="E143" i="16" s="1"/>
  <c r="F143" i="16" s="1"/>
  <c r="G143" i="16" s="1"/>
  <c r="D142" i="16"/>
  <c r="E142" i="16" s="1"/>
  <c r="G142" i="16" s="1"/>
  <c r="D141" i="16"/>
  <c r="E141" i="16" s="1"/>
  <c r="F141" i="16" s="1"/>
  <c r="G141" i="16" s="1"/>
  <c r="D140" i="16"/>
  <c r="E140" i="16" s="1"/>
  <c r="F140" i="16" s="1"/>
  <c r="G140" i="16" s="1"/>
  <c r="D139" i="16"/>
  <c r="E139" i="16" s="1"/>
  <c r="F139" i="16" s="1"/>
  <c r="G139" i="16" s="1"/>
  <c r="D138" i="16"/>
  <c r="E138" i="16" s="1"/>
  <c r="F138" i="16" s="1"/>
  <c r="G138" i="16" s="1"/>
  <c r="D137" i="16"/>
  <c r="E137" i="16" s="1"/>
  <c r="F137" i="16" s="1"/>
  <c r="G137" i="16" s="1"/>
  <c r="D136" i="16"/>
  <c r="E136" i="16" s="1"/>
  <c r="F136" i="16" s="1"/>
  <c r="G136" i="16" s="1"/>
  <c r="D135" i="16"/>
  <c r="E135" i="16" s="1"/>
  <c r="F135" i="16" s="1"/>
  <c r="G135" i="16" s="1"/>
  <c r="D134" i="16"/>
  <c r="E134" i="16" s="1"/>
  <c r="F134" i="16" s="1"/>
  <c r="G134" i="16" s="1"/>
  <c r="D133" i="16"/>
  <c r="E133" i="16" s="1"/>
  <c r="F133" i="16" s="1"/>
  <c r="G133" i="16" s="1"/>
  <c r="D132" i="16"/>
  <c r="E132" i="16" s="1"/>
  <c r="G132" i="16" s="1"/>
  <c r="D131" i="16"/>
  <c r="E131" i="16" s="1"/>
  <c r="F131" i="16" s="1"/>
  <c r="G131" i="16" s="1"/>
  <c r="D130" i="16"/>
  <c r="E130" i="16" s="1"/>
  <c r="F130" i="16" s="1"/>
  <c r="G130" i="16" s="1"/>
  <c r="D129" i="16"/>
  <c r="E129" i="16" s="1"/>
  <c r="F129" i="16" s="1"/>
  <c r="G129" i="16" s="1"/>
  <c r="D128" i="16"/>
  <c r="E128" i="16" s="1"/>
  <c r="F128" i="16" s="1"/>
  <c r="G128" i="16" s="1"/>
  <c r="D127" i="16"/>
  <c r="E127" i="16" s="1"/>
  <c r="F127" i="16" s="1"/>
  <c r="G127" i="16" s="1"/>
  <c r="D126" i="16"/>
  <c r="E126" i="16" s="1"/>
  <c r="F126" i="16" s="1"/>
  <c r="G126" i="16" s="1"/>
  <c r="D125" i="16"/>
  <c r="E125" i="16" s="1"/>
  <c r="F125" i="16" s="1"/>
  <c r="G125" i="16" s="1"/>
  <c r="D124" i="16"/>
  <c r="E124" i="16" s="1"/>
  <c r="F124" i="16" s="1"/>
  <c r="G124" i="16" s="1"/>
  <c r="D123" i="16"/>
  <c r="E123" i="16" s="1"/>
  <c r="F123" i="16" s="1"/>
  <c r="G123" i="16" s="1"/>
  <c r="D122" i="16"/>
  <c r="E122" i="16" s="1"/>
  <c r="F122" i="16" s="1"/>
  <c r="G122" i="16" s="1"/>
  <c r="D121" i="16"/>
  <c r="E121" i="16" s="1"/>
  <c r="G121" i="16" s="1"/>
  <c r="D120" i="16"/>
  <c r="E120" i="16" s="1"/>
  <c r="F120" i="16" s="1"/>
  <c r="G120" i="16" s="1"/>
  <c r="D119" i="16"/>
  <c r="E119" i="16" s="1"/>
  <c r="G119" i="16" s="1"/>
  <c r="D118" i="16"/>
  <c r="E118" i="16" s="1"/>
  <c r="F118" i="16" s="1"/>
  <c r="G118" i="16" s="1"/>
  <c r="D117" i="16"/>
  <c r="E117" i="16" s="1"/>
  <c r="F117" i="16" s="1"/>
  <c r="G117" i="16" s="1"/>
  <c r="D116" i="16"/>
  <c r="E116" i="16" s="1"/>
  <c r="F116" i="16" s="1"/>
  <c r="G116" i="16" s="1"/>
  <c r="D115" i="16"/>
  <c r="E115" i="16" s="1"/>
  <c r="F115" i="16" s="1"/>
  <c r="G115" i="16" s="1"/>
  <c r="D114" i="16"/>
  <c r="E114" i="16" s="1"/>
  <c r="F114" i="16" s="1"/>
  <c r="G114" i="16" s="1"/>
  <c r="D113" i="16"/>
  <c r="E113" i="16" s="1"/>
  <c r="F113" i="16" s="1"/>
  <c r="G113" i="16" s="1"/>
  <c r="D112" i="16"/>
  <c r="E112" i="16" s="1"/>
  <c r="F112" i="16" s="1"/>
  <c r="G112" i="16" s="1"/>
  <c r="D111" i="16"/>
  <c r="E111" i="16" s="1"/>
  <c r="F111" i="16" s="1"/>
  <c r="G111" i="16" s="1"/>
  <c r="D110" i="16"/>
  <c r="E110" i="16" s="1"/>
  <c r="F110" i="16" s="1"/>
  <c r="G110" i="16" s="1"/>
  <c r="D109" i="16"/>
  <c r="E109" i="16" s="1"/>
  <c r="F109" i="16" s="1"/>
  <c r="G109" i="16" s="1"/>
  <c r="D108" i="16"/>
  <c r="E108" i="16" s="1"/>
  <c r="F108" i="16" s="1"/>
  <c r="G108" i="16" s="1"/>
  <c r="D107" i="16"/>
  <c r="E107" i="16" s="1"/>
  <c r="F107" i="16" s="1"/>
  <c r="G107" i="16" s="1"/>
  <c r="D106" i="16"/>
  <c r="E106" i="16" s="1"/>
  <c r="F106" i="16" s="1"/>
  <c r="G106" i="16" s="1"/>
  <c r="D105" i="16"/>
  <c r="E105" i="16" s="1"/>
  <c r="F105" i="16" s="1"/>
  <c r="G105" i="16" s="1"/>
  <c r="D104" i="16"/>
  <c r="E104" i="16" s="1"/>
  <c r="F104" i="16" s="1"/>
  <c r="G104" i="16" s="1"/>
  <c r="D103" i="16"/>
  <c r="E103" i="16" s="1"/>
  <c r="F103" i="16" s="1"/>
  <c r="G103" i="16" s="1"/>
  <c r="D102" i="16"/>
  <c r="E102" i="16" s="1"/>
  <c r="F102" i="16" s="1"/>
  <c r="G102" i="16" s="1"/>
  <c r="D101" i="16"/>
  <c r="E101" i="16" s="1"/>
  <c r="F101" i="16" s="1"/>
  <c r="G101" i="16" s="1"/>
  <c r="D100" i="16"/>
  <c r="E100" i="16" s="1"/>
  <c r="F100" i="16" s="1"/>
  <c r="G100" i="16" s="1"/>
  <c r="D99" i="16"/>
  <c r="E99" i="16" s="1"/>
  <c r="F99" i="16" s="1"/>
  <c r="G99" i="16" s="1"/>
  <c r="D98" i="16"/>
  <c r="E98" i="16" s="1"/>
  <c r="F98" i="16" s="1"/>
  <c r="G98" i="16" s="1"/>
  <c r="D97" i="16"/>
  <c r="E97" i="16" s="1"/>
  <c r="F97" i="16" s="1"/>
  <c r="G97" i="16" s="1"/>
  <c r="D96" i="16"/>
  <c r="E96" i="16" s="1"/>
  <c r="F96" i="16" s="1"/>
  <c r="G96" i="16" s="1"/>
  <c r="D95" i="16"/>
  <c r="E95" i="16" s="1"/>
  <c r="F95" i="16" s="1"/>
  <c r="G95" i="16" s="1"/>
  <c r="D94" i="16"/>
  <c r="E94" i="16" s="1"/>
  <c r="F94" i="16" s="1"/>
  <c r="G94" i="16" s="1"/>
  <c r="D93" i="16"/>
  <c r="E93" i="16" s="1"/>
  <c r="F93" i="16" s="1"/>
  <c r="G93" i="16" s="1"/>
  <c r="D92" i="16"/>
  <c r="E92" i="16" s="1"/>
  <c r="F92" i="16" s="1"/>
  <c r="G92" i="16" s="1"/>
  <c r="D91" i="16"/>
  <c r="E91" i="16" s="1"/>
  <c r="F91" i="16" s="1"/>
  <c r="G91" i="16" s="1"/>
  <c r="D90" i="16"/>
  <c r="E90" i="16" s="1"/>
  <c r="F90" i="16" s="1"/>
  <c r="G90" i="16" s="1"/>
  <c r="D89" i="16"/>
  <c r="E89" i="16" s="1"/>
  <c r="F89" i="16" s="1"/>
  <c r="G89" i="16" s="1"/>
  <c r="D88" i="16"/>
  <c r="E88" i="16" s="1"/>
  <c r="F88" i="16" s="1"/>
  <c r="G88" i="16" s="1"/>
  <c r="D87" i="16"/>
  <c r="E87" i="16" s="1"/>
  <c r="F87" i="16" s="1"/>
  <c r="G87" i="16" s="1"/>
  <c r="D86" i="16"/>
  <c r="E86" i="16" s="1"/>
  <c r="F86" i="16" s="1"/>
  <c r="G86" i="16" s="1"/>
  <c r="D85" i="16"/>
  <c r="E85" i="16" s="1"/>
  <c r="F85" i="16" s="1"/>
  <c r="G85" i="16" s="1"/>
  <c r="D84" i="16"/>
  <c r="E84" i="16" s="1"/>
  <c r="F84" i="16" s="1"/>
  <c r="G84" i="16" s="1"/>
  <c r="D83" i="16"/>
  <c r="E83" i="16" s="1"/>
  <c r="F83" i="16" s="1"/>
  <c r="G83" i="16" s="1"/>
  <c r="D82" i="16"/>
  <c r="E82" i="16" s="1"/>
  <c r="F82" i="16" s="1"/>
  <c r="G82" i="16" s="1"/>
  <c r="D81" i="16"/>
  <c r="E81" i="16" s="1"/>
  <c r="F81" i="16" s="1"/>
  <c r="G81" i="16" s="1"/>
  <c r="D80" i="16"/>
  <c r="E80" i="16" s="1"/>
  <c r="F80" i="16" s="1"/>
  <c r="G80" i="16" s="1"/>
  <c r="D79" i="16"/>
  <c r="E79" i="16" s="1"/>
  <c r="F79" i="16" s="1"/>
  <c r="G79" i="16" s="1"/>
  <c r="D78" i="16"/>
  <c r="E78" i="16" s="1"/>
  <c r="F78" i="16" s="1"/>
  <c r="G78" i="16" s="1"/>
  <c r="D77" i="16"/>
  <c r="E77" i="16" s="1"/>
  <c r="F77" i="16" s="1"/>
  <c r="G77" i="16" s="1"/>
  <c r="D76" i="16"/>
  <c r="E76" i="16" s="1"/>
  <c r="F76" i="16" s="1"/>
  <c r="G76" i="16" s="1"/>
  <c r="D75" i="16"/>
  <c r="E75" i="16" s="1"/>
  <c r="F75" i="16" s="1"/>
  <c r="G75" i="16" s="1"/>
  <c r="D74" i="16"/>
  <c r="E74" i="16" s="1"/>
  <c r="F74" i="16" s="1"/>
  <c r="G74" i="16" s="1"/>
  <c r="D73" i="16"/>
  <c r="E73" i="16" s="1"/>
  <c r="F73" i="16" s="1"/>
  <c r="G73" i="16" s="1"/>
  <c r="D72" i="16"/>
  <c r="E72" i="16" s="1"/>
  <c r="F72" i="16" s="1"/>
  <c r="G72" i="16" s="1"/>
  <c r="D71" i="16"/>
  <c r="E71" i="16" s="1"/>
  <c r="F71" i="16" s="1"/>
  <c r="G71" i="16" s="1"/>
  <c r="D70" i="16"/>
  <c r="E70" i="16" s="1"/>
  <c r="F70" i="16" s="1"/>
  <c r="G70" i="16" s="1"/>
  <c r="D69" i="16"/>
  <c r="E69" i="16" s="1"/>
  <c r="F69" i="16" s="1"/>
  <c r="G69" i="16" s="1"/>
  <c r="D68" i="16"/>
  <c r="E68" i="16" s="1"/>
  <c r="F68" i="16" s="1"/>
  <c r="G68" i="16" s="1"/>
  <c r="D67" i="16"/>
  <c r="E67" i="16" s="1"/>
  <c r="F67" i="16" s="1"/>
  <c r="G67" i="16" s="1"/>
  <c r="D66" i="16"/>
  <c r="E66" i="16" s="1"/>
  <c r="F66" i="16" s="1"/>
  <c r="G66" i="16" s="1"/>
  <c r="D65" i="16"/>
  <c r="E65" i="16" s="1"/>
  <c r="F65" i="16" s="1"/>
  <c r="G65" i="16" s="1"/>
  <c r="D64" i="16"/>
  <c r="E64" i="16" s="1"/>
  <c r="F64" i="16" s="1"/>
  <c r="G64" i="16" s="1"/>
  <c r="D63" i="16"/>
  <c r="E63" i="16" s="1"/>
  <c r="F63" i="16" s="1"/>
  <c r="G63" i="16" s="1"/>
  <c r="D62" i="16"/>
  <c r="E62" i="16" s="1"/>
  <c r="F62" i="16" s="1"/>
  <c r="G62" i="16" s="1"/>
  <c r="D61" i="16"/>
  <c r="E61" i="16" s="1"/>
  <c r="F61" i="16" s="1"/>
  <c r="G61" i="16" s="1"/>
  <c r="D60" i="16"/>
  <c r="E60" i="16" s="1"/>
  <c r="F60" i="16" s="1"/>
  <c r="G60" i="16" s="1"/>
  <c r="D59" i="16"/>
  <c r="E59" i="16" s="1"/>
  <c r="F59" i="16" s="1"/>
  <c r="G59" i="16" s="1"/>
  <c r="D58" i="16"/>
  <c r="E58" i="16" s="1"/>
  <c r="F58" i="16" s="1"/>
  <c r="G58" i="16" s="1"/>
  <c r="D57" i="16"/>
  <c r="E57" i="16" s="1"/>
  <c r="F57" i="16" s="1"/>
  <c r="G57" i="16" s="1"/>
  <c r="D56" i="16"/>
  <c r="E56" i="16" s="1"/>
  <c r="F56" i="16" s="1"/>
  <c r="G56" i="16" s="1"/>
  <c r="D55" i="16"/>
  <c r="E55" i="16" s="1"/>
  <c r="F55" i="16" s="1"/>
  <c r="G55" i="16" s="1"/>
  <c r="D54" i="16"/>
  <c r="E54" i="16" s="1"/>
  <c r="F54" i="16" s="1"/>
  <c r="G54" i="16" s="1"/>
  <c r="D53" i="16"/>
  <c r="E53" i="16" s="1"/>
  <c r="F53" i="16" s="1"/>
  <c r="G53" i="16" s="1"/>
  <c r="D52" i="16"/>
  <c r="E52" i="16" s="1"/>
  <c r="F52" i="16" s="1"/>
  <c r="G52" i="16" s="1"/>
  <c r="D51" i="16"/>
  <c r="E51" i="16" s="1"/>
  <c r="F51" i="16" s="1"/>
  <c r="G51" i="16" s="1"/>
  <c r="D50" i="16"/>
  <c r="E50" i="16" s="1"/>
  <c r="F50" i="16" s="1"/>
  <c r="G50" i="16" s="1"/>
  <c r="D49" i="16"/>
  <c r="E49" i="16" s="1"/>
  <c r="F49" i="16" s="1"/>
  <c r="G49" i="16" s="1"/>
  <c r="D48" i="16"/>
  <c r="E48" i="16" s="1"/>
  <c r="F48" i="16" s="1"/>
  <c r="G48" i="16" s="1"/>
  <c r="D47" i="16"/>
  <c r="E47" i="16" s="1"/>
  <c r="F47" i="16" s="1"/>
  <c r="G47" i="16" s="1"/>
  <c r="D46" i="16"/>
  <c r="E46" i="16" s="1"/>
  <c r="F46" i="16" s="1"/>
  <c r="G46" i="16" s="1"/>
  <c r="D45" i="16"/>
  <c r="E45" i="16" s="1"/>
  <c r="F45" i="16" s="1"/>
  <c r="G45" i="16" s="1"/>
  <c r="D44" i="16"/>
  <c r="E44" i="16" s="1"/>
  <c r="F44" i="16" s="1"/>
  <c r="G44" i="16" s="1"/>
  <c r="D43" i="16"/>
  <c r="E43" i="16" s="1"/>
  <c r="F43" i="16" s="1"/>
  <c r="G43" i="16" s="1"/>
  <c r="D42" i="16"/>
  <c r="E42" i="16" s="1"/>
  <c r="F42" i="16" s="1"/>
  <c r="G42" i="16" s="1"/>
  <c r="D41" i="16"/>
  <c r="E41" i="16" s="1"/>
  <c r="F41" i="16" s="1"/>
  <c r="G41" i="16" s="1"/>
  <c r="D40" i="16"/>
  <c r="E40" i="16" s="1"/>
  <c r="F40" i="16" s="1"/>
  <c r="G40" i="16" s="1"/>
  <c r="D39" i="16"/>
  <c r="E39" i="16" s="1"/>
  <c r="F39" i="16" s="1"/>
  <c r="G39" i="16" s="1"/>
  <c r="D38" i="16"/>
  <c r="E38" i="16" s="1"/>
  <c r="F38" i="16" s="1"/>
  <c r="G38" i="16" s="1"/>
  <c r="D37" i="16"/>
  <c r="E37" i="16" s="1"/>
  <c r="F37" i="16" s="1"/>
  <c r="G37" i="16" s="1"/>
  <c r="D36" i="16"/>
  <c r="E36" i="16" s="1"/>
  <c r="F36" i="16" s="1"/>
  <c r="G36" i="16" s="1"/>
  <c r="D35" i="16"/>
  <c r="E35" i="16" s="1"/>
  <c r="F35" i="16" s="1"/>
  <c r="G35" i="16" s="1"/>
  <c r="D34" i="16"/>
  <c r="E34" i="16" s="1"/>
  <c r="F34" i="16" s="1"/>
  <c r="G34" i="16" s="1"/>
  <c r="D33" i="16"/>
  <c r="E33" i="16" s="1"/>
  <c r="F33" i="16" s="1"/>
  <c r="G33" i="16" s="1"/>
  <c r="D32" i="16"/>
  <c r="E32" i="16" s="1"/>
  <c r="F32" i="16" s="1"/>
  <c r="G32" i="16" s="1"/>
  <c r="D31" i="16"/>
  <c r="E31" i="16" s="1"/>
  <c r="F31" i="16" s="1"/>
  <c r="G31" i="16" s="1"/>
  <c r="D30" i="16"/>
  <c r="E30" i="16" s="1"/>
  <c r="F30" i="16" s="1"/>
  <c r="G30" i="16" s="1"/>
  <c r="D29" i="16"/>
  <c r="E29" i="16" s="1"/>
  <c r="F29" i="16" s="1"/>
  <c r="G29" i="16" s="1"/>
  <c r="D28" i="16"/>
  <c r="E28" i="16" s="1"/>
  <c r="F28" i="16" s="1"/>
  <c r="G28" i="16" s="1"/>
  <c r="D27" i="16"/>
  <c r="E27" i="16" s="1"/>
  <c r="F27" i="16" s="1"/>
  <c r="G27" i="16" s="1"/>
  <c r="D26" i="16"/>
  <c r="E26" i="16" s="1"/>
  <c r="F26" i="16" s="1"/>
  <c r="G26" i="16" s="1"/>
  <c r="D25" i="16"/>
  <c r="E25" i="16" s="1"/>
  <c r="F25" i="16" s="1"/>
  <c r="G25" i="16" s="1"/>
  <c r="D24" i="16"/>
  <c r="E24" i="16" s="1"/>
  <c r="F24" i="16" s="1"/>
  <c r="G24" i="16" s="1"/>
  <c r="D23" i="16"/>
  <c r="E23" i="16" s="1"/>
  <c r="F23" i="16" s="1"/>
  <c r="G23" i="16" s="1"/>
  <c r="D22" i="16"/>
  <c r="E22" i="16" s="1"/>
  <c r="I160" i="9" l="1"/>
  <c r="H160" i="9"/>
  <c r="H137" i="9"/>
  <c r="I137" i="9"/>
  <c r="H112" i="9"/>
  <c r="I112" i="9"/>
  <c r="F22" i="16"/>
  <c r="G22" i="16" s="1"/>
  <c r="F7" i="16" s="1"/>
  <c r="F4" i="16"/>
  <c r="F3" i="16"/>
  <c r="F2" i="16"/>
  <c r="F498" i="16"/>
  <c r="G498" i="16" s="1"/>
  <c r="F500" i="16"/>
  <c r="G500" i="16" s="1"/>
  <c r="F508" i="16"/>
  <c r="G508" i="16" s="1"/>
  <c r="F1212" i="16"/>
  <c r="G1212" i="16" s="1"/>
  <c r="F499" i="16"/>
  <c r="G499" i="16" s="1"/>
  <c r="F1211" i="16"/>
  <c r="G1211" i="16" s="1"/>
  <c r="F501" i="16"/>
  <c r="G501" i="16" s="1"/>
  <c r="F509" i="16"/>
  <c r="G509" i="16" s="1"/>
  <c r="F1213" i="16"/>
  <c r="G1213" i="16" s="1"/>
  <c r="F502" i="16"/>
  <c r="G502" i="16" s="1"/>
  <c r="F510" i="16"/>
  <c r="G510" i="16" s="1"/>
  <c r="F514" i="16"/>
  <c r="G514" i="16" s="1"/>
  <c r="F503" i="16"/>
  <c r="G503" i="16" s="1"/>
  <c r="F511" i="16"/>
  <c r="G511" i="16" s="1"/>
  <c r="F847" i="16"/>
  <c r="G847" i="16" s="1"/>
  <c r="F504" i="16"/>
  <c r="G504" i="16" s="1"/>
  <c r="F512" i="16"/>
  <c r="G512" i="16" s="1"/>
  <c r="F848" i="16"/>
  <c r="G848" i="16" s="1"/>
  <c r="F506" i="16"/>
  <c r="G506" i="16" s="1"/>
  <c r="F515" i="16"/>
  <c r="G515" i="16" s="1"/>
  <c r="F505" i="16"/>
  <c r="G505" i="16" s="1"/>
  <c r="F513" i="16"/>
  <c r="G513" i="16" s="1"/>
  <c r="F849" i="16"/>
  <c r="G849" i="16" s="1"/>
  <c r="F574" i="16"/>
  <c r="G574" i="16" s="1"/>
  <c r="D15" i="2"/>
  <c r="I3" i="28" s="1"/>
  <c r="E6" i="28" s="1"/>
  <c r="E24" i="28" l="1"/>
  <c r="E23" i="28"/>
  <c r="E11" i="28"/>
  <c r="E19" i="28"/>
  <c r="E12" i="28"/>
  <c r="E20" i="28"/>
  <c r="E13" i="28"/>
  <c r="E21" i="28"/>
  <c r="E14" i="28"/>
  <c r="E22" i="28"/>
  <c r="E7" i="28"/>
  <c r="E15" i="28"/>
  <c r="E25" i="28"/>
  <c r="E8" i="28"/>
  <c r="E16" i="28"/>
  <c r="E5" i="28"/>
  <c r="E18" i="28"/>
  <c r="E9" i="28"/>
  <c r="E17" i="28"/>
  <c r="E10" i="28"/>
  <c r="H161" i="9"/>
  <c r="I161" i="9"/>
  <c r="I138" i="9"/>
  <c r="H138" i="9"/>
  <c r="I113" i="9"/>
  <c r="H113" i="9"/>
  <c r="F10" i="16"/>
  <c r="I162" i="9" l="1"/>
  <c r="H162" i="9"/>
  <c r="I139" i="9"/>
  <c r="H139" i="9"/>
  <c r="I114" i="9"/>
  <c r="H114" i="9"/>
  <c r="F5" i="16"/>
  <c r="F16" i="16"/>
  <c r="I163" i="9" l="1"/>
  <c r="H163" i="9"/>
  <c r="I140" i="9"/>
  <c r="H140" i="9"/>
  <c r="H115" i="9"/>
  <c r="I115" i="9"/>
  <c r="I164" i="9" l="1"/>
  <c r="H164" i="9"/>
  <c r="I141" i="9"/>
  <c r="H141" i="9"/>
  <c r="H116" i="9"/>
  <c r="I116" i="9"/>
  <c r="BR29" i="4"/>
  <c r="H165" i="9" l="1"/>
  <c r="I165" i="9"/>
  <c r="I142" i="9"/>
  <c r="H142" i="9"/>
  <c r="I117" i="9"/>
  <c r="H117" i="9"/>
  <c r="BN144" i="14"/>
  <c r="BM144" i="14"/>
  <c r="BL144" i="14"/>
  <c r="BK144" i="14"/>
  <c r="BJ144" i="14"/>
  <c r="BI144" i="14"/>
  <c r="BH144" i="14"/>
  <c r="BG144" i="14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B54" i="4"/>
  <c r="AB53" i="4"/>
  <c r="AB52" i="4"/>
  <c r="AB51" i="4"/>
  <c r="AB50" i="4"/>
  <c r="AB48" i="4"/>
  <c r="AB47" i="4"/>
  <c r="AB46" i="4"/>
  <c r="AB45" i="4"/>
  <c r="AB44" i="4"/>
  <c r="AB43" i="4"/>
  <c r="AB42" i="4"/>
  <c r="AB41" i="4"/>
  <c r="AB40" i="4"/>
  <c r="AB39" i="4"/>
  <c r="AB37" i="4"/>
  <c r="AB36" i="4"/>
  <c r="AB33" i="4"/>
  <c r="AB32" i="4"/>
  <c r="AC45" i="4" l="1"/>
  <c r="AC37" i="4"/>
  <c r="AC46" i="4"/>
  <c r="AC39" i="4"/>
  <c r="AC47" i="4"/>
  <c r="AC36" i="4"/>
  <c r="AC40" i="4"/>
  <c r="AC48" i="4"/>
  <c r="AC54" i="4"/>
  <c r="AC42" i="4"/>
  <c r="AC51" i="4"/>
  <c r="AC50" i="4"/>
  <c r="AC32" i="4"/>
  <c r="AC43" i="4"/>
  <c r="AC52" i="4"/>
  <c r="AC41" i="4"/>
  <c r="AC33" i="4"/>
  <c r="AC44" i="4"/>
  <c r="AC53" i="4"/>
  <c r="I166" i="9"/>
  <c r="H166" i="9"/>
  <c r="I143" i="9"/>
  <c r="H143" i="9"/>
  <c r="I118" i="9"/>
  <c r="H118" i="9"/>
  <c r="M1166" i="6"/>
  <c r="U984" i="6"/>
  <c r="U974" i="6"/>
  <c r="L31" i="2" l="1"/>
  <c r="I167" i="9"/>
  <c r="H167" i="9"/>
  <c r="I144" i="9"/>
  <c r="H144" i="9"/>
  <c r="H150" i="9" s="1"/>
  <c r="K150" i="9"/>
  <c r="I150" i="9" s="1"/>
  <c r="I119" i="9"/>
  <c r="H119" i="9"/>
  <c r="M944" i="6"/>
  <c r="U1437" i="6"/>
  <c r="U1436" i="6"/>
  <c r="U1439" i="6"/>
  <c r="U1438" i="6"/>
  <c r="U1435" i="6"/>
  <c r="N1414" i="6"/>
  <c r="AH75" i="18" l="1"/>
  <c r="BH75" i="18"/>
  <c r="AX75" i="18"/>
  <c r="AD75" i="18"/>
  <c r="AO75" i="18"/>
  <c r="BP75" i="18"/>
  <c r="BA75" i="18"/>
  <c r="AE75" i="18"/>
  <c r="BL75" i="18"/>
  <c r="AY75" i="18"/>
  <c r="BN75" i="18"/>
  <c r="AT75" i="18"/>
  <c r="H75" i="18"/>
  <c r="J75" i="18"/>
  <c r="Q75" i="18"/>
  <c r="AU75" i="18"/>
  <c r="K75" i="18"/>
  <c r="S75" i="18"/>
  <c r="AC75" i="18"/>
  <c r="G75" i="18"/>
  <c r="AN75" i="18"/>
  <c r="AP75" i="18"/>
  <c r="F75" i="18"/>
  <c r="Y75" i="18"/>
  <c r="AR75" i="18"/>
  <c r="AQ75" i="18"/>
  <c r="W75" i="18"/>
  <c r="BD75" i="18"/>
  <c r="BF75" i="18"/>
  <c r="V75" i="18"/>
  <c r="BM75" i="18"/>
  <c r="AB75" i="18"/>
  <c r="AS75" i="18"/>
  <c r="R75" i="18"/>
  <c r="AG75" i="18"/>
  <c r="BC75" i="18"/>
  <c r="AJ75" i="18"/>
  <c r="U75" i="18"/>
  <c r="BB75" i="18"/>
  <c r="AF75" i="18"/>
  <c r="AI75" i="18"/>
  <c r="N75" i="18"/>
  <c r="I75" i="18"/>
  <c r="AZ75" i="18"/>
  <c r="AK75" i="18"/>
  <c r="O75" i="18"/>
  <c r="AV75" i="18"/>
  <c r="BO75" i="18"/>
  <c r="BI75" i="18"/>
  <c r="AL75" i="18"/>
  <c r="BJ75" i="18"/>
  <c r="BK75" i="18"/>
  <c r="P75" i="18"/>
  <c r="L75" i="18"/>
  <c r="BE75" i="18"/>
  <c r="AM75" i="18"/>
  <c r="X75" i="18"/>
  <c r="AA75" i="18"/>
  <c r="M75" i="18"/>
  <c r="T75" i="18"/>
  <c r="BG75" i="18"/>
  <c r="Z75" i="18"/>
  <c r="E75" i="18"/>
  <c r="AW75" i="18"/>
  <c r="I168" i="9"/>
  <c r="H168" i="9"/>
  <c r="H174" i="9" s="1"/>
  <c r="K174" i="9"/>
  <c r="I174" i="9" s="1"/>
  <c r="I120" i="9"/>
  <c r="H120" i="9"/>
  <c r="H126" i="9" s="1"/>
  <c r="H176" i="9" l="1"/>
  <c r="K176" i="9"/>
  <c r="I126" i="9"/>
  <c r="L32" i="2" l="1"/>
  <c r="L33" i="2"/>
  <c r="K177" i="9"/>
  <c r="I176" i="9"/>
  <c r="L34" i="2" l="1"/>
  <c r="AC37" i="18"/>
  <c r="BM37" i="18"/>
  <c r="AI37" i="18"/>
  <c r="AS37" i="18"/>
  <c r="K37" i="18"/>
  <c r="M37" i="18"/>
  <c r="AF37" i="18"/>
  <c r="E37" i="18"/>
  <c r="AD37" i="18"/>
  <c r="N37" i="18"/>
  <c r="BE37" i="18"/>
  <c r="AZ37" i="18"/>
  <c r="AE37" i="18"/>
  <c r="AW37" i="18"/>
  <c r="BI37" i="18"/>
  <c r="AB37" i="18"/>
  <c r="BL37" i="18"/>
  <c r="J37" i="18"/>
  <c r="BO37" i="18"/>
  <c r="BH37" i="18"/>
  <c r="AT37" i="18"/>
  <c r="AO37" i="18"/>
  <c r="AM37" i="18"/>
  <c r="F37" i="18"/>
  <c r="BF37" i="18"/>
  <c r="G37" i="18"/>
  <c r="H37" i="18"/>
  <c r="R37" i="18"/>
  <c r="AG37" i="18"/>
  <c r="BP37" i="18"/>
  <c r="BB37" i="18"/>
  <c r="W37" i="18"/>
  <c r="AP37" i="18"/>
  <c r="BG37" i="18"/>
  <c r="AU37" i="18"/>
  <c r="BA37" i="18"/>
  <c r="S37" i="18"/>
  <c r="U37" i="18"/>
  <c r="P37" i="18"/>
  <c r="Z37" i="18"/>
  <c r="L37" i="18"/>
  <c r="Y37" i="18"/>
  <c r="BJ37" i="18"/>
  <c r="AN37" i="18"/>
  <c r="AH37" i="18"/>
  <c r="AX37" i="18"/>
  <c r="V37" i="18"/>
  <c r="Q37" i="18"/>
  <c r="I37" i="18"/>
  <c r="AQ37" i="18"/>
  <c r="O37" i="18"/>
  <c r="T37" i="18"/>
  <c r="BK37" i="18"/>
  <c r="AV37" i="18"/>
  <c r="AY37" i="18"/>
  <c r="AR37" i="18"/>
  <c r="BN37" i="18"/>
  <c r="BD37" i="18"/>
  <c r="AL37" i="18"/>
  <c r="BC37" i="18"/>
  <c r="AA37" i="18"/>
  <c r="AK37" i="18"/>
  <c r="X37" i="18"/>
  <c r="AJ37" i="18"/>
  <c r="AI76" i="18"/>
  <c r="AJ76" i="18"/>
  <c r="H76" i="18"/>
  <c r="BB76" i="18"/>
  <c r="BC76" i="18"/>
  <c r="AK76" i="18"/>
  <c r="AE76" i="18"/>
  <c r="AT76" i="18"/>
  <c r="Z76" i="18"/>
  <c r="AG76" i="18"/>
  <c r="Y76" i="18"/>
  <c r="E76" i="18"/>
  <c r="BN76" i="18"/>
  <c r="AQ76" i="18"/>
  <c r="AF76" i="18"/>
  <c r="BA76" i="18"/>
  <c r="AN76" i="18"/>
  <c r="AC76" i="18"/>
  <c r="S76" i="18"/>
  <c r="F76" i="18"/>
  <c r="BM76" i="18"/>
  <c r="U76" i="18"/>
  <c r="J76" i="18"/>
  <c r="X76" i="18"/>
  <c r="BJ76" i="18"/>
  <c r="M76" i="18"/>
  <c r="BG76" i="18"/>
  <c r="AL76" i="18"/>
  <c r="BP76" i="18"/>
  <c r="BF76" i="18"/>
  <c r="AB76" i="18"/>
  <c r="BO76" i="18"/>
  <c r="AO76" i="18"/>
  <c r="AD76" i="18"/>
  <c r="AX76" i="18"/>
  <c r="Q76" i="18"/>
  <c r="P76" i="18"/>
  <c r="AA76" i="18"/>
  <c r="I76" i="18"/>
  <c r="N76" i="18"/>
  <c r="AH76" i="18"/>
  <c r="AZ76" i="18"/>
  <c r="AP76" i="18"/>
  <c r="AV76" i="18"/>
  <c r="O76" i="18"/>
  <c r="K76" i="18"/>
  <c r="AM76" i="18"/>
  <c r="BI76" i="18"/>
  <c r="AW76" i="18"/>
  <c r="T76" i="18"/>
  <c r="AR76" i="18"/>
  <c r="V76" i="18"/>
  <c r="BL76" i="18"/>
  <c r="AU76" i="18"/>
  <c r="BD76" i="18"/>
  <c r="BK76" i="18"/>
  <c r="R76" i="18"/>
  <c r="L76" i="18"/>
  <c r="AY76" i="18"/>
  <c r="BH76" i="18"/>
  <c r="AS76" i="18"/>
  <c r="G76" i="18"/>
  <c r="BE76" i="18"/>
  <c r="W76" i="18"/>
  <c r="L177" i="9"/>
  <c r="M177" i="9" s="1"/>
  <c r="N177" i="9" s="1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E747" i="11"/>
  <c r="N1283" i="6" s="1"/>
  <c r="D747" i="11"/>
  <c r="L1283" i="6" s="1"/>
  <c r="E746" i="11"/>
  <c r="N1282" i="6" s="1"/>
  <c r="D746" i="11"/>
  <c r="L1282" i="6" s="1"/>
  <c r="E745" i="11"/>
  <c r="N1281" i="6" s="1"/>
  <c r="D745" i="11"/>
  <c r="L1281" i="6" s="1"/>
  <c r="E744" i="11"/>
  <c r="N1280" i="6" s="1"/>
  <c r="D744" i="11"/>
  <c r="L1280" i="6" s="1"/>
  <c r="E743" i="11"/>
  <c r="N1279" i="6" s="1"/>
  <c r="D743" i="11"/>
  <c r="L1279" i="6" s="1"/>
  <c r="E742" i="11"/>
  <c r="N1278" i="6" s="1"/>
  <c r="D742" i="11"/>
  <c r="L1278" i="6" s="1"/>
  <c r="E741" i="11"/>
  <c r="N1277" i="6" s="1"/>
  <c r="D741" i="11"/>
  <c r="L1277" i="6" s="1"/>
  <c r="E740" i="11"/>
  <c r="N1276" i="6" s="1"/>
  <c r="D740" i="11"/>
  <c r="L1276" i="6" s="1"/>
  <c r="E739" i="11"/>
  <c r="N1275" i="6" s="1"/>
  <c r="D739" i="11"/>
  <c r="L1275" i="6" s="1"/>
  <c r="E738" i="11"/>
  <c r="N1274" i="6" s="1"/>
  <c r="D738" i="11"/>
  <c r="L1274" i="6" s="1"/>
  <c r="E737" i="11"/>
  <c r="N1273" i="6" s="1"/>
  <c r="D737" i="11"/>
  <c r="L1273" i="6" s="1"/>
  <c r="E736" i="11"/>
  <c r="N1272" i="6" s="1"/>
  <c r="D736" i="11"/>
  <c r="L1272" i="6" s="1"/>
  <c r="L1341" i="6" l="1"/>
  <c r="J1316" i="6"/>
  <c r="J1487" i="6"/>
  <c r="J1347" i="6"/>
  <c r="J1518" i="6"/>
  <c r="J1353" i="6"/>
  <c r="J1524" i="6"/>
  <c r="J1321" i="6"/>
  <c r="J1492" i="6"/>
  <c r="L1335" i="6"/>
  <c r="L1339" i="6"/>
  <c r="L1343" i="6"/>
  <c r="J1368" i="6"/>
  <c r="J1539" i="6"/>
  <c r="J1360" i="6"/>
  <c r="J1531" i="6"/>
  <c r="J1352" i="6"/>
  <c r="J1523" i="6"/>
  <c r="J1344" i="6"/>
  <c r="J1515" i="6"/>
  <c r="J1336" i="6"/>
  <c r="J1507" i="6"/>
  <c r="J1328" i="6"/>
  <c r="J1499" i="6"/>
  <c r="J1320" i="6"/>
  <c r="J1491" i="6"/>
  <c r="J1312" i="6"/>
  <c r="J1483" i="6"/>
  <c r="L1345" i="6"/>
  <c r="J1340" i="6"/>
  <c r="J1511" i="6"/>
  <c r="J1339" i="6"/>
  <c r="J1510" i="6"/>
  <c r="J1345" i="6"/>
  <c r="J1516" i="6"/>
  <c r="J1313" i="6"/>
  <c r="J1484" i="6"/>
  <c r="J1367" i="6"/>
  <c r="J1538" i="6"/>
  <c r="J1359" i="6"/>
  <c r="J1530" i="6"/>
  <c r="J1351" i="6"/>
  <c r="J1522" i="6"/>
  <c r="J1343" i="6"/>
  <c r="J1514" i="6"/>
  <c r="J1335" i="6"/>
  <c r="J1506" i="6"/>
  <c r="J1327" i="6"/>
  <c r="J1498" i="6"/>
  <c r="J1319" i="6"/>
  <c r="J1490" i="6"/>
  <c r="J1364" i="6"/>
  <c r="J1535" i="6"/>
  <c r="J1324" i="6"/>
  <c r="J1495" i="6"/>
  <c r="J1355" i="6"/>
  <c r="J1526" i="6"/>
  <c r="J1361" i="6"/>
  <c r="J1532" i="6"/>
  <c r="J1329" i="6"/>
  <c r="J1500" i="6"/>
  <c r="L1336" i="6"/>
  <c r="L1340" i="6"/>
  <c r="L1344" i="6"/>
  <c r="J1366" i="6"/>
  <c r="J1537" i="6"/>
  <c r="J1358" i="6"/>
  <c r="J1529" i="6"/>
  <c r="J1350" i="6"/>
  <c r="J1521" i="6"/>
  <c r="J1342" i="6"/>
  <c r="J1513" i="6"/>
  <c r="J1334" i="6"/>
  <c r="J1505" i="6"/>
  <c r="J1326" i="6"/>
  <c r="J1497" i="6"/>
  <c r="J1318" i="6"/>
  <c r="J1489" i="6"/>
  <c r="J1348" i="6"/>
  <c r="J1519" i="6"/>
  <c r="J1369" i="6"/>
  <c r="J1540" i="6"/>
  <c r="J1337" i="6"/>
  <c r="J1508" i="6"/>
  <c r="J1365" i="6"/>
  <c r="J1536" i="6"/>
  <c r="J1357" i="6"/>
  <c r="J1528" i="6"/>
  <c r="J1349" i="6"/>
  <c r="J1520" i="6"/>
  <c r="J1341" i="6"/>
  <c r="J1512" i="6"/>
  <c r="J1333" i="6"/>
  <c r="J1504" i="6"/>
  <c r="J1325" i="6"/>
  <c r="J1496" i="6"/>
  <c r="J1317" i="6"/>
  <c r="J1488" i="6"/>
  <c r="L1337" i="6"/>
  <c r="J1356" i="6"/>
  <c r="J1527" i="6"/>
  <c r="J1332" i="6"/>
  <c r="J1503" i="6"/>
  <c r="J1363" i="6"/>
  <c r="J1534" i="6"/>
  <c r="J1331" i="6"/>
  <c r="J1502" i="6"/>
  <c r="J1323" i="6"/>
  <c r="J1494" i="6"/>
  <c r="J1315" i="6"/>
  <c r="J1486" i="6"/>
  <c r="L1334" i="6"/>
  <c r="L1338" i="6"/>
  <c r="L1342" i="6"/>
  <c r="J1370" i="6"/>
  <c r="J1541" i="6"/>
  <c r="J1362" i="6"/>
  <c r="J1533" i="6"/>
  <c r="J1354" i="6"/>
  <c r="J1525" i="6"/>
  <c r="J1346" i="6"/>
  <c r="J1517" i="6"/>
  <c r="J1338" i="6"/>
  <c r="J1509" i="6"/>
  <c r="J1330" i="6"/>
  <c r="J1501" i="6"/>
  <c r="J1322" i="6"/>
  <c r="J1493" i="6"/>
  <c r="J1314" i="6"/>
  <c r="J1485" i="6"/>
  <c r="M834" i="6"/>
  <c r="S1412" i="6"/>
  <c r="S1411" i="6"/>
  <c r="N1413" i="6"/>
  <c r="N1412" i="6"/>
  <c r="N1411" i="6"/>
  <c r="U788" i="6"/>
  <c r="U787" i="6"/>
  <c r="U786" i="6"/>
  <c r="U785" i="6"/>
  <c r="U784" i="6"/>
  <c r="U783" i="6"/>
  <c r="H760" i="9"/>
  <c r="E756" i="11" l="1"/>
  <c r="N1292" i="6" s="1"/>
  <c r="BN773" i="11"/>
  <c r="BM773" i="11"/>
  <c r="BL773" i="11"/>
  <c r="BK773" i="11"/>
  <c r="BJ773" i="11"/>
  <c r="BI773" i="11"/>
  <c r="BH773" i="11"/>
  <c r="BG773" i="11"/>
  <c r="BF773" i="11"/>
  <c r="BE773" i="11"/>
  <c r="BD773" i="11"/>
  <c r="BC773" i="11"/>
  <c r="BB773" i="11"/>
  <c r="BA773" i="11"/>
  <c r="AZ773" i="11"/>
  <c r="AY773" i="11"/>
  <c r="AX773" i="11"/>
  <c r="AW773" i="11"/>
  <c r="AV773" i="11"/>
  <c r="AU773" i="11"/>
  <c r="AT773" i="11"/>
  <c r="AS773" i="11"/>
  <c r="AR773" i="11"/>
  <c r="AQ773" i="11"/>
  <c r="AP773" i="11"/>
  <c r="AO773" i="11"/>
  <c r="AN773" i="11"/>
  <c r="AM773" i="11"/>
  <c r="AL773" i="11"/>
  <c r="AK773" i="11"/>
  <c r="AJ773" i="11"/>
  <c r="AI773" i="11"/>
  <c r="AH773" i="11"/>
  <c r="AG773" i="11"/>
  <c r="AF773" i="11"/>
  <c r="AE773" i="11"/>
  <c r="AD773" i="11"/>
  <c r="AC773" i="11"/>
  <c r="AB773" i="11"/>
  <c r="AA773" i="11"/>
  <c r="Z773" i="11"/>
  <c r="Y773" i="11"/>
  <c r="X773" i="11"/>
  <c r="W773" i="11"/>
  <c r="V773" i="11"/>
  <c r="U773" i="11"/>
  <c r="T773" i="11"/>
  <c r="S773" i="11"/>
  <c r="R773" i="11"/>
  <c r="Q773" i="11"/>
  <c r="P773" i="11"/>
  <c r="O773" i="11"/>
  <c r="N773" i="11"/>
  <c r="M773" i="11"/>
  <c r="L773" i="11"/>
  <c r="K773" i="11"/>
  <c r="J773" i="11"/>
  <c r="I773" i="11"/>
  <c r="H773" i="11"/>
  <c r="BN705" i="11"/>
  <c r="BM705" i="11"/>
  <c r="BL705" i="11"/>
  <c r="BK705" i="11"/>
  <c r="BJ705" i="11"/>
  <c r="BI705" i="11"/>
  <c r="BH705" i="11"/>
  <c r="BG705" i="11"/>
  <c r="BF705" i="11"/>
  <c r="BE705" i="11"/>
  <c r="BD705" i="11"/>
  <c r="BC705" i="11"/>
  <c r="BB705" i="11"/>
  <c r="BA705" i="11"/>
  <c r="AZ705" i="11"/>
  <c r="AY705" i="11"/>
  <c r="AX705" i="11"/>
  <c r="AW705" i="11"/>
  <c r="AV705" i="11"/>
  <c r="AU705" i="11"/>
  <c r="AT705" i="11"/>
  <c r="AS705" i="11"/>
  <c r="AR705" i="11"/>
  <c r="AQ705" i="11"/>
  <c r="AP705" i="11"/>
  <c r="AO705" i="11"/>
  <c r="AN705" i="11"/>
  <c r="AM705" i="11"/>
  <c r="AL705" i="11"/>
  <c r="AK705" i="11"/>
  <c r="AJ705" i="11"/>
  <c r="AI705" i="11"/>
  <c r="AH705" i="11"/>
  <c r="AG705" i="11"/>
  <c r="AF705" i="11"/>
  <c r="AE705" i="11"/>
  <c r="AD705" i="11"/>
  <c r="AC705" i="11"/>
  <c r="AB705" i="11"/>
  <c r="AA705" i="11"/>
  <c r="Z705" i="11"/>
  <c r="Y705" i="11"/>
  <c r="X705" i="11"/>
  <c r="W705" i="11"/>
  <c r="V705" i="11"/>
  <c r="U705" i="11"/>
  <c r="T705" i="11"/>
  <c r="S705" i="11"/>
  <c r="R705" i="11"/>
  <c r="Q705" i="11"/>
  <c r="P705" i="11"/>
  <c r="O705" i="11"/>
  <c r="N705" i="11"/>
  <c r="M705" i="11"/>
  <c r="L705" i="11"/>
  <c r="K705" i="11"/>
  <c r="J705" i="11"/>
  <c r="I705" i="11"/>
  <c r="H705" i="11"/>
  <c r="BM697" i="11"/>
  <c r="BL697" i="11"/>
  <c r="BK697" i="11"/>
  <c r="BJ697" i="11"/>
  <c r="BI697" i="11"/>
  <c r="BH697" i="11"/>
  <c r="BG697" i="11"/>
  <c r="BF697" i="11"/>
  <c r="BE697" i="11"/>
  <c r="BD697" i="11"/>
  <c r="BC697" i="11"/>
  <c r="BB697" i="11"/>
  <c r="BA697" i="11"/>
  <c r="AZ697" i="11"/>
  <c r="AY697" i="11"/>
  <c r="AX697" i="11"/>
  <c r="AW697" i="11"/>
  <c r="AV697" i="11"/>
  <c r="AU697" i="11"/>
  <c r="AT697" i="11"/>
  <c r="AS697" i="11"/>
  <c r="AR697" i="11"/>
  <c r="AQ697" i="11"/>
  <c r="AP697" i="11"/>
  <c r="AO697" i="11"/>
  <c r="EI849" i="9"/>
  <c r="EH849" i="9"/>
  <c r="EG849" i="9"/>
  <c r="EF849" i="9"/>
  <c r="EE849" i="9"/>
  <c r="ED849" i="9"/>
  <c r="EC849" i="9"/>
  <c r="EB849" i="9"/>
  <c r="EA849" i="9"/>
  <c r="DZ849" i="9"/>
  <c r="DY849" i="9"/>
  <c r="DX849" i="9"/>
  <c r="DW849" i="9"/>
  <c r="DV849" i="9"/>
  <c r="DU849" i="9"/>
  <c r="DT849" i="9"/>
  <c r="DS849" i="9"/>
  <c r="DR849" i="9"/>
  <c r="DQ849" i="9"/>
  <c r="DP849" i="9"/>
  <c r="DO849" i="9"/>
  <c r="DN849" i="9"/>
  <c r="DM849" i="9"/>
  <c r="DL849" i="9"/>
  <c r="DK849" i="9"/>
  <c r="DJ849" i="9"/>
  <c r="DI849" i="9"/>
  <c r="DH849" i="9"/>
  <c r="DG849" i="9"/>
  <c r="DF849" i="9"/>
  <c r="DE849" i="9"/>
  <c r="DD849" i="9"/>
  <c r="DC849" i="9"/>
  <c r="DB849" i="9"/>
  <c r="DA849" i="9"/>
  <c r="CZ849" i="9"/>
  <c r="CY849" i="9"/>
  <c r="CX849" i="9"/>
  <c r="CW849" i="9"/>
  <c r="CV849" i="9"/>
  <c r="CU849" i="9"/>
  <c r="CT849" i="9"/>
  <c r="CS849" i="9"/>
  <c r="CR849" i="9"/>
  <c r="CQ849" i="9"/>
  <c r="CP849" i="9"/>
  <c r="CO849" i="9"/>
  <c r="CN849" i="9"/>
  <c r="CM849" i="9"/>
  <c r="CL849" i="9"/>
  <c r="CK849" i="9"/>
  <c r="CJ849" i="9"/>
  <c r="CI849" i="9"/>
  <c r="CH849" i="9"/>
  <c r="CG849" i="9"/>
  <c r="CF849" i="9"/>
  <c r="CE849" i="9"/>
  <c r="CD849" i="9"/>
  <c r="CC849" i="9"/>
  <c r="CB849" i="9"/>
  <c r="EI848" i="9"/>
  <c r="EH848" i="9"/>
  <c r="EG848" i="9"/>
  <c r="EF848" i="9"/>
  <c r="EE848" i="9"/>
  <c r="ED848" i="9"/>
  <c r="EC848" i="9"/>
  <c r="EB848" i="9"/>
  <c r="EA848" i="9"/>
  <c r="DZ848" i="9"/>
  <c r="DY848" i="9"/>
  <c r="DX848" i="9"/>
  <c r="DW848" i="9"/>
  <c r="DV848" i="9"/>
  <c r="DU848" i="9"/>
  <c r="DT848" i="9"/>
  <c r="DS848" i="9"/>
  <c r="DR848" i="9"/>
  <c r="DQ848" i="9"/>
  <c r="DP848" i="9"/>
  <c r="DO848" i="9"/>
  <c r="DN848" i="9"/>
  <c r="DM848" i="9"/>
  <c r="DL848" i="9"/>
  <c r="DK848" i="9"/>
  <c r="DJ848" i="9"/>
  <c r="DI848" i="9"/>
  <c r="DH848" i="9"/>
  <c r="DG848" i="9"/>
  <c r="DF848" i="9"/>
  <c r="DE848" i="9"/>
  <c r="DD848" i="9"/>
  <c r="DC848" i="9"/>
  <c r="DB848" i="9"/>
  <c r="DA848" i="9"/>
  <c r="CZ848" i="9"/>
  <c r="CY848" i="9"/>
  <c r="CX848" i="9"/>
  <c r="CW848" i="9"/>
  <c r="CV848" i="9"/>
  <c r="CU848" i="9"/>
  <c r="CT848" i="9"/>
  <c r="CS848" i="9"/>
  <c r="CR848" i="9"/>
  <c r="CQ848" i="9"/>
  <c r="CP848" i="9"/>
  <c r="CO848" i="9"/>
  <c r="CN848" i="9"/>
  <c r="CM848" i="9"/>
  <c r="CL848" i="9"/>
  <c r="CK848" i="9"/>
  <c r="CJ848" i="9"/>
  <c r="CI848" i="9"/>
  <c r="CH848" i="9"/>
  <c r="CG848" i="9"/>
  <c r="CF848" i="9"/>
  <c r="CE848" i="9"/>
  <c r="CD848" i="9"/>
  <c r="CC848" i="9"/>
  <c r="CB848" i="9"/>
  <c r="EI847" i="9"/>
  <c r="EH847" i="9"/>
  <c r="EG847" i="9"/>
  <c r="EF847" i="9"/>
  <c r="EE847" i="9"/>
  <c r="ED847" i="9"/>
  <c r="EC847" i="9"/>
  <c r="EB847" i="9"/>
  <c r="EA847" i="9"/>
  <c r="DZ847" i="9"/>
  <c r="DY847" i="9"/>
  <c r="DX847" i="9"/>
  <c r="DW847" i="9"/>
  <c r="DV847" i="9"/>
  <c r="DU847" i="9"/>
  <c r="DT847" i="9"/>
  <c r="DS847" i="9"/>
  <c r="DR847" i="9"/>
  <c r="DQ847" i="9"/>
  <c r="DP847" i="9"/>
  <c r="DO847" i="9"/>
  <c r="DN847" i="9"/>
  <c r="DM847" i="9"/>
  <c r="DL847" i="9"/>
  <c r="DK847" i="9"/>
  <c r="DJ847" i="9"/>
  <c r="DI847" i="9"/>
  <c r="DH847" i="9"/>
  <c r="DG847" i="9"/>
  <c r="DF847" i="9"/>
  <c r="DE847" i="9"/>
  <c r="DD847" i="9"/>
  <c r="DC847" i="9"/>
  <c r="DB847" i="9"/>
  <c r="DA847" i="9"/>
  <c r="CZ847" i="9"/>
  <c r="CY847" i="9"/>
  <c r="CX847" i="9"/>
  <c r="CW847" i="9"/>
  <c r="CV847" i="9"/>
  <c r="CU847" i="9"/>
  <c r="CT847" i="9"/>
  <c r="CS847" i="9"/>
  <c r="CR847" i="9"/>
  <c r="CQ847" i="9"/>
  <c r="CP847" i="9"/>
  <c r="CO847" i="9"/>
  <c r="CN847" i="9"/>
  <c r="CM847" i="9"/>
  <c r="CL847" i="9"/>
  <c r="CK847" i="9"/>
  <c r="CJ847" i="9"/>
  <c r="CI847" i="9"/>
  <c r="CH847" i="9"/>
  <c r="CG847" i="9"/>
  <c r="CF847" i="9"/>
  <c r="CE847" i="9"/>
  <c r="CD847" i="9"/>
  <c r="CC847" i="9"/>
  <c r="CB847" i="9"/>
  <c r="EI846" i="9"/>
  <c r="EH846" i="9"/>
  <c r="EG846" i="9"/>
  <c r="EF846" i="9"/>
  <c r="EE846" i="9"/>
  <c r="ED846" i="9"/>
  <c r="EC846" i="9"/>
  <c r="EB846" i="9"/>
  <c r="EA846" i="9"/>
  <c r="DZ846" i="9"/>
  <c r="DY846" i="9"/>
  <c r="DX846" i="9"/>
  <c r="DW846" i="9"/>
  <c r="DV846" i="9"/>
  <c r="DU846" i="9"/>
  <c r="DT846" i="9"/>
  <c r="DS846" i="9"/>
  <c r="DR846" i="9"/>
  <c r="DQ846" i="9"/>
  <c r="DP846" i="9"/>
  <c r="DO846" i="9"/>
  <c r="DN846" i="9"/>
  <c r="DM846" i="9"/>
  <c r="DL846" i="9"/>
  <c r="DK846" i="9"/>
  <c r="DJ846" i="9"/>
  <c r="DI846" i="9"/>
  <c r="DH846" i="9"/>
  <c r="DG846" i="9"/>
  <c r="DF846" i="9"/>
  <c r="DE846" i="9"/>
  <c r="DD846" i="9"/>
  <c r="DC846" i="9"/>
  <c r="DB846" i="9"/>
  <c r="DA846" i="9"/>
  <c r="CZ846" i="9"/>
  <c r="CY846" i="9"/>
  <c r="CX846" i="9"/>
  <c r="CW846" i="9"/>
  <c r="CV846" i="9"/>
  <c r="CU846" i="9"/>
  <c r="CT846" i="9"/>
  <c r="CS846" i="9"/>
  <c r="CR846" i="9"/>
  <c r="CQ846" i="9"/>
  <c r="CP846" i="9"/>
  <c r="CO846" i="9"/>
  <c r="CN846" i="9"/>
  <c r="CM846" i="9"/>
  <c r="CL846" i="9"/>
  <c r="CK846" i="9"/>
  <c r="CJ846" i="9"/>
  <c r="CI846" i="9"/>
  <c r="CH846" i="9"/>
  <c r="CG846" i="9"/>
  <c r="CF846" i="9"/>
  <c r="CE846" i="9"/>
  <c r="CD846" i="9"/>
  <c r="CC846" i="9"/>
  <c r="CB846" i="9"/>
  <c r="EI845" i="9"/>
  <c r="EH845" i="9"/>
  <c r="EG845" i="9"/>
  <c r="EF845" i="9"/>
  <c r="EE845" i="9"/>
  <c r="ED845" i="9"/>
  <c r="EC845" i="9"/>
  <c r="EB845" i="9"/>
  <c r="EA845" i="9"/>
  <c r="DZ845" i="9"/>
  <c r="DY845" i="9"/>
  <c r="DX845" i="9"/>
  <c r="DW845" i="9"/>
  <c r="DV845" i="9"/>
  <c r="DU845" i="9"/>
  <c r="DT845" i="9"/>
  <c r="DS845" i="9"/>
  <c r="DR845" i="9"/>
  <c r="DQ845" i="9"/>
  <c r="DP845" i="9"/>
  <c r="DO845" i="9"/>
  <c r="DN845" i="9"/>
  <c r="DM845" i="9"/>
  <c r="DL845" i="9"/>
  <c r="DK845" i="9"/>
  <c r="DJ845" i="9"/>
  <c r="DI845" i="9"/>
  <c r="DH845" i="9"/>
  <c r="DG845" i="9"/>
  <c r="DF845" i="9"/>
  <c r="DE845" i="9"/>
  <c r="DD845" i="9"/>
  <c r="DC845" i="9"/>
  <c r="DB845" i="9"/>
  <c r="DA845" i="9"/>
  <c r="CZ845" i="9"/>
  <c r="CY845" i="9"/>
  <c r="CX845" i="9"/>
  <c r="CW845" i="9"/>
  <c r="CV845" i="9"/>
  <c r="CU845" i="9"/>
  <c r="CT845" i="9"/>
  <c r="CS845" i="9"/>
  <c r="CR845" i="9"/>
  <c r="CQ845" i="9"/>
  <c r="CP845" i="9"/>
  <c r="CO845" i="9"/>
  <c r="CN845" i="9"/>
  <c r="CM845" i="9"/>
  <c r="CL845" i="9"/>
  <c r="CK845" i="9"/>
  <c r="CJ845" i="9"/>
  <c r="CI845" i="9"/>
  <c r="CH845" i="9"/>
  <c r="CG845" i="9"/>
  <c r="CF845" i="9"/>
  <c r="CE845" i="9"/>
  <c r="CD845" i="9"/>
  <c r="CC845" i="9"/>
  <c r="CB845" i="9"/>
  <c r="EI844" i="9"/>
  <c r="EH844" i="9"/>
  <c r="EG844" i="9"/>
  <c r="EF844" i="9"/>
  <c r="EE844" i="9"/>
  <c r="ED844" i="9"/>
  <c r="EC844" i="9"/>
  <c r="EB844" i="9"/>
  <c r="EA844" i="9"/>
  <c r="DZ844" i="9"/>
  <c r="DY844" i="9"/>
  <c r="DX844" i="9"/>
  <c r="DW844" i="9"/>
  <c r="DV844" i="9"/>
  <c r="DU844" i="9"/>
  <c r="DT844" i="9"/>
  <c r="DS844" i="9"/>
  <c r="DR844" i="9"/>
  <c r="DQ844" i="9"/>
  <c r="DP844" i="9"/>
  <c r="DO844" i="9"/>
  <c r="DN844" i="9"/>
  <c r="DM844" i="9"/>
  <c r="DL844" i="9"/>
  <c r="DK844" i="9"/>
  <c r="DJ844" i="9"/>
  <c r="DI844" i="9"/>
  <c r="DH844" i="9"/>
  <c r="DG844" i="9"/>
  <c r="DF844" i="9"/>
  <c r="DE844" i="9"/>
  <c r="DD844" i="9"/>
  <c r="DC844" i="9"/>
  <c r="DB844" i="9"/>
  <c r="DA844" i="9"/>
  <c r="CZ844" i="9"/>
  <c r="CY844" i="9"/>
  <c r="CX844" i="9"/>
  <c r="CW844" i="9"/>
  <c r="CV844" i="9"/>
  <c r="CU844" i="9"/>
  <c r="CT844" i="9"/>
  <c r="CS844" i="9"/>
  <c r="CR844" i="9"/>
  <c r="CQ844" i="9"/>
  <c r="CP844" i="9"/>
  <c r="CO844" i="9"/>
  <c r="CN844" i="9"/>
  <c r="CM844" i="9"/>
  <c r="CL844" i="9"/>
  <c r="CK844" i="9"/>
  <c r="CJ844" i="9"/>
  <c r="CI844" i="9"/>
  <c r="CH844" i="9"/>
  <c r="CG844" i="9"/>
  <c r="CF844" i="9"/>
  <c r="CE844" i="9"/>
  <c r="CD844" i="9"/>
  <c r="CC844" i="9"/>
  <c r="CB844" i="9"/>
  <c r="EI843" i="9"/>
  <c r="EH843" i="9"/>
  <c r="EG843" i="9"/>
  <c r="EF843" i="9"/>
  <c r="EE843" i="9"/>
  <c r="ED843" i="9"/>
  <c r="EC843" i="9"/>
  <c r="EB843" i="9"/>
  <c r="EA843" i="9"/>
  <c r="DZ843" i="9"/>
  <c r="DY843" i="9"/>
  <c r="DX843" i="9"/>
  <c r="DW843" i="9"/>
  <c r="DV843" i="9"/>
  <c r="DU843" i="9"/>
  <c r="DT843" i="9"/>
  <c r="DS843" i="9"/>
  <c r="DR843" i="9"/>
  <c r="DQ843" i="9"/>
  <c r="DP843" i="9"/>
  <c r="DO843" i="9"/>
  <c r="DN843" i="9"/>
  <c r="DM843" i="9"/>
  <c r="DL843" i="9"/>
  <c r="DK843" i="9"/>
  <c r="DJ843" i="9"/>
  <c r="DI843" i="9"/>
  <c r="DH843" i="9"/>
  <c r="DG843" i="9"/>
  <c r="DF843" i="9"/>
  <c r="DE843" i="9"/>
  <c r="DD843" i="9"/>
  <c r="DC843" i="9"/>
  <c r="DB843" i="9"/>
  <c r="DA843" i="9"/>
  <c r="CZ843" i="9"/>
  <c r="CY843" i="9"/>
  <c r="CX843" i="9"/>
  <c r="CW843" i="9"/>
  <c r="CV843" i="9"/>
  <c r="CU843" i="9"/>
  <c r="CT843" i="9"/>
  <c r="CS843" i="9"/>
  <c r="CR843" i="9"/>
  <c r="CQ843" i="9"/>
  <c r="CP843" i="9"/>
  <c r="CO843" i="9"/>
  <c r="CN843" i="9"/>
  <c r="CM843" i="9"/>
  <c r="CL843" i="9"/>
  <c r="CK843" i="9"/>
  <c r="CJ843" i="9"/>
  <c r="CI843" i="9"/>
  <c r="CH843" i="9"/>
  <c r="CG843" i="9"/>
  <c r="CF843" i="9"/>
  <c r="CE843" i="9"/>
  <c r="CD843" i="9"/>
  <c r="CC843" i="9"/>
  <c r="CB843" i="9"/>
  <c r="EI842" i="9"/>
  <c r="EH842" i="9"/>
  <c r="EG842" i="9"/>
  <c r="EF842" i="9"/>
  <c r="EE842" i="9"/>
  <c r="ED842" i="9"/>
  <c r="EC842" i="9"/>
  <c r="EB842" i="9"/>
  <c r="EA842" i="9"/>
  <c r="DZ842" i="9"/>
  <c r="DY842" i="9"/>
  <c r="DX842" i="9"/>
  <c r="DW842" i="9"/>
  <c r="DV842" i="9"/>
  <c r="DU842" i="9"/>
  <c r="DT842" i="9"/>
  <c r="DS842" i="9"/>
  <c r="DR842" i="9"/>
  <c r="DQ842" i="9"/>
  <c r="DP842" i="9"/>
  <c r="DO842" i="9"/>
  <c r="DN842" i="9"/>
  <c r="DM842" i="9"/>
  <c r="DL842" i="9"/>
  <c r="DK842" i="9"/>
  <c r="DJ842" i="9"/>
  <c r="DI842" i="9"/>
  <c r="DH842" i="9"/>
  <c r="DG842" i="9"/>
  <c r="DF842" i="9"/>
  <c r="DE842" i="9"/>
  <c r="DD842" i="9"/>
  <c r="DC842" i="9"/>
  <c r="DB842" i="9"/>
  <c r="DA842" i="9"/>
  <c r="CZ842" i="9"/>
  <c r="CY842" i="9"/>
  <c r="CX842" i="9"/>
  <c r="CW842" i="9"/>
  <c r="CV842" i="9"/>
  <c r="CU842" i="9"/>
  <c r="CT842" i="9"/>
  <c r="CS842" i="9"/>
  <c r="CR842" i="9"/>
  <c r="CQ842" i="9"/>
  <c r="CP842" i="9"/>
  <c r="CO842" i="9"/>
  <c r="CN842" i="9"/>
  <c r="CM842" i="9"/>
  <c r="CL842" i="9"/>
  <c r="CK842" i="9"/>
  <c r="CJ842" i="9"/>
  <c r="CI842" i="9"/>
  <c r="CH842" i="9"/>
  <c r="CG842" i="9"/>
  <c r="CF842" i="9"/>
  <c r="CE842" i="9"/>
  <c r="CD842" i="9"/>
  <c r="CC842" i="9"/>
  <c r="CB842" i="9"/>
  <c r="EI841" i="9"/>
  <c r="EH841" i="9"/>
  <c r="EG841" i="9"/>
  <c r="EF841" i="9"/>
  <c r="EE841" i="9"/>
  <c r="ED841" i="9"/>
  <c r="EC841" i="9"/>
  <c r="EB841" i="9"/>
  <c r="EA841" i="9"/>
  <c r="DZ841" i="9"/>
  <c r="DY841" i="9"/>
  <c r="DX841" i="9"/>
  <c r="DW841" i="9"/>
  <c r="DV841" i="9"/>
  <c r="DU841" i="9"/>
  <c r="DT841" i="9"/>
  <c r="DS841" i="9"/>
  <c r="DR841" i="9"/>
  <c r="DQ841" i="9"/>
  <c r="DP841" i="9"/>
  <c r="DO841" i="9"/>
  <c r="DN841" i="9"/>
  <c r="DM841" i="9"/>
  <c r="DL841" i="9"/>
  <c r="DK841" i="9"/>
  <c r="DJ841" i="9"/>
  <c r="DI841" i="9"/>
  <c r="DH841" i="9"/>
  <c r="DG841" i="9"/>
  <c r="DF841" i="9"/>
  <c r="DE841" i="9"/>
  <c r="DD841" i="9"/>
  <c r="DC841" i="9"/>
  <c r="DB841" i="9"/>
  <c r="DA841" i="9"/>
  <c r="CZ841" i="9"/>
  <c r="CY841" i="9"/>
  <c r="CX841" i="9"/>
  <c r="CW841" i="9"/>
  <c r="CV841" i="9"/>
  <c r="CU841" i="9"/>
  <c r="CT841" i="9"/>
  <c r="CS841" i="9"/>
  <c r="CR841" i="9"/>
  <c r="CQ841" i="9"/>
  <c r="CP841" i="9"/>
  <c r="CO841" i="9"/>
  <c r="CN841" i="9"/>
  <c r="CM841" i="9"/>
  <c r="CL841" i="9"/>
  <c r="CK841" i="9"/>
  <c r="CJ841" i="9"/>
  <c r="CI841" i="9"/>
  <c r="CH841" i="9"/>
  <c r="CG841" i="9"/>
  <c r="CF841" i="9"/>
  <c r="CE841" i="9"/>
  <c r="CD841" i="9"/>
  <c r="CC841" i="9"/>
  <c r="CB841" i="9"/>
  <c r="EI840" i="9"/>
  <c r="EH840" i="9"/>
  <c r="EG840" i="9"/>
  <c r="EF840" i="9"/>
  <c r="EE840" i="9"/>
  <c r="ED840" i="9"/>
  <c r="EC840" i="9"/>
  <c r="EB840" i="9"/>
  <c r="EA840" i="9"/>
  <c r="DZ840" i="9"/>
  <c r="DY840" i="9"/>
  <c r="DX840" i="9"/>
  <c r="DW840" i="9"/>
  <c r="DV840" i="9"/>
  <c r="DU840" i="9"/>
  <c r="DT840" i="9"/>
  <c r="DS840" i="9"/>
  <c r="DR840" i="9"/>
  <c r="DQ840" i="9"/>
  <c r="DP840" i="9"/>
  <c r="DO840" i="9"/>
  <c r="DN840" i="9"/>
  <c r="DM840" i="9"/>
  <c r="DL840" i="9"/>
  <c r="DK840" i="9"/>
  <c r="DJ840" i="9"/>
  <c r="DI840" i="9"/>
  <c r="DH840" i="9"/>
  <c r="DG840" i="9"/>
  <c r="DF840" i="9"/>
  <c r="DE840" i="9"/>
  <c r="DD840" i="9"/>
  <c r="DC840" i="9"/>
  <c r="DB840" i="9"/>
  <c r="DA840" i="9"/>
  <c r="CZ840" i="9"/>
  <c r="CY840" i="9"/>
  <c r="CX840" i="9"/>
  <c r="CW840" i="9"/>
  <c r="CV840" i="9"/>
  <c r="CU840" i="9"/>
  <c r="CT840" i="9"/>
  <c r="CS840" i="9"/>
  <c r="CR840" i="9"/>
  <c r="CQ840" i="9"/>
  <c r="CP840" i="9"/>
  <c r="CO840" i="9"/>
  <c r="CN840" i="9"/>
  <c r="CM840" i="9"/>
  <c r="CL840" i="9"/>
  <c r="CK840" i="9"/>
  <c r="CJ840" i="9"/>
  <c r="CI840" i="9"/>
  <c r="CH840" i="9"/>
  <c r="CG840" i="9"/>
  <c r="CF840" i="9"/>
  <c r="CE840" i="9"/>
  <c r="CD840" i="9"/>
  <c r="CC840" i="9"/>
  <c r="CB840" i="9"/>
  <c r="EI838" i="9"/>
  <c r="EH838" i="9"/>
  <c r="EG838" i="9"/>
  <c r="EF838" i="9"/>
  <c r="EE838" i="9"/>
  <c r="ED838" i="9"/>
  <c r="EC838" i="9"/>
  <c r="EB838" i="9"/>
  <c r="EA838" i="9"/>
  <c r="DZ838" i="9"/>
  <c r="DY838" i="9"/>
  <c r="DX838" i="9"/>
  <c r="DW838" i="9"/>
  <c r="DV838" i="9"/>
  <c r="DU838" i="9"/>
  <c r="DT838" i="9"/>
  <c r="DS838" i="9"/>
  <c r="DR838" i="9"/>
  <c r="DQ838" i="9"/>
  <c r="DP838" i="9"/>
  <c r="DO838" i="9"/>
  <c r="DN838" i="9"/>
  <c r="DM838" i="9"/>
  <c r="DL838" i="9"/>
  <c r="DK838" i="9"/>
  <c r="DJ838" i="9"/>
  <c r="DI838" i="9"/>
  <c r="DH838" i="9"/>
  <c r="DG838" i="9"/>
  <c r="DF838" i="9"/>
  <c r="DE838" i="9"/>
  <c r="DD838" i="9"/>
  <c r="DC838" i="9"/>
  <c r="DB838" i="9"/>
  <c r="DA838" i="9"/>
  <c r="CZ838" i="9"/>
  <c r="CY838" i="9"/>
  <c r="CX838" i="9"/>
  <c r="CW838" i="9"/>
  <c r="CV838" i="9"/>
  <c r="CU838" i="9"/>
  <c r="CT838" i="9"/>
  <c r="CS838" i="9"/>
  <c r="CR838" i="9"/>
  <c r="CQ838" i="9"/>
  <c r="CP838" i="9"/>
  <c r="CO838" i="9"/>
  <c r="CN838" i="9"/>
  <c r="CM838" i="9"/>
  <c r="CL838" i="9"/>
  <c r="CK838" i="9"/>
  <c r="CJ838" i="9"/>
  <c r="CI838" i="9"/>
  <c r="CH838" i="9"/>
  <c r="CG838" i="9"/>
  <c r="CF838" i="9"/>
  <c r="CE838" i="9"/>
  <c r="CD838" i="9"/>
  <c r="CC838" i="9"/>
  <c r="CB838" i="9"/>
  <c r="EI837" i="9"/>
  <c r="EH837" i="9"/>
  <c r="EG837" i="9"/>
  <c r="EF837" i="9"/>
  <c r="EE837" i="9"/>
  <c r="ED837" i="9"/>
  <c r="EC837" i="9"/>
  <c r="EB837" i="9"/>
  <c r="EA837" i="9"/>
  <c r="DZ837" i="9"/>
  <c r="DY837" i="9"/>
  <c r="DX837" i="9"/>
  <c r="DW837" i="9"/>
  <c r="DV837" i="9"/>
  <c r="DU837" i="9"/>
  <c r="DT837" i="9"/>
  <c r="DS837" i="9"/>
  <c r="DR837" i="9"/>
  <c r="DQ837" i="9"/>
  <c r="DP837" i="9"/>
  <c r="DO837" i="9"/>
  <c r="DN837" i="9"/>
  <c r="DM837" i="9"/>
  <c r="DL837" i="9"/>
  <c r="DK837" i="9"/>
  <c r="DJ837" i="9"/>
  <c r="DI837" i="9"/>
  <c r="DH837" i="9"/>
  <c r="DG837" i="9"/>
  <c r="DF837" i="9"/>
  <c r="DE837" i="9"/>
  <c r="DD837" i="9"/>
  <c r="DC837" i="9"/>
  <c r="DB837" i="9"/>
  <c r="DA837" i="9"/>
  <c r="CZ837" i="9"/>
  <c r="CY837" i="9"/>
  <c r="CX837" i="9"/>
  <c r="CW837" i="9"/>
  <c r="CV837" i="9"/>
  <c r="CU837" i="9"/>
  <c r="CT837" i="9"/>
  <c r="CS837" i="9"/>
  <c r="CR837" i="9"/>
  <c r="CQ837" i="9"/>
  <c r="CP837" i="9"/>
  <c r="CO837" i="9"/>
  <c r="CN837" i="9"/>
  <c r="CM837" i="9"/>
  <c r="CL837" i="9"/>
  <c r="CK837" i="9"/>
  <c r="CJ837" i="9"/>
  <c r="CI837" i="9"/>
  <c r="CH837" i="9"/>
  <c r="CG837" i="9"/>
  <c r="CF837" i="9"/>
  <c r="CE837" i="9"/>
  <c r="CD837" i="9"/>
  <c r="CC837" i="9"/>
  <c r="CB837" i="9"/>
  <c r="EI836" i="9"/>
  <c r="EH836" i="9"/>
  <c r="EG836" i="9"/>
  <c r="EF836" i="9"/>
  <c r="EE836" i="9"/>
  <c r="ED836" i="9"/>
  <c r="EC836" i="9"/>
  <c r="EB836" i="9"/>
  <c r="EA836" i="9"/>
  <c r="DZ836" i="9"/>
  <c r="DY836" i="9"/>
  <c r="DX836" i="9"/>
  <c r="DW836" i="9"/>
  <c r="DV836" i="9"/>
  <c r="DU836" i="9"/>
  <c r="DT836" i="9"/>
  <c r="DS836" i="9"/>
  <c r="DR836" i="9"/>
  <c r="DQ836" i="9"/>
  <c r="DP836" i="9"/>
  <c r="DO836" i="9"/>
  <c r="DN836" i="9"/>
  <c r="DM836" i="9"/>
  <c r="DL836" i="9"/>
  <c r="DK836" i="9"/>
  <c r="DJ836" i="9"/>
  <c r="DI836" i="9"/>
  <c r="DH836" i="9"/>
  <c r="DG836" i="9"/>
  <c r="DF836" i="9"/>
  <c r="DE836" i="9"/>
  <c r="DD836" i="9"/>
  <c r="DC836" i="9"/>
  <c r="DB836" i="9"/>
  <c r="DA836" i="9"/>
  <c r="CZ836" i="9"/>
  <c r="CY836" i="9"/>
  <c r="CX836" i="9"/>
  <c r="CW836" i="9"/>
  <c r="CV836" i="9"/>
  <c r="CU836" i="9"/>
  <c r="CT836" i="9"/>
  <c r="CS836" i="9"/>
  <c r="CR836" i="9"/>
  <c r="CQ836" i="9"/>
  <c r="CP836" i="9"/>
  <c r="CO836" i="9"/>
  <c r="CN836" i="9"/>
  <c r="CM836" i="9"/>
  <c r="CL836" i="9"/>
  <c r="CK836" i="9"/>
  <c r="CJ836" i="9"/>
  <c r="CI836" i="9"/>
  <c r="CH836" i="9"/>
  <c r="CG836" i="9"/>
  <c r="CF836" i="9"/>
  <c r="CE836" i="9"/>
  <c r="CD836" i="9"/>
  <c r="CC836" i="9"/>
  <c r="CB836" i="9"/>
  <c r="EI835" i="9"/>
  <c r="EH835" i="9"/>
  <c r="EG835" i="9"/>
  <c r="EF835" i="9"/>
  <c r="EE835" i="9"/>
  <c r="ED835" i="9"/>
  <c r="EC835" i="9"/>
  <c r="EB835" i="9"/>
  <c r="EA835" i="9"/>
  <c r="DZ835" i="9"/>
  <c r="DY835" i="9"/>
  <c r="DX835" i="9"/>
  <c r="DW835" i="9"/>
  <c r="DV835" i="9"/>
  <c r="DU835" i="9"/>
  <c r="DT835" i="9"/>
  <c r="DS835" i="9"/>
  <c r="DR835" i="9"/>
  <c r="DQ835" i="9"/>
  <c r="DP835" i="9"/>
  <c r="DO835" i="9"/>
  <c r="DN835" i="9"/>
  <c r="DM835" i="9"/>
  <c r="DL835" i="9"/>
  <c r="DK835" i="9"/>
  <c r="DJ835" i="9"/>
  <c r="DI835" i="9"/>
  <c r="DH835" i="9"/>
  <c r="DG835" i="9"/>
  <c r="DF835" i="9"/>
  <c r="DE835" i="9"/>
  <c r="DD835" i="9"/>
  <c r="DC835" i="9"/>
  <c r="DB835" i="9"/>
  <c r="DA835" i="9"/>
  <c r="CZ835" i="9"/>
  <c r="CY835" i="9"/>
  <c r="CX835" i="9"/>
  <c r="CW835" i="9"/>
  <c r="CV835" i="9"/>
  <c r="CU835" i="9"/>
  <c r="CT835" i="9"/>
  <c r="CS835" i="9"/>
  <c r="CR835" i="9"/>
  <c r="CQ835" i="9"/>
  <c r="CP835" i="9"/>
  <c r="CO835" i="9"/>
  <c r="CN835" i="9"/>
  <c r="CM835" i="9"/>
  <c r="CL835" i="9"/>
  <c r="CK835" i="9"/>
  <c r="CJ835" i="9"/>
  <c r="CI835" i="9"/>
  <c r="CH835" i="9"/>
  <c r="CG835" i="9"/>
  <c r="CF835" i="9"/>
  <c r="CE835" i="9"/>
  <c r="CD835" i="9"/>
  <c r="CC835" i="9"/>
  <c r="CB835" i="9"/>
  <c r="EI834" i="9"/>
  <c r="EH834" i="9"/>
  <c r="EG834" i="9"/>
  <c r="EF834" i="9"/>
  <c r="EE834" i="9"/>
  <c r="ED834" i="9"/>
  <c r="EC834" i="9"/>
  <c r="EB834" i="9"/>
  <c r="EA834" i="9"/>
  <c r="DZ834" i="9"/>
  <c r="DY834" i="9"/>
  <c r="DX834" i="9"/>
  <c r="DW834" i="9"/>
  <c r="DV834" i="9"/>
  <c r="DU834" i="9"/>
  <c r="DT834" i="9"/>
  <c r="DS834" i="9"/>
  <c r="DR834" i="9"/>
  <c r="DQ834" i="9"/>
  <c r="DP834" i="9"/>
  <c r="DO834" i="9"/>
  <c r="DN834" i="9"/>
  <c r="DM834" i="9"/>
  <c r="DL834" i="9"/>
  <c r="DK834" i="9"/>
  <c r="DJ834" i="9"/>
  <c r="DI834" i="9"/>
  <c r="DH834" i="9"/>
  <c r="DG834" i="9"/>
  <c r="DF834" i="9"/>
  <c r="DE834" i="9"/>
  <c r="DD834" i="9"/>
  <c r="DC834" i="9"/>
  <c r="DB834" i="9"/>
  <c r="DA834" i="9"/>
  <c r="CZ834" i="9"/>
  <c r="CY834" i="9"/>
  <c r="CX834" i="9"/>
  <c r="CW834" i="9"/>
  <c r="CV834" i="9"/>
  <c r="CU834" i="9"/>
  <c r="CT834" i="9"/>
  <c r="CS834" i="9"/>
  <c r="CR834" i="9"/>
  <c r="CQ834" i="9"/>
  <c r="CP834" i="9"/>
  <c r="CO834" i="9"/>
  <c r="CN834" i="9"/>
  <c r="CM834" i="9"/>
  <c r="CL834" i="9"/>
  <c r="CK834" i="9"/>
  <c r="CJ834" i="9"/>
  <c r="CI834" i="9"/>
  <c r="CH834" i="9"/>
  <c r="CG834" i="9"/>
  <c r="CF834" i="9"/>
  <c r="CE834" i="9"/>
  <c r="CD834" i="9"/>
  <c r="CC834" i="9"/>
  <c r="CB834" i="9"/>
  <c r="EI833" i="9"/>
  <c r="EH833" i="9"/>
  <c r="EG833" i="9"/>
  <c r="EF833" i="9"/>
  <c r="EE833" i="9"/>
  <c r="ED833" i="9"/>
  <c r="EC833" i="9"/>
  <c r="EB833" i="9"/>
  <c r="EA833" i="9"/>
  <c r="DZ833" i="9"/>
  <c r="DY833" i="9"/>
  <c r="DX833" i="9"/>
  <c r="DW833" i="9"/>
  <c r="DV833" i="9"/>
  <c r="DU833" i="9"/>
  <c r="DT833" i="9"/>
  <c r="DS833" i="9"/>
  <c r="DR833" i="9"/>
  <c r="DQ833" i="9"/>
  <c r="DP833" i="9"/>
  <c r="DO833" i="9"/>
  <c r="DN833" i="9"/>
  <c r="DM833" i="9"/>
  <c r="DL833" i="9"/>
  <c r="DK833" i="9"/>
  <c r="DJ833" i="9"/>
  <c r="DI833" i="9"/>
  <c r="DH833" i="9"/>
  <c r="DG833" i="9"/>
  <c r="DF833" i="9"/>
  <c r="DE833" i="9"/>
  <c r="DD833" i="9"/>
  <c r="DC833" i="9"/>
  <c r="DB833" i="9"/>
  <c r="DA833" i="9"/>
  <c r="CZ833" i="9"/>
  <c r="CY833" i="9"/>
  <c r="CX833" i="9"/>
  <c r="CW833" i="9"/>
  <c r="CV833" i="9"/>
  <c r="CU833" i="9"/>
  <c r="CT833" i="9"/>
  <c r="CS833" i="9"/>
  <c r="CR833" i="9"/>
  <c r="CQ833" i="9"/>
  <c r="CP833" i="9"/>
  <c r="CO833" i="9"/>
  <c r="CN833" i="9"/>
  <c r="CM833" i="9"/>
  <c r="CL833" i="9"/>
  <c r="CK833" i="9"/>
  <c r="CJ833" i="9"/>
  <c r="CI833" i="9"/>
  <c r="CH833" i="9"/>
  <c r="CG833" i="9"/>
  <c r="CF833" i="9"/>
  <c r="CE833" i="9"/>
  <c r="CD833" i="9"/>
  <c r="CC833" i="9"/>
  <c r="CB833" i="9"/>
  <c r="EI832" i="9"/>
  <c r="EH832" i="9"/>
  <c r="EG832" i="9"/>
  <c r="EF832" i="9"/>
  <c r="EE832" i="9"/>
  <c r="ED832" i="9"/>
  <c r="EC832" i="9"/>
  <c r="EB832" i="9"/>
  <c r="EA832" i="9"/>
  <c r="DZ832" i="9"/>
  <c r="DY832" i="9"/>
  <c r="DX832" i="9"/>
  <c r="DW832" i="9"/>
  <c r="DV832" i="9"/>
  <c r="DU832" i="9"/>
  <c r="DT832" i="9"/>
  <c r="DS832" i="9"/>
  <c r="DR832" i="9"/>
  <c r="DQ832" i="9"/>
  <c r="DP832" i="9"/>
  <c r="DO832" i="9"/>
  <c r="DN832" i="9"/>
  <c r="DM832" i="9"/>
  <c r="DL832" i="9"/>
  <c r="DK832" i="9"/>
  <c r="DJ832" i="9"/>
  <c r="DI832" i="9"/>
  <c r="DH832" i="9"/>
  <c r="DG832" i="9"/>
  <c r="DF832" i="9"/>
  <c r="DE832" i="9"/>
  <c r="DD832" i="9"/>
  <c r="DC832" i="9"/>
  <c r="DB832" i="9"/>
  <c r="DA832" i="9"/>
  <c r="CZ832" i="9"/>
  <c r="CY832" i="9"/>
  <c r="CX832" i="9"/>
  <c r="CW832" i="9"/>
  <c r="CV832" i="9"/>
  <c r="CU832" i="9"/>
  <c r="CT832" i="9"/>
  <c r="CS832" i="9"/>
  <c r="CR832" i="9"/>
  <c r="CQ832" i="9"/>
  <c r="CP832" i="9"/>
  <c r="CO832" i="9"/>
  <c r="CN832" i="9"/>
  <c r="CM832" i="9"/>
  <c r="CL832" i="9"/>
  <c r="CK832" i="9"/>
  <c r="CJ832" i="9"/>
  <c r="CI832" i="9"/>
  <c r="CH832" i="9"/>
  <c r="CG832" i="9"/>
  <c r="CF832" i="9"/>
  <c r="CE832" i="9"/>
  <c r="CD832" i="9"/>
  <c r="CC832" i="9"/>
  <c r="CB832" i="9"/>
  <c r="EI831" i="9"/>
  <c r="EH831" i="9"/>
  <c r="EG831" i="9"/>
  <c r="EF831" i="9"/>
  <c r="EE831" i="9"/>
  <c r="ED831" i="9"/>
  <c r="EC831" i="9"/>
  <c r="EB831" i="9"/>
  <c r="EA831" i="9"/>
  <c r="DZ831" i="9"/>
  <c r="DY831" i="9"/>
  <c r="DX831" i="9"/>
  <c r="DW831" i="9"/>
  <c r="DV831" i="9"/>
  <c r="DU831" i="9"/>
  <c r="DT831" i="9"/>
  <c r="DS831" i="9"/>
  <c r="DR831" i="9"/>
  <c r="DQ831" i="9"/>
  <c r="DP831" i="9"/>
  <c r="DO831" i="9"/>
  <c r="DN831" i="9"/>
  <c r="DM831" i="9"/>
  <c r="DL831" i="9"/>
  <c r="DK831" i="9"/>
  <c r="DJ831" i="9"/>
  <c r="DI831" i="9"/>
  <c r="DH831" i="9"/>
  <c r="DG831" i="9"/>
  <c r="DF831" i="9"/>
  <c r="DE831" i="9"/>
  <c r="DD831" i="9"/>
  <c r="DC831" i="9"/>
  <c r="DB831" i="9"/>
  <c r="DA831" i="9"/>
  <c r="CZ831" i="9"/>
  <c r="CY831" i="9"/>
  <c r="CX831" i="9"/>
  <c r="CW831" i="9"/>
  <c r="CV831" i="9"/>
  <c r="CU831" i="9"/>
  <c r="CT831" i="9"/>
  <c r="CS831" i="9"/>
  <c r="CR831" i="9"/>
  <c r="CQ831" i="9"/>
  <c r="CP831" i="9"/>
  <c r="CO831" i="9"/>
  <c r="CN831" i="9"/>
  <c r="CM831" i="9"/>
  <c r="CL831" i="9"/>
  <c r="CK831" i="9"/>
  <c r="CJ831" i="9"/>
  <c r="CI831" i="9"/>
  <c r="CH831" i="9"/>
  <c r="CG831" i="9"/>
  <c r="CF831" i="9"/>
  <c r="CE831" i="9"/>
  <c r="CD831" i="9"/>
  <c r="CC831" i="9"/>
  <c r="CB831" i="9"/>
  <c r="EI830" i="9"/>
  <c r="EH830" i="9"/>
  <c r="EG830" i="9"/>
  <c r="EF830" i="9"/>
  <c r="EE830" i="9"/>
  <c r="ED830" i="9"/>
  <c r="EC830" i="9"/>
  <c r="EB830" i="9"/>
  <c r="EA830" i="9"/>
  <c r="DZ830" i="9"/>
  <c r="DY830" i="9"/>
  <c r="DX830" i="9"/>
  <c r="DW830" i="9"/>
  <c r="DV830" i="9"/>
  <c r="DU830" i="9"/>
  <c r="DT830" i="9"/>
  <c r="DS830" i="9"/>
  <c r="DR830" i="9"/>
  <c r="DQ830" i="9"/>
  <c r="DP830" i="9"/>
  <c r="DO830" i="9"/>
  <c r="DN830" i="9"/>
  <c r="DM830" i="9"/>
  <c r="DL830" i="9"/>
  <c r="DK830" i="9"/>
  <c r="DJ830" i="9"/>
  <c r="DI830" i="9"/>
  <c r="DH830" i="9"/>
  <c r="DG830" i="9"/>
  <c r="DF830" i="9"/>
  <c r="DE830" i="9"/>
  <c r="DD830" i="9"/>
  <c r="DC830" i="9"/>
  <c r="DB830" i="9"/>
  <c r="DA830" i="9"/>
  <c r="CZ830" i="9"/>
  <c r="CY830" i="9"/>
  <c r="CX830" i="9"/>
  <c r="CW830" i="9"/>
  <c r="CV830" i="9"/>
  <c r="CU830" i="9"/>
  <c r="CT830" i="9"/>
  <c r="CS830" i="9"/>
  <c r="CR830" i="9"/>
  <c r="CQ830" i="9"/>
  <c r="CP830" i="9"/>
  <c r="CO830" i="9"/>
  <c r="CN830" i="9"/>
  <c r="CM830" i="9"/>
  <c r="CL830" i="9"/>
  <c r="CK830" i="9"/>
  <c r="CJ830" i="9"/>
  <c r="CI830" i="9"/>
  <c r="CH830" i="9"/>
  <c r="CG830" i="9"/>
  <c r="CF830" i="9"/>
  <c r="CE830" i="9"/>
  <c r="CD830" i="9"/>
  <c r="CC830" i="9"/>
  <c r="CB830" i="9"/>
  <c r="EI829" i="9"/>
  <c r="EH829" i="9"/>
  <c r="EG829" i="9"/>
  <c r="EF829" i="9"/>
  <c r="EE829" i="9"/>
  <c r="ED829" i="9"/>
  <c r="EC829" i="9"/>
  <c r="EB829" i="9"/>
  <c r="EA829" i="9"/>
  <c r="DZ829" i="9"/>
  <c r="DY829" i="9"/>
  <c r="DX829" i="9"/>
  <c r="DW829" i="9"/>
  <c r="DV829" i="9"/>
  <c r="DU829" i="9"/>
  <c r="DT829" i="9"/>
  <c r="DS829" i="9"/>
  <c r="DR829" i="9"/>
  <c r="DQ829" i="9"/>
  <c r="DP829" i="9"/>
  <c r="DO829" i="9"/>
  <c r="DN829" i="9"/>
  <c r="DM829" i="9"/>
  <c r="DL829" i="9"/>
  <c r="DK829" i="9"/>
  <c r="DJ829" i="9"/>
  <c r="DI829" i="9"/>
  <c r="DH829" i="9"/>
  <c r="DG829" i="9"/>
  <c r="DF829" i="9"/>
  <c r="DE829" i="9"/>
  <c r="DD829" i="9"/>
  <c r="DC829" i="9"/>
  <c r="DB829" i="9"/>
  <c r="DA829" i="9"/>
  <c r="CZ829" i="9"/>
  <c r="CY829" i="9"/>
  <c r="CX829" i="9"/>
  <c r="CW829" i="9"/>
  <c r="CV829" i="9"/>
  <c r="CU829" i="9"/>
  <c r="CT829" i="9"/>
  <c r="CS829" i="9"/>
  <c r="CR829" i="9"/>
  <c r="CQ829" i="9"/>
  <c r="CP829" i="9"/>
  <c r="CO829" i="9"/>
  <c r="CN829" i="9"/>
  <c r="CM829" i="9"/>
  <c r="CL829" i="9"/>
  <c r="CK829" i="9"/>
  <c r="CJ829" i="9"/>
  <c r="CI829" i="9"/>
  <c r="CH829" i="9"/>
  <c r="CG829" i="9"/>
  <c r="CF829" i="9"/>
  <c r="CE829" i="9"/>
  <c r="CD829" i="9"/>
  <c r="CC829" i="9"/>
  <c r="CB829" i="9"/>
  <c r="EI827" i="9"/>
  <c r="EH827" i="9"/>
  <c r="EG827" i="9"/>
  <c r="EF827" i="9"/>
  <c r="EE827" i="9"/>
  <c r="ED827" i="9"/>
  <c r="EC827" i="9"/>
  <c r="EB827" i="9"/>
  <c r="EA827" i="9"/>
  <c r="DZ827" i="9"/>
  <c r="DY827" i="9"/>
  <c r="DX827" i="9"/>
  <c r="DW827" i="9"/>
  <c r="DV827" i="9"/>
  <c r="DU827" i="9"/>
  <c r="DT827" i="9"/>
  <c r="DS827" i="9"/>
  <c r="DR827" i="9"/>
  <c r="DQ827" i="9"/>
  <c r="DP827" i="9"/>
  <c r="DO827" i="9"/>
  <c r="DN827" i="9"/>
  <c r="DM827" i="9"/>
  <c r="DL827" i="9"/>
  <c r="DK827" i="9"/>
  <c r="DJ827" i="9"/>
  <c r="DI827" i="9"/>
  <c r="DH827" i="9"/>
  <c r="DG827" i="9"/>
  <c r="DF827" i="9"/>
  <c r="DE827" i="9"/>
  <c r="DD827" i="9"/>
  <c r="DC827" i="9"/>
  <c r="DB827" i="9"/>
  <c r="DA827" i="9"/>
  <c r="CZ827" i="9"/>
  <c r="CY827" i="9"/>
  <c r="CX827" i="9"/>
  <c r="CW827" i="9"/>
  <c r="CV827" i="9"/>
  <c r="CU827" i="9"/>
  <c r="CT827" i="9"/>
  <c r="CS827" i="9"/>
  <c r="CR827" i="9"/>
  <c r="CQ827" i="9"/>
  <c r="CP827" i="9"/>
  <c r="CO827" i="9"/>
  <c r="CN827" i="9"/>
  <c r="CM827" i="9"/>
  <c r="CL827" i="9"/>
  <c r="CK827" i="9"/>
  <c r="CJ827" i="9"/>
  <c r="CI827" i="9"/>
  <c r="CH827" i="9"/>
  <c r="CG827" i="9"/>
  <c r="CF827" i="9"/>
  <c r="CE827" i="9"/>
  <c r="CD827" i="9"/>
  <c r="CC827" i="9"/>
  <c r="CB827" i="9"/>
  <c r="EI826" i="9"/>
  <c r="EH826" i="9"/>
  <c r="EG826" i="9"/>
  <c r="EF826" i="9"/>
  <c r="EE826" i="9"/>
  <c r="ED826" i="9"/>
  <c r="EC826" i="9"/>
  <c r="EB826" i="9"/>
  <c r="EA826" i="9"/>
  <c r="DZ826" i="9"/>
  <c r="DY826" i="9"/>
  <c r="DX826" i="9"/>
  <c r="DW826" i="9"/>
  <c r="DV826" i="9"/>
  <c r="DU826" i="9"/>
  <c r="DT826" i="9"/>
  <c r="DS826" i="9"/>
  <c r="DR826" i="9"/>
  <c r="DQ826" i="9"/>
  <c r="DP826" i="9"/>
  <c r="DO826" i="9"/>
  <c r="DN826" i="9"/>
  <c r="DM826" i="9"/>
  <c r="DL826" i="9"/>
  <c r="DK826" i="9"/>
  <c r="DJ826" i="9"/>
  <c r="DI826" i="9"/>
  <c r="DH826" i="9"/>
  <c r="DG826" i="9"/>
  <c r="DF826" i="9"/>
  <c r="DE826" i="9"/>
  <c r="DD826" i="9"/>
  <c r="DC826" i="9"/>
  <c r="DB826" i="9"/>
  <c r="DA826" i="9"/>
  <c r="CZ826" i="9"/>
  <c r="CY826" i="9"/>
  <c r="CX826" i="9"/>
  <c r="CW826" i="9"/>
  <c r="CV826" i="9"/>
  <c r="CU826" i="9"/>
  <c r="CT826" i="9"/>
  <c r="CS826" i="9"/>
  <c r="CR826" i="9"/>
  <c r="CQ826" i="9"/>
  <c r="CP826" i="9"/>
  <c r="CO826" i="9"/>
  <c r="CN826" i="9"/>
  <c r="CM826" i="9"/>
  <c r="CL826" i="9"/>
  <c r="CK826" i="9"/>
  <c r="CJ826" i="9"/>
  <c r="CI826" i="9"/>
  <c r="CH826" i="9"/>
  <c r="CG826" i="9"/>
  <c r="CF826" i="9"/>
  <c r="CE826" i="9"/>
  <c r="CD826" i="9"/>
  <c r="CC826" i="9"/>
  <c r="CB826" i="9"/>
  <c r="EI825" i="9"/>
  <c r="EH825" i="9"/>
  <c r="EG825" i="9"/>
  <c r="EF825" i="9"/>
  <c r="EE825" i="9"/>
  <c r="ED825" i="9"/>
  <c r="EC825" i="9"/>
  <c r="EB825" i="9"/>
  <c r="EA825" i="9"/>
  <c r="DZ825" i="9"/>
  <c r="DY825" i="9"/>
  <c r="DX825" i="9"/>
  <c r="DW825" i="9"/>
  <c r="DV825" i="9"/>
  <c r="DU825" i="9"/>
  <c r="DT825" i="9"/>
  <c r="DS825" i="9"/>
  <c r="DR825" i="9"/>
  <c r="DQ825" i="9"/>
  <c r="DP825" i="9"/>
  <c r="DO825" i="9"/>
  <c r="DN825" i="9"/>
  <c r="DM825" i="9"/>
  <c r="DL825" i="9"/>
  <c r="DK825" i="9"/>
  <c r="DJ825" i="9"/>
  <c r="DI825" i="9"/>
  <c r="DH825" i="9"/>
  <c r="DG825" i="9"/>
  <c r="DF825" i="9"/>
  <c r="DE825" i="9"/>
  <c r="DD825" i="9"/>
  <c r="DC825" i="9"/>
  <c r="DB825" i="9"/>
  <c r="DA825" i="9"/>
  <c r="CZ825" i="9"/>
  <c r="CY825" i="9"/>
  <c r="CX825" i="9"/>
  <c r="CW825" i="9"/>
  <c r="CV825" i="9"/>
  <c r="CU825" i="9"/>
  <c r="CT825" i="9"/>
  <c r="CS825" i="9"/>
  <c r="CR825" i="9"/>
  <c r="CQ825" i="9"/>
  <c r="CP825" i="9"/>
  <c r="CO825" i="9"/>
  <c r="CN825" i="9"/>
  <c r="CM825" i="9"/>
  <c r="CL825" i="9"/>
  <c r="CK825" i="9"/>
  <c r="CJ825" i="9"/>
  <c r="CI825" i="9"/>
  <c r="CH825" i="9"/>
  <c r="CG825" i="9"/>
  <c r="CF825" i="9"/>
  <c r="CE825" i="9"/>
  <c r="CD825" i="9"/>
  <c r="CC825" i="9"/>
  <c r="CB825" i="9"/>
  <c r="EI824" i="9"/>
  <c r="EH824" i="9"/>
  <c r="EG824" i="9"/>
  <c r="EF824" i="9"/>
  <c r="EE824" i="9"/>
  <c r="ED824" i="9"/>
  <c r="EC824" i="9"/>
  <c r="EB824" i="9"/>
  <c r="EA824" i="9"/>
  <c r="DZ824" i="9"/>
  <c r="DY824" i="9"/>
  <c r="DX824" i="9"/>
  <c r="DW824" i="9"/>
  <c r="DV824" i="9"/>
  <c r="DU824" i="9"/>
  <c r="DT824" i="9"/>
  <c r="DS824" i="9"/>
  <c r="DR824" i="9"/>
  <c r="DQ824" i="9"/>
  <c r="DP824" i="9"/>
  <c r="DO824" i="9"/>
  <c r="DN824" i="9"/>
  <c r="DM824" i="9"/>
  <c r="DL824" i="9"/>
  <c r="DK824" i="9"/>
  <c r="DJ824" i="9"/>
  <c r="DI824" i="9"/>
  <c r="DH824" i="9"/>
  <c r="DG824" i="9"/>
  <c r="DF824" i="9"/>
  <c r="DE824" i="9"/>
  <c r="DD824" i="9"/>
  <c r="DC824" i="9"/>
  <c r="DB824" i="9"/>
  <c r="DA824" i="9"/>
  <c r="CZ824" i="9"/>
  <c r="CY824" i="9"/>
  <c r="CX824" i="9"/>
  <c r="CW824" i="9"/>
  <c r="CV824" i="9"/>
  <c r="CU824" i="9"/>
  <c r="CT824" i="9"/>
  <c r="CS824" i="9"/>
  <c r="CR824" i="9"/>
  <c r="CQ824" i="9"/>
  <c r="CP824" i="9"/>
  <c r="CO824" i="9"/>
  <c r="CN824" i="9"/>
  <c r="CM824" i="9"/>
  <c r="CL824" i="9"/>
  <c r="CK824" i="9"/>
  <c r="CJ824" i="9"/>
  <c r="CI824" i="9"/>
  <c r="CH824" i="9"/>
  <c r="CG824" i="9"/>
  <c r="CF824" i="9"/>
  <c r="CE824" i="9"/>
  <c r="CD824" i="9"/>
  <c r="CC824" i="9"/>
  <c r="CB824" i="9"/>
  <c r="EI823" i="9"/>
  <c r="EH823" i="9"/>
  <c r="EG823" i="9"/>
  <c r="EF823" i="9"/>
  <c r="EE823" i="9"/>
  <c r="ED823" i="9"/>
  <c r="EC823" i="9"/>
  <c r="EB823" i="9"/>
  <c r="EA823" i="9"/>
  <c r="DZ823" i="9"/>
  <c r="DY823" i="9"/>
  <c r="DX823" i="9"/>
  <c r="DW823" i="9"/>
  <c r="DV823" i="9"/>
  <c r="DU823" i="9"/>
  <c r="DT823" i="9"/>
  <c r="DS823" i="9"/>
  <c r="DR823" i="9"/>
  <c r="DQ823" i="9"/>
  <c r="DP823" i="9"/>
  <c r="DO823" i="9"/>
  <c r="DN823" i="9"/>
  <c r="DM823" i="9"/>
  <c r="DL823" i="9"/>
  <c r="DK823" i="9"/>
  <c r="DJ823" i="9"/>
  <c r="DI823" i="9"/>
  <c r="DH823" i="9"/>
  <c r="DG823" i="9"/>
  <c r="DF823" i="9"/>
  <c r="DE823" i="9"/>
  <c r="DD823" i="9"/>
  <c r="DC823" i="9"/>
  <c r="DB823" i="9"/>
  <c r="DA823" i="9"/>
  <c r="CZ823" i="9"/>
  <c r="CY823" i="9"/>
  <c r="CX823" i="9"/>
  <c r="CW823" i="9"/>
  <c r="CV823" i="9"/>
  <c r="CU823" i="9"/>
  <c r="CT823" i="9"/>
  <c r="CS823" i="9"/>
  <c r="CR823" i="9"/>
  <c r="CQ823" i="9"/>
  <c r="CP823" i="9"/>
  <c r="CO823" i="9"/>
  <c r="CN823" i="9"/>
  <c r="CM823" i="9"/>
  <c r="CL823" i="9"/>
  <c r="CK823" i="9"/>
  <c r="CJ823" i="9"/>
  <c r="CI823" i="9"/>
  <c r="CH823" i="9"/>
  <c r="CG823" i="9"/>
  <c r="CF823" i="9"/>
  <c r="CE823" i="9"/>
  <c r="CD823" i="9"/>
  <c r="CC823" i="9"/>
  <c r="CB823" i="9"/>
  <c r="EI822" i="9"/>
  <c r="EH822" i="9"/>
  <c r="EG822" i="9"/>
  <c r="EF822" i="9"/>
  <c r="EE822" i="9"/>
  <c r="ED822" i="9"/>
  <c r="EC822" i="9"/>
  <c r="EB822" i="9"/>
  <c r="EA822" i="9"/>
  <c r="DZ822" i="9"/>
  <c r="DY822" i="9"/>
  <c r="DX822" i="9"/>
  <c r="DW822" i="9"/>
  <c r="DV822" i="9"/>
  <c r="DU822" i="9"/>
  <c r="DT822" i="9"/>
  <c r="DS822" i="9"/>
  <c r="DR822" i="9"/>
  <c r="DQ822" i="9"/>
  <c r="DP822" i="9"/>
  <c r="DO822" i="9"/>
  <c r="DN822" i="9"/>
  <c r="DM822" i="9"/>
  <c r="DL822" i="9"/>
  <c r="DK822" i="9"/>
  <c r="DJ822" i="9"/>
  <c r="DI822" i="9"/>
  <c r="DH822" i="9"/>
  <c r="DG822" i="9"/>
  <c r="DF822" i="9"/>
  <c r="DE822" i="9"/>
  <c r="DD822" i="9"/>
  <c r="DC822" i="9"/>
  <c r="DB822" i="9"/>
  <c r="DA822" i="9"/>
  <c r="CZ822" i="9"/>
  <c r="CY822" i="9"/>
  <c r="CX822" i="9"/>
  <c r="CW822" i="9"/>
  <c r="CV822" i="9"/>
  <c r="CU822" i="9"/>
  <c r="CT822" i="9"/>
  <c r="CS822" i="9"/>
  <c r="CR822" i="9"/>
  <c r="CQ822" i="9"/>
  <c r="CP822" i="9"/>
  <c r="CO822" i="9"/>
  <c r="CN822" i="9"/>
  <c r="CM822" i="9"/>
  <c r="CL822" i="9"/>
  <c r="CK822" i="9"/>
  <c r="CJ822" i="9"/>
  <c r="CI822" i="9"/>
  <c r="CH822" i="9"/>
  <c r="CG822" i="9"/>
  <c r="CF822" i="9"/>
  <c r="CE822" i="9"/>
  <c r="CD822" i="9"/>
  <c r="CC822" i="9"/>
  <c r="CB822" i="9"/>
  <c r="EI821" i="9"/>
  <c r="EH821" i="9"/>
  <c r="EG821" i="9"/>
  <c r="EF821" i="9"/>
  <c r="EE821" i="9"/>
  <c r="ED821" i="9"/>
  <c r="EC821" i="9"/>
  <c r="EB821" i="9"/>
  <c r="EA821" i="9"/>
  <c r="DZ821" i="9"/>
  <c r="DY821" i="9"/>
  <c r="DX821" i="9"/>
  <c r="DW821" i="9"/>
  <c r="DV821" i="9"/>
  <c r="DU821" i="9"/>
  <c r="DT821" i="9"/>
  <c r="DS821" i="9"/>
  <c r="DR821" i="9"/>
  <c r="DQ821" i="9"/>
  <c r="DP821" i="9"/>
  <c r="DO821" i="9"/>
  <c r="DN821" i="9"/>
  <c r="DM821" i="9"/>
  <c r="DL821" i="9"/>
  <c r="DK821" i="9"/>
  <c r="DJ821" i="9"/>
  <c r="DI821" i="9"/>
  <c r="DH821" i="9"/>
  <c r="DG821" i="9"/>
  <c r="DF821" i="9"/>
  <c r="DE821" i="9"/>
  <c r="DD821" i="9"/>
  <c r="DC821" i="9"/>
  <c r="DB821" i="9"/>
  <c r="DA821" i="9"/>
  <c r="CZ821" i="9"/>
  <c r="CY821" i="9"/>
  <c r="CX821" i="9"/>
  <c r="CW821" i="9"/>
  <c r="CV821" i="9"/>
  <c r="CU821" i="9"/>
  <c r="CT821" i="9"/>
  <c r="CS821" i="9"/>
  <c r="CR821" i="9"/>
  <c r="CQ821" i="9"/>
  <c r="CP821" i="9"/>
  <c r="CO821" i="9"/>
  <c r="CN821" i="9"/>
  <c r="CM821" i="9"/>
  <c r="CL821" i="9"/>
  <c r="CK821" i="9"/>
  <c r="CJ821" i="9"/>
  <c r="CI821" i="9"/>
  <c r="CH821" i="9"/>
  <c r="CG821" i="9"/>
  <c r="CF821" i="9"/>
  <c r="CE821" i="9"/>
  <c r="CD821" i="9"/>
  <c r="CC821" i="9"/>
  <c r="CB821" i="9"/>
  <c r="EI819" i="9"/>
  <c r="EH819" i="9"/>
  <c r="EG819" i="9"/>
  <c r="EF819" i="9"/>
  <c r="EE819" i="9"/>
  <c r="ED819" i="9"/>
  <c r="EC819" i="9"/>
  <c r="EB819" i="9"/>
  <c r="EA819" i="9"/>
  <c r="DZ819" i="9"/>
  <c r="DY819" i="9"/>
  <c r="DX819" i="9"/>
  <c r="DW819" i="9"/>
  <c r="DV819" i="9"/>
  <c r="DU819" i="9"/>
  <c r="DT819" i="9"/>
  <c r="DS819" i="9"/>
  <c r="DR819" i="9"/>
  <c r="DQ819" i="9"/>
  <c r="DP819" i="9"/>
  <c r="DO819" i="9"/>
  <c r="DN819" i="9"/>
  <c r="DM819" i="9"/>
  <c r="DL819" i="9"/>
  <c r="DK819" i="9"/>
  <c r="DJ819" i="9"/>
  <c r="DI819" i="9"/>
  <c r="DH819" i="9"/>
  <c r="DG819" i="9"/>
  <c r="DF819" i="9"/>
  <c r="DE819" i="9"/>
  <c r="DD819" i="9"/>
  <c r="DC819" i="9"/>
  <c r="DB819" i="9"/>
  <c r="DA819" i="9"/>
  <c r="CZ819" i="9"/>
  <c r="CY819" i="9"/>
  <c r="CX819" i="9"/>
  <c r="CW819" i="9"/>
  <c r="CV819" i="9"/>
  <c r="CU819" i="9"/>
  <c r="CT819" i="9"/>
  <c r="CS819" i="9"/>
  <c r="CR819" i="9"/>
  <c r="CQ819" i="9"/>
  <c r="CP819" i="9"/>
  <c r="CO819" i="9"/>
  <c r="CN819" i="9"/>
  <c r="CM819" i="9"/>
  <c r="CL819" i="9"/>
  <c r="CK819" i="9"/>
  <c r="CJ819" i="9"/>
  <c r="CI819" i="9"/>
  <c r="CH819" i="9"/>
  <c r="CG819" i="9"/>
  <c r="CF819" i="9"/>
  <c r="CE819" i="9"/>
  <c r="CD819" i="9"/>
  <c r="CC819" i="9"/>
  <c r="CB819" i="9"/>
  <c r="EI818" i="9"/>
  <c r="EH818" i="9"/>
  <c r="EG818" i="9"/>
  <c r="EF818" i="9"/>
  <c r="EE818" i="9"/>
  <c r="ED818" i="9"/>
  <c r="EC818" i="9"/>
  <c r="EB818" i="9"/>
  <c r="EA818" i="9"/>
  <c r="DZ818" i="9"/>
  <c r="DY818" i="9"/>
  <c r="DX818" i="9"/>
  <c r="DW818" i="9"/>
  <c r="DV818" i="9"/>
  <c r="DU818" i="9"/>
  <c r="DT818" i="9"/>
  <c r="DS818" i="9"/>
  <c r="DR818" i="9"/>
  <c r="DQ818" i="9"/>
  <c r="DP818" i="9"/>
  <c r="DO818" i="9"/>
  <c r="DN818" i="9"/>
  <c r="DM818" i="9"/>
  <c r="DL818" i="9"/>
  <c r="DK818" i="9"/>
  <c r="DJ818" i="9"/>
  <c r="DI818" i="9"/>
  <c r="DH818" i="9"/>
  <c r="DG818" i="9"/>
  <c r="DF818" i="9"/>
  <c r="DE818" i="9"/>
  <c r="DD818" i="9"/>
  <c r="DC818" i="9"/>
  <c r="DB818" i="9"/>
  <c r="DA818" i="9"/>
  <c r="CZ818" i="9"/>
  <c r="CY818" i="9"/>
  <c r="CX818" i="9"/>
  <c r="CW818" i="9"/>
  <c r="CV818" i="9"/>
  <c r="CU818" i="9"/>
  <c r="CT818" i="9"/>
  <c r="CS818" i="9"/>
  <c r="CR818" i="9"/>
  <c r="CQ818" i="9"/>
  <c r="CP818" i="9"/>
  <c r="CO818" i="9"/>
  <c r="CN818" i="9"/>
  <c r="CM818" i="9"/>
  <c r="CL818" i="9"/>
  <c r="CK818" i="9"/>
  <c r="CJ818" i="9"/>
  <c r="CI818" i="9"/>
  <c r="CH818" i="9"/>
  <c r="CG818" i="9"/>
  <c r="CF818" i="9"/>
  <c r="CE818" i="9"/>
  <c r="CD818" i="9"/>
  <c r="CC818" i="9"/>
  <c r="CB818" i="9"/>
  <c r="EI817" i="9"/>
  <c r="EH817" i="9"/>
  <c r="EG817" i="9"/>
  <c r="EF817" i="9"/>
  <c r="EE817" i="9"/>
  <c r="ED817" i="9"/>
  <c r="EC817" i="9"/>
  <c r="EB817" i="9"/>
  <c r="EA817" i="9"/>
  <c r="DZ817" i="9"/>
  <c r="DY817" i="9"/>
  <c r="DX817" i="9"/>
  <c r="DW817" i="9"/>
  <c r="DV817" i="9"/>
  <c r="DU817" i="9"/>
  <c r="DT817" i="9"/>
  <c r="DS817" i="9"/>
  <c r="DR817" i="9"/>
  <c r="DQ817" i="9"/>
  <c r="DP817" i="9"/>
  <c r="DO817" i="9"/>
  <c r="DN817" i="9"/>
  <c r="DM817" i="9"/>
  <c r="DL817" i="9"/>
  <c r="DK817" i="9"/>
  <c r="DJ817" i="9"/>
  <c r="DI817" i="9"/>
  <c r="DH817" i="9"/>
  <c r="DG817" i="9"/>
  <c r="DF817" i="9"/>
  <c r="DE817" i="9"/>
  <c r="DD817" i="9"/>
  <c r="DC817" i="9"/>
  <c r="DB817" i="9"/>
  <c r="DA817" i="9"/>
  <c r="CZ817" i="9"/>
  <c r="CY817" i="9"/>
  <c r="CX817" i="9"/>
  <c r="CW817" i="9"/>
  <c r="CV817" i="9"/>
  <c r="CU817" i="9"/>
  <c r="CT817" i="9"/>
  <c r="CS817" i="9"/>
  <c r="CR817" i="9"/>
  <c r="CQ817" i="9"/>
  <c r="CP817" i="9"/>
  <c r="CO817" i="9"/>
  <c r="CN817" i="9"/>
  <c r="CM817" i="9"/>
  <c r="CL817" i="9"/>
  <c r="CK817" i="9"/>
  <c r="CJ817" i="9"/>
  <c r="CI817" i="9"/>
  <c r="CH817" i="9"/>
  <c r="CG817" i="9"/>
  <c r="CF817" i="9"/>
  <c r="CE817" i="9"/>
  <c r="CD817" i="9"/>
  <c r="CC817" i="9"/>
  <c r="CB817" i="9"/>
  <c r="EI816" i="9"/>
  <c r="EH816" i="9"/>
  <c r="EG816" i="9"/>
  <c r="EF816" i="9"/>
  <c r="EE816" i="9"/>
  <c r="ED816" i="9"/>
  <c r="EC816" i="9"/>
  <c r="EB816" i="9"/>
  <c r="EA816" i="9"/>
  <c r="DZ816" i="9"/>
  <c r="DY816" i="9"/>
  <c r="DX816" i="9"/>
  <c r="DW816" i="9"/>
  <c r="DV816" i="9"/>
  <c r="DU816" i="9"/>
  <c r="DT816" i="9"/>
  <c r="DS816" i="9"/>
  <c r="DR816" i="9"/>
  <c r="DQ816" i="9"/>
  <c r="DP816" i="9"/>
  <c r="DO816" i="9"/>
  <c r="DN816" i="9"/>
  <c r="DM816" i="9"/>
  <c r="DL816" i="9"/>
  <c r="DK816" i="9"/>
  <c r="DJ816" i="9"/>
  <c r="DI816" i="9"/>
  <c r="DH816" i="9"/>
  <c r="DG816" i="9"/>
  <c r="DF816" i="9"/>
  <c r="DE816" i="9"/>
  <c r="DD816" i="9"/>
  <c r="DC816" i="9"/>
  <c r="DB816" i="9"/>
  <c r="DA816" i="9"/>
  <c r="CZ816" i="9"/>
  <c r="CY816" i="9"/>
  <c r="CX816" i="9"/>
  <c r="CW816" i="9"/>
  <c r="CV816" i="9"/>
  <c r="CU816" i="9"/>
  <c r="CT816" i="9"/>
  <c r="CS816" i="9"/>
  <c r="CR816" i="9"/>
  <c r="CQ816" i="9"/>
  <c r="CP816" i="9"/>
  <c r="CO816" i="9"/>
  <c r="CN816" i="9"/>
  <c r="CM816" i="9"/>
  <c r="CL816" i="9"/>
  <c r="CK816" i="9"/>
  <c r="CJ816" i="9"/>
  <c r="CI816" i="9"/>
  <c r="CH816" i="9"/>
  <c r="CG816" i="9"/>
  <c r="CF816" i="9"/>
  <c r="CE816" i="9"/>
  <c r="CD816" i="9"/>
  <c r="CC816" i="9"/>
  <c r="CB816" i="9"/>
  <c r="EI815" i="9"/>
  <c r="EH815" i="9"/>
  <c r="EG815" i="9"/>
  <c r="EF815" i="9"/>
  <c r="EE815" i="9"/>
  <c r="ED815" i="9"/>
  <c r="EC815" i="9"/>
  <c r="EB815" i="9"/>
  <c r="EA815" i="9"/>
  <c r="DZ815" i="9"/>
  <c r="DY815" i="9"/>
  <c r="DX815" i="9"/>
  <c r="DW815" i="9"/>
  <c r="DV815" i="9"/>
  <c r="DU815" i="9"/>
  <c r="DT815" i="9"/>
  <c r="DS815" i="9"/>
  <c r="DR815" i="9"/>
  <c r="DQ815" i="9"/>
  <c r="DP815" i="9"/>
  <c r="DO815" i="9"/>
  <c r="DN815" i="9"/>
  <c r="DM815" i="9"/>
  <c r="DL815" i="9"/>
  <c r="DK815" i="9"/>
  <c r="DJ815" i="9"/>
  <c r="DI815" i="9"/>
  <c r="DH815" i="9"/>
  <c r="DG815" i="9"/>
  <c r="DF815" i="9"/>
  <c r="DE815" i="9"/>
  <c r="DD815" i="9"/>
  <c r="DC815" i="9"/>
  <c r="DB815" i="9"/>
  <c r="DA815" i="9"/>
  <c r="CZ815" i="9"/>
  <c r="CY815" i="9"/>
  <c r="CX815" i="9"/>
  <c r="CW815" i="9"/>
  <c r="CV815" i="9"/>
  <c r="CU815" i="9"/>
  <c r="CT815" i="9"/>
  <c r="CS815" i="9"/>
  <c r="CR815" i="9"/>
  <c r="CQ815" i="9"/>
  <c r="CP815" i="9"/>
  <c r="CO815" i="9"/>
  <c r="CN815" i="9"/>
  <c r="CM815" i="9"/>
  <c r="CL815" i="9"/>
  <c r="CK815" i="9"/>
  <c r="CJ815" i="9"/>
  <c r="CI815" i="9"/>
  <c r="CH815" i="9"/>
  <c r="CG815" i="9"/>
  <c r="CF815" i="9"/>
  <c r="CE815" i="9"/>
  <c r="CD815" i="9"/>
  <c r="CC815" i="9"/>
  <c r="CB815" i="9"/>
  <c r="EI814" i="9"/>
  <c r="EH814" i="9"/>
  <c r="EG814" i="9"/>
  <c r="EF814" i="9"/>
  <c r="EE814" i="9"/>
  <c r="ED814" i="9"/>
  <c r="EC814" i="9"/>
  <c r="EB814" i="9"/>
  <c r="EA814" i="9"/>
  <c r="DZ814" i="9"/>
  <c r="DY814" i="9"/>
  <c r="DX814" i="9"/>
  <c r="DW814" i="9"/>
  <c r="DV814" i="9"/>
  <c r="DU814" i="9"/>
  <c r="DT814" i="9"/>
  <c r="DS814" i="9"/>
  <c r="DR814" i="9"/>
  <c r="DQ814" i="9"/>
  <c r="DP814" i="9"/>
  <c r="DO814" i="9"/>
  <c r="DN814" i="9"/>
  <c r="DM814" i="9"/>
  <c r="DL814" i="9"/>
  <c r="DK814" i="9"/>
  <c r="DJ814" i="9"/>
  <c r="DI814" i="9"/>
  <c r="DH814" i="9"/>
  <c r="DG814" i="9"/>
  <c r="DF814" i="9"/>
  <c r="DE814" i="9"/>
  <c r="DD814" i="9"/>
  <c r="DC814" i="9"/>
  <c r="DB814" i="9"/>
  <c r="DA814" i="9"/>
  <c r="CZ814" i="9"/>
  <c r="CY814" i="9"/>
  <c r="CX814" i="9"/>
  <c r="CW814" i="9"/>
  <c r="CV814" i="9"/>
  <c r="CU814" i="9"/>
  <c r="CT814" i="9"/>
  <c r="CS814" i="9"/>
  <c r="CR814" i="9"/>
  <c r="CQ814" i="9"/>
  <c r="CP814" i="9"/>
  <c r="CO814" i="9"/>
  <c r="CN814" i="9"/>
  <c r="CM814" i="9"/>
  <c r="CL814" i="9"/>
  <c r="CK814" i="9"/>
  <c r="CJ814" i="9"/>
  <c r="CI814" i="9"/>
  <c r="CH814" i="9"/>
  <c r="CG814" i="9"/>
  <c r="CF814" i="9"/>
  <c r="CE814" i="9"/>
  <c r="CD814" i="9"/>
  <c r="CC814" i="9"/>
  <c r="CB814" i="9"/>
  <c r="EI813" i="9"/>
  <c r="EH813" i="9"/>
  <c r="EG813" i="9"/>
  <c r="EF813" i="9"/>
  <c r="EE813" i="9"/>
  <c r="ED813" i="9"/>
  <c r="EC813" i="9"/>
  <c r="EB813" i="9"/>
  <c r="EA813" i="9"/>
  <c r="DZ813" i="9"/>
  <c r="DY813" i="9"/>
  <c r="DX813" i="9"/>
  <c r="DW813" i="9"/>
  <c r="DV813" i="9"/>
  <c r="DU813" i="9"/>
  <c r="DT813" i="9"/>
  <c r="DS813" i="9"/>
  <c r="DR813" i="9"/>
  <c r="DQ813" i="9"/>
  <c r="DP813" i="9"/>
  <c r="DO813" i="9"/>
  <c r="DN813" i="9"/>
  <c r="DM813" i="9"/>
  <c r="DL813" i="9"/>
  <c r="DK813" i="9"/>
  <c r="DJ813" i="9"/>
  <c r="DI813" i="9"/>
  <c r="DH813" i="9"/>
  <c r="DG813" i="9"/>
  <c r="DF813" i="9"/>
  <c r="DE813" i="9"/>
  <c r="DD813" i="9"/>
  <c r="DC813" i="9"/>
  <c r="DB813" i="9"/>
  <c r="DA813" i="9"/>
  <c r="CZ813" i="9"/>
  <c r="CY813" i="9"/>
  <c r="CX813" i="9"/>
  <c r="CW813" i="9"/>
  <c r="CV813" i="9"/>
  <c r="CU813" i="9"/>
  <c r="CT813" i="9"/>
  <c r="CS813" i="9"/>
  <c r="CR813" i="9"/>
  <c r="CQ813" i="9"/>
  <c r="CP813" i="9"/>
  <c r="CO813" i="9"/>
  <c r="CN813" i="9"/>
  <c r="CM813" i="9"/>
  <c r="CL813" i="9"/>
  <c r="CK813" i="9"/>
  <c r="CJ813" i="9"/>
  <c r="CI813" i="9"/>
  <c r="CH813" i="9"/>
  <c r="CG813" i="9"/>
  <c r="CF813" i="9"/>
  <c r="CE813" i="9"/>
  <c r="CD813" i="9"/>
  <c r="CC813" i="9"/>
  <c r="CB813" i="9"/>
  <c r="EI811" i="9"/>
  <c r="EH811" i="9"/>
  <c r="EG811" i="9"/>
  <c r="EF811" i="9"/>
  <c r="EE811" i="9"/>
  <c r="ED811" i="9"/>
  <c r="EC811" i="9"/>
  <c r="EB811" i="9"/>
  <c r="EA811" i="9"/>
  <c r="DZ811" i="9"/>
  <c r="DY811" i="9"/>
  <c r="DX811" i="9"/>
  <c r="DW811" i="9"/>
  <c r="DV811" i="9"/>
  <c r="DU811" i="9"/>
  <c r="DT811" i="9"/>
  <c r="DS811" i="9"/>
  <c r="DR811" i="9"/>
  <c r="DQ811" i="9"/>
  <c r="DP811" i="9"/>
  <c r="DO811" i="9"/>
  <c r="DN811" i="9"/>
  <c r="DM811" i="9"/>
  <c r="DL811" i="9"/>
  <c r="DK811" i="9"/>
  <c r="DJ811" i="9"/>
  <c r="DI811" i="9"/>
  <c r="DH811" i="9"/>
  <c r="DG811" i="9"/>
  <c r="DF811" i="9"/>
  <c r="DE811" i="9"/>
  <c r="DD811" i="9"/>
  <c r="DC811" i="9"/>
  <c r="DB811" i="9"/>
  <c r="DA811" i="9"/>
  <c r="CZ811" i="9"/>
  <c r="CY811" i="9"/>
  <c r="CX811" i="9"/>
  <c r="CW811" i="9"/>
  <c r="CV811" i="9"/>
  <c r="CU811" i="9"/>
  <c r="CT811" i="9"/>
  <c r="CS811" i="9"/>
  <c r="CR811" i="9"/>
  <c r="CQ811" i="9"/>
  <c r="CP811" i="9"/>
  <c r="CO811" i="9"/>
  <c r="CN811" i="9"/>
  <c r="CM811" i="9"/>
  <c r="CL811" i="9"/>
  <c r="CK811" i="9"/>
  <c r="CJ811" i="9"/>
  <c r="CI811" i="9"/>
  <c r="CH811" i="9"/>
  <c r="CG811" i="9"/>
  <c r="CF811" i="9"/>
  <c r="CE811" i="9"/>
  <c r="CD811" i="9"/>
  <c r="CC811" i="9"/>
  <c r="CB811" i="9"/>
  <c r="EI810" i="9"/>
  <c r="EH810" i="9"/>
  <c r="EG810" i="9"/>
  <c r="EF810" i="9"/>
  <c r="EE810" i="9"/>
  <c r="ED810" i="9"/>
  <c r="EC810" i="9"/>
  <c r="EB810" i="9"/>
  <c r="EA810" i="9"/>
  <c r="DZ810" i="9"/>
  <c r="DY810" i="9"/>
  <c r="DX810" i="9"/>
  <c r="DW810" i="9"/>
  <c r="DV810" i="9"/>
  <c r="DU810" i="9"/>
  <c r="DT810" i="9"/>
  <c r="DS810" i="9"/>
  <c r="DR810" i="9"/>
  <c r="DQ810" i="9"/>
  <c r="DP810" i="9"/>
  <c r="DO810" i="9"/>
  <c r="DN810" i="9"/>
  <c r="DM810" i="9"/>
  <c r="DL810" i="9"/>
  <c r="DK810" i="9"/>
  <c r="DJ810" i="9"/>
  <c r="DI810" i="9"/>
  <c r="DH810" i="9"/>
  <c r="DG810" i="9"/>
  <c r="DF810" i="9"/>
  <c r="DE810" i="9"/>
  <c r="DD810" i="9"/>
  <c r="DC810" i="9"/>
  <c r="DB810" i="9"/>
  <c r="DA810" i="9"/>
  <c r="CZ810" i="9"/>
  <c r="CY810" i="9"/>
  <c r="CX810" i="9"/>
  <c r="CW810" i="9"/>
  <c r="CV810" i="9"/>
  <c r="CU810" i="9"/>
  <c r="CT810" i="9"/>
  <c r="CS810" i="9"/>
  <c r="CR810" i="9"/>
  <c r="CQ810" i="9"/>
  <c r="CP810" i="9"/>
  <c r="CO810" i="9"/>
  <c r="CN810" i="9"/>
  <c r="CM810" i="9"/>
  <c r="CL810" i="9"/>
  <c r="CK810" i="9"/>
  <c r="CJ810" i="9"/>
  <c r="CI810" i="9"/>
  <c r="CH810" i="9"/>
  <c r="CG810" i="9"/>
  <c r="CF810" i="9"/>
  <c r="CE810" i="9"/>
  <c r="CD810" i="9"/>
  <c r="CC810" i="9"/>
  <c r="CB810" i="9"/>
  <c r="EI809" i="9"/>
  <c r="EH809" i="9"/>
  <c r="EG809" i="9"/>
  <c r="EF809" i="9"/>
  <c r="EE809" i="9"/>
  <c r="ED809" i="9"/>
  <c r="EC809" i="9"/>
  <c r="EB809" i="9"/>
  <c r="EA809" i="9"/>
  <c r="DZ809" i="9"/>
  <c r="DY809" i="9"/>
  <c r="DX809" i="9"/>
  <c r="DW809" i="9"/>
  <c r="DV809" i="9"/>
  <c r="DU809" i="9"/>
  <c r="DT809" i="9"/>
  <c r="DS809" i="9"/>
  <c r="DR809" i="9"/>
  <c r="DQ809" i="9"/>
  <c r="DP809" i="9"/>
  <c r="DO809" i="9"/>
  <c r="DN809" i="9"/>
  <c r="DM809" i="9"/>
  <c r="DL809" i="9"/>
  <c r="DK809" i="9"/>
  <c r="DJ809" i="9"/>
  <c r="DI809" i="9"/>
  <c r="DH809" i="9"/>
  <c r="DG809" i="9"/>
  <c r="DF809" i="9"/>
  <c r="DE809" i="9"/>
  <c r="DD809" i="9"/>
  <c r="DC809" i="9"/>
  <c r="DB809" i="9"/>
  <c r="DA809" i="9"/>
  <c r="CZ809" i="9"/>
  <c r="CY809" i="9"/>
  <c r="CX809" i="9"/>
  <c r="CW809" i="9"/>
  <c r="CV809" i="9"/>
  <c r="CU809" i="9"/>
  <c r="CT809" i="9"/>
  <c r="CS809" i="9"/>
  <c r="CR809" i="9"/>
  <c r="CQ809" i="9"/>
  <c r="CP809" i="9"/>
  <c r="CO809" i="9"/>
  <c r="CN809" i="9"/>
  <c r="CM809" i="9"/>
  <c r="CL809" i="9"/>
  <c r="CK809" i="9"/>
  <c r="CJ809" i="9"/>
  <c r="CI809" i="9"/>
  <c r="CH809" i="9"/>
  <c r="CG809" i="9"/>
  <c r="CF809" i="9"/>
  <c r="CE809" i="9"/>
  <c r="CD809" i="9"/>
  <c r="CC809" i="9"/>
  <c r="CB809" i="9"/>
  <c r="EI808" i="9"/>
  <c r="EH808" i="9"/>
  <c r="EG808" i="9"/>
  <c r="EF808" i="9"/>
  <c r="EE808" i="9"/>
  <c r="ED808" i="9"/>
  <c r="EC808" i="9"/>
  <c r="EB808" i="9"/>
  <c r="EA808" i="9"/>
  <c r="DZ808" i="9"/>
  <c r="DY808" i="9"/>
  <c r="DX808" i="9"/>
  <c r="DW808" i="9"/>
  <c r="DV808" i="9"/>
  <c r="DU808" i="9"/>
  <c r="DT808" i="9"/>
  <c r="DS808" i="9"/>
  <c r="DR808" i="9"/>
  <c r="DQ808" i="9"/>
  <c r="DP808" i="9"/>
  <c r="DO808" i="9"/>
  <c r="DN808" i="9"/>
  <c r="DM808" i="9"/>
  <c r="DL808" i="9"/>
  <c r="DK808" i="9"/>
  <c r="DJ808" i="9"/>
  <c r="DI808" i="9"/>
  <c r="DH808" i="9"/>
  <c r="DG808" i="9"/>
  <c r="DF808" i="9"/>
  <c r="DE808" i="9"/>
  <c r="DD808" i="9"/>
  <c r="DC808" i="9"/>
  <c r="DB808" i="9"/>
  <c r="DA808" i="9"/>
  <c r="CZ808" i="9"/>
  <c r="CY808" i="9"/>
  <c r="CX808" i="9"/>
  <c r="CW808" i="9"/>
  <c r="CV808" i="9"/>
  <c r="CU808" i="9"/>
  <c r="CT808" i="9"/>
  <c r="CS808" i="9"/>
  <c r="CR808" i="9"/>
  <c r="CQ808" i="9"/>
  <c r="CP808" i="9"/>
  <c r="CO808" i="9"/>
  <c r="CN808" i="9"/>
  <c r="CM808" i="9"/>
  <c r="CL808" i="9"/>
  <c r="CK808" i="9"/>
  <c r="CJ808" i="9"/>
  <c r="CI808" i="9"/>
  <c r="CH808" i="9"/>
  <c r="CG808" i="9"/>
  <c r="CF808" i="9"/>
  <c r="CE808" i="9"/>
  <c r="CD808" i="9"/>
  <c r="CC808" i="9"/>
  <c r="CB808" i="9"/>
  <c r="EI807" i="9"/>
  <c r="EH807" i="9"/>
  <c r="EG807" i="9"/>
  <c r="EF807" i="9"/>
  <c r="EE807" i="9"/>
  <c r="ED807" i="9"/>
  <c r="EC807" i="9"/>
  <c r="EB807" i="9"/>
  <c r="EA807" i="9"/>
  <c r="DZ807" i="9"/>
  <c r="DY807" i="9"/>
  <c r="DX807" i="9"/>
  <c r="DW807" i="9"/>
  <c r="DV807" i="9"/>
  <c r="DU807" i="9"/>
  <c r="DT807" i="9"/>
  <c r="DS807" i="9"/>
  <c r="DR807" i="9"/>
  <c r="DQ807" i="9"/>
  <c r="DP807" i="9"/>
  <c r="DO807" i="9"/>
  <c r="DN807" i="9"/>
  <c r="DM807" i="9"/>
  <c r="DL807" i="9"/>
  <c r="DK807" i="9"/>
  <c r="DJ807" i="9"/>
  <c r="DI807" i="9"/>
  <c r="DH807" i="9"/>
  <c r="DG807" i="9"/>
  <c r="DF807" i="9"/>
  <c r="DE807" i="9"/>
  <c r="DD807" i="9"/>
  <c r="DC807" i="9"/>
  <c r="DB807" i="9"/>
  <c r="DA807" i="9"/>
  <c r="CZ807" i="9"/>
  <c r="CY807" i="9"/>
  <c r="CX807" i="9"/>
  <c r="CW807" i="9"/>
  <c r="CV807" i="9"/>
  <c r="CU807" i="9"/>
  <c r="CT807" i="9"/>
  <c r="CS807" i="9"/>
  <c r="CR807" i="9"/>
  <c r="CQ807" i="9"/>
  <c r="CP807" i="9"/>
  <c r="CO807" i="9"/>
  <c r="CN807" i="9"/>
  <c r="CM807" i="9"/>
  <c r="CL807" i="9"/>
  <c r="CK807" i="9"/>
  <c r="CJ807" i="9"/>
  <c r="CI807" i="9"/>
  <c r="CH807" i="9"/>
  <c r="CG807" i="9"/>
  <c r="CF807" i="9"/>
  <c r="CE807" i="9"/>
  <c r="CD807" i="9"/>
  <c r="CC807" i="9"/>
  <c r="CB807" i="9"/>
  <c r="EI806" i="9"/>
  <c r="EH806" i="9"/>
  <c r="EG806" i="9"/>
  <c r="EF806" i="9"/>
  <c r="EE806" i="9"/>
  <c r="ED806" i="9"/>
  <c r="EC806" i="9"/>
  <c r="EB806" i="9"/>
  <c r="EA806" i="9"/>
  <c r="DZ806" i="9"/>
  <c r="DY806" i="9"/>
  <c r="DX806" i="9"/>
  <c r="DW806" i="9"/>
  <c r="DV806" i="9"/>
  <c r="DU806" i="9"/>
  <c r="DT806" i="9"/>
  <c r="DS806" i="9"/>
  <c r="DR806" i="9"/>
  <c r="DQ806" i="9"/>
  <c r="DP806" i="9"/>
  <c r="DO806" i="9"/>
  <c r="DN806" i="9"/>
  <c r="DM806" i="9"/>
  <c r="DL806" i="9"/>
  <c r="DK806" i="9"/>
  <c r="DJ806" i="9"/>
  <c r="DI806" i="9"/>
  <c r="DH806" i="9"/>
  <c r="DG806" i="9"/>
  <c r="DF806" i="9"/>
  <c r="DE806" i="9"/>
  <c r="DD806" i="9"/>
  <c r="DC806" i="9"/>
  <c r="DB806" i="9"/>
  <c r="DA806" i="9"/>
  <c r="CZ806" i="9"/>
  <c r="CY806" i="9"/>
  <c r="CX806" i="9"/>
  <c r="CW806" i="9"/>
  <c r="CV806" i="9"/>
  <c r="CU806" i="9"/>
  <c r="CT806" i="9"/>
  <c r="CS806" i="9"/>
  <c r="CR806" i="9"/>
  <c r="CQ806" i="9"/>
  <c r="CP806" i="9"/>
  <c r="CO806" i="9"/>
  <c r="CN806" i="9"/>
  <c r="CM806" i="9"/>
  <c r="CL806" i="9"/>
  <c r="CK806" i="9"/>
  <c r="CJ806" i="9"/>
  <c r="CI806" i="9"/>
  <c r="CH806" i="9"/>
  <c r="CG806" i="9"/>
  <c r="CF806" i="9"/>
  <c r="CE806" i="9"/>
  <c r="CD806" i="9"/>
  <c r="CC806" i="9"/>
  <c r="CB806" i="9"/>
  <c r="EI805" i="9"/>
  <c r="EH805" i="9"/>
  <c r="EG805" i="9"/>
  <c r="EF805" i="9"/>
  <c r="EE805" i="9"/>
  <c r="ED805" i="9"/>
  <c r="EC805" i="9"/>
  <c r="EB805" i="9"/>
  <c r="EA805" i="9"/>
  <c r="DZ805" i="9"/>
  <c r="DY805" i="9"/>
  <c r="DX805" i="9"/>
  <c r="DW805" i="9"/>
  <c r="DV805" i="9"/>
  <c r="DU805" i="9"/>
  <c r="DT805" i="9"/>
  <c r="DS805" i="9"/>
  <c r="DR805" i="9"/>
  <c r="DQ805" i="9"/>
  <c r="DP805" i="9"/>
  <c r="DO805" i="9"/>
  <c r="DN805" i="9"/>
  <c r="DM805" i="9"/>
  <c r="DL805" i="9"/>
  <c r="DK805" i="9"/>
  <c r="DJ805" i="9"/>
  <c r="DI805" i="9"/>
  <c r="DH805" i="9"/>
  <c r="DG805" i="9"/>
  <c r="DF805" i="9"/>
  <c r="DE805" i="9"/>
  <c r="DD805" i="9"/>
  <c r="DC805" i="9"/>
  <c r="DB805" i="9"/>
  <c r="DA805" i="9"/>
  <c r="CZ805" i="9"/>
  <c r="CY805" i="9"/>
  <c r="CX805" i="9"/>
  <c r="CW805" i="9"/>
  <c r="CV805" i="9"/>
  <c r="CU805" i="9"/>
  <c r="CT805" i="9"/>
  <c r="CS805" i="9"/>
  <c r="CR805" i="9"/>
  <c r="CQ805" i="9"/>
  <c r="CP805" i="9"/>
  <c r="CO805" i="9"/>
  <c r="CN805" i="9"/>
  <c r="CM805" i="9"/>
  <c r="CL805" i="9"/>
  <c r="CK805" i="9"/>
  <c r="CJ805" i="9"/>
  <c r="CI805" i="9"/>
  <c r="CH805" i="9"/>
  <c r="CG805" i="9"/>
  <c r="CF805" i="9"/>
  <c r="CE805" i="9"/>
  <c r="CD805" i="9"/>
  <c r="CC805" i="9"/>
  <c r="CB805" i="9"/>
  <c r="EI803" i="9"/>
  <c r="EH803" i="9"/>
  <c r="EG803" i="9"/>
  <c r="EF803" i="9"/>
  <c r="EE803" i="9"/>
  <c r="ED803" i="9"/>
  <c r="EC803" i="9"/>
  <c r="EB803" i="9"/>
  <c r="EA803" i="9"/>
  <c r="DZ803" i="9"/>
  <c r="DY803" i="9"/>
  <c r="DX803" i="9"/>
  <c r="DW803" i="9"/>
  <c r="DV803" i="9"/>
  <c r="DU803" i="9"/>
  <c r="DT803" i="9"/>
  <c r="DS803" i="9"/>
  <c r="DR803" i="9"/>
  <c r="DQ803" i="9"/>
  <c r="DP803" i="9"/>
  <c r="DO803" i="9"/>
  <c r="DN803" i="9"/>
  <c r="DM803" i="9"/>
  <c r="DL803" i="9"/>
  <c r="DK803" i="9"/>
  <c r="DJ803" i="9"/>
  <c r="DI803" i="9"/>
  <c r="DH803" i="9"/>
  <c r="DG803" i="9"/>
  <c r="DF803" i="9"/>
  <c r="DE803" i="9"/>
  <c r="DD803" i="9"/>
  <c r="DC803" i="9"/>
  <c r="DB803" i="9"/>
  <c r="DA803" i="9"/>
  <c r="CZ803" i="9"/>
  <c r="CY803" i="9"/>
  <c r="CX803" i="9"/>
  <c r="CW803" i="9"/>
  <c r="CV803" i="9"/>
  <c r="CU803" i="9"/>
  <c r="CT803" i="9"/>
  <c r="CS803" i="9"/>
  <c r="CR803" i="9"/>
  <c r="CQ803" i="9"/>
  <c r="CP803" i="9"/>
  <c r="CO803" i="9"/>
  <c r="CN803" i="9"/>
  <c r="CM803" i="9"/>
  <c r="CL803" i="9"/>
  <c r="CK803" i="9"/>
  <c r="CJ803" i="9"/>
  <c r="CI803" i="9"/>
  <c r="CH803" i="9"/>
  <c r="CG803" i="9"/>
  <c r="CF803" i="9"/>
  <c r="CE803" i="9"/>
  <c r="CD803" i="9"/>
  <c r="CC803" i="9"/>
  <c r="CB803" i="9"/>
  <c r="EI802" i="9"/>
  <c r="EH802" i="9"/>
  <c r="EG802" i="9"/>
  <c r="EF802" i="9"/>
  <c r="EE802" i="9"/>
  <c r="ED802" i="9"/>
  <c r="EC802" i="9"/>
  <c r="EB802" i="9"/>
  <c r="EA802" i="9"/>
  <c r="DZ802" i="9"/>
  <c r="DY802" i="9"/>
  <c r="DX802" i="9"/>
  <c r="DW802" i="9"/>
  <c r="DV802" i="9"/>
  <c r="DU802" i="9"/>
  <c r="DT802" i="9"/>
  <c r="DS802" i="9"/>
  <c r="DR802" i="9"/>
  <c r="DQ802" i="9"/>
  <c r="DP802" i="9"/>
  <c r="DO802" i="9"/>
  <c r="DN802" i="9"/>
  <c r="DM802" i="9"/>
  <c r="DL802" i="9"/>
  <c r="DK802" i="9"/>
  <c r="DJ802" i="9"/>
  <c r="DI802" i="9"/>
  <c r="DH802" i="9"/>
  <c r="DG802" i="9"/>
  <c r="DF802" i="9"/>
  <c r="DE802" i="9"/>
  <c r="DD802" i="9"/>
  <c r="DC802" i="9"/>
  <c r="DB802" i="9"/>
  <c r="DA802" i="9"/>
  <c r="CZ802" i="9"/>
  <c r="CY802" i="9"/>
  <c r="CX802" i="9"/>
  <c r="CW802" i="9"/>
  <c r="CV802" i="9"/>
  <c r="CU802" i="9"/>
  <c r="CT802" i="9"/>
  <c r="CS802" i="9"/>
  <c r="CR802" i="9"/>
  <c r="CQ802" i="9"/>
  <c r="CP802" i="9"/>
  <c r="CO802" i="9"/>
  <c r="CN802" i="9"/>
  <c r="CM802" i="9"/>
  <c r="CL802" i="9"/>
  <c r="CK802" i="9"/>
  <c r="CJ802" i="9"/>
  <c r="CI802" i="9"/>
  <c r="CH802" i="9"/>
  <c r="CG802" i="9"/>
  <c r="CF802" i="9"/>
  <c r="CE802" i="9"/>
  <c r="CD802" i="9"/>
  <c r="CC802" i="9"/>
  <c r="CB802" i="9"/>
  <c r="EI801" i="9"/>
  <c r="EH801" i="9"/>
  <c r="EG801" i="9"/>
  <c r="EF801" i="9"/>
  <c r="EE801" i="9"/>
  <c r="ED801" i="9"/>
  <c r="EC801" i="9"/>
  <c r="EB801" i="9"/>
  <c r="EA801" i="9"/>
  <c r="DZ801" i="9"/>
  <c r="DY801" i="9"/>
  <c r="DX801" i="9"/>
  <c r="DW801" i="9"/>
  <c r="DV801" i="9"/>
  <c r="DU801" i="9"/>
  <c r="DT801" i="9"/>
  <c r="DS801" i="9"/>
  <c r="DR801" i="9"/>
  <c r="DQ801" i="9"/>
  <c r="DP801" i="9"/>
  <c r="DO801" i="9"/>
  <c r="DN801" i="9"/>
  <c r="DM801" i="9"/>
  <c r="DL801" i="9"/>
  <c r="DK801" i="9"/>
  <c r="DJ801" i="9"/>
  <c r="DI801" i="9"/>
  <c r="DH801" i="9"/>
  <c r="DG801" i="9"/>
  <c r="DF801" i="9"/>
  <c r="DE801" i="9"/>
  <c r="DD801" i="9"/>
  <c r="DC801" i="9"/>
  <c r="DB801" i="9"/>
  <c r="DA801" i="9"/>
  <c r="CZ801" i="9"/>
  <c r="CY801" i="9"/>
  <c r="CX801" i="9"/>
  <c r="CW801" i="9"/>
  <c r="CV801" i="9"/>
  <c r="CU801" i="9"/>
  <c r="CT801" i="9"/>
  <c r="CS801" i="9"/>
  <c r="CR801" i="9"/>
  <c r="CQ801" i="9"/>
  <c r="CP801" i="9"/>
  <c r="CO801" i="9"/>
  <c r="CN801" i="9"/>
  <c r="CM801" i="9"/>
  <c r="CL801" i="9"/>
  <c r="CK801" i="9"/>
  <c r="CJ801" i="9"/>
  <c r="CI801" i="9"/>
  <c r="CH801" i="9"/>
  <c r="CG801" i="9"/>
  <c r="CF801" i="9"/>
  <c r="CE801" i="9"/>
  <c r="CD801" i="9"/>
  <c r="CC801" i="9"/>
  <c r="CB801" i="9"/>
  <c r="EI800" i="9"/>
  <c r="EH800" i="9"/>
  <c r="EG800" i="9"/>
  <c r="EF800" i="9"/>
  <c r="EE800" i="9"/>
  <c r="ED800" i="9"/>
  <c r="EC800" i="9"/>
  <c r="EB800" i="9"/>
  <c r="EA800" i="9"/>
  <c r="DZ800" i="9"/>
  <c r="DY800" i="9"/>
  <c r="DX800" i="9"/>
  <c r="DW800" i="9"/>
  <c r="DV800" i="9"/>
  <c r="DU800" i="9"/>
  <c r="DT800" i="9"/>
  <c r="DS800" i="9"/>
  <c r="DR800" i="9"/>
  <c r="DQ800" i="9"/>
  <c r="DP800" i="9"/>
  <c r="DO800" i="9"/>
  <c r="DN800" i="9"/>
  <c r="DM800" i="9"/>
  <c r="DL800" i="9"/>
  <c r="DK800" i="9"/>
  <c r="DJ800" i="9"/>
  <c r="DI800" i="9"/>
  <c r="DH800" i="9"/>
  <c r="DG800" i="9"/>
  <c r="DF800" i="9"/>
  <c r="DE800" i="9"/>
  <c r="DD800" i="9"/>
  <c r="DC800" i="9"/>
  <c r="DB800" i="9"/>
  <c r="DA800" i="9"/>
  <c r="CZ800" i="9"/>
  <c r="CY800" i="9"/>
  <c r="CX800" i="9"/>
  <c r="CW800" i="9"/>
  <c r="CV800" i="9"/>
  <c r="CU800" i="9"/>
  <c r="CT800" i="9"/>
  <c r="CS800" i="9"/>
  <c r="CR800" i="9"/>
  <c r="CQ800" i="9"/>
  <c r="CP800" i="9"/>
  <c r="CO800" i="9"/>
  <c r="CN800" i="9"/>
  <c r="CM800" i="9"/>
  <c r="CL800" i="9"/>
  <c r="CK800" i="9"/>
  <c r="CJ800" i="9"/>
  <c r="CI800" i="9"/>
  <c r="CH800" i="9"/>
  <c r="CG800" i="9"/>
  <c r="CF800" i="9"/>
  <c r="CE800" i="9"/>
  <c r="CD800" i="9"/>
  <c r="CC800" i="9"/>
  <c r="CB800" i="9"/>
  <c r="EI799" i="9"/>
  <c r="EH799" i="9"/>
  <c r="EG799" i="9"/>
  <c r="EF799" i="9"/>
  <c r="EE799" i="9"/>
  <c r="ED799" i="9"/>
  <c r="EC799" i="9"/>
  <c r="EB799" i="9"/>
  <c r="EA799" i="9"/>
  <c r="DZ799" i="9"/>
  <c r="DY799" i="9"/>
  <c r="DX799" i="9"/>
  <c r="DW799" i="9"/>
  <c r="DV799" i="9"/>
  <c r="DU799" i="9"/>
  <c r="DT799" i="9"/>
  <c r="DS799" i="9"/>
  <c r="DR799" i="9"/>
  <c r="DQ799" i="9"/>
  <c r="DP799" i="9"/>
  <c r="DO799" i="9"/>
  <c r="DN799" i="9"/>
  <c r="DM799" i="9"/>
  <c r="DL799" i="9"/>
  <c r="DK799" i="9"/>
  <c r="DJ799" i="9"/>
  <c r="DI799" i="9"/>
  <c r="DH799" i="9"/>
  <c r="DG799" i="9"/>
  <c r="DF799" i="9"/>
  <c r="DE799" i="9"/>
  <c r="DD799" i="9"/>
  <c r="DC799" i="9"/>
  <c r="DB799" i="9"/>
  <c r="DA799" i="9"/>
  <c r="CZ799" i="9"/>
  <c r="CY799" i="9"/>
  <c r="CX799" i="9"/>
  <c r="CW799" i="9"/>
  <c r="CV799" i="9"/>
  <c r="CU799" i="9"/>
  <c r="CT799" i="9"/>
  <c r="CS799" i="9"/>
  <c r="CR799" i="9"/>
  <c r="CQ799" i="9"/>
  <c r="CP799" i="9"/>
  <c r="CO799" i="9"/>
  <c r="CN799" i="9"/>
  <c r="CM799" i="9"/>
  <c r="CL799" i="9"/>
  <c r="CK799" i="9"/>
  <c r="CJ799" i="9"/>
  <c r="CI799" i="9"/>
  <c r="CH799" i="9"/>
  <c r="CG799" i="9"/>
  <c r="CF799" i="9"/>
  <c r="CE799" i="9"/>
  <c r="CD799" i="9"/>
  <c r="CC799" i="9"/>
  <c r="CB799" i="9"/>
  <c r="EI798" i="9"/>
  <c r="EH798" i="9"/>
  <c r="EG798" i="9"/>
  <c r="EF798" i="9"/>
  <c r="EE798" i="9"/>
  <c r="ED798" i="9"/>
  <c r="EC798" i="9"/>
  <c r="EB798" i="9"/>
  <c r="EA798" i="9"/>
  <c r="DZ798" i="9"/>
  <c r="DY798" i="9"/>
  <c r="DX798" i="9"/>
  <c r="DW798" i="9"/>
  <c r="DV798" i="9"/>
  <c r="DU798" i="9"/>
  <c r="DT798" i="9"/>
  <c r="DS798" i="9"/>
  <c r="DR798" i="9"/>
  <c r="DQ798" i="9"/>
  <c r="DP798" i="9"/>
  <c r="DO798" i="9"/>
  <c r="DN798" i="9"/>
  <c r="DM798" i="9"/>
  <c r="DL798" i="9"/>
  <c r="DK798" i="9"/>
  <c r="DJ798" i="9"/>
  <c r="DI798" i="9"/>
  <c r="DH798" i="9"/>
  <c r="DG798" i="9"/>
  <c r="DF798" i="9"/>
  <c r="DE798" i="9"/>
  <c r="DD798" i="9"/>
  <c r="DC798" i="9"/>
  <c r="DB798" i="9"/>
  <c r="DA798" i="9"/>
  <c r="CZ798" i="9"/>
  <c r="CY798" i="9"/>
  <c r="CX798" i="9"/>
  <c r="CW798" i="9"/>
  <c r="CV798" i="9"/>
  <c r="CU798" i="9"/>
  <c r="CT798" i="9"/>
  <c r="CS798" i="9"/>
  <c r="CR798" i="9"/>
  <c r="CQ798" i="9"/>
  <c r="CP798" i="9"/>
  <c r="CO798" i="9"/>
  <c r="CN798" i="9"/>
  <c r="CM798" i="9"/>
  <c r="CL798" i="9"/>
  <c r="CK798" i="9"/>
  <c r="CJ798" i="9"/>
  <c r="CI798" i="9"/>
  <c r="CH798" i="9"/>
  <c r="CG798" i="9"/>
  <c r="CF798" i="9"/>
  <c r="CE798" i="9"/>
  <c r="CD798" i="9"/>
  <c r="CC798" i="9"/>
  <c r="CB798" i="9"/>
  <c r="EI797" i="9"/>
  <c r="EH797" i="9"/>
  <c r="EG797" i="9"/>
  <c r="EF797" i="9"/>
  <c r="EE797" i="9"/>
  <c r="ED797" i="9"/>
  <c r="EC797" i="9"/>
  <c r="EB797" i="9"/>
  <c r="EA797" i="9"/>
  <c r="DZ797" i="9"/>
  <c r="DY797" i="9"/>
  <c r="DX797" i="9"/>
  <c r="DW797" i="9"/>
  <c r="DV797" i="9"/>
  <c r="DU797" i="9"/>
  <c r="DT797" i="9"/>
  <c r="DS797" i="9"/>
  <c r="DR797" i="9"/>
  <c r="DQ797" i="9"/>
  <c r="DP797" i="9"/>
  <c r="DO797" i="9"/>
  <c r="DN797" i="9"/>
  <c r="DM797" i="9"/>
  <c r="DL797" i="9"/>
  <c r="DK797" i="9"/>
  <c r="DJ797" i="9"/>
  <c r="DI797" i="9"/>
  <c r="DH797" i="9"/>
  <c r="DG797" i="9"/>
  <c r="DF797" i="9"/>
  <c r="DE797" i="9"/>
  <c r="DD797" i="9"/>
  <c r="DC797" i="9"/>
  <c r="DB797" i="9"/>
  <c r="DA797" i="9"/>
  <c r="CZ797" i="9"/>
  <c r="CY797" i="9"/>
  <c r="CX797" i="9"/>
  <c r="CW797" i="9"/>
  <c r="CV797" i="9"/>
  <c r="CU797" i="9"/>
  <c r="CT797" i="9"/>
  <c r="CS797" i="9"/>
  <c r="CR797" i="9"/>
  <c r="CQ797" i="9"/>
  <c r="CP797" i="9"/>
  <c r="CO797" i="9"/>
  <c r="CN797" i="9"/>
  <c r="CM797" i="9"/>
  <c r="CL797" i="9"/>
  <c r="CK797" i="9"/>
  <c r="CJ797" i="9"/>
  <c r="CI797" i="9"/>
  <c r="CH797" i="9"/>
  <c r="CG797" i="9"/>
  <c r="CF797" i="9"/>
  <c r="CE797" i="9"/>
  <c r="CD797" i="9"/>
  <c r="CC797" i="9"/>
  <c r="CB797" i="9"/>
  <c r="EI795" i="9"/>
  <c r="EH795" i="9"/>
  <c r="EG795" i="9"/>
  <c r="EF795" i="9"/>
  <c r="EE795" i="9"/>
  <c r="ED795" i="9"/>
  <c r="EC795" i="9"/>
  <c r="EB795" i="9"/>
  <c r="EA795" i="9"/>
  <c r="DZ795" i="9"/>
  <c r="DY795" i="9"/>
  <c r="DX795" i="9"/>
  <c r="DW795" i="9"/>
  <c r="DV795" i="9"/>
  <c r="DU795" i="9"/>
  <c r="DT795" i="9"/>
  <c r="DS795" i="9"/>
  <c r="DR795" i="9"/>
  <c r="DQ795" i="9"/>
  <c r="DP795" i="9"/>
  <c r="DO795" i="9"/>
  <c r="DN795" i="9"/>
  <c r="DM795" i="9"/>
  <c r="DL795" i="9"/>
  <c r="DK795" i="9"/>
  <c r="DJ795" i="9"/>
  <c r="DI795" i="9"/>
  <c r="DH795" i="9"/>
  <c r="DG795" i="9"/>
  <c r="DF795" i="9"/>
  <c r="DE795" i="9"/>
  <c r="DD795" i="9"/>
  <c r="DC795" i="9"/>
  <c r="DB795" i="9"/>
  <c r="DA795" i="9"/>
  <c r="CZ795" i="9"/>
  <c r="CY795" i="9"/>
  <c r="CX795" i="9"/>
  <c r="CW795" i="9"/>
  <c r="CV795" i="9"/>
  <c r="CU795" i="9"/>
  <c r="CT795" i="9"/>
  <c r="CS795" i="9"/>
  <c r="CR795" i="9"/>
  <c r="CQ795" i="9"/>
  <c r="CP795" i="9"/>
  <c r="CO795" i="9"/>
  <c r="CN795" i="9"/>
  <c r="CM795" i="9"/>
  <c r="CL795" i="9"/>
  <c r="CK795" i="9"/>
  <c r="CJ795" i="9"/>
  <c r="CI795" i="9"/>
  <c r="CH795" i="9"/>
  <c r="CG795" i="9"/>
  <c r="CF795" i="9"/>
  <c r="CE795" i="9"/>
  <c r="CD795" i="9"/>
  <c r="CC795" i="9"/>
  <c r="CB795" i="9"/>
  <c r="EI794" i="9"/>
  <c r="EH794" i="9"/>
  <c r="EG794" i="9"/>
  <c r="EF794" i="9"/>
  <c r="EE794" i="9"/>
  <c r="ED794" i="9"/>
  <c r="EC794" i="9"/>
  <c r="EB794" i="9"/>
  <c r="EA794" i="9"/>
  <c r="DZ794" i="9"/>
  <c r="DY794" i="9"/>
  <c r="DX794" i="9"/>
  <c r="DW794" i="9"/>
  <c r="DV794" i="9"/>
  <c r="DU794" i="9"/>
  <c r="DT794" i="9"/>
  <c r="DS794" i="9"/>
  <c r="DR794" i="9"/>
  <c r="DQ794" i="9"/>
  <c r="DP794" i="9"/>
  <c r="DO794" i="9"/>
  <c r="DN794" i="9"/>
  <c r="DM794" i="9"/>
  <c r="DL794" i="9"/>
  <c r="DK794" i="9"/>
  <c r="DJ794" i="9"/>
  <c r="DI794" i="9"/>
  <c r="DH794" i="9"/>
  <c r="DG794" i="9"/>
  <c r="DF794" i="9"/>
  <c r="DE794" i="9"/>
  <c r="DD794" i="9"/>
  <c r="DC794" i="9"/>
  <c r="DB794" i="9"/>
  <c r="DA794" i="9"/>
  <c r="CZ794" i="9"/>
  <c r="CY794" i="9"/>
  <c r="CX794" i="9"/>
  <c r="CW794" i="9"/>
  <c r="CV794" i="9"/>
  <c r="CU794" i="9"/>
  <c r="CT794" i="9"/>
  <c r="CS794" i="9"/>
  <c r="CR794" i="9"/>
  <c r="CQ794" i="9"/>
  <c r="CP794" i="9"/>
  <c r="CO794" i="9"/>
  <c r="CN794" i="9"/>
  <c r="CM794" i="9"/>
  <c r="CL794" i="9"/>
  <c r="CK794" i="9"/>
  <c r="CJ794" i="9"/>
  <c r="CI794" i="9"/>
  <c r="CH794" i="9"/>
  <c r="CG794" i="9"/>
  <c r="CF794" i="9"/>
  <c r="CE794" i="9"/>
  <c r="CD794" i="9"/>
  <c r="CC794" i="9"/>
  <c r="CB794" i="9"/>
  <c r="EI793" i="9"/>
  <c r="EH793" i="9"/>
  <c r="EG793" i="9"/>
  <c r="EF793" i="9"/>
  <c r="EE793" i="9"/>
  <c r="ED793" i="9"/>
  <c r="EC793" i="9"/>
  <c r="EB793" i="9"/>
  <c r="EA793" i="9"/>
  <c r="DZ793" i="9"/>
  <c r="DY793" i="9"/>
  <c r="DX793" i="9"/>
  <c r="DW793" i="9"/>
  <c r="DV793" i="9"/>
  <c r="DU793" i="9"/>
  <c r="DT793" i="9"/>
  <c r="DS793" i="9"/>
  <c r="DR793" i="9"/>
  <c r="DQ793" i="9"/>
  <c r="DP793" i="9"/>
  <c r="DO793" i="9"/>
  <c r="DN793" i="9"/>
  <c r="DM793" i="9"/>
  <c r="DL793" i="9"/>
  <c r="DK793" i="9"/>
  <c r="DJ793" i="9"/>
  <c r="DI793" i="9"/>
  <c r="DH793" i="9"/>
  <c r="DG793" i="9"/>
  <c r="DF793" i="9"/>
  <c r="DE793" i="9"/>
  <c r="DD793" i="9"/>
  <c r="DC793" i="9"/>
  <c r="DB793" i="9"/>
  <c r="DA793" i="9"/>
  <c r="CZ793" i="9"/>
  <c r="CY793" i="9"/>
  <c r="CX793" i="9"/>
  <c r="CW793" i="9"/>
  <c r="CV793" i="9"/>
  <c r="CU793" i="9"/>
  <c r="CT793" i="9"/>
  <c r="CS793" i="9"/>
  <c r="CR793" i="9"/>
  <c r="CQ793" i="9"/>
  <c r="CP793" i="9"/>
  <c r="CO793" i="9"/>
  <c r="CN793" i="9"/>
  <c r="CM793" i="9"/>
  <c r="CL793" i="9"/>
  <c r="CK793" i="9"/>
  <c r="CJ793" i="9"/>
  <c r="CI793" i="9"/>
  <c r="CH793" i="9"/>
  <c r="CG793" i="9"/>
  <c r="CF793" i="9"/>
  <c r="CE793" i="9"/>
  <c r="CD793" i="9"/>
  <c r="CC793" i="9"/>
  <c r="CB793" i="9"/>
  <c r="EI792" i="9"/>
  <c r="EH792" i="9"/>
  <c r="EG792" i="9"/>
  <c r="EF792" i="9"/>
  <c r="EE792" i="9"/>
  <c r="ED792" i="9"/>
  <c r="EC792" i="9"/>
  <c r="EB792" i="9"/>
  <c r="EA792" i="9"/>
  <c r="DZ792" i="9"/>
  <c r="DY792" i="9"/>
  <c r="DX792" i="9"/>
  <c r="DW792" i="9"/>
  <c r="DV792" i="9"/>
  <c r="DU792" i="9"/>
  <c r="DT792" i="9"/>
  <c r="DS792" i="9"/>
  <c r="DR792" i="9"/>
  <c r="DQ792" i="9"/>
  <c r="DP792" i="9"/>
  <c r="DO792" i="9"/>
  <c r="DN792" i="9"/>
  <c r="DM792" i="9"/>
  <c r="DL792" i="9"/>
  <c r="DK792" i="9"/>
  <c r="DJ792" i="9"/>
  <c r="DI792" i="9"/>
  <c r="DH792" i="9"/>
  <c r="DG792" i="9"/>
  <c r="DF792" i="9"/>
  <c r="DE792" i="9"/>
  <c r="DD792" i="9"/>
  <c r="DC792" i="9"/>
  <c r="DB792" i="9"/>
  <c r="DA792" i="9"/>
  <c r="CZ792" i="9"/>
  <c r="CY792" i="9"/>
  <c r="CX792" i="9"/>
  <c r="CW792" i="9"/>
  <c r="CV792" i="9"/>
  <c r="CU792" i="9"/>
  <c r="CT792" i="9"/>
  <c r="CS792" i="9"/>
  <c r="CR792" i="9"/>
  <c r="CQ792" i="9"/>
  <c r="CP792" i="9"/>
  <c r="CO792" i="9"/>
  <c r="CN792" i="9"/>
  <c r="CM792" i="9"/>
  <c r="CL792" i="9"/>
  <c r="CK792" i="9"/>
  <c r="CJ792" i="9"/>
  <c r="CI792" i="9"/>
  <c r="CH792" i="9"/>
  <c r="CG792" i="9"/>
  <c r="CF792" i="9"/>
  <c r="CE792" i="9"/>
  <c r="CD792" i="9"/>
  <c r="CC792" i="9"/>
  <c r="CB792" i="9"/>
  <c r="EI791" i="9"/>
  <c r="EH791" i="9"/>
  <c r="EG791" i="9"/>
  <c r="EF791" i="9"/>
  <c r="EE791" i="9"/>
  <c r="ED791" i="9"/>
  <c r="EC791" i="9"/>
  <c r="EB791" i="9"/>
  <c r="EA791" i="9"/>
  <c r="DZ791" i="9"/>
  <c r="DY791" i="9"/>
  <c r="DX791" i="9"/>
  <c r="DW791" i="9"/>
  <c r="DV791" i="9"/>
  <c r="DU791" i="9"/>
  <c r="DT791" i="9"/>
  <c r="DS791" i="9"/>
  <c r="DR791" i="9"/>
  <c r="DQ791" i="9"/>
  <c r="DP791" i="9"/>
  <c r="DO791" i="9"/>
  <c r="DN791" i="9"/>
  <c r="DM791" i="9"/>
  <c r="DL791" i="9"/>
  <c r="DK791" i="9"/>
  <c r="DJ791" i="9"/>
  <c r="DI791" i="9"/>
  <c r="DH791" i="9"/>
  <c r="DG791" i="9"/>
  <c r="DF791" i="9"/>
  <c r="DE791" i="9"/>
  <c r="DD791" i="9"/>
  <c r="DC791" i="9"/>
  <c r="DB791" i="9"/>
  <c r="DA791" i="9"/>
  <c r="CZ791" i="9"/>
  <c r="CY791" i="9"/>
  <c r="CX791" i="9"/>
  <c r="CW791" i="9"/>
  <c r="CV791" i="9"/>
  <c r="CU791" i="9"/>
  <c r="CT791" i="9"/>
  <c r="CS791" i="9"/>
  <c r="CR791" i="9"/>
  <c r="CQ791" i="9"/>
  <c r="CP791" i="9"/>
  <c r="CO791" i="9"/>
  <c r="CN791" i="9"/>
  <c r="CM791" i="9"/>
  <c r="CL791" i="9"/>
  <c r="CK791" i="9"/>
  <c r="CJ791" i="9"/>
  <c r="CI791" i="9"/>
  <c r="CH791" i="9"/>
  <c r="CG791" i="9"/>
  <c r="CF791" i="9"/>
  <c r="CE791" i="9"/>
  <c r="CD791" i="9"/>
  <c r="CC791" i="9"/>
  <c r="CB791" i="9"/>
  <c r="EI790" i="9"/>
  <c r="EH790" i="9"/>
  <c r="EG790" i="9"/>
  <c r="EF790" i="9"/>
  <c r="EE790" i="9"/>
  <c r="ED790" i="9"/>
  <c r="EC790" i="9"/>
  <c r="EB790" i="9"/>
  <c r="EA790" i="9"/>
  <c r="DZ790" i="9"/>
  <c r="DY790" i="9"/>
  <c r="DX790" i="9"/>
  <c r="DW790" i="9"/>
  <c r="DV790" i="9"/>
  <c r="DU790" i="9"/>
  <c r="DT790" i="9"/>
  <c r="DS790" i="9"/>
  <c r="DR790" i="9"/>
  <c r="DQ790" i="9"/>
  <c r="DP790" i="9"/>
  <c r="DO790" i="9"/>
  <c r="DN790" i="9"/>
  <c r="DM790" i="9"/>
  <c r="DL790" i="9"/>
  <c r="DK790" i="9"/>
  <c r="DJ790" i="9"/>
  <c r="DI790" i="9"/>
  <c r="DH790" i="9"/>
  <c r="DG790" i="9"/>
  <c r="DF790" i="9"/>
  <c r="DE790" i="9"/>
  <c r="DD790" i="9"/>
  <c r="DC790" i="9"/>
  <c r="DB790" i="9"/>
  <c r="DA790" i="9"/>
  <c r="CZ790" i="9"/>
  <c r="CY790" i="9"/>
  <c r="CX790" i="9"/>
  <c r="CW790" i="9"/>
  <c r="CV790" i="9"/>
  <c r="CU790" i="9"/>
  <c r="CT790" i="9"/>
  <c r="CS790" i="9"/>
  <c r="CR790" i="9"/>
  <c r="CQ790" i="9"/>
  <c r="CP790" i="9"/>
  <c r="CO790" i="9"/>
  <c r="CN790" i="9"/>
  <c r="CM790" i="9"/>
  <c r="CL790" i="9"/>
  <c r="CK790" i="9"/>
  <c r="CJ790" i="9"/>
  <c r="CI790" i="9"/>
  <c r="CH790" i="9"/>
  <c r="CG790" i="9"/>
  <c r="CF790" i="9"/>
  <c r="CE790" i="9"/>
  <c r="CD790" i="9"/>
  <c r="CC790" i="9"/>
  <c r="CB790" i="9"/>
  <c r="EI789" i="9"/>
  <c r="EH789" i="9"/>
  <c r="EG789" i="9"/>
  <c r="EF789" i="9"/>
  <c r="EE789" i="9"/>
  <c r="ED789" i="9"/>
  <c r="EC789" i="9"/>
  <c r="EB789" i="9"/>
  <c r="EA789" i="9"/>
  <c r="DZ789" i="9"/>
  <c r="DY789" i="9"/>
  <c r="DX789" i="9"/>
  <c r="DW789" i="9"/>
  <c r="DV789" i="9"/>
  <c r="DU789" i="9"/>
  <c r="DT789" i="9"/>
  <c r="DS789" i="9"/>
  <c r="DR789" i="9"/>
  <c r="DQ789" i="9"/>
  <c r="DP789" i="9"/>
  <c r="DO789" i="9"/>
  <c r="DN789" i="9"/>
  <c r="DM789" i="9"/>
  <c r="DL789" i="9"/>
  <c r="DK789" i="9"/>
  <c r="DJ789" i="9"/>
  <c r="DI789" i="9"/>
  <c r="DH789" i="9"/>
  <c r="DG789" i="9"/>
  <c r="DF789" i="9"/>
  <c r="DE789" i="9"/>
  <c r="DD789" i="9"/>
  <c r="DC789" i="9"/>
  <c r="DB789" i="9"/>
  <c r="DA789" i="9"/>
  <c r="CZ789" i="9"/>
  <c r="CY789" i="9"/>
  <c r="CX789" i="9"/>
  <c r="CW789" i="9"/>
  <c r="CV789" i="9"/>
  <c r="CU789" i="9"/>
  <c r="CT789" i="9"/>
  <c r="CS789" i="9"/>
  <c r="CR789" i="9"/>
  <c r="CQ789" i="9"/>
  <c r="CP789" i="9"/>
  <c r="CO789" i="9"/>
  <c r="CN789" i="9"/>
  <c r="CM789" i="9"/>
  <c r="CL789" i="9"/>
  <c r="CK789" i="9"/>
  <c r="CJ789" i="9"/>
  <c r="CI789" i="9"/>
  <c r="CH789" i="9"/>
  <c r="CG789" i="9"/>
  <c r="CF789" i="9"/>
  <c r="CE789" i="9"/>
  <c r="CD789" i="9"/>
  <c r="CC789" i="9"/>
  <c r="CB789" i="9"/>
  <c r="EI787" i="9"/>
  <c r="EH787" i="9"/>
  <c r="EG787" i="9"/>
  <c r="EF787" i="9"/>
  <c r="EE787" i="9"/>
  <c r="ED787" i="9"/>
  <c r="EC787" i="9"/>
  <c r="EB787" i="9"/>
  <c r="EA787" i="9"/>
  <c r="DZ787" i="9"/>
  <c r="DY787" i="9"/>
  <c r="DX787" i="9"/>
  <c r="DW787" i="9"/>
  <c r="DV787" i="9"/>
  <c r="DU787" i="9"/>
  <c r="DT787" i="9"/>
  <c r="DS787" i="9"/>
  <c r="DR787" i="9"/>
  <c r="DQ787" i="9"/>
  <c r="DP787" i="9"/>
  <c r="DO787" i="9"/>
  <c r="DN787" i="9"/>
  <c r="DM787" i="9"/>
  <c r="DL787" i="9"/>
  <c r="DK787" i="9"/>
  <c r="DJ787" i="9"/>
  <c r="DI787" i="9"/>
  <c r="DH787" i="9"/>
  <c r="DG787" i="9"/>
  <c r="DF787" i="9"/>
  <c r="DE787" i="9"/>
  <c r="DD787" i="9"/>
  <c r="DC787" i="9"/>
  <c r="DB787" i="9"/>
  <c r="DA787" i="9"/>
  <c r="CZ787" i="9"/>
  <c r="CY787" i="9"/>
  <c r="CX787" i="9"/>
  <c r="CW787" i="9"/>
  <c r="CV787" i="9"/>
  <c r="CU787" i="9"/>
  <c r="CT787" i="9"/>
  <c r="CS787" i="9"/>
  <c r="CR787" i="9"/>
  <c r="CQ787" i="9"/>
  <c r="CP787" i="9"/>
  <c r="CO787" i="9"/>
  <c r="CN787" i="9"/>
  <c r="CM787" i="9"/>
  <c r="CL787" i="9"/>
  <c r="CK787" i="9"/>
  <c r="CJ787" i="9"/>
  <c r="CI787" i="9"/>
  <c r="CH787" i="9"/>
  <c r="CG787" i="9"/>
  <c r="CF787" i="9"/>
  <c r="CE787" i="9"/>
  <c r="CD787" i="9"/>
  <c r="CC787" i="9"/>
  <c r="CB787" i="9"/>
  <c r="EI786" i="9"/>
  <c r="EH786" i="9"/>
  <c r="EG786" i="9"/>
  <c r="EF786" i="9"/>
  <c r="EE786" i="9"/>
  <c r="ED786" i="9"/>
  <c r="EC786" i="9"/>
  <c r="EB786" i="9"/>
  <c r="EA786" i="9"/>
  <c r="DZ786" i="9"/>
  <c r="DY786" i="9"/>
  <c r="DX786" i="9"/>
  <c r="DW786" i="9"/>
  <c r="DV786" i="9"/>
  <c r="DU786" i="9"/>
  <c r="DT786" i="9"/>
  <c r="DS786" i="9"/>
  <c r="DR786" i="9"/>
  <c r="DQ786" i="9"/>
  <c r="DP786" i="9"/>
  <c r="DO786" i="9"/>
  <c r="DN786" i="9"/>
  <c r="DM786" i="9"/>
  <c r="DL786" i="9"/>
  <c r="DK786" i="9"/>
  <c r="DJ786" i="9"/>
  <c r="DI786" i="9"/>
  <c r="DH786" i="9"/>
  <c r="DG786" i="9"/>
  <c r="DF786" i="9"/>
  <c r="DE786" i="9"/>
  <c r="DD786" i="9"/>
  <c r="DC786" i="9"/>
  <c r="DB786" i="9"/>
  <c r="DA786" i="9"/>
  <c r="CZ786" i="9"/>
  <c r="CY786" i="9"/>
  <c r="CX786" i="9"/>
  <c r="CW786" i="9"/>
  <c r="CV786" i="9"/>
  <c r="CU786" i="9"/>
  <c r="CT786" i="9"/>
  <c r="CS786" i="9"/>
  <c r="CR786" i="9"/>
  <c r="CQ786" i="9"/>
  <c r="CP786" i="9"/>
  <c r="CO786" i="9"/>
  <c r="CN786" i="9"/>
  <c r="CM786" i="9"/>
  <c r="CL786" i="9"/>
  <c r="CK786" i="9"/>
  <c r="CJ786" i="9"/>
  <c r="CI786" i="9"/>
  <c r="CH786" i="9"/>
  <c r="CG786" i="9"/>
  <c r="CF786" i="9"/>
  <c r="CE786" i="9"/>
  <c r="CD786" i="9"/>
  <c r="CC786" i="9"/>
  <c r="CB786" i="9"/>
  <c r="EI785" i="9"/>
  <c r="EH785" i="9"/>
  <c r="EG785" i="9"/>
  <c r="EF785" i="9"/>
  <c r="EE785" i="9"/>
  <c r="ED785" i="9"/>
  <c r="EC785" i="9"/>
  <c r="EB785" i="9"/>
  <c r="EA785" i="9"/>
  <c r="DZ785" i="9"/>
  <c r="DY785" i="9"/>
  <c r="DX785" i="9"/>
  <c r="DW785" i="9"/>
  <c r="DV785" i="9"/>
  <c r="DU785" i="9"/>
  <c r="DT785" i="9"/>
  <c r="DS785" i="9"/>
  <c r="DR785" i="9"/>
  <c r="DQ785" i="9"/>
  <c r="DP785" i="9"/>
  <c r="DO785" i="9"/>
  <c r="DN785" i="9"/>
  <c r="DM785" i="9"/>
  <c r="DL785" i="9"/>
  <c r="DK785" i="9"/>
  <c r="DJ785" i="9"/>
  <c r="DI785" i="9"/>
  <c r="DH785" i="9"/>
  <c r="DG785" i="9"/>
  <c r="DF785" i="9"/>
  <c r="DE785" i="9"/>
  <c r="DD785" i="9"/>
  <c r="DC785" i="9"/>
  <c r="DB785" i="9"/>
  <c r="DA785" i="9"/>
  <c r="CZ785" i="9"/>
  <c r="CY785" i="9"/>
  <c r="CX785" i="9"/>
  <c r="CW785" i="9"/>
  <c r="CV785" i="9"/>
  <c r="CU785" i="9"/>
  <c r="CT785" i="9"/>
  <c r="CS785" i="9"/>
  <c r="CR785" i="9"/>
  <c r="CQ785" i="9"/>
  <c r="CP785" i="9"/>
  <c r="CO785" i="9"/>
  <c r="CN785" i="9"/>
  <c r="CM785" i="9"/>
  <c r="CL785" i="9"/>
  <c r="CK785" i="9"/>
  <c r="CJ785" i="9"/>
  <c r="CI785" i="9"/>
  <c r="CH785" i="9"/>
  <c r="CG785" i="9"/>
  <c r="CF785" i="9"/>
  <c r="CE785" i="9"/>
  <c r="CD785" i="9"/>
  <c r="CC785" i="9"/>
  <c r="CB785" i="9"/>
  <c r="EI784" i="9"/>
  <c r="EH784" i="9"/>
  <c r="EG784" i="9"/>
  <c r="EF784" i="9"/>
  <c r="EE784" i="9"/>
  <c r="ED784" i="9"/>
  <c r="EC784" i="9"/>
  <c r="EB784" i="9"/>
  <c r="EA784" i="9"/>
  <c r="DZ784" i="9"/>
  <c r="DY784" i="9"/>
  <c r="DX784" i="9"/>
  <c r="DW784" i="9"/>
  <c r="DV784" i="9"/>
  <c r="DU784" i="9"/>
  <c r="DT784" i="9"/>
  <c r="DS784" i="9"/>
  <c r="DR784" i="9"/>
  <c r="DQ784" i="9"/>
  <c r="DP784" i="9"/>
  <c r="DO784" i="9"/>
  <c r="DN784" i="9"/>
  <c r="DM784" i="9"/>
  <c r="DL784" i="9"/>
  <c r="DK784" i="9"/>
  <c r="DJ784" i="9"/>
  <c r="DI784" i="9"/>
  <c r="DH784" i="9"/>
  <c r="DG784" i="9"/>
  <c r="DF784" i="9"/>
  <c r="DE784" i="9"/>
  <c r="DD784" i="9"/>
  <c r="DC784" i="9"/>
  <c r="DB784" i="9"/>
  <c r="DA784" i="9"/>
  <c r="CZ784" i="9"/>
  <c r="CY784" i="9"/>
  <c r="CX784" i="9"/>
  <c r="CW784" i="9"/>
  <c r="CV784" i="9"/>
  <c r="CU784" i="9"/>
  <c r="CT784" i="9"/>
  <c r="CS784" i="9"/>
  <c r="CR784" i="9"/>
  <c r="CQ784" i="9"/>
  <c r="CP784" i="9"/>
  <c r="CO784" i="9"/>
  <c r="CN784" i="9"/>
  <c r="CM784" i="9"/>
  <c r="CL784" i="9"/>
  <c r="CK784" i="9"/>
  <c r="CJ784" i="9"/>
  <c r="CI784" i="9"/>
  <c r="CH784" i="9"/>
  <c r="CG784" i="9"/>
  <c r="CF784" i="9"/>
  <c r="CE784" i="9"/>
  <c r="CD784" i="9"/>
  <c r="CC784" i="9"/>
  <c r="CB784" i="9"/>
  <c r="EI783" i="9"/>
  <c r="EH783" i="9"/>
  <c r="EG783" i="9"/>
  <c r="EF783" i="9"/>
  <c r="EE783" i="9"/>
  <c r="ED783" i="9"/>
  <c r="EC783" i="9"/>
  <c r="EB783" i="9"/>
  <c r="EA783" i="9"/>
  <c r="DZ783" i="9"/>
  <c r="DY783" i="9"/>
  <c r="DX783" i="9"/>
  <c r="DW783" i="9"/>
  <c r="DV783" i="9"/>
  <c r="DU783" i="9"/>
  <c r="DT783" i="9"/>
  <c r="DS783" i="9"/>
  <c r="DR783" i="9"/>
  <c r="DQ783" i="9"/>
  <c r="DP783" i="9"/>
  <c r="DO783" i="9"/>
  <c r="DN783" i="9"/>
  <c r="DM783" i="9"/>
  <c r="DL783" i="9"/>
  <c r="DK783" i="9"/>
  <c r="DJ783" i="9"/>
  <c r="DI783" i="9"/>
  <c r="DH783" i="9"/>
  <c r="DG783" i="9"/>
  <c r="DF783" i="9"/>
  <c r="DE783" i="9"/>
  <c r="DD783" i="9"/>
  <c r="DC783" i="9"/>
  <c r="DB783" i="9"/>
  <c r="DA783" i="9"/>
  <c r="CZ783" i="9"/>
  <c r="CY783" i="9"/>
  <c r="CX783" i="9"/>
  <c r="CW783" i="9"/>
  <c r="CV783" i="9"/>
  <c r="CU783" i="9"/>
  <c r="CT783" i="9"/>
  <c r="CS783" i="9"/>
  <c r="CR783" i="9"/>
  <c r="CQ783" i="9"/>
  <c r="CP783" i="9"/>
  <c r="CO783" i="9"/>
  <c r="CN783" i="9"/>
  <c r="CM783" i="9"/>
  <c r="CL783" i="9"/>
  <c r="CK783" i="9"/>
  <c r="CJ783" i="9"/>
  <c r="CI783" i="9"/>
  <c r="CH783" i="9"/>
  <c r="CG783" i="9"/>
  <c r="CF783" i="9"/>
  <c r="CE783" i="9"/>
  <c r="CD783" i="9"/>
  <c r="CC783" i="9"/>
  <c r="CB783" i="9"/>
  <c r="EI782" i="9"/>
  <c r="EH782" i="9"/>
  <c r="EG782" i="9"/>
  <c r="EF782" i="9"/>
  <c r="EE782" i="9"/>
  <c r="ED782" i="9"/>
  <c r="EC782" i="9"/>
  <c r="EB782" i="9"/>
  <c r="EA782" i="9"/>
  <c r="DZ782" i="9"/>
  <c r="DY782" i="9"/>
  <c r="DX782" i="9"/>
  <c r="DW782" i="9"/>
  <c r="DV782" i="9"/>
  <c r="DU782" i="9"/>
  <c r="DT782" i="9"/>
  <c r="DS782" i="9"/>
  <c r="DR782" i="9"/>
  <c r="DQ782" i="9"/>
  <c r="DP782" i="9"/>
  <c r="DO782" i="9"/>
  <c r="DN782" i="9"/>
  <c r="DM782" i="9"/>
  <c r="DL782" i="9"/>
  <c r="DK782" i="9"/>
  <c r="DJ782" i="9"/>
  <c r="DI782" i="9"/>
  <c r="DH782" i="9"/>
  <c r="DG782" i="9"/>
  <c r="DF782" i="9"/>
  <c r="DE782" i="9"/>
  <c r="DD782" i="9"/>
  <c r="DC782" i="9"/>
  <c r="DB782" i="9"/>
  <c r="DA782" i="9"/>
  <c r="CZ782" i="9"/>
  <c r="CY782" i="9"/>
  <c r="CX782" i="9"/>
  <c r="CW782" i="9"/>
  <c r="CV782" i="9"/>
  <c r="CU782" i="9"/>
  <c r="CT782" i="9"/>
  <c r="CS782" i="9"/>
  <c r="CR782" i="9"/>
  <c r="CQ782" i="9"/>
  <c r="CP782" i="9"/>
  <c r="CO782" i="9"/>
  <c r="CN782" i="9"/>
  <c r="CM782" i="9"/>
  <c r="CL782" i="9"/>
  <c r="CK782" i="9"/>
  <c r="CJ782" i="9"/>
  <c r="CI782" i="9"/>
  <c r="CH782" i="9"/>
  <c r="CG782" i="9"/>
  <c r="CF782" i="9"/>
  <c r="CE782" i="9"/>
  <c r="CD782" i="9"/>
  <c r="CC782" i="9"/>
  <c r="CB782" i="9"/>
  <c r="EI781" i="9"/>
  <c r="EH781" i="9"/>
  <c r="EG781" i="9"/>
  <c r="EF781" i="9"/>
  <c r="EE781" i="9"/>
  <c r="ED781" i="9"/>
  <c r="EC781" i="9"/>
  <c r="EB781" i="9"/>
  <c r="EA781" i="9"/>
  <c r="DZ781" i="9"/>
  <c r="DY781" i="9"/>
  <c r="DX781" i="9"/>
  <c r="DW781" i="9"/>
  <c r="DV781" i="9"/>
  <c r="DU781" i="9"/>
  <c r="DT781" i="9"/>
  <c r="DS781" i="9"/>
  <c r="DR781" i="9"/>
  <c r="DQ781" i="9"/>
  <c r="DP781" i="9"/>
  <c r="DO781" i="9"/>
  <c r="DN781" i="9"/>
  <c r="DM781" i="9"/>
  <c r="DL781" i="9"/>
  <c r="DK781" i="9"/>
  <c r="DJ781" i="9"/>
  <c r="DI781" i="9"/>
  <c r="DH781" i="9"/>
  <c r="DG781" i="9"/>
  <c r="DF781" i="9"/>
  <c r="DE781" i="9"/>
  <c r="DD781" i="9"/>
  <c r="DC781" i="9"/>
  <c r="DB781" i="9"/>
  <c r="DA781" i="9"/>
  <c r="CZ781" i="9"/>
  <c r="CY781" i="9"/>
  <c r="CX781" i="9"/>
  <c r="CW781" i="9"/>
  <c r="CV781" i="9"/>
  <c r="CU781" i="9"/>
  <c r="CT781" i="9"/>
  <c r="CS781" i="9"/>
  <c r="CR781" i="9"/>
  <c r="CQ781" i="9"/>
  <c r="CP781" i="9"/>
  <c r="CO781" i="9"/>
  <c r="CN781" i="9"/>
  <c r="CM781" i="9"/>
  <c r="CL781" i="9"/>
  <c r="CK781" i="9"/>
  <c r="CJ781" i="9"/>
  <c r="CI781" i="9"/>
  <c r="CH781" i="9"/>
  <c r="CG781" i="9"/>
  <c r="CF781" i="9"/>
  <c r="CE781" i="9"/>
  <c r="CD781" i="9"/>
  <c r="CC781" i="9"/>
  <c r="CB781" i="9"/>
  <c r="EI779" i="9"/>
  <c r="EH779" i="9"/>
  <c r="EG779" i="9"/>
  <c r="EF779" i="9"/>
  <c r="EE779" i="9"/>
  <c r="ED779" i="9"/>
  <c r="EC779" i="9"/>
  <c r="EB779" i="9"/>
  <c r="EA779" i="9"/>
  <c r="DZ779" i="9"/>
  <c r="DY779" i="9"/>
  <c r="DX779" i="9"/>
  <c r="DW779" i="9"/>
  <c r="DV779" i="9"/>
  <c r="DU779" i="9"/>
  <c r="DT779" i="9"/>
  <c r="DS779" i="9"/>
  <c r="DR779" i="9"/>
  <c r="DQ779" i="9"/>
  <c r="DP779" i="9"/>
  <c r="DO779" i="9"/>
  <c r="DN779" i="9"/>
  <c r="DM779" i="9"/>
  <c r="DL779" i="9"/>
  <c r="DK779" i="9"/>
  <c r="DJ779" i="9"/>
  <c r="DI779" i="9"/>
  <c r="DH779" i="9"/>
  <c r="DG779" i="9"/>
  <c r="DF779" i="9"/>
  <c r="DE779" i="9"/>
  <c r="DD779" i="9"/>
  <c r="DC779" i="9"/>
  <c r="DB779" i="9"/>
  <c r="DA779" i="9"/>
  <c r="CZ779" i="9"/>
  <c r="CY779" i="9"/>
  <c r="CX779" i="9"/>
  <c r="CW779" i="9"/>
  <c r="CV779" i="9"/>
  <c r="CU779" i="9"/>
  <c r="CT779" i="9"/>
  <c r="CS779" i="9"/>
  <c r="CR779" i="9"/>
  <c r="CQ779" i="9"/>
  <c r="CP779" i="9"/>
  <c r="CO779" i="9"/>
  <c r="CN779" i="9"/>
  <c r="CM779" i="9"/>
  <c r="CL779" i="9"/>
  <c r="CK779" i="9"/>
  <c r="CJ779" i="9"/>
  <c r="CI779" i="9"/>
  <c r="CH779" i="9"/>
  <c r="CG779" i="9"/>
  <c r="CF779" i="9"/>
  <c r="CE779" i="9"/>
  <c r="CD779" i="9"/>
  <c r="CC779" i="9"/>
  <c r="CB779" i="9"/>
  <c r="EI778" i="9"/>
  <c r="EH778" i="9"/>
  <c r="EG778" i="9"/>
  <c r="EF778" i="9"/>
  <c r="EE778" i="9"/>
  <c r="ED778" i="9"/>
  <c r="EC778" i="9"/>
  <c r="EB778" i="9"/>
  <c r="EA778" i="9"/>
  <c r="DZ778" i="9"/>
  <c r="DY778" i="9"/>
  <c r="DX778" i="9"/>
  <c r="DW778" i="9"/>
  <c r="DV778" i="9"/>
  <c r="DU778" i="9"/>
  <c r="DT778" i="9"/>
  <c r="DS778" i="9"/>
  <c r="DR778" i="9"/>
  <c r="DQ778" i="9"/>
  <c r="DP778" i="9"/>
  <c r="DO778" i="9"/>
  <c r="DN778" i="9"/>
  <c r="DM778" i="9"/>
  <c r="DL778" i="9"/>
  <c r="DK778" i="9"/>
  <c r="DJ778" i="9"/>
  <c r="DI778" i="9"/>
  <c r="DH778" i="9"/>
  <c r="DG778" i="9"/>
  <c r="DF778" i="9"/>
  <c r="DE778" i="9"/>
  <c r="DD778" i="9"/>
  <c r="DC778" i="9"/>
  <c r="DB778" i="9"/>
  <c r="DA778" i="9"/>
  <c r="CZ778" i="9"/>
  <c r="CY778" i="9"/>
  <c r="CX778" i="9"/>
  <c r="CW778" i="9"/>
  <c r="CV778" i="9"/>
  <c r="CU778" i="9"/>
  <c r="CT778" i="9"/>
  <c r="CS778" i="9"/>
  <c r="CR778" i="9"/>
  <c r="CQ778" i="9"/>
  <c r="CP778" i="9"/>
  <c r="CO778" i="9"/>
  <c r="CN778" i="9"/>
  <c r="CM778" i="9"/>
  <c r="CL778" i="9"/>
  <c r="CK778" i="9"/>
  <c r="CJ778" i="9"/>
  <c r="CI778" i="9"/>
  <c r="CH778" i="9"/>
  <c r="CG778" i="9"/>
  <c r="CF778" i="9"/>
  <c r="CE778" i="9"/>
  <c r="CD778" i="9"/>
  <c r="CC778" i="9"/>
  <c r="CB778" i="9"/>
  <c r="EI777" i="9"/>
  <c r="EH777" i="9"/>
  <c r="EG777" i="9"/>
  <c r="EF777" i="9"/>
  <c r="EE777" i="9"/>
  <c r="ED777" i="9"/>
  <c r="EC777" i="9"/>
  <c r="EB777" i="9"/>
  <c r="EA777" i="9"/>
  <c r="DZ777" i="9"/>
  <c r="DY777" i="9"/>
  <c r="DX777" i="9"/>
  <c r="DW777" i="9"/>
  <c r="DV777" i="9"/>
  <c r="DU777" i="9"/>
  <c r="DT777" i="9"/>
  <c r="DS777" i="9"/>
  <c r="DR777" i="9"/>
  <c r="DQ777" i="9"/>
  <c r="DP777" i="9"/>
  <c r="DO777" i="9"/>
  <c r="DN777" i="9"/>
  <c r="DM777" i="9"/>
  <c r="DL777" i="9"/>
  <c r="DK777" i="9"/>
  <c r="DJ777" i="9"/>
  <c r="DI777" i="9"/>
  <c r="DH777" i="9"/>
  <c r="DG777" i="9"/>
  <c r="DF777" i="9"/>
  <c r="DE777" i="9"/>
  <c r="DD777" i="9"/>
  <c r="DC777" i="9"/>
  <c r="DB777" i="9"/>
  <c r="DA777" i="9"/>
  <c r="CZ777" i="9"/>
  <c r="CY777" i="9"/>
  <c r="CX777" i="9"/>
  <c r="CW777" i="9"/>
  <c r="CV777" i="9"/>
  <c r="CU777" i="9"/>
  <c r="CT777" i="9"/>
  <c r="CS777" i="9"/>
  <c r="CR777" i="9"/>
  <c r="CQ777" i="9"/>
  <c r="CP777" i="9"/>
  <c r="CO777" i="9"/>
  <c r="CN777" i="9"/>
  <c r="CM777" i="9"/>
  <c r="CL777" i="9"/>
  <c r="CK777" i="9"/>
  <c r="CJ777" i="9"/>
  <c r="CI777" i="9"/>
  <c r="CH777" i="9"/>
  <c r="CG777" i="9"/>
  <c r="CF777" i="9"/>
  <c r="CE777" i="9"/>
  <c r="CD777" i="9"/>
  <c r="CC777" i="9"/>
  <c r="CB777" i="9"/>
  <c r="EI776" i="9"/>
  <c r="EH776" i="9"/>
  <c r="EG776" i="9"/>
  <c r="EF776" i="9"/>
  <c r="EE776" i="9"/>
  <c r="ED776" i="9"/>
  <c r="EC776" i="9"/>
  <c r="EB776" i="9"/>
  <c r="EA776" i="9"/>
  <c r="DZ776" i="9"/>
  <c r="DY776" i="9"/>
  <c r="DX776" i="9"/>
  <c r="DW776" i="9"/>
  <c r="DV776" i="9"/>
  <c r="DU776" i="9"/>
  <c r="DT776" i="9"/>
  <c r="DS776" i="9"/>
  <c r="DR776" i="9"/>
  <c r="DQ776" i="9"/>
  <c r="DP776" i="9"/>
  <c r="DO776" i="9"/>
  <c r="DN776" i="9"/>
  <c r="DM776" i="9"/>
  <c r="DL776" i="9"/>
  <c r="DK776" i="9"/>
  <c r="DJ776" i="9"/>
  <c r="DI776" i="9"/>
  <c r="DH776" i="9"/>
  <c r="DG776" i="9"/>
  <c r="DF776" i="9"/>
  <c r="DE776" i="9"/>
  <c r="DD776" i="9"/>
  <c r="DC776" i="9"/>
  <c r="DB776" i="9"/>
  <c r="DA776" i="9"/>
  <c r="CZ776" i="9"/>
  <c r="CY776" i="9"/>
  <c r="CX776" i="9"/>
  <c r="CW776" i="9"/>
  <c r="CV776" i="9"/>
  <c r="CU776" i="9"/>
  <c r="CT776" i="9"/>
  <c r="CS776" i="9"/>
  <c r="CR776" i="9"/>
  <c r="CQ776" i="9"/>
  <c r="CP776" i="9"/>
  <c r="CO776" i="9"/>
  <c r="CN776" i="9"/>
  <c r="CM776" i="9"/>
  <c r="CL776" i="9"/>
  <c r="CK776" i="9"/>
  <c r="CJ776" i="9"/>
  <c r="CI776" i="9"/>
  <c r="CH776" i="9"/>
  <c r="CG776" i="9"/>
  <c r="CF776" i="9"/>
  <c r="CE776" i="9"/>
  <c r="CD776" i="9"/>
  <c r="CC776" i="9"/>
  <c r="CB776" i="9"/>
  <c r="EI775" i="9"/>
  <c r="EH775" i="9"/>
  <c r="EG775" i="9"/>
  <c r="EF775" i="9"/>
  <c r="EE775" i="9"/>
  <c r="ED775" i="9"/>
  <c r="EC775" i="9"/>
  <c r="EB775" i="9"/>
  <c r="EA775" i="9"/>
  <c r="DZ775" i="9"/>
  <c r="DY775" i="9"/>
  <c r="DX775" i="9"/>
  <c r="DW775" i="9"/>
  <c r="DV775" i="9"/>
  <c r="DU775" i="9"/>
  <c r="DT775" i="9"/>
  <c r="DS775" i="9"/>
  <c r="DR775" i="9"/>
  <c r="DQ775" i="9"/>
  <c r="DP775" i="9"/>
  <c r="DO775" i="9"/>
  <c r="DN775" i="9"/>
  <c r="DM775" i="9"/>
  <c r="DL775" i="9"/>
  <c r="DK775" i="9"/>
  <c r="DJ775" i="9"/>
  <c r="DI775" i="9"/>
  <c r="DH775" i="9"/>
  <c r="DG775" i="9"/>
  <c r="DF775" i="9"/>
  <c r="DE775" i="9"/>
  <c r="DD775" i="9"/>
  <c r="DC775" i="9"/>
  <c r="DB775" i="9"/>
  <c r="DA775" i="9"/>
  <c r="CZ775" i="9"/>
  <c r="CY775" i="9"/>
  <c r="CX775" i="9"/>
  <c r="CW775" i="9"/>
  <c r="CV775" i="9"/>
  <c r="CU775" i="9"/>
  <c r="CT775" i="9"/>
  <c r="CS775" i="9"/>
  <c r="CR775" i="9"/>
  <c r="CQ775" i="9"/>
  <c r="CP775" i="9"/>
  <c r="CO775" i="9"/>
  <c r="CN775" i="9"/>
  <c r="CM775" i="9"/>
  <c r="CL775" i="9"/>
  <c r="CK775" i="9"/>
  <c r="CJ775" i="9"/>
  <c r="CI775" i="9"/>
  <c r="CH775" i="9"/>
  <c r="CG775" i="9"/>
  <c r="CF775" i="9"/>
  <c r="CE775" i="9"/>
  <c r="CD775" i="9"/>
  <c r="CC775" i="9"/>
  <c r="CB775" i="9"/>
  <c r="EI774" i="9"/>
  <c r="EH774" i="9"/>
  <c r="EG774" i="9"/>
  <c r="EF774" i="9"/>
  <c r="EE774" i="9"/>
  <c r="ED774" i="9"/>
  <c r="EC774" i="9"/>
  <c r="EB774" i="9"/>
  <c r="EA774" i="9"/>
  <c r="DZ774" i="9"/>
  <c r="DY774" i="9"/>
  <c r="DX774" i="9"/>
  <c r="DW774" i="9"/>
  <c r="DV774" i="9"/>
  <c r="DU774" i="9"/>
  <c r="DT774" i="9"/>
  <c r="DS774" i="9"/>
  <c r="DR774" i="9"/>
  <c r="DQ774" i="9"/>
  <c r="DP774" i="9"/>
  <c r="DO774" i="9"/>
  <c r="DN774" i="9"/>
  <c r="DM774" i="9"/>
  <c r="DL774" i="9"/>
  <c r="DK774" i="9"/>
  <c r="DJ774" i="9"/>
  <c r="DI774" i="9"/>
  <c r="DH774" i="9"/>
  <c r="DG774" i="9"/>
  <c r="DF774" i="9"/>
  <c r="DE774" i="9"/>
  <c r="DD774" i="9"/>
  <c r="DC774" i="9"/>
  <c r="DB774" i="9"/>
  <c r="DA774" i="9"/>
  <c r="CZ774" i="9"/>
  <c r="CY774" i="9"/>
  <c r="CX774" i="9"/>
  <c r="CW774" i="9"/>
  <c r="CV774" i="9"/>
  <c r="CU774" i="9"/>
  <c r="CT774" i="9"/>
  <c r="CS774" i="9"/>
  <c r="CR774" i="9"/>
  <c r="CQ774" i="9"/>
  <c r="CP774" i="9"/>
  <c r="CO774" i="9"/>
  <c r="CN774" i="9"/>
  <c r="CM774" i="9"/>
  <c r="CL774" i="9"/>
  <c r="CK774" i="9"/>
  <c r="CJ774" i="9"/>
  <c r="CI774" i="9"/>
  <c r="CH774" i="9"/>
  <c r="CG774" i="9"/>
  <c r="CF774" i="9"/>
  <c r="CE774" i="9"/>
  <c r="CD774" i="9"/>
  <c r="CC774" i="9"/>
  <c r="CB774" i="9"/>
  <c r="EI773" i="9"/>
  <c r="EH773" i="9"/>
  <c r="EG773" i="9"/>
  <c r="EF773" i="9"/>
  <c r="EE773" i="9"/>
  <c r="ED773" i="9"/>
  <c r="EC773" i="9"/>
  <c r="EB773" i="9"/>
  <c r="EA773" i="9"/>
  <c r="DZ773" i="9"/>
  <c r="DY773" i="9"/>
  <c r="DX773" i="9"/>
  <c r="DW773" i="9"/>
  <c r="DV773" i="9"/>
  <c r="DU773" i="9"/>
  <c r="DT773" i="9"/>
  <c r="DS773" i="9"/>
  <c r="DR773" i="9"/>
  <c r="DQ773" i="9"/>
  <c r="DP773" i="9"/>
  <c r="DO773" i="9"/>
  <c r="DN773" i="9"/>
  <c r="DM773" i="9"/>
  <c r="DL773" i="9"/>
  <c r="DK773" i="9"/>
  <c r="DJ773" i="9"/>
  <c r="DI773" i="9"/>
  <c r="DH773" i="9"/>
  <c r="DG773" i="9"/>
  <c r="DF773" i="9"/>
  <c r="DE773" i="9"/>
  <c r="DD773" i="9"/>
  <c r="DC773" i="9"/>
  <c r="DB773" i="9"/>
  <c r="DA773" i="9"/>
  <c r="CZ773" i="9"/>
  <c r="CY773" i="9"/>
  <c r="CX773" i="9"/>
  <c r="CW773" i="9"/>
  <c r="CV773" i="9"/>
  <c r="CU773" i="9"/>
  <c r="CT773" i="9"/>
  <c r="CS773" i="9"/>
  <c r="CR773" i="9"/>
  <c r="CQ773" i="9"/>
  <c r="CP773" i="9"/>
  <c r="CO773" i="9"/>
  <c r="CN773" i="9"/>
  <c r="CM773" i="9"/>
  <c r="CL773" i="9"/>
  <c r="CK773" i="9"/>
  <c r="CJ773" i="9"/>
  <c r="CI773" i="9"/>
  <c r="CH773" i="9"/>
  <c r="CG773" i="9"/>
  <c r="CF773" i="9"/>
  <c r="CE773" i="9"/>
  <c r="CD773" i="9"/>
  <c r="CC773" i="9"/>
  <c r="CB773" i="9"/>
  <c r="EI771" i="9"/>
  <c r="EH771" i="9"/>
  <c r="EG771" i="9"/>
  <c r="EF771" i="9"/>
  <c r="EE771" i="9"/>
  <c r="ED771" i="9"/>
  <c r="EC771" i="9"/>
  <c r="EB771" i="9"/>
  <c r="EA771" i="9"/>
  <c r="DZ771" i="9"/>
  <c r="DY771" i="9"/>
  <c r="DX771" i="9"/>
  <c r="DW771" i="9"/>
  <c r="DV771" i="9"/>
  <c r="DU771" i="9"/>
  <c r="DT771" i="9"/>
  <c r="DS771" i="9"/>
  <c r="DR771" i="9"/>
  <c r="DQ771" i="9"/>
  <c r="DP771" i="9"/>
  <c r="DO771" i="9"/>
  <c r="DN771" i="9"/>
  <c r="DM771" i="9"/>
  <c r="DL771" i="9"/>
  <c r="DK771" i="9"/>
  <c r="DJ771" i="9"/>
  <c r="DI771" i="9"/>
  <c r="DH771" i="9"/>
  <c r="DG771" i="9"/>
  <c r="DF771" i="9"/>
  <c r="DE771" i="9"/>
  <c r="DD771" i="9"/>
  <c r="DC771" i="9"/>
  <c r="DB771" i="9"/>
  <c r="DA771" i="9"/>
  <c r="CZ771" i="9"/>
  <c r="CY771" i="9"/>
  <c r="CX771" i="9"/>
  <c r="CW771" i="9"/>
  <c r="CV771" i="9"/>
  <c r="CU771" i="9"/>
  <c r="CT771" i="9"/>
  <c r="CS771" i="9"/>
  <c r="CR771" i="9"/>
  <c r="CQ771" i="9"/>
  <c r="CP771" i="9"/>
  <c r="CO771" i="9"/>
  <c r="CN771" i="9"/>
  <c r="CM771" i="9"/>
  <c r="CL771" i="9"/>
  <c r="CK771" i="9"/>
  <c r="CJ771" i="9"/>
  <c r="CI771" i="9"/>
  <c r="CH771" i="9"/>
  <c r="CG771" i="9"/>
  <c r="CF771" i="9"/>
  <c r="CE771" i="9"/>
  <c r="CD771" i="9"/>
  <c r="CC771" i="9"/>
  <c r="CB771" i="9"/>
  <c r="EI770" i="9"/>
  <c r="EH770" i="9"/>
  <c r="EG770" i="9"/>
  <c r="EF770" i="9"/>
  <c r="EE770" i="9"/>
  <c r="ED770" i="9"/>
  <c r="EC770" i="9"/>
  <c r="EB770" i="9"/>
  <c r="EA770" i="9"/>
  <c r="DZ770" i="9"/>
  <c r="DY770" i="9"/>
  <c r="DX770" i="9"/>
  <c r="DW770" i="9"/>
  <c r="DV770" i="9"/>
  <c r="DU770" i="9"/>
  <c r="DT770" i="9"/>
  <c r="DS770" i="9"/>
  <c r="DR770" i="9"/>
  <c r="DQ770" i="9"/>
  <c r="DP770" i="9"/>
  <c r="DO770" i="9"/>
  <c r="DN770" i="9"/>
  <c r="DM770" i="9"/>
  <c r="DL770" i="9"/>
  <c r="DK770" i="9"/>
  <c r="DJ770" i="9"/>
  <c r="DI770" i="9"/>
  <c r="DH770" i="9"/>
  <c r="DG770" i="9"/>
  <c r="DF770" i="9"/>
  <c r="DE770" i="9"/>
  <c r="DD770" i="9"/>
  <c r="DC770" i="9"/>
  <c r="DB770" i="9"/>
  <c r="DA770" i="9"/>
  <c r="CZ770" i="9"/>
  <c r="CY770" i="9"/>
  <c r="CX770" i="9"/>
  <c r="CW770" i="9"/>
  <c r="CV770" i="9"/>
  <c r="CU770" i="9"/>
  <c r="CT770" i="9"/>
  <c r="CS770" i="9"/>
  <c r="CR770" i="9"/>
  <c r="CQ770" i="9"/>
  <c r="CP770" i="9"/>
  <c r="CO770" i="9"/>
  <c r="CN770" i="9"/>
  <c r="CM770" i="9"/>
  <c r="CL770" i="9"/>
  <c r="CK770" i="9"/>
  <c r="CJ770" i="9"/>
  <c r="CI770" i="9"/>
  <c r="CH770" i="9"/>
  <c r="CG770" i="9"/>
  <c r="CF770" i="9"/>
  <c r="CE770" i="9"/>
  <c r="CD770" i="9"/>
  <c r="CC770" i="9"/>
  <c r="CB770" i="9"/>
  <c r="EI769" i="9"/>
  <c r="EH769" i="9"/>
  <c r="EG769" i="9"/>
  <c r="EF769" i="9"/>
  <c r="EE769" i="9"/>
  <c r="ED769" i="9"/>
  <c r="EC769" i="9"/>
  <c r="EB769" i="9"/>
  <c r="EA769" i="9"/>
  <c r="DZ769" i="9"/>
  <c r="DY769" i="9"/>
  <c r="DX769" i="9"/>
  <c r="DW769" i="9"/>
  <c r="DV769" i="9"/>
  <c r="DU769" i="9"/>
  <c r="DT769" i="9"/>
  <c r="DS769" i="9"/>
  <c r="DR769" i="9"/>
  <c r="DQ769" i="9"/>
  <c r="DP769" i="9"/>
  <c r="DO769" i="9"/>
  <c r="DN769" i="9"/>
  <c r="DM769" i="9"/>
  <c r="DL769" i="9"/>
  <c r="DK769" i="9"/>
  <c r="DJ769" i="9"/>
  <c r="DI769" i="9"/>
  <c r="DH769" i="9"/>
  <c r="DG769" i="9"/>
  <c r="DF769" i="9"/>
  <c r="DE769" i="9"/>
  <c r="DD769" i="9"/>
  <c r="DC769" i="9"/>
  <c r="DB769" i="9"/>
  <c r="DA769" i="9"/>
  <c r="CZ769" i="9"/>
  <c r="CY769" i="9"/>
  <c r="CX769" i="9"/>
  <c r="CW769" i="9"/>
  <c r="CV769" i="9"/>
  <c r="CU769" i="9"/>
  <c r="CT769" i="9"/>
  <c r="CS769" i="9"/>
  <c r="CR769" i="9"/>
  <c r="CQ769" i="9"/>
  <c r="CP769" i="9"/>
  <c r="CO769" i="9"/>
  <c r="CN769" i="9"/>
  <c r="CM769" i="9"/>
  <c r="CL769" i="9"/>
  <c r="CK769" i="9"/>
  <c r="CJ769" i="9"/>
  <c r="CI769" i="9"/>
  <c r="CH769" i="9"/>
  <c r="CG769" i="9"/>
  <c r="CF769" i="9"/>
  <c r="CE769" i="9"/>
  <c r="CD769" i="9"/>
  <c r="CC769" i="9"/>
  <c r="CB769" i="9"/>
  <c r="EI768" i="9"/>
  <c r="EH768" i="9"/>
  <c r="EG768" i="9"/>
  <c r="EF768" i="9"/>
  <c r="EE768" i="9"/>
  <c r="ED768" i="9"/>
  <c r="EC768" i="9"/>
  <c r="EB768" i="9"/>
  <c r="EA768" i="9"/>
  <c r="DZ768" i="9"/>
  <c r="DY768" i="9"/>
  <c r="DX768" i="9"/>
  <c r="DW768" i="9"/>
  <c r="DV768" i="9"/>
  <c r="DU768" i="9"/>
  <c r="DT768" i="9"/>
  <c r="DS768" i="9"/>
  <c r="DR768" i="9"/>
  <c r="DQ768" i="9"/>
  <c r="DP768" i="9"/>
  <c r="DO768" i="9"/>
  <c r="DN768" i="9"/>
  <c r="DM768" i="9"/>
  <c r="DL768" i="9"/>
  <c r="DK768" i="9"/>
  <c r="DJ768" i="9"/>
  <c r="DI768" i="9"/>
  <c r="DH768" i="9"/>
  <c r="DG768" i="9"/>
  <c r="DF768" i="9"/>
  <c r="DE768" i="9"/>
  <c r="DD768" i="9"/>
  <c r="DC768" i="9"/>
  <c r="DB768" i="9"/>
  <c r="DA768" i="9"/>
  <c r="CZ768" i="9"/>
  <c r="CY768" i="9"/>
  <c r="CX768" i="9"/>
  <c r="CW768" i="9"/>
  <c r="CV768" i="9"/>
  <c r="CU768" i="9"/>
  <c r="CT768" i="9"/>
  <c r="CS768" i="9"/>
  <c r="CR768" i="9"/>
  <c r="CQ768" i="9"/>
  <c r="CP768" i="9"/>
  <c r="CO768" i="9"/>
  <c r="CN768" i="9"/>
  <c r="CM768" i="9"/>
  <c r="CL768" i="9"/>
  <c r="CK768" i="9"/>
  <c r="CJ768" i="9"/>
  <c r="CI768" i="9"/>
  <c r="CH768" i="9"/>
  <c r="CG768" i="9"/>
  <c r="CF768" i="9"/>
  <c r="CE768" i="9"/>
  <c r="CD768" i="9"/>
  <c r="CC768" i="9"/>
  <c r="CB768" i="9"/>
  <c r="EI767" i="9"/>
  <c r="EH767" i="9"/>
  <c r="EG767" i="9"/>
  <c r="EF767" i="9"/>
  <c r="EE767" i="9"/>
  <c r="ED767" i="9"/>
  <c r="EC767" i="9"/>
  <c r="EB767" i="9"/>
  <c r="EA767" i="9"/>
  <c r="DZ767" i="9"/>
  <c r="DY767" i="9"/>
  <c r="DX767" i="9"/>
  <c r="DW767" i="9"/>
  <c r="DV767" i="9"/>
  <c r="DU767" i="9"/>
  <c r="DT767" i="9"/>
  <c r="DS767" i="9"/>
  <c r="DR767" i="9"/>
  <c r="DQ767" i="9"/>
  <c r="DP767" i="9"/>
  <c r="DO767" i="9"/>
  <c r="DN767" i="9"/>
  <c r="DM767" i="9"/>
  <c r="DL767" i="9"/>
  <c r="DK767" i="9"/>
  <c r="DJ767" i="9"/>
  <c r="DI767" i="9"/>
  <c r="DH767" i="9"/>
  <c r="DG767" i="9"/>
  <c r="DF767" i="9"/>
  <c r="DE767" i="9"/>
  <c r="DD767" i="9"/>
  <c r="DC767" i="9"/>
  <c r="DB767" i="9"/>
  <c r="DA767" i="9"/>
  <c r="CZ767" i="9"/>
  <c r="CY767" i="9"/>
  <c r="CX767" i="9"/>
  <c r="CW767" i="9"/>
  <c r="CV767" i="9"/>
  <c r="CU767" i="9"/>
  <c r="CT767" i="9"/>
  <c r="CS767" i="9"/>
  <c r="CR767" i="9"/>
  <c r="CQ767" i="9"/>
  <c r="CP767" i="9"/>
  <c r="CO767" i="9"/>
  <c r="CN767" i="9"/>
  <c r="CM767" i="9"/>
  <c r="CL767" i="9"/>
  <c r="CK767" i="9"/>
  <c r="CJ767" i="9"/>
  <c r="CI767" i="9"/>
  <c r="CH767" i="9"/>
  <c r="CG767" i="9"/>
  <c r="CF767" i="9"/>
  <c r="CE767" i="9"/>
  <c r="CD767" i="9"/>
  <c r="CC767" i="9"/>
  <c r="CB767" i="9"/>
  <c r="EI766" i="9"/>
  <c r="EH766" i="9"/>
  <c r="EG766" i="9"/>
  <c r="EF766" i="9"/>
  <c r="EE766" i="9"/>
  <c r="ED766" i="9"/>
  <c r="EC766" i="9"/>
  <c r="EB766" i="9"/>
  <c r="EA766" i="9"/>
  <c r="DZ766" i="9"/>
  <c r="DY766" i="9"/>
  <c r="DX766" i="9"/>
  <c r="DW766" i="9"/>
  <c r="DV766" i="9"/>
  <c r="DU766" i="9"/>
  <c r="DT766" i="9"/>
  <c r="DS766" i="9"/>
  <c r="DR766" i="9"/>
  <c r="DQ766" i="9"/>
  <c r="DP766" i="9"/>
  <c r="DO766" i="9"/>
  <c r="DN766" i="9"/>
  <c r="DM766" i="9"/>
  <c r="DL766" i="9"/>
  <c r="DK766" i="9"/>
  <c r="DJ766" i="9"/>
  <c r="DI766" i="9"/>
  <c r="DH766" i="9"/>
  <c r="DG766" i="9"/>
  <c r="DF766" i="9"/>
  <c r="DE766" i="9"/>
  <c r="DD766" i="9"/>
  <c r="DC766" i="9"/>
  <c r="DB766" i="9"/>
  <c r="DA766" i="9"/>
  <c r="CZ766" i="9"/>
  <c r="CY766" i="9"/>
  <c r="CX766" i="9"/>
  <c r="CW766" i="9"/>
  <c r="CV766" i="9"/>
  <c r="CU766" i="9"/>
  <c r="CT766" i="9"/>
  <c r="CS766" i="9"/>
  <c r="CR766" i="9"/>
  <c r="CQ766" i="9"/>
  <c r="CP766" i="9"/>
  <c r="CO766" i="9"/>
  <c r="CN766" i="9"/>
  <c r="CM766" i="9"/>
  <c r="CL766" i="9"/>
  <c r="CK766" i="9"/>
  <c r="CJ766" i="9"/>
  <c r="CI766" i="9"/>
  <c r="CH766" i="9"/>
  <c r="CG766" i="9"/>
  <c r="CF766" i="9"/>
  <c r="CE766" i="9"/>
  <c r="CD766" i="9"/>
  <c r="CC766" i="9"/>
  <c r="CB766" i="9"/>
  <c r="EI765" i="9"/>
  <c r="EH765" i="9"/>
  <c r="EG765" i="9"/>
  <c r="EF765" i="9"/>
  <c r="EE765" i="9"/>
  <c r="ED765" i="9"/>
  <c r="EC765" i="9"/>
  <c r="EB765" i="9"/>
  <c r="EA765" i="9"/>
  <c r="DZ765" i="9"/>
  <c r="DY765" i="9"/>
  <c r="DX765" i="9"/>
  <c r="DW765" i="9"/>
  <c r="DV765" i="9"/>
  <c r="DU765" i="9"/>
  <c r="DT765" i="9"/>
  <c r="DS765" i="9"/>
  <c r="DR765" i="9"/>
  <c r="DQ765" i="9"/>
  <c r="DP765" i="9"/>
  <c r="DO765" i="9"/>
  <c r="DN765" i="9"/>
  <c r="DM765" i="9"/>
  <c r="DL765" i="9"/>
  <c r="DK765" i="9"/>
  <c r="DJ765" i="9"/>
  <c r="DI765" i="9"/>
  <c r="DH765" i="9"/>
  <c r="DG765" i="9"/>
  <c r="DF765" i="9"/>
  <c r="DE765" i="9"/>
  <c r="DD765" i="9"/>
  <c r="DC765" i="9"/>
  <c r="DB765" i="9"/>
  <c r="DA765" i="9"/>
  <c r="CZ765" i="9"/>
  <c r="CY765" i="9"/>
  <c r="CX765" i="9"/>
  <c r="CW765" i="9"/>
  <c r="CV765" i="9"/>
  <c r="CU765" i="9"/>
  <c r="CT765" i="9"/>
  <c r="CS765" i="9"/>
  <c r="CR765" i="9"/>
  <c r="CQ765" i="9"/>
  <c r="CP765" i="9"/>
  <c r="CO765" i="9"/>
  <c r="CN765" i="9"/>
  <c r="CM765" i="9"/>
  <c r="CL765" i="9"/>
  <c r="CK765" i="9"/>
  <c r="CJ765" i="9"/>
  <c r="CI765" i="9"/>
  <c r="CH765" i="9"/>
  <c r="CG765" i="9"/>
  <c r="CF765" i="9"/>
  <c r="CE765" i="9"/>
  <c r="CD765" i="9"/>
  <c r="CC765" i="9"/>
  <c r="CB765" i="9"/>
  <c r="EI763" i="9"/>
  <c r="EH763" i="9"/>
  <c r="EG763" i="9"/>
  <c r="EF763" i="9"/>
  <c r="EE763" i="9"/>
  <c r="ED763" i="9"/>
  <c r="EC763" i="9"/>
  <c r="EB763" i="9"/>
  <c r="EA763" i="9"/>
  <c r="DZ763" i="9"/>
  <c r="DY763" i="9"/>
  <c r="DX763" i="9"/>
  <c r="DW763" i="9"/>
  <c r="DV763" i="9"/>
  <c r="DU763" i="9"/>
  <c r="DT763" i="9"/>
  <c r="DS763" i="9"/>
  <c r="DR763" i="9"/>
  <c r="DQ763" i="9"/>
  <c r="DP763" i="9"/>
  <c r="DO763" i="9"/>
  <c r="DN763" i="9"/>
  <c r="DM763" i="9"/>
  <c r="DL763" i="9"/>
  <c r="DK763" i="9"/>
  <c r="DJ763" i="9"/>
  <c r="DI763" i="9"/>
  <c r="DH763" i="9"/>
  <c r="DG763" i="9"/>
  <c r="DF763" i="9"/>
  <c r="DE763" i="9"/>
  <c r="DD763" i="9"/>
  <c r="DC763" i="9"/>
  <c r="DB763" i="9"/>
  <c r="DA763" i="9"/>
  <c r="CZ763" i="9"/>
  <c r="CY763" i="9"/>
  <c r="CX763" i="9"/>
  <c r="CW763" i="9"/>
  <c r="CV763" i="9"/>
  <c r="CU763" i="9"/>
  <c r="CT763" i="9"/>
  <c r="CS763" i="9"/>
  <c r="CR763" i="9"/>
  <c r="CQ763" i="9"/>
  <c r="CP763" i="9"/>
  <c r="CO763" i="9"/>
  <c r="CN763" i="9"/>
  <c r="CM763" i="9"/>
  <c r="CL763" i="9"/>
  <c r="CK763" i="9"/>
  <c r="CJ763" i="9"/>
  <c r="CI763" i="9"/>
  <c r="CH763" i="9"/>
  <c r="CG763" i="9"/>
  <c r="CF763" i="9"/>
  <c r="CE763" i="9"/>
  <c r="CD763" i="9"/>
  <c r="CC763" i="9"/>
  <c r="CB763" i="9"/>
  <c r="EI762" i="9"/>
  <c r="EH762" i="9"/>
  <c r="EG762" i="9"/>
  <c r="EF762" i="9"/>
  <c r="EE762" i="9"/>
  <c r="ED762" i="9"/>
  <c r="EC762" i="9"/>
  <c r="EB762" i="9"/>
  <c r="EA762" i="9"/>
  <c r="DZ762" i="9"/>
  <c r="DY762" i="9"/>
  <c r="DX762" i="9"/>
  <c r="DW762" i="9"/>
  <c r="DV762" i="9"/>
  <c r="DU762" i="9"/>
  <c r="DT762" i="9"/>
  <c r="DS762" i="9"/>
  <c r="DR762" i="9"/>
  <c r="DQ762" i="9"/>
  <c r="DP762" i="9"/>
  <c r="DO762" i="9"/>
  <c r="DN762" i="9"/>
  <c r="DM762" i="9"/>
  <c r="DL762" i="9"/>
  <c r="DK762" i="9"/>
  <c r="DJ762" i="9"/>
  <c r="DI762" i="9"/>
  <c r="DH762" i="9"/>
  <c r="DG762" i="9"/>
  <c r="DF762" i="9"/>
  <c r="DE762" i="9"/>
  <c r="DD762" i="9"/>
  <c r="DC762" i="9"/>
  <c r="DB762" i="9"/>
  <c r="DA762" i="9"/>
  <c r="CZ762" i="9"/>
  <c r="CY762" i="9"/>
  <c r="CX762" i="9"/>
  <c r="CW762" i="9"/>
  <c r="CV762" i="9"/>
  <c r="CU762" i="9"/>
  <c r="CT762" i="9"/>
  <c r="CS762" i="9"/>
  <c r="CR762" i="9"/>
  <c r="CQ762" i="9"/>
  <c r="CP762" i="9"/>
  <c r="CO762" i="9"/>
  <c r="CN762" i="9"/>
  <c r="CM762" i="9"/>
  <c r="CL762" i="9"/>
  <c r="CK762" i="9"/>
  <c r="CJ762" i="9"/>
  <c r="CI762" i="9"/>
  <c r="CH762" i="9"/>
  <c r="CG762" i="9"/>
  <c r="CF762" i="9"/>
  <c r="CE762" i="9"/>
  <c r="CD762" i="9"/>
  <c r="CC762" i="9"/>
  <c r="CB762" i="9"/>
  <c r="EI761" i="9"/>
  <c r="EH761" i="9"/>
  <c r="EG761" i="9"/>
  <c r="EF761" i="9"/>
  <c r="EE761" i="9"/>
  <c r="ED761" i="9"/>
  <c r="EC761" i="9"/>
  <c r="EB761" i="9"/>
  <c r="EA761" i="9"/>
  <c r="DZ761" i="9"/>
  <c r="DY761" i="9"/>
  <c r="DX761" i="9"/>
  <c r="DW761" i="9"/>
  <c r="DV761" i="9"/>
  <c r="DU761" i="9"/>
  <c r="DT761" i="9"/>
  <c r="DS761" i="9"/>
  <c r="DR761" i="9"/>
  <c r="DQ761" i="9"/>
  <c r="DP761" i="9"/>
  <c r="DO761" i="9"/>
  <c r="DN761" i="9"/>
  <c r="DM761" i="9"/>
  <c r="DL761" i="9"/>
  <c r="DK761" i="9"/>
  <c r="DJ761" i="9"/>
  <c r="DI761" i="9"/>
  <c r="DH761" i="9"/>
  <c r="DG761" i="9"/>
  <c r="DF761" i="9"/>
  <c r="DE761" i="9"/>
  <c r="DD761" i="9"/>
  <c r="DC761" i="9"/>
  <c r="DB761" i="9"/>
  <c r="DA761" i="9"/>
  <c r="CZ761" i="9"/>
  <c r="CY761" i="9"/>
  <c r="CX761" i="9"/>
  <c r="CW761" i="9"/>
  <c r="CV761" i="9"/>
  <c r="CU761" i="9"/>
  <c r="CT761" i="9"/>
  <c r="CS761" i="9"/>
  <c r="CR761" i="9"/>
  <c r="CQ761" i="9"/>
  <c r="CP761" i="9"/>
  <c r="CO761" i="9"/>
  <c r="CN761" i="9"/>
  <c r="CM761" i="9"/>
  <c r="CL761" i="9"/>
  <c r="CK761" i="9"/>
  <c r="CJ761" i="9"/>
  <c r="CI761" i="9"/>
  <c r="CH761" i="9"/>
  <c r="CG761" i="9"/>
  <c r="CF761" i="9"/>
  <c r="CE761" i="9"/>
  <c r="CD761" i="9"/>
  <c r="CC761" i="9"/>
  <c r="CB761" i="9"/>
  <c r="EI760" i="9"/>
  <c r="EH760" i="9"/>
  <c r="EG760" i="9"/>
  <c r="EF760" i="9"/>
  <c r="EE760" i="9"/>
  <c r="ED760" i="9"/>
  <c r="EC760" i="9"/>
  <c r="EB760" i="9"/>
  <c r="EA760" i="9"/>
  <c r="DZ760" i="9"/>
  <c r="DY760" i="9"/>
  <c r="DX760" i="9"/>
  <c r="DW760" i="9"/>
  <c r="DV760" i="9"/>
  <c r="DU760" i="9"/>
  <c r="DT760" i="9"/>
  <c r="DS760" i="9"/>
  <c r="DR760" i="9"/>
  <c r="DQ760" i="9"/>
  <c r="DP760" i="9"/>
  <c r="DO760" i="9"/>
  <c r="DN760" i="9"/>
  <c r="DM760" i="9"/>
  <c r="DL760" i="9"/>
  <c r="DK760" i="9"/>
  <c r="DJ760" i="9"/>
  <c r="DI760" i="9"/>
  <c r="DH760" i="9"/>
  <c r="DG760" i="9"/>
  <c r="DF760" i="9"/>
  <c r="DE760" i="9"/>
  <c r="DD760" i="9"/>
  <c r="DC760" i="9"/>
  <c r="DB760" i="9"/>
  <c r="DA760" i="9"/>
  <c r="CZ760" i="9"/>
  <c r="CY760" i="9"/>
  <c r="CX760" i="9"/>
  <c r="CW760" i="9"/>
  <c r="CV760" i="9"/>
  <c r="CU760" i="9"/>
  <c r="CT760" i="9"/>
  <c r="CS760" i="9"/>
  <c r="CR760" i="9"/>
  <c r="CQ760" i="9"/>
  <c r="CP760" i="9"/>
  <c r="CO760" i="9"/>
  <c r="CN760" i="9"/>
  <c r="CM760" i="9"/>
  <c r="CL760" i="9"/>
  <c r="CK760" i="9"/>
  <c r="CJ760" i="9"/>
  <c r="CI760" i="9"/>
  <c r="CH760" i="9"/>
  <c r="CG760" i="9"/>
  <c r="CF760" i="9"/>
  <c r="CE760" i="9"/>
  <c r="CD760" i="9"/>
  <c r="CC760" i="9"/>
  <c r="CB760" i="9"/>
  <c r="EI759" i="9"/>
  <c r="EH759" i="9"/>
  <c r="EG759" i="9"/>
  <c r="EF759" i="9"/>
  <c r="EE759" i="9"/>
  <c r="ED759" i="9"/>
  <c r="EC759" i="9"/>
  <c r="EB759" i="9"/>
  <c r="EA759" i="9"/>
  <c r="DZ759" i="9"/>
  <c r="DY759" i="9"/>
  <c r="DX759" i="9"/>
  <c r="DW759" i="9"/>
  <c r="DV759" i="9"/>
  <c r="DU759" i="9"/>
  <c r="DT759" i="9"/>
  <c r="DS759" i="9"/>
  <c r="DR759" i="9"/>
  <c r="DQ759" i="9"/>
  <c r="DP759" i="9"/>
  <c r="DO759" i="9"/>
  <c r="DN759" i="9"/>
  <c r="DM759" i="9"/>
  <c r="DL759" i="9"/>
  <c r="DK759" i="9"/>
  <c r="DJ759" i="9"/>
  <c r="DI759" i="9"/>
  <c r="DH759" i="9"/>
  <c r="DG759" i="9"/>
  <c r="DF759" i="9"/>
  <c r="DE759" i="9"/>
  <c r="DD759" i="9"/>
  <c r="DC759" i="9"/>
  <c r="DB759" i="9"/>
  <c r="DA759" i="9"/>
  <c r="CZ759" i="9"/>
  <c r="CY759" i="9"/>
  <c r="CX759" i="9"/>
  <c r="CW759" i="9"/>
  <c r="CV759" i="9"/>
  <c r="CU759" i="9"/>
  <c r="CT759" i="9"/>
  <c r="CS759" i="9"/>
  <c r="CR759" i="9"/>
  <c r="CQ759" i="9"/>
  <c r="CP759" i="9"/>
  <c r="CO759" i="9"/>
  <c r="CN759" i="9"/>
  <c r="CM759" i="9"/>
  <c r="CL759" i="9"/>
  <c r="CK759" i="9"/>
  <c r="CJ759" i="9"/>
  <c r="CI759" i="9"/>
  <c r="CH759" i="9"/>
  <c r="CG759" i="9"/>
  <c r="CF759" i="9"/>
  <c r="CE759" i="9"/>
  <c r="CD759" i="9"/>
  <c r="CC759" i="9"/>
  <c r="CB759" i="9"/>
  <c r="CA759" i="9"/>
  <c r="CA760" i="9"/>
  <c r="CA761" i="9"/>
  <c r="CA762" i="9"/>
  <c r="CA763" i="9"/>
  <c r="CA765" i="9"/>
  <c r="CA766" i="9"/>
  <c r="CA767" i="9"/>
  <c r="CA768" i="9"/>
  <c r="CA769" i="9"/>
  <c r="CA770" i="9"/>
  <c r="CA771" i="9"/>
  <c r="CA773" i="9"/>
  <c r="CA774" i="9"/>
  <c r="CA775" i="9"/>
  <c r="CA776" i="9"/>
  <c r="CA777" i="9"/>
  <c r="CA778" i="9"/>
  <c r="CA779" i="9"/>
  <c r="CA781" i="9"/>
  <c r="CA782" i="9"/>
  <c r="CA783" i="9"/>
  <c r="CA784" i="9"/>
  <c r="CA785" i="9"/>
  <c r="CA786" i="9"/>
  <c r="CA787" i="9"/>
  <c r="CA789" i="9"/>
  <c r="CA790" i="9"/>
  <c r="CA791" i="9"/>
  <c r="CA792" i="9"/>
  <c r="CA793" i="9"/>
  <c r="CA794" i="9"/>
  <c r="CA795" i="9"/>
  <c r="CA797" i="9"/>
  <c r="CA798" i="9"/>
  <c r="CA799" i="9"/>
  <c r="CA800" i="9"/>
  <c r="CA801" i="9"/>
  <c r="CA802" i="9"/>
  <c r="CA803" i="9"/>
  <c r="CA805" i="9"/>
  <c r="CA806" i="9"/>
  <c r="CA807" i="9"/>
  <c r="CA808" i="9"/>
  <c r="CA809" i="9"/>
  <c r="CA810" i="9"/>
  <c r="CA811" i="9"/>
  <c r="CA813" i="9"/>
  <c r="CA814" i="9"/>
  <c r="CA815" i="9"/>
  <c r="CA816" i="9"/>
  <c r="CA817" i="9"/>
  <c r="CA818" i="9"/>
  <c r="CA819" i="9"/>
  <c r="CA821" i="9"/>
  <c r="CA822" i="9"/>
  <c r="CA823" i="9"/>
  <c r="CA824" i="9"/>
  <c r="CA825" i="9"/>
  <c r="CA826" i="9"/>
  <c r="CA827" i="9"/>
  <c r="CA829" i="9"/>
  <c r="CA830" i="9"/>
  <c r="CA831" i="9"/>
  <c r="CA832" i="9"/>
  <c r="CA833" i="9"/>
  <c r="CA834" i="9"/>
  <c r="CA835" i="9"/>
  <c r="CA836" i="9"/>
  <c r="CA837" i="9"/>
  <c r="CA838" i="9"/>
  <c r="CA840" i="9"/>
  <c r="CA841" i="9"/>
  <c r="CA842" i="9"/>
  <c r="CA843" i="9"/>
  <c r="CA844" i="9"/>
  <c r="CA845" i="9"/>
  <c r="CA846" i="9"/>
  <c r="CA847" i="9"/>
  <c r="CA848" i="9"/>
  <c r="CA849" i="9"/>
  <c r="CA757" i="9"/>
  <c r="CA758" i="9"/>
  <c r="EI757" i="9"/>
  <c r="EH757" i="9"/>
  <c r="EG757" i="9"/>
  <c r="EF757" i="9"/>
  <c r="EE757" i="9"/>
  <c r="ED757" i="9"/>
  <c r="EC757" i="9"/>
  <c r="EB757" i="9"/>
  <c r="EA757" i="9"/>
  <c r="DZ757" i="9"/>
  <c r="DY757" i="9"/>
  <c r="DX757" i="9"/>
  <c r="DW757" i="9"/>
  <c r="DV757" i="9"/>
  <c r="DU757" i="9"/>
  <c r="DT757" i="9"/>
  <c r="DS757" i="9"/>
  <c r="DR757" i="9"/>
  <c r="DQ757" i="9"/>
  <c r="DP757" i="9"/>
  <c r="DO757" i="9"/>
  <c r="DN757" i="9"/>
  <c r="DM757" i="9"/>
  <c r="DL757" i="9"/>
  <c r="DK757" i="9"/>
  <c r="DJ757" i="9"/>
  <c r="DI757" i="9"/>
  <c r="DH757" i="9"/>
  <c r="DG757" i="9"/>
  <c r="DF757" i="9"/>
  <c r="DE757" i="9"/>
  <c r="DD757" i="9"/>
  <c r="DC757" i="9"/>
  <c r="DB757" i="9"/>
  <c r="DA757" i="9"/>
  <c r="CZ757" i="9"/>
  <c r="CY757" i="9"/>
  <c r="CX757" i="9"/>
  <c r="CW757" i="9"/>
  <c r="CV757" i="9"/>
  <c r="CU757" i="9"/>
  <c r="CT757" i="9"/>
  <c r="CS757" i="9"/>
  <c r="CR757" i="9"/>
  <c r="CQ757" i="9"/>
  <c r="CP757" i="9"/>
  <c r="CO757" i="9"/>
  <c r="CN757" i="9"/>
  <c r="CM757" i="9"/>
  <c r="CL757" i="9"/>
  <c r="CK757" i="9"/>
  <c r="CJ757" i="9"/>
  <c r="CI757" i="9"/>
  <c r="CH757" i="9"/>
  <c r="CG757" i="9"/>
  <c r="CF757" i="9"/>
  <c r="CE757" i="9"/>
  <c r="CD757" i="9"/>
  <c r="CC757" i="9"/>
  <c r="CB757" i="9"/>
  <c r="EI758" i="9"/>
  <c r="EH758" i="9"/>
  <c r="EG758" i="9"/>
  <c r="EF758" i="9"/>
  <c r="EE758" i="9"/>
  <c r="ED758" i="9"/>
  <c r="EC758" i="9"/>
  <c r="EB758" i="9"/>
  <c r="EA758" i="9"/>
  <c r="DZ758" i="9"/>
  <c r="DY758" i="9"/>
  <c r="DX758" i="9"/>
  <c r="DW758" i="9"/>
  <c r="DV758" i="9"/>
  <c r="DU758" i="9"/>
  <c r="DT758" i="9"/>
  <c r="DS758" i="9"/>
  <c r="DR758" i="9"/>
  <c r="DQ758" i="9"/>
  <c r="DP758" i="9"/>
  <c r="DO758" i="9"/>
  <c r="DN758" i="9"/>
  <c r="DM758" i="9"/>
  <c r="DL758" i="9"/>
  <c r="DK758" i="9"/>
  <c r="DJ758" i="9"/>
  <c r="DI758" i="9"/>
  <c r="DH758" i="9"/>
  <c r="DG758" i="9"/>
  <c r="DF758" i="9"/>
  <c r="DE758" i="9"/>
  <c r="DD758" i="9"/>
  <c r="DC758" i="9"/>
  <c r="DB758" i="9"/>
  <c r="DA758" i="9"/>
  <c r="CZ758" i="9"/>
  <c r="CY758" i="9"/>
  <c r="CX758" i="9"/>
  <c r="CW758" i="9"/>
  <c r="CV758" i="9"/>
  <c r="CU758" i="9"/>
  <c r="CT758" i="9"/>
  <c r="CS758" i="9"/>
  <c r="CR758" i="9"/>
  <c r="CQ758" i="9"/>
  <c r="CP758" i="9"/>
  <c r="CO758" i="9"/>
  <c r="CN758" i="9"/>
  <c r="CM758" i="9"/>
  <c r="CL758" i="9"/>
  <c r="CK758" i="9"/>
  <c r="CJ758" i="9"/>
  <c r="CI758" i="9"/>
  <c r="CH758" i="9"/>
  <c r="CG758" i="9"/>
  <c r="CF758" i="9"/>
  <c r="CE758" i="9"/>
  <c r="CD758" i="9"/>
  <c r="CC758" i="9"/>
  <c r="CB758" i="9"/>
  <c r="BR748" i="9"/>
  <c r="BQ748" i="9"/>
  <c r="BP748" i="9"/>
  <c r="BO748" i="9"/>
  <c r="BN748" i="9"/>
  <c r="BM748" i="9"/>
  <c r="BL748" i="9"/>
  <c r="BK748" i="9"/>
  <c r="BJ748" i="9"/>
  <c r="BI748" i="9"/>
  <c r="BH748" i="9"/>
  <c r="BG748" i="9"/>
  <c r="BF748" i="9"/>
  <c r="BE748" i="9"/>
  <c r="BA662" i="11" s="1"/>
  <c r="BD748" i="9"/>
  <c r="BC748" i="9"/>
  <c r="BB748" i="9"/>
  <c r="BA748" i="9"/>
  <c r="AZ748" i="9"/>
  <c r="AY748" i="9"/>
  <c r="AX748" i="9"/>
  <c r="AW748" i="9"/>
  <c r="AS662" i="11" s="1"/>
  <c r="AV748" i="9"/>
  <c r="AU748" i="9"/>
  <c r="AT748" i="9"/>
  <c r="AS748" i="9"/>
  <c r="AR748" i="9"/>
  <c r="AQ748" i="9"/>
  <c r="AP748" i="9"/>
  <c r="AO748" i="9"/>
  <c r="AO859" i="9" s="1"/>
  <c r="AN748" i="9"/>
  <c r="AM748" i="9"/>
  <c r="AL748" i="9"/>
  <c r="AK748" i="9"/>
  <c r="AJ748" i="9"/>
  <c r="AI748" i="9"/>
  <c r="AH748" i="9"/>
  <c r="AG748" i="9"/>
  <c r="AF748" i="9"/>
  <c r="AE748" i="9"/>
  <c r="AD748" i="9"/>
  <c r="AC748" i="9"/>
  <c r="AB748" i="9"/>
  <c r="AA748" i="9"/>
  <c r="Z748" i="9"/>
  <c r="Y748" i="9"/>
  <c r="X748" i="9"/>
  <c r="W748" i="9"/>
  <c r="V748" i="9"/>
  <c r="U748" i="9"/>
  <c r="U859" i="9" s="1"/>
  <c r="T748" i="9"/>
  <c r="S748" i="9"/>
  <c r="R748" i="9"/>
  <c r="Q748" i="9"/>
  <c r="P748" i="9"/>
  <c r="O748" i="9"/>
  <c r="BR851" i="9"/>
  <c r="BQ851" i="9"/>
  <c r="BP851" i="9"/>
  <c r="BO851" i="9"/>
  <c r="BN851" i="9"/>
  <c r="BM851" i="9"/>
  <c r="BL851" i="9"/>
  <c r="BK851" i="9"/>
  <c r="BJ851" i="9"/>
  <c r="BI851" i="9"/>
  <c r="BH851" i="9"/>
  <c r="BG851" i="9"/>
  <c r="BF851" i="9"/>
  <c r="BE851" i="9"/>
  <c r="BD851" i="9"/>
  <c r="BC851" i="9"/>
  <c r="BB851" i="9"/>
  <c r="BA851" i="9"/>
  <c r="AZ851" i="9"/>
  <c r="AY851" i="9"/>
  <c r="AX851" i="9"/>
  <c r="AW851" i="9"/>
  <c r="AV851" i="9"/>
  <c r="AU851" i="9"/>
  <c r="AT851" i="9"/>
  <c r="EI747" i="9"/>
  <c r="EH747" i="9"/>
  <c r="EG747" i="9"/>
  <c r="EF747" i="9"/>
  <c r="EE747" i="9"/>
  <c r="ED747" i="9"/>
  <c r="EC747" i="9"/>
  <c r="EB747" i="9"/>
  <c r="EA747" i="9"/>
  <c r="DZ747" i="9"/>
  <c r="DY747" i="9"/>
  <c r="DX747" i="9"/>
  <c r="DW747" i="9"/>
  <c r="DV747" i="9"/>
  <c r="DU747" i="9"/>
  <c r="DT747" i="9"/>
  <c r="DS747" i="9"/>
  <c r="DR747" i="9"/>
  <c r="DQ747" i="9"/>
  <c r="DP747" i="9"/>
  <c r="DO747" i="9"/>
  <c r="DN747" i="9"/>
  <c r="DM747" i="9"/>
  <c r="DL747" i="9"/>
  <c r="DK747" i="9"/>
  <c r="DJ747" i="9"/>
  <c r="DI747" i="9"/>
  <c r="DH747" i="9"/>
  <c r="DG747" i="9"/>
  <c r="DF747" i="9"/>
  <c r="DE747" i="9"/>
  <c r="DD747" i="9"/>
  <c r="DC747" i="9"/>
  <c r="DB747" i="9"/>
  <c r="DA747" i="9"/>
  <c r="CZ747" i="9"/>
  <c r="CY747" i="9"/>
  <c r="CX747" i="9"/>
  <c r="CW747" i="9"/>
  <c r="CV747" i="9"/>
  <c r="CU747" i="9"/>
  <c r="CT747" i="9"/>
  <c r="CS747" i="9"/>
  <c r="CR747" i="9"/>
  <c r="CQ747" i="9"/>
  <c r="CP747" i="9"/>
  <c r="CO747" i="9"/>
  <c r="CN747" i="9"/>
  <c r="CM747" i="9"/>
  <c r="CL747" i="9"/>
  <c r="CK747" i="9"/>
  <c r="CJ747" i="9"/>
  <c r="CI747" i="9"/>
  <c r="CH747" i="9"/>
  <c r="CG747" i="9"/>
  <c r="CF747" i="9"/>
  <c r="CE747" i="9"/>
  <c r="CD747" i="9"/>
  <c r="CC747" i="9"/>
  <c r="CB747" i="9"/>
  <c r="EI746" i="9"/>
  <c r="EH746" i="9"/>
  <c r="EG746" i="9"/>
  <c r="EF746" i="9"/>
  <c r="EE746" i="9"/>
  <c r="ED746" i="9"/>
  <c r="EC746" i="9"/>
  <c r="EB746" i="9"/>
  <c r="EA746" i="9"/>
  <c r="DZ746" i="9"/>
  <c r="DY746" i="9"/>
  <c r="DX746" i="9"/>
  <c r="DW746" i="9"/>
  <c r="DV746" i="9"/>
  <c r="DU746" i="9"/>
  <c r="DT746" i="9"/>
  <c r="DS746" i="9"/>
  <c r="DR746" i="9"/>
  <c r="DQ746" i="9"/>
  <c r="DP746" i="9"/>
  <c r="DO746" i="9"/>
  <c r="DN746" i="9"/>
  <c r="DM746" i="9"/>
  <c r="DL746" i="9"/>
  <c r="DK746" i="9"/>
  <c r="DJ746" i="9"/>
  <c r="DI746" i="9"/>
  <c r="DH746" i="9"/>
  <c r="DG746" i="9"/>
  <c r="DF746" i="9"/>
  <c r="DE746" i="9"/>
  <c r="DD746" i="9"/>
  <c r="DC746" i="9"/>
  <c r="DB746" i="9"/>
  <c r="DA746" i="9"/>
  <c r="CZ746" i="9"/>
  <c r="CY746" i="9"/>
  <c r="CX746" i="9"/>
  <c r="CW746" i="9"/>
  <c r="CV746" i="9"/>
  <c r="CU746" i="9"/>
  <c r="CT746" i="9"/>
  <c r="CS746" i="9"/>
  <c r="CR746" i="9"/>
  <c r="CQ746" i="9"/>
  <c r="CP746" i="9"/>
  <c r="CO746" i="9"/>
  <c r="CN746" i="9"/>
  <c r="CM746" i="9"/>
  <c r="CL746" i="9"/>
  <c r="CK746" i="9"/>
  <c r="CJ746" i="9"/>
  <c r="CI746" i="9"/>
  <c r="CH746" i="9"/>
  <c r="CG746" i="9"/>
  <c r="CF746" i="9"/>
  <c r="CE746" i="9"/>
  <c r="CD746" i="9"/>
  <c r="CC746" i="9"/>
  <c r="CB746" i="9"/>
  <c r="EI745" i="9"/>
  <c r="EH745" i="9"/>
  <c r="EG745" i="9"/>
  <c r="EF745" i="9"/>
  <c r="EE745" i="9"/>
  <c r="ED745" i="9"/>
  <c r="EC745" i="9"/>
  <c r="EB745" i="9"/>
  <c r="EA745" i="9"/>
  <c r="DZ745" i="9"/>
  <c r="DY745" i="9"/>
  <c r="DX745" i="9"/>
  <c r="DW745" i="9"/>
  <c r="DV745" i="9"/>
  <c r="DU745" i="9"/>
  <c r="DT745" i="9"/>
  <c r="DS745" i="9"/>
  <c r="DR745" i="9"/>
  <c r="DQ745" i="9"/>
  <c r="DP745" i="9"/>
  <c r="DO745" i="9"/>
  <c r="DN745" i="9"/>
  <c r="DM745" i="9"/>
  <c r="DL745" i="9"/>
  <c r="DK745" i="9"/>
  <c r="DJ745" i="9"/>
  <c r="DI745" i="9"/>
  <c r="DH745" i="9"/>
  <c r="DG745" i="9"/>
  <c r="DF745" i="9"/>
  <c r="DE745" i="9"/>
  <c r="DD745" i="9"/>
  <c r="DC745" i="9"/>
  <c r="DB745" i="9"/>
  <c r="DA745" i="9"/>
  <c r="CZ745" i="9"/>
  <c r="CY745" i="9"/>
  <c r="CX745" i="9"/>
  <c r="CW745" i="9"/>
  <c r="CV745" i="9"/>
  <c r="CU745" i="9"/>
  <c r="CT745" i="9"/>
  <c r="CS745" i="9"/>
  <c r="CR745" i="9"/>
  <c r="CQ745" i="9"/>
  <c r="CP745" i="9"/>
  <c r="CO745" i="9"/>
  <c r="CN745" i="9"/>
  <c r="CM745" i="9"/>
  <c r="CL745" i="9"/>
  <c r="CK745" i="9"/>
  <c r="CJ745" i="9"/>
  <c r="CI745" i="9"/>
  <c r="CH745" i="9"/>
  <c r="CG745" i="9"/>
  <c r="CF745" i="9"/>
  <c r="CE745" i="9"/>
  <c r="CD745" i="9"/>
  <c r="CC745" i="9"/>
  <c r="CB745" i="9"/>
  <c r="EI744" i="9"/>
  <c r="EH744" i="9"/>
  <c r="EG744" i="9"/>
  <c r="EF744" i="9"/>
  <c r="EE744" i="9"/>
  <c r="ED744" i="9"/>
  <c r="EC744" i="9"/>
  <c r="EB744" i="9"/>
  <c r="EA744" i="9"/>
  <c r="DZ744" i="9"/>
  <c r="DY744" i="9"/>
  <c r="DX744" i="9"/>
  <c r="DW744" i="9"/>
  <c r="DV744" i="9"/>
  <c r="DU744" i="9"/>
  <c r="DT744" i="9"/>
  <c r="DS744" i="9"/>
  <c r="DR744" i="9"/>
  <c r="DQ744" i="9"/>
  <c r="DP744" i="9"/>
  <c r="DO744" i="9"/>
  <c r="DN744" i="9"/>
  <c r="DM744" i="9"/>
  <c r="DL744" i="9"/>
  <c r="DK744" i="9"/>
  <c r="DJ744" i="9"/>
  <c r="DI744" i="9"/>
  <c r="DH744" i="9"/>
  <c r="DG744" i="9"/>
  <c r="DF744" i="9"/>
  <c r="DE744" i="9"/>
  <c r="DD744" i="9"/>
  <c r="DC744" i="9"/>
  <c r="DB744" i="9"/>
  <c r="DA744" i="9"/>
  <c r="CZ744" i="9"/>
  <c r="CY744" i="9"/>
  <c r="CX744" i="9"/>
  <c r="CW744" i="9"/>
  <c r="CV744" i="9"/>
  <c r="CU744" i="9"/>
  <c r="CT744" i="9"/>
  <c r="CS744" i="9"/>
  <c r="CR744" i="9"/>
  <c r="CQ744" i="9"/>
  <c r="CP744" i="9"/>
  <c r="CO744" i="9"/>
  <c r="CN744" i="9"/>
  <c r="CM744" i="9"/>
  <c r="CL744" i="9"/>
  <c r="CK744" i="9"/>
  <c r="CJ744" i="9"/>
  <c r="CI744" i="9"/>
  <c r="CH744" i="9"/>
  <c r="CG744" i="9"/>
  <c r="CF744" i="9"/>
  <c r="CE744" i="9"/>
  <c r="CD744" i="9"/>
  <c r="CC744" i="9"/>
  <c r="CB744" i="9"/>
  <c r="EI743" i="9"/>
  <c r="EH743" i="9"/>
  <c r="EG743" i="9"/>
  <c r="EF743" i="9"/>
  <c r="EE743" i="9"/>
  <c r="ED743" i="9"/>
  <c r="EC743" i="9"/>
  <c r="EB743" i="9"/>
  <c r="EA743" i="9"/>
  <c r="DZ743" i="9"/>
  <c r="DY743" i="9"/>
  <c r="DX743" i="9"/>
  <c r="DW743" i="9"/>
  <c r="DV743" i="9"/>
  <c r="DU743" i="9"/>
  <c r="DT743" i="9"/>
  <c r="DS743" i="9"/>
  <c r="DR743" i="9"/>
  <c r="DQ743" i="9"/>
  <c r="DP743" i="9"/>
  <c r="DO743" i="9"/>
  <c r="DN743" i="9"/>
  <c r="DM743" i="9"/>
  <c r="DL743" i="9"/>
  <c r="DK743" i="9"/>
  <c r="DJ743" i="9"/>
  <c r="DI743" i="9"/>
  <c r="DH743" i="9"/>
  <c r="DG743" i="9"/>
  <c r="DF743" i="9"/>
  <c r="DE743" i="9"/>
  <c r="DD743" i="9"/>
  <c r="DC743" i="9"/>
  <c r="DB743" i="9"/>
  <c r="DA743" i="9"/>
  <c r="CZ743" i="9"/>
  <c r="CY743" i="9"/>
  <c r="CX743" i="9"/>
  <c r="CW743" i="9"/>
  <c r="CV743" i="9"/>
  <c r="CU743" i="9"/>
  <c r="CT743" i="9"/>
  <c r="CS743" i="9"/>
  <c r="CR743" i="9"/>
  <c r="CQ743" i="9"/>
  <c r="CP743" i="9"/>
  <c r="CO743" i="9"/>
  <c r="CN743" i="9"/>
  <c r="CM743" i="9"/>
  <c r="CL743" i="9"/>
  <c r="CK743" i="9"/>
  <c r="CJ743" i="9"/>
  <c r="CI743" i="9"/>
  <c r="CH743" i="9"/>
  <c r="CG743" i="9"/>
  <c r="CF743" i="9"/>
  <c r="CE743" i="9"/>
  <c r="CD743" i="9"/>
  <c r="CC743" i="9"/>
  <c r="CB743" i="9"/>
  <c r="EI742" i="9"/>
  <c r="EH742" i="9"/>
  <c r="EG742" i="9"/>
  <c r="EF742" i="9"/>
  <c r="EE742" i="9"/>
  <c r="ED742" i="9"/>
  <c r="EC742" i="9"/>
  <c r="EB742" i="9"/>
  <c r="EA742" i="9"/>
  <c r="DZ742" i="9"/>
  <c r="DY742" i="9"/>
  <c r="DX742" i="9"/>
  <c r="DW742" i="9"/>
  <c r="DV742" i="9"/>
  <c r="DU742" i="9"/>
  <c r="DT742" i="9"/>
  <c r="DS742" i="9"/>
  <c r="DR742" i="9"/>
  <c r="DQ742" i="9"/>
  <c r="DP742" i="9"/>
  <c r="DO742" i="9"/>
  <c r="DN742" i="9"/>
  <c r="DM742" i="9"/>
  <c r="DL742" i="9"/>
  <c r="DK742" i="9"/>
  <c r="DJ742" i="9"/>
  <c r="DI742" i="9"/>
  <c r="DH742" i="9"/>
  <c r="DG742" i="9"/>
  <c r="DF742" i="9"/>
  <c r="DE742" i="9"/>
  <c r="DD742" i="9"/>
  <c r="DC742" i="9"/>
  <c r="DB742" i="9"/>
  <c r="DA742" i="9"/>
  <c r="CZ742" i="9"/>
  <c r="CY742" i="9"/>
  <c r="CX742" i="9"/>
  <c r="CW742" i="9"/>
  <c r="CV742" i="9"/>
  <c r="CU742" i="9"/>
  <c r="CT742" i="9"/>
  <c r="CS742" i="9"/>
  <c r="CR742" i="9"/>
  <c r="CQ742" i="9"/>
  <c r="CP742" i="9"/>
  <c r="CO742" i="9"/>
  <c r="CN742" i="9"/>
  <c r="CM742" i="9"/>
  <c r="CL742" i="9"/>
  <c r="CK742" i="9"/>
  <c r="CJ742" i="9"/>
  <c r="CI742" i="9"/>
  <c r="CH742" i="9"/>
  <c r="CG742" i="9"/>
  <c r="CF742" i="9"/>
  <c r="CE742" i="9"/>
  <c r="CD742" i="9"/>
  <c r="CC742" i="9"/>
  <c r="CB742" i="9"/>
  <c r="EI741" i="9"/>
  <c r="EH741" i="9"/>
  <c r="EG741" i="9"/>
  <c r="EF741" i="9"/>
  <c r="EE741" i="9"/>
  <c r="ED741" i="9"/>
  <c r="EC741" i="9"/>
  <c r="EB741" i="9"/>
  <c r="EA741" i="9"/>
  <c r="DZ741" i="9"/>
  <c r="DY741" i="9"/>
  <c r="DX741" i="9"/>
  <c r="DW741" i="9"/>
  <c r="DV741" i="9"/>
  <c r="DU741" i="9"/>
  <c r="DT741" i="9"/>
  <c r="DS741" i="9"/>
  <c r="DR741" i="9"/>
  <c r="DQ741" i="9"/>
  <c r="DP741" i="9"/>
  <c r="DO741" i="9"/>
  <c r="DN741" i="9"/>
  <c r="DM741" i="9"/>
  <c r="DL741" i="9"/>
  <c r="DK741" i="9"/>
  <c r="DJ741" i="9"/>
  <c r="DI741" i="9"/>
  <c r="DH741" i="9"/>
  <c r="DG741" i="9"/>
  <c r="DF741" i="9"/>
  <c r="DE741" i="9"/>
  <c r="DD741" i="9"/>
  <c r="DC741" i="9"/>
  <c r="DB741" i="9"/>
  <c r="DA741" i="9"/>
  <c r="CZ741" i="9"/>
  <c r="CY741" i="9"/>
  <c r="CX741" i="9"/>
  <c r="CW741" i="9"/>
  <c r="CV741" i="9"/>
  <c r="CU741" i="9"/>
  <c r="CT741" i="9"/>
  <c r="CS741" i="9"/>
  <c r="CR741" i="9"/>
  <c r="CQ741" i="9"/>
  <c r="CP741" i="9"/>
  <c r="CO741" i="9"/>
  <c r="CN741" i="9"/>
  <c r="CM741" i="9"/>
  <c r="CL741" i="9"/>
  <c r="CK741" i="9"/>
  <c r="CJ741" i="9"/>
  <c r="CI741" i="9"/>
  <c r="CH741" i="9"/>
  <c r="CG741" i="9"/>
  <c r="CF741" i="9"/>
  <c r="CE741" i="9"/>
  <c r="CD741" i="9"/>
  <c r="CC741" i="9"/>
  <c r="CB741" i="9"/>
  <c r="EI740" i="9"/>
  <c r="EH740" i="9"/>
  <c r="EG740" i="9"/>
  <c r="EF740" i="9"/>
  <c r="EE740" i="9"/>
  <c r="ED740" i="9"/>
  <c r="EC740" i="9"/>
  <c r="EB740" i="9"/>
  <c r="EA740" i="9"/>
  <c r="DZ740" i="9"/>
  <c r="DY740" i="9"/>
  <c r="DX740" i="9"/>
  <c r="DW740" i="9"/>
  <c r="DV740" i="9"/>
  <c r="DU740" i="9"/>
  <c r="DT740" i="9"/>
  <c r="DS740" i="9"/>
  <c r="DR740" i="9"/>
  <c r="DQ740" i="9"/>
  <c r="DP740" i="9"/>
  <c r="DO740" i="9"/>
  <c r="DN740" i="9"/>
  <c r="DM740" i="9"/>
  <c r="DL740" i="9"/>
  <c r="DK740" i="9"/>
  <c r="DJ740" i="9"/>
  <c r="DI740" i="9"/>
  <c r="DH740" i="9"/>
  <c r="DG740" i="9"/>
  <c r="DF740" i="9"/>
  <c r="DE740" i="9"/>
  <c r="DD740" i="9"/>
  <c r="DC740" i="9"/>
  <c r="DB740" i="9"/>
  <c r="DA740" i="9"/>
  <c r="CZ740" i="9"/>
  <c r="CY740" i="9"/>
  <c r="CX740" i="9"/>
  <c r="CW740" i="9"/>
  <c r="CV740" i="9"/>
  <c r="CU740" i="9"/>
  <c r="CT740" i="9"/>
  <c r="CS740" i="9"/>
  <c r="CR740" i="9"/>
  <c r="CQ740" i="9"/>
  <c r="CP740" i="9"/>
  <c r="CO740" i="9"/>
  <c r="CN740" i="9"/>
  <c r="CM740" i="9"/>
  <c r="CL740" i="9"/>
  <c r="CK740" i="9"/>
  <c r="CJ740" i="9"/>
  <c r="CI740" i="9"/>
  <c r="CH740" i="9"/>
  <c r="CG740" i="9"/>
  <c r="CF740" i="9"/>
  <c r="CE740" i="9"/>
  <c r="CD740" i="9"/>
  <c r="CC740" i="9"/>
  <c r="CB740" i="9"/>
  <c r="EI739" i="9"/>
  <c r="EH739" i="9"/>
  <c r="EG739" i="9"/>
  <c r="EF739" i="9"/>
  <c r="EE739" i="9"/>
  <c r="ED739" i="9"/>
  <c r="EC739" i="9"/>
  <c r="EB739" i="9"/>
  <c r="EA739" i="9"/>
  <c r="DZ739" i="9"/>
  <c r="DY739" i="9"/>
  <c r="DX739" i="9"/>
  <c r="DW739" i="9"/>
  <c r="DV739" i="9"/>
  <c r="DU739" i="9"/>
  <c r="DT739" i="9"/>
  <c r="DS739" i="9"/>
  <c r="DR739" i="9"/>
  <c r="DQ739" i="9"/>
  <c r="DP739" i="9"/>
  <c r="DO739" i="9"/>
  <c r="DN739" i="9"/>
  <c r="DM739" i="9"/>
  <c r="DL739" i="9"/>
  <c r="DK739" i="9"/>
  <c r="DJ739" i="9"/>
  <c r="DI739" i="9"/>
  <c r="DH739" i="9"/>
  <c r="DG739" i="9"/>
  <c r="DF739" i="9"/>
  <c r="DE739" i="9"/>
  <c r="DD739" i="9"/>
  <c r="DC739" i="9"/>
  <c r="DB739" i="9"/>
  <c r="DA739" i="9"/>
  <c r="CZ739" i="9"/>
  <c r="CY739" i="9"/>
  <c r="CX739" i="9"/>
  <c r="CW739" i="9"/>
  <c r="CV739" i="9"/>
  <c r="CU739" i="9"/>
  <c r="CT739" i="9"/>
  <c r="CS739" i="9"/>
  <c r="CR739" i="9"/>
  <c r="CQ739" i="9"/>
  <c r="CP739" i="9"/>
  <c r="CO739" i="9"/>
  <c r="CN739" i="9"/>
  <c r="CM739" i="9"/>
  <c r="CL739" i="9"/>
  <c r="CK739" i="9"/>
  <c r="CJ739" i="9"/>
  <c r="CI739" i="9"/>
  <c r="CH739" i="9"/>
  <c r="CG739" i="9"/>
  <c r="CF739" i="9"/>
  <c r="CE739" i="9"/>
  <c r="CD739" i="9"/>
  <c r="CC739" i="9"/>
  <c r="CB739" i="9"/>
  <c r="EI738" i="9"/>
  <c r="EH738" i="9"/>
  <c r="EG738" i="9"/>
  <c r="EF738" i="9"/>
  <c r="EE738" i="9"/>
  <c r="ED738" i="9"/>
  <c r="EC738" i="9"/>
  <c r="EB738" i="9"/>
  <c r="EA738" i="9"/>
  <c r="DZ738" i="9"/>
  <c r="DY738" i="9"/>
  <c r="DX738" i="9"/>
  <c r="DW738" i="9"/>
  <c r="DV738" i="9"/>
  <c r="DU738" i="9"/>
  <c r="DT738" i="9"/>
  <c r="DS738" i="9"/>
  <c r="DR738" i="9"/>
  <c r="DQ738" i="9"/>
  <c r="DP738" i="9"/>
  <c r="DO738" i="9"/>
  <c r="DN738" i="9"/>
  <c r="DM738" i="9"/>
  <c r="DL738" i="9"/>
  <c r="DK738" i="9"/>
  <c r="DJ738" i="9"/>
  <c r="DI738" i="9"/>
  <c r="DH738" i="9"/>
  <c r="DG738" i="9"/>
  <c r="DF738" i="9"/>
  <c r="DE738" i="9"/>
  <c r="DD738" i="9"/>
  <c r="DC738" i="9"/>
  <c r="DB738" i="9"/>
  <c r="DA738" i="9"/>
  <c r="CZ738" i="9"/>
  <c r="CY738" i="9"/>
  <c r="CX738" i="9"/>
  <c r="CW738" i="9"/>
  <c r="CV738" i="9"/>
  <c r="CU738" i="9"/>
  <c r="CT738" i="9"/>
  <c r="CS738" i="9"/>
  <c r="CR738" i="9"/>
  <c r="CQ738" i="9"/>
  <c r="CP738" i="9"/>
  <c r="CO738" i="9"/>
  <c r="CN738" i="9"/>
  <c r="CM738" i="9"/>
  <c r="CL738" i="9"/>
  <c r="CK738" i="9"/>
  <c r="CJ738" i="9"/>
  <c r="CI738" i="9"/>
  <c r="CH738" i="9"/>
  <c r="CG738" i="9"/>
  <c r="CF738" i="9"/>
  <c r="CE738" i="9"/>
  <c r="CD738" i="9"/>
  <c r="CC738" i="9"/>
  <c r="CB738" i="9"/>
  <c r="EI737" i="9"/>
  <c r="EH737" i="9"/>
  <c r="EG737" i="9"/>
  <c r="EF737" i="9"/>
  <c r="EE737" i="9"/>
  <c r="ED737" i="9"/>
  <c r="EC737" i="9"/>
  <c r="EB737" i="9"/>
  <c r="EA737" i="9"/>
  <c r="DZ737" i="9"/>
  <c r="DY737" i="9"/>
  <c r="DX737" i="9"/>
  <c r="DW737" i="9"/>
  <c r="DV737" i="9"/>
  <c r="DU737" i="9"/>
  <c r="DT737" i="9"/>
  <c r="DS737" i="9"/>
  <c r="DR737" i="9"/>
  <c r="DQ737" i="9"/>
  <c r="DP737" i="9"/>
  <c r="DO737" i="9"/>
  <c r="DN737" i="9"/>
  <c r="DM737" i="9"/>
  <c r="DL737" i="9"/>
  <c r="DK737" i="9"/>
  <c r="DJ737" i="9"/>
  <c r="DI737" i="9"/>
  <c r="DH737" i="9"/>
  <c r="DG737" i="9"/>
  <c r="DF737" i="9"/>
  <c r="DE737" i="9"/>
  <c r="DD737" i="9"/>
  <c r="DC737" i="9"/>
  <c r="DB737" i="9"/>
  <c r="DA737" i="9"/>
  <c r="CZ737" i="9"/>
  <c r="CY737" i="9"/>
  <c r="CX737" i="9"/>
  <c r="CW737" i="9"/>
  <c r="CV737" i="9"/>
  <c r="CU737" i="9"/>
  <c r="CT737" i="9"/>
  <c r="CS737" i="9"/>
  <c r="CR737" i="9"/>
  <c r="CQ737" i="9"/>
  <c r="CP737" i="9"/>
  <c r="CO737" i="9"/>
  <c r="CN737" i="9"/>
  <c r="CM737" i="9"/>
  <c r="CL737" i="9"/>
  <c r="CK737" i="9"/>
  <c r="CJ737" i="9"/>
  <c r="CI737" i="9"/>
  <c r="CH737" i="9"/>
  <c r="CG737" i="9"/>
  <c r="CF737" i="9"/>
  <c r="CE737" i="9"/>
  <c r="CD737" i="9"/>
  <c r="CC737" i="9"/>
  <c r="CB737" i="9"/>
  <c r="EI736" i="9"/>
  <c r="EH736" i="9"/>
  <c r="EG736" i="9"/>
  <c r="EF736" i="9"/>
  <c r="EE736" i="9"/>
  <c r="ED736" i="9"/>
  <c r="EC736" i="9"/>
  <c r="EB736" i="9"/>
  <c r="EA736" i="9"/>
  <c r="DZ736" i="9"/>
  <c r="DY736" i="9"/>
  <c r="DX736" i="9"/>
  <c r="DW736" i="9"/>
  <c r="DV736" i="9"/>
  <c r="DU736" i="9"/>
  <c r="DT736" i="9"/>
  <c r="DS736" i="9"/>
  <c r="DR736" i="9"/>
  <c r="DQ736" i="9"/>
  <c r="DP736" i="9"/>
  <c r="DO736" i="9"/>
  <c r="DN736" i="9"/>
  <c r="DM736" i="9"/>
  <c r="DL736" i="9"/>
  <c r="DK736" i="9"/>
  <c r="DJ736" i="9"/>
  <c r="DI736" i="9"/>
  <c r="DH736" i="9"/>
  <c r="DG736" i="9"/>
  <c r="DF736" i="9"/>
  <c r="DE736" i="9"/>
  <c r="DD736" i="9"/>
  <c r="DC736" i="9"/>
  <c r="DB736" i="9"/>
  <c r="DA736" i="9"/>
  <c r="CZ736" i="9"/>
  <c r="CY736" i="9"/>
  <c r="CX736" i="9"/>
  <c r="CW736" i="9"/>
  <c r="CV736" i="9"/>
  <c r="CU736" i="9"/>
  <c r="CT736" i="9"/>
  <c r="CS736" i="9"/>
  <c r="CR736" i="9"/>
  <c r="CQ736" i="9"/>
  <c r="CP736" i="9"/>
  <c r="CO736" i="9"/>
  <c r="CN736" i="9"/>
  <c r="CM736" i="9"/>
  <c r="CL736" i="9"/>
  <c r="CK736" i="9"/>
  <c r="CJ736" i="9"/>
  <c r="CI736" i="9"/>
  <c r="CH736" i="9"/>
  <c r="CG736" i="9"/>
  <c r="CF736" i="9"/>
  <c r="CE736" i="9"/>
  <c r="CD736" i="9"/>
  <c r="CC736" i="9"/>
  <c r="CB736" i="9"/>
  <c r="EI735" i="9"/>
  <c r="EH735" i="9"/>
  <c r="EG735" i="9"/>
  <c r="EF735" i="9"/>
  <c r="EE735" i="9"/>
  <c r="ED735" i="9"/>
  <c r="EC735" i="9"/>
  <c r="EB735" i="9"/>
  <c r="EA735" i="9"/>
  <c r="DZ735" i="9"/>
  <c r="DY735" i="9"/>
  <c r="DX735" i="9"/>
  <c r="DW735" i="9"/>
  <c r="DV735" i="9"/>
  <c r="DU735" i="9"/>
  <c r="DT735" i="9"/>
  <c r="DS735" i="9"/>
  <c r="DR735" i="9"/>
  <c r="DQ735" i="9"/>
  <c r="DP735" i="9"/>
  <c r="DO735" i="9"/>
  <c r="DN735" i="9"/>
  <c r="DM735" i="9"/>
  <c r="DL735" i="9"/>
  <c r="DK735" i="9"/>
  <c r="DJ735" i="9"/>
  <c r="DI735" i="9"/>
  <c r="DH735" i="9"/>
  <c r="DG735" i="9"/>
  <c r="DF735" i="9"/>
  <c r="DE735" i="9"/>
  <c r="DD735" i="9"/>
  <c r="DC735" i="9"/>
  <c r="DB735" i="9"/>
  <c r="DA735" i="9"/>
  <c r="CZ735" i="9"/>
  <c r="CY735" i="9"/>
  <c r="CX735" i="9"/>
  <c r="CW735" i="9"/>
  <c r="CV735" i="9"/>
  <c r="CU735" i="9"/>
  <c r="CT735" i="9"/>
  <c r="CS735" i="9"/>
  <c r="CR735" i="9"/>
  <c r="CQ735" i="9"/>
  <c r="CP735" i="9"/>
  <c r="CO735" i="9"/>
  <c r="CN735" i="9"/>
  <c r="CM735" i="9"/>
  <c r="CL735" i="9"/>
  <c r="CK735" i="9"/>
  <c r="CJ735" i="9"/>
  <c r="CI735" i="9"/>
  <c r="CH735" i="9"/>
  <c r="CG735" i="9"/>
  <c r="CF735" i="9"/>
  <c r="CE735" i="9"/>
  <c r="CD735" i="9"/>
  <c r="CC735" i="9"/>
  <c r="CB735" i="9"/>
  <c r="EI734" i="9"/>
  <c r="EH734" i="9"/>
  <c r="EG734" i="9"/>
  <c r="EF734" i="9"/>
  <c r="EE734" i="9"/>
  <c r="ED734" i="9"/>
  <c r="EC734" i="9"/>
  <c r="EB734" i="9"/>
  <c r="EA734" i="9"/>
  <c r="DZ734" i="9"/>
  <c r="DY734" i="9"/>
  <c r="DX734" i="9"/>
  <c r="DW734" i="9"/>
  <c r="DV734" i="9"/>
  <c r="DU734" i="9"/>
  <c r="DT734" i="9"/>
  <c r="DS734" i="9"/>
  <c r="DR734" i="9"/>
  <c r="DQ734" i="9"/>
  <c r="DP734" i="9"/>
  <c r="DO734" i="9"/>
  <c r="DN734" i="9"/>
  <c r="DM734" i="9"/>
  <c r="DL734" i="9"/>
  <c r="DK734" i="9"/>
  <c r="DJ734" i="9"/>
  <c r="DI734" i="9"/>
  <c r="DH734" i="9"/>
  <c r="DG734" i="9"/>
  <c r="DF734" i="9"/>
  <c r="DE734" i="9"/>
  <c r="DD734" i="9"/>
  <c r="DC734" i="9"/>
  <c r="DB734" i="9"/>
  <c r="DA734" i="9"/>
  <c r="CZ734" i="9"/>
  <c r="CY734" i="9"/>
  <c r="CX734" i="9"/>
  <c r="CW734" i="9"/>
  <c r="CV734" i="9"/>
  <c r="CU734" i="9"/>
  <c r="CT734" i="9"/>
  <c r="CS734" i="9"/>
  <c r="CR734" i="9"/>
  <c r="CQ734" i="9"/>
  <c r="CP734" i="9"/>
  <c r="CO734" i="9"/>
  <c r="CN734" i="9"/>
  <c r="CM734" i="9"/>
  <c r="CL734" i="9"/>
  <c r="CK734" i="9"/>
  <c r="CJ734" i="9"/>
  <c r="CI734" i="9"/>
  <c r="CH734" i="9"/>
  <c r="CG734" i="9"/>
  <c r="CF734" i="9"/>
  <c r="CE734" i="9"/>
  <c r="CD734" i="9"/>
  <c r="CC734" i="9"/>
  <c r="CB734" i="9"/>
  <c r="EI733" i="9"/>
  <c r="EH733" i="9"/>
  <c r="EG733" i="9"/>
  <c r="EF733" i="9"/>
  <c r="EE733" i="9"/>
  <c r="ED733" i="9"/>
  <c r="EC733" i="9"/>
  <c r="EB733" i="9"/>
  <c r="EA733" i="9"/>
  <c r="DZ733" i="9"/>
  <c r="DY733" i="9"/>
  <c r="DX733" i="9"/>
  <c r="DW733" i="9"/>
  <c r="DV733" i="9"/>
  <c r="DU733" i="9"/>
  <c r="DT733" i="9"/>
  <c r="DS733" i="9"/>
  <c r="DR733" i="9"/>
  <c r="DQ733" i="9"/>
  <c r="DP733" i="9"/>
  <c r="DO733" i="9"/>
  <c r="DN733" i="9"/>
  <c r="DM733" i="9"/>
  <c r="DL733" i="9"/>
  <c r="DK733" i="9"/>
  <c r="DJ733" i="9"/>
  <c r="DI733" i="9"/>
  <c r="DH733" i="9"/>
  <c r="DG733" i="9"/>
  <c r="DF733" i="9"/>
  <c r="DE733" i="9"/>
  <c r="DD733" i="9"/>
  <c r="DC733" i="9"/>
  <c r="DB733" i="9"/>
  <c r="DA733" i="9"/>
  <c r="CZ733" i="9"/>
  <c r="CY733" i="9"/>
  <c r="CX733" i="9"/>
  <c r="CW733" i="9"/>
  <c r="CV733" i="9"/>
  <c r="CU733" i="9"/>
  <c r="CT733" i="9"/>
  <c r="CS733" i="9"/>
  <c r="CR733" i="9"/>
  <c r="CQ733" i="9"/>
  <c r="CP733" i="9"/>
  <c r="CO733" i="9"/>
  <c r="CN733" i="9"/>
  <c r="CM733" i="9"/>
  <c r="CL733" i="9"/>
  <c r="CK733" i="9"/>
  <c r="CJ733" i="9"/>
  <c r="CI733" i="9"/>
  <c r="CH733" i="9"/>
  <c r="CG733" i="9"/>
  <c r="CF733" i="9"/>
  <c r="CE733" i="9"/>
  <c r="CD733" i="9"/>
  <c r="CC733" i="9"/>
  <c r="CB733" i="9"/>
  <c r="EI732" i="9"/>
  <c r="EH732" i="9"/>
  <c r="EG732" i="9"/>
  <c r="EF732" i="9"/>
  <c r="EE732" i="9"/>
  <c r="ED732" i="9"/>
  <c r="EC732" i="9"/>
  <c r="EB732" i="9"/>
  <c r="EA732" i="9"/>
  <c r="DZ732" i="9"/>
  <c r="DY732" i="9"/>
  <c r="DX732" i="9"/>
  <c r="DW732" i="9"/>
  <c r="DV732" i="9"/>
  <c r="DU732" i="9"/>
  <c r="DT732" i="9"/>
  <c r="DS732" i="9"/>
  <c r="DR732" i="9"/>
  <c r="DQ732" i="9"/>
  <c r="DP732" i="9"/>
  <c r="DO732" i="9"/>
  <c r="DN732" i="9"/>
  <c r="DM732" i="9"/>
  <c r="DL732" i="9"/>
  <c r="DK732" i="9"/>
  <c r="DJ732" i="9"/>
  <c r="DI732" i="9"/>
  <c r="DH732" i="9"/>
  <c r="DG732" i="9"/>
  <c r="DF732" i="9"/>
  <c r="DE732" i="9"/>
  <c r="DD732" i="9"/>
  <c r="DC732" i="9"/>
  <c r="DB732" i="9"/>
  <c r="DA732" i="9"/>
  <c r="CZ732" i="9"/>
  <c r="CY732" i="9"/>
  <c r="CX732" i="9"/>
  <c r="CW732" i="9"/>
  <c r="CV732" i="9"/>
  <c r="CU732" i="9"/>
  <c r="CT732" i="9"/>
  <c r="CS732" i="9"/>
  <c r="CR732" i="9"/>
  <c r="CQ732" i="9"/>
  <c r="CP732" i="9"/>
  <c r="CO732" i="9"/>
  <c r="CN732" i="9"/>
  <c r="CM732" i="9"/>
  <c r="CL732" i="9"/>
  <c r="CK732" i="9"/>
  <c r="CJ732" i="9"/>
  <c r="CI732" i="9"/>
  <c r="CH732" i="9"/>
  <c r="CG732" i="9"/>
  <c r="CF732" i="9"/>
  <c r="CE732" i="9"/>
  <c r="CD732" i="9"/>
  <c r="CC732" i="9"/>
  <c r="CB732" i="9"/>
  <c r="EI731" i="9"/>
  <c r="EH731" i="9"/>
  <c r="EG731" i="9"/>
  <c r="EF731" i="9"/>
  <c r="EE731" i="9"/>
  <c r="ED731" i="9"/>
  <c r="EC731" i="9"/>
  <c r="EB731" i="9"/>
  <c r="EA731" i="9"/>
  <c r="DZ731" i="9"/>
  <c r="DY731" i="9"/>
  <c r="DX731" i="9"/>
  <c r="DW731" i="9"/>
  <c r="DV731" i="9"/>
  <c r="DU731" i="9"/>
  <c r="DT731" i="9"/>
  <c r="DS731" i="9"/>
  <c r="DR731" i="9"/>
  <c r="DQ731" i="9"/>
  <c r="DP731" i="9"/>
  <c r="DO731" i="9"/>
  <c r="DN731" i="9"/>
  <c r="DM731" i="9"/>
  <c r="DL731" i="9"/>
  <c r="DK731" i="9"/>
  <c r="DJ731" i="9"/>
  <c r="DI731" i="9"/>
  <c r="DH731" i="9"/>
  <c r="DG731" i="9"/>
  <c r="DF731" i="9"/>
  <c r="DE731" i="9"/>
  <c r="DD731" i="9"/>
  <c r="DC731" i="9"/>
  <c r="DB731" i="9"/>
  <c r="DA731" i="9"/>
  <c r="CZ731" i="9"/>
  <c r="CY731" i="9"/>
  <c r="CX731" i="9"/>
  <c r="CW731" i="9"/>
  <c r="CV731" i="9"/>
  <c r="CU731" i="9"/>
  <c r="CT731" i="9"/>
  <c r="CS731" i="9"/>
  <c r="CR731" i="9"/>
  <c r="CQ731" i="9"/>
  <c r="CP731" i="9"/>
  <c r="CO731" i="9"/>
  <c r="CN731" i="9"/>
  <c r="CM731" i="9"/>
  <c r="CL731" i="9"/>
  <c r="CK731" i="9"/>
  <c r="CJ731" i="9"/>
  <c r="CI731" i="9"/>
  <c r="CH731" i="9"/>
  <c r="CG731" i="9"/>
  <c r="CF731" i="9"/>
  <c r="CE731" i="9"/>
  <c r="CD731" i="9"/>
  <c r="CC731" i="9"/>
  <c r="CB731" i="9"/>
  <c r="EI730" i="9"/>
  <c r="EH730" i="9"/>
  <c r="EG730" i="9"/>
  <c r="EF730" i="9"/>
  <c r="EE730" i="9"/>
  <c r="ED730" i="9"/>
  <c r="EC730" i="9"/>
  <c r="EB730" i="9"/>
  <c r="EA730" i="9"/>
  <c r="DZ730" i="9"/>
  <c r="DY730" i="9"/>
  <c r="DX730" i="9"/>
  <c r="DW730" i="9"/>
  <c r="DV730" i="9"/>
  <c r="DU730" i="9"/>
  <c r="DT730" i="9"/>
  <c r="DS730" i="9"/>
  <c r="DR730" i="9"/>
  <c r="DQ730" i="9"/>
  <c r="DP730" i="9"/>
  <c r="DO730" i="9"/>
  <c r="DN730" i="9"/>
  <c r="DM730" i="9"/>
  <c r="DL730" i="9"/>
  <c r="DK730" i="9"/>
  <c r="DJ730" i="9"/>
  <c r="DI730" i="9"/>
  <c r="DH730" i="9"/>
  <c r="DG730" i="9"/>
  <c r="DF730" i="9"/>
  <c r="DE730" i="9"/>
  <c r="DD730" i="9"/>
  <c r="DC730" i="9"/>
  <c r="DB730" i="9"/>
  <c r="DA730" i="9"/>
  <c r="CZ730" i="9"/>
  <c r="CY730" i="9"/>
  <c r="CX730" i="9"/>
  <c r="CW730" i="9"/>
  <c r="CV730" i="9"/>
  <c r="CU730" i="9"/>
  <c r="CT730" i="9"/>
  <c r="CS730" i="9"/>
  <c r="CR730" i="9"/>
  <c r="CQ730" i="9"/>
  <c r="CP730" i="9"/>
  <c r="CO730" i="9"/>
  <c r="CN730" i="9"/>
  <c r="CM730" i="9"/>
  <c r="CL730" i="9"/>
  <c r="CK730" i="9"/>
  <c r="CJ730" i="9"/>
  <c r="CI730" i="9"/>
  <c r="CH730" i="9"/>
  <c r="CG730" i="9"/>
  <c r="CF730" i="9"/>
  <c r="CE730" i="9"/>
  <c r="CD730" i="9"/>
  <c r="CC730" i="9"/>
  <c r="CB730" i="9"/>
  <c r="EI729" i="9"/>
  <c r="EH729" i="9"/>
  <c r="EG729" i="9"/>
  <c r="EF729" i="9"/>
  <c r="EE729" i="9"/>
  <c r="ED729" i="9"/>
  <c r="EC729" i="9"/>
  <c r="EB729" i="9"/>
  <c r="EA729" i="9"/>
  <c r="DZ729" i="9"/>
  <c r="DY729" i="9"/>
  <c r="DX729" i="9"/>
  <c r="DW729" i="9"/>
  <c r="DV729" i="9"/>
  <c r="DU729" i="9"/>
  <c r="DT729" i="9"/>
  <c r="DS729" i="9"/>
  <c r="DR729" i="9"/>
  <c r="DQ729" i="9"/>
  <c r="DP729" i="9"/>
  <c r="DO729" i="9"/>
  <c r="DN729" i="9"/>
  <c r="DM729" i="9"/>
  <c r="DL729" i="9"/>
  <c r="DK729" i="9"/>
  <c r="DJ729" i="9"/>
  <c r="DI729" i="9"/>
  <c r="DH729" i="9"/>
  <c r="DG729" i="9"/>
  <c r="DF729" i="9"/>
  <c r="DE729" i="9"/>
  <c r="DD729" i="9"/>
  <c r="DC729" i="9"/>
  <c r="DB729" i="9"/>
  <c r="DA729" i="9"/>
  <c r="CZ729" i="9"/>
  <c r="CY729" i="9"/>
  <c r="CX729" i="9"/>
  <c r="CW729" i="9"/>
  <c r="CV729" i="9"/>
  <c r="CU729" i="9"/>
  <c r="CT729" i="9"/>
  <c r="CS729" i="9"/>
  <c r="CR729" i="9"/>
  <c r="CQ729" i="9"/>
  <c r="CP729" i="9"/>
  <c r="CO729" i="9"/>
  <c r="CN729" i="9"/>
  <c r="CM729" i="9"/>
  <c r="CL729" i="9"/>
  <c r="CK729" i="9"/>
  <c r="CJ729" i="9"/>
  <c r="CI729" i="9"/>
  <c r="CH729" i="9"/>
  <c r="CG729" i="9"/>
  <c r="CF729" i="9"/>
  <c r="CE729" i="9"/>
  <c r="CD729" i="9"/>
  <c r="CC729" i="9"/>
  <c r="CB729" i="9"/>
  <c r="EI728" i="9"/>
  <c r="EH728" i="9"/>
  <c r="EG728" i="9"/>
  <c r="EF728" i="9"/>
  <c r="EE728" i="9"/>
  <c r="ED728" i="9"/>
  <c r="EC728" i="9"/>
  <c r="EB728" i="9"/>
  <c r="EA728" i="9"/>
  <c r="DZ728" i="9"/>
  <c r="DY728" i="9"/>
  <c r="DX728" i="9"/>
  <c r="DW728" i="9"/>
  <c r="DV728" i="9"/>
  <c r="DU728" i="9"/>
  <c r="DT728" i="9"/>
  <c r="DS728" i="9"/>
  <c r="DR728" i="9"/>
  <c r="DQ728" i="9"/>
  <c r="DP728" i="9"/>
  <c r="DO728" i="9"/>
  <c r="DN728" i="9"/>
  <c r="DM728" i="9"/>
  <c r="DL728" i="9"/>
  <c r="DK728" i="9"/>
  <c r="DJ728" i="9"/>
  <c r="DI728" i="9"/>
  <c r="DH728" i="9"/>
  <c r="DG728" i="9"/>
  <c r="DF728" i="9"/>
  <c r="DE728" i="9"/>
  <c r="DD728" i="9"/>
  <c r="DC728" i="9"/>
  <c r="DB728" i="9"/>
  <c r="DA728" i="9"/>
  <c r="CZ728" i="9"/>
  <c r="CY728" i="9"/>
  <c r="CX728" i="9"/>
  <c r="CW728" i="9"/>
  <c r="CV728" i="9"/>
  <c r="CU728" i="9"/>
  <c r="CT728" i="9"/>
  <c r="CS728" i="9"/>
  <c r="CR728" i="9"/>
  <c r="CQ728" i="9"/>
  <c r="CP728" i="9"/>
  <c r="CO728" i="9"/>
  <c r="CN728" i="9"/>
  <c r="CM728" i="9"/>
  <c r="CL728" i="9"/>
  <c r="CK728" i="9"/>
  <c r="CJ728" i="9"/>
  <c r="CI728" i="9"/>
  <c r="CH728" i="9"/>
  <c r="CG728" i="9"/>
  <c r="CF728" i="9"/>
  <c r="CE728" i="9"/>
  <c r="CD728" i="9"/>
  <c r="CC728" i="9"/>
  <c r="CB728" i="9"/>
  <c r="EI727" i="9"/>
  <c r="EH727" i="9"/>
  <c r="EG727" i="9"/>
  <c r="EF727" i="9"/>
  <c r="EE727" i="9"/>
  <c r="ED727" i="9"/>
  <c r="EC727" i="9"/>
  <c r="EB727" i="9"/>
  <c r="EA727" i="9"/>
  <c r="DZ727" i="9"/>
  <c r="DY727" i="9"/>
  <c r="DX727" i="9"/>
  <c r="DW727" i="9"/>
  <c r="DV727" i="9"/>
  <c r="DU727" i="9"/>
  <c r="DT727" i="9"/>
  <c r="DS727" i="9"/>
  <c r="DR727" i="9"/>
  <c r="DQ727" i="9"/>
  <c r="DP727" i="9"/>
  <c r="DO727" i="9"/>
  <c r="DN727" i="9"/>
  <c r="DM727" i="9"/>
  <c r="DL727" i="9"/>
  <c r="DK727" i="9"/>
  <c r="DJ727" i="9"/>
  <c r="DI727" i="9"/>
  <c r="DH727" i="9"/>
  <c r="DG727" i="9"/>
  <c r="DF727" i="9"/>
  <c r="DE727" i="9"/>
  <c r="DD727" i="9"/>
  <c r="DC727" i="9"/>
  <c r="DB727" i="9"/>
  <c r="DA727" i="9"/>
  <c r="CZ727" i="9"/>
  <c r="CY727" i="9"/>
  <c r="CX727" i="9"/>
  <c r="CW727" i="9"/>
  <c r="CV727" i="9"/>
  <c r="CU727" i="9"/>
  <c r="CT727" i="9"/>
  <c r="CS727" i="9"/>
  <c r="CR727" i="9"/>
  <c r="CQ727" i="9"/>
  <c r="CP727" i="9"/>
  <c r="CO727" i="9"/>
  <c r="CN727" i="9"/>
  <c r="CM727" i="9"/>
  <c r="CL727" i="9"/>
  <c r="CK727" i="9"/>
  <c r="CJ727" i="9"/>
  <c r="CI727" i="9"/>
  <c r="CH727" i="9"/>
  <c r="CG727" i="9"/>
  <c r="CF727" i="9"/>
  <c r="CE727" i="9"/>
  <c r="CD727" i="9"/>
  <c r="CC727" i="9"/>
  <c r="CB727" i="9"/>
  <c r="EI726" i="9"/>
  <c r="EH726" i="9"/>
  <c r="EG726" i="9"/>
  <c r="EF726" i="9"/>
  <c r="EE726" i="9"/>
  <c r="ED726" i="9"/>
  <c r="EC726" i="9"/>
  <c r="EB726" i="9"/>
  <c r="EA726" i="9"/>
  <c r="DZ726" i="9"/>
  <c r="DY726" i="9"/>
  <c r="DX726" i="9"/>
  <c r="DW726" i="9"/>
  <c r="DV726" i="9"/>
  <c r="DU726" i="9"/>
  <c r="DT726" i="9"/>
  <c r="DS726" i="9"/>
  <c r="DR726" i="9"/>
  <c r="DQ726" i="9"/>
  <c r="DP726" i="9"/>
  <c r="DO726" i="9"/>
  <c r="DN726" i="9"/>
  <c r="DM726" i="9"/>
  <c r="DL726" i="9"/>
  <c r="DK726" i="9"/>
  <c r="DJ726" i="9"/>
  <c r="DI726" i="9"/>
  <c r="DH726" i="9"/>
  <c r="DG726" i="9"/>
  <c r="DF726" i="9"/>
  <c r="DE726" i="9"/>
  <c r="DD726" i="9"/>
  <c r="DC726" i="9"/>
  <c r="DB726" i="9"/>
  <c r="DA726" i="9"/>
  <c r="CZ726" i="9"/>
  <c r="CY726" i="9"/>
  <c r="CX726" i="9"/>
  <c r="CW726" i="9"/>
  <c r="CV726" i="9"/>
  <c r="CU726" i="9"/>
  <c r="CT726" i="9"/>
  <c r="CS726" i="9"/>
  <c r="CR726" i="9"/>
  <c r="CQ726" i="9"/>
  <c r="CP726" i="9"/>
  <c r="CO726" i="9"/>
  <c r="CN726" i="9"/>
  <c r="CM726" i="9"/>
  <c r="CL726" i="9"/>
  <c r="CK726" i="9"/>
  <c r="CJ726" i="9"/>
  <c r="CI726" i="9"/>
  <c r="CH726" i="9"/>
  <c r="CG726" i="9"/>
  <c r="CF726" i="9"/>
  <c r="CE726" i="9"/>
  <c r="CD726" i="9"/>
  <c r="CC726" i="9"/>
  <c r="CB726" i="9"/>
  <c r="EI725" i="9"/>
  <c r="EH725" i="9"/>
  <c r="EG725" i="9"/>
  <c r="EF725" i="9"/>
  <c r="EE725" i="9"/>
  <c r="ED725" i="9"/>
  <c r="EC725" i="9"/>
  <c r="EB725" i="9"/>
  <c r="EA725" i="9"/>
  <c r="DZ725" i="9"/>
  <c r="DY725" i="9"/>
  <c r="DX725" i="9"/>
  <c r="DW725" i="9"/>
  <c r="DV725" i="9"/>
  <c r="DU725" i="9"/>
  <c r="DT725" i="9"/>
  <c r="DS725" i="9"/>
  <c r="DR725" i="9"/>
  <c r="DQ725" i="9"/>
  <c r="DP725" i="9"/>
  <c r="DO725" i="9"/>
  <c r="DN725" i="9"/>
  <c r="DM725" i="9"/>
  <c r="DL725" i="9"/>
  <c r="DK725" i="9"/>
  <c r="DJ725" i="9"/>
  <c r="DI725" i="9"/>
  <c r="DH725" i="9"/>
  <c r="DG725" i="9"/>
  <c r="DF725" i="9"/>
  <c r="DE725" i="9"/>
  <c r="DD725" i="9"/>
  <c r="DC725" i="9"/>
  <c r="DB725" i="9"/>
  <c r="DA725" i="9"/>
  <c r="CZ725" i="9"/>
  <c r="CY725" i="9"/>
  <c r="CX725" i="9"/>
  <c r="CW725" i="9"/>
  <c r="CV725" i="9"/>
  <c r="CU725" i="9"/>
  <c r="CT725" i="9"/>
  <c r="CS725" i="9"/>
  <c r="CR725" i="9"/>
  <c r="CQ725" i="9"/>
  <c r="CP725" i="9"/>
  <c r="CO725" i="9"/>
  <c r="CN725" i="9"/>
  <c r="CM725" i="9"/>
  <c r="CL725" i="9"/>
  <c r="CK725" i="9"/>
  <c r="CJ725" i="9"/>
  <c r="CI725" i="9"/>
  <c r="CH725" i="9"/>
  <c r="CG725" i="9"/>
  <c r="CF725" i="9"/>
  <c r="CE725" i="9"/>
  <c r="CD725" i="9"/>
  <c r="CC725" i="9"/>
  <c r="CB725" i="9"/>
  <c r="EI724" i="9"/>
  <c r="EH724" i="9"/>
  <c r="EG724" i="9"/>
  <c r="EF724" i="9"/>
  <c r="EE724" i="9"/>
  <c r="ED724" i="9"/>
  <c r="EC724" i="9"/>
  <c r="EB724" i="9"/>
  <c r="EA724" i="9"/>
  <c r="DZ724" i="9"/>
  <c r="DY724" i="9"/>
  <c r="DX724" i="9"/>
  <c r="DW724" i="9"/>
  <c r="DV724" i="9"/>
  <c r="DU724" i="9"/>
  <c r="DT724" i="9"/>
  <c r="DS724" i="9"/>
  <c r="DR724" i="9"/>
  <c r="DQ724" i="9"/>
  <c r="DP724" i="9"/>
  <c r="DO724" i="9"/>
  <c r="DN724" i="9"/>
  <c r="DM724" i="9"/>
  <c r="DL724" i="9"/>
  <c r="DK724" i="9"/>
  <c r="DJ724" i="9"/>
  <c r="DI724" i="9"/>
  <c r="DH724" i="9"/>
  <c r="DG724" i="9"/>
  <c r="DF724" i="9"/>
  <c r="DE724" i="9"/>
  <c r="DD724" i="9"/>
  <c r="DC724" i="9"/>
  <c r="DB724" i="9"/>
  <c r="DA724" i="9"/>
  <c r="CZ724" i="9"/>
  <c r="CY724" i="9"/>
  <c r="CX724" i="9"/>
  <c r="CW724" i="9"/>
  <c r="CV724" i="9"/>
  <c r="CU724" i="9"/>
  <c r="CT724" i="9"/>
  <c r="CS724" i="9"/>
  <c r="CR724" i="9"/>
  <c r="CQ724" i="9"/>
  <c r="CP724" i="9"/>
  <c r="CO724" i="9"/>
  <c r="CN724" i="9"/>
  <c r="CM724" i="9"/>
  <c r="CL724" i="9"/>
  <c r="CK724" i="9"/>
  <c r="CJ724" i="9"/>
  <c r="CI724" i="9"/>
  <c r="CH724" i="9"/>
  <c r="CG724" i="9"/>
  <c r="CF724" i="9"/>
  <c r="CE724" i="9"/>
  <c r="CD724" i="9"/>
  <c r="CC724" i="9"/>
  <c r="CB724" i="9"/>
  <c r="EI723" i="9"/>
  <c r="EH723" i="9"/>
  <c r="EG723" i="9"/>
  <c r="EF723" i="9"/>
  <c r="EE723" i="9"/>
  <c r="ED723" i="9"/>
  <c r="EC723" i="9"/>
  <c r="EB723" i="9"/>
  <c r="EA723" i="9"/>
  <c r="DZ723" i="9"/>
  <c r="DY723" i="9"/>
  <c r="DX723" i="9"/>
  <c r="DW723" i="9"/>
  <c r="DV723" i="9"/>
  <c r="DU723" i="9"/>
  <c r="DT723" i="9"/>
  <c r="DS723" i="9"/>
  <c r="DR723" i="9"/>
  <c r="DQ723" i="9"/>
  <c r="DP723" i="9"/>
  <c r="DO723" i="9"/>
  <c r="DN723" i="9"/>
  <c r="DM723" i="9"/>
  <c r="DL723" i="9"/>
  <c r="DK723" i="9"/>
  <c r="DJ723" i="9"/>
  <c r="DI723" i="9"/>
  <c r="DH723" i="9"/>
  <c r="DG723" i="9"/>
  <c r="DF723" i="9"/>
  <c r="DE723" i="9"/>
  <c r="DD723" i="9"/>
  <c r="DC723" i="9"/>
  <c r="DB723" i="9"/>
  <c r="DA723" i="9"/>
  <c r="CZ723" i="9"/>
  <c r="CY723" i="9"/>
  <c r="CX723" i="9"/>
  <c r="CW723" i="9"/>
  <c r="CV723" i="9"/>
  <c r="CU723" i="9"/>
  <c r="CT723" i="9"/>
  <c r="CS723" i="9"/>
  <c r="CR723" i="9"/>
  <c r="CQ723" i="9"/>
  <c r="CP723" i="9"/>
  <c r="CO723" i="9"/>
  <c r="CN723" i="9"/>
  <c r="CM723" i="9"/>
  <c r="CL723" i="9"/>
  <c r="CK723" i="9"/>
  <c r="CJ723" i="9"/>
  <c r="CI723" i="9"/>
  <c r="CH723" i="9"/>
  <c r="CG723" i="9"/>
  <c r="CF723" i="9"/>
  <c r="CE723" i="9"/>
  <c r="CD723" i="9"/>
  <c r="CC723" i="9"/>
  <c r="CB723" i="9"/>
  <c r="EI722" i="9"/>
  <c r="EH722" i="9"/>
  <c r="EG722" i="9"/>
  <c r="EF722" i="9"/>
  <c r="EE722" i="9"/>
  <c r="ED722" i="9"/>
  <c r="EC722" i="9"/>
  <c r="EB722" i="9"/>
  <c r="EA722" i="9"/>
  <c r="DZ722" i="9"/>
  <c r="DY722" i="9"/>
  <c r="DX722" i="9"/>
  <c r="DW722" i="9"/>
  <c r="DV722" i="9"/>
  <c r="DU722" i="9"/>
  <c r="DT722" i="9"/>
  <c r="DS722" i="9"/>
  <c r="DR722" i="9"/>
  <c r="DQ722" i="9"/>
  <c r="DP722" i="9"/>
  <c r="DO722" i="9"/>
  <c r="DN722" i="9"/>
  <c r="DM722" i="9"/>
  <c r="DL722" i="9"/>
  <c r="DK722" i="9"/>
  <c r="DJ722" i="9"/>
  <c r="DI722" i="9"/>
  <c r="DH722" i="9"/>
  <c r="DG722" i="9"/>
  <c r="DF722" i="9"/>
  <c r="DE722" i="9"/>
  <c r="DD722" i="9"/>
  <c r="DC722" i="9"/>
  <c r="DB722" i="9"/>
  <c r="DA722" i="9"/>
  <c r="CZ722" i="9"/>
  <c r="CY722" i="9"/>
  <c r="CX722" i="9"/>
  <c r="CW722" i="9"/>
  <c r="CV722" i="9"/>
  <c r="CU722" i="9"/>
  <c r="CT722" i="9"/>
  <c r="CS722" i="9"/>
  <c r="CR722" i="9"/>
  <c r="CQ722" i="9"/>
  <c r="CP722" i="9"/>
  <c r="CO722" i="9"/>
  <c r="CN722" i="9"/>
  <c r="CM722" i="9"/>
  <c r="CL722" i="9"/>
  <c r="CK722" i="9"/>
  <c r="CJ722" i="9"/>
  <c r="CI722" i="9"/>
  <c r="CH722" i="9"/>
  <c r="CG722" i="9"/>
  <c r="CF722" i="9"/>
  <c r="CE722" i="9"/>
  <c r="CD722" i="9"/>
  <c r="CC722" i="9"/>
  <c r="CB722" i="9"/>
  <c r="EI721" i="9"/>
  <c r="EH721" i="9"/>
  <c r="EG721" i="9"/>
  <c r="EF721" i="9"/>
  <c r="EE721" i="9"/>
  <c r="ED721" i="9"/>
  <c r="EC721" i="9"/>
  <c r="EB721" i="9"/>
  <c r="EA721" i="9"/>
  <c r="DZ721" i="9"/>
  <c r="DY721" i="9"/>
  <c r="DX721" i="9"/>
  <c r="DW721" i="9"/>
  <c r="DV721" i="9"/>
  <c r="DU721" i="9"/>
  <c r="DT721" i="9"/>
  <c r="DS721" i="9"/>
  <c r="DR721" i="9"/>
  <c r="DQ721" i="9"/>
  <c r="DP721" i="9"/>
  <c r="DO721" i="9"/>
  <c r="DN721" i="9"/>
  <c r="DM721" i="9"/>
  <c r="DL721" i="9"/>
  <c r="DK721" i="9"/>
  <c r="DJ721" i="9"/>
  <c r="DI721" i="9"/>
  <c r="DH721" i="9"/>
  <c r="DG721" i="9"/>
  <c r="DF721" i="9"/>
  <c r="DE721" i="9"/>
  <c r="DD721" i="9"/>
  <c r="DC721" i="9"/>
  <c r="DB721" i="9"/>
  <c r="DA721" i="9"/>
  <c r="CZ721" i="9"/>
  <c r="CY721" i="9"/>
  <c r="CX721" i="9"/>
  <c r="CW721" i="9"/>
  <c r="CV721" i="9"/>
  <c r="CU721" i="9"/>
  <c r="CT721" i="9"/>
  <c r="CS721" i="9"/>
  <c r="CR721" i="9"/>
  <c r="CQ721" i="9"/>
  <c r="CP721" i="9"/>
  <c r="CO721" i="9"/>
  <c r="CN721" i="9"/>
  <c r="CM721" i="9"/>
  <c r="CL721" i="9"/>
  <c r="CK721" i="9"/>
  <c r="CJ721" i="9"/>
  <c r="CI721" i="9"/>
  <c r="CH721" i="9"/>
  <c r="CG721" i="9"/>
  <c r="CF721" i="9"/>
  <c r="CE721" i="9"/>
  <c r="CD721" i="9"/>
  <c r="CC721" i="9"/>
  <c r="CB721" i="9"/>
  <c r="EI720" i="9"/>
  <c r="EH720" i="9"/>
  <c r="EG720" i="9"/>
  <c r="EF720" i="9"/>
  <c r="EE720" i="9"/>
  <c r="ED720" i="9"/>
  <c r="EC720" i="9"/>
  <c r="EB720" i="9"/>
  <c r="EA720" i="9"/>
  <c r="DZ720" i="9"/>
  <c r="DY720" i="9"/>
  <c r="DX720" i="9"/>
  <c r="DW720" i="9"/>
  <c r="DV720" i="9"/>
  <c r="DU720" i="9"/>
  <c r="DT720" i="9"/>
  <c r="DS720" i="9"/>
  <c r="DR720" i="9"/>
  <c r="DQ720" i="9"/>
  <c r="DP720" i="9"/>
  <c r="DO720" i="9"/>
  <c r="DN720" i="9"/>
  <c r="DM720" i="9"/>
  <c r="DL720" i="9"/>
  <c r="DK720" i="9"/>
  <c r="DJ720" i="9"/>
  <c r="DI720" i="9"/>
  <c r="DH720" i="9"/>
  <c r="DG720" i="9"/>
  <c r="DF720" i="9"/>
  <c r="DE720" i="9"/>
  <c r="DD720" i="9"/>
  <c r="DC720" i="9"/>
  <c r="DB720" i="9"/>
  <c r="DA720" i="9"/>
  <c r="CZ720" i="9"/>
  <c r="CY720" i="9"/>
  <c r="CX720" i="9"/>
  <c r="CW720" i="9"/>
  <c r="CV720" i="9"/>
  <c r="CU720" i="9"/>
  <c r="CT720" i="9"/>
  <c r="CS720" i="9"/>
  <c r="CR720" i="9"/>
  <c r="CQ720" i="9"/>
  <c r="CP720" i="9"/>
  <c r="CO720" i="9"/>
  <c r="CN720" i="9"/>
  <c r="CM720" i="9"/>
  <c r="CL720" i="9"/>
  <c r="CK720" i="9"/>
  <c r="CJ720" i="9"/>
  <c r="CI720" i="9"/>
  <c r="CH720" i="9"/>
  <c r="CG720" i="9"/>
  <c r="CF720" i="9"/>
  <c r="CE720" i="9"/>
  <c r="CD720" i="9"/>
  <c r="CC720" i="9"/>
  <c r="CB720" i="9"/>
  <c r="EI719" i="9"/>
  <c r="EH719" i="9"/>
  <c r="EG719" i="9"/>
  <c r="EF719" i="9"/>
  <c r="EE719" i="9"/>
  <c r="ED719" i="9"/>
  <c r="EC719" i="9"/>
  <c r="EB719" i="9"/>
  <c r="EA719" i="9"/>
  <c r="DZ719" i="9"/>
  <c r="DY719" i="9"/>
  <c r="DX719" i="9"/>
  <c r="DW719" i="9"/>
  <c r="DV719" i="9"/>
  <c r="DU719" i="9"/>
  <c r="DT719" i="9"/>
  <c r="DS719" i="9"/>
  <c r="DR719" i="9"/>
  <c r="DQ719" i="9"/>
  <c r="DP719" i="9"/>
  <c r="DO719" i="9"/>
  <c r="DN719" i="9"/>
  <c r="DM719" i="9"/>
  <c r="DL719" i="9"/>
  <c r="DK719" i="9"/>
  <c r="DJ719" i="9"/>
  <c r="DI719" i="9"/>
  <c r="DH719" i="9"/>
  <c r="DG719" i="9"/>
  <c r="DF719" i="9"/>
  <c r="DE719" i="9"/>
  <c r="DD719" i="9"/>
  <c r="DC719" i="9"/>
  <c r="DB719" i="9"/>
  <c r="DA719" i="9"/>
  <c r="CZ719" i="9"/>
  <c r="CY719" i="9"/>
  <c r="CX719" i="9"/>
  <c r="CW719" i="9"/>
  <c r="CV719" i="9"/>
  <c r="CU719" i="9"/>
  <c r="CT719" i="9"/>
  <c r="CS719" i="9"/>
  <c r="CR719" i="9"/>
  <c r="CQ719" i="9"/>
  <c r="CP719" i="9"/>
  <c r="CO719" i="9"/>
  <c r="CN719" i="9"/>
  <c r="CM719" i="9"/>
  <c r="CL719" i="9"/>
  <c r="CK719" i="9"/>
  <c r="CJ719" i="9"/>
  <c r="CI719" i="9"/>
  <c r="CH719" i="9"/>
  <c r="CG719" i="9"/>
  <c r="CF719" i="9"/>
  <c r="CE719" i="9"/>
  <c r="CD719" i="9"/>
  <c r="CC719" i="9"/>
  <c r="CB719" i="9"/>
  <c r="EI718" i="9"/>
  <c r="EH718" i="9"/>
  <c r="EG718" i="9"/>
  <c r="EF718" i="9"/>
  <c r="EE718" i="9"/>
  <c r="ED718" i="9"/>
  <c r="EC718" i="9"/>
  <c r="EB718" i="9"/>
  <c r="EA718" i="9"/>
  <c r="DZ718" i="9"/>
  <c r="DY718" i="9"/>
  <c r="DX718" i="9"/>
  <c r="DW718" i="9"/>
  <c r="DV718" i="9"/>
  <c r="DU718" i="9"/>
  <c r="DT718" i="9"/>
  <c r="DS718" i="9"/>
  <c r="DR718" i="9"/>
  <c r="DQ718" i="9"/>
  <c r="DP718" i="9"/>
  <c r="DO718" i="9"/>
  <c r="DN718" i="9"/>
  <c r="DM718" i="9"/>
  <c r="DL718" i="9"/>
  <c r="DK718" i="9"/>
  <c r="DJ718" i="9"/>
  <c r="DI718" i="9"/>
  <c r="DH718" i="9"/>
  <c r="DG718" i="9"/>
  <c r="DF718" i="9"/>
  <c r="DE718" i="9"/>
  <c r="DD718" i="9"/>
  <c r="DC718" i="9"/>
  <c r="DB718" i="9"/>
  <c r="DA718" i="9"/>
  <c r="CZ718" i="9"/>
  <c r="CY718" i="9"/>
  <c r="CX718" i="9"/>
  <c r="CW718" i="9"/>
  <c r="CV718" i="9"/>
  <c r="CU718" i="9"/>
  <c r="CT718" i="9"/>
  <c r="CS718" i="9"/>
  <c r="CR718" i="9"/>
  <c r="CQ718" i="9"/>
  <c r="CP718" i="9"/>
  <c r="CO718" i="9"/>
  <c r="CN718" i="9"/>
  <c r="CM718" i="9"/>
  <c r="CL718" i="9"/>
  <c r="CK718" i="9"/>
  <c r="CJ718" i="9"/>
  <c r="CI718" i="9"/>
  <c r="CH718" i="9"/>
  <c r="CG718" i="9"/>
  <c r="CF718" i="9"/>
  <c r="CE718" i="9"/>
  <c r="CD718" i="9"/>
  <c r="CC718" i="9"/>
  <c r="CB718" i="9"/>
  <c r="EI717" i="9"/>
  <c r="EH717" i="9"/>
  <c r="EG717" i="9"/>
  <c r="EF717" i="9"/>
  <c r="EE717" i="9"/>
  <c r="ED717" i="9"/>
  <c r="EC717" i="9"/>
  <c r="EB717" i="9"/>
  <c r="EA717" i="9"/>
  <c r="DZ717" i="9"/>
  <c r="DY717" i="9"/>
  <c r="DX717" i="9"/>
  <c r="DW717" i="9"/>
  <c r="DV717" i="9"/>
  <c r="DU717" i="9"/>
  <c r="DT717" i="9"/>
  <c r="DS717" i="9"/>
  <c r="DR717" i="9"/>
  <c r="DQ717" i="9"/>
  <c r="DP717" i="9"/>
  <c r="DO717" i="9"/>
  <c r="DN717" i="9"/>
  <c r="DM717" i="9"/>
  <c r="DL717" i="9"/>
  <c r="DK717" i="9"/>
  <c r="DJ717" i="9"/>
  <c r="DI717" i="9"/>
  <c r="DH717" i="9"/>
  <c r="DG717" i="9"/>
  <c r="DF717" i="9"/>
  <c r="DE717" i="9"/>
  <c r="DD717" i="9"/>
  <c r="DC717" i="9"/>
  <c r="DB717" i="9"/>
  <c r="DA717" i="9"/>
  <c r="CZ717" i="9"/>
  <c r="CY717" i="9"/>
  <c r="CX717" i="9"/>
  <c r="CW717" i="9"/>
  <c r="CV717" i="9"/>
  <c r="CU717" i="9"/>
  <c r="CT717" i="9"/>
  <c r="CS717" i="9"/>
  <c r="CR717" i="9"/>
  <c r="CQ717" i="9"/>
  <c r="CP717" i="9"/>
  <c r="CO717" i="9"/>
  <c r="CN717" i="9"/>
  <c r="CM717" i="9"/>
  <c r="CL717" i="9"/>
  <c r="CK717" i="9"/>
  <c r="CJ717" i="9"/>
  <c r="CI717" i="9"/>
  <c r="CH717" i="9"/>
  <c r="CG717" i="9"/>
  <c r="CF717" i="9"/>
  <c r="CE717" i="9"/>
  <c r="CD717" i="9"/>
  <c r="CC717" i="9"/>
  <c r="CB717" i="9"/>
  <c r="EI716" i="9"/>
  <c r="EH716" i="9"/>
  <c r="EG716" i="9"/>
  <c r="EF716" i="9"/>
  <c r="EE716" i="9"/>
  <c r="ED716" i="9"/>
  <c r="EC716" i="9"/>
  <c r="EB716" i="9"/>
  <c r="EA716" i="9"/>
  <c r="DZ716" i="9"/>
  <c r="DY716" i="9"/>
  <c r="DX716" i="9"/>
  <c r="DW716" i="9"/>
  <c r="DV716" i="9"/>
  <c r="DU716" i="9"/>
  <c r="DT716" i="9"/>
  <c r="DS716" i="9"/>
  <c r="DR716" i="9"/>
  <c r="DQ716" i="9"/>
  <c r="DP716" i="9"/>
  <c r="DO716" i="9"/>
  <c r="DN716" i="9"/>
  <c r="DM716" i="9"/>
  <c r="DL716" i="9"/>
  <c r="DK716" i="9"/>
  <c r="DJ716" i="9"/>
  <c r="DI716" i="9"/>
  <c r="DH716" i="9"/>
  <c r="DG716" i="9"/>
  <c r="DF716" i="9"/>
  <c r="DE716" i="9"/>
  <c r="DD716" i="9"/>
  <c r="DC716" i="9"/>
  <c r="DB716" i="9"/>
  <c r="DA716" i="9"/>
  <c r="CZ716" i="9"/>
  <c r="CY716" i="9"/>
  <c r="CX716" i="9"/>
  <c r="CW716" i="9"/>
  <c r="CV716" i="9"/>
  <c r="CU716" i="9"/>
  <c r="CT716" i="9"/>
  <c r="CS716" i="9"/>
  <c r="CR716" i="9"/>
  <c r="CQ716" i="9"/>
  <c r="CP716" i="9"/>
  <c r="CO716" i="9"/>
  <c r="CN716" i="9"/>
  <c r="CM716" i="9"/>
  <c r="CL716" i="9"/>
  <c r="CK716" i="9"/>
  <c r="CJ716" i="9"/>
  <c r="CI716" i="9"/>
  <c r="CH716" i="9"/>
  <c r="CG716" i="9"/>
  <c r="CF716" i="9"/>
  <c r="CE716" i="9"/>
  <c r="CD716" i="9"/>
  <c r="CC716" i="9"/>
  <c r="CB716" i="9"/>
  <c r="EI715" i="9"/>
  <c r="EH715" i="9"/>
  <c r="EG715" i="9"/>
  <c r="EF715" i="9"/>
  <c r="EE715" i="9"/>
  <c r="ED715" i="9"/>
  <c r="EC715" i="9"/>
  <c r="EB715" i="9"/>
  <c r="EA715" i="9"/>
  <c r="DZ715" i="9"/>
  <c r="DY715" i="9"/>
  <c r="DX715" i="9"/>
  <c r="DW715" i="9"/>
  <c r="DV715" i="9"/>
  <c r="DU715" i="9"/>
  <c r="DT715" i="9"/>
  <c r="DS715" i="9"/>
  <c r="DR715" i="9"/>
  <c r="DQ715" i="9"/>
  <c r="DP715" i="9"/>
  <c r="DO715" i="9"/>
  <c r="DN715" i="9"/>
  <c r="DM715" i="9"/>
  <c r="DL715" i="9"/>
  <c r="DK715" i="9"/>
  <c r="DJ715" i="9"/>
  <c r="DI715" i="9"/>
  <c r="DH715" i="9"/>
  <c r="DG715" i="9"/>
  <c r="DF715" i="9"/>
  <c r="DE715" i="9"/>
  <c r="DD715" i="9"/>
  <c r="DC715" i="9"/>
  <c r="DB715" i="9"/>
  <c r="DA715" i="9"/>
  <c r="CZ715" i="9"/>
  <c r="CY715" i="9"/>
  <c r="CX715" i="9"/>
  <c r="CW715" i="9"/>
  <c r="CV715" i="9"/>
  <c r="CU715" i="9"/>
  <c r="CT715" i="9"/>
  <c r="CS715" i="9"/>
  <c r="CR715" i="9"/>
  <c r="CQ715" i="9"/>
  <c r="CP715" i="9"/>
  <c r="CO715" i="9"/>
  <c r="CN715" i="9"/>
  <c r="CM715" i="9"/>
  <c r="CL715" i="9"/>
  <c r="CK715" i="9"/>
  <c r="CJ715" i="9"/>
  <c r="CI715" i="9"/>
  <c r="CH715" i="9"/>
  <c r="CG715" i="9"/>
  <c r="CF715" i="9"/>
  <c r="CE715" i="9"/>
  <c r="CD715" i="9"/>
  <c r="CC715" i="9"/>
  <c r="CB715" i="9"/>
  <c r="EI714" i="9"/>
  <c r="EH714" i="9"/>
  <c r="EG714" i="9"/>
  <c r="EF714" i="9"/>
  <c r="EE714" i="9"/>
  <c r="ED714" i="9"/>
  <c r="EC714" i="9"/>
  <c r="EB714" i="9"/>
  <c r="EA714" i="9"/>
  <c r="DZ714" i="9"/>
  <c r="DY714" i="9"/>
  <c r="DX714" i="9"/>
  <c r="DW714" i="9"/>
  <c r="DV714" i="9"/>
  <c r="DU714" i="9"/>
  <c r="DT714" i="9"/>
  <c r="DS714" i="9"/>
  <c r="DR714" i="9"/>
  <c r="DQ714" i="9"/>
  <c r="DP714" i="9"/>
  <c r="DO714" i="9"/>
  <c r="DN714" i="9"/>
  <c r="DM714" i="9"/>
  <c r="DL714" i="9"/>
  <c r="DK714" i="9"/>
  <c r="DJ714" i="9"/>
  <c r="DI714" i="9"/>
  <c r="DH714" i="9"/>
  <c r="DG714" i="9"/>
  <c r="DF714" i="9"/>
  <c r="DE714" i="9"/>
  <c r="DD714" i="9"/>
  <c r="DC714" i="9"/>
  <c r="DB714" i="9"/>
  <c r="DA714" i="9"/>
  <c r="CZ714" i="9"/>
  <c r="CY714" i="9"/>
  <c r="CX714" i="9"/>
  <c r="CW714" i="9"/>
  <c r="CV714" i="9"/>
  <c r="CU714" i="9"/>
  <c r="CT714" i="9"/>
  <c r="CS714" i="9"/>
  <c r="CR714" i="9"/>
  <c r="CQ714" i="9"/>
  <c r="CP714" i="9"/>
  <c r="CO714" i="9"/>
  <c r="CN714" i="9"/>
  <c r="CM714" i="9"/>
  <c r="CL714" i="9"/>
  <c r="CK714" i="9"/>
  <c r="CJ714" i="9"/>
  <c r="CI714" i="9"/>
  <c r="CH714" i="9"/>
  <c r="CG714" i="9"/>
  <c r="CF714" i="9"/>
  <c r="CE714" i="9"/>
  <c r="CD714" i="9"/>
  <c r="CC714" i="9"/>
  <c r="CB714" i="9"/>
  <c r="EI713" i="9"/>
  <c r="EH713" i="9"/>
  <c r="EG713" i="9"/>
  <c r="EF713" i="9"/>
  <c r="EE713" i="9"/>
  <c r="ED713" i="9"/>
  <c r="EC713" i="9"/>
  <c r="EB713" i="9"/>
  <c r="EA713" i="9"/>
  <c r="DZ713" i="9"/>
  <c r="DY713" i="9"/>
  <c r="DX713" i="9"/>
  <c r="DW713" i="9"/>
  <c r="DV713" i="9"/>
  <c r="DU713" i="9"/>
  <c r="DT713" i="9"/>
  <c r="DS713" i="9"/>
  <c r="DR713" i="9"/>
  <c r="DQ713" i="9"/>
  <c r="DP713" i="9"/>
  <c r="DO713" i="9"/>
  <c r="DN713" i="9"/>
  <c r="DM713" i="9"/>
  <c r="DL713" i="9"/>
  <c r="DK713" i="9"/>
  <c r="DJ713" i="9"/>
  <c r="DI713" i="9"/>
  <c r="DH713" i="9"/>
  <c r="DG713" i="9"/>
  <c r="DF713" i="9"/>
  <c r="DE713" i="9"/>
  <c r="DD713" i="9"/>
  <c r="DC713" i="9"/>
  <c r="DB713" i="9"/>
  <c r="DA713" i="9"/>
  <c r="CZ713" i="9"/>
  <c r="CY713" i="9"/>
  <c r="CX713" i="9"/>
  <c r="CW713" i="9"/>
  <c r="CV713" i="9"/>
  <c r="CU713" i="9"/>
  <c r="CT713" i="9"/>
  <c r="CS713" i="9"/>
  <c r="CR713" i="9"/>
  <c r="CQ713" i="9"/>
  <c r="CP713" i="9"/>
  <c r="CO713" i="9"/>
  <c r="CN713" i="9"/>
  <c r="CM713" i="9"/>
  <c r="CL713" i="9"/>
  <c r="CK713" i="9"/>
  <c r="CJ713" i="9"/>
  <c r="CI713" i="9"/>
  <c r="CH713" i="9"/>
  <c r="CG713" i="9"/>
  <c r="CF713" i="9"/>
  <c r="CE713" i="9"/>
  <c r="CD713" i="9"/>
  <c r="CC713" i="9"/>
  <c r="CB713" i="9"/>
  <c r="EI712" i="9"/>
  <c r="EH712" i="9"/>
  <c r="EG712" i="9"/>
  <c r="EF712" i="9"/>
  <c r="EE712" i="9"/>
  <c r="ED712" i="9"/>
  <c r="EC712" i="9"/>
  <c r="EB712" i="9"/>
  <c r="EA712" i="9"/>
  <c r="DZ712" i="9"/>
  <c r="DY712" i="9"/>
  <c r="DX712" i="9"/>
  <c r="DW712" i="9"/>
  <c r="DV712" i="9"/>
  <c r="DU712" i="9"/>
  <c r="DT712" i="9"/>
  <c r="DS712" i="9"/>
  <c r="DR712" i="9"/>
  <c r="DQ712" i="9"/>
  <c r="DP712" i="9"/>
  <c r="DO712" i="9"/>
  <c r="DN712" i="9"/>
  <c r="DM712" i="9"/>
  <c r="DL712" i="9"/>
  <c r="DK712" i="9"/>
  <c r="DJ712" i="9"/>
  <c r="DI712" i="9"/>
  <c r="DH712" i="9"/>
  <c r="DG712" i="9"/>
  <c r="DF712" i="9"/>
  <c r="DE712" i="9"/>
  <c r="DD712" i="9"/>
  <c r="DC712" i="9"/>
  <c r="DB712" i="9"/>
  <c r="DA712" i="9"/>
  <c r="CZ712" i="9"/>
  <c r="CY712" i="9"/>
  <c r="CX712" i="9"/>
  <c r="CW712" i="9"/>
  <c r="CV712" i="9"/>
  <c r="CU712" i="9"/>
  <c r="CT712" i="9"/>
  <c r="CS712" i="9"/>
  <c r="CR712" i="9"/>
  <c r="CQ712" i="9"/>
  <c r="CP712" i="9"/>
  <c r="CO712" i="9"/>
  <c r="CN712" i="9"/>
  <c r="CM712" i="9"/>
  <c r="CL712" i="9"/>
  <c r="CK712" i="9"/>
  <c r="CJ712" i="9"/>
  <c r="CI712" i="9"/>
  <c r="CH712" i="9"/>
  <c r="CG712" i="9"/>
  <c r="CF712" i="9"/>
  <c r="CE712" i="9"/>
  <c r="CD712" i="9"/>
  <c r="CC712" i="9"/>
  <c r="CB712" i="9"/>
  <c r="EI711" i="9"/>
  <c r="EH711" i="9"/>
  <c r="EG711" i="9"/>
  <c r="EF711" i="9"/>
  <c r="EE711" i="9"/>
  <c r="ED711" i="9"/>
  <c r="EC711" i="9"/>
  <c r="EB711" i="9"/>
  <c r="EA711" i="9"/>
  <c r="DZ711" i="9"/>
  <c r="DY711" i="9"/>
  <c r="DX711" i="9"/>
  <c r="DW711" i="9"/>
  <c r="DV711" i="9"/>
  <c r="DU711" i="9"/>
  <c r="DT711" i="9"/>
  <c r="DS711" i="9"/>
  <c r="DR711" i="9"/>
  <c r="DQ711" i="9"/>
  <c r="DP711" i="9"/>
  <c r="DO711" i="9"/>
  <c r="DN711" i="9"/>
  <c r="DM711" i="9"/>
  <c r="DL711" i="9"/>
  <c r="DK711" i="9"/>
  <c r="DJ711" i="9"/>
  <c r="DI711" i="9"/>
  <c r="DH711" i="9"/>
  <c r="DG711" i="9"/>
  <c r="DF711" i="9"/>
  <c r="DE711" i="9"/>
  <c r="DD711" i="9"/>
  <c r="DC711" i="9"/>
  <c r="DB711" i="9"/>
  <c r="DA711" i="9"/>
  <c r="CZ711" i="9"/>
  <c r="CY711" i="9"/>
  <c r="CX711" i="9"/>
  <c r="CW711" i="9"/>
  <c r="CV711" i="9"/>
  <c r="CU711" i="9"/>
  <c r="CT711" i="9"/>
  <c r="CS711" i="9"/>
  <c r="CR711" i="9"/>
  <c r="CQ711" i="9"/>
  <c r="CP711" i="9"/>
  <c r="CO711" i="9"/>
  <c r="CN711" i="9"/>
  <c r="CM711" i="9"/>
  <c r="CL711" i="9"/>
  <c r="CK711" i="9"/>
  <c r="CJ711" i="9"/>
  <c r="CI711" i="9"/>
  <c r="CH711" i="9"/>
  <c r="CG711" i="9"/>
  <c r="CF711" i="9"/>
  <c r="CE711" i="9"/>
  <c r="CD711" i="9"/>
  <c r="CC711" i="9"/>
  <c r="CB711" i="9"/>
  <c r="EI710" i="9"/>
  <c r="EH710" i="9"/>
  <c r="EG710" i="9"/>
  <c r="EF710" i="9"/>
  <c r="EE710" i="9"/>
  <c r="ED710" i="9"/>
  <c r="EC710" i="9"/>
  <c r="EB710" i="9"/>
  <c r="EA710" i="9"/>
  <c r="DZ710" i="9"/>
  <c r="DY710" i="9"/>
  <c r="DX710" i="9"/>
  <c r="DW710" i="9"/>
  <c r="DV710" i="9"/>
  <c r="DU710" i="9"/>
  <c r="DT710" i="9"/>
  <c r="DS710" i="9"/>
  <c r="DR710" i="9"/>
  <c r="DQ710" i="9"/>
  <c r="DP710" i="9"/>
  <c r="DO710" i="9"/>
  <c r="DN710" i="9"/>
  <c r="DM710" i="9"/>
  <c r="DL710" i="9"/>
  <c r="DK710" i="9"/>
  <c r="DJ710" i="9"/>
  <c r="DI710" i="9"/>
  <c r="DH710" i="9"/>
  <c r="DG710" i="9"/>
  <c r="DF710" i="9"/>
  <c r="DE710" i="9"/>
  <c r="DD710" i="9"/>
  <c r="DC710" i="9"/>
  <c r="DB710" i="9"/>
  <c r="DA710" i="9"/>
  <c r="CZ710" i="9"/>
  <c r="CY710" i="9"/>
  <c r="CX710" i="9"/>
  <c r="CW710" i="9"/>
  <c r="CV710" i="9"/>
  <c r="CU710" i="9"/>
  <c r="CT710" i="9"/>
  <c r="CS710" i="9"/>
  <c r="CR710" i="9"/>
  <c r="CQ710" i="9"/>
  <c r="CP710" i="9"/>
  <c r="CO710" i="9"/>
  <c r="CN710" i="9"/>
  <c r="CM710" i="9"/>
  <c r="CL710" i="9"/>
  <c r="CK710" i="9"/>
  <c r="CJ710" i="9"/>
  <c r="CI710" i="9"/>
  <c r="CH710" i="9"/>
  <c r="CG710" i="9"/>
  <c r="CF710" i="9"/>
  <c r="CE710" i="9"/>
  <c r="CD710" i="9"/>
  <c r="CC710" i="9"/>
  <c r="CB710" i="9"/>
  <c r="EI709" i="9"/>
  <c r="EH709" i="9"/>
  <c r="EG709" i="9"/>
  <c r="EF709" i="9"/>
  <c r="EE709" i="9"/>
  <c r="ED709" i="9"/>
  <c r="EC709" i="9"/>
  <c r="EB709" i="9"/>
  <c r="EA709" i="9"/>
  <c r="DZ709" i="9"/>
  <c r="DY709" i="9"/>
  <c r="DX709" i="9"/>
  <c r="DW709" i="9"/>
  <c r="DV709" i="9"/>
  <c r="DU709" i="9"/>
  <c r="DT709" i="9"/>
  <c r="DS709" i="9"/>
  <c r="DR709" i="9"/>
  <c r="DQ709" i="9"/>
  <c r="DP709" i="9"/>
  <c r="DO709" i="9"/>
  <c r="DN709" i="9"/>
  <c r="DM709" i="9"/>
  <c r="DL709" i="9"/>
  <c r="DK709" i="9"/>
  <c r="DJ709" i="9"/>
  <c r="DI709" i="9"/>
  <c r="DH709" i="9"/>
  <c r="DG709" i="9"/>
  <c r="DF709" i="9"/>
  <c r="DE709" i="9"/>
  <c r="DD709" i="9"/>
  <c r="DC709" i="9"/>
  <c r="DB709" i="9"/>
  <c r="DA709" i="9"/>
  <c r="CZ709" i="9"/>
  <c r="CY709" i="9"/>
  <c r="CX709" i="9"/>
  <c r="CW709" i="9"/>
  <c r="CV709" i="9"/>
  <c r="CU709" i="9"/>
  <c r="CT709" i="9"/>
  <c r="CS709" i="9"/>
  <c r="CR709" i="9"/>
  <c r="CQ709" i="9"/>
  <c r="CP709" i="9"/>
  <c r="CO709" i="9"/>
  <c r="CN709" i="9"/>
  <c r="CM709" i="9"/>
  <c r="CL709" i="9"/>
  <c r="CK709" i="9"/>
  <c r="CJ709" i="9"/>
  <c r="CI709" i="9"/>
  <c r="CH709" i="9"/>
  <c r="CG709" i="9"/>
  <c r="CF709" i="9"/>
  <c r="CE709" i="9"/>
  <c r="CD709" i="9"/>
  <c r="CC709" i="9"/>
  <c r="CB709" i="9"/>
  <c r="EI708" i="9"/>
  <c r="EH708" i="9"/>
  <c r="EG708" i="9"/>
  <c r="EF708" i="9"/>
  <c r="EE708" i="9"/>
  <c r="ED708" i="9"/>
  <c r="EC708" i="9"/>
  <c r="EB708" i="9"/>
  <c r="EA708" i="9"/>
  <c r="DZ708" i="9"/>
  <c r="DY708" i="9"/>
  <c r="DX708" i="9"/>
  <c r="DW708" i="9"/>
  <c r="DV708" i="9"/>
  <c r="DU708" i="9"/>
  <c r="DT708" i="9"/>
  <c r="DS708" i="9"/>
  <c r="DR708" i="9"/>
  <c r="DQ708" i="9"/>
  <c r="DP708" i="9"/>
  <c r="DO708" i="9"/>
  <c r="DN708" i="9"/>
  <c r="DM708" i="9"/>
  <c r="DL708" i="9"/>
  <c r="DK708" i="9"/>
  <c r="DJ708" i="9"/>
  <c r="DI708" i="9"/>
  <c r="DH708" i="9"/>
  <c r="DG708" i="9"/>
  <c r="DF708" i="9"/>
  <c r="DE708" i="9"/>
  <c r="DD708" i="9"/>
  <c r="DC708" i="9"/>
  <c r="DB708" i="9"/>
  <c r="DA708" i="9"/>
  <c r="CZ708" i="9"/>
  <c r="CY708" i="9"/>
  <c r="CX708" i="9"/>
  <c r="CW708" i="9"/>
  <c r="CV708" i="9"/>
  <c r="CU708" i="9"/>
  <c r="CT708" i="9"/>
  <c r="CS708" i="9"/>
  <c r="CR708" i="9"/>
  <c r="CQ708" i="9"/>
  <c r="CP708" i="9"/>
  <c r="CO708" i="9"/>
  <c r="CN708" i="9"/>
  <c r="CM708" i="9"/>
  <c r="CL708" i="9"/>
  <c r="CK708" i="9"/>
  <c r="CJ708" i="9"/>
  <c r="CI708" i="9"/>
  <c r="CH708" i="9"/>
  <c r="CG708" i="9"/>
  <c r="CF708" i="9"/>
  <c r="CE708" i="9"/>
  <c r="CD708" i="9"/>
  <c r="CC708" i="9"/>
  <c r="CB708" i="9"/>
  <c r="EI707" i="9"/>
  <c r="EH707" i="9"/>
  <c r="EG707" i="9"/>
  <c r="EF707" i="9"/>
  <c r="EE707" i="9"/>
  <c r="ED707" i="9"/>
  <c r="EC707" i="9"/>
  <c r="EB707" i="9"/>
  <c r="EA707" i="9"/>
  <c r="DZ707" i="9"/>
  <c r="DY707" i="9"/>
  <c r="DX707" i="9"/>
  <c r="DW707" i="9"/>
  <c r="DV707" i="9"/>
  <c r="DU707" i="9"/>
  <c r="DT707" i="9"/>
  <c r="DS707" i="9"/>
  <c r="DR707" i="9"/>
  <c r="DQ707" i="9"/>
  <c r="DP707" i="9"/>
  <c r="DO707" i="9"/>
  <c r="DN707" i="9"/>
  <c r="DM707" i="9"/>
  <c r="DL707" i="9"/>
  <c r="DK707" i="9"/>
  <c r="DJ707" i="9"/>
  <c r="DI707" i="9"/>
  <c r="DH707" i="9"/>
  <c r="DG707" i="9"/>
  <c r="DF707" i="9"/>
  <c r="DE707" i="9"/>
  <c r="DD707" i="9"/>
  <c r="DC707" i="9"/>
  <c r="DB707" i="9"/>
  <c r="DA707" i="9"/>
  <c r="CZ707" i="9"/>
  <c r="CY707" i="9"/>
  <c r="CX707" i="9"/>
  <c r="CW707" i="9"/>
  <c r="CV707" i="9"/>
  <c r="CU707" i="9"/>
  <c r="CT707" i="9"/>
  <c r="CS707" i="9"/>
  <c r="CR707" i="9"/>
  <c r="CQ707" i="9"/>
  <c r="CP707" i="9"/>
  <c r="CO707" i="9"/>
  <c r="CN707" i="9"/>
  <c r="CM707" i="9"/>
  <c r="CL707" i="9"/>
  <c r="CK707" i="9"/>
  <c r="CJ707" i="9"/>
  <c r="CI707" i="9"/>
  <c r="CH707" i="9"/>
  <c r="CG707" i="9"/>
  <c r="CF707" i="9"/>
  <c r="CE707" i="9"/>
  <c r="CD707" i="9"/>
  <c r="CC707" i="9"/>
  <c r="CB707" i="9"/>
  <c r="EI706" i="9"/>
  <c r="EH706" i="9"/>
  <c r="EG706" i="9"/>
  <c r="EF706" i="9"/>
  <c r="EE706" i="9"/>
  <c r="ED706" i="9"/>
  <c r="EC706" i="9"/>
  <c r="EB706" i="9"/>
  <c r="EA706" i="9"/>
  <c r="DZ706" i="9"/>
  <c r="DY706" i="9"/>
  <c r="DX706" i="9"/>
  <c r="DW706" i="9"/>
  <c r="DV706" i="9"/>
  <c r="DU706" i="9"/>
  <c r="DT706" i="9"/>
  <c r="DS706" i="9"/>
  <c r="DR706" i="9"/>
  <c r="DQ706" i="9"/>
  <c r="DP706" i="9"/>
  <c r="DO706" i="9"/>
  <c r="DN706" i="9"/>
  <c r="DM706" i="9"/>
  <c r="DL706" i="9"/>
  <c r="DK706" i="9"/>
  <c r="DJ706" i="9"/>
  <c r="DI706" i="9"/>
  <c r="DH706" i="9"/>
  <c r="DG706" i="9"/>
  <c r="DF706" i="9"/>
  <c r="DE706" i="9"/>
  <c r="DD706" i="9"/>
  <c r="DC706" i="9"/>
  <c r="DB706" i="9"/>
  <c r="DA706" i="9"/>
  <c r="CZ706" i="9"/>
  <c r="CY706" i="9"/>
  <c r="CX706" i="9"/>
  <c r="CW706" i="9"/>
  <c r="CV706" i="9"/>
  <c r="CU706" i="9"/>
  <c r="CT706" i="9"/>
  <c r="CS706" i="9"/>
  <c r="CR706" i="9"/>
  <c r="CQ706" i="9"/>
  <c r="CP706" i="9"/>
  <c r="CO706" i="9"/>
  <c r="CN706" i="9"/>
  <c r="CM706" i="9"/>
  <c r="CL706" i="9"/>
  <c r="CK706" i="9"/>
  <c r="CJ706" i="9"/>
  <c r="CI706" i="9"/>
  <c r="CH706" i="9"/>
  <c r="CG706" i="9"/>
  <c r="CF706" i="9"/>
  <c r="CE706" i="9"/>
  <c r="CD706" i="9"/>
  <c r="CC706" i="9"/>
  <c r="CB706" i="9"/>
  <c r="EI705" i="9"/>
  <c r="EH705" i="9"/>
  <c r="EG705" i="9"/>
  <c r="EF705" i="9"/>
  <c r="EE705" i="9"/>
  <c r="ED705" i="9"/>
  <c r="EC705" i="9"/>
  <c r="EB705" i="9"/>
  <c r="EA705" i="9"/>
  <c r="DZ705" i="9"/>
  <c r="DY705" i="9"/>
  <c r="DX705" i="9"/>
  <c r="DW705" i="9"/>
  <c r="DV705" i="9"/>
  <c r="DU705" i="9"/>
  <c r="DT705" i="9"/>
  <c r="DS705" i="9"/>
  <c r="DR705" i="9"/>
  <c r="DQ705" i="9"/>
  <c r="DP705" i="9"/>
  <c r="DO705" i="9"/>
  <c r="DN705" i="9"/>
  <c r="DM705" i="9"/>
  <c r="DL705" i="9"/>
  <c r="DK705" i="9"/>
  <c r="DJ705" i="9"/>
  <c r="DI705" i="9"/>
  <c r="DH705" i="9"/>
  <c r="DG705" i="9"/>
  <c r="DF705" i="9"/>
  <c r="DE705" i="9"/>
  <c r="DD705" i="9"/>
  <c r="DC705" i="9"/>
  <c r="DB705" i="9"/>
  <c r="DA705" i="9"/>
  <c r="CZ705" i="9"/>
  <c r="CY705" i="9"/>
  <c r="CX705" i="9"/>
  <c r="CW705" i="9"/>
  <c r="CV705" i="9"/>
  <c r="CU705" i="9"/>
  <c r="CT705" i="9"/>
  <c r="CS705" i="9"/>
  <c r="CR705" i="9"/>
  <c r="CQ705" i="9"/>
  <c r="CP705" i="9"/>
  <c r="CO705" i="9"/>
  <c r="CN705" i="9"/>
  <c r="CM705" i="9"/>
  <c r="CL705" i="9"/>
  <c r="CK705" i="9"/>
  <c r="CJ705" i="9"/>
  <c r="CI705" i="9"/>
  <c r="CH705" i="9"/>
  <c r="CG705" i="9"/>
  <c r="CF705" i="9"/>
  <c r="CE705" i="9"/>
  <c r="CD705" i="9"/>
  <c r="CC705" i="9"/>
  <c r="CB705" i="9"/>
  <c r="EI704" i="9"/>
  <c r="EH704" i="9"/>
  <c r="EG704" i="9"/>
  <c r="EF704" i="9"/>
  <c r="EE704" i="9"/>
  <c r="ED704" i="9"/>
  <c r="EC704" i="9"/>
  <c r="EB704" i="9"/>
  <c r="EA704" i="9"/>
  <c r="DZ704" i="9"/>
  <c r="DY704" i="9"/>
  <c r="DX704" i="9"/>
  <c r="DW704" i="9"/>
  <c r="DV704" i="9"/>
  <c r="DU704" i="9"/>
  <c r="DT704" i="9"/>
  <c r="DS704" i="9"/>
  <c r="DR704" i="9"/>
  <c r="DQ704" i="9"/>
  <c r="DP704" i="9"/>
  <c r="DO704" i="9"/>
  <c r="DN704" i="9"/>
  <c r="DM704" i="9"/>
  <c r="DL704" i="9"/>
  <c r="DK704" i="9"/>
  <c r="DJ704" i="9"/>
  <c r="DI704" i="9"/>
  <c r="DH704" i="9"/>
  <c r="DG704" i="9"/>
  <c r="DF704" i="9"/>
  <c r="DE704" i="9"/>
  <c r="DD704" i="9"/>
  <c r="DC704" i="9"/>
  <c r="DB704" i="9"/>
  <c r="DA704" i="9"/>
  <c r="CZ704" i="9"/>
  <c r="CY704" i="9"/>
  <c r="CX704" i="9"/>
  <c r="CW704" i="9"/>
  <c r="CV704" i="9"/>
  <c r="CU704" i="9"/>
  <c r="CT704" i="9"/>
  <c r="CS704" i="9"/>
  <c r="CR704" i="9"/>
  <c r="CQ704" i="9"/>
  <c r="CP704" i="9"/>
  <c r="CO704" i="9"/>
  <c r="CN704" i="9"/>
  <c r="CM704" i="9"/>
  <c r="CL704" i="9"/>
  <c r="CK704" i="9"/>
  <c r="CJ704" i="9"/>
  <c r="CI704" i="9"/>
  <c r="CH704" i="9"/>
  <c r="CG704" i="9"/>
  <c r="CF704" i="9"/>
  <c r="CE704" i="9"/>
  <c r="CD704" i="9"/>
  <c r="CC704" i="9"/>
  <c r="CB704" i="9"/>
  <c r="EI703" i="9"/>
  <c r="EH703" i="9"/>
  <c r="EG703" i="9"/>
  <c r="EF703" i="9"/>
  <c r="EE703" i="9"/>
  <c r="ED703" i="9"/>
  <c r="EC703" i="9"/>
  <c r="EB703" i="9"/>
  <c r="EA703" i="9"/>
  <c r="DZ703" i="9"/>
  <c r="DY703" i="9"/>
  <c r="DX703" i="9"/>
  <c r="DW703" i="9"/>
  <c r="DV703" i="9"/>
  <c r="DU703" i="9"/>
  <c r="DT703" i="9"/>
  <c r="DS703" i="9"/>
  <c r="DR703" i="9"/>
  <c r="DQ703" i="9"/>
  <c r="DP703" i="9"/>
  <c r="DO703" i="9"/>
  <c r="DN703" i="9"/>
  <c r="DM703" i="9"/>
  <c r="DL703" i="9"/>
  <c r="DK703" i="9"/>
  <c r="DJ703" i="9"/>
  <c r="DI703" i="9"/>
  <c r="DH703" i="9"/>
  <c r="DG703" i="9"/>
  <c r="DF703" i="9"/>
  <c r="DE703" i="9"/>
  <c r="DD703" i="9"/>
  <c r="DC703" i="9"/>
  <c r="DB703" i="9"/>
  <c r="DA703" i="9"/>
  <c r="CZ703" i="9"/>
  <c r="CY703" i="9"/>
  <c r="CX703" i="9"/>
  <c r="CW703" i="9"/>
  <c r="CV703" i="9"/>
  <c r="CU703" i="9"/>
  <c r="CT703" i="9"/>
  <c r="CS703" i="9"/>
  <c r="CR703" i="9"/>
  <c r="CQ703" i="9"/>
  <c r="CP703" i="9"/>
  <c r="CO703" i="9"/>
  <c r="CN703" i="9"/>
  <c r="CM703" i="9"/>
  <c r="CL703" i="9"/>
  <c r="CK703" i="9"/>
  <c r="CJ703" i="9"/>
  <c r="CI703" i="9"/>
  <c r="CH703" i="9"/>
  <c r="CG703" i="9"/>
  <c r="CF703" i="9"/>
  <c r="CE703" i="9"/>
  <c r="CD703" i="9"/>
  <c r="CC703" i="9"/>
  <c r="CB703" i="9"/>
  <c r="EI702" i="9"/>
  <c r="EH702" i="9"/>
  <c r="EG702" i="9"/>
  <c r="EF702" i="9"/>
  <c r="EE702" i="9"/>
  <c r="ED702" i="9"/>
  <c r="EC702" i="9"/>
  <c r="EB702" i="9"/>
  <c r="EA702" i="9"/>
  <c r="DZ702" i="9"/>
  <c r="DY702" i="9"/>
  <c r="DX702" i="9"/>
  <c r="DW702" i="9"/>
  <c r="DV702" i="9"/>
  <c r="DU702" i="9"/>
  <c r="DT702" i="9"/>
  <c r="DS702" i="9"/>
  <c r="DR702" i="9"/>
  <c r="DQ702" i="9"/>
  <c r="DP702" i="9"/>
  <c r="DO702" i="9"/>
  <c r="DN702" i="9"/>
  <c r="DM702" i="9"/>
  <c r="DL702" i="9"/>
  <c r="DK702" i="9"/>
  <c r="DJ702" i="9"/>
  <c r="DI702" i="9"/>
  <c r="DH702" i="9"/>
  <c r="DG702" i="9"/>
  <c r="DF702" i="9"/>
  <c r="DE702" i="9"/>
  <c r="DD702" i="9"/>
  <c r="DC702" i="9"/>
  <c r="DB702" i="9"/>
  <c r="DA702" i="9"/>
  <c r="CZ702" i="9"/>
  <c r="CY702" i="9"/>
  <c r="CX702" i="9"/>
  <c r="CW702" i="9"/>
  <c r="CV702" i="9"/>
  <c r="CU702" i="9"/>
  <c r="CT702" i="9"/>
  <c r="CS702" i="9"/>
  <c r="CR702" i="9"/>
  <c r="CQ702" i="9"/>
  <c r="CP702" i="9"/>
  <c r="CO702" i="9"/>
  <c r="CN702" i="9"/>
  <c r="CM702" i="9"/>
  <c r="CL702" i="9"/>
  <c r="CK702" i="9"/>
  <c r="CJ702" i="9"/>
  <c r="CI702" i="9"/>
  <c r="CH702" i="9"/>
  <c r="CG702" i="9"/>
  <c r="CF702" i="9"/>
  <c r="CE702" i="9"/>
  <c r="CD702" i="9"/>
  <c r="CC702" i="9"/>
  <c r="CB702" i="9"/>
  <c r="EI701" i="9"/>
  <c r="EH701" i="9"/>
  <c r="EG701" i="9"/>
  <c r="EF701" i="9"/>
  <c r="EE701" i="9"/>
  <c r="ED701" i="9"/>
  <c r="EC701" i="9"/>
  <c r="EB701" i="9"/>
  <c r="EA701" i="9"/>
  <c r="DZ701" i="9"/>
  <c r="DY701" i="9"/>
  <c r="DX701" i="9"/>
  <c r="DW701" i="9"/>
  <c r="DV701" i="9"/>
  <c r="DU701" i="9"/>
  <c r="DT701" i="9"/>
  <c r="DS701" i="9"/>
  <c r="DR701" i="9"/>
  <c r="DQ701" i="9"/>
  <c r="DP701" i="9"/>
  <c r="DO701" i="9"/>
  <c r="DN701" i="9"/>
  <c r="DM701" i="9"/>
  <c r="DL701" i="9"/>
  <c r="DK701" i="9"/>
  <c r="DJ701" i="9"/>
  <c r="DI701" i="9"/>
  <c r="DH701" i="9"/>
  <c r="DG701" i="9"/>
  <c r="DF701" i="9"/>
  <c r="DE701" i="9"/>
  <c r="DD701" i="9"/>
  <c r="DC701" i="9"/>
  <c r="DB701" i="9"/>
  <c r="DA701" i="9"/>
  <c r="CZ701" i="9"/>
  <c r="CY701" i="9"/>
  <c r="CX701" i="9"/>
  <c r="CW701" i="9"/>
  <c r="CV701" i="9"/>
  <c r="CU701" i="9"/>
  <c r="CT701" i="9"/>
  <c r="CS701" i="9"/>
  <c r="CR701" i="9"/>
  <c r="CQ701" i="9"/>
  <c r="CP701" i="9"/>
  <c r="CO701" i="9"/>
  <c r="CN701" i="9"/>
  <c r="CM701" i="9"/>
  <c r="CL701" i="9"/>
  <c r="CK701" i="9"/>
  <c r="CJ701" i="9"/>
  <c r="CI701" i="9"/>
  <c r="CH701" i="9"/>
  <c r="CG701" i="9"/>
  <c r="CF701" i="9"/>
  <c r="CE701" i="9"/>
  <c r="CD701" i="9"/>
  <c r="CC701" i="9"/>
  <c r="CB701" i="9"/>
  <c r="EI700" i="9"/>
  <c r="EH700" i="9"/>
  <c r="EG700" i="9"/>
  <c r="EF700" i="9"/>
  <c r="EE700" i="9"/>
  <c r="ED700" i="9"/>
  <c r="EC700" i="9"/>
  <c r="EB700" i="9"/>
  <c r="EA700" i="9"/>
  <c r="DZ700" i="9"/>
  <c r="DY700" i="9"/>
  <c r="DX700" i="9"/>
  <c r="DW700" i="9"/>
  <c r="DV700" i="9"/>
  <c r="DU700" i="9"/>
  <c r="DT700" i="9"/>
  <c r="DS700" i="9"/>
  <c r="DR700" i="9"/>
  <c r="DQ700" i="9"/>
  <c r="DP700" i="9"/>
  <c r="DO700" i="9"/>
  <c r="DN700" i="9"/>
  <c r="DM700" i="9"/>
  <c r="DL700" i="9"/>
  <c r="DK700" i="9"/>
  <c r="DJ700" i="9"/>
  <c r="DI700" i="9"/>
  <c r="DH700" i="9"/>
  <c r="DG700" i="9"/>
  <c r="DF700" i="9"/>
  <c r="DE700" i="9"/>
  <c r="DD700" i="9"/>
  <c r="DC700" i="9"/>
  <c r="DB700" i="9"/>
  <c r="DA700" i="9"/>
  <c r="CZ700" i="9"/>
  <c r="CY700" i="9"/>
  <c r="CX700" i="9"/>
  <c r="CW700" i="9"/>
  <c r="CV700" i="9"/>
  <c r="CU700" i="9"/>
  <c r="CT700" i="9"/>
  <c r="CS700" i="9"/>
  <c r="CR700" i="9"/>
  <c r="CQ700" i="9"/>
  <c r="CP700" i="9"/>
  <c r="CO700" i="9"/>
  <c r="CN700" i="9"/>
  <c r="CM700" i="9"/>
  <c r="CL700" i="9"/>
  <c r="CK700" i="9"/>
  <c r="CJ700" i="9"/>
  <c r="CI700" i="9"/>
  <c r="CH700" i="9"/>
  <c r="CG700" i="9"/>
  <c r="CF700" i="9"/>
  <c r="CE700" i="9"/>
  <c r="CD700" i="9"/>
  <c r="CC700" i="9"/>
  <c r="CB700" i="9"/>
  <c r="EI699" i="9"/>
  <c r="EH699" i="9"/>
  <c r="EG699" i="9"/>
  <c r="EF699" i="9"/>
  <c r="EE699" i="9"/>
  <c r="ED699" i="9"/>
  <c r="EC699" i="9"/>
  <c r="EB699" i="9"/>
  <c r="EA699" i="9"/>
  <c r="DZ699" i="9"/>
  <c r="DY699" i="9"/>
  <c r="DX699" i="9"/>
  <c r="DW699" i="9"/>
  <c r="DV699" i="9"/>
  <c r="DU699" i="9"/>
  <c r="DT699" i="9"/>
  <c r="DS699" i="9"/>
  <c r="DR699" i="9"/>
  <c r="DQ699" i="9"/>
  <c r="DP699" i="9"/>
  <c r="DO699" i="9"/>
  <c r="DN699" i="9"/>
  <c r="DM699" i="9"/>
  <c r="DL699" i="9"/>
  <c r="DK699" i="9"/>
  <c r="DJ699" i="9"/>
  <c r="DI699" i="9"/>
  <c r="DH699" i="9"/>
  <c r="DG699" i="9"/>
  <c r="DF699" i="9"/>
  <c r="DE699" i="9"/>
  <c r="DD699" i="9"/>
  <c r="DC699" i="9"/>
  <c r="DB699" i="9"/>
  <c r="DA699" i="9"/>
  <c r="CZ699" i="9"/>
  <c r="CY699" i="9"/>
  <c r="CX699" i="9"/>
  <c r="CW699" i="9"/>
  <c r="CV699" i="9"/>
  <c r="CU699" i="9"/>
  <c r="CT699" i="9"/>
  <c r="CS699" i="9"/>
  <c r="CR699" i="9"/>
  <c r="CQ699" i="9"/>
  <c r="CP699" i="9"/>
  <c r="CO699" i="9"/>
  <c r="CN699" i="9"/>
  <c r="CM699" i="9"/>
  <c r="CL699" i="9"/>
  <c r="CK699" i="9"/>
  <c r="CJ699" i="9"/>
  <c r="CI699" i="9"/>
  <c r="CH699" i="9"/>
  <c r="CG699" i="9"/>
  <c r="CF699" i="9"/>
  <c r="CE699" i="9"/>
  <c r="CD699" i="9"/>
  <c r="CC699" i="9"/>
  <c r="CB699" i="9"/>
  <c r="EI698" i="9"/>
  <c r="EH698" i="9"/>
  <c r="EG698" i="9"/>
  <c r="EF698" i="9"/>
  <c r="EE698" i="9"/>
  <c r="ED698" i="9"/>
  <c r="EC698" i="9"/>
  <c r="EB698" i="9"/>
  <c r="EA698" i="9"/>
  <c r="DZ698" i="9"/>
  <c r="DY698" i="9"/>
  <c r="DX698" i="9"/>
  <c r="DW698" i="9"/>
  <c r="DV698" i="9"/>
  <c r="DU698" i="9"/>
  <c r="DT698" i="9"/>
  <c r="DS698" i="9"/>
  <c r="DR698" i="9"/>
  <c r="DQ698" i="9"/>
  <c r="DP698" i="9"/>
  <c r="DO698" i="9"/>
  <c r="DN698" i="9"/>
  <c r="DM698" i="9"/>
  <c r="DL698" i="9"/>
  <c r="DK698" i="9"/>
  <c r="DJ698" i="9"/>
  <c r="DI698" i="9"/>
  <c r="DH698" i="9"/>
  <c r="DG698" i="9"/>
  <c r="DF698" i="9"/>
  <c r="DE698" i="9"/>
  <c r="DD698" i="9"/>
  <c r="DC698" i="9"/>
  <c r="DB698" i="9"/>
  <c r="DA698" i="9"/>
  <c r="CZ698" i="9"/>
  <c r="CY698" i="9"/>
  <c r="CX698" i="9"/>
  <c r="CW698" i="9"/>
  <c r="CV698" i="9"/>
  <c r="CU698" i="9"/>
  <c r="CT698" i="9"/>
  <c r="CS698" i="9"/>
  <c r="CR698" i="9"/>
  <c r="CQ698" i="9"/>
  <c r="CP698" i="9"/>
  <c r="CO698" i="9"/>
  <c r="CN698" i="9"/>
  <c r="CM698" i="9"/>
  <c r="CL698" i="9"/>
  <c r="CK698" i="9"/>
  <c r="CJ698" i="9"/>
  <c r="CI698" i="9"/>
  <c r="CH698" i="9"/>
  <c r="CG698" i="9"/>
  <c r="CF698" i="9"/>
  <c r="CE698" i="9"/>
  <c r="CD698" i="9"/>
  <c r="CC698" i="9"/>
  <c r="CB698" i="9"/>
  <c r="AT3" i="9"/>
  <c r="AU3" i="9"/>
  <c r="AV3" i="9"/>
  <c r="AW3" i="9"/>
  <c r="AX3" i="9"/>
  <c r="AY3" i="9"/>
  <c r="AZ3" i="9"/>
  <c r="BA3" i="9"/>
  <c r="BB3" i="9"/>
  <c r="BC3" i="9"/>
  <c r="BD3" i="9"/>
  <c r="BE3" i="9"/>
  <c r="BF3" i="9"/>
  <c r="BG3" i="9"/>
  <c r="BH3" i="9"/>
  <c r="BI3" i="9"/>
  <c r="BJ3" i="9"/>
  <c r="BK3" i="9"/>
  <c r="BL3" i="9"/>
  <c r="BM3" i="9"/>
  <c r="BN3" i="9"/>
  <c r="BO3" i="9"/>
  <c r="BO77" i="9" s="1" a="1"/>
  <c r="BO77" i="9" s="1"/>
  <c r="BP3" i="9"/>
  <c r="BP77" i="9" s="1" a="1"/>
  <c r="BP77" i="9" s="1"/>
  <c r="BQ3" i="9"/>
  <c r="BQ77" i="9" s="1" a="1"/>
  <c r="BQ77" i="9" s="1"/>
  <c r="BR3" i="9"/>
  <c r="BR25" i="9" s="1"/>
  <c r="AT4" i="9"/>
  <c r="AT26" i="9" s="1"/>
  <c r="AU4" i="9"/>
  <c r="AV4" i="9"/>
  <c r="AW4" i="9"/>
  <c r="AW26" i="9" s="1"/>
  <c r="AX4" i="9"/>
  <c r="AY4" i="9"/>
  <c r="AY26" i="9" s="1"/>
  <c r="AZ4" i="9"/>
  <c r="AZ78" i="9" s="1" a="1"/>
  <c r="AZ78" i="9" s="1"/>
  <c r="BA4" i="9"/>
  <c r="BA26" i="9" s="1"/>
  <c r="BB4" i="9"/>
  <c r="BB26" i="9" s="1"/>
  <c r="BC4" i="9"/>
  <c r="BD4" i="9"/>
  <c r="BE4" i="9"/>
  <c r="BE26" i="9" s="1"/>
  <c r="BF4" i="9"/>
  <c r="BF26" i="9" s="1"/>
  <c r="BG4" i="9"/>
  <c r="BG78" i="9" s="1" a="1"/>
  <c r="BG78" i="9" s="1"/>
  <c r="BH4" i="9"/>
  <c r="BH78" i="9" s="1" a="1"/>
  <c r="BH78" i="9" s="1"/>
  <c r="BI4" i="9"/>
  <c r="BI26" i="9" s="1"/>
  <c r="BJ4" i="9"/>
  <c r="BJ26" i="9" s="1"/>
  <c r="BK4" i="9"/>
  <c r="BK26" i="9" s="1"/>
  <c r="BL4" i="9"/>
  <c r="BM4" i="9"/>
  <c r="BM26" i="9" s="1"/>
  <c r="BN4" i="9"/>
  <c r="BO4" i="9"/>
  <c r="BO78" i="9" s="1" a="1"/>
  <c r="BO78" i="9" s="1"/>
  <c r="BP4" i="9"/>
  <c r="BP78" i="9" s="1" a="1"/>
  <c r="BP78" i="9" s="1"/>
  <c r="BQ4" i="9"/>
  <c r="BQ26" i="9" s="1"/>
  <c r="BR4" i="9"/>
  <c r="BR26" i="9" s="1"/>
  <c r="AT5" i="9"/>
  <c r="AU5" i="9"/>
  <c r="AV5" i="9"/>
  <c r="AV27" i="9" s="1"/>
  <c r="AW5" i="9"/>
  <c r="AW79" i="9" s="1" a="1"/>
  <c r="AW79" i="9" s="1"/>
  <c r="AX5" i="9"/>
  <c r="AX79" i="9" s="1" a="1"/>
  <c r="AX79" i="9" s="1"/>
  <c r="AY5" i="9"/>
  <c r="AY79" i="9" s="1" a="1"/>
  <c r="AY79" i="9" s="1"/>
  <c r="AZ5" i="9"/>
  <c r="AZ27" i="9" s="1"/>
  <c r="BA5" i="9"/>
  <c r="BA27" i="9" s="1"/>
  <c r="BB5" i="9"/>
  <c r="BB27" i="9" s="1"/>
  <c r="BC5" i="9"/>
  <c r="BD5" i="9"/>
  <c r="BD27" i="9" s="1"/>
  <c r="BE5" i="9"/>
  <c r="BE27" i="9" s="1"/>
  <c r="BF5" i="9"/>
  <c r="BF79" i="9" s="1" a="1"/>
  <c r="BF79" i="9" s="1"/>
  <c r="BG5" i="9"/>
  <c r="BG79" i="9" s="1" a="1"/>
  <c r="BG79" i="9" s="1"/>
  <c r="BH5" i="9"/>
  <c r="BH27" i="9" s="1"/>
  <c r="BI5" i="9"/>
  <c r="BI27" i="9" s="1"/>
  <c r="BJ5" i="9"/>
  <c r="BK5" i="9"/>
  <c r="BL5" i="9"/>
  <c r="BL27" i="9" s="1"/>
  <c r="BM5" i="9"/>
  <c r="BM79" i="9" s="1" a="1"/>
  <c r="BM79" i="9" s="1"/>
  <c r="BN5" i="9"/>
  <c r="BN79" i="9" s="1" a="1"/>
  <c r="BN79" i="9" s="1"/>
  <c r="BO5" i="9"/>
  <c r="BO79" i="9" s="1" a="1"/>
  <c r="BO79" i="9" s="1"/>
  <c r="BP5" i="9"/>
  <c r="BP27" i="9" s="1"/>
  <c r="BQ5" i="9"/>
  <c r="BQ27" i="9" s="1"/>
  <c r="BR5" i="9"/>
  <c r="AT6" i="9"/>
  <c r="AU6" i="9"/>
  <c r="AU28" i="9" s="1"/>
  <c r="AV6" i="9"/>
  <c r="AW6" i="9"/>
  <c r="AW80" i="9" s="1" a="1"/>
  <c r="AW80" i="9" s="1"/>
  <c r="AX6" i="9"/>
  <c r="AX80" i="9" s="1" a="1"/>
  <c r="AX80" i="9" s="1"/>
  <c r="AY6" i="9"/>
  <c r="AY28" i="9" s="1"/>
  <c r="AZ6" i="9"/>
  <c r="AZ28" i="9" s="1"/>
  <c r="BA6" i="9"/>
  <c r="BB6" i="9"/>
  <c r="BC6" i="9"/>
  <c r="BC28" i="9" s="1"/>
  <c r="BD6" i="9"/>
  <c r="BE6" i="9"/>
  <c r="BE80" i="9" s="1" a="1"/>
  <c r="BE80" i="9" s="1"/>
  <c r="BF6" i="9"/>
  <c r="BF80" i="9" s="1" a="1"/>
  <c r="BF80" i="9" s="1"/>
  <c r="BG6" i="9"/>
  <c r="BG28" i="9" s="1"/>
  <c r="BH6" i="9"/>
  <c r="BH28" i="9" s="1"/>
  <c r="BI6" i="9"/>
  <c r="BJ6" i="9"/>
  <c r="BK6" i="9"/>
  <c r="BK28" i="9" s="1"/>
  <c r="BL6" i="9"/>
  <c r="BM6" i="9"/>
  <c r="BM80" i="9" s="1" a="1"/>
  <c r="BM80" i="9" s="1"/>
  <c r="BN6" i="9"/>
  <c r="BN80" i="9" s="1" a="1"/>
  <c r="BN80" i="9" s="1"/>
  <c r="BO6" i="9"/>
  <c r="BO28" i="9" s="1"/>
  <c r="BP6" i="9"/>
  <c r="BP28" i="9" s="1"/>
  <c r="BQ6" i="9"/>
  <c r="BR6" i="9"/>
  <c r="BR28" i="9" s="1"/>
  <c r="AT7" i="9"/>
  <c r="AT29" i="9" s="1"/>
  <c r="AU7" i="9"/>
  <c r="AV7" i="9"/>
  <c r="AV81" i="9" s="1" a="1"/>
  <c r="AV81" i="9" s="1"/>
  <c r="AW7" i="9"/>
  <c r="AW81" i="9" s="1" a="1"/>
  <c r="AW81" i="9" s="1"/>
  <c r="AX7" i="9"/>
  <c r="AX29" i="9" s="1"/>
  <c r="AY7" i="9"/>
  <c r="AY29" i="9" s="1"/>
  <c r="AZ7" i="9"/>
  <c r="BA7" i="9"/>
  <c r="BB7" i="9"/>
  <c r="BB29" i="9" s="1"/>
  <c r="BC7" i="9"/>
  <c r="BD7" i="9"/>
  <c r="BD29" i="9" s="1"/>
  <c r="BE7" i="9"/>
  <c r="BE29" i="9" s="1"/>
  <c r="BF7" i="9"/>
  <c r="BF29" i="9" s="1"/>
  <c r="BG7" i="9"/>
  <c r="BG29" i="9" s="1"/>
  <c r="BH7" i="9"/>
  <c r="BI7" i="9"/>
  <c r="BJ7" i="9"/>
  <c r="BJ29" i="9" s="1"/>
  <c r="BK7" i="9"/>
  <c r="BK29" i="9" s="1"/>
  <c r="BL7" i="9"/>
  <c r="BL29" i="9" s="1"/>
  <c r="BM7" i="9"/>
  <c r="BM81" i="9" s="1" a="1"/>
  <c r="BM81" i="9" s="1"/>
  <c r="BN7" i="9"/>
  <c r="BN29" i="9" s="1"/>
  <c r="BO7" i="9"/>
  <c r="BO29" i="9" s="1"/>
  <c r="BP7" i="9"/>
  <c r="BQ7" i="9"/>
  <c r="BR7" i="9"/>
  <c r="BR29" i="9" s="1"/>
  <c r="AT8" i="9"/>
  <c r="AU8" i="9"/>
  <c r="AU30" i="9" s="1"/>
  <c r="AV8" i="9"/>
  <c r="AV82" i="9" s="1" a="1"/>
  <c r="AV82" i="9" s="1"/>
  <c r="AW8" i="9"/>
  <c r="AW30" i="9" s="1"/>
  <c r="AX8" i="9"/>
  <c r="AX30" i="9" s="1"/>
  <c r="AY8" i="9"/>
  <c r="AZ8" i="9"/>
  <c r="AZ30" i="9" s="1"/>
  <c r="BA8" i="9"/>
  <c r="BA30" i="9" s="1"/>
  <c r="BB8" i="9"/>
  <c r="BB82" i="9" s="1" a="1"/>
  <c r="BB82" i="9" s="1"/>
  <c r="BC8" i="9"/>
  <c r="BC30" i="9" s="1"/>
  <c r="BD8" i="9"/>
  <c r="BD82" i="9" s="1" a="1"/>
  <c r="BD82" i="9" s="1"/>
  <c r="BE8" i="9"/>
  <c r="BE30" i="9" s="1"/>
  <c r="BF8" i="9"/>
  <c r="BF30" i="9" s="1"/>
  <c r="BG8" i="9"/>
  <c r="BH8" i="9"/>
  <c r="BH30" i="9" s="1"/>
  <c r="BI8" i="9"/>
  <c r="BI30" i="9" s="1"/>
  <c r="BJ8" i="9"/>
  <c r="BK8" i="9"/>
  <c r="BK30" i="9" s="1"/>
  <c r="BL8" i="9"/>
  <c r="BL82" i="9" s="1" a="1"/>
  <c r="BL82" i="9" s="1"/>
  <c r="BM8" i="9"/>
  <c r="BM30" i="9" s="1"/>
  <c r="BN8" i="9"/>
  <c r="BN30" i="9" s="1"/>
  <c r="BO8" i="9"/>
  <c r="BP8" i="9"/>
  <c r="BQ8" i="9"/>
  <c r="BQ30" i="9" s="1"/>
  <c r="BR8" i="9"/>
  <c r="BR30" i="9" s="1"/>
  <c r="AT9" i="9"/>
  <c r="AT31" i="9" s="1"/>
  <c r="AU9" i="9"/>
  <c r="AU83" i="9" s="1" a="1"/>
  <c r="AU83" i="9" s="1"/>
  <c r="AV9" i="9"/>
  <c r="AV31" i="9" s="1"/>
  <c r="AW9" i="9"/>
  <c r="AW31" i="9" s="1"/>
  <c r="AX9" i="9"/>
  <c r="AY9" i="9"/>
  <c r="AZ9" i="9"/>
  <c r="AZ31" i="9" s="1"/>
  <c r="BA9" i="9"/>
  <c r="BB9" i="9"/>
  <c r="BB31" i="9" s="1"/>
  <c r="BC9" i="9"/>
  <c r="BC83" i="9" s="1" a="1"/>
  <c r="BC83" i="9" s="1"/>
  <c r="BD9" i="9"/>
  <c r="BD31" i="9" s="1"/>
  <c r="BE9" i="9"/>
  <c r="BE31" i="9" s="1"/>
  <c r="BF9" i="9"/>
  <c r="BG9" i="9"/>
  <c r="BH9" i="9"/>
  <c r="BH31" i="9" s="1"/>
  <c r="BI9" i="9"/>
  <c r="BJ9" i="9"/>
  <c r="BJ31" i="9" s="1"/>
  <c r="BK9" i="9"/>
  <c r="BK83" i="9" s="1" a="1"/>
  <c r="BK83" i="9" s="1"/>
  <c r="BL9" i="9"/>
  <c r="BL31" i="9" s="1"/>
  <c r="BM9" i="9"/>
  <c r="BM31" i="9" s="1"/>
  <c r="BN9" i="9"/>
  <c r="BO9" i="9"/>
  <c r="BP9" i="9"/>
  <c r="BP31" i="9" s="1"/>
  <c r="BQ9" i="9"/>
  <c r="BR9" i="9"/>
  <c r="BR31" i="9" s="1"/>
  <c r="AT10" i="9"/>
  <c r="AT84" i="9" s="1" a="1"/>
  <c r="AT84" i="9" s="1"/>
  <c r="AU10" i="9"/>
  <c r="AU32" i="9" s="1"/>
  <c r="AV10" i="9"/>
  <c r="AV32" i="9" s="1"/>
  <c r="AW10" i="9"/>
  <c r="AX10" i="9"/>
  <c r="AY10" i="9"/>
  <c r="AY32" i="9" s="1"/>
  <c r="AZ10" i="9"/>
  <c r="AZ84" i="9" s="1" a="1"/>
  <c r="AZ84" i="9" s="1"/>
  <c r="BA10" i="9"/>
  <c r="BA32" i="9" s="1"/>
  <c r="BB10" i="9"/>
  <c r="BB84" i="9" s="1" a="1"/>
  <c r="BB84" i="9" s="1"/>
  <c r="BC10" i="9"/>
  <c r="BC32" i="9" s="1"/>
  <c r="BD10" i="9"/>
  <c r="BD32" i="9" s="1"/>
  <c r="BE10" i="9"/>
  <c r="BF10" i="9"/>
  <c r="BG10" i="9"/>
  <c r="BG32" i="9" s="1"/>
  <c r="BH10" i="9"/>
  <c r="BI10" i="9"/>
  <c r="BI32" i="9" s="1"/>
  <c r="BJ10" i="9"/>
  <c r="BJ84" i="9" s="1" a="1"/>
  <c r="BJ84" i="9" s="1"/>
  <c r="BK10" i="9"/>
  <c r="BK32" i="9" s="1"/>
  <c r="BL10" i="9"/>
  <c r="BL32" i="9" s="1"/>
  <c r="BM10" i="9"/>
  <c r="BN10" i="9"/>
  <c r="BN32" i="9" s="1"/>
  <c r="BO10" i="9"/>
  <c r="BO32" i="9" s="1"/>
  <c r="BP10" i="9"/>
  <c r="BQ10" i="9"/>
  <c r="BQ32" i="9" s="1"/>
  <c r="BR10" i="9"/>
  <c r="BR84" i="9" s="1" a="1"/>
  <c r="BR84" i="9" s="1"/>
  <c r="AT11" i="9"/>
  <c r="AT33" i="9" s="1"/>
  <c r="AU11" i="9"/>
  <c r="AU33" i="9" s="1"/>
  <c r="AV11" i="9"/>
  <c r="AV33" i="9" s="1"/>
  <c r="AW11" i="9"/>
  <c r="AW33" i="9" s="1"/>
  <c r="AX11" i="9"/>
  <c r="AX33" i="9" s="1"/>
  <c r="AY11" i="9"/>
  <c r="AY85" i="9" s="1" a="1"/>
  <c r="AY85" i="9" s="1"/>
  <c r="AZ11" i="9"/>
  <c r="AZ85" i="9" s="1" a="1"/>
  <c r="AZ85" i="9" s="1"/>
  <c r="BA11" i="9"/>
  <c r="BA85" i="9" s="1" a="1"/>
  <c r="BA85" i="9" s="1"/>
  <c r="BB11" i="9"/>
  <c r="BB33" i="9" s="1"/>
  <c r="BC11" i="9"/>
  <c r="BC33" i="9" s="1"/>
  <c r="BD11" i="9"/>
  <c r="BE11" i="9"/>
  <c r="BF11" i="9"/>
  <c r="BF33" i="9" s="1"/>
  <c r="BG11" i="9"/>
  <c r="BG85" i="9" s="1" a="1"/>
  <c r="BG85" i="9" s="1"/>
  <c r="BH11" i="9"/>
  <c r="BH85" i="9" s="1" a="1"/>
  <c r="BH85" i="9" s="1"/>
  <c r="BI11" i="9"/>
  <c r="BI85" i="9" s="1" a="1"/>
  <c r="BI85" i="9" s="1"/>
  <c r="BJ11" i="9"/>
  <c r="BJ33" i="9" s="1"/>
  <c r="BK11" i="9"/>
  <c r="BK33" i="9" s="1"/>
  <c r="BL11" i="9"/>
  <c r="BL33" i="9" s="1"/>
  <c r="BM11" i="9"/>
  <c r="BM33" i="9" s="1"/>
  <c r="BN11" i="9"/>
  <c r="BN33" i="9" s="1"/>
  <c r="BO11" i="9"/>
  <c r="BP11" i="9"/>
  <c r="BP85" i="9" s="1" a="1"/>
  <c r="BP85" i="9" s="1"/>
  <c r="BQ11" i="9"/>
  <c r="BQ85" i="9" s="1" a="1"/>
  <c r="BQ85" i="9" s="1"/>
  <c r="BR11" i="9"/>
  <c r="BR33" i="9" s="1"/>
  <c r="AT12" i="9"/>
  <c r="AT34" i="9" s="1"/>
  <c r="AU12" i="9"/>
  <c r="AV12" i="9"/>
  <c r="AW12" i="9"/>
  <c r="AW34" i="9" s="1"/>
  <c r="AX12" i="9"/>
  <c r="AX34" i="9" s="1"/>
  <c r="AY12" i="9"/>
  <c r="AY86" i="9" s="1" a="1"/>
  <c r="AY86" i="9" s="1"/>
  <c r="AZ12" i="9"/>
  <c r="AZ86" i="9" s="1" a="1"/>
  <c r="AZ86" i="9" s="1"/>
  <c r="BA12" i="9"/>
  <c r="BA34" i="9" s="1"/>
  <c r="BB12" i="9"/>
  <c r="BB34" i="9" s="1"/>
  <c r="BC12" i="9"/>
  <c r="BC34" i="9" s="1"/>
  <c r="BD12" i="9"/>
  <c r="BE12" i="9"/>
  <c r="BE34" i="9" s="1"/>
  <c r="BF12" i="9"/>
  <c r="BF86" i="9" s="1" a="1"/>
  <c r="BF86" i="9" s="1"/>
  <c r="BG12" i="9"/>
  <c r="BG86" i="9" s="1" a="1"/>
  <c r="BG86" i="9" s="1"/>
  <c r="BH12" i="9"/>
  <c r="BH86" i="9" s="1" a="1"/>
  <c r="BH86" i="9" s="1"/>
  <c r="BI12" i="9"/>
  <c r="BI34" i="9" s="1"/>
  <c r="BJ12" i="9"/>
  <c r="BJ34" i="9" s="1"/>
  <c r="BK12" i="9"/>
  <c r="BL12" i="9"/>
  <c r="BM12" i="9"/>
  <c r="BM34" i="9" s="1"/>
  <c r="BN12" i="9"/>
  <c r="BN34" i="9" s="1"/>
  <c r="BO12" i="9"/>
  <c r="BO86" i="9" s="1" a="1"/>
  <c r="BO86" i="9" s="1"/>
  <c r="BP12" i="9"/>
  <c r="BP86" i="9" s="1" a="1"/>
  <c r="BP86" i="9" s="1"/>
  <c r="BQ12" i="9"/>
  <c r="BQ34" i="9" s="1"/>
  <c r="BR12" i="9"/>
  <c r="BR34" i="9" s="1"/>
  <c r="AT13" i="9"/>
  <c r="AT35" i="9" s="1"/>
  <c r="AU13" i="9"/>
  <c r="AV13" i="9"/>
  <c r="AV35" i="9" s="1"/>
  <c r="AW13" i="9"/>
  <c r="AX13" i="9"/>
  <c r="AX87" i="9" s="1" a="1"/>
  <c r="AX87" i="9" s="1"/>
  <c r="AY13" i="9"/>
  <c r="AY87" i="9" s="1" a="1"/>
  <c r="AY87" i="9" s="1"/>
  <c r="AZ13" i="9"/>
  <c r="AZ35" i="9" s="1"/>
  <c r="BA13" i="9"/>
  <c r="BA35" i="9" s="1"/>
  <c r="BB13" i="9"/>
  <c r="BC13" i="9"/>
  <c r="BD13" i="9"/>
  <c r="BD35" i="9" s="1"/>
  <c r="BE13" i="9"/>
  <c r="BF13" i="9"/>
  <c r="BF87" i="9" s="1" a="1"/>
  <c r="BF87" i="9" s="1"/>
  <c r="BG13" i="9"/>
  <c r="BG87" i="9" s="1" a="1"/>
  <c r="BG87" i="9" s="1"/>
  <c r="BH13" i="9"/>
  <c r="BH35" i="9" s="1"/>
  <c r="BI13" i="9"/>
  <c r="BI35" i="9" s="1"/>
  <c r="BJ13" i="9"/>
  <c r="BJ35" i="9" s="1"/>
  <c r="BK13" i="9"/>
  <c r="BK35" i="9" s="1"/>
  <c r="BL13" i="9"/>
  <c r="BL35" i="9" s="1"/>
  <c r="BM13" i="9"/>
  <c r="BM87" i="9" s="1" a="1"/>
  <c r="BM87" i="9" s="1"/>
  <c r="BN13" i="9"/>
  <c r="BN87" i="9" s="1" a="1"/>
  <c r="BN87" i="9" s="1"/>
  <c r="BO13" i="9"/>
  <c r="BO87" i="9" s="1" a="1"/>
  <c r="BO87" i="9" s="1"/>
  <c r="BP13" i="9"/>
  <c r="BP35" i="9" s="1"/>
  <c r="BQ13" i="9"/>
  <c r="BQ35" i="9" s="1"/>
  <c r="BR13" i="9"/>
  <c r="AT14" i="9"/>
  <c r="AU14" i="9"/>
  <c r="AU36" i="9" s="1"/>
  <c r="AV14" i="9"/>
  <c r="AV88" i="9" s="1" a="1"/>
  <c r="AV88" i="9" s="1"/>
  <c r="AW14" i="9"/>
  <c r="AW88" i="9" s="1" a="1"/>
  <c r="AW88" i="9" s="1"/>
  <c r="AX14" i="9"/>
  <c r="AX88" i="9" s="1" a="1"/>
  <c r="AX88" i="9" s="1"/>
  <c r="AY14" i="9"/>
  <c r="AY36" i="9" s="1"/>
  <c r="AZ14" i="9"/>
  <c r="AZ36" i="9" s="1"/>
  <c r="BA14" i="9"/>
  <c r="BA36" i="9" s="1"/>
  <c r="BB14" i="9"/>
  <c r="BB36" i="9" s="1"/>
  <c r="BC14" i="9"/>
  <c r="BC36" i="9" s="1"/>
  <c r="BD14" i="9"/>
  <c r="BE14" i="9"/>
  <c r="BE88" i="9" s="1" a="1"/>
  <c r="BE88" i="9" s="1"/>
  <c r="BF14" i="9"/>
  <c r="BF88" i="9" s="1" a="1"/>
  <c r="BF88" i="9" s="1"/>
  <c r="BG14" i="9"/>
  <c r="BG36" i="9" s="1"/>
  <c r="BH14" i="9"/>
  <c r="BH36" i="9" s="1"/>
  <c r="BI14" i="9"/>
  <c r="BJ14" i="9"/>
  <c r="BK14" i="9"/>
  <c r="BK36" i="9" s="1"/>
  <c r="BL14" i="9"/>
  <c r="BL36" i="9" s="1"/>
  <c r="BM14" i="9"/>
  <c r="BM88" i="9" s="1" a="1"/>
  <c r="BM88" i="9" s="1"/>
  <c r="BN14" i="9"/>
  <c r="BN88" i="9" s="1" a="1"/>
  <c r="BN88" i="9" s="1"/>
  <c r="BO14" i="9"/>
  <c r="BO36" i="9" s="1"/>
  <c r="BP14" i="9"/>
  <c r="BP36" i="9" s="1"/>
  <c r="BQ14" i="9"/>
  <c r="BQ36" i="9" s="1"/>
  <c r="BR14" i="9"/>
  <c r="AT15" i="9"/>
  <c r="AT37" i="9" s="1"/>
  <c r="AU15" i="9"/>
  <c r="AU89" i="9" s="1" a="1"/>
  <c r="AU89" i="9" s="1"/>
  <c r="AV15" i="9"/>
  <c r="AW15" i="9"/>
  <c r="AW89" i="9" s="1" a="1"/>
  <c r="AW89" i="9" s="1"/>
  <c r="AX15" i="9"/>
  <c r="AX37" i="9" s="1"/>
  <c r="AY15" i="9"/>
  <c r="AY37" i="9" s="1"/>
  <c r="AZ15" i="9"/>
  <c r="BA15" i="9"/>
  <c r="BB15" i="9"/>
  <c r="BB37" i="9" s="1"/>
  <c r="BC15" i="9"/>
  <c r="BC37" i="9" s="1"/>
  <c r="BD15" i="9"/>
  <c r="BE15" i="9"/>
  <c r="BE89" i="9" s="1" a="1"/>
  <c r="BE89" i="9" s="1"/>
  <c r="BF15" i="9"/>
  <c r="BF37" i="9" s="1"/>
  <c r="BG15" i="9"/>
  <c r="BG37" i="9" s="1"/>
  <c r="BH15" i="9"/>
  <c r="BI15" i="9"/>
  <c r="BJ15" i="9"/>
  <c r="BJ37" i="9" s="1"/>
  <c r="BK15" i="9"/>
  <c r="BL15" i="9"/>
  <c r="BM15" i="9"/>
  <c r="BM89" i="9" s="1" a="1"/>
  <c r="BM89" i="9" s="1"/>
  <c r="BN15" i="9"/>
  <c r="BN37" i="9" s="1"/>
  <c r="BO15" i="9"/>
  <c r="BO37" i="9" s="1"/>
  <c r="BP15" i="9"/>
  <c r="BQ15" i="9"/>
  <c r="BR15" i="9"/>
  <c r="BR37" i="9" s="1"/>
  <c r="AT16" i="9"/>
  <c r="AU16" i="9"/>
  <c r="AV16" i="9"/>
  <c r="AW16" i="9"/>
  <c r="AX16" i="9"/>
  <c r="AY16" i="9"/>
  <c r="AZ16" i="9"/>
  <c r="BA16" i="9"/>
  <c r="BB16" i="9"/>
  <c r="BC16" i="9"/>
  <c r="BD16" i="9"/>
  <c r="BE16" i="9"/>
  <c r="BF16" i="9"/>
  <c r="BG16" i="9"/>
  <c r="BH16" i="9"/>
  <c r="BI16" i="9"/>
  <c r="BJ16" i="9"/>
  <c r="BK16" i="9"/>
  <c r="BL16" i="9"/>
  <c r="BM16" i="9"/>
  <c r="BN16" i="9"/>
  <c r="BO16" i="9"/>
  <c r="BP16" i="9"/>
  <c r="BQ16" i="9"/>
  <c r="BR16" i="9"/>
  <c r="AT17" i="9"/>
  <c r="AU17" i="9"/>
  <c r="AU91" i="9" s="1" a="1"/>
  <c r="AU91" i="9" s="1"/>
  <c r="AV17" i="9"/>
  <c r="AV39" i="9" s="1"/>
  <c r="AW17" i="9"/>
  <c r="AW39" i="9" s="1"/>
  <c r="AX17" i="9"/>
  <c r="AY17" i="9"/>
  <c r="AZ17" i="9"/>
  <c r="AZ39" i="9" s="1"/>
  <c r="BA17" i="9"/>
  <c r="BB17" i="9"/>
  <c r="BC17" i="9"/>
  <c r="BC91" i="9" s="1" a="1"/>
  <c r="BC91" i="9" s="1"/>
  <c r="BD17" i="9"/>
  <c r="BD39" i="9" s="1"/>
  <c r="BE17" i="9"/>
  <c r="BE39" i="9" s="1"/>
  <c r="BF17" i="9"/>
  <c r="BG17" i="9"/>
  <c r="BH17" i="9"/>
  <c r="BH39" i="9" s="1"/>
  <c r="BI17" i="9"/>
  <c r="BI91" i="9" s="1" a="1"/>
  <c r="BI91" i="9" s="1"/>
  <c r="BJ17" i="9"/>
  <c r="BK17" i="9"/>
  <c r="BK91" i="9" s="1" a="1"/>
  <c r="BK91" i="9" s="1"/>
  <c r="BL17" i="9"/>
  <c r="BL39" i="9" s="1"/>
  <c r="BM17" i="9"/>
  <c r="BM39" i="9" s="1"/>
  <c r="BN17" i="9"/>
  <c r="BO17" i="9"/>
  <c r="BP17" i="9"/>
  <c r="BP39" i="9" s="1"/>
  <c r="BQ17" i="9"/>
  <c r="BQ91" i="9" s="1" a="1"/>
  <c r="BQ91" i="9" s="1"/>
  <c r="BR17" i="9"/>
  <c r="AT18" i="9"/>
  <c r="AT92" i="9" s="1" a="1"/>
  <c r="AT92" i="9" s="1"/>
  <c r="AU18" i="9"/>
  <c r="AU40" i="9" s="1"/>
  <c r="AV18" i="9"/>
  <c r="AV40" i="9" s="1"/>
  <c r="AW18" i="9"/>
  <c r="AX18" i="9"/>
  <c r="AY18" i="9"/>
  <c r="AY40" i="9" s="1"/>
  <c r="AZ18" i="9"/>
  <c r="BA18" i="9"/>
  <c r="BB18" i="9"/>
  <c r="BB92" i="9" s="1" a="1"/>
  <c r="BB92" i="9" s="1"/>
  <c r="BC18" i="9"/>
  <c r="BC40" i="9" s="1"/>
  <c r="BD18" i="9"/>
  <c r="BD40" i="9" s="1"/>
  <c r="BE18" i="9"/>
  <c r="BF18" i="9"/>
  <c r="BG18" i="9"/>
  <c r="BG40" i="9" s="1"/>
  <c r="BH18" i="9"/>
  <c r="BI18" i="9"/>
  <c r="BI40" i="9" s="1"/>
  <c r="BJ18" i="9"/>
  <c r="BJ40" i="9" s="1"/>
  <c r="BK18" i="9"/>
  <c r="BK40" i="9" s="1"/>
  <c r="BL18" i="9"/>
  <c r="BL40" i="9" s="1"/>
  <c r="BM18" i="9"/>
  <c r="BN18" i="9"/>
  <c r="BO18" i="9"/>
  <c r="BO40" i="9" s="1"/>
  <c r="BP18" i="9"/>
  <c r="BP92" i="9" s="1" a="1"/>
  <c r="BP92" i="9" s="1"/>
  <c r="BQ18" i="9"/>
  <c r="BQ40" i="9" s="1"/>
  <c r="BR18" i="9"/>
  <c r="BR40" i="9" s="1"/>
  <c r="AT19" i="9"/>
  <c r="AT41" i="9" s="1"/>
  <c r="AU19" i="9"/>
  <c r="AU41" i="9" s="1"/>
  <c r="AV19" i="9"/>
  <c r="AW19" i="9"/>
  <c r="AX19" i="9"/>
  <c r="AX41" i="9" s="1"/>
  <c r="AY19" i="9"/>
  <c r="AY93" i="9" s="1" a="1"/>
  <c r="AY93" i="9" s="1"/>
  <c r="AZ19" i="9"/>
  <c r="AZ41" i="9" s="1"/>
  <c r="BA19" i="9"/>
  <c r="BA41" i="9" s="1"/>
  <c r="BB19" i="9"/>
  <c r="BB41" i="9" s="1"/>
  <c r="BC19" i="9"/>
  <c r="BC41" i="9" s="1"/>
  <c r="BD19" i="9"/>
  <c r="BE19" i="9"/>
  <c r="BF19" i="9"/>
  <c r="BF41" i="9" s="1"/>
  <c r="BG19" i="9"/>
  <c r="BH19" i="9"/>
  <c r="BH41" i="9" s="1"/>
  <c r="BI19" i="9"/>
  <c r="BI93" i="9" s="1" a="1"/>
  <c r="BI93" i="9" s="1"/>
  <c r="BJ19" i="9"/>
  <c r="BJ41" i="9" s="1"/>
  <c r="BK19" i="9"/>
  <c r="BK41" i="9" s="1"/>
  <c r="BL19" i="9"/>
  <c r="BM19" i="9"/>
  <c r="BM41" i="9" s="1"/>
  <c r="BN19" i="9"/>
  <c r="BN41" i="9" s="1"/>
  <c r="BO19" i="9"/>
  <c r="BP19" i="9"/>
  <c r="BQ19" i="9"/>
  <c r="BQ93" i="9" s="1" a="1"/>
  <c r="BQ93" i="9" s="1"/>
  <c r="BR19" i="9"/>
  <c r="BR41" i="9" s="1"/>
  <c r="AT20" i="9"/>
  <c r="AT42" i="9" s="1"/>
  <c r="AU20" i="9"/>
  <c r="AU42" i="9" s="1"/>
  <c r="AV20" i="9"/>
  <c r="AV42" i="9" s="1"/>
  <c r="AW20" i="9"/>
  <c r="AW42" i="9" s="1"/>
  <c r="AX20" i="9"/>
  <c r="AX94" i="9" s="1" a="1"/>
  <c r="AX94" i="9" s="1"/>
  <c r="AY20" i="9"/>
  <c r="AZ20" i="9"/>
  <c r="AZ94" i="9" s="1" a="1"/>
  <c r="AZ94" i="9" s="1"/>
  <c r="BA20" i="9"/>
  <c r="BA42" i="9" s="1"/>
  <c r="BB20" i="9"/>
  <c r="BB42" i="9" s="1"/>
  <c r="BC20" i="9"/>
  <c r="BD20" i="9"/>
  <c r="BE20" i="9"/>
  <c r="BE42" i="9" s="1"/>
  <c r="BF20" i="9"/>
  <c r="BF94" i="9" s="1" a="1"/>
  <c r="BF94" i="9" s="1"/>
  <c r="BG20" i="9"/>
  <c r="BH20" i="9"/>
  <c r="BH94" i="9" s="1" a="1"/>
  <c r="BH94" i="9" s="1"/>
  <c r="BI20" i="9"/>
  <c r="BI42" i="9" s="1"/>
  <c r="BJ20" i="9"/>
  <c r="BJ42" i="9" s="1"/>
  <c r="BK20" i="9"/>
  <c r="BK42" i="9" s="1"/>
  <c r="BL20" i="9"/>
  <c r="BM20" i="9"/>
  <c r="BM42" i="9" s="1"/>
  <c r="BN20" i="9"/>
  <c r="BO20" i="9"/>
  <c r="BP20" i="9"/>
  <c r="BP94" i="9" s="1" a="1"/>
  <c r="BP94" i="9" s="1"/>
  <c r="BQ20" i="9"/>
  <c r="BQ42" i="9" s="1"/>
  <c r="BR20" i="9"/>
  <c r="BR42" i="9" s="1"/>
  <c r="AT21" i="9"/>
  <c r="AU21" i="9"/>
  <c r="AU43" i="9" s="1"/>
  <c r="AV21" i="9"/>
  <c r="AV43" i="9" s="1"/>
  <c r="AW21" i="9"/>
  <c r="AX21" i="9"/>
  <c r="AY21" i="9"/>
  <c r="AY95" i="9" s="1" a="1"/>
  <c r="AY95" i="9" s="1"/>
  <c r="AZ21" i="9"/>
  <c r="AZ43" i="9" s="1"/>
  <c r="BA21" i="9"/>
  <c r="BA43" i="9" s="1"/>
  <c r="BB21" i="9"/>
  <c r="BB43" i="9" s="1"/>
  <c r="BC21" i="9"/>
  <c r="BC43" i="9" s="1"/>
  <c r="BD21" i="9"/>
  <c r="BD43" i="9" s="1"/>
  <c r="BE21" i="9"/>
  <c r="BE43" i="9" s="1"/>
  <c r="BF21" i="9"/>
  <c r="BG21" i="9"/>
  <c r="BG95" i="9" s="1" a="1"/>
  <c r="BG95" i="9" s="1"/>
  <c r="BH21" i="9"/>
  <c r="BH43" i="9" s="1"/>
  <c r="BI21" i="9"/>
  <c r="BI43" i="9" s="1"/>
  <c r="BJ21" i="9"/>
  <c r="BK21" i="9"/>
  <c r="BL21" i="9"/>
  <c r="BL43" i="9" s="1"/>
  <c r="BM21" i="9"/>
  <c r="BM43" i="9" s="1"/>
  <c r="BN21" i="9"/>
  <c r="BO21" i="9"/>
  <c r="BO95" i="9" s="1" a="1"/>
  <c r="BO95" i="9" s="1"/>
  <c r="BP21" i="9"/>
  <c r="BP43" i="9" s="1"/>
  <c r="BQ21" i="9"/>
  <c r="BQ43" i="9" s="1"/>
  <c r="BR21" i="9"/>
  <c r="AT22" i="9"/>
  <c r="AU22" i="9"/>
  <c r="AU44" i="9" s="1"/>
  <c r="AV22" i="9"/>
  <c r="AW22" i="9"/>
  <c r="AX22" i="9"/>
  <c r="AX96" i="9" s="1" a="1"/>
  <c r="AX96" i="9" s="1"/>
  <c r="AY22" i="9"/>
  <c r="AY44" i="9" s="1"/>
  <c r="AZ22" i="9"/>
  <c r="AZ44" i="9" s="1"/>
  <c r="BA22" i="9"/>
  <c r="BB22" i="9"/>
  <c r="BB44" i="9" s="1"/>
  <c r="BC22" i="9"/>
  <c r="BC44" i="9" s="1"/>
  <c r="BD22" i="9"/>
  <c r="BE22" i="9"/>
  <c r="BF22" i="9"/>
  <c r="BF96" i="9" s="1" a="1"/>
  <c r="BF96" i="9" s="1"/>
  <c r="BG22" i="9"/>
  <c r="BG44" i="9" s="1"/>
  <c r="BH22" i="9"/>
  <c r="BH44" i="9" s="1"/>
  <c r="BI22" i="9"/>
  <c r="BJ22" i="9"/>
  <c r="BJ44" i="9" s="1"/>
  <c r="BK22" i="9"/>
  <c r="BK44" i="9" s="1"/>
  <c r="BL22" i="9"/>
  <c r="BL44" i="9" s="1"/>
  <c r="BM22" i="9"/>
  <c r="BN22" i="9"/>
  <c r="BN96" i="9" s="1" a="1"/>
  <c r="BN96" i="9" s="1"/>
  <c r="BO22" i="9"/>
  <c r="BO44" i="9" s="1"/>
  <c r="BP22" i="9"/>
  <c r="BP44" i="9" s="1"/>
  <c r="BQ22" i="9"/>
  <c r="BR22" i="9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BU747" i="9"/>
  <c r="M587" i="6" s="1"/>
  <c r="BT747" i="9"/>
  <c r="L587" i="6" s="1"/>
  <c r="BU746" i="9"/>
  <c r="M586" i="6" s="1"/>
  <c r="BT746" i="9"/>
  <c r="L586" i="6" s="1"/>
  <c r="BU745" i="9"/>
  <c r="M585" i="6" s="1"/>
  <c r="BT745" i="9"/>
  <c r="L585" i="6" s="1"/>
  <c r="BU744" i="9"/>
  <c r="M584" i="6" s="1"/>
  <c r="BT744" i="9"/>
  <c r="L584" i="6" s="1"/>
  <c r="BU743" i="9"/>
  <c r="M583" i="6" s="1"/>
  <c r="BT743" i="9"/>
  <c r="L583" i="6" s="1"/>
  <c r="BU742" i="9"/>
  <c r="M582" i="6" s="1"/>
  <c r="BT742" i="9"/>
  <c r="L582" i="6" s="1"/>
  <c r="BU741" i="9"/>
  <c r="M581" i="6" s="1"/>
  <c r="BT741" i="9"/>
  <c r="L581" i="6" s="1"/>
  <c r="BU740" i="9"/>
  <c r="M580" i="6" s="1"/>
  <c r="BT740" i="9"/>
  <c r="L580" i="6" s="1"/>
  <c r="BU739" i="9"/>
  <c r="M579" i="6" s="1"/>
  <c r="BT739" i="9"/>
  <c r="L579" i="6" s="1"/>
  <c r="BU738" i="9"/>
  <c r="M578" i="6" s="1"/>
  <c r="BT738" i="9"/>
  <c r="L578" i="6" s="1"/>
  <c r="BU737" i="9"/>
  <c r="M577" i="6" s="1"/>
  <c r="BT737" i="9"/>
  <c r="L577" i="6" s="1"/>
  <c r="BU736" i="9"/>
  <c r="M576" i="6" s="1"/>
  <c r="BT736" i="9"/>
  <c r="L576" i="6" s="1"/>
  <c r="BU735" i="9"/>
  <c r="M575" i="6" s="1"/>
  <c r="BT735" i="9"/>
  <c r="L575" i="6" s="1"/>
  <c r="BU734" i="9"/>
  <c r="M574" i="6" s="1"/>
  <c r="BT734" i="9"/>
  <c r="L574" i="6" s="1"/>
  <c r="BU733" i="9"/>
  <c r="M573" i="6" s="1"/>
  <c r="BT733" i="9"/>
  <c r="L573" i="6" s="1"/>
  <c r="BU732" i="9"/>
  <c r="M572" i="6" s="1"/>
  <c r="BT732" i="9"/>
  <c r="L572" i="6" s="1"/>
  <c r="BU731" i="9"/>
  <c r="M571" i="6" s="1"/>
  <c r="BT731" i="9"/>
  <c r="L571" i="6" s="1"/>
  <c r="BU730" i="9"/>
  <c r="M570" i="6" s="1"/>
  <c r="BT730" i="9"/>
  <c r="L570" i="6" s="1"/>
  <c r="BU729" i="9"/>
  <c r="M569" i="6" s="1"/>
  <c r="BT729" i="9"/>
  <c r="L569" i="6" s="1"/>
  <c r="BU728" i="9"/>
  <c r="M568" i="6" s="1"/>
  <c r="BT728" i="9"/>
  <c r="L568" i="6" s="1"/>
  <c r="BU727" i="9"/>
  <c r="M567" i="6" s="1"/>
  <c r="BT727" i="9"/>
  <c r="L567" i="6" s="1"/>
  <c r="BU726" i="9"/>
  <c r="M566" i="6" s="1"/>
  <c r="BT726" i="9"/>
  <c r="L566" i="6" s="1"/>
  <c r="BU725" i="9"/>
  <c r="M565" i="6" s="1"/>
  <c r="BT725" i="9"/>
  <c r="L565" i="6" s="1"/>
  <c r="BU724" i="9"/>
  <c r="M564" i="6" s="1"/>
  <c r="BT724" i="9"/>
  <c r="L564" i="6" s="1"/>
  <c r="BU723" i="9"/>
  <c r="M563" i="6" s="1"/>
  <c r="BT723" i="9"/>
  <c r="L563" i="6" s="1"/>
  <c r="BU722" i="9"/>
  <c r="M562" i="6" s="1"/>
  <c r="BT722" i="9"/>
  <c r="L562" i="6" s="1"/>
  <c r="BU721" i="9"/>
  <c r="M561" i="6" s="1"/>
  <c r="BT721" i="9"/>
  <c r="L561" i="6" s="1"/>
  <c r="BU720" i="9"/>
  <c r="M560" i="6" s="1"/>
  <c r="BT720" i="9"/>
  <c r="L560" i="6" s="1"/>
  <c r="BU719" i="9"/>
  <c r="M559" i="6" s="1"/>
  <c r="BT719" i="9"/>
  <c r="L559" i="6" s="1"/>
  <c r="BU718" i="9"/>
  <c r="M558" i="6" s="1"/>
  <c r="BT718" i="9"/>
  <c r="L558" i="6" s="1"/>
  <c r="BU717" i="9"/>
  <c r="M557" i="6" s="1"/>
  <c r="BT717" i="9"/>
  <c r="L557" i="6" s="1"/>
  <c r="BU716" i="9"/>
  <c r="M556" i="6" s="1"/>
  <c r="BT716" i="9"/>
  <c r="L556" i="6" s="1"/>
  <c r="BU715" i="9"/>
  <c r="M555" i="6" s="1"/>
  <c r="BT715" i="9"/>
  <c r="L555" i="6" s="1"/>
  <c r="BU714" i="9"/>
  <c r="M554" i="6" s="1"/>
  <c r="BT714" i="9"/>
  <c r="L554" i="6" s="1"/>
  <c r="BU713" i="9"/>
  <c r="M553" i="6" s="1"/>
  <c r="BT713" i="9"/>
  <c r="L553" i="6" s="1"/>
  <c r="BU712" i="9"/>
  <c r="M552" i="6" s="1"/>
  <c r="BT712" i="9"/>
  <c r="L552" i="6" s="1"/>
  <c r="BU711" i="9"/>
  <c r="M551" i="6" s="1"/>
  <c r="BT711" i="9"/>
  <c r="L551" i="6" s="1"/>
  <c r="BU710" i="9"/>
  <c r="M550" i="6" s="1"/>
  <c r="BT710" i="9"/>
  <c r="L550" i="6" s="1"/>
  <c r="BU709" i="9"/>
  <c r="M549" i="6" s="1"/>
  <c r="BT709" i="9"/>
  <c r="L549" i="6" s="1"/>
  <c r="BU708" i="9"/>
  <c r="M548" i="6" s="1"/>
  <c r="BT708" i="9"/>
  <c r="L548" i="6" s="1"/>
  <c r="BU707" i="9"/>
  <c r="M547" i="6" s="1"/>
  <c r="BT707" i="9"/>
  <c r="L547" i="6" s="1"/>
  <c r="BU706" i="9"/>
  <c r="M546" i="6" s="1"/>
  <c r="BT706" i="9"/>
  <c r="L546" i="6" s="1"/>
  <c r="BU705" i="9"/>
  <c r="M545" i="6" s="1"/>
  <c r="BT705" i="9"/>
  <c r="L545" i="6" s="1"/>
  <c r="BU704" i="9"/>
  <c r="M544" i="6" s="1"/>
  <c r="BT704" i="9"/>
  <c r="L544" i="6" s="1"/>
  <c r="BU703" i="9"/>
  <c r="M543" i="6" s="1"/>
  <c r="BT703" i="9"/>
  <c r="L543" i="6" s="1"/>
  <c r="BU702" i="9"/>
  <c r="M542" i="6" s="1"/>
  <c r="BT702" i="9"/>
  <c r="L542" i="6" s="1"/>
  <c r="BU701" i="9"/>
  <c r="M541" i="6" s="1"/>
  <c r="BT701" i="9"/>
  <c r="L541" i="6" s="1"/>
  <c r="BU700" i="9"/>
  <c r="M540" i="6" s="1"/>
  <c r="BT700" i="9"/>
  <c r="L540" i="6" s="1"/>
  <c r="BU699" i="9"/>
  <c r="M539" i="6" s="1"/>
  <c r="BT699" i="9"/>
  <c r="L539" i="6" s="1"/>
  <c r="BU698" i="9"/>
  <c r="M538" i="6" s="1"/>
  <c r="BT698" i="9"/>
  <c r="L538" i="6" s="1"/>
  <c r="E589" i="8"/>
  <c r="E588" i="8"/>
  <c r="E587" i="8"/>
  <c r="E586" i="8"/>
  <c r="E585" i="8"/>
  <c r="E584" i="8"/>
  <c r="E583" i="8"/>
  <c r="E582" i="8"/>
  <c r="E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J1186" i="6"/>
  <c r="CA747" i="9"/>
  <c r="BY747" i="9"/>
  <c r="CA746" i="9"/>
  <c r="BY746" i="9"/>
  <c r="CA745" i="9"/>
  <c r="BY745" i="9"/>
  <c r="CA744" i="9"/>
  <c r="BY744" i="9"/>
  <c r="CA743" i="9"/>
  <c r="BY743" i="9"/>
  <c r="CA742" i="9"/>
  <c r="BY742" i="9"/>
  <c r="CA741" i="9"/>
  <c r="BY741" i="9"/>
  <c r="CA740" i="9"/>
  <c r="BY740" i="9"/>
  <c r="CA739" i="9"/>
  <c r="BY739" i="9"/>
  <c r="CA738" i="9"/>
  <c r="BY738" i="9"/>
  <c r="CA737" i="9"/>
  <c r="BY737" i="9"/>
  <c r="CA736" i="9"/>
  <c r="BY736" i="9"/>
  <c r="CA735" i="9"/>
  <c r="BY735" i="9"/>
  <c r="CA734" i="9"/>
  <c r="BY734" i="9"/>
  <c r="CA733" i="9"/>
  <c r="BY733" i="9"/>
  <c r="CA732" i="9"/>
  <c r="BY732" i="9"/>
  <c r="CA731" i="9"/>
  <c r="BY731" i="9"/>
  <c r="CA730" i="9"/>
  <c r="BY730" i="9"/>
  <c r="CA729" i="9"/>
  <c r="BY729" i="9"/>
  <c r="CA728" i="9"/>
  <c r="BY728" i="9"/>
  <c r="CA727" i="9"/>
  <c r="BY727" i="9"/>
  <c r="CA726" i="9"/>
  <c r="BY726" i="9"/>
  <c r="CA725" i="9"/>
  <c r="BY725" i="9"/>
  <c r="CA724" i="9"/>
  <c r="BY724" i="9"/>
  <c r="CA723" i="9"/>
  <c r="BY723" i="9"/>
  <c r="CA722" i="9"/>
  <c r="BY722" i="9"/>
  <c r="CA721" i="9"/>
  <c r="BY721" i="9"/>
  <c r="CA720" i="9"/>
  <c r="BY720" i="9"/>
  <c r="CA719" i="9"/>
  <c r="BY719" i="9"/>
  <c r="CA718" i="9"/>
  <c r="BY718" i="9"/>
  <c r="CA717" i="9"/>
  <c r="BY717" i="9"/>
  <c r="CA716" i="9"/>
  <c r="BY716" i="9"/>
  <c r="CA715" i="9"/>
  <c r="BY715" i="9"/>
  <c r="CA714" i="9"/>
  <c r="BY714" i="9"/>
  <c r="CA713" i="9"/>
  <c r="BY713" i="9"/>
  <c r="CA712" i="9"/>
  <c r="BY712" i="9"/>
  <c r="CA711" i="9"/>
  <c r="BY711" i="9"/>
  <c r="CA710" i="9"/>
  <c r="BY710" i="9"/>
  <c r="CA709" i="9"/>
  <c r="BY709" i="9"/>
  <c r="CA708" i="9"/>
  <c r="BY708" i="9"/>
  <c r="CA707" i="9"/>
  <c r="BY707" i="9"/>
  <c r="CA706" i="9"/>
  <c r="BY706" i="9"/>
  <c r="CA705" i="9"/>
  <c r="BY705" i="9"/>
  <c r="CA704" i="9"/>
  <c r="BY704" i="9"/>
  <c r="CA703" i="9"/>
  <c r="BY703" i="9"/>
  <c r="CA702" i="9"/>
  <c r="BY702" i="9"/>
  <c r="BZ702" i="9" s="1"/>
  <c r="CA701" i="9"/>
  <c r="BY701" i="9"/>
  <c r="BZ701" i="9" s="1"/>
  <c r="CA700" i="9"/>
  <c r="BY700" i="9"/>
  <c r="CA699" i="9"/>
  <c r="BY699" i="9"/>
  <c r="BZ699" i="9" s="1"/>
  <c r="CA698" i="9"/>
  <c r="BY698" i="9"/>
  <c r="BZ698" i="9" s="1"/>
  <c r="N1405" i="6"/>
  <c r="N748" i="9"/>
  <c r="J662" i="11" s="1"/>
  <c r="M748" i="9"/>
  <c r="I662" i="11" s="1"/>
  <c r="L748" i="9"/>
  <c r="H662" i="11" s="1"/>
  <c r="K748" i="9"/>
  <c r="K859" i="9" s="1"/>
  <c r="BG587" i="6"/>
  <c r="BB587" i="6"/>
  <c r="AW587" i="6"/>
  <c r="AR587" i="6"/>
  <c r="AM587" i="6"/>
  <c r="AH587" i="6"/>
  <c r="BG586" i="6"/>
  <c r="BB586" i="6"/>
  <c r="AW586" i="6"/>
  <c r="AR586" i="6"/>
  <c r="AM586" i="6"/>
  <c r="AH586" i="6"/>
  <c r="BG585" i="6"/>
  <c r="BB585" i="6"/>
  <c r="AW585" i="6"/>
  <c r="AR585" i="6"/>
  <c r="AM585" i="6"/>
  <c r="AH585" i="6"/>
  <c r="BG584" i="6"/>
  <c r="BB584" i="6"/>
  <c r="AW584" i="6"/>
  <c r="AR584" i="6"/>
  <c r="AM584" i="6"/>
  <c r="AH584" i="6"/>
  <c r="BG583" i="6"/>
  <c r="BB583" i="6"/>
  <c r="AW583" i="6"/>
  <c r="AR583" i="6"/>
  <c r="AM583" i="6"/>
  <c r="AH583" i="6"/>
  <c r="BG582" i="6"/>
  <c r="BB582" i="6"/>
  <c r="AW582" i="6"/>
  <c r="AR582" i="6"/>
  <c r="AM582" i="6"/>
  <c r="AH582" i="6"/>
  <c r="BG581" i="6"/>
  <c r="BB581" i="6"/>
  <c r="AW581" i="6"/>
  <c r="AR581" i="6"/>
  <c r="AM581" i="6"/>
  <c r="AH581" i="6"/>
  <c r="BG580" i="6"/>
  <c r="BB580" i="6"/>
  <c r="AW580" i="6"/>
  <c r="AR580" i="6"/>
  <c r="AM580" i="6"/>
  <c r="AH580" i="6"/>
  <c r="BG579" i="6"/>
  <c r="BB579" i="6"/>
  <c r="AW579" i="6"/>
  <c r="AR579" i="6"/>
  <c r="AM579" i="6"/>
  <c r="AH579" i="6"/>
  <c r="BG578" i="6"/>
  <c r="BB578" i="6"/>
  <c r="AW578" i="6"/>
  <c r="AR578" i="6"/>
  <c r="AM578" i="6"/>
  <c r="AH578" i="6"/>
  <c r="BG577" i="6"/>
  <c r="BB577" i="6"/>
  <c r="AW577" i="6"/>
  <c r="AR577" i="6"/>
  <c r="AM577" i="6"/>
  <c r="AH577" i="6"/>
  <c r="BG576" i="6"/>
  <c r="BB576" i="6"/>
  <c r="AW576" i="6"/>
  <c r="AR576" i="6"/>
  <c r="AM576" i="6"/>
  <c r="AH576" i="6"/>
  <c r="BG575" i="6"/>
  <c r="BB575" i="6"/>
  <c r="AW575" i="6"/>
  <c r="AR575" i="6"/>
  <c r="AM575" i="6"/>
  <c r="AH575" i="6"/>
  <c r="BG574" i="6"/>
  <c r="BB574" i="6"/>
  <c r="AW574" i="6"/>
  <c r="AR574" i="6"/>
  <c r="AM574" i="6"/>
  <c r="AH574" i="6"/>
  <c r="BG573" i="6"/>
  <c r="BB573" i="6"/>
  <c r="AW573" i="6"/>
  <c r="AR573" i="6"/>
  <c r="AM573" i="6"/>
  <c r="AH573" i="6"/>
  <c r="BG572" i="6"/>
  <c r="BB572" i="6"/>
  <c r="AW572" i="6"/>
  <c r="AR572" i="6"/>
  <c r="AM572" i="6"/>
  <c r="AH572" i="6"/>
  <c r="BG571" i="6"/>
  <c r="BB571" i="6"/>
  <c r="AW571" i="6"/>
  <c r="AR571" i="6"/>
  <c r="AM571" i="6"/>
  <c r="AH571" i="6"/>
  <c r="BG570" i="6"/>
  <c r="BB570" i="6"/>
  <c r="AW570" i="6"/>
  <c r="AR570" i="6"/>
  <c r="AM570" i="6"/>
  <c r="AH570" i="6"/>
  <c r="BG569" i="6"/>
  <c r="BB569" i="6"/>
  <c r="AW569" i="6"/>
  <c r="AR569" i="6"/>
  <c r="AM569" i="6"/>
  <c r="AH569" i="6"/>
  <c r="BG568" i="6"/>
  <c r="BB568" i="6"/>
  <c r="AW568" i="6"/>
  <c r="AR568" i="6"/>
  <c r="AM568" i="6"/>
  <c r="AH568" i="6"/>
  <c r="BG567" i="6"/>
  <c r="BB567" i="6"/>
  <c r="AW567" i="6"/>
  <c r="AR567" i="6"/>
  <c r="AM567" i="6"/>
  <c r="AH567" i="6"/>
  <c r="BG566" i="6"/>
  <c r="BB566" i="6"/>
  <c r="AW566" i="6"/>
  <c r="AR566" i="6"/>
  <c r="AM566" i="6"/>
  <c r="AH566" i="6"/>
  <c r="BG565" i="6"/>
  <c r="BB565" i="6"/>
  <c r="AW565" i="6"/>
  <c r="AR565" i="6"/>
  <c r="AM565" i="6"/>
  <c r="AH565" i="6"/>
  <c r="BG564" i="6"/>
  <c r="BB564" i="6"/>
  <c r="AW564" i="6"/>
  <c r="AR564" i="6"/>
  <c r="AM564" i="6"/>
  <c r="AH564" i="6"/>
  <c r="BG563" i="6"/>
  <c r="BB563" i="6"/>
  <c r="AW563" i="6"/>
  <c r="AR563" i="6"/>
  <c r="AM563" i="6"/>
  <c r="AH563" i="6"/>
  <c r="BG562" i="6"/>
  <c r="BB562" i="6"/>
  <c r="AW562" i="6"/>
  <c r="AR562" i="6"/>
  <c r="AM562" i="6"/>
  <c r="AH562" i="6"/>
  <c r="BG561" i="6"/>
  <c r="BB561" i="6"/>
  <c r="AW561" i="6"/>
  <c r="AR561" i="6"/>
  <c r="AM561" i="6"/>
  <c r="AH561" i="6"/>
  <c r="BG560" i="6"/>
  <c r="BB560" i="6"/>
  <c r="AW560" i="6"/>
  <c r="AR560" i="6"/>
  <c r="AM560" i="6"/>
  <c r="AH560" i="6"/>
  <c r="BG559" i="6"/>
  <c r="BB559" i="6"/>
  <c r="AW559" i="6"/>
  <c r="AR559" i="6"/>
  <c r="AM559" i="6"/>
  <c r="AH559" i="6"/>
  <c r="BG558" i="6"/>
  <c r="BB558" i="6"/>
  <c r="AW558" i="6"/>
  <c r="AR558" i="6"/>
  <c r="AM558" i="6"/>
  <c r="AH558" i="6"/>
  <c r="BG557" i="6"/>
  <c r="BB557" i="6"/>
  <c r="AW557" i="6"/>
  <c r="AR557" i="6"/>
  <c r="AM557" i="6"/>
  <c r="AH557" i="6"/>
  <c r="BG556" i="6"/>
  <c r="BB556" i="6"/>
  <c r="AW556" i="6"/>
  <c r="AR556" i="6"/>
  <c r="AM556" i="6"/>
  <c r="AH556" i="6"/>
  <c r="BG555" i="6"/>
  <c r="BB555" i="6"/>
  <c r="AW555" i="6"/>
  <c r="AR555" i="6"/>
  <c r="AM555" i="6"/>
  <c r="AH555" i="6"/>
  <c r="BG554" i="6"/>
  <c r="BB554" i="6"/>
  <c r="AW554" i="6"/>
  <c r="AR554" i="6"/>
  <c r="AM554" i="6"/>
  <c r="AH554" i="6"/>
  <c r="BG553" i="6"/>
  <c r="BB553" i="6"/>
  <c r="AW553" i="6"/>
  <c r="AR553" i="6"/>
  <c r="AM553" i="6"/>
  <c r="AH553" i="6"/>
  <c r="BG552" i="6"/>
  <c r="BB552" i="6"/>
  <c r="AW552" i="6"/>
  <c r="AR552" i="6"/>
  <c r="AM552" i="6"/>
  <c r="AH552" i="6"/>
  <c r="BG551" i="6"/>
  <c r="BB551" i="6"/>
  <c r="AW551" i="6"/>
  <c r="AR551" i="6"/>
  <c r="AM551" i="6"/>
  <c r="AH551" i="6"/>
  <c r="BG550" i="6"/>
  <c r="BB550" i="6"/>
  <c r="AW550" i="6"/>
  <c r="AR550" i="6"/>
  <c r="AM550" i="6"/>
  <c r="AH550" i="6"/>
  <c r="BG549" i="6"/>
  <c r="BB549" i="6"/>
  <c r="AW549" i="6"/>
  <c r="AR549" i="6"/>
  <c r="AM549" i="6"/>
  <c r="AH549" i="6"/>
  <c r="BG548" i="6"/>
  <c r="BB548" i="6"/>
  <c r="AW548" i="6"/>
  <c r="AR548" i="6"/>
  <c r="AM548" i="6"/>
  <c r="AH548" i="6"/>
  <c r="BG547" i="6"/>
  <c r="BB547" i="6"/>
  <c r="AW547" i="6"/>
  <c r="AR547" i="6"/>
  <c r="AM547" i="6"/>
  <c r="AH547" i="6"/>
  <c r="BG546" i="6"/>
  <c r="BB546" i="6"/>
  <c r="AW546" i="6"/>
  <c r="AR546" i="6"/>
  <c r="AM546" i="6"/>
  <c r="AH546" i="6"/>
  <c r="BG545" i="6"/>
  <c r="BB545" i="6"/>
  <c r="AW545" i="6"/>
  <c r="AR545" i="6"/>
  <c r="AM545" i="6"/>
  <c r="AH545" i="6"/>
  <c r="BG544" i="6"/>
  <c r="BB544" i="6"/>
  <c r="AW544" i="6"/>
  <c r="AR544" i="6"/>
  <c r="AM544" i="6"/>
  <c r="AH544" i="6"/>
  <c r="BG543" i="6"/>
  <c r="BB543" i="6"/>
  <c r="AW543" i="6"/>
  <c r="AR543" i="6"/>
  <c r="AM543" i="6"/>
  <c r="AH543" i="6"/>
  <c r="BG542" i="6"/>
  <c r="BB542" i="6"/>
  <c r="AW542" i="6"/>
  <c r="AR542" i="6"/>
  <c r="AM542" i="6"/>
  <c r="AH542" i="6"/>
  <c r="BG541" i="6"/>
  <c r="BB541" i="6"/>
  <c r="AW541" i="6"/>
  <c r="AR541" i="6"/>
  <c r="AM541" i="6"/>
  <c r="AH541" i="6"/>
  <c r="BG540" i="6"/>
  <c r="BB540" i="6"/>
  <c r="AW540" i="6"/>
  <c r="AR540" i="6"/>
  <c r="AM540" i="6"/>
  <c r="AH540" i="6"/>
  <c r="BG539" i="6"/>
  <c r="BB539" i="6"/>
  <c r="AW539" i="6"/>
  <c r="AR539" i="6"/>
  <c r="AM539" i="6"/>
  <c r="AH539" i="6"/>
  <c r="BG538" i="6"/>
  <c r="BB538" i="6"/>
  <c r="AW538" i="6"/>
  <c r="AR538" i="6"/>
  <c r="AM538" i="6"/>
  <c r="AH538" i="6"/>
  <c r="B747" i="9"/>
  <c r="B587" i="6" s="1"/>
  <c r="B589" i="8" s="1"/>
  <c r="B746" i="9"/>
  <c r="B586" i="6" s="1"/>
  <c r="B588" i="8" s="1"/>
  <c r="B745" i="9"/>
  <c r="B585" i="6" s="1"/>
  <c r="B587" i="8" s="1"/>
  <c r="B744" i="9"/>
  <c r="B584" i="6" s="1"/>
  <c r="B586" i="8" s="1"/>
  <c r="B743" i="9"/>
  <c r="B583" i="6" s="1"/>
  <c r="B585" i="8" s="1"/>
  <c r="B742" i="9"/>
  <c r="B582" i="6" s="1"/>
  <c r="B584" i="8" s="1"/>
  <c r="B741" i="9"/>
  <c r="B581" i="6" s="1"/>
  <c r="B583" i="8" s="1"/>
  <c r="B740" i="9"/>
  <c r="B580" i="6" s="1"/>
  <c r="B582" i="8" s="1"/>
  <c r="B739" i="9"/>
  <c r="B579" i="6" s="1"/>
  <c r="B581" i="8" s="1"/>
  <c r="B738" i="9"/>
  <c r="B578" i="6" s="1"/>
  <c r="B580" i="8" s="1"/>
  <c r="B737" i="9"/>
  <c r="B577" i="6" s="1"/>
  <c r="B579" i="8" s="1"/>
  <c r="B736" i="9"/>
  <c r="B576" i="6" s="1"/>
  <c r="B578" i="8" s="1"/>
  <c r="B735" i="9"/>
  <c r="B575" i="6" s="1"/>
  <c r="B577" i="8" s="1"/>
  <c r="B734" i="9"/>
  <c r="B574" i="6" s="1"/>
  <c r="B576" i="8" s="1"/>
  <c r="B733" i="9"/>
  <c r="B573" i="6" s="1"/>
  <c r="B575" i="8" s="1"/>
  <c r="B732" i="9"/>
  <c r="B572" i="6" s="1"/>
  <c r="B574" i="8" s="1"/>
  <c r="B731" i="9"/>
  <c r="B571" i="6" s="1"/>
  <c r="B573" i="8" s="1"/>
  <c r="B730" i="9"/>
  <c r="B570" i="6" s="1"/>
  <c r="B572" i="8" s="1"/>
  <c r="B729" i="9"/>
  <c r="B569" i="6" s="1"/>
  <c r="B571" i="8" s="1"/>
  <c r="B728" i="9"/>
  <c r="B568" i="6" s="1"/>
  <c r="B570" i="8" s="1"/>
  <c r="B727" i="9"/>
  <c r="B567" i="6" s="1"/>
  <c r="B569" i="8" s="1"/>
  <c r="B726" i="9"/>
  <c r="B566" i="6" s="1"/>
  <c r="B568" i="8" s="1"/>
  <c r="B725" i="9"/>
  <c r="B565" i="6" s="1"/>
  <c r="B567" i="8" s="1"/>
  <c r="B724" i="9"/>
  <c r="B564" i="6" s="1"/>
  <c r="B566" i="8" s="1"/>
  <c r="B723" i="9"/>
  <c r="B563" i="6" s="1"/>
  <c r="B565" i="8" s="1"/>
  <c r="B722" i="9"/>
  <c r="B562" i="6" s="1"/>
  <c r="B564" i="8" s="1"/>
  <c r="B721" i="9"/>
  <c r="B561" i="6" s="1"/>
  <c r="B563" i="8" s="1"/>
  <c r="B720" i="9"/>
  <c r="B560" i="6" s="1"/>
  <c r="B562" i="8" s="1"/>
  <c r="B719" i="9"/>
  <c r="B559" i="6" s="1"/>
  <c r="B561" i="8" s="1"/>
  <c r="B718" i="9"/>
  <c r="B558" i="6" s="1"/>
  <c r="B560" i="8" s="1"/>
  <c r="B717" i="9"/>
  <c r="B557" i="6" s="1"/>
  <c r="B559" i="8" s="1"/>
  <c r="B716" i="9"/>
  <c r="B556" i="6" s="1"/>
  <c r="B558" i="8" s="1"/>
  <c r="B715" i="9"/>
  <c r="B555" i="6" s="1"/>
  <c r="B557" i="8" s="1"/>
  <c r="B714" i="9"/>
  <c r="B554" i="6" s="1"/>
  <c r="B556" i="8" s="1"/>
  <c r="B713" i="9"/>
  <c r="B553" i="6" s="1"/>
  <c r="B555" i="8" s="1"/>
  <c r="B712" i="9"/>
  <c r="B552" i="6" s="1"/>
  <c r="B554" i="8" s="1"/>
  <c r="B711" i="9"/>
  <c r="B551" i="6" s="1"/>
  <c r="B553" i="8" s="1"/>
  <c r="B710" i="9"/>
  <c r="B550" i="6" s="1"/>
  <c r="B552" i="8" s="1"/>
  <c r="B709" i="9"/>
  <c r="B549" i="6" s="1"/>
  <c r="B551" i="8" s="1"/>
  <c r="B708" i="9"/>
  <c r="B548" i="6" s="1"/>
  <c r="B550" i="8" s="1"/>
  <c r="B707" i="9"/>
  <c r="B547" i="6" s="1"/>
  <c r="B549" i="8" s="1"/>
  <c r="B706" i="9"/>
  <c r="B546" i="6" s="1"/>
  <c r="B548" i="8" s="1"/>
  <c r="B705" i="9"/>
  <c r="B545" i="6" s="1"/>
  <c r="B547" i="8" s="1"/>
  <c r="B704" i="9"/>
  <c r="B544" i="6" s="1"/>
  <c r="B546" i="8" s="1"/>
  <c r="B703" i="9"/>
  <c r="B543" i="6" s="1"/>
  <c r="B545" i="8" s="1"/>
  <c r="B702" i="9"/>
  <c r="B542" i="6" s="1"/>
  <c r="B544" i="8" s="1"/>
  <c r="B701" i="9"/>
  <c r="B541" i="6" s="1"/>
  <c r="B543" i="8" s="1"/>
  <c r="B700" i="9"/>
  <c r="B540" i="6" s="1"/>
  <c r="B542" i="8" s="1"/>
  <c r="B699" i="9"/>
  <c r="B539" i="6" s="1"/>
  <c r="B541" i="8" s="1"/>
  <c r="B698" i="9"/>
  <c r="I742" i="9"/>
  <c r="H742" i="9"/>
  <c r="I741" i="9"/>
  <c r="H741" i="9"/>
  <c r="I740" i="9"/>
  <c r="H740" i="9"/>
  <c r="I739" i="9"/>
  <c r="H739" i="9"/>
  <c r="I738" i="9"/>
  <c r="H738" i="9"/>
  <c r="I737" i="9"/>
  <c r="H737" i="9"/>
  <c r="I736" i="9"/>
  <c r="H736" i="9"/>
  <c r="I735" i="9"/>
  <c r="H735" i="9"/>
  <c r="I734" i="9"/>
  <c r="H734" i="9"/>
  <c r="I733" i="9"/>
  <c r="H733" i="9"/>
  <c r="I732" i="9"/>
  <c r="H732" i="9"/>
  <c r="I731" i="9"/>
  <c r="H731" i="9"/>
  <c r="I730" i="9"/>
  <c r="H730" i="9"/>
  <c r="I729" i="9"/>
  <c r="H729" i="9"/>
  <c r="I728" i="9"/>
  <c r="H728" i="9"/>
  <c r="I727" i="9"/>
  <c r="H727" i="9"/>
  <c r="I726" i="9"/>
  <c r="H726" i="9"/>
  <c r="I725" i="9"/>
  <c r="H725" i="9"/>
  <c r="I724" i="9"/>
  <c r="H724" i="9"/>
  <c r="I723" i="9"/>
  <c r="H723" i="9"/>
  <c r="I722" i="9"/>
  <c r="H722" i="9"/>
  <c r="I721" i="9"/>
  <c r="H721" i="9"/>
  <c r="I720" i="9"/>
  <c r="H720" i="9"/>
  <c r="I719" i="9"/>
  <c r="H719" i="9"/>
  <c r="I718" i="9"/>
  <c r="H718" i="9"/>
  <c r="I717" i="9"/>
  <c r="H717" i="9"/>
  <c r="I716" i="9"/>
  <c r="H716" i="9"/>
  <c r="I715" i="9"/>
  <c r="H715" i="9"/>
  <c r="I714" i="9"/>
  <c r="H714" i="9"/>
  <c r="I713" i="9"/>
  <c r="H713" i="9"/>
  <c r="I712" i="9"/>
  <c r="H712" i="9"/>
  <c r="I711" i="9"/>
  <c r="H711" i="9"/>
  <c r="I710" i="9"/>
  <c r="H710" i="9"/>
  <c r="I709" i="9"/>
  <c r="H709" i="9"/>
  <c r="I708" i="9"/>
  <c r="H708" i="9"/>
  <c r="I707" i="9"/>
  <c r="H707" i="9"/>
  <c r="I706" i="9"/>
  <c r="H706" i="9"/>
  <c r="I705" i="9"/>
  <c r="H705" i="9"/>
  <c r="I704" i="9"/>
  <c r="H704" i="9"/>
  <c r="I703" i="9"/>
  <c r="H703" i="9"/>
  <c r="I702" i="9"/>
  <c r="H702" i="9"/>
  <c r="I701" i="9"/>
  <c r="H701" i="9"/>
  <c r="I700" i="9"/>
  <c r="H700" i="9"/>
  <c r="I747" i="9"/>
  <c r="H747" i="9"/>
  <c r="I746" i="9"/>
  <c r="H746" i="9"/>
  <c r="I745" i="9"/>
  <c r="H745" i="9"/>
  <c r="I744" i="9"/>
  <c r="H744" i="9"/>
  <c r="I743" i="9"/>
  <c r="H743" i="9"/>
  <c r="I699" i="9"/>
  <c r="H699" i="9"/>
  <c r="I698" i="9"/>
  <c r="H698" i="9"/>
  <c r="N931" i="6"/>
  <c r="S779" i="6"/>
  <c r="S778" i="6"/>
  <c r="N753" i="6"/>
  <c r="U753" i="6" s="1"/>
  <c r="S1252" i="6"/>
  <c r="AJ859" i="9"/>
  <c r="N1410" i="6"/>
  <c r="U1410" i="6" s="1"/>
  <c r="N1409" i="6"/>
  <c r="U1409" i="6" s="1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385" i="6"/>
  <c r="J1400" i="6"/>
  <c r="J1401" i="6"/>
  <c r="J1402" i="6"/>
  <c r="J1403" i="6"/>
  <c r="J1404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385" i="6"/>
  <c r="S1131" i="6"/>
  <c r="M953" i="6"/>
  <c r="M952" i="6"/>
  <c r="M951" i="6"/>
  <c r="M950" i="6"/>
  <c r="M949" i="6"/>
  <c r="M948" i="6"/>
  <c r="M947" i="6"/>
  <c r="M946" i="6"/>
  <c r="M945" i="6"/>
  <c r="M964" i="6"/>
  <c r="U964" i="6" s="1"/>
  <c r="M963" i="6"/>
  <c r="M962" i="6"/>
  <c r="M961" i="6"/>
  <c r="M960" i="6"/>
  <c r="M959" i="6"/>
  <c r="M958" i="6"/>
  <c r="M957" i="6"/>
  <c r="M956" i="6"/>
  <c r="M955" i="6"/>
  <c r="M954" i="6"/>
  <c r="P888" i="6"/>
  <c r="M851" i="6"/>
  <c r="M850" i="6"/>
  <c r="N803" i="6"/>
  <c r="N747" i="6"/>
  <c r="U747" i="6" s="1"/>
  <c r="N748" i="6"/>
  <c r="U748" i="6" s="1"/>
  <c r="N749" i="6"/>
  <c r="U749" i="6" s="1"/>
  <c r="N750" i="6"/>
  <c r="U750" i="6" s="1"/>
  <c r="N751" i="6"/>
  <c r="U751" i="6" s="1"/>
  <c r="U782" i="6"/>
  <c r="U781" i="6"/>
  <c r="U780" i="6"/>
  <c r="C643" i="11"/>
  <c r="J1167" i="6" s="1"/>
  <c r="C644" i="11"/>
  <c r="J1168" i="6" s="1"/>
  <c r="C645" i="11"/>
  <c r="J1169" i="6" s="1"/>
  <c r="C646" i="11"/>
  <c r="J1170" i="6" s="1"/>
  <c r="C647" i="11"/>
  <c r="J1171" i="6" s="1"/>
  <c r="C648" i="11"/>
  <c r="J1172" i="6" s="1"/>
  <c r="C649" i="11"/>
  <c r="J1173" i="6" s="1"/>
  <c r="C650" i="11"/>
  <c r="J1174" i="6" s="1"/>
  <c r="C651" i="11"/>
  <c r="J1175" i="6" s="1"/>
  <c r="C652" i="11"/>
  <c r="J1176" i="6" s="1"/>
  <c r="C653" i="11"/>
  <c r="J1177" i="6" s="1"/>
  <c r="C654" i="11"/>
  <c r="J1178" i="6" s="1"/>
  <c r="C655" i="11"/>
  <c r="J1179" i="6" s="1"/>
  <c r="C656" i="11"/>
  <c r="J1180" i="6" s="1"/>
  <c r="C657" i="11"/>
  <c r="J1181" i="6" s="1"/>
  <c r="C658" i="11"/>
  <c r="J1182" i="6" s="1"/>
  <c r="C659" i="11"/>
  <c r="J1183" i="6" s="1"/>
  <c r="C660" i="11"/>
  <c r="J1184" i="6" s="1"/>
  <c r="C661" i="11"/>
  <c r="J1185" i="6" s="1"/>
  <c r="C642" i="11"/>
  <c r="J1166" i="6" s="1"/>
  <c r="BB533" i="6"/>
  <c r="BB532" i="6"/>
  <c r="BB531" i="6"/>
  <c r="BB530" i="6"/>
  <c r="BB529" i="6"/>
  <c r="BB528" i="6"/>
  <c r="BB527" i="6"/>
  <c r="BB526" i="6"/>
  <c r="BB525" i="6"/>
  <c r="BB514" i="6"/>
  <c r="BB511" i="6"/>
  <c r="BB510" i="6"/>
  <c r="BB509" i="6"/>
  <c r="BB508" i="6"/>
  <c r="BB507" i="6"/>
  <c r="BB506" i="6"/>
  <c r="BB505" i="6"/>
  <c r="BB504" i="6"/>
  <c r="BB503" i="6"/>
  <c r="BB492" i="6"/>
  <c r="BB489" i="6"/>
  <c r="BB488" i="6"/>
  <c r="BB487" i="6"/>
  <c r="BB486" i="6"/>
  <c r="BB485" i="6"/>
  <c r="BB484" i="6"/>
  <c r="BB483" i="6"/>
  <c r="BB482" i="6"/>
  <c r="BB481" i="6"/>
  <c r="BB470" i="6"/>
  <c r="BB467" i="6"/>
  <c r="BB466" i="6"/>
  <c r="BB465" i="6"/>
  <c r="BB464" i="6"/>
  <c r="BB463" i="6"/>
  <c r="BB462" i="6"/>
  <c r="BB461" i="6"/>
  <c r="BB460" i="6"/>
  <c r="BB459" i="6"/>
  <c r="BB448" i="6"/>
  <c r="BB445" i="6"/>
  <c r="BB444" i="6"/>
  <c r="BB443" i="6"/>
  <c r="BB442" i="6"/>
  <c r="BB441" i="6"/>
  <c r="BB440" i="6"/>
  <c r="BB439" i="6"/>
  <c r="BB438" i="6"/>
  <c r="BB437" i="6"/>
  <c r="BB426" i="6"/>
  <c r="BB423" i="6"/>
  <c r="BB422" i="6"/>
  <c r="BB421" i="6"/>
  <c r="BB420" i="6"/>
  <c r="BB419" i="6"/>
  <c r="BB418" i="6"/>
  <c r="BB417" i="6"/>
  <c r="BB416" i="6"/>
  <c r="BB415" i="6"/>
  <c r="BB404" i="6"/>
  <c r="BB401" i="6"/>
  <c r="BB400" i="6"/>
  <c r="BB399" i="6"/>
  <c r="BB398" i="6"/>
  <c r="BB397" i="6"/>
  <c r="BB396" i="6"/>
  <c r="BB395" i="6"/>
  <c r="BB394" i="6"/>
  <c r="BB393" i="6"/>
  <c r="BB382" i="6"/>
  <c r="BB379" i="6"/>
  <c r="BB378" i="6"/>
  <c r="BB377" i="6"/>
  <c r="BB376" i="6"/>
  <c r="BB375" i="6"/>
  <c r="BB374" i="6"/>
  <c r="BB373" i="6"/>
  <c r="BB372" i="6"/>
  <c r="BB371" i="6"/>
  <c r="BB360" i="6"/>
  <c r="BB357" i="6"/>
  <c r="BB356" i="6"/>
  <c r="BB355" i="6"/>
  <c r="BB354" i="6"/>
  <c r="BB353" i="6"/>
  <c r="BB352" i="6"/>
  <c r="BB351" i="6"/>
  <c r="BB350" i="6"/>
  <c r="BB349" i="6"/>
  <c r="BB338" i="6"/>
  <c r="BB335" i="6"/>
  <c r="BB334" i="6"/>
  <c r="BB333" i="6"/>
  <c r="BB332" i="6"/>
  <c r="BB331" i="6"/>
  <c r="BB330" i="6"/>
  <c r="BB329" i="6"/>
  <c r="BB328" i="6"/>
  <c r="BB327" i="6"/>
  <c r="BB316" i="6"/>
  <c r="BB313" i="6"/>
  <c r="BB312" i="6"/>
  <c r="BB311" i="6"/>
  <c r="BB310" i="6"/>
  <c r="BB309" i="6"/>
  <c r="BB308" i="6"/>
  <c r="BB307" i="6"/>
  <c r="BB306" i="6"/>
  <c r="BB305" i="6"/>
  <c r="BB294" i="6"/>
  <c r="BB291" i="6"/>
  <c r="BB290" i="6"/>
  <c r="BB289" i="6"/>
  <c r="BB288" i="6"/>
  <c r="BB287" i="6"/>
  <c r="BB286" i="6"/>
  <c r="BB285" i="6"/>
  <c r="BB284" i="6"/>
  <c r="BB283" i="6"/>
  <c r="BB272" i="6"/>
  <c r="BB269" i="6"/>
  <c r="BB268" i="6"/>
  <c r="BB267" i="6"/>
  <c r="BB266" i="6"/>
  <c r="BB265" i="6"/>
  <c r="BB264" i="6"/>
  <c r="BB263" i="6"/>
  <c r="BB262" i="6"/>
  <c r="BB261" i="6"/>
  <c r="BB250" i="6"/>
  <c r="BB247" i="6"/>
  <c r="BB246" i="6"/>
  <c r="BB245" i="6"/>
  <c r="BB244" i="6"/>
  <c r="BB243" i="6"/>
  <c r="BB242" i="6"/>
  <c r="BB241" i="6"/>
  <c r="BB240" i="6"/>
  <c r="BB239" i="6"/>
  <c r="BB228" i="6"/>
  <c r="BB225" i="6"/>
  <c r="BB224" i="6"/>
  <c r="BB223" i="6"/>
  <c r="BB222" i="6"/>
  <c r="BB221" i="6"/>
  <c r="BB220" i="6"/>
  <c r="BB219" i="6"/>
  <c r="BB218" i="6"/>
  <c r="BB217" i="6"/>
  <c r="BB206" i="6"/>
  <c r="BB203" i="6"/>
  <c r="BB202" i="6"/>
  <c r="BB201" i="6"/>
  <c r="BB200" i="6"/>
  <c r="BB199" i="6"/>
  <c r="BB198" i="6"/>
  <c r="BB197" i="6"/>
  <c r="BB196" i="6"/>
  <c r="BB195" i="6"/>
  <c r="BB184" i="6"/>
  <c r="BB181" i="6"/>
  <c r="BB180" i="6"/>
  <c r="BB179" i="6"/>
  <c r="BB178" i="6"/>
  <c r="BB177" i="6"/>
  <c r="BB176" i="6"/>
  <c r="BB175" i="6"/>
  <c r="BB174" i="6"/>
  <c r="BB173" i="6"/>
  <c r="BB162" i="6"/>
  <c r="BB159" i="6"/>
  <c r="BB158" i="6"/>
  <c r="BB157" i="6"/>
  <c r="BB156" i="6"/>
  <c r="BB155" i="6"/>
  <c r="BB154" i="6"/>
  <c r="BB153" i="6"/>
  <c r="BB152" i="6"/>
  <c r="BB151" i="6"/>
  <c r="BB140" i="6"/>
  <c r="BB137" i="6"/>
  <c r="BB136" i="6"/>
  <c r="BB135" i="6"/>
  <c r="BB134" i="6"/>
  <c r="BB133" i="6"/>
  <c r="BB132" i="6"/>
  <c r="BB131" i="6"/>
  <c r="BB130" i="6"/>
  <c r="BB129" i="6"/>
  <c r="BB118" i="6"/>
  <c r="BB115" i="6"/>
  <c r="BB114" i="6"/>
  <c r="BB113" i="6"/>
  <c r="BB112" i="6"/>
  <c r="BB111" i="6"/>
  <c r="BB110" i="6"/>
  <c r="BB109" i="6"/>
  <c r="BB108" i="6"/>
  <c r="BB107" i="6"/>
  <c r="BB96" i="6"/>
  <c r="BB89" i="6"/>
  <c r="BB88" i="6"/>
  <c r="BB87" i="6"/>
  <c r="BB86" i="6"/>
  <c r="BB85" i="6"/>
  <c r="BB84" i="6"/>
  <c r="BB83" i="6"/>
  <c r="BB82" i="6"/>
  <c r="BB81" i="6"/>
  <c r="BB80" i="6"/>
  <c r="BB79" i="6"/>
  <c r="BB78" i="6"/>
  <c r="BB77" i="6"/>
  <c r="BB76" i="6"/>
  <c r="BB75" i="6"/>
  <c r="BB74" i="6"/>
  <c r="BB73" i="6"/>
  <c r="BB72" i="6"/>
  <c r="BB71" i="6"/>
  <c r="BB70" i="6"/>
  <c r="BB69" i="6"/>
  <c r="BB68" i="6"/>
  <c r="BB67" i="6"/>
  <c r="BB66" i="6"/>
  <c r="BB65" i="6"/>
  <c r="BB64" i="6"/>
  <c r="BB63" i="6"/>
  <c r="BB62" i="6"/>
  <c r="BB61" i="6"/>
  <c r="BB60" i="6"/>
  <c r="BB59" i="6"/>
  <c r="BB58" i="6"/>
  <c r="BB57" i="6"/>
  <c r="BB56" i="6"/>
  <c r="BB55" i="6"/>
  <c r="BB54" i="6"/>
  <c r="BB53" i="6"/>
  <c r="BB52" i="6"/>
  <c r="BB51" i="6"/>
  <c r="BB50" i="6"/>
  <c r="BB49" i="6"/>
  <c r="BB48" i="6"/>
  <c r="BB47" i="6"/>
  <c r="BB46" i="6"/>
  <c r="BB45" i="6"/>
  <c r="BB44" i="6"/>
  <c r="BB43" i="6"/>
  <c r="BB42" i="6"/>
  <c r="BB41" i="6"/>
  <c r="BB40" i="6"/>
  <c r="BB39" i="6"/>
  <c r="BB38" i="6"/>
  <c r="BB37" i="6"/>
  <c r="BB36" i="6"/>
  <c r="BB35" i="6"/>
  <c r="BB34" i="6"/>
  <c r="BB33" i="6"/>
  <c r="BB32" i="6"/>
  <c r="BB31" i="6"/>
  <c r="BB30" i="6"/>
  <c r="BB29" i="6"/>
  <c r="BB28" i="6"/>
  <c r="BB27" i="6"/>
  <c r="BB26" i="6"/>
  <c r="BB25" i="6"/>
  <c r="BB24" i="6"/>
  <c r="BB23" i="6"/>
  <c r="BB22" i="6"/>
  <c r="BB21" i="6"/>
  <c r="BB20" i="6"/>
  <c r="BB19" i="6"/>
  <c r="BB18" i="6"/>
  <c r="BB17" i="6"/>
  <c r="BB16" i="6"/>
  <c r="BB15" i="6"/>
  <c r="BB14" i="6"/>
  <c r="BB13" i="6"/>
  <c r="BB12" i="6"/>
  <c r="BB11" i="6"/>
  <c r="BB10" i="6"/>
  <c r="BB9" i="6"/>
  <c r="BB8" i="6"/>
  <c r="BB7" i="6"/>
  <c r="BG533" i="6"/>
  <c r="AW533" i="6"/>
  <c r="BG532" i="6"/>
  <c r="AW532" i="6"/>
  <c r="BG531" i="6"/>
  <c r="AW531" i="6"/>
  <c r="BG530" i="6"/>
  <c r="AW530" i="6"/>
  <c r="BG529" i="6"/>
  <c r="AW529" i="6"/>
  <c r="BG528" i="6"/>
  <c r="AW528" i="6"/>
  <c r="BG527" i="6"/>
  <c r="AW527" i="6"/>
  <c r="BG526" i="6"/>
  <c r="AW526" i="6"/>
  <c r="BG525" i="6"/>
  <c r="AW525" i="6"/>
  <c r="BG514" i="6"/>
  <c r="AW514" i="6"/>
  <c r="BG511" i="6"/>
  <c r="AW511" i="6"/>
  <c r="BG510" i="6"/>
  <c r="AW510" i="6"/>
  <c r="BG509" i="6"/>
  <c r="AW509" i="6"/>
  <c r="BG508" i="6"/>
  <c r="AW508" i="6"/>
  <c r="BG507" i="6"/>
  <c r="AW507" i="6"/>
  <c r="BG506" i="6"/>
  <c r="AW506" i="6"/>
  <c r="BG505" i="6"/>
  <c r="AW505" i="6"/>
  <c r="BG504" i="6"/>
  <c r="AW504" i="6"/>
  <c r="BG503" i="6"/>
  <c r="AW503" i="6"/>
  <c r="BG492" i="6"/>
  <c r="AW492" i="6"/>
  <c r="BG489" i="6"/>
  <c r="AW489" i="6"/>
  <c r="BG488" i="6"/>
  <c r="AW488" i="6"/>
  <c r="BG487" i="6"/>
  <c r="AW487" i="6"/>
  <c r="BG486" i="6"/>
  <c r="AW486" i="6"/>
  <c r="BG485" i="6"/>
  <c r="AW485" i="6"/>
  <c r="BG484" i="6"/>
  <c r="AW484" i="6"/>
  <c r="BG483" i="6"/>
  <c r="AW483" i="6"/>
  <c r="BG482" i="6"/>
  <c r="AW482" i="6"/>
  <c r="BG481" i="6"/>
  <c r="AW481" i="6"/>
  <c r="BG470" i="6"/>
  <c r="AW470" i="6"/>
  <c r="BG467" i="6"/>
  <c r="AW467" i="6"/>
  <c r="BG466" i="6"/>
  <c r="AW466" i="6"/>
  <c r="BG465" i="6"/>
  <c r="AW465" i="6"/>
  <c r="BG464" i="6"/>
  <c r="AW464" i="6"/>
  <c r="BG463" i="6"/>
  <c r="AW463" i="6"/>
  <c r="BG462" i="6"/>
  <c r="AW462" i="6"/>
  <c r="BG461" i="6"/>
  <c r="AW461" i="6"/>
  <c r="BG460" i="6"/>
  <c r="AW460" i="6"/>
  <c r="BG459" i="6"/>
  <c r="AW459" i="6"/>
  <c r="BG448" i="6"/>
  <c r="AW448" i="6"/>
  <c r="BG445" i="6"/>
  <c r="AW445" i="6"/>
  <c r="BG444" i="6"/>
  <c r="AW444" i="6"/>
  <c r="BG443" i="6"/>
  <c r="AW443" i="6"/>
  <c r="BG442" i="6"/>
  <c r="AW442" i="6"/>
  <c r="BG441" i="6"/>
  <c r="AW441" i="6"/>
  <c r="BG440" i="6"/>
  <c r="AW440" i="6"/>
  <c r="BG439" i="6"/>
  <c r="AW439" i="6"/>
  <c r="BG438" i="6"/>
  <c r="AW438" i="6"/>
  <c r="BG437" i="6"/>
  <c r="AW437" i="6"/>
  <c r="BG426" i="6"/>
  <c r="AW426" i="6"/>
  <c r="BG423" i="6"/>
  <c r="AW423" i="6"/>
  <c r="BG422" i="6"/>
  <c r="AW422" i="6"/>
  <c r="BG421" i="6"/>
  <c r="AW421" i="6"/>
  <c r="BG420" i="6"/>
  <c r="AW420" i="6"/>
  <c r="BG419" i="6"/>
  <c r="AW419" i="6"/>
  <c r="BG418" i="6"/>
  <c r="AW418" i="6"/>
  <c r="BG417" i="6"/>
  <c r="AW417" i="6"/>
  <c r="BG416" i="6"/>
  <c r="AW416" i="6"/>
  <c r="BG415" i="6"/>
  <c r="AW415" i="6"/>
  <c r="BG404" i="6"/>
  <c r="AW404" i="6"/>
  <c r="BG401" i="6"/>
  <c r="AW401" i="6"/>
  <c r="BG400" i="6"/>
  <c r="AW400" i="6"/>
  <c r="BG399" i="6"/>
  <c r="AW399" i="6"/>
  <c r="BG398" i="6"/>
  <c r="AW398" i="6"/>
  <c r="BG397" i="6"/>
  <c r="AW397" i="6"/>
  <c r="BG396" i="6"/>
  <c r="AW396" i="6"/>
  <c r="BG395" i="6"/>
  <c r="AW395" i="6"/>
  <c r="BG394" i="6"/>
  <c r="AW394" i="6"/>
  <c r="BG393" i="6"/>
  <c r="AW393" i="6"/>
  <c r="BG382" i="6"/>
  <c r="AW382" i="6"/>
  <c r="BG379" i="6"/>
  <c r="AW379" i="6"/>
  <c r="BG378" i="6"/>
  <c r="AW378" i="6"/>
  <c r="BG377" i="6"/>
  <c r="AW377" i="6"/>
  <c r="BG376" i="6"/>
  <c r="AW376" i="6"/>
  <c r="BG375" i="6"/>
  <c r="AW375" i="6"/>
  <c r="BG374" i="6"/>
  <c r="AW374" i="6"/>
  <c r="BG373" i="6"/>
  <c r="AW373" i="6"/>
  <c r="BG372" i="6"/>
  <c r="AW372" i="6"/>
  <c r="BG371" i="6"/>
  <c r="AW371" i="6"/>
  <c r="BG360" i="6"/>
  <c r="AW360" i="6"/>
  <c r="BG357" i="6"/>
  <c r="AW357" i="6"/>
  <c r="BG356" i="6"/>
  <c r="AW356" i="6"/>
  <c r="BG355" i="6"/>
  <c r="AW355" i="6"/>
  <c r="BG354" i="6"/>
  <c r="AW354" i="6"/>
  <c r="BG353" i="6"/>
  <c r="AW353" i="6"/>
  <c r="BG352" i="6"/>
  <c r="AW352" i="6"/>
  <c r="BG351" i="6"/>
  <c r="AW351" i="6"/>
  <c r="BG350" i="6"/>
  <c r="AW350" i="6"/>
  <c r="BG349" i="6"/>
  <c r="AW349" i="6"/>
  <c r="BG338" i="6"/>
  <c r="AW338" i="6"/>
  <c r="BG335" i="6"/>
  <c r="AW335" i="6"/>
  <c r="BG334" i="6"/>
  <c r="AW334" i="6"/>
  <c r="BG333" i="6"/>
  <c r="AW333" i="6"/>
  <c r="BG332" i="6"/>
  <c r="AW332" i="6"/>
  <c r="BG331" i="6"/>
  <c r="AW331" i="6"/>
  <c r="BG330" i="6"/>
  <c r="AW330" i="6"/>
  <c r="BG329" i="6"/>
  <c r="AW329" i="6"/>
  <c r="BG328" i="6"/>
  <c r="AW328" i="6"/>
  <c r="BG327" i="6"/>
  <c r="AW327" i="6"/>
  <c r="BG316" i="6"/>
  <c r="AW316" i="6"/>
  <c r="BG313" i="6"/>
  <c r="AW313" i="6"/>
  <c r="BG312" i="6"/>
  <c r="AW312" i="6"/>
  <c r="BG311" i="6"/>
  <c r="AW311" i="6"/>
  <c r="BG310" i="6"/>
  <c r="AW310" i="6"/>
  <c r="BG309" i="6"/>
  <c r="AW309" i="6"/>
  <c r="BG308" i="6"/>
  <c r="AW308" i="6"/>
  <c r="BG307" i="6"/>
  <c r="AW307" i="6"/>
  <c r="BG306" i="6"/>
  <c r="AW306" i="6"/>
  <c r="BG305" i="6"/>
  <c r="AW305" i="6"/>
  <c r="BG294" i="6"/>
  <c r="AW294" i="6"/>
  <c r="BG291" i="6"/>
  <c r="AW291" i="6"/>
  <c r="BG290" i="6"/>
  <c r="AW290" i="6"/>
  <c r="BG289" i="6"/>
  <c r="AW289" i="6"/>
  <c r="BG288" i="6"/>
  <c r="AW288" i="6"/>
  <c r="BG287" i="6"/>
  <c r="AW287" i="6"/>
  <c r="BG286" i="6"/>
  <c r="AW286" i="6"/>
  <c r="BG285" i="6"/>
  <c r="AW285" i="6"/>
  <c r="BG284" i="6"/>
  <c r="AW284" i="6"/>
  <c r="BG283" i="6"/>
  <c r="AW283" i="6"/>
  <c r="BG272" i="6"/>
  <c r="AW272" i="6"/>
  <c r="BG269" i="6"/>
  <c r="AW269" i="6"/>
  <c r="BG268" i="6"/>
  <c r="AW268" i="6"/>
  <c r="BG267" i="6"/>
  <c r="AW267" i="6"/>
  <c r="BG266" i="6"/>
  <c r="AW266" i="6"/>
  <c r="BG265" i="6"/>
  <c r="AW265" i="6"/>
  <c r="BG264" i="6"/>
  <c r="AW264" i="6"/>
  <c r="BG263" i="6"/>
  <c r="AW263" i="6"/>
  <c r="BG262" i="6"/>
  <c r="AW262" i="6"/>
  <c r="BG261" i="6"/>
  <c r="AW261" i="6"/>
  <c r="BG250" i="6"/>
  <c r="AW250" i="6"/>
  <c r="BG247" i="6"/>
  <c r="AW247" i="6"/>
  <c r="BG246" i="6"/>
  <c r="AW246" i="6"/>
  <c r="BG245" i="6"/>
  <c r="AW245" i="6"/>
  <c r="BG244" i="6"/>
  <c r="AW244" i="6"/>
  <c r="BG243" i="6"/>
  <c r="AW243" i="6"/>
  <c r="BG242" i="6"/>
  <c r="AW242" i="6"/>
  <c r="BG241" i="6"/>
  <c r="AW241" i="6"/>
  <c r="BG240" i="6"/>
  <c r="AW240" i="6"/>
  <c r="BG239" i="6"/>
  <c r="AW239" i="6"/>
  <c r="BG228" i="6"/>
  <c r="AW228" i="6"/>
  <c r="BG225" i="6"/>
  <c r="AW225" i="6"/>
  <c r="BG224" i="6"/>
  <c r="AW224" i="6"/>
  <c r="BG223" i="6"/>
  <c r="AW223" i="6"/>
  <c r="BG222" i="6"/>
  <c r="AW222" i="6"/>
  <c r="BG221" i="6"/>
  <c r="AW221" i="6"/>
  <c r="BG220" i="6"/>
  <c r="AW220" i="6"/>
  <c r="BG219" i="6"/>
  <c r="AW219" i="6"/>
  <c r="BG218" i="6"/>
  <c r="AW218" i="6"/>
  <c r="BG217" i="6"/>
  <c r="AW217" i="6"/>
  <c r="BG206" i="6"/>
  <c r="AW206" i="6"/>
  <c r="BG203" i="6"/>
  <c r="AW203" i="6"/>
  <c r="BG202" i="6"/>
  <c r="AW202" i="6"/>
  <c r="BG201" i="6"/>
  <c r="AW201" i="6"/>
  <c r="BG200" i="6"/>
  <c r="AW200" i="6"/>
  <c r="BG199" i="6"/>
  <c r="AW199" i="6"/>
  <c r="BG198" i="6"/>
  <c r="AW198" i="6"/>
  <c r="BG197" i="6"/>
  <c r="AW197" i="6"/>
  <c r="BG196" i="6"/>
  <c r="AW196" i="6"/>
  <c r="BG195" i="6"/>
  <c r="AW195" i="6"/>
  <c r="BG184" i="6"/>
  <c r="AW184" i="6"/>
  <c r="BG181" i="6"/>
  <c r="AW181" i="6"/>
  <c r="BG180" i="6"/>
  <c r="AW180" i="6"/>
  <c r="BG179" i="6"/>
  <c r="AW179" i="6"/>
  <c r="BG178" i="6"/>
  <c r="AW178" i="6"/>
  <c r="BG177" i="6"/>
  <c r="AW177" i="6"/>
  <c r="BG176" i="6"/>
  <c r="AW176" i="6"/>
  <c r="BG175" i="6"/>
  <c r="AW175" i="6"/>
  <c r="BG174" i="6"/>
  <c r="AW174" i="6"/>
  <c r="BG173" i="6"/>
  <c r="AW173" i="6"/>
  <c r="BG162" i="6"/>
  <c r="AW162" i="6"/>
  <c r="BG159" i="6"/>
  <c r="AW159" i="6"/>
  <c r="BG158" i="6"/>
  <c r="AW158" i="6"/>
  <c r="BG157" i="6"/>
  <c r="AW157" i="6"/>
  <c r="BG156" i="6"/>
  <c r="AW156" i="6"/>
  <c r="BG155" i="6"/>
  <c r="AW155" i="6"/>
  <c r="BG154" i="6"/>
  <c r="AW154" i="6"/>
  <c r="BG153" i="6"/>
  <c r="AW153" i="6"/>
  <c r="BG152" i="6"/>
  <c r="AW152" i="6"/>
  <c r="BG151" i="6"/>
  <c r="AW151" i="6"/>
  <c r="BG140" i="6"/>
  <c r="AW140" i="6"/>
  <c r="BG137" i="6"/>
  <c r="AW137" i="6"/>
  <c r="BG136" i="6"/>
  <c r="AW136" i="6"/>
  <c r="BG135" i="6"/>
  <c r="AW135" i="6"/>
  <c r="BG134" i="6"/>
  <c r="AW134" i="6"/>
  <c r="BG133" i="6"/>
  <c r="AW133" i="6"/>
  <c r="BG132" i="6"/>
  <c r="AW132" i="6"/>
  <c r="BG131" i="6"/>
  <c r="AW131" i="6"/>
  <c r="BG130" i="6"/>
  <c r="AW130" i="6"/>
  <c r="BG129" i="6"/>
  <c r="AW129" i="6"/>
  <c r="BG118" i="6"/>
  <c r="AW118" i="6"/>
  <c r="BG115" i="6"/>
  <c r="AW115" i="6"/>
  <c r="BG114" i="6"/>
  <c r="AW114" i="6"/>
  <c r="BG113" i="6"/>
  <c r="AW113" i="6"/>
  <c r="BG112" i="6"/>
  <c r="AW112" i="6"/>
  <c r="BG111" i="6"/>
  <c r="AW111" i="6"/>
  <c r="BG110" i="6"/>
  <c r="AW110" i="6"/>
  <c r="BG109" i="6"/>
  <c r="AW109" i="6"/>
  <c r="BG108" i="6"/>
  <c r="AW108" i="6"/>
  <c r="BG107" i="6"/>
  <c r="AW107" i="6"/>
  <c r="BG96" i="6"/>
  <c r="AW96" i="6"/>
  <c r="BG89" i="6"/>
  <c r="BG88" i="6"/>
  <c r="BG87" i="6"/>
  <c r="BG86" i="6"/>
  <c r="BG85" i="6"/>
  <c r="BG84" i="6"/>
  <c r="BG83" i="6"/>
  <c r="BG82" i="6"/>
  <c r="BG81" i="6"/>
  <c r="BG80" i="6"/>
  <c r="BG79" i="6"/>
  <c r="BG78" i="6"/>
  <c r="BG77" i="6"/>
  <c r="BG76" i="6"/>
  <c r="BG75" i="6"/>
  <c r="BG74" i="6"/>
  <c r="BG73" i="6"/>
  <c r="BG72" i="6"/>
  <c r="BG71" i="6"/>
  <c r="BG70" i="6"/>
  <c r="BG69" i="6"/>
  <c r="BG68" i="6"/>
  <c r="BG67" i="6"/>
  <c r="BG66" i="6"/>
  <c r="BG65" i="6"/>
  <c r="BG64" i="6"/>
  <c r="BG63" i="6"/>
  <c r="BG62" i="6"/>
  <c r="BG61" i="6"/>
  <c r="BG60" i="6"/>
  <c r="BG59" i="6"/>
  <c r="BG58" i="6"/>
  <c r="BG57" i="6"/>
  <c r="BG56" i="6"/>
  <c r="BG55" i="6"/>
  <c r="BG54" i="6"/>
  <c r="BG53" i="6"/>
  <c r="BG52" i="6"/>
  <c r="BG51" i="6"/>
  <c r="BG50" i="6"/>
  <c r="BG49" i="6"/>
  <c r="BG48" i="6"/>
  <c r="BG47" i="6"/>
  <c r="BG46" i="6"/>
  <c r="BG45" i="6"/>
  <c r="BG44" i="6"/>
  <c r="BG43" i="6"/>
  <c r="BG42" i="6"/>
  <c r="BG41" i="6"/>
  <c r="BG40" i="6"/>
  <c r="BG39" i="6"/>
  <c r="BG38" i="6"/>
  <c r="BG37" i="6"/>
  <c r="BG36" i="6"/>
  <c r="BG35" i="6"/>
  <c r="BG34" i="6"/>
  <c r="BG33" i="6"/>
  <c r="BG32" i="6"/>
  <c r="BG31" i="6"/>
  <c r="BG30" i="6"/>
  <c r="BG29" i="6"/>
  <c r="BG28" i="6"/>
  <c r="BG27" i="6"/>
  <c r="BG26" i="6"/>
  <c r="BG25" i="6"/>
  <c r="BG24" i="6"/>
  <c r="BG23" i="6"/>
  <c r="BG22" i="6"/>
  <c r="BG21" i="6"/>
  <c r="BG20" i="6"/>
  <c r="BG19" i="6"/>
  <c r="BG18" i="6"/>
  <c r="BG17" i="6"/>
  <c r="BG16" i="6"/>
  <c r="BG15" i="6"/>
  <c r="BG14" i="6"/>
  <c r="BG13" i="6"/>
  <c r="BG12" i="6"/>
  <c r="BG11" i="6"/>
  <c r="BG10" i="6"/>
  <c r="BG9" i="6"/>
  <c r="BG8" i="6"/>
  <c r="BG7" i="6"/>
  <c r="AW89" i="6"/>
  <c r="AW88" i="6"/>
  <c r="AW87" i="6"/>
  <c r="AW86" i="6"/>
  <c r="AW85" i="6"/>
  <c r="AW84" i="6"/>
  <c r="AW83" i="6"/>
  <c r="AW82" i="6"/>
  <c r="AW81" i="6"/>
  <c r="AW80" i="6"/>
  <c r="AW79" i="6"/>
  <c r="AW78" i="6"/>
  <c r="AW77" i="6"/>
  <c r="AW76" i="6"/>
  <c r="AW75" i="6"/>
  <c r="AW74" i="6"/>
  <c r="AW73" i="6"/>
  <c r="AW72" i="6"/>
  <c r="AW71" i="6"/>
  <c r="AW70" i="6"/>
  <c r="AW69" i="6"/>
  <c r="AW68" i="6"/>
  <c r="AW67" i="6"/>
  <c r="AW66" i="6"/>
  <c r="AW65" i="6"/>
  <c r="AW64" i="6"/>
  <c r="AW63" i="6"/>
  <c r="AW62" i="6"/>
  <c r="AW61" i="6"/>
  <c r="AW60" i="6"/>
  <c r="AW59" i="6"/>
  <c r="AW58" i="6"/>
  <c r="AW57" i="6"/>
  <c r="AW56" i="6"/>
  <c r="AW55" i="6"/>
  <c r="AW54" i="6"/>
  <c r="AW53" i="6"/>
  <c r="AW52" i="6"/>
  <c r="AW51" i="6"/>
  <c r="AW50" i="6"/>
  <c r="AW49" i="6"/>
  <c r="AW48" i="6"/>
  <c r="AW47" i="6"/>
  <c r="AW46" i="6"/>
  <c r="AW45" i="6"/>
  <c r="AW44" i="6"/>
  <c r="AW43" i="6"/>
  <c r="AW42" i="6"/>
  <c r="AW41" i="6"/>
  <c r="AW40" i="6"/>
  <c r="AW39" i="6"/>
  <c r="AW38" i="6"/>
  <c r="AW37" i="6"/>
  <c r="AW36" i="6"/>
  <c r="AW35" i="6"/>
  <c r="AW34" i="6"/>
  <c r="AW33" i="6"/>
  <c r="AW32" i="6"/>
  <c r="AW31" i="6"/>
  <c r="AW30" i="6"/>
  <c r="AW29" i="6"/>
  <c r="AW28" i="6"/>
  <c r="AW27" i="6"/>
  <c r="AW26" i="6"/>
  <c r="AW25" i="6"/>
  <c r="AW24" i="6"/>
  <c r="AW23" i="6"/>
  <c r="AW22" i="6"/>
  <c r="AW21" i="6"/>
  <c r="AW20" i="6"/>
  <c r="AW19" i="6"/>
  <c r="AW18" i="6"/>
  <c r="AW17" i="6"/>
  <c r="AW16" i="6"/>
  <c r="AW15" i="6"/>
  <c r="AW14" i="6"/>
  <c r="AW13" i="6"/>
  <c r="AW12" i="6"/>
  <c r="AW11" i="6"/>
  <c r="AW10" i="6"/>
  <c r="AW9" i="6"/>
  <c r="AW8" i="6"/>
  <c r="AW7" i="6"/>
  <c r="AO28" i="8"/>
  <c r="AN28" i="8"/>
  <c r="AM28" i="8"/>
  <c r="AD28" i="8"/>
  <c r="AC28" i="8"/>
  <c r="AB28" i="8"/>
  <c r="S28" i="8"/>
  <c r="R28" i="8"/>
  <c r="Q28" i="8"/>
  <c r="AL8" i="8"/>
  <c r="AA23" i="8"/>
  <c r="AA22" i="8"/>
  <c r="AA21" i="8"/>
  <c r="AA18" i="8"/>
  <c r="AA17" i="8"/>
  <c r="AA16" i="8"/>
  <c r="AA14" i="8"/>
  <c r="AA12" i="8"/>
  <c r="AA8" i="8"/>
  <c r="B849" i="9"/>
  <c r="B89" i="6" s="1"/>
  <c r="B114" i="8" s="1"/>
  <c r="B848" i="9"/>
  <c r="B88" i="6" s="1"/>
  <c r="B113" i="8" s="1"/>
  <c r="B847" i="9"/>
  <c r="B87" i="6" s="1"/>
  <c r="B112" i="8" s="1"/>
  <c r="B846" i="9"/>
  <c r="B86" i="6" s="1"/>
  <c r="B111" i="8" s="1"/>
  <c r="B845" i="9"/>
  <c r="B85" i="6" s="1"/>
  <c r="B110" i="8" s="1"/>
  <c r="B844" i="9"/>
  <c r="B84" i="6" s="1"/>
  <c r="B109" i="8" s="1"/>
  <c r="B843" i="9"/>
  <c r="B83" i="6" s="1"/>
  <c r="B108" i="8" s="1"/>
  <c r="B842" i="9"/>
  <c r="B82" i="6" s="1"/>
  <c r="B107" i="8" s="1"/>
  <c r="B841" i="9"/>
  <c r="B81" i="6" s="1"/>
  <c r="B106" i="8" s="1"/>
  <c r="B840" i="9"/>
  <c r="B80" i="6" s="1"/>
  <c r="B105" i="8" s="1"/>
  <c r="B838" i="9"/>
  <c r="B79" i="6" s="1"/>
  <c r="B104" i="8" s="1"/>
  <c r="B837" i="9"/>
  <c r="B78" i="6" s="1"/>
  <c r="B103" i="8" s="1"/>
  <c r="B836" i="9"/>
  <c r="B77" i="6" s="1"/>
  <c r="B102" i="8" s="1"/>
  <c r="B835" i="9"/>
  <c r="B76" i="6" s="1"/>
  <c r="B101" i="8" s="1"/>
  <c r="B834" i="9"/>
  <c r="B75" i="6" s="1"/>
  <c r="B100" i="8" s="1"/>
  <c r="B833" i="9"/>
  <c r="B74" i="6" s="1"/>
  <c r="B99" i="8" s="1"/>
  <c r="B832" i="9"/>
  <c r="B73" i="6" s="1"/>
  <c r="B98" i="8" s="1"/>
  <c r="B831" i="9"/>
  <c r="B72" i="6" s="1"/>
  <c r="B97" i="8" s="1"/>
  <c r="B830" i="9"/>
  <c r="B71" i="6" s="1"/>
  <c r="B96" i="8" s="1"/>
  <c r="B829" i="9"/>
  <c r="B70" i="6" s="1"/>
  <c r="B95" i="8" s="1"/>
  <c r="B827" i="9"/>
  <c r="B69" i="6" s="1"/>
  <c r="B94" i="8" s="1"/>
  <c r="B826" i="9"/>
  <c r="B68" i="6" s="1"/>
  <c r="B93" i="8" s="1"/>
  <c r="B825" i="9"/>
  <c r="B67" i="6" s="1"/>
  <c r="B92" i="8" s="1"/>
  <c r="B824" i="9"/>
  <c r="B66" i="6" s="1"/>
  <c r="B91" i="8" s="1"/>
  <c r="B823" i="9"/>
  <c r="B65" i="6" s="1"/>
  <c r="B90" i="8" s="1"/>
  <c r="B822" i="9"/>
  <c r="B64" i="6" s="1"/>
  <c r="B89" i="8" s="1"/>
  <c r="B821" i="9"/>
  <c r="B63" i="6" s="1"/>
  <c r="B88" i="8" s="1"/>
  <c r="B819" i="9"/>
  <c r="B62" i="6" s="1"/>
  <c r="B87" i="8" s="1"/>
  <c r="B818" i="9"/>
  <c r="B61" i="6" s="1"/>
  <c r="B86" i="8" s="1"/>
  <c r="B817" i="9"/>
  <c r="B60" i="6" s="1"/>
  <c r="B85" i="8" s="1"/>
  <c r="B816" i="9"/>
  <c r="B59" i="6" s="1"/>
  <c r="B84" i="8" s="1"/>
  <c r="B815" i="9"/>
  <c r="B58" i="6" s="1"/>
  <c r="B83" i="8" s="1"/>
  <c r="B814" i="9"/>
  <c r="B57" i="6" s="1"/>
  <c r="B82" i="8" s="1"/>
  <c r="B813" i="9"/>
  <c r="B56" i="6" s="1"/>
  <c r="B81" i="8" s="1"/>
  <c r="B811" i="9"/>
  <c r="B55" i="6" s="1"/>
  <c r="B80" i="8" s="1"/>
  <c r="B810" i="9"/>
  <c r="B54" i="6" s="1"/>
  <c r="B79" i="8" s="1"/>
  <c r="B809" i="9"/>
  <c r="B53" i="6" s="1"/>
  <c r="B78" i="8" s="1"/>
  <c r="B808" i="9"/>
  <c r="B52" i="6" s="1"/>
  <c r="B77" i="8" s="1"/>
  <c r="B807" i="9"/>
  <c r="B51" i="6" s="1"/>
  <c r="B76" i="8" s="1"/>
  <c r="B806" i="9"/>
  <c r="B50" i="6" s="1"/>
  <c r="B75" i="8" s="1"/>
  <c r="B805" i="9"/>
  <c r="B49" i="6" s="1"/>
  <c r="B74" i="8" s="1"/>
  <c r="B803" i="9"/>
  <c r="B48" i="6" s="1"/>
  <c r="B73" i="8" s="1"/>
  <c r="B802" i="9"/>
  <c r="B47" i="6" s="1"/>
  <c r="B72" i="8" s="1"/>
  <c r="B801" i="9"/>
  <c r="B46" i="6" s="1"/>
  <c r="B71" i="8" s="1"/>
  <c r="B800" i="9"/>
  <c r="B45" i="6" s="1"/>
  <c r="B70" i="8" s="1"/>
  <c r="B799" i="9"/>
  <c r="B44" i="6" s="1"/>
  <c r="B69" i="8" s="1"/>
  <c r="B798" i="9"/>
  <c r="B43" i="6" s="1"/>
  <c r="B68" i="8" s="1"/>
  <c r="B797" i="9"/>
  <c r="B42" i="6" s="1"/>
  <c r="B67" i="8" s="1"/>
  <c r="B795" i="9"/>
  <c r="B41" i="6" s="1"/>
  <c r="B66" i="8" s="1"/>
  <c r="B794" i="9"/>
  <c r="B40" i="6" s="1"/>
  <c r="B65" i="8" s="1"/>
  <c r="B793" i="9"/>
  <c r="B39" i="6" s="1"/>
  <c r="B64" i="8" s="1"/>
  <c r="B792" i="9"/>
  <c r="B38" i="6" s="1"/>
  <c r="B63" i="8" s="1"/>
  <c r="B791" i="9"/>
  <c r="B37" i="6" s="1"/>
  <c r="B62" i="8" s="1"/>
  <c r="B790" i="9"/>
  <c r="B36" i="6" s="1"/>
  <c r="B61" i="8" s="1"/>
  <c r="B789" i="9"/>
  <c r="B35" i="6" s="1"/>
  <c r="B60" i="8" s="1"/>
  <c r="B787" i="9"/>
  <c r="B34" i="6" s="1"/>
  <c r="B59" i="8" s="1"/>
  <c r="B786" i="9"/>
  <c r="B33" i="6" s="1"/>
  <c r="B58" i="8" s="1"/>
  <c r="B785" i="9"/>
  <c r="B32" i="6" s="1"/>
  <c r="B57" i="8" s="1"/>
  <c r="B784" i="9"/>
  <c r="B31" i="6" s="1"/>
  <c r="B56" i="8" s="1"/>
  <c r="B783" i="9"/>
  <c r="B30" i="6" s="1"/>
  <c r="B55" i="8" s="1"/>
  <c r="B782" i="9"/>
  <c r="B29" i="6" s="1"/>
  <c r="B54" i="8" s="1"/>
  <c r="B781" i="9"/>
  <c r="B28" i="6" s="1"/>
  <c r="B53" i="8" s="1"/>
  <c r="B779" i="9"/>
  <c r="B27" i="6" s="1"/>
  <c r="B52" i="8" s="1"/>
  <c r="B778" i="9"/>
  <c r="B26" i="6" s="1"/>
  <c r="B51" i="8" s="1"/>
  <c r="B777" i="9"/>
  <c r="B25" i="6" s="1"/>
  <c r="B50" i="8" s="1"/>
  <c r="B776" i="9"/>
  <c r="B24" i="6" s="1"/>
  <c r="B49" i="8" s="1"/>
  <c r="B775" i="9"/>
  <c r="B23" i="6" s="1"/>
  <c r="B48" i="8" s="1"/>
  <c r="B774" i="9"/>
  <c r="B22" i="6" s="1"/>
  <c r="B47" i="8" s="1"/>
  <c r="B773" i="9"/>
  <c r="B21" i="6" s="1"/>
  <c r="B46" i="8" s="1"/>
  <c r="B771" i="9"/>
  <c r="B20" i="6" s="1"/>
  <c r="B45" i="8" s="1"/>
  <c r="B770" i="9"/>
  <c r="B19" i="6" s="1"/>
  <c r="B44" i="8" s="1"/>
  <c r="B769" i="9"/>
  <c r="B18" i="6" s="1"/>
  <c r="B43" i="8" s="1"/>
  <c r="B768" i="9"/>
  <c r="B17" i="6" s="1"/>
  <c r="B42" i="8" s="1"/>
  <c r="B767" i="9"/>
  <c r="B16" i="6" s="1"/>
  <c r="B766" i="9"/>
  <c r="B765" i="9"/>
  <c r="B14" i="6" s="1"/>
  <c r="B39" i="8" s="1"/>
  <c r="B763" i="9"/>
  <c r="B13" i="6" s="1"/>
  <c r="B38" i="8" s="1"/>
  <c r="B762" i="9"/>
  <c r="B12" i="6" s="1"/>
  <c r="B37" i="8" s="1"/>
  <c r="B761" i="9"/>
  <c r="B760" i="9"/>
  <c r="B10" i="6" s="1"/>
  <c r="B759" i="9"/>
  <c r="B758" i="9"/>
  <c r="B8" i="6" s="1"/>
  <c r="B33" i="8" s="1"/>
  <c r="B757" i="9"/>
  <c r="B7" i="6" s="1"/>
  <c r="B32" i="8" s="1"/>
  <c r="U752" i="6"/>
  <c r="U721" i="6"/>
  <c r="U722" i="6"/>
  <c r="U723" i="6"/>
  <c r="U724" i="6"/>
  <c r="U725" i="6"/>
  <c r="U726" i="6"/>
  <c r="U727" i="6"/>
  <c r="S1451" i="6"/>
  <c r="D635" i="11"/>
  <c r="L1163" i="6" s="1"/>
  <c r="D634" i="11"/>
  <c r="L1162" i="6" s="1"/>
  <c r="D633" i="11"/>
  <c r="L1161" i="6" s="1"/>
  <c r="D632" i="11"/>
  <c r="L1160" i="6" s="1"/>
  <c r="D631" i="11"/>
  <c r="L1159" i="6" s="1"/>
  <c r="D630" i="11"/>
  <c r="L1158" i="6" s="1"/>
  <c r="D629" i="11"/>
  <c r="L1157" i="6" s="1"/>
  <c r="D628" i="11"/>
  <c r="D627" i="11"/>
  <c r="L1155" i="6" s="1"/>
  <c r="D626" i="11"/>
  <c r="L1154" i="6" s="1"/>
  <c r="D625" i="11"/>
  <c r="L1153" i="6" s="1"/>
  <c r="D624" i="11"/>
  <c r="L1152" i="6" s="1"/>
  <c r="D623" i="11"/>
  <c r="L1151" i="6" s="1"/>
  <c r="D622" i="11"/>
  <c r="L1150" i="6" s="1"/>
  <c r="D621" i="11"/>
  <c r="L1149" i="6" s="1"/>
  <c r="D620" i="11"/>
  <c r="L1148" i="6" s="1"/>
  <c r="D619" i="11"/>
  <c r="L1147" i="6" s="1"/>
  <c r="D618" i="11"/>
  <c r="L1146" i="6" s="1"/>
  <c r="D617" i="11"/>
  <c r="L1145" i="6" s="1"/>
  <c r="D616" i="11"/>
  <c r="L1144" i="6" s="1"/>
  <c r="D615" i="11"/>
  <c r="L1143" i="6" s="1"/>
  <c r="D614" i="11"/>
  <c r="L1142" i="6" s="1"/>
  <c r="D613" i="11"/>
  <c r="L1141" i="6" s="1"/>
  <c r="D612" i="11"/>
  <c r="L1140" i="6" s="1"/>
  <c r="D611" i="11"/>
  <c r="L1139" i="6" s="1"/>
  <c r="D610" i="11"/>
  <c r="L1138" i="6" s="1"/>
  <c r="D609" i="11"/>
  <c r="L1137" i="6" s="1"/>
  <c r="D608" i="11"/>
  <c r="L1136" i="6" s="1"/>
  <c r="D607" i="11"/>
  <c r="L1135" i="6" s="1"/>
  <c r="D606" i="11"/>
  <c r="L1134" i="6" s="1"/>
  <c r="D605" i="11"/>
  <c r="L1133" i="6" s="1"/>
  <c r="D604" i="11"/>
  <c r="L1132" i="6" s="1"/>
  <c r="D603" i="11"/>
  <c r="L1131" i="6" s="1"/>
  <c r="D602" i="11"/>
  <c r="L1130" i="6" s="1"/>
  <c r="D601" i="11"/>
  <c r="L1129" i="6" s="1"/>
  <c r="D600" i="11"/>
  <c r="L1128" i="6" s="1"/>
  <c r="D599" i="11"/>
  <c r="L1127" i="6" s="1"/>
  <c r="D598" i="11"/>
  <c r="D597" i="11"/>
  <c r="L1125" i="6" s="1"/>
  <c r="D596" i="11"/>
  <c r="L1124" i="6" s="1"/>
  <c r="D595" i="11"/>
  <c r="L1123" i="6" s="1"/>
  <c r="D594" i="11"/>
  <c r="D593" i="11"/>
  <c r="L1121" i="6" s="1"/>
  <c r="D592" i="11"/>
  <c r="L1120" i="6" s="1"/>
  <c r="D591" i="11"/>
  <c r="L1119" i="6" s="1"/>
  <c r="D590" i="11"/>
  <c r="L1118" i="6" s="1"/>
  <c r="D589" i="11"/>
  <c r="L1117" i="6" s="1"/>
  <c r="D588" i="11"/>
  <c r="L1116" i="6" s="1"/>
  <c r="D587" i="11"/>
  <c r="L1115" i="6" s="1"/>
  <c r="D586" i="11"/>
  <c r="L1114" i="6" s="1"/>
  <c r="D585" i="11"/>
  <c r="D584" i="11"/>
  <c r="L1112" i="6" s="1"/>
  <c r="D583" i="11"/>
  <c r="L1111" i="6" s="1"/>
  <c r="D582" i="11"/>
  <c r="L1110" i="6" s="1"/>
  <c r="D581" i="11"/>
  <c r="L1109" i="6" s="1"/>
  <c r="D580" i="11"/>
  <c r="L1108" i="6" s="1"/>
  <c r="D579" i="11"/>
  <c r="L1107" i="6" s="1"/>
  <c r="D578" i="11"/>
  <c r="L1106" i="6" s="1"/>
  <c r="D577" i="11"/>
  <c r="L1105" i="6" s="1"/>
  <c r="D576" i="11"/>
  <c r="L1104" i="6" s="1"/>
  <c r="D575" i="11"/>
  <c r="L1103" i="6" s="1"/>
  <c r="D574" i="11"/>
  <c r="L1102" i="6" s="1"/>
  <c r="D573" i="11"/>
  <c r="L1101" i="6" s="1"/>
  <c r="D572" i="11"/>
  <c r="L1100" i="6" s="1"/>
  <c r="D571" i="11"/>
  <c r="L1099" i="6" s="1"/>
  <c r="D570" i="11"/>
  <c r="L1098" i="6" s="1"/>
  <c r="D569" i="11"/>
  <c r="D568" i="11"/>
  <c r="L1096" i="6" s="1"/>
  <c r="D567" i="11"/>
  <c r="L1095" i="6" s="1"/>
  <c r="D566" i="11"/>
  <c r="L1094" i="6" s="1"/>
  <c r="D565" i="11"/>
  <c r="L1093" i="6" s="1"/>
  <c r="D564" i="11"/>
  <c r="L1092" i="6" s="1"/>
  <c r="D563" i="11"/>
  <c r="L1091" i="6" s="1"/>
  <c r="D562" i="11"/>
  <c r="L1090" i="6" s="1"/>
  <c r="D561" i="11"/>
  <c r="L1089" i="6" s="1"/>
  <c r="D560" i="11"/>
  <c r="L1088" i="6" s="1"/>
  <c r="D559" i="11"/>
  <c r="L1087" i="6" s="1"/>
  <c r="D558" i="11"/>
  <c r="D557" i="11"/>
  <c r="L1085" i="6" s="1"/>
  <c r="D556" i="11"/>
  <c r="L1084" i="6" s="1"/>
  <c r="D554" i="11"/>
  <c r="L1082" i="6" s="1"/>
  <c r="D553" i="11"/>
  <c r="L1081" i="6" s="1"/>
  <c r="D552" i="11"/>
  <c r="D551" i="11"/>
  <c r="L1079" i="6" s="1"/>
  <c r="D550" i="11"/>
  <c r="L1078" i="6" s="1"/>
  <c r="D549" i="11"/>
  <c r="L1077" i="6" s="1"/>
  <c r="D548" i="11"/>
  <c r="L1076" i="6" s="1"/>
  <c r="D547" i="11"/>
  <c r="L1075" i="6" s="1"/>
  <c r="D546" i="11"/>
  <c r="L1074" i="6" s="1"/>
  <c r="D545" i="11"/>
  <c r="L1073" i="6" s="1"/>
  <c r="D544" i="11"/>
  <c r="L1072" i="6" s="1"/>
  <c r="D543" i="11"/>
  <c r="L1071" i="6" s="1"/>
  <c r="D542" i="11"/>
  <c r="L1070" i="6" s="1"/>
  <c r="D541" i="11"/>
  <c r="L1069" i="6" s="1"/>
  <c r="D540" i="11"/>
  <c r="L1068" i="6" s="1"/>
  <c r="D539" i="11"/>
  <c r="L1067" i="6" s="1"/>
  <c r="D537" i="11"/>
  <c r="L1065" i="6" s="1"/>
  <c r="D535" i="11"/>
  <c r="L1063" i="6" s="1"/>
  <c r="D534" i="11"/>
  <c r="D533" i="11"/>
  <c r="L1061" i="6" s="1"/>
  <c r="D532" i="11"/>
  <c r="L1060" i="6" s="1"/>
  <c r="D531" i="11"/>
  <c r="L1059" i="6" s="1"/>
  <c r="D530" i="11"/>
  <c r="L1058" i="6" s="1"/>
  <c r="D529" i="11"/>
  <c r="L1057" i="6" s="1"/>
  <c r="D528" i="11"/>
  <c r="L1056" i="6" s="1"/>
  <c r="D527" i="11"/>
  <c r="D526" i="11"/>
  <c r="L1054" i="6" s="1"/>
  <c r="D525" i="11"/>
  <c r="L1053" i="6" s="1"/>
  <c r="D524" i="11"/>
  <c r="L1052" i="6" s="1"/>
  <c r="D523" i="11"/>
  <c r="L1051" i="6" s="1"/>
  <c r="D522" i="11"/>
  <c r="L1050" i="6" s="1"/>
  <c r="D521" i="11"/>
  <c r="L1049" i="6" s="1"/>
  <c r="D520" i="11"/>
  <c r="L1048" i="6" s="1"/>
  <c r="D519" i="11"/>
  <c r="L1047" i="6" s="1"/>
  <c r="D518" i="11"/>
  <c r="L1046" i="6" s="1"/>
  <c r="D517" i="11"/>
  <c r="L1045" i="6" s="1"/>
  <c r="D516" i="11"/>
  <c r="L1044" i="6" s="1"/>
  <c r="D515" i="11"/>
  <c r="D514" i="11"/>
  <c r="L1042" i="6" s="1"/>
  <c r="D513" i="11"/>
  <c r="L1041" i="6" s="1"/>
  <c r="D512" i="11"/>
  <c r="L1040" i="6" s="1"/>
  <c r="D511" i="11"/>
  <c r="L1039" i="6" s="1"/>
  <c r="D510" i="11"/>
  <c r="L1038" i="6" s="1"/>
  <c r="D509" i="11"/>
  <c r="L1037" i="6" s="1"/>
  <c r="D508" i="11"/>
  <c r="L1036" i="6" s="1"/>
  <c r="D507" i="11"/>
  <c r="L1035" i="6" s="1"/>
  <c r="D506" i="11"/>
  <c r="L1034" i="6" s="1"/>
  <c r="D503" i="11"/>
  <c r="L1031" i="6" s="1"/>
  <c r="D502" i="11"/>
  <c r="L1030" i="6" s="1"/>
  <c r="D501" i="11"/>
  <c r="L1029" i="6" s="1"/>
  <c r="D500" i="11"/>
  <c r="L1028" i="6" s="1"/>
  <c r="D499" i="11"/>
  <c r="L1027" i="6" s="1"/>
  <c r="D498" i="11"/>
  <c r="L1026" i="6" s="1"/>
  <c r="D497" i="11"/>
  <c r="L1025" i="6" s="1"/>
  <c r="D496" i="11"/>
  <c r="L1024" i="6" s="1"/>
  <c r="D495" i="11"/>
  <c r="L1023" i="6" s="1"/>
  <c r="D494" i="11"/>
  <c r="L1022" i="6" s="1"/>
  <c r="D493" i="11"/>
  <c r="L1021" i="6" s="1"/>
  <c r="D492" i="11"/>
  <c r="L1020" i="6" s="1"/>
  <c r="D491" i="11"/>
  <c r="L1019" i="6" s="1"/>
  <c r="D490" i="11"/>
  <c r="L1018" i="6" s="1"/>
  <c r="D489" i="11"/>
  <c r="L1017" i="6" s="1"/>
  <c r="D488" i="11"/>
  <c r="L1016" i="6" s="1"/>
  <c r="D487" i="11"/>
  <c r="L1015" i="6" s="1"/>
  <c r="D486" i="11"/>
  <c r="L1014" i="6" s="1"/>
  <c r="D485" i="11"/>
  <c r="L1013" i="6" s="1"/>
  <c r="D484" i="11"/>
  <c r="L1012" i="6" s="1"/>
  <c r="D479" i="11"/>
  <c r="D477" i="11"/>
  <c r="L1005" i="6" s="1"/>
  <c r="D476" i="11"/>
  <c r="L1004" i="6" s="1"/>
  <c r="D473" i="11"/>
  <c r="L1001" i="6" s="1"/>
  <c r="D472" i="11"/>
  <c r="L1000" i="6" s="1"/>
  <c r="D471" i="11"/>
  <c r="L999" i="6" s="1"/>
  <c r="D470" i="11"/>
  <c r="L998" i="6" s="1"/>
  <c r="D469" i="11"/>
  <c r="L997" i="6" s="1"/>
  <c r="D467" i="11"/>
  <c r="D466" i="11"/>
  <c r="L994" i="6" s="1"/>
  <c r="D465" i="11"/>
  <c r="L993" i="6" s="1"/>
  <c r="D464" i="11"/>
  <c r="L992" i="6" s="1"/>
  <c r="D462" i="11"/>
  <c r="L990" i="6" s="1"/>
  <c r="D461" i="11"/>
  <c r="L989" i="6" s="1"/>
  <c r="D696" i="11"/>
  <c r="D695" i="11"/>
  <c r="D694" i="11"/>
  <c r="L1226" i="6" s="1"/>
  <c r="D693" i="11"/>
  <c r="L1225" i="6" s="1"/>
  <c r="D690" i="11"/>
  <c r="L1222" i="6" s="1"/>
  <c r="D691" i="11"/>
  <c r="D772" i="11"/>
  <c r="L1308" i="6" s="1"/>
  <c r="U1541" i="6" s="1"/>
  <c r="D771" i="11"/>
  <c r="L1307" i="6" s="1"/>
  <c r="U1540" i="6" s="1"/>
  <c r="D770" i="11"/>
  <c r="L1306" i="6" s="1"/>
  <c r="U1539" i="6" s="1"/>
  <c r="D769" i="11"/>
  <c r="L1305" i="6" s="1"/>
  <c r="U1538" i="6" s="1"/>
  <c r="D768" i="11"/>
  <c r="D767" i="11"/>
  <c r="L1303" i="6" s="1"/>
  <c r="D766" i="11"/>
  <c r="L1302" i="6" s="1"/>
  <c r="D765" i="11"/>
  <c r="L1301" i="6" s="1"/>
  <c r="U1534" i="6" s="1"/>
  <c r="D764" i="11"/>
  <c r="L1300" i="6" s="1"/>
  <c r="U1533" i="6" s="1"/>
  <c r="D763" i="11"/>
  <c r="L1299" i="6" s="1"/>
  <c r="D762" i="11"/>
  <c r="L1298" i="6" s="1"/>
  <c r="U1531" i="6" s="1"/>
  <c r="D761" i="11"/>
  <c r="L1297" i="6" s="1"/>
  <c r="U1530" i="6" s="1"/>
  <c r="D760" i="11"/>
  <c r="L1296" i="6" s="1"/>
  <c r="D759" i="11"/>
  <c r="L1295" i="6" s="1"/>
  <c r="D758" i="11"/>
  <c r="L1294" i="6" s="1"/>
  <c r="D757" i="11"/>
  <c r="L1293" i="6" s="1"/>
  <c r="D756" i="11"/>
  <c r="L1292" i="6" s="1"/>
  <c r="D755" i="11"/>
  <c r="L1291" i="6" s="1"/>
  <c r="D754" i="11"/>
  <c r="L1290" i="6" s="1"/>
  <c r="D753" i="11"/>
  <c r="D752" i="11"/>
  <c r="L1288" i="6" s="1"/>
  <c r="D751" i="11"/>
  <c r="L1287" i="6" s="1"/>
  <c r="D750" i="11"/>
  <c r="L1286" i="6" s="1"/>
  <c r="D749" i="11"/>
  <c r="L1285" i="6" s="1"/>
  <c r="D748" i="11"/>
  <c r="L1284" i="6" s="1"/>
  <c r="D735" i="11"/>
  <c r="L1271" i="6" s="1"/>
  <c r="D734" i="11"/>
  <c r="L1270" i="6" s="1"/>
  <c r="D733" i="11"/>
  <c r="D732" i="11"/>
  <c r="L1268" i="6" s="1"/>
  <c r="U1501" i="6" s="1"/>
  <c r="D731" i="11"/>
  <c r="L1267" i="6" s="1"/>
  <c r="D730" i="11"/>
  <c r="L1266" i="6" s="1"/>
  <c r="D729" i="11"/>
  <c r="L1265" i="6" s="1"/>
  <c r="D728" i="11"/>
  <c r="L1264" i="6" s="1"/>
  <c r="D727" i="11"/>
  <c r="L1263" i="6" s="1"/>
  <c r="D726" i="11"/>
  <c r="L1262" i="6" s="1"/>
  <c r="D724" i="11"/>
  <c r="L1260" i="6" s="1"/>
  <c r="D723" i="11"/>
  <c r="L1259" i="6" s="1"/>
  <c r="D722" i="11"/>
  <c r="L1258" i="6" s="1"/>
  <c r="D721" i="11"/>
  <c r="L1257" i="6" s="1"/>
  <c r="D720" i="11"/>
  <c r="L1256" i="6" s="1"/>
  <c r="D719" i="11"/>
  <c r="L1255" i="6" s="1"/>
  <c r="D718" i="11"/>
  <c r="L1254" i="6" s="1"/>
  <c r="D717" i="11"/>
  <c r="D716" i="11"/>
  <c r="D715" i="11"/>
  <c r="L1251" i="6" s="1"/>
  <c r="D714" i="11"/>
  <c r="L1250" i="6" s="1"/>
  <c r="U1483" i="6" s="1"/>
  <c r="D713" i="11"/>
  <c r="L1249" i="6" s="1"/>
  <c r="D725" i="11"/>
  <c r="L1261" i="6" s="1"/>
  <c r="M46" i="4"/>
  <c r="O46" i="4" s="1"/>
  <c r="C46" i="4"/>
  <c r="B46" i="4"/>
  <c r="M45" i="4"/>
  <c r="C45" i="4"/>
  <c r="B45" i="4"/>
  <c r="M44" i="4"/>
  <c r="C44" i="4"/>
  <c r="B44" i="4"/>
  <c r="M43" i="4"/>
  <c r="C43" i="4"/>
  <c r="B43" i="4"/>
  <c r="M42" i="4"/>
  <c r="O42" i="4" s="1"/>
  <c r="C42" i="4"/>
  <c r="B42" i="4"/>
  <c r="M41" i="4"/>
  <c r="C41" i="4"/>
  <c r="B41" i="4"/>
  <c r="M40" i="4"/>
  <c r="C40" i="4"/>
  <c r="B40" i="4"/>
  <c r="M39" i="4"/>
  <c r="C39" i="4"/>
  <c r="B39" i="4"/>
  <c r="AS851" i="9"/>
  <c r="AR851" i="9"/>
  <c r="AQ851" i="9"/>
  <c r="AP851" i="9"/>
  <c r="AO851" i="9"/>
  <c r="AN851" i="9"/>
  <c r="AN852" i="9" s="1"/>
  <c r="AM851" i="9"/>
  <c r="AM852" i="9" s="1"/>
  <c r="AL851" i="9"/>
  <c r="AK851" i="9"/>
  <c r="AJ851" i="9"/>
  <c r="AI851" i="9"/>
  <c r="AH851" i="9"/>
  <c r="AH860" i="9" s="1"/>
  <c r="AG851" i="9"/>
  <c r="AF851" i="9"/>
  <c r="AF860" i="9" s="1"/>
  <c r="AE851" i="9"/>
  <c r="AE852" i="9" s="1"/>
  <c r="AD851" i="9"/>
  <c r="AC851" i="9"/>
  <c r="AB851" i="9"/>
  <c r="AA851" i="9"/>
  <c r="Z851" i="9"/>
  <c r="Y851" i="9"/>
  <c r="X851" i="9"/>
  <c r="X860" i="9" s="1"/>
  <c r="W851" i="9"/>
  <c r="W852" i="9" s="1"/>
  <c r="V851" i="9"/>
  <c r="U851" i="9"/>
  <c r="T851" i="9"/>
  <c r="S851" i="9"/>
  <c r="R851" i="9"/>
  <c r="Q851" i="9"/>
  <c r="P851" i="9"/>
  <c r="P860" i="9" s="1"/>
  <c r="O851" i="9"/>
  <c r="O860" i="9" s="1"/>
  <c r="F70" i="14" s="1"/>
  <c r="N851" i="9"/>
  <c r="M851" i="9"/>
  <c r="L851" i="9"/>
  <c r="K851" i="9"/>
  <c r="I849" i="9"/>
  <c r="M89" i="6" s="1"/>
  <c r="H849" i="9"/>
  <c r="L89" i="6" s="1"/>
  <c r="I848" i="9"/>
  <c r="M88" i="6" s="1"/>
  <c r="H848" i="9"/>
  <c r="L88" i="6" s="1"/>
  <c r="I847" i="9"/>
  <c r="M87" i="6" s="1"/>
  <c r="H847" i="9"/>
  <c r="L87" i="6" s="1"/>
  <c r="I846" i="9"/>
  <c r="M86" i="6" s="1"/>
  <c r="H846" i="9"/>
  <c r="L86" i="6" s="1"/>
  <c r="I845" i="9"/>
  <c r="M85" i="6" s="1"/>
  <c r="H845" i="9"/>
  <c r="L85" i="6" s="1"/>
  <c r="I844" i="9"/>
  <c r="M84" i="6" s="1"/>
  <c r="H844" i="9"/>
  <c r="BY844" i="9" s="1"/>
  <c r="BZ844" i="9" s="1"/>
  <c r="I843" i="9"/>
  <c r="M83" i="6" s="1"/>
  <c r="H843" i="9"/>
  <c r="L83" i="6" s="1"/>
  <c r="I842" i="9"/>
  <c r="M82" i="6" s="1"/>
  <c r="H842" i="9"/>
  <c r="L82" i="6" s="1"/>
  <c r="I841" i="9"/>
  <c r="M81" i="6" s="1"/>
  <c r="H841" i="9"/>
  <c r="L81" i="6" s="1"/>
  <c r="I840" i="9"/>
  <c r="M80" i="6" s="1"/>
  <c r="H840" i="9"/>
  <c r="L80" i="6" s="1"/>
  <c r="I838" i="9"/>
  <c r="M79" i="6" s="1"/>
  <c r="H838" i="9"/>
  <c r="L79" i="6" s="1"/>
  <c r="I837" i="9"/>
  <c r="M78" i="6" s="1"/>
  <c r="H837" i="9"/>
  <c r="L78" i="6" s="1"/>
  <c r="I836" i="9"/>
  <c r="M77" i="6" s="1"/>
  <c r="H836" i="9"/>
  <c r="L77" i="6" s="1"/>
  <c r="I835" i="9"/>
  <c r="M76" i="6" s="1"/>
  <c r="H835" i="9"/>
  <c r="L76" i="6" s="1"/>
  <c r="I834" i="9"/>
  <c r="M75" i="6" s="1"/>
  <c r="H834" i="9"/>
  <c r="L75" i="6" s="1"/>
  <c r="I833" i="9"/>
  <c r="M74" i="6" s="1"/>
  <c r="H833" i="9"/>
  <c r="L74" i="6" s="1"/>
  <c r="I832" i="9"/>
  <c r="M73" i="6" s="1"/>
  <c r="H832" i="9"/>
  <c r="L73" i="6" s="1"/>
  <c r="I831" i="9"/>
  <c r="M72" i="6" s="1"/>
  <c r="H831" i="9"/>
  <c r="BY831" i="9" s="1"/>
  <c r="BZ831" i="9" s="1"/>
  <c r="I830" i="9"/>
  <c r="M71" i="6" s="1"/>
  <c r="H830" i="9"/>
  <c r="L71" i="6" s="1"/>
  <c r="I829" i="9"/>
  <c r="H829" i="9"/>
  <c r="L70" i="6" s="1"/>
  <c r="I827" i="9"/>
  <c r="M69" i="6" s="1"/>
  <c r="H827" i="9"/>
  <c r="L69" i="6" s="1"/>
  <c r="I826" i="9"/>
  <c r="M68" i="6" s="1"/>
  <c r="H826" i="9"/>
  <c r="L68" i="6" s="1"/>
  <c r="I825" i="9"/>
  <c r="M67" i="6" s="1"/>
  <c r="H825" i="9"/>
  <c r="BY825" i="9" s="1"/>
  <c r="BZ825" i="9" s="1"/>
  <c r="I824" i="9"/>
  <c r="M66" i="6" s="1"/>
  <c r="H824" i="9"/>
  <c r="L66" i="6" s="1"/>
  <c r="I823" i="9"/>
  <c r="M65" i="6" s="1"/>
  <c r="H823" i="9"/>
  <c r="L65" i="6" s="1"/>
  <c r="I822" i="9"/>
  <c r="M64" i="6" s="1"/>
  <c r="H822" i="9"/>
  <c r="L64" i="6" s="1"/>
  <c r="I821" i="9"/>
  <c r="M63" i="6" s="1"/>
  <c r="H821" i="9"/>
  <c r="BY821" i="9" s="1"/>
  <c r="BZ821" i="9" s="1"/>
  <c r="I819" i="9"/>
  <c r="M62" i="6" s="1"/>
  <c r="H819" i="9"/>
  <c r="L62" i="6" s="1"/>
  <c r="I818" i="9"/>
  <c r="M61" i="6" s="1"/>
  <c r="H818" i="9"/>
  <c r="L61" i="6" s="1"/>
  <c r="I817" i="9"/>
  <c r="M60" i="6" s="1"/>
  <c r="H817" i="9"/>
  <c r="L60" i="6" s="1"/>
  <c r="I816" i="9"/>
  <c r="M59" i="6" s="1"/>
  <c r="H816" i="9"/>
  <c r="L59" i="6" s="1"/>
  <c r="I815" i="9"/>
  <c r="M58" i="6" s="1"/>
  <c r="H815" i="9"/>
  <c r="L58" i="6" s="1"/>
  <c r="I814" i="9"/>
  <c r="M57" i="6" s="1"/>
  <c r="H814" i="9"/>
  <c r="BY814" i="9" s="1"/>
  <c r="BZ814" i="9" s="1"/>
  <c r="I813" i="9"/>
  <c r="M56" i="6" s="1"/>
  <c r="H813" i="9"/>
  <c r="L56" i="6" s="1"/>
  <c r="I811" i="9"/>
  <c r="M55" i="6" s="1"/>
  <c r="H811" i="9"/>
  <c r="L55" i="6" s="1"/>
  <c r="I810" i="9"/>
  <c r="M54" i="6" s="1"/>
  <c r="H810" i="9"/>
  <c r="L54" i="6" s="1"/>
  <c r="I809" i="9"/>
  <c r="M53" i="6" s="1"/>
  <c r="H809" i="9"/>
  <c r="L53" i="6" s="1"/>
  <c r="I808" i="9"/>
  <c r="M52" i="6" s="1"/>
  <c r="H808" i="9"/>
  <c r="BY808" i="9" s="1"/>
  <c r="BZ808" i="9" s="1"/>
  <c r="I807" i="9"/>
  <c r="M51" i="6" s="1"/>
  <c r="H807" i="9"/>
  <c r="L51" i="6" s="1"/>
  <c r="I806" i="9"/>
  <c r="M50" i="6" s="1"/>
  <c r="H806" i="9"/>
  <c r="BY806" i="9" s="1"/>
  <c r="BZ806" i="9" s="1"/>
  <c r="I805" i="9"/>
  <c r="M49" i="6" s="1"/>
  <c r="H805" i="9"/>
  <c r="L49" i="6" s="1"/>
  <c r="I803" i="9"/>
  <c r="M48" i="6" s="1"/>
  <c r="H803" i="9"/>
  <c r="L48" i="6" s="1"/>
  <c r="I802" i="9"/>
  <c r="M47" i="6" s="1"/>
  <c r="H802" i="9"/>
  <c r="L47" i="6" s="1"/>
  <c r="I801" i="9"/>
  <c r="M46" i="6" s="1"/>
  <c r="H801" i="9"/>
  <c r="L46" i="6" s="1"/>
  <c r="I800" i="9"/>
  <c r="M45" i="6" s="1"/>
  <c r="H800" i="9"/>
  <c r="L45" i="6" s="1"/>
  <c r="I799" i="9"/>
  <c r="H799" i="9"/>
  <c r="L44" i="6" s="1"/>
  <c r="I798" i="9"/>
  <c r="M43" i="6" s="1"/>
  <c r="H798" i="9"/>
  <c r="L43" i="6" s="1"/>
  <c r="I797" i="9"/>
  <c r="H797" i="9"/>
  <c r="L42" i="6" s="1"/>
  <c r="I795" i="9"/>
  <c r="M41" i="6" s="1"/>
  <c r="H795" i="9"/>
  <c r="L41" i="6" s="1"/>
  <c r="I794" i="9"/>
  <c r="H794" i="9"/>
  <c r="L40" i="6" s="1"/>
  <c r="I793" i="9"/>
  <c r="M39" i="6" s="1"/>
  <c r="H793" i="9"/>
  <c r="L39" i="6" s="1"/>
  <c r="I792" i="9"/>
  <c r="H792" i="9"/>
  <c r="L38" i="6" s="1"/>
  <c r="I791" i="9"/>
  <c r="M37" i="6" s="1"/>
  <c r="H791" i="9"/>
  <c r="L37" i="6" s="1"/>
  <c r="I790" i="9"/>
  <c r="M36" i="6" s="1"/>
  <c r="H790" i="9"/>
  <c r="L36" i="6" s="1"/>
  <c r="I789" i="9"/>
  <c r="M35" i="6" s="1"/>
  <c r="H789" i="9"/>
  <c r="L35" i="6" s="1"/>
  <c r="I787" i="9"/>
  <c r="M34" i="6" s="1"/>
  <c r="H787" i="9"/>
  <c r="L34" i="6" s="1"/>
  <c r="I786" i="9"/>
  <c r="M33" i="6" s="1"/>
  <c r="H786" i="9"/>
  <c r="L33" i="6" s="1"/>
  <c r="I785" i="9"/>
  <c r="M32" i="6" s="1"/>
  <c r="H785" i="9"/>
  <c r="L32" i="6" s="1"/>
  <c r="I784" i="9"/>
  <c r="M31" i="6" s="1"/>
  <c r="H784" i="9"/>
  <c r="BY784" i="9" s="1"/>
  <c r="BZ784" i="9" s="1"/>
  <c r="I783" i="9"/>
  <c r="M30" i="6" s="1"/>
  <c r="H783" i="9"/>
  <c r="L30" i="6" s="1"/>
  <c r="I782" i="9"/>
  <c r="M29" i="6" s="1"/>
  <c r="H782" i="9"/>
  <c r="L29" i="6" s="1"/>
  <c r="I781" i="9"/>
  <c r="M28" i="6" s="1"/>
  <c r="H781" i="9"/>
  <c r="L28" i="6" s="1"/>
  <c r="I779" i="9"/>
  <c r="M27" i="6" s="1"/>
  <c r="H779" i="9"/>
  <c r="L27" i="6" s="1"/>
  <c r="I778" i="9"/>
  <c r="H778" i="9"/>
  <c r="L26" i="6" s="1"/>
  <c r="I777" i="9"/>
  <c r="M25" i="6" s="1"/>
  <c r="H777" i="9"/>
  <c r="L25" i="6" s="1"/>
  <c r="I776" i="9"/>
  <c r="H776" i="9"/>
  <c r="BY776" i="9" s="1"/>
  <c r="BZ776" i="9" s="1"/>
  <c r="I775" i="9"/>
  <c r="M23" i="6" s="1"/>
  <c r="H775" i="9"/>
  <c r="L23" i="6" s="1"/>
  <c r="I774" i="9"/>
  <c r="H774" i="9"/>
  <c r="L22" i="6" s="1"/>
  <c r="I773" i="9"/>
  <c r="M21" i="6" s="1"/>
  <c r="H773" i="9"/>
  <c r="L21" i="6" s="1"/>
  <c r="I771" i="9"/>
  <c r="M20" i="6" s="1"/>
  <c r="H771" i="9"/>
  <c r="L20" i="6" s="1"/>
  <c r="I770" i="9"/>
  <c r="M19" i="6" s="1"/>
  <c r="H770" i="9"/>
  <c r="BY770" i="9" s="1"/>
  <c r="I769" i="9"/>
  <c r="M18" i="6" s="1"/>
  <c r="H769" i="9"/>
  <c r="L18" i="6" s="1"/>
  <c r="I768" i="9"/>
  <c r="M17" i="6" s="1"/>
  <c r="H768" i="9"/>
  <c r="L17" i="6" s="1"/>
  <c r="I767" i="9"/>
  <c r="M16" i="6" s="1"/>
  <c r="H767" i="9"/>
  <c r="L16" i="6" s="1"/>
  <c r="I766" i="9"/>
  <c r="M15" i="6" s="1"/>
  <c r="H766" i="9"/>
  <c r="L15" i="6" s="1"/>
  <c r="I765" i="9"/>
  <c r="H765" i="9"/>
  <c r="L14" i="6" s="1"/>
  <c r="I763" i="9"/>
  <c r="M13" i="6" s="1"/>
  <c r="H763" i="9"/>
  <c r="L13" i="6" s="1"/>
  <c r="I762" i="9"/>
  <c r="M12" i="6" s="1"/>
  <c r="H762" i="9"/>
  <c r="BY762" i="9" s="1"/>
  <c r="I761" i="9"/>
  <c r="M11" i="6" s="1"/>
  <c r="H761" i="9"/>
  <c r="BY761" i="9" s="1"/>
  <c r="I760" i="9"/>
  <c r="M10" i="6" s="1"/>
  <c r="BY760" i="9"/>
  <c r="BZ760" i="9" s="1"/>
  <c r="I759" i="9"/>
  <c r="M9" i="6" s="1"/>
  <c r="H759" i="9"/>
  <c r="BY759" i="9" s="1"/>
  <c r="I758" i="9"/>
  <c r="M8" i="6" s="1"/>
  <c r="H758" i="9"/>
  <c r="BY758" i="9" s="1"/>
  <c r="I757" i="9"/>
  <c r="H757" i="9"/>
  <c r="E496" i="8"/>
  <c r="E475" i="8"/>
  <c r="E454" i="8"/>
  <c r="E433" i="8"/>
  <c r="I433" i="8" s="1"/>
  <c r="E412" i="8"/>
  <c r="I412" i="8" s="1"/>
  <c r="E391" i="8"/>
  <c r="I391" i="8" s="1"/>
  <c r="E370" i="8"/>
  <c r="I370" i="8" s="1"/>
  <c r="E349" i="8"/>
  <c r="E328" i="8"/>
  <c r="E307" i="8"/>
  <c r="I307" i="8" s="1"/>
  <c r="E286" i="8"/>
  <c r="I286" i="8" s="1"/>
  <c r="E265" i="8"/>
  <c r="E244" i="8"/>
  <c r="E223" i="8"/>
  <c r="I223" i="8" s="1"/>
  <c r="E202" i="8"/>
  <c r="E181" i="8"/>
  <c r="I181" i="8" s="1"/>
  <c r="E160" i="8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J514" i="6"/>
  <c r="J492" i="6"/>
  <c r="J470" i="6"/>
  <c r="J448" i="6"/>
  <c r="J426" i="6"/>
  <c r="J404" i="6"/>
  <c r="J382" i="6"/>
  <c r="J360" i="6"/>
  <c r="J338" i="6"/>
  <c r="J316" i="6"/>
  <c r="J294" i="6"/>
  <c r="J272" i="6"/>
  <c r="J250" i="6"/>
  <c r="J228" i="6"/>
  <c r="J206" i="6"/>
  <c r="J184" i="6"/>
  <c r="J162" i="6"/>
  <c r="J140" i="6"/>
  <c r="J118" i="6"/>
  <c r="J96" i="6"/>
  <c r="AR533" i="6"/>
  <c r="AM533" i="6"/>
  <c r="AH533" i="6"/>
  <c r="AR532" i="6"/>
  <c r="AM532" i="6"/>
  <c r="AH532" i="6"/>
  <c r="AR531" i="6"/>
  <c r="AM531" i="6"/>
  <c r="AH531" i="6"/>
  <c r="AR530" i="6"/>
  <c r="AM530" i="6"/>
  <c r="AH530" i="6"/>
  <c r="AR529" i="6"/>
  <c r="AM529" i="6"/>
  <c r="AH529" i="6"/>
  <c r="AR528" i="6"/>
  <c r="AM528" i="6"/>
  <c r="AH528" i="6"/>
  <c r="AR527" i="6"/>
  <c r="AM527" i="6"/>
  <c r="AH527" i="6"/>
  <c r="AR526" i="6"/>
  <c r="AM526" i="6"/>
  <c r="AH526" i="6"/>
  <c r="AR525" i="6"/>
  <c r="AM525" i="6"/>
  <c r="AH525" i="6"/>
  <c r="AR514" i="6"/>
  <c r="AM514" i="6"/>
  <c r="AH514" i="6"/>
  <c r="AR511" i="6"/>
  <c r="AM511" i="6"/>
  <c r="AH511" i="6"/>
  <c r="AR510" i="6"/>
  <c r="AM510" i="6"/>
  <c r="AH510" i="6"/>
  <c r="AR509" i="6"/>
  <c r="AM509" i="6"/>
  <c r="AH509" i="6"/>
  <c r="AR508" i="6"/>
  <c r="AM508" i="6"/>
  <c r="AH508" i="6"/>
  <c r="AR507" i="6"/>
  <c r="AM507" i="6"/>
  <c r="AH507" i="6"/>
  <c r="AR506" i="6"/>
  <c r="AM506" i="6"/>
  <c r="AH506" i="6"/>
  <c r="AR505" i="6"/>
  <c r="AM505" i="6"/>
  <c r="AH505" i="6"/>
  <c r="AR504" i="6"/>
  <c r="AM504" i="6"/>
  <c r="AH504" i="6"/>
  <c r="AR503" i="6"/>
  <c r="AM503" i="6"/>
  <c r="AH503" i="6"/>
  <c r="AR492" i="6"/>
  <c r="AM492" i="6"/>
  <c r="AH492" i="6"/>
  <c r="AR489" i="6"/>
  <c r="AM489" i="6"/>
  <c r="AH489" i="6"/>
  <c r="AR488" i="6"/>
  <c r="AM488" i="6"/>
  <c r="AH488" i="6"/>
  <c r="AR487" i="6"/>
  <c r="AM487" i="6"/>
  <c r="AH487" i="6"/>
  <c r="AR486" i="6"/>
  <c r="AM486" i="6"/>
  <c r="AH486" i="6"/>
  <c r="AR485" i="6"/>
  <c r="AM485" i="6"/>
  <c r="AH485" i="6"/>
  <c r="AR484" i="6"/>
  <c r="AM484" i="6"/>
  <c r="AH484" i="6"/>
  <c r="AR483" i="6"/>
  <c r="AM483" i="6"/>
  <c r="AH483" i="6"/>
  <c r="AR482" i="6"/>
  <c r="AM482" i="6"/>
  <c r="AH482" i="6"/>
  <c r="AR481" i="6"/>
  <c r="AM481" i="6"/>
  <c r="AH481" i="6"/>
  <c r="AR470" i="6"/>
  <c r="AM470" i="6"/>
  <c r="AH470" i="6"/>
  <c r="AR467" i="6"/>
  <c r="AM467" i="6"/>
  <c r="AH467" i="6"/>
  <c r="AR466" i="6"/>
  <c r="AM466" i="6"/>
  <c r="AH466" i="6"/>
  <c r="AR465" i="6"/>
  <c r="AM465" i="6"/>
  <c r="AH465" i="6"/>
  <c r="AR464" i="6"/>
  <c r="AM464" i="6"/>
  <c r="AH464" i="6"/>
  <c r="AR463" i="6"/>
  <c r="AM463" i="6"/>
  <c r="AH463" i="6"/>
  <c r="AR462" i="6"/>
  <c r="AM462" i="6"/>
  <c r="AH462" i="6"/>
  <c r="AR461" i="6"/>
  <c r="AM461" i="6"/>
  <c r="AH461" i="6"/>
  <c r="AR460" i="6"/>
  <c r="AM460" i="6"/>
  <c r="AH460" i="6"/>
  <c r="AR459" i="6"/>
  <c r="AM459" i="6"/>
  <c r="AH459" i="6"/>
  <c r="AR448" i="6"/>
  <c r="AM448" i="6"/>
  <c r="AH448" i="6"/>
  <c r="AR445" i="6"/>
  <c r="AM445" i="6"/>
  <c r="AH445" i="6"/>
  <c r="AR444" i="6"/>
  <c r="AM444" i="6"/>
  <c r="AH444" i="6"/>
  <c r="AR443" i="6"/>
  <c r="AM443" i="6"/>
  <c r="AH443" i="6"/>
  <c r="AR442" i="6"/>
  <c r="AM442" i="6"/>
  <c r="AH442" i="6"/>
  <c r="AR441" i="6"/>
  <c r="AM441" i="6"/>
  <c r="AH441" i="6"/>
  <c r="AR440" i="6"/>
  <c r="AM440" i="6"/>
  <c r="AH440" i="6"/>
  <c r="AR439" i="6"/>
  <c r="AM439" i="6"/>
  <c r="AH439" i="6"/>
  <c r="AR438" i="6"/>
  <c r="AM438" i="6"/>
  <c r="AH438" i="6"/>
  <c r="AR437" i="6"/>
  <c r="AM437" i="6"/>
  <c r="AH437" i="6"/>
  <c r="AR426" i="6"/>
  <c r="AM426" i="6"/>
  <c r="AH426" i="6"/>
  <c r="AR423" i="6"/>
  <c r="AM423" i="6"/>
  <c r="AH423" i="6"/>
  <c r="AR422" i="6"/>
  <c r="AM422" i="6"/>
  <c r="AH422" i="6"/>
  <c r="AR421" i="6"/>
  <c r="AM421" i="6"/>
  <c r="AH421" i="6"/>
  <c r="AR420" i="6"/>
  <c r="AM420" i="6"/>
  <c r="AH420" i="6"/>
  <c r="AR419" i="6"/>
  <c r="AM419" i="6"/>
  <c r="AH419" i="6"/>
  <c r="AR418" i="6"/>
  <c r="AM418" i="6"/>
  <c r="AH418" i="6"/>
  <c r="AR417" i="6"/>
  <c r="AM417" i="6"/>
  <c r="AH417" i="6"/>
  <c r="AR416" i="6"/>
  <c r="AM416" i="6"/>
  <c r="AH416" i="6"/>
  <c r="AR415" i="6"/>
  <c r="AM415" i="6"/>
  <c r="AH415" i="6"/>
  <c r="AR404" i="6"/>
  <c r="AM404" i="6"/>
  <c r="AH404" i="6"/>
  <c r="AR401" i="6"/>
  <c r="AM401" i="6"/>
  <c r="AH401" i="6"/>
  <c r="AR400" i="6"/>
  <c r="AM400" i="6"/>
  <c r="AH400" i="6"/>
  <c r="AR399" i="6"/>
  <c r="AM399" i="6"/>
  <c r="AH399" i="6"/>
  <c r="AR398" i="6"/>
  <c r="AM398" i="6"/>
  <c r="AH398" i="6"/>
  <c r="AR397" i="6"/>
  <c r="AM397" i="6"/>
  <c r="AH397" i="6"/>
  <c r="AR396" i="6"/>
  <c r="AM396" i="6"/>
  <c r="AH396" i="6"/>
  <c r="AR395" i="6"/>
  <c r="AM395" i="6"/>
  <c r="AH395" i="6"/>
  <c r="AR394" i="6"/>
  <c r="AM394" i="6"/>
  <c r="AH394" i="6"/>
  <c r="AR393" i="6"/>
  <c r="AM393" i="6"/>
  <c r="AH393" i="6"/>
  <c r="AR382" i="6"/>
  <c r="AM382" i="6"/>
  <c r="AH382" i="6"/>
  <c r="AR379" i="6"/>
  <c r="AM379" i="6"/>
  <c r="AH379" i="6"/>
  <c r="AR378" i="6"/>
  <c r="AM378" i="6"/>
  <c r="AH378" i="6"/>
  <c r="AR377" i="6"/>
  <c r="AM377" i="6"/>
  <c r="AH377" i="6"/>
  <c r="AR376" i="6"/>
  <c r="AM376" i="6"/>
  <c r="AH376" i="6"/>
  <c r="AR375" i="6"/>
  <c r="AM375" i="6"/>
  <c r="AH375" i="6"/>
  <c r="AR374" i="6"/>
  <c r="AM374" i="6"/>
  <c r="AH374" i="6"/>
  <c r="AR373" i="6"/>
  <c r="AM373" i="6"/>
  <c r="AH373" i="6"/>
  <c r="AR372" i="6"/>
  <c r="AM372" i="6"/>
  <c r="AH372" i="6"/>
  <c r="AR371" i="6"/>
  <c r="AM371" i="6"/>
  <c r="AH371" i="6"/>
  <c r="AR360" i="6"/>
  <c r="AM360" i="6"/>
  <c r="AH360" i="6"/>
  <c r="AR357" i="6"/>
  <c r="AM357" i="6"/>
  <c r="AH357" i="6"/>
  <c r="AR356" i="6"/>
  <c r="AM356" i="6"/>
  <c r="AH356" i="6"/>
  <c r="AR355" i="6"/>
  <c r="AM355" i="6"/>
  <c r="AH355" i="6"/>
  <c r="AR354" i="6"/>
  <c r="AM354" i="6"/>
  <c r="AH354" i="6"/>
  <c r="AR353" i="6"/>
  <c r="AM353" i="6"/>
  <c r="AH353" i="6"/>
  <c r="AR352" i="6"/>
  <c r="AM352" i="6"/>
  <c r="AH352" i="6"/>
  <c r="AR351" i="6"/>
  <c r="AM351" i="6"/>
  <c r="AH351" i="6"/>
  <c r="AR350" i="6"/>
  <c r="AM350" i="6"/>
  <c r="AH350" i="6"/>
  <c r="AR349" i="6"/>
  <c r="AM349" i="6"/>
  <c r="AH349" i="6"/>
  <c r="AR338" i="6"/>
  <c r="AM338" i="6"/>
  <c r="AH338" i="6"/>
  <c r="AR335" i="6"/>
  <c r="AM335" i="6"/>
  <c r="AH335" i="6"/>
  <c r="AR334" i="6"/>
  <c r="AM334" i="6"/>
  <c r="AH334" i="6"/>
  <c r="AR333" i="6"/>
  <c r="AM333" i="6"/>
  <c r="AH333" i="6"/>
  <c r="AR332" i="6"/>
  <c r="AM332" i="6"/>
  <c r="AH332" i="6"/>
  <c r="AR331" i="6"/>
  <c r="AM331" i="6"/>
  <c r="AH331" i="6"/>
  <c r="AR330" i="6"/>
  <c r="AM330" i="6"/>
  <c r="AH330" i="6"/>
  <c r="AR329" i="6"/>
  <c r="AM329" i="6"/>
  <c r="AH329" i="6"/>
  <c r="AR328" i="6"/>
  <c r="AM328" i="6"/>
  <c r="AH328" i="6"/>
  <c r="AR327" i="6"/>
  <c r="AM327" i="6"/>
  <c r="AH327" i="6"/>
  <c r="AR316" i="6"/>
  <c r="AM316" i="6"/>
  <c r="AH316" i="6"/>
  <c r="AR313" i="6"/>
  <c r="AM313" i="6"/>
  <c r="AH313" i="6"/>
  <c r="AR312" i="6"/>
  <c r="AM312" i="6"/>
  <c r="AH312" i="6"/>
  <c r="AR311" i="6"/>
  <c r="AM311" i="6"/>
  <c r="AH311" i="6"/>
  <c r="AR310" i="6"/>
  <c r="AM310" i="6"/>
  <c r="AH310" i="6"/>
  <c r="AR309" i="6"/>
  <c r="AM309" i="6"/>
  <c r="AH309" i="6"/>
  <c r="AR308" i="6"/>
  <c r="AM308" i="6"/>
  <c r="AH308" i="6"/>
  <c r="AR307" i="6"/>
  <c r="AM307" i="6"/>
  <c r="AH307" i="6"/>
  <c r="AR306" i="6"/>
  <c r="AM306" i="6"/>
  <c r="AH306" i="6"/>
  <c r="AR305" i="6"/>
  <c r="AM305" i="6"/>
  <c r="AH305" i="6"/>
  <c r="AR294" i="6"/>
  <c r="AM294" i="6"/>
  <c r="AH294" i="6"/>
  <c r="AR291" i="6"/>
  <c r="AM291" i="6"/>
  <c r="AH291" i="6"/>
  <c r="AR290" i="6"/>
  <c r="AM290" i="6"/>
  <c r="AH290" i="6"/>
  <c r="AR289" i="6"/>
  <c r="AM289" i="6"/>
  <c r="AH289" i="6"/>
  <c r="AR288" i="6"/>
  <c r="AM288" i="6"/>
  <c r="AH288" i="6"/>
  <c r="AR287" i="6"/>
  <c r="AM287" i="6"/>
  <c r="AH287" i="6"/>
  <c r="AR286" i="6"/>
  <c r="AM286" i="6"/>
  <c r="AH286" i="6"/>
  <c r="AR285" i="6"/>
  <c r="AM285" i="6"/>
  <c r="AH285" i="6"/>
  <c r="AR284" i="6"/>
  <c r="AM284" i="6"/>
  <c r="AH284" i="6"/>
  <c r="AR283" i="6"/>
  <c r="AM283" i="6"/>
  <c r="AH283" i="6"/>
  <c r="AR272" i="6"/>
  <c r="AM272" i="6"/>
  <c r="AH272" i="6"/>
  <c r="AR269" i="6"/>
  <c r="AM269" i="6"/>
  <c r="AH269" i="6"/>
  <c r="AR268" i="6"/>
  <c r="AM268" i="6"/>
  <c r="AH268" i="6"/>
  <c r="AR267" i="6"/>
  <c r="AM267" i="6"/>
  <c r="AH267" i="6"/>
  <c r="AR266" i="6"/>
  <c r="AM266" i="6"/>
  <c r="AH266" i="6"/>
  <c r="AR265" i="6"/>
  <c r="AM265" i="6"/>
  <c r="AH265" i="6"/>
  <c r="AR264" i="6"/>
  <c r="AM264" i="6"/>
  <c r="AH264" i="6"/>
  <c r="AR263" i="6"/>
  <c r="AM263" i="6"/>
  <c r="AH263" i="6"/>
  <c r="AR262" i="6"/>
  <c r="AM262" i="6"/>
  <c r="AH262" i="6"/>
  <c r="AR261" i="6"/>
  <c r="AM261" i="6"/>
  <c r="AH261" i="6"/>
  <c r="AR250" i="6"/>
  <c r="AM250" i="6"/>
  <c r="AH250" i="6"/>
  <c r="AR247" i="6"/>
  <c r="AM247" i="6"/>
  <c r="AH247" i="6"/>
  <c r="AR246" i="6"/>
  <c r="AM246" i="6"/>
  <c r="AH246" i="6"/>
  <c r="AR245" i="6"/>
  <c r="AM245" i="6"/>
  <c r="AH245" i="6"/>
  <c r="AR244" i="6"/>
  <c r="AM244" i="6"/>
  <c r="AH244" i="6"/>
  <c r="AR243" i="6"/>
  <c r="AM243" i="6"/>
  <c r="AH243" i="6"/>
  <c r="AR242" i="6"/>
  <c r="AM242" i="6"/>
  <c r="AH242" i="6"/>
  <c r="AR241" i="6"/>
  <c r="AM241" i="6"/>
  <c r="AH241" i="6"/>
  <c r="AR240" i="6"/>
  <c r="AM240" i="6"/>
  <c r="AH240" i="6"/>
  <c r="AR239" i="6"/>
  <c r="AM239" i="6"/>
  <c r="AH239" i="6"/>
  <c r="AR228" i="6"/>
  <c r="AM228" i="6"/>
  <c r="AH228" i="6"/>
  <c r="AR225" i="6"/>
  <c r="AM225" i="6"/>
  <c r="AH225" i="6"/>
  <c r="AR224" i="6"/>
  <c r="AM224" i="6"/>
  <c r="AH224" i="6"/>
  <c r="AR223" i="6"/>
  <c r="AM223" i="6"/>
  <c r="AH223" i="6"/>
  <c r="AR222" i="6"/>
  <c r="AM222" i="6"/>
  <c r="AH222" i="6"/>
  <c r="AR221" i="6"/>
  <c r="AM221" i="6"/>
  <c r="AH221" i="6"/>
  <c r="AR220" i="6"/>
  <c r="AM220" i="6"/>
  <c r="AH220" i="6"/>
  <c r="AR219" i="6"/>
  <c r="AM219" i="6"/>
  <c r="AH219" i="6"/>
  <c r="AR218" i="6"/>
  <c r="AM218" i="6"/>
  <c r="AH218" i="6"/>
  <c r="AR217" i="6"/>
  <c r="AM217" i="6"/>
  <c r="AH217" i="6"/>
  <c r="AR206" i="6"/>
  <c r="AM206" i="6"/>
  <c r="AH206" i="6"/>
  <c r="AR203" i="6"/>
  <c r="AM203" i="6"/>
  <c r="AH203" i="6"/>
  <c r="AR202" i="6"/>
  <c r="AM202" i="6"/>
  <c r="AH202" i="6"/>
  <c r="AR201" i="6"/>
  <c r="AM201" i="6"/>
  <c r="AH201" i="6"/>
  <c r="AR200" i="6"/>
  <c r="AM200" i="6"/>
  <c r="AH200" i="6"/>
  <c r="AR199" i="6"/>
  <c r="AM199" i="6"/>
  <c r="AH199" i="6"/>
  <c r="AR198" i="6"/>
  <c r="AM198" i="6"/>
  <c r="AH198" i="6"/>
  <c r="AR197" i="6"/>
  <c r="AM197" i="6"/>
  <c r="AH197" i="6"/>
  <c r="AR196" i="6"/>
  <c r="AM196" i="6"/>
  <c r="AH196" i="6"/>
  <c r="AR195" i="6"/>
  <c r="AM195" i="6"/>
  <c r="AR184" i="6"/>
  <c r="AM184" i="6"/>
  <c r="AR181" i="6"/>
  <c r="AM181" i="6"/>
  <c r="AH181" i="6"/>
  <c r="AR180" i="6"/>
  <c r="AM180" i="6"/>
  <c r="AH180" i="6"/>
  <c r="AR179" i="6"/>
  <c r="AM179" i="6"/>
  <c r="AH179" i="6"/>
  <c r="AR178" i="6"/>
  <c r="AM178" i="6"/>
  <c r="AH178" i="6"/>
  <c r="AR177" i="6"/>
  <c r="AM177" i="6"/>
  <c r="AH177" i="6"/>
  <c r="AR176" i="6"/>
  <c r="AM176" i="6"/>
  <c r="AH176" i="6"/>
  <c r="AR175" i="6"/>
  <c r="AM175" i="6"/>
  <c r="AH175" i="6"/>
  <c r="AR174" i="6"/>
  <c r="AM174" i="6"/>
  <c r="AH174" i="6"/>
  <c r="AR173" i="6"/>
  <c r="AM173" i="6"/>
  <c r="AR162" i="6"/>
  <c r="AM162" i="6"/>
  <c r="AR159" i="6"/>
  <c r="AM159" i="6"/>
  <c r="AH159" i="6"/>
  <c r="AR158" i="6"/>
  <c r="AM158" i="6"/>
  <c r="AH158" i="6"/>
  <c r="AR157" i="6"/>
  <c r="AM157" i="6"/>
  <c r="AH157" i="6"/>
  <c r="AR156" i="6"/>
  <c r="AM156" i="6"/>
  <c r="AH156" i="6"/>
  <c r="AR155" i="6"/>
  <c r="AM155" i="6"/>
  <c r="AH155" i="6"/>
  <c r="AR154" i="6"/>
  <c r="AM154" i="6"/>
  <c r="AR153" i="6"/>
  <c r="AM153" i="6"/>
  <c r="AR152" i="6"/>
  <c r="AM152" i="6"/>
  <c r="AR151" i="6"/>
  <c r="AM151" i="6"/>
  <c r="AR140" i="6"/>
  <c r="AM140" i="6"/>
  <c r="AR137" i="6"/>
  <c r="AM137" i="6"/>
  <c r="AH137" i="6"/>
  <c r="AR136" i="6"/>
  <c r="AM136" i="6"/>
  <c r="AH136" i="6"/>
  <c r="AR135" i="6"/>
  <c r="AM135" i="6"/>
  <c r="AH135" i="6"/>
  <c r="AR134" i="6"/>
  <c r="AM134" i="6"/>
  <c r="AH134" i="6"/>
  <c r="AR133" i="6"/>
  <c r="AM133" i="6"/>
  <c r="AR132" i="6"/>
  <c r="AM132" i="6"/>
  <c r="AR131" i="6"/>
  <c r="AM131" i="6"/>
  <c r="AR130" i="6"/>
  <c r="AM130" i="6"/>
  <c r="AR129" i="6"/>
  <c r="AM129" i="6"/>
  <c r="AR118" i="6"/>
  <c r="AM118" i="6"/>
  <c r="AR112" i="6"/>
  <c r="AM112" i="6"/>
  <c r="AH112" i="6"/>
  <c r="AR111" i="6"/>
  <c r="AM111" i="6"/>
  <c r="AH111" i="6"/>
  <c r="AR110" i="6"/>
  <c r="AM110" i="6"/>
  <c r="AH110" i="6"/>
  <c r="AR109" i="6"/>
  <c r="AM109" i="6"/>
  <c r="AH109" i="6"/>
  <c r="AR108" i="6"/>
  <c r="AM108" i="6"/>
  <c r="AH108" i="6"/>
  <c r="AR107" i="6"/>
  <c r="AM107" i="6"/>
  <c r="E139" i="8"/>
  <c r="E118" i="8"/>
  <c r="I118" i="8" s="1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32" i="8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AR89" i="6"/>
  <c r="AM89" i="6"/>
  <c r="AH89" i="6"/>
  <c r="AR88" i="6"/>
  <c r="AM88" i="6"/>
  <c r="AH88" i="6"/>
  <c r="AR87" i="6"/>
  <c r="AM87" i="6"/>
  <c r="AH87" i="6"/>
  <c r="AR86" i="6"/>
  <c r="AM86" i="6"/>
  <c r="AH86" i="6"/>
  <c r="AR85" i="6"/>
  <c r="AM85" i="6"/>
  <c r="AH85" i="6"/>
  <c r="AR84" i="6"/>
  <c r="AM84" i="6"/>
  <c r="AH84" i="6"/>
  <c r="AR83" i="6"/>
  <c r="AM83" i="6"/>
  <c r="AH83" i="6"/>
  <c r="AR82" i="6"/>
  <c r="AM82" i="6"/>
  <c r="AH82" i="6"/>
  <c r="AR81" i="6"/>
  <c r="AM81" i="6"/>
  <c r="AR80" i="6"/>
  <c r="AM80" i="6"/>
  <c r="AR79" i="6"/>
  <c r="AM79" i="6"/>
  <c r="AH79" i="6"/>
  <c r="AR78" i="6"/>
  <c r="AM78" i="6"/>
  <c r="AH78" i="6"/>
  <c r="AR77" i="6"/>
  <c r="AM77" i="6"/>
  <c r="AH77" i="6"/>
  <c r="AR76" i="6"/>
  <c r="AM76" i="6"/>
  <c r="AH76" i="6"/>
  <c r="AR75" i="6"/>
  <c r="AM75" i="6"/>
  <c r="AH75" i="6"/>
  <c r="AR74" i="6"/>
  <c r="AM74" i="6"/>
  <c r="AH74" i="6"/>
  <c r="AR73" i="6"/>
  <c r="AM73" i="6"/>
  <c r="AH73" i="6"/>
  <c r="AR72" i="6"/>
  <c r="AM72" i="6"/>
  <c r="AH72" i="6"/>
  <c r="AR71" i="6"/>
  <c r="AM71" i="6"/>
  <c r="AH71" i="6"/>
  <c r="AR70" i="6"/>
  <c r="AM70" i="6"/>
  <c r="AH70" i="6"/>
  <c r="AR69" i="6"/>
  <c r="AM69" i="6"/>
  <c r="AH69" i="6"/>
  <c r="AR68" i="6"/>
  <c r="AM68" i="6"/>
  <c r="AH68" i="6"/>
  <c r="AR67" i="6"/>
  <c r="AM67" i="6"/>
  <c r="AH67" i="6"/>
  <c r="AR66" i="6"/>
  <c r="AM66" i="6"/>
  <c r="AH66" i="6"/>
  <c r="AR65" i="6"/>
  <c r="AM65" i="6"/>
  <c r="AH65" i="6"/>
  <c r="AR64" i="6"/>
  <c r="AM64" i="6"/>
  <c r="AR63" i="6"/>
  <c r="AM63" i="6"/>
  <c r="AH63" i="6"/>
  <c r="AR62" i="6"/>
  <c r="AM62" i="6"/>
  <c r="AH62" i="6"/>
  <c r="AR61" i="6"/>
  <c r="AM61" i="6"/>
  <c r="AH61" i="6"/>
  <c r="AR60" i="6"/>
  <c r="AM60" i="6"/>
  <c r="AH60" i="6"/>
  <c r="AR59" i="6"/>
  <c r="AM59" i="6"/>
  <c r="AH59" i="6"/>
  <c r="AR58" i="6"/>
  <c r="AM58" i="6"/>
  <c r="AH58" i="6"/>
  <c r="AR57" i="6"/>
  <c r="AM57" i="6"/>
  <c r="AH57" i="6"/>
  <c r="AR56" i="6"/>
  <c r="AM56" i="6"/>
  <c r="AH56" i="6"/>
  <c r="AR55" i="6"/>
  <c r="AM55" i="6"/>
  <c r="AH55" i="6"/>
  <c r="AR54" i="6"/>
  <c r="AM54" i="6"/>
  <c r="AH54" i="6"/>
  <c r="AR53" i="6"/>
  <c r="AM53" i="6"/>
  <c r="AH53" i="6"/>
  <c r="AR52" i="6"/>
  <c r="AM52" i="6"/>
  <c r="AH52" i="6"/>
  <c r="AR51" i="6"/>
  <c r="AM51" i="6"/>
  <c r="AH51" i="6"/>
  <c r="AR50" i="6"/>
  <c r="AM50" i="6"/>
  <c r="AH50" i="6"/>
  <c r="AR49" i="6"/>
  <c r="AM49" i="6"/>
  <c r="AH49" i="6"/>
  <c r="AR48" i="6"/>
  <c r="AM48" i="6"/>
  <c r="AH48" i="6"/>
  <c r="AR47" i="6"/>
  <c r="AM47" i="6"/>
  <c r="AH47" i="6"/>
  <c r="AR46" i="6"/>
  <c r="AM46" i="6"/>
  <c r="AH46" i="6"/>
  <c r="AR45" i="6"/>
  <c r="AM45" i="6"/>
  <c r="AH45" i="6"/>
  <c r="AR44" i="6"/>
  <c r="AM44" i="6"/>
  <c r="AH44" i="6"/>
  <c r="AR43" i="6"/>
  <c r="AM43" i="6"/>
  <c r="AR42" i="6"/>
  <c r="AM42" i="6"/>
  <c r="AH42" i="6"/>
  <c r="AR41" i="6"/>
  <c r="AM41" i="6"/>
  <c r="AH41" i="6"/>
  <c r="AR40" i="6"/>
  <c r="AM40" i="6"/>
  <c r="AH40" i="6"/>
  <c r="AR39" i="6"/>
  <c r="AM39" i="6"/>
  <c r="AH39" i="6"/>
  <c r="AR38" i="6"/>
  <c r="AM38" i="6"/>
  <c r="AH38" i="6"/>
  <c r="AR37" i="6"/>
  <c r="AM37" i="6"/>
  <c r="AR36" i="6"/>
  <c r="AM36" i="6"/>
  <c r="AH36" i="6"/>
  <c r="AR35" i="6"/>
  <c r="AM35" i="6"/>
  <c r="AH35" i="6"/>
  <c r="AR34" i="6"/>
  <c r="AM34" i="6"/>
  <c r="AH34" i="6"/>
  <c r="AR33" i="6"/>
  <c r="AM33" i="6"/>
  <c r="AH33" i="6"/>
  <c r="AR32" i="6"/>
  <c r="AM32" i="6"/>
  <c r="AH32" i="6"/>
  <c r="AR31" i="6"/>
  <c r="AM31" i="6"/>
  <c r="AR30" i="6"/>
  <c r="AM30" i="6"/>
  <c r="AH30" i="6"/>
  <c r="AR29" i="6"/>
  <c r="AM29" i="6"/>
  <c r="AR28" i="6"/>
  <c r="AM28" i="6"/>
  <c r="AH28" i="6"/>
  <c r="AR27" i="6"/>
  <c r="AM27" i="6"/>
  <c r="AH27" i="6"/>
  <c r="AR26" i="6"/>
  <c r="AM26" i="6"/>
  <c r="AH26" i="6"/>
  <c r="AR25" i="6"/>
  <c r="AM25" i="6"/>
  <c r="AR24" i="6"/>
  <c r="AM24" i="6"/>
  <c r="AH24" i="6"/>
  <c r="AR23" i="6"/>
  <c r="AM23" i="6"/>
  <c r="AH23" i="6"/>
  <c r="AR22" i="6"/>
  <c r="AM22" i="6"/>
  <c r="AH22" i="6"/>
  <c r="AR21" i="6"/>
  <c r="AM21" i="6"/>
  <c r="AH21" i="6"/>
  <c r="AR20" i="6"/>
  <c r="AM20" i="6"/>
  <c r="AH20" i="6"/>
  <c r="AR19" i="6"/>
  <c r="AM19" i="6"/>
  <c r="AH19" i="6"/>
  <c r="AR18" i="6"/>
  <c r="AM18" i="6"/>
  <c r="AR17" i="6"/>
  <c r="AM17" i="6"/>
  <c r="AR16" i="6"/>
  <c r="AM16" i="6"/>
  <c r="AR15" i="6"/>
  <c r="AM15" i="6"/>
  <c r="AR14" i="6"/>
  <c r="AM14" i="6"/>
  <c r="AH14" i="6"/>
  <c r="AH29" i="6"/>
  <c r="AH43" i="6"/>
  <c r="AH64" i="6"/>
  <c r="AH25" i="6"/>
  <c r="AH37" i="6"/>
  <c r="CA688" i="9"/>
  <c r="BY688" i="9"/>
  <c r="CA687" i="9"/>
  <c r="BY687" i="9"/>
  <c r="CA686" i="9"/>
  <c r="BY686" i="9"/>
  <c r="CA685" i="9"/>
  <c r="BY685" i="9"/>
  <c r="CA684" i="9"/>
  <c r="BY684" i="9"/>
  <c r="CA683" i="9"/>
  <c r="BY683" i="9"/>
  <c r="CA682" i="9"/>
  <c r="BY682" i="9"/>
  <c r="CA681" i="9"/>
  <c r="BY681" i="9"/>
  <c r="CA680" i="9"/>
  <c r="BY680" i="9"/>
  <c r="CA669" i="9"/>
  <c r="BY669" i="9"/>
  <c r="CA664" i="9"/>
  <c r="BY664" i="9"/>
  <c r="CA663" i="9"/>
  <c r="BY663" i="9"/>
  <c r="CA662" i="9"/>
  <c r="BY662" i="9"/>
  <c r="CA661" i="9"/>
  <c r="BY661" i="9"/>
  <c r="CA660" i="9"/>
  <c r="BY660" i="9"/>
  <c r="CA659" i="9"/>
  <c r="BY659" i="9"/>
  <c r="CA658" i="9"/>
  <c r="BY658" i="9"/>
  <c r="CA657" i="9"/>
  <c r="BY657" i="9"/>
  <c r="CA656" i="9"/>
  <c r="BY656" i="9"/>
  <c r="CA645" i="9"/>
  <c r="BY645" i="9"/>
  <c r="CA640" i="9"/>
  <c r="BY640" i="9"/>
  <c r="CA639" i="9"/>
  <c r="BY639" i="9"/>
  <c r="CA638" i="9"/>
  <c r="BY638" i="9"/>
  <c r="CA637" i="9"/>
  <c r="BY637" i="9"/>
  <c r="CA636" i="9"/>
  <c r="BY636" i="9"/>
  <c r="CA635" i="9"/>
  <c r="BY635" i="9"/>
  <c r="CA634" i="9"/>
  <c r="BY634" i="9"/>
  <c r="CA633" i="9"/>
  <c r="BY633" i="9"/>
  <c r="CA632" i="9"/>
  <c r="BY632" i="9"/>
  <c r="CA621" i="9"/>
  <c r="BY621" i="9"/>
  <c r="CA616" i="9"/>
  <c r="BY616" i="9"/>
  <c r="CA615" i="9"/>
  <c r="BY615" i="9"/>
  <c r="CA614" i="9"/>
  <c r="BY614" i="9"/>
  <c r="CA613" i="9"/>
  <c r="BY613" i="9"/>
  <c r="CA612" i="9"/>
  <c r="BY612" i="9"/>
  <c r="CA611" i="9"/>
  <c r="BY611" i="9"/>
  <c r="CA610" i="9"/>
  <c r="BY610" i="9"/>
  <c r="CA609" i="9"/>
  <c r="BY609" i="9"/>
  <c r="CA608" i="9"/>
  <c r="BY608" i="9"/>
  <c r="CA597" i="9"/>
  <c r="BY597" i="9"/>
  <c r="CA592" i="9"/>
  <c r="BY592" i="9"/>
  <c r="CA591" i="9"/>
  <c r="BY591" i="9"/>
  <c r="CA590" i="9"/>
  <c r="BY590" i="9"/>
  <c r="CA589" i="9"/>
  <c r="BY589" i="9"/>
  <c r="CA588" i="9"/>
  <c r="BY588" i="9"/>
  <c r="CA587" i="9"/>
  <c r="BY587" i="9"/>
  <c r="CA586" i="9"/>
  <c r="BY586" i="9"/>
  <c r="CA585" i="9"/>
  <c r="BY585" i="9"/>
  <c r="CA584" i="9"/>
  <c r="BY584" i="9"/>
  <c r="CA573" i="9"/>
  <c r="BY573" i="9"/>
  <c r="CA568" i="9"/>
  <c r="BY568" i="9"/>
  <c r="CA567" i="9"/>
  <c r="BY567" i="9"/>
  <c r="CA566" i="9"/>
  <c r="BY566" i="9"/>
  <c r="CA565" i="9"/>
  <c r="BY565" i="9"/>
  <c r="CA564" i="9"/>
  <c r="BY564" i="9"/>
  <c r="CA563" i="9"/>
  <c r="BY563" i="9"/>
  <c r="CA562" i="9"/>
  <c r="BY562" i="9"/>
  <c r="CA561" i="9"/>
  <c r="BY561" i="9"/>
  <c r="CA560" i="9"/>
  <c r="BY560" i="9"/>
  <c r="CA549" i="9"/>
  <c r="BY549" i="9"/>
  <c r="CA544" i="9"/>
  <c r="BY544" i="9"/>
  <c r="CA543" i="9"/>
  <c r="BY543" i="9"/>
  <c r="CA542" i="9"/>
  <c r="BY542" i="9"/>
  <c r="CA541" i="9"/>
  <c r="BY541" i="9"/>
  <c r="CA540" i="9"/>
  <c r="BY540" i="9"/>
  <c r="CA539" i="9"/>
  <c r="BY539" i="9"/>
  <c r="CA538" i="9"/>
  <c r="BY538" i="9"/>
  <c r="CA537" i="9"/>
  <c r="BY537" i="9"/>
  <c r="CA536" i="9"/>
  <c r="BY536" i="9"/>
  <c r="CA525" i="9"/>
  <c r="BY525" i="9"/>
  <c r="CA520" i="9"/>
  <c r="BY520" i="9"/>
  <c r="CA519" i="9"/>
  <c r="BY519" i="9"/>
  <c r="CA518" i="9"/>
  <c r="BY518" i="9"/>
  <c r="CA517" i="9"/>
  <c r="BY517" i="9"/>
  <c r="CA516" i="9"/>
  <c r="BY516" i="9"/>
  <c r="CA515" i="9"/>
  <c r="BY515" i="9"/>
  <c r="CA514" i="9"/>
  <c r="BY514" i="9"/>
  <c r="CA513" i="9"/>
  <c r="BY513" i="9"/>
  <c r="CA512" i="9"/>
  <c r="BY512" i="9"/>
  <c r="CA501" i="9"/>
  <c r="BY501" i="9"/>
  <c r="CA496" i="9"/>
  <c r="BY496" i="9"/>
  <c r="CA495" i="9"/>
  <c r="BY495" i="9"/>
  <c r="CA494" i="9"/>
  <c r="BY494" i="9"/>
  <c r="CA493" i="9"/>
  <c r="BY493" i="9"/>
  <c r="CA492" i="9"/>
  <c r="BY492" i="9"/>
  <c r="CA491" i="9"/>
  <c r="BY491" i="9"/>
  <c r="CA490" i="9"/>
  <c r="BY490" i="9"/>
  <c r="CA489" i="9"/>
  <c r="BY489" i="9"/>
  <c r="CA488" i="9"/>
  <c r="BY488" i="9"/>
  <c r="CA477" i="9"/>
  <c r="BY477" i="9"/>
  <c r="CA472" i="9"/>
  <c r="BY472" i="9"/>
  <c r="CA471" i="9"/>
  <c r="BY471" i="9"/>
  <c r="CA470" i="9"/>
  <c r="BY470" i="9"/>
  <c r="CA469" i="9"/>
  <c r="BY469" i="9"/>
  <c r="CA468" i="9"/>
  <c r="BY468" i="9"/>
  <c r="CA467" i="9"/>
  <c r="BY467" i="9"/>
  <c r="CA466" i="9"/>
  <c r="BY466" i="9"/>
  <c r="CA465" i="9"/>
  <c r="BY465" i="9"/>
  <c r="CA464" i="9"/>
  <c r="BY464" i="9"/>
  <c r="CA453" i="9"/>
  <c r="BY453" i="9"/>
  <c r="CA448" i="9"/>
  <c r="BY448" i="9"/>
  <c r="CA447" i="9"/>
  <c r="BY447" i="9"/>
  <c r="CA446" i="9"/>
  <c r="BY446" i="9"/>
  <c r="CA445" i="9"/>
  <c r="BY445" i="9"/>
  <c r="CA444" i="9"/>
  <c r="BY444" i="9"/>
  <c r="CA443" i="9"/>
  <c r="BY443" i="9"/>
  <c r="CA442" i="9"/>
  <c r="BY442" i="9"/>
  <c r="CA441" i="9"/>
  <c r="BY441" i="9"/>
  <c r="CA440" i="9"/>
  <c r="BY440" i="9"/>
  <c r="CA429" i="9"/>
  <c r="BY429" i="9"/>
  <c r="CA424" i="9"/>
  <c r="BY424" i="9"/>
  <c r="CA423" i="9"/>
  <c r="BY423" i="9"/>
  <c r="CA422" i="9"/>
  <c r="BY422" i="9"/>
  <c r="CA421" i="9"/>
  <c r="BY421" i="9"/>
  <c r="CA420" i="9"/>
  <c r="BY420" i="9"/>
  <c r="CA419" i="9"/>
  <c r="BY419" i="9"/>
  <c r="CA418" i="9"/>
  <c r="BY418" i="9"/>
  <c r="CA417" i="9"/>
  <c r="BY417" i="9"/>
  <c r="CA416" i="9"/>
  <c r="BY416" i="9"/>
  <c r="CA405" i="9"/>
  <c r="BY405" i="9"/>
  <c r="CA400" i="9"/>
  <c r="BY400" i="9"/>
  <c r="CA399" i="9"/>
  <c r="BY399" i="9"/>
  <c r="CA398" i="9"/>
  <c r="BY398" i="9"/>
  <c r="CA397" i="9"/>
  <c r="BY397" i="9"/>
  <c r="CA396" i="9"/>
  <c r="BY396" i="9"/>
  <c r="CA395" i="9"/>
  <c r="BY395" i="9"/>
  <c r="CA394" i="9"/>
  <c r="BY394" i="9"/>
  <c r="CA393" i="9"/>
  <c r="BY393" i="9"/>
  <c r="CA392" i="9"/>
  <c r="BY392" i="9"/>
  <c r="CA381" i="9"/>
  <c r="BY381" i="9"/>
  <c r="CA376" i="9"/>
  <c r="BY376" i="9"/>
  <c r="CA375" i="9"/>
  <c r="BY375" i="9"/>
  <c r="CA374" i="9"/>
  <c r="BY374" i="9"/>
  <c r="CA373" i="9"/>
  <c r="BY373" i="9"/>
  <c r="CA372" i="9"/>
  <c r="BY372" i="9"/>
  <c r="CA371" i="9"/>
  <c r="BY371" i="9"/>
  <c r="CA370" i="9"/>
  <c r="BY370" i="9"/>
  <c r="CA369" i="9"/>
  <c r="BY369" i="9"/>
  <c r="CA368" i="9"/>
  <c r="BY368" i="9"/>
  <c r="CA357" i="9"/>
  <c r="BY357" i="9"/>
  <c r="CA352" i="9"/>
  <c r="BY352" i="9"/>
  <c r="CA351" i="9"/>
  <c r="BY351" i="9"/>
  <c r="CA350" i="9"/>
  <c r="BY350" i="9"/>
  <c r="CA349" i="9"/>
  <c r="BY349" i="9"/>
  <c r="CA348" i="9"/>
  <c r="BY348" i="9"/>
  <c r="CA347" i="9"/>
  <c r="BY347" i="9"/>
  <c r="CA346" i="9"/>
  <c r="BY346" i="9"/>
  <c r="CA345" i="9"/>
  <c r="BY345" i="9"/>
  <c r="CA334" i="9"/>
  <c r="BY334" i="9"/>
  <c r="CA333" i="9"/>
  <c r="BY333" i="9"/>
  <c r="CA328" i="9"/>
  <c r="BY328" i="9"/>
  <c r="CA327" i="9"/>
  <c r="BY327" i="9"/>
  <c r="CA326" i="9"/>
  <c r="BY326" i="9"/>
  <c r="CA325" i="9"/>
  <c r="BY325" i="9"/>
  <c r="CA314" i="9"/>
  <c r="BY314" i="9"/>
  <c r="CA313" i="9"/>
  <c r="BY313" i="9"/>
  <c r="CA312" i="9"/>
  <c r="BY312" i="9"/>
  <c r="CA311" i="9"/>
  <c r="BY311" i="9"/>
  <c r="CA310" i="9"/>
  <c r="BY310" i="9"/>
  <c r="CA309" i="9"/>
  <c r="BY309" i="9"/>
  <c r="CA304" i="9"/>
  <c r="BY304" i="9"/>
  <c r="CA303" i="9"/>
  <c r="BY303" i="9"/>
  <c r="CA302" i="9"/>
  <c r="BY302" i="9"/>
  <c r="CA291" i="9"/>
  <c r="BY291" i="9"/>
  <c r="CA290" i="9"/>
  <c r="BY290" i="9"/>
  <c r="CA289" i="9"/>
  <c r="BY289" i="9"/>
  <c r="CA288" i="9"/>
  <c r="BY288" i="9"/>
  <c r="CA287" i="9"/>
  <c r="BY287" i="9"/>
  <c r="CA286" i="9"/>
  <c r="BY286" i="9"/>
  <c r="CA285" i="9"/>
  <c r="BY285" i="9"/>
  <c r="CA280" i="9"/>
  <c r="BY280" i="9"/>
  <c r="CA279" i="9"/>
  <c r="BY279" i="9"/>
  <c r="CA278" i="9"/>
  <c r="BY278" i="9"/>
  <c r="CA277" i="9"/>
  <c r="BY277" i="9"/>
  <c r="CA276" i="9"/>
  <c r="BY276" i="9"/>
  <c r="CA265" i="9"/>
  <c r="BY265" i="9"/>
  <c r="CA264" i="9"/>
  <c r="BY264" i="9"/>
  <c r="CA263" i="9"/>
  <c r="BY263" i="9"/>
  <c r="CA262" i="9"/>
  <c r="BY262" i="9"/>
  <c r="CA261" i="9"/>
  <c r="BY261" i="9"/>
  <c r="CA256" i="9"/>
  <c r="CA255" i="9"/>
  <c r="CA254" i="9"/>
  <c r="CA253" i="9"/>
  <c r="CA252" i="9"/>
  <c r="CA241" i="9"/>
  <c r="CA240" i="9"/>
  <c r="CA239" i="9"/>
  <c r="CA238" i="9"/>
  <c r="CA237" i="9"/>
  <c r="CA213" i="9"/>
  <c r="BY256" i="9"/>
  <c r="BY255" i="9"/>
  <c r="BY254" i="9"/>
  <c r="BY253" i="9"/>
  <c r="BY252" i="9"/>
  <c r="BY241" i="9"/>
  <c r="BY240" i="9"/>
  <c r="BY239" i="9"/>
  <c r="BY238" i="9"/>
  <c r="BY237" i="9"/>
  <c r="BY213" i="9"/>
  <c r="BZ213" i="9" s="1"/>
  <c r="U1555" i="6"/>
  <c r="N1373" i="6"/>
  <c r="J1249" i="6"/>
  <c r="E753" i="11"/>
  <c r="N1289" i="6" s="1"/>
  <c r="E752" i="11"/>
  <c r="N1288" i="6" s="1"/>
  <c r="E751" i="11"/>
  <c r="N1287" i="6" s="1"/>
  <c r="U1509" i="6"/>
  <c r="E750" i="11"/>
  <c r="N1286" i="6" s="1"/>
  <c r="U1507" i="6"/>
  <c r="E749" i="11"/>
  <c r="E748" i="11"/>
  <c r="N1284" i="6" s="1"/>
  <c r="U1505" i="6"/>
  <c r="E735" i="11"/>
  <c r="N1271" i="6" s="1"/>
  <c r="E734" i="11"/>
  <c r="E733" i="11"/>
  <c r="E732" i="11"/>
  <c r="N1268" i="6" s="1"/>
  <c r="E731" i="11"/>
  <c r="E730" i="11"/>
  <c r="E729" i="11"/>
  <c r="E728" i="11"/>
  <c r="E727" i="11"/>
  <c r="N1263" i="6" s="1"/>
  <c r="E726" i="11"/>
  <c r="N1262" i="6" s="1"/>
  <c r="E725" i="11"/>
  <c r="E724" i="11"/>
  <c r="N1260" i="6" s="1"/>
  <c r="E723" i="11"/>
  <c r="N1259" i="6" s="1"/>
  <c r="E722" i="11"/>
  <c r="E721" i="11"/>
  <c r="N1257" i="6" s="1"/>
  <c r="E720" i="11"/>
  <c r="E719" i="11"/>
  <c r="N1255" i="6" s="1"/>
  <c r="E772" i="11"/>
  <c r="N1308" i="6" s="1"/>
  <c r="E771" i="11"/>
  <c r="E770" i="11"/>
  <c r="N1306" i="6" s="1"/>
  <c r="E769" i="11"/>
  <c r="E768" i="11"/>
  <c r="N1304" i="6" s="1"/>
  <c r="E767" i="11"/>
  <c r="E766" i="11"/>
  <c r="N1302" i="6" s="1"/>
  <c r="E765" i="11"/>
  <c r="N1301" i="6" s="1"/>
  <c r="E764" i="11"/>
  <c r="E763" i="11"/>
  <c r="E762" i="11"/>
  <c r="N1298" i="6" s="1"/>
  <c r="E761" i="11"/>
  <c r="E760" i="11"/>
  <c r="N1296" i="6" s="1"/>
  <c r="E759" i="11"/>
  <c r="N1295" i="6" s="1"/>
  <c r="E758" i="11"/>
  <c r="N1294" i="6" s="1"/>
  <c r="E757" i="11"/>
  <c r="N1293" i="6" s="1"/>
  <c r="N1343" i="6"/>
  <c r="E755" i="11"/>
  <c r="N1291" i="6" s="1"/>
  <c r="U1513" i="6"/>
  <c r="E754" i="11"/>
  <c r="N1290" i="6" s="1"/>
  <c r="G773" i="11"/>
  <c r="E718" i="11"/>
  <c r="N1254" i="6" s="1"/>
  <c r="E717" i="11"/>
  <c r="N1253" i="6" s="1"/>
  <c r="E716" i="11"/>
  <c r="N1252" i="6" s="1"/>
  <c r="E715" i="11"/>
  <c r="N1251" i="6" s="1"/>
  <c r="E714" i="11"/>
  <c r="N1250" i="6" s="1"/>
  <c r="E713" i="11"/>
  <c r="N1249" i="6" s="1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J1160" i="6"/>
  <c r="J1161" i="6"/>
  <c r="J1162" i="6"/>
  <c r="J116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E704" i="11"/>
  <c r="D704" i="11"/>
  <c r="E703" i="11"/>
  <c r="N1234" i="6" s="1"/>
  <c r="D703" i="11"/>
  <c r="L1234" i="6" s="1"/>
  <c r="E701" i="11"/>
  <c r="N1232" i="6" s="1"/>
  <c r="D701" i="11"/>
  <c r="L1232" i="6" s="1"/>
  <c r="L1239" i="6" s="1"/>
  <c r="E700" i="11"/>
  <c r="D700" i="11"/>
  <c r="E696" i="11"/>
  <c r="N1228" i="6" s="1"/>
  <c r="E695" i="11"/>
  <c r="N1227" i="6" s="1"/>
  <c r="E694" i="11"/>
  <c r="N1226" i="6" s="1"/>
  <c r="E693" i="11"/>
  <c r="N1225" i="6" s="1"/>
  <c r="E691" i="11"/>
  <c r="N1223" i="6" s="1"/>
  <c r="E690" i="11"/>
  <c r="N1222" i="6" s="1"/>
  <c r="E635" i="11"/>
  <c r="N1163" i="6" s="1"/>
  <c r="E634" i="11"/>
  <c r="N1162" i="6" s="1"/>
  <c r="E633" i="11"/>
  <c r="N1161" i="6" s="1"/>
  <c r="E632" i="11"/>
  <c r="N1160" i="6" s="1"/>
  <c r="E631" i="11"/>
  <c r="N1159" i="6" s="1"/>
  <c r="E630" i="11"/>
  <c r="N1158" i="6" s="1"/>
  <c r="E629" i="11"/>
  <c r="N1157" i="6" s="1"/>
  <c r="E628" i="11"/>
  <c r="N1156" i="6" s="1"/>
  <c r="L1156" i="6"/>
  <c r="E627" i="11"/>
  <c r="N1155" i="6" s="1"/>
  <c r="E626" i="11"/>
  <c r="N1154" i="6" s="1"/>
  <c r="E625" i="11"/>
  <c r="N1153" i="6" s="1"/>
  <c r="N1370" i="6" s="1"/>
  <c r="U1370" i="6" s="1"/>
  <c r="E624" i="11"/>
  <c r="N1152" i="6" s="1"/>
  <c r="N1369" i="6" s="1"/>
  <c r="U1369" i="6" s="1"/>
  <c r="E623" i="11"/>
  <c r="N1151" i="6" s="1"/>
  <c r="N1368" i="6" s="1"/>
  <c r="E622" i="11"/>
  <c r="N1150" i="6" s="1"/>
  <c r="N1367" i="6" s="1"/>
  <c r="E621" i="11"/>
  <c r="N1149" i="6" s="1"/>
  <c r="N1366" i="6" s="1"/>
  <c r="E620" i="11"/>
  <c r="N1148" i="6" s="1"/>
  <c r="N1365" i="6" s="1"/>
  <c r="E619" i="11"/>
  <c r="N1147" i="6" s="1"/>
  <c r="N1364" i="6" s="1"/>
  <c r="E618" i="11"/>
  <c r="N1146" i="6" s="1"/>
  <c r="N1363" i="6" s="1"/>
  <c r="E617" i="11"/>
  <c r="N1145" i="6" s="1"/>
  <c r="N1362" i="6" s="1"/>
  <c r="E616" i="11"/>
  <c r="N1144" i="6" s="1"/>
  <c r="N1361" i="6" s="1"/>
  <c r="E615" i="11"/>
  <c r="N1143" i="6" s="1"/>
  <c r="N1360" i="6" s="1"/>
  <c r="E614" i="11"/>
  <c r="N1142" i="6" s="1"/>
  <c r="N1359" i="6" s="1"/>
  <c r="E613" i="11"/>
  <c r="N1141" i="6" s="1"/>
  <c r="E612" i="11"/>
  <c r="N1140" i="6" s="1"/>
  <c r="E611" i="11"/>
  <c r="N1139" i="6" s="1"/>
  <c r="E610" i="11"/>
  <c r="N1138" i="6" s="1"/>
  <c r="E609" i="11"/>
  <c r="N1137" i="6" s="1"/>
  <c r="E608" i="11"/>
  <c r="N1136" i="6" s="1"/>
  <c r="E607" i="11"/>
  <c r="N1135" i="6" s="1"/>
  <c r="E606" i="11"/>
  <c r="N1134" i="6" s="1"/>
  <c r="E605" i="11"/>
  <c r="N1133" i="6" s="1"/>
  <c r="E604" i="11"/>
  <c r="N1132" i="6" s="1"/>
  <c r="E603" i="11"/>
  <c r="N1131" i="6" s="1"/>
  <c r="E602" i="11"/>
  <c r="N1130" i="6" s="1"/>
  <c r="E601" i="11"/>
  <c r="N1129" i="6" s="1"/>
  <c r="E600" i="11"/>
  <c r="N1128" i="6" s="1"/>
  <c r="E599" i="11"/>
  <c r="N1127" i="6" s="1"/>
  <c r="E598" i="11"/>
  <c r="N1126" i="6" s="1"/>
  <c r="L1126" i="6"/>
  <c r="E597" i="11"/>
  <c r="N1125" i="6" s="1"/>
  <c r="E596" i="11"/>
  <c r="N1124" i="6" s="1"/>
  <c r="E595" i="11"/>
  <c r="N1123" i="6" s="1"/>
  <c r="E594" i="11"/>
  <c r="N1122" i="6" s="1"/>
  <c r="L1122" i="6"/>
  <c r="E593" i="11"/>
  <c r="N1121" i="6" s="1"/>
  <c r="E592" i="11"/>
  <c r="N1120" i="6" s="1"/>
  <c r="E591" i="11"/>
  <c r="N1119" i="6" s="1"/>
  <c r="E590" i="11"/>
  <c r="N1118" i="6" s="1"/>
  <c r="E589" i="11"/>
  <c r="N1117" i="6" s="1"/>
  <c r="E588" i="11"/>
  <c r="N1116" i="6" s="1"/>
  <c r="E587" i="11"/>
  <c r="N1115" i="6" s="1"/>
  <c r="E586" i="11"/>
  <c r="N1114" i="6" s="1"/>
  <c r="E585" i="11"/>
  <c r="N1113" i="6" s="1"/>
  <c r="L1113" i="6"/>
  <c r="E584" i="11"/>
  <c r="N1112" i="6" s="1"/>
  <c r="E583" i="11"/>
  <c r="N1111" i="6" s="1"/>
  <c r="E582" i="11"/>
  <c r="N1110" i="6" s="1"/>
  <c r="E581" i="11"/>
  <c r="N1109" i="6" s="1"/>
  <c r="E580" i="11"/>
  <c r="N1108" i="6" s="1"/>
  <c r="E579" i="11"/>
  <c r="N1107" i="6" s="1"/>
  <c r="E578" i="11"/>
  <c r="N1106" i="6" s="1"/>
  <c r="E577" i="11"/>
  <c r="N1105" i="6" s="1"/>
  <c r="E576" i="11"/>
  <c r="N1104" i="6" s="1"/>
  <c r="E575" i="11"/>
  <c r="N1103" i="6" s="1"/>
  <c r="E574" i="11"/>
  <c r="N1102" i="6" s="1"/>
  <c r="E573" i="11"/>
  <c r="N1101" i="6" s="1"/>
  <c r="E572" i="11"/>
  <c r="N1100" i="6" s="1"/>
  <c r="E571" i="11"/>
  <c r="N1099" i="6" s="1"/>
  <c r="E570" i="11"/>
  <c r="N1098" i="6" s="1"/>
  <c r="E569" i="11"/>
  <c r="N1097" i="6" s="1"/>
  <c r="L1097" i="6"/>
  <c r="E568" i="11"/>
  <c r="N1096" i="6" s="1"/>
  <c r="E567" i="11"/>
  <c r="N1095" i="6" s="1"/>
  <c r="E566" i="11"/>
  <c r="N1094" i="6" s="1"/>
  <c r="E565" i="11"/>
  <c r="N1093" i="6" s="1"/>
  <c r="E564" i="11"/>
  <c r="N1092" i="6" s="1"/>
  <c r="E563" i="11"/>
  <c r="N1091" i="6" s="1"/>
  <c r="E562" i="11"/>
  <c r="N1090" i="6" s="1"/>
  <c r="E561" i="11"/>
  <c r="N1089" i="6" s="1"/>
  <c r="E560" i="11"/>
  <c r="N1088" i="6" s="1"/>
  <c r="E559" i="11"/>
  <c r="N1087" i="6" s="1"/>
  <c r="E558" i="11"/>
  <c r="N1086" i="6" s="1"/>
  <c r="L1086" i="6"/>
  <c r="E557" i="11"/>
  <c r="N1085" i="6" s="1"/>
  <c r="E556" i="11"/>
  <c r="N1084" i="6" s="1"/>
  <c r="E554" i="11"/>
  <c r="N1082" i="6" s="1"/>
  <c r="E553" i="11"/>
  <c r="N1081" i="6" s="1"/>
  <c r="E552" i="11"/>
  <c r="N1080" i="6" s="1"/>
  <c r="L1080" i="6"/>
  <c r="E551" i="11"/>
  <c r="N1079" i="6" s="1"/>
  <c r="E550" i="11"/>
  <c r="N1078" i="6" s="1"/>
  <c r="E549" i="11"/>
  <c r="N1077" i="6" s="1"/>
  <c r="E548" i="11"/>
  <c r="N1076" i="6" s="1"/>
  <c r="E547" i="11"/>
  <c r="N1075" i="6" s="1"/>
  <c r="E546" i="11"/>
  <c r="N1074" i="6" s="1"/>
  <c r="E545" i="11"/>
  <c r="N1073" i="6" s="1"/>
  <c r="E544" i="11"/>
  <c r="N1072" i="6" s="1"/>
  <c r="E543" i="11"/>
  <c r="N1071" i="6" s="1"/>
  <c r="E542" i="11"/>
  <c r="N1070" i="6" s="1"/>
  <c r="E541" i="11"/>
  <c r="N1069" i="6" s="1"/>
  <c r="E540" i="11"/>
  <c r="N1068" i="6" s="1"/>
  <c r="E539" i="11"/>
  <c r="N1067" i="6" s="1"/>
  <c r="E537" i="11"/>
  <c r="N1065" i="6" s="1"/>
  <c r="E535" i="11"/>
  <c r="N1063" i="6" s="1"/>
  <c r="E534" i="11"/>
  <c r="N1062" i="6" s="1"/>
  <c r="L1062" i="6"/>
  <c r="E533" i="11"/>
  <c r="N1061" i="6" s="1"/>
  <c r="E532" i="11"/>
  <c r="N1060" i="6" s="1"/>
  <c r="E531" i="11"/>
  <c r="N1059" i="6" s="1"/>
  <c r="E530" i="11"/>
  <c r="N1058" i="6" s="1"/>
  <c r="E529" i="11"/>
  <c r="N1057" i="6" s="1"/>
  <c r="E528" i="11"/>
  <c r="N1056" i="6" s="1"/>
  <c r="E527" i="11"/>
  <c r="N1055" i="6" s="1"/>
  <c r="L1055" i="6"/>
  <c r="E526" i="11"/>
  <c r="N1054" i="6" s="1"/>
  <c r="E525" i="11"/>
  <c r="N1053" i="6" s="1"/>
  <c r="E524" i="11"/>
  <c r="N1052" i="6" s="1"/>
  <c r="E523" i="11"/>
  <c r="N1051" i="6" s="1"/>
  <c r="E522" i="11"/>
  <c r="N1050" i="6" s="1"/>
  <c r="E521" i="11"/>
  <c r="N1049" i="6" s="1"/>
  <c r="E520" i="11"/>
  <c r="N1048" i="6" s="1"/>
  <c r="E519" i="11"/>
  <c r="N1047" i="6" s="1"/>
  <c r="E518" i="11"/>
  <c r="N1046" i="6" s="1"/>
  <c r="E517" i="11"/>
  <c r="N1045" i="6" s="1"/>
  <c r="E516" i="11"/>
  <c r="N1044" i="6" s="1"/>
  <c r="E515" i="11"/>
  <c r="N1043" i="6" s="1"/>
  <c r="L1043" i="6"/>
  <c r="E514" i="11"/>
  <c r="N1042" i="6" s="1"/>
  <c r="E513" i="11"/>
  <c r="N1041" i="6" s="1"/>
  <c r="E512" i="11"/>
  <c r="N1040" i="6" s="1"/>
  <c r="E511" i="11"/>
  <c r="N1039" i="6" s="1"/>
  <c r="E510" i="11"/>
  <c r="N1038" i="6" s="1"/>
  <c r="E509" i="11"/>
  <c r="N1037" i="6" s="1"/>
  <c r="E508" i="11"/>
  <c r="N1036" i="6" s="1"/>
  <c r="E507" i="11"/>
  <c r="N1035" i="6" s="1"/>
  <c r="E506" i="11"/>
  <c r="N1034" i="6" s="1"/>
  <c r="E503" i="11"/>
  <c r="N1031" i="6" s="1"/>
  <c r="E502" i="11"/>
  <c r="N1030" i="6" s="1"/>
  <c r="E501" i="11"/>
  <c r="N1029" i="6" s="1"/>
  <c r="E500" i="11"/>
  <c r="N1028" i="6" s="1"/>
  <c r="E499" i="11"/>
  <c r="N1027" i="6" s="1"/>
  <c r="E498" i="11"/>
  <c r="N1026" i="6" s="1"/>
  <c r="E497" i="11"/>
  <c r="N1025" i="6" s="1"/>
  <c r="E496" i="11"/>
  <c r="N1024" i="6" s="1"/>
  <c r="E495" i="11"/>
  <c r="N1023" i="6" s="1"/>
  <c r="E494" i="11"/>
  <c r="N1022" i="6" s="1"/>
  <c r="E493" i="11"/>
  <c r="N1021" i="6" s="1"/>
  <c r="E492" i="11"/>
  <c r="N1020" i="6" s="1"/>
  <c r="E491" i="11"/>
  <c r="N1019" i="6" s="1"/>
  <c r="E490" i="11"/>
  <c r="N1018" i="6" s="1"/>
  <c r="E489" i="11"/>
  <c r="N1017" i="6" s="1"/>
  <c r="E488" i="11"/>
  <c r="N1016" i="6" s="1"/>
  <c r="E487" i="11"/>
  <c r="N1015" i="6" s="1"/>
  <c r="E486" i="11"/>
  <c r="N1014" i="6" s="1"/>
  <c r="E485" i="11"/>
  <c r="N1013" i="6" s="1"/>
  <c r="E484" i="11"/>
  <c r="N1012" i="6" s="1"/>
  <c r="E479" i="11"/>
  <c r="N1007" i="6" s="1"/>
  <c r="L1007" i="6"/>
  <c r="E477" i="11"/>
  <c r="N1005" i="6" s="1"/>
  <c r="E476" i="11"/>
  <c r="N1004" i="6" s="1"/>
  <c r="E473" i="11"/>
  <c r="N1001" i="6" s="1"/>
  <c r="E472" i="11"/>
  <c r="N1000" i="6" s="1"/>
  <c r="E471" i="11"/>
  <c r="N999" i="6" s="1"/>
  <c r="E470" i="11"/>
  <c r="N998" i="6" s="1"/>
  <c r="E469" i="11"/>
  <c r="N997" i="6" s="1"/>
  <c r="E467" i="11"/>
  <c r="N995" i="6" s="1"/>
  <c r="L995" i="6"/>
  <c r="E466" i="11"/>
  <c r="N994" i="6" s="1"/>
  <c r="E465" i="11"/>
  <c r="N993" i="6" s="1"/>
  <c r="E464" i="11"/>
  <c r="N992" i="6" s="1"/>
  <c r="E462" i="11"/>
  <c r="N990" i="6" s="1"/>
  <c r="E461" i="11"/>
  <c r="N989" i="6" s="1"/>
  <c r="U1508" i="6"/>
  <c r="C32" i="4"/>
  <c r="C33" i="4"/>
  <c r="C36" i="4"/>
  <c r="C37" i="4"/>
  <c r="C47" i="4"/>
  <c r="C48" i="4"/>
  <c r="C50" i="4"/>
  <c r="C51" i="4"/>
  <c r="C52" i="4"/>
  <c r="C53" i="4"/>
  <c r="C54" i="4"/>
  <c r="M54" i="4"/>
  <c r="O54" i="4" s="1"/>
  <c r="M53" i="4"/>
  <c r="O53" i="4" s="1"/>
  <c r="O22" i="4" s="1"/>
  <c r="H70" i="9" s="1"/>
  <c r="M52" i="4"/>
  <c r="O52" i="4" s="1"/>
  <c r="M51" i="4"/>
  <c r="O51" i="4" s="1"/>
  <c r="O20" i="4" s="1"/>
  <c r="H68" i="9" s="1"/>
  <c r="M50" i="4"/>
  <c r="M48" i="4"/>
  <c r="O48" i="4" s="1"/>
  <c r="M47" i="4"/>
  <c r="O47" i="4" s="1"/>
  <c r="M37" i="4"/>
  <c r="O37" i="4" s="1"/>
  <c r="M36" i="4"/>
  <c r="O36" i="4" s="1"/>
  <c r="M33" i="4"/>
  <c r="O33" i="4" s="1"/>
  <c r="M32" i="4"/>
  <c r="O32" i="4" s="1"/>
  <c r="O5" i="4" s="1"/>
  <c r="H53" i="9" s="1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C4" i="9"/>
  <c r="AD4" i="9"/>
  <c r="AE4" i="9"/>
  <c r="AF4" i="9"/>
  <c r="AG4" i="9"/>
  <c r="AH4" i="9"/>
  <c r="AI4" i="9"/>
  <c r="AJ4" i="9"/>
  <c r="AJ26" i="9" s="1"/>
  <c r="AK4" i="9"/>
  <c r="AK26" i="9" s="1"/>
  <c r="AL4" i="9"/>
  <c r="AL26" i="9" s="1"/>
  <c r="AM4" i="9"/>
  <c r="AM26" i="9" s="1"/>
  <c r="AN4" i="9"/>
  <c r="AN78" i="9" s="1" a="1"/>
  <c r="AN78" i="9" s="1"/>
  <c r="AO4" i="9"/>
  <c r="AP4" i="9"/>
  <c r="AQ4" i="9"/>
  <c r="AR4" i="9"/>
  <c r="AR26" i="9" s="1"/>
  <c r="AS4" i="9"/>
  <c r="AS78" i="9" s="1" a="1"/>
  <c r="AS78" i="9" s="1"/>
  <c r="AC5" i="9"/>
  <c r="AD5" i="9"/>
  <c r="AE5" i="9"/>
  <c r="AF5" i="9"/>
  <c r="AG5" i="9"/>
  <c r="AH5" i="9"/>
  <c r="AI5" i="9"/>
  <c r="AI27" i="9" s="1"/>
  <c r="AJ5" i="9"/>
  <c r="AJ27" i="9" s="1"/>
  <c r="AK5" i="9"/>
  <c r="AK79" i="9" s="1" a="1"/>
  <c r="AK79" i="9" s="1"/>
  <c r="AL5" i="9"/>
  <c r="AL27" i="9" s="1"/>
  <c r="AM5" i="9"/>
  <c r="AN5" i="9"/>
  <c r="AO5" i="9"/>
  <c r="AP5" i="9"/>
  <c r="AQ5" i="9"/>
  <c r="AQ27" i="9" s="1"/>
  <c r="AR5" i="9"/>
  <c r="AR27" i="9" s="1"/>
  <c r="AS5" i="9"/>
  <c r="AS27" i="9" s="1"/>
  <c r="AC6" i="9"/>
  <c r="AD6" i="9"/>
  <c r="AE6" i="9"/>
  <c r="AF6" i="9"/>
  <c r="AG6" i="9"/>
  <c r="AH6" i="9"/>
  <c r="AI6" i="9"/>
  <c r="AI28" i="9" s="1"/>
  <c r="AJ6" i="9"/>
  <c r="AJ80" i="9" s="1" a="1"/>
  <c r="AJ80" i="9" s="1"/>
  <c r="AK6" i="9"/>
  <c r="AK80" i="9" s="1" a="1"/>
  <c r="AK80" i="9" s="1"/>
  <c r="AL6" i="9"/>
  <c r="AL28" i="9" s="1"/>
  <c r="AM6" i="9"/>
  <c r="AM28" i="9" s="1"/>
  <c r="AN6" i="9"/>
  <c r="AO6" i="9"/>
  <c r="AP6" i="9"/>
  <c r="AP28" i="9" s="1"/>
  <c r="AQ6" i="9"/>
  <c r="AQ28" i="9" s="1"/>
  <c r="AR6" i="9"/>
  <c r="AR28" i="9" s="1"/>
  <c r="AS6" i="9"/>
  <c r="AC7" i="9"/>
  <c r="AD7" i="9"/>
  <c r="AE7" i="9"/>
  <c r="AF7" i="9"/>
  <c r="AG7" i="9"/>
  <c r="AH7" i="9"/>
  <c r="AI7" i="9"/>
  <c r="AJ7" i="9"/>
  <c r="AJ29" i="9" s="1"/>
  <c r="AK7" i="9"/>
  <c r="AK81" i="9" s="1" a="1"/>
  <c r="AK81" i="9" s="1"/>
  <c r="AL7" i="9"/>
  <c r="AL81" i="9" s="1" a="1"/>
  <c r="AL81" i="9" s="1"/>
  <c r="AM7" i="9"/>
  <c r="AN7" i="9"/>
  <c r="AN29" i="9" s="1"/>
  <c r="AO7" i="9"/>
  <c r="AO81" i="9" s="1" a="1"/>
  <c r="AO81" i="9" s="1"/>
  <c r="AP7" i="9"/>
  <c r="AP29" i="9" s="1"/>
  <c r="AQ7" i="9"/>
  <c r="AQ29" i="9" s="1"/>
  <c r="AR7" i="9"/>
  <c r="AR81" i="9" s="1" a="1"/>
  <c r="AR81" i="9" s="1"/>
  <c r="AS7" i="9"/>
  <c r="AS29" i="9" s="1"/>
  <c r="AC8" i="9"/>
  <c r="AD8" i="9"/>
  <c r="AE8" i="9"/>
  <c r="AF8" i="9"/>
  <c r="AG8" i="9"/>
  <c r="AH8" i="9"/>
  <c r="AI8" i="9"/>
  <c r="AI30" i="9" s="1"/>
  <c r="AJ8" i="9"/>
  <c r="AJ30" i="9" s="1"/>
  <c r="AK8" i="9"/>
  <c r="AK30" i="9" s="1"/>
  <c r="AL8" i="9"/>
  <c r="AM8" i="9"/>
  <c r="AM82" i="9" s="1" a="1"/>
  <c r="AM82" i="9" s="1"/>
  <c r="AN8" i="9"/>
  <c r="AN30" i="9" s="1"/>
  <c r="AO8" i="9"/>
  <c r="AP8" i="9"/>
  <c r="AP30" i="9" s="1"/>
  <c r="AQ8" i="9"/>
  <c r="AQ30" i="9" s="1"/>
  <c r="AR8" i="9"/>
  <c r="AR30" i="9" s="1"/>
  <c r="AS8" i="9"/>
  <c r="AS30" i="9" s="1"/>
  <c r="AC9" i="9"/>
  <c r="AD9" i="9"/>
  <c r="AE9" i="9"/>
  <c r="AF9" i="9"/>
  <c r="AG9" i="9"/>
  <c r="AH9" i="9"/>
  <c r="AI9" i="9"/>
  <c r="AI31" i="9" s="1"/>
  <c r="AJ9" i="9"/>
  <c r="AJ31" i="9" s="1"/>
  <c r="AK9" i="9"/>
  <c r="AL9" i="9"/>
  <c r="AM9" i="9"/>
  <c r="AN9" i="9"/>
  <c r="AO9" i="9"/>
  <c r="AO31" i="9" s="1"/>
  <c r="AP9" i="9"/>
  <c r="AP31" i="9" s="1"/>
  <c r="AQ9" i="9"/>
  <c r="AQ83" i="9" s="1" a="1"/>
  <c r="AQ83" i="9" s="1"/>
  <c r="AR9" i="9"/>
  <c r="AR31" i="9" s="1"/>
  <c r="AS9" i="9"/>
  <c r="AC10" i="9"/>
  <c r="AD10" i="9"/>
  <c r="AE10" i="9"/>
  <c r="AF10" i="9"/>
  <c r="AG10" i="9"/>
  <c r="AH10" i="9"/>
  <c r="AI10" i="9"/>
  <c r="AI32" i="9" s="1"/>
  <c r="AJ10" i="9"/>
  <c r="AJ84" i="9" s="1" a="1"/>
  <c r="AJ84" i="9" s="1"/>
  <c r="AK10" i="9"/>
  <c r="AL10" i="9"/>
  <c r="AL32" i="9" s="1"/>
  <c r="AM10" i="9"/>
  <c r="AM32" i="9" s="1"/>
  <c r="AN10" i="9"/>
  <c r="AN32" i="9" s="1"/>
  <c r="AO10" i="9"/>
  <c r="AO32" i="9" s="1"/>
  <c r="AP10" i="9"/>
  <c r="AP32" i="9" s="1"/>
  <c r="AQ10" i="9"/>
  <c r="AQ32" i="9" s="1"/>
  <c r="AR10" i="9"/>
  <c r="AS10" i="9"/>
  <c r="AC11" i="9"/>
  <c r="AD11" i="9"/>
  <c r="AE11" i="9"/>
  <c r="AF11" i="9"/>
  <c r="AG11" i="9"/>
  <c r="AH11" i="9"/>
  <c r="AI11" i="9"/>
  <c r="AJ11" i="9"/>
  <c r="AK11" i="9"/>
  <c r="AK33" i="9" s="1"/>
  <c r="AL11" i="9"/>
  <c r="AL85" i="9" s="1" a="1"/>
  <c r="AL85" i="9" s="1"/>
  <c r="AM11" i="9"/>
  <c r="AM33" i="9" s="1"/>
  <c r="AN11" i="9"/>
  <c r="AN33" i="9" s="1"/>
  <c r="AO11" i="9"/>
  <c r="AO85" i="9" s="1" a="1"/>
  <c r="AO85" i="9" s="1"/>
  <c r="AP11" i="9"/>
  <c r="AP33" i="9" s="1"/>
  <c r="AQ11" i="9"/>
  <c r="AR11" i="9"/>
  <c r="AR85" i="9" s="1" a="1"/>
  <c r="AR85" i="9" s="1"/>
  <c r="AS11" i="9"/>
  <c r="AS33" i="9" s="1"/>
  <c r="AC12" i="9"/>
  <c r="AD12" i="9"/>
  <c r="AE12" i="9"/>
  <c r="AF12" i="9"/>
  <c r="AG12" i="9"/>
  <c r="AH12" i="9"/>
  <c r="AI12" i="9"/>
  <c r="AI86" i="9" s="1" a="1"/>
  <c r="AI86" i="9" s="1"/>
  <c r="AJ12" i="9"/>
  <c r="AJ34" i="9" s="1"/>
  <c r="AK12" i="9"/>
  <c r="AK34" i="9" s="1"/>
  <c r="AL12" i="9"/>
  <c r="AL34" i="9" s="1"/>
  <c r="AM12" i="9"/>
  <c r="AM34" i="9" s="1"/>
  <c r="AN12" i="9"/>
  <c r="AN34" i="9" s="1"/>
  <c r="AO12" i="9"/>
  <c r="AP12" i="9"/>
  <c r="AQ12" i="9"/>
  <c r="AR12" i="9"/>
  <c r="AR34" i="9" s="1"/>
  <c r="AS12" i="9"/>
  <c r="AS34" i="9" s="1"/>
  <c r="AC13" i="9"/>
  <c r="AD13" i="9"/>
  <c r="AE13" i="9"/>
  <c r="AF13" i="9"/>
  <c r="AG13" i="9"/>
  <c r="AH13" i="9"/>
  <c r="AI13" i="9"/>
  <c r="AI35" i="9" s="1"/>
  <c r="AJ13" i="9"/>
  <c r="AJ87" i="9" s="1" a="1"/>
  <c r="AJ87" i="9" s="1"/>
  <c r="AK13" i="9"/>
  <c r="AK35" i="9" s="1"/>
  <c r="AL13" i="9"/>
  <c r="AL87" i="9" s="1" a="1"/>
  <c r="AL87" i="9" s="1"/>
  <c r="AM13" i="9"/>
  <c r="AN13" i="9"/>
  <c r="AN35" i="9" s="1"/>
  <c r="AO13" i="9"/>
  <c r="AP13" i="9"/>
  <c r="AP87" i="9" s="1" a="1"/>
  <c r="AP87" i="9" s="1"/>
  <c r="AQ13" i="9"/>
  <c r="AQ35" i="9" s="1"/>
  <c r="AR13" i="9"/>
  <c r="AR35" i="9" s="1"/>
  <c r="AS13" i="9"/>
  <c r="AS35" i="9" s="1"/>
  <c r="AC14" i="9"/>
  <c r="AD14" i="9"/>
  <c r="AE14" i="9"/>
  <c r="AF14" i="9"/>
  <c r="AG14" i="9"/>
  <c r="AH14" i="9"/>
  <c r="AI14" i="9"/>
  <c r="AI36" i="9" s="1"/>
  <c r="AJ14" i="9"/>
  <c r="AJ36" i="9" s="1"/>
  <c r="AK14" i="9"/>
  <c r="AK36" i="9" s="1"/>
  <c r="AL14" i="9"/>
  <c r="AL36" i="9" s="1"/>
  <c r="AM14" i="9"/>
  <c r="AM36" i="9" s="1"/>
  <c r="AN14" i="9"/>
  <c r="AO14" i="9"/>
  <c r="AP14" i="9"/>
  <c r="AP36" i="9" s="1"/>
  <c r="AQ14" i="9"/>
  <c r="AQ36" i="9" s="1"/>
  <c r="AR14" i="9"/>
  <c r="AR36" i="9" s="1"/>
  <c r="AS14" i="9"/>
  <c r="AC15" i="9"/>
  <c r="AD15" i="9"/>
  <c r="AE15" i="9"/>
  <c r="AF15" i="9"/>
  <c r="AG15" i="9"/>
  <c r="AH15" i="9"/>
  <c r="AI15" i="9"/>
  <c r="AJ15" i="9"/>
  <c r="AJ89" i="9" s="1" a="1"/>
  <c r="AJ89" i="9" s="1"/>
  <c r="AK15" i="9"/>
  <c r="AK37" i="9" s="1"/>
  <c r="AL15" i="9"/>
  <c r="AL89" i="9" s="1" a="1"/>
  <c r="AL89" i="9" s="1"/>
  <c r="AM15" i="9"/>
  <c r="AM37" i="9" s="1"/>
  <c r="AN15" i="9"/>
  <c r="AO15" i="9"/>
  <c r="AO37" i="9" s="1"/>
  <c r="AP15" i="9"/>
  <c r="AP37" i="9" s="1"/>
  <c r="AQ15" i="9"/>
  <c r="AR15" i="9"/>
  <c r="AS15" i="9"/>
  <c r="AS37" i="9" s="1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C17" i="9"/>
  <c r="AD17" i="9"/>
  <c r="AE17" i="9"/>
  <c r="AF17" i="9"/>
  <c r="AG17" i="9"/>
  <c r="AH17" i="9"/>
  <c r="AI17" i="9"/>
  <c r="AI91" i="9" s="1" a="1"/>
  <c r="AI91" i="9" s="1"/>
  <c r="AJ17" i="9"/>
  <c r="AJ39" i="9" s="1"/>
  <c r="AK17" i="9"/>
  <c r="AL17" i="9"/>
  <c r="AM17" i="9"/>
  <c r="AN17" i="9"/>
  <c r="AN91" i="9" s="1" a="1"/>
  <c r="AN91" i="9" s="1"/>
  <c r="AO17" i="9"/>
  <c r="AO39" i="9" s="1"/>
  <c r="AP17" i="9"/>
  <c r="AP39" i="9" s="1"/>
  <c r="AQ17" i="9"/>
  <c r="AQ39" i="9" s="1"/>
  <c r="AR17" i="9"/>
  <c r="AR39" i="9" s="1"/>
  <c r="AS17" i="9"/>
  <c r="AC18" i="9"/>
  <c r="AD18" i="9"/>
  <c r="AE18" i="9"/>
  <c r="AF18" i="9"/>
  <c r="AG18" i="9"/>
  <c r="AH18" i="9"/>
  <c r="AI18" i="9"/>
  <c r="AI40" i="9" s="1"/>
  <c r="AJ18" i="9"/>
  <c r="AK18" i="9"/>
  <c r="AK40" i="9" s="1"/>
  <c r="AL18" i="9"/>
  <c r="AL92" i="9" s="1" a="1"/>
  <c r="AL92" i="9" s="1"/>
  <c r="AM18" i="9"/>
  <c r="AM40" i="9" s="1"/>
  <c r="AN18" i="9"/>
  <c r="AN40" i="9" s="1"/>
  <c r="AO18" i="9"/>
  <c r="AO40" i="9" s="1"/>
  <c r="AP18" i="9"/>
  <c r="AP40" i="9" s="1"/>
  <c r="AQ18" i="9"/>
  <c r="AQ40" i="9" s="1"/>
  <c r="AR18" i="9"/>
  <c r="AS18" i="9"/>
  <c r="AC19" i="9"/>
  <c r="AD19" i="9"/>
  <c r="AE19" i="9"/>
  <c r="AF19" i="9"/>
  <c r="AG19" i="9"/>
  <c r="AH19" i="9"/>
  <c r="AI19" i="9"/>
  <c r="AJ19" i="9"/>
  <c r="AK19" i="9"/>
  <c r="AK41" i="9" s="1"/>
  <c r="AL19" i="9"/>
  <c r="AL41" i="9" s="1"/>
  <c r="AM19" i="9"/>
  <c r="AM93" i="9" s="1" a="1"/>
  <c r="AM93" i="9" s="1"/>
  <c r="AN19" i="9"/>
  <c r="AN41" i="9" s="1"/>
  <c r="AO19" i="9"/>
  <c r="AO41" i="9" s="1"/>
  <c r="AP19" i="9"/>
  <c r="AP93" i="9" s="1" a="1"/>
  <c r="AP93" i="9" s="1"/>
  <c r="AQ19" i="9"/>
  <c r="AR19" i="9"/>
  <c r="AS19" i="9"/>
  <c r="AS41" i="9" s="1"/>
  <c r="AC20" i="9"/>
  <c r="AD20" i="9"/>
  <c r="AE20" i="9"/>
  <c r="AF20" i="9"/>
  <c r="AG20" i="9"/>
  <c r="AH20" i="9"/>
  <c r="AI20" i="9"/>
  <c r="AJ20" i="9"/>
  <c r="AJ42" i="9" s="1"/>
  <c r="AK20" i="9"/>
  <c r="AK42" i="9" s="1"/>
  <c r="AL20" i="9"/>
  <c r="AL94" i="9" s="1" a="1"/>
  <c r="AL94" i="9" s="1"/>
  <c r="AM20" i="9"/>
  <c r="AM42" i="9" s="1"/>
  <c r="AN20" i="9"/>
  <c r="AN42" i="9" s="1"/>
  <c r="AO20" i="9"/>
  <c r="AO94" i="9" s="1" a="1"/>
  <c r="AO94" i="9" s="1"/>
  <c r="AP20" i="9"/>
  <c r="AQ20" i="9"/>
  <c r="AR20" i="9"/>
  <c r="AR42" i="9" s="1"/>
  <c r="AS20" i="9"/>
  <c r="AS42" i="9" s="1"/>
  <c r="AC21" i="9"/>
  <c r="AD21" i="9"/>
  <c r="AE21" i="9"/>
  <c r="AF21" i="9"/>
  <c r="AG21" i="9"/>
  <c r="AH21" i="9"/>
  <c r="AI21" i="9"/>
  <c r="AI43" i="9" s="1"/>
  <c r="AJ21" i="9"/>
  <c r="AJ43" i="9" s="1"/>
  <c r="AK21" i="9"/>
  <c r="AK43" i="9" s="1"/>
  <c r="AL21" i="9"/>
  <c r="AL43" i="9" s="1"/>
  <c r="AM21" i="9"/>
  <c r="AN21" i="9"/>
  <c r="AN43" i="9" s="1"/>
  <c r="AO21" i="9"/>
  <c r="AP21" i="9"/>
  <c r="AQ21" i="9"/>
  <c r="AQ43" i="9" s="1"/>
  <c r="AR21" i="9"/>
  <c r="AR43" i="9" s="1"/>
  <c r="AS21" i="9"/>
  <c r="AS43" i="9" s="1"/>
  <c r="AC22" i="9"/>
  <c r="AD22" i="9"/>
  <c r="AE22" i="9"/>
  <c r="AF22" i="9"/>
  <c r="AG22" i="9"/>
  <c r="AH22" i="9"/>
  <c r="AI22" i="9"/>
  <c r="AI44" i="9" s="1"/>
  <c r="AJ22" i="9"/>
  <c r="AJ44" i="9" s="1"/>
  <c r="AK22" i="9"/>
  <c r="AL22" i="9"/>
  <c r="AM22" i="9"/>
  <c r="AM44" i="9" s="1"/>
  <c r="AN22" i="9"/>
  <c r="AN96" i="9" s="1" a="1"/>
  <c r="AN96" i="9" s="1"/>
  <c r="AO22" i="9"/>
  <c r="AP22" i="9"/>
  <c r="AP44" i="9" s="1"/>
  <c r="AQ22" i="9"/>
  <c r="AQ96" i="9" s="1" a="1"/>
  <c r="AQ96" i="9" s="1"/>
  <c r="AR22" i="9"/>
  <c r="AR44" i="9" s="1"/>
  <c r="AS22" i="9"/>
  <c r="AS96" i="9" s="1" a="1"/>
  <c r="AS96" i="9" s="1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K44" i="9" s="1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K42" i="9" s="1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K41" i="9" s="1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K39" i="9" s="1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K37" i="9" s="1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K36" i="9" s="1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K34" i="9" s="1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K33" i="9" s="1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K32" i="9" s="1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K30" i="9" s="1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K26" i="9" s="1"/>
  <c r="F52" i="9"/>
  <c r="G52" i="9"/>
  <c r="F53" i="9"/>
  <c r="G53" i="9"/>
  <c r="F54" i="9"/>
  <c r="F157" i="9" s="1"/>
  <c r="G54" i="9"/>
  <c r="G157" i="9" s="1"/>
  <c r="F55" i="9"/>
  <c r="G55" i="9"/>
  <c r="F56" i="9"/>
  <c r="G56" i="9"/>
  <c r="F57" i="9"/>
  <c r="F160" i="9" s="1"/>
  <c r="G57" i="9"/>
  <c r="G160" i="9" s="1"/>
  <c r="F58" i="9"/>
  <c r="F161" i="9" s="1"/>
  <c r="G58" i="9"/>
  <c r="F59" i="9"/>
  <c r="G59" i="9"/>
  <c r="F60" i="9"/>
  <c r="G60" i="9"/>
  <c r="G163" i="9" s="1"/>
  <c r="F61" i="9"/>
  <c r="F164" i="9" s="1"/>
  <c r="G61" i="9"/>
  <c r="G164" i="9" s="1"/>
  <c r="F62" i="9"/>
  <c r="G62" i="9"/>
  <c r="F63" i="9"/>
  <c r="G63" i="9"/>
  <c r="F64" i="9"/>
  <c r="G64" i="9"/>
  <c r="F65" i="9"/>
  <c r="G65" i="9"/>
  <c r="G168" i="9" s="1"/>
  <c r="F66" i="9"/>
  <c r="F169" i="9" s="1"/>
  <c r="G66" i="9"/>
  <c r="F67" i="9"/>
  <c r="G67" i="9"/>
  <c r="F68" i="9"/>
  <c r="G68" i="9"/>
  <c r="G171" i="9" s="1"/>
  <c r="F69" i="9"/>
  <c r="F172" i="9" s="1"/>
  <c r="G69" i="9"/>
  <c r="F70" i="9"/>
  <c r="G70" i="9"/>
  <c r="AR115" i="6"/>
  <c r="AR114" i="6"/>
  <c r="AR113" i="6"/>
  <c r="AR96" i="6"/>
  <c r="AR13" i="6"/>
  <c r="AR12" i="6"/>
  <c r="AR11" i="6"/>
  <c r="AR10" i="6"/>
  <c r="AR9" i="6"/>
  <c r="AR8" i="6"/>
  <c r="T119" i="14"/>
  <c r="T118" i="14"/>
  <c r="AL122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93" i="14"/>
  <c r="M838" i="6"/>
  <c r="M824" i="6"/>
  <c r="S32" i="2"/>
  <c r="AL119" i="14" s="1"/>
  <c r="S33" i="2"/>
  <c r="AL120" i="14" s="1"/>
  <c r="S34" i="2"/>
  <c r="AL121" i="14" s="1"/>
  <c r="S31" i="2"/>
  <c r="AL118" i="14" s="1"/>
  <c r="S26" i="2"/>
  <c r="Y43" i="2" s="1"/>
  <c r="S27" i="2"/>
  <c r="Y44" i="2" s="1"/>
  <c r="S28" i="2"/>
  <c r="Y45" i="2" s="1"/>
  <c r="S25" i="2"/>
  <c r="B118" i="14" s="1"/>
  <c r="M1232" i="6"/>
  <c r="M1233" i="6"/>
  <c r="M1234" i="6"/>
  <c r="M1231" i="6"/>
  <c r="J1234" i="6"/>
  <c r="J1233" i="6"/>
  <c r="J1232" i="6"/>
  <c r="J1231" i="6"/>
  <c r="J1223" i="6"/>
  <c r="J1224" i="6"/>
  <c r="J1225" i="6"/>
  <c r="J1226" i="6"/>
  <c r="J1227" i="6"/>
  <c r="J1228" i="6"/>
  <c r="M1223" i="6"/>
  <c r="M1224" i="6"/>
  <c r="M1225" i="6"/>
  <c r="M1226" i="6"/>
  <c r="M1227" i="6"/>
  <c r="M1228" i="6"/>
  <c r="M1222" i="6"/>
  <c r="J1222" i="6"/>
  <c r="N1231" i="6"/>
  <c r="L1231" i="6"/>
  <c r="L1238" i="6" s="1"/>
  <c r="L1228" i="6"/>
  <c r="L1227" i="6"/>
  <c r="L1223" i="6"/>
  <c r="N1237" i="6"/>
  <c r="J1195" i="6"/>
  <c r="M1195" i="6"/>
  <c r="J1196" i="6"/>
  <c r="M1196" i="6"/>
  <c r="J1197" i="6"/>
  <c r="M1197" i="6"/>
  <c r="J1198" i="6"/>
  <c r="M1198" i="6"/>
  <c r="J1199" i="6"/>
  <c r="M1199" i="6"/>
  <c r="J1200" i="6"/>
  <c r="M1200" i="6"/>
  <c r="J1201" i="6"/>
  <c r="M1201" i="6"/>
  <c r="J1202" i="6"/>
  <c r="M1202" i="6"/>
  <c r="J1203" i="6"/>
  <c r="M1203" i="6"/>
  <c r="J1204" i="6"/>
  <c r="M1204" i="6"/>
  <c r="J1205" i="6"/>
  <c r="M1205" i="6"/>
  <c r="J1206" i="6"/>
  <c r="M1206" i="6"/>
  <c r="J1207" i="6"/>
  <c r="M1207" i="6"/>
  <c r="J1208" i="6"/>
  <c r="M1208" i="6"/>
  <c r="M1194" i="6"/>
  <c r="J1194" i="6"/>
  <c r="M989" i="6"/>
  <c r="J989" i="6"/>
  <c r="AM13" i="6"/>
  <c r="AH13" i="6"/>
  <c r="AM12" i="6"/>
  <c r="AH12" i="6"/>
  <c r="AM11" i="6"/>
  <c r="AH11" i="6"/>
  <c r="AM10" i="6"/>
  <c r="AH10" i="6"/>
  <c r="AB3" i="9"/>
  <c r="AA3" i="9"/>
  <c r="Z3" i="9"/>
  <c r="Y3" i="9"/>
  <c r="X3" i="9"/>
  <c r="W3" i="9"/>
  <c r="V3" i="9"/>
  <c r="U3" i="9"/>
  <c r="S3" i="9"/>
  <c r="R3" i="9"/>
  <c r="Q3" i="9"/>
  <c r="P3" i="9"/>
  <c r="O3" i="9"/>
  <c r="N3" i="9"/>
  <c r="M3" i="9"/>
  <c r="L3" i="9"/>
  <c r="K3" i="9"/>
  <c r="K25" i="9" s="1"/>
  <c r="G51" i="9"/>
  <c r="G154" i="9" s="1"/>
  <c r="F51" i="9"/>
  <c r="B54" i="4"/>
  <c r="AF54" i="4" s="1" a="1"/>
  <c r="AF54" i="4" s="1"/>
  <c r="E25" i="2"/>
  <c r="AH15" i="6"/>
  <c r="AH132" i="6"/>
  <c r="AH107" i="6"/>
  <c r="AH118" i="6"/>
  <c r="AH129" i="6"/>
  <c r="AH130" i="6"/>
  <c r="AH131" i="6"/>
  <c r="AH133" i="6"/>
  <c r="AH16" i="6"/>
  <c r="AH31" i="6"/>
  <c r="AH17" i="6"/>
  <c r="AH81" i="6"/>
  <c r="AH18" i="6"/>
  <c r="AH80" i="6"/>
  <c r="M699" i="6"/>
  <c r="M698" i="6"/>
  <c r="M697" i="6"/>
  <c r="M696" i="6"/>
  <c r="U1547" i="6"/>
  <c r="N1554" i="6"/>
  <c r="U1554" i="6" s="1"/>
  <c r="U1556" i="6"/>
  <c r="U1552" i="6"/>
  <c r="L1478" i="6"/>
  <c r="U1478" i="6" s="1"/>
  <c r="L1477" i="6"/>
  <c r="U1477" i="6" s="1"/>
  <c r="U1470" i="6"/>
  <c r="U1469" i="6"/>
  <c r="U1468" i="6"/>
  <c r="U1467" i="6"/>
  <c r="U1466" i="6"/>
  <c r="U1465" i="6"/>
  <c r="U1464" i="6"/>
  <c r="U1472" i="6"/>
  <c r="U1471" i="6"/>
  <c r="U1463" i="6"/>
  <c r="N1446" i="6"/>
  <c r="U1446" i="6" s="1"/>
  <c r="N1450" i="6"/>
  <c r="U1450" i="6" s="1"/>
  <c r="N1457" i="6"/>
  <c r="U1457" i="6" s="1"/>
  <c r="N1452" i="6"/>
  <c r="N1451" i="6"/>
  <c r="U1447" i="6"/>
  <c r="U1445" i="6"/>
  <c r="U1444" i="6"/>
  <c r="U1443" i="6"/>
  <c r="U1442" i="6"/>
  <c r="U1458" i="6"/>
  <c r="U1432" i="6"/>
  <c r="U1431" i="6"/>
  <c r="U1430" i="6"/>
  <c r="U1425" i="6"/>
  <c r="U1424" i="6"/>
  <c r="U1423" i="6"/>
  <c r="U1422" i="6"/>
  <c r="U1421" i="6"/>
  <c r="U1420" i="6"/>
  <c r="N1415" i="6"/>
  <c r="U1415" i="6" s="1"/>
  <c r="N1408" i="6"/>
  <c r="U1408" i="6" s="1"/>
  <c r="N1382" i="6"/>
  <c r="U1382" i="6" s="1"/>
  <c r="N1381" i="6"/>
  <c r="N1244" i="6"/>
  <c r="N1241" i="6"/>
  <c r="N1240" i="6"/>
  <c r="N1239" i="6"/>
  <c r="N1238" i="6"/>
  <c r="N1217" i="6"/>
  <c r="N1216" i="6"/>
  <c r="N1215" i="6"/>
  <c r="N1214" i="6"/>
  <c r="N1213" i="6"/>
  <c r="N1212" i="6"/>
  <c r="N1211" i="6"/>
  <c r="M965" i="6"/>
  <c r="U965" i="6" s="1"/>
  <c r="U939" i="6"/>
  <c r="L937" i="6"/>
  <c r="L930" i="6"/>
  <c r="S929" i="6"/>
  <c r="L928" i="6"/>
  <c r="S926" i="6"/>
  <c r="N938" i="6"/>
  <c r="U938" i="6" s="1"/>
  <c r="N937" i="6"/>
  <c r="N936" i="6"/>
  <c r="U936" i="6" s="1"/>
  <c r="N935" i="6"/>
  <c r="U935" i="6" s="1"/>
  <c r="N934" i="6"/>
  <c r="U934" i="6" s="1"/>
  <c r="N933" i="6"/>
  <c r="U933" i="6" s="1"/>
  <c r="N932" i="6"/>
  <c r="U932" i="6" s="1"/>
  <c r="N930" i="6"/>
  <c r="N929" i="6"/>
  <c r="N928" i="6"/>
  <c r="N927" i="6"/>
  <c r="U927" i="6" s="1"/>
  <c r="N926" i="6"/>
  <c r="N925" i="6"/>
  <c r="U925" i="6" s="1"/>
  <c r="U852" i="6"/>
  <c r="M819" i="6"/>
  <c r="M820" i="6"/>
  <c r="M821" i="6"/>
  <c r="M822" i="6"/>
  <c r="M818" i="6"/>
  <c r="N813" i="6"/>
  <c r="U813" i="6" s="1"/>
  <c r="N802" i="6"/>
  <c r="N801" i="6"/>
  <c r="U801" i="6" s="1"/>
  <c r="N800" i="6"/>
  <c r="N799" i="6"/>
  <c r="N798" i="6"/>
  <c r="N797" i="6"/>
  <c r="N796" i="6"/>
  <c r="N795" i="6"/>
  <c r="N794" i="6"/>
  <c r="N793" i="6"/>
  <c r="N792" i="6"/>
  <c r="U789" i="6"/>
  <c r="U763" i="6"/>
  <c r="N720" i="6"/>
  <c r="U720" i="6" s="1"/>
  <c r="N719" i="6"/>
  <c r="U719" i="6" s="1"/>
  <c r="N718" i="6"/>
  <c r="U718" i="6" s="1"/>
  <c r="N717" i="6"/>
  <c r="U717" i="6" s="1"/>
  <c r="N707" i="6"/>
  <c r="U707" i="6" s="1"/>
  <c r="N706" i="6"/>
  <c r="U706" i="6" s="1"/>
  <c r="N705" i="6"/>
  <c r="U705" i="6" s="1"/>
  <c r="N704" i="6"/>
  <c r="U704" i="6" s="1"/>
  <c r="U714" i="6"/>
  <c r="U713" i="6"/>
  <c r="U712" i="6"/>
  <c r="U711" i="6"/>
  <c r="U710" i="6"/>
  <c r="U709" i="6"/>
  <c r="U708" i="6"/>
  <c r="AM115" i="6"/>
  <c r="AH115" i="6"/>
  <c r="AM114" i="6"/>
  <c r="AH114" i="6"/>
  <c r="AM113" i="6"/>
  <c r="AH113" i="6"/>
  <c r="AM96" i="6"/>
  <c r="AR7" i="6"/>
  <c r="AM9" i="6"/>
  <c r="AM8" i="6"/>
  <c r="AM7" i="6"/>
  <c r="AH8" i="6"/>
  <c r="AH7" i="6"/>
  <c r="AH96" i="6"/>
  <c r="AH9" i="6"/>
  <c r="B53" i="4"/>
  <c r="B52" i="4"/>
  <c r="B51" i="4"/>
  <c r="B50" i="4"/>
  <c r="B48" i="4"/>
  <c r="B47" i="4"/>
  <c r="B37" i="4"/>
  <c r="B36" i="4"/>
  <c r="AF36" i="4" s="1" a="1"/>
  <c r="AF36" i="4" s="1"/>
  <c r="B33" i="4"/>
  <c r="B32" i="4"/>
  <c r="AF32" i="4" s="1" a="1"/>
  <c r="AF32" i="4" s="1"/>
  <c r="E30" i="2"/>
  <c r="AG697" i="11"/>
  <c r="AN697" i="11"/>
  <c r="AJ697" i="11"/>
  <c r="AJ707" i="11" s="1"/>
  <c r="AK697" i="11"/>
  <c r="AK707" i="11" s="1"/>
  <c r="AD697" i="11"/>
  <c r="AD707" i="11" s="1"/>
  <c r="AE697" i="11"/>
  <c r="AF697" i="11"/>
  <c r="AH697" i="11"/>
  <c r="AH707" i="11" s="1"/>
  <c r="AM697" i="11"/>
  <c r="AI697" i="11"/>
  <c r="AI707" i="11" s="1"/>
  <c r="BN697" i="11"/>
  <c r="BN707" i="11" s="1"/>
  <c r="AL697" i="11"/>
  <c r="AL707" i="11" s="1"/>
  <c r="AB697" i="11"/>
  <c r="AB707" i="11" s="1"/>
  <c r="AC697" i="11"/>
  <c r="AC707" i="11" s="1"/>
  <c r="W697" i="11"/>
  <c r="V697" i="11"/>
  <c r="V707" i="11" s="1"/>
  <c r="S697" i="11"/>
  <c r="S707" i="11" s="1"/>
  <c r="X697" i="11"/>
  <c r="AA697" i="11"/>
  <c r="AA707" i="11" s="1"/>
  <c r="O697" i="11"/>
  <c r="Y697" i="11"/>
  <c r="Z697" i="11"/>
  <c r="Z707" i="11" s="1"/>
  <c r="Q697" i="11"/>
  <c r="U697" i="11"/>
  <c r="R697" i="11"/>
  <c r="R707" i="11" s="1"/>
  <c r="T697" i="11"/>
  <c r="T707" i="11" s="1"/>
  <c r="I697" i="11"/>
  <c r="H697" i="11"/>
  <c r="P697" i="11"/>
  <c r="J697" i="11"/>
  <c r="J707" i="11" s="1"/>
  <c r="L697" i="11"/>
  <c r="K697" i="11"/>
  <c r="U825" i="6"/>
  <c r="U843" i="6"/>
  <c r="U831" i="6"/>
  <c r="U835" i="6"/>
  <c r="N697" i="11"/>
  <c r="N707" i="11" s="1"/>
  <c r="M697" i="11"/>
  <c r="AH140" i="6"/>
  <c r="D555" i="11"/>
  <c r="L1083" i="6" s="1"/>
  <c r="D536" i="11"/>
  <c r="L1064" i="6" s="1"/>
  <c r="D504" i="11"/>
  <c r="L1032" i="6" s="1"/>
  <c r="D538" i="11"/>
  <c r="L1066" i="6" s="1"/>
  <c r="E536" i="11"/>
  <c r="N1064" i="6" s="1"/>
  <c r="E504" i="11"/>
  <c r="N1032" i="6" s="1"/>
  <c r="E555" i="11"/>
  <c r="N1083" i="6" s="1"/>
  <c r="AH195" i="6"/>
  <c r="AH184" i="6"/>
  <c r="AH162" i="6"/>
  <c r="AH173" i="6"/>
  <c r="AH153" i="6"/>
  <c r="AH151" i="6"/>
  <c r="AH154" i="6"/>
  <c r="AH152" i="6"/>
  <c r="D482" i="11"/>
  <c r="L1010" i="6" s="1"/>
  <c r="E482" i="11"/>
  <c r="N1010" i="6" s="1"/>
  <c r="D505" i="11"/>
  <c r="L1033" i="6" s="1"/>
  <c r="E505" i="11"/>
  <c r="N1033" i="6" s="1"/>
  <c r="E538" i="11"/>
  <c r="N1066" i="6" s="1"/>
  <c r="D692" i="11"/>
  <c r="L1224" i="6" s="1"/>
  <c r="E692" i="11"/>
  <c r="N1224" i="6" s="1"/>
  <c r="G697" i="11"/>
  <c r="E702" i="11"/>
  <c r="N1233" i="6" s="1"/>
  <c r="D702" i="11"/>
  <c r="L1233" i="6" s="1"/>
  <c r="L1240" i="6" s="1"/>
  <c r="G705" i="11"/>
  <c r="O21" i="4" l="1"/>
  <c r="H69" i="9" s="1"/>
  <c r="O17" i="4"/>
  <c r="H65" i="9" s="1"/>
  <c r="BQ197" i="9" s="1"/>
  <c r="AF48" i="4" a="1"/>
  <c r="AF48" i="4" s="1"/>
  <c r="O7" i="4"/>
  <c r="H55" i="9" s="1"/>
  <c r="AW187" i="9" s="1"/>
  <c r="O16" i="4"/>
  <c r="H64" i="9" s="1"/>
  <c r="L1398" i="6" s="1"/>
  <c r="AF47" i="4" a="1"/>
  <c r="AF47" i="4" s="1"/>
  <c r="AF45" i="4" a="1"/>
  <c r="AF45" i="4" s="1"/>
  <c r="AF51" i="4" a="1"/>
  <c r="AF51" i="4" s="1"/>
  <c r="O6" i="4"/>
  <c r="H54" i="9" s="1"/>
  <c r="BE186" i="9" s="1"/>
  <c r="O4" i="4"/>
  <c r="H52" i="9" s="1"/>
  <c r="L1386" i="6" s="1"/>
  <c r="AF50" i="4" a="1"/>
  <c r="AF50" i="4" s="1"/>
  <c r="AF37" i="4" a="1"/>
  <c r="AF37" i="4" s="1"/>
  <c r="AF46" i="4" a="1"/>
  <c r="AF46" i="4" s="1"/>
  <c r="AF52" i="4" a="1"/>
  <c r="AF52" i="4" s="1"/>
  <c r="AF40" i="4" a="1"/>
  <c r="AF40" i="4" s="1"/>
  <c r="AF44" i="4" a="1"/>
  <c r="AF44" i="4" s="1"/>
  <c r="BN25" i="9"/>
  <c r="BN77" i="9" a="1"/>
  <c r="BN77" i="9" s="1"/>
  <c r="AF43" i="4" a="1"/>
  <c r="AF43" i="4" s="1"/>
  <c r="AF41" i="4" a="1"/>
  <c r="AF41" i="4" s="1"/>
  <c r="AF33" i="4" a="1"/>
  <c r="AF33" i="4" s="1"/>
  <c r="AF53" i="4" a="1"/>
  <c r="AF53" i="4" s="1"/>
  <c r="AF39" i="4" a="1"/>
  <c r="AF39" i="4" s="1"/>
  <c r="AF42" i="4" a="1"/>
  <c r="AF42" i="4" s="1"/>
  <c r="AA27" i="9"/>
  <c r="W29" i="9"/>
  <c r="U34" i="9"/>
  <c r="Y40" i="9"/>
  <c r="W41" i="9"/>
  <c r="U42" i="9"/>
  <c r="Y44" i="9"/>
  <c r="AG44" i="9"/>
  <c r="AC40" i="9"/>
  <c r="AH35" i="9"/>
  <c r="AH27" i="9"/>
  <c r="AH26" i="9"/>
  <c r="W26" i="9"/>
  <c r="U27" i="9"/>
  <c r="AA28" i="9"/>
  <c r="Y29" i="9"/>
  <c r="W30" i="9"/>
  <c r="U31" i="9"/>
  <c r="U35" i="9"/>
  <c r="AA36" i="9"/>
  <c r="AA40" i="9"/>
  <c r="Y41" i="9"/>
  <c r="W42" i="9"/>
  <c r="AA44" i="9"/>
  <c r="AE44" i="9"/>
  <c r="AF43" i="9"/>
  <c r="AE36" i="9"/>
  <c r="AF35" i="9"/>
  <c r="AH33" i="9"/>
  <c r="AD29" i="9"/>
  <c r="AE28" i="9"/>
  <c r="AF27" i="9"/>
  <c r="X26" i="9"/>
  <c r="Z29" i="9"/>
  <c r="AB32" i="9"/>
  <c r="Z33" i="9"/>
  <c r="X34" i="9"/>
  <c r="V35" i="9"/>
  <c r="AB36" i="9"/>
  <c r="Z37" i="9"/>
  <c r="AB40" i="9"/>
  <c r="Z41" i="9"/>
  <c r="X42" i="9"/>
  <c r="V43" i="9"/>
  <c r="AD44" i="9"/>
  <c r="AF42" i="9"/>
  <c r="AH40" i="9"/>
  <c r="AD36" i="9"/>
  <c r="AE35" i="9"/>
  <c r="AG33" i="9"/>
  <c r="AC29" i="9"/>
  <c r="AD28" i="9"/>
  <c r="AE27" i="9"/>
  <c r="AA29" i="9"/>
  <c r="Y30" i="9"/>
  <c r="AA33" i="9"/>
  <c r="Y34" i="9"/>
  <c r="W35" i="9"/>
  <c r="W39" i="9"/>
  <c r="U40" i="9"/>
  <c r="Y42" i="9"/>
  <c r="W43" i="9"/>
  <c r="U44" i="9"/>
  <c r="AE42" i="9"/>
  <c r="AG40" i="9"/>
  <c r="AD35" i="9"/>
  <c r="AE34" i="9"/>
  <c r="AG32" i="9"/>
  <c r="AH31" i="9"/>
  <c r="AD27" i="9"/>
  <c r="Z30" i="9"/>
  <c r="V40" i="9"/>
  <c r="X43" i="9"/>
  <c r="V44" i="9"/>
  <c r="AD42" i="9"/>
  <c r="AE41" i="9"/>
  <c r="AF40" i="9"/>
  <c r="AG39" i="9"/>
  <c r="AD34" i="9"/>
  <c r="AE33" i="9"/>
  <c r="AH30" i="9"/>
  <c r="AA26" i="9"/>
  <c r="Y27" i="9"/>
  <c r="U29" i="9"/>
  <c r="AA30" i="9"/>
  <c r="Y31" i="9"/>
  <c r="W32" i="9"/>
  <c r="U33" i="9"/>
  <c r="AA34" i="9"/>
  <c r="Y35" i="9"/>
  <c r="W36" i="9"/>
  <c r="Y39" i="9"/>
  <c r="W40" i="9"/>
  <c r="U41" i="9"/>
  <c r="AA42" i="9"/>
  <c r="Y43" i="9"/>
  <c r="AC42" i="9"/>
  <c r="AD41" i="9"/>
  <c r="AE40" i="9"/>
  <c r="AF39" i="9"/>
  <c r="AH37" i="9"/>
  <c r="AC34" i="9"/>
  <c r="AD33" i="9"/>
  <c r="AE32" i="9"/>
  <c r="AF31" i="9"/>
  <c r="AH29" i="9"/>
  <c r="AC26" i="9"/>
  <c r="AB26" i="9"/>
  <c r="Z27" i="9"/>
  <c r="X28" i="9"/>
  <c r="V29" i="9"/>
  <c r="AB30" i="9"/>
  <c r="Z31" i="9"/>
  <c r="X32" i="9"/>
  <c r="V33" i="9"/>
  <c r="X36" i="9"/>
  <c r="X40" i="9"/>
  <c r="Z43" i="9"/>
  <c r="X44" i="9"/>
  <c r="AD40" i="9"/>
  <c r="AE39" i="9"/>
  <c r="AG37" i="9"/>
  <c r="AH36" i="9"/>
  <c r="AD32" i="9"/>
  <c r="AG29" i="9"/>
  <c r="I496" i="8"/>
  <c r="H496" i="8" s="1"/>
  <c r="I475" i="8"/>
  <c r="H475" i="8" s="1"/>
  <c r="I454" i="8"/>
  <c r="H454" i="8" s="1"/>
  <c r="H433" i="8"/>
  <c r="J433" i="8" s="1"/>
  <c r="K433" i="8" s="1"/>
  <c r="H412" i="8"/>
  <c r="J412" i="8" s="1"/>
  <c r="K412" i="8" s="1"/>
  <c r="H391" i="8"/>
  <c r="J391" i="8" s="1"/>
  <c r="K391" i="8" s="1"/>
  <c r="H370" i="8"/>
  <c r="J370" i="8" s="1"/>
  <c r="K370" i="8" s="1"/>
  <c r="I349" i="8"/>
  <c r="H349" i="8" s="1"/>
  <c r="I328" i="8"/>
  <c r="H328" i="8" s="1"/>
  <c r="H307" i="8"/>
  <c r="J307" i="8" s="1"/>
  <c r="K307" i="8" s="1"/>
  <c r="H286" i="8"/>
  <c r="J286" i="8" s="1"/>
  <c r="K286" i="8" s="1"/>
  <c r="I265" i="8"/>
  <c r="H265" i="8" s="1"/>
  <c r="I244" i="8"/>
  <c r="H244" i="8" s="1"/>
  <c r="H223" i="8"/>
  <c r="J223" i="8" s="1"/>
  <c r="K223" i="8" s="1"/>
  <c r="I202" i="8"/>
  <c r="H181" i="8"/>
  <c r="J181" i="8" s="1"/>
  <c r="K181" i="8" s="1"/>
  <c r="I160" i="8"/>
  <c r="H160" i="8" s="1"/>
  <c r="I139" i="8"/>
  <c r="O26" i="9"/>
  <c r="M27" i="9"/>
  <c r="Q29" i="9"/>
  <c r="M35" i="9"/>
  <c r="Q37" i="9"/>
  <c r="O42" i="9"/>
  <c r="Q41" i="9"/>
  <c r="P26" i="9"/>
  <c r="N27" i="9"/>
  <c r="R29" i="9"/>
  <c r="R33" i="9"/>
  <c r="P34" i="9"/>
  <c r="N35" i="9"/>
  <c r="N39" i="9"/>
  <c r="P42" i="9"/>
  <c r="M29" i="9"/>
  <c r="M33" i="9"/>
  <c r="M37" i="9"/>
  <c r="O41" i="9"/>
  <c r="M42" i="9"/>
  <c r="S28" i="9"/>
  <c r="S32" i="9"/>
  <c r="S40" i="9"/>
  <c r="S44" i="9"/>
  <c r="T36" i="9"/>
  <c r="O27" i="9"/>
  <c r="M28" i="9"/>
  <c r="Q30" i="9"/>
  <c r="O31" i="9"/>
  <c r="S33" i="9"/>
  <c r="Q34" i="9"/>
  <c r="S37" i="9"/>
  <c r="O39" i="9"/>
  <c r="M40" i="9"/>
  <c r="S41" i="9"/>
  <c r="Q42" i="9"/>
  <c r="M44" i="9"/>
  <c r="P39" i="9"/>
  <c r="T41" i="9"/>
  <c r="R42" i="9"/>
  <c r="P43" i="9"/>
  <c r="S26" i="9"/>
  <c r="Q27" i="9"/>
  <c r="O28" i="9"/>
  <c r="Q31" i="9"/>
  <c r="S34" i="9"/>
  <c r="Q35" i="9"/>
  <c r="O36" i="9"/>
  <c r="Q39" i="9"/>
  <c r="O40" i="9"/>
  <c r="S42" i="9"/>
  <c r="Q43" i="9"/>
  <c r="T26" i="9"/>
  <c r="R27" i="9"/>
  <c r="P28" i="9"/>
  <c r="N29" i="9"/>
  <c r="L30" i="9"/>
  <c r="T30" i="9"/>
  <c r="R31" i="9"/>
  <c r="P32" i="9"/>
  <c r="N33" i="9"/>
  <c r="L34" i="9"/>
  <c r="T34" i="9"/>
  <c r="R35" i="9"/>
  <c r="R39" i="9"/>
  <c r="P40" i="9"/>
  <c r="N41" i="9"/>
  <c r="P44" i="9"/>
  <c r="S39" i="9"/>
  <c r="S43" i="9"/>
  <c r="L42" i="9"/>
  <c r="L26" i="9"/>
  <c r="L28" i="9"/>
  <c r="L40" i="9"/>
  <c r="L44" i="9"/>
  <c r="L37" i="9"/>
  <c r="D35" i="2"/>
  <c r="AM38" i="4" s="1"/>
  <c r="B119" i="14"/>
  <c r="H118" i="8"/>
  <c r="J118" i="8" s="1"/>
  <c r="K118" i="8" s="1"/>
  <c r="O3" i="4"/>
  <c r="H51" i="9" s="1"/>
  <c r="BP183" i="9" s="1"/>
  <c r="U779" i="6"/>
  <c r="T8" i="6"/>
  <c r="T7" i="6"/>
  <c r="O7" i="6"/>
  <c r="AG7" i="6" s="1"/>
  <c r="BZ703" i="9"/>
  <c r="BZ704" i="9"/>
  <c r="BZ705" i="9"/>
  <c r="BZ706" i="9" s="1"/>
  <c r="BZ700" i="9"/>
  <c r="W860" i="9"/>
  <c r="N70" i="14" s="1"/>
  <c r="N48" i="14" s="1"/>
  <c r="AF852" i="9"/>
  <c r="X852" i="9"/>
  <c r="BZ214" i="9"/>
  <c r="X707" i="11"/>
  <c r="AN707" i="11"/>
  <c r="AF707" i="11"/>
  <c r="P707" i="11"/>
  <c r="B120" i="14"/>
  <c r="B121" i="14"/>
  <c r="N1388" i="6"/>
  <c r="N1396" i="6"/>
  <c r="L1404" i="6"/>
  <c r="N1404" i="6"/>
  <c r="N1395" i="6"/>
  <c r="N1390" i="6"/>
  <c r="N1398" i="6"/>
  <c r="L1387" i="6"/>
  <c r="N1387" i="6"/>
  <c r="N1389" i="6"/>
  <c r="L1389" i="6"/>
  <c r="N1391" i="6"/>
  <c r="N1399" i="6"/>
  <c r="N1403" i="6"/>
  <c r="L1403" i="6"/>
  <c r="N1397" i="6"/>
  <c r="N1392" i="6"/>
  <c r="N1400" i="6"/>
  <c r="N1393" i="6"/>
  <c r="N1401" i="6"/>
  <c r="N1386" i="6"/>
  <c r="N1394" i="6"/>
  <c r="L1402" i="6"/>
  <c r="N1402" i="6"/>
  <c r="O50" i="4"/>
  <c r="O19" i="4" s="1"/>
  <c r="H67" i="9" s="1"/>
  <c r="BQ199" i="9" s="1"/>
  <c r="N15" i="18"/>
  <c r="N56" i="18" s="1"/>
  <c r="BE15" i="18"/>
  <c r="BE56" i="18" s="1"/>
  <c r="S15" i="18"/>
  <c r="S56" i="18" s="1"/>
  <c r="BF15" i="18"/>
  <c r="BF56" i="18" s="1"/>
  <c r="BP15" i="18"/>
  <c r="BP56" i="18" s="1"/>
  <c r="AS15" i="18"/>
  <c r="AS56" i="18" s="1"/>
  <c r="W15" i="18"/>
  <c r="W56" i="18" s="1"/>
  <c r="H15" i="18"/>
  <c r="H56" i="18" s="1"/>
  <c r="BB15" i="18"/>
  <c r="BB56" i="18" s="1"/>
  <c r="BM15" i="18"/>
  <c r="BM56" i="18" s="1"/>
  <c r="AA15" i="18"/>
  <c r="AA56" i="18" s="1"/>
  <c r="L15" i="18"/>
  <c r="L56" i="18" s="1"/>
  <c r="J15" i="18"/>
  <c r="J56" i="18" s="1"/>
  <c r="BA15" i="18"/>
  <c r="BA56" i="18" s="1"/>
  <c r="AE15" i="18"/>
  <c r="AE56" i="18" s="1"/>
  <c r="P15" i="18"/>
  <c r="P56" i="18" s="1"/>
  <c r="I15" i="18"/>
  <c r="I56" i="18" s="1"/>
  <c r="F15" i="18"/>
  <c r="F56" i="18" s="1"/>
  <c r="AI15" i="18"/>
  <c r="AI56" i="18" s="1"/>
  <c r="T15" i="18"/>
  <c r="T56" i="18" s="1"/>
  <c r="AH15" i="18"/>
  <c r="AH56" i="18" s="1"/>
  <c r="BI15" i="18"/>
  <c r="BI56" i="18" s="1"/>
  <c r="AM15" i="18"/>
  <c r="AM56" i="18" s="1"/>
  <c r="X15" i="18"/>
  <c r="X56" i="18" s="1"/>
  <c r="Q15" i="18"/>
  <c r="Q56" i="18" s="1"/>
  <c r="AP15" i="18"/>
  <c r="AP56" i="18" s="1"/>
  <c r="AQ15" i="18"/>
  <c r="AQ56" i="18" s="1"/>
  <c r="AB15" i="18"/>
  <c r="AB56" i="18" s="1"/>
  <c r="E15" i="18"/>
  <c r="BJ15" i="18"/>
  <c r="BJ56" i="18" s="1"/>
  <c r="AU15" i="18"/>
  <c r="AU56" i="18" s="1"/>
  <c r="AF15" i="18"/>
  <c r="AF56" i="18" s="1"/>
  <c r="Y15" i="18"/>
  <c r="Y56" i="18" s="1"/>
  <c r="BN15" i="18"/>
  <c r="BN56" i="18" s="1"/>
  <c r="AY15" i="18"/>
  <c r="AY56" i="18" s="1"/>
  <c r="AJ15" i="18"/>
  <c r="AJ56" i="18" s="1"/>
  <c r="M15" i="18"/>
  <c r="M56" i="18" s="1"/>
  <c r="V15" i="18"/>
  <c r="V56" i="18" s="1"/>
  <c r="BC15" i="18"/>
  <c r="BC56" i="18" s="1"/>
  <c r="AN15" i="18"/>
  <c r="AN56" i="18" s="1"/>
  <c r="AG15" i="18"/>
  <c r="AG56" i="18" s="1"/>
  <c r="R15" i="18"/>
  <c r="R56" i="18" s="1"/>
  <c r="BG15" i="18"/>
  <c r="BG56" i="18" s="1"/>
  <c r="AR15" i="18"/>
  <c r="AR56" i="18" s="1"/>
  <c r="U15" i="18"/>
  <c r="U56" i="18" s="1"/>
  <c r="AL15" i="18"/>
  <c r="AL56" i="18" s="1"/>
  <c r="BK15" i="18"/>
  <c r="BK56" i="18" s="1"/>
  <c r="AV15" i="18"/>
  <c r="AV56" i="18" s="1"/>
  <c r="AO15" i="18"/>
  <c r="AO56" i="18" s="1"/>
  <c r="AX15" i="18"/>
  <c r="AX56" i="18" s="1"/>
  <c r="BO15" i="18"/>
  <c r="BO56" i="18" s="1"/>
  <c r="AZ15" i="18"/>
  <c r="AZ56" i="18" s="1"/>
  <c r="AC15" i="18"/>
  <c r="AC56" i="18" s="1"/>
  <c r="G15" i="18"/>
  <c r="G56" i="18" s="1"/>
  <c r="AD15" i="18"/>
  <c r="AD56" i="18" s="1"/>
  <c r="BD15" i="18"/>
  <c r="BD56" i="18" s="1"/>
  <c r="AW15" i="18"/>
  <c r="AW56" i="18" s="1"/>
  <c r="K15" i="18"/>
  <c r="K56" i="18" s="1"/>
  <c r="Z15" i="18"/>
  <c r="Z56" i="18" s="1"/>
  <c r="BH15" i="18"/>
  <c r="BH56" i="18" s="1"/>
  <c r="AK15" i="18"/>
  <c r="AK56" i="18" s="1"/>
  <c r="O15" i="18"/>
  <c r="O56" i="18" s="1"/>
  <c r="AT15" i="18"/>
  <c r="AT56" i="18" s="1"/>
  <c r="BL15" i="18"/>
  <c r="BL56" i="18" s="1"/>
  <c r="O8" i="6"/>
  <c r="BN202" i="9"/>
  <c r="BF202" i="9"/>
  <c r="AX202" i="9"/>
  <c r="BO201" i="9"/>
  <c r="BG201" i="9"/>
  <c r="AY201" i="9"/>
  <c r="BP200" i="9"/>
  <c r="BH200" i="9"/>
  <c r="AZ200" i="9"/>
  <c r="BO185" i="9"/>
  <c r="BG185" i="9"/>
  <c r="AY185" i="9"/>
  <c r="AN202" i="9"/>
  <c r="BN185" i="9"/>
  <c r="BF185" i="9"/>
  <c r="AX185" i="9"/>
  <c r="AO200" i="9"/>
  <c r="BF200" i="9"/>
  <c r="AX200" i="9"/>
  <c r="BM185" i="9"/>
  <c r="AW185" i="9"/>
  <c r="AS202" i="9"/>
  <c r="AL200" i="9"/>
  <c r="AK185" i="9"/>
  <c r="AQ202" i="9"/>
  <c r="L24" i="6"/>
  <c r="F149" i="9"/>
  <c r="F173" i="9"/>
  <c r="F141" i="9"/>
  <c r="F165" i="9"/>
  <c r="F130" i="9"/>
  <c r="F154" i="9"/>
  <c r="G148" i="9"/>
  <c r="G172" i="9"/>
  <c r="G132" i="9"/>
  <c r="G156" i="9"/>
  <c r="F144" i="9"/>
  <c r="F168" i="9"/>
  <c r="G143" i="9"/>
  <c r="G167" i="9"/>
  <c r="G135" i="9"/>
  <c r="G159" i="9"/>
  <c r="G131" i="9"/>
  <c r="G155" i="9"/>
  <c r="F132" i="9"/>
  <c r="F156" i="9"/>
  <c r="F147" i="9"/>
  <c r="F171" i="9"/>
  <c r="F143" i="9"/>
  <c r="F167" i="9"/>
  <c r="F139" i="9"/>
  <c r="F163" i="9"/>
  <c r="F135" i="9"/>
  <c r="F159" i="9"/>
  <c r="F131" i="9"/>
  <c r="F155" i="9"/>
  <c r="G146" i="9"/>
  <c r="G170" i="9"/>
  <c r="G142" i="9"/>
  <c r="G166" i="9"/>
  <c r="G138" i="9"/>
  <c r="G162" i="9"/>
  <c r="G134" i="9"/>
  <c r="G158" i="9"/>
  <c r="F146" i="9"/>
  <c r="F170" i="9"/>
  <c r="F142" i="9"/>
  <c r="F166" i="9"/>
  <c r="F138" i="9"/>
  <c r="F162" i="9"/>
  <c r="F134" i="9"/>
  <c r="F158" i="9"/>
  <c r="G149" i="9"/>
  <c r="G173" i="9"/>
  <c r="G145" i="9"/>
  <c r="G169" i="9"/>
  <c r="G141" i="9"/>
  <c r="G165" i="9"/>
  <c r="G137" i="9"/>
  <c r="G161" i="9"/>
  <c r="AR90" i="9" a="1"/>
  <c r="AR90" i="9" s="1"/>
  <c r="Y38" i="9"/>
  <c r="AQ90" i="9" a="1"/>
  <c r="AQ90" i="9" s="1"/>
  <c r="AI38" i="9"/>
  <c r="BD90" i="9" a="1"/>
  <c r="BD90" i="9" s="1"/>
  <c r="BJ90" i="9" a="1"/>
  <c r="BJ90" i="9" s="1"/>
  <c r="BB90" i="9" a="1"/>
  <c r="BB90" i="9" s="1"/>
  <c r="K38" i="9"/>
  <c r="S38" i="9"/>
  <c r="AA38" i="9"/>
  <c r="BQ38" i="9"/>
  <c r="BI38" i="9"/>
  <c r="BA38" i="9"/>
  <c r="AJ38" i="9"/>
  <c r="T38" i="9"/>
  <c r="AN38" i="9"/>
  <c r="AF38" i="9"/>
  <c r="U38" i="9"/>
  <c r="AE38" i="9"/>
  <c r="X38" i="9"/>
  <c r="BL90" i="9" a="1"/>
  <c r="BL90" i="9" s="1"/>
  <c r="Z38" i="9"/>
  <c r="AP38" i="9"/>
  <c r="AL38" i="9"/>
  <c r="BN38" i="9"/>
  <c r="BF38" i="9"/>
  <c r="AX38" i="9"/>
  <c r="AV90" i="9" a="1"/>
  <c r="AV90" i="9" s="1"/>
  <c r="R38" i="9"/>
  <c r="O38" i="9"/>
  <c r="W38" i="9"/>
  <c r="AS90" i="9" a="1"/>
  <c r="AS90" i="9" s="1"/>
  <c r="AK90" i="9" a="1"/>
  <c r="AK90" i="9" s="1"/>
  <c r="AC38" i="9"/>
  <c r="BM38" i="9"/>
  <c r="BE38" i="9"/>
  <c r="AW38" i="9"/>
  <c r="G123" i="9"/>
  <c r="G147" i="9"/>
  <c r="G115" i="9"/>
  <c r="G139" i="9"/>
  <c r="G106" i="9"/>
  <c r="G130" i="9"/>
  <c r="F124" i="9"/>
  <c r="F148" i="9"/>
  <c r="F116" i="9"/>
  <c r="F140" i="9"/>
  <c r="G109" i="9"/>
  <c r="G133" i="9"/>
  <c r="F121" i="9"/>
  <c r="F145" i="9"/>
  <c r="F113" i="9"/>
  <c r="F137" i="9"/>
  <c r="F109" i="9"/>
  <c r="F133" i="9"/>
  <c r="F112" i="9"/>
  <c r="F136" i="9"/>
  <c r="G120" i="9"/>
  <c r="G144" i="9"/>
  <c r="G116" i="9"/>
  <c r="G140" i="9"/>
  <c r="G112" i="9"/>
  <c r="G136" i="9"/>
  <c r="F499" i="9"/>
  <c r="D370" i="8" s="1"/>
  <c r="G118" i="9"/>
  <c r="V749" i="9"/>
  <c r="R662" i="11"/>
  <c r="AD749" i="9"/>
  <c r="Z662" i="11"/>
  <c r="AL749" i="9"/>
  <c r="AH662" i="11"/>
  <c r="AT749" i="9"/>
  <c r="AP662" i="11"/>
  <c r="BB749" i="9"/>
  <c r="AX662" i="11"/>
  <c r="BJ749" i="9"/>
  <c r="BF662" i="11"/>
  <c r="BR749" i="9"/>
  <c r="BN662" i="11"/>
  <c r="F643" i="9"/>
  <c r="D496" i="8" s="1"/>
  <c r="G124" i="9"/>
  <c r="F259" i="9"/>
  <c r="D160" i="8" s="1"/>
  <c r="G108" i="9"/>
  <c r="G90" i="9"/>
  <c r="G119" i="9"/>
  <c r="F331" i="9"/>
  <c r="F333" i="9" s="1"/>
  <c r="G111" i="9"/>
  <c r="F235" i="9"/>
  <c r="J117" i="6" s="1"/>
  <c r="G107" i="9"/>
  <c r="O749" i="9"/>
  <c r="K662" i="11"/>
  <c r="W749" i="9"/>
  <c r="S662" i="11"/>
  <c r="AE749" i="9"/>
  <c r="AA662" i="11"/>
  <c r="AM749" i="9"/>
  <c r="AI662" i="11"/>
  <c r="AU859" i="9"/>
  <c r="AQ662" i="11"/>
  <c r="BC859" i="9"/>
  <c r="AY662" i="11"/>
  <c r="BK859" i="9"/>
  <c r="BG662" i="11"/>
  <c r="F91" i="9"/>
  <c r="F120" i="9"/>
  <c r="F185" i="9"/>
  <c r="F108" i="9"/>
  <c r="F77" i="9"/>
  <c r="F106" i="9"/>
  <c r="F94" i="9"/>
  <c r="F123" i="9"/>
  <c r="F90" i="9"/>
  <c r="F119" i="9"/>
  <c r="F86" i="9"/>
  <c r="F115" i="9"/>
  <c r="F82" i="9"/>
  <c r="F111" i="9"/>
  <c r="F78" i="9"/>
  <c r="F107" i="9"/>
  <c r="BY757" i="9"/>
  <c r="BZ757" i="9" s="1"/>
  <c r="BZ758" i="9" s="1"/>
  <c r="BZ759" i="9" s="1"/>
  <c r="L772" i="6"/>
  <c r="P749" i="9"/>
  <c r="L662" i="11"/>
  <c r="X749" i="9"/>
  <c r="T662" i="11"/>
  <c r="AF749" i="9"/>
  <c r="AB662" i="11"/>
  <c r="AN749" i="9"/>
  <c r="AJ662" i="11"/>
  <c r="AV859" i="9"/>
  <c r="AR662" i="11"/>
  <c r="BD859" i="9"/>
  <c r="AZ662" i="11"/>
  <c r="BL859" i="9"/>
  <c r="BH662" i="11"/>
  <c r="Q749" i="9"/>
  <c r="M662" i="11"/>
  <c r="Y749" i="9"/>
  <c r="U662" i="11"/>
  <c r="AG749" i="9"/>
  <c r="AC662" i="11"/>
  <c r="AO749" i="9"/>
  <c r="AK662" i="11"/>
  <c r="BM749" i="9"/>
  <c r="BI662" i="11"/>
  <c r="F595" i="9"/>
  <c r="D454" i="8" s="1"/>
  <c r="G122" i="9"/>
  <c r="F79" i="9"/>
  <c r="F93" i="9"/>
  <c r="F122" i="9"/>
  <c r="F89" i="9"/>
  <c r="F118" i="9"/>
  <c r="F85" i="9"/>
  <c r="F114" i="9"/>
  <c r="F81" i="9"/>
  <c r="F110" i="9"/>
  <c r="R749" i="9"/>
  <c r="N662" i="11"/>
  <c r="Z749" i="9"/>
  <c r="V662" i="11"/>
  <c r="AH749" i="9"/>
  <c r="AD662" i="11"/>
  <c r="AP749" i="9"/>
  <c r="AL662" i="11"/>
  <c r="AX749" i="9"/>
  <c r="AT662" i="11"/>
  <c r="BF749" i="9"/>
  <c r="BB662" i="11"/>
  <c r="BN749" i="9"/>
  <c r="BJ662" i="11"/>
  <c r="G96" i="9"/>
  <c r="G125" i="9"/>
  <c r="F571" i="9"/>
  <c r="F573" i="9" s="1"/>
  <c r="G121" i="9"/>
  <c r="G88" i="9"/>
  <c r="G117" i="9"/>
  <c r="F379" i="9"/>
  <c r="J249" i="6" s="1"/>
  <c r="G113" i="9"/>
  <c r="S749" i="9"/>
  <c r="O662" i="11"/>
  <c r="AA749" i="9"/>
  <c r="W662" i="11"/>
  <c r="AI749" i="9"/>
  <c r="AE662" i="11"/>
  <c r="AQ749" i="9"/>
  <c r="AM662" i="11"/>
  <c r="AY749" i="9"/>
  <c r="AU662" i="11"/>
  <c r="BG749" i="9"/>
  <c r="BC662" i="11"/>
  <c r="BO749" i="9"/>
  <c r="BK662" i="11"/>
  <c r="F307" i="9"/>
  <c r="F309" i="9" s="1"/>
  <c r="G110" i="9"/>
  <c r="F202" i="9"/>
  <c r="F125" i="9"/>
  <c r="F194" i="9"/>
  <c r="F117" i="9"/>
  <c r="T749" i="9"/>
  <c r="P662" i="11"/>
  <c r="AB749" i="9"/>
  <c r="X662" i="11"/>
  <c r="AJ749" i="9"/>
  <c r="AF662" i="11"/>
  <c r="AR749" i="9"/>
  <c r="AN662" i="11"/>
  <c r="AZ749" i="9"/>
  <c r="AV662" i="11"/>
  <c r="BH749" i="9"/>
  <c r="BD662" i="11"/>
  <c r="BP749" i="9"/>
  <c r="BL662" i="11"/>
  <c r="F403" i="9"/>
  <c r="F405" i="9" s="1"/>
  <c r="G114" i="9"/>
  <c r="U749" i="9"/>
  <c r="Q662" i="11"/>
  <c r="AC749" i="9"/>
  <c r="Y662" i="11"/>
  <c r="AK749" i="9"/>
  <c r="AG662" i="11"/>
  <c r="AS749" i="9"/>
  <c r="AO662" i="11"/>
  <c r="BA749" i="9"/>
  <c r="AW662" i="11"/>
  <c r="BI749" i="9"/>
  <c r="BE662" i="11"/>
  <c r="BQ749" i="9"/>
  <c r="BM662" i="11"/>
  <c r="W707" i="11"/>
  <c r="L1328" i="6"/>
  <c r="L1313" i="6"/>
  <c r="AN44" i="9"/>
  <c r="AJ32" i="9"/>
  <c r="L1329" i="6"/>
  <c r="L1352" i="6"/>
  <c r="U1523" i="6"/>
  <c r="U1487" i="6"/>
  <c r="L1325" i="6"/>
  <c r="U1496" i="6"/>
  <c r="L1333" i="6"/>
  <c r="U1504" i="6"/>
  <c r="L1353" i="6"/>
  <c r="U1524" i="6"/>
  <c r="L1361" i="6"/>
  <c r="U1361" i="6" s="1"/>
  <c r="U1532" i="6"/>
  <c r="U1488" i="6"/>
  <c r="U1497" i="6"/>
  <c r="L1346" i="6"/>
  <c r="U1517" i="6"/>
  <c r="L1354" i="6"/>
  <c r="U1525" i="6"/>
  <c r="J1311" i="6"/>
  <c r="J1482" i="6"/>
  <c r="L1347" i="6"/>
  <c r="U1518" i="6"/>
  <c r="L1355" i="6"/>
  <c r="U1526" i="6"/>
  <c r="L1319" i="6"/>
  <c r="U1490" i="6"/>
  <c r="L1348" i="6"/>
  <c r="U1519" i="6"/>
  <c r="L1356" i="6"/>
  <c r="U1527" i="6"/>
  <c r="L1364" i="6"/>
  <c r="U1364" i="6" s="1"/>
  <c r="U1535" i="6"/>
  <c r="L1320" i="6"/>
  <c r="U1491" i="6"/>
  <c r="L1349" i="6"/>
  <c r="U1520" i="6"/>
  <c r="L1357" i="6"/>
  <c r="U1528" i="6"/>
  <c r="L1365" i="6"/>
  <c r="U1365" i="6" s="1"/>
  <c r="U1536" i="6"/>
  <c r="L1321" i="6"/>
  <c r="U1492" i="6"/>
  <c r="L1350" i="6"/>
  <c r="U1521" i="6"/>
  <c r="L1358" i="6"/>
  <c r="U1529" i="6"/>
  <c r="AR38" i="9"/>
  <c r="AX543" i="8"/>
  <c r="AW543" i="8"/>
  <c r="AX551" i="8"/>
  <c r="AW551" i="8"/>
  <c r="AX559" i="8"/>
  <c r="AW559" i="8"/>
  <c r="AX567" i="8"/>
  <c r="AW567" i="8"/>
  <c r="AX575" i="8"/>
  <c r="AW575" i="8"/>
  <c r="AX583" i="8"/>
  <c r="AW583" i="8"/>
  <c r="AX544" i="8"/>
  <c r="AW544" i="8"/>
  <c r="AX552" i="8"/>
  <c r="AW552" i="8"/>
  <c r="AX560" i="8"/>
  <c r="AW560" i="8"/>
  <c r="AX568" i="8"/>
  <c r="AW568" i="8"/>
  <c r="AX576" i="8"/>
  <c r="AW576" i="8"/>
  <c r="AX584" i="8"/>
  <c r="AW584" i="8"/>
  <c r="AW545" i="8"/>
  <c r="AX545" i="8"/>
  <c r="AW553" i="8"/>
  <c r="AX553" i="8"/>
  <c r="AX561" i="8"/>
  <c r="AW561" i="8"/>
  <c r="AW569" i="8"/>
  <c r="AX569" i="8"/>
  <c r="AX577" i="8"/>
  <c r="AW577" i="8"/>
  <c r="AX585" i="8"/>
  <c r="AW585" i="8"/>
  <c r="AX546" i="8"/>
  <c r="AW546" i="8"/>
  <c r="AX554" i="8"/>
  <c r="AW554" i="8"/>
  <c r="AX562" i="8"/>
  <c r="AW562" i="8"/>
  <c r="AX570" i="8"/>
  <c r="AW570" i="8"/>
  <c r="AX578" i="8"/>
  <c r="AW578" i="8"/>
  <c r="AX586" i="8"/>
  <c r="AW586" i="8"/>
  <c r="AX547" i="8"/>
  <c r="AW547" i="8"/>
  <c r="AX555" i="8"/>
  <c r="AW555" i="8"/>
  <c r="AX563" i="8"/>
  <c r="AW563" i="8"/>
  <c r="AX571" i="8"/>
  <c r="AW571" i="8"/>
  <c r="AX579" i="8"/>
  <c r="AW579" i="8"/>
  <c r="AX587" i="8"/>
  <c r="AW587" i="8"/>
  <c r="AX548" i="8"/>
  <c r="AW548" i="8"/>
  <c r="AX556" i="8"/>
  <c r="AW556" i="8"/>
  <c r="AX564" i="8"/>
  <c r="AW564" i="8"/>
  <c r="AX572" i="8"/>
  <c r="AW572" i="8"/>
  <c r="AX580" i="8"/>
  <c r="AW580" i="8"/>
  <c r="AX588" i="8"/>
  <c r="AW588" i="8"/>
  <c r="AX541" i="8"/>
  <c r="AW541" i="8"/>
  <c r="AX549" i="8"/>
  <c r="AW549" i="8"/>
  <c r="AX557" i="8"/>
  <c r="AW557" i="8"/>
  <c r="AX565" i="8"/>
  <c r="AW565" i="8"/>
  <c r="AX573" i="8"/>
  <c r="AW573" i="8"/>
  <c r="AX581" i="8"/>
  <c r="AW581" i="8"/>
  <c r="AX589" i="8"/>
  <c r="AW589" i="8"/>
  <c r="AK29" i="9"/>
  <c r="AX542" i="8"/>
  <c r="AW542" i="8"/>
  <c r="AX550" i="8"/>
  <c r="AW550" i="8"/>
  <c r="AX558" i="8"/>
  <c r="AW558" i="8"/>
  <c r="AX566" i="8"/>
  <c r="AW566" i="8"/>
  <c r="AX574" i="8"/>
  <c r="AW574" i="8"/>
  <c r="AX582" i="8"/>
  <c r="AW582" i="8"/>
  <c r="AT78" i="9" a="1"/>
  <c r="AT78" i="9" s="1"/>
  <c r="AN860" i="9"/>
  <c r="AE70" i="14" s="1"/>
  <c r="AE48" i="14" s="1"/>
  <c r="AM85" i="9" a="1"/>
  <c r="AM85" i="9" s="1"/>
  <c r="AM89" i="9" a="1"/>
  <c r="AM89" i="9" s="1"/>
  <c r="AB859" i="9"/>
  <c r="L43" i="9"/>
  <c r="T859" i="9"/>
  <c r="AL90" i="9" a="1"/>
  <c r="AL90" i="9" s="1"/>
  <c r="AC39" i="9"/>
  <c r="BD84" i="9" a="1"/>
  <c r="BD84" i="9" s="1"/>
  <c r="F667" i="9"/>
  <c r="D517" i="8" s="1"/>
  <c r="O707" i="11"/>
  <c r="AE707" i="11"/>
  <c r="AM707" i="11"/>
  <c r="AO707" i="11"/>
  <c r="L84" i="6"/>
  <c r="L72" i="6"/>
  <c r="N749" i="9"/>
  <c r="AJ88" i="9" a="1"/>
  <c r="AJ88" i="9" s="1"/>
  <c r="AJ96" i="9" a="1"/>
  <c r="AJ96" i="9" s="1"/>
  <c r="AL86" i="9" a="1"/>
  <c r="AL86" i="9" s="1"/>
  <c r="AF32" i="9"/>
  <c r="AL42" i="9"/>
  <c r="AN92" i="9" a="1"/>
  <c r="AN92" i="9" s="1"/>
  <c r="AC35" i="9"/>
  <c r="BA79" i="9" a="1"/>
  <c r="BA79" i="9" s="1"/>
  <c r="N860" i="9"/>
  <c r="E70" i="14" s="1"/>
  <c r="E48" i="14" s="1"/>
  <c r="BB852" i="9"/>
  <c r="U43" i="9"/>
  <c r="AE860" i="9"/>
  <c r="V70" i="14" s="1"/>
  <c r="V48" i="14" s="1"/>
  <c r="AM860" i="9"/>
  <c r="AD70" i="14" s="1"/>
  <c r="AD48" i="14" s="1"/>
  <c r="V859" i="9"/>
  <c r="AU860" i="9"/>
  <c r="AL70" i="14" s="1"/>
  <c r="AL48" i="14" s="1"/>
  <c r="BC860" i="9"/>
  <c r="AT70" i="14" s="1"/>
  <c r="AT48" i="14" s="1"/>
  <c r="BK860" i="9"/>
  <c r="BB70" i="14" s="1"/>
  <c r="BB48" i="14" s="1"/>
  <c r="AV852" i="9"/>
  <c r="BD852" i="9"/>
  <c r="BL852" i="9"/>
  <c r="AT852" i="9"/>
  <c r="Q860" i="9"/>
  <c r="H70" i="14" s="1"/>
  <c r="H48" i="14" s="1"/>
  <c r="Y860" i="9"/>
  <c r="P70" i="14" s="1"/>
  <c r="P48" i="14" s="1"/>
  <c r="AG852" i="9"/>
  <c r="AO860" i="9"/>
  <c r="AF70" i="14" s="1"/>
  <c r="AF48" i="14" s="1"/>
  <c r="BK85" i="9" a="1"/>
  <c r="BK85" i="9" s="1"/>
  <c r="AW852" i="9"/>
  <c r="BE852" i="9"/>
  <c r="BM852" i="9"/>
  <c r="AP41" i="9"/>
  <c r="Z852" i="9"/>
  <c r="AH852" i="9"/>
  <c r="AP860" i="9"/>
  <c r="AG70" i="14" s="1"/>
  <c r="AG48" i="14" s="1"/>
  <c r="K852" i="9"/>
  <c r="L852" i="9" s="1"/>
  <c r="M852" i="9" s="1"/>
  <c r="S860" i="9"/>
  <c r="J70" i="14" s="1"/>
  <c r="J48" i="14" s="1"/>
  <c r="AA860" i="9"/>
  <c r="R70" i="14" s="1"/>
  <c r="R48" i="14" s="1"/>
  <c r="AI860" i="9"/>
  <c r="Z70" i="14" s="1"/>
  <c r="Z48" i="14" s="1"/>
  <c r="BF82" i="9" a="1"/>
  <c r="BF82" i="9" s="1"/>
  <c r="AY852" i="9"/>
  <c r="BG852" i="9"/>
  <c r="BO852" i="9"/>
  <c r="AL852" i="9"/>
  <c r="BJ852" i="9"/>
  <c r="L860" i="9"/>
  <c r="C70" i="14" s="1"/>
  <c r="C48" i="14" s="1"/>
  <c r="AB852" i="9"/>
  <c r="AJ852" i="9"/>
  <c r="AR852" i="9"/>
  <c r="AZ860" i="9"/>
  <c r="AQ70" i="14" s="1"/>
  <c r="AQ48" i="14" s="1"/>
  <c r="BH852" i="9"/>
  <c r="U860" i="9"/>
  <c r="L70" i="14" s="1"/>
  <c r="L48" i="14" s="1"/>
  <c r="AC860" i="9"/>
  <c r="T70" i="14" s="1"/>
  <c r="T48" i="14" s="1"/>
  <c r="AK860" i="9"/>
  <c r="AB70" i="14" s="1"/>
  <c r="AB48" i="14" s="1"/>
  <c r="AS860" i="9"/>
  <c r="AJ70" i="14" s="1"/>
  <c r="AJ48" i="14" s="1"/>
  <c r="BJ78" i="9" a="1"/>
  <c r="BJ78" i="9" s="1"/>
  <c r="BA852" i="9"/>
  <c r="BI852" i="9"/>
  <c r="L1413" i="6"/>
  <c r="U1413" i="6" s="1"/>
  <c r="L1414" i="6"/>
  <c r="U1414" i="6" s="1"/>
  <c r="U799" i="6"/>
  <c r="U798" i="6"/>
  <c r="U1302" i="6"/>
  <c r="L1317" i="6"/>
  <c r="AQ859" i="9"/>
  <c r="AI859" i="9"/>
  <c r="AA859" i="9"/>
  <c r="S859" i="9"/>
  <c r="I707" i="11"/>
  <c r="Y707" i="11"/>
  <c r="AG707" i="11"/>
  <c r="Q707" i="11"/>
  <c r="AV91" i="9" a="1"/>
  <c r="AV91" i="9" s="1"/>
  <c r="O39" i="4"/>
  <c r="R54" i="4"/>
  <c r="O44" i="4"/>
  <c r="N1358" i="6"/>
  <c r="N1307" i="6"/>
  <c r="U1307" i="6" s="1"/>
  <c r="N1258" i="6"/>
  <c r="U1258" i="6" s="1"/>
  <c r="N1264" i="6"/>
  <c r="N1326" i="6" s="1"/>
  <c r="N1269" i="6"/>
  <c r="N1331" i="6" s="1"/>
  <c r="L1304" i="6"/>
  <c r="U1537" i="6" s="1"/>
  <c r="N1265" i="6"/>
  <c r="N1327" i="6" s="1"/>
  <c r="N1270" i="6"/>
  <c r="U1270" i="6" s="1"/>
  <c r="L1252" i="6"/>
  <c r="L1314" i="6" s="1"/>
  <c r="L1269" i="6"/>
  <c r="U1511" i="6"/>
  <c r="L1289" i="6"/>
  <c r="L1359" i="6"/>
  <c r="U1359" i="6" s="1"/>
  <c r="L1367" i="6"/>
  <c r="U1367" i="6" s="1"/>
  <c r="N1348" i="6"/>
  <c r="N1297" i="6"/>
  <c r="U1297" i="6" s="1"/>
  <c r="L1253" i="6"/>
  <c r="U1253" i="6" s="1"/>
  <c r="L1360" i="6"/>
  <c r="U1360" i="6" s="1"/>
  <c r="U1298" i="6"/>
  <c r="L1368" i="6"/>
  <c r="U1368" i="6" s="1"/>
  <c r="U1306" i="6"/>
  <c r="N1261" i="6"/>
  <c r="N1323" i="6" s="1"/>
  <c r="N1266" i="6"/>
  <c r="N1328" i="6" s="1"/>
  <c r="N1354" i="6"/>
  <c r="N1303" i="6"/>
  <c r="U1303" i="6" s="1"/>
  <c r="N1256" i="6"/>
  <c r="N1318" i="6" s="1"/>
  <c r="L1362" i="6"/>
  <c r="U1362" i="6" s="1"/>
  <c r="N1350" i="6"/>
  <c r="N1299" i="6"/>
  <c r="U1299" i="6" s="1"/>
  <c r="N1267" i="6"/>
  <c r="N1329" i="6" s="1"/>
  <c r="L1363" i="6"/>
  <c r="U1363" i="6" s="1"/>
  <c r="U1301" i="6"/>
  <c r="N1351" i="6"/>
  <c r="N1300" i="6"/>
  <c r="U1300" i="6" s="1"/>
  <c r="N1356" i="6"/>
  <c r="N1305" i="6"/>
  <c r="U1305" i="6" s="1"/>
  <c r="N1335" i="6"/>
  <c r="U1335" i="6" s="1"/>
  <c r="N1285" i="6"/>
  <c r="N1347" i="6" s="1"/>
  <c r="L36" i="9"/>
  <c r="BI87" i="9" a="1"/>
  <c r="BI87" i="9" s="1"/>
  <c r="T32" i="9"/>
  <c r="AB28" i="9"/>
  <c r="AN26" i="9"/>
  <c r="AJ82" i="9" a="1"/>
  <c r="AJ82" i="9" s="1"/>
  <c r="BF81" i="9" a="1"/>
  <c r="BF81" i="9" s="1"/>
  <c r="AB44" i="9"/>
  <c r="AN94" i="9" a="1"/>
  <c r="AN94" i="9" s="1"/>
  <c r="AN200" i="9" s="1"/>
  <c r="BF90" i="9" a="1"/>
  <c r="BF90" i="9" s="1"/>
  <c r="T40" i="9"/>
  <c r="AO33" i="9"/>
  <c r="BH88" i="9" a="1"/>
  <c r="BH88" i="9" s="1"/>
  <c r="U937" i="6"/>
  <c r="U929" i="6"/>
  <c r="U1217" i="6"/>
  <c r="U926" i="6"/>
  <c r="U1482" i="6"/>
  <c r="U1212" i="6"/>
  <c r="U1213" i="6"/>
  <c r="U1241" i="6"/>
  <c r="U1214" i="6"/>
  <c r="U1516" i="6"/>
  <c r="U1499" i="6"/>
  <c r="U1005" i="6"/>
  <c r="U1515" i="6"/>
  <c r="L1316" i="6"/>
  <c r="U1022" i="6"/>
  <c r="U1225" i="6"/>
  <c r="U1094" i="6"/>
  <c r="U1001" i="6"/>
  <c r="G707" i="11"/>
  <c r="U1222" i="6"/>
  <c r="U1296" i="6"/>
  <c r="U1493" i="6"/>
  <c r="L1322" i="6"/>
  <c r="BQ87" i="9" a="1"/>
  <c r="BQ87" i="9" s="1"/>
  <c r="BP80" i="9" a="1"/>
  <c r="BP80" i="9" s="1"/>
  <c r="BA87" i="9" a="1"/>
  <c r="BA87" i="9" s="1"/>
  <c r="BD92" i="9" a="1"/>
  <c r="BD92" i="9" s="1"/>
  <c r="BO89" i="9" a="1"/>
  <c r="BO89" i="9" s="1"/>
  <c r="BG81" i="9" a="1"/>
  <c r="BG81" i="9" s="1"/>
  <c r="AA852" i="9"/>
  <c r="K860" i="9"/>
  <c r="B70" i="14" s="1"/>
  <c r="B48" i="14" s="1"/>
  <c r="AI852" i="9"/>
  <c r="AS81" i="9" a="1"/>
  <c r="AS81" i="9" s="1"/>
  <c r="T44" i="9"/>
  <c r="V39" i="9"/>
  <c r="L32" i="9"/>
  <c r="T28" i="9"/>
  <c r="AI39" i="9"/>
  <c r="AP859" i="9"/>
  <c r="V31" i="9"/>
  <c r="AR82" i="9" a="1"/>
  <c r="AR82" i="9" s="1"/>
  <c r="AQ91" i="9" a="1"/>
  <c r="AQ91" i="9" s="1"/>
  <c r="AF34" i="9"/>
  <c r="L67" i="6"/>
  <c r="AH859" i="9"/>
  <c r="AC37" i="9"/>
  <c r="N43" i="9"/>
  <c r="P38" i="9"/>
  <c r="N31" i="9"/>
  <c r="AP92" i="9" a="1"/>
  <c r="AP92" i="9" s="1"/>
  <c r="AG41" i="9"/>
  <c r="AN86" i="9" a="1"/>
  <c r="AN86" i="9" s="1"/>
  <c r="Z859" i="9"/>
  <c r="AL80" i="9" a="1"/>
  <c r="AL80" i="9" s="1"/>
  <c r="AK89" i="9" a="1"/>
  <c r="AK89" i="9" s="1"/>
  <c r="X30" i="9"/>
  <c r="V27" i="9"/>
  <c r="AI83" i="9" a="1"/>
  <c r="AI83" i="9" s="1"/>
  <c r="AO93" i="9" a="1"/>
  <c r="AO93" i="9" s="1"/>
  <c r="R859" i="9"/>
  <c r="AL88" i="9" a="1"/>
  <c r="AL88" i="9" s="1"/>
  <c r="R37" i="9"/>
  <c r="P30" i="9"/>
  <c r="AJ90" i="9" a="1"/>
  <c r="AJ90" i="9" s="1"/>
  <c r="AH32" i="9"/>
  <c r="AS89" i="9" a="1"/>
  <c r="AS89" i="9" s="1"/>
  <c r="R41" i="9"/>
  <c r="AQ31" i="9"/>
  <c r="AP84" i="9" a="1"/>
  <c r="AP84" i="9" s="1"/>
  <c r="AF26" i="9"/>
  <c r="G93" i="9"/>
  <c r="O40" i="4"/>
  <c r="O45" i="4"/>
  <c r="O15" i="4" s="1"/>
  <c r="H63" i="9" s="1"/>
  <c r="BE195" i="9" s="1"/>
  <c r="G92" i="9"/>
  <c r="G202" i="9"/>
  <c r="U1066" i="6"/>
  <c r="U999" i="6"/>
  <c r="U1549" i="6"/>
  <c r="L27" i="2" s="1"/>
  <c r="U1228" i="6"/>
  <c r="U1026" i="6"/>
  <c r="U1234" i="6"/>
  <c r="U1044" i="6"/>
  <c r="U1081" i="6"/>
  <c r="U1238" i="6"/>
  <c r="U1510" i="6"/>
  <c r="U1086" i="6"/>
  <c r="L1330" i="6"/>
  <c r="U1109" i="6"/>
  <c r="U990" i="6"/>
  <c r="U1007" i="6"/>
  <c r="U1069" i="6"/>
  <c r="U1148" i="6"/>
  <c r="U1021" i="6"/>
  <c r="U1073" i="6"/>
  <c r="U1223" i="6"/>
  <c r="U930" i="6"/>
  <c r="U1145" i="6"/>
  <c r="U989" i="6"/>
  <c r="U928" i="6"/>
  <c r="U1092" i="6"/>
  <c r="U1033" i="6"/>
  <c r="U1028" i="6"/>
  <c r="U1047" i="6"/>
  <c r="U1060" i="6"/>
  <c r="U1121" i="6"/>
  <c r="U992" i="6"/>
  <c r="U1015" i="6"/>
  <c r="U1090" i="6"/>
  <c r="U1108" i="6"/>
  <c r="U1153" i="6"/>
  <c r="U998" i="6"/>
  <c r="U1012" i="6"/>
  <c r="U1105" i="6"/>
  <c r="U1114" i="6"/>
  <c r="U1093" i="6"/>
  <c r="U1142" i="6"/>
  <c r="U803" i="6"/>
  <c r="U1010" i="6"/>
  <c r="U1078" i="6"/>
  <c r="U1106" i="6"/>
  <c r="U1129" i="6"/>
  <c r="U1151" i="6"/>
  <c r="U1512" i="6"/>
  <c r="U1084" i="6"/>
  <c r="U1055" i="6"/>
  <c r="U1089" i="6"/>
  <c r="U1098" i="6"/>
  <c r="U1116" i="6"/>
  <c r="U1156" i="6"/>
  <c r="U993" i="6"/>
  <c r="U1096" i="6"/>
  <c r="U1101" i="6"/>
  <c r="U1460" i="6"/>
  <c r="L24" i="2" s="1"/>
  <c r="U997" i="6"/>
  <c r="U1417" i="6"/>
  <c r="L22" i="2" s="1"/>
  <c r="U1240" i="6"/>
  <c r="U1484" i="6"/>
  <c r="U1227" i="6"/>
  <c r="U1063" i="6"/>
  <c r="U1137" i="6"/>
  <c r="U1146" i="6"/>
  <c r="U1013" i="6"/>
  <c r="U1231" i="6"/>
  <c r="U1020" i="6"/>
  <c r="U1052" i="6"/>
  <c r="U1113" i="6"/>
  <c r="U1122" i="6"/>
  <c r="U1159" i="6"/>
  <c r="U1239" i="6"/>
  <c r="F83" i="9"/>
  <c r="F189" i="9"/>
  <c r="AC28" i="4"/>
  <c r="F427" i="9"/>
  <c r="D307" i="8" s="1"/>
  <c r="G86" i="9"/>
  <c r="G192" i="9"/>
  <c r="O41" i="4"/>
  <c r="O11" i="4" s="1"/>
  <c r="H59" i="9" s="1"/>
  <c r="BH191" i="9" s="1"/>
  <c r="O43" i="4"/>
  <c r="O13" i="4" s="1"/>
  <c r="H61" i="9" s="1"/>
  <c r="AX193" i="9" s="1"/>
  <c r="F184" i="9"/>
  <c r="AP82" i="9" a="1"/>
  <c r="AP82" i="9" s="1"/>
  <c r="AN84" i="9" a="1"/>
  <c r="AN84" i="9" s="1"/>
  <c r="AD26" i="9"/>
  <c r="AC27" i="9"/>
  <c r="AK87" i="9" a="1"/>
  <c r="AK87" i="9" s="1"/>
  <c r="AC43" i="9"/>
  <c r="AJ28" i="9"/>
  <c r="Z860" i="9"/>
  <c r="Q70" i="14" s="1"/>
  <c r="Q48" i="14" s="1"/>
  <c r="AL78" i="9" a="1"/>
  <c r="AL78" i="9" s="1"/>
  <c r="AK27" i="9"/>
  <c r="AK95" i="9" a="1"/>
  <c r="AK95" i="9" s="1"/>
  <c r="AR80" i="9" a="1"/>
  <c r="AR80" i="9" s="1"/>
  <c r="AR88" i="9" a="1"/>
  <c r="AR88" i="9" s="1"/>
  <c r="AR96" i="9" a="1"/>
  <c r="AR96" i="9" s="1"/>
  <c r="BL85" i="9" a="1"/>
  <c r="BL85" i="9" s="1"/>
  <c r="G191" i="9"/>
  <c r="AG31" i="9"/>
  <c r="AO91" i="9" a="1"/>
  <c r="AO91" i="9" s="1"/>
  <c r="AS79" i="9" a="1"/>
  <c r="AS79" i="9" s="1"/>
  <c r="AS87" i="9" a="1"/>
  <c r="AS87" i="9" s="1"/>
  <c r="F188" i="9"/>
  <c r="G85" i="9"/>
  <c r="AP852" i="9"/>
  <c r="AH38" i="9"/>
  <c r="AO83" i="9" a="1"/>
  <c r="AO83" i="9" s="1"/>
  <c r="AS95" i="9" a="1"/>
  <c r="AS95" i="9" s="1"/>
  <c r="BO859" i="9"/>
  <c r="R860" i="9"/>
  <c r="I70" i="14" s="1"/>
  <c r="I48" i="14" s="1"/>
  <c r="G195" i="9"/>
  <c r="AP90" i="9" a="1"/>
  <c r="AP90" i="9" s="1"/>
  <c r="AB33" i="9"/>
  <c r="G89" i="9"/>
  <c r="R30" i="9"/>
  <c r="G199" i="9"/>
  <c r="AM41" i="9"/>
  <c r="BZ761" i="9"/>
  <c r="BZ762" i="9" s="1"/>
  <c r="BZ770" i="9"/>
  <c r="R43" i="9"/>
  <c r="AQ87" i="9" a="1"/>
  <c r="AQ87" i="9" s="1"/>
  <c r="Z39" i="9"/>
  <c r="P36" i="9"/>
  <c r="AH28" i="9"/>
  <c r="AO29" i="9"/>
  <c r="AI95" i="9" a="1"/>
  <c r="AI95" i="9" s="1"/>
  <c r="F192" i="9"/>
  <c r="AM86" i="9" a="1"/>
  <c r="AM86" i="9" s="1"/>
  <c r="O43" i="9"/>
  <c r="BE81" i="9" a="1"/>
  <c r="BE81" i="9" s="1"/>
  <c r="U36" i="9"/>
  <c r="AP83" i="9" a="1"/>
  <c r="AP83" i="9" s="1"/>
  <c r="AR29" i="9"/>
  <c r="AI82" i="9" a="1"/>
  <c r="AI82" i="9" s="1"/>
  <c r="AL35" i="9"/>
  <c r="S29" i="9"/>
  <c r="AQ38" i="9"/>
  <c r="Y26" i="9"/>
  <c r="T860" i="9"/>
  <c r="K70" i="14" s="1"/>
  <c r="K48" i="14" s="1"/>
  <c r="AB860" i="9"/>
  <c r="S70" i="14" s="1"/>
  <c r="S48" i="14" s="1"/>
  <c r="AR860" i="9"/>
  <c r="AI70" i="14" s="1"/>
  <c r="AI48" i="14" s="1"/>
  <c r="AJ860" i="9"/>
  <c r="AA70" i="14" s="1"/>
  <c r="AA48" i="14" s="1"/>
  <c r="W44" i="9"/>
  <c r="BR94" i="9" a="1"/>
  <c r="BR94" i="9" s="1"/>
  <c r="AZ93" i="9" a="1"/>
  <c r="AZ93" i="9" s="1"/>
  <c r="AC852" i="9"/>
  <c r="AS852" i="9"/>
  <c r="K40" i="9"/>
  <c r="L19" i="6"/>
  <c r="W34" i="9"/>
  <c r="L11" i="6"/>
  <c r="BR89" i="9" a="1"/>
  <c r="BR89" i="9" s="1"/>
  <c r="AK852" i="9"/>
  <c r="M31" i="9"/>
  <c r="M860" i="9"/>
  <c r="D70" i="14" s="1"/>
  <c r="D48" i="14" s="1"/>
  <c r="K28" i="9"/>
  <c r="AQ92" i="9" a="1"/>
  <c r="AQ92" i="9" s="1"/>
  <c r="BO88" i="9" a="1"/>
  <c r="BO88" i="9" s="1"/>
  <c r="BA84" i="9" a="1"/>
  <c r="BA84" i="9" s="1"/>
  <c r="AY84" i="9" a="1"/>
  <c r="AY84" i="9" s="1"/>
  <c r="G79" i="9"/>
  <c r="AM80" i="9" a="1"/>
  <c r="AM80" i="9" s="1"/>
  <c r="AL29" i="9"/>
  <c r="AN95" i="9" a="1"/>
  <c r="AN95" i="9" s="1"/>
  <c r="AL37" i="9"/>
  <c r="AP85" i="9" a="1"/>
  <c r="AP85" i="9" s="1"/>
  <c r="BJ81" i="9" a="1"/>
  <c r="BJ81" i="9" s="1"/>
  <c r="BJ187" i="9" s="1"/>
  <c r="BP96" i="9" a="1"/>
  <c r="BP96" i="9" s="1"/>
  <c r="AV92" i="9" a="1"/>
  <c r="AV92" i="9" s="1"/>
  <c r="BG89" i="9" a="1"/>
  <c r="BG89" i="9" s="1"/>
  <c r="BR86" i="9" a="1"/>
  <c r="BR86" i="9" s="1"/>
  <c r="BM83" i="9" a="1"/>
  <c r="BM83" i="9" s="1"/>
  <c r="AZ96" i="9" a="1"/>
  <c r="AZ96" i="9" s="1"/>
  <c r="BM91" i="9" a="1"/>
  <c r="BM91" i="9" s="1"/>
  <c r="AY89" i="9" a="1"/>
  <c r="AY89" i="9" s="1"/>
  <c r="AT86" i="9" a="1"/>
  <c r="AT86" i="9" s="1"/>
  <c r="BE83" i="9" a="1"/>
  <c r="BE83" i="9" s="1"/>
  <c r="BH80" i="9" a="1"/>
  <c r="BH80" i="9" s="1"/>
  <c r="BI95" i="9" a="1"/>
  <c r="BI95" i="9" s="1"/>
  <c r="AW91" i="9" a="1"/>
  <c r="AW91" i="9" s="1"/>
  <c r="AW83" i="9" a="1"/>
  <c r="AW83" i="9" s="1"/>
  <c r="AZ80" i="9" a="1"/>
  <c r="AZ80" i="9" s="1"/>
  <c r="AT94" i="9" a="1"/>
  <c r="AT94" i="9" s="1"/>
  <c r="BN90" i="9" a="1"/>
  <c r="BN90" i="9" s="1"/>
  <c r="AZ88" i="9" a="1"/>
  <c r="AZ88" i="9" s="1"/>
  <c r="BC85" i="9" a="1"/>
  <c r="BC85" i="9" s="1"/>
  <c r="BL92" i="9" a="1"/>
  <c r="BL92" i="9" s="1"/>
  <c r="AX859" i="9"/>
  <c r="AR79" i="9" a="1"/>
  <c r="AR79" i="9" s="1"/>
  <c r="AR185" i="9" s="1"/>
  <c r="AJ35" i="9"/>
  <c r="AJ95" i="9" a="1"/>
  <c r="AJ95" i="9" s="1"/>
  <c r="M41" i="9"/>
  <c r="BB95" i="9" a="1"/>
  <c r="BB95" i="9" s="1"/>
  <c r="BJ87" i="9" a="1"/>
  <c r="BJ87" i="9" s="1"/>
  <c r="AU80" i="9" a="1"/>
  <c r="AU80" i="9" s="1"/>
  <c r="U37" i="9"/>
  <c r="BF85" i="9" a="1"/>
  <c r="BF85" i="9" s="1"/>
  <c r="BH83" i="9" a="1"/>
  <c r="BH83" i="9" s="1"/>
  <c r="AQ44" i="9"/>
  <c r="O32" i="9"/>
  <c r="BE94" i="9" a="1"/>
  <c r="BE94" i="9" s="1"/>
  <c r="BD87" i="9" a="1"/>
  <c r="BD87" i="9" s="1"/>
  <c r="AJ79" i="9" a="1"/>
  <c r="AJ79" i="9" s="1"/>
  <c r="AJ185" i="9" s="1"/>
  <c r="F195" i="9"/>
  <c r="O859" i="9"/>
  <c r="AV85" i="9" a="1"/>
  <c r="AV85" i="9" s="1"/>
  <c r="BB81" i="9" a="1"/>
  <c r="BB81" i="9" s="1"/>
  <c r="BB187" i="9" s="1"/>
  <c r="BE78" i="9" a="1"/>
  <c r="BE78" i="9" s="1"/>
  <c r="BF93" i="9" a="1"/>
  <c r="BF93" i="9" s="1"/>
  <c r="BO84" i="9" a="1"/>
  <c r="BO84" i="9" s="1"/>
  <c r="BQ82" i="9" a="1"/>
  <c r="BQ82" i="9" s="1"/>
  <c r="AT81" i="9" a="1"/>
  <c r="AT81" i="9" s="1"/>
  <c r="AM84" i="9" a="1"/>
  <c r="AM84" i="9" s="1"/>
  <c r="AS26" i="9"/>
  <c r="AQ80" i="9" a="1"/>
  <c r="AQ80" i="9" s="1"/>
  <c r="BA88" i="9" a="1"/>
  <c r="BA88" i="9" s="1"/>
  <c r="BM86" i="9" a="1"/>
  <c r="BM86" i="9" s="1"/>
  <c r="AL33" i="9"/>
  <c r="AP89" i="9" a="1"/>
  <c r="AP89" i="9" s="1"/>
  <c r="BA90" i="9" a="1"/>
  <c r="BA90" i="9" s="1"/>
  <c r="BA82" i="9" a="1"/>
  <c r="BA82" i="9" s="1"/>
  <c r="G184" i="9"/>
  <c r="AA41" i="9"/>
  <c r="M36" i="9"/>
  <c r="U32" i="9"/>
  <c r="K29" i="9"/>
  <c r="Q26" i="9"/>
  <c r="AF33" i="9"/>
  <c r="AM859" i="9"/>
  <c r="BA95" i="9" a="1"/>
  <c r="BA95" i="9" s="1"/>
  <c r="AU93" i="9" a="1"/>
  <c r="AU93" i="9" s="1"/>
  <c r="BQ90" i="9" a="1"/>
  <c r="BQ90" i="9" s="1"/>
  <c r="BB89" i="9" a="1"/>
  <c r="BB89" i="9" s="1"/>
  <c r="BB86" i="9" a="1"/>
  <c r="BB86" i="9" s="1"/>
  <c r="BL84" i="9" a="1"/>
  <c r="BL84" i="9" s="1"/>
  <c r="BR78" i="9" a="1"/>
  <c r="BR78" i="9" s="1"/>
  <c r="G78" i="9"/>
  <c r="M32" i="9"/>
  <c r="U28" i="9"/>
  <c r="AQ82" i="9" a="1"/>
  <c r="AQ82" i="9" s="1"/>
  <c r="AN85" i="9" a="1"/>
  <c r="AN85" i="9" s="1"/>
  <c r="AD43" i="9"/>
  <c r="AZ95" i="9" a="1"/>
  <c r="AZ95" i="9" s="1"/>
  <c r="BM82" i="9" a="1"/>
  <c r="BM82" i="9" s="1"/>
  <c r="F200" i="9"/>
  <c r="G188" i="9"/>
  <c r="O35" i="9"/>
  <c r="W31" i="9"/>
  <c r="AH39" i="9"/>
  <c r="AO84" i="9" a="1"/>
  <c r="AO84" i="9" s="1"/>
  <c r="AE26" i="9"/>
  <c r="AL95" i="9" a="1"/>
  <c r="AL95" i="9" s="1"/>
  <c r="AE859" i="9"/>
  <c r="BH82" i="9" a="1"/>
  <c r="BH82" i="9" s="1"/>
  <c r="G82" i="9"/>
  <c r="AJ37" i="9"/>
  <c r="Q38" i="9"/>
  <c r="AP91" i="9" a="1"/>
  <c r="AP91" i="9" s="1"/>
  <c r="AO92" i="9" a="1"/>
  <c r="AO92" i="9" s="1"/>
  <c r="AF41" i="9"/>
  <c r="AM78" i="9" a="1"/>
  <c r="AM78" i="9" s="1"/>
  <c r="AL79" i="9" a="1"/>
  <c r="AL79" i="9" s="1"/>
  <c r="AL185" i="9" s="1"/>
  <c r="AL860" i="9"/>
  <c r="AC70" i="14" s="1"/>
  <c r="AC48" i="14" s="1"/>
  <c r="AA37" i="9"/>
  <c r="W27" i="9"/>
  <c r="AI90" i="9" a="1"/>
  <c r="AI90" i="9" s="1"/>
  <c r="AN93" i="9" a="1"/>
  <c r="AN93" i="9" s="1"/>
  <c r="AM94" i="9" a="1"/>
  <c r="AM94" i="9" s="1"/>
  <c r="AM200" i="9" s="1"/>
  <c r="AU92" i="9" a="1"/>
  <c r="AU92" i="9" s="1"/>
  <c r="AZ87" i="9" a="1"/>
  <c r="AZ87" i="9" s="1"/>
  <c r="F196" i="9"/>
  <c r="BP95" i="9" a="1"/>
  <c r="BP95" i="9" s="1"/>
  <c r="BK93" i="9" a="1"/>
  <c r="BK93" i="9" s="1"/>
  <c r="BN859" i="9"/>
  <c r="AJ81" i="9" a="1"/>
  <c r="AJ81" i="9" s="1"/>
  <c r="AJ187" i="9" s="1"/>
  <c r="BN89" i="9" a="1"/>
  <c r="BN89" i="9" s="1"/>
  <c r="AY88" i="9" a="1"/>
  <c r="AY88" i="9" s="1"/>
  <c r="BQ86" i="9" a="1"/>
  <c r="BQ86" i="9" s="1"/>
  <c r="AW90" i="9" a="1"/>
  <c r="AW90" i="9" s="1"/>
  <c r="AW82" i="9" a="1"/>
  <c r="AW82" i="9" s="1"/>
  <c r="BQ94" i="9" a="1"/>
  <c r="BQ94" i="9" s="1"/>
  <c r="AT93" i="9" a="1"/>
  <c r="AT93" i="9" s="1"/>
  <c r="AT83" i="9" a="1"/>
  <c r="AT83" i="9" s="1"/>
  <c r="BO80" i="9" a="1"/>
  <c r="BO80" i="9" s="1"/>
  <c r="BI78" i="9" a="1"/>
  <c r="BI78" i="9" s="1"/>
  <c r="BQ92" i="9" a="1"/>
  <c r="BQ92" i="9" s="1"/>
  <c r="N859" i="9"/>
  <c r="BJ93" i="9" a="1"/>
  <c r="BJ93" i="9" s="1"/>
  <c r="BC92" i="9" a="1"/>
  <c r="BC92" i="9" s="1"/>
  <c r="BM90" i="9" a="1"/>
  <c r="BM90" i="9" s="1"/>
  <c r="BP87" i="9" a="1"/>
  <c r="BP87" i="9" s="1"/>
  <c r="AT85" i="9" a="1"/>
  <c r="AT85" i="9" s="1"/>
  <c r="BL83" i="9" a="1"/>
  <c r="BL83" i="9" s="1"/>
  <c r="BP79" i="9" a="1"/>
  <c r="BP79" i="9" s="1"/>
  <c r="BQ84" i="9" a="1"/>
  <c r="BQ84" i="9" s="1"/>
  <c r="BC82" i="9" a="1"/>
  <c r="BC82" i="9" s="1"/>
  <c r="AX81" i="9" a="1"/>
  <c r="AX81" i="9" s="1"/>
  <c r="AX187" i="9" s="1"/>
  <c r="G70" i="14"/>
  <c r="G48" i="14" s="1"/>
  <c r="W70" i="14"/>
  <c r="W48" i="14" s="1"/>
  <c r="AX82" i="9" a="1"/>
  <c r="AX82" i="9" s="1"/>
  <c r="AY81" i="9" a="1"/>
  <c r="AY81" i="9" s="1"/>
  <c r="BQ79" i="9" a="1"/>
  <c r="BQ79" i="9" s="1"/>
  <c r="BB78" i="9" a="1"/>
  <c r="BB78" i="9" s="1"/>
  <c r="BQ95" i="9" a="1"/>
  <c r="BQ95" i="9" s="1"/>
  <c r="BJ94" i="9" a="1"/>
  <c r="BJ94" i="9" s="1"/>
  <c r="BE91" i="9" a="1"/>
  <c r="BE91" i="9" s="1"/>
  <c r="AX90" i="9" a="1"/>
  <c r="AX90" i="9" s="1"/>
  <c r="BP88" i="9" a="1"/>
  <c r="BP88" i="9" s="1"/>
  <c r="BJ86" i="9" a="1"/>
  <c r="BJ86" i="9" s="1"/>
  <c r="AU85" i="9" a="1"/>
  <c r="AU85" i="9" s="1"/>
  <c r="AV84" i="9" a="1"/>
  <c r="AV84" i="9" s="1"/>
  <c r="BN82" i="9" a="1"/>
  <c r="BN82" i="9" s="1"/>
  <c r="BO81" i="9" a="1"/>
  <c r="BO81" i="9" s="1"/>
  <c r="BO187" i="9" s="1"/>
  <c r="BI79" i="9" a="1"/>
  <c r="BI79" i="9" s="1"/>
  <c r="O70" i="14"/>
  <c r="O48" i="14" s="1"/>
  <c r="BF859" i="9"/>
  <c r="BI859" i="9"/>
  <c r="Y70" i="14"/>
  <c r="Y48" i="14" s="1"/>
  <c r="BO96" i="9" a="1"/>
  <c r="BO96" i="9" s="1"/>
  <c r="BO202" i="9" s="1"/>
  <c r="BH95" i="9" a="1"/>
  <c r="BH95" i="9" s="1"/>
  <c r="BK92" i="9" a="1"/>
  <c r="BK92" i="9" s="1"/>
  <c r="BE90" i="9" a="1"/>
  <c r="BE90" i="9" s="1"/>
  <c r="BF89" i="9" a="1"/>
  <c r="BF89" i="9" s="1"/>
  <c r="BG88" i="9" a="1"/>
  <c r="BG88" i="9" s="1"/>
  <c r="BH87" i="9" a="1"/>
  <c r="BH87" i="9" s="1"/>
  <c r="BI86" i="9" a="1"/>
  <c r="BI86" i="9" s="1"/>
  <c r="AU84" i="9" a="1"/>
  <c r="AU84" i="9" s="1"/>
  <c r="BB83" i="9" a="1"/>
  <c r="BB83" i="9" s="1"/>
  <c r="BD81" i="9" a="1"/>
  <c r="BD81" i="9" s="1"/>
  <c r="BG80" i="9" a="1"/>
  <c r="BG80" i="9" s="1"/>
  <c r="BE79" i="9" a="1"/>
  <c r="BE79" i="9" s="1"/>
  <c r="BA859" i="9"/>
  <c r="BQ859" i="9"/>
  <c r="BY843" i="9"/>
  <c r="BZ843" i="9" s="1"/>
  <c r="BY826" i="9"/>
  <c r="BZ826" i="9" s="1"/>
  <c r="BY801" i="9"/>
  <c r="BZ801" i="9" s="1"/>
  <c r="BY789" i="9"/>
  <c r="BZ789" i="9" s="1"/>
  <c r="BY771" i="9"/>
  <c r="BY768" i="9"/>
  <c r="BY763" i="9"/>
  <c r="BZ763" i="9" s="1"/>
  <c r="AI79" i="9" a="1"/>
  <c r="AI79" i="9" s="1"/>
  <c r="G201" i="9"/>
  <c r="AL40" i="9"/>
  <c r="AQ95" i="9" a="1"/>
  <c r="AQ95" i="9" s="1"/>
  <c r="AP80" i="9" a="1"/>
  <c r="AP80" i="9" s="1"/>
  <c r="AB42" i="9"/>
  <c r="Z35" i="9"/>
  <c r="AF30" i="9"/>
  <c r="BH96" i="9" a="1"/>
  <c r="BH96" i="9" s="1"/>
  <c r="BH202" i="9" s="1"/>
  <c r="BB94" i="9" a="1"/>
  <c r="BB94" i="9" s="1"/>
  <c r="BC93" i="9" a="1"/>
  <c r="BC93" i="9" s="1"/>
  <c r="BI92" i="9" a="1"/>
  <c r="BI92" i="9" s="1"/>
  <c r="BD91" i="9" a="1"/>
  <c r="BD91" i="9" s="1"/>
  <c r="BD197" i="9" s="1"/>
  <c r="BC89" i="9" a="1"/>
  <c r="BC89" i="9" s="1"/>
  <c r="BK84" i="9" a="1"/>
  <c r="BK84" i="9" s="1"/>
  <c r="BR83" i="9" a="1"/>
  <c r="BR83" i="9" s="1"/>
  <c r="BN81" i="9" a="1"/>
  <c r="BN81" i="9" s="1"/>
  <c r="BA78" i="9" a="1"/>
  <c r="BA78" i="9" s="1"/>
  <c r="BY846" i="9"/>
  <c r="BZ846" i="9" s="1"/>
  <c r="BY838" i="9"/>
  <c r="BZ838" i="9" s="1"/>
  <c r="BY822" i="9"/>
  <c r="BZ822" i="9" s="1"/>
  <c r="BY817" i="9"/>
  <c r="BZ817" i="9" s="1"/>
  <c r="BY809" i="9"/>
  <c r="BZ809" i="9" s="1"/>
  <c r="BY797" i="9"/>
  <c r="BZ797" i="9" s="1"/>
  <c r="BY792" i="9"/>
  <c r="BZ792" i="9" s="1"/>
  <c r="BY779" i="9"/>
  <c r="G190" i="9"/>
  <c r="G95" i="9"/>
  <c r="AC41" i="9"/>
  <c r="T42" i="9"/>
  <c r="AB38" i="9"/>
  <c r="AN82" i="9" a="1"/>
  <c r="AN82" i="9" s="1"/>
  <c r="AN90" i="9" a="1"/>
  <c r="AN90" i="9" s="1"/>
  <c r="BG96" i="9" a="1"/>
  <c r="BG96" i="9" s="1"/>
  <c r="BG202" i="9" s="1"/>
  <c r="BA94" i="9" a="1"/>
  <c r="BA94" i="9" s="1"/>
  <c r="BB93" i="9" a="1"/>
  <c r="BB93" i="9" s="1"/>
  <c r="BA86" i="9" a="1"/>
  <c r="BA86" i="9" s="1"/>
  <c r="BB85" i="9" a="1"/>
  <c r="BB85" i="9" s="1"/>
  <c r="BI84" i="9" a="1"/>
  <c r="BI84" i="9" s="1"/>
  <c r="AV83" i="9" a="1"/>
  <c r="AV83" i="9" s="1"/>
  <c r="BE82" i="9" a="1"/>
  <c r="BE82" i="9" s="1"/>
  <c r="BL81" i="9" a="1"/>
  <c r="BL81" i="9" s="1"/>
  <c r="AY80" i="9" a="1"/>
  <c r="AY80" i="9" s="1"/>
  <c r="AZ79" i="9" a="1"/>
  <c r="AZ79" i="9" s="1"/>
  <c r="AY78" i="9" a="1"/>
  <c r="AY78" i="9" s="1"/>
  <c r="BG859" i="9"/>
  <c r="BY849" i="9"/>
  <c r="BZ849" i="9" s="1"/>
  <c r="BY842" i="9"/>
  <c r="BZ842" i="9" s="1"/>
  <c r="BY834" i="9"/>
  <c r="BZ834" i="9" s="1"/>
  <c r="BY830" i="9"/>
  <c r="BY805" i="9"/>
  <c r="BZ805" i="9" s="1"/>
  <c r="BY800" i="9"/>
  <c r="BZ800" i="9" s="1"/>
  <c r="BY787" i="9"/>
  <c r="BZ787" i="9" s="1"/>
  <c r="BY783" i="9"/>
  <c r="BY775" i="9"/>
  <c r="BZ775" i="9" s="1"/>
  <c r="BY767" i="9"/>
  <c r="F187" i="9"/>
  <c r="G84" i="9"/>
  <c r="AL84" i="9" a="1"/>
  <c r="AL84" i="9" s="1"/>
  <c r="AC33" i="9"/>
  <c r="AK93" i="9" a="1"/>
  <c r="AK93" i="9" s="1"/>
  <c r="AJ94" i="9" a="1"/>
  <c r="AJ94" i="9" s="1"/>
  <c r="AJ200" i="9" s="1"/>
  <c r="AH44" i="9"/>
  <c r="AB34" i="9"/>
  <c r="BK81" i="9" a="1"/>
  <c r="BK81" i="9" s="1"/>
  <c r="BY845" i="9"/>
  <c r="BZ845" i="9" s="1"/>
  <c r="BY837" i="9"/>
  <c r="BZ837" i="9" s="1"/>
  <c r="BY813" i="9"/>
  <c r="BZ813" i="9" s="1"/>
  <c r="BY795" i="9"/>
  <c r="BZ795" i="9" s="1"/>
  <c r="BY791" i="9"/>
  <c r="BZ791" i="9" s="1"/>
  <c r="AJ78" i="9" a="1"/>
  <c r="AJ78" i="9" s="1"/>
  <c r="AK85" i="9" a="1"/>
  <c r="AK85" i="9" s="1"/>
  <c r="AS93" i="9" a="1"/>
  <c r="AS93" i="9" s="1"/>
  <c r="AJ86" i="9" a="1"/>
  <c r="AJ86" i="9" s="1"/>
  <c r="AP96" i="9" a="1"/>
  <c r="AP96" i="9" s="1"/>
  <c r="AP202" i="9" s="1"/>
  <c r="V41" i="9"/>
  <c r="L38" i="9"/>
  <c r="AY96" i="9" a="1"/>
  <c r="AY96" i="9" s="1"/>
  <c r="BR93" i="9" a="1"/>
  <c r="BR93" i="9" s="1"/>
  <c r="AX89" i="9" a="1"/>
  <c r="AX89" i="9" s="1"/>
  <c r="BR85" i="9" a="1"/>
  <c r="BR85" i="9" s="1"/>
  <c r="BC84" i="9" a="1"/>
  <c r="BC84" i="9" s="1"/>
  <c r="BJ83" i="9" a="1"/>
  <c r="BJ83" i="9" s="1"/>
  <c r="BQ78" i="9" a="1"/>
  <c r="BQ78" i="9" s="1"/>
  <c r="BR77" i="9" a="1"/>
  <c r="BR77" i="9" s="1"/>
  <c r="BM859" i="9"/>
  <c r="BY848" i="9"/>
  <c r="BZ848" i="9" s="1"/>
  <c r="BY841" i="9"/>
  <c r="BZ841" i="9" s="1"/>
  <c r="BY833" i="9"/>
  <c r="BZ833" i="9" s="1"/>
  <c r="BY829" i="9"/>
  <c r="BZ829" i="9" s="1"/>
  <c r="BY816" i="9"/>
  <c r="BZ816" i="9" s="1"/>
  <c r="BY803" i="9"/>
  <c r="BZ803" i="9" s="1"/>
  <c r="BY799" i="9"/>
  <c r="BZ799" i="9" s="1"/>
  <c r="BY786" i="9"/>
  <c r="BZ786" i="9" s="1"/>
  <c r="BY782" i="9"/>
  <c r="BY778" i="9"/>
  <c r="BY774" i="9"/>
  <c r="BY766" i="9"/>
  <c r="AR94" i="9" a="1"/>
  <c r="AR94" i="9" s="1"/>
  <c r="AR200" i="9" s="1"/>
  <c r="AO89" i="9" a="1"/>
  <c r="AO89" i="9" s="1"/>
  <c r="V37" i="9"/>
  <c r="BC852" i="9"/>
  <c r="BY836" i="9"/>
  <c r="BZ836" i="9" s="1"/>
  <c r="BY824" i="9"/>
  <c r="BZ824" i="9" s="1"/>
  <c r="BY819" i="9"/>
  <c r="BZ819" i="9" s="1"/>
  <c r="BY794" i="9"/>
  <c r="BZ794" i="9" s="1"/>
  <c r="BY790" i="9"/>
  <c r="BZ790" i="9" s="1"/>
  <c r="AS85" i="9" a="1"/>
  <c r="AS85" i="9" s="1"/>
  <c r="AR78" i="9" a="1"/>
  <c r="AR78" i="9" s="1"/>
  <c r="AR86" i="9" a="1"/>
  <c r="AR86" i="9" s="1"/>
  <c r="AQ79" i="9" a="1"/>
  <c r="AQ79" i="9" s="1"/>
  <c r="AI87" i="9" a="1"/>
  <c r="AI87" i="9" s="1"/>
  <c r="AP88" i="9" a="1"/>
  <c r="AP88" i="9" s="1"/>
  <c r="N37" i="9"/>
  <c r="BY840" i="9"/>
  <c r="BZ840" i="9" s="1"/>
  <c r="BY832" i="9"/>
  <c r="BZ832" i="9" s="1"/>
  <c r="BY827" i="9"/>
  <c r="BZ827" i="9" s="1"/>
  <c r="BY811" i="9"/>
  <c r="BZ811" i="9" s="1"/>
  <c r="BY807" i="9"/>
  <c r="BZ807" i="9" s="1"/>
  <c r="BY802" i="9"/>
  <c r="BZ802" i="9" s="1"/>
  <c r="BY785" i="9"/>
  <c r="BZ785" i="9" s="1"/>
  <c r="BY781" i="9"/>
  <c r="BY777" i="9"/>
  <c r="BY773" i="9"/>
  <c r="BZ773" i="9" s="1"/>
  <c r="BY769" i="9"/>
  <c r="BY765" i="9"/>
  <c r="G198" i="9"/>
  <c r="L859" i="9"/>
  <c r="BI94" i="9" a="1"/>
  <c r="BI94" i="9" s="1"/>
  <c r="BH93" i="9" a="1"/>
  <c r="BH93" i="9" s="1"/>
  <c r="BL91" i="9" a="1"/>
  <c r="BL91" i="9" s="1"/>
  <c r="BJ85" i="9" a="1"/>
  <c r="BJ85" i="9" s="1"/>
  <c r="BD83" i="9" a="1"/>
  <c r="BD83" i="9" s="1"/>
  <c r="BK82" i="9" a="1"/>
  <c r="BK82" i="9" s="1"/>
  <c r="AU82" i="9" a="1"/>
  <c r="AU82" i="9" s="1"/>
  <c r="BH79" i="9" a="1"/>
  <c r="BH79" i="9" s="1"/>
  <c r="AY859" i="9"/>
  <c r="BP859" i="9"/>
  <c r="BY847" i="9"/>
  <c r="BZ847" i="9" s="1"/>
  <c r="BY835" i="9"/>
  <c r="BZ835" i="9" s="1"/>
  <c r="BY823" i="9"/>
  <c r="BZ823" i="9" s="1"/>
  <c r="BY818" i="9"/>
  <c r="BZ818" i="9" s="1"/>
  <c r="BY815" i="9"/>
  <c r="BZ815" i="9" s="1"/>
  <c r="BY798" i="9"/>
  <c r="BZ798" i="9" s="1"/>
  <c r="BY793" i="9"/>
  <c r="BZ793" i="9" s="1"/>
  <c r="U1080" i="6"/>
  <c r="U1495" i="6"/>
  <c r="L1324" i="6"/>
  <c r="U1503" i="6"/>
  <c r="L1332" i="6"/>
  <c r="U1029" i="6"/>
  <c r="U1046" i="6"/>
  <c r="U1054" i="6"/>
  <c r="U1062" i="6"/>
  <c r="U1072" i="6"/>
  <c r="U1103" i="6"/>
  <c r="U1111" i="6"/>
  <c r="U1119" i="6"/>
  <c r="U1127" i="6"/>
  <c r="U1135" i="6"/>
  <c r="U1154" i="6"/>
  <c r="U1162" i="6"/>
  <c r="L1326" i="6"/>
  <c r="U1039" i="6"/>
  <c r="U1104" i="6"/>
  <c r="U1112" i="6"/>
  <c r="U1120" i="6"/>
  <c r="U1128" i="6"/>
  <c r="U1136" i="6"/>
  <c r="U1141" i="6"/>
  <c r="U1144" i="6"/>
  <c r="U1004" i="6"/>
  <c r="U1030" i="6"/>
  <c r="U1040" i="6"/>
  <c r="U1099" i="6"/>
  <c r="U1147" i="6"/>
  <c r="U1226" i="6"/>
  <c r="U994" i="6"/>
  <c r="U1016" i="6"/>
  <c r="U1023" i="6"/>
  <c r="U1036" i="6"/>
  <c r="U1097" i="6"/>
  <c r="U1152" i="6"/>
  <c r="U1292" i="6"/>
  <c r="U1160" i="6"/>
  <c r="K707" i="11"/>
  <c r="U995" i="6"/>
  <c r="U1000" i="6"/>
  <c r="U1024" i="6"/>
  <c r="U1308" i="6"/>
  <c r="M707" i="11"/>
  <c r="U1038" i="6"/>
  <c r="U1045" i="6"/>
  <c r="U1053" i="6"/>
  <c r="U1061" i="6"/>
  <c r="U1068" i="6"/>
  <c r="U1071" i="6"/>
  <c r="U1079" i="6"/>
  <c r="U1095" i="6"/>
  <c r="U1130" i="6"/>
  <c r="U1138" i="6"/>
  <c r="U1161" i="6"/>
  <c r="N1349" i="6"/>
  <c r="U1287" i="6"/>
  <c r="N1353" i="6"/>
  <c r="U1291" i="6"/>
  <c r="N1340" i="6"/>
  <c r="U1278" i="6"/>
  <c r="N1355" i="6"/>
  <c r="U1293" i="6"/>
  <c r="N1325" i="6"/>
  <c r="U1263" i="6"/>
  <c r="U1133" i="6"/>
  <c r="U1074" i="6"/>
  <c r="U1123" i="6"/>
  <c r="L707" i="11"/>
  <c r="U1019" i="6"/>
  <c r="U1041" i="6"/>
  <c r="U1070" i="6"/>
  <c r="U1077" i="6"/>
  <c r="U1085" i="6"/>
  <c r="U1088" i="6"/>
  <c r="U1102" i="6"/>
  <c r="U1143" i="6"/>
  <c r="U1150" i="6"/>
  <c r="U1288" i="6"/>
  <c r="U1058" i="6"/>
  <c r="U1091" i="6"/>
  <c r="U1155" i="6"/>
  <c r="U707" i="11"/>
  <c r="U1035" i="6"/>
  <c r="U1042" i="6"/>
  <c r="U1067" i="6"/>
  <c r="U1140" i="6"/>
  <c r="U1157" i="6"/>
  <c r="U1048" i="6"/>
  <c r="U1107" i="6"/>
  <c r="U1163" i="6"/>
  <c r="U1017" i="6"/>
  <c r="U1027" i="6"/>
  <c r="U1117" i="6"/>
  <c r="U1124" i="6"/>
  <c r="U1082" i="6"/>
  <c r="U1032" i="6"/>
  <c r="L1312" i="6"/>
  <c r="U1031" i="6"/>
  <c r="U1043" i="6"/>
  <c r="U1050" i="6"/>
  <c r="U1075" i="6"/>
  <c r="U1100" i="6"/>
  <c r="U1118" i="6"/>
  <c r="U1125" i="6"/>
  <c r="U1158" i="6"/>
  <c r="U1290" i="6"/>
  <c r="U1014" i="6"/>
  <c r="U1065" i="6"/>
  <c r="U1115" i="6"/>
  <c r="U1064" i="6"/>
  <c r="H707" i="11"/>
  <c r="U1076" i="6"/>
  <c r="U1149" i="6"/>
  <c r="U1139" i="6"/>
  <c r="U1233" i="6"/>
  <c r="U1294" i="6"/>
  <c r="U1018" i="6"/>
  <c r="U1025" i="6"/>
  <c r="U1034" i="6"/>
  <c r="U1037" i="6"/>
  <c r="U1087" i="6"/>
  <c r="U1132" i="6"/>
  <c r="L1237" i="6"/>
  <c r="U1237" i="6" s="1"/>
  <c r="U1224" i="6"/>
  <c r="L1244" i="6"/>
  <c r="U1244" i="6" s="1"/>
  <c r="L1327" i="6"/>
  <c r="U1498" i="6"/>
  <c r="U1083" i="6"/>
  <c r="L1323" i="6"/>
  <c r="U1494" i="6"/>
  <c r="U1056" i="6"/>
  <c r="N1346" i="6"/>
  <c r="U1284" i="6"/>
  <c r="N1357" i="6"/>
  <c r="U1295" i="6"/>
  <c r="N1322" i="6"/>
  <c r="U1260" i="6"/>
  <c r="U1500" i="6"/>
  <c r="D773" i="11"/>
  <c r="N1336" i="6"/>
  <c r="U1336" i="6" s="1"/>
  <c r="U1274" i="6"/>
  <c r="U1131" i="6"/>
  <c r="U1057" i="6"/>
  <c r="N1352" i="6"/>
  <c r="U1275" i="6"/>
  <c r="N1337" i="6"/>
  <c r="U1337" i="6" s="1"/>
  <c r="N1313" i="6"/>
  <c r="U1251" i="6"/>
  <c r="U1514" i="6"/>
  <c r="U1343" i="6"/>
  <c r="U1281" i="6"/>
  <c r="U1232" i="6"/>
  <c r="D636" i="11"/>
  <c r="N1311" i="6"/>
  <c r="U1249" i="6"/>
  <c r="N1314" i="6"/>
  <c r="U1257" i="6"/>
  <c r="N1319" i="6"/>
  <c r="N1333" i="6"/>
  <c r="U1271" i="6"/>
  <c r="U1506" i="6"/>
  <c r="U1273" i="6"/>
  <c r="U1286" i="6"/>
  <c r="U1051" i="6"/>
  <c r="U1126" i="6"/>
  <c r="N1344" i="6"/>
  <c r="U1344" i="6" s="1"/>
  <c r="U1282" i="6"/>
  <c r="N1330" i="6"/>
  <c r="U1268" i="6"/>
  <c r="N1338" i="6"/>
  <c r="U1338" i="6" s="1"/>
  <c r="U1276" i="6"/>
  <c r="U1250" i="6"/>
  <c r="N1312" i="6"/>
  <c r="N1315" i="6"/>
  <c r="U1262" i="6"/>
  <c r="N1324" i="6"/>
  <c r="N1334" i="6"/>
  <c r="U1272" i="6"/>
  <c r="N1317" i="6"/>
  <c r="U1255" i="6"/>
  <c r="U1489" i="6"/>
  <c r="L1318" i="6"/>
  <c r="N1341" i="6"/>
  <c r="U1341" i="6" s="1"/>
  <c r="U1279" i="6"/>
  <c r="U1254" i="6"/>
  <c r="N1316" i="6"/>
  <c r="N1342" i="6"/>
  <c r="U1280" i="6"/>
  <c r="U1049" i="6"/>
  <c r="U1059" i="6"/>
  <c r="U1110" i="6"/>
  <c r="U1134" i="6"/>
  <c r="U1283" i="6"/>
  <c r="N1345" i="6"/>
  <c r="U1345" i="6" s="1"/>
  <c r="N1321" i="6"/>
  <c r="U1259" i="6"/>
  <c r="U1277" i="6"/>
  <c r="N1339" i="6"/>
  <c r="U1339" i="6" s="1"/>
  <c r="BY810" i="9"/>
  <c r="BZ810" i="9" s="1"/>
  <c r="AW860" i="9"/>
  <c r="AN70" i="14" s="1"/>
  <c r="AN48" i="14" s="1"/>
  <c r="AI80" i="9" a="1"/>
  <c r="AI80" i="9" s="1"/>
  <c r="F96" i="9"/>
  <c r="AK86" i="9" a="1"/>
  <c r="AK86" i="9" s="1"/>
  <c r="AR87" i="9" a="1"/>
  <c r="AR87" i="9" s="1"/>
  <c r="AI88" i="9" a="1"/>
  <c r="AI88" i="9" s="1"/>
  <c r="O44" i="9"/>
  <c r="AZ852" i="9"/>
  <c r="F191" i="9"/>
  <c r="G187" i="9"/>
  <c r="AL93" i="9" a="1"/>
  <c r="AL93" i="9" s="1"/>
  <c r="AS86" i="9" a="1"/>
  <c r="AS86" i="9" s="1"/>
  <c r="AR95" i="9" a="1"/>
  <c r="AR95" i="9" s="1"/>
  <c r="S30" i="9"/>
  <c r="AU96" i="9" a="1"/>
  <c r="AU96" i="9" s="1"/>
  <c r="AU202" i="9" s="1"/>
  <c r="BD860" i="9"/>
  <c r="AU70" i="14" s="1"/>
  <c r="AU48" i="14" s="1"/>
  <c r="AK78" i="9" a="1"/>
  <c r="AK78" i="9" s="1"/>
  <c r="F199" i="9"/>
  <c r="G81" i="9"/>
  <c r="AM92" i="9" a="1"/>
  <c r="AM92" i="9" s="1"/>
  <c r="AQ88" i="9" a="1"/>
  <c r="AQ88" i="9" s="1"/>
  <c r="W28" i="9"/>
  <c r="AX33" i="8"/>
  <c r="AV95" i="9" a="1"/>
  <c r="AV95" i="9" s="1"/>
  <c r="BJ92" i="9" a="1"/>
  <c r="BJ92" i="9" s="1"/>
  <c r="AU88" i="9" a="1"/>
  <c r="AU88" i="9" s="1"/>
  <c r="AW86" i="9" a="1"/>
  <c r="AW86" i="9" s="1"/>
  <c r="AV79" i="9" a="1"/>
  <c r="AV79" i="9" s="1"/>
  <c r="BK852" i="9"/>
  <c r="BE860" i="9"/>
  <c r="AV70" i="14" s="1"/>
  <c r="AV48" i="14" s="1"/>
  <c r="BH91" i="9" a="1"/>
  <c r="BH91" i="9" s="1"/>
  <c r="BJ89" i="9" a="1"/>
  <c r="BJ89" i="9" s="1"/>
  <c r="BG84" i="9" a="1"/>
  <c r="BG84" i="9" s="1"/>
  <c r="BP83" i="9" a="1"/>
  <c r="BP83" i="9" s="1"/>
  <c r="AZ83" i="9" a="1"/>
  <c r="AZ83" i="9" s="1"/>
  <c r="BR81" i="9" a="1"/>
  <c r="BR81" i="9" s="1"/>
  <c r="BR187" i="9" s="1"/>
  <c r="BK80" i="9" a="1"/>
  <c r="BK80" i="9" s="1"/>
  <c r="AW78" i="9" a="1"/>
  <c r="AW78" i="9" s="1"/>
  <c r="BH860" i="9"/>
  <c r="AY70" i="14" s="1"/>
  <c r="AY48" i="14" s="1"/>
  <c r="AN39" i="9"/>
  <c r="AP35" i="9"/>
  <c r="AN81" i="9" a="1"/>
  <c r="AN81" i="9" s="1"/>
  <c r="AN187" i="9" s="1"/>
  <c r="AM30" i="9"/>
  <c r="AI96" i="9" a="1"/>
  <c r="AI96" i="9" s="1"/>
  <c r="AI202" i="9" s="1"/>
  <c r="BK96" i="9" a="1"/>
  <c r="BK96" i="9" s="1"/>
  <c r="BK202" i="9" s="1"/>
  <c r="BN93" i="9" a="1"/>
  <c r="BN93" i="9" s="1"/>
  <c r="AX93" i="9" a="1"/>
  <c r="AX93" i="9" s="1"/>
  <c r="BK88" i="9" a="1"/>
  <c r="BK88" i="9" s="1"/>
  <c r="BL79" i="9" a="1"/>
  <c r="BL79" i="9" s="1"/>
  <c r="BL860" i="9"/>
  <c r="BC70" i="14" s="1"/>
  <c r="BC48" i="14" s="1"/>
  <c r="AR33" i="9"/>
  <c r="AK94" i="9" a="1"/>
  <c r="AK94" i="9" s="1"/>
  <c r="AK200" i="9" s="1"/>
  <c r="AP81" i="9" a="1"/>
  <c r="AP81" i="9" s="1"/>
  <c r="BM860" i="9"/>
  <c r="BD70" i="14" s="1"/>
  <c r="BD48" i="14" s="1"/>
  <c r="AI34" i="9"/>
  <c r="AS94" i="9" a="1"/>
  <c r="AS94" i="9" s="1"/>
  <c r="U26" i="9"/>
  <c r="BE95" i="9" a="1"/>
  <c r="BE95" i="9" s="1"/>
  <c r="AY92" i="9" a="1"/>
  <c r="AY92" i="9" s="1"/>
  <c r="BC80" i="9" a="1"/>
  <c r="BC80" i="9" s="1"/>
  <c r="AV860" i="9"/>
  <c r="AM70" i="14" s="1"/>
  <c r="AM48" i="14" s="1"/>
  <c r="BP860" i="9"/>
  <c r="BG70" i="14" s="1"/>
  <c r="BG48" i="14" s="1"/>
  <c r="AU94" i="9" a="1"/>
  <c r="AU94" i="9" s="1"/>
  <c r="BK78" i="9" a="1"/>
  <c r="BK78" i="9" s="1"/>
  <c r="BQ88" i="9" a="1"/>
  <c r="BQ88" i="9" s="1"/>
  <c r="BC86" i="9" a="1"/>
  <c r="BC86" i="9" s="1"/>
  <c r="BK94" i="9" a="1"/>
  <c r="BK94" i="9" s="1"/>
  <c r="BB79" i="9" a="1"/>
  <c r="BB79" i="9" s="1"/>
  <c r="R36" i="9"/>
  <c r="AT87" i="9" a="1"/>
  <c r="AT87" i="9" s="1"/>
  <c r="AB31" i="9"/>
  <c r="G662" i="11"/>
  <c r="K749" i="9"/>
  <c r="T27" i="9"/>
  <c r="R40" i="9"/>
  <c r="AX32" i="8"/>
  <c r="M7" i="6"/>
  <c r="V860" i="9"/>
  <c r="AD852" i="9"/>
  <c r="AD860" i="9"/>
  <c r="F619" i="9"/>
  <c r="D475" i="8" s="1"/>
  <c r="G94" i="9"/>
  <c r="G200" i="9"/>
  <c r="F547" i="9"/>
  <c r="G91" i="9"/>
  <c r="G197" i="9"/>
  <c r="F451" i="9"/>
  <c r="F453" i="9" s="1"/>
  <c r="G87" i="9"/>
  <c r="G193" i="9"/>
  <c r="F80" i="9"/>
  <c r="F186" i="9"/>
  <c r="N26" i="9"/>
  <c r="V26" i="9"/>
  <c r="L27" i="9"/>
  <c r="AB27" i="9"/>
  <c r="R28" i="9"/>
  <c r="Z28" i="9"/>
  <c r="P29" i="9"/>
  <c r="X29" i="9"/>
  <c r="N30" i="9"/>
  <c r="V30" i="9"/>
  <c r="L31" i="9"/>
  <c r="T31" i="9"/>
  <c r="R32" i="9"/>
  <c r="Z32" i="9"/>
  <c r="P33" i="9"/>
  <c r="X33" i="9"/>
  <c r="N34" i="9"/>
  <c r="V34" i="9"/>
  <c r="L35" i="9"/>
  <c r="T35" i="9"/>
  <c r="AB35" i="9"/>
  <c r="Z36" i="9"/>
  <c r="P37" i="9"/>
  <c r="X37" i="9"/>
  <c r="N38" i="9"/>
  <c r="V38" i="9"/>
  <c r="L39" i="9"/>
  <c r="T39" i="9"/>
  <c r="AB39" i="9"/>
  <c r="Z40" i="9"/>
  <c r="P41" i="9"/>
  <c r="X41" i="9"/>
  <c r="N42" i="9"/>
  <c r="V42" i="9"/>
  <c r="T43" i="9"/>
  <c r="AB43" i="9"/>
  <c r="R44" i="9"/>
  <c r="Z44" i="9"/>
  <c r="AF44" i="9"/>
  <c r="AO43" i="9"/>
  <c r="AO95" i="9" a="1"/>
  <c r="AO95" i="9" s="1"/>
  <c r="AG43" i="9"/>
  <c r="AP42" i="9"/>
  <c r="AP94" i="9" a="1"/>
  <c r="AP94" i="9" s="1"/>
  <c r="AP200" i="9" s="1"/>
  <c r="AH42" i="9"/>
  <c r="AR40" i="9"/>
  <c r="AR92" i="9" a="1"/>
  <c r="AR92" i="9" s="1"/>
  <c r="AJ40" i="9"/>
  <c r="AJ92" i="9" a="1"/>
  <c r="AJ92" i="9" s="1"/>
  <c r="AS39" i="9"/>
  <c r="AS91" i="9" a="1"/>
  <c r="AS91" i="9" s="1"/>
  <c r="AS197" i="9" s="1"/>
  <c r="AK39" i="9"/>
  <c r="AK91" i="9" a="1"/>
  <c r="AK91" i="9" s="1"/>
  <c r="AD38" i="9"/>
  <c r="AE37" i="9"/>
  <c r="AN36" i="9"/>
  <c r="AN88" i="9" a="1"/>
  <c r="AN88" i="9" s="1"/>
  <c r="AF36" i="9"/>
  <c r="AO35" i="9"/>
  <c r="AO87" i="9" a="1"/>
  <c r="AO87" i="9" s="1"/>
  <c r="AG35" i="9"/>
  <c r="AP86" i="9" a="1"/>
  <c r="AP86" i="9" s="1"/>
  <c r="AP34" i="9"/>
  <c r="AH34" i="9"/>
  <c r="AQ85" i="9" a="1"/>
  <c r="AQ85" i="9" s="1"/>
  <c r="AQ33" i="9"/>
  <c r="AR32" i="9"/>
  <c r="AR84" i="9" a="1"/>
  <c r="AR84" i="9" s="1"/>
  <c r="AS31" i="9"/>
  <c r="AS83" i="9" a="1"/>
  <c r="AS83" i="9" s="1"/>
  <c r="AK31" i="9"/>
  <c r="AK83" i="9" a="1"/>
  <c r="AK83" i="9" s="1"/>
  <c r="AC31" i="9"/>
  <c r="AL30" i="9"/>
  <c r="AL82" i="9" a="1"/>
  <c r="AL82" i="9" s="1"/>
  <c r="AD30" i="9"/>
  <c r="AM29" i="9"/>
  <c r="AM81" i="9" a="1"/>
  <c r="AM81" i="9" s="1"/>
  <c r="AM187" i="9" s="1"/>
  <c r="AE29" i="9"/>
  <c r="AN28" i="9"/>
  <c r="AN80" i="9" a="1"/>
  <c r="AN80" i="9" s="1"/>
  <c r="AF28" i="9"/>
  <c r="AO27" i="9"/>
  <c r="AO79" i="9" a="1"/>
  <c r="AO79" i="9" s="1"/>
  <c r="AG27" i="9"/>
  <c r="AP26" i="9"/>
  <c r="AP78" i="9" a="1"/>
  <c r="AP78" i="9" s="1"/>
  <c r="BQ44" i="9"/>
  <c r="BQ96" i="9" a="1"/>
  <c r="BQ96" i="9" s="1"/>
  <c r="BQ202" i="9" s="1"/>
  <c r="BI44" i="9"/>
  <c r="BI96" i="9" a="1"/>
  <c r="BI96" i="9" s="1"/>
  <c r="BI202" i="9" s="1"/>
  <c r="BA44" i="9"/>
  <c r="BA96" i="9" a="1"/>
  <c r="BA96" i="9" s="1"/>
  <c r="BA202" i="9" s="1"/>
  <c r="BR43" i="9"/>
  <c r="BR95" i="9" a="1"/>
  <c r="BR95" i="9" s="1"/>
  <c r="BJ43" i="9"/>
  <c r="BJ95" i="9" a="1"/>
  <c r="BJ95" i="9" s="1"/>
  <c r="AT43" i="9"/>
  <c r="AT95" i="9" a="1"/>
  <c r="AT95" i="9" s="1"/>
  <c r="BC42" i="9"/>
  <c r="BC94" i="9" a="1"/>
  <c r="BC94" i="9" s="1"/>
  <c r="BL41" i="9"/>
  <c r="BL93" i="9" a="1"/>
  <c r="BL93" i="9" s="1"/>
  <c r="BD41" i="9"/>
  <c r="BD93" i="9" a="1"/>
  <c r="BD93" i="9" s="1"/>
  <c r="AV41" i="9"/>
  <c r="AV93" i="9" a="1"/>
  <c r="AV93" i="9" s="1"/>
  <c r="BM40" i="9"/>
  <c r="BM92" i="9" a="1"/>
  <c r="BM92" i="9" s="1"/>
  <c r="BE40" i="9"/>
  <c r="BE92" i="9" a="1"/>
  <c r="BE92" i="9" s="1"/>
  <c r="AW40" i="9"/>
  <c r="AW92" i="9" a="1"/>
  <c r="AW92" i="9" s="1"/>
  <c r="BN39" i="9"/>
  <c r="BN91" i="9" a="1"/>
  <c r="BN91" i="9" s="1"/>
  <c r="BN197" i="9" s="1"/>
  <c r="BF39" i="9"/>
  <c r="BF91" i="9" a="1"/>
  <c r="BF91" i="9" s="1"/>
  <c r="AX39" i="9"/>
  <c r="AX91" i="9" a="1"/>
  <c r="AX91" i="9" s="1"/>
  <c r="AX197" i="9" s="1"/>
  <c r="BO38" i="9"/>
  <c r="BO90" i="9" a="1"/>
  <c r="BO90" i="9" s="1"/>
  <c r="BG38" i="9"/>
  <c r="BG90" i="9" a="1"/>
  <c r="BG90" i="9" s="1"/>
  <c r="AY38" i="9"/>
  <c r="AY90" i="9" a="1"/>
  <c r="AY90" i="9" s="1"/>
  <c r="BP37" i="9"/>
  <c r="BP89" i="9" a="1"/>
  <c r="BP89" i="9" s="1"/>
  <c r="BH37" i="9"/>
  <c r="BH89" i="9" a="1"/>
  <c r="BH89" i="9" s="1"/>
  <c r="AZ37" i="9"/>
  <c r="AZ89" i="9" a="1"/>
  <c r="AZ89" i="9" s="1"/>
  <c r="BI36" i="9"/>
  <c r="BI88" i="9" a="1"/>
  <c r="BI88" i="9" s="1"/>
  <c r="BR35" i="9"/>
  <c r="BR87" i="9" a="1"/>
  <c r="BR87" i="9" s="1"/>
  <c r="BB35" i="9"/>
  <c r="BB87" i="9" a="1"/>
  <c r="BB87" i="9" s="1"/>
  <c r="BK34" i="9"/>
  <c r="BK86" i="9" a="1"/>
  <c r="BK86" i="9" s="1"/>
  <c r="AU34" i="9"/>
  <c r="AU86" i="9" a="1"/>
  <c r="AU86" i="9" s="1"/>
  <c r="BD33" i="9"/>
  <c r="BD85" i="9" a="1"/>
  <c r="BD85" i="9" s="1"/>
  <c r="BM32" i="9"/>
  <c r="BM84" i="9" a="1"/>
  <c r="BM84" i="9" s="1"/>
  <c r="BE32" i="9"/>
  <c r="BE84" i="9" a="1"/>
  <c r="BE84" i="9" s="1"/>
  <c r="AW32" i="9"/>
  <c r="AW84" i="9" a="1"/>
  <c r="AW84" i="9" s="1"/>
  <c r="BN31" i="9"/>
  <c r="BN83" i="9" a="1"/>
  <c r="BN83" i="9" s="1"/>
  <c r="BF31" i="9"/>
  <c r="BF83" i="9" a="1"/>
  <c r="BF83" i="9" s="1"/>
  <c r="AX31" i="9"/>
  <c r="AX83" i="9" a="1"/>
  <c r="AX83" i="9" s="1"/>
  <c r="BO30" i="9"/>
  <c r="BO82" i="9" a="1"/>
  <c r="BO82" i="9" s="1"/>
  <c r="BG30" i="9"/>
  <c r="BG82" i="9" a="1"/>
  <c r="BG82" i="9" s="1"/>
  <c r="AY30" i="9"/>
  <c r="AY82" i="9" a="1"/>
  <c r="AY82" i="9" s="1"/>
  <c r="BP29" i="9"/>
  <c r="BP81" i="9" a="1"/>
  <c r="BP81" i="9" s="1"/>
  <c r="BH29" i="9"/>
  <c r="BH81" i="9" a="1"/>
  <c r="BH81" i="9" s="1"/>
  <c r="BH187" i="9" s="1"/>
  <c r="AZ29" i="9"/>
  <c r="AZ81" i="9" a="1"/>
  <c r="AZ81" i="9" s="1"/>
  <c r="BQ28" i="9"/>
  <c r="BQ80" i="9" a="1"/>
  <c r="BQ80" i="9" s="1"/>
  <c r="BI28" i="9"/>
  <c r="BI80" i="9" a="1"/>
  <c r="BI80" i="9" s="1"/>
  <c r="BA28" i="9"/>
  <c r="BA80" i="9" a="1"/>
  <c r="BA80" i="9" s="1"/>
  <c r="BR27" i="9"/>
  <c r="BR79" i="9" a="1"/>
  <c r="BR79" i="9" s="1"/>
  <c r="BJ27" i="9"/>
  <c r="BJ79" i="9" a="1"/>
  <c r="BJ79" i="9" s="1"/>
  <c r="AT27" i="9"/>
  <c r="AT79" i="9" a="1"/>
  <c r="AT79" i="9" s="1"/>
  <c r="BC26" i="9"/>
  <c r="BC78" i="9" a="1"/>
  <c r="BC78" i="9" s="1"/>
  <c r="AU26" i="9"/>
  <c r="AU78" i="9" a="1"/>
  <c r="AU78" i="9" s="1"/>
  <c r="AN71" i="9"/>
  <c r="AX852" i="9"/>
  <c r="AX860" i="9"/>
  <c r="AO70" i="14" s="1"/>
  <c r="AO48" i="14" s="1"/>
  <c r="BF852" i="9"/>
  <c r="BF860" i="9"/>
  <c r="AW70" i="14" s="1"/>
  <c r="AW48" i="14" s="1"/>
  <c r="BN852" i="9"/>
  <c r="BN860" i="9"/>
  <c r="BE70" i="14" s="1"/>
  <c r="BE48" i="14" s="1"/>
  <c r="BC96" i="9" a="1"/>
  <c r="BC96" i="9" s="1"/>
  <c r="BC202" i="9" s="1"/>
  <c r="BL95" i="9" a="1"/>
  <c r="BL95" i="9" s="1"/>
  <c r="BR92" i="9" a="1"/>
  <c r="BR92" i="9" s="1"/>
  <c r="BG92" i="9" a="1"/>
  <c r="BG92" i="9" s="1"/>
  <c r="BP91" i="9" a="1"/>
  <c r="BP91" i="9" s="1"/>
  <c r="BP197" i="9" s="1"/>
  <c r="AZ91" i="9" a="1"/>
  <c r="AZ91" i="9" s="1"/>
  <c r="BI90" i="9" a="1"/>
  <c r="BI90" i="9" s="1"/>
  <c r="BA93" i="9" a="1"/>
  <c r="BA93" i="9" s="1"/>
  <c r="BO92" i="9" a="1"/>
  <c r="BO92" i="9" s="1"/>
  <c r="BH26" i="9"/>
  <c r="AY33" i="9"/>
  <c r="AW85" i="8"/>
  <c r="BD95" i="9" a="1"/>
  <c r="BD95" i="9" s="1"/>
  <c r="BM94" i="9" a="1"/>
  <c r="BM94" i="9" s="1"/>
  <c r="AW94" i="9" a="1"/>
  <c r="AW94" i="9" s="1"/>
  <c r="AT89" i="9" a="1"/>
  <c r="AT89" i="9" s="1"/>
  <c r="BC88" i="9" a="1"/>
  <c r="BC88" i="9" s="1"/>
  <c r="BL87" i="9" a="1"/>
  <c r="BL87" i="9" s="1"/>
  <c r="AV87" i="9" a="1"/>
  <c r="AV87" i="9" s="1"/>
  <c r="BE86" i="9" a="1"/>
  <c r="BE86" i="9" s="1"/>
  <c r="BN85" i="9" a="1"/>
  <c r="BN85" i="9" s="1"/>
  <c r="AX85" i="9" a="1"/>
  <c r="AX85" i="9" s="1"/>
  <c r="BI82" i="9" a="1"/>
  <c r="BI82" i="9" s="1"/>
  <c r="BD79" i="9" a="1"/>
  <c r="BD79" i="9" s="1"/>
  <c r="BM78" i="9" a="1"/>
  <c r="BM78" i="9" s="1"/>
  <c r="AW749" i="9"/>
  <c r="AW859" i="9"/>
  <c r="BE749" i="9"/>
  <c r="BE859" i="9"/>
  <c r="AZ859" i="9"/>
  <c r="AY860" i="9"/>
  <c r="AP70" i="14" s="1"/>
  <c r="AP48" i="14" s="1"/>
  <c r="BG860" i="9"/>
  <c r="AX70" i="14" s="1"/>
  <c r="AX48" i="14" s="1"/>
  <c r="BO860" i="9"/>
  <c r="BF70" i="14" s="1"/>
  <c r="BF48" i="14" s="1"/>
  <c r="BA860" i="9"/>
  <c r="AR70" i="14" s="1"/>
  <c r="AR48" i="14" s="1"/>
  <c r="BI860" i="9"/>
  <c r="AZ70" i="14" s="1"/>
  <c r="AZ48" i="14" s="1"/>
  <c r="BQ860" i="9"/>
  <c r="BH70" i="14" s="1"/>
  <c r="BH48" i="14" s="1"/>
  <c r="AU852" i="9"/>
  <c r="AT860" i="9"/>
  <c r="AK70" i="14" s="1"/>
  <c r="AK48" i="14" s="1"/>
  <c r="BB860" i="9"/>
  <c r="AS70" i="14" s="1"/>
  <c r="AS48" i="14" s="1"/>
  <c r="BJ860" i="9"/>
  <c r="BA70" i="14" s="1"/>
  <c r="BA48" i="14" s="1"/>
  <c r="BR860" i="9"/>
  <c r="BI70" i="14" s="1"/>
  <c r="BI48" i="14" s="1"/>
  <c r="BH859" i="9"/>
  <c r="AU749" i="9"/>
  <c r="BC749" i="9"/>
  <c r="BK749" i="9"/>
  <c r="AV749" i="9"/>
  <c r="BD749" i="9"/>
  <c r="BL749" i="9"/>
  <c r="AT859" i="9"/>
  <c r="BB859" i="9"/>
  <c r="BJ859" i="9"/>
  <c r="BR859" i="9"/>
  <c r="M43" i="9"/>
  <c r="U39" i="9"/>
  <c r="O34" i="9"/>
  <c r="BO27" i="9"/>
  <c r="AW29" i="9"/>
  <c r="BD30" i="9"/>
  <c r="BK31" i="9"/>
  <c r="BA33" i="9"/>
  <c r="AN79" i="9" a="1"/>
  <c r="AN79" i="9" s="1"/>
  <c r="AN185" i="9" s="1"/>
  <c r="AM88" i="9" a="1"/>
  <c r="AM88" i="9" s="1"/>
  <c r="M39" i="9"/>
  <c r="Y33" i="9"/>
  <c r="O30" i="9"/>
  <c r="AG860" i="9"/>
  <c r="I851" i="9"/>
  <c r="AN859" i="9"/>
  <c r="BP26" i="9"/>
  <c r="BI33" i="9"/>
  <c r="Y852" i="9"/>
  <c r="AN27" i="9"/>
  <c r="Q33" i="9"/>
  <c r="AC30" i="9"/>
  <c r="AJ91" i="9" a="1"/>
  <c r="AJ91" i="9" s="1"/>
  <c r="AI84" i="9" a="1"/>
  <c r="AI84" i="9" s="1"/>
  <c r="AF859" i="9"/>
  <c r="AX28" i="9"/>
  <c r="BL30" i="9"/>
  <c r="AT32" i="9"/>
  <c r="BQ33" i="9"/>
  <c r="F197" i="9"/>
  <c r="AO852" i="9"/>
  <c r="Y37" i="9"/>
  <c r="AA32" i="9"/>
  <c r="AK82" i="9" a="1"/>
  <c r="AK82" i="9" s="1"/>
  <c r="AJ83" i="9" a="1"/>
  <c r="AJ83" i="9" s="1"/>
  <c r="BC95" i="9" a="1"/>
  <c r="BC95" i="9" s="1"/>
  <c r="BN84" i="9" a="1"/>
  <c r="BN84" i="9" s="1"/>
  <c r="BQ25" i="9"/>
  <c r="AW27" i="9"/>
  <c r="AZ34" i="9"/>
  <c r="AS82" i="9" a="1"/>
  <c r="AS82" i="9" s="1"/>
  <c r="AK38" i="9"/>
  <c r="AR91" i="9" a="1"/>
  <c r="AR91" i="9" s="1"/>
  <c r="AQ84" i="9" a="1"/>
  <c r="AQ84" i="9" s="1"/>
  <c r="AO42" i="9"/>
  <c r="X859" i="9"/>
  <c r="BB88" i="9" a="1"/>
  <c r="BB88" i="9" s="1"/>
  <c r="AY27" i="9"/>
  <c r="BF28" i="9"/>
  <c r="BM29" i="9"/>
  <c r="AU31" i="9"/>
  <c r="BB32" i="9"/>
  <c r="BM35" i="9"/>
  <c r="AN87" i="9" a="1"/>
  <c r="AN87" i="9" s="1"/>
  <c r="AM96" i="9" a="1"/>
  <c r="AM96" i="9" s="1"/>
  <c r="AD37" i="9"/>
  <c r="S36" i="9"/>
  <c r="AS38" i="9"/>
  <c r="AR83" i="9" a="1"/>
  <c r="AR83" i="9" s="1"/>
  <c r="AI92" i="9" a="1"/>
  <c r="AI92" i="9" s="1"/>
  <c r="AH41" i="9"/>
  <c r="P859" i="9"/>
  <c r="BK87" i="9" a="1"/>
  <c r="BK87" i="9" s="1"/>
  <c r="AZ82" i="9" a="1"/>
  <c r="AZ82" i="9" s="1"/>
  <c r="AZ26" i="9"/>
  <c r="BJ32" i="9"/>
  <c r="AV36" i="9"/>
  <c r="G185" i="9"/>
  <c r="BG27" i="9"/>
  <c r="BN28" i="9"/>
  <c r="AV30" i="9"/>
  <c r="BC31" i="9"/>
  <c r="BR32" i="9"/>
  <c r="BP40" i="9"/>
  <c r="U30" i="9"/>
  <c r="AW32" i="8"/>
  <c r="L7" i="6"/>
  <c r="F201" i="9"/>
  <c r="F95" i="9"/>
  <c r="F92" i="9"/>
  <c r="F198" i="9"/>
  <c r="F84" i="9"/>
  <c r="F190" i="9"/>
  <c r="M26" i="9"/>
  <c r="S27" i="9"/>
  <c r="Q28" i="9"/>
  <c r="Y28" i="9"/>
  <c r="Y71" i="9"/>
  <c r="O29" i="9"/>
  <c r="M30" i="9"/>
  <c r="K31" i="9"/>
  <c r="S31" i="9"/>
  <c r="AA31" i="9"/>
  <c r="Q32" i="9"/>
  <c r="Y32" i="9"/>
  <c r="O33" i="9"/>
  <c r="W33" i="9"/>
  <c r="M34" i="9"/>
  <c r="K35" i="9"/>
  <c r="S35" i="9"/>
  <c r="AA35" i="9"/>
  <c r="Q36" i="9"/>
  <c r="Y36" i="9"/>
  <c r="O37" i="9"/>
  <c r="W37" i="9"/>
  <c r="M38" i="9"/>
  <c r="AA39" i="9"/>
  <c r="Q40" i="9"/>
  <c r="K43" i="9"/>
  <c r="AA43" i="9"/>
  <c r="Q44" i="9"/>
  <c r="AO96" i="9" a="1"/>
  <c r="AO96" i="9" s="1"/>
  <c r="AO202" i="9" s="1"/>
  <c r="AO44" i="9"/>
  <c r="AP43" i="9"/>
  <c r="AP95" i="9" a="1"/>
  <c r="AP95" i="9" s="1"/>
  <c r="AQ42" i="9"/>
  <c r="AQ94" i="9" a="1"/>
  <c r="AQ94" i="9" s="1"/>
  <c r="AQ200" i="9" s="1"/>
  <c r="AI42" i="9"/>
  <c r="AI94" i="9" a="1"/>
  <c r="AI94" i="9" s="1"/>
  <c r="AR41" i="9"/>
  <c r="AR93" i="9" a="1"/>
  <c r="AR93" i="9" s="1"/>
  <c r="AJ41" i="9"/>
  <c r="AJ93" i="9" a="1"/>
  <c r="AJ93" i="9" s="1"/>
  <c r="AL39" i="9"/>
  <c r="AL91" i="9" a="1"/>
  <c r="AL91" i="9" s="1"/>
  <c r="AL197" i="9" s="1"/>
  <c r="AD39" i="9"/>
  <c r="AM38" i="9"/>
  <c r="AM90" i="9" a="1"/>
  <c r="AM90" i="9" s="1"/>
  <c r="AN37" i="9"/>
  <c r="AN89" i="9" a="1"/>
  <c r="AN89" i="9" s="1"/>
  <c r="AF37" i="9"/>
  <c r="AO88" i="9" a="1"/>
  <c r="AO88" i="9" s="1"/>
  <c r="AO36" i="9"/>
  <c r="AG36" i="9"/>
  <c r="AQ34" i="9"/>
  <c r="AQ86" i="9" a="1"/>
  <c r="AQ86" i="9" s="1"/>
  <c r="AJ33" i="9"/>
  <c r="AJ85" i="9" a="1"/>
  <c r="AJ85" i="9" s="1"/>
  <c r="AL31" i="9"/>
  <c r="AL71" i="9"/>
  <c r="AL83" i="9" a="1"/>
  <c r="AL83" i="9" s="1"/>
  <c r="AD71" i="9"/>
  <c r="AD31" i="9"/>
  <c r="AE30" i="9"/>
  <c r="AF29" i="9"/>
  <c r="AF71" i="9"/>
  <c r="AO28" i="9"/>
  <c r="AO80" i="9" a="1"/>
  <c r="AO80" i="9" s="1"/>
  <c r="AG28" i="9"/>
  <c r="AP27" i="9"/>
  <c r="AP79" i="9" a="1"/>
  <c r="AP79" i="9" s="1"/>
  <c r="AP185" i="9" s="1"/>
  <c r="AQ26" i="9"/>
  <c r="AQ78" i="9" a="1"/>
  <c r="AQ78" i="9" s="1"/>
  <c r="AI71" i="9"/>
  <c r="AI78" i="9" a="1"/>
  <c r="AI78" i="9" s="1"/>
  <c r="AI26" i="9"/>
  <c r="AR71" i="9"/>
  <c r="AJ71" i="9"/>
  <c r="B9" i="6"/>
  <c r="AW39" i="8"/>
  <c r="AW105" i="8"/>
  <c r="F88" i="9"/>
  <c r="AH43" i="9"/>
  <c r="AC32" i="9"/>
  <c r="L25" i="9"/>
  <c r="AY41" i="9"/>
  <c r="M71" i="9"/>
  <c r="AX109" i="8"/>
  <c r="BD44" i="9"/>
  <c r="BD96" i="9" a="1"/>
  <c r="BD96" i="9" s="1"/>
  <c r="BD202" i="9" s="1"/>
  <c r="AV44" i="9"/>
  <c r="AV96" i="9" a="1"/>
  <c r="AV96" i="9" s="1"/>
  <c r="AW43" i="9"/>
  <c r="AW95" i="9" a="1"/>
  <c r="AW95" i="9" s="1"/>
  <c r="BN42" i="9"/>
  <c r="BN94" i="9" a="1"/>
  <c r="BN94" i="9" s="1"/>
  <c r="BO41" i="9"/>
  <c r="BO93" i="9" a="1"/>
  <c r="BO93" i="9" s="1"/>
  <c r="BG93" i="9" a="1"/>
  <c r="BG93" i="9" s="1"/>
  <c r="BG41" i="9"/>
  <c r="BH40" i="9"/>
  <c r="BH92" i="9" a="1"/>
  <c r="BH92" i="9" s="1"/>
  <c r="AZ40" i="9"/>
  <c r="AZ92" i="9" a="1"/>
  <c r="AZ92" i="9" s="1"/>
  <c r="BA39" i="9"/>
  <c r="BA91" i="9" a="1"/>
  <c r="BA91" i="9" s="1"/>
  <c r="BR38" i="9"/>
  <c r="BR90" i="9" a="1"/>
  <c r="BR90" i="9" s="1"/>
  <c r="AT38" i="9"/>
  <c r="AT90" i="9" a="1"/>
  <c r="AT90" i="9" s="1"/>
  <c r="BK89" i="9" a="1"/>
  <c r="BK89" i="9" s="1"/>
  <c r="BK37" i="9"/>
  <c r="BD88" i="9" a="1"/>
  <c r="BD88" i="9" s="1"/>
  <c r="BD36" i="9"/>
  <c r="BE35" i="9"/>
  <c r="BE87" i="9" a="1"/>
  <c r="BE87" i="9" s="1"/>
  <c r="AW87" i="9" a="1"/>
  <c r="AW87" i="9" s="1"/>
  <c r="AW35" i="9"/>
  <c r="BO85" i="9" a="1"/>
  <c r="BO85" i="9" s="1"/>
  <c r="BO33" i="9"/>
  <c r="BP84" i="9" a="1"/>
  <c r="BP84" i="9" s="1"/>
  <c r="BP32" i="9"/>
  <c r="BH84" i="9" a="1"/>
  <c r="BH84" i="9" s="1"/>
  <c r="BH32" i="9"/>
  <c r="BQ83" i="9" a="1"/>
  <c r="BQ83" i="9" s="1"/>
  <c r="BQ31" i="9"/>
  <c r="BI83" i="9" a="1"/>
  <c r="BI83" i="9" s="1"/>
  <c r="BI31" i="9"/>
  <c r="BA83" i="9" a="1"/>
  <c r="BA83" i="9" s="1"/>
  <c r="BA31" i="9"/>
  <c r="BJ82" i="9" a="1"/>
  <c r="BJ82" i="9" s="1"/>
  <c r="BJ30" i="9"/>
  <c r="AT82" i="9" a="1"/>
  <c r="AT82" i="9" s="1"/>
  <c r="AT30" i="9"/>
  <c r="BC29" i="9"/>
  <c r="BC81" i="9" a="1"/>
  <c r="BC81" i="9" s="1"/>
  <c r="AU81" i="9" a="1"/>
  <c r="AU81" i="9" s="1"/>
  <c r="AU29" i="9"/>
  <c r="BL80" i="9" a="1"/>
  <c r="BL80" i="9" s="1"/>
  <c r="BL28" i="9"/>
  <c r="BD80" i="9" a="1"/>
  <c r="BD80" i="9" s="1"/>
  <c r="BD28" i="9"/>
  <c r="AV80" i="9" a="1"/>
  <c r="AV80" i="9" s="1"/>
  <c r="AV28" i="9"/>
  <c r="BN26" i="9"/>
  <c r="BN78" i="9" a="1"/>
  <c r="BN78" i="9" s="1"/>
  <c r="AX26" i="9"/>
  <c r="AX78" i="9" a="1"/>
  <c r="AX78" i="9" s="1"/>
  <c r="BO25" i="9"/>
  <c r="BO71" i="9"/>
  <c r="BG71" i="9"/>
  <c r="AY71" i="9"/>
  <c r="BG33" i="9"/>
  <c r="AU37" i="9"/>
  <c r="AX42" i="9"/>
  <c r="BB96" i="9" a="1"/>
  <c r="BB96" i="9" s="1"/>
  <c r="BM95" i="9" a="1"/>
  <c r="BM95" i="9" s="1"/>
  <c r="BM93" i="9" a="1"/>
  <c r="BM93" i="9" s="1"/>
  <c r="BL88" i="9" a="1"/>
  <c r="BL88" i="9" s="1"/>
  <c r="BR82" i="9" a="1"/>
  <c r="BR82" i="9" s="1"/>
  <c r="BF42" i="9"/>
  <c r="BL96" i="9" a="1"/>
  <c r="BL96" i="9" s="1"/>
  <c r="BL202" i="9" s="1"/>
  <c r="BR44" i="9"/>
  <c r="BR96" i="9" a="1"/>
  <c r="BR96" i="9" s="1"/>
  <c r="BR202" i="9" s="1"/>
  <c r="AT44" i="9"/>
  <c r="AT96" i="9" a="1"/>
  <c r="AT96" i="9" s="1"/>
  <c r="AT202" i="9" s="1"/>
  <c r="BK43" i="9"/>
  <c r="BK95" i="9" a="1"/>
  <c r="BK95" i="9" s="1"/>
  <c r="BL42" i="9"/>
  <c r="BL94" i="9" a="1"/>
  <c r="BL94" i="9" s="1"/>
  <c r="BD42" i="9"/>
  <c r="BD94" i="9" a="1"/>
  <c r="BD94" i="9" s="1"/>
  <c r="BE41" i="9"/>
  <c r="BE93" i="9" a="1"/>
  <c r="BE93" i="9" s="1"/>
  <c r="AW41" i="9"/>
  <c r="AW93" i="9" a="1"/>
  <c r="AW93" i="9" s="1"/>
  <c r="BN40" i="9"/>
  <c r="BN92" i="9" a="1"/>
  <c r="BN92" i="9" s="1"/>
  <c r="BF40" i="9"/>
  <c r="BF92" i="9" a="1"/>
  <c r="BF92" i="9" s="1"/>
  <c r="AX40" i="9"/>
  <c r="AX92" i="9" a="1"/>
  <c r="AX92" i="9" s="1"/>
  <c r="BO39" i="9"/>
  <c r="BO91" i="9" a="1"/>
  <c r="BO91" i="9" s="1"/>
  <c r="BO197" i="9" s="1"/>
  <c r="BG39" i="9"/>
  <c r="BG91" i="9" a="1"/>
  <c r="BG91" i="9" s="1"/>
  <c r="AY39" i="9"/>
  <c r="AY91" i="9" a="1"/>
  <c r="AY91" i="9" s="1"/>
  <c r="AY197" i="9" s="1"/>
  <c r="BP38" i="9"/>
  <c r="BP90" i="9" a="1"/>
  <c r="BP90" i="9" s="1"/>
  <c r="BH38" i="9"/>
  <c r="BH90" i="9" a="1"/>
  <c r="BH90" i="9" s="1"/>
  <c r="AZ38" i="9"/>
  <c r="AZ90" i="9" a="1"/>
  <c r="AZ90" i="9" s="1"/>
  <c r="BQ37" i="9"/>
  <c r="BQ89" i="9" a="1"/>
  <c r="BQ89" i="9" s="1"/>
  <c r="BI37" i="9"/>
  <c r="BI89" i="9" a="1"/>
  <c r="BI89" i="9" s="1"/>
  <c r="BA37" i="9"/>
  <c r="BA89" i="9" a="1"/>
  <c r="BA89" i="9" s="1"/>
  <c r="BR36" i="9"/>
  <c r="BR88" i="9" a="1"/>
  <c r="BR88" i="9" s="1"/>
  <c r="BJ36" i="9"/>
  <c r="BJ88" i="9" a="1"/>
  <c r="BJ88" i="9" s="1"/>
  <c r="AT36" i="9"/>
  <c r="AT88" i="9" a="1"/>
  <c r="AT88" i="9" s="1"/>
  <c r="BC35" i="9"/>
  <c r="BC87" i="9" a="1"/>
  <c r="BC87" i="9" s="1"/>
  <c r="AU35" i="9"/>
  <c r="AU87" i="9" a="1"/>
  <c r="AU87" i="9" s="1"/>
  <c r="BL34" i="9"/>
  <c r="BL86" i="9" a="1"/>
  <c r="BL86" i="9" s="1"/>
  <c r="BD34" i="9"/>
  <c r="BD86" i="9" a="1"/>
  <c r="BD86" i="9" s="1"/>
  <c r="AV34" i="9"/>
  <c r="AV86" i="9" a="1"/>
  <c r="AV86" i="9" s="1"/>
  <c r="BE33" i="9"/>
  <c r="BE85" i="9" a="1"/>
  <c r="BE85" i="9" s="1"/>
  <c r="BF32" i="9"/>
  <c r="BF84" i="9" a="1"/>
  <c r="BF84" i="9" s="1"/>
  <c r="AX32" i="9"/>
  <c r="AX84" i="9" a="1"/>
  <c r="AX84" i="9" s="1"/>
  <c r="BO31" i="9"/>
  <c r="BO83" i="9" a="1"/>
  <c r="BO83" i="9" s="1"/>
  <c r="BG31" i="9"/>
  <c r="BG83" i="9" a="1"/>
  <c r="BG83" i="9" s="1"/>
  <c r="AY31" i="9"/>
  <c r="AY83" i="9" a="1"/>
  <c r="AY83" i="9" s="1"/>
  <c r="BP30" i="9"/>
  <c r="BP82" i="9" a="1"/>
  <c r="BP82" i="9" s="1"/>
  <c r="BQ29" i="9"/>
  <c r="BQ81" i="9" a="1"/>
  <c r="BQ81" i="9" s="1"/>
  <c r="BI29" i="9"/>
  <c r="BI81" i="9" a="1"/>
  <c r="BI81" i="9" s="1"/>
  <c r="BI187" i="9" s="1"/>
  <c r="BI71" i="9"/>
  <c r="BA29" i="9"/>
  <c r="BA81" i="9" a="1"/>
  <c r="BA81" i="9" s="1"/>
  <c r="BA71" i="9"/>
  <c r="BJ28" i="9"/>
  <c r="BJ80" i="9" a="1"/>
  <c r="BJ80" i="9" s="1"/>
  <c r="BB28" i="9"/>
  <c r="BB80" i="9" a="1"/>
  <c r="BB80" i="9" s="1"/>
  <c r="AT28" i="9"/>
  <c r="AT80" i="9" a="1"/>
  <c r="AT80" i="9" s="1"/>
  <c r="BK27" i="9"/>
  <c r="BK79" i="9" a="1"/>
  <c r="BK79" i="9" s="1"/>
  <c r="BC27" i="9"/>
  <c r="BC79" i="9" a="1"/>
  <c r="BC79" i="9" s="1"/>
  <c r="AU27" i="9"/>
  <c r="AU79" i="9" a="1"/>
  <c r="AU79" i="9" s="1"/>
  <c r="BL26" i="9"/>
  <c r="BL78" i="9" a="1"/>
  <c r="BL78" i="9" s="1"/>
  <c r="BD26" i="9"/>
  <c r="BD78" i="9" a="1"/>
  <c r="BD78" i="9" s="1"/>
  <c r="AV26" i="9"/>
  <c r="AV78" i="9" a="1"/>
  <c r="AV78" i="9" s="1"/>
  <c r="BM25" i="9"/>
  <c r="BM71" i="9"/>
  <c r="BM77" i="9" a="1"/>
  <c r="BM77" i="9" s="1"/>
  <c r="BE71" i="9"/>
  <c r="AW71" i="9"/>
  <c r="AZ32" i="9"/>
  <c r="BB38" i="9"/>
  <c r="P25" i="9"/>
  <c r="BM85" i="9" a="1"/>
  <c r="BM85" i="9" s="1"/>
  <c r="BM27" i="9"/>
  <c r="BJ38" i="9"/>
  <c r="Q71" i="9"/>
  <c r="BJ96" i="9" a="1"/>
  <c r="BJ96" i="9" s="1"/>
  <c r="BJ202" i="9" s="1"/>
  <c r="AV94" i="9" a="1"/>
  <c r="AV94" i="9" s="1"/>
  <c r="BN86" i="9" a="1"/>
  <c r="BN86" i="9" s="1"/>
  <c r="AW85" i="9" a="1"/>
  <c r="AW85" i="9" s="1"/>
  <c r="BR80" i="9" a="1"/>
  <c r="BR80" i="9" s="1"/>
  <c r="BF34" i="9"/>
  <c r="BI39" i="9"/>
  <c r="BE25" i="9"/>
  <c r="AU95" i="9" a="1"/>
  <c r="AU95" i="9" s="1"/>
  <c r="AX86" i="9" a="1"/>
  <c r="AX86" i="9" s="1"/>
  <c r="BF78" i="9" a="1"/>
  <c r="BF78" i="9" s="1"/>
  <c r="BB30" i="9"/>
  <c r="BQ39" i="9"/>
  <c r="BQ71" i="9"/>
  <c r="BF71" i="9"/>
  <c r="AX71" i="9"/>
  <c r="BH34" i="9"/>
  <c r="BO35" i="9"/>
  <c r="AW37" i="9"/>
  <c r="BD38" i="9"/>
  <c r="BK39" i="9"/>
  <c r="AZ42" i="9"/>
  <c r="BG43" i="9"/>
  <c r="BN44" i="9"/>
  <c r="BL71" i="9"/>
  <c r="BD71" i="9"/>
  <c r="AV71" i="9"/>
  <c r="BP34" i="9"/>
  <c r="AX36" i="9"/>
  <c r="BE37" i="9"/>
  <c r="BL38" i="9"/>
  <c r="AT40" i="9"/>
  <c r="BH42" i="9"/>
  <c r="BO43" i="9"/>
  <c r="BK71" i="9"/>
  <c r="BC71" i="9"/>
  <c r="AU71" i="9"/>
  <c r="BR71" i="9"/>
  <c r="BJ71" i="9"/>
  <c r="BB71" i="9"/>
  <c r="AT71" i="9"/>
  <c r="AY35" i="9"/>
  <c r="BF36" i="9"/>
  <c r="BM37" i="9"/>
  <c r="AU39" i="9"/>
  <c r="BB40" i="9"/>
  <c r="BI41" i="9"/>
  <c r="BP42" i="9"/>
  <c r="AX44" i="9"/>
  <c r="BM96" i="9" a="1"/>
  <c r="BM96" i="9" s="1"/>
  <c r="BM202" i="9" s="1"/>
  <c r="BM44" i="9"/>
  <c r="BE96" i="9" a="1"/>
  <c r="BE96" i="9" s="1"/>
  <c r="BE44" i="9"/>
  <c r="AW96" i="9" a="1"/>
  <c r="AW96" i="9" s="1"/>
  <c r="AW44" i="9"/>
  <c r="BN95" i="9" a="1"/>
  <c r="BN95" i="9" s="1"/>
  <c r="BN43" i="9"/>
  <c r="BF95" i="9" a="1"/>
  <c r="BF95" i="9" s="1"/>
  <c r="BF43" i="9"/>
  <c r="AX95" i="9" a="1"/>
  <c r="AX95" i="9" s="1"/>
  <c r="AX43" i="9"/>
  <c r="BO94" i="9" a="1"/>
  <c r="BO94" i="9" s="1"/>
  <c r="BO42" i="9"/>
  <c r="BG94" i="9" a="1"/>
  <c r="BG94" i="9" s="1"/>
  <c r="BG42" i="9"/>
  <c r="AY94" i="9" a="1"/>
  <c r="AY94" i="9" s="1"/>
  <c r="AY42" i="9"/>
  <c r="BP93" i="9" a="1"/>
  <c r="BP93" i="9" s="1"/>
  <c r="BP41" i="9"/>
  <c r="BA92" i="9" a="1"/>
  <c r="BA92" i="9" s="1"/>
  <c r="BA40" i="9"/>
  <c r="BR91" i="9" a="1"/>
  <c r="BR91" i="9" s="1"/>
  <c r="BR197" i="9" s="1"/>
  <c r="BR39" i="9"/>
  <c r="BJ91" i="9" a="1"/>
  <c r="BJ91" i="9" s="1"/>
  <c r="BJ39" i="9"/>
  <c r="BB91" i="9" a="1"/>
  <c r="BB91" i="9" s="1"/>
  <c r="BB197" i="9" s="1"/>
  <c r="BB39" i="9"/>
  <c r="AT91" i="9" a="1"/>
  <c r="AT91" i="9" s="1"/>
  <c r="AT39" i="9"/>
  <c r="BK90" i="9" a="1"/>
  <c r="BK90" i="9" s="1"/>
  <c r="BK38" i="9"/>
  <c r="BC90" i="9" a="1"/>
  <c r="BC90" i="9" s="1"/>
  <c r="BC38" i="9"/>
  <c r="AU90" i="9" a="1"/>
  <c r="AU90" i="9" s="1"/>
  <c r="AU38" i="9"/>
  <c r="BL89" i="9" a="1"/>
  <c r="BL89" i="9" s="1"/>
  <c r="BL37" i="9"/>
  <c r="BD89" i="9" a="1"/>
  <c r="BD89" i="9" s="1"/>
  <c r="BD37" i="9"/>
  <c r="AV89" i="9" a="1"/>
  <c r="AV89" i="9" s="1"/>
  <c r="AV37" i="9"/>
  <c r="BP71" i="9"/>
  <c r="BH71" i="9"/>
  <c r="AZ71" i="9"/>
  <c r="BG35" i="9"/>
  <c r="BN36" i="9"/>
  <c r="AV38" i="9"/>
  <c r="BC39" i="9"/>
  <c r="BQ41" i="9"/>
  <c r="AY43" i="9"/>
  <c r="BF44" i="9"/>
  <c r="BP25" i="9"/>
  <c r="BG26" i="9"/>
  <c r="BO26" i="9"/>
  <c r="AX27" i="9"/>
  <c r="BF27" i="9"/>
  <c r="BN27" i="9"/>
  <c r="AW28" i="9"/>
  <c r="BE28" i="9"/>
  <c r="BM28" i="9"/>
  <c r="AV29" i="9"/>
  <c r="AZ33" i="9"/>
  <c r="BH33" i="9"/>
  <c r="BP33" i="9"/>
  <c r="AY34" i="9"/>
  <c r="BG34" i="9"/>
  <c r="BO34" i="9"/>
  <c r="AX35" i="9"/>
  <c r="BF35" i="9"/>
  <c r="BN35" i="9"/>
  <c r="AW36" i="9"/>
  <c r="BE36" i="9"/>
  <c r="BM36" i="9"/>
  <c r="BN71" i="9"/>
  <c r="AX25" i="9"/>
  <c r="BF25" i="9"/>
  <c r="AY25" i="9"/>
  <c r="BG25" i="9"/>
  <c r="AZ25" i="9"/>
  <c r="BH25" i="9"/>
  <c r="BA25" i="9"/>
  <c r="BI25" i="9"/>
  <c r="AT25" i="9"/>
  <c r="BB25" i="9"/>
  <c r="BJ25" i="9"/>
  <c r="AU25" i="9"/>
  <c r="BC25" i="9"/>
  <c r="BK25" i="9"/>
  <c r="AV25" i="9"/>
  <c r="BD25" i="9"/>
  <c r="BL25" i="9"/>
  <c r="AW25" i="9"/>
  <c r="AP25" i="9"/>
  <c r="N25" i="9"/>
  <c r="AH71" i="9"/>
  <c r="AJ25" i="9"/>
  <c r="AK25" i="9"/>
  <c r="AP71" i="9"/>
  <c r="AR25" i="9"/>
  <c r="AN25" i="9"/>
  <c r="AO25" i="9"/>
  <c r="Q25" i="9"/>
  <c r="AS25" i="9"/>
  <c r="AM25" i="9"/>
  <c r="AL25" i="9"/>
  <c r="S25" i="9"/>
  <c r="F355" i="9"/>
  <c r="G83" i="9"/>
  <c r="G189" i="9"/>
  <c r="F193" i="9"/>
  <c r="F87" i="9"/>
  <c r="F523" i="9"/>
  <c r="G196" i="9"/>
  <c r="G77" i="9"/>
  <c r="G183" i="9"/>
  <c r="G80" i="9"/>
  <c r="F283" i="9"/>
  <c r="G186" i="9"/>
  <c r="AC154" i="6"/>
  <c r="P154" i="6" s="1"/>
  <c r="AC574" i="6"/>
  <c r="P574" i="6" s="1"/>
  <c r="AC8" i="6"/>
  <c r="P8" i="6" s="1"/>
  <c r="AC131" i="6"/>
  <c r="P131" i="6" s="1"/>
  <c r="AC586" i="6"/>
  <c r="P586" i="6" s="1"/>
  <c r="AC113" i="6"/>
  <c r="P113" i="6" s="1"/>
  <c r="AC153" i="6"/>
  <c r="P153" i="6" s="1"/>
  <c r="AC133" i="6"/>
  <c r="P133" i="6" s="1"/>
  <c r="AC173" i="6"/>
  <c r="P173" i="6" s="1"/>
  <c r="AC129" i="6"/>
  <c r="P129" i="6" s="1"/>
  <c r="AC195" i="6"/>
  <c r="P195" i="6" s="1"/>
  <c r="AC140" i="6"/>
  <c r="P140" i="6" s="1"/>
  <c r="AC81" i="6"/>
  <c r="P81" i="6" s="1"/>
  <c r="AC550" i="6"/>
  <c r="P550" i="6" s="1"/>
  <c r="AC382" i="6"/>
  <c r="P382" i="6" s="1"/>
  <c r="AC118" i="6"/>
  <c r="P118" i="6" s="1"/>
  <c r="AC31" i="6"/>
  <c r="P31" i="6" s="1"/>
  <c r="AC152" i="6"/>
  <c r="P152" i="6" s="1"/>
  <c r="AC15" i="6"/>
  <c r="P15" i="6" s="1"/>
  <c r="AC13" i="6"/>
  <c r="P13" i="6" s="1"/>
  <c r="AC570" i="6"/>
  <c r="P570" i="6" s="1"/>
  <c r="AC18" i="6"/>
  <c r="P18" i="6" s="1"/>
  <c r="AC489" i="6"/>
  <c r="P489" i="6" s="1"/>
  <c r="AC509" i="6"/>
  <c r="P509" i="6" s="1"/>
  <c r="AC529" i="6"/>
  <c r="P529" i="6" s="1"/>
  <c r="AW59" i="8"/>
  <c r="AX59" i="8"/>
  <c r="AK88" i="9" a="1"/>
  <c r="AK88" i="9" s="1"/>
  <c r="AW65" i="8"/>
  <c r="AD859" i="9"/>
  <c r="AG38" i="9"/>
  <c r="AX76" i="8"/>
  <c r="W859" i="9"/>
  <c r="AK92" i="9" a="1"/>
  <c r="AK92" i="9" s="1"/>
  <c r="AX85" i="8"/>
  <c r="V71" i="9"/>
  <c r="AS44" i="9"/>
  <c r="AQ81" i="9" a="1"/>
  <c r="AQ81" i="9" s="1"/>
  <c r="AQ187" i="9" s="1"/>
  <c r="AB41" i="9"/>
  <c r="AQ860" i="9"/>
  <c r="AQ852" i="9"/>
  <c r="R26" i="9"/>
  <c r="Z26" i="9"/>
  <c r="P27" i="9"/>
  <c r="X27" i="9"/>
  <c r="X71" i="9"/>
  <c r="N28" i="9"/>
  <c r="V28" i="9"/>
  <c r="L29" i="9"/>
  <c r="T29" i="9"/>
  <c r="AB71" i="9"/>
  <c r="AB29" i="9"/>
  <c r="P31" i="9"/>
  <c r="X31" i="9"/>
  <c r="N32" i="9"/>
  <c r="V32" i="9"/>
  <c r="L33" i="9"/>
  <c r="T33" i="9"/>
  <c r="R34" i="9"/>
  <c r="Z34" i="9"/>
  <c r="P35" i="9"/>
  <c r="X35" i="9"/>
  <c r="N36" i="9"/>
  <c r="V36" i="9"/>
  <c r="T37" i="9"/>
  <c r="AB37" i="9"/>
  <c r="X39" i="9"/>
  <c r="N40" i="9"/>
  <c r="L41" i="9"/>
  <c r="Z42" i="9"/>
  <c r="N44" i="9"/>
  <c r="AK96" i="9" a="1"/>
  <c r="AK96" i="9" s="1"/>
  <c r="AK44" i="9"/>
  <c r="AC44" i="9"/>
  <c r="AM95" i="9" a="1"/>
  <c r="AM95" i="9" s="1"/>
  <c r="AM43" i="9"/>
  <c r="AE43" i="9"/>
  <c r="AG42" i="9"/>
  <c r="AQ93" i="9" a="1"/>
  <c r="AQ93" i="9" s="1"/>
  <c r="AQ41" i="9"/>
  <c r="AI93" i="9" a="1"/>
  <c r="AI93" i="9" s="1"/>
  <c r="AI41" i="9"/>
  <c r="AS92" i="9" a="1"/>
  <c r="AS92" i="9" s="1"/>
  <c r="AS40" i="9"/>
  <c r="AM39" i="9"/>
  <c r="AM91" i="9" a="1"/>
  <c r="AM91" i="9" s="1"/>
  <c r="AO90" i="9" a="1"/>
  <c r="AO90" i="9" s="1"/>
  <c r="AO38" i="9"/>
  <c r="AQ89" i="9" a="1"/>
  <c r="AQ89" i="9" s="1"/>
  <c r="AQ37" i="9"/>
  <c r="AI37" i="9"/>
  <c r="AI89" i="9" a="1"/>
  <c r="AI89" i="9" s="1"/>
  <c r="AS88" i="9" a="1"/>
  <c r="AS88" i="9" s="1"/>
  <c r="AS36" i="9"/>
  <c r="AC36" i="9"/>
  <c r="AM35" i="9"/>
  <c r="AM87" i="9" a="1"/>
  <c r="AM87" i="9" s="1"/>
  <c r="AO34" i="9"/>
  <c r="AO86" i="9" a="1"/>
  <c r="AO86" i="9" s="1"/>
  <c r="AG34" i="9"/>
  <c r="AI33" i="9"/>
  <c r="AI85" i="9" a="1"/>
  <c r="AI85" i="9" s="1"/>
  <c r="AS32" i="9"/>
  <c r="AS84" i="9" a="1"/>
  <c r="AS84" i="9" s="1"/>
  <c r="AK32" i="9"/>
  <c r="AK84" i="9" a="1"/>
  <c r="AK84" i="9" s="1"/>
  <c r="AM31" i="9"/>
  <c r="AM83" i="9" a="1"/>
  <c r="AM83" i="9" s="1"/>
  <c r="AE31" i="9"/>
  <c r="AO30" i="9"/>
  <c r="AO82" i="9" a="1"/>
  <c r="AO82" i="9" s="1"/>
  <c r="AG30" i="9"/>
  <c r="AI29" i="9"/>
  <c r="AI81" i="9" a="1"/>
  <c r="AI81" i="9" s="1"/>
  <c r="AI187" i="9" s="1"/>
  <c r="AS28" i="9"/>
  <c r="AS80" i="9" a="1"/>
  <c r="AS80" i="9" s="1"/>
  <c r="AS71" i="9"/>
  <c r="AK28" i="9"/>
  <c r="AK71" i="9"/>
  <c r="AC28" i="9"/>
  <c r="AC71" i="9"/>
  <c r="AM71" i="9"/>
  <c r="AM27" i="9"/>
  <c r="AM79" i="9" a="1"/>
  <c r="AM79" i="9" s="1"/>
  <c r="AE71" i="9"/>
  <c r="AO26" i="9"/>
  <c r="AO78" i="9" a="1"/>
  <c r="AO78" i="9" s="1"/>
  <c r="AO71" i="9"/>
  <c r="AG26" i="9"/>
  <c r="AG71" i="9"/>
  <c r="AQ25" i="9"/>
  <c r="AQ71" i="9"/>
  <c r="AI25" i="9"/>
  <c r="B11" i="6"/>
  <c r="B36" i="8" s="1"/>
  <c r="AX36" i="8" s="1"/>
  <c r="AX105" i="8"/>
  <c r="AX44" i="8"/>
  <c r="AW112" i="8"/>
  <c r="AX82" i="8"/>
  <c r="AX112" i="8"/>
  <c r="AW107" i="8"/>
  <c r="AW60" i="8"/>
  <c r="AX56" i="8"/>
  <c r="AW49" i="8"/>
  <c r="AX87" i="8"/>
  <c r="AX80" i="8"/>
  <c r="AW80" i="8"/>
  <c r="AX104" i="8"/>
  <c r="AX71" i="8"/>
  <c r="AW72" i="8"/>
  <c r="AW70" i="8"/>
  <c r="AX72" i="8"/>
  <c r="AW104" i="8"/>
  <c r="AW113" i="8"/>
  <c r="AX113" i="8"/>
  <c r="AW44" i="8"/>
  <c r="AW87" i="8"/>
  <c r="AW71" i="8"/>
  <c r="U71" i="9"/>
  <c r="M25" i="9"/>
  <c r="P71" i="9"/>
  <c r="AC543" i="6"/>
  <c r="P543" i="6" s="1"/>
  <c r="AC555" i="6"/>
  <c r="P555" i="6" s="1"/>
  <c r="AC567" i="6"/>
  <c r="P567" i="6" s="1"/>
  <c r="R71" i="9"/>
  <c r="AX107" i="8"/>
  <c r="AX37" i="8"/>
  <c r="L71" i="9"/>
  <c r="AC10" i="6"/>
  <c r="P10" i="6" s="1"/>
  <c r="AW109" i="8"/>
  <c r="F211" i="9"/>
  <c r="AW43" i="8"/>
  <c r="AX43" i="8"/>
  <c r="AX83" i="8"/>
  <c r="AW83" i="8"/>
  <c r="AX96" i="8"/>
  <c r="AW96" i="8"/>
  <c r="Z71" i="9"/>
  <c r="K27" i="9"/>
  <c r="AW51" i="8"/>
  <c r="AX91" i="8"/>
  <c r="AW91" i="8"/>
  <c r="B538" i="6"/>
  <c r="AX45" i="8"/>
  <c r="AW45" i="8"/>
  <c r="AX53" i="8"/>
  <c r="AW53" i="8"/>
  <c r="AW92" i="8"/>
  <c r="AX92" i="8"/>
  <c r="AX46" i="8"/>
  <c r="AW46" i="8"/>
  <c r="AW67" i="8"/>
  <c r="AX79" i="8"/>
  <c r="AW79" i="8"/>
  <c r="AW93" i="8"/>
  <c r="AX93" i="8"/>
  <c r="AX114" i="8"/>
  <c r="AW114" i="8"/>
  <c r="AL44" i="9"/>
  <c r="AL96" i="9" a="1"/>
  <c r="AL96" i="9" s="1"/>
  <c r="AL202" i="9" s="1"/>
  <c r="AR37" i="9"/>
  <c r="AR89" i="9" a="1"/>
  <c r="AR89" i="9" s="1"/>
  <c r="AN31" i="9"/>
  <c r="AN83" i="9" a="1"/>
  <c r="AN83" i="9" s="1"/>
  <c r="L9" i="6"/>
  <c r="B35" i="8"/>
  <c r="AW35" i="8" s="1"/>
  <c r="B15" i="6"/>
  <c r="AX100" i="8"/>
  <c r="AW95" i="8"/>
  <c r="AX88" i="8"/>
  <c r="AW97" i="8"/>
  <c r="AW76" i="8"/>
  <c r="AX64" i="8"/>
  <c r="AX48" i="8"/>
  <c r="AX81" i="8"/>
  <c r="AW69" i="8"/>
  <c r="AX66" i="8"/>
  <c r="AX55" i="8"/>
  <c r="AX50" i="8"/>
  <c r="AW64" i="8"/>
  <c r="AW48" i="8"/>
  <c r="AW81" i="8"/>
  <c r="AX77" i="8"/>
  <c r="AW66" i="8"/>
  <c r="AW55" i="8"/>
  <c r="AW50" i="8"/>
  <c r="AX60" i="8"/>
  <c r="AW98" i="8"/>
  <c r="AW63" i="8"/>
  <c r="AX54" i="8"/>
  <c r="AW47" i="8"/>
  <c r="AW61" i="8"/>
  <c r="AX68" i="8"/>
  <c r="AW68" i="8"/>
  <c r="AW108" i="8"/>
  <c r="AX108" i="8"/>
  <c r="G194" i="9"/>
  <c r="F475" i="9"/>
  <c r="AX62" i="8"/>
  <c r="AX75" i="8"/>
  <c r="AX102" i="8"/>
  <c r="AX49" i="8"/>
  <c r="AX65" i="8"/>
  <c r="AX47" i="8"/>
  <c r="L749" i="9"/>
  <c r="AX70" i="8"/>
  <c r="AR859" i="9"/>
  <c r="AW100" i="8"/>
  <c r="AX61" i="8"/>
  <c r="AW90" i="8"/>
  <c r="AL859" i="9"/>
  <c r="AC540" i="6"/>
  <c r="P540" i="6" s="1"/>
  <c r="AC545" i="6"/>
  <c r="P545" i="6" s="1"/>
  <c r="AC549" i="6"/>
  <c r="P549" i="6" s="1"/>
  <c r="AC552" i="6"/>
  <c r="P552" i="6" s="1"/>
  <c r="AC557" i="6"/>
  <c r="P557" i="6" s="1"/>
  <c r="AC561" i="6"/>
  <c r="P561" i="6" s="1"/>
  <c r="AC565" i="6"/>
  <c r="P565" i="6" s="1"/>
  <c r="AC568" i="6"/>
  <c r="P568" i="6" s="1"/>
  <c r="AC572" i="6"/>
  <c r="P572" i="6" s="1"/>
  <c r="AC573" i="6"/>
  <c r="P573" i="6" s="1"/>
  <c r="AC575" i="6"/>
  <c r="P575" i="6" s="1"/>
  <c r="AC579" i="6"/>
  <c r="P579" i="6" s="1"/>
  <c r="AC580" i="6"/>
  <c r="P580" i="6" s="1"/>
  <c r="AC581" i="6"/>
  <c r="P581" i="6" s="1"/>
  <c r="AC585" i="6"/>
  <c r="P585" i="6" s="1"/>
  <c r="AC587" i="6"/>
  <c r="P587" i="6" s="1"/>
  <c r="F48" i="14"/>
  <c r="O25" i="9"/>
  <c r="O71" i="9"/>
  <c r="W71" i="9"/>
  <c r="F183" i="9"/>
  <c r="AX51" i="8"/>
  <c r="M26" i="6"/>
  <c r="Y859" i="9"/>
  <c r="AA71" i="9"/>
  <c r="S71" i="9"/>
  <c r="AX89" i="8"/>
  <c r="AW89" i="8"/>
  <c r="AW94" i="8"/>
  <c r="AX94" i="8"/>
  <c r="AX106" i="8"/>
  <c r="AW106" i="8"/>
  <c r="AW111" i="8"/>
  <c r="AX111" i="8"/>
  <c r="AX38" i="8"/>
  <c r="AW38" i="8"/>
  <c r="AX78" i="8"/>
  <c r="AW78" i="8"/>
  <c r="L1405" i="6"/>
  <c r="U1405" i="6" s="1"/>
  <c r="AC29" i="6"/>
  <c r="P29" i="6" s="1"/>
  <c r="AX67" i="8"/>
  <c r="M42" i="6"/>
  <c r="AX73" i="8"/>
  <c r="AW73" i="8"/>
  <c r="AW84" i="8"/>
  <c r="AX84" i="8"/>
  <c r="AX101" i="8"/>
  <c r="AW101" i="8"/>
  <c r="I748" i="9"/>
  <c r="M859" i="9"/>
  <c r="AS859" i="9"/>
  <c r="AW77" i="8"/>
  <c r="L52" i="6"/>
  <c r="AX95" i="8"/>
  <c r="M70" i="6"/>
  <c r="AX57" i="8"/>
  <c r="AW57" i="8"/>
  <c r="AX74" i="8"/>
  <c r="AW74" i="8"/>
  <c r="M40" i="6"/>
  <c r="AW33" i="8"/>
  <c r="L8" i="6"/>
  <c r="AX63" i="8"/>
  <c r="M38" i="6"/>
  <c r="AW75" i="8"/>
  <c r="L50" i="6"/>
  <c r="B41" i="8"/>
  <c r="AX52" i="8"/>
  <c r="AW52" i="8"/>
  <c r="AX58" i="8"/>
  <c r="AW58" i="8"/>
  <c r="L10" i="6"/>
  <c r="M24" i="6"/>
  <c r="AX90" i="8"/>
  <c r="M749" i="9"/>
  <c r="AW42" i="8"/>
  <c r="AX42" i="8"/>
  <c r="AX86" i="8"/>
  <c r="AW86" i="8"/>
  <c r="AX39" i="8"/>
  <c r="M14" i="6"/>
  <c r="AW56" i="8"/>
  <c r="L31" i="6"/>
  <c r="AW62" i="8"/>
  <c r="AW88" i="8"/>
  <c r="L63" i="6"/>
  <c r="M22" i="6"/>
  <c r="AW37" i="8"/>
  <c r="L12" i="6"/>
  <c r="AX69" i="8"/>
  <c r="M44" i="6"/>
  <c r="AW82" i="8"/>
  <c r="L57" i="6"/>
  <c r="AW54" i="8"/>
  <c r="AX110" i="8"/>
  <c r="AW110" i="8"/>
  <c r="AX98" i="8"/>
  <c r="AW103" i="8"/>
  <c r="AG859" i="9"/>
  <c r="AW99" i="8"/>
  <c r="AX97" i="8"/>
  <c r="AC109" i="6"/>
  <c r="P109" i="6" s="1"/>
  <c r="AC134" i="6"/>
  <c r="P134" i="6" s="1"/>
  <c r="AC179" i="6"/>
  <c r="P179" i="6" s="1"/>
  <c r="AC197" i="6"/>
  <c r="P197" i="6" s="1"/>
  <c r="AC217" i="6"/>
  <c r="P217" i="6" s="1"/>
  <c r="AC225" i="6"/>
  <c r="P225" i="6" s="1"/>
  <c r="AC245" i="6"/>
  <c r="P245" i="6" s="1"/>
  <c r="AC265" i="6"/>
  <c r="P265" i="6" s="1"/>
  <c r="AC285" i="6"/>
  <c r="P285" i="6" s="1"/>
  <c r="AC305" i="6"/>
  <c r="P305" i="6" s="1"/>
  <c r="AC313" i="6"/>
  <c r="P313" i="6" s="1"/>
  <c r="AC333" i="6"/>
  <c r="P333" i="6" s="1"/>
  <c r="AC353" i="6"/>
  <c r="P353" i="6" s="1"/>
  <c r="AC373" i="6"/>
  <c r="P373" i="6" s="1"/>
  <c r="AC393" i="6"/>
  <c r="P393" i="6" s="1"/>
  <c r="AC401" i="6"/>
  <c r="P401" i="6" s="1"/>
  <c r="AC421" i="6"/>
  <c r="P421" i="6" s="1"/>
  <c r="AC441" i="6"/>
  <c r="P441" i="6" s="1"/>
  <c r="AC461" i="6"/>
  <c r="P461" i="6" s="1"/>
  <c r="AC481" i="6"/>
  <c r="P481" i="6" s="1"/>
  <c r="AX103" i="8"/>
  <c r="AC859" i="9"/>
  <c r="AC137" i="6"/>
  <c r="P137" i="6" s="1"/>
  <c r="AW102" i="8"/>
  <c r="AX99" i="8"/>
  <c r="Q859" i="9"/>
  <c r="AK859" i="9"/>
  <c r="AC538" i="6"/>
  <c r="P538" i="6" s="1"/>
  <c r="AC542" i="6"/>
  <c r="P542" i="6" s="1"/>
  <c r="AC546" i="6"/>
  <c r="P546" i="6" s="1"/>
  <c r="AC554" i="6"/>
  <c r="P554" i="6" s="1"/>
  <c r="AC558" i="6"/>
  <c r="P558" i="6" s="1"/>
  <c r="AC562" i="6"/>
  <c r="P562" i="6" s="1"/>
  <c r="AC566" i="6"/>
  <c r="P566" i="6" s="1"/>
  <c r="AC578" i="6"/>
  <c r="P578" i="6" s="1"/>
  <c r="K71" i="9"/>
  <c r="AC21" i="6"/>
  <c r="P21" i="6" s="1"/>
  <c r="AC41" i="6"/>
  <c r="P41" i="6" s="1"/>
  <c r="AC85" i="6"/>
  <c r="P85" i="6" s="1"/>
  <c r="AC110" i="6"/>
  <c r="P110" i="6" s="1"/>
  <c r="AC198" i="6"/>
  <c r="P198" i="6" s="1"/>
  <c r="AC218" i="6"/>
  <c r="P218" i="6" s="1"/>
  <c r="AC228" i="6"/>
  <c r="P228" i="6" s="1"/>
  <c r="AC246" i="6"/>
  <c r="P246" i="6" s="1"/>
  <c r="AC266" i="6"/>
  <c r="P266" i="6" s="1"/>
  <c r="AC286" i="6"/>
  <c r="P286" i="6" s="1"/>
  <c r="AC306" i="6"/>
  <c r="P306" i="6" s="1"/>
  <c r="AC316" i="6"/>
  <c r="P316" i="6" s="1"/>
  <c r="AC334" i="6"/>
  <c r="P334" i="6" s="1"/>
  <c r="AC354" i="6"/>
  <c r="P354" i="6" s="1"/>
  <c r="AC374" i="6"/>
  <c r="P374" i="6" s="1"/>
  <c r="AC394" i="6"/>
  <c r="P394" i="6" s="1"/>
  <c r="AC404" i="6"/>
  <c r="P404" i="6" s="1"/>
  <c r="AC422" i="6"/>
  <c r="P422" i="6" s="1"/>
  <c r="AC442" i="6"/>
  <c r="P442" i="6" s="1"/>
  <c r="AC462" i="6"/>
  <c r="P462" i="6" s="1"/>
  <c r="AC482" i="6"/>
  <c r="P482" i="6" s="1"/>
  <c r="AC492" i="6"/>
  <c r="P492" i="6" s="1"/>
  <c r="AC510" i="6"/>
  <c r="P510" i="6" s="1"/>
  <c r="AC530" i="6"/>
  <c r="P530" i="6" s="1"/>
  <c r="AC132" i="6"/>
  <c r="P132" i="6" s="1"/>
  <c r="N71" i="9"/>
  <c r="R25" i="9"/>
  <c r="AC80" i="6"/>
  <c r="P80" i="6" s="1"/>
  <c r="AC16" i="6"/>
  <c r="P16" i="6" s="1"/>
  <c r="AC34" i="6"/>
  <c r="P34" i="6" s="1"/>
  <c r="AC65" i="6"/>
  <c r="P65" i="6" s="1"/>
  <c r="AC73" i="6"/>
  <c r="P73" i="6" s="1"/>
  <c r="AC87" i="6"/>
  <c r="P87" i="6" s="1"/>
  <c r="AC177" i="6"/>
  <c r="P177" i="6" s="1"/>
  <c r="AC12" i="6"/>
  <c r="P12" i="6" s="1"/>
  <c r="AC162" i="6"/>
  <c r="P162" i="6" s="1"/>
  <c r="AC130" i="6"/>
  <c r="P130" i="6" s="1"/>
  <c r="AC107" i="6"/>
  <c r="P107" i="6" s="1"/>
  <c r="AC220" i="6"/>
  <c r="P220" i="6" s="1"/>
  <c r="AC222" i="6"/>
  <c r="P222" i="6" s="1"/>
  <c r="AC328" i="6"/>
  <c r="P328" i="6" s="1"/>
  <c r="AC350" i="6"/>
  <c r="P350" i="6" s="1"/>
  <c r="AC360" i="6"/>
  <c r="P360" i="6" s="1"/>
  <c r="AC448" i="6"/>
  <c r="P448" i="6" s="1"/>
  <c r="AC466" i="6"/>
  <c r="P466" i="6" s="1"/>
  <c r="AC52" i="6"/>
  <c r="P52" i="6" s="1"/>
  <c r="AC135" i="6"/>
  <c r="P135" i="6" s="1"/>
  <c r="AC159" i="6"/>
  <c r="P159" i="6" s="1"/>
  <c r="AC399" i="6"/>
  <c r="P399" i="6" s="1"/>
  <c r="AC33" i="6"/>
  <c r="P33" i="6" s="1"/>
  <c r="AC45" i="6"/>
  <c r="P45" i="6" s="1"/>
  <c r="AC53" i="6"/>
  <c r="P53" i="6" s="1"/>
  <c r="AC61" i="6"/>
  <c r="P61" i="6" s="1"/>
  <c r="AC22" i="6"/>
  <c r="P22" i="6" s="1"/>
  <c r="AC46" i="6"/>
  <c r="P46" i="6" s="1"/>
  <c r="AC86" i="6"/>
  <c r="P86" i="6" s="1"/>
  <c r="AC202" i="6"/>
  <c r="P202" i="6" s="1"/>
  <c r="AC72" i="6"/>
  <c r="P72" i="6" s="1"/>
  <c r="AC38" i="6"/>
  <c r="P38" i="6" s="1"/>
  <c r="AC40" i="6"/>
  <c r="P40" i="6" s="1"/>
  <c r="AC51" i="6"/>
  <c r="P51" i="6" s="1"/>
  <c r="AC59" i="6"/>
  <c r="P59" i="6" s="1"/>
  <c r="AC70" i="6"/>
  <c r="P70" i="6" s="1"/>
  <c r="AC78" i="6"/>
  <c r="P78" i="6" s="1"/>
  <c r="AC11" i="6"/>
  <c r="P11" i="6" s="1"/>
  <c r="AC284" i="6"/>
  <c r="P284" i="6" s="1"/>
  <c r="AC7" i="6"/>
  <c r="P7" i="6" s="1"/>
  <c r="AC174" i="6"/>
  <c r="P174" i="6" s="1"/>
  <c r="AC242" i="6"/>
  <c r="P242" i="6" s="1"/>
  <c r="AC444" i="6"/>
  <c r="P444" i="6" s="1"/>
  <c r="AC486" i="6"/>
  <c r="P486" i="6" s="1"/>
  <c r="AC506" i="6"/>
  <c r="P506" i="6" s="1"/>
  <c r="AC526" i="6"/>
  <c r="P526" i="6" s="1"/>
  <c r="AC32" i="6"/>
  <c r="P32" i="6" s="1"/>
  <c r="AC54" i="6"/>
  <c r="P54" i="6" s="1"/>
  <c r="AC62" i="6"/>
  <c r="P62" i="6" s="1"/>
  <c r="AC158" i="6"/>
  <c r="P158" i="6" s="1"/>
  <c r="AC176" i="6"/>
  <c r="P176" i="6" s="1"/>
  <c r="AC178" i="6"/>
  <c r="P178" i="6" s="1"/>
  <c r="AC262" i="6"/>
  <c r="P262" i="6" s="1"/>
  <c r="AC272" i="6"/>
  <c r="P272" i="6" s="1"/>
  <c r="AC290" i="6"/>
  <c r="P290" i="6" s="1"/>
  <c r="AC310" i="6"/>
  <c r="P310" i="6" s="1"/>
  <c r="AC330" i="6"/>
  <c r="P330" i="6" s="1"/>
  <c r="AC378" i="6"/>
  <c r="P378" i="6" s="1"/>
  <c r="AC398" i="6"/>
  <c r="P398" i="6" s="1"/>
  <c r="AC418" i="6"/>
  <c r="P418" i="6" s="1"/>
  <c r="AC438" i="6"/>
  <c r="P438" i="6" s="1"/>
  <c r="AC43" i="6"/>
  <c r="P43" i="6" s="1"/>
  <c r="AC582" i="6"/>
  <c r="P582" i="6" s="1"/>
  <c r="AC14" i="6"/>
  <c r="P14" i="6" s="1"/>
  <c r="AC27" i="6"/>
  <c r="P27" i="6" s="1"/>
  <c r="AC30" i="6"/>
  <c r="P30" i="6" s="1"/>
  <c r="AC35" i="6"/>
  <c r="P35" i="6" s="1"/>
  <c r="AC49" i="6"/>
  <c r="P49" i="6" s="1"/>
  <c r="AC57" i="6"/>
  <c r="P57" i="6" s="1"/>
  <c r="AC88" i="6"/>
  <c r="P88" i="6" s="1"/>
  <c r="AC203" i="6"/>
  <c r="P203" i="6" s="1"/>
  <c r="AC223" i="6"/>
  <c r="P223" i="6" s="1"/>
  <c r="AC243" i="6"/>
  <c r="P243" i="6" s="1"/>
  <c r="AC263" i="6"/>
  <c r="P263" i="6" s="1"/>
  <c r="AC283" i="6"/>
  <c r="P283" i="6" s="1"/>
  <c r="AC291" i="6"/>
  <c r="P291" i="6" s="1"/>
  <c r="AC311" i="6"/>
  <c r="P311" i="6" s="1"/>
  <c r="AC331" i="6"/>
  <c r="P331" i="6" s="1"/>
  <c r="AC351" i="6"/>
  <c r="P351" i="6" s="1"/>
  <c r="AC371" i="6"/>
  <c r="P371" i="6" s="1"/>
  <c r="AC379" i="6"/>
  <c r="P379" i="6" s="1"/>
  <c r="AC419" i="6"/>
  <c r="P419" i="6" s="1"/>
  <c r="AC439" i="6"/>
  <c r="P439" i="6" s="1"/>
  <c r="AC459" i="6"/>
  <c r="P459" i="6" s="1"/>
  <c r="AC467" i="6"/>
  <c r="P467" i="6" s="1"/>
  <c r="AC487" i="6"/>
  <c r="P487" i="6" s="1"/>
  <c r="AC507" i="6"/>
  <c r="P507" i="6" s="1"/>
  <c r="AC527" i="6"/>
  <c r="P527" i="6" s="1"/>
  <c r="AC26" i="6"/>
  <c r="P26" i="6" s="1"/>
  <c r="AC42" i="6"/>
  <c r="P42" i="6" s="1"/>
  <c r="AC66" i="6"/>
  <c r="P66" i="6" s="1"/>
  <c r="AC23" i="6"/>
  <c r="P23" i="6" s="1"/>
  <c r="AC71" i="6"/>
  <c r="P71" i="6" s="1"/>
  <c r="AC79" i="6"/>
  <c r="P79" i="6" s="1"/>
  <c r="AC112" i="6"/>
  <c r="P112" i="6" s="1"/>
  <c r="AC180" i="6"/>
  <c r="P180" i="6" s="1"/>
  <c r="AC200" i="6"/>
  <c r="P200" i="6" s="1"/>
  <c r="AC240" i="6"/>
  <c r="P240" i="6" s="1"/>
  <c r="AC250" i="6"/>
  <c r="P250" i="6" s="1"/>
  <c r="AC268" i="6"/>
  <c r="P268" i="6" s="1"/>
  <c r="AC288" i="6"/>
  <c r="P288" i="6" s="1"/>
  <c r="AC308" i="6"/>
  <c r="P308" i="6" s="1"/>
  <c r="AC338" i="6"/>
  <c r="P338" i="6" s="1"/>
  <c r="AC356" i="6"/>
  <c r="P356" i="6" s="1"/>
  <c r="AC376" i="6"/>
  <c r="P376" i="6" s="1"/>
  <c r="AC396" i="6"/>
  <c r="P396" i="6" s="1"/>
  <c r="AC416" i="6"/>
  <c r="P416" i="6" s="1"/>
  <c r="AC426" i="6"/>
  <c r="P426" i="6" s="1"/>
  <c r="AC464" i="6"/>
  <c r="P464" i="6" s="1"/>
  <c r="AC484" i="6"/>
  <c r="P484" i="6" s="1"/>
  <c r="AC504" i="6"/>
  <c r="P504" i="6" s="1"/>
  <c r="AC514" i="6"/>
  <c r="P514" i="6" s="1"/>
  <c r="AC532" i="6"/>
  <c r="P532" i="6" s="1"/>
  <c r="AC20" i="6"/>
  <c r="P20" i="6" s="1"/>
  <c r="AC44" i="6"/>
  <c r="P44" i="6" s="1"/>
  <c r="AC60" i="6"/>
  <c r="P60" i="6" s="1"/>
  <c r="AC76" i="6"/>
  <c r="P76" i="6" s="1"/>
  <c r="AC84" i="6"/>
  <c r="P84" i="6" s="1"/>
  <c r="AC25" i="6"/>
  <c r="P25" i="6" s="1"/>
  <c r="AC64" i="6"/>
  <c r="P64" i="6" s="1"/>
  <c r="AC19" i="6"/>
  <c r="P19" i="6" s="1"/>
  <c r="AC28" i="6"/>
  <c r="P28" i="6" s="1"/>
  <c r="AC36" i="6"/>
  <c r="P36" i="6" s="1"/>
  <c r="AC39" i="6"/>
  <c r="P39" i="6" s="1"/>
  <c r="AC48" i="6"/>
  <c r="P48" i="6" s="1"/>
  <c r="AC50" i="6"/>
  <c r="P50" i="6" s="1"/>
  <c r="AC58" i="6"/>
  <c r="P58" i="6" s="1"/>
  <c r="AC67" i="6"/>
  <c r="P67" i="6" s="1"/>
  <c r="AC69" i="6"/>
  <c r="P69" i="6" s="1"/>
  <c r="AC77" i="6"/>
  <c r="P77" i="6" s="1"/>
  <c r="AC83" i="6"/>
  <c r="P83" i="6" s="1"/>
  <c r="AC89" i="6"/>
  <c r="P89" i="6" s="1"/>
  <c r="AC111" i="6"/>
  <c r="P111" i="6" s="1"/>
  <c r="AC155" i="6"/>
  <c r="P155" i="6" s="1"/>
  <c r="AC181" i="6"/>
  <c r="P181" i="6" s="1"/>
  <c r="AC199" i="6"/>
  <c r="P199" i="6" s="1"/>
  <c r="AC219" i="6"/>
  <c r="P219" i="6" s="1"/>
  <c r="AC239" i="6"/>
  <c r="P239" i="6" s="1"/>
  <c r="AC247" i="6"/>
  <c r="P247" i="6" s="1"/>
  <c r="AC267" i="6"/>
  <c r="P267" i="6" s="1"/>
  <c r="AC287" i="6"/>
  <c r="P287" i="6" s="1"/>
  <c r="AC307" i="6"/>
  <c r="P307" i="6" s="1"/>
  <c r="AC327" i="6"/>
  <c r="P327" i="6" s="1"/>
  <c r="AC335" i="6"/>
  <c r="P335" i="6" s="1"/>
  <c r="AC355" i="6"/>
  <c r="P355" i="6" s="1"/>
  <c r="AC375" i="6"/>
  <c r="P375" i="6" s="1"/>
  <c r="AC395" i="6"/>
  <c r="P395" i="6" s="1"/>
  <c r="AC415" i="6"/>
  <c r="P415" i="6" s="1"/>
  <c r="AC423" i="6"/>
  <c r="P423" i="6" s="1"/>
  <c r="AC443" i="6"/>
  <c r="P443" i="6" s="1"/>
  <c r="AC463" i="6"/>
  <c r="P463" i="6" s="1"/>
  <c r="AC483" i="6"/>
  <c r="P483" i="6" s="1"/>
  <c r="AC503" i="6"/>
  <c r="P503" i="6" s="1"/>
  <c r="AC511" i="6"/>
  <c r="P511" i="6" s="1"/>
  <c r="AC531" i="6"/>
  <c r="P531" i="6" s="1"/>
  <c r="AC114" i="6"/>
  <c r="P114" i="6" s="1"/>
  <c r="AC115" i="6"/>
  <c r="P115" i="6" s="1"/>
  <c r="AC37" i="6"/>
  <c r="P37" i="6" s="1"/>
  <c r="AC108" i="6"/>
  <c r="P108" i="6" s="1"/>
  <c r="AC156" i="6"/>
  <c r="P156" i="6" s="1"/>
  <c r="AC196" i="6"/>
  <c r="P196" i="6" s="1"/>
  <c r="AC206" i="6"/>
  <c r="P206" i="6" s="1"/>
  <c r="AC224" i="6"/>
  <c r="P224" i="6" s="1"/>
  <c r="AC244" i="6"/>
  <c r="P244" i="6" s="1"/>
  <c r="AC264" i="6"/>
  <c r="P264" i="6" s="1"/>
  <c r="AC294" i="6"/>
  <c r="P294" i="6" s="1"/>
  <c r="AC312" i="6"/>
  <c r="P312" i="6" s="1"/>
  <c r="AC332" i="6"/>
  <c r="P332" i="6" s="1"/>
  <c r="AC352" i="6"/>
  <c r="P352" i="6" s="1"/>
  <c r="AC372" i="6"/>
  <c r="P372" i="6" s="1"/>
  <c r="AC400" i="6"/>
  <c r="P400" i="6" s="1"/>
  <c r="AC420" i="6"/>
  <c r="P420" i="6" s="1"/>
  <c r="AC440" i="6"/>
  <c r="P440" i="6" s="1"/>
  <c r="AC460" i="6"/>
  <c r="P460" i="6" s="1"/>
  <c r="AC470" i="6"/>
  <c r="P470" i="6" s="1"/>
  <c r="AC488" i="6"/>
  <c r="P488" i="6" s="1"/>
  <c r="AC508" i="6"/>
  <c r="P508" i="6" s="1"/>
  <c r="AC528" i="6"/>
  <c r="P528" i="6" s="1"/>
  <c r="AC56" i="6"/>
  <c r="P56" i="6" s="1"/>
  <c r="AC75" i="6"/>
  <c r="P75" i="6" s="1"/>
  <c r="AC541" i="6"/>
  <c r="P541" i="6" s="1"/>
  <c r="AC544" i="6"/>
  <c r="P544" i="6" s="1"/>
  <c r="AC548" i="6"/>
  <c r="P548" i="6" s="1"/>
  <c r="AC553" i="6"/>
  <c r="P553" i="6" s="1"/>
  <c r="AC556" i="6"/>
  <c r="P556" i="6" s="1"/>
  <c r="AC560" i="6"/>
  <c r="P560" i="6" s="1"/>
  <c r="AC564" i="6"/>
  <c r="P564" i="6" s="1"/>
  <c r="AC569" i="6"/>
  <c r="P569" i="6" s="1"/>
  <c r="AC576" i="6"/>
  <c r="P576" i="6" s="1"/>
  <c r="AC577" i="6"/>
  <c r="P577" i="6" s="1"/>
  <c r="AC584" i="6"/>
  <c r="P584" i="6" s="1"/>
  <c r="AC136" i="6"/>
  <c r="P136" i="6" s="1"/>
  <c r="AC157" i="6"/>
  <c r="P157" i="6" s="1"/>
  <c r="AC175" i="6"/>
  <c r="P175" i="6" s="1"/>
  <c r="AC201" i="6"/>
  <c r="P201" i="6" s="1"/>
  <c r="AC221" i="6"/>
  <c r="P221" i="6" s="1"/>
  <c r="AC241" i="6"/>
  <c r="P241" i="6" s="1"/>
  <c r="AC261" i="6"/>
  <c r="P261" i="6" s="1"/>
  <c r="AC269" i="6"/>
  <c r="P269" i="6" s="1"/>
  <c r="AC289" i="6"/>
  <c r="P289" i="6" s="1"/>
  <c r="AC309" i="6"/>
  <c r="P309" i="6" s="1"/>
  <c r="AC329" i="6"/>
  <c r="P329" i="6" s="1"/>
  <c r="AC349" i="6"/>
  <c r="P349" i="6" s="1"/>
  <c r="AC357" i="6"/>
  <c r="P357" i="6" s="1"/>
  <c r="AC377" i="6"/>
  <c r="P377" i="6" s="1"/>
  <c r="AC397" i="6"/>
  <c r="P397" i="6" s="1"/>
  <c r="AC417" i="6"/>
  <c r="P417" i="6" s="1"/>
  <c r="AC437" i="6"/>
  <c r="P437" i="6" s="1"/>
  <c r="AC445" i="6"/>
  <c r="P445" i="6" s="1"/>
  <c r="AC465" i="6"/>
  <c r="P465" i="6" s="1"/>
  <c r="AC485" i="6"/>
  <c r="P485" i="6" s="1"/>
  <c r="AC505" i="6"/>
  <c r="P505" i="6" s="1"/>
  <c r="AC525" i="6"/>
  <c r="P525" i="6" s="1"/>
  <c r="AC533" i="6"/>
  <c r="P533" i="6" s="1"/>
  <c r="AC539" i="6"/>
  <c r="P539" i="6" s="1"/>
  <c r="AC547" i="6"/>
  <c r="P547" i="6" s="1"/>
  <c r="AC551" i="6"/>
  <c r="P551" i="6" s="1"/>
  <c r="AC559" i="6"/>
  <c r="P559" i="6" s="1"/>
  <c r="AC563" i="6"/>
  <c r="P563" i="6" s="1"/>
  <c r="AC571" i="6"/>
  <c r="P571" i="6" s="1"/>
  <c r="AC583" i="6"/>
  <c r="P583" i="6" s="1"/>
  <c r="AC47" i="6"/>
  <c r="P47" i="6" s="1"/>
  <c r="AC55" i="6"/>
  <c r="P55" i="6" s="1"/>
  <c r="AC68" i="6"/>
  <c r="P68" i="6" s="1"/>
  <c r="AC74" i="6"/>
  <c r="P74" i="6" s="1"/>
  <c r="AC82" i="6"/>
  <c r="P82" i="6" s="1"/>
  <c r="AC151" i="6"/>
  <c r="P151" i="6" s="1"/>
  <c r="AC184" i="6"/>
  <c r="P184" i="6" s="1"/>
  <c r="AC96" i="6"/>
  <c r="P96" i="6" s="1"/>
  <c r="AC9" i="6"/>
  <c r="P9" i="6" s="1"/>
  <c r="AC17" i="6"/>
  <c r="P17" i="6" s="1"/>
  <c r="AC24" i="6"/>
  <c r="P24" i="6" s="1"/>
  <c r="AC63" i="6"/>
  <c r="P63" i="6" s="1"/>
  <c r="AR38" i="4" l="1"/>
  <c r="AN38" i="4"/>
  <c r="AM35" i="4"/>
  <c r="AR35" i="4" s="1"/>
  <c r="AM34" i="4"/>
  <c r="AR197" i="9"/>
  <c r="BF197" i="9"/>
  <c r="AK197" i="9"/>
  <c r="BL197" i="9"/>
  <c r="AM197" i="9"/>
  <c r="AT197" i="9"/>
  <c r="BG197" i="9"/>
  <c r="BA197" i="9"/>
  <c r="AZ197" i="9"/>
  <c r="BH197" i="9"/>
  <c r="AJ197" i="9"/>
  <c r="BJ197" i="9"/>
  <c r="BE197" i="9"/>
  <c r="AP197" i="9"/>
  <c r="BM197" i="9"/>
  <c r="AW197" i="9"/>
  <c r="AO197" i="9"/>
  <c r="AU197" i="9"/>
  <c r="AQ197" i="9"/>
  <c r="AV197" i="9"/>
  <c r="AI197" i="9"/>
  <c r="BC197" i="9"/>
  <c r="L1399" i="6"/>
  <c r="BK197" i="9"/>
  <c r="AN197" i="9"/>
  <c r="BI197" i="9"/>
  <c r="BG187" i="9"/>
  <c r="BF187" i="9"/>
  <c r="BP187" i="9"/>
  <c r="AS187" i="9"/>
  <c r="BQ187" i="9"/>
  <c r="AP187" i="9"/>
  <c r="BB186" i="9"/>
  <c r="AR186" i="9"/>
  <c r="AR187" i="9"/>
  <c r="AO187" i="9"/>
  <c r="AK187" i="9"/>
  <c r="AL187" i="9"/>
  <c r="BM187" i="9"/>
  <c r="AV187" i="9"/>
  <c r="O18" i="4"/>
  <c r="H66" i="9" s="1"/>
  <c r="AS198" i="9" s="1"/>
  <c r="O14" i="4"/>
  <c r="H62" i="9" s="1"/>
  <c r="AS194" i="9" s="1"/>
  <c r="BL186" i="9"/>
  <c r="AQ186" i="9"/>
  <c r="AS186" i="9"/>
  <c r="BJ186" i="9"/>
  <c r="BK186" i="9"/>
  <c r="BO186" i="9"/>
  <c r="BI186" i="9"/>
  <c r="AO196" i="9"/>
  <c r="BI196" i="9"/>
  <c r="AY196" i="9"/>
  <c r="AP196" i="9"/>
  <c r="AZ196" i="9"/>
  <c r="BG196" i="9"/>
  <c r="AN196" i="9"/>
  <c r="AU196" i="9"/>
  <c r="BH196" i="9"/>
  <c r="AM196" i="9"/>
  <c r="BA196" i="9"/>
  <c r="AJ196" i="9"/>
  <c r="BK196" i="9"/>
  <c r="BQ196" i="9"/>
  <c r="BO196" i="9"/>
  <c r="AX196" i="9"/>
  <c r="BC196" i="9"/>
  <c r="BP196" i="9"/>
  <c r="BE196" i="9"/>
  <c r="BM196" i="9"/>
  <c r="BR196" i="9"/>
  <c r="BN196" i="9"/>
  <c r="BF184" i="9"/>
  <c r="BQ186" i="9"/>
  <c r="AN186" i="9"/>
  <c r="BC186" i="9"/>
  <c r="AJ184" i="9"/>
  <c r="BG186" i="9"/>
  <c r="AI186" i="9"/>
  <c r="AO186" i="9"/>
  <c r="BL196" i="9"/>
  <c r="BD196" i="9"/>
  <c r="AL196" i="9"/>
  <c r="AS196" i="9"/>
  <c r="AV196" i="9"/>
  <c r="AQ196" i="9"/>
  <c r="AK196" i="9"/>
  <c r="AR196" i="9"/>
  <c r="BB196" i="9"/>
  <c r="AV184" i="9"/>
  <c r="BR184" i="9"/>
  <c r="BD184" i="9"/>
  <c r="BM184" i="9"/>
  <c r="AU184" i="9"/>
  <c r="AR184" i="9"/>
  <c r="AY184" i="9"/>
  <c r="BL184" i="9"/>
  <c r="AX184" i="9"/>
  <c r="AK184" i="9"/>
  <c r="BQ184" i="9"/>
  <c r="BE184" i="9"/>
  <c r="AI184" i="9"/>
  <c r="BC184" i="9"/>
  <c r="BK184" i="9"/>
  <c r="BB184" i="9"/>
  <c r="BN184" i="9"/>
  <c r="BA184" i="9"/>
  <c r="AT184" i="9"/>
  <c r="AQ184" i="9"/>
  <c r="AW184" i="9"/>
  <c r="BI184" i="9"/>
  <c r="AM184" i="9"/>
  <c r="BJ184" i="9"/>
  <c r="O12" i="4"/>
  <c r="H60" i="9" s="1"/>
  <c r="BN192" i="9" s="1"/>
  <c r="O10" i="4"/>
  <c r="H58" i="9" s="1"/>
  <c r="AT190" i="9" s="1"/>
  <c r="AZ184" i="9"/>
  <c r="BG184" i="9"/>
  <c r="BH184" i="9"/>
  <c r="O9" i="4"/>
  <c r="H57" i="9" s="1"/>
  <c r="BQ189" i="9" s="1"/>
  <c r="BO184" i="9"/>
  <c r="BP184" i="9"/>
  <c r="O8" i="4"/>
  <c r="H56" i="9" s="1"/>
  <c r="BQ188" i="9" s="1"/>
  <c r="AS184" i="9"/>
  <c r="AN184" i="9"/>
  <c r="AW186" i="9"/>
  <c r="BF186" i="9"/>
  <c r="AJ186" i="9"/>
  <c r="BP186" i="9"/>
  <c r="BM186" i="9"/>
  <c r="AP186" i="9"/>
  <c r="BH186" i="9"/>
  <c r="AM186" i="9"/>
  <c r="AK186" i="9"/>
  <c r="AX186" i="9"/>
  <c r="BN186" i="9"/>
  <c r="L1388" i="6"/>
  <c r="N852" i="9"/>
  <c r="H344" i="9" a="1"/>
  <c r="H344" i="9" s="1"/>
  <c r="H348" i="9" a="1"/>
  <c r="H348" i="9" s="1"/>
  <c r="H351" i="9" a="1"/>
  <c r="H351" i="9" s="1"/>
  <c r="H336" i="9" a="1"/>
  <c r="H336" i="9" s="1"/>
  <c r="H341" i="9" a="1"/>
  <c r="H341" i="9" s="1"/>
  <c r="H345" i="9" a="1"/>
  <c r="H345" i="9" s="1"/>
  <c r="H349" i="9" a="1"/>
  <c r="H349" i="9" s="1"/>
  <c r="H333" i="9" a="1"/>
  <c r="H333" i="9" s="1"/>
  <c r="H346" i="9" a="1"/>
  <c r="H346" i="9" s="1"/>
  <c r="H337" i="9" a="1"/>
  <c r="H337" i="9" s="1"/>
  <c r="H342" i="9" a="1"/>
  <c r="H342" i="9" s="1"/>
  <c r="H339" i="9" a="1"/>
  <c r="H339" i="9" s="1"/>
  <c r="H334" i="9" a="1"/>
  <c r="H334" i="9" s="1"/>
  <c r="H343" i="9" a="1"/>
  <c r="H343" i="9" s="1"/>
  <c r="H347" i="9" a="1"/>
  <c r="H347" i="9" s="1"/>
  <c r="H352" i="9" a="1"/>
  <c r="H352" i="9" s="1"/>
  <c r="H335" i="9" a="1"/>
  <c r="H335" i="9" s="1"/>
  <c r="H340" i="9" a="1"/>
  <c r="H340" i="9" s="1"/>
  <c r="H338" i="9" a="1"/>
  <c r="H338" i="9" s="1"/>
  <c r="H350" i="9" a="1"/>
  <c r="H350" i="9" s="1"/>
  <c r="H421" i="9" a="1"/>
  <c r="H421" i="9" s="1"/>
  <c r="H424" i="9" a="1"/>
  <c r="H424" i="9" s="1"/>
  <c r="H411" i="9" a="1"/>
  <c r="H411" i="9" s="1"/>
  <c r="H416" i="9" a="1"/>
  <c r="H416" i="9" s="1"/>
  <c r="H410" i="9" a="1"/>
  <c r="H410" i="9" s="1"/>
  <c r="H420" i="9" a="1"/>
  <c r="H420" i="9" s="1"/>
  <c r="H423" i="9" a="1"/>
  <c r="H423" i="9" s="1"/>
  <c r="H406" i="9" a="1"/>
  <c r="H406" i="9" s="1"/>
  <c r="H409" i="9" a="1"/>
  <c r="H409" i="9" s="1"/>
  <c r="H407" i="9" a="1"/>
  <c r="H407" i="9" s="1"/>
  <c r="H415" i="9" a="1"/>
  <c r="H415" i="9" s="1"/>
  <c r="H417" i="9" a="1"/>
  <c r="H417" i="9" s="1"/>
  <c r="H422" i="9" a="1"/>
  <c r="H422" i="9" s="1"/>
  <c r="H418" i="9" a="1"/>
  <c r="H418" i="9" s="1"/>
  <c r="H405" i="9" a="1"/>
  <c r="H405" i="9" s="1"/>
  <c r="H414" i="9" a="1"/>
  <c r="H414" i="9" s="1"/>
  <c r="H413" i="9" a="1"/>
  <c r="H413" i="9" s="1"/>
  <c r="H419" i="9" a="1"/>
  <c r="H419" i="9" s="1"/>
  <c r="H412" i="9" a="1"/>
  <c r="H412" i="9" s="1"/>
  <c r="H408" i="9" a="1"/>
  <c r="H408" i="9" s="1"/>
  <c r="H581" i="9" a="1"/>
  <c r="H581" i="9" s="1"/>
  <c r="H579" i="9" a="1"/>
  <c r="H579" i="9" s="1"/>
  <c r="H574" i="9" a="1"/>
  <c r="H574" i="9" s="1"/>
  <c r="H586" i="9" a="1"/>
  <c r="H586" i="9" s="1"/>
  <c r="H576" i="9" a="1"/>
  <c r="H576" i="9" s="1"/>
  <c r="H584" i="9" a="1"/>
  <c r="H584" i="9" s="1"/>
  <c r="H587" i="9" a="1"/>
  <c r="H587" i="9" s="1"/>
  <c r="H580" i="9" a="1"/>
  <c r="H580" i="9" s="1"/>
  <c r="H578" i="9" a="1"/>
  <c r="H578" i="9" s="1"/>
  <c r="H590" i="9" a="1"/>
  <c r="H590" i="9" s="1"/>
  <c r="H589" i="9" a="1"/>
  <c r="H589" i="9" s="1"/>
  <c r="H582" i="9" a="1"/>
  <c r="H582" i="9" s="1"/>
  <c r="H592" i="9" a="1"/>
  <c r="H592" i="9" s="1"/>
  <c r="H577" i="9" a="1"/>
  <c r="H577" i="9" s="1"/>
  <c r="H573" i="9" a="1"/>
  <c r="H573" i="9" s="1"/>
  <c r="H588" i="9" a="1"/>
  <c r="H588" i="9" s="1"/>
  <c r="H583" i="9" a="1"/>
  <c r="H583" i="9" s="1"/>
  <c r="H585" i="9" a="1"/>
  <c r="H585" i="9" s="1"/>
  <c r="H575" i="9" a="1"/>
  <c r="H575" i="9" s="1"/>
  <c r="H591" i="9" a="1"/>
  <c r="H591" i="9" s="1"/>
  <c r="H459" i="9" a="1"/>
  <c r="H459" i="9" s="1"/>
  <c r="H464" i="9" a="1"/>
  <c r="H464" i="9" s="1"/>
  <c r="H472" i="9" a="1"/>
  <c r="H472" i="9" s="1"/>
  <c r="H468" i="9" a="1"/>
  <c r="H468" i="9" s="1"/>
  <c r="H456" i="9" a="1"/>
  <c r="H456" i="9" s="1"/>
  <c r="H465" i="9" a="1"/>
  <c r="H465" i="9" s="1"/>
  <c r="H466" i="9" a="1"/>
  <c r="H466" i="9" s="1"/>
  <c r="H461" i="9" a="1"/>
  <c r="H461" i="9" s="1"/>
  <c r="H471" i="9" a="1"/>
  <c r="H471" i="9" s="1"/>
  <c r="H460" i="9" a="1"/>
  <c r="H460" i="9" s="1"/>
  <c r="H463" i="9" a="1"/>
  <c r="H463" i="9" s="1"/>
  <c r="H455" i="9" a="1"/>
  <c r="H455" i="9" s="1"/>
  <c r="H454" i="9" a="1"/>
  <c r="H454" i="9" s="1"/>
  <c r="H470" i="9" a="1"/>
  <c r="H470" i="9" s="1"/>
  <c r="H467" i="9" a="1"/>
  <c r="H467" i="9" s="1"/>
  <c r="H453" i="9" a="1"/>
  <c r="H453" i="9" s="1"/>
  <c r="H469" i="9" a="1"/>
  <c r="H469" i="9" s="1"/>
  <c r="H457" i="9" a="1"/>
  <c r="H457" i="9" s="1"/>
  <c r="H462" i="9" a="1"/>
  <c r="H462" i="9" s="1"/>
  <c r="H458" i="9" a="1"/>
  <c r="H458" i="9" s="1"/>
  <c r="H328" i="9" a="1"/>
  <c r="H328" i="9" s="1"/>
  <c r="H326" i="9" a="1"/>
  <c r="H326" i="9" s="1"/>
  <c r="H315" i="9" a="1"/>
  <c r="H315" i="9" s="1"/>
  <c r="H320" i="9" a="1"/>
  <c r="H320" i="9" s="1"/>
  <c r="H318" i="9" a="1"/>
  <c r="H318" i="9" s="1"/>
  <c r="H312" i="9" a="1"/>
  <c r="H312" i="9" s="1"/>
  <c r="H310" i="9" a="1"/>
  <c r="H310" i="9" s="1"/>
  <c r="H324" i="9" a="1"/>
  <c r="H324" i="9" s="1"/>
  <c r="H316" i="9" a="1"/>
  <c r="H316" i="9" s="1"/>
  <c r="H321" i="9" a="1"/>
  <c r="H321" i="9" s="1"/>
  <c r="H325" i="9" a="1"/>
  <c r="H325" i="9" s="1"/>
  <c r="H313" i="9" a="1"/>
  <c r="H313" i="9" s="1"/>
  <c r="H327" i="9" a="1"/>
  <c r="H327" i="9" s="1"/>
  <c r="H317" i="9" a="1"/>
  <c r="H317" i="9" s="1"/>
  <c r="H322" i="9" a="1"/>
  <c r="H322" i="9" s="1"/>
  <c r="H319" i="9" a="1"/>
  <c r="H319" i="9" s="1"/>
  <c r="H309" i="9" a="1"/>
  <c r="H309" i="9" s="1"/>
  <c r="H314" i="9" a="1"/>
  <c r="H314" i="9" s="1"/>
  <c r="H311" i="9" a="1"/>
  <c r="H311" i="9" s="1"/>
  <c r="H323" i="9" a="1"/>
  <c r="H323" i="9" s="1"/>
  <c r="J496" i="8"/>
  <c r="K496" i="8" s="1"/>
  <c r="J475" i="8"/>
  <c r="K475" i="8" s="1"/>
  <c r="J454" i="8"/>
  <c r="K454" i="8" s="1"/>
  <c r="J349" i="8"/>
  <c r="K349" i="8" s="1"/>
  <c r="J328" i="8"/>
  <c r="K328" i="8" s="1"/>
  <c r="J265" i="8"/>
  <c r="K265" i="8" s="1"/>
  <c r="J244" i="8"/>
  <c r="K244" i="8" s="1"/>
  <c r="H202" i="8"/>
  <c r="J202" i="8" s="1"/>
  <c r="K202" i="8" s="1"/>
  <c r="J160" i="8"/>
  <c r="K160" i="8" s="1"/>
  <c r="H139" i="8"/>
  <c r="J139" i="8" s="1"/>
  <c r="K139" i="8" s="1"/>
  <c r="BO183" i="9"/>
  <c r="BQ183" i="9"/>
  <c r="BN183" i="9"/>
  <c r="AI195" i="9"/>
  <c r="AV195" i="9"/>
  <c r="BI195" i="9"/>
  <c r="AM50" i="4"/>
  <c r="AR50" i="4" s="1"/>
  <c r="AM44" i="4"/>
  <c r="AR44" i="4" s="1"/>
  <c r="AM41" i="4"/>
  <c r="AR41" i="4" s="1"/>
  <c r="AM37" i="4"/>
  <c r="AR37" i="4" s="1"/>
  <c r="AM45" i="4"/>
  <c r="AN45" i="4" s="1"/>
  <c r="AM46" i="4"/>
  <c r="AR46" i="4" s="1"/>
  <c r="AM39" i="4"/>
  <c r="AR39" i="4" s="1"/>
  <c r="AM54" i="4"/>
  <c r="AM32" i="4"/>
  <c r="AR32" i="4" s="1"/>
  <c r="AM40" i="4"/>
  <c r="AR40" i="4" s="1"/>
  <c r="AM47" i="4"/>
  <c r="AR47" i="4" s="1"/>
  <c r="AM43" i="4"/>
  <c r="AR43" i="4" s="1"/>
  <c r="AM53" i="4"/>
  <c r="AR53" i="4" s="1"/>
  <c r="AM42" i="4"/>
  <c r="AR42" i="4" s="1"/>
  <c r="AM52" i="4"/>
  <c r="AR52" i="4" s="1"/>
  <c r="AM48" i="4"/>
  <c r="AR48" i="4" s="1"/>
  <c r="AM33" i="4"/>
  <c r="AM51" i="4"/>
  <c r="AR51" i="4" s="1"/>
  <c r="AM36" i="4"/>
  <c r="AR36" i="4" s="1"/>
  <c r="BJ195" i="9"/>
  <c r="BF195" i="9"/>
  <c r="BG195" i="9"/>
  <c r="BR195" i="9"/>
  <c r="BL195" i="9"/>
  <c r="BH195" i="9"/>
  <c r="AQ199" i="9"/>
  <c r="AS199" i="9"/>
  <c r="AK199" i="9"/>
  <c r="BA195" i="9"/>
  <c r="BP195" i="9"/>
  <c r="AX195" i="9"/>
  <c r="BK195" i="9"/>
  <c r="AT195" i="9"/>
  <c r="AL199" i="9"/>
  <c r="AO195" i="9"/>
  <c r="AR195" i="9"/>
  <c r="BD195" i="9"/>
  <c r="BQ195" i="9"/>
  <c r="AN195" i="9"/>
  <c r="AJ199" i="9"/>
  <c r="AZ195" i="9"/>
  <c r="BN195" i="9"/>
  <c r="AQ195" i="9"/>
  <c r="AM199" i="9"/>
  <c r="BC195" i="9"/>
  <c r="BB195" i="9"/>
  <c r="BZ215" i="9"/>
  <c r="AY195" i="9"/>
  <c r="AY199" i="9"/>
  <c r="BI199" i="9"/>
  <c r="AP195" i="9"/>
  <c r="AS193" i="9"/>
  <c r="BM191" i="9"/>
  <c r="AR193" i="9"/>
  <c r="BR191" i="9"/>
  <c r="AV191" i="9"/>
  <c r="AQ193" i="9"/>
  <c r="AL191" i="9"/>
  <c r="AL193" i="9"/>
  <c r="AP193" i="9"/>
  <c r="BM193" i="9"/>
  <c r="AP199" i="9"/>
  <c r="BF193" i="9"/>
  <c r="BP191" i="9"/>
  <c r="BA191" i="9"/>
  <c r="BM195" i="9"/>
  <c r="BF191" i="9"/>
  <c r="BK191" i="9"/>
  <c r="AM191" i="9"/>
  <c r="AW191" i="9"/>
  <c r="AK191" i="9"/>
  <c r="BO195" i="9"/>
  <c r="AJ193" i="9"/>
  <c r="AJ195" i="9"/>
  <c r="BI191" i="9"/>
  <c r="AU195" i="9"/>
  <c r="BQ191" i="9"/>
  <c r="AR191" i="9"/>
  <c r="BE191" i="9"/>
  <c r="BO191" i="9"/>
  <c r="AJ191" i="9"/>
  <c r="BB191" i="9"/>
  <c r="AU191" i="9"/>
  <c r="AN191" i="9"/>
  <c r="BG193" i="9"/>
  <c r="L1401" i="6"/>
  <c r="BN191" i="9"/>
  <c r="AS191" i="9"/>
  <c r="AT191" i="9"/>
  <c r="AY193" i="9"/>
  <c r="BN193" i="9"/>
  <c r="AY191" i="9"/>
  <c r="AQ191" i="9"/>
  <c r="BC191" i="9"/>
  <c r="AI191" i="9"/>
  <c r="AN193" i="9"/>
  <c r="AS195" i="9"/>
  <c r="AK195" i="9"/>
  <c r="AM195" i="9"/>
  <c r="BO193" i="9"/>
  <c r="BG191" i="9"/>
  <c r="AL195" i="9"/>
  <c r="AZ191" i="9"/>
  <c r="AW195" i="9"/>
  <c r="L1393" i="6"/>
  <c r="L1397" i="6"/>
  <c r="L1395" i="6"/>
  <c r="AO191" i="9"/>
  <c r="E7" i="6"/>
  <c r="D7" i="6"/>
  <c r="H7" i="6"/>
  <c r="G7" i="6"/>
  <c r="H8" i="6"/>
  <c r="G8" i="6"/>
  <c r="E8" i="6"/>
  <c r="D8" i="6"/>
  <c r="BA8" i="6"/>
  <c r="BY8" i="6"/>
  <c r="BZ8" i="6" s="1"/>
  <c r="BT8" i="6"/>
  <c r="BU8" i="6" s="1"/>
  <c r="BO8" i="6"/>
  <c r="BP8" i="6" s="1"/>
  <c r="BZ707" i="9"/>
  <c r="R70" i="18"/>
  <c r="AX70" i="18"/>
  <c r="L70" i="18"/>
  <c r="AR70" i="18"/>
  <c r="BG70" i="18"/>
  <c r="K70" i="18"/>
  <c r="AC70" i="18"/>
  <c r="AK70" i="18"/>
  <c r="BI70" i="18"/>
  <c r="J70" i="18"/>
  <c r="AP70" i="18"/>
  <c r="AJ70" i="18"/>
  <c r="BP70" i="18"/>
  <c r="U70" i="18"/>
  <c r="BA70" i="18"/>
  <c r="BE70" i="18"/>
  <c r="AW70" i="18"/>
  <c r="AH70" i="18"/>
  <c r="BN70" i="18"/>
  <c r="AB70" i="18"/>
  <c r="BH70" i="18"/>
  <c r="E70" i="18"/>
  <c r="AS70" i="18"/>
  <c r="AG70" i="18"/>
  <c r="Z70" i="18"/>
  <c r="BF70" i="18"/>
  <c r="T70" i="18"/>
  <c r="AZ70" i="18"/>
  <c r="M70" i="18"/>
  <c r="AY70" i="18"/>
  <c r="Q70" i="18"/>
  <c r="F70" i="18"/>
  <c r="AD70" i="18"/>
  <c r="BJ70" i="18"/>
  <c r="W70" i="18"/>
  <c r="BC70" i="18"/>
  <c r="AO70" i="18"/>
  <c r="X70" i="18"/>
  <c r="BD70" i="18"/>
  <c r="AA70" i="18"/>
  <c r="V70" i="18"/>
  <c r="BB70" i="18"/>
  <c r="O70" i="18"/>
  <c r="AU70" i="18"/>
  <c r="Y70" i="18"/>
  <c r="P70" i="18"/>
  <c r="AV70" i="18"/>
  <c r="S70" i="18"/>
  <c r="N70" i="18"/>
  <c r="AT70" i="18"/>
  <c r="G70" i="18"/>
  <c r="AM70" i="18"/>
  <c r="I70" i="18"/>
  <c r="H70" i="18"/>
  <c r="AN70" i="18"/>
  <c r="AI70" i="18"/>
  <c r="BO70" i="18"/>
  <c r="AL70" i="18"/>
  <c r="AE70" i="18"/>
  <c r="BK70" i="18"/>
  <c r="BM70" i="18"/>
  <c r="AF70" i="18"/>
  <c r="BL70" i="18"/>
  <c r="AQ70" i="18"/>
  <c r="J73" i="18"/>
  <c r="AP73" i="18"/>
  <c r="AJ73" i="18"/>
  <c r="BP73" i="18"/>
  <c r="U73" i="18"/>
  <c r="BA73" i="18"/>
  <c r="BE73" i="18"/>
  <c r="AW73" i="18"/>
  <c r="AH73" i="18"/>
  <c r="BN73" i="18"/>
  <c r="AB73" i="18"/>
  <c r="BH73" i="18"/>
  <c r="AS73" i="18"/>
  <c r="AG73" i="18"/>
  <c r="N73" i="18"/>
  <c r="Z73" i="18"/>
  <c r="BF73" i="18"/>
  <c r="T73" i="18"/>
  <c r="AZ73" i="18"/>
  <c r="M73" i="18"/>
  <c r="AY73" i="18"/>
  <c r="Q73" i="18"/>
  <c r="F73" i="18"/>
  <c r="R73" i="18"/>
  <c r="AX73" i="18"/>
  <c r="L73" i="18"/>
  <c r="AR73" i="18"/>
  <c r="E73" i="18"/>
  <c r="BG73" i="18"/>
  <c r="K73" i="18"/>
  <c r="AC73" i="18"/>
  <c r="AK73" i="18"/>
  <c r="BI73" i="18"/>
  <c r="V73" i="18"/>
  <c r="BB73" i="18"/>
  <c r="O73" i="18"/>
  <c r="AU73" i="18"/>
  <c r="Y73" i="18"/>
  <c r="P73" i="18"/>
  <c r="AV73" i="18"/>
  <c r="S73" i="18"/>
  <c r="AT73" i="18"/>
  <c r="G73" i="18"/>
  <c r="AM73" i="18"/>
  <c r="I73" i="18"/>
  <c r="H73" i="18"/>
  <c r="AN73" i="18"/>
  <c r="AI73" i="18"/>
  <c r="BO73" i="18"/>
  <c r="AL73" i="18"/>
  <c r="AE73" i="18"/>
  <c r="BK73" i="18"/>
  <c r="BM73" i="18"/>
  <c r="AF73" i="18"/>
  <c r="BL73" i="18"/>
  <c r="AQ73" i="18"/>
  <c r="AD73" i="18"/>
  <c r="BJ73" i="18"/>
  <c r="W73" i="18"/>
  <c r="BC73" i="18"/>
  <c r="AO73" i="18"/>
  <c r="X73" i="18"/>
  <c r="BD73" i="18"/>
  <c r="AA73" i="18"/>
  <c r="Z68" i="18"/>
  <c r="BF68" i="18"/>
  <c r="T68" i="18"/>
  <c r="AZ68" i="18"/>
  <c r="M68" i="18"/>
  <c r="AY68" i="18"/>
  <c r="Q68" i="18"/>
  <c r="F68" i="18"/>
  <c r="R68" i="18"/>
  <c r="AX68" i="18"/>
  <c r="L68" i="18"/>
  <c r="AR68" i="18"/>
  <c r="BG68" i="18"/>
  <c r="K68" i="18"/>
  <c r="AC68" i="18"/>
  <c r="AK68" i="18"/>
  <c r="BI68" i="18"/>
  <c r="J68" i="18"/>
  <c r="AP68" i="18"/>
  <c r="AJ68" i="18"/>
  <c r="BP68" i="18"/>
  <c r="U68" i="18"/>
  <c r="BA68" i="18"/>
  <c r="BE68" i="18"/>
  <c r="AW68" i="18"/>
  <c r="AH68" i="18"/>
  <c r="BN68" i="18"/>
  <c r="AB68" i="18"/>
  <c r="BH68" i="18"/>
  <c r="E68" i="18"/>
  <c r="AS68" i="18"/>
  <c r="AG68" i="18"/>
  <c r="AL68" i="18"/>
  <c r="AE68" i="18"/>
  <c r="BK68" i="18"/>
  <c r="BM68" i="18"/>
  <c r="AF68" i="18"/>
  <c r="BL68" i="18"/>
  <c r="AQ68" i="18"/>
  <c r="AD68" i="18"/>
  <c r="BJ68" i="18"/>
  <c r="W68" i="18"/>
  <c r="BC68" i="18"/>
  <c r="AO68" i="18"/>
  <c r="X68" i="18"/>
  <c r="BD68" i="18"/>
  <c r="AA68" i="18"/>
  <c r="V68" i="18"/>
  <c r="BB68" i="18"/>
  <c r="O68" i="18"/>
  <c r="AU68" i="18"/>
  <c r="Y68" i="18"/>
  <c r="P68" i="18"/>
  <c r="AV68" i="18"/>
  <c r="S68" i="18"/>
  <c r="N68" i="18"/>
  <c r="AT68" i="18"/>
  <c r="G68" i="18"/>
  <c r="AM68" i="18"/>
  <c r="I68" i="18"/>
  <c r="H68" i="18"/>
  <c r="AN68" i="18"/>
  <c r="AI68" i="18"/>
  <c r="BO68" i="18"/>
  <c r="U1328" i="6"/>
  <c r="U1313" i="6"/>
  <c r="L1315" i="6"/>
  <c r="U1315" i="6" s="1"/>
  <c r="U1325" i="6"/>
  <c r="BJ185" i="9"/>
  <c r="BB193" i="9"/>
  <c r="BD199" i="9"/>
  <c r="AQ201" i="9"/>
  <c r="AR202" i="9"/>
  <c r="AM193" i="9"/>
  <c r="AT186" i="9"/>
  <c r="BD200" i="9"/>
  <c r="BB202" i="9"/>
  <c r="BG199" i="9"/>
  <c r="AI200" i="9"/>
  <c r="AM202" i="9"/>
  <c r="BD185" i="9"/>
  <c r="BA199" i="9"/>
  <c r="AO185" i="9"/>
  <c r="BE201" i="9"/>
  <c r="BN199" i="9"/>
  <c r="BI200" i="9"/>
  <c r="BC199" i="9"/>
  <c r="AY187" i="9"/>
  <c r="BP201" i="9"/>
  <c r="BA201" i="9"/>
  <c r="AL186" i="9"/>
  <c r="BG200" i="9"/>
  <c r="AU201" i="9"/>
  <c r="BA187" i="9"/>
  <c r="AV186" i="9"/>
  <c r="AV202" i="9"/>
  <c r="BK200" i="9"/>
  <c r="BH199" i="9"/>
  <c r="BR183" i="9"/>
  <c r="BH193" i="9"/>
  <c r="AL201" i="9"/>
  <c r="AM185" i="9"/>
  <c r="AI199" i="9"/>
  <c r="AM201" i="9"/>
  <c r="BO200" i="9"/>
  <c r="AW202" i="9"/>
  <c r="BM183" i="9"/>
  <c r="BD186" i="9"/>
  <c r="BO199" i="9"/>
  <c r="AW200" i="9"/>
  <c r="BR185" i="9"/>
  <c r="AZ187" i="9"/>
  <c r="BD191" i="9"/>
  <c r="BR193" i="9"/>
  <c r="BL199" i="9"/>
  <c r="BR201" i="9"/>
  <c r="AV201" i="9"/>
  <c r="BH185" i="9"/>
  <c r="BK187" i="9"/>
  <c r="BB200" i="9"/>
  <c r="BE185" i="9"/>
  <c r="AN199" i="9"/>
  <c r="AT187" i="9"/>
  <c r="BP202" i="9"/>
  <c r="AI201" i="9"/>
  <c r="BI193" i="9"/>
  <c r="BA185" i="9"/>
  <c r="AJ202" i="9"/>
  <c r="AX191" i="9"/>
  <c r="AS200" i="9"/>
  <c r="AZ185" i="9"/>
  <c r="BN187" i="9"/>
  <c r="AU193" i="9"/>
  <c r="BB199" i="9"/>
  <c r="AI185" i="9"/>
  <c r="BD193" i="9"/>
  <c r="AK201" i="9"/>
  <c r="BP199" i="9"/>
  <c r="AX201" i="9"/>
  <c r="BE202" i="9"/>
  <c r="BR186" i="9"/>
  <c r="BN200" i="9"/>
  <c r="BD201" i="9"/>
  <c r="BA186" i="9"/>
  <c r="BC200" i="9"/>
  <c r="AU200" i="9"/>
  <c r="AY186" i="9"/>
  <c r="BA200" i="9"/>
  <c r="BD187" i="9"/>
  <c r="BI185" i="9"/>
  <c r="AT199" i="9"/>
  <c r="BE200" i="9"/>
  <c r="BJ193" i="9"/>
  <c r="AZ186" i="9"/>
  <c r="AP191" i="9"/>
  <c r="BE187" i="9"/>
  <c r="BL191" i="9"/>
  <c r="AO199" i="9"/>
  <c r="AU185" i="9"/>
  <c r="BM200" i="9"/>
  <c r="BP193" i="9"/>
  <c r="AI196" i="9"/>
  <c r="AU186" i="9"/>
  <c r="AT200" i="9"/>
  <c r="BC185" i="9"/>
  <c r="BC193" i="9"/>
  <c r="AW199" i="9"/>
  <c r="BK201" i="9"/>
  <c r="AW193" i="9"/>
  <c r="AT196" i="9"/>
  <c r="AP201" i="9"/>
  <c r="BK193" i="9"/>
  <c r="AP184" i="9"/>
  <c r="AT193" i="9"/>
  <c r="AI193" i="9"/>
  <c r="BL187" i="9"/>
  <c r="BH201" i="9"/>
  <c r="BJ200" i="9"/>
  <c r="BQ200" i="9"/>
  <c r="BF199" i="9"/>
  <c r="BB201" i="9"/>
  <c r="AZ202" i="9"/>
  <c r="AS185" i="9"/>
  <c r="AL184" i="9"/>
  <c r="AK193" i="9"/>
  <c r="BA193" i="9"/>
  <c r="BL200" i="9"/>
  <c r="AK202" i="9"/>
  <c r="AY200" i="9"/>
  <c r="BF201" i="9"/>
  <c r="AU187" i="9"/>
  <c r="BE193" i="9"/>
  <c r="AW201" i="9"/>
  <c r="BC201" i="9"/>
  <c r="AV193" i="9"/>
  <c r="AT185" i="9"/>
  <c r="AV199" i="9"/>
  <c r="AT201" i="9"/>
  <c r="BL185" i="9"/>
  <c r="AV185" i="9"/>
  <c r="BJ191" i="9"/>
  <c r="AQ185" i="9"/>
  <c r="BR199" i="9"/>
  <c r="BQ201" i="9"/>
  <c r="BJ199" i="9"/>
  <c r="AN201" i="9"/>
  <c r="BF196" i="9"/>
  <c r="AO184" i="9"/>
  <c r="AV200" i="9"/>
  <c r="BK185" i="9"/>
  <c r="BE199" i="9"/>
  <c r="BM199" i="9"/>
  <c r="BC187" i="9"/>
  <c r="AR199" i="9"/>
  <c r="BL193" i="9"/>
  <c r="BL201" i="9"/>
  <c r="AO193" i="9"/>
  <c r="AO201" i="9"/>
  <c r="BB185" i="9"/>
  <c r="AR201" i="9"/>
  <c r="AY202" i="9"/>
  <c r="AW196" i="9"/>
  <c r="AZ193" i="9"/>
  <c r="AZ201" i="9"/>
  <c r="AJ201" i="9"/>
  <c r="BI201" i="9"/>
  <c r="AZ199" i="9"/>
  <c r="BQ193" i="9"/>
  <c r="BN201" i="9"/>
  <c r="BM201" i="9"/>
  <c r="BJ201" i="9"/>
  <c r="AX199" i="9"/>
  <c r="BQ185" i="9"/>
  <c r="BP185" i="9"/>
  <c r="BK199" i="9"/>
  <c r="AU199" i="9"/>
  <c r="BR200" i="9"/>
  <c r="AS201" i="9"/>
  <c r="BJ196" i="9"/>
  <c r="D202" i="8"/>
  <c r="D265" i="8"/>
  <c r="J183" i="6"/>
  <c r="F381" i="9"/>
  <c r="D139" i="8"/>
  <c r="J139" i="6"/>
  <c r="J491" i="6"/>
  <c r="F501" i="9"/>
  <c r="J359" i="6"/>
  <c r="F645" i="9"/>
  <c r="F237" i="9"/>
  <c r="F669" i="9"/>
  <c r="J447" i="6"/>
  <c r="F597" i="9"/>
  <c r="F261" i="9"/>
  <c r="J205" i="6"/>
  <c r="D223" i="8"/>
  <c r="J425" i="6"/>
  <c r="D433" i="8"/>
  <c r="D286" i="8"/>
  <c r="J271" i="6"/>
  <c r="U1456" i="6"/>
  <c r="U772" i="6"/>
  <c r="U1252" i="6"/>
  <c r="U1319" i="6"/>
  <c r="U1353" i="6"/>
  <c r="U1354" i="6"/>
  <c r="U1321" i="6"/>
  <c r="U1329" i="6"/>
  <c r="U1348" i="6"/>
  <c r="U1350" i="6"/>
  <c r="AA18" i="2"/>
  <c r="L741" i="6"/>
  <c r="U741" i="6" s="1"/>
  <c r="U1346" i="6"/>
  <c r="U1261" i="6"/>
  <c r="U1285" i="6"/>
  <c r="U1356" i="6"/>
  <c r="U1333" i="6"/>
  <c r="U1357" i="6"/>
  <c r="U1358" i="6"/>
  <c r="U1502" i="6"/>
  <c r="U1486" i="6"/>
  <c r="U1485" i="6"/>
  <c r="L1351" i="6"/>
  <c r="U1351" i="6" s="1"/>
  <c r="U1522" i="6"/>
  <c r="C109" i="14"/>
  <c r="C111" i="14"/>
  <c r="C114" i="14"/>
  <c r="J513" i="6"/>
  <c r="F429" i="9"/>
  <c r="J293" i="6"/>
  <c r="U1317" i="6"/>
  <c r="U1265" i="6"/>
  <c r="L972" i="6"/>
  <c r="L970" i="6"/>
  <c r="U970" i="6" s="1"/>
  <c r="U1267" i="6"/>
  <c r="L1331" i="6"/>
  <c r="U1331" i="6" s="1"/>
  <c r="U1289" i="6"/>
  <c r="U1264" i="6"/>
  <c r="U1256" i="6"/>
  <c r="U1316" i="6"/>
  <c r="U1312" i="6"/>
  <c r="U1266" i="6"/>
  <c r="S54" i="4"/>
  <c r="AQ7" i="6"/>
  <c r="U1322" i="6"/>
  <c r="N1332" i="6"/>
  <c r="U1332" i="6" s="1"/>
  <c r="N1320" i="6"/>
  <c r="U1320" i="6" s="1"/>
  <c r="U1323" i="6"/>
  <c r="BO7" i="6"/>
  <c r="BT7" i="6"/>
  <c r="BU7" i="6" s="1"/>
  <c r="BY7" i="6"/>
  <c r="BZ7" i="6" s="1"/>
  <c r="BF7" i="6"/>
  <c r="AV7" i="6"/>
  <c r="BA7" i="6"/>
  <c r="T54" i="4"/>
  <c r="D328" i="8"/>
  <c r="J315" i="6"/>
  <c r="Z41" i="2"/>
  <c r="L1311" i="6"/>
  <c r="U1311" i="6" s="1"/>
  <c r="L1373" i="6"/>
  <c r="U1373" i="6" s="1"/>
  <c r="U1269" i="6"/>
  <c r="U1318" i="6"/>
  <c r="U1327" i="6"/>
  <c r="L1366" i="6"/>
  <c r="U1366" i="6" s="1"/>
  <c r="U1304" i="6"/>
  <c r="U1326" i="6"/>
  <c r="U1349" i="6"/>
  <c r="U1352" i="6"/>
  <c r="U1347" i="6"/>
  <c r="U1355" i="6"/>
  <c r="U1342" i="6"/>
  <c r="J469" i="6"/>
  <c r="F621" i="9"/>
  <c r="G547" i="8"/>
  <c r="U1334" i="6"/>
  <c r="U1314" i="6"/>
  <c r="U1330" i="6"/>
  <c r="U1340" i="6"/>
  <c r="O28" i="4"/>
  <c r="BZ769" i="9"/>
  <c r="BZ777" i="9"/>
  <c r="BZ779" i="9"/>
  <c r="BZ768" i="9"/>
  <c r="BZ778" i="9"/>
  <c r="BZ771" i="9"/>
  <c r="BZ765" i="9"/>
  <c r="BZ781" i="9"/>
  <c r="BZ766" i="9"/>
  <c r="BZ767" i="9" s="1"/>
  <c r="AV8" i="6"/>
  <c r="AG8" i="6"/>
  <c r="BF8" i="6"/>
  <c r="AQ8" i="6"/>
  <c r="G541" i="8"/>
  <c r="I860" i="9"/>
  <c r="AY579" i="8"/>
  <c r="H860" i="9"/>
  <c r="H35" i="9"/>
  <c r="I35" i="9" s="1"/>
  <c r="H43" i="9"/>
  <c r="I43" i="9" s="1"/>
  <c r="X70" i="14"/>
  <c r="X48" i="14" s="1"/>
  <c r="BP852" i="9"/>
  <c r="U70" i="14"/>
  <c r="U48" i="14" s="1"/>
  <c r="AH70" i="14"/>
  <c r="AH48" i="14" s="1"/>
  <c r="M70" i="14"/>
  <c r="M48" i="14" s="1"/>
  <c r="AY569" i="8"/>
  <c r="H38" i="9"/>
  <c r="I38" i="9" s="1"/>
  <c r="H41" i="9"/>
  <c r="I41" i="9" s="1"/>
  <c r="H33" i="9"/>
  <c r="I33" i="9" s="1"/>
  <c r="U1324" i="6"/>
  <c r="U1219" i="6"/>
  <c r="L19" i="2" s="1"/>
  <c r="G569" i="8"/>
  <c r="G32" i="8"/>
  <c r="G90" i="8"/>
  <c r="G105" i="8"/>
  <c r="AY100" i="8"/>
  <c r="G49" i="8"/>
  <c r="AV105" i="8"/>
  <c r="AY108" i="8"/>
  <c r="AY45" i="8"/>
  <c r="BA113" i="8"/>
  <c r="AY80" i="8"/>
  <c r="AY47" i="8"/>
  <c r="AY107" i="8"/>
  <c r="AV107" i="8"/>
  <c r="G107" i="8"/>
  <c r="BA59" i="8"/>
  <c r="G109" i="8"/>
  <c r="AY93" i="8"/>
  <c r="AY96" i="8"/>
  <c r="G104" i="8"/>
  <c r="AY112" i="8"/>
  <c r="AY32" i="8"/>
  <c r="AV68" i="8"/>
  <c r="AZ55" i="8"/>
  <c r="AZ92" i="8"/>
  <c r="AY49" i="8"/>
  <c r="G50" i="8"/>
  <c r="AZ32" i="8"/>
  <c r="BA32" i="8"/>
  <c r="AY105" i="8"/>
  <c r="AY104" i="8"/>
  <c r="AV49" i="8"/>
  <c r="AV112" i="8"/>
  <c r="BA81" i="8"/>
  <c r="G112" i="8"/>
  <c r="G47" i="8"/>
  <c r="AV109" i="8"/>
  <c r="AY109" i="8"/>
  <c r="G65" i="8"/>
  <c r="AV60" i="8"/>
  <c r="AV104" i="8"/>
  <c r="G68" i="8"/>
  <c r="AY68" i="8"/>
  <c r="G114" i="8"/>
  <c r="AY66" i="8"/>
  <c r="AV100" i="8"/>
  <c r="AY114" i="8"/>
  <c r="D412" i="8"/>
  <c r="F549" i="9"/>
  <c r="J403" i="6"/>
  <c r="H27" i="9"/>
  <c r="I27" i="9" s="1"/>
  <c r="AV80" i="8"/>
  <c r="AZ104" i="8"/>
  <c r="H36" i="9"/>
  <c r="I36" i="9" s="1"/>
  <c r="G80" i="8"/>
  <c r="G570" i="8"/>
  <c r="H39" i="9"/>
  <c r="I39" i="9" s="1"/>
  <c r="H42" i="9"/>
  <c r="I42" i="9" s="1"/>
  <c r="AV65" i="8"/>
  <c r="H37" i="9"/>
  <c r="I37" i="9" s="1"/>
  <c r="H30" i="9"/>
  <c r="I30" i="9" s="1"/>
  <c r="AZ100" i="8"/>
  <c r="AZ66" i="8"/>
  <c r="AY65" i="8"/>
  <c r="G100" i="8"/>
  <c r="AY61" i="8"/>
  <c r="H40" i="9"/>
  <c r="I40" i="9" s="1"/>
  <c r="B34" i="8"/>
  <c r="G70" i="8"/>
  <c r="AZ48" i="8"/>
  <c r="BA46" i="8"/>
  <c r="BA83" i="8"/>
  <c r="BA85" i="8"/>
  <c r="AY570" i="8"/>
  <c r="G60" i="8"/>
  <c r="H29" i="9"/>
  <c r="I29" i="9" s="1"/>
  <c r="H28" i="9"/>
  <c r="I28" i="9" s="1"/>
  <c r="H34" i="9"/>
  <c r="I34" i="9" s="1"/>
  <c r="H26" i="9"/>
  <c r="I26" i="9" s="1"/>
  <c r="H31" i="9"/>
  <c r="I31" i="9" s="1"/>
  <c r="J381" i="6"/>
  <c r="F525" i="9"/>
  <c r="D391" i="8"/>
  <c r="J227" i="6"/>
  <c r="F357" i="9"/>
  <c r="D244" i="8"/>
  <c r="D181" i="8"/>
  <c r="J161" i="6"/>
  <c r="F285" i="9"/>
  <c r="AZ108" i="8"/>
  <c r="AZ46" i="8"/>
  <c r="BA76" i="8"/>
  <c r="AZ68" i="8"/>
  <c r="AZ50" i="8"/>
  <c r="BA45" i="8"/>
  <c r="H44" i="9"/>
  <c r="I44" i="9" s="1"/>
  <c r="AZ85" i="8"/>
  <c r="AZ90" i="8"/>
  <c r="AZ91" i="8"/>
  <c r="AZ83" i="8"/>
  <c r="AZ47" i="8"/>
  <c r="BA49" i="8"/>
  <c r="BA100" i="8"/>
  <c r="AZ49" i="8"/>
  <c r="AZ59" i="8"/>
  <c r="G85" i="8"/>
  <c r="AY113" i="8"/>
  <c r="AV113" i="8"/>
  <c r="G113" i="8"/>
  <c r="AY90" i="8"/>
  <c r="AZ64" i="8"/>
  <c r="BA55" i="8"/>
  <c r="AZ105" i="8"/>
  <c r="BA87" i="8"/>
  <c r="BA71" i="8"/>
  <c r="AY85" i="8"/>
  <c r="AV90" i="8"/>
  <c r="AY92" i="8"/>
  <c r="BA91" i="8"/>
  <c r="AZ76" i="8"/>
  <c r="BA66" i="8"/>
  <c r="BA68" i="8"/>
  <c r="BA65" i="8"/>
  <c r="BA112" i="8"/>
  <c r="BA114" i="8"/>
  <c r="AZ70" i="8"/>
  <c r="BA72" i="8"/>
  <c r="BA104" i="8"/>
  <c r="G59" i="8"/>
  <c r="AY59" i="8"/>
  <c r="AV59" i="8"/>
  <c r="AZ98" i="8"/>
  <c r="AZ114" i="8"/>
  <c r="BA96" i="8"/>
  <c r="AZ65" i="8"/>
  <c r="AZ107" i="8"/>
  <c r="AZ112" i="8"/>
  <c r="BA80" i="8"/>
  <c r="BA105" i="8"/>
  <c r="BA44" i="8"/>
  <c r="AZ87" i="8"/>
  <c r="AZ71" i="8"/>
  <c r="AV71" i="8"/>
  <c r="G71" i="8"/>
  <c r="AY71" i="8"/>
  <c r="G72" i="8"/>
  <c r="AY72" i="8"/>
  <c r="AV72" i="8"/>
  <c r="AV85" i="8"/>
  <c r="BA60" i="8"/>
  <c r="BA108" i="8"/>
  <c r="AW36" i="8"/>
  <c r="AZ36" i="8" s="1"/>
  <c r="AZ96" i="8"/>
  <c r="G579" i="8"/>
  <c r="BA107" i="8"/>
  <c r="AZ113" i="8"/>
  <c r="AZ72" i="8"/>
  <c r="BA109" i="8"/>
  <c r="AV87" i="8"/>
  <c r="AY87" i="8"/>
  <c r="G87" i="8"/>
  <c r="E662" i="11"/>
  <c r="N1186" i="6" s="1"/>
  <c r="AZ60" i="8"/>
  <c r="BA61" i="8"/>
  <c r="BA50" i="8"/>
  <c r="AZ80" i="8"/>
  <c r="AZ109" i="8"/>
  <c r="AZ44" i="8"/>
  <c r="BA93" i="8"/>
  <c r="AY547" i="8"/>
  <c r="AY44" i="8"/>
  <c r="AV44" i="8"/>
  <c r="G44" i="8"/>
  <c r="H32" i="9"/>
  <c r="I32" i="9" s="1"/>
  <c r="AZ81" i="8"/>
  <c r="AY48" i="8"/>
  <c r="AY50" i="8"/>
  <c r="AV50" i="8"/>
  <c r="AZ45" i="8"/>
  <c r="G45" i="8"/>
  <c r="AV45" i="8"/>
  <c r="B540" i="8"/>
  <c r="BA48" i="8"/>
  <c r="AY55" i="8"/>
  <c r="AV55" i="8"/>
  <c r="G55" i="8"/>
  <c r="AY46" i="8"/>
  <c r="G46" i="8"/>
  <c r="AV46" i="8"/>
  <c r="G91" i="8"/>
  <c r="AV91" i="8"/>
  <c r="AY91" i="8"/>
  <c r="G83" i="8"/>
  <c r="AY83" i="8"/>
  <c r="AV83" i="8"/>
  <c r="I859" i="9"/>
  <c r="D662" i="11"/>
  <c r="L1186" i="6" s="1"/>
  <c r="AV61" i="8"/>
  <c r="G61" i="8"/>
  <c r="G66" i="8"/>
  <c r="AV66" i="8"/>
  <c r="AV114" i="8"/>
  <c r="AV70" i="8"/>
  <c r="AY541" i="8"/>
  <c r="BA47" i="8"/>
  <c r="AV47" i="8"/>
  <c r="B40" i="8"/>
  <c r="AX35" i="8"/>
  <c r="BA70" i="8"/>
  <c r="AV81" i="8"/>
  <c r="AY81" i="8"/>
  <c r="G81" i="8"/>
  <c r="AZ43" i="8"/>
  <c r="AY43" i="8"/>
  <c r="BA43" i="8"/>
  <c r="AV43" i="8"/>
  <c r="G43" i="8"/>
  <c r="AZ61" i="8"/>
  <c r="BA98" i="8"/>
  <c r="AY70" i="8"/>
  <c r="AV48" i="8"/>
  <c r="G48" i="8"/>
  <c r="AY60" i="8"/>
  <c r="AZ93" i="8"/>
  <c r="AV93" i="8"/>
  <c r="G93" i="8"/>
  <c r="BA92" i="8"/>
  <c r="AV92" i="8"/>
  <c r="G92" i="8"/>
  <c r="D349" i="8"/>
  <c r="J337" i="6"/>
  <c r="F477" i="9"/>
  <c r="G64" i="8"/>
  <c r="AV64" i="8"/>
  <c r="AY64" i="8"/>
  <c r="BA64" i="8"/>
  <c r="AV76" i="8"/>
  <c r="AY76" i="8"/>
  <c r="G76" i="8"/>
  <c r="AV79" i="8"/>
  <c r="G79" i="8"/>
  <c r="AY79" i="8"/>
  <c r="AZ79" i="8"/>
  <c r="BA79" i="8"/>
  <c r="AZ53" i="8"/>
  <c r="BA53" i="8"/>
  <c r="AY53" i="8"/>
  <c r="G53" i="8"/>
  <c r="AV53" i="8"/>
  <c r="D118" i="8"/>
  <c r="J95" i="6"/>
  <c r="F213" i="9"/>
  <c r="AV108" i="8"/>
  <c r="G108" i="8"/>
  <c r="G96" i="8"/>
  <c r="AV96" i="8"/>
  <c r="G572" i="8"/>
  <c r="AY572" i="8"/>
  <c r="AY582" i="8"/>
  <c r="G582" i="8"/>
  <c r="AY581" i="8"/>
  <c r="G581" i="8"/>
  <c r="G551" i="8"/>
  <c r="AY551" i="8"/>
  <c r="AY550" i="8"/>
  <c r="G550" i="8"/>
  <c r="AY101" i="8"/>
  <c r="AZ101" i="8"/>
  <c r="BA101" i="8"/>
  <c r="G101" i="8"/>
  <c r="AV101" i="8"/>
  <c r="AY573" i="8"/>
  <c r="G573" i="8"/>
  <c r="AY552" i="8"/>
  <c r="G552" i="8"/>
  <c r="AY543" i="8"/>
  <c r="G543" i="8"/>
  <c r="G561" i="8"/>
  <c r="AY561" i="8"/>
  <c r="AY54" i="8"/>
  <c r="AZ54" i="8"/>
  <c r="AV54" i="8"/>
  <c r="BA54" i="8"/>
  <c r="G54" i="8"/>
  <c r="AY75" i="8"/>
  <c r="BA75" i="8"/>
  <c r="AZ75" i="8"/>
  <c r="AV75" i="8"/>
  <c r="G75" i="8"/>
  <c r="G98" i="8"/>
  <c r="AY98" i="8"/>
  <c r="AY574" i="8"/>
  <c r="G574" i="8"/>
  <c r="G111" i="8"/>
  <c r="AZ111" i="8"/>
  <c r="BA111" i="8"/>
  <c r="AV111" i="8"/>
  <c r="AY111" i="8"/>
  <c r="AY567" i="8"/>
  <c r="G567" i="8"/>
  <c r="AY548" i="8"/>
  <c r="G548" i="8"/>
  <c r="AY576" i="8"/>
  <c r="G576" i="8"/>
  <c r="AY575" i="8"/>
  <c r="G575" i="8"/>
  <c r="AY553" i="8"/>
  <c r="G553" i="8"/>
  <c r="AY580" i="8"/>
  <c r="G580" i="8"/>
  <c r="AZ88" i="8"/>
  <c r="AY88" i="8"/>
  <c r="BA88" i="8"/>
  <c r="AV88" i="8"/>
  <c r="G88" i="8"/>
  <c r="AZ42" i="8"/>
  <c r="BA42" i="8"/>
  <c r="AY42" i="8"/>
  <c r="AV42" i="8"/>
  <c r="G42" i="8"/>
  <c r="BA58" i="8"/>
  <c r="AV58" i="8"/>
  <c r="AY58" i="8"/>
  <c r="G58" i="8"/>
  <c r="AZ58" i="8"/>
  <c r="U794" i="6"/>
  <c r="U793" i="6"/>
  <c r="U795" i="6"/>
  <c r="U792" i="6"/>
  <c r="G568" i="8"/>
  <c r="AY568" i="8"/>
  <c r="AY67" i="8"/>
  <c r="BA67" i="8"/>
  <c r="AZ67" i="8"/>
  <c r="AV67" i="8"/>
  <c r="G67" i="8"/>
  <c r="BA106" i="8"/>
  <c r="AZ106" i="8"/>
  <c r="AY106" i="8"/>
  <c r="G106" i="8"/>
  <c r="AV106" i="8"/>
  <c r="AY94" i="8"/>
  <c r="BA94" i="8"/>
  <c r="AZ94" i="8"/>
  <c r="G94" i="8"/>
  <c r="AV94" i="8"/>
  <c r="G578" i="8"/>
  <c r="AY578" i="8"/>
  <c r="G589" i="8"/>
  <c r="AY589" i="8"/>
  <c r="AY102" i="8"/>
  <c r="BA102" i="8"/>
  <c r="AZ102" i="8"/>
  <c r="G102" i="8"/>
  <c r="AV102" i="8"/>
  <c r="G558" i="8"/>
  <c r="AY558" i="8"/>
  <c r="AY545" i="8"/>
  <c r="G545" i="8"/>
  <c r="AZ82" i="8"/>
  <c r="BA82" i="8"/>
  <c r="G82" i="8"/>
  <c r="AY82" i="8"/>
  <c r="AV82" i="8"/>
  <c r="AY62" i="8"/>
  <c r="BA62" i="8"/>
  <c r="AZ62" i="8"/>
  <c r="AV62" i="8"/>
  <c r="G62" i="8"/>
  <c r="AX41" i="8"/>
  <c r="AW41" i="8"/>
  <c r="U1381" i="6"/>
  <c r="AA9" i="2"/>
  <c r="AA8" i="2"/>
  <c r="AY95" i="8"/>
  <c r="AZ95" i="8"/>
  <c r="AV95" i="8"/>
  <c r="G95" i="8"/>
  <c r="BA95" i="8"/>
  <c r="H859" i="9"/>
  <c r="BA90" i="8"/>
  <c r="AZ89" i="8"/>
  <c r="BA89" i="8"/>
  <c r="AY89" i="8"/>
  <c r="G89" i="8"/>
  <c r="AV89" i="8"/>
  <c r="AY549" i="8"/>
  <c r="G549" i="8"/>
  <c r="G544" i="8"/>
  <c r="AY544" i="8"/>
  <c r="AY571" i="8"/>
  <c r="G571" i="8"/>
  <c r="AY586" i="8"/>
  <c r="G586" i="8"/>
  <c r="AY97" i="8"/>
  <c r="AZ97" i="8"/>
  <c r="BA97" i="8"/>
  <c r="AV97" i="8"/>
  <c r="G97" i="8"/>
  <c r="G565" i="8"/>
  <c r="AY565" i="8"/>
  <c r="AY564" i="8"/>
  <c r="G564" i="8"/>
  <c r="AZ103" i="8"/>
  <c r="BA103" i="8"/>
  <c r="G103" i="8"/>
  <c r="AY103" i="8"/>
  <c r="AV103" i="8"/>
  <c r="AV98" i="8"/>
  <c r="AY52" i="8"/>
  <c r="AZ52" i="8"/>
  <c r="G52" i="8"/>
  <c r="BA52" i="8"/>
  <c r="AV52" i="8"/>
  <c r="AZ33" i="8"/>
  <c r="AY33" i="8"/>
  <c r="BA33" i="8"/>
  <c r="AV33" i="8"/>
  <c r="G33" i="8"/>
  <c r="AZ74" i="8"/>
  <c r="BA74" i="8"/>
  <c r="AY74" i="8"/>
  <c r="AV74" i="8"/>
  <c r="G74" i="8"/>
  <c r="G563" i="8"/>
  <c r="AY563" i="8"/>
  <c r="G562" i="8"/>
  <c r="AY562" i="8"/>
  <c r="G556" i="8"/>
  <c r="AY556" i="8"/>
  <c r="BA99" i="8"/>
  <c r="AZ99" i="8"/>
  <c r="AY99" i="8"/>
  <c r="AV99" i="8"/>
  <c r="G99" i="8"/>
  <c r="G554" i="8"/>
  <c r="AY554" i="8"/>
  <c r="AZ69" i="8"/>
  <c r="BA69" i="8"/>
  <c r="AY69" i="8"/>
  <c r="AV69" i="8"/>
  <c r="G69" i="8"/>
  <c r="AZ37" i="8"/>
  <c r="BA37" i="8"/>
  <c r="AY37" i="8"/>
  <c r="AV37" i="8"/>
  <c r="G37" i="8"/>
  <c r="AZ56" i="8"/>
  <c r="BA56" i="8"/>
  <c r="AY56" i="8"/>
  <c r="AV56" i="8"/>
  <c r="G56" i="8"/>
  <c r="AY560" i="8"/>
  <c r="G560" i="8"/>
  <c r="AY559" i="8"/>
  <c r="G559" i="8"/>
  <c r="BA77" i="8"/>
  <c r="AY77" i="8"/>
  <c r="AZ77" i="8"/>
  <c r="AV77" i="8"/>
  <c r="G77" i="8"/>
  <c r="G583" i="8"/>
  <c r="AY583" i="8"/>
  <c r="AY588" i="8"/>
  <c r="G588" i="8"/>
  <c r="AY566" i="8"/>
  <c r="G566" i="8"/>
  <c r="G585" i="8"/>
  <c r="AY585" i="8"/>
  <c r="AY555" i="8"/>
  <c r="G555" i="8"/>
  <c r="AY86" i="8"/>
  <c r="BA86" i="8"/>
  <c r="AZ86" i="8"/>
  <c r="AV86" i="8"/>
  <c r="G86" i="8"/>
  <c r="AZ63" i="8"/>
  <c r="AY63" i="8"/>
  <c r="BA63" i="8"/>
  <c r="AV63" i="8"/>
  <c r="G63" i="8"/>
  <c r="AY57" i="8"/>
  <c r="AZ57" i="8"/>
  <c r="BA57" i="8"/>
  <c r="AV57" i="8"/>
  <c r="G57" i="8"/>
  <c r="G584" i="8"/>
  <c r="AY584" i="8"/>
  <c r="AZ84" i="8"/>
  <c r="AY84" i="8"/>
  <c r="BA84" i="8"/>
  <c r="AV84" i="8"/>
  <c r="G84" i="8"/>
  <c r="AY78" i="8"/>
  <c r="BA78" i="8"/>
  <c r="AZ78" i="8"/>
  <c r="AV78" i="8"/>
  <c r="G78" i="8"/>
  <c r="BA38" i="8"/>
  <c r="AY38" i="8"/>
  <c r="AZ38" i="8"/>
  <c r="AV38" i="8"/>
  <c r="G38" i="8"/>
  <c r="BA51" i="8"/>
  <c r="AZ51" i="8"/>
  <c r="AY51" i="8"/>
  <c r="G51" i="8"/>
  <c r="AV51" i="8"/>
  <c r="AY577" i="8"/>
  <c r="G577" i="8"/>
  <c r="G587" i="8"/>
  <c r="AY587" i="8"/>
  <c r="G557" i="8"/>
  <c r="AY557" i="8"/>
  <c r="AY546" i="8"/>
  <c r="G546" i="8"/>
  <c r="G542" i="8"/>
  <c r="AY542" i="8"/>
  <c r="BA110" i="8"/>
  <c r="AZ110" i="8"/>
  <c r="AV110" i="8"/>
  <c r="G110" i="8"/>
  <c r="AY110" i="8"/>
  <c r="AZ39" i="8"/>
  <c r="AY39" i="8"/>
  <c r="BA39" i="8"/>
  <c r="G39" i="8"/>
  <c r="AV39" i="8"/>
  <c r="BA73" i="8"/>
  <c r="AY73" i="8"/>
  <c r="AZ73" i="8"/>
  <c r="AV73" i="8"/>
  <c r="G73" i="8"/>
  <c r="BI38" i="4" l="1"/>
  <c r="BG38" i="4"/>
  <c r="BH38" i="4"/>
  <c r="BF38" i="4"/>
  <c r="BK38" i="4"/>
  <c r="BJ38" i="4"/>
  <c r="AN35" i="4"/>
  <c r="BI35" i="4" s="1"/>
  <c r="AN34" i="4"/>
  <c r="AR34" i="4"/>
  <c r="AZ190" i="9"/>
  <c r="AX194" i="9"/>
  <c r="BG194" i="9"/>
  <c r="BK194" i="9"/>
  <c r="AU194" i="9"/>
  <c r="L1396" i="6"/>
  <c r="AO194" i="9"/>
  <c r="AK190" i="9"/>
  <c r="AJ194" i="9"/>
  <c r="AR194" i="9"/>
  <c r="BR194" i="9"/>
  <c r="AQ194" i="9"/>
  <c r="BE194" i="9"/>
  <c r="BB194" i="9"/>
  <c r="AZ194" i="9"/>
  <c r="BD194" i="9"/>
  <c r="BK198" i="9"/>
  <c r="BL198" i="9"/>
  <c r="BQ198" i="9"/>
  <c r="AR198" i="9"/>
  <c r="AO198" i="9"/>
  <c r="AU198" i="9"/>
  <c r="BI198" i="9"/>
  <c r="BE198" i="9"/>
  <c r="AJ198" i="9"/>
  <c r="AN198" i="9"/>
  <c r="BM198" i="9"/>
  <c r="AK198" i="9"/>
  <c r="AM198" i="9"/>
  <c r="AW198" i="9"/>
  <c r="BJ198" i="9"/>
  <c r="BO198" i="9"/>
  <c r="BR198" i="9"/>
  <c r="AI198" i="9"/>
  <c r="AY198" i="9"/>
  <c r="L1400" i="6"/>
  <c r="AL198" i="9"/>
  <c r="BB198" i="9"/>
  <c r="AT198" i="9"/>
  <c r="BP198" i="9"/>
  <c r="BD198" i="9"/>
  <c r="BA198" i="9"/>
  <c r="AV198" i="9"/>
  <c r="BF198" i="9"/>
  <c r="BH198" i="9"/>
  <c r="BG198" i="9"/>
  <c r="AP198" i="9"/>
  <c r="AX198" i="9"/>
  <c r="AZ198" i="9"/>
  <c r="BC198" i="9"/>
  <c r="BN198" i="9"/>
  <c r="AQ198" i="9"/>
  <c r="AN190" i="9"/>
  <c r="BM194" i="9"/>
  <c r="BP194" i="9"/>
  <c r="BI194" i="9"/>
  <c r="BC194" i="9"/>
  <c r="BR190" i="9"/>
  <c r="AW194" i="9"/>
  <c r="AI194" i="9"/>
  <c r="BJ194" i="9"/>
  <c r="AT194" i="9"/>
  <c r="AV194" i="9"/>
  <c r="AL194" i="9"/>
  <c r="AN194" i="9"/>
  <c r="AY194" i="9"/>
  <c r="AM194" i="9"/>
  <c r="AP194" i="9"/>
  <c r="AP190" i="9"/>
  <c r="BH194" i="9"/>
  <c r="BA194" i="9"/>
  <c r="AK194" i="9"/>
  <c r="BL194" i="9"/>
  <c r="BN194" i="9"/>
  <c r="BF194" i="9"/>
  <c r="BQ194" i="9"/>
  <c r="BO194" i="9"/>
  <c r="AX188" i="9"/>
  <c r="BO190" i="9"/>
  <c r="BF188" i="9"/>
  <c r="BM188" i="9"/>
  <c r="BJ188" i="9"/>
  <c r="BC188" i="9"/>
  <c r="AZ188" i="9"/>
  <c r="BA188" i="9"/>
  <c r="AS188" i="9"/>
  <c r="AJ190" i="9"/>
  <c r="AM190" i="9"/>
  <c r="AY190" i="9"/>
  <c r="BD190" i="9"/>
  <c r="L1392" i="6"/>
  <c r="BB190" i="9"/>
  <c r="BJ190" i="9"/>
  <c r="AR190" i="9"/>
  <c r="AL190" i="9"/>
  <c r="AQ190" i="9"/>
  <c r="BN189" i="9"/>
  <c r="BI190" i="9"/>
  <c r="AU190" i="9"/>
  <c r="BP190" i="9"/>
  <c r="BC190" i="9"/>
  <c r="BH190" i="9"/>
  <c r="BL190" i="9"/>
  <c r="AO190" i="9"/>
  <c r="BQ190" i="9"/>
  <c r="AS190" i="9"/>
  <c r="BK190" i="9"/>
  <c r="O23" i="4"/>
  <c r="AQ189" i="9"/>
  <c r="AI189" i="9"/>
  <c r="AM189" i="9"/>
  <c r="BO189" i="9"/>
  <c r="BK189" i="9"/>
  <c r="BA189" i="9"/>
  <c r="BF189" i="9"/>
  <c r="L1391" i="6"/>
  <c r="BC189" i="9"/>
  <c r="AU189" i="9"/>
  <c r="AX189" i="9"/>
  <c r="AN189" i="9"/>
  <c r="BD189" i="9"/>
  <c r="BG189" i="9"/>
  <c r="AI190" i="9"/>
  <c r="BM189" i="9"/>
  <c r="AT189" i="9"/>
  <c r="BN190" i="9"/>
  <c r="AW189" i="9"/>
  <c r="AK189" i="9"/>
  <c r="BF190" i="9"/>
  <c r="BM190" i="9"/>
  <c r="AW190" i="9"/>
  <c r="AZ189" i="9"/>
  <c r="BA190" i="9"/>
  <c r="BE190" i="9"/>
  <c r="AW188" i="9"/>
  <c r="AU188" i="9"/>
  <c r="AK188" i="9"/>
  <c r="BI188" i="9"/>
  <c r="BK188" i="9"/>
  <c r="AV190" i="9"/>
  <c r="AX190" i="9"/>
  <c r="BG188" i="9"/>
  <c r="AY188" i="9"/>
  <c r="BI189" i="9"/>
  <c r="AL189" i="9"/>
  <c r="BH189" i="9"/>
  <c r="AY189" i="9"/>
  <c r="AV189" i="9"/>
  <c r="AO189" i="9"/>
  <c r="BR189" i="9"/>
  <c r="BP189" i="9"/>
  <c r="AP189" i="9"/>
  <c r="BJ189" i="9"/>
  <c r="BG190" i="9"/>
  <c r="AR189" i="9"/>
  <c r="BB189" i="9"/>
  <c r="AJ189" i="9"/>
  <c r="BL189" i="9"/>
  <c r="AS189" i="9"/>
  <c r="BE189" i="9"/>
  <c r="BK192" i="9"/>
  <c r="AR192" i="9"/>
  <c r="AP192" i="9"/>
  <c r="AU192" i="9"/>
  <c r="BL192" i="9"/>
  <c r="BD192" i="9"/>
  <c r="BQ192" i="9"/>
  <c r="AN192" i="9"/>
  <c r="BA192" i="9"/>
  <c r="AX192" i="9"/>
  <c r="AQ192" i="9"/>
  <c r="BJ192" i="9"/>
  <c r="AJ192" i="9"/>
  <c r="BR192" i="9"/>
  <c r="BC192" i="9"/>
  <c r="AK192" i="9"/>
  <c r="AM192" i="9"/>
  <c r="BH192" i="9"/>
  <c r="BF192" i="9"/>
  <c r="BG192" i="9"/>
  <c r="AZ192" i="9"/>
  <c r="BP192" i="9"/>
  <c r="BO192" i="9"/>
  <c r="AI192" i="9"/>
  <c r="L1394" i="6"/>
  <c r="AY192" i="9"/>
  <c r="AO192" i="9"/>
  <c r="AT192" i="9"/>
  <c r="AS192" i="9"/>
  <c r="AL192" i="9"/>
  <c r="BM192" i="9"/>
  <c r="BB192" i="9"/>
  <c r="BE192" i="9"/>
  <c r="BI192" i="9"/>
  <c r="AW192" i="9"/>
  <c r="AV192" i="9"/>
  <c r="BP188" i="9"/>
  <c r="BN188" i="9"/>
  <c r="AI188" i="9"/>
  <c r="AR188" i="9"/>
  <c r="BH188" i="9"/>
  <c r="AT188" i="9"/>
  <c r="AJ188" i="9"/>
  <c r="BR188" i="9"/>
  <c r="AL188" i="9"/>
  <c r="BE188" i="9"/>
  <c r="BO188" i="9"/>
  <c r="AP188" i="9"/>
  <c r="AO188" i="9"/>
  <c r="L1390" i="6"/>
  <c r="BL188" i="9"/>
  <c r="BB188" i="9"/>
  <c r="AM188" i="9"/>
  <c r="BD188" i="9"/>
  <c r="AV188" i="9"/>
  <c r="AQ188" i="9"/>
  <c r="AN188" i="9"/>
  <c r="O852" i="9"/>
  <c r="P852" i="9" s="1"/>
  <c r="Q852" i="9" s="1"/>
  <c r="BZ216" i="9"/>
  <c r="AH90" i="9" a="1"/>
  <c r="AH90" i="9" s="1"/>
  <c r="AH196" i="9" s="1"/>
  <c r="X90" i="9" a="1"/>
  <c r="X90" i="9" s="1"/>
  <c r="X196" i="9" s="1"/>
  <c r="AC90" i="9" a="1"/>
  <c r="AC90" i="9" s="1"/>
  <c r="AC196" i="9" s="1"/>
  <c r="V90" i="9" a="1"/>
  <c r="V90" i="9" s="1"/>
  <c r="V196" i="9" s="1"/>
  <c r="W90" i="9" a="1"/>
  <c r="W90" i="9" s="1"/>
  <c r="W196" i="9" s="1"/>
  <c r="AA90" i="9" a="1"/>
  <c r="AA90" i="9" s="1"/>
  <c r="AA196" i="9" s="1"/>
  <c r="AB90" i="9" a="1"/>
  <c r="AB90" i="9" s="1"/>
  <c r="AB196" i="9" s="1"/>
  <c r="AG90" i="9" a="1"/>
  <c r="AG90" i="9" s="1"/>
  <c r="AG196" i="9" s="1"/>
  <c r="Z90" i="9" a="1"/>
  <c r="Z90" i="9" s="1"/>
  <c r="Z196" i="9" s="1"/>
  <c r="U90" i="9" a="1"/>
  <c r="U90" i="9" s="1"/>
  <c r="U196" i="9" s="1"/>
  <c r="Y90" i="9" a="1"/>
  <c r="Y90" i="9" s="1"/>
  <c r="Y196" i="9" s="1"/>
  <c r="AE90" i="9" a="1"/>
  <c r="AE90" i="9" s="1"/>
  <c r="AE196" i="9" s="1"/>
  <c r="AF90" i="9" a="1"/>
  <c r="AF90" i="9" s="1"/>
  <c r="AF196" i="9" s="1"/>
  <c r="AD90" i="9" a="1"/>
  <c r="AD90" i="9" s="1"/>
  <c r="AD196" i="9" s="1"/>
  <c r="V80" i="9" a="1"/>
  <c r="V80" i="9" s="1"/>
  <c r="V186" i="9" s="1"/>
  <c r="AE80" i="9" a="1"/>
  <c r="AE80" i="9" s="1"/>
  <c r="AE186" i="9" s="1"/>
  <c r="X80" i="9" a="1"/>
  <c r="X80" i="9" s="1"/>
  <c r="X186" i="9" s="1"/>
  <c r="AB80" i="9" a="1"/>
  <c r="AB80" i="9" s="1"/>
  <c r="AB186" i="9" s="1"/>
  <c r="U80" i="9" a="1"/>
  <c r="U80" i="9" s="1"/>
  <c r="U186" i="9" s="1"/>
  <c r="AH80" i="9" a="1"/>
  <c r="AH80" i="9" s="1"/>
  <c r="AH186" i="9" s="1"/>
  <c r="AD80" i="9" a="1"/>
  <c r="AD80" i="9" s="1"/>
  <c r="AD186" i="9" s="1"/>
  <c r="W80" i="9" a="1"/>
  <c r="W80" i="9" s="1"/>
  <c r="W186" i="9" s="1"/>
  <c r="Z80" i="9" a="1"/>
  <c r="Z80" i="9" s="1"/>
  <c r="Z186" i="9" s="1"/>
  <c r="AF80" i="9" a="1"/>
  <c r="AF80" i="9" s="1"/>
  <c r="AF186" i="9" s="1"/>
  <c r="Y80" i="9" a="1"/>
  <c r="Y80" i="9" s="1"/>
  <c r="Y186" i="9" s="1"/>
  <c r="AA80" i="9" a="1"/>
  <c r="AA80" i="9" s="1"/>
  <c r="AA186" i="9" s="1"/>
  <c r="AG80" i="9" a="1"/>
  <c r="AG80" i="9" s="1"/>
  <c r="AG186" i="9" s="1"/>
  <c r="AC80" i="9" a="1"/>
  <c r="AC80" i="9" s="1"/>
  <c r="AC186" i="9" s="1"/>
  <c r="AF82" i="9" a="1"/>
  <c r="AF82" i="9" s="1"/>
  <c r="AF188" i="9" s="1"/>
  <c r="AE82" i="9" a="1"/>
  <c r="AE82" i="9" s="1"/>
  <c r="AE188" i="9" s="1"/>
  <c r="V82" i="9" a="1"/>
  <c r="V82" i="9" s="1"/>
  <c r="V188" i="9" s="1"/>
  <c r="AC82" i="9" a="1"/>
  <c r="AC82" i="9" s="1"/>
  <c r="AC188" i="9" s="1"/>
  <c r="AH82" i="9" a="1"/>
  <c r="AH82" i="9" s="1"/>
  <c r="AH188" i="9" s="1"/>
  <c r="AD82" i="9" a="1"/>
  <c r="AD82" i="9" s="1"/>
  <c r="AD188" i="9" s="1"/>
  <c r="U82" i="9" a="1"/>
  <c r="U82" i="9" s="1"/>
  <c r="U188" i="9" s="1"/>
  <c r="X82" i="9" a="1"/>
  <c r="X82" i="9" s="1"/>
  <c r="X188" i="9" s="1"/>
  <c r="Y82" i="9" a="1"/>
  <c r="Y82" i="9" s="1"/>
  <c r="Y188" i="9" s="1"/>
  <c r="Z82" i="9" a="1"/>
  <c r="Z82" i="9" s="1"/>
  <c r="Z188" i="9" s="1"/>
  <c r="W82" i="9" a="1"/>
  <c r="W82" i="9" s="1"/>
  <c r="W188" i="9" s="1"/>
  <c r="AA82" i="9" a="1"/>
  <c r="AA82" i="9" s="1"/>
  <c r="AA188" i="9" s="1"/>
  <c r="AB82" i="9" a="1"/>
  <c r="AB82" i="9" s="1"/>
  <c r="AB188" i="9" s="1"/>
  <c r="AG82" i="9" a="1"/>
  <c r="AG82" i="9" s="1"/>
  <c r="AG188" i="9" s="1"/>
  <c r="AB93" i="9" a="1"/>
  <c r="AB93" i="9" s="1"/>
  <c r="AB199" i="9" s="1"/>
  <c r="AC93" i="9" a="1"/>
  <c r="AC93" i="9" s="1"/>
  <c r="AC199" i="9" s="1"/>
  <c r="U93" i="9" a="1"/>
  <c r="U93" i="9" s="1"/>
  <c r="U199" i="9" s="1"/>
  <c r="Z93" i="9" a="1"/>
  <c r="Z93" i="9" s="1"/>
  <c r="Z199" i="9" s="1"/>
  <c r="X93" i="9" a="1"/>
  <c r="X93" i="9" s="1"/>
  <c r="X199" i="9" s="1"/>
  <c r="Y93" i="9" a="1"/>
  <c r="Y93" i="9" s="1"/>
  <c r="Y199" i="9" s="1"/>
  <c r="AG93" i="9" a="1"/>
  <c r="AG93" i="9" s="1"/>
  <c r="AG199" i="9" s="1"/>
  <c r="AF93" i="9" a="1"/>
  <c r="AF93" i="9" s="1"/>
  <c r="AF199" i="9" s="1"/>
  <c r="V93" i="9" a="1"/>
  <c r="V93" i="9" s="1"/>
  <c r="V199" i="9" s="1"/>
  <c r="AH93" i="9" a="1"/>
  <c r="AH93" i="9" s="1"/>
  <c r="AH199" i="9" s="1"/>
  <c r="AE93" i="9" a="1"/>
  <c r="AE93" i="9" s="1"/>
  <c r="AE199" i="9" s="1"/>
  <c r="W93" i="9" a="1"/>
  <c r="W93" i="9" s="1"/>
  <c r="W199" i="9" s="1"/>
  <c r="AA93" i="9" a="1"/>
  <c r="AA93" i="9" s="1"/>
  <c r="AA199" i="9" s="1"/>
  <c r="AD93" i="9" a="1"/>
  <c r="AD93" i="9" s="1"/>
  <c r="AD199" i="9" s="1"/>
  <c r="Y95" i="9" a="1"/>
  <c r="Y95" i="9" s="1"/>
  <c r="Y201" i="9" s="1"/>
  <c r="AB95" i="9" a="1"/>
  <c r="AB95" i="9" s="1"/>
  <c r="AB201" i="9" s="1"/>
  <c r="AF95" i="9" a="1"/>
  <c r="AF95" i="9" s="1"/>
  <c r="AF201" i="9" s="1"/>
  <c r="U95" i="9" a="1"/>
  <c r="U95" i="9" s="1"/>
  <c r="U201" i="9" s="1"/>
  <c r="AG95" i="9" a="1"/>
  <c r="AG95" i="9" s="1"/>
  <c r="AG201" i="9" s="1"/>
  <c r="AD95" i="9" a="1"/>
  <c r="AD95" i="9" s="1"/>
  <c r="AD201" i="9" s="1"/>
  <c r="AH95" i="9" a="1"/>
  <c r="AH95" i="9" s="1"/>
  <c r="AH201" i="9" s="1"/>
  <c r="X95" i="9" a="1"/>
  <c r="X95" i="9" s="1"/>
  <c r="X201" i="9" s="1"/>
  <c r="V95" i="9" a="1"/>
  <c r="V95" i="9" s="1"/>
  <c r="V201" i="9" s="1"/>
  <c r="W95" i="9" a="1"/>
  <c r="W95" i="9" s="1"/>
  <c r="W201" i="9" s="1"/>
  <c r="Z95" i="9" a="1"/>
  <c r="Z95" i="9" s="1"/>
  <c r="Z201" i="9" s="1"/>
  <c r="AC95" i="9" a="1"/>
  <c r="AC95" i="9" s="1"/>
  <c r="AC201" i="9" s="1"/>
  <c r="AA95" i="9" a="1"/>
  <c r="AA95" i="9" s="1"/>
  <c r="AA201" i="9" s="1"/>
  <c r="AE95" i="9" a="1"/>
  <c r="AE95" i="9" s="1"/>
  <c r="AE201" i="9" s="1"/>
  <c r="AH87" i="9" a="1"/>
  <c r="AH87" i="9" s="1"/>
  <c r="AH193" i="9" s="1"/>
  <c r="AB87" i="9" a="1"/>
  <c r="AB87" i="9" s="1"/>
  <c r="AB193" i="9" s="1"/>
  <c r="AG87" i="9" a="1"/>
  <c r="AG87" i="9" s="1"/>
  <c r="AG193" i="9" s="1"/>
  <c r="AF87" i="9" a="1"/>
  <c r="AF87" i="9" s="1"/>
  <c r="AF193" i="9" s="1"/>
  <c r="AC87" i="9" a="1"/>
  <c r="AC87" i="9" s="1"/>
  <c r="AC193" i="9" s="1"/>
  <c r="W87" i="9" a="1"/>
  <c r="W87" i="9" s="1"/>
  <c r="W193" i="9" s="1"/>
  <c r="Y87" i="9" a="1"/>
  <c r="Y87" i="9" s="1"/>
  <c r="Y193" i="9" s="1"/>
  <c r="X87" i="9" a="1"/>
  <c r="X87" i="9" s="1"/>
  <c r="X193" i="9" s="1"/>
  <c r="V87" i="9" a="1"/>
  <c r="V87" i="9" s="1"/>
  <c r="V193" i="9" s="1"/>
  <c r="AD87" i="9" a="1"/>
  <c r="AD87" i="9" s="1"/>
  <c r="AD193" i="9" s="1"/>
  <c r="Z87" i="9" a="1"/>
  <c r="Z87" i="9" s="1"/>
  <c r="Z193" i="9" s="1"/>
  <c r="AE87" i="9" a="1"/>
  <c r="AE87" i="9" s="1"/>
  <c r="AE193" i="9" s="1"/>
  <c r="U87" i="9" a="1"/>
  <c r="U87" i="9" s="1"/>
  <c r="U193" i="9" s="1"/>
  <c r="AA87" i="9" a="1"/>
  <c r="AA87" i="9" s="1"/>
  <c r="AA193" i="9" s="1"/>
  <c r="AH92" i="9" a="1"/>
  <c r="AH92" i="9" s="1"/>
  <c r="AH198" i="9" s="1"/>
  <c r="AB92" i="9" a="1"/>
  <c r="AB92" i="9" s="1"/>
  <c r="AB198" i="9" s="1"/>
  <c r="AA92" i="9" a="1"/>
  <c r="AA92" i="9" s="1"/>
  <c r="AA198" i="9" s="1"/>
  <c r="V92" i="9" a="1"/>
  <c r="V92" i="9" s="1"/>
  <c r="V198" i="9" s="1"/>
  <c r="U92" i="9" a="1"/>
  <c r="U92" i="9" s="1"/>
  <c r="U198" i="9" s="1"/>
  <c r="AE92" i="9" a="1"/>
  <c r="AE92" i="9" s="1"/>
  <c r="AE198" i="9" s="1"/>
  <c r="AF92" i="9" a="1"/>
  <c r="AF92" i="9" s="1"/>
  <c r="AF198" i="9" s="1"/>
  <c r="W92" i="9" a="1"/>
  <c r="W92" i="9" s="1"/>
  <c r="W198" i="9" s="1"/>
  <c r="AD92" i="9" a="1"/>
  <c r="AD92" i="9" s="1"/>
  <c r="AD198" i="9" s="1"/>
  <c r="AC92" i="9" a="1"/>
  <c r="AC92" i="9" s="1"/>
  <c r="AC198" i="9" s="1"/>
  <c r="Y92" i="9" a="1"/>
  <c r="Y92" i="9" s="1"/>
  <c r="Y198" i="9" s="1"/>
  <c r="Z92" i="9" a="1"/>
  <c r="Z92" i="9" s="1"/>
  <c r="Z198" i="9" s="1"/>
  <c r="X92" i="9" a="1"/>
  <c r="X92" i="9" s="1"/>
  <c r="X198" i="9" s="1"/>
  <c r="AG92" i="9" a="1"/>
  <c r="AG92" i="9" s="1"/>
  <c r="AG198" i="9" s="1"/>
  <c r="AH79" i="9" a="1"/>
  <c r="AH79" i="9" s="1"/>
  <c r="AH185" i="9" s="1"/>
  <c r="AF79" i="9" a="1"/>
  <c r="AF79" i="9" s="1"/>
  <c r="AF185" i="9" s="1"/>
  <c r="V79" i="9" a="1"/>
  <c r="V79" i="9" s="1"/>
  <c r="V185" i="9" s="1"/>
  <c r="W79" i="9" a="1"/>
  <c r="W79" i="9" s="1"/>
  <c r="W185" i="9" s="1"/>
  <c r="U79" i="9" a="1"/>
  <c r="U79" i="9" s="1"/>
  <c r="U185" i="9" s="1"/>
  <c r="AB79" i="9" a="1"/>
  <c r="AB79" i="9" s="1"/>
  <c r="AB185" i="9" s="1"/>
  <c r="Y79" i="9" a="1"/>
  <c r="Y79" i="9" s="1"/>
  <c r="Y185" i="9" s="1"/>
  <c r="X79" i="9" a="1"/>
  <c r="X79" i="9" s="1"/>
  <c r="X185" i="9" s="1"/>
  <c r="AG79" i="9" a="1"/>
  <c r="AG79" i="9" s="1"/>
  <c r="AG185" i="9" s="1"/>
  <c r="Z79" i="9" a="1"/>
  <c r="Z79" i="9" s="1"/>
  <c r="Z185" i="9" s="1"/>
  <c r="AE79" i="9" a="1"/>
  <c r="AE79" i="9" s="1"/>
  <c r="AE185" i="9" s="1"/>
  <c r="AC79" i="9" a="1"/>
  <c r="AC79" i="9" s="1"/>
  <c r="AC185" i="9" s="1"/>
  <c r="AA79" i="9" a="1"/>
  <c r="AA79" i="9" s="1"/>
  <c r="AA185" i="9" s="1"/>
  <c r="AD79" i="9" a="1"/>
  <c r="AD79" i="9" s="1"/>
  <c r="AD185" i="9" s="1"/>
  <c r="Y94" i="9" a="1"/>
  <c r="Y94" i="9" s="1"/>
  <c r="Y200" i="9" s="1"/>
  <c r="AE94" i="9" a="1"/>
  <c r="AE94" i="9" s="1"/>
  <c r="AE200" i="9" s="1"/>
  <c r="W94" i="9" a="1"/>
  <c r="W94" i="9" s="1"/>
  <c r="W200" i="9" s="1"/>
  <c r="AG94" i="9" a="1"/>
  <c r="AG94" i="9" s="1"/>
  <c r="AG200" i="9" s="1"/>
  <c r="X94" i="9" a="1"/>
  <c r="X94" i="9" s="1"/>
  <c r="X200" i="9" s="1"/>
  <c r="AA94" i="9" a="1"/>
  <c r="AA94" i="9" s="1"/>
  <c r="AA200" i="9" s="1"/>
  <c r="V94" i="9" a="1"/>
  <c r="V94" i="9" s="1"/>
  <c r="V200" i="9" s="1"/>
  <c r="AD94" i="9" a="1"/>
  <c r="AD94" i="9" s="1"/>
  <c r="AD200" i="9" s="1"/>
  <c r="AB94" i="9" a="1"/>
  <c r="AB94" i="9" s="1"/>
  <c r="AB200" i="9" s="1"/>
  <c r="AH94" i="9" a="1"/>
  <c r="AH94" i="9" s="1"/>
  <c r="AH200" i="9" s="1"/>
  <c r="AF94" i="9" a="1"/>
  <c r="AF94" i="9" s="1"/>
  <c r="AF200" i="9" s="1"/>
  <c r="U94" i="9" a="1"/>
  <c r="U94" i="9" s="1"/>
  <c r="U200" i="9" s="1"/>
  <c r="AC94" i="9" a="1"/>
  <c r="AC94" i="9" s="1"/>
  <c r="AC200" i="9" s="1"/>
  <c r="Z94" i="9" a="1"/>
  <c r="Z94" i="9" s="1"/>
  <c r="Z200" i="9" s="1"/>
  <c r="AC91" i="9" a="1"/>
  <c r="AC91" i="9" s="1"/>
  <c r="AC197" i="9" s="1"/>
  <c r="AA91" i="9" a="1"/>
  <c r="AA91" i="9" s="1"/>
  <c r="AA197" i="9" s="1"/>
  <c r="AE91" i="9" a="1"/>
  <c r="AE91" i="9" s="1"/>
  <c r="AE197" i="9" s="1"/>
  <c r="AF91" i="9" a="1"/>
  <c r="AF91" i="9" s="1"/>
  <c r="AF197" i="9" s="1"/>
  <c r="Z91" i="9" a="1"/>
  <c r="Z91" i="9" s="1"/>
  <c r="Z197" i="9" s="1"/>
  <c r="X91" i="9" a="1"/>
  <c r="X91" i="9" s="1"/>
  <c r="X197" i="9" s="1"/>
  <c r="V91" i="9" a="1"/>
  <c r="V91" i="9" s="1"/>
  <c r="V197" i="9" s="1"/>
  <c r="U91" i="9" a="1"/>
  <c r="U91" i="9" s="1"/>
  <c r="U197" i="9" s="1"/>
  <c r="AG91" i="9" a="1"/>
  <c r="AG91" i="9" s="1"/>
  <c r="AG197" i="9" s="1"/>
  <c r="AB91" i="9" a="1"/>
  <c r="AB91" i="9" s="1"/>
  <c r="AB197" i="9" s="1"/>
  <c r="AD91" i="9" a="1"/>
  <c r="AD91" i="9" s="1"/>
  <c r="AD197" i="9" s="1"/>
  <c r="AH91" i="9" a="1"/>
  <c r="AH91" i="9" s="1"/>
  <c r="AH197" i="9" s="1"/>
  <c r="Y91" i="9" a="1"/>
  <c r="Y91" i="9" s="1"/>
  <c r="Y197" i="9" s="1"/>
  <c r="W91" i="9" a="1"/>
  <c r="W91" i="9" s="1"/>
  <c r="W197" i="9" s="1"/>
  <c r="U81" i="9" a="1"/>
  <c r="U81" i="9" s="1"/>
  <c r="U187" i="9" s="1"/>
  <c r="V81" i="9" a="1"/>
  <c r="V81" i="9" s="1"/>
  <c r="V187" i="9" s="1"/>
  <c r="AC81" i="9" a="1"/>
  <c r="AC81" i="9" s="1"/>
  <c r="AC187" i="9" s="1"/>
  <c r="W81" i="9" a="1"/>
  <c r="W81" i="9" s="1"/>
  <c r="W187" i="9" s="1"/>
  <c r="AA81" i="9" a="1"/>
  <c r="AA81" i="9" s="1"/>
  <c r="AA187" i="9" s="1"/>
  <c r="AH81" i="9" a="1"/>
  <c r="AH81" i="9" s="1"/>
  <c r="AH187" i="9" s="1"/>
  <c r="Y81" i="9" a="1"/>
  <c r="Y81" i="9" s="1"/>
  <c r="Y187" i="9" s="1"/>
  <c r="AF81" i="9" a="1"/>
  <c r="AF81" i="9" s="1"/>
  <c r="AF187" i="9" s="1"/>
  <c r="AD81" i="9" a="1"/>
  <c r="AD81" i="9" s="1"/>
  <c r="AD187" i="9" s="1"/>
  <c r="AB81" i="9" a="1"/>
  <c r="AB81" i="9" s="1"/>
  <c r="AB187" i="9" s="1"/>
  <c r="Z81" i="9" a="1"/>
  <c r="Z81" i="9" s="1"/>
  <c r="Z187" i="9" s="1"/>
  <c r="AE81" i="9" a="1"/>
  <c r="AE81" i="9" s="1"/>
  <c r="AE187" i="9" s="1"/>
  <c r="AG81" i="9" a="1"/>
  <c r="AG81" i="9" s="1"/>
  <c r="AG187" i="9" s="1"/>
  <c r="X81" i="9" a="1"/>
  <c r="X81" i="9" s="1"/>
  <c r="X187" i="9" s="1"/>
  <c r="AH96" i="9" a="1"/>
  <c r="AH96" i="9" s="1"/>
  <c r="AH202" i="9" s="1"/>
  <c r="AG96" i="9" a="1"/>
  <c r="AG96" i="9" s="1"/>
  <c r="AG202" i="9" s="1"/>
  <c r="AB96" i="9" a="1"/>
  <c r="AB96" i="9" s="1"/>
  <c r="AB202" i="9" s="1"/>
  <c r="AD96" i="9" a="1"/>
  <c r="AD96" i="9" s="1"/>
  <c r="AD202" i="9" s="1"/>
  <c r="W96" i="9" a="1"/>
  <c r="W96" i="9" s="1"/>
  <c r="W202" i="9" s="1"/>
  <c r="AA96" i="9" a="1"/>
  <c r="AA96" i="9" s="1"/>
  <c r="AA202" i="9" s="1"/>
  <c r="Z96" i="9" a="1"/>
  <c r="Z96" i="9" s="1"/>
  <c r="Z202" i="9" s="1"/>
  <c r="AE96" i="9" a="1"/>
  <c r="AE96" i="9" s="1"/>
  <c r="AE202" i="9" s="1"/>
  <c r="AC96" i="9" a="1"/>
  <c r="AC96" i="9" s="1"/>
  <c r="AC202" i="9" s="1"/>
  <c r="Y96" i="9" a="1"/>
  <c r="Y96" i="9" s="1"/>
  <c r="Y202" i="9" s="1"/>
  <c r="V96" i="9" a="1"/>
  <c r="V96" i="9" s="1"/>
  <c r="V202" i="9" s="1"/>
  <c r="X96" i="9" a="1"/>
  <c r="X96" i="9" s="1"/>
  <c r="X202" i="9" s="1"/>
  <c r="AF96" i="9" a="1"/>
  <c r="AF96" i="9" s="1"/>
  <c r="AF202" i="9" s="1"/>
  <c r="U96" i="9" a="1"/>
  <c r="U96" i="9" s="1"/>
  <c r="U202" i="9" s="1"/>
  <c r="U83" i="9" a="1"/>
  <c r="U83" i="9" s="1"/>
  <c r="U189" i="9" s="1"/>
  <c r="Y83" i="9" a="1"/>
  <c r="Y83" i="9" s="1"/>
  <c r="Y189" i="9" s="1"/>
  <c r="AH83" i="9" a="1"/>
  <c r="AH83" i="9" s="1"/>
  <c r="AH189" i="9" s="1"/>
  <c r="Z83" i="9" a="1"/>
  <c r="Z83" i="9" s="1"/>
  <c r="Z189" i="9" s="1"/>
  <c r="AC83" i="9" a="1"/>
  <c r="AC83" i="9" s="1"/>
  <c r="AC189" i="9" s="1"/>
  <c r="AF83" i="9" a="1"/>
  <c r="AF83" i="9" s="1"/>
  <c r="AF189" i="9" s="1"/>
  <c r="AA83" i="9" a="1"/>
  <c r="AA83" i="9" s="1"/>
  <c r="AA189" i="9" s="1"/>
  <c r="AE83" i="9" a="1"/>
  <c r="AE83" i="9" s="1"/>
  <c r="AE189" i="9" s="1"/>
  <c r="V83" i="9" a="1"/>
  <c r="V83" i="9" s="1"/>
  <c r="V189" i="9" s="1"/>
  <c r="W83" i="9" a="1"/>
  <c r="W83" i="9" s="1"/>
  <c r="W189" i="9" s="1"/>
  <c r="AG83" i="9" a="1"/>
  <c r="AG83" i="9" s="1"/>
  <c r="AG189" i="9" s="1"/>
  <c r="AB83" i="9" a="1"/>
  <c r="AB83" i="9" s="1"/>
  <c r="AB189" i="9" s="1"/>
  <c r="AD83" i="9" a="1"/>
  <c r="AD83" i="9" s="1"/>
  <c r="AD189" i="9" s="1"/>
  <c r="X83" i="9" a="1"/>
  <c r="X83" i="9" s="1"/>
  <c r="X189" i="9" s="1"/>
  <c r="Y78" i="9" a="1"/>
  <c r="Y78" i="9" s="1"/>
  <c r="Y184" i="9" s="1"/>
  <c r="AD78" i="9" a="1"/>
  <c r="AD78" i="9" s="1"/>
  <c r="AD184" i="9" s="1"/>
  <c r="W78" i="9" a="1"/>
  <c r="W78" i="9" s="1"/>
  <c r="W184" i="9" s="1"/>
  <c r="Z78" i="9" a="1"/>
  <c r="Z78" i="9" s="1"/>
  <c r="Z184" i="9" s="1"/>
  <c r="U78" i="9" a="1"/>
  <c r="U78" i="9" s="1"/>
  <c r="U184" i="9" s="1"/>
  <c r="AC78" i="9" a="1"/>
  <c r="AC78" i="9" s="1"/>
  <c r="AC184" i="9" s="1"/>
  <c r="AA78" i="9" a="1"/>
  <c r="AA78" i="9" s="1"/>
  <c r="AA184" i="9" s="1"/>
  <c r="AE78" i="9" a="1"/>
  <c r="AE78" i="9" s="1"/>
  <c r="AE184" i="9" s="1"/>
  <c r="X78" i="9" a="1"/>
  <c r="X78" i="9" s="1"/>
  <c r="X184" i="9" s="1"/>
  <c r="AB78" i="9" a="1"/>
  <c r="AB78" i="9" s="1"/>
  <c r="AB184" i="9" s="1"/>
  <c r="V78" i="9" a="1"/>
  <c r="V78" i="9" s="1"/>
  <c r="V184" i="9" s="1"/>
  <c r="AG78" i="9" a="1"/>
  <c r="AG78" i="9" s="1"/>
  <c r="AG184" i="9" s="1"/>
  <c r="AF78" i="9" a="1"/>
  <c r="AF78" i="9" s="1"/>
  <c r="AF184" i="9" s="1"/>
  <c r="AH78" i="9" a="1"/>
  <c r="AH78" i="9" s="1"/>
  <c r="AH184" i="9" s="1"/>
  <c r="AB89" i="9" a="1"/>
  <c r="AB89" i="9" s="1"/>
  <c r="AB195" i="9" s="1"/>
  <c r="V89" i="9" a="1"/>
  <c r="V89" i="9" s="1"/>
  <c r="V195" i="9" s="1"/>
  <c r="AG89" i="9" a="1"/>
  <c r="AG89" i="9" s="1"/>
  <c r="AG195" i="9" s="1"/>
  <c r="AE89" i="9" a="1"/>
  <c r="AE89" i="9" s="1"/>
  <c r="AE195" i="9" s="1"/>
  <c r="AA89" i="9" a="1"/>
  <c r="AA89" i="9" s="1"/>
  <c r="AA195" i="9" s="1"/>
  <c r="Y89" i="9" a="1"/>
  <c r="Y89" i="9" s="1"/>
  <c r="Y195" i="9" s="1"/>
  <c r="U89" i="9" a="1"/>
  <c r="U89" i="9" s="1"/>
  <c r="U195" i="9" s="1"/>
  <c r="Z89" i="9" a="1"/>
  <c r="Z89" i="9" s="1"/>
  <c r="Z195" i="9" s="1"/>
  <c r="W89" i="9" a="1"/>
  <c r="W89" i="9" s="1"/>
  <c r="W195" i="9" s="1"/>
  <c r="AH89" i="9" a="1"/>
  <c r="AH89" i="9" s="1"/>
  <c r="AH195" i="9" s="1"/>
  <c r="AD89" i="9" a="1"/>
  <c r="AD89" i="9" s="1"/>
  <c r="AD195" i="9" s="1"/>
  <c r="AC89" i="9" a="1"/>
  <c r="AC89" i="9" s="1"/>
  <c r="AC195" i="9" s="1"/>
  <c r="X89" i="9" a="1"/>
  <c r="X89" i="9" s="1"/>
  <c r="X195" i="9" s="1"/>
  <c r="AF89" i="9" a="1"/>
  <c r="AF89" i="9" s="1"/>
  <c r="AF195" i="9" s="1"/>
  <c r="V84" i="9" a="1"/>
  <c r="V84" i="9" s="1"/>
  <c r="V190" i="9" s="1"/>
  <c r="X84" i="9" a="1"/>
  <c r="X84" i="9" s="1"/>
  <c r="X190" i="9" s="1"/>
  <c r="AH84" i="9" a="1"/>
  <c r="AH84" i="9" s="1"/>
  <c r="AH190" i="9" s="1"/>
  <c r="AD84" i="9" a="1"/>
  <c r="AD84" i="9" s="1"/>
  <c r="AD190" i="9" s="1"/>
  <c r="AF84" i="9" a="1"/>
  <c r="AF84" i="9" s="1"/>
  <c r="AF190" i="9" s="1"/>
  <c r="AB84" i="9" a="1"/>
  <c r="AB84" i="9" s="1"/>
  <c r="AB190" i="9" s="1"/>
  <c r="W84" i="9" a="1"/>
  <c r="W84" i="9" s="1"/>
  <c r="W190" i="9" s="1"/>
  <c r="AE84" i="9" a="1"/>
  <c r="AE84" i="9" s="1"/>
  <c r="AE190" i="9" s="1"/>
  <c r="AC84" i="9" a="1"/>
  <c r="AC84" i="9" s="1"/>
  <c r="AC190" i="9" s="1"/>
  <c r="U84" i="9" a="1"/>
  <c r="U84" i="9" s="1"/>
  <c r="U190" i="9" s="1"/>
  <c r="Y84" i="9" a="1"/>
  <c r="Y84" i="9" s="1"/>
  <c r="Y190" i="9" s="1"/>
  <c r="AA84" i="9" a="1"/>
  <c r="AA84" i="9" s="1"/>
  <c r="AA190" i="9" s="1"/>
  <c r="AG84" i="9" a="1"/>
  <c r="AG84" i="9" s="1"/>
  <c r="AG190" i="9" s="1"/>
  <c r="Z84" i="9" a="1"/>
  <c r="Z84" i="9" s="1"/>
  <c r="Z190" i="9" s="1"/>
  <c r="Z86" i="9" a="1"/>
  <c r="Z86" i="9" s="1"/>
  <c r="Z192" i="9" s="1"/>
  <c r="AG86" i="9" a="1"/>
  <c r="AG86" i="9" s="1"/>
  <c r="AG192" i="9" s="1"/>
  <c r="W86" i="9" a="1"/>
  <c r="W86" i="9" s="1"/>
  <c r="W192" i="9" s="1"/>
  <c r="AF86" i="9" a="1"/>
  <c r="AF86" i="9" s="1"/>
  <c r="AF192" i="9" s="1"/>
  <c r="U86" i="9" a="1"/>
  <c r="U86" i="9" s="1"/>
  <c r="U192" i="9" s="1"/>
  <c r="AC86" i="9" a="1"/>
  <c r="AC86" i="9" s="1"/>
  <c r="AC192" i="9" s="1"/>
  <c r="AA86" i="9" a="1"/>
  <c r="AA86" i="9" s="1"/>
  <c r="AA192" i="9" s="1"/>
  <c r="Y86" i="9" a="1"/>
  <c r="Y86" i="9" s="1"/>
  <c r="Y192" i="9" s="1"/>
  <c r="V86" i="9" a="1"/>
  <c r="V86" i="9" s="1"/>
  <c r="V192" i="9" s="1"/>
  <c r="AE86" i="9" a="1"/>
  <c r="AE86" i="9" s="1"/>
  <c r="AE192" i="9" s="1"/>
  <c r="AH86" i="9" a="1"/>
  <c r="AH86" i="9" s="1"/>
  <c r="AH192" i="9" s="1"/>
  <c r="AD86" i="9" a="1"/>
  <c r="AD86" i="9" s="1"/>
  <c r="AD192" i="9" s="1"/>
  <c r="AB86" i="9" a="1"/>
  <c r="AB86" i="9" s="1"/>
  <c r="AB192" i="9" s="1"/>
  <c r="X86" i="9" a="1"/>
  <c r="X86" i="9" s="1"/>
  <c r="X192" i="9" s="1"/>
  <c r="AD88" i="9" a="1"/>
  <c r="AD88" i="9" s="1"/>
  <c r="AD194" i="9" s="1"/>
  <c r="U88" i="9" a="1"/>
  <c r="U88" i="9" s="1"/>
  <c r="U194" i="9" s="1"/>
  <c r="AH88" i="9" a="1"/>
  <c r="AH88" i="9" s="1"/>
  <c r="AH194" i="9" s="1"/>
  <c r="AB88" i="9" a="1"/>
  <c r="AB88" i="9" s="1"/>
  <c r="AB194" i="9" s="1"/>
  <c r="Z88" i="9" a="1"/>
  <c r="Z88" i="9" s="1"/>
  <c r="Z194" i="9" s="1"/>
  <c r="AG88" i="9" a="1"/>
  <c r="AG88" i="9" s="1"/>
  <c r="AG194" i="9" s="1"/>
  <c r="AC88" i="9" a="1"/>
  <c r="AC88" i="9" s="1"/>
  <c r="AC194" i="9" s="1"/>
  <c r="V88" i="9" a="1"/>
  <c r="V88" i="9" s="1"/>
  <c r="V194" i="9" s="1"/>
  <c r="X88" i="9" a="1"/>
  <c r="X88" i="9" s="1"/>
  <c r="X194" i="9" s="1"/>
  <c r="AF88" i="9" a="1"/>
  <c r="AF88" i="9" s="1"/>
  <c r="AF194" i="9" s="1"/>
  <c r="AE88" i="9" a="1"/>
  <c r="AE88" i="9" s="1"/>
  <c r="AE194" i="9" s="1"/>
  <c r="AA88" i="9" a="1"/>
  <c r="AA88" i="9" s="1"/>
  <c r="AA194" i="9" s="1"/>
  <c r="W88" i="9" a="1"/>
  <c r="W88" i="9" s="1"/>
  <c r="W194" i="9" s="1"/>
  <c r="Y88" i="9" a="1"/>
  <c r="Y88" i="9" s="1"/>
  <c r="Y194" i="9" s="1"/>
  <c r="Y85" i="9" a="1"/>
  <c r="Y85" i="9" s="1"/>
  <c r="Y191" i="9" s="1"/>
  <c r="AA85" i="9" a="1"/>
  <c r="AA85" i="9" s="1"/>
  <c r="AA191" i="9" s="1"/>
  <c r="W85" i="9" a="1"/>
  <c r="W85" i="9" s="1"/>
  <c r="W191" i="9" s="1"/>
  <c r="AF85" i="9" a="1"/>
  <c r="AF85" i="9" s="1"/>
  <c r="AF191" i="9" s="1"/>
  <c r="V85" i="9" a="1"/>
  <c r="V85" i="9" s="1"/>
  <c r="V191" i="9" s="1"/>
  <c r="AD85" i="9" a="1"/>
  <c r="AD85" i="9" s="1"/>
  <c r="AD191" i="9" s="1"/>
  <c r="X85" i="9" a="1"/>
  <c r="X85" i="9" s="1"/>
  <c r="X191" i="9" s="1"/>
  <c r="U85" i="9" a="1"/>
  <c r="U85" i="9" s="1"/>
  <c r="U191" i="9" s="1"/>
  <c r="AH85" i="9" a="1"/>
  <c r="AH85" i="9" s="1"/>
  <c r="AH191" i="9" s="1"/>
  <c r="AG85" i="9" a="1"/>
  <c r="AG85" i="9" s="1"/>
  <c r="AG191" i="9" s="1"/>
  <c r="Z85" i="9" a="1"/>
  <c r="Z85" i="9" s="1"/>
  <c r="Z191" i="9" s="1"/>
  <c r="AC85" i="9" a="1"/>
  <c r="AC85" i="9" s="1"/>
  <c r="AC191" i="9" s="1"/>
  <c r="AB85" i="9" a="1"/>
  <c r="AB85" i="9" s="1"/>
  <c r="AB191" i="9" s="1"/>
  <c r="AE85" i="9" a="1"/>
  <c r="AE85" i="9" s="1"/>
  <c r="AE191" i="9" s="1"/>
  <c r="H565" i="9" a="1"/>
  <c r="H565" i="9" s="1"/>
  <c r="H564" i="9" a="1"/>
  <c r="H564" i="9" s="1"/>
  <c r="H567" i="9" a="1"/>
  <c r="H567" i="9" s="1"/>
  <c r="H551" i="9" a="1"/>
  <c r="H551" i="9" s="1"/>
  <c r="H560" i="9" a="1"/>
  <c r="H560" i="9" s="1"/>
  <c r="H554" i="9" a="1"/>
  <c r="H554" i="9" s="1"/>
  <c r="H550" i="9" a="1"/>
  <c r="H550" i="9" s="1"/>
  <c r="H556" i="9" a="1"/>
  <c r="H556" i="9" s="1"/>
  <c r="H555" i="9" a="1"/>
  <c r="H555" i="9" s="1"/>
  <c r="H563" i="9" a="1"/>
  <c r="H563" i="9" s="1"/>
  <c r="H553" i="9" a="1"/>
  <c r="H553" i="9" s="1"/>
  <c r="H566" i="9" a="1"/>
  <c r="H566" i="9" s="1"/>
  <c r="H561" i="9" a="1"/>
  <c r="H561" i="9" s="1"/>
  <c r="H549" i="9" a="1"/>
  <c r="H549" i="9" s="1"/>
  <c r="H562" i="9" a="1"/>
  <c r="H562" i="9" s="1"/>
  <c r="H552" i="9" a="1"/>
  <c r="H552" i="9" s="1"/>
  <c r="H558" i="9" a="1"/>
  <c r="H558" i="9" s="1"/>
  <c r="H568" i="9" a="1"/>
  <c r="H568" i="9" s="1"/>
  <c r="H557" i="9" a="1"/>
  <c r="H557" i="9" s="1"/>
  <c r="H559" i="9" a="1"/>
  <c r="H559" i="9" s="1"/>
  <c r="H493" i="9" a="1"/>
  <c r="H493" i="9" s="1"/>
  <c r="H490" i="9" a="1"/>
  <c r="H490" i="9" s="1"/>
  <c r="H483" i="9" a="1"/>
  <c r="H483" i="9" s="1"/>
  <c r="H496" i="9" a="1"/>
  <c r="H496" i="9" s="1"/>
  <c r="H482" i="9" a="1"/>
  <c r="H482" i="9" s="1"/>
  <c r="H488" i="9" a="1"/>
  <c r="H488" i="9" s="1"/>
  <c r="H486" i="9" a="1"/>
  <c r="H486" i="9" s="1"/>
  <c r="H492" i="9" a="1"/>
  <c r="H492" i="9" s="1"/>
  <c r="H485" i="9" a="1"/>
  <c r="H485" i="9" s="1"/>
  <c r="H495" i="9" a="1"/>
  <c r="H495" i="9" s="1"/>
  <c r="H491" i="9" a="1"/>
  <c r="H491" i="9" s="1"/>
  <c r="H478" i="9" a="1"/>
  <c r="H478" i="9" s="1"/>
  <c r="H484" i="9" a="1"/>
  <c r="H484" i="9" s="1"/>
  <c r="H494" i="9" a="1"/>
  <c r="H494" i="9" s="1"/>
  <c r="H481" i="9" a="1"/>
  <c r="H481" i="9" s="1"/>
  <c r="H487" i="9" a="1"/>
  <c r="H487" i="9" s="1"/>
  <c r="H477" i="9" a="1"/>
  <c r="H477" i="9" s="1"/>
  <c r="H489" i="9" a="1"/>
  <c r="H489" i="9" s="1"/>
  <c r="H479" i="9" a="1"/>
  <c r="H479" i="9" s="1"/>
  <c r="H480" i="9" a="1"/>
  <c r="H480" i="9" s="1"/>
  <c r="H376" i="9" a="1"/>
  <c r="H376" i="9" s="1"/>
  <c r="H359" i="9" a="1"/>
  <c r="H359" i="9" s="1"/>
  <c r="H373" i="9" a="1"/>
  <c r="H373" i="9" s="1"/>
  <c r="H363" i="9" a="1"/>
  <c r="H363" i="9" s="1"/>
  <c r="H368" i="9" a="1"/>
  <c r="H368" i="9" s="1"/>
  <c r="H365" i="9" a="1"/>
  <c r="H365" i="9" s="1"/>
  <c r="H360" i="9" a="1"/>
  <c r="H360" i="9" s="1"/>
  <c r="H357" i="9" a="1"/>
  <c r="H357" i="9" s="1"/>
  <c r="H374" i="9" a="1"/>
  <c r="H374" i="9" s="1"/>
  <c r="H369" i="9" a="1"/>
  <c r="H369" i="9" s="1"/>
  <c r="H366" i="9" a="1"/>
  <c r="H366" i="9" s="1"/>
  <c r="H372" i="9" a="1"/>
  <c r="H372" i="9" s="1"/>
  <c r="H361" i="9" a="1"/>
  <c r="H361" i="9" s="1"/>
  <c r="H358" i="9" a="1"/>
  <c r="H358" i="9" s="1"/>
  <c r="H364" i="9" a="1"/>
  <c r="H364" i="9" s="1"/>
  <c r="H370" i="9" a="1"/>
  <c r="H370" i="9" s="1"/>
  <c r="H375" i="9" a="1"/>
  <c r="H375" i="9" s="1"/>
  <c r="H362" i="9" a="1"/>
  <c r="H362" i="9" s="1"/>
  <c r="H367" i="9" a="1"/>
  <c r="H367" i="9" s="1"/>
  <c r="H371" i="9" a="1"/>
  <c r="H371" i="9" s="1"/>
  <c r="H533" i="9" a="1"/>
  <c r="H533" i="9" s="1"/>
  <c r="H532" i="9" a="1"/>
  <c r="H532" i="9" s="1"/>
  <c r="H528" i="9" a="1"/>
  <c r="H528" i="9" s="1"/>
  <c r="H531" i="9" a="1"/>
  <c r="H531" i="9" s="1"/>
  <c r="H537" i="9" a="1"/>
  <c r="H537" i="9" s="1"/>
  <c r="H527" i="9" a="1"/>
  <c r="H527" i="9" s="1"/>
  <c r="H544" i="9" a="1"/>
  <c r="H544" i="9" s="1"/>
  <c r="H543" i="9" a="1"/>
  <c r="H543" i="9" s="1"/>
  <c r="H538" i="9" a="1"/>
  <c r="H538" i="9" s="1"/>
  <c r="H540" i="9" a="1"/>
  <c r="H540" i="9" s="1"/>
  <c r="H526" i="9" a="1"/>
  <c r="H526" i="9" s="1"/>
  <c r="H542" i="9" a="1"/>
  <c r="H542" i="9" s="1"/>
  <c r="H536" i="9" a="1"/>
  <c r="H536" i="9" s="1"/>
  <c r="H530" i="9" a="1"/>
  <c r="H530" i="9" s="1"/>
  <c r="H525" i="9" a="1"/>
  <c r="H525" i="9" s="1"/>
  <c r="H539" i="9" a="1"/>
  <c r="H539" i="9" s="1"/>
  <c r="H541" i="9" a="1"/>
  <c r="H541" i="9" s="1"/>
  <c r="H534" i="9" a="1"/>
  <c r="H534" i="9" s="1"/>
  <c r="H535" i="9" a="1"/>
  <c r="H535" i="9" s="1"/>
  <c r="H529" i="9" a="1"/>
  <c r="H529" i="9" s="1"/>
  <c r="B684" i="9"/>
  <c r="B529" i="6" s="1"/>
  <c r="B532" i="8" s="1"/>
  <c r="B673" i="9"/>
  <c r="B518" i="6" s="1"/>
  <c r="B521" i="8" s="1"/>
  <c r="B660" i="9"/>
  <c r="B507" i="6" s="1"/>
  <c r="B511" i="8" s="1"/>
  <c r="B645" i="9"/>
  <c r="B492" i="6" s="1"/>
  <c r="B496" i="8" s="1"/>
  <c r="B630" i="9"/>
  <c r="B479" i="6" s="1"/>
  <c r="B484" i="8" s="1"/>
  <c r="B615" i="9"/>
  <c r="B466" i="6" s="1"/>
  <c r="B472" i="8" s="1"/>
  <c r="B605" i="9"/>
  <c r="B456" i="6" s="1"/>
  <c r="B462" i="8" s="1"/>
  <c r="B590" i="9"/>
  <c r="B443" i="6" s="1"/>
  <c r="B450" i="8" s="1"/>
  <c r="B578" i="9"/>
  <c r="B431" i="6" s="1"/>
  <c r="B438" i="8" s="1"/>
  <c r="B564" i="9"/>
  <c r="B419" i="6" s="1"/>
  <c r="B427" i="8" s="1"/>
  <c r="B554" i="9"/>
  <c r="B409" i="6" s="1"/>
  <c r="B417" i="8" s="1"/>
  <c r="B540" i="9"/>
  <c r="B397" i="6" s="1"/>
  <c r="B406" i="8" s="1"/>
  <c r="B526" i="9"/>
  <c r="B383" i="6" s="1"/>
  <c r="B392" i="8" s="1"/>
  <c r="B510" i="9"/>
  <c r="B369" i="6" s="1"/>
  <c r="B379" i="8" s="1"/>
  <c r="B494" i="9"/>
  <c r="B355" i="6" s="1"/>
  <c r="B366" i="8" s="1"/>
  <c r="B478" i="9"/>
  <c r="B339" i="6" s="1"/>
  <c r="B350" i="8" s="1"/>
  <c r="B464" i="9"/>
  <c r="B327" i="6" s="1"/>
  <c r="B339" i="8" s="1"/>
  <c r="B453" i="9"/>
  <c r="B316" i="6" s="1"/>
  <c r="B328" i="8" s="1"/>
  <c r="B439" i="9"/>
  <c r="B304" i="6" s="1"/>
  <c r="B317" i="8" s="1"/>
  <c r="B429" i="9"/>
  <c r="B294" i="6" s="1"/>
  <c r="B413" i="9"/>
  <c r="B280" i="6" s="1"/>
  <c r="B294" i="8" s="1"/>
  <c r="B396" i="9"/>
  <c r="B265" i="6" s="1"/>
  <c r="B280" i="8" s="1"/>
  <c r="B375" i="9"/>
  <c r="B246" i="6" s="1"/>
  <c r="B262" i="8" s="1"/>
  <c r="B358" i="9"/>
  <c r="B229" i="6" s="1"/>
  <c r="B245" i="8" s="1"/>
  <c r="B342" i="9"/>
  <c r="B215" i="6" s="1"/>
  <c r="B232" i="8" s="1"/>
  <c r="B326" i="9"/>
  <c r="B201" i="6" s="1"/>
  <c r="B219" i="8" s="1"/>
  <c r="B316" i="9"/>
  <c r="B191" i="6" s="1"/>
  <c r="B209" i="8" s="1"/>
  <c r="B302" i="9"/>
  <c r="B179" i="6" s="1"/>
  <c r="B198" i="8" s="1"/>
  <c r="B292" i="9"/>
  <c r="B169" i="6" s="1"/>
  <c r="B188" i="8" s="1"/>
  <c r="B277" i="9"/>
  <c r="B156" i="6" s="1"/>
  <c r="B178" i="8" s="1"/>
  <c r="B261" i="9"/>
  <c r="B140" i="6" s="1"/>
  <c r="B245" i="9"/>
  <c r="B126" i="6" s="1"/>
  <c r="B148" i="8" s="1"/>
  <c r="B650" i="9"/>
  <c r="B497" i="6" s="1"/>
  <c r="B501" i="8" s="1"/>
  <c r="B514" i="9"/>
  <c r="B373" i="6" s="1"/>
  <c r="B383" i="8" s="1"/>
  <c r="B418" i="9"/>
  <c r="B285" i="6" s="1"/>
  <c r="B299" i="8" s="1"/>
  <c r="B304" i="9"/>
  <c r="B181" i="6" s="1"/>
  <c r="B200" i="8" s="1"/>
  <c r="B682" i="9"/>
  <c r="B527" i="6" s="1"/>
  <c r="B530" i="8" s="1"/>
  <c r="B671" i="9"/>
  <c r="B516" i="6" s="1"/>
  <c r="B519" i="8" s="1"/>
  <c r="B658" i="9"/>
  <c r="B505" i="6" s="1"/>
  <c r="B509" i="8" s="1"/>
  <c r="B640" i="9"/>
  <c r="B489" i="6" s="1"/>
  <c r="B494" i="8" s="1"/>
  <c r="B629" i="9"/>
  <c r="B478" i="6" s="1"/>
  <c r="B483" i="8" s="1"/>
  <c r="B614" i="9"/>
  <c r="B465" i="6" s="1"/>
  <c r="B471" i="8" s="1"/>
  <c r="B604" i="9"/>
  <c r="B455" i="6" s="1"/>
  <c r="B461" i="8" s="1"/>
  <c r="B589" i="9"/>
  <c r="B442" i="6" s="1"/>
  <c r="B449" i="8" s="1"/>
  <c r="B575" i="9"/>
  <c r="B428" i="6" s="1"/>
  <c r="B435" i="8" s="1"/>
  <c r="B563" i="9"/>
  <c r="B418" i="6" s="1"/>
  <c r="B426" i="8" s="1"/>
  <c r="B551" i="9"/>
  <c r="B406" i="6" s="1"/>
  <c r="B414" i="8" s="1"/>
  <c r="B539" i="9"/>
  <c r="B396" i="6" s="1"/>
  <c r="B405" i="8" s="1"/>
  <c r="B525" i="9"/>
  <c r="B382" i="6" s="1"/>
  <c r="B509" i="9"/>
  <c r="B368" i="6" s="1"/>
  <c r="B378" i="8" s="1"/>
  <c r="B493" i="9"/>
  <c r="B354" i="6" s="1"/>
  <c r="B365" i="8" s="1"/>
  <c r="B472" i="9"/>
  <c r="B335" i="6" s="1"/>
  <c r="B347" i="8" s="1"/>
  <c r="B462" i="9"/>
  <c r="B325" i="6" s="1"/>
  <c r="B337" i="8" s="1"/>
  <c r="B448" i="9"/>
  <c r="B313" i="6" s="1"/>
  <c r="B326" i="8" s="1"/>
  <c r="B438" i="9"/>
  <c r="B303" i="6" s="1"/>
  <c r="B316" i="8" s="1"/>
  <c r="B424" i="9"/>
  <c r="B291" i="6" s="1"/>
  <c r="B305" i="8" s="1"/>
  <c r="B412" i="9"/>
  <c r="B279" i="6" s="1"/>
  <c r="B293" i="8" s="1"/>
  <c r="B393" i="9"/>
  <c r="B262" i="6" s="1"/>
  <c r="B277" i="8" s="1"/>
  <c r="B374" i="9"/>
  <c r="B245" i="6" s="1"/>
  <c r="B261" i="8" s="1"/>
  <c r="B352" i="9"/>
  <c r="B225" i="6" s="1"/>
  <c r="B242" i="8" s="1"/>
  <c r="B341" i="9"/>
  <c r="B214" i="6" s="1"/>
  <c r="B231" i="8" s="1"/>
  <c r="B325" i="9"/>
  <c r="B200" i="6" s="1"/>
  <c r="B218" i="8" s="1"/>
  <c r="B315" i="9"/>
  <c r="B190" i="6" s="1"/>
  <c r="B208" i="8" s="1"/>
  <c r="B301" i="9"/>
  <c r="B178" i="6" s="1"/>
  <c r="B197" i="8" s="1"/>
  <c r="B291" i="9"/>
  <c r="B168" i="6" s="1"/>
  <c r="B187" i="8" s="1"/>
  <c r="B276" i="9"/>
  <c r="B155" i="6" s="1"/>
  <c r="B177" i="8" s="1"/>
  <c r="B256" i="9"/>
  <c r="B137" i="6" s="1"/>
  <c r="B244" i="9"/>
  <c r="B125" i="6" s="1"/>
  <c r="B147" i="8" s="1"/>
  <c r="B686" i="9"/>
  <c r="B531" i="6" s="1"/>
  <c r="B534" i="8" s="1"/>
  <c r="B592" i="9"/>
  <c r="B445" i="6" s="1"/>
  <c r="B452" i="8" s="1"/>
  <c r="B556" i="9"/>
  <c r="B411" i="6" s="1"/>
  <c r="B419" i="8" s="1"/>
  <c r="B467" i="9"/>
  <c r="B330" i="6" s="1"/>
  <c r="B342" i="8" s="1"/>
  <c r="B365" i="9"/>
  <c r="B236" i="6" s="1"/>
  <c r="B252" i="8" s="1"/>
  <c r="B294" i="9"/>
  <c r="B171" i="6" s="1"/>
  <c r="B190" i="8" s="1"/>
  <c r="B681" i="9"/>
  <c r="B526" i="6" s="1"/>
  <c r="B529" i="8" s="1"/>
  <c r="B670" i="9"/>
  <c r="B515" i="6" s="1"/>
  <c r="B518" i="8" s="1"/>
  <c r="B655" i="9"/>
  <c r="B502" i="6" s="1"/>
  <c r="B506" i="8" s="1"/>
  <c r="B638" i="9"/>
  <c r="B487" i="6" s="1"/>
  <c r="B492" i="8" s="1"/>
  <c r="B628" i="9"/>
  <c r="B477" i="6" s="1"/>
  <c r="B482" i="8" s="1"/>
  <c r="B613" i="9"/>
  <c r="B464" i="6" s="1"/>
  <c r="B470" i="8" s="1"/>
  <c r="B601" i="9"/>
  <c r="B452" i="6" s="1"/>
  <c r="B458" i="8" s="1"/>
  <c r="B588" i="9"/>
  <c r="B441" i="6" s="1"/>
  <c r="B448" i="8" s="1"/>
  <c r="B574" i="9"/>
  <c r="B427" i="6" s="1"/>
  <c r="B434" i="8" s="1"/>
  <c r="B562" i="9"/>
  <c r="B417" i="6" s="1"/>
  <c r="B425" i="8" s="1"/>
  <c r="B550" i="9"/>
  <c r="B405" i="6" s="1"/>
  <c r="B413" i="8" s="1"/>
  <c r="B536" i="9"/>
  <c r="B393" i="6" s="1"/>
  <c r="B402" i="8" s="1"/>
  <c r="B520" i="9"/>
  <c r="B379" i="6" s="1"/>
  <c r="B389" i="8" s="1"/>
  <c r="B508" i="9"/>
  <c r="B367" i="6" s="1"/>
  <c r="B377" i="8" s="1"/>
  <c r="B492" i="9"/>
  <c r="B353" i="6" s="1"/>
  <c r="B364" i="8" s="1"/>
  <c r="B471" i="9"/>
  <c r="B334" i="6" s="1"/>
  <c r="B346" i="8" s="1"/>
  <c r="B461" i="9"/>
  <c r="B324" i="6" s="1"/>
  <c r="B336" i="8" s="1"/>
  <c r="B447" i="9"/>
  <c r="B312" i="6" s="1"/>
  <c r="B325" i="8" s="1"/>
  <c r="B437" i="9"/>
  <c r="B302" i="6" s="1"/>
  <c r="B315" i="8" s="1"/>
  <c r="B423" i="9"/>
  <c r="B290" i="6" s="1"/>
  <c r="B304" i="8" s="1"/>
  <c r="B410" i="9"/>
  <c r="B277" i="6" s="1"/>
  <c r="B291" i="8" s="1"/>
  <c r="B391" i="9"/>
  <c r="B260" i="6" s="1"/>
  <c r="B275" i="8" s="1"/>
  <c r="B373" i="9"/>
  <c r="B244" i="6" s="1"/>
  <c r="B260" i="8" s="1"/>
  <c r="B351" i="9"/>
  <c r="B224" i="6" s="1"/>
  <c r="B241" i="8" s="1"/>
  <c r="B339" i="9"/>
  <c r="B212" i="6" s="1"/>
  <c r="B229" i="8" s="1"/>
  <c r="B324" i="9"/>
  <c r="B199" i="6" s="1"/>
  <c r="B217" i="8" s="1"/>
  <c r="B314" i="9"/>
  <c r="B189" i="6" s="1"/>
  <c r="B207" i="8" s="1"/>
  <c r="B300" i="9"/>
  <c r="B177" i="6" s="1"/>
  <c r="B196" i="8" s="1"/>
  <c r="B289" i="9"/>
  <c r="B166" i="6" s="1"/>
  <c r="B185" i="8" s="1"/>
  <c r="B274" i="9"/>
  <c r="B153" i="6" s="1"/>
  <c r="B175" i="8" s="1"/>
  <c r="B255" i="9"/>
  <c r="B136" i="6" s="1"/>
  <c r="B158" i="8" s="1"/>
  <c r="B242" i="9"/>
  <c r="B123" i="6" s="1"/>
  <c r="B145" i="8" s="1"/>
  <c r="B634" i="9"/>
  <c r="B483" i="6" s="1"/>
  <c r="B488" i="8" s="1"/>
  <c r="B443" i="9"/>
  <c r="B308" i="6" s="1"/>
  <c r="B321" i="8" s="1"/>
  <c r="B250" i="9"/>
  <c r="B131" i="6" s="1"/>
  <c r="B153" i="8" s="1"/>
  <c r="B392" i="9"/>
  <c r="B261" i="6" s="1"/>
  <c r="B276" i="8" s="1"/>
  <c r="B679" i="9"/>
  <c r="B524" i="6" s="1"/>
  <c r="B527" i="8" s="1"/>
  <c r="B669" i="9"/>
  <c r="B514" i="6" s="1"/>
  <c r="B517" i="8" s="1"/>
  <c r="B654" i="9"/>
  <c r="B501" i="6" s="1"/>
  <c r="B505" i="8" s="1"/>
  <c r="B637" i="9"/>
  <c r="B486" i="6" s="1"/>
  <c r="B491" i="8" s="1"/>
  <c r="B627" i="9"/>
  <c r="B476" i="6" s="1"/>
  <c r="B481" i="8" s="1"/>
  <c r="B612" i="9"/>
  <c r="B463" i="6" s="1"/>
  <c r="B469" i="8" s="1"/>
  <c r="B599" i="9"/>
  <c r="B450" i="6" s="1"/>
  <c r="B456" i="8" s="1"/>
  <c r="B586" i="9"/>
  <c r="B439" i="6" s="1"/>
  <c r="B446" i="8" s="1"/>
  <c r="B573" i="9"/>
  <c r="B426" i="6" s="1"/>
  <c r="B433" i="8" s="1"/>
  <c r="B559" i="9"/>
  <c r="B414" i="6" s="1"/>
  <c r="B422" i="8" s="1"/>
  <c r="B549" i="9"/>
  <c r="B404" i="6" s="1"/>
  <c r="B534" i="9"/>
  <c r="B391" i="6" s="1"/>
  <c r="B400" i="8" s="1"/>
  <c r="B518" i="9"/>
  <c r="B377" i="6" s="1"/>
  <c r="B387" i="8" s="1"/>
  <c r="B506" i="9"/>
  <c r="B365" i="6" s="1"/>
  <c r="B375" i="8" s="1"/>
  <c r="B490" i="9"/>
  <c r="B351" i="6" s="1"/>
  <c r="B362" i="8" s="1"/>
  <c r="B470" i="9"/>
  <c r="B333" i="6" s="1"/>
  <c r="B345" i="8" s="1"/>
  <c r="B460" i="9"/>
  <c r="B323" i="6" s="1"/>
  <c r="B335" i="8" s="1"/>
  <c r="B446" i="9"/>
  <c r="B311" i="6" s="1"/>
  <c r="B324" i="8" s="1"/>
  <c r="B436" i="9"/>
  <c r="B301" i="6" s="1"/>
  <c r="B314" i="8" s="1"/>
  <c r="B422" i="9"/>
  <c r="B289" i="6" s="1"/>
  <c r="B303" i="8" s="1"/>
  <c r="B406" i="9"/>
  <c r="B273" i="6" s="1"/>
  <c r="B287" i="8" s="1"/>
  <c r="B390" i="9"/>
  <c r="B259" i="6" s="1"/>
  <c r="B274" i="8" s="1"/>
  <c r="B372" i="9"/>
  <c r="B243" i="6" s="1"/>
  <c r="B259" i="8" s="1"/>
  <c r="B350" i="9"/>
  <c r="B223" i="6" s="1"/>
  <c r="B240" i="8" s="1"/>
  <c r="B338" i="9"/>
  <c r="B211" i="6" s="1"/>
  <c r="B228" i="8" s="1"/>
  <c r="B323" i="9"/>
  <c r="B198" i="6" s="1"/>
  <c r="B216" i="8" s="1"/>
  <c r="B312" i="9"/>
  <c r="B187" i="6" s="1"/>
  <c r="B205" i="8" s="1"/>
  <c r="B299" i="9"/>
  <c r="B176" i="6" s="1"/>
  <c r="B195" i="8" s="1"/>
  <c r="B287" i="9"/>
  <c r="B164" i="6" s="1"/>
  <c r="B183" i="8" s="1"/>
  <c r="B270" i="9"/>
  <c r="B149" i="6" s="1"/>
  <c r="B171" i="8" s="1"/>
  <c r="B254" i="9"/>
  <c r="B135" i="6" s="1"/>
  <c r="B157" i="8" s="1"/>
  <c r="B622" i="9"/>
  <c r="B471" i="6" s="1"/>
  <c r="B476" i="8" s="1"/>
  <c r="B531" i="9"/>
  <c r="B388" i="6" s="1"/>
  <c r="B397" i="8" s="1"/>
  <c r="B431" i="9"/>
  <c r="B296" i="6" s="1"/>
  <c r="B309" i="8" s="1"/>
  <c r="B328" i="9"/>
  <c r="B203" i="6" s="1"/>
  <c r="B221" i="8" s="1"/>
  <c r="B688" i="9"/>
  <c r="B533" i="6" s="1"/>
  <c r="B536" i="8" s="1"/>
  <c r="B678" i="9"/>
  <c r="B523" i="6" s="1"/>
  <c r="B526" i="8" s="1"/>
  <c r="B664" i="9"/>
  <c r="B511" i="6" s="1"/>
  <c r="B515" i="8" s="1"/>
  <c r="B653" i="9"/>
  <c r="B500" i="6" s="1"/>
  <c r="B504" i="8" s="1"/>
  <c r="B636" i="9"/>
  <c r="B485" i="6" s="1"/>
  <c r="B490" i="8" s="1"/>
  <c r="B626" i="9"/>
  <c r="B475" i="6" s="1"/>
  <c r="B480" i="8" s="1"/>
  <c r="B610" i="9"/>
  <c r="B461" i="6" s="1"/>
  <c r="B467" i="8" s="1"/>
  <c r="B598" i="9"/>
  <c r="B449" i="6" s="1"/>
  <c r="B455" i="8" s="1"/>
  <c r="B583" i="9"/>
  <c r="B436" i="6" s="1"/>
  <c r="B443" i="8" s="1"/>
  <c r="B568" i="9"/>
  <c r="B423" i="6" s="1"/>
  <c r="B431" i="8" s="1"/>
  <c r="B558" i="9"/>
  <c r="B413" i="6" s="1"/>
  <c r="B421" i="8" s="1"/>
  <c r="B544" i="9"/>
  <c r="B401" i="6" s="1"/>
  <c r="B410" i="8" s="1"/>
  <c r="B533" i="9"/>
  <c r="B390" i="6" s="1"/>
  <c r="B399" i="8" s="1"/>
  <c r="B517" i="9"/>
  <c r="B376" i="6" s="1"/>
  <c r="B386" i="8" s="1"/>
  <c r="B505" i="9"/>
  <c r="B364" i="6" s="1"/>
  <c r="B374" i="8" s="1"/>
  <c r="B487" i="9"/>
  <c r="B348" i="6" s="1"/>
  <c r="B359" i="8" s="1"/>
  <c r="B469" i="9"/>
  <c r="B332" i="6" s="1"/>
  <c r="B344" i="8" s="1"/>
  <c r="B459" i="9"/>
  <c r="B322" i="6" s="1"/>
  <c r="B334" i="8" s="1"/>
  <c r="B445" i="9"/>
  <c r="B310" i="6" s="1"/>
  <c r="B323" i="8" s="1"/>
  <c r="B435" i="9"/>
  <c r="B300" i="6" s="1"/>
  <c r="B313" i="8" s="1"/>
  <c r="B421" i="9"/>
  <c r="B288" i="6" s="1"/>
  <c r="B302" i="8" s="1"/>
  <c r="B400" i="9"/>
  <c r="B269" i="6" s="1"/>
  <c r="B284" i="8" s="1"/>
  <c r="B389" i="9"/>
  <c r="B258" i="6" s="1"/>
  <c r="B273" i="8" s="1"/>
  <c r="B370" i="9"/>
  <c r="B241" i="6" s="1"/>
  <c r="B257" i="8" s="1"/>
  <c r="B349" i="9"/>
  <c r="B222" i="6" s="1"/>
  <c r="B239" i="8" s="1"/>
  <c r="B335" i="9"/>
  <c r="B208" i="6" s="1"/>
  <c r="B225" i="8" s="1"/>
  <c r="B322" i="9"/>
  <c r="B197" i="6" s="1"/>
  <c r="B215" i="8" s="1"/>
  <c r="B310" i="9"/>
  <c r="B185" i="6" s="1"/>
  <c r="B203" i="8" s="1"/>
  <c r="B297" i="9"/>
  <c r="B174" i="6" s="1"/>
  <c r="B193" i="8" s="1"/>
  <c r="B286" i="9"/>
  <c r="B163" i="6" s="1"/>
  <c r="B182" i="8" s="1"/>
  <c r="B269" i="9"/>
  <c r="B148" i="6" s="1"/>
  <c r="B170" i="8" s="1"/>
  <c r="B253" i="9"/>
  <c r="B134" i="6" s="1"/>
  <c r="B156" i="8" s="1"/>
  <c r="B676" i="9"/>
  <c r="B521" i="6" s="1"/>
  <c r="B524" i="8" s="1"/>
  <c r="B566" i="9"/>
  <c r="B421" i="6" s="1"/>
  <c r="B429" i="8" s="1"/>
  <c r="B485" i="9"/>
  <c r="B346" i="6" s="1"/>
  <c r="B357" i="8" s="1"/>
  <c r="B398" i="9"/>
  <c r="B267" i="6" s="1"/>
  <c r="B282" i="8" s="1"/>
  <c r="B318" i="9"/>
  <c r="B193" i="6" s="1"/>
  <c r="B211" i="8" s="1"/>
  <c r="B687" i="9"/>
  <c r="B532" i="6" s="1"/>
  <c r="B535" i="8" s="1"/>
  <c r="B677" i="9"/>
  <c r="B522" i="6" s="1"/>
  <c r="B525" i="8" s="1"/>
  <c r="B663" i="9"/>
  <c r="B510" i="6" s="1"/>
  <c r="B514" i="8" s="1"/>
  <c r="B652" i="9"/>
  <c r="B499" i="6" s="1"/>
  <c r="B503" i="8" s="1"/>
  <c r="B635" i="9"/>
  <c r="B484" i="6" s="1"/>
  <c r="B489" i="8" s="1"/>
  <c r="B624" i="9"/>
  <c r="B473" i="6" s="1"/>
  <c r="B478" i="8" s="1"/>
  <c r="B609" i="9"/>
  <c r="B460" i="6" s="1"/>
  <c r="B466" i="8" s="1"/>
  <c r="B597" i="9"/>
  <c r="B448" i="6" s="1"/>
  <c r="B454" i="8" s="1"/>
  <c r="B582" i="9"/>
  <c r="B435" i="6" s="1"/>
  <c r="B442" i="8" s="1"/>
  <c r="B567" i="9"/>
  <c r="B422" i="6" s="1"/>
  <c r="B430" i="8" s="1"/>
  <c r="B557" i="9"/>
  <c r="B412" i="6" s="1"/>
  <c r="B420" i="8" s="1"/>
  <c r="B543" i="9"/>
  <c r="B400" i="6" s="1"/>
  <c r="B409" i="8" s="1"/>
  <c r="B532" i="9"/>
  <c r="B389" i="6" s="1"/>
  <c r="B398" i="8" s="1"/>
  <c r="B516" i="9"/>
  <c r="B375" i="6" s="1"/>
  <c r="B385" i="8" s="1"/>
  <c r="B502" i="9"/>
  <c r="B361" i="6" s="1"/>
  <c r="B371" i="8" s="1"/>
  <c r="B486" i="9"/>
  <c r="B347" i="6" s="1"/>
  <c r="B358" i="8" s="1"/>
  <c r="B468" i="9"/>
  <c r="B331" i="6" s="1"/>
  <c r="B343" i="8" s="1"/>
  <c r="B458" i="9"/>
  <c r="B321" i="6" s="1"/>
  <c r="B333" i="8" s="1"/>
  <c r="B444" i="9"/>
  <c r="B309" i="6" s="1"/>
  <c r="B322" i="8" s="1"/>
  <c r="B433" i="9"/>
  <c r="B298" i="6" s="1"/>
  <c r="B311" i="8" s="1"/>
  <c r="B420" i="9"/>
  <c r="B287" i="6" s="1"/>
  <c r="B301" i="8" s="1"/>
  <c r="B399" i="9"/>
  <c r="B268" i="6" s="1"/>
  <c r="B283" i="8" s="1"/>
  <c r="B383" i="9"/>
  <c r="B252" i="6" s="1"/>
  <c r="B267" i="8" s="1"/>
  <c r="B366" i="9"/>
  <c r="B237" i="6" s="1"/>
  <c r="B253" i="8" s="1"/>
  <c r="B347" i="9"/>
  <c r="B220" i="6" s="1"/>
  <c r="B237" i="8" s="1"/>
  <c r="B334" i="9"/>
  <c r="B207" i="6" s="1"/>
  <c r="B224" i="8" s="1"/>
  <c r="B320" i="9"/>
  <c r="B195" i="6" s="1"/>
  <c r="B213" i="8" s="1"/>
  <c r="B309" i="9"/>
  <c r="B184" i="6" s="1"/>
  <c r="B202" i="8" s="1"/>
  <c r="B295" i="9"/>
  <c r="B172" i="6" s="1"/>
  <c r="B191" i="8" s="1"/>
  <c r="B280" i="9"/>
  <c r="B159" i="6" s="1"/>
  <c r="B268" i="9"/>
  <c r="B147" i="6" s="1"/>
  <c r="B169" i="8" s="1"/>
  <c r="B252" i="9"/>
  <c r="B133" i="6" s="1"/>
  <c r="B155" i="8" s="1"/>
  <c r="B662" i="9"/>
  <c r="B509" i="6" s="1"/>
  <c r="B513" i="8" s="1"/>
  <c r="B581" i="9"/>
  <c r="B434" i="6" s="1"/>
  <c r="B441" i="8" s="1"/>
  <c r="B542" i="9"/>
  <c r="B399" i="6" s="1"/>
  <c r="B408" i="8" s="1"/>
  <c r="B456" i="9"/>
  <c r="B319" i="6" s="1"/>
  <c r="B331" i="8" s="1"/>
  <c r="B346" i="9"/>
  <c r="B219" i="6" s="1"/>
  <c r="B236" i="8" s="1"/>
  <c r="B266" i="9"/>
  <c r="B145" i="6" s="1"/>
  <c r="B167" i="8" s="1"/>
  <c r="B685" i="9"/>
  <c r="B530" i="6" s="1"/>
  <c r="B533" i="8" s="1"/>
  <c r="B674" i="9"/>
  <c r="B519" i="6" s="1"/>
  <c r="B522" i="8" s="1"/>
  <c r="B661" i="9"/>
  <c r="B508" i="6" s="1"/>
  <c r="B512" i="8" s="1"/>
  <c r="B647" i="9"/>
  <c r="B494" i="6" s="1"/>
  <c r="B498" i="8" s="1"/>
  <c r="B632" i="9"/>
  <c r="B481" i="6" s="1"/>
  <c r="B486" i="8" s="1"/>
  <c r="B616" i="9"/>
  <c r="B467" i="6" s="1"/>
  <c r="B473" i="8" s="1"/>
  <c r="B606" i="9"/>
  <c r="B457" i="6" s="1"/>
  <c r="B463" i="8" s="1"/>
  <c r="B591" i="9"/>
  <c r="B444" i="6" s="1"/>
  <c r="B451" i="8" s="1"/>
  <c r="B580" i="9"/>
  <c r="B433" i="6" s="1"/>
  <c r="B440" i="8" s="1"/>
  <c r="B565" i="9"/>
  <c r="B420" i="6" s="1"/>
  <c r="B428" i="8" s="1"/>
  <c r="B555" i="9"/>
  <c r="B410" i="6" s="1"/>
  <c r="B418" i="8" s="1"/>
  <c r="B541" i="9"/>
  <c r="B398" i="6" s="1"/>
  <c r="B407" i="8" s="1"/>
  <c r="B528" i="9"/>
  <c r="B385" i="6" s="1"/>
  <c r="B394" i="8" s="1"/>
  <c r="B513" i="9"/>
  <c r="B372" i="6" s="1"/>
  <c r="B382" i="8" s="1"/>
  <c r="B495" i="9"/>
  <c r="B356" i="6" s="1"/>
  <c r="B367" i="8" s="1"/>
  <c r="B484" i="9"/>
  <c r="B345" i="6" s="1"/>
  <c r="B356" i="8" s="1"/>
  <c r="B466" i="9"/>
  <c r="B329" i="6" s="1"/>
  <c r="B341" i="8" s="1"/>
  <c r="B454" i="9"/>
  <c r="B317" i="6" s="1"/>
  <c r="B329" i="8" s="1"/>
  <c r="B441" i="9"/>
  <c r="B306" i="6" s="1"/>
  <c r="B319" i="8" s="1"/>
  <c r="B430" i="9"/>
  <c r="B295" i="6" s="1"/>
  <c r="B308" i="8" s="1"/>
  <c r="B414" i="9"/>
  <c r="B281" i="6" s="1"/>
  <c r="B295" i="8" s="1"/>
  <c r="B397" i="9"/>
  <c r="B266" i="6" s="1"/>
  <c r="B281" i="8" s="1"/>
  <c r="B376" i="9"/>
  <c r="B247" i="6" s="1"/>
  <c r="B263" i="8" s="1"/>
  <c r="B364" i="9"/>
  <c r="B235" i="6" s="1"/>
  <c r="B251" i="8" s="1"/>
  <c r="B343" i="9"/>
  <c r="B216" i="6" s="1"/>
  <c r="B233" i="8" s="1"/>
  <c r="B327" i="9"/>
  <c r="B202" i="6" s="1"/>
  <c r="B220" i="8" s="1"/>
  <c r="B317" i="9"/>
  <c r="B192" i="6" s="1"/>
  <c r="B210" i="8" s="1"/>
  <c r="B303" i="9"/>
  <c r="B180" i="6" s="1"/>
  <c r="B199" i="8" s="1"/>
  <c r="B293" i="9"/>
  <c r="B170" i="6" s="1"/>
  <c r="B189" i="8" s="1"/>
  <c r="B278" i="9"/>
  <c r="B157" i="6" s="1"/>
  <c r="B179" i="8" s="1"/>
  <c r="B262" i="9"/>
  <c r="B141" i="6" s="1"/>
  <c r="B246" i="9"/>
  <c r="B127" i="6" s="1"/>
  <c r="B149" i="8" s="1"/>
  <c r="B607" i="9"/>
  <c r="B458" i="6" s="1"/>
  <c r="B464" i="8" s="1"/>
  <c r="B496" i="9"/>
  <c r="B357" i="6" s="1"/>
  <c r="B368" i="8" s="1"/>
  <c r="B382" i="9"/>
  <c r="B251" i="6" s="1"/>
  <c r="B266" i="8" s="1"/>
  <c r="B279" i="9"/>
  <c r="B158" i="6" s="1"/>
  <c r="B311" i="9"/>
  <c r="B186" i="6" s="1"/>
  <c r="B204" i="8" s="1"/>
  <c r="B577" i="9"/>
  <c r="B430" i="6" s="1"/>
  <c r="B437" i="8" s="1"/>
  <c r="B265" i="9"/>
  <c r="B144" i="6" s="1"/>
  <c r="B608" i="9"/>
  <c r="B459" i="6" s="1"/>
  <c r="B465" i="8" s="1"/>
  <c r="B553" i="9"/>
  <c r="B408" i="6" s="1"/>
  <c r="B416" i="8" s="1"/>
  <c r="B527" i="9"/>
  <c r="B384" i="6" s="1"/>
  <c r="B393" i="8" s="1"/>
  <c r="B337" i="9"/>
  <c r="B210" i="6" s="1"/>
  <c r="B227" i="8" s="1"/>
  <c r="B659" i="9"/>
  <c r="B506" i="6" s="1"/>
  <c r="B510" i="8" s="1"/>
  <c r="B579" i="9"/>
  <c r="B432" i="6" s="1"/>
  <c r="B439" i="8" s="1"/>
  <c r="B512" i="9"/>
  <c r="B371" i="6" s="1"/>
  <c r="B381" i="8" s="1"/>
  <c r="B457" i="9"/>
  <c r="B320" i="6" s="1"/>
  <c r="B332" i="8" s="1"/>
  <c r="B408" i="9"/>
  <c r="B275" i="6" s="1"/>
  <c r="B289" i="8" s="1"/>
  <c r="B387" i="9"/>
  <c r="B256" i="6" s="1"/>
  <c r="B271" i="8" s="1"/>
  <c r="B340" i="9"/>
  <c r="B213" i="6" s="1"/>
  <c r="B230" i="8" s="1"/>
  <c r="B290" i="9"/>
  <c r="B167" i="6" s="1"/>
  <c r="B186" i="8" s="1"/>
  <c r="B530" i="9"/>
  <c r="B387" i="6" s="1"/>
  <c r="B396" i="8" s="1"/>
  <c r="B585" i="9"/>
  <c r="B438" i="6" s="1"/>
  <c r="B445" i="8" s="1"/>
  <c r="B273" i="9"/>
  <c r="B152" i="6" s="1"/>
  <c r="B174" i="8" s="1"/>
  <c r="B319" i="9"/>
  <c r="B194" i="6" s="1"/>
  <c r="B212" i="8" s="1"/>
  <c r="B561" i="9"/>
  <c r="B416" i="6" s="1"/>
  <c r="B424" i="8" s="1"/>
  <c r="B535" i="9"/>
  <c r="B392" i="6" s="1"/>
  <c r="B401" i="8" s="1"/>
  <c r="B345" i="9"/>
  <c r="B218" i="6" s="1"/>
  <c r="B235" i="8" s="1"/>
  <c r="B648" i="9"/>
  <c r="B495" i="6" s="1"/>
  <c r="B499" i="8" s="1"/>
  <c r="B587" i="9"/>
  <c r="B440" i="6" s="1"/>
  <c r="B447" i="8" s="1"/>
  <c r="B507" i="9"/>
  <c r="B366" i="6" s="1"/>
  <c r="B376" i="8" s="1"/>
  <c r="B465" i="9"/>
  <c r="B328" i="6" s="1"/>
  <c r="B340" i="8" s="1"/>
  <c r="B416" i="9"/>
  <c r="B283" i="6" s="1"/>
  <c r="B297" i="8" s="1"/>
  <c r="B395" i="9"/>
  <c r="B264" i="6" s="1"/>
  <c r="B279" i="8" s="1"/>
  <c r="B348" i="9"/>
  <c r="B221" i="6" s="1"/>
  <c r="B238" i="8" s="1"/>
  <c r="B298" i="9"/>
  <c r="B175" i="6" s="1"/>
  <c r="B194" i="8" s="1"/>
  <c r="B243" i="9"/>
  <c r="B124" i="6" s="1"/>
  <c r="B146" i="8" s="1"/>
  <c r="B440" i="9"/>
  <c r="B305" i="6" s="1"/>
  <c r="B318" i="8" s="1"/>
  <c r="B405" i="9"/>
  <c r="B272" i="6" s="1"/>
  <c r="B286" i="8" s="1"/>
  <c r="B625" i="9"/>
  <c r="B474" i="6" s="1"/>
  <c r="B479" i="8" s="1"/>
  <c r="B285" i="9"/>
  <c r="B162" i="6" s="1"/>
  <c r="B237" i="9"/>
  <c r="B118" i="6" s="1"/>
  <c r="B621" i="9"/>
  <c r="B470" i="6" s="1"/>
  <c r="B475" i="8" s="1"/>
  <c r="B623" i="9"/>
  <c r="B472" i="6" s="1"/>
  <c r="B477" i="8" s="1"/>
  <c r="B357" i="9"/>
  <c r="B228" i="6" s="1"/>
  <c r="B656" i="9"/>
  <c r="B503" i="6" s="1"/>
  <c r="B507" i="8" s="1"/>
  <c r="B552" i="9"/>
  <c r="B407" i="6" s="1"/>
  <c r="B415" i="8" s="1"/>
  <c r="B515" i="9"/>
  <c r="B374" i="6" s="1"/>
  <c r="B384" i="8" s="1"/>
  <c r="B432" i="9"/>
  <c r="B297" i="6" s="1"/>
  <c r="B310" i="8" s="1"/>
  <c r="B411" i="9"/>
  <c r="B278" i="6" s="1"/>
  <c r="B292" i="8" s="1"/>
  <c r="B359" i="9"/>
  <c r="B230" i="6" s="1"/>
  <c r="B246" i="8" s="1"/>
  <c r="B336" i="9"/>
  <c r="B209" i="6" s="1"/>
  <c r="B226" i="8" s="1"/>
  <c r="B263" i="9"/>
  <c r="B142" i="6" s="1"/>
  <c r="B251" i="9"/>
  <c r="B132" i="6" s="1"/>
  <c r="B154" i="8" s="1"/>
  <c r="B482" i="9"/>
  <c r="B343" i="6" s="1"/>
  <c r="B354" i="8" s="1"/>
  <c r="B481" i="9"/>
  <c r="B342" i="6" s="1"/>
  <c r="B353" i="8" s="1"/>
  <c r="B633" i="9"/>
  <c r="B482" i="6" s="1"/>
  <c r="B487" i="8" s="1"/>
  <c r="B333" i="9"/>
  <c r="B206" i="6" s="1"/>
  <c r="B223" i="8" s="1"/>
  <c r="B238" i="9"/>
  <c r="B119" i="6" s="1"/>
  <c r="B649" i="9"/>
  <c r="B496" i="6" s="1"/>
  <c r="B500" i="8" s="1"/>
  <c r="B631" i="9"/>
  <c r="B480" i="6" s="1"/>
  <c r="B485" i="8" s="1"/>
  <c r="B672" i="9"/>
  <c r="B517" i="6" s="1"/>
  <c r="B520" i="8" s="1"/>
  <c r="B602" i="9"/>
  <c r="B453" i="6" s="1"/>
  <c r="B459" i="8" s="1"/>
  <c r="B560" i="9"/>
  <c r="B415" i="6" s="1"/>
  <c r="B423" i="8" s="1"/>
  <c r="B419" i="9"/>
  <c r="B286" i="6" s="1"/>
  <c r="B300" i="8" s="1"/>
  <c r="B367" i="9"/>
  <c r="B238" i="6" s="1"/>
  <c r="B254" i="8" s="1"/>
  <c r="B344" i="9"/>
  <c r="B217" i="6" s="1"/>
  <c r="B234" i="8" s="1"/>
  <c r="B271" i="9"/>
  <c r="B150" i="6" s="1"/>
  <c r="B172" i="8" s="1"/>
  <c r="B240" i="9"/>
  <c r="B121" i="6" s="1"/>
  <c r="B489" i="9"/>
  <c r="B350" i="6" s="1"/>
  <c r="B361" i="8" s="1"/>
  <c r="B394" i="9"/>
  <c r="B263" i="6" s="1"/>
  <c r="B278" i="8" s="1"/>
  <c r="B361" i="9"/>
  <c r="B232" i="6" s="1"/>
  <c r="B248" i="8" s="1"/>
  <c r="B362" i="9"/>
  <c r="B233" i="6" s="1"/>
  <c r="B249" i="8" s="1"/>
  <c r="B657" i="9"/>
  <c r="B504" i="6" s="1"/>
  <c r="B508" i="8" s="1"/>
  <c r="B639" i="9"/>
  <c r="B488" i="6" s="1"/>
  <c r="B493" i="8" s="1"/>
  <c r="B680" i="9"/>
  <c r="B525" i="6" s="1"/>
  <c r="B528" i="8" s="1"/>
  <c r="B603" i="9"/>
  <c r="B454" i="6" s="1"/>
  <c r="B460" i="8" s="1"/>
  <c r="B503" i="9"/>
  <c r="B362" i="6" s="1"/>
  <c r="B372" i="8" s="1"/>
  <c r="B483" i="9"/>
  <c r="B344" i="6" s="1"/>
  <c r="B355" i="8" s="1"/>
  <c r="B434" i="9"/>
  <c r="B299" i="6" s="1"/>
  <c r="B312" i="8" s="1"/>
  <c r="B385" i="9"/>
  <c r="B254" i="6" s="1"/>
  <c r="B269" i="8" s="1"/>
  <c r="B360" i="9"/>
  <c r="B231" i="6" s="1"/>
  <c r="B247" i="8" s="1"/>
  <c r="B313" i="9"/>
  <c r="B188" i="6" s="1"/>
  <c r="B206" i="8" s="1"/>
  <c r="B264" i="9"/>
  <c r="B143" i="6" s="1"/>
  <c r="B248" i="9"/>
  <c r="B129" i="6" s="1"/>
  <c r="B151" i="8" s="1"/>
  <c r="B600" i="9"/>
  <c r="B451" i="6" s="1"/>
  <c r="B457" i="8" s="1"/>
  <c r="B477" i="9"/>
  <c r="B338" i="6" s="1"/>
  <c r="B584" i="9"/>
  <c r="B437" i="6" s="1"/>
  <c r="B444" i="8" s="1"/>
  <c r="B415" i="9"/>
  <c r="B282" i="6" s="1"/>
  <c r="B296" i="8" s="1"/>
  <c r="B296" i="9"/>
  <c r="B173" i="6" s="1"/>
  <c r="B192" i="8" s="1"/>
  <c r="B501" i="9"/>
  <c r="B360" i="6" s="1"/>
  <c r="B646" i="9"/>
  <c r="B493" i="6" s="1"/>
  <c r="B497" i="8" s="1"/>
  <c r="B369" i="9"/>
  <c r="B240" i="6" s="1"/>
  <c r="B256" i="8" s="1"/>
  <c r="B409" i="9"/>
  <c r="B276" i="6" s="1"/>
  <c r="B290" i="8" s="1"/>
  <c r="B239" i="9"/>
  <c r="B120" i="6" s="1"/>
  <c r="B538" i="9"/>
  <c r="B395" i="6" s="1"/>
  <c r="B404" i="8" s="1"/>
  <c r="B675" i="9"/>
  <c r="B520" i="6" s="1"/>
  <c r="B523" i="8" s="1"/>
  <c r="B611" i="9"/>
  <c r="B462" i="6" s="1"/>
  <c r="B468" i="8" s="1"/>
  <c r="B511" i="9"/>
  <c r="B370" i="6" s="1"/>
  <c r="B380" i="8" s="1"/>
  <c r="B491" i="9"/>
  <c r="B352" i="6" s="1"/>
  <c r="B363" i="8" s="1"/>
  <c r="B442" i="9"/>
  <c r="B307" i="6" s="1"/>
  <c r="B320" i="8" s="1"/>
  <c r="B388" i="9"/>
  <c r="B257" i="6" s="1"/>
  <c r="B272" i="8" s="1"/>
  <c r="B368" i="9"/>
  <c r="B239" i="6" s="1"/>
  <c r="B255" i="8" s="1"/>
  <c r="B321" i="9"/>
  <c r="B196" i="6" s="1"/>
  <c r="B214" i="8" s="1"/>
  <c r="B272" i="9"/>
  <c r="B151" i="6" s="1"/>
  <c r="B173" i="8" s="1"/>
  <c r="B537" i="9"/>
  <c r="B394" i="6" s="1"/>
  <c r="B403" i="8" s="1"/>
  <c r="B249" i="9"/>
  <c r="B130" i="6" s="1"/>
  <c r="B152" i="8" s="1"/>
  <c r="B504" i="9"/>
  <c r="B363" i="6" s="1"/>
  <c r="B373" i="8" s="1"/>
  <c r="B386" i="9"/>
  <c r="B255" i="6" s="1"/>
  <c r="B270" i="8" s="1"/>
  <c r="B275" i="9"/>
  <c r="B154" i="6" s="1"/>
  <c r="B176" i="8" s="1"/>
  <c r="B529" i="9"/>
  <c r="B386" i="6" s="1"/>
  <c r="B395" i="8" s="1"/>
  <c r="B455" i="9"/>
  <c r="B318" i="6" s="1"/>
  <c r="B330" i="8" s="1"/>
  <c r="B381" i="9"/>
  <c r="B250" i="6" s="1"/>
  <c r="B417" i="9"/>
  <c r="B284" i="6" s="1"/>
  <c r="B298" i="8" s="1"/>
  <c r="B247" i="9"/>
  <c r="B128" i="6" s="1"/>
  <c r="B150" i="8" s="1"/>
  <c r="B241" i="9"/>
  <c r="B122" i="6" s="1"/>
  <c r="B683" i="9"/>
  <c r="B528" i="6" s="1"/>
  <c r="B531" i="8" s="1"/>
  <c r="B576" i="9"/>
  <c r="B429" i="6" s="1"/>
  <c r="B436" i="8" s="1"/>
  <c r="B519" i="9"/>
  <c r="B378" i="6" s="1"/>
  <c r="B388" i="8" s="1"/>
  <c r="B480" i="9"/>
  <c r="B341" i="6" s="1"/>
  <c r="B352" i="8" s="1"/>
  <c r="B407" i="9"/>
  <c r="B274" i="6" s="1"/>
  <c r="B288" i="8" s="1"/>
  <c r="B384" i="9"/>
  <c r="B253" i="6" s="1"/>
  <c r="B268" i="8" s="1"/>
  <c r="B363" i="9"/>
  <c r="B234" i="6" s="1"/>
  <c r="B250" i="8" s="1"/>
  <c r="B288" i="9"/>
  <c r="B165" i="6" s="1"/>
  <c r="B184" i="8" s="1"/>
  <c r="B267" i="9"/>
  <c r="B146" i="6" s="1"/>
  <c r="B168" i="8" s="1"/>
  <c r="B463" i="9"/>
  <c r="B326" i="6" s="1"/>
  <c r="B338" i="8" s="1"/>
  <c r="B479" i="9"/>
  <c r="B340" i="6" s="1"/>
  <c r="B351" i="8" s="1"/>
  <c r="B651" i="9"/>
  <c r="B498" i="6" s="1"/>
  <c r="B502" i="8" s="1"/>
  <c r="B488" i="9"/>
  <c r="B349" i="6" s="1"/>
  <c r="B360" i="8" s="1"/>
  <c r="B371" i="9"/>
  <c r="B242" i="6" s="1"/>
  <c r="B258" i="8" s="1"/>
  <c r="H218" i="9" a="1"/>
  <c r="H218" i="9" s="1"/>
  <c r="H214" i="9" a="1"/>
  <c r="H214" i="9" s="1"/>
  <c r="H217" i="9" a="1"/>
  <c r="H217" i="9" s="1"/>
  <c r="H222" i="9" a="1"/>
  <c r="H222" i="9" s="1"/>
  <c r="H232" i="9" a="1"/>
  <c r="H232" i="9" s="1"/>
  <c r="H231" i="9" a="1"/>
  <c r="H231" i="9" s="1"/>
  <c r="H227" i="9" a="1"/>
  <c r="H227" i="9" s="1"/>
  <c r="H224" i="9" a="1"/>
  <c r="H224" i="9" s="1"/>
  <c r="H215" i="9" a="1"/>
  <c r="H215" i="9" s="1"/>
  <c r="H230" i="9" a="1"/>
  <c r="H230" i="9" s="1"/>
  <c r="H229" i="9" a="1"/>
  <c r="H229" i="9" s="1"/>
  <c r="H220" i="9" a="1"/>
  <c r="H220" i="9" s="1"/>
  <c r="H213" i="9" a="1"/>
  <c r="H213" i="9" s="1"/>
  <c r="H226" i="9" a="1"/>
  <c r="H226" i="9" s="1"/>
  <c r="H216" i="9" a="1"/>
  <c r="H216" i="9" s="1"/>
  <c r="H228" i="9" a="1"/>
  <c r="H228" i="9" s="1"/>
  <c r="H225" i="9" a="1"/>
  <c r="H225" i="9" s="1"/>
  <c r="H219" i="9" a="1"/>
  <c r="H219" i="9" s="1"/>
  <c r="H223" i="9" a="1"/>
  <c r="H223" i="9" s="1"/>
  <c r="H221" i="9" a="1"/>
  <c r="H221" i="9" s="1"/>
  <c r="H302" i="9" a="1"/>
  <c r="H302" i="9" s="1"/>
  <c r="H285" i="9" a="1"/>
  <c r="H285" i="9" s="1"/>
  <c r="H299" i="9" a="1"/>
  <c r="H299" i="9" s="1"/>
  <c r="H289" i="9" a="1"/>
  <c r="H289" i="9" s="1"/>
  <c r="H303" i="9" a="1"/>
  <c r="H303" i="9" s="1"/>
  <c r="H294" i="9" a="1"/>
  <c r="H294" i="9" s="1"/>
  <c r="H291" i="9" a="1"/>
  <c r="H291" i="9" s="1"/>
  <c r="H286" i="9" a="1"/>
  <c r="H286" i="9" s="1"/>
  <c r="H295" i="9" a="1"/>
  <c r="H295" i="9" s="1"/>
  <c r="H300" i="9" a="1"/>
  <c r="H300" i="9" s="1"/>
  <c r="H298" i="9" a="1"/>
  <c r="H298" i="9" s="1"/>
  <c r="H287" i="9" a="1"/>
  <c r="H287" i="9" s="1"/>
  <c r="H292" i="9" a="1"/>
  <c r="H292" i="9" s="1"/>
  <c r="H290" i="9" a="1"/>
  <c r="H290" i="9" s="1"/>
  <c r="H304" i="9" a="1"/>
  <c r="H304" i="9" s="1"/>
  <c r="H296" i="9" a="1"/>
  <c r="H296" i="9" s="1"/>
  <c r="H301" i="9" a="1"/>
  <c r="H301" i="9" s="1"/>
  <c r="H288" i="9" a="1"/>
  <c r="H288" i="9" s="1"/>
  <c r="H293" i="9" a="1"/>
  <c r="H293" i="9" s="1"/>
  <c r="H297" i="9" a="1"/>
  <c r="H297" i="9" s="1"/>
  <c r="H688" i="9" a="1"/>
  <c r="H688" i="9" s="1"/>
  <c r="H677" i="9" a="1"/>
  <c r="H677" i="9" s="1"/>
  <c r="H673" i="9" a="1"/>
  <c r="H673" i="9" s="1"/>
  <c r="H683" i="9" a="1"/>
  <c r="H683" i="9" s="1"/>
  <c r="H671" i="9" a="1"/>
  <c r="H671" i="9" s="1"/>
  <c r="H686" i="9" a="1"/>
  <c r="H686" i="9" s="1"/>
  <c r="H669" i="9" a="1"/>
  <c r="H669" i="9" s="1"/>
  <c r="H679" i="9" a="1"/>
  <c r="H679" i="9" s="1"/>
  <c r="H687" i="9" a="1"/>
  <c r="H687" i="9" s="1"/>
  <c r="H670" i="9" a="1"/>
  <c r="H670" i="9" s="1"/>
  <c r="H685" i="9" a="1"/>
  <c r="H685" i="9" s="1"/>
  <c r="H678" i="9" a="1"/>
  <c r="H678" i="9" s="1"/>
  <c r="H675" i="9" a="1"/>
  <c r="H675" i="9" s="1"/>
  <c r="H680" i="9" a="1"/>
  <c r="H680" i="9" s="1"/>
  <c r="H676" i="9" a="1"/>
  <c r="H676" i="9" s="1"/>
  <c r="H684" i="9" a="1"/>
  <c r="H684" i="9" s="1"/>
  <c r="H682" i="9" a="1"/>
  <c r="H682" i="9" s="1"/>
  <c r="H681" i="9" a="1"/>
  <c r="H681" i="9" s="1"/>
  <c r="H672" i="9" a="1"/>
  <c r="H672" i="9" s="1"/>
  <c r="H674" i="9" a="1"/>
  <c r="H674" i="9" s="1"/>
  <c r="H431" i="9" a="1"/>
  <c r="H431" i="9" s="1"/>
  <c r="H437" i="9" a="1"/>
  <c r="H437" i="9" s="1"/>
  <c r="H433" i="9" a="1"/>
  <c r="H433" i="9" s="1"/>
  <c r="H436" i="9" a="1"/>
  <c r="H436" i="9" s="1"/>
  <c r="H447" i="9" a="1"/>
  <c r="H447" i="9" s="1"/>
  <c r="H440" i="9" a="1"/>
  <c r="H440" i="9" s="1"/>
  <c r="H430" i="9" a="1"/>
  <c r="H430" i="9" s="1"/>
  <c r="H441" i="9" a="1"/>
  <c r="H441" i="9" s="1"/>
  <c r="H435" i="9" a="1"/>
  <c r="H435" i="9" s="1"/>
  <c r="H439" i="9" a="1"/>
  <c r="H439" i="9" s="1"/>
  <c r="H438" i="9" a="1"/>
  <c r="H438" i="9" s="1"/>
  <c r="H446" i="9" a="1"/>
  <c r="H446" i="9" s="1"/>
  <c r="H444" i="9" a="1"/>
  <c r="H444" i="9" s="1"/>
  <c r="H443" i="9" a="1"/>
  <c r="H443" i="9" s="1"/>
  <c r="H432" i="9" a="1"/>
  <c r="H432" i="9" s="1"/>
  <c r="H442" i="9" a="1"/>
  <c r="H442" i="9" s="1"/>
  <c r="H429" i="9" a="1"/>
  <c r="H429" i="9" s="1"/>
  <c r="H445" i="9" a="1"/>
  <c r="H445" i="9" s="1"/>
  <c r="H448" i="9" a="1"/>
  <c r="H448" i="9" s="1"/>
  <c r="H434" i="9" a="1"/>
  <c r="H434" i="9" s="1"/>
  <c r="H252" i="9" a="1"/>
  <c r="H252" i="9" s="1"/>
  <c r="H250" i="9" a="1"/>
  <c r="H250" i="9" s="1"/>
  <c r="H239" i="9" a="1"/>
  <c r="H239" i="9" s="1"/>
  <c r="H244" i="9" a="1"/>
  <c r="H244" i="9" s="1"/>
  <c r="H241" i="9" a="1"/>
  <c r="H241" i="9" s="1"/>
  <c r="H256" i="9" a="1"/>
  <c r="H256" i="9" s="1"/>
  <c r="H238" i="9" a="1"/>
  <c r="H238" i="9" s="1"/>
  <c r="H253" i="9" a="1"/>
  <c r="H253" i="9" s="1"/>
  <c r="H248" i="9" a="1"/>
  <c r="H248" i="9" s="1"/>
  <c r="H249" i="9" a="1"/>
  <c r="H249" i="9" s="1"/>
  <c r="H240" i="9" a="1"/>
  <c r="H240" i="9" s="1"/>
  <c r="H245" i="9" a="1"/>
  <c r="H245" i="9" s="1"/>
  <c r="H254" i="9" a="1"/>
  <c r="H254" i="9" s="1"/>
  <c r="H251" i="9" a="1"/>
  <c r="H251" i="9" s="1"/>
  <c r="H246" i="9" a="1"/>
  <c r="H246" i="9" s="1"/>
  <c r="H243" i="9" a="1"/>
  <c r="H243" i="9" s="1"/>
  <c r="H255" i="9" a="1"/>
  <c r="H255" i="9" s="1"/>
  <c r="H237" i="9" a="1"/>
  <c r="H237" i="9" s="1"/>
  <c r="H242" i="9" a="1"/>
  <c r="H242" i="9" s="1"/>
  <c r="H247" i="9" a="1"/>
  <c r="H247" i="9" s="1"/>
  <c r="H385" i="9" a="1"/>
  <c r="H385" i="9" s="1"/>
  <c r="H400" i="9" a="1"/>
  <c r="H400" i="9" s="1"/>
  <c r="H393" i="9" a="1"/>
  <c r="H393" i="9" s="1"/>
  <c r="H383" i="9" a="1"/>
  <c r="H383" i="9" s="1"/>
  <c r="H399" i="9" a="1"/>
  <c r="H399" i="9" s="1"/>
  <c r="H391" i="9" a="1"/>
  <c r="H391" i="9" s="1"/>
  <c r="H394" i="9" a="1"/>
  <c r="H394" i="9" s="1"/>
  <c r="H382" i="9" a="1"/>
  <c r="H382" i="9" s="1"/>
  <c r="H398" i="9" a="1"/>
  <c r="H398" i="9" s="1"/>
  <c r="H381" i="9" a="1"/>
  <c r="H381" i="9" s="1"/>
  <c r="H386" i="9" a="1"/>
  <c r="H386" i="9" s="1"/>
  <c r="H387" i="9" a="1"/>
  <c r="H387" i="9" s="1"/>
  <c r="H390" i="9" a="1"/>
  <c r="H390" i="9" s="1"/>
  <c r="H396" i="9" a="1"/>
  <c r="H396" i="9" s="1"/>
  <c r="H395" i="9" a="1"/>
  <c r="H395" i="9" s="1"/>
  <c r="H392" i="9" a="1"/>
  <c r="H392" i="9" s="1"/>
  <c r="H397" i="9" a="1"/>
  <c r="H397" i="9" s="1"/>
  <c r="H389" i="9" a="1"/>
  <c r="H389" i="9" s="1"/>
  <c r="H384" i="9" a="1"/>
  <c r="H384" i="9" s="1"/>
  <c r="H388" i="9" a="1"/>
  <c r="H388" i="9" s="1"/>
  <c r="H658" i="9" a="1"/>
  <c r="H658" i="9" s="1"/>
  <c r="H652" i="9" a="1"/>
  <c r="H652" i="9" s="1"/>
  <c r="H663" i="9" a="1"/>
  <c r="H663" i="9" s="1"/>
  <c r="H650" i="9" a="1"/>
  <c r="H650" i="9" s="1"/>
  <c r="H646" i="9" a="1"/>
  <c r="H646" i="9" s="1"/>
  <c r="H661" i="9" a="1"/>
  <c r="H661" i="9" s="1"/>
  <c r="H654" i="9" a="1"/>
  <c r="H654" i="9" s="1"/>
  <c r="H655" i="9" a="1"/>
  <c r="H655" i="9" s="1"/>
  <c r="H659" i="9" a="1"/>
  <c r="H659" i="9" s="1"/>
  <c r="H656" i="9" a="1"/>
  <c r="H656" i="9" s="1"/>
  <c r="H649" i="9" a="1"/>
  <c r="H649" i="9" s="1"/>
  <c r="H651" i="9" a="1"/>
  <c r="H651" i="9" s="1"/>
  <c r="H662" i="9" a="1"/>
  <c r="H662" i="9" s="1"/>
  <c r="H664" i="9" a="1"/>
  <c r="H664" i="9" s="1"/>
  <c r="H653" i="9" a="1"/>
  <c r="H653" i="9" s="1"/>
  <c r="H645" i="9" a="1"/>
  <c r="H645" i="9" s="1"/>
  <c r="H660" i="9" a="1"/>
  <c r="H660" i="9" s="1"/>
  <c r="H657" i="9" a="1"/>
  <c r="H657" i="9" s="1"/>
  <c r="H648" i="9" a="1"/>
  <c r="H648" i="9" s="1"/>
  <c r="H647" i="9" a="1"/>
  <c r="H647" i="9" s="1"/>
  <c r="H634" i="9" a="1"/>
  <c r="H634" i="9" s="1"/>
  <c r="H637" i="9" a="1"/>
  <c r="H637" i="9" s="1"/>
  <c r="H629" i="9" a="1"/>
  <c r="H629" i="9" s="1"/>
  <c r="H625" i="9" a="1"/>
  <c r="H625" i="9" s="1"/>
  <c r="H633" i="9" a="1"/>
  <c r="H633" i="9" s="1"/>
  <c r="H635" i="9" a="1"/>
  <c r="H635" i="9" s="1"/>
  <c r="H630" i="9" a="1"/>
  <c r="H630" i="9" s="1"/>
  <c r="H622" i="9" a="1"/>
  <c r="H622" i="9" s="1"/>
  <c r="H623" i="9" a="1"/>
  <c r="H623" i="9" s="1"/>
  <c r="H640" i="9" a="1"/>
  <c r="H640" i="9" s="1"/>
  <c r="H621" i="9" a="1"/>
  <c r="H621" i="9" s="1"/>
  <c r="H631" i="9" a="1"/>
  <c r="H631" i="9" s="1"/>
  <c r="H636" i="9" a="1"/>
  <c r="H636" i="9" s="1"/>
  <c r="H639" i="9" a="1"/>
  <c r="H639" i="9" s="1"/>
  <c r="H638" i="9" a="1"/>
  <c r="H638" i="9" s="1"/>
  <c r="H626" i="9" a="1"/>
  <c r="H626" i="9" s="1"/>
  <c r="H624" i="9" a="1"/>
  <c r="H624" i="9" s="1"/>
  <c r="H632" i="9" a="1"/>
  <c r="H632" i="9" s="1"/>
  <c r="H628" i="9" a="1"/>
  <c r="H628" i="9" s="1"/>
  <c r="H627" i="9" a="1"/>
  <c r="H627" i="9" s="1"/>
  <c r="H261" i="9" a="1"/>
  <c r="H261" i="9" s="1"/>
  <c r="H268" i="9" a="1"/>
  <c r="H268" i="9" s="1"/>
  <c r="H273" i="9" a="1"/>
  <c r="H273" i="9" s="1"/>
  <c r="H277" i="9" a="1"/>
  <c r="H277" i="9" s="1"/>
  <c r="H279" i="9" a="1"/>
  <c r="H279" i="9" s="1"/>
  <c r="H269" i="9" a="1"/>
  <c r="H269" i="9" s="1"/>
  <c r="H265" i="9" a="1"/>
  <c r="H265" i="9" s="1"/>
  <c r="H274" i="9" a="1"/>
  <c r="H274" i="9" s="1"/>
  <c r="H271" i="9" a="1"/>
  <c r="H271" i="9" s="1"/>
  <c r="H266" i="9" a="1"/>
  <c r="H266" i="9" s="1"/>
  <c r="H263" i="9" a="1"/>
  <c r="H263" i="9" s="1"/>
  <c r="H275" i="9" a="1"/>
  <c r="H275" i="9" s="1"/>
  <c r="H280" i="9" a="1"/>
  <c r="H280" i="9" s="1"/>
  <c r="H278" i="9" a="1"/>
  <c r="H278" i="9" s="1"/>
  <c r="H267" i="9" a="1"/>
  <c r="H267" i="9" s="1"/>
  <c r="H272" i="9" a="1"/>
  <c r="H272" i="9" s="1"/>
  <c r="H270" i="9" a="1"/>
  <c r="H270" i="9" s="1"/>
  <c r="H264" i="9" a="1"/>
  <c r="H264" i="9" s="1"/>
  <c r="H262" i="9" a="1"/>
  <c r="H262" i="9" s="1"/>
  <c r="H276" i="9" a="1"/>
  <c r="H276" i="9" s="1"/>
  <c r="H516" i="9" a="1"/>
  <c r="H516" i="9" s="1"/>
  <c r="H518" i="9" a="1"/>
  <c r="H518" i="9" s="1"/>
  <c r="H517" i="9" a="1"/>
  <c r="H517" i="9" s="1"/>
  <c r="H503" i="9" a="1"/>
  <c r="H503" i="9" s="1"/>
  <c r="H510" i="9" a="1"/>
  <c r="H510" i="9" s="1"/>
  <c r="H509" i="9" a="1"/>
  <c r="H509" i="9" s="1"/>
  <c r="H514" i="9" a="1"/>
  <c r="H514" i="9" s="1"/>
  <c r="H502" i="9" a="1"/>
  <c r="H502" i="9" s="1"/>
  <c r="H511" i="9" a="1"/>
  <c r="H511" i="9" s="1"/>
  <c r="H505" i="9" a="1"/>
  <c r="H505" i="9" s="1"/>
  <c r="H515" i="9" a="1"/>
  <c r="H515" i="9" s="1"/>
  <c r="H504" i="9" a="1"/>
  <c r="H504" i="9" s="1"/>
  <c r="H520" i="9" a="1"/>
  <c r="H520" i="9" s="1"/>
  <c r="H501" i="9" a="1"/>
  <c r="H501" i="9" s="1"/>
  <c r="H519" i="9" a="1"/>
  <c r="H519" i="9" s="1"/>
  <c r="H506" i="9" a="1"/>
  <c r="H506" i="9" s="1"/>
  <c r="H512" i="9" a="1"/>
  <c r="H512" i="9" s="1"/>
  <c r="H508" i="9" a="1"/>
  <c r="H508" i="9" s="1"/>
  <c r="H507" i="9" a="1"/>
  <c r="H507" i="9" s="1"/>
  <c r="H513" i="9" a="1"/>
  <c r="H513" i="9" s="1"/>
  <c r="H599" i="9" a="1"/>
  <c r="H599" i="9" s="1"/>
  <c r="H603" i="9" a="1"/>
  <c r="H603" i="9" s="1"/>
  <c r="H600" i="9" a="1"/>
  <c r="H600" i="9" s="1"/>
  <c r="H602" i="9" a="1"/>
  <c r="H602" i="9" s="1"/>
  <c r="H608" i="9" a="1"/>
  <c r="H608" i="9" s="1"/>
  <c r="H611" i="9" a="1"/>
  <c r="H611" i="9" s="1"/>
  <c r="H610" i="9" a="1"/>
  <c r="H610" i="9" s="1"/>
  <c r="H605" i="9" a="1"/>
  <c r="H605" i="9" s="1"/>
  <c r="H615" i="9" a="1"/>
  <c r="H615" i="9" s="1"/>
  <c r="H614" i="9" a="1"/>
  <c r="H614" i="9" s="1"/>
  <c r="H601" i="9" a="1"/>
  <c r="H601" i="9" s="1"/>
  <c r="H598" i="9" a="1"/>
  <c r="H598" i="9" s="1"/>
  <c r="H597" i="9" a="1"/>
  <c r="H597" i="9" s="1"/>
  <c r="H607" i="9" a="1"/>
  <c r="H607" i="9" s="1"/>
  <c r="H613" i="9" a="1"/>
  <c r="H613" i="9" s="1"/>
  <c r="H612" i="9" a="1"/>
  <c r="H612" i="9" s="1"/>
  <c r="H604" i="9" a="1"/>
  <c r="H604" i="9" s="1"/>
  <c r="H609" i="9" a="1"/>
  <c r="H609" i="9" s="1"/>
  <c r="H606" i="9" a="1"/>
  <c r="H606" i="9" s="1"/>
  <c r="H616" i="9" a="1"/>
  <c r="H616" i="9" s="1"/>
  <c r="H329" i="9"/>
  <c r="I324" i="9" s="1"/>
  <c r="AY324" i="9" s="1"/>
  <c r="DP324" i="9" s="1"/>
  <c r="H593" i="9"/>
  <c r="I592" i="9" s="1"/>
  <c r="H353" i="9"/>
  <c r="I345" i="9" s="1"/>
  <c r="H473" i="9"/>
  <c r="I460" i="9" s="1"/>
  <c r="BA460" i="9" s="1"/>
  <c r="DR460" i="9" s="1"/>
  <c r="H425" i="9"/>
  <c r="AR45" i="4"/>
  <c r="O96" i="9" a="1"/>
  <c r="O96" i="9" s="1"/>
  <c r="O202" i="9" s="1"/>
  <c r="P96" i="9" a="1"/>
  <c r="P96" i="9" s="1"/>
  <c r="P202" i="9" s="1"/>
  <c r="R96" i="9" a="1"/>
  <c r="R96" i="9" s="1"/>
  <c r="R202" i="9" s="1"/>
  <c r="Q96" i="9" a="1"/>
  <c r="Q96" i="9" s="1"/>
  <c r="Q202" i="9" s="1"/>
  <c r="N96" i="9" a="1"/>
  <c r="N96" i="9" s="1"/>
  <c r="N202" i="9" s="1"/>
  <c r="T96" i="9" a="1"/>
  <c r="T96" i="9" s="1"/>
  <c r="T202" i="9" s="1"/>
  <c r="S96" i="9" a="1"/>
  <c r="S96" i="9" s="1"/>
  <c r="S202" i="9" s="1"/>
  <c r="M96" i="9" a="1"/>
  <c r="M96" i="9" s="1"/>
  <c r="M202" i="9" s="1"/>
  <c r="N83" i="9" a="1"/>
  <c r="N83" i="9" s="1"/>
  <c r="N189" i="9" s="1"/>
  <c r="O83" i="9" a="1"/>
  <c r="O83" i="9" s="1"/>
  <c r="O189" i="9" s="1"/>
  <c r="R83" i="9" a="1"/>
  <c r="R83" i="9" s="1"/>
  <c r="R189" i="9" s="1"/>
  <c r="S83" i="9" a="1"/>
  <c r="S83" i="9" s="1"/>
  <c r="S189" i="9" s="1"/>
  <c r="M83" i="9" a="1"/>
  <c r="M83" i="9" s="1"/>
  <c r="M189" i="9" s="1"/>
  <c r="T83" i="9" a="1"/>
  <c r="T83" i="9" s="1"/>
  <c r="T189" i="9" s="1"/>
  <c r="P83" i="9" a="1"/>
  <c r="P83" i="9" s="1"/>
  <c r="P189" i="9" s="1"/>
  <c r="Q83" i="9" a="1"/>
  <c r="Q83" i="9" s="1"/>
  <c r="Q189" i="9" s="1"/>
  <c r="R91" i="9" a="1"/>
  <c r="R91" i="9" s="1"/>
  <c r="R197" i="9" s="1"/>
  <c r="M91" i="9" a="1"/>
  <c r="M91" i="9" s="1"/>
  <c r="M197" i="9" s="1"/>
  <c r="N91" i="9" a="1"/>
  <c r="N91" i="9" s="1"/>
  <c r="N197" i="9" s="1"/>
  <c r="Q91" i="9" a="1"/>
  <c r="Q91" i="9" s="1"/>
  <c r="Q197" i="9" s="1"/>
  <c r="S91" i="9" a="1"/>
  <c r="S91" i="9" s="1"/>
  <c r="S197" i="9" s="1"/>
  <c r="P91" i="9" a="1"/>
  <c r="P91" i="9" s="1"/>
  <c r="P197" i="9" s="1"/>
  <c r="T91" i="9" a="1"/>
  <c r="T91" i="9" s="1"/>
  <c r="T197" i="9" s="1"/>
  <c r="O91" i="9" a="1"/>
  <c r="O91" i="9" s="1"/>
  <c r="O197" i="9" s="1"/>
  <c r="Q78" i="9" a="1"/>
  <c r="Q78" i="9" s="1"/>
  <c r="Q184" i="9" s="1"/>
  <c r="O78" i="9" a="1"/>
  <c r="O78" i="9" s="1"/>
  <c r="O184" i="9" s="1"/>
  <c r="N78" i="9" a="1"/>
  <c r="N78" i="9" s="1"/>
  <c r="N184" i="9" s="1"/>
  <c r="P78" i="9" a="1"/>
  <c r="P78" i="9" s="1"/>
  <c r="P184" i="9" s="1"/>
  <c r="S78" i="9" a="1"/>
  <c r="S78" i="9" s="1"/>
  <c r="S184" i="9" s="1"/>
  <c r="M78" i="9" a="1"/>
  <c r="M78" i="9" s="1"/>
  <c r="M184" i="9" s="1"/>
  <c r="T78" i="9" a="1"/>
  <c r="T78" i="9" s="1"/>
  <c r="T184" i="9" s="1"/>
  <c r="R78" i="9" a="1"/>
  <c r="R78" i="9" s="1"/>
  <c r="R184" i="9" s="1"/>
  <c r="O86" i="9" a="1"/>
  <c r="O86" i="9" s="1"/>
  <c r="O192" i="9" s="1"/>
  <c r="R86" i="9" a="1"/>
  <c r="R86" i="9" s="1"/>
  <c r="R192" i="9" s="1"/>
  <c r="Q86" i="9" a="1"/>
  <c r="Q86" i="9" s="1"/>
  <c r="Q192" i="9" s="1"/>
  <c r="P86" i="9" a="1"/>
  <c r="P86" i="9" s="1"/>
  <c r="P192" i="9" s="1"/>
  <c r="T86" i="9" a="1"/>
  <c r="T86" i="9" s="1"/>
  <c r="T192" i="9" s="1"/>
  <c r="M86" i="9" a="1"/>
  <c r="M86" i="9" s="1"/>
  <c r="M192" i="9" s="1"/>
  <c r="S86" i="9" a="1"/>
  <c r="S86" i="9" s="1"/>
  <c r="S192" i="9" s="1"/>
  <c r="N86" i="9" a="1"/>
  <c r="N86" i="9" s="1"/>
  <c r="N192" i="9" s="1"/>
  <c r="O80" i="9" a="1"/>
  <c r="O80" i="9" s="1"/>
  <c r="O186" i="9" s="1"/>
  <c r="S80" i="9" a="1"/>
  <c r="S80" i="9" s="1"/>
  <c r="S186" i="9" s="1"/>
  <c r="Q80" i="9" a="1"/>
  <c r="Q80" i="9" s="1"/>
  <c r="Q186" i="9" s="1"/>
  <c r="M80" i="9" a="1"/>
  <c r="M80" i="9" s="1"/>
  <c r="M186" i="9" s="1"/>
  <c r="R80" i="9" a="1"/>
  <c r="R80" i="9" s="1"/>
  <c r="R186" i="9" s="1"/>
  <c r="N80" i="9" a="1"/>
  <c r="N80" i="9" s="1"/>
  <c r="N186" i="9" s="1"/>
  <c r="P80" i="9" a="1"/>
  <c r="P80" i="9" s="1"/>
  <c r="P186" i="9" s="1"/>
  <c r="T80" i="9" a="1"/>
  <c r="T80" i="9" s="1"/>
  <c r="T186" i="9" s="1"/>
  <c r="N88" i="9" a="1"/>
  <c r="N88" i="9" s="1"/>
  <c r="N194" i="9" s="1"/>
  <c r="R88" i="9" a="1"/>
  <c r="R88" i="9" s="1"/>
  <c r="R194" i="9" s="1"/>
  <c r="S88" i="9" a="1"/>
  <c r="S88" i="9" s="1"/>
  <c r="S194" i="9" s="1"/>
  <c r="M88" i="9" a="1"/>
  <c r="M88" i="9" s="1"/>
  <c r="M194" i="9" s="1"/>
  <c r="P88" i="9" a="1"/>
  <c r="P88" i="9" s="1"/>
  <c r="P194" i="9" s="1"/>
  <c r="T88" i="9" a="1"/>
  <c r="T88" i="9" s="1"/>
  <c r="T194" i="9" s="1"/>
  <c r="Q88" i="9" a="1"/>
  <c r="Q88" i="9" s="1"/>
  <c r="Q194" i="9" s="1"/>
  <c r="O88" i="9" a="1"/>
  <c r="O88" i="9" s="1"/>
  <c r="O194" i="9" s="1"/>
  <c r="Q81" i="9" a="1"/>
  <c r="Q81" i="9" s="1"/>
  <c r="Q187" i="9" s="1"/>
  <c r="R81" i="9" a="1"/>
  <c r="R81" i="9" s="1"/>
  <c r="R187" i="9" s="1"/>
  <c r="S81" i="9" a="1"/>
  <c r="S81" i="9" s="1"/>
  <c r="S187" i="9" s="1"/>
  <c r="P81" i="9" a="1"/>
  <c r="P81" i="9" s="1"/>
  <c r="P187" i="9" s="1"/>
  <c r="N81" i="9" a="1"/>
  <c r="N81" i="9" s="1"/>
  <c r="N187" i="9" s="1"/>
  <c r="O81" i="9" a="1"/>
  <c r="O81" i="9" s="1"/>
  <c r="O187" i="9" s="1"/>
  <c r="M81" i="9" a="1"/>
  <c r="M81" i="9" s="1"/>
  <c r="M187" i="9" s="1"/>
  <c r="T81" i="9" a="1"/>
  <c r="T81" i="9" s="1"/>
  <c r="T187" i="9" s="1"/>
  <c r="N82" i="9" a="1"/>
  <c r="N82" i="9" s="1"/>
  <c r="N188" i="9" s="1"/>
  <c r="R82" i="9" a="1"/>
  <c r="R82" i="9" s="1"/>
  <c r="R188" i="9" s="1"/>
  <c r="S82" i="9" a="1"/>
  <c r="S82" i="9" s="1"/>
  <c r="S188" i="9" s="1"/>
  <c r="T82" i="9" a="1"/>
  <c r="T82" i="9" s="1"/>
  <c r="T188" i="9" s="1"/>
  <c r="O82" i="9" a="1"/>
  <c r="O82" i="9" s="1"/>
  <c r="O188" i="9" s="1"/>
  <c r="Q82" i="9" a="1"/>
  <c r="Q82" i="9" s="1"/>
  <c r="Q188" i="9" s="1"/>
  <c r="P82" i="9" a="1"/>
  <c r="P82" i="9" s="1"/>
  <c r="P188" i="9" s="1"/>
  <c r="M82" i="9" a="1"/>
  <c r="M82" i="9" s="1"/>
  <c r="M188" i="9" s="1"/>
  <c r="R92" i="9" a="1"/>
  <c r="R92" i="9" s="1"/>
  <c r="R198" i="9" s="1"/>
  <c r="Q92" i="9" a="1"/>
  <c r="Q92" i="9" s="1"/>
  <c r="Q198" i="9" s="1"/>
  <c r="T92" i="9" a="1"/>
  <c r="T92" i="9" s="1"/>
  <c r="T198" i="9" s="1"/>
  <c r="O92" i="9" a="1"/>
  <c r="O92" i="9" s="1"/>
  <c r="O198" i="9" s="1"/>
  <c r="P92" i="9" a="1"/>
  <c r="P92" i="9" s="1"/>
  <c r="P198" i="9" s="1"/>
  <c r="M92" i="9" a="1"/>
  <c r="M92" i="9" s="1"/>
  <c r="M198" i="9" s="1"/>
  <c r="S92" i="9" a="1"/>
  <c r="S92" i="9" s="1"/>
  <c r="S198" i="9" s="1"/>
  <c r="N92" i="9" a="1"/>
  <c r="N92" i="9" s="1"/>
  <c r="N198" i="9" s="1"/>
  <c r="M89" i="9" a="1"/>
  <c r="M89" i="9" s="1"/>
  <c r="M195" i="9" s="1"/>
  <c r="P89" i="9" a="1"/>
  <c r="P89" i="9" s="1"/>
  <c r="P195" i="9" s="1"/>
  <c r="Q89" i="9" a="1"/>
  <c r="Q89" i="9" s="1"/>
  <c r="Q195" i="9" s="1"/>
  <c r="O89" i="9" a="1"/>
  <c r="O89" i="9" s="1"/>
  <c r="O195" i="9" s="1"/>
  <c r="R89" i="9" a="1"/>
  <c r="R89" i="9" s="1"/>
  <c r="R195" i="9" s="1"/>
  <c r="N89" i="9" a="1"/>
  <c r="N89" i="9" s="1"/>
  <c r="N195" i="9" s="1"/>
  <c r="T89" i="9" a="1"/>
  <c r="T89" i="9" s="1"/>
  <c r="T195" i="9" s="1"/>
  <c r="S89" i="9" a="1"/>
  <c r="S89" i="9" s="1"/>
  <c r="S195" i="9" s="1"/>
  <c r="T79" i="9" a="1"/>
  <c r="T79" i="9" s="1"/>
  <c r="T185" i="9" s="1"/>
  <c r="R79" i="9" a="1"/>
  <c r="R79" i="9" s="1"/>
  <c r="R185" i="9" s="1"/>
  <c r="M79" i="9" a="1"/>
  <c r="M79" i="9" s="1"/>
  <c r="M185" i="9" s="1"/>
  <c r="O79" i="9" a="1"/>
  <c r="O79" i="9" s="1"/>
  <c r="O185" i="9" s="1"/>
  <c r="Q79" i="9" a="1"/>
  <c r="Q79" i="9" s="1"/>
  <c r="Q185" i="9" s="1"/>
  <c r="N79" i="9" a="1"/>
  <c r="N79" i="9" s="1"/>
  <c r="N185" i="9" s="1"/>
  <c r="P79" i="9" a="1"/>
  <c r="P79" i="9" s="1"/>
  <c r="P185" i="9" s="1"/>
  <c r="S79" i="9" a="1"/>
  <c r="S79" i="9" s="1"/>
  <c r="S185" i="9" s="1"/>
  <c r="R84" i="9" a="1"/>
  <c r="R84" i="9" s="1"/>
  <c r="R190" i="9" s="1"/>
  <c r="T84" i="9" a="1"/>
  <c r="T84" i="9" s="1"/>
  <c r="T190" i="9" s="1"/>
  <c r="S84" i="9" a="1"/>
  <c r="S84" i="9" s="1"/>
  <c r="S190" i="9" s="1"/>
  <c r="N84" i="9" a="1"/>
  <c r="N84" i="9" s="1"/>
  <c r="N190" i="9" s="1"/>
  <c r="O84" i="9" a="1"/>
  <c r="O84" i="9" s="1"/>
  <c r="O190" i="9" s="1"/>
  <c r="P84" i="9" a="1"/>
  <c r="P84" i="9" s="1"/>
  <c r="P190" i="9" s="1"/>
  <c r="M84" i="9" a="1"/>
  <c r="M84" i="9" s="1"/>
  <c r="M190" i="9" s="1"/>
  <c r="Q84" i="9" a="1"/>
  <c r="Q84" i="9" s="1"/>
  <c r="Q190" i="9" s="1"/>
  <c r="O94" i="9" a="1"/>
  <c r="O94" i="9" s="1"/>
  <c r="O200" i="9" s="1"/>
  <c r="Q94" i="9" a="1"/>
  <c r="Q94" i="9" s="1"/>
  <c r="Q200" i="9" s="1"/>
  <c r="M94" i="9" a="1"/>
  <c r="M94" i="9" s="1"/>
  <c r="M200" i="9" s="1"/>
  <c r="S94" i="9" a="1"/>
  <c r="S94" i="9" s="1"/>
  <c r="S200" i="9" s="1"/>
  <c r="P94" i="9" a="1"/>
  <c r="P94" i="9" s="1"/>
  <c r="P200" i="9" s="1"/>
  <c r="R94" i="9" a="1"/>
  <c r="R94" i="9" s="1"/>
  <c r="R200" i="9" s="1"/>
  <c r="N94" i="9" a="1"/>
  <c r="N94" i="9" s="1"/>
  <c r="N200" i="9" s="1"/>
  <c r="T94" i="9" a="1"/>
  <c r="T94" i="9" s="1"/>
  <c r="T200" i="9" s="1"/>
  <c r="R85" i="9" a="1"/>
  <c r="R85" i="9" s="1"/>
  <c r="R191" i="9" s="1"/>
  <c r="O85" i="9" a="1"/>
  <c r="O85" i="9" s="1"/>
  <c r="O191" i="9" s="1"/>
  <c r="S85" i="9" a="1"/>
  <c r="S85" i="9" s="1"/>
  <c r="S191" i="9" s="1"/>
  <c r="P85" i="9" a="1"/>
  <c r="P85" i="9" s="1"/>
  <c r="P191" i="9" s="1"/>
  <c r="T85" i="9" a="1"/>
  <c r="T85" i="9" s="1"/>
  <c r="T191" i="9" s="1"/>
  <c r="Q85" i="9" a="1"/>
  <c r="Q85" i="9" s="1"/>
  <c r="Q191" i="9" s="1"/>
  <c r="N85" i="9" a="1"/>
  <c r="N85" i="9" s="1"/>
  <c r="N191" i="9" s="1"/>
  <c r="M85" i="9" a="1"/>
  <c r="M85" i="9" s="1"/>
  <c r="M191" i="9" s="1"/>
  <c r="O93" i="9" a="1"/>
  <c r="O93" i="9" s="1"/>
  <c r="O199" i="9" s="1"/>
  <c r="Q93" i="9" a="1"/>
  <c r="Q93" i="9" s="1"/>
  <c r="Q199" i="9" s="1"/>
  <c r="M93" i="9" a="1"/>
  <c r="M93" i="9" s="1"/>
  <c r="M199" i="9" s="1"/>
  <c r="S93" i="9" a="1"/>
  <c r="S93" i="9" s="1"/>
  <c r="S199" i="9" s="1"/>
  <c r="P93" i="9" a="1"/>
  <c r="P93" i="9" s="1"/>
  <c r="P199" i="9" s="1"/>
  <c r="R93" i="9" a="1"/>
  <c r="R93" i="9" s="1"/>
  <c r="R199" i="9" s="1"/>
  <c r="T93" i="9" a="1"/>
  <c r="T93" i="9" s="1"/>
  <c r="T199" i="9" s="1"/>
  <c r="N93" i="9" a="1"/>
  <c r="N93" i="9" s="1"/>
  <c r="N199" i="9" s="1"/>
  <c r="P90" i="9" a="1"/>
  <c r="P90" i="9" s="1"/>
  <c r="P196" i="9" s="1"/>
  <c r="S90" i="9" a="1"/>
  <c r="S90" i="9" s="1"/>
  <c r="S196" i="9" s="1"/>
  <c r="R90" i="9" a="1"/>
  <c r="R90" i="9" s="1"/>
  <c r="R196" i="9" s="1"/>
  <c r="T90" i="9" a="1"/>
  <c r="T90" i="9" s="1"/>
  <c r="T196" i="9" s="1"/>
  <c r="Q90" i="9" a="1"/>
  <c r="Q90" i="9" s="1"/>
  <c r="Q196" i="9" s="1"/>
  <c r="O90" i="9" a="1"/>
  <c r="O90" i="9" s="1"/>
  <c r="O196" i="9" s="1"/>
  <c r="M90" i="9" a="1"/>
  <c r="M90" i="9" s="1"/>
  <c r="M196" i="9" s="1"/>
  <c r="N90" i="9" a="1"/>
  <c r="N90" i="9" s="1"/>
  <c r="N196" i="9" s="1"/>
  <c r="O95" i="9" a="1"/>
  <c r="O95" i="9" s="1"/>
  <c r="O201" i="9" s="1"/>
  <c r="R95" i="9" a="1"/>
  <c r="R95" i="9" s="1"/>
  <c r="R201" i="9" s="1"/>
  <c r="P95" i="9" a="1"/>
  <c r="P95" i="9" s="1"/>
  <c r="P201" i="9" s="1"/>
  <c r="S95" i="9" a="1"/>
  <c r="S95" i="9" s="1"/>
  <c r="S201" i="9" s="1"/>
  <c r="T95" i="9" a="1"/>
  <c r="T95" i="9" s="1"/>
  <c r="T201" i="9" s="1"/>
  <c r="M95" i="9" a="1"/>
  <c r="M95" i="9" s="1"/>
  <c r="M201" i="9" s="1"/>
  <c r="Q95" i="9" a="1"/>
  <c r="Q95" i="9" s="1"/>
  <c r="Q201" i="9" s="1"/>
  <c r="N95" i="9" a="1"/>
  <c r="N95" i="9" s="1"/>
  <c r="N201" i="9" s="1"/>
  <c r="M87" i="9" a="1"/>
  <c r="M87" i="9" s="1"/>
  <c r="M193" i="9" s="1"/>
  <c r="O87" i="9" a="1"/>
  <c r="O87" i="9" s="1"/>
  <c r="O193" i="9" s="1"/>
  <c r="S87" i="9" a="1"/>
  <c r="S87" i="9" s="1"/>
  <c r="S193" i="9" s="1"/>
  <c r="N87" i="9" a="1"/>
  <c r="N87" i="9" s="1"/>
  <c r="N193" i="9" s="1"/>
  <c r="Q87" i="9" a="1"/>
  <c r="Q87" i="9" s="1"/>
  <c r="Q193" i="9" s="1"/>
  <c r="R87" i="9" a="1"/>
  <c r="R87" i="9" s="1"/>
  <c r="R193" i="9" s="1"/>
  <c r="T87" i="9" a="1"/>
  <c r="T87" i="9" s="1"/>
  <c r="T193" i="9" s="1"/>
  <c r="P87" i="9" a="1"/>
  <c r="P87" i="9" s="1"/>
  <c r="P193" i="9" s="1"/>
  <c r="K83" i="9" a="1"/>
  <c r="K83" i="9" s="1"/>
  <c r="K189" i="9" s="1"/>
  <c r="L83" i="9" a="1"/>
  <c r="L83" i="9" s="1"/>
  <c r="L189" i="9" s="1"/>
  <c r="K88" i="9" a="1"/>
  <c r="K88" i="9" s="1"/>
  <c r="K194" i="9" s="1"/>
  <c r="L88" i="9" a="1"/>
  <c r="L88" i="9" s="1"/>
  <c r="L194" i="9" s="1"/>
  <c r="K86" i="9" a="1"/>
  <c r="K86" i="9" s="1"/>
  <c r="K192" i="9" s="1"/>
  <c r="L86" i="9" a="1"/>
  <c r="L86" i="9" s="1"/>
  <c r="L192" i="9" s="1"/>
  <c r="K81" i="9" a="1"/>
  <c r="K81" i="9" s="1"/>
  <c r="K187" i="9" s="1"/>
  <c r="L81" i="9" a="1"/>
  <c r="L81" i="9" s="1"/>
  <c r="L187" i="9" s="1"/>
  <c r="K82" i="9" a="1"/>
  <c r="K82" i="9" s="1"/>
  <c r="K188" i="9" s="1"/>
  <c r="L82" i="9" a="1"/>
  <c r="L82" i="9" s="1"/>
  <c r="L188" i="9" s="1"/>
  <c r="K85" i="9" a="1"/>
  <c r="K85" i="9" s="1"/>
  <c r="L85" i="9" a="1"/>
  <c r="L85" i="9" s="1"/>
  <c r="L191" i="9" s="1"/>
  <c r="K84" i="9" a="1"/>
  <c r="K84" i="9" s="1"/>
  <c r="L84" i="9" a="1"/>
  <c r="L84" i="9" s="1"/>
  <c r="L190" i="9" s="1"/>
  <c r="K79" i="9" a="1"/>
  <c r="K79" i="9" s="1"/>
  <c r="K185" i="9" s="1"/>
  <c r="L79" i="9" a="1"/>
  <c r="L79" i="9" s="1"/>
  <c r="L185" i="9" s="1"/>
  <c r="K93" i="9" a="1"/>
  <c r="K93" i="9" s="1"/>
  <c r="L93" i="9" a="1"/>
  <c r="L93" i="9" s="1"/>
  <c r="L199" i="9" s="1"/>
  <c r="K80" i="9" a="1"/>
  <c r="K80" i="9" s="1"/>
  <c r="K186" i="9" s="1"/>
  <c r="L80" i="9" a="1"/>
  <c r="L80" i="9" s="1"/>
  <c r="L186" i="9" s="1"/>
  <c r="K89" i="9" a="1"/>
  <c r="K89" i="9" s="1"/>
  <c r="K195" i="9" s="1"/>
  <c r="L89" i="9" a="1"/>
  <c r="L89" i="9" s="1"/>
  <c r="L195" i="9" s="1"/>
  <c r="K94" i="9" a="1"/>
  <c r="K94" i="9" s="1"/>
  <c r="K200" i="9" s="1"/>
  <c r="L94" i="9" a="1"/>
  <c r="L94" i="9" s="1"/>
  <c r="L200" i="9" s="1"/>
  <c r="K90" i="9" a="1"/>
  <c r="K90" i="9" s="1"/>
  <c r="K196" i="9" s="1"/>
  <c r="L90" i="9" a="1"/>
  <c r="L90" i="9" s="1"/>
  <c r="L196" i="9" s="1"/>
  <c r="K78" i="9" a="1"/>
  <c r="K78" i="9" s="1"/>
  <c r="K184" i="9" s="1"/>
  <c r="L78" i="9" a="1"/>
  <c r="L78" i="9" s="1"/>
  <c r="L184" i="9" s="1"/>
  <c r="K91" i="9" a="1"/>
  <c r="K91" i="9" s="1"/>
  <c r="L91" i="9" a="1"/>
  <c r="L91" i="9" s="1"/>
  <c r="L197" i="9" s="1"/>
  <c r="K92" i="9" a="1"/>
  <c r="K92" i="9" s="1"/>
  <c r="K198" i="9" s="1"/>
  <c r="L92" i="9" a="1"/>
  <c r="L92" i="9" s="1"/>
  <c r="L198" i="9" s="1"/>
  <c r="K96" i="9" a="1"/>
  <c r="K96" i="9" s="1"/>
  <c r="L96" i="9" a="1"/>
  <c r="L96" i="9" s="1"/>
  <c r="L202" i="9" s="1"/>
  <c r="K95" i="9" a="1"/>
  <c r="K95" i="9" s="1"/>
  <c r="K201" i="9" s="1"/>
  <c r="L95" i="9" a="1"/>
  <c r="L95" i="9" s="1"/>
  <c r="L201" i="9" s="1"/>
  <c r="K87" i="9" a="1"/>
  <c r="K87" i="9" s="1"/>
  <c r="K193" i="9" s="1"/>
  <c r="L87" i="9" a="1"/>
  <c r="L87" i="9" s="1"/>
  <c r="L193" i="9" s="1"/>
  <c r="BK45" i="4"/>
  <c r="BJ45" i="4"/>
  <c r="BG45" i="4"/>
  <c r="BH45" i="4"/>
  <c r="BI45" i="4"/>
  <c r="BF45" i="4"/>
  <c r="AN46" i="4"/>
  <c r="AN36" i="4"/>
  <c r="B229" i="9"/>
  <c r="B112" i="6" s="1"/>
  <c r="B134" i="8" s="1"/>
  <c r="B221" i="9"/>
  <c r="B104" i="6" s="1"/>
  <c r="B126" i="8" s="1"/>
  <c r="B228" i="9"/>
  <c r="B111" i="6" s="1"/>
  <c r="B133" i="8" s="1"/>
  <c r="B220" i="9"/>
  <c r="B103" i="6" s="1"/>
  <c r="B125" i="8" s="1"/>
  <c r="B232" i="9"/>
  <c r="B115" i="6" s="1"/>
  <c r="B137" i="8" s="1"/>
  <c r="B227" i="9"/>
  <c r="B110" i="6" s="1"/>
  <c r="B132" i="8" s="1"/>
  <c r="B219" i="9"/>
  <c r="B102" i="6" s="1"/>
  <c r="B124" i="8" s="1"/>
  <c r="B225" i="9"/>
  <c r="B108" i="6" s="1"/>
  <c r="B130" i="8" s="1"/>
  <c r="B224" i="9"/>
  <c r="B107" i="6" s="1"/>
  <c r="B129" i="8" s="1"/>
  <c r="B226" i="9"/>
  <c r="B109" i="6" s="1"/>
  <c r="B131" i="8" s="1"/>
  <c r="B218" i="9"/>
  <c r="B101" i="6" s="1"/>
  <c r="B123" i="8" s="1"/>
  <c r="B223" i="9"/>
  <c r="B106" i="6" s="1"/>
  <c r="B128" i="8" s="1"/>
  <c r="B230" i="9"/>
  <c r="B113" i="6" s="1"/>
  <c r="B135" i="8" s="1"/>
  <c r="B222" i="9"/>
  <c r="B105" i="6" s="1"/>
  <c r="B127" i="8" s="1"/>
  <c r="B231" i="9"/>
  <c r="B114" i="6" s="1"/>
  <c r="B136" i="8" s="1"/>
  <c r="T587" i="6"/>
  <c r="T73" i="6"/>
  <c r="T554" i="6"/>
  <c r="T42" i="6"/>
  <c r="T72" i="6"/>
  <c r="T67" i="6"/>
  <c r="T568" i="6"/>
  <c r="T28" i="6"/>
  <c r="T61" i="6"/>
  <c r="T574" i="6"/>
  <c r="T22" i="6"/>
  <c r="T86" i="6"/>
  <c r="T63" i="6"/>
  <c r="T579" i="6"/>
  <c r="T17" i="6"/>
  <c r="T81" i="6"/>
  <c r="T546" i="6"/>
  <c r="T50" i="6"/>
  <c r="T585" i="6"/>
  <c r="T11" i="6"/>
  <c r="T75" i="6"/>
  <c r="T560" i="6"/>
  <c r="T36" i="6"/>
  <c r="T556" i="6"/>
  <c r="T64" i="6"/>
  <c r="T69" i="6"/>
  <c r="T566" i="6"/>
  <c r="T30" i="6"/>
  <c r="T572" i="6"/>
  <c r="T48" i="6"/>
  <c r="T71" i="6"/>
  <c r="T571" i="6"/>
  <c r="T25" i="6"/>
  <c r="T89" i="6"/>
  <c r="T538" i="6"/>
  <c r="T58" i="6"/>
  <c r="T577" i="6"/>
  <c r="T19" i="6"/>
  <c r="T83" i="6"/>
  <c r="T552" i="6"/>
  <c r="T44" i="6"/>
  <c r="T583" i="6"/>
  <c r="T13" i="6"/>
  <c r="T77" i="6"/>
  <c r="T558" i="6"/>
  <c r="T38" i="6"/>
  <c r="T581" i="6"/>
  <c r="T15" i="6"/>
  <c r="T79" i="6"/>
  <c r="T563" i="6"/>
  <c r="T33" i="6"/>
  <c r="T540" i="6"/>
  <c r="T56" i="6"/>
  <c r="T66" i="6"/>
  <c r="T569" i="6"/>
  <c r="T27" i="6"/>
  <c r="T9" i="6"/>
  <c r="T544" i="6"/>
  <c r="T52" i="6"/>
  <c r="T575" i="6"/>
  <c r="T21" i="6"/>
  <c r="T85" i="6"/>
  <c r="T550" i="6"/>
  <c r="T46" i="6"/>
  <c r="T573" i="6"/>
  <c r="T23" i="6"/>
  <c r="T87" i="6"/>
  <c r="T555" i="6"/>
  <c r="T41" i="6"/>
  <c r="T586" i="6"/>
  <c r="T74" i="6"/>
  <c r="T561" i="6"/>
  <c r="T35" i="6"/>
  <c r="T40" i="6"/>
  <c r="T60" i="6"/>
  <c r="T567" i="6"/>
  <c r="T29" i="6"/>
  <c r="T542" i="6"/>
  <c r="T54" i="6"/>
  <c r="T565" i="6"/>
  <c r="T31" i="6"/>
  <c r="T580" i="6"/>
  <c r="T32" i="6"/>
  <c r="T547" i="6"/>
  <c r="T49" i="6"/>
  <c r="T578" i="6"/>
  <c r="T18" i="6"/>
  <c r="T82" i="6"/>
  <c r="T553" i="6"/>
  <c r="T43" i="6"/>
  <c r="T88" i="6"/>
  <c r="T68" i="6"/>
  <c r="T559" i="6"/>
  <c r="T37" i="6"/>
  <c r="T564" i="6"/>
  <c r="T24" i="6"/>
  <c r="T62" i="6"/>
  <c r="T557" i="6"/>
  <c r="T39" i="6"/>
  <c r="T539" i="6"/>
  <c r="T57" i="6"/>
  <c r="T570" i="6"/>
  <c r="T26" i="6"/>
  <c r="T10" i="6"/>
  <c r="T545" i="6"/>
  <c r="T51" i="6"/>
  <c r="T584" i="6"/>
  <c r="T12" i="6"/>
  <c r="T76" i="6"/>
  <c r="T551" i="6"/>
  <c r="T45" i="6"/>
  <c r="T80" i="6"/>
  <c r="T70" i="6"/>
  <c r="T549" i="6"/>
  <c r="T47" i="6"/>
  <c r="T65" i="6"/>
  <c r="T562" i="6"/>
  <c r="T34" i="6"/>
  <c r="T548" i="6"/>
  <c r="T16" i="6"/>
  <c r="T59" i="6"/>
  <c r="T576" i="6"/>
  <c r="T20" i="6"/>
  <c r="T84" i="6"/>
  <c r="T543" i="6"/>
  <c r="T53" i="6"/>
  <c r="T582" i="6"/>
  <c r="T14" i="6"/>
  <c r="T78" i="6"/>
  <c r="T541" i="6"/>
  <c r="T55" i="6"/>
  <c r="BP7" i="6"/>
  <c r="BZ708" i="9"/>
  <c r="BZ217" i="9"/>
  <c r="B213" i="9"/>
  <c r="B217" i="9"/>
  <c r="B100" i="6" s="1"/>
  <c r="B216" i="9"/>
  <c r="B99" i="6" s="1"/>
  <c r="B215" i="9"/>
  <c r="B98" i="6" s="1"/>
  <c r="B214" i="9"/>
  <c r="O587" i="6"/>
  <c r="O555" i="6"/>
  <c r="O579" i="6"/>
  <c r="O543" i="6"/>
  <c r="O546" i="6"/>
  <c r="O571" i="6"/>
  <c r="O563" i="6"/>
  <c r="O559" i="6"/>
  <c r="O548" i="6"/>
  <c r="O586" i="6"/>
  <c r="O570" i="6"/>
  <c r="O578" i="6"/>
  <c r="O582" i="6"/>
  <c r="O581" i="6"/>
  <c r="O547" i="6"/>
  <c r="O554" i="6"/>
  <c r="O553" i="6"/>
  <c r="O540" i="6"/>
  <c r="O585" i="6"/>
  <c r="O584" i="6"/>
  <c r="O538" i="6"/>
  <c r="O574" i="6"/>
  <c r="O573" i="6"/>
  <c r="O562" i="6"/>
  <c r="O556" i="6"/>
  <c r="O545" i="6"/>
  <c r="O577" i="6"/>
  <c r="O576" i="6"/>
  <c r="O583" i="6"/>
  <c r="O566" i="6"/>
  <c r="O565" i="6"/>
  <c r="O580" i="6"/>
  <c r="O541" i="6"/>
  <c r="O539" i="6"/>
  <c r="O569" i="6"/>
  <c r="O568" i="6"/>
  <c r="O575" i="6"/>
  <c r="O558" i="6"/>
  <c r="O557" i="6"/>
  <c r="O572" i="6"/>
  <c r="O552" i="6"/>
  <c r="O544" i="6"/>
  <c r="O561" i="6"/>
  <c r="O560" i="6"/>
  <c r="O567" i="6"/>
  <c r="O550" i="6"/>
  <c r="O549" i="6"/>
  <c r="O564" i="6"/>
  <c r="O542" i="6"/>
  <c r="O551" i="6"/>
  <c r="AA10" i="2"/>
  <c r="AN41" i="4"/>
  <c r="AN39" i="4"/>
  <c r="U65" i="18"/>
  <c r="BA65" i="18"/>
  <c r="BE65" i="18"/>
  <c r="AW65" i="18"/>
  <c r="AH65" i="18"/>
  <c r="BH65" i="18"/>
  <c r="AS65" i="18"/>
  <c r="AG65" i="18"/>
  <c r="BF65" i="18"/>
  <c r="AB65" i="18"/>
  <c r="AZ65" i="18"/>
  <c r="E65" i="18"/>
  <c r="M65" i="18"/>
  <c r="Q65" i="18"/>
  <c r="F65" i="18"/>
  <c r="J65" i="18"/>
  <c r="Z65" i="18"/>
  <c r="AX65" i="18"/>
  <c r="T65" i="18"/>
  <c r="AR65" i="18"/>
  <c r="AY65" i="18"/>
  <c r="AK65" i="18"/>
  <c r="BN65" i="18"/>
  <c r="L65" i="18"/>
  <c r="AC65" i="18"/>
  <c r="BI65" i="18"/>
  <c r="BG65" i="18"/>
  <c r="R65" i="18"/>
  <c r="AP65" i="18"/>
  <c r="AJ65" i="18"/>
  <c r="BP65" i="18"/>
  <c r="K65" i="18"/>
  <c r="N65" i="18"/>
  <c r="AT65" i="18"/>
  <c r="G65" i="18"/>
  <c r="AM65" i="18"/>
  <c r="I65" i="18"/>
  <c r="S65" i="18"/>
  <c r="H65" i="18"/>
  <c r="AN65" i="18"/>
  <c r="AI65" i="18"/>
  <c r="BO65" i="18"/>
  <c r="AL65" i="18"/>
  <c r="AE65" i="18"/>
  <c r="BK65" i="18"/>
  <c r="BM65" i="18"/>
  <c r="AF65" i="18"/>
  <c r="BL65" i="18"/>
  <c r="AD65" i="18"/>
  <c r="BJ65" i="18"/>
  <c r="W65" i="18"/>
  <c r="BC65" i="18"/>
  <c r="AO65" i="18"/>
  <c r="AQ65" i="18"/>
  <c r="X65" i="18"/>
  <c r="BD65" i="18"/>
  <c r="V65" i="18"/>
  <c r="BB65" i="18"/>
  <c r="O65" i="18"/>
  <c r="AU65" i="18"/>
  <c r="Y65" i="18"/>
  <c r="AA65" i="18"/>
  <c r="P65" i="18"/>
  <c r="AV65" i="18"/>
  <c r="AN43" i="4"/>
  <c r="AN53" i="4"/>
  <c r="AN40" i="4"/>
  <c r="AN47" i="4"/>
  <c r="AN52" i="4"/>
  <c r="AN44" i="4"/>
  <c r="AN50" i="4"/>
  <c r="AR33" i="4"/>
  <c r="AN33" i="4"/>
  <c r="AN42" i="4"/>
  <c r="AR54" i="4"/>
  <c r="AN54" i="4"/>
  <c r="T6" i="2"/>
  <c r="AN32" i="4"/>
  <c r="AN51" i="4"/>
  <c r="AN48" i="4"/>
  <c r="AN37" i="4"/>
  <c r="T5" i="2"/>
  <c r="T4" i="2"/>
  <c r="O51" i="6"/>
  <c r="O60" i="6"/>
  <c r="O82" i="6"/>
  <c r="O18" i="6"/>
  <c r="O41" i="6"/>
  <c r="O52" i="6"/>
  <c r="O64" i="6"/>
  <c r="O87" i="6"/>
  <c r="O23" i="6"/>
  <c r="O86" i="6"/>
  <c r="O22" i="6"/>
  <c r="O37" i="6"/>
  <c r="O72" i="6"/>
  <c r="O31" i="6"/>
  <c r="O43" i="6"/>
  <c r="O44" i="6"/>
  <c r="O74" i="6"/>
  <c r="O10" i="6"/>
  <c r="O33" i="6"/>
  <c r="O56" i="6"/>
  <c r="O79" i="6"/>
  <c r="O15" i="6"/>
  <c r="O78" i="6"/>
  <c r="O14" i="6"/>
  <c r="O29" i="6"/>
  <c r="O35" i="6"/>
  <c r="O12" i="6"/>
  <c r="O66" i="6"/>
  <c r="O89" i="6"/>
  <c r="O25" i="6"/>
  <c r="O48" i="6"/>
  <c r="O68" i="6"/>
  <c r="O71" i="6"/>
  <c r="O70" i="6"/>
  <c r="O85" i="6"/>
  <c r="O21" i="6"/>
  <c r="O27" i="6"/>
  <c r="O58" i="6"/>
  <c r="O81" i="6"/>
  <c r="O17" i="6"/>
  <c r="O40" i="6"/>
  <c r="O36" i="6"/>
  <c r="O63" i="6"/>
  <c r="O62" i="6"/>
  <c r="O77" i="6"/>
  <c r="O13" i="6"/>
  <c r="O83" i="6"/>
  <c r="O19" i="6"/>
  <c r="O50" i="6"/>
  <c r="O84" i="6"/>
  <c r="O73" i="6"/>
  <c r="O9" i="6"/>
  <c r="O32" i="6"/>
  <c r="O55" i="6"/>
  <c r="O54" i="6"/>
  <c r="O76" i="6"/>
  <c r="O69" i="6"/>
  <c r="O26" i="6"/>
  <c r="O45" i="6"/>
  <c r="O75" i="6"/>
  <c r="O11" i="6"/>
  <c r="O42" i="6"/>
  <c r="O28" i="6"/>
  <c r="O65" i="6"/>
  <c r="O88" i="6"/>
  <c r="O24" i="6"/>
  <c r="O47" i="6"/>
  <c r="O46" i="6"/>
  <c r="O20" i="6"/>
  <c r="O61" i="6"/>
  <c r="O49" i="6"/>
  <c r="O67" i="6"/>
  <c r="O34" i="6"/>
  <c r="O57" i="6"/>
  <c r="O80" i="6"/>
  <c r="O16" i="6"/>
  <c r="O39" i="6"/>
  <c r="O38" i="6"/>
  <c r="O53" i="6"/>
  <c r="O59" i="6"/>
  <c r="O30" i="6"/>
  <c r="AS54" i="4"/>
  <c r="AQ54" i="4"/>
  <c r="C107" i="14"/>
  <c r="AX540" i="8"/>
  <c r="AW540" i="8"/>
  <c r="C115" i="14"/>
  <c r="S1376" i="6"/>
  <c r="U54" i="4"/>
  <c r="BZ783" i="9"/>
  <c r="BZ782" i="9"/>
  <c r="BZ774" i="9"/>
  <c r="BZ830" i="9" s="1"/>
  <c r="BK8" i="6"/>
  <c r="Q8" i="6" s="1"/>
  <c r="S8" i="6" s="1"/>
  <c r="U8" i="6" s="1"/>
  <c r="BR852" i="9"/>
  <c r="BQ852" i="9"/>
  <c r="AY36" i="8"/>
  <c r="AV36" i="8"/>
  <c r="G36" i="8"/>
  <c r="BA36" i="8"/>
  <c r="U1186" i="6"/>
  <c r="AX34" i="8"/>
  <c r="AW34" i="8"/>
  <c r="AW77" i="9" a="1"/>
  <c r="AW77" i="9" s="1"/>
  <c r="AW183" i="9" s="1"/>
  <c r="BD77" i="9" a="1"/>
  <c r="BD77" i="9" s="1"/>
  <c r="BD183" i="9" s="1"/>
  <c r="BJ77" i="9" a="1"/>
  <c r="BJ77" i="9" s="1"/>
  <c r="BJ183" i="9" s="1"/>
  <c r="AX77" i="9" a="1"/>
  <c r="AX77" i="9" s="1"/>
  <c r="AX183" i="9" s="1"/>
  <c r="BK77" i="9" a="1"/>
  <c r="BK77" i="9" s="1"/>
  <c r="BK183" i="9" s="1"/>
  <c r="AY77" i="9" a="1"/>
  <c r="AY77" i="9" s="1"/>
  <c r="AY183" i="9" s="1"/>
  <c r="BE77" i="9" a="1"/>
  <c r="BE77" i="9" s="1"/>
  <c r="BE183" i="9" s="1"/>
  <c r="BL77" i="9" a="1"/>
  <c r="BL77" i="9" s="1"/>
  <c r="BL183" i="9" s="1"/>
  <c r="BF77" i="9" a="1"/>
  <c r="BF77" i="9" s="1"/>
  <c r="BF183" i="9" s="1"/>
  <c r="AT77" i="9" a="1"/>
  <c r="AT77" i="9" s="1"/>
  <c r="AT183" i="9" s="1"/>
  <c r="BG77" i="9" a="1"/>
  <c r="BG77" i="9" s="1"/>
  <c r="BG183" i="9" s="1"/>
  <c r="AU77" i="9" a="1"/>
  <c r="AU77" i="9" s="1"/>
  <c r="AU183" i="9" s="1"/>
  <c r="BB77" i="9" a="1"/>
  <c r="BB77" i="9" s="1"/>
  <c r="BB183" i="9" s="1"/>
  <c r="BH77" i="9" a="1"/>
  <c r="BH77" i="9" s="1"/>
  <c r="BH183" i="9" s="1"/>
  <c r="AV77" i="9" a="1"/>
  <c r="AV77" i="9" s="1"/>
  <c r="AV183" i="9" s="1"/>
  <c r="BC77" i="9" a="1"/>
  <c r="BC77" i="9" s="1"/>
  <c r="BC183" i="9" s="1"/>
  <c r="BI77" i="9" a="1"/>
  <c r="BI77" i="9" s="1"/>
  <c r="BI183" i="9" s="1"/>
  <c r="BA77" i="9" a="1"/>
  <c r="BA77" i="9" s="1"/>
  <c r="BA183" i="9" s="1"/>
  <c r="AZ77" i="9" a="1"/>
  <c r="AZ77" i="9" s="1"/>
  <c r="AZ183" i="9" s="1"/>
  <c r="AM77" i="9" a="1"/>
  <c r="AM77" i="9" s="1"/>
  <c r="AM183" i="9" s="1"/>
  <c r="AL77" i="9" a="1"/>
  <c r="AL77" i="9" s="1"/>
  <c r="AL183" i="9" s="1"/>
  <c r="AO77" i="9" a="1"/>
  <c r="AO77" i="9" s="1"/>
  <c r="AO183" i="9" s="1"/>
  <c r="AS77" i="9" a="1"/>
  <c r="AS77" i="9" s="1"/>
  <c r="AS183" i="9" s="1"/>
  <c r="AN77" i="9" a="1"/>
  <c r="AN77" i="9" s="1"/>
  <c r="AN183" i="9" s="1"/>
  <c r="AK77" i="9" a="1"/>
  <c r="AK77" i="9" s="1"/>
  <c r="AK183" i="9" s="1"/>
  <c r="AJ77" i="9" a="1"/>
  <c r="AJ77" i="9" s="1"/>
  <c r="AJ183" i="9" s="1"/>
  <c r="AP77" i="9" a="1"/>
  <c r="AP77" i="9" s="1"/>
  <c r="AP183" i="9" s="1"/>
  <c r="AQ77" i="9" a="1"/>
  <c r="AQ77" i="9" s="1"/>
  <c r="AQ183" i="9" s="1"/>
  <c r="AR77" i="9" a="1"/>
  <c r="AR77" i="9" s="1"/>
  <c r="AR183" i="9" s="1"/>
  <c r="AI77" i="9" a="1"/>
  <c r="AI77" i="9" s="1"/>
  <c r="AI183" i="9" s="1"/>
  <c r="AZ35" i="8"/>
  <c r="BA35" i="8"/>
  <c r="AY35" i="8"/>
  <c r="G35" i="8"/>
  <c r="AV35" i="8"/>
  <c r="AX40" i="8"/>
  <c r="AW40" i="8"/>
  <c r="U797" i="6"/>
  <c r="U796" i="6"/>
  <c r="AZ41" i="8"/>
  <c r="BA41" i="8"/>
  <c r="AY41" i="8"/>
  <c r="G41" i="8"/>
  <c r="AV41" i="8"/>
  <c r="BG35" i="4" l="1"/>
  <c r="BE38" i="4"/>
  <c r="BF35" i="4"/>
  <c r="BK35" i="4"/>
  <c r="BH35" i="4"/>
  <c r="BJ35" i="4"/>
  <c r="BE35" i="4" s="1"/>
  <c r="BI34" i="4"/>
  <c r="BJ34" i="4"/>
  <c r="BG34" i="4"/>
  <c r="BK34" i="4"/>
  <c r="BF34" i="4"/>
  <c r="BH34" i="4"/>
  <c r="BM592" i="9"/>
  <c r="ED592" i="9" s="1"/>
  <c r="BN203" i="9"/>
  <c r="BN204" i="9" s="1"/>
  <c r="BQ203" i="9"/>
  <c r="BQ204" i="9" s="1"/>
  <c r="BP203" i="9"/>
  <c r="BP204" i="9" s="1"/>
  <c r="BM203" i="9"/>
  <c r="BM204" i="9" s="1"/>
  <c r="BO203" i="9"/>
  <c r="BO204" i="9" s="1"/>
  <c r="BR203" i="9"/>
  <c r="BR204" i="9" s="1"/>
  <c r="R852" i="9"/>
  <c r="S852" i="9" s="1"/>
  <c r="T7" i="2"/>
  <c r="T35" i="2" s="1"/>
  <c r="T41" i="2"/>
  <c r="U41" i="2" s="1"/>
  <c r="T40" i="2"/>
  <c r="U40" i="2" s="1"/>
  <c r="T39" i="2"/>
  <c r="U39" i="2" s="1"/>
  <c r="T38" i="2"/>
  <c r="U38" i="2" s="1"/>
  <c r="AT324" i="9"/>
  <c r="DK324" i="9" s="1"/>
  <c r="I342" i="9"/>
  <c r="BG342" i="9" s="1"/>
  <c r="DX342" i="9" s="1"/>
  <c r="BE324" i="9"/>
  <c r="DV324" i="9" s="1"/>
  <c r="AZ324" i="9"/>
  <c r="DQ324" i="9" s="1"/>
  <c r="BA324" i="9"/>
  <c r="DR324" i="9" s="1"/>
  <c r="BK324" i="9"/>
  <c r="EB324" i="9" s="1"/>
  <c r="I351" i="9"/>
  <c r="AG351" i="9" s="1"/>
  <c r="CX351" i="9" s="1"/>
  <c r="I335" i="9"/>
  <c r="AU335" i="9" s="1"/>
  <c r="DL335" i="9" s="1"/>
  <c r="AK345" i="9"/>
  <c r="DB345" i="9" s="1"/>
  <c r="BM345" i="9"/>
  <c r="ED345" i="9" s="1"/>
  <c r="AZ345" i="9"/>
  <c r="DQ345" i="9" s="1"/>
  <c r="BA345" i="9"/>
  <c r="DR345" i="9" s="1"/>
  <c r="AH345" i="9"/>
  <c r="CY345" i="9" s="1"/>
  <c r="BK345" i="9"/>
  <c r="EB345" i="9" s="1"/>
  <c r="W345" i="9"/>
  <c r="CN345" i="9" s="1"/>
  <c r="BJ345" i="9"/>
  <c r="EA345" i="9" s="1"/>
  <c r="Z345" i="9"/>
  <c r="CQ345" i="9" s="1"/>
  <c r="AU345" i="9"/>
  <c r="DL345" i="9" s="1"/>
  <c r="AG345" i="9"/>
  <c r="CX345" i="9" s="1"/>
  <c r="AY345" i="9"/>
  <c r="DP345" i="9" s="1"/>
  <c r="AW345" i="9"/>
  <c r="DN345" i="9" s="1"/>
  <c r="AX345" i="9"/>
  <c r="DO345" i="9" s="1"/>
  <c r="BG345" i="9"/>
  <c r="DX345" i="9" s="1"/>
  <c r="BF345" i="9"/>
  <c r="DW345" i="9" s="1"/>
  <c r="BC345" i="9"/>
  <c r="DT345" i="9" s="1"/>
  <c r="AS345" i="9"/>
  <c r="DJ345" i="9" s="1"/>
  <c r="BI345" i="9"/>
  <c r="DZ345" i="9" s="1"/>
  <c r="I410" i="9"/>
  <c r="AE410" i="9" s="1"/>
  <c r="CV410" i="9" s="1"/>
  <c r="I419" i="9"/>
  <c r="AU419" i="9" s="1"/>
  <c r="DL419" i="9" s="1"/>
  <c r="I406" i="9"/>
  <c r="AN406" i="9" s="1"/>
  <c r="DE406" i="9" s="1"/>
  <c r="I414" i="9"/>
  <c r="I418" i="9"/>
  <c r="AX418" i="9" s="1"/>
  <c r="DO418" i="9" s="1"/>
  <c r="I412" i="9"/>
  <c r="AV412" i="9" s="1"/>
  <c r="DM412" i="9" s="1"/>
  <c r="I420" i="9"/>
  <c r="I408" i="9"/>
  <c r="AY408" i="9" s="1"/>
  <c r="DP408" i="9" s="1"/>
  <c r="I423" i="9"/>
  <c r="BM423" i="9" s="1"/>
  <c r="ED423" i="9" s="1"/>
  <c r="I422" i="9"/>
  <c r="AO422" i="9" s="1"/>
  <c r="DF422" i="9" s="1"/>
  <c r="BD592" i="9"/>
  <c r="DU592" i="9" s="1"/>
  <c r="AE592" i="9"/>
  <c r="CV592" i="9" s="1"/>
  <c r="AU592" i="9"/>
  <c r="DL592" i="9" s="1"/>
  <c r="I417" i="9"/>
  <c r="O417" i="9" s="1"/>
  <c r="CF417" i="9" s="1"/>
  <c r="I350" i="9"/>
  <c r="AR350" i="9" s="1"/>
  <c r="DI350" i="9" s="1"/>
  <c r="I336" i="9"/>
  <c r="I348" i="9"/>
  <c r="BL348" i="9" s="1"/>
  <c r="EC348" i="9" s="1"/>
  <c r="I339" i="9"/>
  <c r="BO339" i="9" s="1"/>
  <c r="EF339" i="9" s="1"/>
  <c r="I340" i="9"/>
  <c r="BR340" i="9" s="1"/>
  <c r="EI340" i="9" s="1"/>
  <c r="I349" i="9"/>
  <c r="AK349" i="9" s="1"/>
  <c r="DB349" i="9" s="1"/>
  <c r="I334" i="9"/>
  <c r="V334" i="9" s="1"/>
  <c r="CM334" i="9" s="1"/>
  <c r="I341" i="9"/>
  <c r="BD341" i="9" s="1"/>
  <c r="DU341" i="9" s="1"/>
  <c r="I333" i="9"/>
  <c r="BP333" i="9" s="1"/>
  <c r="I346" i="9"/>
  <c r="L346" i="9" s="1"/>
  <c r="CC346" i="9" s="1"/>
  <c r="Y460" i="9"/>
  <c r="CP460" i="9" s="1"/>
  <c r="BP460" i="9"/>
  <c r="EG460" i="9" s="1"/>
  <c r="AO460" i="9"/>
  <c r="DF460" i="9" s="1"/>
  <c r="AI460" i="9"/>
  <c r="CZ460" i="9" s="1"/>
  <c r="I415" i="9"/>
  <c r="AV415" i="9" s="1"/>
  <c r="DM415" i="9" s="1"/>
  <c r="X460" i="9"/>
  <c r="CO460" i="9" s="1"/>
  <c r="I405" i="9"/>
  <c r="BA405" i="9" s="1"/>
  <c r="DR405" i="9" s="1"/>
  <c r="I459" i="9"/>
  <c r="AH459" i="9" s="1"/>
  <c r="CY459" i="9" s="1"/>
  <c r="I458" i="9"/>
  <c r="BN458" i="9" s="1"/>
  <c r="EE458" i="9" s="1"/>
  <c r="I464" i="9"/>
  <c r="AX464" i="9" s="1"/>
  <c r="DO464" i="9" s="1"/>
  <c r="I453" i="9"/>
  <c r="AM592" i="9"/>
  <c r="DD592" i="9" s="1"/>
  <c r="AN592" i="9"/>
  <c r="DE592" i="9" s="1"/>
  <c r="BA592" i="9"/>
  <c r="DR592" i="9" s="1"/>
  <c r="AB592" i="9"/>
  <c r="CS592" i="9" s="1"/>
  <c r="V592" i="9"/>
  <c r="CM592" i="9" s="1"/>
  <c r="AW592" i="9"/>
  <c r="DN592" i="9" s="1"/>
  <c r="AC592" i="9"/>
  <c r="CT592" i="9" s="1"/>
  <c r="AD592" i="9"/>
  <c r="CU592" i="9" s="1"/>
  <c r="AK592" i="9"/>
  <c r="DB592" i="9" s="1"/>
  <c r="AH592" i="9"/>
  <c r="CY592" i="9" s="1"/>
  <c r="AV592" i="9"/>
  <c r="DM592" i="9" s="1"/>
  <c r="I591" i="9"/>
  <c r="AP591" i="9" s="1"/>
  <c r="DG591" i="9" s="1"/>
  <c r="I574" i="9"/>
  <c r="BG574" i="9" s="1"/>
  <c r="DX574" i="9" s="1"/>
  <c r="I585" i="9"/>
  <c r="I583" i="9"/>
  <c r="I580" i="9"/>
  <c r="X580" i="9" s="1"/>
  <c r="CO580" i="9" s="1"/>
  <c r="I576" i="9"/>
  <c r="AP576" i="9" s="1"/>
  <c r="DG576" i="9" s="1"/>
  <c r="I588" i="9"/>
  <c r="I573" i="9"/>
  <c r="BL573" i="9" s="1"/>
  <c r="I584" i="9"/>
  <c r="BQ584" i="9" s="1"/>
  <c r="EH584" i="9" s="1"/>
  <c r="I579" i="9"/>
  <c r="I587" i="9"/>
  <c r="AY587" i="9" s="1"/>
  <c r="DP587" i="9" s="1"/>
  <c r="I575" i="9"/>
  <c r="AS575" i="9" s="1"/>
  <c r="DJ575" i="9" s="1"/>
  <c r="I590" i="9"/>
  <c r="Q590" i="9" s="1"/>
  <c r="CH590" i="9" s="1"/>
  <c r="I578" i="9"/>
  <c r="BG578" i="9" s="1"/>
  <c r="DX578" i="9" s="1"/>
  <c r="I586" i="9"/>
  <c r="AE460" i="9"/>
  <c r="CV460" i="9" s="1"/>
  <c r="AU460" i="9"/>
  <c r="DL460" i="9" s="1"/>
  <c r="AM460" i="9"/>
  <c r="DD460" i="9" s="1"/>
  <c r="BL324" i="9"/>
  <c r="EC324" i="9" s="1"/>
  <c r="BD324" i="9"/>
  <c r="DU324" i="9" s="1"/>
  <c r="BN324" i="9"/>
  <c r="EE324" i="9" s="1"/>
  <c r="AU324" i="9"/>
  <c r="DL324" i="9" s="1"/>
  <c r="BC324" i="9"/>
  <c r="DT324" i="9" s="1"/>
  <c r="AA324" i="9"/>
  <c r="CR324" i="9" s="1"/>
  <c r="AS460" i="9"/>
  <c r="DJ460" i="9" s="1"/>
  <c r="BK460" i="9"/>
  <c r="EB460" i="9" s="1"/>
  <c r="BJ460" i="9"/>
  <c r="EA460" i="9" s="1"/>
  <c r="BE460" i="9"/>
  <c r="DV460" i="9" s="1"/>
  <c r="BQ460" i="9"/>
  <c r="EH460" i="9" s="1"/>
  <c r="AW460" i="9"/>
  <c r="DN460" i="9" s="1"/>
  <c r="AC460" i="9"/>
  <c r="CT460" i="9" s="1"/>
  <c r="AV460" i="9"/>
  <c r="DM460" i="9" s="1"/>
  <c r="BR460" i="9"/>
  <c r="EI460" i="9" s="1"/>
  <c r="AZ460" i="9"/>
  <c r="DQ460" i="9" s="1"/>
  <c r="AT460" i="9"/>
  <c r="DK460" i="9" s="1"/>
  <c r="BF460" i="9"/>
  <c r="DW460" i="9" s="1"/>
  <c r="BL460" i="9"/>
  <c r="EC460" i="9" s="1"/>
  <c r="AK460" i="9"/>
  <c r="DB460" i="9" s="1"/>
  <c r="BD460" i="9"/>
  <c r="DU460" i="9" s="1"/>
  <c r="BC460" i="9"/>
  <c r="DT460" i="9" s="1"/>
  <c r="BI460" i="9"/>
  <c r="DZ460" i="9" s="1"/>
  <c r="BH460" i="9"/>
  <c r="DY460" i="9" s="1"/>
  <c r="BB460" i="9"/>
  <c r="DS460" i="9" s="1"/>
  <c r="I467" i="9"/>
  <c r="M467" i="9" s="1"/>
  <c r="CD467" i="9" s="1"/>
  <c r="I471" i="9"/>
  <c r="AR471" i="9" s="1"/>
  <c r="DI471" i="9" s="1"/>
  <c r="I472" i="9"/>
  <c r="L472" i="9" s="1"/>
  <c r="CC472" i="9" s="1"/>
  <c r="I457" i="9"/>
  <c r="L457" i="9" s="1"/>
  <c r="CC457" i="9" s="1"/>
  <c r="I454" i="9"/>
  <c r="S454" i="9" s="1"/>
  <c r="CJ454" i="9" s="1"/>
  <c r="I461" i="9"/>
  <c r="I470" i="9"/>
  <c r="P470" i="9" s="1"/>
  <c r="CG470" i="9" s="1"/>
  <c r="I466" i="9"/>
  <c r="AX466" i="9" s="1"/>
  <c r="DO466" i="9" s="1"/>
  <c r="AS324" i="9"/>
  <c r="DJ324" i="9" s="1"/>
  <c r="Z324" i="9"/>
  <c r="CQ324" i="9" s="1"/>
  <c r="BF324" i="9"/>
  <c r="DW324" i="9" s="1"/>
  <c r="BH324" i="9"/>
  <c r="DY324" i="9" s="1"/>
  <c r="AH324" i="9"/>
  <c r="CY324" i="9" s="1"/>
  <c r="V324" i="9"/>
  <c r="CM324" i="9" s="1"/>
  <c r="AB324" i="9"/>
  <c r="CS324" i="9" s="1"/>
  <c r="BJ324" i="9"/>
  <c r="EA324" i="9" s="1"/>
  <c r="AP324" i="9"/>
  <c r="DG324" i="9" s="1"/>
  <c r="AO324" i="9"/>
  <c r="DF324" i="9" s="1"/>
  <c r="AV324" i="9"/>
  <c r="DM324" i="9" s="1"/>
  <c r="BO324" i="9"/>
  <c r="EF324" i="9" s="1"/>
  <c r="BB324" i="9"/>
  <c r="DS324" i="9" s="1"/>
  <c r="BG324" i="9"/>
  <c r="DX324" i="9" s="1"/>
  <c r="AM324" i="9"/>
  <c r="DD324" i="9" s="1"/>
  <c r="W324" i="9"/>
  <c r="CN324" i="9" s="1"/>
  <c r="AQ324" i="9"/>
  <c r="DH324" i="9" s="1"/>
  <c r="AF324" i="9"/>
  <c r="CW324" i="9" s="1"/>
  <c r="AR324" i="9"/>
  <c r="DI324" i="9" s="1"/>
  <c r="BP324" i="9"/>
  <c r="EG324" i="9" s="1"/>
  <c r="X324" i="9"/>
  <c r="CO324" i="9" s="1"/>
  <c r="BI324" i="9"/>
  <c r="DZ324" i="9" s="1"/>
  <c r="AI324" i="9"/>
  <c r="CZ324" i="9" s="1"/>
  <c r="AJ324" i="9"/>
  <c r="DA324" i="9" s="1"/>
  <c r="AX324" i="9"/>
  <c r="DO324" i="9" s="1"/>
  <c r="AL324" i="9"/>
  <c r="DC324" i="9" s="1"/>
  <c r="Y324" i="9"/>
  <c r="CP324" i="9" s="1"/>
  <c r="AD324" i="9"/>
  <c r="CU324" i="9" s="1"/>
  <c r="U324" i="9"/>
  <c r="CL324" i="9" s="1"/>
  <c r="AN324" i="9"/>
  <c r="DE324" i="9" s="1"/>
  <c r="AE324" i="9"/>
  <c r="CV324" i="9" s="1"/>
  <c r="AC324" i="9"/>
  <c r="CT324" i="9" s="1"/>
  <c r="BQ324" i="9"/>
  <c r="EH324" i="9" s="1"/>
  <c r="AG324" i="9"/>
  <c r="CX324" i="9" s="1"/>
  <c r="BR324" i="9"/>
  <c r="EI324" i="9" s="1"/>
  <c r="AK324" i="9"/>
  <c r="DB324" i="9" s="1"/>
  <c r="BM324" i="9"/>
  <c r="ED324" i="9" s="1"/>
  <c r="AW324" i="9"/>
  <c r="DN324" i="9" s="1"/>
  <c r="AX460" i="9"/>
  <c r="DO460" i="9" s="1"/>
  <c r="AD460" i="9"/>
  <c r="CU460" i="9" s="1"/>
  <c r="V460" i="9"/>
  <c r="CM460" i="9" s="1"/>
  <c r="BG460" i="9"/>
  <c r="DX460" i="9" s="1"/>
  <c r="AL460" i="9"/>
  <c r="DC460" i="9" s="1"/>
  <c r="AJ460" i="9"/>
  <c r="DA460" i="9" s="1"/>
  <c r="AA460" i="9"/>
  <c r="CR460" i="9" s="1"/>
  <c r="AR460" i="9"/>
  <c r="DI460" i="9" s="1"/>
  <c r="I319" i="9"/>
  <c r="P319" i="9" s="1"/>
  <c r="CG319" i="9" s="1"/>
  <c r="I323" i="9"/>
  <c r="N323" i="9" s="1"/>
  <c r="CE323" i="9" s="1"/>
  <c r="I326" i="9"/>
  <c r="I325" i="9"/>
  <c r="T325" i="9" s="1"/>
  <c r="CK325" i="9" s="1"/>
  <c r="I312" i="9"/>
  <c r="R312" i="9" s="1"/>
  <c r="CI312" i="9" s="1"/>
  <c r="I328" i="9"/>
  <c r="P328" i="9" s="1"/>
  <c r="CG328" i="9" s="1"/>
  <c r="I327" i="9"/>
  <c r="I310" i="9"/>
  <c r="I313" i="9"/>
  <c r="S313" i="9" s="1"/>
  <c r="CJ313" i="9" s="1"/>
  <c r="I314" i="9"/>
  <c r="N314" i="9" s="1"/>
  <c r="CE314" i="9" s="1"/>
  <c r="I317" i="9"/>
  <c r="I320" i="9"/>
  <c r="M320" i="9" s="1"/>
  <c r="CD320" i="9" s="1"/>
  <c r="I311" i="9"/>
  <c r="T311" i="9" s="1"/>
  <c r="CK311" i="9" s="1"/>
  <c r="I318" i="9"/>
  <c r="K318" i="9" s="1"/>
  <c r="CB318" i="9" s="1"/>
  <c r="I321" i="9"/>
  <c r="I315" i="9"/>
  <c r="R315" i="9" s="1"/>
  <c r="CI315" i="9" s="1"/>
  <c r="I316" i="9"/>
  <c r="I309" i="9"/>
  <c r="AH460" i="9"/>
  <c r="CY460" i="9" s="1"/>
  <c r="AB460" i="9"/>
  <c r="CS460" i="9" s="1"/>
  <c r="AQ460" i="9"/>
  <c r="DH460" i="9" s="1"/>
  <c r="W460" i="9"/>
  <c r="CN460" i="9" s="1"/>
  <c r="BN460" i="9"/>
  <c r="EE460" i="9" s="1"/>
  <c r="I322" i="9"/>
  <c r="BM460" i="9"/>
  <c r="ED460" i="9" s="1"/>
  <c r="AP460" i="9"/>
  <c r="DG460" i="9" s="1"/>
  <c r="AG460" i="9"/>
  <c r="CX460" i="9" s="1"/>
  <c r="AN460" i="9"/>
  <c r="DE460" i="9" s="1"/>
  <c r="BO460" i="9"/>
  <c r="EF460" i="9" s="1"/>
  <c r="R324" i="9"/>
  <c r="CI324" i="9" s="1"/>
  <c r="AF460" i="9"/>
  <c r="CW460" i="9" s="1"/>
  <c r="AY460" i="9"/>
  <c r="DP460" i="9" s="1"/>
  <c r="Z460" i="9"/>
  <c r="CQ460" i="9" s="1"/>
  <c r="U460" i="9"/>
  <c r="CL460" i="9" s="1"/>
  <c r="H617" i="9"/>
  <c r="I598" i="9" s="1"/>
  <c r="BO592" i="9"/>
  <c r="EF592" i="9" s="1"/>
  <c r="BR592" i="9"/>
  <c r="EI592" i="9" s="1"/>
  <c r="AG592" i="9"/>
  <c r="CX592" i="9" s="1"/>
  <c r="BJ592" i="9"/>
  <c r="EA592" i="9" s="1"/>
  <c r="BH592" i="9"/>
  <c r="DY592" i="9" s="1"/>
  <c r="BN592" i="9"/>
  <c r="EE592" i="9" s="1"/>
  <c r="BF592" i="9"/>
  <c r="DW592" i="9" s="1"/>
  <c r="Y592" i="9"/>
  <c r="CP592" i="9" s="1"/>
  <c r="BB592" i="9"/>
  <c r="DS592" i="9" s="1"/>
  <c r="AZ592" i="9"/>
  <c r="DQ592" i="9" s="1"/>
  <c r="BL592" i="9"/>
  <c r="EC592" i="9" s="1"/>
  <c r="AX592" i="9"/>
  <c r="DO592" i="9" s="1"/>
  <c r="BP592" i="9"/>
  <c r="EG592" i="9" s="1"/>
  <c r="AT592" i="9"/>
  <c r="DK592" i="9" s="1"/>
  <c r="U592" i="9"/>
  <c r="CL592" i="9" s="1"/>
  <c r="BG592" i="9"/>
  <c r="DX592" i="9" s="1"/>
  <c r="AP592" i="9"/>
  <c r="DG592" i="9" s="1"/>
  <c r="AF592" i="9"/>
  <c r="CW592" i="9" s="1"/>
  <c r="AL592" i="9"/>
  <c r="DC592" i="9" s="1"/>
  <c r="AY592" i="9"/>
  <c r="DP592" i="9" s="1"/>
  <c r="Z592" i="9"/>
  <c r="CQ592" i="9" s="1"/>
  <c r="X592" i="9"/>
  <c r="CO592" i="9" s="1"/>
  <c r="AS592" i="9"/>
  <c r="DJ592" i="9" s="1"/>
  <c r="AQ592" i="9"/>
  <c r="DH592" i="9" s="1"/>
  <c r="BQ592" i="9"/>
  <c r="EH592" i="9" s="1"/>
  <c r="BK592" i="9"/>
  <c r="EB592" i="9" s="1"/>
  <c r="AR592" i="9"/>
  <c r="DI592" i="9" s="1"/>
  <c r="AI592" i="9"/>
  <c r="CZ592" i="9" s="1"/>
  <c r="BE592" i="9"/>
  <c r="DV592" i="9" s="1"/>
  <c r="BC592" i="9"/>
  <c r="DT592" i="9" s="1"/>
  <c r="AJ592" i="9"/>
  <c r="DA592" i="9" s="1"/>
  <c r="AA592" i="9"/>
  <c r="CR592" i="9" s="1"/>
  <c r="AO592" i="9"/>
  <c r="DF592" i="9" s="1"/>
  <c r="W592" i="9"/>
  <c r="CN592" i="9" s="1"/>
  <c r="BI592" i="9"/>
  <c r="DZ592" i="9" s="1"/>
  <c r="P460" i="9"/>
  <c r="CG460" i="9" s="1"/>
  <c r="I462" i="9"/>
  <c r="T462" i="9" s="1"/>
  <c r="CK462" i="9" s="1"/>
  <c r="I469" i="9"/>
  <c r="I468" i="9"/>
  <c r="I465" i="9"/>
  <c r="I456" i="9"/>
  <c r="R456" i="9" s="1"/>
  <c r="CI456" i="9" s="1"/>
  <c r="I455" i="9"/>
  <c r="Q455" i="9" s="1"/>
  <c r="CH455" i="9" s="1"/>
  <c r="I463" i="9"/>
  <c r="M463" i="9" s="1"/>
  <c r="CD463" i="9" s="1"/>
  <c r="BR345" i="9"/>
  <c r="EI345" i="9" s="1"/>
  <c r="U345" i="9"/>
  <c r="CL345" i="9" s="1"/>
  <c r="BL345" i="9"/>
  <c r="EC345" i="9" s="1"/>
  <c r="BN345" i="9"/>
  <c r="EE345" i="9" s="1"/>
  <c r="BB345" i="9"/>
  <c r="DS345" i="9" s="1"/>
  <c r="AB345" i="9"/>
  <c r="CS345" i="9" s="1"/>
  <c r="AQ345" i="9"/>
  <c r="DH345" i="9" s="1"/>
  <c r="AP345" i="9"/>
  <c r="DG345" i="9" s="1"/>
  <c r="AT345" i="9"/>
  <c r="DK345" i="9" s="1"/>
  <c r="BP345" i="9"/>
  <c r="EG345" i="9" s="1"/>
  <c r="BH345" i="9"/>
  <c r="DY345" i="9" s="1"/>
  <c r="BE345" i="9"/>
  <c r="DV345" i="9" s="1"/>
  <c r="AL345" i="9"/>
  <c r="DC345" i="9" s="1"/>
  <c r="AV345" i="9"/>
  <c r="DM345" i="9" s="1"/>
  <c r="AN345" i="9"/>
  <c r="DE345" i="9" s="1"/>
  <c r="AO345" i="9"/>
  <c r="DF345" i="9" s="1"/>
  <c r="AD345" i="9"/>
  <c r="CU345" i="9" s="1"/>
  <c r="AA345" i="9"/>
  <c r="CR345" i="9" s="1"/>
  <c r="AJ345" i="9"/>
  <c r="DA345" i="9" s="1"/>
  <c r="Y345" i="9"/>
  <c r="CP345" i="9" s="1"/>
  <c r="V345" i="9"/>
  <c r="CM345" i="9" s="1"/>
  <c r="BO345" i="9"/>
  <c r="EF345" i="9" s="1"/>
  <c r="BD345" i="9"/>
  <c r="DU345" i="9" s="1"/>
  <c r="AM345" i="9"/>
  <c r="DD345" i="9" s="1"/>
  <c r="BQ345" i="9"/>
  <c r="EH345" i="9" s="1"/>
  <c r="AR345" i="9"/>
  <c r="DI345" i="9" s="1"/>
  <c r="AI345" i="9"/>
  <c r="CZ345" i="9" s="1"/>
  <c r="AE345" i="9"/>
  <c r="CV345" i="9" s="1"/>
  <c r="AC345" i="9"/>
  <c r="CT345" i="9" s="1"/>
  <c r="X345" i="9"/>
  <c r="CO345" i="9" s="1"/>
  <c r="AF345" i="9"/>
  <c r="CW345" i="9" s="1"/>
  <c r="H521" i="9"/>
  <c r="I515" i="9" s="1"/>
  <c r="R515" i="9" s="1"/>
  <c r="CI515" i="9" s="1"/>
  <c r="I411" i="9"/>
  <c r="R411" i="9" s="1"/>
  <c r="CI411" i="9" s="1"/>
  <c r="I409" i="9"/>
  <c r="N409" i="9" s="1"/>
  <c r="CE409" i="9" s="1"/>
  <c r="I416" i="9"/>
  <c r="I421" i="9"/>
  <c r="R421" i="9" s="1"/>
  <c r="CI421" i="9" s="1"/>
  <c r="I424" i="9"/>
  <c r="Q424" i="9" s="1"/>
  <c r="CH424" i="9" s="1"/>
  <c r="I343" i="9"/>
  <c r="K343" i="9" s="1"/>
  <c r="CB343" i="9" s="1"/>
  <c r="I338" i="9"/>
  <c r="M338" i="9" s="1"/>
  <c r="CD338" i="9" s="1"/>
  <c r="I344" i="9"/>
  <c r="I347" i="9"/>
  <c r="I337" i="9"/>
  <c r="I413" i="9"/>
  <c r="L413" i="9" s="1"/>
  <c r="CC413" i="9" s="1"/>
  <c r="I407" i="9"/>
  <c r="R407" i="9" s="1"/>
  <c r="CI407" i="9" s="1"/>
  <c r="I352" i="9"/>
  <c r="M352" i="9" s="1"/>
  <c r="CD352" i="9" s="1"/>
  <c r="I577" i="9"/>
  <c r="K577" i="9" s="1"/>
  <c r="CB577" i="9" s="1"/>
  <c r="I582" i="9"/>
  <c r="S582" i="9" s="1"/>
  <c r="CJ582" i="9" s="1"/>
  <c r="I589" i="9"/>
  <c r="I581" i="9"/>
  <c r="N581" i="9" s="1"/>
  <c r="CE581" i="9" s="1"/>
  <c r="H377" i="9"/>
  <c r="I367" i="9" s="1"/>
  <c r="H257" i="9"/>
  <c r="I247" i="9" s="1"/>
  <c r="O247" i="9" s="1"/>
  <c r="CF247" i="9" s="1"/>
  <c r="H569" i="9"/>
  <c r="I568" i="9" s="1"/>
  <c r="H281" i="9"/>
  <c r="I276" i="9" s="1"/>
  <c r="Q276" i="9" s="1"/>
  <c r="CH276" i="9" s="1"/>
  <c r="H497" i="9"/>
  <c r="I477" i="9" s="1"/>
  <c r="H665" i="9"/>
  <c r="H641" i="9"/>
  <c r="I631" i="9" s="1"/>
  <c r="H689" i="9"/>
  <c r="I673" i="9" s="1"/>
  <c r="O673" i="9" s="1"/>
  <c r="CF673" i="9" s="1"/>
  <c r="H545" i="9"/>
  <c r="H401" i="9"/>
  <c r="I386" i="9" s="1"/>
  <c r="H305" i="9"/>
  <c r="I300" i="9" s="1"/>
  <c r="L300" i="9" s="1"/>
  <c r="CC300" i="9" s="1"/>
  <c r="H449" i="9"/>
  <c r="I430" i="9" s="1"/>
  <c r="L430" i="9" s="1"/>
  <c r="B162" i="8"/>
  <c r="B163" i="8"/>
  <c r="B165" i="8"/>
  <c r="B164" i="8"/>
  <c r="B166" i="8"/>
  <c r="B142" i="8"/>
  <c r="B144" i="8"/>
  <c r="B143" i="8"/>
  <c r="B141" i="8"/>
  <c r="B140" i="8"/>
  <c r="L345" i="9"/>
  <c r="CC345" i="9" s="1"/>
  <c r="R460" i="9"/>
  <c r="CI460" i="9" s="1"/>
  <c r="K460" i="9"/>
  <c r="CB460" i="9" s="1"/>
  <c r="K345" i="9"/>
  <c r="CB345" i="9" s="1"/>
  <c r="O460" i="9"/>
  <c r="CF460" i="9" s="1"/>
  <c r="S460" i="9"/>
  <c r="CJ460" i="9" s="1"/>
  <c r="M460" i="9"/>
  <c r="CD460" i="9" s="1"/>
  <c r="P592" i="9"/>
  <c r="CG592" i="9" s="1"/>
  <c r="Q460" i="9"/>
  <c r="CH460" i="9" s="1"/>
  <c r="I196" i="9"/>
  <c r="I188" i="9"/>
  <c r="H83" i="9"/>
  <c r="H87" i="9"/>
  <c r="I189" i="9"/>
  <c r="H233" i="9"/>
  <c r="I229" i="9" s="1"/>
  <c r="BH229" i="9" s="1"/>
  <c r="DY229" i="9" s="1"/>
  <c r="N460" i="9"/>
  <c r="CE460" i="9" s="1"/>
  <c r="K202" i="9"/>
  <c r="H96" i="9"/>
  <c r="K199" i="9"/>
  <c r="H93" i="9"/>
  <c r="H90" i="9"/>
  <c r="T460" i="9"/>
  <c r="CK460" i="9" s="1"/>
  <c r="N592" i="9"/>
  <c r="CE592" i="9" s="1"/>
  <c r="M345" i="9"/>
  <c r="CD345" i="9" s="1"/>
  <c r="T324" i="9"/>
  <c r="CK324" i="9" s="1"/>
  <c r="S592" i="9"/>
  <c r="CJ592" i="9" s="1"/>
  <c r="P345" i="9"/>
  <c r="CG345" i="9" s="1"/>
  <c r="M324" i="9"/>
  <c r="CD324" i="9" s="1"/>
  <c r="M592" i="9"/>
  <c r="CD592" i="9" s="1"/>
  <c r="Q345" i="9"/>
  <c r="CH345" i="9" s="1"/>
  <c r="O324" i="9"/>
  <c r="CF324" i="9" s="1"/>
  <c r="O345" i="9"/>
  <c r="CF345" i="9" s="1"/>
  <c r="N324" i="9"/>
  <c r="CE324" i="9" s="1"/>
  <c r="O592" i="9"/>
  <c r="CF592" i="9" s="1"/>
  <c r="T345" i="9"/>
  <c r="CK345" i="9" s="1"/>
  <c r="P324" i="9"/>
  <c r="CG324" i="9" s="1"/>
  <c r="T592" i="9"/>
  <c r="CK592" i="9" s="1"/>
  <c r="S345" i="9"/>
  <c r="CJ345" i="9" s="1"/>
  <c r="S324" i="9"/>
  <c r="CJ324" i="9" s="1"/>
  <c r="Q592" i="9"/>
  <c r="CH592" i="9" s="1"/>
  <c r="R345" i="9"/>
  <c r="CI345" i="9" s="1"/>
  <c r="R592" i="9"/>
  <c r="CI592" i="9" s="1"/>
  <c r="N345" i="9"/>
  <c r="CE345" i="9" s="1"/>
  <c r="Q324" i="9"/>
  <c r="CH324" i="9" s="1"/>
  <c r="H78" i="9"/>
  <c r="H80" i="9"/>
  <c r="I201" i="9"/>
  <c r="H91" i="9"/>
  <c r="H84" i="9"/>
  <c r="H92" i="9"/>
  <c r="H88" i="9"/>
  <c r="H82" i="9"/>
  <c r="H81" i="9"/>
  <c r="H94" i="9"/>
  <c r="H79" i="9"/>
  <c r="K324" i="9"/>
  <c r="CB324" i="9" s="1"/>
  <c r="I187" i="9"/>
  <c r="I184" i="9"/>
  <c r="I186" i="9"/>
  <c r="I194" i="9"/>
  <c r="I195" i="9"/>
  <c r="K592" i="9"/>
  <c r="CB592" i="9" s="1"/>
  <c r="I198" i="9"/>
  <c r="L460" i="9"/>
  <c r="CC460" i="9" s="1"/>
  <c r="I185" i="9"/>
  <c r="I193" i="9"/>
  <c r="I200" i="9"/>
  <c r="K197" i="9"/>
  <c r="I197" i="9" s="1"/>
  <c r="H89" i="9"/>
  <c r="H95" i="9"/>
  <c r="K191" i="9"/>
  <c r="H85" i="9"/>
  <c r="H86" i="9"/>
  <c r="L592" i="9"/>
  <c r="CC592" i="9" s="1"/>
  <c r="I192" i="9"/>
  <c r="K190" i="9"/>
  <c r="L324" i="9"/>
  <c r="CC324" i="9" s="1"/>
  <c r="BK54" i="4"/>
  <c r="BJ54" i="4"/>
  <c r="BG54" i="4"/>
  <c r="BH54" i="4"/>
  <c r="BI54" i="4"/>
  <c r="BF54" i="4"/>
  <c r="BK36" i="4"/>
  <c r="BJ36" i="4"/>
  <c r="BG36" i="4"/>
  <c r="BH36" i="4"/>
  <c r="BI36" i="4"/>
  <c r="BF36" i="4"/>
  <c r="BJ46" i="4"/>
  <c r="BK46" i="4"/>
  <c r="BG46" i="4"/>
  <c r="BH46" i="4"/>
  <c r="BI46" i="4"/>
  <c r="BF46" i="4"/>
  <c r="BJ37" i="4"/>
  <c r="BK37" i="4"/>
  <c r="BG37" i="4"/>
  <c r="BH37" i="4"/>
  <c r="BI37" i="4"/>
  <c r="BF37" i="4"/>
  <c r="BJ32" i="4"/>
  <c r="BK32" i="4"/>
  <c r="BG32" i="4"/>
  <c r="BH32" i="4"/>
  <c r="BI32" i="4"/>
  <c r="BF32" i="4"/>
  <c r="BJ40" i="4"/>
  <c r="BK40" i="4"/>
  <c r="BG40" i="4"/>
  <c r="BH40" i="4"/>
  <c r="BI40" i="4"/>
  <c r="BF40" i="4"/>
  <c r="BJ48" i="4"/>
  <c r="BK48" i="4"/>
  <c r="BG48" i="4"/>
  <c r="BH48" i="4"/>
  <c r="BI48" i="4"/>
  <c r="BF48" i="4"/>
  <c r="BJ39" i="4"/>
  <c r="BK39" i="4"/>
  <c r="BG39" i="4"/>
  <c r="BH39" i="4"/>
  <c r="BI39" i="4"/>
  <c r="BF39" i="4"/>
  <c r="BJ33" i="4"/>
  <c r="BK33" i="4"/>
  <c r="BG33" i="4"/>
  <c r="BH33" i="4"/>
  <c r="BI33" i="4"/>
  <c r="BF33" i="4"/>
  <c r="BJ43" i="4"/>
  <c r="BK43" i="4"/>
  <c r="BG43" i="4"/>
  <c r="BH43" i="4"/>
  <c r="BI43" i="4"/>
  <c r="BF43" i="4"/>
  <c r="BJ52" i="4"/>
  <c r="BK52" i="4"/>
  <c r="BG52" i="4"/>
  <c r="BH52" i="4"/>
  <c r="BI52" i="4"/>
  <c r="BF52" i="4"/>
  <c r="BJ51" i="4"/>
  <c r="BK51" i="4"/>
  <c r="BG51" i="4"/>
  <c r="BH51" i="4"/>
  <c r="BI51" i="4"/>
  <c r="BF51" i="4"/>
  <c r="BJ44" i="4"/>
  <c r="BK44" i="4"/>
  <c r="BG44" i="4"/>
  <c r="BH44" i="4"/>
  <c r="BI44" i="4"/>
  <c r="BF44" i="4"/>
  <c r="BJ42" i="4"/>
  <c r="BK42" i="4"/>
  <c r="BG42" i="4"/>
  <c r="BH42" i="4"/>
  <c r="BI42" i="4"/>
  <c r="BF42" i="4"/>
  <c r="BK50" i="4"/>
  <c r="BJ50" i="4"/>
  <c r="BG50" i="4"/>
  <c r="BH50" i="4"/>
  <c r="BI50" i="4"/>
  <c r="BF50" i="4"/>
  <c r="BJ47" i="4"/>
  <c r="BK47" i="4"/>
  <c r="BG47" i="4"/>
  <c r="BH47" i="4"/>
  <c r="BI47" i="4"/>
  <c r="BF47" i="4"/>
  <c r="BJ53" i="4"/>
  <c r="BK53" i="4"/>
  <c r="BG53" i="4"/>
  <c r="BH53" i="4"/>
  <c r="BI53" i="4"/>
  <c r="BF53" i="4"/>
  <c r="BK41" i="4"/>
  <c r="BJ41" i="4"/>
  <c r="BG41" i="4"/>
  <c r="BH41" i="4"/>
  <c r="BI41" i="4"/>
  <c r="BF41" i="4"/>
  <c r="B97" i="6"/>
  <c r="B119" i="8" s="1"/>
  <c r="BZ218" i="9"/>
  <c r="E59" i="6"/>
  <c r="D59" i="6"/>
  <c r="H59" i="6"/>
  <c r="G59" i="6"/>
  <c r="H16" i="6"/>
  <c r="G16" i="6"/>
  <c r="D16" i="6"/>
  <c r="E16" i="6"/>
  <c r="H562" i="6"/>
  <c r="G562" i="6"/>
  <c r="E562" i="6"/>
  <c r="D562" i="6"/>
  <c r="H26" i="6"/>
  <c r="G26" i="6"/>
  <c r="E26" i="6"/>
  <c r="D26" i="6"/>
  <c r="E57" i="6"/>
  <c r="D57" i="6"/>
  <c r="H57" i="6"/>
  <c r="G57" i="6"/>
  <c r="H557" i="6"/>
  <c r="G557" i="6"/>
  <c r="E557" i="6"/>
  <c r="D557" i="6"/>
  <c r="H18" i="6"/>
  <c r="G18" i="6"/>
  <c r="E18" i="6"/>
  <c r="D18" i="6"/>
  <c r="E49" i="6"/>
  <c r="D49" i="6"/>
  <c r="H49" i="6"/>
  <c r="G49" i="6"/>
  <c r="H32" i="6"/>
  <c r="G32" i="6"/>
  <c r="D32" i="6"/>
  <c r="E32" i="6"/>
  <c r="H565" i="6"/>
  <c r="G565" i="6"/>
  <c r="E565" i="6"/>
  <c r="D565" i="6"/>
  <c r="H542" i="6"/>
  <c r="G542" i="6"/>
  <c r="E542" i="6"/>
  <c r="D542" i="6"/>
  <c r="H567" i="6"/>
  <c r="G567" i="6"/>
  <c r="E567" i="6"/>
  <c r="D567" i="6"/>
  <c r="E23" i="6"/>
  <c r="D23" i="6"/>
  <c r="H23" i="6"/>
  <c r="G23" i="6"/>
  <c r="E15" i="6"/>
  <c r="D15" i="6"/>
  <c r="H15" i="6"/>
  <c r="G15" i="6"/>
  <c r="H558" i="6"/>
  <c r="G558" i="6"/>
  <c r="E558" i="6"/>
  <c r="D558" i="6"/>
  <c r="E89" i="6"/>
  <c r="D89" i="6"/>
  <c r="H89" i="6"/>
  <c r="G89" i="6"/>
  <c r="H571" i="6"/>
  <c r="G571" i="6"/>
  <c r="E571" i="6"/>
  <c r="D571" i="6"/>
  <c r="H50" i="6"/>
  <c r="G50" i="6"/>
  <c r="E50" i="6"/>
  <c r="D50" i="6"/>
  <c r="E17" i="6"/>
  <c r="D17" i="6"/>
  <c r="H17" i="6"/>
  <c r="G17" i="6"/>
  <c r="H548" i="6"/>
  <c r="G548" i="6"/>
  <c r="E548" i="6"/>
  <c r="D548" i="6"/>
  <c r="E39" i="6"/>
  <c r="D39" i="6"/>
  <c r="H39" i="6"/>
  <c r="G39" i="6"/>
  <c r="H24" i="6"/>
  <c r="G24" i="6"/>
  <c r="E24" i="6"/>
  <c r="D24" i="6"/>
  <c r="H580" i="6"/>
  <c r="G580" i="6"/>
  <c r="E580" i="6"/>
  <c r="D580" i="6"/>
  <c r="E29" i="6"/>
  <c r="D29" i="6"/>
  <c r="H29" i="6"/>
  <c r="G29" i="6"/>
  <c r="H46" i="6"/>
  <c r="G46" i="6"/>
  <c r="E46" i="6"/>
  <c r="D46" i="6"/>
  <c r="E85" i="6"/>
  <c r="D85" i="6"/>
  <c r="H85" i="6"/>
  <c r="G85" i="6"/>
  <c r="H575" i="6"/>
  <c r="G575" i="6"/>
  <c r="E575" i="6"/>
  <c r="D575" i="6"/>
  <c r="H544" i="6"/>
  <c r="G544" i="6"/>
  <c r="E544" i="6"/>
  <c r="D544" i="6"/>
  <c r="H38" i="6"/>
  <c r="G38" i="6"/>
  <c r="E38" i="6"/>
  <c r="D38" i="6"/>
  <c r="E25" i="6"/>
  <c r="D25" i="6"/>
  <c r="H25" i="6"/>
  <c r="G25" i="6"/>
  <c r="H48" i="6"/>
  <c r="G48" i="6"/>
  <c r="D48" i="6"/>
  <c r="E48" i="6"/>
  <c r="H566" i="6"/>
  <c r="G566" i="6"/>
  <c r="E566" i="6"/>
  <c r="D566" i="6"/>
  <c r="E63" i="6"/>
  <c r="D63" i="6"/>
  <c r="H63" i="6"/>
  <c r="G63" i="6"/>
  <c r="H574" i="6"/>
  <c r="G574" i="6"/>
  <c r="E574" i="6"/>
  <c r="D574" i="6"/>
  <c r="H34" i="6"/>
  <c r="G34" i="6"/>
  <c r="E34" i="6"/>
  <c r="D34" i="6"/>
  <c r="E65" i="6"/>
  <c r="D65" i="6"/>
  <c r="H65" i="6"/>
  <c r="G65" i="6"/>
  <c r="H549" i="6"/>
  <c r="G549" i="6"/>
  <c r="E549" i="6"/>
  <c r="D549" i="6"/>
  <c r="H80" i="6"/>
  <c r="G80" i="6"/>
  <c r="E80" i="6"/>
  <c r="D80" i="6"/>
  <c r="H62" i="6"/>
  <c r="G62" i="6"/>
  <c r="E62" i="6"/>
  <c r="D62" i="6"/>
  <c r="H564" i="6"/>
  <c r="G564" i="6"/>
  <c r="E564" i="6"/>
  <c r="D564" i="6"/>
  <c r="H559" i="6"/>
  <c r="G559" i="6"/>
  <c r="E559" i="6"/>
  <c r="D559" i="6"/>
  <c r="E31" i="6"/>
  <c r="D31" i="6"/>
  <c r="H31" i="6"/>
  <c r="G31" i="6"/>
  <c r="H54" i="6"/>
  <c r="G54" i="6"/>
  <c r="E54" i="6"/>
  <c r="D54" i="6"/>
  <c r="H60" i="6"/>
  <c r="G60" i="6"/>
  <c r="E60" i="6"/>
  <c r="D60" i="6"/>
  <c r="H40" i="6"/>
  <c r="G40" i="6"/>
  <c r="E40" i="6"/>
  <c r="D40" i="6"/>
  <c r="E21" i="6"/>
  <c r="D21" i="6"/>
  <c r="H21" i="6"/>
  <c r="G21" i="6"/>
  <c r="E77" i="6"/>
  <c r="D77" i="6"/>
  <c r="H77" i="6"/>
  <c r="G77" i="6"/>
  <c r="H583" i="6"/>
  <c r="G583" i="6"/>
  <c r="E583" i="6"/>
  <c r="D583" i="6"/>
  <c r="E71" i="6"/>
  <c r="D71" i="6"/>
  <c r="H71" i="6"/>
  <c r="G71" i="6"/>
  <c r="H572" i="6"/>
  <c r="G572" i="6"/>
  <c r="E572" i="6"/>
  <c r="D572" i="6"/>
  <c r="H86" i="6"/>
  <c r="G86" i="6"/>
  <c r="E86" i="6"/>
  <c r="D86" i="6"/>
  <c r="H568" i="6"/>
  <c r="G568" i="6"/>
  <c r="E568" i="6"/>
  <c r="D568" i="6"/>
  <c r="H541" i="6"/>
  <c r="G541" i="6"/>
  <c r="E541" i="6"/>
  <c r="D541" i="6"/>
  <c r="E47" i="6"/>
  <c r="D47" i="6"/>
  <c r="H47" i="6"/>
  <c r="G47" i="6"/>
  <c r="H551" i="6"/>
  <c r="G551" i="6"/>
  <c r="E551" i="6"/>
  <c r="D551" i="6"/>
  <c r="E37" i="6"/>
  <c r="D37" i="6"/>
  <c r="H37" i="6"/>
  <c r="G37" i="6"/>
  <c r="H561" i="6"/>
  <c r="G561" i="6"/>
  <c r="E561" i="6"/>
  <c r="D561" i="6"/>
  <c r="H52" i="6"/>
  <c r="G52" i="6"/>
  <c r="D52" i="6"/>
  <c r="E52" i="6"/>
  <c r="E9" i="6"/>
  <c r="D9" i="6"/>
  <c r="H9" i="6"/>
  <c r="G9" i="6"/>
  <c r="H569" i="6"/>
  <c r="G569" i="6"/>
  <c r="E569" i="6"/>
  <c r="D569" i="6"/>
  <c r="E13" i="6"/>
  <c r="D13" i="6"/>
  <c r="H13" i="6"/>
  <c r="G13" i="6"/>
  <c r="H552" i="6"/>
  <c r="G552" i="6"/>
  <c r="E552" i="6"/>
  <c r="D552" i="6"/>
  <c r="H30" i="6"/>
  <c r="G30" i="6"/>
  <c r="E30" i="6"/>
  <c r="D30" i="6"/>
  <c r="E69" i="6"/>
  <c r="D69" i="6"/>
  <c r="H69" i="6"/>
  <c r="G69" i="6"/>
  <c r="H64" i="6"/>
  <c r="G64" i="6"/>
  <c r="D64" i="6"/>
  <c r="E64" i="6"/>
  <c r="H22" i="6"/>
  <c r="G22" i="6"/>
  <c r="E22" i="6"/>
  <c r="D22" i="6"/>
  <c r="E61" i="6"/>
  <c r="D61" i="6"/>
  <c r="H61" i="6"/>
  <c r="G61" i="6"/>
  <c r="H28" i="6"/>
  <c r="G28" i="6"/>
  <c r="E28" i="6"/>
  <c r="D28" i="6"/>
  <c r="E55" i="6"/>
  <c r="D55" i="6"/>
  <c r="H55" i="6"/>
  <c r="G55" i="6"/>
  <c r="H582" i="6"/>
  <c r="G582" i="6"/>
  <c r="E582" i="6"/>
  <c r="D582" i="6"/>
  <c r="H543" i="6"/>
  <c r="G543" i="6"/>
  <c r="E543" i="6"/>
  <c r="D543" i="6"/>
  <c r="H70" i="6"/>
  <c r="G70" i="6"/>
  <c r="E70" i="6"/>
  <c r="D70" i="6"/>
  <c r="E45" i="6"/>
  <c r="D45" i="6"/>
  <c r="H45" i="6"/>
  <c r="G45" i="6"/>
  <c r="H68" i="6"/>
  <c r="G68" i="6"/>
  <c r="D68" i="6"/>
  <c r="E68" i="6"/>
  <c r="H88" i="6"/>
  <c r="G88" i="6"/>
  <c r="E88" i="6"/>
  <c r="D88" i="6"/>
  <c r="E35" i="6"/>
  <c r="D35" i="6"/>
  <c r="H35" i="6"/>
  <c r="G35" i="6"/>
  <c r="H586" i="6"/>
  <c r="G586" i="6"/>
  <c r="E586" i="6"/>
  <c r="D586" i="6"/>
  <c r="E27" i="6"/>
  <c r="D27" i="6"/>
  <c r="H27" i="6"/>
  <c r="G27" i="6"/>
  <c r="H44" i="6"/>
  <c r="G44" i="6"/>
  <c r="E44" i="6"/>
  <c r="D44" i="6"/>
  <c r="H556" i="6"/>
  <c r="G556" i="6"/>
  <c r="E556" i="6"/>
  <c r="D556" i="6"/>
  <c r="H560" i="6"/>
  <c r="G560" i="6"/>
  <c r="E560" i="6"/>
  <c r="D560" i="6"/>
  <c r="E67" i="6"/>
  <c r="D67" i="6"/>
  <c r="H67" i="6"/>
  <c r="G67" i="6"/>
  <c r="H72" i="6"/>
  <c r="G72" i="6"/>
  <c r="E72" i="6"/>
  <c r="D72" i="6"/>
  <c r="H78" i="6"/>
  <c r="G78" i="6"/>
  <c r="E78" i="6"/>
  <c r="D78" i="6"/>
  <c r="H76" i="6"/>
  <c r="G76" i="6"/>
  <c r="E76" i="6"/>
  <c r="D76" i="6"/>
  <c r="H584" i="6"/>
  <c r="G584" i="6"/>
  <c r="E584" i="6"/>
  <c r="D584" i="6"/>
  <c r="H545" i="6"/>
  <c r="G545" i="6"/>
  <c r="E545" i="6"/>
  <c r="D545" i="6"/>
  <c r="H553" i="6"/>
  <c r="G553" i="6"/>
  <c r="E553" i="6"/>
  <c r="D553" i="6"/>
  <c r="H74" i="6"/>
  <c r="G74" i="6"/>
  <c r="E74" i="6"/>
  <c r="D74" i="6"/>
  <c r="H555" i="6"/>
  <c r="G555" i="6"/>
  <c r="E555" i="6"/>
  <c r="D555" i="6"/>
  <c r="H66" i="6"/>
  <c r="G66" i="6"/>
  <c r="D66" i="6"/>
  <c r="E66" i="6"/>
  <c r="H56" i="6"/>
  <c r="G56" i="6"/>
  <c r="E56" i="6"/>
  <c r="D56" i="6"/>
  <c r="H563" i="6"/>
  <c r="G563" i="6"/>
  <c r="E563" i="6"/>
  <c r="D563" i="6"/>
  <c r="E83" i="6"/>
  <c r="D83" i="6"/>
  <c r="H83" i="6"/>
  <c r="G83" i="6"/>
  <c r="H577" i="6"/>
  <c r="G577" i="6"/>
  <c r="E577" i="6"/>
  <c r="D577" i="6"/>
  <c r="H36" i="6"/>
  <c r="G36" i="6"/>
  <c r="D36" i="6"/>
  <c r="E36" i="6"/>
  <c r="H546" i="6"/>
  <c r="G546" i="6"/>
  <c r="E546" i="6"/>
  <c r="D546" i="6"/>
  <c r="H554" i="6"/>
  <c r="G554" i="6"/>
  <c r="E554" i="6"/>
  <c r="D554" i="6"/>
  <c r="H14" i="6"/>
  <c r="G14" i="6"/>
  <c r="E14" i="6"/>
  <c r="D14" i="6"/>
  <c r="E53" i="6"/>
  <c r="D53" i="6"/>
  <c r="H53" i="6"/>
  <c r="G53" i="6"/>
  <c r="H84" i="6"/>
  <c r="G84" i="6"/>
  <c r="D84" i="6"/>
  <c r="E84" i="6"/>
  <c r="H576" i="6"/>
  <c r="G576" i="6"/>
  <c r="E576" i="6"/>
  <c r="D576" i="6"/>
  <c r="H12" i="6"/>
  <c r="G12" i="6"/>
  <c r="E12" i="6"/>
  <c r="D12" i="6"/>
  <c r="H570" i="6"/>
  <c r="G570" i="6"/>
  <c r="E570" i="6"/>
  <c r="D570" i="6"/>
  <c r="E43" i="6"/>
  <c r="D43" i="6"/>
  <c r="H43" i="6"/>
  <c r="G43" i="6"/>
  <c r="H578" i="6"/>
  <c r="G578" i="6"/>
  <c r="E578" i="6"/>
  <c r="D578" i="6"/>
  <c r="E41" i="6"/>
  <c r="D41" i="6"/>
  <c r="H41" i="6"/>
  <c r="G41" i="6"/>
  <c r="H540" i="6"/>
  <c r="G540" i="6"/>
  <c r="E540" i="6"/>
  <c r="D540" i="6"/>
  <c r="E19" i="6"/>
  <c r="D19" i="6"/>
  <c r="H19" i="6"/>
  <c r="G19" i="6"/>
  <c r="H538" i="6"/>
  <c r="G538" i="6"/>
  <c r="E538" i="6"/>
  <c r="D538" i="6"/>
  <c r="E75" i="6"/>
  <c r="D75" i="6"/>
  <c r="H75" i="6"/>
  <c r="G75" i="6"/>
  <c r="H585" i="6"/>
  <c r="G585" i="6"/>
  <c r="E585" i="6"/>
  <c r="D585" i="6"/>
  <c r="H42" i="6"/>
  <c r="G42" i="6"/>
  <c r="D42" i="6"/>
  <c r="E42" i="6"/>
  <c r="H587" i="6"/>
  <c r="G587" i="6"/>
  <c r="E587" i="6"/>
  <c r="D587" i="6"/>
  <c r="H20" i="6"/>
  <c r="G20" i="6"/>
  <c r="D20" i="6"/>
  <c r="E20" i="6"/>
  <c r="E51" i="6"/>
  <c r="D51" i="6"/>
  <c r="H51" i="6"/>
  <c r="G51" i="6"/>
  <c r="H10" i="6"/>
  <c r="G10" i="6"/>
  <c r="D10" i="6"/>
  <c r="E10" i="6"/>
  <c r="H539" i="6"/>
  <c r="G539" i="6"/>
  <c r="E539" i="6"/>
  <c r="D539" i="6"/>
  <c r="H82" i="6"/>
  <c r="G82" i="6"/>
  <c r="D82" i="6"/>
  <c r="E82" i="6"/>
  <c r="H547" i="6"/>
  <c r="G547" i="6"/>
  <c r="E547" i="6"/>
  <c r="D547" i="6"/>
  <c r="E87" i="6"/>
  <c r="D87" i="6"/>
  <c r="H87" i="6"/>
  <c r="G87" i="6"/>
  <c r="H573" i="6"/>
  <c r="G573" i="6"/>
  <c r="E573" i="6"/>
  <c r="D573" i="6"/>
  <c r="H550" i="6"/>
  <c r="G550" i="6"/>
  <c r="E550" i="6"/>
  <c r="D550" i="6"/>
  <c r="E33" i="6"/>
  <c r="D33" i="6"/>
  <c r="H33" i="6"/>
  <c r="G33" i="6"/>
  <c r="E79" i="6"/>
  <c r="D79" i="6"/>
  <c r="H79" i="6"/>
  <c r="G79" i="6"/>
  <c r="H581" i="6"/>
  <c r="G581" i="6"/>
  <c r="E581" i="6"/>
  <c r="D581" i="6"/>
  <c r="H58" i="6"/>
  <c r="G58" i="6"/>
  <c r="D58" i="6"/>
  <c r="E58" i="6"/>
  <c r="E11" i="6"/>
  <c r="D11" i="6"/>
  <c r="H11" i="6"/>
  <c r="G11" i="6"/>
  <c r="E81" i="6"/>
  <c r="D81" i="6"/>
  <c r="H81" i="6"/>
  <c r="G81" i="6"/>
  <c r="H579" i="6"/>
  <c r="G579" i="6"/>
  <c r="E579" i="6"/>
  <c r="D579" i="6"/>
  <c r="E73" i="6"/>
  <c r="D73" i="6"/>
  <c r="H73" i="6"/>
  <c r="G73" i="6"/>
  <c r="BB33" i="8"/>
  <c r="BC33" i="8" s="1"/>
  <c r="BK7" i="6"/>
  <c r="Q7" i="6" s="1"/>
  <c r="S7" i="6" s="1"/>
  <c r="U7" i="6" s="1"/>
  <c r="B122" i="8"/>
  <c r="B307" i="8"/>
  <c r="B370" i="8"/>
  <c r="B412" i="8"/>
  <c r="B265" i="8"/>
  <c r="B349" i="8"/>
  <c r="B391" i="8"/>
  <c r="B120" i="8"/>
  <c r="B244" i="8"/>
  <c r="B121" i="8"/>
  <c r="BA42" i="6"/>
  <c r="BY42" i="6"/>
  <c r="BZ42" i="6" s="1"/>
  <c r="BT42" i="6"/>
  <c r="BU42" i="6" s="1"/>
  <c r="BO42" i="6"/>
  <c r="BP42" i="6" s="1"/>
  <c r="BA52" i="6"/>
  <c r="BY52" i="6"/>
  <c r="BZ52" i="6" s="1"/>
  <c r="BT52" i="6"/>
  <c r="BU52" i="6" s="1"/>
  <c r="BO52" i="6"/>
  <c r="BP52" i="6" s="1"/>
  <c r="BY548" i="6"/>
  <c r="BZ548" i="6" s="1"/>
  <c r="BT548" i="6"/>
  <c r="BU548" i="6" s="1"/>
  <c r="BO548" i="6"/>
  <c r="BP548" i="6" s="1"/>
  <c r="BA30" i="6"/>
  <c r="BY30" i="6"/>
  <c r="BZ30" i="6" s="1"/>
  <c r="BT30" i="6"/>
  <c r="BU30" i="6" s="1"/>
  <c r="BO30" i="6"/>
  <c r="BP30" i="6" s="1"/>
  <c r="BY34" i="6"/>
  <c r="BZ34" i="6" s="1"/>
  <c r="BT34" i="6"/>
  <c r="BU34" i="6" s="1"/>
  <c r="BO34" i="6"/>
  <c r="BP34" i="6" s="1"/>
  <c r="AG47" i="6"/>
  <c r="BY47" i="6"/>
  <c r="BZ47" i="6" s="1"/>
  <c r="BT47" i="6"/>
  <c r="BU47" i="6" s="1"/>
  <c r="BO47" i="6"/>
  <c r="BP47" i="6" s="1"/>
  <c r="BY76" i="6"/>
  <c r="BZ76" i="6" s="1"/>
  <c r="BT76" i="6"/>
  <c r="BU76" i="6" s="1"/>
  <c r="BO76" i="6"/>
  <c r="BP76" i="6" s="1"/>
  <c r="BA50" i="6"/>
  <c r="BY50" i="6"/>
  <c r="BZ50" i="6" s="1"/>
  <c r="BT50" i="6"/>
  <c r="BU50" i="6" s="1"/>
  <c r="BO50" i="6"/>
  <c r="BP50" i="6" s="1"/>
  <c r="BA27" i="6"/>
  <c r="BY27" i="6"/>
  <c r="BZ27" i="6" s="1"/>
  <c r="BT27" i="6"/>
  <c r="BU27" i="6" s="1"/>
  <c r="BO27" i="6"/>
  <c r="BP27" i="6" s="1"/>
  <c r="BA68" i="6"/>
  <c r="BY68" i="6"/>
  <c r="BZ68" i="6" s="1"/>
  <c r="BT68" i="6"/>
  <c r="BU68" i="6" s="1"/>
  <c r="BO68" i="6"/>
  <c r="BP68" i="6" s="1"/>
  <c r="BT72" i="6"/>
  <c r="BU72" i="6" s="1"/>
  <c r="BO72" i="6"/>
  <c r="BP72" i="6" s="1"/>
  <c r="BY72" i="6"/>
  <c r="BZ72" i="6" s="1"/>
  <c r="BY41" i="6"/>
  <c r="BZ41" i="6" s="1"/>
  <c r="BT41" i="6"/>
  <c r="BU41" i="6" s="1"/>
  <c r="BO41" i="6"/>
  <c r="BP41" i="6" s="1"/>
  <c r="BY564" i="6"/>
  <c r="BZ564" i="6" s="1"/>
  <c r="BT564" i="6"/>
  <c r="BU564" i="6" s="1"/>
  <c r="BO564" i="6"/>
  <c r="BP564" i="6" s="1"/>
  <c r="BF572" i="6"/>
  <c r="BY572" i="6"/>
  <c r="BZ572" i="6" s="1"/>
  <c r="BT572" i="6"/>
  <c r="BU572" i="6" s="1"/>
  <c r="BO572" i="6"/>
  <c r="BP572" i="6" s="1"/>
  <c r="BY580" i="6"/>
  <c r="BZ580" i="6" s="1"/>
  <c r="BT580" i="6"/>
  <c r="BU580" i="6" s="1"/>
  <c r="BO580" i="6"/>
  <c r="BP580" i="6" s="1"/>
  <c r="AV562" i="6"/>
  <c r="BY562" i="6"/>
  <c r="BZ562" i="6" s="1"/>
  <c r="BT562" i="6"/>
  <c r="BU562" i="6" s="1"/>
  <c r="BO562" i="6"/>
  <c r="BP562" i="6" s="1"/>
  <c r="BY554" i="6"/>
  <c r="BZ554" i="6" s="1"/>
  <c r="BT554" i="6"/>
  <c r="BU554" i="6" s="1"/>
  <c r="BO554" i="6"/>
  <c r="BP554" i="6" s="1"/>
  <c r="BY559" i="6"/>
  <c r="BZ559" i="6" s="1"/>
  <c r="BT559" i="6"/>
  <c r="BU559" i="6" s="1"/>
  <c r="BO559" i="6"/>
  <c r="BP559" i="6" s="1"/>
  <c r="BY84" i="6"/>
  <c r="BZ84" i="6" s="1"/>
  <c r="BT84" i="6"/>
  <c r="BU84" i="6" s="1"/>
  <c r="BO84" i="6"/>
  <c r="BP84" i="6" s="1"/>
  <c r="BY31" i="6"/>
  <c r="BZ31" i="6" s="1"/>
  <c r="BT31" i="6"/>
  <c r="BU31" i="6" s="1"/>
  <c r="BO31" i="6"/>
  <c r="BP31" i="6" s="1"/>
  <c r="BO553" i="6"/>
  <c r="BP553" i="6" s="1"/>
  <c r="BY553" i="6"/>
  <c r="BZ553" i="6" s="1"/>
  <c r="BT553" i="6"/>
  <c r="BU553" i="6" s="1"/>
  <c r="BO59" i="6"/>
  <c r="BP59" i="6" s="1"/>
  <c r="BY59" i="6"/>
  <c r="BZ59" i="6" s="1"/>
  <c r="BT59" i="6"/>
  <c r="BU59" i="6" s="1"/>
  <c r="BO67" i="6"/>
  <c r="BP67" i="6" s="1"/>
  <c r="BY67" i="6"/>
  <c r="BZ67" i="6" s="1"/>
  <c r="BT67" i="6"/>
  <c r="BU67" i="6" s="1"/>
  <c r="BY11" i="6"/>
  <c r="BZ11" i="6" s="1"/>
  <c r="BT11" i="6"/>
  <c r="BU11" i="6" s="1"/>
  <c r="BO11" i="6"/>
  <c r="BP11" i="6" s="1"/>
  <c r="BY54" i="6"/>
  <c r="BZ54" i="6" s="1"/>
  <c r="BT54" i="6"/>
  <c r="BU54" i="6" s="1"/>
  <c r="BO54" i="6"/>
  <c r="BP54" i="6" s="1"/>
  <c r="BY63" i="6"/>
  <c r="BZ63" i="6" s="1"/>
  <c r="BT63" i="6"/>
  <c r="BU63" i="6" s="1"/>
  <c r="BO63" i="6"/>
  <c r="BP63" i="6" s="1"/>
  <c r="AG48" i="6"/>
  <c r="BT48" i="6"/>
  <c r="BU48" i="6" s="1"/>
  <c r="BO48" i="6"/>
  <c r="BP48" i="6" s="1"/>
  <c r="BY48" i="6"/>
  <c r="BZ48" i="6" s="1"/>
  <c r="BA33" i="6"/>
  <c r="BY33" i="6"/>
  <c r="BZ33" i="6" s="1"/>
  <c r="BT33" i="6"/>
  <c r="BU33" i="6" s="1"/>
  <c r="BO33" i="6"/>
  <c r="BP33" i="6" s="1"/>
  <c r="BY37" i="6"/>
  <c r="BZ37" i="6" s="1"/>
  <c r="BT37" i="6"/>
  <c r="BU37" i="6" s="1"/>
  <c r="BO37" i="6"/>
  <c r="BP37" i="6" s="1"/>
  <c r="BY18" i="6"/>
  <c r="BZ18" i="6" s="1"/>
  <c r="BT18" i="6"/>
  <c r="BU18" i="6" s="1"/>
  <c r="BO18" i="6"/>
  <c r="BP18" i="6" s="1"/>
  <c r="BF549" i="6"/>
  <c r="BY549" i="6"/>
  <c r="BZ549" i="6" s="1"/>
  <c r="BT549" i="6"/>
  <c r="BU549" i="6" s="1"/>
  <c r="BO549" i="6"/>
  <c r="BP549" i="6" s="1"/>
  <c r="BY557" i="6"/>
  <c r="BZ557" i="6" s="1"/>
  <c r="BT557" i="6"/>
  <c r="BU557" i="6" s="1"/>
  <c r="BO557" i="6"/>
  <c r="BP557" i="6" s="1"/>
  <c r="BY565" i="6"/>
  <c r="BZ565" i="6" s="1"/>
  <c r="BT565" i="6"/>
  <c r="BU565" i="6" s="1"/>
  <c r="BO565" i="6"/>
  <c r="BP565" i="6" s="1"/>
  <c r="BY573" i="6"/>
  <c r="BZ573" i="6" s="1"/>
  <c r="BT573" i="6"/>
  <c r="BU573" i="6" s="1"/>
  <c r="BO573" i="6"/>
  <c r="BP573" i="6" s="1"/>
  <c r="AG547" i="6"/>
  <c r="BY547" i="6"/>
  <c r="BZ547" i="6" s="1"/>
  <c r="BT547" i="6"/>
  <c r="BU547" i="6" s="1"/>
  <c r="BO547" i="6"/>
  <c r="BP547" i="6" s="1"/>
  <c r="BY563" i="6"/>
  <c r="BZ563" i="6" s="1"/>
  <c r="BT563" i="6"/>
  <c r="BU563" i="6" s="1"/>
  <c r="BO563" i="6"/>
  <c r="BP563" i="6" s="1"/>
  <c r="BY46" i="6"/>
  <c r="BZ46" i="6" s="1"/>
  <c r="BT46" i="6"/>
  <c r="BU46" i="6" s="1"/>
  <c r="BO46" i="6"/>
  <c r="BP46" i="6" s="1"/>
  <c r="AG56" i="6"/>
  <c r="BT56" i="6"/>
  <c r="BU56" i="6" s="1"/>
  <c r="BO56" i="6"/>
  <c r="BP56" i="6" s="1"/>
  <c r="BY56" i="6"/>
  <c r="BZ56" i="6" s="1"/>
  <c r="BY552" i="6"/>
  <c r="BZ552" i="6" s="1"/>
  <c r="BT552" i="6"/>
  <c r="BU552" i="6" s="1"/>
  <c r="BO552" i="6"/>
  <c r="BP552" i="6" s="1"/>
  <c r="AG53" i="6"/>
  <c r="BY53" i="6"/>
  <c r="BZ53" i="6" s="1"/>
  <c r="BT53" i="6"/>
  <c r="BU53" i="6" s="1"/>
  <c r="BO53" i="6"/>
  <c r="BP53" i="6" s="1"/>
  <c r="BY49" i="6"/>
  <c r="BZ49" i="6" s="1"/>
  <c r="BT49" i="6"/>
  <c r="BU49" i="6" s="1"/>
  <c r="BO49" i="6"/>
  <c r="BP49" i="6" s="1"/>
  <c r="BY24" i="6"/>
  <c r="BZ24" i="6" s="1"/>
  <c r="BT24" i="6"/>
  <c r="BU24" i="6" s="1"/>
  <c r="BO24" i="6"/>
  <c r="BP24" i="6" s="1"/>
  <c r="BO75" i="6"/>
  <c r="BP75" i="6" s="1"/>
  <c r="BY75" i="6"/>
  <c r="BZ75" i="6" s="1"/>
  <c r="BT75" i="6"/>
  <c r="BU75" i="6" s="1"/>
  <c r="AQ55" i="6"/>
  <c r="BY55" i="6"/>
  <c r="BZ55" i="6" s="1"/>
  <c r="BT55" i="6"/>
  <c r="BU55" i="6" s="1"/>
  <c r="BO55" i="6"/>
  <c r="BP55" i="6" s="1"/>
  <c r="AG19" i="6"/>
  <c r="BY19" i="6"/>
  <c r="BZ19" i="6" s="1"/>
  <c r="BT19" i="6"/>
  <c r="BU19" i="6" s="1"/>
  <c r="BO19" i="6"/>
  <c r="BP19" i="6" s="1"/>
  <c r="AG36" i="6"/>
  <c r="BY36" i="6"/>
  <c r="BZ36" i="6" s="1"/>
  <c r="BT36" i="6"/>
  <c r="BU36" i="6" s="1"/>
  <c r="BO36" i="6"/>
  <c r="BP36" i="6" s="1"/>
  <c r="BY29" i="6"/>
  <c r="BZ29" i="6" s="1"/>
  <c r="BT29" i="6"/>
  <c r="BU29" i="6" s="1"/>
  <c r="BO29" i="6"/>
  <c r="BP29" i="6" s="1"/>
  <c r="BY10" i="6"/>
  <c r="BZ10" i="6" s="1"/>
  <c r="BT10" i="6"/>
  <c r="BU10" i="6" s="1"/>
  <c r="BO10" i="6"/>
  <c r="BP10" i="6" s="1"/>
  <c r="BY22" i="6"/>
  <c r="BZ22" i="6" s="1"/>
  <c r="BT22" i="6"/>
  <c r="BU22" i="6" s="1"/>
  <c r="BO22" i="6"/>
  <c r="BP22" i="6" s="1"/>
  <c r="BY82" i="6"/>
  <c r="BZ82" i="6" s="1"/>
  <c r="BT82" i="6"/>
  <c r="BU82" i="6" s="1"/>
  <c r="BO82" i="6"/>
  <c r="BP82" i="6" s="1"/>
  <c r="BT550" i="6"/>
  <c r="BU550" i="6" s="1"/>
  <c r="BO550" i="6"/>
  <c r="BP550" i="6" s="1"/>
  <c r="BY550" i="6"/>
  <c r="BZ550" i="6" s="1"/>
  <c r="BF558" i="6"/>
  <c r="BT558" i="6"/>
  <c r="BU558" i="6" s="1"/>
  <c r="BO558" i="6"/>
  <c r="BP558" i="6" s="1"/>
  <c r="BY558" i="6"/>
  <c r="BZ558" i="6" s="1"/>
  <c r="BA566" i="6"/>
  <c r="BT566" i="6"/>
  <c r="BU566" i="6" s="1"/>
  <c r="BO566" i="6"/>
  <c r="BP566" i="6" s="1"/>
  <c r="BY566" i="6"/>
  <c r="BZ566" i="6" s="1"/>
  <c r="BF574" i="6"/>
  <c r="BT574" i="6"/>
  <c r="BU574" i="6" s="1"/>
  <c r="BO574" i="6"/>
  <c r="BP574" i="6" s="1"/>
  <c r="BY574" i="6"/>
  <c r="BZ574" i="6" s="1"/>
  <c r="AQ581" i="6"/>
  <c r="BY581" i="6"/>
  <c r="BZ581" i="6" s="1"/>
  <c r="BT581" i="6"/>
  <c r="BU581" i="6" s="1"/>
  <c r="BO581" i="6"/>
  <c r="BP581" i="6" s="1"/>
  <c r="BF571" i="6"/>
  <c r="BY571" i="6"/>
  <c r="BZ571" i="6" s="1"/>
  <c r="BT571" i="6"/>
  <c r="BU571" i="6" s="1"/>
  <c r="BO571" i="6"/>
  <c r="BP571" i="6" s="1"/>
  <c r="AV71" i="6"/>
  <c r="BY71" i="6"/>
  <c r="BZ71" i="6" s="1"/>
  <c r="BT71" i="6"/>
  <c r="BU71" i="6" s="1"/>
  <c r="BO71" i="6"/>
  <c r="BP71" i="6" s="1"/>
  <c r="AG541" i="6"/>
  <c r="BY541" i="6"/>
  <c r="BZ541" i="6" s="1"/>
  <c r="BT541" i="6"/>
  <c r="BU541" i="6" s="1"/>
  <c r="BO541" i="6"/>
  <c r="BP541" i="6" s="1"/>
  <c r="BY38" i="6"/>
  <c r="BZ38" i="6" s="1"/>
  <c r="BT38" i="6"/>
  <c r="BU38" i="6" s="1"/>
  <c r="BO38" i="6"/>
  <c r="BP38" i="6" s="1"/>
  <c r="BA88" i="6"/>
  <c r="BT88" i="6"/>
  <c r="BU88" i="6" s="1"/>
  <c r="BO88" i="6"/>
  <c r="BP88" i="6" s="1"/>
  <c r="BY88" i="6"/>
  <c r="BZ88" i="6" s="1"/>
  <c r="AQ32" i="6"/>
  <c r="BT32" i="6"/>
  <c r="BU32" i="6" s="1"/>
  <c r="BO32" i="6"/>
  <c r="BP32" i="6" s="1"/>
  <c r="BY32" i="6"/>
  <c r="BZ32" i="6" s="1"/>
  <c r="BA83" i="6"/>
  <c r="BO83" i="6"/>
  <c r="BP83" i="6" s="1"/>
  <c r="BY83" i="6"/>
  <c r="BZ83" i="6" s="1"/>
  <c r="BT83" i="6"/>
  <c r="BU83" i="6" s="1"/>
  <c r="AV40" i="6"/>
  <c r="BT40" i="6"/>
  <c r="BU40" i="6" s="1"/>
  <c r="BO40" i="6"/>
  <c r="BP40" i="6" s="1"/>
  <c r="BY40" i="6"/>
  <c r="BZ40" i="6" s="1"/>
  <c r="BT25" i="6"/>
  <c r="BU25" i="6" s="1"/>
  <c r="BY25" i="6"/>
  <c r="BZ25" i="6" s="1"/>
  <c r="BO25" i="6"/>
  <c r="BP25" i="6" s="1"/>
  <c r="AQ14" i="6"/>
  <c r="BY14" i="6"/>
  <c r="BZ14" i="6" s="1"/>
  <c r="BT14" i="6"/>
  <c r="BU14" i="6" s="1"/>
  <c r="BO14" i="6"/>
  <c r="BP14" i="6" s="1"/>
  <c r="BY74" i="6"/>
  <c r="BZ74" i="6" s="1"/>
  <c r="BT74" i="6"/>
  <c r="BU74" i="6" s="1"/>
  <c r="BO74" i="6"/>
  <c r="BP74" i="6" s="1"/>
  <c r="BY86" i="6"/>
  <c r="BZ86" i="6" s="1"/>
  <c r="BT86" i="6"/>
  <c r="BU86" i="6" s="1"/>
  <c r="BO86" i="6"/>
  <c r="BP86" i="6" s="1"/>
  <c r="BY60" i="6"/>
  <c r="BZ60" i="6" s="1"/>
  <c r="BT60" i="6"/>
  <c r="BU60" i="6" s="1"/>
  <c r="BO60" i="6"/>
  <c r="BP60" i="6" s="1"/>
  <c r="AQ567" i="6"/>
  <c r="BY567" i="6"/>
  <c r="BZ567" i="6" s="1"/>
  <c r="BT567" i="6"/>
  <c r="BU567" i="6" s="1"/>
  <c r="BO567" i="6"/>
  <c r="BP567" i="6" s="1"/>
  <c r="AG575" i="6"/>
  <c r="BY575" i="6"/>
  <c r="BZ575" i="6" s="1"/>
  <c r="BT575" i="6"/>
  <c r="BU575" i="6" s="1"/>
  <c r="BO575" i="6"/>
  <c r="BP575" i="6" s="1"/>
  <c r="AG583" i="6"/>
  <c r="BY583" i="6"/>
  <c r="BZ583" i="6" s="1"/>
  <c r="BT583" i="6"/>
  <c r="BU583" i="6" s="1"/>
  <c r="BO583" i="6"/>
  <c r="BP583" i="6" s="1"/>
  <c r="AV538" i="6"/>
  <c r="BY538" i="6"/>
  <c r="BZ538" i="6" s="1"/>
  <c r="BT538" i="6"/>
  <c r="BU538" i="6" s="1"/>
  <c r="BO538" i="6"/>
  <c r="BP538" i="6" s="1"/>
  <c r="AQ582" i="6"/>
  <c r="BT582" i="6"/>
  <c r="BU582" i="6" s="1"/>
  <c r="BO582" i="6"/>
  <c r="BP582" i="6" s="1"/>
  <c r="BY582" i="6"/>
  <c r="BZ582" i="6" s="1"/>
  <c r="BY546" i="6"/>
  <c r="BZ546" i="6" s="1"/>
  <c r="BT546" i="6"/>
  <c r="BU546" i="6" s="1"/>
  <c r="BO546" i="6"/>
  <c r="BP546" i="6" s="1"/>
  <c r="BF62" i="6"/>
  <c r="BY62" i="6"/>
  <c r="BZ62" i="6" s="1"/>
  <c r="BT62" i="6"/>
  <c r="BU62" i="6" s="1"/>
  <c r="BO62" i="6"/>
  <c r="BP62" i="6" s="1"/>
  <c r="BT542" i="6"/>
  <c r="BU542" i="6" s="1"/>
  <c r="BO542" i="6"/>
  <c r="BP542" i="6" s="1"/>
  <c r="BY542" i="6"/>
  <c r="BZ542" i="6" s="1"/>
  <c r="BY39" i="6"/>
  <c r="BZ39" i="6" s="1"/>
  <c r="BT39" i="6"/>
  <c r="BU39" i="6" s="1"/>
  <c r="BO39" i="6"/>
  <c r="BP39" i="6" s="1"/>
  <c r="BY45" i="6"/>
  <c r="BZ45" i="6" s="1"/>
  <c r="BT45" i="6"/>
  <c r="BU45" i="6" s="1"/>
  <c r="BO45" i="6"/>
  <c r="BP45" i="6" s="1"/>
  <c r="BF21" i="6"/>
  <c r="BY21" i="6"/>
  <c r="BZ21" i="6" s="1"/>
  <c r="BT21" i="6"/>
  <c r="BU21" i="6" s="1"/>
  <c r="BO21" i="6"/>
  <c r="BP21" i="6" s="1"/>
  <c r="BY89" i="6"/>
  <c r="BZ89" i="6" s="1"/>
  <c r="BT89" i="6"/>
  <c r="BU89" i="6" s="1"/>
  <c r="BO89" i="6"/>
  <c r="BP89" i="6" s="1"/>
  <c r="BY78" i="6"/>
  <c r="BZ78" i="6" s="1"/>
  <c r="BT78" i="6"/>
  <c r="BU78" i="6" s="1"/>
  <c r="BO78" i="6"/>
  <c r="BP78" i="6" s="1"/>
  <c r="BO23" i="6"/>
  <c r="BP23" i="6" s="1"/>
  <c r="BY23" i="6"/>
  <c r="BZ23" i="6" s="1"/>
  <c r="BT23" i="6"/>
  <c r="BU23" i="6" s="1"/>
  <c r="AG51" i="6"/>
  <c r="BO51" i="6"/>
  <c r="BP51" i="6" s="1"/>
  <c r="BY51" i="6"/>
  <c r="BZ51" i="6" s="1"/>
  <c r="BT51" i="6"/>
  <c r="BU51" i="6" s="1"/>
  <c r="AV560" i="6"/>
  <c r="BY560" i="6"/>
  <c r="BZ560" i="6" s="1"/>
  <c r="BT560" i="6"/>
  <c r="BU560" i="6" s="1"/>
  <c r="BO560" i="6"/>
  <c r="BP560" i="6" s="1"/>
  <c r="AV568" i="6"/>
  <c r="BY568" i="6"/>
  <c r="BZ568" i="6" s="1"/>
  <c r="BT568" i="6"/>
  <c r="BU568" i="6" s="1"/>
  <c r="BO568" i="6"/>
  <c r="BP568" i="6" s="1"/>
  <c r="AV576" i="6"/>
  <c r="BY576" i="6"/>
  <c r="BZ576" i="6" s="1"/>
  <c r="BT576" i="6"/>
  <c r="BU576" i="6" s="1"/>
  <c r="BO576" i="6"/>
  <c r="BP576" i="6" s="1"/>
  <c r="BF584" i="6"/>
  <c r="BY584" i="6"/>
  <c r="BZ584" i="6" s="1"/>
  <c r="BT584" i="6"/>
  <c r="BU584" i="6" s="1"/>
  <c r="BO584" i="6"/>
  <c r="BP584" i="6" s="1"/>
  <c r="AV578" i="6"/>
  <c r="BY578" i="6"/>
  <c r="BZ578" i="6" s="1"/>
  <c r="BT578" i="6"/>
  <c r="BU578" i="6" s="1"/>
  <c r="BO578" i="6"/>
  <c r="BP578" i="6" s="1"/>
  <c r="BA543" i="6"/>
  <c r="BY543" i="6"/>
  <c r="BZ543" i="6" s="1"/>
  <c r="BT543" i="6"/>
  <c r="BU543" i="6" s="1"/>
  <c r="BO543" i="6"/>
  <c r="BP543" i="6" s="1"/>
  <c r="BY57" i="6"/>
  <c r="BZ57" i="6" s="1"/>
  <c r="BT57" i="6"/>
  <c r="BU57" i="6" s="1"/>
  <c r="BO57" i="6"/>
  <c r="BP57" i="6" s="1"/>
  <c r="BY58" i="6"/>
  <c r="BZ58" i="6" s="1"/>
  <c r="BT58" i="6"/>
  <c r="BU58" i="6" s="1"/>
  <c r="BO58" i="6"/>
  <c r="BP58" i="6" s="1"/>
  <c r="BY556" i="6"/>
  <c r="BZ556" i="6" s="1"/>
  <c r="BT556" i="6"/>
  <c r="BU556" i="6" s="1"/>
  <c r="BO556" i="6"/>
  <c r="BP556" i="6" s="1"/>
  <c r="BY16" i="6"/>
  <c r="BZ16" i="6" s="1"/>
  <c r="BT16" i="6"/>
  <c r="BU16" i="6" s="1"/>
  <c r="BO16" i="6"/>
  <c r="BP16" i="6" s="1"/>
  <c r="AQ61" i="6"/>
  <c r="BY61" i="6"/>
  <c r="BZ61" i="6" s="1"/>
  <c r="BT61" i="6"/>
  <c r="BU61" i="6" s="1"/>
  <c r="BO61" i="6"/>
  <c r="BP61" i="6" s="1"/>
  <c r="BY65" i="6"/>
  <c r="BZ65" i="6" s="1"/>
  <c r="BT65" i="6"/>
  <c r="BU65" i="6" s="1"/>
  <c r="BO65" i="6"/>
  <c r="BP65" i="6" s="1"/>
  <c r="AV9" i="6"/>
  <c r="BT9" i="6"/>
  <c r="BU9" i="6" s="1"/>
  <c r="BO9" i="6"/>
  <c r="BP9" i="6" s="1"/>
  <c r="BY9" i="6"/>
  <c r="BZ9" i="6" s="1"/>
  <c r="BF13" i="6"/>
  <c r="BY13" i="6"/>
  <c r="BZ13" i="6" s="1"/>
  <c r="BT13" i="6"/>
  <c r="BU13" i="6" s="1"/>
  <c r="BO13" i="6"/>
  <c r="BP13" i="6" s="1"/>
  <c r="BT17" i="6"/>
  <c r="BU17" i="6" s="1"/>
  <c r="BO17" i="6"/>
  <c r="BP17" i="6" s="1"/>
  <c r="BY17" i="6"/>
  <c r="BZ17" i="6" s="1"/>
  <c r="BF85" i="6"/>
  <c r="BY85" i="6"/>
  <c r="BZ85" i="6" s="1"/>
  <c r="BT85" i="6"/>
  <c r="BU85" i="6" s="1"/>
  <c r="BO85" i="6"/>
  <c r="BP85" i="6" s="1"/>
  <c r="BY66" i="6"/>
  <c r="BZ66" i="6" s="1"/>
  <c r="BT66" i="6"/>
  <c r="BU66" i="6" s="1"/>
  <c r="BO66" i="6"/>
  <c r="BP66" i="6" s="1"/>
  <c r="AG15" i="6"/>
  <c r="BO15" i="6"/>
  <c r="BP15" i="6" s="1"/>
  <c r="BY15" i="6"/>
  <c r="BZ15" i="6" s="1"/>
  <c r="BT15" i="6"/>
  <c r="BU15" i="6" s="1"/>
  <c r="BA44" i="6"/>
  <c r="BY44" i="6"/>
  <c r="BZ44" i="6" s="1"/>
  <c r="BT44" i="6"/>
  <c r="BU44" i="6" s="1"/>
  <c r="BO44" i="6"/>
  <c r="BP44" i="6" s="1"/>
  <c r="AQ87" i="6"/>
  <c r="BY87" i="6"/>
  <c r="BZ87" i="6" s="1"/>
  <c r="BT87" i="6"/>
  <c r="BU87" i="6" s="1"/>
  <c r="BO87" i="6"/>
  <c r="BP87" i="6" s="1"/>
  <c r="BF561" i="6"/>
  <c r="BO561" i="6"/>
  <c r="BP561" i="6" s="1"/>
  <c r="BY561" i="6"/>
  <c r="BZ561" i="6" s="1"/>
  <c r="BT561" i="6"/>
  <c r="BU561" i="6" s="1"/>
  <c r="BA569" i="6"/>
  <c r="BO569" i="6"/>
  <c r="BP569" i="6" s="1"/>
  <c r="BY569" i="6"/>
  <c r="BZ569" i="6" s="1"/>
  <c r="BT569" i="6"/>
  <c r="BU569" i="6" s="1"/>
  <c r="AQ577" i="6"/>
  <c r="BO577" i="6"/>
  <c r="BP577" i="6" s="1"/>
  <c r="BY577" i="6"/>
  <c r="BZ577" i="6" s="1"/>
  <c r="BT577" i="6"/>
  <c r="BU577" i="6" s="1"/>
  <c r="BF585" i="6"/>
  <c r="BO585" i="6"/>
  <c r="BP585" i="6" s="1"/>
  <c r="BY585" i="6"/>
  <c r="BZ585" i="6" s="1"/>
  <c r="BT585" i="6"/>
  <c r="BU585" i="6" s="1"/>
  <c r="AQ570" i="6"/>
  <c r="BY570" i="6"/>
  <c r="BZ570" i="6" s="1"/>
  <c r="BT570" i="6"/>
  <c r="BU570" i="6" s="1"/>
  <c r="BO570" i="6"/>
  <c r="BP570" i="6" s="1"/>
  <c r="BY579" i="6"/>
  <c r="BZ579" i="6" s="1"/>
  <c r="BT579" i="6"/>
  <c r="BU579" i="6" s="1"/>
  <c r="BO579" i="6"/>
  <c r="BP579" i="6" s="1"/>
  <c r="BY69" i="6"/>
  <c r="BZ69" i="6" s="1"/>
  <c r="BT69" i="6"/>
  <c r="BU69" i="6" s="1"/>
  <c r="BO69" i="6"/>
  <c r="BP69" i="6" s="1"/>
  <c r="BO35" i="6"/>
  <c r="BP35" i="6" s="1"/>
  <c r="BY35" i="6"/>
  <c r="BZ35" i="6" s="1"/>
  <c r="BT35" i="6"/>
  <c r="BU35" i="6" s="1"/>
  <c r="AV587" i="6"/>
  <c r="BY587" i="6"/>
  <c r="BZ587" i="6" s="1"/>
  <c r="BT587" i="6"/>
  <c r="BU587" i="6" s="1"/>
  <c r="BO587" i="6"/>
  <c r="BP587" i="6" s="1"/>
  <c r="AG80" i="6"/>
  <c r="BT80" i="6"/>
  <c r="BU80" i="6" s="1"/>
  <c r="BO80" i="6"/>
  <c r="BP80" i="6" s="1"/>
  <c r="BY80" i="6"/>
  <c r="BZ80" i="6" s="1"/>
  <c r="BA20" i="6"/>
  <c r="BO20" i="6"/>
  <c r="BP20" i="6" s="1"/>
  <c r="BT20" i="6"/>
  <c r="BU20" i="6" s="1"/>
  <c r="BY20" i="6"/>
  <c r="BZ20" i="6" s="1"/>
  <c r="BT28" i="6"/>
  <c r="BU28" i="6" s="1"/>
  <c r="BO28" i="6"/>
  <c r="BP28" i="6" s="1"/>
  <c r="BY28" i="6"/>
  <c r="BZ28" i="6" s="1"/>
  <c r="BA26" i="6"/>
  <c r="BY26" i="6"/>
  <c r="BZ26" i="6" s="1"/>
  <c r="BT26" i="6"/>
  <c r="BU26" i="6" s="1"/>
  <c r="BO26" i="6"/>
  <c r="BP26" i="6" s="1"/>
  <c r="BY73" i="6"/>
  <c r="BZ73" i="6" s="1"/>
  <c r="BT73" i="6"/>
  <c r="BU73" i="6" s="1"/>
  <c r="BO73" i="6"/>
  <c r="BP73" i="6" s="1"/>
  <c r="AQ77" i="6"/>
  <c r="BY77" i="6"/>
  <c r="BZ77" i="6" s="1"/>
  <c r="BT77" i="6"/>
  <c r="BU77" i="6" s="1"/>
  <c r="BO77" i="6"/>
  <c r="BP77" i="6" s="1"/>
  <c r="BY81" i="6"/>
  <c r="BZ81" i="6" s="1"/>
  <c r="BT81" i="6"/>
  <c r="BU81" i="6" s="1"/>
  <c r="BO81" i="6"/>
  <c r="BP81" i="6" s="1"/>
  <c r="BY70" i="6"/>
  <c r="BZ70" i="6" s="1"/>
  <c r="BT70" i="6"/>
  <c r="BU70" i="6" s="1"/>
  <c r="BO70" i="6"/>
  <c r="BP70" i="6" s="1"/>
  <c r="AV12" i="6"/>
  <c r="BO12" i="6"/>
  <c r="BP12" i="6" s="1"/>
  <c r="BT12" i="6"/>
  <c r="BU12" i="6" s="1"/>
  <c r="BY12" i="6"/>
  <c r="BZ12" i="6" s="1"/>
  <c r="BY79" i="6"/>
  <c r="BZ79" i="6" s="1"/>
  <c r="BT79" i="6"/>
  <c r="BU79" i="6" s="1"/>
  <c r="BO79" i="6"/>
  <c r="BP79" i="6" s="1"/>
  <c r="AG43" i="6"/>
  <c r="BO43" i="6"/>
  <c r="BP43" i="6" s="1"/>
  <c r="BY43" i="6"/>
  <c r="BZ43" i="6" s="1"/>
  <c r="BT43" i="6"/>
  <c r="BU43" i="6" s="1"/>
  <c r="BT64" i="6"/>
  <c r="BU64" i="6" s="1"/>
  <c r="BO64" i="6"/>
  <c r="BP64" i="6" s="1"/>
  <c r="BY64" i="6"/>
  <c r="BZ64" i="6" s="1"/>
  <c r="BA551" i="6"/>
  <c r="BY551" i="6"/>
  <c r="BZ551" i="6" s="1"/>
  <c r="BT551" i="6"/>
  <c r="BU551" i="6" s="1"/>
  <c r="BO551" i="6"/>
  <c r="BP551" i="6" s="1"/>
  <c r="BY544" i="6"/>
  <c r="BZ544" i="6" s="1"/>
  <c r="BT544" i="6"/>
  <c r="BU544" i="6" s="1"/>
  <c r="BO544" i="6"/>
  <c r="BP544" i="6" s="1"/>
  <c r="BF539" i="6"/>
  <c r="BY539" i="6"/>
  <c r="BZ539" i="6" s="1"/>
  <c r="BT539" i="6"/>
  <c r="BU539" i="6" s="1"/>
  <c r="BO539" i="6"/>
  <c r="BP539" i="6" s="1"/>
  <c r="BO545" i="6"/>
  <c r="BP545" i="6" s="1"/>
  <c r="BY545" i="6"/>
  <c r="BZ545" i="6" s="1"/>
  <c r="BT545" i="6"/>
  <c r="BU545" i="6" s="1"/>
  <c r="BA540" i="6"/>
  <c r="BY540" i="6"/>
  <c r="BZ540" i="6" s="1"/>
  <c r="BT540" i="6"/>
  <c r="BU540" i="6" s="1"/>
  <c r="BO540" i="6"/>
  <c r="BP540" i="6" s="1"/>
  <c r="BY586" i="6"/>
  <c r="BZ586" i="6" s="1"/>
  <c r="BT586" i="6"/>
  <c r="BU586" i="6" s="1"/>
  <c r="BO586" i="6"/>
  <c r="BP586" i="6" s="1"/>
  <c r="BY555" i="6"/>
  <c r="BZ555" i="6" s="1"/>
  <c r="BT555" i="6"/>
  <c r="BU555" i="6" s="1"/>
  <c r="BO555" i="6"/>
  <c r="BP555" i="6" s="1"/>
  <c r="BZ709" i="9"/>
  <c r="BE45" i="4"/>
  <c r="BA54" i="4"/>
  <c r="BC54" i="4"/>
  <c r="BB54" i="4"/>
  <c r="AW42" i="18"/>
  <c r="R42" i="18"/>
  <c r="AH42" i="18"/>
  <c r="AX42" i="18"/>
  <c r="BN42" i="18"/>
  <c r="T42" i="18"/>
  <c r="AJ42" i="18"/>
  <c r="AZ42" i="18"/>
  <c r="BP42" i="18"/>
  <c r="AY42" i="18"/>
  <c r="M42" i="18"/>
  <c r="AC42" i="18"/>
  <c r="AS42" i="18"/>
  <c r="BI42" i="18"/>
  <c r="AG42" i="18"/>
  <c r="BG42" i="18"/>
  <c r="N42" i="18"/>
  <c r="AD42" i="18"/>
  <c r="AT42" i="18"/>
  <c r="BJ42" i="18"/>
  <c r="G42" i="18"/>
  <c r="W42" i="18"/>
  <c r="AM42" i="18"/>
  <c r="BC42" i="18"/>
  <c r="I42" i="18"/>
  <c r="AO42" i="18"/>
  <c r="S42" i="18"/>
  <c r="AQ42" i="18"/>
  <c r="H42" i="18"/>
  <c r="X42" i="18"/>
  <c r="AN42" i="18"/>
  <c r="BD42" i="18"/>
  <c r="J42" i="18"/>
  <c r="Z42" i="18"/>
  <c r="AP42" i="18"/>
  <c r="BF42" i="18"/>
  <c r="L42" i="18"/>
  <c r="AB42" i="18"/>
  <c r="AR42" i="18"/>
  <c r="BH42" i="18"/>
  <c r="K42" i="18"/>
  <c r="E42" i="18"/>
  <c r="U42" i="18"/>
  <c r="AK42" i="18"/>
  <c r="BA42" i="18"/>
  <c r="Q42" i="18"/>
  <c r="BE42" i="18"/>
  <c r="F42" i="18"/>
  <c r="V42" i="18"/>
  <c r="AL42" i="18"/>
  <c r="BB42" i="18"/>
  <c r="AI42" i="18"/>
  <c r="O42" i="18"/>
  <c r="AE42" i="18"/>
  <c r="AU42" i="18"/>
  <c r="BK42" i="18"/>
  <c r="Y42" i="18"/>
  <c r="BM42" i="18"/>
  <c r="AA42" i="18"/>
  <c r="BO42" i="18"/>
  <c r="P42" i="18"/>
  <c r="AF42" i="18"/>
  <c r="AV42" i="18"/>
  <c r="BL42" i="18"/>
  <c r="AN28" i="4"/>
  <c r="AT54" i="4"/>
  <c r="BA9" i="6"/>
  <c r="AG9" i="6"/>
  <c r="BF9" i="6"/>
  <c r="AQ9" i="6"/>
  <c r="B181" i="8"/>
  <c r="D475" i="11"/>
  <c r="L1003" i="6" s="1"/>
  <c r="D478" i="11"/>
  <c r="L1006" i="6" s="1"/>
  <c r="BA59" i="6"/>
  <c r="AQ59" i="6"/>
  <c r="BF59" i="6"/>
  <c r="AV59" i="6"/>
  <c r="AG59" i="6"/>
  <c r="BD32" i="8"/>
  <c r="AL32" i="8" s="1"/>
  <c r="B96" i="6"/>
  <c r="BF575" i="6"/>
  <c r="BA574" i="6"/>
  <c r="AG574" i="6"/>
  <c r="AV574" i="6"/>
  <c r="AQ574" i="6"/>
  <c r="AQ40" i="6"/>
  <c r="BF581" i="6"/>
  <c r="AQ15" i="6"/>
  <c r="AQ540" i="6"/>
  <c r="AV15" i="6"/>
  <c r="BF564" i="6"/>
  <c r="AQ575" i="6"/>
  <c r="BA577" i="6"/>
  <c r="BF577" i="6"/>
  <c r="AG581" i="6"/>
  <c r="AV79" i="6"/>
  <c r="AG40" i="6"/>
  <c r="AV581" i="6"/>
  <c r="BF19" i="6"/>
  <c r="AV553" i="6"/>
  <c r="BA19" i="6"/>
  <c r="AQ85" i="6"/>
  <c r="BA85" i="6"/>
  <c r="AQ19" i="6"/>
  <c r="AV19" i="6"/>
  <c r="AV544" i="6"/>
  <c r="AG544" i="6"/>
  <c r="BD33" i="8"/>
  <c r="AB33" i="8" s="1"/>
  <c r="BA553" i="6"/>
  <c r="BF553" i="6"/>
  <c r="AG553" i="6"/>
  <c r="AQ553" i="6"/>
  <c r="AQ564" i="6"/>
  <c r="AG577" i="6"/>
  <c r="AV540" i="6"/>
  <c r="AV575" i="6"/>
  <c r="BA15" i="6"/>
  <c r="BA40" i="6"/>
  <c r="AG540" i="6"/>
  <c r="BA564" i="6"/>
  <c r="BF40" i="6"/>
  <c r="BA581" i="6"/>
  <c r="AG564" i="6"/>
  <c r="AV577" i="6"/>
  <c r="BF540" i="6"/>
  <c r="BA575" i="6"/>
  <c r="BF15" i="6"/>
  <c r="AV564" i="6"/>
  <c r="BF79" i="6"/>
  <c r="AQ79" i="6"/>
  <c r="BA79" i="6"/>
  <c r="AG79" i="6"/>
  <c r="AG85" i="6"/>
  <c r="AQ544" i="6"/>
  <c r="BF544" i="6"/>
  <c r="BA544" i="6"/>
  <c r="AV85" i="6"/>
  <c r="BA571" i="6"/>
  <c r="AQ52" i="6"/>
  <c r="BF48" i="6"/>
  <c r="BA554" i="6"/>
  <c r="BF12" i="6"/>
  <c r="AV86" i="6"/>
  <c r="BF554" i="6"/>
  <c r="BF565" i="6"/>
  <c r="AQ571" i="6"/>
  <c r="AQ554" i="6"/>
  <c r="BF548" i="6"/>
  <c r="AV565" i="6"/>
  <c r="AV579" i="6"/>
  <c r="AG548" i="6"/>
  <c r="AG571" i="6"/>
  <c r="BA18" i="6"/>
  <c r="AQ18" i="6"/>
  <c r="BA565" i="6"/>
  <c r="AQ565" i="6"/>
  <c r="AV570" i="6"/>
  <c r="BF570" i="6"/>
  <c r="BA570" i="6"/>
  <c r="AV554" i="6"/>
  <c r="AV571" i="6"/>
  <c r="AV548" i="6"/>
  <c r="AQ548" i="6"/>
  <c r="BA548" i="6"/>
  <c r="BF82" i="6"/>
  <c r="AQ10" i="6"/>
  <c r="BF32" i="6"/>
  <c r="AG554" i="6"/>
  <c r="AG565" i="6"/>
  <c r="AV83" i="6"/>
  <c r="AG570" i="6"/>
  <c r="AG64" i="6"/>
  <c r="AQ33" i="6"/>
  <c r="AG578" i="6"/>
  <c r="BF538" i="6"/>
  <c r="BF69" i="6"/>
  <c r="AV27" i="6"/>
  <c r="BF64" i="6"/>
  <c r="BF30" i="6"/>
  <c r="AQ585" i="6"/>
  <c r="BA587" i="6"/>
  <c r="BA578" i="6"/>
  <c r="AG585" i="6"/>
  <c r="AG587" i="6"/>
  <c r="BA579" i="6"/>
  <c r="BF18" i="6"/>
  <c r="BA586" i="6"/>
  <c r="AQ69" i="6"/>
  <c r="AG579" i="6"/>
  <c r="BF586" i="6"/>
  <c r="BA64" i="6"/>
  <c r="AG30" i="6"/>
  <c r="AQ587" i="6"/>
  <c r="AQ86" i="6"/>
  <c r="BF578" i="6"/>
  <c r="BF579" i="6"/>
  <c r="AV586" i="6"/>
  <c r="AQ30" i="6"/>
  <c r="AV585" i="6"/>
  <c r="AG86" i="6"/>
  <c r="AQ64" i="6"/>
  <c r="AV30" i="6"/>
  <c r="BA585" i="6"/>
  <c r="BF587" i="6"/>
  <c r="BF86" i="6"/>
  <c r="AQ578" i="6"/>
  <c r="AV64" i="6"/>
  <c r="BA86" i="6"/>
  <c r="AQ579" i="6"/>
  <c r="AV81" i="6"/>
  <c r="BA87" i="6"/>
  <c r="AG89" i="6"/>
  <c r="AV62" i="6"/>
  <c r="AV61" i="6"/>
  <c r="BA61" i="6"/>
  <c r="BA57" i="6"/>
  <c r="AQ576" i="6"/>
  <c r="AV57" i="6"/>
  <c r="AQ27" i="6"/>
  <c r="AQ50" i="6"/>
  <c r="AG87" i="6"/>
  <c r="AV80" i="6"/>
  <c r="AG81" i="6"/>
  <c r="BF87" i="6"/>
  <c r="AV89" i="6"/>
  <c r="AV583" i="6"/>
  <c r="BA81" i="6"/>
  <c r="BF89" i="6"/>
  <c r="BA80" i="6"/>
  <c r="BA583" i="6"/>
  <c r="BF81" i="6"/>
  <c r="AV88" i="6"/>
  <c r="AQ89" i="6"/>
  <c r="BF80" i="6"/>
  <c r="AQ81" i="6"/>
  <c r="AG88" i="6"/>
  <c r="BA89" i="6"/>
  <c r="AQ583" i="6"/>
  <c r="BF88" i="6"/>
  <c r="AV87" i="6"/>
  <c r="AQ80" i="6"/>
  <c r="BF583" i="6"/>
  <c r="AQ88" i="6"/>
  <c r="BF71" i="6"/>
  <c r="AQ573" i="6"/>
  <c r="BF559" i="6"/>
  <c r="BA567" i="6"/>
  <c r="BF60" i="6"/>
  <c r="AV557" i="6"/>
  <c r="AG68" i="6"/>
  <c r="AG566" i="6"/>
  <c r="AG569" i="6"/>
  <c r="AQ545" i="6"/>
  <c r="AV543" i="6"/>
  <c r="BA541" i="6"/>
  <c r="BA556" i="6"/>
  <c r="BF542" i="6"/>
  <c r="AG560" i="6"/>
  <c r="BA53" i="6"/>
  <c r="AQ57" i="6"/>
  <c r="BA67" i="6"/>
  <c r="BA13" i="6"/>
  <c r="BA568" i="6"/>
  <c r="AG62" i="6"/>
  <c r="AQ539" i="6"/>
  <c r="AG57" i="6"/>
  <c r="AG27" i="6"/>
  <c r="AV54" i="6"/>
  <c r="BF61" i="6"/>
  <c r="AG13" i="6"/>
  <c r="AQ20" i="6"/>
  <c r="AG576" i="6"/>
  <c r="BF57" i="6"/>
  <c r="BA54" i="6"/>
  <c r="AV13" i="6"/>
  <c r="AG551" i="6"/>
  <c r="BA576" i="6"/>
  <c r="AQ563" i="6"/>
  <c r="BF27" i="6"/>
  <c r="AV547" i="6"/>
  <c r="AG61" i="6"/>
  <c r="BA546" i="6"/>
  <c r="BA62" i="6"/>
  <c r="BA572" i="6"/>
  <c r="BF547" i="6"/>
  <c r="AQ13" i="6"/>
  <c r="AQ62" i="6"/>
  <c r="BF576" i="6"/>
  <c r="AQ572" i="6"/>
  <c r="AV56" i="6"/>
  <c r="BF556" i="6"/>
  <c r="AQ584" i="6"/>
  <c r="BA542" i="6"/>
  <c r="BF560" i="6"/>
  <c r="BA555" i="6"/>
  <c r="BA549" i="6"/>
  <c r="AQ543" i="6"/>
  <c r="AQ560" i="6"/>
  <c r="AQ541" i="6"/>
  <c r="AQ555" i="6"/>
  <c r="AQ12" i="6"/>
  <c r="AG556" i="6"/>
  <c r="AG543" i="6"/>
  <c r="AQ542" i="6"/>
  <c r="AV556" i="6"/>
  <c r="AG584" i="6"/>
  <c r="AV542" i="6"/>
  <c r="BA560" i="6"/>
  <c r="BF541" i="6"/>
  <c r="BF555" i="6"/>
  <c r="AG549" i="6"/>
  <c r="AQ556" i="6"/>
  <c r="BF543" i="6"/>
  <c r="BA584" i="6"/>
  <c r="AV541" i="6"/>
  <c r="AV555" i="6"/>
  <c r="AG12" i="6"/>
  <c r="AQ549" i="6"/>
  <c r="AV584" i="6"/>
  <c r="AG542" i="6"/>
  <c r="AG555" i="6"/>
  <c r="BA12" i="6"/>
  <c r="AV549" i="6"/>
  <c r="AG82" i="6"/>
  <c r="AV14" i="6"/>
  <c r="AG582" i="6"/>
  <c r="BA84" i="6"/>
  <c r="BA538" i="6"/>
  <c r="AV17" i="6"/>
  <c r="AV48" i="6"/>
  <c r="BA580" i="6"/>
  <c r="BA32" i="6"/>
  <c r="BA582" i="6"/>
  <c r="AG11" i="6"/>
  <c r="AQ84" i="6"/>
  <c r="AQ538" i="6"/>
  <c r="BA17" i="6"/>
  <c r="BA10" i="6"/>
  <c r="AQ48" i="6"/>
  <c r="BF52" i="6"/>
  <c r="BF43" i="6"/>
  <c r="AG55" i="6"/>
  <c r="BA14" i="6"/>
  <c r="AG33" i="6"/>
  <c r="AG32" i="6"/>
  <c r="AV582" i="6"/>
  <c r="BA11" i="6"/>
  <c r="AV84" i="6"/>
  <c r="AG538" i="6"/>
  <c r="AQ17" i="6"/>
  <c r="AV10" i="6"/>
  <c r="BA48" i="6"/>
  <c r="AV580" i="6"/>
  <c r="AQ43" i="6"/>
  <c r="BF55" i="6"/>
  <c r="BF14" i="6"/>
  <c r="AV43" i="6"/>
  <c r="AV55" i="6"/>
  <c r="AQ82" i="6"/>
  <c r="AV32" i="6"/>
  <c r="AV11" i="6"/>
  <c r="AG84" i="6"/>
  <c r="BF83" i="6"/>
  <c r="AG17" i="6"/>
  <c r="BF10" i="6"/>
  <c r="AG580" i="6"/>
  <c r="AG14" i="6"/>
  <c r="AV33" i="6"/>
  <c r="BF11" i="6"/>
  <c r="AQ83" i="6"/>
  <c r="AQ580" i="6"/>
  <c r="AV52" i="6"/>
  <c r="AG52" i="6"/>
  <c r="AV36" i="6"/>
  <c r="BA43" i="6"/>
  <c r="BA55" i="6"/>
  <c r="AV82" i="6"/>
  <c r="BA82" i="6"/>
  <c r="BF33" i="6"/>
  <c r="BF582" i="6"/>
  <c r="AQ11" i="6"/>
  <c r="BF84" i="6"/>
  <c r="AG83" i="6"/>
  <c r="BF17" i="6"/>
  <c r="AG10" i="6"/>
  <c r="BF580" i="6"/>
  <c r="AV573" i="6"/>
  <c r="AG559" i="6"/>
  <c r="AV558" i="6"/>
  <c r="BA557" i="6"/>
  <c r="AQ551" i="6"/>
  <c r="AV567" i="6"/>
  <c r="BF550" i="6"/>
  <c r="AQ586" i="6"/>
  <c r="AQ68" i="6"/>
  <c r="AQ558" i="6"/>
  <c r="AG561" i="6"/>
  <c r="AQ60" i="6"/>
  <c r="AG557" i="6"/>
  <c r="AG567" i="6"/>
  <c r="AV550" i="6"/>
  <c r="AV566" i="6"/>
  <c r="AV569" i="6"/>
  <c r="BF68" i="6"/>
  <c r="AG573" i="6"/>
  <c r="AG558" i="6"/>
  <c r="AQ561" i="6"/>
  <c r="AG60" i="6"/>
  <c r="AQ557" i="6"/>
  <c r="AV551" i="6"/>
  <c r="BA550" i="6"/>
  <c r="AV18" i="6"/>
  <c r="AG586" i="6"/>
  <c r="AG69" i="6"/>
  <c r="AV68" i="6"/>
  <c r="BA573" i="6"/>
  <c r="AQ559" i="6"/>
  <c r="BA60" i="6"/>
  <c r="BF551" i="6"/>
  <c r="BF566" i="6"/>
  <c r="AG572" i="6"/>
  <c r="AV69" i="6"/>
  <c r="AG550" i="6"/>
  <c r="AQ569" i="6"/>
  <c r="AV559" i="6"/>
  <c r="BF557" i="6"/>
  <c r="BF573" i="6"/>
  <c r="BA559" i="6"/>
  <c r="BA558" i="6"/>
  <c r="BA561" i="6"/>
  <c r="AV60" i="6"/>
  <c r="BF567" i="6"/>
  <c r="AQ550" i="6"/>
  <c r="AG18" i="6"/>
  <c r="AQ566" i="6"/>
  <c r="AV572" i="6"/>
  <c r="BF569" i="6"/>
  <c r="BA69" i="6"/>
  <c r="AV561" i="6"/>
  <c r="BF67" i="6"/>
  <c r="BF54" i="6"/>
  <c r="BF46" i="6"/>
  <c r="BA34" i="6"/>
  <c r="AV20" i="6"/>
  <c r="AQ568" i="6"/>
  <c r="AG562" i="6"/>
  <c r="AQ552" i="6"/>
  <c r="BA563" i="6"/>
  <c r="AV67" i="6"/>
  <c r="AG545" i="6"/>
  <c r="AG46" i="6"/>
  <c r="AG34" i="6"/>
  <c r="BF20" i="6"/>
  <c r="BF546" i="6"/>
  <c r="AV552" i="6"/>
  <c r="BF563" i="6"/>
  <c r="AQ71" i="6"/>
  <c r="AQ67" i="6"/>
  <c r="AV545" i="6"/>
  <c r="AQ54" i="6"/>
  <c r="AV46" i="6"/>
  <c r="AQ547" i="6"/>
  <c r="AG20" i="6"/>
  <c r="AV47" i="6"/>
  <c r="AG546" i="6"/>
  <c r="BF568" i="6"/>
  <c r="BF562" i="6"/>
  <c r="BA552" i="6"/>
  <c r="BA71" i="6"/>
  <c r="AG67" i="6"/>
  <c r="BA545" i="6"/>
  <c r="AG54" i="6"/>
  <c r="AQ46" i="6"/>
  <c r="AQ34" i="6"/>
  <c r="BF47" i="6"/>
  <c r="AQ562" i="6"/>
  <c r="AG552" i="6"/>
  <c r="AG539" i="6"/>
  <c r="AG71" i="6"/>
  <c r="BF545" i="6"/>
  <c r="BA547" i="6"/>
  <c r="AQ546" i="6"/>
  <c r="AG568" i="6"/>
  <c r="BA562" i="6"/>
  <c r="BF552" i="6"/>
  <c r="AG563" i="6"/>
  <c r="BA539" i="6"/>
  <c r="BA46" i="6"/>
  <c r="AV34" i="6"/>
  <c r="AQ47" i="6"/>
  <c r="BF34" i="6"/>
  <c r="BA47" i="6"/>
  <c r="AV546" i="6"/>
  <c r="AV563" i="6"/>
  <c r="AV539" i="6"/>
  <c r="AV77" i="6"/>
  <c r="BF44" i="6"/>
  <c r="BF16" i="6"/>
  <c r="AG26" i="6"/>
  <c r="AQ42" i="6"/>
  <c r="AG21" i="6"/>
  <c r="AV51" i="6"/>
  <c r="AQ21" i="6"/>
  <c r="BA51" i="6"/>
  <c r="AV21" i="6"/>
  <c r="AV26" i="6"/>
  <c r="AQ51" i="6"/>
  <c r="AQ26" i="6"/>
  <c r="BF51" i="6"/>
  <c r="BA21" i="6"/>
  <c r="BF26" i="6"/>
  <c r="AQ36" i="6"/>
  <c r="BA36" i="6"/>
  <c r="BF36" i="6"/>
  <c r="BF50" i="6"/>
  <c r="AG50" i="6"/>
  <c r="AV50" i="6"/>
  <c r="AQ44" i="6"/>
  <c r="AG77" i="6"/>
  <c r="AQ56" i="6"/>
  <c r="BF77" i="6"/>
  <c r="BA16" i="6"/>
  <c r="BA77" i="6"/>
  <c r="AQ16" i="6"/>
  <c r="BF56" i="6"/>
  <c r="AG44" i="6"/>
  <c r="AG16" i="6"/>
  <c r="BA56" i="6"/>
  <c r="AV16" i="6"/>
  <c r="AV44" i="6"/>
  <c r="AV75" i="6"/>
  <c r="BF75" i="6"/>
  <c r="AQ75" i="6"/>
  <c r="BA75" i="6"/>
  <c r="AG75" i="6"/>
  <c r="BF42" i="6"/>
  <c r="AV42" i="6"/>
  <c r="AG42" i="6"/>
  <c r="AQ53" i="6"/>
  <c r="AV53" i="6"/>
  <c r="BF53" i="6"/>
  <c r="AZ34" i="8"/>
  <c r="BA34" i="8"/>
  <c r="AY34" i="8"/>
  <c r="AV34" i="8"/>
  <c r="G34" i="8"/>
  <c r="BL203" i="9"/>
  <c r="BC203" i="9"/>
  <c r="AV203" i="9"/>
  <c r="BE203" i="9"/>
  <c r="BH203" i="9"/>
  <c r="AY203" i="9"/>
  <c r="BB203" i="9"/>
  <c r="BK203" i="9"/>
  <c r="AU203" i="9"/>
  <c r="AX203" i="9"/>
  <c r="AZ203" i="9"/>
  <c r="BG203" i="9"/>
  <c r="BJ203" i="9"/>
  <c r="BA203" i="9"/>
  <c r="AT203" i="9"/>
  <c r="BD203" i="9"/>
  <c r="BI203" i="9"/>
  <c r="BF203" i="9"/>
  <c r="AW203" i="9"/>
  <c r="BF37" i="6"/>
  <c r="AQ37" i="6"/>
  <c r="AG37" i="6"/>
  <c r="AV37" i="6"/>
  <c r="BA37" i="6"/>
  <c r="BF76" i="6"/>
  <c r="BA76" i="6"/>
  <c r="AV76" i="6"/>
  <c r="AQ76" i="6"/>
  <c r="AG76" i="6"/>
  <c r="AQ58" i="6"/>
  <c r="AG58" i="6"/>
  <c r="AV58" i="6"/>
  <c r="BF58" i="6"/>
  <c r="BA58" i="6"/>
  <c r="AQ73" i="6"/>
  <c r="BF73" i="6"/>
  <c r="AG73" i="6"/>
  <c r="BA73" i="6"/>
  <c r="AV73" i="6"/>
  <c r="BA25" i="6"/>
  <c r="AQ25" i="6"/>
  <c r="AG25" i="6"/>
  <c r="AV25" i="6"/>
  <c r="BF25" i="6"/>
  <c r="BA23" i="6"/>
  <c r="AQ23" i="6"/>
  <c r="AV23" i="6"/>
  <c r="BF23" i="6"/>
  <c r="AG23" i="6"/>
  <c r="AV40" i="8"/>
  <c r="G40" i="8"/>
  <c r="BA40" i="8"/>
  <c r="AY40" i="8"/>
  <c r="AZ40" i="8"/>
  <c r="G540" i="8"/>
  <c r="AY540" i="8"/>
  <c r="BF78" i="6"/>
  <c r="AG78" i="6"/>
  <c r="BA78" i="6"/>
  <c r="AQ78" i="6"/>
  <c r="AV78" i="6"/>
  <c r="BF39" i="6"/>
  <c r="BA39" i="6"/>
  <c r="AQ39" i="6"/>
  <c r="AV39" i="6"/>
  <c r="AG39" i="6"/>
  <c r="AV28" i="6"/>
  <c r="AG28" i="6"/>
  <c r="BF28" i="6"/>
  <c r="BA28" i="6"/>
  <c r="AQ28" i="6"/>
  <c r="BA72" i="6"/>
  <c r="AG72" i="6"/>
  <c r="AV72" i="6"/>
  <c r="AQ72" i="6"/>
  <c r="BF72" i="6"/>
  <c r="BA49" i="6"/>
  <c r="AQ49" i="6"/>
  <c r="AG49" i="6"/>
  <c r="BF49" i="6"/>
  <c r="AV49" i="6"/>
  <c r="AG63" i="6"/>
  <c r="AQ63" i="6"/>
  <c r="AV63" i="6"/>
  <c r="BA63" i="6"/>
  <c r="BF63" i="6"/>
  <c r="BF24" i="6"/>
  <c r="BA24" i="6"/>
  <c r="AG24" i="6"/>
  <c r="AV24" i="6"/>
  <c r="AQ24" i="6"/>
  <c r="AV74" i="6"/>
  <c r="AQ74" i="6"/>
  <c r="AG74" i="6"/>
  <c r="BA74" i="6"/>
  <c r="BF74" i="6"/>
  <c r="BF38" i="6"/>
  <c r="AV38" i="6"/>
  <c r="BA38" i="6"/>
  <c r="AQ38" i="6"/>
  <c r="AG38" i="6"/>
  <c r="BF66" i="6"/>
  <c r="AV66" i="6"/>
  <c r="AG66" i="6"/>
  <c r="AQ66" i="6"/>
  <c r="BA66" i="6"/>
  <c r="AQ45" i="6"/>
  <c r="BA45" i="6"/>
  <c r="AG45" i="6"/>
  <c r="BF45" i="6"/>
  <c r="AV45" i="6"/>
  <c r="AV70" i="6"/>
  <c r="AQ70" i="6"/>
  <c r="BF70" i="6"/>
  <c r="BA70" i="6"/>
  <c r="AG70" i="6"/>
  <c r="BF31" i="6"/>
  <c r="BA31" i="6"/>
  <c r="AQ31" i="6"/>
  <c r="AV31" i="6"/>
  <c r="AG31" i="6"/>
  <c r="BF65" i="6"/>
  <c r="AV65" i="6"/>
  <c r="BA65" i="6"/>
  <c r="AQ65" i="6"/>
  <c r="AG65" i="6"/>
  <c r="BA35" i="6"/>
  <c r="AG35" i="6"/>
  <c r="AV35" i="6"/>
  <c r="BF35" i="6"/>
  <c r="AQ35" i="6"/>
  <c r="AV22" i="6"/>
  <c r="AG22" i="6"/>
  <c r="BA22" i="6"/>
  <c r="BF22" i="6"/>
  <c r="AQ22" i="6"/>
  <c r="AV41" i="6"/>
  <c r="AG41" i="6"/>
  <c r="AQ41" i="6"/>
  <c r="BA41" i="6"/>
  <c r="BF41" i="6"/>
  <c r="BA29" i="6"/>
  <c r="BF29" i="6"/>
  <c r="AQ29" i="6"/>
  <c r="AG29" i="6"/>
  <c r="AV29" i="6"/>
  <c r="BE34" i="4" l="1"/>
  <c r="T852" i="9"/>
  <c r="U852" i="9" s="1"/>
  <c r="V852" i="9" s="1"/>
  <c r="V340" i="9"/>
  <c r="CM340" i="9" s="1"/>
  <c r="AF340" i="9"/>
  <c r="CW340" i="9" s="1"/>
  <c r="AP340" i="9"/>
  <c r="DG340" i="9" s="1"/>
  <c r="AQ340" i="9"/>
  <c r="DH340" i="9" s="1"/>
  <c r="BO422" i="9"/>
  <c r="EF422" i="9" s="1"/>
  <c r="BO348" i="9"/>
  <c r="EF348" i="9" s="1"/>
  <c r="AX576" i="9"/>
  <c r="DO576" i="9" s="1"/>
  <c r="AR412" i="9"/>
  <c r="DI412" i="9" s="1"/>
  <c r="BH412" i="9"/>
  <c r="DY412" i="9" s="1"/>
  <c r="AG340" i="9"/>
  <c r="CX340" i="9" s="1"/>
  <c r="BO587" i="9"/>
  <c r="EF587" i="9" s="1"/>
  <c r="AD341" i="9"/>
  <c r="CU341" i="9" s="1"/>
  <c r="AO410" i="9"/>
  <c r="DF410" i="9" s="1"/>
  <c r="AX587" i="9"/>
  <c r="DO587" i="9" s="1"/>
  <c r="BL587" i="9"/>
  <c r="EC587" i="9" s="1"/>
  <c r="AF339" i="9"/>
  <c r="CW339" i="9" s="1"/>
  <c r="BR339" i="9"/>
  <c r="EI339" i="9" s="1"/>
  <c r="W423" i="9"/>
  <c r="CN423" i="9" s="1"/>
  <c r="AO348" i="9"/>
  <c r="DF348" i="9" s="1"/>
  <c r="BF457" i="9"/>
  <c r="DW457" i="9" s="1"/>
  <c r="AQ575" i="9"/>
  <c r="DH575" i="9" s="1"/>
  <c r="AI576" i="9"/>
  <c r="CZ576" i="9" s="1"/>
  <c r="AN339" i="9"/>
  <c r="DE339" i="9" s="1"/>
  <c r="BK576" i="9"/>
  <c r="EB576" i="9" s="1"/>
  <c r="AT339" i="9"/>
  <c r="DK339" i="9" s="1"/>
  <c r="BN576" i="9"/>
  <c r="EE576" i="9" s="1"/>
  <c r="AA576" i="9"/>
  <c r="CR576" i="9" s="1"/>
  <c r="BB422" i="9"/>
  <c r="DS422" i="9" s="1"/>
  <c r="AO340" i="9"/>
  <c r="DF340" i="9" s="1"/>
  <c r="BN339" i="9"/>
  <c r="EE339" i="9" s="1"/>
  <c r="BE339" i="9"/>
  <c r="DV339" i="9" s="1"/>
  <c r="AN340" i="9"/>
  <c r="DE340" i="9" s="1"/>
  <c r="X339" i="9"/>
  <c r="CO339" i="9" s="1"/>
  <c r="AV339" i="9"/>
  <c r="DM339" i="9" s="1"/>
  <c r="BJ341" i="9"/>
  <c r="EA341" i="9" s="1"/>
  <c r="BF422" i="9"/>
  <c r="DW422" i="9" s="1"/>
  <c r="AM340" i="9"/>
  <c r="DD340" i="9" s="1"/>
  <c r="BB339" i="9"/>
  <c r="DS339" i="9" s="1"/>
  <c r="U406" i="9"/>
  <c r="CL406" i="9" s="1"/>
  <c r="BH340" i="9"/>
  <c r="DY340" i="9" s="1"/>
  <c r="AM339" i="9"/>
  <c r="DD339" i="9" s="1"/>
  <c r="Y422" i="9"/>
  <c r="CP422" i="9" s="1"/>
  <c r="BH422" i="9"/>
  <c r="DY422" i="9" s="1"/>
  <c r="U339" i="9"/>
  <c r="CL339" i="9" s="1"/>
  <c r="AP339" i="9"/>
  <c r="DG339" i="9" s="1"/>
  <c r="Y339" i="9"/>
  <c r="CP339" i="9" s="1"/>
  <c r="AP457" i="9"/>
  <c r="DG457" i="9" s="1"/>
  <c r="X576" i="9"/>
  <c r="CO576" i="9" s="1"/>
  <c r="AO576" i="9"/>
  <c r="DF576" i="9" s="1"/>
  <c r="AD406" i="9"/>
  <c r="CU406" i="9" s="1"/>
  <c r="X422" i="9"/>
  <c r="CO422" i="9" s="1"/>
  <c r="AI339" i="9"/>
  <c r="CZ339" i="9" s="1"/>
  <c r="AQ339" i="9"/>
  <c r="DH339" i="9" s="1"/>
  <c r="BL339" i="9"/>
  <c r="EC339" i="9" s="1"/>
  <c r="U457" i="9"/>
  <c r="CL457" i="9" s="1"/>
  <c r="BF578" i="9"/>
  <c r="DW578" i="9" s="1"/>
  <c r="Z576" i="9"/>
  <c r="CQ576" i="9" s="1"/>
  <c r="AF576" i="9"/>
  <c r="CW576" i="9" s="1"/>
  <c r="BP576" i="9"/>
  <c r="EG576" i="9" s="1"/>
  <c r="BQ339" i="9"/>
  <c r="EH339" i="9" s="1"/>
  <c r="BH339" i="9"/>
  <c r="DY339" i="9" s="1"/>
  <c r="BP339" i="9"/>
  <c r="EG339" i="9" s="1"/>
  <c r="BB576" i="9"/>
  <c r="DS576" i="9" s="1"/>
  <c r="AT576" i="9"/>
  <c r="DK576" i="9" s="1"/>
  <c r="BF576" i="9"/>
  <c r="DW576" i="9" s="1"/>
  <c r="AE339" i="9"/>
  <c r="CV339" i="9" s="1"/>
  <c r="AL339" i="9"/>
  <c r="DC339" i="9" s="1"/>
  <c r="BR576" i="9"/>
  <c r="EI576" i="9" s="1"/>
  <c r="BO576" i="9"/>
  <c r="EF576" i="9" s="1"/>
  <c r="AR576" i="9"/>
  <c r="DI576" i="9" s="1"/>
  <c r="BC340" i="9"/>
  <c r="DT340" i="9" s="1"/>
  <c r="AL576" i="9"/>
  <c r="DC576" i="9" s="1"/>
  <c r="BQ576" i="9"/>
  <c r="EH576" i="9" s="1"/>
  <c r="BG576" i="9"/>
  <c r="DX576" i="9" s="1"/>
  <c r="BL422" i="9"/>
  <c r="EC422" i="9" s="1"/>
  <c r="BL576" i="9"/>
  <c r="EC576" i="9" s="1"/>
  <c r="AC422" i="9"/>
  <c r="CT422" i="9" s="1"/>
  <c r="AT587" i="9"/>
  <c r="DK587" i="9" s="1"/>
  <c r="AE422" i="9"/>
  <c r="CV422" i="9" s="1"/>
  <c r="BN340" i="9"/>
  <c r="EE340" i="9" s="1"/>
  <c r="AR339" i="9"/>
  <c r="DI339" i="9" s="1"/>
  <c r="AO339" i="9"/>
  <c r="DF339" i="9" s="1"/>
  <c r="AD339" i="9"/>
  <c r="CU339" i="9" s="1"/>
  <c r="BE578" i="9"/>
  <c r="DV578" i="9" s="1"/>
  <c r="AL406" i="9"/>
  <c r="DC406" i="9" s="1"/>
  <c r="BQ423" i="9"/>
  <c r="EH423" i="9" s="1"/>
  <c r="BF587" i="9"/>
  <c r="DW587" i="9" s="1"/>
  <c r="AB422" i="9"/>
  <c r="CS422" i="9" s="1"/>
  <c r="X340" i="9"/>
  <c r="CO340" i="9" s="1"/>
  <c r="BD339" i="9"/>
  <c r="DU339" i="9" s="1"/>
  <c r="AB339" i="9"/>
  <c r="CS339" i="9" s="1"/>
  <c r="AR342" i="9"/>
  <c r="DI342" i="9" s="1"/>
  <c r="V406" i="9"/>
  <c r="CM406" i="9" s="1"/>
  <c r="BF340" i="9"/>
  <c r="DW340" i="9" s="1"/>
  <c r="W340" i="9"/>
  <c r="CN340" i="9" s="1"/>
  <c r="BO412" i="9"/>
  <c r="EF412" i="9" s="1"/>
  <c r="AI340" i="9"/>
  <c r="CZ340" i="9" s="1"/>
  <c r="AA339" i="9"/>
  <c r="CR339" i="9" s="1"/>
  <c r="V339" i="9"/>
  <c r="CM339" i="9" s="1"/>
  <c r="AP458" i="9"/>
  <c r="DG458" i="9" s="1"/>
  <c r="AJ339" i="9"/>
  <c r="DA339" i="9" s="1"/>
  <c r="AC339" i="9"/>
  <c r="CT339" i="9" s="1"/>
  <c r="AX457" i="9"/>
  <c r="DO457" i="9" s="1"/>
  <c r="AV423" i="9"/>
  <c r="DM423" i="9" s="1"/>
  <c r="BN423" i="9"/>
  <c r="EE423" i="9" s="1"/>
  <c r="V423" i="9"/>
  <c r="CM423" i="9" s="1"/>
  <c r="BR412" i="9"/>
  <c r="EI412" i="9" s="1"/>
  <c r="BC423" i="9"/>
  <c r="DT423" i="9" s="1"/>
  <c r="AY423" i="9"/>
  <c r="DP423" i="9" s="1"/>
  <c r="AH423" i="9"/>
  <c r="CY423" i="9" s="1"/>
  <c r="AS578" i="9"/>
  <c r="DJ578" i="9" s="1"/>
  <c r="U578" i="9"/>
  <c r="CL578" i="9" s="1"/>
  <c r="BB578" i="9"/>
  <c r="DS578" i="9" s="1"/>
  <c r="AT578" i="9"/>
  <c r="DK578" i="9" s="1"/>
  <c r="AI419" i="9"/>
  <c r="CZ419" i="9" s="1"/>
  <c r="BI578" i="9"/>
  <c r="DZ578" i="9" s="1"/>
  <c r="BO578" i="9"/>
  <c r="EF578" i="9" s="1"/>
  <c r="AO419" i="9"/>
  <c r="DF419" i="9" s="1"/>
  <c r="AI578" i="9"/>
  <c r="CZ578" i="9" s="1"/>
  <c r="Y578" i="9"/>
  <c r="CP578" i="9" s="1"/>
  <c r="AT419" i="9"/>
  <c r="DK419" i="9" s="1"/>
  <c r="AZ578" i="9"/>
  <c r="DQ578" i="9" s="1"/>
  <c r="W578" i="9"/>
  <c r="CN578" i="9" s="1"/>
  <c r="AB419" i="9"/>
  <c r="CS419" i="9" s="1"/>
  <c r="V351" i="9"/>
  <c r="CM351" i="9" s="1"/>
  <c r="Z578" i="9"/>
  <c r="CQ578" i="9" s="1"/>
  <c r="BN578" i="9"/>
  <c r="EE578" i="9" s="1"/>
  <c r="BL419" i="9"/>
  <c r="EC419" i="9" s="1"/>
  <c r="BF419" i="9"/>
  <c r="DW419" i="9" s="1"/>
  <c r="AT351" i="9"/>
  <c r="DK351" i="9" s="1"/>
  <c r="AQ578" i="9"/>
  <c r="DH578" i="9" s="1"/>
  <c r="BL578" i="9"/>
  <c r="EC578" i="9" s="1"/>
  <c r="L419" i="9"/>
  <c r="CC419" i="9" s="1"/>
  <c r="BB419" i="9"/>
  <c r="DS419" i="9" s="1"/>
  <c r="BH419" i="9"/>
  <c r="DY419" i="9" s="1"/>
  <c r="AJ578" i="9"/>
  <c r="DA578" i="9" s="1"/>
  <c r="AY578" i="9"/>
  <c r="DP578" i="9" s="1"/>
  <c r="BK419" i="9"/>
  <c r="EB419" i="9" s="1"/>
  <c r="AL578" i="9"/>
  <c r="DC578" i="9" s="1"/>
  <c r="R419" i="9"/>
  <c r="CI419" i="9" s="1"/>
  <c r="BR351" i="9"/>
  <c r="EI351" i="9" s="1"/>
  <c r="BE351" i="9"/>
  <c r="DV351" i="9" s="1"/>
  <c r="AI351" i="9"/>
  <c r="CZ351" i="9" s="1"/>
  <c r="BO351" i="9"/>
  <c r="EF351" i="9" s="1"/>
  <c r="AR351" i="9"/>
  <c r="DI351" i="9" s="1"/>
  <c r="U351" i="9"/>
  <c r="CL351" i="9" s="1"/>
  <c r="BQ351" i="9"/>
  <c r="EH351" i="9" s="1"/>
  <c r="X351" i="9"/>
  <c r="CO351" i="9" s="1"/>
  <c r="AV351" i="9"/>
  <c r="DM351" i="9" s="1"/>
  <c r="BL351" i="9"/>
  <c r="EC351" i="9" s="1"/>
  <c r="AP351" i="9"/>
  <c r="DG351" i="9" s="1"/>
  <c r="BN351" i="9"/>
  <c r="EE351" i="9" s="1"/>
  <c r="AD351" i="9"/>
  <c r="CU351" i="9" s="1"/>
  <c r="AL351" i="9"/>
  <c r="DC351" i="9" s="1"/>
  <c r="AQ351" i="9"/>
  <c r="DH351" i="9" s="1"/>
  <c r="AB351" i="9"/>
  <c r="CS351" i="9" s="1"/>
  <c r="BH351" i="9"/>
  <c r="DY351" i="9" s="1"/>
  <c r="AC351" i="9"/>
  <c r="CT351" i="9" s="1"/>
  <c r="AE351" i="9"/>
  <c r="CV351" i="9" s="1"/>
  <c r="AF351" i="9"/>
  <c r="CW351" i="9" s="1"/>
  <c r="BD351" i="9"/>
  <c r="DU351" i="9" s="1"/>
  <c r="AO351" i="9"/>
  <c r="DF351" i="9" s="1"/>
  <c r="Y351" i="9"/>
  <c r="CP351" i="9" s="1"/>
  <c r="BB351" i="9"/>
  <c r="DS351" i="9" s="1"/>
  <c r="AA351" i="9"/>
  <c r="CR351" i="9" s="1"/>
  <c r="AJ351" i="9"/>
  <c r="DA351" i="9" s="1"/>
  <c r="BP351" i="9"/>
  <c r="EG351" i="9" s="1"/>
  <c r="AM351" i="9"/>
  <c r="DD351" i="9" s="1"/>
  <c r="AN351" i="9"/>
  <c r="DE351" i="9" s="1"/>
  <c r="AL471" i="9"/>
  <c r="DC471" i="9" s="1"/>
  <c r="R416" i="9"/>
  <c r="CI416" i="9" s="1"/>
  <c r="P416" i="9"/>
  <c r="CG416" i="9" s="1"/>
  <c r="Q416" i="9"/>
  <c r="CH416" i="9" s="1"/>
  <c r="L416" i="9"/>
  <c r="CC416" i="9" s="1"/>
  <c r="L344" i="9"/>
  <c r="CC344" i="9" s="1"/>
  <c r="Q344" i="9"/>
  <c r="CH344" i="9" s="1"/>
  <c r="O344" i="9"/>
  <c r="CF344" i="9" s="1"/>
  <c r="T344" i="9"/>
  <c r="CK344" i="9" s="1"/>
  <c r="R344" i="9"/>
  <c r="CI344" i="9" s="1"/>
  <c r="S347" i="9"/>
  <c r="CJ347" i="9" s="1"/>
  <c r="N347" i="9"/>
  <c r="CE347" i="9" s="1"/>
  <c r="K337" i="9"/>
  <c r="CB337" i="9" s="1"/>
  <c r="Q337" i="9"/>
  <c r="CH337" i="9" s="1"/>
  <c r="S589" i="9"/>
  <c r="CJ589" i="9" s="1"/>
  <c r="L589" i="9"/>
  <c r="CC589" i="9" s="1"/>
  <c r="V342" i="9"/>
  <c r="CM342" i="9" s="1"/>
  <c r="AN342" i="9"/>
  <c r="DE342" i="9" s="1"/>
  <c r="W342" i="9"/>
  <c r="CN342" i="9" s="1"/>
  <c r="AM350" i="9"/>
  <c r="DD350" i="9" s="1"/>
  <c r="BD342" i="9"/>
  <c r="DU342" i="9" s="1"/>
  <c r="P337" i="9"/>
  <c r="CG337" i="9" s="1"/>
  <c r="AT350" i="9"/>
  <c r="DK350" i="9" s="1"/>
  <c r="AI342" i="9"/>
  <c r="CZ342" i="9" s="1"/>
  <c r="BO342" i="9"/>
  <c r="EF342" i="9" s="1"/>
  <c r="BB342" i="9"/>
  <c r="DS342" i="9" s="1"/>
  <c r="AL342" i="9"/>
  <c r="DC342" i="9" s="1"/>
  <c r="AM333" i="9"/>
  <c r="DD333" i="9" s="1"/>
  <c r="AY342" i="9"/>
  <c r="DP342" i="9" s="1"/>
  <c r="AX342" i="9"/>
  <c r="DO342" i="9" s="1"/>
  <c r="AO342" i="9"/>
  <c r="DF342" i="9" s="1"/>
  <c r="BR342" i="9"/>
  <c r="EI342" i="9" s="1"/>
  <c r="Y342" i="9"/>
  <c r="CP342" i="9" s="1"/>
  <c r="AF342" i="9"/>
  <c r="CW342" i="9" s="1"/>
  <c r="BI575" i="9"/>
  <c r="DZ575" i="9" s="1"/>
  <c r="AB342" i="9"/>
  <c r="CS342" i="9" s="1"/>
  <c r="AJ342" i="9"/>
  <c r="DA342" i="9" s="1"/>
  <c r="AT342" i="9"/>
  <c r="DK342" i="9" s="1"/>
  <c r="AA342" i="9"/>
  <c r="CR342" i="9" s="1"/>
  <c r="BQ342" i="9"/>
  <c r="EH342" i="9" s="1"/>
  <c r="BL342" i="9"/>
  <c r="EC342" i="9" s="1"/>
  <c r="AQ342" i="9"/>
  <c r="DH342" i="9" s="1"/>
  <c r="AP342" i="9"/>
  <c r="DG342" i="9" s="1"/>
  <c r="AC342" i="9"/>
  <c r="CT342" i="9" s="1"/>
  <c r="AV342" i="9"/>
  <c r="DM342" i="9" s="1"/>
  <c r="BN342" i="9"/>
  <c r="EE342" i="9" s="1"/>
  <c r="U342" i="9"/>
  <c r="CL342" i="9" s="1"/>
  <c r="AM342" i="9"/>
  <c r="DD342" i="9" s="1"/>
  <c r="AD342" i="9"/>
  <c r="CU342" i="9" s="1"/>
  <c r="X342" i="9"/>
  <c r="CO342" i="9" s="1"/>
  <c r="AZ342" i="9"/>
  <c r="DQ342" i="9" s="1"/>
  <c r="AE342" i="9"/>
  <c r="CV342" i="9" s="1"/>
  <c r="BH342" i="9"/>
  <c r="DY342" i="9" s="1"/>
  <c r="BP342" i="9"/>
  <c r="EG342" i="9" s="1"/>
  <c r="BE342" i="9"/>
  <c r="DV342" i="9" s="1"/>
  <c r="BJ342" i="9"/>
  <c r="EA342" i="9" s="1"/>
  <c r="W575" i="9"/>
  <c r="CN575" i="9" s="1"/>
  <c r="AT575" i="9"/>
  <c r="DK575" i="9" s="1"/>
  <c r="AQ346" i="9"/>
  <c r="DH346" i="9" s="1"/>
  <c r="BK575" i="9"/>
  <c r="EB575" i="9" s="1"/>
  <c r="AN346" i="9"/>
  <c r="DE346" i="9" s="1"/>
  <c r="AX575" i="9"/>
  <c r="DO575" i="9" s="1"/>
  <c r="AJ575" i="9"/>
  <c r="DA575" i="9" s="1"/>
  <c r="Z575" i="9"/>
  <c r="CQ575" i="9" s="1"/>
  <c r="BE575" i="9"/>
  <c r="DV575" i="9" s="1"/>
  <c r="BO575" i="9"/>
  <c r="EF575" i="9" s="1"/>
  <c r="AF587" i="9"/>
  <c r="CW587" i="9" s="1"/>
  <c r="AL587" i="9"/>
  <c r="DC587" i="9" s="1"/>
  <c r="BP587" i="9"/>
  <c r="EG587" i="9" s="1"/>
  <c r="BI587" i="9"/>
  <c r="DZ587" i="9" s="1"/>
  <c r="AP587" i="9"/>
  <c r="DG587" i="9" s="1"/>
  <c r="X587" i="9"/>
  <c r="CO587" i="9" s="1"/>
  <c r="BH587" i="9"/>
  <c r="DY587" i="9" s="1"/>
  <c r="AS587" i="9"/>
  <c r="DJ587" i="9" s="1"/>
  <c r="Z587" i="9"/>
  <c r="CQ587" i="9" s="1"/>
  <c r="BK587" i="9"/>
  <c r="EB587" i="9" s="1"/>
  <c r="BG587" i="9"/>
  <c r="DX587" i="9" s="1"/>
  <c r="BK342" i="9"/>
  <c r="EB342" i="9" s="1"/>
  <c r="L342" i="9"/>
  <c r="CC342" i="9" s="1"/>
  <c r="K342" i="9"/>
  <c r="CB342" i="9" s="1"/>
  <c r="P342" i="9"/>
  <c r="CG342" i="9" s="1"/>
  <c r="R342" i="9"/>
  <c r="CI342" i="9" s="1"/>
  <c r="S342" i="9"/>
  <c r="CJ342" i="9" s="1"/>
  <c r="N342" i="9"/>
  <c r="CE342" i="9" s="1"/>
  <c r="M342" i="9"/>
  <c r="CD342" i="9" s="1"/>
  <c r="O342" i="9"/>
  <c r="CF342" i="9" s="1"/>
  <c r="Q342" i="9"/>
  <c r="CH342" i="9" s="1"/>
  <c r="T342" i="9"/>
  <c r="CK342" i="9" s="1"/>
  <c r="BC351" i="9"/>
  <c r="DT351" i="9" s="1"/>
  <c r="R351" i="9"/>
  <c r="CI351" i="9" s="1"/>
  <c r="K351" i="9"/>
  <c r="CB351" i="9" s="1"/>
  <c r="T351" i="9"/>
  <c r="CK351" i="9" s="1"/>
  <c r="L351" i="9"/>
  <c r="CC351" i="9" s="1"/>
  <c r="S351" i="9"/>
  <c r="CJ351" i="9" s="1"/>
  <c r="N351" i="9"/>
  <c r="CE351" i="9" s="1"/>
  <c r="Q351" i="9"/>
  <c r="CH351" i="9" s="1"/>
  <c r="M351" i="9"/>
  <c r="CD351" i="9" s="1"/>
  <c r="P351" i="9"/>
  <c r="CG351" i="9" s="1"/>
  <c r="O351" i="9"/>
  <c r="CF351" i="9" s="1"/>
  <c r="AB410" i="9"/>
  <c r="CS410" i="9" s="1"/>
  <c r="Q410" i="9"/>
  <c r="CH410" i="9" s="1"/>
  <c r="R410" i="9"/>
  <c r="CI410" i="9" s="1"/>
  <c r="S410" i="9"/>
  <c r="CJ410" i="9" s="1"/>
  <c r="P410" i="9"/>
  <c r="CG410" i="9" s="1"/>
  <c r="T410" i="9"/>
  <c r="CK410" i="9" s="1"/>
  <c r="L410" i="9"/>
  <c r="CC410" i="9" s="1"/>
  <c r="N410" i="9"/>
  <c r="CE410" i="9" s="1"/>
  <c r="M410" i="9"/>
  <c r="CD410" i="9" s="1"/>
  <c r="S419" i="9"/>
  <c r="CJ419" i="9" s="1"/>
  <c r="P419" i="9"/>
  <c r="CG419" i="9" s="1"/>
  <c r="O419" i="9"/>
  <c r="CF419" i="9" s="1"/>
  <c r="M419" i="9"/>
  <c r="CD419" i="9" s="1"/>
  <c r="Q419" i="9"/>
  <c r="CH419" i="9" s="1"/>
  <c r="T419" i="9"/>
  <c r="CK419" i="9" s="1"/>
  <c r="N419" i="9"/>
  <c r="CE419" i="9" s="1"/>
  <c r="O406" i="9"/>
  <c r="CF406" i="9" s="1"/>
  <c r="P406" i="9"/>
  <c r="CG406" i="9" s="1"/>
  <c r="Q406" i="9"/>
  <c r="CH406" i="9" s="1"/>
  <c r="T406" i="9"/>
  <c r="CK406" i="9" s="1"/>
  <c r="R406" i="9"/>
  <c r="CI406" i="9" s="1"/>
  <c r="L406" i="9"/>
  <c r="CC406" i="9" s="1"/>
  <c r="M406" i="9"/>
  <c r="CD406" i="9" s="1"/>
  <c r="S406" i="9"/>
  <c r="CJ406" i="9" s="1"/>
  <c r="N406" i="9"/>
  <c r="CE406" i="9" s="1"/>
  <c r="AW414" i="9"/>
  <c r="DN414" i="9" s="1"/>
  <c r="P414" i="9"/>
  <c r="CG414" i="9" s="1"/>
  <c r="S414" i="9"/>
  <c r="CJ414" i="9" s="1"/>
  <c r="Q412" i="9"/>
  <c r="CH412" i="9" s="1"/>
  <c r="M412" i="9"/>
  <c r="CD412" i="9" s="1"/>
  <c r="N412" i="9"/>
  <c r="CE412" i="9" s="1"/>
  <c r="S412" i="9"/>
  <c r="CJ412" i="9" s="1"/>
  <c r="O412" i="9"/>
  <c r="CF412" i="9" s="1"/>
  <c r="L412" i="9"/>
  <c r="CC412" i="9" s="1"/>
  <c r="R412" i="9"/>
  <c r="CI412" i="9" s="1"/>
  <c r="P412" i="9"/>
  <c r="CG412" i="9" s="1"/>
  <c r="AV420" i="9"/>
  <c r="DM420" i="9" s="1"/>
  <c r="R420" i="9"/>
  <c r="CI420" i="9" s="1"/>
  <c r="L420" i="9"/>
  <c r="CC420" i="9" s="1"/>
  <c r="AT423" i="9"/>
  <c r="DK423" i="9" s="1"/>
  <c r="S423" i="9"/>
  <c r="CJ423" i="9" s="1"/>
  <c r="Q423" i="9"/>
  <c r="CH423" i="9" s="1"/>
  <c r="O423" i="9"/>
  <c r="CF423" i="9" s="1"/>
  <c r="M423" i="9"/>
  <c r="CD423" i="9" s="1"/>
  <c r="T423" i="9"/>
  <c r="CK423" i="9" s="1"/>
  <c r="P423" i="9"/>
  <c r="CG423" i="9" s="1"/>
  <c r="R423" i="9"/>
  <c r="CI423" i="9" s="1"/>
  <c r="N423" i="9"/>
  <c r="CE423" i="9" s="1"/>
  <c r="L423" i="9"/>
  <c r="CC423" i="9" s="1"/>
  <c r="AR422" i="9"/>
  <c r="DI422" i="9" s="1"/>
  <c r="R422" i="9"/>
  <c r="CI422" i="9" s="1"/>
  <c r="T422" i="9"/>
  <c r="CK422" i="9" s="1"/>
  <c r="P422" i="9"/>
  <c r="CG422" i="9" s="1"/>
  <c r="N422" i="9"/>
  <c r="CE422" i="9" s="1"/>
  <c r="M422" i="9"/>
  <c r="CD422" i="9" s="1"/>
  <c r="L422" i="9"/>
  <c r="CC422" i="9" s="1"/>
  <c r="Q422" i="9"/>
  <c r="CH422" i="9" s="1"/>
  <c r="O422" i="9"/>
  <c r="CF422" i="9" s="1"/>
  <c r="S422" i="9"/>
  <c r="CJ422" i="9" s="1"/>
  <c r="BM417" i="9"/>
  <c r="ED417" i="9" s="1"/>
  <c r="S417" i="9"/>
  <c r="CJ417" i="9" s="1"/>
  <c r="R417" i="9"/>
  <c r="CI417" i="9" s="1"/>
  <c r="M417" i="9"/>
  <c r="CD417" i="9" s="1"/>
  <c r="T417" i="9"/>
  <c r="CK417" i="9" s="1"/>
  <c r="BD336" i="9"/>
  <c r="DU336" i="9" s="1"/>
  <c r="M336" i="9"/>
  <c r="CD336" i="9" s="1"/>
  <c r="T348" i="9"/>
  <c r="CK348" i="9" s="1"/>
  <c r="S348" i="9"/>
  <c r="CJ348" i="9" s="1"/>
  <c r="R348" i="9"/>
  <c r="CI348" i="9" s="1"/>
  <c r="M348" i="9"/>
  <c r="CD348" i="9" s="1"/>
  <c r="P348" i="9"/>
  <c r="CG348" i="9" s="1"/>
  <c r="N348" i="9"/>
  <c r="CE348" i="9" s="1"/>
  <c r="Q348" i="9"/>
  <c r="CH348" i="9" s="1"/>
  <c r="O348" i="9"/>
  <c r="CF348" i="9" s="1"/>
  <c r="O339" i="9"/>
  <c r="CF339" i="9" s="1"/>
  <c r="M339" i="9"/>
  <c r="CD339" i="9" s="1"/>
  <c r="R339" i="9"/>
  <c r="CI339" i="9" s="1"/>
  <c r="S339" i="9"/>
  <c r="CJ339" i="9" s="1"/>
  <c r="N339" i="9"/>
  <c r="CE339" i="9" s="1"/>
  <c r="Q339" i="9"/>
  <c r="CH339" i="9" s="1"/>
  <c r="T339" i="9"/>
  <c r="CK339" i="9" s="1"/>
  <c r="P339" i="9"/>
  <c r="CG339" i="9" s="1"/>
  <c r="K340" i="9"/>
  <c r="CB340" i="9" s="1"/>
  <c r="L340" i="9"/>
  <c r="CC340" i="9" s="1"/>
  <c r="R340" i="9"/>
  <c r="CI340" i="9" s="1"/>
  <c r="Q340" i="9"/>
  <c r="CH340" i="9" s="1"/>
  <c r="N340" i="9"/>
  <c r="CE340" i="9" s="1"/>
  <c r="P340" i="9"/>
  <c r="CG340" i="9" s="1"/>
  <c r="O340" i="9"/>
  <c r="CF340" i="9" s="1"/>
  <c r="S340" i="9"/>
  <c r="CJ340" i="9" s="1"/>
  <c r="M340" i="9"/>
  <c r="CD340" i="9" s="1"/>
  <c r="T340" i="9"/>
  <c r="CK340" i="9" s="1"/>
  <c r="AF341" i="9"/>
  <c r="CW341" i="9" s="1"/>
  <c r="N341" i="9"/>
  <c r="CE341" i="9" s="1"/>
  <c r="Q341" i="9"/>
  <c r="CH341" i="9" s="1"/>
  <c r="R341" i="9"/>
  <c r="CI341" i="9" s="1"/>
  <c r="BO333" i="9"/>
  <c r="EF333" i="9" s="1"/>
  <c r="S333" i="9"/>
  <c r="CJ333" i="9" s="1"/>
  <c r="M459" i="9"/>
  <c r="CD459" i="9" s="1"/>
  <c r="R459" i="9"/>
  <c r="CI459" i="9" s="1"/>
  <c r="T459" i="9"/>
  <c r="CK459" i="9" s="1"/>
  <c r="P585" i="9"/>
  <c r="CG585" i="9" s="1"/>
  <c r="L585" i="9"/>
  <c r="CC585" i="9" s="1"/>
  <c r="K585" i="9"/>
  <c r="CB585" i="9" s="1"/>
  <c r="N585" i="9"/>
  <c r="CE585" i="9" s="1"/>
  <c r="O585" i="9"/>
  <c r="CF585" i="9" s="1"/>
  <c r="T585" i="9"/>
  <c r="CK585" i="9" s="1"/>
  <c r="R585" i="9"/>
  <c r="CI585" i="9" s="1"/>
  <c r="Q585" i="9"/>
  <c r="CH585" i="9" s="1"/>
  <c r="S585" i="9"/>
  <c r="CJ585" i="9" s="1"/>
  <c r="M585" i="9"/>
  <c r="CD585" i="9" s="1"/>
  <c r="P583" i="9"/>
  <c r="CG583" i="9" s="1"/>
  <c r="M583" i="9"/>
  <c r="CD583" i="9" s="1"/>
  <c r="S583" i="9"/>
  <c r="CJ583" i="9" s="1"/>
  <c r="R583" i="9"/>
  <c r="CI583" i="9" s="1"/>
  <c r="K583" i="9"/>
  <c r="CB583" i="9" s="1"/>
  <c r="N583" i="9"/>
  <c r="CE583" i="9" s="1"/>
  <c r="L583" i="9"/>
  <c r="CC583" i="9" s="1"/>
  <c r="O583" i="9"/>
  <c r="CF583" i="9" s="1"/>
  <c r="T583" i="9"/>
  <c r="CK583" i="9" s="1"/>
  <c r="Q583" i="9"/>
  <c r="CH583" i="9" s="1"/>
  <c r="P576" i="9"/>
  <c r="CG576" i="9" s="1"/>
  <c r="N576" i="9"/>
  <c r="CE576" i="9" s="1"/>
  <c r="M576" i="9"/>
  <c r="CD576" i="9" s="1"/>
  <c r="O576" i="9"/>
  <c r="CF576" i="9" s="1"/>
  <c r="S576" i="9"/>
  <c r="CJ576" i="9" s="1"/>
  <c r="K576" i="9"/>
  <c r="CB576" i="9" s="1"/>
  <c r="T576" i="9"/>
  <c r="CK576" i="9" s="1"/>
  <c r="R576" i="9"/>
  <c r="CI576" i="9" s="1"/>
  <c r="Q576" i="9"/>
  <c r="CH576" i="9" s="1"/>
  <c r="L576" i="9"/>
  <c r="CC576" i="9" s="1"/>
  <c r="N588" i="9"/>
  <c r="CE588" i="9" s="1"/>
  <c r="Q588" i="9"/>
  <c r="CH588" i="9" s="1"/>
  <c r="M588" i="9"/>
  <c r="CD588" i="9" s="1"/>
  <c r="S588" i="9"/>
  <c r="CJ588" i="9" s="1"/>
  <c r="K588" i="9"/>
  <c r="CB588" i="9" s="1"/>
  <c r="T588" i="9"/>
  <c r="CK588" i="9" s="1"/>
  <c r="O588" i="9"/>
  <c r="CF588" i="9" s="1"/>
  <c r="R588" i="9"/>
  <c r="CI588" i="9" s="1"/>
  <c r="L588" i="9"/>
  <c r="CC588" i="9" s="1"/>
  <c r="S579" i="9"/>
  <c r="CJ579" i="9" s="1"/>
  <c r="L579" i="9"/>
  <c r="CC579" i="9" s="1"/>
  <c r="T587" i="9"/>
  <c r="CK587" i="9" s="1"/>
  <c r="K587" i="9"/>
  <c r="CB587" i="9" s="1"/>
  <c r="M587" i="9"/>
  <c r="CD587" i="9" s="1"/>
  <c r="AA587" i="9"/>
  <c r="CR587" i="9" s="1"/>
  <c r="S587" i="9"/>
  <c r="CJ587" i="9" s="1"/>
  <c r="R587" i="9"/>
  <c r="CI587" i="9" s="1"/>
  <c r="N587" i="9"/>
  <c r="CE587" i="9" s="1"/>
  <c r="O587" i="9"/>
  <c r="CF587" i="9" s="1"/>
  <c r="L587" i="9"/>
  <c r="CC587" i="9" s="1"/>
  <c r="Q587" i="9"/>
  <c r="CH587" i="9" s="1"/>
  <c r="S575" i="9"/>
  <c r="CJ575" i="9" s="1"/>
  <c r="M575" i="9"/>
  <c r="CD575" i="9" s="1"/>
  <c r="N575" i="9"/>
  <c r="CE575" i="9" s="1"/>
  <c r="L575" i="9"/>
  <c r="CC575" i="9" s="1"/>
  <c r="O575" i="9"/>
  <c r="CF575" i="9" s="1"/>
  <c r="Q575" i="9"/>
  <c r="CH575" i="9" s="1"/>
  <c r="R575" i="9"/>
  <c r="CI575" i="9" s="1"/>
  <c r="T575" i="9"/>
  <c r="CK575" i="9" s="1"/>
  <c r="P578" i="9"/>
  <c r="CG578" i="9" s="1"/>
  <c r="Q578" i="9"/>
  <c r="CH578" i="9" s="1"/>
  <c r="O578" i="9"/>
  <c r="CF578" i="9" s="1"/>
  <c r="N578" i="9"/>
  <c r="CE578" i="9" s="1"/>
  <c r="K578" i="9"/>
  <c r="CB578" i="9" s="1"/>
  <c r="S578" i="9"/>
  <c r="CJ578" i="9" s="1"/>
  <c r="M578" i="9"/>
  <c r="CD578" i="9" s="1"/>
  <c r="T578" i="9"/>
  <c r="CK578" i="9" s="1"/>
  <c r="L578" i="9"/>
  <c r="CC578" i="9" s="1"/>
  <c r="R578" i="9"/>
  <c r="CI578" i="9" s="1"/>
  <c r="P586" i="9"/>
  <c r="CG586" i="9" s="1"/>
  <c r="N586" i="9"/>
  <c r="CE586" i="9" s="1"/>
  <c r="M586" i="9"/>
  <c r="CD586" i="9" s="1"/>
  <c r="K586" i="9"/>
  <c r="CB586" i="9" s="1"/>
  <c r="O586" i="9"/>
  <c r="CF586" i="9" s="1"/>
  <c r="T586" i="9"/>
  <c r="CK586" i="9" s="1"/>
  <c r="L586" i="9"/>
  <c r="CC586" i="9" s="1"/>
  <c r="R586" i="9"/>
  <c r="CI586" i="9" s="1"/>
  <c r="S586" i="9"/>
  <c r="CJ586" i="9" s="1"/>
  <c r="Q586" i="9"/>
  <c r="CH586" i="9" s="1"/>
  <c r="BE587" i="9"/>
  <c r="DV587" i="9" s="1"/>
  <c r="BC587" i="9"/>
  <c r="DT587" i="9" s="1"/>
  <c r="AJ587" i="9"/>
  <c r="DA587" i="9" s="1"/>
  <c r="AR587" i="9"/>
  <c r="DI587" i="9" s="1"/>
  <c r="AO587" i="9"/>
  <c r="DF587" i="9" s="1"/>
  <c r="BR587" i="9"/>
  <c r="EI587" i="9" s="1"/>
  <c r="AI587" i="9"/>
  <c r="CZ587" i="9" s="1"/>
  <c r="N461" i="9"/>
  <c r="CE461" i="9" s="1"/>
  <c r="L461" i="9"/>
  <c r="CC461" i="9" s="1"/>
  <c r="AL419" i="9"/>
  <c r="DC419" i="9" s="1"/>
  <c r="BQ419" i="9"/>
  <c r="EH419" i="9" s="1"/>
  <c r="AU348" i="9"/>
  <c r="DL348" i="9" s="1"/>
  <c r="K348" i="9"/>
  <c r="CB348" i="9" s="1"/>
  <c r="L339" i="9"/>
  <c r="CC339" i="9" s="1"/>
  <c r="K339" i="9"/>
  <c r="CB339" i="9" s="1"/>
  <c r="AT459" i="9"/>
  <c r="DK459" i="9" s="1"/>
  <c r="O459" i="9"/>
  <c r="CF459" i="9" s="1"/>
  <c r="BD464" i="9"/>
  <c r="DU464" i="9" s="1"/>
  <c r="R464" i="9"/>
  <c r="CI464" i="9" s="1"/>
  <c r="AE453" i="9"/>
  <c r="CV453" i="9" s="1"/>
  <c r="P453" i="9"/>
  <c r="CG453" i="9" s="1"/>
  <c r="Y588" i="9"/>
  <c r="CP588" i="9" s="1"/>
  <c r="AT588" i="9"/>
  <c r="DK588" i="9" s="1"/>
  <c r="BP588" i="9"/>
  <c r="EG588" i="9" s="1"/>
  <c r="P588" i="9"/>
  <c r="CG588" i="9" s="1"/>
  <c r="AG587" i="9"/>
  <c r="CX587" i="9" s="1"/>
  <c r="BJ587" i="9"/>
  <c r="EA587" i="9" s="1"/>
  <c r="AZ587" i="9"/>
  <c r="DQ587" i="9" s="1"/>
  <c r="W587" i="9"/>
  <c r="CN587" i="9" s="1"/>
  <c r="BN587" i="9"/>
  <c r="EE587" i="9" s="1"/>
  <c r="Y587" i="9"/>
  <c r="CP587" i="9" s="1"/>
  <c r="AQ587" i="9"/>
  <c r="DH587" i="9" s="1"/>
  <c r="BQ587" i="9"/>
  <c r="EH587" i="9" s="1"/>
  <c r="U587" i="9"/>
  <c r="CL587" i="9" s="1"/>
  <c r="BB587" i="9"/>
  <c r="DS587" i="9" s="1"/>
  <c r="P587" i="9"/>
  <c r="CG587" i="9" s="1"/>
  <c r="AL575" i="9"/>
  <c r="DC575" i="9" s="1"/>
  <c r="P575" i="9"/>
  <c r="CG575" i="9" s="1"/>
  <c r="N457" i="9"/>
  <c r="CE457" i="9" s="1"/>
  <c r="T457" i="9"/>
  <c r="CK457" i="9" s="1"/>
  <c r="M326" i="9"/>
  <c r="CD326" i="9" s="1"/>
  <c r="O326" i="9"/>
  <c r="CF326" i="9" s="1"/>
  <c r="N326" i="9"/>
  <c r="CE326" i="9" s="1"/>
  <c r="P326" i="9"/>
  <c r="CG326" i="9" s="1"/>
  <c r="S326" i="9"/>
  <c r="CJ326" i="9" s="1"/>
  <c r="Q326" i="9"/>
  <c r="CH326" i="9" s="1"/>
  <c r="K326" i="9"/>
  <c r="CB326" i="9" s="1"/>
  <c r="L326" i="9"/>
  <c r="CC326" i="9" s="1"/>
  <c r="O327" i="9"/>
  <c r="CF327" i="9" s="1"/>
  <c r="L327" i="9"/>
  <c r="CC327" i="9" s="1"/>
  <c r="T310" i="9"/>
  <c r="CK310" i="9" s="1"/>
  <c r="S310" i="9"/>
  <c r="CJ310" i="9" s="1"/>
  <c r="L310" i="9"/>
  <c r="CC310" i="9" s="1"/>
  <c r="K310" i="9"/>
  <c r="CB310" i="9" s="1"/>
  <c r="M317" i="9"/>
  <c r="CD317" i="9" s="1"/>
  <c r="O317" i="9"/>
  <c r="CF317" i="9" s="1"/>
  <c r="N317" i="9"/>
  <c r="CE317" i="9" s="1"/>
  <c r="P317" i="9"/>
  <c r="CG317" i="9" s="1"/>
  <c r="S317" i="9"/>
  <c r="CJ317" i="9" s="1"/>
  <c r="Q317" i="9"/>
  <c r="CH317" i="9" s="1"/>
  <c r="K317" i="9"/>
  <c r="CB317" i="9" s="1"/>
  <c r="L317" i="9"/>
  <c r="CC317" i="9" s="1"/>
  <c r="M321" i="9"/>
  <c r="CD321" i="9" s="1"/>
  <c r="S321" i="9"/>
  <c r="CJ321" i="9" s="1"/>
  <c r="Q316" i="9"/>
  <c r="CH316" i="9" s="1"/>
  <c r="L316" i="9"/>
  <c r="CC316" i="9" s="1"/>
  <c r="W412" i="9"/>
  <c r="CN412" i="9" s="1"/>
  <c r="T412" i="9"/>
  <c r="CK412" i="9" s="1"/>
  <c r="W585" i="9"/>
  <c r="CN585" i="9" s="1"/>
  <c r="Y585" i="9"/>
  <c r="CP585" i="9" s="1"/>
  <c r="AI585" i="9"/>
  <c r="CZ585" i="9" s="1"/>
  <c r="BL585" i="9"/>
  <c r="EC585" i="9" s="1"/>
  <c r="AZ585" i="9"/>
  <c r="DQ585" i="9" s="1"/>
  <c r="AS585" i="9"/>
  <c r="DJ585" i="9" s="1"/>
  <c r="AX585" i="9"/>
  <c r="DO585" i="9" s="1"/>
  <c r="AG585" i="9"/>
  <c r="CX585" i="9" s="1"/>
  <c r="BO585" i="9"/>
  <c r="EF585" i="9" s="1"/>
  <c r="AR585" i="9"/>
  <c r="DI585" i="9" s="1"/>
  <c r="BE585" i="9"/>
  <c r="DV585" i="9" s="1"/>
  <c r="BH585" i="9"/>
  <c r="DY585" i="9" s="1"/>
  <c r="BN585" i="9"/>
  <c r="EE585" i="9" s="1"/>
  <c r="AP585" i="9"/>
  <c r="DG585" i="9" s="1"/>
  <c r="BC585" i="9"/>
  <c r="DT585" i="9" s="1"/>
  <c r="U585" i="9"/>
  <c r="CL585" i="9" s="1"/>
  <c r="X585" i="9"/>
  <c r="CO585" i="9" s="1"/>
  <c r="AJ585" i="9"/>
  <c r="DA585" i="9" s="1"/>
  <c r="BR585" i="9"/>
  <c r="EI585" i="9" s="1"/>
  <c r="AA585" i="9"/>
  <c r="CR585" i="9" s="1"/>
  <c r="BI585" i="9"/>
  <c r="DZ585" i="9" s="1"/>
  <c r="BQ585" i="9"/>
  <c r="EH585" i="9" s="1"/>
  <c r="BP585" i="9"/>
  <c r="EG585" i="9" s="1"/>
  <c r="BJ585" i="9"/>
  <c r="EA585" i="9" s="1"/>
  <c r="AQ585" i="9"/>
  <c r="DH585" i="9" s="1"/>
  <c r="AY585" i="9"/>
  <c r="DP585" i="9" s="1"/>
  <c r="BG585" i="9"/>
  <c r="DX585" i="9" s="1"/>
  <c r="BB585" i="9"/>
  <c r="DS585" i="9" s="1"/>
  <c r="Z585" i="9"/>
  <c r="CQ585" i="9" s="1"/>
  <c r="AO585" i="9"/>
  <c r="DF585" i="9" s="1"/>
  <c r="AL585" i="9"/>
  <c r="DC585" i="9" s="1"/>
  <c r="AT585" i="9"/>
  <c r="DK585" i="9" s="1"/>
  <c r="BK585" i="9"/>
  <c r="EB585" i="9" s="1"/>
  <c r="AF585" i="9"/>
  <c r="CW585" i="9" s="1"/>
  <c r="BF585" i="9"/>
  <c r="DW585" i="9" s="1"/>
  <c r="AT583" i="9"/>
  <c r="DK583" i="9" s="1"/>
  <c r="BG583" i="9"/>
  <c r="DX583" i="9" s="1"/>
  <c r="AO583" i="9"/>
  <c r="DF583" i="9" s="1"/>
  <c r="BJ583" i="9"/>
  <c r="EA583" i="9" s="1"/>
  <c r="BN583" i="9"/>
  <c r="EE583" i="9" s="1"/>
  <c r="AJ583" i="9"/>
  <c r="DA583" i="9" s="1"/>
  <c r="U583" i="9"/>
  <c r="CL583" i="9" s="1"/>
  <c r="AS583" i="9"/>
  <c r="DJ583" i="9" s="1"/>
  <c r="AQ583" i="9"/>
  <c r="DH583" i="9" s="1"/>
  <c r="AL583" i="9"/>
  <c r="DC583" i="9" s="1"/>
  <c r="BH583" i="9"/>
  <c r="DY583" i="9" s="1"/>
  <c r="BR583" i="9"/>
  <c r="EI583" i="9" s="1"/>
  <c r="Y583" i="9"/>
  <c r="CP583" i="9" s="1"/>
  <c r="Z583" i="9"/>
  <c r="CQ583" i="9" s="1"/>
  <c r="BQ583" i="9"/>
  <c r="EH583" i="9" s="1"/>
  <c r="AY583" i="9"/>
  <c r="DP583" i="9" s="1"/>
  <c r="BK583" i="9"/>
  <c r="EB583" i="9" s="1"/>
  <c r="AI583" i="9"/>
  <c r="CZ583" i="9" s="1"/>
  <c r="AG583" i="9"/>
  <c r="CX583" i="9" s="1"/>
  <c r="BC583" i="9"/>
  <c r="DT583" i="9" s="1"/>
  <c r="BB583" i="9"/>
  <c r="DS583" i="9" s="1"/>
  <c r="AP583" i="9"/>
  <c r="DG583" i="9" s="1"/>
  <c r="BE583" i="9"/>
  <c r="DV583" i="9" s="1"/>
  <c r="X583" i="9"/>
  <c r="CO583" i="9" s="1"/>
  <c r="AA583" i="9"/>
  <c r="CR583" i="9" s="1"/>
  <c r="AZ583" i="9"/>
  <c r="DQ583" i="9" s="1"/>
  <c r="BI583" i="9"/>
  <c r="DZ583" i="9" s="1"/>
  <c r="AF583" i="9"/>
  <c r="CW583" i="9" s="1"/>
  <c r="AR583" i="9"/>
  <c r="DI583" i="9" s="1"/>
  <c r="W583" i="9"/>
  <c r="CN583" i="9" s="1"/>
  <c r="BL583" i="9"/>
  <c r="EC583" i="9" s="1"/>
  <c r="BP583" i="9"/>
  <c r="EG583" i="9" s="1"/>
  <c r="AX583" i="9"/>
  <c r="DO583" i="9" s="1"/>
  <c r="BF583" i="9"/>
  <c r="DW583" i="9" s="1"/>
  <c r="BO583" i="9"/>
  <c r="EF583" i="9" s="1"/>
  <c r="AY588" i="9"/>
  <c r="DP588" i="9" s="1"/>
  <c r="BC588" i="9"/>
  <c r="DT588" i="9" s="1"/>
  <c r="AZ588" i="9"/>
  <c r="DQ588" i="9" s="1"/>
  <c r="BR588" i="9"/>
  <c r="EI588" i="9" s="1"/>
  <c r="BQ588" i="9"/>
  <c r="EH588" i="9" s="1"/>
  <c r="BI588" i="9"/>
  <c r="DZ588" i="9" s="1"/>
  <c r="W588" i="9"/>
  <c r="CN588" i="9" s="1"/>
  <c r="BL588" i="9"/>
  <c r="EC588" i="9" s="1"/>
  <c r="AG588" i="9"/>
  <c r="CX588" i="9" s="1"/>
  <c r="AP588" i="9"/>
  <c r="DG588" i="9" s="1"/>
  <c r="BB588" i="9"/>
  <c r="DS588" i="9" s="1"/>
  <c r="BH588" i="9"/>
  <c r="DY588" i="9" s="1"/>
  <c r="BF588" i="9"/>
  <c r="DW588" i="9" s="1"/>
  <c r="AA588" i="9"/>
  <c r="CR588" i="9" s="1"/>
  <c r="X588" i="9"/>
  <c r="CO588" i="9" s="1"/>
  <c r="BO588" i="9"/>
  <c r="EF588" i="9" s="1"/>
  <c r="AJ588" i="9"/>
  <c r="DA588" i="9" s="1"/>
  <c r="AQ588" i="9"/>
  <c r="DH588" i="9" s="1"/>
  <c r="AS588" i="9"/>
  <c r="DJ588" i="9" s="1"/>
  <c r="AF588" i="9"/>
  <c r="CW588" i="9" s="1"/>
  <c r="U588" i="9"/>
  <c r="CL588" i="9" s="1"/>
  <c r="BJ588" i="9"/>
  <c r="EA588" i="9" s="1"/>
  <c r="AI588" i="9"/>
  <c r="CZ588" i="9" s="1"/>
  <c r="AX588" i="9"/>
  <c r="DO588" i="9" s="1"/>
  <c r="BN588" i="9"/>
  <c r="EE588" i="9" s="1"/>
  <c r="BK588" i="9"/>
  <c r="EB588" i="9" s="1"/>
  <c r="Z588" i="9"/>
  <c r="CQ588" i="9" s="1"/>
  <c r="AL588" i="9"/>
  <c r="DC588" i="9" s="1"/>
  <c r="BE588" i="9"/>
  <c r="DV588" i="9" s="1"/>
  <c r="BG588" i="9"/>
  <c r="DX588" i="9" s="1"/>
  <c r="AR588" i="9"/>
  <c r="DI588" i="9" s="1"/>
  <c r="AO588" i="9"/>
  <c r="DF588" i="9" s="1"/>
  <c r="X579" i="9"/>
  <c r="CO579" i="9" s="1"/>
  <c r="P579" i="9"/>
  <c r="CG579" i="9" s="1"/>
  <c r="BC586" i="9"/>
  <c r="DT586" i="9" s="1"/>
  <c r="W586" i="9"/>
  <c r="CN586" i="9" s="1"/>
  <c r="Z586" i="9"/>
  <c r="CQ586" i="9" s="1"/>
  <c r="BG586" i="9"/>
  <c r="DX586" i="9" s="1"/>
  <c r="AS586" i="9"/>
  <c r="DJ586" i="9" s="1"/>
  <c r="BN586" i="9"/>
  <c r="EE586" i="9" s="1"/>
  <c r="AG586" i="9"/>
  <c r="CX586" i="9" s="1"/>
  <c r="AX586" i="9"/>
  <c r="DO586" i="9" s="1"/>
  <c r="BO586" i="9"/>
  <c r="EF586" i="9" s="1"/>
  <c r="BI586" i="9"/>
  <c r="DZ586" i="9" s="1"/>
  <c r="BR586" i="9"/>
  <c r="EI586" i="9" s="1"/>
  <c r="BF586" i="9"/>
  <c r="DW586" i="9" s="1"/>
  <c r="BL586" i="9"/>
  <c r="EC586" i="9" s="1"/>
  <c r="AJ586" i="9"/>
  <c r="DA586" i="9" s="1"/>
  <c r="BQ586" i="9"/>
  <c r="EH586" i="9" s="1"/>
  <c r="BK586" i="9"/>
  <c r="EB586" i="9" s="1"/>
  <c r="BE586" i="9"/>
  <c r="DV586" i="9" s="1"/>
  <c r="BP586" i="9"/>
  <c r="EG586" i="9" s="1"/>
  <c r="AQ586" i="9"/>
  <c r="DH586" i="9" s="1"/>
  <c r="AL586" i="9"/>
  <c r="DC586" i="9" s="1"/>
  <c r="AT586" i="9"/>
  <c r="DK586" i="9" s="1"/>
  <c r="BH586" i="9"/>
  <c r="DY586" i="9" s="1"/>
  <c r="AI586" i="9"/>
  <c r="CZ586" i="9" s="1"/>
  <c r="Y586" i="9"/>
  <c r="CP586" i="9" s="1"/>
  <c r="AF586" i="9"/>
  <c r="CW586" i="9" s="1"/>
  <c r="AZ586" i="9"/>
  <c r="DQ586" i="9" s="1"/>
  <c r="AA586" i="9"/>
  <c r="CR586" i="9" s="1"/>
  <c r="BJ586" i="9"/>
  <c r="EA586" i="9" s="1"/>
  <c r="AP586" i="9"/>
  <c r="DG586" i="9" s="1"/>
  <c r="AR586" i="9"/>
  <c r="DI586" i="9" s="1"/>
  <c r="BB586" i="9"/>
  <c r="DS586" i="9" s="1"/>
  <c r="X586" i="9"/>
  <c r="CO586" i="9" s="1"/>
  <c r="AO586" i="9"/>
  <c r="DF586" i="9" s="1"/>
  <c r="U586" i="9"/>
  <c r="CL586" i="9" s="1"/>
  <c r="AY586" i="9"/>
  <c r="DP586" i="9" s="1"/>
  <c r="O457" i="9"/>
  <c r="CF457" i="9" s="1"/>
  <c r="K457" i="9"/>
  <c r="CB457" i="9" s="1"/>
  <c r="S457" i="9"/>
  <c r="CJ457" i="9" s="1"/>
  <c r="P457" i="9"/>
  <c r="CG457" i="9" s="1"/>
  <c r="R457" i="9"/>
  <c r="CI457" i="9" s="1"/>
  <c r="Q457" i="9"/>
  <c r="CH457" i="9" s="1"/>
  <c r="AX461" i="9"/>
  <c r="DO461" i="9" s="1"/>
  <c r="K461" i="9"/>
  <c r="CB461" i="9" s="1"/>
  <c r="O461" i="9"/>
  <c r="CF461" i="9" s="1"/>
  <c r="P461" i="9"/>
  <c r="CG461" i="9" s="1"/>
  <c r="T461" i="9"/>
  <c r="CK461" i="9" s="1"/>
  <c r="M461" i="9"/>
  <c r="CD461" i="9" s="1"/>
  <c r="R461" i="9"/>
  <c r="CI461" i="9" s="1"/>
  <c r="S461" i="9"/>
  <c r="CJ461" i="9" s="1"/>
  <c r="Q461" i="9"/>
  <c r="CH461" i="9" s="1"/>
  <c r="R326" i="9"/>
  <c r="CI326" i="9" s="1"/>
  <c r="T326" i="9"/>
  <c r="CK326" i="9" s="1"/>
  <c r="R317" i="9"/>
  <c r="CI317" i="9" s="1"/>
  <c r="T317" i="9"/>
  <c r="CK317" i="9" s="1"/>
  <c r="R468" i="9"/>
  <c r="CI468" i="9" s="1"/>
  <c r="K468" i="9"/>
  <c r="CB468" i="9" s="1"/>
  <c r="P468" i="9"/>
  <c r="CG468" i="9" s="1"/>
  <c r="T468" i="9"/>
  <c r="CK468" i="9" s="1"/>
  <c r="M468" i="9"/>
  <c r="CD468" i="9" s="1"/>
  <c r="L468" i="9"/>
  <c r="CC468" i="9" s="1"/>
  <c r="T465" i="9"/>
  <c r="CK465" i="9" s="1"/>
  <c r="M465" i="9"/>
  <c r="CD465" i="9" s="1"/>
  <c r="N465" i="9"/>
  <c r="CE465" i="9" s="1"/>
  <c r="L465" i="9"/>
  <c r="CC465" i="9" s="1"/>
  <c r="O319" i="9"/>
  <c r="CF319" i="9" s="1"/>
  <c r="O430" i="9"/>
  <c r="CF430" i="9" s="1"/>
  <c r="L347" i="9"/>
  <c r="CC347" i="9" s="1"/>
  <c r="O347" i="9"/>
  <c r="CF347" i="9" s="1"/>
  <c r="P584" i="9"/>
  <c r="CG584" i="9" s="1"/>
  <c r="BF591" i="9"/>
  <c r="DW591" i="9" s="1"/>
  <c r="BH410" i="9"/>
  <c r="DY410" i="9" s="1"/>
  <c r="AR348" i="9"/>
  <c r="DI348" i="9" s="1"/>
  <c r="AC348" i="9"/>
  <c r="CT348" i="9" s="1"/>
  <c r="AV410" i="9"/>
  <c r="DM410" i="9" s="1"/>
  <c r="AE423" i="9"/>
  <c r="CV423" i="9" s="1"/>
  <c r="AU423" i="9"/>
  <c r="DL423" i="9" s="1"/>
  <c r="AL423" i="9"/>
  <c r="DC423" i="9" s="1"/>
  <c r="BA423" i="9"/>
  <c r="DR423" i="9" s="1"/>
  <c r="AK423" i="9"/>
  <c r="DB423" i="9" s="1"/>
  <c r="BJ348" i="9"/>
  <c r="EA348" i="9" s="1"/>
  <c r="AF584" i="9"/>
  <c r="CW584" i="9" s="1"/>
  <c r="BP423" i="9"/>
  <c r="EG423" i="9" s="1"/>
  <c r="AL348" i="9"/>
  <c r="DC348" i="9" s="1"/>
  <c r="X348" i="9"/>
  <c r="CO348" i="9" s="1"/>
  <c r="AW410" i="9"/>
  <c r="DN410" i="9" s="1"/>
  <c r="AM410" i="9"/>
  <c r="DD410" i="9" s="1"/>
  <c r="BL423" i="9"/>
  <c r="EC423" i="9" s="1"/>
  <c r="AW423" i="9"/>
  <c r="DN423" i="9" s="1"/>
  <c r="X423" i="9"/>
  <c r="CO423" i="9" s="1"/>
  <c r="AB423" i="9"/>
  <c r="CS423" i="9" s="1"/>
  <c r="L348" i="9"/>
  <c r="CC348" i="9" s="1"/>
  <c r="AI423" i="9"/>
  <c r="CZ423" i="9" s="1"/>
  <c r="AI348" i="9"/>
  <c r="CZ348" i="9" s="1"/>
  <c r="BN348" i="9"/>
  <c r="EE348" i="9" s="1"/>
  <c r="AN423" i="9"/>
  <c r="DE423" i="9" s="1"/>
  <c r="Z423" i="9"/>
  <c r="CQ423" i="9" s="1"/>
  <c r="AR423" i="9"/>
  <c r="DI423" i="9" s="1"/>
  <c r="BD423" i="9"/>
  <c r="DU423" i="9" s="1"/>
  <c r="N591" i="9"/>
  <c r="CE591" i="9" s="1"/>
  <c r="S591" i="9"/>
  <c r="CJ591" i="9" s="1"/>
  <c r="BO423" i="9"/>
  <c r="EF423" i="9" s="1"/>
  <c r="BP348" i="9"/>
  <c r="EG348" i="9" s="1"/>
  <c r="V348" i="9"/>
  <c r="CM348" i="9" s="1"/>
  <c r="AT410" i="9"/>
  <c r="DK410" i="9" s="1"/>
  <c r="AG423" i="9"/>
  <c r="CX423" i="9" s="1"/>
  <c r="AQ423" i="9"/>
  <c r="DH423" i="9" s="1"/>
  <c r="AJ423" i="9"/>
  <c r="DA423" i="9" s="1"/>
  <c r="AD423" i="9"/>
  <c r="CU423" i="9" s="1"/>
  <c r="AO423" i="9"/>
  <c r="DF423" i="9" s="1"/>
  <c r="BB348" i="9"/>
  <c r="DS348" i="9" s="1"/>
  <c r="AN348" i="9"/>
  <c r="DE348" i="9" s="1"/>
  <c r="BM410" i="9"/>
  <c r="ED410" i="9" s="1"/>
  <c r="BB423" i="9"/>
  <c r="DS423" i="9" s="1"/>
  <c r="BJ423" i="9"/>
  <c r="EA423" i="9" s="1"/>
  <c r="BF423" i="9"/>
  <c r="DW423" i="9" s="1"/>
  <c r="BK423" i="9"/>
  <c r="EB423" i="9" s="1"/>
  <c r="X414" i="9"/>
  <c r="CO414" i="9" s="1"/>
  <c r="O410" i="9"/>
  <c r="CF410" i="9" s="1"/>
  <c r="BH423" i="9"/>
  <c r="DY423" i="9" s="1"/>
  <c r="AP348" i="9"/>
  <c r="DG348" i="9" s="1"/>
  <c r="AJ348" i="9"/>
  <c r="DA348" i="9" s="1"/>
  <c r="BR423" i="9"/>
  <c r="EI423" i="9" s="1"/>
  <c r="AC423" i="9"/>
  <c r="CT423" i="9" s="1"/>
  <c r="BI423" i="9"/>
  <c r="DZ423" i="9" s="1"/>
  <c r="Y423" i="9"/>
  <c r="CP423" i="9" s="1"/>
  <c r="BG423" i="9"/>
  <c r="DX423" i="9" s="1"/>
  <c r="AZ414" i="9"/>
  <c r="DQ414" i="9" s="1"/>
  <c r="AZ591" i="9"/>
  <c r="DQ591" i="9" s="1"/>
  <c r="AX584" i="9"/>
  <c r="DO584" i="9" s="1"/>
  <c r="Q318" i="9"/>
  <c r="CH318" i="9" s="1"/>
  <c r="R591" i="9"/>
  <c r="CI591" i="9" s="1"/>
  <c r="O584" i="9"/>
  <c r="CF584" i="9" s="1"/>
  <c r="T430" i="9"/>
  <c r="CK430" i="9" s="1"/>
  <c r="O318" i="9"/>
  <c r="CF318" i="9" s="1"/>
  <c r="M584" i="9"/>
  <c r="CD584" i="9" s="1"/>
  <c r="M413" i="9"/>
  <c r="CD413" i="9" s="1"/>
  <c r="AT591" i="9"/>
  <c r="DK591" i="9" s="1"/>
  <c r="Y584" i="9"/>
  <c r="CP584" i="9" s="1"/>
  <c r="M328" i="9"/>
  <c r="CD328" i="9" s="1"/>
  <c r="T328" i="9"/>
  <c r="CK328" i="9" s="1"/>
  <c r="BC591" i="9"/>
  <c r="DT591" i="9" s="1"/>
  <c r="L328" i="9"/>
  <c r="CC328" i="9" s="1"/>
  <c r="K584" i="9"/>
  <c r="CB584" i="9" s="1"/>
  <c r="T591" i="9"/>
  <c r="CK591" i="9" s="1"/>
  <c r="P430" i="9"/>
  <c r="CG430" i="9" s="1"/>
  <c r="N328" i="9"/>
  <c r="CE328" i="9" s="1"/>
  <c r="BR591" i="9"/>
  <c r="EI591" i="9" s="1"/>
  <c r="K328" i="9"/>
  <c r="CB328" i="9" s="1"/>
  <c r="N318" i="9"/>
  <c r="CE318" i="9" s="1"/>
  <c r="M591" i="9"/>
  <c r="CD591" i="9" s="1"/>
  <c r="M318" i="9"/>
  <c r="CD318" i="9" s="1"/>
  <c r="P591" i="9"/>
  <c r="CG591" i="9" s="1"/>
  <c r="M472" i="9"/>
  <c r="CD472" i="9" s="1"/>
  <c r="BK591" i="9"/>
  <c r="EB591" i="9" s="1"/>
  <c r="Q591" i="9"/>
  <c r="CH591" i="9" s="1"/>
  <c r="S328" i="9"/>
  <c r="CJ328" i="9" s="1"/>
  <c r="AZ584" i="9"/>
  <c r="DQ584" i="9" s="1"/>
  <c r="L318" i="9"/>
  <c r="CC318" i="9" s="1"/>
  <c r="R584" i="9"/>
  <c r="CI584" i="9" s="1"/>
  <c r="AO584" i="9"/>
  <c r="DF584" i="9" s="1"/>
  <c r="AG458" i="9"/>
  <c r="CX458" i="9" s="1"/>
  <c r="T470" i="9"/>
  <c r="CK470" i="9" s="1"/>
  <c r="M470" i="9"/>
  <c r="CD470" i="9" s="1"/>
  <c r="AJ414" i="9"/>
  <c r="DA414" i="9" s="1"/>
  <c r="N325" i="9"/>
  <c r="CE325" i="9" s="1"/>
  <c r="I615" i="9"/>
  <c r="M615" i="9" s="1"/>
  <c r="CD615" i="9" s="1"/>
  <c r="R589" i="9"/>
  <c r="CI589" i="9" s="1"/>
  <c r="K589" i="9"/>
  <c r="CB589" i="9" s="1"/>
  <c r="Q589" i="9"/>
  <c r="CH589" i="9" s="1"/>
  <c r="BA348" i="9"/>
  <c r="DR348" i="9" s="1"/>
  <c r="S320" i="9"/>
  <c r="CJ320" i="9" s="1"/>
  <c r="K463" i="9"/>
  <c r="CB463" i="9" s="1"/>
  <c r="L320" i="9"/>
  <c r="CC320" i="9" s="1"/>
  <c r="L470" i="9"/>
  <c r="CC470" i="9" s="1"/>
  <c r="L467" i="9"/>
  <c r="CC467" i="9" s="1"/>
  <c r="Q320" i="9"/>
  <c r="CH320" i="9" s="1"/>
  <c r="P325" i="9"/>
  <c r="CG325" i="9" s="1"/>
  <c r="O325" i="9"/>
  <c r="CF325" i="9" s="1"/>
  <c r="T320" i="9"/>
  <c r="CK320" i="9" s="1"/>
  <c r="S470" i="9"/>
  <c r="CJ470" i="9" s="1"/>
  <c r="Q467" i="9"/>
  <c r="CH467" i="9" s="1"/>
  <c r="T463" i="9"/>
  <c r="CK463" i="9" s="1"/>
  <c r="K470" i="9"/>
  <c r="CB470" i="9" s="1"/>
  <c r="O467" i="9"/>
  <c r="CF467" i="9" s="1"/>
  <c r="R325" i="9"/>
  <c r="CI325" i="9" s="1"/>
  <c r="Q463" i="9"/>
  <c r="CH463" i="9" s="1"/>
  <c r="L325" i="9"/>
  <c r="CC325" i="9" s="1"/>
  <c r="P320" i="9"/>
  <c r="CG320" i="9" s="1"/>
  <c r="K325" i="9"/>
  <c r="CB325" i="9" s="1"/>
  <c r="P573" i="9"/>
  <c r="CG573" i="9" s="1"/>
  <c r="T467" i="9"/>
  <c r="CK467" i="9" s="1"/>
  <c r="R320" i="9"/>
  <c r="CI320" i="9" s="1"/>
  <c r="N320" i="9"/>
  <c r="CE320" i="9" s="1"/>
  <c r="O320" i="9"/>
  <c r="CF320" i="9" s="1"/>
  <c r="M325" i="9"/>
  <c r="CD325" i="9" s="1"/>
  <c r="P467" i="9"/>
  <c r="CG467" i="9" s="1"/>
  <c r="BF405" i="9"/>
  <c r="DW405" i="9" s="1"/>
  <c r="BI422" i="9"/>
  <c r="DZ422" i="9" s="1"/>
  <c r="BO419" i="9"/>
  <c r="EF419" i="9" s="1"/>
  <c r="K320" i="9"/>
  <c r="CB320" i="9" s="1"/>
  <c r="S325" i="9"/>
  <c r="CJ325" i="9" s="1"/>
  <c r="P463" i="9"/>
  <c r="CG463" i="9" s="1"/>
  <c r="S463" i="9"/>
  <c r="CJ463" i="9" s="1"/>
  <c r="O470" i="9"/>
  <c r="CF470" i="9" s="1"/>
  <c r="U419" i="9"/>
  <c r="CL419" i="9" s="1"/>
  <c r="AM405" i="9"/>
  <c r="DD405" i="9" s="1"/>
  <c r="Q325" i="9"/>
  <c r="CH325" i="9" s="1"/>
  <c r="R470" i="9"/>
  <c r="CI470" i="9" s="1"/>
  <c r="K467" i="9"/>
  <c r="CB467" i="9" s="1"/>
  <c r="L463" i="9"/>
  <c r="CC463" i="9" s="1"/>
  <c r="N470" i="9"/>
  <c r="CE470" i="9" s="1"/>
  <c r="AH419" i="9"/>
  <c r="CY419" i="9" s="1"/>
  <c r="AX348" i="9"/>
  <c r="DO348" i="9" s="1"/>
  <c r="AG348" i="9"/>
  <c r="CX348" i="9" s="1"/>
  <c r="Q582" i="9"/>
  <c r="CH582" i="9" s="1"/>
  <c r="T582" i="9"/>
  <c r="CK582" i="9" s="1"/>
  <c r="O314" i="9"/>
  <c r="CF314" i="9" s="1"/>
  <c r="I610" i="9"/>
  <c r="Q334" i="9"/>
  <c r="CH334" i="9" s="1"/>
  <c r="R334" i="9"/>
  <c r="CI334" i="9" s="1"/>
  <c r="T334" i="9"/>
  <c r="CK334" i="9" s="1"/>
  <c r="P615" i="9"/>
  <c r="CG615" i="9" s="1"/>
  <c r="P471" i="9"/>
  <c r="CG471" i="9" s="1"/>
  <c r="S466" i="9"/>
  <c r="CJ466" i="9" s="1"/>
  <c r="L334" i="9"/>
  <c r="CC334" i="9" s="1"/>
  <c r="O405" i="9"/>
  <c r="CF405" i="9" s="1"/>
  <c r="AC334" i="9"/>
  <c r="CT334" i="9" s="1"/>
  <c r="BL334" i="9"/>
  <c r="EC334" i="9" s="1"/>
  <c r="AH471" i="9"/>
  <c r="CY471" i="9" s="1"/>
  <c r="AB405" i="9"/>
  <c r="CS405" i="9" s="1"/>
  <c r="P405" i="9"/>
  <c r="CG405" i="9" s="1"/>
  <c r="P466" i="9"/>
  <c r="CG466" i="9" s="1"/>
  <c r="K471" i="9"/>
  <c r="CB471" i="9" s="1"/>
  <c r="O466" i="9"/>
  <c r="CF466" i="9" s="1"/>
  <c r="BH405" i="9"/>
  <c r="DY405" i="9" s="1"/>
  <c r="N466" i="9"/>
  <c r="CE466" i="9" s="1"/>
  <c r="AL334" i="9"/>
  <c r="DC334" i="9" s="1"/>
  <c r="AR334" i="9"/>
  <c r="DI334" i="9" s="1"/>
  <c r="AB471" i="9"/>
  <c r="CS471" i="9" s="1"/>
  <c r="AL405" i="9"/>
  <c r="DC405" i="9" s="1"/>
  <c r="AJ422" i="9"/>
  <c r="DA422" i="9" s="1"/>
  <c r="AK422" i="9"/>
  <c r="DB422" i="9" s="1"/>
  <c r="BE419" i="9"/>
  <c r="DV419" i="9" s="1"/>
  <c r="AA419" i="9"/>
  <c r="CR419" i="9" s="1"/>
  <c r="M334" i="9"/>
  <c r="CD334" i="9" s="1"/>
  <c r="Q471" i="9"/>
  <c r="CH471" i="9" s="1"/>
  <c r="N405" i="9"/>
  <c r="CE405" i="9" s="1"/>
  <c r="T471" i="9"/>
  <c r="CK471" i="9" s="1"/>
  <c r="K334" i="9"/>
  <c r="CB334" i="9" s="1"/>
  <c r="AN334" i="9"/>
  <c r="DE334" i="9" s="1"/>
  <c r="AD334" i="9"/>
  <c r="CU334" i="9" s="1"/>
  <c r="AX471" i="9"/>
  <c r="DO471" i="9" s="1"/>
  <c r="AF405" i="9"/>
  <c r="CW405" i="9" s="1"/>
  <c r="BD334" i="9"/>
  <c r="DU334" i="9" s="1"/>
  <c r="Q405" i="9"/>
  <c r="CH405" i="9" s="1"/>
  <c r="T466" i="9"/>
  <c r="CK466" i="9" s="1"/>
  <c r="N471" i="9"/>
  <c r="CE471" i="9" s="1"/>
  <c r="R466" i="9"/>
  <c r="CI466" i="9" s="1"/>
  <c r="K466" i="9"/>
  <c r="CB466" i="9" s="1"/>
  <c r="O471" i="9"/>
  <c r="CF471" i="9" s="1"/>
  <c r="AE334" i="9"/>
  <c r="CV334" i="9" s="1"/>
  <c r="AV334" i="9"/>
  <c r="DM334" i="9" s="1"/>
  <c r="AT334" i="9"/>
  <c r="DK334" i="9" s="1"/>
  <c r="AJ471" i="9"/>
  <c r="DA471" i="9" s="1"/>
  <c r="BJ419" i="9"/>
  <c r="EA419" i="9" s="1"/>
  <c r="AC419" i="9"/>
  <c r="CT419" i="9" s="1"/>
  <c r="N334" i="9"/>
  <c r="CE334" i="9" s="1"/>
  <c r="AP334" i="9"/>
  <c r="DG334" i="9" s="1"/>
  <c r="L405" i="9"/>
  <c r="CC405" i="9" s="1"/>
  <c r="R673" i="9"/>
  <c r="CI673" i="9" s="1"/>
  <c r="O311" i="9"/>
  <c r="CF311" i="9" s="1"/>
  <c r="Q466" i="9"/>
  <c r="CH466" i="9" s="1"/>
  <c r="BB334" i="9"/>
  <c r="DS334" i="9" s="1"/>
  <c r="AB334" i="9"/>
  <c r="CS334" i="9" s="1"/>
  <c r="Y334" i="9"/>
  <c r="CP334" i="9" s="1"/>
  <c r="BN466" i="9"/>
  <c r="EE466" i="9" s="1"/>
  <c r="U471" i="9"/>
  <c r="CL471" i="9" s="1"/>
  <c r="AS405" i="9"/>
  <c r="DJ405" i="9" s="1"/>
  <c r="BE453" i="9"/>
  <c r="DV453" i="9" s="1"/>
  <c r="AW422" i="9"/>
  <c r="DN422" i="9" s="1"/>
  <c r="BN419" i="9"/>
  <c r="EE419" i="9" s="1"/>
  <c r="AM419" i="9"/>
  <c r="DD419" i="9" s="1"/>
  <c r="BI351" i="9"/>
  <c r="DZ351" i="9" s="1"/>
  <c r="L466" i="9"/>
  <c r="CC466" i="9" s="1"/>
  <c r="O334" i="9"/>
  <c r="CF334" i="9" s="1"/>
  <c r="M312" i="9"/>
  <c r="CD312" i="9" s="1"/>
  <c r="P334" i="9"/>
  <c r="CG334" i="9" s="1"/>
  <c r="R405" i="9"/>
  <c r="CI405" i="9" s="1"/>
  <c r="M466" i="9"/>
  <c r="CD466" i="9" s="1"/>
  <c r="M471" i="9"/>
  <c r="CD471" i="9" s="1"/>
  <c r="R471" i="9"/>
  <c r="CI471" i="9" s="1"/>
  <c r="X334" i="9"/>
  <c r="CO334" i="9" s="1"/>
  <c r="AA334" i="9"/>
  <c r="CR334" i="9" s="1"/>
  <c r="BP334" i="9"/>
  <c r="EG334" i="9" s="1"/>
  <c r="U466" i="9"/>
  <c r="CL466" i="9" s="1"/>
  <c r="BN471" i="9"/>
  <c r="EE471" i="9" s="1"/>
  <c r="X405" i="9"/>
  <c r="CO405" i="9" s="1"/>
  <c r="BR453" i="9"/>
  <c r="EI453" i="9" s="1"/>
  <c r="AY422" i="9"/>
  <c r="DP422" i="9" s="1"/>
  <c r="AD419" i="9"/>
  <c r="CU419" i="9" s="1"/>
  <c r="BA419" i="9"/>
  <c r="DR419" i="9" s="1"/>
  <c r="AU405" i="9"/>
  <c r="DL405" i="9" s="1"/>
  <c r="AW351" i="9"/>
  <c r="DN351" i="9" s="1"/>
  <c r="S334" i="9"/>
  <c r="CJ334" i="9" s="1"/>
  <c r="S471" i="9"/>
  <c r="CJ471" i="9" s="1"/>
  <c r="T405" i="9"/>
  <c r="CK405" i="9" s="1"/>
  <c r="L471" i="9"/>
  <c r="CC471" i="9" s="1"/>
  <c r="AF334" i="9"/>
  <c r="CW334" i="9" s="1"/>
  <c r="AI405" i="9"/>
  <c r="CZ405" i="9" s="1"/>
  <c r="BP422" i="9"/>
  <c r="EG422" i="9" s="1"/>
  <c r="AQ419" i="9"/>
  <c r="DH419" i="9" s="1"/>
  <c r="AZ351" i="9"/>
  <c r="DQ351" i="9" s="1"/>
  <c r="AK351" i="9"/>
  <c r="DB351" i="9" s="1"/>
  <c r="W351" i="9"/>
  <c r="CN351" i="9" s="1"/>
  <c r="BM351" i="9"/>
  <c r="ED351" i="9" s="1"/>
  <c r="I241" i="9"/>
  <c r="I254" i="9"/>
  <c r="T254" i="9" s="1"/>
  <c r="CK254" i="9" s="1"/>
  <c r="BF351" i="9"/>
  <c r="DW351" i="9" s="1"/>
  <c r="K574" i="9"/>
  <c r="CB574" i="9" s="1"/>
  <c r="Q574" i="9"/>
  <c r="CH574" i="9" s="1"/>
  <c r="T579" i="9"/>
  <c r="CK579" i="9" s="1"/>
  <c r="M337" i="9"/>
  <c r="CD337" i="9" s="1"/>
  <c r="N458" i="9"/>
  <c r="CE458" i="9" s="1"/>
  <c r="S455" i="9"/>
  <c r="CJ455" i="9" s="1"/>
  <c r="M454" i="9"/>
  <c r="CD454" i="9" s="1"/>
  <c r="M458" i="9"/>
  <c r="CD458" i="9" s="1"/>
  <c r="T454" i="9"/>
  <c r="CK454" i="9" s="1"/>
  <c r="O455" i="9"/>
  <c r="CF455" i="9" s="1"/>
  <c r="BR349" i="9"/>
  <c r="EI349" i="9" s="1"/>
  <c r="AX458" i="9"/>
  <c r="DO458" i="9" s="1"/>
  <c r="AE458" i="9"/>
  <c r="CV458" i="9" s="1"/>
  <c r="M310" i="9"/>
  <c r="CD310" i="9" s="1"/>
  <c r="P454" i="9"/>
  <c r="CG454" i="9" s="1"/>
  <c r="R458" i="9"/>
  <c r="CI458" i="9" s="1"/>
  <c r="P458" i="9"/>
  <c r="CG458" i="9" s="1"/>
  <c r="K455" i="9"/>
  <c r="CB455" i="9" s="1"/>
  <c r="K458" i="9"/>
  <c r="CB458" i="9" s="1"/>
  <c r="W574" i="9"/>
  <c r="CN574" i="9" s="1"/>
  <c r="AC349" i="9"/>
  <c r="CT349" i="9" s="1"/>
  <c r="AV458" i="9"/>
  <c r="DM458" i="9" s="1"/>
  <c r="AF458" i="9"/>
  <c r="CW458" i="9" s="1"/>
  <c r="BG351" i="9"/>
  <c r="DX351" i="9" s="1"/>
  <c r="L458" i="9"/>
  <c r="CC458" i="9" s="1"/>
  <c r="N337" i="9"/>
  <c r="CE337" i="9" s="1"/>
  <c r="M574" i="9"/>
  <c r="CD574" i="9" s="1"/>
  <c r="T315" i="9"/>
  <c r="CK315" i="9" s="1"/>
  <c r="N454" i="9"/>
  <c r="CE454" i="9" s="1"/>
  <c r="BF574" i="9"/>
  <c r="DW574" i="9" s="1"/>
  <c r="AQ349" i="9"/>
  <c r="DH349" i="9" s="1"/>
  <c r="BD458" i="9"/>
  <c r="DU458" i="9" s="1"/>
  <c r="AI458" i="9"/>
  <c r="CZ458" i="9" s="1"/>
  <c r="R337" i="9"/>
  <c r="CI337" i="9" s="1"/>
  <c r="N579" i="9"/>
  <c r="CE579" i="9" s="1"/>
  <c r="Q454" i="9"/>
  <c r="CH454" i="9" s="1"/>
  <c r="O454" i="9"/>
  <c r="CF454" i="9" s="1"/>
  <c r="R455" i="9"/>
  <c r="CI455" i="9" s="1"/>
  <c r="BQ574" i="9"/>
  <c r="EH574" i="9" s="1"/>
  <c r="AT458" i="9"/>
  <c r="DK458" i="9" s="1"/>
  <c r="AH458" i="9"/>
  <c r="CY458" i="9" s="1"/>
  <c r="T337" i="9"/>
  <c r="CK337" i="9" s="1"/>
  <c r="O579" i="9"/>
  <c r="CF579" i="9" s="1"/>
  <c r="O337" i="9"/>
  <c r="CF337" i="9" s="1"/>
  <c r="Q458" i="9"/>
  <c r="CH458" i="9" s="1"/>
  <c r="BI574" i="9"/>
  <c r="DZ574" i="9" s="1"/>
  <c r="BI458" i="9"/>
  <c r="DZ458" i="9" s="1"/>
  <c r="BO458" i="9"/>
  <c r="EF458" i="9" s="1"/>
  <c r="L454" i="9"/>
  <c r="CC454" i="9" s="1"/>
  <c r="K579" i="9"/>
  <c r="CB579" i="9" s="1"/>
  <c r="S337" i="9"/>
  <c r="CJ337" i="9" s="1"/>
  <c r="O349" i="9"/>
  <c r="CF349" i="9" s="1"/>
  <c r="O315" i="9"/>
  <c r="CF315" i="9" s="1"/>
  <c r="L337" i="9"/>
  <c r="CC337" i="9" s="1"/>
  <c r="R454" i="9"/>
  <c r="CI454" i="9" s="1"/>
  <c r="S458" i="9"/>
  <c r="CJ458" i="9" s="1"/>
  <c r="AX454" i="9"/>
  <c r="DO454" i="9" s="1"/>
  <c r="AC458" i="9"/>
  <c r="CT458" i="9" s="1"/>
  <c r="AD458" i="9"/>
  <c r="CU458" i="9" s="1"/>
  <c r="P310" i="9"/>
  <c r="CG310" i="9" s="1"/>
  <c r="T349" i="9"/>
  <c r="CK349" i="9" s="1"/>
  <c r="M349" i="9"/>
  <c r="CD349" i="9" s="1"/>
  <c r="K315" i="9"/>
  <c r="CB315" i="9" s="1"/>
  <c r="T458" i="9"/>
  <c r="CK458" i="9" s="1"/>
  <c r="K454" i="9"/>
  <c r="CB454" i="9" s="1"/>
  <c r="AT579" i="9"/>
  <c r="DK579" i="9" s="1"/>
  <c r="W458" i="9"/>
  <c r="CN458" i="9" s="1"/>
  <c r="O458" i="9"/>
  <c r="CF458" i="9" s="1"/>
  <c r="BM458" i="9"/>
  <c r="ED458" i="9" s="1"/>
  <c r="Z351" i="9"/>
  <c r="CQ351" i="9" s="1"/>
  <c r="AZ575" i="9"/>
  <c r="DQ575" i="9" s="1"/>
  <c r="Y575" i="9"/>
  <c r="CP575" i="9" s="1"/>
  <c r="BQ575" i="9"/>
  <c r="EH575" i="9" s="1"/>
  <c r="AU342" i="9"/>
  <c r="DL342" i="9" s="1"/>
  <c r="AS418" i="9"/>
  <c r="DJ418" i="9" s="1"/>
  <c r="AJ412" i="9"/>
  <c r="DA412" i="9" s="1"/>
  <c r="BD412" i="9"/>
  <c r="DU412" i="9" s="1"/>
  <c r="BF342" i="9"/>
  <c r="DW342" i="9" s="1"/>
  <c r="BN575" i="9"/>
  <c r="EE575" i="9" s="1"/>
  <c r="AF575" i="9"/>
  <c r="CW575" i="9" s="1"/>
  <c r="BL575" i="9"/>
  <c r="EC575" i="9" s="1"/>
  <c r="BQ412" i="9"/>
  <c r="EH412" i="9" s="1"/>
  <c r="W420" i="9"/>
  <c r="CN420" i="9" s="1"/>
  <c r="BC342" i="9"/>
  <c r="DT342" i="9" s="1"/>
  <c r="Z342" i="9"/>
  <c r="CQ342" i="9" s="1"/>
  <c r="BJ575" i="9"/>
  <c r="EA575" i="9" s="1"/>
  <c r="X575" i="9"/>
  <c r="CO575" i="9" s="1"/>
  <c r="AO575" i="9"/>
  <c r="DF575" i="9" s="1"/>
  <c r="BI342" i="9"/>
  <c r="DZ342" i="9" s="1"/>
  <c r="BO464" i="9"/>
  <c r="EF464" i="9" s="1"/>
  <c r="Y412" i="9"/>
  <c r="CP412" i="9" s="1"/>
  <c r="BM342" i="9"/>
  <c r="ED342" i="9" s="1"/>
  <c r="AI575" i="9"/>
  <c r="CZ575" i="9" s="1"/>
  <c r="BR575" i="9"/>
  <c r="EI575" i="9" s="1"/>
  <c r="BB575" i="9"/>
  <c r="DS575" i="9" s="1"/>
  <c r="BR333" i="9"/>
  <c r="EI333" i="9" s="1"/>
  <c r="AS342" i="9"/>
  <c r="DJ342" i="9" s="1"/>
  <c r="AA412" i="9"/>
  <c r="CR412" i="9" s="1"/>
  <c r="AW342" i="9"/>
  <c r="DN342" i="9" s="1"/>
  <c r="AG342" i="9"/>
  <c r="CX342" i="9" s="1"/>
  <c r="BE412" i="9"/>
  <c r="DV412" i="9" s="1"/>
  <c r="BA342" i="9"/>
  <c r="DR342" i="9" s="1"/>
  <c r="AD472" i="9"/>
  <c r="CU472" i="9" s="1"/>
  <c r="AT412" i="9"/>
  <c r="DK412" i="9" s="1"/>
  <c r="AK342" i="9"/>
  <c r="DB342" i="9" s="1"/>
  <c r="BK351" i="9"/>
  <c r="EB351" i="9" s="1"/>
  <c r="BJ351" i="9"/>
  <c r="EA351" i="9" s="1"/>
  <c r="AX351" i="9"/>
  <c r="DO351" i="9" s="1"/>
  <c r="AH342" i="9"/>
  <c r="CY342" i="9" s="1"/>
  <c r="AU351" i="9"/>
  <c r="DL351" i="9" s="1"/>
  <c r="I238" i="9"/>
  <c r="AS351" i="9"/>
  <c r="DJ351" i="9" s="1"/>
  <c r="I363" i="9"/>
  <c r="I397" i="9"/>
  <c r="T568" i="9"/>
  <c r="CK568" i="9" s="1"/>
  <c r="L568" i="9"/>
  <c r="CC568" i="9" s="1"/>
  <c r="L312" i="9"/>
  <c r="CC312" i="9" s="1"/>
  <c r="N333" i="9"/>
  <c r="CE333" i="9" s="1"/>
  <c r="T276" i="9"/>
  <c r="CK276" i="9" s="1"/>
  <c r="S335" i="9"/>
  <c r="CJ335" i="9" s="1"/>
  <c r="P311" i="9"/>
  <c r="CG311" i="9" s="1"/>
  <c r="O573" i="9"/>
  <c r="CF573" i="9" s="1"/>
  <c r="Q350" i="9"/>
  <c r="CH350" i="9" s="1"/>
  <c r="N464" i="9"/>
  <c r="CE464" i="9" s="1"/>
  <c r="S276" i="9"/>
  <c r="CJ276" i="9" s="1"/>
  <c r="R311" i="9"/>
  <c r="CI311" i="9" s="1"/>
  <c r="S464" i="9"/>
  <c r="CJ464" i="9" s="1"/>
  <c r="O464" i="9"/>
  <c r="CF464" i="9" s="1"/>
  <c r="K333" i="9"/>
  <c r="CB333" i="9" s="1"/>
  <c r="L350" i="9"/>
  <c r="CC350" i="9" s="1"/>
  <c r="I359" i="9"/>
  <c r="N359" i="9" s="1"/>
  <c r="CE359" i="9" s="1"/>
  <c r="AJ350" i="9"/>
  <c r="DA350" i="9" s="1"/>
  <c r="BN350" i="9"/>
  <c r="EE350" i="9" s="1"/>
  <c r="BB333" i="9"/>
  <c r="DS333" i="9" s="1"/>
  <c r="X333" i="9"/>
  <c r="CO333" i="9" s="1"/>
  <c r="AN464" i="9"/>
  <c r="DE464" i="9" s="1"/>
  <c r="BL459" i="9"/>
  <c r="EC459" i="9" s="1"/>
  <c r="L573" i="9"/>
  <c r="CC573" i="9" s="1"/>
  <c r="K573" i="9"/>
  <c r="CB573" i="9" s="1"/>
  <c r="L464" i="9"/>
  <c r="CC464" i="9" s="1"/>
  <c r="Q311" i="9"/>
  <c r="CH311" i="9" s="1"/>
  <c r="N350" i="9"/>
  <c r="CE350" i="9" s="1"/>
  <c r="S312" i="9"/>
  <c r="CJ312" i="9" s="1"/>
  <c r="T350" i="9"/>
  <c r="CK350" i="9" s="1"/>
  <c r="N312" i="9"/>
  <c r="CE312" i="9" s="1"/>
  <c r="O350" i="9"/>
  <c r="CF350" i="9" s="1"/>
  <c r="O312" i="9"/>
  <c r="CF312" i="9" s="1"/>
  <c r="M577" i="9"/>
  <c r="CD577" i="9" s="1"/>
  <c r="P343" i="9"/>
  <c r="CG343" i="9" s="1"/>
  <c r="P276" i="9"/>
  <c r="CG276" i="9" s="1"/>
  <c r="K464" i="9"/>
  <c r="CB464" i="9" s="1"/>
  <c r="AB350" i="9"/>
  <c r="CS350" i="9" s="1"/>
  <c r="AO350" i="9"/>
  <c r="DF350" i="9" s="1"/>
  <c r="AL333" i="9"/>
  <c r="DC333" i="9" s="1"/>
  <c r="BE333" i="9"/>
  <c r="DV333" i="9" s="1"/>
  <c r="BB573" i="9"/>
  <c r="DS573" i="9" s="1"/>
  <c r="AB464" i="9"/>
  <c r="CS464" i="9" s="1"/>
  <c r="BQ459" i="9"/>
  <c r="EH459" i="9" s="1"/>
  <c r="K311" i="9"/>
  <c r="CB311" i="9" s="1"/>
  <c r="R573" i="9"/>
  <c r="CI573" i="9" s="1"/>
  <c r="R350" i="9"/>
  <c r="CI350" i="9" s="1"/>
  <c r="M311" i="9"/>
  <c r="CD311" i="9" s="1"/>
  <c r="P333" i="9"/>
  <c r="CG333" i="9" s="1"/>
  <c r="T418" i="9"/>
  <c r="CK418" i="9" s="1"/>
  <c r="P411" i="9"/>
  <c r="CG411" i="9" s="1"/>
  <c r="I558" i="9"/>
  <c r="S558" i="9" s="1"/>
  <c r="CJ558" i="9" s="1"/>
  <c r="I251" i="9"/>
  <c r="I253" i="9"/>
  <c r="BR350" i="9"/>
  <c r="EI350" i="9" s="1"/>
  <c r="U350" i="9"/>
  <c r="CL350" i="9" s="1"/>
  <c r="U333" i="9"/>
  <c r="CL333" i="9" s="1"/>
  <c r="BH333" i="9"/>
  <c r="DY333" i="9" s="1"/>
  <c r="AO573" i="9"/>
  <c r="DF573" i="9" s="1"/>
  <c r="L311" i="9"/>
  <c r="CC311" i="9" s="1"/>
  <c r="K312" i="9"/>
  <c r="CB312" i="9" s="1"/>
  <c r="S311" i="9"/>
  <c r="CJ311" i="9" s="1"/>
  <c r="N311" i="9"/>
  <c r="CE311" i="9" s="1"/>
  <c r="O333" i="9"/>
  <c r="CF333" i="9" s="1"/>
  <c r="M573" i="9"/>
  <c r="CD573" i="9" s="1"/>
  <c r="T312" i="9"/>
  <c r="CK312" i="9" s="1"/>
  <c r="M333" i="9"/>
  <c r="CD333" i="9" s="1"/>
  <c r="Q464" i="9"/>
  <c r="CH464" i="9" s="1"/>
  <c r="L333" i="9"/>
  <c r="CC333" i="9" s="1"/>
  <c r="P464" i="9"/>
  <c r="CG464" i="9" s="1"/>
  <c r="L343" i="9"/>
  <c r="CC343" i="9" s="1"/>
  <c r="BL350" i="9"/>
  <c r="EC350" i="9" s="1"/>
  <c r="AD350" i="9"/>
  <c r="CU350" i="9" s="1"/>
  <c r="BN333" i="9"/>
  <c r="EE333" i="9" s="1"/>
  <c r="AQ333" i="9"/>
  <c r="DH333" i="9" s="1"/>
  <c r="BG464" i="9"/>
  <c r="DX464" i="9" s="1"/>
  <c r="X464" i="9"/>
  <c r="CO464" i="9" s="1"/>
  <c r="L276" i="9"/>
  <c r="CC276" i="9" s="1"/>
  <c r="R343" i="9"/>
  <c r="CI343" i="9" s="1"/>
  <c r="T573" i="9"/>
  <c r="CK573" i="9" s="1"/>
  <c r="Q333" i="9"/>
  <c r="CH333" i="9" s="1"/>
  <c r="S573" i="9"/>
  <c r="CJ573" i="9" s="1"/>
  <c r="M350" i="9"/>
  <c r="CD350" i="9" s="1"/>
  <c r="S456" i="9"/>
  <c r="CJ456" i="9" s="1"/>
  <c r="I505" i="9"/>
  <c r="AB335" i="9"/>
  <c r="CS335" i="9" s="1"/>
  <c r="BP350" i="9"/>
  <c r="EG350" i="9" s="1"/>
  <c r="BE350" i="9"/>
  <c r="DV350" i="9" s="1"/>
  <c r="AF350" i="9"/>
  <c r="CW350" i="9" s="1"/>
  <c r="AB333" i="9"/>
  <c r="CS333" i="9" s="1"/>
  <c r="AC333" i="9"/>
  <c r="CT333" i="9" s="1"/>
  <c r="AA464" i="9"/>
  <c r="CR464" i="9" s="1"/>
  <c r="BA335" i="9"/>
  <c r="DR335" i="9" s="1"/>
  <c r="BA464" i="9"/>
  <c r="DR464" i="9" s="1"/>
  <c r="L418" i="9"/>
  <c r="CC418" i="9" s="1"/>
  <c r="Q312" i="9"/>
  <c r="CH312" i="9" s="1"/>
  <c r="N335" i="9"/>
  <c r="CE335" i="9" s="1"/>
  <c r="Q573" i="9"/>
  <c r="CH573" i="9" s="1"/>
  <c r="P350" i="9"/>
  <c r="CG350" i="9" s="1"/>
  <c r="S577" i="9"/>
  <c r="CJ577" i="9" s="1"/>
  <c r="N573" i="9"/>
  <c r="CE573" i="9" s="1"/>
  <c r="M464" i="9"/>
  <c r="CD464" i="9" s="1"/>
  <c r="T464" i="9"/>
  <c r="CK464" i="9" s="1"/>
  <c r="K350" i="9"/>
  <c r="CB350" i="9" s="1"/>
  <c r="I368" i="9"/>
  <c r="AD335" i="9"/>
  <c r="CU335" i="9" s="1"/>
  <c r="BB350" i="9"/>
  <c r="DS350" i="9" s="1"/>
  <c r="BH350" i="9"/>
  <c r="DY350" i="9" s="1"/>
  <c r="AI350" i="9"/>
  <c r="CZ350" i="9" s="1"/>
  <c r="Y333" i="9"/>
  <c r="CP333" i="9" s="1"/>
  <c r="AV333" i="9"/>
  <c r="DM333" i="9" s="1"/>
  <c r="AI333" i="9"/>
  <c r="CZ333" i="9" s="1"/>
  <c r="AR464" i="9"/>
  <c r="DI464" i="9" s="1"/>
  <c r="AZ464" i="9"/>
  <c r="DQ464" i="9" s="1"/>
  <c r="AS335" i="9"/>
  <c r="DJ335" i="9" s="1"/>
  <c r="L411" i="9"/>
  <c r="CC411" i="9" s="1"/>
  <c r="N343" i="9"/>
  <c r="CE343" i="9" s="1"/>
  <c r="R333" i="9"/>
  <c r="CI333" i="9" s="1"/>
  <c r="S350" i="9"/>
  <c r="CJ350" i="9" s="1"/>
  <c r="P312" i="9"/>
  <c r="CG312" i="9" s="1"/>
  <c r="T333" i="9"/>
  <c r="CK333" i="9" s="1"/>
  <c r="T343" i="9"/>
  <c r="CK343" i="9" s="1"/>
  <c r="Y350" i="9"/>
  <c r="CP350" i="9" s="1"/>
  <c r="AC350" i="9"/>
  <c r="CT350" i="9" s="1"/>
  <c r="AO333" i="9"/>
  <c r="DF333" i="9" s="1"/>
  <c r="AJ333" i="9"/>
  <c r="DA333" i="9" s="1"/>
  <c r="BN464" i="9"/>
  <c r="EE464" i="9" s="1"/>
  <c r="S631" i="9"/>
  <c r="CJ631" i="9" s="1"/>
  <c r="K631" i="9"/>
  <c r="CB631" i="9" s="1"/>
  <c r="T598" i="9"/>
  <c r="CK598" i="9" s="1"/>
  <c r="N598" i="9"/>
  <c r="CE598" i="9" s="1"/>
  <c r="S598" i="9"/>
  <c r="CJ598" i="9" s="1"/>
  <c r="P598" i="9"/>
  <c r="CG598" i="9" s="1"/>
  <c r="M598" i="9"/>
  <c r="CD598" i="9" s="1"/>
  <c r="R598" i="9"/>
  <c r="CI598" i="9" s="1"/>
  <c r="L598" i="9"/>
  <c r="CC598" i="9" s="1"/>
  <c r="T300" i="9"/>
  <c r="CK300" i="9" s="1"/>
  <c r="BN574" i="9"/>
  <c r="EE574" i="9" s="1"/>
  <c r="W579" i="9"/>
  <c r="CN579" i="9" s="1"/>
  <c r="AO579" i="9"/>
  <c r="DF579" i="9" s="1"/>
  <c r="L574" i="9"/>
  <c r="CC574" i="9" s="1"/>
  <c r="T673" i="9"/>
  <c r="CK673" i="9" s="1"/>
  <c r="M579" i="9"/>
  <c r="CD579" i="9" s="1"/>
  <c r="N455" i="9"/>
  <c r="CE455" i="9" s="1"/>
  <c r="Q468" i="9"/>
  <c r="CH468" i="9" s="1"/>
  <c r="P455" i="9"/>
  <c r="CG455" i="9" s="1"/>
  <c r="R310" i="9"/>
  <c r="CI310" i="9" s="1"/>
  <c r="I280" i="9"/>
  <c r="I517" i="9"/>
  <c r="I599" i="9"/>
  <c r="AP574" i="9"/>
  <c r="DG574" i="9" s="1"/>
  <c r="AZ574" i="9"/>
  <c r="DQ574" i="9" s="1"/>
  <c r="I601" i="9"/>
  <c r="BC579" i="9"/>
  <c r="DT579" i="9" s="1"/>
  <c r="BG579" i="9"/>
  <c r="DX579" i="9" s="1"/>
  <c r="BH348" i="9"/>
  <c r="DY348" i="9" s="1"/>
  <c r="U348" i="9"/>
  <c r="CL348" i="9" s="1"/>
  <c r="BQ348" i="9"/>
  <c r="EH348" i="9" s="1"/>
  <c r="AD348" i="9"/>
  <c r="CU348" i="9" s="1"/>
  <c r="W348" i="9"/>
  <c r="CN348" i="9" s="1"/>
  <c r="AR418" i="9"/>
  <c r="DI418" i="9" s="1"/>
  <c r="BG335" i="9"/>
  <c r="DX335" i="9" s="1"/>
  <c r="L455" i="9"/>
  <c r="CC455" i="9" s="1"/>
  <c r="R574" i="9"/>
  <c r="CI574" i="9" s="1"/>
  <c r="R347" i="9"/>
  <c r="CI347" i="9" s="1"/>
  <c r="M589" i="9"/>
  <c r="CD589" i="9" s="1"/>
  <c r="N468" i="9"/>
  <c r="CE468" i="9" s="1"/>
  <c r="N456" i="9"/>
  <c r="CE456" i="9" s="1"/>
  <c r="P574" i="9"/>
  <c r="CG574" i="9" s="1"/>
  <c r="R276" i="9"/>
  <c r="CI276" i="9" s="1"/>
  <c r="N407" i="9"/>
  <c r="CE407" i="9" s="1"/>
  <c r="O456" i="9"/>
  <c r="CF456" i="9" s="1"/>
  <c r="M276" i="9"/>
  <c r="CD276" i="9" s="1"/>
  <c r="I278" i="9"/>
  <c r="I605" i="9"/>
  <c r="BO574" i="9"/>
  <c r="EF574" i="9" s="1"/>
  <c r="BK574" i="9"/>
  <c r="EB574" i="9" s="1"/>
  <c r="I602" i="9"/>
  <c r="AP579" i="9"/>
  <c r="DG579" i="9" s="1"/>
  <c r="AT348" i="9"/>
  <c r="DK348" i="9" s="1"/>
  <c r="BR348" i="9"/>
  <c r="EI348" i="9" s="1"/>
  <c r="AF348" i="9"/>
  <c r="CW348" i="9" s="1"/>
  <c r="AV348" i="9"/>
  <c r="DM348" i="9" s="1"/>
  <c r="BI348" i="9"/>
  <c r="DZ348" i="9" s="1"/>
  <c r="AE418" i="9"/>
  <c r="CV418" i="9" s="1"/>
  <c r="L456" i="9"/>
  <c r="CC456" i="9" s="1"/>
  <c r="Q579" i="9"/>
  <c r="CH579" i="9" s="1"/>
  <c r="O589" i="9"/>
  <c r="CF589" i="9" s="1"/>
  <c r="O276" i="9"/>
  <c r="CF276" i="9" s="1"/>
  <c r="P347" i="9"/>
  <c r="CG347" i="9" s="1"/>
  <c r="M347" i="9"/>
  <c r="CD347" i="9" s="1"/>
  <c r="T455" i="9"/>
  <c r="CK455" i="9" s="1"/>
  <c r="S468" i="9"/>
  <c r="CJ468" i="9" s="1"/>
  <c r="I482" i="9"/>
  <c r="I488" i="9"/>
  <c r="I492" i="9"/>
  <c r="I612" i="9"/>
  <c r="U574" i="9"/>
  <c r="CL574" i="9" s="1"/>
  <c r="BL574" i="9"/>
  <c r="EC574" i="9" s="1"/>
  <c r="I611" i="9"/>
  <c r="AZ579" i="9"/>
  <c r="DQ579" i="9" s="1"/>
  <c r="I603" i="9"/>
  <c r="AA461" i="9"/>
  <c r="CR461" i="9" s="1"/>
  <c r="BG348" i="9"/>
  <c r="DX348" i="9" s="1"/>
  <c r="T574" i="9"/>
  <c r="CK574" i="9" s="1"/>
  <c r="S574" i="9"/>
  <c r="CJ574" i="9" s="1"/>
  <c r="Q456" i="9"/>
  <c r="CH456" i="9" s="1"/>
  <c r="M455" i="9"/>
  <c r="CD455" i="9" s="1"/>
  <c r="O468" i="9"/>
  <c r="CF468" i="9" s="1"/>
  <c r="I494" i="9"/>
  <c r="I487" i="9"/>
  <c r="I600" i="9"/>
  <c r="BC574" i="9"/>
  <c r="DT574" i="9" s="1"/>
  <c r="BR574" i="9"/>
  <c r="EI574" i="9" s="1"/>
  <c r="I613" i="9"/>
  <c r="I607" i="9"/>
  <c r="AQ579" i="9"/>
  <c r="DH579" i="9" s="1"/>
  <c r="AB341" i="9"/>
  <c r="CS341" i="9" s="1"/>
  <c r="AE348" i="9"/>
  <c r="CV348" i="9" s="1"/>
  <c r="AM348" i="9"/>
  <c r="DD348" i="9" s="1"/>
  <c r="AQ348" i="9"/>
  <c r="DH348" i="9" s="1"/>
  <c r="AB348" i="9"/>
  <c r="CS348" i="9" s="1"/>
  <c r="AY335" i="9"/>
  <c r="DP335" i="9" s="1"/>
  <c r="AW348" i="9"/>
  <c r="DN348" i="9" s="1"/>
  <c r="Z348" i="9"/>
  <c r="CQ348" i="9" s="1"/>
  <c r="K456" i="9"/>
  <c r="CB456" i="9" s="1"/>
  <c r="AI579" i="9"/>
  <c r="CZ579" i="9" s="1"/>
  <c r="BH573" i="9"/>
  <c r="DY573" i="9" s="1"/>
  <c r="Z341" i="9"/>
  <c r="CQ341" i="9" s="1"/>
  <c r="BK348" i="9"/>
  <c r="EB348" i="9" s="1"/>
  <c r="BF348" i="9"/>
  <c r="DW348" i="9" s="1"/>
  <c r="R579" i="9"/>
  <c r="CI579" i="9" s="1"/>
  <c r="O574" i="9"/>
  <c r="CF574" i="9" s="1"/>
  <c r="N574" i="9"/>
  <c r="CE574" i="9" s="1"/>
  <c r="Q411" i="9"/>
  <c r="CH411" i="9" s="1"/>
  <c r="I398" i="9"/>
  <c r="I256" i="9"/>
  <c r="I246" i="9"/>
  <c r="I243" i="9"/>
  <c r="I361" i="9"/>
  <c r="AQ574" i="9"/>
  <c r="DH574" i="9" s="1"/>
  <c r="AJ579" i="9"/>
  <c r="DA579" i="9" s="1"/>
  <c r="BD348" i="9"/>
  <c r="DU348" i="9" s="1"/>
  <c r="Y348" i="9"/>
  <c r="CP348" i="9" s="1"/>
  <c r="BE348" i="9"/>
  <c r="DV348" i="9" s="1"/>
  <c r="AA348" i="9"/>
  <c r="CR348" i="9" s="1"/>
  <c r="AY348" i="9"/>
  <c r="DP348" i="9" s="1"/>
  <c r="L421" i="9"/>
  <c r="CC421" i="9" s="1"/>
  <c r="AK420" i="9"/>
  <c r="DB420" i="9" s="1"/>
  <c r="AB336" i="9"/>
  <c r="CS336" i="9" s="1"/>
  <c r="BO408" i="9"/>
  <c r="EF408" i="9" s="1"/>
  <c r="T309" i="9"/>
  <c r="CK309" i="9" s="1"/>
  <c r="P309" i="9"/>
  <c r="CG309" i="9" s="1"/>
  <c r="R309" i="9"/>
  <c r="CI309" i="9" s="1"/>
  <c r="O309" i="9"/>
  <c r="CF309" i="9" s="1"/>
  <c r="N309" i="9"/>
  <c r="CE309" i="9" s="1"/>
  <c r="R314" i="9"/>
  <c r="CI314" i="9" s="1"/>
  <c r="M314" i="9"/>
  <c r="CD314" i="9" s="1"/>
  <c r="R323" i="9"/>
  <c r="CI323" i="9" s="1"/>
  <c r="S323" i="9"/>
  <c r="CJ323" i="9" s="1"/>
  <c r="BE420" i="9"/>
  <c r="DV420" i="9" s="1"/>
  <c r="U453" i="9"/>
  <c r="CL453" i="9" s="1"/>
  <c r="BG453" i="9"/>
  <c r="DX453" i="9" s="1"/>
  <c r="BD453" i="9"/>
  <c r="DU453" i="9" s="1"/>
  <c r="BJ453" i="9"/>
  <c r="EA453" i="9" s="1"/>
  <c r="AX453" i="9"/>
  <c r="DO453" i="9" s="1"/>
  <c r="Z453" i="9"/>
  <c r="CQ453" i="9" s="1"/>
  <c r="AM453" i="9"/>
  <c r="DD453" i="9" s="1"/>
  <c r="AK453" i="9"/>
  <c r="DB453" i="9" s="1"/>
  <c r="BB453" i="9"/>
  <c r="DS453" i="9" s="1"/>
  <c r="BO453" i="9"/>
  <c r="EF453" i="9" s="1"/>
  <c r="V453" i="9"/>
  <c r="CM453" i="9" s="1"/>
  <c r="AG453" i="9"/>
  <c r="CX453" i="9" s="1"/>
  <c r="AO453" i="9"/>
  <c r="DF453" i="9" s="1"/>
  <c r="BA453" i="9"/>
  <c r="DR453" i="9" s="1"/>
  <c r="AD453" i="9"/>
  <c r="CU453" i="9" s="1"/>
  <c r="AW453" i="9"/>
  <c r="DN453" i="9" s="1"/>
  <c r="AI453" i="9"/>
  <c r="CZ453" i="9" s="1"/>
  <c r="W453" i="9"/>
  <c r="CN453" i="9" s="1"/>
  <c r="AJ453" i="9"/>
  <c r="DA453" i="9" s="1"/>
  <c r="AA453" i="9"/>
  <c r="CR453" i="9" s="1"/>
  <c r="BN453" i="9"/>
  <c r="EE453" i="9" s="1"/>
  <c r="T453" i="9"/>
  <c r="CK453" i="9" s="1"/>
  <c r="R453" i="9"/>
  <c r="CI453" i="9" s="1"/>
  <c r="AS453" i="9"/>
  <c r="DJ453" i="9" s="1"/>
  <c r="BK453" i="9"/>
  <c r="EB453" i="9" s="1"/>
  <c r="AR453" i="9"/>
  <c r="DI453" i="9" s="1"/>
  <c r="AY453" i="9"/>
  <c r="DP453" i="9" s="1"/>
  <c r="AB453" i="9"/>
  <c r="CS453" i="9" s="1"/>
  <c r="N453" i="9"/>
  <c r="CE453" i="9" s="1"/>
  <c r="AQ453" i="9"/>
  <c r="DH453" i="9" s="1"/>
  <c r="BL453" i="9"/>
  <c r="EC453" i="9" s="1"/>
  <c r="BM453" i="9"/>
  <c r="ED453" i="9" s="1"/>
  <c r="Y453" i="9"/>
  <c r="CP453" i="9" s="1"/>
  <c r="AS415" i="9"/>
  <c r="DJ415" i="9" s="1"/>
  <c r="AE415" i="9"/>
  <c r="CV415" i="9" s="1"/>
  <c r="AT415" i="9"/>
  <c r="DK415" i="9" s="1"/>
  <c r="AU415" i="9"/>
  <c r="DL415" i="9" s="1"/>
  <c r="AP415" i="9"/>
  <c r="DG415" i="9" s="1"/>
  <c r="BH415" i="9"/>
  <c r="DY415" i="9" s="1"/>
  <c r="AR415" i="9"/>
  <c r="DI415" i="9" s="1"/>
  <c r="Z415" i="9"/>
  <c r="CQ415" i="9" s="1"/>
  <c r="BF415" i="9"/>
  <c r="DW415" i="9" s="1"/>
  <c r="X415" i="9"/>
  <c r="CO415" i="9" s="1"/>
  <c r="AO415" i="9"/>
  <c r="DF415" i="9" s="1"/>
  <c r="AC415" i="9"/>
  <c r="CT415" i="9" s="1"/>
  <c r="Q415" i="9"/>
  <c r="CH415" i="9" s="1"/>
  <c r="P415" i="9"/>
  <c r="CG415" i="9" s="1"/>
  <c r="AX415" i="9"/>
  <c r="DO415" i="9" s="1"/>
  <c r="S415" i="9"/>
  <c r="CJ415" i="9" s="1"/>
  <c r="T415" i="9"/>
  <c r="CK415" i="9" s="1"/>
  <c r="R415" i="9"/>
  <c r="CI415" i="9" s="1"/>
  <c r="BE415" i="9"/>
  <c r="DV415" i="9" s="1"/>
  <c r="AI415" i="9"/>
  <c r="CZ415" i="9" s="1"/>
  <c r="BC415" i="9"/>
  <c r="DT415" i="9" s="1"/>
  <c r="AF415" i="9"/>
  <c r="CW415" i="9" s="1"/>
  <c r="AU346" i="9"/>
  <c r="DL346" i="9" s="1"/>
  <c r="AE346" i="9"/>
  <c r="CV346" i="9" s="1"/>
  <c r="BB346" i="9"/>
  <c r="DS346" i="9" s="1"/>
  <c r="AL346" i="9"/>
  <c r="DC346" i="9" s="1"/>
  <c r="W346" i="9"/>
  <c r="CN346" i="9" s="1"/>
  <c r="V346" i="9"/>
  <c r="CM346" i="9" s="1"/>
  <c r="BH346" i="9"/>
  <c r="DY346" i="9" s="1"/>
  <c r="AJ346" i="9"/>
  <c r="DA346" i="9" s="1"/>
  <c r="BO346" i="9"/>
  <c r="EF346" i="9" s="1"/>
  <c r="AG346" i="9"/>
  <c r="CX346" i="9" s="1"/>
  <c r="AI346" i="9"/>
  <c r="CZ346" i="9" s="1"/>
  <c r="BN346" i="9"/>
  <c r="EE346" i="9" s="1"/>
  <c r="BD346" i="9"/>
  <c r="DU346" i="9" s="1"/>
  <c r="AC346" i="9"/>
  <c r="CT346" i="9" s="1"/>
  <c r="BF346" i="9"/>
  <c r="DW346" i="9" s="1"/>
  <c r="AA346" i="9"/>
  <c r="CR346" i="9" s="1"/>
  <c r="AT346" i="9"/>
  <c r="DK346" i="9" s="1"/>
  <c r="BE346" i="9"/>
  <c r="DV346" i="9" s="1"/>
  <c r="Q346" i="9"/>
  <c r="CH346" i="9" s="1"/>
  <c r="AY346" i="9"/>
  <c r="DP346" i="9" s="1"/>
  <c r="Y346" i="9"/>
  <c r="CP346" i="9" s="1"/>
  <c r="AB346" i="9"/>
  <c r="CS346" i="9" s="1"/>
  <c r="Z346" i="9"/>
  <c r="CQ346" i="9" s="1"/>
  <c r="X346" i="9"/>
  <c r="CO346" i="9" s="1"/>
  <c r="AF346" i="9"/>
  <c r="CW346" i="9" s="1"/>
  <c r="S346" i="9"/>
  <c r="CJ346" i="9" s="1"/>
  <c r="BR346" i="9"/>
  <c r="EI346" i="9" s="1"/>
  <c r="U346" i="9"/>
  <c r="CL346" i="9" s="1"/>
  <c r="AV346" i="9"/>
  <c r="DM346" i="9" s="1"/>
  <c r="AP346" i="9"/>
  <c r="DG346" i="9" s="1"/>
  <c r="AD346" i="9"/>
  <c r="CU346" i="9" s="1"/>
  <c r="P346" i="9"/>
  <c r="CG346" i="9" s="1"/>
  <c r="L590" i="9"/>
  <c r="CC590" i="9" s="1"/>
  <c r="L453" i="9"/>
  <c r="CC453" i="9" s="1"/>
  <c r="K323" i="9"/>
  <c r="CB323" i="9" s="1"/>
  <c r="R335" i="9"/>
  <c r="CI335" i="9" s="1"/>
  <c r="S314" i="9"/>
  <c r="CJ314" i="9" s="1"/>
  <c r="S352" i="9"/>
  <c r="CJ352" i="9" s="1"/>
  <c r="O335" i="9"/>
  <c r="CF335" i="9" s="1"/>
  <c r="M323" i="9"/>
  <c r="CD323" i="9" s="1"/>
  <c r="M335" i="9"/>
  <c r="CD335" i="9" s="1"/>
  <c r="N420" i="9"/>
  <c r="CE420" i="9" s="1"/>
  <c r="N415" i="9"/>
  <c r="CE415" i="9" s="1"/>
  <c r="K346" i="9"/>
  <c r="CB346" i="9" s="1"/>
  <c r="I662" i="9"/>
  <c r="I646" i="9"/>
  <c r="P589" i="9"/>
  <c r="CG589" i="9" s="1"/>
  <c r="N589" i="9"/>
  <c r="CE589" i="9" s="1"/>
  <c r="T589" i="9"/>
  <c r="CK589" i="9" s="1"/>
  <c r="N408" i="9"/>
  <c r="CE408" i="9" s="1"/>
  <c r="AV335" i="9"/>
  <c r="DM335" i="9" s="1"/>
  <c r="BF420" i="9"/>
  <c r="DW420" i="9" s="1"/>
  <c r="AO346" i="9"/>
  <c r="DF346" i="9" s="1"/>
  <c r="BO336" i="9"/>
  <c r="EF336" i="9" s="1"/>
  <c r="BF408" i="9"/>
  <c r="DW408" i="9" s="1"/>
  <c r="BI453" i="9"/>
  <c r="DZ453" i="9" s="1"/>
  <c r="Q314" i="9"/>
  <c r="CH314" i="9" s="1"/>
  <c r="N346" i="9"/>
  <c r="CE346" i="9" s="1"/>
  <c r="R352" i="9"/>
  <c r="CI352" i="9" s="1"/>
  <c r="P323" i="9"/>
  <c r="CG323" i="9" s="1"/>
  <c r="T346" i="9"/>
  <c r="CK346" i="9" s="1"/>
  <c r="L336" i="9"/>
  <c r="CC336" i="9" s="1"/>
  <c r="K453" i="9"/>
  <c r="CB453" i="9" s="1"/>
  <c r="O415" i="9"/>
  <c r="CF415" i="9" s="1"/>
  <c r="BL346" i="9"/>
  <c r="EC346" i="9" s="1"/>
  <c r="BE336" i="9"/>
  <c r="DV336" i="9" s="1"/>
  <c r="AQ408" i="9"/>
  <c r="DH408" i="9" s="1"/>
  <c r="AN453" i="9"/>
  <c r="DE453" i="9" s="1"/>
  <c r="Y415" i="9"/>
  <c r="CP415" i="9" s="1"/>
  <c r="AP341" i="9"/>
  <c r="DG341" i="9" s="1"/>
  <c r="V341" i="9"/>
  <c r="CM341" i="9" s="1"/>
  <c r="AT341" i="9"/>
  <c r="DK341" i="9" s="1"/>
  <c r="AA341" i="9"/>
  <c r="CR341" i="9" s="1"/>
  <c r="AL341" i="9"/>
  <c r="DC341" i="9" s="1"/>
  <c r="BE341" i="9"/>
  <c r="DV341" i="9" s="1"/>
  <c r="Y341" i="9"/>
  <c r="CP341" i="9" s="1"/>
  <c r="BP341" i="9"/>
  <c r="EG341" i="9" s="1"/>
  <c r="AJ341" i="9"/>
  <c r="DA341" i="9" s="1"/>
  <c r="X341" i="9"/>
  <c r="CO341" i="9" s="1"/>
  <c r="BB341" i="9"/>
  <c r="DS341" i="9" s="1"/>
  <c r="AQ341" i="9"/>
  <c r="DH341" i="9" s="1"/>
  <c r="AC341" i="9"/>
  <c r="CT341" i="9" s="1"/>
  <c r="BO341" i="9"/>
  <c r="EF341" i="9" s="1"/>
  <c r="BH341" i="9"/>
  <c r="DY341" i="9" s="1"/>
  <c r="K341" i="9"/>
  <c r="CB341" i="9" s="1"/>
  <c r="O341" i="9"/>
  <c r="CF341" i="9" s="1"/>
  <c r="AR341" i="9"/>
  <c r="DI341" i="9" s="1"/>
  <c r="BN341" i="9"/>
  <c r="EE341" i="9" s="1"/>
  <c r="AO341" i="9"/>
  <c r="DF341" i="9" s="1"/>
  <c r="L341" i="9"/>
  <c r="CC341" i="9" s="1"/>
  <c r="P341" i="9"/>
  <c r="CG341" i="9" s="1"/>
  <c r="T341" i="9"/>
  <c r="CK341" i="9" s="1"/>
  <c r="S341" i="9"/>
  <c r="CJ341" i="9" s="1"/>
  <c r="AU341" i="9"/>
  <c r="DL341" i="9" s="1"/>
  <c r="AN341" i="9"/>
  <c r="DE341" i="9" s="1"/>
  <c r="BQ341" i="9"/>
  <c r="EH341" i="9" s="1"/>
  <c r="AM341" i="9"/>
  <c r="DD341" i="9" s="1"/>
  <c r="AY341" i="9"/>
  <c r="DP341" i="9" s="1"/>
  <c r="U341" i="9"/>
  <c r="CL341" i="9" s="1"/>
  <c r="AI341" i="9"/>
  <c r="CZ341" i="9" s="1"/>
  <c r="AV341" i="9"/>
  <c r="DM341" i="9" s="1"/>
  <c r="M341" i="9"/>
  <c r="CD341" i="9" s="1"/>
  <c r="Z417" i="9"/>
  <c r="CQ417" i="9" s="1"/>
  <c r="BL417" i="9"/>
  <c r="EC417" i="9" s="1"/>
  <c r="AV417" i="9"/>
  <c r="DM417" i="9" s="1"/>
  <c r="BE417" i="9"/>
  <c r="DV417" i="9" s="1"/>
  <c r="AB417" i="9"/>
  <c r="CS417" i="9" s="1"/>
  <c r="BN417" i="9"/>
  <c r="EE417" i="9" s="1"/>
  <c r="Q417" i="9"/>
  <c r="CH417" i="9" s="1"/>
  <c r="AU417" i="9"/>
  <c r="DL417" i="9" s="1"/>
  <c r="AE417" i="9"/>
  <c r="CV417" i="9" s="1"/>
  <c r="N417" i="9"/>
  <c r="CE417" i="9" s="1"/>
  <c r="AW417" i="9"/>
  <c r="DN417" i="9" s="1"/>
  <c r="P417" i="9"/>
  <c r="CG417" i="9" s="1"/>
  <c r="Z418" i="9"/>
  <c r="CQ418" i="9" s="1"/>
  <c r="BK418" i="9"/>
  <c r="EB418" i="9" s="1"/>
  <c r="AO418" i="9"/>
  <c r="DF418" i="9" s="1"/>
  <c r="AJ418" i="9"/>
  <c r="DA418" i="9" s="1"/>
  <c r="AG418" i="9"/>
  <c r="CX418" i="9" s="1"/>
  <c r="BO418" i="9"/>
  <c r="EF418" i="9" s="1"/>
  <c r="U418" i="9"/>
  <c r="CL418" i="9" s="1"/>
  <c r="AW418" i="9"/>
  <c r="DN418" i="9" s="1"/>
  <c r="AU418" i="9"/>
  <c r="DL418" i="9" s="1"/>
  <c r="AI418" i="9"/>
  <c r="CZ418" i="9" s="1"/>
  <c r="AP418" i="9"/>
  <c r="DG418" i="9" s="1"/>
  <c r="BG418" i="9"/>
  <c r="DX418" i="9" s="1"/>
  <c r="AM418" i="9"/>
  <c r="DD418" i="9" s="1"/>
  <c r="AZ418" i="9"/>
  <c r="DQ418" i="9" s="1"/>
  <c r="AB418" i="9"/>
  <c r="CS418" i="9" s="1"/>
  <c r="BJ418" i="9"/>
  <c r="EA418" i="9" s="1"/>
  <c r="BP418" i="9"/>
  <c r="EG418" i="9" s="1"/>
  <c r="V418" i="9"/>
  <c r="CM418" i="9" s="1"/>
  <c r="AH418" i="9"/>
  <c r="CY418" i="9" s="1"/>
  <c r="BH418" i="9"/>
  <c r="DY418" i="9" s="1"/>
  <c r="M418" i="9"/>
  <c r="CD418" i="9" s="1"/>
  <c r="AF418" i="9"/>
  <c r="CW418" i="9" s="1"/>
  <c r="BC418" i="9"/>
  <c r="DT418" i="9" s="1"/>
  <c r="BI418" i="9"/>
  <c r="DZ418" i="9" s="1"/>
  <c r="W418" i="9"/>
  <c r="CN418" i="9" s="1"/>
  <c r="N418" i="9"/>
  <c r="CE418" i="9" s="1"/>
  <c r="BR418" i="9"/>
  <c r="EI418" i="9" s="1"/>
  <c r="BL418" i="9"/>
  <c r="EC418" i="9" s="1"/>
  <c r="AA418" i="9"/>
  <c r="CR418" i="9" s="1"/>
  <c r="BF418" i="9"/>
  <c r="DW418" i="9" s="1"/>
  <c r="S418" i="9"/>
  <c r="CJ418" i="9" s="1"/>
  <c r="Q418" i="9"/>
  <c r="CH418" i="9" s="1"/>
  <c r="O418" i="9"/>
  <c r="CF418" i="9" s="1"/>
  <c r="AV418" i="9"/>
  <c r="DM418" i="9" s="1"/>
  <c r="BA418" i="9"/>
  <c r="DR418" i="9" s="1"/>
  <c r="AT418" i="9"/>
  <c r="DK418" i="9" s="1"/>
  <c r="BN418" i="9"/>
  <c r="EE418" i="9" s="1"/>
  <c r="BB418" i="9"/>
  <c r="DS418" i="9" s="1"/>
  <c r="BF335" i="9"/>
  <c r="DW335" i="9" s="1"/>
  <c r="W335" i="9"/>
  <c r="CN335" i="9" s="1"/>
  <c r="AH335" i="9"/>
  <c r="CY335" i="9" s="1"/>
  <c r="AG335" i="9"/>
  <c r="CX335" i="9" s="1"/>
  <c r="BH335" i="9"/>
  <c r="DY335" i="9" s="1"/>
  <c r="Y335" i="9"/>
  <c r="CP335" i="9" s="1"/>
  <c r="AJ335" i="9"/>
  <c r="DA335" i="9" s="1"/>
  <c r="X335" i="9"/>
  <c r="CO335" i="9" s="1"/>
  <c r="AK335" i="9"/>
  <c r="DB335" i="9" s="1"/>
  <c r="BJ335" i="9"/>
  <c r="EA335" i="9" s="1"/>
  <c r="AM335" i="9"/>
  <c r="DD335" i="9" s="1"/>
  <c r="AN335" i="9"/>
  <c r="DE335" i="9" s="1"/>
  <c r="AL335" i="9"/>
  <c r="DC335" i="9" s="1"/>
  <c r="BQ335" i="9"/>
  <c r="EH335" i="9" s="1"/>
  <c r="AW335" i="9"/>
  <c r="DN335" i="9" s="1"/>
  <c r="AA335" i="9"/>
  <c r="CR335" i="9" s="1"/>
  <c r="BR335" i="9"/>
  <c r="EI335" i="9" s="1"/>
  <c r="AO335" i="9"/>
  <c r="DF335" i="9" s="1"/>
  <c r="BL335" i="9"/>
  <c r="EC335" i="9" s="1"/>
  <c r="BI335" i="9"/>
  <c r="DZ335" i="9" s="1"/>
  <c r="BC335" i="9"/>
  <c r="DT335" i="9" s="1"/>
  <c r="BN335" i="9"/>
  <c r="EE335" i="9" s="1"/>
  <c r="AT335" i="9"/>
  <c r="DK335" i="9" s="1"/>
  <c r="AI335" i="9"/>
  <c r="CZ335" i="9" s="1"/>
  <c r="BB335" i="9"/>
  <c r="DS335" i="9" s="1"/>
  <c r="Z335" i="9"/>
  <c r="CQ335" i="9" s="1"/>
  <c r="AE335" i="9"/>
  <c r="CV335" i="9" s="1"/>
  <c r="BE335" i="9"/>
  <c r="DV335" i="9" s="1"/>
  <c r="K335" i="9"/>
  <c r="CB335" i="9" s="1"/>
  <c r="AR335" i="9"/>
  <c r="DI335" i="9" s="1"/>
  <c r="AC335" i="9"/>
  <c r="CT335" i="9" s="1"/>
  <c r="BO335" i="9"/>
  <c r="EF335" i="9" s="1"/>
  <c r="AX335" i="9"/>
  <c r="DO335" i="9" s="1"/>
  <c r="AP335" i="9"/>
  <c r="DG335" i="9" s="1"/>
  <c r="BP335" i="9"/>
  <c r="EG335" i="9" s="1"/>
  <c r="AF335" i="9"/>
  <c r="CW335" i="9" s="1"/>
  <c r="L335" i="9"/>
  <c r="CC335" i="9" s="1"/>
  <c r="L314" i="9"/>
  <c r="CC314" i="9" s="1"/>
  <c r="L323" i="9"/>
  <c r="CC323" i="9" s="1"/>
  <c r="N336" i="9"/>
  <c r="CE336" i="9" s="1"/>
  <c r="R346" i="9"/>
  <c r="CI346" i="9" s="1"/>
  <c r="N568" i="9"/>
  <c r="CE568" i="9" s="1"/>
  <c r="T352" i="9"/>
  <c r="CK352" i="9" s="1"/>
  <c r="O323" i="9"/>
  <c r="CF323" i="9" s="1"/>
  <c r="Q335" i="9"/>
  <c r="CH335" i="9" s="1"/>
  <c r="P408" i="9"/>
  <c r="CG408" i="9" s="1"/>
  <c r="L352" i="9"/>
  <c r="CC352" i="9" s="1"/>
  <c r="O453" i="9"/>
  <c r="CF453" i="9" s="1"/>
  <c r="I550" i="9"/>
  <c r="I561" i="9"/>
  <c r="I567" i="9"/>
  <c r="I555" i="9"/>
  <c r="BO417" i="9"/>
  <c r="EF417" i="9" s="1"/>
  <c r="U335" i="9"/>
  <c r="CL335" i="9" s="1"/>
  <c r="AR346" i="9"/>
  <c r="DI346" i="9" s="1"/>
  <c r="AE341" i="9"/>
  <c r="CV341" i="9" s="1"/>
  <c r="AP453" i="9"/>
  <c r="DG453" i="9" s="1"/>
  <c r="BM335" i="9"/>
  <c r="ED335" i="9" s="1"/>
  <c r="AD418" i="9"/>
  <c r="CU418" i="9" s="1"/>
  <c r="BP415" i="9"/>
  <c r="EG415" i="9" s="1"/>
  <c r="AW408" i="9"/>
  <c r="DN408" i="9" s="1"/>
  <c r="AA408" i="9"/>
  <c r="CR408" i="9" s="1"/>
  <c r="X408" i="9"/>
  <c r="CO408" i="9" s="1"/>
  <c r="AK408" i="9"/>
  <c r="DB408" i="9" s="1"/>
  <c r="BR408" i="9"/>
  <c r="EI408" i="9" s="1"/>
  <c r="BK408" i="9"/>
  <c r="EB408" i="9" s="1"/>
  <c r="AP408" i="9"/>
  <c r="DG408" i="9" s="1"/>
  <c r="AJ408" i="9"/>
  <c r="DA408" i="9" s="1"/>
  <c r="AU408" i="9"/>
  <c r="DL408" i="9" s="1"/>
  <c r="AT408" i="9"/>
  <c r="DK408" i="9" s="1"/>
  <c r="BC408" i="9"/>
  <c r="DT408" i="9" s="1"/>
  <c r="AL408" i="9"/>
  <c r="DC408" i="9" s="1"/>
  <c r="AV408" i="9"/>
  <c r="DM408" i="9" s="1"/>
  <c r="Y408" i="9"/>
  <c r="CP408" i="9" s="1"/>
  <c r="BE408" i="9"/>
  <c r="DV408" i="9" s="1"/>
  <c r="Z408" i="9"/>
  <c r="CQ408" i="9" s="1"/>
  <c r="AB408" i="9"/>
  <c r="CS408" i="9" s="1"/>
  <c r="AM408" i="9"/>
  <c r="DD408" i="9" s="1"/>
  <c r="AO408" i="9"/>
  <c r="DF408" i="9" s="1"/>
  <c r="O408" i="9"/>
  <c r="CF408" i="9" s="1"/>
  <c r="BM408" i="9"/>
  <c r="ED408" i="9" s="1"/>
  <c r="BJ408" i="9"/>
  <c r="EA408" i="9" s="1"/>
  <c r="W408" i="9"/>
  <c r="CN408" i="9" s="1"/>
  <c r="T408" i="9"/>
  <c r="CK408" i="9" s="1"/>
  <c r="R408" i="9"/>
  <c r="CI408" i="9" s="1"/>
  <c r="BQ408" i="9"/>
  <c r="EH408" i="9" s="1"/>
  <c r="V408" i="9"/>
  <c r="CM408" i="9" s="1"/>
  <c r="AZ408" i="9"/>
  <c r="DQ408" i="9" s="1"/>
  <c r="S408" i="9"/>
  <c r="CJ408" i="9" s="1"/>
  <c r="BB408" i="9"/>
  <c r="DS408" i="9" s="1"/>
  <c r="BN408" i="9"/>
  <c r="EE408" i="9" s="1"/>
  <c r="AC408" i="9"/>
  <c r="CT408" i="9" s="1"/>
  <c r="BG408" i="9"/>
  <c r="DX408" i="9" s="1"/>
  <c r="AH408" i="9"/>
  <c r="CY408" i="9" s="1"/>
  <c r="BH408" i="9"/>
  <c r="DY408" i="9" s="1"/>
  <c r="BP408" i="9"/>
  <c r="EG408" i="9" s="1"/>
  <c r="Q408" i="9"/>
  <c r="CH408" i="9" s="1"/>
  <c r="M408" i="9"/>
  <c r="CD408" i="9" s="1"/>
  <c r="L408" i="9"/>
  <c r="CC408" i="9" s="1"/>
  <c r="BP336" i="9"/>
  <c r="EG336" i="9" s="1"/>
  <c r="AT336" i="9"/>
  <c r="DK336" i="9" s="1"/>
  <c r="Y336" i="9"/>
  <c r="CP336" i="9" s="1"/>
  <c r="AA336" i="9"/>
  <c r="CR336" i="9" s="1"/>
  <c r="AV336" i="9"/>
  <c r="DM336" i="9" s="1"/>
  <c r="AM336" i="9"/>
  <c r="DD336" i="9" s="1"/>
  <c r="AL336" i="9"/>
  <c r="DC336" i="9" s="1"/>
  <c r="X336" i="9"/>
  <c r="CO336" i="9" s="1"/>
  <c r="W336" i="9"/>
  <c r="CN336" i="9" s="1"/>
  <c r="V336" i="9"/>
  <c r="CM336" i="9" s="1"/>
  <c r="BB336" i="9"/>
  <c r="DS336" i="9" s="1"/>
  <c r="BH336" i="9"/>
  <c r="DY336" i="9" s="1"/>
  <c r="BN336" i="9"/>
  <c r="EE336" i="9" s="1"/>
  <c r="BF336" i="9"/>
  <c r="DW336" i="9" s="1"/>
  <c r="AQ336" i="9"/>
  <c r="DH336" i="9" s="1"/>
  <c r="AO336" i="9"/>
  <c r="DF336" i="9" s="1"/>
  <c r="AI336" i="9"/>
  <c r="CZ336" i="9" s="1"/>
  <c r="Q336" i="9"/>
  <c r="CH336" i="9" s="1"/>
  <c r="AF336" i="9"/>
  <c r="CW336" i="9" s="1"/>
  <c r="AE336" i="9"/>
  <c r="CV336" i="9" s="1"/>
  <c r="BR336" i="9"/>
  <c r="EI336" i="9" s="1"/>
  <c r="P336" i="9"/>
  <c r="CG336" i="9" s="1"/>
  <c r="T336" i="9"/>
  <c r="CK336" i="9" s="1"/>
  <c r="AR336" i="9"/>
  <c r="DI336" i="9" s="1"/>
  <c r="BL336" i="9"/>
  <c r="EC336" i="9" s="1"/>
  <c r="AC336" i="9"/>
  <c r="CT336" i="9" s="1"/>
  <c r="O336" i="9"/>
  <c r="CF336" i="9" s="1"/>
  <c r="R336" i="9"/>
  <c r="CI336" i="9" s="1"/>
  <c r="AN336" i="9"/>
  <c r="DE336" i="9" s="1"/>
  <c r="AJ336" i="9"/>
  <c r="DA336" i="9" s="1"/>
  <c r="AD336" i="9"/>
  <c r="CU336" i="9" s="1"/>
  <c r="U336" i="9"/>
  <c r="CL336" i="9" s="1"/>
  <c r="K336" i="9"/>
  <c r="CB336" i="9" s="1"/>
  <c r="L309" i="9"/>
  <c r="CC309" i="9" s="1"/>
  <c r="K309" i="9"/>
  <c r="CB309" i="9" s="1"/>
  <c r="L415" i="9"/>
  <c r="CC415" i="9" s="1"/>
  <c r="K314" i="9"/>
  <c r="CB314" i="9" s="1"/>
  <c r="S309" i="9"/>
  <c r="CJ309" i="9" s="1"/>
  <c r="P314" i="9"/>
  <c r="CG314" i="9" s="1"/>
  <c r="T323" i="9"/>
  <c r="CK323" i="9" s="1"/>
  <c r="M346" i="9"/>
  <c r="CD346" i="9" s="1"/>
  <c r="N515" i="9"/>
  <c r="CE515" i="9" s="1"/>
  <c r="P418" i="9"/>
  <c r="CG418" i="9" s="1"/>
  <c r="S407" i="9"/>
  <c r="CJ407" i="9" s="1"/>
  <c r="M430" i="9"/>
  <c r="CD430" i="9" s="1"/>
  <c r="N430" i="9"/>
  <c r="CE430" i="9" s="1"/>
  <c r="AK417" i="9"/>
  <c r="DB417" i="9" s="1"/>
  <c r="BD335" i="9"/>
  <c r="DU335" i="9" s="1"/>
  <c r="BP346" i="9"/>
  <c r="EG346" i="9" s="1"/>
  <c r="AC453" i="9"/>
  <c r="CT453" i="9" s="1"/>
  <c r="AP336" i="9"/>
  <c r="DG336" i="9" s="1"/>
  <c r="AF408" i="9"/>
  <c r="CW408" i="9" s="1"/>
  <c r="BJ415" i="9"/>
  <c r="EA415" i="9" s="1"/>
  <c r="AN408" i="9"/>
  <c r="DE408" i="9" s="1"/>
  <c r="AS420" i="9"/>
  <c r="DJ420" i="9" s="1"/>
  <c r="X420" i="9"/>
  <c r="CO420" i="9" s="1"/>
  <c r="AX420" i="9"/>
  <c r="DO420" i="9" s="1"/>
  <c r="AI420" i="9"/>
  <c r="CZ420" i="9" s="1"/>
  <c r="AC420" i="9"/>
  <c r="CT420" i="9" s="1"/>
  <c r="U420" i="9"/>
  <c r="CL420" i="9" s="1"/>
  <c r="BP420" i="9"/>
  <c r="EG420" i="9" s="1"/>
  <c r="BN420" i="9"/>
  <c r="EE420" i="9" s="1"/>
  <c r="V420" i="9"/>
  <c r="CM420" i="9" s="1"/>
  <c r="AE420" i="9"/>
  <c r="CV420" i="9" s="1"/>
  <c r="BD420" i="9"/>
  <c r="DU420" i="9" s="1"/>
  <c r="AJ420" i="9"/>
  <c r="DA420" i="9" s="1"/>
  <c r="BO420" i="9"/>
  <c r="EF420" i="9" s="1"/>
  <c r="Q420" i="9"/>
  <c r="CH420" i="9" s="1"/>
  <c r="AM420" i="9"/>
  <c r="DD420" i="9" s="1"/>
  <c r="T420" i="9"/>
  <c r="CK420" i="9" s="1"/>
  <c r="O420" i="9"/>
  <c r="CF420" i="9" s="1"/>
  <c r="BQ420" i="9"/>
  <c r="EH420" i="9" s="1"/>
  <c r="AG420" i="9"/>
  <c r="CX420" i="9" s="1"/>
  <c r="AD420" i="9"/>
  <c r="CU420" i="9" s="1"/>
  <c r="AW420" i="9"/>
  <c r="DN420" i="9" s="1"/>
  <c r="AY420" i="9"/>
  <c r="DP420" i="9" s="1"/>
  <c r="AO420" i="9"/>
  <c r="DF420" i="9" s="1"/>
  <c r="BH420" i="9"/>
  <c r="DY420" i="9" s="1"/>
  <c r="M420" i="9"/>
  <c r="CD420" i="9" s="1"/>
  <c r="Q309" i="9"/>
  <c r="CH309" i="9" s="1"/>
  <c r="N352" i="9"/>
  <c r="CE352" i="9" s="1"/>
  <c r="O580" i="9"/>
  <c r="CF580" i="9" s="1"/>
  <c r="M309" i="9"/>
  <c r="T314" i="9"/>
  <c r="CK314" i="9" s="1"/>
  <c r="S453" i="9"/>
  <c r="CJ453" i="9" s="1"/>
  <c r="M453" i="9"/>
  <c r="CD453" i="9" s="1"/>
  <c r="P420" i="9"/>
  <c r="CG420" i="9" s="1"/>
  <c r="Q453" i="9"/>
  <c r="CH453" i="9" s="1"/>
  <c r="M415" i="9"/>
  <c r="CD415" i="9" s="1"/>
  <c r="S420" i="9"/>
  <c r="CJ420" i="9" s="1"/>
  <c r="O343" i="9"/>
  <c r="CF343" i="9" s="1"/>
  <c r="S343" i="9"/>
  <c r="CJ343" i="9" s="1"/>
  <c r="M343" i="9"/>
  <c r="CD343" i="9" s="1"/>
  <c r="Q343" i="9"/>
  <c r="CH343" i="9" s="1"/>
  <c r="S411" i="9"/>
  <c r="CJ411" i="9" s="1"/>
  <c r="O411" i="9"/>
  <c r="CF411" i="9" s="1"/>
  <c r="T411" i="9"/>
  <c r="CK411" i="9" s="1"/>
  <c r="I501" i="9"/>
  <c r="I509" i="9"/>
  <c r="BB509" i="9" s="1"/>
  <c r="DS509" i="9" s="1"/>
  <c r="BH417" i="9"/>
  <c r="DY417" i="9" s="1"/>
  <c r="V335" i="9"/>
  <c r="CM335" i="9" s="1"/>
  <c r="AM346" i="9"/>
  <c r="DD346" i="9" s="1"/>
  <c r="BR341" i="9"/>
  <c r="EI341" i="9" s="1"/>
  <c r="BQ336" i="9"/>
  <c r="EH336" i="9" s="1"/>
  <c r="AS408" i="9"/>
  <c r="DJ408" i="9" s="1"/>
  <c r="Y418" i="9"/>
  <c r="CP418" i="9" s="1"/>
  <c r="L580" i="9"/>
  <c r="CC580" i="9" s="1"/>
  <c r="L417" i="9"/>
  <c r="CC417" i="9" s="1"/>
  <c r="Q323" i="9"/>
  <c r="CH323" i="9" s="1"/>
  <c r="S336" i="9"/>
  <c r="CJ336" i="9" s="1"/>
  <c r="T335" i="9"/>
  <c r="CK335" i="9" s="1"/>
  <c r="O346" i="9"/>
  <c r="CF346" i="9" s="1"/>
  <c r="P335" i="9"/>
  <c r="CG335" i="9" s="1"/>
  <c r="R418" i="9"/>
  <c r="CI418" i="9" s="1"/>
  <c r="N411" i="9"/>
  <c r="CE411" i="9" s="1"/>
  <c r="M411" i="9"/>
  <c r="CD411" i="9" s="1"/>
  <c r="I357" i="9"/>
  <c r="I364" i="9"/>
  <c r="I366" i="9"/>
  <c r="I375" i="9"/>
  <c r="I371" i="9"/>
  <c r="I373" i="9"/>
  <c r="I362" i="9"/>
  <c r="I374" i="9"/>
  <c r="I365" i="9"/>
  <c r="I372" i="9"/>
  <c r="I369" i="9"/>
  <c r="BR369" i="9" s="1"/>
  <c r="EI369" i="9" s="1"/>
  <c r="I376" i="9"/>
  <c r="AQ335" i="9"/>
  <c r="DH335" i="9" s="1"/>
  <c r="BQ346" i="9"/>
  <c r="EH346" i="9" s="1"/>
  <c r="O463" i="9"/>
  <c r="CF463" i="9" s="1"/>
  <c r="N463" i="9"/>
  <c r="CE463" i="9" s="1"/>
  <c r="R463" i="9"/>
  <c r="CI463" i="9" s="1"/>
  <c r="BL341" i="9"/>
  <c r="EC341" i="9" s="1"/>
  <c r="BI408" i="9"/>
  <c r="DZ408" i="9" s="1"/>
  <c r="BP453" i="9"/>
  <c r="EG453" i="9" s="1"/>
  <c r="AF453" i="9"/>
  <c r="CW453" i="9" s="1"/>
  <c r="BE418" i="9"/>
  <c r="DV418" i="9" s="1"/>
  <c r="AU420" i="9"/>
  <c r="DL420" i="9" s="1"/>
  <c r="AD461" i="9"/>
  <c r="CU461" i="9" s="1"/>
  <c r="AB461" i="9"/>
  <c r="CS461" i="9" s="1"/>
  <c r="BN461" i="9"/>
  <c r="EE461" i="9" s="1"/>
  <c r="U464" i="9"/>
  <c r="CL464" i="9" s="1"/>
  <c r="BL464" i="9"/>
  <c r="EC464" i="9" s="1"/>
  <c r="AE464" i="9"/>
  <c r="CV464" i="9" s="1"/>
  <c r="AH464" i="9"/>
  <c r="CY464" i="9" s="1"/>
  <c r="BF464" i="9"/>
  <c r="DW464" i="9" s="1"/>
  <c r="AP464" i="9"/>
  <c r="DG464" i="9" s="1"/>
  <c r="BH464" i="9"/>
  <c r="DY464" i="9" s="1"/>
  <c r="AO464" i="9"/>
  <c r="DF464" i="9" s="1"/>
  <c r="AC464" i="9"/>
  <c r="CT464" i="9" s="1"/>
  <c r="AM464" i="9"/>
  <c r="DD464" i="9" s="1"/>
  <c r="BK464" i="9"/>
  <c r="EB464" i="9" s="1"/>
  <c r="AJ464" i="9"/>
  <c r="DA464" i="9" s="1"/>
  <c r="AT464" i="9"/>
  <c r="DK464" i="9" s="1"/>
  <c r="BQ464" i="9"/>
  <c r="EH464" i="9" s="1"/>
  <c r="V333" i="9"/>
  <c r="CM333" i="9" s="1"/>
  <c r="BQ333" i="9"/>
  <c r="EH333" i="9" s="1"/>
  <c r="AE333" i="9"/>
  <c r="CV333" i="9" s="1"/>
  <c r="AR333" i="9"/>
  <c r="DI333" i="9" s="1"/>
  <c r="AP333" i="9"/>
  <c r="DG333" i="9" s="1"/>
  <c r="BD333" i="9"/>
  <c r="DU333" i="9" s="1"/>
  <c r="AF333" i="9"/>
  <c r="CW333" i="9" s="1"/>
  <c r="AD333" i="9"/>
  <c r="CU333" i="9" s="1"/>
  <c r="AA333" i="9"/>
  <c r="CR333" i="9" s="1"/>
  <c r="AT333" i="9"/>
  <c r="DK333" i="9" s="1"/>
  <c r="AN333" i="9"/>
  <c r="DE333" i="9" s="1"/>
  <c r="BL333" i="9"/>
  <c r="EC333" i="9" s="1"/>
  <c r="AQ350" i="9"/>
  <c r="DH350" i="9" s="1"/>
  <c r="AA350" i="9"/>
  <c r="CR350" i="9" s="1"/>
  <c r="AP350" i="9"/>
  <c r="DG350" i="9" s="1"/>
  <c r="BD350" i="9"/>
  <c r="DU350" i="9" s="1"/>
  <c r="BK350" i="9"/>
  <c r="EB350" i="9" s="1"/>
  <c r="AN350" i="9"/>
  <c r="DE350" i="9" s="1"/>
  <c r="X350" i="9"/>
  <c r="CO350" i="9" s="1"/>
  <c r="AE350" i="9"/>
  <c r="CV350" i="9" s="1"/>
  <c r="BO350" i="9"/>
  <c r="EF350" i="9" s="1"/>
  <c r="AY350" i="9"/>
  <c r="DP350" i="9" s="1"/>
  <c r="AL350" i="9"/>
  <c r="DC350" i="9" s="1"/>
  <c r="V350" i="9"/>
  <c r="CM350" i="9" s="1"/>
  <c r="BQ350" i="9"/>
  <c r="EH350" i="9" s="1"/>
  <c r="AV350" i="9"/>
  <c r="DM350" i="9" s="1"/>
  <c r="AI412" i="9"/>
  <c r="CZ412" i="9" s="1"/>
  <c r="BC412" i="9"/>
  <c r="DT412" i="9" s="1"/>
  <c r="AS412" i="9"/>
  <c r="DJ412" i="9" s="1"/>
  <c r="AU412" i="9"/>
  <c r="DL412" i="9" s="1"/>
  <c r="AD412" i="9"/>
  <c r="CU412" i="9" s="1"/>
  <c r="AK412" i="9"/>
  <c r="DB412" i="9" s="1"/>
  <c r="BN412" i="9"/>
  <c r="EE412" i="9" s="1"/>
  <c r="BP412" i="9"/>
  <c r="EG412" i="9" s="1"/>
  <c r="AF412" i="9"/>
  <c r="CW412" i="9" s="1"/>
  <c r="AZ412" i="9"/>
  <c r="DQ412" i="9" s="1"/>
  <c r="Z412" i="9"/>
  <c r="CQ412" i="9" s="1"/>
  <c r="AM412" i="9"/>
  <c r="DD412" i="9" s="1"/>
  <c r="AH412" i="9"/>
  <c r="CY412" i="9" s="1"/>
  <c r="AE412" i="9"/>
  <c r="CV412" i="9" s="1"/>
  <c r="AC412" i="9"/>
  <c r="CT412" i="9" s="1"/>
  <c r="BK412" i="9"/>
  <c r="EB412" i="9" s="1"/>
  <c r="AX412" i="9"/>
  <c r="DO412" i="9" s="1"/>
  <c r="AL412" i="9"/>
  <c r="DC412" i="9" s="1"/>
  <c r="AY458" i="9"/>
  <c r="DP458" i="9" s="1"/>
  <c r="AL458" i="9"/>
  <c r="DC458" i="9" s="1"/>
  <c r="BF458" i="9"/>
  <c r="DW458" i="9" s="1"/>
  <c r="AW458" i="9"/>
  <c r="DN458" i="9" s="1"/>
  <c r="BE458" i="9"/>
  <c r="DV458" i="9" s="1"/>
  <c r="X458" i="9"/>
  <c r="CO458" i="9" s="1"/>
  <c r="Y458" i="9"/>
  <c r="CP458" i="9" s="1"/>
  <c r="BJ458" i="9"/>
  <c r="EA458" i="9" s="1"/>
  <c r="BG458" i="9"/>
  <c r="DX458" i="9" s="1"/>
  <c r="BQ458" i="9"/>
  <c r="EH458" i="9" s="1"/>
  <c r="AB458" i="9"/>
  <c r="CS458" i="9" s="1"/>
  <c r="AK458" i="9"/>
  <c r="DB458" i="9" s="1"/>
  <c r="AQ458" i="9"/>
  <c r="DH458" i="9" s="1"/>
  <c r="BK458" i="9"/>
  <c r="EB458" i="9" s="1"/>
  <c r="BB458" i="9"/>
  <c r="DS458" i="9" s="1"/>
  <c r="AJ458" i="9"/>
  <c r="DA458" i="9" s="1"/>
  <c r="U458" i="9"/>
  <c r="CL458" i="9" s="1"/>
  <c r="BH458" i="9"/>
  <c r="DY458" i="9" s="1"/>
  <c r="Z458" i="9"/>
  <c r="CQ458" i="9" s="1"/>
  <c r="BR458" i="9"/>
  <c r="EI458" i="9" s="1"/>
  <c r="BP458" i="9"/>
  <c r="EG458" i="9" s="1"/>
  <c r="BL458" i="9"/>
  <c r="EC458" i="9" s="1"/>
  <c r="AO334" i="9"/>
  <c r="DF334" i="9" s="1"/>
  <c r="AQ334" i="9"/>
  <c r="DH334" i="9" s="1"/>
  <c r="AM334" i="9"/>
  <c r="DD334" i="9" s="1"/>
  <c r="AI334" i="9"/>
  <c r="CZ334" i="9" s="1"/>
  <c r="BO334" i="9"/>
  <c r="EF334" i="9" s="1"/>
  <c r="BR334" i="9"/>
  <c r="EI334" i="9" s="1"/>
  <c r="BQ334" i="9"/>
  <c r="EH334" i="9" s="1"/>
  <c r="U334" i="9"/>
  <c r="CL334" i="9" s="1"/>
  <c r="BH334" i="9"/>
  <c r="DY334" i="9" s="1"/>
  <c r="AJ334" i="9"/>
  <c r="DA334" i="9" s="1"/>
  <c r="BN334" i="9"/>
  <c r="EE334" i="9" s="1"/>
  <c r="BE334" i="9"/>
  <c r="DV334" i="9" s="1"/>
  <c r="I616" i="9"/>
  <c r="I604" i="9"/>
  <c r="I608" i="9"/>
  <c r="AL573" i="9"/>
  <c r="DC573" i="9" s="1"/>
  <c r="AQ573" i="9"/>
  <c r="DH573" i="9" s="1"/>
  <c r="Z573" i="9"/>
  <c r="CQ573" i="9" s="1"/>
  <c r="AM458" i="9"/>
  <c r="DD458" i="9" s="1"/>
  <c r="AA458" i="9"/>
  <c r="CR458" i="9" s="1"/>
  <c r="AG412" i="9"/>
  <c r="CX412" i="9" s="1"/>
  <c r="BM412" i="9"/>
  <c r="ED412" i="9" s="1"/>
  <c r="AW412" i="9"/>
  <c r="DN412" i="9" s="1"/>
  <c r="AU464" i="9"/>
  <c r="DL464" i="9" s="1"/>
  <c r="AS458" i="9"/>
  <c r="DJ458" i="9" s="1"/>
  <c r="AZ458" i="9"/>
  <c r="DQ458" i="9" s="1"/>
  <c r="BF412" i="9"/>
  <c r="DW412" i="9" s="1"/>
  <c r="BA412" i="9"/>
  <c r="DR412" i="9" s="1"/>
  <c r="U412" i="9"/>
  <c r="CL412" i="9" s="1"/>
  <c r="I279" i="9"/>
  <c r="I265" i="9"/>
  <c r="X573" i="9"/>
  <c r="CO573" i="9" s="1"/>
  <c r="AD464" i="9"/>
  <c r="CU464" i="9" s="1"/>
  <c r="AX470" i="9"/>
  <c r="DO470" i="9" s="1"/>
  <c r="AJ470" i="9"/>
  <c r="DA470" i="9" s="1"/>
  <c r="AH467" i="9"/>
  <c r="CY467" i="9" s="1"/>
  <c r="AN467" i="9"/>
  <c r="DE467" i="9" s="1"/>
  <c r="AQ464" i="9"/>
  <c r="DH464" i="9" s="1"/>
  <c r="AR578" i="9"/>
  <c r="DI578" i="9" s="1"/>
  <c r="AF578" i="9"/>
  <c r="CW578" i="9" s="1"/>
  <c r="AO578" i="9"/>
  <c r="DF578" i="9" s="1"/>
  <c r="BC578" i="9"/>
  <c r="DT578" i="9" s="1"/>
  <c r="BQ578" i="9"/>
  <c r="EH578" i="9" s="1"/>
  <c r="AX578" i="9"/>
  <c r="DO578" i="9" s="1"/>
  <c r="AA578" i="9"/>
  <c r="CR578" i="9" s="1"/>
  <c r="AG578" i="9"/>
  <c r="CX578" i="9" s="1"/>
  <c r="BJ578" i="9"/>
  <c r="EA578" i="9" s="1"/>
  <c r="BH578" i="9"/>
  <c r="DY578" i="9" s="1"/>
  <c r="BP578" i="9"/>
  <c r="EG578" i="9" s="1"/>
  <c r="X578" i="9"/>
  <c r="CO578" i="9" s="1"/>
  <c r="AP578" i="9"/>
  <c r="DG578" i="9" s="1"/>
  <c r="BK578" i="9"/>
  <c r="EB578" i="9" s="1"/>
  <c r="BR578" i="9"/>
  <c r="EI578" i="9" s="1"/>
  <c r="U576" i="9"/>
  <c r="CL576" i="9" s="1"/>
  <c r="W576" i="9"/>
  <c r="CN576" i="9" s="1"/>
  <c r="AS576" i="9"/>
  <c r="DJ576" i="9" s="1"/>
  <c r="AG576" i="9"/>
  <c r="CX576" i="9" s="1"/>
  <c r="BH576" i="9"/>
  <c r="DY576" i="9" s="1"/>
  <c r="BC576" i="9"/>
  <c r="DT576" i="9" s="1"/>
  <c r="BE576" i="9"/>
  <c r="DV576" i="9" s="1"/>
  <c r="AZ576" i="9"/>
  <c r="DQ576" i="9" s="1"/>
  <c r="AQ576" i="9"/>
  <c r="DH576" i="9" s="1"/>
  <c r="BI576" i="9"/>
  <c r="DZ576" i="9" s="1"/>
  <c r="BJ576" i="9"/>
  <c r="EA576" i="9" s="1"/>
  <c r="AY576" i="9"/>
  <c r="DP576" i="9" s="1"/>
  <c r="AJ576" i="9"/>
  <c r="DA576" i="9" s="1"/>
  <c r="Y576" i="9"/>
  <c r="CP576" i="9" s="1"/>
  <c r="AR458" i="9"/>
  <c r="DI458" i="9" s="1"/>
  <c r="BC458" i="9"/>
  <c r="DT458" i="9" s="1"/>
  <c r="BL412" i="9"/>
  <c r="EC412" i="9" s="1"/>
  <c r="X412" i="9"/>
  <c r="CO412" i="9" s="1"/>
  <c r="AB412" i="9"/>
  <c r="CS412" i="9" s="1"/>
  <c r="AP575" i="9"/>
  <c r="DG575" i="9" s="1"/>
  <c r="AG575" i="9"/>
  <c r="CX575" i="9" s="1"/>
  <c r="BH575" i="9"/>
  <c r="DY575" i="9" s="1"/>
  <c r="BG575" i="9"/>
  <c r="DX575" i="9" s="1"/>
  <c r="AM459" i="9"/>
  <c r="DD459" i="9" s="1"/>
  <c r="AY575" i="9"/>
  <c r="DP575" i="9" s="1"/>
  <c r="U575" i="9"/>
  <c r="CL575" i="9" s="1"/>
  <c r="BC575" i="9"/>
  <c r="DT575" i="9" s="1"/>
  <c r="AR575" i="9"/>
  <c r="DI575" i="9" s="1"/>
  <c r="K575" i="9"/>
  <c r="CB575" i="9" s="1"/>
  <c r="BP575" i="9"/>
  <c r="EG575" i="9" s="1"/>
  <c r="BF575" i="9"/>
  <c r="DW575" i="9" s="1"/>
  <c r="AA575" i="9"/>
  <c r="CR575" i="9" s="1"/>
  <c r="AB454" i="9"/>
  <c r="CS454" i="9" s="1"/>
  <c r="I435" i="9"/>
  <c r="I606" i="9"/>
  <c r="I429" i="9"/>
  <c r="I271" i="9"/>
  <c r="I273" i="9"/>
  <c r="I563" i="9"/>
  <c r="I437" i="9"/>
  <c r="I554" i="9"/>
  <c r="AZ420" i="9"/>
  <c r="DQ420" i="9" s="1"/>
  <c r="BB420" i="9"/>
  <c r="DS420" i="9" s="1"/>
  <c r="BR420" i="9"/>
  <c r="EI420" i="9" s="1"/>
  <c r="BL420" i="9"/>
  <c r="EC420" i="9" s="1"/>
  <c r="Y420" i="9"/>
  <c r="CP420" i="9" s="1"/>
  <c r="AA415" i="9"/>
  <c r="CR415" i="9" s="1"/>
  <c r="BN415" i="9"/>
  <c r="EE415" i="9" s="1"/>
  <c r="W415" i="9"/>
  <c r="CN415" i="9" s="1"/>
  <c r="BG415" i="9"/>
  <c r="DX415" i="9" s="1"/>
  <c r="AH415" i="9"/>
  <c r="CY415" i="9" s="1"/>
  <c r="AJ415" i="9"/>
  <c r="DA415" i="9" s="1"/>
  <c r="AQ415" i="9"/>
  <c r="DH415" i="9" s="1"/>
  <c r="BK335" i="9"/>
  <c r="EB335" i="9" s="1"/>
  <c r="AZ335" i="9"/>
  <c r="DQ335" i="9" s="1"/>
  <c r="I267" i="9"/>
  <c r="AA420" i="9"/>
  <c r="CR420" i="9" s="1"/>
  <c r="BK420" i="9"/>
  <c r="EB420" i="9" s="1"/>
  <c r="BJ420" i="9"/>
  <c r="EA420" i="9" s="1"/>
  <c r="BG420" i="9"/>
  <c r="DX420" i="9" s="1"/>
  <c r="AQ420" i="9"/>
  <c r="DH420" i="9" s="1"/>
  <c r="BB415" i="9"/>
  <c r="DS415" i="9" s="1"/>
  <c r="BO415" i="9"/>
  <c r="EF415" i="9" s="1"/>
  <c r="BI415" i="9"/>
  <c r="DZ415" i="9" s="1"/>
  <c r="BL415" i="9"/>
  <c r="EC415" i="9" s="1"/>
  <c r="BQ415" i="9"/>
  <c r="EH415" i="9" s="1"/>
  <c r="BC420" i="9"/>
  <c r="DT420" i="9" s="1"/>
  <c r="AT420" i="9"/>
  <c r="DK420" i="9" s="1"/>
  <c r="AN420" i="9"/>
  <c r="DE420" i="9" s="1"/>
  <c r="Z420" i="9"/>
  <c r="CQ420" i="9" s="1"/>
  <c r="AR420" i="9"/>
  <c r="DI420" i="9" s="1"/>
  <c r="AW415" i="9"/>
  <c r="DN415" i="9" s="1"/>
  <c r="BM415" i="9"/>
  <c r="ED415" i="9" s="1"/>
  <c r="AB415" i="9"/>
  <c r="CS415" i="9" s="1"/>
  <c r="AD415" i="9"/>
  <c r="CU415" i="9" s="1"/>
  <c r="AY351" i="9"/>
  <c r="DP351" i="9" s="1"/>
  <c r="AH351" i="9"/>
  <c r="CY351" i="9" s="1"/>
  <c r="BA351" i="9"/>
  <c r="DR351" i="9" s="1"/>
  <c r="I431" i="9"/>
  <c r="I269" i="9"/>
  <c r="AH420" i="9"/>
  <c r="CY420" i="9" s="1"/>
  <c r="AF420" i="9"/>
  <c r="CW420" i="9" s="1"/>
  <c r="AP420" i="9"/>
  <c r="DG420" i="9" s="1"/>
  <c r="BM420" i="9"/>
  <c r="ED420" i="9" s="1"/>
  <c r="BA420" i="9"/>
  <c r="DR420" i="9" s="1"/>
  <c r="BK415" i="9"/>
  <c r="EB415" i="9" s="1"/>
  <c r="AZ415" i="9"/>
  <c r="DQ415" i="9" s="1"/>
  <c r="BA415" i="9"/>
  <c r="DR415" i="9" s="1"/>
  <c r="M568" i="9"/>
  <c r="CD568" i="9" s="1"/>
  <c r="S568" i="9"/>
  <c r="CJ568" i="9" s="1"/>
  <c r="O568" i="9"/>
  <c r="CF568" i="9" s="1"/>
  <c r="Q568" i="9"/>
  <c r="CH568" i="9" s="1"/>
  <c r="T424" i="9"/>
  <c r="CK424" i="9" s="1"/>
  <c r="S424" i="9"/>
  <c r="CJ424" i="9" s="1"/>
  <c r="N424" i="9"/>
  <c r="CE424" i="9" s="1"/>
  <c r="L424" i="9"/>
  <c r="CC424" i="9" s="1"/>
  <c r="M424" i="9"/>
  <c r="CD424" i="9" s="1"/>
  <c r="O424" i="9"/>
  <c r="CF424" i="9" s="1"/>
  <c r="R424" i="9"/>
  <c r="CI424" i="9" s="1"/>
  <c r="P424" i="9"/>
  <c r="CG424" i="9" s="1"/>
  <c r="M582" i="9"/>
  <c r="CD582" i="9" s="1"/>
  <c r="O582" i="9"/>
  <c r="CF582" i="9" s="1"/>
  <c r="R582" i="9"/>
  <c r="CI582" i="9" s="1"/>
  <c r="K582" i="9"/>
  <c r="CB582" i="9" s="1"/>
  <c r="L582" i="9"/>
  <c r="CC582" i="9" s="1"/>
  <c r="P568" i="9"/>
  <c r="CG568" i="9" s="1"/>
  <c r="P582" i="9"/>
  <c r="CG582" i="9" s="1"/>
  <c r="R568" i="9"/>
  <c r="CI568" i="9" s="1"/>
  <c r="N582" i="9"/>
  <c r="CE582" i="9" s="1"/>
  <c r="AN459" i="9"/>
  <c r="DE459" i="9" s="1"/>
  <c r="AF459" i="9"/>
  <c r="CW459" i="9" s="1"/>
  <c r="BA459" i="9"/>
  <c r="DR459" i="9" s="1"/>
  <c r="X459" i="9"/>
  <c r="CO459" i="9" s="1"/>
  <c r="AE459" i="9"/>
  <c r="CV459" i="9" s="1"/>
  <c r="AI459" i="9"/>
  <c r="CZ459" i="9" s="1"/>
  <c r="AO459" i="9"/>
  <c r="DF459" i="9" s="1"/>
  <c r="AL459" i="9"/>
  <c r="DC459" i="9" s="1"/>
  <c r="Y459" i="9"/>
  <c r="CP459" i="9" s="1"/>
  <c r="BE459" i="9"/>
  <c r="DV459" i="9" s="1"/>
  <c r="BN459" i="9"/>
  <c r="EE459" i="9" s="1"/>
  <c r="AQ459" i="9"/>
  <c r="DH459" i="9" s="1"/>
  <c r="AP459" i="9"/>
  <c r="DG459" i="9" s="1"/>
  <c r="U459" i="9"/>
  <c r="CL459" i="9" s="1"/>
  <c r="BH459" i="9"/>
  <c r="DY459" i="9" s="1"/>
  <c r="BR459" i="9"/>
  <c r="EI459" i="9" s="1"/>
  <c r="BG459" i="9"/>
  <c r="DX459" i="9" s="1"/>
  <c r="AU459" i="9"/>
  <c r="DL459" i="9" s="1"/>
  <c r="AA459" i="9"/>
  <c r="CR459" i="9" s="1"/>
  <c r="AD459" i="9"/>
  <c r="CU459" i="9" s="1"/>
  <c r="BI459" i="9"/>
  <c r="DZ459" i="9" s="1"/>
  <c r="V459" i="9"/>
  <c r="CM459" i="9" s="1"/>
  <c r="AV459" i="9"/>
  <c r="DM459" i="9" s="1"/>
  <c r="AR459" i="9"/>
  <c r="DI459" i="9" s="1"/>
  <c r="AY459" i="9"/>
  <c r="DP459" i="9" s="1"/>
  <c r="BB459" i="9"/>
  <c r="DS459" i="9" s="1"/>
  <c r="AG459" i="9"/>
  <c r="CX459" i="9" s="1"/>
  <c r="BC459" i="9"/>
  <c r="DT459" i="9" s="1"/>
  <c r="AC459" i="9"/>
  <c r="CT459" i="9" s="1"/>
  <c r="AS459" i="9"/>
  <c r="DJ459" i="9" s="1"/>
  <c r="AZ459" i="9"/>
  <c r="DQ459" i="9" s="1"/>
  <c r="BJ459" i="9"/>
  <c r="EA459" i="9" s="1"/>
  <c r="BM459" i="9"/>
  <c r="ED459" i="9" s="1"/>
  <c r="W459" i="9"/>
  <c r="CN459" i="9" s="1"/>
  <c r="AB459" i="9"/>
  <c r="CS459" i="9" s="1"/>
  <c r="BJ349" i="9"/>
  <c r="EA349" i="9" s="1"/>
  <c r="BI349" i="9"/>
  <c r="DZ349" i="9" s="1"/>
  <c r="BF349" i="9"/>
  <c r="DW349" i="9" s="1"/>
  <c r="BA349" i="9"/>
  <c r="DR349" i="9" s="1"/>
  <c r="AW349" i="9"/>
  <c r="DN349" i="9" s="1"/>
  <c r="BK349" i="9"/>
  <c r="EB349" i="9" s="1"/>
  <c r="AS349" i="9"/>
  <c r="DJ349" i="9" s="1"/>
  <c r="AU349" i="9"/>
  <c r="DL349" i="9" s="1"/>
  <c r="AX349" i="9"/>
  <c r="DO349" i="9" s="1"/>
  <c r="BG349" i="9"/>
  <c r="DX349" i="9" s="1"/>
  <c r="BM349" i="9"/>
  <c r="ED349" i="9" s="1"/>
  <c r="AH349" i="9"/>
  <c r="CY349" i="9" s="1"/>
  <c r="AZ349" i="9"/>
  <c r="DQ349" i="9" s="1"/>
  <c r="Z349" i="9"/>
  <c r="CQ349" i="9" s="1"/>
  <c r="W349" i="9"/>
  <c r="CN349" i="9" s="1"/>
  <c r="AY349" i="9"/>
  <c r="DP349" i="9" s="1"/>
  <c r="AG349" i="9"/>
  <c r="CX349" i="9" s="1"/>
  <c r="BL349" i="9"/>
  <c r="EC349" i="9" s="1"/>
  <c r="AT349" i="9"/>
  <c r="DK349" i="9" s="1"/>
  <c r="X349" i="9"/>
  <c r="CO349" i="9" s="1"/>
  <c r="AD349" i="9"/>
  <c r="CU349" i="9" s="1"/>
  <c r="U349" i="9"/>
  <c r="CL349" i="9" s="1"/>
  <c r="AA349" i="9"/>
  <c r="CR349" i="9" s="1"/>
  <c r="BQ349" i="9"/>
  <c r="EH349" i="9" s="1"/>
  <c r="AJ349" i="9"/>
  <c r="DA349" i="9" s="1"/>
  <c r="L349" i="9"/>
  <c r="CC349" i="9" s="1"/>
  <c r="BD349" i="9"/>
  <c r="DU349" i="9" s="1"/>
  <c r="BH349" i="9"/>
  <c r="DY349" i="9" s="1"/>
  <c r="AM349" i="9"/>
  <c r="DD349" i="9" s="1"/>
  <c r="AI349" i="9"/>
  <c r="CZ349" i="9" s="1"/>
  <c r="Y349" i="9"/>
  <c r="CP349" i="9" s="1"/>
  <c r="BO349" i="9"/>
  <c r="EF349" i="9" s="1"/>
  <c r="BP349" i="9"/>
  <c r="EG349" i="9" s="1"/>
  <c r="AL349" i="9"/>
  <c r="DC349" i="9" s="1"/>
  <c r="BC349" i="9"/>
  <c r="DT349" i="9" s="1"/>
  <c r="BB349" i="9"/>
  <c r="DS349" i="9" s="1"/>
  <c r="AB349" i="9"/>
  <c r="CS349" i="9" s="1"/>
  <c r="BE349" i="9"/>
  <c r="DV349" i="9" s="1"/>
  <c r="AR349" i="9"/>
  <c r="DI349" i="9" s="1"/>
  <c r="BK414" i="9"/>
  <c r="EB414" i="9" s="1"/>
  <c r="BC414" i="9"/>
  <c r="DT414" i="9" s="1"/>
  <c r="AS414" i="9"/>
  <c r="DJ414" i="9" s="1"/>
  <c r="AG414" i="9"/>
  <c r="CX414" i="9" s="1"/>
  <c r="V414" i="9"/>
  <c r="CM414" i="9" s="1"/>
  <c r="AR414" i="9"/>
  <c r="DI414" i="9" s="1"/>
  <c r="BA414" i="9"/>
  <c r="DR414" i="9" s="1"/>
  <c r="AH414" i="9"/>
  <c r="CY414" i="9" s="1"/>
  <c r="BO414" i="9"/>
  <c r="EF414" i="9" s="1"/>
  <c r="Y414" i="9"/>
  <c r="CP414" i="9" s="1"/>
  <c r="AD414" i="9"/>
  <c r="CU414" i="9" s="1"/>
  <c r="AB414" i="9"/>
  <c r="CS414" i="9" s="1"/>
  <c r="BL414" i="9"/>
  <c r="EC414" i="9" s="1"/>
  <c r="BP414" i="9"/>
  <c r="EG414" i="9" s="1"/>
  <c r="Z414" i="9"/>
  <c r="CQ414" i="9" s="1"/>
  <c r="AO414" i="9"/>
  <c r="DF414" i="9" s="1"/>
  <c r="AX414" i="9"/>
  <c r="DO414" i="9" s="1"/>
  <c r="AC414" i="9"/>
  <c r="CT414" i="9" s="1"/>
  <c r="BD414" i="9"/>
  <c r="DU414" i="9" s="1"/>
  <c r="N414" i="9"/>
  <c r="CE414" i="9" s="1"/>
  <c r="W414" i="9"/>
  <c r="CN414" i="9" s="1"/>
  <c r="AU414" i="9"/>
  <c r="DL414" i="9" s="1"/>
  <c r="BQ414" i="9"/>
  <c r="EH414" i="9" s="1"/>
  <c r="AA414" i="9"/>
  <c r="CR414" i="9" s="1"/>
  <c r="BM414" i="9"/>
  <c r="ED414" i="9" s="1"/>
  <c r="AL414" i="9"/>
  <c r="DC414" i="9" s="1"/>
  <c r="AN414" i="9"/>
  <c r="DE414" i="9" s="1"/>
  <c r="BB414" i="9"/>
  <c r="DS414" i="9" s="1"/>
  <c r="BG414" i="9"/>
  <c r="DX414" i="9" s="1"/>
  <c r="Q414" i="9"/>
  <c r="CH414" i="9" s="1"/>
  <c r="BR414" i="9"/>
  <c r="EI414" i="9" s="1"/>
  <c r="BE414" i="9"/>
  <c r="DV414" i="9" s="1"/>
  <c r="AM414" i="9"/>
  <c r="DD414" i="9" s="1"/>
  <c r="AQ414" i="9"/>
  <c r="DH414" i="9" s="1"/>
  <c r="AP414" i="9"/>
  <c r="DG414" i="9" s="1"/>
  <c r="BI414" i="9"/>
  <c r="DZ414" i="9" s="1"/>
  <c r="AY414" i="9"/>
  <c r="DP414" i="9" s="1"/>
  <c r="M414" i="9"/>
  <c r="CD414" i="9" s="1"/>
  <c r="L591" i="9"/>
  <c r="CC591" i="9" s="1"/>
  <c r="K591" i="9"/>
  <c r="CB591" i="9" s="1"/>
  <c r="L414" i="9"/>
  <c r="CC414" i="9" s="1"/>
  <c r="Q310" i="9"/>
  <c r="CH310" i="9" s="1"/>
  <c r="Q315" i="9"/>
  <c r="CH315" i="9" s="1"/>
  <c r="Q577" i="9"/>
  <c r="CH577" i="9" s="1"/>
  <c r="P315" i="9"/>
  <c r="CG315" i="9" s="1"/>
  <c r="N310" i="9"/>
  <c r="CE310" i="9" s="1"/>
  <c r="O310" i="9"/>
  <c r="CF310" i="9" s="1"/>
  <c r="Q349" i="9"/>
  <c r="CH349" i="9" s="1"/>
  <c r="M315" i="9"/>
  <c r="CD315" i="9" s="1"/>
  <c r="S584" i="9"/>
  <c r="CJ584" i="9" s="1"/>
  <c r="P459" i="9"/>
  <c r="CG459" i="9" s="1"/>
  <c r="I633" i="9"/>
  <c r="I624" i="9"/>
  <c r="I637" i="9"/>
  <c r="AF591" i="9"/>
  <c r="CW591" i="9" s="1"/>
  <c r="W591" i="9"/>
  <c r="CN591" i="9" s="1"/>
  <c r="W584" i="9"/>
  <c r="CN584" i="9" s="1"/>
  <c r="AE349" i="9"/>
  <c r="CV349" i="9" s="1"/>
  <c r="N469" i="9"/>
  <c r="CE469" i="9" s="1"/>
  <c r="O469" i="9"/>
  <c r="CF469" i="9" s="1"/>
  <c r="AJ459" i="9"/>
  <c r="DA459" i="9" s="1"/>
  <c r="BJ414" i="9"/>
  <c r="EA414" i="9" s="1"/>
  <c r="U414" i="9"/>
  <c r="CL414" i="9" s="1"/>
  <c r="BH579" i="9"/>
  <c r="DY579" i="9" s="1"/>
  <c r="AR579" i="9"/>
  <c r="DI579" i="9" s="1"/>
  <c r="Y579" i="9"/>
  <c r="CP579" i="9" s="1"/>
  <c r="BR579" i="9"/>
  <c r="EI579" i="9" s="1"/>
  <c r="BI579" i="9"/>
  <c r="DZ579" i="9" s="1"/>
  <c r="U579" i="9"/>
  <c r="CL579" i="9" s="1"/>
  <c r="AX579" i="9"/>
  <c r="DO579" i="9" s="1"/>
  <c r="BO579" i="9"/>
  <c r="EF579" i="9" s="1"/>
  <c r="BJ579" i="9"/>
  <c r="EA579" i="9" s="1"/>
  <c r="AS579" i="9"/>
  <c r="DJ579" i="9" s="1"/>
  <c r="AY579" i="9"/>
  <c r="DP579" i="9" s="1"/>
  <c r="Z579" i="9"/>
  <c r="CQ579" i="9" s="1"/>
  <c r="BF579" i="9"/>
  <c r="DW579" i="9" s="1"/>
  <c r="AA579" i="9"/>
  <c r="CR579" i="9" s="1"/>
  <c r="BK579" i="9"/>
  <c r="EB579" i="9" s="1"/>
  <c r="BN579" i="9"/>
  <c r="EE579" i="9" s="1"/>
  <c r="BL579" i="9"/>
  <c r="EC579" i="9" s="1"/>
  <c r="BQ579" i="9"/>
  <c r="EH579" i="9" s="1"/>
  <c r="AF579" i="9"/>
  <c r="CW579" i="9" s="1"/>
  <c r="AG579" i="9"/>
  <c r="CX579" i="9" s="1"/>
  <c r="BP579" i="9"/>
  <c r="EG579" i="9" s="1"/>
  <c r="AA574" i="9"/>
  <c r="CR574" i="9" s="1"/>
  <c r="Z574" i="9"/>
  <c r="CQ574" i="9" s="1"/>
  <c r="AF574" i="9"/>
  <c r="CW574" i="9" s="1"/>
  <c r="BJ574" i="9"/>
  <c r="EA574" i="9" s="1"/>
  <c r="AG574" i="9"/>
  <c r="CX574" i="9" s="1"/>
  <c r="AO574" i="9"/>
  <c r="DF574" i="9" s="1"/>
  <c r="AX574" i="9"/>
  <c r="DO574" i="9" s="1"/>
  <c r="AT574" i="9"/>
  <c r="DK574" i="9" s="1"/>
  <c r="AY574" i="9"/>
  <c r="DP574" i="9" s="1"/>
  <c r="AR574" i="9"/>
  <c r="DI574" i="9" s="1"/>
  <c r="BH574" i="9"/>
  <c r="DY574" i="9" s="1"/>
  <c r="BP574" i="9"/>
  <c r="EG574" i="9" s="1"/>
  <c r="BE574" i="9"/>
  <c r="DV574" i="9" s="1"/>
  <c r="BB574" i="9"/>
  <c r="DS574" i="9" s="1"/>
  <c r="Y574" i="9"/>
  <c r="CP574" i="9" s="1"/>
  <c r="AI574" i="9"/>
  <c r="CZ574" i="9" s="1"/>
  <c r="AJ574" i="9"/>
  <c r="DA574" i="9" s="1"/>
  <c r="X574" i="9"/>
  <c r="CO574" i="9" s="1"/>
  <c r="Z459" i="9"/>
  <c r="CQ459" i="9" s="1"/>
  <c r="BD459" i="9"/>
  <c r="DU459" i="9" s="1"/>
  <c r="BK405" i="9"/>
  <c r="EB405" i="9" s="1"/>
  <c r="AQ405" i="9"/>
  <c r="DH405" i="9" s="1"/>
  <c r="BJ405" i="9"/>
  <c r="EA405" i="9" s="1"/>
  <c r="BC405" i="9"/>
  <c r="DT405" i="9" s="1"/>
  <c r="BD405" i="9"/>
  <c r="DU405" i="9" s="1"/>
  <c r="AP405" i="9"/>
  <c r="DG405" i="9" s="1"/>
  <c r="AZ405" i="9"/>
  <c r="DQ405" i="9" s="1"/>
  <c r="BL405" i="9"/>
  <c r="EC405" i="9" s="1"/>
  <c r="AC405" i="9"/>
  <c r="CT405" i="9" s="1"/>
  <c r="AR405" i="9"/>
  <c r="DI405" i="9" s="1"/>
  <c r="BO405" i="9"/>
  <c r="EF405" i="9" s="1"/>
  <c r="AG405" i="9"/>
  <c r="CX405" i="9" s="1"/>
  <c r="S405" i="9"/>
  <c r="CJ405" i="9" s="1"/>
  <c r="M405" i="9"/>
  <c r="CD405" i="9" s="1"/>
  <c r="AW405" i="9"/>
  <c r="DN405" i="9" s="1"/>
  <c r="Z405" i="9"/>
  <c r="CQ405" i="9" s="1"/>
  <c r="U405" i="9"/>
  <c r="CL405" i="9" s="1"/>
  <c r="AD405" i="9"/>
  <c r="CU405" i="9" s="1"/>
  <c r="AK405" i="9"/>
  <c r="DB405" i="9" s="1"/>
  <c r="AX405" i="9"/>
  <c r="DO405" i="9" s="1"/>
  <c r="AE405" i="9"/>
  <c r="CV405" i="9" s="1"/>
  <c r="BB405" i="9"/>
  <c r="DS405" i="9" s="1"/>
  <c r="BM405" i="9"/>
  <c r="ED405" i="9" s="1"/>
  <c r="AV405" i="9"/>
  <c r="DM405" i="9" s="1"/>
  <c r="AO405" i="9"/>
  <c r="DF405" i="9" s="1"/>
  <c r="BE405" i="9"/>
  <c r="DV405" i="9" s="1"/>
  <c r="AJ405" i="9"/>
  <c r="DA405" i="9" s="1"/>
  <c r="BN405" i="9"/>
  <c r="EE405" i="9" s="1"/>
  <c r="AN405" i="9"/>
  <c r="DE405" i="9" s="1"/>
  <c r="AY405" i="9"/>
  <c r="DP405" i="9" s="1"/>
  <c r="W405" i="9"/>
  <c r="CN405" i="9" s="1"/>
  <c r="BI405" i="9"/>
  <c r="DZ405" i="9" s="1"/>
  <c r="AH405" i="9"/>
  <c r="CY405" i="9" s="1"/>
  <c r="BQ405" i="9"/>
  <c r="EH405" i="9" s="1"/>
  <c r="AA405" i="9"/>
  <c r="CR405" i="9" s="1"/>
  <c r="AT405" i="9"/>
  <c r="DK405" i="9" s="1"/>
  <c r="AU340" i="9"/>
  <c r="DL340" i="9" s="1"/>
  <c r="BA340" i="9"/>
  <c r="DR340" i="9" s="1"/>
  <c r="BG340" i="9"/>
  <c r="DX340" i="9" s="1"/>
  <c r="AX340" i="9"/>
  <c r="DO340" i="9" s="1"/>
  <c r="Z340" i="9"/>
  <c r="CQ340" i="9" s="1"/>
  <c r="BI340" i="9"/>
  <c r="DZ340" i="9" s="1"/>
  <c r="AH340" i="9"/>
  <c r="CY340" i="9" s="1"/>
  <c r="BJ340" i="9"/>
  <c r="EA340" i="9" s="1"/>
  <c r="AW340" i="9"/>
  <c r="DN340" i="9" s="1"/>
  <c r="BK340" i="9"/>
  <c r="EB340" i="9" s="1"/>
  <c r="AY340" i="9"/>
  <c r="DP340" i="9" s="1"/>
  <c r="AK340" i="9"/>
  <c r="DB340" i="9" s="1"/>
  <c r="AC340" i="9"/>
  <c r="CT340" i="9" s="1"/>
  <c r="AA340" i="9"/>
  <c r="CR340" i="9" s="1"/>
  <c r="AJ340" i="9"/>
  <c r="DA340" i="9" s="1"/>
  <c r="BD340" i="9"/>
  <c r="DU340" i="9" s="1"/>
  <c r="AZ340" i="9"/>
  <c r="DQ340" i="9" s="1"/>
  <c r="BP340" i="9"/>
  <c r="EG340" i="9" s="1"/>
  <c r="AR340" i="9"/>
  <c r="DI340" i="9" s="1"/>
  <c r="AE340" i="9"/>
  <c r="CV340" i="9" s="1"/>
  <c r="AL340" i="9"/>
  <c r="DC340" i="9" s="1"/>
  <c r="BM340" i="9"/>
  <c r="ED340" i="9" s="1"/>
  <c r="BO340" i="9"/>
  <c r="EF340" i="9" s="1"/>
  <c r="AD340" i="9"/>
  <c r="CU340" i="9" s="1"/>
  <c r="BB340" i="9"/>
  <c r="DS340" i="9" s="1"/>
  <c r="BQ340" i="9"/>
  <c r="EH340" i="9" s="1"/>
  <c r="AS340" i="9"/>
  <c r="DJ340" i="9" s="1"/>
  <c r="AB340" i="9"/>
  <c r="CS340" i="9" s="1"/>
  <c r="AT340" i="9"/>
  <c r="DK340" i="9" s="1"/>
  <c r="BE340" i="9"/>
  <c r="DV340" i="9" s="1"/>
  <c r="BL340" i="9"/>
  <c r="EC340" i="9" s="1"/>
  <c r="AV340" i="9"/>
  <c r="DM340" i="9" s="1"/>
  <c r="Y340" i="9"/>
  <c r="CP340" i="9" s="1"/>
  <c r="U340" i="9"/>
  <c r="CL340" i="9" s="1"/>
  <c r="AU406" i="9"/>
  <c r="DL406" i="9" s="1"/>
  <c r="BP406" i="9"/>
  <c r="EG406" i="9" s="1"/>
  <c r="BB406" i="9"/>
  <c r="DS406" i="9" s="1"/>
  <c r="BK406" i="9"/>
  <c r="EB406" i="9" s="1"/>
  <c r="AJ406" i="9"/>
  <c r="DA406" i="9" s="1"/>
  <c r="BA406" i="9"/>
  <c r="DR406" i="9" s="1"/>
  <c r="AZ406" i="9"/>
  <c r="DQ406" i="9" s="1"/>
  <c r="AR406" i="9"/>
  <c r="DI406" i="9" s="1"/>
  <c r="AO406" i="9"/>
  <c r="DF406" i="9" s="1"/>
  <c r="BM406" i="9"/>
  <c r="ED406" i="9" s="1"/>
  <c r="AP406" i="9"/>
  <c r="DG406" i="9" s="1"/>
  <c r="BF406" i="9"/>
  <c r="DW406" i="9" s="1"/>
  <c r="AM406" i="9"/>
  <c r="DD406" i="9" s="1"/>
  <c r="AK406" i="9"/>
  <c r="DB406" i="9" s="1"/>
  <c r="AC406" i="9"/>
  <c r="CT406" i="9" s="1"/>
  <c r="BL406" i="9"/>
  <c r="EC406" i="9" s="1"/>
  <c r="AG406" i="9"/>
  <c r="CX406" i="9" s="1"/>
  <c r="Y406" i="9"/>
  <c r="CP406" i="9" s="1"/>
  <c r="X406" i="9"/>
  <c r="CO406" i="9" s="1"/>
  <c r="BD406" i="9"/>
  <c r="DU406" i="9" s="1"/>
  <c r="BI406" i="9"/>
  <c r="DZ406" i="9" s="1"/>
  <c r="BC406" i="9"/>
  <c r="DT406" i="9" s="1"/>
  <c r="AS406" i="9"/>
  <c r="DJ406" i="9" s="1"/>
  <c r="BQ406" i="9"/>
  <c r="EH406" i="9" s="1"/>
  <c r="AX406" i="9"/>
  <c r="DO406" i="9" s="1"/>
  <c r="BO406" i="9"/>
  <c r="EF406" i="9" s="1"/>
  <c r="Z406" i="9"/>
  <c r="CQ406" i="9" s="1"/>
  <c r="BJ406" i="9"/>
  <c r="EA406" i="9" s="1"/>
  <c r="AF406" i="9"/>
  <c r="CW406" i="9" s="1"/>
  <c r="AY406" i="9"/>
  <c r="DP406" i="9" s="1"/>
  <c r="BN406" i="9"/>
  <c r="EE406" i="9" s="1"/>
  <c r="AA406" i="9"/>
  <c r="CR406" i="9" s="1"/>
  <c r="BR406" i="9"/>
  <c r="EI406" i="9" s="1"/>
  <c r="AT406" i="9"/>
  <c r="DK406" i="9" s="1"/>
  <c r="AQ406" i="9"/>
  <c r="DH406" i="9" s="1"/>
  <c r="BH406" i="9"/>
  <c r="DY406" i="9" s="1"/>
  <c r="AI406" i="9"/>
  <c r="CZ406" i="9" s="1"/>
  <c r="W406" i="9"/>
  <c r="CN406" i="9" s="1"/>
  <c r="AE406" i="9"/>
  <c r="CV406" i="9" s="1"/>
  <c r="AB406" i="9"/>
  <c r="CS406" i="9" s="1"/>
  <c r="AV406" i="9"/>
  <c r="DM406" i="9" s="1"/>
  <c r="BG406" i="9"/>
  <c r="DX406" i="9" s="1"/>
  <c r="AT414" i="9"/>
  <c r="DK414" i="9" s="1"/>
  <c r="BR584" i="9"/>
  <c r="EI584" i="9" s="1"/>
  <c r="BF584" i="9"/>
  <c r="DW584" i="9" s="1"/>
  <c r="AP584" i="9"/>
  <c r="DG584" i="9" s="1"/>
  <c r="BE584" i="9"/>
  <c r="DV584" i="9" s="1"/>
  <c r="AG584" i="9"/>
  <c r="CX584" i="9" s="1"/>
  <c r="BJ584" i="9"/>
  <c r="EA584" i="9" s="1"/>
  <c r="BL584" i="9"/>
  <c r="EC584" i="9" s="1"/>
  <c r="BK584" i="9"/>
  <c r="EB584" i="9" s="1"/>
  <c r="BC584" i="9"/>
  <c r="DT584" i="9" s="1"/>
  <c r="AT584" i="9"/>
  <c r="DK584" i="9" s="1"/>
  <c r="BI584" i="9"/>
  <c r="DZ584" i="9" s="1"/>
  <c r="U584" i="9"/>
  <c r="CL584" i="9" s="1"/>
  <c r="BH584" i="9"/>
  <c r="DY584" i="9" s="1"/>
  <c r="AR584" i="9"/>
  <c r="DI584" i="9" s="1"/>
  <c r="BO584" i="9"/>
  <c r="EF584" i="9" s="1"/>
  <c r="AY584" i="9"/>
  <c r="DP584" i="9" s="1"/>
  <c r="AI584" i="9"/>
  <c r="CZ584" i="9" s="1"/>
  <c r="AL584" i="9"/>
  <c r="DC584" i="9" s="1"/>
  <c r="AJ584" i="9"/>
  <c r="DA584" i="9" s="1"/>
  <c r="BG584" i="9"/>
  <c r="DX584" i="9" s="1"/>
  <c r="AQ584" i="9"/>
  <c r="DH584" i="9" s="1"/>
  <c r="AA584" i="9"/>
  <c r="CR584" i="9" s="1"/>
  <c r="Z591" i="9"/>
  <c r="CQ591" i="9" s="1"/>
  <c r="BH591" i="9"/>
  <c r="DY591" i="9" s="1"/>
  <c r="AL591" i="9"/>
  <c r="DC591" i="9" s="1"/>
  <c r="BI591" i="9"/>
  <c r="DZ591" i="9" s="1"/>
  <c r="AS591" i="9"/>
  <c r="DJ591" i="9" s="1"/>
  <c r="X591" i="9"/>
  <c r="CO591" i="9" s="1"/>
  <c r="AI591" i="9"/>
  <c r="CZ591" i="9" s="1"/>
  <c r="AR591" i="9"/>
  <c r="DI591" i="9" s="1"/>
  <c r="BO591" i="9"/>
  <c r="EF591" i="9" s="1"/>
  <c r="BG591" i="9"/>
  <c r="DX591" i="9" s="1"/>
  <c r="BJ591" i="9"/>
  <c r="EA591" i="9" s="1"/>
  <c r="AO591" i="9"/>
  <c r="DF591" i="9" s="1"/>
  <c r="BN591" i="9"/>
  <c r="EE591" i="9" s="1"/>
  <c r="AX591" i="9"/>
  <c r="DO591" i="9" s="1"/>
  <c r="AY591" i="9"/>
  <c r="DP591" i="9" s="1"/>
  <c r="BB591" i="9"/>
  <c r="DS591" i="9" s="1"/>
  <c r="AG591" i="9"/>
  <c r="CX591" i="9" s="1"/>
  <c r="BL591" i="9"/>
  <c r="EC591" i="9" s="1"/>
  <c r="BK459" i="9"/>
  <c r="EB459" i="9" s="1"/>
  <c r="Q584" i="9"/>
  <c r="CH584" i="9" s="1"/>
  <c r="T577" i="9"/>
  <c r="CK577" i="9" s="1"/>
  <c r="O577" i="9"/>
  <c r="CF577" i="9" s="1"/>
  <c r="P349" i="9"/>
  <c r="CG349" i="9" s="1"/>
  <c r="T414" i="9"/>
  <c r="CK414" i="9" s="1"/>
  <c r="Q459" i="9"/>
  <c r="CH459" i="9" s="1"/>
  <c r="K349" i="9"/>
  <c r="CB349" i="9" s="1"/>
  <c r="AJ591" i="9"/>
  <c r="DA591" i="9" s="1"/>
  <c r="BE591" i="9"/>
  <c r="DV591" i="9" s="1"/>
  <c r="Q421" i="9"/>
  <c r="CH421" i="9" s="1"/>
  <c r="T421" i="9"/>
  <c r="CK421" i="9" s="1"/>
  <c r="P421" i="9"/>
  <c r="CG421" i="9" s="1"/>
  <c r="S421" i="9"/>
  <c r="CJ421" i="9" s="1"/>
  <c r="BP584" i="9"/>
  <c r="EG584" i="9" s="1"/>
  <c r="BN584" i="9"/>
  <c r="EE584" i="9" s="1"/>
  <c r="BN349" i="9"/>
  <c r="EE349" i="9" s="1"/>
  <c r="AO349" i="9"/>
  <c r="DF349" i="9" s="1"/>
  <c r="AX459" i="9"/>
  <c r="DO459" i="9" s="1"/>
  <c r="AF414" i="9"/>
  <c r="CW414" i="9" s="1"/>
  <c r="AS573" i="9"/>
  <c r="DJ573" i="9" s="1"/>
  <c r="Y573" i="9"/>
  <c r="CP573" i="9" s="1"/>
  <c r="AF573" i="9"/>
  <c r="CW573" i="9" s="1"/>
  <c r="BK573" i="9"/>
  <c r="EB573" i="9" s="1"/>
  <c r="BE573" i="9"/>
  <c r="DV573" i="9" s="1"/>
  <c r="AP573" i="9"/>
  <c r="DG573" i="9" s="1"/>
  <c r="BJ573" i="9"/>
  <c r="EA573" i="9" s="1"/>
  <c r="AT573" i="9"/>
  <c r="DK573" i="9" s="1"/>
  <c r="BQ573" i="9"/>
  <c r="EH573" i="9" s="1"/>
  <c r="BC573" i="9"/>
  <c r="DT573" i="9" s="1"/>
  <c r="AY573" i="9"/>
  <c r="DP573" i="9" s="1"/>
  <c r="BP573" i="9"/>
  <c r="EG573" i="9" s="1"/>
  <c r="AZ573" i="9"/>
  <c r="DQ573" i="9" s="1"/>
  <c r="AJ573" i="9"/>
  <c r="DA573" i="9" s="1"/>
  <c r="BI573" i="9"/>
  <c r="DZ573" i="9" s="1"/>
  <c r="AG573" i="9"/>
  <c r="CX573" i="9" s="1"/>
  <c r="AI573" i="9"/>
  <c r="CZ573" i="9" s="1"/>
  <c r="BG573" i="9"/>
  <c r="DX573" i="9" s="1"/>
  <c r="BF573" i="9"/>
  <c r="DW573" i="9" s="1"/>
  <c r="W573" i="9"/>
  <c r="CN573" i="9" s="1"/>
  <c r="AX573" i="9"/>
  <c r="DO573" i="9" s="1"/>
  <c r="BN573" i="9"/>
  <c r="EE573" i="9" s="1"/>
  <c r="AA573" i="9"/>
  <c r="CR573" i="9" s="1"/>
  <c r="BP459" i="9"/>
  <c r="EG459" i="9" s="1"/>
  <c r="L584" i="9"/>
  <c r="CC584" i="9" s="1"/>
  <c r="R577" i="9"/>
  <c r="CI577" i="9" s="1"/>
  <c r="S315" i="9"/>
  <c r="CJ315" i="9" s="1"/>
  <c r="O591" i="9"/>
  <c r="CF591" i="9" s="1"/>
  <c r="P352" i="9"/>
  <c r="CG352" i="9" s="1"/>
  <c r="N584" i="9"/>
  <c r="CE584" i="9" s="1"/>
  <c r="N577" i="9"/>
  <c r="CE577" i="9" s="1"/>
  <c r="N459" i="9"/>
  <c r="CE459" i="9" s="1"/>
  <c r="R414" i="9"/>
  <c r="CI414" i="9" s="1"/>
  <c r="N421" i="9"/>
  <c r="CE421" i="9" s="1"/>
  <c r="K352" i="9"/>
  <c r="CB352" i="9" s="1"/>
  <c r="I392" i="9"/>
  <c r="O392" i="9" s="1"/>
  <c r="CF392" i="9" s="1"/>
  <c r="I389" i="9"/>
  <c r="I385" i="9"/>
  <c r="I552" i="9"/>
  <c r="I551" i="9"/>
  <c r="I557" i="9"/>
  <c r="I553" i="9"/>
  <c r="I560" i="9"/>
  <c r="I566" i="9"/>
  <c r="AF566" i="9" s="1"/>
  <c r="CW566" i="9" s="1"/>
  <c r="I564" i="9"/>
  <c r="BQ591" i="9"/>
  <c r="EH591" i="9" s="1"/>
  <c r="AQ591" i="9"/>
  <c r="DH591" i="9" s="1"/>
  <c r="X584" i="9"/>
  <c r="CO584" i="9" s="1"/>
  <c r="BB584" i="9"/>
  <c r="DS584" i="9" s="1"/>
  <c r="AI414" i="9"/>
  <c r="CZ414" i="9" s="1"/>
  <c r="BE579" i="9"/>
  <c r="DV579" i="9" s="1"/>
  <c r="BB579" i="9"/>
  <c r="DS579" i="9" s="1"/>
  <c r="V349" i="9"/>
  <c r="CM349" i="9" s="1"/>
  <c r="AF349" i="9"/>
  <c r="CW349" i="9" s="1"/>
  <c r="BO573" i="9"/>
  <c r="EF573" i="9" s="1"/>
  <c r="BE406" i="9"/>
  <c r="DV406" i="9" s="1"/>
  <c r="BR405" i="9"/>
  <c r="EI405" i="9" s="1"/>
  <c r="BP405" i="9"/>
  <c r="EG405" i="9" s="1"/>
  <c r="AK414" i="9"/>
  <c r="DB414" i="9" s="1"/>
  <c r="BF459" i="9"/>
  <c r="DW459" i="9" s="1"/>
  <c r="L577" i="9"/>
  <c r="CC577" i="9" s="1"/>
  <c r="L459" i="9"/>
  <c r="CC459" i="9" s="1"/>
  <c r="S349" i="9"/>
  <c r="CJ349" i="9" s="1"/>
  <c r="N315" i="9"/>
  <c r="CE315" i="9" s="1"/>
  <c r="O352" i="9"/>
  <c r="CF352" i="9" s="1"/>
  <c r="M421" i="9"/>
  <c r="CD421" i="9" s="1"/>
  <c r="O414" i="9"/>
  <c r="CF414" i="9" s="1"/>
  <c r="I493" i="9"/>
  <c r="I486" i="9"/>
  <c r="I484" i="9"/>
  <c r="I481" i="9"/>
  <c r="P481" i="9" s="1"/>
  <c r="CG481" i="9" s="1"/>
  <c r="Y591" i="9"/>
  <c r="CP591" i="9" s="1"/>
  <c r="BP591" i="9"/>
  <c r="EG591" i="9" s="1"/>
  <c r="Z584" i="9"/>
  <c r="CQ584" i="9" s="1"/>
  <c r="AE414" i="9"/>
  <c r="CV414" i="9" s="1"/>
  <c r="AP349" i="9"/>
  <c r="DG349" i="9" s="1"/>
  <c r="AV349" i="9"/>
  <c r="DM349" i="9" s="1"/>
  <c r="U573" i="9"/>
  <c r="CL573" i="9" s="1"/>
  <c r="AW406" i="9"/>
  <c r="DN406" i="9" s="1"/>
  <c r="V405" i="9"/>
  <c r="CM405" i="9" s="1"/>
  <c r="Y405" i="9"/>
  <c r="CP405" i="9" s="1"/>
  <c r="BF414" i="9"/>
  <c r="DW414" i="9" s="1"/>
  <c r="BN414" i="9"/>
  <c r="EE414" i="9" s="1"/>
  <c r="BO459" i="9"/>
  <c r="EF459" i="9" s="1"/>
  <c r="L315" i="9"/>
  <c r="CC315" i="9" s="1"/>
  <c r="N349" i="9"/>
  <c r="CE349" i="9" s="1"/>
  <c r="R349" i="9"/>
  <c r="CI349" i="9" s="1"/>
  <c r="T584" i="9"/>
  <c r="CK584" i="9" s="1"/>
  <c r="Q352" i="9"/>
  <c r="CH352" i="9" s="1"/>
  <c r="S459" i="9"/>
  <c r="CJ459" i="9" s="1"/>
  <c r="K459" i="9"/>
  <c r="CB459" i="9" s="1"/>
  <c r="I565" i="9"/>
  <c r="I559" i="9"/>
  <c r="I649" i="9"/>
  <c r="I664" i="9"/>
  <c r="I661" i="9"/>
  <c r="AF661" i="9" s="1"/>
  <c r="CW661" i="9" s="1"/>
  <c r="I656" i="9"/>
  <c r="AA591" i="9"/>
  <c r="CR591" i="9" s="1"/>
  <c r="U591" i="9"/>
  <c r="CL591" i="9" s="1"/>
  <c r="AL574" i="9"/>
  <c r="DC574" i="9" s="1"/>
  <c r="AS574" i="9"/>
  <c r="DJ574" i="9" s="1"/>
  <c r="AS584" i="9"/>
  <c r="DJ584" i="9" s="1"/>
  <c r="BH414" i="9"/>
  <c r="DY414" i="9" s="1"/>
  <c r="AL579" i="9"/>
  <c r="DC579" i="9" s="1"/>
  <c r="AN349" i="9"/>
  <c r="DE349" i="9" s="1"/>
  <c r="AR573" i="9"/>
  <c r="DI573" i="9" s="1"/>
  <c r="BR573" i="9"/>
  <c r="EI573" i="9" s="1"/>
  <c r="AH406" i="9"/>
  <c r="CY406" i="9" s="1"/>
  <c r="U470" i="9"/>
  <c r="CL470" i="9" s="1"/>
  <c r="Q470" i="9"/>
  <c r="CH470" i="9" s="1"/>
  <c r="BN470" i="9"/>
  <c r="EE470" i="9" s="1"/>
  <c r="AB470" i="9"/>
  <c r="CS470" i="9" s="1"/>
  <c r="BN467" i="9"/>
  <c r="EE467" i="9" s="1"/>
  <c r="N467" i="9"/>
  <c r="CE467" i="9" s="1"/>
  <c r="R467" i="9"/>
  <c r="CI467" i="9" s="1"/>
  <c r="AR467" i="9"/>
  <c r="DI467" i="9" s="1"/>
  <c r="S467" i="9"/>
  <c r="CJ467" i="9" s="1"/>
  <c r="U467" i="9"/>
  <c r="CL467" i="9" s="1"/>
  <c r="AB467" i="9"/>
  <c r="CS467" i="9" s="1"/>
  <c r="AX467" i="9"/>
  <c r="DO467" i="9" s="1"/>
  <c r="BG405" i="9"/>
  <c r="DX405" i="9" s="1"/>
  <c r="AV414" i="9"/>
  <c r="DM414" i="9" s="1"/>
  <c r="AW459" i="9"/>
  <c r="DN459" i="9" s="1"/>
  <c r="AK459" i="9"/>
  <c r="DB459" i="9" s="1"/>
  <c r="BE422" i="9"/>
  <c r="DV422" i="9" s="1"/>
  <c r="AT422" i="9"/>
  <c r="DK422" i="9" s="1"/>
  <c r="W422" i="9"/>
  <c r="CN422" i="9" s="1"/>
  <c r="AN458" i="9"/>
  <c r="DE458" i="9" s="1"/>
  <c r="AO458" i="9"/>
  <c r="DF458" i="9" s="1"/>
  <c r="AU458" i="9"/>
  <c r="DL458" i="9" s="1"/>
  <c r="V458" i="9"/>
  <c r="CM458" i="9" s="1"/>
  <c r="BA458" i="9"/>
  <c r="DR458" i="9" s="1"/>
  <c r="BI334" i="9"/>
  <c r="DZ334" i="9" s="1"/>
  <c r="AY334" i="9"/>
  <c r="DP334" i="9" s="1"/>
  <c r="W334" i="9"/>
  <c r="CN334" i="9" s="1"/>
  <c r="BM334" i="9"/>
  <c r="ED334" i="9" s="1"/>
  <c r="BK334" i="9"/>
  <c r="EB334" i="9" s="1"/>
  <c r="AK334" i="9"/>
  <c r="DB334" i="9" s="1"/>
  <c r="AH334" i="9"/>
  <c r="CY334" i="9" s="1"/>
  <c r="AW334" i="9"/>
  <c r="DN334" i="9" s="1"/>
  <c r="AU334" i="9"/>
  <c r="DL334" i="9" s="1"/>
  <c r="BA334" i="9"/>
  <c r="DR334" i="9" s="1"/>
  <c r="AX334" i="9"/>
  <c r="DO334" i="9" s="1"/>
  <c r="BC334" i="9"/>
  <c r="DT334" i="9" s="1"/>
  <c r="AG334" i="9"/>
  <c r="CX334" i="9" s="1"/>
  <c r="BJ334" i="9"/>
  <c r="EA334" i="9" s="1"/>
  <c r="AS334" i="9"/>
  <c r="DJ334" i="9" s="1"/>
  <c r="AZ334" i="9"/>
  <c r="DQ334" i="9" s="1"/>
  <c r="Z334" i="9"/>
  <c r="CQ334" i="9" s="1"/>
  <c r="BG334" i="9"/>
  <c r="DX334" i="9" s="1"/>
  <c r="BF334" i="9"/>
  <c r="DW334" i="9" s="1"/>
  <c r="AN418" i="9"/>
  <c r="DE418" i="9" s="1"/>
  <c r="AK418" i="9"/>
  <c r="DB418" i="9" s="1"/>
  <c r="AL418" i="9"/>
  <c r="DC418" i="9" s="1"/>
  <c r="AC418" i="9"/>
  <c r="CT418" i="9" s="1"/>
  <c r="X418" i="9"/>
  <c r="CO418" i="9" s="1"/>
  <c r="BQ418" i="9"/>
  <c r="EH418" i="9" s="1"/>
  <c r="BD418" i="9"/>
  <c r="DU418" i="9" s="1"/>
  <c r="BM418" i="9"/>
  <c r="ED418" i="9" s="1"/>
  <c r="AY418" i="9"/>
  <c r="DP418" i="9" s="1"/>
  <c r="AQ418" i="9"/>
  <c r="DH418" i="9" s="1"/>
  <c r="AX339" i="9"/>
  <c r="DO339" i="9" s="1"/>
  <c r="AH339" i="9"/>
  <c r="CY339" i="9" s="1"/>
  <c r="BJ339" i="9"/>
  <c r="EA339" i="9" s="1"/>
  <c r="W339" i="9"/>
  <c r="CN339" i="9" s="1"/>
  <c r="BK339" i="9"/>
  <c r="EB339" i="9" s="1"/>
  <c r="AZ339" i="9"/>
  <c r="DQ339" i="9" s="1"/>
  <c r="AY339" i="9"/>
  <c r="DP339" i="9" s="1"/>
  <c r="Z339" i="9"/>
  <c r="CQ339" i="9" s="1"/>
  <c r="BG339" i="9"/>
  <c r="DX339" i="9" s="1"/>
  <c r="BM339" i="9"/>
  <c r="ED339" i="9" s="1"/>
  <c r="AS339" i="9"/>
  <c r="DJ339" i="9" s="1"/>
  <c r="BA339" i="9"/>
  <c r="DR339" i="9" s="1"/>
  <c r="BC339" i="9"/>
  <c r="DT339" i="9" s="1"/>
  <c r="AW339" i="9"/>
  <c r="DN339" i="9" s="1"/>
  <c r="BI339" i="9"/>
  <c r="DZ339" i="9" s="1"/>
  <c r="AU339" i="9"/>
  <c r="DL339" i="9" s="1"/>
  <c r="AK339" i="9"/>
  <c r="DB339" i="9" s="1"/>
  <c r="BF339" i="9"/>
  <c r="DW339" i="9" s="1"/>
  <c r="AG339" i="9"/>
  <c r="CX339" i="9" s="1"/>
  <c r="BD422" i="9"/>
  <c r="DU422" i="9" s="1"/>
  <c r="V422" i="9"/>
  <c r="CM422" i="9" s="1"/>
  <c r="AV422" i="9"/>
  <c r="DM422" i="9" s="1"/>
  <c r="BR422" i="9"/>
  <c r="EI422" i="9" s="1"/>
  <c r="U422" i="9"/>
  <c r="CL422" i="9" s="1"/>
  <c r="BJ422" i="9"/>
  <c r="EA422" i="9" s="1"/>
  <c r="AG422" i="9"/>
  <c r="CX422" i="9" s="1"/>
  <c r="AL422" i="9"/>
  <c r="DC422" i="9" s="1"/>
  <c r="Z422" i="9"/>
  <c r="CQ422" i="9" s="1"/>
  <c r="AS422" i="9"/>
  <c r="DJ422" i="9" s="1"/>
  <c r="AN422" i="9"/>
  <c r="DE422" i="9" s="1"/>
  <c r="AA422" i="9"/>
  <c r="CR422" i="9" s="1"/>
  <c r="AX422" i="9"/>
  <c r="DO422" i="9" s="1"/>
  <c r="AQ422" i="9"/>
  <c r="DH422" i="9" s="1"/>
  <c r="AP422" i="9"/>
  <c r="DG422" i="9" s="1"/>
  <c r="AD422" i="9"/>
  <c r="CU422" i="9" s="1"/>
  <c r="AS419" i="9"/>
  <c r="DJ419" i="9" s="1"/>
  <c r="BI419" i="9"/>
  <c r="DZ419" i="9" s="1"/>
  <c r="AG419" i="9"/>
  <c r="CX419" i="9" s="1"/>
  <c r="AE419" i="9"/>
  <c r="CV419" i="9" s="1"/>
  <c r="BP419" i="9"/>
  <c r="EG419" i="9" s="1"/>
  <c r="BG419" i="9"/>
  <c r="DX419" i="9" s="1"/>
  <c r="BR419" i="9"/>
  <c r="EI419" i="9" s="1"/>
  <c r="AV419" i="9"/>
  <c r="DM419" i="9" s="1"/>
  <c r="BM419" i="9"/>
  <c r="ED419" i="9" s="1"/>
  <c r="X419" i="9"/>
  <c r="CO419" i="9" s="1"/>
  <c r="AP419" i="9"/>
  <c r="DG419" i="9" s="1"/>
  <c r="BN422" i="9"/>
  <c r="EE422" i="9" s="1"/>
  <c r="AM422" i="9"/>
  <c r="DD422" i="9" s="1"/>
  <c r="BM422" i="9"/>
  <c r="ED422" i="9" s="1"/>
  <c r="Z419" i="9"/>
  <c r="CQ419" i="9" s="1"/>
  <c r="AY419" i="9"/>
  <c r="DP419" i="9" s="1"/>
  <c r="AJ419" i="9"/>
  <c r="DA419" i="9" s="1"/>
  <c r="AK419" i="9"/>
  <c r="DB419" i="9" s="1"/>
  <c r="AZ348" i="9"/>
  <c r="DQ348" i="9" s="1"/>
  <c r="BC348" i="9"/>
  <c r="DT348" i="9" s="1"/>
  <c r="BM348" i="9"/>
  <c r="ED348" i="9" s="1"/>
  <c r="AH348" i="9"/>
  <c r="CY348" i="9" s="1"/>
  <c r="AK348" i="9"/>
  <c r="DB348" i="9" s="1"/>
  <c r="AS348" i="9"/>
  <c r="DJ348" i="9" s="1"/>
  <c r="AS423" i="9"/>
  <c r="DJ423" i="9" s="1"/>
  <c r="AM423" i="9"/>
  <c r="DD423" i="9" s="1"/>
  <c r="AZ423" i="9"/>
  <c r="DQ423" i="9" s="1"/>
  <c r="AP423" i="9"/>
  <c r="DG423" i="9" s="1"/>
  <c r="AA423" i="9"/>
  <c r="CR423" i="9" s="1"/>
  <c r="AX423" i="9"/>
  <c r="DO423" i="9" s="1"/>
  <c r="BE423" i="9"/>
  <c r="DV423" i="9" s="1"/>
  <c r="U423" i="9"/>
  <c r="CL423" i="9" s="1"/>
  <c r="AF423" i="9"/>
  <c r="CW423" i="9" s="1"/>
  <c r="AF410" i="9"/>
  <c r="CW410" i="9" s="1"/>
  <c r="AQ410" i="9"/>
  <c r="DH410" i="9" s="1"/>
  <c r="U410" i="9"/>
  <c r="CL410" i="9" s="1"/>
  <c r="BA410" i="9"/>
  <c r="DR410" i="9" s="1"/>
  <c r="BF410" i="9"/>
  <c r="DW410" i="9" s="1"/>
  <c r="AY410" i="9"/>
  <c r="DP410" i="9" s="1"/>
  <c r="V410" i="9"/>
  <c r="CM410" i="9" s="1"/>
  <c r="BK410" i="9"/>
  <c r="EB410" i="9" s="1"/>
  <c r="AD410" i="9"/>
  <c r="CU410" i="9" s="1"/>
  <c r="BC410" i="9"/>
  <c r="DT410" i="9" s="1"/>
  <c r="BI410" i="9"/>
  <c r="DZ410" i="9" s="1"/>
  <c r="BJ410" i="9"/>
  <c r="EA410" i="9" s="1"/>
  <c r="BO410" i="9"/>
  <c r="EF410" i="9" s="1"/>
  <c r="Y410" i="9"/>
  <c r="CP410" i="9" s="1"/>
  <c r="AP410" i="9"/>
  <c r="DG410" i="9" s="1"/>
  <c r="BL410" i="9"/>
  <c r="EC410" i="9" s="1"/>
  <c r="AJ410" i="9"/>
  <c r="DA410" i="9" s="1"/>
  <c r="X410" i="9"/>
  <c r="CO410" i="9" s="1"/>
  <c r="BG410" i="9"/>
  <c r="DX410" i="9" s="1"/>
  <c r="BN410" i="9"/>
  <c r="EE410" i="9" s="1"/>
  <c r="AX410" i="9"/>
  <c r="DO410" i="9" s="1"/>
  <c r="AG410" i="9"/>
  <c r="CX410" i="9" s="1"/>
  <c r="AU410" i="9"/>
  <c r="DL410" i="9" s="1"/>
  <c r="BR410" i="9"/>
  <c r="EI410" i="9" s="1"/>
  <c r="BP410" i="9"/>
  <c r="EG410" i="9" s="1"/>
  <c r="Z410" i="9"/>
  <c r="CQ410" i="9" s="1"/>
  <c r="AA410" i="9"/>
  <c r="CR410" i="9" s="1"/>
  <c r="AR410" i="9"/>
  <c r="DI410" i="9" s="1"/>
  <c r="BE410" i="9"/>
  <c r="DV410" i="9" s="1"/>
  <c r="AC410" i="9"/>
  <c r="CT410" i="9" s="1"/>
  <c r="AS410" i="9"/>
  <c r="DJ410" i="9" s="1"/>
  <c r="AL410" i="9"/>
  <c r="DC410" i="9" s="1"/>
  <c r="BQ410" i="9"/>
  <c r="EH410" i="9" s="1"/>
  <c r="AZ410" i="9"/>
  <c r="DQ410" i="9" s="1"/>
  <c r="AH410" i="9"/>
  <c r="CY410" i="9" s="1"/>
  <c r="AK410" i="9"/>
  <c r="DB410" i="9" s="1"/>
  <c r="BB410" i="9"/>
  <c r="DS410" i="9" s="1"/>
  <c r="AN410" i="9"/>
  <c r="DE410" i="9" s="1"/>
  <c r="W410" i="9"/>
  <c r="CN410" i="9" s="1"/>
  <c r="AI410" i="9"/>
  <c r="CZ410" i="9" s="1"/>
  <c r="BD410" i="9"/>
  <c r="DU410" i="9" s="1"/>
  <c r="BC422" i="9"/>
  <c r="DT422" i="9" s="1"/>
  <c r="AZ422" i="9"/>
  <c r="DQ422" i="9" s="1"/>
  <c r="AF422" i="9"/>
  <c r="CW422" i="9" s="1"/>
  <c r="BD419" i="9"/>
  <c r="DU419" i="9" s="1"/>
  <c r="AR419" i="9"/>
  <c r="DI419" i="9" s="1"/>
  <c r="V419" i="9"/>
  <c r="CM419" i="9" s="1"/>
  <c r="AW419" i="9"/>
  <c r="DN419" i="9" s="1"/>
  <c r="BC453" i="9"/>
  <c r="DT453" i="9" s="1"/>
  <c r="AU453" i="9"/>
  <c r="DL453" i="9" s="1"/>
  <c r="BF453" i="9"/>
  <c r="DW453" i="9" s="1"/>
  <c r="AT453" i="9"/>
  <c r="DK453" i="9" s="1"/>
  <c r="BQ453" i="9"/>
  <c r="EH453" i="9" s="1"/>
  <c r="AZ453" i="9"/>
  <c r="DQ453" i="9" s="1"/>
  <c r="X453" i="9"/>
  <c r="CO453" i="9" s="1"/>
  <c r="AV453" i="9"/>
  <c r="DM453" i="9" s="1"/>
  <c r="AL453" i="9"/>
  <c r="DC453" i="9" s="1"/>
  <c r="AH453" i="9"/>
  <c r="CY453" i="9" s="1"/>
  <c r="BH453" i="9"/>
  <c r="DY453" i="9" s="1"/>
  <c r="AK415" i="9"/>
  <c r="DB415" i="9" s="1"/>
  <c r="AY415" i="9"/>
  <c r="DP415" i="9" s="1"/>
  <c r="AM415" i="9"/>
  <c r="DD415" i="9" s="1"/>
  <c r="AG415" i="9"/>
  <c r="CX415" i="9" s="1"/>
  <c r="BD415" i="9"/>
  <c r="DU415" i="9" s="1"/>
  <c r="V415" i="9"/>
  <c r="CM415" i="9" s="1"/>
  <c r="AN415" i="9"/>
  <c r="DE415" i="9" s="1"/>
  <c r="BR415" i="9"/>
  <c r="EI415" i="9" s="1"/>
  <c r="AZ346" i="9"/>
  <c r="DQ346" i="9" s="1"/>
  <c r="AX346" i="9"/>
  <c r="DO346" i="9" s="1"/>
  <c r="BI346" i="9"/>
  <c r="DZ346" i="9" s="1"/>
  <c r="AK346" i="9"/>
  <c r="DB346" i="9" s="1"/>
  <c r="AW346" i="9"/>
  <c r="DN346" i="9" s="1"/>
  <c r="AS346" i="9"/>
  <c r="DJ346" i="9" s="1"/>
  <c r="BA346" i="9"/>
  <c r="DR346" i="9" s="1"/>
  <c r="BJ346" i="9"/>
  <c r="EA346" i="9" s="1"/>
  <c r="AH346" i="9"/>
  <c r="CY346" i="9" s="1"/>
  <c r="BC346" i="9"/>
  <c r="DT346" i="9" s="1"/>
  <c r="BG346" i="9"/>
  <c r="DX346" i="9" s="1"/>
  <c r="BK346" i="9"/>
  <c r="EB346" i="9" s="1"/>
  <c r="BM346" i="9"/>
  <c r="ED346" i="9" s="1"/>
  <c r="BK336" i="9"/>
  <c r="EB336" i="9" s="1"/>
  <c r="AZ336" i="9"/>
  <c r="DQ336" i="9" s="1"/>
  <c r="AY336" i="9"/>
  <c r="DP336" i="9" s="1"/>
  <c r="AU336" i="9"/>
  <c r="DL336" i="9" s="1"/>
  <c r="AX336" i="9"/>
  <c r="DO336" i="9" s="1"/>
  <c r="AW336" i="9"/>
  <c r="DN336" i="9" s="1"/>
  <c r="BI336" i="9"/>
  <c r="DZ336" i="9" s="1"/>
  <c r="BJ336" i="9"/>
  <c r="EA336" i="9" s="1"/>
  <c r="BC336" i="9"/>
  <c r="DT336" i="9" s="1"/>
  <c r="AH336" i="9"/>
  <c r="CY336" i="9" s="1"/>
  <c r="BG336" i="9"/>
  <c r="DX336" i="9" s="1"/>
  <c r="BM336" i="9"/>
  <c r="ED336" i="9" s="1"/>
  <c r="AG336" i="9"/>
  <c r="CX336" i="9" s="1"/>
  <c r="AS336" i="9"/>
  <c r="DJ336" i="9" s="1"/>
  <c r="AK336" i="9"/>
  <c r="DB336" i="9" s="1"/>
  <c r="BA336" i="9"/>
  <c r="DR336" i="9" s="1"/>
  <c r="Z336" i="9"/>
  <c r="CQ336" i="9" s="1"/>
  <c r="AD408" i="9"/>
  <c r="CU408" i="9" s="1"/>
  <c r="AI408" i="9"/>
  <c r="CZ408" i="9" s="1"/>
  <c r="AR408" i="9"/>
  <c r="DI408" i="9" s="1"/>
  <c r="AG408" i="9"/>
  <c r="CX408" i="9" s="1"/>
  <c r="BA408" i="9"/>
  <c r="DR408" i="9" s="1"/>
  <c r="U408" i="9"/>
  <c r="CL408" i="9" s="1"/>
  <c r="AE408" i="9"/>
  <c r="CV408" i="9" s="1"/>
  <c r="BD408" i="9"/>
  <c r="DU408" i="9" s="1"/>
  <c r="AX408" i="9"/>
  <c r="DO408" i="9" s="1"/>
  <c r="BL408" i="9"/>
  <c r="EC408" i="9" s="1"/>
  <c r="I433" i="9"/>
  <c r="I252" i="9"/>
  <c r="T252" i="9" s="1"/>
  <c r="CK252" i="9" s="1"/>
  <c r="I358" i="9"/>
  <c r="I441" i="9"/>
  <c r="BG422" i="9"/>
  <c r="DX422" i="9" s="1"/>
  <c r="BK422" i="9"/>
  <c r="EB422" i="9" s="1"/>
  <c r="BQ422" i="9"/>
  <c r="EH422" i="9" s="1"/>
  <c r="AX419" i="9"/>
  <c r="DO419" i="9" s="1"/>
  <c r="Y419" i="9"/>
  <c r="CP419" i="9" s="1"/>
  <c r="W419" i="9"/>
  <c r="CN419" i="9" s="1"/>
  <c r="AL415" i="9"/>
  <c r="DC415" i="9" s="1"/>
  <c r="Z464" i="9"/>
  <c r="CQ464" i="9" s="1"/>
  <c r="AF464" i="9"/>
  <c r="CW464" i="9" s="1"/>
  <c r="BR464" i="9"/>
  <c r="EI464" i="9" s="1"/>
  <c r="BM464" i="9"/>
  <c r="ED464" i="9" s="1"/>
  <c r="BP464" i="9"/>
  <c r="EG464" i="9" s="1"/>
  <c r="BC464" i="9"/>
  <c r="DT464" i="9" s="1"/>
  <c r="AI464" i="9"/>
  <c r="CZ464" i="9" s="1"/>
  <c r="AS464" i="9"/>
  <c r="DJ464" i="9" s="1"/>
  <c r="V464" i="9"/>
  <c r="CM464" i="9" s="1"/>
  <c r="AY464" i="9"/>
  <c r="DP464" i="9" s="1"/>
  <c r="BI464" i="9"/>
  <c r="DZ464" i="9" s="1"/>
  <c r="AV464" i="9"/>
  <c r="DM464" i="9" s="1"/>
  <c r="AG464" i="9"/>
  <c r="CX464" i="9" s="1"/>
  <c r="BB464" i="9"/>
  <c r="DS464" i="9" s="1"/>
  <c r="BE464" i="9"/>
  <c r="DV464" i="9" s="1"/>
  <c r="AK464" i="9"/>
  <c r="DB464" i="9" s="1"/>
  <c r="W464" i="9"/>
  <c r="CN464" i="9" s="1"/>
  <c r="Y464" i="9"/>
  <c r="CP464" i="9" s="1"/>
  <c r="BJ464" i="9"/>
  <c r="EA464" i="9" s="1"/>
  <c r="AW464" i="9"/>
  <c r="DN464" i="9" s="1"/>
  <c r="AL464" i="9"/>
  <c r="DC464" i="9" s="1"/>
  <c r="AK333" i="9"/>
  <c r="DB333" i="9" s="1"/>
  <c r="BG333" i="9"/>
  <c r="DX333" i="9" s="1"/>
  <c r="AU333" i="9"/>
  <c r="DL333" i="9" s="1"/>
  <c r="BK333" i="9"/>
  <c r="EB333" i="9" s="1"/>
  <c r="BC333" i="9"/>
  <c r="DT333" i="9" s="1"/>
  <c r="BJ333" i="9"/>
  <c r="EA333" i="9" s="1"/>
  <c r="AW333" i="9"/>
  <c r="DN333" i="9" s="1"/>
  <c r="BA333" i="9"/>
  <c r="DR333" i="9" s="1"/>
  <c r="BI333" i="9"/>
  <c r="DZ333" i="9" s="1"/>
  <c r="AZ333" i="9"/>
  <c r="DQ333" i="9" s="1"/>
  <c r="BF333" i="9"/>
  <c r="DW333" i="9" s="1"/>
  <c r="AH333" i="9"/>
  <c r="CY333" i="9" s="1"/>
  <c r="AY333" i="9"/>
  <c r="DP333" i="9" s="1"/>
  <c r="AS333" i="9"/>
  <c r="DJ333" i="9" s="1"/>
  <c r="Z333" i="9"/>
  <c r="CQ333" i="9" s="1"/>
  <c r="AX333" i="9"/>
  <c r="DO333" i="9" s="1"/>
  <c r="W333" i="9"/>
  <c r="CN333" i="9" s="1"/>
  <c r="BM333" i="9"/>
  <c r="ED333" i="9" s="1"/>
  <c r="AG333" i="9"/>
  <c r="CX333" i="9" s="1"/>
  <c r="Z350" i="9"/>
  <c r="CQ350" i="9" s="1"/>
  <c r="BM350" i="9"/>
  <c r="ED350" i="9" s="1"/>
  <c r="W350" i="9"/>
  <c r="CN350" i="9" s="1"/>
  <c r="BF350" i="9"/>
  <c r="DW350" i="9" s="1"/>
  <c r="AS350" i="9"/>
  <c r="DJ350" i="9" s="1"/>
  <c r="AZ350" i="9"/>
  <c r="DQ350" i="9" s="1"/>
  <c r="BI350" i="9"/>
  <c r="DZ350" i="9" s="1"/>
  <c r="AK350" i="9"/>
  <c r="DB350" i="9" s="1"/>
  <c r="AG350" i="9"/>
  <c r="CX350" i="9" s="1"/>
  <c r="BA350" i="9"/>
  <c r="DR350" i="9" s="1"/>
  <c r="AH350" i="9"/>
  <c r="CY350" i="9" s="1"/>
  <c r="BJ350" i="9"/>
  <c r="EA350" i="9" s="1"/>
  <c r="AU350" i="9"/>
  <c r="DL350" i="9" s="1"/>
  <c r="AX350" i="9"/>
  <c r="DO350" i="9" s="1"/>
  <c r="AW350" i="9"/>
  <c r="DN350" i="9" s="1"/>
  <c r="BC350" i="9"/>
  <c r="DT350" i="9" s="1"/>
  <c r="BG350" i="9"/>
  <c r="DX350" i="9" s="1"/>
  <c r="BI420" i="9"/>
  <c r="DZ420" i="9" s="1"/>
  <c r="AB420" i="9"/>
  <c r="CS420" i="9" s="1"/>
  <c r="AL420" i="9"/>
  <c r="DC420" i="9" s="1"/>
  <c r="I261" i="9"/>
  <c r="AH422" i="9"/>
  <c r="CY422" i="9" s="1"/>
  <c r="AI422" i="9"/>
  <c r="CZ422" i="9" s="1"/>
  <c r="AU422" i="9"/>
  <c r="DL422" i="9" s="1"/>
  <c r="BA422" i="9"/>
  <c r="DR422" i="9" s="1"/>
  <c r="AN419" i="9"/>
  <c r="DE419" i="9" s="1"/>
  <c r="AZ419" i="9"/>
  <c r="DQ419" i="9" s="1"/>
  <c r="AF419" i="9"/>
  <c r="CW419" i="9" s="1"/>
  <c r="BC419" i="9"/>
  <c r="DT419" i="9" s="1"/>
  <c r="U415" i="9"/>
  <c r="CL415" i="9" s="1"/>
  <c r="BM341" i="9"/>
  <c r="ED341" i="9" s="1"/>
  <c r="AW341" i="9"/>
  <c r="DN341" i="9" s="1"/>
  <c r="BK341" i="9"/>
  <c r="EB341" i="9" s="1"/>
  <c r="AZ341" i="9"/>
  <c r="DQ341" i="9" s="1"/>
  <c r="AH341" i="9"/>
  <c r="CY341" i="9" s="1"/>
  <c r="AK341" i="9"/>
  <c r="DB341" i="9" s="1"/>
  <c r="BI341" i="9"/>
  <c r="DZ341" i="9" s="1"/>
  <c r="W341" i="9"/>
  <c r="CN341" i="9" s="1"/>
  <c r="BC341" i="9"/>
  <c r="DT341" i="9" s="1"/>
  <c r="AS341" i="9"/>
  <c r="DJ341" i="9" s="1"/>
  <c r="BA341" i="9"/>
  <c r="DR341" i="9" s="1"/>
  <c r="BG341" i="9"/>
  <c r="DX341" i="9" s="1"/>
  <c r="AX341" i="9"/>
  <c r="DO341" i="9" s="1"/>
  <c r="BF341" i="9"/>
  <c r="DW341" i="9" s="1"/>
  <c r="AG341" i="9"/>
  <c r="CX341" i="9" s="1"/>
  <c r="BF417" i="9"/>
  <c r="DW417" i="9" s="1"/>
  <c r="AT417" i="9"/>
  <c r="DK417" i="9" s="1"/>
  <c r="AG417" i="9"/>
  <c r="CX417" i="9" s="1"/>
  <c r="BC417" i="9"/>
  <c r="DT417" i="9" s="1"/>
  <c r="BK417" i="9"/>
  <c r="EB417" i="9" s="1"/>
  <c r="AL417" i="9"/>
  <c r="DC417" i="9" s="1"/>
  <c r="AQ417" i="9"/>
  <c r="DH417" i="9" s="1"/>
  <c r="AI417" i="9"/>
  <c r="CZ417" i="9" s="1"/>
  <c r="BD417" i="9"/>
  <c r="DU417" i="9" s="1"/>
  <c r="AO417" i="9"/>
  <c r="DF417" i="9" s="1"/>
  <c r="BA417" i="9"/>
  <c r="DR417" i="9" s="1"/>
  <c r="V417" i="9"/>
  <c r="CM417" i="9" s="1"/>
  <c r="AJ417" i="9"/>
  <c r="DA417" i="9" s="1"/>
  <c r="AM417" i="9"/>
  <c r="DD417" i="9" s="1"/>
  <c r="BJ417" i="9"/>
  <c r="EA417" i="9" s="1"/>
  <c r="AD417" i="9"/>
  <c r="CU417" i="9" s="1"/>
  <c r="X417" i="9"/>
  <c r="CO417" i="9" s="1"/>
  <c r="BQ417" i="9"/>
  <c r="EH417" i="9" s="1"/>
  <c r="U417" i="9"/>
  <c r="CL417" i="9" s="1"/>
  <c r="BB417" i="9"/>
  <c r="DS417" i="9" s="1"/>
  <c r="BP417" i="9"/>
  <c r="EG417" i="9" s="1"/>
  <c r="AF417" i="9"/>
  <c r="CW417" i="9" s="1"/>
  <c r="AS417" i="9"/>
  <c r="DJ417" i="9" s="1"/>
  <c r="BG417" i="9"/>
  <c r="DX417" i="9" s="1"/>
  <c r="AN417" i="9"/>
  <c r="DE417" i="9" s="1"/>
  <c r="AA417" i="9"/>
  <c r="CR417" i="9" s="1"/>
  <c r="Y417" i="9"/>
  <c r="CP417" i="9" s="1"/>
  <c r="BI417" i="9"/>
  <c r="DZ417" i="9" s="1"/>
  <c r="AY417" i="9"/>
  <c r="DP417" i="9" s="1"/>
  <c r="AC417" i="9"/>
  <c r="CT417" i="9" s="1"/>
  <c r="AH417" i="9"/>
  <c r="CY417" i="9" s="1"/>
  <c r="AR417" i="9"/>
  <c r="DI417" i="9" s="1"/>
  <c r="AX417" i="9"/>
  <c r="DO417" i="9" s="1"/>
  <c r="AP417" i="9"/>
  <c r="DG417" i="9" s="1"/>
  <c r="BR417" i="9"/>
  <c r="EI417" i="9" s="1"/>
  <c r="AZ417" i="9"/>
  <c r="DQ417" i="9" s="1"/>
  <c r="W417" i="9"/>
  <c r="CN417" i="9" s="1"/>
  <c r="V412" i="9"/>
  <c r="CM412" i="9" s="1"/>
  <c r="BJ412" i="9"/>
  <c r="EA412" i="9" s="1"/>
  <c r="AO412" i="9"/>
  <c r="DF412" i="9" s="1"/>
  <c r="AQ412" i="9"/>
  <c r="DH412" i="9" s="1"/>
  <c r="AY412" i="9"/>
  <c r="DP412" i="9" s="1"/>
  <c r="BG412" i="9"/>
  <c r="DX412" i="9" s="1"/>
  <c r="AP412" i="9"/>
  <c r="DG412" i="9" s="1"/>
  <c r="BB412" i="9"/>
  <c r="DS412" i="9" s="1"/>
  <c r="AN412" i="9"/>
  <c r="DE412" i="9" s="1"/>
  <c r="BI412" i="9"/>
  <c r="DZ412" i="9" s="1"/>
  <c r="AD590" i="9"/>
  <c r="CU590" i="9" s="1"/>
  <c r="AV590" i="9"/>
  <c r="DM590" i="9" s="1"/>
  <c r="AU590" i="9"/>
  <c r="DL590" i="9" s="1"/>
  <c r="AH590" i="9"/>
  <c r="CY590" i="9" s="1"/>
  <c r="BM590" i="9"/>
  <c r="ED590" i="9" s="1"/>
  <c r="AW590" i="9"/>
  <c r="DN590" i="9" s="1"/>
  <c r="AB590" i="9"/>
  <c r="CS590" i="9" s="1"/>
  <c r="AN590" i="9"/>
  <c r="DE590" i="9" s="1"/>
  <c r="AK590" i="9"/>
  <c r="DB590" i="9" s="1"/>
  <c r="AE590" i="9"/>
  <c r="CV590" i="9" s="1"/>
  <c r="BA590" i="9"/>
  <c r="DR590" i="9" s="1"/>
  <c r="AC590" i="9"/>
  <c r="CT590" i="9" s="1"/>
  <c r="V590" i="9"/>
  <c r="CM590" i="9" s="1"/>
  <c r="BD590" i="9"/>
  <c r="DU590" i="9" s="1"/>
  <c r="AM590" i="9"/>
  <c r="DD590" i="9" s="1"/>
  <c r="AZ590" i="9"/>
  <c r="DQ590" i="9" s="1"/>
  <c r="AJ590" i="9"/>
  <c r="DA590" i="9" s="1"/>
  <c r="W590" i="9"/>
  <c r="CN590" i="9" s="1"/>
  <c r="AP590" i="9"/>
  <c r="DG590" i="9" s="1"/>
  <c r="BF590" i="9"/>
  <c r="DW590" i="9" s="1"/>
  <c r="AY590" i="9"/>
  <c r="DP590" i="9" s="1"/>
  <c r="AS590" i="9"/>
  <c r="DJ590" i="9" s="1"/>
  <c r="Y590" i="9"/>
  <c r="CP590" i="9" s="1"/>
  <c r="BL590" i="9"/>
  <c r="EC590" i="9" s="1"/>
  <c r="X590" i="9"/>
  <c r="CO590" i="9" s="1"/>
  <c r="BE590" i="9"/>
  <c r="DV590" i="9" s="1"/>
  <c r="AI590" i="9"/>
  <c r="CZ590" i="9" s="1"/>
  <c r="BJ590" i="9"/>
  <c r="EA590" i="9" s="1"/>
  <c r="N590" i="9"/>
  <c r="CE590" i="9" s="1"/>
  <c r="BB590" i="9"/>
  <c r="DS590" i="9" s="1"/>
  <c r="AL590" i="9"/>
  <c r="DC590" i="9" s="1"/>
  <c r="BC590" i="9"/>
  <c r="DT590" i="9" s="1"/>
  <c r="AQ590" i="9"/>
  <c r="DH590" i="9" s="1"/>
  <c r="BP590" i="9"/>
  <c r="EG590" i="9" s="1"/>
  <c r="BH590" i="9"/>
  <c r="DY590" i="9" s="1"/>
  <c r="AR590" i="9"/>
  <c r="DI590" i="9" s="1"/>
  <c r="BI590" i="9"/>
  <c r="DZ590" i="9" s="1"/>
  <c r="AG590" i="9"/>
  <c r="CX590" i="9" s="1"/>
  <c r="BG590" i="9"/>
  <c r="DX590" i="9" s="1"/>
  <c r="O590" i="9"/>
  <c r="CF590" i="9" s="1"/>
  <c r="AA590" i="9"/>
  <c r="CR590" i="9" s="1"/>
  <c r="Z590" i="9"/>
  <c r="CQ590" i="9" s="1"/>
  <c r="BO590" i="9"/>
  <c r="EF590" i="9" s="1"/>
  <c r="BR590" i="9"/>
  <c r="EI590" i="9" s="1"/>
  <c r="AT590" i="9"/>
  <c r="DK590" i="9" s="1"/>
  <c r="BQ590" i="9"/>
  <c r="EH590" i="9" s="1"/>
  <c r="AO590" i="9"/>
  <c r="DF590" i="9" s="1"/>
  <c r="BN590" i="9"/>
  <c r="EE590" i="9" s="1"/>
  <c r="N338" i="9"/>
  <c r="CE338" i="9" s="1"/>
  <c r="BJ580" i="9"/>
  <c r="EA580" i="9" s="1"/>
  <c r="R590" i="9"/>
  <c r="CI590" i="9" s="1"/>
  <c r="T590" i="9"/>
  <c r="CK590" i="9" s="1"/>
  <c r="U590" i="9"/>
  <c r="CL590" i="9" s="1"/>
  <c r="R316" i="9"/>
  <c r="CI316" i="9" s="1"/>
  <c r="T316" i="9"/>
  <c r="CK316" i="9" s="1"/>
  <c r="P316" i="9"/>
  <c r="CG316" i="9" s="1"/>
  <c r="O316" i="9"/>
  <c r="CF316" i="9" s="1"/>
  <c r="L313" i="9"/>
  <c r="CC313" i="9" s="1"/>
  <c r="M313" i="9"/>
  <c r="CD313" i="9" s="1"/>
  <c r="S319" i="9"/>
  <c r="CJ319" i="9" s="1"/>
  <c r="L319" i="9"/>
  <c r="CC319" i="9" s="1"/>
  <c r="AS472" i="9"/>
  <c r="DJ472" i="9" s="1"/>
  <c r="AC472" i="9"/>
  <c r="CT472" i="9" s="1"/>
  <c r="BM472" i="9"/>
  <c r="ED472" i="9" s="1"/>
  <c r="BL472" i="9"/>
  <c r="EC472" i="9" s="1"/>
  <c r="AT472" i="9"/>
  <c r="DK472" i="9" s="1"/>
  <c r="AF472" i="9"/>
  <c r="CW472" i="9" s="1"/>
  <c r="BQ472" i="9"/>
  <c r="EH472" i="9" s="1"/>
  <c r="AP472" i="9"/>
  <c r="DG472" i="9" s="1"/>
  <c r="AM472" i="9"/>
  <c r="DD472" i="9" s="1"/>
  <c r="AZ472" i="9"/>
  <c r="DQ472" i="9" s="1"/>
  <c r="AO472" i="9"/>
  <c r="DF472" i="9" s="1"/>
  <c r="AR472" i="9"/>
  <c r="DI472" i="9" s="1"/>
  <c r="AN472" i="9"/>
  <c r="DE472" i="9" s="1"/>
  <c r="BG472" i="9"/>
  <c r="DX472" i="9" s="1"/>
  <c r="BB472" i="9"/>
  <c r="DS472" i="9" s="1"/>
  <c r="BJ472" i="9"/>
  <c r="EA472" i="9" s="1"/>
  <c r="AV472" i="9"/>
  <c r="DM472" i="9" s="1"/>
  <c r="BF472" i="9"/>
  <c r="DW472" i="9" s="1"/>
  <c r="AG472" i="9"/>
  <c r="CX472" i="9" s="1"/>
  <c r="Y472" i="9"/>
  <c r="CP472" i="9" s="1"/>
  <c r="AI472" i="9"/>
  <c r="CZ472" i="9" s="1"/>
  <c r="AW472" i="9"/>
  <c r="DN472" i="9" s="1"/>
  <c r="BO472" i="9"/>
  <c r="EF472" i="9" s="1"/>
  <c r="W472" i="9"/>
  <c r="CN472" i="9" s="1"/>
  <c r="V472" i="9"/>
  <c r="CM472" i="9" s="1"/>
  <c r="BD472" i="9"/>
  <c r="DU472" i="9" s="1"/>
  <c r="BC472" i="9"/>
  <c r="DT472" i="9" s="1"/>
  <c r="BI472" i="9"/>
  <c r="DZ472" i="9" s="1"/>
  <c r="BK472" i="9"/>
  <c r="EB472" i="9" s="1"/>
  <c r="AA472" i="9"/>
  <c r="CR472" i="9" s="1"/>
  <c r="AQ472" i="9"/>
  <c r="DH472" i="9" s="1"/>
  <c r="X472" i="9"/>
  <c r="CO472" i="9" s="1"/>
  <c r="AK472" i="9"/>
  <c r="DB472" i="9" s="1"/>
  <c r="BE472" i="9"/>
  <c r="DV472" i="9" s="1"/>
  <c r="BP472" i="9"/>
  <c r="EG472" i="9" s="1"/>
  <c r="AU472" i="9"/>
  <c r="DL472" i="9" s="1"/>
  <c r="AY472" i="9"/>
  <c r="DP472" i="9" s="1"/>
  <c r="BA472" i="9"/>
  <c r="DR472" i="9" s="1"/>
  <c r="BR472" i="9"/>
  <c r="EI472" i="9" s="1"/>
  <c r="BH472" i="9"/>
  <c r="DY472" i="9" s="1"/>
  <c r="AE472" i="9"/>
  <c r="CV472" i="9" s="1"/>
  <c r="AH472" i="9"/>
  <c r="CY472" i="9" s="1"/>
  <c r="AL472" i="9"/>
  <c r="DC472" i="9" s="1"/>
  <c r="AB472" i="9"/>
  <c r="CS472" i="9" s="1"/>
  <c r="U472" i="9"/>
  <c r="CL472" i="9" s="1"/>
  <c r="R472" i="9"/>
  <c r="CI472" i="9" s="1"/>
  <c r="AJ472" i="9"/>
  <c r="DA472" i="9" s="1"/>
  <c r="T472" i="9"/>
  <c r="CK472" i="9" s="1"/>
  <c r="S472" i="9"/>
  <c r="CJ472" i="9" s="1"/>
  <c r="Z472" i="9"/>
  <c r="CQ472" i="9" s="1"/>
  <c r="P472" i="9"/>
  <c r="CG472" i="9" s="1"/>
  <c r="AX472" i="9"/>
  <c r="DO472" i="9" s="1"/>
  <c r="O472" i="9"/>
  <c r="CF472" i="9" s="1"/>
  <c r="Q472" i="9"/>
  <c r="CH472" i="9" s="1"/>
  <c r="N472" i="9"/>
  <c r="CE472" i="9" s="1"/>
  <c r="BN472" i="9"/>
  <c r="EE472" i="9" s="1"/>
  <c r="K472" i="9"/>
  <c r="CB472" i="9" s="1"/>
  <c r="L631" i="9"/>
  <c r="CC631" i="9" s="1"/>
  <c r="M631" i="9"/>
  <c r="CD631" i="9" s="1"/>
  <c r="AX590" i="9"/>
  <c r="DO590" i="9" s="1"/>
  <c r="L338" i="9"/>
  <c r="CC338" i="9" s="1"/>
  <c r="K338" i="9"/>
  <c r="CB338" i="9" s="1"/>
  <c r="S338" i="9"/>
  <c r="CJ338" i="9" s="1"/>
  <c r="P338" i="9"/>
  <c r="CG338" i="9" s="1"/>
  <c r="O338" i="9"/>
  <c r="CF338" i="9" s="1"/>
  <c r="R338" i="9"/>
  <c r="CI338" i="9" s="1"/>
  <c r="AV580" i="9"/>
  <c r="DM580" i="9" s="1"/>
  <c r="AU580" i="9"/>
  <c r="DL580" i="9" s="1"/>
  <c r="AC580" i="9"/>
  <c r="CT580" i="9" s="1"/>
  <c r="AD580" i="9"/>
  <c r="CU580" i="9" s="1"/>
  <c r="AH580" i="9"/>
  <c r="CY580" i="9" s="1"/>
  <c r="BM580" i="9"/>
  <c r="ED580" i="9" s="1"/>
  <c r="V580" i="9"/>
  <c r="CM580" i="9" s="1"/>
  <c r="AK580" i="9"/>
  <c r="DB580" i="9" s="1"/>
  <c r="AW580" i="9"/>
  <c r="DN580" i="9" s="1"/>
  <c r="AB580" i="9"/>
  <c r="CS580" i="9" s="1"/>
  <c r="BD580" i="9"/>
  <c r="DU580" i="9" s="1"/>
  <c r="AN580" i="9"/>
  <c r="DE580" i="9" s="1"/>
  <c r="AE580" i="9"/>
  <c r="CV580" i="9" s="1"/>
  <c r="AM580" i="9"/>
  <c r="DD580" i="9" s="1"/>
  <c r="BA580" i="9"/>
  <c r="DR580" i="9" s="1"/>
  <c r="AA580" i="9"/>
  <c r="CR580" i="9" s="1"/>
  <c r="AY580" i="9"/>
  <c r="DP580" i="9" s="1"/>
  <c r="BL580" i="9"/>
  <c r="EC580" i="9" s="1"/>
  <c r="BB580" i="9"/>
  <c r="DS580" i="9" s="1"/>
  <c r="AG580" i="9"/>
  <c r="CX580" i="9" s="1"/>
  <c r="AX580" i="9"/>
  <c r="DO580" i="9" s="1"/>
  <c r="BO580" i="9"/>
  <c r="EF580" i="9" s="1"/>
  <c r="AQ580" i="9"/>
  <c r="DH580" i="9" s="1"/>
  <c r="BK580" i="9"/>
  <c r="EB580" i="9" s="1"/>
  <c r="BQ580" i="9"/>
  <c r="EH580" i="9" s="1"/>
  <c r="AR580" i="9"/>
  <c r="DI580" i="9" s="1"/>
  <c r="BE580" i="9"/>
  <c r="DV580" i="9" s="1"/>
  <c r="R580" i="9"/>
  <c r="CI580" i="9" s="1"/>
  <c r="W580" i="9"/>
  <c r="CN580" i="9" s="1"/>
  <c r="Y580" i="9"/>
  <c r="CP580" i="9" s="1"/>
  <c r="BN580" i="9"/>
  <c r="EE580" i="9" s="1"/>
  <c r="BC580" i="9"/>
  <c r="DT580" i="9" s="1"/>
  <c r="AZ580" i="9"/>
  <c r="DQ580" i="9" s="1"/>
  <c r="Z580" i="9"/>
  <c r="CQ580" i="9" s="1"/>
  <c r="AL580" i="9"/>
  <c r="DC580" i="9" s="1"/>
  <c r="BG580" i="9"/>
  <c r="DX580" i="9" s="1"/>
  <c r="T580" i="9"/>
  <c r="CK580" i="9" s="1"/>
  <c r="BI580" i="9"/>
  <c r="DZ580" i="9" s="1"/>
  <c r="AF580" i="9"/>
  <c r="CW580" i="9" s="1"/>
  <c r="AP580" i="9"/>
  <c r="DG580" i="9" s="1"/>
  <c r="AI580" i="9"/>
  <c r="CZ580" i="9" s="1"/>
  <c r="AO580" i="9"/>
  <c r="DF580" i="9" s="1"/>
  <c r="S580" i="9"/>
  <c r="CJ580" i="9" s="1"/>
  <c r="Q580" i="9"/>
  <c r="CH580" i="9" s="1"/>
  <c r="BH580" i="9"/>
  <c r="DY580" i="9" s="1"/>
  <c r="BP580" i="9"/>
  <c r="EG580" i="9" s="1"/>
  <c r="BR580" i="9"/>
  <c r="EI580" i="9" s="1"/>
  <c r="AT580" i="9"/>
  <c r="DK580" i="9" s="1"/>
  <c r="U580" i="9"/>
  <c r="CL580" i="9" s="1"/>
  <c r="M580" i="9"/>
  <c r="CD580" i="9" s="1"/>
  <c r="P590" i="9"/>
  <c r="CG590" i="9" s="1"/>
  <c r="K580" i="9"/>
  <c r="CB580" i="9" s="1"/>
  <c r="BK590" i="9"/>
  <c r="EB590" i="9" s="1"/>
  <c r="AS580" i="9"/>
  <c r="DJ580" i="9" s="1"/>
  <c r="M409" i="9"/>
  <c r="CD409" i="9" s="1"/>
  <c r="Q409" i="9"/>
  <c r="CH409" i="9" s="1"/>
  <c r="S409" i="9"/>
  <c r="CJ409" i="9" s="1"/>
  <c r="R409" i="9"/>
  <c r="CI409" i="9" s="1"/>
  <c r="O409" i="9"/>
  <c r="CF409" i="9" s="1"/>
  <c r="P409" i="9"/>
  <c r="CG409" i="9" s="1"/>
  <c r="L409" i="9"/>
  <c r="CC409" i="9" s="1"/>
  <c r="Q338" i="9"/>
  <c r="CH338" i="9" s="1"/>
  <c r="M590" i="9"/>
  <c r="CD590" i="9" s="1"/>
  <c r="S590" i="9"/>
  <c r="CJ590" i="9" s="1"/>
  <c r="N580" i="9"/>
  <c r="CE580" i="9" s="1"/>
  <c r="P580" i="9"/>
  <c r="CG580" i="9" s="1"/>
  <c r="AF590" i="9"/>
  <c r="CW590" i="9" s="1"/>
  <c r="AJ580" i="9"/>
  <c r="DA580" i="9" s="1"/>
  <c r="K590" i="9"/>
  <c r="CB590" i="9" s="1"/>
  <c r="T338" i="9"/>
  <c r="CK338" i="9" s="1"/>
  <c r="T409" i="9"/>
  <c r="CK409" i="9" s="1"/>
  <c r="S673" i="9"/>
  <c r="CJ673" i="9" s="1"/>
  <c r="L673" i="9"/>
  <c r="CC673" i="9" s="1"/>
  <c r="BF580" i="9"/>
  <c r="DW580" i="9" s="1"/>
  <c r="I393" i="9"/>
  <c r="I625" i="9"/>
  <c r="I687" i="9"/>
  <c r="K687" i="9" s="1"/>
  <c r="CB687" i="9" s="1"/>
  <c r="I495" i="9"/>
  <c r="I652" i="9"/>
  <c r="I360" i="9"/>
  <c r="I630" i="9"/>
  <c r="BR630" i="9" s="1"/>
  <c r="EI630" i="9" s="1"/>
  <c r="I370" i="9"/>
  <c r="AF370" i="9" s="1"/>
  <c r="CW370" i="9" s="1"/>
  <c r="AA457" i="9"/>
  <c r="CR457" i="9" s="1"/>
  <c r="AB457" i="9"/>
  <c r="CS457" i="9" s="1"/>
  <c r="AJ457" i="9"/>
  <c r="DA457" i="9" s="1"/>
  <c r="W457" i="9"/>
  <c r="CN457" i="9" s="1"/>
  <c r="BJ457" i="9"/>
  <c r="EA457" i="9" s="1"/>
  <c r="Y457" i="9"/>
  <c r="CP457" i="9" s="1"/>
  <c r="BL457" i="9"/>
  <c r="EC457" i="9" s="1"/>
  <c r="BA457" i="9"/>
  <c r="DR457" i="9" s="1"/>
  <c r="AC457" i="9"/>
  <c r="CT457" i="9" s="1"/>
  <c r="AN457" i="9"/>
  <c r="DE457" i="9" s="1"/>
  <c r="AG457" i="9"/>
  <c r="CX457" i="9" s="1"/>
  <c r="BB457" i="9"/>
  <c r="DS457" i="9" s="1"/>
  <c r="BK457" i="9"/>
  <c r="EB457" i="9" s="1"/>
  <c r="BD457" i="9"/>
  <c r="DU457" i="9" s="1"/>
  <c r="BC457" i="9"/>
  <c r="DT457" i="9" s="1"/>
  <c r="AL457" i="9"/>
  <c r="DC457" i="9" s="1"/>
  <c r="BN457" i="9"/>
  <c r="EE457" i="9" s="1"/>
  <c r="AF457" i="9"/>
  <c r="CW457" i="9" s="1"/>
  <c r="BG457" i="9"/>
  <c r="DX457" i="9" s="1"/>
  <c r="AV457" i="9"/>
  <c r="DM457" i="9" s="1"/>
  <c r="X457" i="9"/>
  <c r="CO457" i="9" s="1"/>
  <c r="AI457" i="9"/>
  <c r="CZ457" i="9" s="1"/>
  <c r="AW457" i="9"/>
  <c r="DN457" i="9" s="1"/>
  <c r="AD457" i="9"/>
  <c r="CU457" i="9" s="1"/>
  <c r="BQ457" i="9"/>
  <c r="EH457" i="9" s="1"/>
  <c r="AT457" i="9"/>
  <c r="DK457" i="9" s="1"/>
  <c r="AR457" i="9"/>
  <c r="DI457" i="9" s="1"/>
  <c r="V457" i="9"/>
  <c r="CM457" i="9" s="1"/>
  <c r="AO457" i="9"/>
  <c r="DF457" i="9" s="1"/>
  <c r="AS457" i="9"/>
  <c r="DJ457" i="9" s="1"/>
  <c r="BM457" i="9"/>
  <c r="ED457" i="9" s="1"/>
  <c r="AQ457" i="9"/>
  <c r="DH457" i="9" s="1"/>
  <c r="Z457" i="9"/>
  <c r="CQ457" i="9" s="1"/>
  <c r="AY457" i="9"/>
  <c r="DP457" i="9" s="1"/>
  <c r="BH457" i="9"/>
  <c r="DY457" i="9" s="1"/>
  <c r="BE457" i="9"/>
  <c r="DV457" i="9" s="1"/>
  <c r="AZ457" i="9"/>
  <c r="DQ457" i="9" s="1"/>
  <c r="AH457" i="9"/>
  <c r="CY457" i="9" s="1"/>
  <c r="BO457" i="9"/>
  <c r="EF457" i="9" s="1"/>
  <c r="AU457" i="9"/>
  <c r="DL457" i="9" s="1"/>
  <c r="AE457" i="9"/>
  <c r="CV457" i="9" s="1"/>
  <c r="AK457" i="9"/>
  <c r="DB457" i="9" s="1"/>
  <c r="AM457" i="9"/>
  <c r="DD457" i="9" s="1"/>
  <c r="BP457" i="9"/>
  <c r="EG457" i="9" s="1"/>
  <c r="BI457" i="9"/>
  <c r="DZ457" i="9" s="1"/>
  <c r="BR457" i="9"/>
  <c r="EI457" i="9" s="1"/>
  <c r="AW578" i="9"/>
  <c r="DN578" i="9" s="1"/>
  <c r="AM578" i="9"/>
  <c r="DD578" i="9" s="1"/>
  <c r="AN578" i="9"/>
  <c r="DE578" i="9" s="1"/>
  <c r="AE578" i="9"/>
  <c r="CV578" i="9" s="1"/>
  <c r="AU578" i="9"/>
  <c r="DL578" i="9" s="1"/>
  <c r="V578" i="9"/>
  <c r="CM578" i="9" s="1"/>
  <c r="AC578" i="9"/>
  <c r="CT578" i="9" s="1"/>
  <c r="AH578" i="9"/>
  <c r="CY578" i="9" s="1"/>
  <c r="BD578" i="9"/>
  <c r="DU578" i="9" s="1"/>
  <c r="AD578" i="9"/>
  <c r="CU578" i="9" s="1"/>
  <c r="AK578" i="9"/>
  <c r="DB578" i="9" s="1"/>
  <c r="BA578" i="9"/>
  <c r="DR578" i="9" s="1"/>
  <c r="AV578" i="9"/>
  <c r="DM578" i="9" s="1"/>
  <c r="BM578" i="9"/>
  <c r="ED578" i="9" s="1"/>
  <c r="AB578" i="9"/>
  <c r="CS578" i="9" s="1"/>
  <c r="AN576" i="9"/>
  <c r="DE576" i="9" s="1"/>
  <c r="AC576" i="9"/>
  <c r="CT576" i="9" s="1"/>
  <c r="AE576" i="9"/>
  <c r="CV576" i="9" s="1"/>
  <c r="BM576" i="9"/>
  <c r="ED576" i="9" s="1"/>
  <c r="BD576" i="9"/>
  <c r="DU576" i="9" s="1"/>
  <c r="AW576" i="9"/>
  <c r="DN576" i="9" s="1"/>
  <c r="AB576" i="9"/>
  <c r="CS576" i="9" s="1"/>
  <c r="AH576" i="9"/>
  <c r="CY576" i="9" s="1"/>
  <c r="AU576" i="9"/>
  <c r="DL576" i="9" s="1"/>
  <c r="V576" i="9"/>
  <c r="CM576" i="9" s="1"/>
  <c r="AM576" i="9"/>
  <c r="DD576" i="9" s="1"/>
  <c r="BA576" i="9"/>
  <c r="DR576" i="9" s="1"/>
  <c r="AD576" i="9"/>
  <c r="CU576" i="9" s="1"/>
  <c r="AK576" i="9"/>
  <c r="DB576" i="9" s="1"/>
  <c r="AV576" i="9"/>
  <c r="DM576" i="9" s="1"/>
  <c r="I654" i="9"/>
  <c r="I287" i="9"/>
  <c r="BN287" i="9" s="1"/>
  <c r="EE287" i="9" s="1"/>
  <c r="I274" i="9"/>
  <c r="AX274" i="9" s="1"/>
  <c r="DO274" i="9" s="1"/>
  <c r="I248" i="9"/>
  <c r="I270" i="9"/>
  <c r="I635" i="9"/>
  <c r="W635" i="9" s="1"/>
  <c r="CN635" i="9" s="1"/>
  <c r="I263" i="9"/>
  <c r="I244" i="9"/>
  <c r="AH466" i="9"/>
  <c r="CY466" i="9" s="1"/>
  <c r="AB466" i="9"/>
  <c r="CS466" i="9" s="1"/>
  <c r="AR466" i="9"/>
  <c r="DI466" i="9" s="1"/>
  <c r="AY466" i="9"/>
  <c r="DP466" i="9" s="1"/>
  <c r="X466" i="9"/>
  <c r="CO466" i="9" s="1"/>
  <c r="BD466" i="9"/>
  <c r="DU466" i="9" s="1"/>
  <c r="Z466" i="9"/>
  <c r="CQ466" i="9" s="1"/>
  <c r="AQ466" i="9"/>
  <c r="DH466" i="9" s="1"/>
  <c r="AN466" i="9"/>
  <c r="DE466" i="9" s="1"/>
  <c r="BF466" i="9"/>
  <c r="DW466" i="9" s="1"/>
  <c r="BM466" i="9"/>
  <c r="ED466" i="9" s="1"/>
  <c r="BH466" i="9"/>
  <c r="DY466" i="9" s="1"/>
  <c r="BG466" i="9"/>
  <c r="DX466" i="9" s="1"/>
  <c r="W466" i="9"/>
  <c r="CN466" i="9" s="1"/>
  <c r="Y466" i="9"/>
  <c r="CP466" i="9" s="1"/>
  <c r="AI466" i="9"/>
  <c r="CZ466" i="9" s="1"/>
  <c r="AP466" i="9"/>
  <c r="DG466" i="9" s="1"/>
  <c r="AL466" i="9"/>
  <c r="DC466" i="9" s="1"/>
  <c r="AZ466" i="9"/>
  <c r="DQ466" i="9" s="1"/>
  <c r="AJ466" i="9"/>
  <c r="DA466" i="9" s="1"/>
  <c r="AS466" i="9"/>
  <c r="DJ466" i="9" s="1"/>
  <c r="AV466" i="9"/>
  <c r="DM466" i="9" s="1"/>
  <c r="BC466" i="9"/>
  <c r="DT466" i="9" s="1"/>
  <c r="AA466" i="9"/>
  <c r="CR466" i="9" s="1"/>
  <c r="AW466" i="9"/>
  <c r="DN466" i="9" s="1"/>
  <c r="AF466" i="9"/>
  <c r="CW466" i="9" s="1"/>
  <c r="BQ466" i="9"/>
  <c r="EH466" i="9" s="1"/>
  <c r="AM466" i="9"/>
  <c r="DD466" i="9" s="1"/>
  <c r="BI466" i="9"/>
  <c r="DZ466" i="9" s="1"/>
  <c r="BB466" i="9"/>
  <c r="DS466" i="9" s="1"/>
  <c r="BL466" i="9"/>
  <c r="EC466" i="9" s="1"/>
  <c r="BA466" i="9"/>
  <c r="DR466" i="9" s="1"/>
  <c r="BJ466" i="9"/>
  <c r="EA466" i="9" s="1"/>
  <c r="AC466" i="9"/>
  <c r="CT466" i="9" s="1"/>
  <c r="BO466" i="9"/>
  <c r="EF466" i="9" s="1"/>
  <c r="AG466" i="9"/>
  <c r="CX466" i="9" s="1"/>
  <c r="AE466" i="9"/>
  <c r="CV466" i="9" s="1"/>
  <c r="BR466" i="9"/>
  <c r="EI466" i="9" s="1"/>
  <c r="BE466" i="9"/>
  <c r="DV466" i="9" s="1"/>
  <c r="V466" i="9"/>
  <c r="CM466" i="9" s="1"/>
  <c r="BP466" i="9"/>
  <c r="EG466" i="9" s="1"/>
  <c r="BK466" i="9"/>
  <c r="EB466" i="9" s="1"/>
  <c r="AK466" i="9"/>
  <c r="DB466" i="9" s="1"/>
  <c r="AU466" i="9"/>
  <c r="DL466" i="9" s="1"/>
  <c r="AD466" i="9"/>
  <c r="CU466" i="9" s="1"/>
  <c r="AO466" i="9"/>
  <c r="DF466" i="9" s="1"/>
  <c r="AT466" i="9"/>
  <c r="DK466" i="9" s="1"/>
  <c r="AN471" i="9"/>
  <c r="DE471" i="9" s="1"/>
  <c r="V471" i="9"/>
  <c r="CM471" i="9" s="1"/>
  <c r="AC471" i="9"/>
  <c r="CT471" i="9" s="1"/>
  <c r="AS471" i="9"/>
  <c r="DJ471" i="9" s="1"/>
  <c r="BF471" i="9"/>
  <c r="DW471" i="9" s="1"/>
  <c r="AM471" i="9"/>
  <c r="DD471" i="9" s="1"/>
  <c r="BJ471" i="9"/>
  <c r="EA471" i="9" s="1"/>
  <c r="BK471" i="9"/>
  <c r="EB471" i="9" s="1"/>
  <c r="Z471" i="9"/>
  <c r="CQ471" i="9" s="1"/>
  <c r="BG471" i="9"/>
  <c r="DX471" i="9" s="1"/>
  <c r="BH471" i="9"/>
  <c r="DY471" i="9" s="1"/>
  <c r="BA471" i="9"/>
  <c r="DR471" i="9" s="1"/>
  <c r="X471" i="9"/>
  <c r="CO471" i="9" s="1"/>
  <c r="BB471" i="9"/>
  <c r="DS471" i="9" s="1"/>
  <c r="BD471" i="9"/>
  <c r="DU471" i="9" s="1"/>
  <c r="BO471" i="9"/>
  <c r="EF471" i="9" s="1"/>
  <c r="AG471" i="9"/>
  <c r="CX471" i="9" s="1"/>
  <c r="BL471" i="9"/>
  <c r="EC471" i="9" s="1"/>
  <c r="AW471" i="9"/>
  <c r="DN471" i="9" s="1"/>
  <c r="AF471" i="9"/>
  <c r="CW471" i="9" s="1"/>
  <c r="BM471" i="9"/>
  <c r="ED471" i="9" s="1"/>
  <c r="AE471" i="9"/>
  <c r="CV471" i="9" s="1"/>
  <c r="Y471" i="9"/>
  <c r="CP471" i="9" s="1"/>
  <c r="AZ471" i="9"/>
  <c r="DQ471" i="9" s="1"/>
  <c r="AP471" i="9"/>
  <c r="DG471" i="9" s="1"/>
  <c r="AY471" i="9"/>
  <c r="DP471" i="9" s="1"/>
  <c r="AQ471" i="9"/>
  <c r="DH471" i="9" s="1"/>
  <c r="AD471" i="9"/>
  <c r="CU471" i="9" s="1"/>
  <c r="BP471" i="9"/>
  <c r="EG471" i="9" s="1"/>
  <c r="BR471" i="9"/>
  <c r="EI471" i="9" s="1"/>
  <c r="AK471" i="9"/>
  <c r="DB471" i="9" s="1"/>
  <c r="BC471" i="9"/>
  <c r="DT471" i="9" s="1"/>
  <c r="W471" i="9"/>
  <c r="CN471" i="9" s="1"/>
  <c r="BI471" i="9"/>
  <c r="DZ471" i="9" s="1"/>
  <c r="AV471" i="9"/>
  <c r="DM471" i="9" s="1"/>
  <c r="BQ471" i="9"/>
  <c r="EH471" i="9" s="1"/>
  <c r="AA471" i="9"/>
  <c r="CR471" i="9" s="1"/>
  <c r="AT471" i="9"/>
  <c r="DK471" i="9" s="1"/>
  <c r="BE471" i="9"/>
  <c r="DV471" i="9" s="1"/>
  <c r="AI471" i="9"/>
  <c r="CZ471" i="9" s="1"/>
  <c r="AU471" i="9"/>
  <c r="DL471" i="9" s="1"/>
  <c r="AO471" i="9"/>
  <c r="DF471" i="9" s="1"/>
  <c r="BD575" i="9"/>
  <c r="DU575" i="9" s="1"/>
  <c r="AE575" i="9"/>
  <c r="CV575" i="9" s="1"/>
  <c r="AB575" i="9"/>
  <c r="CS575" i="9" s="1"/>
  <c r="V575" i="9"/>
  <c r="CM575" i="9" s="1"/>
  <c r="AV575" i="9"/>
  <c r="DM575" i="9" s="1"/>
  <c r="AK575" i="9"/>
  <c r="DB575" i="9" s="1"/>
  <c r="AD575" i="9"/>
  <c r="CU575" i="9" s="1"/>
  <c r="AN575" i="9"/>
  <c r="DE575" i="9" s="1"/>
  <c r="BA575" i="9"/>
  <c r="DR575" i="9" s="1"/>
  <c r="AH575" i="9"/>
  <c r="CY575" i="9" s="1"/>
  <c r="AU575" i="9"/>
  <c r="DL575" i="9" s="1"/>
  <c r="AC575" i="9"/>
  <c r="CT575" i="9" s="1"/>
  <c r="AW575" i="9"/>
  <c r="DN575" i="9" s="1"/>
  <c r="AM575" i="9"/>
  <c r="DD575" i="9" s="1"/>
  <c r="BM575" i="9"/>
  <c r="ED575" i="9" s="1"/>
  <c r="AM583" i="9"/>
  <c r="DD583" i="9" s="1"/>
  <c r="AW583" i="9"/>
  <c r="DN583" i="9" s="1"/>
  <c r="AH583" i="9"/>
  <c r="CY583" i="9" s="1"/>
  <c r="AB583" i="9"/>
  <c r="CS583" i="9" s="1"/>
  <c r="BD583" i="9"/>
  <c r="DU583" i="9" s="1"/>
  <c r="AC583" i="9"/>
  <c r="CT583" i="9" s="1"/>
  <c r="AN583" i="9"/>
  <c r="DE583" i="9" s="1"/>
  <c r="AE583" i="9"/>
  <c r="CV583" i="9" s="1"/>
  <c r="V583" i="9"/>
  <c r="CM583" i="9" s="1"/>
  <c r="BA583" i="9"/>
  <c r="DR583" i="9" s="1"/>
  <c r="BM583" i="9"/>
  <c r="ED583" i="9" s="1"/>
  <c r="AK583" i="9"/>
  <c r="DB583" i="9" s="1"/>
  <c r="AV583" i="9"/>
  <c r="DM583" i="9" s="1"/>
  <c r="AD583" i="9"/>
  <c r="CU583" i="9" s="1"/>
  <c r="AU583" i="9"/>
  <c r="DL583" i="9" s="1"/>
  <c r="I653" i="9"/>
  <c r="I272" i="9"/>
  <c r="I485" i="9"/>
  <c r="BA485" i="9" s="1"/>
  <c r="DR485" i="9" s="1"/>
  <c r="I255" i="9"/>
  <c r="I440" i="9"/>
  <c r="I639" i="9"/>
  <c r="AT639" i="9" s="1"/>
  <c r="DK639" i="9" s="1"/>
  <c r="I432" i="9"/>
  <c r="I245" i="9"/>
  <c r="BI245" i="9" s="1"/>
  <c r="DZ245" i="9" s="1"/>
  <c r="I614" i="9"/>
  <c r="I597" i="9"/>
  <c r="AR470" i="9"/>
  <c r="DI470" i="9" s="1"/>
  <c r="AC470" i="9"/>
  <c r="CT470" i="9" s="1"/>
  <c r="Z470" i="9"/>
  <c r="CQ470" i="9" s="1"/>
  <c r="AS470" i="9"/>
  <c r="DJ470" i="9" s="1"/>
  <c r="BF470" i="9"/>
  <c r="DW470" i="9" s="1"/>
  <c r="AG470" i="9"/>
  <c r="CX470" i="9" s="1"/>
  <c r="BI470" i="9"/>
  <c r="DZ470" i="9" s="1"/>
  <c r="X470" i="9"/>
  <c r="CO470" i="9" s="1"/>
  <c r="AH470" i="9"/>
  <c r="CY470" i="9" s="1"/>
  <c r="BM470" i="9"/>
  <c r="ED470" i="9" s="1"/>
  <c r="AL470" i="9"/>
  <c r="DC470" i="9" s="1"/>
  <c r="AY470" i="9"/>
  <c r="DP470" i="9" s="1"/>
  <c r="AE470" i="9"/>
  <c r="CV470" i="9" s="1"/>
  <c r="BB470" i="9"/>
  <c r="DS470" i="9" s="1"/>
  <c r="AP470" i="9"/>
  <c r="DG470" i="9" s="1"/>
  <c r="AN470" i="9"/>
  <c r="DE470" i="9" s="1"/>
  <c r="AW470" i="9"/>
  <c r="DN470" i="9" s="1"/>
  <c r="BC470" i="9"/>
  <c r="DT470" i="9" s="1"/>
  <c r="AQ470" i="9"/>
  <c r="DH470" i="9" s="1"/>
  <c r="AK470" i="9"/>
  <c r="DB470" i="9" s="1"/>
  <c r="AI470" i="9"/>
  <c r="CZ470" i="9" s="1"/>
  <c r="BG470" i="9"/>
  <c r="DX470" i="9" s="1"/>
  <c r="AO470" i="9"/>
  <c r="DF470" i="9" s="1"/>
  <c r="BL470" i="9"/>
  <c r="EC470" i="9" s="1"/>
  <c r="AA470" i="9"/>
  <c r="CR470" i="9" s="1"/>
  <c r="AM470" i="9"/>
  <c r="DD470" i="9" s="1"/>
  <c r="BH470" i="9"/>
  <c r="DY470" i="9" s="1"/>
  <c r="AU470" i="9"/>
  <c r="DL470" i="9" s="1"/>
  <c r="V470" i="9"/>
  <c r="CM470" i="9" s="1"/>
  <c r="AF470" i="9"/>
  <c r="CW470" i="9" s="1"/>
  <c r="BA470" i="9"/>
  <c r="DR470" i="9" s="1"/>
  <c r="BJ470" i="9"/>
  <c r="EA470" i="9" s="1"/>
  <c r="BR470" i="9"/>
  <c r="EI470" i="9" s="1"/>
  <c r="AT470" i="9"/>
  <c r="DK470" i="9" s="1"/>
  <c r="Y470" i="9"/>
  <c r="CP470" i="9" s="1"/>
  <c r="BD470" i="9"/>
  <c r="DU470" i="9" s="1"/>
  <c r="BO470" i="9"/>
  <c r="EF470" i="9" s="1"/>
  <c r="BQ470" i="9"/>
  <c r="EH470" i="9" s="1"/>
  <c r="AZ470" i="9"/>
  <c r="DQ470" i="9" s="1"/>
  <c r="AV470" i="9"/>
  <c r="DM470" i="9" s="1"/>
  <c r="W470" i="9"/>
  <c r="CN470" i="9" s="1"/>
  <c r="AD470" i="9"/>
  <c r="CU470" i="9" s="1"/>
  <c r="BP470" i="9"/>
  <c r="EG470" i="9" s="1"/>
  <c r="BE470" i="9"/>
  <c r="DV470" i="9" s="1"/>
  <c r="BK470" i="9"/>
  <c r="EB470" i="9" s="1"/>
  <c r="AJ467" i="9"/>
  <c r="DA467" i="9" s="1"/>
  <c r="AA467" i="9"/>
  <c r="CR467" i="9" s="1"/>
  <c r="AL467" i="9"/>
  <c r="DC467" i="9" s="1"/>
  <c r="AF467" i="9"/>
  <c r="CW467" i="9" s="1"/>
  <c r="BA467" i="9"/>
  <c r="DR467" i="9" s="1"/>
  <c r="Y467" i="9"/>
  <c r="CP467" i="9" s="1"/>
  <c r="AD467" i="9"/>
  <c r="CU467" i="9" s="1"/>
  <c r="AP467" i="9"/>
  <c r="DG467" i="9" s="1"/>
  <c r="AG467" i="9"/>
  <c r="CX467" i="9" s="1"/>
  <c r="AS467" i="9"/>
  <c r="DJ467" i="9" s="1"/>
  <c r="W467" i="9"/>
  <c r="CN467" i="9" s="1"/>
  <c r="BQ467" i="9"/>
  <c r="EH467" i="9" s="1"/>
  <c r="AZ467" i="9"/>
  <c r="DQ467" i="9" s="1"/>
  <c r="AW467" i="9"/>
  <c r="DN467" i="9" s="1"/>
  <c r="Z467" i="9"/>
  <c r="CQ467" i="9" s="1"/>
  <c r="V467" i="9"/>
  <c r="CM467" i="9" s="1"/>
  <c r="BI467" i="9"/>
  <c r="DZ467" i="9" s="1"/>
  <c r="BO467" i="9"/>
  <c r="EF467" i="9" s="1"/>
  <c r="AQ467" i="9"/>
  <c r="DH467" i="9" s="1"/>
  <c r="BP467" i="9"/>
  <c r="EG467" i="9" s="1"/>
  <c r="AC467" i="9"/>
  <c r="CT467" i="9" s="1"/>
  <c r="BL467" i="9"/>
  <c r="EC467" i="9" s="1"/>
  <c r="X467" i="9"/>
  <c r="CO467" i="9" s="1"/>
  <c r="BH467" i="9"/>
  <c r="DY467" i="9" s="1"/>
  <c r="AU467" i="9"/>
  <c r="DL467" i="9" s="1"/>
  <c r="BF467" i="9"/>
  <c r="DW467" i="9" s="1"/>
  <c r="AY467" i="9"/>
  <c r="DP467" i="9" s="1"/>
  <c r="BM467" i="9"/>
  <c r="ED467" i="9" s="1"/>
  <c r="BK467" i="9"/>
  <c r="EB467" i="9" s="1"/>
  <c r="BD467" i="9"/>
  <c r="DU467" i="9" s="1"/>
  <c r="AM467" i="9"/>
  <c r="DD467" i="9" s="1"/>
  <c r="BR467" i="9"/>
  <c r="EI467" i="9" s="1"/>
  <c r="BJ467" i="9"/>
  <c r="EA467" i="9" s="1"/>
  <c r="AE467" i="9"/>
  <c r="CV467" i="9" s="1"/>
  <c r="BC467" i="9"/>
  <c r="DT467" i="9" s="1"/>
  <c r="AO467" i="9"/>
  <c r="DF467" i="9" s="1"/>
  <c r="BB467" i="9"/>
  <c r="DS467" i="9" s="1"/>
  <c r="AK467" i="9"/>
  <c r="DB467" i="9" s="1"/>
  <c r="AT467" i="9"/>
  <c r="DK467" i="9" s="1"/>
  <c r="AI467" i="9"/>
  <c r="CZ467" i="9" s="1"/>
  <c r="BG467" i="9"/>
  <c r="DX467" i="9" s="1"/>
  <c r="AV467" i="9"/>
  <c r="DM467" i="9" s="1"/>
  <c r="BE467" i="9"/>
  <c r="DV467" i="9" s="1"/>
  <c r="AM587" i="9"/>
  <c r="DD587" i="9" s="1"/>
  <c r="BM587" i="9"/>
  <c r="ED587" i="9" s="1"/>
  <c r="AB587" i="9"/>
  <c r="CS587" i="9" s="1"/>
  <c r="AW587" i="9"/>
  <c r="DN587" i="9" s="1"/>
  <c r="BA587" i="9"/>
  <c r="DR587" i="9" s="1"/>
  <c r="AC587" i="9"/>
  <c r="CT587" i="9" s="1"/>
  <c r="AK587" i="9"/>
  <c r="DB587" i="9" s="1"/>
  <c r="AU587" i="9"/>
  <c r="DL587" i="9" s="1"/>
  <c r="AH587" i="9"/>
  <c r="CY587" i="9" s="1"/>
  <c r="AV587" i="9"/>
  <c r="DM587" i="9" s="1"/>
  <c r="AD587" i="9"/>
  <c r="CU587" i="9" s="1"/>
  <c r="V587" i="9"/>
  <c r="CM587" i="9" s="1"/>
  <c r="AN587" i="9"/>
  <c r="DE587" i="9" s="1"/>
  <c r="BD587" i="9"/>
  <c r="DU587" i="9" s="1"/>
  <c r="AE587" i="9"/>
  <c r="CV587" i="9" s="1"/>
  <c r="AE585" i="9"/>
  <c r="CV585" i="9" s="1"/>
  <c r="AW585" i="9"/>
  <c r="DN585" i="9" s="1"/>
  <c r="V585" i="9"/>
  <c r="CM585" i="9" s="1"/>
  <c r="BD585" i="9"/>
  <c r="DU585" i="9" s="1"/>
  <c r="AD585" i="9"/>
  <c r="CU585" i="9" s="1"/>
  <c r="AH585" i="9"/>
  <c r="CY585" i="9" s="1"/>
  <c r="AK585" i="9"/>
  <c r="DB585" i="9" s="1"/>
  <c r="AB585" i="9"/>
  <c r="CS585" i="9" s="1"/>
  <c r="AN585" i="9"/>
  <c r="DE585" i="9" s="1"/>
  <c r="AU585" i="9"/>
  <c r="DL585" i="9" s="1"/>
  <c r="BM585" i="9"/>
  <c r="ED585" i="9" s="1"/>
  <c r="AV585" i="9"/>
  <c r="DM585" i="9" s="1"/>
  <c r="AM585" i="9"/>
  <c r="DD585" i="9" s="1"/>
  <c r="AC585" i="9"/>
  <c r="CT585" i="9" s="1"/>
  <c r="BA585" i="9"/>
  <c r="DR585" i="9" s="1"/>
  <c r="I390" i="9"/>
  <c r="I443" i="9"/>
  <c r="I239" i="9"/>
  <c r="AB239" i="9" s="1"/>
  <c r="CS239" i="9" s="1"/>
  <c r="I556" i="9"/>
  <c r="S556" i="9" s="1"/>
  <c r="CJ556" i="9" s="1"/>
  <c r="I650" i="9"/>
  <c r="AD579" i="9"/>
  <c r="CU579" i="9" s="1"/>
  <c r="AK579" i="9"/>
  <c r="DB579" i="9" s="1"/>
  <c r="AM579" i="9"/>
  <c r="DD579" i="9" s="1"/>
  <c r="AV579" i="9"/>
  <c r="DM579" i="9" s="1"/>
  <c r="BM579" i="9"/>
  <c r="ED579" i="9" s="1"/>
  <c r="AH579" i="9"/>
  <c r="CY579" i="9" s="1"/>
  <c r="V579" i="9"/>
  <c r="CM579" i="9" s="1"/>
  <c r="AN579" i="9"/>
  <c r="DE579" i="9" s="1"/>
  <c r="AU579" i="9"/>
  <c r="DL579" i="9" s="1"/>
  <c r="AC579" i="9"/>
  <c r="CT579" i="9" s="1"/>
  <c r="BD579" i="9"/>
  <c r="DU579" i="9" s="1"/>
  <c r="AW579" i="9"/>
  <c r="DN579" i="9" s="1"/>
  <c r="BA579" i="9"/>
  <c r="DR579" i="9" s="1"/>
  <c r="AE579" i="9"/>
  <c r="CV579" i="9" s="1"/>
  <c r="AB579" i="9"/>
  <c r="CS579" i="9" s="1"/>
  <c r="BM574" i="9"/>
  <c r="ED574" i="9" s="1"/>
  <c r="BA574" i="9"/>
  <c r="DR574" i="9" s="1"/>
  <c r="BD574" i="9"/>
  <c r="DU574" i="9" s="1"/>
  <c r="AW574" i="9"/>
  <c r="DN574" i="9" s="1"/>
  <c r="AB574" i="9"/>
  <c r="CS574" i="9" s="1"/>
  <c r="AD574" i="9"/>
  <c r="CU574" i="9" s="1"/>
  <c r="AH574" i="9"/>
  <c r="CY574" i="9" s="1"/>
  <c r="AM574" i="9"/>
  <c r="DD574" i="9" s="1"/>
  <c r="AU574" i="9"/>
  <c r="DL574" i="9" s="1"/>
  <c r="AC574" i="9"/>
  <c r="CT574" i="9" s="1"/>
  <c r="AE574" i="9"/>
  <c r="CV574" i="9" s="1"/>
  <c r="V574" i="9"/>
  <c r="CM574" i="9" s="1"/>
  <c r="AN574" i="9"/>
  <c r="DE574" i="9" s="1"/>
  <c r="AK574" i="9"/>
  <c r="DB574" i="9" s="1"/>
  <c r="AV574" i="9"/>
  <c r="DM574" i="9" s="1"/>
  <c r="I634" i="9"/>
  <c r="I439" i="9"/>
  <c r="I640" i="9"/>
  <c r="AT640" i="9" s="1"/>
  <c r="DK640" i="9" s="1"/>
  <c r="I438" i="9"/>
  <c r="I628" i="9"/>
  <c r="I387" i="9"/>
  <c r="I658" i="9"/>
  <c r="I549" i="9"/>
  <c r="AM549" i="9" s="1"/>
  <c r="I249" i="9"/>
  <c r="I562" i="9"/>
  <c r="I242" i="9"/>
  <c r="W242" i="9" s="1"/>
  <c r="CN242" i="9" s="1"/>
  <c r="I496" i="9"/>
  <c r="I651" i="9"/>
  <c r="AN584" i="9"/>
  <c r="DE584" i="9" s="1"/>
  <c r="AU584" i="9"/>
  <c r="DL584" i="9" s="1"/>
  <c r="BA584" i="9"/>
  <c r="DR584" i="9" s="1"/>
  <c r="AW584" i="9"/>
  <c r="DN584" i="9" s="1"/>
  <c r="AD584" i="9"/>
  <c r="CU584" i="9" s="1"/>
  <c r="V584" i="9"/>
  <c r="CM584" i="9" s="1"/>
  <c r="BD584" i="9"/>
  <c r="DU584" i="9" s="1"/>
  <c r="AC584" i="9"/>
  <c r="CT584" i="9" s="1"/>
  <c r="AB584" i="9"/>
  <c r="CS584" i="9" s="1"/>
  <c r="AK584" i="9"/>
  <c r="DB584" i="9" s="1"/>
  <c r="AM584" i="9"/>
  <c r="DD584" i="9" s="1"/>
  <c r="AH584" i="9"/>
  <c r="CY584" i="9" s="1"/>
  <c r="AE584" i="9"/>
  <c r="CV584" i="9" s="1"/>
  <c r="BM584" i="9"/>
  <c r="ED584" i="9" s="1"/>
  <c r="AV584" i="9"/>
  <c r="DM584" i="9" s="1"/>
  <c r="AW591" i="9"/>
  <c r="DN591" i="9" s="1"/>
  <c r="AH591" i="9"/>
  <c r="CY591" i="9" s="1"/>
  <c r="AC591" i="9"/>
  <c r="CT591" i="9" s="1"/>
  <c r="BD591" i="9"/>
  <c r="DU591" i="9" s="1"/>
  <c r="AE591" i="9"/>
  <c r="CV591" i="9" s="1"/>
  <c r="AN591" i="9"/>
  <c r="DE591" i="9" s="1"/>
  <c r="BM591" i="9"/>
  <c r="ED591" i="9" s="1"/>
  <c r="AB591" i="9"/>
  <c r="CS591" i="9" s="1"/>
  <c r="AV591" i="9"/>
  <c r="DM591" i="9" s="1"/>
  <c r="AU591" i="9"/>
  <c r="DL591" i="9" s="1"/>
  <c r="AM591" i="9"/>
  <c r="DD591" i="9" s="1"/>
  <c r="BA591" i="9"/>
  <c r="DR591" i="9" s="1"/>
  <c r="AD591" i="9"/>
  <c r="CU591" i="9" s="1"/>
  <c r="AK591" i="9"/>
  <c r="DB591" i="9" s="1"/>
  <c r="V591" i="9"/>
  <c r="CM591" i="9" s="1"/>
  <c r="I623" i="9"/>
  <c r="I632" i="9"/>
  <c r="AZ632" i="9" s="1"/>
  <c r="DQ632" i="9" s="1"/>
  <c r="I388" i="9"/>
  <c r="I636" i="9"/>
  <c r="I237" i="9"/>
  <c r="AJ237" i="9" s="1"/>
  <c r="I491" i="9"/>
  <c r="I394" i="9"/>
  <c r="I478" i="9"/>
  <c r="BF478" i="9" s="1"/>
  <c r="DW478" i="9" s="1"/>
  <c r="I622" i="9"/>
  <c r="AP461" i="9"/>
  <c r="DG461" i="9" s="1"/>
  <c r="BO461" i="9"/>
  <c r="EF461" i="9" s="1"/>
  <c r="V461" i="9"/>
  <c r="CM461" i="9" s="1"/>
  <c r="AJ461" i="9"/>
  <c r="DA461" i="9" s="1"/>
  <c r="BF461" i="9"/>
  <c r="DW461" i="9" s="1"/>
  <c r="BG461" i="9"/>
  <c r="DX461" i="9" s="1"/>
  <c r="BP461" i="9"/>
  <c r="EG461" i="9" s="1"/>
  <c r="BR461" i="9"/>
  <c r="EI461" i="9" s="1"/>
  <c r="BQ461" i="9"/>
  <c r="EH461" i="9" s="1"/>
  <c r="BM461" i="9"/>
  <c r="ED461" i="9" s="1"/>
  <c r="AH461" i="9"/>
  <c r="CY461" i="9" s="1"/>
  <c r="AY461" i="9"/>
  <c r="DP461" i="9" s="1"/>
  <c r="AQ461" i="9"/>
  <c r="DH461" i="9" s="1"/>
  <c r="AV461" i="9"/>
  <c r="DM461" i="9" s="1"/>
  <c r="BH461" i="9"/>
  <c r="DY461" i="9" s="1"/>
  <c r="AI461" i="9"/>
  <c r="CZ461" i="9" s="1"/>
  <c r="AR461" i="9"/>
  <c r="DI461" i="9" s="1"/>
  <c r="AN461" i="9"/>
  <c r="DE461" i="9" s="1"/>
  <c r="W461" i="9"/>
  <c r="CN461" i="9" s="1"/>
  <c r="AK461" i="9"/>
  <c r="DB461" i="9" s="1"/>
  <c r="BK461" i="9"/>
  <c r="EB461" i="9" s="1"/>
  <c r="AC461" i="9"/>
  <c r="CT461" i="9" s="1"/>
  <c r="AS461" i="9"/>
  <c r="DJ461" i="9" s="1"/>
  <c r="AM461" i="9"/>
  <c r="DD461" i="9" s="1"/>
  <c r="AU461" i="9"/>
  <c r="DL461" i="9" s="1"/>
  <c r="AE461" i="9"/>
  <c r="CV461" i="9" s="1"/>
  <c r="X461" i="9"/>
  <c r="CO461" i="9" s="1"/>
  <c r="Z461" i="9"/>
  <c r="CQ461" i="9" s="1"/>
  <c r="AL461" i="9"/>
  <c r="DC461" i="9" s="1"/>
  <c r="AT461" i="9"/>
  <c r="DK461" i="9" s="1"/>
  <c r="AG461" i="9"/>
  <c r="CX461" i="9" s="1"/>
  <c r="BJ461" i="9"/>
  <c r="EA461" i="9" s="1"/>
  <c r="AO461" i="9"/>
  <c r="DF461" i="9" s="1"/>
  <c r="Y461" i="9"/>
  <c r="CP461" i="9" s="1"/>
  <c r="BB461" i="9"/>
  <c r="DS461" i="9" s="1"/>
  <c r="BE461" i="9"/>
  <c r="DV461" i="9" s="1"/>
  <c r="AW461" i="9"/>
  <c r="DN461" i="9" s="1"/>
  <c r="BD461" i="9"/>
  <c r="DU461" i="9" s="1"/>
  <c r="AZ461" i="9"/>
  <c r="DQ461" i="9" s="1"/>
  <c r="BA461" i="9"/>
  <c r="DR461" i="9" s="1"/>
  <c r="U461" i="9"/>
  <c r="CL461" i="9" s="1"/>
  <c r="BL461" i="9"/>
  <c r="EC461" i="9" s="1"/>
  <c r="BC461" i="9"/>
  <c r="DT461" i="9" s="1"/>
  <c r="AF461" i="9"/>
  <c r="CW461" i="9" s="1"/>
  <c r="BI461" i="9"/>
  <c r="DZ461" i="9" s="1"/>
  <c r="BA573" i="9"/>
  <c r="DR573" i="9" s="1"/>
  <c r="AM573" i="9"/>
  <c r="DD573" i="9" s="1"/>
  <c r="AN573" i="9"/>
  <c r="DE573" i="9" s="1"/>
  <c r="AE573" i="9"/>
  <c r="CV573" i="9" s="1"/>
  <c r="AD573" i="9"/>
  <c r="CU573" i="9" s="1"/>
  <c r="AU573" i="9"/>
  <c r="DL573" i="9" s="1"/>
  <c r="AW573" i="9"/>
  <c r="DN573" i="9" s="1"/>
  <c r="AV573" i="9"/>
  <c r="DM573" i="9" s="1"/>
  <c r="BD573" i="9"/>
  <c r="DU573" i="9" s="1"/>
  <c r="AC573" i="9"/>
  <c r="CT573" i="9" s="1"/>
  <c r="AH573" i="9"/>
  <c r="CY573" i="9" s="1"/>
  <c r="V573" i="9"/>
  <c r="CM573" i="9" s="1"/>
  <c r="AK573" i="9"/>
  <c r="DB573" i="9" s="1"/>
  <c r="AB573" i="9"/>
  <c r="CS573" i="9" s="1"/>
  <c r="BM573" i="9"/>
  <c r="ED573" i="9" s="1"/>
  <c r="I490" i="9"/>
  <c r="I479" i="9"/>
  <c r="I648" i="9"/>
  <c r="I626" i="9"/>
  <c r="M457" i="9"/>
  <c r="CD457" i="9" s="1"/>
  <c r="AN454" i="9"/>
  <c r="DE454" i="9" s="1"/>
  <c r="W454" i="9"/>
  <c r="CN454" i="9" s="1"/>
  <c r="BF454" i="9"/>
  <c r="DW454" i="9" s="1"/>
  <c r="AV454" i="9"/>
  <c r="DM454" i="9" s="1"/>
  <c r="BE454" i="9"/>
  <c r="DV454" i="9" s="1"/>
  <c r="Z454" i="9"/>
  <c r="CQ454" i="9" s="1"/>
  <c r="AY454" i="9"/>
  <c r="DP454" i="9" s="1"/>
  <c r="AS454" i="9"/>
  <c r="DJ454" i="9" s="1"/>
  <c r="AP454" i="9"/>
  <c r="DG454" i="9" s="1"/>
  <c r="U454" i="9"/>
  <c r="CL454" i="9" s="1"/>
  <c r="AR454" i="9"/>
  <c r="DI454" i="9" s="1"/>
  <c r="V454" i="9"/>
  <c r="CM454" i="9" s="1"/>
  <c r="BL454" i="9"/>
  <c r="EC454" i="9" s="1"/>
  <c r="BI454" i="9"/>
  <c r="DZ454" i="9" s="1"/>
  <c r="AT454" i="9"/>
  <c r="DK454" i="9" s="1"/>
  <c r="BB454" i="9"/>
  <c r="DS454" i="9" s="1"/>
  <c r="BP454" i="9"/>
  <c r="EG454" i="9" s="1"/>
  <c r="BA454" i="9"/>
  <c r="DR454" i="9" s="1"/>
  <c r="AO454" i="9"/>
  <c r="DF454" i="9" s="1"/>
  <c r="BG454" i="9"/>
  <c r="DX454" i="9" s="1"/>
  <c r="AD454" i="9"/>
  <c r="CU454" i="9" s="1"/>
  <c r="BQ454" i="9"/>
  <c r="EH454" i="9" s="1"/>
  <c r="AZ454" i="9"/>
  <c r="DQ454" i="9" s="1"/>
  <c r="AJ454" i="9"/>
  <c r="DA454" i="9" s="1"/>
  <c r="AG454" i="9"/>
  <c r="CX454" i="9" s="1"/>
  <c r="AF454" i="9"/>
  <c r="CW454" i="9" s="1"/>
  <c r="AI454" i="9"/>
  <c r="CZ454" i="9" s="1"/>
  <c r="AU454" i="9"/>
  <c r="DL454" i="9" s="1"/>
  <c r="AQ454" i="9"/>
  <c r="DH454" i="9" s="1"/>
  <c r="BJ454" i="9"/>
  <c r="EA454" i="9" s="1"/>
  <c r="BC454" i="9"/>
  <c r="DT454" i="9" s="1"/>
  <c r="BH454" i="9"/>
  <c r="DY454" i="9" s="1"/>
  <c r="BD454" i="9"/>
  <c r="DU454" i="9" s="1"/>
  <c r="BM454" i="9"/>
  <c r="ED454" i="9" s="1"/>
  <c r="AC454" i="9"/>
  <c r="CT454" i="9" s="1"/>
  <c r="BO454" i="9"/>
  <c r="EF454" i="9" s="1"/>
  <c r="Y454" i="9"/>
  <c r="CP454" i="9" s="1"/>
  <c r="AM454" i="9"/>
  <c r="DD454" i="9" s="1"/>
  <c r="BR454" i="9"/>
  <c r="EI454" i="9" s="1"/>
  <c r="AW454" i="9"/>
  <c r="DN454" i="9" s="1"/>
  <c r="AL454" i="9"/>
  <c r="DC454" i="9" s="1"/>
  <c r="X454" i="9"/>
  <c r="CO454" i="9" s="1"/>
  <c r="AK454" i="9"/>
  <c r="DB454" i="9" s="1"/>
  <c r="BN454" i="9"/>
  <c r="EE454" i="9" s="1"/>
  <c r="AH454" i="9"/>
  <c r="CY454" i="9" s="1"/>
  <c r="AE454" i="9"/>
  <c r="CV454" i="9" s="1"/>
  <c r="BK454" i="9"/>
  <c r="EB454" i="9" s="1"/>
  <c r="AA454" i="9"/>
  <c r="CR454" i="9" s="1"/>
  <c r="V586" i="9"/>
  <c r="CM586" i="9" s="1"/>
  <c r="AE586" i="9"/>
  <c r="CV586" i="9" s="1"/>
  <c r="AW586" i="9"/>
  <c r="DN586" i="9" s="1"/>
  <c r="AM586" i="9"/>
  <c r="DD586" i="9" s="1"/>
  <c r="AD586" i="9"/>
  <c r="CU586" i="9" s="1"/>
  <c r="BA586" i="9"/>
  <c r="DR586" i="9" s="1"/>
  <c r="BD586" i="9"/>
  <c r="DU586" i="9" s="1"/>
  <c r="AN586" i="9"/>
  <c r="DE586" i="9" s="1"/>
  <c r="AH586" i="9"/>
  <c r="CY586" i="9" s="1"/>
  <c r="AV586" i="9"/>
  <c r="DM586" i="9" s="1"/>
  <c r="BM586" i="9"/>
  <c r="ED586" i="9" s="1"/>
  <c r="AU586" i="9"/>
  <c r="DL586" i="9" s="1"/>
  <c r="AC586" i="9"/>
  <c r="CT586" i="9" s="1"/>
  <c r="AB586" i="9"/>
  <c r="CS586" i="9" s="1"/>
  <c r="AK586" i="9"/>
  <c r="DB586" i="9" s="1"/>
  <c r="AN588" i="9"/>
  <c r="DE588" i="9" s="1"/>
  <c r="AH588" i="9"/>
  <c r="CY588" i="9" s="1"/>
  <c r="V588" i="9"/>
  <c r="CM588" i="9" s="1"/>
  <c r="AE588" i="9"/>
  <c r="CV588" i="9" s="1"/>
  <c r="AM588" i="9"/>
  <c r="DD588" i="9" s="1"/>
  <c r="AB588" i="9"/>
  <c r="CS588" i="9" s="1"/>
  <c r="AD588" i="9"/>
  <c r="CU588" i="9" s="1"/>
  <c r="AU588" i="9"/>
  <c r="DL588" i="9" s="1"/>
  <c r="AK588" i="9"/>
  <c r="DB588" i="9" s="1"/>
  <c r="AW588" i="9"/>
  <c r="DN588" i="9" s="1"/>
  <c r="BM588" i="9"/>
  <c r="ED588" i="9" s="1"/>
  <c r="AC588" i="9"/>
  <c r="CT588" i="9" s="1"/>
  <c r="AV588" i="9"/>
  <c r="DM588" i="9" s="1"/>
  <c r="BA588" i="9"/>
  <c r="DR588" i="9" s="1"/>
  <c r="BD588" i="9"/>
  <c r="DU588" i="9" s="1"/>
  <c r="AX581" i="9"/>
  <c r="DO581" i="9" s="1"/>
  <c r="AR581" i="9"/>
  <c r="DI581" i="9" s="1"/>
  <c r="BJ581" i="9"/>
  <c r="EA581" i="9" s="1"/>
  <c r="BB581" i="9"/>
  <c r="DS581" i="9" s="1"/>
  <c r="X581" i="9"/>
  <c r="CO581" i="9" s="1"/>
  <c r="BE581" i="9"/>
  <c r="DV581" i="9" s="1"/>
  <c r="AI581" i="9"/>
  <c r="CZ581" i="9" s="1"/>
  <c r="U581" i="9"/>
  <c r="CL581" i="9" s="1"/>
  <c r="BN581" i="9"/>
  <c r="EE581" i="9" s="1"/>
  <c r="AQ581" i="9"/>
  <c r="DH581" i="9" s="1"/>
  <c r="Z581" i="9"/>
  <c r="CQ581" i="9" s="1"/>
  <c r="BF581" i="9"/>
  <c r="DW581" i="9" s="1"/>
  <c r="AY581" i="9"/>
  <c r="DP581" i="9" s="1"/>
  <c r="AJ581" i="9"/>
  <c r="DA581" i="9" s="1"/>
  <c r="BG581" i="9"/>
  <c r="DX581" i="9" s="1"/>
  <c r="AA581" i="9"/>
  <c r="CR581" i="9" s="1"/>
  <c r="BL581" i="9"/>
  <c r="EC581" i="9" s="1"/>
  <c r="BK581" i="9"/>
  <c r="EB581" i="9" s="1"/>
  <c r="BO581" i="9"/>
  <c r="EF581" i="9" s="1"/>
  <c r="AO581" i="9"/>
  <c r="DF581" i="9" s="1"/>
  <c r="BR581" i="9"/>
  <c r="EI581" i="9" s="1"/>
  <c r="AG581" i="9"/>
  <c r="CX581" i="9" s="1"/>
  <c r="Y581" i="9"/>
  <c r="CP581" i="9" s="1"/>
  <c r="AP581" i="9"/>
  <c r="DG581" i="9" s="1"/>
  <c r="AF581" i="9"/>
  <c r="CW581" i="9" s="1"/>
  <c r="BI581" i="9"/>
  <c r="DZ581" i="9" s="1"/>
  <c r="AS581" i="9"/>
  <c r="DJ581" i="9" s="1"/>
  <c r="AT581" i="9"/>
  <c r="DK581" i="9" s="1"/>
  <c r="AZ581" i="9"/>
  <c r="DQ581" i="9" s="1"/>
  <c r="BC581" i="9"/>
  <c r="DT581" i="9" s="1"/>
  <c r="BH581" i="9"/>
  <c r="DY581" i="9" s="1"/>
  <c r="W581" i="9"/>
  <c r="CN581" i="9" s="1"/>
  <c r="AL581" i="9"/>
  <c r="DC581" i="9" s="1"/>
  <c r="BP581" i="9"/>
  <c r="EG581" i="9" s="1"/>
  <c r="BQ581" i="9"/>
  <c r="EH581" i="9" s="1"/>
  <c r="AE581" i="9"/>
  <c r="CV581" i="9" s="1"/>
  <c r="AU581" i="9"/>
  <c r="DL581" i="9" s="1"/>
  <c r="AH581" i="9"/>
  <c r="CY581" i="9" s="1"/>
  <c r="AC581" i="9"/>
  <c r="CT581" i="9" s="1"/>
  <c r="BA581" i="9"/>
  <c r="DR581" i="9" s="1"/>
  <c r="BD581" i="9"/>
  <c r="DU581" i="9" s="1"/>
  <c r="AW581" i="9"/>
  <c r="DN581" i="9" s="1"/>
  <c r="AM581" i="9"/>
  <c r="DD581" i="9" s="1"/>
  <c r="AD581" i="9"/>
  <c r="CU581" i="9" s="1"/>
  <c r="AV581" i="9"/>
  <c r="DM581" i="9" s="1"/>
  <c r="BM581" i="9"/>
  <c r="ED581" i="9" s="1"/>
  <c r="AN581" i="9"/>
  <c r="DE581" i="9" s="1"/>
  <c r="AK581" i="9"/>
  <c r="DB581" i="9" s="1"/>
  <c r="AB581" i="9"/>
  <c r="CS581" i="9" s="1"/>
  <c r="V581" i="9"/>
  <c r="CM581" i="9" s="1"/>
  <c r="S581" i="9"/>
  <c r="CJ581" i="9" s="1"/>
  <c r="R581" i="9"/>
  <c r="CI581" i="9" s="1"/>
  <c r="P581" i="9"/>
  <c r="CG581" i="9" s="1"/>
  <c r="L581" i="9"/>
  <c r="CC581" i="9" s="1"/>
  <c r="O581" i="9"/>
  <c r="CF581" i="9" s="1"/>
  <c r="M581" i="9"/>
  <c r="CD581" i="9" s="1"/>
  <c r="Q581" i="9"/>
  <c r="CH581" i="9" s="1"/>
  <c r="K581" i="9"/>
  <c r="CB581" i="9" s="1"/>
  <c r="T581" i="9"/>
  <c r="CK581" i="9" s="1"/>
  <c r="AO300" i="9"/>
  <c r="DF300" i="9" s="1"/>
  <c r="AX300" i="9"/>
  <c r="DO300" i="9" s="1"/>
  <c r="U300" i="9"/>
  <c r="CL300" i="9" s="1"/>
  <c r="AS300" i="9"/>
  <c r="DJ300" i="9" s="1"/>
  <c r="BG300" i="9"/>
  <c r="DX300" i="9" s="1"/>
  <c r="V300" i="9"/>
  <c r="CM300" i="9" s="1"/>
  <c r="AH300" i="9"/>
  <c r="CY300" i="9" s="1"/>
  <c r="AQ300" i="9"/>
  <c r="DH300" i="9" s="1"/>
  <c r="AJ300" i="9"/>
  <c r="DA300" i="9" s="1"/>
  <c r="AB300" i="9"/>
  <c r="CS300" i="9" s="1"/>
  <c r="BJ300" i="9"/>
  <c r="EA300" i="9" s="1"/>
  <c r="BK300" i="9"/>
  <c r="EB300" i="9" s="1"/>
  <c r="AF300" i="9"/>
  <c r="CW300" i="9" s="1"/>
  <c r="BH300" i="9"/>
  <c r="DY300" i="9" s="1"/>
  <c r="AN300" i="9"/>
  <c r="DE300" i="9" s="1"/>
  <c r="BM300" i="9"/>
  <c r="ED300" i="9" s="1"/>
  <c r="AG300" i="9"/>
  <c r="CX300" i="9" s="1"/>
  <c r="BI300" i="9"/>
  <c r="DZ300" i="9" s="1"/>
  <c r="BO300" i="9"/>
  <c r="EF300" i="9" s="1"/>
  <c r="AE300" i="9"/>
  <c r="CV300" i="9" s="1"/>
  <c r="BN300" i="9"/>
  <c r="EE300" i="9" s="1"/>
  <c r="BF300" i="9"/>
  <c r="DW300" i="9" s="1"/>
  <c r="W300" i="9"/>
  <c r="CN300" i="9" s="1"/>
  <c r="Y300" i="9"/>
  <c r="CP300" i="9" s="1"/>
  <c r="AC300" i="9"/>
  <c r="CT300" i="9" s="1"/>
  <c r="AR300" i="9"/>
  <c r="DI300" i="9" s="1"/>
  <c r="AD300" i="9"/>
  <c r="CU300" i="9" s="1"/>
  <c r="BC300" i="9"/>
  <c r="DT300" i="9" s="1"/>
  <c r="AA300" i="9"/>
  <c r="CR300" i="9" s="1"/>
  <c r="AI300" i="9"/>
  <c r="CZ300" i="9" s="1"/>
  <c r="BP300" i="9"/>
  <c r="EG300" i="9" s="1"/>
  <c r="Z300" i="9"/>
  <c r="CQ300" i="9" s="1"/>
  <c r="BE300" i="9"/>
  <c r="DV300" i="9" s="1"/>
  <c r="AK300" i="9"/>
  <c r="DB300" i="9" s="1"/>
  <c r="BQ300" i="9"/>
  <c r="EH300" i="9" s="1"/>
  <c r="AW300" i="9"/>
  <c r="DN300" i="9" s="1"/>
  <c r="AM300" i="9"/>
  <c r="DD300" i="9" s="1"/>
  <c r="BL300" i="9"/>
  <c r="EC300" i="9" s="1"/>
  <c r="AP300" i="9"/>
  <c r="DG300" i="9" s="1"/>
  <c r="BB300" i="9"/>
  <c r="DS300" i="9" s="1"/>
  <c r="AV300" i="9"/>
  <c r="DM300" i="9" s="1"/>
  <c r="AY300" i="9"/>
  <c r="DP300" i="9" s="1"/>
  <c r="BA300" i="9"/>
  <c r="DR300" i="9" s="1"/>
  <c r="AL300" i="9"/>
  <c r="DC300" i="9" s="1"/>
  <c r="BR300" i="9"/>
  <c r="EI300" i="9" s="1"/>
  <c r="X300" i="9"/>
  <c r="CO300" i="9" s="1"/>
  <c r="AU300" i="9"/>
  <c r="DL300" i="9" s="1"/>
  <c r="BD300" i="9"/>
  <c r="DU300" i="9" s="1"/>
  <c r="AZ300" i="9"/>
  <c r="DQ300" i="9" s="1"/>
  <c r="AT300" i="9"/>
  <c r="DK300" i="9" s="1"/>
  <c r="S300" i="9"/>
  <c r="CJ300" i="9" s="1"/>
  <c r="P300" i="9"/>
  <c r="CG300" i="9" s="1"/>
  <c r="K300" i="9"/>
  <c r="CB300" i="9" s="1"/>
  <c r="M300" i="9"/>
  <c r="CD300" i="9" s="1"/>
  <c r="Q300" i="9"/>
  <c r="CH300" i="9" s="1"/>
  <c r="O300" i="9"/>
  <c r="CF300" i="9" s="1"/>
  <c r="R300" i="9"/>
  <c r="CI300" i="9" s="1"/>
  <c r="N300" i="9"/>
  <c r="CE300" i="9" s="1"/>
  <c r="U322" i="9"/>
  <c r="CL322" i="9" s="1"/>
  <c r="AR322" i="9"/>
  <c r="DI322" i="9" s="1"/>
  <c r="BP322" i="9"/>
  <c r="EG322" i="9" s="1"/>
  <c r="W322" i="9"/>
  <c r="CN322" i="9" s="1"/>
  <c r="BM322" i="9"/>
  <c r="ED322" i="9" s="1"/>
  <c r="AH322" i="9"/>
  <c r="CY322" i="9" s="1"/>
  <c r="BO322" i="9"/>
  <c r="EF322" i="9" s="1"/>
  <c r="AP322" i="9"/>
  <c r="DG322" i="9" s="1"/>
  <c r="AS322" i="9"/>
  <c r="DJ322" i="9" s="1"/>
  <c r="AG322" i="9"/>
  <c r="CX322" i="9" s="1"/>
  <c r="BH322" i="9"/>
  <c r="DY322" i="9" s="1"/>
  <c r="AF322" i="9"/>
  <c r="CW322" i="9" s="1"/>
  <c r="AX322" i="9"/>
  <c r="DO322" i="9" s="1"/>
  <c r="BQ322" i="9"/>
  <c r="EH322" i="9" s="1"/>
  <c r="AW322" i="9"/>
  <c r="DN322" i="9" s="1"/>
  <c r="X322" i="9"/>
  <c r="CO322" i="9" s="1"/>
  <c r="AK322" i="9"/>
  <c r="DB322" i="9" s="1"/>
  <c r="AB322" i="9"/>
  <c r="CS322" i="9" s="1"/>
  <c r="BB322" i="9"/>
  <c r="DS322" i="9" s="1"/>
  <c r="BR322" i="9"/>
  <c r="EI322" i="9" s="1"/>
  <c r="BI322" i="9"/>
  <c r="DZ322" i="9" s="1"/>
  <c r="AI322" i="9"/>
  <c r="CZ322" i="9" s="1"/>
  <c r="AO322" i="9"/>
  <c r="DF322" i="9" s="1"/>
  <c r="AD322" i="9"/>
  <c r="CU322" i="9" s="1"/>
  <c r="AQ322" i="9"/>
  <c r="DH322" i="9" s="1"/>
  <c r="AV322" i="9"/>
  <c r="DM322" i="9" s="1"/>
  <c r="AL322" i="9"/>
  <c r="DC322" i="9" s="1"/>
  <c r="Y322" i="9"/>
  <c r="CP322" i="9" s="1"/>
  <c r="AM322" i="9"/>
  <c r="DD322" i="9" s="1"/>
  <c r="Z322" i="9"/>
  <c r="CQ322" i="9" s="1"/>
  <c r="BF322" i="9"/>
  <c r="DW322" i="9" s="1"/>
  <c r="V322" i="9"/>
  <c r="CM322" i="9" s="1"/>
  <c r="BG322" i="9"/>
  <c r="DX322" i="9" s="1"/>
  <c r="AC322" i="9"/>
  <c r="CT322" i="9" s="1"/>
  <c r="AE322" i="9"/>
  <c r="CV322" i="9" s="1"/>
  <c r="AN322" i="9"/>
  <c r="DE322" i="9" s="1"/>
  <c r="AJ322" i="9"/>
  <c r="DA322" i="9" s="1"/>
  <c r="BJ322" i="9"/>
  <c r="EA322" i="9" s="1"/>
  <c r="AZ322" i="9"/>
  <c r="DQ322" i="9" s="1"/>
  <c r="BN322" i="9"/>
  <c r="EE322" i="9" s="1"/>
  <c r="AY322" i="9"/>
  <c r="DP322" i="9" s="1"/>
  <c r="AU322" i="9"/>
  <c r="DL322" i="9" s="1"/>
  <c r="BE322" i="9"/>
  <c r="DV322" i="9" s="1"/>
  <c r="BC322" i="9"/>
  <c r="DT322" i="9" s="1"/>
  <c r="BD322" i="9"/>
  <c r="DU322" i="9" s="1"/>
  <c r="BL322" i="9"/>
  <c r="EC322" i="9" s="1"/>
  <c r="AA322" i="9"/>
  <c r="CR322" i="9" s="1"/>
  <c r="AT322" i="9"/>
  <c r="DK322" i="9" s="1"/>
  <c r="BK322" i="9"/>
  <c r="EB322" i="9" s="1"/>
  <c r="BA322" i="9"/>
  <c r="DR322" i="9" s="1"/>
  <c r="R322" i="9"/>
  <c r="CI322" i="9" s="1"/>
  <c r="Q322" i="9"/>
  <c r="CH322" i="9" s="1"/>
  <c r="K322" i="9"/>
  <c r="CB322" i="9" s="1"/>
  <c r="O322" i="9"/>
  <c r="CF322" i="9" s="1"/>
  <c r="L322" i="9"/>
  <c r="CC322" i="9" s="1"/>
  <c r="T322" i="9"/>
  <c r="CK322" i="9" s="1"/>
  <c r="N322" i="9"/>
  <c r="CE322" i="9" s="1"/>
  <c r="P322" i="9"/>
  <c r="CG322" i="9" s="1"/>
  <c r="M322" i="9"/>
  <c r="CD322" i="9" s="1"/>
  <c r="S322" i="9"/>
  <c r="CJ322" i="9" s="1"/>
  <c r="BO321" i="9"/>
  <c r="EF321" i="9" s="1"/>
  <c r="AK321" i="9"/>
  <c r="DB321" i="9" s="1"/>
  <c r="AJ321" i="9"/>
  <c r="DA321" i="9" s="1"/>
  <c r="AV321" i="9"/>
  <c r="DM321" i="9" s="1"/>
  <c r="AX321" i="9"/>
  <c r="DO321" i="9" s="1"/>
  <c r="AW321" i="9"/>
  <c r="DN321" i="9" s="1"/>
  <c r="AM321" i="9"/>
  <c r="DD321" i="9" s="1"/>
  <c r="Z321" i="9"/>
  <c r="CQ321" i="9" s="1"/>
  <c r="BF321" i="9"/>
  <c r="DW321" i="9" s="1"/>
  <c r="BB321" i="9"/>
  <c r="DS321" i="9" s="1"/>
  <c r="BG321" i="9"/>
  <c r="DX321" i="9" s="1"/>
  <c r="X321" i="9"/>
  <c r="CO321" i="9" s="1"/>
  <c r="BJ321" i="9"/>
  <c r="EA321" i="9" s="1"/>
  <c r="AC321" i="9"/>
  <c r="CT321" i="9" s="1"/>
  <c r="BI321" i="9"/>
  <c r="DZ321" i="9" s="1"/>
  <c r="BH321" i="9"/>
  <c r="DY321" i="9" s="1"/>
  <c r="AH321" i="9"/>
  <c r="CY321" i="9" s="1"/>
  <c r="V321" i="9"/>
  <c r="CM321" i="9" s="1"/>
  <c r="BQ321" i="9"/>
  <c r="EH321" i="9" s="1"/>
  <c r="AL321" i="9"/>
  <c r="DC321" i="9" s="1"/>
  <c r="BP321" i="9"/>
  <c r="EG321" i="9" s="1"/>
  <c r="AG321" i="9"/>
  <c r="CX321" i="9" s="1"/>
  <c r="BR321" i="9"/>
  <c r="EI321" i="9" s="1"/>
  <c r="AQ321" i="9"/>
  <c r="DH321" i="9" s="1"/>
  <c r="AO321" i="9"/>
  <c r="DF321" i="9" s="1"/>
  <c r="AB321" i="9"/>
  <c r="CS321" i="9" s="1"/>
  <c r="AP321" i="9"/>
  <c r="DG321" i="9" s="1"/>
  <c r="AD321" i="9"/>
  <c r="CU321" i="9" s="1"/>
  <c r="AR321" i="9"/>
  <c r="DI321" i="9" s="1"/>
  <c r="AS321" i="9"/>
  <c r="DJ321" i="9" s="1"/>
  <c r="BM321" i="9"/>
  <c r="ED321" i="9" s="1"/>
  <c r="AI321" i="9"/>
  <c r="CZ321" i="9" s="1"/>
  <c r="AE321" i="9"/>
  <c r="CV321" i="9" s="1"/>
  <c r="AN321" i="9"/>
  <c r="DE321" i="9" s="1"/>
  <c r="Y321" i="9"/>
  <c r="CP321" i="9" s="1"/>
  <c r="W321" i="9"/>
  <c r="CN321" i="9" s="1"/>
  <c r="U321" i="9"/>
  <c r="CL321" i="9" s="1"/>
  <c r="AF321" i="9"/>
  <c r="CW321" i="9" s="1"/>
  <c r="AU321" i="9"/>
  <c r="DL321" i="9" s="1"/>
  <c r="AZ321" i="9"/>
  <c r="DQ321" i="9" s="1"/>
  <c r="BL321" i="9"/>
  <c r="EC321" i="9" s="1"/>
  <c r="AA321" i="9"/>
  <c r="CR321" i="9" s="1"/>
  <c r="BA321" i="9"/>
  <c r="DR321" i="9" s="1"/>
  <c r="AY321" i="9"/>
  <c r="DP321" i="9" s="1"/>
  <c r="BD321" i="9"/>
  <c r="DU321" i="9" s="1"/>
  <c r="BC321" i="9"/>
  <c r="DT321" i="9" s="1"/>
  <c r="AT321" i="9"/>
  <c r="DK321" i="9" s="1"/>
  <c r="BE321" i="9"/>
  <c r="DV321" i="9" s="1"/>
  <c r="BK321" i="9"/>
  <c r="EB321" i="9" s="1"/>
  <c r="BN321" i="9"/>
  <c r="EE321" i="9" s="1"/>
  <c r="O321" i="9"/>
  <c r="CF321" i="9" s="1"/>
  <c r="Q321" i="9"/>
  <c r="CH321" i="9" s="1"/>
  <c r="N321" i="9"/>
  <c r="CE321" i="9" s="1"/>
  <c r="K321" i="9"/>
  <c r="CB321" i="9" s="1"/>
  <c r="R321" i="9"/>
  <c r="CI321" i="9" s="1"/>
  <c r="T321" i="9"/>
  <c r="CK321" i="9" s="1"/>
  <c r="L321" i="9"/>
  <c r="CC321" i="9" s="1"/>
  <c r="P321" i="9"/>
  <c r="CG321" i="9" s="1"/>
  <c r="BF327" i="9"/>
  <c r="DW327" i="9" s="1"/>
  <c r="AI327" i="9"/>
  <c r="CZ327" i="9" s="1"/>
  <c r="Y327" i="9"/>
  <c r="CP327" i="9" s="1"/>
  <c r="BQ327" i="9"/>
  <c r="EH327" i="9" s="1"/>
  <c r="BB327" i="9"/>
  <c r="DS327" i="9" s="1"/>
  <c r="AQ327" i="9"/>
  <c r="DH327" i="9" s="1"/>
  <c r="AM327" i="9"/>
  <c r="DD327" i="9" s="1"/>
  <c r="AR327" i="9"/>
  <c r="DI327" i="9" s="1"/>
  <c r="BJ327" i="9"/>
  <c r="EA327" i="9" s="1"/>
  <c r="BP327" i="9"/>
  <c r="EG327" i="9" s="1"/>
  <c r="AW327" i="9"/>
  <c r="DN327" i="9" s="1"/>
  <c r="AL327" i="9"/>
  <c r="DC327" i="9" s="1"/>
  <c r="AF327" i="9"/>
  <c r="CW327" i="9" s="1"/>
  <c r="AE327" i="9"/>
  <c r="CV327" i="9" s="1"/>
  <c r="AS327" i="9"/>
  <c r="DJ327" i="9" s="1"/>
  <c r="U327" i="9"/>
  <c r="CL327" i="9" s="1"/>
  <c r="AD327" i="9"/>
  <c r="CU327" i="9" s="1"/>
  <c r="AH327" i="9"/>
  <c r="CY327" i="9" s="1"/>
  <c r="Z327" i="9"/>
  <c r="CQ327" i="9" s="1"/>
  <c r="AN327" i="9"/>
  <c r="DE327" i="9" s="1"/>
  <c r="AX327" i="9"/>
  <c r="DO327" i="9" s="1"/>
  <c r="AK327" i="9"/>
  <c r="DB327" i="9" s="1"/>
  <c r="AG327" i="9"/>
  <c r="CX327" i="9" s="1"/>
  <c r="V327" i="9"/>
  <c r="CM327" i="9" s="1"/>
  <c r="BR327" i="9"/>
  <c r="EI327" i="9" s="1"/>
  <c r="BH327" i="9"/>
  <c r="DY327" i="9" s="1"/>
  <c r="AV327" i="9"/>
  <c r="DM327" i="9" s="1"/>
  <c r="X327" i="9"/>
  <c r="CO327" i="9" s="1"/>
  <c r="AP327" i="9"/>
  <c r="DG327" i="9" s="1"/>
  <c r="BM327" i="9"/>
  <c r="ED327" i="9" s="1"/>
  <c r="AO327" i="9"/>
  <c r="DF327" i="9" s="1"/>
  <c r="AB327" i="9"/>
  <c r="CS327" i="9" s="1"/>
  <c r="AJ327" i="9"/>
  <c r="DA327" i="9" s="1"/>
  <c r="BG327" i="9"/>
  <c r="DX327" i="9" s="1"/>
  <c r="BI327" i="9"/>
  <c r="DZ327" i="9" s="1"/>
  <c r="AC327" i="9"/>
  <c r="CT327" i="9" s="1"/>
  <c r="W327" i="9"/>
  <c r="CN327" i="9" s="1"/>
  <c r="BO327" i="9"/>
  <c r="EF327" i="9" s="1"/>
  <c r="AZ327" i="9"/>
  <c r="DQ327" i="9" s="1"/>
  <c r="BN327" i="9"/>
  <c r="EE327" i="9" s="1"/>
  <c r="AA327" i="9"/>
  <c r="CR327" i="9" s="1"/>
  <c r="BC327" i="9"/>
  <c r="DT327" i="9" s="1"/>
  <c r="BA327" i="9"/>
  <c r="DR327" i="9" s="1"/>
  <c r="AY327" i="9"/>
  <c r="DP327" i="9" s="1"/>
  <c r="BK327" i="9"/>
  <c r="EB327" i="9" s="1"/>
  <c r="BL327" i="9"/>
  <c r="EC327" i="9" s="1"/>
  <c r="AT327" i="9"/>
  <c r="DK327" i="9" s="1"/>
  <c r="BD327" i="9"/>
  <c r="DU327" i="9" s="1"/>
  <c r="BE327" i="9"/>
  <c r="DV327" i="9" s="1"/>
  <c r="AU327" i="9"/>
  <c r="DL327" i="9" s="1"/>
  <c r="R327" i="9"/>
  <c r="CI327" i="9" s="1"/>
  <c r="T327" i="9"/>
  <c r="CK327" i="9" s="1"/>
  <c r="N327" i="9"/>
  <c r="CE327" i="9" s="1"/>
  <c r="P327" i="9"/>
  <c r="CG327" i="9" s="1"/>
  <c r="K327" i="9"/>
  <c r="CB327" i="9" s="1"/>
  <c r="Q327" i="9"/>
  <c r="CH327" i="9" s="1"/>
  <c r="S327" i="9"/>
  <c r="CJ327" i="9" s="1"/>
  <c r="M327" i="9"/>
  <c r="CD327" i="9" s="1"/>
  <c r="I526" i="9"/>
  <c r="I532" i="9"/>
  <c r="I527" i="9"/>
  <c r="I537" i="9"/>
  <c r="I528" i="9"/>
  <c r="I541" i="9"/>
  <c r="I539" i="9"/>
  <c r="I538" i="9"/>
  <c r="I543" i="9"/>
  <c r="I533" i="9"/>
  <c r="I542" i="9"/>
  <c r="I534" i="9"/>
  <c r="I544" i="9"/>
  <c r="I530" i="9"/>
  <c r="I529" i="9"/>
  <c r="I531" i="9"/>
  <c r="I535" i="9"/>
  <c r="I536" i="9"/>
  <c r="I540" i="9"/>
  <c r="I525" i="9"/>
  <c r="AN477" i="9"/>
  <c r="AW477" i="9"/>
  <c r="W477" i="9"/>
  <c r="AE477" i="9"/>
  <c r="BF477" i="9"/>
  <c r="AM477" i="9"/>
  <c r="BM477" i="9"/>
  <c r="BG477" i="9"/>
  <c r="AZ477" i="9"/>
  <c r="AG477" i="9"/>
  <c r="AU477" i="9"/>
  <c r="V477" i="9"/>
  <c r="BP477" i="9"/>
  <c r="AP477" i="9"/>
  <c r="BE477" i="9"/>
  <c r="X477" i="9"/>
  <c r="AI477" i="9"/>
  <c r="AV477" i="9"/>
  <c r="AC477" i="9"/>
  <c r="AY477" i="9"/>
  <c r="AL477" i="9"/>
  <c r="AJ477" i="9"/>
  <c r="AF477" i="9"/>
  <c r="BO477" i="9"/>
  <c r="BJ477" i="9"/>
  <c r="AQ477" i="9"/>
  <c r="AR477" i="9"/>
  <c r="BI477" i="9"/>
  <c r="BH477" i="9"/>
  <c r="BR477" i="9"/>
  <c r="BK477" i="9"/>
  <c r="Y477" i="9"/>
  <c r="U477" i="9"/>
  <c r="AD477" i="9"/>
  <c r="BA477" i="9"/>
  <c r="AA477" i="9"/>
  <c r="AB477" i="9"/>
  <c r="AO477" i="9"/>
  <c r="BC477" i="9"/>
  <c r="BQ477" i="9"/>
  <c r="AT477" i="9"/>
  <c r="AS477" i="9"/>
  <c r="BN477" i="9"/>
  <c r="BL477" i="9"/>
  <c r="AX477" i="9"/>
  <c r="AK477" i="9"/>
  <c r="BB477" i="9"/>
  <c r="Z477" i="9"/>
  <c r="BD477" i="9"/>
  <c r="AH477" i="9"/>
  <c r="Q477" i="9"/>
  <c r="CH477" i="9" s="1"/>
  <c r="T477" i="9"/>
  <c r="CK477" i="9" s="1"/>
  <c r="P477" i="9"/>
  <c r="CG477" i="9" s="1"/>
  <c r="S477" i="9"/>
  <c r="CJ477" i="9" s="1"/>
  <c r="N477" i="9"/>
  <c r="CE477" i="9" s="1"/>
  <c r="R477" i="9"/>
  <c r="CI477" i="9" s="1"/>
  <c r="K477" i="9"/>
  <c r="CB477" i="9" s="1"/>
  <c r="M477" i="9"/>
  <c r="CD477" i="9" s="1"/>
  <c r="O477" i="9"/>
  <c r="CF477" i="9" s="1"/>
  <c r="L477" i="9"/>
  <c r="CC477" i="9" s="1"/>
  <c r="AX462" i="9"/>
  <c r="DO462" i="9" s="1"/>
  <c r="AJ462" i="9"/>
  <c r="DA462" i="9" s="1"/>
  <c r="AC462" i="9"/>
  <c r="CT462" i="9" s="1"/>
  <c r="AH462" i="9"/>
  <c r="CY462" i="9" s="1"/>
  <c r="AG462" i="9"/>
  <c r="CX462" i="9" s="1"/>
  <c r="Z462" i="9"/>
  <c r="CQ462" i="9" s="1"/>
  <c r="AN462" i="9"/>
  <c r="DE462" i="9" s="1"/>
  <c r="AS462" i="9"/>
  <c r="DJ462" i="9" s="1"/>
  <c r="BF462" i="9"/>
  <c r="DW462" i="9" s="1"/>
  <c r="AA462" i="9"/>
  <c r="CR462" i="9" s="1"/>
  <c r="AB462" i="9"/>
  <c r="CS462" i="9" s="1"/>
  <c r="BM462" i="9"/>
  <c r="ED462" i="9" s="1"/>
  <c r="U462" i="9"/>
  <c r="CL462" i="9" s="1"/>
  <c r="AR462" i="9"/>
  <c r="DI462" i="9" s="1"/>
  <c r="W462" i="9"/>
  <c r="CN462" i="9" s="1"/>
  <c r="V462" i="9"/>
  <c r="CM462" i="9" s="1"/>
  <c r="AL462" i="9"/>
  <c r="DC462" i="9" s="1"/>
  <c r="AQ462" i="9"/>
  <c r="DH462" i="9" s="1"/>
  <c r="AP462" i="9"/>
  <c r="DG462" i="9" s="1"/>
  <c r="BO462" i="9"/>
  <c r="EF462" i="9" s="1"/>
  <c r="AY462" i="9"/>
  <c r="DP462" i="9" s="1"/>
  <c r="AF462" i="9"/>
  <c r="CW462" i="9" s="1"/>
  <c r="AD462" i="9"/>
  <c r="CU462" i="9" s="1"/>
  <c r="BG462" i="9"/>
  <c r="DX462" i="9" s="1"/>
  <c r="BN462" i="9"/>
  <c r="EE462" i="9" s="1"/>
  <c r="Y462" i="9"/>
  <c r="CP462" i="9" s="1"/>
  <c r="BD462" i="9"/>
  <c r="DU462" i="9" s="1"/>
  <c r="AV462" i="9"/>
  <c r="DM462" i="9" s="1"/>
  <c r="X462" i="9"/>
  <c r="CO462" i="9" s="1"/>
  <c r="AU462" i="9"/>
  <c r="DL462" i="9" s="1"/>
  <c r="BI462" i="9"/>
  <c r="DZ462" i="9" s="1"/>
  <c r="AW462" i="9"/>
  <c r="DN462" i="9" s="1"/>
  <c r="BL462" i="9"/>
  <c r="EC462" i="9" s="1"/>
  <c r="AK462" i="9"/>
  <c r="DB462" i="9" s="1"/>
  <c r="BR462" i="9"/>
  <c r="EI462" i="9" s="1"/>
  <c r="BA462" i="9"/>
  <c r="DR462" i="9" s="1"/>
  <c r="BH462" i="9"/>
  <c r="DY462" i="9" s="1"/>
  <c r="BE462" i="9"/>
  <c r="DV462" i="9" s="1"/>
  <c r="AM462" i="9"/>
  <c r="DD462" i="9" s="1"/>
  <c r="BK462" i="9"/>
  <c r="EB462" i="9" s="1"/>
  <c r="BJ462" i="9"/>
  <c r="EA462" i="9" s="1"/>
  <c r="BQ462" i="9"/>
  <c r="EH462" i="9" s="1"/>
  <c r="AZ462" i="9"/>
  <c r="DQ462" i="9" s="1"/>
  <c r="AE462" i="9"/>
  <c r="CV462" i="9" s="1"/>
  <c r="BB462" i="9"/>
  <c r="DS462" i="9" s="1"/>
  <c r="AI462" i="9"/>
  <c r="CZ462" i="9" s="1"/>
  <c r="BC462" i="9"/>
  <c r="DT462" i="9" s="1"/>
  <c r="BP462" i="9"/>
  <c r="EG462" i="9" s="1"/>
  <c r="AT462" i="9"/>
  <c r="DK462" i="9" s="1"/>
  <c r="AO462" i="9"/>
  <c r="DF462" i="9" s="1"/>
  <c r="N462" i="9"/>
  <c r="CE462" i="9" s="1"/>
  <c r="S462" i="9"/>
  <c r="CJ462" i="9" s="1"/>
  <c r="R462" i="9"/>
  <c r="CI462" i="9" s="1"/>
  <c r="K462" i="9"/>
  <c r="CB462" i="9" s="1"/>
  <c r="P462" i="9"/>
  <c r="CG462" i="9" s="1"/>
  <c r="O462" i="9"/>
  <c r="CF462" i="9" s="1"/>
  <c r="Q462" i="9"/>
  <c r="CH462" i="9" s="1"/>
  <c r="M462" i="9"/>
  <c r="CD462" i="9" s="1"/>
  <c r="L462" i="9"/>
  <c r="CC462" i="9" s="1"/>
  <c r="I473" i="9"/>
  <c r="AI247" i="9"/>
  <c r="CZ247" i="9" s="1"/>
  <c r="AW247" i="9"/>
  <c r="DN247" i="9" s="1"/>
  <c r="AR247" i="9"/>
  <c r="DI247" i="9" s="1"/>
  <c r="AD247" i="9"/>
  <c r="CU247" i="9" s="1"/>
  <c r="BK247" i="9"/>
  <c r="EB247" i="9" s="1"/>
  <c r="AM247" i="9"/>
  <c r="DD247" i="9" s="1"/>
  <c r="AN247" i="9"/>
  <c r="DE247" i="9" s="1"/>
  <c r="AV247" i="9"/>
  <c r="DM247" i="9" s="1"/>
  <c r="BA247" i="9"/>
  <c r="DR247" i="9" s="1"/>
  <c r="AX247" i="9"/>
  <c r="DO247" i="9" s="1"/>
  <c r="BB247" i="9"/>
  <c r="DS247" i="9" s="1"/>
  <c r="AT247" i="9"/>
  <c r="DK247" i="9" s="1"/>
  <c r="BQ247" i="9"/>
  <c r="EH247" i="9" s="1"/>
  <c r="BD247" i="9"/>
  <c r="DU247" i="9" s="1"/>
  <c r="BR247" i="9"/>
  <c r="EI247" i="9" s="1"/>
  <c r="BP247" i="9"/>
  <c r="EG247" i="9" s="1"/>
  <c r="BE247" i="9"/>
  <c r="DV247" i="9" s="1"/>
  <c r="AK247" i="9"/>
  <c r="DB247" i="9" s="1"/>
  <c r="AY247" i="9"/>
  <c r="DP247" i="9" s="1"/>
  <c r="AB247" i="9"/>
  <c r="CS247" i="9" s="1"/>
  <c r="BN247" i="9"/>
  <c r="EE247" i="9" s="1"/>
  <c r="U247" i="9"/>
  <c r="CL247" i="9" s="1"/>
  <c r="Z247" i="9"/>
  <c r="CQ247" i="9" s="1"/>
  <c r="V247" i="9"/>
  <c r="CM247" i="9" s="1"/>
  <c r="AF247" i="9"/>
  <c r="CW247" i="9" s="1"/>
  <c r="Y247" i="9"/>
  <c r="CP247" i="9" s="1"/>
  <c r="AH247" i="9"/>
  <c r="CY247" i="9" s="1"/>
  <c r="AG247" i="9"/>
  <c r="CX247" i="9" s="1"/>
  <c r="AA247" i="9"/>
  <c r="CR247" i="9" s="1"/>
  <c r="AU247" i="9"/>
  <c r="DL247" i="9" s="1"/>
  <c r="BI247" i="9"/>
  <c r="DZ247" i="9" s="1"/>
  <c r="AE247" i="9"/>
  <c r="CV247" i="9" s="1"/>
  <c r="BG247" i="9"/>
  <c r="DX247" i="9" s="1"/>
  <c r="BL247" i="9"/>
  <c r="EC247" i="9" s="1"/>
  <c r="BJ247" i="9"/>
  <c r="EA247" i="9" s="1"/>
  <c r="BF247" i="9"/>
  <c r="DW247" i="9" s="1"/>
  <c r="AZ247" i="9"/>
  <c r="DQ247" i="9" s="1"/>
  <c r="X247" i="9"/>
  <c r="CO247" i="9" s="1"/>
  <c r="BO247" i="9"/>
  <c r="EF247" i="9" s="1"/>
  <c r="AS247" i="9"/>
  <c r="DJ247" i="9" s="1"/>
  <c r="BH247" i="9"/>
  <c r="DY247" i="9" s="1"/>
  <c r="AJ247" i="9"/>
  <c r="DA247" i="9" s="1"/>
  <c r="AQ247" i="9"/>
  <c r="DH247" i="9" s="1"/>
  <c r="BM247" i="9"/>
  <c r="ED247" i="9" s="1"/>
  <c r="BC247" i="9"/>
  <c r="DT247" i="9" s="1"/>
  <c r="AL247" i="9"/>
  <c r="DC247" i="9" s="1"/>
  <c r="AP247" i="9"/>
  <c r="DG247" i="9" s="1"/>
  <c r="W247" i="9"/>
  <c r="CN247" i="9" s="1"/>
  <c r="AO247" i="9"/>
  <c r="DF247" i="9" s="1"/>
  <c r="AC247" i="9"/>
  <c r="CT247" i="9" s="1"/>
  <c r="T247" i="9"/>
  <c r="CK247" i="9" s="1"/>
  <c r="L247" i="9"/>
  <c r="CC247" i="9" s="1"/>
  <c r="M247" i="9"/>
  <c r="CD247" i="9" s="1"/>
  <c r="N247" i="9"/>
  <c r="CE247" i="9" s="1"/>
  <c r="R247" i="9"/>
  <c r="CI247" i="9" s="1"/>
  <c r="S247" i="9"/>
  <c r="CJ247" i="9" s="1"/>
  <c r="Q247" i="9"/>
  <c r="CH247" i="9" s="1"/>
  <c r="K247" i="9"/>
  <c r="CB247" i="9" s="1"/>
  <c r="P247" i="9"/>
  <c r="CG247" i="9" s="1"/>
  <c r="I303" i="9"/>
  <c r="I289" i="9"/>
  <c r="I293" i="9"/>
  <c r="I298" i="9"/>
  <c r="I296" i="9"/>
  <c r="I299" i="9"/>
  <c r="I288" i="9"/>
  <c r="I291" i="9"/>
  <c r="I297" i="9"/>
  <c r="I285" i="9"/>
  <c r="I302" i="9"/>
  <c r="AT386" i="9"/>
  <c r="DK386" i="9" s="1"/>
  <c r="BR386" i="9"/>
  <c r="EI386" i="9" s="1"/>
  <c r="Y386" i="9"/>
  <c r="CP386" i="9" s="1"/>
  <c r="BQ386" i="9"/>
  <c r="EH386" i="9" s="1"/>
  <c r="BK386" i="9"/>
  <c r="EB386" i="9" s="1"/>
  <c r="AQ386" i="9"/>
  <c r="DH386" i="9" s="1"/>
  <c r="AK386" i="9"/>
  <c r="DB386" i="9" s="1"/>
  <c r="BF386" i="9"/>
  <c r="DW386" i="9" s="1"/>
  <c r="AX386" i="9"/>
  <c r="DO386" i="9" s="1"/>
  <c r="V386" i="9"/>
  <c r="CM386" i="9" s="1"/>
  <c r="AE386" i="9"/>
  <c r="CV386" i="9" s="1"/>
  <c r="BM386" i="9"/>
  <c r="ED386" i="9" s="1"/>
  <c r="BP386" i="9"/>
  <c r="EG386" i="9" s="1"/>
  <c r="AI386" i="9"/>
  <c r="CZ386" i="9" s="1"/>
  <c r="BE386" i="9"/>
  <c r="DV386" i="9" s="1"/>
  <c r="AS386" i="9"/>
  <c r="DJ386" i="9" s="1"/>
  <c r="AM386" i="9"/>
  <c r="DD386" i="9" s="1"/>
  <c r="AW386" i="9"/>
  <c r="DN386" i="9" s="1"/>
  <c r="BB386" i="9"/>
  <c r="DS386" i="9" s="1"/>
  <c r="BH386" i="9"/>
  <c r="DY386" i="9" s="1"/>
  <c r="BL386" i="9"/>
  <c r="EC386" i="9" s="1"/>
  <c r="BI386" i="9"/>
  <c r="DZ386" i="9" s="1"/>
  <c r="BA386" i="9"/>
  <c r="DR386" i="9" s="1"/>
  <c r="BN386" i="9"/>
  <c r="EE386" i="9" s="1"/>
  <c r="AL386" i="9"/>
  <c r="DC386" i="9" s="1"/>
  <c r="BC386" i="9"/>
  <c r="DT386" i="9" s="1"/>
  <c r="AN386" i="9"/>
  <c r="DE386" i="9" s="1"/>
  <c r="AR386" i="9"/>
  <c r="DI386" i="9" s="1"/>
  <c r="W386" i="9"/>
  <c r="CN386" i="9" s="1"/>
  <c r="AZ386" i="9"/>
  <c r="DQ386" i="9" s="1"/>
  <c r="X386" i="9"/>
  <c r="CO386" i="9" s="1"/>
  <c r="AV386" i="9"/>
  <c r="DM386" i="9" s="1"/>
  <c r="AG386" i="9"/>
  <c r="CX386" i="9" s="1"/>
  <c r="AD386" i="9"/>
  <c r="CU386" i="9" s="1"/>
  <c r="AC386" i="9"/>
  <c r="CT386" i="9" s="1"/>
  <c r="AH386" i="9"/>
  <c r="CY386" i="9" s="1"/>
  <c r="BJ386" i="9"/>
  <c r="EA386" i="9" s="1"/>
  <c r="AB386" i="9"/>
  <c r="CS386" i="9" s="1"/>
  <c r="AJ386" i="9"/>
  <c r="DA386" i="9" s="1"/>
  <c r="AO386" i="9"/>
  <c r="DF386" i="9" s="1"/>
  <c r="Z386" i="9"/>
  <c r="CQ386" i="9" s="1"/>
  <c r="AU386" i="9"/>
  <c r="DL386" i="9" s="1"/>
  <c r="AF386" i="9"/>
  <c r="CW386" i="9" s="1"/>
  <c r="BO386" i="9"/>
  <c r="EF386" i="9" s="1"/>
  <c r="U386" i="9"/>
  <c r="CL386" i="9" s="1"/>
  <c r="BG386" i="9"/>
  <c r="DX386" i="9" s="1"/>
  <c r="AA386" i="9"/>
  <c r="CR386" i="9" s="1"/>
  <c r="AP386" i="9"/>
  <c r="DG386" i="9" s="1"/>
  <c r="BD386" i="9"/>
  <c r="DU386" i="9" s="1"/>
  <c r="AY386" i="9"/>
  <c r="DP386" i="9" s="1"/>
  <c r="R386" i="9"/>
  <c r="CI386" i="9" s="1"/>
  <c r="Q386" i="9"/>
  <c r="CH386" i="9" s="1"/>
  <c r="S386" i="9"/>
  <c r="CJ386" i="9" s="1"/>
  <c r="T386" i="9"/>
  <c r="CK386" i="9" s="1"/>
  <c r="AI515" i="9"/>
  <c r="CZ515" i="9" s="1"/>
  <c r="BE515" i="9"/>
  <c r="DV515" i="9" s="1"/>
  <c r="AJ515" i="9"/>
  <c r="DA515" i="9" s="1"/>
  <c r="BK515" i="9"/>
  <c r="EB515" i="9" s="1"/>
  <c r="BH515" i="9"/>
  <c r="DY515" i="9" s="1"/>
  <c r="BL515" i="9"/>
  <c r="EC515" i="9" s="1"/>
  <c r="AV515" i="9"/>
  <c r="DM515" i="9" s="1"/>
  <c r="BQ515" i="9"/>
  <c r="EH515" i="9" s="1"/>
  <c r="AF515" i="9"/>
  <c r="CW515" i="9" s="1"/>
  <c r="BG515" i="9"/>
  <c r="DX515" i="9" s="1"/>
  <c r="BN515" i="9"/>
  <c r="EE515" i="9" s="1"/>
  <c r="Z515" i="9"/>
  <c r="CQ515" i="9" s="1"/>
  <c r="BO515" i="9"/>
  <c r="EF515" i="9" s="1"/>
  <c r="AU515" i="9"/>
  <c r="DL515" i="9" s="1"/>
  <c r="BI515" i="9"/>
  <c r="DZ515" i="9" s="1"/>
  <c r="AZ515" i="9"/>
  <c r="DQ515" i="9" s="1"/>
  <c r="BC515" i="9"/>
  <c r="DT515" i="9" s="1"/>
  <c r="BD515" i="9"/>
  <c r="DU515" i="9" s="1"/>
  <c r="AN515" i="9"/>
  <c r="DE515" i="9" s="1"/>
  <c r="BP515" i="9"/>
  <c r="EG515" i="9" s="1"/>
  <c r="AM515" i="9"/>
  <c r="DD515" i="9" s="1"/>
  <c r="U515" i="9"/>
  <c r="CL515" i="9" s="1"/>
  <c r="AB515" i="9"/>
  <c r="CS515" i="9" s="1"/>
  <c r="AO515" i="9"/>
  <c r="DF515" i="9" s="1"/>
  <c r="BF515" i="9"/>
  <c r="DW515" i="9" s="1"/>
  <c r="AX515" i="9"/>
  <c r="DO515" i="9" s="1"/>
  <c r="BJ515" i="9"/>
  <c r="EA515" i="9" s="1"/>
  <c r="BR515" i="9"/>
  <c r="EI515" i="9" s="1"/>
  <c r="AL515" i="9"/>
  <c r="DC515" i="9" s="1"/>
  <c r="X515" i="9"/>
  <c r="CO515" i="9" s="1"/>
  <c r="AH515" i="9"/>
  <c r="CY515" i="9" s="1"/>
  <c r="AY515" i="9"/>
  <c r="DP515" i="9" s="1"/>
  <c r="AS515" i="9"/>
  <c r="DJ515" i="9" s="1"/>
  <c r="AG515" i="9"/>
  <c r="CX515" i="9" s="1"/>
  <c r="AW515" i="9"/>
  <c r="DN515" i="9" s="1"/>
  <c r="AQ515" i="9"/>
  <c r="DH515" i="9" s="1"/>
  <c r="AE515" i="9"/>
  <c r="CV515" i="9" s="1"/>
  <c r="BA515" i="9"/>
  <c r="DR515" i="9" s="1"/>
  <c r="AK515" i="9"/>
  <c r="DB515" i="9" s="1"/>
  <c r="AP515" i="9"/>
  <c r="DG515" i="9" s="1"/>
  <c r="BM515" i="9"/>
  <c r="ED515" i="9" s="1"/>
  <c r="V515" i="9"/>
  <c r="CM515" i="9" s="1"/>
  <c r="AA515" i="9"/>
  <c r="CR515" i="9" s="1"/>
  <c r="AD515" i="9"/>
  <c r="CU515" i="9" s="1"/>
  <c r="W515" i="9"/>
  <c r="CN515" i="9" s="1"/>
  <c r="AT515" i="9"/>
  <c r="DK515" i="9" s="1"/>
  <c r="AR515" i="9"/>
  <c r="DI515" i="9" s="1"/>
  <c r="BB515" i="9"/>
  <c r="DS515" i="9" s="1"/>
  <c r="AC515" i="9"/>
  <c r="CT515" i="9" s="1"/>
  <c r="Y515" i="9"/>
  <c r="CP515" i="9" s="1"/>
  <c r="L515" i="9"/>
  <c r="CC515" i="9" s="1"/>
  <c r="M515" i="9"/>
  <c r="CD515" i="9" s="1"/>
  <c r="S515" i="9"/>
  <c r="CJ515" i="9" s="1"/>
  <c r="T515" i="9"/>
  <c r="CK515" i="9" s="1"/>
  <c r="P515" i="9"/>
  <c r="CG515" i="9" s="1"/>
  <c r="O515" i="9"/>
  <c r="CF515" i="9" s="1"/>
  <c r="K515" i="9"/>
  <c r="CB515" i="9" s="1"/>
  <c r="BH413" i="9"/>
  <c r="DY413" i="9" s="1"/>
  <c r="V413" i="9"/>
  <c r="CM413" i="9" s="1"/>
  <c r="BO413" i="9"/>
  <c r="EF413" i="9" s="1"/>
  <c r="AU413" i="9"/>
  <c r="DL413" i="9" s="1"/>
  <c r="AK413" i="9"/>
  <c r="DB413" i="9" s="1"/>
  <c r="BP413" i="9"/>
  <c r="EG413" i="9" s="1"/>
  <c r="AG413" i="9"/>
  <c r="CX413" i="9" s="1"/>
  <c r="BF413" i="9"/>
  <c r="DW413" i="9" s="1"/>
  <c r="AE413" i="9"/>
  <c r="CV413" i="9" s="1"/>
  <c r="AZ413" i="9"/>
  <c r="DQ413" i="9" s="1"/>
  <c r="AL413" i="9"/>
  <c r="DC413" i="9" s="1"/>
  <c r="AQ413" i="9"/>
  <c r="DH413" i="9" s="1"/>
  <c r="AT413" i="9"/>
  <c r="DK413" i="9" s="1"/>
  <c r="AF413" i="9"/>
  <c r="CW413" i="9" s="1"/>
  <c r="AV413" i="9"/>
  <c r="DM413" i="9" s="1"/>
  <c r="AI413" i="9"/>
  <c r="CZ413" i="9" s="1"/>
  <c r="AO413" i="9"/>
  <c r="DF413" i="9" s="1"/>
  <c r="BM413" i="9"/>
  <c r="ED413" i="9" s="1"/>
  <c r="BN413" i="9"/>
  <c r="EE413" i="9" s="1"/>
  <c r="AD413" i="9"/>
  <c r="CU413" i="9" s="1"/>
  <c r="BR413" i="9"/>
  <c r="EI413" i="9" s="1"/>
  <c r="BA413" i="9"/>
  <c r="DR413" i="9" s="1"/>
  <c r="AB413" i="9"/>
  <c r="CS413" i="9" s="1"/>
  <c r="AN413" i="9"/>
  <c r="DE413" i="9" s="1"/>
  <c r="BG413" i="9"/>
  <c r="DX413" i="9" s="1"/>
  <c r="U413" i="9"/>
  <c r="CL413" i="9" s="1"/>
  <c r="X413" i="9"/>
  <c r="CO413" i="9" s="1"/>
  <c r="BE413" i="9"/>
  <c r="DV413" i="9" s="1"/>
  <c r="AM413" i="9"/>
  <c r="DD413" i="9" s="1"/>
  <c r="AR413" i="9"/>
  <c r="DI413" i="9" s="1"/>
  <c r="AW413" i="9"/>
  <c r="DN413" i="9" s="1"/>
  <c r="BB413" i="9"/>
  <c r="DS413" i="9" s="1"/>
  <c r="AS413" i="9"/>
  <c r="DJ413" i="9" s="1"/>
  <c r="BQ413" i="9"/>
  <c r="EH413" i="9" s="1"/>
  <c r="BK413" i="9"/>
  <c r="EB413" i="9" s="1"/>
  <c r="AJ413" i="9"/>
  <c r="DA413" i="9" s="1"/>
  <c r="BI413" i="9"/>
  <c r="DZ413" i="9" s="1"/>
  <c r="AC413" i="9"/>
  <c r="CT413" i="9" s="1"/>
  <c r="AY413" i="9"/>
  <c r="DP413" i="9" s="1"/>
  <c r="W413" i="9"/>
  <c r="CN413" i="9" s="1"/>
  <c r="Y413" i="9"/>
  <c r="CP413" i="9" s="1"/>
  <c r="BC413" i="9"/>
  <c r="DT413" i="9" s="1"/>
  <c r="Z413" i="9"/>
  <c r="CQ413" i="9" s="1"/>
  <c r="AH413" i="9"/>
  <c r="CY413" i="9" s="1"/>
  <c r="AX413" i="9"/>
  <c r="DO413" i="9" s="1"/>
  <c r="BL413" i="9"/>
  <c r="EC413" i="9" s="1"/>
  <c r="AP413" i="9"/>
  <c r="DG413" i="9" s="1"/>
  <c r="BJ413" i="9"/>
  <c r="EA413" i="9" s="1"/>
  <c r="BD413" i="9"/>
  <c r="DU413" i="9" s="1"/>
  <c r="AA413" i="9"/>
  <c r="CR413" i="9" s="1"/>
  <c r="O413" i="9"/>
  <c r="CF413" i="9" s="1"/>
  <c r="S413" i="9"/>
  <c r="CJ413" i="9" s="1"/>
  <c r="Q413" i="9"/>
  <c r="CH413" i="9" s="1"/>
  <c r="P413" i="9"/>
  <c r="CG413" i="9" s="1"/>
  <c r="R413" i="9"/>
  <c r="CI413" i="9" s="1"/>
  <c r="T413" i="9"/>
  <c r="CK413" i="9" s="1"/>
  <c r="AX469" i="9"/>
  <c r="DO469" i="9" s="1"/>
  <c r="U469" i="9"/>
  <c r="CL469" i="9" s="1"/>
  <c r="AY469" i="9"/>
  <c r="DP469" i="9" s="1"/>
  <c r="AD469" i="9"/>
  <c r="CU469" i="9" s="1"/>
  <c r="AJ469" i="9"/>
  <c r="DA469" i="9" s="1"/>
  <c r="AH469" i="9"/>
  <c r="CY469" i="9" s="1"/>
  <c r="AB469" i="9"/>
  <c r="CS469" i="9" s="1"/>
  <c r="AP469" i="9"/>
  <c r="DG469" i="9" s="1"/>
  <c r="AA469" i="9"/>
  <c r="CR469" i="9" s="1"/>
  <c r="BN469" i="9"/>
  <c r="EE469" i="9" s="1"/>
  <c r="AR469" i="9"/>
  <c r="DI469" i="9" s="1"/>
  <c r="BO469" i="9"/>
  <c r="EF469" i="9" s="1"/>
  <c r="AS469" i="9"/>
  <c r="DJ469" i="9" s="1"/>
  <c r="AF469" i="9"/>
  <c r="CW469" i="9" s="1"/>
  <c r="AC469" i="9"/>
  <c r="CT469" i="9" s="1"/>
  <c r="V469" i="9"/>
  <c r="CM469" i="9" s="1"/>
  <c r="AG469" i="9"/>
  <c r="CX469" i="9" s="1"/>
  <c r="Z469" i="9"/>
  <c r="CQ469" i="9" s="1"/>
  <c r="W469" i="9"/>
  <c r="CN469" i="9" s="1"/>
  <c r="AQ469" i="9"/>
  <c r="DH469" i="9" s="1"/>
  <c r="AL469" i="9"/>
  <c r="DC469" i="9" s="1"/>
  <c r="BM469" i="9"/>
  <c r="ED469" i="9" s="1"/>
  <c r="BG469" i="9"/>
  <c r="DX469" i="9" s="1"/>
  <c r="AN469" i="9"/>
  <c r="DE469" i="9" s="1"/>
  <c r="BF469" i="9"/>
  <c r="DW469" i="9" s="1"/>
  <c r="BB469" i="9"/>
  <c r="DS469" i="9" s="1"/>
  <c r="AT469" i="9"/>
  <c r="DK469" i="9" s="1"/>
  <c r="AV469" i="9"/>
  <c r="DM469" i="9" s="1"/>
  <c r="BH469" i="9"/>
  <c r="DY469" i="9" s="1"/>
  <c r="BD469" i="9"/>
  <c r="DU469" i="9" s="1"/>
  <c r="Y469" i="9"/>
  <c r="CP469" i="9" s="1"/>
  <c r="BQ469" i="9"/>
  <c r="EH469" i="9" s="1"/>
  <c r="BL469" i="9"/>
  <c r="EC469" i="9" s="1"/>
  <c r="AE469" i="9"/>
  <c r="CV469" i="9" s="1"/>
  <c r="AM469" i="9"/>
  <c r="DD469" i="9" s="1"/>
  <c r="BR469" i="9"/>
  <c r="EI469" i="9" s="1"/>
  <c r="X469" i="9"/>
  <c r="CO469" i="9" s="1"/>
  <c r="BA469" i="9"/>
  <c r="DR469" i="9" s="1"/>
  <c r="AK469" i="9"/>
  <c r="DB469" i="9" s="1"/>
  <c r="BK469" i="9"/>
  <c r="EB469" i="9" s="1"/>
  <c r="BJ469" i="9"/>
  <c r="EA469" i="9" s="1"/>
  <c r="BP469" i="9"/>
  <c r="EG469" i="9" s="1"/>
  <c r="BI469" i="9"/>
  <c r="DZ469" i="9" s="1"/>
  <c r="BC469" i="9"/>
  <c r="DT469" i="9" s="1"/>
  <c r="AZ469" i="9"/>
  <c r="DQ469" i="9" s="1"/>
  <c r="AI469" i="9"/>
  <c r="CZ469" i="9" s="1"/>
  <c r="BE469" i="9"/>
  <c r="DV469" i="9" s="1"/>
  <c r="AU469" i="9"/>
  <c r="DL469" i="9" s="1"/>
  <c r="AO469" i="9"/>
  <c r="DF469" i="9" s="1"/>
  <c r="AW469" i="9"/>
  <c r="DN469" i="9" s="1"/>
  <c r="R469" i="9"/>
  <c r="CI469" i="9" s="1"/>
  <c r="L469" i="9"/>
  <c r="CC469" i="9" s="1"/>
  <c r="K469" i="9"/>
  <c r="CB469" i="9" s="1"/>
  <c r="Q469" i="9"/>
  <c r="CH469" i="9" s="1"/>
  <c r="S469" i="9"/>
  <c r="CJ469" i="9" s="1"/>
  <c r="T469" i="9"/>
  <c r="CK469" i="9" s="1"/>
  <c r="M469" i="9"/>
  <c r="CD469" i="9" s="1"/>
  <c r="O386" i="9"/>
  <c r="CF386" i="9" s="1"/>
  <c r="AJ430" i="9"/>
  <c r="DA430" i="9" s="1"/>
  <c r="BL430" i="9"/>
  <c r="EC430" i="9" s="1"/>
  <c r="AS430" i="9"/>
  <c r="DJ430" i="9" s="1"/>
  <c r="BG430" i="9"/>
  <c r="DX430" i="9" s="1"/>
  <c r="AR430" i="9"/>
  <c r="DI430" i="9" s="1"/>
  <c r="BF430" i="9"/>
  <c r="DW430" i="9" s="1"/>
  <c r="AZ430" i="9"/>
  <c r="DQ430" i="9" s="1"/>
  <c r="AY430" i="9"/>
  <c r="DP430" i="9" s="1"/>
  <c r="BK430" i="9"/>
  <c r="EB430" i="9" s="1"/>
  <c r="BD430" i="9"/>
  <c r="DU430" i="9" s="1"/>
  <c r="Y430" i="9"/>
  <c r="CP430" i="9" s="1"/>
  <c r="BE430" i="9"/>
  <c r="DV430" i="9" s="1"/>
  <c r="BQ430" i="9"/>
  <c r="EH430" i="9" s="1"/>
  <c r="AL430" i="9"/>
  <c r="DC430" i="9" s="1"/>
  <c r="BH430" i="9"/>
  <c r="DY430" i="9" s="1"/>
  <c r="AK430" i="9"/>
  <c r="DB430" i="9" s="1"/>
  <c r="BO430" i="9"/>
  <c r="EF430" i="9" s="1"/>
  <c r="BA430" i="9"/>
  <c r="DR430" i="9" s="1"/>
  <c r="AN430" i="9"/>
  <c r="DE430" i="9" s="1"/>
  <c r="V430" i="9"/>
  <c r="CM430" i="9" s="1"/>
  <c r="AT430" i="9"/>
  <c r="DK430" i="9" s="1"/>
  <c r="W430" i="9"/>
  <c r="CN430" i="9" s="1"/>
  <c r="BB430" i="9"/>
  <c r="DS430" i="9" s="1"/>
  <c r="AB430" i="9"/>
  <c r="CS430" i="9" s="1"/>
  <c r="AU430" i="9"/>
  <c r="DL430" i="9" s="1"/>
  <c r="AG430" i="9"/>
  <c r="CX430" i="9" s="1"/>
  <c r="AO430" i="9"/>
  <c r="DF430" i="9" s="1"/>
  <c r="BR430" i="9"/>
  <c r="EI430" i="9" s="1"/>
  <c r="AE430" i="9"/>
  <c r="CV430" i="9" s="1"/>
  <c r="BP430" i="9"/>
  <c r="EG430" i="9" s="1"/>
  <c r="BJ430" i="9"/>
  <c r="EA430" i="9" s="1"/>
  <c r="AC430" i="9"/>
  <c r="CT430" i="9" s="1"/>
  <c r="AI430" i="9"/>
  <c r="CZ430" i="9" s="1"/>
  <c r="BM430" i="9"/>
  <c r="ED430" i="9" s="1"/>
  <c r="AX430" i="9"/>
  <c r="DO430" i="9" s="1"/>
  <c r="AM430" i="9"/>
  <c r="DD430" i="9" s="1"/>
  <c r="X430" i="9"/>
  <c r="CO430" i="9" s="1"/>
  <c r="AQ430" i="9"/>
  <c r="DH430" i="9" s="1"/>
  <c r="BC430" i="9"/>
  <c r="DT430" i="9" s="1"/>
  <c r="U430" i="9"/>
  <c r="CL430" i="9" s="1"/>
  <c r="AF430" i="9"/>
  <c r="CW430" i="9" s="1"/>
  <c r="BN430" i="9"/>
  <c r="EE430" i="9" s="1"/>
  <c r="AP430" i="9"/>
  <c r="DG430" i="9" s="1"/>
  <c r="Z430" i="9"/>
  <c r="CQ430" i="9" s="1"/>
  <c r="BI430" i="9"/>
  <c r="DZ430" i="9" s="1"/>
  <c r="AH430" i="9"/>
  <c r="CY430" i="9" s="1"/>
  <c r="AA430" i="9"/>
  <c r="CR430" i="9" s="1"/>
  <c r="AD430" i="9"/>
  <c r="CU430" i="9" s="1"/>
  <c r="AW430" i="9"/>
  <c r="DN430" i="9" s="1"/>
  <c r="AV430" i="9"/>
  <c r="DM430" i="9" s="1"/>
  <c r="K430" i="9"/>
  <c r="CB430" i="9" s="1"/>
  <c r="S430" i="9"/>
  <c r="CJ430" i="9" s="1"/>
  <c r="Q430" i="9"/>
  <c r="CH430" i="9" s="1"/>
  <c r="R430" i="9"/>
  <c r="CI430" i="9" s="1"/>
  <c r="I674" i="9"/>
  <c r="K674" i="9" s="1"/>
  <c r="CB674" i="9" s="1"/>
  <c r="I669" i="9"/>
  <c r="K669" i="9" s="1"/>
  <c r="CB669" i="9" s="1"/>
  <c r="I678" i="9"/>
  <c r="K678" i="9" s="1"/>
  <c r="CB678" i="9" s="1"/>
  <c r="I681" i="9"/>
  <c r="K681" i="9" s="1"/>
  <c r="CB681" i="9" s="1"/>
  <c r="I680" i="9"/>
  <c r="I683" i="9"/>
  <c r="K683" i="9" s="1"/>
  <c r="CB683" i="9" s="1"/>
  <c r="I672" i="9"/>
  <c r="I670" i="9"/>
  <c r="K670" i="9" s="1"/>
  <c r="CB670" i="9" s="1"/>
  <c r="I686" i="9"/>
  <c r="K686" i="9" s="1"/>
  <c r="CB686" i="9" s="1"/>
  <c r="I675" i="9"/>
  <c r="K675" i="9" s="1"/>
  <c r="CB675" i="9" s="1"/>
  <c r="I685" i="9"/>
  <c r="K685" i="9" s="1"/>
  <c r="CB685" i="9" s="1"/>
  <c r="I677" i="9"/>
  <c r="K677" i="9" s="1"/>
  <c r="CB677" i="9" s="1"/>
  <c r="I671" i="9"/>
  <c r="K671" i="9" s="1"/>
  <c r="CB671" i="9" s="1"/>
  <c r="I688" i="9"/>
  <c r="K688" i="9" s="1"/>
  <c r="CB688" i="9" s="1"/>
  <c r="I676" i="9"/>
  <c r="K676" i="9" s="1"/>
  <c r="CB676" i="9" s="1"/>
  <c r="I679" i="9"/>
  <c r="K679" i="9" s="1"/>
  <c r="CB679" i="9" s="1"/>
  <c r="AQ631" i="9"/>
  <c r="DH631" i="9" s="1"/>
  <c r="AA631" i="9"/>
  <c r="CR631" i="9" s="1"/>
  <c r="AP631" i="9"/>
  <c r="DG631" i="9" s="1"/>
  <c r="AE631" i="9"/>
  <c r="CV631" i="9" s="1"/>
  <c r="AL631" i="9"/>
  <c r="DC631" i="9" s="1"/>
  <c r="AF631" i="9"/>
  <c r="CW631" i="9" s="1"/>
  <c r="AM631" i="9"/>
  <c r="DD631" i="9" s="1"/>
  <c r="AC631" i="9"/>
  <c r="CT631" i="9" s="1"/>
  <c r="BH631" i="9"/>
  <c r="DY631" i="9" s="1"/>
  <c r="AR631" i="9"/>
  <c r="DI631" i="9" s="1"/>
  <c r="BF631" i="9"/>
  <c r="DW631" i="9" s="1"/>
  <c r="AZ631" i="9"/>
  <c r="DQ631" i="9" s="1"/>
  <c r="Z631" i="9"/>
  <c r="CQ631" i="9" s="1"/>
  <c r="AG631" i="9"/>
  <c r="CX631" i="9" s="1"/>
  <c r="BP631" i="9"/>
  <c r="EG631" i="9" s="1"/>
  <c r="AO631" i="9"/>
  <c r="DF631" i="9" s="1"/>
  <c r="AB631" i="9"/>
  <c r="CS631" i="9" s="1"/>
  <c r="AH631" i="9"/>
  <c r="CY631" i="9" s="1"/>
  <c r="AX631" i="9"/>
  <c r="DO631" i="9" s="1"/>
  <c r="AK631" i="9"/>
  <c r="DB631" i="9" s="1"/>
  <c r="AJ631" i="9"/>
  <c r="DA631" i="9" s="1"/>
  <c r="W631" i="9"/>
  <c r="CN631" i="9" s="1"/>
  <c r="AN631" i="9"/>
  <c r="DE631" i="9" s="1"/>
  <c r="BK631" i="9"/>
  <c r="EB631" i="9" s="1"/>
  <c r="BD631" i="9"/>
  <c r="DU631" i="9" s="1"/>
  <c r="BG631" i="9"/>
  <c r="DX631" i="9" s="1"/>
  <c r="V631" i="9"/>
  <c r="CM631" i="9" s="1"/>
  <c r="BN631" i="9"/>
  <c r="EE631" i="9" s="1"/>
  <c r="AY631" i="9"/>
  <c r="DP631" i="9" s="1"/>
  <c r="BA631" i="9"/>
  <c r="DR631" i="9" s="1"/>
  <c r="Y631" i="9"/>
  <c r="CP631" i="9" s="1"/>
  <c r="BQ631" i="9"/>
  <c r="EH631" i="9" s="1"/>
  <c r="BR631" i="9"/>
  <c r="EI631" i="9" s="1"/>
  <c r="BL631" i="9"/>
  <c r="EC631" i="9" s="1"/>
  <c r="U631" i="9"/>
  <c r="CL631" i="9" s="1"/>
  <c r="BI631" i="9"/>
  <c r="DZ631" i="9" s="1"/>
  <c r="AU631" i="9"/>
  <c r="DL631" i="9" s="1"/>
  <c r="BM631" i="9"/>
  <c r="ED631" i="9" s="1"/>
  <c r="AT631" i="9"/>
  <c r="DK631" i="9" s="1"/>
  <c r="BJ631" i="9"/>
  <c r="EA631" i="9" s="1"/>
  <c r="BO631" i="9"/>
  <c r="EF631" i="9" s="1"/>
  <c r="AD631" i="9"/>
  <c r="CU631" i="9" s="1"/>
  <c r="AS631" i="9"/>
  <c r="DJ631" i="9" s="1"/>
  <c r="X631" i="9"/>
  <c r="CO631" i="9" s="1"/>
  <c r="AI631" i="9"/>
  <c r="CZ631" i="9" s="1"/>
  <c r="AV631" i="9"/>
  <c r="DM631" i="9" s="1"/>
  <c r="BE631" i="9"/>
  <c r="DV631" i="9" s="1"/>
  <c r="BB631" i="9"/>
  <c r="DS631" i="9" s="1"/>
  <c r="AW631" i="9"/>
  <c r="DN631" i="9" s="1"/>
  <c r="BC631" i="9"/>
  <c r="DT631" i="9" s="1"/>
  <c r="O631" i="9"/>
  <c r="CF631" i="9" s="1"/>
  <c r="Q631" i="9"/>
  <c r="CH631" i="9" s="1"/>
  <c r="N631" i="9"/>
  <c r="CE631" i="9" s="1"/>
  <c r="R631" i="9"/>
  <c r="CI631" i="9" s="1"/>
  <c r="P631" i="9"/>
  <c r="CG631" i="9" s="1"/>
  <c r="T631" i="9"/>
  <c r="CK631" i="9" s="1"/>
  <c r="BO347" i="9"/>
  <c r="EF347" i="9" s="1"/>
  <c r="BD347" i="9"/>
  <c r="DU347" i="9" s="1"/>
  <c r="BB347" i="9"/>
  <c r="DS347" i="9" s="1"/>
  <c r="AP347" i="9"/>
  <c r="DG347" i="9" s="1"/>
  <c r="AQ347" i="9"/>
  <c r="DH347" i="9" s="1"/>
  <c r="AV347" i="9"/>
  <c r="DM347" i="9" s="1"/>
  <c r="AD347" i="9"/>
  <c r="CU347" i="9" s="1"/>
  <c r="U347" i="9"/>
  <c r="CL347" i="9" s="1"/>
  <c r="AI347" i="9"/>
  <c r="CZ347" i="9" s="1"/>
  <c r="AN347" i="9"/>
  <c r="DE347" i="9" s="1"/>
  <c r="BR347" i="9"/>
  <c r="EI347" i="9" s="1"/>
  <c r="BP347" i="9"/>
  <c r="EG347" i="9" s="1"/>
  <c r="AA347" i="9"/>
  <c r="CR347" i="9" s="1"/>
  <c r="AF347" i="9"/>
  <c r="CW347" i="9" s="1"/>
  <c r="AC347" i="9"/>
  <c r="CT347" i="9" s="1"/>
  <c r="BH347" i="9"/>
  <c r="DY347" i="9" s="1"/>
  <c r="BE347" i="9"/>
  <c r="DV347" i="9" s="1"/>
  <c r="X347" i="9"/>
  <c r="CO347" i="9" s="1"/>
  <c r="BQ347" i="9"/>
  <c r="EH347" i="9" s="1"/>
  <c r="AR347" i="9"/>
  <c r="DI347" i="9" s="1"/>
  <c r="AO347" i="9"/>
  <c r="DF347" i="9" s="1"/>
  <c r="AM347" i="9"/>
  <c r="DD347" i="9" s="1"/>
  <c r="AT347" i="9"/>
  <c r="DK347" i="9" s="1"/>
  <c r="AJ347" i="9"/>
  <c r="DA347" i="9" s="1"/>
  <c r="Y347" i="9"/>
  <c r="CP347" i="9" s="1"/>
  <c r="AE347" i="9"/>
  <c r="CV347" i="9" s="1"/>
  <c r="BN347" i="9"/>
  <c r="EE347" i="9" s="1"/>
  <c r="AB347" i="9"/>
  <c r="CS347" i="9" s="1"/>
  <c r="BL347" i="9"/>
  <c r="EC347" i="9" s="1"/>
  <c r="AL347" i="9"/>
  <c r="DC347" i="9" s="1"/>
  <c r="V347" i="9"/>
  <c r="CM347" i="9" s="1"/>
  <c r="BG347" i="9"/>
  <c r="DX347" i="9" s="1"/>
  <c r="AW347" i="9"/>
  <c r="DN347" i="9" s="1"/>
  <c r="AU347" i="9"/>
  <c r="DL347" i="9" s="1"/>
  <c r="BK347" i="9"/>
  <c r="EB347" i="9" s="1"/>
  <c r="BJ347" i="9"/>
  <c r="EA347" i="9" s="1"/>
  <c r="AY347" i="9"/>
  <c r="DP347" i="9" s="1"/>
  <c r="BF347" i="9"/>
  <c r="DW347" i="9" s="1"/>
  <c r="BM347" i="9"/>
  <c r="ED347" i="9" s="1"/>
  <c r="BC347" i="9"/>
  <c r="DT347" i="9" s="1"/>
  <c r="Z347" i="9"/>
  <c r="CQ347" i="9" s="1"/>
  <c r="AZ347" i="9"/>
  <c r="DQ347" i="9" s="1"/>
  <c r="AX347" i="9"/>
  <c r="DO347" i="9" s="1"/>
  <c r="AG347" i="9"/>
  <c r="CX347" i="9" s="1"/>
  <c r="BI347" i="9"/>
  <c r="DZ347" i="9" s="1"/>
  <c r="AH347" i="9"/>
  <c r="CY347" i="9" s="1"/>
  <c r="AS347" i="9"/>
  <c r="DJ347" i="9" s="1"/>
  <c r="W347" i="9"/>
  <c r="CN347" i="9" s="1"/>
  <c r="AK347" i="9"/>
  <c r="DB347" i="9" s="1"/>
  <c r="BA347" i="9"/>
  <c r="DR347" i="9" s="1"/>
  <c r="K347" i="9"/>
  <c r="CB347" i="9" s="1"/>
  <c r="Q347" i="9"/>
  <c r="CH347" i="9" s="1"/>
  <c r="T347" i="9"/>
  <c r="CK347" i="9" s="1"/>
  <c r="I502" i="9"/>
  <c r="I518" i="9"/>
  <c r="I519" i="9"/>
  <c r="I513" i="9"/>
  <c r="I516" i="9"/>
  <c r="I514" i="9"/>
  <c r="I520" i="9"/>
  <c r="I504" i="9"/>
  <c r="I512" i="9"/>
  <c r="I510" i="9"/>
  <c r="I503" i="9"/>
  <c r="I507" i="9"/>
  <c r="I508" i="9"/>
  <c r="Y318" i="9"/>
  <c r="CP318" i="9" s="1"/>
  <c r="BM318" i="9"/>
  <c r="ED318" i="9" s="1"/>
  <c r="AO318" i="9"/>
  <c r="DF318" i="9" s="1"/>
  <c r="AW318" i="9"/>
  <c r="DN318" i="9" s="1"/>
  <c r="AC318" i="9"/>
  <c r="CT318" i="9" s="1"/>
  <c r="BI318" i="9"/>
  <c r="DZ318" i="9" s="1"/>
  <c r="AP318" i="9"/>
  <c r="DG318" i="9" s="1"/>
  <c r="AM318" i="9"/>
  <c r="DD318" i="9" s="1"/>
  <c r="AD318" i="9"/>
  <c r="CU318" i="9" s="1"/>
  <c r="AQ318" i="9"/>
  <c r="DH318" i="9" s="1"/>
  <c r="AF318" i="9"/>
  <c r="CW318" i="9" s="1"/>
  <c r="BP318" i="9"/>
  <c r="EG318" i="9" s="1"/>
  <c r="U318" i="9"/>
  <c r="CL318" i="9" s="1"/>
  <c r="AN318" i="9"/>
  <c r="DE318" i="9" s="1"/>
  <c r="AH318" i="9"/>
  <c r="CY318" i="9" s="1"/>
  <c r="AE318" i="9"/>
  <c r="CV318" i="9" s="1"/>
  <c r="AG318" i="9"/>
  <c r="CX318" i="9" s="1"/>
  <c r="BR318" i="9"/>
  <c r="EI318" i="9" s="1"/>
  <c r="Z318" i="9"/>
  <c r="CQ318" i="9" s="1"/>
  <c r="AI318" i="9"/>
  <c r="CZ318" i="9" s="1"/>
  <c r="AB318" i="9"/>
  <c r="CS318" i="9" s="1"/>
  <c r="AX318" i="9"/>
  <c r="DO318" i="9" s="1"/>
  <c r="BF318" i="9"/>
  <c r="DW318" i="9" s="1"/>
  <c r="AJ318" i="9"/>
  <c r="DA318" i="9" s="1"/>
  <c r="BJ318" i="9"/>
  <c r="EA318" i="9" s="1"/>
  <c r="BH318" i="9"/>
  <c r="DY318" i="9" s="1"/>
  <c r="BB318" i="9"/>
  <c r="DS318" i="9" s="1"/>
  <c r="AK318" i="9"/>
  <c r="DB318" i="9" s="1"/>
  <c r="AV318" i="9"/>
  <c r="DM318" i="9" s="1"/>
  <c r="X318" i="9"/>
  <c r="CO318" i="9" s="1"/>
  <c r="V318" i="9"/>
  <c r="CM318" i="9" s="1"/>
  <c r="AR318" i="9"/>
  <c r="DI318" i="9" s="1"/>
  <c r="AS318" i="9"/>
  <c r="DJ318" i="9" s="1"/>
  <c r="BG318" i="9"/>
  <c r="DX318" i="9" s="1"/>
  <c r="AL318" i="9"/>
  <c r="DC318" i="9" s="1"/>
  <c r="W318" i="9"/>
  <c r="CN318" i="9" s="1"/>
  <c r="BO318" i="9"/>
  <c r="EF318" i="9" s="1"/>
  <c r="BQ318" i="9"/>
  <c r="EH318" i="9" s="1"/>
  <c r="BA318" i="9"/>
  <c r="DR318" i="9" s="1"/>
  <c r="AZ318" i="9"/>
  <c r="DQ318" i="9" s="1"/>
  <c r="BK318" i="9"/>
  <c r="EB318" i="9" s="1"/>
  <c r="AA318" i="9"/>
  <c r="CR318" i="9" s="1"/>
  <c r="AY318" i="9"/>
  <c r="DP318" i="9" s="1"/>
  <c r="BE318" i="9"/>
  <c r="DV318" i="9" s="1"/>
  <c r="BC318" i="9"/>
  <c r="DT318" i="9" s="1"/>
  <c r="AU318" i="9"/>
  <c r="DL318" i="9" s="1"/>
  <c r="AT318" i="9"/>
  <c r="DK318" i="9" s="1"/>
  <c r="BL318" i="9"/>
  <c r="EC318" i="9" s="1"/>
  <c r="BN318" i="9"/>
  <c r="EE318" i="9" s="1"/>
  <c r="BD318" i="9"/>
  <c r="DU318" i="9" s="1"/>
  <c r="R318" i="9"/>
  <c r="CI318" i="9" s="1"/>
  <c r="T318" i="9"/>
  <c r="CK318" i="9" s="1"/>
  <c r="P318" i="9"/>
  <c r="CG318" i="9" s="1"/>
  <c r="S318" i="9"/>
  <c r="CJ318" i="9" s="1"/>
  <c r="AI328" i="9"/>
  <c r="CZ328" i="9" s="1"/>
  <c r="X328" i="9"/>
  <c r="CO328" i="9" s="1"/>
  <c r="Y328" i="9"/>
  <c r="CP328" i="9" s="1"/>
  <c r="AW328" i="9"/>
  <c r="DN328" i="9" s="1"/>
  <c r="AB328" i="9"/>
  <c r="CS328" i="9" s="1"/>
  <c r="BF328" i="9"/>
  <c r="DW328" i="9" s="1"/>
  <c r="BR328" i="9"/>
  <c r="EI328" i="9" s="1"/>
  <c r="BQ328" i="9"/>
  <c r="EH328" i="9" s="1"/>
  <c r="AG328" i="9"/>
  <c r="CX328" i="9" s="1"/>
  <c r="AO328" i="9"/>
  <c r="DF328" i="9" s="1"/>
  <c r="AX328" i="9"/>
  <c r="DO328" i="9" s="1"/>
  <c r="BJ328" i="9"/>
  <c r="EA328" i="9" s="1"/>
  <c r="AK328" i="9"/>
  <c r="DB328" i="9" s="1"/>
  <c r="AE328" i="9"/>
  <c r="CV328" i="9" s="1"/>
  <c r="Z328" i="9"/>
  <c r="CQ328" i="9" s="1"/>
  <c r="AP328" i="9"/>
  <c r="DG328" i="9" s="1"/>
  <c r="BB328" i="9"/>
  <c r="DS328" i="9" s="1"/>
  <c r="W328" i="9"/>
  <c r="CN328" i="9" s="1"/>
  <c r="BI328" i="9"/>
  <c r="DZ328" i="9" s="1"/>
  <c r="AH328" i="9"/>
  <c r="CY328" i="9" s="1"/>
  <c r="AL328" i="9"/>
  <c r="DC328" i="9" s="1"/>
  <c r="BP328" i="9"/>
  <c r="EG328" i="9" s="1"/>
  <c r="AS328" i="9"/>
  <c r="DJ328" i="9" s="1"/>
  <c r="BO328" i="9"/>
  <c r="EF328" i="9" s="1"/>
  <c r="AV328" i="9"/>
  <c r="DM328" i="9" s="1"/>
  <c r="AD328" i="9"/>
  <c r="CU328" i="9" s="1"/>
  <c r="AJ328" i="9"/>
  <c r="DA328" i="9" s="1"/>
  <c r="AC328" i="9"/>
  <c r="CT328" i="9" s="1"/>
  <c r="BG328" i="9"/>
  <c r="DX328" i="9" s="1"/>
  <c r="AN328" i="9"/>
  <c r="DE328" i="9" s="1"/>
  <c r="V328" i="9"/>
  <c r="CM328" i="9" s="1"/>
  <c r="U328" i="9"/>
  <c r="CL328" i="9" s="1"/>
  <c r="BH328" i="9"/>
  <c r="DY328" i="9" s="1"/>
  <c r="AQ328" i="9"/>
  <c r="DH328" i="9" s="1"/>
  <c r="AF328" i="9"/>
  <c r="CW328" i="9" s="1"/>
  <c r="AM328" i="9"/>
  <c r="DD328" i="9" s="1"/>
  <c r="BM328" i="9"/>
  <c r="ED328" i="9" s="1"/>
  <c r="AR328" i="9"/>
  <c r="DI328" i="9" s="1"/>
  <c r="AZ328" i="9"/>
  <c r="DQ328" i="9" s="1"/>
  <c r="BN328" i="9"/>
  <c r="EE328" i="9" s="1"/>
  <c r="BC328" i="9"/>
  <c r="DT328" i="9" s="1"/>
  <c r="BK328" i="9"/>
  <c r="EB328" i="9" s="1"/>
  <c r="AT328" i="9"/>
  <c r="DK328" i="9" s="1"/>
  <c r="BD328" i="9"/>
  <c r="DU328" i="9" s="1"/>
  <c r="BE328" i="9"/>
  <c r="DV328" i="9" s="1"/>
  <c r="BL328" i="9"/>
  <c r="EC328" i="9" s="1"/>
  <c r="AA328" i="9"/>
  <c r="CR328" i="9" s="1"/>
  <c r="AY328" i="9"/>
  <c r="DP328" i="9" s="1"/>
  <c r="AU328" i="9"/>
  <c r="DL328" i="9" s="1"/>
  <c r="BA328" i="9"/>
  <c r="DR328" i="9" s="1"/>
  <c r="O328" i="9"/>
  <c r="CF328" i="9" s="1"/>
  <c r="R328" i="9"/>
  <c r="CI328" i="9" s="1"/>
  <c r="Q328" i="9"/>
  <c r="CH328" i="9" s="1"/>
  <c r="L386" i="9"/>
  <c r="CC386" i="9" s="1"/>
  <c r="I684" i="9"/>
  <c r="K684" i="9" s="1"/>
  <c r="CB684" i="9" s="1"/>
  <c r="I294" i="9"/>
  <c r="I511" i="9"/>
  <c r="V344" i="9"/>
  <c r="CM344" i="9" s="1"/>
  <c r="AP344" i="9"/>
  <c r="DG344" i="9" s="1"/>
  <c r="AA344" i="9"/>
  <c r="CR344" i="9" s="1"/>
  <c r="BR344" i="9"/>
  <c r="EI344" i="9" s="1"/>
  <c r="BP344" i="9"/>
  <c r="EG344" i="9" s="1"/>
  <c r="AD344" i="9"/>
  <c r="CU344" i="9" s="1"/>
  <c r="AV344" i="9"/>
  <c r="DM344" i="9" s="1"/>
  <c r="AR344" i="9"/>
  <c r="DI344" i="9" s="1"/>
  <c r="AO344" i="9"/>
  <c r="DF344" i="9" s="1"/>
  <c r="U344" i="9"/>
  <c r="CL344" i="9" s="1"/>
  <c r="AT344" i="9"/>
  <c r="DK344" i="9" s="1"/>
  <c r="BE344" i="9"/>
  <c r="DV344" i="9" s="1"/>
  <c r="Y344" i="9"/>
  <c r="CP344" i="9" s="1"/>
  <c r="AQ344" i="9"/>
  <c r="DH344" i="9" s="1"/>
  <c r="AF344" i="9"/>
  <c r="CW344" i="9" s="1"/>
  <c r="X344" i="9"/>
  <c r="CO344" i="9" s="1"/>
  <c r="BQ344" i="9"/>
  <c r="EH344" i="9" s="1"/>
  <c r="BH344" i="9"/>
  <c r="DY344" i="9" s="1"/>
  <c r="AC344" i="9"/>
  <c r="CT344" i="9" s="1"/>
  <c r="AB344" i="9"/>
  <c r="CS344" i="9" s="1"/>
  <c r="AE344" i="9"/>
  <c r="CV344" i="9" s="1"/>
  <c r="BO344" i="9"/>
  <c r="EF344" i="9" s="1"/>
  <c r="AL344" i="9"/>
  <c r="DC344" i="9" s="1"/>
  <c r="AI344" i="9"/>
  <c r="CZ344" i="9" s="1"/>
  <c r="BD344" i="9"/>
  <c r="DU344" i="9" s="1"/>
  <c r="BL344" i="9"/>
  <c r="EC344" i="9" s="1"/>
  <c r="BN344" i="9"/>
  <c r="EE344" i="9" s="1"/>
  <c r="BB344" i="9"/>
  <c r="DS344" i="9" s="1"/>
  <c r="AN344" i="9"/>
  <c r="DE344" i="9" s="1"/>
  <c r="AJ344" i="9"/>
  <c r="DA344" i="9" s="1"/>
  <c r="AM344" i="9"/>
  <c r="DD344" i="9" s="1"/>
  <c r="W344" i="9"/>
  <c r="CN344" i="9" s="1"/>
  <c r="AY344" i="9"/>
  <c r="DP344" i="9" s="1"/>
  <c r="BK344" i="9"/>
  <c r="EB344" i="9" s="1"/>
  <c r="BC344" i="9"/>
  <c r="DT344" i="9" s="1"/>
  <c r="AK344" i="9"/>
  <c r="DB344" i="9" s="1"/>
  <c r="AS344" i="9"/>
  <c r="DJ344" i="9" s="1"/>
  <c r="BG344" i="9"/>
  <c r="DX344" i="9" s="1"/>
  <c r="AZ344" i="9"/>
  <c r="DQ344" i="9" s="1"/>
  <c r="BA344" i="9"/>
  <c r="DR344" i="9" s="1"/>
  <c r="AW344" i="9"/>
  <c r="DN344" i="9" s="1"/>
  <c r="AH344" i="9"/>
  <c r="CY344" i="9" s="1"/>
  <c r="Z344" i="9"/>
  <c r="CQ344" i="9" s="1"/>
  <c r="AU344" i="9"/>
  <c r="DL344" i="9" s="1"/>
  <c r="BJ344" i="9"/>
  <c r="EA344" i="9" s="1"/>
  <c r="BF344" i="9"/>
  <c r="DW344" i="9" s="1"/>
  <c r="BM344" i="9"/>
  <c r="ED344" i="9" s="1"/>
  <c r="AX344" i="9"/>
  <c r="DO344" i="9" s="1"/>
  <c r="BI344" i="9"/>
  <c r="DZ344" i="9" s="1"/>
  <c r="AG344" i="9"/>
  <c r="CX344" i="9" s="1"/>
  <c r="S344" i="9"/>
  <c r="CJ344" i="9" s="1"/>
  <c r="K344" i="9"/>
  <c r="CB344" i="9" s="1"/>
  <c r="N344" i="9"/>
  <c r="CE344" i="9" s="1"/>
  <c r="M344" i="9"/>
  <c r="CD344" i="9" s="1"/>
  <c r="P344" i="9"/>
  <c r="CG344" i="9" s="1"/>
  <c r="BH416" i="9"/>
  <c r="DY416" i="9" s="1"/>
  <c r="AK416" i="9"/>
  <c r="DB416" i="9" s="1"/>
  <c r="AG416" i="9"/>
  <c r="CX416" i="9" s="1"/>
  <c r="BO416" i="9"/>
  <c r="EF416" i="9" s="1"/>
  <c r="BR416" i="9"/>
  <c r="EI416" i="9" s="1"/>
  <c r="AB416" i="9"/>
  <c r="CS416" i="9" s="1"/>
  <c r="BF416" i="9"/>
  <c r="DW416" i="9" s="1"/>
  <c r="W416" i="9"/>
  <c r="CN416" i="9" s="1"/>
  <c r="BP416" i="9"/>
  <c r="EG416" i="9" s="1"/>
  <c r="AO416" i="9"/>
  <c r="DF416" i="9" s="1"/>
  <c r="AT416" i="9"/>
  <c r="DK416" i="9" s="1"/>
  <c r="BA416" i="9"/>
  <c r="DR416" i="9" s="1"/>
  <c r="AV416" i="9"/>
  <c r="DM416" i="9" s="1"/>
  <c r="Y416" i="9"/>
  <c r="CP416" i="9" s="1"/>
  <c r="AZ416" i="9"/>
  <c r="DQ416" i="9" s="1"/>
  <c r="AE416" i="9"/>
  <c r="CV416" i="9" s="1"/>
  <c r="AF416" i="9"/>
  <c r="CW416" i="9" s="1"/>
  <c r="AU416" i="9"/>
  <c r="DL416" i="9" s="1"/>
  <c r="AL416" i="9"/>
  <c r="DC416" i="9" s="1"/>
  <c r="AH416" i="9"/>
  <c r="CY416" i="9" s="1"/>
  <c r="AN416" i="9"/>
  <c r="DE416" i="9" s="1"/>
  <c r="AI416" i="9"/>
  <c r="CZ416" i="9" s="1"/>
  <c r="BQ416" i="9"/>
  <c r="EH416" i="9" s="1"/>
  <c r="AM416" i="9"/>
  <c r="DD416" i="9" s="1"/>
  <c r="U416" i="9"/>
  <c r="CL416" i="9" s="1"/>
  <c r="Z416" i="9"/>
  <c r="CQ416" i="9" s="1"/>
  <c r="BB416" i="9"/>
  <c r="DS416" i="9" s="1"/>
  <c r="BG416" i="9"/>
  <c r="DX416" i="9" s="1"/>
  <c r="X416" i="9"/>
  <c r="CO416" i="9" s="1"/>
  <c r="AW416" i="9"/>
  <c r="DN416" i="9" s="1"/>
  <c r="BN416" i="9"/>
  <c r="EE416" i="9" s="1"/>
  <c r="V416" i="9"/>
  <c r="CM416" i="9" s="1"/>
  <c r="AJ416" i="9"/>
  <c r="DA416" i="9" s="1"/>
  <c r="BC416" i="9"/>
  <c r="DT416" i="9" s="1"/>
  <c r="AD416" i="9"/>
  <c r="CU416" i="9" s="1"/>
  <c r="AR416" i="9"/>
  <c r="DI416" i="9" s="1"/>
  <c r="BE416" i="9"/>
  <c r="DV416" i="9" s="1"/>
  <c r="BK416" i="9"/>
  <c r="EB416" i="9" s="1"/>
  <c r="AS416" i="9"/>
  <c r="DJ416" i="9" s="1"/>
  <c r="AQ416" i="9"/>
  <c r="DH416" i="9" s="1"/>
  <c r="AY416" i="9"/>
  <c r="DP416" i="9" s="1"/>
  <c r="BM416" i="9"/>
  <c r="ED416" i="9" s="1"/>
  <c r="BI416" i="9"/>
  <c r="DZ416" i="9" s="1"/>
  <c r="AC416" i="9"/>
  <c r="CT416" i="9" s="1"/>
  <c r="BJ416" i="9"/>
  <c r="EA416" i="9" s="1"/>
  <c r="AX416" i="9"/>
  <c r="DO416" i="9" s="1"/>
  <c r="BL416" i="9"/>
  <c r="EC416" i="9" s="1"/>
  <c r="BD416" i="9"/>
  <c r="DU416" i="9" s="1"/>
  <c r="AA416" i="9"/>
  <c r="CR416" i="9" s="1"/>
  <c r="AP416" i="9"/>
  <c r="DG416" i="9" s="1"/>
  <c r="T416" i="9"/>
  <c r="CK416" i="9" s="1"/>
  <c r="O416" i="9"/>
  <c r="CF416" i="9" s="1"/>
  <c r="N416" i="9"/>
  <c r="CE416" i="9" s="1"/>
  <c r="M416" i="9"/>
  <c r="CD416" i="9" s="1"/>
  <c r="I290" i="9"/>
  <c r="I593" i="9"/>
  <c r="S416" i="9"/>
  <c r="CJ416" i="9" s="1"/>
  <c r="N386" i="9"/>
  <c r="CE386" i="9" s="1"/>
  <c r="M386" i="9"/>
  <c r="CD386" i="9" s="1"/>
  <c r="P469" i="9"/>
  <c r="CG469" i="9" s="1"/>
  <c r="I295" i="9"/>
  <c r="I292" i="9"/>
  <c r="I304" i="9"/>
  <c r="P386" i="9"/>
  <c r="CG386" i="9" s="1"/>
  <c r="I301" i="9"/>
  <c r="AU673" i="9"/>
  <c r="DL673" i="9" s="1"/>
  <c r="AS673" i="9"/>
  <c r="DJ673" i="9" s="1"/>
  <c r="AX673" i="9"/>
  <c r="DO673" i="9" s="1"/>
  <c r="W673" i="9"/>
  <c r="CN673" i="9" s="1"/>
  <c r="BM673" i="9"/>
  <c r="ED673" i="9" s="1"/>
  <c r="BJ673" i="9"/>
  <c r="EA673" i="9" s="1"/>
  <c r="BC673" i="9"/>
  <c r="DT673" i="9" s="1"/>
  <c r="AO673" i="9"/>
  <c r="DF673" i="9" s="1"/>
  <c r="AB673" i="9"/>
  <c r="CS673" i="9" s="1"/>
  <c r="BQ673" i="9"/>
  <c r="EH673" i="9" s="1"/>
  <c r="BN673" i="9"/>
  <c r="EE673" i="9" s="1"/>
  <c r="AL673" i="9"/>
  <c r="DC673" i="9" s="1"/>
  <c r="BH673" i="9"/>
  <c r="DY673" i="9" s="1"/>
  <c r="BF673" i="9"/>
  <c r="DW673" i="9" s="1"/>
  <c r="AD673" i="9"/>
  <c r="CU673" i="9" s="1"/>
  <c r="BL673" i="9"/>
  <c r="EC673" i="9" s="1"/>
  <c r="BA673" i="9"/>
  <c r="DR673" i="9" s="1"/>
  <c r="BR673" i="9"/>
  <c r="EI673" i="9" s="1"/>
  <c r="BO673" i="9"/>
  <c r="EF673" i="9" s="1"/>
  <c r="X673" i="9"/>
  <c r="CO673" i="9" s="1"/>
  <c r="BD673" i="9"/>
  <c r="DU673" i="9" s="1"/>
  <c r="AN673" i="9"/>
  <c r="DE673" i="9" s="1"/>
  <c r="AQ673" i="9"/>
  <c r="DH673" i="9" s="1"/>
  <c r="V673" i="9"/>
  <c r="CM673" i="9" s="1"/>
  <c r="AH673" i="9"/>
  <c r="CY673" i="9" s="1"/>
  <c r="BK673" i="9"/>
  <c r="EB673" i="9" s="1"/>
  <c r="AP673" i="9"/>
  <c r="DG673" i="9" s="1"/>
  <c r="BG673" i="9"/>
  <c r="DX673" i="9" s="1"/>
  <c r="AT673" i="9"/>
  <c r="DK673" i="9" s="1"/>
  <c r="BI673" i="9"/>
  <c r="DZ673" i="9" s="1"/>
  <c r="AA673" i="9"/>
  <c r="CR673" i="9" s="1"/>
  <c r="AI673" i="9"/>
  <c r="CZ673" i="9" s="1"/>
  <c r="AM673" i="9"/>
  <c r="DD673" i="9" s="1"/>
  <c r="AR673" i="9"/>
  <c r="DI673" i="9" s="1"/>
  <c r="AC673" i="9"/>
  <c r="CT673" i="9" s="1"/>
  <c r="U673" i="9"/>
  <c r="CL673" i="9" s="1"/>
  <c r="Z673" i="9"/>
  <c r="CQ673" i="9" s="1"/>
  <c r="AV673" i="9"/>
  <c r="DM673" i="9" s="1"/>
  <c r="AJ673" i="9"/>
  <c r="DA673" i="9" s="1"/>
  <c r="AF673" i="9"/>
  <c r="CW673" i="9" s="1"/>
  <c r="BE673" i="9"/>
  <c r="DV673" i="9" s="1"/>
  <c r="Y673" i="9"/>
  <c r="CP673" i="9" s="1"/>
  <c r="AG673" i="9"/>
  <c r="CX673" i="9" s="1"/>
  <c r="BB673" i="9"/>
  <c r="DS673" i="9" s="1"/>
  <c r="AW673" i="9"/>
  <c r="DN673" i="9" s="1"/>
  <c r="AZ673" i="9"/>
  <c r="DQ673" i="9" s="1"/>
  <c r="AY673" i="9"/>
  <c r="DP673" i="9" s="1"/>
  <c r="AE673" i="9"/>
  <c r="CV673" i="9" s="1"/>
  <c r="BP673" i="9"/>
  <c r="EG673" i="9" s="1"/>
  <c r="AK673" i="9"/>
  <c r="DB673" i="9" s="1"/>
  <c r="Q673" i="9"/>
  <c r="CH673" i="9" s="1"/>
  <c r="M673" i="9"/>
  <c r="CD673" i="9" s="1"/>
  <c r="N673" i="9"/>
  <c r="CE673" i="9" s="1"/>
  <c r="P673" i="9"/>
  <c r="CG673" i="9" s="1"/>
  <c r="AX465" i="9"/>
  <c r="DO465" i="9" s="1"/>
  <c r="AC465" i="9"/>
  <c r="CT465" i="9" s="1"/>
  <c r="AD465" i="9"/>
  <c r="CU465" i="9" s="1"/>
  <c r="U465" i="9"/>
  <c r="CL465" i="9" s="1"/>
  <c r="AJ465" i="9"/>
  <c r="DA465" i="9" s="1"/>
  <c r="AS465" i="9"/>
  <c r="DJ465" i="9" s="1"/>
  <c r="AR465" i="9"/>
  <c r="DI465" i="9" s="1"/>
  <c r="BM465" i="9"/>
  <c r="ED465" i="9" s="1"/>
  <c r="AL465" i="9"/>
  <c r="DC465" i="9" s="1"/>
  <c r="BN465" i="9"/>
  <c r="EE465" i="9" s="1"/>
  <c r="AP465" i="9"/>
  <c r="DG465" i="9" s="1"/>
  <c r="AN465" i="9"/>
  <c r="DE465" i="9" s="1"/>
  <c r="AY465" i="9"/>
  <c r="DP465" i="9" s="1"/>
  <c r="AQ465" i="9"/>
  <c r="DH465" i="9" s="1"/>
  <c r="AF465" i="9"/>
  <c r="CW465" i="9" s="1"/>
  <c r="AG465" i="9"/>
  <c r="CX465" i="9" s="1"/>
  <c r="AH465" i="9"/>
  <c r="CY465" i="9" s="1"/>
  <c r="W465" i="9"/>
  <c r="CN465" i="9" s="1"/>
  <c r="AB465" i="9"/>
  <c r="CS465" i="9" s="1"/>
  <c r="Z465" i="9"/>
  <c r="CQ465" i="9" s="1"/>
  <c r="BF465" i="9"/>
  <c r="DW465" i="9" s="1"/>
  <c r="AA465" i="9"/>
  <c r="CR465" i="9" s="1"/>
  <c r="BO465" i="9"/>
  <c r="EF465" i="9" s="1"/>
  <c r="BG465" i="9"/>
  <c r="DX465" i="9" s="1"/>
  <c r="V465" i="9"/>
  <c r="CM465" i="9" s="1"/>
  <c r="Y465" i="9"/>
  <c r="CP465" i="9" s="1"/>
  <c r="BK465" i="9"/>
  <c r="EB465" i="9" s="1"/>
  <c r="BA465" i="9"/>
  <c r="DR465" i="9" s="1"/>
  <c r="AE465" i="9"/>
  <c r="CV465" i="9" s="1"/>
  <c r="BB465" i="9"/>
  <c r="DS465" i="9" s="1"/>
  <c r="AI465" i="9"/>
  <c r="CZ465" i="9" s="1"/>
  <c r="BD465" i="9"/>
  <c r="DU465" i="9" s="1"/>
  <c r="AW465" i="9"/>
  <c r="DN465" i="9" s="1"/>
  <c r="AU465" i="9"/>
  <c r="DL465" i="9" s="1"/>
  <c r="BL465" i="9"/>
  <c r="EC465" i="9" s="1"/>
  <c r="BP465" i="9"/>
  <c r="EG465" i="9" s="1"/>
  <c r="X465" i="9"/>
  <c r="CO465" i="9" s="1"/>
  <c r="BE465" i="9"/>
  <c r="DV465" i="9" s="1"/>
  <c r="BC465" i="9"/>
  <c r="DT465" i="9" s="1"/>
  <c r="AM465" i="9"/>
  <c r="DD465" i="9" s="1"/>
  <c r="BH465" i="9"/>
  <c r="DY465" i="9" s="1"/>
  <c r="BI465" i="9"/>
  <c r="DZ465" i="9" s="1"/>
  <c r="BQ465" i="9"/>
  <c r="EH465" i="9" s="1"/>
  <c r="AK465" i="9"/>
  <c r="DB465" i="9" s="1"/>
  <c r="AT465" i="9"/>
  <c r="DK465" i="9" s="1"/>
  <c r="BJ465" i="9"/>
  <c r="EA465" i="9" s="1"/>
  <c r="BR465" i="9"/>
  <c r="EI465" i="9" s="1"/>
  <c r="AV465" i="9"/>
  <c r="DM465" i="9" s="1"/>
  <c r="AZ465" i="9"/>
  <c r="DQ465" i="9" s="1"/>
  <c r="AO465" i="9"/>
  <c r="DF465" i="9" s="1"/>
  <c r="P465" i="9"/>
  <c r="CG465" i="9" s="1"/>
  <c r="K465" i="9"/>
  <c r="CB465" i="9" s="1"/>
  <c r="Q465" i="9"/>
  <c r="CH465" i="9" s="1"/>
  <c r="S465" i="9"/>
  <c r="CJ465" i="9" s="1"/>
  <c r="O465" i="9"/>
  <c r="CF465" i="9" s="1"/>
  <c r="R465" i="9"/>
  <c r="CI465" i="9" s="1"/>
  <c r="Q515" i="9"/>
  <c r="CH515" i="9" s="1"/>
  <c r="N413" i="9"/>
  <c r="CE413" i="9" s="1"/>
  <c r="BL367" i="9"/>
  <c r="EC367" i="9" s="1"/>
  <c r="BQ367" i="9"/>
  <c r="EH367" i="9" s="1"/>
  <c r="AO367" i="9"/>
  <c r="DF367" i="9" s="1"/>
  <c r="AF367" i="9"/>
  <c r="CW367" i="9" s="1"/>
  <c r="AY367" i="9"/>
  <c r="DP367" i="9" s="1"/>
  <c r="AD367" i="9"/>
  <c r="CU367" i="9" s="1"/>
  <c r="U367" i="9"/>
  <c r="CL367" i="9" s="1"/>
  <c r="BR367" i="9"/>
  <c r="EI367" i="9" s="1"/>
  <c r="AI367" i="9"/>
  <c r="CZ367" i="9" s="1"/>
  <c r="AL367" i="9"/>
  <c r="DC367" i="9" s="1"/>
  <c r="AC367" i="9"/>
  <c r="CT367" i="9" s="1"/>
  <c r="BH367" i="9"/>
  <c r="DY367" i="9" s="1"/>
  <c r="AV367" i="9"/>
  <c r="DM367" i="9" s="1"/>
  <c r="AR367" i="9"/>
  <c r="DI367" i="9" s="1"/>
  <c r="AE367" i="9"/>
  <c r="CV367" i="9" s="1"/>
  <c r="AQ367" i="9"/>
  <c r="DH367" i="9" s="1"/>
  <c r="AZ367" i="9"/>
  <c r="DQ367" i="9" s="1"/>
  <c r="AT367" i="9"/>
  <c r="DK367" i="9" s="1"/>
  <c r="AG367" i="9"/>
  <c r="CX367" i="9" s="1"/>
  <c r="BI367" i="9"/>
  <c r="DZ367" i="9" s="1"/>
  <c r="BO367" i="9"/>
  <c r="EF367" i="9" s="1"/>
  <c r="W367" i="9"/>
  <c r="CN367" i="9" s="1"/>
  <c r="BP367" i="9"/>
  <c r="EG367" i="9" s="1"/>
  <c r="BC367" i="9"/>
  <c r="DT367" i="9" s="1"/>
  <c r="BE367" i="9"/>
  <c r="DV367" i="9" s="1"/>
  <c r="V367" i="9"/>
  <c r="CM367" i="9" s="1"/>
  <c r="Y367" i="9"/>
  <c r="CP367" i="9" s="1"/>
  <c r="BA367" i="9"/>
  <c r="DR367" i="9" s="1"/>
  <c r="AS367" i="9"/>
  <c r="DJ367" i="9" s="1"/>
  <c r="AU367" i="9"/>
  <c r="DL367" i="9" s="1"/>
  <c r="BG367" i="9"/>
  <c r="DX367" i="9" s="1"/>
  <c r="AM367" i="9"/>
  <c r="DD367" i="9" s="1"/>
  <c r="AK367" i="9"/>
  <c r="DB367" i="9" s="1"/>
  <c r="AA367" i="9"/>
  <c r="CR367" i="9" s="1"/>
  <c r="AH367" i="9"/>
  <c r="CY367" i="9" s="1"/>
  <c r="BB367" i="9"/>
  <c r="DS367" i="9" s="1"/>
  <c r="Z367" i="9"/>
  <c r="CQ367" i="9" s="1"/>
  <c r="BK367" i="9"/>
  <c r="EB367" i="9" s="1"/>
  <c r="BF367" i="9"/>
  <c r="DW367" i="9" s="1"/>
  <c r="AP367" i="9"/>
  <c r="DG367" i="9" s="1"/>
  <c r="AX367" i="9"/>
  <c r="DO367" i="9" s="1"/>
  <c r="AJ367" i="9"/>
  <c r="DA367" i="9" s="1"/>
  <c r="AN367" i="9"/>
  <c r="DE367" i="9" s="1"/>
  <c r="BM367" i="9"/>
  <c r="ED367" i="9" s="1"/>
  <c r="AW367" i="9"/>
  <c r="DN367" i="9" s="1"/>
  <c r="AB367" i="9"/>
  <c r="CS367" i="9" s="1"/>
  <c r="BJ367" i="9"/>
  <c r="EA367" i="9" s="1"/>
  <c r="X367" i="9"/>
  <c r="CO367" i="9" s="1"/>
  <c r="BN367" i="9"/>
  <c r="EE367" i="9" s="1"/>
  <c r="BD367" i="9"/>
  <c r="DU367" i="9" s="1"/>
  <c r="R367" i="9"/>
  <c r="CI367" i="9" s="1"/>
  <c r="Q367" i="9"/>
  <c r="CH367" i="9" s="1"/>
  <c r="O367" i="9"/>
  <c r="CF367" i="9" s="1"/>
  <c r="L367" i="9"/>
  <c r="CC367" i="9" s="1"/>
  <c r="S367" i="9"/>
  <c r="CJ367" i="9" s="1"/>
  <c r="N367" i="9"/>
  <c r="CE367" i="9" s="1"/>
  <c r="P367" i="9"/>
  <c r="CG367" i="9" s="1"/>
  <c r="K367" i="9"/>
  <c r="CB367" i="9" s="1"/>
  <c r="T367" i="9"/>
  <c r="CK367" i="9" s="1"/>
  <c r="M367" i="9"/>
  <c r="CD367" i="9" s="1"/>
  <c r="I682" i="9"/>
  <c r="K682" i="9" s="1"/>
  <c r="CB682" i="9" s="1"/>
  <c r="BN276" i="9"/>
  <c r="EE276" i="9" s="1"/>
  <c r="Y276" i="9"/>
  <c r="CP276" i="9" s="1"/>
  <c r="V276" i="9"/>
  <c r="CM276" i="9" s="1"/>
  <c r="BF276" i="9"/>
  <c r="DW276" i="9" s="1"/>
  <c r="AN276" i="9"/>
  <c r="DE276" i="9" s="1"/>
  <c r="AK276" i="9"/>
  <c r="DB276" i="9" s="1"/>
  <c r="AX276" i="9"/>
  <c r="DO276" i="9" s="1"/>
  <c r="AF276" i="9"/>
  <c r="CW276" i="9" s="1"/>
  <c r="AC276" i="9"/>
  <c r="CT276" i="9" s="1"/>
  <c r="AP276" i="9"/>
  <c r="DG276" i="9" s="1"/>
  <c r="X276" i="9"/>
  <c r="CO276" i="9" s="1"/>
  <c r="AJ276" i="9"/>
  <c r="DA276" i="9" s="1"/>
  <c r="BO276" i="9"/>
  <c r="EF276" i="9" s="1"/>
  <c r="Z276" i="9"/>
  <c r="CQ276" i="9" s="1"/>
  <c r="AE276" i="9"/>
  <c r="CV276" i="9" s="1"/>
  <c r="AB276" i="9"/>
  <c r="CS276" i="9" s="1"/>
  <c r="BG276" i="9"/>
  <c r="DX276" i="9" s="1"/>
  <c r="BM276" i="9"/>
  <c r="ED276" i="9" s="1"/>
  <c r="W276" i="9"/>
  <c r="CN276" i="9" s="1"/>
  <c r="AR276" i="9"/>
  <c r="DI276" i="9" s="1"/>
  <c r="AY276" i="9"/>
  <c r="DP276" i="9" s="1"/>
  <c r="AW276" i="9"/>
  <c r="DN276" i="9" s="1"/>
  <c r="AL276" i="9"/>
  <c r="DC276" i="9" s="1"/>
  <c r="AA276" i="9"/>
  <c r="CR276" i="9" s="1"/>
  <c r="AG276" i="9"/>
  <c r="CX276" i="9" s="1"/>
  <c r="AD276" i="9"/>
  <c r="CU276" i="9" s="1"/>
  <c r="BJ276" i="9"/>
  <c r="EA276" i="9" s="1"/>
  <c r="U276" i="9"/>
  <c r="CL276" i="9" s="1"/>
  <c r="AU276" i="9"/>
  <c r="DL276" i="9" s="1"/>
  <c r="AV276" i="9"/>
  <c r="DM276" i="9" s="1"/>
  <c r="BD276" i="9"/>
  <c r="DU276" i="9" s="1"/>
  <c r="BH276" i="9"/>
  <c r="DY276" i="9" s="1"/>
  <c r="AT276" i="9"/>
  <c r="DK276" i="9" s="1"/>
  <c r="BR276" i="9"/>
  <c r="EI276" i="9" s="1"/>
  <c r="BB276" i="9"/>
  <c r="DS276" i="9" s="1"/>
  <c r="AM276" i="9"/>
  <c r="DD276" i="9" s="1"/>
  <c r="BL276" i="9"/>
  <c r="EC276" i="9" s="1"/>
  <c r="BQ276" i="9"/>
  <c r="EH276" i="9" s="1"/>
  <c r="BC276" i="9"/>
  <c r="DT276" i="9" s="1"/>
  <c r="AI276" i="9"/>
  <c r="CZ276" i="9" s="1"/>
  <c r="AS276" i="9"/>
  <c r="DJ276" i="9" s="1"/>
  <c r="BP276" i="9"/>
  <c r="EG276" i="9" s="1"/>
  <c r="AH276" i="9"/>
  <c r="CY276" i="9" s="1"/>
  <c r="BI276" i="9"/>
  <c r="DZ276" i="9" s="1"/>
  <c r="BK276" i="9"/>
  <c r="EB276" i="9" s="1"/>
  <c r="BE276" i="9"/>
  <c r="DV276" i="9" s="1"/>
  <c r="AQ276" i="9"/>
  <c r="DH276" i="9" s="1"/>
  <c r="AO276" i="9"/>
  <c r="DF276" i="9" s="1"/>
  <c r="AZ276" i="9"/>
  <c r="DQ276" i="9" s="1"/>
  <c r="BA276" i="9"/>
  <c r="DR276" i="9" s="1"/>
  <c r="N276" i="9"/>
  <c r="CE276" i="9" s="1"/>
  <c r="K276" i="9"/>
  <c r="CB276" i="9" s="1"/>
  <c r="I286" i="9"/>
  <c r="I506" i="9"/>
  <c r="I425" i="9"/>
  <c r="AE316" i="9"/>
  <c r="CV316" i="9" s="1"/>
  <c r="AP316" i="9"/>
  <c r="DG316" i="9" s="1"/>
  <c r="AG316" i="9"/>
  <c r="CX316" i="9" s="1"/>
  <c r="W316" i="9"/>
  <c r="CN316" i="9" s="1"/>
  <c r="BH316" i="9"/>
  <c r="DY316" i="9" s="1"/>
  <c r="AN316" i="9"/>
  <c r="DE316" i="9" s="1"/>
  <c r="AV316" i="9"/>
  <c r="DM316" i="9" s="1"/>
  <c r="AS316" i="9"/>
  <c r="DJ316" i="9" s="1"/>
  <c r="Z316" i="9"/>
  <c r="CQ316" i="9" s="1"/>
  <c r="BQ316" i="9"/>
  <c r="EH316" i="9" s="1"/>
  <c r="BI316" i="9"/>
  <c r="DZ316" i="9" s="1"/>
  <c r="AD316" i="9"/>
  <c r="CU316" i="9" s="1"/>
  <c r="BR316" i="9"/>
  <c r="EI316" i="9" s="1"/>
  <c r="AI316" i="9"/>
  <c r="CZ316" i="9" s="1"/>
  <c r="V316" i="9"/>
  <c r="CM316" i="9" s="1"/>
  <c r="AX316" i="9"/>
  <c r="DO316" i="9" s="1"/>
  <c r="Y316" i="9"/>
  <c r="CP316" i="9" s="1"/>
  <c r="AM316" i="9"/>
  <c r="DD316" i="9" s="1"/>
  <c r="BF316" i="9"/>
  <c r="DW316" i="9" s="1"/>
  <c r="AK316" i="9"/>
  <c r="DB316" i="9" s="1"/>
  <c r="AJ316" i="9"/>
  <c r="DA316" i="9" s="1"/>
  <c r="AO316" i="9"/>
  <c r="DF316" i="9" s="1"/>
  <c r="BJ316" i="9"/>
  <c r="EA316" i="9" s="1"/>
  <c r="AW316" i="9"/>
  <c r="DN316" i="9" s="1"/>
  <c r="AH316" i="9"/>
  <c r="CY316" i="9" s="1"/>
  <c r="AR316" i="9"/>
  <c r="DI316" i="9" s="1"/>
  <c r="AQ316" i="9"/>
  <c r="DH316" i="9" s="1"/>
  <c r="AB316" i="9"/>
  <c r="CS316" i="9" s="1"/>
  <c r="X316" i="9"/>
  <c r="CO316" i="9" s="1"/>
  <c r="BM316" i="9"/>
  <c r="ED316" i="9" s="1"/>
  <c r="U316" i="9"/>
  <c r="CL316" i="9" s="1"/>
  <c r="BO316" i="9"/>
  <c r="EF316" i="9" s="1"/>
  <c r="AL316" i="9"/>
  <c r="DC316" i="9" s="1"/>
  <c r="AF316" i="9"/>
  <c r="CW316" i="9" s="1"/>
  <c r="BG316" i="9"/>
  <c r="DX316" i="9" s="1"/>
  <c r="BP316" i="9"/>
  <c r="EG316" i="9" s="1"/>
  <c r="AC316" i="9"/>
  <c r="CT316" i="9" s="1"/>
  <c r="BB316" i="9"/>
  <c r="DS316" i="9" s="1"/>
  <c r="AA316" i="9"/>
  <c r="CR316" i="9" s="1"/>
  <c r="BN316" i="9"/>
  <c r="EE316" i="9" s="1"/>
  <c r="BD316" i="9"/>
  <c r="DU316" i="9" s="1"/>
  <c r="AU316" i="9"/>
  <c r="DL316" i="9" s="1"/>
  <c r="BL316" i="9"/>
  <c r="EC316" i="9" s="1"/>
  <c r="AY316" i="9"/>
  <c r="DP316" i="9" s="1"/>
  <c r="BC316" i="9"/>
  <c r="DT316" i="9" s="1"/>
  <c r="BK316" i="9"/>
  <c r="EB316" i="9" s="1"/>
  <c r="BE316" i="9"/>
  <c r="DV316" i="9" s="1"/>
  <c r="BA316" i="9"/>
  <c r="DR316" i="9" s="1"/>
  <c r="AZ316" i="9"/>
  <c r="DQ316" i="9" s="1"/>
  <c r="AT316" i="9"/>
  <c r="DK316" i="9" s="1"/>
  <c r="S316" i="9"/>
  <c r="CJ316" i="9" s="1"/>
  <c r="M316" i="9"/>
  <c r="CD316" i="9" s="1"/>
  <c r="K316" i="9"/>
  <c r="CB316" i="9" s="1"/>
  <c r="N316" i="9"/>
  <c r="CE316" i="9" s="1"/>
  <c r="BR313" i="9"/>
  <c r="EI313" i="9" s="1"/>
  <c r="AS313" i="9"/>
  <c r="DJ313" i="9" s="1"/>
  <c r="AB313" i="9"/>
  <c r="CS313" i="9" s="1"/>
  <c r="AH313" i="9"/>
  <c r="CY313" i="9" s="1"/>
  <c r="AV313" i="9"/>
  <c r="DM313" i="9" s="1"/>
  <c r="BJ313" i="9"/>
  <c r="EA313" i="9" s="1"/>
  <c r="AK313" i="9"/>
  <c r="DB313" i="9" s="1"/>
  <c r="BO313" i="9"/>
  <c r="EF313" i="9" s="1"/>
  <c r="Z313" i="9"/>
  <c r="CQ313" i="9" s="1"/>
  <c r="AN313" i="9"/>
  <c r="DE313" i="9" s="1"/>
  <c r="BB313" i="9"/>
  <c r="DS313" i="9" s="1"/>
  <c r="AC313" i="9"/>
  <c r="CT313" i="9" s="1"/>
  <c r="BG313" i="9"/>
  <c r="DX313" i="9" s="1"/>
  <c r="BM313" i="9"/>
  <c r="ED313" i="9" s="1"/>
  <c r="AF313" i="9"/>
  <c r="CW313" i="9" s="1"/>
  <c r="AL313" i="9"/>
  <c r="DC313" i="9" s="1"/>
  <c r="U313" i="9"/>
  <c r="CL313" i="9" s="1"/>
  <c r="AQ313" i="9"/>
  <c r="DH313" i="9" s="1"/>
  <c r="AW313" i="9"/>
  <c r="DN313" i="9" s="1"/>
  <c r="X313" i="9"/>
  <c r="CO313" i="9" s="1"/>
  <c r="AD313" i="9"/>
  <c r="CU313" i="9" s="1"/>
  <c r="BP313" i="9"/>
  <c r="EG313" i="9" s="1"/>
  <c r="AI313" i="9"/>
  <c r="CZ313" i="9" s="1"/>
  <c r="AO313" i="9"/>
  <c r="DF313" i="9" s="1"/>
  <c r="AM313" i="9"/>
  <c r="DD313" i="9" s="1"/>
  <c r="V313" i="9"/>
  <c r="CM313" i="9" s="1"/>
  <c r="BH313" i="9"/>
  <c r="DY313" i="9" s="1"/>
  <c r="BF313" i="9"/>
  <c r="DW313" i="9" s="1"/>
  <c r="AG313" i="9"/>
  <c r="CX313" i="9" s="1"/>
  <c r="AE313" i="9"/>
  <c r="CV313" i="9" s="1"/>
  <c r="BQ313" i="9"/>
  <c r="EH313" i="9" s="1"/>
  <c r="AR313" i="9"/>
  <c r="DI313" i="9" s="1"/>
  <c r="AX313" i="9"/>
  <c r="DO313" i="9" s="1"/>
  <c r="Y313" i="9"/>
  <c r="CP313" i="9" s="1"/>
  <c r="W313" i="9"/>
  <c r="CN313" i="9" s="1"/>
  <c r="BI313" i="9"/>
  <c r="DZ313" i="9" s="1"/>
  <c r="AJ313" i="9"/>
  <c r="DA313" i="9" s="1"/>
  <c r="AP313" i="9"/>
  <c r="DG313" i="9" s="1"/>
  <c r="AZ313" i="9"/>
  <c r="DQ313" i="9" s="1"/>
  <c r="BE313" i="9"/>
  <c r="DV313" i="9" s="1"/>
  <c r="BD313" i="9"/>
  <c r="DU313" i="9" s="1"/>
  <c r="AT313" i="9"/>
  <c r="DK313" i="9" s="1"/>
  <c r="AY313" i="9"/>
  <c r="DP313" i="9" s="1"/>
  <c r="BL313" i="9"/>
  <c r="EC313" i="9" s="1"/>
  <c r="BC313" i="9"/>
  <c r="DT313" i="9" s="1"/>
  <c r="BA313" i="9"/>
  <c r="DR313" i="9" s="1"/>
  <c r="AU313" i="9"/>
  <c r="DL313" i="9" s="1"/>
  <c r="BN313" i="9"/>
  <c r="EE313" i="9" s="1"/>
  <c r="AA313" i="9"/>
  <c r="CR313" i="9" s="1"/>
  <c r="BK313" i="9"/>
  <c r="EB313" i="9" s="1"/>
  <c r="Q313" i="9"/>
  <c r="CH313" i="9" s="1"/>
  <c r="R313" i="9"/>
  <c r="CI313" i="9" s="1"/>
  <c r="T313" i="9"/>
  <c r="CK313" i="9" s="1"/>
  <c r="O313" i="9"/>
  <c r="CF313" i="9" s="1"/>
  <c r="N313" i="9"/>
  <c r="CE313" i="9" s="1"/>
  <c r="P313" i="9"/>
  <c r="CG313" i="9" s="1"/>
  <c r="K313" i="9"/>
  <c r="CB313" i="9" s="1"/>
  <c r="U319" i="9"/>
  <c r="CL319" i="9" s="1"/>
  <c r="AB319" i="9"/>
  <c r="CS319" i="9" s="1"/>
  <c r="AC319" i="9"/>
  <c r="CT319" i="9" s="1"/>
  <c r="AK319" i="9"/>
  <c r="DB319" i="9" s="1"/>
  <c r="BO319" i="9"/>
  <c r="EF319" i="9" s="1"/>
  <c r="AM319" i="9"/>
  <c r="DD319" i="9" s="1"/>
  <c r="AD319" i="9"/>
  <c r="CU319" i="9" s="1"/>
  <c r="BM319" i="9"/>
  <c r="ED319" i="9" s="1"/>
  <c r="AN319" i="9"/>
  <c r="DE319" i="9" s="1"/>
  <c r="AV319" i="9"/>
  <c r="DM319" i="9" s="1"/>
  <c r="BQ319" i="9"/>
  <c r="EH319" i="9" s="1"/>
  <c r="AI319" i="9"/>
  <c r="CZ319" i="9" s="1"/>
  <c r="X319" i="9"/>
  <c r="CO319" i="9" s="1"/>
  <c r="BI319" i="9"/>
  <c r="DZ319" i="9" s="1"/>
  <c r="AP319" i="9"/>
  <c r="DG319" i="9" s="1"/>
  <c r="AG319" i="9"/>
  <c r="CX319" i="9" s="1"/>
  <c r="BF319" i="9"/>
  <c r="DW319" i="9" s="1"/>
  <c r="V319" i="9"/>
  <c r="CM319" i="9" s="1"/>
  <c r="AL319" i="9"/>
  <c r="DC319" i="9" s="1"/>
  <c r="AE319" i="9"/>
  <c r="CV319" i="9" s="1"/>
  <c r="AS319" i="9"/>
  <c r="DJ319" i="9" s="1"/>
  <c r="AH319" i="9"/>
  <c r="CY319" i="9" s="1"/>
  <c r="AX319" i="9"/>
  <c r="DO319" i="9" s="1"/>
  <c r="BG319" i="9"/>
  <c r="DX319" i="9" s="1"/>
  <c r="AW319" i="9"/>
  <c r="DN319" i="9" s="1"/>
  <c r="W319" i="9"/>
  <c r="CN319" i="9" s="1"/>
  <c r="BP319" i="9"/>
  <c r="EG319" i="9" s="1"/>
  <c r="AJ319" i="9"/>
  <c r="DA319" i="9" s="1"/>
  <c r="BB319" i="9"/>
  <c r="DS319" i="9" s="1"/>
  <c r="BR319" i="9"/>
  <c r="EI319" i="9" s="1"/>
  <c r="BH319" i="9"/>
  <c r="DY319" i="9" s="1"/>
  <c r="AO319" i="9"/>
  <c r="DF319" i="9" s="1"/>
  <c r="AF319" i="9"/>
  <c r="CW319" i="9" s="1"/>
  <c r="BJ319" i="9"/>
  <c r="EA319" i="9" s="1"/>
  <c r="Y319" i="9"/>
  <c r="CP319" i="9" s="1"/>
  <c r="AQ319" i="9"/>
  <c r="DH319" i="9" s="1"/>
  <c r="Z319" i="9"/>
  <c r="CQ319" i="9" s="1"/>
  <c r="AR319" i="9"/>
  <c r="DI319" i="9" s="1"/>
  <c r="AU319" i="9"/>
  <c r="DL319" i="9" s="1"/>
  <c r="AZ319" i="9"/>
  <c r="DQ319" i="9" s="1"/>
  <c r="BN319" i="9"/>
  <c r="EE319" i="9" s="1"/>
  <c r="AA319" i="9"/>
  <c r="CR319" i="9" s="1"/>
  <c r="AY319" i="9"/>
  <c r="DP319" i="9" s="1"/>
  <c r="BA319" i="9"/>
  <c r="DR319" i="9" s="1"/>
  <c r="BC319" i="9"/>
  <c r="DT319" i="9" s="1"/>
  <c r="BD319" i="9"/>
  <c r="DU319" i="9" s="1"/>
  <c r="BL319" i="9"/>
  <c r="EC319" i="9" s="1"/>
  <c r="BK319" i="9"/>
  <c r="EB319" i="9" s="1"/>
  <c r="AT319" i="9"/>
  <c r="DK319" i="9" s="1"/>
  <c r="BE319" i="9"/>
  <c r="DV319" i="9" s="1"/>
  <c r="K319" i="9"/>
  <c r="CB319" i="9" s="1"/>
  <c r="R319" i="9"/>
  <c r="CI319" i="9" s="1"/>
  <c r="N319" i="9"/>
  <c r="CE319" i="9" s="1"/>
  <c r="T319" i="9"/>
  <c r="CK319" i="9" s="1"/>
  <c r="M319" i="9"/>
  <c r="CD319" i="9" s="1"/>
  <c r="Q319" i="9"/>
  <c r="CH319" i="9" s="1"/>
  <c r="Q407" i="9"/>
  <c r="CH407" i="9" s="1"/>
  <c r="T407" i="9"/>
  <c r="CK407" i="9" s="1"/>
  <c r="M407" i="9"/>
  <c r="CD407" i="9" s="1"/>
  <c r="M456" i="9"/>
  <c r="CD456" i="9" s="1"/>
  <c r="AR568" i="9"/>
  <c r="DI568" i="9" s="1"/>
  <c r="AH568" i="9"/>
  <c r="CY568" i="9" s="1"/>
  <c r="AM568" i="9"/>
  <c r="DD568" i="9" s="1"/>
  <c r="BD568" i="9"/>
  <c r="DU568" i="9" s="1"/>
  <c r="BH568" i="9"/>
  <c r="DY568" i="9" s="1"/>
  <c r="AT568" i="9"/>
  <c r="DK568" i="9" s="1"/>
  <c r="AS568" i="9"/>
  <c r="DJ568" i="9" s="1"/>
  <c r="AL568" i="9"/>
  <c r="DC568" i="9" s="1"/>
  <c r="U568" i="9"/>
  <c r="CL568" i="9" s="1"/>
  <c r="BE568" i="9"/>
  <c r="DV568" i="9" s="1"/>
  <c r="AQ568" i="9"/>
  <c r="DH568" i="9" s="1"/>
  <c r="AK568" i="9"/>
  <c r="DB568" i="9" s="1"/>
  <c r="BC568" i="9"/>
  <c r="DT568" i="9" s="1"/>
  <c r="V568" i="9"/>
  <c r="CM568" i="9" s="1"/>
  <c r="AE568" i="9"/>
  <c r="CV568" i="9" s="1"/>
  <c r="BR568" i="9"/>
  <c r="EI568" i="9" s="1"/>
  <c r="BG568" i="9"/>
  <c r="DX568" i="9" s="1"/>
  <c r="AW568" i="9"/>
  <c r="DN568" i="9" s="1"/>
  <c r="W568" i="9"/>
  <c r="CN568" i="9" s="1"/>
  <c r="Y568" i="9"/>
  <c r="CP568" i="9" s="1"/>
  <c r="Z568" i="9"/>
  <c r="CQ568" i="9" s="1"/>
  <c r="AA568" i="9"/>
  <c r="CR568" i="9" s="1"/>
  <c r="BQ568" i="9"/>
  <c r="EH568" i="9" s="1"/>
  <c r="BK568" i="9"/>
  <c r="EB568" i="9" s="1"/>
  <c r="AG568" i="9"/>
  <c r="CX568" i="9" s="1"/>
  <c r="BI568" i="9"/>
  <c r="DZ568" i="9" s="1"/>
  <c r="AF568" i="9"/>
  <c r="CW568" i="9" s="1"/>
  <c r="AY568" i="9"/>
  <c r="DP568" i="9" s="1"/>
  <c r="AO568" i="9"/>
  <c r="DF568" i="9" s="1"/>
  <c r="BF568" i="9"/>
  <c r="DW568" i="9" s="1"/>
  <c r="AD568" i="9"/>
  <c r="CU568" i="9" s="1"/>
  <c r="AB568" i="9"/>
  <c r="CS568" i="9" s="1"/>
  <c r="AU568" i="9"/>
  <c r="DL568" i="9" s="1"/>
  <c r="BA568" i="9"/>
  <c r="DR568" i="9" s="1"/>
  <c r="BM568" i="9"/>
  <c r="ED568" i="9" s="1"/>
  <c r="AJ568" i="9"/>
  <c r="DA568" i="9" s="1"/>
  <c r="AZ568" i="9"/>
  <c r="DQ568" i="9" s="1"/>
  <c r="BO568" i="9"/>
  <c r="EF568" i="9" s="1"/>
  <c r="AX568" i="9"/>
  <c r="DO568" i="9" s="1"/>
  <c r="BL568" i="9"/>
  <c r="EC568" i="9" s="1"/>
  <c r="AN568" i="9"/>
  <c r="DE568" i="9" s="1"/>
  <c r="BB568" i="9"/>
  <c r="DS568" i="9" s="1"/>
  <c r="AC568" i="9"/>
  <c r="CT568" i="9" s="1"/>
  <c r="X568" i="9"/>
  <c r="CO568" i="9" s="1"/>
  <c r="AV568" i="9"/>
  <c r="DM568" i="9" s="1"/>
  <c r="BP568" i="9"/>
  <c r="EG568" i="9" s="1"/>
  <c r="AP568" i="9"/>
  <c r="DG568" i="9" s="1"/>
  <c r="BN568" i="9"/>
  <c r="EE568" i="9" s="1"/>
  <c r="AI568" i="9"/>
  <c r="CZ568" i="9" s="1"/>
  <c r="BJ568" i="9"/>
  <c r="EA568" i="9" s="1"/>
  <c r="I445" i="9"/>
  <c r="I384" i="9"/>
  <c r="K384" i="9" s="1"/>
  <c r="I383" i="9"/>
  <c r="K383" i="9" s="1"/>
  <c r="I627" i="9"/>
  <c r="I399" i="9"/>
  <c r="K399" i="9" s="1"/>
  <c r="CB399" i="9" s="1"/>
  <c r="I250" i="9"/>
  <c r="I657" i="9"/>
  <c r="I483" i="9"/>
  <c r="I240" i="9"/>
  <c r="I638" i="9"/>
  <c r="I442" i="9"/>
  <c r="I647" i="9"/>
  <c r="AV337" i="9"/>
  <c r="DM337" i="9" s="1"/>
  <c r="AD337" i="9"/>
  <c r="CU337" i="9" s="1"/>
  <c r="AP337" i="9"/>
  <c r="DG337" i="9" s="1"/>
  <c r="AT337" i="9"/>
  <c r="DK337" i="9" s="1"/>
  <c r="AA337" i="9"/>
  <c r="CR337" i="9" s="1"/>
  <c r="BQ337" i="9"/>
  <c r="EH337" i="9" s="1"/>
  <c r="AI337" i="9"/>
  <c r="CZ337" i="9" s="1"/>
  <c r="AJ337" i="9"/>
  <c r="DA337" i="9" s="1"/>
  <c r="AO337" i="9"/>
  <c r="DF337" i="9" s="1"/>
  <c r="BP337" i="9"/>
  <c r="EG337" i="9" s="1"/>
  <c r="AQ337" i="9"/>
  <c r="DH337" i="9" s="1"/>
  <c r="AF337" i="9"/>
  <c r="CW337" i="9" s="1"/>
  <c r="BO337" i="9"/>
  <c r="EF337" i="9" s="1"/>
  <c r="BL337" i="9"/>
  <c r="EC337" i="9" s="1"/>
  <c r="BE337" i="9"/>
  <c r="DV337" i="9" s="1"/>
  <c r="AR337" i="9"/>
  <c r="DI337" i="9" s="1"/>
  <c r="BD337" i="9"/>
  <c r="DU337" i="9" s="1"/>
  <c r="BN337" i="9"/>
  <c r="EE337" i="9" s="1"/>
  <c r="U337" i="9"/>
  <c r="CL337" i="9" s="1"/>
  <c r="X337" i="9"/>
  <c r="CO337" i="9" s="1"/>
  <c r="AL337" i="9"/>
  <c r="DC337" i="9" s="1"/>
  <c r="AN337" i="9"/>
  <c r="DE337" i="9" s="1"/>
  <c r="BH337" i="9"/>
  <c r="DY337" i="9" s="1"/>
  <c r="AC337" i="9"/>
  <c r="CT337" i="9" s="1"/>
  <c r="V337" i="9"/>
  <c r="CM337" i="9" s="1"/>
  <c r="AB337" i="9"/>
  <c r="CS337" i="9" s="1"/>
  <c r="AM337" i="9"/>
  <c r="DD337" i="9" s="1"/>
  <c r="BB337" i="9"/>
  <c r="DS337" i="9" s="1"/>
  <c r="BR337" i="9"/>
  <c r="EI337" i="9" s="1"/>
  <c r="Y337" i="9"/>
  <c r="CP337" i="9" s="1"/>
  <c r="AE337" i="9"/>
  <c r="CV337" i="9" s="1"/>
  <c r="AZ337" i="9"/>
  <c r="AW337" i="9"/>
  <c r="AK337" i="9"/>
  <c r="AY337" i="9"/>
  <c r="BF337" i="9"/>
  <c r="BM337" i="9"/>
  <c r="BG337" i="9"/>
  <c r="BK337" i="9"/>
  <c r="W337" i="9"/>
  <c r="BA337" i="9"/>
  <c r="AH337" i="9"/>
  <c r="BI337" i="9"/>
  <c r="BJ337" i="9"/>
  <c r="AX337" i="9"/>
  <c r="BC337" i="9"/>
  <c r="Z337" i="9"/>
  <c r="AG337" i="9"/>
  <c r="AU337" i="9"/>
  <c r="AS337" i="9"/>
  <c r="AX468" i="9"/>
  <c r="DO468" i="9" s="1"/>
  <c r="BN468" i="9"/>
  <c r="EE468" i="9" s="1"/>
  <c r="AH468" i="9"/>
  <c r="CY468" i="9" s="1"/>
  <c r="AD468" i="9"/>
  <c r="CU468" i="9" s="1"/>
  <c r="AJ468" i="9"/>
  <c r="DA468" i="9" s="1"/>
  <c r="AR468" i="9"/>
  <c r="DI468" i="9" s="1"/>
  <c r="U468" i="9"/>
  <c r="CL468" i="9" s="1"/>
  <c r="Z468" i="9"/>
  <c r="CQ468" i="9" s="1"/>
  <c r="AL468" i="9"/>
  <c r="DC468" i="9" s="1"/>
  <c r="AS468" i="9"/>
  <c r="DJ468" i="9" s="1"/>
  <c r="BO468" i="9"/>
  <c r="EF468" i="9" s="1"/>
  <c r="AB468" i="9"/>
  <c r="CS468" i="9" s="1"/>
  <c r="BF468" i="9"/>
  <c r="DW468" i="9" s="1"/>
  <c r="W468" i="9"/>
  <c r="CN468" i="9" s="1"/>
  <c r="AF468" i="9"/>
  <c r="CW468" i="9" s="1"/>
  <c r="AQ468" i="9"/>
  <c r="DH468" i="9" s="1"/>
  <c r="AP468" i="9"/>
  <c r="DG468" i="9" s="1"/>
  <c r="V468" i="9"/>
  <c r="CM468" i="9" s="1"/>
  <c r="BM468" i="9"/>
  <c r="ED468" i="9" s="1"/>
  <c r="AC468" i="9"/>
  <c r="CT468" i="9" s="1"/>
  <c r="AG468" i="9"/>
  <c r="CX468" i="9" s="1"/>
  <c r="AN468" i="9"/>
  <c r="DE468" i="9" s="1"/>
  <c r="AA468" i="9"/>
  <c r="CR468" i="9" s="1"/>
  <c r="BG468" i="9"/>
  <c r="DX468" i="9" s="1"/>
  <c r="AY468" i="9"/>
  <c r="DP468" i="9" s="1"/>
  <c r="BC468" i="9"/>
  <c r="DT468" i="9" s="1"/>
  <c r="AE468" i="9"/>
  <c r="CV468" i="9" s="1"/>
  <c r="AV468" i="9"/>
  <c r="DM468" i="9" s="1"/>
  <c r="BA468" i="9"/>
  <c r="DR468" i="9" s="1"/>
  <c r="AT468" i="9"/>
  <c r="DK468" i="9" s="1"/>
  <c r="BL468" i="9"/>
  <c r="EC468" i="9" s="1"/>
  <c r="BP468" i="9"/>
  <c r="EG468" i="9" s="1"/>
  <c r="X468" i="9"/>
  <c r="CO468" i="9" s="1"/>
  <c r="AW468" i="9"/>
  <c r="DN468" i="9" s="1"/>
  <c r="BE468" i="9"/>
  <c r="DV468" i="9" s="1"/>
  <c r="AM468" i="9"/>
  <c r="DD468" i="9" s="1"/>
  <c r="BH468" i="9"/>
  <c r="DY468" i="9" s="1"/>
  <c r="AK468" i="9"/>
  <c r="DB468" i="9" s="1"/>
  <c r="BJ468" i="9"/>
  <c r="EA468" i="9" s="1"/>
  <c r="BI468" i="9"/>
  <c r="DZ468" i="9" s="1"/>
  <c r="AZ468" i="9"/>
  <c r="DQ468" i="9" s="1"/>
  <c r="BB468" i="9"/>
  <c r="DS468" i="9" s="1"/>
  <c r="Y468" i="9"/>
  <c r="CP468" i="9" s="1"/>
  <c r="BK468" i="9"/>
  <c r="EB468" i="9" s="1"/>
  <c r="BD468" i="9"/>
  <c r="DU468" i="9" s="1"/>
  <c r="BQ468" i="9"/>
  <c r="EH468" i="9" s="1"/>
  <c r="AO468" i="9"/>
  <c r="DF468" i="9" s="1"/>
  <c r="AU468" i="9"/>
  <c r="DL468" i="9" s="1"/>
  <c r="BR468" i="9"/>
  <c r="EI468" i="9" s="1"/>
  <c r="AI468" i="9"/>
  <c r="CZ468" i="9" s="1"/>
  <c r="BQ598" i="9"/>
  <c r="EH598" i="9" s="1"/>
  <c r="BI598" i="9"/>
  <c r="DZ598" i="9" s="1"/>
  <c r="AY598" i="9"/>
  <c r="DP598" i="9" s="1"/>
  <c r="AK598" i="9"/>
  <c r="DB598" i="9" s="1"/>
  <c r="AQ598" i="9"/>
  <c r="DH598" i="9" s="1"/>
  <c r="AA598" i="9"/>
  <c r="CR598" i="9" s="1"/>
  <c r="AM598" i="9"/>
  <c r="DD598" i="9" s="1"/>
  <c r="AJ598" i="9"/>
  <c r="DA598" i="9" s="1"/>
  <c r="V598" i="9"/>
  <c r="CM598" i="9" s="1"/>
  <c r="AL598" i="9"/>
  <c r="DC598" i="9" s="1"/>
  <c r="AC598" i="9"/>
  <c r="CT598" i="9" s="1"/>
  <c r="AP598" i="9"/>
  <c r="DG598" i="9" s="1"/>
  <c r="AG598" i="9"/>
  <c r="CX598" i="9" s="1"/>
  <c r="AB598" i="9"/>
  <c r="CS598" i="9" s="1"/>
  <c r="AS598" i="9"/>
  <c r="DJ598" i="9" s="1"/>
  <c r="AF598" i="9"/>
  <c r="CW598" i="9" s="1"/>
  <c r="AH598" i="9"/>
  <c r="CY598" i="9" s="1"/>
  <c r="AE598" i="9"/>
  <c r="CV598" i="9" s="1"/>
  <c r="AW598" i="9"/>
  <c r="DN598" i="9" s="1"/>
  <c r="BP598" i="9"/>
  <c r="EG598" i="9" s="1"/>
  <c r="AR598" i="9"/>
  <c r="DI598" i="9" s="1"/>
  <c r="Z598" i="9"/>
  <c r="CQ598" i="9" s="1"/>
  <c r="BB598" i="9"/>
  <c r="DS598" i="9" s="1"/>
  <c r="BO598" i="9"/>
  <c r="EF598" i="9" s="1"/>
  <c r="BD598" i="9"/>
  <c r="DU598" i="9" s="1"/>
  <c r="AO598" i="9"/>
  <c r="DF598" i="9" s="1"/>
  <c r="U598" i="9"/>
  <c r="CL598" i="9" s="1"/>
  <c r="BN598" i="9"/>
  <c r="EE598" i="9" s="1"/>
  <c r="BK598" i="9"/>
  <c r="EB598" i="9" s="1"/>
  <c r="BE598" i="9"/>
  <c r="DV598" i="9" s="1"/>
  <c r="X598" i="9"/>
  <c r="CO598" i="9" s="1"/>
  <c r="BR598" i="9"/>
  <c r="EI598" i="9" s="1"/>
  <c r="AU598" i="9"/>
  <c r="DL598" i="9" s="1"/>
  <c r="BH598" i="9"/>
  <c r="DY598" i="9" s="1"/>
  <c r="BC598" i="9"/>
  <c r="DT598" i="9" s="1"/>
  <c r="BA598" i="9"/>
  <c r="DR598" i="9" s="1"/>
  <c r="Y598" i="9"/>
  <c r="CP598" i="9" s="1"/>
  <c r="AZ598" i="9"/>
  <c r="DQ598" i="9" s="1"/>
  <c r="BL598" i="9"/>
  <c r="EC598" i="9" s="1"/>
  <c r="AV598" i="9"/>
  <c r="DM598" i="9" s="1"/>
  <c r="AN598" i="9"/>
  <c r="DE598" i="9" s="1"/>
  <c r="BF598" i="9"/>
  <c r="DW598" i="9" s="1"/>
  <c r="AT598" i="9"/>
  <c r="DK598" i="9" s="1"/>
  <c r="BM598" i="9"/>
  <c r="ED598" i="9" s="1"/>
  <c r="AX598" i="9"/>
  <c r="DO598" i="9" s="1"/>
  <c r="AD598" i="9"/>
  <c r="CU598" i="9" s="1"/>
  <c r="BG598" i="9"/>
  <c r="DX598" i="9" s="1"/>
  <c r="W598" i="9"/>
  <c r="CN598" i="9" s="1"/>
  <c r="AI598" i="9"/>
  <c r="CZ598" i="9" s="1"/>
  <c r="BJ598" i="9"/>
  <c r="EA598" i="9" s="1"/>
  <c r="O598" i="9"/>
  <c r="CF598" i="9" s="1"/>
  <c r="I353" i="9"/>
  <c r="AJ315" i="9"/>
  <c r="DA315" i="9" s="1"/>
  <c r="AX315" i="9"/>
  <c r="DO315" i="9" s="1"/>
  <c r="BQ315" i="9"/>
  <c r="EH315" i="9" s="1"/>
  <c r="BF315" i="9"/>
  <c r="DW315" i="9" s="1"/>
  <c r="AN315" i="9"/>
  <c r="DE315" i="9" s="1"/>
  <c r="X315" i="9"/>
  <c r="CO315" i="9" s="1"/>
  <c r="Z315" i="9"/>
  <c r="CQ315" i="9" s="1"/>
  <c r="AH315" i="9"/>
  <c r="CY315" i="9" s="1"/>
  <c r="AB315" i="9"/>
  <c r="CS315" i="9" s="1"/>
  <c r="AL315" i="9"/>
  <c r="DC315" i="9" s="1"/>
  <c r="AS315" i="9"/>
  <c r="DJ315" i="9" s="1"/>
  <c r="AD315" i="9"/>
  <c r="CU315" i="9" s="1"/>
  <c r="U315" i="9"/>
  <c r="CL315" i="9" s="1"/>
  <c r="AF315" i="9"/>
  <c r="CW315" i="9" s="1"/>
  <c r="BB315" i="9"/>
  <c r="DS315" i="9" s="1"/>
  <c r="BG315" i="9"/>
  <c r="DX315" i="9" s="1"/>
  <c r="AC315" i="9"/>
  <c r="CT315" i="9" s="1"/>
  <c r="Y315" i="9"/>
  <c r="CP315" i="9" s="1"/>
  <c r="AR315" i="9"/>
  <c r="DI315" i="9" s="1"/>
  <c r="AQ315" i="9"/>
  <c r="DH315" i="9" s="1"/>
  <c r="AK315" i="9"/>
  <c r="DB315" i="9" s="1"/>
  <c r="AV315" i="9"/>
  <c r="DM315" i="9" s="1"/>
  <c r="BJ315" i="9"/>
  <c r="EA315" i="9" s="1"/>
  <c r="AG315" i="9"/>
  <c r="CX315" i="9" s="1"/>
  <c r="BI315" i="9"/>
  <c r="DZ315" i="9" s="1"/>
  <c r="AI315" i="9"/>
  <c r="CZ315" i="9" s="1"/>
  <c r="AO315" i="9"/>
  <c r="DF315" i="9" s="1"/>
  <c r="AE315" i="9"/>
  <c r="CV315" i="9" s="1"/>
  <c r="V315" i="9"/>
  <c r="CM315" i="9" s="1"/>
  <c r="BO315" i="9"/>
  <c r="EF315" i="9" s="1"/>
  <c r="BM315" i="9"/>
  <c r="ED315" i="9" s="1"/>
  <c r="BP315" i="9"/>
  <c r="EG315" i="9" s="1"/>
  <c r="AW315" i="9"/>
  <c r="DN315" i="9" s="1"/>
  <c r="AP315" i="9"/>
  <c r="DG315" i="9" s="1"/>
  <c r="AM315" i="9"/>
  <c r="DD315" i="9" s="1"/>
  <c r="W315" i="9"/>
  <c r="CN315" i="9" s="1"/>
  <c r="BR315" i="9"/>
  <c r="EI315" i="9" s="1"/>
  <c r="BH315" i="9"/>
  <c r="DY315" i="9" s="1"/>
  <c r="BE315" i="9"/>
  <c r="DV315" i="9" s="1"/>
  <c r="BD315" i="9"/>
  <c r="DU315" i="9" s="1"/>
  <c r="BA315" i="9"/>
  <c r="DR315" i="9" s="1"/>
  <c r="BL315" i="9"/>
  <c r="EC315" i="9" s="1"/>
  <c r="AT315" i="9"/>
  <c r="DK315" i="9" s="1"/>
  <c r="AZ315" i="9"/>
  <c r="DQ315" i="9" s="1"/>
  <c r="BK315" i="9"/>
  <c r="EB315" i="9" s="1"/>
  <c r="BN315" i="9"/>
  <c r="EE315" i="9" s="1"/>
  <c r="BC315" i="9"/>
  <c r="DT315" i="9" s="1"/>
  <c r="AU315" i="9"/>
  <c r="DL315" i="9" s="1"/>
  <c r="AY315" i="9"/>
  <c r="DP315" i="9" s="1"/>
  <c r="AA315" i="9"/>
  <c r="CR315" i="9" s="1"/>
  <c r="BM310" i="9"/>
  <c r="ED310" i="9" s="1"/>
  <c r="X310" i="9"/>
  <c r="CO310" i="9" s="1"/>
  <c r="AD310" i="9"/>
  <c r="CU310" i="9" s="1"/>
  <c r="BP310" i="9"/>
  <c r="EG310" i="9" s="1"/>
  <c r="AI310" i="9"/>
  <c r="CZ310" i="9" s="1"/>
  <c r="AW310" i="9"/>
  <c r="DN310" i="9" s="1"/>
  <c r="AM310" i="9"/>
  <c r="DD310" i="9" s="1"/>
  <c r="V310" i="9"/>
  <c r="CM310" i="9" s="1"/>
  <c r="BH310" i="9"/>
  <c r="DY310" i="9" s="1"/>
  <c r="AO310" i="9"/>
  <c r="DF310" i="9" s="1"/>
  <c r="AE310" i="9"/>
  <c r="CV310" i="9" s="1"/>
  <c r="BQ310" i="9"/>
  <c r="EH310" i="9" s="1"/>
  <c r="AR310" i="9"/>
  <c r="DI310" i="9" s="1"/>
  <c r="AX310" i="9"/>
  <c r="DO310" i="9" s="1"/>
  <c r="AG310" i="9"/>
  <c r="CX310" i="9" s="1"/>
  <c r="W310" i="9"/>
  <c r="CN310" i="9" s="1"/>
  <c r="BI310" i="9"/>
  <c r="DZ310" i="9" s="1"/>
  <c r="AJ310" i="9"/>
  <c r="DA310" i="9" s="1"/>
  <c r="Y310" i="9"/>
  <c r="CP310" i="9" s="1"/>
  <c r="BR310" i="9"/>
  <c r="EI310" i="9" s="1"/>
  <c r="AS310" i="9"/>
  <c r="DJ310" i="9" s="1"/>
  <c r="AB310" i="9"/>
  <c r="CS310" i="9" s="1"/>
  <c r="AH310" i="9"/>
  <c r="CY310" i="9" s="1"/>
  <c r="AV310" i="9"/>
  <c r="DM310" i="9" s="1"/>
  <c r="BJ310" i="9"/>
  <c r="EA310" i="9" s="1"/>
  <c r="AK310" i="9"/>
  <c r="DB310" i="9" s="1"/>
  <c r="BO310" i="9"/>
  <c r="EF310" i="9" s="1"/>
  <c r="Z310" i="9"/>
  <c r="CQ310" i="9" s="1"/>
  <c r="AN310" i="9"/>
  <c r="DE310" i="9" s="1"/>
  <c r="BB310" i="9"/>
  <c r="DS310" i="9" s="1"/>
  <c r="AC310" i="9"/>
  <c r="CT310" i="9" s="1"/>
  <c r="BG310" i="9"/>
  <c r="DX310" i="9" s="1"/>
  <c r="AF310" i="9"/>
  <c r="CW310" i="9" s="1"/>
  <c r="AL310" i="9"/>
  <c r="DC310" i="9" s="1"/>
  <c r="U310" i="9"/>
  <c r="CL310" i="9" s="1"/>
  <c r="AQ310" i="9"/>
  <c r="DH310" i="9" s="1"/>
  <c r="BF310" i="9"/>
  <c r="DW310" i="9" s="1"/>
  <c r="AP310" i="9"/>
  <c r="DG310" i="9" s="1"/>
  <c r="AZ310" i="9"/>
  <c r="DQ310" i="9" s="1"/>
  <c r="BA310" i="9"/>
  <c r="DR310" i="9" s="1"/>
  <c r="BK310" i="9"/>
  <c r="EB310" i="9" s="1"/>
  <c r="BE310" i="9"/>
  <c r="DV310" i="9" s="1"/>
  <c r="AA310" i="9"/>
  <c r="CR310" i="9" s="1"/>
  <c r="BL310" i="9"/>
  <c r="EC310" i="9" s="1"/>
  <c r="AT310" i="9"/>
  <c r="DK310" i="9" s="1"/>
  <c r="BD310" i="9"/>
  <c r="DU310" i="9" s="1"/>
  <c r="AU310" i="9"/>
  <c r="DL310" i="9" s="1"/>
  <c r="BC310" i="9"/>
  <c r="DT310" i="9" s="1"/>
  <c r="AY310" i="9"/>
  <c r="DP310" i="9" s="1"/>
  <c r="BN310" i="9"/>
  <c r="EE310" i="9" s="1"/>
  <c r="L407" i="9"/>
  <c r="CC407" i="9" s="1"/>
  <c r="T456" i="9"/>
  <c r="CK456" i="9" s="1"/>
  <c r="P456" i="9"/>
  <c r="CG456" i="9" s="1"/>
  <c r="O421" i="9"/>
  <c r="CF421" i="9" s="1"/>
  <c r="I400" i="9"/>
  <c r="K400" i="9" s="1"/>
  <c r="I448" i="9"/>
  <c r="I629" i="9"/>
  <c r="I436" i="9"/>
  <c r="I655" i="9"/>
  <c r="I447" i="9"/>
  <c r="I659" i="9"/>
  <c r="I489" i="9"/>
  <c r="I268" i="9"/>
  <c r="I395" i="9"/>
  <c r="K395" i="9" s="1"/>
  <c r="CB395" i="9" s="1"/>
  <c r="I262" i="9"/>
  <c r="I480" i="9"/>
  <c r="I277" i="9"/>
  <c r="BB589" i="9"/>
  <c r="DS589" i="9" s="1"/>
  <c r="Z589" i="9"/>
  <c r="CQ589" i="9" s="1"/>
  <c r="BL589" i="9"/>
  <c r="EC589" i="9" s="1"/>
  <c r="W589" i="9"/>
  <c r="CN589" i="9" s="1"/>
  <c r="AA589" i="9"/>
  <c r="CR589" i="9" s="1"/>
  <c r="X589" i="9"/>
  <c r="CO589" i="9" s="1"/>
  <c r="Y589" i="9"/>
  <c r="CP589" i="9" s="1"/>
  <c r="AS589" i="9"/>
  <c r="DJ589" i="9" s="1"/>
  <c r="AG589" i="9"/>
  <c r="CX589" i="9" s="1"/>
  <c r="AF589" i="9"/>
  <c r="CW589" i="9" s="1"/>
  <c r="U589" i="9"/>
  <c r="CL589" i="9" s="1"/>
  <c r="BE589" i="9"/>
  <c r="DV589" i="9" s="1"/>
  <c r="BC589" i="9"/>
  <c r="DT589" i="9" s="1"/>
  <c r="AZ589" i="9"/>
  <c r="DQ589" i="9" s="1"/>
  <c r="BG589" i="9"/>
  <c r="DX589" i="9" s="1"/>
  <c r="BK589" i="9"/>
  <c r="EB589" i="9" s="1"/>
  <c r="AT589" i="9"/>
  <c r="DK589" i="9" s="1"/>
  <c r="AI589" i="9"/>
  <c r="CZ589" i="9" s="1"/>
  <c r="BJ589" i="9"/>
  <c r="EA589" i="9" s="1"/>
  <c r="AJ589" i="9"/>
  <c r="DA589" i="9" s="1"/>
  <c r="AQ589" i="9"/>
  <c r="DH589" i="9" s="1"/>
  <c r="AR589" i="9"/>
  <c r="DI589" i="9" s="1"/>
  <c r="BI589" i="9"/>
  <c r="DZ589" i="9" s="1"/>
  <c r="BQ589" i="9"/>
  <c r="EH589" i="9" s="1"/>
  <c r="BR589" i="9"/>
  <c r="EI589" i="9" s="1"/>
  <c r="AP589" i="9"/>
  <c r="DG589" i="9" s="1"/>
  <c r="AO589" i="9"/>
  <c r="DF589" i="9" s="1"/>
  <c r="AY589" i="9"/>
  <c r="DP589" i="9" s="1"/>
  <c r="AX589" i="9"/>
  <c r="DO589" i="9" s="1"/>
  <c r="BF589" i="9"/>
  <c r="DW589" i="9" s="1"/>
  <c r="BO589" i="9"/>
  <c r="EF589" i="9" s="1"/>
  <c r="AL589" i="9"/>
  <c r="DC589" i="9" s="1"/>
  <c r="BH589" i="9"/>
  <c r="DY589" i="9" s="1"/>
  <c r="BP589" i="9"/>
  <c r="EG589" i="9" s="1"/>
  <c r="BN589" i="9"/>
  <c r="EE589" i="9" s="1"/>
  <c r="AH589" i="9"/>
  <c r="CY589" i="9" s="1"/>
  <c r="AM589" i="9"/>
  <c r="DD589" i="9" s="1"/>
  <c r="BM589" i="9"/>
  <c r="ED589" i="9" s="1"/>
  <c r="AD589" i="9"/>
  <c r="CU589" i="9" s="1"/>
  <c r="AK589" i="9"/>
  <c r="DB589" i="9" s="1"/>
  <c r="AB589" i="9"/>
  <c r="CS589" i="9" s="1"/>
  <c r="AE589" i="9"/>
  <c r="CV589" i="9" s="1"/>
  <c r="AN589" i="9"/>
  <c r="DE589" i="9" s="1"/>
  <c r="AU589" i="9"/>
  <c r="DL589" i="9" s="1"/>
  <c r="V589" i="9"/>
  <c r="CM589" i="9" s="1"/>
  <c r="AC589" i="9"/>
  <c r="CT589" i="9" s="1"/>
  <c r="BA589" i="9"/>
  <c r="DR589" i="9" s="1"/>
  <c r="BD589" i="9"/>
  <c r="DU589" i="9" s="1"/>
  <c r="AW589" i="9"/>
  <c r="DN589" i="9" s="1"/>
  <c r="AV589" i="9"/>
  <c r="DM589" i="9" s="1"/>
  <c r="AD338" i="9"/>
  <c r="CU338" i="9" s="1"/>
  <c r="AQ338" i="9"/>
  <c r="DH338" i="9" s="1"/>
  <c r="AB338" i="9"/>
  <c r="CS338" i="9" s="1"/>
  <c r="BQ338" i="9"/>
  <c r="EH338" i="9" s="1"/>
  <c r="AO338" i="9"/>
  <c r="DF338" i="9" s="1"/>
  <c r="BB338" i="9"/>
  <c r="DS338" i="9" s="1"/>
  <c r="AV338" i="9"/>
  <c r="DM338" i="9" s="1"/>
  <c r="BP338" i="9"/>
  <c r="EG338" i="9" s="1"/>
  <c r="AP338" i="9"/>
  <c r="DG338" i="9" s="1"/>
  <c r="AA338" i="9"/>
  <c r="CR338" i="9" s="1"/>
  <c r="AR338" i="9"/>
  <c r="DI338" i="9" s="1"/>
  <c r="AI338" i="9"/>
  <c r="CZ338" i="9" s="1"/>
  <c r="AE338" i="9"/>
  <c r="CV338" i="9" s="1"/>
  <c r="AL338" i="9"/>
  <c r="DC338" i="9" s="1"/>
  <c r="Y338" i="9"/>
  <c r="CP338" i="9" s="1"/>
  <c r="BN338" i="9"/>
  <c r="EE338" i="9" s="1"/>
  <c r="AJ338" i="9"/>
  <c r="DA338" i="9" s="1"/>
  <c r="AT338" i="9"/>
  <c r="DK338" i="9" s="1"/>
  <c r="BH338" i="9"/>
  <c r="DY338" i="9" s="1"/>
  <c r="AF338" i="9"/>
  <c r="CW338" i="9" s="1"/>
  <c r="U338" i="9"/>
  <c r="CL338" i="9" s="1"/>
  <c r="V338" i="9"/>
  <c r="CM338" i="9" s="1"/>
  <c r="X338" i="9"/>
  <c r="CO338" i="9" s="1"/>
  <c r="BR338" i="9"/>
  <c r="EI338" i="9" s="1"/>
  <c r="BE338" i="9"/>
  <c r="DV338" i="9" s="1"/>
  <c r="AM338" i="9"/>
  <c r="DD338" i="9" s="1"/>
  <c r="BD338" i="9"/>
  <c r="DU338" i="9" s="1"/>
  <c r="BO338" i="9"/>
  <c r="EF338" i="9" s="1"/>
  <c r="BL338" i="9"/>
  <c r="EC338" i="9" s="1"/>
  <c r="AC338" i="9"/>
  <c r="CT338" i="9" s="1"/>
  <c r="AN338" i="9"/>
  <c r="DE338" i="9" s="1"/>
  <c r="BG338" i="9"/>
  <c r="DX338" i="9" s="1"/>
  <c r="BJ338" i="9"/>
  <c r="EA338" i="9" s="1"/>
  <c r="BA338" i="9"/>
  <c r="DR338" i="9" s="1"/>
  <c r="AS338" i="9"/>
  <c r="DJ338" i="9" s="1"/>
  <c r="AH338" i="9"/>
  <c r="CY338" i="9" s="1"/>
  <c r="AU338" i="9"/>
  <c r="DL338" i="9" s="1"/>
  <c r="BK338" i="9"/>
  <c r="EB338" i="9" s="1"/>
  <c r="AG338" i="9"/>
  <c r="CX338" i="9" s="1"/>
  <c r="BF338" i="9"/>
  <c r="DW338" i="9" s="1"/>
  <c r="BI338" i="9"/>
  <c r="DZ338" i="9" s="1"/>
  <c r="AK338" i="9"/>
  <c r="DB338" i="9" s="1"/>
  <c r="W338" i="9"/>
  <c r="CN338" i="9" s="1"/>
  <c r="BM338" i="9"/>
  <c r="ED338" i="9" s="1"/>
  <c r="BC338" i="9"/>
  <c r="DT338" i="9" s="1"/>
  <c r="AX338" i="9"/>
  <c r="DO338" i="9" s="1"/>
  <c r="AW338" i="9"/>
  <c r="DN338" i="9" s="1"/>
  <c r="AZ338" i="9"/>
  <c r="DQ338" i="9" s="1"/>
  <c r="AY338" i="9"/>
  <c r="DP338" i="9" s="1"/>
  <c r="Z338" i="9"/>
  <c r="CQ338" i="9" s="1"/>
  <c r="BH409" i="9"/>
  <c r="DY409" i="9" s="1"/>
  <c r="BP409" i="9"/>
  <c r="EG409" i="9" s="1"/>
  <c r="Z409" i="9"/>
  <c r="CQ409" i="9" s="1"/>
  <c r="AU409" i="9"/>
  <c r="DL409" i="9" s="1"/>
  <c r="AM409" i="9"/>
  <c r="DD409" i="9" s="1"/>
  <c r="W409" i="9"/>
  <c r="CN409" i="9" s="1"/>
  <c r="Y409" i="9"/>
  <c r="CP409" i="9" s="1"/>
  <c r="AQ409" i="9"/>
  <c r="DH409" i="9" s="1"/>
  <c r="AD409" i="9"/>
  <c r="CU409" i="9" s="1"/>
  <c r="BF409" i="9"/>
  <c r="DW409" i="9" s="1"/>
  <c r="AI409" i="9"/>
  <c r="CZ409" i="9" s="1"/>
  <c r="BQ409" i="9"/>
  <c r="EH409" i="9" s="1"/>
  <c r="BK409" i="9"/>
  <c r="EB409" i="9" s="1"/>
  <c r="U409" i="9"/>
  <c r="CL409" i="9" s="1"/>
  <c r="BE409" i="9"/>
  <c r="DV409" i="9" s="1"/>
  <c r="BA409" i="9"/>
  <c r="DR409" i="9" s="1"/>
  <c r="AF409" i="9"/>
  <c r="CW409" i="9" s="1"/>
  <c r="X409" i="9"/>
  <c r="CO409" i="9" s="1"/>
  <c r="AW409" i="9"/>
  <c r="DN409" i="9" s="1"/>
  <c r="BN409" i="9"/>
  <c r="EE409" i="9" s="1"/>
  <c r="BC409" i="9"/>
  <c r="DT409" i="9" s="1"/>
  <c r="BG409" i="9"/>
  <c r="DX409" i="9" s="1"/>
  <c r="AJ409" i="9"/>
  <c r="DA409" i="9" s="1"/>
  <c r="AK409" i="9"/>
  <c r="DB409" i="9" s="1"/>
  <c r="V409" i="9"/>
  <c r="CM409" i="9" s="1"/>
  <c r="BR409" i="9"/>
  <c r="EI409" i="9" s="1"/>
  <c r="AZ409" i="9"/>
  <c r="DQ409" i="9" s="1"/>
  <c r="AB409" i="9"/>
  <c r="CS409" i="9" s="1"/>
  <c r="AH409" i="9"/>
  <c r="CY409" i="9" s="1"/>
  <c r="AS409" i="9"/>
  <c r="DJ409" i="9" s="1"/>
  <c r="AE409" i="9"/>
  <c r="CV409" i="9" s="1"/>
  <c r="AT409" i="9"/>
  <c r="DK409" i="9" s="1"/>
  <c r="BI409" i="9"/>
  <c r="DZ409" i="9" s="1"/>
  <c r="BO409" i="9"/>
  <c r="EF409" i="9" s="1"/>
  <c r="AR409" i="9"/>
  <c r="DI409" i="9" s="1"/>
  <c r="AN409" i="9"/>
  <c r="DE409" i="9" s="1"/>
  <c r="AC409" i="9"/>
  <c r="CT409" i="9" s="1"/>
  <c r="AV409" i="9"/>
  <c r="DM409" i="9" s="1"/>
  <c r="AO409" i="9"/>
  <c r="DF409" i="9" s="1"/>
  <c r="BM409" i="9"/>
  <c r="ED409" i="9" s="1"/>
  <c r="AG409" i="9"/>
  <c r="CX409" i="9" s="1"/>
  <c r="AL409" i="9"/>
  <c r="DC409" i="9" s="1"/>
  <c r="AY409" i="9"/>
  <c r="DP409" i="9" s="1"/>
  <c r="BB409" i="9"/>
  <c r="DS409" i="9" s="1"/>
  <c r="AX409" i="9"/>
  <c r="DO409" i="9" s="1"/>
  <c r="BJ409" i="9"/>
  <c r="EA409" i="9" s="1"/>
  <c r="AP409" i="9"/>
  <c r="DG409" i="9" s="1"/>
  <c r="AA409" i="9"/>
  <c r="CR409" i="9" s="1"/>
  <c r="BD409" i="9"/>
  <c r="DU409" i="9" s="1"/>
  <c r="BL409" i="9"/>
  <c r="EC409" i="9" s="1"/>
  <c r="I609" i="9"/>
  <c r="AC311" i="9"/>
  <c r="CT311" i="9" s="1"/>
  <c r="AK311" i="9"/>
  <c r="DB311" i="9" s="1"/>
  <c r="V311" i="9"/>
  <c r="CM311" i="9" s="1"/>
  <c r="BB311" i="9"/>
  <c r="DS311" i="9" s="1"/>
  <c r="BF311" i="9"/>
  <c r="DW311" i="9" s="1"/>
  <c r="AQ311" i="9"/>
  <c r="DH311" i="9" s="1"/>
  <c r="BR311" i="9"/>
  <c r="EI311" i="9" s="1"/>
  <c r="AS311" i="9"/>
  <c r="DJ311" i="9" s="1"/>
  <c r="BI311" i="9"/>
  <c r="DZ311" i="9" s="1"/>
  <c r="BH311" i="9"/>
  <c r="DY311" i="9" s="1"/>
  <c r="AG311" i="9"/>
  <c r="CX311" i="9" s="1"/>
  <c r="AI311" i="9"/>
  <c r="CZ311" i="9" s="1"/>
  <c r="AX311" i="9"/>
  <c r="DO311" i="9" s="1"/>
  <c r="U311" i="9"/>
  <c r="CL311" i="9" s="1"/>
  <c r="BG311" i="9"/>
  <c r="DX311" i="9" s="1"/>
  <c r="AO311" i="9"/>
  <c r="DF311" i="9" s="1"/>
  <c r="Y311" i="9"/>
  <c r="CP311" i="9" s="1"/>
  <c r="BQ311" i="9"/>
  <c r="EH311" i="9" s="1"/>
  <c r="BM311" i="9"/>
  <c r="ED311" i="9" s="1"/>
  <c r="AL311" i="9"/>
  <c r="DC311" i="9" s="1"/>
  <c r="AW311" i="9"/>
  <c r="DN311" i="9" s="1"/>
  <c r="AH311" i="9"/>
  <c r="CY311" i="9" s="1"/>
  <c r="Z311" i="9"/>
  <c r="CQ311" i="9" s="1"/>
  <c r="AR311" i="9"/>
  <c r="DI311" i="9" s="1"/>
  <c r="BJ311" i="9"/>
  <c r="EA311" i="9" s="1"/>
  <c r="BP311" i="9"/>
  <c r="EG311" i="9" s="1"/>
  <c r="BO311" i="9"/>
  <c r="EF311" i="9" s="1"/>
  <c r="X311" i="9"/>
  <c r="CO311" i="9" s="1"/>
  <c r="AJ311" i="9"/>
  <c r="DA311" i="9" s="1"/>
  <c r="W311" i="9"/>
  <c r="CN311" i="9" s="1"/>
  <c r="AE311" i="9"/>
  <c r="CV311" i="9" s="1"/>
  <c r="AB311" i="9"/>
  <c r="CS311" i="9" s="1"/>
  <c r="AF311" i="9"/>
  <c r="CW311" i="9" s="1"/>
  <c r="AD311" i="9"/>
  <c r="CU311" i="9" s="1"/>
  <c r="AN311" i="9"/>
  <c r="DE311" i="9" s="1"/>
  <c r="AM311" i="9"/>
  <c r="DD311" i="9" s="1"/>
  <c r="AV311" i="9"/>
  <c r="DM311" i="9" s="1"/>
  <c r="AP311" i="9"/>
  <c r="DG311" i="9" s="1"/>
  <c r="BL311" i="9"/>
  <c r="EC311" i="9" s="1"/>
  <c r="BK311" i="9"/>
  <c r="EB311" i="9" s="1"/>
  <c r="BD311" i="9"/>
  <c r="DU311" i="9" s="1"/>
  <c r="AZ311" i="9"/>
  <c r="DQ311" i="9" s="1"/>
  <c r="BE311" i="9"/>
  <c r="DV311" i="9" s="1"/>
  <c r="AA311" i="9"/>
  <c r="CR311" i="9" s="1"/>
  <c r="AT311" i="9"/>
  <c r="DK311" i="9" s="1"/>
  <c r="AY311" i="9"/>
  <c r="DP311" i="9" s="1"/>
  <c r="BA311" i="9"/>
  <c r="DR311" i="9" s="1"/>
  <c r="BC311" i="9"/>
  <c r="DT311" i="9" s="1"/>
  <c r="AU311" i="9"/>
  <c r="DL311" i="9" s="1"/>
  <c r="BN311" i="9"/>
  <c r="EE311" i="9" s="1"/>
  <c r="AI312" i="9"/>
  <c r="CZ312" i="9" s="1"/>
  <c r="AO312" i="9"/>
  <c r="DF312" i="9" s="1"/>
  <c r="AE312" i="9"/>
  <c r="CV312" i="9" s="1"/>
  <c r="BQ312" i="9"/>
  <c r="EH312" i="9" s="1"/>
  <c r="AR312" i="9"/>
  <c r="DI312" i="9" s="1"/>
  <c r="BF312" i="9"/>
  <c r="DW312" i="9" s="1"/>
  <c r="AG312" i="9"/>
  <c r="CX312" i="9" s="1"/>
  <c r="W312" i="9"/>
  <c r="CN312" i="9" s="1"/>
  <c r="BI312" i="9"/>
  <c r="DZ312" i="9" s="1"/>
  <c r="AJ312" i="9"/>
  <c r="DA312" i="9" s="1"/>
  <c r="AX312" i="9"/>
  <c r="DO312" i="9" s="1"/>
  <c r="Y312" i="9"/>
  <c r="CP312" i="9" s="1"/>
  <c r="BR312" i="9"/>
  <c r="EI312" i="9" s="1"/>
  <c r="AS312" i="9"/>
  <c r="DJ312" i="9" s="1"/>
  <c r="AB312" i="9"/>
  <c r="CS312" i="9" s="1"/>
  <c r="AP312" i="9"/>
  <c r="DG312" i="9" s="1"/>
  <c r="AV312" i="9"/>
  <c r="DM312" i="9" s="1"/>
  <c r="BJ312" i="9"/>
  <c r="EA312" i="9" s="1"/>
  <c r="AK312" i="9"/>
  <c r="DB312" i="9" s="1"/>
  <c r="AH312" i="9"/>
  <c r="CY312" i="9" s="1"/>
  <c r="AN312" i="9"/>
  <c r="DE312" i="9" s="1"/>
  <c r="BB312" i="9"/>
  <c r="DS312" i="9" s="1"/>
  <c r="AC312" i="9"/>
  <c r="CT312" i="9" s="1"/>
  <c r="BO312" i="9"/>
  <c r="EF312" i="9" s="1"/>
  <c r="Z312" i="9"/>
  <c r="CQ312" i="9" s="1"/>
  <c r="AF312" i="9"/>
  <c r="CW312" i="9" s="1"/>
  <c r="AL312" i="9"/>
  <c r="DC312" i="9" s="1"/>
  <c r="U312" i="9"/>
  <c r="CL312" i="9" s="1"/>
  <c r="BG312" i="9"/>
  <c r="DX312" i="9" s="1"/>
  <c r="BM312" i="9"/>
  <c r="ED312" i="9" s="1"/>
  <c r="X312" i="9"/>
  <c r="CO312" i="9" s="1"/>
  <c r="AD312" i="9"/>
  <c r="CU312" i="9" s="1"/>
  <c r="BP312" i="9"/>
  <c r="EG312" i="9" s="1"/>
  <c r="AQ312" i="9"/>
  <c r="DH312" i="9" s="1"/>
  <c r="AW312" i="9"/>
  <c r="DN312" i="9" s="1"/>
  <c r="AM312" i="9"/>
  <c r="DD312" i="9" s="1"/>
  <c r="V312" i="9"/>
  <c r="CM312" i="9" s="1"/>
  <c r="BH312" i="9"/>
  <c r="DY312" i="9" s="1"/>
  <c r="BA312" i="9"/>
  <c r="DR312" i="9" s="1"/>
  <c r="BC312" i="9"/>
  <c r="DT312" i="9" s="1"/>
  <c r="BK312" i="9"/>
  <c r="EB312" i="9" s="1"/>
  <c r="AT312" i="9"/>
  <c r="DK312" i="9" s="1"/>
  <c r="BE312" i="9"/>
  <c r="DV312" i="9" s="1"/>
  <c r="BL312" i="9"/>
  <c r="EC312" i="9" s="1"/>
  <c r="AU312" i="9"/>
  <c r="DL312" i="9" s="1"/>
  <c r="BD312" i="9"/>
  <c r="DU312" i="9" s="1"/>
  <c r="AZ312" i="9"/>
  <c r="DQ312" i="9" s="1"/>
  <c r="AA312" i="9"/>
  <c r="CR312" i="9" s="1"/>
  <c r="AY312" i="9"/>
  <c r="DP312" i="9" s="1"/>
  <c r="BN312" i="9"/>
  <c r="EE312" i="9" s="1"/>
  <c r="O407" i="9"/>
  <c r="CF407" i="9" s="1"/>
  <c r="P407" i="9"/>
  <c r="CG407" i="9" s="1"/>
  <c r="I381" i="9"/>
  <c r="K381" i="9" s="1"/>
  <c r="I621" i="9"/>
  <c r="I446" i="9"/>
  <c r="I645" i="9"/>
  <c r="I444" i="9"/>
  <c r="I660" i="9"/>
  <c r="I391" i="9"/>
  <c r="K391" i="9" s="1"/>
  <c r="I266" i="9"/>
  <c r="I663" i="9"/>
  <c r="I382" i="9"/>
  <c r="K382" i="9" s="1"/>
  <c r="I275" i="9"/>
  <c r="AT582" i="9"/>
  <c r="DK582" i="9" s="1"/>
  <c r="BJ582" i="9"/>
  <c r="EA582" i="9" s="1"/>
  <c r="AR582" i="9"/>
  <c r="DI582" i="9" s="1"/>
  <c r="W582" i="9"/>
  <c r="CN582" i="9" s="1"/>
  <c r="BE582" i="9"/>
  <c r="DV582" i="9" s="1"/>
  <c r="AP582" i="9"/>
  <c r="DG582" i="9" s="1"/>
  <c r="AZ582" i="9"/>
  <c r="DQ582" i="9" s="1"/>
  <c r="BR582" i="9"/>
  <c r="EI582" i="9" s="1"/>
  <c r="AY582" i="9"/>
  <c r="DP582" i="9" s="1"/>
  <c r="AG582" i="9"/>
  <c r="CX582" i="9" s="1"/>
  <c r="Y582" i="9"/>
  <c r="CP582" i="9" s="1"/>
  <c r="BO582" i="9"/>
  <c r="EF582" i="9" s="1"/>
  <c r="AJ582" i="9"/>
  <c r="DA582" i="9" s="1"/>
  <c r="BF582" i="9"/>
  <c r="DW582" i="9" s="1"/>
  <c r="AL582" i="9"/>
  <c r="DC582" i="9" s="1"/>
  <c r="BH582" i="9"/>
  <c r="DY582" i="9" s="1"/>
  <c r="BI582" i="9"/>
  <c r="DZ582" i="9" s="1"/>
  <c r="BP582" i="9"/>
  <c r="EG582" i="9" s="1"/>
  <c r="BB582" i="9"/>
  <c r="DS582" i="9" s="1"/>
  <c r="AA582" i="9"/>
  <c r="CR582" i="9" s="1"/>
  <c r="BQ582" i="9"/>
  <c r="EH582" i="9" s="1"/>
  <c r="X582" i="9"/>
  <c r="CO582" i="9" s="1"/>
  <c r="BK582" i="9"/>
  <c r="EB582" i="9" s="1"/>
  <c r="BC582" i="9"/>
  <c r="DT582" i="9" s="1"/>
  <c r="AF582" i="9"/>
  <c r="CW582" i="9" s="1"/>
  <c r="BG582" i="9"/>
  <c r="DX582" i="9" s="1"/>
  <c r="AO582" i="9"/>
  <c r="DF582" i="9" s="1"/>
  <c r="U582" i="9"/>
  <c r="CL582" i="9" s="1"/>
  <c r="Z582" i="9"/>
  <c r="CQ582" i="9" s="1"/>
  <c r="BL582" i="9"/>
  <c r="EC582" i="9" s="1"/>
  <c r="AX582" i="9"/>
  <c r="DO582" i="9" s="1"/>
  <c r="BN582" i="9"/>
  <c r="EE582" i="9" s="1"/>
  <c r="AQ582" i="9"/>
  <c r="DH582" i="9" s="1"/>
  <c r="AI582" i="9"/>
  <c r="CZ582" i="9" s="1"/>
  <c r="AS582" i="9"/>
  <c r="DJ582" i="9" s="1"/>
  <c r="BD582" i="9"/>
  <c r="DU582" i="9" s="1"/>
  <c r="AK582" i="9"/>
  <c r="DB582" i="9" s="1"/>
  <c r="AE582" i="9"/>
  <c r="CV582" i="9" s="1"/>
  <c r="AU582" i="9"/>
  <c r="DL582" i="9" s="1"/>
  <c r="AB582" i="9"/>
  <c r="CS582" i="9" s="1"/>
  <c r="AH582" i="9"/>
  <c r="CY582" i="9" s="1"/>
  <c r="AC582" i="9"/>
  <c r="CT582" i="9" s="1"/>
  <c r="BM582" i="9"/>
  <c r="ED582" i="9" s="1"/>
  <c r="AM582" i="9"/>
  <c r="DD582" i="9" s="1"/>
  <c r="AD582" i="9"/>
  <c r="CU582" i="9" s="1"/>
  <c r="BA582" i="9"/>
  <c r="DR582" i="9" s="1"/>
  <c r="AN582" i="9"/>
  <c r="DE582" i="9" s="1"/>
  <c r="AV582" i="9"/>
  <c r="DM582" i="9" s="1"/>
  <c r="AW582" i="9"/>
  <c r="DN582" i="9" s="1"/>
  <c r="V582" i="9"/>
  <c r="CM582" i="9" s="1"/>
  <c r="AT343" i="9"/>
  <c r="DK343" i="9" s="1"/>
  <c r="V343" i="9"/>
  <c r="CM343" i="9" s="1"/>
  <c r="BD343" i="9"/>
  <c r="DU343" i="9" s="1"/>
  <c r="AB343" i="9"/>
  <c r="CS343" i="9" s="1"/>
  <c r="AC343" i="9"/>
  <c r="CT343" i="9" s="1"/>
  <c r="BP343" i="9"/>
  <c r="EG343" i="9" s="1"/>
  <c r="AP343" i="9"/>
  <c r="DG343" i="9" s="1"/>
  <c r="X343" i="9"/>
  <c r="CO343" i="9" s="1"/>
  <c r="AE343" i="9"/>
  <c r="CV343" i="9" s="1"/>
  <c r="U343" i="9"/>
  <c r="CL343" i="9" s="1"/>
  <c r="AD343" i="9"/>
  <c r="CU343" i="9" s="1"/>
  <c r="AQ343" i="9"/>
  <c r="DH343" i="9" s="1"/>
  <c r="AL343" i="9"/>
  <c r="DC343" i="9" s="1"/>
  <c r="AJ343" i="9"/>
  <c r="DA343" i="9" s="1"/>
  <c r="AA343" i="9"/>
  <c r="CR343" i="9" s="1"/>
  <c r="AF343" i="9"/>
  <c r="CW343" i="9" s="1"/>
  <c r="BL343" i="9"/>
  <c r="EC343" i="9" s="1"/>
  <c r="BH343" i="9"/>
  <c r="DY343" i="9" s="1"/>
  <c r="BR343" i="9"/>
  <c r="EI343" i="9" s="1"/>
  <c r="AV343" i="9"/>
  <c r="DM343" i="9" s="1"/>
  <c r="Y343" i="9"/>
  <c r="CP343" i="9" s="1"/>
  <c r="AM343" i="9"/>
  <c r="DD343" i="9" s="1"/>
  <c r="BB343" i="9"/>
  <c r="DS343" i="9" s="1"/>
  <c r="AR343" i="9"/>
  <c r="DI343" i="9" s="1"/>
  <c r="AN343" i="9"/>
  <c r="DE343" i="9" s="1"/>
  <c r="AI343" i="9"/>
  <c r="CZ343" i="9" s="1"/>
  <c r="AO343" i="9"/>
  <c r="DF343" i="9" s="1"/>
  <c r="BO343" i="9"/>
  <c r="EF343" i="9" s="1"/>
  <c r="BN343" i="9"/>
  <c r="EE343" i="9" s="1"/>
  <c r="BQ343" i="9"/>
  <c r="EH343" i="9" s="1"/>
  <c r="BE343" i="9"/>
  <c r="DV343" i="9" s="1"/>
  <c r="BA343" i="9"/>
  <c r="DR343" i="9" s="1"/>
  <c r="BC343" i="9"/>
  <c r="DT343" i="9" s="1"/>
  <c r="Z343" i="9"/>
  <c r="CQ343" i="9" s="1"/>
  <c r="BG343" i="9"/>
  <c r="DX343" i="9" s="1"/>
  <c r="BF343" i="9"/>
  <c r="DW343" i="9" s="1"/>
  <c r="AS343" i="9"/>
  <c r="DJ343" i="9" s="1"/>
  <c r="BI343" i="9"/>
  <c r="DZ343" i="9" s="1"/>
  <c r="AK343" i="9"/>
  <c r="DB343" i="9" s="1"/>
  <c r="AX343" i="9"/>
  <c r="DO343" i="9" s="1"/>
  <c r="BK343" i="9"/>
  <c r="EB343" i="9" s="1"/>
  <c r="AG343" i="9"/>
  <c r="CX343" i="9" s="1"/>
  <c r="AU343" i="9"/>
  <c r="DL343" i="9" s="1"/>
  <c r="BJ343" i="9"/>
  <c r="EA343" i="9" s="1"/>
  <c r="W343" i="9"/>
  <c r="CN343" i="9" s="1"/>
  <c r="BM343" i="9"/>
  <c r="ED343" i="9" s="1"/>
  <c r="AZ343" i="9"/>
  <c r="DQ343" i="9" s="1"/>
  <c r="AY343" i="9"/>
  <c r="DP343" i="9" s="1"/>
  <c r="AW343" i="9"/>
  <c r="DN343" i="9" s="1"/>
  <c r="AH343" i="9"/>
  <c r="CY343" i="9" s="1"/>
  <c r="BH411" i="9"/>
  <c r="DY411" i="9" s="1"/>
  <c r="AK411" i="9"/>
  <c r="DB411" i="9" s="1"/>
  <c r="AG411" i="9"/>
  <c r="CX411" i="9" s="1"/>
  <c r="AU411" i="9"/>
  <c r="DL411" i="9" s="1"/>
  <c r="BP411" i="9"/>
  <c r="EG411" i="9" s="1"/>
  <c r="BF411" i="9"/>
  <c r="DW411" i="9" s="1"/>
  <c r="AZ411" i="9"/>
  <c r="DQ411" i="9" s="1"/>
  <c r="X411" i="9"/>
  <c r="CO411" i="9" s="1"/>
  <c r="BM411" i="9"/>
  <c r="ED411" i="9" s="1"/>
  <c r="BR411" i="9"/>
  <c r="EI411" i="9" s="1"/>
  <c r="AQ411" i="9"/>
  <c r="DH411" i="9" s="1"/>
  <c r="AE411" i="9"/>
  <c r="CV411" i="9" s="1"/>
  <c r="AI411" i="9"/>
  <c r="CZ411" i="9" s="1"/>
  <c r="AB411" i="9"/>
  <c r="CS411" i="9" s="1"/>
  <c r="AT411" i="9"/>
  <c r="DK411" i="9" s="1"/>
  <c r="AY411" i="9"/>
  <c r="DP411" i="9" s="1"/>
  <c r="AW411" i="9"/>
  <c r="DN411" i="9" s="1"/>
  <c r="AJ411" i="9"/>
  <c r="DA411" i="9" s="1"/>
  <c r="Y411" i="9"/>
  <c r="CP411" i="9" s="1"/>
  <c r="V411" i="9"/>
  <c r="CM411" i="9" s="1"/>
  <c r="BA411" i="9"/>
  <c r="DR411" i="9" s="1"/>
  <c r="BQ411" i="9"/>
  <c r="EH411" i="9" s="1"/>
  <c r="U411" i="9"/>
  <c r="CL411" i="9" s="1"/>
  <c r="AV411" i="9"/>
  <c r="DM411" i="9" s="1"/>
  <c r="BC411" i="9"/>
  <c r="DT411" i="9" s="1"/>
  <c r="BN411" i="9"/>
  <c r="EE411" i="9" s="1"/>
  <c r="AH411" i="9"/>
  <c r="CY411" i="9" s="1"/>
  <c r="AM411" i="9"/>
  <c r="DD411" i="9" s="1"/>
  <c r="AL411" i="9"/>
  <c r="DC411" i="9" s="1"/>
  <c r="AR411" i="9"/>
  <c r="DI411" i="9" s="1"/>
  <c r="W411" i="9"/>
  <c r="CN411" i="9" s="1"/>
  <c r="BK411" i="9"/>
  <c r="EB411" i="9" s="1"/>
  <c r="AF411" i="9"/>
  <c r="CW411" i="9" s="1"/>
  <c r="AD411" i="9"/>
  <c r="CU411" i="9" s="1"/>
  <c r="AO411" i="9"/>
  <c r="DF411" i="9" s="1"/>
  <c r="BB411" i="9"/>
  <c r="DS411" i="9" s="1"/>
  <c r="AC411" i="9"/>
  <c r="CT411" i="9" s="1"/>
  <c r="BG411" i="9"/>
  <c r="DX411" i="9" s="1"/>
  <c r="BI411" i="9"/>
  <c r="DZ411" i="9" s="1"/>
  <c r="AS411" i="9"/>
  <c r="DJ411" i="9" s="1"/>
  <c r="Z411" i="9"/>
  <c r="CQ411" i="9" s="1"/>
  <c r="AN411" i="9"/>
  <c r="DE411" i="9" s="1"/>
  <c r="BO411" i="9"/>
  <c r="EF411" i="9" s="1"/>
  <c r="BE411" i="9"/>
  <c r="DV411" i="9" s="1"/>
  <c r="AA411" i="9"/>
  <c r="CR411" i="9" s="1"/>
  <c r="BL411" i="9"/>
  <c r="EC411" i="9" s="1"/>
  <c r="BJ411" i="9"/>
  <c r="EA411" i="9" s="1"/>
  <c r="AX411" i="9"/>
  <c r="DO411" i="9" s="1"/>
  <c r="BD411" i="9"/>
  <c r="DU411" i="9" s="1"/>
  <c r="AP411" i="9"/>
  <c r="DG411" i="9" s="1"/>
  <c r="AX463" i="9"/>
  <c r="DO463" i="9" s="1"/>
  <c r="AR463" i="9"/>
  <c r="DI463" i="9" s="1"/>
  <c r="AL463" i="9"/>
  <c r="DC463" i="9" s="1"/>
  <c r="U463" i="9"/>
  <c r="CL463" i="9" s="1"/>
  <c r="AC463" i="9"/>
  <c r="CT463" i="9" s="1"/>
  <c r="AP463" i="9"/>
  <c r="DG463" i="9" s="1"/>
  <c r="AH463" i="9"/>
  <c r="CY463" i="9" s="1"/>
  <c r="AJ463" i="9"/>
  <c r="DA463" i="9" s="1"/>
  <c r="AB463" i="9"/>
  <c r="CS463" i="9" s="1"/>
  <c r="Z463" i="9"/>
  <c r="CQ463" i="9" s="1"/>
  <c r="AA463" i="9"/>
  <c r="CR463" i="9" s="1"/>
  <c r="AN463" i="9"/>
  <c r="DE463" i="9" s="1"/>
  <c r="BG463" i="9"/>
  <c r="DX463" i="9" s="1"/>
  <c r="AD463" i="9"/>
  <c r="CU463" i="9" s="1"/>
  <c r="V463" i="9"/>
  <c r="CM463" i="9" s="1"/>
  <c r="BO463" i="9"/>
  <c r="EF463" i="9" s="1"/>
  <c r="AS463" i="9"/>
  <c r="DJ463" i="9" s="1"/>
  <c r="W463" i="9"/>
  <c r="CN463" i="9" s="1"/>
  <c r="AG463" i="9"/>
  <c r="CX463" i="9" s="1"/>
  <c r="BN463" i="9"/>
  <c r="EE463" i="9" s="1"/>
  <c r="AY463" i="9"/>
  <c r="DP463" i="9" s="1"/>
  <c r="AQ463" i="9"/>
  <c r="DH463" i="9" s="1"/>
  <c r="AF463" i="9"/>
  <c r="CW463" i="9" s="1"/>
  <c r="BM463" i="9"/>
  <c r="ED463" i="9" s="1"/>
  <c r="BF463" i="9"/>
  <c r="DW463" i="9" s="1"/>
  <c r="BK463" i="9"/>
  <c r="EB463" i="9" s="1"/>
  <c r="BQ463" i="9"/>
  <c r="EH463" i="9" s="1"/>
  <c r="BP463" i="9"/>
  <c r="EG463" i="9" s="1"/>
  <c r="BC463" i="9"/>
  <c r="DT463" i="9" s="1"/>
  <c r="AT463" i="9"/>
  <c r="DK463" i="9" s="1"/>
  <c r="AV463" i="9"/>
  <c r="DM463" i="9" s="1"/>
  <c r="BB463" i="9"/>
  <c r="DS463" i="9" s="1"/>
  <c r="BH463" i="9"/>
  <c r="DY463" i="9" s="1"/>
  <c r="AZ463" i="9"/>
  <c r="DQ463" i="9" s="1"/>
  <c r="AW463" i="9"/>
  <c r="DN463" i="9" s="1"/>
  <c r="BJ463" i="9"/>
  <c r="EA463" i="9" s="1"/>
  <c r="Y463" i="9"/>
  <c r="CP463" i="9" s="1"/>
  <c r="AM463" i="9"/>
  <c r="DD463" i="9" s="1"/>
  <c r="BE463" i="9"/>
  <c r="DV463" i="9" s="1"/>
  <c r="AU463" i="9"/>
  <c r="DL463" i="9" s="1"/>
  <c r="BD463" i="9"/>
  <c r="DU463" i="9" s="1"/>
  <c r="BR463" i="9"/>
  <c r="EI463" i="9" s="1"/>
  <c r="BA463" i="9"/>
  <c r="DR463" i="9" s="1"/>
  <c r="AE463" i="9"/>
  <c r="CV463" i="9" s="1"/>
  <c r="BL463" i="9"/>
  <c r="EC463" i="9" s="1"/>
  <c r="BI463" i="9"/>
  <c r="DZ463" i="9" s="1"/>
  <c r="X463" i="9"/>
  <c r="CO463" i="9" s="1"/>
  <c r="AK463" i="9"/>
  <c r="DB463" i="9" s="1"/>
  <c r="AI463" i="9"/>
  <c r="CZ463" i="9" s="1"/>
  <c r="AO463" i="9"/>
  <c r="DF463" i="9" s="1"/>
  <c r="Q598" i="9"/>
  <c r="CH598" i="9" s="1"/>
  <c r="EG333" i="9"/>
  <c r="AE320" i="9"/>
  <c r="CV320" i="9" s="1"/>
  <c r="BG320" i="9"/>
  <c r="DX320" i="9" s="1"/>
  <c r="AL320" i="9"/>
  <c r="DC320" i="9" s="1"/>
  <c r="AC320" i="9"/>
  <c r="CT320" i="9" s="1"/>
  <c r="Y320" i="9"/>
  <c r="CP320" i="9" s="1"/>
  <c r="AQ320" i="9"/>
  <c r="DH320" i="9" s="1"/>
  <c r="AN320" i="9"/>
  <c r="DE320" i="9" s="1"/>
  <c r="AR320" i="9"/>
  <c r="DI320" i="9" s="1"/>
  <c r="BP320" i="9"/>
  <c r="EG320" i="9" s="1"/>
  <c r="AD320" i="9"/>
  <c r="CU320" i="9" s="1"/>
  <c r="BM320" i="9"/>
  <c r="ED320" i="9" s="1"/>
  <c r="AO320" i="9"/>
  <c r="DF320" i="9" s="1"/>
  <c r="BQ320" i="9"/>
  <c r="EH320" i="9" s="1"/>
  <c r="AW320" i="9"/>
  <c r="DN320" i="9" s="1"/>
  <c r="AP320" i="9"/>
  <c r="DG320" i="9" s="1"/>
  <c r="W320" i="9"/>
  <c r="CN320" i="9" s="1"/>
  <c r="AF320" i="9"/>
  <c r="CW320" i="9" s="1"/>
  <c r="X320" i="9"/>
  <c r="CO320" i="9" s="1"/>
  <c r="BI320" i="9"/>
  <c r="DZ320" i="9" s="1"/>
  <c r="AS320" i="9"/>
  <c r="DJ320" i="9" s="1"/>
  <c r="AI320" i="9"/>
  <c r="CZ320" i="9" s="1"/>
  <c r="AX320" i="9"/>
  <c r="DO320" i="9" s="1"/>
  <c r="V320" i="9"/>
  <c r="CM320" i="9" s="1"/>
  <c r="U320" i="9"/>
  <c r="CL320" i="9" s="1"/>
  <c r="BF320" i="9"/>
  <c r="DW320" i="9" s="1"/>
  <c r="BO320" i="9"/>
  <c r="EF320" i="9" s="1"/>
  <c r="BR320" i="9"/>
  <c r="EI320" i="9" s="1"/>
  <c r="AM320" i="9"/>
  <c r="DD320" i="9" s="1"/>
  <c r="AJ320" i="9"/>
  <c r="DA320" i="9" s="1"/>
  <c r="BB320" i="9"/>
  <c r="DS320" i="9" s="1"/>
  <c r="Z320" i="9"/>
  <c r="CQ320" i="9" s="1"/>
  <c r="BH320" i="9"/>
  <c r="DY320" i="9" s="1"/>
  <c r="AB320" i="9"/>
  <c r="CS320" i="9" s="1"/>
  <c r="BJ320" i="9"/>
  <c r="EA320" i="9" s="1"/>
  <c r="AG320" i="9"/>
  <c r="CX320" i="9" s="1"/>
  <c r="AK320" i="9"/>
  <c r="DB320" i="9" s="1"/>
  <c r="AH320" i="9"/>
  <c r="CY320" i="9" s="1"/>
  <c r="AV320" i="9"/>
  <c r="DM320" i="9" s="1"/>
  <c r="BK320" i="9"/>
  <c r="EB320" i="9" s="1"/>
  <c r="AA320" i="9"/>
  <c r="CR320" i="9" s="1"/>
  <c r="AT320" i="9"/>
  <c r="DK320" i="9" s="1"/>
  <c r="BA320" i="9"/>
  <c r="DR320" i="9" s="1"/>
  <c r="AZ320" i="9"/>
  <c r="DQ320" i="9" s="1"/>
  <c r="BN320" i="9"/>
  <c r="EE320" i="9" s="1"/>
  <c r="BL320" i="9"/>
  <c r="EC320" i="9" s="1"/>
  <c r="AU320" i="9"/>
  <c r="DL320" i="9" s="1"/>
  <c r="BE320" i="9"/>
  <c r="DV320" i="9" s="1"/>
  <c r="BD320" i="9"/>
  <c r="DU320" i="9" s="1"/>
  <c r="AY320" i="9"/>
  <c r="DP320" i="9" s="1"/>
  <c r="BC320" i="9"/>
  <c r="DT320" i="9" s="1"/>
  <c r="BM325" i="9"/>
  <c r="ED325" i="9" s="1"/>
  <c r="AV325" i="9"/>
  <c r="DM325" i="9" s="1"/>
  <c r="BB325" i="9"/>
  <c r="DS325" i="9" s="1"/>
  <c r="AK325" i="9"/>
  <c r="DB325" i="9" s="1"/>
  <c r="AC325" i="9"/>
  <c r="CT325" i="9" s="1"/>
  <c r="AP325" i="9"/>
  <c r="DG325" i="9" s="1"/>
  <c r="W325" i="9"/>
  <c r="CN325" i="9" s="1"/>
  <c r="AS325" i="9"/>
  <c r="DJ325" i="9" s="1"/>
  <c r="BF325" i="9"/>
  <c r="DW325" i="9" s="1"/>
  <c r="AR325" i="9"/>
  <c r="DI325" i="9" s="1"/>
  <c r="BR325" i="9"/>
  <c r="EI325" i="9" s="1"/>
  <c r="BI325" i="9"/>
  <c r="DZ325" i="9" s="1"/>
  <c r="Y325" i="9"/>
  <c r="CP325" i="9" s="1"/>
  <c r="AI325" i="9"/>
  <c r="CZ325" i="9" s="1"/>
  <c r="AG325" i="9"/>
  <c r="CX325" i="9" s="1"/>
  <c r="BH325" i="9"/>
  <c r="DY325" i="9" s="1"/>
  <c r="AE325" i="9"/>
  <c r="CV325" i="9" s="1"/>
  <c r="X325" i="9"/>
  <c r="CO325" i="9" s="1"/>
  <c r="BG325" i="9"/>
  <c r="DX325" i="9" s="1"/>
  <c r="AX325" i="9"/>
  <c r="DO325" i="9" s="1"/>
  <c r="AO325" i="9"/>
  <c r="DF325" i="9" s="1"/>
  <c r="BQ325" i="9"/>
  <c r="EH325" i="9" s="1"/>
  <c r="AW325" i="9"/>
  <c r="DN325" i="9" s="1"/>
  <c r="AQ325" i="9"/>
  <c r="DH325" i="9" s="1"/>
  <c r="AN325" i="9"/>
  <c r="DE325" i="9" s="1"/>
  <c r="Z325" i="9"/>
  <c r="CQ325" i="9" s="1"/>
  <c r="AH325" i="9"/>
  <c r="CY325" i="9" s="1"/>
  <c r="BJ325" i="9"/>
  <c r="EA325" i="9" s="1"/>
  <c r="AM325" i="9"/>
  <c r="DD325" i="9" s="1"/>
  <c r="AJ325" i="9"/>
  <c r="DA325" i="9" s="1"/>
  <c r="BP325" i="9"/>
  <c r="EG325" i="9" s="1"/>
  <c r="BO325" i="9"/>
  <c r="EF325" i="9" s="1"/>
  <c r="AB325" i="9"/>
  <c r="CS325" i="9" s="1"/>
  <c r="V325" i="9"/>
  <c r="CM325" i="9" s="1"/>
  <c r="AD325" i="9"/>
  <c r="CU325" i="9" s="1"/>
  <c r="U325" i="9"/>
  <c r="CL325" i="9" s="1"/>
  <c r="AL325" i="9"/>
  <c r="DC325" i="9" s="1"/>
  <c r="AF325" i="9"/>
  <c r="CW325" i="9" s="1"/>
  <c r="AU325" i="9"/>
  <c r="DL325" i="9" s="1"/>
  <c r="AY325" i="9"/>
  <c r="DP325" i="9" s="1"/>
  <c r="BL325" i="9"/>
  <c r="EC325" i="9" s="1"/>
  <c r="BD325" i="9"/>
  <c r="DU325" i="9" s="1"/>
  <c r="BE325" i="9"/>
  <c r="DV325" i="9" s="1"/>
  <c r="BC325" i="9"/>
  <c r="DT325" i="9" s="1"/>
  <c r="AT325" i="9"/>
  <c r="DK325" i="9" s="1"/>
  <c r="BN325" i="9"/>
  <c r="EE325" i="9" s="1"/>
  <c r="AZ325" i="9"/>
  <c r="DQ325" i="9" s="1"/>
  <c r="AA325" i="9"/>
  <c r="CR325" i="9" s="1"/>
  <c r="BK325" i="9"/>
  <c r="EB325" i="9" s="1"/>
  <c r="BA325" i="9"/>
  <c r="DR325" i="9" s="1"/>
  <c r="EC573" i="9"/>
  <c r="I434" i="9"/>
  <c r="I396" i="9"/>
  <c r="K396" i="9" s="1"/>
  <c r="I264" i="9"/>
  <c r="BJ577" i="9"/>
  <c r="EA577" i="9" s="1"/>
  <c r="BP577" i="9"/>
  <c r="EG577" i="9" s="1"/>
  <c r="AA577" i="9"/>
  <c r="CR577" i="9" s="1"/>
  <c r="BH577" i="9"/>
  <c r="DY577" i="9" s="1"/>
  <c r="AO577" i="9"/>
  <c r="DF577" i="9" s="1"/>
  <c r="AX577" i="9"/>
  <c r="DO577" i="9" s="1"/>
  <c r="AQ577" i="9"/>
  <c r="DH577" i="9" s="1"/>
  <c r="AI577" i="9"/>
  <c r="CZ577" i="9" s="1"/>
  <c r="BC577" i="9"/>
  <c r="DT577" i="9" s="1"/>
  <c r="BG577" i="9"/>
  <c r="DX577" i="9" s="1"/>
  <c r="X577" i="9"/>
  <c r="BL577" i="9"/>
  <c r="EC577" i="9" s="1"/>
  <c r="AL577" i="9"/>
  <c r="DC577" i="9" s="1"/>
  <c r="BI577" i="9"/>
  <c r="DZ577" i="9" s="1"/>
  <c r="BB577" i="9"/>
  <c r="DS577" i="9" s="1"/>
  <c r="BN577" i="9"/>
  <c r="EE577" i="9" s="1"/>
  <c r="W577" i="9"/>
  <c r="CN577" i="9" s="1"/>
  <c r="AZ577" i="9"/>
  <c r="DQ577" i="9" s="1"/>
  <c r="BR577" i="9"/>
  <c r="EI577" i="9" s="1"/>
  <c r="U577" i="9"/>
  <c r="CL577" i="9" s="1"/>
  <c r="AG577" i="9"/>
  <c r="CX577" i="9" s="1"/>
  <c r="AS577" i="9"/>
  <c r="DJ577" i="9" s="1"/>
  <c r="AP577" i="9"/>
  <c r="DG577" i="9" s="1"/>
  <c r="AT577" i="9"/>
  <c r="DK577" i="9" s="1"/>
  <c r="BO577" i="9"/>
  <c r="EF577" i="9" s="1"/>
  <c r="Y577" i="9"/>
  <c r="CP577" i="9" s="1"/>
  <c r="AF577" i="9"/>
  <c r="CW577" i="9" s="1"/>
  <c r="AR577" i="9"/>
  <c r="DI577" i="9" s="1"/>
  <c r="BQ577" i="9"/>
  <c r="EH577" i="9" s="1"/>
  <c r="AY577" i="9"/>
  <c r="DP577" i="9" s="1"/>
  <c r="AJ577" i="9"/>
  <c r="DA577" i="9" s="1"/>
  <c r="BE577" i="9"/>
  <c r="DV577" i="9" s="1"/>
  <c r="BF577" i="9"/>
  <c r="DW577" i="9" s="1"/>
  <c r="Z577" i="9"/>
  <c r="CQ577" i="9" s="1"/>
  <c r="BK577" i="9"/>
  <c r="EB577" i="9" s="1"/>
  <c r="AV577" i="9"/>
  <c r="AW577" i="9"/>
  <c r="AE577" i="9"/>
  <c r="AH577" i="9"/>
  <c r="AU577" i="9"/>
  <c r="AD577" i="9"/>
  <c r="AN577" i="9"/>
  <c r="BD577" i="9"/>
  <c r="AM577" i="9"/>
  <c r="AB577" i="9"/>
  <c r="AC577" i="9"/>
  <c r="AK577" i="9"/>
  <c r="V577" i="9"/>
  <c r="BM577" i="9"/>
  <c r="BA577" i="9"/>
  <c r="AR352" i="9"/>
  <c r="DI352" i="9" s="1"/>
  <c r="BL352" i="9"/>
  <c r="EC352" i="9" s="1"/>
  <c r="AM352" i="9"/>
  <c r="DD352" i="9" s="1"/>
  <c r="BO352" i="9"/>
  <c r="EF352" i="9" s="1"/>
  <c r="AJ352" i="9"/>
  <c r="DA352" i="9" s="1"/>
  <c r="BD352" i="9"/>
  <c r="DU352" i="9" s="1"/>
  <c r="AL352" i="9"/>
  <c r="DC352" i="9" s="1"/>
  <c r="AT352" i="9"/>
  <c r="DK352" i="9" s="1"/>
  <c r="AB352" i="9"/>
  <c r="CS352" i="9" s="1"/>
  <c r="AV352" i="9"/>
  <c r="DM352" i="9" s="1"/>
  <c r="AI352" i="9"/>
  <c r="CZ352" i="9" s="1"/>
  <c r="BQ352" i="9"/>
  <c r="EH352" i="9" s="1"/>
  <c r="BN352" i="9"/>
  <c r="EE352" i="9" s="1"/>
  <c r="AN352" i="9"/>
  <c r="DE352" i="9" s="1"/>
  <c r="BB352" i="9"/>
  <c r="DS352" i="9" s="1"/>
  <c r="AC352" i="9"/>
  <c r="CT352" i="9" s="1"/>
  <c r="AP352" i="9"/>
  <c r="DG352" i="9" s="1"/>
  <c r="AF352" i="9"/>
  <c r="CW352" i="9" s="1"/>
  <c r="AE352" i="9"/>
  <c r="CV352" i="9" s="1"/>
  <c r="U352" i="9"/>
  <c r="CL352" i="9" s="1"/>
  <c r="BE352" i="9"/>
  <c r="DV352" i="9" s="1"/>
  <c r="X352" i="9"/>
  <c r="CO352" i="9" s="1"/>
  <c r="AD352" i="9"/>
  <c r="CU352" i="9" s="1"/>
  <c r="BP352" i="9"/>
  <c r="EG352" i="9" s="1"/>
  <c r="AO352" i="9"/>
  <c r="DF352" i="9" s="1"/>
  <c r="AQ352" i="9"/>
  <c r="DH352" i="9" s="1"/>
  <c r="BR352" i="9"/>
  <c r="EI352" i="9" s="1"/>
  <c r="BH352" i="9"/>
  <c r="DY352" i="9" s="1"/>
  <c r="Y352" i="9"/>
  <c r="CP352" i="9" s="1"/>
  <c r="V352" i="9"/>
  <c r="CM352" i="9" s="1"/>
  <c r="AA352" i="9"/>
  <c r="CR352" i="9" s="1"/>
  <c r="AH352" i="9"/>
  <c r="CY352" i="9" s="1"/>
  <c r="BM352" i="9"/>
  <c r="ED352" i="9" s="1"/>
  <c r="AY352" i="9"/>
  <c r="DP352" i="9" s="1"/>
  <c r="AX352" i="9"/>
  <c r="DO352" i="9" s="1"/>
  <c r="BJ352" i="9"/>
  <c r="EA352" i="9" s="1"/>
  <c r="BI352" i="9"/>
  <c r="DZ352" i="9" s="1"/>
  <c r="BG352" i="9"/>
  <c r="DX352" i="9" s="1"/>
  <c r="BF352" i="9"/>
  <c r="DW352" i="9" s="1"/>
  <c r="AS352" i="9"/>
  <c r="DJ352" i="9" s="1"/>
  <c r="AG352" i="9"/>
  <c r="CX352" i="9" s="1"/>
  <c r="AZ352" i="9"/>
  <c r="DQ352" i="9" s="1"/>
  <c r="AU352" i="9"/>
  <c r="DL352" i="9" s="1"/>
  <c r="BA352" i="9"/>
  <c r="DR352" i="9" s="1"/>
  <c r="AW352" i="9"/>
  <c r="DN352" i="9" s="1"/>
  <c r="Z352" i="9"/>
  <c r="CQ352" i="9" s="1"/>
  <c r="AK352" i="9"/>
  <c r="DB352" i="9" s="1"/>
  <c r="BK352" i="9"/>
  <c r="EB352" i="9" s="1"/>
  <c r="W352" i="9"/>
  <c r="CN352" i="9" s="1"/>
  <c r="BC352" i="9"/>
  <c r="DT352" i="9" s="1"/>
  <c r="P577" i="9"/>
  <c r="CG577" i="9" s="1"/>
  <c r="BH424" i="9"/>
  <c r="DY424" i="9" s="1"/>
  <c r="AY424" i="9"/>
  <c r="DP424" i="9" s="1"/>
  <c r="BO424" i="9"/>
  <c r="EF424" i="9" s="1"/>
  <c r="AO424" i="9"/>
  <c r="DF424" i="9" s="1"/>
  <c r="AT424" i="9"/>
  <c r="DK424" i="9" s="1"/>
  <c r="AU424" i="9"/>
  <c r="DL424" i="9" s="1"/>
  <c r="BK424" i="9"/>
  <c r="EB424" i="9" s="1"/>
  <c r="AS424" i="9"/>
  <c r="DJ424" i="9" s="1"/>
  <c r="AG424" i="9"/>
  <c r="CX424" i="9" s="1"/>
  <c r="Y424" i="9"/>
  <c r="CP424" i="9" s="1"/>
  <c r="AJ424" i="9"/>
  <c r="DA424" i="9" s="1"/>
  <c r="AL424" i="9"/>
  <c r="DC424" i="9" s="1"/>
  <c r="BP424" i="9"/>
  <c r="EG424" i="9" s="1"/>
  <c r="W424" i="9"/>
  <c r="CN424" i="9" s="1"/>
  <c r="AK424" i="9"/>
  <c r="DB424" i="9" s="1"/>
  <c r="X424" i="9"/>
  <c r="CO424" i="9" s="1"/>
  <c r="AW424" i="9"/>
  <c r="DN424" i="9" s="1"/>
  <c r="AF424" i="9"/>
  <c r="CW424" i="9" s="1"/>
  <c r="AM424" i="9"/>
  <c r="DD424" i="9" s="1"/>
  <c r="AZ424" i="9"/>
  <c r="DQ424" i="9" s="1"/>
  <c r="AV424" i="9"/>
  <c r="DM424" i="9" s="1"/>
  <c r="AC424" i="9"/>
  <c r="CT424" i="9" s="1"/>
  <c r="Z424" i="9"/>
  <c r="CQ424" i="9" s="1"/>
  <c r="BG424" i="9"/>
  <c r="DX424" i="9" s="1"/>
  <c r="V424" i="9"/>
  <c r="CM424" i="9" s="1"/>
  <c r="AH424" i="9"/>
  <c r="CY424" i="9" s="1"/>
  <c r="AI424" i="9"/>
  <c r="CZ424" i="9" s="1"/>
  <c r="BQ424" i="9"/>
  <c r="EH424" i="9" s="1"/>
  <c r="AR424" i="9"/>
  <c r="DI424" i="9" s="1"/>
  <c r="U424" i="9"/>
  <c r="CL424" i="9" s="1"/>
  <c r="BM424" i="9"/>
  <c r="ED424" i="9" s="1"/>
  <c r="BC424" i="9"/>
  <c r="DT424" i="9" s="1"/>
  <c r="AN424" i="9"/>
  <c r="DE424" i="9" s="1"/>
  <c r="BF424" i="9"/>
  <c r="DW424" i="9" s="1"/>
  <c r="BR424" i="9"/>
  <c r="EI424" i="9" s="1"/>
  <c r="AD424" i="9"/>
  <c r="CU424" i="9" s="1"/>
  <c r="AE424" i="9"/>
  <c r="CV424" i="9" s="1"/>
  <c r="BB424" i="9"/>
  <c r="DS424" i="9" s="1"/>
  <c r="AQ424" i="9"/>
  <c r="DH424" i="9" s="1"/>
  <c r="BE424" i="9"/>
  <c r="DV424" i="9" s="1"/>
  <c r="BI424" i="9"/>
  <c r="DZ424" i="9" s="1"/>
  <c r="AB424" i="9"/>
  <c r="CS424" i="9" s="1"/>
  <c r="BA424" i="9"/>
  <c r="DR424" i="9" s="1"/>
  <c r="BN424" i="9"/>
  <c r="EE424" i="9" s="1"/>
  <c r="BL424" i="9"/>
  <c r="EC424" i="9" s="1"/>
  <c r="AX424" i="9"/>
  <c r="DO424" i="9" s="1"/>
  <c r="BD424" i="9"/>
  <c r="DU424" i="9" s="1"/>
  <c r="AP424" i="9"/>
  <c r="DG424" i="9" s="1"/>
  <c r="BJ424" i="9"/>
  <c r="EA424" i="9" s="1"/>
  <c r="AA424" i="9"/>
  <c r="CR424" i="9" s="1"/>
  <c r="AX455" i="9"/>
  <c r="DO455" i="9" s="1"/>
  <c r="AF455" i="9"/>
  <c r="BN455" i="9"/>
  <c r="AJ455" i="9"/>
  <c r="AP455" i="9"/>
  <c r="AA455" i="9"/>
  <c r="AR455" i="9"/>
  <c r="DI455" i="9" s="1"/>
  <c r="BO455" i="9"/>
  <c r="AB455" i="9"/>
  <c r="U455" i="9"/>
  <c r="AH455" i="9"/>
  <c r="Z455" i="9"/>
  <c r="AL455" i="9"/>
  <c r="W455" i="9"/>
  <c r="V455" i="9"/>
  <c r="AQ455" i="9"/>
  <c r="AG455" i="9"/>
  <c r="AN455" i="9"/>
  <c r="BM455" i="9"/>
  <c r="BG455" i="9"/>
  <c r="BF455" i="9"/>
  <c r="AS455" i="9"/>
  <c r="AD455" i="9"/>
  <c r="AY455" i="9"/>
  <c r="AC455" i="9"/>
  <c r="BB455" i="9"/>
  <c r="AM455" i="9"/>
  <c r="BC455" i="9"/>
  <c r="BI455" i="9"/>
  <c r="AZ455" i="9"/>
  <c r="BJ455" i="9"/>
  <c r="AI455" i="9"/>
  <c r="BQ455" i="9"/>
  <c r="AE455" i="9"/>
  <c r="Y455" i="9"/>
  <c r="BD455" i="9"/>
  <c r="AT455" i="9"/>
  <c r="AO455" i="9"/>
  <c r="X455" i="9"/>
  <c r="BL455" i="9"/>
  <c r="AU455" i="9"/>
  <c r="BR455" i="9"/>
  <c r="AK455" i="9"/>
  <c r="BA455" i="9"/>
  <c r="AV455" i="9"/>
  <c r="BH455" i="9"/>
  <c r="BP455" i="9"/>
  <c r="BE455" i="9"/>
  <c r="BK455" i="9"/>
  <c r="AW455" i="9"/>
  <c r="BI317" i="9"/>
  <c r="DZ317" i="9" s="1"/>
  <c r="AD317" i="9"/>
  <c r="CU317" i="9" s="1"/>
  <c r="AK317" i="9"/>
  <c r="DB317" i="9" s="1"/>
  <c r="AI317" i="9"/>
  <c r="CZ317" i="9" s="1"/>
  <c r="AF317" i="9"/>
  <c r="CW317" i="9" s="1"/>
  <c r="X317" i="9"/>
  <c r="CO317" i="9" s="1"/>
  <c r="AG317" i="9"/>
  <c r="CX317" i="9" s="1"/>
  <c r="BR317" i="9"/>
  <c r="EI317" i="9" s="1"/>
  <c r="BH317" i="9"/>
  <c r="DY317" i="9" s="1"/>
  <c r="V317" i="9"/>
  <c r="CM317" i="9" s="1"/>
  <c r="BJ317" i="9"/>
  <c r="EA317" i="9" s="1"/>
  <c r="Y317" i="9"/>
  <c r="CP317" i="9" s="1"/>
  <c r="AE317" i="9"/>
  <c r="CV317" i="9" s="1"/>
  <c r="AQ317" i="9"/>
  <c r="DH317" i="9" s="1"/>
  <c r="Z317" i="9"/>
  <c r="CQ317" i="9" s="1"/>
  <c r="BO317" i="9"/>
  <c r="EF317" i="9" s="1"/>
  <c r="AR317" i="9"/>
  <c r="DI317" i="9" s="1"/>
  <c r="AV317" i="9"/>
  <c r="DM317" i="9" s="1"/>
  <c r="AX317" i="9"/>
  <c r="DO317" i="9" s="1"/>
  <c r="AW317" i="9"/>
  <c r="DN317" i="9" s="1"/>
  <c r="BF317" i="9"/>
  <c r="DW317" i="9" s="1"/>
  <c r="AL317" i="9"/>
  <c r="DC317" i="9" s="1"/>
  <c r="AP317" i="9"/>
  <c r="DG317" i="9" s="1"/>
  <c r="AH317" i="9"/>
  <c r="CY317" i="9" s="1"/>
  <c r="BG317" i="9"/>
  <c r="DX317" i="9" s="1"/>
  <c r="W317" i="9"/>
  <c r="CN317" i="9" s="1"/>
  <c r="U317" i="9"/>
  <c r="CL317" i="9" s="1"/>
  <c r="AN317" i="9"/>
  <c r="DE317" i="9" s="1"/>
  <c r="AO317" i="9"/>
  <c r="DF317" i="9" s="1"/>
  <c r="BP317" i="9"/>
  <c r="EG317" i="9" s="1"/>
  <c r="AC317" i="9"/>
  <c r="CT317" i="9" s="1"/>
  <c r="AS317" i="9"/>
  <c r="DJ317" i="9" s="1"/>
  <c r="AM317" i="9"/>
  <c r="DD317" i="9" s="1"/>
  <c r="BM317" i="9"/>
  <c r="ED317" i="9" s="1"/>
  <c r="AJ317" i="9"/>
  <c r="DA317" i="9" s="1"/>
  <c r="BB317" i="9"/>
  <c r="DS317" i="9" s="1"/>
  <c r="BQ317" i="9"/>
  <c r="EH317" i="9" s="1"/>
  <c r="AB317" i="9"/>
  <c r="CS317" i="9" s="1"/>
  <c r="BL317" i="9"/>
  <c r="EC317" i="9" s="1"/>
  <c r="BN317" i="9"/>
  <c r="EE317" i="9" s="1"/>
  <c r="BC317" i="9"/>
  <c r="DT317" i="9" s="1"/>
  <c r="AT317" i="9"/>
  <c r="DK317" i="9" s="1"/>
  <c r="BK317" i="9"/>
  <c r="EB317" i="9" s="1"/>
  <c r="AA317" i="9"/>
  <c r="CR317" i="9" s="1"/>
  <c r="AZ317" i="9"/>
  <c r="DQ317" i="9" s="1"/>
  <c r="AU317" i="9"/>
  <c r="DL317" i="9" s="1"/>
  <c r="BE317" i="9"/>
  <c r="DV317" i="9" s="1"/>
  <c r="BA317" i="9"/>
  <c r="DR317" i="9" s="1"/>
  <c r="AY317" i="9"/>
  <c r="DP317" i="9" s="1"/>
  <c r="BD317" i="9"/>
  <c r="DU317" i="9" s="1"/>
  <c r="AD326" i="9"/>
  <c r="CU326" i="9" s="1"/>
  <c r="BP326" i="9"/>
  <c r="EG326" i="9" s="1"/>
  <c r="AI326" i="9"/>
  <c r="CZ326" i="9" s="1"/>
  <c r="AO326" i="9"/>
  <c r="DF326" i="9" s="1"/>
  <c r="AM326" i="9"/>
  <c r="DD326" i="9" s="1"/>
  <c r="V326" i="9"/>
  <c r="CM326" i="9" s="1"/>
  <c r="BH326" i="9"/>
  <c r="DY326" i="9" s="1"/>
  <c r="BF326" i="9"/>
  <c r="DW326" i="9" s="1"/>
  <c r="AG326" i="9"/>
  <c r="CX326" i="9" s="1"/>
  <c r="BR326" i="9"/>
  <c r="EI326" i="9" s="1"/>
  <c r="AS326" i="9"/>
  <c r="DJ326" i="9" s="1"/>
  <c r="AB326" i="9"/>
  <c r="CS326" i="9" s="1"/>
  <c r="AH326" i="9"/>
  <c r="CY326" i="9" s="1"/>
  <c r="AV326" i="9"/>
  <c r="DM326" i="9" s="1"/>
  <c r="BJ326" i="9"/>
  <c r="EA326" i="9" s="1"/>
  <c r="AK326" i="9"/>
  <c r="DB326" i="9" s="1"/>
  <c r="BO326" i="9"/>
  <c r="EF326" i="9" s="1"/>
  <c r="Z326" i="9"/>
  <c r="CQ326" i="9" s="1"/>
  <c r="AN326" i="9"/>
  <c r="DE326" i="9" s="1"/>
  <c r="AC326" i="9"/>
  <c r="CT326" i="9" s="1"/>
  <c r="BM326" i="9"/>
  <c r="ED326" i="9" s="1"/>
  <c r="U326" i="9"/>
  <c r="CL326" i="9" s="1"/>
  <c r="AW326" i="9"/>
  <c r="DN326" i="9" s="1"/>
  <c r="AE326" i="9"/>
  <c r="CV326" i="9" s="1"/>
  <c r="AR326" i="9"/>
  <c r="DI326" i="9" s="1"/>
  <c r="Y326" i="9"/>
  <c r="CP326" i="9" s="1"/>
  <c r="W326" i="9"/>
  <c r="CN326" i="9" s="1"/>
  <c r="AJ326" i="9"/>
  <c r="DA326" i="9" s="1"/>
  <c r="X326" i="9"/>
  <c r="CO326" i="9" s="1"/>
  <c r="BB326" i="9"/>
  <c r="DS326" i="9" s="1"/>
  <c r="BG326" i="9"/>
  <c r="DX326" i="9" s="1"/>
  <c r="AF326" i="9"/>
  <c r="CW326" i="9" s="1"/>
  <c r="AL326" i="9"/>
  <c r="DC326" i="9" s="1"/>
  <c r="AQ326" i="9"/>
  <c r="DH326" i="9" s="1"/>
  <c r="BQ326" i="9"/>
  <c r="EH326" i="9" s="1"/>
  <c r="AX326" i="9"/>
  <c r="DO326" i="9" s="1"/>
  <c r="BI326" i="9"/>
  <c r="DZ326" i="9" s="1"/>
  <c r="AP326" i="9"/>
  <c r="DG326" i="9" s="1"/>
  <c r="BE326" i="9"/>
  <c r="DV326" i="9" s="1"/>
  <c r="AZ326" i="9"/>
  <c r="DQ326" i="9" s="1"/>
  <c r="AT326" i="9"/>
  <c r="DK326" i="9" s="1"/>
  <c r="BK326" i="9"/>
  <c r="EB326" i="9" s="1"/>
  <c r="AA326" i="9"/>
  <c r="CR326" i="9" s="1"/>
  <c r="AU326" i="9"/>
  <c r="DL326" i="9" s="1"/>
  <c r="BN326" i="9"/>
  <c r="EE326" i="9" s="1"/>
  <c r="BL326" i="9"/>
  <c r="EC326" i="9" s="1"/>
  <c r="BD326" i="9"/>
  <c r="DU326" i="9" s="1"/>
  <c r="BA326" i="9"/>
  <c r="DR326" i="9" s="1"/>
  <c r="BC326" i="9"/>
  <c r="DT326" i="9" s="1"/>
  <c r="AY326" i="9"/>
  <c r="DP326" i="9" s="1"/>
  <c r="BH407" i="9"/>
  <c r="DY407" i="9" s="1"/>
  <c r="AU407" i="9"/>
  <c r="BO407" i="9"/>
  <c r="AI407" i="9"/>
  <c r="AS407" i="9"/>
  <c r="BF407" i="9"/>
  <c r="BI407" i="9"/>
  <c r="AW407" i="9"/>
  <c r="BA407" i="9"/>
  <c r="AG407" i="9"/>
  <c r="CX407" i="9" s="1"/>
  <c r="V407" i="9"/>
  <c r="AK407" i="9"/>
  <c r="AE407" i="9"/>
  <c r="AD407" i="9"/>
  <c r="BR407" i="9"/>
  <c r="AF407" i="9"/>
  <c r="AY407" i="9"/>
  <c r="AV407" i="9"/>
  <c r="AJ407" i="9"/>
  <c r="BN407" i="9"/>
  <c r="Z407" i="9"/>
  <c r="W407" i="9"/>
  <c r="BQ407" i="9"/>
  <c r="BP407" i="9"/>
  <c r="BK407" i="9"/>
  <c r="U407" i="9"/>
  <c r="AM407" i="9"/>
  <c r="BG407" i="9"/>
  <c r="BE407" i="9"/>
  <c r="AZ407" i="9"/>
  <c r="AT407" i="9"/>
  <c r="AB407" i="9"/>
  <c r="CS407" i="9" s="1"/>
  <c r="X407" i="9"/>
  <c r="AO407" i="9"/>
  <c r="BC407" i="9"/>
  <c r="AN407" i="9"/>
  <c r="Y407" i="9"/>
  <c r="AR407" i="9"/>
  <c r="AL407" i="9"/>
  <c r="AQ407" i="9"/>
  <c r="BB407" i="9"/>
  <c r="BM407" i="9"/>
  <c r="AH407" i="9"/>
  <c r="AC407" i="9"/>
  <c r="BL407" i="9"/>
  <c r="BD407" i="9"/>
  <c r="BJ407" i="9"/>
  <c r="AP407" i="9"/>
  <c r="AX407" i="9"/>
  <c r="AA407" i="9"/>
  <c r="BH421" i="9"/>
  <c r="DY421" i="9" s="1"/>
  <c r="BA421" i="9"/>
  <c r="DR421" i="9" s="1"/>
  <c r="BF421" i="9"/>
  <c r="DW421" i="9" s="1"/>
  <c r="AI421" i="9"/>
  <c r="CZ421" i="9" s="1"/>
  <c r="AO421" i="9"/>
  <c r="DF421" i="9" s="1"/>
  <c r="AD421" i="9"/>
  <c r="CU421" i="9" s="1"/>
  <c r="BP421" i="9"/>
  <c r="EG421" i="9" s="1"/>
  <c r="W421" i="9"/>
  <c r="CN421" i="9" s="1"/>
  <c r="AB421" i="9"/>
  <c r="CS421" i="9" s="1"/>
  <c r="X421" i="9"/>
  <c r="CO421" i="9" s="1"/>
  <c r="AK421" i="9"/>
  <c r="DB421" i="9" s="1"/>
  <c r="AW421" i="9"/>
  <c r="DN421" i="9" s="1"/>
  <c r="AY421" i="9"/>
  <c r="DP421" i="9" s="1"/>
  <c r="BO421" i="9"/>
  <c r="EF421" i="9" s="1"/>
  <c r="AU421" i="9"/>
  <c r="DL421" i="9" s="1"/>
  <c r="BK421" i="9"/>
  <c r="EB421" i="9" s="1"/>
  <c r="AJ421" i="9"/>
  <c r="DA421" i="9" s="1"/>
  <c r="AS421" i="9"/>
  <c r="DJ421" i="9" s="1"/>
  <c r="AF421" i="9"/>
  <c r="CW421" i="9" s="1"/>
  <c r="BR421" i="9"/>
  <c r="EI421" i="9" s="1"/>
  <c r="V421" i="9"/>
  <c r="CM421" i="9" s="1"/>
  <c r="AZ421" i="9"/>
  <c r="DQ421" i="9" s="1"/>
  <c r="AM421" i="9"/>
  <c r="DD421" i="9" s="1"/>
  <c r="AQ421" i="9"/>
  <c r="DH421" i="9" s="1"/>
  <c r="AL421" i="9"/>
  <c r="DC421" i="9" s="1"/>
  <c r="U421" i="9"/>
  <c r="CL421" i="9" s="1"/>
  <c r="AR421" i="9"/>
  <c r="DI421" i="9" s="1"/>
  <c r="BC421" i="9"/>
  <c r="DT421" i="9" s="1"/>
  <c r="AH421" i="9"/>
  <c r="CY421" i="9" s="1"/>
  <c r="AG421" i="9"/>
  <c r="CX421" i="9" s="1"/>
  <c r="Z421" i="9"/>
  <c r="CQ421" i="9" s="1"/>
  <c r="AT421" i="9"/>
  <c r="DK421" i="9" s="1"/>
  <c r="BE421" i="9"/>
  <c r="DV421" i="9" s="1"/>
  <c r="BI421" i="9"/>
  <c r="DZ421" i="9" s="1"/>
  <c r="AN421" i="9"/>
  <c r="DE421" i="9" s="1"/>
  <c r="AC421" i="9"/>
  <c r="CT421" i="9" s="1"/>
  <c r="AE421" i="9"/>
  <c r="CV421" i="9" s="1"/>
  <c r="BQ421" i="9"/>
  <c r="EH421" i="9" s="1"/>
  <c r="BB421" i="9"/>
  <c r="DS421" i="9" s="1"/>
  <c r="BG421" i="9"/>
  <c r="DX421" i="9" s="1"/>
  <c r="BN421" i="9"/>
  <c r="EE421" i="9" s="1"/>
  <c r="Y421" i="9"/>
  <c r="CP421" i="9" s="1"/>
  <c r="AV421" i="9"/>
  <c r="DM421" i="9" s="1"/>
  <c r="BM421" i="9"/>
  <c r="ED421" i="9" s="1"/>
  <c r="BL421" i="9"/>
  <c r="EC421" i="9" s="1"/>
  <c r="BD421" i="9"/>
  <c r="DU421" i="9" s="1"/>
  <c r="AX421" i="9"/>
  <c r="DO421" i="9" s="1"/>
  <c r="AA421" i="9"/>
  <c r="CR421" i="9" s="1"/>
  <c r="BJ421" i="9"/>
  <c r="EA421" i="9" s="1"/>
  <c r="AP421" i="9"/>
  <c r="DG421" i="9" s="1"/>
  <c r="AX456" i="9"/>
  <c r="DO456" i="9" s="1"/>
  <c r="AH456" i="9"/>
  <c r="CY456" i="9" s="1"/>
  <c r="AA456" i="9"/>
  <c r="CR456" i="9" s="1"/>
  <c r="Z456" i="9"/>
  <c r="CQ456" i="9" s="1"/>
  <c r="AP456" i="9"/>
  <c r="DG456" i="9" s="1"/>
  <c r="AR456" i="9"/>
  <c r="DI456" i="9" s="1"/>
  <c r="BO456" i="9"/>
  <c r="EF456" i="9" s="1"/>
  <c r="AL456" i="9"/>
  <c r="DC456" i="9" s="1"/>
  <c r="AC456" i="9"/>
  <c r="CT456" i="9" s="1"/>
  <c r="AN456" i="9"/>
  <c r="DE456" i="9" s="1"/>
  <c r="U456" i="9"/>
  <c r="CL456" i="9" s="1"/>
  <c r="AY456" i="9"/>
  <c r="DP456" i="9" s="1"/>
  <c r="BN456" i="9"/>
  <c r="EE456" i="9" s="1"/>
  <c r="AB456" i="9"/>
  <c r="CS456" i="9" s="1"/>
  <c r="BM456" i="9"/>
  <c r="ED456" i="9" s="1"/>
  <c r="AG456" i="9"/>
  <c r="CX456" i="9" s="1"/>
  <c r="AF456" i="9"/>
  <c r="CW456" i="9" s="1"/>
  <c r="BF456" i="9"/>
  <c r="DW456" i="9" s="1"/>
  <c r="AJ456" i="9"/>
  <c r="DA456" i="9" s="1"/>
  <c r="BG456" i="9"/>
  <c r="DX456" i="9" s="1"/>
  <c r="AD456" i="9"/>
  <c r="CU456" i="9" s="1"/>
  <c r="AQ456" i="9"/>
  <c r="DH456" i="9" s="1"/>
  <c r="AS456" i="9"/>
  <c r="DJ456" i="9" s="1"/>
  <c r="V456" i="9"/>
  <c r="CM456" i="9" s="1"/>
  <c r="W456" i="9"/>
  <c r="CN456" i="9" s="1"/>
  <c r="AK456" i="9"/>
  <c r="DB456" i="9" s="1"/>
  <c r="BH456" i="9"/>
  <c r="DY456" i="9" s="1"/>
  <c r="BR456" i="9"/>
  <c r="EI456" i="9" s="1"/>
  <c r="AW456" i="9"/>
  <c r="DN456" i="9" s="1"/>
  <c r="AE456" i="9"/>
  <c r="CV456" i="9" s="1"/>
  <c r="BE456" i="9"/>
  <c r="DV456" i="9" s="1"/>
  <c r="AI456" i="9"/>
  <c r="CZ456" i="9" s="1"/>
  <c r="BC456" i="9"/>
  <c r="DT456" i="9" s="1"/>
  <c r="BQ456" i="9"/>
  <c r="EH456" i="9" s="1"/>
  <c r="AZ456" i="9"/>
  <c r="DQ456" i="9" s="1"/>
  <c r="AO456" i="9"/>
  <c r="DF456" i="9" s="1"/>
  <c r="Y456" i="9"/>
  <c r="CP456" i="9" s="1"/>
  <c r="BB456" i="9"/>
  <c r="DS456" i="9" s="1"/>
  <c r="BL456" i="9"/>
  <c r="EC456" i="9" s="1"/>
  <c r="BP456" i="9"/>
  <c r="EG456" i="9" s="1"/>
  <c r="BD456" i="9"/>
  <c r="DU456" i="9" s="1"/>
  <c r="AT456" i="9"/>
  <c r="DK456" i="9" s="1"/>
  <c r="AV456" i="9"/>
  <c r="DM456" i="9" s="1"/>
  <c r="BK456" i="9"/>
  <c r="EB456" i="9" s="1"/>
  <c r="BJ456" i="9"/>
  <c r="EA456" i="9" s="1"/>
  <c r="X456" i="9"/>
  <c r="CO456" i="9" s="1"/>
  <c r="AM456" i="9"/>
  <c r="DD456" i="9" s="1"/>
  <c r="BI456" i="9"/>
  <c r="DZ456" i="9" s="1"/>
  <c r="BA456" i="9"/>
  <c r="DR456" i="9" s="1"/>
  <c r="AU456" i="9"/>
  <c r="DL456" i="9" s="1"/>
  <c r="I329" i="9"/>
  <c r="AQ309" i="9"/>
  <c r="AW309" i="9"/>
  <c r="AM309" i="9"/>
  <c r="V309" i="9"/>
  <c r="BP309" i="9"/>
  <c r="AI309" i="9"/>
  <c r="AO309" i="9"/>
  <c r="AE309" i="9"/>
  <c r="AS309" i="9"/>
  <c r="BH309" i="9"/>
  <c r="BF309" i="9"/>
  <c r="AG309" i="9"/>
  <c r="W309" i="9"/>
  <c r="AK309" i="9"/>
  <c r="AR309" i="9"/>
  <c r="AX309" i="9"/>
  <c r="Y309" i="9"/>
  <c r="BR309" i="9"/>
  <c r="AC309" i="9"/>
  <c r="AJ309" i="9"/>
  <c r="AP309" i="9"/>
  <c r="AV309" i="9"/>
  <c r="BJ309" i="9"/>
  <c r="U309" i="9"/>
  <c r="AB309" i="9"/>
  <c r="AH309" i="9"/>
  <c r="AN309" i="9"/>
  <c r="BB309" i="9"/>
  <c r="BQ309" i="9"/>
  <c r="BO309" i="9"/>
  <c r="Z309" i="9"/>
  <c r="AF309" i="9"/>
  <c r="AL309" i="9"/>
  <c r="BI309" i="9"/>
  <c r="BG309" i="9"/>
  <c r="BM309" i="9"/>
  <c r="X309" i="9"/>
  <c r="AD309" i="9"/>
  <c r="AT309" i="9"/>
  <c r="BA309" i="9"/>
  <c r="AZ309" i="9"/>
  <c r="BC309" i="9"/>
  <c r="BL309" i="9"/>
  <c r="BE309" i="9"/>
  <c r="AY309" i="9"/>
  <c r="BN309" i="9"/>
  <c r="BK309" i="9"/>
  <c r="AA309" i="9"/>
  <c r="AU309" i="9"/>
  <c r="BD309" i="9"/>
  <c r="BP314" i="9"/>
  <c r="EG314" i="9" s="1"/>
  <c r="AI314" i="9"/>
  <c r="CZ314" i="9" s="1"/>
  <c r="AO314" i="9"/>
  <c r="DF314" i="9" s="1"/>
  <c r="AE314" i="9"/>
  <c r="CV314" i="9" s="1"/>
  <c r="BH314" i="9"/>
  <c r="DY314" i="9" s="1"/>
  <c r="BF314" i="9"/>
  <c r="DW314" i="9" s="1"/>
  <c r="AG314" i="9"/>
  <c r="CX314" i="9" s="1"/>
  <c r="W314" i="9"/>
  <c r="CN314" i="9" s="1"/>
  <c r="BQ314" i="9"/>
  <c r="EH314" i="9" s="1"/>
  <c r="AR314" i="9"/>
  <c r="DI314" i="9" s="1"/>
  <c r="AX314" i="9"/>
  <c r="DO314" i="9" s="1"/>
  <c r="Y314" i="9"/>
  <c r="CP314" i="9" s="1"/>
  <c r="BR314" i="9"/>
  <c r="EI314" i="9" s="1"/>
  <c r="BI314" i="9"/>
  <c r="DZ314" i="9" s="1"/>
  <c r="AJ314" i="9"/>
  <c r="DA314" i="9" s="1"/>
  <c r="AP314" i="9"/>
  <c r="DG314" i="9" s="1"/>
  <c r="AV314" i="9"/>
  <c r="DM314" i="9" s="1"/>
  <c r="BJ314" i="9"/>
  <c r="EA314" i="9" s="1"/>
  <c r="AS314" i="9"/>
  <c r="DJ314" i="9" s="1"/>
  <c r="AB314" i="9"/>
  <c r="CS314" i="9" s="1"/>
  <c r="AH314" i="9"/>
  <c r="CY314" i="9" s="1"/>
  <c r="AN314" i="9"/>
  <c r="DE314" i="9" s="1"/>
  <c r="BB314" i="9"/>
  <c r="DS314" i="9" s="1"/>
  <c r="AK314" i="9"/>
  <c r="DB314" i="9" s="1"/>
  <c r="BO314" i="9"/>
  <c r="EF314" i="9" s="1"/>
  <c r="Z314" i="9"/>
  <c r="CQ314" i="9" s="1"/>
  <c r="AF314" i="9"/>
  <c r="CW314" i="9" s="1"/>
  <c r="AL314" i="9"/>
  <c r="DC314" i="9" s="1"/>
  <c r="U314" i="9"/>
  <c r="CL314" i="9" s="1"/>
  <c r="AQ314" i="9"/>
  <c r="DH314" i="9" s="1"/>
  <c r="AW314" i="9"/>
  <c r="DN314" i="9" s="1"/>
  <c r="AM314" i="9"/>
  <c r="DD314" i="9" s="1"/>
  <c r="V314" i="9"/>
  <c r="CM314" i="9" s="1"/>
  <c r="AC314" i="9"/>
  <c r="CT314" i="9" s="1"/>
  <c r="BG314" i="9"/>
  <c r="DX314" i="9" s="1"/>
  <c r="BM314" i="9"/>
  <c r="ED314" i="9" s="1"/>
  <c r="X314" i="9"/>
  <c r="CO314" i="9" s="1"/>
  <c r="AD314" i="9"/>
  <c r="CU314" i="9" s="1"/>
  <c r="AA314" i="9"/>
  <c r="CR314" i="9" s="1"/>
  <c r="BE314" i="9"/>
  <c r="DV314" i="9" s="1"/>
  <c r="BD314" i="9"/>
  <c r="DU314" i="9" s="1"/>
  <c r="BK314" i="9"/>
  <c r="EB314" i="9" s="1"/>
  <c r="AT314" i="9"/>
  <c r="DK314" i="9" s="1"/>
  <c r="BA314" i="9"/>
  <c r="DR314" i="9" s="1"/>
  <c r="BL314" i="9"/>
  <c r="EC314" i="9" s="1"/>
  <c r="AU314" i="9"/>
  <c r="DL314" i="9" s="1"/>
  <c r="AZ314" i="9"/>
  <c r="DQ314" i="9" s="1"/>
  <c r="AY314" i="9"/>
  <c r="DP314" i="9" s="1"/>
  <c r="BC314" i="9"/>
  <c r="DT314" i="9" s="1"/>
  <c r="BN314" i="9"/>
  <c r="EE314" i="9" s="1"/>
  <c r="AM323" i="9"/>
  <c r="DD323" i="9" s="1"/>
  <c r="AG323" i="9"/>
  <c r="CX323" i="9" s="1"/>
  <c r="BR323" i="9"/>
  <c r="EI323" i="9" s="1"/>
  <c r="U323" i="9"/>
  <c r="CL323" i="9" s="1"/>
  <c r="AQ323" i="9"/>
  <c r="DH323" i="9" s="1"/>
  <c r="AK323" i="9"/>
  <c r="DB323" i="9" s="1"/>
  <c r="AO323" i="9"/>
  <c r="DF323" i="9" s="1"/>
  <c r="AB323" i="9"/>
  <c r="CS323" i="9" s="1"/>
  <c r="BB323" i="9"/>
  <c r="DS323" i="9" s="1"/>
  <c r="BG323" i="9"/>
  <c r="DX323" i="9" s="1"/>
  <c r="AW323" i="9"/>
  <c r="DN323" i="9" s="1"/>
  <c r="AE323" i="9"/>
  <c r="CV323" i="9" s="1"/>
  <c r="W323" i="9"/>
  <c r="CN323" i="9" s="1"/>
  <c r="AI323" i="9"/>
  <c r="CZ323" i="9" s="1"/>
  <c r="AR323" i="9"/>
  <c r="DI323" i="9" s="1"/>
  <c r="AL323" i="9"/>
  <c r="DC323" i="9" s="1"/>
  <c r="BI323" i="9"/>
  <c r="DZ323" i="9" s="1"/>
  <c r="BM323" i="9"/>
  <c r="ED323" i="9" s="1"/>
  <c r="AJ323" i="9"/>
  <c r="DA323" i="9" s="1"/>
  <c r="AV323" i="9"/>
  <c r="DM323" i="9" s="1"/>
  <c r="AP323" i="9"/>
  <c r="DG323" i="9" s="1"/>
  <c r="AD323" i="9"/>
  <c r="CU323" i="9" s="1"/>
  <c r="BH323" i="9"/>
  <c r="DY323" i="9" s="1"/>
  <c r="AH323" i="9"/>
  <c r="CY323" i="9" s="1"/>
  <c r="V323" i="9"/>
  <c r="CM323" i="9" s="1"/>
  <c r="AS323" i="9"/>
  <c r="DJ323" i="9" s="1"/>
  <c r="X323" i="9"/>
  <c r="CO323" i="9" s="1"/>
  <c r="AC323" i="9"/>
  <c r="CT323" i="9" s="1"/>
  <c r="AN323" i="9"/>
  <c r="DE323" i="9" s="1"/>
  <c r="AX323" i="9"/>
  <c r="DO323" i="9" s="1"/>
  <c r="AF323" i="9"/>
  <c r="CW323" i="9" s="1"/>
  <c r="BQ323" i="9"/>
  <c r="EH323" i="9" s="1"/>
  <c r="BJ323" i="9"/>
  <c r="EA323" i="9" s="1"/>
  <c r="Y323" i="9"/>
  <c r="CP323" i="9" s="1"/>
  <c r="Z323" i="9"/>
  <c r="CQ323" i="9" s="1"/>
  <c r="BF323" i="9"/>
  <c r="DW323" i="9" s="1"/>
  <c r="BO323" i="9"/>
  <c r="EF323" i="9" s="1"/>
  <c r="BP323" i="9"/>
  <c r="EG323" i="9" s="1"/>
  <c r="AY323" i="9"/>
  <c r="DP323" i="9" s="1"/>
  <c r="AU323" i="9"/>
  <c r="DL323" i="9" s="1"/>
  <c r="BK323" i="9"/>
  <c r="EB323" i="9" s="1"/>
  <c r="BA323" i="9"/>
  <c r="DR323" i="9" s="1"/>
  <c r="BE323" i="9"/>
  <c r="DV323" i="9" s="1"/>
  <c r="BN323" i="9"/>
  <c r="EE323" i="9" s="1"/>
  <c r="BD323" i="9"/>
  <c r="DU323" i="9" s="1"/>
  <c r="BL323" i="9"/>
  <c r="EC323" i="9" s="1"/>
  <c r="AZ323" i="9"/>
  <c r="DQ323" i="9" s="1"/>
  <c r="AA323" i="9"/>
  <c r="CR323" i="9" s="1"/>
  <c r="BC323" i="9"/>
  <c r="DT323" i="9" s="1"/>
  <c r="AT323" i="9"/>
  <c r="DK323" i="9" s="1"/>
  <c r="K598" i="9"/>
  <c r="I199" i="9"/>
  <c r="K673" i="9"/>
  <c r="CB673" i="9" s="1"/>
  <c r="I202" i="9"/>
  <c r="BE229" i="9"/>
  <c r="DV229" i="9" s="1"/>
  <c r="AV229" i="9"/>
  <c r="DM229" i="9" s="1"/>
  <c r="BF229" i="9"/>
  <c r="DW229" i="9" s="1"/>
  <c r="BB229" i="9"/>
  <c r="DS229" i="9" s="1"/>
  <c r="AY229" i="9"/>
  <c r="DP229" i="9" s="1"/>
  <c r="BJ229" i="9"/>
  <c r="EA229" i="9" s="1"/>
  <c r="BT345" i="9"/>
  <c r="L218" i="6" s="1"/>
  <c r="BT592" i="9"/>
  <c r="L445" i="6" s="1"/>
  <c r="BU324" i="9"/>
  <c r="M199" i="6" s="1"/>
  <c r="BT460" i="9"/>
  <c r="L323" i="6" s="1"/>
  <c r="BU460" i="9"/>
  <c r="M323" i="6" s="1"/>
  <c r="BU345" i="9"/>
  <c r="M218" i="6" s="1"/>
  <c r="BT324" i="9"/>
  <c r="L199" i="6" s="1"/>
  <c r="K568" i="9"/>
  <c r="I190" i="9"/>
  <c r="BU592" i="9"/>
  <c r="M445" i="6" s="1"/>
  <c r="K386" i="9"/>
  <c r="CC430" i="9"/>
  <c r="K415" i="9"/>
  <c r="K411" i="9"/>
  <c r="K420" i="9"/>
  <c r="K422" i="9"/>
  <c r="K419" i="9"/>
  <c r="K423" i="9"/>
  <c r="K410" i="9"/>
  <c r="K413" i="9"/>
  <c r="K421" i="9"/>
  <c r="K408" i="9"/>
  <c r="K407" i="9"/>
  <c r="K414" i="9"/>
  <c r="I191" i="9"/>
  <c r="K406" i="9"/>
  <c r="K405" i="9"/>
  <c r="K416" i="9"/>
  <c r="K409" i="9"/>
  <c r="K418" i="9"/>
  <c r="K417" i="9"/>
  <c r="K424" i="9"/>
  <c r="K412" i="9"/>
  <c r="U42" i="2"/>
  <c r="I221" i="9"/>
  <c r="BQ221" i="9" s="1"/>
  <c r="EH221" i="9" s="1"/>
  <c r="I226" i="9"/>
  <c r="BN226" i="9" s="1"/>
  <c r="EE226" i="9" s="1"/>
  <c r="I220" i="9"/>
  <c r="I231" i="9"/>
  <c r="BM231" i="9" s="1"/>
  <c r="ED231" i="9" s="1"/>
  <c r="BO229" i="9"/>
  <c r="EF229" i="9" s="1"/>
  <c r="BN229" i="9"/>
  <c r="EE229" i="9" s="1"/>
  <c r="BQ229" i="9"/>
  <c r="EH229" i="9" s="1"/>
  <c r="BP229" i="9"/>
  <c r="EG229" i="9" s="1"/>
  <c r="BR229" i="9"/>
  <c r="EI229" i="9" s="1"/>
  <c r="BM229" i="9"/>
  <c r="ED229" i="9" s="1"/>
  <c r="AU229" i="9"/>
  <c r="DL229" i="9" s="1"/>
  <c r="BG229" i="9"/>
  <c r="DX229" i="9" s="1"/>
  <c r="BI229" i="9"/>
  <c r="DZ229" i="9" s="1"/>
  <c r="AW229" i="9"/>
  <c r="DN229" i="9" s="1"/>
  <c r="AZ229" i="9"/>
  <c r="DQ229" i="9" s="1"/>
  <c r="BA229" i="9"/>
  <c r="DR229" i="9" s="1"/>
  <c r="BD229" i="9"/>
  <c r="DU229" i="9" s="1"/>
  <c r="BC229" i="9"/>
  <c r="DT229" i="9" s="1"/>
  <c r="BK229" i="9"/>
  <c r="EB229" i="9" s="1"/>
  <c r="AT229" i="9"/>
  <c r="DK229" i="9" s="1"/>
  <c r="BL229" i="9"/>
  <c r="EC229" i="9" s="1"/>
  <c r="AX229" i="9"/>
  <c r="DO229" i="9" s="1"/>
  <c r="I216" i="9"/>
  <c r="AP216" i="9" s="1"/>
  <c r="DG216" i="9" s="1"/>
  <c r="I218" i="9"/>
  <c r="I219" i="9"/>
  <c r="I222" i="9"/>
  <c r="I213" i="9"/>
  <c r="AI213" i="9" s="1"/>
  <c r="I223" i="9"/>
  <c r="I224" i="9"/>
  <c r="I225" i="9"/>
  <c r="I228" i="9"/>
  <c r="AK228" i="9" s="1"/>
  <c r="DB228" i="9" s="1"/>
  <c r="I217" i="9"/>
  <c r="I227" i="9"/>
  <c r="I214" i="9"/>
  <c r="AQ214" i="9" s="1"/>
  <c r="DH214" i="9" s="1"/>
  <c r="I230" i="9"/>
  <c r="I232" i="9"/>
  <c r="I215" i="9"/>
  <c r="BE46" i="4"/>
  <c r="BE36" i="4"/>
  <c r="BZ219" i="9"/>
  <c r="BB32" i="8"/>
  <c r="BC32" i="8" s="1"/>
  <c r="BA528" i="8"/>
  <c r="AZ522" i="8"/>
  <c r="BA488" i="8"/>
  <c r="BA173" i="8"/>
  <c r="BA521" i="8"/>
  <c r="BA535" i="8"/>
  <c r="AZ444" i="8"/>
  <c r="BA452" i="8"/>
  <c r="BA510" i="8"/>
  <c r="BA350" i="8"/>
  <c r="BA428" i="8"/>
  <c r="AZ534" i="8"/>
  <c r="BA493" i="8"/>
  <c r="BA471" i="8"/>
  <c r="BA511" i="8"/>
  <c r="BA446" i="8"/>
  <c r="BA499" i="8"/>
  <c r="BA172" i="8"/>
  <c r="BA150" i="8"/>
  <c r="AZ356" i="8"/>
  <c r="AZ521" i="8"/>
  <c r="AZ529" i="8"/>
  <c r="AZ535" i="8"/>
  <c r="AZ174" i="8"/>
  <c r="BA260" i="8"/>
  <c r="BA413" i="8"/>
  <c r="AZ510" i="8"/>
  <c r="BA532" i="8"/>
  <c r="BA530" i="8"/>
  <c r="BA467" i="8"/>
  <c r="BA505" i="8"/>
  <c r="AZ511" i="8"/>
  <c r="AZ480" i="8"/>
  <c r="AZ447" i="8"/>
  <c r="BA489" i="8"/>
  <c r="AZ470" i="8"/>
  <c r="BA425" i="8"/>
  <c r="AZ424" i="8"/>
  <c r="BA424" i="8"/>
  <c r="AZ434" i="8"/>
  <c r="BA431" i="8"/>
  <c r="AZ415" i="8"/>
  <c r="BA178" i="8"/>
  <c r="BA490" i="8"/>
  <c r="BA494" i="8"/>
  <c r="AZ499" i="8"/>
  <c r="BA515" i="8"/>
  <c r="BA161" i="8"/>
  <c r="AZ533" i="8"/>
  <c r="BA423" i="8"/>
  <c r="BA502" i="8"/>
  <c r="BA381" i="8"/>
  <c r="BA487" i="8"/>
  <c r="AZ493" i="8"/>
  <c r="BA526" i="8"/>
  <c r="AZ467" i="8"/>
  <c r="BA473" i="8"/>
  <c r="AZ476" i="8"/>
  <c r="AZ435" i="8"/>
  <c r="BA396" i="8"/>
  <c r="BA445" i="8"/>
  <c r="AZ431" i="8"/>
  <c r="BA354" i="8"/>
  <c r="AZ371" i="8"/>
  <c r="AZ430" i="8"/>
  <c r="BA410" i="8"/>
  <c r="AZ494" i="8"/>
  <c r="AZ515" i="8"/>
  <c r="AZ458" i="8"/>
  <c r="BA466" i="8"/>
  <c r="AZ472" i="8"/>
  <c r="AZ450" i="8"/>
  <c r="AZ130" i="8"/>
  <c r="AZ502" i="8"/>
  <c r="BA508" i="8"/>
  <c r="BA329" i="8"/>
  <c r="AZ437" i="8"/>
  <c r="AZ528" i="8"/>
  <c r="AZ532" i="8"/>
  <c r="BA503" i="8"/>
  <c r="BA509" i="8"/>
  <c r="AZ488" i="8"/>
  <c r="AZ479" i="8"/>
  <c r="BA448" i="8"/>
  <c r="AZ485" i="8"/>
  <c r="AZ482" i="8"/>
  <c r="AZ446" i="8"/>
  <c r="BA384" i="8"/>
  <c r="BA167" i="8"/>
  <c r="BA458" i="8"/>
  <c r="AZ121" i="8"/>
  <c r="AZ427" i="8"/>
  <c r="AZ508" i="8"/>
  <c r="BA514" i="8"/>
  <c r="BA399" i="8"/>
  <c r="AZ489" i="8"/>
  <c r="BA522" i="8"/>
  <c r="BA536" i="8"/>
  <c r="BA497" i="8"/>
  <c r="AZ503" i="8"/>
  <c r="AZ509" i="8"/>
  <c r="AZ526" i="8"/>
  <c r="BA438" i="8"/>
  <c r="AZ469" i="8"/>
  <c r="AZ487" i="8"/>
  <c r="BA486" i="8"/>
  <c r="AZ484" i="8"/>
  <c r="BA472" i="8"/>
  <c r="BA464" i="8"/>
  <c r="AZ462" i="8"/>
  <c r="AZ473" i="8"/>
  <c r="AZ466" i="8"/>
  <c r="BA397" i="8"/>
  <c r="AZ387" i="8"/>
  <c r="AZ451" i="8"/>
  <c r="BA417" i="8"/>
  <c r="BA398" i="8"/>
  <c r="BA414" i="8"/>
  <c r="BA429" i="8"/>
  <c r="BA531" i="8"/>
  <c r="AZ486" i="8"/>
  <c r="BA529" i="8"/>
  <c r="AZ448" i="8"/>
  <c r="BA507" i="8"/>
  <c r="BA512" i="8"/>
  <c r="AZ514" i="8"/>
  <c r="AZ273" i="8"/>
  <c r="AZ492" i="8"/>
  <c r="AZ505" i="8"/>
  <c r="AZ531" i="8"/>
  <c r="BA533" i="8"/>
  <c r="BA468" i="8"/>
  <c r="AZ166" i="8"/>
  <c r="AZ507" i="8"/>
  <c r="AZ512" i="8"/>
  <c r="BA266" i="8"/>
  <c r="BA485" i="8"/>
  <c r="BA434" i="8"/>
  <c r="BA171" i="8"/>
  <c r="AZ268" i="8"/>
  <c r="BA135" i="8"/>
  <c r="AZ468" i="8"/>
  <c r="BA444" i="8"/>
  <c r="BA450" i="8"/>
  <c r="BA267" i="8"/>
  <c r="BA451" i="8"/>
  <c r="BA469" i="8"/>
  <c r="BA440" i="8"/>
  <c r="AZ477" i="8"/>
  <c r="AZ490" i="8"/>
  <c r="BA426" i="8"/>
  <c r="BA365" i="8"/>
  <c r="AZ410" i="8"/>
  <c r="BA408" i="8"/>
  <c r="AZ379" i="8"/>
  <c r="AZ384" i="8"/>
  <c r="BA403" i="8"/>
  <c r="BA405" i="8"/>
  <c r="BA375" i="8"/>
  <c r="BA360" i="8"/>
  <c r="BA385" i="8"/>
  <c r="AZ382" i="8"/>
  <c r="AZ364" i="8"/>
  <c r="AZ360" i="8"/>
  <c r="AZ351" i="8"/>
  <c r="BA361" i="8"/>
  <c r="BA355" i="8"/>
  <c r="BA346" i="8"/>
  <c r="AZ344" i="8"/>
  <c r="AZ340" i="8"/>
  <c r="BA331" i="8"/>
  <c r="BA309" i="8"/>
  <c r="AZ316" i="8"/>
  <c r="AZ312" i="8"/>
  <c r="AZ320" i="8"/>
  <c r="BA315" i="8"/>
  <c r="BA314" i="8"/>
  <c r="AZ304" i="8"/>
  <c r="AZ303" i="8"/>
  <c r="AZ302" i="8"/>
  <c r="BA275" i="8"/>
  <c r="AZ269" i="8"/>
  <c r="AZ293" i="8"/>
  <c r="AZ270" i="8"/>
  <c r="AZ280" i="8"/>
  <c r="AZ169" i="8"/>
  <c r="AZ165" i="8"/>
  <c r="AZ262" i="8"/>
  <c r="BA263" i="8"/>
  <c r="AZ251" i="8"/>
  <c r="BA247" i="8"/>
  <c r="BA253" i="8"/>
  <c r="AZ471" i="8"/>
  <c r="AZ440" i="8"/>
  <c r="BA455" i="8"/>
  <c r="BA481" i="8"/>
  <c r="BA478" i="8"/>
  <c r="BA491" i="8"/>
  <c r="AZ416" i="8"/>
  <c r="AZ426" i="8"/>
  <c r="AZ449" i="8"/>
  <c r="AZ452" i="8"/>
  <c r="AZ392" i="8"/>
  <c r="AZ429" i="8"/>
  <c r="BA380" i="8"/>
  <c r="AZ404" i="8"/>
  <c r="AZ394" i="8"/>
  <c r="AZ373" i="8"/>
  <c r="BA377" i="8"/>
  <c r="AZ385" i="8"/>
  <c r="BA386" i="8"/>
  <c r="BA383" i="8"/>
  <c r="BA352" i="8"/>
  <c r="AZ362" i="8"/>
  <c r="BA363" i="8"/>
  <c r="BA347" i="8"/>
  <c r="BA345" i="8"/>
  <c r="AZ343" i="8"/>
  <c r="AZ332" i="8"/>
  <c r="AZ310" i="8"/>
  <c r="AZ313" i="8"/>
  <c r="AZ321" i="8"/>
  <c r="BA322" i="8"/>
  <c r="AZ305" i="8"/>
  <c r="BA304" i="8"/>
  <c r="BA303" i="8"/>
  <c r="AZ295" i="8"/>
  <c r="BA273" i="8"/>
  <c r="AZ294" i="8"/>
  <c r="BA294" i="8"/>
  <c r="AZ271" i="8"/>
  <c r="BA281" i="8"/>
  <c r="BA284" i="8"/>
  <c r="BA257" i="8"/>
  <c r="AZ203" i="8"/>
  <c r="AZ200" i="8"/>
  <c r="AZ263" i="8"/>
  <c r="AZ248" i="8"/>
  <c r="AZ256" i="8"/>
  <c r="BA246" i="8"/>
  <c r="AZ226" i="8"/>
  <c r="BA179" i="8"/>
  <c r="AZ207" i="8"/>
  <c r="BA206" i="8"/>
  <c r="AZ221" i="8"/>
  <c r="AZ204" i="8"/>
  <c r="BA218" i="8"/>
  <c r="BA513" i="8"/>
  <c r="AZ455" i="8"/>
  <c r="BA476" i="8"/>
  <c r="AZ419" i="8"/>
  <c r="BA437" i="8"/>
  <c r="BA400" i="8"/>
  <c r="BA416" i="8"/>
  <c r="BA430" i="8"/>
  <c r="AZ428" i="8"/>
  <c r="AZ422" i="8"/>
  <c r="BA387" i="8"/>
  <c r="BA409" i="8"/>
  <c r="AZ402" i="8"/>
  <c r="AZ405" i="8"/>
  <c r="AZ395" i="8"/>
  <c r="BA374" i="8"/>
  <c r="BA372" i="8"/>
  <c r="AZ386" i="8"/>
  <c r="BA356" i="8"/>
  <c r="BA353" i="8"/>
  <c r="AZ363" i="8"/>
  <c r="BA325" i="8"/>
  <c r="BA344" i="8"/>
  <c r="AZ336" i="8"/>
  <c r="BA317" i="8"/>
  <c r="AZ335" i="8"/>
  <c r="AZ324" i="8"/>
  <c r="BA320" i="8"/>
  <c r="AZ283" i="8"/>
  <c r="AZ279" i="8"/>
  <c r="BA305" i="8"/>
  <c r="BA296" i="8"/>
  <c r="BA295" i="8"/>
  <c r="BA280" i="8"/>
  <c r="BA299" i="8"/>
  <c r="BA272" i="8"/>
  <c r="BA282" i="8"/>
  <c r="BA227" i="8"/>
  <c r="BA175" i="8"/>
  <c r="BA225" i="8"/>
  <c r="AZ249" i="8"/>
  <c r="AZ257" i="8"/>
  <c r="BA251" i="8"/>
  <c r="AZ253" i="8"/>
  <c r="AZ227" i="8"/>
  <c r="BA230" i="8"/>
  <c r="AZ208" i="8"/>
  <c r="AZ178" i="8"/>
  <c r="BA207" i="8"/>
  <c r="BA205" i="8"/>
  <c r="AZ497" i="8"/>
  <c r="AZ513" i="8"/>
  <c r="AZ438" i="8"/>
  <c r="BA462" i="8"/>
  <c r="AZ491" i="8"/>
  <c r="BA484" i="8"/>
  <c r="AZ441" i="8"/>
  <c r="BA420" i="8"/>
  <c r="AZ445" i="8"/>
  <c r="AZ408" i="8"/>
  <c r="AZ418" i="8"/>
  <c r="AZ413" i="8"/>
  <c r="AZ425" i="8"/>
  <c r="BA357" i="8"/>
  <c r="BA392" i="8"/>
  <c r="AZ403" i="8"/>
  <c r="BA406" i="8"/>
  <c r="BA378" i="8"/>
  <c r="AZ375" i="8"/>
  <c r="AZ388" i="8"/>
  <c r="AZ353" i="8"/>
  <c r="AZ381" i="8"/>
  <c r="AZ366" i="8"/>
  <c r="AZ358" i="8"/>
  <c r="AZ354" i="8"/>
  <c r="BA364" i="8"/>
  <c r="BA318" i="8"/>
  <c r="AZ338" i="8"/>
  <c r="BA337" i="8"/>
  <c r="BA336" i="8"/>
  <c r="AZ315" i="8"/>
  <c r="AZ323" i="8"/>
  <c r="BA321" i="8"/>
  <c r="AZ281" i="8"/>
  <c r="AZ296" i="8"/>
  <c r="BA297" i="8"/>
  <c r="BA298" i="8"/>
  <c r="AZ282" i="8"/>
  <c r="BA300" i="8"/>
  <c r="BA283" i="8"/>
  <c r="BA245" i="8"/>
  <c r="BA231" i="8"/>
  <c r="BA165" i="8"/>
  <c r="AZ250" i="8"/>
  <c r="AZ258" i="8"/>
  <c r="AZ255" i="8"/>
  <c r="AZ254" i="8"/>
  <c r="BA254" i="8"/>
  <c r="AZ239" i="8"/>
  <c r="BA224" i="8"/>
  <c r="BA240" i="8"/>
  <c r="AZ228" i="8"/>
  <c r="AZ238" i="8"/>
  <c r="AZ234" i="8"/>
  <c r="AZ179" i="8"/>
  <c r="AZ209" i="8"/>
  <c r="BA208" i="8"/>
  <c r="AZ219" i="8"/>
  <c r="BA203" i="8"/>
  <c r="AZ170" i="8"/>
  <c r="AZ213" i="8"/>
  <c r="AZ211" i="8"/>
  <c r="BA162" i="8"/>
  <c r="AZ177" i="8"/>
  <c r="BA191" i="8"/>
  <c r="BA200" i="8"/>
  <c r="AZ188" i="8"/>
  <c r="BA362" i="8"/>
  <c r="BA534" i="8"/>
  <c r="BA463" i="8"/>
  <c r="BA492" i="8"/>
  <c r="BA422" i="8"/>
  <c r="BA427" i="8"/>
  <c r="BA419" i="8"/>
  <c r="AZ414" i="8"/>
  <c r="AZ417" i="8"/>
  <c r="BA407" i="8"/>
  <c r="AZ406" i="8"/>
  <c r="BA376" i="8"/>
  <c r="BA382" i="8"/>
  <c r="AZ377" i="8"/>
  <c r="AZ389" i="8"/>
  <c r="BA388" i="8"/>
  <c r="AZ367" i="8"/>
  <c r="BA367" i="8"/>
  <c r="AZ365" i="8"/>
  <c r="BA359" i="8"/>
  <c r="AZ355" i="8"/>
  <c r="AZ339" i="8"/>
  <c r="AZ311" i="8"/>
  <c r="BA340" i="8"/>
  <c r="BA341" i="8"/>
  <c r="BA277" i="8"/>
  <c r="AZ325" i="8"/>
  <c r="BA291" i="8"/>
  <c r="BA316" i="8"/>
  <c r="BA324" i="8"/>
  <c r="AZ322" i="8"/>
  <c r="BA292" i="8"/>
  <c r="BA274" i="8"/>
  <c r="AZ297" i="8"/>
  <c r="AZ267" i="8"/>
  <c r="AZ298" i="8"/>
  <c r="AZ288" i="8"/>
  <c r="AZ299" i="8"/>
  <c r="AZ287" i="8"/>
  <c r="AZ284" i="8"/>
  <c r="BA268" i="8"/>
  <c r="BA250" i="8"/>
  <c r="BA249" i="8"/>
  <c r="BA233" i="8"/>
  <c r="BA256" i="8"/>
  <c r="BA255" i="8"/>
  <c r="AZ241" i="8"/>
  <c r="BA465" i="8"/>
  <c r="BA418" i="8"/>
  <c r="AZ421" i="8"/>
  <c r="BA435" i="8"/>
  <c r="BA415" i="8"/>
  <c r="AZ398" i="8"/>
  <c r="AZ397" i="8"/>
  <c r="BA393" i="8"/>
  <c r="AZ333" i="8"/>
  <c r="AZ372" i="8"/>
  <c r="AZ400" i="8"/>
  <c r="AZ378" i="8"/>
  <c r="AZ352" i="8"/>
  <c r="BA389" i="8"/>
  <c r="AZ368" i="8"/>
  <c r="BA368" i="8"/>
  <c r="BA366" i="8"/>
  <c r="AZ309" i="8"/>
  <c r="AZ337" i="8"/>
  <c r="AZ330" i="8"/>
  <c r="AZ341" i="8"/>
  <c r="BA326" i="8"/>
  <c r="BA342" i="8"/>
  <c r="AZ326" i="8"/>
  <c r="BA312" i="8"/>
  <c r="BA323" i="8"/>
  <c r="AZ301" i="8"/>
  <c r="AZ289" i="8"/>
  <c r="AZ300" i="8"/>
  <c r="BA288" i="8"/>
  <c r="BA270" i="8"/>
  <c r="AZ276" i="8"/>
  <c r="AZ252" i="8"/>
  <c r="BA258" i="8"/>
  <c r="BA229" i="8"/>
  <c r="AZ259" i="8"/>
  <c r="AZ236" i="8"/>
  <c r="BA259" i="8"/>
  <c r="AZ191" i="8"/>
  <c r="AZ240" i="8"/>
  <c r="AZ230" i="8"/>
  <c r="BA241" i="8"/>
  <c r="BA242" i="8"/>
  <c r="BA226" i="8"/>
  <c r="BA235" i="8"/>
  <c r="AZ164" i="8"/>
  <c r="BA189" i="8"/>
  <c r="BA221" i="8"/>
  <c r="BA188" i="8"/>
  <c r="AZ215" i="8"/>
  <c r="BA213" i="8"/>
  <c r="AZ192" i="8"/>
  <c r="AZ183" i="8"/>
  <c r="AZ193" i="8"/>
  <c r="AZ465" i="8"/>
  <c r="BA443" i="8"/>
  <c r="AZ423" i="8"/>
  <c r="BA333" i="8"/>
  <c r="AZ407" i="8"/>
  <c r="AZ374" i="8"/>
  <c r="AZ401" i="8"/>
  <c r="BA401" i="8"/>
  <c r="AZ319" i="8"/>
  <c r="BA334" i="8"/>
  <c r="AZ357" i="8"/>
  <c r="AZ350" i="8"/>
  <c r="AZ346" i="8"/>
  <c r="BA338" i="8"/>
  <c r="AZ331" i="8"/>
  <c r="AZ342" i="8"/>
  <c r="AZ329" i="8"/>
  <c r="BA310" i="8"/>
  <c r="AZ317" i="8"/>
  <c r="BA308" i="8"/>
  <c r="BA313" i="8"/>
  <c r="BA271" i="8"/>
  <c r="BA302" i="8"/>
  <c r="BA301" i="8"/>
  <c r="BA289" i="8"/>
  <c r="BA276" i="8"/>
  <c r="BA278" i="8"/>
  <c r="AZ237" i="8"/>
  <c r="AZ218" i="8"/>
  <c r="AZ261" i="8"/>
  <c r="AZ247" i="8"/>
  <c r="BA261" i="8"/>
  <c r="BA170" i="8"/>
  <c r="BA232" i="8"/>
  <c r="BA204" i="8"/>
  <c r="AZ231" i="8"/>
  <c r="AZ242" i="8"/>
  <c r="BA163" i="8"/>
  <c r="BA236" i="8"/>
  <c r="AZ216" i="8"/>
  <c r="BA214" i="8"/>
  <c r="BA184" i="8"/>
  <c r="AZ194" i="8"/>
  <c r="BA177" i="8"/>
  <c r="BA470" i="8"/>
  <c r="BA404" i="8"/>
  <c r="BA343" i="8"/>
  <c r="BA219" i="8"/>
  <c r="BA239" i="8"/>
  <c r="AZ206" i="8"/>
  <c r="BA212" i="8"/>
  <c r="BA192" i="8"/>
  <c r="BA185" i="8"/>
  <c r="AZ195" i="8"/>
  <c r="BA174" i="8"/>
  <c r="AZ120" i="8"/>
  <c r="AZ143" i="8"/>
  <c r="AZ119" i="8"/>
  <c r="BA121" i="8"/>
  <c r="BA154" i="8"/>
  <c r="AZ135" i="8"/>
  <c r="AZ124" i="8"/>
  <c r="AZ536" i="8"/>
  <c r="AZ443" i="8"/>
  <c r="AZ347" i="8"/>
  <c r="AZ318" i="8"/>
  <c r="BA311" i="8"/>
  <c r="BA279" i="8"/>
  <c r="AZ260" i="8"/>
  <c r="BA262" i="8"/>
  <c r="BA228" i="8"/>
  <c r="AZ225" i="8"/>
  <c r="AZ163" i="8"/>
  <c r="BA210" i="8"/>
  <c r="BA215" i="8"/>
  <c r="BA186" i="8"/>
  <c r="BA182" i="8"/>
  <c r="AZ176" i="8"/>
  <c r="AZ147" i="8"/>
  <c r="AZ122" i="8"/>
  <c r="AZ144" i="8"/>
  <c r="AZ157" i="8"/>
  <c r="BA140" i="8"/>
  <c r="AZ150" i="8"/>
  <c r="BA136" i="8"/>
  <c r="BA128" i="8"/>
  <c r="BA125" i="8"/>
  <c r="BA351" i="8"/>
  <c r="AZ246" i="8"/>
  <c r="AZ220" i="8"/>
  <c r="AZ182" i="8"/>
  <c r="BA164" i="8"/>
  <c r="AZ153" i="8"/>
  <c r="AZ530" i="8"/>
  <c r="AZ409" i="8"/>
  <c r="BA402" i="8"/>
  <c r="BA339" i="8"/>
  <c r="AZ314" i="8"/>
  <c r="AZ290" i="8"/>
  <c r="BA220" i="8"/>
  <c r="BA216" i="8"/>
  <c r="BA169" i="8"/>
  <c r="AZ187" i="8"/>
  <c r="AZ198" i="8"/>
  <c r="BA187" i="8"/>
  <c r="AZ162" i="8"/>
  <c r="AZ168" i="8"/>
  <c r="AZ127" i="8"/>
  <c r="AZ145" i="8"/>
  <c r="AZ158" i="8"/>
  <c r="BA141" i="8"/>
  <c r="BA130" i="8"/>
  <c r="AZ136" i="8"/>
  <c r="BA151" i="8"/>
  <c r="AZ137" i="8"/>
  <c r="BA129" i="8"/>
  <c r="AZ125" i="8"/>
  <c r="BA194" i="8"/>
  <c r="AZ399" i="8"/>
  <c r="BA373" i="8"/>
  <c r="AZ361" i="8"/>
  <c r="AZ359" i="8"/>
  <c r="BA319" i="8"/>
  <c r="AZ272" i="8"/>
  <c r="AZ229" i="8"/>
  <c r="BA238" i="8"/>
  <c r="AZ205" i="8"/>
  <c r="AZ212" i="8"/>
  <c r="AZ189" i="8"/>
  <c r="BA199" i="8"/>
  <c r="BA196" i="8"/>
  <c r="AZ148" i="8"/>
  <c r="BA146" i="8"/>
  <c r="AZ142" i="8"/>
  <c r="BA152" i="8"/>
  <c r="AZ134" i="8"/>
  <c r="AZ126" i="8"/>
  <c r="BA126" i="8"/>
  <c r="AZ278" i="8"/>
  <c r="AZ190" i="8"/>
  <c r="AZ173" i="8"/>
  <c r="BA155" i="8"/>
  <c r="BA447" i="8"/>
  <c r="BA449" i="8"/>
  <c r="AZ383" i="8"/>
  <c r="AZ308" i="8"/>
  <c r="AZ266" i="8"/>
  <c r="AZ167" i="8"/>
  <c r="AZ232" i="8"/>
  <c r="AZ233" i="8"/>
  <c r="BA234" i="8"/>
  <c r="BA209" i="8"/>
  <c r="AZ217" i="8"/>
  <c r="AZ214" i="8"/>
  <c r="AZ185" i="8"/>
  <c r="AZ199" i="8"/>
  <c r="BA190" i="8"/>
  <c r="BA195" i="8"/>
  <c r="BA197" i="8"/>
  <c r="BA147" i="8"/>
  <c r="BA120" i="8"/>
  <c r="BA143" i="8"/>
  <c r="BA153" i="8"/>
  <c r="AZ133" i="8"/>
  <c r="AZ131" i="8"/>
  <c r="BA131" i="8"/>
  <c r="BA176" i="8"/>
  <c r="AZ123" i="8"/>
  <c r="BA358" i="8"/>
  <c r="BA330" i="8"/>
  <c r="BA166" i="8"/>
  <c r="BA269" i="8"/>
  <c r="BA237" i="8"/>
  <c r="AZ171" i="8"/>
  <c r="AZ184" i="8"/>
  <c r="BA217" i="8"/>
  <c r="AZ186" i="8"/>
  <c r="AZ196" i="8"/>
  <c r="AZ161" i="8"/>
  <c r="AZ172" i="8"/>
  <c r="BA148" i="8"/>
  <c r="BA122" i="8"/>
  <c r="BA144" i="8"/>
  <c r="AZ156" i="8"/>
  <c r="BA142" i="8"/>
  <c r="AZ155" i="8"/>
  <c r="AZ151" i="8"/>
  <c r="AZ146" i="8"/>
  <c r="AZ128" i="8"/>
  <c r="BA137" i="8"/>
  <c r="BA134" i="8"/>
  <c r="AZ132" i="8"/>
  <c r="BA132" i="8"/>
  <c r="BA158" i="8"/>
  <c r="AZ345" i="8"/>
  <c r="AZ277" i="8"/>
  <c r="AZ235" i="8"/>
  <c r="BA248" i="8"/>
  <c r="BA193" i="8"/>
  <c r="AZ197" i="8"/>
  <c r="AZ175" i="8"/>
  <c r="BA168" i="8"/>
  <c r="BA149" i="8"/>
  <c r="AZ140" i="8"/>
  <c r="BA145" i="8"/>
  <c r="BA157" i="8"/>
  <c r="BA156" i="8"/>
  <c r="AZ154" i="8"/>
  <c r="AZ152" i="8"/>
  <c r="AZ129" i="8"/>
  <c r="BA133" i="8"/>
  <c r="BA198" i="8"/>
  <c r="AZ141" i="8"/>
  <c r="BA459" i="8"/>
  <c r="BA457" i="8"/>
  <c r="BA500" i="8"/>
  <c r="BA436" i="8"/>
  <c r="AZ524" i="8"/>
  <c r="AZ504" i="8"/>
  <c r="BA498" i="8"/>
  <c r="BA442" i="8"/>
  <c r="AZ380" i="8"/>
  <c r="AZ525" i="8"/>
  <c r="AZ519" i="8"/>
  <c r="AZ456" i="8"/>
  <c r="BA379" i="8"/>
  <c r="AZ334" i="8"/>
  <c r="BA519" i="8"/>
  <c r="AZ459" i="8"/>
  <c r="AZ457" i="8"/>
  <c r="AZ500" i="8"/>
  <c r="AZ498" i="8"/>
  <c r="AZ442" i="8"/>
  <c r="BA460" i="8"/>
  <c r="BA290" i="8"/>
  <c r="AZ463" i="8"/>
  <c r="BA371" i="8"/>
  <c r="BA421" i="8"/>
  <c r="BA482" i="8"/>
  <c r="AZ210" i="8"/>
  <c r="BA524" i="8"/>
  <c r="BA504" i="8"/>
  <c r="AZ523" i="8"/>
  <c r="AZ292" i="8"/>
  <c r="BA483" i="8"/>
  <c r="AZ506" i="8"/>
  <c r="AZ527" i="8"/>
  <c r="BA287" i="8"/>
  <c r="AZ460" i="8"/>
  <c r="BA119" i="8"/>
  <c r="AZ376" i="8"/>
  <c r="AZ291" i="8"/>
  <c r="BA461" i="8"/>
  <c r="BA335" i="8"/>
  <c r="AZ439" i="8"/>
  <c r="BA480" i="8"/>
  <c r="BA518" i="8"/>
  <c r="BA211" i="8"/>
  <c r="BA332" i="8"/>
  <c r="AZ149" i="8"/>
  <c r="BA252" i="8"/>
  <c r="AZ461" i="8"/>
  <c r="AZ464" i="8"/>
  <c r="BA520" i="8"/>
  <c r="BA394" i="8"/>
  <c r="BA124" i="8"/>
  <c r="BA441" i="8"/>
  <c r="AZ436" i="8"/>
  <c r="AZ518" i="8"/>
  <c r="BA123" i="8"/>
  <c r="BA127" i="8"/>
  <c r="AZ245" i="8"/>
  <c r="AZ520" i="8"/>
  <c r="AZ393" i="8"/>
  <c r="BA525" i="8"/>
  <c r="BA456" i="8"/>
  <c r="AZ275" i="8"/>
  <c r="AZ478" i="8"/>
  <c r="BA293" i="8"/>
  <c r="AZ396" i="8"/>
  <c r="BA183" i="8"/>
  <c r="BA501" i="8"/>
  <c r="BA479" i="8"/>
  <c r="AZ224" i="8"/>
  <c r="AZ481" i="8"/>
  <c r="BA395" i="8"/>
  <c r="AZ420" i="8"/>
  <c r="BA477" i="8"/>
  <c r="BA439" i="8"/>
  <c r="AZ483" i="8"/>
  <c r="BA506" i="8"/>
  <c r="BA527" i="8"/>
  <c r="BA523" i="8"/>
  <c r="AZ274" i="8"/>
  <c r="AZ501" i="8"/>
  <c r="BZ710" i="9"/>
  <c r="BE41" i="4"/>
  <c r="BE39" i="4"/>
  <c r="BA567" i="8"/>
  <c r="BE43" i="4"/>
  <c r="BE40" i="4"/>
  <c r="BJ28" i="4"/>
  <c r="BE48" i="4"/>
  <c r="BE50" i="4"/>
  <c r="BE33" i="4"/>
  <c r="AZ54" i="4"/>
  <c r="BE32" i="4"/>
  <c r="BE42" i="4"/>
  <c r="BE47" i="4"/>
  <c r="BE52" i="4"/>
  <c r="BA582" i="8"/>
  <c r="BE51" i="4"/>
  <c r="BE37" i="4"/>
  <c r="AZ575" i="8"/>
  <c r="BE53" i="4"/>
  <c r="BA565" i="8"/>
  <c r="AZ566" i="8"/>
  <c r="BE54" i="4"/>
  <c r="BE44" i="4"/>
  <c r="BG28" i="4"/>
  <c r="BK28" i="4"/>
  <c r="BF28" i="4"/>
  <c r="BI28" i="4"/>
  <c r="BH28" i="4"/>
  <c r="BA370" i="8"/>
  <c r="AZ588" i="8"/>
  <c r="BA545" i="8"/>
  <c r="BA584" i="8"/>
  <c r="AZ563" i="8"/>
  <c r="AZ553" i="8"/>
  <c r="BA576" i="8"/>
  <c r="AZ587" i="8"/>
  <c r="AZ565" i="8"/>
  <c r="AZ547" i="8"/>
  <c r="BK9" i="6"/>
  <c r="Q9" i="6" s="1"/>
  <c r="S9" i="6" s="1"/>
  <c r="BA181" i="8"/>
  <c r="U1388" i="6"/>
  <c r="E478" i="11"/>
  <c r="N1006" i="6" s="1"/>
  <c r="U1006" i="6" s="1"/>
  <c r="D474" i="11"/>
  <c r="L1002" i="6" s="1"/>
  <c r="E475" i="11"/>
  <c r="N1003" i="6" s="1"/>
  <c r="U1003" i="6" s="1"/>
  <c r="AZ223" i="8"/>
  <c r="BA244" i="8"/>
  <c r="BA541" i="8"/>
  <c r="BA580" i="8"/>
  <c r="AZ391" i="8"/>
  <c r="BA589" i="8"/>
  <c r="AZ558" i="8"/>
  <c r="BA551" i="8"/>
  <c r="AZ549" i="8"/>
  <c r="BA202" i="8"/>
  <c r="BA568" i="8"/>
  <c r="AZ586" i="8"/>
  <c r="AZ370" i="8"/>
  <c r="BA552" i="8"/>
  <c r="BA543" i="8"/>
  <c r="BA578" i="8"/>
  <c r="AZ139" i="8"/>
  <c r="BA585" i="8"/>
  <c r="AZ584" i="8"/>
  <c r="BA561" i="8"/>
  <c r="AZ286" i="8"/>
  <c r="AZ454" i="8"/>
  <c r="BA572" i="8"/>
  <c r="AZ554" i="8"/>
  <c r="AZ541" i="8"/>
  <c r="AZ572" i="8"/>
  <c r="BA223" i="8"/>
  <c r="BA563" i="8"/>
  <c r="AZ568" i="8"/>
  <c r="BA573" i="8"/>
  <c r="BA564" i="8"/>
  <c r="BA265" i="8"/>
  <c r="BA349" i="8"/>
  <c r="BA579" i="8"/>
  <c r="BA517" i="8"/>
  <c r="AZ551" i="8"/>
  <c r="BA550" i="8"/>
  <c r="BA555" i="8"/>
  <c r="BA566" i="8"/>
  <c r="AZ349" i="8"/>
  <c r="BA139" i="8"/>
  <c r="BA554" i="8"/>
  <c r="BA542" i="8"/>
  <c r="AZ545" i="8"/>
  <c r="BA574" i="8"/>
  <c r="AZ160" i="8"/>
  <c r="BA558" i="8"/>
  <c r="BA546" i="8"/>
  <c r="BA570" i="8"/>
  <c r="AZ581" i="8"/>
  <c r="AZ571" i="8"/>
  <c r="AZ552" i="8"/>
  <c r="BA583" i="8"/>
  <c r="AZ433" i="8"/>
  <c r="BA454" i="8"/>
  <c r="AZ202" i="8"/>
  <c r="AZ543" i="8"/>
  <c r="AZ585" i="8"/>
  <c r="AZ555" i="8"/>
  <c r="BA548" i="8"/>
  <c r="U1391" i="6"/>
  <c r="U1386" i="6"/>
  <c r="U1389" i="6"/>
  <c r="U1402" i="6"/>
  <c r="U1400" i="6"/>
  <c r="U1395" i="6"/>
  <c r="U1390" i="6"/>
  <c r="Q32" i="8"/>
  <c r="S32" i="8"/>
  <c r="R32" i="8"/>
  <c r="AN32" i="8"/>
  <c r="AD32" i="8"/>
  <c r="AB32" i="8"/>
  <c r="AO32" i="8"/>
  <c r="P32" i="8"/>
  <c r="BK59" i="6"/>
  <c r="Q59" i="6" s="1"/>
  <c r="S59" i="6" s="1"/>
  <c r="U59" i="6" s="1"/>
  <c r="AC32" i="8"/>
  <c r="AA32" i="8"/>
  <c r="AM32" i="8"/>
  <c r="BA547" i="8"/>
  <c r="AZ562" i="8"/>
  <c r="AZ567" i="8"/>
  <c r="AZ560" i="8"/>
  <c r="AZ542" i="8"/>
  <c r="AZ564" i="8"/>
  <c r="AZ265" i="8"/>
  <c r="BA577" i="8"/>
  <c r="BA569" i="8"/>
  <c r="BA571" i="8"/>
  <c r="AZ517" i="8"/>
  <c r="BA559" i="8"/>
  <c r="BA328" i="8"/>
  <c r="AZ573" i="8"/>
  <c r="BA160" i="8"/>
  <c r="BA586" i="8"/>
  <c r="BA557" i="8"/>
  <c r="BA475" i="8"/>
  <c r="BA587" i="8"/>
  <c r="AZ548" i="8"/>
  <c r="B118" i="8"/>
  <c r="AZ244" i="8"/>
  <c r="AZ328" i="8"/>
  <c r="BA496" i="8"/>
  <c r="BA575" i="8"/>
  <c r="AZ496" i="8"/>
  <c r="BA560" i="8"/>
  <c r="AZ580" i="8"/>
  <c r="AZ569" i="8"/>
  <c r="AZ559" i="8"/>
  <c r="BA588" i="8"/>
  <c r="AZ181" i="8"/>
  <c r="AZ544" i="8"/>
  <c r="AZ561" i="8"/>
  <c r="AZ550" i="8"/>
  <c r="BA286" i="8"/>
  <c r="AZ557" i="8"/>
  <c r="AZ546" i="8"/>
  <c r="AZ576" i="8"/>
  <c r="BA544" i="8"/>
  <c r="BA562" i="8"/>
  <c r="BA581" i="8"/>
  <c r="AZ556" i="8"/>
  <c r="AZ574" i="8"/>
  <c r="AZ412" i="8"/>
  <c r="AZ577" i="8"/>
  <c r="BA412" i="8"/>
  <c r="AZ583" i="8"/>
  <c r="BA391" i="8"/>
  <c r="BA556" i="8"/>
  <c r="AZ570" i="8"/>
  <c r="BA549" i="8"/>
  <c r="AZ578" i="8"/>
  <c r="BA540" i="8"/>
  <c r="AZ540" i="8"/>
  <c r="AZ307" i="8"/>
  <c r="BA433" i="8"/>
  <c r="AZ582" i="8"/>
  <c r="AZ579" i="8"/>
  <c r="AZ589" i="8"/>
  <c r="AZ475" i="8"/>
  <c r="BA553" i="8"/>
  <c r="BA307" i="8"/>
  <c r="BK563" i="6"/>
  <c r="Q563" i="6" s="1"/>
  <c r="S563" i="6" s="1"/>
  <c r="U563" i="6" s="1"/>
  <c r="BK64" i="6"/>
  <c r="Q64" i="6" s="1"/>
  <c r="S64" i="6" s="1"/>
  <c r="U64" i="6" s="1"/>
  <c r="BK550" i="6"/>
  <c r="Q550" i="6" s="1"/>
  <c r="S550" i="6" s="1"/>
  <c r="U550" i="6" s="1"/>
  <c r="BK69" i="6"/>
  <c r="Q69" i="6" s="1"/>
  <c r="S69" i="6" s="1"/>
  <c r="U69" i="6" s="1"/>
  <c r="AC33" i="8"/>
  <c r="AO33" i="8"/>
  <c r="S33" i="8"/>
  <c r="AN33" i="8"/>
  <c r="BK79" i="6"/>
  <c r="Q79" i="6" s="1"/>
  <c r="S79" i="6" s="1"/>
  <c r="U79" i="6" s="1"/>
  <c r="AD33" i="8"/>
  <c r="R33" i="8"/>
  <c r="AM33" i="8"/>
  <c r="AL33" i="8"/>
  <c r="P33" i="8"/>
  <c r="Q33" i="8"/>
  <c r="AA33" i="8"/>
  <c r="BK540" i="6"/>
  <c r="Q540" i="6" s="1"/>
  <c r="S540" i="6" s="1"/>
  <c r="U540" i="6" s="1"/>
  <c r="BK564" i="6"/>
  <c r="Q564" i="6" s="1"/>
  <c r="S564" i="6" s="1"/>
  <c r="U564" i="6" s="1"/>
  <c r="BK574" i="6"/>
  <c r="Q574" i="6" s="1"/>
  <c r="S574" i="6" s="1"/>
  <c r="U574" i="6" s="1"/>
  <c r="BK553" i="6"/>
  <c r="Q553" i="6" s="1"/>
  <c r="S553" i="6" s="1"/>
  <c r="U553" i="6" s="1"/>
  <c r="BK15" i="6"/>
  <c r="Q15" i="6" s="1"/>
  <c r="S15" i="6" s="1"/>
  <c r="U15" i="6" s="1"/>
  <c r="BK85" i="6"/>
  <c r="Q85" i="6" s="1"/>
  <c r="S85" i="6" s="1"/>
  <c r="U85" i="6" s="1"/>
  <c r="BK577" i="6"/>
  <c r="Q577" i="6" s="1"/>
  <c r="S577" i="6" s="1"/>
  <c r="U577" i="6" s="1"/>
  <c r="BK544" i="6"/>
  <c r="Q544" i="6" s="1"/>
  <c r="S544" i="6" s="1"/>
  <c r="U544" i="6" s="1"/>
  <c r="BK575" i="6"/>
  <c r="Q575" i="6" s="1"/>
  <c r="S575" i="6" s="1"/>
  <c r="U575" i="6" s="1"/>
  <c r="BK581" i="6"/>
  <c r="Q581" i="6" s="1"/>
  <c r="S581" i="6" s="1"/>
  <c r="U581" i="6" s="1"/>
  <c r="BK40" i="6"/>
  <c r="Q40" i="6" s="1"/>
  <c r="S40" i="6" s="1"/>
  <c r="U40" i="6" s="1"/>
  <c r="BK19" i="6"/>
  <c r="Q19" i="6" s="1"/>
  <c r="S19" i="6" s="1"/>
  <c r="U19" i="6" s="1"/>
  <c r="BK84" i="6"/>
  <c r="Q84" i="6" s="1"/>
  <c r="S84" i="6" s="1"/>
  <c r="U84" i="6" s="1"/>
  <c r="BK17" i="6"/>
  <c r="Q17" i="6" s="1"/>
  <c r="S17" i="6" s="1"/>
  <c r="U17" i="6" s="1"/>
  <c r="BK570" i="6"/>
  <c r="Q570" i="6" s="1"/>
  <c r="S570" i="6" s="1"/>
  <c r="U570" i="6" s="1"/>
  <c r="BK580" i="6"/>
  <c r="Q580" i="6" s="1"/>
  <c r="S580" i="6" s="1"/>
  <c r="U580" i="6" s="1"/>
  <c r="BK548" i="6"/>
  <c r="Q548" i="6" s="1"/>
  <c r="S548" i="6" s="1"/>
  <c r="U548" i="6" s="1"/>
  <c r="BK554" i="6"/>
  <c r="Q554" i="6" s="1"/>
  <c r="S554" i="6" s="1"/>
  <c r="U554" i="6" s="1"/>
  <c r="BK565" i="6"/>
  <c r="Q565" i="6" s="1"/>
  <c r="S565" i="6" s="1"/>
  <c r="U565" i="6" s="1"/>
  <c r="BK571" i="6"/>
  <c r="Q571" i="6" s="1"/>
  <c r="S571" i="6" s="1"/>
  <c r="U571" i="6" s="1"/>
  <c r="BK75" i="6"/>
  <c r="BK11" i="6"/>
  <c r="Q11" i="6" s="1"/>
  <c r="S11" i="6" s="1"/>
  <c r="U11" i="6" s="1"/>
  <c r="BK88" i="6"/>
  <c r="Q88" i="6" s="1"/>
  <c r="S88" i="6" s="1"/>
  <c r="U88" i="6" s="1"/>
  <c r="BK579" i="6"/>
  <c r="Q579" i="6" s="1"/>
  <c r="S579" i="6" s="1"/>
  <c r="U579" i="6" s="1"/>
  <c r="BK587" i="6"/>
  <c r="Q587" i="6" s="1"/>
  <c r="S587" i="6" s="1"/>
  <c r="U587" i="6" s="1"/>
  <c r="BK578" i="6"/>
  <c r="Q578" i="6" s="1"/>
  <c r="S578" i="6" s="1"/>
  <c r="U578" i="6" s="1"/>
  <c r="BK30" i="6"/>
  <c r="Q30" i="6" s="1"/>
  <c r="S30" i="6" s="1"/>
  <c r="U30" i="6" s="1"/>
  <c r="BK585" i="6"/>
  <c r="Q585" i="6" s="1"/>
  <c r="S585" i="6" s="1"/>
  <c r="U585" i="6" s="1"/>
  <c r="BK86" i="6"/>
  <c r="Q86" i="6" s="1"/>
  <c r="S86" i="6" s="1"/>
  <c r="U86" i="6" s="1"/>
  <c r="BK81" i="6"/>
  <c r="Q81" i="6" s="1"/>
  <c r="S81" i="6" s="1"/>
  <c r="U81" i="6" s="1"/>
  <c r="BK47" i="6"/>
  <c r="Q47" i="6" s="1"/>
  <c r="S47" i="6" s="1"/>
  <c r="U47" i="6" s="1"/>
  <c r="BK583" i="6"/>
  <c r="Q583" i="6" s="1"/>
  <c r="S583" i="6" s="1"/>
  <c r="U583" i="6" s="1"/>
  <c r="BK87" i="6"/>
  <c r="Q87" i="6" s="1"/>
  <c r="S87" i="6" s="1"/>
  <c r="U87" i="6" s="1"/>
  <c r="BK89" i="6"/>
  <c r="Q89" i="6" s="1"/>
  <c r="S89" i="6" s="1"/>
  <c r="U89" i="6" s="1"/>
  <c r="BK13" i="6"/>
  <c r="Q13" i="6" s="1"/>
  <c r="S13" i="6" s="1"/>
  <c r="BD59" i="8" s="1"/>
  <c r="AM59" i="8" s="1"/>
  <c r="BK556" i="6"/>
  <c r="Q556" i="6" s="1"/>
  <c r="S556" i="6" s="1"/>
  <c r="U556" i="6" s="1"/>
  <c r="BK542" i="6"/>
  <c r="Q542" i="6" s="1"/>
  <c r="S542" i="6" s="1"/>
  <c r="U542" i="6" s="1"/>
  <c r="BK546" i="6"/>
  <c r="Q546" i="6" s="1"/>
  <c r="S546" i="6" s="1"/>
  <c r="U546" i="6" s="1"/>
  <c r="BK80" i="6"/>
  <c r="Q80" i="6" s="1"/>
  <c r="S80" i="6" s="1"/>
  <c r="U80" i="6" s="1"/>
  <c r="BK586" i="6"/>
  <c r="Q586" i="6" s="1"/>
  <c r="S586" i="6" s="1"/>
  <c r="U586" i="6" s="1"/>
  <c r="BK36" i="6"/>
  <c r="Q36" i="6" s="1"/>
  <c r="S36" i="6" s="1"/>
  <c r="U36" i="6" s="1"/>
  <c r="BK539" i="6"/>
  <c r="Q539" i="6" s="1"/>
  <c r="S539" i="6" s="1"/>
  <c r="U539" i="6" s="1"/>
  <c r="BK82" i="6"/>
  <c r="Q82" i="6" s="1"/>
  <c r="S82" i="6" s="1"/>
  <c r="U82" i="6" s="1"/>
  <c r="BK10" i="6"/>
  <c r="Q10" i="6" s="1"/>
  <c r="S10" i="6" s="1"/>
  <c r="U10" i="6" s="1"/>
  <c r="BK55" i="6"/>
  <c r="Q55" i="6" s="1"/>
  <c r="S55" i="6" s="1"/>
  <c r="U55" i="6" s="1"/>
  <c r="BK584" i="6"/>
  <c r="Q584" i="6" s="1"/>
  <c r="S584" i="6" s="1"/>
  <c r="U584" i="6" s="1"/>
  <c r="BK52" i="6"/>
  <c r="Q52" i="6" s="1"/>
  <c r="S52" i="6" s="1"/>
  <c r="U52" i="6" s="1"/>
  <c r="BK543" i="6"/>
  <c r="Q543" i="6" s="1"/>
  <c r="S543" i="6" s="1"/>
  <c r="U543" i="6" s="1"/>
  <c r="BK549" i="6"/>
  <c r="Q549" i="6" s="1"/>
  <c r="S549" i="6" s="1"/>
  <c r="U549" i="6" s="1"/>
  <c r="BK545" i="6"/>
  <c r="Q545" i="6" s="1"/>
  <c r="S545" i="6" s="1"/>
  <c r="U545" i="6" s="1"/>
  <c r="BK27" i="6"/>
  <c r="Q27" i="6" s="1"/>
  <c r="S27" i="6" s="1"/>
  <c r="U27" i="6" s="1"/>
  <c r="BK61" i="6"/>
  <c r="Q61" i="6" s="1"/>
  <c r="S61" i="6" s="1"/>
  <c r="U61" i="6" s="1"/>
  <c r="BK46" i="6"/>
  <c r="Q46" i="6" s="1"/>
  <c r="S46" i="6" s="1"/>
  <c r="U46" i="6" s="1"/>
  <c r="BK62" i="6"/>
  <c r="Q62" i="6" s="1"/>
  <c r="S62" i="6" s="1"/>
  <c r="U62" i="6" s="1"/>
  <c r="BK555" i="6"/>
  <c r="Q555" i="6" s="1"/>
  <c r="S555" i="6" s="1"/>
  <c r="U555" i="6" s="1"/>
  <c r="BK14" i="6"/>
  <c r="BK557" i="6"/>
  <c r="Q557" i="6" s="1"/>
  <c r="S557" i="6" s="1"/>
  <c r="U557" i="6" s="1"/>
  <c r="BK558" i="6"/>
  <c r="Q558" i="6" s="1"/>
  <c r="S558" i="6" s="1"/>
  <c r="U558" i="6" s="1"/>
  <c r="BK561" i="6"/>
  <c r="Q561" i="6" s="1"/>
  <c r="S561" i="6" s="1"/>
  <c r="U561" i="6" s="1"/>
  <c r="BK33" i="6"/>
  <c r="Q33" i="6" s="1"/>
  <c r="S33" i="6" s="1"/>
  <c r="U33" i="6" s="1"/>
  <c r="BK18" i="6"/>
  <c r="Q18" i="6" s="1"/>
  <c r="S18" i="6" s="1"/>
  <c r="U18" i="6" s="1"/>
  <c r="BK576" i="6"/>
  <c r="Q576" i="6" s="1"/>
  <c r="S576" i="6" s="1"/>
  <c r="U576" i="6" s="1"/>
  <c r="BK42" i="6"/>
  <c r="Q42" i="6" s="1"/>
  <c r="S42" i="6" s="1"/>
  <c r="U42" i="6" s="1"/>
  <c r="BK50" i="6"/>
  <c r="Q50" i="6" s="1"/>
  <c r="S50" i="6" s="1"/>
  <c r="U50" i="6" s="1"/>
  <c r="BK568" i="6"/>
  <c r="Q568" i="6" s="1"/>
  <c r="S568" i="6" s="1"/>
  <c r="U568" i="6" s="1"/>
  <c r="BK54" i="6"/>
  <c r="Q54" i="6" s="1"/>
  <c r="S54" i="6" s="1"/>
  <c r="U54" i="6" s="1"/>
  <c r="BK572" i="6"/>
  <c r="Q572" i="6" s="1"/>
  <c r="S572" i="6" s="1"/>
  <c r="U572" i="6" s="1"/>
  <c r="BK60" i="6"/>
  <c r="Q60" i="6" s="1"/>
  <c r="S60" i="6" s="1"/>
  <c r="U60" i="6" s="1"/>
  <c r="BK12" i="6"/>
  <c r="Q12" i="6" s="1"/>
  <c r="S12" i="6" s="1"/>
  <c r="U12" i="6" s="1"/>
  <c r="BK67" i="6"/>
  <c r="Q67" i="6" s="1"/>
  <c r="S67" i="6" s="1"/>
  <c r="U67" i="6" s="1"/>
  <c r="BK57" i="6"/>
  <c r="Q57" i="6" s="1"/>
  <c r="S57" i="6" s="1"/>
  <c r="BK16" i="6"/>
  <c r="Q16" i="6" s="1"/>
  <c r="S16" i="6" s="1"/>
  <c r="BK551" i="6"/>
  <c r="Q551" i="6" s="1"/>
  <c r="S551" i="6" s="1"/>
  <c r="U551" i="6" s="1"/>
  <c r="BK552" i="6"/>
  <c r="Q552" i="6" s="1"/>
  <c r="S552" i="6" s="1"/>
  <c r="U552" i="6" s="1"/>
  <c r="BK34" i="6"/>
  <c r="Q34" i="6" s="1"/>
  <c r="S34" i="6" s="1"/>
  <c r="U34" i="6" s="1"/>
  <c r="BK562" i="6"/>
  <c r="Q562" i="6" s="1"/>
  <c r="S562" i="6" s="1"/>
  <c r="U562" i="6" s="1"/>
  <c r="BK569" i="6"/>
  <c r="Q569" i="6" s="1"/>
  <c r="S569" i="6" s="1"/>
  <c r="U569" i="6" s="1"/>
  <c r="BK567" i="6"/>
  <c r="Q567" i="6" s="1"/>
  <c r="S567" i="6" s="1"/>
  <c r="U567" i="6" s="1"/>
  <c r="BK560" i="6"/>
  <c r="Q560" i="6" s="1"/>
  <c r="S560" i="6" s="1"/>
  <c r="U560" i="6" s="1"/>
  <c r="BK541" i="6"/>
  <c r="Q541" i="6" s="1"/>
  <c r="S541" i="6" s="1"/>
  <c r="U541" i="6" s="1"/>
  <c r="BK53" i="6"/>
  <c r="BK44" i="6"/>
  <c r="Q44" i="6" s="1"/>
  <c r="S44" i="6" s="1"/>
  <c r="BD69" i="8" s="1"/>
  <c r="BK51" i="6"/>
  <c r="BK547" i="6"/>
  <c r="Q547" i="6" s="1"/>
  <c r="S547" i="6" s="1"/>
  <c r="U547" i="6" s="1"/>
  <c r="BK68" i="6"/>
  <c r="Q68" i="6" s="1"/>
  <c r="S68" i="6" s="1"/>
  <c r="U68" i="6" s="1"/>
  <c r="BK559" i="6"/>
  <c r="Q559" i="6" s="1"/>
  <c r="S559" i="6" s="1"/>
  <c r="U559" i="6" s="1"/>
  <c r="BK43" i="6"/>
  <c r="Q43" i="6" s="1"/>
  <c r="S43" i="6" s="1"/>
  <c r="U43" i="6" s="1"/>
  <c r="BK538" i="6"/>
  <c r="Q538" i="6" s="1"/>
  <c r="S538" i="6" s="1"/>
  <c r="U538" i="6" s="1"/>
  <c r="BK582" i="6"/>
  <c r="Q582" i="6" s="1"/>
  <c r="S582" i="6" s="1"/>
  <c r="U582" i="6" s="1"/>
  <c r="BK48" i="6"/>
  <c r="Q48" i="6" s="1"/>
  <c r="S48" i="6" s="1"/>
  <c r="U48" i="6" s="1"/>
  <c r="BK83" i="6"/>
  <c r="Q83" i="6" s="1"/>
  <c r="S83" i="6" s="1"/>
  <c r="U83" i="6" s="1"/>
  <c r="BK32" i="6"/>
  <c r="Q32" i="6" s="1"/>
  <c r="S32" i="6" s="1"/>
  <c r="U32" i="6" s="1"/>
  <c r="BK20" i="6"/>
  <c r="Q20" i="6" s="1"/>
  <c r="S20" i="6" s="1"/>
  <c r="U20" i="6" s="1"/>
  <c r="BK71" i="6"/>
  <c r="BK566" i="6"/>
  <c r="Q566" i="6" s="1"/>
  <c r="S566" i="6" s="1"/>
  <c r="U566" i="6" s="1"/>
  <c r="BK573" i="6"/>
  <c r="Q573" i="6" s="1"/>
  <c r="S573" i="6" s="1"/>
  <c r="U573" i="6" s="1"/>
  <c r="BK21" i="6"/>
  <c r="Q21" i="6" s="1"/>
  <c r="S21" i="6" s="1"/>
  <c r="U21" i="6" s="1"/>
  <c r="AP229" i="9"/>
  <c r="DG229" i="9" s="1"/>
  <c r="AI229" i="9"/>
  <c r="CZ229" i="9" s="1"/>
  <c r="AO229" i="9"/>
  <c r="DF229" i="9" s="1"/>
  <c r="AJ229" i="9"/>
  <c r="DA229" i="9" s="1"/>
  <c r="AK229" i="9"/>
  <c r="DB229" i="9" s="1"/>
  <c r="AS229" i="9"/>
  <c r="DJ229" i="9" s="1"/>
  <c r="AN229" i="9"/>
  <c r="DE229" i="9" s="1"/>
  <c r="AQ229" i="9"/>
  <c r="DH229" i="9" s="1"/>
  <c r="AL229" i="9"/>
  <c r="DC229" i="9" s="1"/>
  <c r="AM229" i="9"/>
  <c r="DD229" i="9" s="1"/>
  <c r="AR229" i="9"/>
  <c r="DI229" i="9" s="1"/>
  <c r="BK26" i="6"/>
  <c r="Q26" i="6" s="1"/>
  <c r="S26" i="6" s="1"/>
  <c r="BD51" i="8" s="1"/>
  <c r="AL51" i="8" s="1"/>
  <c r="BK56" i="6"/>
  <c r="BK77" i="6"/>
  <c r="Q77" i="6" s="1"/>
  <c r="S77" i="6" s="1"/>
  <c r="BD102" i="8" s="1"/>
  <c r="AP203" i="9"/>
  <c r="AI203" i="9"/>
  <c r="AO203" i="9"/>
  <c r="AJ203" i="9"/>
  <c r="AK203" i="9"/>
  <c r="AS203" i="9"/>
  <c r="AN203" i="9"/>
  <c r="AQ203" i="9"/>
  <c r="AL203" i="9"/>
  <c r="AM203" i="9"/>
  <c r="AR203" i="9"/>
  <c r="BK25" i="6"/>
  <c r="Q25" i="6" s="1"/>
  <c r="S25" i="6" s="1"/>
  <c r="U25" i="6" s="1"/>
  <c r="BK58" i="6"/>
  <c r="Q58" i="6" s="1"/>
  <c r="S58" i="6" s="1"/>
  <c r="U58" i="6" s="1"/>
  <c r="BK45" i="6"/>
  <c r="Q45" i="6" s="1"/>
  <c r="S45" i="6" s="1"/>
  <c r="BD70" i="8" s="1"/>
  <c r="BK72" i="6"/>
  <c r="Q72" i="6" s="1"/>
  <c r="S72" i="6" s="1"/>
  <c r="BD97" i="8" s="1"/>
  <c r="BK28" i="6"/>
  <c r="Q28" i="6" s="1"/>
  <c r="S28" i="6" s="1"/>
  <c r="BD53" i="8" s="1"/>
  <c r="BK78" i="6"/>
  <c r="Q78" i="6" s="1"/>
  <c r="S78" i="6" s="1"/>
  <c r="BD103" i="8" s="1"/>
  <c r="BK76" i="6"/>
  <c r="Q76" i="6" s="1"/>
  <c r="S76" i="6" s="1"/>
  <c r="U76" i="6" s="1"/>
  <c r="BK31" i="6"/>
  <c r="Q31" i="6" s="1"/>
  <c r="S31" i="6" s="1"/>
  <c r="U31" i="6" s="1"/>
  <c r="BK38" i="6"/>
  <c r="Q38" i="6" s="1"/>
  <c r="S38" i="6" s="1"/>
  <c r="BK23" i="6"/>
  <c r="Q23" i="6" s="1"/>
  <c r="S23" i="6" s="1"/>
  <c r="BK65" i="6"/>
  <c r="Q65" i="6" s="1"/>
  <c r="S65" i="6" s="1"/>
  <c r="BK74" i="6"/>
  <c r="Q74" i="6" s="1"/>
  <c r="S74" i="6" s="1"/>
  <c r="BK63" i="6"/>
  <c r="Q63" i="6" s="1"/>
  <c r="S63" i="6" s="1"/>
  <c r="BK39" i="6"/>
  <c r="Q39" i="6" s="1"/>
  <c r="S39" i="6" s="1"/>
  <c r="BK22" i="6"/>
  <c r="Q22" i="6" s="1"/>
  <c r="S22" i="6" s="1"/>
  <c r="BK35" i="6"/>
  <c r="Q35" i="6" s="1"/>
  <c r="S35" i="6" s="1"/>
  <c r="BK70" i="6"/>
  <c r="Q70" i="6" s="1"/>
  <c r="S70" i="6" s="1"/>
  <c r="BK66" i="6"/>
  <c r="Q66" i="6" s="1"/>
  <c r="S66" i="6" s="1"/>
  <c r="BK73" i="6"/>
  <c r="Q73" i="6" s="1"/>
  <c r="S73" i="6" s="1"/>
  <c r="BK29" i="6"/>
  <c r="Q29" i="6" s="1"/>
  <c r="S29" i="6" s="1"/>
  <c r="BK41" i="6"/>
  <c r="Q41" i="6" s="1"/>
  <c r="S41" i="6" s="1"/>
  <c r="BK49" i="6"/>
  <c r="Q49" i="6" s="1"/>
  <c r="S49" i="6" s="1"/>
  <c r="BK37" i="6"/>
  <c r="Q37" i="6" s="1"/>
  <c r="S37" i="6" s="1"/>
  <c r="BK24" i="6"/>
  <c r="U1387" i="6"/>
  <c r="U1404" i="6"/>
  <c r="U1403" i="6"/>
  <c r="U1398" i="6"/>
  <c r="U1394" i="6"/>
  <c r="U1401" i="6"/>
  <c r="U1396" i="6"/>
  <c r="BQ614" i="9" l="1"/>
  <c r="EH614" i="9" s="1"/>
  <c r="AC614" i="9"/>
  <c r="CT614" i="9" s="1"/>
  <c r="AJ614" i="9"/>
  <c r="DA614" i="9" s="1"/>
  <c r="AA614" i="9"/>
  <c r="CR614" i="9" s="1"/>
  <c r="AQ614" i="9"/>
  <c r="DH614" i="9" s="1"/>
  <c r="AF614" i="9"/>
  <c r="CW614" i="9" s="1"/>
  <c r="AB614" i="9"/>
  <c r="CS614" i="9" s="1"/>
  <c r="AK614" i="9"/>
  <c r="DB614" i="9" s="1"/>
  <c r="AG614" i="9"/>
  <c r="CX614" i="9" s="1"/>
  <c r="AH614" i="9"/>
  <c r="CY614" i="9" s="1"/>
  <c r="AM614" i="9"/>
  <c r="DD614" i="9" s="1"/>
  <c r="V614" i="9"/>
  <c r="CM614" i="9" s="1"/>
  <c r="AL614" i="9"/>
  <c r="DC614" i="9" s="1"/>
  <c r="AY614" i="9"/>
  <c r="DP614" i="9" s="1"/>
  <c r="AP614" i="9"/>
  <c r="DG614" i="9" s="1"/>
  <c r="AS614" i="9"/>
  <c r="DJ614" i="9" s="1"/>
  <c r="BI614" i="9"/>
  <c r="DZ614" i="9" s="1"/>
  <c r="BP614" i="9"/>
  <c r="EG614" i="9" s="1"/>
  <c r="AW614" i="9"/>
  <c r="DN614" i="9" s="1"/>
  <c r="BR614" i="9"/>
  <c r="EI614" i="9" s="1"/>
  <c r="AO614" i="9"/>
  <c r="DF614" i="9" s="1"/>
  <c r="BA614" i="9"/>
  <c r="DR614" i="9" s="1"/>
  <c r="BH614" i="9"/>
  <c r="DY614" i="9" s="1"/>
  <c r="AX614" i="9"/>
  <c r="DO614" i="9" s="1"/>
  <c r="U614" i="9"/>
  <c r="CL614" i="9" s="1"/>
  <c r="AI614" i="9"/>
  <c r="CZ614" i="9" s="1"/>
  <c r="BE614" i="9"/>
  <c r="DV614" i="9" s="1"/>
  <c r="Y614" i="9"/>
  <c r="CP614" i="9" s="1"/>
  <c r="BC614" i="9"/>
  <c r="DT614" i="9" s="1"/>
  <c r="BB614" i="9"/>
  <c r="DS614" i="9" s="1"/>
  <c r="BG614" i="9"/>
  <c r="DX614" i="9" s="1"/>
  <c r="BJ614" i="9"/>
  <c r="EA614" i="9" s="1"/>
  <c r="AE614" i="9"/>
  <c r="CV614" i="9" s="1"/>
  <c r="AR614" i="9"/>
  <c r="DI614" i="9" s="1"/>
  <c r="AU614" i="9"/>
  <c r="DL614" i="9" s="1"/>
  <c r="BD563" i="9"/>
  <c r="DU563" i="9" s="1"/>
  <c r="AG563" i="9"/>
  <c r="CX563" i="9" s="1"/>
  <c r="BH563" i="9"/>
  <c r="DY563" i="9" s="1"/>
  <c r="U479" i="9"/>
  <c r="CL479" i="9" s="1"/>
  <c r="AE479" i="9"/>
  <c r="CV479" i="9" s="1"/>
  <c r="BF479" i="9"/>
  <c r="DW479" i="9" s="1"/>
  <c r="K479" i="9"/>
  <c r="CB479" i="9" s="1"/>
  <c r="BK563" i="9"/>
  <c r="EB563" i="9" s="1"/>
  <c r="BF563" i="9"/>
  <c r="DW563" i="9" s="1"/>
  <c r="AD563" i="9"/>
  <c r="CU563" i="9" s="1"/>
  <c r="BP563" i="9"/>
  <c r="EG563" i="9" s="1"/>
  <c r="W563" i="9"/>
  <c r="CN563" i="9" s="1"/>
  <c r="BO563" i="9"/>
  <c r="EF563" i="9" s="1"/>
  <c r="AM563" i="9"/>
  <c r="DD563" i="9" s="1"/>
  <c r="AU563" i="9"/>
  <c r="DL563" i="9" s="1"/>
  <c r="BA563" i="9"/>
  <c r="DR563" i="9" s="1"/>
  <c r="AP563" i="9"/>
  <c r="DG563" i="9" s="1"/>
  <c r="BH604" i="9"/>
  <c r="DY604" i="9" s="1"/>
  <c r="AO604" i="9"/>
  <c r="DF604" i="9" s="1"/>
  <c r="AY653" i="9"/>
  <c r="DP653" i="9" s="1"/>
  <c r="AH653" i="9"/>
  <c r="CY653" i="9" s="1"/>
  <c r="AD653" i="9"/>
  <c r="CU653" i="9" s="1"/>
  <c r="BG653" i="9"/>
  <c r="DX653" i="9" s="1"/>
  <c r="AC653" i="9"/>
  <c r="CT653" i="9" s="1"/>
  <c r="U653" i="9"/>
  <c r="CL653" i="9" s="1"/>
  <c r="BJ653" i="9"/>
  <c r="EA653" i="9" s="1"/>
  <c r="BM653" i="9"/>
  <c r="ED653" i="9" s="1"/>
  <c r="AV653" i="9"/>
  <c r="DM653" i="9" s="1"/>
  <c r="AK653" i="9"/>
  <c r="DB653" i="9" s="1"/>
  <c r="AF653" i="9"/>
  <c r="CW653" i="9" s="1"/>
  <c r="AE653" i="9"/>
  <c r="CV653" i="9" s="1"/>
  <c r="BP653" i="9"/>
  <c r="EG653" i="9" s="1"/>
  <c r="AP653" i="9"/>
  <c r="DG653" i="9" s="1"/>
  <c r="AN653" i="9"/>
  <c r="DE653" i="9" s="1"/>
  <c r="AU653" i="9"/>
  <c r="DL653" i="9" s="1"/>
  <c r="AQ653" i="9"/>
  <c r="DH653" i="9" s="1"/>
  <c r="AG653" i="9"/>
  <c r="CX653" i="9" s="1"/>
  <c r="BR653" i="9"/>
  <c r="EI653" i="9" s="1"/>
  <c r="BL653" i="9"/>
  <c r="EC653" i="9" s="1"/>
  <c r="W653" i="9"/>
  <c r="CN653" i="9" s="1"/>
  <c r="AR653" i="9"/>
  <c r="DI653" i="9" s="1"/>
  <c r="AW653" i="9"/>
  <c r="DN653" i="9" s="1"/>
  <c r="BK653" i="9"/>
  <c r="EB653" i="9" s="1"/>
  <c r="AJ653" i="9"/>
  <c r="DA653" i="9" s="1"/>
  <c r="AB653" i="9"/>
  <c r="CS653" i="9" s="1"/>
  <c r="AS653" i="9"/>
  <c r="DJ653" i="9" s="1"/>
  <c r="AX653" i="9"/>
  <c r="DO653" i="9" s="1"/>
  <c r="V653" i="9"/>
  <c r="CM653" i="9" s="1"/>
  <c r="BD653" i="9"/>
  <c r="DU653" i="9" s="1"/>
  <c r="BE653" i="9"/>
  <c r="DV653" i="9" s="1"/>
  <c r="BI653" i="9"/>
  <c r="DZ653" i="9" s="1"/>
  <c r="X653" i="9"/>
  <c r="CO653" i="9" s="1"/>
  <c r="AM653" i="9"/>
  <c r="DD653" i="9" s="1"/>
  <c r="BF653" i="9"/>
  <c r="DW653" i="9" s="1"/>
  <c r="Y653" i="9"/>
  <c r="CP653" i="9" s="1"/>
  <c r="BQ653" i="9"/>
  <c r="EH653" i="9" s="1"/>
  <c r="AL653" i="9"/>
  <c r="DC653" i="9" s="1"/>
  <c r="AI653" i="9"/>
  <c r="CZ653" i="9" s="1"/>
  <c r="BB653" i="9"/>
  <c r="DS653" i="9" s="1"/>
  <c r="AA653" i="9"/>
  <c r="CR653" i="9" s="1"/>
  <c r="BH653" i="9"/>
  <c r="DY653" i="9" s="1"/>
  <c r="BA653" i="9"/>
  <c r="DR653" i="9" s="1"/>
  <c r="BO653" i="9"/>
  <c r="EF653" i="9" s="1"/>
  <c r="BC653" i="9"/>
  <c r="DT653" i="9" s="1"/>
  <c r="BN653" i="9"/>
  <c r="EE653" i="9" s="1"/>
  <c r="AT653" i="9"/>
  <c r="DK653" i="9" s="1"/>
  <c r="AZ653" i="9"/>
  <c r="DQ653" i="9" s="1"/>
  <c r="AO653" i="9"/>
  <c r="DF653" i="9" s="1"/>
  <c r="Q653" i="9"/>
  <c r="CH653" i="9" s="1"/>
  <c r="Z653" i="9"/>
  <c r="CQ653" i="9" s="1"/>
  <c r="K653" i="9"/>
  <c r="CB653" i="9" s="1"/>
  <c r="T653" i="9"/>
  <c r="CK653" i="9" s="1"/>
  <c r="R653" i="9"/>
  <c r="CI653" i="9" s="1"/>
  <c r="L653" i="9"/>
  <c r="CC653" i="9" s="1"/>
  <c r="S653" i="9"/>
  <c r="CJ653" i="9" s="1"/>
  <c r="O653" i="9"/>
  <c r="CF653" i="9" s="1"/>
  <c r="M653" i="9"/>
  <c r="CD653" i="9" s="1"/>
  <c r="AJ271" i="9"/>
  <c r="DA271" i="9" s="1"/>
  <c r="AW271" i="9"/>
  <c r="DN271" i="9" s="1"/>
  <c r="X271" i="9"/>
  <c r="CO271" i="9" s="1"/>
  <c r="BM271" i="9"/>
  <c r="ED271" i="9" s="1"/>
  <c r="AL271" i="9"/>
  <c r="DC271" i="9" s="1"/>
  <c r="V271" i="9"/>
  <c r="CM271" i="9" s="1"/>
  <c r="AY271" i="9"/>
  <c r="DP271" i="9" s="1"/>
  <c r="BG271" i="9"/>
  <c r="DX271" i="9" s="1"/>
  <c r="AC271" i="9"/>
  <c r="CT271" i="9" s="1"/>
  <c r="BF271" i="9"/>
  <c r="DW271" i="9" s="1"/>
  <c r="BI269" i="9"/>
  <c r="DZ269" i="9" s="1"/>
  <c r="AF269" i="9"/>
  <c r="CW269" i="9" s="1"/>
  <c r="AV269" i="9"/>
  <c r="DM269" i="9" s="1"/>
  <c r="BC557" i="9"/>
  <c r="DT557" i="9" s="1"/>
  <c r="AX557" i="9"/>
  <c r="DO557" i="9" s="1"/>
  <c r="AL557" i="9"/>
  <c r="DC557" i="9" s="1"/>
  <c r="BD557" i="9"/>
  <c r="DU557" i="9" s="1"/>
  <c r="AP557" i="9"/>
  <c r="DG557" i="9" s="1"/>
  <c r="BB557" i="9"/>
  <c r="DS557" i="9" s="1"/>
  <c r="AE557" i="9"/>
  <c r="CV557" i="9" s="1"/>
  <c r="P557" i="9"/>
  <c r="CG557" i="9" s="1"/>
  <c r="R649" i="9"/>
  <c r="CI649" i="9" s="1"/>
  <c r="AD649" i="9"/>
  <c r="CU649" i="9" s="1"/>
  <c r="AL649" i="9"/>
  <c r="DC649" i="9" s="1"/>
  <c r="AM649" i="9"/>
  <c r="DD649" i="9" s="1"/>
  <c r="BN649" i="9"/>
  <c r="EE649" i="9" s="1"/>
  <c r="BQ649" i="9"/>
  <c r="EH649" i="9" s="1"/>
  <c r="S649" i="9"/>
  <c r="CJ649" i="9" s="1"/>
  <c r="BP433" i="9"/>
  <c r="EG433" i="9" s="1"/>
  <c r="AO433" i="9"/>
  <c r="DF433" i="9" s="1"/>
  <c r="BA433" i="9"/>
  <c r="DR433" i="9" s="1"/>
  <c r="AP433" i="9"/>
  <c r="DG433" i="9" s="1"/>
  <c r="AJ433" i="9"/>
  <c r="DA433" i="9" s="1"/>
  <c r="Y433" i="9"/>
  <c r="CP433" i="9" s="1"/>
  <c r="AU433" i="9"/>
  <c r="DL433" i="9" s="1"/>
  <c r="BI433" i="9"/>
  <c r="DZ433" i="9" s="1"/>
  <c r="BG433" i="9"/>
  <c r="DX433" i="9" s="1"/>
  <c r="AZ433" i="9"/>
  <c r="DQ433" i="9" s="1"/>
  <c r="AH433" i="9"/>
  <c r="CY433" i="9" s="1"/>
  <c r="BC433" i="9"/>
  <c r="DT433" i="9" s="1"/>
  <c r="AC433" i="9"/>
  <c r="CT433" i="9" s="1"/>
  <c r="AT433" i="9"/>
  <c r="DK433" i="9" s="1"/>
  <c r="Z433" i="9"/>
  <c r="CQ433" i="9" s="1"/>
  <c r="BL433" i="9"/>
  <c r="EC433" i="9" s="1"/>
  <c r="BE433" i="9"/>
  <c r="DV433" i="9" s="1"/>
  <c r="AS433" i="9"/>
  <c r="DJ433" i="9" s="1"/>
  <c r="AM433" i="9"/>
  <c r="DD433" i="9" s="1"/>
  <c r="AQ433" i="9"/>
  <c r="DH433" i="9" s="1"/>
  <c r="AV433" i="9"/>
  <c r="DM433" i="9" s="1"/>
  <c r="AE433" i="9"/>
  <c r="CV433" i="9" s="1"/>
  <c r="AG433" i="9"/>
  <c r="CX433" i="9" s="1"/>
  <c r="AN433" i="9"/>
  <c r="DE433" i="9" s="1"/>
  <c r="AA433" i="9"/>
  <c r="CR433" i="9" s="1"/>
  <c r="X433" i="9"/>
  <c r="CO433" i="9" s="1"/>
  <c r="BJ433" i="9"/>
  <c r="EA433" i="9" s="1"/>
  <c r="BB433" i="9"/>
  <c r="DS433" i="9" s="1"/>
  <c r="BK433" i="9"/>
  <c r="EB433" i="9" s="1"/>
  <c r="BQ433" i="9"/>
  <c r="EH433" i="9" s="1"/>
  <c r="BR433" i="9"/>
  <c r="EI433" i="9" s="1"/>
  <c r="U433" i="9"/>
  <c r="CL433" i="9" s="1"/>
  <c r="BM433" i="9"/>
  <c r="ED433" i="9" s="1"/>
  <c r="V433" i="9"/>
  <c r="CM433" i="9" s="1"/>
  <c r="AD433" i="9"/>
  <c r="CU433" i="9" s="1"/>
  <c r="W433" i="9"/>
  <c r="CN433" i="9" s="1"/>
  <c r="AX433" i="9"/>
  <c r="DO433" i="9" s="1"/>
  <c r="AY433" i="9"/>
  <c r="DP433" i="9" s="1"/>
  <c r="AW433" i="9"/>
  <c r="DN433" i="9" s="1"/>
  <c r="AF433" i="9"/>
  <c r="CW433" i="9" s="1"/>
  <c r="BD433" i="9"/>
  <c r="DU433" i="9" s="1"/>
  <c r="AK433" i="9"/>
  <c r="DB433" i="9" s="1"/>
  <c r="AR433" i="9"/>
  <c r="DI433" i="9" s="1"/>
  <c r="AI433" i="9"/>
  <c r="CZ433" i="9" s="1"/>
  <c r="BO433" i="9"/>
  <c r="EF433" i="9" s="1"/>
  <c r="BF433" i="9"/>
  <c r="DW433" i="9" s="1"/>
  <c r="BN433" i="9"/>
  <c r="EE433" i="9" s="1"/>
  <c r="S433" i="9"/>
  <c r="CJ433" i="9" s="1"/>
  <c r="T433" i="9"/>
  <c r="CK433" i="9" s="1"/>
  <c r="M433" i="9"/>
  <c r="CD433" i="9" s="1"/>
  <c r="L433" i="9"/>
  <c r="CC433" i="9" s="1"/>
  <c r="BH433" i="9"/>
  <c r="DY433" i="9" s="1"/>
  <c r="AB433" i="9"/>
  <c r="CS433" i="9" s="1"/>
  <c r="AL433" i="9"/>
  <c r="DC433" i="9" s="1"/>
  <c r="Q608" i="9"/>
  <c r="CH608" i="9" s="1"/>
  <c r="W608" i="9"/>
  <c r="CN608" i="9" s="1"/>
  <c r="BI608" i="9"/>
  <c r="DZ608" i="9" s="1"/>
  <c r="AH608" i="9"/>
  <c r="CY608" i="9" s="1"/>
  <c r="AI608" i="9"/>
  <c r="CZ608" i="9" s="1"/>
  <c r="U608" i="9"/>
  <c r="CL608" i="9" s="1"/>
  <c r="L608" i="9"/>
  <c r="CC608" i="9" s="1"/>
  <c r="AV608" i="9"/>
  <c r="DM608" i="9" s="1"/>
  <c r="AE271" i="9"/>
  <c r="CV271" i="9" s="1"/>
  <c r="AA271" i="9"/>
  <c r="CR271" i="9" s="1"/>
  <c r="AK271" i="9"/>
  <c r="DB271" i="9" s="1"/>
  <c r="AF271" i="9"/>
  <c r="CW271" i="9" s="1"/>
  <c r="W271" i="9"/>
  <c r="CN271" i="9" s="1"/>
  <c r="AG271" i="9"/>
  <c r="CX271" i="9" s="1"/>
  <c r="AX271" i="9"/>
  <c r="DO271" i="9" s="1"/>
  <c r="BO271" i="9"/>
  <c r="EF271" i="9" s="1"/>
  <c r="AN271" i="9"/>
  <c r="DE271" i="9" s="1"/>
  <c r="BP271" i="9"/>
  <c r="EG271" i="9" s="1"/>
  <c r="BH271" i="9"/>
  <c r="DY271" i="9" s="1"/>
  <c r="BA271" i="9"/>
  <c r="DR271" i="9" s="1"/>
  <c r="AU271" i="9"/>
  <c r="DL271" i="9" s="1"/>
  <c r="AI271" i="9"/>
  <c r="CZ271" i="9" s="1"/>
  <c r="AT271" i="9"/>
  <c r="DK271" i="9" s="1"/>
  <c r="AH271" i="9"/>
  <c r="CY271" i="9" s="1"/>
  <c r="BJ271" i="9"/>
  <c r="EA271" i="9" s="1"/>
  <c r="BB271" i="9"/>
  <c r="DS271" i="9" s="1"/>
  <c r="BI271" i="9"/>
  <c r="DZ271" i="9" s="1"/>
  <c r="U271" i="9"/>
  <c r="CL271" i="9" s="1"/>
  <c r="BN271" i="9"/>
  <c r="EE271" i="9" s="1"/>
  <c r="BR271" i="9"/>
  <c r="EI271" i="9" s="1"/>
  <c r="BQ271" i="9"/>
  <c r="EH271" i="9" s="1"/>
  <c r="AV271" i="9"/>
  <c r="DM271" i="9" s="1"/>
  <c r="BL271" i="9"/>
  <c r="EC271" i="9" s="1"/>
  <c r="AQ271" i="9"/>
  <c r="DH271" i="9" s="1"/>
  <c r="BC271" i="9"/>
  <c r="DT271" i="9" s="1"/>
  <c r="AZ271" i="9"/>
  <c r="DQ271" i="9" s="1"/>
  <c r="AO271" i="9"/>
  <c r="DF271" i="9" s="1"/>
  <c r="BD271" i="9"/>
  <c r="DU271" i="9" s="1"/>
  <c r="BK271" i="9"/>
  <c r="EB271" i="9" s="1"/>
  <c r="AS271" i="9"/>
  <c r="DJ271" i="9" s="1"/>
  <c r="BE271" i="9"/>
  <c r="DV271" i="9" s="1"/>
  <c r="M271" i="9"/>
  <c r="CD271" i="9" s="1"/>
  <c r="S271" i="9"/>
  <c r="CJ271" i="9" s="1"/>
  <c r="AD271" i="9"/>
  <c r="CU271" i="9" s="1"/>
  <c r="N271" i="9"/>
  <c r="CE271" i="9" s="1"/>
  <c r="O271" i="9"/>
  <c r="CF271" i="9" s="1"/>
  <c r="T271" i="9"/>
  <c r="CK271" i="9" s="1"/>
  <c r="K271" i="9"/>
  <c r="CB271" i="9" s="1"/>
  <c r="AR271" i="9"/>
  <c r="DI271" i="9" s="1"/>
  <c r="AM271" i="9"/>
  <c r="DD271" i="9" s="1"/>
  <c r="AB271" i="9"/>
  <c r="CS271" i="9" s="1"/>
  <c r="Z271" i="9"/>
  <c r="CQ271" i="9" s="1"/>
  <c r="R271" i="9"/>
  <c r="CI271" i="9" s="1"/>
  <c r="AP271" i="9"/>
  <c r="DG271" i="9" s="1"/>
  <c r="Y271" i="9"/>
  <c r="CP271" i="9" s="1"/>
  <c r="P271" i="9"/>
  <c r="CG271" i="9" s="1"/>
  <c r="BE637" i="9"/>
  <c r="DV637" i="9" s="1"/>
  <c r="AT637" i="9"/>
  <c r="DK637" i="9" s="1"/>
  <c r="BQ637" i="9"/>
  <c r="EH637" i="9" s="1"/>
  <c r="Q637" i="9"/>
  <c r="CH637" i="9" s="1"/>
  <c r="M637" i="9"/>
  <c r="CD637" i="9" s="1"/>
  <c r="L637" i="9"/>
  <c r="CC637" i="9" s="1"/>
  <c r="P637" i="9"/>
  <c r="CG637" i="9" s="1"/>
  <c r="R637" i="9"/>
  <c r="CI637" i="9" s="1"/>
  <c r="N637" i="9"/>
  <c r="CE637" i="9" s="1"/>
  <c r="T637" i="9"/>
  <c r="CK637" i="9" s="1"/>
  <c r="AC637" i="9"/>
  <c r="CT637" i="9" s="1"/>
  <c r="AQ637" i="9"/>
  <c r="DH637" i="9" s="1"/>
  <c r="AE637" i="9"/>
  <c r="CV637" i="9" s="1"/>
  <c r="AG637" i="9"/>
  <c r="CX637" i="9" s="1"/>
  <c r="AA637" i="9"/>
  <c r="CR637" i="9" s="1"/>
  <c r="W637" i="9"/>
  <c r="CN637" i="9" s="1"/>
  <c r="BP637" i="9"/>
  <c r="EG637" i="9" s="1"/>
  <c r="BF637" i="9"/>
  <c r="DW637" i="9" s="1"/>
  <c r="BH637" i="9"/>
  <c r="DY637" i="9" s="1"/>
  <c r="AX637" i="9"/>
  <c r="DO637" i="9" s="1"/>
  <c r="AO637" i="9"/>
  <c r="DF637" i="9" s="1"/>
  <c r="AZ637" i="9"/>
  <c r="DQ637" i="9" s="1"/>
  <c r="AP637" i="9"/>
  <c r="DG637" i="9" s="1"/>
  <c r="AN637" i="9"/>
  <c r="DE637" i="9" s="1"/>
  <c r="AR637" i="9"/>
  <c r="DI637" i="9" s="1"/>
  <c r="AH637" i="9"/>
  <c r="CY637" i="9" s="1"/>
  <c r="AL637" i="9"/>
  <c r="DC637" i="9" s="1"/>
  <c r="AB637" i="9"/>
  <c r="CS637" i="9" s="1"/>
  <c r="AM637" i="9"/>
  <c r="DD637" i="9" s="1"/>
  <c r="AK637" i="9"/>
  <c r="DB637" i="9" s="1"/>
  <c r="AJ637" i="9"/>
  <c r="DA637" i="9" s="1"/>
  <c r="Z637" i="9"/>
  <c r="CQ637" i="9" s="1"/>
  <c r="AF637" i="9"/>
  <c r="CW637" i="9" s="1"/>
  <c r="AD637" i="9"/>
  <c r="CU637" i="9" s="1"/>
  <c r="AI637" i="9"/>
  <c r="CZ637" i="9" s="1"/>
  <c r="BO637" i="9"/>
  <c r="EF637" i="9" s="1"/>
  <c r="V637" i="9"/>
  <c r="CM637" i="9" s="1"/>
  <c r="BG637" i="9"/>
  <c r="DX637" i="9" s="1"/>
  <c r="Y637" i="9"/>
  <c r="CP637" i="9" s="1"/>
  <c r="BJ637" i="9"/>
  <c r="EA637" i="9" s="1"/>
  <c r="BA637" i="9"/>
  <c r="DR637" i="9" s="1"/>
  <c r="BR637" i="9"/>
  <c r="EI637" i="9" s="1"/>
  <c r="AS637" i="9"/>
  <c r="DJ637" i="9" s="1"/>
  <c r="BN637" i="9"/>
  <c r="EE637" i="9" s="1"/>
  <c r="BI637" i="9"/>
  <c r="DZ637" i="9" s="1"/>
  <c r="BD637" i="9"/>
  <c r="DU637" i="9" s="1"/>
  <c r="X637" i="9"/>
  <c r="CO637" i="9" s="1"/>
  <c r="BC637" i="9"/>
  <c r="DT637" i="9" s="1"/>
  <c r="AY637" i="9"/>
  <c r="DP637" i="9" s="1"/>
  <c r="BL637" i="9"/>
  <c r="EC637" i="9" s="1"/>
  <c r="U637" i="9"/>
  <c r="CL637" i="9" s="1"/>
  <c r="BM637" i="9"/>
  <c r="ED637" i="9" s="1"/>
  <c r="BK637" i="9"/>
  <c r="EB637" i="9" s="1"/>
  <c r="BB637" i="9"/>
  <c r="DS637" i="9" s="1"/>
  <c r="AV637" i="9"/>
  <c r="DM637" i="9" s="1"/>
  <c r="AW637" i="9"/>
  <c r="DN637" i="9" s="1"/>
  <c r="AU637" i="9"/>
  <c r="DL637" i="9" s="1"/>
  <c r="BP441" i="9"/>
  <c r="EG441" i="9" s="1"/>
  <c r="AU441" i="9"/>
  <c r="DL441" i="9" s="1"/>
  <c r="K658" i="9"/>
  <c r="CB658" i="9" s="1"/>
  <c r="P658" i="9"/>
  <c r="CG658" i="9" s="1"/>
  <c r="W491" i="9"/>
  <c r="CN491" i="9" s="1"/>
  <c r="AW491" i="9"/>
  <c r="DN491" i="9" s="1"/>
  <c r="AS491" i="9"/>
  <c r="DJ491" i="9" s="1"/>
  <c r="AU491" i="9"/>
  <c r="DL491" i="9" s="1"/>
  <c r="AY491" i="9"/>
  <c r="DP491" i="9" s="1"/>
  <c r="AP491" i="9"/>
  <c r="DG491" i="9" s="1"/>
  <c r="BR491" i="9"/>
  <c r="EI491" i="9" s="1"/>
  <c r="BQ491" i="9"/>
  <c r="EH491" i="9" s="1"/>
  <c r="X491" i="9"/>
  <c r="CO491" i="9" s="1"/>
  <c r="Z491" i="9"/>
  <c r="CQ491" i="9" s="1"/>
  <c r="AI491" i="9"/>
  <c r="CZ491" i="9" s="1"/>
  <c r="BO491" i="9"/>
  <c r="EF491" i="9" s="1"/>
  <c r="P491" i="9"/>
  <c r="CG491" i="9" s="1"/>
  <c r="BD491" i="9"/>
  <c r="DU491" i="9" s="1"/>
  <c r="BF279" i="9"/>
  <c r="DW279" i="9" s="1"/>
  <c r="V279" i="9"/>
  <c r="CM279" i="9" s="1"/>
  <c r="AC279" i="9"/>
  <c r="CT279" i="9" s="1"/>
  <c r="W279" i="9"/>
  <c r="CN279" i="9" s="1"/>
  <c r="BE279" i="9"/>
  <c r="DV279" i="9" s="1"/>
  <c r="U279" i="9"/>
  <c r="CL279" i="9" s="1"/>
  <c r="BB279" i="9"/>
  <c r="DS279" i="9" s="1"/>
  <c r="AI429" i="9"/>
  <c r="CZ429" i="9" s="1"/>
  <c r="AC429" i="9"/>
  <c r="CT429" i="9" s="1"/>
  <c r="O610" i="9"/>
  <c r="CF610" i="9" s="1"/>
  <c r="BQ610" i="9"/>
  <c r="EH610" i="9" s="1"/>
  <c r="BJ254" i="9"/>
  <c r="EA254" i="9" s="1"/>
  <c r="AE254" i="9"/>
  <c r="CV254" i="9" s="1"/>
  <c r="BF254" i="9"/>
  <c r="DW254" i="9" s="1"/>
  <c r="BC254" i="9"/>
  <c r="DT254" i="9" s="1"/>
  <c r="BO435" i="9"/>
  <c r="EF435" i="9" s="1"/>
  <c r="AR435" i="9"/>
  <c r="DI435" i="9" s="1"/>
  <c r="AH606" i="9"/>
  <c r="CY606" i="9" s="1"/>
  <c r="AL606" i="9"/>
  <c r="DC606" i="9" s="1"/>
  <c r="BJ437" i="9"/>
  <c r="EA437" i="9" s="1"/>
  <c r="AW437" i="9"/>
  <c r="DN437" i="9" s="1"/>
  <c r="AK437" i="9"/>
  <c r="DB437" i="9" s="1"/>
  <c r="AA437" i="9"/>
  <c r="CR437" i="9" s="1"/>
  <c r="BM437" i="9"/>
  <c r="ED437" i="9" s="1"/>
  <c r="AF437" i="9"/>
  <c r="CW437" i="9" s="1"/>
  <c r="AT554" i="9"/>
  <c r="DK554" i="9" s="1"/>
  <c r="BR554" i="9"/>
  <c r="EI554" i="9" s="1"/>
  <c r="AZ553" i="9"/>
  <c r="DQ553" i="9" s="1"/>
  <c r="AI553" i="9"/>
  <c r="CZ553" i="9" s="1"/>
  <c r="BN553" i="9"/>
  <c r="EE553" i="9" s="1"/>
  <c r="AF553" i="9"/>
  <c r="CW553" i="9" s="1"/>
  <c r="Z553" i="9"/>
  <c r="CQ553" i="9" s="1"/>
  <c r="BB553" i="9"/>
  <c r="DS553" i="9" s="1"/>
  <c r="BO553" i="9"/>
  <c r="EF553" i="9" s="1"/>
  <c r="BD553" i="9"/>
  <c r="DU553" i="9" s="1"/>
  <c r="AM553" i="9"/>
  <c r="DD553" i="9" s="1"/>
  <c r="BH553" i="9"/>
  <c r="DY553" i="9" s="1"/>
  <c r="BR553" i="9"/>
  <c r="EI553" i="9" s="1"/>
  <c r="AJ553" i="9"/>
  <c r="DA553" i="9" s="1"/>
  <c r="V553" i="9"/>
  <c r="CM553" i="9" s="1"/>
  <c r="AU553" i="9"/>
  <c r="DL553" i="9" s="1"/>
  <c r="BP553" i="9"/>
  <c r="EG553" i="9" s="1"/>
  <c r="BI553" i="9"/>
  <c r="DZ553" i="9" s="1"/>
  <c r="BK553" i="9"/>
  <c r="EB553" i="9" s="1"/>
  <c r="AG553" i="9"/>
  <c r="CX553" i="9" s="1"/>
  <c r="AD553" i="9"/>
  <c r="CU553" i="9" s="1"/>
  <c r="AO553" i="9"/>
  <c r="DF553" i="9" s="1"/>
  <c r="AL553" i="9"/>
  <c r="DC553" i="9" s="1"/>
  <c r="Y553" i="9"/>
  <c r="CP553" i="9" s="1"/>
  <c r="BC553" i="9"/>
  <c r="DT553" i="9" s="1"/>
  <c r="AQ553" i="9"/>
  <c r="DH553" i="9" s="1"/>
  <c r="AW553" i="9"/>
  <c r="DN553" i="9" s="1"/>
  <c r="BM553" i="9"/>
  <c r="ED553" i="9" s="1"/>
  <c r="BJ553" i="9"/>
  <c r="EA553" i="9" s="1"/>
  <c r="AP553" i="9"/>
  <c r="DG553" i="9" s="1"/>
  <c r="AN553" i="9"/>
  <c r="DE553" i="9" s="1"/>
  <c r="BL553" i="9"/>
  <c r="EC553" i="9" s="1"/>
  <c r="AH553" i="9"/>
  <c r="CY553" i="9" s="1"/>
  <c r="U553" i="9"/>
  <c r="CL553" i="9" s="1"/>
  <c r="O553" i="9"/>
  <c r="CF553" i="9" s="1"/>
  <c r="BA553" i="9"/>
  <c r="DR553" i="9" s="1"/>
  <c r="L553" i="9"/>
  <c r="CC553" i="9" s="1"/>
  <c r="R553" i="9"/>
  <c r="CI553" i="9" s="1"/>
  <c r="Q553" i="9"/>
  <c r="CH553" i="9" s="1"/>
  <c r="P553" i="9"/>
  <c r="CG553" i="9" s="1"/>
  <c r="T553" i="9"/>
  <c r="CK553" i="9" s="1"/>
  <c r="AR553" i="9"/>
  <c r="DI553" i="9" s="1"/>
  <c r="X553" i="9"/>
  <c r="CO553" i="9" s="1"/>
  <c r="W553" i="9"/>
  <c r="CN553" i="9" s="1"/>
  <c r="AE553" i="9"/>
  <c r="CV553" i="9" s="1"/>
  <c r="BE553" i="9"/>
  <c r="DV553" i="9" s="1"/>
  <c r="AA553" i="9"/>
  <c r="CR553" i="9" s="1"/>
  <c r="AB553" i="9"/>
  <c r="CS553" i="9" s="1"/>
  <c r="BF553" i="9"/>
  <c r="DW553" i="9" s="1"/>
  <c r="AY553" i="9"/>
  <c r="DP553" i="9" s="1"/>
  <c r="AX553" i="9"/>
  <c r="DO553" i="9" s="1"/>
  <c r="M553" i="9"/>
  <c r="CD553" i="9" s="1"/>
  <c r="X484" i="9"/>
  <c r="CO484" i="9" s="1"/>
  <c r="AV484" i="9"/>
  <c r="DM484" i="9" s="1"/>
  <c r="AR484" i="9"/>
  <c r="DI484" i="9" s="1"/>
  <c r="AF484" i="9"/>
  <c r="CW484" i="9" s="1"/>
  <c r="BL484" i="9"/>
  <c r="EC484" i="9" s="1"/>
  <c r="Y484" i="9"/>
  <c r="CP484" i="9" s="1"/>
  <c r="AI484" i="9"/>
  <c r="CZ484" i="9" s="1"/>
  <c r="BQ484" i="9"/>
  <c r="EH484" i="9" s="1"/>
  <c r="BN484" i="9"/>
  <c r="EE484" i="9" s="1"/>
  <c r="AW484" i="9"/>
  <c r="DN484" i="9" s="1"/>
  <c r="AK484" i="9"/>
  <c r="DB484" i="9" s="1"/>
  <c r="AT484" i="9"/>
  <c r="DK484" i="9" s="1"/>
  <c r="AP484" i="9"/>
  <c r="DG484" i="9" s="1"/>
  <c r="AX484" i="9"/>
  <c r="DO484" i="9" s="1"/>
  <c r="BR484" i="9"/>
  <c r="EI484" i="9" s="1"/>
  <c r="BB484" i="9"/>
  <c r="DS484" i="9" s="1"/>
  <c r="AJ484" i="9"/>
  <c r="DA484" i="9" s="1"/>
  <c r="BK484" i="9"/>
  <c r="EB484" i="9" s="1"/>
  <c r="U484" i="9"/>
  <c r="CL484" i="9" s="1"/>
  <c r="BA484" i="9"/>
  <c r="DR484" i="9" s="1"/>
  <c r="AY484" i="9"/>
  <c r="DP484" i="9" s="1"/>
  <c r="BE484" i="9"/>
  <c r="DV484" i="9" s="1"/>
  <c r="AL484" i="9"/>
  <c r="DC484" i="9" s="1"/>
  <c r="BD484" i="9"/>
  <c r="DU484" i="9" s="1"/>
  <c r="AU484" i="9"/>
  <c r="DL484" i="9" s="1"/>
  <c r="AQ484" i="9"/>
  <c r="DH484" i="9" s="1"/>
  <c r="BF484" i="9"/>
  <c r="DW484" i="9" s="1"/>
  <c r="AE484" i="9"/>
  <c r="CV484" i="9" s="1"/>
  <c r="BJ484" i="9"/>
  <c r="EA484" i="9" s="1"/>
  <c r="AA484" i="9"/>
  <c r="CR484" i="9" s="1"/>
  <c r="BH484" i="9"/>
  <c r="DY484" i="9" s="1"/>
  <c r="V484" i="9"/>
  <c r="CM484" i="9" s="1"/>
  <c r="AH484" i="9"/>
  <c r="CY484" i="9" s="1"/>
  <c r="S484" i="9"/>
  <c r="CJ484" i="9" s="1"/>
  <c r="M484" i="9"/>
  <c r="CD484" i="9" s="1"/>
  <c r="O484" i="9"/>
  <c r="CF484" i="9" s="1"/>
  <c r="AG484" i="9"/>
  <c r="CX484" i="9" s="1"/>
  <c r="AS484" i="9"/>
  <c r="DJ484" i="9" s="1"/>
  <c r="BG484" i="9"/>
  <c r="DX484" i="9" s="1"/>
  <c r="AZ484" i="9"/>
  <c r="DQ484" i="9" s="1"/>
  <c r="AM484" i="9"/>
  <c r="DD484" i="9" s="1"/>
  <c r="AC484" i="9"/>
  <c r="CT484" i="9" s="1"/>
  <c r="Z484" i="9"/>
  <c r="CQ484" i="9" s="1"/>
  <c r="BO484" i="9"/>
  <c r="EF484" i="9" s="1"/>
  <c r="AB484" i="9"/>
  <c r="CS484" i="9" s="1"/>
  <c r="AD484" i="9"/>
  <c r="CU484" i="9" s="1"/>
  <c r="W484" i="9"/>
  <c r="CN484" i="9" s="1"/>
  <c r="AN484" i="9"/>
  <c r="DE484" i="9" s="1"/>
  <c r="BI484" i="9"/>
  <c r="DZ484" i="9" s="1"/>
  <c r="BC484" i="9"/>
  <c r="DT484" i="9" s="1"/>
  <c r="BP484" i="9"/>
  <c r="EG484" i="9" s="1"/>
  <c r="AO484" i="9"/>
  <c r="DF484" i="9" s="1"/>
  <c r="BM484" i="9"/>
  <c r="ED484" i="9" s="1"/>
  <c r="AC654" i="9"/>
  <c r="CT654" i="9" s="1"/>
  <c r="AF654" i="9"/>
  <c r="CW654" i="9" s="1"/>
  <c r="AU654" i="9"/>
  <c r="DL654" i="9" s="1"/>
  <c r="BR654" i="9"/>
  <c r="EI654" i="9" s="1"/>
  <c r="AI654" i="9"/>
  <c r="CZ654" i="9" s="1"/>
  <c r="AV654" i="9"/>
  <c r="DM654" i="9" s="1"/>
  <c r="AN654" i="9"/>
  <c r="DE654" i="9" s="1"/>
  <c r="AO654" i="9"/>
  <c r="DF654" i="9" s="1"/>
  <c r="AY654" i="9"/>
  <c r="DP654" i="9" s="1"/>
  <c r="AH654" i="9"/>
  <c r="CY654" i="9" s="1"/>
  <c r="BA654" i="9"/>
  <c r="DR654" i="9" s="1"/>
  <c r="U654" i="9"/>
  <c r="CL654" i="9" s="1"/>
  <c r="BO654" i="9"/>
  <c r="EF654" i="9" s="1"/>
  <c r="AD654" i="9"/>
  <c r="CU654" i="9" s="1"/>
  <c r="BG654" i="9"/>
  <c r="DX654" i="9" s="1"/>
  <c r="BE654" i="9"/>
  <c r="DV654" i="9" s="1"/>
  <c r="BL654" i="9"/>
  <c r="EC654" i="9" s="1"/>
  <c r="AJ654" i="9"/>
  <c r="DA654" i="9" s="1"/>
  <c r="BF654" i="9"/>
  <c r="DW654" i="9" s="1"/>
  <c r="AZ654" i="9"/>
  <c r="DQ654" i="9" s="1"/>
  <c r="AB654" i="9"/>
  <c r="CS654" i="9" s="1"/>
  <c r="AA654" i="9"/>
  <c r="CR654" i="9" s="1"/>
  <c r="W654" i="9"/>
  <c r="CN654" i="9" s="1"/>
  <c r="AM654" i="9"/>
  <c r="DD654" i="9" s="1"/>
  <c r="BP654" i="9"/>
  <c r="EG654" i="9" s="1"/>
  <c r="AX654" i="9"/>
  <c r="DO654" i="9" s="1"/>
  <c r="AL654" i="9"/>
  <c r="DC654" i="9" s="1"/>
  <c r="BC654" i="9"/>
  <c r="DT654" i="9" s="1"/>
  <c r="AK654" i="9"/>
  <c r="DB654" i="9" s="1"/>
  <c r="BN654" i="9"/>
  <c r="EE654" i="9" s="1"/>
  <c r="BB654" i="9"/>
  <c r="DS654" i="9" s="1"/>
  <c r="AE654" i="9"/>
  <c r="CV654" i="9" s="1"/>
  <c r="Y654" i="9"/>
  <c r="CP654" i="9" s="1"/>
  <c r="V654" i="9"/>
  <c r="CM654" i="9" s="1"/>
  <c r="AR654" i="9"/>
  <c r="DI654" i="9" s="1"/>
  <c r="BI654" i="9"/>
  <c r="DZ654" i="9" s="1"/>
  <c r="X654" i="9"/>
  <c r="CO654" i="9" s="1"/>
  <c r="AP654" i="9"/>
  <c r="DG654" i="9" s="1"/>
  <c r="BH654" i="9"/>
  <c r="DY654" i="9" s="1"/>
  <c r="BQ654" i="9"/>
  <c r="EH654" i="9" s="1"/>
  <c r="AG654" i="9"/>
  <c r="CX654" i="9" s="1"/>
  <c r="BK654" i="9"/>
  <c r="EB654" i="9" s="1"/>
  <c r="BJ654" i="9"/>
  <c r="EA654" i="9" s="1"/>
  <c r="AW654" i="9"/>
  <c r="DN654" i="9" s="1"/>
  <c r="S654" i="9"/>
  <c r="CJ654" i="9" s="1"/>
  <c r="P654" i="9"/>
  <c r="CG654" i="9" s="1"/>
  <c r="O654" i="9"/>
  <c r="CF654" i="9" s="1"/>
  <c r="Q654" i="9"/>
  <c r="CH654" i="9" s="1"/>
  <c r="M654" i="9"/>
  <c r="CD654" i="9" s="1"/>
  <c r="K654" i="9"/>
  <c r="CB654" i="9" s="1"/>
  <c r="L654" i="9"/>
  <c r="CC654" i="9" s="1"/>
  <c r="T654" i="9"/>
  <c r="CK654" i="9" s="1"/>
  <c r="R654" i="9"/>
  <c r="CI654" i="9" s="1"/>
  <c r="N654" i="9"/>
  <c r="CE654" i="9" s="1"/>
  <c r="AQ654" i="9"/>
  <c r="DH654" i="9" s="1"/>
  <c r="AT654" i="9"/>
  <c r="DK654" i="9" s="1"/>
  <c r="BD654" i="9"/>
  <c r="DU654" i="9" s="1"/>
  <c r="Z654" i="9"/>
  <c r="CQ654" i="9" s="1"/>
  <c r="AS654" i="9"/>
  <c r="DJ654" i="9" s="1"/>
  <c r="BM654" i="9"/>
  <c r="ED654" i="9" s="1"/>
  <c r="W270" i="9"/>
  <c r="CN270" i="9" s="1"/>
  <c r="AU270" i="9"/>
  <c r="DL270" i="9" s="1"/>
  <c r="X270" i="9"/>
  <c r="CO270" i="9" s="1"/>
  <c r="BN244" i="9"/>
  <c r="EE244" i="9" s="1"/>
  <c r="AM244" i="9"/>
  <c r="DD244" i="9" s="1"/>
  <c r="V244" i="9"/>
  <c r="CM244" i="9" s="1"/>
  <c r="AN244" i="9"/>
  <c r="DE244" i="9" s="1"/>
  <c r="AC244" i="9"/>
  <c r="CT244" i="9" s="1"/>
  <c r="BD244" i="9"/>
  <c r="DU244" i="9" s="1"/>
  <c r="AR556" i="9"/>
  <c r="DI556" i="9" s="1"/>
  <c r="AQ556" i="9"/>
  <c r="DH556" i="9" s="1"/>
  <c r="U556" i="9"/>
  <c r="CL556" i="9" s="1"/>
  <c r="AE556" i="9"/>
  <c r="CV556" i="9" s="1"/>
  <c r="BL556" i="9"/>
  <c r="EC556" i="9" s="1"/>
  <c r="BF556" i="9"/>
  <c r="DW556" i="9" s="1"/>
  <c r="BG556" i="9"/>
  <c r="DX556" i="9" s="1"/>
  <c r="AF556" i="9"/>
  <c r="CW556" i="9" s="1"/>
  <c r="AX556" i="9"/>
  <c r="DO556" i="9" s="1"/>
  <c r="AG556" i="9"/>
  <c r="CX556" i="9" s="1"/>
  <c r="AO556" i="9"/>
  <c r="DF556" i="9" s="1"/>
  <c r="AD556" i="9"/>
  <c r="CU556" i="9" s="1"/>
  <c r="V556" i="9"/>
  <c r="CM556" i="9" s="1"/>
  <c r="Q556" i="9"/>
  <c r="CH556" i="9" s="1"/>
  <c r="AI496" i="9"/>
  <c r="CZ496" i="9" s="1"/>
  <c r="BN496" i="9"/>
  <c r="EE496" i="9" s="1"/>
  <c r="BK496" i="9"/>
  <c r="EB496" i="9" s="1"/>
  <c r="L241" i="9"/>
  <c r="CC241" i="9" s="1"/>
  <c r="AW241" i="9"/>
  <c r="DN241" i="9" s="1"/>
  <c r="AJ241" i="9"/>
  <c r="DA241" i="9" s="1"/>
  <c r="BR241" i="9"/>
  <c r="EI241" i="9" s="1"/>
  <c r="BA241" i="9"/>
  <c r="DR241" i="9" s="1"/>
  <c r="BQ241" i="9"/>
  <c r="EH241" i="9" s="1"/>
  <c r="X241" i="9"/>
  <c r="CO241" i="9" s="1"/>
  <c r="BN241" i="9"/>
  <c r="EE241" i="9" s="1"/>
  <c r="AS241" i="9"/>
  <c r="DJ241" i="9" s="1"/>
  <c r="AB241" i="9"/>
  <c r="CS241" i="9" s="1"/>
  <c r="BJ241" i="9"/>
  <c r="EA241" i="9" s="1"/>
  <c r="AN241" i="9"/>
  <c r="DE241" i="9" s="1"/>
  <c r="BE241" i="9"/>
  <c r="DV241" i="9" s="1"/>
  <c r="AR241" i="9"/>
  <c r="DI241" i="9" s="1"/>
  <c r="AA241" i="9"/>
  <c r="CR241" i="9" s="1"/>
  <c r="BI241" i="9"/>
  <c r="DZ241" i="9" s="1"/>
  <c r="AF241" i="9"/>
  <c r="CW241" i="9" s="1"/>
  <c r="AG241" i="9"/>
  <c r="CX241" i="9" s="1"/>
  <c r="BG241" i="9"/>
  <c r="DX241" i="9" s="1"/>
  <c r="BF241" i="9"/>
  <c r="DW241" i="9" s="1"/>
  <c r="U241" i="9"/>
  <c r="CL241" i="9" s="1"/>
  <c r="AK241" i="9"/>
  <c r="DB241" i="9" s="1"/>
  <c r="BK241" i="9"/>
  <c r="EB241" i="9" s="1"/>
  <c r="BB241" i="9"/>
  <c r="DS241" i="9" s="1"/>
  <c r="Y241" i="9"/>
  <c r="CP241" i="9" s="1"/>
  <c r="BC241" i="9"/>
  <c r="DT241" i="9" s="1"/>
  <c r="AY241" i="9"/>
  <c r="DP241" i="9" s="1"/>
  <c r="AX241" i="9"/>
  <c r="DO241" i="9" s="1"/>
  <c r="V241" i="9"/>
  <c r="CM241" i="9" s="1"/>
  <c r="BD241" i="9"/>
  <c r="DU241" i="9" s="1"/>
  <c r="AQ241" i="9"/>
  <c r="DH241" i="9" s="1"/>
  <c r="K241" i="9"/>
  <c r="CB241" i="9" s="1"/>
  <c r="S241" i="9"/>
  <c r="CJ241" i="9" s="1"/>
  <c r="T241" i="9"/>
  <c r="CK241" i="9" s="1"/>
  <c r="R241" i="9"/>
  <c r="CI241" i="9" s="1"/>
  <c r="O241" i="9"/>
  <c r="CF241" i="9" s="1"/>
  <c r="AL241" i="9"/>
  <c r="DC241" i="9" s="1"/>
  <c r="AC241" i="9"/>
  <c r="CT241" i="9" s="1"/>
  <c r="W241" i="9"/>
  <c r="CN241" i="9" s="1"/>
  <c r="AO241" i="9"/>
  <c r="DF241" i="9" s="1"/>
  <c r="AP241" i="9"/>
  <c r="DG241" i="9" s="1"/>
  <c r="AE241" i="9"/>
  <c r="CV241" i="9" s="1"/>
  <c r="BH241" i="9"/>
  <c r="DY241" i="9" s="1"/>
  <c r="AH241" i="9"/>
  <c r="CY241" i="9" s="1"/>
  <c r="AU241" i="9"/>
  <c r="DL241" i="9" s="1"/>
  <c r="BL241" i="9"/>
  <c r="EC241" i="9" s="1"/>
  <c r="AD241" i="9"/>
  <c r="CU241" i="9" s="1"/>
  <c r="AM241" i="9"/>
  <c r="DD241" i="9" s="1"/>
  <c r="BP241" i="9"/>
  <c r="EG241" i="9" s="1"/>
  <c r="AT241" i="9"/>
  <c r="DK241" i="9" s="1"/>
  <c r="Z241" i="9"/>
  <c r="CQ241" i="9" s="1"/>
  <c r="AZ241" i="9"/>
  <c r="DQ241" i="9" s="1"/>
  <c r="BO241" i="9"/>
  <c r="EF241" i="9" s="1"/>
  <c r="BM241" i="9"/>
  <c r="ED241" i="9" s="1"/>
  <c r="AV241" i="9"/>
  <c r="DM241" i="9" s="1"/>
  <c r="AI241" i="9"/>
  <c r="CZ241" i="9" s="1"/>
  <c r="S359" i="9"/>
  <c r="CJ359" i="9" s="1"/>
  <c r="T359" i="9"/>
  <c r="CK359" i="9" s="1"/>
  <c r="O359" i="9"/>
  <c r="CF359" i="9" s="1"/>
  <c r="L359" i="9"/>
  <c r="CC359" i="9" s="1"/>
  <c r="P359" i="9"/>
  <c r="CG359" i="9" s="1"/>
  <c r="M359" i="9"/>
  <c r="CD359" i="9" s="1"/>
  <c r="K359" i="9"/>
  <c r="CB359" i="9" s="1"/>
  <c r="T368" i="9"/>
  <c r="CK368" i="9" s="1"/>
  <c r="M368" i="9"/>
  <c r="CD368" i="9" s="1"/>
  <c r="S368" i="9"/>
  <c r="CJ368" i="9" s="1"/>
  <c r="P368" i="9"/>
  <c r="CG368" i="9" s="1"/>
  <c r="Q368" i="9"/>
  <c r="CH368" i="9" s="1"/>
  <c r="AF368" i="9"/>
  <c r="CW368" i="9" s="1"/>
  <c r="AP368" i="9"/>
  <c r="DG368" i="9" s="1"/>
  <c r="AM368" i="9"/>
  <c r="DD368" i="9" s="1"/>
  <c r="AR368" i="9"/>
  <c r="DI368" i="9" s="1"/>
  <c r="AJ368" i="9"/>
  <c r="DA368" i="9" s="1"/>
  <c r="AU368" i="9"/>
  <c r="DL368" i="9" s="1"/>
  <c r="BM368" i="9"/>
  <c r="ED368" i="9" s="1"/>
  <c r="V368" i="9"/>
  <c r="CM368" i="9" s="1"/>
  <c r="AX368" i="9"/>
  <c r="DO368" i="9" s="1"/>
  <c r="AN368" i="9"/>
  <c r="DE368" i="9" s="1"/>
  <c r="AH368" i="9"/>
  <c r="CY368" i="9" s="1"/>
  <c r="BO368" i="9"/>
  <c r="EF368" i="9" s="1"/>
  <c r="W368" i="9"/>
  <c r="CN368" i="9" s="1"/>
  <c r="AL368" i="9"/>
  <c r="DC368" i="9" s="1"/>
  <c r="BB368" i="9"/>
  <c r="DS368" i="9" s="1"/>
  <c r="AI368" i="9"/>
  <c r="CZ368" i="9" s="1"/>
  <c r="Y368" i="9"/>
  <c r="CP368" i="9" s="1"/>
  <c r="BQ368" i="9"/>
  <c r="EH368" i="9" s="1"/>
  <c r="AD368" i="9"/>
  <c r="CU368" i="9" s="1"/>
  <c r="X368" i="9"/>
  <c r="CO368" i="9" s="1"/>
  <c r="AY368" i="9"/>
  <c r="DP368" i="9" s="1"/>
  <c r="BP368" i="9"/>
  <c r="EG368" i="9" s="1"/>
  <c r="BR368" i="9"/>
  <c r="EI368" i="9" s="1"/>
  <c r="AV368" i="9"/>
  <c r="DM368" i="9" s="1"/>
  <c r="AW368" i="9"/>
  <c r="DN368" i="9" s="1"/>
  <c r="AS368" i="9"/>
  <c r="DJ368" i="9" s="1"/>
  <c r="AG368" i="9"/>
  <c r="CX368" i="9" s="1"/>
  <c r="BA368" i="9"/>
  <c r="DR368" i="9" s="1"/>
  <c r="BJ368" i="9"/>
  <c r="EA368" i="9" s="1"/>
  <c r="AQ368" i="9"/>
  <c r="DH368" i="9" s="1"/>
  <c r="BI368" i="9"/>
  <c r="DZ368" i="9" s="1"/>
  <c r="BG368" i="9"/>
  <c r="DX368" i="9" s="1"/>
  <c r="BH368" i="9"/>
  <c r="DY368" i="9" s="1"/>
  <c r="AO368" i="9"/>
  <c r="DF368" i="9" s="1"/>
  <c r="BL368" i="9"/>
  <c r="EC368" i="9" s="1"/>
  <c r="U368" i="9"/>
  <c r="CL368" i="9" s="1"/>
  <c r="N368" i="9"/>
  <c r="CE368" i="9" s="1"/>
  <c r="R368" i="9"/>
  <c r="CI368" i="9" s="1"/>
  <c r="K368" i="9"/>
  <c r="CB368" i="9" s="1"/>
  <c r="L368" i="9"/>
  <c r="CC368" i="9" s="1"/>
  <c r="O368" i="9"/>
  <c r="CF368" i="9" s="1"/>
  <c r="BN368" i="9"/>
  <c r="EE368" i="9" s="1"/>
  <c r="BD368" i="9"/>
  <c r="DU368" i="9" s="1"/>
  <c r="BC368" i="9"/>
  <c r="DT368" i="9" s="1"/>
  <c r="AK368" i="9"/>
  <c r="DB368" i="9" s="1"/>
  <c r="Z368" i="9"/>
  <c r="CQ368" i="9" s="1"/>
  <c r="AT368" i="9"/>
  <c r="DK368" i="9" s="1"/>
  <c r="AE368" i="9"/>
  <c r="CV368" i="9" s="1"/>
  <c r="BK368" i="9"/>
  <c r="EB368" i="9" s="1"/>
  <c r="AZ368" i="9"/>
  <c r="DQ368" i="9" s="1"/>
  <c r="AB368" i="9"/>
  <c r="CS368" i="9" s="1"/>
  <c r="BE368" i="9"/>
  <c r="DV368" i="9" s="1"/>
  <c r="AA368" i="9"/>
  <c r="CR368" i="9" s="1"/>
  <c r="AC368" i="9"/>
  <c r="CT368" i="9" s="1"/>
  <c r="BF368" i="9"/>
  <c r="DW368" i="9" s="1"/>
  <c r="BR492" i="9"/>
  <c r="EI492" i="9" s="1"/>
  <c r="BE492" i="9"/>
  <c r="DV492" i="9" s="1"/>
  <c r="AS492" i="9"/>
  <c r="DJ492" i="9" s="1"/>
  <c r="AI492" i="9"/>
  <c r="CZ492" i="9" s="1"/>
  <c r="V492" i="9"/>
  <c r="CM492" i="9" s="1"/>
  <c r="BM492" i="9"/>
  <c r="ED492" i="9" s="1"/>
  <c r="BK492" i="9"/>
  <c r="EB492" i="9" s="1"/>
  <c r="U492" i="9"/>
  <c r="CL492" i="9" s="1"/>
  <c r="BB492" i="9"/>
  <c r="DS492" i="9" s="1"/>
  <c r="AP492" i="9"/>
  <c r="DG492" i="9" s="1"/>
  <c r="BD492" i="9"/>
  <c r="DU492" i="9" s="1"/>
  <c r="BA492" i="9"/>
  <c r="DR492" i="9" s="1"/>
  <c r="Q492" i="9"/>
  <c r="CH492" i="9" s="1"/>
  <c r="BP492" i="9"/>
  <c r="EG492" i="9" s="1"/>
  <c r="L612" i="9"/>
  <c r="CC612" i="9" s="1"/>
  <c r="P612" i="9"/>
  <c r="CG612" i="9" s="1"/>
  <c r="N612" i="9"/>
  <c r="CE612" i="9" s="1"/>
  <c r="R612" i="9"/>
  <c r="CI612" i="9" s="1"/>
  <c r="AY494" i="9"/>
  <c r="DP494" i="9" s="1"/>
  <c r="AG494" i="9"/>
  <c r="CX494" i="9" s="1"/>
  <c r="AL494" i="9"/>
  <c r="DC494" i="9" s="1"/>
  <c r="AS494" i="9"/>
  <c r="DJ494" i="9" s="1"/>
  <c r="BC494" i="9"/>
  <c r="DT494" i="9" s="1"/>
  <c r="BM494" i="9"/>
  <c r="ED494" i="9" s="1"/>
  <c r="BR494" i="9"/>
  <c r="EI494" i="9" s="1"/>
  <c r="N361" i="9"/>
  <c r="CE361" i="9" s="1"/>
  <c r="BI361" i="9"/>
  <c r="DZ361" i="9" s="1"/>
  <c r="BL361" i="9"/>
  <c r="EC361" i="9" s="1"/>
  <c r="BA361" i="9"/>
  <c r="DR361" i="9" s="1"/>
  <c r="AF361" i="9"/>
  <c r="CW361" i="9" s="1"/>
  <c r="X361" i="9"/>
  <c r="CO361" i="9" s="1"/>
  <c r="AA361" i="9"/>
  <c r="CR361" i="9" s="1"/>
  <c r="AS361" i="9"/>
  <c r="DJ361" i="9" s="1"/>
  <c r="BQ361" i="9"/>
  <c r="EH361" i="9" s="1"/>
  <c r="BO361" i="9"/>
  <c r="EF361" i="9" s="1"/>
  <c r="AV361" i="9"/>
  <c r="DM361" i="9" s="1"/>
  <c r="Z361" i="9"/>
  <c r="CQ361" i="9" s="1"/>
  <c r="AI361" i="9"/>
  <c r="CZ361" i="9" s="1"/>
  <c r="AC361" i="9"/>
  <c r="CT361" i="9" s="1"/>
  <c r="AJ361" i="9"/>
  <c r="DA361" i="9" s="1"/>
  <c r="K616" i="9"/>
  <c r="CB616" i="9" s="1"/>
  <c r="M616" i="9"/>
  <c r="CD616" i="9" s="1"/>
  <c r="AM616" i="9"/>
  <c r="DD616" i="9" s="1"/>
  <c r="BE616" i="9"/>
  <c r="DV616" i="9" s="1"/>
  <c r="BI616" i="9"/>
  <c r="DZ616" i="9" s="1"/>
  <c r="AH616" i="9"/>
  <c r="CY616" i="9" s="1"/>
  <c r="AY616" i="9"/>
  <c r="DP616" i="9" s="1"/>
  <c r="AS616" i="9"/>
  <c r="DJ616" i="9" s="1"/>
  <c r="AQ616" i="9"/>
  <c r="DH616" i="9" s="1"/>
  <c r="T616" i="9"/>
  <c r="CK616" i="9" s="1"/>
  <c r="AB616" i="9"/>
  <c r="CS616" i="9" s="1"/>
  <c r="AK616" i="9"/>
  <c r="DB616" i="9" s="1"/>
  <c r="AL616" i="9"/>
  <c r="DC616" i="9" s="1"/>
  <c r="AG616" i="9"/>
  <c r="CX616" i="9" s="1"/>
  <c r="AA616" i="9"/>
  <c r="CR616" i="9" s="1"/>
  <c r="AJ616" i="9"/>
  <c r="DA616" i="9" s="1"/>
  <c r="AF616" i="9"/>
  <c r="CW616" i="9" s="1"/>
  <c r="V616" i="9"/>
  <c r="CM616" i="9" s="1"/>
  <c r="BQ616" i="9"/>
  <c r="EH616" i="9" s="1"/>
  <c r="AP616" i="9"/>
  <c r="DG616" i="9" s="1"/>
  <c r="BB616" i="9"/>
  <c r="DS616" i="9" s="1"/>
  <c r="AW616" i="9"/>
  <c r="DN616" i="9" s="1"/>
  <c r="AN616" i="9"/>
  <c r="DE616" i="9" s="1"/>
  <c r="BR616" i="9"/>
  <c r="EI616" i="9" s="1"/>
  <c r="AZ616" i="9"/>
  <c r="DQ616" i="9" s="1"/>
  <c r="AU616" i="9"/>
  <c r="DL616" i="9" s="1"/>
  <c r="BF616" i="9"/>
  <c r="DW616" i="9" s="1"/>
  <c r="AO616" i="9"/>
  <c r="DF616" i="9" s="1"/>
  <c r="BD616" i="9"/>
  <c r="DU616" i="9" s="1"/>
  <c r="BO616" i="9"/>
  <c r="EF616" i="9" s="1"/>
  <c r="AD616" i="9"/>
  <c r="CU616" i="9" s="1"/>
  <c r="Y616" i="9"/>
  <c r="CP616" i="9" s="1"/>
  <c r="U616" i="9"/>
  <c r="CL616" i="9" s="1"/>
  <c r="BN616" i="9"/>
  <c r="EE616" i="9" s="1"/>
  <c r="AC616" i="9"/>
  <c r="CT616" i="9" s="1"/>
  <c r="BC616" i="9"/>
  <c r="DT616" i="9" s="1"/>
  <c r="BK616" i="9"/>
  <c r="EB616" i="9" s="1"/>
  <c r="BJ616" i="9"/>
  <c r="EA616" i="9" s="1"/>
  <c r="BA616" i="9"/>
  <c r="DR616" i="9" s="1"/>
  <c r="AV616" i="9"/>
  <c r="DM616" i="9" s="1"/>
  <c r="Z616" i="9"/>
  <c r="CQ616" i="9" s="1"/>
  <c r="AR616" i="9"/>
  <c r="DI616" i="9" s="1"/>
  <c r="BG616" i="9"/>
  <c r="DX616" i="9" s="1"/>
  <c r="AX616" i="9"/>
  <c r="DO616" i="9" s="1"/>
  <c r="BM616" i="9"/>
  <c r="ED616" i="9" s="1"/>
  <c r="AI616" i="9"/>
  <c r="CZ616" i="9" s="1"/>
  <c r="X616" i="9"/>
  <c r="CO616" i="9" s="1"/>
  <c r="BH616" i="9"/>
  <c r="DY616" i="9" s="1"/>
  <c r="AT616" i="9"/>
  <c r="DK616" i="9" s="1"/>
  <c r="W616" i="9"/>
  <c r="CN616" i="9" s="1"/>
  <c r="AE616" i="9"/>
  <c r="CV616" i="9" s="1"/>
  <c r="BL616" i="9"/>
  <c r="EC616" i="9" s="1"/>
  <c r="BP616" i="9"/>
  <c r="EG616" i="9" s="1"/>
  <c r="Q616" i="9"/>
  <c r="CH616" i="9" s="1"/>
  <c r="L616" i="9"/>
  <c r="CC616" i="9" s="1"/>
  <c r="S616" i="9"/>
  <c r="CJ616" i="9" s="1"/>
  <c r="R616" i="9"/>
  <c r="CI616" i="9" s="1"/>
  <c r="L271" i="9"/>
  <c r="CC271" i="9" s="1"/>
  <c r="Q271" i="9"/>
  <c r="CH271" i="9" s="1"/>
  <c r="R273" i="9"/>
  <c r="CI273" i="9" s="1"/>
  <c r="O273" i="9"/>
  <c r="CF273" i="9" s="1"/>
  <c r="N273" i="9"/>
  <c r="CE273" i="9" s="1"/>
  <c r="P273" i="9"/>
  <c r="CG273" i="9" s="1"/>
  <c r="K563" i="9"/>
  <c r="CB563" i="9" s="1"/>
  <c r="P563" i="9"/>
  <c r="CG563" i="9" s="1"/>
  <c r="BB267" i="9"/>
  <c r="DS267" i="9" s="1"/>
  <c r="BG267" i="9"/>
  <c r="DX267" i="9" s="1"/>
  <c r="BP267" i="9"/>
  <c r="EG267" i="9" s="1"/>
  <c r="AH431" i="9"/>
  <c r="CY431" i="9" s="1"/>
  <c r="AB431" i="9"/>
  <c r="CS431" i="9" s="1"/>
  <c r="BM431" i="9"/>
  <c r="ED431" i="9" s="1"/>
  <c r="AJ431" i="9"/>
  <c r="DA431" i="9" s="1"/>
  <c r="AY431" i="9"/>
  <c r="DP431" i="9" s="1"/>
  <c r="AI431" i="9"/>
  <c r="CZ431" i="9" s="1"/>
  <c r="AF431" i="9"/>
  <c r="CW431" i="9" s="1"/>
  <c r="BN431" i="9"/>
  <c r="EE431" i="9" s="1"/>
  <c r="W431" i="9"/>
  <c r="CN431" i="9" s="1"/>
  <c r="V431" i="9"/>
  <c r="CM431" i="9" s="1"/>
  <c r="BL431" i="9"/>
  <c r="EC431" i="9" s="1"/>
  <c r="BI431" i="9"/>
  <c r="DZ431" i="9" s="1"/>
  <c r="AZ431" i="9"/>
  <c r="DQ431" i="9" s="1"/>
  <c r="AR431" i="9"/>
  <c r="DI431" i="9" s="1"/>
  <c r="BO431" i="9"/>
  <c r="EF431" i="9" s="1"/>
  <c r="AC431" i="9"/>
  <c r="CT431" i="9" s="1"/>
  <c r="U431" i="9"/>
  <c r="CL431" i="9" s="1"/>
  <c r="BH431" i="9"/>
  <c r="DY431" i="9" s="1"/>
  <c r="AG431" i="9"/>
  <c r="CX431" i="9" s="1"/>
  <c r="AK431" i="9"/>
  <c r="DB431" i="9" s="1"/>
  <c r="AQ431" i="9"/>
  <c r="DH431" i="9" s="1"/>
  <c r="BE431" i="9"/>
  <c r="DV431" i="9" s="1"/>
  <c r="BA431" i="9"/>
  <c r="DR431" i="9" s="1"/>
  <c r="AA431" i="9"/>
  <c r="CR431" i="9" s="1"/>
  <c r="AE431" i="9"/>
  <c r="CV431" i="9" s="1"/>
  <c r="AT431" i="9"/>
  <c r="DK431" i="9" s="1"/>
  <c r="BK431" i="9"/>
  <c r="EB431" i="9" s="1"/>
  <c r="BJ431" i="9"/>
  <c r="EA431" i="9" s="1"/>
  <c r="AV431" i="9"/>
  <c r="DM431" i="9" s="1"/>
  <c r="AD431" i="9"/>
  <c r="CU431" i="9" s="1"/>
  <c r="Y431" i="9"/>
  <c r="CP431" i="9" s="1"/>
  <c r="AO431" i="9"/>
  <c r="DF431" i="9" s="1"/>
  <c r="AM431" i="9"/>
  <c r="DD431" i="9" s="1"/>
  <c r="BG431" i="9"/>
  <c r="DX431" i="9" s="1"/>
  <c r="BR431" i="9"/>
  <c r="EI431" i="9" s="1"/>
  <c r="AN431" i="9"/>
  <c r="DE431" i="9" s="1"/>
  <c r="BF431" i="9"/>
  <c r="DW431" i="9" s="1"/>
  <c r="Z431" i="9"/>
  <c r="CQ431" i="9" s="1"/>
  <c r="BQ431" i="9"/>
  <c r="EH431" i="9" s="1"/>
  <c r="BR633" i="9"/>
  <c r="EI633" i="9" s="1"/>
  <c r="BI633" i="9"/>
  <c r="DZ633" i="9" s="1"/>
  <c r="BA633" i="9"/>
  <c r="DR633" i="9" s="1"/>
  <c r="AN633" i="9"/>
  <c r="DE633" i="9" s="1"/>
  <c r="T633" i="9"/>
  <c r="CK633" i="9" s="1"/>
  <c r="O633" i="9"/>
  <c r="CF633" i="9" s="1"/>
  <c r="R633" i="9"/>
  <c r="CI633" i="9" s="1"/>
  <c r="AY633" i="9"/>
  <c r="DP633" i="9" s="1"/>
  <c r="AI633" i="9"/>
  <c r="CZ633" i="9" s="1"/>
  <c r="AQ633" i="9"/>
  <c r="DH633" i="9" s="1"/>
  <c r="AA633" i="9"/>
  <c r="CR633" i="9" s="1"/>
  <c r="Z633" i="9"/>
  <c r="CQ633" i="9" s="1"/>
  <c r="AP633" i="9"/>
  <c r="DG633" i="9" s="1"/>
  <c r="AX633" i="9"/>
  <c r="DO633" i="9" s="1"/>
  <c r="AF633" i="9"/>
  <c r="CW633" i="9" s="1"/>
  <c r="AO633" i="9"/>
  <c r="DF633" i="9" s="1"/>
  <c r="AM633" i="9"/>
  <c r="DD633" i="9" s="1"/>
  <c r="AB633" i="9"/>
  <c r="CS633" i="9" s="1"/>
  <c r="AG633" i="9"/>
  <c r="CX633" i="9" s="1"/>
  <c r="BF633" i="9"/>
  <c r="DW633" i="9" s="1"/>
  <c r="W633" i="9"/>
  <c r="CN633" i="9" s="1"/>
  <c r="AR633" i="9"/>
  <c r="DI633" i="9" s="1"/>
  <c r="BD633" i="9"/>
  <c r="DU633" i="9" s="1"/>
  <c r="BM633" i="9"/>
  <c r="ED633" i="9" s="1"/>
  <c r="AU633" i="9"/>
  <c r="DL633" i="9" s="1"/>
  <c r="AT633" i="9"/>
  <c r="DK633" i="9" s="1"/>
  <c r="BL633" i="9"/>
  <c r="EC633" i="9" s="1"/>
  <c r="AW633" i="9"/>
  <c r="DN633" i="9" s="1"/>
  <c r="V633" i="9"/>
  <c r="CM633" i="9" s="1"/>
  <c r="BJ633" i="9"/>
  <c r="EA633" i="9" s="1"/>
  <c r="BK633" i="9"/>
  <c r="EB633" i="9" s="1"/>
  <c r="AS633" i="9"/>
  <c r="DJ633" i="9" s="1"/>
  <c r="BE633" i="9"/>
  <c r="DV633" i="9" s="1"/>
  <c r="BO633" i="9"/>
  <c r="EF633" i="9" s="1"/>
  <c r="BH624" i="9"/>
  <c r="DY624" i="9" s="1"/>
  <c r="N624" i="9"/>
  <c r="CE624" i="9" s="1"/>
  <c r="BC624" i="9"/>
  <c r="DT624" i="9" s="1"/>
  <c r="BO624" i="9"/>
  <c r="EF624" i="9" s="1"/>
  <c r="X624" i="9"/>
  <c r="CO624" i="9" s="1"/>
  <c r="S624" i="9"/>
  <c r="CJ624" i="9" s="1"/>
  <c r="AW624" i="9"/>
  <c r="DN624" i="9" s="1"/>
  <c r="AU624" i="9"/>
  <c r="DL624" i="9" s="1"/>
  <c r="BD624" i="9"/>
  <c r="DU624" i="9" s="1"/>
  <c r="BF624" i="9"/>
  <c r="DW624" i="9" s="1"/>
  <c r="AO624" i="9"/>
  <c r="DF624" i="9" s="1"/>
  <c r="AH624" i="9"/>
  <c r="CY624" i="9" s="1"/>
  <c r="AZ624" i="9"/>
  <c r="DQ624" i="9" s="1"/>
  <c r="AJ624" i="9"/>
  <c r="DA624" i="9" s="1"/>
  <c r="AG551" i="9"/>
  <c r="CX551" i="9" s="1"/>
  <c r="AL551" i="9"/>
  <c r="DC551" i="9" s="1"/>
  <c r="BJ551" i="9"/>
  <c r="EA551" i="9" s="1"/>
  <c r="W551" i="9"/>
  <c r="CN551" i="9" s="1"/>
  <c r="AS551" i="9"/>
  <c r="DJ551" i="9" s="1"/>
  <c r="BE551" i="9"/>
  <c r="DV551" i="9" s="1"/>
  <c r="AQ551" i="9"/>
  <c r="DH551" i="9" s="1"/>
  <c r="AX551" i="9"/>
  <c r="DO551" i="9" s="1"/>
  <c r="BK551" i="9"/>
  <c r="EB551" i="9" s="1"/>
  <c r="BD551" i="9"/>
  <c r="DU551" i="9" s="1"/>
  <c r="AA551" i="9"/>
  <c r="CR551" i="9" s="1"/>
  <c r="AW551" i="9"/>
  <c r="DN551" i="9" s="1"/>
  <c r="AB551" i="9"/>
  <c r="CS551" i="9" s="1"/>
  <c r="Y551" i="9"/>
  <c r="CP551" i="9" s="1"/>
  <c r="AU551" i="9"/>
  <c r="DL551" i="9" s="1"/>
  <c r="AR551" i="9"/>
  <c r="DI551" i="9" s="1"/>
  <c r="AH551" i="9"/>
  <c r="CY551" i="9" s="1"/>
  <c r="AV551" i="9"/>
  <c r="DM551" i="9" s="1"/>
  <c r="BQ551" i="9"/>
  <c r="EH551" i="9" s="1"/>
  <c r="AD551" i="9"/>
  <c r="CU551" i="9" s="1"/>
  <c r="BN551" i="9"/>
  <c r="EE551" i="9" s="1"/>
  <c r="BI551" i="9"/>
  <c r="DZ551" i="9" s="1"/>
  <c r="BR551" i="9"/>
  <c r="EI551" i="9" s="1"/>
  <c r="AK551" i="9"/>
  <c r="DB551" i="9" s="1"/>
  <c r="AM551" i="9"/>
  <c r="DD551" i="9" s="1"/>
  <c r="X551" i="9"/>
  <c r="CO551" i="9" s="1"/>
  <c r="AJ551" i="9"/>
  <c r="DA551" i="9" s="1"/>
  <c r="AO551" i="9"/>
  <c r="DF551" i="9" s="1"/>
  <c r="BC551" i="9"/>
  <c r="DT551" i="9" s="1"/>
  <c r="BP551" i="9"/>
  <c r="EG551" i="9" s="1"/>
  <c r="BH551" i="9"/>
  <c r="DY551" i="9" s="1"/>
  <c r="BL551" i="9"/>
  <c r="EC551" i="9" s="1"/>
  <c r="Z551" i="9"/>
  <c r="CQ551" i="9" s="1"/>
  <c r="BM551" i="9"/>
  <c r="ED551" i="9" s="1"/>
  <c r="AQ493" i="9"/>
  <c r="DH493" i="9" s="1"/>
  <c r="BJ493" i="9"/>
  <c r="EA493" i="9" s="1"/>
  <c r="BH493" i="9"/>
  <c r="DY493" i="9" s="1"/>
  <c r="BN493" i="9"/>
  <c r="EE493" i="9" s="1"/>
  <c r="AN493" i="9"/>
  <c r="DE493" i="9" s="1"/>
  <c r="BF493" i="9"/>
  <c r="DW493" i="9" s="1"/>
  <c r="AM493" i="9"/>
  <c r="DD493" i="9" s="1"/>
  <c r="BD493" i="9"/>
  <c r="DU493" i="9" s="1"/>
  <c r="BQ493" i="9"/>
  <c r="EH493" i="9" s="1"/>
  <c r="Y493" i="9"/>
  <c r="CP493" i="9" s="1"/>
  <c r="AX493" i="9"/>
  <c r="DO493" i="9" s="1"/>
  <c r="BC493" i="9"/>
  <c r="DT493" i="9" s="1"/>
  <c r="BP493" i="9"/>
  <c r="EG493" i="9" s="1"/>
  <c r="AK493" i="9"/>
  <c r="DB493" i="9" s="1"/>
  <c r="AH493" i="9"/>
  <c r="CY493" i="9" s="1"/>
  <c r="BK493" i="9"/>
  <c r="EB493" i="9" s="1"/>
  <c r="T493" i="9"/>
  <c r="CK493" i="9" s="1"/>
  <c r="R493" i="9"/>
  <c r="CI493" i="9" s="1"/>
  <c r="S493" i="9"/>
  <c r="CJ493" i="9" s="1"/>
  <c r="O493" i="9"/>
  <c r="CF493" i="9" s="1"/>
  <c r="N493" i="9"/>
  <c r="CE493" i="9" s="1"/>
  <c r="L493" i="9"/>
  <c r="CC493" i="9" s="1"/>
  <c r="BA493" i="9"/>
  <c r="DR493" i="9" s="1"/>
  <c r="AE493" i="9"/>
  <c r="CV493" i="9" s="1"/>
  <c r="AY493" i="9"/>
  <c r="DP493" i="9" s="1"/>
  <c r="BB493" i="9"/>
  <c r="DS493" i="9" s="1"/>
  <c r="AG493" i="9"/>
  <c r="CX493" i="9" s="1"/>
  <c r="AA493" i="9"/>
  <c r="CR493" i="9" s="1"/>
  <c r="BG493" i="9"/>
  <c r="DX493" i="9" s="1"/>
  <c r="AJ493" i="9"/>
  <c r="DA493" i="9" s="1"/>
  <c r="BE493" i="9"/>
  <c r="DV493" i="9" s="1"/>
  <c r="BR493" i="9"/>
  <c r="EI493" i="9" s="1"/>
  <c r="AC493" i="9"/>
  <c r="CT493" i="9" s="1"/>
  <c r="AI493" i="9"/>
  <c r="CZ493" i="9" s="1"/>
  <c r="AD493" i="9"/>
  <c r="CU493" i="9" s="1"/>
  <c r="BL493" i="9"/>
  <c r="EC493" i="9" s="1"/>
  <c r="AF493" i="9"/>
  <c r="CW493" i="9" s="1"/>
  <c r="BI493" i="9"/>
  <c r="DZ493" i="9" s="1"/>
  <c r="AZ493" i="9"/>
  <c r="DQ493" i="9" s="1"/>
  <c r="X493" i="9"/>
  <c r="CO493" i="9" s="1"/>
  <c r="AV493" i="9"/>
  <c r="DM493" i="9" s="1"/>
  <c r="Z493" i="9"/>
  <c r="CQ493" i="9" s="1"/>
  <c r="AS493" i="9"/>
  <c r="DJ493" i="9" s="1"/>
  <c r="AW493" i="9"/>
  <c r="DN493" i="9" s="1"/>
  <c r="W493" i="9"/>
  <c r="CN493" i="9" s="1"/>
  <c r="AU493" i="9"/>
  <c r="DL493" i="9" s="1"/>
  <c r="AT493" i="9"/>
  <c r="DK493" i="9" s="1"/>
  <c r="AP493" i="9"/>
  <c r="DG493" i="9" s="1"/>
  <c r="AL493" i="9"/>
  <c r="DC493" i="9" s="1"/>
  <c r="BM493" i="9"/>
  <c r="ED493" i="9" s="1"/>
  <c r="U493" i="9"/>
  <c r="CL493" i="9" s="1"/>
  <c r="AB493" i="9"/>
  <c r="CS493" i="9" s="1"/>
  <c r="BO493" i="9"/>
  <c r="EF493" i="9" s="1"/>
  <c r="V493" i="9"/>
  <c r="CM493" i="9" s="1"/>
  <c r="AO493" i="9"/>
  <c r="DF493" i="9" s="1"/>
  <c r="AR493" i="9"/>
  <c r="DI493" i="9" s="1"/>
  <c r="L484" i="9"/>
  <c r="CC484" i="9" s="1"/>
  <c r="N484" i="9"/>
  <c r="CE484" i="9" s="1"/>
  <c r="R656" i="9"/>
  <c r="CI656" i="9" s="1"/>
  <c r="AG656" i="9"/>
  <c r="CX656" i="9" s="1"/>
  <c r="AX656" i="9"/>
  <c r="DO656" i="9" s="1"/>
  <c r="W656" i="9"/>
  <c r="CN656" i="9" s="1"/>
  <c r="AN656" i="9"/>
  <c r="DE656" i="9" s="1"/>
  <c r="BE656" i="9"/>
  <c r="DV656" i="9" s="1"/>
  <c r="AQ656" i="9"/>
  <c r="DH656" i="9" s="1"/>
  <c r="BB656" i="9"/>
  <c r="DS656" i="9" s="1"/>
  <c r="BQ656" i="9"/>
  <c r="EH656" i="9" s="1"/>
  <c r="AO656" i="9"/>
  <c r="DF656" i="9" s="1"/>
  <c r="BM656" i="9"/>
  <c r="ED656" i="9" s="1"/>
  <c r="AI656" i="9"/>
  <c r="CZ656" i="9" s="1"/>
  <c r="AK656" i="9"/>
  <c r="DB656" i="9" s="1"/>
  <c r="BN656" i="9"/>
  <c r="EE656" i="9" s="1"/>
  <c r="AT656" i="9"/>
  <c r="DK656" i="9" s="1"/>
  <c r="BR656" i="9"/>
  <c r="EI656" i="9" s="1"/>
  <c r="AF656" i="9"/>
  <c r="CW656" i="9" s="1"/>
  <c r="AA656" i="9"/>
  <c r="CR656" i="9" s="1"/>
  <c r="AU656" i="9"/>
  <c r="DL656" i="9" s="1"/>
  <c r="BF656" i="9"/>
  <c r="DW656" i="9" s="1"/>
  <c r="BJ656" i="9"/>
  <c r="EA656" i="9" s="1"/>
  <c r="BA656" i="9"/>
  <c r="DR656" i="9" s="1"/>
  <c r="V656" i="9"/>
  <c r="CM656" i="9" s="1"/>
  <c r="BD656" i="9"/>
  <c r="DU656" i="9" s="1"/>
  <c r="AV656" i="9"/>
  <c r="DM656" i="9" s="1"/>
  <c r="BK656" i="9"/>
  <c r="EB656" i="9" s="1"/>
  <c r="AE656" i="9"/>
  <c r="CV656" i="9" s="1"/>
  <c r="BC656" i="9"/>
  <c r="DT656" i="9" s="1"/>
  <c r="Y656" i="9"/>
  <c r="CP656" i="9" s="1"/>
  <c r="AL656" i="9"/>
  <c r="DC656" i="9" s="1"/>
  <c r="BI656" i="9"/>
  <c r="DZ656" i="9" s="1"/>
  <c r="Z656" i="9"/>
  <c r="CQ656" i="9" s="1"/>
  <c r="BP656" i="9"/>
  <c r="EG656" i="9" s="1"/>
  <c r="X656" i="9"/>
  <c r="CO656" i="9" s="1"/>
  <c r="AC656" i="9"/>
  <c r="CT656" i="9" s="1"/>
  <c r="U656" i="9"/>
  <c r="CL656" i="9" s="1"/>
  <c r="AD656" i="9"/>
  <c r="CU656" i="9" s="1"/>
  <c r="AH656" i="9"/>
  <c r="CY656" i="9" s="1"/>
  <c r="AY656" i="9"/>
  <c r="DP656" i="9" s="1"/>
  <c r="BG656" i="9"/>
  <c r="DX656" i="9" s="1"/>
  <c r="BO656" i="9"/>
  <c r="EF656" i="9" s="1"/>
  <c r="BH656" i="9"/>
  <c r="DY656" i="9" s="1"/>
  <c r="AM656" i="9"/>
  <c r="DD656" i="9" s="1"/>
  <c r="AS656" i="9"/>
  <c r="DJ656" i="9" s="1"/>
  <c r="AW656" i="9"/>
  <c r="DN656" i="9" s="1"/>
  <c r="AJ656" i="9"/>
  <c r="DA656" i="9" s="1"/>
  <c r="AZ656" i="9"/>
  <c r="DQ656" i="9" s="1"/>
  <c r="AP656" i="9"/>
  <c r="DG656" i="9" s="1"/>
  <c r="O656" i="9"/>
  <c r="CF656" i="9" s="1"/>
  <c r="Q656" i="9"/>
  <c r="CH656" i="9" s="1"/>
  <c r="AB656" i="9"/>
  <c r="CS656" i="9" s="1"/>
  <c r="BL656" i="9"/>
  <c r="EC656" i="9" s="1"/>
  <c r="S656" i="9"/>
  <c r="CJ656" i="9" s="1"/>
  <c r="T656" i="9"/>
  <c r="CK656" i="9" s="1"/>
  <c r="K656" i="9"/>
  <c r="CB656" i="9" s="1"/>
  <c r="L656" i="9"/>
  <c r="CC656" i="9" s="1"/>
  <c r="P656" i="9"/>
  <c r="CG656" i="9" s="1"/>
  <c r="AR656" i="9"/>
  <c r="DI656" i="9" s="1"/>
  <c r="N656" i="9"/>
  <c r="CE656" i="9" s="1"/>
  <c r="M272" i="9"/>
  <c r="CD272" i="9" s="1"/>
  <c r="Y272" i="9"/>
  <c r="CP272" i="9" s="1"/>
  <c r="V272" i="9"/>
  <c r="CM272" i="9" s="1"/>
  <c r="BN272" i="9"/>
  <c r="EE272" i="9" s="1"/>
  <c r="AX272" i="9"/>
  <c r="DO272" i="9" s="1"/>
  <c r="AW272" i="9"/>
  <c r="DN272" i="9" s="1"/>
  <c r="AG272" i="9"/>
  <c r="CX272" i="9" s="1"/>
  <c r="AF272" i="9"/>
  <c r="CW272" i="9" s="1"/>
  <c r="W272" i="9"/>
  <c r="CN272" i="9" s="1"/>
  <c r="AE272" i="9"/>
  <c r="CV272" i="9" s="1"/>
  <c r="Z272" i="9"/>
  <c r="CQ272" i="9" s="1"/>
  <c r="AD272" i="9"/>
  <c r="CU272" i="9" s="1"/>
  <c r="BG272" i="9"/>
  <c r="DX272" i="9" s="1"/>
  <c r="AK272" i="9"/>
  <c r="DB272" i="9" s="1"/>
  <c r="BF272" i="9"/>
  <c r="DW272" i="9" s="1"/>
  <c r="AA272" i="9"/>
  <c r="CR272" i="9" s="1"/>
  <c r="AY272" i="9"/>
  <c r="DP272" i="9" s="1"/>
  <c r="U272" i="9"/>
  <c r="CL272" i="9" s="1"/>
  <c r="BJ272" i="9"/>
  <c r="EA272" i="9" s="1"/>
  <c r="BA272" i="9"/>
  <c r="DR272" i="9" s="1"/>
  <c r="AJ272" i="9"/>
  <c r="DA272" i="9" s="1"/>
  <c r="AN272" i="9"/>
  <c r="DE272" i="9" s="1"/>
  <c r="BO272" i="9"/>
  <c r="EF272" i="9" s="1"/>
  <c r="AP272" i="9"/>
  <c r="DG272" i="9" s="1"/>
  <c r="AR272" i="9"/>
  <c r="DI272" i="9" s="1"/>
  <c r="AC272" i="9"/>
  <c r="CT272" i="9" s="1"/>
  <c r="X272" i="9"/>
  <c r="CO272" i="9" s="1"/>
  <c r="AL272" i="9"/>
  <c r="DC272" i="9" s="1"/>
  <c r="AB272" i="9"/>
  <c r="CS272" i="9" s="1"/>
  <c r="BM272" i="9"/>
  <c r="ED272" i="9" s="1"/>
  <c r="AT272" i="9"/>
  <c r="DK272" i="9" s="1"/>
  <c r="BK272" i="9"/>
  <c r="EB272" i="9" s="1"/>
  <c r="BE272" i="9"/>
  <c r="DV272" i="9" s="1"/>
  <c r="BP272" i="9"/>
  <c r="EG272" i="9" s="1"/>
  <c r="BC272" i="9"/>
  <c r="DT272" i="9" s="1"/>
  <c r="BH272" i="9"/>
  <c r="DY272" i="9" s="1"/>
  <c r="BB272" i="9"/>
  <c r="DS272" i="9" s="1"/>
  <c r="AI272" i="9"/>
  <c r="CZ272" i="9" s="1"/>
  <c r="BR272" i="9"/>
  <c r="EI272" i="9" s="1"/>
  <c r="AS272" i="9"/>
  <c r="DJ272" i="9" s="1"/>
  <c r="BQ272" i="9"/>
  <c r="EH272" i="9" s="1"/>
  <c r="AO272" i="9"/>
  <c r="DF272" i="9" s="1"/>
  <c r="AH272" i="9"/>
  <c r="CY272" i="9" s="1"/>
  <c r="BD272" i="9"/>
  <c r="DU272" i="9" s="1"/>
  <c r="AQ272" i="9"/>
  <c r="DH272" i="9" s="1"/>
  <c r="BI272" i="9"/>
  <c r="DZ272" i="9" s="1"/>
  <c r="AZ272" i="9"/>
  <c r="DQ272" i="9" s="1"/>
  <c r="AV272" i="9"/>
  <c r="DM272" i="9" s="1"/>
  <c r="S272" i="9"/>
  <c r="CJ272" i="9" s="1"/>
  <c r="R272" i="9"/>
  <c r="CI272" i="9" s="1"/>
  <c r="BL272" i="9"/>
  <c r="EC272" i="9" s="1"/>
  <c r="AU272" i="9"/>
  <c r="DL272" i="9" s="1"/>
  <c r="AM272" i="9"/>
  <c r="DD272" i="9" s="1"/>
  <c r="AQ255" i="9"/>
  <c r="DH255" i="9" s="1"/>
  <c r="BK255" i="9"/>
  <c r="EB255" i="9" s="1"/>
  <c r="BH255" i="9"/>
  <c r="DY255" i="9" s="1"/>
  <c r="BO255" i="9"/>
  <c r="EF255" i="9" s="1"/>
  <c r="AA255" i="9"/>
  <c r="CR255" i="9" s="1"/>
  <c r="BF255" i="9"/>
  <c r="DW255" i="9" s="1"/>
  <c r="AV255" i="9"/>
  <c r="DM255" i="9" s="1"/>
  <c r="BA255" i="9"/>
  <c r="DR255" i="9" s="1"/>
  <c r="AT255" i="9"/>
  <c r="DK255" i="9" s="1"/>
  <c r="AJ255" i="9"/>
  <c r="DA255" i="9" s="1"/>
  <c r="BR255" i="9"/>
  <c r="EI255" i="9" s="1"/>
  <c r="BL255" i="9"/>
  <c r="EC255" i="9" s="1"/>
  <c r="BN255" i="9"/>
  <c r="EE255" i="9" s="1"/>
  <c r="BE255" i="9"/>
  <c r="DV255" i="9" s="1"/>
  <c r="X255" i="9"/>
  <c r="CO255" i="9" s="1"/>
  <c r="AX255" i="9"/>
  <c r="DO255" i="9" s="1"/>
  <c r="AZ255" i="9"/>
  <c r="DQ255" i="9" s="1"/>
  <c r="BM255" i="9"/>
  <c r="ED255" i="9" s="1"/>
  <c r="U255" i="9"/>
  <c r="CL255" i="9" s="1"/>
  <c r="AU255" i="9"/>
  <c r="DL255" i="9" s="1"/>
  <c r="BC255" i="9"/>
  <c r="DT255" i="9" s="1"/>
  <c r="BQ255" i="9"/>
  <c r="EH255" i="9" s="1"/>
  <c r="AY255" i="9"/>
  <c r="DP255" i="9" s="1"/>
  <c r="BB255" i="9"/>
  <c r="DS255" i="9" s="1"/>
  <c r="Z255" i="9"/>
  <c r="CQ255" i="9" s="1"/>
  <c r="V255" i="9"/>
  <c r="CM255" i="9" s="1"/>
  <c r="BG255" i="9"/>
  <c r="DX255" i="9" s="1"/>
  <c r="BI255" i="9"/>
  <c r="DZ255" i="9" s="1"/>
  <c r="BP255" i="9"/>
  <c r="EG255" i="9" s="1"/>
  <c r="BD255" i="9"/>
  <c r="DU255" i="9" s="1"/>
  <c r="BJ255" i="9"/>
  <c r="EA255" i="9" s="1"/>
  <c r="AM255" i="9"/>
  <c r="DD255" i="9" s="1"/>
  <c r="AB255" i="9"/>
  <c r="CS255" i="9" s="1"/>
  <c r="AD255" i="9"/>
  <c r="CU255" i="9" s="1"/>
  <c r="AW255" i="9"/>
  <c r="DN255" i="9" s="1"/>
  <c r="AR255" i="9"/>
  <c r="DI255" i="9" s="1"/>
  <c r="AI255" i="9"/>
  <c r="CZ255" i="9" s="1"/>
  <c r="AF255" i="9"/>
  <c r="CW255" i="9" s="1"/>
  <c r="AK255" i="9"/>
  <c r="DB255" i="9" s="1"/>
  <c r="AH255" i="9"/>
  <c r="CY255" i="9" s="1"/>
  <c r="AG255" i="9"/>
  <c r="CX255" i="9" s="1"/>
  <c r="AE255" i="9"/>
  <c r="CV255" i="9" s="1"/>
  <c r="AN255" i="9"/>
  <c r="DE255" i="9" s="1"/>
  <c r="AS255" i="9"/>
  <c r="DJ255" i="9" s="1"/>
  <c r="Y255" i="9"/>
  <c r="CP255" i="9" s="1"/>
  <c r="AC255" i="9"/>
  <c r="CT255" i="9" s="1"/>
  <c r="W255" i="9"/>
  <c r="CN255" i="9" s="1"/>
  <c r="AL255" i="9"/>
  <c r="DC255" i="9" s="1"/>
  <c r="AP255" i="9"/>
  <c r="DG255" i="9" s="1"/>
  <c r="AO255" i="9"/>
  <c r="DF255" i="9" s="1"/>
  <c r="Z440" i="9"/>
  <c r="CQ440" i="9" s="1"/>
  <c r="W440" i="9"/>
  <c r="CN440" i="9" s="1"/>
  <c r="BM440" i="9"/>
  <c r="ED440" i="9" s="1"/>
  <c r="AC440" i="9"/>
  <c r="CT440" i="9" s="1"/>
  <c r="AJ440" i="9"/>
  <c r="DA440" i="9" s="1"/>
  <c r="AP440" i="9"/>
  <c r="DG440" i="9" s="1"/>
  <c r="AZ440" i="9"/>
  <c r="DQ440" i="9" s="1"/>
  <c r="AZ432" i="9"/>
  <c r="DQ432" i="9" s="1"/>
  <c r="Y432" i="9"/>
  <c r="CP432" i="9" s="1"/>
  <c r="AX432" i="9"/>
  <c r="DO432" i="9" s="1"/>
  <c r="AY432" i="9"/>
  <c r="DP432" i="9" s="1"/>
  <c r="AN432" i="9"/>
  <c r="DE432" i="9" s="1"/>
  <c r="AA432" i="9"/>
  <c r="CR432" i="9" s="1"/>
  <c r="BI432" i="9"/>
  <c r="DZ432" i="9" s="1"/>
  <c r="Z432" i="9"/>
  <c r="CQ432" i="9" s="1"/>
  <c r="AO432" i="9"/>
  <c r="DF432" i="9" s="1"/>
  <c r="BG432" i="9"/>
  <c r="DX432" i="9" s="1"/>
  <c r="AB432" i="9"/>
  <c r="CS432" i="9" s="1"/>
  <c r="AU432" i="9"/>
  <c r="DL432" i="9" s="1"/>
  <c r="AK432" i="9"/>
  <c r="DB432" i="9" s="1"/>
  <c r="BP432" i="9"/>
  <c r="EG432" i="9" s="1"/>
  <c r="AL432" i="9"/>
  <c r="DC432" i="9" s="1"/>
  <c r="BA432" i="9"/>
  <c r="DR432" i="9" s="1"/>
  <c r="AI432" i="9"/>
  <c r="CZ432" i="9" s="1"/>
  <c r="AS432" i="9"/>
  <c r="DJ432" i="9" s="1"/>
  <c r="AM432" i="9"/>
  <c r="DD432" i="9" s="1"/>
  <c r="BJ432" i="9"/>
  <c r="EA432" i="9" s="1"/>
  <c r="AE432" i="9"/>
  <c r="CV432" i="9" s="1"/>
  <c r="BM432" i="9"/>
  <c r="ED432" i="9" s="1"/>
  <c r="AD432" i="9"/>
  <c r="CU432" i="9" s="1"/>
  <c r="BC432" i="9"/>
  <c r="DT432" i="9" s="1"/>
  <c r="AJ432" i="9"/>
  <c r="DA432" i="9" s="1"/>
  <c r="W432" i="9"/>
  <c r="CN432" i="9" s="1"/>
  <c r="BR432" i="9"/>
  <c r="EI432" i="9" s="1"/>
  <c r="AR432" i="9"/>
  <c r="DI432" i="9" s="1"/>
  <c r="AT432" i="9"/>
  <c r="DK432" i="9" s="1"/>
  <c r="BN432" i="9"/>
  <c r="EE432" i="9" s="1"/>
  <c r="AF432" i="9"/>
  <c r="CW432" i="9" s="1"/>
  <c r="U432" i="9"/>
  <c r="CL432" i="9" s="1"/>
  <c r="BO432" i="9"/>
  <c r="EF432" i="9" s="1"/>
  <c r="AQ432" i="9"/>
  <c r="DH432" i="9" s="1"/>
  <c r="BF432" i="9"/>
  <c r="DW432" i="9" s="1"/>
  <c r="BK432" i="9"/>
  <c r="EB432" i="9" s="1"/>
  <c r="BL432" i="9"/>
  <c r="EC432" i="9" s="1"/>
  <c r="AG432" i="9"/>
  <c r="CX432" i="9" s="1"/>
  <c r="BH432" i="9"/>
  <c r="DY432" i="9" s="1"/>
  <c r="BB432" i="9"/>
  <c r="DS432" i="9" s="1"/>
  <c r="V432" i="9"/>
  <c r="CM432" i="9" s="1"/>
  <c r="AP432" i="9"/>
  <c r="DG432" i="9" s="1"/>
  <c r="BD432" i="9"/>
  <c r="DU432" i="9" s="1"/>
  <c r="AC432" i="9"/>
  <c r="CT432" i="9" s="1"/>
  <c r="AH432" i="9"/>
  <c r="CY432" i="9" s="1"/>
  <c r="BQ432" i="9"/>
  <c r="EH432" i="9" s="1"/>
  <c r="BE432" i="9"/>
  <c r="DV432" i="9" s="1"/>
  <c r="X432" i="9"/>
  <c r="CO432" i="9" s="1"/>
  <c r="AW432" i="9"/>
  <c r="DN432" i="9" s="1"/>
  <c r="AV432" i="9"/>
  <c r="DM432" i="9" s="1"/>
  <c r="K614" i="9"/>
  <c r="CB614" i="9" s="1"/>
  <c r="BD614" i="9"/>
  <c r="DU614" i="9" s="1"/>
  <c r="BM614" i="9"/>
  <c r="ED614" i="9" s="1"/>
  <c r="BF614" i="9"/>
  <c r="DW614" i="9" s="1"/>
  <c r="X614" i="9"/>
  <c r="CO614" i="9" s="1"/>
  <c r="BK614" i="9"/>
  <c r="EB614" i="9" s="1"/>
  <c r="BN614" i="9"/>
  <c r="EE614" i="9" s="1"/>
  <c r="AD614" i="9"/>
  <c r="CU614" i="9" s="1"/>
  <c r="AV614" i="9"/>
  <c r="DM614" i="9" s="1"/>
  <c r="AN614" i="9"/>
  <c r="DE614" i="9" s="1"/>
  <c r="BO614" i="9"/>
  <c r="EF614" i="9" s="1"/>
  <c r="AT614" i="9"/>
  <c r="DK614" i="9" s="1"/>
  <c r="W614" i="9"/>
  <c r="CN614" i="9" s="1"/>
  <c r="BL614" i="9"/>
  <c r="EC614" i="9" s="1"/>
  <c r="Z614" i="9"/>
  <c r="CQ614" i="9" s="1"/>
  <c r="Q614" i="9"/>
  <c r="CH614" i="9" s="1"/>
  <c r="O614" i="9"/>
  <c r="CF614" i="9" s="1"/>
  <c r="M614" i="9"/>
  <c r="CD614" i="9" s="1"/>
  <c r="AZ614" i="9"/>
  <c r="DQ614" i="9" s="1"/>
  <c r="L614" i="9"/>
  <c r="CC614" i="9" s="1"/>
  <c r="K597" i="9"/>
  <c r="CB597" i="9" s="1"/>
  <c r="Z597" i="9"/>
  <c r="CQ597" i="9" s="1"/>
  <c r="BB597" i="9"/>
  <c r="DS597" i="9" s="1"/>
  <c r="BK597" i="9"/>
  <c r="EB597" i="9" s="1"/>
  <c r="BP597" i="9"/>
  <c r="EG597" i="9" s="1"/>
  <c r="O597" i="9"/>
  <c r="CF597" i="9" s="1"/>
  <c r="Q597" i="9"/>
  <c r="CH597" i="9" s="1"/>
  <c r="M597" i="9"/>
  <c r="CD597" i="9" s="1"/>
  <c r="R597" i="9"/>
  <c r="CI597" i="9" s="1"/>
  <c r="S597" i="9"/>
  <c r="CJ597" i="9" s="1"/>
  <c r="AK597" i="9"/>
  <c r="DB597" i="9" s="1"/>
  <c r="AM597" i="9"/>
  <c r="DD597" i="9" s="1"/>
  <c r="U597" i="9"/>
  <c r="CL597" i="9" s="1"/>
  <c r="V597" i="9"/>
  <c r="CM597" i="9" s="1"/>
  <c r="AQ597" i="9"/>
  <c r="DH597" i="9" s="1"/>
  <c r="AP597" i="9"/>
  <c r="DG597" i="9" s="1"/>
  <c r="AL597" i="9"/>
  <c r="DC597" i="9" s="1"/>
  <c r="AH597" i="9"/>
  <c r="CY597" i="9" s="1"/>
  <c r="AB597" i="9"/>
  <c r="CS597" i="9" s="1"/>
  <c r="BI597" i="9"/>
  <c r="DZ597" i="9" s="1"/>
  <c r="AS597" i="9"/>
  <c r="AJ597" i="9"/>
  <c r="DA597" i="9" s="1"/>
  <c r="AC597" i="9"/>
  <c r="CT597" i="9" s="1"/>
  <c r="AF597" i="9"/>
  <c r="CW597" i="9" s="1"/>
  <c r="AA597" i="9"/>
  <c r="CR597" i="9" s="1"/>
  <c r="AY597" i="9"/>
  <c r="DP597" i="9" s="1"/>
  <c r="BF597" i="9"/>
  <c r="DW597" i="9" s="1"/>
  <c r="Y597" i="9"/>
  <c r="CP597" i="9" s="1"/>
  <c r="BO597" i="9"/>
  <c r="EF597" i="9" s="1"/>
  <c r="AV597" i="9"/>
  <c r="AE597" i="9"/>
  <c r="CV597" i="9" s="1"/>
  <c r="AN597" i="9"/>
  <c r="DE597" i="9" s="1"/>
  <c r="AO597" i="9"/>
  <c r="DF597" i="9" s="1"/>
  <c r="BH597" i="9"/>
  <c r="DY597" i="9" s="1"/>
  <c r="AZ597" i="9"/>
  <c r="DQ597" i="9" s="1"/>
  <c r="AW597" i="9"/>
  <c r="DN597" i="9" s="1"/>
  <c r="AD597" i="9"/>
  <c r="CU597" i="9" s="1"/>
  <c r="BN597" i="9"/>
  <c r="BR597" i="9"/>
  <c r="EI597" i="9" s="1"/>
  <c r="X597" i="9"/>
  <c r="CO597" i="9" s="1"/>
  <c r="BD597" i="9"/>
  <c r="DU597" i="9" s="1"/>
  <c r="BJ597" i="9"/>
  <c r="EA597" i="9" s="1"/>
  <c r="BC597" i="9"/>
  <c r="DT597" i="9" s="1"/>
  <c r="AX597" i="9"/>
  <c r="DO597" i="9" s="1"/>
  <c r="BG597" i="9"/>
  <c r="DX597" i="9" s="1"/>
  <c r="AG597" i="9"/>
  <c r="CX597" i="9" s="1"/>
  <c r="BQ597" i="9"/>
  <c r="EH597" i="9" s="1"/>
  <c r="AT597" i="9"/>
  <c r="DK597" i="9" s="1"/>
  <c r="AR597" i="9"/>
  <c r="DI597" i="9" s="1"/>
  <c r="BE597" i="9"/>
  <c r="DV597" i="9" s="1"/>
  <c r="BL597" i="9"/>
  <c r="EC597" i="9" s="1"/>
  <c r="AU597" i="9"/>
  <c r="DL597" i="9" s="1"/>
  <c r="BA597" i="9"/>
  <c r="DR597" i="9" s="1"/>
  <c r="BM597" i="9"/>
  <c r="AI597" i="9"/>
  <c r="CZ597" i="9" s="1"/>
  <c r="W597" i="9"/>
  <c r="CN597" i="9" s="1"/>
  <c r="K390" i="9"/>
  <c r="CB390" i="9" s="1"/>
  <c r="AV390" i="9"/>
  <c r="DM390" i="9" s="1"/>
  <c r="AJ390" i="9"/>
  <c r="DA390" i="9" s="1"/>
  <c r="AW390" i="9"/>
  <c r="DN390" i="9" s="1"/>
  <c r="BL390" i="9"/>
  <c r="EC390" i="9" s="1"/>
  <c r="AD390" i="9"/>
  <c r="CU390" i="9" s="1"/>
  <c r="BH390" i="9"/>
  <c r="DY390" i="9" s="1"/>
  <c r="BG390" i="9"/>
  <c r="DX390" i="9" s="1"/>
  <c r="AQ390" i="9"/>
  <c r="DH390" i="9" s="1"/>
  <c r="AU390" i="9"/>
  <c r="DL390" i="9" s="1"/>
  <c r="AO390" i="9"/>
  <c r="DF390" i="9" s="1"/>
  <c r="BR390" i="9"/>
  <c r="EI390" i="9" s="1"/>
  <c r="AM390" i="9"/>
  <c r="DD390" i="9" s="1"/>
  <c r="BN390" i="9"/>
  <c r="EE390" i="9" s="1"/>
  <c r="AG390" i="9"/>
  <c r="CX390" i="9" s="1"/>
  <c r="AL390" i="9"/>
  <c r="DC390" i="9" s="1"/>
  <c r="AF390" i="9"/>
  <c r="CW390" i="9" s="1"/>
  <c r="X390" i="9"/>
  <c r="CO390" i="9" s="1"/>
  <c r="BP390" i="9"/>
  <c r="EG390" i="9" s="1"/>
  <c r="AT390" i="9"/>
  <c r="DK390" i="9" s="1"/>
  <c r="V390" i="9"/>
  <c r="CM390" i="9" s="1"/>
  <c r="M390" i="9"/>
  <c r="CD390" i="9" s="1"/>
  <c r="P390" i="9"/>
  <c r="CG390" i="9" s="1"/>
  <c r="S390" i="9"/>
  <c r="CJ390" i="9" s="1"/>
  <c r="L390" i="9"/>
  <c r="CC390" i="9" s="1"/>
  <c r="R390" i="9"/>
  <c r="CI390" i="9" s="1"/>
  <c r="O390" i="9"/>
  <c r="CF390" i="9" s="1"/>
  <c r="N390" i="9"/>
  <c r="CE390" i="9" s="1"/>
  <c r="BQ390" i="9"/>
  <c r="EH390" i="9" s="1"/>
  <c r="BD390" i="9"/>
  <c r="DU390" i="9" s="1"/>
  <c r="AH390" i="9"/>
  <c r="CY390" i="9" s="1"/>
  <c r="AN390" i="9"/>
  <c r="DE390" i="9" s="1"/>
  <c r="BJ390" i="9"/>
  <c r="EA390" i="9" s="1"/>
  <c r="AB390" i="9"/>
  <c r="CS390" i="9" s="1"/>
  <c r="AZ390" i="9"/>
  <c r="DQ390" i="9" s="1"/>
  <c r="W390" i="9"/>
  <c r="CN390" i="9" s="1"/>
  <c r="BB390" i="9"/>
  <c r="DS390" i="9" s="1"/>
  <c r="Y390" i="9"/>
  <c r="CP390" i="9" s="1"/>
  <c r="AI390" i="9"/>
  <c r="CZ390" i="9" s="1"/>
  <c r="BI390" i="9"/>
  <c r="DZ390" i="9" s="1"/>
  <c r="U390" i="9"/>
  <c r="CL390" i="9" s="1"/>
  <c r="AY390" i="9"/>
  <c r="DP390" i="9" s="1"/>
  <c r="BM390" i="9"/>
  <c r="ED390" i="9" s="1"/>
  <c r="BO390" i="9"/>
  <c r="EF390" i="9" s="1"/>
  <c r="Z390" i="9"/>
  <c r="CQ390" i="9" s="1"/>
  <c r="AP390" i="9"/>
  <c r="DG390" i="9" s="1"/>
  <c r="AC390" i="9"/>
  <c r="CT390" i="9" s="1"/>
  <c r="AE390" i="9"/>
  <c r="CV390" i="9" s="1"/>
  <c r="BE390" i="9"/>
  <c r="DV390" i="9" s="1"/>
  <c r="BK390" i="9"/>
  <c r="EB390" i="9" s="1"/>
  <c r="AR390" i="9"/>
  <c r="DI390" i="9" s="1"/>
  <c r="AA390" i="9"/>
  <c r="CR390" i="9" s="1"/>
  <c r="BC390" i="9"/>
  <c r="DT390" i="9" s="1"/>
  <c r="AS390" i="9"/>
  <c r="DJ390" i="9" s="1"/>
  <c r="AX390" i="9"/>
  <c r="DO390" i="9" s="1"/>
  <c r="BF390" i="9"/>
  <c r="DW390" i="9" s="1"/>
  <c r="BA390" i="9"/>
  <c r="DR390" i="9" s="1"/>
  <c r="AK390" i="9"/>
  <c r="DB390" i="9" s="1"/>
  <c r="P650" i="9"/>
  <c r="CG650" i="9" s="1"/>
  <c r="T650" i="9"/>
  <c r="CK650" i="9" s="1"/>
  <c r="AO650" i="9"/>
  <c r="DF650" i="9" s="1"/>
  <c r="BH650" i="9"/>
  <c r="DY650" i="9" s="1"/>
  <c r="AC650" i="9"/>
  <c r="CT650" i="9" s="1"/>
  <c r="X650" i="9"/>
  <c r="CO650" i="9" s="1"/>
  <c r="BB650" i="9"/>
  <c r="DS650" i="9" s="1"/>
  <c r="BR650" i="9"/>
  <c r="EI650" i="9" s="1"/>
  <c r="AU650" i="9"/>
  <c r="DL650" i="9" s="1"/>
  <c r="BK439" i="9"/>
  <c r="EB439" i="9" s="1"/>
  <c r="AD439" i="9"/>
  <c r="CU439" i="9" s="1"/>
  <c r="BJ439" i="9"/>
  <c r="EA439" i="9" s="1"/>
  <c r="P439" i="9"/>
  <c r="CG439" i="9" s="1"/>
  <c r="BB439" i="9"/>
  <c r="DS439" i="9" s="1"/>
  <c r="AB439" i="9"/>
  <c r="CS439" i="9" s="1"/>
  <c r="AS439" i="9"/>
  <c r="DJ439" i="9" s="1"/>
  <c r="AX439" i="9"/>
  <c r="DO439" i="9" s="1"/>
  <c r="W438" i="9"/>
  <c r="CN438" i="9" s="1"/>
  <c r="BI438" i="9"/>
  <c r="DZ438" i="9" s="1"/>
  <c r="O438" i="9"/>
  <c r="CF438" i="9" s="1"/>
  <c r="BH438" i="9"/>
  <c r="DY438" i="9" s="1"/>
  <c r="AF438" i="9"/>
  <c r="CW438" i="9" s="1"/>
  <c r="AW438" i="9"/>
  <c r="DN438" i="9" s="1"/>
  <c r="X438" i="9"/>
  <c r="CO438" i="9" s="1"/>
  <c r="AB438" i="9"/>
  <c r="CS438" i="9" s="1"/>
  <c r="AS438" i="9"/>
  <c r="DJ438" i="9" s="1"/>
  <c r="AN438" i="9"/>
  <c r="DE438" i="9" s="1"/>
  <c r="BC438" i="9"/>
  <c r="DT438" i="9" s="1"/>
  <c r="AM438" i="9"/>
  <c r="DD438" i="9" s="1"/>
  <c r="AT438" i="9"/>
  <c r="DK438" i="9" s="1"/>
  <c r="AD438" i="9"/>
  <c r="CU438" i="9" s="1"/>
  <c r="BN438" i="9"/>
  <c r="EE438" i="9" s="1"/>
  <c r="BM438" i="9"/>
  <c r="ED438" i="9" s="1"/>
  <c r="BF438" i="9"/>
  <c r="DW438" i="9" s="1"/>
  <c r="AL438" i="9"/>
  <c r="DC438" i="9" s="1"/>
  <c r="BE438" i="9"/>
  <c r="DV438" i="9" s="1"/>
  <c r="BD438" i="9"/>
  <c r="DU438" i="9" s="1"/>
  <c r="AU438" i="9"/>
  <c r="DL438" i="9" s="1"/>
  <c r="Z438" i="9"/>
  <c r="CQ438" i="9" s="1"/>
  <c r="AO438" i="9"/>
  <c r="DF438" i="9" s="1"/>
  <c r="BP438" i="9"/>
  <c r="EG438" i="9" s="1"/>
  <c r="AZ438" i="9"/>
  <c r="DQ438" i="9" s="1"/>
  <c r="AQ438" i="9"/>
  <c r="DH438" i="9" s="1"/>
  <c r="AX438" i="9"/>
  <c r="DO438" i="9" s="1"/>
  <c r="AV438" i="9"/>
  <c r="DM438" i="9" s="1"/>
  <c r="BK438" i="9"/>
  <c r="EB438" i="9" s="1"/>
  <c r="V438" i="9"/>
  <c r="CM438" i="9" s="1"/>
  <c r="AA438" i="9"/>
  <c r="CR438" i="9" s="1"/>
  <c r="AK438" i="9"/>
  <c r="DB438" i="9" s="1"/>
  <c r="AC438" i="9"/>
  <c r="CT438" i="9" s="1"/>
  <c r="BR438" i="9"/>
  <c r="EI438" i="9" s="1"/>
  <c r="AH438" i="9"/>
  <c r="CY438" i="9" s="1"/>
  <c r="BO438" i="9"/>
  <c r="EF438" i="9" s="1"/>
  <c r="AR438" i="9"/>
  <c r="DI438" i="9" s="1"/>
  <c r="P438" i="9"/>
  <c r="CG438" i="9" s="1"/>
  <c r="BM623" i="9"/>
  <c r="ED623" i="9" s="1"/>
  <c r="BG623" i="9"/>
  <c r="DX623" i="9" s="1"/>
  <c r="Y623" i="9"/>
  <c r="CP623" i="9" s="1"/>
  <c r="AY623" i="9"/>
  <c r="DP623" i="9" s="1"/>
  <c r="BD623" i="9"/>
  <c r="DU623" i="9" s="1"/>
  <c r="AD623" i="9"/>
  <c r="CU623" i="9" s="1"/>
  <c r="BK623" i="9"/>
  <c r="EB623" i="9" s="1"/>
  <c r="BP623" i="9"/>
  <c r="EG623" i="9" s="1"/>
  <c r="BH623" i="9"/>
  <c r="DY623" i="9" s="1"/>
  <c r="AN623" i="9"/>
  <c r="DE623" i="9" s="1"/>
  <c r="AA623" i="9"/>
  <c r="CR623" i="9" s="1"/>
  <c r="AC623" i="9"/>
  <c r="CT623" i="9" s="1"/>
  <c r="BF623" i="9"/>
  <c r="DW623" i="9" s="1"/>
  <c r="AJ623" i="9"/>
  <c r="DA623" i="9" s="1"/>
  <c r="BI623" i="9"/>
  <c r="DZ623" i="9" s="1"/>
  <c r="AB623" i="9"/>
  <c r="CS623" i="9" s="1"/>
  <c r="AI623" i="9"/>
  <c r="CZ623" i="9" s="1"/>
  <c r="K623" i="9"/>
  <c r="CB623" i="9" s="1"/>
  <c r="Q623" i="9"/>
  <c r="CH623" i="9" s="1"/>
  <c r="P623" i="9"/>
  <c r="CG623" i="9" s="1"/>
  <c r="AT623" i="9"/>
  <c r="DK623" i="9" s="1"/>
  <c r="BC623" i="9"/>
  <c r="DT623" i="9" s="1"/>
  <c r="BK394" i="9"/>
  <c r="EB394" i="9" s="1"/>
  <c r="AV394" i="9"/>
  <c r="DM394" i="9" s="1"/>
  <c r="S394" i="9"/>
  <c r="CJ394" i="9" s="1"/>
  <c r="BL394" i="9"/>
  <c r="EC394" i="9" s="1"/>
  <c r="BC394" i="9"/>
  <c r="DT394" i="9" s="1"/>
  <c r="AZ394" i="9"/>
  <c r="DQ394" i="9" s="1"/>
  <c r="BF394" i="9"/>
  <c r="DW394" i="9" s="1"/>
  <c r="AB394" i="9"/>
  <c r="CS394" i="9" s="1"/>
  <c r="Q615" i="9"/>
  <c r="CH615" i="9" s="1"/>
  <c r="BP615" i="9"/>
  <c r="EG615" i="9" s="1"/>
  <c r="BC615" i="9"/>
  <c r="DT615" i="9" s="1"/>
  <c r="AV615" i="9"/>
  <c r="DM615" i="9" s="1"/>
  <c r="BJ615" i="9"/>
  <c r="EA615" i="9" s="1"/>
  <c r="W615" i="9"/>
  <c r="CN615" i="9" s="1"/>
  <c r="BO615" i="9"/>
  <c r="EF615" i="9" s="1"/>
  <c r="U615" i="9"/>
  <c r="CL615" i="9" s="1"/>
  <c r="AD615" i="9"/>
  <c r="CU615" i="9" s="1"/>
  <c r="O615" i="9"/>
  <c r="CF615" i="9" s="1"/>
  <c r="L615" i="9"/>
  <c r="CC615" i="9" s="1"/>
  <c r="AU615" i="9"/>
  <c r="DL615" i="9" s="1"/>
  <c r="BD615" i="9"/>
  <c r="DU615" i="9" s="1"/>
  <c r="AO615" i="9"/>
  <c r="DF615" i="9" s="1"/>
  <c r="AB615" i="9"/>
  <c r="CS615" i="9" s="1"/>
  <c r="AL615" i="9"/>
  <c r="DC615" i="9" s="1"/>
  <c r="Y615" i="9"/>
  <c r="CP615" i="9" s="1"/>
  <c r="BA615" i="9"/>
  <c r="DR615" i="9" s="1"/>
  <c r="BM615" i="9"/>
  <c r="ED615" i="9" s="1"/>
  <c r="AY615" i="9"/>
  <c r="DP615" i="9" s="1"/>
  <c r="V615" i="9"/>
  <c r="CM615" i="9" s="1"/>
  <c r="AJ615" i="9"/>
  <c r="DA615" i="9" s="1"/>
  <c r="BI615" i="9"/>
  <c r="DZ615" i="9" s="1"/>
  <c r="AF615" i="9"/>
  <c r="CW615" i="9" s="1"/>
  <c r="AP615" i="9"/>
  <c r="DG615" i="9" s="1"/>
  <c r="AG615" i="9"/>
  <c r="CX615" i="9" s="1"/>
  <c r="AQ615" i="9"/>
  <c r="DH615" i="9" s="1"/>
  <c r="AS615" i="9"/>
  <c r="DJ615" i="9" s="1"/>
  <c r="AK615" i="9"/>
  <c r="DB615" i="9" s="1"/>
  <c r="AM615" i="9"/>
  <c r="DD615" i="9" s="1"/>
  <c r="AC615" i="9"/>
  <c r="CT615" i="9" s="1"/>
  <c r="AA615" i="9"/>
  <c r="CR615" i="9" s="1"/>
  <c r="AH615" i="9"/>
  <c r="CY615" i="9" s="1"/>
  <c r="BQ615" i="9"/>
  <c r="EH615" i="9" s="1"/>
  <c r="R615" i="9"/>
  <c r="CI615" i="9" s="1"/>
  <c r="T615" i="9"/>
  <c r="CK615" i="9" s="1"/>
  <c r="BE615" i="9"/>
  <c r="DV615" i="9" s="1"/>
  <c r="BK615" i="9"/>
  <c r="EB615" i="9" s="1"/>
  <c r="N615" i="9"/>
  <c r="CE615" i="9" s="1"/>
  <c r="AN615" i="9"/>
  <c r="DE615" i="9" s="1"/>
  <c r="AW615" i="9"/>
  <c r="DN615" i="9" s="1"/>
  <c r="BF615" i="9"/>
  <c r="DW615" i="9" s="1"/>
  <c r="K615" i="9"/>
  <c r="CB615" i="9" s="1"/>
  <c r="BH615" i="9"/>
  <c r="DY615" i="9" s="1"/>
  <c r="Z615" i="9"/>
  <c r="CQ615" i="9" s="1"/>
  <c r="AE615" i="9"/>
  <c r="CV615" i="9" s="1"/>
  <c r="AT615" i="9"/>
  <c r="DK615" i="9" s="1"/>
  <c r="BB615" i="9"/>
  <c r="DS615" i="9" s="1"/>
  <c r="AZ615" i="9"/>
  <c r="DQ615" i="9" s="1"/>
  <c r="BN615" i="9"/>
  <c r="EE615" i="9" s="1"/>
  <c r="BL615" i="9"/>
  <c r="EC615" i="9" s="1"/>
  <c r="X615" i="9"/>
  <c r="CO615" i="9" s="1"/>
  <c r="AR615" i="9"/>
  <c r="DI615" i="9" s="1"/>
  <c r="AI615" i="9"/>
  <c r="CZ615" i="9" s="1"/>
  <c r="BR615" i="9"/>
  <c r="EI615" i="9" s="1"/>
  <c r="AX615" i="9"/>
  <c r="DO615" i="9" s="1"/>
  <c r="BG615" i="9"/>
  <c r="DX615" i="9" s="1"/>
  <c r="R610" i="9"/>
  <c r="CI610" i="9" s="1"/>
  <c r="S610" i="9"/>
  <c r="CJ610" i="9" s="1"/>
  <c r="AU610" i="9"/>
  <c r="DL610" i="9" s="1"/>
  <c r="K610" i="9"/>
  <c r="Y610" i="9"/>
  <c r="CP610" i="9" s="1"/>
  <c r="V610" i="9"/>
  <c r="CM610" i="9" s="1"/>
  <c r="AA610" i="9"/>
  <c r="CR610" i="9" s="1"/>
  <c r="AG610" i="9"/>
  <c r="CX610" i="9" s="1"/>
  <c r="AC610" i="9"/>
  <c r="CT610" i="9" s="1"/>
  <c r="AP610" i="9"/>
  <c r="DG610" i="9" s="1"/>
  <c r="AM610" i="9"/>
  <c r="DD610" i="9" s="1"/>
  <c r="AQ610" i="9"/>
  <c r="DH610" i="9" s="1"/>
  <c r="AY610" i="9"/>
  <c r="DP610" i="9" s="1"/>
  <c r="AK610" i="9"/>
  <c r="DB610" i="9" s="1"/>
  <c r="BI610" i="9"/>
  <c r="DZ610" i="9" s="1"/>
  <c r="AF610" i="9"/>
  <c r="CW610" i="9" s="1"/>
  <c r="AB610" i="9"/>
  <c r="CS610" i="9" s="1"/>
  <c r="AJ610" i="9"/>
  <c r="DA610" i="9" s="1"/>
  <c r="AS610" i="9"/>
  <c r="DJ610" i="9" s="1"/>
  <c r="BM610" i="9"/>
  <c r="ED610" i="9" s="1"/>
  <c r="AV610" i="9"/>
  <c r="DM610" i="9" s="1"/>
  <c r="BA610" i="9"/>
  <c r="DR610" i="9" s="1"/>
  <c r="BR610" i="9"/>
  <c r="EI610" i="9" s="1"/>
  <c r="BB610" i="9"/>
  <c r="DS610" i="9" s="1"/>
  <c r="W610" i="9"/>
  <c r="CN610" i="9" s="1"/>
  <c r="BP610" i="9"/>
  <c r="EG610" i="9" s="1"/>
  <c r="BF610" i="9"/>
  <c r="DW610" i="9" s="1"/>
  <c r="AW610" i="9"/>
  <c r="DN610" i="9" s="1"/>
  <c r="U610" i="9"/>
  <c r="CL610" i="9" s="1"/>
  <c r="BJ610" i="9"/>
  <c r="EA610" i="9" s="1"/>
  <c r="AR610" i="9"/>
  <c r="DI610" i="9" s="1"/>
  <c r="AL610" i="9"/>
  <c r="DC610" i="9" s="1"/>
  <c r="AO610" i="9"/>
  <c r="DF610" i="9" s="1"/>
  <c r="BG610" i="9"/>
  <c r="DX610" i="9" s="1"/>
  <c r="BO610" i="9"/>
  <c r="EF610" i="9" s="1"/>
  <c r="BC610" i="9"/>
  <c r="DT610" i="9" s="1"/>
  <c r="BD610" i="9"/>
  <c r="DU610" i="9" s="1"/>
  <c r="N610" i="9"/>
  <c r="CE610" i="9" s="1"/>
  <c r="T610" i="9"/>
  <c r="CK610" i="9" s="1"/>
  <c r="M610" i="9"/>
  <c r="CD610" i="9" s="1"/>
  <c r="Q610" i="9"/>
  <c r="CH610" i="9" s="1"/>
  <c r="L610" i="9"/>
  <c r="CC610" i="9" s="1"/>
  <c r="P610" i="9"/>
  <c r="CG610" i="9" s="1"/>
  <c r="BK610" i="9"/>
  <c r="EB610" i="9" s="1"/>
  <c r="BH610" i="9"/>
  <c r="DY610" i="9" s="1"/>
  <c r="AH610" i="9"/>
  <c r="CY610" i="9" s="1"/>
  <c r="AX610" i="9"/>
  <c r="DO610" i="9" s="1"/>
  <c r="AN610" i="9"/>
  <c r="DE610" i="9" s="1"/>
  <c r="AT610" i="9"/>
  <c r="DK610" i="9" s="1"/>
  <c r="AZ610" i="9"/>
  <c r="DQ610" i="9" s="1"/>
  <c r="AD610" i="9"/>
  <c r="CU610" i="9" s="1"/>
  <c r="BE610" i="9"/>
  <c r="DV610" i="9" s="1"/>
  <c r="BN610" i="9"/>
  <c r="EE610" i="9" s="1"/>
  <c r="AI610" i="9"/>
  <c r="CZ610" i="9" s="1"/>
  <c r="X610" i="9"/>
  <c r="CO610" i="9" s="1"/>
  <c r="AE610" i="9"/>
  <c r="CV610" i="9" s="1"/>
  <c r="Z610" i="9"/>
  <c r="CQ610" i="9" s="1"/>
  <c r="BL610" i="9"/>
  <c r="EC610" i="9" s="1"/>
  <c r="S238" i="9"/>
  <c r="CJ238" i="9" s="1"/>
  <c r="AW238" i="9"/>
  <c r="DN238" i="9" s="1"/>
  <c r="AG238" i="9"/>
  <c r="CX238" i="9" s="1"/>
  <c r="BA238" i="9"/>
  <c r="DR238" i="9" s="1"/>
  <c r="AM238" i="9"/>
  <c r="DD238" i="9" s="1"/>
  <c r="BJ238" i="9"/>
  <c r="EA238" i="9" s="1"/>
  <c r="AQ238" i="9"/>
  <c r="DH238" i="9" s="1"/>
  <c r="AL238" i="9"/>
  <c r="DC238" i="9" s="1"/>
  <c r="Z238" i="9"/>
  <c r="CQ238" i="9" s="1"/>
  <c r="BN238" i="9"/>
  <c r="EE238" i="9" s="1"/>
  <c r="BF238" i="9"/>
  <c r="DW238" i="9" s="1"/>
  <c r="AU238" i="9"/>
  <c r="DL238" i="9" s="1"/>
  <c r="AT238" i="9"/>
  <c r="DK238" i="9" s="1"/>
  <c r="AY238" i="9"/>
  <c r="DP238" i="9" s="1"/>
  <c r="T363" i="9"/>
  <c r="CK363" i="9" s="1"/>
  <c r="BI363" i="9"/>
  <c r="DZ363" i="9" s="1"/>
  <c r="BN397" i="9"/>
  <c r="EE397" i="9" s="1"/>
  <c r="AI397" i="9"/>
  <c r="CZ397" i="9" s="1"/>
  <c r="AI359" i="9"/>
  <c r="CZ359" i="9" s="1"/>
  <c r="BM359" i="9"/>
  <c r="ED359" i="9" s="1"/>
  <c r="U359" i="9"/>
  <c r="CL359" i="9" s="1"/>
  <c r="BJ359" i="9"/>
  <c r="EA359" i="9" s="1"/>
  <c r="BR359" i="9"/>
  <c r="EI359" i="9" s="1"/>
  <c r="AM359" i="9"/>
  <c r="DD359" i="9" s="1"/>
  <c r="AN359" i="9"/>
  <c r="DE359" i="9" s="1"/>
  <c r="AG359" i="9"/>
  <c r="CX359" i="9" s="1"/>
  <c r="BO359" i="9"/>
  <c r="EF359" i="9" s="1"/>
  <c r="AZ359" i="9"/>
  <c r="DQ359" i="9" s="1"/>
  <c r="Y359" i="9"/>
  <c r="CP359" i="9" s="1"/>
  <c r="AP359" i="9"/>
  <c r="DG359" i="9" s="1"/>
  <c r="AC359" i="9"/>
  <c r="CT359" i="9" s="1"/>
  <c r="X359" i="9"/>
  <c r="CO359" i="9" s="1"/>
  <c r="BI359" i="9"/>
  <c r="DZ359" i="9" s="1"/>
  <c r="AS359" i="9"/>
  <c r="DJ359" i="9" s="1"/>
  <c r="BN359" i="9"/>
  <c r="EE359" i="9" s="1"/>
  <c r="AQ359" i="9"/>
  <c r="DH359" i="9" s="1"/>
  <c r="BQ359" i="9"/>
  <c r="EH359" i="9" s="1"/>
  <c r="Z359" i="9"/>
  <c r="CQ359" i="9" s="1"/>
  <c r="AF359" i="9"/>
  <c r="CW359" i="9" s="1"/>
  <c r="BD359" i="9"/>
  <c r="DU359" i="9" s="1"/>
  <c r="AE359" i="9"/>
  <c r="CV359" i="9" s="1"/>
  <c r="AH359" i="9"/>
  <c r="CY359" i="9" s="1"/>
  <c r="BC359" i="9"/>
  <c r="DT359" i="9" s="1"/>
  <c r="BG359" i="9"/>
  <c r="DX359" i="9" s="1"/>
  <c r="W359" i="9"/>
  <c r="CN359" i="9" s="1"/>
  <c r="AX359" i="9"/>
  <c r="DO359" i="9" s="1"/>
  <c r="AD359" i="9"/>
  <c r="CU359" i="9" s="1"/>
  <c r="AA359" i="9"/>
  <c r="CR359" i="9" s="1"/>
  <c r="AY359" i="9"/>
  <c r="DP359" i="9" s="1"/>
  <c r="AU359" i="9"/>
  <c r="DL359" i="9" s="1"/>
  <c r="BK359" i="9"/>
  <c r="EB359" i="9" s="1"/>
  <c r="AT359" i="9"/>
  <c r="DK359" i="9" s="1"/>
  <c r="BH359" i="9"/>
  <c r="DY359" i="9" s="1"/>
  <c r="AK359" i="9"/>
  <c r="DB359" i="9" s="1"/>
  <c r="BB359" i="9"/>
  <c r="DS359" i="9" s="1"/>
  <c r="AO359" i="9"/>
  <c r="DF359" i="9" s="1"/>
  <c r="AW359" i="9"/>
  <c r="DN359" i="9" s="1"/>
  <c r="BL359" i="9"/>
  <c r="EC359" i="9" s="1"/>
  <c r="BE359" i="9"/>
  <c r="DV359" i="9" s="1"/>
  <c r="AV359" i="9"/>
  <c r="DM359" i="9" s="1"/>
  <c r="BA359" i="9"/>
  <c r="DR359" i="9" s="1"/>
  <c r="AJ359" i="9"/>
  <c r="DA359" i="9" s="1"/>
  <c r="V359" i="9"/>
  <c r="CM359" i="9" s="1"/>
  <c r="AB359" i="9"/>
  <c r="CS359" i="9" s="1"/>
  <c r="AR359" i="9"/>
  <c r="DI359" i="9" s="1"/>
  <c r="BP359" i="9"/>
  <c r="EG359" i="9" s="1"/>
  <c r="BF359" i="9"/>
  <c r="DW359" i="9" s="1"/>
  <c r="AL359" i="9"/>
  <c r="DC359" i="9" s="1"/>
  <c r="N558" i="9"/>
  <c r="CE558" i="9" s="1"/>
  <c r="BP558" i="9"/>
  <c r="EG558" i="9" s="1"/>
  <c r="AC558" i="9"/>
  <c r="CT558" i="9" s="1"/>
  <c r="AJ558" i="9"/>
  <c r="DA558" i="9" s="1"/>
  <c r="Y558" i="9"/>
  <c r="CP558" i="9" s="1"/>
  <c r="BF558" i="9"/>
  <c r="DW558" i="9" s="1"/>
  <c r="BN558" i="9"/>
  <c r="EE558" i="9" s="1"/>
  <c r="BH558" i="9"/>
  <c r="DY558" i="9" s="1"/>
  <c r="AF558" i="9"/>
  <c r="CW558" i="9" s="1"/>
  <c r="AQ558" i="9"/>
  <c r="DH558" i="9" s="1"/>
  <c r="AR558" i="9"/>
  <c r="DI558" i="9" s="1"/>
  <c r="BE558" i="9"/>
  <c r="DV558" i="9" s="1"/>
  <c r="K558" i="9"/>
  <c r="CB558" i="9" s="1"/>
  <c r="AO558" i="9"/>
  <c r="DF558" i="9" s="1"/>
  <c r="AU558" i="9"/>
  <c r="DL558" i="9" s="1"/>
  <c r="X558" i="9"/>
  <c r="CO558" i="9" s="1"/>
  <c r="AA558" i="9"/>
  <c r="CR558" i="9" s="1"/>
  <c r="AY558" i="9"/>
  <c r="DP558" i="9" s="1"/>
  <c r="AH558" i="9"/>
  <c r="CY558" i="9" s="1"/>
  <c r="AE558" i="9"/>
  <c r="CV558" i="9" s="1"/>
  <c r="U558" i="9"/>
  <c r="CL558" i="9" s="1"/>
  <c r="BQ558" i="9"/>
  <c r="EH558" i="9" s="1"/>
  <c r="AB558" i="9"/>
  <c r="CS558" i="9" s="1"/>
  <c r="BO558" i="9"/>
  <c r="EF558" i="9" s="1"/>
  <c r="AX558" i="9"/>
  <c r="DO558" i="9" s="1"/>
  <c r="BC558" i="9"/>
  <c r="DT558" i="9" s="1"/>
  <c r="BM558" i="9"/>
  <c r="ED558" i="9" s="1"/>
  <c r="AS558" i="9"/>
  <c r="DJ558" i="9" s="1"/>
  <c r="BL558" i="9"/>
  <c r="EC558" i="9" s="1"/>
  <c r="AG558" i="9"/>
  <c r="CX558" i="9" s="1"/>
  <c r="AK558" i="9"/>
  <c r="DB558" i="9" s="1"/>
  <c r="BI558" i="9"/>
  <c r="DZ558" i="9" s="1"/>
  <c r="AM558" i="9"/>
  <c r="DD558" i="9" s="1"/>
  <c r="AW558" i="9"/>
  <c r="DN558" i="9" s="1"/>
  <c r="AP558" i="9"/>
  <c r="DG558" i="9" s="1"/>
  <c r="AL558" i="9"/>
  <c r="DC558" i="9" s="1"/>
  <c r="BJ558" i="9"/>
  <c r="EA558" i="9" s="1"/>
  <c r="Z558" i="9"/>
  <c r="CQ558" i="9" s="1"/>
  <c r="BA558" i="9"/>
  <c r="DR558" i="9" s="1"/>
  <c r="BG558" i="9"/>
  <c r="DX558" i="9" s="1"/>
  <c r="AT558" i="9"/>
  <c r="DK558" i="9" s="1"/>
  <c r="BK558" i="9"/>
  <c r="EB558" i="9" s="1"/>
  <c r="BD558" i="9"/>
  <c r="DU558" i="9" s="1"/>
  <c r="AZ558" i="9"/>
  <c r="DQ558" i="9" s="1"/>
  <c r="BB558" i="9"/>
  <c r="DS558" i="9" s="1"/>
  <c r="W558" i="9"/>
  <c r="CN558" i="9" s="1"/>
  <c r="BR558" i="9"/>
  <c r="EI558" i="9" s="1"/>
  <c r="AV558" i="9"/>
  <c r="DM558" i="9" s="1"/>
  <c r="AI558" i="9"/>
  <c r="CZ558" i="9" s="1"/>
  <c r="AD558" i="9"/>
  <c r="CU558" i="9" s="1"/>
  <c r="V558" i="9"/>
  <c r="CM558" i="9" s="1"/>
  <c r="AN558" i="9"/>
  <c r="DE558" i="9" s="1"/>
  <c r="AE251" i="9"/>
  <c r="CV251" i="9" s="1"/>
  <c r="K251" i="9"/>
  <c r="W251" i="9"/>
  <c r="CN251" i="9" s="1"/>
  <c r="AM251" i="9"/>
  <c r="DD251" i="9" s="1"/>
  <c r="AG251" i="9"/>
  <c r="CX251" i="9" s="1"/>
  <c r="AA253" i="9"/>
  <c r="CR253" i="9" s="1"/>
  <c r="BP253" i="9"/>
  <c r="EG253" i="9" s="1"/>
  <c r="AO253" i="9"/>
  <c r="DF253" i="9" s="1"/>
  <c r="BO253" i="9"/>
  <c r="EF253" i="9" s="1"/>
  <c r="BL253" i="9"/>
  <c r="EC253" i="9" s="1"/>
  <c r="BR253" i="9"/>
  <c r="EI253" i="9" s="1"/>
  <c r="BH505" i="9"/>
  <c r="DY505" i="9" s="1"/>
  <c r="AF505" i="9"/>
  <c r="CW505" i="9" s="1"/>
  <c r="AG505" i="9"/>
  <c r="CX505" i="9" s="1"/>
  <c r="BB505" i="9"/>
  <c r="DS505" i="9" s="1"/>
  <c r="V505" i="9"/>
  <c r="CM505" i="9" s="1"/>
  <c r="X505" i="9"/>
  <c r="CO505" i="9" s="1"/>
  <c r="W505" i="9"/>
  <c r="CN505" i="9" s="1"/>
  <c r="Z280" i="9"/>
  <c r="CQ280" i="9" s="1"/>
  <c r="AE280" i="9"/>
  <c r="CV280" i="9" s="1"/>
  <c r="T517" i="9"/>
  <c r="CK517" i="9" s="1"/>
  <c r="R517" i="9"/>
  <c r="CI517" i="9" s="1"/>
  <c r="AY517" i="9"/>
  <c r="DP517" i="9" s="1"/>
  <c r="X517" i="9"/>
  <c r="CO517" i="9" s="1"/>
  <c r="AV517" i="9"/>
  <c r="DM517" i="9" s="1"/>
  <c r="AQ517" i="9"/>
  <c r="DH517" i="9" s="1"/>
  <c r="AO517" i="9"/>
  <c r="DF517" i="9" s="1"/>
  <c r="V517" i="9"/>
  <c r="CM517" i="9" s="1"/>
  <c r="Y599" i="9"/>
  <c r="CP599" i="9" s="1"/>
  <c r="BH599" i="9"/>
  <c r="DY599" i="9" s="1"/>
  <c r="AB599" i="9"/>
  <c r="CS599" i="9" s="1"/>
  <c r="BJ601" i="9"/>
  <c r="EA601" i="9" s="1"/>
  <c r="AE601" i="9"/>
  <c r="CV601" i="9" s="1"/>
  <c r="BE601" i="9"/>
  <c r="DV601" i="9" s="1"/>
  <c r="BP601" i="9"/>
  <c r="EG601" i="9" s="1"/>
  <c r="AO601" i="9"/>
  <c r="DF601" i="9" s="1"/>
  <c r="AR601" i="9"/>
  <c r="DI601" i="9" s="1"/>
  <c r="AW601" i="9"/>
  <c r="DN601" i="9" s="1"/>
  <c r="BH601" i="9"/>
  <c r="DY601" i="9" s="1"/>
  <c r="BB601" i="9"/>
  <c r="DS601" i="9" s="1"/>
  <c r="Y601" i="9"/>
  <c r="CP601" i="9" s="1"/>
  <c r="AZ601" i="9"/>
  <c r="DQ601" i="9" s="1"/>
  <c r="X601" i="9"/>
  <c r="CO601" i="9" s="1"/>
  <c r="AU601" i="9"/>
  <c r="DL601" i="9" s="1"/>
  <c r="K601" i="9"/>
  <c r="CB601" i="9" s="1"/>
  <c r="AD601" i="9"/>
  <c r="CU601" i="9" s="1"/>
  <c r="BG601" i="9"/>
  <c r="DX601" i="9" s="1"/>
  <c r="BK601" i="9"/>
  <c r="EB601" i="9" s="1"/>
  <c r="Z601" i="9"/>
  <c r="CQ601" i="9" s="1"/>
  <c r="BC601" i="9"/>
  <c r="DT601" i="9" s="1"/>
  <c r="AI601" i="9"/>
  <c r="CZ601" i="9" s="1"/>
  <c r="W601" i="9"/>
  <c r="CN601" i="9" s="1"/>
  <c r="AA601" i="9"/>
  <c r="CR601" i="9" s="1"/>
  <c r="AJ601" i="9"/>
  <c r="DA601" i="9" s="1"/>
  <c r="AY601" i="9"/>
  <c r="DP601" i="9" s="1"/>
  <c r="AG601" i="9"/>
  <c r="CX601" i="9" s="1"/>
  <c r="BI601" i="9"/>
  <c r="DZ601" i="9" s="1"/>
  <c r="AB601" i="9"/>
  <c r="CS601" i="9" s="1"/>
  <c r="AP601" i="9"/>
  <c r="DG601" i="9" s="1"/>
  <c r="AH601" i="9"/>
  <c r="CY601" i="9" s="1"/>
  <c r="AF601" i="9"/>
  <c r="CW601" i="9" s="1"/>
  <c r="AS601" i="9"/>
  <c r="DJ601" i="9" s="1"/>
  <c r="V601" i="9"/>
  <c r="CM601" i="9" s="1"/>
  <c r="AC601" i="9"/>
  <c r="CT601" i="9" s="1"/>
  <c r="AQ601" i="9"/>
  <c r="DH601" i="9" s="1"/>
  <c r="AK601" i="9"/>
  <c r="DB601" i="9" s="1"/>
  <c r="AL601" i="9"/>
  <c r="DC601" i="9" s="1"/>
  <c r="BD601" i="9"/>
  <c r="DU601" i="9" s="1"/>
  <c r="BN601" i="9"/>
  <c r="EE601" i="9" s="1"/>
  <c r="BR601" i="9"/>
  <c r="EI601" i="9" s="1"/>
  <c r="BF601" i="9"/>
  <c r="DW601" i="9" s="1"/>
  <c r="U601" i="9"/>
  <c r="CL601" i="9" s="1"/>
  <c r="M601" i="9"/>
  <c r="CD601" i="9" s="1"/>
  <c r="BM601" i="9"/>
  <c r="ED601" i="9" s="1"/>
  <c r="AX601" i="9"/>
  <c r="DO601" i="9" s="1"/>
  <c r="AM601" i="9"/>
  <c r="DD601" i="9" s="1"/>
  <c r="BQ601" i="9"/>
  <c r="EH601" i="9" s="1"/>
  <c r="AN601" i="9"/>
  <c r="DE601" i="9" s="1"/>
  <c r="AT601" i="9"/>
  <c r="DK601" i="9" s="1"/>
  <c r="BL601" i="9"/>
  <c r="EC601" i="9" s="1"/>
  <c r="AV601" i="9"/>
  <c r="DM601" i="9" s="1"/>
  <c r="BO601" i="9"/>
  <c r="EF601" i="9" s="1"/>
  <c r="BA601" i="9"/>
  <c r="DR601" i="9" s="1"/>
  <c r="BK278" i="9"/>
  <c r="EB278" i="9" s="1"/>
  <c r="BA278" i="9"/>
  <c r="DR278" i="9" s="1"/>
  <c r="S605" i="9"/>
  <c r="CJ605" i="9" s="1"/>
  <c r="BM605" i="9"/>
  <c r="ED605" i="9" s="1"/>
  <c r="AG605" i="9"/>
  <c r="CX605" i="9" s="1"/>
  <c r="R605" i="9"/>
  <c r="CI605" i="9" s="1"/>
  <c r="L605" i="9"/>
  <c r="CC605" i="9" s="1"/>
  <c r="M605" i="9"/>
  <c r="CD605" i="9" s="1"/>
  <c r="X605" i="9"/>
  <c r="CO605" i="9" s="1"/>
  <c r="BE605" i="9"/>
  <c r="DV605" i="9" s="1"/>
  <c r="BD605" i="9"/>
  <c r="DU605" i="9" s="1"/>
  <c r="BK605" i="9"/>
  <c r="EB605" i="9" s="1"/>
  <c r="AR605" i="9"/>
  <c r="DI605" i="9" s="1"/>
  <c r="AW605" i="9"/>
  <c r="DN605" i="9" s="1"/>
  <c r="BN605" i="9"/>
  <c r="EE605" i="9" s="1"/>
  <c r="AO605" i="9"/>
  <c r="DF605" i="9" s="1"/>
  <c r="AI605" i="9"/>
  <c r="CZ605" i="9" s="1"/>
  <c r="BC605" i="9"/>
  <c r="DT605" i="9" s="1"/>
  <c r="BO605" i="9"/>
  <c r="EF605" i="9" s="1"/>
  <c r="BL605" i="9"/>
  <c r="EC605" i="9" s="1"/>
  <c r="AT605" i="9"/>
  <c r="DK605" i="9" s="1"/>
  <c r="AB605" i="9"/>
  <c r="CS605" i="9" s="1"/>
  <c r="AP605" i="9"/>
  <c r="DG605" i="9" s="1"/>
  <c r="AY605" i="9"/>
  <c r="DP605" i="9" s="1"/>
  <c r="AF605" i="9"/>
  <c r="CW605" i="9" s="1"/>
  <c r="BR605" i="9"/>
  <c r="EI605" i="9" s="1"/>
  <c r="AM605" i="9"/>
  <c r="DD605" i="9" s="1"/>
  <c r="K605" i="9"/>
  <c r="CB605" i="9" s="1"/>
  <c r="T605" i="9"/>
  <c r="CK605" i="9" s="1"/>
  <c r="BI605" i="9"/>
  <c r="DZ605" i="9" s="1"/>
  <c r="V605" i="9"/>
  <c r="CM605" i="9" s="1"/>
  <c r="AS605" i="9"/>
  <c r="DJ605" i="9" s="1"/>
  <c r="AJ605" i="9"/>
  <c r="DA605" i="9" s="1"/>
  <c r="AA605" i="9"/>
  <c r="CR605" i="9" s="1"/>
  <c r="N605" i="9"/>
  <c r="CE605" i="9" s="1"/>
  <c r="AH605" i="9"/>
  <c r="CY605" i="9" s="1"/>
  <c r="BQ605" i="9"/>
  <c r="EH605" i="9" s="1"/>
  <c r="P605" i="9"/>
  <c r="CG605" i="9" s="1"/>
  <c r="AQ605" i="9"/>
  <c r="DH605" i="9" s="1"/>
  <c r="AL605" i="9"/>
  <c r="DC605" i="9" s="1"/>
  <c r="Y605" i="9"/>
  <c r="CP605" i="9" s="1"/>
  <c r="AC605" i="9"/>
  <c r="CT605" i="9" s="1"/>
  <c r="AK605" i="9"/>
  <c r="DB605" i="9" s="1"/>
  <c r="AU605" i="9"/>
  <c r="DL605" i="9" s="1"/>
  <c r="AN605" i="9"/>
  <c r="DE605" i="9" s="1"/>
  <c r="BF605" i="9"/>
  <c r="DW605" i="9" s="1"/>
  <c r="AX605" i="9"/>
  <c r="DO605" i="9" s="1"/>
  <c r="AZ605" i="9"/>
  <c r="DQ605" i="9" s="1"/>
  <c r="AV605" i="9"/>
  <c r="DM605" i="9" s="1"/>
  <c r="AE605" i="9"/>
  <c r="CV605" i="9" s="1"/>
  <c r="BG605" i="9"/>
  <c r="DX605" i="9" s="1"/>
  <c r="U605" i="9"/>
  <c r="CL605" i="9" s="1"/>
  <c r="AD605" i="9"/>
  <c r="CU605" i="9" s="1"/>
  <c r="W605" i="9"/>
  <c r="CN605" i="9" s="1"/>
  <c r="Z605" i="9"/>
  <c r="CQ605" i="9" s="1"/>
  <c r="BH605" i="9"/>
  <c r="DY605" i="9" s="1"/>
  <c r="BJ605" i="9"/>
  <c r="EA605" i="9" s="1"/>
  <c r="BP605" i="9"/>
  <c r="EG605" i="9" s="1"/>
  <c r="BA605" i="9"/>
  <c r="DR605" i="9" s="1"/>
  <c r="BB605" i="9"/>
  <c r="DS605" i="9" s="1"/>
  <c r="BQ602" i="9"/>
  <c r="EH602" i="9" s="1"/>
  <c r="AQ602" i="9"/>
  <c r="DH602" i="9" s="1"/>
  <c r="AI602" i="9"/>
  <c r="CZ602" i="9" s="1"/>
  <c r="BE602" i="9"/>
  <c r="DV602" i="9" s="1"/>
  <c r="BL482" i="9"/>
  <c r="EC482" i="9" s="1"/>
  <c r="O482" i="9"/>
  <c r="CF482" i="9" s="1"/>
  <c r="AZ482" i="9"/>
  <c r="DQ482" i="9" s="1"/>
  <c r="AP482" i="9"/>
  <c r="DG482" i="9" s="1"/>
  <c r="AL482" i="9"/>
  <c r="DC482" i="9" s="1"/>
  <c r="BK482" i="9"/>
  <c r="EB482" i="9" s="1"/>
  <c r="BG482" i="9"/>
  <c r="DX482" i="9" s="1"/>
  <c r="AC482" i="9"/>
  <c r="CT482" i="9" s="1"/>
  <c r="BQ488" i="9"/>
  <c r="EH488" i="9" s="1"/>
  <c r="AQ488" i="9"/>
  <c r="DH488" i="9" s="1"/>
  <c r="AY488" i="9"/>
  <c r="DP488" i="9" s="1"/>
  <c r="AC488" i="9"/>
  <c r="CT488" i="9" s="1"/>
  <c r="AM488" i="9"/>
  <c r="DD488" i="9" s="1"/>
  <c r="BR488" i="9"/>
  <c r="EI488" i="9" s="1"/>
  <c r="AF488" i="9"/>
  <c r="CW488" i="9" s="1"/>
  <c r="M612" i="9"/>
  <c r="CD612" i="9" s="1"/>
  <c r="BO612" i="9"/>
  <c r="EF612" i="9" s="1"/>
  <c r="BR612" i="9"/>
  <c r="EI612" i="9" s="1"/>
  <c r="AR612" i="9"/>
  <c r="DI612" i="9" s="1"/>
  <c r="BC612" i="9"/>
  <c r="DT612" i="9" s="1"/>
  <c r="AZ612" i="9"/>
  <c r="DQ612" i="9" s="1"/>
  <c r="AV612" i="9"/>
  <c r="DM612" i="9" s="1"/>
  <c r="BN612" i="9"/>
  <c r="EE612" i="9" s="1"/>
  <c r="BE612" i="9"/>
  <c r="DV612" i="9" s="1"/>
  <c r="AX612" i="9"/>
  <c r="DO612" i="9" s="1"/>
  <c r="BP612" i="9"/>
  <c r="EG612" i="9" s="1"/>
  <c r="AN612" i="9"/>
  <c r="DE612" i="9" s="1"/>
  <c r="BH612" i="9"/>
  <c r="DY612" i="9" s="1"/>
  <c r="BF612" i="9"/>
  <c r="DW612" i="9" s="1"/>
  <c r="AT612" i="9"/>
  <c r="DK612" i="9" s="1"/>
  <c r="BL612" i="9"/>
  <c r="EC612" i="9" s="1"/>
  <c r="Z612" i="9"/>
  <c r="CQ612" i="9" s="1"/>
  <c r="Q612" i="9"/>
  <c r="CH612" i="9" s="1"/>
  <c r="S612" i="9"/>
  <c r="CJ612" i="9" s="1"/>
  <c r="O612" i="9"/>
  <c r="CF612" i="9" s="1"/>
  <c r="T612" i="9"/>
  <c r="CK612" i="9" s="1"/>
  <c r="K612" i="9"/>
  <c r="BK612" i="9"/>
  <c r="EB612" i="9" s="1"/>
  <c r="BQ612" i="9"/>
  <c r="EH612" i="9" s="1"/>
  <c r="AB612" i="9"/>
  <c r="CS612" i="9" s="1"/>
  <c r="AJ612" i="9"/>
  <c r="DA612" i="9" s="1"/>
  <c r="AA612" i="9"/>
  <c r="CR612" i="9" s="1"/>
  <c r="AK612" i="9"/>
  <c r="DB612" i="9" s="1"/>
  <c r="AF612" i="9"/>
  <c r="CW612" i="9" s="1"/>
  <c r="AM612" i="9"/>
  <c r="DD612" i="9" s="1"/>
  <c r="AL612" i="9"/>
  <c r="DC612" i="9" s="1"/>
  <c r="AS612" i="9"/>
  <c r="DJ612" i="9" s="1"/>
  <c r="AY612" i="9"/>
  <c r="DP612" i="9" s="1"/>
  <c r="AP612" i="9"/>
  <c r="DG612" i="9" s="1"/>
  <c r="AH612" i="9"/>
  <c r="CY612" i="9" s="1"/>
  <c r="V612" i="9"/>
  <c r="CM612" i="9" s="1"/>
  <c r="BI612" i="9"/>
  <c r="DZ612" i="9" s="1"/>
  <c r="AG612" i="9"/>
  <c r="CX612" i="9" s="1"/>
  <c r="AQ612" i="9"/>
  <c r="DH612" i="9" s="1"/>
  <c r="W612" i="9"/>
  <c r="CN612" i="9" s="1"/>
  <c r="BA612" i="9"/>
  <c r="DR612" i="9" s="1"/>
  <c r="AU612" i="9"/>
  <c r="DL612" i="9" s="1"/>
  <c r="BJ612" i="9"/>
  <c r="EA612" i="9" s="1"/>
  <c r="AE612" i="9"/>
  <c r="CV612" i="9" s="1"/>
  <c r="AO612" i="9"/>
  <c r="DF612" i="9" s="1"/>
  <c r="AW612" i="9"/>
  <c r="DN612" i="9" s="1"/>
  <c r="BB612" i="9"/>
  <c r="DS612" i="9" s="1"/>
  <c r="X612" i="9"/>
  <c r="CO612" i="9" s="1"/>
  <c r="Y612" i="9"/>
  <c r="CP612" i="9" s="1"/>
  <c r="AI612" i="9"/>
  <c r="CZ612" i="9" s="1"/>
  <c r="BD612" i="9"/>
  <c r="DU612" i="9" s="1"/>
  <c r="AD612" i="9"/>
  <c r="CU612" i="9" s="1"/>
  <c r="BG612" i="9"/>
  <c r="DX612" i="9" s="1"/>
  <c r="BM612" i="9"/>
  <c r="ED612" i="9" s="1"/>
  <c r="U612" i="9"/>
  <c r="CL612" i="9" s="1"/>
  <c r="AC612" i="9"/>
  <c r="CT612" i="9" s="1"/>
  <c r="L603" i="9"/>
  <c r="CC603" i="9" s="1"/>
  <c r="T603" i="9"/>
  <c r="CK603" i="9" s="1"/>
  <c r="BA603" i="9"/>
  <c r="DR603" i="9" s="1"/>
  <c r="BM603" i="9"/>
  <c r="ED603" i="9" s="1"/>
  <c r="AT603" i="9"/>
  <c r="DK603" i="9" s="1"/>
  <c r="AR603" i="9"/>
  <c r="DI603" i="9" s="1"/>
  <c r="AL603" i="9"/>
  <c r="DC603" i="9" s="1"/>
  <c r="AQ603" i="9"/>
  <c r="DH603" i="9" s="1"/>
  <c r="AF487" i="9"/>
  <c r="CW487" i="9" s="1"/>
  <c r="AU487" i="9"/>
  <c r="DL487" i="9" s="1"/>
  <c r="AI487" i="9"/>
  <c r="CZ487" i="9" s="1"/>
  <c r="BL487" i="9"/>
  <c r="EC487" i="9" s="1"/>
  <c r="BO487" i="9"/>
  <c r="EF487" i="9" s="1"/>
  <c r="BD487" i="9"/>
  <c r="DU487" i="9" s="1"/>
  <c r="AU600" i="9"/>
  <c r="DL600" i="9" s="1"/>
  <c r="BO600" i="9"/>
  <c r="EF600" i="9" s="1"/>
  <c r="AB600" i="9"/>
  <c r="CS600" i="9" s="1"/>
  <c r="AS600" i="9"/>
  <c r="DJ600" i="9" s="1"/>
  <c r="AC600" i="9"/>
  <c r="CT600" i="9" s="1"/>
  <c r="V600" i="9"/>
  <c r="CM600" i="9" s="1"/>
  <c r="BQ600" i="9"/>
  <c r="EH600" i="9" s="1"/>
  <c r="BH600" i="9"/>
  <c r="DY600" i="9" s="1"/>
  <c r="O600" i="9"/>
  <c r="CF600" i="9" s="1"/>
  <c r="BL600" i="9"/>
  <c r="EC600" i="9" s="1"/>
  <c r="AI600" i="9"/>
  <c r="CZ600" i="9" s="1"/>
  <c r="Z600" i="9"/>
  <c r="CQ600" i="9" s="1"/>
  <c r="AO600" i="9"/>
  <c r="DF600" i="9" s="1"/>
  <c r="K600" i="9"/>
  <c r="CB600" i="9" s="1"/>
  <c r="Y600" i="9"/>
  <c r="CP600" i="9" s="1"/>
  <c r="AW600" i="9"/>
  <c r="DN600" i="9" s="1"/>
  <c r="AA613" i="9"/>
  <c r="CR613" i="9" s="1"/>
  <c r="BF613" i="9"/>
  <c r="DW613" i="9" s="1"/>
  <c r="AG613" i="9"/>
  <c r="CX613" i="9" s="1"/>
  <c r="BK613" i="9"/>
  <c r="EB613" i="9" s="1"/>
  <c r="AQ607" i="9"/>
  <c r="DH607" i="9" s="1"/>
  <c r="AS607" i="9"/>
  <c r="DJ607" i="9" s="1"/>
  <c r="AC607" i="9"/>
  <c r="CT607" i="9" s="1"/>
  <c r="AK607" i="9"/>
  <c r="DB607" i="9" s="1"/>
  <c r="AY607" i="9"/>
  <c r="DP607" i="9" s="1"/>
  <c r="V607" i="9"/>
  <c r="CM607" i="9" s="1"/>
  <c r="AB607" i="9"/>
  <c r="CS607" i="9" s="1"/>
  <c r="AF607" i="9"/>
  <c r="CW607" i="9" s="1"/>
  <c r="BI607" i="9"/>
  <c r="DZ607" i="9" s="1"/>
  <c r="AV607" i="9"/>
  <c r="DM607" i="9" s="1"/>
  <c r="BR607" i="9"/>
  <c r="EI607" i="9" s="1"/>
  <c r="AU607" i="9"/>
  <c r="DL607" i="9" s="1"/>
  <c r="W607" i="9"/>
  <c r="CN607" i="9" s="1"/>
  <c r="BE607" i="9"/>
  <c r="DV607" i="9" s="1"/>
  <c r="AN607" i="9"/>
  <c r="DE607" i="9" s="1"/>
  <c r="BF607" i="9"/>
  <c r="DW607" i="9" s="1"/>
  <c r="AT607" i="9"/>
  <c r="DK607" i="9" s="1"/>
  <c r="AW607" i="9"/>
  <c r="DN607" i="9" s="1"/>
  <c r="X607" i="9"/>
  <c r="CO607" i="9" s="1"/>
  <c r="AD607" i="9"/>
  <c r="CU607" i="9" s="1"/>
  <c r="AE607" i="9"/>
  <c r="CV607" i="9" s="1"/>
  <c r="BD607" i="9"/>
  <c r="DU607" i="9" s="1"/>
  <c r="U607" i="9"/>
  <c r="CL607" i="9" s="1"/>
  <c r="BJ607" i="9"/>
  <c r="EA607" i="9" s="1"/>
  <c r="BL607" i="9"/>
  <c r="EC607" i="9" s="1"/>
  <c r="AI607" i="9"/>
  <c r="CZ607" i="9" s="1"/>
  <c r="BA607" i="9"/>
  <c r="DR607" i="9" s="1"/>
  <c r="BP607" i="9"/>
  <c r="EG607" i="9" s="1"/>
  <c r="BG607" i="9"/>
  <c r="DX607" i="9" s="1"/>
  <c r="Z607" i="9"/>
  <c r="CQ607" i="9" s="1"/>
  <c r="BB607" i="9"/>
  <c r="DS607" i="9" s="1"/>
  <c r="AO607" i="9"/>
  <c r="DF607" i="9" s="1"/>
  <c r="BN607" i="9"/>
  <c r="EE607" i="9" s="1"/>
  <c r="Y607" i="9"/>
  <c r="CP607" i="9" s="1"/>
  <c r="AR607" i="9"/>
  <c r="DI607" i="9" s="1"/>
  <c r="BH607" i="9"/>
  <c r="DY607" i="9" s="1"/>
  <c r="BC607" i="9"/>
  <c r="DT607" i="9" s="1"/>
  <c r="BO607" i="9"/>
  <c r="EF607" i="9" s="1"/>
  <c r="AX607" i="9"/>
  <c r="DO607" i="9" s="1"/>
  <c r="AZ607" i="9"/>
  <c r="DQ607" i="9" s="1"/>
  <c r="BK607" i="9"/>
  <c r="EB607" i="9" s="1"/>
  <c r="AH607" i="9"/>
  <c r="CY607" i="9" s="1"/>
  <c r="AL607" i="9"/>
  <c r="DC607" i="9" s="1"/>
  <c r="BQ607" i="9"/>
  <c r="EH607" i="9" s="1"/>
  <c r="BM607" i="9"/>
  <c r="ED607" i="9" s="1"/>
  <c r="N607" i="9"/>
  <c r="CE607" i="9" s="1"/>
  <c r="K607" i="9"/>
  <c r="AM607" i="9"/>
  <c r="DD607" i="9" s="1"/>
  <c r="L607" i="9"/>
  <c r="CC607" i="9" s="1"/>
  <c r="AP607" i="9"/>
  <c r="DG607" i="9" s="1"/>
  <c r="AG607" i="9"/>
  <c r="CX607" i="9" s="1"/>
  <c r="AJ607" i="9"/>
  <c r="DA607" i="9" s="1"/>
  <c r="AA607" i="9"/>
  <c r="CR607" i="9" s="1"/>
  <c r="AE398" i="9"/>
  <c r="CV398" i="9" s="1"/>
  <c r="AC398" i="9"/>
  <c r="CT398" i="9" s="1"/>
  <c r="AB256" i="9"/>
  <c r="CS256" i="9" s="1"/>
  <c r="Q256" i="9"/>
  <c r="CH256" i="9" s="1"/>
  <c r="AU246" i="9"/>
  <c r="DL246" i="9" s="1"/>
  <c r="AM246" i="9"/>
  <c r="DD246" i="9" s="1"/>
  <c r="AE243" i="9"/>
  <c r="CV243" i="9" s="1"/>
  <c r="AJ243" i="9"/>
  <c r="DA243" i="9" s="1"/>
  <c r="BA243" i="9"/>
  <c r="DR243" i="9" s="1"/>
  <c r="BB243" i="9"/>
  <c r="DS243" i="9" s="1"/>
  <c r="AI243" i="9"/>
  <c r="CZ243" i="9" s="1"/>
  <c r="Z243" i="9"/>
  <c r="CQ243" i="9" s="1"/>
  <c r="X243" i="9"/>
  <c r="CO243" i="9" s="1"/>
  <c r="AG243" i="9"/>
  <c r="CX243" i="9" s="1"/>
  <c r="AO243" i="9"/>
  <c r="DF243" i="9" s="1"/>
  <c r="N243" i="9"/>
  <c r="CE243" i="9" s="1"/>
  <c r="AW243" i="9"/>
  <c r="DN243" i="9" s="1"/>
  <c r="BD243" i="9"/>
  <c r="DU243" i="9" s="1"/>
  <c r="AM243" i="9"/>
  <c r="DD243" i="9" s="1"/>
  <c r="BQ243" i="9"/>
  <c r="EH243" i="9" s="1"/>
  <c r="Q361" i="9"/>
  <c r="CH361" i="9" s="1"/>
  <c r="AP361" i="9"/>
  <c r="DG361" i="9" s="1"/>
  <c r="AN361" i="9"/>
  <c r="DE361" i="9" s="1"/>
  <c r="AE361" i="9"/>
  <c r="CV361" i="9" s="1"/>
  <c r="AL361" i="9"/>
  <c r="DC361" i="9" s="1"/>
  <c r="BB361" i="9"/>
  <c r="DS361" i="9" s="1"/>
  <c r="BC361" i="9"/>
  <c r="DT361" i="9" s="1"/>
  <c r="BE361" i="9"/>
  <c r="DV361" i="9" s="1"/>
  <c r="AD361" i="9"/>
  <c r="CU361" i="9" s="1"/>
  <c r="BK361" i="9"/>
  <c r="EB361" i="9" s="1"/>
  <c r="BF361" i="9"/>
  <c r="DW361" i="9" s="1"/>
  <c r="AH361" i="9"/>
  <c r="CY361" i="9" s="1"/>
  <c r="Y361" i="9"/>
  <c r="CP361" i="9" s="1"/>
  <c r="AU361" i="9"/>
  <c r="DL361" i="9" s="1"/>
  <c r="AG361" i="9"/>
  <c r="CX361" i="9" s="1"/>
  <c r="AZ361" i="9"/>
  <c r="DQ361" i="9" s="1"/>
  <c r="AX361" i="9"/>
  <c r="DO361" i="9" s="1"/>
  <c r="BP361" i="9"/>
  <c r="EG361" i="9" s="1"/>
  <c r="AM361" i="9"/>
  <c r="DD361" i="9" s="1"/>
  <c r="AO361" i="9"/>
  <c r="DF361" i="9" s="1"/>
  <c r="T361" i="9"/>
  <c r="CK361" i="9" s="1"/>
  <c r="W361" i="9"/>
  <c r="CN361" i="9" s="1"/>
  <c r="BR361" i="9"/>
  <c r="EI361" i="9" s="1"/>
  <c r="U361" i="9"/>
  <c r="CL361" i="9" s="1"/>
  <c r="BH361" i="9"/>
  <c r="DY361" i="9" s="1"/>
  <c r="AK361" i="9"/>
  <c r="DB361" i="9" s="1"/>
  <c r="V361" i="9"/>
  <c r="CM361" i="9" s="1"/>
  <c r="AW361" i="9"/>
  <c r="DN361" i="9" s="1"/>
  <c r="BN361" i="9"/>
  <c r="EE361" i="9" s="1"/>
  <c r="BD361" i="9"/>
  <c r="DU361" i="9" s="1"/>
  <c r="S361" i="9"/>
  <c r="CJ361" i="9" s="1"/>
  <c r="R361" i="9"/>
  <c r="CI361" i="9" s="1"/>
  <c r="AT361" i="9"/>
  <c r="DK361" i="9" s="1"/>
  <c r="BJ361" i="9"/>
  <c r="EA361" i="9" s="1"/>
  <c r="AR361" i="9"/>
  <c r="DI361" i="9" s="1"/>
  <c r="AB361" i="9"/>
  <c r="CS361" i="9" s="1"/>
  <c r="AY361" i="9"/>
  <c r="DP361" i="9" s="1"/>
  <c r="BG361" i="9"/>
  <c r="DX361" i="9" s="1"/>
  <c r="BM361" i="9"/>
  <c r="ED361" i="9" s="1"/>
  <c r="K361" i="9"/>
  <c r="CB361" i="9" s="1"/>
  <c r="AQ361" i="9"/>
  <c r="DH361" i="9" s="1"/>
  <c r="O662" i="9"/>
  <c r="CF662" i="9" s="1"/>
  <c r="Z662" i="9"/>
  <c r="CQ662" i="9" s="1"/>
  <c r="AN662" i="9"/>
  <c r="DE662" i="9" s="1"/>
  <c r="AQ662" i="9"/>
  <c r="DH662" i="9" s="1"/>
  <c r="T662" i="9"/>
  <c r="CK662" i="9" s="1"/>
  <c r="BD662" i="9"/>
  <c r="DU662" i="9" s="1"/>
  <c r="AB662" i="9"/>
  <c r="CS662" i="9" s="1"/>
  <c r="AR662" i="9"/>
  <c r="DI662" i="9" s="1"/>
  <c r="BF646" i="9"/>
  <c r="DW646" i="9" s="1"/>
  <c r="AU646" i="9"/>
  <c r="DL646" i="9" s="1"/>
  <c r="AY646" i="9"/>
  <c r="DP646" i="9" s="1"/>
  <c r="BG646" i="9"/>
  <c r="DX646" i="9" s="1"/>
  <c r="AW646" i="9"/>
  <c r="DN646" i="9" s="1"/>
  <c r="AN646" i="9"/>
  <c r="DE646" i="9" s="1"/>
  <c r="AZ646" i="9"/>
  <c r="DQ646" i="9" s="1"/>
  <c r="X646" i="9"/>
  <c r="CO646" i="9" s="1"/>
  <c r="BI646" i="9"/>
  <c r="DZ646" i="9" s="1"/>
  <c r="AS646" i="9"/>
  <c r="DJ646" i="9" s="1"/>
  <c r="AO646" i="9"/>
  <c r="DF646" i="9" s="1"/>
  <c r="AK646" i="9"/>
  <c r="DB646" i="9" s="1"/>
  <c r="Z550" i="9"/>
  <c r="CQ550" i="9" s="1"/>
  <c r="AP550" i="9"/>
  <c r="DG550" i="9" s="1"/>
  <c r="BD550" i="9"/>
  <c r="DU550" i="9" s="1"/>
  <c r="AA550" i="9"/>
  <c r="CR550" i="9" s="1"/>
  <c r="AB550" i="9"/>
  <c r="CS550" i="9" s="1"/>
  <c r="BM550" i="9"/>
  <c r="ED550" i="9" s="1"/>
  <c r="BJ550" i="9"/>
  <c r="EA550" i="9" s="1"/>
  <c r="AZ550" i="9"/>
  <c r="DQ550" i="9" s="1"/>
  <c r="AI550" i="9"/>
  <c r="CZ550" i="9" s="1"/>
  <c r="BE550" i="9"/>
  <c r="DV550" i="9" s="1"/>
  <c r="AM550" i="9"/>
  <c r="DD550" i="9" s="1"/>
  <c r="AE550" i="9"/>
  <c r="CV550" i="9" s="1"/>
  <c r="BK550" i="9"/>
  <c r="EB550" i="9" s="1"/>
  <c r="AD550" i="9"/>
  <c r="CU550" i="9" s="1"/>
  <c r="Y550" i="9"/>
  <c r="CP550" i="9" s="1"/>
  <c r="BG550" i="9"/>
  <c r="DX550" i="9" s="1"/>
  <c r="AK550" i="9"/>
  <c r="DB550" i="9" s="1"/>
  <c r="AR550" i="9"/>
  <c r="DI550" i="9" s="1"/>
  <c r="AF550" i="9"/>
  <c r="CW550" i="9" s="1"/>
  <c r="BN550" i="9"/>
  <c r="EE550" i="9" s="1"/>
  <c r="U550" i="9"/>
  <c r="CL550" i="9" s="1"/>
  <c r="AU550" i="9"/>
  <c r="DL550" i="9" s="1"/>
  <c r="BO550" i="9"/>
  <c r="EF550" i="9" s="1"/>
  <c r="AS550" i="9"/>
  <c r="DJ550" i="9" s="1"/>
  <c r="BH550" i="9"/>
  <c r="DY550" i="9" s="1"/>
  <c r="BP550" i="9"/>
  <c r="EG550" i="9" s="1"/>
  <c r="X550" i="9"/>
  <c r="CO550" i="9" s="1"/>
  <c r="BQ550" i="9"/>
  <c r="EH550" i="9" s="1"/>
  <c r="BC550" i="9"/>
  <c r="DT550" i="9" s="1"/>
  <c r="AN550" i="9"/>
  <c r="DE550" i="9" s="1"/>
  <c r="AW550" i="9"/>
  <c r="DN550" i="9" s="1"/>
  <c r="AL550" i="9"/>
  <c r="DC550" i="9" s="1"/>
  <c r="BF550" i="9"/>
  <c r="DW550" i="9" s="1"/>
  <c r="AX550" i="9"/>
  <c r="DO550" i="9" s="1"/>
  <c r="AY550" i="9"/>
  <c r="DP550" i="9" s="1"/>
  <c r="AQ550" i="9"/>
  <c r="DH550" i="9" s="1"/>
  <c r="AT550" i="9"/>
  <c r="DK550" i="9" s="1"/>
  <c r="BL550" i="9"/>
  <c r="EC550" i="9" s="1"/>
  <c r="AG550" i="9"/>
  <c r="CX550" i="9" s="1"/>
  <c r="BI550" i="9"/>
  <c r="DZ550" i="9" s="1"/>
  <c r="AO550" i="9"/>
  <c r="DF550" i="9" s="1"/>
  <c r="AJ550" i="9"/>
  <c r="DA550" i="9" s="1"/>
  <c r="BA550" i="9"/>
  <c r="DR550" i="9" s="1"/>
  <c r="K550" i="9"/>
  <c r="CB550" i="9" s="1"/>
  <c r="AC550" i="9"/>
  <c r="CT550" i="9" s="1"/>
  <c r="BR550" i="9"/>
  <c r="EI550" i="9" s="1"/>
  <c r="AH550" i="9"/>
  <c r="CY550" i="9" s="1"/>
  <c r="V550" i="9"/>
  <c r="CM550" i="9" s="1"/>
  <c r="AV550" i="9"/>
  <c r="DM550" i="9" s="1"/>
  <c r="W550" i="9"/>
  <c r="CN550" i="9" s="1"/>
  <c r="BB550" i="9"/>
  <c r="DS550" i="9" s="1"/>
  <c r="AN561" i="9"/>
  <c r="DE561" i="9" s="1"/>
  <c r="AO561" i="9"/>
  <c r="DF561" i="9" s="1"/>
  <c r="BR561" i="9"/>
  <c r="EI561" i="9" s="1"/>
  <c r="BN561" i="9"/>
  <c r="EE561" i="9" s="1"/>
  <c r="V561" i="9"/>
  <c r="CM561" i="9" s="1"/>
  <c r="BM561" i="9"/>
  <c r="ED561" i="9" s="1"/>
  <c r="BL561" i="9"/>
  <c r="EC561" i="9" s="1"/>
  <c r="U561" i="9"/>
  <c r="CL561" i="9" s="1"/>
  <c r="AB561" i="9"/>
  <c r="CS561" i="9" s="1"/>
  <c r="AR561" i="9"/>
  <c r="DI561" i="9" s="1"/>
  <c r="BP561" i="9"/>
  <c r="EG561" i="9" s="1"/>
  <c r="AJ561" i="9"/>
  <c r="DA561" i="9" s="1"/>
  <c r="AW561" i="9"/>
  <c r="DN561" i="9" s="1"/>
  <c r="BH561" i="9"/>
  <c r="DY561" i="9" s="1"/>
  <c r="AP561" i="9"/>
  <c r="DG561" i="9" s="1"/>
  <c r="AZ561" i="9"/>
  <c r="DQ561" i="9" s="1"/>
  <c r="AQ561" i="9"/>
  <c r="DH561" i="9" s="1"/>
  <c r="AA561" i="9"/>
  <c r="CR561" i="9" s="1"/>
  <c r="AD561" i="9"/>
  <c r="CU561" i="9" s="1"/>
  <c r="AC561" i="9"/>
  <c r="CT561" i="9" s="1"/>
  <c r="AE561" i="9"/>
  <c r="CV561" i="9" s="1"/>
  <c r="AM561" i="9"/>
  <c r="DD561" i="9" s="1"/>
  <c r="Z561" i="9"/>
  <c r="CQ561" i="9" s="1"/>
  <c r="X561" i="9"/>
  <c r="CO561" i="9" s="1"/>
  <c r="BD561" i="9"/>
  <c r="DU561" i="9" s="1"/>
  <c r="AX561" i="9"/>
  <c r="DO561" i="9" s="1"/>
  <c r="AY561" i="9"/>
  <c r="DP561" i="9" s="1"/>
  <c r="BE561" i="9"/>
  <c r="DV561" i="9" s="1"/>
  <c r="BA561" i="9"/>
  <c r="DR561" i="9" s="1"/>
  <c r="BJ561" i="9"/>
  <c r="EA561" i="9" s="1"/>
  <c r="AI561" i="9"/>
  <c r="CZ561" i="9" s="1"/>
  <c r="AF561" i="9"/>
  <c r="CW561" i="9" s="1"/>
  <c r="BB561" i="9"/>
  <c r="DS561" i="9" s="1"/>
  <c r="AK561" i="9"/>
  <c r="DB561" i="9" s="1"/>
  <c r="AH561" i="9"/>
  <c r="CY561" i="9" s="1"/>
  <c r="AL561" i="9"/>
  <c r="DC561" i="9" s="1"/>
  <c r="K561" i="9"/>
  <c r="CB561" i="9" s="1"/>
  <c r="AS561" i="9"/>
  <c r="DJ561" i="9" s="1"/>
  <c r="BQ561" i="9"/>
  <c r="EH561" i="9" s="1"/>
  <c r="AU561" i="9"/>
  <c r="DL561" i="9" s="1"/>
  <c r="AT561" i="9"/>
  <c r="DK561" i="9" s="1"/>
  <c r="BC561" i="9"/>
  <c r="DT561" i="9" s="1"/>
  <c r="BK561" i="9"/>
  <c r="EB561" i="9" s="1"/>
  <c r="BG561" i="9"/>
  <c r="DX561" i="9" s="1"/>
  <c r="AG561" i="9"/>
  <c r="CX561" i="9" s="1"/>
  <c r="W561" i="9"/>
  <c r="CN561" i="9" s="1"/>
  <c r="BF561" i="9"/>
  <c r="DW561" i="9" s="1"/>
  <c r="BO561" i="9"/>
  <c r="EF561" i="9" s="1"/>
  <c r="Y561" i="9"/>
  <c r="CP561" i="9" s="1"/>
  <c r="AV561" i="9"/>
  <c r="DM561" i="9" s="1"/>
  <c r="BI561" i="9"/>
  <c r="DZ561" i="9" s="1"/>
  <c r="BJ567" i="9"/>
  <c r="EA567" i="9" s="1"/>
  <c r="AB567" i="9"/>
  <c r="CS567" i="9" s="1"/>
  <c r="AN555" i="9"/>
  <c r="DE555" i="9" s="1"/>
  <c r="BR555" i="9"/>
  <c r="EI555" i="9" s="1"/>
  <c r="AK555" i="9"/>
  <c r="DB555" i="9" s="1"/>
  <c r="BQ555" i="9"/>
  <c r="EH555" i="9" s="1"/>
  <c r="AC555" i="9"/>
  <c r="CT555" i="9" s="1"/>
  <c r="Y555" i="9"/>
  <c r="CP555" i="9" s="1"/>
  <c r="AQ555" i="9"/>
  <c r="DH555" i="9" s="1"/>
  <c r="AV555" i="9"/>
  <c r="DM555" i="9" s="1"/>
  <c r="AL555" i="9"/>
  <c r="DC555" i="9" s="1"/>
  <c r="AY555" i="9"/>
  <c r="DP555" i="9" s="1"/>
  <c r="BG555" i="9"/>
  <c r="DX555" i="9" s="1"/>
  <c r="W555" i="9"/>
  <c r="CN555" i="9" s="1"/>
  <c r="AH555" i="9"/>
  <c r="CY555" i="9" s="1"/>
  <c r="AR555" i="9"/>
  <c r="DI555" i="9" s="1"/>
  <c r="AF555" i="9"/>
  <c r="CW555" i="9" s="1"/>
  <c r="BF555" i="9"/>
  <c r="DW555" i="9" s="1"/>
  <c r="AP555" i="9"/>
  <c r="DG555" i="9" s="1"/>
  <c r="BN555" i="9"/>
  <c r="EE555" i="9" s="1"/>
  <c r="V555" i="9"/>
  <c r="CM555" i="9" s="1"/>
  <c r="AW555" i="9"/>
  <c r="DN555" i="9" s="1"/>
  <c r="BC555" i="9"/>
  <c r="DT555" i="9" s="1"/>
  <c r="AJ555" i="9"/>
  <c r="DA555" i="9" s="1"/>
  <c r="BM555" i="9"/>
  <c r="ED555" i="9" s="1"/>
  <c r="BP555" i="9"/>
  <c r="EG555" i="9" s="1"/>
  <c r="BK555" i="9"/>
  <c r="EB555" i="9" s="1"/>
  <c r="AG555" i="9"/>
  <c r="CX555" i="9" s="1"/>
  <c r="AM555" i="9"/>
  <c r="DD555" i="9" s="1"/>
  <c r="BI555" i="9"/>
  <c r="DZ555" i="9" s="1"/>
  <c r="S555" i="9"/>
  <c r="CJ555" i="9" s="1"/>
  <c r="Q555" i="9"/>
  <c r="CH555" i="9" s="1"/>
  <c r="M555" i="9"/>
  <c r="CD555" i="9" s="1"/>
  <c r="R555" i="9"/>
  <c r="CI555" i="9" s="1"/>
  <c r="L555" i="9"/>
  <c r="CC555" i="9" s="1"/>
  <c r="AT555" i="9"/>
  <c r="DK555" i="9" s="1"/>
  <c r="BA555" i="9"/>
  <c r="DR555" i="9" s="1"/>
  <c r="BO555" i="9"/>
  <c r="EF555" i="9" s="1"/>
  <c r="AD555" i="9"/>
  <c r="CU555" i="9" s="1"/>
  <c r="AO555" i="9"/>
  <c r="DF555" i="9" s="1"/>
  <c r="AA555" i="9"/>
  <c r="CR555" i="9" s="1"/>
  <c r="AB555" i="9"/>
  <c r="CS555" i="9" s="1"/>
  <c r="K555" i="9"/>
  <c r="CB555" i="9" s="1"/>
  <c r="O555" i="9"/>
  <c r="CF555" i="9" s="1"/>
  <c r="AU555" i="9"/>
  <c r="DL555" i="9" s="1"/>
  <c r="AZ555" i="9"/>
  <c r="DQ555" i="9" s="1"/>
  <c r="BH555" i="9"/>
  <c r="DY555" i="9" s="1"/>
  <c r="AS555" i="9"/>
  <c r="DJ555" i="9" s="1"/>
  <c r="AX555" i="9"/>
  <c r="DO555" i="9" s="1"/>
  <c r="Z555" i="9"/>
  <c r="CQ555" i="9" s="1"/>
  <c r="BE555" i="9"/>
  <c r="DV555" i="9" s="1"/>
  <c r="BD555" i="9"/>
  <c r="DU555" i="9" s="1"/>
  <c r="BJ555" i="9"/>
  <c r="EA555" i="9" s="1"/>
  <c r="AI555" i="9"/>
  <c r="CZ555" i="9" s="1"/>
  <c r="X555" i="9"/>
  <c r="CO555" i="9" s="1"/>
  <c r="BL555" i="9"/>
  <c r="EC555" i="9" s="1"/>
  <c r="U555" i="9"/>
  <c r="CL555" i="9" s="1"/>
  <c r="AE555" i="9"/>
  <c r="CV555" i="9" s="1"/>
  <c r="BB555" i="9"/>
  <c r="DS555" i="9" s="1"/>
  <c r="T555" i="9"/>
  <c r="CK555" i="9" s="1"/>
  <c r="S501" i="9"/>
  <c r="CJ501" i="9" s="1"/>
  <c r="AT501" i="9"/>
  <c r="DK501" i="9" s="1"/>
  <c r="BI501" i="9"/>
  <c r="DZ501" i="9" s="1"/>
  <c r="BQ357" i="9"/>
  <c r="EH357" i="9" s="1"/>
  <c r="T357" i="9"/>
  <c r="CK357" i="9" s="1"/>
  <c r="AW357" i="9"/>
  <c r="DN357" i="9" s="1"/>
  <c r="AQ357" i="9"/>
  <c r="DH357" i="9" s="1"/>
  <c r="AM357" i="9"/>
  <c r="DD357" i="9" s="1"/>
  <c r="AL357" i="9"/>
  <c r="DC357" i="9" s="1"/>
  <c r="W357" i="9"/>
  <c r="CN357" i="9" s="1"/>
  <c r="AT357" i="9"/>
  <c r="DK357" i="9" s="1"/>
  <c r="BB364" i="9"/>
  <c r="DS364" i="9" s="1"/>
  <c r="BO364" i="9"/>
  <c r="EF364" i="9" s="1"/>
  <c r="AP364" i="9"/>
  <c r="DG364" i="9" s="1"/>
  <c r="AY364" i="9"/>
  <c r="DP364" i="9" s="1"/>
  <c r="AJ364" i="9"/>
  <c r="DA364" i="9" s="1"/>
  <c r="AB364" i="9"/>
  <c r="CS364" i="9" s="1"/>
  <c r="BH364" i="9"/>
  <c r="DY364" i="9" s="1"/>
  <c r="BK364" i="9"/>
  <c r="EB364" i="9" s="1"/>
  <c r="AH364" i="9"/>
  <c r="CY364" i="9" s="1"/>
  <c r="AR364" i="9"/>
  <c r="DI364" i="9" s="1"/>
  <c r="Q364" i="9"/>
  <c r="CH364" i="9" s="1"/>
  <c r="AZ364" i="9"/>
  <c r="DQ364" i="9" s="1"/>
  <c r="BF364" i="9"/>
  <c r="DW364" i="9" s="1"/>
  <c r="AG364" i="9"/>
  <c r="CX364" i="9" s="1"/>
  <c r="BM364" i="9"/>
  <c r="ED364" i="9" s="1"/>
  <c r="AK364" i="9"/>
  <c r="DB364" i="9" s="1"/>
  <c r="BD364" i="9"/>
  <c r="DU364" i="9" s="1"/>
  <c r="AT364" i="9"/>
  <c r="DK364" i="9" s="1"/>
  <c r="AD364" i="9"/>
  <c r="CU364" i="9" s="1"/>
  <c r="BC364" i="9"/>
  <c r="DT364" i="9" s="1"/>
  <c r="AM364" i="9"/>
  <c r="DD364" i="9" s="1"/>
  <c r="BQ364" i="9"/>
  <c r="EH364" i="9" s="1"/>
  <c r="AC364" i="9"/>
  <c r="CT364" i="9" s="1"/>
  <c r="AE364" i="9"/>
  <c r="CV364" i="9" s="1"/>
  <c r="BA364" i="9"/>
  <c r="DR364" i="9" s="1"/>
  <c r="BR364" i="9"/>
  <c r="EI364" i="9" s="1"/>
  <c r="AL364" i="9"/>
  <c r="DC364" i="9" s="1"/>
  <c r="O366" i="9"/>
  <c r="CF366" i="9" s="1"/>
  <c r="BG366" i="9"/>
  <c r="DX366" i="9" s="1"/>
  <c r="V366" i="9"/>
  <c r="CM366" i="9" s="1"/>
  <c r="BB375" i="9"/>
  <c r="DS375" i="9" s="1"/>
  <c r="BE375" i="9"/>
  <c r="DV375" i="9" s="1"/>
  <c r="AN375" i="9"/>
  <c r="DE375" i="9" s="1"/>
  <c r="L371" i="9"/>
  <c r="CC371" i="9" s="1"/>
  <c r="BA371" i="9"/>
  <c r="DR371" i="9" s="1"/>
  <c r="X371" i="9"/>
  <c r="CO371" i="9" s="1"/>
  <c r="BF371" i="9"/>
  <c r="DW371" i="9" s="1"/>
  <c r="AG371" i="9"/>
  <c r="CX371" i="9" s="1"/>
  <c r="AV371" i="9"/>
  <c r="DM371" i="9" s="1"/>
  <c r="K371" i="9"/>
  <c r="CB371" i="9" s="1"/>
  <c r="BI371" i="9"/>
  <c r="DZ371" i="9" s="1"/>
  <c r="V373" i="9"/>
  <c r="CM373" i="9" s="1"/>
  <c r="BR373" i="9"/>
  <c r="EI373" i="9" s="1"/>
  <c r="BI373" i="9"/>
  <c r="DZ373" i="9" s="1"/>
  <c r="AJ373" i="9"/>
  <c r="DA373" i="9" s="1"/>
  <c r="AP373" i="9"/>
  <c r="DG373" i="9" s="1"/>
  <c r="AO373" i="9"/>
  <c r="DF373" i="9" s="1"/>
  <c r="AD373" i="9"/>
  <c r="CU373" i="9" s="1"/>
  <c r="BC373" i="9"/>
  <c r="DT373" i="9" s="1"/>
  <c r="BE373" i="9"/>
  <c r="DV373" i="9" s="1"/>
  <c r="Y373" i="9"/>
  <c r="CP373" i="9" s="1"/>
  <c r="AG373" i="9"/>
  <c r="CX373" i="9" s="1"/>
  <c r="BG373" i="9"/>
  <c r="DX373" i="9" s="1"/>
  <c r="AS373" i="9"/>
  <c r="DJ373" i="9" s="1"/>
  <c r="M373" i="9"/>
  <c r="CD373" i="9" s="1"/>
  <c r="AI373" i="9"/>
  <c r="CZ373" i="9" s="1"/>
  <c r="AF373" i="9"/>
  <c r="CW373" i="9" s="1"/>
  <c r="BB373" i="9"/>
  <c r="DS373" i="9" s="1"/>
  <c r="BN373" i="9"/>
  <c r="EE373" i="9" s="1"/>
  <c r="BD373" i="9"/>
  <c r="DU373" i="9" s="1"/>
  <c r="AU373" i="9"/>
  <c r="DL373" i="9" s="1"/>
  <c r="AC373" i="9"/>
  <c r="CT373" i="9" s="1"/>
  <c r="AT373" i="9"/>
  <c r="DK373" i="9" s="1"/>
  <c r="BF373" i="9"/>
  <c r="DW373" i="9" s="1"/>
  <c r="BA373" i="9"/>
  <c r="DR373" i="9" s="1"/>
  <c r="AY373" i="9"/>
  <c r="DP373" i="9" s="1"/>
  <c r="AL373" i="9"/>
  <c r="DC373" i="9" s="1"/>
  <c r="AE373" i="9"/>
  <c r="CV373" i="9" s="1"/>
  <c r="U373" i="9"/>
  <c r="CL373" i="9" s="1"/>
  <c r="AX373" i="9"/>
  <c r="DO373" i="9" s="1"/>
  <c r="AA373" i="9"/>
  <c r="CR373" i="9" s="1"/>
  <c r="W373" i="9"/>
  <c r="CN373" i="9" s="1"/>
  <c r="AV373" i="9"/>
  <c r="DM373" i="9" s="1"/>
  <c r="AR373" i="9"/>
  <c r="DI373" i="9" s="1"/>
  <c r="BH373" i="9"/>
  <c r="DY373" i="9" s="1"/>
  <c r="X373" i="9"/>
  <c r="CO373" i="9" s="1"/>
  <c r="BP373" i="9"/>
  <c r="EG373" i="9" s="1"/>
  <c r="Z373" i="9"/>
  <c r="CQ373" i="9" s="1"/>
  <c r="BJ373" i="9"/>
  <c r="EA373" i="9" s="1"/>
  <c r="BL373" i="9"/>
  <c r="EC373" i="9" s="1"/>
  <c r="AN373" i="9"/>
  <c r="DE373" i="9" s="1"/>
  <c r="BQ373" i="9"/>
  <c r="EH373" i="9" s="1"/>
  <c r="BO373" i="9"/>
  <c r="EF373" i="9" s="1"/>
  <c r="AZ373" i="9"/>
  <c r="DQ373" i="9" s="1"/>
  <c r="AM373" i="9"/>
  <c r="DD373" i="9" s="1"/>
  <c r="BM373" i="9"/>
  <c r="ED373" i="9" s="1"/>
  <c r="BK373" i="9"/>
  <c r="EB373" i="9" s="1"/>
  <c r="AH373" i="9"/>
  <c r="CY373" i="9" s="1"/>
  <c r="AK373" i="9"/>
  <c r="DB373" i="9" s="1"/>
  <c r="AW373" i="9"/>
  <c r="DN373" i="9" s="1"/>
  <c r="AQ373" i="9"/>
  <c r="DH373" i="9" s="1"/>
  <c r="AB373" i="9"/>
  <c r="CS373" i="9" s="1"/>
  <c r="N362" i="9"/>
  <c r="CE362" i="9" s="1"/>
  <c r="R362" i="9"/>
  <c r="CI362" i="9" s="1"/>
  <c r="Q362" i="9"/>
  <c r="CH362" i="9" s="1"/>
  <c r="T362" i="9"/>
  <c r="CK362" i="9" s="1"/>
  <c r="K362" i="9"/>
  <c r="S362" i="9"/>
  <c r="CJ362" i="9" s="1"/>
  <c r="L362" i="9"/>
  <c r="CC362" i="9" s="1"/>
  <c r="M362" i="9"/>
  <c r="CD362" i="9" s="1"/>
  <c r="P362" i="9"/>
  <c r="CG362" i="9" s="1"/>
  <c r="BG362" i="9"/>
  <c r="DX362" i="9" s="1"/>
  <c r="AY362" i="9"/>
  <c r="DP362" i="9" s="1"/>
  <c r="BB362" i="9"/>
  <c r="DS362" i="9" s="1"/>
  <c r="V362" i="9"/>
  <c r="CM362" i="9" s="1"/>
  <c r="X362" i="9"/>
  <c r="CO362" i="9" s="1"/>
  <c r="AR362" i="9"/>
  <c r="DI362" i="9" s="1"/>
  <c r="AA362" i="9"/>
  <c r="CR362" i="9" s="1"/>
  <c r="BM362" i="9"/>
  <c r="ED362" i="9" s="1"/>
  <c r="AM362" i="9"/>
  <c r="DD362" i="9" s="1"/>
  <c r="AQ362" i="9"/>
  <c r="DH362" i="9" s="1"/>
  <c r="AW362" i="9"/>
  <c r="DN362" i="9" s="1"/>
  <c r="AJ362" i="9"/>
  <c r="DA362" i="9" s="1"/>
  <c r="Z362" i="9"/>
  <c r="CQ362" i="9" s="1"/>
  <c r="BI362" i="9"/>
  <c r="DZ362" i="9" s="1"/>
  <c r="AF362" i="9"/>
  <c r="CW362" i="9" s="1"/>
  <c r="AK362" i="9"/>
  <c r="DB362" i="9" s="1"/>
  <c r="AT362" i="9"/>
  <c r="DK362" i="9" s="1"/>
  <c r="BK362" i="9"/>
  <c r="EB362" i="9" s="1"/>
  <c r="AB362" i="9"/>
  <c r="CS362" i="9" s="1"/>
  <c r="BC362" i="9"/>
  <c r="DT362" i="9" s="1"/>
  <c r="AO362" i="9"/>
  <c r="DF362" i="9" s="1"/>
  <c r="AP362" i="9"/>
  <c r="DG362" i="9" s="1"/>
  <c r="BF362" i="9"/>
  <c r="DW362" i="9" s="1"/>
  <c r="AN362" i="9"/>
  <c r="DE362" i="9" s="1"/>
  <c r="AS362" i="9"/>
  <c r="DJ362" i="9" s="1"/>
  <c r="AH362" i="9"/>
  <c r="CY362" i="9" s="1"/>
  <c r="AU362" i="9"/>
  <c r="DL362" i="9" s="1"/>
  <c r="BN362" i="9"/>
  <c r="EE362" i="9" s="1"/>
  <c r="BD362" i="9"/>
  <c r="DU362" i="9" s="1"/>
  <c r="W362" i="9"/>
  <c r="CN362" i="9" s="1"/>
  <c r="BL362" i="9"/>
  <c r="EC362" i="9" s="1"/>
  <c r="U362" i="9"/>
  <c r="CL362" i="9" s="1"/>
  <c r="AC362" i="9"/>
  <c r="CT362" i="9" s="1"/>
  <c r="AD362" i="9"/>
  <c r="CU362" i="9" s="1"/>
  <c r="BO362" i="9"/>
  <c r="EF362" i="9" s="1"/>
  <c r="BA362" i="9"/>
  <c r="DR362" i="9" s="1"/>
  <c r="O362" i="9"/>
  <c r="CF362" i="9" s="1"/>
  <c r="AG362" i="9"/>
  <c r="CX362" i="9" s="1"/>
  <c r="Y362" i="9"/>
  <c r="CP362" i="9" s="1"/>
  <c r="AI362" i="9"/>
  <c r="CZ362" i="9" s="1"/>
  <c r="BQ362" i="9"/>
  <c r="EH362" i="9" s="1"/>
  <c r="AL362" i="9"/>
  <c r="DC362" i="9" s="1"/>
  <c r="AZ362" i="9"/>
  <c r="DQ362" i="9" s="1"/>
  <c r="AV362" i="9"/>
  <c r="DM362" i="9" s="1"/>
  <c r="BJ362" i="9"/>
  <c r="EA362" i="9" s="1"/>
  <c r="AE362" i="9"/>
  <c r="CV362" i="9" s="1"/>
  <c r="BR362" i="9"/>
  <c r="EI362" i="9" s="1"/>
  <c r="BH362" i="9"/>
  <c r="DY362" i="9" s="1"/>
  <c r="BE362" i="9"/>
  <c r="DV362" i="9" s="1"/>
  <c r="BP362" i="9"/>
  <c r="EG362" i="9" s="1"/>
  <c r="AX362" i="9"/>
  <c r="DO362" i="9" s="1"/>
  <c r="AH374" i="9"/>
  <c r="CY374" i="9" s="1"/>
  <c r="AL374" i="9"/>
  <c r="DC374" i="9" s="1"/>
  <c r="N365" i="9"/>
  <c r="CE365" i="9" s="1"/>
  <c r="AQ365" i="9"/>
  <c r="DH365" i="9" s="1"/>
  <c r="AI365" i="9"/>
  <c r="CZ365" i="9" s="1"/>
  <c r="AK365" i="9"/>
  <c r="DB365" i="9" s="1"/>
  <c r="AM365" i="9"/>
  <c r="DD365" i="9" s="1"/>
  <c r="BB365" i="9"/>
  <c r="DS365" i="9" s="1"/>
  <c r="AR365" i="9"/>
  <c r="DI365" i="9" s="1"/>
  <c r="K365" i="9"/>
  <c r="CB365" i="9" s="1"/>
  <c r="AO372" i="9"/>
  <c r="DF372" i="9" s="1"/>
  <c r="U372" i="9"/>
  <c r="CL372" i="9" s="1"/>
  <c r="AK372" i="9"/>
  <c r="DB372" i="9" s="1"/>
  <c r="BO372" i="9"/>
  <c r="EF372" i="9" s="1"/>
  <c r="AF372" i="9"/>
  <c r="CW372" i="9" s="1"/>
  <c r="N372" i="9"/>
  <c r="CE372" i="9" s="1"/>
  <c r="Z372" i="9"/>
  <c r="CQ372" i="9" s="1"/>
  <c r="BK372" i="9"/>
  <c r="EB372" i="9" s="1"/>
  <c r="BM372" i="9"/>
  <c r="ED372" i="9" s="1"/>
  <c r="BA372" i="9"/>
  <c r="DR372" i="9" s="1"/>
  <c r="AP372" i="9"/>
  <c r="DG372" i="9" s="1"/>
  <c r="AV372" i="9"/>
  <c r="DM372" i="9" s="1"/>
  <c r="K372" i="9"/>
  <c r="CB372" i="9" s="1"/>
  <c r="AC372" i="9"/>
  <c r="CT372" i="9" s="1"/>
  <c r="M372" i="9"/>
  <c r="CD372" i="9" s="1"/>
  <c r="AD372" i="9"/>
  <c r="CU372" i="9" s="1"/>
  <c r="BD372" i="9"/>
  <c r="DU372" i="9" s="1"/>
  <c r="V372" i="9"/>
  <c r="CM372" i="9" s="1"/>
  <c r="AA372" i="9"/>
  <c r="CR372" i="9" s="1"/>
  <c r="BF372" i="9"/>
  <c r="DW372" i="9" s="1"/>
  <c r="AQ372" i="9"/>
  <c r="DH372" i="9" s="1"/>
  <c r="AE372" i="9"/>
  <c r="CV372" i="9" s="1"/>
  <c r="AU372" i="9"/>
  <c r="DL372" i="9" s="1"/>
  <c r="AL376" i="9"/>
  <c r="DC376" i="9" s="1"/>
  <c r="V376" i="9"/>
  <c r="CM376" i="9" s="1"/>
  <c r="BF265" i="9"/>
  <c r="DW265" i="9" s="1"/>
  <c r="AR265" i="9"/>
  <c r="DI265" i="9" s="1"/>
  <c r="BP265" i="9"/>
  <c r="EG265" i="9" s="1"/>
  <c r="K273" i="9"/>
  <c r="BL273" i="9"/>
  <c r="EC273" i="9" s="1"/>
  <c r="BR273" i="9"/>
  <c r="EI273" i="9" s="1"/>
  <c r="AO273" i="9"/>
  <c r="DF273" i="9" s="1"/>
  <c r="AZ273" i="9"/>
  <c r="DQ273" i="9" s="1"/>
  <c r="BA273" i="9"/>
  <c r="DR273" i="9" s="1"/>
  <c r="AH273" i="9"/>
  <c r="CY273" i="9" s="1"/>
  <c r="BD273" i="9"/>
  <c r="DU273" i="9" s="1"/>
  <c r="BH273" i="9"/>
  <c r="DY273" i="9" s="1"/>
  <c r="BP273" i="9"/>
  <c r="EG273" i="9" s="1"/>
  <c r="AU273" i="9"/>
  <c r="DL273" i="9" s="1"/>
  <c r="AS273" i="9"/>
  <c r="DJ273" i="9" s="1"/>
  <c r="AV273" i="9"/>
  <c r="DM273" i="9" s="1"/>
  <c r="BB273" i="9"/>
  <c r="DS273" i="9" s="1"/>
  <c r="AE273" i="9"/>
  <c r="CV273" i="9" s="1"/>
  <c r="AR273" i="9"/>
  <c r="DI273" i="9" s="1"/>
  <c r="AW273" i="9"/>
  <c r="DN273" i="9" s="1"/>
  <c r="BM273" i="9"/>
  <c r="ED273" i="9" s="1"/>
  <c r="BN273" i="9"/>
  <c r="EE273" i="9" s="1"/>
  <c r="AF273" i="9"/>
  <c r="CW273" i="9" s="1"/>
  <c r="AG273" i="9"/>
  <c r="CX273" i="9" s="1"/>
  <c r="AL273" i="9"/>
  <c r="DC273" i="9" s="1"/>
  <c r="AP273" i="9"/>
  <c r="DG273" i="9" s="1"/>
  <c r="Z273" i="9"/>
  <c r="CQ273" i="9" s="1"/>
  <c r="BF273" i="9"/>
  <c r="DW273" i="9" s="1"/>
  <c r="AC273" i="9"/>
  <c r="CT273" i="9" s="1"/>
  <c r="Y273" i="9"/>
  <c r="CP273" i="9" s="1"/>
  <c r="AB273" i="9"/>
  <c r="CS273" i="9" s="1"/>
  <c r="BO273" i="9"/>
  <c r="EF273" i="9" s="1"/>
  <c r="V273" i="9"/>
  <c r="CM273" i="9" s="1"/>
  <c r="AN273" i="9"/>
  <c r="DE273" i="9" s="1"/>
  <c r="AA273" i="9"/>
  <c r="CR273" i="9" s="1"/>
  <c r="AK273" i="9"/>
  <c r="DB273" i="9" s="1"/>
  <c r="BG273" i="9"/>
  <c r="DX273" i="9" s="1"/>
  <c r="AY273" i="9"/>
  <c r="DP273" i="9" s="1"/>
  <c r="W273" i="9"/>
  <c r="CN273" i="9" s="1"/>
  <c r="AJ273" i="9"/>
  <c r="DA273" i="9" s="1"/>
  <c r="AD273" i="9"/>
  <c r="CU273" i="9" s="1"/>
  <c r="X273" i="9"/>
  <c r="CO273" i="9" s="1"/>
  <c r="AX273" i="9"/>
  <c r="DO273" i="9" s="1"/>
  <c r="AM273" i="9"/>
  <c r="DD273" i="9" s="1"/>
  <c r="S273" i="9"/>
  <c r="CJ273" i="9" s="1"/>
  <c r="L273" i="9"/>
  <c r="CC273" i="9" s="1"/>
  <c r="T273" i="9"/>
  <c r="CK273" i="9" s="1"/>
  <c r="Q273" i="9"/>
  <c r="CH273" i="9" s="1"/>
  <c r="M273" i="9"/>
  <c r="CD273" i="9" s="1"/>
  <c r="BK273" i="9"/>
  <c r="EB273" i="9" s="1"/>
  <c r="AT273" i="9"/>
  <c r="DK273" i="9" s="1"/>
  <c r="BJ273" i="9"/>
  <c r="EA273" i="9" s="1"/>
  <c r="BE273" i="9"/>
  <c r="DV273" i="9" s="1"/>
  <c r="AQ273" i="9"/>
  <c r="DH273" i="9" s="1"/>
  <c r="AI273" i="9"/>
  <c r="CZ273" i="9" s="1"/>
  <c r="BQ273" i="9"/>
  <c r="EH273" i="9" s="1"/>
  <c r="U273" i="9"/>
  <c r="CL273" i="9" s="1"/>
  <c r="BI273" i="9"/>
  <c r="DZ273" i="9" s="1"/>
  <c r="BC273" i="9"/>
  <c r="DT273" i="9" s="1"/>
  <c r="AL431" i="9"/>
  <c r="DC431" i="9" s="1"/>
  <c r="AW431" i="9"/>
  <c r="DN431" i="9" s="1"/>
  <c r="BP431" i="9"/>
  <c r="EG431" i="9" s="1"/>
  <c r="X431" i="9"/>
  <c r="CO431" i="9" s="1"/>
  <c r="AS431" i="9"/>
  <c r="DJ431" i="9" s="1"/>
  <c r="BB431" i="9"/>
  <c r="DS431" i="9" s="1"/>
  <c r="BC431" i="9"/>
  <c r="DT431" i="9" s="1"/>
  <c r="AU431" i="9"/>
  <c r="DL431" i="9" s="1"/>
  <c r="AP431" i="9"/>
  <c r="DG431" i="9" s="1"/>
  <c r="BD431" i="9"/>
  <c r="DU431" i="9" s="1"/>
  <c r="AX431" i="9"/>
  <c r="DO431" i="9" s="1"/>
  <c r="M389" i="9"/>
  <c r="CD389" i="9" s="1"/>
  <c r="AC389" i="9"/>
  <c r="CT389" i="9" s="1"/>
  <c r="AS389" i="9"/>
  <c r="DJ389" i="9" s="1"/>
  <c r="BK389" i="9"/>
  <c r="EB389" i="9" s="1"/>
  <c r="AZ389" i="9"/>
  <c r="DQ389" i="9" s="1"/>
  <c r="AA389" i="9"/>
  <c r="CR389" i="9" s="1"/>
  <c r="AU389" i="9"/>
  <c r="DL389" i="9" s="1"/>
  <c r="AN389" i="9"/>
  <c r="DE389" i="9" s="1"/>
  <c r="Q389" i="9"/>
  <c r="CH389" i="9" s="1"/>
  <c r="BF389" i="9"/>
  <c r="DW389" i="9" s="1"/>
  <c r="BM389" i="9"/>
  <c r="ED389" i="9" s="1"/>
  <c r="AM389" i="9"/>
  <c r="DD389" i="9" s="1"/>
  <c r="AJ389" i="9"/>
  <c r="DA389" i="9" s="1"/>
  <c r="BR389" i="9"/>
  <c r="EI389" i="9" s="1"/>
  <c r="AF389" i="9"/>
  <c r="CW389" i="9" s="1"/>
  <c r="BE389" i="9"/>
  <c r="DV389" i="9" s="1"/>
  <c r="BI389" i="9"/>
  <c r="DZ389" i="9" s="1"/>
  <c r="AR389" i="9"/>
  <c r="DI389" i="9" s="1"/>
  <c r="AL389" i="9"/>
  <c r="DC389" i="9" s="1"/>
  <c r="BL389" i="9"/>
  <c r="EC389" i="9" s="1"/>
  <c r="BA389" i="9"/>
  <c r="DR389" i="9" s="1"/>
  <c r="BC389" i="9"/>
  <c r="DT389" i="9" s="1"/>
  <c r="AK389" i="9"/>
  <c r="DB389" i="9" s="1"/>
  <c r="BQ389" i="9"/>
  <c r="EH389" i="9" s="1"/>
  <c r="BP389" i="9"/>
  <c r="EG389" i="9" s="1"/>
  <c r="P389" i="9"/>
  <c r="CG389" i="9" s="1"/>
  <c r="T389" i="9"/>
  <c r="CK389" i="9" s="1"/>
  <c r="AI389" i="9"/>
  <c r="CZ389" i="9" s="1"/>
  <c r="BH389" i="9"/>
  <c r="DY389" i="9" s="1"/>
  <c r="AG389" i="9"/>
  <c r="CX389" i="9" s="1"/>
  <c r="BG389" i="9"/>
  <c r="DX389" i="9" s="1"/>
  <c r="Z389" i="9"/>
  <c r="CQ389" i="9" s="1"/>
  <c r="X389" i="9"/>
  <c r="CO389" i="9" s="1"/>
  <c r="W389" i="9"/>
  <c r="CN389" i="9" s="1"/>
  <c r="Y389" i="9"/>
  <c r="CP389" i="9" s="1"/>
  <c r="AY389" i="9"/>
  <c r="DP389" i="9" s="1"/>
  <c r="AQ389" i="9"/>
  <c r="DH389" i="9" s="1"/>
  <c r="AW389" i="9"/>
  <c r="DN389" i="9" s="1"/>
  <c r="AT389" i="9"/>
  <c r="DK389" i="9" s="1"/>
  <c r="V389" i="9"/>
  <c r="CM389" i="9" s="1"/>
  <c r="AE389" i="9"/>
  <c r="CV389" i="9" s="1"/>
  <c r="K389" i="9"/>
  <c r="CB389" i="9" s="1"/>
  <c r="L389" i="9"/>
  <c r="CC389" i="9" s="1"/>
  <c r="U389" i="9"/>
  <c r="CL389" i="9" s="1"/>
  <c r="BO389" i="9"/>
  <c r="EF389" i="9" s="1"/>
  <c r="AB389" i="9"/>
  <c r="CS389" i="9" s="1"/>
  <c r="AP389" i="9"/>
  <c r="DG389" i="9" s="1"/>
  <c r="AX389" i="9"/>
  <c r="DO389" i="9" s="1"/>
  <c r="BB389" i="9"/>
  <c r="DS389" i="9" s="1"/>
  <c r="BJ389" i="9"/>
  <c r="EA389" i="9" s="1"/>
  <c r="AD389" i="9"/>
  <c r="CU389" i="9" s="1"/>
  <c r="AV389" i="9"/>
  <c r="DM389" i="9" s="1"/>
  <c r="BN389" i="9"/>
  <c r="EE389" i="9" s="1"/>
  <c r="AO389" i="9"/>
  <c r="DF389" i="9" s="1"/>
  <c r="AH389" i="9"/>
  <c r="CY389" i="9" s="1"/>
  <c r="BD389" i="9"/>
  <c r="DU389" i="9" s="1"/>
  <c r="BK385" i="9"/>
  <c r="EB385" i="9" s="1"/>
  <c r="AO385" i="9"/>
  <c r="DF385" i="9" s="1"/>
  <c r="BJ552" i="9"/>
  <c r="EA552" i="9" s="1"/>
  <c r="BE552" i="9"/>
  <c r="DV552" i="9" s="1"/>
  <c r="AT551" i="9"/>
  <c r="DK551" i="9" s="1"/>
  <c r="AP551" i="9"/>
  <c r="DG551" i="9" s="1"/>
  <c r="BG551" i="9"/>
  <c r="DX551" i="9" s="1"/>
  <c r="BA551" i="9"/>
  <c r="DR551" i="9" s="1"/>
  <c r="AN551" i="9"/>
  <c r="DE551" i="9" s="1"/>
  <c r="AI551" i="9"/>
  <c r="CZ551" i="9" s="1"/>
  <c r="AY551" i="9"/>
  <c r="DP551" i="9" s="1"/>
  <c r="U551" i="9"/>
  <c r="CL551" i="9" s="1"/>
  <c r="BB551" i="9"/>
  <c r="DS551" i="9" s="1"/>
  <c r="AE551" i="9"/>
  <c r="CV551" i="9" s="1"/>
  <c r="V551" i="9"/>
  <c r="CM551" i="9" s="1"/>
  <c r="AF551" i="9"/>
  <c r="CW551" i="9" s="1"/>
  <c r="AC551" i="9"/>
  <c r="CT551" i="9" s="1"/>
  <c r="BO551" i="9"/>
  <c r="EF551" i="9" s="1"/>
  <c r="BF551" i="9"/>
  <c r="DW551" i="9" s="1"/>
  <c r="K551" i="9"/>
  <c r="CB551" i="9" s="1"/>
  <c r="AZ551" i="9"/>
  <c r="DQ551" i="9" s="1"/>
  <c r="BG553" i="9"/>
  <c r="DX553" i="9" s="1"/>
  <c r="K553" i="9"/>
  <c r="CB553" i="9" s="1"/>
  <c r="AE560" i="9"/>
  <c r="CV560" i="9" s="1"/>
  <c r="U560" i="9"/>
  <c r="CL560" i="9" s="1"/>
  <c r="AC560" i="9"/>
  <c r="CT560" i="9" s="1"/>
  <c r="AT560" i="9"/>
  <c r="DK560" i="9" s="1"/>
  <c r="AN560" i="9"/>
  <c r="DE560" i="9" s="1"/>
  <c r="BL560" i="9"/>
  <c r="EC560" i="9" s="1"/>
  <c r="AH560" i="9"/>
  <c r="CY560" i="9" s="1"/>
  <c r="X560" i="9"/>
  <c r="CO560" i="9" s="1"/>
  <c r="AJ560" i="9"/>
  <c r="DA560" i="9" s="1"/>
  <c r="AX560" i="9"/>
  <c r="DO560" i="9" s="1"/>
  <c r="BJ560" i="9"/>
  <c r="EA560" i="9" s="1"/>
  <c r="AZ560" i="9"/>
  <c r="DQ560" i="9" s="1"/>
  <c r="BG560" i="9"/>
  <c r="DX560" i="9" s="1"/>
  <c r="AI560" i="9"/>
  <c r="CZ560" i="9" s="1"/>
  <c r="AW560" i="9"/>
  <c r="DN560" i="9" s="1"/>
  <c r="AS560" i="9"/>
  <c r="DJ560" i="9" s="1"/>
  <c r="AO560" i="9"/>
  <c r="DF560" i="9" s="1"/>
  <c r="AY560" i="9"/>
  <c r="DP560" i="9" s="1"/>
  <c r="Y560" i="9"/>
  <c r="CP560" i="9" s="1"/>
  <c r="W560" i="9"/>
  <c r="CN560" i="9" s="1"/>
  <c r="BE560" i="9"/>
  <c r="DV560" i="9" s="1"/>
  <c r="AM560" i="9"/>
  <c r="DD560" i="9" s="1"/>
  <c r="BF560" i="9"/>
  <c r="DW560" i="9" s="1"/>
  <c r="BK560" i="9"/>
  <c r="EB560" i="9" s="1"/>
  <c r="BQ560" i="9"/>
  <c r="EH560" i="9" s="1"/>
  <c r="Z560" i="9"/>
  <c r="CQ560" i="9" s="1"/>
  <c r="AD560" i="9"/>
  <c r="CU560" i="9" s="1"/>
  <c r="BC560" i="9"/>
  <c r="DT560" i="9" s="1"/>
  <c r="BD560" i="9"/>
  <c r="DU560" i="9" s="1"/>
  <c r="AK560" i="9"/>
  <c r="DB560" i="9" s="1"/>
  <c r="BN560" i="9"/>
  <c r="EE560" i="9" s="1"/>
  <c r="AB560" i="9"/>
  <c r="CS560" i="9" s="1"/>
  <c r="BB560" i="9"/>
  <c r="DS560" i="9" s="1"/>
  <c r="BI560" i="9"/>
  <c r="DZ560" i="9" s="1"/>
  <c r="AG560" i="9"/>
  <c r="CX560" i="9" s="1"/>
  <c r="AA560" i="9"/>
  <c r="CR560" i="9" s="1"/>
  <c r="BR560" i="9"/>
  <c r="EI560" i="9" s="1"/>
  <c r="BA560" i="9"/>
  <c r="DR560" i="9" s="1"/>
  <c r="V560" i="9"/>
  <c r="CM560" i="9" s="1"/>
  <c r="AR560" i="9"/>
  <c r="DI560" i="9" s="1"/>
  <c r="AU560" i="9"/>
  <c r="DL560" i="9" s="1"/>
  <c r="AL560" i="9"/>
  <c r="DC560" i="9" s="1"/>
  <c r="BM560" i="9"/>
  <c r="ED560" i="9" s="1"/>
  <c r="BO560" i="9"/>
  <c r="EF560" i="9" s="1"/>
  <c r="BP560" i="9"/>
  <c r="EG560" i="9" s="1"/>
  <c r="BH560" i="9"/>
  <c r="DY560" i="9" s="1"/>
  <c r="AP560" i="9"/>
  <c r="DG560" i="9" s="1"/>
  <c r="AQ560" i="9"/>
  <c r="DH560" i="9" s="1"/>
  <c r="AV560" i="9"/>
  <c r="DM560" i="9" s="1"/>
  <c r="K560" i="9"/>
  <c r="CB560" i="9" s="1"/>
  <c r="AF560" i="9"/>
  <c r="CW560" i="9" s="1"/>
  <c r="U564" i="9"/>
  <c r="CL564" i="9" s="1"/>
  <c r="AW564" i="9"/>
  <c r="DN564" i="9" s="1"/>
  <c r="X564" i="9"/>
  <c r="CO564" i="9" s="1"/>
  <c r="AF564" i="9"/>
  <c r="CW564" i="9" s="1"/>
  <c r="BP564" i="9"/>
  <c r="EG564" i="9" s="1"/>
  <c r="BB564" i="9"/>
  <c r="DS564" i="9" s="1"/>
  <c r="AP564" i="9"/>
  <c r="DG564" i="9" s="1"/>
  <c r="V564" i="9"/>
  <c r="CM564" i="9" s="1"/>
  <c r="AJ564" i="9"/>
  <c r="DA564" i="9" s="1"/>
  <c r="BH564" i="9"/>
  <c r="DY564" i="9" s="1"/>
  <c r="AI564" i="9"/>
  <c r="CZ564" i="9" s="1"/>
  <c r="AE564" i="9"/>
  <c r="CV564" i="9" s="1"/>
  <c r="BQ564" i="9"/>
  <c r="EH564" i="9" s="1"/>
  <c r="AV564" i="9"/>
  <c r="DM564" i="9" s="1"/>
  <c r="BD564" i="9"/>
  <c r="DU564" i="9" s="1"/>
  <c r="W564" i="9"/>
  <c r="CN564" i="9" s="1"/>
  <c r="Z564" i="9"/>
  <c r="CQ564" i="9" s="1"/>
  <c r="AN564" i="9"/>
  <c r="DE564" i="9" s="1"/>
  <c r="AZ564" i="9"/>
  <c r="DQ564" i="9" s="1"/>
  <c r="Y564" i="9"/>
  <c r="CP564" i="9" s="1"/>
  <c r="BE564" i="9"/>
  <c r="DV564" i="9" s="1"/>
  <c r="AK564" i="9"/>
  <c r="DB564" i="9" s="1"/>
  <c r="AD564" i="9"/>
  <c r="CU564" i="9" s="1"/>
  <c r="BN564" i="9"/>
  <c r="EE564" i="9" s="1"/>
  <c r="AG564" i="9"/>
  <c r="CX564" i="9" s="1"/>
  <c r="AA564" i="9"/>
  <c r="CR564" i="9" s="1"/>
  <c r="AM564" i="9"/>
  <c r="DD564" i="9" s="1"/>
  <c r="AO564" i="9"/>
  <c r="DF564" i="9" s="1"/>
  <c r="AB564" i="9"/>
  <c r="CS564" i="9" s="1"/>
  <c r="AQ564" i="9"/>
  <c r="DH564" i="9" s="1"/>
  <c r="BL564" i="9"/>
  <c r="EC564" i="9" s="1"/>
  <c r="AT564" i="9"/>
  <c r="DK564" i="9" s="1"/>
  <c r="BK564" i="9"/>
  <c r="EB564" i="9" s="1"/>
  <c r="BC564" i="9"/>
  <c r="DT564" i="9" s="1"/>
  <c r="AX564" i="9"/>
  <c r="DO564" i="9" s="1"/>
  <c r="AH564" i="9"/>
  <c r="CY564" i="9" s="1"/>
  <c r="BM564" i="9"/>
  <c r="ED564" i="9" s="1"/>
  <c r="BG564" i="9"/>
  <c r="DX564" i="9" s="1"/>
  <c r="BA564" i="9"/>
  <c r="DR564" i="9" s="1"/>
  <c r="BI564" i="9"/>
  <c r="DZ564" i="9" s="1"/>
  <c r="BF564" i="9"/>
  <c r="DW564" i="9" s="1"/>
  <c r="AY564" i="9"/>
  <c r="DP564" i="9" s="1"/>
  <c r="AS564" i="9"/>
  <c r="DJ564" i="9" s="1"/>
  <c r="AC564" i="9"/>
  <c r="CT564" i="9" s="1"/>
  <c r="K564" i="9"/>
  <c r="CB564" i="9" s="1"/>
  <c r="BJ564" i="9"/>
  <c r="EA564" i="9" s="1"/>
  <c r="BR564" i="9"/>
  <c r="EI564" i="9" s="1"/>
  <c r="AL564" i="9"/>
  <c r="DC564" i="9" s="1"/>
  <c r="BO564" i="9"/>
  <c r="EF564" i="9" s="1"/>
  <c r="AR564" i="9"/>
  <c r="DI564" i="9" s="1"/>
  <c r="AU564" i="9"/>
  <c r="DL564" i="9" s="1"/>
  <c r="BA486" i="9"/>
  <c r="DR486" i="9" s="1"/>
  <c r="AF486" i="9"/>
  <c r="CW486" i="9" s="1"/>
  <c r="R484" i="9"/>
  <c r="CI484" i="9" s="1"/>
  <c r="K484" i="9"/>
  <c r="CB484" i="9" s="1"/>
  <c r="BI481" i="9"/>
  <c r="DZ481" i="9" s="1"/>
  <c r="BQ481" i="9"/>
  <c r="EH481" i="9" s="1"/>
  <c r="AE481" i="9"/>
  <c r="CV481" i="9" s="1"/>
  <c r="AD481" i="9"/>
  <c r="CU481" i="9" s="1"/>
  <c r="AS481" i="9"/>
  <c r="DJ481" i="9" s="1"/>
  <c r="BJ481" i="9"/>
  <c r="EA481" i="9" s="1"/>
  <c r="BO481" i="9"/>
  <c r="EF481" i="9" s="1"/>
  <c r="BQ565" i="9"/>
  <c r="EH565" i="9" s="1"/>
  <c r="BJ565" i="9"/>
  <c r="EA565" i="9" s="1"/>
  <c r="AS565" i="9"/>
  <c r="DJ565" i="9" s="1"/>
  <c r="BA559" i="9"/>
  <c r="DR559" i="9" s="1"/>
  <c r="BG559" i="9"/>
  <c r="DX559" i="9" s="1"/>
  <c r="BP559" i="9"/>
  <c r="EG559" i="9" s="1"/>
  <c r="BN559" i="9"/>
  <c r="EE559" i="9" s="1"/>
  <c r="BH559" i="9"/>
  <c r="DY559" i="9" s="1"/>
  <c r="Y559" i="9"/>
  <c r="CP559" i="9" s="1"/>
  <c r="BM559" i="9"/>
  <c r="ED559" i="9" s="1"/>
  <c r="AH559" i="9"/>
  <c r="CY559" i="9" s="1"/>
  <c r="AS664" i="9"/>
  <c r="DJ664" i="9" s="1"/>
  <c r="AU664" i="9"/>
  <c r="DL664" i="9" s="1"/>
  <c r="AC664" i="9"/>
  <c r="CT664" i="9" s="1"/>
  <c r="AC358" i="9"/>
  <c r="CT358" i="9" s="1"/>
  <c r="AL358" i="9"/>
  <c r="DC358" i="9" s="1"/>
  <c r="AV358" i="9"/>
  <c r="DM358" i="9" s="1"/>
  <c r="Z358" i="9"/>
  <c r="CQ358" i="9" s="1"/>
  <c r="BQ358" i="9"/>
  <c r="EH358" i="9" s="1"/>
  <c r="AA358" i="9"/>
  <c r="CR358" i="9" s="1"/>
  <c r="BK358" i="9"/>
  <c r="EB358" i="9" s="1"/>
  <c r="BP358" i="9"/>
  <c r="EG358" i="9" s="1"/>
  <c r="AY358" i="9"/>
  <c r="DP358" i="9" s="1"/>
  <c r="X358" i="9"/>
  <c r="CO358" i="9" s="1"/>
  <c r="BI358" i="9"/>
  <c r="DZ358" i="9" s="1"/>
  <c r="AZ358" i="9"/>
  <c r="DQ358" i="9" s="1"/>
  <c r="AM358" i="9"/>
  <c r="DD358" i="9" s="1"/>
  <c r="AR358" i="9"/>
  <c r="DI358" i="9" s="1"/>
  <c r="AO358" i="9"/>
  <c r="DF358" i="9" s="1"/>
  <c r="AP358" i="9"/>
  <c r="DG358" i="9" s="1"/>
  <c r="W358" i="9"/>
  <c r="CN358" i="9" s="1"/>
  <c r="AT358" i="9"/>
  <c r="DK358" i="9" s="1"/>
  <c r="BA358" i="9"/>
  <c r="DR358" i="9" s="1"/>
  <c r="BF358" i="9"/>
  <c r="DW358" i="9" s="1"/>
  <c r="BC358" i="9"/>
  <c r="DT358" i="9" s="1"/>
  <c r="BB358" i="9"/>
  <c r="DS358" i="9" s="1"/>
  <c r="AE358" i="9"/>
  <c r="CV358" i="9" s="1"/>
  <c r="AF358" i="9"/>
  <c r="CW358" i="9" s="1"/>
  <c r="AQ358" i="9"/>
  <c r="DH358" i="9" s="1"/>
  <c r="AS358" i="9"/>
  <c r="DJ358" i="9" s="1"/>
  <c r="AU358" i="9"/>
  <c r="DL358" i="9" s="1"/>
  <c r="AI358" i="9"/>
  <c r="CZ358" i="9" s="1"/>
  <c r="AB358" i="9"/>
  <c r="CS358" i="9" s="1"/>
  <c r="AJ358" i="9"/>
  <c r="DA358" i="9" s="1"/>
  <c r="AW358" i="9"/>
  <c r="DN358" i="9" s="1"/>
  <c r="BE358" i="9"/>
  <c r="DV358" i="9" s="1"/>
  <c r="BJ358" i="9"/>
  <c r="EA358" i="9" s="1"/>
  <c r="AK358" i="9"/>
  <c r="DB358" i="9" s="1"/>
  <c r="AN358" i="9"/>
  <c r="DE358" i="9" s="1"/>
  <c r="Y358" i="9"/>
  <c r="CP358" i="9" s="1"/>
  <c r="BM358" i="9"/>
  <c r="ED358" i="9" s="1"/>
  <c r="BD358" i="9"/>
  <c r="DU358" i="9" s="1"/>
  <c r="BN358" i="9"/>
  <c r="EE358" i="9" s="1"/>
  <c r="BG358" i="9"/>
  <c r="DX358" i="9" s="1"/>
  <c r="AH358" i="9"/>
  <c r="CY358" i="9" s="1"/>
  <c r="U358" i="9"/>
  <c r="CL358" i="9" s="1"/>
  <c r="BH358" i="9"/>
  <c r="DY358" i="9" s="1"/>
  <c r="BO358" i="9"/>
  <c r="EF358" i="9" s="1"/>
  <c r="BR358" i="9"/>
  <c r="EI358" i="9" s="1"/>
  <c r="V358" i="9"/>
  <c r="CM358" i="9" s="1"/>
  <c r="AG358" i="9"/>
  <c r="CX358" i="9" s="1"/>
  <c r="AD358" i="9"/>
  <c r="CU358" i="9" s="1"/>
  <c r="BL358" i="9"/>
  <c r="EC358" i="9" s="1"/>
  <c r="AX358" i="9"/>
  <c r="DO358" i="9" s="1"/>
  <c r="AP261" i="9"/>
  <c r="DG261" i="9" s="1"/>
  <c r="AS261" i="9"/>
  <c r="DJ261" i="9" s="1"/>
  <c r="AF261" i="9"/>
  <c r="CW261" i="9" s="1"/>
  <c r="BI393" i="9"/>
  <c r="DZ393" i="9" s="1"/>
  <c r="Y393" i="9"/>
  <c r="CP393" i="9" s="1"/>
  <c r="BK393" i="9"/>
  <c r="EB393" i="9" s="1"/>
  <c r="W393" i="9"/>
  <c r="CN393" i="9" s="1"/>
  <c r="BC393" i="9"/>
  <c r="DT393" i="9" s="1"/>
  <c r="AG393" i="9"/>
  <c r="CX393" i="9" s="1"/>
  <c r="BA393" i="9"/>
  <c r="DR393" i="9" s="1"/>
  <c r="AQ393" i="9"/>
  <c r="DH393" i="9" s="1"/>
  <c r="AW393" i="9"/>
  <c r="DN393" i="9" s="1"/>
  <c r="AL393" i="9"/>
  <c r="DC393" i="9" s="1"/>
  <c r="AS393" i="9"/>
  <c r="DJ393" i="9" s="1"/>
  <c r="AU393" i="9"/>
  <c r="DL393" i="9" s="1"/>
  <c r="AX393" i="9"/>
  <c r="DO393" i="9" s="1"/>
  <c r="Z393" i="9"/>
  <c r="CQ393" i="9" s="1"/>
  <c r="AI393" i="9"/>
  <c r="CZ393" i="9" s="1"/>
  <c r="K393" i="9"/>
  <c r="CB393" i="9" s="1"/>
  <c r="BE393" i="9"/>
  <c r="DV393" i="9" s="1"/>
  <c r="BB393" i="9"/>
  <c r="DS393" i="9" s="1"/>
  <c r="AB393" i="9"/>
  <c r="CS393" i="9" s="1"/>
  <c r="AE393" i="9"/>
  <c r="CV393" i="9" s="1"/>
  <c r="AC393" i="9"/>
  <c r="CT393" i="9" s="1"/>
  <c r="BP393" i="9"/>
  <c r="EG393" i="9" s="1"/>
  <c r="AP393" i="9"/>
  <c r="DG393" i="9" s="1"/>
  <c r="AF393" i="9"/>
  <c r="CW393" i="9" s="1"/>
  <c r="BD393" i="9"/>
  <c r="DU393" i="9" s="1"/>
  <c r="BO393" i="9"/>
  <c r="EF393" i="9" s="1"/>
  <c r="U393" i="9"/>
  <c r="CL393" i="9" s="1"/>
  <c r="BJ393" i="9"/>
  <c r="EA393" i="9" s="1"/>
  <c r="AH393" i="9"/>
  <c r="CY393" i="9" s="1"/>
  <c r="AR393" i="9"/>
  <c r="DI393" i="9" s="1"/>
  <c r="BN393" i="9"/>
  <c r="EE393" i="9" s="1"/>
  <c r="AZ393" i="9"/>
  <c r="DQ393" i="9" s="1"/>
  <c r="AD393" i="9"/>
  <c r="CU393" i="9" s="1"/>
  <c r="BR393" i="9"/>
  <c r="EI393" i="9" s="1"/>
  <c r="BH393" i="9"/>
  <c r="DY393" i="9" s="1"/>
  <c r="AA393" i="9"/>
  <c r="CR393" i="9" s="1"/>
  <c r="AO393" i="9"/>
  <c r="DF393" i="9" s="1"/>
  <c r="AK393" i="9"/>
  <c r="DB393" i="9" s="1"/>
  <c r="BF393" i="9"/>
  <c r="DW393" i="9" s="1"/>
  <c r="T393" i="9"/>
  <c r="CK393" i="9" s="1"/>
  <c r="BG393" i="9"/>
  <c r="DX393" i="9" s="1"/>
  <c r="AM393" i="9"/>
  <c r="DD393" i="9" s="1"/>
  <c r="BM393" i="9"/>
  <c r="ED393" i="9" s="1"/>
  <c r="AN393" i="9"/>
  <c r="DE393" i="9" s="1"/>
  <c r="AT393" i="9"/>
  <c r="DK393" i="9" s="1"/>
  <c r="V393" i="9"/>
  <c r="CM393" i="9" s="1"/>
  <c r="BQ393" i="9"/>
  <c r="EH393" i="9" s="1"/>
  <c r="AV393" i="9"/>
  <c r="DM393" i="9" s="1"/>
  <c r="BL393" i="9"/>
  <c r="EC393" i="9" s="1"/>
  <c r="X393" i="9"/>
  <c r="CO393" i="9" s="1"/>
  <c r="AY393" i="9"/>
  <c r="DP393" i="9" s="1"/>
  <c r="AJ393" i="9"/>
  <c r="DA393" i="9" s="1"/>
  <c r="AB625" i="9"/>
  <c r="CS625" i="9" s="1"/>
  <c r="BD625" i="9"/>
  <c r="DU625" i="9" s="1"/>
  <c r="BJ625" i="9"/>
  <c r="EA625" i="9" s="1"/>
  <c r="BR625" i="9"/>
  <c r="EI625" i="9" s="1"/>
  <c r="AT625" i="9"/>
  <c r="DK625" i="9" s="1"/>
  <c r="AQ625" i="9"/>
  <c r="DH625" i="9" s="1"/>
  <c r="AF625" i="9"/>
  <c r="CW625" i="9" s="1"/>
  <c r="BF625" i="9"/>
  <c r="DW625" i="9" s="1"/>
  <c r="AI495" i="9"/>
  <c r="CZ495" i="9" s="1"/>
  <c r="BJ495" i="9"/>
  <c r="EA495" i="9" s="1"/>
  <c r="AU495" i="9"/>
  <c r="DL495" i="9" s="1"/>
  <c r="AB495" i="9"/>
  <c r="CS495" i="9" s="1"/>
  <c r="AR495" i="9"/>
  <c r="DI495" i="9" s="1"/>
  <c r="AM495" i="9"/>
  <c r="DD495" i="9" s="1"/>
  <c r="AK495" i="9"/>
  <c r="DB495" i="9" s="1"/>
  <c r="BF495" i="9"/>
  <c r="DW495" i="9" s="1"/>
  <c r="BE495" i="9"/>
  <c r="DV495" i="9" s="1"/>
  <c r="AT495" i="9"/>
  <c r="DK495" i="9" s="1"/>
  <c r="AC495" i="9"/>
  <c r="CT495" i="9" s="1"/>
  <c r="BL495" i="9"/>
  <c r="EC495" i="9" s="1"/>
  <c r="BD495" i="9"/>
  <c r="DU495" i="9" s="1"/>
  <c r="AZ495" i="9"/>
  <c r="DQ495" i="9" s="1"/>
  <c r="BC495" i="9"/>
  <c r="DT495" i="9" s="1"/>
  <c r="AJ495" i="9"/>
  <c r="DA495" i="9" s="1"/>
  <c r="AX495" i="9"/>
  <c r="DO495" i="9" s="1"/>
  <c r="AQ495" i="9"/>
  <c r="DH495" i="9" s="1"/>
  <c r="BQ495" i="9"/>
  <c r="EH495" i="9" s="1"/>
  <c r="AO495" i="9"/>
  <c r="DF495" i="9" s="1"/>
  <c r="BH495" i="9"/>
  <c r="DY495" i="9" s="1"/>
  <c r="AH495" i="9"/>
  <c r="CY495" i="9" s="1"/>
  <c r="BP495" i="9"/>
  <c r="EG495" i="9" s="1"/>
  <c r="AA495" i="9"/>
  <c r="CR495" i="9" s="1"/>
  <c r="BM495" i="9"/>
  <c r="ED495" i="9" s="1"/>
  <c r="AS495" i="9"/>
  <c r="DJ495" i="9" s="1"/>
  <c r="N652" i="9"/>
  <c r="CE652" i="9" s="1"/>
  <c r="Y652" i="9"/>
  <c r="CP652" i="9" s="1"/>
  <c r="AL652" i="9"/>
  <c r="DC652" i="9" s="1"/>
  <c r="AB652" i="9"/>
  <c r="CS652" i="9" s="1"/>
  <c r="AJ652" i="9"/>
  <c r="DA652" i="9" s="1"/>
  <c r="BC652" i="9"/>
  <c r="DT652" i="9" s="1"/>
  <c r="AQ652" i="9"/>
  <c r="DH652" i="9" s="1"/>
  <c r="AR652" i="9"/>
  <c r="DI652" i="9" s="1"/>
  <c r="BR652" i="9"/>
  <c r="EI652" i="9" s="1"/>
  <c r="AZ652" i="9"/>
  <c r="DQ652" i="9" s="1"/>
  <c r="AN652" i="9"/>
  <c r="DE652" i="9" s="1"/>
  <c r="AO652" i="9"/>
  <c r="DF652" i="9" s="1"/>
  <c r="AS652" i="9"/>
  <c r="DJ652" i="9" s="1"/>
  <c r="AE652" i="9"/>
  <c r="CV652" i="9" s="1"/>
  <c r="AF652" i="9"/>
  <c r="CW652" i="9" s="1"/>
  <c r="BK652" i="9"/>
  <c r="EB652" i="9" s="1"/>
  <c r="W652" i="9"/>
  <c r="CN652" i="9" s="1"/>
  <c r="AD652" i="9"/>
  <c r="CU652" i="9" s="1"/>
  <c r="AV652" i="9"/>
  <c r="DM652" i="9" s="1"/>
  <c r="Z652" i="9"/>
  <c r="CQ652" i="9" s="1"/>
  <c r="BQ652" i="9"/>
  <c r="EH652" i="9" s="1"/>
  <c r="BO652" i="9"/>
  <c r="EF652" i="9" s="1"/>
  <c r="AH652" i="9"/>
  <c r="CY652" i="9" s="1"/>
  <c r="U652" i="9"/>
  <c r="CL652" i="9" s="1"/>
  <c r="AC652" i="9"/>
  <c r="CT652" i="9" s="1"/>
  <c r="BE652" i="9"/>
  <c r="DV652" i="9" s="1"/>
  <c r="BN652" i="9"/>
  <c r="EE652" i="9" s="1"/>
  <c r="AY652" i="9"/>
  <c r="DP652" i="9" s="1"/>
  <c r="BG652" i="9"/>
  <c r="DX652" i="9" s="1"/>
  <c r="AU652" i="9"/>
  <c r="DL652" i="9" s="1"/>
  <c r="BJ652" i="9"/>
  <c r="EA652" i="9" s="1"/>
  <c r="AX652" i="9"/>
  <c r="DO652" i="9" s="1"/>
  <c r="AG652" i="9"/>
  <c r="CX652" i="9" s="1"/>
  <c r="BL652" i="9"/>
  <c r="EC652" i="9" s="1"/>
  <c r="AK652" i="9"/>
  <c r="DB652" i="9" s="1"/>
  <c r="BI652" i="9"/>
  <c r="DZ652" i="9" s="1"/>
  <c r="V652" i="9"/>
  <c r="CM652" i="9" s="1"/>
  <c r="BA652" i="9"/>
  <c r="DR652" i="9" s="1"/>
  <c r="BP652" i="9"/>
  <c r="EG652" i="9" s="1"/>
  <c r="BF652" i="9"/>
  <c r="DW652" i="9" s="1"/>
  <c r="AM652" i="9"/>
  <c r="DD652" i="9" s="1"/>
  <c r="AP652" i="9"/>
  <c r="DG652" i="9" s="1"/>
  <c r="BM652" i="9"/>
  <c r="ED652" i="9" s="1"/>
  <c r="AI652" i="9"/>
  <c r="CZ652" i="9" s="1"/>
  <c r="BD652" i="9"/>
  <c r="DU652" i="9" s="1"/>
  <c r="BH652" i="9"/>
  <c r="DY652" i="9" s="1"/>
  <c r="AT652" i="9"/>
  <c r="DK652" i="9" s="1"/>
  <c r="AW652" i="9"/>
  <c r="DN652" i="9" s="1"/>
  <c r="X652" i="9"/>
  <c r="CO652" i="9" s="1"/>
  <c r="AA652" i="9"/>
  <c r="CR652" i="9" s="1"/>
  <c r="BB652" i="9"/>
  <c r="DS652" i="9" s="1"/>
  <c r="AH360" i="9"/>
  <c r="CY360" i="9" s="1"/>
  <c r="BB360" i="9"/>
  <c r="DS360" i="9" s="1"/>
  <c r="AW360" i="9"/>
  <c r="DN360" i="9" s="1"/>
  <c r="AB360" i="9"/>
  <c r="CS360" i="9" s="1"/>
  <c r="AX360" i="9"/>
  <c r="DO360" i="9" s="1"/>
  <c r="BJ360" i="9"/>
  <c r="EA360" i="9" s="1"/>
  <c r="BG360" i="9"/>
  <c r="DX360" i="9" s="1"/>
  <c r="AI360" i="9"/>
  <c r="CZ360" i="9" s="1"/>
  <c r="AR360" i="9"/>
  <c r="DI360" i="9" s="1"/>
  <c r="BC360" i="9"/>
  <c r="DT360" i="9" s="1"/>
  <c r="AU360" i="9"/>
  <c r="DL360" i="9" s="1"/>
  <c r="AC360" i="9"/>
  <c r="CT360" i="9" s="1"/>
  <c r="BE360" i="9"/>
  <c r="DV360" i="9" s="1"/>
  <c r="BQ360" i="9"/>
  <c r="EH360" i="9" s="1"/>
  <c r="V360" i="9"/>
  <c r="CM360" i="9" s="1"/>
  <c r="W360" i="9"/>
  <c r="CN360" i="9" s="1"/>
  <c r="BP360" i="9"/>
  <c r="EG360" i="9" s="1"/>
  <c r="BD360" i="9"/>
  <c r="DU360" i="9" s="1"/>
  <c r="BN360" i="9"/>
  <c r="EE360" i="9" s="1"/>
  <c r="U360" i="9"/>
  <c r="CL360" i="9" s="1"/>
  <c r="AG360" i="9"/>
  <c r="CX360" i="9" s="1"/>
  <c r="BK360" i="9"/>
  <c r="EB360" i="9" s="1"/>
  <c r="AV360" i="9"/>
  <c r="DM360" i="9" s="1"/>
  <c r="X360" i="9"/>
  <c r="CO360" i="9" s="1"/>
  <c r="AT360" i="9"/>
  <c r="DK360" i="9" s="1"/>
  <c r="BA360" i="9"/>
  <c r="DR360" i="9" s="1"/>
  <c r="AO360" i="9"/>
  <c r="DF360" i="9" s="1"/>
  <c r="BL360" i="9"/>
  <c r="EC360" i="9" s="1"/>
  <c r="AY360" i="9"/>
  <c r="DP360" i="9" s="1"/>
  <c r="BM360" i="9"/>
  <c r="ED360" i="9" s="1"/>
  <c r="Y360" i="9"/>
  <c r="CP360" i="9" s="1"/>
  <c r="BR360" i="9"/>
  <c r="EI360" i="9" s="1"/>
  <c r="AL360" i="9"/>
  <c r="DC360" i="9" s="1"/>
  <c r="Z360" i="9"/>
  <c r="CQ360" i="9" s="1"/>
  <c r="AN360" i="9"/>
  <c r="DE360" i="9" s="1"/>
  <c r="AE360" i="9"/>
  <c r="CV360" i="9" s="1"/>
  <c r="AQ360" i="9"/>
  <c r="DH360" i="9" s="1"/>
  <c r="AM360" i="9"/>
  <c r="DD360" i="9" s="1"/>
  <c r="AP360" i="9"/>
  <c r="DG360" i="9" s="1"/>
  <c r="AF360" i="9"/>
  <c r="CW360" i="9" s="1"/>
  <c r="BH360" i="9"/>
  <c r="DY360" i="9" s="1"/>
  <c r="AS360" i="9"/>
  <c r="DJ360" i="9" s="1"/>
  <c r="AD360" i="9"/>
  <c r="CU360" i="9" s="1"/>
  <c r="BO360" i="9"/>
  <c r="EF360" i="9" s="1"/>
  <c r="AJ360" i="9"/>
  <c r="DA360" i="9" s="1"/>
  <c r="BI360" i="9"/>
  <c r="DZ360" i="9" s="1"/>
  <c r="AA360" i="9"/>
  <c r="CR360" i="9" s="1"/>
  <c r="AZ360" i="9"/>
  <c r="DQ360" i="9" s="1"/>
  <c r="BF360" i="9"/>
  <c r="DW360" i="9" s="1"/>
  <c r="AK360" i="9"/>
  <c r="DB360" i="9" s="1"/>
  <c r="BO248" i="9"/>
  <c r="EF248" i="9" s="1"/>
  <c r="BQ248" i="9"/>
  <c r="EH248" i="9" s="1"/>
  <c r="AO248" i="9"/>
  <c r="DF248" i="9" s="1"/>
  <c r="AY248" i="9"/>
  <c r="DP248" i="9" s="1"/>
  <c r="AJ248" i="9"/>
  <c r="DA248" i="9" s="1"/>
  <c r="Y248" i="9"/>
  <c r="CP248" i="9" s="1"/>
  <c r="BG248" i="9"/>
  <c r="DX248" i="9" s="1"/>
  <c r="BL248" i="9"/>
  <c r="EC248" i="9" s="1"/>
  <c r="Q263" i="9"/>
  <c r="CH263" i="9" s="1"/>
  <c r="AE263" i="9"/>
  <c r="CV263" i="9" s="1"/>
  <c r="U263" i="9"/>
  <c r="CL263" i="9" s="1"/>
  <c r="BN263" i="9"/>
  <c r="EE263" i="9" s="1"/>
  <c r="AY443" i="9"/>
  <c r="DP443" i="9" s="1"/>
  <c r="AZ443" i="9"/>
  <c r="DQ443" i="9" s="1"/>
  <c r="BI443" i="9"/>
  <c r="DZ443" i="9" s="1"/>
  <c r="BR443" i="9"/>
  <c r="EI443" i="9" s="1"/>
  <c r="AF443" i="9"/>
  <c r="CW443" i="9" s="1"/>
  <c r="AW443" i="9"/>
  <c r="DN443" i="9" s="1"/>
  <c r="BN443" i="9"/>
  <c r="EE443" i="9" s="1"/>
  <c r="BG443" i="9"/>
  <c r="DX443" i="9" s="1"/>
  <c r="BF443" i="9"/>
  <c r="DW443" i="9" s="1"/>
  <c r="AO443" i="9"/>
  <c r="DF443" i="9" s="1"/>
  <c r="X443" i="9"/>
  <c r="CO443" i="9" s="1"/>
  <c r="BJ443" i="9"/>
  <c r="EA443" i="9" s="1"/>
  <c r="BA443" i="9"/>
  <c r="DR443" i="9" s="1"/>
  <c r="AR443" i="9"/>
  <c r="DI443" i="9" s="1"/>
  <c r="BH443" i="9"/>
  <c r="DY443" i="9" s="1"/>
  <c r="BQ443" i="9"/>
  <c r="EH443" i="9" s="1"/>
  <c r="W443" i="9"/>
  <c r="CN443" i="9" s="1"/>
  <c r="AN443" i="9"/>
  <c r="DE443" i="9" s="1"/>
  <c r="BE443" i="9"/>
  <c r="DV443" i="9" s="1"/>
  <c r="BO443" i="9"/>
  <c r="EF443" i="9" s="1"/>
  <c r="V443" i="9"/>
  <c r="CM443" i="9" s="1"/>
  <c r="AE443" i="9"/>
  <c r="CV443" i="9" s="1"/>
  <c r="AV443" i="9"/>
  <c r="DM443" i="9" s="1"/>
  <c r="BM443" i="9"/>
  <c r="ED443" i="9" s="1"/>
  <c r="AA443" i="9"/>
  <c r="CR443" i="9" s="1"/>
  <c r="U443" i="9"/>
  <c r="CL443" i="9" s="1"/>
  <c r="AD443" i="9"/>
  <c r="CU443" i="9" s="1"/>
  <c r="AM443" i="9"/>
  <c r="DD443" i="9" s="1"/>
  <c r="BD443" i="9"/>
  <c r="DU443" i="9" s="1"/>
  <c r="Z443" i="9"/>
  <c r="CQ443" i="9" s="1"/>
  <c r="AI443" i="9"/>
  <c r="CZ443" i="9" s="1"/>
  <c r="AC443" i="9"/>
  <c r="CT443" i="9" s="1"/>
  <c r="AU443" i="9"/>
  <c r="DL443" i="9" s="1"/>
  <c r="BL443" i="9"/>
  <c r="EC443" i="9" s="1"/>
  <c r="AH443" i="9"/>
  <c r="CY443" i="9" s="1"/>
  <c r="AB443" i="9"/>
  <c r="CS443" i="9" s="1"/>
  <c r="AK443" i="9"/>
  <c r="DB443" i="9" s="1"/>
  <c r="AT443" i="9"/>
  <c r="DK443" i="9" s="1"/>
  <c r="BC443" i="9"/>
  <c r="DT443" i="9" s="1"/>
  <c r="Y443" i="9"/>
  <c r="CP443" i="9" s="1"/>
  <c r="AP443" i="9"/>
  <c r="DG443" i="9" s="1"/>
  <c r="AJ443" i="9"/>
  <c r="DA443" i="9" s="1"/>
  <c r="AS443" i="9"/>
  <c r="DJ443" i="9" s="1"/>
  <c r="BB443" i="9"/>
  <c r="DS443" i="9" s="1"/>
  <c r="BK443" i="9"/>
  <c r="EB443" i="9" s="1"/>
  <c r="AG443" i="9"/>
  <c r="CX443" i="9" s="1"/>
  <c r="AX443" i="9"/>
  <c r="DO443" i="9" s="1"/>
  <c r="AL443" i="9"/>
  <c r="DC443" i="9" s="1"/>
  <c r="BP443" i="9"/>
  <c r="EG443" i="9" s="1"/>
  <c r="AQ443" i="9"/>
  <c r="DH443" i="9" s="1"/>
  <c r="M443" i="9"/>
  <c r="CD443" i="9" s="1"/>
  <c r="BI556" i="9"/>
  <c r="DZ556" i="9" s="1"/>
  <c r="K556" i="9"/>
  <c r="R556" i="9"/>
  <c r="CI556" i="9" s="1"/>
  <c r="N556" i="9"/>
  <c r="CE556" i="9" s="1"/>
  <c r="AO634" i="9"/>
  <c r="DF634" i="9" s="1"/>
  <c r="AA634" i="9"/>
  <c r="CR634" i="9" s="1"/>
  <c r="AB634" i="9"/>
  <c r="CS634" i="9" s="1"/>
  <c r="AM634" i="9"/>
  <c r="DD634" i="9" s="1"/>
  <c r="X634" i="9"/>
  <c r="CO634" i="9" s="1"/>
  <c r="AC634" i="9"/>
  <c r="CT634" i="9" s="1"/>
  <c r="BL634" i="9"/>
  <c r="EC634" i="9" s="1"/>
  <c r="W634" i="9"/>
  <c r="CN634" i="9" s="1"/>
  <c r="BP634" i="9"/>
  <c r="EG634" i="9" s="1"/>
  <c r="AN634" i="9"/>
  <c r="DE634" i="9" s="1"/>
  <c r="AG634" i="9"/>
  <c r="CX634" i="9" s="1"/>
  <c r="BH634" i="9"/>
  <c r="DY634" i="9" s="1"/>
  <c r="AF634" i="9"/>
  <c r="CW634" i="9" s="1"/>
  <c r="AV634" i="9"/>
  <c r="DM634" i="9" s="1"/>
  <c r="BG634" i="9"/>
  <c r="DX634" i="9" s="1"/>
  <c r="BE634" i="9"/>
  <c r="DV634" i="9" s="1"/>
  <c r="AU634" i="9"/>
  <c r="DL634" i="9" s="1"/>
  <c r="BM634" i="9"/>
  <c r="ED634" i="9" s="1"/>
  <c r="V634" i="9"/>
  <c r="CM634" i="9" s="1"/>
  <c r="AY634" i="9"/>
  <c r="DP634" i="9" s="1"/>
  <c r="Y634" i="9"/>
  <c r="CP634" i="9" s="1"/>
  <c r="BD634" i="9"/>
  <c r="DU634" i="9" s="1"/>
  <c r="BC634" i="9"/>
  <c r="DT634" i="9" s="1"/>
  <c r="AI634" i="9"/>
  <c r="CZ634" i="9" s="1"/>
  <c r="BJ634" i="9"/>
  <c r="EA634" i="9" s="1"/>
  <c r="BO634" i="9"/>
  <c r="EF634" i="9" s="1"/>
  <c r="AD634" i="9"/>
  <c r="CU634" i="9" s="1"/>
  <c r="BA634" i="9"/>
  <c r="DR634" i="9" s="1"/>
  <c r="U634" i="9"/>
  <c r="CL634" i="9" s="1"/>
  <c r="BB634" i="9"/>
  <c r="DS634" i="9" s="1"/>
  <c r="BK634" i="9"/>
  <c r="EB634" i="9" s="1"/>
  <c r="BQ634" i="9"/>
  <c r="EH634" i="9" s="1"/>
  <c r="BI634" i="9"/>
  <c r="DZ634" i="9" s="1"/>
  <c r="BN634" i="9"/>
  <c r="EE634" i="9" s="1"/>
  <c r="AZ634" i="9"/>
  <c r="DQ634" i="9" s="1"/>
  <c r="AT634" i="9"/>
  <c r="DK634" i="9" s="1"/>
  <c r="BF634" i="9"/>
  <c r="DW634" i="9" s="1"/>
  <c r="AX634" i="9"/>
  <c r="DO634" i="9" s="1"/>
  <c r="Z634" i="9"/>
  <c r="CQ634" i="9" s="1"/>
  <c r="AE634" i="9"/>
  <c r="CV634" i="9" s="1"/>
  <c r="AW634" i="9"/>
  <c r="DN634" i="9" s="1"/>
  <c r="AH634" i="9"/>
  <c r="CY634" i="9" s="1"/>
  <c r="AJ634" i="9"/>
  <c r="DA634" i="9" s="1"/>
  <c r="AL634" i="9"/>
  <c r="DC634" i="9" s="1"/>
  <c r="AP634" i="9"/>
  <c r="DG634" i="9" s="1"/>
  <c r="AR634" i="9"/>
  <c r="DI634" i="9" s="1"/>
  <c r="AK634" i="9"/>
  <c r="DB634" i="9" s="1"/>
  <c r="AQ634" i="9"/>
  <c r="DH634" i="9" s="1"/>
  <c r="BR634" i="9"/>
  <c r="EI634" i="9" s="1"/>
  <c r="AS634" i="9"/>
  <c r="DJ634" i="9" s="1"/>
  <c r="M628" i="9"/>
  <c r="CD628" i="9" s="1"/>
  <c r="BF628" i="9"/>
  <c r="DW628" i="9" s="1"/>
  <c r="AJ628" i="9"/>
  <c r="DA628" i="9" s="1"/>
  <c r="AT628" i="9"/>
  <c r="DK628" i="9" s="1"/>
  <c r="BE628" i="9"/>
  <c r="DV628" i="9" s="1"/>
  <c r="AV628" i="9"/>
  <c r="DM628" i="9" s="1"/>
  <c r="AD628" i="9"/>
  <c r="CU628" i="9" s="1"/>
  <c r="AX387" i="9"/>
  <c r="DO387" i="9" s="1"/>
  <c r="BC387" i="9"/>
  <c r="DT387" i="9" s="1"/>
  <c r="AO387" i="9"/>
  <c r="DF387" i="9" s="1"/>
  <c r="Z387" i="9"/>
  <c r="CQ387" i="9" s="1"/>
  <c r="Y387" i="9"/>
  <c r="CP387" i="9" s="1"/>
  <c r="BQ387" i="9"/>
  <c r="EH387" i="9" s="1"/>
  <c r="BM387" i="9"/>
  <c r="ED387" i="9" s="1"/>
  <c r="AI387" i="9"/>
  <c r="CZ387" i="9" s="1"/>
  <c r="V387" i="9"/>
  <c r="CM387" i="9" s="1"/>
  <c r="AT387" i="9"/>
  <c r="DK387" i="9" s="1"/>
  <c r="AR387" i="9"/>
  <c r="DI387" i="9" s="1"/>
  <c r="K387" i="9"/>
  <c r="AL387" i="9"/>
  <c r="DC387" i="9" s="1"/>
  <c r="M387" i="9"/>
  <c r="CD387" i="9" s="1"/>
  <c r="L387" i="9"/>
  <c r="CC387" i="9" s="1"/>
  <c r="R387" i="9"/>
  <c r="CI387" i="9" s="1"/>
  <c r="AZ387" i="9"/>
  <c r="DQ387" i="9" s="1"/>
  <c r="BF387" i="9"/>
  <c r="DW387" i="9" s="1"/>
  <c r="BL387" i="9"/>
  <c r="EC387" i="9" s="1"/>
  <c r="W387" i="9"/>
  <c r="CN387" i="9" s="1"/>
  <c r="BD387" i="9"/>
  <c r="DU387" i="9" s="1"/>
  <c r="U387" i="9"/>
  <c r="CL387" i="9" s="1"/>
  <c r="AU387" i="9"/>
  <c r="DL387" i="9" s="1"/>
  <c r="BR387" i="9"/>
  <c r="EI387" i="9" s="1"/>
  <c r="BB387" i="9"/>
  <c r="DS387" i="9" s="1"/>
  <c r="BH387" i="9"/>
  <c r="DY387" i="9" s="1"/>
  <c r="AP387" i="9"/>
  <c r="DG387" i="9" s="1"/>
  <c r="AF387" i="9"/>
  <c r="CW387" i="9" s="1"/>
  <c r="AH387" i="9"/>
  <c r="CY387" i="9" s="1"/>
  <c r="BJ387" i="9"/>
  <c r="EA387" i="9" s="1"/>
  <c r="AB387" i="9"/>
  <c r="CS387" i="9" s="1"/>
  <c r="AY387" i="9"/>
  <c r="DP387" i="9" s="1"/>
  <c r="BO387" i="9"/>
  <c r="EF387" i="9" s="1"/>
  <c r="AD387" i="9"/>
  <c r="CU387" i="9" s="1"/>
  <c r="AQ387" i="9"/>
  <c r="DH387" i="9" s="1"/>
  <c r="AW387" i="9"/>
  <c r="DN387" i="9" s="1"/>
  <c r="AC387" i="9"/>
  <c r="CT387" i="9" s="1"/>
  <c r="AA387" i="9"/>
  <c r="CR387" i="9" s="1"/>
  <c r="X387" i="9"/>
  <c r="CO387" i="9" s="1"/>
  <c r="BK387" i="9"/>
  <c r="EB387" i="9" s="1"/>
  <c r="AN387" i="9"/>
  <c r="DE387" i="9" s="1"/>
  <c r="BN387" i="9"/>
  <c r="EE387" i="9" s="1"/>
  <c r="BP387" i="9"/>
  <c r="EG387" i="9" s="1"/>
  <c r="AV387" i="9"/>
  <c r="DM387" i="9" s="1"/>
  <c r="AE387" i="9"/>
  <c r="CV387" i="9" s="1"/>
  <c r="AJ387" i="9"/>
  <c r="DA387" i="9" s="1"/>
  <c r="BI387" i="9"/>
  <c r="DZ387" i="9" s="1"/>
  <c r="AS387" i="9"/>
  <c r="DJ387" i="9" s="1"/>
  <c r="BG387" i="9"/>
  <c r="DX387" i="9" s="1"/>
  <c r="AK387" i="9"/>
  <c r="DB387" i="9" s="1"/>
  <c r="AM387" i="9"/>
  <c r="DD387" i="9" s="1"/>
  <c r="AG387" i="9"/>
  <c r="CX387" i="9" s="1"/>
  <c r="BA387" i="9"/>
  <c r="DR387" i="9" s="1"/>
  <c r="BE387" i="9"/>
  <c r="DV387" i="9" s="1"/>
  <c r="AD658" i="9"/>
  <c r="CU658" i="9" s="1"/>
  <c r="AC658" i="9"/>
  <c r="CT658" i="9" s="1"/>
  <c r="U658" i="9"/>
  <c r="CL658" i="9" s="1"/>
  <c r="BO658" i="9"/>
  <c r="EF658" i="9" s="1"/>
  <c r="BG658" i="9"/>
  <c r="DX658" i="9" s="1"/>
  <c r="AY658" i="9"/>
  <c r="DP658" i="9" s="1"/>
  <c r="AH658" i="9"/>
  <c r="CY658" i="9" s="1"/>
  <c r="BP658" i="9"/>
  <c r="EG658" i="9" s="1"/>
  <c r="BM658" i="9"/>
  <c r="ED658" i="9" s="1"/>
  <c r="AI658" i="9"/>
  <c r="CZ658" i="9" s="1"/>
  <c r="AO658" i="9"/>
  <c r="DF658" i="9" s="1"/>
  <c r="AE658" i="9"/>
  <c r="CV658" i="9" s="1"/>
  <c r="AN658" i="9"/>
  <c r="DE658" i="9" s="1"/>
  <c r="BK658" i="9"/>
  <c r="EB658" i="9" s="1"/>
  <c r="AW658" i="9"/>
  <c r="DN658" i="9" s="1"/>
  <c r="AS658" i="9"/>
  <c r="DJ658" i="9" s="1"/>
  <c r="Y658" i="9"/>
  <c r="CP658" i="9" s="1"/>
  <c r="AP658" i="9"/>
  <c r="DG658" i="9" s="1"/>
  <c r="AL658" i="9"/>
  <c r="DC658" i="9" s="1"/>
  <c r="AK658" i="9"/>
  <c r="DB658" i="9" s="1"/>
  <c r="BA658" i="9"/>
  <c r="DR658" i="9" s="1"/>
  <c r="AX658" i="9"/>
  <c r="DO658" i="9" s="1"/>
  <c r="AM658" i="9"/>
  <c r="DD658" i="9" s="1"/>
  <c r="AZ658" i="9"/>
  <c r="DQ658" i="9" s="1"/>
  <c r="BH658" i="9"/>
  <c r="DY658" i="9" s="1"/>
  <c r="AR658" i="9"/>
  <c r="DI658" i="9" s="1"/>
  <c r="BF658" i="9"/>
  <c r="DW658" i="9" s="1"/>
  <c r="AT658" i="9"/>
  <c r="DK658" i="9" s="1"/>
  <c r="X658" i="9"/>
  <c r="CO658" i="9" s="1"/>
  <c r="BI658" i="9"/>
  <c r="DZ658" i="9" s="1"/>
  <c r="AG658" i="9"/>
  <c r="CX658" i="9" s="1"/>
  <c r="AU658" i="9"/>
  <c r="DL658" i="9" s="1"/>
  <c r="AQ658" i="9"/>
  <c r="DH658" i="9" s="1"/>
  <c r="AJ658" i="9"/>
  <c r="DA658" i="9" s="1"/>
  <c r="BE658" i="9"/>
  <c r="DV658" i="9" s="1"/>
  <c r="BR658" i="9"/>
  <c r="EI658" i="9" s="1"/>
  <c r="BC658" i="9"/>
  <c r="DT658" i="9" s="1"/>
  <c r="AF658" i="9"/>
  <c r="CW658" i="9" s="1"/>
  <c r="BQ658" i="9"/>
  <c r="EH658" i="9" s="1"/>
  <c r="AB658" i="9"/>
  <c r="CS658" i="9" s="1"/>
  <c r="W658" i="9"/>
  <c r="CN658" i="9" s="1"/>
  <c r="V658" i="9"/>
  <c r="CM658" i="9" s="1"/>
  <c r="AA658" i="9"/>
  <c r="CR658" i="9" s="1"/>
  <c r="BB658" i="9"/>
  <c r="DS658" i="9" s="1"/>
  <c r="AV658" i="9"/>
  <c r="DM658" i="9" s="1"/>
  <c r="BL658" i="9"/>
  <c r="EC658" i="9" s="1"/>
  <c r="BD658" i="9"/>
  <c r="DU658" i="9" s="1"/>
  <c r="Z658" i="9"/>
  <c r="CQ658" i="9" s="1"/>
  <c r="BJ658" i="9"/>
  <c r="EA658" i="9" s="1"/>
  <c r="BN658" i="9"/>
  <c r="EE658" i="9" s="1"/>
  <c r="M658" i="9"/>
  <c r="CD658" i="9" s="1"/>
  <c r="N658" i="9"/>
  <c r="CE658" i="9" s="1"/>
  <c r="BN249" i="9"/>
  <c r="EE249" i="9" s="1"/>
  <c r="BG249" i="9"/>
  <c r="DX249" i="9" s="1"/>
  <c r="AI249" i="9"/>
  <c r="CZ249" i="9" s="1"/>
  <c r="AO249" i="9"/>
  <c r="DF249" i="9" s="1"/>
  <c r="AL249" i="9"/>
  <c r="DC249" i="9" s="1"/>
  <c r="W249" i="9"/>
  <c r="CN249" i="9" s="1"/>
  <c r="AP249" i="9"/>
  <c r="DG249" i="9" s="1"/>
  <c r="AW249" i="9"/>
  <c r="DN249" i="9" s="1"/>
  <c r="AR249" i="9"/>
  <c r="DI249" i="9" s="1"/>
  <c r="BO249" i="9"/>
  <c r="EF249" i="9" s="1"/>
  <c r="AS249" i="9"/>
  <c r="DJ249" i="9" s="1"/>
  <c r="AF249" i="9"/>
  <c r="CW249" i="9" s="1"/>
  <c r="AM249" i="9"/>
  <c r="DD249" i="9" s="1"/>
  <c r="BC249" i="9"/>
  <c r="DT249" i="9" s="1"/>
  <c r="BQ249" i="9"/>
  <c r="EH249" i="9" s="1"/>
  <c r="AD249" i="9"/>
  <c r="CU249" i="9" s="1"/>
  <c r="U249" i="9"/>
  <c r="CL249" i="9" s="1"/>
  <c r="BR249" i="9"/>
  <c r="EI249" i="9" s="1"/>
  <c r="BK249" i="9"/>
  <c r="EB249" i="9" s="1"/>
  <c r="BF249" i="9"/>
  <c r="DW249" i="9" s="1"/>
  <c r="BD249" i="9"/>
  <c r="DU249" i="9" s="1"/>
  <c r="AJ249" i="9"/>
  <c r="DA249" i="9" s="1"/>
  <c r="AA249" i="9"/>
  <c r="CR249" i="9" s="1"/>
  <c r="AT249" i="9"/>
  <c r="DK249" i="9" s="1"/>
  <c r="AU249" i="9"/>
  <c r="DL249" i="9" s="1"/>
  <c r="AC249" i="9"/>
  <c r="CT249" i="9" s="1"/>
  <c r="AX249" i="9"/>
  <c r="DO249" i="9" s="1"/>
  <c r="AB249" i="9"/>
  <c r="CS249" i="9" s="1"/>
  <c r="BA249" i="9"/>
  <c r="DR249" i="9" s="1"/>
  <c r="BM249" i="9"/>
  <c r="ED249" i="9" s="1"/>
  <c r="BH249" i="9"/>
  <c r="DY249" i="9" s="1"/>
  <c r="BB249" i="9"/>
  <c r="DS249" i="9" s="1"/>
  <c r="BI249" i="9"/>
  <c r="DZ249" i="9" s="1"/>
  <c r="BE249" i="9"/>
  <c r="DV249" i="9" s="1"/>
  <c r="AG249" i="9"/>
  <c r="CX249" i="9" s="1"/>
  <c r="AZ249" i="9"/>
  <c r="DQ249" i="9" s="1"/>
  <c r="V249" i="9"/>
  <c r="CM249" i="9" s="1"/>
  <c r="AQ249" i="9"/>
  <c r="DH249" i="9" s="1"/>
  <c r="BJ249" i="9"/>
  <c r="EA249" i="9" s="1"/>
  <c r="AV249" i="9"/>
  <c r="DM249" i="9" s="1"/>
  <c r="BL249" i="9"/>
  <c r="EC249" i="9" s="1"/>
  <c r="X249" i="9"/>
  <c r="CO249" i="9" s="1"/>
  <c r="AK249" i="9"/>
  <c r="DB249" i="9" s="1"/>
  <c r="Y249" i="9"/>
  <c r="CP249" i="9" s="1"/>
  <c r="AH249" i="9"/>
  <c r="CY249" i="9" s="1"/>
  <c r="AY249" i="9"/>
  <c r="DP249" i="9" s="1"/>
  <c r="AE249" i="9"/>
  <c r="CV249" i="9" s="1"/>
  <c r="Z249" i="9"/>
  <c r="CQ249" i="9" s="1"/>
  <c r="BP249" i="9"/>
  <c r="EG249" i="9" s="1"/>
  <c r="AN249" i="9"/>
  <c r="DE249" i="9" s="1"/>
  <c r="AP562" i="9"/>
  <c r="DG562" i="9" s="1"/>
  <c r="AT562" i="9"/>
  <c r="DK562" i="9" s="1"/>
  <c r="BB562" i="9"/>
  <c r="DS562" i="9" s="1"/>
  <c r="AZ562" i="9"/>
  <c r="DQ562" i="9" s="1"/>
  <c r="AU562" i="9"/>
  <c r="DL562" i="9" s="1"/>
  <c r="AG562" i="9"/>
  <c r="CX562" i="9" s="1"/>
  <c r="BN562" i="9"/>
  <c r="EE562" i="9" s="1"/>
  <c r="BR562" i="9"/>
  <c r="EI562" i="9" s="1"/>
  <c r="Y388" i="9"/>
  <c r="CP388" i="9" s="1"/>
  <c r="BL388" i="9"/>
  <c r="EC388" i="9" s="1"/>
  <c r="Z388" i="9"/>
  <c r="CQ388" i="9" s="1"/>
  <c r="T388" i="9"/>
  <c r="CK388" i="9" s="1"/>
  <c r="P388" i="9"/>
  <c r="CG388" i="9" s="1"/>
  <c r="S388" i="9"/>
  <c r="CJ388" i="9" s="1"/>
  <c r="U388" i="9"/>
  <c r="CL388" i="9" s="1"/>
  <c r="AB388" i="9"/>
  <c r="CS388" i="9" s="1"/>
  <c r="AN388" i="9"/>
  <c r="DE388" i="9" s="1"/>
  <c r="BD388" i="9"/>
  <c r="DU388" i="9" s="1"/>
  <c r="BB388" i="9"/>
  <c r="DS388" i="9" s="1"/>
  <c r="BJ388" i="9"/>
  <c r="EA388" i="9" s="1"/>
  <c r="AA388" i="9"/>
  <c r="CR388" i="9" s="1"/>
  <c r="AO388" i="9"/>
  <c r="DF388" i="9" s="1"/>
  <c r="AD388" i="9"/>
  <c r="CU388" i="9" s="1"/>
  <c r="BP388" i="9"/>
  <c r="EG388" i="9" s="1"/>
  <c r="AU388" i="9"/>
  <c r="DL388" i="9" s="1"/>
  <c r="AY388" i="9"/>
  <c r="DP388" i="9" s="1"/>
  <c r="AH388" i="9"/>
  <c r="CY388" i="9" s="1"/>
  <c r="AP388" i="9"/>
  <c r="DG388" i="9" s="1"/>
  <c r="AF388" i="9"/>
  <c r="CW388" i="9" s="1"/>
  <c r="AI388" i="9"/>
  <c r="CZ388" i="9" s="1"/>
  <c r="BK388" i="9"/>
  <c r="EB388" i="9" s="1"/>
  <c r="AC388" i="9"/>
  <c r="CT388" i="9" s="1"/>
  <c r="BO388" i="9"/>
  <c r="EF388" i="9" s="1"/>
  <c r="AZ388" i="9"/>
  <c r="DQ388" i="9" s="1"/>
  <c r="BR388" i="9"/>
  <c r="EI388" i="9" s="1"/>
  <c r="AX388" i="9"/>
  <c r="DO388" i="9" s="1"/>
  <c r="BA388" i="9"/>
  <c r="DR388" i="9" s="1"/>
  <c r="AG388" i="9"/>
  <c r="CX388" i="9" s="1"/>
  <c r="BG388" i="9"/>
  <c r="DX388" i="9" s="1"/>
  <c r="AM388" i="9"/>
  <c r="DD388" i="9" s="1"/>
  <c r="BN388" i="9"/>
  <c r="EE388" i="9" s="1"/>
  <c r="BF388" i="9"/>
  <c r="DW388" i="9" s="1"/>
  <c r="BM388" i="9"/>
  <c r="ED388" i="9" s="1"/>
  <c r="AQ388" i="9"/>
  <c r="DH388" i="9" s="1"/>
  <c r="AL388" i="9"/>
  <c r="DC388" i="9" s="1"/>
  <c r="AW388" i="9"/>
  <c r="DN388" i="9" s="1"/>
  <c r="AE388" i="9"/>
  <c r="CV388" i="9" s="1"/>
  <c r="BC388" i="9"/>
  <c r="DT388" i="9" s="1"/>
  <c r="AR388" i="9"/>
  <c r="DI388" i="9" s="1"/>
  <c r="BQ388" i="9"/>
  <c r="EH388" i="9" s="1"/>
  <c r="BE388" i="9"/>
  <c r="DV388" i="9" s="1"/>
  <c r="AV388" i="9"/>
  <c r="DM388" i="9" s="1"/>
  <c r="AK388" i="9"/>
  <c r="DB388" i="9" s="1"/>
  <c r="V388" i="9"/>
  <c r="CM388" i="9" s="1"/>
  <c r="AS388" i="9"/>
  <c r="DJ388" i="9" s="1"/>
  <c r="AT388" i="9"/>
  <c r="DK388" i="9" s="1"/>
  <c r="X388" i="9"/>
  <c r="CO388" i="9" s="1"/>
  <c r="BI388" i="9"/>
  <c r="DZ388" i="9" s="1"/>
  <c r="AJ388" i="9"/>
  <c r="DA388" i="9" s="1"/>
  <c r="BH388" i="9"/>
  <c r="DY388" i="9" s="1"/>
  <c r="K388" i="9"/>
  <c r="CB388" i="9" s="1"/>
  <c r="W388" i="9"/>
  <c r="CN388" i="9" s="1"/>
  <c r="AG636" i="9"/>
  <c r="CX636" i="9" s="1"/>
  <c r="AM636" i="9"/>
  <c r="DD636" i="9" s="1"/>
  <c r="AP636" i="9"/>
  <c r="DG636" i="9" s="1"/>
  <c r="AQ636" i="9"/>
  <c r="DH636" i="9" s="1"/>
  <c r="AE636" i="9"/>
  <c r="CV636" i="9" s="1"/>
  <c r="AH636" i="9"/>
  <c r="CY636" i="9" s="1"/>
  <c r="AA636" i="9"/>
  <c r="CR636" i="9" s="1"/>
  <c r="X636" i="9"/>
  <c r="CO636" i="9" s="1"/>
  <c r="AU636" i="9"/>
  <c r="DL636" i="9" s="1"/>
  <c r="AD636" i="9"/>
  <c r="CU636" i="9" s="1"/>
  <c r="BE636" i="9"/>
  <c r="DV636" i="9" s="1"/>
  <c r="AY636" i="9"/>
  <c r="DP636" i="9" s="1"/>
  <c r="AT636" i="9"/>
  <c r="DK636" i="9" s="1"/>
  <c r="BD636" i="9"/>
  <c r="DU636" i="9" s="1"/>
  <c r="BK636" i="9"/>
  <c r="EB636" i="9" s="1"/>
  <c r="BO636" i="9"/>
  <c r="EF636" i="9" s="1"/>
  <c r="BA636" i="9"/>
  <c r="DR636" i="9" s="1"/>
  <c r="AV636" i="9"/>
  <c r="DM636" i="9" s="1"/>
  <c r="BQ636" i="9"/>
  <c r="EH636" i="9" s="1"/>
  <c r="BC636" i="9"/>
  <c r="DT636" i="9" s="1"/>
  <c r="BM636" i="9"/>
  <c r="ED636" i="9" s="1"/>
  <c r="BI636" i="9"/>
  <c r="DZ636" i="9" s="1"/>
  <c r="AI636" i="9"/>
  <c r="CZ636" i="9" s="1"/>
  <c r="U636" i="9"/>
  <c r="CL636" i="9" s="1"/>
  <c r="BJ636" i="9"/>
  <c r="EA636" i="9" s="1"/>
  <c r="BN636" i="9"/>
  <c r="EE636" i="9" s="1"/>
  <c r="Y636" i="9"/>
  <c r="CP636" i="9" s="1"/>
  <c r="AW636" i="9"/>
  <c r="DN636" i="9" s="1"/>
  <c r="BB636" i="9"/>
  <c r="DS636" i="9" s="1"/>
  <c r="BL636" i="9"/>
  <c r="EC636" i="9" s="1"/>
  <c r="AS636" i="9"/>
  <c r="DJ636" i="9" s="1"/>
  <c r="BR636" i="9"/>
  <c r="EI636" i="9" s="1"/>
  <c r="V636" i="9"/>
  <c r="CM636" i="9" s="1"/>
  <c r="BG636" i="9"/>
  <c r="DX636" i="9" s="1"/>
  <c r="R636" i="9"/>
  <c r="CI636" i="9" s="1"/>
  <c r="O636" i="9"/>
  <c r="CF636" i="9" s="1"/>
  <c r="K636" i="9"/>
  <c r="CB636" i="9" s="1"/>
  <c r="W636" i="9"/>
  <c r="CN636" i="9" s="1"/>
  <c r="Z636" i="9"/>
  <c r="CQ636" i="9" s="1"/>
  <c r="AO636" i="9"/>
  <c r="DF636" i="9" s="1"/>
  <c r="AL636" i="9"/>
  <c r="DC636" i="9" s="1"/>
  <c r="AN636" i="9"/>
  <c r="DE636" i="9" s="1"/>
  <c r="BH636" i="9"/>
  <c r="DY636" i="9" s="1"/>
  <c r="AK636" i="9"/>
  <c r="DB636" i="9" s="1"/>
  <c r="BP636" i="9"/>
  <c r="EG636" i="9" s="1"/>
  <c r="AR636" i="9"/>
  <c r="DI636" i="9" s="1"/>
  <c r="AF636" i="9"/>
  <c r="CW636" i="9" s="1"/>
  <c r="AC636" i="9"/>
  <c r="CT636" i="9" s="1"/>
  <c r="AZ636" i="9"/>
  <c r="DQ636" i="9" s="1"/>
  <c r="BF636" i="9"/>
  <c r="DW636" i="9" s="1"/>
  <c r="AJ636" i="9"/>
  <c r="DA636" i="9" s="1"/>
  <c r="AB636" i="9"/>
  <c r="CS636" i="9" s="1"/>
  <c r="AX636" i="9"/>
  <c r="DO636" i="9" s="1"/>
  <c r="BG491" i="9"/>
  <c r="DX491" i="9" s="1"/>
  <c r="K491" i="9"/>
  <c r="CB491" i="9" s="1"/>
  <c r="U622" i="9"/>
  <c r="CL622" i="9" s="1"/>
  <c r="AT622" i="9"/>
  <c r="DK622" i="9" s="1"/>
  <c r="BK622" i="9"/>
  <c r="EB622" i="9" s="1"/>
  <c r="BO622" i="9"/>
  <c r="EF622" i="9" s="1"/>
  <c r="BB622" i="9"/>
  <c r="DS622" i="9" s="1"/>
  <c r="AD622" i="9"/>
  <c r="CU622" i="9" s="1"/>
  <c r="AZ622" i="9"/>
  <c r="DQ622" i="9" s="1"/>
  <c r="AQ622" i="9"/>
  <c r="DH622" i="9" s="1"/>
  <c r="W622" i="9"/>
  <c r="CN622" i="9" s="1"/>
  <c r="AC622" i="9"/>
  <c r="CT622" i="9" s="1"/>
  <c r="BF622" i="9"/>
  <c r="DW622" i="9" s="1"/>
  <c r="AN622" i="9"/>
  <c r="DE622" i="9" s="1"/>
  <c r="AL622" i="9"/>
  <c r="DC622" i="9" s="1"/>
  <c r="Z622" i="9"/>
  <c r="CQ622" i="9" s="1"/>
  <c r="BC622" i="9"/>
  <c r="DT622" i="9" s="1"/>
  <c r="AR622" i="9"/>
  <c r="DI622" i="9" s="1"/>
  <c r="AP622" i="9"/>
  <c r="DG622" i="9" s="1"/>
  <c r="AH622" i="9"/>
  <c r="CY622" i="9" s="1"/>
  <c r="BP622" i="9"/>
  <c r="EG622" i="9" s="1"/>
  <c r="BE622" i="9"/>
  <c r="DV622" i="9" s="1"/>
  <c r="AV622" i="9"/>
  <c r="DM622" i="9" s="1"/>
  <c r="Q622" i="9"/>
  <c r="CH622" i="9" s="1"/>
  <c r="AF622" i="9"/>
  <c r="CW622" i="9" s="1"/>
  <c r="BH622" i="9"/>
  <c r="DY622" i="9" s="1"/>
  <c r="AE622" i="9"/>
  <c r="CV622" i="9" s="1"/>
  <c r="N622" i="9"/>
  <c r="CE622" i="9" s="1"/>
  <c r="L622" i="9"/>
  <c r="CC622" i="9" s="1"/>
  <c r="AX622" i="9"/>
  <c r="DO622" i="9" s="1"/>
  <c r="M622" i="9"/>
  <c r="CD622" i="9" s="1"/>
  <c r="P622" i="9"/>
  <c r="CG622" i="9" s="1"/>
  <c r="BM622" i="9"/>
  <c r="ED622" i="9" s="1"/>
  <c r="BJ622" i="9"/>
  <c r="EA622" i="9" s="1"/>
  <c r="AI622" i="9"/>
  <c r="CZ622" i="9" s="1"/>
  <c r="R622" i="9"/>
  <c r="CI622" i="9" s="1"/>
  <c r="AG622" i="9"/>
  <c r="CX622" i="9" s="1"/>
  <c r="BG622" i="9"/>
  <c r="DX622" i="9" s="1"/>
  <c r="AK622" i="9"/>
  <c r="DB622" i="9" s="1"/>
  <c r="BR622" i="9"/>
  <c r="EI622" i="9" s="1"/>
  <c r="AO622" i="9"/>
  <c r="DF622" i="9" s="1"/>
  <c r="AJ622" i="9"/>
  <c r="DA622" i="9" s="1"/>
  <c r="BA622" i="9"/>
  <c r="DR622" i="9" s="1"/>
  <c r="BQ622" i="9"/>
  <c r="EH622" i="9" s="1"/>
  <c r="AA622" i="9"/>
  <c r="CR622" i="9" s="1"/>
  <c r="BN622" i="9"/>
  <c r="EE622" i="9" s="1"/>
  <c r="V622" i="9"/>
  <c r="CM622" i="9" s="1"/>
  <c r="AU622" i="9"/>
  <c r="DL622" i="9" s="1"/>
  <c r="BL622" i="9"/>
  <c r="EC622" i="9" s="1"/>
  <c r="Y622" i="9"/>
  <c r="CP622" i="9" s="1"/>
  <c r="AB622" i="9"/>
  <c r="CS622" i="9" s="1"/>
  <c r="AS622" i="9"/>
  <c r="DJ622" i="9" s="1"/>
  <c r="AY622" i="9"/>
  <c r="DP622" i="9" s="1"/>
  <c r="BD622" i="9"/>
  <c r="DU622" i="9" s="1"/>
  <c r="AW622" i="9"/>
  <c r="DN622" i="9" s="1"/>
  <c r="AM622" i="9"/>
  <c r="DD622" i="9" s="1"/>
  <c r="BI622" i="9"/>
  <c r="DZ622" i="9" s="1"/>
  <c r="X622" i="9"/>
  <c r="CO622" i="9" s="1"/>
  <c r="AL490" i="9"/>
  <c r="DC490" i="9" s="1"/>
  <c r="V490" i="9"/>
  <c r="CM490" i="9" s="1"/>
  <c r="U490" i="9"/>
  <c r="CL490" i="9" s="1"/>
  <c r="AE490" i="9"/>
  <c r="CV490" i="9" s="1"/>
  <c r="AY490" i="9"/>
  <c r="DP490" i="9" s="1"/>
  <c r="AF490" i="9"/>
  <c r="CW490" i="9" s="1"/>
  <c r="AB490" i="9"/>
  <c r="CS490" i="9" s="1"/>
  <c r="Z490" i="9"/>
  <c r="CQ490" i="9" s="1"/>
  <c r="AK490" i="9"/>
  <c r="DB490" i="9" s="1"/>
  <c r="BP490" i="9"/>
  <c r="EG490" i="9" s="1"/>
  <c r="BN490" i="9"/>
  <c r="EE490" i="9" s="1"/>
  <c r="BF490" i="9"/>
  <c r="DW490" i="9" s="1"/>
  <c r="BJ490" i="9"/>
  <c r="EA490" i="9" s="1"/>
  <c r="BK490" i="9"/>
  <c r="EB490" i="9" s="1"/>
  <c r="BR490" i="9"/>
  <c r="EI490" i="9" s="1"/>
  <c r="AZ490" i="9"/>
  <c r="DQ490" i="9" s="1"/>
  <c r="BL490" i="9"/>
  <c r="EC490" i="9" s="1"/>
  <c r="AQ490" i="9"/>
  <c r="DH490" i="9" s="1"/>
  <c r="BQ490" i="9"/>
  <c r="EH490" i="9" s="1"/>
  <c r="BD490" i="9"/>
  <c r="DU490" i="9" s="1"/>
  <c r="AO490" i="9"/>
  <c r="DF490" i="9" s="1"/>
  <c r="AT490" i="9"/>
  <c r="DK490" i="9" s="1"/>
  <c r="AJ490" i="9"/>
  <c r="DA490" i="9" s="1"/>
  <c r="AS490" i="9"/>
  <c r="DJ490" i="9" s="1"/>
  <c r="AM490" i="9"/>
  <c r="DD490" i="9" s="1"/>
  <c r="BB490" i="9"/>
  <c r="DS490" i="9" s="1"/>
  <c r="BE490" i="9"/>
  <c r="DV490" i="9" s="1"/>
  <c r="AR490" i="9"/>
  <c r="DI490" i="9" s="1"/>
  <c r="S490" i="9"/>
  <c r="CJ490" i="9" s="1"/>
  <c r="O490" i="9"/>
  <c r="CF490" i="9" s="1"/>
  <c r="P490" i="9"/>
  <c r="CG490" i="9" s="1"/>
  <c r="AP490" i="9"/>
  <c r="DG490" i="9" s="1"/>
  <c r="AA490" i="9"/>
  <c r="CR490" i="9" s="1"/>
  <c r="AI490" i="9"/>
  <c r="CZ490" i="9" s="1"/>
  <c r="AU490" i="9"/>
  <c r="DL490" i="9" s="1"/>
  <c r="AN490" i="9"/>
  <c r="DE490" i="9" s="1"/>
  <c r="AC490" i="9"/>
  <c r="CT490" i="9" s="1"/>
  <c r="BG490" i="9"/>
  <c r="DX490" i="9" s="1"/>
  <c r="AG490" i="9"/>
  <c r="CX490" i="9" s="1"/>
  <c r="X490" i="9"/>
  <c r="CO490" i="9" s="1"/>
  <c r="W490" i="9"/>
  <c r="CN490" i="9" s="1"/>
  <c r="BC490" i="9"/>
  <c r="DT490" i="9" s="1"/>
  <c r="BA490" i="9"/>
  <c r="DR490" i="9" s="1"/>
  <c r="BM490" i="9"/>
  <c r="ED490" i="9" s="1"/>
  <c r="AD490" i="9"/>
  <c r="CU490" i="9" s="1"/>
  <c r="AW490" i="9"/>
  <c r="DN490" i="9" s="1"/>
  <c r="BI490" i="9"/>
  <c r="DZ490" i="9" s="1"/>
  <c r="AH490" i="9"/>
  <c r="CY490" i="9" s="1"/>
  <c r="AX490" i="9"/>
  <c r="DO490" i="9" s="1"/>
  <c r="BO490" i="9"/>
  <c r="EF490" i="9" s="1"/>
  <c r="Y490" i="9"/>
  <c r="CP490" i="9" s="1"/>
  <c r="BH490" i="9"/>
  <c r="DY490" i="9" s="1"/>
  <c r="AV490" i="9"/>
  <c r="DM490" i="9" s="1"/>
  <c r="BR648" i="9"/>
  <c r="EI648" i="9" s="1"/>
  <c r="BD648" i="9"/>
  <c r="DU648" i="9" s="1"/>
  <c r="BN648" i="9"/>
  <c r="EE648" i="9" s="1"/>
  <c r="AQ648" i="9"/>
  <c r="DH648" i="9" s="1"/>
  <c r="AD648" i="9"/>
  <c r="CU648" i="9" s="1"/>
  <c r="BR626" i="9"/>
  <c r="EI626" i="9" s="1"/>
  <c r="BD626" i="9"/>
  <c r="DU626" i="9" s="1"/>
  <c r="BN626" i="9"/>
  <c r="EE626" i="9" s="1"/>
  <c r="BL626" i="9"/>
  <c r="EC626" i="9" s="1"/>
  <c r="BE626" i="9"/>
  <c r="DV626" i="9" s="1"/>
  <c r="BA626" i="9"/>
  <c r="DR626" i="9" s="1"/>
  <c r="V626" i="9"/>
  <c r="CM626" i="9" s="1"/>
  <c r="AW626" i="9"/>
  <c r="DN626" i="9" s="1"/>
  <c r="X626" i="9"/>
  <c r="CO626" i="9" s="1"/>
  <c r="BM626" i="9"/>
  <c r="ED626" i="9" s="1"/>
  <c r="BC626" i="9"/>
  <c r="DT626" i="9" s="1"/>
  <c r="AS626" i="9"/>
  <c r="DJ626" i="9" s="1"/>
  <c r="AT626" i="9"/>
  <c r="DK626" i="9" s="1"/>
  <c r="AI626" i="9"/>
  <c r="CZ626" i="9" s="1"/>
  <c r="BB626" i="9"/>
  <c r="DS626" i="9" s="1"/>
  <c r="AR626" i="9"/>
  <c r="DI626" i="9" s="1"/>
  <c r="AY626" i="9"/>
  <c r="DP626" i="9" s="1"/>
  <c r="BK626" i="9"/>
  <c r="EB626" i="9" s="1"/>
  <c r="W626" i="9"/>
  <c r="CN626" i="9" s="1"/>
  <c r="AL626" i="9"/>
  <c r="DC626" i="9" s="1"/>
  <c r="AN626" i="9"/>
  <c r="DE626" i="9" s="1"/>
  <c r="AU626" i="9"/>
  <c r="DL626" i="9" s="1"/>
  <c r="Z626" i="9"/>
  <c r="CQ626" i="9" s="1"/>
  <c r="AM626" i="9"/>
  <c r="DD626" i="9" s="1"/>
  <c r="AA626" i="9"/>
  <c r="CR626" i="9" s="1"/>
  <c r="AH626" i="9"/>
  <c r="CY626" i="9" s="1"/>
  <c r="BF626" i="9"/>
  <c r="DW626" i="9" s="1"/>
  <c r="AG626" i="9"/>
  <c r="CX626" i="9" s="1"/>
  <c r="AQ626" i="9"/>
  <c r="DH626" i="9" s="1"/>
  <c r="AE626" i="9"/>
  <c r="CV626" i="9" s="1"/>
  <c r="AX626" i="9"/>
  <c r="DO626" i="9" s="1"/>
  <c r="AK626" i="9"/>
  <c r="DB626" i="9" s="1"/>
  <c r="AP626" i="9"/>
  <c r="DG626" i="9" s="1"/>
  <c r="AF626" i="9"/>
  <c r="CW626" i="9" s="1"/>
  <c r="AZ626" i="9"/>
  <c r="DQ626" i="9" s="1"/>
  <c r="AJ626" i="9"/>
  <c r="DA626" i="9" s="1"/>
  <c r="BH626" i="9"/>
  <c r="DY626" i="9" s="1"/>
  <c r="AO626" i="9"/>
  <c r="DF626" i="9" s="1"/>
  <c r="AC626" i="9"/>
  <c r="CT626" i="9" s="1"/>
  <c r="BP626" i="9"/>
  <c r="EG626" i="9" s="1"/>
  <c r="AB626" i="9"/>
  <c r="CS626" i="9" s="1"/>
  <c r="S626" i="9"/>
  <c r="CJ626" i="9" s="1"/>
  <c r="AD626" i="9"/>
  <c r="CU626" i="9" s="1"/>
  <c r="M626" i="9"/>
  <c r="CD626" i="9" s="1"/>
  <c r="P626" i="9"/>
  <c r="CG626" i="9" s="1"/>
  <c r="K626" i="9"/>
  <c r="CB626" i="9" s="1"/>
  <c r="O626" i="9"/>
  <c r="CF626" i="9" s="1"/>
  <c r="BO626" i="9"/>
  <c r="EF626" i="9" s="1"/>
  <c r="BJ626" i="9"/>
  <c r="EA626" i="9" s="1"/>
  <c r="U626" i="9"/>
  <c r="CL626" i="9" s="1"/>
  <c r="AV626" i="9"/>
  <c r="DM626" i="9" s="1"/>
  <c r="Y626" i="9"/>
  <c r="CP626" i="9" s="1"/>
  <c r="BG626" i="9"/>
  <c r="DX626" i="9" s="1"/>
  <c r="BI626" i="9"/>
  <c r="DZ626" i="9" s="1"/>
  <c r="BQ626" i="9"/>
  <c r="EH626" i="9" s="1"/>
  <c r="K394" i="9"/>
  <c r="CB394" i="9" s="1"/>
  <c r="AN650" i="9"/>
  <c r="DE650" i="9" s="1"/>
  <c r="BF650" i="9"/>
  <c r="DW650" i="9" s="1"/>
  <c r="AJ650" i="9"/>
  <c r="DA650" i="9" s="1"/>
  <c r="BJ650" i="9"/>
  <c r="EA650" i="9" s="1"/>
  <c r="AQ650" i="9"/>
  <c r="DH650" i="9" s="1"/>
  <c r="AY650" i="9"/>
  <c r="DP650" i="9" s="1"/>
  <c r="BO440" i="9"/>
  <c r="EF440" i="9" s="1"/>
  <c r="Y440" i="9"/>
  <c r="CP440" i="9" s="1"/>
  <c r="BF440" i="9"/>
  <c r="DW440" i="9" s="1"/>
  <c r="BQ440" i="9"/>
  <c r="EH440" i="9" s="1"/>
  <c r="AV440" i="9"/>
  <c r="DM440" i="9" s="1"/>
  <c r="AQ440" i="9"/>
  <c r="DH440" i="9" s="1"/>
  <c r="AR554" i="9"/>
  <c r="DI554" i="9" s="1"/>
  <c r="W248" i="9"/>
  <c r="CN248" i="9" s="1"/>
  <c r="AF248" i="9"/>
  <c r="CW248" i="9" s="1"/>
  <c r="U248" i="9"/>
  <c r="CL248" i="9" s="1"/>
  <c r="BK248" i="9"/>
  <c r="EB248" i="9" s="1"/>
  <c r="AI248" i="9"/>
  <c r="CZ248" i="9" s="1"/>
  <c r="AV248" i="9"/>
  <c r="DM248" i="9" s="1"/>
  <c r="AA248" i="9"/>
  <c r="CR248" i="9" s="1"/>
  <c r="AW252" i="9"/>
  <c r="DN252" i="9" s="1"/>
  <c r="BC278" i="9"/>
  <c r="DT278" i="9" s="1"/>
  <c r="W398" i="9"/>
  <c r="CN398" i="9" s="1"/>
  <c r="AB374" i="9"/>
  <c r="CS374" i="9" s="1"/>
  <c r="BK604" i="9"/>
  <c r="EB604" i="9" s="1"/>
  <c r="AI279" i="9"/>
  <c r="CZ279" i="9" s="1"/>
  <c r="AM279" i="9"/>
  <c r="DD279" i="9" s="1"/>
  <c r="BR279" i="9"/>
  <c r="EI279" i="9" s="1"/>
  <c r="AB279" i="9"/>
  <c r="CS279" i="9" s="1"/>
  <c r="AP279" i="9"/>
  <c r="DG279" i="9" s="1"/>
  <c r="BO279" i="9"/>
  <c r="EF279" i="9" s="1"/>
  <c r="R562" i="9"/>
  <c r="CI562" i="9" s="1"/>
  <c r="BP562" i="9"/>
  <c r="EG562" i="9" s="1"/>
  <c r="AW562" i="9"/>
  <c r="DN562" i="9" s="1"/>
  <c r="BA562" i="9"/>
  <c r="DR562" i="9" s="1"/>
  <c r="BQ562" i="9"/>
  <c r="EH562" i="9" s="1"/>
  <c r="AK562" i="9"/>
  <c r="DB562" i="9" s="1"/>
  <c r="AQ562" i="9"/>
  <c r="DH562" i="9" s="1"/>
  <c r="AP363" i="9"/>
  <c r="DG363" i="9" s="1"/>
  <c r="M439" i="9"/>
  <c r="CD439" i="9" s="1"/>
  <c r="BQ439" i="9"/>
  <c r="EH439" i="9" s="1"/>
  <c r="AR439" i="9"/>
  <c r="DI439" i="9" s="1"/>
  <c r="AT439" i="9"/>
  <c r="DK439" i="9" s="1"/>
  <c r="AJ439" i="9"/>
  <c r="DA439" i="9" s="1"/>
  <c r="BP439" i="9"/>
  <c r="EG439" i="9" s="1"/>
  <c r="AZ439" i="9"/>
  <c r="DQ439" i="9" s="1"/>
  <c r="M394" i="9"/>
  <c r="CD394" i="9" s="1"/>
  <c r="BP394" i="9"/>
  <c r="EG394" i="9" s="1"/>
  <c r="AF394" i="9"/>
  <c r="CW394" i="9" s="1"/>
  <c r="AK394" i="9"/>
  <c r="DB394" i="9" s="1"/>
  <c r="BH394" i="9"/>
  <c r="DY394" i="9" s="1"/>
  <c r="AI394" i="9"/>
  <c r="CZ394" i="9" s="1"/>
  <c r="AQ394" i="9"/>
  <c r="DH394" i="9" s="1"/>
  <c r="R479" i="9"/>
  <c r="CI479" i="9" s="1"/>
  <c r="BQ479" i="9"/>
  <c r="EH479" i="9" s="1"/>
  <c r="AF479" i="9"/>
  <c r="CW479" i="9" s="1"/>
  <c r="AF650" i="9"/>
  <c r="CW650" i="9" s="1"/>
  <c r="AT650" i="9"/>
  <c r="DK650" i="9" s="1"/>
  <c r="BL650" i="9"/>
  <c r="EC650" i="9" s="1"/>
  <c r="BA650" i="9"/>
  <c r="DR650" i="9" s="1"/>
  <c r="BE650" i="9"/>
  <c r="DV650" i="9" s="1"/>
  <c r="AK650" i="9"/>
  <c r="DB650" i="9" s="1"/>
  <c r="BO650" i="9"/>
  <c r="EF650" i="9" s="1"/>
  <c r="AS440" i="9"/>
  <c r="DJ440" i="9" s="1"/>
  <c r="BG440" i="9"/>
  <c r="DX440" i="9" s="1"/>
  <c r="BI440" i="9"/>
  <c r="DZ440" i="9" s="1"/>
  <c r="AN440" i="9"/>
  <c r="DE440" i="9" s="1"/>
  <c r="AI440" i="9"/>
  <c r="CZ440" i="9" s="1"/>
  <c r="AL440" i="9"/>
  <c r="DC440" i="9" s="1"/>
  <c r="BN554" i="9"/>
  <c r="EE554" i="9" s="1"/>
  <c r="AC248" i="9"/>
  <c r="CT248" i="9" s="1"/>
  <c r="AD248" i="9"/>
  <c r="CU248" i="9" s="1"/>
  <c r="AH248" i="9"/>
  <c r="CY248" i="9" s="1"/>
  <c r="BA248" i="9"/>
  <c r="DR248" i="9" s="1"/>
  <c r="AX248" i="9"/>
  <c r="DO248" i="9" s="1"/>
  <c r="AN248" i="9"/>
  <c r="DE248" i="9" s="1"/>
  <c r="BI566" i="9"/>
  <c r="DZ566" i="9" s="1"/>
  <c r="AP278" i="9"/>
  <c r="DG278" i="9" s="1"/>
  <c r="AA398" i="9"/>
  <c r="CR398" i="9" s="1"/>
  <c r="BG374" i="9"/>
  <c r="DX374" i="9" s="1"/>
  <c r="AB604" i="9"/>
  <c r="CS604" i="9" s="1"/>
  <c r="AT279" i="9"/>
  <c r="DK279" i="9" s="1"/>
  <c r="BP279" i="9"/>
  <c r="EG279" i="9" s="1"/>
  <c r="BI279" i="9"/>
  <c r="DZ279" i="9" s="1"/>
  <c r="BM279" i="9"/>
  <c r="ED279" i="9" s="1"/>
  <c r="AF279" i="9"/>
  <c r="CW279" i="9" s="1"/>
  <c r="Y279" i="9"/>
  <c r="CP279" i="9" s="1"/>
  <c r="N650" i="9"/>
  <c r="CE650" i="9" s="1"/>
  <c r="AG567" i="9"/>
  <c r="CX567" i="9" s="1"/>
  <c r="AJ562" i="9"/>
  <c r="DA562" i="9" s="1"/>
  <c r="AN562" i="9"/>
  <c r="DE562" i="9" s="1"/>
  <c r="BJ562" i="9"/>
  <c r="EA562" i="9" s="1"/>
  <c r="AB562" i="9"/>
  <c r="CS562" i="9" s="1"/>
  <c r="Y562" i="9"/>
  <c r="CP562" i="9" s="1"/>
  <c r="BH562" i="9"/>
  <c r="DY562" i="9" s="1"/>
  <c r="BD562" i="9"/>
  <c r="DU562" i="9" s="1"/>
  <c r="AA363" i="9"/>
  <c r="CR363" i="9" s="1"/>
  <c r="O439" i="9"/>
  <c r="CF439" i="9" s="1"/>
  <c r="AF439" i="9"/>
  <c r="CW439" i="9" s="1"/>
  <c r="AU439" i="9"/>
  <c r="DL439" i="9" s="1"/>
  <c r="AE439" i="9"/>
  <c r="CV439" i="9" s="1"/>
  <c r="AC439" i="9"/>
  <c r="CT439" i="9" s="1"/>
  <c r="BA439" i="9"/>
  <c r="DR439" i="9" s="1"/>
  <c r="AG439" i="9"/>
  <c r="CX439" i="9" s="1"/>
  <c r="R394" i="9"/>
  <c r="CI394" i="9" s="1"/>
  <c r="AA394" i="9"/>
  <c r="CR394" i="9" s="1"/>
  <c r="BI394" i="9"/>
  <c r="DZ394" i="9" s="1"/>
  <c r="AD394" i="9"/>
  <c r="CU394" i="9" s="1"/>
  <c r="BQ394" i="9"/>
  <c r="EH394" i="9" s="1"/>
  <c r="AR394" i="9"/>
  <c r="DI394" i="9" s="1"/>
  <c r="V394" i="9"/>
  <c r="CM394" i="9" s="1"/>
  <c r="N479" i="9"/>
  <c r="CE479" i="9" s="1"/>
  <c r="AU479" i="9"/>
  <c r="DL479" i="9" s="1"/>
  <c r="AY479" i="9"/>
  <c r="DP479" i="9" s="1"/>
  <c r="BI650" i="9"/>
  <c r="DZ650" i="9" s="1"/>
  <c r="AB650" i="9"/>
  <c r="CS650" i="9" s="1"/>
  <c r="AI650" i="9"/>
  <c r="CZ650" i="9" s="1"/>
  <c r="AX650" i="9"/>
  <c r="DO650" i="9" s="1"/>
  <c r="AG650" i="9"/>
  <c r="CX650" i="9" s="1"/>
  <c r="BC650" i="9"/>
  <c r="DT650" i="9" s="1"/>
  <c r="BN370" i="9"/>
  <c r="EE370" i="9" s="1"/>
  <c r="BB440" i="9"/>
  <c r="DS440" i="9" s="1"/>
  <c r="AR440" i="9"/>
  <c r="DI440" i="9" s="1"/>
  <c r="BR440" i="9"/>
  <c r="EI440" i="9" s="1"/>
  <c r="BE440" i="9"/>
  <c r="DV440" i="9" s="1"/>
  <c r="U440" i="9"/>
  <c r="CL440" i="9" s="1"/>
  <c r="AU440" i="9"/>
  <c r="DL440" i="9" s="1"/>
  <c r="BK554" i="9"/>
  <c r="EB554" i="9" s="1"/>
  <c r="AP248" i="9"/>
  <c r="DG248" i="9" s="1"/>
  <c r="BR248" i="9"/>
  <c r="EI248" i="9" s="1"/>
  <c r="AB248" i="9"/>
  <c r="CS248" i="9" s="1"/>
  <c r="AW248" i="9"/>
  <c r="DN248" i="9" s="1"/>
  <c r="BJ248" i="9"/>
  <c r="EA248" i="9" s="1"/>
  <c r="BE248" i="9"/>
  <c r="DV248" i="9" s="1"/>
  <c r="W252" i="9"/>
  <c r="CN252" i="9" s="1"/>
  <c r="V278" i="9"/>
  <c r="CM278" i="9" s="1"/>
  <c r="AS398" i="9"/>
  <c r="DJ398" i="9" s="1"/>
  <c r="BB374" i="9"/>
  <c r="DS374" i="9" s="1"/>
  <c r="AK604" i="9"/>
  <c r="DB604" i="9" s="1"/>
  <c r="AO279" i="9"/>
  <c r="DF279" i="9" s="1"/>
  <c r="BH279" i="9"/>
  <c r="DY279" i="9" s="1"/>
  <c r="BJ279" i="9"/>
  <c r="EA279" i="9" s="1"/>
  <c r="AJ279" i="9"/>
  <c r="DA279" i="9" s="1"/>
  <c r="AX279" i="9"/>
  <c r="DO279" i="9" s="1"/>
  <c r="BN279" i="9"/>
  <c r="EE279" i="9" s="1"/>
  <c r="AN567" i="9"/>
  <c r="DE567" i="9" s="1"/>
  <c r="U562" i="9"/>
  <c r="CL562" i="9" s="1"/>
  <c r="AH562" i="9"/>
  <c r="CY562" i="9" s="1"/>
  <c r="W562" i="9"/>
  <c r="CN562" i="9" s="1"/>
  <c r="BK562" i="9"/>
  <c r="EB562" i="9" s="1"/>
  <c r="BI562" i="9"/>
  <c r="DZ562" i="9" s="1"/>
  <c r="AL562" i="9"/>
  <c r="DC562" i="9" s="1"/>
  <c r="V363" i="9"/>
  <c r="CM363" i="9" s="1"/>
  <c r="BR439" i="9"/>
  <c r="EI439" i="9" s="1"/>
  <c r="BE439" i="9"/>
  <c r="DV439" i="9" s="1"/>
  <c r="W439" i="9"/>
  <c r="CN439" i="9" s="1"/>
  <c r="U439" i="9"/>
  <c r="CL439" i="9" s="1"/>
  <c r="AL439" i="9"/>
  <c r="DC439" i="9" s="1"/>
  <c r="AO439" i="9"/>
  <c r="DF439" i="9" s="1"/>
  <c r="Z439" i="9"/>
  <c r="CQ439" i="9" s="1"/>
  <c r="BJ394" i="9"/>
  <c r="EA394" i="9" s="1"/>
  <c r="AC394" i="9"/>
  <c r="CT394" i="9" s="1"/>
  <c r="AU394" i="9"/>
  <c r="DL394" i="9" s="1"/>
  <c r="AM394" i="9"/>
  <c r="DD394" i="9" s="1"/>
  <c r="W394" i="9"/>
  <c r="CN394" i="9" s="1"/>
  <c r="AN394" i="9"/>
  <c r="DE394" i="9" s="1"/>
  <c r="AL394" i="9"/>
  <c r="DC394" i="9" s="1"/>
  <c r="L479" i="9"/>
  <c r="CC479" i="9" s="1"/>
  <c r="V479" i="9"/>
  <c r="CM479" i="9" s="1"/>
  <c r="AO479" i="9"/>
  <c r="DF479" i="9" s="1"/>
  <c r="K604" i="9"/>
  <c r="CB604" i="9" s="1"/>
  <c r="BD650" i="9"/>
  <c r="DU650" i="9" s="1"/>
  <c r="AA650" i="9"/>
  <c r="CR650" i="9" s="1"/>
  <c r="BK650" i="9"/>
  <c r="EB650" i="9" s="1"/>
  <c r="AP650" i="9"/>
  <c r="DG650" i="9" s="1"/>
  <c r="Z650" i="9"/>
  <c r="CQ650" i="9" s="1"/>
  <c r="AH650" i="9"/>
  <c r="CY650" i="9" s="1"/>
  <c r="AE370" i="9"/>
  <c r="CV370" i="9" s="1"/>
  <c r="AB440" i="9"/>
  <c r="CS440" i="9" s="1"/>
  <c r="BA440" i="9"/>
  <c r="DR440" i="9" s="1"/>
  <c r="AF440" i="9"/>
  <c r="CW440" i="9" s="1"/>
  <c r="AA440" i="9"/>
  <c r="CR440" i="9" s="1"/>
  <c r="AD440" i="9"/>
  <c r="CU440" i="9" s="1"/>
  <c r="BL440" i="9"/>
  <c r="EC440" i="9" s="1"/>
  <c r="W554" i="9"/>
  <c r="CN554" i="9" s="1"/>
  <c r="AL248" i="9"/>
  <c r="DC248" i="9" s="1"/>
  <c r="BD248" i="9"/>
  <c r="DU248" i="9" s="1"/>
  <c r="AQ248" i="9"/>
  <c r="DH248" i="9" s="1"/>
  <c r="X248" i="9"/>
  <c r="CO248" i="9" s="1"/>
  <c r="BN248" i="9"/>
  <c r="EE248" i="9" s="1"/>
  <c r="AE248" i="9"/>
  <c r="CV248" i="9" s="1"/>
  <c r="AY252" i="9"/>
  <c r="DP252" i="9" s="1"/>
  <c r="AL278" i="9"/>
  <c r="DC278" i="9" s="1"/>
  <c r="AQ398" i="9"/>
  <c r="DH398" i="9" s="1"/>
  <c r="BQ374" i="9"/>
  <c r="EH374" i="9" s="1"/>
  <c r="BA279" i="9"/>
  <c r="DR279" i="9" s="1"/>
  <c r="BQ279" i="9"/>
  <c r="EH279" i="9" s="1"/>
  <c r="BL279" i="9"/>
  <c r="EC279" i="9" s="1"/>
  <c r="AE279" i="9"/>
  <c r="CV279" i="9" s="1"/>
  <c r="BG279" i="9"/>
  <c r="DX279" i="9" s="1"/>
  <c r="AA279" i="9"/>
  <c r="CR279" i="9" s="1"/>
  <c r="BE567" i="9"/>
  <c r="DV567" i="9" s="1"/>
  <c r="AI562" i="9"/>
  <c r="CZ562" i="9" s="1"/>
  <c r="BL562" i="9"/>
  <c r="EC562" i="9" s="1"/>
  <c r="BE562" i="9"/>
  <c r="DV562" i="9" s="1"/>
  <c r="AY562" i="9"/>
  <c r="DP562" i="9" s="1"/>
  <c r="AA562" i="9"/>
  <c r="CR562" i="9" s="1"/>
  <c r="AV562" i="9"/>
  <c r="DM562" i="9" s="1"/>
  <c r="AY363" i="9"/>
  <c r="DP363" i="9" s="1"/>
  <c r="BC439" i="9"/>
  <c r="DT439" i="9" s="1"/>
  <c r="AY439" i="9"/>
  <c r="DP439" i="9" s="1"/>
  <c r="BM439" i="9"/>
  <c r="ED439" i="9" s="1"/>
  <c r="X439" i="9"/>
  <c r="CO439" i="9" s="1"/>
  <c r="BG439" i="9"/>
  <c r="DX439" i="9" s="1"/>
  <c r="AK439" i="9"/>
  <c r="DB439" i="9" s="1"/>
  <c r="BD439" i="9"/>
  <c r="DU439" i="9" s="1"/>
  <c r="AH394" i="9"/>
  <c r="CY394" i="9" s="1"/>
  <c r="BD394" i="9"/>
  <c r="DU394" i="9" s="1"/>
  <c r="AS394" i="9"/>
  <c r="DJ394" i="9" s="1"/>
  <c r="AY394" i="9"/>
  <c r="DP394" i="9" s="1"/>
  <c r="AJ394" i="9"/>
  <c r="DA394" i="9" s="1"/>
  <c r="BG394" i="9"/>
  <c r="DX394" i="9" s="1"/>
  <c r="AT394" i="9"/>
  <c r="DK394" i="9" s="1"/>
  <c r="BO479" i="9"/>
  <c r="EF479" i="9" s="1"/>
  <c r="BL479" i="9"/>
  <c r="EC479" i="9" s="1"/>
  <c r="AN479" i="9"/>
  <c r="DE479" i="9" s="1"/>
  <c r="L567" i="9"/>
  <c r="CC567" i="9" s="1"/>
  <c r="BM650" i="9"/>
  <c r="ED650" i="9" s="1"/>
  <c r="BN650" i="9"/>
  <c r="EE650" i="9" s="1"/>
  <c r="AL650" i="9"/>
  <c r="DC650" i="9" s="1"/>
  <c r="Y650" i="9"/>
  <c r="CP650" i="9" s="1"/>
  <c r="V650" i="9"/>
  <c r="CM650" i="9" s="1"/>
  <c r="BG650" i="9"/>
  <c r="DX650" i="9" s="1"/>
  <c r="BK440" i="9"/>
  <c r="EB440" i="9" s="1"/>
  <c r="AK440" i="9"/>
  <c r="DB440" i="9" s="1"/>
  <c r="BJ440" i="9"/>
  <c r="EA440" i="9" s="1"/>
  <c r="AW440" i="9"/>
  <c r="DN440" i="9" s="1"/>
  <c r="BP440" i="9"/>
  <c r="EG440" i="9" s="1"/>
  <c r="AM440" i="9"/>
  <c r="DD440" i="9" s="1"/>
  <c r="AH440" i="9"/>
  <c r="CY440" i="9" s="1"/>
  <c r="BA554" i="9"/>
  <c r="DR554" i="9" s="1"/>
  <c r="AG248" i="9"/>
  <c r="CX248" i="9" s="1"/>
  <c r="BI248" i="9"/>
  <c r="DZ248" i="9" s="1"/>
  <c r="BP248" i="9"/>
  <c r="EG248" i="9" s="1"/>
  <c r="BF248" i="9"/>
  <c r="DW248" i="9" s="1"/>
  <c r="AM248" i="9"/>
  <c r="DD248" i="9" s="1"/>
  <c r="BM248" i="9"/>
  <c r="ED248" i="9" s="1"/>
  <c r="AK252" i="9"/>
  <c r="DB252" i="9" s="1"/>
  <c r="BK279" i="9"/>
  <c r="EB279" i="9" s="1"/>
  <c r="AS279" i="9"/>
  <c r="DJ279" i="9" s="1"/>
  <c r="AQ279" i="9"/>
  <c r="DH279" i="9" s="1"/>
  <c r="AY279" i="9"/>
  <c r="DP279" i="9" s="1"/>
  <c r="Z279" i="9"/>
  <c r="CQ279" i="9" s="1"/>
  <c r="AK279" i="9"/>
  <c r="DB279" i="9" s="1"/>
  <c r="AD279" i="9"/>
  <c r="CU279" i="9" s="1"/>
  <c r="AQ567" i="9"/>
  <c r="DH567" i="9" s="1"/>
  <c r="BO562" i="9"/>
  <c r="EF562" i="9" s="1"/>
  <c r="X562" i="9"/>
  <c r="CO562" i="9" s="1"/>
  <c r="AM562" i="9"/>
  <c r="DD562" i="9" s="1"/>
  <c r="BF562" i="9"/>
  <c r="DW562" i="9" s="1"/>
  <c r="AO562" i="9"/>
  <c r="DF562" i="9" s="1"/>
  <c r="AS562" i="9"/>
  <c r="DJ562" i="9" s="1"/>
  <c r="AE363" i="9"/>
  <c r="CV363" i="9" s="1"/>
  <c r="AQ439" i="9"/>
  <c r="DH439" i="9" s="1"/>
  <c r="V439" i="9"/>
  <c r="CM439" i="9" s="1"/>
  <c r="AI439" i="9"/>
  <c r="CZ439" i="9" s="1"/>
  <c r="AW439" i="9"/>
  <c r="DN439" i="9" s="1"/>
  <c r="BN439" i="9"/>
  <c r="EE439" i="9" s="1"/>
  <c r="AM439" i="9"/>
  <c r="DD439" i="9" s="1"/>
  <c r="BO394" i="9"/>
  <c r="EF394" i="9" s="1"/>
  <c r="U394" i="9"/>
  <c r="CL394" i="9" s="1"/>
  <c r="AO394" i="9"/>
  <c r="DF394" i="9" s="1"/>
  <c r="AG394" i="9"/>
  <c r="CX394" i="9" s="1"/>
  <c r="BA394" i="9"/>
  <c r="DR394" i="9" s="1"/>
  <c r="BM394" i="9"/>
  <c r="ED394" i="9" s="1"/>
  <c r="AC479" i="9"/>
  <c r="CT479" i="9" s="1"/>
  <c r="AH479" i="9"/>
  <c r="CY479" i="9" s="1"/>
  <c r="AB479" i="9"/>
  <c r="CS479" i="9" s="1"/>
  <c r="BP650" i="9"/>
  <c r="EG650" i="9" s="1"/>
  <c r="AV650" i="9"/>
  <c r="DM650" i="9" s="1"/>
  <c r="AM650" i="9"/>
  <c r="DD650" i="9" s="1"/>
  <c r="AW650" i="9"/>
  <c r="DN650" i="9" s="1"/>
  <c r="BQ650" i="9"/>
  <c r="EH650" i="9" s="1"/>
  <c r="U650" i="9"/>
  <c r="CL650" i="9" s="1"/>
  <c r="AG440" i="9"/>
  <c r="CX440" i="9" s="1"/>
  <c r="AT440" i="9"/>
  <c r="DK440" i="9" s="1"/>
  <c r="X440" i="9"/>
  <c r="CO440" i="9" s="1"/>
  <c r="BN440" i="9"/>
  <c r="EE440" i="9" s="1"/>
  <c r="V440" i="9"/>
  <c r="CM440" i="9" s="1"/>
  <c r="BD440" i="9"/>
  <c r="DU440" i="9" s="1"/>
  <c r="AY440" i="9"/>
  <c r="DP440" i="9" s="1"/>
  <c r="V248" i="9"/>
  <c r="CM248" i="9" s="1"/>
  <c r="AU248" i="9"/>
  <c r="DL248" i="9" s="1"/>
  <c r="Z248" i="9"/>
  <c r="CQ248" i="9" s="1"/>
  <c r="AR248" i="9"/>
  <c r="DI248" i="9" s="1"/>
  <c r="AK248" i="9"/>
  <c r="DB248" i="9" s="1"/>
  <c r="BH248" i="9"/>
  <c r="DY248" i="9" s="1"/>
  <c r="BR252" i="9"/>
  <c r="EI252" i="9" s="1"/>
  <c r="BD374" i="9"/>
  <c r="DU374" i="9" s="1"/>
  <c r="AD604" i="9"/>
  <c r="CU604" i="9" s="1"/>
  <c r="AV279" i="9"/>
  <c r="DM279" i="9" s="1"/>
  <c r="AZ279" i="9"/>
  <c r="DQ279" i="9" s="1"/>
  <c r="AH279" i="9"/>
  <c r="CY279" i="9" s="1"/>
  <c r="AL279" i="9"/>
  <c r="DC279" i="9" s="1"/>
  <c r="AR279" i="9"/>
  <c r="DI279" i="9" s="1"/>
  <c r="AN279" i="9"/>
  <c r="DE279" i="9" s="1"/>
  <c r="AG279" i="9"/>
  <c r="CX279" i="9" s="1"/>
  <c r="Q562" i="9"/>
  <c r="CH562" i="9" s="1"/>
  <c r="AX562" i="9"/>
  <c r="DO562" i="9" s="1"/>
  <c r="V562" i="9"/>
  <c r="CM562" i="9" s="1"/>
  <c r="BG562" i="9"/>
  <c r="DX562" i="9" s="1"/>
  <c r="Z562" i="9"/>
  <c r="CQ562" i="9" s="1"/>
  <c r="AF562" i="9"/>
  <c r="CW562" i="9" s="1"/>
  <c r="AR562" i="9"/>
  <c r="DI562" i="9" s="1"/>
  <c r="BL439" i="9"/>
  <c r="EC439" i="9" s="1"/>
  <c r="AP439" i="9"/>
  <c r="DG439" i="9" s="1"/>
  <c r="BF439" i="9"/>
  <c r="DW439" i="9" s="1"/>
  <c r="BI439" i="9"/>
  <c r="DZ439" i="9" s="1"/>
  <c r="AA439" i="9"/>
  <c r="CR439" i="9" s="1"/>
  <c r="AN439" i="9"/>
  <c r="DE439" i="9" s="1"/>
  <c r="AP394" i="9"/>
  <c r="DG394" i="9" s="1"/>
  <c r="BB394" i="9"/>
  <c r="DS394" i="9" s="1"/>
  <c r="BN394" i="9"/>
  <c r="EE394" i="9" s="1"/>
  <c r="AW394" i="9"/>
  <c r="DN394" i="9" s="1"/>
  <c r="AX394" i="9"/>
  <c r="DO394" i="9" s="1"/>
  <c r="AE394" i="9"/>
  <c r="CV394" i="9" s="1"/>
  <c r="BE479" i="9"/>
  <c r="DV479" i="9" s="1"/>
  <c r="BB479" i="9"/>
  <c r="DS479" i="9" s="1"/>
  <c r="BI479" i="9"/>
  <c r="DZ479" i="9" s="1"/>
  <c r="K562" i="9"/>
  <c r="CB562" i="9" s="1"/>
  <c r="AE650" i="9"/>
  <c r="CV650" i="9" s="1"/>
  <c r="AZ650" i="9"/>
  <c r="DQ650" i="9" s="1"/>
  <c r="W650" i="9"/>
  <c r="CN650" i="9" s="1"/>
  <c r="AR650" i="9"/>
  <c r="DI650" i="9" s="1"/>
  <c r="AS650" i="9"/>
  <c r="DJ650" i="9" s="1"/>
  <c r="AD650" i="9"/>
  <c r="CU650" i="9" s="1"/>
  <c r="AX440" i="9"/>
  <c r="DO440" i="9" s="1"/>
  <c r="BC440" i="9"/>
  <c r="DT440" i="9" s="1"/>
  <c r="AO440" i="9"/>
  <c r="DF440" i="9" s="1"/>
  <c r="BH440" i="9"/>
  <c r="DY440" i="9" s="1"/>
  <c r="AE440" i="9"/>
  <c r="CV440" i="9" s="1"/>
  <c r="BQ554" i="9"/>
  <c r="EH554" i="9" s="1"/>
  <c r="BB248" i="9"/>
  <c r="DS248" i="9" s="1"/>
  <c r="AZ248" i="9"/>
  <c r="DQ248" i="9" s="1"/>
  <c r="BC248" i="9"/>
  <c r="DT248" i="9" s="1"/>
  <c r="AT248" i="9"/>
  <c r="DK248" i="9" s="1"/>
  <c r="AS248" i="9"/>
  <c r="DJ248" i="9" s="1"/>
  <c r="BF252" i="9"/>
  <c r="DW252" i="9" s="1"/>
  <c r="BD279" i="9"/>
  <c r="DU279" i="9" s="1"/>
  <c r="AU279" i="9"/>
  <c r="DL279" i="9" s="1"/>
  <c r="BC279" i="9"/>
  <c r="DT279" i="9" s="1"/>
  <c r="AW279" i="9"/>
  <c r="DN279" i="9" s="1"/>
  <c r="X279" i="9"/>
  <c r="CO279" i="9" s="1"/>
  <c r="N562" i="9"/>
  <c r="CE562" i="9" s="1"/>
  <c r="AC562" i="9"/>
  <c r="CT562" i="9" s="1"/>
  <c r="AE562" i="9"/>
  <c r="CV562" i="9" s="1"/>
  <c r="BM562" i="9"/>
  <c r="ED562" i="9" s="1"/>
  <c r="AD562" i="9"/>
  <c r="CU562" i="9" s="1"/>
  <c r="BC562" i="9"/>
  <c r="DT562" i="9" s="1"/>
  <c r="BD363" i="9"/>
  <c r="DU363" i="9" s="1"/>
  <c r="K439" i="9"/>
  <c r="CB439" i="9" s="1"/>
  <c r="Y439" i="9"/>
  <c r="CP439" i="9" s="1"/>
  <c r="BO439" i="9"/>
  <c r="EF439" i="9" s="1"/>
  <c r="AH439" i="9"/>
  <c r="CY439" i="9" s="1"/>
  <c r="BH439" i="9"/>
  <c r="DY439" i="9" s="1"/>
  <c r="AV439" i="9"/>
  <c r="DM439" i="9" s="1"/>
  <c r="BR394" i="9"/>
  <c r="EI394" i="9" s="1"/>
  <c r="Z394" i="9"/>
  <c r="CQ394" i="9" s="1"/>
  <c r="X394" i="9"/>
  <c r="CO394" i="9" s="1"/>
  <c r="Y394" i="9"/>
  <c r="CP394" i="9" s="1"/>
  <c r="BE394" i="9"/>
  <c r="DV394" i="9" s="1"/>
  <c r="AX479" i="9"/>
  <c r="DO479" i="9" s="1"/>
  <c r="AR479" i="9"/>
  <c r="DI479" i="9" s="1"/>
  <c r="AW245" i="9"/>
  <c r="DN245" i="9" s="1"/>
  <c r="AA245" i="9"/>
  <c r="CR245" i="9" s="1"/>
  <c r="AG245" i="9"/>
  <c r="CX245" i="9" s="1"/>
  <c r="L245" i="9"/>
  <c r="CC245" i="9" s="1"/>
  <c r="BB245" i="9"/>
  <c r="DS245" i="9" s="1"/>
  <c r="AK245" i="9"/>
  <c r="DB245" i="9" s="1"/>
  <c r="Y263" i="9"/>
  <c r="CP263" i="9" s="1"/>
  <c r="AF263" i="9"/>
  <c r="CW263" i="9" s="1"/>
  <c r="BG263" i="9"/>
  <c r="DX263" i="9" s="1"/>
  <c r="AS263" i="9"/>
  <c r="DJ263" i="9" s="1"/>
  <c r="BR263" i="9"/>
  <c r="EI263" i="9" s="1"/>
  <c r="AI263" i="9"/>
  <c r="CZ263" i="9" s="1"/>
  <c r="S263" i="9"/>
  <c r="CJ263" i="9" s="1"/>
  <c r="V263" i="9"/>
  <c r="CM263" i="9" s="1"/>
  <c r="AC263" i="9"/>
  <c r="CT263" i="9" s="1"/>
  <c r="BM263" i="9"/>
  <c r="ED263" i="9" s="1"/>
  <c r="BI263" i="9"/>
  <c r="DZ263" i="9" s="1"/>
  <c r="BK263" i="9"/>
  <c r="EB263" i="9" s="1"/>
  <c r="BJ263" i="9"/>
  <c r="EA263" i="9" s="1"/>
  <c r="AR263" i="9"/>
  <c r="DI263" i="9" s="1"/>
  <c r="AB263" i="9"/>
  <c r="CS263" i="9" s="1"/>
  <c r="W263" i="9"/>
  <c r="CN263" i="9" s="1"/>
  <c r="BE263" i="9"/>
  <c r="DV263" i="9" s="1"/>
  <c r="AO263" i="9"/>
  <c r="DF263" i="9" s="1"/>
  <c r="AU263" i="9"/>
  <c r="DL263" i="9" s="1"/>
  <c r="BF263" i="9"/>
  <c r="DW263" i="9" s="1"/>
  <c r="AP263" i="9"/>
  <c r="DG263" i="9" s="1"/>
  <c r="AY263" i="9"/>
  <c r="DP263" i="9" s="1"/>
  <c r="BC263" i="9"/>
  <c r="DT263" i="9" s="1"/>
  <c r="AT263" i="9"/>
  <c r="DK263" i="9" s="1"/>
  <c r="AQ263" i="9"/>
  <c r="DH263" i="9" s="1"/>
  <c r="BO664" i="9"/>
  <c r="EF664" i="9" s="1"/>
  <c r="BL664" i="9"/>
  <c r="EC664" i="9" s="1"/>
  <c r="AN664" i="9"/>
  <c r="DE664" i="9" s="1"/>
  <c r="Y664" i="9"/>
  <c r="CP664" i="9" s="1"/>
  <c r="X664" i="9"/>
  <c r="CO664" i="9" s="1"/>
  <c r="BP664" i="9"/>
  <c r="EG664" i="9" s="1"/>
  <c r="AH664" i="9"/>
  <c r="CY664" i="9" s="1"/>
  <c r="W664" i="9"/>
  <c r="CN664" i="9" s="1"/>
  <c r="BR664" i="9"/>
  <c r="EI664" i="9" s="1"/>
  <c r="BQ664" i="9"/>
  <c r="EH664" i="9" s="1"/>
  <c r="AT664" i="9"/>
  <c r="DK664" i="9" s="1"/>
  <c r="V664" i="9"/>
  <c r="CM664" i="9" s="1"/>
  <c r="BG664" i="9"/>
  <c r="DX664" i="9" s="1"/>
  <c r="BF664" i="9"/>
  <c r="DW664" i="9" s="1"/>
  <c r="AJ664" i="9"/>
  <c r="DA664" i="9" s="1"/>
  <c r="AI664" i="9"/>
  <c r="CZ664" i="9" s="1"/>
  <c r="AZ664" i="9"/>
  <c r="DQ664" i="9" s="1"/>
  <c r="BD664" i="9"/>
  <c r="DU664" i="9" s="1"/>
  <c r="AD664" i="9"/>
  <c r="CU664" i="9" s="1"/>
  <c r="AO664" i="9"/>
  <c r="DF664" i="9" s="1"/>
  <c r="AB664" i="9"/>
  <c r="CS664" i="9" s="1"/>
  <c r="AA664" i="9"/>
  <c r="CR664" i="9" s="1"/>
  <c r="AG664" i="9"/>
  <c r="CX664" i="9" s="1"/>
  <c r="BN664" i="9"/>
  <c r="EE664" i="9" s="1"/>
  <c r="M398" i="9"/>
  <c r="CD398" i="9" s="1"/>
  <c r="P398" i="9"/>
  <c r="CG398" i="9" s="1"/>
  <c r="T398" i="9"/>
  <c r="CK398" i="9" s="1"/>
  <c r="Q398" i="9"/>
  <c r="CH398" i="9" s="1"/>
  <c r="S398" i="9"/>
  <c r="CJ398" i="9" s="1"/>
  <c r="N398" i="9"/>
  <c r="CE398" i="9" s="1"/>
  <c r="BB628" i="9"/>
  <c r="DS628" i="9" s="1"/>
  <c r="U628" i="9"/>
  <c r="CL628" i="9" s="1"/>
  <c r="AW628" i="9"/>
  <c r="DN628" i="9" s="1"/>
  <c r="AH628" i="9"/>
  <c r="CY628" i="9" s="1"/>
  <c r="AP628" i="9"/>
  <c r="DG628" i="9" s="1"/>
  <c r="AN628" i="9"/>
  <c r="DE628" i="9" s="1"/>
  <c r="BL397" i="9"/>
  <c r="EC397" i="9" s="1"/>
  <c r="BR238" i="9"/>
  <c r="EI238" i="9" s="1"/>
  <c r="AZ238" i="9"/>
  <c r="DQ238" i="9" s="1"/>
  <c r="BC238" i="9"/>
  <c r="DT238" i="9" s="1"/>
  <c r="BG238" i="9"/>
  <c r="DX238" i="9" s="1"/>
  <c r="X238" i="9"/>
  <c r="CO238" i="9" s="1"/>
  <c r="AV238" i="9"/>
  <c r="DM238" i="9" s="1"/>
  <c r="AC481" i="9"/>
  <c r="CT481" i="9" s="1"/>
  <c r="Z481" i="9"/>
  <c r="CQ481" i="9" s="1"/>
  <c r="AW481" i="9"/>
  <c r="DN481" i="9" s="1"/>
  <c r="AR481" i="9"/>
  <c r="DI481" i="9" s="1"/>
  <c r="AJ481" i="9"/>
  <c r="DA481" i="9" s="1"/>
  <c r="AA481" i="9"/>
  <c r="CR481" i="9" s="1"/>
  <c r="BD398" i="9"/>
  <c r="DU398" i="9" s="1"/>
  <c r="BO398" i="9"/>
  <c r="EF398" i="9" s="1"/>
  <c r="AB398" i="9"/>
  <c r="CS398" i="9" s="1"/>
  <c r="AG398" i="9"/>
  <c r="CX398" i="9" s="1"/>
  <c r="AO398" i="9"/>
  <c r="DF398" i="9" s="1"/>
  <c r="BE398" i="9"/>
  <c r="DV398" i="9" s="1"/>
  <c r="Z385" i="9"/>
  <c r="CQ385" i="9" s="1"/>
  <c r="AI567" i="9"/>
  <c r="CZ567" i="9" s="1"/>
  <c r="AM567" i="9"/>
  <c r="DD567" i="9" s="1"/>
  <c r="AF567" i="9"/>
  <c r="CW567" i="9" s="1"/>
  <c r="AV664" i="9"/>
  <c r="DM664" i="9" s="1"/>
  <c r="BE664" i="9"/>
  <c r="DV664" i="9" s="1"/>
  <c r="AQ664" i="9"/>
  <c r="DH664" i="9" s="1"/>
  <c r="U664" i="9"/>
  <c r="CL664" i="9" s="1"/>
  <c r="Y505" i="9"/>
  <c r="CP505" i="9" s="1"/>
  <c r="AY505" i="9"/>
  <c r="DP505" i="9" s="1"/>
  <c r="BD505" i="9"/>
  <c r="DU505" i="9" s="1"/>
  <c r="P263" i="9"/>
  <c r="CG263" i="9" s="1"/>
  <c r="BA263" i="9"/>
  <c r="DR263" i="9" s="1"/>
  <c r="Z263" i="9"/>
  <c r="CQ263" i="9" s="1"/>
  <c r="AD263" i="9"/>
  <c r="CU263" i="9" s="1"/>
  <c r="Q251" i="9"/>
  <c r="CH251" i="9" s="1"/>
  <c r="AY251" i="9"/>
  <c r="DP251" i="9" s="1"/>
  <c r="N254" i="9"/>
  <c r="CE254" i="9" s="1"/>
  <c r="BH254" i="9"/>
  <c r="DY254" i="9" s="1"/>
  <c r="O398" i="9"/>
  <c r="CF398" i="9" s="1"/>
  <c r="U651" i="9"/>
  <c r="CL651" i="9" s="1"/>
  <c r="AF651" i="9"/>
  <c r="CW651" i="9" s="1"/>
  <c r="AR651" i="9"/>
  <c r="DI651" i="9" s="1"/>
  <c r="BH651" i="9"/>
  <c r="DY651" i="9" s="1"/>
  <c r="BP651" i="9"/>
  <c r="EG651" i="9" s="1"/>
  <c r="BR567" i="9"/>
  <c r="EI567" i="9" s="1"/>
  <c r="BG567" i="9"/>
  <c r="DX567" i="9" s="1"/>
  <c r="AV567" i="9"/>
  <c r="DM567" i="9" s="1"/>
  <c r="AS567" i="9"/>
  <c r="DJ567" i="9" s="1"/>
  <c r="BD567" i="9"/>
  <c r="DU567" i="9" s="1"/>
  <c r="AO567" i="9"/>
  <c r="DF567" i="9" s="1"/>
  <c r="Q567" i="9"/>
  <c r="CH567" i="9" s="1"/>
  <c r="Y567" i="9"/>
  <c r="CP567" i="9" s="1"/>
  <c r="BA567" i="9"/>
  <c r="DR567" i="9" s="1"/>
  <c r="BK567" i="9"/>
  <c r="EB567" i="9" s="1"/>
  <c r="AT567" i="9"/>
  <c r="DK567" i="9" s="1"/>
  <c r="BI567" i="9"/>
  <c r="DZ567" i="9" s="1"/>
  <c r="BF567" i="9"/>
  <c r="DW567" i="9" s="1"/>
  <c r="AZ567" i="9"/>
  <c r="DQ567" i="9" s="1"/>
  <c r="O567" i="9"/>
  <c r="CF567" i="9" s="1"/>
  <c r="K385" i="9"/>
  <c r="CB385" i="9" s="1"/>
  <c r="X628" i="9"/>
  <c r="CO628" i="9" s="1"/>
  <c r="BK628" i="9"/>
  <c r="EB628" i="9" s="1"/>
  <c r="BI628" i="9"/>
  <c r="DZ628" i="9" s="1"/>
  <c r="AO628" i="9"/>
  <c r="DF628" i="9" s="1"/>
  <c r="AX628" i="9"/>
  <c r="DO628" i="9" s="1"/>
  <c r="AL628" i="9"/>
  <c r="DC628" i="9" s="1"/>
  <c r="BL238" i="9"/>
  <c r="EC238" i="9" s="1"/>
  <c r="AS238" i="9"/>
  <c r="DJ238" i="9" s="1"/>
  <c r="AN238" i="9"/>
  <c r="DE238" i="9" s="1"/>
  <c r="AR238" i="9"/>
  <c r="DI238" i="9" s="1"/>
  <c r="AB238" i="9"/>
  <c r="CS238" i="9" s="1"/>
  <c r="AX238" i="9"/>
  <c r="DO238" i="9" s="1"/>
  <c r="AY481" i="9"/>
  <c r="DP481" i="9" s="1"/>
  <c r="BK481" i="9"/>
  <c r="EB481" i="9" s="1"/>
  <c r="BH481" i="9"/>
  <c r="DY481" i="9" s="1"/>
  <c r="AH481" i="9"/>
  <c r="CY481" i="9" s="1"/>
  <c r="AN481" i="9"/>
  <c r="DE481" i="9" s="1"/>
  <c r="AQ481" i="9"/>
  <c r="DH481" i="9" s="1"/>
  <c r="BJ398" i="9"/>
  <c r="EA398" i="9" s="1"/>
  <c r="BH398" i="9"/>
  <c r="DY398" i="9" s="1"/>
  <c r="AN398" i="9"/>
  <c r="DE398" i="9" s="1"/>
  <c r="BI398" i="9"/>
  <c r="DZ398" i="9" s="1"/>
  <c r="Y398" i="9"/>
  <c r="CP398" i="9" s="1"/>
  <c r="BM398" i="9"/>
  <c r="ED398" i="9" s="1"/>
  <c r="AT632" i="9"/>
  <c r="DK632" i="9" s="1"/>
  <c r="BM385" i="9"/>
  <c r="ED385" i="9" s="1"/>
  <c r="AA567" i="9"/>
  <c r="CR567" i="9" s="1"/>
  <c r="AE567" i="9"/>
  <c r="CV567" i="9" s="1"/>
  <c r="BQ567" i="9"/>
  <c r="EH567" i="9" s="1"/>
  <c r="BH567" i="9"/>
  <c r="DY567" i="9" s="1"/>
  <c r="Z664" i="9"/>
  <c r="CQ664" i="9" s="1"/>
  <c r="BA664" i="9"/>
  <c r="DR664" i="9" s="1"/>
  <c r="AR664" i="9"/>
  <c r="DI664" i="9" s="1"/>
  <c r="AY664" i="9"/>
  <c r="DP664" i="9" s="1"/>
  <c r="AS505" i="9"/>
  <c r="DJ505" i="9" s="1"/>
  <c r="BA505" i="9"/>
  <c r="DR505" i="9" s="1"/>
  <c r="AU505" i="9"/>
  <c r="DL505" i="9" s="1"/>
  <c r="BB263" i="9"/>
  <c r="DS263" i="9" s="1"/>
  <c r="AV263" i="9"/>
  <c r="DM263" i="9" s="1"/>
  <c r="BO263" i="9"/>
  <c r="EF263" i="9" s="1"/>
  <c r="AG263" i="9"/>
  <c r="CX263" i="9" s="1"/>
  <c r="R251" i="9"/>
  <c r="CI251" i="9" s="1"/>
  <c r="Y251" i="9"/>
  <c r="CP251" i="9" s="1"/>
  <c r="AL254" i="9"/>
  <c r="DC254" i="9" s="1"/>
  <c r="AG254" i="9"/>
  <c r="CX254" i="9" s="1"/>
  <c r="R398" i="9"/>
  <c r="CI398" i="9" s="1"/>
  <c r="AM624" i="9"/>
  <c r="DD624" i="9" s="1"/>
  <c r="AE624" i="9"/>
  <c r="CV624" i="9" s="1"/>
  <c r="AS624" i="9"/>
  <c r="DJ624" i="9" s="1"/>
  <c r="V624" i="9"/>
  <c r="CM624" i="9" s="1"/>
  <c r="Y624" i="9"/>
  <c r="CP624" i="9" s="1"/>
  <c r="BM624" i="9"/>
  <c r="ED624" i="9" s="1"/>
  <c r="R624" i="9"/>
  <c r="CI624" i="9" s="1"/>
  <c r="L624" i="9"/>
  <c r="CC624" i="9" s="1"/>
  <c r="AG624" i="9"/>
  <c r="CX624" i="9" s="1"/>
  <c r="BP624" i="9"/>
  <c r="EG624" i="9" s="1"/>
  <c r="Z624" i="9"/>
  <c r="CQ624" i="9" s="1"/>
  <c r="BI624" i="9"/>
  <c r="DZ624" i="9" s="1"/>
  <c r="AD624" i="9"/>
  <c r="CU624" i="9" s="1"/>
  <c r="BN624" i="9"/>
  <c r="EE624" i="9" s="1"/>
  <c r="BB624" i="9"/>
  <c r="DS624" i="9" s="1"/>
  <c r="M624" i="9"/>
  <c r="CD624" i="9" s="1"/>
  <c r="AL624" i="9"/>
  <c r="DC624" i="9" s="1"/>
  <c r="AC624" i="9"/>
  <c r="CT624" i="9" s="1"/>
  <c r="AK624" i="9"/>
  <c r="DB624" i="9" s="1"/>
  <c r="BL624" i="9"/>
  <c r="EC624" i="9" s="1"/>
  <c r="AY624" i="9"/>
  <c r="DP624" i="9" s="1"/>
  <c r="BR624" i="9"/>
  <c r="EI624" i="9" s="1"/>
  <c r="AI624" i="9"/>
  <c r="CZ624" i="9" s="1"/>
  <c r="AX624" i="9"/>
  <c r="DO624" i="9" s="1"/>
  <c r="AA624" i="9"/>
  <c r="CR624" i="9" s="1"/>
  <c r="AP624" i="9"/>
  <c r="DG624" i="9" s="1"/>
  <c r="BQ624" i="9"/>
  <c r="EH624" i="9" s="1"/>
  <c r="BE624" i="9"/>
  <c r="DV624" i="9" s="1"/>
  <c r="BJ624" i="9"/>
  <c r="EA624" i="9" s="1"/>
  <c r="Q624" i="9"/>
  <c r="CH624" i="9" s="1"/>
  <c r="AQ624" i="9"/>
  <c r="DH624" i="9" s="1"/>
  <c r="W624" i="9"/>
  <c r="CN624" i="9" s="1"/>
  <c r="AF624" i="9"/>
  <c r="CW624" i="9" s="1"/>
  <c r="AV624" i="9"/>
  <c r="DM624" i="9" s="1"/>
  <c r="BK624" i="9"/>
  <c r="EB624" i="9" s="1"/>
  <c r="BA624" i="9"/>
  <c r="DR624" i="9" s="1"/>
  <c r="K624" i="9"/>
  <c r="CB624" i="9" s="1"/>
  <c r="AR624" i="9"/>
  <c r="DI624" i="9" s="1"/>
  <c r="AB624" i="9"/>
  <c r="CS624" i="9" s="1"/>
  <c r="AN624" i="9"/>
  <c r="DE624" i="9" s="1"/>
  <c r="BG624" i="9"/>
  <c r="DX624" i="9" s="1"/>
  <c r="AT624" i="9"/>
  <c r="DK624" i="9" s="1"/>
  <c r="U624" i="9"/>
  <c r="CL624" i="9" s="1"/>
  <c r="P624" i="9"/>
  <c r="CG624" i="9" s="1"/>
  <c r="N429" i="9"/>
  <c r="CE429" i="9" s="1"/>
  <c r="AP429" i="9"/>
  <c r="DG429" i="9" s="1"/>
  <c r="AU429" i="9"/>
  <c r="DL429" i="9" s="1"/>
  <c r="T429" i="9"/>
  <c r="CK429" i="9" s="1"/>
  <c r="BH429" i="9"/>
  <c r="DY429" i="9" s="1"/>
  <c r="BE429" i="9"/>
  <c r="DV429" i="9" s="1"/>
  <c r="AF429" i="9"/>
  <c r="CW429" i="9" s="1"/>
  <c r="N487" i="9"/>
  <c r="CE487" i="9" s="1"/>
  <c r="T487" i="9"/>
  <c r="CK487" i="9" s="1"/>
  <c r="S487" i="9"/>
  <c r="CJ487" i="9" s="1"/>
  <c r="N492" i="9"/>
  <c r="CE492" i="9" s="1"/>
  <c r="AJ492" i="9"/>
  <c r="DA492" i="9" s="1"/>
  <c r="BJ492" i="9"/>
  <c r="EA492" i="9" s="1"/>
  <c r="AT492" i="9"/>
  <c r="DK492" i="9" s="1"/>
  <c r="AB492" i="9"/>
  <c r="CS492" i="9" s="1"/>
  <c r="BF492" i="9"/>
  <c r="DW492" i="9" s="1"/>
  <c r="BH492" i="9"/>
  <c r="DY492" i="9" s="1"/>
  <c r="AH492" i="9"/>
  <c r="CY492" i="9" s="1"/>
  <c r="AA492" i="9"/>
  <c r="CR492" i="9" s="1"/>
  <c r="AE492" i="9"/>
  <c r="CV492" i="9" s="1"/>
  <c r="AU492" i="9"/>
  <c r="DL492" i="9" s="1"/>
  <c r="AD492" i="9"/>
  <c r="CU492" i="9" s="1"/>
  <c r="BC492" i="9"/>
  <c r="DT492" i="9" s="1"/>
  <c r="AZ492" i="9"/>
  <c r="DQ492" i="9" s="1"/>
  <c r="R492" i="9"/>
  <c r="CI492" i="9" s="1"/>
  <c r="O492" i="9"/>
  <c r="CF492" i="9" s="1"/>
  <c r="AW492" i="9"/>
  <c r="DN492" i="9" s="1"/>
  <c r="AG492" i="9"/>
  <c r="CX492" i="9" s="1"/>
  <c r="Z492" i="9"/>
  <c r="CQ492" i="9" s="1"/>
  <c r="AQ492" i="9"/>
  <c r="DH492" i="9" s="1"/>
  <c r="AL492" i="9"/>
  <c r="DC492" i="9" s="1"/>
  <c r="BN492" i="9"/>
  <c r="EE492" i="9" s="1"/>
  <c r="K492" i="9"/>
  <c r="CB492" i="9" s="1"/>
  <c r="P492" i="9"/>
  <c r="CG492" i="9" s="1"/>
  <c r="AN492" i="9"/>
  <c r="DE492" i="9" s="1"/>
  <c r="Y492" i="9"/>
  <c r="CP492" i="9" s="1"/>
  <c r="AO492" i="9"/>
  <c r="DF492" i="9" s="1"/>
  <c r="AR492" i="9"/>
  <c r="DI492" i="9" s="1"/>
  <c r="AK492" i="9"/>
  <c r="DB492" i="9" s="1"/>
  <c r="AC492" i="9"/>
  <c r="CT492" i="9" s="1"/>
  <c r="T492" i="9"/>
  <c r="CK492" i="9" s="1"/>
  <c r="AM492" i="9"/>
  <c r="DD492" i="9" s="1"/>
  <c r="BI492" i="9"/>
  <c r="DZ492" i="9" s="1"/>
  <c r="AV492" i="9"/>
  <c r="DM492" i="9" s="1"/>
  <c r="AX492" i="9"/>
  <c r="DO492" i="9" s="1"/>
  <c r="AF492" i="9"/>
  <c r="CW492" i="9" s="1"/>
  <c r="BQ492" i="9"/>
  <c r="EH492" i="9" s="1"/>
  <c r="M492" i="9"/>
  <c r="CD492" i="9" s="1"/>
  <c r="BG492" i="9"/>
  <c r="DX492" i="9" s="1"/>
  <c r="X492" i="9"/>
  <c r="CO492" i="9" s="1"/>
  <c r="AY492" i="9"/>
  <c r="DP492" i="9" s="1"/>
  <c r="BO492" i="9"/>
  <c r="EF492" i="9" s="1"/>
  <c r="BL492" i="9"/>
  <c r="EC492" i="9" s="1"/>
  <c r="W492" i="9"/>
  <c r="CN492" i="9" s="1"/>
  <c r="S492" i="9"/>
  <c r="CJ492" i="9" s="1"/>
  <c r="AY628" i="9"/>
  <c r="DP628" i="9" s="1"/>
  <c r="BH628" i="9"/>
  <c r="DY628" i="9" s="1"/>
  <c r="AG481" i="9"/>
  <c r="CX481" i="9" s="1"/>
  <c r="X481" i="9"/>
  <c r="CO481" i="9" s="1"/>
  <c r="AL398" i="9"/>
  <c r="DC398" i="9" s="1"/>
  <c r="W567" i="9"/>
  <c r="CN567" i="9" s="1"/>
  <c r="BC567" i="9"/>
  <c r="DT567" i="9" s="1"/>
  <c r="X263" i="9"/>
  <c r="CO263" i="9" s="1"/>
  <c r="O238" i="9"/>
  <c r="CF238" i="9" s="1"/>
  <c r="L238" i="9"/>
  <c r="CC238" i="9" s="1"/>
  <c r="T238" i="9"/>
  <c r="CK238" i="9" s="1"/>
  <c r="N238" i="9"/>
  <c r="CE238" i="9" s="1"/>
  <c r="P238" i="9"/>
  <c r="CG238" i="9" s="1"/>
  <c r="M238" i="9"/>
  <c r="CD238" i="9" s="1"/>
  <c r="K238" i="9"/>
  <c r="CB238" i="9" s="1"/>
  <c r="Q238" i="9"/>
  <c r="CH238" i="9" s="1"/>
  <c r="BM628" i="9"/>
  <c r="ED628" i="9" s="1"/>
  <c r="BN628" i="9"/>
  <c r="EE628" i="9" s="1"/>
  <c r="Y628" i="9"/>
  <c r="CP628" i="9" s="1"/>
  <c r="AG628" i="9"/>
  <c r="CX628" i="9" s="1"/>
  <c r="AA628" i="9"/>
  <c r="CR628" i="9" s="1"/>
  <c r="AR628" i="9"/>
  <c r="DI628" i="9" s="1"/>
  <c r="AU397" i="9"/>
  <c r="DL397" i="9" s="1"/>
  <c r="AO238" i="9"/>
  <c r="DF238" i="9" s="1"/>
  <c r="BH238" i="9"/>
  <c r="DY238" i="9" s="1"/>
  <c r="AF238" i="9"/>
  <c r="CW238" i="9" s="1"/>
  <c r="AJ238" i="9"/>
  <c r="DA238" i="9" s="1"/>
  <c r="BB238" i="9"/>
  <c r="DS238" i="9" s="1"/>
  <c r="BM238" i="9"/>
  <c r="ED238" i="9" s="1"/>
  <c r="BQ238" i="9"/>
  <c r="EH238" i="9" s="1"/>
  <c r="AM481" i="9"/>
  <c r="DD481" i="9" s="1"/>
  <c r="Y481" i="9"/>
  <c r="CP481" i="9" s="1"/>
  <c r="BC481" i="9"/>
  <c r="DT481" i="9" s="1"/>
  <c r="AK481" i="9"/>
  <c r="DB481" i="9" s="1"/>
  <c r="BP481" i="9"/>
  <c r="EG481" i="9" s="1"/>
  <c r="BF481" i="9"/>
  <c r="DW481" i="9" s="1"/>
  <c r="AF398" i="9"/>
  <c r="CW398" i="9" s="1"/>
  <c r="AP398" i="9"/>
  <c r="DG398" i="9" s="1"/>
  <c r="AU398" i="9"/>
  <c r="DL398" i="9" s="1"/>
  <c r="BK398" i="9"/>
  <c r="EB398" i="9" s="1"/>
  <c r="Z398" i="9"/>
  <c r="CQ398" i="9" s="1"/>
  <c r="BC398" i="9"/>
  <c r="DT398" i="9" s="1"/>
  <c r="V398" i="9"/>
  <c r="CM398" i="9" s="1"/>
  <c r="AY632" i="9"/>
  <c r="DP632" i="9" s="1"/>
  <c r="AL567" i="9"/>
  <c r="DC567" i="9" s="1"/>
  <c r="X567" i="9"/>
  <c r="CO567" i="9" s="1"/>
  <c r="AD567" i="9"/>
  <c r="CU567" i="9" s="1"/>
  <c r="BN567" i="9"/>
  <c r="EE567" i="9" s="1"/>
  <c r="AH567" i="9"/>
  <c r="CY567" i="9" s="1"/>
  <c r="AL664" i="9"/>
  <c r="DC664" i="9" s="1"/>
  <c r="AW664" i="9"/>
  <c r="DN664" i="9" s="1"/>
  <c r="BK664" i="9"/>
  <c r="EB664" i="9" s="1"/>
  <c r="S505" i="9"/>
  <c r="CJ505" i="9" s="1"/>
  <c r="BP505" i="9"/>
  <c r="EG505" i="9" s="1"/>
  <c r="BI505" i="9"/>
  <c r="DZ505" i="9" s="1"/>
  <c r="BD263" i="9"/>
  <c r="DU263" i="9" s="1"/>
  <c r="BH263" i="9"/>
  <c r="DY263" i="9" s="1"/>
  <c r="AX263" i="9"/>
  <c r="DO263" i="9" s="1"/>
  <c r="BR251" i="9"/>
  <c r="EI251" i="9" s="1"/>
  <c r="AD251" i="9"/>
  <c r="CU251" i="9" s="1"/>
  <c r="AH651" i="9"/>
  <c r="CY651" i="9" s="1"/>
  <c r="BR254" i="9"/>
  <c r="EI254" i="9" s="1"/>
  <c r="BG254" i="9"/>
  <c r="DX254" i="9" s="1"/>
  <c r="AF630" i="9"/>
  <c r="CW630" i="9" s="1"/>
  <c r="BF630" i="9"/>
  <c r="DW630" i="9" s="1"/>
  <c r="AR630" i="9"/>
  <c r="DI630" i="9" s="1"/>
  <c r="Z630" i="9"/>
  <c r="CQ630" i="9" s="1"/>
  <c r="BG630" i="9"/>
  <c r="DX630" i="9" s="1"/>
  <c r="BM630" i="9"/>
  <c r="ED630" i="9" s="1"/>
  <c r="R630" i="9"/>
  <c r="CI630" i="9" s="1"/>
  <c r="L398" i="9"/>
  <c r="CC398" i="9" s="1"/>
  <c r="O254" i="9"/>
  <c r="CF254" i="9" s="1"/>
  <c r="AS628" i="9"/>
  <c r="DJ628" i="9" s="1"/>
  <c r="AY398" i="9"/>
  <c r="DP398" i="9" s="1"/>
  <c r="BB632" i="9"/>
  <c r="DS632" i="9" s="1"/>
  <c r="AW567" i="9"/>
  <c r="DN567" i="9" s="1"/>
  <c r="BH664" i="9"/>
  <c r="DY664" i="9" s="1"/>
  <c r="AA263" i="9"/>
  <c r="CR263" i="9" s="1"/>
  <c r="T505" i="9"/>
  <c r="CK505" i="9" s="1"/>
  <c r="BL505" i="9"/>
  <c r="EC505" i="9" s="1"/>
  <c r="AZ505" i="9"/>
  <c r="DQ505" i="9" s="1"/>
  <c r="AX505" i="9"/>
  <c r="DO505" i="9" s="1"/>
  <c r="BK505" i="9"/>
  <c r="EB505" i="9" s="1"/>
  <c r="BG505" i="9"/>
  <c r="DX505" i="9" s="1"/>
  <c r="AT505" i="9"/>
  <c r="DK505" i="9" s="1"/>
  <c r="N505" i="9"/>
  <c r="CE505" i="9" s="1"/>
  <c r="K505" i="9"/>
  <c r="CB505" i="9" s="1"/>
  <c r="AN505" i="9"/>
  <c r="DE505" i="9" s="1"/>
  <c r="BC505" i="9"/>
  <c r="DT505" i="9" s="1"/>
  <c r="AK505" i="9"/>
  <c r="DB505" i="9" s="1"/>
  <c r="BO505" i="9"/>
  <c r="EF505" i="9" s="1"/>
  <c r="AA505" i="9"/>
  <c r="CR505" i="9" s="1"/>
  <c r="BN505" i="9"/>
  <c r="EE505" i="9" s="1"/>
  <c r="L505" i="9"/>
  <c r="CC505" i="9" s="1"/>
  <c r="BE505" i="9"/>
  <c r="DV505" i="9" s="1"/>
  <c r="BQ505" i="9"/>
  <c r="EH505" i="9" s="1"/>
  <c r="AO505" i="9"/>
  <c r="DF505" i="9" s="1"/>
  <c r="AE505" i="9"/>
  <c r="CV505" i="9" s="1"/>
  <c r="AR505" i="9"/>
  <c r="DI505" i="9" s="1"/>
  <c r="AM505" i="9"/>
  <c r="DD505" i="9" s="1"/>
  <c r="AW505" i="9"/>
  <c r="DN505" i="9" s="1"/>
  <c r="O505" i="9"/>
  <c r="CF505" i="9" s="1"/>
  <c r="AQ505" i="9"/>
  <c r="DH505" i="9" s="1"/>
  <c r="BM505" i="9"/>
  <c r="ED505" i="9" s="1"/>
  <c r="BF505" i="9"/>
  <c r="DW505" i="9" s="1"/>
  <c r="AC505" i="9"/>
  <c r="CT505" i="9" s="1"/>
  <c r="Z505" i="9"/>
  <c r="CQ505" i="9" s="1"/>
  <c r="AJ505" i="9"/>
  <c r="DA505" i="9" s="1"/>
  <c r="AP505" i="9"/>
  <c r="DG505" i="9" s="1"/>
  <c r="Q505" i="9"/>
  <c r="CH505" i="9" s="1"/>
  <c r="K398" i="9"/>
  <c r="BQ628" i="9"/>
  <c r="EH628" i="9" s="1"/>
  <c r="BO628" i="9"/>
  <c r="EF628" i="9" s="1"/>
  <c r="V628" i="9"/>
  <c r="CM628" i="9" s="1"/>
  <c r="AB628" i="9"/>
  <c r="CS628" i="9" s="1"/>
  <c r="BP628" i="9"/>
  <c r="EG628" i="9" s="1"/>
  <c r="AE628" i="9"/>
  <c r="CV628" i="9" s="1"/>
  <c r="X397" i="9"/>
  <c r="CO397" i="9" s="1"/>
  <c r="W238" i="9"/>
  <c r="CN238" i="9" s="1"/>
  <c r="Y238" i="9"/>
  <c r="CP238" i="9" s="1"/>
  <c r="AH238" i="9"/>
  <c r="CY238" i="9" s="1"/>
  <c r="AD238" i="9"/>
  <c r="CU238" i="9" s="1"/>
  <c r="AE238" i="9"/>
  <c r="CV238" i="9" s="1"/>
  <c r="AI238" i="9"/>
  <c r="CZ238" i="9" s="1"/>
  <c r="AO481" i="9"/>
  <c r="DF481" i="9" s="1"/>
  <c r="AU481" i="9"/>
  <c r="DL481" i="9" s="1"/>
  <c r="AZ481" i="9"/>
  <c r="DQ481" i="9" s="1"/>
  <c r="BR481" i="9"/>
  <c r="EI481" i="9" s="1"/>
  <c r="AP481" i="9"/>
  <c r="DG481" i="9" s="1"/>
  <c r="BE481" i="9"/>
  <c r="DV481" i="9" s="1"/>
  <c r="AI481" i="9"/>
  <c r="CZ481" i="9" s="1"/>
  <c r="BQ398" i="9"/>
  <c r="EH398" i="9" s="1"/>
  <c r="AD398" i="9"/>
  <c r="CU398" i="9" s="1"/>
  <c r="BN398" i="9"/>
  <c r="EE398" i="9" s="1"/>
  <c r="AK398" i="9"/>
  <c r="DB398" i="9" s="1"/>
  <c r="AI398" i="9"/>
  <c r="CZ398" i="9" s="1"/>
  <c r="AX398" i="9"/>
  <c r="DO398" i="9" s="1"/>
  <c r="AT398" i="9"/>
  <c r="DK398" i="9" s="1"/>
  <c r="AH632" i="9"/>
  <c r="CY632" i="9" s="1"/>
  <c r="AR385" i="9"/>
  <c r="DI385" i="9" s="1"/>
  <c r="AK567" i="9"/>
  <c r="DB567" i="9" s="1"/>
  <c r="V567" i="9"/>
  <c r="CM567" i="9" s="1"/>
  <c r="AC567" i="9"/>
  <c r="CT567" i="9" s="1"/>
  <c r="BP567" i="9"/>
  <c r="EG567" i="9" s="1"/>
  <c r="BL567" i="9"/>
  <c r="EC567" i="9" s="1"/>
  <c r="AX664" i="9"/>
  <c r="DO664" i="9" s="1"/>
  <c r="AM664" i="9"/>
  <c r="DD664" i="9" s="1"/>
  <c r="BM664" i="9"/>
  <c r="ED664" i="9" s="1"/>
  <c r="M505" i="9"/>
  <c r="CD505" i="9" s="1"/>
  <c r="AD505" i="9"/>
  <c r="CU505" i="9" s="1"/>
  <c r="BR505" i="9"/>
  <c r="EI505" i="9" s="1"/>
  <c r="AB505" i="9"/>
  <c r="CS505" i="9" s="1"/>
  <c r="AZ263" i="9"/>
  <c r="DQ263" i="9" s="1"/>
  <c r="BL263" i="9"/>
  <c r="EC263" i="9" s="1"/>
  <c r="AJ263" i="9"/>
  <c r="DA263" i="9" s="1"/>
  <c r="Z251" i="9"/>
  <c r="CQ251" i="9" s="1"/>
  <c r="AT251" i="9"/>
  <c r="DK251" i="9" s="1"/>
  <c r="X254" i="9"/>
  <c r="CO254" i="9" s="1"/>
  <c r="AX254" i="9"/>
  <c r="DO254" i="9" s="1"/>
  <c r="BF287" i="9"/>
  <c r="DW287" i="9" s="1"/>
  <c r="BI287" i="9"/>
  <c r="DZ287" i="9" s="1"/>
  <c r="AK287" i="9"/>
  <c r="DB287" i="9" s="1"/>
  <c r="U287" i="9"/>
  <c r="CL287" i="9" s="1"/>
  <c r="BR287" i="9"/>
  <c r="EI287" i="9" s="1"/>
  <c r="P287" i="9"/>
  <c r="CG287" i="9" s="1"/>
  <c r="M243" i="9"/>
  <c r="CD243" i="9" s="1"/>
  <c r="BR243" i="9"/>
  <c r="EI243" i="9" s="1"/>
  <c r="AH243" i="9"/>
  <c r="CY243" i="9" s="1"/>
  <c r="AV243" i="9"/>
  <c r="DM243" i="9" s="1"/>
  <c r="AZ243" i="9"/>
  <c r="DQ243" i="9" s="1"/>
  <c r="BM243" i="9"/>
  <c r="ED243" i="9" s="1"/>
  <c r="BG243" i="9"/>
  <c r="DX243" i="9" s="1"/>
  <c r="P243" i="9"/>
  <c r="CG243" i="9" s="1"/>
  <c r="BL243" i="9"/>
  <c r="EC243" i="9" s="1"/>
  <c r="AK243" i="9"/>
  <c r="DB243" i="9" s="1"/>
  <c r="BJ243" i="9"/>
  <c r="EA243" i="9" s="1"/>
  <c r="AY243" i="9"/>
  <c r="DP243" i="9" s="1"/>
  <c r="AX243" i="9"/>
  <c r="DO243" i="9" s="1"/>
  <c r="AC243" i="9"/>
  <c r="CT243" i="9" s="1"/>
  <c r="O243" i="9"/>
  <c r="CF243" i="9" s="1"/>
  <c r="AQ243" i="9"/>
  <c r="DH243" i="9" s="1"/>
  <c r="AB243" i="9"/>
  <c r="CS243" i="9" s="1"/>
  <c r="AS243" i="9"/>
  <c r="DJ243" i="9" s="1"/>
  <c r="BF243" i="9"/>
  <c r="DW243" i="9" s="1"/>
  <c r="AF243" i="9"/>
  <c r="CW243" i="9" s="1"/>
  <c r="AL243" i="9"/>
  <c r="DC243" i="9" s="1"/>
  <c r="Q243" i="9"/>
  <c r="CH243" i="9" s="1"/>
  <c r="AU243" i="9"/>
  <c r="DL243" i="9" s="1"/>
  <c r="BK243" i="9"/>
  <c r="EB243" i="9" s="1"/>
  <c r="BH243" i="9"/>
  <c r="DY243" i="9" s="1"/>
  <c r="U243" i="9"/>
  <c r="CL243" i="9" s="1"/>
  <c r="AR243" i="9"/>
  <c r="DI243" i="9" s="1"/>
  <c r="W243" i="9"/>
  <c r="CN243" i="9" s="1"/>
  <c r="T243" i="9"/>
  <c r="CK243" i="9" s="1"/>
  <c r="BE243" i="9"/>
  <c r="DV243" i="9" s="1"/>
  <c r="BP243" i="9"/>
  <c r="EG243" i="9" s="1"/>
  <c r="AN243" i="9"/>
  <c r="DE243" i="9" s="1"/>
  <c r="BI243" i="9"/>
  <c r="DZ243" i="9" s="1"/>
  <c r="AD243" i="9"/>
  <c r="CU243" i="9" s="1"/>
  <c r="V243" i="9"/>
  <c r="CM243" i="9" s="1"/>
  <c r="AP243" i="9"/>
  <c r="DG243" i="9" s="1"/>
  <c r="L243" i="9"/>
  <c r="CC243" i="9" s="1"/>
  <c r="AT243" i="9"/>
  <c r="DK243" i="9" s="1"/>
  <c r="BO243" i="9"/>
  <c r="EF243" i="9" s="1"/>
  <c r="BN243" i="9"/>
  <c r="EE243" i="9" s="1"/>
  <c r="Y243" i="9"/>
  <c r="CP243" i="9" s="1"/>
  <c r="BC243" i="9"/>
  <c r="DT243" i="9" s="1"/>
  <c r="AA243" i="9"/>
  <c r="CR243" i="9" s="1"/>
  <c r="R243" i="9"/>
  <c r="CI243" i="9" s="1"/>
  <c r="P607" i="9"/>
  <c r="CG607" i="9" s="1"/>
  <c r="M607" i="9"/>
  <c r="CD607" i="9" s="1"/>
  <c r="T607" i="9"/>
  <c r="CK607" i="9" s="1"/>
  <c r="S607" i="9"/>
  <c r="CJ607" i="9" s="1"/>
  <c r="Q607" i="9"/>
  <c r="CH607" i="9" s="1"/>
  <c r="O607" i="9"/>
  <c r="CF607" i="9" s="1"/>
  <c r="R607" i="9"/>
  <c r="CI607" i="9" s="1"/>
  <c r="AI628" i="9"/>
  <c r="CZ628" i="9" s="1"/>
  <c r="AK628" i="9"/>
  <c r="DB628" i="9" s="1"/>
  <c r="BN481" i="9"/>
  <c r="EE481" i="9" s="1"/>
  <c r="AT481" i="9"/>
  <c r="DK481" i="9" s="1"/>
  <c r="AH398" i="9"/>
  <c r="CY398" i="9" s="1"/>
  <c r="AZ398" i="9"/>
  <c r="DQ398" i="9" s="1"/>
  <c r="BI664" i="9"/>
  <c r="DZ664" i="9" s="1"/>
  <c r="BL628" i="9"/>
  <c r="EC628" i="9" s="1"/>
  <c r="BC628" i="9"/>
  <c r="DT628" i="9" s="1"/>
  <c r="BR628" i="9"/>
  <c r="EI628" i="9" s="1"/>
  <c r="BJ628" i="9"/>
  <c r="EA628" i="9" s="1"/>
  <c r="AC628" i="9"/>
  <c r="CT628" i="9" s="1"/>
  <c r="Z628" i="9"/>
  <c r="CQ628" i="9" s="1"/>
  <c r="AQ628" i="9"/>
  <c r="DH628" i="9" s="1"/>
  <c r="BI397" i="9"/>
  <c r="DZ397" i="9" s="1"/>
  <c r="P628" i="9"/>
  <c r="CG628" i="9" s="1"/>
  <c r="AC238" i="9"/>
  <c r="CT238" i="9" s="1"/>
  <c r="U238" i="9"/>
  <c r="CL238" i="9" s="1"/>
  <c r="BP238" i="9"/>
  <c r="EG238" i="9" s="1"/>
  <c r="AA238" i="9"/>
  <c r="CR238" i="9" s="1"/>
  <c r="BE238" i="9"/>
  <c r="DV238" i="9" s="1"/>
  <c r="BI238" i="9"/>
  <c r="DZ238" i="9" s="1"/>
  <c r="AB481" i="9"/>
  <c r="CS481" i="9" s="1"/>
  <c r="AF481" i="9"/>
  <c r="CW481" i="9" s="1"/>
  <c r="AV481" i="9"/>
  <c r="DM481" i="9" s="1"/>
  <c r="BB481" i="9"/>
  <c r="DS481" i="9" s="1"/>
  <c r="BL481" i="9"/>
  <c r="EC481" i="9" s="1"/>
  <c r="BA481" i="9"/>
  <c r="DR481" i="9" s="1"/>
  <c r="W481" i="9"/>
  <c r="CN481" i="9" s="1"/>
  <c r="U398" i="9"/>
  <c r="CL398" i="9" s="1"/>
  <c r="BF398" i="9"/>
  <c r="DW398" i="9" s="1"/>
  <c r="AJ398" i="9"/>
  <c r="DA398" i="9" s="1"/>
  <c r="AR398" i="9"/>
  <c r="DI398" i="9" s="1"/>
  <c r="AW398" i="9"/>
  <c r="DN398" i="9" s="1"/>
  <c r="BP398" i="9"/>
  <c r="EG398" i="9" s="1"/>
  <c r="AX632" i="9"/>
  <c r="DO632" i="9" s="1"/>
  <c r="BG385" i="9"/>
  <c r="DX385" i="9" s="1"/>
  <c r="Z567" i="9"/>
  <c r="CQ567" i="9" s="1"/>
  <c r="U567" i="9"/>
  <c r="CL567" i="9" s="1"/>
  <c r="AX567" i="9"/>
  <c r="DO567" i="9" s="1"/>
  <c r="AP567" i="9"/>
  <c r="DG567" i="9" s="1"/>
  <c r="AR567" i="9"/>
  <c r="DI567" i="9" s="1"/>
  <c r="AP664" i="9"/>
  <c r="DG664" i="9" s="1"/>
  <c r="BB664" i="9"/>
  <c r="DS664" i="9" s="1"/>
  <c r="AE664" i="9"/>
  <c r="CV664" i="9" s="1"/>
  <c r="R505" i="9"/>
  <c r="CI505" i="9" s="1"/>
  <c r="AL505" i="9"/>
  <c r="DC505" i="9" s="1"/>
  <c r="BJ505" i="9"/>
  <c r="EA505" i="9" s="1"/>
  <c r="AI505" i="9"/>
  <c r="CZ505" i="9" s="1"/>
  <c r="BP263" i="9"/>
  <c r="EG263" i="9" s="1"/>
  <c r="AL263" i="9"/>
  <c r="DC263" i="9" s="1"/>
  <c r="AK263" i="9"/>
  <c r="DB263" i="9" s="1"/>
  <c r="X251" i="9"/>
  <c r="CO251" i="9" s="1"/>
  <c r="AB254" i="9"/>
  <c r="CS254" i="9" s="1"/>
  <c r="L560" i="9"/>
  <c r="CC560" i="9" s="1"/>
  <c r="S560" i="9"/>
  <c r="CJ560" i="9" s="1"/>
  <c r="R238" i="9"/>
  <c r="CI238" i="9" s="1"/>
  <c r="AZ628" i="9"/>
  <c r="DQ628" i="9" s="1"/>
  <c r="AD397" i="9"/>
  <c r="CU397" i="9" s="1"/>
  <c r="AX481" i="9"/>
  <c r="DO481" i="9" s="1"/>
  <c r="BD481" i="9"/>
  <c r="DU481" i="9" s="1"/>
  <c r="BB398" i="9"/>
  <c r="DS398" i="9" s="1"/>
  <c r="BL398" i="9"/>
  <c r="EC398" i="9" s="1"/>
  <c r="AY567" i="9"/>
  <c r="DP567" i="9" s="1"/>
  <c r="AF664" i="9"/>
  <c r="CW664" i="9" s="1"/>
  <c r="AM263" i="9"/>
  <c r="DD263" i="9" s="1"/>
  <c r="AH263" i="9"/>
  <c r="CY263" i="9" s="1"/>
  <c r="BR651" i="9"/>
  <c r="EI651" i="9" s="1"/>
  <c r="S251" i="9"/>
  <c r="CJ251" i="9" s="1"/>
  <c r="AS251" i="9"/>
  <c r="DJ251" i="9" s="1"/>
  <c r="BG251" i="9"/>
  <c r="DX251" i="9" s="1"/>
  <c r="U251" i="9"/>
  <c r="CL251" i="9" s="1"/>
  <c r="AR251" i="9"/>
  <c r="DI251" i="9" s="1"/>
  <c r="V251" i="9"/>
  <c r="CM251" i="9" s="1"/>
  <c r="AC251" i="9"/>
  <c r="CT251" i="9" s="1"/>
  <c r="P251" i="9"/>
  <c r="CG251" i="9" s="1"/>
  <c r="BL251" i="9"/>
  <c r="EC251" i="9" s="1"/>
  <c r="BF251" i="9"/>
  <c r="DW251" i="9" s="1"/>
  <c r="AH251" i="9"/>
  <c r="CY251" i="9" s="1"/>
  <c r="BP251" i="9"/>
  <c r="EG251" i="9" s="1"/>
  <c r="BJ251" i="9"/>
  <c r="EA251" i="9" s="1"/>
  <c r="BB251" i="9"/>
  <c r="DS251" i="9" s="1"/>
  <c r="AP251" i="9"/>
  <c r="DG251" i="9" s="1"/>
  <c r="N251" i="9"/>
  <c r="CE251" i="9" s="1"/>
  <c r="BH251" i="9"/>
  <c r="DY251" i="9" s="1"/>
  <c r="BI251" i="9"/>
  <c r="DZ251" i="9" s="1"/>
  <c r="AQ251" i="9"/>
  <c r="DH251" i="9" s="1"/>
  <c r="AI251" i="9"/>
  <c r="CZ251" i="9" s="1"/>
  <c r="BQ251" i="9"/>
  <c r="EH251" i="9" s="1"/>
  <c r="AK251" i="9"/>
  <c r="DB251" i="9" s="1"/>
  <c r="AL251" i="9"/>
  <c r="DC251" i="9" s="1"/>
  <c r="AX251" i="9"/>
  <c r="DO251" i="9" s="1"/>
  <c r="BK251" i="9"/>
  <c r="EB251" i="9" s="1"/>
  <c r="AB251" i="9"/>
  <c r="CS251" i="9" s="1"/>
  <c r="BD251" i="9"/>
  <c r="DU251" i="9" s="1"/>
  <c r="AZ251" i="9"/>
  <c r="DQ251" i="9" s="1"/>
  <c r="AW251" i="9"/>
  <c r="DN251" i="9" s="1"/>
  <c r="M251" i="9"/>
  <c r="CD251" i="9" s="1"/>
  <c r="BN251" i="9"/>
  <c r="EE251" i="9" s="1"/>
  <c r="AU251" i="9"/>
  <c r="DL251" i="9" s="1"/>
  <c r="BE251" i="9"/>
  <c r="DV251" i="9" s="1"/>
  <c r="AN251" i="9"/>
  <c r="DE251" i="9" s="1"/>
  <c r="BO251" i="9"/>
  <c r="EF251" i="9" s="1"/>
  <c r="AF251" i="9"/>
  <c r="CW251" i="9" s="1"/>
  <c r="T251" i="9"/>
  <c r="CK251" i="9" s="1"/>
  <c r="L251" i="9"/>
  <c r="CC251" i="9" s="1"/>
  <c r="AJ251" i="9"/>
  <c r="DA251" i="9" s="1"/>
  <c r="AA251" i="9"/>
  <c r="CR251" i="9" s="1"/>
  <c r="BM251" i="9"/>
  <c r="ED251" i="9" s="1"/>
  <c r="AV251" i="9"/>
  <c r="DM251" i="9" s="1"/>
  <c r="BA251" i="9"/>
  <c r="DR251" i="9" s="1"/>
  <c r="AO251" i="9"/>
  <c r="DF251" i="9" s="1"/>
  <c r="O251" i="9"/>
  <c r="CF251" i="9" s="1"/>
  <c r="Q254" i="9"/>
  <c r="CH254" i="9" s="1"/>
  <c r="K254" i="9"/>
  <c r="CB254" i="9" s="1"/>
  <c r="M254" i="9"/>
  <c r="CD254" i="9" s="1"/>
  <c r="Z254" i="9"/>
  <c r="CQ254" i="9" s="1"/>
  <c r="AT254" i="9"/>
  <c r="DK254" i="9" s="1"/>
  <c r="AR254" i="9"/>
  <c r="DI254" i="9" s="1"/>
  <c r="BL254" i="9"/>
  <c r="EC254" i="9" s="1"/>
  <c r="BI254" i="9"/>
  <c r="DZ254" i="9" s="1"/>
  <c r="AH254" i="9"/>
  <c r="CY254" i="9" s="1"/>
  <c r="L254" i="9"/>
  <c r="CC254" i="9" s="1"/>
  <c r="R254" i="9"/>
  <c r="CI254" i="9" s="1"/>
  <c r="BK254" i="9"/>
  <c r="EB254" i="9" s="1"/>
  <c r="BP254" i="9"/>
  <c r="EG254" i="9" s="1"/>
  <c r="AA254" i="9"/>
  <c r="CR254" i="9" s="1"/>
  <c r="AF254" i="9"/>
  <c r="CW254" i="9" s="1"/>
  <c r="AK254" i="9"/>
  <c r="DB254" i="9" s="1"/>
  <c r="AC254" i="9"/>
  <c r="CT254" i="9" s="1"/>
  <c r="BB254" i="9"/>
  <c r="DS254" i="9" s="1"/>
  <c r="AY254" i="9"/>
  <c r="DP254" i="9" s="1"/>
  <c r="Y254" i="9"/>
  <c r="CP254" i="9" s="1"/>
  <c r="BQ254" i="9"/>
  <c r="EH254" i="9" s="1"/>
  <c r="BN254" i="9"/>
  <c r="EE254" i="9" s="1"/>
  <c r="AP254" i="9"/>
  <c r="DG254" i="9" s="1"/>
  <c r="V254" i="9"/>
  <c r="CM254" i="9" s="1"/>
  <c r="AI254" i="9"/>
  <c r="CZ254" i="9" s="1"/>
  <c r="AN254" i="9"/>
  <c r="DE254" i="9" s="1"/>
  <c r="AS254" i="9"/>
  <c r="DJ254" i="9" s="1"/>
  <c r="AW254" i="9"/>
  <c r="DN254" i="9" s="1"/>
  <c r="AO254" i="9"/>
  <c r="DF254" i="9" s="1"/>
  <c r="AD254" i="9"/>
  <c r="CU254" i="9" s="1"/>
  <c r="AQ254" i="9"/>
  <c r="DH254" i="9" s="1"/>
  <c r="AU254" i="9"/>
  <c r="DL254" i="9" s="1"/>
  <c r="AZ254" i="9"/>
  <c r="DQ254" i="9" s="1"/>
  <c r="BE254" i="9"/>
  <c r="DV254" i="9" s="1"/>
  <c r="BA254" i="9"/>
  <c r="DR254" i="9" s="1"/>
  <c r="W254" i="9"/>
  <c r="CN254" i="9" s="1"/>
  <c r="S254" i="9"/>
  <c r="CJ254" i="9" s="1"/>
  <c r="BO254" i="9"/>
  <c r="EF254" i="9" s="1"/>
  <c r="AV254" i="9"/>
  <c r="DM254" i="9" s="1"/>
  <c r="AM254" i="9"/>
  <c r="DD254" i="9" s="1"/>
  <c r="AJ254" i="9"/>
  <c r="DA254" i="9" s="1"/>
  <c r="BD254" i="9"/>
  <c r="DU254" i="9" s="1"/>
  <c r="U254" i="9"/>
  <c r="CL254" i="9" s="1"/>
  <c r="P254" i="9"/>
  <c r="CG254" i="9" s="1"/>
  <c r="K567" i="9"/>
  <c r="CB567" i="9" s="1"/>
  <c r="K397" i="9"/>
  <c r="CB397" i="9" s="1"/>
  <c r="BD628" i="9"/>
  <c r="DU628" i="9" s="1"/>
  <c r="BG628" i="9"/>
  <c r="DX628" i="9" s="1"/>
  <c r="AU628" i="9"/>
  <c r="DL628" i="9" s="1"/>
  <c r="BA628" i="9"/>
  <c r="DR628" i="9" s="1"/>
  <c r="W628" i="9"/>
  <c r="CN628" i="9" s="1"/>
  <c r="AF628" i="9"/>
  <c r="CW628" i="9" s="1"/>
  <c r="AM628" i="9"/>
  <c r="DD628" i="9" s="1"/>
  <c r="AP238" i="9"/>
  <c r="DG238" i="9" s="1"/>
  <c r="BD238" i="9"/>
  <c r="DU238" i="9" s="1"/>
  <c r="V238" i="9"/>
  <c r="CM238" i="9" s="1"/>
  <c r="BK238" i="9"/>
  <c r="EB238" i="9" s="1"/>
  <c r="BO238" i="9"/>
  <c r="EF238" i="9" s="1"/>
  <c r="AK238" i="9"/>
  <c r="DB238" i="9" s="1"/>
  <c r="V481" i="9"/>
  <c r="CM481" i="9" s="1"/>
  <c r="BG481" i="9"/>
  <c r="DX481" i="9" s="1"/>
  <c r="BM481" i="9"/>
  <c r="ED481" i="9" s="1"/>
  <c r="U481" i="9"/>
  <c r="CL481" i="9" s="1"/>
  <c r="AL481" i="9"/>
  <c r="DC481" i="9" s="1"/>
  <c r="BR398" i="9"/>
  <c r="EI398" i="9" s="1"/>
  <c r="AV398" i="9"/>
  <c r="DM398" i="9" s="1"/>
  <c r="X398" i="9"/>
  <c r="CO398" i="9" s="1"/>
  <c r="BA398" i="9"/>
  <c r="DR398" i="9" s="1"/>
  <c r="AM398" i="9"/>
  <c r="DD398" i="9" s="1"/>
  <c r="BG398" i="9"/>
  <c r="DX398" i="9" s="1"/>
  <c r="AN632" i="9"/>
  <c r="DE632" i="9" s="1"/>
  <c r="AJ567" i="9"/>
  <c r="DA567" i="9" s="1"/>
  <c r="BM567" i="9"/>
  <c r="ED567" i="9" s="1"/>
  <c r="BB567" i="9"/>
  <c r="DS567" i="9" s="1"/>
  <c r="BO567" i="9"/>
  <c r="EF567" i="9" s="1"/>
  <c r="AU567" i="9"/>
  <c r="DL567" i="9" s="1"/>
  <c r="BJ664" i="9"/>
  <c r="EA664" i="9" s="1"/>
  <c r="BC664" i="9"/>
  <c r="DT664" i="9" s="1"/>
  <c r="AK664" i="9"/>
  <c r="DB664" i="9" s="1"/>
  <c r="P505" i="9"/>
  <c r="CG505" i="9" s="1"/>
  <c r="U505" i="9"/>
  <c r="CL505" i="9" s="1"/>
  <c r="AH505" i="9"/>
  <c r="CY505" i="9" s="1"/>
  <c r="AV505" i="9"/>
  <c r="DM505" i="9" s="1"/>
  <c r="BQ263" i="9"/>
  <c r="EH263" i="9" s="1"/>
  <c r="AW263" i="9"/>
  <c r="DN263" i="9" s="1"/>
  <c r="AN263" i="9"/>
  <c r="DE263" i="9" s="1"/>
  <c r="BC251" i="9"/>
  <c r="DT251" i="9" s="1"/>
  <c r="BM254" i="9"/>
  <c r="ED254" i="9" s="1"/>
  <c r="BJ245" i="9"/>
  <c r="EA245" i="9" s="1"/>
  <c r="BI495" i="9"/>
  <c r="DZ495" i="9" s="1"/>
  <c r="AY495" i="9"/>
  <c r="DP495" i="9" s="1"/>
  <c r="AN495" i="9"/>
  <c r="DE495" i="9" s="1"/>
  <c r="BK495" i="9"/>
  <c r="EB495" i="9" s="1"/>
  <c r="BG495" i="9"/>
  <c r="DX495" i="9" s="1"/>
  <c r="BN495" i="9"/>
  <c r="EE495" i="9" s="1"/>
  <c r="S495" i="9"/>
  <c r="CJ495" i="9" s="1"/>
  <c r="AG495" i="9"/>
  <c r="CX495" i="9" s="1"/>
  <c r="AW495" i="9"/>
  <c r="DN495" i="9" s="1"/>
  <c r="Y495" i="9"/>
  <c r="CP495" i="9" s="1"/>
  <c r="V495" i="9"/>
  <c r="CM495" i="9" s="1"/>
  <c r="BA495" i="9"/>
  <c r="DR495" i="9" s="1"/>
  <c r="AF495" i="9"/>
  <c r="CW495" i="9" s="1"/>
  <c r="R495" i="9"/>
  <c r="CI495" i="9" s="1"/>
  <c r="W495" i="9"/>
  <c r="CN495" i="9" s="1"/>
  <c r="AL495" i="9"/>
  <c r="DC495" i="9" s="1"/>
  <c r="X495" i="9"/>
  <c r="CO495" i="9" s="1"/>
  <c r="BR495" i="9"/>
  <c r="EI495" i="9" s="1"/>
  <c r="AV495" i="9"/>
  <c r="DM495" i="9" s="1"/>
  <c r="AP495" i="9"/>
  <c r="DG495" i="9" s="1"/>
  <c r="AE495" i="9"/>
  <c r="CV495" i="9" s="1"/>
  <c r="BO495" i="9"/>
  <c r="EF495" i="9" s="1"/>
  <c r="BB495" i="9"/>
  <c r="DS495" i="9" s="1"/>
  <c r="AD495" i="9"/>
  <c r="CU495" i="9" s="1"/>
  <c r="U495" i="9"/>
  <c r="CL495" i="9" s="1"/>
  <c r="Z495" i="9"/>
  <c r="CQ495" i="9" s="1"/>
  <c r="AI563" i="9"/>
  <c r="CZ563" i="9" s="1"/>
  <c r="BR563" i="9"/>
  <c r="EI563" i="9" s="1"/>
  <c r="AY563" i="9"/>
  <c r="DP563" i="9" s="1"/>
  <c r="BG563" i="9"/>
  <c r="DX563" i="9" s="1"/>
  <c r="AX563" i="9"/>
  <c r="DO563" i="9" s="1"/>
  <c r="BC563" i="9"/>
  <c r="DT563" i="9" s="1"/>
  <c r="N563" i="9"/>
  <c r="CE563" i="9" s="1"/>
  <c r="AC563" i="9"/>
  <c r="CT563" i="9" s="1"/>
  <c r="AF563" i="9"/>
  <c r="CW563" i="9" s="1"/>
  <c r="X563" i="9"/>
  <c r="CO563" i="9" s="1"/>
  <c r="AH563" i="9"/>
  <c r="CY563" i="9" s="1"/>
  <c r="AK563" i="9"/>
  <c r="DB563" i="9" s="1"/>
  <c r="AA563" i="9"/>
  <c r="CR563" i="9" s="1"/>
  <c r="L563" i="9"/>
  <c r="CC563" i="9" s="1"/>
  <c r="Y563" i="9"/>
  <c r="CP563" i="9" s="1"/>
  <c r="AW563" i="9"/>
  <c r="DN563" i="9" s="1"/>
  <c r="U563" i="9"/>
  <c r="CL563" i="9" s="1"/>
  <c r="AS563" i="9"/>
  <c r="DJ563" i="9" s="1"/>
  <c r="AZ563" i="9"/>
  <c r="DQ563" i="9" s="1"/>
  <c r="BL563" i="9"/>
  <c r="EC563" i="9" s="1"/>
  <c r="AN563" i="9"/>
  <c r="DE563" i="9" s="1"/>
  <c r="AO563" i="9"/>
  <c r="DF563" i="9" s="1"/>
  <c r="AE563" i="9"/>
  <c r="CV563" i="9" s="1"/>
  <c r="AB563" i="9"/>
  <c r="CS563" i="9" s="1"/>
  <c r="AL563" i="9"/>
  <c r="DC563" i="9" s="1"/>
  <c r="BM563" i="9"/>
  <c r="ED563" i="9" s="1"/>
  <c r="AQ563" i="9"/>
  <c r="DH563" i="9" s="1"/>
  <c r="BI563" i="9"/>
  <c r="DZ563" i="9" s="1"/>
  <c r="BN563" i="9"/>
  <c r="EE563" i="9" s="1"/>
  <c r="V563" i="9"/>
  <c r="CM563" i="9" s="1"/>
  <c r="AT563" i="9"/>
  <c r="DK563" i="9" s="1"/>
  <c r="BE563" i="9"/>
  <c r="DV563" i="9" s="1"/>
  <c r="BB563" i="9"/>
  <c r="DS563" i="9" s="1"/>
  <c r="BJ563" i="9"/>
  <c r="EA563" i="9" s="1"/>
  <c r="AR563" i="9"/>
  <c r="DI563" i="9" s="1"/>
  <c r="Z563" i="9"/>
  <c r="CQ563" i="9" s="1"/>
  <c r="BQ563" i="9"/>
  <c r="EH563" i="9" s="1"/>
  <c r="AJ563" i="9"/>
  <c r="DA563" i="9" s="1"/>
  <c r="AV563" i="9"/>
  <c r="DM563" i="9" s="1"/>
  <c r="T563" i="9"/>
  <c r="CK563" i="9" s="1"/>
  <c r="Q563" i="9"/>
  <c r="CH563" i="9" s="1"/>
  <c r="R373" i="9"/>
  <c r="CI373" i="9" s="1"/>
  <c r="K373" i="9"/>
  <c r="CB373" i="9" s="1"/>
  <c r="S373" i="9"/>
  <c r="CJ373" i="9" s="1"/>
  <c r="Q373" i="9"/>
  <c r="CH373" i="9" s="1"/>
  <c r="N509" i="9"/>
  <c r="CE509" i="9" s="1"/>
  <c r="BK509" i="9"/>
  <c r="EB509" i="9" s="1"/>
  <c r="W509" i="9"/>
  <c r="CN509" i="9" s="1"/>
  <c r="BQ509" i="9"/>
  <c r="EH509" i="9" s="1"/>
  <c r="T509" i="9"/>
  <c r="CK509" i="9" s="1"/>
  <c r="AE509" i="9"/>
  <c r="CV509" i="9" s="1"/>
  <c r="AV509" i="9"/>
  <c r="DM509" i="9" s="1"/>
  <c r="Q353" i="9"/>
  <c r="M647" i="11" s="1"/>
  <c r="BU342" i="9"/>
  <c r="M215" i="6" s="1"/>
  <c r="AN648" i="9"/>
  <c r="DE648" i="9" s="1"/>
  <c r="AT648" i="9"/>
  <c r="DK648" i="9" s="1"/>
  <c r="BG648" i="9"/>
  <c r="DX648" i="9" s="1"/>
  <c r="V625" i="9"/>
  <c r="CM625" i="9" s="1"/>
  <c r="AS625" i="9"/>
  <c r="DJ625" i="9" s="1"/>
  <c r="BN625" i="9"/>
  <c r="EE625" i="9" s="1"/>
  <c r="U625" i="9"/>
  <c r="CL625" i="9" s="1"/>
  <c r="AZ625" i="9"/>
  <c r="DQ625" i="9" s="1"/>
  <c r="BP625" i="9"/>
  <c r="EG625" i="9" s="1"/>
  <c r="BH625" i="9"/>
  <c r="DY625" i="9" s="1"/>
  <c r="BL559" i="9"/>
  <c r="EC559" i="9" s="1"/>
  <c r="V559" i="9"/>
  <c r="CM559" i="9" s="1"/>
  <c r="AF559" i="9"/>
  <c r="CW559" i="9" s="1"/>
  <c r="AX559" i="9"/>
  <c r="DO559" i="9" s="1"/>
  <c r="BR559" i="9"/>
  <c r="EI559" i="9" s="1"/>
  <c r="X559" i="9"/>
  <c r="CO559" i="9" s="1"/>
  <c r="AT559" i="9"/>
  <c r="DK559" i="9" s="1"/>
  <c r="Z435" i="9"/>
  <c r="CQ435" i="9" s="1"/>
  <c r="AH365" i="9"/>
  <c r="CY365" i="9" s="1"/>
  <c r="AT365" i="9"/>
  <c r="DK365" i="9" s="1"/>
  <c r="BF365" i="9"/>
  <c r="DW365" i="9" s="1"/>
  <c r="BC365" i="9"/>
  <c r="DT365" i="9" s="1"/>
  <c r="AB365" i="9"/>
  <c r="CS365" i="9" s="1"/>
  <c r="AC365" i="9"/>
  <c r="CT365" i="9" s="1"/>
  <c r="U486" i="9"/>
  <c r="CL486" i="9" s="1"/>
  <c r="O625" i="9"/>
  <c r="CF625" i="9" s="1"/>
  <c r="M625" i="9"/>
  <c r="CD625" i="9" s="1"/>
  <c r="AH265" i="9"/>
  <c r="CY265" i="9" s="1"/>
  <c r="AX265" i="9"/>
  <c r="DO265" i="9" s="1"/>
  <c r="Q357" i="9"/>
  <c r="CH357" i="9" s="1"/>
  <c r="BK357" i="9"/>
  <c r="EB357" i="9" s="1"/>
  <c r="AS357" i="9"/>
  <c r="DJ357" i="9" s="1"/>
  <c r="AH357" i="9"/>
  <c r="CY357" i="9" s="1"/>
  <c r="AX357" i="9"/>
  <c r="DO357" i="9" s="1"/>
  <c r="U357" i="9"/>
  <c r="CL357" i="9" s="1"/>
  <c r="AV357" i="9"/>
  <c r="DM357" i="9" s="1"/>
  <c r="T608" i="9"/>
  <c r="CK608" i="9" s="1"/>
  <c r="S557" i="9"/>
  <c r="CJ557" i="9" s="1"/>
  <c r="AI557" i="9"/>
  <c r="CZ557" i="9" s="1"/>
  <c r="BO557" i="9"/>
  <c r="EF557" i="9" s="1"/>
  <c r="AN557" i="9"/>
  <c r="DE557" i="9" s="1"/>
  <c r="V557" i="9"/>
  <c r="CM557" i="9" s="1"/>
  <c r="AW557" i="9"/>
  <c r="DN557" i="9" s="1"/>
  <c r="BM557" i="9"/>
  <c r="ED557" i="9" s="1"/>
  <c r="N608" i="9"/>
  <c r="CE608" i="9" s="1"/>
  <c r="BO608" i="9"/>
  <c r="EF608" i="9" s="1"/>
  <c r="BJ608" i="9"/>
  <c r="EA608" i="9" s="1"/>
  <c r="BC608" i="9"/>
  <c r="DT608" i="9" s="1"/>
  <c r="AW608" i="9"/>
  <c r="DN608" i="9" s="1"/>
  <c r="AM608" i="9"/>
  <c r="DD608" i="9" s="1"/>
  <c r="AS608" i="9"/>
  <c r="DJ608" i="9" s="1"/>
  <c r="BI270" i="9"/>
  <c r="DZ270" i="9" s="1"/>
  <c r="AP270" i="9"/>
  <c r="DG270" i="9" s="1"/>
  <c r="Y270" i="9"/>
  <c r="CP270" i="9" s="1"/>
  <c r="S662" i="9"/>
  <c r="CJ662" i="9" s="1"/>
  <c r="W662" i="9"/>
  <c r="CN662" i="9" s="1"/>
  <c r="AZ662" i="9"/>
  <c r="DQ662" i="9" s="1"/>
  <c r="V662" i="9"/>
  <c r="CM662" i="9" s="1"/>
  <c r="BQ662" i="9"/>
  <c r="EH662" i="9" s="1"/>
  <c r="AO662" i="9"/>
  <c r="DF662" i="9" s="1"/>
  <c r="BN662" i="9"/>
  <c r="EE662" i="9" s="1"/>
  <c r="AC662" i="9"/>
  <c r="CT662" i="9" s="1"/>
  <c r="R365" i="9"/>
  <c r="CI365" i="9" s="1"/>
  <c r="BA648" i="9"/>
  <c r="DR648" i="9" s="1"/>
  <c r="W648" i="9"/>
  <c r="CN648" i="9" s="1"/>
  <c r="AV648" i="9"/>
  <c r="DM648" i="9" s="1"/>
  <c r="U648" i="9"/>
  <c r="CL648" i="9" s="1"/>
  <c r="AD625" i="9"/>
  <c r="CU625" i="9" s="1"/>
  <c r="AU625" i="9"/>
  <c r="DL625" i="9" s="1"/>
  <c r="AY625" i="9"/>
  <c r="DP625" i="9" s="1"/>
  <c r="BQ625" i="9"/>
  <c r="EH625" i="9" s="1"/>
  <c r="AN625" i="9"/>
  <c r="DE625" i="9" s="1"/>
  <c r="AO625" i="9"/>
  <c r="DF625" i="9" s="1"/>
  <c r="BC559" i="9"/>
  <c r="DT559" i="9" s="1"/>
  <c r="AJ559" i="9"/>
  <c r="DA559" i="9" s="1"/>
  <c r="BO559" i="9"/>
  <c r="EF559" i="9" s="1"/>
  <c r="AN559" i="9"/>
  <c r="DE559" i="9" s="1"/>
  <c r="AR559" i="9"/>
  <c r="DI559" i="9" s="1"/>
  <c r="BF559" i="9"/>
  <c r="DW559" i="9" s="1"/>
  <c r="AB435" i="9"/>
  <c r="CS435" i="9" s="1"/>
  <c r="AX365" i="9"/>
  <c r="DO365" i="9" s="1"/>
  <c r="AU365" i="9"/>
  <c r="DL365" i="9" s="1"/>
  <c r="BH365" i="9"/>
  <c r="DY365" i="9" s="1"/>
  <c r="BA365" i="9"/>
  <c r="DR365" i="9" s="1"/>
  <c r="AW365" i="9"/>
  <c r="DN365" i="9" s="1"/>
  <c r="BR365" i="9"/>
  <c r="EI365" i="9" s="1"/>
  <c r="V486" i="9"/>
  <c r="CM486" i="9" s="1"/>
  <c r="BR265" i="9"/>
  <c r="EI265" i="9" s="1"/>
  <c r="R357" i="9"/>
  <c r="CI357" i="9" s="1"/>
  <c r="AO357" i="9"/>
  <c r="DF357" i="9" s="1"/>
  <c r="BA357" i="9"/>
  <c r="DR357" i="9" s="1"/>
  <c r="AG357" i="9"/>
  <c r="CX357" i="9" s="1"/>
  <c r="BF357" i="9"/>
  <c r="DW357" i="9" s="1"/>
  <c r="AI357" i="9"/>
  <c r="CZ357" i="9" s="1"/>
  <c r="V357" i="9"/>
  <c r="CM357" i="9" s="1"/>
  <c r="O557" i="9"/>
  <c r="CF557" i="9" s="1"/>
  <c r="BL557" i="9"/>
  <c r="EC557" i="9" s="1"/>
  <c r="BA557" i="9"/>
  <c r="DR557" i="9" s="1"/>
  <c r="AZ557" i="9"/>
  <c r="DQ557" i="9" s="1"/>
  <c r="W557" i="9"/>
  <c r="CN557" i="9" s="1"/>
  <c r="AQ557" i="9"/>
  <c r="DH557" i="9" s="1"/>
  <c r="AS557" i="9"/>
  <c r="DJ557" i="9" s="1"/>
  <c r="S608" i="9"/>
  <c r="CJ608" i="9" s="1"/>
  <c r="AD608" i="9"/>
  <c r="CU608" i="9" s="1"/>
  <c r="Z608" i="9"/>
  <c r="CQ608" i="9" s="1"/>
  <c r="AN608" i="9"/>
  <c r="DE608" i="9" s="1"/>
  <c r="Y608" i="9"/>
  <c r="CP608" i="9" s="1"/>
  <c r="AF608" i="9"/>
  <c r="CW608" i="9" s="1"/>
  <c r="AP608" i="9"/>
  <c r="DG608" i="9" s="1"/>
  <c r="BP270" i="9"/>
  <c r="EG270" i="9" s="1"/>
  <c r="AE270" i="9"/>
  <c r="CV270" i="9" s="1"/>
  <c r="M662" i="9"/>
  <c r="CD662" i="9" s="1"/>
  <c r="AT662" i="9"/>
  <c r="DK662" i="9" s="1"/>
  <c r="BI662" i="9"/>
  <c r="DZ662" i="9" s="1"/>
  <c r="BR662" i="9"/>
  <c r="EI662" i="9" s="1"/>
  <c r="BP662" i="9"/>
  <c r="EG662" i="9" s="1"/>
  <c r="BC662" i="9"/>
  <c r="DT662" i="9" s="1"/>
  <c r="AD662" i="9"/>
  <c r="CU662" i="9" s="1"/>
  <c r="O365" i="9"/>
  <c r="CF365" i="9" s="1"/>
  <c r="N353" i="9"/>
  <c r="J647" i="11" s="1"/>
  <c r="R425" i="9"/>
  <c r="N650" i="11" s="1"/>
  <c r="BQ648" i="9"/>
  <c r="EH648" i="9" s="1"/>
  <c r="AJ648" i="9"/>
  <c r="DA648" i="9" s="1"/>
  <c r="BM648" i="9"/>
  <c r="ED648" i="9" s="1"/>
  <c r="AI625" i="9"/>
  <c r="CZ625" i="9" s="1"/>
  <c r="BI625" i="9"/>
  <c r="DZ625" i="9" s="1"/>
  <c r="BK625" i="9"/>
  <c r="EB625" i="9" s="1"/>
  <c r="AP625" i="9"/>
  <c r="DG625" i="9" s="1"/>
  <c r="AA625" i="9"/>
  <c r="CR625" i="9" s="1"/>
  <c r="AL625" i="9"/>
  <c r="DC625" i="9" s="1"/>
  <c r="BK559" i="9"/>
  <c r="EB559" i="9" s="1"/>
  <c r="AW559" i="9"/>
  <c r="DN559" i="9" s="1"/>
  <c r="BE559" i="9"/>
  <c r="DV559" i="9" s="1"/>
  <c r="AL559" i="9"/>
  <c r="DC559" i="9" s="1"/>
  <c r="AM559" i="9"/>
  <c r="DD559" i="9" s="1"/>
  <c r="AV559" i="9"/>
  <c r="DM559" i="9" s="1"/>
  <c r="Y365" i="9"/>
  <c r="CP365" i="9" s="1"/>
  <c r="BK365" i="9"/>
  <c r="EB365" i="9" s="1"/>
  <c r="AO365" i="9"/>
  <c r="DF365" i="9" s="1"/>
  <c r="AG365" i="9"/>
  <c r="CX365" i="9" s="1"/>
  <c r="BL365" i="9"/>
  <c r="EC365" i="9" s="1"/>
  <c r="V365" i="9"/>
  <c r="CM365" i="9" s="1"/>
  <c r="AD486" i="9"/>
  <c r="CU486" i="9" s="1"/>
  <c r="K265" i="9"/>
  <c r="CB265" i="9" s="1"/>
  <c r="AQ265" i="9"/>
  <c r="DH265" i="9" s="1"/>
  <c r="L357" i="9"/>
  <c r="CC357" i="9" s="1"/>
  <c r="AY357" i="9"/>
  <c r="DP357" i="9" s="1"/>
  <c r="Y357" i="9"/>
  <c r="CP357" i="9" s="1"/>
  <c r="AZ357" i="9"/>
  <c r="DQ357" i="9" s="1"/>
  <c r="BJ357" i="9"/>
  <c r="EA357" i="9" s="1"/>
  <c r="BO357" i="9"/>
  <c r="EF357" i="9" s="1"/>
  <c r="AF357" i="9"/>
  <c r="CW357" i="9" s="1"/>
  <c r="AC557" i="9"/>
  <c r="CT557" i="9" s="1"/>
  <c r="AM557" i="9"/>
  <c r="DD557" i="9" s="1"/>
  <c r="BF557" i="9"/>
  <c r="DW557" i="9" s="1"/>
  <c r="BJ557" i="9"/>
  <c r="EA557" i="9" s="1"/>
  <c r="AD557" i="9"/>
  <c r="CU557" i="9" s="1"/>
  <c r="Y557" i="9"/>
  <c r="CP557" i="9" s="1"/>
  <c r="BG557" i="9"/>
  <c r="DX557" i="9" s="1"/>
  <c r="M608" i="9"/>
  <c r="CD608" i="9" s="1"/>
  <c r="AE608" i="9"/>
  <c r="CV608" i="9" s="1"/>
  <c r="BD608" i="9"/>
  <c r="DU608" i="9" s="1"/>
  <c r="BF608" i="9"/>
  <c r="DW608" i="9" s="1"/>
  <c r="BB608" i="9"/>
  <c r="DS608" i="9" s="1"/>
  <c r="AC608" i="9"/>
  <c r="CT608" i="9" s="1"/>
  <c r="AA608" i="9"/>
  <c r="CR608" i="9" s="1"/>
  <c r="L270" i="9"/>
  <c r="CC270" i="9" s="1"/>
  <c r="BK270" i="9"/>
  <c r="EB270" i="9" s="1"/>
  <c r="BM270" i="9"/>
  <c r="ED270" i="9" s="1"/>
  <c r="Q662" i="9"/>
  <c r="CH662" i="9" s="1"/>
  <c r="Y662" i="9"/>
  <c r="CP662" i="9" s="1"/>
  <c r="AP662" i="9"/>
  <c r="DG662" i="9" s="1"/>
  <c r="AA662" i="9"/>
  <c r="CR662" i="9" s="1"/>
  <c r="BJ662" i="9"/>
  <c r="EA662" i="9" s="1"/>
  <c r="AL662" i="9"/>
  <c r="DC662" i="9" s="1"/>
  <c r="AH662" i="9"/>
  <c r="CY662" i="9" s="1"/>
  <c r="M365" i="9"/>
  <c r="CD365" i="9" s="1"/>
  <c r="S593" i="9"/>
  <c r="O657" i="11" s="1"/>
  <c r="AF648" i="9"/>
  <c r="CW648" i="9" s="1"/>
  <c r="BC648" i="9"/>
  <c r="DT648" i="9" s="1"/>
  <c r="AI648" i="9"/>
  <c r="CZ648" i="9" s="1"/>
  <c r="BL625" i="9"/>
  <c r="EC625" i="9" s="1"/>
  <c r="AW625" i="9"/>
  <c r="DN625" i="9" s="1"/>
  <c r="BM625" i="9"/>
  <c r="ED625" i="9" s="1"/>
  <c r="AM625" i="9"/>
  <c r="DD625" i="9" s="1"/>
  <c r="AC625" i="9"/>
  <c r="CT625" i="9" s="1"/>
  <c r="AJ625" i="9"/>
  <c r="DA625" i="9" s="1"/>
  <c r="AB559" i="9"/>
  <c r="CS559" i="9" s="1"/>
  <c r="AD559" i="9"/>
  <c r="CU559" i="9" s="1"/>
  <c r="AE559" i="9"/>
  <c r="CV559" i="9" s="1"/>
  <c r="AU559" i="9"/>
  <c r="DL559" i="9" s="1"/>
  <c r="AP559" i="9"/>
  <c r="DG559" i="9" s="1"/>
  <c r="AQ559" i="9"/>
  <c r="DH559" i="9" s="1"/>
  <c r="AN365" i="9"/>
  <c r="DE365" i="9" s="1"/>
  <c r="AY365" i="9"/>
  <c r="DP365" i="9" s="1"/>
  <c r="BJ365" i="9"/>
  <c r="EA365" i="9" s="1"/>
  <c r="BG365" i="9"/>
  <c r="DX365" i="9" s="1"/>
  <c r="AP365" i="9"/>
  <c r="DG365" i="9" s="1"/>
  <c r="BM365" i="9"/>
  <c r="ED365" i="9" s="1"/>
  <c r="X486" i="9"/>
  <c r="CO486" i="9" s="1"/>
  <c r="Q265" i="9"/>
  <c r="CH265" i="9" s="1"/>
  <c r="BM265" i="9"/>
  <c r="ED265" i="9" s="1"/>
  <c r="O357" i="9"/>
  <c r="CF357" i="9" s="1"/>
  <c r="BM357" i="9"/>
  <c r="ED357" i="9" s="1"/>
  <c r="BP357" i="9"/>
  <c r="AE357" i="9"/>
  <c r="CV357" i="9" s="1"/>
  <c r="AR357" i="9"/>
  <c r="DI357" i="9" s="1"/>
  <c r="AA357" i="9"/>
  <c r="BH357" i="9"/>
  <c r="DY357" i="9" s="1"/>
  <c r="BR557" i="9"/>
  <c r="EI557" i="9" s="1"/>
  <c r="AB557" i="9"/>
  <c r="CS557" i="9" s="1"/>
  <c r="AO557" i="9"/>
  <c r="DF557" i="9" s="1"/>
  <c r="AU557" i="9"/>
  <c r="DL557" i="9" s="1"/>
  <c r="Z557" i="9"/>
  <c r="CQ557" i="9" s="1"/>
  <c r="AJ557" i="9"/>
  <c r="DA557" i="9" s="1"/>
  <c r="AT557" i="9"/>
  <c r="DK557" i="9" s="1"/>
  <c r="O608" i="9"/>
  <c r="CF608" i="9" s="1"/>
  <c r="BR608" i="9"/>
  <c r="EI608" i="9" s="1"/>
  <c r="BP608" i="9"/>
  <c r="EG608" i="9" s="1"/>
  <c r="BA608" i="9"/>
  <c r="DR608" i="9" s="1"/>
  <c r="BN608" i="9"/>
  <c r="EE608" i="9" s="1"/>
  <c r="AL608" i="9"/>
  <c r="DC608" i="9" s="1"/>
  <c r="AQ608" i="9"/>
  <c r="DH608" i="9" s="1"/>
  <c r="P270" i="9"/>
  <c r="CG270" i="9" s="1"/>
  <c r="BH270" i="9"/>
  <c r="DY270" i="9" s="1"/>
  <c r="AW270" i="9"/>
  <c r="DN270" i="9" s="1"/>
  <c r="L662" i="9"/>
  <c r="CC662" i="9" s="1"/>
  <c r="AF662" i="9"/>
  <c r="CW662" i="9" s="1"/>
  <c r="BB662" i="9"/>
  <c r="DS662" i="9" s="1"/>
  <c r="BH662" i="9"/>
  <c r="DY662" i="9" s="1"/>
  <c r="AG662" i="9"/>
  <c r="CX662" i="9" s="1"/>
  <c r="AK662" i="9"/>
  <c r="DB662" i="9" s="1"/>
  <c r="BG662" i="9"/>
  <c r="DX662" i="9" s="1"/>
  <c r="P365" i="9"/>
  <c r="CG365" i="9" s="1"/>
  <c r="T365" i="9"/>
  <c r="CK365" i="9" s="1"/>
  <c r="AS648" i="9"/>
  <c r="DJ648" i="9" s="1"/>
  <c r="BF648" i="9"/>
  <c r="DW648" i="9" s="1"/>
  <c r="BP648" i="9"/>
  <c r="EG648" i="9" s="1"/>
  <c r="BC625" i="9"/>
  <c r="DT625" i="9" s="1"/>
  <c r="BA625" i="9"/>
  <c r="DR625" i="9" s="1"/>
  <c r="BO625" i="9"/>
  <c r="EF625" i="9" s="1"/>
  <c r="AR625" i="9"/>
  <c r="DI625" i="9" s="1"/>
  <c r="W625" i="9"/>
  <c r="CN625" i="9" s="1"/>
  <c r="AX625" i="9"/>
  <c r="DO625" i="9" s="1"/>
  <c r="AG559" i="9"/>
  <c r="CX559" i="9" s="1"/>
  <c r="U559" i="9"/>
  <c r="CL559" i="9" s="1"/>
  <c r="AC559" i="9"/>
  <c r="CT559" i="9" s="1"/>
  <c r="BD559" i="9"/>
  <c r="DU559" i="9" s="1"/>
  <c r="BJ559" i="9"/>
  <c r="EA559" i="9" s="1"/>
  <c r="AA559" i="9"/>
  <c r="CR559" i="9" s="1"/>
  <c r="BI365" i="9"/>
  <c r="DZ365" i="9" s="1"/>
  <c r="AL365" i="9"/>
  <c r="DC365" i="9" s="1"/>
  <c r="AA365" i="9"/>
  <c r="CR365" i="9" s="1"/>
  <c r="AF365" i="9"/>
  <c r="CW365" i="9" s="1"/>
  <c r="AJ365" i="9"/>
  <c r="DA365" i="9" s="1"/>
  <c r="W365" i="9"/>
  <c r="CN365" i="9" s="1"/>
  <c r="BN486" i="9"/>
  <c r="EE486" i="9" s="1"/>
  <c r="BB265" i="9"/>
  <c r="DS265" i="9" s="1"/>
  <c r="BG265" i="9"/>
  <c r="DX265" i="9" s="1"/>
  <c r="M357" i="9"/>
  <c r="Z357" i="9"/>
  <c r="CQ357" i="9" s="1"/>
  <c r="AU357" i="9"/>
  <c r="DL357" i="9" s="1"/>
  <c r="AP357" i="9"/>
  <c r="DG357" i="9" s="1"/>
  <c r="AJ357" i="9"/>
  <c r="DA357" i="9" s="1"/>
  <c r="X357" i="9"/>
  <c r="CO357" i="9" s="1"/>
  <c r="BB357" i="9"/>
  <c r="DS357" i="9" s="1"/>
  <c r="AG557" i="9"/>
  <c r="CX557" i="9" s="1"/>
  <c r="AH557" i="9"/>
  <c r="CY557" i="9" s="1"/>
  <c r="BE557" i="9"/>
  <c r="DV557" i="9" s="1"/>
  <c r="U557" i="9"/>
  <c r="CL557" i="9" s="1"/>
  <c r="BH557" i="9"/>
  <c r="DY557" i="9" s="1"/>
  <c r="AK557" i="9"/>
  <c r="DB557" i="9" s="1"/>
  <c r="BE608" i="9"/>
  <c r="DV608" i="9" s="1"/>
  <c r="AZ608" i="9"/>
  <c r="DQ608" i="9" s="1"/>
  <c r="AX608" i="9"/>
  <c r="DO608" i="9" s="1"/>
  <c r="BK608" i="9"/>
  <c r="EB608" i="9" s="1"/>
  <c r="AO608" i="9"/>
  <c r="DF608" i="9" s="1"/>
  <c r="AG608" i="9"/>
  <c r="CX608" i="9" s="1"/>
  <c r="V608" i="9"/>
  <c r="CM608" i="9" s="1"/>
  <c r="AS270" i="9"/>
  <c r="DJ270" i="9" s="1"/>
  <c r="BR270" i="9"/>
  <c r="EI270" i="9" s="1"/>
  <c r="AK270" i="9"/>
  <c r="DB270" i="9" s="1"/>
  <c r="N662" i="9"/>
  <c r="CE662" i="9" s="1"/>
  <c r="BL662" i="9"/>
  <c r="EC662" i="9" s="1"/>
  <c r="AX662" i="9"/>
  <c r="DO662" i="9" s="1"/>
  <c r="AU662" i="9"/>
  <c r="DL662" i="9" s="1"/>
  <c r="AW662" i="9"/>
  <c r="DN662" i="9" s="1"/>
  <c r="AI662" i="9"/>
  <c r="CZ662" i="9" s="1"/>
  <c r="BO662" i="9"/>
  <c r="EF662" i="9" s="1"/>
  <c r="L365" i="9"/>
  <c r="K557" i="9"/>
  <c r="CB557" i="9" s="1"/>
  <c r="K608" i="9"/>
  <c r="AB648" i="9"/>
  <c r="CS648" i="9" s="1"/>
  <c r="BI648" i="9"/>
  <c r="DZ648" i="9" s="1"/>
  <c r="AU648" i="9"/>
  <c r="DL648" i="9" s="1"/>
  <c r="BB625" i="9"/>
  <c r="DS625" i="9" s="1"/>
  <c r="Y625" i="9"/>
  <c r="CP625" i="9" s="1"/>
  <c r="BG625" i="9"/>
  <c r="DX625" i="9" s="1"/>
  <c r="AE625" i="9"/>
  <c r="CV625" i="9" s="1"/>
  <c r="AK625" i="9"/>
  <c r="DB625" i="9" s="1"/>
  <c r="AG625" i="9"/>
  <c r="CX625" i="9" s="1"/>
  <c r="AI559" i="9"/>
  <c r="CZ559" i="9" s="1"/>
  <c r="AK559" i="9"/>
  <c r="DB559" i="9" s="1"/>
  <c r="BI559" i="9"/>
  <c r="DZ559" i="9" s="1"/>
  <c r="AO559" i="9"/>
  <c r="DF559" i="9" s="1"/>
  <c r="BB559" i="9"/>
  <c r="DS559" i="9" s="1"/>
  <c r="Z559" i="9"/>
  <c r="CQ559" i="9" s="1"/>
  <c r="BP435" i="9"/>
  <c r="EG435" i="9" s="1"/>
  <c r="BD365" i="9"/>
  <c r="DU365" i="9" s="1"/>
  <c r="BP365" i="9"/>
  <c r="EG365" i="9" s="1"/>
  <c r="X365" i="9"/>
  <c r="CO365" i="9" s="1"/>
  <c r="Z365" i="9"/>
  <c r="CQ365" i="9" s="1"/>
  <c r="BE365" i="9"/>
  <c r="DV365" i="9" s="1"/>
  <c r="BQ365" i="9"/>
  <c r="EH365" i="9" s="1"/>
  <c r="BO365" i="9"/>
  <c r="EF365" i="9" s="1"/>
  <c r="AV265" i="9"/>
  <c r="DM265" i="9" s="1"/>
  <c r="AE265" i="9"/>
  <c r="CV265" i="9" s="1"/>
  <c r="BD357" i="9"/>
  <c r="DU357" i="9" s="1"/>
  <c r="BR357" i="9"/>
  <c r="BC357" i="9"/>
  <c r="DT357" i="9" s="1"/>
  <c r="AK357" i="9"/>
  <c r="DB357" i="9" s="1"/>
  <c r="BE357" i="9"/>
  <c r="DV357" i="9" s="1"/>
  <c r="AC357" i="9"/>
  <c r="CT357" i="9" s="1"/>
  <c r="AD357" i="9"/>
  <c r="CU357" i="9" s="1"/>
  <c r="N557" i="9"/>
  <c r="CE557" i="9" s="1"/>
  <c r="AY557" i="9"/>
  <c r="DP557" i="9" s="1"/>
  <c r="AA557" i="9"/>
  <c r="CR557" i="9" s="1"/>
  <c r="X557" i="9"/>
  <c r="CO557" i="9" s="1"/>
  <c r="BI557" i="9"/>
  <c r="DZ557" i="9" s="1"/>
  <c r="BN557" i="9"/>
  <c r="EE557" i="9" s="1"/>
  <c r="BK557" i="9"/>
  <c r="EB557" i="9" s="1"/>
  <c r="R608" i="9"/>
  <c r="CI608" i="9" s="1"/>
  <c r="X608" i="9"/>
  <c r="CO608" i="9" s="1"/>
  <c r="BM608" i="9"/>
  <c r="ED608" i="9" s="1"/>
  <c r="AT608" i="9"/>
  <c r="DK608" i="9" s="1"/>
  <c r="BG608" i="9"/>
  <c r="DX608" i="9" s="1"/>
  <c r="AB608" i="9"/>
  <c r="CS608" i="9" s="1"/>
  <c r="AJ608" i="9"/>
  <c r="DA608" i="9" s="1"/>
  <c r="BQ608" i="9"/>
  <c r="EH608" i="9" s="1"/>
  <c r="BB270" i="9"/>
  <c r="DS270" i="9" s="1"/>
  <c r="BF270" i="9"/>
  <c r="DW270" i="9" s="1"/>
  <c r="AF270" i="9"/>
  <c r="CW270" i="9" s="1"/>
  <c r="R662" i="9"/>
  <c r="CI662" i="9" s="1"/>
  <c r="P662" i="9"/>
  <c r="CG662" i="9" s="1"/>
  <c r="BM662" i="9"/>
  <c r="ED662" i="9" s="1"/>
  <c r="AE662" i="9"/>
  <c r="CV662" i="9" s="1"/>
  <c r="AJ662" i="9"/>
  <c r="DA662" i="9" s="1"/>
  <c r="X662" i="9"/>
  <c r="CO662" i="9" s="1"/>
  <c r="BK662" i="9"/>
  <c r="EB662" i="9" s="1"/>
  <c r="AY662" i="9"/>
  <c r="DP662" i="9" s="1"/>
  <c r="S365" i="9"/>
  <c r="CJ365" i="9" s="1"/>
  <c r="K559" i="9"/>
  <c r="CB559" i="9" s="1"/>
  <c r="AW648" i="9"/>
  <c r="DN648" i="9" s="1"/>
  <c r="AK648" i="9"/>
  <c r="DB648" i="9" s="1"/>
  <c r="BE625" i="9"/>
  <c r="DV625" i="9" s="1"/>
  <c r="AV625" i="9"/>
  <c r="DM625" i="9" s="1"/>
  <c r="X625" i="9"/>
  <c r="CO625" i="9" s="1"/>
  <c r="Z625" i="9"/>
  <c r="CQ625" i="9" s="1"/>
  <c r="AH625" i="9"/>
  <c r="CY625" i="9" s="1"/>
  <c r="AZ559" i="9"/>
  <c r="DQ559" i="9" s="1"/>
  <c r="AY559" i="9"/>
  <c r="DP559" i="9" s="1"/>
  <c r="W559" i="9"/>
  <c r="CN559" i="9" s="1"/>
  <c r="BQ559" i="9"/>
  <c r="EH559" i="9" s="1"/>
  <c r="AS559" i="9"/>
  <c r="DJ559" i="9" s="1"/>
  <c r="AC435" i="9"/>
  <c r="CT435" i="9" s="1"/>
  <c r="BN365" i="9"/>
  <c r="EE365" i="9" s="1"/>
  <c r="U365" i="9"/>
  <c r="CL365" i="9" s="1"/>
  <c r="AS365" i="9"/>
  <c r="DJ365" i="9" s="1"/>
  <c r="AD365" i="9"/>
  <c r="CU365" i="9" s="1"/>
  <c r="AZ365" i="9"/>
  <c r="DQ365" i="9" s="1"/>
  <c r="AV365" i="9"/>
  <c r="DM365" i="9" s="1"/>
  <c r="AE365" i="9"/>
  <c r="CV365" i="9" s="1"/>
  <c r="AM265" i="9"/>
  <c r="DD265" i="9" s="1"/>
  <c r="AF265" i="9"/>
  <c r="CW265" i="9" s="1"/>
  <c r="BN357" i="9"/>
  <c r="EE357" i="9" s="1"/>
  <c r="BG357" i="9"/>
  <c r="DX357" i="9" s="1"/>
  <c r="AB357" i="9"/>
  <c r="CS357" i="9" s="1"/>
  <c r="BI357" i="9"/>
  <c r="DZ357" i="9" s="1"/>
  <c r="AN357" i="9"/>
  <c r="DE357" i="9" s="1"/>
  <c r="BL357" i="9"/>
  <c r="EC357" i="9" s="1"/>
  <c r="Q557" i="9"/>
  <c r="CH557" i="9" s="1"/>
  <c r="AF557" i="9"/>
  <c r="CW557" i="9" s="1"/>
  <c r="AV557" i="9"/>
  <c r="DM557" i="9" s="1"/>
  <c r="BQ557" i="9"/>
  <c r="EH557" i="9" s="1"/>
  <c r="AR557" i="9"/>
  <c r="DI557" i="9" s="1"/>
  <c r="BP557" i="9"/>
  <c r="EG557" i="9" s="1"/>
  <c r="P608" i="9"/>
  <c r="CG608" i="9" s="1"/>
  <c r="AU608" i="9"/>
  <c r="DL608" i="9" s="1"/>
  <c r="BH608" i="9"/>
  <c r="DY608" i="9" s="1"/>
  <c r="BL608" i="9"/>
  <c r="EC608" i="9" s="1"/>
  <c r="AR608" i="9"/>
  <c r="DI608" i="9" s="1"/>
  <c r="AK608" i="9"/>
  <c r="DB608" i="9" s="1"/>
  <c r="AY608" i="9"/>
  <c r="DP608" i="9" s="1"/>
  <c r="AT270" i="9"/>
  <c r="DK270" i="9" s="1"/>
  <c r="AG270" i="9"/>
  <c r="CX270" i="9" s="1"/>
  <c r="BG270" i="9"/>
  <c r="DX270" i="9" s="1"/>
  <c r="K662" i="9"/>
  <c r="AS662" i="9"/>
  <c r="DJ662" i="9" s="1"/>
  <c r="BA662" i="9"/>
  <c r="DR662" i="9" s="1"/>
  <c r="BE662" i="9"/>
  <c r="DV662" i="9" s="1"/>
  <c r="AM662" i="9"/>
  <c r="DD662" i="9" s="1"/>
  <c r="BF662" i="9"/>
  <c r="DW662" i="9" s="1"/>
  <c r="AV662" i="9"/>
  <c r="DM662" i="9" s="1"/>
  <c r="U662" i="9"/>
  <c r="CL662" i="9" s="1"/>
  <c r="Q365" i="9"/>
  <c r="CH365" i="9" s="1"/>
  <c r="BT342" i="9"/>
  <c r="L215" i="6" s="1"/>
  <c r="X366" i="9"/>
  <c r="CO366" i="9" s="1"/>
  <c r="BL599" i="9"/>
  <c r="EC599" i="9" s="1"/>
  <c r="AG599" i="9"/>
  <c r="CX599" i="9" s="1"/>
  <c r="AS252" i="9"/>
  <c r="DJ252" i="9" s="1"/>
  <c r="AI252" i="9"/>
  <c r="CZ252" i="9" s="1"/>
  <c r="BG252" i="9"/>
  <c r="DX252" i="9" s="1"/>
  <c r="BK252" i="9"/>
  <c r="EB252" i="9" s="1"/>
  <c r="AZ252" i="9"/>
  <c r="DQ252" i="9" s="1"/>
  <c r="AV252" i="9"/>
  <c r="DM252" i="9" s="1"/>
  <c r="AM369" i="9"/>
  <c r="DD369" i="9" s="1"/>
  <c r="L482" i="9"/>
  <c r="CC482" i="9" s="1"/>
  <c r="AI482" i="9"/>
  <c r="CZ482" i="9" s="1"/>
  <c r="BD482" i="9"/>
  <c r="DU482" i="9" s="1"/>
  <c r="AT482" i="9"/>
  <c r="DK482" i="9" s="1"/>
  <c r="AV482" i="9"/>
  <c r="DM482" i="9" s="1"/>
  <c r="AO482" i="9"/>
  <c r="DF482" i="9" s="1"/>
  <c r="AU482" i="9"/>
  <c r="DL482" i="9" s="1"/>
  <c r="AW603" i="9"/>
  <c r="DN603" i="9" s="1"/>
  <c r="BO603" i="9"/>
  <c r="EF603" i="9" s="1"/>
  <c r="AI603" i="9"/>
  <c r="CZ603" i="9" s="1"/>
  <c r="AU603" i="9"/>
  <c r="DL603" i="9" s="1"/>
  <c r="BF603" i="9"/>
  <c r="DW603" i="9" s="1"/>
  <c r="AB603" i="9"/>
  <c r="CS603" i="9" s="1"/>
  <c r="AS603" i="9"/>
  <c r="DJ603" i="9" s="1"/>
  <c r="W363" i="9"/>
  <c r="CN363" i="9" s="1"/>
  <c r="AU363" i="9"/>
  <c r="DL363" i="9" s="1"/>
  <c r="AG363" i="9"/>
  <c r="CX363" i="9" s="1"/>
  <c r="AR363" i="9"/>
  <c r="DI363" i="9" s="1"/>
  <c r="AF363" i="9"/>
  <c r="CW363" i="9" s="1"/>
  <c r="AV363" i="9"/>
  <c r="DM363" i="9" s="1"/>
  <c r="AD552" i="9"/>
  <c r="CU552" i="9" s="1"/>
  <c r="L630" i="9"/>
  <c r="CC630" i="9" s="1"/>
  <c r="BC630" i="9"/>
  <c r="DT630" i="9" s="1"/>
  <c r="BO630" i="9"/>
  <c r="EF630" i="9" s="1"/>
  <c r="BQ630" i="9"/>
  <c r="EH630" i="9" s="1"/>
  <c r="BD630" i="9"/>
  <c r="DU630" i="9" s="1"/>
  <c r="AX630" i="9"/>
  <c r="DO630" i="9" s="1"/>
  <c r="AE630" i="9"/>
  <c r="CV630" i="9" s="1"/>
  <c r="AP630" i="9"/>
  <c r="DG630" i="9" s="1"/>
  <c r="M287" i="9"/>
  <c r="CD287" i="9" s="1"/>
  <c r="X287" i="9"/>
  <c r="CO287" i="9" s="1"/>
  <c r="AR287" i="9"/>
  <c r="DI287" i="9" s="1"/>
  <c r="BB287" i="9"/>
  <c r="DS287" i="9" s="1"/>
  <c r="W287" i="9"/>
  <c r="CN287" i="9" s="1"/>
  <c r="AM287" i="9"/>
  <c r="DD287" i="9" s="1"/>
  <c r="K552" i="9"/>
  <c r="CB552" i="9" s="1"/>
  <c r="BT349" i="9"/>
  <c r="L222" i="6" s="1"/>
  <c r="BF599" i="9"/>
  <c r="DW599" i="9" s="1"/>
  <c r="AY599" i="9"/>
  <c r="DP599" i="9" s="1"/>
  <c r="AQ252" i="9"/>
  <c r="DH252" i="9" s="1"/>
  <c r="AB252" i="9"/>
  <c r="CS252" i="9" s="1"/>
  <c r="BL252" i="9"/>
  <c r="EC252" i="9" s="1"/>
  <c r="BA252" i="9"/>
  <c r="DR252" i="9" s="1"/>
  <c r="BN252" i="9"/>
  <c r="EE252" i="9" s="1"/>
  <c r="AX252" i="9"/>
  <c r="DO252" i="9" s="1"/>
  <c r="AT369" i="9"/>
  <c r="DK369" i="9" s="1"/>
  <c r="N482" i="9"/>
  <c r="CE482" i="9" s="1"/>
  <c r="BB482" i="9"/>
  <c r="DS482" i="9" s="1"/>
  <c r="AK482" i="9"/>
  <c r="DB482" i="9" s="1"/>
  <c r="BE482" i="9"/>
  <c r="DV482" i="9" s="1"/>
  <c r="AY482" i="9"/>
  <c r="DP482" i="9" s="1"/>
  <c r="AD482" i="9"/>
  <c r="CU482" i="9" s="1"/>
  <c r="BI482" i="9"/>
  <c r="DZ482" i="9" s="1"/>
  <c r="BG603" i="9"/>
  <c r="DX603" i="9" s="1"/>
  <c r="W603" i="9"/>
  <c r="CN603" i="9" s="1"/>
  <c r="BL603" i="9"/>
  <c r="EC603" i="9" s="1"/>
  <c r="BE603" i="9"/>
  <c r="DV603" i="9" s="1"/>
  <c r="AH603" i="9"/>
  <c r="CY603" i="9" s="1"/>
  <c r="AM603" i="9"/>
  <c r="DD603" i="9" s="1"/>
  <c r="BQ603" i="9"/>
  <c r="EH603" i="9" s="1"/>
  <c r="O363" i="9"/>
  <c r="CF363" i="9" s="1"/>
  <c r="BE363" i="9"/>
  <c r="DV363" i="9" s="1"/>
  <c r="AS363" i="9"/>
  <c r="DJ363" i="9" s="1"/>
  <c r="AL363" i="9"/>
  <c r="DC363" i="9" s="1"/>
  <c r="BB363" i="9"/>
  <c r="DS363" i="9" s="1"/>
  <c r="AO363" i="9"/>
  <c r="DF363" i="9" s="1"/>
  <c r="U363" i="9"/>
  <c r="CL363" i="9" s="1"/>
  <c r="BO552" i="9"/>
  <c r="EF552" i="9" s="1"/>
  <c r="Q630" i="9"/>
  <c r="CH630" i="9" s="1"/>
  <c r="AT630" i="9"/>
  <c r="DK630" i="9" s="1"/>
  <c r="X630" i="9"/>
  <c r="CO630" i="9" s="1"/>
  <c r="AD630" i="9"/>
  <c r="CU630" i="9" s="1"/>
  <c r="BE630" i="9"/>
  <c r="DV630" i="9" s="1"/>
  <c r="AK630" i="9"/>
  <c r="DB630" i="9" s="1"/>
  <c r="W630" i="9"/>
  <c r="CN630" i="9" s="1"/>
  <c r="AB630" i="9"/>
  <c r="CS630" i="9" s="1"/>
  <c r="AO256" i="9"/>
  <c r="DF256" i="9" s="1"/>
  <c r="BI237" i="9"/>
  <c r="DZ237" i="9" s="1"/>
  <c r="L287" i="9"/>
  <c r="CC287" i="9" s="1"/>
  <c r="AL287" i="9"/>
  <c r="DC287" i="9" s="1"/>
  <c r="BE287" i="9"/>
  <c r="DV287" i="9" s="1"/>
  <c r="AN287" i="9"/>
  <c r="DE287" i="9" s="1"/>
  <c r="Y287" i="9"/>
  <c r="CP287" i="9" s="1"/>
  <c r="AJ287" i="9"/>
  <c r="DA287" i="9" s="1"/>
  <c r="R603" i="9"/>
  <c r="CI603" i="9" s="1"/>
  <c r="N363" i="9"/>
  <c r="CE363" i="9" s="1"/>
  <c r="L473" i="9"/>
  <c r="H652" i="11" s="1"/>
  <c r="Q593" i="9"/>
  <c r="M657" i="11" s="1"/>
  <c r="BD485" i="9"/>
  <c r="DU485" i="9" s="1"/>
  <c r="BP599" i="9"/>
  <c r="EG599" i="9" s="1"/>
  <c r="AJ599" i="9"/>
  <c r="DA599" i="9" s="1"/>
  <c r="AH252" i="9"/>
  <c r="CY252" i="9" s="1"/>
  <c r="AR252" i="9"/>
  <c r="DI252" i="9" s="1"/>
  <c r="BD252" i="9"/>
  <c r="DU252" i="9" s="1"/>
  <c r="V252" i="9"/>
  <c r="CM252" i="9" s="1"/>
  <c r="U252" i="9"/>
  <c r="CL252" i="9" s="1"/>
  <c r="AE252" i="9"/>
  <c r="CV252" i="9" s="1"/>
  <c r="X369" i="9"/>
  <c r="CO369" i="9" s="1"/>
  <c r="AZ606" i="9"/>
  <c r="DQ606" i="9" s="1"/>
  <c r="Q482" i="9"/>
  <c r="CH482" i="9" s="1"/>
  <c r="Z482" i="9"/>
  <c r="CQ482" i="9" s="1"/>
  <c r="BH482" i="9"/>
  <c r="DY482" i="9" s="1"/>
  <c r="Y482" i="9"/>
  <c r="CP482" i="9" s="1"/>
  <c r="U482" i="9"/>
  <c r="CL482" i="9" s="1"/>
  <c r="X482" i="9"/>
  <c r="CO482" i="9" s="1"/>
  <c r="BC482" i="9"/>
  <c r="DT482" i="9" s="1"/>
  <c r="O603" i="9"/>
  <c r="CF603" i="9" s="1"/>
  <c r="Y603" i="9"/>
  <c r="CP603" i="9" s="1"/>
  <c r="U603" i="9"/>
  <c r="CL603" i="9" s="1"/>
  <c r="BJ603" i="9"/>
  <c r="EA603" i="9" s="1"/>
  <c r="BH603" i="9"/>
  <c r="DY603" i="9" s="1"/>
  <c r="AC603" i="9"/>
  <c r="CT603" i="9" s="1"/>
  <c r="BI603" i="9"/>
  <c r="DZ603" i="9" s="1"/>
  <c r="K363" i="9"/>
  <c r="AM363" i="9"/>
  <c r="DD363" i="9" s="1"/>
  <c r="AK363" i="9"/>
  <c r="DB363" i="9" s="1"/>
  <c r="Z363" i="9"/>
  <c r="CQ363" i="9" s="1"/>
  <c r="BH363" i="9"/>
  <c r="DY363" i="9" s="1"/>
  <c r="BR363" i="9"/>
  <c r="EI363" i="9" s="1"/>
  <c r="BQ363" i="9"/>
  <c r="EH363" i="9" s="1"/>
  <c r="BK552" i="9"/>
  <c r="EB552" i="9" s="1"/>
  <c r="N630" i="9"/>
  <c r="CE630" i="9" s="1"/>
  <c r="Y630" i="9"/>
  <c r="CP630" i="9" s="1"/>
  <c r="U630" i="9"/>
  <c r="CL630" i="9" s="1"/>
  <c r="V630" i="9"/>
  <c r="CM630" i="9" s="1"/>
  <c r="AV630" i="9"/>
  <c r="DM630" i="9" s="1"/>
  <c r="BP630" i="9"/>
  <c r="EG630" i="9" s="1"/>
  <c r="AM630" i="9"/>
  <c r="DD630" i="9" s="1"/>
  <c r="BJ256" i="9"/>
  <c r="EA256" i="9" s="1"/>
  <c r="O287" i="9"/>
  <c r="CF287" i="9" s="1"/>
  <c r="BD287" i="9"/>
  <c r="DU287" i="9" s="1"/>
  <c r="AA287" i="9"/>
  <c r="CR287" i="9" s="1"/>
  <c r="Z287" i="9"/>
  <c r="CQ287" i="9" s="1"/>
  <c r="AP287" i="9"/>
  <c r="DG287" i="9" s="1"/>
  <c r="P363" i="9"/>
  <c r="CG363" i="9" s="1"/>
  <c r="K603" i="9"/>
  <c r="CB603" i="9" s="1"/>
  <c r="N329" i="9"/>
  <c r="J646" i="11" s="1"/>
  <c r="AM366" i="9"/>
  <c r="DD366" i="9" s="1"/>
  <c r="AN599" i="9"/>
  <c r="DE599" i="9" s="1"/>
  <c r="AO252" i="9"/>
  <c r="DF252" i="9" s="1"/>
  <c r="AG252" i="9"/>
  <c r="CX252" i="9" s="1"/>
  <c r="Z252" i="9"/>
  <c r="CQ252" i="9" s="1"/>
  <c r="BC252" i="9"/>
  <c r="DT252" i="9" s="1"/>
  <c r="BJ252" i="9"/>
  <c r="EA252" i="9" s="1"/>
  <c r="BM252" i="9"/>
  <c r="ED252" i="9" s="1"/>
  <c r="AN252" i="9"/>
  <c r="DE252" i="9" s="1"/>
  <c r="AJ369" i="9"/>
  <c r="DA369" i="9" s="1"/>
  <c r="BP606" i="9"/>
  <c r="EG606" i="9" s="1"/>
  <c r="T482" i="9"/>
  <c r="CK482" i="9" s="1"/>
  <c r="BA482" i="9"/>
  <c r="DR482" i="9" s="1"/>
  <c r="BR482" i="9"/>
  <c r="EI482" i="9" s="1"/>
  <c r="AS482" i="9"/>
  <c r="DJ482" i="9" s="1"/>
  <c r="AR482" i="9"/>
  <c r="DI482" i="9" s="1"/>
  <c r="AJ482" i="9"/>
  <c r="DA482" i="9" s="1"/>
  <c r="AW482" i="9"/>
  <c r="DN482" i="9" s="1"/>
  <c r="M603" i="9"/>
  <c r="CD603" i="9" s="1"/>
  <c r="BR603" i="9"/>
  <c r="EI603" i="9" s="1"/>
  <c r="BD603" i="9"/>
  <c r="DU603" i="9" s="1"/>
  <c r="AO603" i="9"/>
  <c r="DF603" i="9" s="1"/>
  <c r="BK603" i="9"/>
  <c r="EB603" i="9" s="1"/>
  <c r="AF603" i="9"/>
  <c r="CW603" i="9" s="1"/>
  <c r="AY603" i="9"/>
  <c r="DP603" i="9" s="1"/>
  <c r="M363" i="9"/>
  <c r="CD363" i="9" s="1"/>
  <c r="AT363" i="9"/>
  <c r="DK363" i="9" s="1"/>
  <c r="AN363" i="9"/>
  <c r="DE363" i="9" s="1"/>
  <c r="AQ363" i="9"/>
  <c r="DH363" i="9" s="1"/>
  <c r="BJ363" i="9"/>
  <c r="EA363" i="9" s="1"/>
  <c r="BL363" i="9"/>
  <c r="EC363" i="9" s="1"/>
  <c r="BP363" i="9"/>
  <c r="EG363" i="9" s="1"/>
  <c r="BG552" i="9"/>
  <c r="DX552" i="9" s="1"/>
  <c r="S630" i="9"/>
  <c r="CJ630" i="9" s="1"/>
  <c r="AW630" i="9"/>
  <c r="DN630" i="9" s="1"/>
  <c r="AY630" i="9"/>
  <c r="DP630" i="9" s="1"/>
  <c r="AS630" i="9"/>
  <c r="DJ630" i="9" s="1"/>
  <c r="AZ630" i="9"/>
  <c r="DQ630" i="9" s="1"/>
  <c r="AA630" i="9"/>
  <c r="CR630" i="9" s="1"/>
  <c r="AN630" i="9"/>
  <c r="DE630" i="9" s="1"/>
  <c r="BL256" i="9"/>
  <c r="EC256" i="9" s="1"/>
  <c r="N287" i="9"/>
  <c r="CE287" i="9" s="1"/>
  <c r="AU287" i="9"/>
  <c r="DL287" i="9" s="1"/>
  <c r="BH287" i="9"/>
  <c r="DY287" i="9" s="1"/>
  <c r="AQ287" i="9"/>
  <c r="DH287" i="9" s="1"/>
  <c r="AE287" i="9"/>
  <c r="CV287" i="9" s="1"/>
  <c r="L363" i="9"/>
  <c r="CC363" i="9" s="1"/>
  <c r="S363" i="9"/>
  <c r="CJ363" i="9" s="1"/>
  <c r="BU349" i="9"/>
  <c r="M222" i="6" s="1"/>
  <c r="AY366" i="9"/>
  <c r="DP366" i="9" s="1"/>
  <c r="AI599" i="9"/>
  <c r="CZ599" i="9" s="1"/>
  <c r="AP252" i="9"/>
  <c r="DG252" i="9" s="1"/>
  <c r="X252" i="9"/>
  <c r="CO252" i="9" s="1"/>
  <c r="AA252" i="9"/>
  <c r="CR252" i="9" s="1"/>
  <c r="AU252" i="9"/>
  <c r="DL252" i="9" s="1"/>
  <c r="AD252" i="9"/>
  <c r="CU252" i="9" s="1"/>
  <c r="BE252" i="9"/>
  <c r="DV252" i="9" s="1"/>
  <c r="Y252" i="9"/>
  <c r="CP252" i="9" s="1"/>
  <c r="U369" i="9"/>
  <c r="CL369" i="9" s="1"/>
  <c r="AW606" i="9"/>
  <c r="DN606" i="9" s="1"/>
  <c r="BJ482" i="9"/>
  <c r="EA482" i="9" s="1"/>
  <c r="BF482" i="9"/>
  <c r="DW482" i="9" s="1"/>
  <c r="BQ482" i="9"/>
  <c r="EH482" i="9" s="1"/>
  <c r="AG482" i="9"/>
  <c r="CX482" i="9" s="1"/>
  <c r="V482" i="9"/>
  <c r="CM482" i="9" s="1"/>
  <c r="AN482" i="9"/>
  <c r="DE482" i="9" s="1"/>
  <c r="BM482" i="9"/>
  <c r="ED482" i="9" s="1"/>
  <c r="N603" i="9"/>
  <c r="CE603" i="9" s="1"/>
  <c r="BP603" i="9"/>
  <c r="EG603" i="9" s="1"/>
  <c r="AD603" i="9"/>
  <c r="CU603" i="9" s="1"/>
  <c r="AN603" i="9"/>
  <c r="DE603" i="9" s="1"/>
  <c r="AZ603" i="9"/>
  <c r="DQ603" i="9" s="1"/>
  <c r="AP603" i="9"/>
  <c r="DG603" i="9" s="1"/>
  <c r="AG603" i="9"/>
  <c r="CX603" i="9" s="1"/>
  <c r="R363" i="9"/>
  <c r="CI363" i="9" s="1"/>
  <c r="AC363" i="9"/>
  <c r="CT363" i="9" s="1"/>
  <c r="BG363" i="9"/>
  <c r="DX363" i="9" s="1"/>
  <c r="Y363" i="9"/>
  <c r="CP363" i="9" s="1"/>
  <c r="AJ363" i="9"/>
  <c r="DA363" i="9" s="1"/>
  <c r="BC363" i="9"/>
  <c r="DT363" i="9" s="1"/>
  <c r="AI363" i="9"/>
  <c r="CZ363" i="9" s="1"/>
  <c r="T630" i="9"/>
  <c r="CK630" i="9" s="1"/>
  <c r="BJ630" i="9"/>
  <c r="EA630" i="9" s="1"/>
  <c r="BB630" i="9"/>
  <c r="DS630" i="9" s="1"/>
  <c r="BA630" i="9"/>
  <c r="DR630" i="9" s="1"/>
  <c r="AQ630" i="9"/>
  <c r="DH630" i="9" s="1"/>
  <c r="AC630" i="9"/>
  <c r="CT630" i="9" s="1"/>
  <c r="AJ630" i="9"/>
  <c r="DA630" i="9" s="1"/>
  <c r="AI256" i="9"/>
  <c r="CZ256" i="9" s="1"/>
  <c r="T287" i="9"/>
  <c r="CK287" i="9" s="1"/>
  <c r="BQ287" i="9"/>
  <c r="EH287" i="9" s="1"/>
  <c r="AD287" i="9"/>
  <c r="CU287" i="9" s="1"/>
  <c r="AC287" i="9"/>
  <c r="CT287" i="9" s="1"/>
  <c r="AG287" i="9"/>
  <c r="CX287" i="9" s="1"/>
  <c r="BU351" i="9"/>
  <c r="M224" i="6" s="1"/>
  <c r="K606" i="9"/>
  <c r="CB606" i="9" s="1"/>
  <c r="BP366" i="9"/>
  <c r="EG366" i="9" s="1"/>
  <c r="AZ599" i="9"/>
  <c r="DQ599" i="9" s="1"/>
  <c r="AC252" i="9"/>
  <c r="CT252" i="9" s="1"/>
  <c r="BQ252" i="9"/>
  <c r="EH252" i="9" s="1"/>
  <c r="BO252" i="9"/>
  <c r="EF252" i="9" s="1"/>
  <c r="BB252" i="9"/>
  <c r="DS252" i="9" s="1"/>
  <c r="BH252" i="9"/>
  <c r="DY252" i="9" s="1"/>
  <c r="AM252" i="9"/>
  <c r="DD252" i="9" s="1"/>
  <c r="AX369" i="9"/>
  <c r="DO369" i="9" s="1"/>
  <c r="BJ606" i="9"/>
  <c r="EA606" i="9" s="1"/>
  <c r="AH482" i="9"/>
  <c r="CY482" i="9" s="1"/>
  <c r="BP482" i="9"/>
  <c r="EG482" i="9" s="1"/>
  <c r="AA482" i="9"/>
  <c r="CR482" i="9" s="1"/>
  <c r="BO482" i="9"/>
  <c r="EF482" i="9" s="1"/>
  <c r="AE482" i="9"/>
  <c r="CV482" i="9" s="1"/>
  <c r="AX482" i="9"/>
  <c r="DO482" i="9" s="1"/>
  <c r="AM482" i="9"/>
  <c r="DD482" i="9" s="1"/>
  <c r="S603" i="9"/>
  <c r="CJ603" i="9" s="1"/>
  <c r="BB603" i="9"/>
  <c r="DS603" i="9" s="1"/>
  <c r="X603" i="9"/>
  <c r="CO603" i="9" s="1"/>
  <c r="BC603" i="9"/>
  <c r="DT603" i="9" s="1"/>
  <c r="BN603" i="9"/>
  <c r="EE603" i="9" s="1"/>
  <c r="V603" i="9"/>
  <c r="CM603" i="9" s="1"/>
  <c r="AA603" i="9"/>
  <c r="CR603" i="9" s="1"/>
  <c r="Q363" i="9"/>
  <c r="CH363" i="9" s="1"/>
  <c r="AZ363" i="9"/>
  <c r="DQ363" i="9" s="1"/>
  <c r="AH363" i="9"/>
  <c r="CY363" i="9" s="1"/>
  <c r="X363" i="9"/>
  <c r="CO363" i="9" s="1"/>
  <c r="AX363" i="9"/>
  <c r="DO363" i="9" s="1"/>
  <c r="BK363" i="9"/>
  <c r="EB363" i="9" s="1"/>
  <c r="BA363" i="9"/>
  <c r="DR363" i="9" s="1"/>
  <c r="S552" i="9"/>
  <c r="CJ552" i="9" s="1"/>
  <c r="M630" i="9"/>
  <c r="CD630" i="9" s="1"/>
  <c r="BK630" i="9"/>
  <c r="EB630" i="9" s="1"/>
  <c r="AU630" i="9"/>
  <c r="DL630" i="9" s="1"/>
  <c r="AI630" i="9"/>
  <c r="CZ630" i="9" s="1"/>
  <c r="AL630" i="9"/>
  <c r="DC630" i="9" s="1"/>
  <c r="AG630" i="9"/>
  <c r="CX630" i="9" s="1"/>
  <c r="AO630" i="9"/>
  <c r="DF630" i="9" s="1"/>
  <c r="Z256" i="9"/>
  <c r="CQ256" i="9" s="1"/>
  <c r="AY287" i="9"/>
  <c r="DP287" i="9" s="1"/>
  <c r="BC287" i="9"/>
  <c r="DT287" i="9" s="1"/>
  <c r="AF287" i="9"/>
  <c r="CW287" i="9" s="1"/>
  <c r="AH287" i="9"/>
  <c r="CY287" i="9" s="1"/>
  <c r="AX287" i="9"/>
  <c r="DO287" i="9" s="1"/>
  <c r="M256" i="9"/>
  <c r="CD256" i="9" s="1"/>
  <c r="AL252" i="9"/>
  <c r="DC252" i="9" s="1"/>
  <c r="AJ252" i="9"/>
  <c r="DA252" i="9" s="1"/>
  <c r="BP252" i="9"/>
  <c r="EG252" i="9" s="1"/>
  <c r="AT252" i="9"/>
  <c r="DK252" i="9" s="1"/>
  <c r="BI252" i="9"/>
  <c r="DZ252" i="9" s="1"/>
  <c r="AF252" i="9"/>
  <c r="CW252" i="9" s="1"/>
  <c r="AQ482" i="9"/>
  <c r="DH482" i="9" s="1"/>
  <c r="BN482" i="9"/>
  <c r="EE482" i="9" s="1"/>
  <c r="AB482" i="9"/>
  <c r="CS482" i="9" s="1"/>
  <c r="AF482" i="9"/>
  <c r="CW482" i="9" s="1"/>
  <c r="W482" i="9"/>
  <c r="CN482" i="9" s="1"/>
  <c r="Q603" i="9"/>
  <c r="CH603" i="9" s="1"/>
  <c r="AE603" i="9"/>
  <c r="CV603" i="9" s="1"/>
  <c r="AX603" i="9"/>
  <c r="DO603" i="9" s="1"/>
  <c r="Z603" i="9"/>
  <c r="CQ603" i="9" s="1"/>
  <c r="AV603" i="9"/>
  <c r="DM603" i="9" s="1"/>
  <c r="AK603" i="9"/>
  <c r="DB603" i="9" s="1"/>
  <c r="AJ603" i="9"/>
  <c r="DA603" i="9" s="1"/>
  <c r="BN363" i="9"/>
  <c r="EE363" i="9" s="1"/>
  <c r="AB363" i="9"/>
  <c r="CS363" i="9" s="1"/>
  <c r="AW363" i="9"/>
  <c r="DN363" i="9" s="1"/>
  <c r="BM363" i="9"/>
  <c r="ED363" i="9" s="1"/>
  <c r="AD363" i="9"/>
  <c r="CU363" i="9" s="1"/>
  <c r="BF363" i="9"/>
  <c r="DW363" i="9" s="1"/>
  <c r="BO363" i="9"/>
  <c r="EF363" i="9" s="1"/>
  <c r="P630" i="9"/>
  <c r="CG630" i="9" s="1"/>
  <c r="BN630" i="9"/>
  <c r="EE630" i="9" s="1"/>
  <c r="BI630" i="9"/>
  <c r="DZ630" i="9" s="1"/>
  <c r="BL630" i="9"/>
  <c r="EC630" i="9" s="1"/>
  <c r="AH630" i="9"/>
  <c r="CY630" i="9" s="1"/>
  <c r="BH630" i="9"/>
  <c r="DY630" i="9" s="1"/>
  <c r="BM256" i="9"/>
  <c r="ED256" i="9" s="1"/>
  <c r="BA287" i="9"/>
  <c r="DR287" i="9" s="1"/>
  <c r="AW287" i="9"/>
  <c r="DN287" i="9" s="1"/>
  <c r="BM287" i="9"/>
  <c r="ED287" i="9" s="1"/>
  <c r="BG287" i="9"/>
  <c r="DX287" i="9" s="1"/>
  <c r="AB287" i="9"/>
  <c r="CS287" i="9" s="1"/>
  <c r="S615" i="9"/>
  <c r="AA246" i="9"/>
  <c r="CR246" i="9" s="1"/>
  <c r="V246" i="9"/>
  <c r="CM246" i="9" s="1"/>
  <c r="AJ246" i="9"/>
  <c r="DA246" i="9" s="1"/>
  <c r="AZ246" i="9"/>
  <c r="DQ246" i="9" s="1"/>
  <c r="BK246" i="9"/>
  <c r="EB246" i="9" s="1"/>
  <c r="BP246" i="9"/>
  <c r="EG246" i="9" s="1"/>
  <c r="AI246" i="9"/>
  <c r="CZ246" i="9" s="1"/>
  <c r="AS246" i="9"/>
  <c r="DJ246" i="9" s="1"/>
  <c r="BF246" i="9"/>
  <c r="DW246" i="9" s="1"/>
  <c r="AG246" i="9"/>
  <c r="CX246" i="9" s="1"/>
  <c r="BA494" i="9"/>
  <c r="DR494" i="9" s="1"/>
  <c r="BG494" i="9"/>
  <c r="DX494" i="9" s="1"/>
  <c r="AF494" i="9"/>
  <c r="CW494" i="9" s="1"/>
  <c r="Z494" i="9"/>
  <c r="CQ494" i="9" s="1"/>
  <c r="AH494" i="9"/>
  <c r="CY494" i="9" s="1"/>
  <c r="AK494" i="9"/>
  <c r="DB494" i="9" s="1"/>
  <c r="T494" i="9"/>
  <c r="CK494" i="9" s="1"/>
  <c r="AI494" i="9"/>
  <c r="CZ494" i="9" s="1"/>
  <c r="X494" i="9"/>
  <c r="CO494" i="9" s="1"/>
  <c r="AO494" i="9"/>
  <c r="DF494" i="9" s="1"/>
  <c r="U494" i="9"/>
  <c r="CL494" i="9" s="1"/>
  <c r="BJ494" i="9"/>
  <c r="EA494" i="9" s="1"/>
  <c r="BP494" i="9"/>
  <c r="EG494" i="9" s="1"/>
  <c r="O494" i="9"/>
  <c r="CF494" i="9" s="1"/>
  <c r="BF494" i="9"/>
  <c r="DW494" i="9" s="1"/>
  <c r="W494" i="9"/>
  <c r="CN494" i="9" s="1"/>
  <c r="AE494" i="9"/>
  <c r="CV494" i="9" s="1"/>
  <c r="BD494" i="9"/>
  <c r="DU494" i="9" s="1"/>
  <c r="BK494" i="9"/>
  <c r="EB494" i="9" s="1"/>
  <c r="AQ494" i="9"/>
  <c r="DH494" i="9" s="1"/>
  <c r="L494" i="9"/>
  <c r="CC494" i="9" s="1"/>
  <c r="S494" i="9"/>
  <c r="CJ494" i="9" s="1"/>
  <c r="AJ494" i="9"/>
  <c r="DA494" i="9" s="1"/>
  <c r="V494" i="9"/>
  <c r="CM494" i="9" s="1"/>
  <c r="AP494" i="9"/>
  <c r="DG494" i="9" s="1"/>
  <c r="BQ494" i="9"/>
  <c r="EH494" i="9" s="1"/>
  <c r="AC494" i="9"/>
  <c r="CT494" i="9" s="1"/>
  <c r="AD494" i="9"/>
  <c r="CU494" i="9" s="1"/>
  <c r="Q494" i="9"/>
  <c r="CH494" i="9" s="1"/>
  <c r="AM494" i="9"/>
  <c r="DD494" i="9" s="1"/>
  <c r="AU494" i="9"/>
  <c r="DL494" i="9" s="1"/>
  <c r="AN494" i="9"/>
  <c r="DE494" i="9" s="1"/>
  <c r="AW494" i="9"/>
  <c r="DN494" i="9" s="1"/>
  <c r="BO494" i="9"/>
  <c r="EF494" i="9" s="1"/>
  <c r="Y494" i="9"/>
  <c r="CP494" i="9" s="1"/>
  <c r="P494" i="9"/>
  <c r="CG494" i="9" s="1"/>
  <c r="AA494" i="9"/>
  <c r="CR494" i="9" s="1"/>
  <c r="BE494" i="9"/>
  <c r="DV494" i="9" s="1"/>
  <c r="AV494" i="9"/>
  <c r="DM494" i="9" s="1"/>
  <c r="BH494" i="9"/>
  <c r="DY494" i="9" s="1"/>
  <c r="BL494" i="9"/>
  <c r="EC494" i="9" s="1"/>
  <c r="AX494" i="9"/>
  <c r="DO494" i="9" s="1"/>
  <c r="BB494" i="9"/>
  <c r="DS494" i="9" s="1"/>
  <c r="AZ494" i="9"/>
  <c r="DQ494" i="9" s="1"/>
  <c r="AT494" i="9"/>
  <c r="DK494" i="9" s="1"/>
  <c r="AR494" i="9"/>
  <c r="DI494" i="9" s="1"/>
  <c r="BI494" i="9"/>
  <c r="DZ494" i="9" s="1"/>
  <c r="AB494" i="9"/>
  <c r="CS494" i="9" s="1"/>
  <c r="BN494" i="9"/>
  <c r="EE494" i="9" s="1"/>
  <c r="K488" i="9"/>
  <c r="BF488" i="9"/>
  <c r="DW488" i="9" s="1"/>
  <c r="AG488" i="9"/>
  <c r="CX488" i="9" s="1"/>
  <c r="AU488" i="9"/>
  <c r="DL488" i="9" s="1"/>
  <c r="AE488" i="9"/>
  <c r="CV488" i="9" s="1"/>
  <c r="BP488" i="9"/>
  <c r="EG488" i="9" s="1"/>
  <c r="BJ488" i="9"/>
  <c r="EA488" i="9" s="1"/>
  <c r="S488" i="9"/>
  <c r="CJ488" i="9" s="1"/>
  <c r="BE488" i="9"/>
  <c r="DV488" i="9" s="1"/>
  <c r="AZ488" i="9"/>
  <c r="DQ488" i="9" s="1"/>
  <c r="Y488" i="9"/>
  <c r="CP488" i="9" s="1"/>
  <c r="BM488" i="9"/>
  <c r="ED488" i="9" s="1"/>
  <c r="AX488" i="9"/>
  <c r="DO488" i="9" s="1"/>
  <c r="W488" i="9"/>
  <c r="CN488" i="9" s="1"/>
  <c r="Q488" i="9"/>
  <c r="CH488" i="9" s="1"/>
  <c r="AN488" i="9"/>
  <c r="DE488" i="9" s="1"/>
  <c r="AT488" i="9"/>
  <c r="DK488" i="9" s="1"/>
  <c r="AP488" i="9"/>
  <c r="DG488" i="9" s="1"/>
  <c r="Z488" i="9"/>
  <c r="CQ488" i="9" s="1"/>
  <c r="AH488" i="9"/>
  <c r="CY488" i="9" s="1"/>
  <c r="AO488" i="9"/>
  <c r="DF488" i="9" s="1"/>
  <c r="L488" i="9"/>
  <c r="CC488" i="9" s="1"/>
  <c r="BG488" i="9"/>
  <c r="DX488" i="9" s="1"/>
  <c r="BB488" i="9"/>
  <c r="DS488" i="9" s="1"/>
  <c r="BA488" i="9"/>
  <c r="DR488" i="9" s="1"/>
  <c r="BD488" i="9"/>
  <c r="DU488" i="9" s="1"/>
  <c r="AL488" i="9"/>
  <c r="DC488" i="9" s="1"/>
  <c r="AK488" i="9"/>
  <c r="DB488" i="9" s="1"/>
  <c r="AW488" i="9"/>
  <c r="DN488" i="9" s="1"/>
  <c r="AJ488" i="9"/>
  <c r="DA488" i="9" s="1"/>
  <c r="BO488" i="9"/>
  <c r="EF488" i="9" s="1"/>
  <c r="BH488" i="9"/>
  <c r="DY488" i="9" s="1"/>
  <c r="V488" i="9"/>
  <c r="CM488" i="9" s="1"/>
  <c r="AR488" i="9"/>
  <c r="DI488" i="9" s="1"/>
  <c r="T488" i="9"/>
  <c r="CK488" i="9" s="1"/>
  <c r="P488" i="9"/>
  <c r="CG488" i="9" s="1"/>
  <c r="AV488" i="9"/>
  <c r="DM488" i="9" s="1"/>
  <c r="AA488" i="9"/>
  <c r="CR488" i="9" s="1"/>
  <c r="BN488" i="9"/>
  <c r="EE488" i="9" s="1"/>
  <c r="AD488" i="9"/>
  <c r="CU488" i="9" s="1"/>
  <c r="U488" i="9"/>
  <c r="CL488" i="9" s="1"/>
  <c r="AS488" i="9"/>
  <c r="DJ488" i="9" s="1"/>
  <c r="BC488" i="9"/>
  <c r="DT488" i="9" s="1"/>
  <c r="AI488" i="9"/>
  <c r="CZ488" i="9" s="1"/>
  <c r="BI488" i="9"/>
  <c r="DZ488" i="9" s="1"/>
  <c r="X488" i="9"/>
  <c r="CO488" i="9" s="1"/>
  <c r="BL488" i="9"/>
  <c r="EC488" i="9" s="1"/>
  <c r="AB488" i="9"/>
  <c r="CS488" i="9" s="1"/>
  <c r="BK488" i="9"/>
  <c r="EB488" i="9" s="1"/>
  <c r="S278" i="9"/>
  <c r="CJ278" i="9" s="1"/>
  <c r="O278" i="9"/>
  <c r="CF278" i="9" s="1"/>
  <c r="AK278" i="9"/>
  <c r="DB278" i="9" s="1"/>
  <c r="AR278" i="9"/>
  <c r="DI278" i="9" s="1"/>
  <c r="X278" i="9"/>
  <c r="CO278" i="9" s="1"/>
  <c r="AM278" i="9"/>
  <c r="DD278" i="9" s="1"/>
  <c r="BD278" i="9"/>
  <c r="DU278" i="9" s="1"/>
  <c r="AO278" i="9"/>
  <c r="DF278" i="9" s="1"/>
  <c r="Q278" i="9"/>
  <c r="CH278" i="9" s="1"/>
  <c r="AA278" i="9"/>
  <c r="CR278" i="9" s="1"/>
  <c r="BF278" i="9"/>
  <c r="DW278" i="9" s="1"/>
  <c r="BO278" i="9"/>
  <c r="EF278" i="9" s="1"/>
  <c r="BJ278" i="9"/>
  <c r="EA278" i="9" s="1"/>
  <c r="BP278" i="9"/>
  <c r="EG278" i="9" s="1"/>
  <c r="BR278" i="9"/>
  <c r="EI278" i="9" s="1"/>
  <c r="K278" i="9"/>
  <c r="CB278" i="9" s="1"/>
  <c r="BG278" i="9"/>
  <c r="DX278" i="9" s="1"/>
  <c r="AG278" i="9"/>
  <c r="CX278" i="9" s="1"/>
  <c r="AN278" i="9"/>
  <c r="DE278" i="9" s="1"/>
  <c r="Z278" i="9"/>
  <c r="CQ278" i="9" s="1"/>
  <c r="AU278" i="9"/>
  <c r="DL278" i="9" s="1"/>
  <c r="BI278" i="9"/>
  <c r="DZ278" i="9" s="1"/>
  <c r="AZ278" i="9"/>
  <c r="DQ278" i="9" s="1"/>
  <c r="BM278" i="9"/>
  <c r="ED278" i="9" s="1"/>
  <c r="AD278" i="9"/>
  <c r="CU278" i="9" s="1"/>
  <c r="AJ278" i="9"/>
  <c r="DA278" i="9" s="1"/>
  <c r="AE278" i="9"/>
  <c r="CV278" i="9" s="1"/>
  <c r="BL278" i="9"/>
  <c r="EC278" i="9" s="1"/>
  <c r="BH278" i="9"/>
  <c r="DY278" i="9" s="1"/>
  <c r="AS278" i="9"/>
  <c r="DJ278" i="9" s="1"/>
  <c r="W278" i="9"/>
  <c r="CN278" i="9" s="1"/>
  <c r="AC278" i="9"/>
  <c r="CT278" i="9" s="1"/>
  <c r="AX278" i="9"/>
  <c r="DO278" i="9" s="1"/>
  <c r="AT278" i="9"/>
  <c r="DK278" i="9" s="1"/>
  <c r="AI278" i="9"/>
  <c r="CZ278" i="9" s="1"/>
  <c r="AV278" i="9"/>
  <c r="DM278" i="9" s="1"/>
  <c r="M278" i="9"/>
  <c r="CD278" i="9" s="1"/>
  <c r="AY278" i="9"/>
  <c r="DP278" i="9" s="1"/>
  <c r="BN278" i="9"/>
  <c r="EE278" i="9" s="1"/>
  <c r="AF278" i="9"/>
  <c r="CW278" i="9" s="1"/>
  <c r="BB278" i="9"/>
  <c r="DS278" i="9" s="1"/>
  <c r="BE278" i="9"/>
  <c r="DV278" i="9" s="1"/>
  <c r="AQ278" i="9"/>
  <c r="DH278" i="9" s="1"/>
  <c r="P278" i="9"/>
  <c r="CG278" i="9" s="1"/>
  <c r="AW278" i="9"/>
  <c r="DN278" i="9" s="1"/>
  <c r="Y278" i="9"/>
  <c r="CP278" i="9" s="1"/>
  <c r="AB278" i="9"/>
  <c r="CS278" i="9" s="1"/>
  <c r="AH278" i="9"/>
  <c r="CY278" i="9" s="1"/>
  <c r="BQ278" i="9"/>
  <c r="EH278" i="9" s="1"/>
  <c r="U278" i="9"/>
  <c r="CL278" i="9" s="1"/>
  <c r="W397" i="9"/>
  <c r="CN397" i="9" s="1"/>
  <c r="AW397" i="9"/>
  <c r="DN397" i="9" s="1"/>
  <c r="AN397" i="9"/>
  <c r="DE397" i="9" s="1"/>
  <c r="AB397" i="9"/>
  <c r="CS397" i="9" s="1"/>
  <c r="AO397" i="9"/>
  <c r="DF397" i="9" s="1"/>
  <c r="AC397" i="9"/>
  <c r="CT397" i="9" s="1"/>
  <c r="P397" i="9"/>
  <c r="CG397" i="9" s="1"/>
  <c r="AR397" i="9"/>
  <c r="DI397" i="9" s="1"/>
  <c r="BC397" i="9"/>
  <c r="DT397" i="9" s="1"/>
  <c r="AM397" i="9"/>
  <c r="DD397" i="9" s="1"/>
  <c r="BH397" i="9"/>
  <c r="DY397" i="9" s="1"/>
  <c r="BG397" i="9"/>
  <c r="DX397" i="9" s="1"/>
  <c r="AX397" i="9"/>
  <c r="DO397" i="9" s="1"/>
  <c r="Q397" i="9"/>
  <c r="CH397" i="9" s="1"/>
  <c r="M397" i="9"/>
  <c r="CD397" i="9" s="1"/>
  <c r="T397" i="9"/>
  <c r="CK397" i="9" s="1"/>
  <c r="AL397" i="9"/>
  <c r="DC397" i="9" s="1"/>
  <c r="AV397" i="9"/>
  <c r="DM397" i="9" s="1"/>
  <c r="BQ397" i="9"/>
  <c r="EH397" i="9" s="1"/>
  <c r="Y397" i="9"/>
  <c r="CP397" i="9" s="1"/>
  <c r="AZ397" i="9"/>
  <c r="DQ397" i="9" s="1"/>
  <c r="Z397" i="9"/>
  <c r="CQ397" i="9" s="1"/>
  <c r="R397" i="9"/>
  <c r="CI397" i="9" s="1"/>
  <c r="S397" i="9"/>
  <c r="CJ397" i="9" s="1"/>
  <c r="L397" i="9"/>
  <c r="BE397" i="9"/>
  <c r="DV397" i="9" s="1"/>
  <c r="AQ397" i="9"/>
  <c r="DH397" i="9" s="1"/>
  <c r="BR397" i="9"/>
  <c r="EI397" i="9" s="1"/>
  <c r="BM397" i="9"/>
  <c r="ED397" i="9" s="1"/>
  <c r="BD397" i="9"/>
  <c r="DU397" i="9" s="1"/>
  <c r="BO397" i="9"/>
  <c r="EF397" i="9" s="1"/>
  <c r="N397" i="9"/>
  <c r="CE397" i="9" s="1"/>
  <c r="O397" i="9"/>
  <c r="CF397" i="9" s="1"/>
  <c r="BF397" i="9"/>
  <c r="DW397" i="9" s="1"/>
  <c r="AG397" i="9"/>
  <c r="CX397" i="9" s="1"/>
  <c r="AY397" i="9"/>
  <c r="DP397" i="9" s="1"/>
  <c r="BA397" i="9"/>
  <c r="DR397" i="9" s="1"/>
  <c r="U397" i="9"/>
  <c r="CL397" i="9" s="1"/>
  <c r="AF397" i="9"/>
  <c r="CW397" i="9" s="1"/>
  <c r="AJ397" i="9"/>
  <c r="DA397" i="9" s="1"/>
  <c r="AK397" i="9"/>
  <c r="DB397" i="9" s="1"/>
  <c r="AE397" i="9"/>
  <c r="CV397" i="9" s="1"/>
  <c r="AP397" i="9"/>
  <c r="DG397" i="9" s="1"/>
  <c r="AA397" i="9"/>
  <c r="CR397" i="9" s="1"/>
  <c r="BB397" i="9"/>
  <c r="DS397" i="9" s="1"/>
  <c r="AT397" i="9"/>
  <c r="DK397" i="9" s="1"/>
  <c r="V397" i="9"/>
  <c r="CM397" i="9" s="1"/>
  <c r="AS397" i="9"/>
  <c r="DJ397" i="9" s="1"/>
  <c r="BP397" i="9"/>
  <c r="EG397" i="9" s="1"/>
  <c r="BK397" i="9"/>
  <c r="EB397" i="9" s="1"/>
  <c r="AH397" i="9"/>
  <c r="CY397" i="9" s="1"/>
  <c r="BJ397" i="9"/>
  <c r="EA397" i="9" s="1"/>
  <c r="Y269" i="9"/>
  <c r="CP269" i="9" s="1"/>
  <c r="AL269" i="9"/>
  <c r="DC269" i="9" s="1"/>
  <c r="BH269" i="9"/>
  <c r="DY269" i="9" s="1"/>
  <c r="BC269" i="9"/>
  <c r="DT269" i="9" s="1"/>
  <c r="AW269" i="9"/>
  <c r="DN269" i="9" s="1"/>
  <c r="BJ269" i="9"/>
  <c r="EA269" i="9" s="1"/>
  <c r="AH269" i="9"/>
  <c r="CY269" i="9" s="1"/>
  <c r="AG269" i="9"/>
  <c r="CX269" i="9" s="1"/>
  <c r="BN269" i="9"/>
  <c r="EE269" i="9" s="1"/>
  <c r="AT269" i="9"/>
  <c r="DK269" i="9" s="1"/>
  <c r="AQ269" i="9"/>
  <c r="DH269" i="9" s="1"/>
  <c r="AK269" i="9"/>
  <c r="DB269" i="9" s="1"/>
  <c r="AY269" i="9"/>
  <c r="DP269" i="9" s="1"/>
  <c r="BQ269" i="9"/>
  <c r="EH269" i="9" s="1"/>
  <c r="BO269" i="9"/>
  <c r="EF269" i="9" s="1"/>
  <c r="BG269" i="9"/>
  <c r="DX269" i="9" s="1"/>
  <c r="BP269" i="9"/>
  <c r="EG269" i="9" s="1"/>
  <c r="AJ269" i="9"/>
  <c r="DA269" i="9" s="1"/>
  <c r="W269" i="9"/>
  <c r="CN269" i="9" s="1"/>
  <c r="BL269" i="9"/>
  <c r="EC269" i="9" s="1"/>
  <c r="AX269" i="9"/>
  <c r="DO269" i="9" s="1"/>
  <c r="V269" i="9"/>
  <c r="CM269" i="9" s="1"/>
  <c r="AU269" i="9"/>
  <c r="DL269" i="9" s="1"/>
  <c r="O267" i="9"/>
  <c r="CF267" i="9" s="1"/>
  <c r="AN267" i="9"/>
  <c r="DE267" i="9" s="1"/>
  <c r="BL267" i="9"/>
  <c r="EC267" i="9" s="1"/>
  <c r="AS267" i="9"/>
  <c r="DJ267" i="9" s="1"/>
  <c r="Z267" i="9"/>
  <c r="CQ267" i="9" s="1"/>
  <c r="AL267" i="9"/>
  <c r="DC267" i="9" s="1"/>
  <c r="BK267" i="9"/>
  <c r="EB267" i="9" s="1"/>
  <c r="AW267" i="9"/>
  <c r="DN267" i="9" s="1"/>
  <c r="BM267" i="9"/>
  <c r="ED267" i="9" s="1"/>
  <c r="AQ267" i="9"/>
  <c r="DH267" i="9" s="1"/>
  <c r="AG267" i="9"/>
  <c r="CX267" i="9" s="1"/>
  <c r="BN267" i="9"/>
  <c r="EE267" i="9" s="1"/>
  <c r="AU267" i="9"/>
  <c r="DL267" i="9" s="1"/>
  <c r="AY267" i="9"/>
  <c r="DP267" i="9" s="1"/>
  <c r="W267" i="9"/>
  <c r="CN267" i="9" s="1"/>
  <c r="AZ267" i="9"/>
  <c r="DQ267" i="9" s="1"/>
  <c r="AR267" i="9"/>
  <c r="DI267" i="9" s="1"/>
  <c r="BC267" i="9"/>
  <c r="DT267" i="9" s="1"/>
  <c r="AI267" i="9"/>
  <c r="CZ267" i="9" s="1"/>
  <c r="V267" i="9"/>
  <c r="CM267" i="9" s="1"/>
  <c r="AM267" i="9"/>
  <c r="DD267" i="9" s="1"/>
  <c r="BR267" i="9"/>
  <c r="EI267" i="9" s="1"/>
  <c r="BC437" i="9"/>
  <c r="DT437" i="9" s="1"/>
  <c r="BB437" i="9"/>
  <c r="DS437" i="9" s="1"/>
  <c r="AE437" i="9"/>
  <c r="CV437" i="9" s="1"/>
  <c r="BE437" i="9"/>
  <c r="DV437" i="9" s="1"/>
  <c r="AJ437" i="9"/>
  <c r="DA437" i="9" s="1"/>
  <c r="AR437" i="9"/>
  <c r="DI437" i="9" s="1"/>
  <c r="AQ437" i="9"/>
  <c r="DH437" i="9" s="1"/>
  <c r="AI437" i="9"/>
  <c r="CZ437" i="9" s="1"/>
  <c r="AY437" i="9"/>
  <c r="DP437" i="9" s="1"/>
  <c r="W437" i="9"/>
  <c r="CN437" i="9" s="1"/>
  <c r="Y437" i="9"/>
  <c r="CP437" i="9" s="1"/>
  <c r="AL437" i="9"/>
  <c r="DC437" i="9" s="1"/>
  <c r="AB437" i="9"/>
  <c r="CS437" i="9" s="1"/>
  <c r="BG437" i="9"/>
  <c r="DX437" i="9" s="1"/>
  <c r="BH437" i="9"/>
  <c r="DY437" i="9" s="1"/>
  <c r="AO437" i="9"/>
  <c r="DF437" i="9" s="1"/>
  <c r="AH437" i="9"/>
  <c r="CY437" i="9" s="1"/>
  <c r="Z437" i="9"/>
  <c r="CQ437" i="9" s="1"/>
  <c r="BQ437" i="9"/>
  <c r="EH437" i="9" s="1"/>
  <c r="BF437" i="9"/>
  <c r="DW437" i="9" s="1"/>
  <c r="N604" i="9"/>
  <c r="CE604" i="9" s="1"/>
  <c r="AS604" i="9"/>
  <c r="DJ604" i="9" s="1"/>
  <c r="AP604" i="9"/>
  <c r="DG604" i="9" s="1"/>
  <c r="W604" i="9"/>
  <c r="CN604" i="9" s="1"/>
  <c r="BL604" i="9"/>
  <c r="EC604" i="9" s="1"/>
  <c r="AN604" i="9"/>
  <c r="DE604" i="9" s="1"/>
  <c r="BF604" i="9"/>
  <c r="DW604" i="9" s="1"/>
  <c r="L604" i="9"/>
  <c r="CC604" i="9" s="1"/>
  <c r="AG604" i="9"/>
  <c r="CX604" i="9" s="1"/>
  <c r="BI604" i="9"/>
  <c r="DZ604" i="9" s="1"/>
  <c r="BA604" i="9"/>
  <c r="DR604" i="9" s="1"/>
  <c r="BO604" i="9"/>
  <c r="EF604" i="9" s="1"/>
  <c r="AU604" i="9"/>
  <c r="DL604" i="9" s="1"/>
  <c r="BN604" i="9"/>
  <c r="EE604" i="9" s="1"/>
  <c r="BQ604" i="9"/>
  <c r="EH604" i="9" s="1"/>
  <c r="V604" i="9"/>
  <c r="CM604" i="9" s="1"/>
  <c r="AY604" i="9"/>
  <c r="DP604" i="9" s="1"/>
  <c r="BB604" i="9"/>
  <c r="DS604" i="9" s="1"/>
  <c r="AR604" i="9"/>
  <c r="DI604" i="9" s="1"/>
  <c r="BJ604" i="9"/>
  <c r="EA604" i="9" s="1"/>
  <c r="AZ604" i="9"/>
  <c r="DQ604" i="9" s="1"/>
  <c r="AM604" i="9"/>
  <c r="DD604" i="9" s="1"/>
  <c r="AJ604" i="9"/>
  <c r="DA604" i="9" s="1"/>
  <c r="BC604" i="9"/>
  <c r="DT604" i="9" s="1"/>
  <c r="BD604" i="9"/>
  <c r="DU604" i="9" s="1"/>
  <c r="AX604" i="9"/>
  <c r="DO604" i="9" s="1"/>
  <c r="Z604" i="9"/>
  <c r="CQ604" i="9" s="1"/>
  <c r="AT604" i="9"/>
  <c r="DK604" i="9" s="1"/>
  <c r="AF604" i="9"/>
  <c r="CW604" i="9" s="1"/>
  <c r="AA604" i="9"/>
  <c r="CR604" i="9" s="1"/>
  <c r="X604" i="9"/>
  <c r="CO604" i="9" s="1"/>
  <c r="BP604" i="9"/>
  <c r="EG604" i="9" s="1"/>
  <c r="BR604" i="9"/>
  <c r="EI604" i="9" s="1"/>
  <c r="BM604" i="9"/>
  <c r="ED604" i="9" s="1"/>
  <c r="AL604" i="9"/>
  <c r="DC604" i="9" s="1"/>
  <c r="AC604" i="9"/>
  <c r="CT604" i="9" s="1"/>
  <c r="AI604" i="9"/>
  <c r="CZ604" i="9" s="1"/>
  <c r="U604" i="9"/>
  <c r="CL604" i="9" s="1"/>
  <c r="Y604" i="9"/>
  <c r="CP604" i="9" s="1"/>
  <c r="AV604" i="9"/>
  <c r="DM604" i="9" s="1"/>
  <c r="AQ604" i="9"/>
  <c r="DH604" i="9" s="1"/>
  <c r="AH604" i="9"/>
  <c r="CY604" i="9" s="1"/>
  <c r="AE604" i="9"/>
  <c r="CV604" i="9" s="1"/>
  <c r="BG604" i="9"/>
  <c r="DX604" i="9" s="1"/>
  <c r="AW604" i="9"/>
  <c r="DN604" i="9" s="1"/>
  <c r="BE604" i="9"/>
  <c r="DV604" i="9" s="1"/>
  <c r="AC374" i="9"/>
  <c r="CT374" i="9" s="1"/>
  <c r="AI374" i="9"/>
  <c r="CZ374" i="9" s="1"/>
  <c r="Y374" i="9"/>
  <c r="CP374" i="9" s="1"/>
  <c r="AZ374" i="9"/>
  <c r="DQ374" i="9" s="1"/>
  <c r="AN374" i="9"/>
  <c r="DE374" i="9" s="1"/>
  <c r="AO374" i="9"/>
  <c r="DF374" i="9" s="1"/>
  <c r="AY374" i="9"/>
  <c r="DP374" i="9" s="1"/>
  <c r="AQ374" i="9"/>
  <c r="DH374" i="9" s="1"/>
  <c r="BA374" i="9"/>
  <c r="DR374" i="9" s="1"/>
  <c r="BR374" i="9"/>
  <c r="EI374" i="9" s="1"/>
  <c r="AP374" i="9"/>
  <c r="DG374" i="9" s="1"/>
  <c r="BM374" i="9"/>
  <c r="ED374" i="9" s="1"/>
  <c r="V374" i="9"/>
  <c r="CM374" i="9" s="1"/>
  <c r="BO374" i="9"/>
  <c r="EF374" i="9" s="1"/>
  <c r="AW374" i="9"/>
  <c r="DN374" i="9" s="1"/>
  <c r="BP374" i="9"/>
  <c r="EG374" i="9" s="1"/>
  <c r="AA374" i="9"/>
  <c r="CR374" i="9" s="1"/>
  <c r="AM374" i="9"/>
  <c r="DD374" i="9" s="1"/>
  <c r="BJ374" i="9"/>
  <c r="EA374" i="9" s="1"/>
  <c r="AG374" i="9"/>
  <c r="CX374" i="9" s="1"/>
  <c r="BK374" i="9"/>
  <c r="EB374" i="9" s="1"/>
  <c r="AV374" i="9"/>
  <c r="DM374" i="9" s="1"/>
  <c r="BF374" i="9"/>
  <c r="DW374" i="9" s="1"/>
  <c r="AS374" i="9"/>
  <c r="DJ374" i="9" s="1"/>
  <c r="W374" i="9"/>
  <c r="CN374" i="9" s="1"/>
  <c r="AD374" i="9"/>
  <c r="CU374" i="9" s="1"/>
  <c r="BH374" i="9"/>
  <c r="DY374" i="9" s="1"/>
  <c r="AR374" i="9"/>
  <c r="DI374" i="9" s="1"/>
  <c r="AK374" i="9"/>
  <c r="DB374" i="9" s="1"/>
  <c r="AU374" i="9"/>
  <c r="DL374" i="9" s="1"/>
  <c r="BL374" i="9"/>
  <c r="EC374" i="9" s="1"/>
  <c r="BI374" i="9"/>
  <c r="DZ374" i="9" s="1"/>
  <c r="U374" i="9"/>
  <c r="CL374" i="9" s="1"/>
  <c r="AT374" i="9"/>
  <c r="DK374" i="9" s="1"/>
  <c r="BE374" i="9"/>
  <c r="DV374" i="9" s="1"/>
  <c r="Z374" i="9"/>
  <c r="CQ374" i="9" s="1"/>
  <c r="BC374" i="9"/>
  <c r="DT374" i="9" s="1"/>
  <c r="X374" i="9"/>
  <c r="CO374" i="9" s="1"/>
  <c r="AJ374" i="9"/>
  <c r="DA374" i="9" s="1"/>
  <c r="AX374" i="9"/>
  <c r="DO374" i="9" s="1"/>
  <c r="AF374" i="9"/>
  <c r="CW374" i="9" s="1"/>
  <c r="AE374" i="9"/>
  <c r="CV374" i="9" s="1"/>
  <c r="BN374" i="9"/>
  <c r="EE374" i="9" s="1"/>
  <c r="S374" i="9"/>
  <c r="CJ374" i="9" s="1"/>
  <c r="AZ635" i="9"/>
  <c r="DQ635" i="9" s="1"/>
  <c r="BH635" i="9"/>
  <c r="DY635" i="9" s="1"/>
  <c r="BE635" i="9"/>
  <c r="DV635" i="9" s="1"/>
  <c r="BJ635" i="9"/>
  <c r="EA635" i="9" s="1"/>
  <c r="AU635" i="9"/>
  <c r="DL635" i="9" s="1"/>
  <c r="L635" i="9"/>
  <c r="CC635" i="9" s="1"/>
  <c r="AA687" i="9"/>
  <c r="CR687" i="9" s="1"/>
  <c r="BI687" i="9"/>
  <c r="DZ687" i="9" s="1"/>
  <c r="X687" i="9"/>
  <c r="CO687" i="9" s="1"/>
  <c r="BH687" i="9"/>
  <c r="DY687" i="9" s="1"/>
  <c r="AG687" i="9"/>
  <c r="CX687" i="9" s="1"/>
  <c r="AZ687" i="9"/>
  <c r="DQ687" i="9" s="1"/>
  <c r="BO649" i="9"/>
  <c r="EF649" i="9" s="1"/>
  <c r="BC649" i="9"/>
  <c r="DT649" i="9" s="1"/>
  <c r="AN649" i="9"/>
  <c r="DE649" i="9" s="1"/>
  <c r="BJ649" i="9"/>
  <c r="EA649" i="9" s="1"/>
  <c r="AU649" i="9"/>
  <c r="DL649" i="9" s="1"/>
  <c r="AI649" i="9"/>
  <c r="CZ649" i="9" s="1"/>
  <c r="K649" i="9"/>
  <c r="N649" i="9"/>
  <c r="CE649" i="9" s="1"/>
  <c r="AY649" i="9"/>
  <c r="DP649" i="9" s="1"/>
  <c r="AE649" i="9"/>
  <c r="CV649" i="9" s="1"/>
  <c r="BA649" i="9"/>
  <c r="DR649" i="9" s="1"/>
  <c r="AX649" i="9"/>
  <c r="DO649" i="9" s="1"/>
  <c r="Z649" i="9"/>
  <c r="CQ649" i="9" s="1"/>
  <c r="BI649" i="9"/>
  <c r="DZ649" i="9" s="1"/>
  <c r="Q649" i="9"/>
  <c r="CH649" i="9" s="1"/>
  <c r="AC649" i="9"/>
  <c r="CT649" i="9" s="1"/>
  <c r="AB649" i="9"/>
  <c r="CS649" i="9" s="1"/>
  <c r="BD649" i="9"/>
  <c r="DU649" i="9" s="1"/>
  <c r="BE649" i="9"/>
  <c r="DV649" i="9" s="1"/>
  <c r="BK649" i="9"/>
  <c r="EB649" i="9" s="1"/>
  <c r="BL649" i="9"/>
  <c r="EC649" i="9" s="1"/>
  <c r="T649" i="9"/>
  <c r="CK649" i="9" s="1"/>
  <c r="O649" i="9"/>
  <c r="CF649" i="9" s="1"/>
  <c r="AG649" i="9"/>
  <c r="CX649" i="9" s="1"/>
  <c r="BF649" i="9"/>
  <c r="DW649" i="9" s="1"/>
  <c r="BB649" i="9"/>
  <c r="DS649" i="9" s="1"/>
  <c r="AW649" i="9"/>
  <c r="DN649" i="9" s="1"/>
  <c r="AT649" i="9"/>
  <c r="DK649" i="9" s="1"/>
  <c r="X649" i="9"/>
  <c r="CO649" i="9" s="1"/>
  <c r="AH649" i="9"/>
  <c r="CY649" i="9" s="1"/>
  <c r="AA649" i="9"/>
  <c r="CR649" i="9" s="1"/>
  <c r="AS649" i="9"/>
  <c r="DJ649" i="9" s="1"/>
  <c r="AF649" i="9"/>
  <c r="CW649" i="9" s="1"/>
  <c r="BH649" i="9"/>
  <c r="DY649" i="9" s="1"/>
  <c r="Y649" i="9"/>
  <c r="CP649" i="9" s="1"/>
  <c r="AZ649" i="9"/>
  <c r="DQ649" i="9" s="1"/>
  <c r="BG649" i="9"/>
  <c r="DX649" i="9" s="1"/>
  <c r="AR649" i="9"/>
  <c r="DI649" i="9" s="1"/>
  <c r="AO649" i="9"/>
  <c r="DF649" i="9" s="1"/>
  <c r="AJ649" i="9"/>
  <c r="DA649" i="9" s="1"/>
  <c r="AK649" i="9"/>
  <c r="DB649" i="9" s="1"/>
  <c r="AQ649" i="9"/>
  <c r="DH649" i="9" s="1"/>
  <c r="AV649" i="9"/>
  <c r="DM649" i="9" s="1"/>
  <c r="U649" i="9"/>
  <c r="CL649" i="9" s="1"/>
  <c r="AP649" i="9"/>
  <c r="DG649" i="9" s="1"/>
  <c r="V649" i="9"/>
  <c r="CM649" i="9" s="1"/>
  <c r="W649" i="9"/>
  <c r="CN649" i="9" s="1"/>
  <c r="BR649" i="9"/>
  <c r="EI649" i="9" s="1"/>
  <c r="BM649" i="9"/>
  <c r="ED649" i="9" s="1"/>
  <c r="P649" i="9"/>
  <c r="CG649" i="9" s="1"/>
  <c r="AH646" i="9"/>
  <c r="CY646" i="9" s="1"/>
  <c r="AT646" i="9"/>
  <c r="DK646" i="9" s="1"/>
  <c r="AG646" i="9"/>
  <c r="CX646" i="9" s="1"/>
  <c r="BL646" i="9"/>
  <c r="EC646" i="9" s="1"/>
  <c r="AX646" i="9"/>
  <c r="DO646" i="9" s="1"/>
  <c r="BD646" i="9"/>
  <c r="DU646" i="9" s="1"/>
  <c r="T646" i="9"/>
  <c r="CK646" i="9" s="1"/>
  <c r="P646" i="9"/>
  <c r="CG646" i="9" s="1"/>
  <c r="BO646" i="9"/>
  <c r="EF646" i="9" s="1"/>
  <c r="Y646" i="9"/>
  <c r="CP646" i="9" s="1"/>
  <c r="BE646" i="9"/>
  <c r="DV646" i="9" s="1"/>
  <c r="AM646" i="9"/>
  <c r="DD646" i="9" s="1"/>
  <c r="BA646" i="9"/>
  <c r="DR646" i="9" s="1"/>
  <c r="AL646" i="9"/>
  <c r="DC646" i="9" s="1"/>
  <c r="K646" i="9"/>
  <c r="CB646" i="9" s="1"/>
  <c r="U646" i="9"/>
  <c r="CL646" i="9" s="1"/>
  <c r="Z646" i="9"/>
  <c r="CQ646" i="9" s="1"/>
  <c r="BP646" i="9"/>
  <c r="EG646" i="9" s="1"/>
  <c r="BQ646" i="9"/>
  <c r="EH646" i="9" s="1"/>
  <c r="BB646" i="9"/>
  <c r="DS646" i="9" s="1"/>
  <c r="AA646" i="9"/>
  <c r="CR646" i="9" s="1"/>
  <c r="BK646" i="9"/>
  <c r="EB646" i="9" s="1"/>
  <c r="BN646" i="9"/>
  <c r="EE646" i="9" s="1"/>
  <c r="AP646" i="9"/>
  <c r="DG646" i="9" s="1"/>
  <c r="AV646" i="9"/>
  <c r="DM646" i="9" s="1"/>
  <c r="AE646" i="9"/>
  <c r="CV646" i="9" s="1"/>
  <c r="W646" i="9"/>
  <c r="CN646" i="9" s="1"/>
  <c r="AC646" i="9"/>
  <c r="CT646" i="9" s="1"/>
  <c r="AI646" i="9"/>
  <c r="CZ646" i="9" s="1"/>
  <c r="BJ646" i="9"/>
  <c r="EA646" i="9" s="1"/>
  <c r="BM646" i="9"/>
  <c r="ED646" i="9" s="1"/>
  <c r="BC646" i="9"/>
  <c r="DT646" i="9" s="1"/>
  <c r="AJ646" i="9"/>
  <c r="DA646" i="9" s="1"/>
  <c r="AB646" i="9"/>
  <c r="CS646" i="9" s="1"/>
  <c r="AD646" i="9"/>
  <c r="CU646" i="9" s="1"/>
  <c r="AF646" i="9"/>
  <c r="CW646" i="9" s="1"/>
  <c r="BH646" i="9"/>
  <c r="DY646" i="9" s="1"/>
  <c r="V646" i="9"/>
  <c r="CM646" i="9" s="1"/>
  <c r="BR646" i="9"/>
  <c r="EI646" i="9" s="1"/>
  <c r="AR646" i="9"/>
  <c r="DI646" i="9" s="1"/>
  <c r="AQ646" i="9"/>
  <c r="DH646" i="9" s="1"/>
  <c r="AC648" i="9"/>
  <c r="CT648" i="9" s="1"/>
  <c r="AX648" i="9"/>
  <c r="DO648" i="9" s="1"/>
  <c r="AA648" i="9"/>
  <c r="CR648" i="9" s="1"/>
  <c r="Y648" i="9"/>
  <c r="CP648" i="9" s="1"/>
  <c r="AZ648" i="9"/>
  <c r="DQ648" i="9" s="1"/>
  <c r="AO648" i="9"/>
  <c r="DF648" i="9" s="1"/>
  <c r="Q648" i="9"/>
  <c r="CH648" i="9" s="1"/>
  <c r="AY648" i="9"/>
  <c r="DP648" i="9" s="1"/>
  <c r="BK648" i="9"/>
  <c r="EB648" i="9" s="1"/>
  <c r="BJ648" i="9"/>
  <c r="EA648" i="9" s="1"/>
  <c r="AL648" i="9"/>
  <c r="DC648" i="9" s="1"/>
  <c r="AG648" i="9"/>
  <c r="CX648" i="9" s="1"/>
  <c r="BE648" i="9"/>
  <c r="DV648" i="9" s="1"/>
  <c r="AH648" i="9"/>
  <c r="CY648" i="9" s="1"/>
  <c r="BL648" i="9"/>
  <c r="EC648" i="9" s="1"/>
  <c r="BH648" i="9"/>
  <c r="DY648" i="9" s="1"/>
  <c r="BB648" i="9"/>
  <c r="DS648" i="9" s="1"/>
  <c r="V648" i="9"/>
  <c r="CM648" i="9" s="1"/>
  <c r="AR648" i="9"/>
  <c r="DI648" i="9" s="1"/>
  <c r="BO648" i="9"/>
  <c r="EF648" i="9" s="1"/>
  <c r="X648" i="9"/>
  <c r="CO648" i="9" s="1"/>
  <c r="Z648" i="9"/>
  <c r="CQ648" i="9" s="1"/>
  <c r="AE648" i="9"/>
  <c r="CV648" i="9" s="1"/>
  <c r="AM648" i="9"/>
  <c r="DD648" i="9" s="1"/>
  <c r="AP648" i="9"/>
  <c r="DG648" i="9" s="1"/>
  <c r="BG478" i="9"/>
  <c r="DX478" i="9" s="1"/>
  <c r="AA478" i="9"/>
  <c r="CR478" i="9" s="1"/>
  <c r="AP478" i="9"/>
  <c r="DG478" i="9" s="1"/>
  <c r="AO478" i="9"/>
  <c r="DF478" i="9" s="1"/>
  <c r="V640" i="9"/>
  <c r="CM640" i="9" s="1"/>
  <c r="N640" i="9"/>
  <c r="CE640" i="9" s="1"/>
  <c r="BH640" i="9"/>
  <c r="DY640" i="9" s="1"/>
  <c r="AP640" i="9"/>
  <c r="DG640" i="9" s="1"/>
  <c r="AO640" i="9"/>
  <c r="DF640" i="9" s="1"/>
  <c r="Y640" i="9"/>
  <c r="CP640" i="9" s="1"/>
  <c r="BR639" i="9"/>
  <c r="EI639" i="9" s="1"/>
  <c r="AR639" i="9"/>
  <c r="DI639" i="9" s="1"/>
  <c r="BF639" i="9"/>
  <c r="DW639" i="9" s="1"/>
  <c r="AE639" i="9"/>
  <c r="CV639" i="9" s="1"/>
  <c r="AY639" i="9"/>
  <c r="DP639" i="9" s="1"/>
  <c r="BO639" i="9"/>
  <c r="EF639" i="9" s="1"/>
  <c r="N278" i="9"/>
  <c r="CE278" i="9" s="1"/>
  <c r="BP649" i="9"/>
  <c r="EG649" i="9" s="1"/>
  <c r="BA552" i="9"/>
  <c r="AJ552" i="9"/>
  <c r="DA552" i="9" s="1"/>
  <c r="AB552" i="9"/>
  <c r="CS552" i="9" s="1"/>
  <c r="AQ552" i="9"/>
  <c r="DH552" i="9" s="1"/>
  <c r="BF552" i="9"/>
  <c r="DW552" i="9" s="1"/>
  <c r="BI552" i="9"/>
  <c r="DZ552" i="9" s="1"/>
  <c r="M552" i="9"/>
  <c r="CD552" i="9" s="1"/>
  <c r="Y552" i="9"/>
  <c r="CP552" i="9" s="1"/>
  <c r="BM552" i="9"/>
  <c r="ED552" i="9" s="1"/>
  <c r="AO552" i="9"/>
  <c r="DF552" i="9" s="1"/>
  <c r="BD552" i="9"/>
  <c r="V552" i="9"/>
  <c r="CM552" i="9" s="1"/>
  <c r="X552" i="9"/>
  <c r="CO552" i="9" s="1"/>
  <c r="R552" i="9"/>
  <c r="CI552" i="9" s="1"/>
  <c r="W552" i="9"/>
  <c r="CN552" i="9" s="1"/>
  <c r="AV552" i="9"/>
  <c r="DM552" i="9" s="1"/>
  <c r="AH552" i="9"/>
  <c r="CY552" i="9" s="1"/>
  <c r="AN552" i="9"/>
  <c r="DE552" i="9" s="1"/>
  <c r="AU552" i="9"/>
  <c r="DL552" i="9" s="1"/>
  <c r="AY552" i="9"/>
  <c r="DP552" i="9" s="1"/>
  <c r="AI552" i="9"/>
  <c r="CZ552" i="9" s="1"/>
  <c r="AL552" i="9"/>
  <c r="DC552" i="9" s="1"/>
  <c r="AF552" i="9"/>
  <c r="CW552" i="9" s="1"/>
  <c r="BH552" i="9"/>
  <c r="DY552" i="9" s="1"/>
  <c r="AA552" i="9"/>
  <c r="CR552" i="9" s="1"/>
  <c r="AP552" i="9"/>
  <c r="DG552" i="9" s="1"/>
  <c r="BN552" i="9"/>
  <c r="EE552" i="9" s="1"/>
  <c r="AW552" i="9"/>
  <c r="DN552" i="9" s="1"/>
  <c r="BR552" i="9"/>
  <c r="EI552" i="9" s="1"/>
  <c r="AC552" i="9"/>
  <c r="CT552" i="9" s="1"/>
  <c r="AZ552" i="9"/>
  <c r="DQ552" i="9" s="1"/>
  <c r="BC552" i="9"/>
  <c r="DT552" i="9" s="1"/>
  <c r="AS552" i="9"/>
  <c r="DJ552" i="9" s="1"/>
  <c r="Z552" i="9"/>
  <c r="AM552" i="9"/>
  <c r="DD552" i="9" s="1"/>
  <c r="BQ552" i="9"/>
  <c r="BL552" i="9"/>
  <c r="EC552" i="9" s="1"/>
  <c r="AK552" i="9"/>
  <c r="DB552" i="9" s="1"/>
  <c r="AR552" i="9"/>
  <c r="DI552" i="9" s="1"/>
  <c r="AT552" i="9"/>
  <c r="DK552" i="9" s="1"/>
  <c r="AE552" i="9"/>
  <c r="CV552" i="9" s="1"/>
  <c r="AG552" i="9"/>
  <c r="CX552" i="9" s="1"/>
  <c r="U552" i="9"/>
  <c r="CL552" i="9" s="1"/>
  <c r="AX552" i="9"/>
  <c r="DO552" i="9" s="1"/>
  <c r="BB552" i="9"/>
  <c r="DS552" i="9" s="1"/>
  <c r="BP552" i="9"/>
  <c r="EG552" i="9" s="1"/>
  <c r="R278" i="9"/>
  <c r="CI278" i="9" s="1"/>
  <c r="BI632" i="9"/>
  <c r="DZ632" i="9" s="1"/>
  <c r="X632" i="9"/>
  <c r="CO632" i="9" s="1"/>
  <c r="BJ632" i="9"/>
  <c r="EA632" i="9" s="1"/>
  <c r="AL632" i="9"/>
  <c r="DC632" i="9" s="1"/>
  <c r="AO632" i="9"/>
  <c r="DF632" i="9" s="1"/>
  <c r="W632" i="9"/>
  <c r="CN632" i="9" s="1"/>
  <c r="P261" i="9"/>
  <c r="CG261" i="9" s="1"/>
  <c r="BG261" i="9"/>
  <c r="DX261" i="9" s="1"/>
  <c r="Z651" i="9"/>
  <c r="CQ651" i="9" s="1"/>
  <c r="BA651" i="9"/>
  <c r="DR651" i="9" s="1"/>
  <c r="BN651" i="9"/>
  <c r="EE651" i="9" s="1"/>
  <c r="BB651" i="9"/>
  <c r="DS651" i="9" s="1"/>
  <c r="BQ651" i="9"/>
  <c r="EH651" i="9" s="1"/>
  <c r="AT651" i="9"/>
  <c r="DK651" i="9" s="1"/>
  <c r="BO651" i="9"/>
  <c r="EF651" i="9" s="1"/>
  <c r="AC245" i="9"/>
  <c r="CT245" i="9" s="1"/>
  <c r="BL245" i="9"/>
  <c r="EC245" i="9" s="1"/>
  <c r="AM245" i="9"/>
  <c r="DD245" i="9" s="1"/>
  <c r="V245" i="9"/>
  <c r="CM245" i="9" s="1"/>
  <c r="BR245" i="9"/>
  <c r="EI245" i="9" s="1"/>
  <c r="BO245" i="9"/>
  <c r="EF245" i="9" s="1"/>
  <c r="S429" i="9"/>
  <c r="CJ429" i="9" s="1"/>
  <c r="BP429" i="9"/>
  <c r="EG429" i="9" s="1"/>
  <c r="BK429" i="9"/>
  <c r="EB429" i="9" s="1"/>
  <c r="BF429" i="9"/>
  <c r="DW429" i="9" s="1"/>
  <c r="AS429" i="9"/>
  <c r="DJ429" i="9" s="1"/>
  <c r="BJ429" i="9"/>
  <c r="EA429" i="9" s="1"/>
  <c r="AM429" i="9"/>
  <c r="DD429" i="9" s="1"/>
  <c r="M244" i="9"/>
  <c r="CD244" i="9" s="1"/>
  <c r="W244" i="9"/>
  <c r="CN244" i="9" s="1"/>
  <c r="AV244" i="9"/>
  <c r="DM244" i="9" s="1"/>
  <c r="AH244" i="9"/>
  <c r="CY244" i="9" s="1"/>
  <c r="BL244" i="9"/>
  <c r="EC244" i="9" s="1"/>
  <c r="AE244" i="9"/>
  <c r="CV244" i="9" s="1"/>
  <c r="AI632" i="9"/>
  <c r="CZ632" i="9" s="1"/>
  <c r="BC632" i="9"/>
  <c r="DT632" i="9" s="1"/>
  <c r="AV632" i="9"/>
  <c r="DM632" i="9" s="1"/>
  <c r="AU632" i="9"/>
  <c r="DL632" i="9" s="1"/>
  <c r="AP632" i="9"/>
  <c r="DG632" i="9" s="1"/>
  <c r="AM632" i="9"/>
  <c r="DD632" i="9" s="1"/>
  <c r="AK632" i="9"/>
  <c r="DB632" i="9" s="1"/>
  <c r="BC261" i="9"/>
  <c r="DT261" i="9" s="1"/>
  <c r="W261" i="9"/>
  <c r="CN261" i="9" s="1"/>
  <c r="BM651" i="9"/>
  <c r="ED651" i="9" s="1"/>
  <c r="AN651" i="9"/>
  <c r="DE651" i="9" s="1"/>
  <c r="BE651" i="9"/>
  <c r="DV651" i="9" s="1"/>
  <c r="BI651" i="9"/>
  <c r="DZ651" i="9" s="1"/>
  <c r="AA651" i="9"/>
  <c r="CR651" i="9" s="1"/>
  <c r="AM651" i="9"/>
  <c r="DD651" i="9" s="1"/>
  <c r="BG651" i="9"/>
  <c r="DX651" i="9" s="1"/>
  <c r="W245" i="9"/>
  <c r="CN245" i="9" s="1"/>
  <c r="BG245" i="9"/>
  <c r="DX245" i="9" s="1"/>
  <c r="U245" i="9"/>
  <c r="CL245" i="9" s="1"/>
  <c r="BC245" i="9"/>
  <c r="DT245" i="9" s="1"/>
  <c r="AX245" i="9"/>
  <c r="DO245" i="9" s="1"/>
  <c r="AI245" i="9"/>
  <c r="CZ245" i="9" s="1"/>
  <c r="M556" i="9"/>
  <c r="CD556" i="9" s="1"/>
  <c r="T556" i="9"/>
  <c r="CK556" i="9" s="1"/>
  <c r="AK556" i="9"/>
  <c r="DB556" i="9" s="1"/>
  <c r="BE556" i="9"/>
  <c r="DV556" i="9" s="1"/>
  <c r="AS556" i="9"/>
  <c r="DJ556" i="9" s="1"/>
  <c r="Y556" i="9"/>
  <c r="CP556" i="9" s="1"/>
  <c r="BM556" i="9"/>
  <c r="ED556" i="9" s="1"/>
  <c r="BP556" i="9"/>
  <c r="EG556" i="9" s="1"/>
  <c r="O491" i="9"/>
  <c r="CF491" i="9" s="1"/>
  <c r="BK491" i="9"/>
  <c r="EB491" i="9" s="1"/>
  <c r="BA491" i="9"/>
  <c r="DR491" i="9" s="1"/>
  <c r="AO491" i="9"/>
  <c r="DF491" i="9" s="1"/>
  <c r="BI491" i="9"/>
  <c r="DZ491" i="9" s="1"/>
  <c r="BF491" i="9"/>
  <c r="DW491" i="9" s="1"/>
  <c r="AZ491" i="9"/>
  <c r="DQ491" i="9" s="1"/>
  <c r="M429" i="9"/>
  <c r="CD429" i="9" s="1"/>
  <c r="V429" i="9"/>
  <c r="CM429" i="9" s="1"/>
  <c r="AG429" i="9"/>
  <c r="CX429" i="9" s="1"/>
  <c r="AB429" i="9"/>
  <c r="CS429" i="9" s="1"/>
  <c r="BB429" i="9"/>
  <c r="DS429" i="9" s="1"/>
  <c r="AE429" i="9"/>
  <c r="CV429" i="9" s="1"/>
  <c r="BD429" i="9"/>
  <c r="DU429" i="9" s="1"/>
  <c r="L244" i="9"/>
  <c r="CC244" i="9" s="1"/>
  <c r="BK244" i="9"/>
  <c r="EB244" i="9" s="1"/>
  <c r="AT244" i="9"/>
  <c r="DK244" i="9" s="1"/>
  <c r="AJ244" i="9"/>
  <c r="DA244" i="9" s="1"/>
  <c r="U244" i="9"/>
  <c r="CL244" i="9" s="1"/>
  <c r="Y244" i="9"/>
  <c r="CP244" i="9" s="1"/>
  <c r="L558" i="9"/>
  <c r="M241" i="9"/>
  <c r="Q628" i="9"/>
  <c r="CH628" i="9" s="1"/>
  <c r="AW632" i="9"/>
  <c r="DN632" i="9" s="1"/>
  <c r="Y632" i="9"/>
  <c r="CP632" i="9" s="1"/>
  <c r="V632" i="9"/>
  <c r="CM632" i="9" s="1"/>
  <c r="BG632" i="9"/>
  <c r="DX632" i="9" s="1"/>
  <c r="AJ632" i="9"/>
  <c r="DA632" i="9" s="1"/>
  <c r="AA632" i="9"/>
  <c r="CR632" i="9" s="1"/>
  <c r="Z632" i="9"/>
  <c r="CQ632" i="9" s="1"/>
  <c r="AZ261" i="9"/>
  <c r="DQ261" i="9" s="1"/>
  <c r="BM261" i="9"/>
  <c r="ED261" i="9" s="1"/>
  <c r="Y651" i="9"/>
  <c r="CP651" i="9" s="1"/>
  <c r="AX651" i="9"/>
  <c r="DO651" i="9" s="1"/>
  <c r="AG651" i="9"/>
  <c r="CX651" i="9" s="1"/>
  <c r="AL651" i="9"/>
  <c r="DC651" i="9" s="1"/>
  <c r="BC651" i="9"/>
  <c r="DT651" i="9" s="1"/>
  <c r="AE651" i="9"/>
  <c r="CV651" i="9" s="1"/>
  <c r="AD651" i="9"/>
  <c r="CU651" i="9" s="1"/>
  <c r="AS245" i="9"/>
  <c r="DJ245" i="9" s="1"/>
  <c r="AU245" i="9"/>
  <c r="DL245" i="9" s="1"/>
  <c r="AB245" i="9"/>
  <c r="CS245" i="9" s="1"/>
  <c r="Z245" i="9"/>
  <c r="CQ245" i="9" s="1"/>
  <c r="BQ245" i="9"/>
  <c r="EH245" i="9" s="1"/>
  <c r="BP245" i="9"/>
  <c r="EG245" i="9" s="1"/>
  <c r="O556" i="9"/>
  <c r="CF556" i="9" s="1"/>
  <c r="BJ556" i="9"/>
  <c r="EA556" i="9" s="1"/>
  <c r="X556" i="9"/>
  <c r="CO556" i="9" s="1"/>
  <c r="AM556" i="9"/>
  <c r="DD556" i="9" s="1"/>
  <c r="AB556" i="9"/>
  <c r="CS556" i="9" s="1"/>
  <c r="BO556" i="9"/>
  <c r="EF556" i="9" s="1"/>
  <c r="AU556" i="9"/>
  <c r="DL556" i="9" s="1"/>
  <c r="T491" i="9"/>
  <c r="CK491" i="9" s="1"/>
  <c r="AK491" i="9"/>
  <c r="DB491" i="9" s="1"/>
  <c r="AR491" i="9"/>
  <c r="DI491" i="9" s="1"/>
  <c r="Y491" i="9"/>
  <c r="CP491" i="9" s="1"/>
  <c r="AN491" i="9"/>
  <c r="DE491" i="9" s="1"/>
  <c r="AL491" i="9"/>
  <c r="DC491" i="9" s="1"/>
  <c r="AG491" i="9"/>
  <c r="CX491" i="9" s="1"/>
  <c r="O429" i="9"/>
  <c r="CF429" i="9" s="1"/>
  <c r="BC429" i="9"/>
  <c r="DT429" i="9" s="1"/>
  <c r="AX429" i="9"/>
  <c r="DO429" i="9" s="1"/>
  <c r="AK429" i="9"/>
  <c r="DB429" i="9" s="1"/>
  <c r="W429" i="9"/>
  <c r="CN429" i="9" s="1"/>
  <c r="AV429" i="9"/>
  <c r="DM429" i="9" s="1"/>
  <c r="Z429" i="9"/>
  <c r="CQ429" i="9" s="1"/>
  <c r="T244" i="9"/>
  <c r="CK244" i="9" s="1"/>
  <c r="BC244" i="9"/>
  <c r="DT244" i="9" s="1"/>
  <c r="AW244" i="9"/>
  <c r="DN244" i="9" s="1"/>
  <c r="BG244" i="9"/>
  <c r="DX244" i="9" s="1"/>
  <c r="BF244" i="9"/>
  <c r="DW244" i="9" s="1"/>
  <c r="P558" i="9"/>
  <c r="CG558" i="9" s="1"/>
  <c r="BK632" i="9"/>
  <c r="EB632" i="9" s="1"/>
  <c r="BL632" i="9"/>
  <c r="EC632" i="9" s="1"/>
  <c r="AD632" i="9"/>
  <c r="CU632" i="9" s="1"/>
  <c r="BE632" i="9"/>
  <c r="DV632" i="9" s="1"/>
  <c r="BH632" i="9"/>
  <c r="DY632" i="9" s="1"/>
  <c r="AF632" i="9"/>
  <c r="CW632" i="9" s="1"/>
  <c r="AO261" i="9"/>
  <c r="DF261" i="9" s="1"/>
  <c r="AC261" i="9"/>
  <c r="CT261" i="9" s="1"/>
  <c r="AJ651" i="9"/>
  <c r="DA651" i="9" s="1"/>
  <c r="AZ651" i="9"/>
  <c r="DQ651" i="9" s="1"/>
  <c r="AS651" i="9"/>
  <c r="DJ651" i="9" s="1"/>
  <c r="BF651" i="9"/>
  <c r="DW651" i="9" s="1"/>
  <c r="AO651" i="9"/>
  <c r="DF651" i="9" s="1"/>
  <c r="T651" i="9"/>
  <c r="CK651" i="9" s="1"/>
  <c r="S245" i="9"/>
  <c r="CJ245" i="9" s="1"/>
  <c r="BN245" i="9"/>
  <c r="EE245" i="9" s="1"/>
  <c r="AN245" i="9"/>
  <c r="DE245" i="9" s="1"/>
  <c r="BF245" i="9"/>
  <c r="DW245" i="9" s="1"/>
  <c r="BK245" i="9"/>
  <c r="EB245" i="9" s="1"/>
  <c r="AH245" i="9"/>
  <c r="CY245" i="9" s="1"/>
  <c r="Y245" i="9"/>
  <c r="CP245" i="9" s="1"/>
  <c r="AY556" i="9"/>
  <c r="DP556" i="9" s="1"/>
  <c r="AJ556" i="9"/>
  <c r="DA556" i="9" s="1"/>
  <c r="BN556" i="9"/>
  <c r="EE556" i="9" s="1"/>
  <c r="BD556" i="9"/>
  <c r="DU556" i="9" s="1"/>
  <c r="AA556" i="9"/>
  <c r="CR556" i="9" s="1"/>
  <c r="BB556" i="9"/>
  <c r="DS556" i="9" s="1"/>
  <c r="BA556" i="9"/>
  <c r="DR556" i="9" s="1"/>
  <c r="N491" i="9"/>
  <c r="CE491" i="9" s="1"/>
  <c r="AF491" i="9"/>
  <c r="CW491" i="9" s="1"/>
  <c r="AH491" i="9"/>
  <c r="CY491" i="9" s="1"/>
  <c r="U491" i="9"/>
  <c r="CL491" i="9" s="1"/>
  <c r="AT491" i="9"/>
  <c r="DK491" i="9" s="1"/>
  <c r="AJ491" i="9"/>
  <c r="DA491" i="9" s="1"/>
  <c r="AB491" i="9"/>
  <c r="CS491" i="9" s="1"/>
  <c r="K429" i="9"/>
  <c r="CB429" i="9" s="1"/>
  <c r="R429" i="9"/>
  <c r="CI429" i="9" s="1"/>
  <c r="Y429" i="9"/>
  <c r="CP429" i="9" s="1"/>
  <c r="BO429" i="9"/>
  <c r="EF429" i="9" s="1"/>
  <c r="AT429" i="9"/>
  <c r="DK429" i="9" s="1"/>
  <c r="AN429" i="9"/>
  <c r="DE429" i="9" s="1"/>
  <c r="BM429" i="9"/>
  <c r="ED429" i="9" s="1"/>
  <c r="AQ429" i="9"/>
  <c r="DH429" i="9" s="1"/>
  <c r="R244" i="9"/>
  <c r="CI244" i="9" s="1"/>
  <c r="BI244" i="9"/>
  <c r="DZ244" i="9" s="1"/>
  <c r="AZ244" i="9"/>
  <c r="DQ244" i="9" s="1"/>
  <c r="AY244" i="9"/>
  <c r="DP244" i="9" s="1"/>
  <c r="BB244" i="9"/>
  <c r="DS244" i="9" s="1"/>
  <c r="P604" i="9"/>
  <c r="CG604" i="9" s="1"/>
  <c r="R558" i="9"/>
  <c r="CI558" i="9" s="1"/>
  <c r="BM632" i="9"/>
  <c r="ED632" i="9" s="1"/>
  <c r="BO632" i="9"/>
  <c r="EF632" i="9" s="1"/>
  <c r="BR632" i="9"/>
  <c r="EI632" i="9" s="1"/>
  <c r="BP632" i="9"/>
  <c r="EG632" i="9" s="1"/>
  <c r="AE632" i="9"/>
  <c r="CV632" i="9" s="1"/>
  <c r="AQ632" i="9"/>
  <c r="DH632" i="9" s="1"/>
  <c r="AH261" i="9"/>
  <c r="CY261" i="9" s="1"/>
  <c r="BJ392" i="9"/>
  <c r="EA392" i="9" s="1"/>
  <c r="AI651" i="9"/>
  <c r="CZ651" i="9" s="1"/>
  <c r="BJ651" i="9"/>
  <c r="EA651" i="9" s="1"/>
  <c r="AP651" i="9"/>
  <c r="DG651" i="9" s="1"/>
  <c r="X651" i="9"/>
  <c r="CO651" i="9" s="1"/>
  <c r="BK651" i="9"/>
  <c r="EB651" i="9" s="1"/>
  <c r="AY651" i="9"/>
  <c r="DP651" i="9" s="1"/>
  <c r="AP245" i="9"/>
  <c r="DG245" i="9" s="1"/>
  <c r="BA245" i="9"/>
  <c r="DR245" i="9" s="1"/>
  <c r="AZ245" i="9"/>
  <c r="DQ245" i="9" s="1"/>
  <c r="AJ245" i="9"/>
  <c r="DA245" i="9" s="1"/>
  <c r="AQ245" i="9"/>
  <c r="DH245" i="9" s="1"/>
  <c r="AD245" i="9"/>
  <c r="CU245" i="9" s="1"/>
  <c r="AY245" i="9"/>
  <c r="DP245" i="9" s="1"/>
  <c r="BK556" i="9"/>
  <c r="EB556" i="9" s="1"/>
  <c r="W556" i="9"/>
  <c r="CN556" i="9" s="1"/>
  <c r="AP556" i="9"/>
  <c r="DG556" i="9" s="1"/>
  <c r="BR556" i="9"/>
  <c r="EI556" i="9" s="1"/>
  <c r="BC556" i="9"/>
  <c r="DT556" i="9" s="1"/>
  <c r="AT556" i="9"/>
  <c r="DK556" i="9" s="1"/>
  <c r="S491" i="9"/>
  <c r="CJ491" i="9" s="1"/>
  <c r="BC491" i="9"/>
  <c r="DT491" i="9" s="1"/>
  <c r="BJ491" i="9"/>
  <c r="EA491" i="9" s="1"/>
  <c r="AQ491" i="9"/>
  <c r="DH491" i="9" s="1"/>
  <c r="BP491" i="9"/>
  <c r="EG491" i="9" s="1"/>
  <c r="AV491" i="9"/>
  <c r="DM491" i="9" s="1"/>
  <c r="AA491" i="9"/>
  <c r="CR491" i="9" s="1"/>
  <c r="BN491" i="9"/>
  <c r="EE491" i="9" s="1"/>
  <c r="P429" i="9"/>
  <c r="CG429" i="9" s="1"/>
  <c r="BL429" i="9"/>
  <c r="EC429" i="9" s="1"/>
  <c r="BG429" i="9"/>
  <c r="DX429" i="9" s="1"/>
  <c r="AL429" i="9"/>
  <c r="DC429" i="9" s="1"/>
  <c r="AW429" i="9"/>
  <c r="DN429" i="9" s="1"/>
  <c r="AA429" i="9"/>
  <c r="CR429" i="9" s="1"/>
  <c r="AZ429" i="9"/>
  <c r="DQ429" i="9" s="1"/>
  <c r="BQ429" i="9"/>
  <c r="EH429" i="9" s="1"/>
  <c r="AP244" i="9"/>
  <c r="DG244" i="9" s="1"/>
  <c r="AD244" i="9"/>
  <c r="CU244" i="9" s="1"/>
  <c r="AU244" i="9"/>
  <c r="DL244" i="9" s="1"/>
  <c r="AQ244" i="9"/>
  <c r="DH244" i="9" s="1"/>
  <c r="BA244" i="9"/>
  <c r="DR244" i="9" s="1"/>
  <c r="M604" i="9"/>
  <c r="CD604" i="9" s="1"/>
  <c r="R604" i="9"/>
  <c r="CI604" i="9" s="1"/>
  <c r="T558" i="9"/>
  <c r="CK558" i="9" s="1"/>
  <c r="Q558" i="9"/>
  <c r="CH558" i="9" s="1"/>
  <c r="BA632" i="9"/>
  <c r="DR632" i="9" s="1"/>
  <c r="BN632" i="9"/>
  <c r="EE632" i="9" s="1"/>
  <c r="BQ632" i="9"/>
  <c r="EH632" i="9" s="1"/>
  <c r="AB632" i="9"/>
  <c r="CS632" i="9" s="1"/>
  <c r="AC632" i="9"/>
  <c r="CT632" i="9" s="1"/>
  <c r="AR632" i="9"/>
  <c r="DI632" i="9" s="1"/>
  <c r="BR376" i="9"/>
  <c r="EI376" i="9" s="1"/>
  <c r="BH261" i="9"/>
  <c r="DY261" i="9" s="1"/>
  <c r="AV651" i="9"/>
  <c r="DM651" i="9" s="1"/>
  <c r="W651" i="9"/>
  <c r="CN651" i="9" s="1"/>
  <c r="AB651" i="9"/>
  <c r="CS651" i="9" s="1"/>
  <c r="AK651" i="9"/>
  <c r="DB651" i="9" s="1"/>
  <c r="AQ651" i="9"/>
  <c r="DH651" i="9" s="1"/>
  <c r="AC651" i="9"/>
  <c r="CT651" i="9" s="1"/>
  <c r="AL245" i="9"/>
  <c r="DC245" i="9" s="1"/>
  <c r="BM245" i="9"/>
  <c r="ED245" i="9" s="1"/>
  <c r="AF245" i="9"/>
  <c r="CW245" i="9" s="1"/>
  <c r="BH245" i="9"/>
  <c r="DY245" i="9" s="1"/>
  <c r="AR245" i="9"/>
  <c r="DI245" i="9" s="1"/>
  <c r="BE245" i="9"/>
  <c r="DV245" i="9" s="1"/>
  <c r="AV245" i="9"/>
  <c r="DM245" i="9" s="1"/>
  <c r="AC556" i="9"/>
  <c r="CT556" i="9" s="1"/>
  <c r="Z556" i="9"/>
  <c r="CQ556" i="9" s="1"/>
  <c r="AZ556" i="9"/>
  <c r="DQ556" i="9" s="1"/>
  <c r="BH556" i="9"/>
  <c r="DY556" i="9" s="1"/>
  <c r="AN556" i="9"/>
  <c r="DE556" i="9" s="1"/>
  <c r="BQ556" i="9"/>
  <c r="EH556" i="9" s="1"/>
  <c r="Q491" i="9"/>
  <c r="CH491" i="9" s="1"/>
  <c r="AC491" i="9"/>
  <c r="CT491" i="9" s="1"/>
  <c r="BM491" i="9"/>
  <c r="ED491" i="9" s="1"/>
  <c r="BH491" i="9"/>
  <c r="DY491" i="9" s="1"/>
  <c r="AX491" i="9"/>
  <c r="DO491" i="9" s="1"/>
  <c r="BE491" i="9"/>
  <c r="DV491" i="9" s="1"/>
  <c r="AM491" i="9"/>
  <c r="DD491" i="9" s="1"/>
  <c r="L429" i="9"/>
  <c r="CC429" i="9" s="1"/>
  <c r="AH429" i="9"/>
  <c r="CY429" i="9" s="1"/>
  <c r="U429" i="9"/>
  <c r="CL429" i="9" s="1"/>
  <c r="X429" i="9"/>
  <c r="CO429" i="9" s="1"/>
  <c r="BN429" i="9"/>
  <c r="EE429" i="9" s="1"/>
  <c r="AR429" i="9"/>
  <c r="DI429" i="9" s="1"/>
  <c r="BI429" i="9"/>
  <c r="DZ429" i="9" s="1"/>
  <c r="K244" i="9"/>
  <c r="CB244" i="9" s="1"/>
  <c r="AL244" i="9"/>
  <c r="DC244" i="9" s="1"/>
  <c r="AA244" i="9"/>
  <c r="CR244" i="9" s="1"/>
  <c r="BE244" i="9"/>
  <c r="DV244" i="9" s="1"/>
  <c r="AR244" i="9"/>
  <c r="DI244" i="9" s="1"/>
  <c r="AS244" i="9"/>
  <c r="DJ244" i="9" s="1"/>
  <c r="O558" i="9"/>
  <c r="CF558" i="9" s="1"/>
  <c r="M558" i="9"/>
  <c r="CD558" i="9" s="1"/>
  <c r="AS632" i="9"/>
  <c r="DJ632" i="9" s="1"/>
  <c r="U632" i="9"/>
  <c r="CL632" i="9" s="1"/>
  <c r="BD632" i="9"/>
  <c r="DU632" i="9" s="1"/>
  <c r="AG632" i="9"/>
  <c r="CX632" i="9" s="1"/>
  <c r="BF632" i="9"/>
  <c r="DW632" i="9" s="1"/>
  <c r="AA376" i="9"/>
  <c r="CR376" i="9" s="1"/>
  <c r="T261" i="9"/>
  <c r="CK261" i="9" s="1"/>
  <c r="BN261" i="9"/>
  <c r="EE261" i="9" s="1"/>
  <c r="K651" i="9"/>
  <c r="CB651" i="9" s="1"/>
  <c r="V651" i="9"/>
  <c r="CM651" i="9" s="1"/>
  <c r="BL651" i="9"/>
  <c r="EC651" i="9" s="1"/>
  <c r="AW651" i="9"/>
  <c r="DN651" i="9" s="1"/>
  <c r="BD651" i="9"/>
  <c r="DU651" i="9" s="1"/>
  <c r="AU651" i="9"/>
  <c r="DL651" i="9" s="1"/>
  <c r="AO245" i="9"/>
  <c r="DF245" i="9" s="1"/>
  <c r="AE245" i="9"/>
  <c r="CV245" i="9" s="1"/>
  <c r="BD245" i="9"/>
  <c r="DU245" i="9" s="1"/>
  <c r="X245" i="9"/>
  <c r="CO245" i="9" s="1"/>
  <c r="AT245" i="9"/>
  <c r="DK245" i="9" s="1"/>
  <c r="AV556" i="9"/>
  <c r="DM556" i="9" s="1"/>
  <c r="AI556" i="9"/>
  <c r="CZ556" i="9" s="1"/>
  <c r="AL556" i="9"/>
  <c r="DC556" i="9" s="1"/>
  <c r="AH556" i="9"/>
  <c r="CY556" i="9" s="1"/>
  <c r="AW556" i="9"/>
  <c r="DN556" i="9" s="1"/>
  <c r="M491" i="9"/>
  <c r="CD491" i="9" s="1"/>
  <c r="AD491" i="9"/>
  <c r="CU491" i="9" s="1"/>
  <c r="BL491" i="9"/>
  <c r="EC491" i="9" s="1"/>
  <c r="V491" i="9"/>
  <c r="CM491" i="9" s="1"/>
  <c r="BB491" i="9"/>
  <c r="DS491" i="9" s="1"/>
  <c r="AE491" i="9"/>
  <c r="CV491" i="9" s="1"/>
  <c r="Q429" i="9"/>
  <c r="CH429" i="9" s="1"/>
  <c r="AY429" i="9"/>
  <c r="DP429" i="9" s="1"/>
  <c r="AD429" i="9"/>
  <c r="CU429" i="9" s="1"/>
  <c r="AO429" i="9"/>
  <c r="DF429" i="9" s="1"/>
  <c r="AJ429" i="9"/>
  <c r="DA429" i="9" s="1"/>
  <c r="BA429" i="9"/>
  <c r="DR429" i="9" s="1"/>
  <c r="BR429" i="9"/>
  <c r="EI429" i="9" s="1"/>
  <c r="O244" i="9"/>
  <c r="CF244" i="9" s="1"/>
  <c r="AO244" i="9"/>
  <c r="DF244" i="9" s="1"/>
  <c r="AG244" i="9"/>
  <c r="CX244" i="9" s="1"/>
  <c r="Z244" i="9"/>
  <c r="CQ244" i="9" s="1"/>
  <c r="X244" i="9"/>
  <c r="CO244" i="9" s="1"/>
  <c r="BJ244" i="9"/>
  <c r="EA244" i="9" s="1"/>
  <c r="M361" i="9"/>
  <c r="CD361" i="9" s="1"/>
  <c r="P241" i="9"/>
  <c r="CG241" i="9" s="1"/>
  <c r="Q241" i="9"/>
  <c r="CH241" i="9" s="1"/>
  <c r="N241" i="9"/>
  <c r="CE241" i="9" s="1"/>
  <c r="L611" i="9"/>
  <c r="CC611" i="9" s="1"/>
  <c r="AM611" i="9"/>
  <c r="DD611" i="9" s="1"/>
  <c r="AY611" i="9"/>
  <c r="DP611" i="9" s="1"/>
  <c r="BD611" i="9"/>
  <c r="DU611" i="9" s="1"/>
  <c r="BO611" i="9"/>
  <c r="EF611" i="9" s="1"/>
  <c r="BH611" i="9"/>
  <c r="DY611" i="9" s="1"/>
  <c r="BC611" i="9"/>
  <c r="DT611" i="9" s="1"/>
  <c r="AF611" i="9"/>
  <c r="CW611" i="9" s="1"/>
  <c r="AC611" i="9"/>
  <c r="CT611" i="9" s="1"/>
  <c r="BA611" i="9"/>
  <c r="DR611" i="9" s="1"/>
  <c r="BN611" i="9"/>
  <c r="EE611" i="9" s="1"/>
  <c r="AT611" i="9"/>
  <c r="DK611" i="9" s="1"/>
  <c r="BG611" i="9"/>
  <c r="DX611" i="9" s="1"/>
  <c r="R611" i="9"/>
  <c r="CI611" i="9" s="1"/>
  <c r="AG611" i="9"/>
  <c r="CX611" i="9" s="1"/>
  <c r="AB611" i="9"/>
  <c r="CS611" i="9" s="1"/>
  <c r="BM611" i="9"/>
  <c r="ED611" i="9" s="1"/>
  <c r="BJ611" i="9"/>
  <c r="EA611" i="9" s="1"/>
  <c r="AO611" i="9"/>
  <c r="DF611" i="9" s="1"/>
  <c r="BK611" i="9"/>
  <c r="EB611" i="9" s="1"/>
  <c r="N611" i="9"/>
  <c r="CE611" i="9" s="1"/>
  <c r="BI611" i="9"/>
  <c r="DZ611" i="9" s="1"/>
  <c r="V611" i="9"/>
  <c r="CM611" i="9" s="1"/>
  <c r="BB611" i="9"/>
  <c r="DS611" i="9" s="1"/>
  <c r="AR611" i="9"/>
  <c r="DI611" i="9" s="1"/>
  <c r="AD611" i="9"/>
  <c r="CU611" i="9" s="1"/>
  <c r="BF611" i="9"/>
  <c r="DW611" i="9" s="1"/>
  <c r="O611" i="9"/>
  <c r="CF611" i="9" s="1"/>
  <c r="BQ611" i="9"/>
  <c r="EH611" i="9" s="1"/>
  <c r="AH611" i="9"/>
  <c r="CY611" i="9" s="1"/>
  <c r="AA611" i="9"/>
  <c r="CR611" i="9" s="1"/>
  <c r="BR611" i="9"/>
  <c r="EI611" i="9" s="1"/>
  <c r="AE611" i="9"/>
  <c r="CV611" i="9" s="1"/>
  <c r="U611" i="9"/>
  <c r="CL611" i="9" s="1"/>
  <c r="BL611" i="9"/>
  <c r="EC611" i="9" s="1"/>
  <c r="AJ611" i="9"/>
  <c r="DA611" i="9" s="1"/>
  <c r="AK611" i="9"/>
  <c r="DB611" i="9" s="1"/>
  <c r="AW611" i="9"/>
  <c r="DN611" i="9" s="1"/>
  <c r="Y611" i="9"/>
  <c r="CP611" i="9" s="1"/>
  <c r="AX611" i="9"/>
  <c r="DO611" i="9" s="1"/>
  <c r="AI611" i="9"/>
  <c r="CZ611" i="9" s="1"/>
  <c r="BE611" i="9"/>
  <c r="DV611" i="9" s="1"/>
  <c r="AL611" i="9"/>
  <c r="DC611" i="9" s="1"/>
  <c r="AS611" i="9"/>
  <c r="DJ611" i="9" s="1"/>
  <c r="AU611" i="9"/>
  <c r="DL611" i="9" s="1"/>
  <c r="Z611" i="9"/>
  <c r="CQ611" i="9" s="1"/>
  <c r="AN611" i="9"/>
  <c r="DE611" i="9" s="1"/>
  <c r="BP611" i="9"/>
  <c r="EG611" i="9" s="1"/>
  <c r="K253" i="9"/>
  <c r="CB253" i="9" s="1"/>
  <c r="P253" i="9"/>
  <c r="CG253" i="9" s="1"/>
  <c r="BU573" i="9"/>
  <c r="M426" i="6" s="1"/>
  <c r="K611" i="9"/>
  <c r="CB611" i="9" s="1"/>
  <c r="AP253" i="9"/>
  <c r="DG253" i="9" s="1"/>
  <c r="BM253" i="9"/>
  <c r="ED253" i="9" s="1"/>
  <c r="AN253" i="9"/>
  <c r="DE253" i="9" s="1"/>
  <c r="AR253" i="9"/>
  <c r="DI253" i="9" s="1"/>
  <c r="BA253" i="9"/>
  <c r="DR253" i="9" s="1"/>
  <c r="AV253" i="9"/>
  <c r="DM253" i="9" s="1"/>
  <c r="BJ613" i="9"/>
  <c r="EA613" i="9" s="1"/>
  <c r="AE613" i="9"/>
  <c r="CV613" i="9" s="1"/>
  <c r="AP613" i="9"/>
  <c r="DG613" i="9" s="1"/>
  <c r="AA280" i="9"/>
  <c r="CR280" i="9" s="1"/>
  <c r="S550" i="9"/>
  <c r="CJ550" i="9" s="1"/>
  <c r="P550" i="9"/>
  <c r="CG550" i="9" s="1"/>
  <c r="R550" i="9"/>
  <c r="CI550" i="9" s="1"/>
  <c r="M550" i="9"/>
  <c r="CD550" i="9" s="1"/>
  <c r="O550" i="9"/>
  <c r="CF550" i="9" s="1"/>
  <c r="L550" i="9"/>
  <c r="CC550" i="9" s="1"/>
  <c r="N550" i="9"/>
  <c r="CE550" i="9" s="1"/>
  <c r="Q550" i="9"/>
  <c r="CH550" i="9" s="1"/>
  <c r="K613" i="9"/>
  <c r="CB613" i="9" s="1"/>
  <c r="AC253" i="9"/>
  <c r="CT253" i="9" s="1"/>
  <c r="AK253" i="9"/>
  <c r="DB253" i="9" s="1"/>
  <c r="BC253" i="9"/>
  <c r="DT253" i="9" s="1"/>
  <c r="BG253" i="9"/>
  <c r="DX253" i="9" s="1"/>
  <c r="BJ253" i="9"/>
  <c r="EA253" i="9" s="1"/>
  <c r="AW253" i="9"/>
  <c r="DN253" i="9" s="1"/>
  <c r="BM613" i="9"/>
  <c r="ED613" i="9" s="1"/>
  <c r="AU613" i="9"/>
  <c r="DL613" i="9" s="1"/>
  <c r="AY613" i="9"/>
  <c r="DP613" i="9" s="1"/>
  <c r="AZ611" i="9"/>
  <c r="DQ611" i="9" s="1"/>
  <c r="AI486" i="9"/>
  <c r="CZ486" i="9" s="1"/>
  <c r="BG486" i="9"/>
  <c r="DX486" i="9" s="1"/>
  <c r="AM486" i="9"/>
  <c r="DD486" i="9" s="1"/>
  <c r="AX486" i="9"/>
  <c r="DO486" i="9" s="1"/>
  <c r="BH486" i="9"/>
  <c r="DY486" i="9" s="1"/>
  <c r="AH486" i="9"/>
  <c r="CY486" i="9" s="1"/>
  <c r="AB486" i="9"/>
  <c r="CS486" i="9" s="1"/>
  <c r="BL486" i="9"/>
  <c r="EC486" i="9" s="1"/>
  <c r="BE486" i="9"/>
  <c r="DV486" i="9" s="1"/>
  <c r="AR486" i="9"/>
  <c r="DI486" i="9" s="1"/>
  <c r="AZ486" i="9"/>
  <c r="DQ486" i="9" s="1"/>
  <c r="Y486" i="9"/>
  <c r="CP486" i="9" s="1"/>
  <c r="AO486" i="9"/>
  <c r="DF486" i="9" s="1"/>
  <c r="BP486" i="9"/>
  <c r="EG486" i="9" s="1"/>
  <c r="AY486" i="9"/>
  <c r="DP486" i="9" s="1"/>
  <c r="AC486" i="9"/>
  <c r="CT486" i="9" s="1"/>
  <c r="BD486" i="9"/>
  <c r="DU486" i="9" s="1"/>
  <c r="W486" i="9"/>
  <c r="CN486" i="9" s="1"/>
  <c r="BF486" i="9"/>
  <c r="DW486" i="9" s="1"/>
  <c r="AV486" i="9"/>
  <c r="DM486" i="9" s="1"/>
  <c r="AN486" i="9"/>
  <c r="DE486" i="9" s="1"/>
  <c r="AK486" i="9"/>
  <c r="DB486" i="9" s="1"/>
  <c r="BR486" i="9"/>
  <c r="EI486" i="9" s="1"/>
  <c r="BC486" i="9"/>
  <c r="DT486" i="9" s="1"/>
  <c r="BI486" i="9"/>
  <c r="DZ486" i="9" s="1"/>
  <c r="AU486" i="9"/>
  <c r="DL486" i="9" s="1"/>
  <c r="BK486" i="9"/>
  <c r="EB486" i="9" s="1"/>
  <c r="AJ486" i="9"/>
  <c r="DA486" i="9" s="1"/>
  <c r="BQ486" i="9"/>
  <c r="EH486" i="9" s="1"/>
  <c r="AP486" i="9"/>
  <c r="DG486" i="9" s="1"/>
  <c r="AS486" i="9"/>
  <c r="DJ486" i="9" s="1"/>
  <c r="AT486" i="9"/>
  <c r="DK486" i="9" s="1"/>
  <c r="AG486" i="9"/>
  <c r="CX486" i="9" s="1"/>
  <c r="BJ486" i="9"/>
  <c r="EA486" i="9" s="1"/>
  <c r="AE486" i="9"/>
  <c r="CV486" i="9" s="1"/>
  <c r="AQ486" i="9"/>
  <c r="DH486" i="9" s="1"/>
  <c r="BO486" i="9"/>
  <c r="EF486" i="9" s="1"/>
  <c r="BM486" i="9"/>
  <c r="ED486" i="9" s="1"/>
  <c r="AW486" i="9"/>
  <c r="DN486" i="9" s="1"/>
  <c r="BB486" i="9"/>
  <c r="DS486" i="9" s="1"/>
  <c r="Z486" i="9"/>
  <c r="CQ486" i="9" s="1"/>
  <c r="AL486" i="9"/>
  <c r="DC486" i="9" s="1"/>
  <c r="AA486" i="9"/>
  <c r="CR486" i="9" s="1"/>
  <c r="V385" i="9"/>
  <c r="CM385" i="9" s="1"/>
  <c r="AK385" i="9"/>
  <c r="DB385" i="9" s="1"/>
  <c r="BR385" i="9"/>
  <c r="EI385" i="9" s="1"/>
  <c r="AX385" i="9"/>
  <c r="DO385" i="9" s="1"/>
  <c r="AP385" i="9"/>
  <c r="DG385" i="9" s="1"/>
  <c r="BO385" i="9"/>
  <c r="EF385" i="9" s="1"/>
  <c r="AE385" i="9"/>
  <c r="CV385" i="9" s="1"/>
  <c r="AI385" i="9"/>
  <c r="CZ385" i="9" s="1"/>
  <c r="AV385" i="9"/>
  <c r="DM385" i="9" s="1"/>
  <c r="AU385" i="9"/>
  <c r="DL385" i="9" s="1"/>
  <c r="AN385" i="9"/>
  <c r="DE385" i="9" s="1"/>
  <c r="BJ385" i="9"/>
  <c r="EA385" i="9" s="1"/>
  <c r="AL385" i="9"/>
  <c r="DC385" i="9" s="1"/>
  <c r="X385" i="9"/>
  <c r="CO385" i="9" s="1"/>
  <c r="BI385" i="9"/>
  <c r="DZ385" i="9" s="1"/>
  <c r="Y385" i="9"/>
  <c r="CP385" i="9" s="1"/>
  <c r="AD385" i="9"/>
  <c r="CU385" i="9" s="1"/>
  <c r="AB385" i="9"/>
  <c r="CS385" i="9" s="1"/>
  <c r="W385" i="9"/>
  <c r="CN385" i="9" s="1"/>
  <c r="BE385" i="9"/>
  <c r="DV385" i="9" s="1"/>
  <c r="AG385" i="9"/>
  <c r="CX385" i="9" s="1"/>
  <c r="BP385" i="9"/>
  <c r="EG385" i="9" s="1"/>
  <c r="BN385" i="9"/>
  <c r="EE385" i="9" s="1"/>
  <c r="AC385" i="9"/>
  <c r="CT385" i="9" s="1"/>
  <c r="BA385" i="9"/>
  <c r="DR385" i="9" s="1"/>
  <c r="BL385" i="9"/>
  <c r="EC385" i="9" s="1"/>
  <c r="BQ385" i="9"/>
  <c r="EH385" i="9" s="1"/>
  <c r="BF385" i="9"/>
  <c r="DW385" i="9" s="1"/>
  <c r="AA385" i="9"/>
  <c r="CR385" i="9" s="1"/>
  <c r="BD385" i="9"/>
  <c r="DU385" i="9" s="1"/>
  <c r="AT385" i="9"/>
  <c r="DK385" i="9" s="1"/>
  <c r="AM385" i="9"/>
  <c r="DD385" i="9" s="1"/>
  <c r="AQ385" i="9"/>
  <c r="DH385" i="9" s="1"/>
  <c r="BC385" i="9"/>
  <c r="DT385" i="9" s="1"/>
  <c r="BH385" i="9"/>
  <c r="DY385" i="9" s="1"/>
  <c r="BB385" i="9"/>
  <c r="DS385" i="9" s="1"/>
  <c r="AZ385" i="9"/>
  <c r="DQ385" i="9" s="1"/>
  <c r="AW385" i="9"/>
  <c r="DN385" i="9" s="1"/>
  <c r="AF385" i="9"/>
  <c r="CW385" i="9" s="1"/>
  <c r="AS385" i="9"/>
  <c r="DJ385" i="9" s="1"/>
  <c r="AJ385" i="9"/>
  <c r="DA385" i="9" s="1"/>
  <c r="AY385" i="9"/>
  <c r="DP385" i="9" s="1"/>
  <c r="AH385" i="9"/>
  <c r="CY385" i="9" s="1"/>
  <c r="U385" i="9"/>
  <c r="CL385" i="9" s="1"/>
  <c r="BE253" i="9"/>
  <c r="DV253" i="9" s="1"/>
  <c r="BH253" i="9"/>
  <c r="DY253" i="9" s="1"/>
  <c r="AJ253" i="9"/>
  <c r="DA253" i="9" s="1"/>
  <c r="AM253" i="9"/>
  <c r="DD253" i="9" s="1"/>
  <c r="AH253" i="9"/>
  <c r="CY253" i="9" s="1"/>
  <c r="BN253" i="9"/>
  <c r="EE253" i="9" s="1"/>
  <c r="BN613" i="9"/>
  <c r="EE613" i="9" s="1"/>
  <c r="BR613" i="9"/>
  <c r="EI613" i="9" s="1"/>
  <c r="AF613" i="9"/>
  <c r="CW613" i="9" s="1"/>
  <c r="W611" i="9"/>
  <c r="CN611" i="9" s="1"/>
  <c r="T550" i="9"/>
  <c r="CK550" i="9" s="1"/>
  <c r="K593" i="9"/>
  <c r="G657" i="11" s="1"/>
  <c r="R353" i="9"/>
  <c r="N647" i="11" s="1"/>
  <c r="U253" i="9"/>
  <c r="CL253" i="9" s="1"/>
  <c r="AF253" i="9"/>
  <c r="CW253" i="9" s="1"/>
  <c r="AY253" i="9"/>
  <c r="DP253" i="9" s="1"/>
  <c r="BB253" i="9"/>
  <c r="DS253" i="9" s="1"/>
  <c r="AQ253" i="9"/>
  <c r="DH253" i="9" s="1"/>
  <c r="AD253" i="9"/>
  <c r="CU253" i="9" s="1"/>
  <c r="BA613" i="9"/>
  <c r="DR613" i="9" s="1"/>
  <c r="BC613" i="9"/>
  <c r="DT613" i="9" s="1"/>
  <c r="AO613" i="9"/>
  <c r="DF613" i="9" s="1"/>
  <c r="AH613" i="9"/>
  <c r="CY613" i="9" s="1"/>
  <c r="X611" i="9"/>
  <c r="CO611" i="9" s="1"/>
  <c r="S371" i="9"/>
  <c r="CJ371" i="9" s="1"/>
  <c r="BL371" i="9"/>
  <c r="EC371" i="9" s="1"/>
  <c r="AR371" i="9"/>
  <c r="DI371" i="9" s="1"/>
  <c r="W371" i="9"/>
  <c r="CN371" i="9" s="1"/>
  <c r="BM371" i="9"/>
  <c r="ED371" i="9" s="1"/>
  <c r="AW371" i="9"/>
  <c r="DN371" i="9" s="1"/>
  <c r="AU371" i="9"/>
  <c r="DL371" i="9" s="1"/>
  <c r="R371" i="9"/>
  <c r="CI371" i="9" s="1"/>
  <c r="BH371" i="9"/>
  <c r="DY371" i="9" s="1"/>
  <c r="U371" i="9"/>
  <c r="CL371" i="9" s="1"/>
  <c r="BR371" i="9"/>
  <c r="EI371" i="9" s="1"/>
  <c r="AH371" i="9"/>
  <c r="CY371" i="9" s="1"/>
  <c r="AT371" i="9"/>
  <c r="DK371" i="9" s="1"/>
  <c r="V371" i="9"/>
  <c r="CM371" i="9" s="1"/>
  <c r="T371" i="9"/>
  <c r="CK371" i="9" s="1"/>
  <c r="AC371" i="9"/>
  <c r="CT371" i="9" s="1"/>
  <c r="AB371" i="9"/>
  <c r="CS371" i="9" s="1"/>
  <c r="AO371" i="9"/>
  <c r="DF371" i="9" s="1"/>
  <c r="BC371" i="9"/>
  <c r="DT371" i="9" s="1"/>
  <c r="AS371" i="9"/>
  <c r="DJ371" i="9" s="1"/>
  <c r="AD371" i="9"/>
  <c r="CU371" i="9" s="1"/>
  <c r="BN371" i="9"/>
  <c r="EE371" i="9" s="1"/>
  <c r="AL371" i="9"/>
  <c r="DC371" i="9" s="1"/>
  <c r="BQ371" i="9"/>
  <c r="EH371" i="9" s="1"/>
  <c r="AE371" i="9"/>
  <c r="CV371" i="9" s="1"/>
  <c r="Y371" i="9"/>
  <c r="CP371" i="9" s="1"/>
  <c r="AX371" i="9"/>
  <c r="DO371" i="9" s="1"/>
  <c r="AA371" i="9"/>
  <c r="CR371" i="9" s="1"/>
  <c r="BD371" i="9"/>
  <c r="DU371" i="9" s="1"/>
  <c r="BO371" i="9"/>
  <c r="EF371" i="9" s="1"/>
  <c r="AY371" i="9"/>
  <c r="DP371" i="9" s="1"/>
  <c r="BG371" i="9"/>
  <c r="DX371" i="9" s="1"/>
  <c r="BJ371" i="9"/>
  <c r="EA371" i="9" s="1"/>
  <c r="AN371" i="9"/>
  <c r="DE371" i="9" s="1"/>
  <c r="AK371" i="9"/>
  <c r="DB371" i="9" s="1"/>
  <c r="AJ371" i="9"/>
  <c r="DA371" i="9" s="1"/>
  <c r="AP371" i="9"/>
  <c r="DG371" i="9" s="1"/>
  <c r="AZ371" i="9"/>
  <c r="DQ371" i="9" s="1"/>
  <c r="BE371" i="9"/>
  <c r="DV371" i="9" s="1"/>
  <c r="AQ371" i="9"/>
  <c r="DH371" i="9" s="1"/>
  <c r="BP371" i="9"/>
  <c r="EG371" i="9" s="1"/>
  <c r="Q371" i="9"/>
  <c r="CH371" i="9" s="1"/>
  <c r="AI371" i="9"/>
  <c r="CZ371" i="9" s="1"/>
  <c r="BB371" i="9"/>
  <c r="DS371" i="9" s="1"/>
  <c r="BK371" i="9"/>
  <c r="EB371" i="9" s="1"/>
  <c r="AM371" i="9"/>
  <c r="DD371" i="9" s="1"/>
  <c r="AF371" i="9"/>
  <c r="CW371" i="9" s="1"/>
  <c r="Z371" i="9"/>
  <c r="CQ371" i="9" s="1"/>
  <c r="O280" i="9"/>
  <c r="CF280" i="9" s="1"/>
  <c r="S280" i="9"/>
  <c r="CJ280" i="9" s="1"/>
  <c r="AD280" i="9"/>
  <c r="CU280" i="9" s="1"/>
  <c r="AG280" i="9"/>
  <c r="CX280" i="9" s="1"/>
  <c r="AJ280" i="9"/>
  <c r="DA280" i="9" s="1"/>
  <c r="BJ280" i="9"/>
  <c r="EA280" i="9" s="1"/>
  <c r="AQ280" i="9"/>
  <c r="DH280" i="9" s="1"/>
  <c r="AV280" i="9"/>
  <c r="DM280" i="9" s="1"/>
  <c r="P280" i="9"/>
  <c r="CG280" i="9" s="1"/>
  <c r="BG280" i="9"/>
  <c r="DX280" i="9" s="1"/>
  <c r="AC280" i="9"/>
  <c r="CT280" i="9" s="1"/>
  <c r="AX280" i="9"/>
  <c r="DO280" i="9" s="1"/>
  <c r="AH280" i="9"/>
  <c r="CY280" i="9" s="1"/>
  <c r="BC280" i="9"/>
  <c r="DT280" i="9" s="1"/>
  <c r="BE280" i="9"/>
  <c r="DV280" i="9" s="1"/>
  <c r="N280" i="9"/>
  <c r="CE280" i="9" s="1"/>
  <c r="BM280" i="9"/>
  <c r="ED280" i="9" s="1"/>
  <c r="BN280" i="9"/>
  <c r="EE280" i="9" s="1"/>
  <c r="AF280" i="9"/>
  <c r="CW280" i="9" s="1"/>
  <c r="BK280" i="9"/>
  <c r="EB280" i="9" s="1"/>
  <c r="BQ280" i="9"/>
  <c r="EH280" i="9" s="1"/>
  <c r="U280" i="9"/>
  <c r="CL280" i="9" s="1"/>
  <c r="M280" i="9"/>
  <c r="CD280" i="9" s="1"/>
  <c r="V280" i="9"/>
  <c r="CM280" i="9" s="1"/>
  <c r="Y280" i="9"/>
  <c r="CP280" i="9" s="1"/>
  <c r="W280" i="9"/>
  <c r="CN280" i="9" s="1"/>
  <c r="AU280" i="9"/>
  <c r="DL280" i="9" s="1"/>
  <c r="BH280" i="9"/>
  <c r="DY280" i="9" s="1"/>
  <c r="AO280" i="9"/>
  <c r="DF280" i="9" s="1"/>
  <c r="T280" i="9"/>
  <c r="CK280" i="9" s="1"/>
  <c r="R280" i="9"/>
  <c r="CI280" i="9" s="1"/>
  <c r="AY280" i="9"/>
  <c r="DP280" i="9" s="1"/>
  <c r="AR280" i="9"/>
  <c r="DI280" i="9" s="1"/>
  <c r="AB280" i="9"/>
  <c r="CS280" i="9" s="1"/>
  <c r="BP280" i="9"/>
  <c r="EG280" i="9" s="1"/>
  <c r="BA280" i="9"/>
  <c r="DR280" i="9" s="1"/>
  <c r="AT280" i="9"/>
  <c r="DK280" i="9" s="1"/>
  <c r="K280" i="9"/>
  <c r="CB280" i="9" s="1"/>
  <c r="AL280" i="9"/>
  <c r="DC280" i="9" s="1"/>
  <c r="AW280" i="9"/>
  <c r="DN280" i="9" s="1"/>
  <c r="BF280" i="9"/>
  <c r="DW280" i="9" s="1"/>
  <c r="AP280" i="9"/>
  <c r="DG280" i="9" s="1"/>
  <c r="AI280" i="9"/>
  <c r="CZ280" i="9" s="1"/>
  <c r="AM280" i="9"/>
  <c r="DD280" i="9" s="1"/>
  <c r="BL280" i="9"/>
  <c r="EC280" i="9" s="1"/>
  <c r="BO280" i="9"/>
  <c r="EF280" i="9" s="1"/>
  <c r="AK280" i="9"/>
  <c r="DB280" i="9" s="1"/>
  <c r="AN280" i="9"/>
  <c r="DE280" i="9" s="1"/>
  <c r="X280" i="9"/>
  <c r="CO280" i="9" s="1"/>
  <c r="AZ280" i="9"/>
  <c r="DQ280" i="9" s="1"/>
  <c r="AS280" i="9"/>
  <c r="DJ280" i="9" s="1"/>
  <c r="BR280" i="9"/>
  <c r="EI280" i="9" s="1"/>
  <c r="AZ253" i="9"/>
  <c r="DQ253" i="9" s="1"/>
  <c r="AU253" i="9"/>
  <c r="DL253" i="9" s="1"/>
  <c r="AE253" i="9"/>
  <c r="CV253" i="9" s="1"/>
  <c r="Z253" i="9"/>
  <c r="CQ253" i="9" s="1"/>
  <c r="BF253" i="9"/>
  <c r="DW253" i="9" s="1"/>
  <c r="BQ253" i="9"/>
  <c r="EH253" i="9" s="1"/>
  <c r="BL613" i="9"/>
  <c r="EC613" i="9" s="1"/>
  <c r="AW613" i="9"/>
  <c r="DN613" i="9" s="1"/>
  <c r="Z613" i="9"/>
  <c r="CQ613" i="9" s="1"/>
  <c r="BB280" i="9"/>
  <c r="DS280" i="9" s="1"/>
  <c r="AV611" i="9"/>
  <c r="DM611" i="9" s="1"/>
  <c r="Q613" i="9"/>
  <c r="CH613" i="9" s="1"/>
  <c r="AC613" i="9"/>
  <c r="CT613" i="9" s="1"/>
  <c r="AM613" i="9"/>
  <c r="DD613" i="9" s="1"/>
  <c r="BB613" i="9"/>
  <c r="DS613" i="9" s="1"/>
  <c r="BH613" i="9"/>
  <c r="DY613" i="9" s="1"/>
  <c r="BD613" i="9"/>
  <c r="DU613" i="9" s="1"/>
  <c r="BG613" i="9"/>
  <c r="DX613" i="9" s="1"/>
  <c r="N613" i="9"/>
  <c r="CE613" i="9" s="1"/>
  <c r="AL613" i="9"/>
  <c r="DC613" i="9" s="1"/>
  <c r="AK613" i="9"/>
  <c r="DB613" i="9" s="1"/>
  <c r="BO613" i="9"/>
  <c r="EF613" i="9" s="1"/>
  <c r="AN613" i="9"/>
  <c r="DE613" i="9" s="1"/>
  <c r="AT613" i="9"/>
  <c r="DK613" i="9" s="1"/>
  <c r="AV613" i="9"/>
  <c r="DM613" i="9" s="1"/>
  <c r="T613" i="9"/>
  <c r="CK613" i="9" s="1"/>
  <c r="R613" i="9"/>
  <c r="CI613" i="9" s="1"/>
  <c r="V613" i="9"/>
  <c r="CM613" i="9" s="1"/>
  <c r="BI613" i="9"/>
  <c r="DZ613" i="9" s="1"/>
  <c r="AD613" i="9"/>
  <c r="CU613" i="9" s="1"/>
  <c r="BP613" i="9"/>
  <c r="EG613" i="9" s="1"/>
  <c r="U613" i="9"/>
  <c r="CL613" i="9" s="1"/>
  <c r="O613" i="9"/>
  <c r="CF613" i="9" s="1"/>
  <c r="S613" i="9"/>
  <c r="CJ613" i="9" s="1"/>
  <c r="L613" i="9"/>
  <c r="CC613" i="9" s="1"/>
  <c r="BQ613" i="9"/>
  <c r="EH613" i="9" s="1"/>
  <c r="AQ613" i="9"/>
  <c r="DH613" i="9" s="1"/>
  <c r="AB613" i="9"/>
  <c r="CS613" i="9" s="1"/>
  <c r="AZ613" i="9"/>
  <c r="DQ613" i="9" s="1"/>
  <c r="BE613" i="9"/>
  <c r="DV613" i="9" s="1"/>
  <c r="X613" i="9"/>
  <c r="CO613" i="9" s="1"/>
  <c r="Y613" i="9"/>
  <c r="CP613" i="9" s="1"/>
  <c r="BT351" i="9"/>
  <c r="L224" i="6" s="1"/>
  <c r="W253" i="9"/>
  <c r="CN253" i="9" s="1"/>
  <c r="X253" i="9"/>
  <c r="CO253" i="9" s="1"/>
  <c r="AB253" i="9"/>
  <c r="CS253" i="9" s="1"/>
  <c r="AT253" i="9"/>
  <c r="DK253" i="9" s="1"/>
  <c r="AI253" i="9"/>
  <c r="CZ253" i="9" s="1"/>
  <c r="V253" i="9"/>
  <c r="CM253" i="9" s="1"/>
  <c r="Y253" i="9"/>
  <c r="CP253" i="9" s="1"/>
  <c r="AR613" i="9"/>
  <c r="DI613" i="9" s="1"/>
  <c r="AX613" i="9"/>
  <c r="DO613" i="9" s="1"/>
  <c r="AJ613" i="9"/>
  <c r="DA613" i="9" s="1"/>
  <c r="BI280" i="9"/>
  <c r="DZ280" i="9" s="1"/>
  <c r="AQ611" i="9"/>
  <c r="DH611" i="9" s="1"/>
  <c r="P648" i="9"/>
  <c r="CG648" i="9" s="1"/>
  <c r="K648" i="9"/>
  <c r="CB648" i="9" s="1"/>
  <c r="AY478" i="9"/>
  <c r="DP478" i="9" s="1"/>
  <c r="BI478" i="9"/>
  <c r="DZ478" i="9" s="1"/>
  <c r="AQ478" i="9"/>
  <c r="DH478" i="9" s="1"/>
  <c r="AU478" i="9"/>
  <c r="AC478" i="9"/>
  <c r="CT478" i="9" s="1"/>
  <c r="BO478" i="9"/>
  <c r="EF478" i="9" s="1"/>
  <c r="AL478" i="9"/>
  <c r="DC478" i="9" s="1"/>
  <c r="BA478" i="9"/>
  <c r="DR478" i="9" s="1"/>
  <c r="AE478" i="9"/>
  <c r="CV478" i="9" s="1"/>
  <c r="AD478" i="9"/>
  <c r="CU478" i="9" s="1"/>
  <c r="AF478" i="9"/>
  <c r="CW478" i="9" s="1"/>
  <c r="BL478" i="9"/>
  <c r="EC478" i="9" s="1"/>
  <c r="AK478" i="9"/>
  <c r="DB478" i="9" s="1"/>
  <c r="AI478" i="9"/>
  <c r="CZ478" i="9" s="1"/>
  <c r="X478" i="9"/>
  <c r="CO478" i="9" s="1"/>
  <c r="BM478" i="9"/>
  <c r="ED478" i="9" s="1"/>
  <c r="AS478" i="9"/>
  <c r="DJ478" i="9" s="1"/>
  <c r="BB478" i="9"/>
  <c r="DS478" i="9" s="1"/>
  <c r="BD478" i="9"/>
  <c r="DU478" i="9" s="1"/>
  <c r="BJ478" i="9"/>
  <c r="EA478" i="9" s="1"/>
  <c r="AG478" i="9"/>
  <c r="CX478" i="9" s="1"/>
  <c r="AN478" i="9"/>
  <c r="DE478" i="9" s="1"/>
  <c r="BE478" i="9"/>
  <c r="DV478" i="9" s="1"/>
  <c r="Z478" i="9"/>
  <c r="CQ478" i="9" s="1"/>
  <c r="AX478" i="9"/>
  <c r="DO478" i="9" s="1"/>
  <c r="AH478" i="9"/>
  <c r="CY478" i="9" s="1"/>
  <c r="T478" i="9"/>
  <c r="CK478" i="9" s="1"/>
  <c r="V478" i="9"/>
  <c r="CM478" i="9" s="1"/>
  <c r="BP478" i="9"/>
  <c r="EG478" i="9" s="1"/>
  <c r="AB478" i="9"/>
  <c r="CS478" i="9" s="1"/>
  <c r="AT478" i="9"/>
  <c r="DK478" i="9" s="1"/>
  <c r="AV478" i="9"/>
  <c r="DM478" i="9" s="1"/>
  <c r="BH478" i="9"/>
  <c r="DY478" i="9" s="1"/>
  <c r="N478" i="9"/>
  <c r="CE478" i="9" s="1"/>
  <c r="AW478" i="9"/>
  <c r="DN478" i="9" s="1"/>
  <c r="Y478" i="9"/>
  <c r="CP478" i="9" s="1"/>
  <c r="BC478" i="9"/>
  <c r="DT478" i="9" s="1"/>
  <c r="BQ478" i="9"/>
  <c r="EH478" i="9" s="1"/>
  <c r="AJ478" i="9"/>
  <c r="DA478" i="9" s="1"/>
  <c r="AR478" i="9"/>
  <c r="DI478" i="9" s="1"/>
  <c r="U478" i="9"/>
  <c r="CL478" i="9" s="1"/>
  <c r="W478" i="9"/>
  <c r="CN478" i="9" s="1"/>
  <c r="AM478" i="9"/>
  <c r="DD478" i="9" s="1"/>
  <c r="BR478" i="9"/>
  <c r="EI478" i="9" s="1"/>
  <c r="BK478" i="9"/>
  <c r="EB478" i="9" s="1"/>
  <c r="BN478" i="9"/>
  <c r="EE478" i="9" s="1"/>
  <c r="O478" i="9"/>
  <c r="CF478" i="9" s="1"/>
  <c r="BP242" i="9"/>
  <c r="EG242" i="9" s="1"/>
  <c r="Y242" i="9"/>
  <c r="CP242" i="9" s="1"/>
  <c r="X242" i="9"/>
  <c r="CO242" i="9" s="1"/>
  <c r="AS242" i="9"/>
  <c r="DJ242" i="9" s="1"/>
  <c r="AT242" i="9"/>
  <c r="DK242" i="9" s="1"/>
  <c r="BE242" i="9"/>
  <c r="DV242" i="9" s="1"/>
  <c r="AX640" i="9"/>
  <c r="DO640" i="9" s="1"/>
  <c r="AQ640" i="9"/>
  <c r="DH640" i="9" s="1"/>
  <c r="AN640" i="9"/>
  <c r="DE640" i="9" s="1"/>
  <c r="AU640" i="9"/>
  <c r="DL640" i="9" s="1"/>
  <c r="AV640" i="9"/>
  <c r="DM640" i="9" s="1"/>
  <c r="BI640" i="9"/>
  <c r="DZ640" i="9" s="1"/>
  <c r="O640" i="9"/>
  <c r="CF640" i="9" s="1"/>
  <c r="AZ640" i="9"/>
  <c r="DQ640" i="9" s="1"/>
  <c r="AK640" i="9"/>
  <c r="DB640" i="9" s="1"/>
  <c r="AA640" i="9"/>
  <c r="CR640" i="9" s="1"/>
  <c r="BQ640" i="9"/>
  <c r="EH640" i="9" s="1"/>
  <c r="BC640" i="9"/>
  <c r="DT640" i="9" s="1"/>
  <c r="BM640" i="9"/>
  <c r="ED640" i="9" s="1"/>
  <c r="P640" i="9"/>
  <c r="CG640" i="9" s="1"/>
  <c r="BF640" i="9"/>
  <c r="DW640" i="9" s="1"/>
  <c r="AJ640" i="9"/>
  <c r="DA640" i="9" s="1"/>
  <c r="AM640" i="9"/>
  <c r="DD640" i="9" s="1"/>
  <c r="BO640" i="9"/>
  <c r="EF640" i="9" s="1"/>
  <c r="BK640" i="9"/>
  <c r="EB640" i="9" s="1"/>
  <c r="BN640" i="9"/>
  <c r="EE640" i="9" s="1"/>
  <c r="Q640" i="9"/>
  <c r="CH640" i="9" s="1"/>
  <c r="Z640" i="9"/>
  <c r="CQ640" i="9" s="1"/>
  <c r="W640" i="9"/>
  <c r="CN640" i="9" s="1"/>
  <c r="AY640" i="9"/>
  <c r="DP640" i="9" s="1"/>
  <c r="U640" i="9"/>
  <c r="CL640" i="9" s="1"/>
  <c r="BD640" i="9"/>
  <c r="DU640" i="9" s="1"/>
  <c r="AI640" i="9"/>
  <c r="CZ640" i="9" s="1"/>
  <c r="T640" i="9"/>
  <c r="CK640" i="9" s="1"/>
  <c r="BP640" i="9"/>
  <c r="EG640" i="9" s="1"/>
  <c r="AR640" i="9"/>
  <c r="DI640" i="9" s="1"/>
  <c r="AC640" i="9"/>
  <c r="CT640" i="9" s="1"/>
  <c r="AW640" i="9"/>
  <c r="DN640" i="9" s="1"/>
  <c r="X640" i="9"/>
  <c r="CO640" i="9" s="1"/>
  <c r="BG640" i="9"/>
  <c r="DX640" i="9" s="1"/>
  <c r="BJ640" i="9"/>
  <c r="EA640" i="9" s="1"/>
  <c r="L640" i="9"/>
  <c r="CC640" i="9" s="1"/>
  <c r="AL640" i="9"/>
  <c r="DC640" i="9" s="1"/>
  <c r="AG640" i="9"/>
  <c r="CX640" i="9" s="1"/>
  <c r="AF640" i="9"/>
  <c r="CW640" i="9" s="1"/>
  <c r="BA640" i="9"/>
  <c r="DR640" i="9" s="1"/>
  <c r="AD640" i="9"/>
  <c r="CU640" i="9" s="1"/>
  <c r="BR640" i="9"/>
  <c r="EI640" i="9" s="1"/>
  <c r="AS640" i="9"/>
  <c r="DJ640" i="9" s="1"/>
  <c r="R640" i="9"/>
  <c r="CI640" i="9" s="1"/>
  <c r="S640" i="9"/>
  <c r="CJ640" i="9" s="1"/>
  <c r="AB640" i="9"/>
  <c r="CS640" i="9" s="1"/>
  <c r="AH640" i="9"/>
  <c r="CY640" i="9" s="1"/>
  <c r="AE640" i="9"/>
  <c r="CV640" i="9" s="1"/>
  <c r="BE640" i="9"/>
  <c r="DV640" i="9" s="1"/>
  <c r="BB640" i="9"/>
  <c r="DS640" i="9" s="1"/>
  <c r="BL640" i="9"/>
  <c r="EC640" i="9" s="1"/>
  <c r="M640" i="9"/>
  <c r="CD640" i="9" s="1"/>
  <c r="K640" i="9"/>
  <c r="CB640" i="9" s="1"/>
  <c r="AF639" i="9"/>
  <c r="CW639" i="9" s="1"/>
  <c r="AO639" i="9"/>
  <c r="DF639" i="9" s="1"/>
  <c r="AK639" i="9"/>
  <c r="DB639" i="9" s="1"/>
  <c r="X639" i="9"/>
  <c r="CO639" i="9" s="1"/>
  <c r="BD639" i="9"/>
  <c r="DU639" i="9" s="1"/>
  <c r="BB639" i="9"/>
  <c r="DS639" i="9" s="1"/>
  <c r="P639" i="9"/>
  <c r="CG639" i="9" s="1"/>
  <c r="BH639" i="9"/>
  <c r="DY639" i="9" s="1"/>
  <c r="AN639" i="9"/>
  <c r="DE639" i="9" s="1"/>
  <c r="W639" i="9"/>
  <c r="CN639" i="9" s="1"/>
  <c r="AS639" i="9"/>
  <c r="DJ639" i="9" s="1"/>
  <c r="BQ639" i="9"/>
  <c r="EH639" i="9" s="1"/>
  <c r="BI639" i="9"/>
  <c r="DZ639" i="9" s="1"/>
  <c r="L639" i="9"/>
  <c r="CC639" i="9" s="1"/>
  <c r="AJ639" i="9"/>
  <c r="DA639" i="9" s="1"/>
  <c r="AX639" i="9"/>
  <c r="DO639" i="9" s="1"/>
  <c r="AA639" i="9"/>
  <c r="CR639" i="9" s="1"/>
  <c r="BC639" i="9"/>
  <c r="DT639" i="9" s="1"/>
  <c r="BL639" i="9"/>
  <c r="EC639" i="9" s="1"/>
  <c r="Y639" i="9"/>
  <c r="CP639" i="9" s="1"/>
  <c r="R639" i="9"/>
  <c r="CI639" i="9" s="1"/>
  <c r="AP639" i="9"/>
  <c r="DG639" i="9" s="1"/>
  <c r="AG639" i="9"/>
  <c r="CX639" i="9" s="1"/>
  <c r="AC639" i="9"/>
  <c r="CT639" i="9" s="1"/>
  <c r="BM639" i="9"/>
  <c r="ED639" i="9" s="1"/>
  <c r="BK639" i="9"/>
  <c r="EB639" i="9" s="1"/>
  <c r="BJ639" i="9"/>
  <c r="EA639" i="9" s="1"/>
  <c r="K639" i="9"/>
  <c r="CB639" i="9" s="1"/>
  <c r="AZ639" i="9"/>
  <c r="DQ639" i="9" s="1"/>
  <c r="AQ639" i="9"/>
  <c r="DH639" i="9" s="1"/>
  <c r="AH639" i="9"/>
  <c r="CY639" i="9" s="1"/>
  <c r="AI639" i="9"/>
  <c r="CZ639" i="9" s="1"/>
  <c r="U639" i="9"/>
  <c r="CL639" i="9" s="1"/>
  <c r="BE639" i="9"/>
  <c r="DV639" i="9" s="1"/>
  <c r="O639" i="9"/>
  <c r="CF639" i="9" s="1"/>
  <c r="AB639" i="9"/>
  <c r="CS639" i="9" s="1"/>
  <c r="AL639" i="9"/>
  <c r="DC639" i="9" s="1"/>
  <c r="AW639" i="9"/>
  <c r="DN639" i="9" s="1"/>
  <c r="AD639" i="9"/>
  <c r="CU639" i="9" s="1"/>
  <c r="BN639" i="9"/>
  <c r="EE639" i="9" s="1"/>
  <c r="AU639" i="9"/>
  <c r="DL639" i="9" s="1"/>
  <c r="BP639" i="9"/>
  <c r="EG639" i="9" s="1"/>
  <c r="Z639" i="9"/>
  <c r="CQ639" i="9" s="1"/>
  <c r="AM639" i="9"/>
  <c r="DD639" i="9" s="1"/>
  <c r="BG639" i="9"/>
  <c r="DX639" i="9" s="1"/>
  <c r="V639" i="9"/>
  <c r="CM639" i="9" s="1"/>
  <c r="AV639" i="9"/>
  <c r="DM639" i="9" s="1"/>
  <c r="BA639" i="9"/>
  <c r="DR639" i="9" s="1"/>
  <c r="AN635" i="9"/>
  <c r="DE635" i="9" s="1"/>
  <c r="AP635" i="9"/>
  <c r="DG635" i="9" s="1"/>
  <c r="AM635" i="9"/>
  <c r="DD635" i="9" s="1"/>
  <c r="AD635" i="9"/>
  <c r="CU635" i="9" s="1"/>
  <c r="AV635" i="9"/>
  <c r="DM635" i="9" s="1"/>
  <c r="AI635" i="9"/>
  <c r="CZ635" i="9" s="1"/>
  <c r="O635" i="9"/>
  <c r="CF635" i="9" s="1"/>
  <c r="AL635" i="9"/>
  <c r="DC635" i="9" s="1"/>
  <c r="AC635" i="9"/>
  <c r="CT635" i="9" s="1"/>
  <c r="AO635" i="9"/>
  <c r="DF635" i="9" s="1"/>
  <c r="AS635" i="9"/>
  <c r="DJ635" i="9" s="1"/>
  <c r="Y635" i="9"/>
  <c r="CP635" i="9" s="1"/>
  <c r="AY635" i="9"/>
  <c r="DP635" i="9" s="1"/>
  <c r="S635" i="9"/>
  <c r="CJ635" i="9" s="1"/>
  <c r="BF635" i="9"/>
  <c r="DW635" i="9" s="1"/>
  <c r="AJ635" i="9"/>
  <c r="DA635" i="9" s="1"/>
  <c r="AR635" i="9"/>
  <c r="DI635" i="9" s="1"/>
  <c r="U635" i="9"/>
  <c r="CL635" i="9" s="1"/>
  <c r="BK635" i="9"/>
  <c r="EB635" i="9" s="1"/>
  <c r="BM635" i="9"/>
  <c r="ED635" i="9" s="1"/>
  <c r="Q635" i="9"/>
  <c r="CH635" i="9" s="1"/>
  <c r="AF635" i="9"/>
  <c r="CW635" i="9" s="1"/>
  <c r="AH635" i="9"/>
  <c r="CY635" i="9" s="1"/>
  <c r="AA635" i="9"/>
  <c r="CR635" i="9" s="1"/>
  <c r="BL635" i="9"/>
  <c r="EC635" i="9" s="1"/>
  <c r="AT635" i="9"/>
  <c r="DK635" i="9" s="1"/>
  <c r="BO635" i="9"/>
  <c r="EF635" i="9" s="1"/>
  <c r="R635" i="9"/>
  <c r="CI635" i="9" s="1"/>
  <c r="BP635" i="9"/>
  <c r="EG635" i="9" s="1"/>
  <c r="AE635" i="9"/>
  <c r="CV635" i="9" s="1"/>
  <c r="BQ635" i="9"/>
  <c r="EH635" i="9" s="1"/>
  <c r="BR635" i="9"/>
  <c r="EI635" i="9" s="1"/>
  <c r="BN635" i="9"/>
  <c r="EE635" i="9" s="1"/>
  <c r="BD635" i="9"/>
  <c r="DU635" i="9" s="1"/>
  <c r="AG635" i="9"/>
  <c r="CX635" i="9" s="1"/>
  <c r="AX635" i="9"/>
  <c r="DO635" i="9" s="1"/>
  <c r="AQ635" i="9"/>
  <c r="DH635" i="9" s="1"/>
  <c r="BG635" i="9"/>
  <c r="DX635" i="9" s="1"/>
  <c r="V635" i="9"/>
  <c r="CM635" i="9" s="1"/>
  <c r="BB635" i="9"/>
  <c r="DS635" i="9" s="1"/>
  <c r="X635" i="9"/>
  <c r="CO635" i="9" s="1"/>
  <c r="AB635" i="9"/>
  <c r="CS635" i="9" s="1"/>
  <c r="AK635" i="9"/>
  <c r="DB635" i="9" s="1"/>
  <c r="Z635" i="9"/>
  <c r="CQ635" i="9" s="1"/>
  <c r="AW635" i="9"/>
  <c r="DN635" i="9" s="1"/>
  <c r="BC635" i="9"/>
  <c r="DT635" i="9" s="1"/>
  <c r="BA635" i="9"/>
  <c r="DR635" i="9" s="1"/>
  <c r="BI635" i="9"/>
  <c r="DZ635" i="9" s="1"/>
  <c r="BF687" i="9"/>
  <c r="DW687" i="9" s="1"/>
  <c r="BG687" i="9"/>
  <c r="DX687" i="9" s="1"/>
  <c r="BO687" i="9"/>
  <c r="EF687" i="9" s="1"/>
  <c r="BC687" i="9"/>
  <c r="DT687" i="9" s="1"/>
  <c r="BP687" i="9"/>
  <c r="EG687" i="9" s="1"/>
  <c r="BB687" i="9"/>
  <c r="DS687" i="9" s="1"/>
  <c r="AW687" i="9"/>
  <c r="DN687" i="9" s="1"/>
  <c r="AX687" i="9"/>
  <c r="DO687" i="9" s="1"/>
  <c r="AP687" i="9"/>
  <c r="DG687" i="9" s="1"/>
  <c r="AT687" i="9"/>
  <c r="DK687" i="9" s="1"/>
  <c r="BK687" i="9"/>
  <c r="EB687" i="9" s="1"/>
  <c r="AJ687" i="9"/>
  <c r="DA687" i="9" s="1"/>
  <c r="AY687" i="9"/>
  <c r="DP687" i="9" s="1"/>
  <c r="AK687" i="9"/>
  <c r="DB687" i="9" s="1"/>
  <c r="AB687" i="9"/>
  <c r="CS687" i="9" s="1"/>
  <c r="AU687" i="9"/>
  <c r="DL687" i="9" s="1"/>
  <c r="BJ687" i="9"/>
  <c r="EA687" i="9" s="1"/>
  <c r="AH687" i="9"/>
  <c r="CY687" i="9" s="1"/>
  <c r="AV687" i="9"/>
  <c r="DM687" i="9" s="1"/>
  <c r="BE687" i="9"/>
  <c r="DV687" i="9" s="1"/>
  <c r="M687" i="9"/>
  <c r="CD687" i="9" s="1"/>
  <c r="AQ687" i="9"/>
  <c r="DH687" i="9" s="1"/>
  <c r="V687" i="9"/>
  <c r="CM687" i="9" s="1"/>
  <c r="BA687" i="9"/>
  <c r="DR687" i="9" s="1"/>
  <c r="BL687" i="9"/>
  <c r="EC687" i="9" s="1"/>
  <c r="Z687" i="9"/>
  <c r="CQ687" i="9" s="1"/>
  <c r="AM687" i="9"/>
  <c r="DD687" i="9" s="1"/>
  <c r="R687" i="9"/>
  <c r="CI687" i="9" s="1"/>
  <c r="BN687" i="9"/>
  <c r="EE687" i="9" s="1"/>
  <c r="BD687" i="9"/>
  <c r="DU687" i="9" s="1"/>
  <c r="AI687" i="9"/>
  <c r="CZ687" i="9" s="1"/>
  <c r="BM687" i="9"/>
  <c r="ED687" i="9" s="1"/>
  <c r="AR687" i="9"/>
  <c r="DI687" i="9" s="1"/>
  <c r="U687" i="9"/>
  <c r="CL687" i="9" s="1"/>
  <c r="T687" i="9"/>
  <c r="CK687" i="9" s="1"/>
  <c r="BR687" i="9"/>
  <c r="EI687" i="9" s="1"/>
  <c r="AN687" i="9"/>
  <c r="DE687" i="9" s="1"/>
  <c r="AD687" i="9"/>
  <c r="CU687" i="9" s="1"/>
  <c r="BQ687" i="9"/>
  <c r="EH687" i="9" s="1"/>
  <c r="AC687" i="9"/>
  <c r="CT687" i="9" s="1"/>
  <c r="AE687" i="9"/>
  <c r="CV687" i="9" s="1"/>
  <c r="L687" i="9"/>
  <c r="CC687" i="9" s="1"/>
  <c r="AS687" i="9"/>
  <c r="DJ687" i="9" s="1"/>
  <c r="W687" i="9"/>
  <c r="CN687" i="9" s="1"/>
  <c r="AL687" i="9"/>
  <c r="DC687" i="9" s="1"/>
  <c r="AO687" i="9"/>
  <c r="DF687" i="9" s="1"/>
  <c r="AF687" i="9"/>
  <c r="CW687" i="9" s="1"/>
  <c r="Y687" i="9"/>
  <c r="CP687" i="9" s="1"/>
  <c r="BQ606" i="9"/>
  <c r="EH606" i="9" s="1"/>
  <c r="AQ606" i="9"/>
  <c r="DH606" i="9" s="1"/>
  <c r="BI606" i="9"/>
  <c r="DZ606" i="9" s="1"/>
  <c r="BL606" i="9"/>
  <c r="EC606" i="9" s="1"/>
  <c r="BR606" i="9"/>
  <c r="EI606" i="9" s="1"/>
  <c r="AU606" i="9"/>
  <c r="DL606" i="9" s="1"/>
  <c r="AX606" i="9"/>
  <c r="DO606" i="9" s="1"/>
  <c r="AA606" i="9"/>
  <c r="CR606" i="9" s="1"/>
  <c r="AG606" i="9"/>
  <c r="CX606" i="9" s="1"/>
  <c r="AO606" i="9"/>
  <c r="DF606" i="9" s="1"/>
  <c r="Z606" i="9"/>
  <c r="CQ606" i="9" s="1"/>
  <c r="BG606" i="9"/>
  <c r="DX606" i="9" s="1"/>
  <c r="AD606" i="9"/>
  <c r="CU606" i="9" s="1"/>
  <c r="BF606" i="9"/>
  <c r="DW606" i="9" s="1"/>
  <c r="AS606" i="9"/>
  <c r="DJ606" i="9" s="1"/>
  <c r="AF606" i="9"/>
  <c r="CW606" i="9" s="1"/>
  <c r="BN606" i="9"/>
  <c r="EE606" i="9" s="1"/>
  <c r="BC606" i="9"/>
  <c r="DT606" i="9" s="1"/>
  <c r="AT606" i="9"/>
  <c r="DK606" i="9" s="1"/>
  <c r="BK606" i="9"/>
  <c r="EB606" i="9" s="1"/>
  <c r="AM606" i="9"/>
  <c r="DD606" i="9" s="1"/>
  <c r="AJ606" i="9"/>
  <c r="DA606" i="9" s="1"/>
  <c r="BM606" i="9"/>
  <c r="ED606" i="9" s="1"/>
  <c r="X606" i="9"/>
  <c r="CO606" i="9" s="1"/>
  <c r="BH606" i="9"/>
  <c r="DY606" i="9" s="1"/>
  <c r="AV606" i="9"/>
  <c r="DM606" i="9" s="1"/>
  <c r="AK606" i="9"/>
  <c r="DB606" i="9" s="1"/>
  <c r="AP606" i="9"/>
  <c r="DG606" i="9" s="1"/>
  <c r="BA606" i="9"/>
  <c r="DR606" i="9" s="1"/>
  <c r="AI606" i="9"/>
  <c r="CZ606" i="9" s="1"/>
  <c r="W606" i="9"/>
  <c r="CN606" i="9" s="1"/>
  <c r="BO606" i="9"/>
  <c r="EF606" i="9" s="1"/>
  <c r="AC606" i="9"/>
  <c r="CT606" i="9" s="1"/>
  <c r="V606" i="9"/>
  <c r="CM606" i="9" s="1"/>
  <c r="BD606" i="9"/>
  <c r="DU606" i="9" s="1"/>
  <c r="AE606" i="9"/>
  <c r="CV606" i="9" s="1"/>
  <c r="BB606" i="9"/>
  <c r="DS606" i="9" s="1"/>
  <c r="U606" i="9"/>
  <c r="CL606" i="9" s="1"/>
  <c r="AB606" i="9"/>
  <c r="CS606" i="9" s="1"/>
  <c r="AY606" i="9"/>
  <c r="DP606" i="9" s="1"/>
  <c r="AN606" i="9"/>
  <c r="DE606" i="9" s="1"/>
  <c r="Y606" i="9"/>
  <c r="CP606" i="9" s="1"/>
  <c r="BE606" i="9"/>
  <c r="DV606" i="9" s="1"/>
  <c r="AR606" i="9"/>
  <c r="DI606" i="9" s="1"/>
  <c r="AL253" i="9"/>
  <c r="DC253" i="9" s="1"/>
  <c r="AG253" i="9"/>
  <c r="CX253" i="9" s="1"/>
  <c r="AS253" i="9"/>
  <c r="DJ253" i="9" s="1"/>
  <c r="BK253" i="9"/>
  <c r="EB253" i="9" s="1"/>
  <c r="AX253" i="9"/>
  <c r="DO253" i="9" s="1"/>
  <c r="BI253" i="9"/>
  <c r="DZ253" i="9" s="1"/>
  <c r="BD253" i="9"/>
  <c r="DU253" i="9" s="1"/>
  <c r="AI613" i="9"/>
  <c r="CZ613" i="9" s="1"/>
  <c r="W613" i="9"/>
  <c r="CN613" i="9" s="1"/>
  <c r="AS613" i="9"/>
  <c r="DJ613" i="9" s="1"/>
  <c r="BD280" i="9"/>
  <c r="DU280" i="9" s="1"/>
  <c r="AP611" i="9"/>
  <c r="DG611" i="9" s="1"/>
  <c r="AZ478" i="9"/>
  <c r="DQ478" i="9" s="1"/>
  <c r="O361" i="9"/>
  <c r="CF361" i="9" s="1"/>
  <c r="P361" i="9"/>
  <c r="CG361" i="9" s="1"/>
  <c r="L361" i="9"/>
  <c r="BZ220" i="9"/>
  <c r="L253" i="9"/>
  <c r="CC253" i="9" s="1"/>
  <c r="M253" i="9"/>
  <c r="CD253" i="9" s="1"/>
  <c r="T253" i="9"/>
  <c r="CK253" i="9" s="1"/>
  <c r="S253" i="9"/>
  <c r="CJ253" i="9" s="1"/>
  <c r="O253" i="9"/>
  <c r="CF253" i="9" s="1"/>
  <c r="BO661" i="9"/>
  <c r="EF661" i="9" s="1"/>
  <c r="AR661" i="9"/>
  <c r="DI661" i="9" s="1"/>
  <c r="Y661" i="9"/>
  <c r="CP661" i="9" s="1"/>
  <c r="AO661" i="9"/>
  <c r="DF661" i="9" s="1"/>
  <c r="Z661" i="9"/>
  <c r="CQ661" i="9" s="1"/>
  <c r="BP661" i="9"/>
  <c r="EG661" i="9" s="1"/>
  <c r="M661" i="9"/>
  <c r="CD661" i="9" s="1"/>
  <c r="BG661" i="9"/>
  <c r="DX661" i="9" s="1"/>
  <c r="AA661" i="9"/>
  <c r="CR661" i="9" s="1"/>
  <c r="AZ661" i="9"/>
  <c r="DQ661" i="9" s="1"/>
  <c r="AN661" i="9"/>
  <c r="DE661" i="9" s="1"/>
  <c r="BI661" i="9"/>
  <c r="DZ661" i="9" s="1"/>
  <c r="AK661" i="9"/>
  <c r="DB661" i="9" s="1"/>
  <c r="P661" i="9"/>
  <c r="CG661" i="9" s="1"/>
  <c r="AY661" i="9"/>
  <c r="DP661" i="9" s="1"/>
  <c r="BE661" i="9"/>
  <c r="DV661" i="9" s="1"/>
  <c r="BB661" i="9"/>
  <c r="DS661" i="9" s="1"/>
  <c r="BD661" i="9"/>
  <c r="DU661" i="9" s="1"/>
  <c r="AI661" i="9"/>
  <c r="CZ661" i="9" s="1"/>
  <c r="BM661" i="9"/>
  <c r="ED661" i="9" s="1"/>
  <c r="S661" i="9"/>
  <c r="CJ661" i="9" s="1"/>
  <c r="AH661" i="9"/>
  <c r="CY661" i="9" s="1"/>
  <c r="AX661" i="9"/>
  <c r="DO661" i="9" s="1"/>
  <c r="BF661" i="9"/>
  <c r="DW661" i="9" s="1"/>
  <c r="AJ661" i="9"/>
  <c r="DA661" i="9" s="1"/>
  <c r="BA661" i="9"/>
  <c r="DR661" i="9" s="1"/>
  <c r="BR661" i="9"/>
  <c r="EI661" i="9" s="1"/>
  <c r="R661" i="9"/>
  <c r="CI661" i="9" s="1"/>
  <c r="AQ661" i="9"/>
  <c r="DH661" i="9" s="1"/>
  <c r="AS661" i="9"/>
  <c r="DJ661" i="9" s="1"/>
  <c r="AV661" i="9"/>
  <c r="DM661" i="9" s="1"/>
  <c r="AL661" i="9"/>
  <c r="DC661" i="9" s="1"/>
  <c r="BQ661" i="9"/>
  <c r="EH661" i="9" s="1"/>
  <c r="AU661" i="9"/>
  <c r="DL661" i="9" s="1"/>
  <c r="U661" i="9"/>
  <c r="CL661" i="9" s="1"/>
  <c r="BC661" i="9"/>
  <c r="DT661" i="9" s="1"/>
  <c r="BH661" i="9"/>
  <c r="DY661" i="9" s="1"/>
  <c r="W661" i="9"/>
  <c r="CN661" i="9" s="1"/>
  <c r="V661" i="9"/>
  <c r="CM661" i="9" s="1"/>
  <c r="X661" i="9"/>
  <c r="CO661" i="9" s="1"/>
  <c r="AP661" i="9"/>
  <c r="DG661" i="9" s="1"/>
  <c r="AD661" i="9"/>
  <c r="CU661" i="9" s="1"/>
  <c r="BK661" i="9"/>
  <c r="EB661" i="9" s="1"/>
  <c r="AG661" i="9"/>
  <c r="CX661" i="9" s="1"/>
  <c r="BN661" i="9"/>
  <c r="EE661" i="9" s="1"/>
  <c r="BJ661" i="9"/>
  <c r="EA661" i="9" s="1"/>
  <c r="AT661" i="9"/>
  <c r="DK661" i="9" s="1"/>
  <c r="BL661" i="9"/>
  <c r="EC661" i="9" s="1"/>
  <c r="N246" i="9"/>
  <c r="CE246" i="9" s="1"/>
  <c r="P246" i="9"/>
  <c r="CG246" i="9" s="1"/>
  <c r="O246" i="9"/>
  <c r="CF246" i="9" s="1"/>
  <c r="Q246" i="9"/>
  <c r="CH246" i="9" s="1"/>
  <c r="T246" i="9"/>
  <c r="CK246" i="9" s="1"/>
  <c r="M246" i="9"/>
  <c r="CD246" i="9" s="1"/>
  <c r="S246" i="9"/>
  <c r="CJ246" i="9" s="1"/>
  <c r="S600" i="9"/>
  <c r="CJ600" i="9" s="1"/>
  <c r="R600" i="9"/>
  <c r="CI600" i="9" s="1"/>
  <c r="M600" i="9"/>
  <c r="CD600" i="9" s="1"/>
  <c r="T600" i="9"/>
  <c r="CK600" i="9" s="1"/>
  <c r="N600" i="9"/>
  <c r="CE600" i="9" s="1"/>
  <c r="L600" i="9"/>
  <c r="CC600" i="9" s="1"/>
  <c r="P600" i="9"/>
  <c r="CG600" i="9" s="1"/>
  <c r="Q600" i="9"/>
  <c r="CH600" i="9" s="1"/>
  <c r="Q602" i="9"/>
  <c r="CH602" i="9" s="1"/>
  <c r="S602" i="9"/>
  <c r="CJ602" i="9" s="1"/>
  <c r="AC602" i="9"/>
  <c r="CT602" i="9" s="1"/>
  <c r="AG602" i="9"/>
  <c r="CX602" i="9" s="1"/>
  <c r="AV602" i="9"/>
  <c r="DM602" i="9" s="1"/>
  <c r="AD602" i="9"/>
  <c r="CU602" i="9" s="1"/>
  <c r="BN602" i="9"/>
  <c r="EE602" i="9" s="1"/>
  <c r="BC602" i="9"/>
  <c r="DT602" i="9" s="1"/>
  <c r="BH602" i="9"/>
  <c r="DY602" i="9" s="1"/>
  <c r="AA602" i="9"/>
  <c r="CR602" i="9" s="1"/>
  <c r="AB602" i="9"/>
  <c r="CS602" i="9" s="1"/>
  <c r="AX602" i="9"/>
  <c r="DO602" i="9" s="1"/>
  <c r="BJ602" i="9"/>
  <c r="EA602" i="9" s="1"/>
  <c r="BD602" i="9"/>
  <c r="DU602" i="9" s="1"/>
  <c r="BP602" i="9"/>
  <c r="EG602" i="9" s="1"/>
  <c r="O602" i="9"/>
  <c r="CF602" i="9" s="1"/>
  <c r="AL602" i="9"/>
  <c r="DC602" i="9" s="1"/>
  <c r="AH602" i="9"/>
  <c r="CY602" i="9" s="1"/>
  <c r="BF602" i="9"/>
  <c r="DW602" i="9" s="1"/>
  <c r="BL602" i="9"/>
  <c r="EC602" i="9" s="1"/>
  <c r="Y602" i="9"/>
  <c r="CP602" i="9" s="1"/>
  <c r="AW602" i="9"/>
  <c r="DN602" i="9" s="1"/>
  <c r="L602" i="9"/>
  <c r="CC602" i="9" s="1"/>
  <c r="P602" i="9"/>
  <c r="CG602" i="9" s="1"/>
  <c r="BI602" i="9"/>
  <c r="DZ602" i="9" s="1"/>
  <c r="AY602" i="9"/>
  <c r="DP602" i="9" s="1"/>
  <c r="AT602" i="9"/>
  <c r="DK602" i="9" s="1"/>
  <c r="W602" i="9"/>
  <c r="CN602" i="9" s="1"/>
  <c r="AE602" i="9"/>
  <c r="CV602" i="9" s="1"/>
  <c r="BA602" i="9"/>
  <c r="DR602" i="9" s="1"/>
  <c r="T602" i="9"/>
  <c r="CK602" i="9" s="1"/>
  <c r="AS602" i="9"/>
  <c r="DJ602" i="9" s="1"/>
  <c r="AJ602" i="9"/>
  <c r="DA602" i="9" s="1"/>
  <c r="BB602" i="9"/>
  <c r="DS602" i="9" s="1"/>
  <c r="BM602" i="9"/>
  <c r="ED602" i="9" s="1"/>
  <c r="AO602" i="9"/>
  <c r="DF602" i="9" s="1"/>
  <c r="AN602" i="9"/>
  <c r="DE602" i="9" s="1"/>
  <c r="R602" i="9"/>
  <c r="CI602" i="9" s="1"/>
  <c r="N602" i="9"/>
  <c r="CE602" i="9" s="1"/>
  <c r="AM602" i="9"/>
  <c r="DD602" i="9" s="1"/>
  <c r="AF602" i="9"/>
  <c r="CW602" i="9" s="1"/>
  <c r="X602" i="9"/>
  <c r="CO602" i="9" s="1"/>
  <c r="BO602" i="9"/>
  <c r="EF602" i="9" s="1"/>
  <c r="BG602" i="9"/>
  <c r="DX602" i="9" s="1"/>
  <c r="AU602" i="9"/>
  <c r="DL602" i="9" s="1"/>
  <c r="Q599" i="9"/>
  <c r="CH599" i="9" s="1"/>
  <c r="O599" i="9"/>
  <c r="CF599" i="9" s="1"/>
  <c r="L599" i="9"/>
  <c r="CC599" i="9" s="1"/>
  <c r="T599" i="9"/>
  <c r="CK599" i="9" s="1"/>
  <c r="S599" i="9"/>
  <c r="CJ599" i="9" s="1"/>
  <c r="M599" i="9"/>
  <c r="CD599" i="9" s="1"/>
  <c r="AM661" i="9"/>
  <c r="DD661" i="9" s="1"/>
  <c r="N599" i="9"/>
  <c r="CE599" i="9" s="1"/>
  <c r="AR600" i="9"/>
  <c r="DI600" i="9" s="1"/>
  <c r="U600" i="9"/>
  <c r="CL600" i="9" s="1"/>
  <c r="AV600" i="9"/>
  <c r="DM600" i="9" s="1"/>
  <c r="BC600" i="9"/>
  <c r="DT600" i="9" s="1"/>
  <c r="AL600" i="9"/>
  <c r="DC600" i="9" s="1"/>
  <c r="AF600" i="9"/>
  <c r="CW600" i="9" s="1"/>
  <c r="AC437" i="9"/>
  <c r="CT437" i="9" s="1"/>
  <c r="AX437" i="9"/>
  <c r="DO437" i="9" s="1"/>
  <c r="BO437" i="9"/>
  <c r="EF437" i="9" s="1"/>
  <c r="BR437" i="9"/>
  <c r="EI437" i="9" s="1"/>
  <c r="AU437" i="9"/>
  <c r="DL437" i="9" s="1"/>
  <c r="AZ437" i="9"/>
  <c r="DQ437" i="9" s="1"/>
  <c r="AT599" i="9"/>
  <c r="DK599" i="9" s="1"/>
  <c r="BB599" i="9"/>
  <c r="DS599" i="9" s="1"/>
  <c r="W599" i="9"/>
  <c r="CN599" i="9" s="1"/>
  <c r="AD599" i="9"/>
  <c r="CU599" i="9" s="1"/>
  <c r="AK599" i="9"/>
  <c r="DB599" i="9" s="1"/>
  <c r="AP599" i="9"/>
  <c r="DG599" i="9" s="1"/>
  <c r="U246" i="9"/>
  <c r="CL246" i="9" s="1"/>
  <c r="BC246" i="9"/>
  <c r="DT246" i="9" s="1"/>
  <c r="BN246" i="9"/>
  <c r="EE246" i="9" s="1"/>
  <c r="AW246" i="9"/>
  <c r="DN246" i="9" s="1"/>
  <c r="Y246" i="9"/>
  <c r="CP246" i="9" s="1"/>
  <c r="BJ246" i="9"/>
  <c r="EA246" i="9" s="1"/>
  <c r="AQ364" i="9"/>
  <c r="DH364" i="9" s="1"/>
  <c r="BG364" i="9"/>
  <c r="DX364" i="9" s="1"/>
  <c r="AU364" i="9"/>
  <c r="DL364" i="9" s="1"/>
  <c r="AA364" i="9"/>
  <c r="CR364" i="9" s="1"/>
  <c r="AX364" i="9"/>
  <c r="DO364" i="9" s="1"/>
  <c r="AS269" i="9"/>
  <c r="DJ269" i="9" s="1"/>
  <c r="BD269" i="9"/>
  <c r="DU269" i="9" s="1"/>
  <c r="BR269" i="9"/>
  <c r="EI269" i="9" s="1"/>
  <c r="BM269" i="9"/>
  <c r="ED269" i="9" s="1"/>
  <c r="Z269" i="9"/>
  <c r="CQ269" i="9" s="1"/>
  <c r="AP269" i="9"/>
  <c r="DG269" i="9" s="1"/>
  <c r="AC269" i="9"/>
  <c r="CT269" i="9" s="1"/>
  <c r="I617" i="9"/>
  <c r="BJ267" i="9"/>
  <c r="EA267" i="9" s="1"/>
  <c r="AV267" i="9"/>
  <c r="DM267" i="9" s="1"/>
  <c r="BD267" i="9"/>
  <c r="DU267" i="9" s="1"/>
  <c r="AJ267" i="9"/>
  <c r="DA267" i="9" s="1"/>
  <c r="AA267" i="9"/>
  <c r="CR267" i="9" s="1"/>
  <c r="BO267" i="9"/>
  <c r="EF267" i="9" s="1"/>
  <c r="BN372" i="9"/>
  <c r="EE372" i="9" s="1"/>
  <c r="AW372" i="9"/>
  <c r="DN372" i="9" s="1"/>
  <c r="Y372" i="9"/>
  <c r="CP372" i="9" s="1"/>
  <c r="AT372" i="9"/>
  <c r="DK372" i="9" s="1"/>
  <c r="BG372" i="9"/>
  <c r="DX372" i="9" s="1"/>
  <c r="W372" i="9"/>
  <c r="CN372" i="9" s="1"/>
  <c r="BL372" i="9"/>
  <c r="EC372" i="9" s="1"/>
  <c r="S261" i="9"/>
  <c r="CJ261" i="9" s="1"/>
  <c r="BQ261" i="9"/>
  <c r="EH261" i="9" s="1"/>
  <c r="BR261" i="9"/>
  <c r="EI261" i="9" s="1"/>
  <c r="BK261" i="9"/>
  <c r="EB261" i="9" s="1"/>
  <c r="AD261" i="9"/>
  <c r="CU261" i="9" s="1"/>
  <c r="AJ261" i="9"/>
  <c r="DA261" i="9" s="1"/>
  <c r="AX261" i="9"/>
  <c r="DO261" i="9" s="1"/>
  <c r="P265" i="9"/>
  <c r="CG265" i="9" s="1"/>
  <c r="U265" i="9"/>
  <c r="CL265" i="9" s="1"/>
  <c r="BH265" i="9"/>
  <c r="DY265" i="9" s="1"/>
  <c r="AD265" i="9"/>
  <c r="CU265" i="9" s="1"/>
  <c r="Z602" i="9"/>
  <c r="CQ602" i="9" s="1"/>
  <c r="AE661" i="9"/>
  <c r="CV661" i="9" s="1"/>
  <c r="R246" i="9"/>
  <c r="CI246" i="9" s="1"/>
  <c r="BU339" i="9"/>
  <c r="M212" i="6" s="1"/>
  <c r="K599" i="9"/>
  <c r="BR600" i="9"/>
  <c r="EI600" i="9" s="1"/>
  <c r="AD600" i="9"/>
  <c r="CU600" i="9" s="1"/>
  <c r="BJ600" i="9"/>
  <c r="EA600" i="9" s="1"/>
  <c r="BK600" i="9"/>
  <c r="EB600" i="9" s="1"/>
  <c r="AY600" i="9"/>
  <c r="DP600" i="9" s="1"/>
  <c r="AQ600" i="9"/>
  <c r="DH600" i="9" s="1"/>
  <c r="BK599" i="9"/>
  <c r="EB599" i="9" s="1"/>
  <c r="AV599" i="9"/>
  <c r="DM599" i="9" s="1"/>
  <c r="AW599" i="9"/>
  <c r="DN599" i="9" s="1"/>
  <c r="BE599" i="9"/>
  <c r="DV599" i="9" s="1"/>
  <c r="AL599" i="9"/>
  <c r="DC599" i="9" s="1"/>
  <c r="AM599" i="9"/>
  <c r="DD599" i="9" s="1"/>
  <c r="AP246" i="9"/>
  <c r="DG246" i="9" s="1"/>
  <c r="AR246" i="9"/>
  <c r="DI246" i="9" s="1"/>
  <c r="BR246" i="9"/>
  <c r="EI246" i="9" s="1"/>
  <c r="BA246" i="9"/>
  <c r="DR246" i="9" s="1"/>
  <c r="AB246" i="9"/>
  <c r="CS246" i="9" s="1"/>
  <c r="BL246" i="9"/>
  <c r="EC246" i="9" s="1"/>
  <c r="BO246" i="9"/>
  <c r="EF246" i="9" s="1"/>
  <c r="N261" i="9"/>
  <c r="CE261" i="9" s="1"/>
  <c r="U261" i="9"/>
  <c r="CL261" i="9" s="1"/>
  <c r="AV261" i="9"/>
  <c r="DM261" i="9" s="1"/>
  <c r="BE261" i="9"/>
  <c r="DV261" i="9" s="1"/>
  <c r="AG261" i="9"/>
  <c r="CX261" i="9" s="1"/>
  <c r="AE261" i="9"/>
  <c r="CV261" i="9" s="1"/>
  <c r="AA261" i="9"/>
  <c r="CR261" i="9" s="1"/>
  <c r="BR602" i="9"/>
  <c r="EI602" i="9" s="1"/>
  <c r="AC661" i="9"/>
  <c r="CT661" i="9" s="1"/>
  <c r="L265" i="9"/>
  <c r="CC265" i="9" s="1"/>
  <c r="M265" i="9"/>
  <c r="CD265" i="9" s="1"/>
  <c r="N265" i="9"/>
  <c r="CE265" i="9" s="1"/>
  <c r="AK265" i="9"/>
  <c r="DB265" i="9" s="1"/>
  <c r="AN265" i="9"/>
  <c r="DE265" i="9" s="1"/>
  <c r="BO265" i="9"/>
  <c r="EF265" i="9" s="1"/>
  <c r="AY265" i="9"/>
  <c r="DP265" i="9" s="1"/>
  <c r="AI265" i="9"/>
  <c r="CZ265" i="9" s="1"/>
  <c r="AO265" i="9"/>
  <c r="DF265" i="9" s="1"/>
  <c r="BA265" i="9"/>
  <c r="DR265" i="9" s="1"/>
  <c r="R265" i="9"/>
  <c r="CI265" i="9" s="1"/>
  <c r="AA265" i="9"/>
  <c r="CR265" i="9" s="1"/>
  <c r="AJ265" i="9"/>
  <c r="DA265" i="9" s="1"/>
  <c r="Z265" i="9"/>
  <c r="CQ265" i="9" s="1"/>
  <c r="AW265" i="9"/>
  <c r="DN265" i="9" s="1"/>
  <c r="BK265" i="9"/>
  <c r="EB265" i="9" s="1"/>
  <c r="AT265" i="9"/>
  <c r="DK265" i="9" s="1"/>
  <c r="O364" i="9"/>
  <c r="CF364" i="9" s="1"/>
  <c r="T364" i="9"/>
  <c r="CK364" i="9" s="1"/>
  <c r="M364" i="9"/>
  <c r="CD364" i="9" s="1"/>
  <c r="S364" i="9"/>
  <c r="CJ364" i="9" s="1"/>
  <c r="R364" i="9"/>
  <c r="CI364" i="9" s="1"/>
  <c r="L364" i="9"/>
  <c r="CC364" i="9" s="1"/>
  <c r="K364" i="9"/>
  <c r="CB364" i="9" s="1"/>
  <c r="BC501" i="9"/>
  <c r="DT501" i="9" s="1"/>
  <c r="AX501" i="9"/>
  <c r="DO501" i="9" s="1"/>
  <c r="AZ501" i="9"/>
  <c r="DQ501" i="9" s="1"/>
  <c r="AS501" i="9"/>
  <c r="DJ501" i="9" s="1"/>
  <c r="Y501" i="9"/>
  <c r="CP501" i="9" s="1"/>
  <c r="AU501" i="9"/>
  <c r="DL501" i="9" s="1"/>
  <c r="M501" i="9"/>
  <c r="CD501" i="9" s="1"/>
  <c r="AN501" i="9"/>
  <c r="DE501" i="9" s="1"/>
  <c r="AC501" i="9"/>
  <c r="CT501" i="9" s="1"/>
  <c r="W501" i="9"/>
  <c r="CN501" i="9" s="1"/>
  <c r="BB501" i="9"/>
  <c r="DS501" i="9" s="1"/>
  <c r="AD501" i="9"/>
  <c r="CU501" i="9" s="1"/>
  <c r="AG501" i="9"/>
  <c r="CX501" i="9" s="1"/>
  <c r="N501" i="9"/>
  <c r="CE501" i="9" s="1"/>
  <c r="BQ501" i="9"/>
  <c r="EH501" i="9" s="1"/>
  <c r="BG501" i="9"/>
  <c r="DX501" i="9" s="1"/>
  <c r="BD501" i="9"/>
  <c r="DU501" i="9" s="1"/>
  <c r="AO501" i="9"/>
  <c r="DF501" i="9" s="1"/>
  <c r="AP501" i="9"/>
  <c r="DG501" i="9" s="1"/>
  <c r="AY501" i="9"/>
  <c r="DP501" i="9" s="1"/>
  <c r="P501" i="9"/>
  <c r="CG501" i="9" s="1"/>
  <c r="BE501" i="9"/>
  <c r="DV501" i="9" s="1"/>
  <c r="AQ501" i="9"/>
  <c r="DH501" i="9" s="1"/>
  <c r="BR501" i="9"/>
  <c r="EI501" i="9" s="1"/>
  <c r="AR501" i="9"/>
  <c r="DI501" i="9" s="1"/>
  <c r="AL501" i="9"/>
  <c r="DC501" i="9" s="1"/>
  <c r="AH501" i="9"/>
  <c r="CY501" i="9" s="1"/>
  <c r="BP501" i="9"/>
  <c r="EG501" i="9" s="1"/>
  <c r="O501" i="9"/>
  <c r="CF501" i="9" s="1"/>
  <c r="AI501" i="9"/>
  <c r="CZ501" i="9" s="1"/>
  <c r="AB501" i="9"/>
  <c r="CS501" i="9" s="1"/>
  <c r="BA501" i="9"/>
  <c r="DR501" i="9" s="1"/>
  <c r="BO501" i="9"/>
  <c r="EF501" i="9" s="1"/>
  <c r="AA501" i="9"/>
  <c r="CR501" i="9" s="1"/>
  <c r="AM501" i="9"/>
  <c r="DD501" i="9" s="1"/>
  <c r="BJ501" i="9"/>
  <c r="EA501" i="9" s="1"/>
  <c r="Q501" i="9"/>
  <c r="CH501" i="9" s="1"/>
  <c r="BH501" i="9"/>
  <c r="DY501" i="9" s="1"/>
  <c r="U501" i="9"/>
  <c r="CL501" i="9" s="1"/>
  <c r="Z501" i="9"/>
  <c r="CQ501" i="9" s="1"/>
  <c r="BK501" i="9"/>
  <c r="EB501" i="9" s="1"/>
  <c r="BF501" i="9"/>
  <c r="DW501" i="9" s="1"/>
  <c r="BN501" i="9"/>
  <c r="EE501" i="9" s="1"/>
  <c r="R501" i="9"/>
  <c r="CI501" i="9" s="1"/>
  <c r="T501" i="9"/>
  <c r="CK501" i="9" s="1"/>
  <c r="BL501" i="9"/>
  <c r="EC501" i="9" s="1"/>
  <c r="AF501" i="9"/>
  <c r="CW501" i="9" s="1"/>
  <c r="AE501" i="9"/>
  <c r="CV501" i="9" s="1"/>
  <c r="X501" i="9"/>
  <c r="CO501" i="9" s="1"/>
  <c r="AJ501" i="9"/>
  <c r="DA501" i="9" s="1"/>
  <c r="V501" i="9"/>
  <c r="CM501" i="9" s="1"/>
  <c r="L501" i="9"/>
  <c r="CC501" i="9" s="1"/>
  <c r="K501" i="9"/>
  <c r="CB501" i="9" s="1"/>
  <c r="X600" i="9"/>
  <c r="CO600" i="9" s="1"/>
  <c r="AN600" i="9"/>
  <c r="DE600" i="9" s="1"/>
  <c r="BF600" i="9"/>
  <c r="DW600" i="9" s="1"/>
  <c r="AZ600" i="9"/>
  <c r="DQ600" i="9" s="1"/>
  <c r="AA600" i="9"/>
  <c r="CR600" i="9" s="1"/>
  <c r="AG600" i="9"/>
  <c r="CX600" i="9" s="1"/>
  <c r="BJ599" i="9"/>
  <c r="EA599" i="9" s="1"/>
  <c r="Z599" i="9"/>
  <c r="CQ599" i="9" s="1"/>
  <c r="BN599" i="9"/>
  <c r="EE599" i="9" s="1"/>
  <c r="BM599" i="9"/>
  <c r="ED599" i="9" s="1"/>
  <c r="AF599" i="9"/>
  <c r="CW599" i="9" s="1"/>
  <c r="AC599" i="9"/>
  <c r="CT599" i="9" s="1"/>
  <c r="AL246" i="9"/>
  <c r="DC246" i="9" s="1"/>
  <c r="BE246" i="9"/>
  <c r="DV246" i="9" s="1"/>
  <c r="AH246" i="9"/>
  <c r="CY246" i="9" s="1"/>
  <c r="AY246" i="9"/>
  <c r="DP246" i="9" s="1"/>
  <c r="BQ246" i="9"/>
  <c r="EH246" i="9" s="1"/>
  <c r="BI246" i="9"/>
  <c r="DZ246" i="9" s="1"/>
  <c r="BG246" i="9"/>
  <c r="DX246" i="9" s="1"/>
  <c r="T372" i="9"/>
  <c r="CK372" i="9" s="1"/>
  <c r="AS372" i="9"/>
  <c r="DJ372" i="9" s="1"/>
  <c r="BE372" i="9"/>
  <c r="DV372" i="9" s="1"/>
  <c r="AX372" i="9"/>
  <c r="DO372" i="9" s="1"/>
  <c r="AG372" i="9"/>
  <c r="CX372" i="9" s="1"/>
  <c r="BP372" i="9"/>
  <c r="EG372" i="9" s="1"/>
  <c r="BQ372" i="9"/>
  <c r="EH372" i="9" s="1"/>
  <c r="K661" i="9"/>
  <c r="CB661" i="9" s="1"/>
  <c r="M261" i="9"/>
  <c r="CD261" i="9" s="1"/>
  <c r="BD261" i="9"/>
  <c r="DU261" i="9" s="1"/>
  <c r="AI261" i="9"/>
  <c r="CZ261" i="9" s="1"/>
  <c r="AQ261" i="9"/>
  <c r="DH261" i="9" s="1"/>
  <c r="BO261" i="9"/>
  <c r="EF261" i="9" s="1"/>
  <c r="Z261" i="9"/>
  <c r="CQ261" i="9" s="1"/>
  <c r="AK261" i="9"/>
  <c r="DB261" i="9" s="1"/>
  <c r="AZ265" i="9"/>
  <c r="DQ265" i="9" s="1"/>
  <c r="BD265" i="9"/>
  <c r="DU265" i="9" s="1"/>
  <c r="BE265" i="9"/>
  <c r="DV265" i="9" s="1"/>
  <c r="AL265" i="9"/>
  <c r="DC265" i="9" s="1"/>
  <c r="Y265" i="9"/>
  <c r="CP265" i="9" s="1"/>
  <c r="L661" i="9"/>
  <c r="CC661" i="9" s="1"/>
  <c r="M602" i="9"/>
  <c r="CD602" i="9" s="1"/>
  <c r="U602" i="9"/>
  <c r="CL602" i="9" s="1"/>
  <c r="AW501" i="9"/>
  <c r="DN501" i="9" s="1"/>
  <c r="T623" i="9"/>
  <c r="CK623" i="9" s="1"/>
  <c r="Z623" i="9"/>
  <c r="CQ623" i="9" s="1"/>
  <c r="AR623" i="9"/>
  <c r="DI623" i="9" s="1"/>
  <c r="AK623" i="9"/>
  <c r="DB623" i="9" s="1"/>
  <c r="BA623" i="9"/>
  <c r="DR623" i="9" s="1"/>
  <c r="V623" i="9"/>
  <c r="CM623" i="9" s="1"/>
  <c r="AV623" i="9"/>
  <c r="DM623" i="9" s="1"/>
  <c r="L623" i="9"/>
  <c r="CC623" i="9" s="1"/>
  <c r="AQ623" i="9"/>
  <c r="DH623" i="9" s="1"/>
  <c r="AE623" i="9"/>
  <c r="CV623" i="9" s="1"/>
  <c r="W623" i="9"/>
  <c r="CN623" i="9" s="1"/>
  <c r="AS623" i="9"/>
  <c r="DJ623" i="9" s="1"/>
  <c r="AW623" i="9"/>
  <c r="DN623" i="9" s="1"/>
  <c r="BO623" i="9"/>
  <c r="EF623" i="9" s="1"/>
  <c r="O623" i="9"/>
  <c r="CF623" i="9" s="1"/>
  <c r="AM623" i="9"/>
  <c r="DD623" i="9" s="1"/>
  <c r="AZ623" i="9"/>
  <c r="DQ623" i="9" s="1"/>
  <c r="AX623" i="9"/>
  <c r="DO623" i="9" s="1"/>
  <c r="BJ623" i="9"/>
  <c r="EA623" i="9" s="1"/>
  <c r="AU623" i="9"/>
  <c r="DL623" i="9" s="1"/>
  <c r="BQ623" i="9"/>
  <c r="EH623" i="9" s="1"/>
  <c r="BN623" i="9"/>
  <c r="EE623" i="9" s="1"/>
  <c r="S623" i="9"/>
  <c r="CJ623" i="9" s="1"/>
  <c r="AH623" i="9"/>
  <c r="CY623" i="9" s="1"/>
  <c r="AG623" i="9"/>
  <c r="CX623" i="9" s="1"/>
  <c r="AL623" i="9"/>
  <c r="DC623" i="9" s="1"/>
  <c r="BE623" i="9"/>
  <c r="DV623" i="9" s="1"/>
  <c r="BB623" i="9"/>
  <c r="DS623" i="9" s="1"/>
  <c r="U623" i="9"/>
  <c r="CL623" i="9" s="1"/>
  <c r="M623" i="9"/>
  <c r="CD623" i="9" s="1"/>
  <c r="R623" i="9"/>
  <c r="CI623" i="9" s="1"/>
  <c r="AP623" i="9"/>
  <c r="DG623" i="9" s="1"/>
  <c r="AF623" i="9"/>
  <c r="CW623" i="9" s="1"/>
  <c r="AO623" i="9"/>
  <c r="DF623" i="9" s="1"/>
  <c r="X623" i="9"/>
  <c r="CO623" i="9" s="1"/>
  <c r="BL623" i="9"/>
  <c r="EC623" i="9" s="1"/>
  <c r="BR623" i="9"/>
  <c r="EI623" i="9" s="1"/>
  <c r="N623" i="9"/>
  <c r="CE623" i="9" s="1"/>
  <c r="Q496" i="9"/>
  <c r="CH496" i="9" s="1"/>
  <c r="BA496" i="9"/>
  <c r="DR496" i="9" s="1"/>
  <c r="BL496" i="9"/>
  <c r="EC496" i="9" s="1"/>
  <c r="P496" i="9"/>
  <c r="CG496" i="9" s="1"/>
  <c r="AZ496" i="9"/>
  <c r="DQ496" i="9" s="1"/>
  <c r="BP496" i="9"/>
  <c r="EG496" i="9" s="1"/>
  <c r="N496" i="9"/>
  <c r="CE496" i="9" s="1"/>
  <c r="X496" i="9"/>
  <c r="CO496" i="9" s="1"/>
  <c r="BD496" i="9"/>
  <c r="DU496" i="9" s="1"/>
  <c r="K496" i="9"/>
  <c r="CB496" i="9" s="1"/>
  <c r="BB496" i="9"/>
  <c r="DS496" i="9" s="1"/>
  <c r="AX496" i="9"/>
  <c r="DO496" i="9" s="1"/>
  <c r="AP496" i="9"/>
  <c r="DG496" i="9" s="1"/>
  <c r="AO496" i="9"/>
  <c r="DF496" i="9" s="1"/>
  <c r="AJ496" i="9"/>
  <c r="DA496" i="9" s="1"/>
  <c r="AG496" i="9"/>
  <c r="CX496" i="9" s="1"/>
  <c r="BO496" i="9"/>
  <c r="EF496" i="9" s="1"/>
  <c r="AT496" i="9"/>
  <c r="DK496" i="9" s="1"/>
  <c r="BM496" i="9"/>
  <c r="ED496" i="9" s="1"/>
  <c r="BH496" i="9"/>
  <c r="DY496" i="9" s="1"/>
  <c r="BL438" i="9"/>
  <c r="EC438" i="9" s="1"/>
  <c r="AY438" i="9"/>
  <c r="DP438" i="9" s="1"/>
  <c r="BQ438" i="9"/>
  <c r="EH438" i="9" s="1"/>
  <c r="AP438" i="9"/>
  <c r="DG438" i="9" s="1"/>
  <c r="AI438" i="9"/>
  <c r="CZ438" i="9" s="1"/>
  <c r="U438" i="9"/>
  <c r="CL438" i="9" s="1"/>
  <c r="BG438" i="9"/>
  <c r="DX438" i="9" s="1"/>
  <c r="BB438" i="9"/>
  <c r="DS438" i="9" s="1"/>
  <c r="R438" i="9"/>
  <c r="CI438" i="9" s="1"/>
  <c r="BJ438" i="9"/>
  <c r="EA438" i="9" s="1"/>
  <c r="AJ438" i="9"/>
  <c r="DA438" i="9" s="1"/>
  <c r="Y438" i="9"/>
  <c r="CP438" i="9" s="1"/>
  <c r="AE438" i="9"/>
  <c r="CV438" i="9" s="1"/>
  <c r="BA438" i="9"/>
  <c r="DR438" i="9" s="1"/>
  <c r="AG438" i="9"/>
  <c r="CX438" i="9" s="1"/>
  <c r="L438" i="9"/>
  <c r="CC438" i="9" s="1"/>
  <c r="BP600" i="9"/>
  <c r="EG600" i="9" s="1"/>
  <c r="BE600" i="9"/>
  <c r="DV600" i="9" s="1"/>
  <c r="AX600" i="9"/>
  <c r="DO600" i="9" s="1"/>
  <c r="BG600" i="9"/>
  <c r="DX600" i="9" s="1"/>
  <c r="BI600" i="9"/>
  <c r="DZ600" i="9" s="1"/>
  <c r="AK600" i="9"/>
  <c r="DB600" i="9" s="1"/>
  <c r="U437" i="9"/>
  <c r="CL437" i="9" s="1"/>
  <c r="BL437" i="9"/>
  <c r="EC437" i="9" s="1"/>
  <c r="AM437" i="9"/>
  <c r="DD437" i="9" s="1"/>
  <c r="AS437" i="9"/>
  <c r="DJ437" i="9" s="1"/>
  <c r="BK437" i="9"/>
  <c r="EB437" i="9" s="1"/>
  <c r="AT437" i="9"/>
  <c r="DK437" i="9" s="1"/>
  <c r="AP437" i="9"/>
  <c r="DG437" i="9" s="1"/>
  <c r="U599" i="9"/>
  <c r="CL599" i="9" s="1"/>
  <c r="AR599" i="9"/>
  <c r="DI599" i="9" s="1"/>
  <c r="BA599" i="9"/>
  <c r="DR599" i="9" s="1"/>
  <c r="AU599" i="9"/>
  <c r="DL599" i="9" s="1"/>
  <c r="BC599" i="9"/>
  <c r="DT599" i="9" s="1"/>
  <c r="AS599" i="9"/>
  <c r="DJ599" i="9" s="1"/>
  <c r="AQ599" i="9"/>
  <c r="DH599" i="9" s="1"/>
  <c r="AC246" i="9"/>
  <c r="CT246" i="9" s="1"/>
  <c r="AE246" i="9"/>
  <c r="CV246" i="9" s="1"/>
  <c r="AD246" i="9"/>
  <c r="CU246" i="9" s="1"/>
  <c r="AK246" i="9"/>
  <c r="DB246" i="9" s="1"/>
  <c r="AQ246" i="9"/>
  <c r="DH246" i="9" s="1"/>
  <c r="BH246" i="9"/>
  <c r="DY246" i="9" s="1"/>
  <c r="M269" i="9"/>
  <c r="CD269" i="9" s="1"/>
  <c r="U364" i="9"/>
  <c r="CL364" i="9" s="1"/>
  <c r="Y364" i="9"/>
  <c r="CP364" i="9" s="1"/>
  <c r="Z364" i="9"/>
  <c r="CQ364" i="9" s="1"/>
  <c r="V364" i="9"/>
  <c r="CM364" i="9" s="1"/>
  <c r="AV364" i="9"/>
  <c r="DM364" i="9" s="1"/>
  <c r="BP364" i="9"/>
  <c r="EG364" i="9" s="1"/>
  <c r="AM269" i="9"/>
  <c r="DD269" i="9" s="1"/>
  <c r="BA269" i="9"/>
  <c r="DR269" i="9" s="1"/>
  <c r="BK269" i="9"/>
  <c r="EB269" i="9" s="1"/>
  <c r="AE269" i="9"/>
  <c r="CV269" i="9" s="1"/>
  <c r="AR269" i="9"/>
  <c r="DI269" i="9" s="1"/>
  <c r="AD269" i="9"/>
  <c r="CU269" i="9" s="1"/>
  <c r="BI267" i="9"/>
  <c r="DZ267" i="9" s="1"/>
  <c r="BE267" i="9"/>
  <c r="DV267" i="9" s="1"/>
  <c r="U267" i="9"/>
  <c r="CL267" i="9" s="1"/>
  <c r="AD267" i="9"/>
  <c r="CU267" i="9" s="1"/>
  <c r="AE267" i="9"/>
  <c r="CV267" i="9" s="1"/>
  <c r="AP267" i="9"/>
  <c r="DG267" i="9" s="1"/>
  <c r="BF267" i="9"/>
  <c r="DW267" i="9" s="1"/>
  <c r="R372" i="9"/>
  <c r="CI372" i="9" s="1"/>
  <c r="AH372" i="9"/>
  <c r="CY372" i="9" s="1"/>
  <c r="AN372" i="9"/>
  <c r="DE372" i="9" s="1"/>
  <c r="AL372" i="9"/>
  <c r="DC372" i="9" s="1"/>
  <c r="AR372" i="9"/>
  <c r="DI372" i="9" s="1"/>
  <c r="BJ372" i="9"/>
  <c r="EA372" i="9" s="1"/>
  <c r="BI372" i="9"/>
  <c r="DZ372" i="9" s="1"/>
  <c r="O661" i="9"/>
  <c r="CF661" i="9" s="1"/>
  <c r="BB261" i="9"/>
  <c r="DS261" i="9" s="1"/>
  <c r="BP261" i="9"/>
  <c r="EG261" i="9" s="1"/>
  <c r="AM261" i="9"/>
  <c r="DD261" i="9" s="1"/>
  <c r="AY261" i="9"/>
  <c r="DP261" i="9" s="1"/>
  <c r="AL261" i="9"/>
  <c r="DC261" i="9" s="1"/>
  <c r="AR261" i="9"/>
  <c r="DI261" i="9" s="1"/>
  <c r="AN261" i="9"/>
  <c r="DE261" i="9" s="1"/>
  <c r="BC265" i="9"/>
  <c r="DT265" i="9" s="1"/>
  <c r="AS265" i="9"/>
  <c r="DJ265" i="9" s="1"/>
  <c r="BI265" i="9"/>
  <c r="DZ265" i="9" s="1"/>
  <c r="X265" i="9"/>
  <c r="CO265" i="9" s="1"/>
  <c r="BN265" i="9"/>
  <c r="EE265" i="9" s="1"/>
  <c r="AR602" i="9"/>
  <c r="DI602" i="9" s="1"/>
  <c r="AP602" i="9"/>
  <c r="DG602" i="9" s="1"/>
  <c r="T661" i="9"/>
  <c r="CK661" i="9" s="1"/>
  <c r="BM501" i="9"/>
  <c r="ED501" i="9" s="1"/>
  <c r="AH633" i="9"/>
  <c r="CY633" i="9" s="1"/>
  <c r="BH633" i="9"/>
  <c r="DY633" i="9" s="1"/>
  <c r="AZ633" i="9"/>
  <c r="DQ633" i="9" s="1"/>
  <c r="Y633" i="9"/>
  <c r="CP633" i="9" s="1"/>
  <c r="BN633" i="9"/>
  <c r="EE633" i="9" s="1"/>
  <c r="X633" i="9"/>
  <c r="CO633" i="9" s="1"/>
  <c r="L633" i="9"/>
  <c r="CC633" i="9" s="1"/>
  <c r="AL633" i="9"/>
  <c r="DC633" i="9" s="1"/>
  <c r="AC633" i="9"/>
  <c r="CT633" i="9" s="1"/>
  <c r="AE633" i="9"/>
  <c r="CV633" i="9" s="1"/>
  <c r="AV633" i="9"/>
  <c r="DM633" i="9" s="1"/>
  <c r="U633" i="9"/>
  <c r="CL633" i="9" s="1"/>
  <c r="BC633" i="9"/>
  <c r="DT633" i="9" s="1"/>
  <c r="BQ633" i="9"/>
  <c r="EH633" i="9" s="1"/>
  <c r="AJ633" i="9"/>
  <c r="DA633" i="9" s="1"/>
  <c r="AK633" i="9"/>
  <c r="DB633" i="9" s="1"/>
  <c r="BP633" i="9"/>
  <c r="EG633" i="9" s="1"/>
  <c r="BG633" i="9"/>
  <c r="DX633" i="9" s="1"/>
  <c r="AD633" i="9"/>
  <c r="CU633" i="9" s="1"/>
  <c r="BB633" i="9"/>
  <c r="DS633" i="9" s="1"/>
  <c r="N633" i="9"/>
  <c r="CE633" i="9" s="1"/>
  <c r="K602" i="9"/>
  <c r="CB602" i="9" s="1"/>
  <c r="BM600" i="9"/>
  <c r="ED600" i="9" s="1"/>
  <c r="BB600" i="9"/>
  <c r="DS600" i="9" s="1"/>
  <c r="BA600" i="9"/>
  <c r="DR600" i="9" s="1"/>
  <c r="BN600" i="9"/>
  <c r="EE600" i="9" s="1"/>
  <c r="AH600" i="9"/>
  <c r="CY600" i="9" s="1"/>
  <c r="AM600" i="9"/>
  <c r="DD600" i="9" s="1"/>
  <c r="AN437" i="9"/>
  <c r="DE437" i="9" s="1"/>
  <c r="BN437" i="9"/>
  <c r="EE437" i="9" s="1"/>
  <c r="BP437" i="9"/>
  <c r="EG437" i="9" s="1"/>
  <c r="AD437" i="9"/>
  <c r="CU437" i="9" s="1"/>
  <c r="AG437" i="9"/>
  <c r="CX437" i="9" s="1"/>
  <c r="V437" i="9"/>
  <c r="CM437" i="9" s="1"/>
  <c r="AO599" i="9"/>
  <c r="DF599" i="9" s="1"/>
  <c r="X599" i="9"/>
  <c r="CO599" i="9" s="1"/>
  <c r="AE599" i="9"/>
  <c r="CV599" i="9" s="1"/>
  <c r="BR599" i="9"/>
  <c r="EI599" i="9" s="1"/>
  <c r="AH599" i="9"/>
  <c r="CY599" i="9" s="1"/>
  <c r="AA599" i="9"/>
  <c r="CR599" i="9" s="1"/>
  <c r="BQ599" i="9"/>
  <c r="EH599" i="9" s="1"/>
  <c r="AO246" i="9"/>
  <c r="DF246" i="9" s="1"/>
  <c r="Z246" i="9"/>
  <c r="CQ246" i="9" s="1"/>
  <c r="AN246" i="9"/>
  <c r="DE246" i="9" s="1"/>
  <c r="AT246" i="9"/>
  <c r="DK246" i="9" s="1"/>
  <c r="AV246" i="9"/>
  <c r="DM246" i="9" s="1"/>
  <c r="X246" i="9"/>
  <c r="CO246" i="9" s="1"/>
  <c r="BE364" i="9"/>
  <c r="DV364" i="9" s="1"/>
  <c r="BI364" i="9"/>
  <c r="DZ364" i="9" s="1"/>
  <c r="AF364" i="9"/>
  <c r="CW364" i="9" s="1"/>
  <c r="X364" i="9"/>
  <c r="AI364" i="9"/>
  <c r="CZ364" i="9" s="1"/>
  <c r="AO364" i="9"/>
  <c r="DF364" i="9" s="1"/>
  <c r="AZ269" i="9"/>
  <c r="DQ269" i="9" s="1"/>
  <c r="BE269" i="9"/>
  <c r="DV269" i="9" s="1"/>
  <c r="U269" i="9"/>
  <c r="CL269" i="9" s="1"/>
  <c r="AN269" i="9"/>
  <c r="DE269" i="9" s="1"/>
  <c r="BF269" i="9"/>
  <c r="DW269" i="9" s="1"/>
  <c r="AA269" i="9"/>
  <c r="CR269" i="9" s="1"/>
  <c r="AH267" i="9"/>
  <c r="CY267" i="9" s="1"/>
  <c r="AT267" i="9"/>
  <c r="DK267" i="9" s="1"/>
  <c r="BH267" i="9"/>
  <c r="DY267" i="9" s="1"/>
  <c r="Y267" i="9"/>
  <c r="CP267" i="9" s="1"/>
  <c r="AX267" i="9"/>
  <c r="DO267" i="9" s="1"/>
  <c r="AK267" i="9"/>
  <c r="DB267" i="9" s="1"/>
  <c r="AB267" i="9"/>
  <c r="CS267" i="9" s="1"/>
  <c r="Q372" i="9"/>
  <c r="CH372" i="9" s="1"/>
  <c r="AM372" i="9"/>
  <c r="DD372" i="9" s="1"/>
  <c r="AY372" i="9"/>
  <c r="DP372" i="9" s="1"/>
  <c r="X372" i="9"/>
  <c r="CO372" i="9" s="1"/>
  <c r="AJ372" i="9"/>
  <c r="DA372" i="9" s="1"/>
  <c r="AI372" i="9"/>
  <c r="CZ372" i="9" s="1"/>
  <c r="AB372" i="9"/>
  <c r="CS372" i="9" s="1"/>
  <c r="BL261" i="9"/>
  <c r="EC261" i="9" s="1"/>
  <c r="BJ261" i="9"/>
  <c r="EA261" i="9" s="1"/>
  <c r="AU261" i="9"/>
  <c r="DL261" i="9" s="1"/>
  <c r="V261" i="9"/>
  <c r="CM261" i="9" s="1"/>
  <c r="AW261" i="9"/>
  <c r="DN261" i="9" s="1"/>
  <c r="X261" i="9"/>
  <c r="CO261" i="9" s="1"/>
  <c r="BF261" i="9"/>
  <c r="DW261" i="9" s="1"/>
  <c r="T265" i="9"/>
  <c r="CK265" i="9" s="1"/>
  <c r="BQ265" i="9"/>
  <c r="EH265" i="9" s="1"/>
  <c r="BL265" i="9"/>
  <c r="EC265" i="9" s="1"/>
  <c r="V265" i="9"/>
  <c r="CM265" i="9" s="1"/>
  <c r="AP265" i="9"/>
  <c r="DG265" i="9" s="1"/>
  <c r="AC265" i="9"/>
  <c r="CT265" i="9" s="1"/>
  <c r="BK602" i="9"/>
  <c r="EB602" i="9" s="1"/>
  <c r="V602" i="9"/>
  <c r="CM602" i="9" s="1"/>
  <c r="AB661" i="9"/>
  <c r="CS661" i="9" s="1"/>
  <c r="AK501" i="9"/>
  <c r="DB501" i="9" s="1"/>
  <c r="AE600" i="9"/>
  <c r="CV600" i="9" s="1"/>
  <c r="W600" i="9"/>
  <c r="CN600" i="9" s="1"/>
  <c r="AT600" i="9"/>
  <c r="DK600" i="9" s="1"/>
  <c r="BD600" i="9"/>
  <c r="DU600" i="9" s="1"/>
  <c r="AP600" i="9"/>
  <c r="DG600" i="9" s="1"/>
  <c r="AJ600" i="9"/>
  <c r="DA600" i="9" s="1"/>
  <c r="BI437" i="9"/>
  <c r="DZ437" i="9" s="1"/>
  <c r="AV437" i="9"/>
  <c r="DM437" i="9" s="1"/>
  <c r="BD437" i="9"/>
  <c r="DU437" i="9" s="1"/>
  <c r="BA437" i="9"/>
  <c r="DR437" i="9" s="1"/>
  <c r="X437" i="9"/>
  <c r="CO437" i="9" s="1"/>
  <c r="BD599" i="9"/>
  <c r="DU599" i="9" s="1"/>
  <c r="BO599" i="9"/>
  <c r="EF599" i="9" s="1"/>
  <c r="BG599" i="9"/>
  <c r="DX599" i="9" s="1"/>
  <c r="AX599" i="9"/>
  <c r="DO599" i="9" s="1"/>
  <c r="V599" i="9"/>
  <c r="CM599" i="9" s="1"/>
  <c r="BI599" i="9"/>
  <c r="DZ599" i="9" s="1"/>
  <c r="W246" i="9"/>
  <c r="CN246" i="9" s="1"/>
  <c r="BM246" i="9"/>
  <c r="ED246" i="9" s="1"/>
  <c r="AF246" i="9"/>
  <c r="CW246" i="9" s="1"/>
  <c r="AX246" i="9"/>
  <c r="DO246" i="9" s="1"/>
  <c r="BB246" i="9"/>
  <c r="DS246" i="9" s="1"/>
  <c r="BD246" i="9"/>
  <c r="DU246" i="9" s="1"/>
  <c r="BN364" i="9"/>
  <c r="EE364" i="9" s="1"/>
  <c r="AS364" i="9"/>
  <c r="DJ364" i="9" s="1"/>
  <c r="W364" i="9"/>
  <c r="CN364" i="9" s="1"/>
  <c r="AW364" i="9"/>
  <c r="DN364" i="9" s="1"/>
  <c r="AN364" i="9"/>
  <c r="DE364" i="9" s="1"/>
  <c r="BJ364" i="9"/>
  <c r="EA364" i="9" s="1"/>
  <c r="BL364" i="9"/>
  <c r="EC364" i="9" s="1"/>
  <c r="BB269" i="9"/>
  <c r="DS269" i="9" s="1"/>
  <c r="AI269" i="9"/>
  <c r="CZ269" i="9" s="1"/>
  <c r="AO269" i="9"/>
  <c r="DF269" i="9" s="1"/>
  <c r="AB269" i="9"/>
  <c r="CS269" i="9" s="1"/>
  <c r="X269" i="9"/>
  <c r="CO269" i="9" s="1"/>
  <c r="BA267" i="9"/>
  <c r="DR267" i="9" s="1"/>
  <c r="AO267" i="9"/>
  <c r="DF267" i="9" s="1"/>
  <c r="BQ267" i="9"/>
  <c r="EH267" i="9" s="1"/>
  <c r="AF267" i="9"/>
  <c r="CW267" i="9" s="1"/>
  <c r="AC267" i="9"/>
  <c r="CT267" i="9" s="1"/>
  <c r="X267" i="9"/>
  <c r="CO267" i="9" s="1"/>
  <c r="O372" i="9"/>
  <c r="CF372" i="9" s="1"/>
  <c r="AZ372" i="9"/>
  <c r="DQ372" i="9" s="1"/>
  <c r="BC372" i="9"/>
  <c r="DT372" i="9" s="1"/>
  <c r="BH372" i="9"/>
  <c r="DY372" i="9" s="1"/>
  <c r="BB372" i="9"/>
  <c r="DS372" i="9" s="1"/>
  <c r="BR372" i="9"/>
  <c r="EI372" i="9" s="1"/>
  <c r="K261" i="9"/>
  <c r="CB261" i="9" s="1"/>
  <c r="BA261" i="9"/>
  <c r="DR261" i="9" s="1"/>
  <c r="AT261" i="9"/>
  <c r="DK261" i="9" s="1"/>
  <c r="BI261" i="9"/>
  <c r="DZ261" i="9" s="1"/>
  <c r="Y261" i="9"/>
  <c r="CP261" i="9" s="1"/>
  <c r="AB261" i="9"/>
  <c r="CS261" i="9" s="1"/>
  <c r="O265" i="9"/>
  <c r="CF265" i="9" s="1"/>
  <c r="BJ265" i="9"/>
  <c r="EA265" i="9" s="1"/>
  <c r="AU265" i="9"/>
  <c r="DL265" i="9" s="1"/>
  <c r="W265" i="9"/>
  <c r="CN265" i="9" s="1"/>
  <c r="AB265" i="9"/>
  <c r="CS265" i="9" s="1"/>
  <c r="AG265" i="9"/>
  <c r="CX265" i="9" s="1"/>
  <c r="AZ602" i="9"/>
  <c r="DQ602" i="9" s="1"/>
  <c r="AK602" i="9"/>
  <c r="DB602" i="9" s="1"/>
  <c r="AW661" i="9"/>
  <c r="DN661" i="9" s="1"/>
  <c r="AV501" i="9"/>
  <c r="DM501" i="9" s="1"/>
  <c r="S389" i="9"/>
  <c r="CJ389" i="9" s="1"/>
  <c r="N389" i="9"/>
  <c r="CE389" i="9" s="1"/>
  <c r="S265" i="9"/>
  <c r="CJ265" i="9" s="1"/>
  <c r="N561" i="9"/>
  <c r="CE561" i="9" s="1"/>
  <c r="S561" i="9"/>
  <c r="CJ561" i="9" s="1"/>
  <c r="R561" i="9"/>
  <c r="CI561" i="9" s="1"/>
  <c r="S287" i="9"/>
  <c r="CJ287" i="9" s="1"/>
  <c r="AT287" i="9"/>
  <c r="DK287" i="9" s="1"/>
  <c r="V287" i="9"/>
  <c r="CM287" i="9" s="1"/>
  <c r="AI287" i="9"/>
  <c r="CZ287" i="9" s="1"/>
  <c r="BJ287" i="9"/>
  <c r="EA287" i="9" s="1"/>
  <c r="BO287" i="9"/>
  <c r="EF287" i="9" s="1"/>
  <c r="AO287" i="9"/>
  <c r="DF287" i="9" s="1"/>
  <c r="P244" i="9"/>
  <c r="CG244" i="9" s="1"/>
  <c r="AK244" i="9"/>
  <c r="DB244" i="9" s="1"/>
  <c r="AF244" i="9"/>
  <c r="CW244" i="9" s="1"/>
  <c r="BP244" i="9"/>
  <c r="EG244" i="9" s="1"/>
  <c r="BM244" i="9"/>
  <c r="ED244" i="9" s="1"/>
  <c r="BR244" i="9"/>
  <c r="EI244" i="9" s="1"/>
  <c r="AI244" i="9"/>
  <c r="CZ244" i="9" s="1"/>
  <c r="AC553" i="9"/>
  <c r="CT553" i="9" s="1"/>
  <c r="AT553" i="9"/>
  <c r="DK553" i="9" s="1"/>
  <c r="BQ553" i="9"/>
  <c r="EH553" i="9" s="1"/>
  <c r="AK553" i="9"/>
  <c r="DB553" i="9" s="1"/>
  <c r="AS553" i="9"/>
  <c r="DJ553" i="9" s="1"/>
  <c r="AV553" i="9"/>
  <c r="DM553" i="9" s="1"/>
  <c r="L373" i="9"/>
  <c r="CC373" i="9" s="1"/>
  <c r="P613" i="9"/>
  <c r="CG613" i="9" s="1"/>
  <c r="Q611" i="9"/>
  <c r="CH611" i="9" s="1"/>
  <c r="R287" i="9"/>
  <c r="CI287" i="9" s="1"/>
  <c r="AZ287" i="9"/>
  <c r="DQ287" i="9" s="1"/>
  <c r="AV287" i="9"/>
  <c r="DM287" i="9" s="1"/>
  <c r="BK287" i="9"/>
  <c r="EB287" i="9" s="1"/>
  <c r="BP287" i="9"/>
  <c r="EG287" i="9" s="1"/>
  <c r="BL287" i="9"/>
  <c r="EC287" i="9" s="1"/>
  <c r="AS287" i="9"/>
  <c r="DJ287" i="9" s="1"/>
  <c r="Q244" i="9"/>
  <c r="CH244" i="9" s="1"/>
  <c r="BH244" i="9"/>
  <c r="DY244" i="9" s="1"/>
  <c r="AX244" i="9"/>
  <c r="DO244" i="9" s="1"/>
  <c r="AB244" i="9"/>
  <c r="CS244" i="9" s="1"/>
  <c r="BO244" i="9"/>
  <c r="EF244" i="9" s="1"/>
  <c r="BQ244" i="9"/>
  <c r="EH244" i="9" s="1"/>
  <c r="P373" i="9"/>
  <c r="CG373" i="9" s="1"/>
  <c r="L492" i="9"/>
  <c r="CC492" i="9" s="1"/>
  <c r="N253" i="9"/>
  <c r="CE253" i="9" s="1"/>
  <c r="R253" i="9"/>
  <c r="CI253" i="9" s="1"/>
  <c r="Q253" i="9"/>
  <c r="CH253" i="9" s="1"/>
  <c r="M656" i="9"/>
  <c r="CD656" i="9" s="1"/>
  <c r="M613" i="9"/>
  <c r="CD613" i="9" s="1"/>
  <c r="P603" i="9"/>
  <c r="CG603" i="9" s="1"/>
  <c r="Q359" i="9"/>
  <c r="CH359" i="9" s="1"/>
  <c r="R359" i="9"/>
  <c r="CI359" i="9" s="1"/>
  <c r="M473" i="9"/>
  <c r="I652" i="11" s="1"/>
  <c r="K565" i="9"/>
  <c r="CB565" i="9" s="1"/>
  <c r="BT333" i="9"/>
  <c r="L206" i="6" s="1"/>
  <c r="BT575" i="9"/>
  <c r="L428" i="6" s="1"/>
  <c r="BT340" i="9"/>
  <c r="L213" i="6" s="1"/>
  <c r="L353" i="9"/>
  <c r="H647" i="11" s="1"/>
  <c r="AB370" i="9"/>
  <c r="CS370" i="9" s="1"/>
  <c r="BR370" i="9"/>
  <c r="EI370" i="9" s="1"/>
  <c r="AC554" i="9"/>
  <c r="CT554" i="9" s="1"/>
  <c r="AQ554" i="9"/>
  <c r="DH554" i="9" s="1"/>
  <c r="BC554" i="9"/>
  <c r="DT554" i="9" s="1"/>
  <c r="AI554" i="9"/>
  <c r="CZ554" i="9" s="1"/>
  <c r="BP554" i="9"/>
  <c r="EG554" i="9" s="1"/>
  <c r="Z554" i="9"/>
  <c r="CQ554" i="9" s="1"/>
  <c r="BQ485" i="9"/>
  <c r="EH485" i="9" s="1"/>
  <c r="BN366" i="9"/>
  <c r="EE366" i="9" s="1"/>
  <c r="AQ366" i="9"/>
  <c r="DH366" i="9" s="1"/>
  <c r="AF366" i="9"/>
  <c r="CW366" i="9" s="1"/>
  <c r="BJ366" i="9"/>
  <c r="EA366" i="9" s="1"/>
  <c r="AD366" i="9"/>
  <c r="CU366" i="9" s="1"/>
  <c r="AC366" i="9"/>
  <c r="CT366" i="9" s="1"/>
  <c r="AH366" i="9"/>
  <c r="CY366" i="9" s="1"/>
  <c r="AT565" i="9"/>
  <c r="DK565" i="9" s="1"/>
  <c r="AW565" i="9"/>
  <c r="DN565" i="9" s="1"/>
  <c r="BR566" i="9"/>
  <c r="EI566" i="9" s="1"/>
  <c r="AA369" i="9"/>
  <c r="CR369" i="9" s="1"/>
  <c r="AZ369" i="9"/>
  <c r="DQ369" i="9" s="1"/>
  <c r="AI369" i="9"/>
  <c r="CZ369" i="9" s="1"/>
  <c r="Z369" i="9"/>
  <c r="CQ369" i="9" s="1"/>
  <c r="AL369" i="9"/>
  <c r="DC369" i="9" s="1"/>
  <c r="AV369" i="9"/>
  <c r="DM369" i="9" s="1"/>
  <c r="BA487" i="9"/>
  <c r="DR487" i="9" s="1"/>
  <c r="AM487" i="9"/>
  <c r="DD487" i="9" s="1"/>
  <c r="AG487" i="9"/>
  <c r="CX487" i="9" s="1"/>
  <c r="Z487" i="9"/>
  <c r="CQ487" i="9" s="1"/>
  <c r="BE487" i="9"/>
  <c r="DV487" i="9" s="1"/>
  <c r="BG487" i="9"/>
  <c r="DX487" i="9" s="1"/>
  <c r="AL517" i="9"/>
  <c r="DC517" i="9" s="1"/>
  <c r="AG517" i="9"/>
  <c r="CX517" i="9" s="1"/>
  <c r="BL517" i="9"/>
  <c r="EC517" i="9" s="1"/>
  <c r="AU517" i="9"/>
  <c r="DL517" i="9" s="1"/>
  <c r="BO517" i="9"/>
  <c r="EF517" i="9" s="1"/>
  <c r="BI517" i="9"/>
  <c r="DZ517" i="9" s="1"/>
  <c r="BE517" i="9"/>
  <c r="DV517" i="9" s="1"/>
  <c r="K509" i="9"/>
  <c r="CB509" i="9" s="1"/>
  <c r="AC256" i="9"/>
  <c r="CT256" i="9" s="1"/>
  <c r="AR256" i="9"/>
  <c r="DI256" i="9" s="1"/>
  <c r="AG256" i="9"/>
  <c r="CX256" i="9" s="1"/>
  <c r="BA256" i="9"/>
  <c r="DR256" i="9" s="1"/>
  <c r="AZ256" i="9"/>
  <c r="DQ256" i="9" s="1"/>
  <c r="AY256" i="9"/>
  <c r="DP256" i="9" s="1"/>
  <c r="W274" i="9"/>
  <c r="CN274" i="9" s="1"/>
  <c r="L441" i="9"/>
  <c r="CC441" i="9" s="1"/>
  <c r="O509" i="9"/>
  <c r="CF509" i="9" s="1"/>
  <c r="AT509" i="9"/>
  <c r="DK509" i="9" s="1"/>
  <c r="AD509" i="9"/>
  <c r="CU509" i="9" s="1"/>
  <c r="AK509" i="9"/>
  <c r="DB509" i="9" s="1"/>
  <c r="AI509" i="9"/>
  <c r="CZ509" i="9" s="1"/>
  <c r="BH509" i="9"/>
  <c r="DY509" i="9" s="1"/>
  <c r="AY509" i="9"/>
  <c r="DP509" i="9" s="1"/>
  <c r="K487" i="9"/>
  <c r="CB487" i="9" s="1"/>
  <c r="T256" i="9"/>
  <c r="CK256" i="9" s="1"/>
  <c r="N494" i="9"/>
  <c r="CE494" i="9" s="1"/>
  <c r="K494" i="9"/>
  <c r="CB494" i="9" s="1"/>
  <c r="R494" i="9"/>
  <c r="CI494" i="9" s="1"/>
  <c r="M494" i="9"/>
  <c r="CD494" i="9" s="1"/>
  <c r="L280" i="9"/>
  <c r="CC280" i="9" s="1"/>
  <c r="Q280" i="9"/>
  <c r="CH280" i="9" s="1"/>
  <c r="BU586" i="9"/>
  <c r="M439" i="6" s="1"/>
  <c r="BT347" i="9"/>
  <c r="L220" i="6" s="1"/>
  <c r="BU340" i="9"/>
  <c r="M213" i="6" s="1"/>
  <c r="BT458" i="9"/>
  <c r="L321" i="6" s="1"/>
  <c r="BC593" i="9"/>
  <c r="AY657" i="11" s="1"/>
  <c r="AB353" i="9"/>
  <c r="X647" i="11" s="1"/>
  <c r="AU370" i="9"/>
  <c r="DL370" i="9" s="1"/>
  <c r="AI370" i="9"/>
  <c r="CZ370" i="9" s="1"/>
  <c r="AM554" i="9"/>
  <c r="DD554" i="9" s="1"/>
  <c r="AL554" i="9"/>
  <c r="DC554" i="9" s="1"/>
  <c r="AV554" i="9"/>
  <c r="DM554" i="9" s="1"/>
  <c r="V554" i="9"/>
  <c r="CM554" i="9" s="1"/>
  <c r="BJ554" i="9"/>
  <c r="EA554" i="9" s="1"/>
  <c r="BO554" i="9"/>
  <c r="EF554" i="9" s="1"/>
  <c r="AI485" i="9"/>
  <c r="CZ485" i="9" s="1"/>
  <c r="BD366" i="9"/>
  <c r="DU366" i="9" s="1"/>
  <c r="BM366" i="9"/>
  <c r="ED366" i="9" s="1"/>
  <c r="AX366" i="9"/>
  <c r="DO366" i="9" s="1"/>
  <c r="AR366" i="9"/>
  <c r="DI366" i="9" s="1"/>
  <c r="AG366" i="9"/>
  <c r="CX366" i="9" s="1"/>
  <c r="AI366" i="9"/>
  <c r="CZ366" i="9" s="1"/>
  <c r="U366" i="9"/>
  <c r="CL366" i="9" s="1"/>
  <c r="BL565" i="9"/>
  <c r="EC565" i="9" s="1"/>
  <c r="BD565" i="9"/>
  <c r="DU565" i="9" s="1"/>
  <c r="AV566" i="9"/>
  <c r="DM566" i="9" s="1"/>
  <c r="BN369" i="9"/>
  <c r="EE369" i="9" s="1"/>
  <c r="AN369" i="9"/>
  <c r="DE369" i="9" s="1"/>
  <c r="AG369" i="9"/>
  <c r="CX369" i="9" s="1"/>
  <c r="BB369" i="9"/>
  <c r="DS369" i="9" s="1"/>
  <c r="Y369" i="9"/>
  <c r="CP369" i="9" s="1"/>
  <c r="BL369" i="9"/>
  <c r="EC369" i="9" s="1"/>
  <c r="BO369" i="9"/>
  <c r="EF369" i="9" s="1"/>
  <c r="BR487" i="9"/>
  <c r="EI487" i="9" s="1"/>
  <c r="AJ487" i="9"/>
  <c r="DA487" i="9" s="1"/>
  <c r="BN487" i="9"/>
  <c r="EE487" i="9" s="1"/>
  <c r="AT487" i="9"/>
  <c r="DK487" i="9" s="1"/>
  <c r="BC487" i="9"/>
  <c r="DT487" i="9" s="1"/>
  <c r="AA487" i="9"/>
  <c r="CR487" i="9" s="1"/>
  <c r="AC487" i="9"/>
  <c r="CT487" i="9" s="1"/>
  <c r="AJ517" i="9"/>
  <c r="DA517" i="9" s="1"/>
  <c r="AB517" i="9"/>
  <c r="CS517" i="9" s="1"/>
  <c r="BQ517" i="9"/>
  <c r="EH517" i="9" s="1"/>
  <c r="AM517" i="9"/>
  <c r="DD517" i="9" s="1"/>
  <c r="AT517" i="9"/>
  <c r="DK517" i="9" s="1"/>
  <c r="BK517" i="9"/>
  <c r="EB517" i="9" s="1"/>
  <c r="AI517" i="9"/>
  <c r="CZ517" i="9" s="1"/>
  <c r="AP256" i="9"/>
  <c r="DG256" i="9" s="1"/>
  <c r="AU256" i="9"/>
  <c r="DL256" i="9" s="1"/>
  <c r="BO256" i="9"/>
  <c r="EF256" i="9" s="1"/>
  <c r="AK256" i="9"/>
  <c r="DB256" i="9" s="1"/>
  <c r="BQ256" i="9"/>
  <c r="EH256" i="9" s="1"/>
  <c r="BP256" i="9"/>
  <c r="EG256" i="9" s="1"/>
  <c r="R509" i="9"/>
  <c r="CI509" i="9" s="1"/>
  <c r="BR509" i="9"/>
  <c r="EI509" i="9" s="1"/>
  <c r="AW509" i="9"/>
  <c r="DN509" i="9" s="1"/>
  <c r="AR509" i="9"/>
  <c r="DI509" i="9" s="1"/>
  <c r="X509" i="9"/>
  <c r="CO509" i="9" s="1"/>
  <c r="AO509" i="9"/>
  <c r="DF509" i="9" s="1"/>
  <c r="AZ509" i="9"/>
  <c r="DQ509" i="9" s="1"/>
  <c r="Q487" i="9"/>
  <c r="CH487" i="9" s="1"/>
  <c r="R487" i="9"/>
  <c r="CI487" i="9" s="1"/>
  <c r="N554" i="9"/>
  <c r="CE554" i="9" s="1"/>
  <c r="L256" i="9"/>
  <c r="CC256" i="9" s="1"/>
  <c r="K366" i="9"/>
  <c r="CB366" i="9" s="1"/>
  <c r="K256" i="9"/>
  <c r="CB256" i="9" s="1"/>
  <c r="K517" i="9"/>
  <c r="CB517" i="9" s="1"/>
  <c r="Q605" i="9"/>
  <c r="CH605" i="9" s="1"/>
  <c r="O605" i="9"/>
  <c r="CF605" i="9" s="1"/>
  <c r="BT574" i="9"/>
  <c r="L427" i="6" s="1"/>
  <c r="N593" i="9"/>
  <c r="J657" i="11" s="1"/>
  <c r="O593" i="9"/>
  <c r="K657" i="11" s="1"/>
  <c r="BU575" i="9"/>
  <c r="M428" i="6" s="1"/>
  <c r="BT346" i="9"/>
  <c r="L219" i="6" s="1"/>
  <c r="BU367" i="9"/>
  <c r="M238" i="6" s="1"/>
  <c r="BU453" i="9"/>
  <c r="M316" i="6" s="1"/>
  <c r="Q473" i="9"/>
  <c r="M652" i="11" s="1"/>
  <c r="BT466" i="9"/>
  <c r="L329" i="6" s="1"/>
  <c r="AR370" i="9"/>
  <c r="DI370" i="9" s="1"/>
  <c r="BI554" i="9"/>
  <c r="DZ554" i="9" s="1"/>
  <c r="BF554" i="9"/>
  <c r="DW554" i="9" s="1"/>
  <c r="Y554" i="9"/>
  <c r="CP554" i="9" s="1"/>
  <c r="BM554" i="9"/>
  <c r="ED554" i="9" s="1"/>
  <c r="BE554" i="9"/>
  <c r="DV554" i="9" s="1"/>
  <c r="AP554" i="9"/>
  <c r="DG554" i="9" s="1"/>
  <c r="AY485" i="9"/>
  <c r="DP485" i="9" s="1"/>
  <c r="Y366" i="9"/>
  <c r="CP366" i="9" s="1"/>
  <c r="BI366" i="9"/>
  <c r="DZ366" i="9" s="1"/>
  <c r="BR366" i="9"/>
  <c r="EI366" i="9" s="1"/>
  <c r="AJ366" i="9"/>
  <c r="DA366" i="9" s="1"/>
  <c r="AO366" i="9"/>
  <c r="DF366" i="9" s="1"/>
  <c r="BQ366" i="9"/>
  <c r="EH366" i="9" s="1"/>
  <c r="AZ565" i="9"/>
  <c r="DQ565" i="9" s="1"/>
  <c r="BH565" i="9"/>
  <c r="DY565" i="9" s="1"/>
  <c r="M366" i="9"/>
  <c r="CD366" i="9" s="1"/>
  <c r="BD369" i="9"/>
  <c r="DU369" i="9" s="1"/>
  <c r="AS369" i="9"/>
  <c r="DJ369" i="9" s="1"/>
  <c r="BE369" i="9"/>
  <c r="DV369" i="9" s="1"/>
  <c r="BA369" i="9"/>
  <c r="DR369" i="9" s="1"/>
  <c r="AR369" i="9"/>
  <c r="DI369" i="9" s="1"/>
  <c r="BC369" i="9"/>
  <c r="DT369" i="9" s="1"/>
  <c r="BQ369" i="9"/>
  <c r="EH369" i="9" s="1"/>
  <c r="BF487" i="9"/>
  <c r="DW487" i="9" s="1"/>
  <c r="AO487" i="9"/>
  <c r="DF487" i="9" s="1"/>
  <c r="BQ487" i="9"/>
  <c r="EH487" i="9" s="1"/>
  <c r="AB487" i="9"/>
  <c r="CS487" i="9" s="1"/>
  <c r="AN487" i="9"/>
  <c r="DE487" i="9" s="1"/>
  <c r="AE487" i="9"/>
  <c r="CV487" i="9" s="1"/>
  <c r="AY487" i="9"/>
  <c r="DP487" i="9" s="1"/>
  <c r="P366" i="9"/>
  <c r="CG366" i="9" s="1"/>
  <c r="AC517" i="9"/>
  <c r="CT517" i="9" s="1"/>
  <c r="AP517" i="9"/>
  <c r="DG517" i="9" s="1"/>
  <c r="AN517" i="9"/>
  <c r="DE517" i="9" s="1"/>
  <c r="BN517" i="9"/>
  <c r="EE517" i="9" s="1"/>
  <c r="BD517" i="9"/>
  <c r="DU517" i="9" s="1"/>
  <c r="U517" i="9"/>
  <c r="CL517" i="9" s="1"/>
  <c r="O256" i="9"/>
  <c r="CF256" i="9" s="1"/>
  <c r="AW256" i="9"/>
  <c r="DN256" i="9" s="1"/>
  <c r="AE256" i="9"/>
  <c r="CV256" i="9" s="1"/>
  <c r="AJ256" i="9"/>
  <c r="DA256" i="9" s="1"/>
  <c r="BK256" i="9"/>
  <c r="EB256" i="9" s="1"/>
  <c r="AS256" i="9"/>
  <c r="DJ256" i="9" s="1"/>
  <c r="V256" i="9"/>
  <c r="CM256" i="9" s="1"/>
  <c r="L509" i="9"/>
  <c r="CC509" i="9" s="1"/>
  <c r="Y509" i="9"/>
  <c r="CP509" i="9" s="1"/>
  <c r="AC509" i="9"/>
  <c r="CT509" i="9" s="1"/>
  <c r="AG509" i="9"/>
  <c r="CX509" i="9" s="1"/>
  <c r="AX509" i="9"/>
  <c r="DO509" i="9" s="1"/>
  <c r="BF509" i="9"/>
  <c r="DW509" i="9" s="1"/>
  <c r="BL509" i="9"/>
  <c r="EC509" i="9" s="1"/>
  <c r="Q554" i="9"/>
  <c r="CH554" i="9" s="1"/>
  <c r="Q366" i="9"/>
  <c r="CH366" i="9" s="1"/>
  <c r="R256" i="9"/>
  <c r="CI256" i="9" s="1"/>
  <c r="N488" i="9"/>
  <c r="CE488" i="9" s="1"/>
  <c r="M488" i="9"/>
  <c r="CD488" i="9" s="1"/>
  <c r="R488" i="9"/>
  <c r="CI488" i="9" s="1"/>
  <c r="O488" i="9"/>
  <c r="CF488" i="9" s="1"/>
  <c r="T278" i="9"/>
  <c r="CK278" i="9" s="1"/>
  <c r="L278" i="9"/>
  <c r="CC278" i="9" s="1"/>
  <c r="L593" i="9"/>
  <c r="H657" i="11" s="1"/>
  <c r="BT459" i="9"/>
  <c r="L322" i="6" s="1"/>
  <c r="BT454" i="9"/>
  <c r="L317" i="6" s="1"/>
  <c r="BU316" i="9"/>
  <c r="M191" i="6" s="1"/>
  <c r="BU334" i="9"/>
  <c r="M207" i="6" s="1"/>
  <c r="BT348" i="9"/>
  <c r="L221" i="6" s="1"/>
  <c r="Q369" i="9"/>
  <c r="CH369" i="9" s="1"/>
  <c r="AP370" i="9"/>
  <c r="DG370" i="9" s="1"/>
  <c r="BH554" i="9"/>
  <c r="DY554" i="9" s="1"/>
  <c r="AN554" i="9"/>
  <c r="DE554" i="9" s="1"/>
  <c r="AD554" i="9"/>
  <c r="CU554" i="9" s="1"/>
  <c r="AB554" i="9"/>
  <c r="CS554" i="9" s="1"/>
  <c r="AS554" i="9"/>
  <c r="DJ554" i="9" s="1"/>
  <c r="BD554" i="9"/>
  <c r="DU554" i="9" s="1"/>
  <c r="BL485" i="9"/>
  <c r="EC485" i="9" s="1"/>
  <c r="AN366" i="9"/>
  <c r="DE366" i="9" s="1"/>
  <c r="BK366" i="9"/>
  <c r="EB366" i="9" s="1"/>
  <c r="AE366" i="9"/>
  <c r="CV366" i="9" s="1"/>
  <c r="BA366" i="9"/>
  <c r="DR366" i="9" s="1"/>
  <c r="AP366" i="9"/>
  <c r="DG366" i="9" s="1"/>
  <c r="BL366" i="9"/>
  <c r="EC366" i="9" s="1"/>
  <c r="U565" i="9"/>
  <c r="CL565" i="9" s="1"/>
  <c r="L366" i="9"/>
  <c r="CC366" i="9" s="1"/>
  <c r="BK369" i="9"/>
  <c r="EB369" i="9" s="1"/>
  <c r="AW369" i="9"/>
  <c r="DN369" i="9" s="1"/>
  <c r="AK369" i="9"/>
  <c r="DB369" i="9" s="1"/>
  <c r="BM369" i="9"/>
  <c r="ED369" i="9" s="1"/>
  <c r="AD369" i="9"/>
  <c r="CU369" i="9" s="1"/>
  <c r="AO369" i="9"/>
  <c r="DF369" i="9" s="1"/>
  <c r="AD487" i="9"/>
  <c r="CU487" i="9" s="1"/>
  <c r="AS487" i="9"/>
  <c r="DJ487" i="9" s="1"/>
  <c r="BH487" i="9"/>
  <c r="DY487" i="9" s="1"/>
  <c r="AL487" i="9"/>
  <c r="DC487" i="9" s="1"/>
  <c r="AK487" i="9"/>
  <c r="DB487" i="9" s="1"/>
  <c r="W487" i="9"/>
  <c r="CN487" i="9" s="1"/>
  <c r="P517" i="9"/>
  <c r="CG517" i="9" s="1"/>
  <c r="Y517" i="9"/>
  <c r="CP517" i="9" s="1"/>
  <c r="BB517" i="9"/>
  <c r="DS517" i="9" s="1"/>
  <c r="AK517" i="9"/>
  <c r="DB517" i="9" s="1"/>
  <c r="AR517" i="9"/>
  <c r="DI517" i="9" s="1"/>
  <c r="Z517" i="9"/>
  <c r="CQ517" i="9" s="1"/>
  <c r="W517" i="9"/>
  <c r="CN517" i="9" s="1"/>
  <c r="S509" i="9"/>
  <c r="CJ509" i="9" s="1"/>
  <c r="N256" i="9"/>
  <c r="CE256" i="9" s="1"/>
  <c r="U256" i="9"/>
  <c r="CL256" i="9" s="1"/>
  <c r="AV256" i="9"/>
  <c r="DM256" i="9" s="1"/>
  <c r="AT256" i="9"/>
  <c r="DK256" i="9" s="1"/>
  <c r="AN256" i="9"/>
  <c r="DE256" i="9" s="1"/>
  <c r="AM256" i="9"/>
  <c r="DD256" i="9" s="1"/>
  <c r="BD256" i="9"/>
  <c r="DU256" i="9" s="1"/>
  <c r="M509" i="9"/>
  <c r="CD509" i="9" s="1"/>
  <c r="AA509" i="9"/>
  <c r="CR509" i="9" s="1"/>
  <c r="AJ509" i="9"/>
  <c r="DA509" i="9" s="1"/>
  <c r="U509" i="9"/>
  <c r="CL509" i="9" s="1"/>
  <c r="BG509" i="9"/>
  <c r="DX509" i="9" s="1"/>
  <c r="AF509" i="9"/>
  <c r="CW509" i="9" s="1"/>
  <c r="AQ509" i="9"/>
  <c r="DH509" i="9" s="1"/>
  <c r="P487" i="9"/>
  <c r="CG487" i="9" s="1"/>
  <c r="N366" i="9"/>
  <c r="CE366" i="9" s="1"/>
  <c r="P256" i="9"/>
  <c r="CG256" i="9" s="1"/>
  <c r="Q517" i="9"/>
  <c r="CH517" i="9" s="1"/>
  <c r="M482" i="9"/>
  <c r="CD482" i="9" s="1"/>
  <c r="R482" i="9"/>
  <c r="CI482" i="9" s="1"/>
  <c r="K482" i="9"/>
  <c r="CB482" i="9" s="1"/>
  <c r="P482" i="9"/>
  <c r="CG482" i="9" s="1"/>
  <c r="S482" i="9"/>
  <c r="CJ482" i="9" s="1"/>
  <c r="L601" i="9"/>
  <c r="CC601" i="9" s="1"/>
  <c r="P601" i="9"/>
  <c r="CG601" i="9" s="1"/>
  <c r="S601" i="9"/>
  <c r="CJ601" i="9" s="1"/>
  <c r="N601" i="9"/>
  <c r="CE601" i="9" s="1"/>
  <c r="T601" i="9"/>
  <c r="CK601" i="9" s="1"/>
  <c r="Q601" i="9"/>
  <c r="CH601" i="9" s="1"/>
  <c r="O601" i="9"/>
  <c r="CF601" i="9" s="1"/>
  <c r="R601" i="9"/>
  <c r="CI601" i="9" s="1"/>
  <c r="K392" i="9"/>
  <c r="CB392" i="9" s="1"/>
  <c r="BU461" i="9"/>
  <c r="M324" i="6" s="1"/>
  <c r="K566" i="9"/>
  <c r="CB566" i="9" s="1"/>
  <c r="O353" i="9"/>
  <c r="K647" i="11" s="1"/>
  <c r="BT472" i="9"/>
  <c r="L335" i="6" s="1"/>
  <c r="O473" i="9"/>
  <c r="K652" i="11" s="1"/>
  <c r="AV370" i="9"/>
  <c r="DM370" i="9" s="1"/>
  <c r="AW554" i="9"/>
  <c r="DN554" i="9" s="1"/>
  <c r="AO554" i="9"/>
  <c r="DF554" i="9" s="1"/>
  <c r="BB554" i="9"/>
  <c r="DS554" i="9" s="1"/>
  <c r="BG554" i="9"/>
  <c r="DX554" i="9" s="1"/>
  <c r="AK554" i="9"/>
  <c r="DB554" i="9" s="1"/>
  <c r="AJ554" i="9"/>
  <c r="DA554" i="9" s="1"/>
  <c r="AK485" i="9"/>
  <c r="DB485" i="9" s="1"/>
  <c r="AW366" i="9"/>
  <c r="DN366" i="9" s="1"/>
  <c r="AT366" i="9"/>
  <c r="DK366" i="9" s="1"/>
  <c r="W366" i="9"/>
  <c r="CN366" i="9" s="1"/>
  <c r="AK366" i="9"/>
  <c r="DB366" i="9" s="1"/>
  <c r="AB366" i="9"/>
  <c r="CS366" i="9" s="1"/>
  <c r="BB366" i="9"/>
  <c r="DS366" i="9" s="1"/>
  <c r="Z565" i="9"/>
  <c r="CQ565" i="9" s="1"/>
  <c r="AI566" i="9"/>
  <c r="CZ566" i="9" s="1"/>
  <c r="T366" i="9"/>
  <c r="CK366" i="9" s="1"/>
  <c r="AQ369" i="9"/>
  <c r="DH369" i="9" s="1"/>
  <c r="AB369" i="9"/>
  <c r="CS369" i="9" s="1"/>
  <c r="BJ369" i="9"/>
  <c r="EA369" i="9" s="1"/>
  <c r="BI369" i="9"/>
  <c r="DZ369" i="9" s="1"/>
  <c r="AE369" i="9"/>
  <c r="CV369" i="9" s="1"/>
  <c r="AF369" i="9"/>
  <c r="CW369" i="9" s="1"/>
  <c r="BI487" i="9"/>
  <c r="DZ487" i="9" s="1"/>
  <c r="AQ487" i="9"/>
  <c r="DH487" i="9" s="1"/>
  <c r="BM487" i="9"/>
  <c r="ED487" i="9" s="1"/>
  <c r="AH487" i="9"/>
  <c r="CY487" i="9" s="1"/>
  <c r="BB487" i="9"/>
  <c r="DS487" i="9" s="1"/>
  <c r="AW487" i="9"/>
  <c r="DN487" i="9" s="1"/>
  <c r="M517" i="9"/>
  <c r="CD517" i="9" s="1"/>
  <c r="BG517" i="9"/>
  <c r="DX517" i="9" s="1"/>
  <c r="AS517" i="9"/>
  <c r="DJ517" i="9" s="1"/>
  <c r="AE517" i="9"/>
  <c r="CV517" i="9" s="1"/>
  <c r="AZ517" i="9"/>
  <c r="DQ517" i="9" s="1"/>
  <c r="AW517" i="9"/>
  <c r="DN517" i="9" s="1"/>
  <c r="BR517" i="9"/>
  <c r="EI517" i="9" s="1"/>
  <c r="AP549" i="9"/>
  <c r="DG549" i="9" s="1"/>
  <c r="S256" i="9"/>
  <c r="CJ256" i="9" s="1"/>
  <c r="AX256" i="9"/>
  <c r="DO256" i="9" s="1"/>
  <c r="X256" i="9"/>
  <c r="CO256" i="9" s="1"/>
  <c r="BC256" i="9"/>
  <c r="DT256" i="9" s="1"/>
  <c r="BN256" i="9"/>
  <c r="EE256" i="9" s="1"/>
  <c r="BE256" i="9"/>
  <c r="DV256" i="9" s="1"/>
  <c r="Y256" i="9"/>
  <c r="CP256" i="9" s="1"/>
  <c r="AP509" i="9"/>
  <c r="DG509" i="9" s="1"/>
  <c r="V509" i="9"/>
  <c r="CM509" i="9" s="1"/>
  <c r="Z509" i="9"/>
  <c r="CQ509" i="9" s="1"/>
  <c r="AL509" i="9"/>
  <c r="DC509" i="9" s="1"/>
  <c r="AB509" i="9"/>
  <c r="CS509" i="9" s="1"/>
  <c r="BI509" i="9"/>
  <c r="DZ509" i="9" s="1"/>
  <c r="BJ509" i="9"/>
  <c r="EA509" i="9" s="1"/>
  <c r="M487" i="9"/>
  <c r="CD487" i="9" s="1"/>
  <c r="M554" i="9"/>
  <c r="CD554" i="9" s="1"/>
  <c r="S366" i="9"/>
  <c r="CJ366" i="9" s="1"/>
  <c r="S517" i="9"/>
  <c r="CJ517" i="9" s="1"/>
  <c r="BU459" i="9"/>
  <c r="M322" i="6" s="1"/>
  <c r="BU454" i="9"/>
  <c r="M317" i="6" s="1"/>
  <c r="BT341" i="9"/>
  <c r="L214" i="6" s="1"/>
  <c r="O425" i="9"/>
  <c r="K650" i="11" s="1"/>
  <c r="R473" i="9"/>
  <c r="N652" i="11" s="1"/>
  <c r="BA370" i="9"/>
  <c r="DR370" i="9" s="1"/>
  <c r="AZ554" i="9"/>
  <c r="DQ554" i="9" s="1"/>
  <c r="AX554" i="9"/>
  <c r="DO554" i="9" s="1"/>
  <c r="U554" i="9"/>
  <c r="CL554" i="9" s="1"/>
  <c r="BL554" i="9"/>
  <c r="EC554" i="9" s="1"/>
  <c r="AH554" i="9"/>
  <c r="CY554" i="9" s="1"/>
  <c r="AE554" i="9"/>
  <c r="CV554" i="9" s="1"/>
  <c r="V485" i="9"/>
  <c r="CM485" i="9" s="1"/>
  <c r="AU366" i="9"/>
  <c r="DL366" i="9" s="1"/>
  <c r="AZ366" i="9"/>
  <c r="DQ366" i="9" s="1"/>
  <c r="AA366" i="9"/>
  <c r="CR366" i="9" s="1"/>
  <c r="BF366" i="9"/>
  <c r="DW366" i="9" s="1"/>
  <c r="BE366" i="9"/>
  <c r="DV366" i="9" s="1"/>
  <c r="AL366" i="9"/>
  <c r="DC366" i="9" s="1"/>
  <c r="AY565" i="9"/>
  <c r="DP565" i="9" s="1"/>
  <c r="U566" i="9"/>
  <c r="CL566" i="9" s="1"/>
  <c r="V369" i="9"/>
  <c r="CM369" i="9" s="1"/>
  <c r="AU369" i="9"/>
  <c r="DL369" i="9" s="1"/>
  <c r="AH369" i="9"/>
  <c r="CY369" i="9" s="1"/>
  <c r="BG369" i="9"/>
  <c r="DX369" i="9" s="1"/>
  <c r="W369" i="9"/>
  <c r="CN369" i="9" s="1"/>
  <c r="AY369" i="9"/>
  <c r="DP369" i="9" s="1"/>
  <c r="AV487" i="9"/>
  <c r="DM487" i="9" s="1"/>
  <c r="X487" i="9"/>
  <c r="CO487" i="9" s="1"/>
  <c r="BJ487" i="9"/>
  <c r="EA487" i="9" s="1"/>
  <c r="AZ487" i="9"/>
  <c r="DQ487" i="9" s="1"/>
  <c r="Y487" i="9"/>
  <c r="CP487" i="9" s="1"/>
  <c r="AR487" i="9"/>
  <c r="DI487" i="9" s="1"/>
  <c r="L517" i="9"/>
  <c r="CC517" i="9" s="1"/>
  <c r="BM517" i="9"/>
  <c r="ED517" i="9" s="1"/>
  <c r="AF517" i="9"/>
  <c r="CW517" i="9" s="1"/>
  <c r="BF517" i="9"/>
  <c r="DW517" i="9" s="1"/>
  <c r="BA517" i="9"/>
  <c r="DR517" i="9" s="1"/>
  <c r="BJ517" i="9"/>
  <c r="EA517" i="9" s="1"/>
  <c r="BP517" i="9"/>
  <c r="EG517" i="9" s="1"/>
  <c r="W256" i="9"/>
  <c r="CN256" i="9" s="1"/>
  <c r="BB256" i="9"/>
  <c r="DS256" i="9" s="1"/>
  <c r="BR256" i="9"/>
  <c r="EI256" i="9" s="1"/>
  <c r="AF256" i="9"/>
  <c r="CW256" i="9" s="1"/>
  <c r="AQ256" i="9"/>
  <c r="DH256" i="9" s="1"/>
  <c r="AH256" i="9"/>
  <c r="CY256" i="9" s="1"/>
  <c r="BG256" i="9"/>
  <c r="DX256" i="9" s="1"/>
  <c r="P509" i="9"/>
  <c r="CG509" i="9" s="1"/>
  <c r="BM509" i="9"/>
  <c r="ED509" i="9" s="1"/>
  <c r="AN509" i="9"/>
  <c r="DE509" i="9" s="1"/>
  <c r="BP509" i="9"/>
  <c r="EG509" i="9" s="1"/>
  <c r="AU509" i="9"/>
  <c r="DL509" i="9" s="1"/>
  <c r="AH509" i="9"/>
  <c r="CY509" i="9" s="1"/>
  <c r="BC509" i="9"/>
  <c r="DT509" i="9" s="1"/>
  <c r="BE509" i="9"/>
  <c r="DV509" i="9" s="1"/>
  <c r="AN239" i="9"/>
  <c r="DE239" i="9" s="1"/>
  <c r="L554" i="9"/>
  <c r="CC554" i="9" s="1"/>
  <c r="P554" i="9"/>
  <c r="CG554" i="9" s="1"/>
  <c r="R366" i="9"/>
  <c r="CI366" i="9" s="1"/>
  <c r="L487" i="9"/>
  <c r="CC487" i="9" s="1"/>
  <c r="O517" i="9"/>
  <c r="CF517" i="9" s="1"/>
  <c r="S243" i="9"/>
  <c r="CJ243" i="9" s="1"/>
  <c r="K243" i="9"/>
  <c r="CB243" i="9" s="1"/>
  <c r="T611" i="9"/>
  <c r="CK611" i="9" s="1"/>
  <c r="S611" i="9"/>
  <c r="CJ611" i="9" s="1"/>
  <c r="M611" i="9"/>
  <c r="CD611" i="9" s="1"/>
  <c r="P611" i="9"/>
  <c r="CG611" i="9" s="1"/>
  <c r="K554" i="9"/>
  <c r="CB554" i="9" s="1"/>
  <c r="S353" i="9"/>
  <c r="O647" i="11" s="1"/>
  <c r="T593" i="9"/>
  <c r="P657" i="11" s="1"/>
  <c r="P329" i="9"/>
  <c r="L646" i="11" s="1"/>
  <c r="BT335" i="9"/>
  <c r="L208" i="6" s="1"/>
  <c r="BT339" i="9"/>
  <c r="L212" i="6" s="1"/>
  <c r="BT470" i="9"/>
  <c r="L333" i="6" s="1"/>
  <c r="BU348" i="9"/>
  <c r="M221" i="6" s="1"/>
  <c r="N473" i="9"/>
  <c r="J652" i="11" s="1"/>
  <c r="M425" i="9"/>
  <c r="I650" i="11" s="1"/>
  <c r="Y370" i="9"/>
  <c r="CP370" i="9" s="1"/>
  <c r="AY554" i="9"/>
  <c r="DP554" i="9" s="1"/>
  <c r="AF554" i="9"/>
  <c r="CW554" i="9" s="1"/>
  <c r="AA554" i="9"/>
  <c r="CR554" i="9" s="1"/>
  <c r="AG554" i="9"/>
  <c r="CX554" i="9" s="1"/>
  <c r="X554" i="9"/>
  <c r="CO554" i="9" s="1"/>
  <c r="AU554" i="9"/>
  <c r="DL554" i="9" s="1"/>
  <c r="Y485" i="9"/>
  <c r="CP485" i="9" s="1"/>
  <c r="BC366" i="9"/>
  <c r="DT366" i="9" s="1"/>
  <c r="BO366" i="9"/>
  <c r="EF366" i="9" s="1"/>
  <c r="BH366" i="9"/>
  <c r="DY366" i="9" s="1"/>
  <c r="Z366" i="9"/>
  <c r="CQ366" i="9" s="1"/>
  <c r="AS366" i="9"/>
  <c r="DJ366" i="9" s="1"/>
  <c r="AV366" i="9"/>
  <c r="DM366" i="9" s="1"/>
  <c r="BH369" i="9"/>
  <c r="DY369" i="9" s="1"/>
  <c r="AP369" i="9"/>
  <c r="DG369" i="9" s="1"/>
  <c r="BF369" i="9"/>
  <c r="DW369" i="9" s="1"/>
  <c r="BP369" i="9"/>
  <c r="EG369" i="9" s="1"/>
  <c r="AC369" i="9"/>
  <c r="CT369" i="9" s="1"/>
  <c r="BP487" i="9"/>
  <c r="EG487" i="9" s="1"/>
  <c r="BK487" i="9"/>
  <c r="EB487" i="9" s="1"/>
  <c r="AX487" i="9"/>
  <c r="DO487" i="9" s="1"/>
  <c r="U487" i="9"/>
  <c r="CL487" i="9" s="1"/>
  <c r="V487" i="9"/>
  <c r="CM487" i="9" s="1"/>
  <c r="AP487" i="9"/>
  <c r="DG487" i="9" s="1"/>
  <c r="N517" i="9"/>
  <c r="CE517" i="9" s="1"/>
  <c r="AD517" i="9"/>
  <c r="CU517" i="9" s="1"/>
  <c r="AA517" i="9"/>
  <c r="CR517" i="9" s="1"/>
  <c r="BC517" i="9"/>
  <c r="DT517" i="9" s="1"/>
  <c r="AX517" i="9"/>
  <c r="DO517" i="9" s="1"/>
  <c r="AH517" i="9"/>
  <c r="CY517" i="9" s="1"/>
  <c r="BH517" i="9"/>
  <c r="DY517" i="9" s="1"/>
  <c r="BK392" i="9"/>
  <c r="EB392" i="9" s="1"/>
  <c r="AL256" i="9"/>
  <c r="DC256" i="9" s="1"/>
  <c r="AA256" i="9"/>
  <c r="CR256" i="9" s="1"/>
  <c r="AD256" i="9"/>
  <c r="CU256" i="9" s="1"/>
  <c r="BF256" i="9"/>
  <c r="DW256" i="9" s="1"/>
  <c r="BI256" i="9"/>
  <c r="DZ256" i="9" s="1"/>
  <c r="BH256" i="9"/>
  <c r="DY256" i="9" s="1"/>
  <c r="Q509" i="9"/>
  <c r="CH509" i="9" s="1"/>
  <c r="BN509" i="9"/>
  <c r="EE509" i="9" s="1"/>
  <c r="AS509" i="9"/>
  <c r="DJ509" i="9" s="1"/>
  <c r="AM509" i="9"/>
  <c r="DD509" i="9" s="1"/>
  <c r="BO509" i="9"/>
  <c r="EF509" i="9" s="1"/>
  <c r="BA509" i="9"/>
  <c r="DR509" i="9" s="1"/>
  <c r="BD509" i="9"/>
  <c r="DU509" i="9" s="1"/>
  <c r="AD441" i="9"/>
  <c r="CU441" i="9" s="1"/>
  <c r="BT573" i="9"/>
  <c r="L426" i="6" s="1"/>
  <c r="O487" i="9"/>
  <c r="CF487" i="9" s="1"/>
  <c r="M329" i="9"/>
  <c r="I646" i="11" s="1"/>
  <c r="L246" i="9"/>
  <c r="CC246" i="9" s="1"/>
  <c r="K246" i="9"/>
  <c r="CB246" i="9" s="1"/>
  <c r="P599" i="9"/>
  <c r="CG599" i="9" s="1"/>
  <c r="R599" i="9"/>
  <c r="CI599" i="9" s="1"/>
  <c r="BT580" i="9"/>
  <c r="L433" i="6" s="1"/>
  <c r="BU576" i="9"/>
  <c r="M429" i="6" s="1"/>
  <c r="BU578" i="9"/>
  <c r="M431" i="6" s="1"/>
  <c r="R593" i="9"/>
  <c r="N657" i="11" s="1"/>
  <c r="BU247" i="9"/>
  <c r="M128" i="6" s="1"/>
  <c r="BT591" i="9"/>
  <c r="L444" i="6" s="1"/>
  <c r="BU470" i="9"/>
  <c r="M333" i="6" s="1"/>
  <c r="BT471" i="9"/>
  <c r="L334" i="6" s="1"/>
  <c r="BD370" i="9"/>
  <c r="DU370" i="9" s="1"/>
  <c r="AW370" i="9"/>
  <c r="DN370" i="9" s="1"/>
  <c r="BC370" i="9"/>
  <c r="DT370" i="9" s="1"/>
  <c r="AT370" i="9"/>
  <c r="DK370" i="9" s="1"/>
  <c r="AK370" i="9"/>
  <c r="DB370" i="9" s="1"/>
  <c r="BB485" i="9"/>
  <c r="DS485" i="9" s="1"/>
  <c r="BO485" i="9"/>
  <c r="EF485" i="9" s="1"/>
  <c r="AA485" i="9"/>
  <c r="CR485" i="9" s="1"/>
  <c r="BN435" i="9"/>
  <c r="EE435" i="9" s="1"/>
  <c r="AU376" i="9"/>
  <c r="DL376" i="9" s="1"/>
  <c r="AV237" i="9"/>
  <c r="DM237" i="9" s="1"/>
  <c r="BP237" i="9"/>
  <c r="EG237" i="9" s="1"/>
  <c r="AD237" i="9"/>
  <c r="CU237" i="9" s="1"/>
  <c r="Y237" i="9"/>
  <c r="CP237" i="9" s="1"/>
  <c r="BG237" i="9"/>
  <c r="DX237" i="9" s="1"/>
  <c r="U237" i="9"/>
  <c r="CL237" i="9" s="1"/>
  <c r="T237" i="9"/>
  <c r="CK237" i="9" s="1"/>
  <c r="AR237" i="9"/>
  <c r="DI237" i="9" s="1"/>
  <c r="AX237" i="9"/>
  <c r="DO237" i="9" s="1"/>
  <c r="BK237" i="9"/>
  <c r="EB237" i="9" s="1"/>
  <c r="BB237" i="9"/>
  <c r="DS237" i="9" s="1"/>
  <c r="BL237" i="9"/>
  <c r="EC237" i="9" s="1"/>
  <c r="BC237" i="9"/>
  <c r="DT237" i="9" s="1"/>
  <c r="O237" i="9"/>
  <c r="CF237" i="9" s="1"/>
  <c r="N237" i="9"/>
  <c r="CE237" i="9" s="1"/>
  <c r="R237" i="9"/>
  <c r="CI237" i="9" s="1"/>
  <c r="AH237" i="9"/>
  <c r="CY237" i="9" s="1"/>
  <c r="AE237" i="9"/>
  <c r="CV237" i="9" s="1"/>
  <c r="AG237" i="9"/>
  <c r="CX237" i="9" s="1"/>
  <c r="BO237" i="9"/>
  <c r="EF237" i="9" s="1"/>
  <c r="AK237" i="9"/>
  <c r="DB237" i="9" s="1"/>
  <c r="AF237" i="9"/>
  <c r="CW237" i="9" s="1"/>
  <c r="Q237" i="9"/>
  <c r="CH237" i="9" s="1"/>
  <c r="P237" i="9"/>
  <c r="CG237" i="9" s="1"/>
  <c r="BA237" i="9"/>
  <c r="DR237" i="9" s="1"/>
  <c r="AB237" i="9"/>
  <c r="CS237" i="9" s="1"/>
  <c r="BJ237" i="9"/>
  <c r="EA237" i="9" s="1"/>
  <c r="AW237" i="9"/>
  <c r="DN237" i="9" s="1"/>
  <c r="AA237" i="9"/>
  <c r="CR237" i="9" s="1"/>
  <c r="AC237" i="9"/>
  <c r="CT237" i="9" s="1"/>
  <c r="S237" i="9"/>
  <c r="CJ237" i="9" s="1"/>
  <c r="L237" i="9"/>
  <c r="CC237" i="9" s="1"/>
  <c r="BF237" i="9"/>
  <c r="DW237" i="9" s="1"/>
  <c r="AU237" i="9"/>
  <c r="DL237" i="9" s="1"/>
  <c r="AZ237" i="9"/>
  <c r="DQ237" i="9" s="1"/>
  <c r="AS237" i="9"/>
  <c r="DJ237" i="9" s="1"/>
  <c r="AN237" i="9"/>
  <c r="DE237" i="9" s="1"/>
  <c r="AO237" i="9"/>
  <c r="DF237" i="9" s="1"/>
  <c r="M237" i="9"/>
  <c r="CD237" i="9" s="1"/>
  <c r="AM237" i="9"/>
  <c r="DD237" i="9" s="1"/>
  <c r="BR237" i="9"/>
  <c r="EI237" i="9" s="1"/>
  <c r="BE237" i="9"/>
  <c r="DV237" i="9" s="1"/>
  <c r="AI237" i="9"/>
  <c r="CZ237" i="9" s="1"/>
  <c r="BQ237" i="9"/>
  <c r="EH237" i="9" s="1"/>
  <c r="AP237" i="9"/>
  <c r="DG237" i="9" s="1"/>
  <c r="BN237" i="9"/>
  <c r="EE237" i="9" s="1"/>
  <c r="Z237" i="9"/>
  <c r="CQ237" i="9" s="1"/>
  <c r="BM237" i="9"/>
  <c r="ED237" i="9" s="1"/>
  <c r="AQ237" i="9"/>
  <c r="DH237" i="9" s="1"/>
  <c r="AT237" i="9"/>
  <c r="DK237" i="9" s="1"/>
  <c r="BD237" i="9"/>
  <c r="DU237" i="9" s="1"/>
  <c r="W237" i="9"/>
  <c r="CN237" i="9" s="1"/>
  <c r="K237" i="9"/>
  <c r="CB237" i="9" s="1"/>
  <c r="V549" i="9"/>
  <c r="CM549" i="9" s="1"/>
  <c r="I569" i="9"/>
  <c r="AB549" i="9"/>
  <c r="CS549" i="9" s="1"/>
  <c r="BN549" i="9"/>
  <c r="AS549" i="9"/>
  <c r="DJ549" i="9" s="1"/>
  <c r="U549" i="9"/>
  <c r="AX549" i="9"/>
  <c r="DO549" i="9" s="1"/>
  <c r="BD549" i="9"/>
  <c r="DU549" i="9" s="1"/>
  <c r="AN549" i="9"/>
  <c r="DE549" i="9" s="1"/>
  <c r="BM549" i="9"/>
  <c r="ED549" i="9" s="1"/>
  <c r="AO549" i="9"/>
  <c r="DF549" i="9" s="1"/>
  <c r="BJ549" i="9"/>
  <c r="EA549" i="9" s="1"/>
  <c r="AW549" i="9"/>
  <c r="DN549" i="9" s="1"/>
  <c r="AC549" i="9"/>
  <c r="CT549" i="9" s="1"/>
  <c r="AR549" i="9"/>
  <c r="DI549" i="9" s="1"/>
  <c r="AI549" i="9"/>
  <c r="CZ549" i="9" s="1"/>
  <c r="W549" i="9"/>
  <c r="CN549" i="9" s="1"/>
  <c r="BH549" i="9"/>
  <c r="DY549" i="9" s="1"/>
  <c r="BK549" i="9"/>
  <c r="EB549" i="9" s="1"/>
  <c r="X549" i="9"/>
  <c r="AJ549" i="9"/>
  <c r="DA549" i="9" s="1"/>
  <c r="AU549" i="9"/>
  <c r="DL549" i="9" s="1"/>
  <c r="AL549" i="9"/>
  <c r="DC549" i="9" s="1"/>
  <c r="BC549" i="9"/>
  <c r="DT549" i="9" s="1"/>
  <c r="AG549" i="9"/>
  <c r="BG549" i="9"/>
  <c r="DX549" i="9" s="1"/>
  <c r="BB549" i="9"/>
  <c r="DS549" i="9" s="1"/>
  <c r="R549" i="9"/>
  <c r="CI549" i="9" s="1"/>
  <c r="BQ549" i="9"/>
  <c r="EH549" i="9" s="1"/>
  <c r="AH549" i="9"/>
  <c r="CY549" i="9" s="1"/>
  <c r="BA549" i="9"/>
  <c r="DR549" i="9" s="1"/>
  <c r="BR549" i="9"/>
  <c r="EI549" i="9" s="1"/>
  <c r="AK549" i="9"/>
  <c r="DB549" i="9" s="1"/>
  <c r="Z549" i="9"/>
  <c r="CQ549" i="9" s="1"/>
  <c r="T549" i="9"/>
  <c r="CK549" i="9" s="1"/>
  <c r="AQ549" i="9"/>
  <c r="AV549" i="9"/>
  <c r="DM549" i="9" s="1"/>
  <c r="AT549" i="9"/>
  <c r="DK549" i="9" s="1"/>
  <c r="AA549" i="9"/>
  <c r="CR549" i="9" s="1"/>
  <c r="AZ549" i="9"/>
  <c r="DQ549" i="9" s="1"/>
  <c r="BO549" i="9"/>
  <c r="BF549" i="9"/>
  <c r="DW549" i="9" s="1"/>
  <c r="BP549" i="9"/>
  <c r="EG549" i="9" s="1"/>
  <c r="AF549" i="9"/>
  <c r="AY549" i="9"/>
  <c r="DP549" i="9" s="1"/>
  <c r="BI549" i="9"/>
  <c r="DZ549" i="9" s="1"/>
  <c r="BE549" i="9"/>
  <c r="DV549" i="9" s="1"/>
  <c r="AS239" i="9"/>
  <c r="DJ239" i="9" s="1"/>
  <c r="X239" i="9"/>
  <c r="CO239" i="9" s="1"/>
  <c r="BR239" i="9"/>
  <c r="EI239" i="9" s="1"/>
  <c r="AZ239" i="9"/>
  <c r="DQ239" i="9" s="1"/>
  <c r="AM239" i="9"/>
  <c r="DD239" i="9" s="1"/>
  <c r="AR239" i="9"/>
  <c r="DI239" i="9" s="1"/>
  <c r="R239" i="9"/>
  <c r="CI239" i="9" s="1"/>
  <c r="AJ239" i="9"/>
  <c r="DA239" i="9" s="1"/>
  <c r="AV239" i="9"/>
  <c r="DM239" i="9" s="1"/>
  <c r="BQ239" i="9"/>
  <c r="EH239" i="9" s="1"/>
  <c r="BN239" i="9"/>
  <c r="EE239" i="9" s="1"/>
  <c r="BC239" i="9"/>
  <c r="DT239" i="9" s="1"/>
  <c r="BA239" i="9"/>
  <c r="DR239" i="9" s="1"/>
  <c r="K239" i="9"/>
  <c r="CB239" i="9" s="1"/>
  <c r="BG239" i="9"/>
  <c r="DX239" i="9" s="1"/>
  <c r="U239" i="9"/>
  <c r="CL239" i="9" s="1"/>
  <c r="BH239" i="9"/>
  <c r="DY239" i="9" s="1"/>
  <c r="AW239" i="9"/>
  <c r="DN239" i="9" s="1"/>
  <c r="AT239" i="9"/>
  <c r="DK239" i="9" s="1"/>
  <c r="AL239" i="9"/>
  <c r="DC239" i="9" s="1"/>
  <c r="AF239" i="9"/>
  <c r="CW239" i="9" s="1"/>
  <c r="AA239" i="9"/>
  <c r="CR239" i="9" s="1"/>
  <c r="Y239" i="9"/>
  <c r="CP239" i="9" s="1"/>
  <c r="BK239" i="9"/>
  <c r="EB239" i="9" s="1"/>
  <c r="AI239" i="9"/>
  <c r="CZ239" i="9" s="1"/>
  <c r="AC239" i="9"/>
  <c r="CT239" i="9" s="1"/>
  <c r="BD239" i="9"/>
  <c r="DU239" i="9" s="1"/>
  <c r="BP239" i="9"/>
  <c r="EG239" i="9" s="1"/>
  <c r="BE239" i="9"/>
  <c r="DV239" i="9" s="1"/>
  <c r="BB239" i="9"/>
  <c r="DS239" i="9" s="1"/>
  <c r="Z239" i="9"/>
  <c r="CQ239" i="9" s="1"/>
  <c r="AO239" i="9"/>
  <c r="DF239" i="9" s="1"/>
  <c r="BO239" i="9"/>
  <c r="EF239" i="9" s="1"/>
  <c r="AK239" i="9"/>
  <c r="DB239" i="9" s="1"/>
  <c r="AG239" i="9"/>
  <c r="CX239" i="9" s="1"/>
  <c r="V239" i="9"/>
  <c r="CM239" i="9" s="1"/>
  <c r="AQ239" i="9"/>
  <c r="DH239" i="9" s="1"/>
  <c r="AX239" i="9"/>
  <c r="DO239" i="9" s="1"/>
  <c r="W239" i="9"/>
  <c r="CN239" i="9" s="1"/>
  <c r="T239" i="9"/>
  <c r="CK239" i="9" s="1"/>
  <c r="BL239" i="9"/>
  <c r="EC239" i="9" s="1"/>
  <c r="AY239" i="9"/>
  <c r="DP239" i="9" s="1"/>
  <c r="AD239" i="9"/>
  <c r="CU239" i="9" s="1"/>
  <c r="BI239" i="9"/>
  <c r="DZ239" i="9" s="1"/>
  <c r="BF239" i="9"/>
  <c r="DW239" i="9" s="1"/>
  <c r="AU239" i="9"/>
  <c r="DL239" i="9" s="1"/>
  <c r="M239" i="9"/>
  <c r="CD239" i="9" s="1"/>
  <c r="P239" i="9"/>
  <c r="CG239" i="9" s="1"/>
  <c r="N485" i="9"/>
  <c r="CE485" i="9" s="1"/>
  <c r="M485" i="9"/>
  <c r="CD485" i="9" s="1"/>
  <c r="P485" i="9"/>
  <c r="CG485" i="9" s="1"/>
  <c r="AM485" i="9"/>
  <c r="DD485" i="9" s="1"/>
  <c r="BI485" i="9"/>
  <c r="DZ485" i="9" s="1"/>
  <c r="BF485" i="9"/>
  <c r="DW485" i="9" s="1"/>
  <c r="AP485" i="9"/>
  <c r="DG485" i="9" s="1"/>
  <c r="BH485" i="9"/>
  <c r="DY485" i="9" s="1"/>
  <c r="BK485" i="9"/>
  <c r="EB485" i="9" s="1"/>
  <c r="S485" i="9"/>
  <c r="CJ485" i="9" s="1"/>
  <c r="AS485" i="9"/>
  <c r="DJ485" i="9" s="1"/>
  <c r="U485" i="9"/>
  <c r="CL485" i="9" s="1"/>
  <c r="AO485" i="9"/>
  <c r="DF485" i="9" s="1"/>
  <c r="AH485" i="9"/>
  <c r="CY485" i="9" s="1"/>
  <c r="BR485" i="9"/>
  <c r="EI485" i="9" s="1"/>
  <c r="AB485" i="9"/>
  <c r="CS485" i="9" s="1"/>
  <c r="AW485" i="9"/>
  <c r="DN485" i="9" s="1"/>
  <c r="BC485" i="9"/>
  <c r="DT485" i="9" s="1"/>
  <c r="AG485" i="9"/>
  <c r="CX485" i="9" s="1"/>
  <c r="AL485" i="9"/>
  <c r="DC485" i="9" s="1"/>
  <c r="AC485" i="9"/>
  <c r="CT485" i="9" s="1"/>
  <c r="AT485" i="9"/>
  <c r="DK485" i="9" s="1"/>
  <c r="AC274" i="9"/>
  <c r="CT274" i="9" s="1"/>
  <c r="AA274" i="9"/>
  <c r="CR274" i="9" s="1"/>
  <c r="Y274" i="9"/>
  <c r="CP274" i="9" s="1"/>
  <c r="BG274" i="9"/>
  <c r="DX274" i="9" s="1"/>
  <c r="BD274" i="9"/>
  <c r="DU274" i="9" s="1"/>
  <c r="AU274" i="9"/>
  <c r="DL274" i="9" s="1"/>
  <c r="BR274" i="9"/>
  <c r="EI274" i="9" s="1"/>
  <c r="BN274" i="9"/>
  <c r="EE274" i="9" s="1"/>
  <c r="AN274" i="9"/>
  <c r="DE274" i="9" s="1"/>
  <c r="AD274" i="9"/>
  <c r="CU274" i="9" s="1"/>
  <c r="AL274" i="9"/>
  <c r="DC274" i="9" s="1"/>
  <c r="AV274" i="9"/>
  <c r="DM274" i="9" s="1"/>
  <c r="BQ274" i="9"/>
  <c r="EH274" i="9" s="1"/>
  <c r="BJ274" i="9"/>
  <c r="EA274" i="9" s="1"/>
  <c r="BM274" i="9"/>
  <c r="ED274" i="9" s="1"/>
  <c r="AE274" i="9"/>
  <c r="CV274" i="9" s="1"/>
  <c r="AJ274" i="9"/>
  <c r="DA274" i="9" s="1"/>
  <c r="AS274" i="9"/>
  <c r="DJ274" i="9" s="1"/>
  <c r="BI274" i="9"/>
  <c r="DZ274" i="9" s="1"/>
  <c r="AI274" i="9"/>
  <c r="CZ274" i="9" s="1"/>
  <c r="N274" i="9"/>
  <c r="CE274" i="9" s="1"/>
  <c r="AP274" i="9"/>
  <c r="DG274" i="9" s="1"/>
  <c r="V274" i="9"/>
  <c r="CM274" i="9" s="1"/>
  <c r="X274" i="9"/>
  <c r="CO274" i="9" s="1"/>
  <c r="BL274" i="9"/>
  <c r="EC274" i="9" s="1"/>
  <c r="AO274" i="9"/>
  <c r="DF274" i="9" s="1"/>
  <c r="AZ274" i="9"/>
  <c r="DQ274" i="9" s="1"/>
  <c r="Q274" i="9"/>
  <c r="CH274" i="9" s="1"/>
  <c r="S274" i="9"/>
  <c r="CJ274" i="9" s="1"/>
  <c r="AB274" i="9"/>
  <c r="CS274" i="9" s="1"/>
  <c r="BO274" i="9"/>
  <c r="EF274" i="9" s="1"/>
  <c r="AY274" i="9"/>
  <c r="DP274" i="9" s="1"/>
  <c r="BB274" i="9"/>
  <c r="DS274" i="9" s="1"/>
  <c r="BE274" i="9"/>
  <c r="DV274" i="9" s="1"/>
  <c r="BH274" i="9"/>
  <c r="DY274" i="9" s="1"/>
  <c r="AR274" i="9"/>
  <c r="DI274" i="9" s="1"/>
  <c r="AG274" i="9"/>
  <c r="CX274" i="9" s="1"/>
  <c r="BF274" i="9"/>
  <c r="DW274" i="9" s="1"/>
  <c r="BA274" i="9"/>
  <c r="DR274" i="9" s="1"/>
  <c r="BP274" i="9"/>
  <c r="EG274" i="9" s="1"/>
  <c r="AT274" i="9"/>
  <c r="DK274" i="9" s="1"/>
  <c r="R274" i="9"/>
  <c r="CI274" i="9" s="1"/>
  <c r="Z274" i="9"/>
  <c r="CQ274" i="9" s="1"/>
  <c r="AF274" i="9"/>
  <c r="CW274" i="9" s="1"/>
  <c r="AK274" i="9"/>
  <c r="DB274" i="9" s="1"/>
  <c r="U274" i="9"/>
  <c r="CL274" i="9" s="1"/>
  <c r="AH274" i="9"/>
  <c r="CY274" i="9" s="1"/>
  <c r="BK274" i="9"/>
  <c r="EB274" i="9" s="1"/>
  <c r="BQ370" i="9"/>
  <c r="EH370" i="9" s="1"/>
  <c r="AG370" i="9"/>
  <c r="CX370" i="9" s="1"/>
  <c r="AO370" i="9"/>
  <c r="DF370" i="9" s="1"/>
  <c r="V370" i="9"/>
  <c r="CM370" i="9" s="1"/>
  <c r="AN370" i="9"/>
  <c r="DE370" i="9" s="1"/>
  <c r="I377" i="9"/>
  <c r="BL370" i="9"/>
  <c r="EC370" i="9" s="1"/>
  <c r="BH370" i="9"/>
  <c r="DY370" i="9" s="1"/>
  <c r="BG370" i="9"/>
  <c r="DX370" i="9" s="1"/>
  <c r="Q370" i="9"/>
  <c r="CH370" i="9" s="1"/>
  <c r="AG435" i="9"/>
  <c r="CX435" i="9" s="1"/>
  <c r="BA435" i="9"/>
  <c r="DR435" i="9" s="1"/>
  <c r="BD435" i="9"/>
  <c r="DU435" i="9" s="1"/>
  <c r="BL435" i="9"/>
  <c r="EC435" i="9" s="1"/>
  <c r="BH435" i="9"/>
  <c r="DY435" i="9" s="1"/>
  <c r="BC435" i="9"/>
  <c r="DT435" i="9" s="1"/>
  <c r="AX435" i="9"/>
  <c r="DO435" i="9" s="1"/>
  <c r="AN435" i="9"/>
  <c r="DE435" i="9" s="1"/>
  <c r="AW435" i="9"/>
  <c r="DN435" i="9" s="1"/>
  <c r="BK435" i="9"/>
  <c r="EB435" i="9" s="1"/>
  <c r="AS435" i="9"/>
  <c r="DJ435" i="9" s="1"/>
  <c r="AV435" i="9"/>
  <c r="DM435" i="9" s="1"/>
  <c r="AK435" i="9"/>
  <c r="DB435" i="9" s="1"/>
  <c r="AJ435" i="9"/>
  <c r="DA435" i="9" s="1"/>
  <c r="BE435" i="9"/>
  <c r="DV435" i="9" s="1"/>
  <c r="AQ435" i="9"/>
  <c r="DH435" i="9" s="1"/>
  <c r="AO435" i="9"/>
  <c r="DF435" i="9" s="1"/>
  <c r="U435" i="9"/>
  <c r="CL435" i="9" s="1"/>
  <c r="BI435" i="9"/>
  <c r="DZ435" i="9" s="1"/>
  <c r="Y435" i="9"/>
  <c r="CP435" i="9" s="1"/>
  <c r="BQ435" i="9"/>
  <c r="EH435" i="9" s="1"/>
  <c r="AH435" i="9"/>
  <c r="CY435" i="9" s="1"/>
  <c r="BF435" i="9"/>
  <c r="DW435" i="9" s="1"/>
  <c r="BM435" i="9"/>
  <c r="ED435" i="9" s="1"/>
  <c r="AT435" i="9"/>
  <c r="DK435" i="9" s="1"/>
  <c r="BG435" i="9"/>
  <c r="DX435" i="9" s="1"/>
  <c r="AY435" i="9"/>
  <c r="DP435" i="9" s="1"/>
  <c r="AA435" i="9"/>
  <c r="CR435" i="9" s="1"/>
  <c r="AI435" i="9"/>
  <c r="CZ435" i="9" s="1"/>
  <c r="AD435" i="9"/>
  <c r="CU435" i="9" s="1"/>
  <c r="AP435" i="9"/>
  <c r="DG435" i="9" s="1"/>
  <c r="L376" i="9"/>
  <c r="CC376" i="9" s="1"/>
  <c r="T376" i="9"/>
  <c r="CK376" i="9" s="1"/>
  <c r="R376" i="9"/>
  <c r="CI376" i="9" s="1"/>
  <c r="S376" i="9"/>
  <c r="CJ376" i="9" s="1"/>
  <c r="N376" i="9"/>
  <c r="CE376" i="9" s="1"/>
  <c r="K376" i="9"/>
  <c r="CB376" i="9" s="1"/>
  <c r="M376" i="9"/>
  <c r="CD376" i="9" s="1"/>
  <c r="Q376" i="9"/>
  <c r="CH376" i="9" s="1"/>
  <c r="P376" i="9"/>
  <c r="CG376" i="9" s="1"/>
  <c r="X376" i="9"/>
  <c r="CO376" i="9" s="1"/>
  <c r="BF376" i="9"/>
  <c r="DW376" i="9" s="1"/>
  <c r="AC376" i="9"/>
  <c r="CT376" i="9" s="1"/>
  <c r="AE376" i="9"/>
  <c r="CV376" i="9" s="1"/>
  <c r="BL376" i="9"/>
  <c r="EC376" i="9" s="1"/>
  <c r="BP376" i="9"/>
  <c r="EG376" i="9" s="1"/>
  <c r="BN376" i="9"/>
  <c r="EE376" i="9" s="1"/>
  <c r="BQ376" i="9"/>
  <c r="EH376" i="9" s="1"/>
  <c r="BB376" i="9"/>
  <c r="DS376" i="9" s="1"/>
  <c r="AP376" i="9"/>
  <c r="DG376" i="9" s="1"/>
  <c r="AD376" i="9"/>
  <c r="CU376" i="9" s="1"/>
  <c r="AX376" i="9"/>
  <c r="DO376" i="9" s="1"/>
  <c r="BM376" i="9"/>
  <c r="ED376" i="9" s="1"/>
  <c r="U376" i="9"/>
  <c r="CL376" i="9" s="1"/>
  <c r="AW376" i="9"/>
  <c r="DN376" i="9" s="1"/>
  <c r="AR376" i="9"/>
  <c r="DI376" i="9" s="1"/>
  <c r="Y376" i="9"/>
  <c r="CP376" i="9" s="1"/>
  <c r="Z376" i="9"/>
  <c r="CQ376" i="9" s="1"/>
  <c r="AM376" i="9"/>
  <c r="DD376" i="9" s="1"/>
  <c r="O376" i="9"/>
  <c r="CF376" i="9" s="1"/>
  <c r="AJ376" i="9"/>
  <c r="DA376" i="9" s="1"/>
  <c r="BC376" i="9"/>
  <c r="DT376" i="9" s="1"/>
  <c r="AZ376" i="9"/>
  <c r="DQ376" i="9" s="1"/>
  <c r="BJ376" i="9"/>
  <c r="EA376" i="9" s="1"/>
  <c r="AS376" i="9"/>
  <c r="DJ376" i="9" s="1"/>
  <c r="AI376" i="9"/>
  <c r="CZ376" i="9" s="1"/>
  <c r="AV376" i="9"/>
  <c r="DM376" i="9" s="1"/>
  <c r="BA376" i="9"/>
  <c r="DR376" i="9" s="1"/>
  <c r="AT376" i="9"/>
  <c r="DK376" i="9" s="1"/>
  <c r="AQ376" i="9"/>
  <c r="DH376" i="9" s="1"/>
  <c r="BE376" i="9"/>
  <c r="DV376" i="9" s="1"/>
  <c r="BG376" i="9"/>
  <c r="DX376" i="9" s="1"/>
  <c r="W376" i="9"/>
  <c r="CN376" i="9" s="1"/>
  <c r="BH376" i="9"/>
  <c r="DY376" i="9" s="1"/>
  <c r="AY376" i="9"/>
  <c r="DP376" i="9" s="1"/>
  <c r="AN376" i="9"/>
  <c r="DE376" i="9" s="1"/>
  <c r="AO376" i="9"/>
  <c r="DF376" i="9" s="1"/>
  <c r="BO376" i="9"/>
  <c r="EF376" i="9" s="1"/>
  <c r="BD376" i="9"/>
  <c r="DU376" i="9" s="1"/>
  <c r="S375" i="9"/>
  <c r="CJ375" i="9" s="1"/>
  <c r="Q375" i="9"/>
  <c r="CH375" i="9" s="1"/>
  <c r="M375" i="9"/>
  <c r="CD375" i="9" s="1"/>
  <c r="K375" i="9"/>
  <c r="CB375" i="9" s="1"/>
  <c r="BQ375" i="9"/>
  <c r="EH375" i="9" s="1"/>
  <c r="AC375" i="9"/>
  <c r="CT375" i="9" s="1"/>
  <c r="AG375" i="9"/>
  <c r="CX375" i="9" s="1"/>
  <c r="AU375" i="9"/>
  <c r="DL375" i="9" s="1"/>
  <c r="AS375" i="9"/>
  <c r="DJ375" i="9" s="1"/>
  <c r="AJ375" i="9"/>
  <c r="DA375" i="9" s="1"/>
  <c r="O375" i="9"/>
  <c r="CF375" i="9" s="1"/>
  <c r="N375" i="9"/>
  <c r="CE375" i="9" s="1"/>
  <c r="V375" i="9"/>
  <c r="CM375" i="9" s="1"/>
  <c r="AR375" i="9"/>
  <c r="DI375" i="9" s="1"/>
  <c r="BG375" i="9"/>
  <c r="DX375" i="9" s="1"/>
  <c r="AP375" i="9"/>
  <c r="DG375" i="9" s="1"/>
  <c r="AE375" i="9"/>
  <c r="CV375" i="9" s="1"/>
  <c r="AZ375" i="9"/>
  <c r="DQ375" i="9" s="1"/>
  <c r="X375" i="9"/>
  <c r="CO375" i="9" s="1"/>
  <c r="AK375" i="9"/>
  <c r="DB375" i="9" s="1"/>
  <c r="Z375" i="9"/>
  <c r="CQ375" i="9" s="1"/>
  <c r="AO375" i="9"/>
  <c r="DF375" i="9" s="1"/>
  <c r="AQ375" i="9"/>
  <c r="DH375" i="9" s="1"/>
  <c r="AA375" i="9"/>
  <c r="CR375" i="9" s="1"/>
  <c r="BN375" i="9"/>
  <c r="EE375" i="9" s="1"/>
  <c r="T375" i="9"/>
  <c r="CK375" i="9" s="1"/>
  <c r="AV375" i="9"/>
  <c r="DM375" i="9" s="1"/>
  <c r="AD375" i="9"/>
  <c r="CU375" i="9" s="1"/>
  <c r="BF375" i="9"/>
  <c r="DW375" i="9" s="1"/>
  <c r="AM375" i="9"/>
  <c r="DD375" i="9" s="1"/>
  <c r="BK375" i="9"/>
  <c r="EB375" i="9" s="1"/>
  <c r="U375" i="9"/>
  <c r="CL375" i="9" s="1"/>
  <c r="BD375" i="9"/>
  <c r="DU375" i="9" s="1"/>
  <c r="L375" i="9"/>
  <c r="CC375" i="9" s="1"/>
  <c r="AL375" i="9"/>
  <c r="DC375" i="9" s="1"/>
  <c r="BR375" i="9"/>
  <c r="EI375" i="9" s="1"/>
  <c r="AT375" i="9"/>
  <c r="DK375" i="9" s="1"/>
  <c r="AB375" i="9"/>
  <c r="CS375" i="9" s="1"/>
  <c r="BC375" i="9"/>
  <c r="DT375" i="9" s="1"/>
  <c r="AY375" i="9"/>
  <c r="DP375" i="9" s="1"/>
  <c r="P375" i="9"/>
  <c r="CG375" i="9" s="1"/>
  <c r="BL375" i="9"/>
  <c r="EC375" i="9" s="1"/>
  <c r="AX375" i="9"/>
  <c r="DO375" i="9" s="1"/>
  <c r="BO375" i="9"/>
  <c r="EF375" i="9" s="1"/>
  <c r="BA375" i="9"/>
  <c r="DR375" i="9" s="1"/>
  <c r="BJ375" i="9"/>
  <c r="EA375" i="9" s="1"/>
  <c r="AI375" i="9"/>
  <c r="CZ375" i="9" s="1"/>
  <c r="O485" i="9"/>
  <c r="CF485" i="9" s="1"/>
  <c r="N239" i="9"/>
  <c r="CE239" i="9" s="1"/>
  <c r="AW274" i="9"/>
  <c r="DN274" i="9" s="1"/>
  <c r="O441" i="9"/>
  <c r="CF441" i="9" s="1"/>
  <c r="N441" i="9"/>
  <c r="CE441" i="9" s="1"/>
  <c r="W441" i="9"/>
  <c r="CN441" i="9" s="1"/>
  <c r="AZ441" i="9"/>
  <c r="DQ441" i="9" s="1"/>
  <c r="BM441" i="9"/>
  <c r="ED441" i="9" s="1"/>
  <c r="AT441" i="9"/>
  <c r="DK441" i="9" s="1"/>
  <c r="AC441" i="9"/>
  <c r="CT441" i="9" s="1"/>
  <c r="BG441" i="9"/>
  <c r="DX441" i="9" s="1"/>
  <c r="AH441" i="9"/>
  <c r="CY441" i="9" s="1"/>
  <c r="M441" i="9"/>
  <c r="CD441" i="9" s="1"/>
  <c r="BQ441" i="9"/>
  <c r="EH441" i="9" s="1"/>
  <c r="AI441" i="9"/>
  <c r="CZ441" i="9" s="1"/>
  <c r="BK441" i="9"/>
  <c r="EB441" i="9" s="1"/>
  <c r="AK441" i="9"/>
  <c r="DB441" i="9" s="1"/>
  <c r="BO441" i="9"/>
  <c r="EF441" i="9" s="1"/>
  <c r="AP441" i="9"/>
  <c r="DG441" i="9" s="1"/>
  <c r="T441" i="9"/>
  <c r="CK441" i="9" s="1"/>
  <c r="BH441" i="9"/>
  <c r="DY441" i="9" s="1"/>
  <c r="Y441" i="9"/>
  <c r="CP441" i="9" s="1"/>
  <c r="BB441" i="9"/>
  <c r="DS441" i="9" s="1"/>
  <c r="AB441" i="9"/>
  <c r="CS441" i="9" s="1"/>
  <c r="AX441" i="9"/>
  <c r="DO441" i="9" s="1"/>
  <c r="AG441" i="9"/>
  <c r="CX441" i="9" s="1"/>
  <c r="K441" i="9"/>
  <c r="CB441" i="9" s="1"/>
  <c r="AQ441" i="9"/>
  <c r="DH441" i="9" s="1"/>
  <c r="X441" i="9"/>
  <c r="CO441" i="9" s="1"/>
  <c r="AS441" i="9"/>
  <c r="DJ441" i="9" s="1"/>
  <c r="BF441" i="9"/>
  <c r="DW441" i="9" s="1"/>
  <c r="AO441" i="9"/>
  <c r="DF441" i="9" s="1"/>
  <c r="AV441" i="9"/>
  <c r="DM441" i="9" s="1"/>
  <c r="S441" i="9"/>
  <c r="CJ441" i="9" s="1"/>
  <c r="Q441" i="9"/>
  <c r="CH441" i="9" s="1"/>
  <c r="Z441" i="9"/>
  <c r="CQ441" i="9" s="1"/>
  <c r="BJ441" i="9"/>
  <c r="EA441" i="9" s="1"/>
  <c r="AJ441" i="9"/>
  <c r="DA441" i="9" s="1"/>
  <c r="AW441" i="9"/>
  <c r="DN441" i="9" s="1"/>
  <c r="BD441" i="9"/>
  <c r="DU441" i="9" s="1"/>
  <c r="AE441" i="9"/>
  <c r="CV441" i="9" s="1"/>
  <c r="P441" i="9"/>
  <c r="CG441" i="9" s="1"/>
  <c r="AF441" i="9"/>
  <c r="CW441" i="9" s="1"/>
  <c r="BA441" i="9"/>
  <c r="DR441" i="9" s="1"/>
  <c r="BN441" i="9"/>
  <c r="EE441" i="9" s="1"/>
  <c r="BL441" i="9"/>
  <c r="EC441" i="9" s="1"/>
  <c r="AM441" i="9"/>
  <c r="DD441" i="9" s="1"/>
  <c r="V441" i="9"/>
  <c r="CM441" i="9" s="1"/>
  <c r="R441" i="9"/>
  <c r="CI441" i="9" s="1"/>
  <c r="AN441" i="9"/>
  <c r="DE441" i="9" s="1"/>
  <c r="BI441" i="9"/>
  <c r="DZ441" i="9" s="1"/>
  <c r="AA441" i="9"/>
  <c r="CR441" i="9" s="1"/>
  <c r="BC441" i="9"/>
  <c r="DT441" i="9" s="1"/>
  <c r="AL441" i="9"/>
  <c r="DC441" i="9" s="1"/>
  <c r="U441" i="9"/>
  <c r="CL441" i="9" s="1"/>
  <c r="AY441" i="9"/>
  <c r="DP441" i="9" s="1"/>
  <c r="AR565" i="9"/>
  <c r="DI565" i="9" s="1"/>
  <c r="W565" i="9"/>
  <c r="CN565" i="9" s="1"/>
  <c r="V565" i="9"/>
  <c r="CM565" i="9" s="1"/>
  <c r="AL565" i="9"/>
  <c r="DC565" i="9" s="1"/>
  <c r="AI565" i="9"/>
  <c r="CZ565" i="9" s="1"/>
  <c r="BK565" i="9"/>
  <c r="EB565" i="9" s="1"/>
  <c r="BE565" i="9"/>
  <c r="DV565" i="9" s="1"/>
  <c r="BI565" i="9"/>
  <c r="DZ565" i="9" s="1"/>
  <c r="BF565" i="9"/>
  <c r="DW565" i="9" s="1"/>
  <c r="BA565" i="9"/>
  <c r="DR565" i="9" s="1"/>
  <c r="AJ565" i="9"/>
  <c r="DA565" i="9" s="1"/>
  <c r="BO565" i="9"/>
  <c r="EF565" i="9" s="1"/>
  <c r="AH565" i="9"/>
  <c r="CY565" i="9" s="1"/>
  <c r="AN565" i="9"/>
  <c r="DE565" i="9" s="1"/>
  <c r="AA565" i="9"/>
  <c r="CR565" i="9" s="1"/>
  <c r="BG565" i="9"/>
  <c r="DX565" i="9" s="1"/>
  <c r="AE565" i="9"/>
  <c r="CV565" i="9" s="1"/>
  <c r="AM565" i="9"/>
  <c r="DD565" i="9" s="1"/>
  <c r="AK565" i="9"/>
  <c r="DB565" i="9" s="1"/>
  <c r="AB565" i="9"/>
  <c r="CS565" i="9" s="1"/>
  <c r="AF565" i="9"/>
  <c r="CW565" i="9" s="1"/>
  <c r="BC565" i="9"/>
  <c r="DT565" i="9" s="1"/>
  <c r="AU565" i="9"/>
  <c r="DL565" i="9" s="1"/>
  <c r="X565" i="9"/>
  <c r="CO565" i="9" s="1"/>
  <c r="Y565" i="9"/>
  <c r="CP565" i="9" s="1"/>
  <c r="AQ565" i="9"/>
  <c r="DH565" i="9" s="1"/>
  <c r="BM565" i="9"/>
  <c r="ED565" i="9" s="1"/>
  <c r="AO565" i="9"/>
  <c r="DF565" i="9" s="1"/>
  <c r="AD565" i="9"/>
  <c r="CU565" i="9" s="1"/>
  <c r="AC565" i="9"/>
  <c r="CT565" i="9" s="1"/>
  <c r="BP565" i="9"/>
  <c r="EG565" i="9" s="1"/>
  <c r="AP566" i="9"/>
  <c r="DG566" i="9" s="1"/>
  <c r="BG566" i="9"/>
  <c r="DX566" i="9" s="1"/>
  <c r="AY566" i="9"/>
  <c r="DP566" i="9" s="1"/>
  <c r="BN566" i="9"/>
  <c r="EE566" i="9" s="1"/>
  <c r="AJ566" i="9"/>
  <c r="DA566" i="9" s="1"/>
  <c r="AC566" i="9"/>
  <c r="CT566" i="9" s="1"/>
  <c r="AU566" i="9"/>
  <c r="DL566" i="9" s="1"/>
  <c r="BB566" i="9"/>
  <c r="DS566" i="9" s="1"/>
  <c r="AW566" i="9"/>
  <c r="DN566" i="9" s="1"/>
  <c r="AD566" i="9"/>
  <c r="CU566" i="9" s="1"/>
  <c r="BK566" i="9"/>
  <c r="EB566" i="9" s="1"/>
  <c r="AH566" i="9"/>
  <c r="CY566" i="9" s="1"/>
  <c r="AX566" i="9"/>
  <c r="DO566" i="9" s="1"/>
  <c r="AQ566" i="9"/>
  <c r="DH566" i="9" s="1"/>
  <c r="BH566" i="9"/>
  <c r="DY566" i="9" s="1"/>
  <c r="V566" i="9"/>
  <c r="CM566" i="9" s="1"/>
  <c r="AO566" i="9"/>
  <c r="DF566" i="9" s="1"/>
  <c r="BM566" i="9"/>
  <c r="ED566" i="9" s="1"/>
  <c r="AT566" i="9"/>
  <c r="DK566" i="9" s="1"/>
  <c r="AS566" i="9"/>
  <c r="DJ566" i="9" s="1"/>
  <c r="W566" i="9"/>
  <c r="CN566" i="9" s="1"/>
  <c r="AA566" i="9"/>
  <c r="CR566" i="9" s="1"/>
  <c r="BF566" i="9"/>
  <c r="DW566" i="9" s="1"/>
  <c r="AM566" i="9"/>
  <c r="DD566" i="9" s="1"/>
  <c r="AN566" i="9"/>
  <c r="DE566" i="9" s="1"/>
  <c r="AR566" i="9"/>
  <c r="DI566" i="9" s="1"/>
  <c r="AE566" i="9"/>
  <c r="CV566" i="9" s="1"/>
  <c r="Y566" i="9"/>
  <c r="CP566" i="9" s="1"/>
  <c r="AG566" i="9"/>
  <c r="CX566" i="9" s="1"/>
  <c r="BE566" i="9"/>
  <c r="DV566" i="9" s="1"/>
  <c r="X566" i="9"/>
  <c r="CO566" i="9" s="1"/>
  <c r="AL566" i="9"/>
  <c r="DC566" i="9" s="1"/>
  <c r="BA566" i="9"/>
  <c r="DR566" i="9" s="1"/>
  <c r="BC566" i="9"/>
  <c r="DT566" i="9" s="1"/>
  <c r="BQ566" i="9"/>
  <c r="EH566" i="9" s="1"/>
  <c r="BO566" i="9"/>
  <c r="EF566" i="9" s="1"/>
  <c r="BP566" i="9"/>
  <c r="EG566" i="9" s="1"/>
  <c r="AW392" i="9"/>
  <c r="DN392" i="9" s="1"/>
  <c r="V392" i="9"/>
  <c r="CM392" i="9" s="1"/>
  <c r="AF392" i="9"/>
  <c r="CW392" i="9" s="1"/>
  <c r="BM392" i="9"/>
  <c r="ED392" i="9" s="1"/>
  <c r="BB392" i="9"/>
  <c r="DS392" i="9" s="1"/>
  <c r="AZ392" i="9"/>
  <c r="DQ392" i="9" s="1"/>
  <c r="BD392" i="9"/>
  <c r="DU392" i="9" s="1"/>
  <c r="AQ392" i="9"/>
  <c r="DH392" i="9" s="1"/>
  <c r="BC392" i="9"/>
  <c r="DT392" i="9" s="1"/>
  <c r="AL392" i="9"/>
  <c r="DC392" i="9" s="1"/>
  <c r="AS392" i="9"/>
  <c r="DJ392" i="9" s="1"/>
  <c r="AV392" i="9"/>
  <c r="DM392" i="9" s="1"/>
  <c r="AH392" i="9"/>
  <c r="CY392" i="9" s="1"/>
  <c r="T392" i="9"/>
  <c r="CK392" i="9" s="1"/>
  <c r="AO392" i="9"/>
  <c r="DF392" i="9" s="1"/>
  <c r="BP392" i="9"/>
  <c r="EG392" i="9" s="1"/>
  <c r="BQ392" i="9"/>
  <c r="EH392" i="9" s="1"/>
  <c r="AK392" i="9"/>
  <c r="DB392" i="9" s="1"/>
  <c r="AA392" i="9"/>
  <c r="CR392" i="9" s="1"/>
  <c r="AD392" i="9"/>
  <c r="CU392" i="9" s="1"/>
  <c r="P392" i="9"/>
  <c r="CG392" i="9" s="1"/>
  <c r="BG392" i="9"/>
  <c r="DX392" i="9" s="1"/>
  <c r="BF392" i="9"/>
  <c r="DW392" i="9" s="1"/>
  <c r="BL392" i="9"/>
  <c r="EC392" i="9" s="1"/>
  <c r="AU392" i="9"/>
  <c r="DL392" i="9" s="1"/>
  <c r="AB392" i="9"/>
  <c r="CS392" i="9" s="1"/>
  <c r="AX392" i="9"/>
  <c r="DO392" i="9" s="1"/>
  <c r="M392" i="9"/>
  <c r="CD392" i="9" s="1"/>
  <c r="AR392" i="9"/>
  <c r="DI392" i="9" s="1"/>
  <c r="BN392" i="9"/>
  <c r="EE392" i="9" s="1"/>
  <c r="Y392" i="9"/>
  <c r="CP392" i="9" s="1"/>
  <c r="AC392" i="9"/>
  <c r="CT392" i="9" s="1"/>
  <c r="AP392" i="9"/>
  <c r="DG392" i="9" s="1"/>
  <c r="Z392" i="9"/>
  <c r="CQ392" i="9" s="1"/>
  <c r="R392" i="9"/>
  <c r="CI392" i="9" s="1"/>
  <c r="X392" i="9"/>
  <c r="CO392" i="9" s="1"/>
  <c r="AN392" i="9"/>
  <c r="DE392" i="9" s="1"/>
  <c r="AE392" i="9"/>
  <c r="CV392" i="9" s="1"/>
  <c r="BO392" i="9"/>
  <c r="EF392" i="9" s="1"/>
  <c r="U392" i="9"/>
  <c r="CL392" i="9" s="1"/>
  <c r="BR392" i="9"/>
  <c r="EI392" i="9" s="1"/>
  <c r="Q392" i="9"/>
  <c r="CH392" i="9" s="1"/>
  <c r="AT392" i="9"/>
  <c r="DK392" i="9" s="1"/>
  <c r="BH392" i="9"/>
  <c r="DY392" i="9" s="1"/>
  <c r="AM392" i="9"/>
  <c r="DD392" i="9" s="1"/>
  <c r="AG392" i="9"/>
  <c r="CX392" i="9" s="1"/>
  <c r="AY392" i="9"/>
  <c r="DP392" i="9" s="1"/>
  <c r="BE392" i="9"/>
  <c r="DV392" i="9" s="1"/>
  <c r="BI392" i="9"/>
  <c r="DZ392" i="9" s="1"/>
  <c r="N392" i="9"/>
  <c r="CE392" i="9" s="1"/>
  <c r="BU322" i="9"/>
  <c r="M197" i="6" s="1"/>
  <c r="BU583" i="9"/>
  <c r="M436" i="6" s="1"/>
  <c r="BU580" i="9"/>
  <c r="M433" i="6" s="1"/>
  <c r="BU579" i="9"/>
  <c r="M432" i="6" s="1"/>
  <c r="BU300" i="9"/>
  <c r="M177" i="6" s="1"/>
  <c r="BT457" i="9"/>
  <c r="L320" i="6" s="1"/>
  <c r="BU346" i="9"/>
  <c r="M219" i="6" s="1"/>
  <c r="BT350" i="9"/>
  <c r="L223" i="6" s="1"/>
  <c r="BU588" i="9"/>
  <c r="M441" i="6" s="1"/>
  <c r="BT587" i="9"/>
  <c r="L440" i="6" s="1"/>
  <c r="BU457" i="9"/>
  <c r="M320" i="6" s="1"/>
  <c r="BU472" i="9"/>
  <c r="M335" i="6" s="1"/>
  <c r="BU587" i="9"/>
  <c r="M440" i="6" s="1"/>
  <c r="T425" i="9"/>
  <c r="P650" i="11" s="1"/>
  <c r="AM370" i="9"/>
  <c r="DD370" i="9" s="1"/>
  <c r="AA370" i="9"/>
  <c r="CR370" i="9" s="1"/>
  <c r="W370" i="9"/>
  <c r="CN370" i="9" s="1"/>
  <c r="U370" i="9"/>
  <c r="CL370" i="9" s="1"/>
  <c r="BO370" i="9"/>
  <c r="EF370" i="9" s="1"/>
  <c r="BG485" i="9"/>
  <c r="DX485" i="9" s="1"/>
  <c r="X485" i="9"/>
  <c r="CO485" i="9" s="1"/>
  <c r="BP485" i="9"/>
  <c r="EG485" i="9" s="1"/>
  <c r="AN485" i="9"/>
  <c r="DE485" i="9" s="1"/>
  <c r="W435" i="9"/>
  <c r="CN435" i="9" s="1"/>
  <c r="V435" i="9"/>
  <c r="CM435" i="9" s="1"/>
  <c r="BR435" i="9"/>
  <c r="EI435" i="9" s="1"/>
  <c r="BR565" i="9"/>
  <c r="EI565" i="9" s="1"/>
  <c r="BB565" i="9"/>
  <c r="DS565" i="9" s="1"/>
  <c r="BL566" i="9"/>
  <c r="EC566" i="9" s="1"/>
  <c r="BJ566" i="9"/>
  <c r="EA566" i="9" s="1"/>
  <c r="AH375" i="9"/>
  <c r="CY375" i="9" s="1"/>
  <c r="BP375" i="9"/>
  <c r="EG375" i="9" s="1"/>
  <c r="AB376" i="9"/>
  <c r="CS376" i="9" s="1"/>
  <c r="W392" i="9"/>
  <c r="CN392" i="9" s="1"/>
  <c r="BE441" i="9"/>
  <c r="DV441" i="9" s="1"/>
  <c r="AP239" i="9"/>
  <c r="DG239" i="9" s="1"/>
  <c r="AL237" i="9"/>
  <c r="DC237" i="9" s="1"/>
  <c r="BT464" i="9"/>
  <c r="L327" i="6" s="1"/>
  <c r="BU584" i="9"/>
  <c r="M437" i="6" s="1"/>
  <c r="BU590" i="9"/>
  <c r="M443" i="6" s="1"/>
  <c r="BU585" i="9"/>
  <c r="M438" i="6" s="1"/>
  <c r="CD309" i="9"/>
  <c r="BU591" i="9"/>
  <c r="M444" i="6" s="1"/>
  <c r="BU467" i="9"/>
  <c r="M330" i="6" s="1"/>
  <c r="AZ370" i="9"/>
  <c r="DQ370" i="9" s="1"/>
  <c r="BI370" i="9"/>
  <c r="DZ370" i="9" s="1"/>
  <c r="AH370" i="9"/>
  <c r="CY370" i="9" s="1"/>
  <c r="AQ370" i="9"/>
  <c r="DH370" i="9" s="1"/>
  <c r="AC370" i="9"/>
  <c r="CT370" i="9" s="1"/>
  <c r="AU485" i="9"/>
  <c r="DL485" i="9" s="1"/>
  <c r="AJ485" i="9"/>
  <c r="DA485" i="9" s="1"/>
  <c r="BE485" i="9"/>
  <c r="DV485" i="9" s="1"/>
  <c r="AF485" i="9"/>
  <c r="CW485" i="9" s="1"/>
  <c r="AE435" i="9"/>
  <c r="CV435" i="9" s="1"/>
  <c r="BJ435" i="9"/>
  <c r="EA435" i="9" s="1"/>
  <c r="AM435" i="9"/>
  <c r="DD435" i="9" s="1"/>
  <c r="AV565" i="9"/>
  <c r="DM565" i="9" s="1"/>
  <c r="BN565" i="9"/>
  <c r="EE565" i="9" s="1"/>
  <c r="AZ566" i="9"/>
  <c r="DQ566" i="9" s="1"/>
  <c r="BD566" i="9"/>
  <c r="DU566" i="9" s="1"/>
  <c r="Y375" i="9"/>
  <c r="CP375" i="9" s="1"/>
  <c r="W375" i="9"/>
  <c r="CN375" i="9" s="1"/>
  <c r="BK376" i="9"/>
  <c r="EB376" i="9" s="1"/>
  <c r="AI392" i="9"/>
  <c r="CZ392" i="9" s="1"/>
  <c r="BL549" i="9"/>
  <c r="EC549" i="9" s="1"/>
  <c r="AR441" i="9"/>
  <c r="DI441" i="9" s="1"/>
  <c r="AE239" i="9"/>
  <c r="CV239" i="9" s="1"/>
  <c r="AY237" i="9"/>
  <c r="DP237" i="9" s="1"/>
  <c r="BT583" i="9"/>
  <c r="L436" i="6" s="1"/>
  <c r="BU574" i="9"/>
  <c r="M427" i="6" s="1"/>
  <c r="BT590" i="9"/>
  <c r="L443" i="6" s="1"/>
  <c r="BT586" i="9"/>
  <c r="L439" i="6" s="1"/>
  <c r="M353" i="9"/>
  <c r="I647" i="11" s="1"/>
  <c r="Q329" i="9"/>
  <c r="M646" i="11" s="1"/>
  <c r="BU335" i="9"/>
  <c r="M208" i="6" s="1"/>
  <c r="BU350" i="9"/>
  <c r="M223" i="6" s="1"/>
  <c r="BU464" i="9"/>
  <c r="M327" i="6" s="1"/>
  <c r="BU466" i="9"/>
  <c r="M329" i="6" s="1"/>
  <c r="K353" i="9"/>
  <c r="G647" i="11" s="1"/>
  <c r="BJ370" i="9"/>
  <c r="EA370" i="9" s="1"/>
  <c r="BF370" i="9"/>
  <c r="DW370" i="9" s="1"/>
  <c r="BK370" i="9"/>
  <c r="EB370" i="9" s="1"/>
  <c r="AY370" i="9"/>
  <c r="DP370" i="9" s="1"/>
  <c r="AL370" i="9"/>
  <c r="DC370" i="9" s="1"/>
  <c r="AV485" i="9"/>
  <c r="DM485" i="9" s="1"/>
  <c r="BN485" i="9"/>
  <c r="EE485" i="9" s="1"/>
  <c r="AX485" i="9"/>
  <c r="DO485" i="9" s="1"/>
  <c r="Z485" i="9"/>
  <c r="CQ485" i="9" s="1"/>
  <c r="AU435" i="9"/>
  <c r="DL435" i="9" s="1"/>
  <c r="AL435" i="9"/>
  <c r="DC435" i="9" s="1"/>
  <c r="BM375" i="9"/>
  <c r="ED375" i="9" s="1"/>
  <c r="BH375" i="9"/>
  <c r="DY375" i="9" s="1"/>
  <c r="BI376" i="9"/>
  <c r="DZ376" i="9" s="1"/>
  <c r="T370" i="9"/>
  <c r="CK370" i="9" s="1"/>
  <c r="AJ392" i="9"/>
  <c r="DA392" i="9" s="1"/>
  <c r="AD549" i="9"/>
  <c r="CU549" i="9" s="1"/>
  <c r="AQ274" i="9"/>
  <c r="DH274" i="9" s="1"/>
  <c r="BR441" i="9"/>
  <c r="EI441" i="9" s="1"/>
  <c r="AH239" i="9"/>
  <c r="CY239" i="9" s="1"/>
  <c r="X237" i="9"/>
  <c r="CO237" i="9" s="1"/>
  <c r="R375" i="9"/>
  <c r="CI375" i="9" s="1"/>
  <c r="K609" i="9"/>
  <c r="CB609" i="9" s="1"/>
  <c r="BT576" i="9"/>
  <c r="L429" i="6" s="1"/>
  <c r="BT578" i="9"/>
  <c r="L431" i="6" s="1"/>
  <c r="M593" i="9"/>
  <c r="I657" i="11" s="1"/>
  <c r="T353" i="9"/>
  <c r="P647" i="11" s="1"/>
  <c r="BU458" i="9"/>
  <c r="M321" i="6" s="1"/>
  <c r="BU341" i="9"/>
  <c r="M214" i="6" s="1"/>
  <c r="BU333" i="9"/>
  <c r="M206" i="6" s="1"/>
  <c r="BT453" i="9"/>
  <c r="L316" i="6" s="1"/>
  <c r="BU471" i="9"/>
  <c r="M334" i="6" s="1"/>
  <c r="S425" i="9"/>
  <c r="O650" i="11" s="1"/>
  <c r="AJ370" i="9"/>
  <c r="DA370" i="9" s="1"/>
  <c r="Z370" i="9"/>
  <c r="CQ370" i="9" s="1"/>
  <c r="AS370" i="9"/>
  <c r="DJ370" i="9" s="1"/>
  <c r="AX370" i="9"/>
  <c r="DO370" i="9" s="1"/>
  <c r="BM370" i="9"/>
  <c r="ED370" i="9" s="1"/>
  <c r="BM485" i="9"/>
  <c r="ED485" i="9" s="1"/>
  <c r="W485" i="9"/>
  <c r="CN485" i="9" s="1"/>
  <c r="BJ485" i="9"/>
  <c r="EA485" i="9" s="1"/>
  <c r="AE485" i="9"/>
  <c r="CV485" i="9" s="1"/>
  <c r="AF435" i="9"/>
  <c r="CW435" i="9" s="1"/>
  <c r="X435" i="9"/>
  <c r="CO435" i="9" s="1"/>
  <c r="CO577" i="9"/>
  <c r="X593" i="9"/>
  <c r="T657" i="11" s="1"/>
  <c r="Z566" i="9"/>
  <c r="CQ566" i="9" s="1"/>
  <c r="AK566" i="9"/>
  <c r="DB566" i="9" s="1"/>
  <c r="AW375" i="9"/>
  <c r="DN375" i="9" s="1"/>
  <c r="AF375" i="9"/>
  <c r="CW375" i="9" s="1"/>
  <c r="AH376" i="9"/>
  <c r="CY376" i="9" s="1"/>
  <c r="AF376" i="9"/>
  <c r="CW376" i="9" s="1"/>
  <c r="BA392" i="9"/>
  <c r="DR392" i="9" s="1"/>
  <c r="Y549" i="9"/>
  <c r="CP549" i="9" s="1"/>
  <c r="AM274" i="9"/>
  <c r="DD274" i="9" s="1"/>
  <c r="BJ239" i="9"/>
  <c r="EA239" i="9" s="1"/>
  <c r="V237" i="9"/>
  <c r="CM237" i="9" s="1"/>
  <c r="BT584" i="9"/>
  <c r="L437" i="6" s="1"/>
  <c r="BT579" i="9"/>
  <c r="L432" i="6" s="1"/>
  <c r="K549" i="9"/>
  <c r="BU477" i="9"/>
  <c r="M338" i="6" s="1"/>
  <c r="BT585" i="9"/>
  <c r="L438" i="6" s="1"/>
  <c r="BT336" i="9"/>
  <c r="L209" i="6" s="1"/>
  <c r="BU336" i="9"/>
  <c r="M209" i="6" s="1"/>
  <c r="BT588" i="9"/>
  <c r="L441" i="6" s="1"/>
  <c r="BT334" i="9"/>
  <c r="L207" i="6" s="1"/>
  <c r="BT461" i="9"/>
  <c r="L324" i="6" s="1"/>
  <c r="BT467" i="9"/>
  <c r="L330" i="6" s="1"/>
  <c r="BP370" i="9"/>
  <c r="EG370" i="9" s="1"/>
  <c r="AD370" i="9"/>
  <c r="CU370" i="9" s="1"/>
  <c r="BE370" i="9"/>
  <c r="DV370" i="9" s="1"/>
  <c r="X370" i="9"/>
  <c r="CO370" i="9" s="1"/>
  <c r="BB370" i="9"/>
  <c r="DS370" i="9" s="1"/>
  <c r="AR485" i="9"/>
  <c r="DI485" i="9" s="1"/>
  <c r="AD485" i="9"/>
  <c r="CU485" i="9" s="1"/>
  <c r="AQ485" i="9"/>
  <c r="DH485" i="9" s="1"/>
  <c r="AZ485" i="9"/>
  <c r="DQ485" i="9" s="1"/>
  <c r="BB435" i="9"/>
  <c r="DS435" i="9" s="1"/>
  <c r="AZ435" i="9"/>
  <c r="DQ435" i="9" s="1"/>
  <c r="AX565" i="9"/>
  <c r="DO565" i="9" s="1"/>
  <c r="AG565" i="9"/>
  <c r="CX565" i="9" s="1"/>
  <c r="AP565" i="9"/>
  <c r="DG565" i="9" s="1"/>
  <c r="AB566" i="9"/>
  <c r="CS566" i="9" s="1"/>
  <c r="BI375" i="9"/>
  <c r="DZ375" i="9" s="1"/>
  <c r="AK376" i="9"/>
  <c r="DB376" i="9" s="1"/>
  <c r="AG376" i="9"/>
  <c r="CX376" i="9" s="1"/>
  <c r="AE549" i="9"/>
  <c r="CV549" i="9" s="1"/>
  <c r="BC274" i="9"/>
  <c r="DT274" i="9" s="1"/>
  <c r="BM239" i="9"/>
  <c r="ED239" i="9" s="1"/>
  <c r="BH237" i="9"/>
  <c r="DY237" i="9" s="1"/>
  <c r="P371" i="9"/>
  <c r="CG371" i="9" s="1"/>
  <c r="O371" i="9"/>
  <c r="CF371" i="9" s="1"/>
  <c r="M371" i="9"/>
  <c r="CD371" i="9" s="1"/>
  <c r="N371" i="9"/>
  <c r="CE371" i="9" s="1"/>
  <c r="M369" i="9"/>
  <c r="CD369" i="9" s="1"/>
  <c r="O369" i="9"/>
  <c r="CF369" i="9" s="1"/>
  <c r="R369" i="9"/>
  <c r="CI369" i="9" s="1"/>
  <c r="L369" i="9"/>
  <c r="CC369" i="9" s="1"/>
  <c r="P369" i="9"/>
  <c r="CG369" i="9" s="1"/>
  <c r="T369" i="9"/>
  <c r="CK369" i="9" s="1"/>
  <c r="S369" i="9"/>
  <c r="CJ369" i="9" s="1"/>
  <c r="N369" i="9"/>
  <c r="CE369" i="9" s="1"/>
  <c r="K369" i="9"/>
  <c r="CB369" i="9" s="1"/>
  <c r="S372" i="9"/>
  <c r="CJ372" i="9" s="1"/>
  <c r="L372" i="9"/>
  <c r="CC372" i="9" s="1"/>
  <c r="P372" i="9"/>
  <c r="CG372" i="9" s="1"/>
  <c r="P364" i="9"/>
  <c r="CG364" i="9" s="1"/>
  <c r="N364" i="9"/>
  <c r="CE364" i="9" s="1"/>
  <c r="P279" i="9"/>
  <c r="CG279" i="9" s="1"/>
  <c r="N279" i="9"/>
  <c r="CE279" i="9" s="1"/>
  <c r="R279" i="9"/>
  <c r="CI279" i="9" s="1"/>
  <c r="S279" i="9"/>
  <c r="CJ279" i="9" s="1"/>
  <c r="L279" i="9"/>
  <c r="CC279" i="9" s="1"/>
  <c r="Q279" i="9"/>
  <c r="CH279" i="9" s="1"/>
  <c r="K279" i="9"/>
  <c r="CB279" i="9" s="1"/>
  <c r="O279" i="9"/>
  <c r="CF279" i="9" s="1"/>
  <c r="T279" i="9"/>
  <c r="CK279" i="9" s="1"/>
  <c r="M279" i="9"/>
  <c r="CD279" i="9" s="1"/>
  <c r="P357" i="9"/>
  <c r="CG357" i="9" s="1"/>
  <c r="K357" i="9"/>
  <c r="CB357" i="9" s="1"/>
  <c r="S357" i="9"/>
  <c r="CJ357" i="9" s="1"/>
  <c r="N357" i="9"/>
  <c r="CE357" i="9" s="1"/>
  <c r="Q604" i="9"/>
  <c r="CH604" i="9" s="1"/>
  <c r="O604" i="9"/>
  <c r="CF604" i="9" s="1"/>
  <c r="S604" i="9"/>
  <c r="CJ604" i="9" s="1"/>
  <c r="T604" i="9"/>
  <c r="CK604" i="9" s="1"/>
  <c r="T374" i="9"/>
  <c r="CK374" i="9" s="1"/>
  <c r="L374" i="9"/>
  <c r="CC374" i="9" s="1"/>
  <c r="M374" i="9"/>
  <c r="CD374" i="9" s="1"/>
  <c r="Q374" i="9"/>
  <c r="CH374" i="9" s="1"/>
  <c r="O374" i="9"/>
  <c r="CF374" i="9" s="1"/>
  <c r="R374" i="9"/>
  <c r="CI374" i="9" s="1"/>
  <c r="N374" i="9"/>
  <c r="CE374" i="9" s="1"/>
  <c r="K374" i="9"/>
  <c r="CB374" i="9" s="1"/>
  <c r="P374" i="9"/>
  <c r="CG374" i="9" s="1"/>
  <c r="P555" i="9"/>
  <c r="CG555" i="9" s="1"/>
  <c r="N555" i="9"/>
  <c r="N616" i="9"/>
  <c r="CE616" i="9" s="1"/>
  <c r="P616" i="9"/>
  <c r="CG616" i="9" s="1"/>
  <c r="O616" i="9"/>
  <c r="CF616" i="9" s="1"/>
  <c r="R567" i="9"/>
  <c r="CI567" i="9" s="1"/>
  <c r="P567" i="9"/>
  <c r="CG567" i="9" s="1"/>
  <c r="T567" i="9"/>
  <c r="CK567" i="9" s="1"/>
  <c r="N567" i="9"/>
  <c r="CE567" i="9" s="1"/>
  <c r="M567" i="9"/>
  <c r="CD567" i="9" s="1"/>
  <c r="S567" i="9"/>
  <c r="CJ567" i="9" s="1"/>
  <c r="O373" i="9"/>
  <c r="CF373" i="9" s="1"/>
  <c r="T373" i="9"/>
  <c r="CK373" i="9" s="1"/>
  <c r="N373" i="9"/>
  <c r="CE373" i="9" s="1"/>
  <c r="P561" i="9"/>
  <c r="CG561" i="9" s="1"/>
  <c r="Q561" i="9"/>
  <c r="CH561" i="9" s="1"/>
  <c r="O561" i="9"/>
  <c r="CF561" i="9" s="1"/>
  <c r="L561" i="9"/>
  <c r="CC561" i="9" s="1"/>
  <c r="M561" i="9"/>
  <c r="CD561" i="9" s="1"/>
  <c r="T561" i="9"/>
  <c r="CK561" i="9" s="1"/>
  <c r="R646" i="9"/>
  <c r="CI646" i="9" s="1"/>
  <c r="S646" i="9"/>
  <c r="CJ646" i="9" s="1"/>
  <c r="M646" i="9"/>
  <c r="CD646" i="9" s="1"/>
  <c r="Q646" i="9"/>
  <c r="CH646" i="9" s="1"/>
  <c r="O646" i="9"/>
  <c r="CF646" i="9" s="1"/>
  <c r="N646" i="9"/>
  <c r="CE646" i="9" s="1"/>
  <c r="L646" i="9"/>
  <c r="CC646" i="9" s="1"/>
  <c r="BU468" i="9"/>
  <c r="M331" i="6" s="1"/>
  <c r="Q242" i="9"/>
  <c r="CH242" i="9" s="1"/>
  <c r="AL242" i="9"/>
  <c r="DC242" i="9" s="1"/>
  <c r="BC242" i="9"/>
  <c r="DT242" i="9" s="1"/>
  <c r="BK242" i="9"/>
  <c r="EB242" i="9" s="1"/>
  <c r="AZ242" i="9"/>
  <c r="DQ242" i="9" s="1"/>
  <c r="BL242" i="9"/>
  <c r="EC242" i="9" s="1"/>
  <c r="AD242" i="9"/>
  <c r="CU242" i="9" s="1"/>
  <c r="S563" i="9"/>
  <c r="CJ563" i="9" s="1"/>
  <c r="O563" i="9"/>
  <c r="CF563" i="9" s="1"/>
  <c r="M563" i="9"/>
  <c r="CD563" i="9" s="1"/>
  <c r="R563" i="9"/>
  <c r="CI563" i="9" s="1"/>
  <c r="R242" i="9"/>
  <c r="CI242" i="9" s="1"/>
  <c r="AO242" i="9"/>
  <c r="DF242" i="9" s="1"/>
  <c r="BQ242" i="9"/>
  <c r="EH242" i="9" s="1"/>
  <c r="AK242" i="9"/>
  <c r="DB242" i="9" s="1"/>
  <c r="AG242" i="9"/>
  <c r="CX242" i="9" s="1"/>
  <c r="BI242" i="9"/>
  <c r="DZ242" i="9" s="1"/>
  <c r="BJ242" i="9"/>
  <c r="EA242" i="9" s="1"/>
  <c r="L252" i="9"/>
  <c r="CC252" i="9" s="1"/>
  <c r="S242" i="9"/>
  <c r="CJ242" i="9" s="1"/>
  <c r="U242" i="9"/>
  <c r="CL242" i="9" s="1"/>
  <c r="AV242" i="9"/>
  <c r="DM242" i="9" s="1"/>
  <c r="AQ242" i="9"/>
  <c r="DH242" i="9" s="1"/>
  <c r="AF242" i="9"/>
  <c r="CW242" i="9" s="1"/>
  <c r="BA242" i="9"/>
  <c r="DR242" i="9" s="1"/>
  <c r="AA242" i="9"/>
  <c r="CR242" i="9" s="1"/>
  <c r="K252" i="9"/>
  <c r="CB252" i="9" s="1"/>
  <c r="M242" i="9"/>
  <c r="CD242" i="9" s="1"/>
  <c r="AR242" i="9"/>
  <c r="DI242" i="9" s="1"/>
  <c r="AN242" i="9"/>
  <c r="DE242" i="9" s="1"/>
  <c r="AW242" i="9"/>
  <c r="DN242" i="9" s="1"/>
  <c r="BN242" i="9"/>
  <c r="EE242" i="9" s="1"/>
  <c r="AY242" i="9"/>
  <c r="DP242" i="9" s="1"/>
  <c r="AB242" i="9"/>
  <c r="CS242" i="9" s="1"/>
  <c r="BT317" i="9"/>
  <c r="L192" i="6" s="1"/>
  <c r="T242" i="9"/>
  <c r="CK242" i="9" s="1"/>
  <c r="BO242" i="9"/>
  <c r="EF242" i="9" s="1"/>
  <c r="V242" i="9"/>
  <c r="CM242" i="9" s="1"/>
  <c r="AM242" i="9"/>
  <c r="DD242" i="9" s="1"/>
  <c r="BD242" i="9"/>
  <c r="DU242" i="9" s="1"/>
  <c r="BM242" i="9"/>
  <c r="ED242" i="9" s="1"/>
  <c r="BB242" i="9"/>
  <c r="DS242" i="9" s="1"/>
  <c r="T606" i="9"/>
  <c r="CK606" i="9" s="1"/>
  <c r="P606" i="9"/>
  <c r="CG606" i="9" s="1"/>
  <c r="Q606" i="9"/>
  <c r="CH606" i="9" s="1"/>
  <c r="M606" i="9"/>
  <c r="CD606" i="9" s="1"/>
  <c r="R606" i="9"/>
  <c r="CI606" i="9" s="1"/>
  <c r="O606" i="9"/>
  <c r="CF606" i="9" s="1"/>
  <c r="N606" i="9"/>
  <c r="CE606" i="9" s="1"/>
  <c r="L606" i="9"/>
  <c r="CC606" i="9" s="1"/>
  <c r="S606" i="9"/>
  <c r="CJ606" i="9" s="1"/>
  <c r="AP242" i="9"/>
  <c r="DG242" i="9" s="1"/>
  <c r="AE242" i="9"/>
  <c r="CV242" i="9" s="1"/>
  <c r="BR242" i="9"/>
  <c r="EI242" i="9" s="1"/>
  <c r="Z242" i="9"/>
  <c r="CQ242" i="9" s="1"/>
  <c r="AX242" i="9"/>
  <c r="DO242" i="9" s="1"/>
  <c r="BF242" i="9"/>
  <c r="DW242" i="9" s="1"/>
  <c r="AJ242" i="9"/>
  <c r="DA242" i="9" s="1"/>
  <c r="S435" i="9"/>
  <c r="CJ435" i="9" s="1"/>
  <c r="N435" i="9"/>
  <c r="CE435" i="9" s="1"/>
  <c r="Q435" i="9"/>
  <c r="CH435" i="9" s="1"/>
  <c r="P435" i="9"/>
  <c r="CG435" i="9" s="1"/>
  <c r="R435" i="9"/>
  <c r="CI435" i="9" s="1"/>
  <c r="L435" i="9"/>
  <c r="CC435" i="9" s="1"/>
  <c r="T435" i="9"/>
  <c r="CK435" i="9" s="1"/>
  <c r="O435" i="9"/>
  <c r="CF435" i="9" s="1"/>
  <c r="M435" i="9"/>
  <c r="CD435" i="9" s="1"/>
  <c r="K435" i="9"/>
  <c r="CB435" i="9" s="1"/>
  <c r="BU318" i="9"/>
  <c r="M193" i="6" s="1"/>
  <c r="AC242" i="9"/>
  <c r="CT242" i="9" s="1"/>
  <c r="BG242" i="9"/>
  <c r="DX242" i="9" s="1"/>
  <c r="AI242" i="9"/>
  <c r="CZ242" i="9" s="1"/>
  <c r="AH242" i="9"/>
  <c r="CY242" i="9" s="1"/>
  <c r="AU242" i="9"/>
  <c r="DL242" i="9" s="1"/>
  <c r="BH242" i="9"/>
  <c r="DY242" i="9" s="1"/>
  <c r="S269" i="9"/>
  <c r="CJ269" i="9" s="1"/>
  <c r="R269" i="9"/>
  <c r="CI269" i="9" s="1"/>
  <c r="Q269" i="9"/>
  <c r="CH269" i="9" s="1"/>
  <c r="O269" i="9"/>
  <c r="CF269" i="9" s="1"/>
  <c r="N269" i="9"/>
  <c r="CE269" i="9" s="1"/>
  <c r="L269" i="9"/>
  <c r="CC269" i="9" s="1"/>
  <c r="T269" i="9"/>
  <c r="CK269" i="9" s="1"/>
  <c r="P269" i="9"/>
  <c r="CG269" i="9" s="1"/>
  <c r="K269" i="9"/>
  <c r="CB269" i="9" s="1"/>
  <c r="S267" i="9"/>
  <c r="CJ267" i="9" s="1"/>
  <c r="R267" i="9"/>
  <c r="CI267" i="9" s="1"/>
  <c r="L267" i="9"/>
  <c r="CC267" i="9" s="1"/>
  <c r="Q267" i="9"/>
  <c r="CH267" i="9" s="1"/>
  <c r="P267" i="9"/>
  <c r="CG267" i="9" s="1"/>
  <c r="N267" i="9"/>
  <c r="CE267" i="9" s="1"/>
  <c r="T267" i="9"/>
  <c r="CK267" i="9" s="1"/>
  <c r="M267" i="9"/>
  <c r="CD267" i="9" s="1"/>
  <c r="K267" i="9"/>
  <c r="CB267" i="9" s="1"/>
  <c r="S554" i="9"/>
  <c r="CJ554" i="9" s="1"/>
  <c r="R554" i="9"/>
  <c r="CI554" i="9" s="1"/>
  <c r="T554" i="9"/>
  <c r="CK554" i="9" s="1"/>
  <c r="O554" i="9"/>
  <c r="CF554" i="9" s="1"/>
  <c r="T473" i="9"/>
  <c r="P652" i="11" s="1"/>
  <c r="T431" i="9"/>
  <c r="CK431" i="9" s="1"/>
  <c r="N431" i="9"/>
  <c r="CE431" i="9" s="1"/>
  <c r="Q431" i="9"/>
  <c r="CH431" i="9" s="1"/>
  <c r="M431" i="9"/>
  <c r="CD431" i="9" s="1"/>
  <c r="R431" i="9"/>
  <c r="CI431" i="9" s="1"/>
  <c r="L431" i="9"/>
  <c r="CC431" i="9" s="1"/>
  <c r="O431" i="9"/>
  <c r="CF431" i="9" s="1"/>
  <c r="K431" i="9"/>
  <c r="CB431" i="9" s="1"/>
  <c r="P431" i="9"/>
  <c r="CG431" i="9" s="1"/>
  <c r="S431" i="9"/>
  <c r="CJ431" i="9" s="1"/>
  <c r="N437" i="9"/>
  <c r="CE437" i="9" s="1"/>
  <c r="L437" i="9"/>
  <c r="CC437" i="9" s="1"/>
  <c r="P437" i="9"/>
  <c r="CG437" i="9" s="1"/>
  <c r="Q437" i="9"/>
  <c r="CH437" i="9" s="1"/>
  <c r="K437" i="9"/>
  <c r="CB437" i="9" s="1"/>
  <c r="S437" i="9"/>
  <c r="CJ437" i="9" s="1"/>
  <c r="M437" i="9"/>
  <c r="CD437" i="9" s="1"/>
  <c r="R437" i="9"/>
  <c r="CI437" i="9" s="1"/>
  <c r="T437" i="9"/>
  <c r="CK437" i="9" s="1"/>
  <c r="O437" i="9"/>
  <c r="CF437" i="9" s="1"/>
  <c r="P593" i="9"/>
  <c r="L657" i="11" s="1"/>
  <c r="S358" i="9"/>
  <c r="CJ358" i="9" s="1"/>
  <c r="K358" i="9"/>
  <c r="CB358" i="9" s="1"/>
  <c r="O358" i="9"/>
  <c r="CF358" i="9" s="1"/>
  <c r="L358" i="9"/>
  <c r="CC358" i="9" s="1"/>
  <c r="M358" i="9"/>
  <c r="CD358" i="9" s="1"/>
  <c r="P358" i="9"/>
  <c r="CG358" i="9" s="1"/>
  <c r="N358" i="9"/>
  <c r="CE358" i="9" s="1"/>
  <c r="T358" i="9"/>
  <c r="CK358" i="9" s="1"/>
  <c r="Q358" i="9"/>
  <c r="CH358" i="9" s="1"/>
  <c r="R358" i="9"/>
  <c r="CI358" i="9" s="1"/>
  <c r="Q481" i="9"/>
  <c r="CH481" i="9" s="1"/>
  <c r="L481" i="9"/>
  <c r="CC481" i="9" s="1"/>
  <c r="T481" i="9"/>
  <c r="CK481" i="9" s="1"/>
  <c r="O481" i="9"/>
  <c r="CF481" i="9" s="1"/>
  <c r="N481" i="9"/>
  <c r="CE481" i="9" s="1"/>
  <c r="R481" i="9"/>
  <c r="CI481" i="9" s="1"/>
  <c r="M481" i="9"/>
  <c r="CD481" i="9" s="1"/>
  <c r="K481" i="9"/>
  <c r="CB481" i="9" s="1"/>
  <c r="S481" i="9"/>
  <c r="CJ481" i="9" s="1"/>
  <c r="O637" i="9"/>
  <c r="CF637" i="9" s="1"/>
  <c r="K637" i="9"/>
  <c r="CB637" i="9" s="1"/>
  <c r="S637" i="9"/>
  <c r="CJ637" i="9" s="1"/>
  <c r="M479" i="9"/>
  <c r="CD479" i="9" s="1"/>
  <c r="AI479" i="9"/>
  <c r="CZ479" i="9" s="1"/>
  <c r="BH479" i="9"/>
  <c r="DY479" i="9" s="1"/>
  <c r="Z479" i="9"/>
  <c r="CQ479" i="9" s="1"/>
  <c r="AV479" i="9"/>
  <c r="DM479" i="9" s="1"/>
  <c r="BA479" i="9"/>
  <c r="DR479" i="9" s="1"/>
  <c r="AS479" i="9"/>
  <c r="DJ479" i="9" s="1"/>
  <c r="K270" i="9"/>
  <c r="CB270" i="9" s="1"/>
  <c r="BQ270" i="9"/>
  <c r="EH270" i="9" s="1"/>
  <c r="BA270" i="9"/>
  <c r="DR270" i="9" s="1"/>
  <c r="BL270" i="9"/>
  <c r="EC270" i="9" s="1"/>
  <c r="V270" i="9"/>
  <c r="CM270" i="9" s="1"/>
  <c r="AJ270" i="9"/>
  <c r="DA270" i="9" s="1"/>
  <c r="AY270" i="9"/>
  <c r="DP270" i="9" s="1"/>
  <c r="L496" i="9"/>
  <c r="CC496" i="9" s="1"/>
  <c r="BC496" i="9"/>
  <c r="DT496" i="9" s="1"/>
  <c r="Y496" i="9"/>
  <c r="CP496" i="9" s="1"/>
  <c r="AF496" i="9"/>
  <c r="CW496" i="9" s="1"/>
  <c r="AK496" i="9"/>
  <c r="DB496" i="9" s="1"/>
  <c r="AN496" i="9"/>
  <c r="DE496" i="9" s="1"/>
  <c r="AV496" i="9"/>
  <c r="DM496" i="9" s="1"/>
  <c r="N560" i="9"/>
  <c r="CE560" i="9" s="1"/>
  <c r="S252" i="9"/>
  <c r="CJ252" i="9" s="1"/>
  <c r="R252" i="9"/>
  <c r="CI252" i="9" s="1"/>
  <c r="Q252" i="9"/>
  <c r="CH252" i="9" s="1"/>
  <c r="O252" i="9"/>
  <c r="CF252" i="9" s="1"/>
  <c r="T484" i="9"/>
  <c r="CK484" i="9" s="1"/>
  <c r="P484" i="9"/>
  <c r="Q484" i="9"/>
  <c r="CH484" i="9" s="1"/>
  <c r="N553" i="9"/>
  <c r="CE553" i="9" s="1"/>
  <c r="S553" i="9"/>
  <c r="CJ553" i="9" s="1"/>
  <c r="O624" i="9"/>
  <c r="T624" i="9"/>
  <c r="CK624" i="9" s="1"/>
  <c r="O479" i="9"/>
  <c r="CF479" i="9" s="1"/>
  <c r="BN479" i="9"/>
  <c r="EE479" i="9" s="1"/>
  <c r="AT479" i="9"/>
  <c r="DK479" i="9" s="1"/>
  <c r="BJ479" i="9"/>
  <c r="EA479" i="9" s="1"/>
  <c r="AQ479" i="9"/>
  <c r="DH479" i="9" s="1"/>
  <c r="Y479" i="9"/>
  <c r="CP479" i="9" s="1"/>
  <c r="BG479" i="9"/>
  <c r="DX479" i="9" s="1"/>
  <c r="R270" i="9"/>
  <c r="CI270" i="9" s="1"/>
  <c r="BC270" i="9"/>
  <c r="DT270" i="9" s="1"/>
  <c r="AH270" i="9"/>
  <c r="CY270" i="9" s="1"/>
  <c r="AV270" i="9"/>
  <c r="DM270" i="9" s="1"/>
  <c r="AR270" i="9"/>
  <c r="DI270" i="9" s="1"/>
  <c r="AN270" i="9"/>
  <c r="DE270" i="9" s="1"/>
  <c r="BN270" i="9"/>
  <c r="EE270" i="9" s="1"/>
  <c r="O496" i="9"/>
  <c r="CF496" i="9" s="1"/>
  <c r="AS496" i="9"/>
  <c r="DJ496" i="9" s="1"/>
  <c r="BR496" i="9"/>
  <c r="EI496" i="9" s="1"/>
  <c r="AL496" i="9"/>
  <c r="DC496" i="9" s="1"/>
  <c r="V496" i="9"/>
  <c r="CM496" i="9" s="1"/>
  <c r="AE496" i="9"/>
  <c r="CV496" i="9" s="1"/>
  <c r="AW496" i="9"/>
  <c r="DN496" i="9" s="1"/>
  <c r="O560" i="9"/>
  <c r="CF560" i="9" s="1"/>
  <c r="T560" i="9"/>
  <c r="CK560" i="9" s="1"/>
  <c r="N252" i="9"/>
  <c r="CE252" i="9" s="1"/>
  <c r="R433" i="9"/>
  <c r="CI433" i="9" s="1"/>
  <c r="Q433" i="9"/>
  <c r="CH433" i="9" s="1"/>
  <c r="O433" i="9"/>
  <c r="CF433" i="9" s="1"/>
  <c r="K433" i="9"/>
  <c r="CB433" i="9" s="1"/>
  <c r="P433" i="9"/>
  <c r="CG433" i="9" s="1"/>
  <c r="N433" i="9"/>
  <c r="CE433" i="9" s="1"/>
  <c r="L486" i="9"/>
  <c r="CC486" i="9" s="1"/>
  <c r="S486" i="9"/>
  <c r="CJ486" i="9" s="1"/>
  <c r="T486" i="9"/>
  <c r="CK486" i="9" s="1"/>
  <c r="K486" i="9"/>
  <c r="CB486" i="9" s="1"/>
  <c r="N486" i="9"/>
  <c r="CE486" i="9" s="1"/>
  <c r="O486" i="9"/>
  <c r="CF486" i="9" s="1"/>
  <c r="R486" i="9"/>
  <c r="CI486" i="9" s="1"/>
  <c r="Q486" i="9"/>
  <c r="CH486" i="9" s="1"/>
  <c r="P486" i="9"/>
  <c r="CG486" i="9" s="1"/>
  <c r="M486" i="9"/>
  <c r="CD486" i="9" s="1"/>
  <c r="R557" i="9"/>
  <c r="CI557" i="9" s="1"/>
  <c r="L557" i="9"/>
  <c r="CC557" i="9" s="1"/>
  <c r="T557" i="9"/>
  <c r="CK557" i="9" s="1"/>
  <c r="M557" i="9"/>
  <c r="CD557" i="9" s="1"/>
  <c r="Q633" i="9"/>
  <c r="CH633" i="9" s="1"/>
  <c r="P633" i="9"/>
  <c r="CG633" i="9" s="1"/>
  <c r="S633" i="9"/>
  <c r="CJ633" i="9" s="1"/>
  <c r="M633" i="9"/>
  <c r="CD633" i="9" s="1"/>
  <c r="K633" i="9"/>
  <c r="P479" i="9"/>
  <c r="CG479" i="9" s="1"/>
  <c r="AG479" i="9"/>
  <c r="CX479" i="9" s="1"/>
  <c r="BP479" i="9"/>
  <c r="EG479" i="9" s="1"/>
  <c r="BD479" i="9"/>
  <c r="DU479" i="9" s="1"/>
  <c r="AP479" i="9"/>
  <c r="DG479" i="9" s="1"/>
  <c r="AA479" i="9"/>
  <c r="CR479" i="9" s="1"/>
  <c r="AZ479" i="9"/>
  <c r="DQ479" i="9" s="1"/>
  <c r="N270" i="9"/>
  <c r="CE270" i="9" s="1"/>
  <c r="S270" i="9"/>
  <c r="CJ270" i="9" s="1"/>
  <c r="BE270" i="9"/>
  <c r="DV270" i="9" s="1"/>
  <c r="U270" i="9"/>
  <c r="CL270" i="9" s="1"/>
  <c r="BJ270" i="9"/>
  <c r="EA270" i="9" s="1"/>
  <c r="AC270" i="9"/>
  <c r="CT270" i="9" s="1"/>
  <c r="AB270" i="9"/>
  <c r="CS270" i="9" s="1"/>
  <c r="AA270" i="9"/>
  <c r="CR270" i="9" s="1"/>
  <c r="S496" i="9"/>
  <c r="CJ496" i="9" s="1"/>
  <c r="AD496" i="9"/>
  <c r="CU496" i="9" s="1"/>
  <c r="AQ496" i="9"/>
  <c r="DH496" i="9" s="1"/>
  <c r="AR496" i="9"/>
  <c r="DI496" i="9" s="1"/>
  <c r="Z496" i="9"/>
  <c r="CQ496" i="9" s="1"/>
  <c r="BE496" i="9"/>
  <c r="DV496" i="9" s="1"/>
  <c r="BI496" i="9"/>
  <c r="DZ496" i="9" s="1"/>
  <c r="Q560" i="9"/>
  <c r="CH560" i="9" s="1"/>
  <c r="M252" i="9"/>
  <c r="CD252" i="9" s="1"/>
  <c r="R261" i="9"/>
  <c r="CI261" i="9" s="1"/>
  <c r="L261" i="9"/>
  <c r="CC261" i="9" s="1"/>
  <c r="Q261" i="9"/>
  <c r="CH261" i="9" s="1"/>
  <c r="O261" i="9"/>
  <c r="CF261" i="9" s="1"/>
  <c r="N661" i="9"/>
  <c r="CE661" i="9" s="1"/>
  <c r="Q661" i="9"/>
  <c r="CH661" i="9" s="1"/>
  <c r="P493" i="9"/>
  <c r="CG493" i="9" s="1"/>
  <c r="M493" i="9"/>
  <c r="CD493" i="9" s="1"/>
  <c r="K493" i="9"/>
  <c r="CB493" i="9" s="1"/>
  <c r="Q493" i="9"/>
  <c r="CH493" i="9" s="1"/>
  <c r="L551" i="9"/>
  <c r="CC551" i="9" s="1"/>
  <c r="O551" i="9"/>
  <c r="CF551" i="9" s="1"/>
  <c r="T551" i="9"/>
  <c r="CK551" i="9" s="1"/>
  <c r="S551" i="9"/>
  <c r="CJ551" i="9" s="1"/>
  <c r="R551" i="9"/>
  <c r="CI551" i="9" s="1"/>
  <c r="P551" i="9"/>
  <c r="CG551" i="9" s="1"/>
  <c r="Q551" i="9"/>
  <c r="CH551" i="9" s="1"/>
  <c r="M551" i="9"/>
  <c r="CD551" i="9" s="1"/>
  <c r="N551" i="9"/>
  <c r="CE551" i="9" s="1"/>
  <c r="T479" i="9"/>
  <c r="CK479" i="9" s="1"/>
  <c r="Q479" i="9"/>
  <c r="CH479" i="9" s="1"/>
  <c r="BM479" i="9"/>
  <c r="ED479" i="9" s="1"/>
  <c r="X479" i="9"/>
  <c r="CO479" i="9" s="1"/>
  <c r="AK479" i="9"/>
  <c r="DB479" i="9" s="1"/>
  <c r="AW479" i="9"/>
  <c r="DN479" i="9" s="1"/>
  <c r="AJ479" i="9"/>
  <c r="DA479" i="9" s="1"/>
  <c r="BC479" i="9"/>
  <c r="DT479" i="9" s="1"/>
  <c r="O270" i="9"/>
  <c r="CF270" i="9" s="1"/>
  <c r="AM270" i="9"/>
  <c r="DD270" i="9" s="1"/>
  <c r="AO270" i="9"/>
  <c r="DF270" i="9" s="1"/>
  <c r="BD270" i="9"/>
  <c r="DU270" i="9" s="1"/>
  <c r="BO270" i="9"/>
  <c r="EF270" i="9" s="1"/>
  <c r="AD270" i="9"/>
  <c r="CU270" i="9" s="1"/>
  <c r="AL270" i="9"/>
  <c r="DC270" i="9" s="1"/>
  <c r="T496" i="9"/>
  <c r="CK496" i="9" s="1"/>
  <c r="M496" i="9"/>
  <c r="CD496" i="9" s="1"/>
  <c r="U496" i="9"/>
  <c r="CL496" i="9" s="1"/>
  <c r="AH496" i="9"/>
  <c r="CY496" i="9" s="1"/>
  <c r="BQ496" i="9"/>
  <c r="EH496" i="9" s="1"/>
  <c r="AY496" i="9"/>
  <c r="DP496" i="9" s="1"/>
  <c r="AM496" i="9"/>
  <c r="DD496" i="9" s="1"/>
  <c r="AC496" i="9"/>
  <c r="CT496" i="9" s="1"/>
  <c r="P560" i="9"/>
  <c r="CG560" i="9" s="1"/>
  <c r="M560" i="9"/>
  <c r="CD560" i="9" s="1"/>
  <c r="P252" i="9"/>
  <c r="CG252" i="9" s="1"/>
  <c r="K664" i="9"/>
  <c r="CB664" i="9" s="1"/>
  <c r="N664" i="9"/>
  <c r="CE664" i="9" s="1"/>
  <c r="M664" i="9"/>
  <c r="CD664" i="9" s="1"/>
  <c r="Q664" i="9"/>
  <c r="CH664" i="9" s="1"/>
  <c r="R664" i="9"/>
  <c r="CI664" i="9" s="1"/>
  <c r="O664" i="9"/>
  <c r="CF664" i="9" s="1"/>
  <c r="S664" i="9"/>
  <c r="CJ664" i="9" s="1"/>
  <c r="P664" i="9"/>
  <c r="CG664" i="9" s="1"/>
  <c r="L664" i="9"/>
  <c r="CC664" i="9" s="1"/>
  <c r="T664" i="9"/>
  <c r="CK664" i="9" s="1"/>
  <c r="P552" i="9"/>
  <c r="CG552" i="9" s="1"/>
  <c r="L552" i="9"/>
  <c r="CC552" i="9" s="1"/>
  <c r="N552" i="9"/>
  <c r="CE552" i="9" s="1"/>
  <c r="O552" i="9"/>
  <c r="CF552" i="9" s="1"/>
  <c r="T552" i="9"/>
  <c r="CK552" i="9" s="1"/>
  <c r="Q552" i="9"/>
  <c r="CH552" i="9" s="1"/>
  <c r="M649" i="9"/>
  <c r="CD649" i="9" s="1"/>
  <c r="L649" i="9"/>
  <c r="CC649" i="9" s="1"/>
  <c r="P385" i="9"/>
  <c r="CG385" i="9" s="1"/>
  <c r="T385" i="9"/>
  <c r="CK385" i="9" s="1"/>
  <c r="Q385" i="9"/>
  <c r="CH385" i="9" s="1"/>
  <c r="O385" i="9"/>
  <c r="CF385" i="9" s="1"/>
  <c r="N385" i="9"/>
  <c r="CE385" i="9" s="1"/>
  <c r="L385" i="9"/>
  <c r="CC385" i="9" s="1"/>
  <c r="M385" i="9"/>
  <c r="CD385" i="9" s="1"/>
  <c r="R385" i="9"/>
  <c r="CI385" i="9" s="1"/>
  <c r="S385" i="9"/>
  <c r="CJ385" i="9" s="1"/>
  <c r="BN353" i="9"/>
  <c r="BJ647" i="11" s="1"/>
  <c r="S479" i="9"/>
  <c r="CJ479" i="9" s="1"/>
  <c r="W479" i="9"/>
  <c r="CN479" i="9" s="1"/>
  <c r="BK479" i="9"/>
  <c r="EB479" i="9" s="1"/>
  <c r="AM479" i="9"/>
  <c r="DD479" i="9" s="1"/>
  <c r="AL479" i="9"/>
  <c r="DC479" i="9" s="1"/>
  <c r="BR479" i="9"/>
  <c r="EI479" i="9" s="1"/>
  <c r="AD479" i="9"/>
  <c r="CU479" i="9" s="1"/>
  <c r="M270" i="9"/>
  <c r="CD270" i="9" s="1"/>
  <c r="AZ270" i="9"/>
  <c r="DQ270" i="9" s="1"/>
  <c r="AQ270" i="9"/>
  <c r="DH270" i="9" s="1"/>
  <c r="AI270" i="9"/>
  <c r="CZ270" i="9" s="1"/>
  <c r="Z270" i="9"/>
  <c r="CQ270" i="9" s="1"/>
  <c r="AX270" i="9"/>
  <c r="DO270" i="9" s="1"/>
  <c r="R496" i="9"/>
  <c r="CI496" i="9" s="1"/>
  <c r="AU496" i="9"/>
  <c r="DL496" i="9" s="1"/>
  <c r="BJ496" i="9"/>
  <c r="EA496" i="9" s="1"/>
  <c r="AB496" i="9"/>
  <c r="CS496" i="9" s="1"/>
  <c r="AA496" i="9"/>
  <c r="CR496" i="9" s="1"/>
  <c r="W496" i="9"/>
  <c r="CN496" i="9" s="1"/>
  <c r="BF496" i="9"/>
  <c r="DW496" i="9" s="1"/>
  <c r="BG496" i="9"/>
  <c r="DX496" i="9" s="1"/>
  <c r="R560" i="9"/>
  <c r="CI560" i="9" s="1"/>
  <c r="O559" i="9"/>
  <c r="CF559" i="9" s="1"/>
  <c r="M559" i="9"/>
  <c r="CD559" i="9" s="1"/>
  <c r="L559" i="9"/>
  <c r="CC559" i="9" s="1"/>
  <c r="N559" i="9"/>
  <c r="CE559" i="9" s="1"/>
  <c r="S559" i="9"/>
  <c r="CJ559" i="9" s="1"/>
  <c r="Q559" i="9"/>
  <c r="CH559" i="9" s="1"/>
  <c r="T559" i="9"/>
  <c r="CK559" i="9" s="1"/>
  <c r="P559" i="9"/>
  <c r="CG559" i="9" s="1"/>
  <c r="R559" i="9"/>
  <c r="CI559" i="9" s="1"/>
  <c r="O564" i="9"/>
  <c r="CF564" i="9" s="1"/>
  <c r="R564" i="9"/>
  <c r="CI564" i="9" s="1"/>
  <c r="M564" i="9"/>
  <c r="CD564" i="9" s="1"/>
  <c r="T564" i="9"/>
  <c r="CK564" i="9" s="1"/>
  <c r="Q564" i="9"/>
  <c r="CH564" i="9" s="1"/>
  <c r="P564" i="9"/>
  <c r="CG564" i="9" s="1"/>
  <c r="N564" i="9"/>
  <c r="CE564" i="9" s="1"/>
  <c r="L564" i="9"/>
  <c r="CC564" i="9" s="1"/>
  <c r="S564" i="9"/>
  <c r="CJ564" i="9" s="1"/>
  <c r="O389" i="9"/>
  <c r="CF389" i="9" s="1"/>
  <c r="R389" i="9"/>
  <c r="CI389" i="9" s="1"/>
  <c r="O565" i="9"/>
  <c r="CF565" i="9" s="1"/>
  <c r="M565" i="9"/>
  <c r="CD565" i="9" s="1"/>
  <c r="T565" i="9"/>
  <c r="CK565" i="9" s="1"/>
  <c r="S565" i="9"/>
  <c r="CJ565" i="9" s="1"/>
  <c r="N565" i="9"/>
  <c r="CE565" i="9" s="1"/>
  <c r="R565" i="9"/>
  <c r="CI565" i="9" s="1"/>
  <c r="P565" i="9"/>
  <c r="CG565" i="9" s="1"/>
  <c r="Q565" i="9"/>
  <c r="CH565" i="9" s="1"/>
  <c r="L565" i="9"/>
  <c r="CC565" i="9" s="1"/>
  <c r="S566" i="9"/>
  <c r="CJ566" i="9" s="1"/>
  <c r="O566" i="9"/>
  <c r="CF566" i="9" s="1"/>
  <c r="L566" i="9"/>
  <c r="CC566" i="9" s="1"/>
  <c r="T566" i="9"/>
  <c r="CK566" i="9" s="1"/>
  <c r="P566" i="9"/>
  <c r="CG566" i="9" s="1"/>
  <c r="N566" i="9"/>
  <c r="CE566" i="9" s="1"/>
  <c r="M566" i="9"/>
  <c r="CD566" i="9" s="1"/>
  <c r="R566" i="9"/>
  <c r="CI566" i="9" s="1"/>
  <c r="Q566" i="9"/>
  <c r="CH566" i="9" s="1"/>
  <c r="S392" i="9"/>
  <c r="CJ392" i="9" s="1"/>
  <c r="L392" i="9"/>
  <c r="CC392" i="9" s="1"/>
  <c r="AZ593" i="9"/>
  <c r="AV657" i="11" s="1"/>
  <c r="BG593" i="9"/>
  <c r="BC657" i="11" s="1"/>
  <c r="BP353" i="9"/>
  <c r="BL647" i="11" s="1"/>
  <c r="I497" i="9"/>
  <c r="I521" i="9"/>
  <c r="M632" i="9"/>
  <c r="CD632" i="9" s="1"/>
  <c r="Q632" i="9"/>
  <c r="CH632" i="9" s="1"/>
  <c r="O632" i="9"/>
  <c r="CF632" i="9" s="1"/>
  <c r="T632" i="9"/>
  <c r="CK632" i="9" s="1"/>
  <c r="R632" i="9"/>
  <c r="CI632" i="9" s="1"/>
  <c r="P632" i="9"/>
  <c r="CG632" i="9" s="1"/>
  <c r="L632" i="9"/>
  <c r="CC632" i="9" s="1"/>
  <c r="S632" i="9"/>
  <c r="CJ632" i="9" s="1"/>
  <c r="N632" i="9"/>
  <c r="CE632" i="9" s="1"/>
  <c r="K632" i="9"/>
  <c r="CB632" i="9" s="1"/>
  <c r="P651" i="9"/>
  <c r="CG651" i="9" s="1"/>
  <c r="S651" i="9"/>
  <c r="CJ651" i="9" s="1"/>
  <c r="N651" i="9"/>
  <c r="CE651" i="9" s="1"/>
  <c r="R651" i="9"/>
  <c r="CI651" i="9" s="1"/>
  <c r="L651" i="9"/>
  <c r="CC651" i="9" s="1"/>
  <c r="O651" i="9"/>
  <c r="CF651" i="9" s="1"/>
  <c r="M651" i="9"/>
  <c r="CD651" i="9" s="1"/>
  <c r="Q651" i="9"/>
  <c r="CH651" i="9" s="1"/>
  <c r="L628" i="9"/>
  <c r="CC628" i="9" s="1"/>
  <c r="R628" i="9"/>
  <c r="CI628" i="9" s="1"/>
  <c r="N628" i="9"/>
  <c r="CE628" i="9" s="1"/>
  <c r="O628" i="9"/>
  <c r="CF628" i="9" s="1"/>
  <c r="S628" i="9"/>
  <c r="CJ628" i="9" s="1"/>
  <c r="K628" i="9"/>
  <c r="CB628" i="9" s="1"/>
  <c r="T628" i="9"/>
  <c r="CK628" i="9" s="1"/>
  <c r="T245" i="9"/>
  <c r="CK245" i="9" s="1"/>
  <c r="M245" i="9"/>
  <c r="CD245" i="9" s="1"/>
  <c r="K245" i="9"/>
  <c r="CB245" i="9" s="1"/>
  <c r="O245" i="9"/>
  <c r="CF245" i="9" s="1"/>
  <c r="R245" i="9"/>
  <c r="CI245" i="9" s="1"/>
  <c r="P245" i="9"/>
  <c r="CG245" i="9" s="1"/>
  <c r="N245" i="9"/>
  <c r="CE245" i="9" s="1"/>
  <c r="Q245" i="9"/>
  <c r="CH245" i="9" s="1"/>
  <c r="N244" i="9"/>
  <c r="CE244" i="9" s="1"/>
  <c r="S244" i="9"/>
  <c r="CJ244" i="9" s="1"/>
  <c r="Q652" i="9"/>
  <c r="CH652" i="9" s="1"/>
  <c r="P652" i="9"/>
  <c r="CG652" i="9" s="1"/>
  <c r="K652" i="9"/>
  <c r="T652" i="9"/>
  <c r="CK652" i="9" s="1"/>
  <c r="S652" i="9"/>
  <c r="CJ652" i="9" s="1"/>
  <c r="R652" i="9"/>
  <c r="CI652" i="9" s="1"/>
  <c r="O652" i="9"/>
  <c r="CF652" i="9" s="1"/>
  <c r="L652" i="9"/>
  <c r="CC652" i="9" s="1"/>
  <c r="M652" i="9"/>
  <c r="CD652" i="9" s="1"/>
  <c r="AN353" i="9"/>
  <c r="AJ647" i="11" s="1"/>
  <c r="L626" i="9"/>
  <c r="Q626" i="9"/>
  <c r="CH626" i="9" s="1"/>
  <c r="T626" i="9"/>
  <c r="CK626" i="9" s="1"/>
  <c r="N626" i="9"/>
  <c r="CE626" i="9" s="1"/>
  <c r="R626" i="9"/>
  <c r="CI626" i="9" s="1"/>
  <c r="O622" i="9"/>
  <c r="CF622" i="9" s="1"/>
  <c r="S622" i="9"/>
  <c r="CJ622" i="9" s="1"/>
  <c r="T622" i="9"/>
  <c r="CK622" i="9" s="1"/>
  <c r="K622" i="9"/>
  <c r="CB622" i="9" s="1"/>
  <c r="N438" i="9"/>
  <c r="CE438" i="9" s="1"/>
  <c r="T438" i="9"/>
  <c r="CK438" i="9" s="1"/>
  <c r="S438" i="9"/>
  <c r="CJ438" i="9" s="1"/>
  <c r="M438" i="9"/>
  <c r="CD438" i="9" s="1"/>
  <c r="K438" i="9"/>
  <c r="CB438" i="9" s="1"/>
  <c r="Q438" i="9"/>
  <c r="CH438" i="9" s="1"/>
  <c r="N432" i="9"/>
  <c r="CE432" i="9" s="1"/>
  <c r="R432" i="9"/>
  <c r="CI432" i="9" s="1"/>
  <c r="O432" i="9"/>
  <c r="CF432" i="9" s="1"/>
  <c r="S432" i="9"/>
  <c r="CJ432" i="9" s="1"/>
  <c r="P432" i="9"/>
  <c r="CG432" i="9" s="1"/>
  <c r="Q432" i="9"/>
  <c r="CH432" i="9" s="1"/>
  <c r="T432" i="9"/>
  <c r="CK432" i="9" s="1"/>
  <c r="K432" i="9"/>
  <c r="CB432" i="9" s="1"/>
  <c r="M432" i="9"/>
  <c r="CD432" i="9" s="1"/>
  <c r="L432" i="9"/>
  <c r="CC432" i="9" s="1"/>
  <c r="N263" i="9"/>
  <c r="CE263" i="9" s="1"/>
  <c r="O263" i="9"/>
  <c r="CF263" i="9" s="1"/>
  <c r="T263" i="9"/>
  <c r="CK263" i="9" s="1"/>
  <c r="M263" i="9"/>
  <c r="CD263" i="9" s="1"/>
  <c r="R263" i="9"/>
  <c r="CI263" i="9" s="1"/>
  <c r="L263" i="9"/>
  <c r="CC263" i="9" s="1"/>
  <c r="K263" i="9"/>
  <c r="CB263" i="9" s="1"/>
  <c r="T495" i="9"/>
  <c r="CK495" i="9" s="1"/>
  <c r="O495" i="9"/>
  <c r="CF495" i="9" s="1"/>
  <c r="L495" i="9"/>
  <c r="CC495" i="9" s="1"/>
  <c r="Q495" i="9"/>
  <c r="CH495" i="9" s="1"/>
  <c r="P495" i="9"/>
  <c r="CG495" i="9" s="1"/>
  <c r="M495" i="9"/>
  <c r="CD495" i="9" s="1"/>
  <c r="K495" i="9"/>
  <c r="CB495" i="9" s="1"/>
  <c r="N495" i="9"/>
  <c r="CE495" i="9" s="1"/>
  <c r="BE353" i="9"/>
  <c r="BA647" i="11" s="1"/>
  <c r="BH353" i="9"/>
  <c r="BD647" i="11" s="1"/>
  <c r="S648" i="9"/>
  <c r="CJ648" i="9" s="1"/>
  <c r="N648" i="9"/>
  <c r="CE648" i="9" s="1"/>
  <c r="R648" i="9"/>
  <c r="CI648" i="9" s="1"/>
  <c r="L648" i="9"/>
  <c r="CC648" i="9" s="1"/>
  <c r="M648" i="9"/>
  <c r="CD648" i="9" s="1"/>
  <c r="O648" i="9"/>
  <c r="CF648" i="9" s="1"/>
  <c r="T648" i="9"/>
  <c r="CK648" i="9" s="1"/>
  <c r="L478" i="9"/>
  <c r="CC478" i="9" s="1"/>
  <c r="K478" i="9"/>
  <c r="CB478" i="9" s="1"/>
  <c r="Q478" i="9"/>
  <c r="CH478" i="9" s="1"/>
  <c r="M478" i="9"/>
  <c r="CD478" i="9" s="1"/>
  <c r="S478" i="9"/>
  <c r="CJ478" i="9" s="1"/>
  <c r="P478" i="9"/>
  <c r="CG478" i="9" s="1"/>
  <c r="R478" i="9"/>
  <c r="CI478" i="9" s="1"/>
  <c r="N242" i="9"/>
  <c r="CE242" i="9" s="1"/>
  <c r="L242" i="9"/>
  <c r="CC242" i="9" s="1"/>
  <c r="P242" i="9"/>
  <c r="CG242" i="9" s="1"/>
  <c r="O242" i="9"/>
  <c r="CF242" i="9" s="1"/>
  <c r="K242" i="9"/>
  <c r="CB242" i="9" s="1"/>
  <c r="M639" i="9"/>
  <c r="N639" i="9"/>
  <c r="CE639" i="9" s="1"/>
  <c r="S639" i="9"/>
  <c r="CJ639" i="9" s="1"/>
  <c r="Q639" i="9"/>
  <c r="CH639" i="9" s="1"/>
  <c r="T639" i="9"/>
  <c r="CK639" i="9" s="1"/>
  <c r="M635" i="9"/>
  <c r="CD635" i="9" s="1"/>
  <c r="N635" i="9"/>
  <c r="CE635" i="9" s="1"/>
  <c r="P635" i="9"/>
  <c r="CG635" i="9" s="1"/>
  <c r="T635" i="9"/>
  <c r="CK635" i="9" s="1"/>
  <c r="K635" i="9"/>
  <c r="CB635" i="9" s="1"/>
  <c r="N687" i="9"/>
  <c r="CE687" i="9" s="1"/>
  <c r="O687" i="9"/>
  <c r="CF687" i="9" s="1"/>
  <c r="Q687" i="9"/>
  <c r="CH687" i="9" s="1"/>
  <c r="P687" i="9"/>
  <c r="CG687" i="9" s="1"/>
  <c r="S687" i="9"/>
  <c r="CJ687" i="9" s="1"/>
  <c r="BT338" i="9"/>
  <c r="L211" i="6" s="1"/>
  <c r="AD353" i="9"/>
  <c r="Z647" i="11" s="1"/>
  <c r="Q394" i="9"/>
  <c r="CH394" i="9" s="1"/>
  <c r="T394" i="9"/>
  <c r="CK394" i="9" s="1"/>
  <c r="P394" i="9"/>
  <c r="CG394" i="9" s="1"/>
  <c r="L394" i="9"/>
  <c r="CC394" i="9" s="1"/>
  <c r="O394" i="9"/>
  <c r="CF394" i="9" s="1"/>
  <c r="N394" i="9"/>
  <c r="CE394" i="9" s="1"/>
  <c r="S562" i="9"/>
  <c r="CJ562" i="9" s="1"/>
  <c r="M562" i="9"/>
  <c r="CD562" i="9" s="1"/>
  <c r="L562" i="9"/>
  <c r="CC562" i="9" s="1"/>
  <c r="P562" i="9"/>
  <c r="CG562" i="9" s="1"/>
  <c r="T562" i="9"/>
  <c r="CK562" i="9" s="1"/>
  <c r="O562" i="9"/>
  <c r="CF562" i="9" s="1"/>
  <c r="S439" i="9"/>
  <c r="CJ439" i="9" s="1"/>
  <c r="N439" i="9"/>
  <c r="CE439" i="9" s="1"/>
  <c r="Q439" i="9"/>
  <c r="CH439" i="9" s="1"/>
  <c r="T439" i="9"/>
  <c r="CK439" i="9" s="1"/>
  <c r="L439" i="9"/>
  <c r="CC439" i="9" s="1"/>
  <c r="R439" i="9"/>
  <c r="CI439" i="9" s="1"/>
  <c r="Q650" i="9"/>
  <c r="CH650" i="9" s="1"/>
  <c r="R650" i="9"/>
  <c r="CI650" i="9" s="1"/>
  <c r="S650" i="9"/>
  <c r="CJ650" i="9" s="1"/>
  <c r="M650" i="9"/>
  <c r="CD650" i="9" s="1"/>
  <c r="O650" i="9"/>
  <c r="CF650" i="9" s="1"/>
  <c r="K650" i="9"/>
  <c r="L650" i="9"/>
  <c r="CC650" i="9" s="1"/>
  <c r="M440" i="9"/>
  <c r="CD440" i="9" s="1"/>
  <c r="Q440" i="9"/>
  <c r="CH440" i="9" s="1"/>
  <c r="T440" i="9"/>
  <c r="CK440" i="9" s="1"/>
  <c r="R440" i="9"/>
  <c r="CI440" i="9" s="1"/>
  <c r="O440" i="9"/>
  <c r="CF440" i="9" s="1"/>
  <c r="L440" i="9"/>
  <c r="CC440" i="9" s="1"/>
  <c r="K440" i="9"/>
  <c r="CB440" i="9" s="1"/>
  <c r="N440" i="9"/>
  <c r="CE440" i="9" s="1"/>
  <c r="S440" i="9"/>
  <c r="CJ440" i="9" s="1"/>
  <c r="P440" i="9"/>
  <c r="CG440" i="9" s="1"/>
  <c r="T270" i="9"/>
  <c r="CK270" i="9" s="1"/>
  <c r="Q270" i="9"/>
  <c r="L625" i="9"/>
  <c r="CC625" i="9" s="1"/>
  <c r="R625" i="9"/>
  <c r="CI625" i="9" s="1"/>
  <c r="Q625" i="9"/>
  <c r="CH625" i="9" s="1"/>
  <c r="P625" i="9"/>
  <c r="CG625" i="9" s="1"/>
  <c r="S625" i="9"/>
  <c r="CJ625" i="9" s="1"/>
  <c r="N625" i="9"/>
  <c r="CE625" i="9" s="1"/>
  <c r="T625" i="9"/>
  <c r="CK625" i="9" s="1"/>
  <c r="K625" i="9"/>
  <c r="CB625" i="9" s="1"/>
  <c r="BU309" i="9"/>
  <c r="M184" i="6" s="1"/>
  <c r="BI593" i="9"/>
  <c r="BE657" i="11" s="1"/>
  <c r="BT455" i="9"/>
  <c r="L318" i="6" s="1"/>
  <c r="BN593" i="9"/>
  <c r="BJ657" i="11" s="1"/>
  <c r="L490" i="9"/>
  <c r="CC490" i="9" s="1"/>
  <c r="Q490" i="9"/>
  <c r="CH490" i="9" s="1"/>
  <c r="M490" i="9"/>
  <c r="CD490" i="9" s="1"/>
  <c r="T490" i="9"/>
  <c r="CK490" i="9" s="1"/>
  <c r="R490" i="9"/>
  <c r="CI490" i="9" s="1"/>
  <c r="N490" i="9"/>
  <c r="CE490" i="9" s="1"/>
  <c r="K490" i="9"/>
  <c r="CB490" i="9" s="1"/>
  <c r="R491" i="9"/>
  <c r="CI491" i="9" s="1"/>
  <c r="L491" i="9"/>
  <c r="Q249" i="9"/>
  <c r="CH249" i="9" s="1"/>
  <c r="T249" i="9"/>
  <c r="CK249" i="9" s="1"/>
  <c r="P249" i="9"/>
  <c r="CG249" i="9" s="1"/>
  <c r="S249" i="9"/>
  <c r="CJ249" i="9" s="1"/>
  <c r="O249" i="9"/>
  <c r="CF249" i="9" s="1"/>
  <c r="N249" i="9"/>
  <c r="CE249" i="9" s="1"/>
  <c r="K249" i="9"/>
  <c r="CB249" i="9" s="1"/>
  <c r="M249" i="9"/>
  <c r="CD249" i="9" s="1"/>
  <c r="L249" i="9"/>
  <c r="CC249" i="9" s="1"/>
  <c r="R249" i="9"/>
  <c r="CI249" i="9" s="1"/>
  <c r="Q634" i="9"/>
  <c r="CH634" i="9" s="1"/>
  <c r="L634" i="9"/>
  <c r="CC634" i="9" s="1"/>
  <c r="R634" i="9"/>
  <c r="CI634" i="9" s="1"/>
  <c r="M634" i="9"/>
  <c r="CD634" i="9" s="1"/>
  <c r="S634" i="9"/>
  <c r="CJ634" i="9" s="1"/>
  <c r="N634" i="9"/>
  <c r="CE634" i="9" s="1"/>
  <c r="O634" i="9"/>
  <c r="CF634" i="9" s="1"/>
  <c r="T634" i="9"/>
  <c r="CK634" i="9" s="1"/>
  <c r="K634" i="9"/>
  <c r="P634" i="9"/>
  <c r="CG634" i="9" s="1"/>
  <c r="P556" i="9"/>
  <c r="CG556" i="9" s="1"/>
  <c r="L556" i="9"/>
  <c r="CC556" i="9" s="1"/>
  <c r="N255" i="9"/>
  <c r="CE255" i="9" s="1"/>
  <c r="O255" i="9"/>
  <c r="CF255" i="9" s="1"/>
  <c r="P255" i="9"/>
  <c r="CG255" i="9" s="1"/>
  <c r="Q255" i="9"/>
  <c r="CH255" i="9" s="1"/>
  <c r="M255" i="9"/>
  <c r="CD255" i="9" s="1"/>
  <c r="S255" i="9"/>
  <c r="CJ255" i="9" s="1"/>
  <c r="R255" i="9"/>
  <c r="CI255" i="9" s="1"/>
  <c r="T255" i="9"/>
  <c r="CK255" i="9" s="1"/>
  <c r="K255" i="9"/>
  <c r="CB255" i="9" s="1"/>
  <c r="L255" i="9"/>
  <c r="CC255" i="9" s="1"/>
  <c r="R248" i="9"/>
  <c r="CI248" i="9" s="1"/>
  <c r="N248" i="9"/>
  <c r="CE248" i="9" s="1"/>
  <c r="M248" i="9"/>
  <c r="CD248" i="9" s="1"/>
  <c r="O248" i="9"/>
  <c r="CF248" i="9" s="1"/>
  <c r="K248" i="9"/>
  <c r="CB248" i="9" s="1"/>
  <c r="S248" i="9"/>
  <c r="CJ248" i="9" s="1"/>
  <c r="L248" i="9"/>
  <c r="CC248" i="9" s="1"/>
  <c r="T248" i="9"/>
  <c r="CK248" i="9" s="1"/>
  <c r="P248" i="9"/>
  <c r="CG248" i="9" s="1"/>
  <c r="Q248" i="9"/>
  <c r="CH248" i="9" s="1"/>
  <c r="N393" i="9"/>
  <c r="CE393" i="9" s="1"/>
  <c r="L393" i="9"/>
  <c r="CC393" i="9" s="1"/>
  <c r="S393" i="9"/>
  <c r="CJ393" i="9" s="1"/>
  <c r="Q393" i="9"/>
  <c r="CH393" i="9" s="1"/>
  <c r="M393" i="9"/>
  <c r="CD393" i="9" s="1"/>
  <c r="O393" i="9"/>
  <c r="CF393" i="9" s="1"/>
  <c r="P393" i="9"/>
  <c r="CG393" i="9" s="1"/>
  <c r="R393" i="9"/>
  <c r="CI393" i="9" s="1"/>
  <c r="P473" i="9"/>
  <c r="L652" i="11" s="1"/>
  <c r="AY593" i="9"/>
  <c r="AU657" i="11" s="1"/>
  <c r="AQ593" i="9"/>
  <c r="AM657" i="11" s="1"/>
  <c r="O549" i="9"/>
  <c r="L549" i="9"/>
  <c r="CC549" i="9" s="1"/>
  <c r="Q549" i="9"/>
  <c r="S549" i="9"/>
  <c r="CJ549" i="9" s="1"/>
  <c r="N549" i="9"/>
  <c r="M549" i="9"/>
  <c r="P549" i="9"/>
  <c r="O239" i="9"/>
  <c r="CF239" i="9" s="1"/>
  <c r="L239" i="9"/>
  <c r="CC239" i="9" s="1"/>
  <c r="S239" i="9"/>
  <c r="CJ239" i="9" s="1"/>
  <c r="Q239" i="9"/>
  <c r="CH239" i="9" s="1"/>
  <c r="T485" i="9"/>
  <c r="CK485" i="9" s="1"/>
  <c r="L485" i="9"/>
  <c r="CC485" i="9" s="1"/>
  <c r="R485" i="9"/>
  <c r="CI485" i="9" s="1"/>
  <c r="Q485" i="9"/>
  <c r="CH485" i="9" s="1"/>
  <c r="K485" i="9"/>
  <c r="CB485" i="9" s="1"/>
  <c r="O274" i="9"/>
  <c r="CF274" i="9" s="1"/>
  <c r="P274" i="9"/>
  <c r="CG274" i="9" s="1"/>
  <c r="L274" i="9"/>
  <c r="CC274" i="9" s="1"/>
  <c r="T274" i="9"/>
  <c r="CK274" i="9" s="1"/>
  <c r="K274" i="9"/>
  <c r="M274" i="9"/>
  <c r="CD274" i="9" s="1"/>
  <c r="M370" i="9"/>
  <c r="CD370" i="9" s="1"/>
  <c r="R370" i="9"/>
  <c r="CI370" i="9" s="1"/>
  <c r="P370" i="9"/>
  <c r="CG370" i="9" s="1"/>
  <c r="L370" i="9"/>
  <c r="CC370" i="9" s="1"/>
  <c r="S370" i="9"/>
  <c r="CJ370" i="9" s="1"/>
  <c r="O370" i="9"/>
  <c r="CF370" i="9" s="1"/>
  <c r="N370" i="9"/>
  <c r="CE370" i="9" s="1"/>
  <c r="K370" i="9"/>
  <c r="CB370" i="9" s="1"/>
  <c r="Q636" i="9"/>
  <c r="CH636" i="9" s="1"/>
  <c r="N636" i="9"/>
  <c r="CE636" i="9" s="1"/>
  <c r="T636" i="9"/>
  <c r="CK636" i="9" s="1"/>
  <c r="M636" i="9"/>
  <c r="CD636" i="9" s="1"/>
  <c r="P636" i="9"/>
  <c r="CG636" i="9" s="1"/>
  <c r="L636" i="9"/>
  <c r="S636" i="9"/>
  <c r="CJ636" i="9" s="1"/>
  <c r="T658" i="9"/>
  <c r="CK658" i="9" s="1"/>
  <c r="R658" i="9"/>
  <c r="CI658" i="9" s="1"/>
  <c r="O658" i="9"/>
  <c r="CF658" i="9" s="1"/>
  <c r="Q658" i="9"/>
  <c r="CH658" i="9" s="1"/>
  <c r="S658" i="9"/>
  <c r="CJ658" i="9" s="1"/>
  <c r="L658" i="9"/>
  <c r="CC658" i="9" s="1"/>
  <c r="S443" i="9"/>
  <c r="CJ443" i="9" s="1"/>
  <c r="P443" i="9"/>
  <c r="CG443" i="9" s="1"/>
  <c r="Q443" i="9"/>
  <c r="CH443" i="9" s="1"/>
  <c r="N443" i="9"/>
  <c r="CE443" i="9" s="1"/>
  <c r="T443" i="9"/>
  <c r="CK443" i="9" s="1"/>
  <c r="R443" i="9"/>
  <c r="CI443" i="9" s="1"/>
  <c r="L443" i="9"/>
  <c r="CC443" i="9" s="1"/>
  <c r="O443" i="9"/>
  <c r="CF443" i="9" s="1"/>
  <c r="K443" i="9"/>
  <c r="CB443" i="9" s="1"/>
  <c r="T597" i="9"/>
  <c r="CK597" i="9" s="1"/>
  <c r="P597" i="9"/>
  <c r="CG597" i="9" s="1"/>
  <c r="N597" i="9"/>
  <c r="CE597" i="9" s="1"/>
  <c r="L597" i="9"/>
  <c r="CC597" i="9" s="1"/>
  <c r="Q272" i="9"/>
  <c r="CH272" i="9" s="1"/>
  <c r="O272" i="9"/>
  <c r="CF272" i="9" s="1"/>
  <c r="L272" i="9"/>
  <c r="CC272" i="9" s="1"/>
  <c r="T272" i="9"/>
  <c r="CK272" i="9" s="1"/>
  <c r="P272" i="9"/>
  <c r="CG272" i="9" s="1"/>
  <c r="N272" i="9"/>
  <c r="CE272" i="9" s="1"/>
  <c r="K272" i="9"/>
  <c r="CB272" i="9" s="1"/>
  <c r="Q287" i="9"/>
  <c r="CH287" i="9" s="1"/>
  <c r="K287" i="9"/>
  <c r="CB287" i="9" s="1"/>
  <c r="O630" i="9"/>
  <c r="CF630" i="9" s="1"/>
  <c r="K630" i="9"/>
  <c r="BU337" i="9"/>
  <c r="M210" i="6" s="1"/>
  <c r="BJ593" i="9"/>
  <c r="BF657" i="11" s="1"/>
  <c r="O388" i="9"/>
  <c r="CF388" i="9" s="1"/>
  <c r="N388" i="9"/>
  <c r="CE388" i="9" s="1"/>
  <c r="L388" i="9"/>
  <c r="CC388" i="9" s="1"/>
  <c r="Q388" i="9"/>
  <c r="CH388" i="9" s="1"/>
  <c r="M388" i="9"/>
  <c r="CD388" i="9" s="1"/>
  <c r="R388" i="9"/>
  <c r="CI388" i="9" s="1"/>
  <c r="S387" i="9"/>
  <c r="CJ387" i="9" s="1"/>
  <c r="P387" i="9"/>
  <c r="CG387" i="9" s="1"/>
  <c r="N387" i="9"/>
  <c r="CE387" i="9" s="1"/>
  <c r="O387" i="9"/>
  <c r="CF387" i="9" s="1"/>
  <c r="T387" i="9"/>
  <c r="CK387" i="9" s="1"/>
  <c r="Q387" i="9"/>
  <c r="CH387" i="9" s="1"/>
  <c r="T390" i="9"/>
  <c r="CK390" i="9" s="1"/>
  <c r="Q390" i="9"/>
  <c r="CH390" i="9" s="1"/>
  <c r="N614" i="9"/>
  <c r="CE614" i="9" s="1"/>
  <c r="P614" i="9"/>
  <c r="CG614" i="9" s="1"/>
  <c r="T614" i="9"/>
  <c r="CK614" i="9" s="1"/>
  <c r="S614" i="9"/>
  <c r="CJ614" i="9" s="1"/>
  <c r="R614" i="9"/>
  <c r="CI614" i="9" s="1"/>
  <c r="P653" i="9"/>
  <c r="CG653" i="9" s="1"/>
  <c r="N653" i="9"/>
  <c r="CE653" i="9" s="1"/>
  <c r="O360" i="9"/>
  <c r="CF360" i="9" s="1"/>
  <c r="R360" i="9"/>
  <c r="CI360" i="9" s="1"/>
  <c r="N360" i="9"/>
  <c r="CE360" i="9" s="1"/>
  <c r="P360" i="9"/>
  <c r="K360" i="9"/>
  <c r="T360" i="9"/>
  <c r="CK360" i="9" s="1"/>
  <c r="Q360" i="9"/>
  <c r="CH360" i="9" s="1"/>
  <c r="M360" i="9"/>
  <c r="CD360" i="9" s="1"/>
  <c r="S360" i="9"/>
  <c r="CJ360" i="9" s="1"/>
  <c r="L360" i="9"/>
  <c r="CC360" i="9" s="1"/>
  <c r="BU313" i="9"/>
  <c r="M188" i="6" s="1"/>
  <c r="BT582" i="9"/>
  <c r="L435" i="6" s="1"/>
  <c r="BT320" i="9"/>
  <c r="L195" i="6" s="1"/>
  <c r="BT316" i="9"/>
  <c r="L191" i="6" s="1"/>
  <c r="BU463" i="9"/>
  <c r="M326" i="6" s="1"/>
  <c r="BU319" i="9"/>
  <c r="M194" i="6" s="1"/>
  <c r="BT343" i="9"/>
  <c r="L216" i="6" s="1"/>
  <c r="BU317" i="9"/>
  <c r="M192" i="6" s="1"/>
  <c r="BT469" i="9"/>
  <c r="L332" i="6" s="1"/>
  <c r="R329" i="9"/>
  <c r="N646" i="11" s="1"/>
  <c r="DP309" i="9"/>
  <c r="AY329" i="9"/>
  <c r="AU646" i="11" s="1"/>
  <c r="CO309" i="9"/>
  <c r="X329" i="9"/>
  <c r="T646" i="11" s="1"/>
  <c r="BQ329" i="9"/>
  <c r="BM646" i="11" s="1"/>
  <c r="EH309" i="9"/>
  <c r="AP329" i="9"/>
  <c r="AL646" i="11" s="1"/>
  <c r="DG309" i="9"/>
  <c r="CN309" i="9"/>
  <c r="W329" i="9"/>
  <c r="S646" i="11" s="1"/>
  <c r="BP329" i="9"/>
  <c r="BL646" i="11" s="1"/>
  <c r="EG309" i="9"/>
  <c r="DU407" i="9"/>
  <c r="BD425" i="9"/>
  <c r="AZ650" i="11" s="1"/>
  <c r="DI407" i="9"/>
  <c r="AR425" i="9"/>
  <c r="AN650" i="11" s="1"/>
  <c r="DQ407" i="9"/>
  <c r="AZ425" i="9"/>
  <c r="AV650" i="11" s="1"/>
  <c r="CN407" i="9"/>
  <c r="W425" i="9"/>
  <c r="S650" i="11" s="1"/>
  <c r="CU407" i="9"/>
  <c r="AD425" i="9"/>
  <c r="Z650" i="11" s="1"/>
  <c r="DW407" i="9"/>
  <c r="BF425" i="9"/>
  <c r="BB650" i="11" s="1"/>
  <c r="AI353" i="9"/>
  <c r="AE647" i="11" s="1"/>
  <c r="DB455" i="9"/>
  <c r="AK473" i="9"/>
  <c r="AG652" i="11" s="1"/>
  <c r="CP455" i="9"/>
  <c r="Y473" i="9"/>
  <c r="U652" i="11" s="1"/>
  <c r="DD455" i="9"/>
  <c r="AM473" i="9"/>
  <c r="AI652" i="11" s="1"/>
  <c r="ED455" i="9"/>
  <c r="BM473" i="9"/>
  <c r="BI652" i="11" s="1"/>
  <c r="CY455" i="9"/>
  <c r="AH473" i="9"/>
  <c r="AD652" i="11" s="1"/>
  <c r="EE455" i="9"/>
  <c r="BN473" i="9"/>
  <c r="BJ652" i="11" s="1"/>
  <c r="CS577" i="9"/>
  <c r="AB593" i="9"/>
  <c r="X657" i="11" s="1"/>
  <c r="DN577" i="9"/>
  <c r="AW593" i="9"/>
  <c r="AS657" i="11" s="1"/>
  <c r="AD663" i="9"/>
  <c r="CU663" i="9" s="1"/>
  <c r="AC663" i="9"/>
  <c r="CT663" i="9" s="1"/>
  <c r="U663" i="9"/>
  <c r="CL663" i="9" s="1"/>
  <c r="BO663" i="9"/>
  <c r="EF663" i="9" s="1"/>
  <c r="BG663" i="9"/>
  <c r="DX663" i="9" s="1"/>
  <c r="AY663" i="9"/>
  <c r="DP663" i="9" s="1"/>
  <c r="AH663" i="9"/>
  <c r="CY663" i="9" s="1"/>
  <c r="AR663" i="9"/>
  <c r="DI663" i="9" s="1"/>
  <c r="AI663" i="9"/>
  <c r="CZ663" i="9" s="1"/>
  <c r="AQ663" i="9"/>
  <c r="DH663" i="9" s="1"/>
  <c r="BC663" i="9"/>
  <c r="DT663" i="9" s="1"/>
  <c r="Z663" i="9"/>
  <c r="CQ663" i="9" s="1"/>
  <c r="BF663" i="9"/>
  <c r="DW663" i="9" s="1"/>
  <c r="AB663" i="9"/>
  <c r="CS663" i="9" s="1"/>
  <c r="BL663" i="9"/>
  <c r="EC663" i="9" s="1"/>
  <c r="BP663" i="9"/>
  <c r="EG663" i="9" s="1"/>
  <c r="AK663" i="9"/>
  <c r="DB663" i="9" s="1"/>
  <c r="AX663" i="9"/>
  <c r="DO663" i="9" s="1"/>
  <c r="BB663" i="9"/>
  <c r="DS663" i="9" s="1"/>
  <c r="BJ663" i="9"/>
  <c r="EA663" i="9" s="1"/>
  <c r="AM663" i="9"/>
  <c r="DD663" i="9" s="1"/>
  <c r="AS663" i="9"/>
  <c r="DJ663" i="9" s="1"/>
  <c r="AP663" i="9"/>
  <c r="DG663" i="9" s="1"/>
  <c r="BD663" i="9"/>
  <c r="DU663" i="9" s="1"/>
  <c r="V663" i="9"/>
  <c r="CM663" i="9" s="1"/>
  <c r="AV663" i="9"/>
  <c r="DM663" i="9" s="1"/>
  <c r="BK663" i="9"/>
  <c r="EB663" i="9" s="1"/>
  <c r="BQ663" i="9"/>
  <c r="EH663" i="9" s="1"/>
  <c r="AJ663" i="9"/>
  <c r="DA663" i="9" s="1"/>
  <c r="BR663" i="9"/>
  <c r="EI663" i="9" s="1"/>
  <c r="BI663" i="9"/>
  <c r="DZ663" i="9" s="1"/>
  <c r="BN663" i="9"/>
  <c r="EE663" i="9" s="1"/>
  <c r="AL663" i="9"/>
  <c r="DC663" i="9" s="1"/>
  <c r="AG663" i="9"/>
  <c r="CX663" i="9" s="1"/>
  <c r="AF663" i="9"/>
  <c r="CW663" i="9" s="1"/>
  <c r="AO663" i="9"/>
  <c r="DF663" i="9" s="1"/>
  <c r="AW663" i="9"/>
  <c r="DN663" i="9" s="1"/>
  <c r="AE663" i="9"/>
  <c r="CV663" i="9" s="1"/>
  <c r="BM663" i="9"/>
  <c r="ED663" i="9" s="1"/>
  <c r="AT663" i="9"/>
  <c r="DK663" i="9" s="1"/>
  <c r="AA663" i="9"/>
  <c r="CR663" i="9" s="1"/>
  <c r="BE663" i="9"/>
  <c r="DV663" i="9" s="1"/>
  <c r="AZ663" i="9"/>
  <c r="DQ663" i="9" s="1"/>
  <c r="AN663" i="9"/>
  <c r="DE663" i="9" s="1"/>
  <c r="W663" i="9"/>
  <c r="CN663" i="9" s="1"/>
  <c r="AU663" i="9"/>
  <c r="DL663" i="9" s="1"/>
  <c r="BH663" i="9"/>
  <c r="DY663" i="9" s="1"/>
  <c r="BA663" i="9"/>
  <c r="DR663" i="9" s="1"/>
  <c r="Y663" i="9"/>
  <c r="CP663" i="9" s="1"/>
  <c r="X663" i="9"/>
  <c r="CO663" i="9" s="1"/>
  <c r="T663" i="9"/>
  <c r="CK663" i="9" s="1"/>
  <c r="K663" i="9"/>
  <c r="P663" i="9"/>
  <c r="CG663" i="9" s="1"/>
  <c r="Q663" i="9"/>
  <c r="CH663" i="9" s="1"/>
  <c r="R663" i="9"/>
  <c r="CI663" i="9" s="1"/>
  <c r="L663" i="9"/>
  <c r="CC663" i="9" s="1"/>
  <c r="S663" i="9"/>
  <c r="CJ663" i="9" s="1"/>
  <c r="M663" i="9"/>
  <c r="CD663" i="9" s="1"/>
  <c r="O663" i="9"/>
  <c r="CF663" i="9" s="1"/>
  <c r="N663" i="9"/>
  <c r="CE663" i="9" s="1"/>
  <c r="BJ444" i="9"/>
  <c r="EA444" i="9" s="1"/>
  <c r="BA444" i="9"/>
  <c r="DR444" i="9" s="1"/>
  <c r="AR444" i="9"/>
  <c r="DI444" i="9" s="1"/>
  <c r="AA444" i="9"/>
  <c r="CR444" i="9" s="1"/>
  <c r="BE444" i="9"/>
  <c r="DV444" i="9" s="1"/>
  <c r="BL444" i="9"/>
  <c r="EC444" i="9" s="1"/>
  <c r="BK444" i="9"/>
  <c r="EB444" i="9" s="1"/>
  <c r="BB444" i="9"/>
  <c r="DS444" i="9" s="1"/>
  <c r="AS444" i="9"/>
  <c r="DJ444" i="9" s="1"/>
  <c r="AJ444" i="9"/>
  <c r="DA444" i="9" s="1"/>
  <c r="BN444" i="9"/>
  <c r="EE444" i="9" s="1"/>
  <c r="AW444" i="9"/>
  <c r="DN444" i="9" s="1"/>
  <c r="BD444" i="9"/>
  <c r="DU444" i="9" s="1"/>
  <c r="BC444" i="9"/>
  <c r="DT444" i="9" s="1"/>
  <c r="AT444" i="9"/>
  <c r="DK444" i="9" s="1"/>
  <c r="AK444" i="9"/>
  <c r="DB444" i="9" s="1"/>
  <c r="AB444" i="9"/>
  <c r="CS444" i="9" s="1"/>
  <c r="BF444" i="9"/>
  <c r="DW444" i="9" s="1"/>
  <c r="AO444" i="9"/>
  <c r="DF444" i="9" s="1"/>
  <c r="AV444" i="9"/>
  <c r="DM444" i="9" s="1"/>
  <c r="AU444" i="9"/>
  <c r="DL444" i="9" s="1"/>
  <c r="AL444" i="9"/>
  <c r="DC444" i="9" s="1"/>
  <c r="AC444" i="9"/>
  <c r="CT444" i="9" s="1"/>
  <c r="BO444" i="9"/>
  <c r="EF444" i="9" s="1"/>
  <c r="AX444" i="9"/>
  <c r="DO444" i="9" s="1"/>
  <c r="AG444" i="9"/>
  <c r="CX444" i="9" s="1"/>
  <c r="AM444" i="9"/>
  <c r="DD444" i="9" s="1"/>
  <c r="AD444" i="9"/>
  <c r="CU444" i="9" s="1"/>
  <c r="U444" i="9"/>
  <c r="CL444" i="9" s="1"/>
  <c r="BG444" i="9"/>
  <c r="DX444" i="9" s="1"/>
  <c r="AP444" i="9"/>
  <c r="DG444" i="9" s="1"/>
  <c r="Y444" i="9"/>
  <c r="CP444" i="9" s="1"/>
  <c r="AE444" i="9"/>
  <c r="CV444" i="9" s="1"/>
  <c r="V444" i="9"/>
  <c r="CM444" i="9" s="1"/>
  <c r="BP444" i="9"/>
  <c r="EG444" i="9" s="1"/>
  <c r="AY444" i="9"/>
  <c r="DP444" i="9" s="1"/>
  <c r="AH444" i="9"/>
  <c r="CY444" i="9" s="1"/>
  <c r="AN444" i="9"/>
  <c r="DE444" i="9" s="1"/>
  <c r="W444" i="9"/>
  <c r="CN444" i="9" s="1"/>
  <c r="BQ444" i="9"/>
  <c r="EH444" i="9" s="1"/>
  <c r="BH444" i="9"/>
  <c r="DY444" i="9" s="1"/>
  <c r="AQ444" i="9"/>
  <c r="DH444" i="9" s="1"/>
  <c r="Z444" i="9"/>
  <c r="CQ444" i="9" s="1"/>
  <c r="AF444" i="9"/>
  <c r="CW444" i="9" s="1"/>
  <c r="BR444" i="9"/>
  <c r="EI444" i="9" s="1"/>
  <c r="BI444" i="9"/>
  <c r="DZ444" i="9" s="1"/>
  <c r="AZ444" i="9"/>
  <c r="DQ444" i="9" s="1"/>
  <c r="AI444" i="9"/>
  <c r="CZ444" i="9" s="1"/>
  <c r="BM444" i="9"/>
  <c r="ED444" i="9" s="1"/>
  <c r="X444" i="9"/>
  <c r="CO444" i="9" s="1"/>
  <c r="S444" i="9"/>
  <c r="CJ444" i="9" s="1"/>
  <c r="M444" i="9"/>
  <c r="CD444" i="9" s="1"/>
  <c r="O444" i="9"/>
  <c r="CF444" i="9" s="1"/>
  <c r="K444" i="9"/>
  <c r="P444" i="9"/>
  <c r="CG444" i="9" s="1"/>
  <c r="N444" i="9"/>
  <c r="CE444" i="9" s="1"/>
  <c r="R444" i="9"/>
  <c r="CI444" i="9" s="1"/>
  <c r="T444" i="9"/>
  <c r="CK444" i="9" s="1"/>
  <c r="L444" i="9"/>
  <c r="CC444" i="9" s="1"/>
  <c r="Q444" i="9"/>
  <c r="CH444" i="9" s="1"/>
  <c r="BQ353" i="9"/>
  <c r="BM647" i="11" s="1"/>
  <c r="AX268" i="9"/>
  <c r="DO268" i="9" s="1"/>
  <c r="AR268" i="9"/>
  <c r="DI268" i="9" s="1"/>
  <c r="AN268" i="9"/>
  <c r="DE268" i="9" s="1"/>
  <c r="AC268" i="9"/>
  <c r="CT268" i="9" s="1"/>
  <c r="Z268" i="9"/>
  <c r="CQ268" i="9" s="1"/>
  <c r="AE268" i="9"/>
  <c r="CV268" i="9" s="1"/>
  <c r="X268" i="9"/>
  <c r="CO268" i="9" s="1"/>
  <c r="AG268" i="9"/>
  <c r="CX268" i="9" s="1"/>
  <c r="AB268" i="9"/>
  <c r="CS268" i="9" s="1"/>
  <c r="Y268" i="9"/>
  <c r="CP268" i="9" s="1"/>
  <c r="AP268" i="9"/>
  <c r="DG268" i="9" s="1"/>
  <c r="BG268" i="9"/>
  <c r="DX268" i="9" s="1"/>
  <c r="AJ268" i="9"/>
  <c r="DA268" i="9" s="1"/>
  <c r="W268" i="9"/>
  <c r="CN268" i="9" s="1"/>
  <c r="BM268" i="9"/>
  <c r="ED268" i="9" s="1"/>
  <c r="AF268" i="9"/>
  <c r="CW268" i="9" s="1"/>
  <c r="AD268" i="9"/>
  <c r="CU268" i="9" s="1"/>
  <c r="BO268" i="9"/>
  <c r="EF268" i="9" s="1"/>
  <c r="AY268" i="9"/>
  <c r="DP268" i="9" s="1"/>
  <c r="AK268" i="9"/>
  <c r="DB268" i="9" s="1"/>
  <c r="AW268" i="9"/>
  <c r="DN268" i="9" s="1"/>
  <c r="BN268" i="9"/>
  <c r="EE268" i="9" s="1"/>
  <c r="V268" i="9"/>
  <c r="CM268" i="9" s="1"/>
  <c r="AA268" i="9"/>
  <c r="CR268" i="9" s="1"/>
  <c r="BF268" i="9"/>
  <c r="DW268" i="9" s="1"/>
  <c r="AL268" i="9"/>
  <c r="DC268" i="9" s="1"/>
  <c r="BL268" i="9"/>
  <c r="EC268" i="9" s="1"/>
  <c r="BQ268" i="9"/>
  <c r="EH268" i="9" s="1"/>
  <c r="AZ268" i="9"/>
  <c r="DQ268" i="9" s="1"/>
  <c r="AQ268" i="9"/>
  <c r="DH268" i="9" s="1"/>
  <c r="BE268" i="9"/>
  <c r="DV268" i="9" s="1"/>
  <c r="AS268" i="9"/>
  <c r="DJ268" i="9" s="1"/>
  <c r="AO268" i="9"/>
  <c r="DF268" i="9" s="1"/>
  <c r="BC268" i="9"/>
  <c r="DT268" i="9" s="1"/>
  <c r="AU268" i="9"/>
  <c r="DL268" i="9" s="1"/>
  <c r="AM268" i="9"/>
  <c r="DD268" i="9" s="1"/>
  <c r="AH268" i="9"/>
  <c r="CY268" i="9" s="1"/>
  <c r="BA268" i="9"/>
  <c r="DR268" i="9" s="1"/>
  <c r="AT268" i="9"/>
  <c r="DK268" i="9" s="1"/>
  <c r="BB268" i="9"/>
  <c r="DS268" i="9" s="1"/>
  <c r="BD268" i="9"/>
  <c r="DU268" i="9" s="1"/>
  <c r="BK268" i="9"/>
  <c r="EB268" i="9" s="1"/>
  <c r="BR268" i="9"/>
  <c r="EI268" i="9" s="1"/>
  <c r="BJ268" i="9"/>
  <c r="EA268" i="9" s="1"/>
  <c r="BI268" i="9"/>
  <c r="DZ268" i="9" s="1"/>
  <c r="BP268" i="9"/>
  <c r="EG268" i="9" s="1"/>
  <c r="AI268" i="9"/>
  <c r="CZ268" i="9" s="1"/>
  <c r="BH268" i="9"/>
  <c r="DY268" i="9" s="1"/>
  <c r="U268" i="9"/>
  <c r="CL268" i="9" s="1"/>
  <c r="AV268" i="9"/>
  <c r="DM268" i="9" s="1"/>
  <c r="S268" i="9"/>
  <c r="CJ268" i="9" s="1"/>
  <c r="Q268" i="9"/>
  <c r="CH268" i="9" s="1"/>
  <c r="N268" i="9"/>
  <c r="CE268" i="9" s="1"/>
  <c r="K268" i="9"/>
  <c r="M268" i="9"/>
  <c r="CD268" i="9" s="1"/>
  <c r="R268" i="9"/>
  <c r="CI268" i="9" s="1"/>
  <c r="L268" i="9"/>
  <c r="CC268" i="9" s="1"/>
  <c r="P268" i="9"/>
  <c r="CG268" i="9" s="1"/>
  <c r="O268" i="9"/>
  <c r="CF268" i="9" s="1"/>
  <c r="T268" i="9"/>
  <c r="CK268" i="9" s="1"/>
  <c r="V400" i="9"/>
  <c r="CM400" i="9" s="1"/>
  <c r="AL400" i="9"/>
  <c r="DC400" i="9" s="1"/>
  <c r="AT400" i="9"/>
  <c r="DK400" i="9" s="1"/>
  <c r="AV400" i="9"/>
  <c r="DM400" i="9" s="1"/>
  <c r="AE400" i="9"/>
  <c r="CV400" i="9" s="1"/>
  <c r="AK400" i="9"/>
  <c r="DB400" i="9" s="1"/>
  <c r="AQ400" i="9"/>
  <c r="DH400" i="9" s="1"/>
  <c r="AX400" i="9"/>
  <c r="DO400" i="9" s="1"/>
  <c r="AG400" i="9"/>
  <c r="CX400" i="9" s="1"/>
  <c r="AN400" i="9"/>
  <c r="DE400" i="9" s="1"/>
  <c r="AI400" i="9"/>
  <c r="CZ400" i="9" s="1"/>
  <c r="BK400" i="9"/>
  <c r="EB400" i="9" s="1"/>
  <c r="W400" i="9"/>
  <c r="CN400" i="9" s="1"/>
  <c r="BI400" i="9"/>
  <c r="DZ400" i="9" s="1"/>
  <c r="BQ400" i="9"/>
  <c r="EH400" i="9" s="1"/>
  <c r="BG400" i="9"/>
  <c r="DX400" i="9" s="1"/>
  <c r="BH400" i="9"/>
  <c r="DY400" i="9" s="1"/>
  <c r="BL400" i="9"/>
  <c r="EC400" i="9" s="1"/>
  <c r="X400" i="9"/>
  <c r="CO400" i="9" s="1"/>
  <c r="BM400" i="9"/>
  <c r="ED400" i="9" s="1"/>
  <c r="BP400" i="9"/>
  <c r="EG400" i="9" s="1"/>
  <c r="BE400" i="9"/>
  <c r="DV400" i="9" s="1"/>
  <c r="BN400" i="9"/>
  <c r="EE400" i="9" s="1"/>
  <c r="BR400" i="9"/>
  <c r="EI400" i="9" s="1"/>
  <c r="Y400" i="9"/>
  <c r="CP400" i="9" s="1"/>
  <c r="AZ400" i="9"/>
  <c r="DQ400" i="9" s="1"/>
  <c r="AU400" i="9"/>
  <c r="DL400" i="9" s="1"/>
  <c r="BO400" i="9"/>
  <c r="EF400" i="9" s="1"/>
  <c r="BF400" i="9"/>
  <c r="DW400" i="9" s="1"/>
  <c r="AS400" i="9"/>
  <c r="DJ400" i="9" s="1"/>
  <c r="AP400" i="9"/>
  <c r="DG400" i="9" s="1"/>
  <c r="BA400" i="9"/>
  <c r="DR400" i="9" s="1"/>
  <c r="AJ400" i="9"/>
  <c r="DA400" i="9" s="1"/>
  <c r="AM400" i="9"/>
  <c r="DD400" i="9" s="1"/>
  <c r="AH400" i="9"/>
  <c r="CY400" i="9" s="1"/>
  <c r="AD400" i="9"/>
  <c r="CU400" i="9" s="1"/>
  <c r="AC400" i="9"/>
  <c r="CT400" i="9" s="1"/>
  <c r="AB400" i="9"/>
  <c r="CS400" i="9" s="1"/>
  <c r="Z400" i="9"/>
  <c r="CQ400" i="9" s="1"/>
  <c r="AW400" i="9"/>
  <c r="DN400" i="9" s="1"/>
  <c r="BC400" i="9"/>
  <c r="DT400" i="9" s="1"/>
  <c r="AY400" i="9"/>
  <c r="DP400" i="9" s="1"/>
  <c r="AR400" i="9"/>
  <c r="DI400" i="9" s="1"/>
  <c r="BJ400" i="9"/>
  <c r="EA400" i="9" s="1"/>
  <c r="U400" i="9"/>
  <c r="CL400" i="9" s="1"/>
  <c r="AO400" i="9"/>
  <c r="DF400" i="9" s="1"/>
  <c r="BB400" i="9"/>
  <c r="DS400" i="9" s="1"/>
  <c r="AF400" i="9"/>
  <c r="CW400" i="9" s="1"/>
  <c r="AA400" i="9"/>
  <c r="CR400" i="9" s="1"/>
  <c r="BD400" i="9"/>
  <c r="DU400" i="9" s="1"/>
  <c r="L400" i="9"/>
  <c r="CC400" i="9" s="1"/>
  <c r="T400" i="9"/>
  <c r="CK400" i="9" s="1"/>
  <c r="S400" i="9"/>
  <c r="CJ400" i="9" s="1"/>
  <c r="Q400" i="9"/>
  <c r="CH400" i="9" s="1"/>
  <c r="N400" i="9"/>
  <c r="CE400" i="9" s="1"/>
  <c r="O400" i="9"/>
  <c r="CF400" i="9" s="1"/>
  <c r="M400" i="9"/>
  <c r="CD400" i="9" s="1"/>
  <c r="R400" i="9"/>
  <c r="CI400" i="9" s="1"/>
  <c r="P400" i="9"/>
  <c r="CG400" i="9" s="1"/>
  <c r="Y593" i="9"/>
  <c r="U657" i="11" s="1"/>
  <c r="DO337" i="9"/>
  <c r="AX353" i="9"/>
  <c r="AT647" i="11" s="1"/>
  <c r="ED337" i="9"/>
  <c r="BM353" i="9"/>
  <c r="BI647" i="11" s="1"/>
  <c r="U442" i="9"/>
  <c r="CL442" i="9" s="1"/>
  <c r="BG442" i="9"/>
  <c r="DX442" i="9" s="1"/>
  <c r="AP442" i="9"/>
  <c r="DG442" i="9" s="1"/>
  <c r="Y442" i="9"/>
  <c r="CP442" i="9" s="1"/>
  <c r="BC442" i="9"/>
  <c r="DT442" i="9" s="1"/>
  <c r="BJ442" i="9"/>
  <c r="EA442" i="9" s="1"/>
  <c r="BP442" i="9"/>
  <c r="EG442" i="9" s="1"/>
  <c r="AY442" i="9"/>
  <c r="DP442" i="9" s="1"/>
  <c r="AH442" i="9"/>
  <c r="CY442" i="9" s="1"/>
  <c r="BL442" i="9"/>
  <c r="EC442" i="9" s="1"/>
  <c r="AU442" i="9"/>
  <c r="DL442" i="9" s="1"/>
  <c r="BB442" i="9"/>
  <c r="DS442" i="9" s="1"/>
  <c r="BQ442" i="9"/>
  <c r="EH442" i="9" s="1"/>
  <c r="BH442" i="9"/>
  <c r="DY442" i="9" s="1"/>
  <c r="AQ442" i="9"/>
  <c r="DH442" i="9" s="1"/>
  <c r="Z442" i="9"/>
  <c r="CQ442" i="9" s="1"/>
  <c r="BD442" i="9"/>
  <c r="DU442" i="9" s="1"/>
  <c r="AM442" i="9"/>
  <c r="DD442" i="9" s="1"/>
  <c r="AT442" i="9"/>
  <c r="DK442" i="9" s="1"/>
  <c r="BI442" i="9"/>
  <c r="DZ442" i="9" s="1"/>
  <c r="AZ442" i="9"/>
  <c r="DQ442" i="9" s="1"/>
  <c r="AI442" i="9"/>
  <c r="CZ442" i="9" s="1"/>
  <c r="BM442" i="9"/>
  <c r="ED442" i="9" s="1"/>
  <c r="AV442" i="9"/>
  <c r="DM442" i="9" s="1"/>
  <c r="AE442" i="9"/>
  <c r="CV442" i="9" s="1"/>
  <c r="AL442" i="9"/>
  <c r="DC442" i="9" s="1"/>
  <c r="BA442" i="9"/>
  <c r="DR442" i="9" s="1"/>
  <c r="AR442" i="9"/>
  <c r="DI442" i="9" s="1"/>
  <c r="AA442" i="9"/>
  <c r="CR442" i="9" s="1"/>
  <c r="BE442" i="9"/>
  <c r="DV442" i="9" s="1"/>
  <c r="AN442" i="9"/>
  <c r="DE442" i="9" s="1"/>
  <c r="W442" i="9"/>
  <c r="CN442" i="9" s="1"/>
  <c r="AS442" i="9"/>
  <c r="DJ442" i="9" s="1"/>
  <c r="AJ442" i="9"/>
  <c r="DA442" i="9" s="1"/>
  <c r="BN442" i="9"/>
  <c r="EE442" i="9" s="1"/>
  <c r="AW442" i="9"/>
  <c r="DN442" i="9" s="1"/>
  <c r="AF442" i="9"/>
  <c r="CW442" i="9" s="1"/>
  <c r="AD442" i="9"/>
  <c r="CU442" i="9" s="1"/>
  <c r="AK442" i="9"/>
  <c r="DB442" i="9" s="1"/>
  <c r="AB442" i="9"/>
  <c r="CS442" i="9" s="1"/>
  <c r="BF442" i="9"/>
  <c r="DW442" i="9" s="1"/>
  <c r="AO442" i="9"/>
  <c r="DF442" i="9" s="1"/>
  <c r="X442" i="9"/>
  <c r="CO442" i="9" s="1"/>
  <c r="V442" i="9"/>
  <c r="CM442" i="9" s="1"/>
  <c r="AC442" i="9"/>
  <c r="CT442" i="9" s="1"/>
  <c r="BO442" i="9"/>
  <c r="EF442" i="9" s="1"/>
  <c r="AX442" i="9"/>
  <c r="DO442" i="9" s="1"/>
  <c r="AG442" i="9"/>
  <c r="CX442" i="9" s="1"/>
  <c r="BK442" i="9"/>
  <c r="EB442" i="9" s="1"/>
  <c r="BR442" i="9"/>
  <c r="EI442" i="9" s="1"/>
  <c r="N442" i="9"/>
  <c r="CE442" i="9" s="1"/>
  <c r="P442" i="9"/>
  <c r="CG442" i="9" s="1"/>
  <c r="K442" i="9"/>
  <c r="M442" i="9"/>
  <c r="CD442" i="9" s="1"/>
  <c r="O442" i="9"/>
  <c r="CF442" i="9" s="1"/>
  <c r="L442" i="9"/>
  <c r="CC442" i="9" s="1"/>
  <c r="T442" i="9"/>
  <c r="CK442" i="9" s="1"/>
  <c r="Q442" i="9"/>
  <c r="CH442" i="9" s="1"/>
  <c r="R442" i="9"/>
  <c r="CI442" i="9" s="1"/>
  <c r="S442" i="9"/>
  <c r="CJ442" i="9" s="1"/>
  <c r="AT383" i="9"/>
  <c r="DK383" i="9" s="1"/>
  <c r="AW383" i="9"/>
  <c r="DN383" i="9" s="1"/>
  <c r="AR383" i="9"/>
  <c r="DI383" i="9" s="1"/>
  <c r="BL383" i="9"/>
  <c r="EC383" i="9" s="1"/>
  <c r="X383" i="9"/>
  <c r="CO383" i="9" s="1"/>
  <c r="AS383" i="9"/>
  <c r="DJ383" i="9" s="1"/>
  <c r="BH383" i="9"/>
  <c r="DY383" i="9" s="1"/>
  <c r="AA383" i="9"/>
  <c r="CR383" i="9" s="1"/>
  <c r="BP383" i="9"/>
  <c r="EG383" i="9" s="1"/>
  <c r="AV383" i="9"/>
  <c r="DM383" i="9" s="1"/>
  <c r="AE383" i="9"/>
  <c r="CV383" i="9" s="1"/>
  <c r="BM383" i="9"/>
  <c r="ED383" i="9" s="1"/>
  <c r="AJ383" i="9"/>
  <c r="DA383" i="9" s="1"/>
  <c r="AY383" i="9"/>
  <c r="DP383" i="9" s="1"/>
  <c r="AK383" i="9"/>
  <c r="DB383" i="9" s="1"/>
  <c r="BE383" i="9"/>
  <c r="DV383" i="9" s="1"/>
  <c r="BA383" i="9"/>
  <c r="DR383" i="9" s="1"/>
  <c r="AM383" i="9"/>
  <c r="DD383" i="9" s="1"/>
  <c r="AO383" i="9"/>
  <c r="DF383" i="9" s="1"/>
  <c r="Z383" i="9"/>
  <c r="CQ383" i="9" s="1"/>
  <c r="BI383" i="9"/>
  <c r="DZ383" i="9" s="1"/>
  <c r="AL383" i="9"/>
  <c r="DC383" i="9" s="1"/>
  <c r="AI383" i="9"/>
  <c r="CZ383" i="9" s="1"/>
  <c r="BK383" i="9"/>
  <c r="EB383" i="9" s="1"/>
  <c r="BG383" i="9"/>
  <c r="DX383" i="9" s="1"/>
  <c r="BC383" i="9"/>
  <c r="DT383" i="9" s="1"/>
  <c r="AC383" i="9"/>
  <c r="CT383" i="9" s="1"/>
  <c r="BN383" i="9"/>
  <c r="EE383" i="9" s="1"/>
  <c r="AD383" i="9"/>
  <c r="CU383" i="9" s="1"/>
  <c r="AP383" i="9"/>
  <c r="DG383" i="9" s="1"/>
  <c r="AX383" i="9"/>
  <c r="DO383" i="9" s="1"/>
  <c r="BF383" i="9"/>
  <c r="DW383" i="9" s="1"/>
  <c r="W383" i="9"/>
  <c r="CN383" i="9" s="1"/>
  <c r="AG383" i="9"/>
  <c r="CX383" i="9" s="1"/>
  <c r="V383" i="9"/>
  <c r="CM383" i="9" s="1"/>
  <c r="AQ383" i="9"/>
  <c r="DH383" i="9" s="1"/>
  <c r="AB383" i="9"/>
  <c r="CS383" i="9" s="1"/>
  <c r="BR383" i="9"/>
  <c r="EI383" i="9" s="1"/>
  <c r="BB383" i="9"/>
  <c r="DS383" i="9" s="1"/>
  <c r="Y383" i="9"/>
  <c r="CP383" i="9" s="1"/>
  <c r="AU383" i="9"/>
  <c r="DL383" i="9" s="1"/>
  <c r="AN383" i="9"/>
  <c r="DE383" i="9" s="1"/>
  <c r="AZ383" i="9"/>
  <c r="DQ383" i="9" s="1"/>
  <c r="BD383" i="9"/>
  <c r="DU383" i="9" s="1"/>
  <c r="BQ383" i="9"/>
  <c r="EH383" i="9" s="1"/>
  <c r="AH383" i="9"/>
  <c r="CY383" i="9" s="1"/>
  <c r="U383" i="9"/>
  <c r="CL383" i="9" s="1"/>
  <c r="AF383" i="9"/>
  <c r="CW383" i="9" s="1"/>
  <c r="BJ383" i="9"/>
  <c r="EA383" i="9" s="1"/>
  <c r="BO383" i="9"/>
  <c r="EF383" i="9" s="1"/>
  <c r="M383" i="9"/>
  <c r="CD383" i="9" s="1"/>
  <c r="O383" i="9"/>
  <c r="CF383" i="9" s="1"/>
  <c r="N383" i="9"/>
  <c r="CE383" i="9" s="1"/>
  <c r="L383" i="9"/>
  <c r="CC383" i="9" s="1"/>
  <c r="P383" i="9"/>
  <c r="CG383" i="9" s="1"/>
  <c r="R383" i="9"/>
  <c r="CI383" i="9" s="1"/>
  <c r="S383" i="9"/>
  <c r="CJ383" i="9" s="1"/>
  <c r="T383" i="9"/>
  <c r="CK383" i="9" s="1"/>
  <c r="Q383" i="9"/>
  <c r="CH383" i="9" s="1"/>
  <c r="AI511" i="9"/>
  <c r="CZ511" i="9" s="1"/>
  <c r="BE511" i="9"/>
  <c r="DV511" i="9" s="1"/>
  <c r="BL511" i="9"/>
  <c r="EC511" i="9" s="1"/>
  <c r="BJ511" i="9"/>
  <c r="EA511" i="9" s="1"/>
  <c r="AB511" i="9"/>
  <c r="CS511" i="9" s="1"/>
  <c r="AZ511" i="9"/>
  <c r="DQ511" i="9" s="1"/>
  <c r="AK511" i="9"/>
  <c r="DB511" i="9" s="1"/>
  <c r="AQ511" i="9"/>
  <c r="DH511" i="9" s="1"/>
  <c r="AE511" i="9"/>
  <c r="CV511" i="9" s="1"/>
  <c r="AT511" i="9"/>
  <c r="DK511" i="9" s="1"/>
  <c r="BI511" i="9"/>
  <c r="DZ511" i="9" s="1"/>
  <c r="AF511" i="9"/>
  <c r="CW511" i="9" s="1"/>
  <c r="BN511" i="9"/>
  <c r="EE511" i="9" s="1"/>
  <c r="AV511" i="9"/>
  <c r="DM511" i="9" s="1"/>
  <c r="AX511" i="9"/>
  <c r="DO511" i="9" s="1"/>
  <c r="AO511" i="9"/>
  <c r="DF511" i="9" s="1"/>
  <c r="AG511" i="9"/>
  <c r="CX511" i="9" s="1"/>
  <c r="AH511" i="9"/>
  <c r="CY511" i="9" s="1"/>
  <c r="BP511" i="9"/>
  <c r="EG511" i="9" s="1"/>
  <c r="X511" i="9"/>
  <c r="CO511" i="9" s="1"/>
  <c r="AN511" i="9"/>
  <c r="DE511" i="9" s="1"/>
  <c r="BK511" i="9"/>
  <c r="EB511" i="9" s="1"/>
  <c r="BQ511" i="9"/>
  <c r="EH511" i="9" s="1"/>
  <c r="AU511" i="9"/>
  <c r="DL511" i="9" s="1"/>
  <c r="BG511" i="9"/>
  <c r="DX511" i="9" s="1"/>
  <c r="BH511" i="9"/>
  <c r="DY511" i="9" s="1"/>
  <c r="W511" i="9"/>
  <c r="CN511" i="9" s="1"/>
  <c r="AY511" i="9"/>
  <c r="DP511" i="9" s="1"/>
  <c r="AR511" i="9"/>
  <c r="DI511" i="9" s="1"/>
  <c r="AL511" i="9"/>
  <c r="DC511" i="9" s="1"/>
  <c r="AJ511" i="9"/>
  <c r="DA511" i="9" s="1"/>
  <c r="BF511" i="9"/>
  <c r="DW511" i="9" s="1"/>
  <c r="AM511" i="9"/>
  <c r="DD511" i="9" s="1"/>
  <c r="V511" i="9"/>
  <c r="CM511" i="9" s="1"/>
  <c r="AA511" i="9"/>
  <c r="CR511" i="9" s="1"/>
  <c r="BR511" i="9"/>
  <c r="EI511" i="9" s="1"/>
  <c r="AS511" i="9"/>
  <c r="DJ511" i="9" s="1"/>
  <c r="BA511" i="9"/>
  <c r="DR511" i="9" s="1"/>
  <c r="BD511" i="9"/>
  <c r="DU511" i="9" s="1"/>
  <c r="BO511" i="9"/>
  <c r="EF511" i="9" s="1"/>
  <c r="AW511" i="9"/>
  <c r="DN511" i="9" s="1"/>
  <c r="Z511" i="9"/>
  <c r="CQ511" i="9" s="1"/>
  <c r="AD511" i="9"/>
  <c r="CU511" i="9" s="1"/>
  <c r="AC511" i="9"/>
  <c r="CT511" i="9" s="1"/>
  <c r="BM511" i="9"/>
  <c r="ED511" i="9" s="1"/>
  <c r="BC511" i="9"/>
  <c r="DT511" i="9" s="1"/>
  <c r="U511" i="9"/>
  <c r="CL511" i="9" s="1"/>
  <c r="BB511" i="9"/>
  <c r="DS511" i="9" s="1"/>
  <c r="AP511" i="9"/>
  <c r="DG511" i="9" s="1"/>
  <c r="Y511" i="9"/>
  <c r="CP511" i="9" s="1"/>
  <c r="K511" i="9"/>
  <c r="R511" i="9"/>
  <c r="CI511" i="9" s="1"/>
  <c r="N511" i="9"/>
  <c r="CE511" i="9" s="1"/>
  <c r="Q511" i="9"/>
  <c r="CH511" i="9" s="1"/>
  <c r="T511" i="9"/>
  <c r="CK511" i="9" s="1"/>
  <c r="O511" i="9"/>
  <c r="CF511" i="9" s="1"/>
  <c r="S511" i="9"/>
  <c r="CJ511" i="9" s="1"/>
  <c r="M511" i="9"/>
  <c r="CD511" i="9" s="1"/>
  <c r="L511" i="9"/>
  <c r="CC511" i="9" s="1"/>
  <c r="P511" i="9"/>
  <c r="CG511" i="9" s="1"/>
  <c r="BE510" i="9"/>
  <c r="DV510" i="9" s="1"/>
  <c r="AI510" i="9"/>
  <c r="CZ510" i="9" s="1"/>
  <c r="BL510" i="9"/>
  <c r="EC510" i="9" s="1"/>
  <c r="AX510" i="9"/>
  <c r="DO510" i="9" s="1"/>
  <c r="BJ510" i="9"/>
  <c r="EA510" i="9" s="1"/>
  <c r="AZ510" i="9"/>
  <c r="DQ510" i="9" s="1"/>
  <c r="BG510" i="9"/>
  <c r="DX510" i="9" s="1"/>
  <c r="AQ510" i="9"/>
  <c r="DH510" i="9" s="1"/>
  <c r="AO510" i="9"/>
  <c r="DF510" i="9" s="1"/>
  <c r="AY510" i="9"/>
  <c r="DP510" i="9" s="1"/>
  <c r="BC510" i="9"/>
  <c r="DT510" i="9" s="1"/>
  <c r="AH510" i="9"/>
  <c r="CY510" i="9" s="1"/>
  <c r="AR510" i="9"/>
  <c r="DI510" i="9" s="1"/>
  <c r="BI510" i="9"/>
  <c r="DZ510" i="9" s="1"/>
  <c r="AT510" i="9"/>
  <c r="DK510" i="9" s="1"/>
  <c r="BF510" i="9"/>
  <c r="DW510" i="9" s="1"/>
  <c r="BN510" i="9"/>
  <c r="EE510" i="9" s="1"/>
  <c r="AL510" i="9"/>
  <c r="DC510" i="9" s="1"/>
  <c r="AF510" i="9"/>
  <c r="CW510" i="9" s="1"/>
  <c r="AW510" i="9"/>
  <c r="DN510" i="9" s="1"/>
  <c r="BP510" i="9"/>
  <c r="EG510" i="9" s="1"/>
  <c r="AB510" i="9"/>
  <c r="CS510" i="9" s="1"/>
  <c r="BR510" i="9"/>
  <c r="EI510" i="9" s="1"/>
  <c r="AK510" i="9"/>
  <c r="DB510" i="9" s="1"/>
  <c r="AE510" i="9"/>
  <c r="CV510" i="9" s="1"/>
  <c r="AV510" i="9"/>
  <c r="DM510" i="9" s="1"/>
  <c r="X510" i="9"/>
  <c r="CO510" i="9" s="1"/>
  <c r="BD510" i="9"/>
  <c r="DU510" i="9" s="1"/>
  <c r="W510" i="9"/>
  <c r="CN510" i="9" s="1"/>
  <c r="BQ510" i="9"/>
  <c r="EH510" i="9" s="1"/>
  <c r="BO510" i="9"/>
  <c r="EF510" i="9" s="1"/>
  <c r="U510" i="9"/>
  <c r="CL510" i="9" s="1"/>
  <c r="AN510" i="9"/>
  <c r="DE510" i="9" s="1"/>
  <c r="AJ510" i="9"/>
  <c r="DA510" i="9" s="1"/>
  <c r="V510" i="9"/>
  <c r="CM510" i="9" s="1"/>
  <c r="Y510" i="9"/>
  <c r="CP510" i="9" s="1"/>
  <c r="BA510" i="9"/>
  <c r="DR510" i="9" s="1"/>
  <c r="AD510" i="9"/>
  <c r="CU510" i="9" s="1"/>
  <c r="AG510" i="9"/>
  <c r="CX510" i="9" s="1"/>
  <c r="AP510" i="9"/>
  <c r="DG510" i="9" s="1"/>
  <c r="BH510" i="9"/>
  <c r="DY510" i="9" s="1"/>
  <c r="BB510" i="9"/>
  <c r="DS510" i="9" s="1"/>
  <c r="AC510" i="9"/>
  <c r="CT510" i="9" s="1"/>
  <c r="BM510" i="9"/>
  <c r="ED510" i="9" s="1"/>
  <c r="AA510" i="9"/>
  <c r="CR510" i="9" s="1"/>
  <c r="BK510" i="9"/>
  <c r="EB510" i="9" s="1"/>
  <c r="AU510" i="9"/>
  <c r="DL510" i="9" s="1"/>
  <c r="AM510" i="9"/>
  <c r="DD510" i="9" s="1"/>
  <c r="AS510" i="9"/>
  <c r="DJ510" i="9" s="1"/>
  <c r="Z510" i="9"/>
  <c r="CQ510" i="9" s="1"/>
  <c r="M510" i="9"/>
  <c r="CD510" i="9" s="1"/>
  <c r="N510" i="9"/>
  <c r="CE510" i="9" s="1"/>
  <c r="R510" i="9"/>
  <c r="CI510" i="9" s="1"/>
  <c r="S510" i="9"/>
  <c r="CJ510" i="9" s="1"/>
  <c r="O510" i="9"/>
  <c r="CF510" i="9" s="1"/>
  <c r="L510" i="9"/>
  <c r="CC510" i="9" s="1"/>
  <c r="K510" i="9"/>
  <c r="Q510" i="9"/>
  <c r="CH510" i="9" s="1"/>
  <c r="T510" i="9"/>
  <c r="CK510" i="9" s="1"/>
  <c r="P510" i="9"/>
  <c r="CG510" i="9" s="1"/>
  <c r="BE518" i="9"/>
  <c r="DV518" i="9" s="1"/>
  <c r="AI518" i="9"/>
  <c r="CZ518" i="9" s="1"/>
  <c r="AV518" i="9"/>
  <c r="DM518" i="9" s="1"/>
  <c r="AQ518" i="9"/>
  <c r="DH518" i="9" s="1"/>
  <c r="BF518" i="9"/>
  <c r="DW518" i="9" s="1"/>
  <c r="AN518" i="9"/>
  <c r="DE518" i="9" s="1"/>
  <c r="BI518" i="9"/>
  <c r="DZ518" i="9" s="1"/>
  <c r="AB518" i="9"/>
  <c r="CS518" i="9" s="1"/>
  <c r="AH518" i="9"/>
  <c r="CY518" i="9" s="1"/>
  <c r="BP518" i="9"/>
  <c r="EG518" i="9" s="1"/>
  <c r="Z518" i="9"/>
  <c r="CQ518" i="9" s="1"/>
  <c r="BG518" i="9"/>
  <c r="DX518" i="9" s="1"/>
  <c r="AM518" i="9"/>
  <c r="DD518" i="9" s="1"/>
  <c r="AL518" i="9"/>
  <c r="DC518" i="9" s="1"/>
  <c r="AS518" i="9"/>
  <c r="DJ518" i="9" s="1"/>
  <c r="BJ518" i="9"/>
  <c r="EA518" i="9" s="1"/>
  <c r="BA518" i="9"/>
  <c r="DR518" i="9" s="1"/>
  <c r="AC518" i="9"/>
  <c r="CT518" i="9" s="1"/>
  <c r="U518" i="9"/>
  <c r="CL518" i="9" s="1"/>
  <c r="AF518" i="9"/>
  <c r="CW518" i="9" s="1"/>
  <c r="AW518" i="9"/>
  <c r="DN518" i="9" s="1"/>
  <c r="BR518" i="9"/>
  <c r="EI518" i="9" s="1"/>
  <c r="BN518" i="9"/>
  <c r="EE518" i="9" s="1"/>
  <c r="BD518" i="9"/>
  <c r="DU518" i="9" s="1"/>
  <c r="BK518" i="9"/>
  <c r="EB518" i="9" s="1"/>
  <c r="AG518" i="9"/>
  <c r="CX518" i="9" s="1"/>
  <c r="BL518" i="9"/>
  <c r="EC518" i="9" s="1"/>
  <c r="AX518" i="9"/>
  <c r="DO518" i="9" s="1"/>
  <c r="AO518" i="9"/>
  <c r="DF518" i="9" s="1"/>
  <c r="BC518" i="9"/>
  <c r="DT518" i="9" s="1"/>
  <c r="AK518" i="9"/>
  <c r="DB518" i="9" s="1"/>
  <c r="V518" i="9"/>
  <c r="CM518" i="9" s="1"/>
  <c r="X518" i="9"/>
  <c r="CO518" i="9" s="1"/>
  <c r="AU518" i="9"/>
  <c r="DL518" i="9" s="1"/>
  <c r="AJ518" i="9"/>
  <c r="DA518" i="9" s="1"/>
  <c r="AD518" i="9"/>
  <c r="CU518" i="9" s="1"/>
  <c r="BO518" i="9"/>
  <c r="EF518" i="9" s="1"/>
  <c r="AE518" i="9"/>
  <c r="CV518" i="9" s="1"/>
  <c r="BH518" i="9"/>
  <c r="DY518" i="9" s="1"/>
  <c r="AZ518" i="9"/>
  <c r="DQ518" i="9" s="1"/>
  <c r="AA518" i="9"/>
  <c r="CR518" i="9" s="1"/>
  <c r="BQ518" i="9"/>
  <c r="EH518" i="9" s="1"/>
  <c r="BM518" i="9"/>
  <c r="ED518" i="9" s="1"/>
  <c r="AT518" i="9"/>
  <c r="DK518" i="9" s="1"/>
  <c r="AY518" i="9"/>
  <c r="DP518" i="9" s="1"/>
  <c r="BB518" i="9"/>
  <c r="DS518" i="9" s="1"/>
  <c r="AP518" i="9"/>
  <c r="DG518" i="9" s="1"/>
  <c r="W518" i="9"/>
  <c r="CN518" i="9" s="1"/>
  <c r="Y518" i="9"/>
  <c r="CP518" i="9" s="1"/>
  <c r="AR518" i="9"/>
  <c r="DI518" i="9" s="1"/>
  <c r="R518" i="9"/>
  <c r="CI518" i="9" s="1"/>
  <c r="M518" i="9"/>
  <c r="CD518" i="9" s="1"/>
  <c r="L518" i="9"/>
  <c r="CC518" i="9" s="1"/>
  <c r="T518" i="9"/>
  <c r="CK518" i="9" s="1"/>
  <c r="P518" i="9"/>
  <c r="CG518" i="9" s="1"/>
  <c r="S518" i="9"/>
  <c r="CJ518" i="9" s="1"/>
  <c r="O518" i="9"/>
  <c r="CF518" i="9" s="1"/>
  <c r="K518" i="9"/>
  <c r="Q518" i="9"/>
  <c r="CH518" i="9" s="1"/>
  <c r="N518" i="9"/>
  <c r="CE518" i="9" s="1"/>
  <c r="AH676" i="9"/>
  <c r="CY676" i="9" s="1"/>
  <c r="AX676" i="9"/>
  <c r="DO676" i="9" s="1"/>
  <c r="BR676" i="9"/>
  <c r="EI676" i="9" s="1"/>
  <c r="BF676" i="9"/>
  <c r="DW676" i="9" s="1"/>
  <c r="AI676" i="9"/>
  <c r="CZ676" i="9" s="1"/>
  <c r="BL676" i="9"/>
  <c r="EC676" i="9" s="1"/>
  <c r="AO676" i="9"/>
  <c r="DF676" i="9" s="1"/>
  <c r="BJ676" i="9"/>
  <c r="EA676" i="9" s="1"/>
  <c r="V676" i="9"/>
  <c r="CM676" i="9" s="1"/>
  <c r="BQ676" i="9"/>
  <c r="EH676" i="9" s="1"/>
  <c r="BD676" i="9"/>
  <c r="DU676" i="9" s="1"/>
  <c r="AN676" i="9"/>
  <c r="DE676" i="9" s="1"/>
  <c r="BK676" i="9"/>
  <c r="EB676" i="9" s="1"/>
  <c r="AU676" i="9"/>
  <c r="DL676" i="9" s="1"/>
  <c r="X676" i="9"/>
  <c r="CO676" i="9" s="1"/>
  <c r="BC676" i="9"/>
  <c r="DT676" i="9" s="1"/>
  <c r="BA676" i="9"/>
  <c r="DR676" i="9" s="1"/>
  <c r="AB676" i="9"/>
  <c r="CS676" i="9" s="1"/>
  <c r="AS676" i="9"/>
  <c r="DJ676" i="9" s="1"/>
  <c r="W676" i="9"/>
  <c r="CN676" i="9" s="1"/>
  <c r="AQ676" i="9"/>
  <c r="DH676" i="9" s="1"/>
  <c r="AL676" i="9"/>
  <c r="DC676" i="9" s="1"/>
  <c r="BI676" i="9"/>
  <c r="DZ676" i="9" s="1"/>
  <c r="AD676" i="9"/>
  <c r="CU676" i="9" s="1"/>
  <c r="BN676" i="9"/>
  <c r="EE676" i="9" s="1"/>
  <c r="AA676" i="9"/>
  <c r="CR676" i="9" s="1"/>
  <c r="BM676" i="9"/>
  <c r="ED676" i="9" s="1"/>
  <c r="BO676" i="9"/>
  <c r="EF676" i="9" s="1"/>
  <c r="AT676" i="9"/>
  <c r="DK676" i="9" s="1"/>
  <c r="BG676" i="9"/>
  <c r="DX676" i="9" s="1"/>
  <c r="BH676" i="9"/>
  <c r="DY676" i="9" s="1"/>
  <c r="AP676" i="9"/>
  <c r="DG676" i="9" s="1"/>
  <c r="BE676" i="9"/>
  <c r="DV676" i="9" s="1"/>
  <c r="U676" i="9"/>
  <c r="CL676" i="9" s="1"/>
  <c r="AW676" i="9"/>
  <c r="DN676" i="9" s="1"/>
  <c r="AK676" i="9"/>
  <c r="DB676" i="9" s="1"/>
  <c r="AY676" i="9"/>
  <c r="DP676" i="9" s="1"/>
  <c r="BP676" i="9"/>
  <c r="EG676" i="9" s="1"/>
  <c r="Y676" i="9"/>
  <c r="CP676" i="9" s="1"/>
  <c r="AJ676" i="9"/>
  <c r="DA676" i="9" s="1"/>
  <c r="AM676" i="9"/>
  <c r="DD676" i="9" s="1"/>
  <c r="AR676" i="9"/>
  <c r="DI676" i="9" s="1"/>
  <c r="AV676" i="9"/>
  <c r="DM676" i="9" s="1"/>
  <c r="Z676" i="9"/>
  <c r="CQ676" i="9" s="1"/>
  <c r="AF676" i="9"/>
  <c r="CW676" i="9" s="1"/>
  <c r="AC676" i="9"/>
  <c r="CT676" i="9" s="1"/>
  <c r="AZ676" i="9"/>
  <c r="DQ676" i="9" s="1"/>
  <c r="AG676" i="9"/>
  <c r="CX676" i="9" s="1"/>
  <c r="BB676" i="9"/>
  <c r="DS676" i="9" s="1"/>
  <c r="AE676" i="9"/>
  <c r="CV676" i="9" s="1"/>
  <c r="O676" i="9"/>
  <c r="CF676" i="9" s="1"/>
  <c r="S676" i="9"/>
  <c r="CJ676" i="9" s="1"/>
  <c r="N676" i="9"/>
  <c r="CE676" i="9" s="1"/>
  <c r="M676" i="9"/>
  <c r="CD676" i="9" s="1"/>
  <c r="T676" i="9"/>
  <c r="CK676" i="9" s="1"/>
  <c r="R676" i="9"/>
  <c r="CI676" i="9" s="1"/>
  <c r="L676" i="9"/>
  <c r="CC676" i="9" s="1"/>
  <c r="P676" i="9"/>
  <c r="CG676" i="9" s="1"/>
  <c r="Q676" i="9"/>
  <c r="CH676" i="9" s="1"/>
  <c r="BM672" i="9"/>
  <c r="ED672" i="9" s="1"/>
  <c r="BH672" i="9"/>
  <c r="DY672" i="9" s="1"/>
  <c r="BD672" i="9"/>
  <c r="DU672" i="9" s="1"/>
  <c r="BC672" i="9"/>
  <c r="DT672" i="9" s="1"/>
  <c r="AH672" i="9"/>
  <c r="CY672" i="9" s="1"/>
  <c r="AT672" i="9"/>
  <c r="DK672" i="9" s="1"/>
  <c r="AU672" i="9"/>
  <c r="DL672" i="9" s="1"/>
  <c r="AP672" i="9"/>
  <c r="DG672" i="9" s="1"/>
  <c r="X672" i="9"/>
  <c r="CO672" i="9" s="1"/>
  <c r="AN672" i="9"/>
  <c r="DE672" i="9" s="1"/>
  <c r="BK672" i="9"/>
  <c r="EB672" i="9" s="1"/>
  <c r="BO672" i="9"/>
  <c r="EF672" i="9" s="1"/>
  <c r="BA672" i="9"/>
  <c r="DR672" i="9" s="1"/>
  <c r="BF672" i="9"/>
  <c r="DW672" i="9" s="1"/>
  <c r="BG672" i="9"/>
  <c r="DX672" i="9" s="1"/>
  <c r="AO672" i="9"/>
  <c r="DF672" i="9" s="1"/>
  <c r="BI672" i="9"/>
  <c r="DZ672" i="9" s="1"/>
  <c r="V672" i="9"/>
  <c r="CM672" i="9" s="1"/>
  <c r="AD672" i="9"/>
  <c r="CU672" i="9" s="1"/>
  <c r="BN672" i="9"/>
  <c r="EE672" i="9" s="1"/>
  <c r="AA672" i="9"/>
  <c r="CR672" i="9" s="1"/>
  <c r="AX672" i="9"/>
  <c r="DO672" i="9" s="1"/>
  <c r="BR672" i="9"/>
  <c r="EI672" i="9" s="1"/>
  <c r="AB672" i="9"/>
  <c r="CS672" i="9" s="1"/>
  <c r="BQ672" i="9"/>
  <c r="EH672" i="9" s="1"/>
  <c r="AL672" i="9"/>
  <c r="DC672" i="9" s="1"/>
  <c r="W672" i="9"/>
  <c r="CN672" i="9" s="1"/>
  <c r="AS672" i="9"/>
  <c r="DJ672" i="9" s="1"/>
  <c r="AI672" i="9"/>
  <c r="CZ672" i="9" s="1"/>
  <c r="BL672" i="9"/>
  <c r="EC672" i="9" s="1"/>
  <c r="BJ672" i="9"/>
  <c r="EA672" i="9" s="1"/>
  <c r="AQ672" i="9"/>
  <c r="DH672" i="9" s="1"/>
  <c r="AF672" i="9"/>
  <c r="CW672" i="9" s="1"/>
  <c r="AZ672" i="9"/>
  <c r="DQ672" i="9" s="1"/>
  <c r="AR672" i="9"/>
  <c r="DI672" i="9" s="1"/>
  <c r="Y672" i="9"/>
  <c r="CP672" i="9" s="1"/>
  <c r="AK672" i="9"/>
  <c r="DB672" i="9" s="1"/>
  <c r="BP672" i="9"/>
  <c r="EG672" i="9" s="1"/>
  <c r="AV672" i="9"/>
  <c r="DM672" i="9" s="1"/>
  <c r="AG672" i="9"/>
  <c r="CX672" i="9" s="1"/>
  <c r="AM672" i="9"/>
  <c r="DD672" i="9" s="1"/>
  <c r="BE672" i="9"/>
  <c r="DV672" i="9" s="1"/>
  <c r="BB672" i="9"/>
  <c r="DS672" i="9" s="1"/>
  <c r="AW672" i="9"/>
  <c r="DN672" i="9" s="1"/>
  <c r="AY672" i="9"/>
  <c r="DP672" i="9" s="1"/>
  <c r="AJ672" i="9"/>
  <c r="DA672" i="9" s="1"/>
  <c r="AE672" i="9"/>
  <c r="CV672" i="9" s="1"/>
  <c r="U672" i="9"/>
  <c r="CL672" i="9" s="1"/>
  <c r="AC672" i="9"/>
  <c r="CT672" i="9" s="1"/>
  <c r="Z672" i="9"/>
  <c r="CQ672" i="9" s="1"/>
  <c r="M672" i="9"/>
  <c r="CD672" i="9" s="1"/>
  <c r="N672" i="9"/>
  <c r="CE672" i="9" s="1"/>
  <c r="L672" i="9"/>
  <c r="CC672" i="9" s="1"/>
  <c r="R672" i="9"/>
  <c r="CI672" i="9" s="1"/>
  <c r="T672" i="9"/>
  <c r="CK672" i="9" s="1"/>
  <c r="Q672" i="9"/>
  <c r="CH672" i="9" s="1"/>
  <c r="P672" i="9"/>
  <c r="CG672" i="9" s="1"/>
  <c r="S672" i="9"/>
  <c r="CJ672" i="9" s="1"/>
  <c r="O672" i="9"/>
  <c r="CF672" i="9" s="1"/>
  <c r="K672" i="9"/>
  <c r="BO593" i="9"/>
  <c r="BK657" i="11" s="1"/>
  <c r="BJ297" i="9"/>
  <c r="EA297" i="9" s="1"/>
  <c r="AO297" i="9"/>
  <c r="DF297" i="9" s="1"/>
  <c r="BF297" i="9"/>
  <c r="DW297" i="9" s="1"/>
  <c r="AW297" i="9"/>
  <c r="DN297" i="9" s="1"/>
  <c r="BE297" i="9"/>
  <c r="DV297" i="9" s="1"/>
  <c r="AC297" i="9"/>
  <c r="CT297" i="9" s="1"/>
  <c r="BI297" i="9"/>
  <c r="DZ297" i="9" s="1"/>
  <c r="AP297" i="9"/>
  <c r="DG297" i="9" s="1"/>
  <c r="AA297" i="9"/>
  <c r="CR297" i="9" s="1"/>
  <c r="W297" i="9"/>
  <c r="CN297" i="9" s="1"/>
  <c r="Y297" i="9"/>
  <c r="CP297" i="9" s="1"/>
  <c r="AH297" i="9"/>
  <c r="CY297" i="9" s="1"/>
  <c r="U297" i="9"/>
  <c r="CL297" i="9" s="1"/>
  <c r="BG297" i="9"/>
  <c r="DX297" i="9" s="1"/>
  <c r="AE297" i="9"/>
  <c r="CV297" i="9" s="1"/>
  <c r="AN297" i="9"/>
  <c r="DE297" i="9" s="1"/>
  <c r="AK297" i="9"/>
  <c r="DB297" i="9" s="1"/>
  <c r="AI297" i="9"/>
  <c r="CZ297" i="9" s="1"/>
  <c r="AX297" i="9"/>
  <c r="DO297" i="9" s="1"/>
  <c r="Z297" i="9"/>
  <c r="CQ297" i="9" s="1"/>
  <c r="BQ297" i="9"/>
  <c r="EH297" i="9" s="1"/>
  <c r="BO297" i="9"/>
  <c r="EF297" i="9" s="1"/>
  <c r="BN297" i="9"/>
  <c r="EE297" i="9" s="1"/>
  <c r="BM297" i="9"/>
  <c r="ED297" i="9" s="1"/>
  <c r="AM297" i="9"/>
  <c r="DD297" i="9" s="1"/>
  <c r="BL297" i="9"/>
  <c r="EC297" i="9" s="1"/>
  <c r="BK297" i="9"/>
  <c r="EB297" i="9" s="1"/>
  <c r="AS297" i="9"/>
  <c r="DJ297" i="9" s="1"/>
  <c r="BP297" i="9"/>
  <c r="EG297" i="9" s="1"/>
  <c r="AB297" i="9"/>
  <c r="CS297" i="9" s="1"/>
  <c r="V297" i="9"/>
  <c r="CM297" i="9" s="1"/>
  <c r="AD297" i="9"/>
  <c r="CU297" i="9" s="1"/>
  <c r="BB297" i="9"/>
  <c r="DS297" i="9" s="1"/>
  <c r="AR297" i="9"/>
  <c r="DI297" i="9" s="1"/>
  <c r="AQ297" i="9"/>
  <c r="DH297" i="9" s="1"/>
  <c r="AF297" i="9"/>
  <c r="CW297" i="9" s="1"/>
  <c r="AJ297" i="9"/>
  <c r="DA297" i="9" s="1"/>
  <c r="BH297" i="9"/>
  <c r="DY297" i="9" s="1"/>
  <c r="AG297" i="9"/>
  <c r="CX297" i="9" s="1"/>
  <c r="BC297" i="9"/>
  <c r="DT297" i="9" s="1"/>
  <c r="X297" i="9"/>
  <c r="CO297" i="9" s="1"/>
  <c r="AT297" i="9"/>
  <c r="DK297" i="9" s="1"/>
  <c r="AV297" i="9"/>
  <c r="DM297" i="9" s="1"/>
  <c r="AL297" i="9"/>
  <c r="DC297" i="9" s="1"/>
  <c r="AZ297" i="9"/>
  <c r="DQ297" i="9" s="1"/>
  <c r="AY297" i="9"/>
  <c r="DP297" i="9" s="1"/>
  <c r="AU297" i="9"/>
  <c r="DL297" i="9" s="1"/>
  <c r="BR297" i="9"/>
  <c r="EI297" i="9" s="1"/>
  <c r="BD297" i="9"/>
  <c r="DU297" i="9" s="1"/>
  <c r="BA297" i="9"/>
  <c r="DR297" i="9" s="1"/>
  <c r="T297" i="9"/>
  <c r="CK297" i="9" s="1"/>
  <c r="N297" i="9"/>
  <c r="CE297" i="9" s="1"/>
  <c r="S297" i="9"/>
  <c r="CJ297" i="9" s="1"/>
  <c r="K297" i="9"/>
  <c r="Q297" i="9"/>
  <c r="CH297" i="9" s="1"/>
  <c r="P297" i="9"/>
  <c r="CG297" i="9" s="1"/>
  <c r="L297" i="9"/>
  <c r="CC297" i="9" s="1"/>
  <c r="O297" i="9"/>
  <c r="CF297" i="9" s="1"/>
  <c r="R297" i="9"/>
  <c r="CI297" i="9" s="1"/>
  <c r="M297" i="9"/>
  <c r="CD297" i="9" s="1"/>
  <c r="BF303" i="9"/>
  <c r="DW303" i="9" s="1"/>
  <c r="AO303" i="9"/>
  <c r="DF303" i="9" s="1"/>
  <c r="AM303" i="9"/>
  <c r="DD303" i="9" s="1"/>
  <c r="BI303" i="9"/>
  <c r="DZ303" i="9" s="1"/>
  <c r="AJ303" i="9"/>
  <c r="DA303" i="9" s="1"/>
  <c r="AX303" i="9"/>
  <c r="DO303" i="9" s="1"/>
  <c r="AG303" i="9"/>
  <c r="CX303" i="9" s="1"/>
  <c r="AE303" i="9"/>
  <c r="CV303" i="9" s="1"/>
  <c r="AS303" i="9"/>
  <c r="DJ303" i="9" s="1"/>
  <c r="AB303" i="9"/>
  <c r="CS303" i="9" s="1"/>
  <c r="AP303" i="9"/>
  <c r="DG303" i="9" s="1"/>
  <c r="Y303" i="9"/>
  <c r="CP303" i="9" s="1"/>
  <c r="W303" i="9"/>
  <c r="CN303" i="9" s="1"/>
  <c r="AK303" i="9"/>
  <c r="DB303" i="9" s="1"/>
  <c r="AQ303" i="9"/>
  <c r="DH303" i="9" s="1"/>
  <c r="AH303" i="9"/>
  <c r="CY303" i="9" s="1"/>
  <c r="BL303" i="9"/>
  <c r="EC303" i="9" s="1"/>
  <c r="BJ303" i="9"/>
  <c r="EA303" i="9" s="1"/>
  <c r="AC303" i="9"/>
  <c r="CT303" i="9" s="1"/>
  <c r="AI303" i="9"/>
  <c r="CZ303" i="9" s="1"/>
  <c r="Z303" i="9"/>
  <c r="CQ303" i="9" s="1"/>
  <c r="AN303" i="9"/>
  <c r="DE303" i="9" s="1"/>
  <c r="BB303" i="9"/>
  <c r="DS303" i="9" s="1"/>
  <c r="U303" i="9"/>
  <c r="CL303" i="9" s="1"/>
  <c r="AA303" i="9"/>
  <c r="CR303" i="9" s="1"/>
  <c r="BM303" i="9"/>
  <c r="ED303" i="9" s="1"/>
  <c r="AF303" i="9"/>
  <c r="CW303" i="9" s="1"/>
  <c r="AD303" i="9"/>
  <c r="CU303" i="9" s="1"/>
  <c r="BP303" i="9"/>
  <c r="EG303" i="9" s="1"/>
  <c r="BO303" i="9"/>
  <c r="EF303" i="9" s="1"/>
  <c r="BE303" i="9"/>
  <c r="DV303" i="9" s="1"/>
  <c r="BK303" i="9"/>
  <c r="EB303" i="9" s="1"/>
  <c r="V303" i="9"/>
  <c r="CM303" i="9" s="1"/>
  <c r="BH303" i="9"/>
  <c r="DY303" i="9" s="1"/>
  <c r="BG303" i="9"/>
  <c r="DX303" i="9" s="1"/>
  <c r="BN303" i="9"/>
  <c r="EE303" i="9" s="1"/>
  <c r="AW303" i="9"/>
  <c r="DN303" i="9" s="1"/>
  <c r="BC303" i="9"/>
  <c r="DT303" i="9" s="1"/>
  <c r="BQ303" i="9"/>
  <c r="EH303" i="9" s="1"/>
  <c r="AR303" i="9"/>
  <c r="DI303" i="9" s="1"/>
  <c r="BD303" i="9"/>
  <c r="DU303" i="9" s="1"/>
  <c r="BR303" i="9"/>
  <c r="EI303" i="9" s="1"/>
  <c r="BA303" i="9"/>
  <c r="DR303" i="9" s="1"/>
  <c r="AL303" i="9"/>
  <c r="DC303" i="9" s="1"/>
  <c r="X303" i="9"/>
  <c r="CO303" i="9" s="1"/>
  <c r="AV303" i="9"/>
  <c r="DM303" i="9" s="1"/>
  <c r="AZ303" i="9"/>
  <c r="DQ303" i="9" s="1"/>
  <c r="AU303" i="9"/>
  <c r="DL303" i="9" s="1"/>
  <c r="AT303" i="9"/>
  <c r="DK303" i="9" s="1"/>
  <c r="AY303" i="9"/>
  <c r="DP303" i="9" s="1"/>
  <c r="T303" i="9"/>
  <c r="CK303" i="9" s="1"/>
  <c r="P303" i="9"/>
  <c r="CG303" i="9" s="1"/>
  <c r="R303" i="9"/>
  <c r="CI303" i="9" s="1"/>
  <c r="Q303" i="9"/>
  <c r="CH303" i="9" s="1"/>
  <c r="L303" i="9"/>
  <c r="CC303" i="9" s="1"/>
  <c r="N303" i="9"/>
  <c r="CE303" i="9" s="1"/>
  <c r="M303" i="9"/>
  <c r="CD303" i="9" s="1"/>
  <c r="S303" i="9"/>
  <c r="CJ303" i="9" s="1"/>
  <c r="K303" i="9"/>
  <c r="O303" i="9"/>
  <c r="CF303" i="9" s="1"/>
  <c r="CY477" i="9"/>
  <c r="DJ477" i="9"/>
  <c r="CU477" i="9"/>
  <c r="DH477" i="9"/>
  <c r="DM477" i="9"/>
  <c r="CX477" i="9"/>
  <c r="DN477" i="9"/>
  <c r="BO531" i="9"/>
  <c r="EF531" i="9" s="1"/>
  <c r="AC531" i="9"/>
  <c r="CT531" i="9" s="1"/>
  <c r="AX531" i="9"/>
  <c r="DO531" i="9" s="1"/>
  <c r="AP531" i="9"/>
  <c r="DG531" i="9" s="1"/>
  <c r="AU531" i="9"/>
  <c r="DL531" i="9" s="1"/>
  <c r="AY531" i="9"/>
  <c r="DP531" i="9" s="1"/>
  <c r="BQ531" i="9"/>
  <c r="EH531" i="9" s="1"/>
  <c r="AQ531" i="9"/>
  <c r="DH531" i="9" s="1"/>
  <c r="Y531" i="9"/>
  <c r="CP531" i="9" s="1"/>
  <c r="U531" i="9"/>
  <c r="CL531" i="9" s="1"/>
  <c r="AG531" i="9"/>
  <c r="CX531" i="9" s="1"/>
  <c r="BK531" i="9"/>
  <c r="EB531" i="9" s="1"/>
  <c r="X531" i="9"/>
  <c r="CO531" i="9" s="1"/>
  <c r="AZ531" i="9"/>
  <c r="DQ531" i="9" s="1"/>
  <c r="BM531" i="9"/>
  <c r="ED531" i="9" s="1"/>
  <c r="BN531" i="9"/>
  <c r="EE531" i="9" s="1"/>
  <c r="AR531" i="9"/>
  <c r="DI531" i="9" s="1"/>
  <c r="BG531" i="9"/>
  <c r="DX531" i="9" s="1"/>
  <c r="AV531" i="9"/>
  <c r="DM531" i="9" s="1"/>
  <c r="AK531" i="9"/>
  <c r="DB531" i="9" s="1"/>
  <c r="BA531" i="9"/>
  <c r="DR531" i="9" s="1"/>
  <c r="BB531" i="9"/>
  <c r="DS531" i="9" s="1"/>
  <c r="AN531" i="9"/>
  <c r="DE531" i="9" s="1"/>
  <c r="BC531" i="9"/>
  <c r="DT531" i="9" s="1"/>
  <c r="AJ531" i="9"/>
  <c r="DA531" i="9" s="1"/>
  <c r="AD531" i="9"/>
  <c r="CU531" i="9" s="1"/>
  <c r="BL531" i="9"/>
  <c r="EC531" i="9" s="1"/>
  <c r="BE531" i="9"/>
  <c r="DV531" i="9" s="1"/>
  <c r="AF531" i="9"/>
  <c r="CW531" i="9" s="1"/>
  <c r="BD531" i="9"/>
  <c r="DU531" i="9" s="1"/>
  <c r="BI531" i="9"/>
  <c r="DZ531" i="9" s="1"/>
  <c r="AO531" i="9"/>
  <c r="DF531" i="9" s="1"/>
  <c r="BR531" i="9"/>
  <c r="EI531" i="9" s="1"/>
  <c r="AM531" i="9"/>
  <c r="DD531" i="9" s="1"/>
  <c r="AE531" i="9"/>
  <c r="CV531" i="9" s="1"/>
  <c r="BH531" i="9"/>
  <c r="DY531" i="9" s="1"/>
  <c r="BP531" i="9"/>
  <c r="EG531" i="9" s="1"/>
  <c r="Z531" i="9"/>
  <c r="CQ531" i="9" s="1"/>
  <c r="V531" i="9"/>
  <c r="CM531" i="9" s="1"/>
  <c r="AS531" i="9"/>
  <c r="DJ531" i="9" s="1"/>
  <c r="AL531" i="9"/>
  <c r="DC531" i="9" s="1"/>
  <c r="AH531" i="9"/>
  <c r="CY531" i="9" s="1"/>
  <c r="AI531" i="9"/>
  <c r="CZ531" i="9" s="1"/>
  <c r="BF531" i="9"/>
  <c r="DW531" i="9" s="1"/>
  <c r="AB531" i="9"/>
  <c r="CS531" i="9" s="1"/>
  <c r="AW531" i="9"/>
  <c r="DN531" i="9" s="1"/>
  <c r="W531" i="9"/>
  <c r="CN531" i="9" s="1"/>
  <c r="AT531" i="9"/>
  <c r="DK531" i="9" s="1"/>
  <c r="AA531" i="9"/>
  <c r="CR531" i="9" s="1"/>
  <c r="BJ531" i="9"/>
  <c r="EA531" i="9" s="1"/>
  <c r="T531" i="9"/>
  <c r="CK531" i="9" s="1"/>
  <c r="M531" i="9"/>
  <c r="CD531" i="9" s="1"/>
  <c r="O531" i="9"/>
  <c r="CF531" i="9" s="1"/>
  <c r="K531" i="9"/>
  <c r="P531" i="9"/>
  <c r="CG531" i="9" s="1"/>
  <c r="L531" i="9"/>
  <c r="CC531" i="9" s="1"/>
  <c r="Q531" i="9"/>
  <c r="CH531" i="9" s="1"/>
  <c r="R531" i="9"/>
  <c r="CI531" i="9" s="1"/>
  <c r="N531" i="9"/>
  <c r="CE531" i="9" s="1"/>
  <c r="S531" i="9"/>
  <c r="CJ531" i="9" s="1"/>
  <c r="Y538" i="9"/>
  <c r="CP538" i="9" s="1"/>
  <c r="BC538" i="9"/>
  <c r="DT538" i="9" s="1"/>
  <c r="V538" i="9"/>
  <c r="CM538" i="9" s="1"/>
  <c r="BG538" i="9"/>
  <c r="DX538" i="9" s="1"/>
  <c r="AP538" i="9"/>
  <c r="DG538" i="9" s="1"/>
  <c r="BL538" i="9"/>
  <c r="EC538" i="9" s="1"/>
  <c r="AU538" i="9"/>
  <c r="DL538" i="9" s="1"/>
  <c r="BQ538" i="9"/>
  <c r="EH538" i="9" s="1"/>
  <c r="AJ538" i="9"/>
  <c r="DA538" i="9" s="1"/>
  <c r="BP538" i="9"/>
  <c r="EG538" i="9" s="1"/>
  <c r="BD538" i="9"/>
  <c r="DU538" i="9" s="1"/>
  <c r="AM538" i="9"/>
  <c r="DD538" i="9" s="1"/>
  <c r="BI538" i="9"/>
  <c r="DZ538" i="9" s="1"/>
  <c r="AZ538" i="9"/>
  <c r="DQ538" i="9" s="1"/>
  <c r="BN538" i="9"/>
  <c r="EE538" i="9" s="1"/>
  <c r="AV538" i="9"/>
  <c r="DM538" i="9" s="1"/>
  <c r="AE538" i="9"/>
  <c r="CV538" i="9" s="1"/>
  <c r="BA538" i="9"/>
  <c r="DR538" i="9" s="1"/>
  <c r="AH538" i="9"/>
  <c r="CY538" i="9" s="1"/>
  <c r="BH538" i="9"/>
  <c r="DY538" i="9" s="1"/>
  <c r="AN538" i="9"/>
  <c r="DE538" i="9" s="1"/>
  <c r="BR538" i="9"/>
  <c r="EI538" i="9" s="1"/>
  <c r="AS538" i="9"/>
  <c r="DJ538" i="9" s="1"/>
  <c r="AY538" i="9"/>
  <c r="DP538" i="9" s="1"/>
  <c r="AX538" i="9"/>
  <c r="DO538" i="9" s="1"/>
  <c r="BM538" i="9"/>
  <c r="ED538" i="9" s="1"/>
  <c r="AF538" i="9"/>
  <c r="CW538" i="9" s="1"/>
  <c r="BB538" i="9"/>
  <c r="DS538" i="9" s="1"/>
  <c r="AK538" i="9"/>
  <c r="DB538" i="9" s="1"/>
  <c r="BO538" i="9"/>
  <c r="EF538" i="9" s="1"/>
  <c r="AQ538" i="9"/>
  <c r="DH538" i="9" s="1"/>
  <c r="BE538" i="9"/>
  <c r="DV538" i="9" s="1"/>
  <c r="X538" i="9"/>
  <c r="CO538" i="9" s="1"/>
  <c r="AL538" i="9"/>
  <c r="DC538" i="9" s="1"/>
  <c r="AC538" i="9"/>
  <c r="CT538" i="9" s="1"/>
  <c r="AR538" i="9"/>
  <c r="DI538" i="9" s="1"/>
  <c r="AG538" i="9"/>
  <c r="CX538" i="9" s="1"/>
  <c r="BK538" i="9"/>
  <c r="EB538" i="9" s="1"/>
  <c r="AD538" i="9"/>
  <c r="CU538" i="9" s="1"/>
  <c r="U538" i="9"/>
  <c r="CL538" i="9" s="1"/>
  <c r="Z538" i="9"/>
  <c r="CQ538" i="9" s="1"/>
  <c r="BF538" i="9"/>
  <c r="DW538" i="9" s="1"/>
  <c r="W538" i="9"/>
  <c r="CN538" i="9" s="1"/>
  <c r="AA538" i="9"/>
  <c r="CR538" i="9" s="1"/>
  <c r="AW538" i="9"/>
  <c r="DN538" i="9" s="1"/>
  <c r="AB538" i="9"/>
  <c r="CS538" i="9" s="1"/>
  <c r="AI538" i="9"/>
  <c r="CZ538" i="9" s="1"/>
  <c r="AT538" i="9"/>
  <c r="DK538" i="9" s="1"/>
  <c r="BJ538" i="9"/>
  <c r="EA538" i="9" s="1"/>
  <c r="AO538" i="9"/>
  <c r="DF538" i="9" s="1"/>
  <c r="M538" i="9"/>
  <c r="CD538" i="9" s="1"/>
  <c r="O538" i="9"/>
  <c r="CF538" i="9" s="1"/>
  <c r="T538" i="9"/>
  <c r="CK538" i="9" s="1"/>
  <c r="R538" i="9"/>
  <c r="CI538" i="9" s="1"/>
  <c r="P538" i="9"/>
  <c r="CG538" i="9" s="1"/>
  <c r="Q538" i="9"/>
  <c r="CH538" i="9" s="1"/>
  <c r="K538" i="9"/>
  <c r="L538" i="9"/>
  <c r="CC538" i="9" s="1"/>
  <c r="N538" i="9"/>
  <c r="CE538" i="9" s="1"/>
  <c r="S538" i="9"/>
  <c r="CJ538" i="9" s="1"/>
  <c r="AB425" i="9"/>
  <c r="X650" i="11" s="1"/>
  <c r="BT326" i="9"/>
  <c r="L201" i="6" s="1"/>
  <c r="BU311" i="9"/>
  <c r="M186" i="6" s="1"/>
  <c r="BU310" i="9"/>
  <c r="M185" i="6" s="1"/>
  <c r="BT631" i="9"/>
  <c r="L480" i="6" s="1"/>
  <c r="BU352" i="9"/>
  <c r="M225" i="6" s="1"/>
  <c r="BT462" i="9"/>
  <c r="L325" i="6" s="1"/>
  <c r="BP593" i="9"/>
  <c r="BL657" i="11" s="1"/>
  <c r="EC309" i="9"/>
  <c r="BL329" i="9"/>
  <c r="BH646" i="11" s="1"/>
  <c r="BG329" i="9"/>
  <c r="BC646" i="11" s="1"/>
  <c r="DX309" i="9"/>
  <c r="DE309" i="9"/>
  <c r="AN329" i="9"/>
  <c r="AJ646" i="11" s="1"/>
  <c r="CT309" i="9"/>
  <c r="AC329" i="9"/>
  <c r="Y646" i="11" s="1"/>
  <c r="BF329" i="9"/>
  <c r="BB646" i="11" s="1"/>
  <c r="DW309" i="9"/>
  <c r="DD309" i="9"/>
  <c r="AM329" i="9"/>
  <c r="AI646" i="11" s="1"/>
  <c r="CT407" i="9"/>
  <c r="AC425" i="9"/>
  <c r="Y650" i="11" s="1"/>
  <c r="DE407" i="9"/>
  <c r="AN425" i="9"/>
  <c r="AJ650" i="11" s="1"/>
  <c r="DX407" i="9"/>
  <c r="BG425" i="9"/>
  <c r="BC650" i="11" s="1"/>
  <c r="EE407" i="9"/>
  <c r="BN425" i="9"/>
  <c r="BJ650" i="11" s="1"/>
  <c r="DB407" i="9"/>
  <c r="AK425" i="9"/>
  <c r="AG650" i="11" s="1"/>
  <c r="CZ407" i="9"/>
  <c r="AI425" i="9"/>
  <c r="AE650" i="11" s="1"/>
  <c r="X353" i="9"/>
  <c r="T647" i="11" s="1"/>
  <c r="EB455" i="9"/>
  <c r="BK473" i="9"/>
  <c r="BG652" i="11" s="1"/>
  <c r="DL455" i="9"/>
  <c r="AU473" i="9"/>
  <c r="AQ652" i="11" s="1"/>
  <c r="EH455" i="9"/>
  <c r="BQ473" i="9"/>
  <c r="BM652" i="11" s="1"/>
  <c r="CT455" i="9"/>
  <c r="AC473" i="9"/>
  <c r="Y652" i="11" s="1"/>
  <c r="CX455" i="9"/>
  <c r="AG473" i="9"/>
  <c r="AC652" i="11" s="1"/>
  <c r="CS455" i="9"/>
  <c r="AB473" i="9"/>
  <c r="X652" i="11" s="1"/>
  <c r="DU577" i="9"/>
  <c r="BD593" i="9"/>
  <c r="AZ657" i="11" s="1"/>
  <c r="Z593" i="9"/>
  <c r="V657" i="11" s="1"/>
  <c r="AE353" i="9"/>
  <c r="AA647" i="11" s="1"/>
  <c r="AN277" i="9"/>
  <c r="DE277" i="9" s="1"/>
  <c r="AK277" i="9"/>
  <c r="DB277" i="9" s="1"/>
  <c r="AA277" i="9"/>
  <c r="CR277" i="9" s="1"/>
  <c r="BM277" i="9"/>
  <c r="ED277" i="9" s="1"/>
  <c r="AF277" i="9"/>
  <c r="CW277" i="9" s="1"/>
  <c r="AC277" i="9"/>
  <c r="CT277" i="9" s="1"/>
  <c r="BN277" i="9"/>
  <c r="EE277" i="9" s="1"/>
  <c r="AW277" i="9"/>
  <c r="DN277" i="9" s="1"/>
  <c r="X277" i="9"/>
  <c r="CO277" i="9" s="1"/>
  <c r="AR277" i="9"/>
  <c r="DI277" i="9" s="1"/>
  <c r="BF277" i="9"/>
  <c r="DW277" i="9" s="1"/>
  <c r="AE277" i="9"/>
  <c r="CV277" i="9" s="1"/>
  <c r="AJ277" i="9"/>
  <c r="DA277" i="9" s="1"/>
  <c r="AX277" i="9"/>
  <c r="DO277" i="9" s="1"/>
  <c r="W277" i="9"/>
  <c r="CN277" i="9" s="1"/>
  <c r="AB277" i="9"/>
  <c r="CS277" i="9" s="1"/>
  <c r="AP277" i="9"/>
  <c r="DG277" i="9" s="1"/>
  <c r="AL277" i="9"/>
  <c r="DC277" i="9" s="1"/>
  <c r="BO277" i="9"/>
  <c r="EF277" i="9" s="1"/>
  <c r="Z277" i="9"/>
  <c r="CQ277" i="9" s="1"/>
  <c r="AD277" i="9"/>
  <c r="CU277" i="9" s="1"/>
  <c r="BG277" i="9"/>
  <c r="DX277" i="9" s="1"/>
  <c r="AG277" i="9"/>
  <c r="CX277" i="9" s="1"/>
  <c r="V277" i="9"/>
  <c r="CM277" i="9" s="1"/>
  <c r="AY277" i="9"/>
  <c r="DP277" i="9" s="1"/>
  <c r="Y277" i="9"/>
  <c r="CP277" i="9" s="1"/>
  <c r="AH277" i="9"/>
  <c r="CY277" i="9" s="1"/>
  <c r="BE277" i="9"/>
  <c r="DV277" i="9" s="1"/>
  <c r="AM277" i="9"/>
  <c r="DD277" i="9" s="1"/>
  <c r="BK277" i="9"/>
  <c r="EB277" i="9" s="1"/>
  <c r="BC277" i="9"/>
  <c r="DT277" i="9" s="1"/>
  <c r="AT277" i="9"/>
  <c r="DK277" i="9" s="1"/>
  <c r="AQ277" i="9"/>
  <c r="DH277" i="9" s="1"/>
  <c r="BL277" i="9"/>
  <c r="EC277" i="9" s="1"/>
  <c r="BQ277" i="9"/>
  <c r="EH277" i="9" s="1"/>
  <c r="AZ277" i="9"/>
  <c r="DQ277" i="9" s="1"/>
  <c r="BD277" i="9"/>
  <c r="DU277" i="9" s="1"/>
  <c r="BA277" i="9"/>
  <c r="DR277" i="9" s="1"/>
  <c r="BR277" i="9"/>
  <c r="EI277" i="9" s="1"/>
  <c r="AI277" i="9"/>
  <c r="CZ277" i="9" s="1"/>
  <c r="BB277" i="9"/>
  <c r="DS277" i="9" s="1"/>
  <c r="BJ277" i="9"/>
  <c r="EA277" i="9" s="1"/>
  <c r="AO277" i="9"/>
  <c r="DF277" i="9" s="1"/>
  <c r="BH277" i="9"/>
  <c r="DY277" i="9" s="1"/>
  <c r="AV277" i="9"/>
  <c r="DM277" i="9" s="1"/>
  <c r="U277" i="9"/>
  <c r="CL277" i="9" s="1"/>
  <c r="BI277" i="9"/>
  <c r="DZ277" i="9" s="1"/>
  <c r="AU277" i="9"/>
  <c r="DL277" i="9" s="1"/>
  <c r="BP277" i="9"/>
  <c r="EG277" i="9" s="1"/>
  <c r="AS277" i="9"/>
  <c r="DJ277" i="9" s="1"/>
  <c r="M277" i="9"/>
  <c r="CD277" i="9" s="1"/>
  <c r="O277" i="9"/>
  <c r="CF277" i="9" s="1"/>
  <c r="S277" i="9"/>
  <c r="CJ277" i="9" s="1"/>
  <c r="L277" i="9"/>
  <c r="CC277" i="9" s="1"/>
  <c r="R277" i="9"/>
  <c r="CI277" i="9" s="1"/>
  <c r="Q277" i="9"/>
  <c r="CH277" i="9" s="1"/>
  <c r="K277" i="9"/>
  <c r="P277" i="9"/>
  <c r="CG277" i="9" s="1"/>
  <c r="N277" i="9"/>
  <c r="CE277" i="9" s="1"/>
  <c r="T277" i="9"/>
  <c r="CK277" i="9" s="1"/>
  <c r="U659" i="9"/>
  <c r="CL659" i="9" s="1"/>
  <c r="BO659" i="9"/>
  <c r="EF659" i="9" s="1"/>
  <c r="BG659" i="9"/>
  <c r="DX659" i="9" s="1"/>
  <c r="AY659" i="9"/>
  <c r="DP659" i="9" s="1"/>
  <c r="AH659" i="9"/>
  <c r="CY659" i="9" s="1"/>
  <c r="AD659" i="9"/>
  <c r="CU659" i="9" s="1"/>
  <c r="AC659" i="9"/>
  <c r="CT659" i="9" s="1"/>
  <c r="BE659" i="9"/>
  <c r="DV659" i="9" s="1"/>
  <c r="BC659" i="9"/>
  <c r="DT659" i="9" s="1"/>
  <c r="BK659" i="9"/>
  <c r="EB659" i="9" s="1"/>
  <c r="Y659" i="9"/>
  <c r="CP659" i="9" s="1"/>
  <c r="BF659" i="9"/>
  <c r="DW659" i="9" s="1"/>
  <c r="BR659" i="9"/>
  <c r="EI659" i="9" s="1"/>
  <c r="AI659" i="9"/>
  <c r="CZ659" i="9" s="1"/>
  <c r="BM659" i="9"/>
  <c r="ED659" i="9" s="1"/>
  <c r="BA659" i="9"/>
  <c r="DR659" i="9" s="1"/>
  <c r="AN659" i="9"/>
  <c r="DE659" i="9" s="1"/>
  <c r="X659" i="9"/>
  <c r="CO659" i="9" s="1"/>
  <c r="BL659" i="9"/>
  <c r="EC659" i="9" s="1"/>
  <c r="AV659" i="9"/>
  <c r="DM659" i="9" s="1"/>
  <c r="Z659" i="9"/>
  <c r="CQ659" i="9" s="1"/>
  <c r="AF659" i="9"/>
  <c r="CW659" i="9" s="1"/>
  <c r="AS659" i="9"/>
  <c r="DJ659" i="9" s="1"/>
  <c r="AT659" i="9"/>
  <c r="DK659" i="9" s="1"/>
  <c r="BN659" i="9"/>
  <c r="EE659" i="9" s="1"/>
  <c r="AG659" i="9"/>
  <c r="CX659" i="9" s="1"/>
  <c r="AE659" i="9"/>
  <c r="CV659" i="9" s="1"/>
  <c r="BD659" i="9"/>
  <c r="DU659" i="9" s="1"/>
  <c r="V659" i="9"/>
  <c r="CM659" i="9" s="1"/>
  <c r="AO659" i="9"/>
  <c r="DF659" i="9" s="1"/>
  <c r="BJ659" i="9"/>
  <c r="EA659" i="9" s="1"/>
  <c r="AM659" i="9"/>
  <c r="DD659" i="9" s="1"/>
  <c r="AW659" i="9"/>
  <c r="DN659" i="9" s="1"/>
  <c r="AU659" i="9"/>
  <c r="DL659" i="9" s="1"/>
  <c r="BH659" i="9"/>
  <c r="DY659" i="9" s="1"/>
  <c r="AK659" i="9"/>
  <c r="DB659" i="9" s="1"/>
  <c r="AR659" i="9"/>
  <c r="DI659" i="9" s="1"/>
  <c r="BQ659" i="9"/>
  <c r="EH659" i="9" s="1"/>
  <c r="AJ659" i="9"/>
  <c r="DA659" i="9" s="1"/>
  <c r="W659" i="9"/>
  <c r="CN659" i="9" s="1"/>
  <c r="AZ659" i="9"/>
  <c r="DQ659" i="9" s="1"/>
  <c r="AP659" i="9"/>
  <c r="DG659" i="9" s="1"/>
  <c r="BP659" i="9"/>
  <c r="EG659" i="9" s="1"/>
  <c r="AA659" i="9"/>
  <c r="CR659" i="9" s="1"/>
  <c r="AX659" i="9"/>
  <c r="DO659" i="9" s="1"/>
  <c r="BB659" i="9"/>
  <c r="DS659" i="9" s="1"/>
  <c r="AQ659" i="9"/>
  <c r="DH659" i="9" s="1"/>
  <c r="AB659" i="9"/>
  <c r="CS659" i="9" s="1"/>
  <c r="AL659" i="9"/>
  <c r="DC659" i="9" s="1"/>
  <c r="BI659" i="9"/>
  <c r="DZ659" i="9" s="1"/>
  <c r="Q659" i="9"/>
  <c r="CH659" i="9" s="1"/>
  <c r="K659" i="9"/>
  <c r="R659" i="9"/>
  <c r="CI659" i="9" s="1"/>
  <c r="P659" i="9"/>
  <c r="CG659" i="9" s="1"/>
  <c r="S659" i="9"/>
  <c r="CJ659" i="9" s="1"/>
  <c r="N659" i="9"/>
  <c r="CE659" i="9" s="1"/>
  <c r="M659" i="9"/>
  <c r="CD659" i="9" s="1"/>
  <c r="L659" i="9"/>
  <c r="CC659" i="9" s="1"/>
  <c r="O659" i="9"/>
  <c r="CF659" i="9" s="1"/>
  <c r="T659" i="9"/>
  <c r="CK659" i="9" s="1"/>
  <c r="AR629" i="9"/>
  <c r="DI629" i="9" s="1"/>
  <c r="AB629" i="9"/>
  <c r="CS629" i="9" s="1"/>
  <c r="BP629" i="9"/>
  <c r="EG629" i="9" s="1"/>
  <c r="AG629" i="9"/>
  <c r="CX629" i="9" s="1"/>
  <c r="AK629" i="9"/>
  <c r="DB629" i="9" s="1"/>
  <c r="Z629" i="9"/>
  <c r="CQ629" i="9" s="1"/>
  <c r="AZ629" i="9"/>
  <c r="DQ629" i="9" s="1"/>
  <c r="W629" i="9"/>
  <c r="CN629" i="9" s="1"/>
  <c r="AO629" i="9"/>
  <c r="DF629" i="9" s="1"/>
  <c r="AH629" i="9"/>
  <c r="CY629" i="9" s="1"/>
  <c r="AX629" i="9"/>
  <c r="DO629" i="9" s="1"/>
  <c r="AN629" i="9"/>
  <c r="DE629" i="9" s="1"/>
  <c r="BF629" i="9"/>
  <c r="DW629" i="9" s="1"/>
  <c r="AF629" i="9"/>
  <c r="CW629" i="9" s="1"/>
  <c r="AL629" i="9"/>
  <c r="DC629" i="9" s="1"/>
  <c r="AP629" i="9"/>
  <c r="DG629" i="9" s="1"/>
  <c r="AQ629" i="9"/>
  <c r="DH629" i="9" s="1"/>
  <c r="AM629" i="9"/>
  <c r="DD629" i="9" s="1"/>
  <c r="AJ629" i="9"/>
  <c r="DA629" i="9" s="1"/>
  <c r="AC629" i="9"/>
  <c r="CT629" i="9" s="1"/>
  <c r="BH629" i="9"/>
  <c r="DY629" i="9" s="1"/>
  <c r="AA629" i="9"/>
  <c r="CR629" i="9" s="1"/>
  <c r="AE629" i="9"/>
  <c r="CV629" i="9" s="1"/>
  <c r="AU629" i="9"/>
  <c r="DL629" i="9" s="1"/>
  <c r="AW629" i="9"/>
  <c r="DN629" i="9" s="1"/>
  <c r="V629" i="9"/>
  <c r="CM629" i="9" s="1"/>
  <c r="BD629" i="9"/>
  <c r="DU629" i="9" s="1"/>
  <c r="BG629" i="9"/>
  <c r="DX629" i="9" s="1"/>
  <c r="BO629" i="9"/>
  <c r="EF629" i="9" s="1"/>
  <c r="BC629" i="9"/>
  <c r="DT629" i="9" s="1"/>
  <c r="BM629" i="9"/>
  <c r="ED629" i="9" s="1"/>
  <c r="AI629" i="9"/>
  <c r="CZ629" i="9" s="1"/>
  <c r="AD629" i="9"/>
  <c r="CU629" i="9" s="1"/>
  <c r="BR629" i="9"/>
  <c r="EI629" i="9" s="1"/>
  <c r="BJ629" i="9"/>
  <c r="EA629" i="9" s="1"/>
  <c r="BL629" i="9"/>
  <c r="EC629" i="9" s="1"/>
  <c r="Y629" i="9"/>
  <c r="CP629" i="9" s="1"/>
  <c r="BQ629" i="9"/>
  <c r="EH629" i="9" s="1"/>
  <c r="X629" i="9"/>
  <c r="CO629" i="9" s="1"/>
  <c r="BN629" i="9"/>
  <c r="EE629" i="9" s="1"/>
  <c r="BK629" i="9"/>
  <c r="EB629" i="9" s="1"/>
  <c r="BA629" i="9"/>
  <c r="DR629" i="9" s="1"/>
  <c r="U629" i="9"/>
  <c r="CL629" i="9" s="1"/>
  <c r="AV629" i="9"/>
  <c r="DM629" i="9" s="1"/>
  <c r="BE629" i="9"/>
  <c r="DV629" i="9" s="1"/>
  <c r="BB629" i="9"/>
  <c r="DS629" i="9" s="1"/>
  <c r="AT629" i="9"/>
  <c r="DK629" i="9" s="1"/>
  <c r="AY629" i="9"/>
  <c r="DP629" i="9" s="1"/>
  <c r="AS629" i="9"/>
  <c r="DJ629" i="9" s="1"/>
  <c r="BI629" i="9"/>
  <c r="DZ629" i="9" s="1"/>
  <c r="L629" i="9"/>
  <c r="CC629" i="9" s="1"/>
  <c r="Q629" i="9"/>
  <c r="CH629" i="9" s="1"/>
  <c r="R629" i="9"/>
  <c r="CI629" i="9" s="1"/>
  <c r="N629" i="9"/>
  <c r="CE629" i="9" s="1"/>
  <c r="O629" i="9"/>
  <c r="CF629" i="9" s="1"/>
  <c r="S629" i="9"/>
  <c r="CJ629" i="9" s="1"/>
  <c r="M629" i="9"/>
  <c r="CD629" i="9" s="1"/>
  <c r="P629" i="9"/>
  <c r="CG629" i="9" s="1"/>
  <c r="K629" i="9"/>
  <c r="T629" i="9"/>
  <c r="CK629" i="9" s="1"/>
  <c r="AF593" i="9"/>
  <c r="AB657" i="11" s="1"/>
  <c r="AQ353" i="9"/>
  <c r="AM647" i="11" s="1"/>
  <c r="DZ337" i="9"/>
  <c r="BI353" i="9"/>
  <c r="BE647" i="11" s="1"/>
  <c r="DP337" i="9"/>
  <c r="AY353" i="9"/>
  <c r="AU647" i="11" s="1"/>
  <c r="BN240" i="9"/>
  <c r="EE240" i="9" s="1"/>
  <c r="AD240" i="9"/>
  <c r="CU240" i="9" s="1"/>
  <c r="BK240" i="9"/>
  <c r="EB240" i="9" s="1"/>
  <c r="BB240" i="9"/>
  <c r="DS240" i="9" s="1"/>
  <c r="AH240" i="9"/>
  <c r="CY240" i="9" s="1"/>
  <c r="BF240" i="9"/>
  <c r="DW240" i="9" s="1"/>
  <c r="V240" i="9"/>
  <c r="CM240" i="9" s="1"/>
  <c r="BC240" i="9"/>
  <c r="DT240" i="9" s="1"/>
  <c r="AT240" i="9"/>
  <c r="DK240" i="9" s="1"/>
  <c r="Z240" i="9"/>
  <c r="CQ240" i="9" s="1"/>
  <c r="BO240" i="9"/>
  <c r="EF240" i="9" s="1"/>
  <c r="AX240" i="9"/>
  <c r="DO240" i="9" s="1"/>
  <c r="BL240" i="9"/>
  <c r="EC240" i="9" s="1"/>
  <c r="AU240" i="9"/>
  <c r="DL240" i="9" s="1"/>
  <c r="AQ240" i="9"/>
  <c r="DH240" i="9" s="1"/>
  <c r="BP240" i="9"/>
  <c r="EG240" i="9" s="1"/>
  <c r="BG240" i="9"/>
  <c r="DX240" i="9" s="1"/>
  <c r="AM240" i="9"/>
  <c r="DD240" i="9" s="1"/>
  <c r="BD240" i="9"/>
  <c r="DU240" i="9" s="1"/>
  <c r="AR240" i="9"/>
  <c r="DI240" i="9" s="1"/>
  <c r="AI240" i="9"/>
  <c r="CZ240" i="9" s="1"/>
  <c r="BH240" i="9"/>
  <c r="DY240" i="9" s="1"/>
  <c r="AY240" i="9"/>
  <c r="DP240" i="9" s="1"/>
  <c r="AE240" i="9"/>
  <c r="CV240" i="9" s="1"/>
  <c r="AV240" i="9"/>
  <c r="DM240" i="9" s="1"/>
  <c r="AJ240" i="9"/>
  <c r="DA240" i="9" s="1"/>
  <c r="AA240" i="9"/>
  <c r="CR240" i="9" s="1"/>
  <c r="AG240" i="9"/>
  <c r="CX240" i="9" s="1"/>
  <c r="AN240" i="9"/>
  <c r="DE240" i="9" s="1"/>
  <c r="BM240" i="9"/>
  <c r="ED240" i="9" s="1"/>
  <c r="AS240" i="9"/>
  <c r="DJ240" i="9" s="1"/>
  <c r="AB240" i="9"/>
  <c r="CS240" i="9" s="1"/>
  <c r="BQ240" i="9"/>
  <c r="EH240" i="9" s="1"/>
  <c r="AZ240" i="9"/>
  <c r="DQ240" i="9" s="1"/>
  <c r="AF240" i="9"/>
  <c r="CW240" i="9" s="1"/>
  <c r="BE240" i="9"/>
  <c r="DV240" i="9" s="1"/>
  <c r="AK240" i="9"/>
  <c r="DB240" i="9" s="1"/>
  <c r="BR240" i="9"/>
  <c r="EI240" i="9" s="1"/>
  <c r="BI240" i="9"/>
  <c r="DZ240" i="9" s="1"/>
  <c r="Y240" i="9"/>
  <c r="CP240" i="9" s="1"/>
  <c r="X240" i="9"/>
  <c r="CO240" i="9" s="1"/>
  <c r="AW240" i="9"/>
  <c r="DN240" i="9" s="1"/>
  <c r="U240" i="9"/>
  <c r="CL240" i="9" s="1"/>
  <c r="BJ240" i="9"/>
  <c r="EA240" i="9" s="1"/>
  <c r="BA240" i="9"/>
  <c r="DR240" i="9" s="1"/>
  <c r="W240" i="9"/>
  <c r="CN240" i="9" s="1"/>
  <c r="AP240" i="9"/>
  <c r="DG240" i="9" s="1"/>
  <c r="AO240" i="9"/>
  <c r="DF240" i="9" s="1"/>
  <c r="AL240" i="9"/>
  <c r="DC240" i="9" s="1"/>
  <c r="AC240" i="9"/>
  <c r="CT240" i="9" s="1"/>
  <c r="M240" i="9"/>
  <c r="S240" i="9"/>
  <c r="CJ240" i="9" s="1"/>
  <c r="P240" i="9"/>
  <c r="O240" i="9"/>
  <c r="T240" i="9"/>
  <c r="Q240" i="9"/>
  <c r="L240" i="9"/>
  <c r="N240" i="9"/>
  <c r="K240" i="9"/>
  <c r="R240" i="9"/>
  <c r="CI240" i="9" s="1"/>
  <c r="BH445" i="9"/>
  <c r="DY445" i="9" s="1"/>
  <c r="AQ445" i="9"/>
  <c r="DH445" i="9" s="1"/>
  <c r="Z445" i="9"/>
  <c r="CQ445" i="9" s="1"/>
  <c r="BD445" i="9"/>
  <c r="DU445" i="9" s="1"/>
  <c r="AM445" i="9"/>
  <c r="DD445" i="9" s="1"/>
  <c r="V445" i="9"/>
  <c r="CM445" i="9" s="1"/>
  <c r="AZ445" i="9"/>
  <c r="DQ445" i="9" s="1"/>
  <c r="AI445" i="9"/>
  <c r="CZ445" i="9" s="1"/>
  <c r="BN445" i="9"/>
  <c r="EE445" i="9" s="1"/>
  <c r="AV445" i="9"/>
  <c r="DM445" i="9" s="1"/>
  <c r="AE445" i="9"/>
  <c r="CV445" i="9" s="1"/>
  <c r="AS445" i="9"/>
  <c r="DJ445" i="9" s="1"/>
  <c r="AR445" i="9"/>
  <c r="DI445" i="9" s="1"/>
  <c r="AA445" i="9"/>
  <c r="CR445" i="9" s="1"/>
  <c r="BE445" i="9"/>
  <c r="DV445" i="9" s="1"/>
  <c r="AN445" i="9"/>
  <c r="DE445" i="9" s="1"/>
  <c r="W445" i="9"/>
  <c r="CN445" i="9" s="1"/>
  <c r="AK445" i="9"/>
  <c r="DB445" i="9" s="1"/>
  <c r="AJ445" i="9"/>
  <c r="DA445" i="9" s="1"/>
  <c r="BP445" i="9"/>
  <c r="EG445" i="9" s="1"/>
  <c r="AW445" i="9"/>
  <c r="DN445" i="9" s="1"/>
  <c r="AF445" i="9"/>
  <c r="CW445" i="9" s="1"/>
  <c r="BJ445" i="9"/>
  <c r="EA445" i="9" s="1"/>
  <c r="AB445" i="9"/>
  <c r="CS445" i="9" s="1"/>
  <c r="BF445" i="9"/>
  <c r="DW445" i="9" s="1"/>
  <c r="AO445" i="9"/>
  <c r="DF445" i="9" s="1"/>
  <c r="X445" i="9"/>
  <c r="CO445" i="9" s="1"/>
  <c r="BB445" i="9"/>
  <c r="DS445" i="9" s="1"/>
  <c r="U445" i="9"/>
  <c r="CL445" i="9" s="1"/>
  <c r="BO445" i="9"/>
  <c r="EF445" i="9" s="1"/>
  <c r="BQ445" i="9"/>
  <c r="EH445" i="9" s="1"/>
  <c r="AX445" i="9"/>
  <c r="DO445" i="9" s="1"/>
  <c r="AG445" i="9"/>
  <c r="CX445" i="9" s="1"/>
  <c r="BK445" i="9"/>
  <c r="EB445" i="9" s="1"/>
  <c r="AT445" i="9"/>
  <c r="DK445" i="9" s="1"/>
  <c r="BI445" i="9"/>
  <c r="DZ445" i="9" s="1"/>
  <c r="BM445" i="9"/>
  <c r="ED445" i="9" s="1"/>
  <c r="BG445" i="9"/>
  <c r="DX445" i="9" s="1"/>
  <c r="AP445" i="9"/>
  <c r="DG445" i="9" s="1"/>
  <c r="Y445" i="9"/>
  <c r="CP445" i="9" s="1"/>
  <c r="BC445" i="9"/>
  <c r="DT445" i="9" s="1"/>
  <c r="AL445" i="9"/>
  <c r="DC445" i="9" s="1"/>
  <c r="BA445" i="9"/>
  <c r="DR445" i="9" s="1"/>
  <c r="BR445" i="9"/>
  <c r="EI445" i="9" s="1"/>
  <c r="AY445" i="9"/>
  <c r="DP445" i="9" s="1"/>
  <c r="AH445" i="9"/>
  <c r="CY445" i="9" s="1"/>
  <c r="BL445" i="9"/>
  <c r="EC445" i="9" s="1"/>
  <c r="AU445" i="9"/>
  <c r="DL445" i="9" s="1"/>
  <c r="AD445" i="9"/>
  <c r="CU445" i="9" s="1"/>
  <c r="AC445" i="9"/>
  <c r="CT445" i="9" s="1"/>
  <c r="R445" i="9"/>
  <c r="CI445" i="9" s="1"/>
  <c r="O445" i="9"/>
  <c r="CF445" i="9" s="1"/>
  <c r="N445" i="9"/>
  <c r="CE445" i="9" s="1"/>
  <c r="Q445" i="9"/>
  <c r="CH445" i="9" s="1"/>
  <c r="T445" i="9"/>
  <c r="CK445" i="9" s="1"/>
  <c r="M445" i="9"/>
  <c r="CD445" i="9" s="1"/>
  <c r="S445" i="9"/>
  <c r="CJ445" i="9" s="1"/>
  <c r="K445" i="9"/>
  <c r="L445" i="9"/>
  <c r="CC445" i="9" s="1"/>
  <c r="P445" i="9"/>
  <c r="CG445" i="9" s="1"/>
  <c r="AA593" i="9"/>
  <c r="W657" i="11" s="1"/>
  <c r="AT593" i="9"/>
  <c r="AP657" i="11" s="1"/>
  <c r="AP353" i="9"/>
  <c r="AL647" i="11" s="1"/>
  <c r="BQ294" i="9"/>
  <c r="EH294" i="9" s="1"/>
  <c r="AO294" i="9"/>
  <c r="DF294" i="9" s="1"/>
  <c r="AE294" i="9"/>
  <c r="CV294" i="9" s="1"/>
  <c r="BM294" i="9"/>
  <c r="ED294" i="9" s="1"/>
  <c r="BC294" i="9"/>
  <c r="DT294" i="9" s="1"/>
  <c r="AI294" i="9"/>
  <c r="CZ294" i="9" s="1"/>
  <c r="U294" i="9"/>
  <c r="CL294" i="9" s="1"/>
  <c r="BN294" i="9"/>
  <c r="EE294" i="9" s="1"/>
  <c r="AK294" i="9"/>
  <c r="DB294" i="9" s="1"/>
  <c r="AX294" i="9"/>
  <c r="DO294" i="9" s="1"/>
  <c r="AS294" i="9"/>
  <c r="DJ294" i="9" s="1"/>
  <c r="AD294" i="9"/>
  <c r="CU294" i="9" s="1"/>
  <c r="AM294" i="9"/>
  <c r="DD294" i="9" s="1"/>
  <c r="BL294" i="9"/>
  <c r="EC294" i="9" s="1"/>
  <c r="AA294" i="9"/>
  <c r="CR294" i="9" s="1"/>
  <c r="BF294" i="9"/>
  <c r="DW294" i="9" s="1"/>
  <c r="AH294" i="9"/>
  <c r="CY294" i="9" s="1"/>
  <c r="AQ294" i="9"/>
  <c r="DH294" i="9" s="1"/>
  <c r="BJ294" i="9"/>
  <c r="EA294" i="9" s="1"/>
  <c r="AF294" i="9"/>
  <c r="CW294" i="9" s="1"/>
  <c r="BG294" i="9"/>
  <c r="DX294" i="9" s="1"/>
  <c r="Z294" i="9"/>
  <c r="CQ294" i="9" s="1"/>
  <c r="AR294" i="9"/>
  <c r="DI294" i="9" s="1"/>
  <c r="AG294" i="9"/>
  <c r="CX294" i="9" s="1"/>
  <c r="AW294" i="9"/>
  <c r="DN294" i="9" s="1"/>
  <c r="BE294" i="9"/>
  <c r="DV294" i="9" s="1"/>
  <c r="BK294" i="9"/>
  <c r="EB294" i="9" s="1"/>
  <c r="AJ294" i="9"/>
  <c r="DA294" i="9" s="1"/>
  <c r="AB294" i="9"/>
  <c r="CS294" i="9" s="1"/>
  <c r="V294" i="9"/>
  <c r="CM294" i="9" s="1"/>
  <c r="BH294" i="9"/>
  <c r="DY294" i="9" s="1"/>
  <c r="AC294" i="9"/>
  <c r="CT294" i="9" s="1"/>
  <c r="BI294" i="9"/>
  <c r="DZ294" i="9" s="1"/>
  <c r="AP294" i="9"/>
  <c r="DG294" i="9" s="1"/>
  <c r="BO294" i="9"/>
  <c r="EF294" i="9" s="1"/>
  <c r="BP294" i="9"/>
  <c r="EG294" i="9" s="1"/>
  <c r="W294" i="9"/>
  <c r="CN294" i="9" s="1"/>
  <c r="Y294" i="9"/>
  <c r="CP294" i="9" s="1"/>
  <c r="AN294" i="9"/>
  <c r="DE294" i="9" s="1"/>
  <c r="BB294" i="9"/>
  <c r="DS294" i="9" s="1"/>
  <c r="BR294" i="9"/>
  <c r="EI294" i="9" s="1"/>
  <c r="BA294" i="9"/>
  <c r="DR294" i="9" s="1"/>
  <c r="X294" i="9"/>
  <c r="CO294" i="9" s="1"/>
  <c r="AL294" i="9"/>
  <c r="DC294" i="9" s="1"/>
  <c r="AZ294" i="9"/>
  <c r="DQ294" i="9" s="1"/>
  <c r="AV294" i="9"/>
  <c r="DM294" i="9" s="1"/>
  <c r="AU294" i="9"/>
  <c r="DL294" i="9" s="1"/>
  <c r="AY294" i="9"/>
  <c r="DP294" i="9" s="1"/>
  <c r="BD294" i="9"/>
  <c r="DU294" i="9" s="1"/>
  <c r="AT294" i="9"/>
  <c r="DK294" i="9" s="1"/>
  <c r="M294" i="9"/>
  <c r="CD294" i="9" s="1"/>
  <c r="O294" i="9"/>
  <c r="CF294" i="9" s="1"/>
  <c r="S294" i="9"/>
  <c r="CJ294" i="9" s="1"/>
  <c r="K294" i="9"/>
  <c r="N294" i="9"/>
  <c r="CE294" i="9" s="1"/>
  <c r="R294" i="9"/>
  <c r="CI294" i="9" s="1"/>
  <c r="Q294" i="9"/>
  <c r="CH294" i="9" s="1"/>
  <c r="L294" i="9"/>
  <c r="CC294" i="9" s="1"/>
  <c r="T294" i="9"/>
  <c r="CK294" i="9" s="1"/>
  <c r="P294" i="9"/>
  <c r="CG294" i="9" s="1"/>
  <c r="BE504" i="9"/>
  <c r="DV504" i="9" s="1"/>
  <c r="BI504" i="9"/>
  <c r="DZ504" i="9" s="1"/>
  <c r="AQ504" i="9"/>
  <c r="DH504" i="9" s="1"/>
  <c r="X504" i="9"/>
  <c r="CO504" i="9" s="1"/>
  <c r="AO504" i="9"/>
  <c r="DF504" i="9" s="1"/>
  <c r="BF504" i="9"/>
  <c r="DW504" i="9" s="1"/>
  <c r="BG504" i="9"/>
  <c r="DX504" i="9" s="1"/>
  <c r="AG504" i="9"/>
  <c r="CX504" i="9" s="1"/>
  <c r="AZ504" i="9"/>
  <c r="DQ504" i="9" s="1"/>
  <c r="AM504" i="9"/>
  <c r="DD504" i="9" s="1"/>
  <c r="BK504" i="9"/>
  <c r="EB504" i="9" s="1"/>
  <c r="BD504" i="9"/>
  <c r="DU504" i="9" s="1"/>
  <c r="Z504" i="9"/>
  <c r="CQ504" i="9" s="1"/>
  <c r="AV504" i="9"/>
  <c r="DM504" i="9" s="1"/>
  <c r="BP504" i="9"/>
  <c r="EG504" i="9" s="1"/>
  <c r="BH504" i="9"/>
  <c r="DY504" i="9" s="1"/>
  <c r="AB504" i="9"/>
  <c r="CS504" i="9" s="1"/>
  <c r="BL504" i="9"/>
  <c r="EC504" i="9" s="1"/>
  <c r="BJ504" i="9"/>
  <c r="EA504" i="9" s="1"/>
  <c r="AF504" i="9"/>
  <c r="CW504" i="9" s="1"/>
  <c r="AN504" i="9"/>
  <c r="DE504" i="9" s="1"/>
  <c r="AY504" i="9"/>
  <c r="DP504" i="9" s="1"/>
  <c r="V504" i="9"/>
  <c r="CM504" i="9" s="1"/>
  <c r="AH504" i="9"/>
  <c r="CY504" i="9" s="1"/>
  <c r="AR504" i="9"/>
  <c r="DI504" i="9" s="1"/>
  <c r="U504" i="9"/>
  <c r="CL504" i="9" s="1"/>
  <c r="BO504" i="9"/>
  <c r="EF504" i="9" s="1"/>
  <c r="AK504" i="9"/>
  <c r="DB504" i="9" s="1"/>
  <c r="BQ504" i="9"/>
  <c r="EH504" i="9" s="1"/>
  <c r="AW504" i="9"/>
  <c r="DN504" i="9" s="1"/>
  <c r="AI504" i="9"/>
  <c r="CZ504" i="9" s="1"/>
  <c r="BA504" i="9"/>
  <c r="DR504" i="9" s="1"/>
  <c r="AU504" i="9"/>
  <c r="DL504" i="9" s="1"/>
  <c r="BN504" i="9"/>
  <c r="EE504" i="9" s="1"/>
  <c r="AC504" i="9"/>
  <c r="CT504" i="9" s="1"/>
  <c r="AP504" i="9"/>
  <c r="DG504" i="9" s="1"/>
  <c r="AX504" i="9"/>
  <c r="DO504" i="9" s="1"/>
  <c r="BR504" i="9"/>
  <c r="EI504" i="9" s="1"/>
  <c r="AE504" i="9"/>
  <c r="CV504" i="9" s="1"/>
  <c r="AT504" i="9"/>
  <c r="DK504" i="9" s="1"/>
  <c r="AJ504" i="9"/>
  <c r="DA504" i="9" s="1"/>
  <c r="AS504" i="9"/>
  <c r="DJ504" i="9" s="1"/>
  <c r="BB504" i="9"/>
  <c r="DS504" i="9" s="1"/>
  <c r="AA504" i="9"/>
  <c r="CR504" i="9" s="1"/>
  <c r="BM504" i="9"/>
  <c r="ED504" i="9" s="1"/>
  <c r="BC504" i="9"/>
  <c r="DT504" i="9" s="1"/>
  <c r="AD504" i="9"/>
  <c r="CU504" i="9" s="1"/>
  <c r="AL504" i="9"/>
  <c r="DC504" i="9" s="1"/>
  <c r="Y504" i="9"/>
  <c r="CP504" i="9" s="1"/>
  <c r="W504" i="9"/>
  <c r="CN504" i="9" s="1"/>
  <c r="S504" i="9"/>
  <c r="CJ504" i="9" s="1"/>
  <c r="L504" i="9"/>
  <c r="CC504" i="9" s="1"/>
  <c r="M504" i="9"/>
  <c r="CD504" i="9" s="1"/>
  <c r="Q504" i="9"/>
  <c r="CH504" i="9" s="1"/>
  <c r="T504" i="9"/>
  <c r="CK504" i="9" s="1"/>
  <c r="P504" i="9"/>
  <c r="CG504" i="9" s="1"/>
  <c r="R504" i="9"/>
  <c r="CI504" i="9" s="1"/>
  <c r="K504" i="9"/>
  <c r="N504" i="9"/>
  <c r="CE504" i="9" s="1"/>
  <c r="O504" i="9"/>
  <c r="CF504" i="9" s="1"/>
  <c r="BA671" i="9"/>
  <c r="DR671" i="9" s="1"/>
  <c r="AT671" i="9"/>
  <c r="DK671" i="9" s="1"/>
  <c r="AS671" i="9"/>
  <c r="DJ671" i="9" s="1"/>
  <c r="AQ671" i="9"/>
  <c r="DH671" i="9" s="1"/>
  <c r="AA671" i="9"/>
  <c r="CR671" i="9" s="1"/>
  <c r="BG671" i="9"/>
  <c r="DX671" i="9" s="1"/>
  <c r="BL671" i="9"/>
  <c r="EC671" i="9" s="1"/>
  <c r="BH671" i="9"/>
  <c r="DY671" i="9" s="1"/>
  <c r="BO671" i="9"/>
  <c r="EF671" i="9" s="1"/>
  <c r="BK671" i="9"/>
  <c r="EB671" i="9" s="1"/>
  <c r="AU671" i="9"/>
  <c r="DL671" i="9" s="1"/>
  <c r="BQ671" i="9"/>
  <c r="EH671" i="9" s="1"/>
  <c r="AI671" i="9"/>
  <c r="CZ671" i="9" s="1"/>
  <c r="BD671" i="9"/>
  <c r="DU671" i="9" s="1"/>
  <c r="AO671" i="9"/>
  <c r="DF671" i="9" s="1"/>
  <c r="BM671" i="9"/>
  <c r="ED671" i="9" s="1"/>
  <c r="BC671" i="9"/>
  <c r="DT671" i="9" s="1"/>
  <c r="X671" i="9"/>
  <c r="CO671" i="9" s="1"/>
  <c r="BF671" i="9"/>
  <c r="DW671" i="9" s="1"/>
  <c r="AL671" i="9"/>
  <c r="DC671" i="9" s="1"/>
  <c r="BI671" i="9"/>
  <c r="DZ671" i="9" s="1"/>
  <c r="BN671" i="9"/>
  <c r="EE671" i="9" s="1"/>
  <c r="AH671" i="9"/>
  <c r="CY671" i="9" s="1"/>
  <c r="W671" i="9"/>
  <c r="CN671" i="9" s="1"/>
  <c r="AD671" i="9"/>
  <c r="CU671" i="9" s="1"/>
  <c r="BJ671" i="9"/>
  <c r="EA671" i="9" s="1"/>
  <c r="AP671" i="9"/>
  <c r="DG671" i="9" s="1"/>
  <c r="V671" i="9"/>
  <c r="CM671" i="9" s="1"/>
  <c r="AX671" i="9"/>
  <c r="DO671" i="9" s="1"/>
  <c r="BR671" i="9"/>
  <c r="EI671" i="9" s="1"/>
  <c r="AN671" i="9"/>
  <c r="DE671" i="9" s="1"/>
  <c r="AB671" i="9"/>
  <c r="CS671" i="9" s="1"/>
  <c r="Z671" i="9"/>
  <c r="CQ671" i="9" s="1"/>
  <c r="AM671" i="9"/>
  <c r="DD671" i="9" s="1"/>
  <c r="AE671" i="9"/>
  <c r="CV671" i="9" s="1"/>
  <c r="AY671" i="9"/>
  <c r="DP671" i="9" s="1"/>
  <c r="AW671" i="9"/>
  <c r="DN671" i="9" s="1"/>
  <c r="AK671" i="9"/>
  <c r="DB671" i="9" s="1"/>
  <c r="BP671" i="9"/>
  <c r="EG671" i="9" s="1"/>
  <c r="BE671" i="9"/>
  <c r="DV671" i="9" s="1"/>
  <c r="U671" i="9"/>
  <c r="CL671" i="9" s="1"/>
  <c r="AC671" i="9"/>
  <c r="CT671" i="9" s="1"/>
  <c r="Y671" i="9"/>
  <c r="CP671" i="9" s="1"/>
  <c r="AJ671" i="9"/>
  <c r="DA671" i="9" s="1"/>
  <c r="AR671" i="9"/>
  <c r="DI671" i="9" s="1"/>
  <c r="AZ671" i="9"/>
  <c r="DQ671" i="9" s="1"/>
  <c r="AF671" i="9"/>
  <c r="CW671" i="9" s="1"/>
  <c r="AV671" i="9"/>
  <c r="DM671" i="9" s="1"/>
  <c r="AG671" i="9"/>
  <c r="CX671" i="9" s="1"/>
  <c r="BB671" i="9"/>
  <c r="DS671" i="9" s="1"/>
  <c r="Q671" i="9"/>
  <c r="CH671" i="9" s="1"/>
  <c r="S671" i="9"/>
  <c r="CJ671" i="9" s="1"/>
  <c r="T671" i="9"/>
  <c r="CK671" i="9" s="1"/>
  <c r="O671" i="9"/>
  <c r="CF671" i="9" s="1"/>
  <c r="M671" i="9"/>
  <c r="CD671" i="9" s="1"/>
  <c r="R671" i="9"/>
  <c r="CI671" i="9" s="1"/>
  <c r="L671" i="9"/>
  <c r="CC671" i="9" s="1"/>
  <c r="N671" i="9"/>
  <c r="CE671" i="9" s="1"/>
  <c r="P671" i="9"/>
  <c r="CG671" i="9" s="1"/>
  <c r="AH680" i="9"/>
  <c r="CY680" i="9" s="1"/>
  <c r="AO680" i="9"/>
  <c r="DF680" i="9" s="1"/>
  <c r="AN680" i="9"/>
  <c r="DE680" i="9" s="1"/>
  <c r="W680" i="9"/>
  <c r="CN680" i="9" s="1"/>
  <c r="BR680" i="9"/>
  <c r="EI680" i="9" s="1"/>
  <c r="BI680" i="9"/>
  <c r="DZ680" i="9" s="1"/>
  <c r="AS680" i="9"/>
  <c r="DJ680" i="9" s="1"/>
  <c r="X680" i="9"/>
  <c r="CO680" i="9" s="1"/>
  <c r="BJ680" i="9"/>
  <c r="EA680" i="9" s="1"/>
  <c r="BG680" i="9"/>
  <c r="DX680" i="9" s="1"/>
  <c r="AP680" i="9"/>
  <c r="DG680" i="9" s="1"/>
  <c r="BL680" i="9"/>
  <c r="EC680" i="9" s="1"/>
  <c r="BK680" i="9"/>
  <c r="EB680" i="9" s="1"/>
  <c r="AA680" i="9"/>
  <c r="CR680" i="9" s="1"/>
  <c r="BC680" i="9"/>
  <c r="DT680" i="9" s="1"/>
  <c r="V680" i="9"/>
  <c r="CM680" i="9" s="1"/>
  <c r="AI680" i="9"/>
  <c r="CZ680" i="9" s="1"/>
  <c r="BM680" i="9"/>
  <c r="ED680" i="9" s="1"/>
  <c r="AB680" i="9"/>
  <c r="CS680" i="9" s="1"/>
  <c r="AL680" i="9"/>
  <c r="DC680" i="9" s="1"/>
  <c r="AQ680" i="9"/>
  <c r="DH680" i="9" s="1"/>
  <c r="BA680" i="9"/>
  <c r="DR680" i="9" s="1"/>
  <c r="AD680" i="9"/>
  <c r="CU680" i="9" s="1"/>
  <c r="AT680" i="9"/>
  <c r="DK680" i="9" s="1"/>
  <c r="AU680" i="9"/>
  <c r="DL680" i="9" s="1"/>
  <c r="BD680" i="9"/>
  <c r="DU680" i="9" s="1"/>
  <c r="BF680" i="9"/>
  <c r="DW680" i="9" s="1"/>
  <c r="AX680" i="9"/>
  <c r="DO680" i="9" s="1"/>
  <c r="BH680" i="9"/>
  <c r="DY680" i="9" s="1"/>
  <c r="BO680" i="9"/>
  <c r="EF680" i="9" s="1"/>
  <c r="BQ680" i="9"/>
  <c r="EH680" i="9" s="1"/>
  <c r="BN680" i="9"/>
  <c r="EE680" i="9" s="1"/>
  <c r="AY680" i="9"/>
  <c r="DP680" i="9" s="1"/>
  <c r="AE680" i="9"/>
  <c r="CV680" i="9" s="1"/>
  <c r="AW680" i="9"/>
  <c r="DN680" i="9" s="1"/>
  <c r="BP680" i="9"/>
  <c r="EG680" i="9" s="1"/>
  <c r="AR680" i="9"/>
  <c r="DI680" i="9" s="1"/>
  <c r="BE680" i="9"/>
  <c r="DV680" i="9" s="1"/>
  <c r="AF680" i="9"/>
  <c r="CW680" i="9" s="1"/>
  <c r="BB680" i="9"/>
  <c r="DS680" i="9" s="1"/>
  <c r="U680" i="9"/>
  <c r="CL680" i="9" s="1"/>
  <c r="AV680" i="9"/>
  <c r="DM680" i="9" s="1"/>
  <c r="AK680" i="9"/>
  <c r="DB680" i="9" s="1"/>
  <c r="AC680" i="9"/>
  <c r="CT680" i="9" s="1"/>
  <c r="Z680" i="9"/>
  <c r="CQ680" i="9" s="1"/>
  <c r="AG680" i="9"/>
  <c r="CX680" i="9" s="1"/>
  <c r="AM680" i="9"/>
  <c r="DD680" i="9" s="1"/>
  <c r="AJ680" i="9"/>
  <c r="DA680" i="9" s="1"/>
  <c r="Y680" i="9"/>
  <c r="CP680" i="9" s="1"/>
  <c r="AZ680" i="9"/>
  <c r="DQ680" i="9" s="1"/>
  <c r="L680" i="9"/>
  <c r="CC680" i="9" s="1"/>
  <c r="N680" i="9"/>
  <c r="CE680" i="9" s="1"/>
  <c r="O680" i="9"/>
  <c r="CF680" i="9" s="1"/>
  <c r="M680" i="9"/>
  <c r="CD680" i="9" s="1"/>
  <c r="T680" i="9"/>
  <c r="CK680" i="9" s="1"/>
  <c r="K680" i="9"/>
  <c r="S680" i="9"/>
  <c r="CJ680" i="9" s="1"/>
  <c r="Q680" i="9"/>
  <c r="CH680" i="9" s="1"/>
  <c r="P680" i="9"/>
  <c r="CG680" i="9" s="1"/>
  <c r="R680" i="9"/>
  <c r="CI680" i="9" s="1"/>
  <c r="AV353" i="9"/>
  <c r="AR647" i="11" s="1"/>
  <c r="I257" i="9"/>
  <c r="W288" i="9"/>
  <c r="CN288" i="9" s="1"/>
  <c r="AK288" i="9"/>
  <c r="DB288" i="9" s="1"/>
  <c r="BN288" i="9"/>
  <c r="EE288" i="9" s="1"/>
  <c r="BM288" i="9"/>
  <c r="ED288" i="9" s="1"/>
  <c r="BE288" i="9"/>
  <c r="DV288" i="9" s="1"/>
  <c r="BC288" i="9"/>
  <c r="DT288" i="9" s="1"/>
  <c r="BL288" i="9"/>
  <c r="EC288" i="9" s="1"/>
  <c r="U288" i="9"/>
  <c r="CL288" i="9" s="1"/>
  <c r="V288" i="9"/>
  <c r="CM288" i="9" s="1"/>
  <c r="AC288" i="9"/>
  <c r="CT288" i="9" s="1"/>
  <c r="AR288" i="9"/>
  <c r="DI288" i="9" s="1"/>
  <c r="AO288" i="9"/>
  <c r="DF288" i="9" s="1"/>
  <c r="BI288" i="9"/>
  <c r="DZ288" i="9" s="1"/>
  <c r="AJ288" i="9"/>
  <c r="DA288" i="9" s="1"/>
  <c r="BQ288" i="9"/>
  <c r="EH288" i="9" s="1"/>
  <c r="BP288" i="9"/>
  <c r="EG288" i="9" s="1"/>
  <c r="AI288" i="9"/>
  <c r="CZ288" i="9" s="1"/>
  <c r="AW288" i="9"/>
  <c r="DN288" i="9" s="1"/>
  <c r="AD288" i="9"/>
  <c r="CU288" i="9" s="1"/>
  <c r="AN288" i="9"/>
  <c r="DE288" i="9" s="1"/>
  <c r="AS288" i="9"/>
  <c r="DJ288" i="9" s="1"/>
  <c r="AX288" i="9"/>
  <c r="DO288" i="9" s="1"/>
  <c r="BB288" i="9"/>
  <c r="DS288" i="9" s="1"/>
  <c r="BF288" i="9"/>
  <c r="DW288" i="9" s="1"/>
  <c r="AE288" i="9"/>
  <c r="CV288" i="9" s="1"/>
  <c r="AA288" i="9"/>
  <c r="CR288" i="9" s="1"/>
  <c r="AG288" i="9"/>
  <c r="CX288" i="9" s="1"/>
  <c r="BH288" i="9"/>
  <c r="DY288" i="9" s="1"/>
  <c r="AQ288" i="9"/>
  <c r="DH288" i="9" s="1"/>
  <c r="AB288" i="9"/>
  <c r="CS288" i="9" s="1"/>
  <c r="AF288" i="9"/>
  <c r="CW288" i="9" s="1"/>
  <c r="BO288" i="9"/>
  <c r="EF288" i="9" s="1"/>
  <c r="AH288" i="9"/>
  <c r="CY288" i="9" s="1"/>
  <c r="AM288" i="9"/>
  <c r="DD288" i="9" s="1"/>
  <c r="BG288" i="9"/>
  <c r="DX288" i="9" s="1"/>
  <c r="Z288" i="9"/>
  <c r="CQ288" i="9" s="1"/>
  <c r="BJ288" i="9"/>
  <c r="EA288" i="9" s="1"/>
  <c r="BK288" i="9"/>
  <c r="EB288" i="9" s="1"/>
  <c r="Y288" i="9"/>
  <c r="CP288" i="9" s="1"/>
  <c r="AP288" i="9"/>
  <c r="DG288" i="9" s="1"/>
  <c r="AL288" i="9"/>
  <c r="DC288" i="9" s="1"/>
  <c r="BR288" i="9"/>
  <c r="EI288" i="9" s="1"/>
  <c r="BA288" i="9"/>
  <c r="DR288" i="9" s="1"/>
  <c r="X288" i="9"/>
  <c r="CO288" i="9" s="1"/>
  <c r="AV288" i="9"/>
  <c r="DM288" i="9" s="1"/>
  <c r="AU288" i="9"/>
  <c r="DL288" i="9" s="1"/>
  <c r="BD288" i="9"/>
  <c r="DU288" i="9" s="1"/>
  <c r="AT288" i="9"/>
  <c r="DK288" i="9" s="1"/>
  <c r="AZ288" i="9"/>
  <c r="DQ288" i="9" s="1"/>
  <c r="AY288" i="9"/>
  <c r="DP288" i="9" s="1"/>
  <c r="N288" i="9"/>
  <c r="CE288" i="9" s="1"/>
  <c r="S288" i="9"/>
  <c r="CJ288" i="9" s="1"/>
  <c r="Q288" i="9"/>
  <c r="CH288" i="9" s="1"/>
  <c r="M288" i="9"/>
  <c r="CD288" i="9" s="1"/>
  <c r="T288" i="9"/>
  <c r="CK288" i="9" s="1"/>
  <c r="P288" i="9"/>
  <c r="CG288" i="9" s="1"/>
  <c r="R288" i="9"/>
  <c r="CI288" i="9" s="1"/>
  <c r="O288" i="9"/>
  <c r="CF288" i="9" s="1"/>
  <c r="L288" i="9"/>
  <c r="CC288" i="9" s="1"/>
  <c r="K288" i="9"/>
  <c r="CQ477" i="9"/>
  <c r="EH477" i="9"/>
  <c r="CP477" i="9"/>
  <c r="EF477" i="9"/>
  <c r="CO477" i="9"/>
  <c r="DX477" i="9"/>
  <c r="BE530" i="9"/>
  <c r="DV530" i="9" s="1"/>
  <c r="AC530" i="9"/>
  <c r="CT530" i="9" s="1"/>
  <c r="BO530" i="9"/>
  <c r="EF530" i="9" s="1"/>
  <c r="X530" i="9"/>
  <c r="CO530" i="9" s="1"/>
  <c r="BB530" i="9"/>
  <c r="DS530" i="9" s="1"/>
  <c r="BM530" i="9"/>
  <c r="ED530" i="9" s="1"/>
  <c r="BN530" i="9"/>
  <c r="EE530" i="9" s="1"/>
  <c r="AS530" i="9"/>
  <c r="DJ530" i="9" s="1"/>
  <c r="AN530" i="9"/>
  <c r="DE530" i="9" s="1"/>
  <c r="AY530" i="9"/>
  <c r="DP530" i="9" s="1"/>
  <c r="BC530" i="9"/>
  <c r="DT530" i="9" s="1"/>
  <c r="BK530" i="9"/>
  <c r="EB530" i="9" s="1"/>
  <c r="BD530" i="9"/>
  <c r="DU530" i="9" s="1"/>
  <c r="BP530" i="9"/>
  <c r="EG530" i="9" s="1"/>
  <c r="AD530" i="9"/>
  <c r="CU530" i="9" s="1"/>
  <c r="Z530" i="9"/>
  <c r="CQ530" i="9" s="1"/>
  <c r="AX530" i="9"/>
  <c r="DO530" i="9" s="1"/>
  <c r="AJ530" i="9"/>
  <c r="DA530" i="9" s="1"/>
  <c r="AE530" i="9"/>
  <c r="CV530" i="9" s="1"/>
  <c r="AP530" i="9"/>
  <c r="DG530" i="9" s="1"/>
  <c r="AU530" i="9"/>
  <c r="DL530" i="9" s="1"/>
  <c r="AG530" i="9"/>
  <c r="CX530" i="9" s="1"/>
  <c r="AV530" i="9"/>
  <c r="DM530" i="9" s="1"/>
  <c r="V530" i="9"/>
  <c r="CM530" i="9" s="1"/>
  <c r="BI530" i="9"/>
  <c r="DZ530" i="9" s="1"/>
  <c r="U530" i="9"/>
  <c r="CL530" i="9" s="1"/>
  <c r="AO530" i="9"/>
  <c r="DF530" i="9" s="1"/>
  <c r="AF530" i="9"/>
  <c r="CW530" i="9" s="1"/>
  <c r="BL530" i="9"/>
  <c r="EC530" i="9" s="1"/>
  <c r="BQ530" i="9"/>
  <c r="EH530" i="9" s="1"/>
  <c r="BG530" i="9"/>
  <c r="DX530" i="9" s="1"/>
  <c r="BR530" i="9"/>
  <c r="EI530" i="9" s="1"/>
  <c r="AM530" i="9"/>
  <c r="DD530" i="9" s="1"/>
  <c r="BH530" i="9"/>
  <c r="DY530" i="9" s="1"/>
  <c r="AL530" i="9"/>
  <c r="DC530" i="9" s="1"/>
  <c r="AQ530" i="9"/>
  <c r="DH530" i="9" s="1"/>
  <c r="AH530" i="9"/>
  <c r="CY530" i="9" s="1"/>
  <c r="AZ530" i="9"/>
  <c r="DQ530" i="9" s="1"/>
  <c r="AK530" i="9"/>
  <c r="DB530" i="9" s="1"/>
  <c r="Y530" i="9"/>
  <c r="CP530" i="9" s="1"/>
  <c r="AR530" i="9"/>
  <c r="DI530" i="9" s="1"/>
  <c r="BA530" i="9"/>
  <c r="DR530" i="9" s="1"/>
  <c r="AI530" i="9"/>
  <c r="CZ530" i="9" s="1"/>
  <c r="AT530" i="9"/>
  <c r="DK530" i="9" s="1"/>
  <c r="AB530" i="9"/>
  <c r="CS530" i="9" s="1"/>
  <c r="AA530" i="9"/>
  <c r="CR530" i="9" s="1"/>
  <c r="W530" i="9"/>
  <c r="CN530" i="9" s="1"/>
  <c r="BJ530" i="9"/>
  <c r="EA530" i="9" s="1"/>
  <c r="AW530" i="9"/>
  <c r="DN530" i="9" s="1"/>
  <c r="BF530" i="9"/>
  <c r="DW530" i="9" s="1"/>
  <c r="T530" i="9"/>
  <c r="CK530" i="9" s="1"/>
  <c r="L530" i="9"/>
  <c r="CC530" i="9" s="1"/>
  <c r="R530" i="9"/>
  <c r="CI530" i="9" s="1"/>
  <c r="P530" i="9"/>
  <c r="CG530" i="9" s="1"/>
  <c r="S530" i="9"/>
  <c r="CJ530" i="9" s="1"/>
  <c r="N530" i="9"/>
  <c r="CE530" i="9" s="1"/>
  <c r="M530" i="9"/>
  <c r="CD530" i="9" s="1"/>
  <c r="Q530" i="9"/>
  <c r="CH530" i="9" s="1"/>
  <c r="K530" i="9"/>
  <c r="O530" i="9"/>
  <c r="CF530" i="9" s="1"/>
  <c r="AF541" i="9"/>
  <c r="CW541" i="9" s="1"/>
  <c r="BB541" i="9"/>
  <c r="DS541" i="9" s="1"/>
  <c r="AK541" i="9"/>
  <c r="DB541" i="9" s="1"/>
  <c r="AY541" i="9"/>
  <c r="DP541" i="9" s="1"/>
  <c r="BG541" i="9"/>
  <c r="DX541" i="9" s="1"/>
  <c r="X541" i="9"/>
  <c r="CO541" i="9" s="1"/>
  <c r="AL541" i="9"/>
  <c r="DC541" i="9" s="1"/>
  <c r="AC541" i="9"/>
  <c r="CT541" i="9" s="1"/>
  <c r="AG541" i="9"/>
  <c r="CX541" i="9" s="1"/>
  <c r="AH541" i="9"/>
  <c r="CY541" i="9" s="1"/>
  <c r="BK541" i="9"/>
  <c r="EB541" i="9" s="1"/>
  <c r="AD541" i="9"/>
  <c r="CU541" i="9" s="1"/>
  <c r="U541" i="9"/>
  <c r="CL541" i="9" s="1"/>
  <c r="AX541" i="9"/>
  <c r="DO541" i="9" s="1"/>
  <c r="BM541" i="9"/>
  <c r="ED541" i="9" s="1"/>
  <c r="BC541" i="9"/>
  <c r="DT541" i="9" s="1"/>
  <c r="V541" i="9"/>
  <c r="CM541" i="9" s="1"/>
  <c r="BP541" i="9"/>
  <c r="EG541" i="9" s="1"/>
  <c r="BO541" i="9"/>
  <c r="EF541" i="9" s="1"/>
  <c r="BE541" i="9"/>
  <c r="DV541" i="9" s="1"/>
  <c r="BL541" i="9"/>
  <c r="EC541" i="9" s="1"/>
  <c r="AU541" i="9"/>
  <c r="DL541" i="9" s="1"/>
  <c r="BQ541" i="9"/>
  <c r="EH541" i="9" s="1"/>
  <c r="BH541" i="9"/>
  <c r="DY541" i="9" s="1"/>
  <c r="Z541" i="9"/>
  <c r="CQ541" i="9" s="1"/>
  <c r="AP541" i="9"/>
  <c r="DG541" i="9" s="1"/>
  <c r="BD541" i="9"/>
  <c r="DU541" i="9" s="1"/>
  <c r="AM541" i="9"/>
  <c r="DD541" i="9" s="1"/>
  <c r="BI541" i="9"/>
  <c r="DZ541" i="9" s="1"/>
  <c r="AZ541" i="9"/>
  <c r="DQ541" i="9" s="1"/>
  <c r="BN541" i="9"/>
  <c r="EE541" i="9" s="1"/>
  <c r="AV541" i="9"/>
  <c r="DM541" i="9" s="1"/>
  <c r="AE541" i="9"/>
  <c r="CV541" i="9" s="1"/>
  <c r="BA541" i="9"/>
  <c r="DR541" i="9" s="1"/>
  <c r="AR541" i="9"/>
  <c r="DI541" i="9" s="1"/>
  <c r="AQ541" i="9"/>
  <c r="DH541" i="9" s="1"/>
  <c r="AN541" i="9"/>
  <c r="DE541" i="9" s="1"/>
  <c r="BR541" i="9"/>
  <c r="EI541" i="9" s="1"/>
  <c r="AS541" i="9"/>
  <c r="DJ541" i="9" s="1"/>
  <c r="AJ541" i="9"/>
  <c r="DA541" i="9" s="1"/>
  <c r="Y541" i="9"/>
  <c r="CP541" i="9" s="1"/>
  <c r="AI541" i="9"/>
  <c r="CZ541" i="9" s="1"/>
  <c r="BF541" i="9"/>
  <c r="DW541" i="9" s="1"/>
  <c r="AB541" i="9"/>
  <c r="CS541" i="9" s="1"/>
  <c r="AT541" i="9"/>
  <c r="DK541" i="9" s="1"/>
  <c r="AW541" i="9"/>
  <c r="DN541" i="9" s="1"/>
  <c r="AA541" i="9"/>
  <c r="CR541" i="9" s="1"/>
  <c r="BJ541" i="9"/>
  <c r="EA541" i="9" s="1"/>
  <c r="W541" i="9"/>
  <c r="CN541" i="9" s="1"/>
  <c r="AO541" i="9"/>
  <c r="DF541" i="9" s="1"/>
  <c r="N541" i="9"/>
  <c r="CE541" i="9" s="1"/>
  <c r="Q541" i="9"/>
  <c r="CH541" i="9" s="1"/>
  <c r="R541" i="9"/>
  <c r="CI541" i="9" s="1"/>
  <c r="P541" i="9"/>
  <c r="CG541" i="9" s="1"/>
  <c r="O541" i="9"/>
  <c r="CF541" i="9" s="1"/>
  <c r="T541" i="9"/>
  <c r="CK541" i="9" s="1"/>
  <c r="M541" i="9"/>
  <c r="CD541" i="9" s="1"/>
  <c r="K541" i="9"/>
  <c r="L541" i="9"/>
  <c r="CC541" i="9" s="1"/>
  <c r="S541" i="9"/>
  <c r="CJ541" i="9" s="1"/>
  <c r="DA309" i="9"/>
  <c r="AJ329" i="9"/>
  <c r="AF646" i="11" s="1"/>
  <c r="CQ407" i="9"/>
  <c r="Z425" i="9"/>
  <c r="V650" i="11" s="1"/>
  <c r="CV455" i="9"/>
  <c r="AE473" i="9"/>
  <c r="AA652" i="11" s="1"/>
  <c r="BQ688" i="9"/>
  <c r="EH688" i="9" s="1"/>
  <c r="BK688" i="9"/>
  <c r="EB688" i="9" s="1"/>
  <c r="AB688" i="9"/>
  <c r="CS688" i="9" s="1"/>
  <c r="BF688" i="9"/>
  <c r="DW688" i="9" s="1"/>
  <c r="BI688" i="9"/>
  <c r="DZ688" i="9" s="1"/>
  <c r="AO688" i="9"/>
  <c r="DF688" i="9" s="1"/>
  <c r="AU688" i="9"/>
  <c r="DL688" i="9" s="1"/>
  <c r="AA688" i="9"/>
  <c r="CR688" i="9" s="1"/>
  <c r="BA688" i="9"/>
  <c r="DR688" i="9" s="1"/>
  <c r="W688" i="9"/>
  <c r="CN688" i="9" s="1"/>
  <c r="X688" i="9"/>
  <c r="CO688" i="9" s="1"/>
  <c r="BM688" i="9"/>
  <c r="ED688" i="9" s="1"/>
  <c r="BL688" i="9"/>
  <c r="EC688" i="9" s="1"/>
  <c r="AS688" i="9"/>
  <c r="DJ688" i="9" s="1"/>
  <c r="BC688" i="9"/>
  <c r="DT688" i="9" s="1"/>
  <c r="AP688" i="9"/>
  <c r="DG688" i="9" s="1"/>
  <c r="BD688" i="9"/>
  <c r="DU688" i="9" s="1"/>
  <c r="BH688" i="9"/>
  <c r="DY688" i="9" s="1"/>
  <c r="AL688" i="9"/>
  <c r="DC688" i="9" s="1"/>
  <c r="AN688" i="9"/>
  <c r="DE688" i="9" s="1"/>
  <c r="BR688" i="9"/>
  <c r="EI688" i="9" s="1"/>
  <c r="BO688" i="9"/>
  <c r="EF688" i="9" s="1"/>
  <c r="AD688" i="9"/>
  <c r="CU688" i="9" s="1"/>
  <c r="AI688" i="9"/>
  <c r="CZ688" i="9" s="1"/>
  <c r="BJ688" i="9"/>
  <c r="EA688" i="9" s="1"/>
  <c r="BG688" i="9"/>
  <c r="DX688" i="9" s="1"/>
  <c r="V688" i="9"/>
  <c r="CM688" i="9" s="1"/>
  <c r="AH688" i="9"/>
  <c r="CY688" i="9" s="1"/>
  <c r="AT688" i="9"/>
  <c r="DK688" i="9" s="1"/>
  <c r="AQ688" i="9"/>
  <c r="DH688" i="9" s="1"/>
  <c r="AX688" i="9"/>
  <c r="DO688" i="9" s="1"/>
  <c r="BN688" i="9"/>
  <c r="EE688" i="9" s="1"/>
  <c r="AY688" i="9"/>
  <c r="DP688" i="9" s="1"/>
  <c r="AJ688" i="9"/>
  <c r="DA688" i="9" s="1"/>
  <c r="BE688" i="9"/>
  <c r="DV688" i="9" s="1"/>
  <c r="AZ688" i="9"/>
  <c r="DQ688" i="9" s="1"/>
  <c r="AM688" i="9"/>
  <c r="DD688" i="9" s="1"/>
  <c r="Z688" i="9"/>
  <c r="CQ688" i="9" s="1"/>
  <c r="AR688" i="9"/>
  <c r="DI688" i="9" s="1"/>
  <c r="U688" i="9"/>
  <c r="CL688" i="9" s="1"/>
  <c r="AV688" i="9"/>
  <c r="DM688" i="9" s="1"/>
  <c r="AW688" i="9"/>
  <c r="DN688" i="9" s="1"/>
  <c r="AF688" i="9"/>
  <c r="CW688" i="9" s="1"/>
  <c r="AG688" i="9"/>
  <c r="CX688" i="9" s="1"/>
  <c r="Y688" i="9"/>
  <c r="CP688" i="9" s="1"/>
  <c r="AK688" i="9"/>
  <c r="DB688" i="9" s="1"/>
  <c r="AC688" i="9"/>
  <c r="CT688" i="9" s="1"/>
  <c r="BB688" i="9"/>
  <c r="DS688" i="9" s="1"/>
  <c r="BP688" i="9"/>
  <c r="EG688" i="9" s="1"/>
  <c r="AE688" i="9"/>
  <c r="CV688" i="9" s="1"/>
  <c r="S688" i="9"/>
  <c r="CJ688" i="9" s="1"/>
  <c r="N688" i="9"/>
  <c r="CE688" i="9" s="1"/>
  <c r="L688" i="9"/>
  <c r="CC688" i="9" s="1"/>
  <c r="O688" i="9"/>
  <c r="CF688" i="9" s="1"/>
  <c r="T688" i="9"/>
  <c r="CK688" i="9" s="1"/>
  <c r="R688" i="9"/>
  <c r="CI688" i="9" s="1"/>
  <c r="M688" i="9"/>
  <c r="CD688" i="9" s="1"/>
  <c r="P688" i="9"/>
  <c r="CG688" i="9" s="1"/>
  <c r="Q688" i="9"/>
  <c r="CH688" i="9" s="1"/>
  <c r="DU477" i="9"/>
  <c r="DE477" i="9"/>
  <c r="AM539" i="9"/>
  <c r="DD539" i="9" s="1"/>
  <c r="AE539" i="9"/>
  <c r="CV539" i="9" s="1"/>
  <c r="BE539" i="9"/>
  <c r="DV539" i="9" s="1"/>
  <c r="AU539" i="9"/>
  <c r="DL539" i="9" s="1"/>
  <c r="AC539" i="9"/>
  <c r="CT539" i="9" s="1"/>
  <c r="AL539" i="9"/>
  <c r="DC539" i="9" s="1"/>
  <c r="AN539" i="9"/>
  <c r="DE539" i="9" s="1"/>
  <c r="Y539" i="9"/>
  <c r="CP539" i="9" s="1"/>
  <c r="U539" i="9"/>
  <c r="CL539" i="9" s="1"/>
  <c r="AD539" i="9"/>
  <c r="CU539" i="9" s="1"/>
  <c r="BR539" i="9"/>
  <c r="EI539" i="9" s="1"/>
  <c r="BM539" i="9"/>
  <c r="ED539" i="9" s="1"/>
  <c r="AX539" i="9"/>
  <c r="DO539" i="9" s="1"/>
  <c r="AG539" i="9"/>
  <c r="CX539" i="9" s="1"/>
  <c r="BO539" i="9"/>
  <c r="EF539" i="9" s="1"/>
  <c r="AY539" i="9"/>
  <c r="DP539" i="9" s="1"/>
  <c r="AZ539" i="9"/>
  <c r="DQ539" i="9" s="1"/>
  <c r="BG539" i="9"/>
  <c r="DX539" i="9" s="1"/>
  <c r="BC539" i="9"/>
  <c r="DT539" i="9" s="1"/>
  <c r="AQ539" i="9"/>
  <c r="DH539" i="9" s="1"/>
  <c r="BK539" i="9"/>
  <c r="EB539" i="9" s="1"/>
  <c r="AJ539" i="9"/>
  <c r="DA539" i="9" s="1"/>
  <c r="Z539" i="9"/>
  <c r="CQ539" i="9" s="1"/>
  <c r="AH539" i="9"/>
  <c r="CY539" i="9" s="1"/>
  <c r="V539" i="9"/>
  <c r="CM539" i="9" s="1"/>
  <c r="BB539" i="9"/>
  <c r="DS539" i="9" s="1"/>
  <c r="BN539" i="9"/>
  <c r="EE539" i="9" s="1"/>
  <c r="BL539" i="9"/>
  <c r="EC539" i="9" s="1"/>
  <c r="BP539" i="9"/>
  <c r="EG539" i="9" s="1"/>
  <c r="BH539" i="9"/>
  <c r="DY539" i="9" s="1"/>
  <c r="BI539" i="9"/>
  <c r="DZ539" i="9" s="1"/>
  <c r="AS539" i="9"/>
  <c r="DJ539" i="9" s="1"/>
  <c r="AF539" i="9"/>
  <c r="CW539" i="9" s="1"/>
  <c r="AR539" i="9"/>
  <c r="DI539" i="9" s="1"/>
  <c r="AK539" i="9"/>
  <c r="DB539" i="9" s="1"/>
  <c r="AV539" i="9"/>
  <c r="DM539" i="9" s="1"/>
  <c r="BQ539" i="9"/>
  <c r="EH539" i="9" s="1"/>
  <c r="X539" i="9"/>
  <c r="CO539" i="9" s="1"/>
  <c r="BD539" i="9"/>
  <c r="DU539" i="9" s="1"/>
  <c r="BA539" i="9"/>
  <c r="DR539" i="9" s="1"/>
  <c r="AP539" i="9"/>
  <c r="DG539" i="9" s="1"/>
  <c r="AI539" i="9"/>
  <c r="CZ539" i="9" s="1"/>
  <c r="W539" i="9"/>
  <c r="CN539" i="9" s="1"/>
  <c r="AT539" i="9"/>
  <c r="DK539" i="9" s="1"/>
  <c r="AW539" i="9"/>
  <c r="DN539" i="9" s="1"/>
  <c r="AB539" i="9"/>
  <c r="CS539" i="9" s="1"/>
  <c r="BJ539" i="9"/>
  <c r="EA539" i="9" s="1"/>
  <c r="AA539" i="9"/>
  <c r="CR539" i="9" s="1"/>
  <c r="BF539" i="9"/>
  <c r="DW539" i="9" s="1"/>
  <c r="AO539" i="9"/>
  <c r="DF539" i="9" s="1"/>
  <c r="Q539" i="9"/>
  <c r="CH539" i="9" s="1"/>
  <c r="S539" i="9"/>
  <c r="CJ539" i="9" s="1"/>
  <c r="N539" i="9"/>
  <c r="CE539" i="9" s="1"/>
  <c r="P539" i="9"/>
  <c r="CG539" i="9" s="1"/>
  <c r="M539" i="9"/>
  <c r="CD539" i="9" s="1"/>
  <c r="R539" i="9"/>
  <c r="CI539" i="9" s="1"/>
  <c r="T539" i="9"/>
  <c r="CK539" i="9" s="1"/>
  <c r="L539" i="9"/>
  <c r="CC539" i="9" s="1"/>
  <c r="O539" i="9"/>
  <c r="CF539" i="9" s="1"/>
  <c r="K539" i="9"/>
  <c r="BT276" i="9"/>
  <c r="L155" i="6" s="1"/>
  <c r="BT311" i="9"/>
  <c r="L186" i="6" s="1"/>
  <c r="BU582" i="9"/>
  <c r="M435" i="6" s="1"/>
  <c r="BU323" i="9"/>
  <c r="M198" i="6" s="1"/>
  <c r="BU325" i="9"/>
  <c r="M200" i="6" s="1"/>
  <c r="BU347" i="9"/>
  <c r="M220" i="6" s="1"/>
  <c r="BU344" i="9"/>
  <c r="M217" i="6" s="1"/>
  <c r="BU515" i="9"/>
  <c r="M374" i="6" s="1"/>
  <c r="BU326" i="9"/>
  <c r="M201" i="6" s="1"/>
  <c r="BU631" i="9"/>
  <c r="M480" i="6" s="1"/>
  <c r="BU462" i="9"/>
  <c r="M325" i="6" s="1"/>
  <c r="N425" i="9"/>
  <c r="J650" i="11" s="1"/>
  <c r="BU469" i="9"/>
  <c r="M332" i="6" s="1"/>
  <c r="BT463" i="9"/>
  <c r="L326" i="6" s="1"/>
  <c r="Q425" i="9"/>
  <c r="M650" i="11" s="1"/>
  <c r="DU309" i="9"/>
  <c r="BD329" i="9"/>
  <c r="AZ646" i="11" s="1"/>
  <c r="DT309" i="9"/>
  <c r="BC329" i="9"/>
  <c r="AY646" i="11" s="1"/>
  <c r="DZ309" i="9"/>
  <c r="BI329" i="9"/>
  <c r="BE646" i="11" s="1"/>
  <c r="AH329" i="9"/>
  <c r="AD646" i="11" s="1"/>
  <c r="CY309" i="9"/>
  <c r="BR329" i="9"/>
  <c r="BN646" i="11" s="1"/>
  <c r="EI309" i="9"/>
  <c r="DY309" i="9"/>
  <c r="BH329" i="9"/>
  <c r="BD646" i="11" s="1"/>
  <c r="DN309" i="9"/>
  <c r="AW329" i="9"/>
  <c r="AS646" i="11" s="1"/>
  <c r="CY407" i="9"/>
  <c r="AH425" i="9"/>
  <c r="AD650" i="11" s="1"/>
  <c r="DT407" i="9"/>
  <c r="BC425" i="9"/>
  <c r="AY650" i="11" s="1"/>
  <c r="DD407" i="9"/>
  <c r="AM425" i="9"/>
  <c r="AI650" i="11" s="1"/>
  <c r="DA407" i="9"/>
  <c r="AJ425" i="9"/>
  <c r="AF650" i="11" s="1"/>
  <c r="CM407" i="9"/>
  <c r="V425" i="9"/>
  <c r="R650" i="11" s="1"/>
  <c r="EF407" i="9"/>
  <c r="BO425" i="9"/>
  <c r="BK650" i="11" s="1"/>
  <c r="BF593" i="9"/>
  <c r="BB657" i="11" s="1"/>
  <c r="DV455" i="9"/>
  <c r="BE473" i="9"/>
  <c r="BA652" i="11" s="1"/>
  <c r="EC455" i="9"/>
  <c r="BL473" i="9"/>
  <c r="BH652" i="11" s="1"/>
  <c r="CZ455" i="9"/>
  <c r="AI473" i="9"/>
  <c r="AE652" i="11" s="1"/>
  <c r="DP455" i="9"/>
  <c r="AY473" i="9"/>
  <c r="AU652" i="11" s="1"/>
  <c r="DH455" i="9"/>
  <c r="AQ473" i="9"/>
  <c r="AM652" i="11" s="1"/>
  <c r="EF455" i="9"/>
  <c r="BO473" i="9"/>
  <c r="BK652" i="11" s="1"/>
  <c r="DR577" i="9"/>
  <c r="BA593" i="9"/>
  <c r="AW657" i="11" s="1"/>
  <c r="DE577" i="9"/>
  <c r="AN593" i="9"/>
  <c r="AJ657" i="11" s="1"/>
  <c r="U353" i="9"/>
  <c r="Q647" i="11" s="1"/>
  <c r="BO266" i="9"/>
  <c r="EF266" i="9" s="1"/>
  <c r="AN266" i="9"/>
  <c r="DE266" i="9" s="1"/>
  <c r="AF266" i="9"/>
  <c r="CW266" i="9" s="1"/>
  <c r="V266" i="9"/>
  <c r="CM266" i="9" s="1"/>
  <c r="AG266" i="9"/>
  <c r="CX266" i="9" s="1"/>
  <c r="W266" i="9"/>
  <c r="CN266" i="9" s="1"/>
  <c r="BN266" i="9"/>
  <c r="EE266" i="9" s="1"/>
  <c r="AL266" i="9"/>
  <c r="DC266" i="9" s="1"/>
  <c r="X266" i="9"/>
  <c r="CO266" i="9" s="1"/>
  <c r="AB266" i="9"/>
  <c r="CS266" i="9" s="1"/>
  <c r="AK266" i="9"/>
  <c r="DB266" i="9" s="1"/>
  <c r="Y266" i="9"/>
  <c r="CP266" i="9" s="1"/>
  <c r="AA266" i="9"/>
  <c r="CR266" i="9" s="1"/>
  <c r="AC266" i="9"/>
  <c r="CT266" i="9" s="1"/>
  <c r="BF266" i="9"/>
  <c r="DW266" i="9" s="1"/>
  <c r="AD266" i="9"/>
  <c r="CU266" i="9" s="1"/>
  <c r="AW266" i="9"/>
  <c r="DN266" i="9" s="1"/>
  <c r="AE266" i="9"/>
  <c r="CV266" i="9" s="1"/>
  <c r="BM266" i="9"/>
  <c r="ED266" i="9" s="1"/>
  <c r="AJ266" i="9"/>
  <c r="DA266" i="9" s="1"/>
  <c r="AR266" i="9"/>
  <c r="DI266" i="9" s="1"/>
  <c r="AP266" i="9"/>
  <c r="DG266" i="9" s="1"/>
  <c r="AY266" i="9"/>
  <c r="DP266" i="9" s="1"/>
  <c r="BG266" i="9"/>
  <c r="DX266" i="9" s="1"/>
  <c r="AX266" i="9"/>
  <c r="DO266" i="9" s="1"/>
  <c r="Z266" i="9"/>
  <c r="CQ266" i="9" s="1"/>
  <c r="BP266" i="9"/>
  <c r="EG266" i="9" s="1"/>
  <c r="BQ266" i="9"/>
  <c r="EH266" i="9" s="1"/>
  <c r="AH266" i="9"/>
  <c r="CY266" i="9" s="1"/>
  <c r="AZ266" i="9"/>
  <c r="DQ266" i="9" s="1"/>
  <c r="AM266" i="9"/>
  <c r="DD266" i="9" s="1"/>
  <c r="BE266" i="9"/>
  <c r="DV266" i="9" s="1"/>
  <c r="BI266" i="9"/>
  <c r="DZ266" i="9" s="1"/>
  <c r="BK266" i="9"/>
  <c r="EB266" i="9" s="1"/>
  <c r="AQ266" i="9"/>
  <c r="DH266" i="9" s="1"/>
  <c r="AU266" i="9"/>
  <c r="DL266" i="9" s="1"/>
  <c r="AI266" i="9"/>
  <c r="CZ266" i="9" s="1"/>
  <c r="AT266" i="9"/>
  <c r="DK266" i="9" s="1"/>
  <c r="BB266" i="9"/>
  <c r="DS266" i="9" s="1"/>
  <c r="AS266" i="9"/>
  <c r="DJ266" i="9" s="1"/>
  <c r="BH266" i="9"/>
  <c r="DY266" i="9" s="1"/>
  <c r="U266" i="9"/>
  <c r="CL266" i="9" s="1"/>
  <c r="BL266" i="9"/>
  <c r="EC266" i="9" s="1"/>
  <c r="BR266" i="9"/>
  <c r="EI266" i="9" s="1"/>
  <c r="BJ266" i="9"/>
  <c r="EA266" i="9" s="1"/>
  <c r="AV266" i="9"/>
  <c r="DM266" i="9" s="1"/>
  <c r="BA266" i="9"/>
  <c r="DR266" i="9" s="1"/>
  <c r="BC266" i="9"/>
  <c r="DT266" i="9" s="1"/>
  <c r="AO266" i="9"/>
  <c r="DF266" i="9" s="1"/>
  <c r="BD266" i="9"/>
  <c r="DU266" i="9" s="1"/>
  <c r="S266" i="9"/>
  <c r="CJ266" i="9" s="1"/>
  <c r="Q266" i="9"/>
  <c r="CH266" i="9" s="1"/>
  <c r="O266" i="9"/>
  <c r="CF266" i="9" s="1"/>
  <c r="R266" i="9"/>
  <c r="CI266" i="9" s="1"/>
  <c r="M266" i="9"/>
  <c r="CD266" i="9" s="1"/>
  <c r="T266" i="9"/>
  <c r="CK266" i="9" s="1"/>
  <c r="P266" i="9"/>
  <c r="CG266" i="9" s="1"/>
  <c r="N266" i="9"/>
  <c r="CE266" i="9" s="1"/>
  <c r="K266" i="9"/>
  <c r="L266" i="9"/>
  <c r="CC266" i="9" s="1"/>
  <c r="I665" i="9"/>
  <c r="AD645" i="9"/>
  <c r="AC645" i="9"/>
  <c r="U645" i="9"/>
  <c r="BO645" i="9"/>
  <c r="BG645" i="9"/>
  <c r="AY645" i="9"/>
  <c r="AH645" i="9"/>
  <c r="AG645" i="9"/>
  <c r="BI645" i="9"/>
  <c r="BQ645" i="9"/>
  <c r="AI645" i="9"/>
  <c r="AO645" i="9"/>
  <c r="X645" i="9"/>
  <c r="AZ645" i="9"/>
  <c r="BH645" i="9"/>
  <c r="AP645" i="9"/>
  <c r="Z645" i="9"/>
  <c r="AJ645" i="9"/>
  <c r="BP645" i="9"/>
  <c r="AL645" i="9"/>
  <c r="BC645" i="9"/>
  <c r="AE645" i="9"/>
  <c r="BR645" i="9"/>
  <c r="BB645" i="9"/>
  <c r="Y645" i="9"/>
  <c r="BL645" i="9"/>
  <c r="AK645" i="9"/>
  <c r="AR645" i="9"/>
  <c r="BF645" i="9"/>
  <c r="AT645" i="9"/>
  <c r="AV645" i="9"/>
  <c r="V645" i="9"/>
  <c r="AX645" i="9"/>
  <c r="AB645" i="9"/>
  <c r="AU645" i="9"/>
  <c r="AS645" i="9"/>
  <c r="BN645" i="9"/>
  <c r="BM645" i="9"/>
  <c r="AF645" i="9"/>
  <c r="AW645" i="9"/>
  <c r="BD645" i="9"/>
  <c r="BK645" i="9"/>
  <c r="BA645" i="9"/>
  <c r="AA645" i="9"/>
  <c r="BJ645" i="9"/>
  <c r="AM645" i="9"/>
  <c r="BE645" i="9"/>
  <c r="AN645" i="9"/>
  <c r="W645" i="9"/>
  <c r="AQ645" i="9"/>
  <c r="Q645" i="9"/>
  <c r="P645" i="9"/>
  <c r="T645" i="9"/>
  <c r="K645" i="9"/>
  <c r="S645" i="9"/>
  <c r="O645" i="9"/>
  <c r="N645" i="9"/>
  <c r="M645" i="9"/>
  <c r="R645" i="9"/>
  <c r="L645" i="9"/>
  <c r="U593" i="9"/>
  <c r="Q657" i="11" s="1"/>
  <c r="BA480" i="9"/>
  <c r="DR480" i="9" s="1"/>
  <c r="BP480" i="9"/>
  <c r="EG480" i="9" s="1"/>
  <c r="BL480" i="9"/>
  <c r="EC480" i="9" s="1"/>
  <c r="AG480" i="9"/>
  <c r="CX480" i="9" s="1"/>
  <c r="AE480" i="9"/>
  <c r="CV480" i="9" s="1"/>
  <c r="AM480" i="9"/>
  <c r="DD480" i="9" s="1"/>
  <c r="AU480" i="9"/>
  <c r="DL480" i="9" s="1"/>
  <c r="AP480" i="9"/>
  <c r="DG480" i="9" s="1"/>
  <c r="AY480" i="9"/>
  <c r="DP480" i="9" s="1"/>
  <c r="AV480" i="9"/>
  <c r="DM480" i="9" s="1"/>
  <c r="AS480" i="9"/>
  <c r="DJ480" i="9" s="1"/>
  <c r="BG480" i="9"/>
  <c r="DX480" i="9" s="1"/>
  <c r="AO480" i="9"/>
  <c r="DF480" i="9" s="1"/>
  <c r="BM480" i="9"/>
  <c r="ED480" i="9" s="1"/>
  <c r="AD480" i="9"/>
  <c r="CU480" i="9" s="1"/>
  <c r="AC480" i="9"/>
  <c r="CT480" i="9" s="1"/>
  <c r="BB480" i="9"/>
  <c r="DS480" i="9" s="1"/>
  <c r="BF480" i="9"/>
  <c r="DW480" i="9" s="1"/>
  <c r="AX480" i="9"/>
  <c r="DO480" i="9" s="1"/>
  <c r="BQ480" i="9"/>
  <c r="EH480" i="9" s="1"/>
  <c r="BK480" i="9"/>
  <c r="EB480" i="9" s="1"/>
  <c r="AB480" i="9"/>
  <c r="CS480" i="9" s="1"/>
  <c r="W480" i="9"/>
  <c r="CN480" i="9" s="1"/>
  <c r="BH480" i="9"/>
  <c r="DY480" i="9" s="1"/>
  <c r="X480" i="9"/>
  <c r="CO480" i="9" s="1"/>
  <c r="Y480" i="9"/>
  <c r="CP480" i="9" s="1"/>
  <c r="BN480" i="9"/>
  <c r="EE480" i="9" s="1"/>
  <c r="BD480" i="9"/>
  <c r="DU480" i="9" s="1"/>
  <c r="AQ480" i="9"/>
  <c r="DH480" i="9" s="1"/>
  <c r="BR480" i="9"/>
  <c r="EI480" i="9" s="1"/>
  <c r="U480" i="9"/>
  <c r="CL480" i="9" s="1"/>
  <c r="AW480" i="9"/>
  <c r="DN480" i="9" s="1"/>
  <c r="BE480" i="9"/>
  <c r="DV480" i="9" s="1"/>
  <c r="AL480" i="9"/>
  <c r="DC480" i="9" s="1"/>
  <c r="AK480" i="9"/>
  <c r="DB480" i="9" s="1"/>
  <c r="AH480" i="9"/>
  <c r="CY480" i="9" s="1"/>
  <c r="AZ480" i="9"/>
  <c r="DQ480" i="9" s="1"/>
  <c r="AI480" i="9"/>
  <c r="CZ480" i="9" s="1"/>
  <c r="BI480" i="9"/>
  <c r="DZ480" i="9" s="1"/>
  <c r="AN480" i="9"/>
  <c r="DE480" i="9" s="1"/>
  <c r="Z480" i="9"/>
  <c r="CQ480" i="9" s="1"/>
  <c r="V480" i="9"/>
  <c r="CM480" i="9" s="1"/>
  <c r="AA480" i="9"/>
  <c r="CR480" i="9" s="1"/>
  <c r="BJ480" i="9"/>
  <c r="EA480" i="9" s="1"/>
  <c r="AT480" i="9"/>
  <c r="DK480" i="9" s="1"/>
  <c r="AF480" i="9"/>
  <c r="CW480" i="9" s="1"/>
  <c r="BO480" i="9"/>
  <c r="EF480" i="9" s="1"/>
  <c r="BC480" i="9"/>
  <c r="DT480" i="9" s="1"/>
  <c r="AJ480" i="9"/>
  <c r="DA480" i="9" s="1"/>
  <c r="AR480" i="9"/>
  <c r="DI480" i="9" s="1"/>
  <c r="P480" i="9"/>
  <c r="O480" i="9"/>
  <c r="Q480" i="9"/>
  <c r="CH480" i="9" s="1"/>
  <c r="T480" i="9"/>
  <c r="CK480" i="9" s="1"/>
  <c r="L480" i="9"/>
  <c r="S480" i="9"/>
  <c r="R480" i="9"/>
  <c r="K480" i="9"/>
  <c r="M480" i="9"/>
  <c r="N480" i="9"/>
  <c r="BK447" i="9"/>
  <c r="EB447" i="9" s="1"/>
  <c r="BB447" i="9"/>
  <c r="DS447" i="9" s="1"/>
  <c r="AS447" i="9"/>
  <c r="DJ447" i="9" s="1"/>
  <c r="AI447" i="9"/>
  <c r="CZ447" i="9" s="1"/>
  <c r="BP447" i="9"/>
  <c r="EG447" i="9" s="1"/>
  <c r="BH447" i="9"/>
  <c r="DY447" i="9" s="1"/>
  <c r="BC447" i="9"/>
  <c r="DT447" i="9" s="1"/>
  <c r="AT447" i="9"/>
  <c r="DK447" i="9" s="1"/>
  <c r="AK447" i="9"/>
  <c r="DB447" i="9" s="1"/>
  <c r="AA447" i="9"/>
  <c r="CR447" i="9" s="1"/>
  <c r="AW447" i="9"/>
  <c r="DN447" i="9" s="1"/>
  <c r="AO447" i="9"/>
  <c r="DF447" i="9" s="1"/>
  <c r="BL447" i="9"/>
  <c r="EC447" i="9" s="1"/>
  <c r="AU447" i="9"/>
  <c r="DL447" i="9" s="1"/>
  <c r="AL447" i="9"/>
  <c r="DC447" i="9" s="1"/>
  <c r="AC447" i="9"/>
  <c r="CT447" i="9" s="1"/>
  <c r="BE447" i="9"/>
  <c r="DV447" i="9" s="1"/>
  <c r="Z447" i="9"/>
  <c r="CQ447" i="9" s="1"/>
  <c r="BF447" i="9"/>
  <c r="DW447" i="9" s="1"/>
  <c r="BD447" i="9"/>
  <c r="DU447" i="9" s="1"/>
  <c r="AM447" i="9"/>
  <c r="DD447" i="9" s="1"/>
  <c r="AD447" i="9"/>
  <c r="CU447" i="9" s="1"/>
  <c r="U447" i="9"/>
  <c r="CL447" i="9" s="1"/>
  <c r="AH447" i="9"/>
  <c r="CY447" i="9" s="1"/>
  <c r="BN447" i="9"/>
  <c r="EE447" i="9" s="1"/>
  <c r="AJ447" i="9"/>
  <c r="DA447" i="9" s="1"/>
  <c r="AV447" i="9"/>
  <c r="DM447" i="9" s="1"/>
  <c r="AE447" i="9"/>
  <c r="CV447" i="9" s="1"/>
  <c r="V447" i="9"/>
  <c r="CM447" i="9" s="1"/>
  <c r="BO447" i="9"/>
  <c r="EF447" i="9" s="1"/>
  <c r="AZ447" i="9"/>
  <c r="DQ447" i="9" s="1"/>
  <c r="AR447" i="9"/>
  <c r="DI447" i="9" s="1"/>
  <c r="AN447" i="9"/>
  <c r="DE447" i="9" s="1"/>
  <c r="W447" i="9"/>
  <c r="CN447" i="9" s="1"/>
  <c r="BQ447" i="9"/>
  <c r="EH447" i="9" s="1"/>
  <c r="BG447" i="9"/>
  <c r="DX447" i="9" s="1"/>
  <c r="AG447" i="9"/>
  <c r="CX447" i="9" s="1"/>
  <c r="Y447" i="9"/>
  <c r="CP447" i="9" s="1"/>
  <c r="AF447" i="9"/>
  <c r="CW447" i="9" s="1"/>
  <c r="BR447" i="9"/>
  <c r="EI447" i="9" s="1"/>
  <c r="BI447" i="9"/>
  <c r="DZ447" i="9" s="1"/>
  <c r="AY447" i="9"/>
  <c r="DP447" i="9" s="1"/>
  <c r="AX447" i="9"/>
  <c r="DO447" i="9" s="1"/>
  <c r="BM447" i="9"/>
  <c r="ED447" i="9" s="1"/>
  <c r="X447" i="9"/>
  <c r="CO447" i="9" s="1"/>
  <c r="BJ447" i="9"/>
  <c r="EA447" i="9" s="1"/>
  <c r="BA447" i="9"/>
  <c r="DR447" i="9" s="1"/>
  <c r="AQ447" i="9"/>
  <c r="DH447" i="9" s="1"/>
  <c r="AB447" i="9"/>
  <c r="CS447" i="9" s="1"/>
  <c r="AP447" i="9"/>
  <c r="DG447" i="9" s="1"/>
  <c r="Q447" i="9"/>
  <c r="CH447" i="9" s="1"/>
  <c r="R447" i="9"/>
  <c r="CI447" i="9" s="1"/>
  <c r="T447" i="9"/>
  <c r="CK447" i="9" s="1"/>
  <c r="K447" i="9"/>
  <c r="N447" i="9"/>
  <c r="CE447" i="9" s="1"/>
  <c r="S447" i="9"/>
  <c r="CJ447" i="9" s="1"/>
  <c r="M447" i="9"/>
  <c r="CD447" i="9" s="1"/>
  <c r="L447" i="9"/>
  <c r="CC447" i="9" s="1"/>
  <c r="P447" i="9"/>
  <c r="CG447" i="9" s="1"/>
  <c r="O447" i="9"/>
  <c r="CF447" i="9" s="1"/>
  <c r="BQ448" i="9"/>
  <c r="EH448" i="9" s="1"/>
  <c r="BH448" i="9"/>
  <c r="DY448" i="9" s="1"/>
  <c r="AQ448" i="9"/>
  <c r="DH448" i="9" s="1"/>
  <c r="Z448" i="9"/>
  <c r="CQ448" i="9" s="1"/>
  <c r="AM448" i="9"/>
  <c r="DD448" i="9" s="1"/>
  <c r="AD448" i="9"/>
  <c r="CU448" i="9" s="1"/>
  <c r="AO448" i="9"/>
  <c r="DF448" i="9" s="1"/>
  <c r="BI448" i="9"/>
  <c r="DZ448" i="9" s="1"/>
  <c r="AZ448" i="9"/>
  <c r="DQ448" i="9" s="1"/>
  <c r="AI448" i="9"/>
  <c r="CZ448" i="9" s="1"/>
  <c r="BL448" i="9"/>
  <c r="EC448" i="9" s="1"/>
  <c r="BE448" i="9"/>
  <c r="DV448" i="9" s="1"/>
  <c r="BR448" i="9"/>
  <c r="EI448" i="9" s="1"/>
  <c r="V448" i="9"/>
  <c r="CM448" i="9" s="1"/>
  <c r="BA448" i="9"/>
  <c r="DR448" i="9" s="1"/>
  <c r="AR448" i="9"/>
  <c r="DI448" i="9" s="1"/>
  <c r="AA448" i="9"/>
  <c r="CR448" i="9" s="1"/>
  <c r="BD448" i="9"/>
  <c r="DU448" i="9" s="1"/>
  <c r="AL448" i="9"/>
  <c r="DC448" i="9" s="1"/>
  <c r="AU448" i="9"/>
  <c r="DL448" i="9" s="1"/>
  <c r="AS448" i="9"/>
  <c r="DJ448" i="9" s="1"/>
  <c r="AJ448" i="9"/>
  <c r="DA448" i="9" s="1"/>
  <c r="BN448" i="9"/>
  <c r="EE448" i="9" s="1"/>
  <c r="AV448" i="9"/>
  <c r="DM448" i="9" s="1"/>
  <c r="BC448" i="9"/>
  <c r="DT448" i="9" s="1"/>
  <c r="Y448" i="9"/>
  <c r="CP448" i="9" s="1"/>
  <c r="AK448" i="9"/>
  <c r="DB448" i="9" s="1"/>
  <c r="AB448" i="9"/>
  <c r="CS448" i="9" s="1"/>
  <c r="BF448" i="9"/>
  <c r="DW448" i="9" s="1"/>
  <c r="AN448" i="9"/>
  <c r="DE448" i="9" s="1"/>
  <c r="AG448" i="9"/>
  <c r="CX448" i="9" s="1"/>
  <c r="BM448" i="9"/>
  <c r="ED448" i="9" s="1"/>
  <c r="AC448" i="9"/>
  <c r="CT448" i="9" s="1"/>
  <c r="BO448" i="9"/>
  <c r="EF448" i="9" s="1"/>
  <c r="AX448" i="9"/>
  <c r="DO448" i="9" s="1"/>
  <c r="AF448" i="9"/>
  <c r="CW448" i="9" s="1"/>
  <c r="BB448" i="9"/>
  <c r="DS448" i="9" s="1"/>
  <c r="AT448" i="9"/>
  <c r="DK448" i="9" s="1"/>
  <c r="U448" i="9"/>
  <c r="CL448" i="9" s="1"/>
  <c r="BG448" i="9"/>
  <c r="DX448" i="9" s="1"/>
  <c r="AP448" i="9"/>
  <c r="DG448" i="9" s="1"/>
  <c r="X448" i="9"/>
  <c r="CO448" i="9" s="1"/>
  <c r="AE448" i="9"/>
  <c r="CV448" i="9" s="1"/>
  <c r="W448" i="9"/>
  <c r="CN448" i="9" s="1"/>
  <c r="BP448" i="9"/>
  <c r="EG448" i="9" s="1"/>
  <c r="AY448" i="9"/>
  <c r="DP448" i="9" s="1"/>
  <c r="AH448" i="9"/>
  <c r="CY448" i="9" s="1"/>
  <c r="BJ448" i="9"/>
  <c r="EA448" i="9" s="1"/>
  <c r="AW448" i="9"/>
  <c r="DN448" i="9" s="1"/>
  <c r="BK448" i="9"/>
  <c r="EB448" i="9" s="1"/>
  <c r="P448" i="9"/>
  <c r="CG448" i="9" s="1"/>
  <c r="R448" i="9"/>
  <c r="CI448" i="9" s="1"/>
  <c r="O448" i="9"/>
  <c r="CF448" i="9" s="1"/>
  <c r="L448" i="9"/>
  <c r="CC448" i="9" s="1"/>
  <c r="N448" i="9"/>
  <c r="CE448" i="9" s="1"/>
  <c r="K448" i="9"/>
  <c r="T448" i="9"/>
  <c r="CK448" i="9" s="1"/>
  <c r="S448" i="9"/>
  <c r="CJ448" i="9" s="1"/>
  <c r="Q448" i="9"/>
  <c r="CH448" i="9" s="1"/>
  <c r="M448" i="9"/>
  <c r="CD448" i="9" s="1"/>
  <c r="DJ337" i="9"/>
  <c r="AS353" i="9"/>
  <c r="AO647" i="11" s="1"/>
  <c r="CY337" i="9"/>
  <c r="AH353" i="9"/>
  <c r="AD647" i="11" s="1"/>
  <c r="DB337" i="9"/>
  <c r="AK353" i="9"/>
  <c r="AG647" i="11" s="1"/>
  <c r="AH483" i="9"/>
  <c r="CY483" i="9" s="1"/>
  <c r="AN483" i="9"/>
  <c r="DE483" i="9" s="1"/>
  <c r="BI483" i="9"/>
  <c r="DZ483" i="9" s="1"/>
  <c r="BA483" i="9"/>
  <c r="DR483" i="9" s="1"/>
  <c r="X483" i="9"/>
  <c r="CO483" i="9" s="1"/>
  <c r="AJ483" i="9"/>
  <c r="DA483" i="9" s="1"/>
  <c r="BD483" i="9"/>
  <c r="DU483" i="9" s="1"/>
  <c r="BQ483" i="9"/>
  <c r="EH483" i="9" s="1"/>
  <c r="AY483" i="9"/>
  <c r="DP483" i="9" s="1"/>
  <c r="AG483" i="9"/>
  <c r="CX483" i="9" s="1"/>
  <c r="V483" i="9"/>
  <c r="CM483" i="9" s="1"/>
  <c r="AK483" i="9"/>
  <c r="DB483" i="9" s="1"/>
  <c r="AW483" i="9"/>
  <c r="DN483" i="9" s="1"/>
  <c r="AC483" i="9"/>
  <c r="CT483" i="9" s="1"/>
  <c r="AV483" i="9"/>
  <c r="DM483" i="9" s="1"/>
  <c r="AS483" i="9"/>
  <c r="DJ483" i="9" s="1"/>
  <c r="Z483" i="9"/>
  <c r="CQ483" i="9" s="1"/>
  <c r="BC483" i="9"/>
  <c r="DT483" i="9" s="1"/>
  <c r="BF483" i="9"/>
  <c r="DW483" i="9" s="1"/>
  <c r="AE483" i="9"/>
  <c r="CV483" i="9" s="1"/>
  <c r="BG483" i="9"/>
  <c r="DX483" i="9" s="1"/>
  <c r="AO483" i="9"/>
  <c r="DF483" i="9" s="1"/>
  <c r="AA483" i="9"/>
  <c r="CR483" i="9" s="1"/>
  <c r="AX483" i="9"/>
  <c r="DO483" i="9" s="1"/>
  <c r="U483" i="9"/>
  <c r="CL483" i="9" s="1"/>
  <c r="AI483" i="9"/>
  <c r="CZ483" i="9" s="1"/>
  <c r="AP483" i="9"/>
  <c r="DG483" i="9" s="1"/>
  <c r="BO483" i="9"/>
  <c r="EF483" i="9" s="1"/>
  <c r="Y483" i="9"/>
  <c r="CP483" i="9" s="1"/>
  <c r="BB483" i="9"/>
  <c r="DS483" i="9" s="1"/>
  <c r="BK483" i="9"/>
  <c r="EB483" i="9" s="1"/>
  <c r="BM483" i="9"/>
  <c r="ED483" i="9" s="1"/>
  <c r="AF483" i="9"/>
  <c r="CW483" i="9" s="1"/>
  <c r="AZ483" i="9"/>
  <c r="DQ483" i="9" s="1"/>
  <c r="AR483" i="9"/>
  <c r="DI483" i="9" s="1"/>
  <c r="BR483" i="9"/>
  <c r="EI483" i="9" s="1"/>
  <c r="BJ483" i="9"/>
  <c r="EA483" i="9" s="1"/>
  <c r="BL483" i="9"/>
  <c r="EC483" i="9" s="1"/>
  <c r="AD483" i="9"/>
  <c r="CU483" i="9" s="1"/>
  <c r="AM483" i="9"/>
  <c r="DD483" i="9" s="1"/>
  <c r="BH483" i="9"/>
  <c r="DY483" i="9" s="1"/>
  <c r="AU483" i="9"/>
  <c r="DL483" i="9" s="1"/>
  <c r="AB483" i="9"/>
  <c r="CS483" i="9" s="1"/>
  <c r="AT483" i="9"/>
  <c r="DK483" i="9" s="1"/>
  <c r="BE483" i="9"/>
  <c r="DV483" i="9" s="1"/>
  <c r="W483" i="9"/>
  <c r="CN483" i="9" s="1"/>
  <c r="AL483" i="9"/>
  <c r="DC483" i="9" s="1"/>
  <c r="BP483" i="9"/>
  <c r="EG483" i="9" s="1"/>
  <c r="AQ483" i="9"/>
  <c r="DH483" i="9" s="1"/>
  <c r="BN483" i="9"/>
  <c r="EE483" i="9" s="1"/>
  <c r="Q483" i="9"/>
  <c r="CH483" i="9" s="1"/>
  <c r="T483" i="9"/>
  <c r="CK483" i="9" s="1"/>
  <c r="M483" i="9"/>
  <c r="CD483" i="9" s="1"/>
  <c r="N483" i="9"/>
  <c r="CE483" i="9" s="1"/>
  <c r="S483" i="9"/>
  <c r="CJ483" i="9" s="1"/>
  <c r="L483" i="9"/>
  <c r="CC483" i="9" s="1"/>
  <c r="K483" i="9"/>
  <c r="O483" i="9"/>
  <c r="CF483" i="9" s="1"/>
  <c r="R483" i="9"/>
  <c r="CI483" i="9" s="1"/>
  <c r="P483" i="9"/>
  <c r="CG483" i="9" s="1"/>
  <c r="BE593" i="9"/>
  <c r="BA657" i="11" s="1"/>
  <c r="BL353" i="9"/>
  <c r="BH647" i="11" s="1"/>
  <c r="AI520" i="9"/>
  <c r="CZ520" i="9" s="1"/>
  <c r="BE520" i="9"/>
  <c r="DV520" i="9" s="1"/>
  <c r="AG520" i="9"/>
  <c r="CX520" i="9" s="1"/>
  <c r="BQ520" i="9"/>
  <c r="EH520" i="9" s="1"/>
  <c r="BH520" i="9"/>
  <c r="DY520" i="9" s="1"/>
  <c r="Z520" i="9"/>
  <c r="CQ520" i="9" s="1"/>
  <c r="AW520" i="9"/>
  <c r="DN520" i="9" s="1"/>
  <c r="AM520" i="9"/>
  <c r="DD520" i="9" s="1"/>
  <c r="BA520" i="9"/>
  <c r="DR520" i="9" s="1"/>
  <c r="AS520" i="9"/>
  <c r="DJ520" i="9" s="1"/>
  <c r="X520" i="9"/>
  <c r="CO520" i="9" s="1"/>
  <c r="W520" i="9"/>
  <c r="CN520" i="9" s="1"/>
  <c r="AX520" i="9"/>
  <c r="DO520" i="9" s="1"/>
  <c r="BL520" i="9"/>
  <c r="EC520" i="9" s="1"/>
  <c r="BF520" i="9"/>
  <c r="DW520" i="9" s="1"/>
  <c r="BD520" i="9"/>
  <c r="DU520" i="9" s="1"/>
  <c r="BP520" i="9"/>
  <c r="EG520" i="9" s="1"/>
  <c r="AO520" i="9"/>
  <c r="DF520" i="9" s="1"/>
  <c r="BN520" i="9"/>
  <c r="EE520" i="9" s="1"/>
  <c r="AV520" i="9"/>
  <c r="DM520" i="9" s="1"/>
  <c r="BR520" i="9"/>
  <c r="EI520" i="9" s="1"/>
  <c r="AF520" i="9"/>
  <c r="CW520" i="9" s="1"/>
  <c r="AQ520" i="9"/>
  <c r="DH520" i="9" s="1"/>
  <c r="U520" i="9"/>
  <c r="CL520" i="9" s="1"/>
  <c r="AT520" i="9"/>
  <c r="DK520" i="9" s="1"/>
  <c r="BO520" i="9"/>
  <c r="EF520" i="9" s="1"/>
  <c r="AJ520" i="9"/>
  <c r="DA520" i="9" s="1"/>
  <c r="BJ520" i="9"/>
  <c r="EA520" i="9" s="1"/>
  <c r="AE520" i="9"/>
  <c r="CV520" i="9" s="1"/>
  <c r="AU520" i="9"/>
  <c r="DL520" i="9" s="1"/>
  <c r="AH520" i="9"/>
  <c r="CY520" i="9" s="1"/>
  <c r="AB520" i="9"/>
  <c r="CS520" i="9" s="1"/>
  <c r="AZ520" i="9"/>
  <c r="DQ520" i="9" s="1"/>
  <c r="AK520" i="9"/>
  <c r="DB520" i="9" s="1"/>
  <c r="BB520" i="9"/>
  <c r="DS520" i="9" s="1"/>
  <c r="Y520" i="9"/>
  <c r="CP520" i="9" s="1"/>
  <c r="AP520" i="9"/>
  <c r="DG520" i="9" s="1"/>
  <c r="AL520" i="9"/>
  <c r="DC520" i="9" s="1"/>
  <c r="AR520" i="9"/>
  <c r="DI520" i="9" s="1"/>
  <c r="AC520" i="9"/>
  <c r="CT520" i="9" s="1"/>
  <c r="BG520" i="9"/>
  <c r="DX520" i="9" s="1"/>
  <c r="BK520" i="9"/>
  <c r="EB520" i="9" s="1"/>
  <c r="BM520" i="9"/>
  <c r="ED520" i="9" s="1"/>
  <c r="AA520" i="9"/>
  <c r="CR520" i="9" s="1"/>
  <c r="BC520" i="9"/>
  <c r="DT520" i="9" s="1"/>
  <c r="BI520" i="9"/>
  <c r="DZ520" i="9" s="1"/>
  <c r="AN520" i="9"/>
  <c r="DE520" i="9" s="1"/>
  <c r="AY520" i="9"/>
  <c r="DP520" i="9" s="1"/>
  <c r="V520" i="9"/>
  <c r="CM520" i="9" s="1"/>
  <c r="AD520" i="9"/>
  <c r="CU520" i="9" s="1"/>
  <c r="P520" i="9"/>
  <c r="CG520" i="9" s="1"/>
  <c r="O520" i="9"/>
  <c r="CF520" i="9" s="1"/>
  <c r="L520" i="9"/>
  <c r="CC520" i="9" s="1"/>
  <c r="Q520" i="9"/>
  <c r="CH520" i="9" s="1"/>
  <c r="T520" i="9"/>
  <c r="CK520" i="9" s="1"/>
  <c r="S520" i="9"/>
  <c r="CJ520" i="9" s="1"/>
  <c r="R520" i="9"/>
  <c r="CI520" i="9" s="1"/>
  <c r="M520" i="9"/>
  <c r="CD520" i="9" s="1"/>
  <c r="N520" i="9"/>
  <c r="CE520" i="9" s="1"/>
  <c r="K520" i="9"/>
  <c r="AO677" i="9"/>
  <c r="DF677" i="9" s="1"/>
  <c r="AL677" i="9"/>
  <c r="DC677" i="9" s="1"/>
  <c r="AB677" i="9"/>
  <c r="CS677" i="9" s="1"/>
  <c r="AN677" i="9"/>
  <c r="DE677" i="9" s="1"/>
  <c r="BH677" i="9"/>
  <c r="DY677" i="9" s="1"/>
  <c r="V677" i="9"/>
  <c r="CM677" i="9" s="1"/>
  <c r="BG677" i="9"/>
  <c r="DX677" i="9" s="1"/>
  <c r="BO677" i="9"/>
  <c r="EF677" i="9" s="1"/>
  <c r="BA677" i="9"/>
  <c r="DR677" i="9" s="1"/>
  <c r="AA677" i="9"/>
  <c r="CR677" i="9" s="1"/>
  <c r="BC677" i="9"/>
  <c r="DT677" i="9" s="1"/>
  <c r="AD677" i="9"/>
  <c r="CU677" i="9" s="1"/>
  <c r="BQ677" i="9"/>
  <c r="EH677" i="9" s="1"/>
  <c r="BJ677" i="9"/>
  <c r="EA677" i="9" s="1"/>
  <c r="BI677" i="9"/>
  <c r="DZ677" i="9" s="1"/>
  <c r="BR677" i="9"/>
  <c r="EI677" i="9" s="1"/>
  <c r="W677" i="9"/>
  <c r="CN677" i="9" s="1"/>
  <c r="BM677" i="9"/>
  <c r="ED677" i="9" s="1"/>
  <c r="AT677" i="9"/>
  <c r="DK677" i="9" s="1"/>
  <c r="AS677" i="9"/>
  <c r="DJ677" i="9" s="1"/>
  <c r="AU677" i="9"/>
  <c r="DL677" i="9" s="1"/>
  <c r="AP677" i="9"/>
  <c r="DG677" i="9" s="1"/>
  <c r="BF677" i="9"/>
  <c r="DW677" i="9" s="1"/>
  <c r="AI677" i="9"/>
  <c r="CZ677" i="9" s="1"/>
  <c r="BK677" i="9"/>
  <c r="EB677" i="9" s="1"/>
  <c r="AQ677" i="9"/>
  <c r="DH677" i="9" s="1"/>
  <c r="BD677" i="9"/>
  <c r="DU677" i="9" s="1"/>
  <c r="AH677" i="9"/>
  <c r="CY677" i="9" s="1"/>
  <c r="AX677" i="9"/>
  <c r="DO677" i="9" s="1"/>
  <c r="BL677" i="9"/>
  <c r="EC677" i="9" s="1"/>
  <c r="BN677" i="9"/>
  <c r="EE677" i="9" s="1"/>
  <c r="X677" i="9"/>
  <c r="CO677" i="9" s="1"/>
  <c r="AY677" i="9"/>
  <c r="DP677" i="9" s="1"/>
  <c r="AV677" i="9"/>
  <c r="DM677" i="9" s="1"/>
  <c r="Y677" i="9"/>
  <c r="CP677" i="9" s="1"/>
  <c r="U677" i="9"/>
  <c r="CL677" i="9" s="1"/>
  <c r="AK677" i="9"/>
  <c r="DB677" i="9" s="1"/>
  <c r="Z677" i="9"/>
  <c r="CQ677" i="9" s="1"/>
  <c r="AG677" i="9"/>
  <c r="CX677" i="9" s="1"/>
  <c r="BP677" i="9"/>
  <c r="EG677" i="9" s="1"/>
  <c r="AF677" i="9"/>
  <c r="CW677" i="9" s="1"/>
  <c r="AJ677" i="9"/>
  <c r="DA677" i="9" s="1"/>
  <c r="AM677" i="9"/>
  <c r="DD677" i="9" s="1"/>
  <c r="AC677" i="9"/>
  <c r="CT677" i="9" s="1"/>
  <c r="AR677" i="9"/>
  <c r="DI677" i="9" s="1"/>
  <c r="BB677" i="9"/>
  <c r="DS677" i="9" s="1"/>
  <c r="AE677" i="9"/>
  <c r="CV677" i="9" s="1"/>
  <c r="AW677" i="9"/>
  <c r="DN677" i="9" s="1"/>
  <c r="AZ677" i="9"/>
  <c r="DQ677" i="9" s="1"/>
  <c r="BE677" i="9"/>
  <c r="DV677" i="9" s="1"/>
  <c r="T677" i="9"/>
  <c r="CK677" i="9" s="1"/>
  <c r="O677" i="9"/>
  <c r="CF677" i="9" s="1"/>
  <c r="S677" i="9"/>
  <c r="CJ677" i="9" s="1"/>
  <c r="P677" i="9"/>
  <c r="CG677" i="9" s="1"/>
  <c r="L677" i="9"/>
  <c r="CC677" i="9" s="1"/>
  <c r="N677" i="9"/>
  <c r="CE677" i="9" s="1"/>
  <c r="M677" i="9"/>
  <c r="CD677" i="9" s="1"/>
  <c r="R677" i="9"/>
  <c r="CI677" i="9" s="1"/>
  <c r="Q677" i="9"/>
  <c r="CH677" i="9" s="1"/>
  <c r="AO681" i="9"/>
  <c r="DF681" i="9" s="1"/>
  <c r="V681" i="9"/>
  <c r="CM681" i="9" s="1"/>
  <c r="AX681" i="9"/>
  <c r="DO681" i="9" s="1"/>
  <c r="X681" i="9"/>
  <c r="CO681" i="9" s="1"/>
  <c r="BQ681" i="9"/>
  <c r="EH681" i="9" s="1"/>
  <c r="BK681" i="9"/>
  <c r="EB681" i="9" s="1"/>
  <c r="BG681" i="9"/>
  <c r="DX681" i="9" s="1"/>
  <c r="BF681" i="9"/>
  <c r="DW681" i="9" s="1"/>
  <c r="BC681" i="9"/>
  <c r="DT681" i="9" s="1"/>
  <c r="BA681" i="9"/>
  <c r="DR681" i="9" s="1"/>
  <c r="AL681" i="9"/>
  <c r="DC681" i="9" s="1"/>
  <c r="AI681" i="9"/>
  <c r="CZ681" i="9" s="1"/>
  <c r="BH681" i="9"/>
  <c r="DY681" i="9" s="1"/>
  <c r="AS681" i="9"/>
  <c r="DJ681" i="9" s="1"/>
  <c r="AP681" i="9"/>
  <c r="DG681" i="9" s="1"/>
  <c r="AA681" i="9"/>
  <c r="CR681" i="9" s="1"/>
  <c r="AB681" i="9"/>
  <c r="CS681" i="9" s="1"/>
  <c r="AH681" i="9"/>
  <c r="CY681" i="9" s="1"/>
  <c r="BJ681" i="9"/>
  <c r="EA681" i="9" s="1"/>
  <c r="BD681" i="9"/>
  <c r="DU681" i="9" s="1"/>
  <c r="BO681" i="9"/>
  <c r="EF681" i="9" s="1"/>
  <c r="W681" i="9"/>
  <c r="CN681" i="9" s="1"/>
  <c r="AN681" i="9"/>
  <c r="DE681" i="9" s="1"/>
  <c r="AU681" i="9"/>
  <c r="DL681" i="9" s="1"/>
  <c r="BN681" i="9"/>
  <c r="EE681" i="9" s="1"/>
  <c r="BL681" i="9"/>
  <c r="EC681" i="9" s="1"/>
  <c r="AD681" i="9"/>
  <c r="CU681" i="9" s="1"/>
  <c r="AT681" i="9"/>
  <c r="DK681" i="9" s="1"/>
  <c r="BM681" i="9"/>
  <c r="ED681" i="9" s="1"/>
  <c r="AQ681" i="9"/>
  <c r="DH681" i="9" s="1"/>
  <c r="BI681" i="9"/>
  <c r="DZ681" i="9" s="1"/>
  <c r="BR681" i="9"/>
  <c r="EI681" i="9" s="1"/>
  <c r="AK681" i="9"/>
  <c r="DB681" i="9" s="1"/>
  <c r="AJ681" i="9"/>
  <c r="DA681" i="9" s="1"/>
  <c r="BE681" i="9"/>
  <c r="DV681" i="9" s="1"/>
  <c r="AV681" i="9"/>
  <c r="DM681" i="9" s="1"/>
  <c r="AG681" i="9"/>
  <c r="CX681" i="9" s="1"/>
  <c r="AC681" i="9"/>
  <c r="CT681" i="9" s="1"/>
  <c r="Z681" i="9"/>
  <c r="CQ681" i="9" s="1"/>
  <c r="U681" i="9"/>
  <c r="CL681" i="9" s="1"/>
  <c r="BB681" i="9"/>
  <c r="DS681" i="9" s="1"/>
  <c r="AR681" i="9"/>
  <c r="DI681" i="9" s="1"/>
  <c r="AM681" i="9"/>
  <c r="DD681" i="9" s="1"/>
  <c r="Y681" i="9"/>
  <c r="CP681" i="9" s="1"/>
  <c r="AW681" i="9"/>
  <c r="DN681" i="9" s="1"/>
  <c r="BP681" i="9"/>
  <c r="EG681" i="9" s="1"/>
  <c r="AE681" i="9"/>
  <c r="CV681" i="9" s="1"/>
  <c r="AY681" i="9"/>
  <c r="DP681" i="9" s="1"/>
  <c r="AF681" i="9"/>
  <c r="CW681" i="9" s="1"/>
  <c r="AZ681" i="9"/>
  <c r="DQ681" i="9" s="1"/>
  <c r="S681" i="9"/>
  <c r="CJ681" i="9" s="1"/>
  <c r="T681" i="9"/>
  <c r="CK681" i="9" s="1"/>
  <c r="R681" i="9"/>
  <c r="CI681" i="9" s="1"/>
  <c r="N681" i="9"/>
  <c r="CE681" i="9" s="1"/>
  <c r="P681" i="9"/>
  <c r="CG681" i="9" s="1"/>
  <c r="L681" i="9"/>
  <c r="M681" i="9"/>
  <c r="CD681" i="9" s="1"/>
  <c r="Q681" i="9"/>
  <c r="CH681" i="9" s="1"/>
  <c r="O681" i="9"/>
  <c r="CF681" i="9" s="1"/>
  <c r="BH593" i="9"/>
  <c r="BD657" i="11" s="1"/>
  <c r="BQ299" i="9"/>
  <c r="EH299" i="9" s="1"/>
  <c r="BK299" i="9"/>
  <c r="EB299" i="9" s="1"/>
  <c r="AW299" i="9"/>
  <c r="DN299" i="9" s="1"/>
  <c r="AN299" i="9"/>
  <c r="DE299" i="9" s="1"/>
  <c r="BI299" i="9"/>
  <c r="DZ299" i="9" s="1"/>
  <c r="BB299" i="9"/>
  <c r="DS299" i="9" s="1"/>
  <c r="AA299" i="9"/>
  <c r="CR299" i="9" s="1"/>
  <c r="BJ299" i="9"/>
  <c r="EA299" i="9" s="1"/>
  <c r="BF299" i="9"/>
  <c r="DW299" i="9" s="1"/>
  <c r="BG299" i="9"/>
  <c r="DX299" i="9" s="1"/>
  <c r="AM299" i="9"/>
  <c r="DD299" i="9" s="1"/>
  <c r="BO299" i="9"/>
  <c r="EF299" i="9" s="1"/>
  <c r="W299" i="9"/>
  <c r="CN299" i="9" s="1"/>
  <c r="AK299" i="9"/>
  <c r="DB299" i="9" s="1"/>
  <c r="BC299" i="9"/>
  <c r="DT299" i="9" s="1"/>
  <c r="AO299" i="9"/>
  <c r="DF299" i="9" s="1"/>
  <c r="BN299" i="9"/>
  <c r="EE299" i="9" s="1"/>
  <c r="V299" i="9"/>
  <c r="CM299" i="9" s="1"/>
  <c r="BH299" i="9"/>
  <c r="DY299" i="9" s="1"/>
  <c r="BE299" i="9"/>
  <c r="DV299" i="9" s="1"/>
  <c r="AX299" i="9"/>
  <c r="DO299" i="9" s="1"/>
  <c r="U299" i="9"/>
  <c r="CL299" i="9" s="1"/>
  <c r="AJ299" i="9"/>
  <c r="DA299" i="9" s="1"/>
  <c r="AC299" i="9"/>
  <c r="CT299" i="9" s="1"/>
  <c r="AR299" i="9"/>
  <c r="DI299" i="9" s="1"/>
  <c r="AQ299" i="9"/>
  <c r="DH299" i="9" s="1"/>
  <c r="AP299" i="9"/>
  <c r="DG299" i="9" s="1"/>
  <c r="AH299" i="9"/>
  <c r="CY299" i="9" s="1"/>
  <c r="AE299" i="9"/>
  <c r="CV299" i="9" s="1"/>
  <c r="AB299" i="9"/>
  <c r="CS299" i="9" s="1"/>
  <c r="Y299" i="9"/>
  <c r="CP299" i="9" s="1"/>
  <c r="AD299" i="9"/>
  <c r="CU299" i="9" s="1"/>
  <c r="BM299" i="9"/>
  <c r="ED299" i="9" s="1"/>
  <c r="BL299" i="9"/>
  <c r="EC299" i="9" s="1"/>
  <c r="AG299" i="9"/>
  <c r="CX299" i="9" s="1"/>
  <c r="AI299" i="9"/>
  <c r="CZ299" i="9" s="1"/>
  <c r="AS299" i="9"/>
  <c r="DJ299" i="9" s="1"/>
  <c r="AF299" i="9"/>
  <c r="CW299" i="9" s="1"/>
  <c r="BP299" i="9"/>
  <c r="EG299" i="9" s="1"/>
  <c r="Z299" i="9"/>
  <c r="CQ299" i="9" s="1"/>
  <c r="BD299" i="9"/>
  <c r="DU299" i="9" s="1"/>
  <c r="BR299" i="9"/>
  <c r="EI299" i="9" s="1"/>
  <c r="AL299" i="9"/>
  <c r="DC299" i="9" s="1"/>
  <c r="AY299" i="9"/>
  <c r="DP299" i="9" s="1"/>
  <c r="BA299" i="9"/>
  <c r="DR299" i="9" s="1"/>
  <c r="AV299" i="9"/>
  <c r="DM299" i="9" s="1"/>
  <c r="AT299" i="9"/>
  <c r="DK299" i="9" s="1"/>
  <c r="AU299" i="9"/>
  <c r="DL299" i="9" s="1"/>
  <c r="X299" i="9"/>
  <c r="CO299" i="9" s="1"/>
  <c r="AZ299" i="9"/>
  <c r="DQ299" i="9" s="1"/>
  <c r="S299" i="9"/>
  <c r="CJ299" i="9" s="1"/>
  <c r="R299" i="9"/>
  <c r="CI299" i="9" s="1"/>
  <c r="K299" i="9"/>
  <c r="M299" i="9"/>
  <c r="CD299" i="9" s="1"/>
  <c r="P299" i="9"/>
  <c r="CG299" i="9" s="1"/>
  <c r="T299" i="9"/>
  <c r="CK299" i="9" s="1"/>
  <c r="L299" i="9"/>
  <c r="CC299" i="9" s="1"/>
  <c r="O299" i="9"/>
  <c r="CF299" i="9" s="1"/>
  <c r="N299" i="9"/>
  <c r="CE299" i="9" s="1"/>
  <c r="Q299" i="9"/>
  <c r="CH299" i="9" s="1"/>
  <c r="DS477" i="9"/>
  <c r="DT477" i="9"/>
  <c r="EB477" i="9"/>
  <c r="CW477" i="9"/>
  <c r="DV477" i="9"/>
  <c r="ED477" i="9"/>
  <c r="BD544" i="9"/>
  <c r="DU544" i="9" s="1"/>
  <c r="BN544" i="9"/>
  <c r="EE544" i="9" s="1"/>
  <c r="AD544" i="9"/>
  <c r="CU544" i="9" s="1"/>
  <c r="Y544" i="9"/>
  <c r="CP544" i="9" s="1"/>
  <c r="BR544" i="9"/>
  <c r="EI544" i="9" s="1"/>
  <c r="AM544" i="9"/>
  <c r="DD544" i="9" s="1"/>
  <c r="AE544" i="9"/>
  <c r="CV544" i="9" s="1"/>
  <c r="AS544" i="9"/>
  <c r="DJ544" i="9" s="1"/>
  <c r="AU544" i="9"/>
  <c r="DL544" i="9" s="1"/>
  <c r="AF544" i="9"/>
  <c r="CW544" i="9" s="1"/>
  <c r="AP544" i="9"/>
  <c r="DG544" i="9" s="1"/>
  <c r="AC544" i="9"/>
  <c r="CT544" i="9" s="1"/>
  <c r="AL544" i="9"/>
  <c r="DC544" i="9" s="1"/>
  <c r="AR544" i="9"/>
  <c r="DI544" i="9" s="1"/>
  <c r="BE544" i="9"/>
  <c r="DV544" i="9" s="1"/>
  <c r="AN544" i="9"/>
  <c r="DE544" i="9" s="1"/>
  <c r="U544" i="9"/>
  <c r="CL544" i="9" s="1"/>
  <c r="AH544" i="9"/>
  <c r="CY544" i="9" s="1"/>
  <c r="V544" i="9"/>
  <c r="CM544" i="9" s="1"/>
  <c r="AX544" i="9"/>
  <c r="DO544" i="9" s="1"/>
  <c r="BM544" i="9"/>
  <c r="ED544" i="9" s="1"/>
  <c r="BO544" i="9"/>
  <c r="EF544" i="9" s="1"/>
  <c r="AY544" i="9"/>
  <c r="DP544" i="9" s="1"/>
  <c r="AZ544" i="9"/>
  <c r="DQ544" i="9" s="1"/>
  <c r="BG544" i="9"/>
  <c r="DX544" i="9" s="1"/>
  <c r="BC544" i="9"/>
  <c r="DT544" i="9" s="1"/>
  <c r="BK544" i="9"/>
  <c r="EB544" i="9" s="1"/>
  <c r="AJ544" i="9"/>
  <c r="DA544" i="9" s="1"/>
  <c r="Z544" i="9"/>
  <c r="CQ544" i="9" s="1"/>
  <c r="AG544" i="9"/>
  <c r="CX544" i="9" s="1"/>
  <c r="BB544" i="9"/>
  <c r="DS544" i="9" s="1"/>
  <c r="BL544" i="9"/>
  <c r="EC544" i="9" s="1"/>
  <c r="BP544" i="9"/>
  <c r="EG544" i="9" s="1"/>
  <c r="BH544" i="9"/>
  <c r="DY544" i="9" s="1"/>
  <c r="BI544" i="9"/>
  <c r="DZ544" i="9" s="1"/>
  <c r="X544" i="9"/>
  <c r="CO544" i="9" s="1"/>
  <c r="AK544" i="9"/>
  <c r="DB544" i="9" s="1"/>
  <c r="AV544" i="9"/>
  <c r="DM544" i="9" s="1"/>
  <c r="BQ544" i="9"/>
  <c r="EH544" i="9" s="1"/>
  <c r="AQ544" i="9"/>
  <c r="DH544" i="9" s="1"/>
  <c r="BA544" i="9"/>
  <c r="DR544" i="9" s="1"/>
  <c r="W544" i="9"/>
  <c r="CN544" i="9" s="1"/>
  <c r="AI544" i="9"/>
  <c r="CZ544" i="9" s="1"/>
  <c r="AA544" i="9"/>
  <c r="CR544" i="9" s="1"/>
  <c r="BF544" i="9"/>
  <c r="DW544" i="9" s="1"/>
  <c r="BJ544" i="9"/>
  <c r="EA544" i="9" s="1"/>
  <c r="AT544" i="9"/>
  <c r="DK544" i="9" s="1"/>
  <c r="AW544" i="9"/>
  <c r="DN544" i="9" s="1"/>
  <c r="AB544" i="9"/>
  <c r="CS544" i="9" s="1"/>
  <c r="AO544" i="9"/>
  <c r="DF544" i="9" s="1"/>
  <c r="N544" i="9"/>
  <c r="CE544" i="9" s="1"/>
  <c r="Q544" i="9"/>
  <c r="CH544" i="9" s="1"/>
  <c r="T544" i="9"/>
  <c r="CK544" i="9" s="1"/>
  <c r="M544" i="9"/>
  <c r="CD544" i="9" s="1"/>
  <c r="K544" i="9"/>
  <c r="O544" i="9"/>
  <c r="CF544" i="9" s="1"/>
  <c r="R544" i="9"/>
  <c r="CI544" i="9" s="1"/>
  <c r="S544" i="9"/>
  <c r="CJ544" i="9" s="1"/>
  <c r="L544" i="9"/>
  <c r="CC544" i="9" s="1"/>
  <c r="P544" i="9"/>
  <c r="CG544" i="9" s="1"/>
  <c r="BK528" i="9"/>
  <c r="EB528" i="9" s="1"/>
  <c r="BO528" i="9"/>
  <c r="EF528" i="9" s="1"/>
  <c r="X528" i="9"/>
  <c r="CO528" i="9" s="1"/>
  <c r="BR528" i="9"/>
  <c r="EI528" i="9" s="1"/>
  <c r="AM528" i="9"/>
  <c r="DD528" i="9" s="1"/>
  <c r="AJ528" i="9"/>
  <c r="DA528" i="9" s="1"/>
  <c r="Y528" i="9"/>
  <c r="CP528" i="9" s="1"/>
  <c r="BP528" i="9"/>
  <c r="EG528" i="9" s="1"/>
  <c r="AH528" i="9"/>
  <c r="CY528" i="9" s="1"/>
  <c r="BG528" i="9"/>
  <c r="DX528" i="9" s="1"/>
  <c r="AV528" i="9"/>
  <c r="DM528" i="9" s="1"/>
  <c r="BN528" i="9"/>
  <c r="EE528" i="9" s="1"/>
  <c r="AN528" i="9"/>
  <c r="DE528" i="9" s="1"/>
  <c r="AY528" i="9"/>
  <c r="DP528" i="9" s="1"/>
  <c r="AQ528" i="9"/>
  <c r="DH528" i="9" s="1"/>
  <c r="AD528" i="9"/>
  <c r="CU528" i="9" s="1"/>
  <c r="AC528" i="9"/>
  <c r="CT528" i="9" s="1"/>
  <c r="AZ528" i="9"/>
  <c r="DQ528" i="9" s="1"/>
  <c r="BD528" i="9"/>
  <c r="DU528" i="9" s="1"/>
  <c r="BI528" i="9"/>
  <c r="DZ528" i="9" s="1"/>
  <c r="AR528" i="9"/>
  <c r="DI528" i="9" s="1"/>
  <c r="BA528" i="9"/>
  <c r="DR528" i="9" s="1"/>
  <c r="AP528" i="9"/>
  <c r="DG528" i="9" s="1"/>
  <c r="AS528" i="9"/>
  <c r="DJ528" i="9" s="1"/>
  <c r="U528" i="9"/>
  <c r="CL528" i="9" s="1"/>
  <c r="AF528" i="9"/>
  <c r="CW528" i="9" s="1"/>
  <c r="AK528" i="9"/>
  <c r="DB528" i="9" s="1"/>
  <c r="BL528" i="9"/>
  <c r="EC528" i="9" s="1"/>
  <c r="BE528" i="9"/>
  <c r="DV528" i="9" s="1"/>
  <c r="BM528" i="9"/>
  <c r="ED528" i="9" s="1"/>
  <c r="AU528" i="9"/>
  <c r="DL528" i="9" s="1"/>
  <c r="AG528" i="9"/>
  <c r="CX528" i="9" s="1"/>
  <c r="BC528" i="9"/>
  <c r="DT528" i="9" s="1"/>
  <c r="BB528" i="9"/>
  <c r="DS528" i="9" s="1"/>
  <c r="V528" i="9"/>
  <c r="CM528" i="9" s="1"/>
  <c r="BQ528" i="9"/>
  <c r="EH528" i="9" s="1"/>
  <c r="AO528" i="9"/>
  <c r="DF528" i="9" s="1"/>
  <c r="AX528" i="9"/>
  <c r="DO528" i="9" s="1"/>
  <c r="AL528" i="9"/>
  <c r="DC528" i="9" s="1"/>
  <c r="AE528" i="9"/>
  <c r="CV528" i="9" s="1"/>
  <c r="BH528" i="9"/>
  <c r="DY528" i="9" s="1"/>
  <c r="Z528" i="9"/>
  <c r="CQ528" i="9" s="1"/>
  <c r="AT528" i="9"/>
  <c r="DK528" i="9" s="1"/>
  <c r="BJ528" i="9"/>
  <c r="EA528" i="9" s="1"/>
  <c r="BF528" i="9"/>
  <c r="DW528" i="9" s="1"/>
  <c r="AA528" i="9"/>
  <c r="CR528" i="9" s="1"/>
  <c r="AI528" i="9"/>
  <c r="CZ528" i="9" s="1"/>
  <c r="AW528" i="9"/>
  <c r="DN528" i="9" s="1"/>
  <c r="AB528" i="9"/>
  <c r="CS528" i="9" s="1"/>
  <c r="W528" i="9"/>
  <c r="CN528" i="9" s="1"/>
  <c r="T528" i="9"/>
  <c r="CK528" i="9" s="1"/>
  <c r="M528" i="9"/>
  <c r="CD528" i="9" s="1"/>
  <c r="K528" i="9"/>
  <c r="Q528" i="9"/>
  <c r="CH528" i="9" s="1"/>
  <c r="R528" i="9"/>
  <c r="CI528" i="9" s="1"/>
  <c r="S528" i="9"/>
  <c r="CJ528" i="9" s="1"/>
  <c r="L528" i="9"/>
  <c r="CC528" i="9" s="1"/>
  <c r="N528" i="9"/>
  <c r="CE528" i="9" s="1"/>
  <c r="O528" i="9"/>
  <c r="CF528" i="9" s="1"/>
  <c r="P528" i="9"/>
  <c r="CG528" i="9" s="1"/>
  <c r="BM329" i="9"/>
  <c r="BI646" i="11" s="1"/>
  <c r="ED309" i="9"/>
  <c r="DV407" i="9"/>
  <c r="BE425" i="9"/>
  <c r="BA650" i="11" s="1"/>
  <c r="DS455" i="9"/>
  <c r="BB473" i="9"/>
  <c r="AX652" i="11" s="1"/>
  <c r="DM577" i="9"/>
  <c r="AV593" i="9"/>
  <c r="AR657" i="11" s="1"/>
  <c r="AZ489" i="9"/>
  <c r="DQ489" i="9" s="1"/>
  <c r="AA489" i="9"/>
  <c r="CR489" i="9" s="1"/>
  <c r="AY489" i="9"/>
  <c r="DP489" i="9" s="1"/>
  <c r="AC489" i="9"/>
  <c r="CT489" i="9" s="1"/>
  <c r="BI489" i="9"/>
  <c r="DZ489" i="9" s="1"/>
  <c r="AI489" i="9"/>
  <c r="CZ489" i="9" s="1"/>
  <c r="AE489" i="9"/>
  <c r="CV489" i="9" s="1"/>
  <c r="AM489" i="9"/>
  <c r="DD489" i="9" s="1"/>
  <c r="AS489" i="9"/>
  <c r="DJ489" i="9" s="1"/>
  <c r="AG489" i="9"/>
  <c r="CX489" i="9" s="1"/>
  <c r="BE489" i="9"/>
  <c r="DV489" i="9" s="1"/>
  <c r="BC489" i="9"/>
  <c r="DT489" i="9" s="1"/>
  <c r="AN489" i="9"/>
  <c r="DE489" i="9" s="1"/>
  <c r="BG489" i="9"/>
  <c r="DX489" i="9" s="1"/>
  <c r="BB489" i="9"/>
  <c r="DS489" i="9" s="1"/>
  <c r="AL489" i="9"/>
  <c r="DC489" i="9" s="1"/>
  <c r="Z489" i="9"/>
  <c r="CQ489" i="9" s="1"/>
  <c r="AF489" i="9"/>
  <c r="CW489" i="9" s="1"/>
  <c r="AB489" i="9"/>
  <c r="CS489" i="9" s="1"/>
  <c r="AU489" i="9"/>
  <c r="DL489" i="9" s="1"/>
  <c r="BO489" i="9"/>
  <c r="EF489" i="9" s="1"/>
  <c r="U489" i="9"/>
  <c r="CL489" i="9" s="1"/>
  <c r="AW489" i="9"/>
  <c r="DN489" i="9" s="1"/>
  <c r="W489" i="9"/>
  <c r="CN489" i="9" s="1"/>
  <c r="BL489" i="9"/>
  <c r="EC489" i="9" s="1"/>
  <c r="AV489" i="9"/>
  <c r="DM489" i="9" s="1"/>
  <c r="AO489" i="9"/>
  <c r="DF489" i="9" s="1"/>
  <c r="BP489" i="9"/>
  <c r="EG489" i="9" s="1"/>
  <c r="AK489" i="9"/>
  <c r="DB489" i="9" s="1"/>
  <c r="AR489" i="9"/>
  <c r="DI489" i="9" s="1"/>
  <c r="X489" i="9"/>
  <c r="CO489" i="9" s="1"/>
  <c r="BF489" i="9"/>
  <c r="DW489" i="9" s="1"/>
  <c r="AT489" i="9"/>
  <c r="DK489" i="9" s="1"/>
  <c r="BD489" i="9"/>
  <c r="DU489" i="9" s="1"/>
  <c r="BR489" i="9"/>
  <c r="EI489" i="9" s="1"/>
  <c r="BM489" i="9"/>
  <c r="ED489" i="9" s="1"/>
  <c r="V489" i="9"/>
  <c r="CM489" i="9" s="1"/>
  <c r="BJ489" i="9"/>
  <c r="EA489" i="9" s="1"/>
  <c r="AP489" i="9"/>
  <c r="DG489" i="9" s="1"/>
  <c r="BN489" i="9"/>
  <c r="EE489" i="9" s="1"/>
  <c r="BH489" i="9"/>
  <c r="DY489" i="9" s="1"/>
  <c r="BQ489" i="9"/>
  <c r="EH489" i="9" s="1"/>
  <c r="BK489" i="9"/>
  <c r="EB489" i="9" s="1"/>
  <c r="AJ489" i="9"/>
  <c r="DA489" i="9" s="1"/>
  <c r="Y489" i="9"/>
  <c r="CP489" i="9" s="1"/>
  <c r="AX489" i="9"/>
  <c r="DO489" i="9" s="1"/>
  <c r="AH489" i="9"/>
  <c r="CY489" i="9" s="1"/>
  <c r="BA489" i="9"/>
  <c r="DR489" i="9" s="1"/>
  <c r="AD489" i="9"/>
  <c r="CU489" i="9" s="1"/>
  <c r="AQ489" i="9"/>
  <c r="DH489" i="9" s="1"/>
  <c r="Q489" i="9"/>
  <c r="CH489" i="9" s="1"/>
  <c r="M489" i="9"/>
  <c r="CD489" i="9" s="1"/>
  <c r="K489" i="9"/>
  <c r="R489" i="9"/>
  <c r="CI489" i="9" s="1"/>
  <c r="S489" i="9"/>
  <c r="CJ489" i="9" s="1"/>
  <c r="N489" i="9"/>
  <c r="CE489" i="9" s="1"/>
  <c r="P489" i="9"/>
  <c r="CG489" i="9" s="1"/>
  <c r="O489" i="9"/>
  <c r="CF489" i="9" s="1"/>
  <c r="L489" i="9"/>
  <c r="CC489" i="9" s="1"/>
  <c r="T489" i="9"/>
  <c r="CK489" i="9" s="1"/>
  <c r="EA337" i="9"/>
  <c r="BJ353" i="9"/>
  <c r="BF647" i="11" s="1"/>
  <c r="BE502" i="9"/>
  <c r="DV502" i="9" s="1"/>
  <c r="AI502" i="9"/>
  <c r="CZ502" i="9" s="1"/>
  <c r="BL502" i="9"/>
  <c r="EC502" i="9" s="1"/>
  <c r="AB502" i="9"/>
  <c r="CS502" i="9" s="1"/>
  <c r="AH502" i="9"/>
  <c r="CY502" i="9" s="1"/>
  <c r="AO502" i="9"/>
  <c r="DF502" i="9" s="1"/>
  <c r="AZ502" i="9"/>
  <c r="DQ502" i="9" s="1"/>
  <c r="W502" i="9"/>
  <c r="CN502" i="9" s="1"/>
  <c r="AE502" i="9"/>
  <c r="CV502" i="9" s="1"/>
  <c r="BA502" i="9"/>
  <c r="DR502" i="9" s="1"/>
  <c r="AL502" i="9"/>
  <c r="DC502" i="9" s="1"/>
  <c r="AN502" i="9"/>
  <c r="DE502" i="9" s="1"/>
  <c r="AM502" i="9"/>
  <c r="DD502" i="9" s="1"/>
  <c r="BI502" i="9"/>
  <c r="DZ502" i="9" s="1"/>
  <c r="BP502" i="9"/>
  <c r="EG502" i="9" s="1"/>
  <c r="AG502" i="9"/>
  <c r="CX502" i="9" s="1"/>
  <c r="X502" i="9"/>
  <c r="CO502" i="9" s="1"/>
  <c r="AF502" i="9"/>
  <c r="CW502" i="9" s="1"/>
  <c r="BF502" i="9"/>
  <c r="DW502" i="9" s="1"/>
  <c r="AQ502" i="9"/>
  <c r="DH502" i="9" s="1"/>
  <c r="BG502" i="9"/>
  <c r="DX502" i="9" s="1"/>
  <c r="AV502" i="9"/>
  <c r="DM502" i="9" s="1"/>
  <c r="BR502" i="9"/>
  <c r="EI502" i="9" s="1"/>
  <c r="AR502" i="9"/>
  <c r="DI502" i="9" s="1"/>
  <c r="AS502" i="9"/>
  <c r="DJ502" i="9" s="1"/>
  <c r="BH502" i="9"/>
  <c r="DY502" i="9" s="1"/>
  <c r="AX502" i="9"/>
  <c r="DO502" i="9" s="1"/>
  <c r="U502" i="9"/>
  <c r="CL502" i="9" s="1"/>
  <c r="BN502" i="9"/>
  <c r="EE502" i="9" s="1"/>
  <c r="V502" i="9"/>
  <c r="CM502" i="9" s="1"/>
  <c r="Y502" i="9"/>
  <c r="CP502" i="9" s="1"/>
  <c r="AT502" i="9"/>
  <c r="DK502" i="9" s="1"/>
  <c r="BO502" i="9"/>
  <c r="EF502" i="9" s="1"/>
  <c r="BQ502" i="9"/>
  <c r="EH502" i="9" s="1"/>
  <c r="AJ502" i="9"/>
  <c r="DA502" i="9" s="1"/>
  <c r="BB502" i="9"/>
  <c r="DS502" i="9" s="1"/>
  <c r="AC502" i="9"/>
  <c r="CT502" i="9" s="1"/>
  <c r="AD502" i="9"/>
  <c r="CU502" i="9" s="1"/>
  <c r="AK502" i="9"/>
  <c r="DB502" i="9" s="1"/>
  <c r="AW502" i="9"/>
  <c r="DN502" i="9" s="1"/>
  <c r="AA502" i="9"/>
  <c r="CR502" i="9" s="1"/>
  <c r="BK502" i="9"/>
  <c r="EB502" i="9" s="1"/>
  <c r="BM502" i="9"/>
  <c r="ED502" i="9" s="1"/>
  <c r="BJ502" i="9"/>
  <c r="EA502" i="9" s="1"/>
  <c r="BD502" i="9"/>
  <c r="DU502" i="9" s="1"/>
  <c r="AU502" i="9"/>
  <c r="DL502" i="9" s="1"/>
  <c r="Z502" i="9"/>
  <c r="CQ502" i="9" s="1"/>
  <c r="AY502" i="9"/>
  <c r="DP502" i="9" s="1"/>
  <c r="BC502" i="9"/>
  <c r="DT502" i="9" s="1"/>
  <c r="AP502" i="9"/>
  <c r="DG502" i="9" s="1"/>
  <c r="M502" i="9"/>
  <c r="T502" i="9"/>
  <c r="S502" i="9"/>
  <c r="P502" i="9"/>
  <c r="O502" i="9"/>
  <c r="CF502" i="9" s="1"/>
  <c r="Q502" i="9"/>
  <c r="R502" i="9"/>
  <c r="L502" i="9"/>
  <c r="N502" i="9"/>
  <c r="K502" i="9"/>
  <c r="AN291" i="9"/>
  <c r="DE291" i="9" s="1"/>
  <c r="BB291" i="9"/>
  <c r="DS291" i="9" s="1"/>
  <c r="U291" i="9"/>
  <c r="CL291" i="9" s="1"/>
  <c r="AQ291" i="9"/>
  <c r="DH291" i="9" s="1"/>
  <c r="Z291" i="9"/>
  <c r="CQ291" i="9" s="1"/>
  <c r="AF291" i="9"/>
  <c r="CW291" i="9" s="1"/>
  <c r="AD291" i="9"/>
  <c r="CU291" i="9" s="1"/>
  <c r="BP291" i="9"/>
  <c r="EG291" i="9" s="1"/>
  <c r="AI291" i="9"/>
  <c r="CZ291" i="9" s="1"/>
  <c r="AG291" i="9"/>
  <c r="CX291" i="9" s="1"/>
  <c r="BK291" i="9"/>
  <c r="EB291" i="9" s="1"/>
  <c r="V291" i="9"/>
  <c r="CM291" i="9" s="1"/>
  <c r="BH291" i="9"/>
  <c r="DY291" i="9" s="1"/>
  <c r="AA291" i="9"/>
  <c r="CR291" i="9" s="1"/>
  <c r="Y291" i="9"/>
  <c r="CP291" i="9" s="1"/>
  <c r="BC291" i="9"/>
  <c r="DT291" i="9" s="1"/>
  <c r="BQ291" i="9"/>
  <c r="EH291" i="9" s="1"/>
  <c r="AR291" i="9"/>
  <c r="DI291" i="9" s="1"/>
  <c r="BN291" i="9"/>
  <c r="EE291" i="9" s="1"/>
  <c r="BM291" i="9"/>
  <c r="ED291" i="9" s="1"/>
  <c r="AM291" i="9"/>
  <c r="DD291" i="9" s="1"/>
  <c r="BI291" i="9"/>
  <c r="DZ291" i="9" s="1"/>
  <c r="AJ291" i="9"/>
  <c r="DA291" i="9" s="1"/>
  <c r="BF291" i="9"/>
  <c r="DW291" i="9" s="1"/>
  <c r="BE291" i="9"/>
  <c r="DV291" i="9" s="1"/>
  <c r="AE291" i="9"/>
  <c r="CV291" i="9" s="1"/>
  <c r="AS291" i="9"/>
  <c r="DJ291" i="9" s="1"/>
  <c r="AB291" i="9"/>
  <c r="CS291" i="9" s="1"/>
  <c r="AX291" i="9"/>
  <c r="DO291" i="9" s="1"/>
  <c r="AW291" i="9"/>
  <c r="DN291" i="9" s="1"/>
  <c r="W291" i="9"/>
  <c r="CN291" i="9" s="1"/>
  <c r="AK291" i="9"/>
  <c r="DB291" i="9" s="1"/>
  <c r="BO291" i="9"/>
  <c r="EF291" i="9" s="1"/>
  <c r="AP291" i="9"/>
  <c r="DG291" i="9" s="1"/>
  <c r="AO291" i="9"/>
  <c r="DF291" i="9" s="1"/>
  <c r="BL291" i="9"/>
  <c r="EC291" i="9" s="1"/>
  <c r="BJ291" i="9"/>
  <c r="EA291" i="9" s="1"/>
  <c r="AC291" i="9"/>
  <c r="CT291" i="9" s="1"/>
  <c r="BG291" i="9"/>
  <c r="DX291" i="9" s="1"/>
  <c r="AH291" i="9"/>
  <c r="CY291" i="9" s="1"/>
  <c r="AV291" i="9"/>
  <c r="DM291" i="9" s="1"/>
  <c r="BR291" i="9"/>
  <c r="EI291" i="9" s="1"/>
  <c r="AT291" i="9"/>
  <c r="DK291" i="9" s="1"/>
  <c r="BA291" i="9"/>
  <c r="DR291" i="9" s="1"/>
  <c r="AL291" i="9"/>
  <c r="DC291" i="9" s="1"/>
  <c r="AU291" i="9"/>
  <c r="DL291" i="9" s="1"/>
  <c r="X291" i="9"/>
  <c r="CO291" i="9" s="1"/>
  <c r="BD291" i="9"/>
  <c r="DU291" i="9" s="1"/>
  <c r="AY291" i="9"/>
  <c r="DP291" i="9" s="1"/>
  <c r="AZ291" i="9"/>
  <c r="DQ291" i="9" s="1"/>
  <c r="R291" i="9"/>
  <c r="CI291" i="9" s="1"/>
  <c r="T291" i="9"/>
  <c r="CK291" i="9" s="1"/>
  <c r="Q291" i="9"/>
  <c r="CH291" i="9" s="1"/>
  <c r="M291" i="9"/>
  <c r="CD291" i="9" s="1"/>
  <c r="O291" i="9"/>
  <c r="CF291" i="9" s="1"/>
  <c r="L291" i="9"/>
  <c r="CC291" i="9" s="1"/>
  <c r="S291" i="9"/>
  <c r="CJ291" i="9" s="1"/>
  <c r="P291" i="9"/>
  <c r="CG291" i="9" s="1"/>
  <c r="N291" i="9"/>
  <c r="CE291" i="9" s="1"/>
  <c r="K291" i="9"/>
  <c r="DK477" i="9"/>
  <c r="L425" i="9"/>
  <c r="H650" i="11" s="1"/>
  <c r="BU276" i="9"/>
  <c r="M155" i="6" s="1"/>
  <c r="BU321" i="9"/>
  <c r="M196" i="6" s="1"/>
  <c r="BT477" i="9"/>
  <c r="L338" i="6" s="1"/>
  <c r="BU320" i="9"/>
  <c r="M195" i="6" s="1"/>
  <c r="BT325" i="9"/>
  <c r="L200" i="6" s="1"/>
  <c r="BT577" i="9"/>
  <c r="L430" i="6" s="1"/>
  <c r="BT314" i="9"/>
  <c r="L189" i="6" s="1"/>
  <c r="BT318" i="9"/>
  <c r="L193" i="6" s="1"/>
  <c r="BT515" i="9"/>
  <c r="L374" i="6" s="1"/>
  <c r="BU312" i="9"/>
  <c r="M187" i="6" s="1"/>
  <c r="S473" i="9"/>
  <c r="O652" i="11" s="1"/>
  <c r="DL309" i="9"/>
  <c r="AU329" i="9"/>
  <c r="AQ646" i="11" s="1"/>
  <c r="DQ309" i="9"/>
  <c r="AZ329" i="9"/>
  <c r="AV646" i="11" s="1"/>
  <c r="AL329" i="9"/>
  <c r="AH646" i="11" s="1"/>
  <c r="DC309" i="9"/>
  <c r="CS309" i="9"/>
  <c r="AB329" i="9"/>
  <c r="X646" i="11" s="1"/>
  <c r="CP309" i="9"/>
  <c r="Y329" i="9"/>
  <c r="U646" i="11" s="1"/>
  <c r="DJ309" i="9"/>
  <c r="AS329" i="9"/>
  <c r="AO646" i="11" s="1"/>
  <c r="DH309" i="9"/>
  <c r="AQ329" i="9"/>
  <c r="AM646" i="11" s="1"/>
  <c r="BR353" i="9"/>
  <c r="BN647" i="11" s="1"/>
  <c r="CR407" i="9"/>
  <c r="AA425" i="9"/>
  <c r="W650" i="11" s="1"/>
  <c r="ED407" i="9"/>
  <c r="BM425" i="9"/>
  <c r="BI650" i="11" s="1"/>
  <c r="DF407" i="9"/>
  <c r="AO425" i="9"/>
  <c r="AK650" i="11" s="1"/>
  <c r="CL407" i="9"/>
  <c r="U425" i="9"/>
  <c r="Q650" i="11" s="1"/>
  <c r="DM407" i="9"/>
  <c r="AV425" i="9"/>
  <c r="AR650" i="11" s="1"/>
  <c r="DL407" i="9"/>
  <c r="AU425" i="9"/>
  <c r="AQ650" i="11" s="1"/>
  <c r="AG593" i="9"/>
  <c r="AC657" i="11" s="1"/>
  <c r="EG455" i="9"/>
  <c r="BP473" i="9"/>
  <c r="BL652" i="11" s="1"/>
  <c r="CO455" i="9"/>
  <c r="X473" i="9"/>
  <c r="T652" i="11" s="1"/>
  <c r="EA455" i="9"/>
  <c r="BJ473" i="9"/>
  <c r="BF652" i="11" s="1"/>
  <c r="CU455" i="9"/>
  <c r="AD473" i="9"/>
  <c r="Z652" i="11" s="1"/>
  <c r="CM455" i="9"/>
  <c r="V473" i="9"/>
  <c r="R652" i="11" s="1"/>
  <c r="ED577" i="9"/>
  <c r="BM593" i="9"/>
  <c r="BI657" i="11" s="1"/>
  <c r="CU577" i="9"/>
  <c r="AD593" i="9"/>
  <c r="Z657" i="11" s="1"/>
  <c r="AT391" i="9"/>
  <c r="DK391" i="9" s="1"/>
  <c r="V391" i="9"/>
  <c r="CM391" i="9" s="1"/>
  <c r="BI391" i="9"/>
  <c r="DZ391" i="9" s="1"/>
  <c r="X391" i="9"/>
  <c r="CO391" i="9" s="1"/>
  <c r="AS391" i="9"/>
  <c r="DJ391" i="9" s="1"/>
  <c r="Z391" i="9"/>
  <c r="CQ391" i="9" s="1"/>
  <c r="BH391" i="9"/>
  <c r="DY391" i="9" s="1"/>
  <c r="AU391" i="9"/>
  <c r="DL391" i="9" s="1"/>
  <c r="AV391" i="9"/>
  <c r="DM391" i="9" s="1"/>
  <c r="BK391" i="9"/>
  <c r="EB391" i="9" s="1"/>
  <c r="AL391" i="9"/>
  <c r="DC391" i="9" s="1"/>
  <c r="AO391" i="9"/>
  <c r="DF391" i="9" s="1"/>
  <c r="BE391" i="9"/>
  <c r="DV391" i="9" s="1"/>
  <c r="AG391" i="9"/>
  <c r="CX391" i="9" s="1"/>
  <c r="AM391" i="9"/>
  <c r="DD391" i="9" s="1"/>
  <c r="BL391" i="9"/>
  <c r="EC391" i="9" s="1"/>
  <c r="AR391" i="9"/>
  <c r="DI391" i="9" s="1"/>
  <c r="BF391" i="9"/>
  <c r="DW391" i="9" s="1"/>
  <c r="BM391" i="9"/>
  <c r="ED391" i="9" s="1"/>
  <c r="Y391" i="9"/>
  <c r="CP391" i="9" s="1"/>
  <c r="AQ391" i="9"/>
  <c r="DH391" i="9" s="1"/>
  <c r="BA391" i="9"/>
  <c r="DR391" i="9" s="1"/>
  <c r="AE391" i="9"/>
  <c r="CV391" i="9" s="1"/>
  <c r="BQ391" i="9"/>
  <c r="EH391" i="9" s="1"/>
  <c r="BG391" i="9"/>
  <c r="DX391" i="9" s="1"/>
  <c r="AI391" i="9"/>
  <c r="CZ391" i="9" s="1"/>
  <c r="AW391" i="9"/>
  <c r="DN391" i="9" s="1"/>
  <c r="BN391" i="9"/>
  <c r="EE391" i="9" s="1"/>
  <c r="BC391" i="9"/>
  <c r="DT391" i="9" s="1"/>
  <c r="AP391" i="9"/>
  <c r="DG391" i="9" s="1"/>
  <c r="AA391" i="9"/>
  <c r="CR391" i="9" s="1"/>
  <c r="AJ391" i="9"/>
  <c r="DA391" i="9" s="1"/>
  <c r="AD391" i="9"/>
  <c r="CU391" i="9" s="1"/>
  <c r="BO391" i="9"/>
  <c r="EF391" i="9" s="1"/>
  <c r="BD391" i="9"/>
  <c r="DU391" i="9" s="1"/>
  <c r="AK391" i="9"/>
  <c r="DB391" i="9" s="1"/>
  <c r="W391" i="9"/>
  <c r="CN391" i="9" s="1"/>
  <c r="AF391" i="9"/>
  <c r="CW391" i="9" s="1"/>
  <c r="AZ391" i="9"/>
  <c r="DQ391" i="9" s="1"/>
  <c r="AC391" i="9"/>
  <c r="CT391" i="9" s="1"/>
  <c r="BJ391" i="9"/>
  <c r="EA391" i="9" s="1"/>
  <c r="BB391" i="9"/>
  <c r="DS391" i="9" s="1"/>
  <c r="AY391" i="9"/>
  <c r="DP391" i="9" s="1"/>
  <c r="BR391" i="9"/>
  <c r="EI391" i="9" s="1"/>
  <c r="BP391" i="9"/>
  <c r="EG391" i="9" s="1"/>
  <c r="AB391" i="9"/>
  <c r="CS391" i="9" s="1"/>
  <c r="U391" i="9"/>
  <c r="CL391" i="9" s="1"/>
  <c r="AX391" i="9"/>
  <c r="DO391" i="9" s="1"/>
  <c r="AN391" i="9"/>
  <c r="DE391" i="9" s="1"/>
  <c r="AH391" i="9"/>
  <c r="CY391" i="9" s="1"/>
  <c r="O391" i="9"/>
  <c r="CF391" i="9" s="1"/>
  <c r="R391" i="9"/>
  <c r="CI391" i="9" s="1"/>
  <c r="M391" i="9"/>
  <c r="CD391" i="9" s="1"/>
  <c r="Q391" i="9"/>
  <c r="CH391" i="9" s="1"/>
  <c r="S391" i="9"/>
  <c r="CJ391" i="9" s="1"/>
  <c r="N391" i="9"/>
  <c r="CE391" i="9" s="1"/>
  <c r="T391" i="9"/>
  <c r="CK391" i="9" s="1"/>
  <c r="P391" i="9"/>
  <c r="CG391" i="9" s="1"/>
  <c r="L391" i="9"/>
  <c r="CC391" i="9" s="1"/>
  <c r="BF446" i="9"/>
  <c r="DW446" i="9" s="1"/>
  <c r="AO446" i="9"/>
  <c r="DF446" i="9" s="1"/>
  <c r="X446" i="9"/>
  <c r="CO446" i="9" s="1"/>
  <c r="AZ446" i="9"/>
  <c r="DQ446" i="9" s="1"/>
  <c r="BK446" i="9"/>
  <c r="EB446" i="9" s="1"/>
  <c r="AJ446" i="9"/>
  <c r="DA446" i="9" s="1"/>
  <c r="BO446" i="9"/>
  <c r="EF446" i="9" s="1"/>
  <c r="AX446" i="9"/>
  <c r="DO446" i="9" s="1"/>
  <c r="AG446" i="9"/>
  <c r="CX446" i="9" s="1"/>
  <c r="BR446" i="9"/>
  <c r="EI446" i="9" s="1"/>
  <c r="AC446" i="9"/>
  <c r="CT446" i="9" s="1"/>
  <c r="AR446" i="9"/>
  <c r="DI446" i="9" s="1"/>
  <c r="BA446" i="9"/>
  <c r="DR446" i="9" s="1"/>
  <c r="BG446" i="9"/>
  <c r="DX446" i="9" s="1"/>
  <c r="AP446" i="9"/>
  <c r="DG446" i="9" s="1"/>
  <c r="Y446" i="9"/>
  <c r="CP446" i="9" s="1"/>
  <c r="BJ446" i="9"/>
  <c r="EA446" i="9" s="1"/>
  <c r="BQ446" i="9"/>
  <c r="EH446" i="9" s="1"/>
  <c r="U446" i="9"/>
  <c r="CL446" i="9" s="1"/>
  <c r="AE446" i="9"/>
  <c r="CV446" i="9" s="1"/>
  <c r="AY446" i="9"/>
  <c r="DP446" i="9" s="1"/>
  <c r="AH446" i="9"/>
  <c r="CY446" i="9" s="1"/>
  <c r="BL446" i="9"/>
  <c r="EC446" i="9" s="1"/>
  <c r="BB446" i="9"/>
  <c r="DS446" i="9" s="1"/>
  <c r="AU446" i="9"/>
  <c r="DL446" i="9" s="1"/>
  <c r="BI446" i="9"/>
  <c r="DZ446" i="9" s="1"/>
  <c r="AQ446" i="9"/>
  <c r="DH446" i="9" s="1"/>
  <c r="Z446" i="9"/>
  <c r="CQ446" i="9" s="1"/>
  <c r="BD446" i="9"/>
  <c r="DU446" i="9" s="1"/>
  <c r="AT446" i="9"/>
  <c r="DK446" i="9" s="1"/>
  <c r="AB446" i="9"/>
  <c r="CS446" i="9" s="1"/>
  <c r="AM446" i="9"/>
  <c r="DD446" i="9" s="1"/>
  <c r="AI446" i="9"/>
  <c r="CZ446" i="9" s="1"/>
  <c r="BM446" i="9"/>
  <c r="ED446" i="9" s="1"/>
  <c r="AV446" i="9"/>
  <c r="DM446" i="9" s="1"/>
  <c r="AL446" i="9"/>
  <c r="DC446" i="9" s="1"/>
  <c r="BP446" i="9"/>
  <c r="EG446" i="9" s="1"/>
  <c r="BH446" i="9"/>
  <c r="DY446" i="9" s="1"/>
  <c r="BN446" i="9"/>
  <c r="EE446" i="9" s="1"/>
  <c r="AW446" i="9"/>
  <c r="DN446" i="9" s="1"/>
  <c r="AF446" i="9"/>
  <c r="CW446" i="9" s="1"/>
  <c r="V446" i="9"/>
  <c r="CM446" i="9" s="1"/>
  <c r="W446" i="9"/>
  <c r="CN446" i="9" s="1"/>
  <c r="BC446" i="9"/>
  <c r="DT446" i="9" s="1"/>
  <c r="AN446" i="9"/>
  <c r="DE446" i="9" s="1"/>
  <c r="AD446" i="9"/>
  <c r="CU446" i="9" s="1"/>
  <c r="AS446" i="9"/>
  <c r="DJ446" i="9" s="1"/>
  <c r="AK446" i="9"/>
  <c r="DB446" i="9" s="1"/>
  <c r="AA446" i="9"/>
  <c r="CR446" i="9" s="1"/>
  <c r="BE446" i="9"/>
  <c r="DV446" i="9" s="1"/>
  <c r="N446" i="9"/>
  <c r="CE446" i="9" s="1"/>
  <c r="T446" i="9"/>
  <c r="CK446" i="9" s="1"/>
  <c r="S446" i="9"/>
  <c r="CJ446" i="9" s="1"/>
  <c r="Q446" i="9"/>
  <c r="CH446" i="9" s="1"/>
  <c r="L446" i="9"/>
  <c r="CC446" i="9" s="1"/>
  <c r="P446" i="9"/>
  <c r="CG446" i="9" s="1"/>
  <c r="M446" i="9"/>
  <c r="CD446" i="9" s="1"/>
  <c r="R446" i="9"/>
  <c r="CI446" i="9" s="1"/>
  <c r="O446" i="9"/>
  <c r="CF446" i="9" s="1"/>
  <c r="K446" i="9"/>
  <c r="AR353" i="9"/>
  <c r="AN647" i="11" s="1"/>
  <c r="V262" i="9"/>
  <c r="CM262" i="9" s="1"/>
  <c r="AY262" i="9"/>
  <c r="DP262" i="9" s="1"/>
  <c r="AW262" i="9"/>
  <c r="DN262" i="9" s="1"/>
  <c r="AK262" i="9"/>
  <c r="DB262" i="9" s="1"/>
  <c r="AA262" i="9"/>
  <c r="CR262" i="9" s="1"/>
  <c r="AG262" i="9"/>
  <c r="CX262" i="9" s="1"/>
  <c r="AC262" i="9"/>
  <c r="CT262" i="9" s="1"/>
  <c r="BN262" i="9"/>
  <c r="EE262" i="9" s="1"/>
  <c r="Y262" i="9"/>
  <c r="CP262" i="9" s="1"/>
  <c r="AR262" i="9"/>
  <c r="DI262" i="9" s="1"/>
  <c r="BF262" i="9"/>
  <c r="DW262" i="9" s="1"/>
  <c r="AN262" i="9"/>
  <c r="DE262" i="9" s="1"/>
  <c r="AE262" i="9"/>
  <c r="CV262" i="9" s="1"/>
  <c r="AJ262" i="9"/>
  <c r="DA262" i="9" s="1"/>
  <c r="AX262" i="9"/>
  <c r="DO262" i="9" s="1"/>
  <c r="AF262" i="9"/>
  <c r="CW262" i="9" s="1"/>
  <c r="W262" i="9"/>
  <c r="CN262" i="9" s="1"/>
  <c r="AB262" i="9"/>
  <c r="CS262" i="9" s="1"/>
  <c r="AP262" i="9"/>
  <c r="DG262" i="9" s="1"/>
  <c r="X262" i="9"/>
  <c r="CO262" i="9" s="1"/>
  <c r="AL262" i="9"/>
  <c r="DC262" i="9" s="1"/>
  <c r="BO262" i="9"/>
  <c r="EF262" i="9" s="1"/>
  <c r="Z262" i="9"/>
  <c r="CQ262" i="9" s="1"/>
  <c r="AD262" i="9"/>
  <c r="CU262" i="9" s="1"/>
  <c r="BG262" i="9"/>
  <c r="DX262" i="9" s="1"/>
  <c r="BM262" i="9"/>
  <c r="ED262" i="9" s="1"/>
  <c r="AQ262" i="9"/>
  <c r="DH262" i="9" s="1"/>
  <c r="BK262" i="9"/>
  <c r="EB262" i="9" s="1"/>
  <c r="BE262" i="9"/>
  <c r="DV262" i="9" s="1"/>
  <c r="AH262" i="9"/>
  <c r="CY262" i="9" s="1"/>
  <c r="BL262" i="9"/>
  <c r="EC262" i="9" s="1"/>
  <c r="BA262" i="9"/>
  <c r="DR262" i="9" s="1"/>
  <c r="BP262" i="9"/>
  <c r="EG262" i="9" s="1"/>
  <c r="BD262" i="9"/>
  <c r="DU262" i="9" s="1"/>
  <c r="BB262" i="9"/>
  <c r="DS262" i="9" s="1"/>
  <c r="BJ262" i="9"/>
  <c r="EA262" i="9" s="1"/>
  <c r="BC262" i="9"/>
  <c r="DT262" i="9" s="1"/>
  <c r="BI262" i="9"/>
  <c r="DZ262" i="9" s="1"/>
  <c r="BQ262" i="9"/>
  <c r="EH262" i="9" s="1"/>
  <c r="BR262" i="9"/>
  <c r="EI262" i="9" s="1"/>
  <c r="AV262" i="9"/>
  <c r="DM262" i="9" s="1"/>
  <c r="AS262" i="9"/>
  <c r="DJ262" i="9" s="1"/>
  <c r="AI262" i="9"/>
  <c r="CZ262" i="9" s="1"/>
  <c r="AT262" i="9"/>
  <c r="DK262" i="9" s="1"/>
  <c r="U262" i="9"/>
  <c r="CL262" i="9" s="1"/>
  <c r="AM262" i="9"/>
  <c r="DD262" i="9" s="1"/>
  <c r="AU262" i="9"/>
  <c r="DL262" i="9" s="1"/>
  <c r="BH262" i="9"/>
  <c r="DY262" i="9" s="1"/>
  <c r="AO262" i="9"/>
  <c r="DF262" i="9" s="1"/>
  <c r="AZ262" i="9"/>
  <c r="DQ262" i="9" s="1"/>
  <c r="S262" i="9"/>
  <c r="CJ262" i="9" s="1"/>
  <c r="K262" i="9"/>
  <c r="M262" i="9"/>
  <c r="O262" i="9"/>
  <c r="T262" i="9"/>
  <c r="L262" i="9"/>
  <c r="R262" i="9"/>
  <c r="P262" i="9"/>
  <c r="Q262" i="9"/>
  <c r="N262" i="9"/>
  <c r="CE262" i="9" s="1"/>
  <c r="BK593" i="9"/>
  <c r="BG657" i="11" s="1"/>
  <c r="AJ353" i="9"/>
  <c r="AF647" i="11" s="1"/>
  <c r="DL337" i="9"/>
  <c r="AU353" i="9"/>
  <c r="AQ647" i="11" s="1"/>
  <c r="DR337" i="9"/>
  <c r="BA353" i="9"/>
  <c r="AW647" i="11" s="1"/>
  <c r="DN337" i="9"/>
  <c r="AW353" i="9"/>
  <c r="AS647" i="11" s="1"/>
  <c r="AD657" i="9"/>
  <c r="CU657" i="9" s="1"/>
  <c r="AC657" i="9"/>
  <c r="CT657" i="9" s="1"/>
  <c r="U657" i="9"/>
  <c r="CL657" i="9" s="1"/>
  <c r="BO657" i="9"/>
  <c r="EF657" i="9" s="1"/>
  <c r="BG657" i="9"/>
  <c r="DX657" i="9" s="1"/>
  <c r="AY657" i="9"/>
  <c r="DP657" i="9" s="1"/>
  <c r="AH657" i="9"/>
  <c r="CY657" i="9" s="1"/>
  <c r="AO657" i="9"/>
  <c r="DF657" i="9" s="1"/>
  <c r="Z657" i="9"/>
  <c r="CQ657" i="9" s="1"/>
  <c r="AI657" i="9"/>
  <c r="CZ657" i="9" s="1"/>
  <c r="BA657" i="9"/>
  <c r="DR657" i="9" s="1"/>
  <c r="BD657" i="9"/>
  <c r="DU657" i="9" s="1"/>
  <c r="AQ657" i="9"/>
  <c r="DH657" i="9" s="1"/>
  <c r="AF657" i="9"/>
  <c r="CW657" i="9" s="1"/>
  <c r="AM657" i="9"/>
  <c r="DD657" i="9" s="1"/>
  <c r="BK657" i="9"/>
  <c r="EB657" i="9" s="1"/>
  <c r="AA657" i="9"/>
  <c r="CR657" i="9" s="1"/>
  <c r="AX657" i="9"/>
  <c r="DO657" i="9" s="1"/>
  <c r="AW657" i="9"/>
  <c r="DN657" i="9" s="1"/>
  <c r="BI657" i="9"/>
  <c r="DZ657" i="9" s="1"/>
  <c r="AL657" i="9"/>
  <c r="DC657" i="9" s="1"/>
  <c r="BM657" i="9"/>
  <c r="ED657" i="9" s="1"/>
  <c r="AE657" i="9"/>
  <c r="CV657" i="9" s="1"/>
  <c r="BE657" i="9"/>
  <c r="DV657" i="9" s="1"/>
  <c r="BB657" i="9"/>
  <c r="DS657" i="9" s="1"/>
  <c r="AU657" i="9"/>
  <c r="DL657" i="9" s="1"/>
  <c r="BP657" i="9"/>
  <c r="EG657" i="9" s="1"/>
  <c r="AV657" i="9"/>
  <c r="DM657" i="9" s="1"/>
  <c r="AR657" i="9"/>
  <c r="DI657" i="9" s="1"/>
  <c r="AK657" i="9"/>
  <c r="DB657" i="9" s="1"/>
  <c r="AN657" i="9"/>
  <c r="DE657" i="9" s="1"/>
  <c r="AG657" i="9"/>
  <c r="CX657" i="9" s="1"/>
  <c r="BQ657" i="9"/>
  <c r="EH657" i="9" s="1"/>
  <c r="AJ657" i="9"/>
  <c r="DA657" i="9" s="1"/>
  <c r="Y657" i="9"/>
  <c r="CP657" i="9" s="1"/>
  <c r="W657" i="9"/>
  <c r="CN657" i="9" s="1"/>
  <c r="BH657" i="9"/>
  <c r="DY657" i="9" s="1"/>
  <c r="BL657" i="9"/>
  <c r="EC657" i="9" s="1"/>
  <c r="BC657" i="9"/>
  <c r="DT657" i="9" s="1"/>
  <c r="X657" i="9"/>
  <c r="CO657" i="9" s="1"/>
  <c r="AT657" i="9"/>
  <c r="DK657" i="9" s="1"/>
  <c r="AB657" i="9"/>
  <c r="CS657" i="9" s="1"/>
  <c r="AS657" i="9"/>
  <c r="DJ657" i="9" s="1"/>
  <c r="V657" i="9"/>
  <c r="CM657" i="9" s="1"/>
  <c r="BF657" i="9"/>
  <c r="DW657" i="9" s="1"/>
  <c r="AP657" i="9"/>
  <c r="DG657" i="9" s="1"/>
  <c r="BR657" i="9"/>
  <c r="EI657" i="9" s="1"/>
  <c r="BJ657" i="9"/>
  <c r="EA657" i="9" s="1"/>
  <c r="AZ657" i="9"/>
  <c r="DQ657" i="9" s="1"/>
  <c r="BN657" i="9"/>
  <c r="EE657" i="9" s="1"/>
  <c r="T657" i="9"/>
  <c r="CK657" i="9" s="1"/>
  <c r="K657" i="9"/>
  <c r="Q657" i="9"/>
  <c r="CH657" i="9" s="1"/>
  <c r="O657" i="9"/>
  <c r="CF657" i="9" s="1"/>
  <c r="S657" i="9"/>
  <c r="CJ657" i="9" s="1"/>
  <c r="N657" i="9"/>
  <c r="CE657" i="9" s="1"/>
  <c r="L657" i="9"/>
  <c r="CC657" i="9" s="1"/>
  <c r="P657" i="9"/>
  <c r="CG657" i="9" s="1"/>
  <c r="M657" i="9"/>
  <c r="CD657" i="9" s="1"/>
  <c r="R657" i="9"/>
  <c r="CI657" i="9" s="1"/>
  <c r="BE506" i="9"/>
  <c r="DV506" i="9" s="1"/>
  <c r="BH506" i="9"/>
  <c r="DY506" i="9" s="1"/>
  <c r="AB506" i="9"/>
  <c r="CS506" i="9" s="1"/>
  <c r="BO506" i="9"/>
  <c r="EF506" i="9" s="1"/>
  <c r="AU506" i="9"/>
  <c r="DL506" i="9" s="1"/>
  <c r="BF506" i="9"/>
  <c r="DW506" i="9" s="1"/>
  <c r="U506" i="9"/>
  <c r="CL506" i="9" s="1"/>
  <c r="BQ506" i="9"/>
  <c r="EH506" i="9" s="1"/>
  <c r="BK506" i="9"/>
  <c r="EB506" i="9" s="1"/>
  <c r="AQ506" i="9"/>
  <c r="DH506" i="9" s="1"/>
  <c r="AR506" i="9"/>
  <c r="DI506" i="9" s="1"/>
  <c r="AZ506" i="9"/>
  <c r="DQ506" i="9" s="1"/>
  <c r="BA506" i="9"/>
  <c r="DR506" i="9" s="1"/>
  <c r="BJ506" i="9"/>
  <c r="EA506" i="9" s="1"/>
  <c r="AI506" i="9"/>
  <c r="CZ506" i="9" s="1"/>
  <c r="AF506" i="9"/>
  <c r="CW506" i="9" s="1"/>
  <c r="BL506" i="9"/>
  <c r="EC506" i="9" s="1"/>
  <c r="AO506" i="9"/>
  <c r="DF506" i="9" s="1"/>
  <c r="BG506" i="9"/>
  <c r="DX506" i="9" s="1"/>
  <c r="AV506" i="9"/>
  <c r="DM506" i="9" s="1"/>
  <c r="BD506" i="9"/>
  <c r="DU506" i="9" s="1"/>
  <c r="BC506" i="9"/>
  <c r="DT506" i="9" s="1"/>
  <c r="AM506" i="9"/>
  <c r="DD506" i="9" s="1"/>
  <c r="BR506" i="9"/>
  <c r="EI506" i="9" s="1"/>
  <c r="AW506" i="9"/>
  <c r="DN506" i="9" s="1"/>
  <c r="AJ506" i="9"/>
  <c r="DA506" i="9" s="1"/>
  <c r="V506" i="9"/>
  <c r="CM506" i="9" s="1"/>
  <c r="AP506" i="9"/>
  <c r="DG506" i="9" s="1"/>
  <c r="BI506" i="9"/>
  <c r="DZ506" i="9" s="1"/>
  <c r="AE506" i="9"/>
  <c r="CV506" i="9" s="1"/>
  <c r="X506" i="9"/>
  <c r="CO506" i="9" s="1"/>
  <c r="AN506" i="9"/>
  <c r="DE506" i="9" s="1"/>
  <c r="W506" i="9"/>
  <c r="CN506" i="9" s="1"/>
  <c r="BB506" i="9"/>
  <c r="DS506" i="9" s="1"/>
  <c r="AS506" i="9"/>
  <c r="DJ506" i="9" s="1"/>
  <c r="Y506" i="9"/>
  <c r="CP506" i="9" s="1"/>
  <c r="AC506" i="9"/>
  <c r="CT506" i="9" s="1"/>
  <c r="AD506" i="9"/>
  <c r="CU506" i="9" s="1"/>
  <c r="BP506" i="9"/>
  <c r="EG506" i="9" s="1"/>
  <c r="AK506" i="9"/>
  <c r="DB506" i="9" s="1"/>
  <c r="Z506" i="9"/>
  <c r="CQ506" i="9" s="1"/>
  <c r="BM506" i="9"/>
  <c r="ED506" i="9" s="1"/>
  <c r="AL506" i="9"/>
  <c r="DC506" i="9" s="1"/>
  <c r="AH506" i="9"/>
  <c r="CY506" i="9" s="1"/>
  <c r="AT506" i="9"/>
  <c r="DK506" i="9" s="1"/>
  <c r="BN506" i="9"/>
  <c r="EE506" i="9" s="1"/>
  <c r="AG506" i="9"/>
  <c r="CX506" i="9" s="1"/>
  <c r="AY506" i="9"/>
  <c r="DP506" i="9" s="1"/>
  <c r="AX506" i="9"/>
  <c r="DO506" i="9" s="1"/>
  <c r="AA506" i="9"/>
  <c r="CR506" i="9" s="1"/>
  <c r="L506" i="9"/>
  <c r="CC506" i="9" s="1"/>
  <c r="T506" i="9"/>
  <c r="CK506" i="9" s="1"/>
  <c r="Q506" i="9"/>
  <c r="CH506" i="9" s="1"/>
  <c r="M506" i="9"/>
  <c r="CD506" i="9" s="1"/>
  <c r="S506" i="9"/>
  <c r="CJ506" i="9" s="1"/>
  <c r="P506" i="9"/>
  <c r="CG506" i="9" s="1"/>
  <c r="N506" i="9"/>
  <c r="CE506" i="9" s="1"/>
  <c r="O506" i="9"/>
  <c r="CF506" i="9" s="1"/>
  <c r="R506" i="9"/>
  <c r="CI506" i="9" s="1"/>
  <c r="K506" i="9"/>
  <c r="BQ593" i="9"/>
  <c r="BM657" i="11" s="1"/>
  <c r="BJ292" i="9"/>
  <c r="EA292" i="9" s="1"/>
  <c r="W292" i="9"/>
  <c r="CN292" i="9" s="1"/>
  <c r="AD292" i="9"/>
  <c r="CU292" i="9" s="1"/>
  <c r="AH292" i="9"/>
  <c r="CY292" i="9" s="1"/>
  <c r="AO292" i="9"/>
  <c r="DF292" i="9" s="1"/>
  <c r="BO292" i="9"/>
  <c r="EF292" i="9" s="1"/>
  <c r="AE292" i="9"/>
  <c r="CV292" i="9" s="1"/>
  <c r="BM292" i="9"/>
  <c r="ED292" i="9" s="1"/>
  <c r="AQ292" i="9"/>
  <c r="DH292" i="9" s="1"/>
  <c r="AG292" i="9"/>
  <c r="CX292" i="9" s="1"/>
  <c r="AJ292" i="9"/>
  <c r="DA292" i="9" s="1"/>
  <c r="Z292" i="9"/>
  <c r="CQ292" i="9" s="1"/>
  <c r="BK292" i="9"/>
  <c r="EB292" i="9" s="1"/>
  <c r="AF292" i="9"/>
  <c r="CW292" i="9" s="1"/>
  <c r="AB292" i="9"/>
  <c r="CS292" i="9" s="1"/>
  <c r="Y292" i="9"/>
  <c r="CP292" i="9" s="1"/>
  <c r="AC292" i="9"/>
  <c r="CT292" i="9" s="1"/>
  <c r="BL292" i="9"/>
  <c r="EC292" i="9" s="1"/>
  <c r="BP292" i="9"/>
  <c r="EG292" i="9" s="1"/>
  <c r="BH292" i="9"/>
  <c r="DY292" i="9" s="1"/>
  <c r="BE292" i="9"/>
  <c r="DV292" i="9" s="1"/>
  <c r="AA292" i="9"/>
  <c r="CR292" i="9" s="1"/>
  <c r="AI292" i="9"/>
  <c r="CZ292" i="9" s="1"/>
  <c r="AX292" i="9"/>
  <c r="DO292" i="9" s="1"/>
  <c r="AS292" i="9"/>
  <c r="DJ292" i="9" s="1"/>
  <c r="BN292" i="9"/>
  <c r="EE292" i="9" s="1"/>
  <c r="V292" i="9"/>
  <c r="CM292" i="9" s="1"/>
  <c r="AN292" i="9"/>
  <c r="DE292" i="9" s="1"/>
  <c r="AK292" i="9"/>
  <c r="DB292" i="9" s="1"/>
  <c r="BQ292" i="9"/>
  <c r="EH292" i="9" s="1"/>
  <c r="U292" i="9"/>
  <c r="CL292" i="9" s="1"/>
  <c r="BF292" i="9"/>
  <c r="DW292" i="9" s="1"/>
  <c r="BG292" i="9"/>
  <c r="DX292" i="9" s="1"/>
  <c r="AW292" i="9"/>
  <c r="DN292" i="9" s="1"/>
  <c r="AM292" i="9"/>
  <c r="DD292" i="9" s="1"/>
  <c r="AR292" i="9"/>
  <c r="DI292" i="9" s="1"/>
  <c r="BI292" i="9"/>
  <c r="DZ292" i="9" s="1"/>
  <c r="AP292" i="9"/>
  <c r="DG292" i="9" s="1"/>
  <c r="BB292" i="9"/>
  <c r="DS292" i="9" s="1"/>
  <c r="BC292" i="9"/>
  <c r="DT292" i="9" s="1"/>
  <c r="AV292" i="9"/>
  <c r="DM292" i="9" s="1"/>
  <c r="X292" i="9"/>
  <c r="CO292" i="9" s="1"/>
  <c r="AT292" i="9"/>
  <c r="DK292" i="9" s="1"/>
  <c r="AZ292" i="9"/>
  <c r="DQ292" i="9" s="1"/>
  <c r="AY292" i="9"/>
  <c r="DP292" i="9" s="1"/>
  <c r="BD292" i="9"/>
  <c r="DU292" i="9" s="1"/>
  <c r="AL292" i="9"/>
  <c r="DC292" i="9" s="1"/>
  <c r="BA292" i="9"/>
  <c r="DR292" i="9" s="1"/>
  <c r="BR292" i="9"/>
  <c r="EI292" i="9" s="1"/>
  <c r="AU292" i="9"/>
  <c r="DL292" i="9" s="1"/>
  <c r="T292" i="9"/>
  <c r="CK292" i="9" s="1"/>
  <c r="R292" i="9"/>
  <c r="CI292" i="9" s="1"/>
  <c r="Q292" i="9"/>
  <c r="CH292" i="9" s="1"/>
  <c r="S292" i="9"/>
  <c r="CJ292" i="9" s="1"/>
  <c r="L292" i="9"/>
  <c r="CC292" i="9" s="1"/>
  <c r="M292" i="9"/>
  <c r="CD292" i="9" s="1"/>
  <c r="O292" i="9"/>
  <c r="CF292" i="9" s="1"/>
  <c r="N292" i="9"/>
  <c r="CE292" i="9" s="1"/>
  <c r="K292" i="9"/>
  <c r="P292" i="9"/>
  <c r="CG292" i="9" s="1"/>
  <c r="DD549" i="9"/>
  <c r="BD353" i="9"/>
  <c r="AZ647" i="11" s="1"/>
  <c r="BE514" i="9"/>
  <c r="DV514" i="9" s="1"/>
  <c r="AI514" i="9"/>
  <c r="CZ514" i="9" s="1"/>
  <c r="AQ514" i="9"/>
  <c r="DH514" i="9" s="1"/>
  <c r="AL514" i="9"/>
  <c r="DC514" i="9" s="1"/>
  <c r="AW514" i="9"/>
  <c r="DN514" i="9" s="1"/>
  <c r="BQ514" i="9"/>
  <c r="EH514" i="9" s="1"/>
  <c r="W514" i="9"/>
  <c r="CN514" i="9" s="1"/>
  <c r="AR514" i="9"/>
  <c r="DI514" i="9" s="1"/>
  <c r="BO514" i="9"/>
  <c r="EF514" i="9" s="1"/>
  <c r="AV514" i="9"/>
  <c r="DM514" i="9" s="1"/>
  <c r="BR514" i="9"/>
  <c r="EI514" i="9" s="1"/>
  <c r="AT514" i="9"/>
  <c r="DK514" i="9" s="1"/>
  <c r="BH514" i="9"/>
  <c r="DY514" i="9" s="1"/>
  <c r="AS514" i="9"/>
  <c r="DJ514" i="9" s="1"/>
  <c r="AB514" i="9"/>
  <c r="CS514" i="9" s="1"/>
  <c r="BF514" i="9"/>
  <c r="DW514" i="9" s="1"/>
  <c r="BN514" i="9"/>
  <c r="EE514" i="9" s="1"/>
  <c r="BC514" i="9"/>
  <c r="DT514" i="9" s="1"/>
  <c r="AY514" i="9"/>
  <c r="DP514" i="9" s="1"/>
  <c r="BI514" i="9"/>
  <c r="DZ514" i="9" s="1"/>
  <c r="AG514" i="9"/>
  <c r="CX514" i="9" s="1"/>
  <c r="X514" i="9"/>
  <c r="CO514" i="9" s="1"/>
  <c r="AZ514" i="9"/>
  <c r="DQ514" i="9" s="1"/>
  <c r="BL514" i="9"/>
  <c r="EC514" i="9" s="1"/>
  <c r="BA514" i="9"/>
  <c r="DR514" i="9" s="1"/>
  <c r="BG514" i="9"/>
  <c r="DX514" i="9" s="1"/>
  <c r="AM514" i="9"/>
  <c r="DD514" i="9" s="1"/>
  <c r="AN514" i="9"/>
  <c r="DE514" i="9" s="1"/>
  <c r="AE514" i="9"/>
  <c r="CV514" i="9" s="1"/>
  <c r="Z514" i="9"/>
  <c r="CQ514" i="9" s="1"/>
  <c r="BD514" i="9"/>
  <c r="DU514" i="9" s="1"/>
  <c r="U514" i="9"/>
  <c r="CL514" i="9" s="1"/>
  <c r="BP514" i="9"/>
  <c r="EG514" i="9" s="1"/>
  <c r="BJ514" i="9"/>
  <c r="EA514" i="9" s="1"/>
  <c r="AO514" i="9"/>
  <c r="DF514" i="9" s="1"/>
  <c r="AH514" i="9"/>
  <c r="CY514" i="9" s="1"/>
  <c r="BK514" i="9"/>
  <c r="EB514" i="9" s="1"/>
  <c r="AJ514" i="9"/>
  <c r="DA514" i="9" s="1"/>
  <c r="AK514" i="9"/>
  <c r="DB514" i="9" s="1"/>
  <c r="BM514" i="9"/>
  <c r="ED514" i="9" s="1"/>
  <c r="AX514" i="9"/>
  <c r="DO514" i="9" s="1"/>
  <c r="AP514" i="9"/>
  <c r="DG514" i="9" s="1"/>
  <c r="AC514" i="9"/>
  <c r="CT514" i="9" s="1"/>
  <c r="AA514" i="9"/>
  <c r="CR514" i="9" s="1"/>
  <c r="AD514" i="9"/>
  <c r="CU514" i="9" s="1"/>
  <c r="AF514" i="9"/>
  <c r="CW514" i="9" s="1"/>
  <c r="V514" i="9"/>
  <c r="CM514" i="9" s="1"/>
  <c r="Y514" i="9"/>
  <c r="CP514" i="9" s="1"/>
  <c r="AU514" i="9"/>
  <c r="DL514" i="9" s="1"/>
  <c r="BB514" i="9"/>
  <c r="DS514" i="9" s="1"/>
  <c r="P514" i="9"/>
  <c r="CG514" i="9" s="1"/>
  <c r="R514" i="9"/>
  <c r="CI514" i="9" s="1"/>
  <c r="L514" i="9"/>
  <c r="CC514" i="9" s="1"/>
  <c r="Q514" i="9"/>
  <c r="CH514" i="9" s="1"/>
  <c r="T514" i="9"/>
  <c r="CK514" i="9" s="1"/>
  <c r="K514" i="9"/>
  <c r="S514" i="9"/>
  <c r="CJ514" i="9" s="1"/>
  <c r="N514" i="9"/>
  <c r="CE514" i="9" s="1"/>
  <c r="M514" i="9"/>
  <c r="CD514" i="9" s="1"/>
  <c r="O514" i="9"/>
  <c r="CF514" i="9" s="1"/>
  <c r="BL685" i="9"/>
  <c r="EC685" i="9" s="1"/>
  <c r="BR685" i="9"/>
  <c r="EI685" i="9" s="1"/>
  <c r="BA685" i="9"/>
  <c r="DR685" i="9" s="1"/>
  <c r="AO685" i="9"/>
  <c r="DF685" i="9" s="1"/>
  <c r="BD685" i="9"/>
  <c r="DU685" i="9" s="1"/>
  <c r="BJ685" i="9"/>
  <c r="EA685" i="9" s="1"/>
  <c r="AS685" i="9"/>
  <c r="DJ685" i="9" s="1"/>
  <c r="BG685" i="9"/>
  <c r="DX685" i="9" s="1"/>
  <c r="AN685" i="9"/>
  <c r="DE685" i="9" s="1"/>
  <c r="AT685" i="9"/>
  <c r="DK685" i="9" s="1"/>
  <c r="AB685" i="9"/>
  <c r="CS685" i="9" s="1"/>
  <c r="AI685" i="9"/>
  <c r="CZ685" i="9" s="1"/>
  <c r="BN685" i="9"/>
  <c r="EE685" i="9" s="1"/>
  <c r="X685" i="9"/>
  <c r="CO685" i="9" s="1"/>
  <c r="AL685" i="9"/>
  <c r="DC685" i="9" s="1"/>
  <c r="AA685" i="9"/>
  <c r="CR685" i="9" s="1"/>
  <c r="BF685" i="9"/>
  <c r="DW685" i="9" s="1"/>
  <c r="BK685" i="9"/>
  <c r="EB685" i="9" s="1"/>
  <c r="AD685" i="9"/>
  <c r="CU685" i="9" s="1"/>
  <c r="BO685" i="9"/>
  <c r="EF685" i="9" s="1"/>
  <c r="AX685" i="9"/>
  <c r="DO685" i="9" s="1"/>
  <c r="BC685" i="9"/>
  <c r="DT685" i="9" s="1"/>
  <c r="V685" i="9"/>
  <c r="CM685" i="9" s="1"/>
  <c r="BM685" i="9"/>
  <c r="ED685" i="9" s="1"/>
  <c r="AP685" i="9"/>
  <c r="DG685" i="9" s="1"/>
  <c r="AU685" i="9"/>
  <c r="DL685" i="9" s="1"/>
  <c r="BQ685" i="9"/>
  <c r="EH685" i="9" s="1"/>
  <c r="AQ685" i="9"/>
  <c r="DH685" i="9" s="1"/>
  <c r="AH685" i="9"/>
  <c r="CY685" i="9" s="1"/>
  <c r="W685" i="9"/>
  <c r="CN685" i="9" s="1"/>
  <c r="BI685" i="9"/>
  <c r="DZ685" i="9" s="1"/>
  <c r="BH685" i="9"/>
  <c r="DY685" i="9" s="1"/>
  <c r="AC685" i="9"/>
  <c r="CT685" i="9" s="1"/>
  <c r="AW685" i="9"/>
  <c r="DN685" i="9" s="1"/>
  <c r="BP685" i="9"/>
  <c r="EG685" i="9" s="1"/>
  <c r="AV685" i="9"/>
  <c r="DM685" i="9" s="1"/>
  <c r="AJ685" i="9"/>
  <c r="DA685" i="9" s="1"/>
  <c r="AM685" i="9"/>
  <c r="DD685" i="9" s="1"/>
  <c r="AR685" i="9"/>
  <c r="DI685" i="9" s="1"/>
  <c r="Z685" i="9"/>
  <c r="CQ685" i="9" s="1"/>
  <c r="AY685" i="9"/>
  <c r="DP685" i="9" s="1"/>
  <c r="U685" i="9"/>
  <c r="CL685" i="9" s="1"/>
  <c r="BB685" i="9"/>
  <c r="DS685" i="9" s="1"/>
  <c r="AZ685" i="9"/>
  <c r="DQ685" i="9" s="1"/>
  <c r="AG685" i="9"/>
  <c r="CX685" i="9" s="1"/>
  <c r="AF685" i="9"/>
  <c r="CW685" i="9" s="1"/>
  <c r="AK685" i="9"/>
  <c r="DB685" i="9" s="1"/>
  <c r="BE685" i="9"/>
  <c r="DV685" i="9" s="1"/>
  <c r="Y685" i="9"/>
  <c r="CP685" i="9" s="1"/>
  <c r="AE685" i="9"/>
  <c r="CV685" i="9" s="1"/>
  <c r="R685" i="9"/>
  <c r="CI685" i="9" s="1"/>
  <c r="P685" i="9"/>
  <c r="CG685" i="9" s="1"/>
  <c r="O685" i="9"/>
  <c r="CF685" i="9" s="1"/>
  <c r="S685" i="9"/>
  <c r="CJ685" i="9" s="1"/>
  <c r="Q685" i="9"/>
  <c r="CH685" i="9" s="1"/>
  <c r="L685" i="9"/>
  <c r="CC685" i="9" s="1"/>
  <c r="M685" i="9"/>
  <c r="CD685" i="9" s="1"/>
  <c r="T685" i="9"/>
  <c r="CK685" i="9" s="1"/>
  <c r="N685" i="9"/>
  <c r="CE685" i="9" s="1"/>
  <c r="BR678" i="9"/>
  <c r="EI678" i="9" s="1"/>
  <c r="AP678" i="9"/>
  <c r="DG678" i="9" s="1"/>
  <c r="BQ678" i="9"/>
  <c r="EH678" i="9" s="1"/>
  <c r="AI678" i="9"/>
  <c r="CZ678" i="9" s="1"/>
  <c r="AB678" i="9"/>
  <c r="CS678" i="9" s="1"/>
  <c r="BH678" i="9"/>
  <c r="DY678" i="9" s="1"/>
  <c r="AD678" i="9"/>
  <c r="CU678" i="9" s="1"/>
  <c r="BN678" i="9"/>
  <c r="EE678" i="9" s="1"/>
  <c r="AH678" i="9"/>
  <c r="CY678" i="9" s="1"/>
  <c r="BC678" i="9"/>
  <c r="DT678" i="9" s="1"/>
  <c r="AL678" i="9"/>
  <c r="DC678" i="9" s="1"/>
  <c r="W678" i="9"/>
  <c r="CN678" i="9" s="1"/>
  <c r="X678" i="9"/>
  <c r="CO678" i="9" s="1"/>
  <c r="BL678" i="9"/>
  <c r="EC678" i="9" s="1"/>
  <c r="AA678" i="9"/>
  <c r="CR678" i="9" s="1"/>
  <c r="AX678" i="9"/>
  <c r="DO678" i="9" s="1"/>
  <c r="BJ678" i="9"/>
  <c r="EA678" i="9" s="1"/>
  <c r="BO678" i="9"/>
  <c r="EF678" i="9" s="1"/>
  <c r="BM678" i="9"/>
  <c r="ED678" i="9" s="1"/>
  <c r="AU678" i="9"/>
  <c r="DL678" i="9" s="1"/>
  <c r="BF678" i="9"/>
  <c r="DW678" i="9" s="1"/>
  <c r="BK678" i="9"/>
  <c r="EB678" i="9" s="1"/>
  <c r="BD678" i="9"/>
  <c r="DU678" i="9" s="1"/>
  <c r="AT678" i="9"/>
  <c r="DK678" i="9" s="1"/>
  <c r="AS678" i="9"/>
  <c r="DJ678" i="9" s="1"/>
  <c r="AN678" i="9"/>
  <c r="DE678" i="9" s="1"/>
  <c r="BI678" i="9"/>
  <c r="DZ678" i="9" s="1"/>
  <c r="AQ678" i="9"/>
  <c r="DH678" i="9" s="1"/>
  <c r="V678" i="9"/>
  <c r="CM678" i="9" s="1"/>
  <c r="BG678" i="9"/>
  <c r="DX678" i="9" s="1"/>
  <c r="BA678" i="9"/>
  <c r="DR678" i="9" s="1"/>
  <c r="AO678" i="9"/>
  <c r="DF678" i="9" s="1"/>
  <c r="AY678" i="9"/>
  <c r="DP678" i="9" s="1"/>
  <c r="BP678" i="9"/>
  <c r="EG678" i="9" s="1"/>
  <c r="AJ678" i="9"/>
  <c r="DA678" i="9" s="1"/>
  <c r="AV678" i="9"/>
  <c r="DM678" i="9" s="1"/>
  <c r="BB678" i="9"/>
  <c r="DS678" i="9" s="1"/>
  <c r="AZ678" i="9"/>
  <c r="DQ678" i="9" s="1"/>
  <c r="AG678" i="9"/>
  <c r="CX678" i="9" s="1"/>
  <c r="AR678" i="9"/>
  <c r="DI678" i="9" s="1"/>
  <c r="AM678" i="9"/>
  <c r="DD678" i="9" s="1"/>
  <c r="AE678" i="9"/>
  <c r="CV678" i="9" s="1"/>
  <c r="AF678" i="9"/>
  <c r="CW678" i="9" s="1"/>
  <c r="BE678" i="9"/>
  <c r="DV678" i="9" s="1"/>
  <c r="U678" i="9"/>
  <c r="CL678" i="9" s="1"/>
  <c r="AC678" i="9"/>
  <c r="CT678" i="9" s="1"/>
  <c r="Z678" i="9"/>
  <c r="CQ678" i="9" s="1"/>
  <c r="AK678" i="9"/>
  <c r="DB678" i="9" s="1"/>
  <c r="AW678" i="9"/>
  <c r="DN678" i="9" s="1"/>
  <c r="Y678" i="9"/>
  <c r="CP678" i="9" s="1"/>
  <c r="N678" i="9"/>
  <c r="CE678" i="9" s="1"/>
  <c r="T678" i="9"/>
  <c r="CK678" i="9" s="1"/>
  <c r="R678" i="9"/>
  <c r="CI678" i="9" s="1"/>
  <c r="M678" i="9"/>
  <c r="CD678" i="9" s="1"/>
  <c r="Q678" i="9"/>
  <c r="CH678" i="9" s="1"/>
  <c r="P678" i="9"/>
  <c r="CG678" i="9" s="1"/>
  <c r="O678" i="9"/>
  <c r="CF678" i="9" s="1"/>
  <c r="L678" i="9"/>
  <c r="CC678" i="9" s="1"/>
  <c r="S678" i="9"/>
  <c r="CJ678" i="9" s="1"/>
  <c r="AR593" i="9"/>
  <c r="AN657" i="11" s="1"/>
  <c r="AO296" i="9"/>
  <c r="DF296" i="9" s="1"/>
  <c r="BQ296" i="9"/>
  <c r="EH296" i="9" s="1"/>
  <c r="AX296" i="9"/>
  <c r="DO296" i="9" s="1"/>
  <c r="BO296" i="9"/>
  <c r="EF296" i="9" s="1"/>
  <c r="AB296" i="9"/>
  <c r="CS296" i="9" s="1"/>
  <c r="Z296" i="9"/>
  <c r="CQ296" i="9" s="1"/>
  <c r="AR296" i="9"/>
  <c r="DI296" i="9" s="1"/>
  <c r="AG296" i="9"/>
  <c r="CX296" i="9" s="1"/>
  <c r="U296" i="9"/>
  <c r="CL296" i="9" s="1"/>
  <c r="AW296" i="9"/>
  <c r="DN296" i="9" s="1"/>
  <c r="BH296" i="9"/>
  <c r="DY296" i="9" s="1"/>
  <c r="AC296" i="9"/>
  <c r="CT296" i="9" s="1"/>
  <c r="BI296" i="9"/>
  <c r="DZ296" i="9" s="1"/>
  <c r="BF296" i="9"/>
  <c r="DW296" i="9" s="1"/>
  <c r="BN296" i="9"/>
  <c r="EE296" i="9" s="1"/>
  <c r="V296" i="9"/>
  <c r="CM296" i="9" s="1"/>
  <c r="BP296" i="9"/>
  <c r="EG296" i="9" s="1"/>
  <c r="W296" i="9"/>
  <c r="CN296" i="9" s="1"/>
  <c r="AJ296" i="9"/>
  <c r="DA296" i="9" s="1"/>
  <c r="AN296" i="9"/>
  <c r="DE296" i="9" s="1"/>
  <c r="AK296" i="9"/>
  <c r="DB296" i="9" s="1"/>
  <c r="BC296" i="9"/>
  <c r="DT296" i="9" s="1"/>
  <c r="BL296" i="9"/>
  <c r="EC296" i="9" s="1"/>
  <c r="AF296" i="9"/>
  <c r="CW296" i="9" s="1"/>
  <c r="AE296" i="9"/>
  <c r="CV296" i="9" s="1"/>
  <c r="BM296" i="9"/>
  <c r="ED296" i="9" s="1"/>
  <c r="AQ296" i="9"/>
  <c r="DH296" i="9" s="1"/>
  <c r="AS296" i="9"/>
  <c r="DJ296" i="9" s="1"/>
  <c r="BE296" i="9"/>
  <c r="DV296" i="9" s="1"/>
  <c r="BB296" i="9"/>
  <c r="DS296" i="9" s="1"/>
  <c r="BJ296" i="9"/>
  <c r="EA296" i="9" s="1"/>
  <c r="BK296" i="9"/>
  <c r="EB296" i="9" s="1"/>
  <c r="BG296" i="9"/>
  <c r="DX296" i="9" s="1"/>
  <c r="Y296" i="9"/>
  <c r="CP296" i="9" s="1"/>
  <c r="AD296" i="9"/>
  <c r="CU296" i="9" s="1"/>
  <c r="AH296" i="9"/>
  <c r="CY296" i="9" s="1"/>
  <c r="AM296" i="9"/>
  <c r="DD296" i="9" s="1"/>
  <c r="AI296" i="9"/>
  <c r="CZ296" i="9" s="1"/>
  <c r="AP296" i="9"/>
  <c r="DG296" i="9" s="1"/>
  <c r="AA296" i="9"/>
  <c r="CR296" i="9" s="1"/>
  <c r="X296" i="9"/>
  <c r="CO296" i="9" s="1"/>
  <c r="AT296" i="9"/>
  <c r="DK296" i="9" s="1"/>
  <c r="AL296" i="9"/>
  <c r="DC296" i="9" s="1"/>
  <c r="AV296" i="9"/>
  <c r="DM296" i="9" s="1"/>
  <c r="AU296" i="9"/>
  <c r="DL296" i="9" s="1"/>
  <c r="BD296" i="9"/>
  <c r="DU296" i="9" s="1"/>
  <c r="BR296" i="9"/>
  <c r="EI296" i="9" s="1"/>
  <c r="BA296" i="9"/>
  <c r="DR296" i="9" s="1"/>
  <c r="AZ296" i="9"/>
  <c r="DQ296" i="9" s="1"/>
  <c r="AY296" i="9"/>
  <c r="DP296" i="9" s="1"/>
  <c r="M296" i="9"/>
  <c r="CD296" i="9" s="1"/>
  <c r="S296" i="9"/>
  <c r="CJ296" i="9" s="1"/>
  <c r="O296" i="9"/>
  <c r="CF296" i="9" s="1"/>
  <c r="K296" i="9"/>
  <c r="T296" i="9"/>
  <c r="CK296" i="9" s="1"/>
  <c r="P296" i="9"/>
  <c r="CG296" i="9" s="1"/>
  <c r="R296" i="9"/>
  <c r="CI296" i="9" s="1"/>
  <c r="Q296" i="9"/>
  <c r="CH296" i="9" s="1"/>
  <c r="N296" i="9"/>
  <c r="CE296" i="9" s="1"/>
  <c r="L296" i="9"/>
  <c r="CC296" i="9" s="1"/>
  <c r="AG425" i="9"/>
  <c r="AC650" i="11" s="1"/>
  <c r="DB477" i="9"/>
  <c r="DF477" i="9"/>
  <c r="EI477" i="9"/>
  <c r="DA477" i="9"/>
  <c r="DG477" i="9"/>
  <c r="DD477" i="9"/>
  <c r="BN525" i="9"/>
  <c r="Y525" i="9"/>
  <c r="BC525" i="9"/>
  <c r="V525" i="9"/>
  <c r="BG525" i="9"/>
  <c r="AY525" i="9"/>
  <c r="AX525" i="9"/>
  <c r="BL525" i="9"/>
  <c r="AU525" i="9"/>
  <c r="BO525" i="9"/>
  <c r="AJ525" i="9"/>
  <c r="AP525" i="9"/>
  <c r="BD525" i="9"/>
  <c r="AM525" i="9"/>
  <c r="AR525" i="9"/>
  <c r="AZ525" i="9"/>
  <c r="AH525" i="9"/>
  <c r="AV525" i="9"/>
  <c r="AE525" i="9"/>
  <c r="U525" i="9"/>
  <c r="AC525" i="9"/>
  <c r="Z525" i="9"/>
  <c r="AN525" i="9"/>
  <c r="BR525" i="9"/>
  <c r="BI525" i="9"/>
  <c r="AS525" i="9"/>
  <c r="BM525" i="9"/>
  <c r="AF525" i="9"/>
  <c r="BB525" i="9"/>
  <c r="AQ525" i="9"/>
  <c r="BQ525" i="9"/>
  <c r="BE525" i="9"/>
  <c r="X525" i="9"/>
  <c r="AL525" i="9"/>
  <c r="BH525" i="9"/>
  <c r="BP525" i="9"/>
  <c r="AG525" i="9"/>
  <c r="BK525" i="9"/>
  <c r="AD525" i="9"/>
  <c r="AK525" i="9"/>
  <c r="BA525" i="9"/>
  <c r="I545" i="9"/>
  <c r="AW525" i="9"/>
  <c r="AA525" i="9"/>
  <c r="BF525" i="9"/>
  <c r="AO525" i="9"/>
  <c r="W525" i="9"/>
  <c r="AT525" i="9"/>
  <c r="AB525" i="9"/>
  <c r="AI525" i="9"/>
  <c r="BJ525" i="9"/>
  <c r="O525" i="9"/>
  <c r="R525" i="9"/>
  <c r="M525" i="9"/>
  <c r="K525" i="9"/>
  <c r="Q525" i="9"/>
  <c r="S525" i="9"/>
  <c r="N525" i="9"/>
  <c r="T525" i="9"/>
  <c r="P525" i="9"/>
  <c r="L525" i="9"/>
  <c r="AC534" i="9"/>
  <c r="CT534" i="9" s="1"/>
  <c r="BK534" i="9"/>
  <c r="EB534" i="9" s="1"/>
  <c r="BR534" i="9"/>
  <c r="EI534" i="9" s="1"/>
  <c r="BO534" i="9"/>
  <c r="EF534" i="9" s="1"/>
  <c r="V534" i="9"/>
  <c r="CM534" i="9" s="1"/>
  <c r="AN534" i="9"/>
  <c r="DE534" i="9" s="1"/>
  <c r="AR534" i="9"/>
  <c r="DI534" i="9" s="1"/>
  <c r="AD534" i="9"/>
  <c r="CU534" i="9" s="1"/>
  <c r="BG534" i="9"/>
  <c r="DX534" i="9" s="1"/>
  <c r="AZ534" i="9"/>
  <c r="DQ534" i="9" s="1"/>
  <c r="AK534" i="9"/>
  <c r="DB534" i="9" s="1"/>
  <c r="AE534" i="9"/>
  <c r="CV534" i="9" s="1"/>
  <c r="BQ534" i="9"/>
  <c r="EH534" i="9" s="1"/>
  <c r="AL534" i="9"/>
  <c r="DC534" i="9" s="1"/>
  <c r="Z534" i="9"/>
  <c r="CQ534" i="9" s="1"/>
  <c r="AU534" i="9"/>
  <c r="DL534" i="9" s="1"/>
  <c r="U534" i="9"/>
  <c r="CL534" i="9" s="1"/>
  <c r="AP534" i="9"/>
  <c r="DG534" i="9" s="1"/>
  <c r="BH534" i="9"/>
  <c r="DY534" i="9" s="1"/>
  <c r="BI534" i="9"/>
  <c r="DZ534" i="9" s="1"/>
  <c r="AY534" i="9"/>
  <c r="DP534" i="9" s="1"/>
  <c r="BC534" i="9"/>
  <c r="DT534" i="9" s="1"/>
  <c r="BP534" i="9"/>
  <c r="EG534" i="9" s="1"/>
  <c r="AH534" i="9"/>
  <c r="CY534" i="9" s="1"/>
  <c r="Y534" i="9"/>
  <c r="CP534" i="9" s="1"/>
  <c r="AQ534" i="9"/>
  <c r="DH534" i="9" s="1"/>
  <c r="AF534" i="9"/>
  <c r="CW534" i="9" s="1"/>
  <c r="BA534" i="9"/>
  <c r="DR534" i="9" s="1"/>
  <c r="BB534" i="9"/>
  <c r="DS534" i="9" s="1"/>
  <c r="BM534" i="9"/>
  <c r="ED534" i="9" s="1"/>
  <c r="BE534" i="9"/>
  <c r="DV534" i="9" s="1"/>
  <c r="AX534" i="9"/>
  <c r="DO534" i="9" s="1"/>
  <c r="BL534" i="9"/>
  <c r="EC534" i="9" s="1"/>
  <c r="AM534" i="9"/>
  <c r="DD534" i="9" s="1"/>
  <c r="AJ534" i="9"/>
  <c r="DA534" i="9" s="1"/>
  <c r="BN534" i="9"/>
  <c r="EE534" i="9" s="1"/>
  <c r="AS534" i="9"/>
  <c r="DJ534" i="9" s="1"/>
  <c r="BD534" i="9"/>
  <c r="DU534" i="9" s="1"/>
  <c r="AO534" i="9"/>
  <c r="DF534" i="9" s="1"/>
  <c r="AV534" i="9"/>
  <c r="DM534" i="9" s="1"/>
  <c r="X534" i="9"/>
  <c r="CO534" i="9" s="1"/>
  <c r="AG534" i="9"/>
  <c r="CX534" i="9" s="1"/>
  <c r="W534" i="9"/>
  <c r="CN534" i="9" s="1"/>
  <c r="AA534" i="9"/>
  <c r="CR534" i="9" s="1"/>
  <c r="AT534" i="9"/>
  <c r="DK534" i="9" s="1"/>
  <c r="BJ534" i="9"/>
  <c r="EA534" i="9" s="1"/>
  <c r="AB534" i="9"/>
  <c r="CS534" i="9" s="1"/>
  <c r="AW534" i="9"/>
  <c r="DN534" i="9" s="1"/>
  <c r="AI534" i="9"/>
  <c r="CZ534" i="9" s="1"/>
  <c r="BF534" i="9"/>
  <c r="DW534" i="9" s="1"/>
  <c r="N534" i="9"/>
  <c r="CE534" i="9" s="1"/>
  <c r="T534" i="9"/>
  <c r="CK534" i="9" s="1"/>
  <c r="S534" i="9"/>
  <c r="CJ534" i="9" s="1"/>
  <c r="M534" i="9"/>
  <c r="CD534" i="9" s="1"/>
  <c r="O534" i="9"/>
  <c r="CF534" i="9" s="1"/>
  <c r="R534" i="9"/>
  <c r="CI534" i="9" s="1"/>
  <c r="P534" i="9"/>
  <c r="CG534" i="9" s="1"/>
  <c r="L534" i="9"/>
  <c r="CC534" i="9" s="1"/>
  <c r="Q534" i="9"/>
  <c r="CH534" i="9" s="1"/>
  <c r="K534" i="9"/>
  <c r="BO537" i="9"/>
  <c r="EF537" i="9" s="1"/>
  <c r="Z537" i="9"/>
  <c r="CQ537" i="9" s="1"/>
  <c r="AN537" i="9"/>
  <c r="DE537" i="9" s="1"/>
  <c r="AU537" i="9"/>
  <c r="DL537" i="9" s="1"/>
  <c r="BK537" i="9"/>
  <c r="EB537" i="9" s="1"/>
  <c r="BG537" i="9"/>
  <c r="DX537" i="9" s="1"/>
  <c r="BM537" i="9"/>
  <c r="ED537" i="9" s="1"/>
  <c r="AF537" i="9"/>
  <c r="CW537" i="9" s="1"/>
  <c r="AC537" i="9"/>
  <c r="CT537" i="9" s="1"/>
  <c r="BI537" i="9"/>
  <c r="DZ537" i="9" s="1"/>
  <c r="AY537" i="9"/>
  <c r="DP537" i="9" s="1"/>
  <c r="BE537" i="9"/>
  <c r="DV537" i="9" s="1"/>
  <c r="X537" i="9"/>
  <c r="CO537" i="9" s="1"/>
  <c r="BQ537" i="9"/>
  <c r="EH537" i="9" s="1"/>
  <c r="BC537" i="9"/>
  <c r="DT537" i="9" s="1"/>
  <c r="BP537" i="9"/>
  <c r="EG537" i="9" s="1"/>
  <c r="AQ537" i="9"/>
  <c r="DH537" i="9" s="1"/>
  <c r="AG537" i="9"/>
  <c r="CX537" i="9" s="1"/>
  <c r="BB537" i="9"/>
  <c r="DS537" i="9" s="1"/>
  <c r="AM537" i="9"/>
  <c r="DD537" i="9" s="1"/>
  <c r="AS537" i="9"/>
  <c r="DJ537" i="9" s="1"/>
  <c r="BH537" i="9"/>
  <c r="DY537" i="9" s="1"/>
  <c r="BN537" i="9"/>
  <c r="EE537" i="9" s="1"/>
  <c r="Y537" i="9"/>
  <c r="CP537" i="9" s="1"/>
  <c r="AE537" i="9"/>
  <c r="CV537" i="9" s="1"/>
  <c r="U537" i="9"/>
  <c r="CL537" i="9" s="1"/>
  <c r="AZ537" i="9"/>
  <c r="DQ537" i="9" s="1"/>
  <c r="AX537" i="9"/>
  <c r="DO537" i="9" s="1"/>
  <c r="BL537" i="9"/>
  <c r="EC537" i="9" s="1"/>
  <c r="BA537" i="9"/>
  <c r="DR537" i="9" s="1"/>
  <c r="AL537" i="9"/>
  <c r="DC537" i="9" s="1"/>
  <c r="AR537" i="9"/>
  <c r="DI537" i="9" s="1"/>
  <c r="AP537" i="9"/>
  <c r="DG537" i="9" s="1"/>
  <c r="BD537" i="9"/>
  <c r="DU537" i="9" s="1"/>
  <c r="AD537" i="9"/>
  <c r="CU537" i="9" s="1"/>
  <c r="AK537" i="9"/>
  <c r="DB537" i="9" s="1"/>
  <c r="AJ537" i="9"/>
  <c r="DA537" i="9" s="1"/>
  <c r="AH537" i="9"/>
  <c r="CY537" i="9" s="1"/>
  <c r="AV537" i="9"/>
  <c r="DM537" i="9" s="1"/>
  <c r="BR537" i="9"/>
  <c r="EI537" i="9" s="1"/>
  <c r="V537" i="9"/>
  <c r="CM537" i="9" s="1"/>
  <c r="AI537" i="9"/>
  <c r="CZ537" i="9" s="1"/>
  <c r="BF537" i="9"/>
  <c r="DW537" i="9" s="1"/>
  <c r="W537" i="9"/>
  <c r="CN537" i="9" s="1"/>
  <c r="AT537" i="9"/>
  <c r="DK537" i="9" s="1"/>
  <c r="AW537" i="9"/>
  <c r="DN537" i="9" s="1"/>
  <c r="AB537" i="9"/>
  <c r="CS537" i="9" s="1"/>
  <c r="BJ537" i="9"/>
  <c r="EA537" i="9" s="1"/>
  <c r="AA537" i="9"/>
  <c r="CR537" i="9" s="1"/>
  <c r="AO537" i="9"/>
  <c r="DF537" i="9" s="1"/>
  <c r="S537" i="9"/>
  <c r="CJ537" i="9" s="1"/>
  <c r="N537" i="9"/>
  <c r="CE537" i="9" s="1"/>
  <c r="M537" i="9"/>
  <c r="CD537" i="9" s="1"/>
  <c r="P537" i="9"/>
  <c r="CG537" i="9" s="1"/>
  <c r="L537" i="9"/>
  <c r="CC537" i="9" s="1"/>
  <c r="K537" i="9"/>
  <c r="O537" i="9"/>
  <c r="CF537" i="9" s="1"/>
  <c r="T537" i="9"/>
  <c r="CK537" i="9" s="1"/>
  <c r="Q537" i="9"/>
  <c r="CH537" i="9" s="1"/>
  <c r="R537" i="9"/>
  <c r="CI537" i="9" s="1"/>
  <c r="BB329" i="9"/>
  <c r="AX646" i="11" s="1"/>
  <c r="DS309" i="9"/>
  <c r="CP407" i="9"/>
  <c r="Y425" i="9"/>
  <c r="U650" i="11" s="1"/>
  <c r="EI455" i="9"/>
  <c r="BR473" i="9"/>
  <c r="BN652" i="11" s="1"/>
  <c r="CL455" i="9"/>
  <c r="U473" i="9"/>
  <c r="Q652" i="11" s="1"/>
  <c r="DD577" i="9"/>
  <c r="AM593" i="9"/>
  <c r="AI657" i="11" s="1"/>
  <c r="AD683" i="9"/>
  <c r="CU683" i="9" s="1"/>
  <c r="BO683" i="9"/>
  <c r="EF683" i="9" s="1"/>
  <c r="AP683" i="9"/>
  <c r="DG683" i="9" s="1"/>
  <c r="AH683" i="9"/>
  <c r="CY683" i="9" s="1"/>
  <c r="V683" i="9"/>
  <c r="CM683" i="9" s="1"/>
  <c r="BG683" i="9"/>
  <c r="DX683" i="9" s="1"/>
  <c r="AO683" i="9"/>
  <c r="DF683" i="9" s="1"/>
  <c r="BM683" i="9"/>
  <c r="ED683" i="9" s="1"/>
  <c r="BQ683" i="9"/>
  <c r="EH683" i="9" s="1"/>
  <c r="AQ683" i="9"/>
  <c r="DH683" i="9" s="1"/>
  <c r="BD683" i="9"/>
  <c r="DU683" i="9" s="1"/>
  <c r="BN683" i="9"/>
  <c r="EE683" i="9" s="1"/>
  <c r="BL683" i="9"/>
  <c r="EC683" i="9" s="1"/>
  <c r="BI683" i="9"/>
  <c r="DZ683" i="9" s="1"/>
  <c r="AI683" i="9"/>
  <c r="CZ683" i="9" s="1"/>
  <c r="AN683" i="9"/>
  <c r="DE683" i="9" s="1"/>
  <c r="BR683" i="9"/>
  <c r="EI683" i="9" s="1"/>
  <c r="BA683" i="9"/>
  <c r="DR683" i="9" s="1"/>
  <c r="AA683" i="9"/>
  <c r="CR683" i="9" s="1"/>
  <c r="X683" i="9"/>
  <c r="CO683" i="9" s="1"/>
  <c r="BJ683" i="9"/>
  <c r="EA683" i="9" s="1"/>
  <c r="AS683" i="9"/>
  <c r="DJ683" i="9" s="1"/>
  <c r="BK683" i="9"/>
  <c r="EB683" i="9" s="1"/>
  <c r="BC683" i="9"/>
  <c r="DT683" i="9" s="1"/>
  <c r="AT683" i="9"/>
  <c r="DK683" i="9" s="1"/>
  <c r="BH683" i="9"/>
  <c r="DY683" i="9" s="1"/>
  <c r="AU683" i="9"/>
  <c r="DL683" i="9" s="1"/>
  <c r="W683" i="9"/>
  <c r="CN683" i="9" s="1"/>
  <c r="AL683" i="9"/>
  <c r="DC683" i="9" s="1"/>
  <c r="AB683" i="9"/>
  <c r="CS683" i="9" s="1"/>
  <c r="BF683" i="9"/>
  <c r="DW683" i="9" s="1"/>
  <c r="AX683" i="9"/>
  <c r="DO683" i="9" s="1"/>
  <c r="Y683" i="9"/>
  <c r="CP683" i="9" s="1"/>
  <c r="AZ683" i="9"/>
  <c r="DQ683" i="9" s="1"/>
  <c r="AY683" i="9"/>
  <c r="DP683" i="9" s="1"/>
  <c r="AC683" i="9"/>
  <c r="CT683" i="9" s="1"/>
  <c r="AE683" i="9"/>
  <c r="CV683" i="9" s="1"/>
  <c r="BE683" i="9"/>
  <c r="DV683" i="9" s="1"/>
  <c r="AG683" i="9"/>
  <c r="CX683" i="9" s="1"/>
  <c r="U683" i="9"/>
  <c r="CL683" i="9" s="1"/>
  <c r="BB683" i="9"/>
  <c r="DS683" i="9" s="1"/>
  <c r="AF683" i="9"/>
  <c r="CW683" i="9" s="1"/>
  <c r="AR683" i="9"/>
  <c r="DI683" i="9" s="1"/>
  <c r="AM683" i="9"/>
  <c r="DD683" i="9" s="1"/>
  <c r="AK683" i="9"/>
  <c r="DB683" i="9" s="1"/>
  <c r="Z683" i="9"/>
  <c r="CQ683" i="9" s="1"/>
  <c r="BP683" i="9"/>
  <c r="EG683" i="9" s="1"/>
  <c r="AJ683" i="9"/>
  <c r="DA683" i="9" s="1"/>
  <c r="AV683" i="9"/>
  <c r="DM683" i="9" s="1"/>
  <c r="AW683" i="9"/>
  <c r="DN683" i="9" s="1"/>
  <c r="Q683" i="9"/>
  <c r="CH683" i="9" s="1"/>
  <c r="N683" i="9"/>
  <c r="CE683" i="9" s="1"/>
  <c r="M683" i="9"/>
  <c r="CD683" i="9" s="1"/>
  <c r="T683" i="9"/>
  <c r="CK683" i="9" s="1"/>
  <c r="R683" i="9"/>
  <c r="CI683" i="9" s="1"/>
  <c r="P683" i="9"/>
  <c r="CG683" i="9" s="1"/>
  <c r="S683" i="9"/>
  <c r="CJ683" i="9" s="1"/>
  <c r="O683" i="9"/>
  <c r="CF683" i="9" s="1"/>
  <c r="L683" i="9"/>
  <c r="CC683" i="9" s="1"/>
  <c r="CZ477" i="9"/>
  <c r="T96" i="6"/>
  <c r="T449" i="6"/>
  <c r="T482" i="6"/>
  <c r="T300" i="6"/>
  <c r="T388" i="6"/>
  <c r="T308" i="6"/>
  <c r="T165" i="6"/>
  <c r="T278" i="6"/>
  <c r="T383" i="6"/>
  <c r="T426" i="6"/>
  <c r="T451" i="6"/>
  <c r="T501" i="6"/>
  <c r="T128" i="6"/>
  <c r="T233" i="6"/>
  <c r="T346" i="6"/>
  <c r="T441" i="6"/>
  <c r="T334" i="6"/>
  <c r="T190" i="6"/>
  <c r="T223" i="6"/>
  <c r="T266" i="6"/>
  <c r="T363" i="6"/>
  <c r="T483" i="6"/>
  <c r="T274" i="6"/>
  <c r="T180" i="6"/>
  <c r="T215" i="6"/>
  <c r="T188" i="6"/>
  <c r="T213" i="6"/>
  <c r="T263" i="6"/>
  <c r="T368" i="6"/>
  <c r="T411" i="6"/>
  <c r="T524" i="6"/>
  <c r="T318" i="6"/>
  <c r="T191" i="6"/>
  <c r="T234" i="6"/>
  <c r="T339" i="6"/>
  <c r="T452" i="6"/>
  <c r="T407" i="6"/>
  <c r="T457" i="6"/>
  <c r="T492" i="6"/>
  <c r="T533" i="6"/>
  <c r="T187" i="6"/>
  <c r="O529" i="6"/>
  <c r="O531" i="6"/>
  <c r="O515" i="6"/>
  <c r="O511" i="6"/>
  <c r="O504" i="6"/>
  <c r="O486" i="6"/>
  <c r="O474" i="6"/>
  <c r="O488" i="6"/>
  <c r="O452" i="6"/>
  <c r="O467" i="6"/>
  <c r="O437" i="6"/>
  <c r="O435" i="6"/>
  <c r="O411" i="6"/>
  <c r="O405" i="6"/>
  <c r="O422" i="6"/>
  <c r="O399" i="6"/>
  <c r="O394" i="6"/>
  <c r="O363" i="6"/>
  <c r="O379" i="6"/>
  <c r="O342" i="6"/>
  <c r="O350" i="6"/>
  <c r="T377" i="6"/>
  <c r="T412" i="6"/>
  <c r="T525" i="6"/>
  <c r="T531" i="6"/>
  <c r="T529" i="6"/>
  <c r="T458" i="6"/>
  <c r="T208" i="6"/>
  <c r="T311" i="6"/>
  <c r="T354" i="6"/>
  <c r="T379" i="6"/>
  <c r="T431" i="6"/>
  <c r="T464" i="6"/>
  <c r="T507" i="6"/>
  <c r="T186" i="6"/>
  <c r="T163" i="6"/>
  <c r="T276" i="6"/>
  <c r="T371" i="6"/>
  <c r="T493" i="6"/>
  <c r="T526" i="6"/>
  <c r="T153" i="6"/>
  <c r="T196" i="6"/>
  <c r="T291" i="6"/>
  <c r="T413" i="6"/>
  <c r="T518" i="6"/>
  <c r="T528" i="6"/>
  <c r="T145" i="6"/>
  <c r="T193" i="6"/>
  <c r="T298" i="6"/>
  <c r="T341" i="6"/>
  <c r="T454" i="6"/>
  <c r="T487" i="6"/>
  <c r="T476" i="6"/>
  <c r="T378" i="6"/>
  <c r="T164" i="6"/>
  <c r="T267" i="6"/>
  <c r="T310" i="6"/>
  <c r="T335" i="6"/>
  <c r="T387" i="6"/>
  <c r="T420" i="6"/>
  <c r="T463" i="6"/>
  <c r="T506" i="6"/>
  <c r="T158" i="6"/>
  <c r="T450" i="6"/>
  <c r="O533" i="6"/>
  <c r="O530" i="6"/>
  <c r="O519" i="6"/>
  <c r="O509" i="6"/>
  <c r="O493" i="6"/>
  <c r="O480" i="6"/>
  <c r="O485" i="6"/>
  <c r="O465" i="6"/>
  <c r="O460" i="6"/>
  <c r="O462" i="6"/>
  <c r="O436" i="6"/>
  <c r="O442" i="6"/>
  <c r="O413" i="6"/>
  <c r="O414" i="6"/>
  <c r="O415" i="6"/>
  <c r="O398" i="6"/>
  <c r="O384" i="6"/>
  <c r="O370" i="6"/>
  <c r="O368" i="6"/>
  <c r="O355" i="6"/>
  <c r="O357" i="6"/>
  <c r="T307" i="6"/>
  <c r="T342" i="6"/>
  <c r="T455" i="6"/>
  <c r="T498" i="6"/>
  <c r="T461" i="6"/>
  <c r="T504" i="6"/>
  <c r="T459" i="6"/>
  <c r="T509" i="6"/>
  <c r="T168" i="6"/>
  <c r="T136" i="6"/>
  <c r="T241" i="6"/>
  <c r="T284" i="6"/>
  <c r="T309" i="6"/>
  <c r="T361" i="6"/>
  <c r="T394" i="6"/>
  <c r="T437" i="6"/>
  <c r="T466" i="6"/>
  <c r="T206" i="6"/>
  <c r="T301" i="6"/>
  <c r="T421" i="6"/>
  <c r="T456" i="6"/>
  <c r="T499" i="6"/>
  <c r="T124" i="6"/>
  <c r="T406" i="6"/>
  <c r="T126" i="6"/>
  <c r="T221" i="6"/>
  <c r="T343" i="6"/>
  <c r="T448" i="6"/>
  <c r="T489" i="6"/>
  <c r="T344" i="6"/>
  <c r="T352" i="6"/>
  <c r="T123" i="6"/>
  <c r="T156" i="6"/>
  <c r="T269" i="6"/>
  <c r="T384" i="6"/>
  <c r="T417" i="6"/>
  <c r="T530" i="6"/>
  <c r="T485" i="6"/>
  <c r="T150" i="6"/>
  <c r="T440" i="6"/>
  <c r="T197" i="6"/>
  <c r="T240" i="6"/>
  <c r="T265" i="6"/>
  <c r="T317" i="6"/>
  <c r="T350" i="6"/>
  <c r="T393" i="6"/>
  <c r="T436" i="6"/>
  <c r="T176" i="6"/>
  <c r="T370" i="6"/>
  <c r="O526" i="6"/>
  <c r="O523" i="6"/>
  <c r="O532" i="6"/>
  <c r="O499" i="6"/>
  <c r="O498" i="6"/>
  <c r="O487" i="6"/>
  <c r="O489" i="6"/>
  <c r="O457" i="6"/>
  <c r="O456" i="6"/>
  <c r="O464" i="6"/>
  <c r="O441" i="6"/>
  <c r="O443" i="6"/>
  <c r="O407" i="6"/>
  <c r="O408" i="6"/>
  <c r="O387" i="6"/>
  <c r="O383" i="6"/>
  <c r="O396" i="6"/>
  <c r="O376" i="6"/>
  <c r="O362" i="6"/>
  <c r="O346" i="6"/>
  <c r="O345" i="6"/>
  <c r="O349" i="6"/>
  <c r="O319" i="6"/>
  <c r="T237" i="6"/>
  <c r="T272" i="6"/>
  <c r="T385" i="6"/>
  <c r="T428" i="6"/>
  <c r="T391" i="6"/>
  <c r="T434" i="6"/>
  <c r="T389" i="6"/>
  <c r="T439" i="6"/>
  <c r="T517" i="6"/>
  <c r="T246" i="6"/>
  <c r="T171" i="6"/>
  <c r="T214" i="6"/>
  <c r="T239" i="6"/>
  <c r="T289" i="6"/>
  <c r="T324" i="6"/>
  <c r="T367" i="6"/>
  <c r="T480" i="6"/>
  <c r="E480" i="6" s="1"/>
  <c r="T134" i="6"/>
  <c r="T231" i="6"/>
  <c r="T351" i="6"/>
  <c r="T386" i="6"/>
  <c r="T429" i="6"/>
  <c r="T151" i="6"/>
  <c r="T273" i="6"/>
  <c r="T376" i="6"/>
  <c r="T419" i="6"/>
  <c r="T532" i="6"/>
  <c r="T199" i="6"/>
  <c r="G199" i="6" s="1"/>
  <c r="T312" i="6"/>
  <c r="T347" i="6"/>
  <c r="T460" i="6"/>
  <c r="T415" i="6"/>
  <c r="T465" i="6"/>
  <c r="T500" i="6"/>
  <c r="T127" i="6"/>
  <c r="T170" i="6"/>
  <c r="T195" i="6"/>
  <c r="T245" i="6"/>
  <c r="T280" i="6"/>
  <c r="T323" i="6"/>
  <c r="G323" i="6" s="1"/>
  <c r="T366" i="6"/>
  <c r="T471" i="6"/>
  <c r="T514" i="6"/>
  <c r="O520" i="6"/>
  <c r="O522" i="6"/>
  <c r="O507" i="6"/>
  <c r="O500" i="6"/>
  <c r="O494" i="6"/>
  <c r="O481" i="6"/>
  <c r="O471" i="6"/>
  <c r="O463" i="6"/>
  <c r="O453" i="6"/>
  <c r="O450" i="6"/>
  <c r="O431" i="6"/>
  <c r="O434" i="6"/>
  <c r="O420" i="6"/>
  <c r="T167" i="6"/>
  <c r="T200" i="6"/>
  <c r="T313" i="6"/>
  <c r="T356" i="6"/>
  <c r="T321" i="6"/>
  <c r="T364" i="6"/>
  <c r="T319" i="6"/>
  <c r="T369" i="6"/>
  <c r="T474" i="6"/>
  <c r="T445" i="6"/>
  <c r="T169" i="6"/>
  <c r="T219" i="6"/>
  <c r="T254" i="6"/>
  <c r="T297" i="6"/>
  <c r="T410" i="6"/>
  <c r="T515" i="6"/>
  <c r="T264" i="6"/>
  <c r="T159" i="6"/>
  <c r="T281" i="6"/>
  <c r="T316" i="6"/>
  <c r="G316" i="6" s="1"/>
  <c r="T357" i="6"/>
  <c r="T472" i="6"/>
  <c r="T505" i="6"/>
  <c r="T202" i="6"/>
  <c r="T422" i="6"/>
  <c r="T201" i="6"/>
  <c r="T306" i="6"/>
  <c r="T349" i="6"/>
  <c r="T462" i="6"/>
  <c r="T497" i="6"/>
  <c r="T470" i="6"/>
  <c r="T495" i="6"/>
  <c r="T432" i="6"/>
  <c r="T129" i="6"/>
  <c r="T242" i="6"/>
  <c r="T277" i="6"/>
  <c r="T390" i="6"/>
  <c r="T345" i="6"/>
  <c r="T395" i="6"/>
  <c r="T430" i="6"/>
  <c r="T473" i="6"/>
  <c r="T130" i="6"/>
  <c r="T243" i="6"/>
  <c r="T286" i="6"/>
  <c r="T251" i="6"/>
  <c r="T222" i="6"/>
  <c r="T247" i="6"/>
  <c r="T299" i="6"/>
  <c r="T332" i="6"/>
  <c r="T375" i="6"/>
  <c r="T488" i="6"/>
  <c r="T326" i="6"/>
  <c r="T149" i="6"/>
  <c r="T184" i="6"/>
  <c r="H184" i="6" s="1"/>
  <c r="T225" i="6"/>
  <c r="T340" i="6"/>
  <c r="T443" i="6"/>
  <c r="T520" i="6"/>
  <c r="T211" i="6"/>
  <c r="T244" i="6"/>
  <c r="T287" i="6"/>
  <c r="T400" i="6"/>
  <c r="T435" i="6"/>
  <c r="T131" i="6"/>
  <c r="T236" i="6"/>
  <c r="T279" i="6"/>
  <c r="T392" i="6"/>
  <c r="T427" i="6"/>
  <c r="T398" i="6"/>
  <c r="T423" i="6"/>
  <c r="T475" i="6"/>
  <c r="T212" i="6"/>
  <c r="T172" i="6"/>
  <c r="T207" i="6"/>
  <c r="T320" i="6"/>
  <c r="T275" i="6"/>
  <c r="T325" i="6"/>
  <c r="T288" i="6"/>
  <c r="T401" i="6"/>
  <c r="T444" i="6"/>
  <c r="T494" i="6"/>
  <c r="T238" i="6"/>
  <c r="T181" i="6"/>
  <c r="T224" i="6"/>
  <c r="T329" i="6"/>
  <c r="T372" i="6"/>
  <c r="T397" i="6"/>
  <c r="O517" i="6"/>
  <c r="O521" i="6"/>
  <c r="O496" i="6"/>
  <c r="O505" i="6"/>
  <c r="O506" i="6"/>
  <c r="O476" i="6"/>
  <c r="O484" i="6"/>
  <c r="O459" i="6"/>
  <c r="T230" i="6"/>
  <c r="T173" i="6"/>
  <c r="T216" i="6"/>
  <c r="T179" i="6"/>
  <c r="T152" i="6"/>
  <c r="T177" i="6"/>
  <c r="T229" i="6"/>
  <c r="T262" i="6"/>
  <c r="T305" i="6"/>
  <c r="T418" i="6"/>
  <c r="T523" i="6"/>
  <c r="T256" i="6"/>
  <c r="T155" i="6"/>
  <c r="T268" i="6"/>
  <c r="T373" i="6"/>
  <c r="T486" i="6"/>
  <c r="T174" i="6"/>
  <c r="T217" i="6"/>
  <c r="T330" i="6"/>
  <c r="T365" i="6"/>
  <c r="T478" i="6"/>
  <c r="T503" i="6"/>
  <c r="T132" i="6"/>
  <c r="T166" i="6"/>
  <c r="T209" i="6"/>
  <c r="T322" i="6"/>
  <c r="T355" i="6"/>
  <c r="T328" i="6"/>
  <c r="T353" i="6"/>
  <c r="T405" i="6"/>
  <c r="T508" i="6"/>
  <c r="T484" i="6"/>
  <c r="T135" i="6"/>
  <c r="T178" i="6"/>
  <c r="T203" i="6"/>
  <c r="T519" i="6"/>
  <c r="T502" i="6"/>
  <c r="T146" i="6"/>
  <c r="T157" i="6"/>
  <c r="T192" i="6"/>
  <c r="T235" i="6"/>
  <c r="T348" i="6"/>
  <c r="T453" i="6"/>
  <c r="T496" i="6"/>
  <c r="T521" i="6"/>
  <c r="T396" i="6"/>
  <c r="T198" i="6"/>
  <c r="T303" i="6"/>
  <c r="T416" i="6"/>
  <c r="T511" i="6"/>
  <c r="T194" i="6"/>
  <c r="T147" i="6"/>
  <c r="T260" i="6"/>
  <c r="T295" i="6"/>
  <c r="T408" i="6"/>
  <c r="T433" i="6"/>
  <c r="T510" i="6"/>
  <c r="T137" i="6"/>
  <c r="T252" i="6"/>
  <c r="T285" i="6"/>
  <c r="T258" i="6"/>
  <c r="T283" i="6"/>
  <c r="T333" i="6"/>
  <c r="T438" i="6"/>
  <c r="T481" i="6"/>
  <c r="T290" i="6"/>
  <c r="T133" i="6"/>
  <c r="T185" i="6"/>
  <c r="T148" i="6"/>
  <c r="T261" i="6"/>
  <c r="T304" i="6"/>
  <c r="T409" i="6"/>
  <c r="T522" i="6"/>
  <c r="T477" i="6"/>
  <c r="T527" i="6"/>
  <c r="T362" i="6"/>
  <c r="T189" i="6"/>
  <c r="T232" i="6"/>
  <c r="T257" i="6"/>
  <c r="O518" i="6"/>
  <c r="O528" i="6"/>
  <c r="O501" i="6"/>
  <c r="O495" i="6"/>
  <c r="O479" i="6"/>
  <c r="O472" i="6"/>
  <c r="O473" i="6"/>
  <c r="O458" i="6"/>
  <c r="O461" i="6"/>
  <c r="O439" i="6"/>
  <c r="O430" i="6"/>
  <c r="O419" i="6"/>
  <c r="AV419" i="6" s="1"/>
  <c r="O421" i="6"/>
  <c r="AQ421" i="6" s="1"/>
  <c r="O418" i="6"/>
  <c r="O401" i="6"/>
  <c r="O393" i="6"/>
  <c r="AV393" i="6" s="1"/>
  <c r="O372" i="6"/>
  <c r="O371" i="6"/>
  <c r="O361" i="6"/>
  <c r="O343" i="6"/>
  <c r="O356" i="6"/>
  <c r="O322" i="6"/>
  <c r="O318" i="6"/>
  <c r="T255" i="6"/>
  <c r="T479" i="6"/>
  <c r="T175" i="6"/>
  <c r="T253" i="6"/>
  <c r="T399" i="6"/>
  <c r="O502" i="6"/>
  <c r="O451" i="6"/>
  <c r="O444" i="6"/>
  <c r="O410" i="6"/>
  <c r="O386" i="6"/>
  <c r="O378" i="6"/>
  <c r="O351" i="6"/>
  <c r="O352" i="6"/>
  <c r="O327" i="6"/>
  <c r="BA327" i="6" s="1"/>
  <c r="O325" i="6"/>
  <c r="O298" i="6"/>
  <c r="O300" i="6"/>
  <c r="O289" i="6"/>
  <c r="O274" i="6"/>
  <c r="O269" i="6"/>
  <c r="O262" i="6"/>
  <c r="O258" i="6"/>
  <c r="O230" i="6"/>
  <c r="O236" i="6"/>
  <c r="O222" i="6"/>
  <c r="O224" i="6"/>
  <c r="O209" i="6"/>
  <c r="O197" i="6"/>
  <c r="O188" i="6"/>
  <c r="O163" i="6"/>
  <c r="O177" i="6"/>
  <c r="O153" i="6"/>
  <c r="O152" i="6"/>
  <c r="O125" i="6"/>
  <c r="O132" i="6"/>
  <c r="T259" i="6"/>
  <c r="T467" i="6"/>
  <c r="O516" i="6"/>
  <c r="O497" i="6"/>
  <c r="O466" i="6"/>
  <c r="O432" i="6"/>
  <c r="O412" i="6"/>
  <c r="O388" i="6"/>
  <c r="O364" i="6"/>
  <c r="O354" i="6"/>
  <c r="O341" i="6"/>
  <c r="O334" i="6"/>
  <c r="O317" i="6"/>
  <c r="O302" i="6"/>
  <c r="O303" i="6"/>
  <c r="O279" i="6"/>
  <c r="O285" i="6"/>
  <c r="O261" i="6"/>
  <c r="AQ261" i="6" s="1"/>
  <c r="O252" i="6"/>
  <c r="O253" i="6"/>
  <c r="O242" i="6"/>
  <c r="O245" i="6"/>
  <c r="O207" i="6"/>
  <c r="O216" i="6"/>
  <c r="O191" i="6"/>
  <c r="O200" i="6"/>
  <c r="O198" i="6"/>
  <c r="O164" i="6"/>
  <c r="O165" i="6"/>
  <c r="O154" i="6"/>
  <c r="O150" i="6"/>
  <c r="O133" i="6"/>
  <c r="O137" i="6"/>
  <c r="T516" i="6"/>
  <c r="T282" i="6"/>
  <c r="T327" i="6"/>
  <c r="O527" i="6"/>
  <c r="O475" i="6"/>
  <c r="O454" i="6"/>
  <c r="O428" i="6"/>
  <c r="O409" i="6"/>
  <c r="O385" i="6"/>
  <c r="O369" i="6"/>
  <c r="O340" i="6"/>
  <c r="O332" i="6"/>
  <c r="AG332" i="6" s="1"/>
  <c r="O335" i="6"/>
  <c r="O307" i="6"/>
  <c r="O304" i="6"/>
  <c r="O296" i="6"/>
  <c r="O290" i="6"/>
  <c r="O291" i="6"/>
  <c r="O254" i="6"/>
  <c r="O255" i="6"/>
  <c r="O259" i="6"/>
  <c r="O247" i="6"/>
  <c r="O239" i="6"/>
  <c r="O210" i="6"/>
  <c r="O221" i="6"/>
  <c r="O202" i="6"/>
  <c r="O189" i="6"/>
  <c r="O190" i="6"/>
  <c r="O181" i="6"/>
  <c r="O166" i="6"/>
  <c r="O158" i="6"/>
  <c r="O155" i="6"/>
  <c r="O136" i="6"/>
  <c r="O127" i="6"/>
  <c r="T218" i="6"/>
  <c r="H218" i="6" s="1"/>
  <c r="T374" i="6"/>
  <c r="T296" i="6"/>
  <c r="O525" i="6"/>
  <c r="O478" i="6"/>
  <c r="O455" i="6"/>
  <c r="O427" i="6"/>
  <c r="O406" i="6"/>
  <c r="O400" i="6"/>
  <c r="O374" i="6"/>
  <c r="O339" i="6"/>
  <c r="O321" i="6"/>
  <c r="O324" i="6"/>
  <c r="O301" i="6"/>
  <c r="O308" i="6"/>
  <c r="AQ308" i="6" s="1"/>
  <c r="O309" i="6"/>
  <c r="O277" i="6"/>
  <c r="O275" i="6"/>
  <c r="O268" i="6"/>
  <c r="O257" i="6"/>
  <c r="O237" i="6"/>
  <c r="O233" i="6"/>
  <c r="O246" i="6"/>
  <c r="O212" i="6"/>
  <c r="O211" i="6"/>
  <c r="O196" i="6"/>
  <c r="O199" i="6"/>
  <c r="O186" i="6"/>
  <c r="O167" i="6"/>
  <c r="O172" i="6"/>
  <c r="O147" i="6"/>
  <c r="O157" i="6"/>
  <c r="O126" i="6"/>
  <c r="O130" i="6"/>
  <c r="T210" i="6"/>
  <c r="T154" i="6"/>
  <c r="T442" i="6"/>
  <c r="O524" i="6"/>
  <c r="O477" i="6"/>
  <c r="O440" i="6"/>
  <c r="O433" i="6"/>
  <c r="O395" i="6"/>
  <c r="O389" i="6"/>
  <c r="O365" i="6"/>
  <c r="O344" i="6"/>
  <c r="O328" i="6"/>
  <c r="O331" i="6"/>
  <c r="AV331" i="6" s="1"/>
  <c r="O313" i="6"/>
  <c r="O297" i="6"/>
  <c r="O310" i="6"/>
  <c r="AG310" i="6" s="1"/>
  <c r="O273" i="6"/>
  <c r="O287" i="6"/>
  <c r="O251" i="6"/>
  <c r="O266" i="6"/>
  <c r="O235" i="6"/>
  <c r="O234" i="6"/>
  <c r="O232" i="6"/>
  <c r="O215" i="6"/>
  <c r="O213" i="6"/>
  <c r="O201" i="6"/>
  <c r="O203" i="6"/>
  <c r="O178" i="6"/>
  <c r="O173" i="6"/>
  <c r="O176" i="6"/>
  <c r="O149" i="6"/>
  <c r="O145" i="6"/>
  <c r="O124" i="6"/>
  <c r="O128" i="6"/>
  <c r="T125" i="6"/>
  <c r="T302" i="6"/>
  <c r="O510" i="6"/>
  <c r="O482" i="6"/>
  <c r="O445" i="6"/>
  <c r="O423" i="6"/>
  <c r="O397" i="6"/>
  <c r="AG397" i="6" s="1"/>
  <c r="O391" i="6"/>
  <c r="O377" i="6"/>
  <c r="O347" i="6"/>
  <c r="O323" i="6"/>
  <c r="O320" i="6"/>
  <c r="O299" i="6"/>
  <c r="O312" i="6"/>
  <c r="O282" i="6"/>
  <c r="O281" i="6"/>
  <c r="O278" i="6"/>
  <c r="O263" i="6"/>
  <c r="AG263" i="6" s="1"/>
  <c r="O265" i="6"/>
  <c r="O240" i="6"/>
  <c r="O244" i="6"/>
  <c r="O243" i="6"/>
  <c r="O220" i="6"/>
  <c r="O223" i="6"/>
  <c r="O193" i="6"/>
  <c r="O194" i="6"/>
  <c r="O175" i="6"/>
  <c r="O174" i="6"/>
  <c r="AV174" i="6" s="1"/>
  <c r="O170" i="6"/>
  <c r="O151" i="6"/>
  <c r="O148" i="6"/>
  <c r="O123" i="6"/>
  <c r="T220" i="6"/>
  <c r="O503" i="6"/>
  <c r="O483" i="6"/>
  <c r="O438" i="6"/>
  <c r="O416" i="6"/>
  <c r="O390" i="6"/>
  <c r="O367" i="6"/>
  <c r="O366" i="6"/>
  <c r="O348" i="6"/>
  <c r="O333" i="6"/>
  <c r="AV333" i="6" s="1"/>
  <c r="O329" i="6"/>
  <c r="AQ329" i="6" s="1"/>
  <c r="O306" i="6"/>
  <c r="O305" i="6"/>
  <c r="AG305" i="6" s="1"/>
  <c r="O286" i="6"/>
  <c r="O284" i="6"/>
  <c r="O288" i="6"/>
  <c r="O264" i="6"/>
  <c r="O256" i="6"/>
  <c r="O238" i="6"/>
  <c r="O229" i="6"/>
  <c r="O219" i="6"/>
  <c r="O218" i="6"/>
  <c r="O208" i="6"/>
  <c r="O192" i="6"/>
  <c r="O195" i="6"/>
  <c r="O179" i="6"/>
  <c r="O180" i="6"/>
  <c r="O171" i="6"/>
  <c r="O146" i="6"/>
  <c r="O129" i="6"/>
  <c r="AV129" i="6" s="1"/>
  <c r="O131" i="6"/>
  <c r="T331" i="6"/>
  <c r="T414" i="6"/>
  <c r="O508" i="6"/>
  <c r="O449" i="6"/>
  <c r="O429" i="6"/>
  <c r="O417" i="6"/>
  <c r="O392" i="6"/>
  <c r="O375" i="6"/>
  <c r="O373" i="6"/>
  <c r="O353" i="6"/>
  <c r="O330" i="6"/>
  <c r="AQ330" i="6" s="1"/>
  <c r="O326" i="6"/>
  <c r="O295" i="6"/>
  <c r="O311" i="6"/>
  <c r="BF311" i="6" s="1"/>
  <c r="O280" i="6"/>
  <c r="O283" i="6"/>
  <c r="O276" i="6"/>
  <c r="O267" i="6"/>
  <c r="O260" i="6"/>
  <c r="O241" i="6"/>
  <c r="O231" i="6"/>
  <c r="O225" i="6"/>
  <c r="O214" i="6"/>
  <c r="O217" i="6"/>
  <c r="AG217" i="6" s="1"/>
  <c r="O187" i="6"/>
  <c r="O185" i="6"/>
  <c r="O168" i="6"/>
  <c r="O169" i="6"/>
  <c r="O156" i="6"/>
  <c r="O159" i="6"/>
  <c r="O134" i="6"/>
  <c r="O135" i="6"/>
  <c r="O514" i="6"/>
  <c r="O448" i="6"/>
  <c r="O470" i="6"/>
  <c r="O426" i="6"/>
  <c r="O492" i="6"/>
  <c r="T162" i="6"/>
  <c r="T338" i="6"/>
  <c r="H338" i="6" s="1"/>
  <c r="T382" i="6"/>
  <c r="O142" i="6"/>
  <c r="O121" i="6"/>
  <c r="T294" i="6"/>
  <c r="E294" i="6" s="1"/>
  <c r="T228" i="6"/>
  <c r="T140" i="6"/>
  <c r="T144" i="6"/>
  <c r="T119" i="6"/>
  <c r="T404" i="6"/>
  <c r="T360" i="6"/>
  <c r="G360" i="6" s="1"/>
  <c r="O143" i="6"/>
  <c r="T142" i="6"/>
  <c r="O141" i="6"/>
  <c r="T250" i="6"/>
  <c r="T121" i="6"/>
  <c r="T118" i="6"/>
  <c r="O119" i="6"/>
  <c r="T120" i="6"/>
  <c r="T141" i="6"/>
  <c r="T143" i="6"/>
  <c r="O120" i="6"/>
  <c r="O144" i="6"/>
  <c r="T122" i="6"/>
  <c r="O122" i="6"/>
  <c r="L329" i="9"/>
  <c r="H646" i="11" s="1"/>
  <c r="BU456" i="9"/>
  <c r="M319" i="6" s="1"/>
  <c r="K329" i="9"/>
  <c r="G646" i="11" s="1"/>
  <c r="BU455" i="9"/>
  <c r="M318" i="6" s="1"/>
  <c r="BU328" i="9"/>
  <c r="M203" i="6" s="1"/>
  <c r="BU430" i="9"/>
  <c r="M295" i="6" s="1"/>
  <c r="BT300" i="9"/>
  <c r="L177" i="6" s="1"/>
  <c r="T329" i="9"/>
  <c r="P646" i="11" s="1"/>
  <c r="O329" i="9"/>
  <c r="K646" i="11" s="1"/>
  <c r="S329" i="9"/>
  <c r="O646" i="11" s="1"/>
  <c r="BT312" i="9"/>
  <c r="L187" i="6" s="1"/>
  <c r="BU577" i="9"/>
  <c r="M430" i="6" s="1"/>
  <c r="BU338" i="9"/>
  <c r="M211" i="6" s="1"/>
  <c r="AJ593" i="9"/>
  <c r="AF657" i="11" s="1"/>
  <c r="CR309" i="9"/>
  <c r="AA329" i="9"/>
  <c r="W646" i="11" s="1"/>
  <c r="DR309" i="9"/>
  <c r="BA329" i="9"/>
  <c r="AW646" i="11" s="1"/>
  <c r="CW309" i="9"/>
  <c r="AF329" i="9"/>
  <c r="AB646" i="11" s="1"/>
  <c r="U329" i="9"/>
  <c r="Q646" i="11" s="1"/>
  <c r="CL309" i="9"/>
  <c r="AX329" i="9"/>
  <c r="AT646" i="11" s="1"/>
  <c r="DO309" i="9"/>
  <c r="CV309" i="9"/>
  <c r="AE329" i="9"/>
  <c r="AA646" i="11" s="1"/>
  <c r="DO407" i="9"/>
  <c r="AX425" i="9"/>
  <c r="AT650" i="11" s="1"/>
  <c r="DS407" i="9"/>
  <c r="BB425" i="9"/>
  <c r="AX650" i="11" s="1"/>
  <c r="CO407" i="9"/>
  <c r="X425" i="9"/>
  <c r="T650" i="11" s="1"/>
  <c r="EB407" i="9"/>
  <c r="BK425" i="9"/>
  <c r="BG650" i="11" s="1"/>
  <c r="DP407" i="9"/>
  <c r="AY425" i="9"/>
  <c r="AU650" i="11" s="1"/>
  <c r="DR407" i="9"/>
  <c r="BA425" i="9"/>
  <c r="AW650" i="11" s="1"/>
  <c r="DY455" i="9"/>
  <c r="BH473" i="9"/>
  <c r="BD652" i="11" s="1"/>
  <c r="DF455" i="9"/>
  <c r="AO473" i="9"/>
  <c r="AK652" i="11" s="1"/>
  <c r="DQ455" i="9"/>
  <c r="AZ473" i="9"/>
  <c r="AV652" i="11" s="1"/>
  <c r="DJ455" i="9"/>
  <c r="AS473" i="9"/>
  <c r="AO652" i="11" s="1"/>
  <c r="CN455" i="9"/>
  <c r="W473" i="9"/>
  <c r="S652" i="11" s="1"/>
  <c r="CR455" i="9"/>
  <c r="AA473" i="9"/>
  <c r="W652" i="11" s="1"/>
  <c r="BH425" i="9"/>
  <c r="BD650" i="11" s="1"/>
  <c r="CM577" i="9"/>
  <c r="V593" i="9"/>
  <c r="R657" i="11" s="1"/>
  <c r="DL577" i="9"/>
  <c r="AU593" i="9"/>
  <c r="AQ657" i="11" s="1"/>
  <c r="AY264" i="9"/>
  <c r="DP264" i="9" s="1"/>
  <c r="BF264" i="9"/>
  <c r="DW264" i="9" s="1"/>
  <c r="BM264" i="9"/>
  <c r="ED264" i="9" s="1"/>
  <c r="V264" i="9"/>
  <c r="CM264" i="9" s="1"/>
  <c r="BN264" i="9"/>
  <c r="EE264" i="9" s="1"/>
  <c r="BO264" i="9"/>
  <c r="EF264" i="9" s="1"/>
  <c r="AD264" i="9"/>
  <c r="CU264" i="9" s="1"/>
  <c r="Y264" i="9"/>
  <c r="CP264" i="9" s="1"/>
  <c r="AX264" i="9"/>
  <c r="DO264" i="9" s="1"/>
  <c r="BG264" i="9"/>
  <c r="DX264" i="9" s="1"/>
  <c r="AL264" i="9"/>
  <c r="DC264" i="9" s="1"/>
  <c r="AW264" i="9"/>
  <c r="DN264" i="9" s="1"/>
  <c r="X264" i="9"/>
  <c r="CO264" i="9" s="1"/>
  <c r="AC264" i="9"/>
  <c r="CT264" i="9" s="1"/>
  <c r="AR264" i="9"/>
  <c r="DI264" i="9" s="1"/>
  <c r="AF264" i="9"/>
  <c r="CW264" i="9" s="1"/>
  <c r="AN264" i="9"/>
  <c r="DE264" i="9" s="1"/>
  <c r="AP264" i="9"/>
  <c r="DG264" i="9" s="1"/>
  <c r="AG264" i="9"/>
  <c r="CX264" i="9" s="1"/>
  <c r="AK264" i="9"/>
  <c r="DB264" i="9" s="1"/>
  <c r="AE264" i="9"/>
  <c r="CV264" i="9" s="1"/>
  <c r="AA264" i="9"/>
  <c r="CR264" i="9" s="1"/>
  <c r="AB264" i="9"/>
  <c r="CS264" i="9" s="1"/>
  <c r="AJ264" i="9"/>
  <c r="DA264" i="9" s="1"/>
  <c r="Z264" i="9"/>
  <c r="CQ264" i="9" s="1"/>
  <c r="W264" i="9"/>
  <c r="CN264" i="9" s="1"/>
  <c r="AU264" i="9"/>
  <c r="DL264" i="9" s="1"/>
  <c r="AI264" i="9"/>
  <c r="CZ264" i="9" s="1"/>
  <c r="AH264" i="9"/>
  <c r="CY264" i="9" s="1"/>
  <c r="BL264" i="9"/>
  <c r="EC264" i="9" s="1"/>
  <c r="AO264" i="9"/>
  <c r="DF264" i="9" s="1"/>
  <c r="U264" i="9"/>
  <c r="CL264" i="9" s="1"/>
  <c r="BR264" i="9"/>
  <c r="EI264" i="9" s="1"/>
  <c r="BI264" i="9"/>
  <c r="DZ264" i="9" s="1"/>
  <c r="AZ264" i="9"/>
  <c r="DQ264" i="9" s="1"/>
  <c r="AQ264" i="9"/>
  <c r="DH264" i="9" s="1"/>
  <c r="BC264" i="9"/>
  <c r="DT264" i="9" s="1"/>
  <c r="AM264" i="9"/>
  <c r="DD264" i="9" s="1"/>
  <c r="BJ264" i="9"/>
  <c r="EA264" i="9" s="1"/>
  <c r="BQ264" i="9"/>
  <c r="EH264" i="9" s="1"/>
  <c r="BK264" i="9"/>
  <c r="EB264" i="9" s="1"/>
  <c r="BP264" i="9"/>
  <c r="EG264" i="9" s="1"/>
  <c r="BH264" i="9"/>
  <c r="DY264" i="9" s="1"/>
  <c r="BE264" i="9"/>
  <c r="DV264" i="9" s="1"/>
  <c r="BA264" i="9"/>
  <c r="DR264" i="9" s="1"/>
  <c r="AS264" i="9"/>
  <c r="DJ264" i="9" s="1"/>
  <c r="BD264" i="9"/>
  <c r="DU264" i="9" s="1"/>
  <c r="AV264" i="9"/>
  <c r="DM264" i="9" s="1"/>
  <c r="AT264" i="9"/>
  <c r="DK264" i="9" s="1"/>
  <c r="BB264" i="9"/>
  <c r="DS264" i="9" s="1"/>
  <c r="R264" i="9"/>
  <c r="CI264" i="9" s="1"/>
  <c r="M264" i="9"/>
  <c r="CD264" i="9" s="1"/>
  <c r="S264" i="9"/>
  <c r="CJ264" i="9" s="1"/>
  <c r="K264" i="9"/>
  <c r="T264" i="9"/>
  <c r="CK264" i="9" s="1"/>
  <c r="P264" i="9"/>
  <c r="CG264" i="9" s="1"/>
  <c r="Q264" i="9"/>
  <c r="CH264" i="9" s="1"/>
  <c r="O264" i="9"/>
  <c r="CF264" i="9" s="1"/>
  <c r="N264" i="9"/>
  <c r="CE264" i="9" s="1"/>
  <c r="L264" i="9"/>
  <c r="CC264" i="9" s="1"/>
  <c r="AX434" i="9"/>
  <c r="DO434" i="9" s="1"/>
  <c r="BD434" i="9"/>
  <c r="DU434" i="9" s="1"/>
  <c r="BB434" i="9"/>
  <c r="DS434" i="9" s="1"/>
  <c r="Z434" i="9"/>
  <c r="CQ434" i="9" s="1"/>
  <c r="BI434" i="9"/>
  <c r="DZ434" i="9" s="1"/>
  <c r="AQ434" i="9"/>
  <c r="DH434" i="9" s="1"/>
  <c r="BO434" i="9"/>
  <c r="EF434" i="9" s="1"/>
  <c r="AN434" i="9"/>
  <c r="DE434" i="9" s="1"/>
  <c r="AK434" i="9"/>
  <c r="DB434" i="9" s="1"/>
  <c r="AB434" i="9"/>
  <c r="CS434" i="9" s="1"/>
  <c r="AW434" i="9"/>
  <c r="DN434" i="9" s="1"/>
  <c r="AP434" i="9"/>
  <c r="DG434" i="9" s="1"/>
  <c r="AT434" i="9"/>
  <c r="DK434" i="9" s="1"/>
  <c r="AM434" i="9"/>
  <c r="DD434" i="9" s="1"/>
  <c r="BR434" i="9"/>
  <c r="EI434" i="9" s="1"/>
  <c r="AV434" i="9"/>
  <c r="DM434" i="9" s="1"/>
  <c r="AS434" i="9"/>
  <c r="DJ434" i="9" s="1"/>
  <c r="BQ434" i="9"/>
  <c r="EH434" i="9" s="1"/>
  <c r="AA434" i="9"/>
  <c r="CR434" i="9" s="1"/>
  <c r="AE434" i="9"/>
  <c r="CV434" i="9" s="1"/>
  <c r="W434" i="9"/>
  <c r="CN434" i="9" s="1"/>
  <c r="BL434" i="9"/>
  <c r="EC434" i="9" s="1"/>
  <c r="BC434" i="9"/>
  <c r="DT434" i="9" s="1"/>
  <c r="BF434" i="9"/>
  <c r="DW434" i="9" s="1"/>
  <c r="U434" i="9"/>
  <c r="CL434" i="9" s="1"/>
  <c r="BM434" i="9"/>
  <c r="ED434" i="9" s="1"/>
  <c r="BG434" i="9"/>
  <c r="DX434" i="9" s="1"/>
  <c r="BK434" i="9"/>
  <c r="EB434" i="9" s="1"/>
  <c r="BE434" i="9"/>
  <c r="DV434" i="9" s="1"/>
  <c r="AL434" i="9"/>
  <c r="DC434" i="9" s="1"/>
  <c r="AI434" i="9"/>
  <c r="CZ434" i="9" s="1"/>
  <c r="V434" i="9"/>
  <c r="CM434" i="9" s="1"/>
  <c r="AZ434" i="9"/>
  <c r="DQ434" i="9" s="1"/>
  <c r="AH434" i="9"/>
  <c r="CY434" i="9" s="1"/>
  <c r="Y434" i="9"/>
  <c r="CP434" i="9" s="1"/>
  <c r="BP434" i="9"/>
  <c r="EG434" i="9" s="1"/>
  <c r="AR434" i="9"/>
  <c r="DI434" i="9" s="1"/>
  <c r="BA434" i="9"/>
  <c r="DR434" i="9" s="1"/>
  <c r="AG434" i="9"/>
  <c r="CX434" i="9" s="1"/>
  <c r="X434" i="9"/>
  <c r="CO434" i="9" s="1"/>
  <c r="BJ434" i="9"/>
  <c r="EA434" i="9" s="1"/>
  <c r="AC434" i="9"/>
  <c r="CT434" i="9" s="1"/>
  <c r="AF434" i="9"/>
  <c r="CW434" i="9" s="1"/>
  <c r="AD434" i="9"/>
  <c r="CU434" i="9" s="1"/>
  <c r="AJ434" i="9"/>
  <c r="DA434" i="9" s="1"/>
  <c r="BH434" i="9"/>
  <c r="DY434" i="9" s="1"/>
  <c r="AU434" i="9"/>
  <c r="DL434" i="9" s="1"/>
  <c r="AY434" i="9"/>
  <c r="DP434" i="9" s="1"/>
  <c r="AO434" i="9"/>
  <c r="DF434" i="9" s="1"/>
  <c r="BN434" i="9"/>
  <c r="EE434" i="9" s="1"/>
  <c r="M434" i="9"/>
  <c r="S434" i="9"/>
  <c r="Q434" i="9"/>
  <c r="R434" i="9"/>
  <c r="L434" i="9"/>
  <c r="CC434" i="9" s="1"/>
  <c r="P434" i="9"/>
  <c r="O434" i="9"/>
  <c r="N434" i="9"/>
  <c r="T434" i="9"/>
  <c r="CK434" i="9" s="1"/>
  <c r="K434" i="9"/>
  <c r="BR593" i="9"/>
  <c r="BN657" i="11" s="1"/>
  <c r="Y353" i="9"/>
  <c r="U647" i="11" s="1"/>
  <c r="BQ609" i="9"/>
  <c r="EH609" i="9" s="1"/>
  <c r="AP609" i="9"/>
  <c r="DG609" i="9" s="1"/>
  <c r="AL609" i="9"/>
  <c r="DC609" i="9" s="1"/>
  <c r="AG609" i="9"/>
  <c r="CX609" i="9" s="1"/>
  <c r="AQ609" i="9"/>
  <c r="DH609" i="9" s="1"/>
  <c r="AM609" i="9"/>
  <c r="DD609" i="9" s="1"/>
  <c r="AK609" i="9"/>
  <c r="DB609" i="9" s="1"/>
  <c r="AF609" i="9"/>
  <c r="CW609" i="9" s="1"/>
  <c r="AA609" i="9"/>
  <c r="CR609" i="9" s="1"/>
  <c r="AS609" i="9"/>
  <c r="DJ609" i="9" s="1"/>
  <c r="AC609" i="9"/>
  <c r="CT609" i="9" s="1"/>
  <c r="AJ609" i="9"/>
  <c r="DA609" i="9" s="1"/>
  <c r="AB609" i="9"/>
  <c r="CS609" i="9" s="1"/>
  <c r="V609" i="9"/>
  <c r="CM609" i="9" s="1"/>
  <c r="AY609" i="9"/>
  <c r="DP609" i="9" s="1"/>
  <c r="BI609" i="9"/>
  <c r="DZ609" i="9" s="1"/>
  <c r="AH609" i="9"/>
  <c r="CY609" i="9" s="1"/>
  <c r="BL609" i="9"/>
  <c r="EC609" i="9" s="1"/>
  <c r="AW609" i="9"/>
  <c r="DN609" i="9" s="1"/>
  <c r="AD609" i="9"/>
  <c r="CU609" i="9" s="1"/>
  <c r="BR609" i="9"/>
  <c r="EI609" i="9" s="1"/>
  <c r="AU609" i="9"/>
  <c r="DL609" i="9" s="1"/>
  <c r="BF609" i="9"/>
  <c r="DW609" i="9" s="1"/>
  <c r="BP609" i="9"/>
  <c r="EG609" i="9" s="1"/>
  <c r="Y609" i="9"/>
  <c r="CP609" i="9" s="1"/>
  <c r="W609" i="9"/>
  <c r="CN609" i="9" s="1"/>
  <c r="AI609" i="9"/>
  <c r="CZ609" i="9" s="1"/>
  <c r="AT609" i="9"/>
  <c r="DK609" i="9" s="1"/>
  <c r="AR609" i="9"/>
  <c r="DI609" i="9" s="1"/>
  <c r="BO609" i="9"/>
  <c r="EF609" i="9" s="1"/>
  <c r="BA609" i="9"/>
  <c r="DR609" i="9" s="1"/>
  <c r="Z609" i="9"/>
  <c r="CQ609" i="9" s="1"/>
  <c r="X609" i="9"/>
  <c r="CO609" i="9" s="1"/>
  <c r="BJ609" i="9"/>
  <c r="EA609" i="9" s="1"/>
  <c r="AE609" i="9"/>
  <c r="CV609" i="9" s="1"/>
  <c r="U609" i="9"/>
  <c r="CL609" i="9" s="1"/>
  <c r="AO609" i="9"/>
  <c r="DF609" i="9" s="1"/>
  <c r="AZ609" i="9"/>
  <c r="DQ609" i="9" s="1"/>
  <c r="BK609" i="9"/>
  <c r="EB609" i="9" s="1"/>
  <c r="BG609" i="9"/>
  <c r="DX609" i="9" s="1"/>
  <c r="AX609" i="9"/>
  <c r="DO609" i="9" s="1"/>
  <c r="BH609" i="9"/>
  <c r="DY609" i="9" s="1"/>
  <c r="BN609" i="9"/>
  <c r="EE609" i="9" s="1"/>
  <c r="BB609" i="9"/>
  <c r="DS609" i="9" s="1"/>
  <c r="BD609" i="9"/>
  <c r="DU609" i="9" s="1"/>
  <c r="AN609" i="9"/>
  <c r="DE609" i="9" s="1"/>
  <c r="BC609" i="9"/>
  <c r="DT609" i="9" s="1"/>
  <c r="AV609" i="9"/>
  <c r="DM609" i="9" s="1"/>
  <c r="BM609" i="9"/>
  <c r="ED609" i="9" s="1"/>
  <c r="BE609" i="9"/>
  <c r="DV609" i="9" s="1"/>
  <c r="R609" i="9"/>
  <c r="T609" i="9"/>
  <c r="N609" i="9"/>
  <c r="Q609" i="9"/>
  <c r="CH609" i="9" s="1"/>
  <c r="S609" i="9"/>
  <c r="P609" i="9"/>
  <c r="L609" i="9"/>
  <c r="M609" i="9"/>
  <c r="CD609" i="9" s="1"/>
  <c r="O609" i="9"/>
  <c r="AW395" i="9"/>
  <c r="DN395" i="9" s="1"/>
  <c r="AT395" i="9"/>
  <c r="DK395" i="9" s="1"/>
  <c r="V395" i="9"/>
  <c r="CM395" i="9" s="1"/>
  <c r="BQ395" i="9"/>
  <c r="EH395" i="9" s="1"/>
  <c r="BM395" i="9"/>
  <c r="ED395" i="9" s="1"/>
  <c r="BK395" i="9"/>
  <c r="EB395" i="9" s="1"/>
  <c r="BI395" i="9"/>
  <c r="DZ395" i="9" s="1"/>
  <c r="BA395" i="9"/>
  <c r="DR395" i="9" s="1"/>
  <c r="AN395" i="9"/>
  <c r="DE395" i="9" s="1"/>
  <c r="AO395" i="9"/>
  <c r="DF395" i="9" s="1"/>
  <c r="AI395" i="9"/>
  <c r="CZ395" i="9" s="1"/>
  <c r="BE395" i="9"/>
  <c r="DV395" i="9" s="1"/>
  <c r="BH395" i="9"/>
  <c r="DY395" i="9" s="1"/>
  <c r="Y395" i="9"/>
  <c r="CP395" i="9" s="1"/>
  <c r="AV395" i="9"/>
  <c r="DM395" i="9" s="1"/>
  <c r="AL395" i="9"/>
  <c r="DC395" i="9" s="1"/>
  <c r="BR395" i="9"/>
  <c r="EI395" i="9" s="1"/>
  <c r="AE395" i="9"/>
  <c r="CV395" i="9" s="1"/>
  <c r="AK395" i="9"/>
  <c r="DB395" i="9" s="1"/>
  <c r="W395" i="9"/>
  <c r="CN395" i="9" s="1"/>
  <c r="BC395" i="9"/>
  <c r="DT395" i="9" s="1"/>
  <c r="AR395" i="9"/>
  <c r="DI395" i="9" s="1"/>
  <c r="Z395" i="9"/>
  <c r="CQ395" i="9" s="1"/>
  <c r="AS395" i="9"/>
  <c r="DJ395" i="9" s="1"/>
  <c r="BL395" i="9"/>
  <c r="EC395" i="9" s="1"/>
  <c r="BP395" i="9"/>
  <c r="EG395" i="9" s="1"/>
  <c r="AG395" i="9"/>
  <c r="CX395" i="9" s="1"/>
  <c r="AQ395" i="9"/>
  <c r="DH395" i="9" s="1"/>
  <c r="BG395" i="9"/>
  <c r="DX395" i="9" s="1"/>
  <c r="AJ395" i="9"/>
  <c r="DA395" i="9" s="1"/>
  <c r="BO395" i="9"/>
  <c r="EF395" i="9" s="1"/>
  <c r="AP395" i="9"/>
  <c r="DG395" i="9" s="1"/>
  <c r="AM395" i="9"/>
  <c r="DD395" i="9" s="1"/>
  <c r="BB395" i="9"/>
  <c r="DS395" i="9" s="1"/>
  <c r="U395" i="9"/>
  <c r="CL395" i="9" s="1"/>
  <c r="AX395" i="9"/>
  <c r="DO395" i="9" s="1"/>
  <c r="AZ395" i="9"/>
  <c r="DQ395" i="9" s="1"/>
  <c r="BN395" i="9"/>
  <c r="EE395" i="9" s="1"/>
  <c r="AH395" i="9"/>
  <c r="CY395" i="9" s="1"/>
  <c r="BF395" i="9"/>
  <c r="DW395" i="9" s="1"/>
  <c r="X395" i="9"/>
  <c r="CO395" i="9" s="1"/>
  <c r="AF395" i="9"/>
  <c r="CW395" i="9" s="1"/>
  <c r="AD395" i="9"/>
  <c r="CU395" i="9" s="1"/>
  <c r="AB395" i="9"/>
  <c r="CS395" i="9" s="1"/>
  <c r="BD395" i="9"/>
  <c r="DU395" i="9" s="1"/>
  <c r="BJ395" i="9"/>
  <c r="EA395" i="9" s="1"/>
  <c r="AY395" i="9"/>
  <c r="DP395" i="9" s="1"/>
  <c r="AU395" i="9"/>
  <c r="DL395" i="9" s="1"/>
  <c r="AA395" i="9"/>
  <c r="CR395" i="9" s="1"/>
  <c r="AC395" i="9"/>
  <c r="CT395" i="9" s="1"/>
  <c r="T395" i="9"/>
  <c r="CK395" i="9" s="1"/>
  <c r="L395" i="9"/>
  <c r="CC395" i="9" s="1"/>
  <c r="S395" i="9"/>
  <c r="CJ395" i="9" s="1"/>
  <c r="O395" i="9"/>
  <c r="CF395" i="9" s="1"/>
  <c r="P395" i="9"/>
  <c r="CG395" i="9" s="1"/>
  <c r="Q395" i="9"/>
  <c r="CH395" i="9" s="1"/>
  <c r="M395" i="9"/>
  <c r="CD395" i="9" s="1"/>
  <c r="N395" i="9"/>
  <c r="CE395" i="9" s="1"/>
  <c r="R395" i="9"/>
  <c r="CI395" i="9" s="1"/>
  <c r="CX337" i="9"/>
  <c r="AG353" i="9"/>
  <c r="AC647" i="11" s="1"/>
  <c r="CN337" i="9"/>
  <c r="W353" i="9"/>
  <c r="S647" i="11" s="1"/>
  <c r="DQ337" i="9"/>
  <c r="AZ353" i="9"/>
  <c r="AV647" i="11" s="1"/>
  <c r="Y250" i="9"/>
  <c r="CP250" i="9" s="1"/>
  <c r="X250" i="9"/>
  <c r="CO250" i="9" s="1"/>
  <c r="AN250" i="9"/>
  <c r="DE250" i="9" s="1"/>
  <c r="AH250" i="9"/>
  <c r="CY250" i="9" s="1"/>
  <c r="AQ250" i="9"/>
  <c r="DH250" i="9" s="1"/>
  <c r="AU250" i="9"/>
  <c r="DL250" i="9" s="1"/>
  <c r="BA250" i="9"/>
  <c r="DR250" i="9" s="1"/>
  <c r="AJ250" i="9"/>
  <c r="DA250" i="9" s="1"/>
  <c r="AR250" i="9"/>
  <c r="DI250" i="9" s="1"/>
  <c r="BM250" i="9"/>
  <c r="ED250" i="9" s="1"/>
  <c r="AK250" i="9"/>
  <c r="DB250" i="9" s="1"/>
  <c r="AB250" i="9"/>
  <c r="CS250" i="9" s="1"/>
  <c r="BK250" i="9"/>
  <c r="EB250" i="9" s="1"/>
  <c r="AA250" i="9"/>
  <c r="CR250" i="9" s="1"/>
  <c r="AS250" i="9"/>
  <c r="DJ250" i="9" s="1"/>
  <c r="BR250" i="9"/>
  <c r="EI250" i="9" s="1"/>
  <c r="BP250" i="9"/>
  <c r="EG250" i="9" s="1"/>
  <c r="BG250" i="9"/>
  <c r="DX250" i="9" s="1"/>
  <c r="AT250" i="9"/>
  <c r="DK250" i="9" s="1"/>
  <c r="AD250" i="9"/>
  <c r="CU250" i="9" s="1"/>
  <c r="U250" i="9"/>
  <c r="CL250" i="9" s="1"/>
  <c r="AM250" i="9"/>
  <c r="DD250" i="9" s="1"/>
  <c r="BH250" i="9"/>
  <c r="DY250" i="9" s="1"/>
  <c r="BO250" i="9"/>
  <c r="EF250" i="9" s="1"/>
  <c r="AW250" i="9"/>
  <c r="DN250" i="9" s="1"/>
  <c r="BJ250" i="9"/>
  <c r="EA250" i="9" s="1"/>
  <c r="BI250" i="9"/>
  <c r="DZ250" i="9" s="1"/>
  <c r="AE250" i="9"/>
  <c r="CV250" i="9" s="1"/>
  <c r="BN250" i="9"/>
  <c r="EE250" i="9" s="1"/>
  <c r="AI250" i="9"/>
  <c r="CZ250" i="9" s="1"/>
  <c r="BB250" i="9"/>
  <c r="DS250" i="9" s="1"/>
  <c r="BQ250" i="9"/>
  <c r="EH250" i="9" s="1"/>
  <c r="AY250" i="9"/>
  <c r="DP250" i="9" s="1"/>
  <c r="BC250" i="9"/>
  <c r="DT250" i="9" s="1"/>
  <c r="BF250" i="9"/>
  <c r="DW250" i="9" s="1"/>
  <c r="BD250" i="9"/>
  <c r="DU250" i="9" s="1"/>
  <c r="V250" i="9"/>
  <c r="CM250" i="9" s="1"/>
  <c r="AG250" i="9"/>
  <c r="CX250" i="9" s="1"/>
  <c r="AV250" i="9"/>
  <c r="DM250" i="9" s="1"/>
  <c r="AX250" i="9"/>
  <c r="DO250" i="9" s="1"/>
  <c r="BL250" i="9"/>
  <c r="EC250" i="9" s="1"/>
  <c r="BE250" i="9"/>
  <c r="DV250" i="9" s="1"/>
  <c r="Z250" i="9"/>
  <c r="CQ250" i="9" s="1"/>
  <c r="AF250" i="9"/>
  <c r="CW250" i="9" s="1"/>
  <c r="AZ250" i="9"/>
  <c r="DQ250" i="9" s="1"/>
  <c r="AP250" i="9"/>
  <c r="DG250" i="9" s="1"/>
  <c r="AC250" i="9"/>
  <c r="CT250" i="9" s="1"/>
  <c r="AO250" i="9"/>
  <c r="DF250" i="9" s="1"/>
  <c r="W250" i="9"/>
  <c r="CN250" i="9" s="1"/>
  <c r="AL250" i="9"/>
  <c r="DC250" i="9" s="1"/>
  <c r="N250" i="9"/>
  <c r="CE250" i="9" s="1"/>
  <c r="M250" i="9"/>
  <c r="CD250" i="9" s="1"/>
  <c r="Q250" i="9"/>
  <c r="CH250" i="9" s="1"/>
  <c r="K250" i="9"/>
  <c r="R250" i="9"/>
  <c r="CI250" i="9" s="1"/>
  <c r="P250" i="9"/>
  <c r="CG250" i="9" s="1"/>
  <c r="O250" i="9"/>
  <c r="CF250" i="9" s="1"/>
  <c r="L250" i="9"/>
  <c r="CC250" i="9" s="1"/>
  <c r="T250" i="9"/>
  <c r="CK250" i="9" s="1"/>
  <c r="S250" i="9"/>
  <c r="CJ250" i="9" s="1"/>
  <c r="AT384" i="9"/>
  <c r="DK384" i="9" s="1"/>
  <c r="AO384" i="9"/>
  <c r="DF384" i="9" s="1"/>
  <c r="AA384" i="9"/>
  <c r="CR384" i="9" s="1"/>
  <c r="AR384" i="9"/>
  <c r="DI384" i="9" s="1"/>
  <c r="V384" i="9"/>
  <c r="CM384" i="9" s="1"/>
  <c r="AQ384" i="9"/>
  <c r="DH384" i="9" s="1"/>
  <c r="AW384" i="9"/>
  <c r="DN384" i="9" s="1"/>
  <c r="BO384" i="9"/>
  <c r="EF384" i="9" s="1"/>
  <c r="BK384" i="9"/>
  <c r="EB384" i="9" s="1"/>
  <c r="BI384" i="9"/>
  <c r="DZ384" i="9" s="1"/>
  <c r="BG384" i="9"/>
  <c r="DX384" i="9" s="1"/>
  <c r="BC384" i="9"/>
  <c r="DT384" i="9" s="1"/>
  <c r="AL384" i="9"/>
  <c r="DC384" i="9" s="1"/>
  <c r="BM384" i="9"/>
  <c r="ED384" i="9" s="1"/>
  <c r="AG384" i="9"/>
  <c r="CX384" i="9" s="1"/>
  <c r="AD384" i="9"/>
  <c r="CU384" i="9" s="1"/>
  <c r="Y384" i="9"/>
  <c r="CP384" i="9" s="1"/>
  <c r="BL384" i="9"/>
  <c r="EC384" i="9" s="1"/>
  <c r="AK384" i="9"/>
  <c r="DB384" i="9" s="1"/>
  <c r="AI384" i="9"/>
  <c r="CZ384" i="9" s="1"/>
  <c r="AS384" i="9"/>
  <c r="DJ384" i="9" s="1"/>
  <c r="AH384" i="9"/>
  <c r="CY384" i="9" s="1"/>
  <c r="BP384" i="9"/>
  <c r="EG384" i="9" s="1"/>
  <c r="AJ384" i="9"/>
  <c r="DA384" i="9" s="1"/>
  <c r="X384" i="9"/>
  <c r="CO384" i="9" s="1"/>
  <c r="AY384" i="9"/>
  <c r="DP384" i="9" s="1"/>
  <c r="AX384" i="9"/>
  <c r="DO384" i="9" s="1"/>
  <c r="BH384" i="9"/>
  <c r="DY384" i="9" s="1"/>
  <c r="AE384" i="9"/>
  <c r="CV384" i="9" s="1"/>
  <c r="AM384" i="9"/>
  <c r="DD384" i="9" s="1"/>
  <c r="BN384" i="9"/>
  <c r="EE384" i="9" s="1"/>
  <c r="BA384" i="9"/>
  <c r="DR384" i="9" s="1"/>
  <c r="AV384" i="9"/>
  <c r="DM384" i="9" s="1"/>
  <c r="BE384" i="9"/>
  <c r="DV384" i="9" s="1"/>
  <c r="Z384" i="9"/>
  <c r="CQ384" i="9" s="1"/>
  <c r="AN384" i="9"/>
  <c r="DE384" i="9" s="1"/>
  <c r="AB384" i="9"/>
  <c r="CS384" i="9" s="1"/>
  <c r="BF384" i="9"/>
  <c r="DW384" i="9" s="1"/>
  <c r="AF384" i="9"/>
  <c r="CW384" i="9" s="1"/>
  <c r="AC384" i="9"/>
  <c r="CT384" i="9" s="1"/>
  <c r="BQ384" i="9"/>
  <c r="EH384" i="9" s="1"/>
  <c r="W384" i="9"/>
  <c r="CN384" i="9" s="1"/>
  <c r="AP384" i="9"/>
  <c r="DG384" i="9" s="1"/>
  <c r="BR384" i="9"/>
  <c r="EI384" i="9" s="1"/>
  <c r="AZ384" i="9"/>
  <c r="DQ384" i="9" s="1"/>
  <c r="BJ384" i="9"/>
  <c r="EA384" i="9" s="1"/>
  <c r="BB384" i="9"/>
  <c r="DS384" i="9" s="1"/>
  <c r="AU384" i="9"/>
  <c r="DL384" i="9" s="1"/>
  <c r="BD384" i="9"/>
  <c r="DU384" i="9" s="1"/>
  <c r="U384" i="9"/>
  <c r="CL384" i="9" s="1"/>
  <c r="S384" i="9"/>
  <c r="CJ384" i="9" s="1"/>
  <c r="L384" i="9"/>
  <c r="CC384" i="9" s="1"/>
  <c r="O384" i="9"/>
  <c r="CF384" i="9" s="1"/>
  <c r="T384" i="9"/>
  <c r="CK384" i="9" s="1"/>
  <c r="R384" i="9"/>
  <c r="CI384" i="9" s="1"/>
  <c r="M384" i="9"/>
  <c r="CD384" i="9" s="1"/>
  <c r="N384" i="9"/>
  <c r="CE384" i="9" s="1"/>
  <c r="Q384" i="9"/>
  <c r="CH384" i="9" s="1"/>
  <c r="P384" i="9"/>
  <c r="CG384" i="9" s="1"/>
  <c r="W593" i="9"/>
  <c r="S657" i="11" s="1"/>
  <c r="AM286" i="9"/>
  <c r="DD286" i="9" s="1"/>
  <c r="BI286" i="9"/>
  <c r="DZ286" i="9" s="1"/>
  <c r="AJ286" i="9"/>
  <c r="DA286" i="9" s="1"/>
  <c r="BF286" i="9"/>
  <c r="DW286" i="9" s="1"/>
  <c r="AO286" i="9"/>
  <c r="DF286" i="9" s="1"/>
  <c r="AE286" i="9"/>
  <c r="CV286" i="9" s="1"/>
  <c r="AS286" i="9"/>
  <c r="DJ286" i="9" s="1"/>
  <c r="AB286" i="9"/>
  <c r="CS286" i="9" s="1"/>
  <c r="AX286" i="9"/>
  <c r="DO286" i="9" s="1"/>
  <c r="AG286" i="9"/>
  <c r="CX286" i="9" s="1"/>
  <c r="W286" i="9"/>
  <c r="CN286" i="9" s="1"/>
  <c r="AK286" i="9"/>
  <c r="DB286" i="9" s="1"/>
  <c r="BO286" i="9"/>
  <c r="EF286" i="9" s="1"/>
  <c r="AP286" i="9"/>
  <c r="DG286" i="9" s="1"/>
  <c r="Y286" i="9"/>
  <c r="CP286" i="9" s="1"/>
  <c r="BJ286" i="9"/>
  <c r="EA286" i="9" s="1"/>
  <c r="AC286" i="9"/>
  <c r="CT286" i="9" s="1"/>
  <c r="BG286" i="9"/>
  <c r="DX286" i="9" s="1"/>
  <c r="AH286" i="9"/>
  <c r="CY286" i="9" s="1"/>
  <c r="BL286" i="9"/>
  <c r="EC286" i="9" s="1"/>
  <c r="BB286" i="9"/>
  <c r="DS286" i="9" s="1"/>
  <c r="U286" i="9"/>
  <c r="CL286" i="9" s="1"/>
  <c r="AQ286" i="9"/>
  <c r="DH286" i="9" s="1"/>
  <c r="Z286" i="9"/>
  <c r="CQ286" i="9" s="1"/>
  <c r="AN286" i="9"/>
  <c r="DE286" i="9" s="1"/>
  <c r="AD286" i="9"/>
  <c r="CU286" i="9" s="1"/>
  <c r="BP286" i="9"/>
  <c r="EG286" i="9" s="1"/>
  <c r="AI286" i="9"/>
  <c r="CZ286" i="9" s="1"/>
  <c r="BM286" i="9"/>
  <c r="ED286" i="9" s="1"/>
  <c r="AF286" i="9"/>
  <c r="CW286" i="9" s="1"/>
  <c r="BK286" i="9"/>
  <c r="EB286" i="9" s="1"/>
  <c r="V286" i="9"/>
  <c r="CM286" i="9" s="1"/>
  <c r="BH286" i="9"/>
  <c r="DY286" i="9" s="1"/>
  <c r="AA286" i="9"/>
  <c r="CR286" i="9" s="1"/>
  <c r="BE286" i="9"/>
  <c r="DV286" i="9" s="1"/>
  <c r="BC286" i="9"/>
  <c r="DT286" i="9" s="1"/>
  <c r="BQ286" i="9"/>
  <c r="EH286" i="9" s="1"/>
  <c r="AR286" i="9"/>
  <c r="DI286" i="9" s="1"/>
  <c r="BN286" i="9"/>
  <c r="EE286" i="9" s="1"/>
  <c r="AW286" i="9"/>
  <c r="DN286" i="9" s="1"/>
  <c r="AY286" i="9"/>
  <c r="DP286" i="9" s="1"/>
  <c r="BA286" i="9"/>
  <c r="DR286" i="9" s="1"/>
  <c r="AZ286" i="9"/>
  <c r="DQ286" i="9" s="1"/>
  <c r="BD286" i="9"/>
  <c r="DU286" i="9" s="1"/>
  <c r="AT286" i="9"/>
  <c r="DK286" i="9" s="1"/>
  <c r="AU286" i="9"/>
  <c r="DL286" i="9" s="1"/>
  <c r="BR286" i="9"/>
  <c r="EI286" i="9" s="1"/>
  <c r="AL286" i="9"/>
  <c r="DC286" i="9" s="1"/>
  <c r="X286" i="9"/>
  <c r="CO286" i="9" s="1"/>
  <c r="AV286" i="9"/>
  <c r="DM286" i="9" s="1"/>
  <c r="Q286" i="9"/>
  <c r="CH286" i="9" s="1"/>
  <c r="P286" i="9"/>
  <c r="CG286" i="9" s="1"/>
  <c r="N286" i="9"/>
  <c r="CE286" i="9" s="1"/>
  <c r="T286" i="9"/>
  <c r="CK286" i="9" s="1"/>
  <c r="O286" i="9"/>
  <c r="CF286" i="9" s="1"/>
  <c r="M286" i="9"/>
  <c r="CD286" i="9" s="1"/>
  <c r="S286" i="9"/>
  <c r="CJ286" i="9" s="1"/>
  <c r="R286" i="9"/>
  <c r="CI286" i="9" s="1"/>
  <c r="K286" i="9"/>
  <c r="L286" i="9"/>
  <c r="CC286" i="9" s="1"/>
  <c r="BA682" i="9"/>
  <c r="DR682" i="9" s="1"/>
  <c r="BC682" i="9"/>
  <c r="DT682" i="9" s="1"/>
  <c r="BQ682" i="9"/>
  <c r="EH682" i="9" s="1"/>
  <c r="AD682" i="9"/>
  <c r="CU682" i="9" s="1"/>
  <c r="AS682" i="9"/>
  <c r="DJ682" i="9" s="1"/>
  <c r="BL682" i="9"/>
  <c r="EC682" i="9" s="1"/>
  <c r="V682" i="9"/>
  <c r="CM682" i="9" s="1"/>
  <c r="BD682" i="9"/>
  <c r="DU682" i="9" s="1"/>
  <c r="AT682" i="9"/>
  <c r="DK682" i="9" s="1"/>
  <c r="AA682" i="9"/>
  <c r="CR682" i="9" s="1"/>
  <c r="AI682" i="9"/>
  <c r="CZ682" i="9" s="1"/>
  <c r="BI682" i="9"/>
  <c r="DZ682" i="9" s="1"/>
  <c r="BH682" i="9"/>
  <c r="DY682" i="9" s="1"/>
  <c r="AU682" i="9"/>
  <c r="DL682" i="9" s="1"/>
  <c r="AL682" i="9"/>
  <c r="DC682" i="9" s="1"/>
  <c r="AP682" i="9"/>
  <c r="DG682" i="9" s="1"/>
  <c r="BM682" i="9"/>
  <c r="ED682" i="9" s="1"/>
  <c r="BO682" i="9"/>
  <c r="EF682" i="9" s="1"/>
  <c r="AN682" i="9"/>
  <c r="DE682" i="9" s="1"/>
  <c r="W682" i="9"/>
  <c r="CN682" i="9" s="1"/>
  <c r="AB682" i="9"/>
  <c r="CS682" i="9" s="1"/>
  <c r="AH682" i="9"/>
  <c r="CY682" i="9" s="1"/>
  <c r="BR682" i="9"/>
  <c r="EI682" i="9" s="1"/>
  <c r="X682" i="9"/>
  <c r="CO682" i="9" s="1"/>
  <c r="BJ682" i="9"/>
  <c r="EA682" i="9" s="1"/>
  <c r="BK682" i="9"/>
  <c r="EB682" i="9" s="1"/>
  <c r="AO682" i="9"/>
  <c r="DF682" i="9" s="1"/>
  <c r="AX682" i="9"/>
  <c r="DO682" i="9" s="1"/>
  <c r="BG682" i="9"/>
  <c r="DX682" i="9" s="1"/>
  <c r="AQ682" i="9"/>
  <c r="DH682" i="9" s="1"/>
  <c r="BF682" i="9"/>
  <c r="DW682" i="9" s="1"/>
  <c r="BN682" i="9"/>
  <c r="EE682" i="9" s="1"/>
  <c r="AZ682" i="9"/>
  <c r="DQ682" i="9" s="1"/>
  <c r="AJ682" i="9"/>
  <c r="DA682" i="9" s="1"/>
  <c r="AV682" i="9"/>
  <c r="DM682" i="9" s="1"/>
  <c r="Z682" i="9"/>
  <c r="CQ682" i="9" s="1"/>
  <c r="AF682" i="9"/>
  <c r="CW682" i="9" s="1"/>
  <c r="AG682" i="9"/>
  <c r="CX682" i="9" s="1"/>
  <c r="BE682" i="9"/>
  <c r="DV682" i="9" s="1"/>
  <c r="AK682" i="9"/>
  <c r="DB682" i="9" s="1"/>
  <c r="AW682" i="9"/>
  <c r="DN682" i="9" s="1"/>
  <c r="AM682" i="9"/>
  <c r="DD682" i="9" s="1"/>
  <c r="U682" i="9"/>
  <c r="CL682" i="9" s="1"/>
  <c r="AE682" i="9"/>
  <c r="CV682" i="9" s="1"/>
  <c r="AY682" i="9"/>
  <c r="DP682" i="9" s="1"/>
  <c r="AR682" i="9"/>
  <c r="DI682" i="9" s="1"/>
  <c r="BB682" i="9"/>
  <c r="DS682" i="9" s="1"/>
  <c r="AC682" i="9"/>
  <c r="CT682" i="9" s="1"/>
  <c r="BP682" i="9"/>
  <c r="EG682" i="9" s="1"/>
  <c r="Y682" i="9"/>
  <c r="CP682" i="9" s="1"/>
  <c r="N682" i="9"/>
  <c r="CE682" i="9" s="1"/>
  <c r="O682" i="9"/>
  <c r="CF682" i="9" s="1"/>
  <c r="Q682" i="9"/>
  <c r="CH682" i="9" s="1"/>
  <c r="P682" i="9"/>
  <c r="CG682" i="9" s="1"/>
  <c r="S682" i="9"/>
  <c r="CJ682" i="9" s="1"/>
  <c r="R682" i="9"/>
  <c r="CI682" i="9" s="1"/>
  <c r="L682" i="9"/>
  <c r="CC682" i="9" s="1"/>
  <c r="T682" i="9"/>
  <c r="CK682" i="9" s="1"/>
  <c r="M682" i="9"/>
  <c r="CD682" i="9" s="1"/>
  <c r="I281" i="9"/>
  <c r="AP593" i="9"/>
  <c r="AL657" i="11" s="1"/>
  <c r="AI290" i="9"/>
  <c r="CZ290" i="9" s="1"/>
  <c r="BM290" i="9"/>
  <c r="ED290" i="9" s="1"/>
  <c r="AF290" i="9"/>
  <c r="CW290" i="9" s="1"/>
  <c r="AD290" i="9"/>
  <c r="CU290" i="9" s="1"/>
  <c r="AB290" i="9"/>
  <c r="CS290" i="9" s="1"/>
  <c r="AA290" i="9"/>
  <c r="CR290" i="9" s="1"/>
  <c r="BE290" i="9"/>
  <c r="DV290" i="9" s="1"/>
  <c r="BK290" i="9"/>
  <c r="EB290" i="9" s="1"/>
  <c r="V290" i="9"/>
  <c r="CM290" i="9" s="1"/>
  <c r="BP290" i="9"/>
  <c r="EG290" i="9" s="1"/>
  <c r="BN290" i="9"/>
  <c r="EE290" i="9" s="1"/>
  <c r="AW290" i="9"/>
  <c r="DN290" i="9" s="1"/>
  <c r="BC290" i="9"/>
  <c r="DT290" i="9" s="1"/>
  <c r="BQ290" i="9"/>
  <c r="EH290" i="9" s="1"/>
  <c r="BH290" i="9"/>
  <c r="DY290" i="9" s="1"/>
  <c r="BF290" i="9"/>
  <c r="DW290" i="9" s="1"/>
  <c r="AO290" i="9"/>
  <c r="DF290" i="9" s="1"/>
  <c r="AM290" i="9"/>
  <c r="DD290" i="9" s="1"/>
  <c r="BI290" i="9"/>
  <c r="DZ290" i="9" s="1"/>
  <c r="AR290" i="9"/>
  <c r="DI290" i="9" s="1"/>
  <c r="AX290" i="9"/>
  <c r="DO290" i="9" s="1"/>
  <c r="AG290" i="9"/>
  <c r="CX290" i="9" s="1"/>
  <c r="AE290" i="9"/>
  <c r="CV290" i="9" s="1"/>
  <c r="AS290" i="9"/>
  <c r="DJ290" i="9" s="1"/>
  <c r="AJ290" i="9"/>
  <c r="DA290" i="9" s="1"/>
  <c r="BO290" i="9"/>
  <c r="EF290" i="9" s="1"/>
  <c r="AP290" i="9"/>
  <c r="DG290" i="9" s="1"/>
  <c r="Y290" i="9"/>
  <c r="CP290" i="9" s="1"/>
  <c r="W290" i="9"/>
  <c r="CN290" i="9" s="1"/>
  <c r="AK290" i="9"/>
  <c r="DB290" i="9" s="1"/>
  <c r="BG290" i="9"/>
  <c r="DX290" i="9" s="1"/>
  <c r="AH290" i="9"/>
  <c r="CY290" i="9" s="1"/>
  <c r="BL290" i="9"/>
  <c r="EC290" i="9" s="1"/>
  <c r="BJ290" i="9"/>
  <c r="EA290" i="9" s="1"/>
  <c r="AC290" i="9"/>
  <c r="CT290" i="9" s="1"/>
  <c r="AQ290" i="9"/>
  <c r="DH290" i="9" s="1"/>
  <c r="Z290" i="9"/>
  <c r="CQ290" i="9" s="1"/>
  <c r="AN290" i="9"/>
  <c r="DE290" i="9" s="1"/>
  <c r="BB290" i="9"/>
  <c r="DS290" i="9" s="1"/>
  <c r="U290" i="9"/>
  <c r="CL290" i="9" s="1"/>
  <c r="AY290" i="9"/>
  <c r="DP290" i="9" s="1"/>
  <c r="AV290" i="9"/>
  <c r="DM290" i="9" s="1"/>
  <c r="AL290" i="9"/>
  <c r="DC290" i="9" s="1"/>
  <c r="AU290" i="9"/>
  <c r="DL290" i="9" s="1"/>
  <c r="BD290" i="9"/>
  <c r="DU290" i="9" s="1"/>
  <c r="X290" i="9"/>
  <c r="CO290" i="9" s="1"/>
  <c r="BA290" i="9"/>
  <c r="DR290" i="9" s="1"/>
  <c r="BR290" i="9"/>
  <c r="EI290" i="9" s="1"/>
  <c r="AZ290" i="9"/>
  <c r="DQ290" i="9" s="1"/>
  <c r="AT290" i="9"/>
  <c r="DK290" i="9" s="1"/>
  <c r="M290" i="9"/>
  <c r="CD290" i="9" s="1"/>
  <c r="P290" i="9"/>
  <c r="CG290" i="9" s="1"/>
  <c r="N290" i="9"/>
  <c r="CE290" i="9" s="1"/>
  <c r="S290" i="9"/>
  <c r="CJ290" i="9" s="1"/>
  <c r="R290" i="9"/>
  <c r="CI290" i="9" s="1"/>
  <c r="O290" i="9"/>
  <c r="CF290" i="9" s="1"/>
  <c r="Q290" i="9"/>
  <c r="CH290" i="9" s="1"/>
  <c r="T290" i="9"/>
  <c r="CK290" i="9" s="1"/>
  <c r="K290" i="9"/>
  <c r="L290" i="9"/>
  <c r="CC290" i="9" s="1"/>
  <c r="AA353" i="9"/>
  <c r="W647" i="11" s="1"/>
  <c r="BE508" i="9"/>
  <c r="DV508" i="9" s="1"/>
  <c r="AG508" i="9"/>
  <c r="CX508" i="9" s="1"/>
  <c r="BI508" i="9"/>
  <c r="DZ508" i="9" s="1"/>
  <c r="AX508" i="9"/>
  <c r="DO508" i="9" s="1"/>
  <c r="BF508" i="9"/>
  <c r="DW508" i="9" s="1"/>
  <c r="BK508" i="9"/>
  <c r="EB508" i="9" s="1"/>
  <c r="AE508" i="9"/>
  <c r="CV508" i="9" s="1"/>
  <c r="AB508" i="9"/>
  <c r="CS508" i="9" s="1"/>
  <c r="BD508" i="9"/>
  <c r="DU508" i="9" s="1"/>
  <c r="BJ508" i="9"/>
  <c r="EA508" i="9" s="1"/>
  <c r="AZ508" i="9"/>
  <c r="DQ508" i="9" s="1"/>
  <c r="BA508" i="9"/>
  <c r="DR508" i="9" s="1"/>
  <c r="BH508" i="9"/>
  <c r="DY508" i="9" s="1"/>
  <c r="AS508" i="9"/>
  <c r="DJ508" i="9" s="1"/>
  <c r="AV508" i="9"/>
  <c r="DM508" i="9" s="1"/>
  <c r="BR508" i="9"/>
  <c r="EI508" i="9" s="1"/>
  <c r="BG508" i="9"/>
  <c r="DX508" i="9" s="1"/>
  <c r="BO508" i="9"/>
  <c r="EF508" i="9" s="1"/>
  <c r="AL508" i="9"/>
  <c r="DC508" i="9" s="1"/>
  <c r="AI508" i="9"/>
  <c r="CZ508" i="9" s="1"/>
  <c r="AH508" i="9"/>
  <c r="CY508" i="9" s="1"/>
  <c r="BP508" i="9"/>
  <c r="EG508" i="9" s="1"/>
  <c r="BL508" i="9"/>
  <c r="EC508" i="9" s="1"/>
  <c r="AF508" i="9"/>
  <c r="CW508" i="9" s="1"/>
  <c r="AN508" i="9"/>
  <c r="DE508" i="9" s="1"/>
  <c r="AR508" i="9"/>
  <c r="DI508" i="9" s="1"/>
  <c r="AO508" i="9"/>
  <c r="DF508" i="9" s="1"/>
  <c r="AK508" i="9"/>
  <c r="DB508" i="9" s="1"/>
  <c r="AU508" i="9"/>
  <c r="DL508" i="9" s="1"/>
  <c r="V508" i="9"/>
  <c r="CM508" i="9" s="1"/>
  <c r="AQ508" i="9"/>
  <c r="DH508" i="9" s="1"/>
  <c r="W508" i="9"/>
  <c r="CN508" i="9" s="1"/>
  <c r="U508" i="9"/>
  <c r="CL508" i="9" s="1"/>
  <c r="AJ508" i="9"/>
  <c r="DA508" i="9" s="1"/>
  <c r="X508" i="9"/>
  <c r="CO508" i="9" s="1"/>
  <c r="BN508" i="9"/>
  <c r="EE508" i="9" s="1"/>
  <c r="AM508" i="9"/>
  <c r="DD508" i="9" s="1"/>
  <c r="Z508" i="9"/>
  <c r="CQ508" i="9" s="1"/>
  <c r="Y508" i="9"/>
  <c r="CP508" i="9" s="1"/>
  <c r="AD508" i="9"/>
  <c r="CU508" i="9" s="1"/>
  <c r="AP508" i="9"/>
  <c r="DG508" i="9" s="1"/>
  <c r="BC508" i="9"/>
  <c r="DT508" i="9" s="1"/>
  <c r="AT508" i="9"/>
  <c r="DK508" i="9" s="1"/>
  <c r="AW508" i="9"/>
  <c r="DN508" i="9" s="1"/>
  <c r="BB508" i="9"/>
  <c r="DS508" i="9" s="1"/>
  <c r="AY508" i="9"/>
  <c r="DP508" i="9" s="1"/>
  <c r="BM508" i="9"/>
  <c r="ED508" i="9" s="1"/>
  <c r="BQ508" i="9"/>
  <c r="EH508" i="9" s="1"/>
  <c r="AC508" i="9"/>
  <c r="CT508" i="9" s="1"/>
  <c r="AA508" i="9"/>
  <c r="CR508" i="9" s="1"/>
  <c r="N508" i="9"/>
  <c r="CE508" i="9" s="1"/>
  <c r="M508" i="9"/>
  <c r="CD508" i="9" s="1"/>
  <c r="Q508" i="9"/>
  <c r="CH508" i="9" s="1"/>
  <c r="O508" i="9"/>
  <c r="CF508" i="9" s="1"/>
  <c r="K508" i="9"/>
  <c r="L508" i="9"/>
  <c r="CC508" i="9" s="1"/>
  <c r="S508" i="9"/>
  <c r="CJ508" i="9" s="1"/>
  <c r="R508" i="9"/>
  <c r="CI508" i="9" s="1"/>
  <c r="T508" i="9"/>
  <c r="CK508" i="9" s="1"/>
  <c r="P508" i="9"/>
  <c r="CG508" i="9" s="1"/>
  <c r="BE516" i="9"/>
  <c r="DV516" i="9" s="1"/>
  <c r="AI516" i="9"/>
  <c r="CZ516" i="9" s="1"/>
  <c r="BH516" i="9"/>
  <c r="DY516" i="9" s="1"/>
  <c r="BP516" i="9"/>
  <c r="EG516" i="9" s="1"/>
  <c r="AX516" i="9"/>
  <c r="DO516" i="9" s="1"/>
  <c r="AK516" i="9"/>
  <c r="DB516" i="9" s="1"/>
  <c r="BC516" i="9"/>
  <c r="DT516" i="9" s="1"/>
  <c r="AB516" i="9"/>
  <c r="CS516" i="9" s="1"/>
  <c r="BD516" i="9"/>
  <c r="DU516" i="9" s="1"/>
  <c r="BQ516" i="9"/>
  <c r="EH516" i="9" s="1"/>
  <c r="AV516" i="9"/>
  <c r="DM516" i="9" s="1"/>
  <c r="BA516" i="9"/>
  <c r="DR516" i="9" s="1"/>
  <c r="AZ516" i="9"/>
  <c r="DQ516" i="9" s="1"/>
  <c r="AO516" i="9"/>
  <c r="DF516" i="9" s="1"/>
  <c r="AE516" i="9"/>
  <c r="CV516" i="9" s="1"/>
  <c r="BI516" i="9"/>
  <c r="DZ516" i="9" s="1"/>
  <c r="AQ516" i="9"/>
  <c r="DH516" i="9" s="1"/>
  <c r="Z516" i="9"/>
  <c r="CQ516" i="9" s="1"/>
  <c r="BG516" i="9"/>
  <c r="DX516" i="9" s="1"/>
  <c r="W516" i="9"/>
  <c r="CN516" i="9" s="1"/>
  <c r="AH516" i="9"/>
  <c r="CY516" i="9" s="1"/>
  <c r="BL516" i="9"/>
  <c r="EC516" i="9" s="1"/>
  <c r="AL516" i="9"/>
  <c r="DC516" i="9" s="1"/>
  <c r="AG516" i="9"/>
  <c r="CX516" i="9" s="1"/>
  <c r="AF516" i="9"/>
  <c r="CW516" i="9" s="1"/>
  <c r="AM516" i="9"/>
  <c r="DD516" i="9" s="1"/>
  <c r="AY516" i="9"/>
  <c r="DP516" i="9" s="1"/>
  <c r="AS516" i="9"/>
  <c r="DJ516" i="9" s="1"/>
  <c r="V516" i="9"/>
  <c r="CM516" i="9" s="1"/>
  <c r="BJ516" i="9"/>
  <c r="EA516" i="9" s="1"/>
  <c r="BR516" i="9"/>
  <c r="EI516" i="9" s="1"/>
  <c r="BO516" i="9"/>
  <c r="EF516" i="9" s="1"/>
  <c r="AU516" i="9"/>
  <c r="DL516" i="9" s="1"/>
  <c r="X516" i="9"/>
  <c r="CO516" i="9" s="1"/>
  <c r="BF516" i="9"/>
  <c r="DW516" i="9" s="1"/>
  <c r="AR516" i="9"/>
  <c r="DI516" i="9" s="1"/>
  <c r="BN516" i="9"/>
  <c r="EE516" i="9" s="1"/>
  <c r="AJ516" i="9"/>
  <c r="DA516" i="9" s="1"/>
  <c r="AD516" i="9"/>
  <c r="CU516" i="9" s="1"/>
  <c r="AA516" i="9"/>
  <c r="CR516" i="9" s="1"/>
  <c r="AW516" i="9"/>
  <c r="DN516" i="9" s="1"/>
  <c r="AC516" i="9"/>
  <c r="CT516" i="9" s="1"/>
  <c r="AN516" i="9"/>
  <c r="DE516" i="9" s="1"/>
  <c r="Y516" i="9"/>
  <c r="CP516" i="9" s="1"/>
  <c r="BB516" i="9"/>
  <c r="DS516" i="9" s="1"/>
  <c r="BK516" i="9"/>
  <c r="EB516" i="9" s="1"/>
  <c r="BM516" i="9"/>
  <c r="ED516" i="9" s="1"/>
  <c r="U516" i="9"/>
  <c r="CL516" i="9" s="1"/>
  <c r="AT516" i="9"/>
  <c r="DK516" i="9" s="1"/>
  <c r="AP516" i="9"/>
  <c r="DG516" i="9" s="1"/>
  <c r="R516" i="9"/>
  <c r="CI516" i="9" s="1"/>
  <c r="P516" i="9"/>
  <c r="CG516" i="9" s="1"/>
  <c r="S516" i="9"/>
  <c r="CJ516" i="9" s="1"/>
  <c r="L516" i="9"/>
  <c r="CC516" i="9" s="1"/>
  <c r="M516" i="9"/>
  <c r="CD516" i="9" s="1"/>
  <c r="O516" i="9"/>
  <c r="CF516" i="9" s="1"/>
  <c r="N516" i="9"/>
  <c r="CE516" i="9" s="1"/>
  <c r="T516" i="9"/>
  <c r="CK516" i="9" s="1"/>
  <c r="K516" i="9"/>
  <c r="Q516" i="9"/>
  <c r="CH516" i="9" s="1"/>
  <c r="BC679" i="9"/>
  <c r="DT679" i="9" s="1"/>
  <c r="BF679" i="9"/>
  <c r="DW679" i="9" s="1"/>
  <c r="BO679" i="9"/>
  <c r="EF679" i="9" s="1"/>
  <c r="AO679" i="9"/>
  <c r="DF679" i="9" s="1"/>
  <c r="AL679" i="9"/>
  <c r="DC679" i="9" s="1"/>
  <c r="BA679" i="9"/>
  <c r="DR679" i="9" s="1"/>
  <c r="AB679" i="9"/>
  <c r="CS679" i="9" s="1"/>
  <c r="AT679" i="9"/>
  <c r="DK679" i="9" s="1"/>
  <c r="AS679" i="9"/>
  <c r="DJ679" i="9" s="1"/>
  <c r="BI679" i="9"/>
  <c r="DZ679" i="9" s="1"/>
  <c r="AX679" i="9"/>
  <c r="DO679" i="9" s="1"/>
  <c r="AU679" i="9"/>
  <c r="DL679" i="9" s="1"/>
  <c r="BG679" i="9"/>
  <c r="DX679" i="9" s="1"/>
  <c r="BL679" i="9"/>
  <c r="EC679" i="9" s="1"/>
  <c r="AA679" i="9"/>
  <c r="CR679" i="9" s="1"/>
  <c r="AH679" i="9"/>
  <c r="CY679" i="9" s="1"/>
  <c r="AQ679" i="9"/>
  <c r="DH679" i="9" s="1"/>
  <c r="AI679" i="9"/>
  <c r="CZ679" i="9" s="1"/>
  <c r="AN679" i="9"/>
  <c r="DE679" i="9" s="1"/>
  <c r="BJ679" i="9"/>
  <c r="EA679" i="9" s="1"/>
  <c r="AP679" i="9"/>
  <c r="DG679" i="9" s="1"/>
  <c r="BN679" i="9"/>
  <c r="EE679" i="9" s="1"/>
  <c r="BD679" i="9"/>
  <c r="DU679" i="9" s="1"/>
  <c r="BH679" i="9"/>
  <c r="DY679" i="9" s="1"/>
  <c r="V679" i="9"/>
  <c r="CM679" i="9" s="1"/>
  <c r="BM679" i="9"/>
  <c r="ED679" i="9" s="1"/>
  <c r="X679" i="9"/>
  <c r="CO679" i="9" s="1"/>
  <c r="AD679" i="9"/>
  <c r="CU679" i="9" s="1"/>
  <c r="BR679" i="9"/>
  <c r="EI679" i="9" s="1"/>
  <c r="BQ679" i="9"/>
  <c r="EH679" i="9" s="1"/>
  <c r="W679" i="9"/>
  <c r="CN679" i="9" s="1"/>
  <c r="BK679" i="9"/>
  <c r="EB679" i="9" s="1"/>
  <c r="AR679" i="9"/>
  <c r="DI679" i="9" s="1"/>
  <c r="BE679" i="9"/>
  <c r="DV679" i="9" s="1"/>
  <c r="U679" i="9"/>
  <c r="CL679" i="9" s="1"/>
  <c r="AK679" i="9"/>
  <c r="DB679" i="9" s="1"/>
  <c r="AJ679" i="9"/>
  <c r="DA679" i="9" s="1"/>
  <c r="AV679" i="9"/>
  <c r="DM679" i="9" s="1"/>
  <c r="BB679" i="9"/>
  <c r="DS679" i="9" s="1"/>
  <c r="AC679" i="9"/>
  <c r="CT679" i="9" s="1"/>
  <c r="AE679" i="9"/>
  <c r="CV679" i="9" s="1"/>
  <c r="Z679" i="9"/>
  <c r="CQ679" i="9" s="1"/>
  <c r="AG679" i="9"/>
  <c r="CX679" i="9" s="1"/>
  <c r="AF679" i="9"/>
  <c r="CW679" i="9" s="1"/>
  <c r="BP679" i="9"/>
  <c r="EG679" i="9" s="1"/>
  <c r="AY679" i="9"/>
  <c r="DP679" i="9" s="1"/>
  <c r="AM679" i="9"/>
  <c r="DD679" i="9" s="1"/>
  <c r="AW679" i="9"/>
  <c r="DN679" i="9" s="1"/>
  <c r="AZ679" i="9"/>
  <c r="DQ679" i="9" s="1"/>
  <c r="Y679" i="9"/>
  <c r="CP679" i="9" s="1"/>
  <c r="M679" i="9"/>
  <c r="CD679" i="9" s="1"/>
  <c r="S679" i="9"/>
  <c r="CJ679" i="9" s="1"/>
  <c r="T679" i="9"/>
  <c r="CK679" i="9" s="1"/>
  <c r="P679" i="9"/>
  <c r="CG679" i="9" s="1"/>
  <c r="R679" i="9"/>
  <c r="CI679" i="9" s="1"/>
  <c r="N679" i="9"/>
  <c r="CE679" i="9" s="1"/>
  <c r="Q679" i="9"/>
  <c r="CH679" i="9" s="1"/>
  <c r="L679" i="9"/>
  <c r="CC679" i="9" s="1"/>
  <c r="O679" i="9"/>
  <c r="CF679" i="9" s="1"/>
  <c r="AL675" i="9"/>
  <c r="DC675" i="9" s="1"/>
  <c r="AB675" i="9"/>
  <c r="CS675" i="9" s="1"/>
  <c r="BK675" i="9"/>
  <c r="EB675" i="9" s="1"/>
  <c r="AD675" i="9"/>
  <c r="CU675" i="9" s="1"/>
  <c r="BN675" i="9"/>
  <c r="EE675" i="9" s="1"/>
  <c r="BL675" i="9"/>
  <c r="EC675" i="9" s="1"/>
  <c r="W675" i="9"/>
  <c r="CN675" i="9" s="1"/>
  <c r="AN675" i="9"/>
  <c r="DE675" i="9" s="1"/>
  <c r="BI675" i="9"/>
  <c r="DZ675" i="9" s="1"/>
  <c r="AQ675" i="9"/>
  <c r="DH675" i="9" s="1"/>
  <c r="AI675" i="9"/>
  <c r="CZ675" i="9" s="1"/>
  <c r="BO675" i="9"/>
  <c r="EF675" i="9" s="1"/>
  <c r="AH675" i="9"/>
  <c r="CY675" i="9" s="1"/>
  <c r="BR675" i="9"/>
  <c r="EI675" i="9" s="1"/>
  <c r="BD675" i="9"/>
  <c r="DU675" i="9" s="1"/>
  <c r="AT675" i="9"/>
  <c r="DK675" i="9" s="1"/>
  <c r="AP675" i="9"/>
  <c r="DG675" i="9" s="1"/>
  <c r="V675" i="9"/>
  <c r="CM675" i="9" s="1"/>
  <c r="BJ675" i="9"/>
  <c r="EA675" i="9" s="1"/>
  <c r="X675" i="9"/>
  <c r="CO675" i="9" s="1"/>
  <c r="AO675" i="9"/>
  <c r="DF675" i="9" s="1"/>
  <c r="BQ675" i="9"/>
  <c r="EH675" i="9" s="1"/>
  <c r="AS675" i="9"/>
  <c r="DJ675" i="9" s="1"/>
  <c r="AX675" i="9"/>
  <c r="DO675" i="9" s="1"/>
  <c r="AU675" i="9"/>
  <c r="DL675" i="9" s="1"/>
  <c r="BG675" i="9"/>
  <c r="DX675" i="9" s="1"/>
  <c r="AA675" i="9"/>
  <c r="CR675" i="9" s="1"/>
  <c r="BC675" i="9"/>
  <c r="DT675" i="9" s="1"/>
  <c r="BH675" i="9"/>
  <c r="DY675" i="9" s="1"/>
  <c r="BA675" i="9"/>
  <c r="DR675" i="9" s="1"/>
  <c r="BM675" i="9"/>
  <c r="ED675" i="9" s="1"/>
  <c r="BF675" i="9"/>
  <c r="DW675" i="9" s="1"/>
  <c r="AG675" i="9"/>
  <c r="CX675" i="9" s="1"/>
  <c r="BE675" i="9"/>
  <c r="DV675" i="9" s="1"/>
  <c r="BB675" i="9"/>
  <c r="DS675" i="9" s="1"/>
  <c r="AM675" i="9"/>
  <c r="DD675" i="9" s="1"/>
  <c r="AV675" i="9"/>
  <c r="DM675" i="9" s="1"/>
  <c r="AZ675" i="9"/>
  <c r="DQ675" i="9" s="1"/>
  <c r="AY675" i="9"/>
  <c r="DP675" i="9" s="1"/>
  <c r="AJ675" i="9"/>
  <c r="DA675" i="9" s="1"/>
  <c r="AR675" i="9"/>
  <c r="DI675" i="9" s="1"/>
  <c r="AF675" i="9"/>
  <c r="CW675" i="9" s="1"/>
  <c r="Z675" i="9"/>
  <c r="CQ675" i="9" s="1"/>
  <c r="AE675" i="9"/>
  <c r="CV675" i="9" s="1"/>
  <c r="U675" i="9"/>
  <c r="CL675" i="9" s="1"/>
  <c r="AC675" i="9"/>
  <c r="CT675" i="9" s="1"/>
  <c r="AW675" i="9"/>
  <c r="DN675" i="9" s="1"/>
  <c r="BP675" i="9"/>
  <c r="EG675" i="9" s="1"/>
  <c r="AK675" i="9"/>
  <c r="DB675" i="9" s="1"/>
  <c r="Y675" i="9"/>
  <c r="CP675" i="9" s="1"/>
  <c r="Q675" i="9"/>
  <c r="CH675" i="9" s="1"/>
  <c r="P675" i="9"/>
  <c r="CG675" i="9" s="1"/>
  <c r="M675" i="9"/>
  <c r="CD675" i="9" s="1"/>
  <c r="S675" i="9"/>
  <c r="CJ675" i="9" s="1"/>
  <c r="O675" i="9"/>
  <c r="CF675" i="9" s="1"/>
  <c r="L675" i="9"/>
  <c r="CC675" i="9" s="1"/>
  <c r="T675" i="9"/>
  <c r="CK675" i="9" s="1"/>
  <c r="R675" i="9"/>
  <c r="CI675" i="9" s="1"/>
  <c r="N675" i="9"/>
  <c r="CE675" i="9" s="1"/>
  <c r="I689" i="9"/>
  <c r="BN669" i="9"/>
  <c r="BD669" i="9"/>
  <c r="BJ669" i="9"/>
  <c r="BA669" i="9"/>
  <c r="BF669" i="9"/>
  <c r="AN669" i="9"/>
  <c r="AT669" i="9"/>
  <c r="BQ669" i="9"/>
  <c r="AX669" i="9"/>
  <c r="X669" i="9"/>
  <c r="AL669" i="9"/>
  <c r="AS669" i="9"/>
  <c r="BO669" i="9"/>
  <c r="AP669" i="9"/>
  <c r="BK669" i="9"/>
  <c r="AD669" i="9"/>
  <c r="BG669" i="9"/>
  <c r="AH669" i="9"/>
  <c r="BC669" i="9"/>
  <c r="V669" i="9"/>
  <c r="AQ669" i="9"/>
  <c r="BM669" i="9"/>
  <c r="AU669" i="9"/>
  <c r="BI669" i="9"/>
  <c r="AI669" i="9"/>
  <c r="AO669" i="9"/>
  <c r="W669" i="9"/>
  <c r="BH669" i="9"/>
  <c r="AA669" i="9"/>
  <c r="BL669" i="9"/>
  <c r="BR669" i="9"/>
  <c r="AB669" i="9"/>
  <c r="AK669" i="9"/>
  <c r="AY669" i="9"/>
  <c r="Z669" i="9"/>
  <c r="AF669" i="9"/>
  <c r="AZ669" i="9"/>
  <c r="AE669" i="9"/>
  <c r="AJ669" i="9"/>
  <c r="AV669" i="9"/>
  <c r="AW669" i="9"/>
  <c r="Y669" i="9"/>
  <c r="AG669" i="9"/>
  <c r="U669" i="9"/>
  <c r="BB669" i="9"/>
  <c r="BE669" i="9"/>
  <c r="AR669" i="9"/>
  <c r="BP669" i="9"/>
  <c r="AC669" i="9"/>
  <c r="AM669" i="9"/>
  <c r="M669" i="9"/>
  <c r="P669" i="9"/>
  <c r="N669" i="9"/>
  <c r="Q669" i="9"/>
  <c r="O669" i="9"/>
  <c r="L669" i="9"/>
  <c r="S669" i="9"/>
  <c r="T669" i="9"/>
  <c r="R669" i="9"/>
  <c r="BB353" i="9"/>
  <c r="AX647" i="11" s="1"/>
  <c r="BQ298" i="9"/>
  <c r="EH298" i="9" s="1"/>
  <c r="BG298" i="9"/>
  <c r="DX298" i="9" s="1"/>
  <c r="BN298" i="9"/>
  <c r="EE298" i="9" s="1"/>
  <c r="Y298" i="9"/>
  <c r="CP298" i="9" s="1"/>
  <c r="AC298" i="9"/>
  <c r="CT298" i="9" s="1"/>
  <c r="AX298" i="9"/>
  <c r="DO298" i="9" s="1"/>
  <c r="AS298" i="9"/>
  <c r="DJ298" i="9" s="1"/>
  <c r="W298" i="9"/>
  <c r="CN298" i="9" s="1"/>
  <c r="Z298" i="9"/>
  <c r="CQ298" i="9" s="1"/>
  <c r="BL298" i="9"/>
  <c r="EC298" i="9" s="1"/>
  <c r="BC298" i="9"/>
  <c r="DT298" i="9" s="1"/>
  <c r="BO298" i="9"/>
  <c r="EF298" i="9" s="1"/>
  <c r="AW298" i="9"/>
  <c r="DN298" i="9" s="1"/>
  <c r="BH298" i="9"/>
  <c r="DY298" i="9" s="1"/>
  <c r="AJ298" i="9"/>
  <c r="DA298" i="9" s="1"/>
  <c r="AR298" i="9"/>
  <c r="DI298" i="9" s="1"/>
  <c r="BM298" i="9"/>
  <c r="ED298" i="9" s="1"/>
  <c r="AE298" i="9"/>
  <c r="CV298" i="9" s="1"/>
  <c r="V298" i="9"/>
  <c r="CM298" i="9" s="1"/>
  <c r="AQ298" i="9"/>
  <c r="DH298" i="9" s="1"/>
  <c r="BI298" i="9"/>
  <c r="DZ298" i="9" s="1"/>
  <c r="U298" i="9"/>
  <c r="CL298" i="9" s="1"/>
  <c r="BF298" i="9"/>
  <c r="DW298" i="9" s="1"/>
  <c r="AB298" i="9"/>
  <c r="CS298" i="9" s="1"/>
  <c r="AP298" i="9"/>
  <c r="DG298" i="9" s="1"/>
  <c r="BJ298" i="9"/>
  <c r="EA298" i="9" s="1"/>
  <c r="BK298" i="9"/>
  <c r="EB298" i="9" s="1"/>
  <c r="AF298" i="9"/>
  <c r="CW298" i="9" s="1"/>
  <c r="BP298" i="9"/>
  <c r="EG298" i="9" s="1"/>
  <c r="AN298" i="9"/>
  <c r="DE298" i="9" s="1"/>
  <c r="AD298" i="9"/>
  <c r="CU298" i="9" s="1"/>
  <c r="AM298" i="9"/>
  <c r="DD298" i="9" s="1"/>
  <c r="AG298" i="9"/>
  <c r="CX298" i="9" s="1"/>
  <c r="BB298" i="9"/>
  <c r="DS298" i="9" s="1"/>
  <c r="AO298" i="9"/>
  <c r="DF298" i="9" s="1"/>
  <c r="BE298" i="9"/>
  <c r="DV298" i="9" s="1"/>
  <c r="AH298" i="9"/>
  <c r="CY298" i="9" s="1"/>
  <c r="AK298" i="9"/>
  <c r="DB298" i="9" s="1"/>
  <c r="AI298" i="9"/>
  <c r="CZ298" i="9" s="1"/>
  <c r="AA298" i="9"/>
  <c r="CR298" i="9" s="1"/>
  <c r="AY298" i="9"/>
  <c r="DP298" i="9" s="1"/>
  <c r="AU298" i="9"/>
  <c r="DL298" i="9" s="1"/>
  <c r="BR298" i="9"/>
  <c r="EI298" i="9" s="1"/>
  <c r="AL298" i="9"/>
  <c r="DC298" i="9" s="1"/>
  <c r="BA298" i="9"/>
  <c r="DR298" i="9" s="1"/>
  <c r="AV298" i="9"/>
  <c r="DM298" i="9" s="1"/>
  <c r="BD298" i="9"/>
  <c r="DU298" i="9" s="1"/>
  <c r="X298" i="9"/>
  <c r="CO298" i="9" s="1"/>
  <c r="AZ298" i="9"/>
  <c r="DQ298" i="9" s="1"/>
  <c r="AT298" i="9"/>
  <c r="DK298" i="9" s="1"/>
  <c r="S298" i="9"/>
  <c r="CJ298" i="9" s="1"/>
  <c r="T298" i="9"/>
  <c r="CK298" i="9" s="1"/>
  <c r="K298" i="9"/>
  <c r="L298" i="9"/>
  <c r="CC298" i="9" s="1"/>
  <c r="R298" i="9"/>
  <c r="CI298" i="9" s="1"/>
  <c r="Q298" i="9"/>
  <c r="CH298" i="9" s="1"/>
  <c r="P298" i="9"/>
  <c r="CG298" i="9" s="1"/>
  <c r="M298" i="9"/>
  <c r="CD298" i="9" s="1"/>
  <c r="O298" i="9"/>
  <c r="CF298" i="9" s="1"/>
  <c r="N298" i="9"/>
  <c r="CE298" i="9" s="1"/>
  <c r="AR473" i="9"/>
  <c r="AN652" i="11" s="1"/>
  <c r="DO477" i="9"/>
  <c r="CS477" i="9"/>
  <c r="DY477" i="9"/>
  <c r="DC477" i="9"/>
  <c r="EG477" i="9"/>
  <c r="DW477" i="9"/>
  <c r="BL540" i="9"/>
  <c r="EC540" i="9" s="1"/>
  <c r="U540" i="9"/>
  <c r="CL540" i="9" s="1"/>
  <c r="AD540" i="9"/>
  <c r="CU540" i="9" s="1"/>
  <c r="AM540" i="9"/>
  <c r="DD540" i="9" s="1"/>
  <c r="BR540" i="9"/>
  <c r="EI540" i="9" s="1"/>
  <c r="AE540" i="9"/>
  <c r="CV540" i="9" s="1"/>
  <c r="AU540" i="9"/>
  <c r="DL540" i="9" s="1"/>
  <c r="AC540" i="9"/>
  <c r="CT540" i="9" s="1"/>
  <c r="AL540" i="9"/>
  <c r="DC540" i="9" s="1"/>
  <c r="BE540" i="9"/>
  <c r="DV540" i="9" s="1"/>
  <c r="AN540" i="9"/>
  <c r="DE540" i="9" s="1"/>
  <c r="Y540" i="9"/>
  <c r="CP540" i="9" s="1"/>
  <c r="AG540" i="9"/>
  <c r="CX540" i="9" s="1"/>
  <c r="BM540" i="9"/>
  <c r="ED540" i="9" s="1"/>
  <c r="AY540" i="9"/>
  <c r="DP540" i="9" s="1"/>
  <c r="BO540" i="9"/>
  <c r="EF540" i="9" s="1"/>
  <c r="AQ540" i="9"/>
  <c r="DH540" i="9" s="1"/>
  <c r="AH540" i="9"/>
  <c r="CY540" i="9" s="1"/>
  <c r="AJ540" i="9"/>
  <c r="DA540" i="9" s="1"/>
  <c r="BG540" i="9"/>
  <c r="DX540" i="9" s="1"/>
  <c r="BK540" i="9"/>
  <c r="EB540" i="9" s="1"/>
  <c r="BN540" i="9"/>
  <c r="EE540" i="9" s="1"/>
  <c r="AZ540" i="9"/>
  <c r="DQ540" i="9" s="1"/>
  <c r="BB540" i="9"/>
  <c r="DS540" i="9" s="1"/>
  <c r="AF540" i="9"/>
  <c r="CW540" i="9" s="1"/>
  <c r="AR540" i="9"/>
  <c r="DI540" i="9" s="1"/>
  <c r="AS540" i="9"/>
  <c r="DJ540" i="9" s="1"/>
  <c r="Z540" i="9"/>
  <c r="CQ540" i="9" s="1"/>
  <c r="BP540" i="9"/>
  <c r="EG540" i="9" s="1"/>
  <c r="BH540" i="9"/>
  <c r="DY540" i="9" s="1"/>
  <c r="BQ540" i="9"/>
  <c r="EH540" i="9" s="1"/>
  <c r="BC540" i="9"/>
  <c r="DT540" i="9" s="1"/>
  <c r="AK540" i="9"/>
  <c r="DB540" i="9" s="1"/>
  <c r="AV540" i="9"/>
  <c r="DM540" i="9" s="1"/>
  <c r="X540" i="9"/>
  <c r="CO540" i="9" s="1"/>
  <c r="BI540" i="9"/>
  <c r="DZ540" i="9" s="1"/>
  <c r="BD540" i="9"/>
  <c r="DU540" i="9" s="1"/>
  <c r="AP540" i="9"/>
  <c r="DG540" i="9" s="1"/>
  <c r="BA540" i="9"/>
  <c r="DR540" i="9" s="1"/>
  <c r="V540" i="9"/>
  <c r="CM540" i="9" s="1"/>
  <c r="AX540" i="9"/>
  <c r="DO540" i="9" s="1"/>
  <c r="AT540" i="9"/>
  <c r="DK540" i="9" s="1"/>
  <c r="W540" i="9"/>
  <c r="CN540" i="9" s="1"/>
  <c r="BJ540" i="9"/>
  <c r="EA540" i="9" s="1"/>
  <c r="AW540" i="9"/>
  <c r="DN540" i="9" s="1"/>
  <c r="AI540" i="9"/>
  <c r="CZ540" i="9" s="1"/>
  <c r="AA540" i="9"/>
  <c r="CR540" i="9" s="1"/>
  <c r="AB540" i="9"/>
  <c r="CS540" i="9" s="1"/>
  <c r="BF540" i="9"/>
  <c r="DW540" i="9" s="1"/>
  <c r="AO540" i="9"/>
  <c r="DF540" i="9" s="1"/>
  <c r="Q540" i="9"/>
  <c r="CH540" i="9" s="1"/>
  <c r="N540" i="9"/>
  <c r="CE540" i="9" s="1"/>
  <c r="S540" i="9"/>
  <c r="CJ540" i="9" s="1"/>
  <c r="L540" i="9"/>
  <c r="CC540" i="9" s="1"/>
  <c r="K540" i="9"/>
  <c r="O540" i="9"/>
  <c r="CF540" i="9" s="1"/>
  <c r="R540" i="9"/>
  <c r="CI540" i="9" s="1"/>
  <c r="P540" i="9"/>
  <c r="CG540" i="9" s="1"/>
  <c r="M540" i="9"/>
  <c r="CD540" i="9" s="1"/>
  <c r="T540" i="9"/>
  <c r="CK540" i="9" s="1"/>
  <c r="BA542" i="9"/>
  <c r="DR542" i="9" s="1"/>
  <c r="AR542" i="9"/>
  <c r="DI542" i="9" s="1"/>
  <c r="AP542" i="9"/>
  <c r="DG542" i="9" s="1"/>
  <c r="AL542" i="9"/>
  <c r="DC542" i="9" s="1"/>
  <c r="X542" i="9"/>
  <c r="CO542" i="9" s="1"/>
  <c r="AS542" i="9"/>
  <c r="DJ542" i="9" s="1"/>
  <c r="AJ542" i="9"/>
  <c r="DA542" i="9" s="1"/>
  <c r="AH542" i="9"/>
  <c r="CY542" i="9" s="1"/>
  <c r="BC542" i="9"/>
  <c r="DT542" i="9" s="1"/>
  <c r="V542" i="9"/>
  <c r="CM542" i="9" s="1"/>
  <c r="AK542" i="9"/>
  <c r="DB542" i="9" s="1"/>
  <c r="BO542" i="9"/>
  <c r="EF542" i="9" s="1"/>
  <c r="Z542" i="9"/>
  <c r="CQ542" i="9" s="1"/>
  <c r="AF542" i="9"/>
  <c r="CW542" i="9" s="1"/>
  <c r="BR542" i="9"/>
  <c r="EI542" i="9" s="1"/>
  <c r="AC542" i="9"/>
  <c r="CT542" i="9" s="1"/>
  <c r="BG542" i="9"/>
  <c r="DX542" i="9" s="1"/>
  <c r="BM542" i="9"/>
  <c r="ED542" i="9" s="1"/>
  <c r="BB542" i="9"/>
  <c r="DS542" i="9" s="1"/>
  <c r="BK542" i="9"/>
  <c r="EB542" i="9" s="1"/>
  <c r="AO542" i="9"/>
  <c r="DF542" i="9" s="1"/>
  <c r="U542" i="9"/>
  <c r="CL542" i="9" s="1"/>
  <c r="AY542" i="9"/>
  <c r="DP542" i="9" s="1"/>
  <c r="BE542" i="9"/>
  <c r="DV542" i="9" s="1"/>
  <c r="AE542" i="9"/>
  <c r="CV542" i="9" s="1"/>
  <c r="AU542" i="9"/>
  <c r="DL542" i="9" s="1"/>
  <c r="BP542" i="9"/>
  <c r="EG542" i="9" s="1"/>
  <c r="AQ542" i="9"/>
  <c r="DH542" i="9" s="1"/>
  <c r="AG542" i="9"/>
  <c r="CX542" i="9" s="1"/>
  <c r="AV542" i="9"/>
  <c r="DM542" i="9" s="1"/>
  <c r="AN542" i="9"/>
  <c r="DE542" i="9" s="1"/>
  <c r="BQ542" i="9"/>
  <c r="EH542" i="9" s="1"/>
  <c r="BH542" i="9"/>
  <c r="DY542" i="9" s="1"/>
  <c r="BN542" i="9"/>
  <c r="EE542" i="9" s="1"/>
  <c r="Y542" i="9"/>
  <c r="CP542" i="9" s="1"/>
  <c r="AD542" i="9"/>
  <c r="CU542" i="9" s="1"/>
  <c r="AM542" i="9"/>
  <c r="DD542" i="9" s="1"/>
  <c r="BI542" i="9"/>
  <c r="DZ542" i="9" s="1"/>
  <c r="AZ542" i="9"/>
  <c r="DQ542" i="9" s="1"/>
  <c r="AX542" i="9"/>
  <c r="DO542" i="9" s="1"/>
  <c r="BD542" i="9"/>
  <c r="DU542" i="9" s="1"/>
  <c r="BL542" i="9"/>
  <c r="EC542" i="9" s="1"/>
  <c r="W542" i="9"/>
  <c r="CN542" i="9" s="1"/>
  <c r="AB542" i="9"/>
  <c r="CS542" i="9" s="1"/>
  <c r="AI542" i="9"/>
  <c r="CZ542" i="9" s="1"/>
  <c r="BJ542" i="9"/>
  <c r="EA542" i="9" s="1"/>
  <c r="AW542" i="9"/>
  <c r="DN542" i="9" s="1"/>
  <c r="BF542" i="9"/>
  <c r="DW542" i="9" s="1"/>
  <c r="AA542" i="9"/>
  <c r="CR542" i="9" s="1"/>
  <c r="AT542" i="9"/>
  <c r="DK542" i="9" s="1"/>
  <c r="T542" i="9"/>
  <c r="CK542" i="9" s="1"/>
  <c r="P542" i="9"/>
  <c r="CG542" i="9" s="1"/>
  <c r="N542" i="9"/>
  <c r="CE542" i="9" s="1"/>
  <c r="O542" i="9"/>
  <c r="CF542" i="9" s="1"/>
  <c r="L542" i="9"/>
  <c r="CC542" i="9" s="1"/>
  <c r="S542" i="9"/>
  <c r="CJ542" i="9" s="1"/>
  <c r="R542" i="9"/>
  <c r="CI542" i="9" s="1"/>
  <c r="K542" i="9"/>
  <c r="Q542" i="9"/>
  <c r="CH542" i="9" s="1"/>
  <c r="M542" i="9"/>
  <c r="CD542" i="9" s="1"/>
  <c r="BK527" i="9"/>
  <c r="EB527" i="9" s="1"/>
  <c r="BE527" i="9"/>
  <c r="DV527" i="9" s="1"/>
  <c r="BR527" i="9"/>
  <c r="EI527" i="9" s="1"/>
  <c r="BO527" i="9"/>
  <c r="EF527" i="9" s="1"/>
  <c r="AF527" i="9"/>
  <c r="CW527" i="9" s="1"/>
  <c r="AK527" i="9"/>
  <c r="DB527" i="9" s="1"/>
  <c r="AS527" i="9"/>
  <c r="DJ527" i="9" s="1"/>
  <c r="BI527" i="9"/>
  <c r="DZ527" i="9" s="1"/>
  <c r="AL527" i="9"/>
  <c r="DC527" i="9" s="1"/>
  <c r="AQ527" i="9"/>
  <c r="DH527" i="9" s="1"/>
  <c r="AO527" i="9"/>
  <c r="DF527" i="9" s="1"/>
  <c r="BP527" i="9"/>
  <c r="EG527" i="9" s="1"/>
  <c r="BL527" i="9"/>
  <c r="EC527" i="9" s="1"/>
  <c r="BN527" i="9"/>
  <c r="EE527" i="9" s="1"/>
  <c r="AR527" i="9"/>
  <c r="DI527" i="9" s="1"/>
  <c r="BB527" i="9"/>
  <c r="DS527" i="9" s="1"/>
  <c r="AM527" i="9"/>
  <c r="DD527" i="9" s="1"/>
  <c r="BM527" i="9"/>
  <c r="ED527" i="9" s="1"/>
  <c r="BH527" i="9"/>
  <c r="DY527" i="9" s="1"/>
  <c r="Y527" i="9"/>
  <c r="CP527" i="9" s="1"/>
  <c r="AD527" i="9"/>
  <c r="CU527" i="9" s="1"/>
  <c r="BG527" i="9"/>
  <c r="DX527" i="9" s="1"/>
  <c r="BA527" i="9"/>
  <c r="DR527" i="9" s="1"/>
  <c r="V527" i="9"/>
  <c r="CM527" i="9" s="1"/>
  <c r="AU527" i="9"/>
  <c r="DL527" i="9" s="1"/>
  <c r="BC527" i="9"/>
  <c r="DT527" i="9" s="1"/>
  <c r="AZ527" i="9"/>
  <c r="DQ527" i="9" s="1"/>
  <c r="U527" i="9"/>
  <c r="CL527" i="9" s="1"/>
  <c r="Z527" i="9"/>
  <c r="CQ527" i="9" s="1"/>
  <c r="AP527" i="9"/>
  <c r="DG527" i="9" s="1"/>
  <c r="BD527" i="9"/>
  <c r="DU527" i="9" s="1"/>
  <c r="AN527" i="9"/>
  <c r="DE527" i="9" s="1"/>
  <c r="AJ527" i="9"/>
  <c r="DA527" i="9" s="1"/>
  <c r="AE527" i="9"/>
  <c r="CV527" i="9" s="1"/>
  <c r="BQ527" i="9"/>
  <c r="EH527" i="9" s="1"/>
  <c r="AH527" i="9"/>
  <c r="CY527" i="9" s="1"/>
  <c r="AV527" i="9"/>
  <c r="DM527" i="9" s="1"/>
  <c r="AG527" i="9"/>
  <c r="CX527" i="9" s="1"/>
  <c r="X527" i="9"/>
  <c r="CO527" i="9" s="1"/>
  <c r="AY527" i="9"/>
  <c r="DP527" i="9" s="1"/>
  <c r="AC527" i="9"/>
  <c r="CT527" i="9" s="1"/>
  <c r="AX527" i="9"/>
  <c r="DO527" i="9" s="1"/>
  <c r="AW527" i="9"/>
  <c r="DN527" i="9" s="1"/>
  <c r="AA527" i="9"/>
  <c r="CR527" i="9" s="1"/>
  <c r="BJ527" i="9"/>
  <c r="EA527" i="9" s="1"/>
  <c r="BF527" i="9"/>
  <c r="DW527" i="9" s="1"/>
  <c r="AT527" i="9"/>
  <c r="DK527" i="9" s="1"/>
  <c r="W527" i="9"/>
  <c r="CN527" i="9" s="1"/>
  <c r="AI527" i="9"/>
  <c r="CZ527" i="9" s="1"/>
  <c r="AB527" i="9"/>
  <c r="CS527" i="9" s="1"/>
  <c r="N527" i="9"/>
  <c r="CE527" i="9" s="1"/>
  <c r="K527" i="9"/>
  <c r="O527" i="9"/>
  <c r="CF527" i="9" s="1"/>
  <c r="P527" i="9"/>
  <c r="CG527" i="9" s="1"/>
  <c r="S527" i="9"/>
  <c r="CJ527" i="9" s="1"/>
  <c r="M527" i="9"/>
  <c r="CD527" i="9" s="1"/>
  <c r="Q527" i="9"/>
  <c r="CH527" i="9" s="1"/>
  <c r="R527" i="9"/>
  <c r="CI527" i="9" s="1"/>
  <c r="L527" i="9"/>
  <c r="CC527" i="9" s="1"/>
  <c r="T527" i="9"/>
  <c r="CK527" i="9" s="1"/>
  <c r="AG329" i="9"/>
  <c r="AC646" i="11" s="1"/>
  <c r="CX309" i="9"/>
  <c r="EC407" i="9"/>
  <c r="BL425" i="9"/>
  <c r="BH650" i="11" s="1"/>
  <c r="DJ407" i="9"/>
  <c r="AS425" i="9"/>
  <c r="AO650" i="11" s="1"/>
  <c r="DN455" i="9"/>
  <c r="AW473" i="9"/>
  <c r="AS652" i="11" s="1"/>
  <c r="CW455" i="9"/>
  <c r="AF473" i="9"/>
  <c r="AB652" i="11" s="1"/>
  <c r="BP638" i="9"/>
  <c r="EG638" i="9" s="1"/>
  <c r="AC638" i="9"/>
  <c r="CT638" i="9" s="1"/>
  <c r="AO638" i="9"/>
  <c r="DF638" i="9" s="1"/>
  <c r="BH638" i="9"/>
  <c r="DY638" i="9" s="1"/>
  <c r="AQ638" i="9"/>
  <c r="DH638" i="9" s="1"/>
  <c r="AG638" i="9"/>
  <c r="CX638" i="9" s="1"/>
  <c r="AZ638" i="9"/>
  <c r="DQ638" i="9" s="1"/>
  <c r="AA638" i="9"/>
  <c r="CR638" i="9" s="1"/>
  <c r="AN638" i="9"/>
  <c r="DE638" i="9" s="1"/>
  <c r="AR638" i="9"/>
  <c r="DI638" i="9" s="1"/>
  <c r="AK638" i="9"/>
  <c r="DB638" i="9" s="1"/>
  <c r="AF638" i="9"/>
  <c r="CW638" i="9" s="1"/>
  <c r="AJ638" i="9"/>
  <c r="DA638" i="9" s="1"/>
  <c r="BF638" i="9"/>
  <c r="DW638" i="9" s="1"/>
  <c r="AM638" i="9"/>
  <c r="DD638" i="9" s="1"/>
  <c r="AB638" i="9"/>
  <c r="CS638" i="9" s="1"/>
  <c r="AP638" i="9"/>
  <c r="DG638" i="9" s="1"/>
  <c r="AE638" i="9"/>
  <c r="CV638" i="9" s="1"/>
  <c r="AX638" i="9"/>
  <c r="DO638" i="9" s="1"/>
  <c r="AL638" i="9"/>
  <c r="DC638" i="9" s="1"/>
  <c r="W638" i="9"/>
  <c r="CN638" i="9" s="1"/>
  <c r="AH638" i="9"/>
  <c r="CY638" i="9" s="1"/>
  <c r="Z638" i="9"/>
  <c r="CQ638" i="9" s="1"/>
  <c r="BL638" i="9"/>
  <c r="EC638" i="9" s="1"/>
  <c r="AS638" i="9"/>
  <c r="DJ638" i="9" s="1"/>
  <c r="BO638" i="9"/>
  <c r="EF638" i="9" s="1"/>
  <c r="BQ638" i="9"/>
  <c r="EH638" i="9" s="1"/>
  <c r="BK638" i="9"/>
  <c r="EB638" i="9" s="1"/>
  <c r="V638" i="9"/>
  <c r="CM638" i="9" s="1"/>
  <c r="BB638" i="9"/>
  <c r="DS638" i="9" s="1"/>
  <c r="AI638" i="9"/>
  <c r="CZ638" i="9" s="1"/>
  <c r="BJ638" i="9"/>
  <c r="EA638" i="9" s="1"/>
  <c r="BM638" i="9"/>
  <c r="ED638" i="9" s="1"/>
  <c r="BE638" i="9"/>
  <c r="DV638" i="9" s="1"/>
  <c r="Y638" i="9"/>
  <c r="CP638" i="9" s="1"/>
  <c r="BA638" i="9"/>
  <c r="DR638" i="9" s="1"/>
  <c r="AU638" i="9"/>
  <c r="DL638" i="9" s="1"/>
  <c r="AY638" i="9"/>
  <c r="DP638" i="9" s="1"/>
  <c r="AW638" i="9"/>
  <c r="DN638" i="9" s="1"/>
  <c r="BI638" i="9"/>
  <c r="DZ638" i="9" s="1"/>
  <c r="AT638" i="9"/>
  <c r="DK638" i="9" s="1"/>
  <c r="X638" i="9"/>
  <c r="CO638" i="9" s="1"/>
  <c r="U638" i="9"/>
  <c r="CL638" i="9" s="1"/>
  <c r="AD638" i="9"/>
  <c r="CU638" i="9" s="1"/>
  <c r="BN638" i="9"/>
  <c r="EE638" i="9" s="1"/>
  <c r="BD638" i="9"/>
  <c r="DU638" i="9" s="1"/>
  <c r="AV638" i="9"/>
  <c r="DM638" i="9" s="1"/>
  <c r="BG638" i="9"/>
  <c r="DX638" i="9" s="1"/>
  <c r="BC638" i="9"/>
  <c r="DT638" i="9" s="1"/>
  <c r="BR638" i="9"/>
  <c r="EI638" i="9" s="1"/>
  <c r="P638" i="9"/>
  <c r="CG638" i="9" s="1"/>
  <c r="T638" i="9"/>
  <c r="CK638" i="9" s="1"/>
  <c r="R638" i="9"/>
  <c r="CI638" i="9" s="1"/>
  <c r="S638" i="9"/>
  <c r="CJ638" i="9" s="1"/>
  <c r="L638" i="9"/>
  <c r="CC638" i="9" s="1"/>
  <c r="Q638" i="9"/>
  <c r="CH638" i="9" s="1"/>
  <c r="N638" i="9"/>
  <c r="CE638" i="9" s="1"/>
  <c r="M638" i="9"/>
  <c r="CD638" i="9" s="1"/>
  <c r="O638" i="9"/>
  <c r="CF638" i="9" s="1"/>
  <c r="K638" i="9"/>
  <c r="CL477" i="9"/>
  <c r="DQ477" i="9"/>
  <c r="BR529" i="9"/>
  <c r="EI529" i="9" s="1"/>
  <c r="AC529" i="9"/>
  <c r="CT529" i="9" s="1"/>
  <c r="AZ529" i="9"/>
  <c r="DQ529" i="9" s="1"/>
  <c r="AE529" i="9"/>
  <c r="CV529" i="9" s="1"/>
  <c r="AG529" i="9"/>
  <c r="CX529" i="9" s="1"/>
  <c r="AP529" i="9"/>
  <c r="DG529" i="9" s="1"/>
  <c r="BH529" i="9"/>
  <c r="DY529" i="9" s="1"/>
  <c r="BI529" i="9"/>
  <c r="DZ529" i="9" s="1"/>
  <c r="AO529" i="9"/>
  <c r="DF529" i="9" s="1"/>
  <c r="BA529" i="9"/>
  <c r="DR529" i="9" s="1"/>
  <c r="AV529" i="9"/>
  <c r="DM529" i="9" s="1"/>
  <c r="BK529" i="9"/>
  <c r="EB529" i="9" s="1"/>
  <c r="X529" i="9"/>
  <c r="CO529" i="9" s="1"/>
  <c r="BN529" i="9"/>
  <c r="EE529" i="9" s="1"/>
  <c r="BE529" i="9"/>
  <c r="DV529" i="9" s="1"/>
  <c r="BB529" i="9"/>
  <c r="DS529" i="9" s="1"/>
  <c r="AX529" i="9"/>
  <c r="DO529" i="9" s="1"/>
  <c r="BQ529" i="9"/>
  <c r="EH529" i="9" s="1"/>
  <c r="BP529" i="9"/>
  <c r="EG529" i="9" s="1"/>
  <c r="AD529" i="9"/>
  <c r="CU529" i="9" s="1"/>
  <c r="AH529" i="9"/>
  <c r="CY529" i="9" s="1"/>
  <c r="BO529" i="9"/>
  <c r="EF529" i="9" s="1"/>
  <c r="Y529" i="9"/>
  <c r="CP529" i="9" s="1"/>
  <c r="AY529" i="9"/>
  <c r="DP529" i="9" s="1"/>
  <c r="AK529" i="9"/>
  <c r="DB529" i="9" s="1"/>
  <c r="AS529" i="9"/>
  <c r="DJ529" i="9" s="1"/>
  <c r="Z529" i="9"/>
  <c r="CQ529" i="9" s="1"/>
  <c r="AU529" i="9"/>
  <c r="DL529" i="9" s="1"/>
  <c r="AR529" i="9"/>
  <c r="DI529" i="9" s="1"/>
  <c r="BG529" i="9"/>
  <c r="DX529" i="9" s="1"/>
  <c r="AF529" i="9"/>
  <c r="CW529" i="9" s="1"/>
  <c r="U529" i="9"/>
  <c r="CL529" i="9" s="1"/>
  <c r="BC529" i="9"/>
  <c r="DT529" i="9" s="1"/>
  <c r="AN529" i="9"/>
  <c r="DE529" i="9" s="1"/>
  <c r="BL529" i="9"/>
  <c r="EC529" i="9" s="1"/>
  <c r="AJ529" i="9"/>
  <c r="DA529" i="9" s="1"/>
  <c r="BM529" i="9"/>
  <c r="ED529" i="9" s="1"/>
  <c r="BD529" i="9"/>
  <c r="DU529" i="9" s="1"/>
  <c r="AL529" i="9"/>
  <c r="DC529" i="9" s="1"/>
  <c r="AQ529" i="9"/>
  <c r="DH529" i="9" s="1"/>
  <c r="V529" i="9"/>
  <c r="CM529" i="9" s="1"/>
  <c r="AM529" i="9"/>
  <c r="DD529" i="9" s="1"/>
  <c r="AT529" i="9"/>
  <c r="DK529" i="9" s="1"/>
  <c r="AB529" i="9"/>
  <c r="CS529" i="9" s="1"/>
  <c r="W529" i="9"/>
  <c r="CN529" i="9" s="1"/>
  <c r="BF529" i="9"/>
  <c r="DW529" i="9" s="1"/>
  <c r="AI529" i="9"/>
  <c r="CZ529" i="9" s="1"/>
  <c r="BJ529" i="9"/>
  <c r="EA529" i="9" s="1"/>
  <c r="AW529" i="9"/>
  <c r="DN529" i="9" s="1"/>
  <c r="AA529" i="9"/>
  <c r="CR529" i="9" s="1"/>
  <c r="R529" i="9"/>
  <c r="CI529" i="9" s="1"/>
  <c r="N529" i="9"/>
  <c r="CE529" i="9" s="1"/>
  <c r="M529" i="9"/>
  <c r="CD529" i="9" s="1"/>
  <c r="T529" i="9"/>
  <c r="CK529" i="9" s="1"/>
  <c r="K529" i="9"/>
  <c r="L529" i="9"/>
  <c r="CC529" i="9" s="1"/>
  <c r="Q529" i="9"/>
  <c r="CH529" i="9" s="1"/>
  <c r="S529" i="9"/>
  <c r="CJ529" i="9" s="1"/>
  <c r="P529" i="9"/>
  <c r="CG529" i="9" s="1"/>
  <c r="O529" i="9"/>
  <c r="CF529" i="9" s="1"/>
  <c r="BT430" i="9"/>
  <c r="L295" i="6" s="1"/>
  <c r="BT322" i="9"/>
  <c r="L197" i="6" s="1"/>
  <c r="BT581" i="9"/>
  <c r="L434" i="6" s="1"/>
  <c r="BU581" i="9"/>
  <c r="M434" i="6" s="1"/>
  <c r="BT328" i="9"/>
  <c r="L203" i="6" s="1"/>
  <c r="BT468" i="9"/>
  <c r="L331" i="6" s="1"/>
  <c r="BU465" i="9"/>
  <c r="M328" i="6" s="1"/>
  <c r="BU327" i="9"/>
  <c r="M202" i="6" s="1"/>
  <c r="BU589" i="9"/>
  <c r="M442" i="6" s="1"/>
  <c r="BT247" i="9"/>
  <c r="L128" i="6" s="1"/>
  <c r="BU314" i="9"/>
  <c r="M189" i="6" s="1"/>
  <c r="BT337" i="9"/>
  <c r="L210" i="6" s="1"/>
  <c r="BT319" i="9"/>
  <c r="L194" i="6" s="1"/>
  <c r="BT367" i="9"/>
  <c r="L238" i="6" s="1"/>
  <c r="P425" i="9"/>
  <c r="L650" i="11" s="1"/>
  <c r="K473" i="9"/>
  <c r="G652" i="11" s="1"/>
  <c r="EB309" i="9"/>
  <c r="BK329" i="9"/>
  <c r="BG646" i="11" s="1"/>
  <c r="DK309" i="9"/>
  <c r="AT329" i="9"/>
  <c r="AP646" i="11" s="1"/>
  <c r="Z329" i="9"/>
  <c r="V646" i="11" s="1"/>
  <c r="CQ309" i="9"/>
  <c r="BJ329" i="9"/>
  <c r="BF646" i="11" s="1"/>
  <c r="EA309" i="9"/>
  <c r="AR329" i="9"/>
  <c r="AN646" i="11" s="1"/>
  <c r="DI309" i="9"/>
  <c r="AO329" i="9"/>
  <c r="AK646" i="11" s="1"/>
  <c r="DF309" i="9"/>
  <c r="BO353" i="9"/>
  <c r="BK647" i="11" s="1"/>
  <c r="DG407" i="9"/>
  <c r="AP425" i="9"/>
  <c r="AL650" i="11" s="1"/>
  <c r="DH407" i="9"/>
  <c r="AQ425" i="9"/>
  <c r="AM650" i="11" s="1"/>
  <c r="EG407" i="9"/>
  <c r="BP425" i="9"/>
  <c r="BL650" i="11" s="1"/>
  <c r="CW407" i="9"/>
  <c r="AF425" i="9"/>
  <c r="AB650" i="11" s="1"/>
  <c r="DN407" i="9"/>
  <c r="AW425" i="9"/>
  <c r="AS650" i="11" s="1"/>
  <c r="AI593" i="9"/>
  <c r="AE657" i="11" s="1"/>
  <c r="DM455" i="9"/>
  <c r="AV473" i="9"/>
  <c r="AR652" i="11" s="1"/>
  <c r="DK455" i="9"/>
  <c r="AT473" i="9"/>
  <c r="AP652" i="11" s="1"/>
  <c r="DZ455" i="9"/>
  <c r="BI473" i="9"/>
  <c r="BE652" i="11" s="1"/>
  <c r="DW455" i="9"/>
  <c r="BF473" i="9"/>
  <c r="BB652" i="11" s="1"/>
  <c r="DC455" i="9"/>
  <c r="AL473" i="9"/>
  <c r="AH652" i="11" s="1"/>
  <c r="DG455" i="9"/>
  <c r="AP473" i="9"/>
  <c r="AL652" i="11" s="1"/>
  <c r="DB577" i="9"/>
  <c r="AK593" i="9"/>
  <c r="AG657" i="11" s="1"/>
  <c r="CY577" i="9"/>
  <c r="AH593" i="9"/>
  <c r="AD657" i="11" s="1"/>
  <c r="AT396" i="9"/>
  <c r="DK396" i="9" s="1"/>
  <c r="V396" i="9"/>
  <c r="CM396" i="9" s="1"/>
  <c r="AQ396" i="9"/>
  <c r="DH396" i="9" s="1"/>
  <c r="BP396" i="9"/>
  <c r="EG396" i="9" s="1"/>
  <c r="W396" i="9"/>
  <c r="CN396" i="9" s="1"/>
  <c r="AI396" i="9"/>
  <c r="CZ396" i="9" s="1"/>
  <c r="AD396" i="9"/>
  <c r="CU396" i="9" s="1"/>
  <c r="AP396" i="9"/>
  <c r="DG396" i="9" s="1"/>
  <c r="AE396" i="9"/>
  <c r="CV396" i="9" s="1"/>
  <c r="BI396" i="9"/>
  <c r="DZ396" i="9" s="1"/>
  <c r="AY396" i="9"/>
  <c r="DP396" i="9" s="1"/>
  <c r="BL396" i="9"/>
  <c r="EC396" i="9" s="1"/>
  <c r="BM396" i="9"/>
  <c r="ED396" i="9" s="1"/>
  <c r="BN396" i="9"/>
  <c r="EE396" i="9" s="1"/>
  <c r="BR396" i="9"/>
  <c r="EI396" i="9" s="1"/>
  <c r="BK396" i="9"/>
  <c r="EB396" i="9" s="1"/>
  <c r="AW396" i="9"/>
  <c r="DN396" i="9" s="1"/>
  <c r="BF396" i="9"/>
  <c r="DW396" i="9" s="1"/>
  <c r="AJ396" i="9"/>
  <c r="DA396" i="9" s="1"/>
  <c r="BC396" i="9"/>
  <c r="DT396" i="9" s="1"/>
  <c r="AS396" i="9"/>
  <c r="DJ396" i="9" s="1"/>
  <c r="AL396" i="9"/>
  <c r="DC396" i="9" s="1"/>
  <c r="AK396" i="9"/>
  <c r="DB396" i="9" s="1"/>
  <c r="X396" i="9"/>
  <c r="CO396" i="9" s="1"/>
  <c r="BE396" i="9"/>
  <c r="DV396" i="9" s="1"/>
  <c r="AG396" i="9"/>
  <c r="CX396" i="9" s="1"/>
  <c r="AN396" i="9"/>
  <c r="DE396" i="9" s="1"/>
  <c r="AO396" i="9"/>
  <c r="DF396" i="9" s="1"/>
  <c r="BH396" i="9"/>
  <c r="DY396" i="9" s="1"/>
  <c r="AV396" i="9"/>
  <c r="DM396" i="9" s="1"/>
  <c r="AR396" i="9"/>
  <c r="DI396" i="9" s="1"/>
  <c r="BG396" i="9"/>
  <c r="DX396" i="9" s="1"/>
  <c r="Z396" i="9"/>
  <c r="CQ396" i="9" s="1"/>
  <c r="AA396" i="9"/>
  <c r="CR396" i="9" s="1"/>
  <c r="AM396" i="9"/>
  <c r="DD396" i="9" s="1"/>
  <c r="AF396" i="9"/>
  <c r="CW396" i="9" s="1"/>
  <c r="AZ396" i="9"/>
  <c r="DQ396" i="9" s="1"/>
  <c r="BB396" i="9"/>
  <c r="DS396" i="9" s="1"/>
  <c r="AU396" i="9"/>
  <c r="DL396" i="9" s="1"/>
  <c r="Y396" i="9"/>
  <c r="CP396" i="9" s="1"/>
  <c r="BQ396" i="9"/>
  <c r="EH396" i="9" s="1"/>
  <c r="BO396" i="9"/>
  <c r="EF396" i="9" s="1"/>
  <c r="AC396" i="9"/>
  <c r="CT396" i="9" s="1"/>
  <c r="AH396" i="9"/>
  <c r="CY396" i="9" s="1"/>
  <c r="AX396" i="9"/>
  <c r="DO396" i="9" s="1"/>
  <c r="AB396" i="9"/>
  <c r="CS396" i="9" s="1"/>
  <c r="U396" i="9"/>
  <c r="CL396" i="9" s="1"/>
  <c r="BA396" i="9"/>
  <c r="DR396" i="9" s="1"/>
  <c r="BD396" i="9"/>
  <c r="DU396" i="9" s="1"/>
  <c r="BJ396" i="9"/>
  <c r="EA396" i="9" s="1"/>
  <c r="S396" i="9"/>
  <c r="CJ396" i="9" s="1"/>
  <c r="Q396" i="9"/>
  <c r="CH396" i="9" s="1"/>
  <c r="P396" i="9"/>
  <c r="CG396" i="9" s="1"/>
  <c r="O396" i="9"/>
  <c r="CF396" i="9" s="1"/>
  <c r="L396" i="9"/>
  <c r="CC396" i="9" s="1"/>
  <c r="T396" i="9"/>
  <c r="CK396" i="9" s="1"/>
  <c r="R396" i="9"/>
  <c r="CI396" i="9" s="1"/>
  <c r="M396" i="9"/>
  <c r="CD396" i="9" s="1"/>
  <c r="N396" i="9"/>
  <c r="CE396" i="9" s="1"/>
  <c r="BO275" i="9"/>
  <c r="EF275" i="9" s="1"/>
  <c r="Y275" i="9"/>
  <c r="CP275" i="9" s="1"/>
  <c r="BN275" i="9"/>
  <c r="EE275" i="9" s="1"/>
  <c r="AE275" i="9"/>
  <c r="CV275" i="9" s="1"/>
  <c r="AJ275" i="9"/>
  <c r="DA275" i="9" s="1"/>
  <c r="BM275" i="9"/>
  <c r="ED275" i="9" s="1"/>
  <c r="AR275" i="9"/>
  <c r="DI275" i="9" s="1"/>
  <c r="BG275" i="9"/>
  <c r="DX275" i="9" s="1"/>
  <c r="AP275" i="9"/>
  <c r="DG275" i="9" s="1"/>
  <c r="AG275" i="9"/>
  <c r="CX275" i="9" s="1"/>
  <c r="AN275" i="9"/>
  <c r="DE275" i="9" s="1"/>
  <c r="AX275" i="9"/>
  <c r="DO275" i="9" s="1"/>
  <c r="W275" i="9"/>
  <c r="CN275" i="9" s="1"/>
  <c r="AL275" i="9"/>
  <c r="DC275" i="9" s="1"/>
  <c r="BF275" i="9"/>
  <c r="DW275" i="9" s="1"/>
  <c r="AD275" i="9"/>
  <c r="CU275" i="9" s="1"/>
  <c r="AF275" i="9"/>
  <c r="CW275" i="9" s="1"/>
  <c r="V275" i="9"/>
  <c r="CM275" i="9" s="1"/>
  <c r="Z275" i="9"/>
  <c r="CQ275" i="9" s="1"/>
  <c r="AA275" i="9"/>
  <c r="CR275" i="9" s="1"/>
  <c r="X275" i="9"/>
  <c r="CO275" i="9" s="1"/>
  <c r="AY275" i="9"/>
  <c r="DP275" i="9" s="1"/>
  <c r="AC275" i="9"/>
  <c r="CT275" i="9" s="1"/>
  <c r="AK275" i="9"/>
  <c r="DB275" i="9" s="1"/>
  <c r="AB275" i="9"/>
  <c r="CS275" i="9" s="1"/>
  <c r="AW275" i="9"/>
  <c r="DN275" i="9" s="1"/>
  <c r="AU275" i="9"/>
  <c r="DL275" i="9" s="1"/>
  <c r="BI275" i="9"/>
  <c r="DZ275" i="9" s="1"/>
  <c r="AH275" i="9"/>
  <c r="CY275" i="9" s="1"/>
  <c r="BE275" i="9"/>
  <c r="DV275" i="9" s="1"/>
  <c r="BB275" i="9"/>
  <c r="DS275" i="9" s="1"/>
  <c r="BA275" i="9"/>
  <c r="DR275" i="9" s="1"/>
  <c r="AI275" i="9"/>
  <c r="CZ275" i="9" s="1"/>
  <c r="U275" i="9"/>
  <c r="CL275" i="9" s="1"/>
  <c r="AT275" i="9"/>
  <c r="DK275" i="9" s="1"/>
  <c r="BL275" i="9"/>
  <c r="EC275" i="9" s="1"/>
  <c r="BJ275" i="9"/>
  <c r="EA275" i="9" s="1"/>
  <c r="AZ275" i="9"/>
  <c r="DQ275" i="9" s="1"/>
  <c r="AM275" i="9"/>
  <c r="DD275" i="9" s="1"/>
  <c r="BD275" i="9"/>
  <c r="DU275" i="9" s="1"/>
  <c r="BK275" i="9"/>
  <c r="EB275" i="9" s="1"/>
  <c r="BR275" i="9"/>
  <c r="EI275" i="9" s="1"/>
  <c r="AV275" i="9"/>
  <c r="DM275" i="9" s="1"/>
  <c r="AS275" i="9"/>
  <c r="DJ275" i="9" s="1"/>
  <c r="BC275" i="9"/>
  <c r="DT275" i="9" s="1"/>
  <c r="BH275" i="9"/>
  <c r="DY275" i="9" s="1"/>
  <c r="AO275" i="9"/>
  <c r="DF275" i="9" s="1"/>
  <c r="BP275" i="9"/>
  <c r="EG275" i="9" s="1"/>
  <c r="AQ275" i="9"/>
  <c r="DH275" i="9" s="1"/>
  <c r="BQ275" i="9"/>
  <c r="EH275" i="9" s="1"/>
  <c r="M275" i="9"/>
  <c r="CD275" i="9" s="1"/>
  <c r="O275" i="9"/>
  <c r="CF275" i="9" s="1"/>
  <c r="S275" i="9"/>
  <c r="CJ275" i="9" s="1"/>
  <c r="N275" i="9"/>
  <c r="CE275" i="9" s="1"/>
  <c r="K275" i="9"/>
  <c r="Q275" i="9"/>
  <c r="CH275" i="9" s="1"/>
  <c r="R275" i="9"/>
  <c r="CI275" i="9" s="1"/>
  <c r="T275" i="9"/>
  <c r="CK275" i="9" s="1"/>
  <c r="P275" i="9"/>
  <c r="CG275" i="9" s="1"/>
  <c r="L275" i="9"/>
  <c r="CC275" i="9" s="1"/>
  <c r="AT381" i="9"/>
  <c r="I401" i="9"/>
  <c r="W381" i="9"/>
  <c r="AW381" i="9"/>
  <c r="BI381" i="9"/>
  <c r="BC381" i="9"/>
  <c r="BE381" i="9"/>
  <c r="AS381" i="9"/>
  <c r="AJ381" i="9"/>
  <c r="AM381" i="9"/>
  <c r="BR381" i="9"/>
  <c r="AA381" i="9"/>
  <c r="AF381" i="9"/>
  <c r="BG381" i="9"/>
  <c r="BK381" i="9"/>
  <c r="AR381" i="9"/>
  <c r="V381" i="9"/>
  <c r="BP381" i="9"/>
  <c r="BA381" i="9"/>
  <c r="BQ381" i="9"/>
  <c r="BH381" i="9"/>
  <c r="BM381" i="9"/>
  <c r="AL381" i="9"/>
  <c r="AU381" i="9"/>
  <c r="AV381" i="9"/>
  <c r="AX381" i="9"/>
  <c r="Z381" i="9"/>
  <c r="AN381" i="9"/>
  <c r="AE381" i="9"/>
  <c r="AQ381" i="9"/>
  <c r="X381" i="9"/>
  <c r="Y381" i="9"/>
  <c r="AK381" i="9"/>
  <c r="AI381" i="9"/>
  <c r="AO381" i="9"/>
  <c r="AG381" i="9"/>
  <c r="AY381" i="9"/>
  <c r="BO381" i="9"/>
  <c r="BB381" i="9"/>
  <c r="BF381" i="9"/>
  <c r="AP381" i="9"/>
  <c r="AB381" i="9"/>
  <c r="U381" i="9"/>
  <c r="BL381" i="9"/>
  <c r="AZ381" i="9"/>
  <c r="AC381" i="9"/>
  <c r="BJ381" i="9"/>
  <c r="BD381" i="9"/>
  <c r="BN381" i="9"/>
  <c r="AD381" i="9"/>
  <c r="AH381" i="9"/>
  <c r="P381" i="9"/>
  <c r="T381" i="9"/>
  <c r="L381" i="9"/>
  <c r="Q381" i="9"/>
  <c r="R381" i="9"/>
  <c r="O381" i="9"/>
  <c r="M381" i="9"/>
  <c r="S381" i="9"/>
  <c r="N381" i="9"/>
  <c r="BB593" i="9"/>
  <c r="AX657" i="11" s="1"/>
  <c r="V353" i="9"/>
  <c r="R647" i="11" s="1"/>
  <c r="U655" i="9"/>
  <c r="CL655" i="9" s="1"/>
  <c r="AY655" i="9"/>
  <c r="DP655" i="9" s="1"/>
  <c r="AD655" i="9"/>
  <c r="CU655" i="9" s="1"/>
  <c r="BO655" i="9"/>
  <c r="EF655" i="9" s="1"/>
  <c r="AC655" i="9"/>
  <c r="CT655" i="9" s="1"/>
  <c r="AH655" i="9"/>
  <c r="CY655" i="9" s="1"/>
  <c r="BG655" i="9"/>
  <c r="DX655" i="9" s="1"/>
  <c r="AG655" i="9"/>
  <c r="CX655" i="9" s="1"/>
  <c r="X655" i="9"/>
  <c r="CO655" i="9" s="1"/>
  <c r="BR655" i="9"/>
  <c r="EI655" i="9" s="1"/>
  <c r="AJ655" i="9"/>
  <c r="DA655" i="9" s="1"/>
  <c r="BM655" i="9"/>
  <c r="ED655" i="9" s="1"/>
  <c r="Z655" i="9"/>
  <c r="CQ655" i="9" s="1"/>
  <c r="AK655" i="9"/>
  <c r="DB655" i="9" s="1"/>
  <c r="BI655" i="9"/>
  <c r="DZ655" i="9" s="1"/>
  <c r="BL655" i="9"/>
  <c r="EC655" i="9" s="1"/>
  <c r="AR655" i="9"/>
  <c r="DI655" i="9" s="1"/>
  <c r="AB655" i="9"/>
  <c r="CS655" i="9" s="1"/>
  <c r="AO655" i="9"/>
  <c r="DF655" i="9" s="1"/>
  <c r="BQ655" i="9"/>
  <c r="EH655" i="9" s="1"/>
  <c r="AV655" i="9"/>
  <c r="DM655" i="9" s="1"/>
  <c r="BN655" i="9"/>
  <c r="EE655" i="9" s="1"/>
  <c r="AT655" i="9"/>
  <c r="DK655" i="9" s="1"/>
  <c r="AQ655" i="9"/>
  <c r="DH655" i="9" s="1"/>
  <c r="BH655" i="9"/>
  <c r="DY655" i="9" s="1"/>
  <c r="BK655" i="9"/>
  <c r="EB655" i="9" s="1"/>
  <c r="AF655" i="9"/>
  <c r="CW655" i="9" s="1"/>
  <c r="BJ655" i="9"/>
  <c r="EA655" i="9" s="1"/>
  <c r="AP655" i="9"/>
  <c r="DG655" i="9" s="1"/>
  <c r="AN655" i="9"/>
  <c r="DE655" i="9" s="1"/>
  <c r="BA655" i="9"/>
  <c r="DR655" i="9" s="1"/>
  <c r="BD655" i="9"/>
  <c r="DU655" i="9" s="1"/>
  <c r="BB655" i="9"/>
  <c r="DS655" i="9" s="1"/>
  <c r="W655" i="9"/>
  <c r="CN655" i="9" s="1"/>
  <c r="AM655" i="9"/>
  <c r="DD655" i="9" s="1"/>
  <c r="Y655" i="9"/>
  <c r="CP655" i="9" s="1"/>
  <c r="AZ655" i="9"/>
  <c r="DQ655" i="9" s="1"/>
  <c r="BC655" i="9"/>
  <c r="DT655" i="9" s="1"/>
  <c r="AI655" i="9"/>
  <c r="CZ655" i="9" s="1"/>
  <c r="AU655" i="9"/>
  <c r="DL655" i="9" s="1"/>
  <c r="AA655" i="9"/>
  <c r="CR655" i="9" s="1"/>
  <c r="AW655" i="9"/>
  <c r="DN655" i="9" s="1"/>
  <c r="AL655" i="9"/>
  <c r="DC655" i="9" s="1"/>
  <c r="BE655" i="9"/>
  <c r="DV655" i="9" s="1"/>
  <c r="AE655" i="9"/>
  <c r="CV655" i="9" s="1"/>
  <c r="BP655" i="9"/>
  <c r="EG655" i="9" s="1"/>
  <c r="BF655" i="9"/>
  <c r="DW655" i="9" s="1"/>
  <c r="AS655" i="9"/>
  <c r="DJ655" i="9" s="1"/>
  <c r="AX655" i="9"/>
  <c r="DO655" i="9" s="1"/>
  <c r="V655" i="9"/>
  <c r="CM655" i="9" s="1"/>
  <c r="S655" i="9"/>
  <c r="CJ655" i="9" s="1"/>
  <c r="N655" i="9"/>
  <c r="CE655" i="9" s="1"/>
  <c r="R655" i="9"/>
  <c r="CI655" i="9" s="1"/>
  <c r="O655" i="9"/>
  <c r="CF655" i="9" s="1"/>
  <c r="T655" i="9"/>
  <c r="CK655" i="9" s="1"/>
  <c r="K655" i="9"/>
  <c r="L655" i="9"/>
  <c r="CC655" i="9" s="1"/>
  <c r="Q655" i="9"/>
  <c r="CH655" i="9" s="1"/>
  <c r="M655" i="9"/>
  <c r="CD655" i="9" s="1"/>
  <c r="P655" i="9"/>
  <c r="CG655" i="9" s="1"/>
  <c r="AS593" i="9"/>
  <c r="AO657" i="11" s="1"/>
  <c r="AL353" i="9"/>
  <c r="AH647" i="11" s="1"/>
  <c r="AX473" i="9"/>
  <c r="AT652" i="11" s="1"/>
  <c r="CQ337" i="9"/>
  <c r="Z353" i="9"/>
  <c r="V647" i="11" s="1"/>
  <c r="EB337" i="9"/>
  <c r="BK353" i="9"/>
  <c r="BG647" i="11" s="1"/>
  <c r="AT399" i="9"/>
  <c r="DK399" i="9" s="1"/>
  <c r="AR399" i="9"/>
  <c r="DI399" i="9" s="1"/>
  <c r="BP399" i="9"/>
  <c r="EG399" i="9" s="1"/>
  <c r="BM399" i="9"/>
  <c r="ED399" i="9" s="1"/>
  <c r="BK399" i="9"/>
  <c r="EB399" i="9" s="1"/>
  <c r="AL399" i="9"/>
  <c r="DC399" i="9" s="1"/>
  <c r="BC399" i="9"/>
  <c r="DT399" i="9" s="1"/>
  <c r="AU399" i="9"/>
  <c r="DL399" i="9" s="1"/>
  <c r="AF399" i="9"/>
  <c r="CW399" i="9" s="1"/>
  <c r="AA399" i="9"/>
  <c r="CR399" i="9" s="1"/>
  <c r="Y399" i="9"/>
  <c r="CP399" i="9" s="1"/>
  <c r="BG399" i="9"/>
  <c r="DX399" i="9" s="1"/>
  <c r="W399" i="9"/>
  <c r="CN399" i="9" s="1"/>
  <c r="AM399" i="9"/>
  <c r="DD399" i="9" s="1"/>
  <c r="V399" i="9"/>
  <c r="CM399" i="9" s="1"/>
  <c r="X399" i="9"/>
  <c r="CO399" i="9" s="1"/>
  <c r="AK399" i="9"/>
  <c r="DB399" i="9" s="1"/>
  <c r="BN399" i="9"/>
  <c r="EE399" i="9" s="1"/>
  <c r="BR399" i="9"/>
  <c r="EI399" i="9" s="1"/>
  <c r="AW399" i="9"/>
  <c r="DN399" i="9" s="1"/>
  <c r="BE399" i="9"/>
  <c r="DV399" i="9" s="1"/>
  <c r="Z399" i="9"/>
  <c r="CQ399" i="9" s="1"/>
  <c r="AY399" i="9"/>
  <c r="DP399" i="9" s="1"/>
  <c r="AV399" i="9"/>
  <c r="DM399" i="9" s="1"/>
  <c r="BF399" i="9"/>
  <c r="DW399" i="9" s="1"/>
  <c r="BH399" i="9"/>
  <c r="DY399" i="9" s="1"/>
  <c r="AG399" i="9"/>
  <c r="CX399" i="9" s="1"/>
  <c r="AC399" i="9"/>
  <c r="CT399" i="9" s="1"/>
  <c r="BL399" i="9"/>
  <c r="EC399" i="9" s="1"/>
  <c r="AD399" i="9"/>
  <c r="CU399" i="9" s="1"/>
  <c r="AB399" i="9"/>
  <c r="CS399" i="9" s="1"/>
  <c r="AE399" i="9"/>
  <c r="CV399" i="9" s="1"/>
  <c r="AZ399" i="9"/>
  <c r="DQ399" i="9" s="1"/>
  <c r="AX399" i="9"/>
  <c r="DO399" i="9" s="1"/>
  <c r="AI399" i="9"/>
  <c r="CZ399" i="9" s="1"/>
  <c r="AJ399" i="9"/>
  <c r="DA399" i="9" s="1"/>
  <c r="AQ399" i="9"/>
  <c r="DH399" i="9" s="1"/>
  <c r="AP399" i="9"/>
  <c r="DG399" i="9" s="1"/>
  <c r="BJ399" i="9"/>
  <c r="EA399" i="9" s="1"/>
  <c r="BA399" i="9"/>
  <c r="DR399" i="9" s="1"/>
  <c r="BO399" i="9"/>
  <c r="EF399" i="9" s="1"/>
  <c r="U399" i="9"/>
  <c r="CL399" i="9" s="1"/>
  <c r="BD399" i="9"/>
  <c r="DU399" i="9" s="1"/>
  <c r="BQ399" i="9"/>
  <c r="EH399" i="9" s="1"/>
  <c r="BI399" i="9"/>
  <c r="DZ399" i="9" s="1"/>
  <c r="AN399" i="9"/>
  <c r="DE399" i="9" s="1"/>
  <c r="AH399" i="9"/>
  <c r="CY399" i="9" s="1"/>
  <c r="BB399" i="9"/>
  <c r="DS399" i="9" s="1"/>
  <c r="AO399" i="9"/>
  <c r="DF399" i="9" s="1"/>
  <c r="AS399" i="9"/>
  <c r="DJ399" i="9" s="1"/>
  <c r="S399" i="9"/>
  <c r="CJ399" i="9" s="1"/>
  <c r="P399" i="9"/>
  <c r="CG399" i="9" s="1"/>
  <c r="Q399" i="9"/>
  <c r="CH399" i="9" s="1"/>
  <c r="T399" i="9"/>
  <c r="CK399" i="9" s="1"/>
  <c r="O399" i="9"/>
  <c r="CF399" i="9" s="1"/>
  <c r="R399" i="9"/>
  <c r="CI399" i="9" s="1"/>
  <c r="M399" i="9"/>
  <c r="CD399" i="9" s="1"/>
  <c r="N399" i="9"/>
  <c r="CE399" i="9" s="1"/>
  <c r="L399" i="9"/>
  <c r="CC399" i="9" s="1"/>
  <c r="ED597" i="9"/>
  <c r="EE597" i="9"/>
  <c r="DM597" i="9"/>
  <c r="DJ597" i="9"/>
  <c r="AX295" i="9"/>
  <c r="DO295" i="9" s="1"/>
  <c r="AF295" i="9"/>
  <c r="CW295" i="9" s="1"/>
  <c r="BP295" i="9"/>
  <c r="EG295" i="9" s="1"/>
  <c r="AM295" i="9"/>
  <c r="DD295" i="9" s="1"/>
  <c r="AK295" i="9"/>
  <c r="DB295" i="9" s="1"/>
  <c r="V295" i="9"/>
  <c r="CM295" i="9" s="1"/>
  <c r="Z295" i="9"/>
  <c r="CQ295" i="9" s="1"/>
  <c r="BE295" i="9"/>
  <c r="DV295" i="9" s="1"/>
  <c r="AD295" i="9"/>
  <c r="CU295" i="9" s="1"/>
  <c r="AO295" i="9"/>
  <c r="DF295" i="9" s="1"/>
  <c r="W295" i="9"/>
  <c r="CN295" i="9" s="1"/>
  <c r="Y295" i="9"/>
  <c r="CP295" i="9" s="1"/>
  <c r="AC295" i="9"/>
  <c r="CT295" i="9" s="1"/>
  <c r="AR295" i="9"/>
  <c r="DI295" i="9" s="1"/>
  <c r="AQ295" i="9"/>
  <c r="DH295" i="9" s="1"/>
  <c r="AI295" i="9"/>
  <c r="CZ295" i="9" s="1"/>
  <c r="BJ295" i="9"/>
  <c r="EA295" i="9" s="1"/>
  <c r="BF295" i="9"/>
  <c r="DW295" i="9" s="1"/>
  <c r="AS295" i="9"/>
  <c r="DJ295" i="9" s="1"/>
  <c r="BG295" i="9"/>
  <c r="DX295" i="9" s="1"/>
  <c r="AW295" i="9"/>
  <c r="DN295" i="9" s="1"/>
  <c r="BH295" i="9"/>
  <c r="DY295" i="9" s="1"/>
  <c r="BI295" i="9"/>
  <c r="DZ295" i="9" s="1"/>
  <c r="BK295" i="9"/>
  <c r="EB295" i="9" s="1"/>
  <c r="AN295" i="9"/>
  <c r="DE295" i="9" s="1"/>
  <c r="BC295" i="9"/>
  <c r="DT295" i="9" s="1"/>
  <c r="AP295" i="9"/>
  <c r="DG295" i="9" s="1"/>
  <c r="BB295" i="9"/>
  <c r="DS295" i="9" s="1"/>
  <c r="BQ295" i="9"/>
  <c r="EH295" i="9" s="1"/>
  <c r="BO295" i="9"/>
  <c r="EF295" i="9" s="1"/>
  <c r="AJ295" i="9"/>
  <c r="DA295" i="9" s="1"/>
  <c r="BL295" i="9"/>
  <c r="EC295" i="9" s="1"/>
  <c r="AG295" i="9"/>
  <c r="CX295" i="9" s="1"/>
  <c r="BN295" i="9"/>
  <c r="EE295" i="9" s="1"/>
  <c r="AH295" i="9"/>
  <c r="CY295" i="9" s="1"/>
  <c r="U295" i="9"/>
  <c r="CL295" i="9" s="1"/>
  <c r="AE295" i="9"/>
  <c r="CV295" i="9" s="1"/>
  <c r="AB295" i="9"/>
  <c r="CS295" i="9" s="1"/>
  <c r="BM295" i="9"/>
  <c r="ED295" i="9" s="1"/>
  <c r="AA295" i="9"/>
  <c r="CR295" i="9" s="1"/>
  <c r="X295" i="9"/>
  <c r="CO295" i="9" s="1"/>
  <c r="AZ295" i="9"/>
  <c r="DQ295" i="9" s="1"/>
  <c r="AT295" i="9"/>
  <c r="DK295" i="9" s="1"/>
  <c r="AU295" i="9"/>
  <c r="DL295" i="9" s="1"/>
  <c r="BD295" i="9"/>
  <c r="DU295" i="9" s="1"/>
  <c r="AV295" i="9"/>
  <c r="DM295" i="9" s="1"/>
  <c r="AL295" i="9"/>
  <c r="DC295" i="9" s="1"/>
  <c r="BR295" i="9"/>
  <c r="EI295" i="9" s="1"/>
  <c r="BA295" i="9"/>
  <c r="DR295" i="9" s="1"/>
  <c r="AY295" i="9"/>
  <c r="DP295" i="9" s="1"/>
  <c r="S295" i="9"/>
  <c r="CJ295" i="9" s="1"/>
  <c r="M295" i="9"/>
  <c r="CD295" i="9" s="1"/>
  <c r="R295" i="9"/>
  <c r="CI295" i="9" s="1"/>
  <c r="Q295" i="9"/>
  <c r="CH295" i="9" s="1"/>
  <c r="O295" i="9"/>
  <c r="CF295" i="9" s="1"/>
  <c r="K295" i="9"/>
  <c r="P295" i="9"/>
  <c r="CG295" i="9" s="1"/>
  <c r="N295" i="9"/>
  <c r="CE295" i="9" s="1"/>
  <c r="T295" i="9"/>
  <c r="CK295" i="9" s="1"/>
  <c r="L295" i="9"/>
  <c r="CC295" i="9" s="1"/>
  <c r="AF353" i="9"/>
  <c r="AB647" i="11" s="1"/>
  <c r="BE507" i="9"/>
  <c r="DV507" i="9" s="1"/>
  <c r="AV507" i="9"/>
  <c r="DM507" i="9" s="1"/>
  <c r="AF507" i="9"/>
  <c r="CW507" i="9" s="1"/>
  <c r="AG507" i="9"/>
  <c r="CX507" i="9" s="1"/>
  <c r="BC507" i="9"/>
  <c r="DT507" i="9" s="1"/>
  <c r="BO507" i="9"/>
  <c r="EF507" i="9" s="1"/>
  <c r="AU507" i="9"/>
  <c r="DL507" i="9" s="1"/>
  <c r="AI507" i="9"/>
  <c r="CZ507" i="9" s="1"/>
  <c r="AB507" i="9"/>
  <c r="CS507" i="9" s="1"/>
  <c r="AE507" i="9"/>
  <c r="CV507" i="9" s="1"/>
  <c r="BG507" i="9"/>
  <c r="DX507" i="9" s="1"/>
  <c r="BN507" i="9"/>
  <c r="EE507" i="9" s="1"/>
  <c r="BL507" i="9"/>
  <c r="EC507" i="9" s="1"/>
  <c r="X507" i="9"/>
  <c r="CO507" i="9" s="1"/>
  <c r="AO507" i="9"/>
  <c r="DF507" i="9" s="1"/>
  <c r="BJ507" i="9"/>
  <c r="EA507" i="9" s="1"/>
  <c r="BI507" i="9"/>
  <c r="DZ507" i="9" s="1"/>
  <c r="AQ507" i="9"/>
  <c r="DH507" i="9" s="1"/>
  <c r="AZ507" i="9"/>
  <c r="DQ507" i="9" s="1"/>
  <c r="BP507" i="9"/>
  <c r="EG507" i="9" s="1"/>
  <c r="AM507" i="9"/>
  <c r="DD507" i="9" s="1"/>
  <c r="AJ507" i="9"/>
  <c r="DA507" i="9" s="1"/>
  <c r="W507" i="9"/>
  <c r="CN507" i="9" s="1"/>
  <c r="BQ507" i="9"/>
  <c r="EH507" i="9" s="1"/>
  <c r="BF507" i="9"/>
  <c r="DW507" i="9" s="1"/>
  <c r="AR507" i="9"/>
  <c r="DI507" i="9" s="1"/>
  <c r="AL507" i="9"/>
  <c r="DC507" i="9" s="1"/>
  <c r="AS507" i="9"/>
  <c r="DJ507" i="9" s="1"/>
  <c r="AC507" i="9"/>
  <c r="CT507" i="9" s="1"/>
  <c r="AH507" i="9"/>
  <c r="CY507" i="9" s="1"/>
  <c r="BR507" i="9"/>
  <c r="EI507" i="9" s="1"/>
  <c r="AT507" i="9"/>
  <c r="DK507" i="9" s="1"/>
  <c r="AY507" i="9"/>
  <c r="DP507" i="9" s="1"/>
  <c r="AA507" i="9"/>
  <c r="CR507" i="9" s="1"/>
  <c r="AX507" i="9"/>
  <c r="DO507" i="9" s="1"/>
  <c r="BD507" i="9"/>
  <c r="DU507" i="9" s="1"/>
  <c r="BK507" i="9"/>
  <c r="EB507" i="9" s="1"/>
  <c r="U507" i="9"/>
  <c r="CL507" i="9" s="1"/>
  <c r="Y507" i="9"/>
  <c r="CP507" i="9" s="1"/>
  <c r="BB507" i="9"/>
  <c r="DS507" i="9" s="1"/>
  <c r="AW507" i="9"/>
  <c r="DN507" i="9" s="1"/>
  <c r="BA507" i="9"/>
  <c r="DR507" i="9" s="1"/>
  <c r="AN507" i="9"/>
  <c r="DE507" i="9" s="1"/>
  <c r="Z507" i="9"/>
  <c r="CQ507" i="9" s="1"/>
  <c r="AP507" i="9"/>
  <c r="DG507" i="9" s="1"/>
  <c r="AK507" i="9"/>
  <c r="DB507" i="9" s="1"/>
  <c r="V507" i="9"/>
  <c r="CM507" i="9" s="1"/>
  <c r="BM507" i="9"/>
  <c r="ED507" i="9" s="1"/>
  <c r="AD507" i="9"/>
  <c r="CU507" i="9" s="1"/>
  <c r="BH507" i="9"/>
  <c r="DY507" i="9" s="1"/>
  <c r="T507" i="9"/>
  <c r="CK507" i="9" s="1"/>
  <c r="M507" i="9"/>
  <c r="CD507" i="9" s="1"/>
  <c r="L507" i="9"/>
  <c r="CC507" i="9" s="1"/>
  <c r="O507" i="9"/>
  <c r="CF507" i="9" s="1"/>
  <c r="N507" i="9"/>
  <c r="CE507" i="9" s="1"/>
  <c r="R507" i="9"/>
  <c r="CI507" i="9" s="1"/>
  <c r="S507" i="9"/>
  <c r="CJ507" i="9" s="1"/>
  <c r="K507" i="9"/>
  <c r="Q507" i="9"/>
  <c r="CH507" i="9" s="1"/>
  <c r="P507" i="9"/>
  <c r="CG507" i="9" s="1"/>
  <c r="AI513" i="9"/>
  <c r="CZ513" i="9" s="1"/>
  <c r="BE513" i="9"/>
  <c r="DV513" i="9" s="1"/>
  <c r="BJ513" i="9"/>
  <c r="EA513" i="9" s="1"/>
  <c r="AB513" i="9"/>
  <c r="CS513" i="9" s="1"/>
  <c r="AC513" i="9"/>
  <c r="CT513" i="9" s="1"/>
  <c r="Z513" i="9"/>
  <c r="CQ513" i="9" s="1"/>
  <c r="U513" i="9"/>
  <c r="CL513" i="9" s="1"/>
  <c r="BP513" i="9"/>
  <c r="EG513" i="9" s="1"/>
  <c r="AO513" i="9"/>
  <c r="DF513" i="9" s="1"/>
  <c r="W513" i="9"/>
  <c r="CN513" i="9" s="1"/>
  <c r="AV513" i="9"/>
  <c r="DM513" i="9" s="1"/>
  <c r="AH513" i="9"/>
  <c r="CY513" i="9" s="1"/>
  <c r="BA513" i="9"/>
  <c r="DR513" i="9" s="1"/>
  <c r="BD513" i="9"/>
  <c r="DU513" i="9" s="1"/>
  <c r="AW513" i="9"/>
  <c r="DN513" i="9" s="1"/>
  <c r="AL513" i="9"/>
  <c r="DC513" i="9" s="1"/>
  <c r="AM513" i="9"/>
  <c r="DD513" i="9" s="1"/>
  <c r="AE513" i="9"/>
  <c r="CV513" i="9" s="1"/>
  <c r="BI513" i="9"/>
  <c r="DZ513" i="9" s="1"/>
  <c r="BK513" i="9"/>
  <c r="EB513" i="9" s="1"/>
  <c r="AQ513" i="9"/>
  <c r="DH513" i="9" s="1"/>
  <c r="AG513" i="9"/>
  <c r="CX513" i="9" s="1"/>
  <c r="BL513" i="9"/>
  <c r="EC513" i="9" s="1"/>
  <c r="AZ513" i="9"/>
  <c r="DQ513" i="9" s="1"/>
  <c r="BR513" i="9"/>
  <c r="EI513" i="9" s="1"/>
  <c r="BG513" i="9"/>
  <c r="DX513" i="9" s="1"/>
  <c r="AK513" i="9"/>
  <c r="DB513" i="9" s="1"/>
  <c r="AJ513" i="9"/>
  <c r="DA513" i="9" s="1"/>
  <c r="V513" i="9"/>
  <c r="CM513" i="9" s="1"/>
  <c r="AF513" i="9"/>
  <c r="CW513" i="9" s="1"/>
  <c r="AY513" i="9"/>
  <c r="DP513" i="9" s="1"/>
  <c r="BO513" i="9"/>
  <c r="EF513" i="9" s="1"/>
  <c r="AN513" i="9"/>
  <c r="DE513" i="9" s="1"/>
  <c r="AS513" i="9"/>
  <c r="DJ513" i="9" s="1"/>
  <c r="AT513" i="9"/>
  <c r="DK513" i="9" s="1"/>
  <c r="AA513" i="9"/>
  <c r="CR513" i="9" s="1"/>
  <c r="AR513" i="9"/>
  <c r="DI513" i="9" s="1"/>
  <c r="BQ513" i="9"/>
  <c r="EH513" i="9" s="1"/>
  <c r="BC513" i="9"/>
  <c r="DT513" i="9" s="1"/>
  <c r="Y513" i="9"/>
  <c r="CP513" i="9" s="1"/>
  <c r="X513" i="9"/>
  <c r="CO513" i="9" s="1"/>
  <c r="BN513" i="9"/>
  <c r="EE513" i="9" s="1"/>
  <c r="AX513" i="9"/>
  <c r="DO513" i="9" s="1"/>
  <c r="BF513" i="9"/>
  <c r="DW513" i="9" s="1"/>
  <c r="BB513" i="9"/>
  <c r="DS513" i="9" s="1"/>
  <c r="BH513" i="9"/>
  <c r="DY513" i="9" s="1"/>
  <c r="AU513" i="9"/>
  <c r="DL513" i="9" s="1"/>
  <c r="AD513" i="9"/>
  <c r="CU513" i="9" s="1"/>
  <c r="BM513" i="9"/>
  <c r="ED513" i="9" s="1"/>
  <c r="AP513" i="9"/>
  <c r="DG513" i="9" s="1"/>
  <c r="N513" i="9"/>
  <c r="CE513" i="9" s="1"/>
  <c r="O513" i="9"/>
  <c r="CF513" i="9" s="1"/>
  <c r="R513" i="9"/>
  <c r="CI513" i="9" s="1"/>
  <c r="S513" i="9"/>
  <c r="CJ513" i="9" s="1"/>
  <c r="P513" i="9"/>
  <c r="CG513" i="9" s="1"/>
  <c r="T513" i="9"/>
  <c r="CK513" i="9" s="1"/>
  <c r="L513" i="9"/>
  <c r="CC513" i="9" s="1"/>
  <c r="Q513" i="9"/>
  <c r="CH513" i="9" s="1"/>
  <c r="M513" i="9"/>
  <c r="CD513" i="9" s="1"/>
  <c r="K513" i="9"/>
  <c r="BI686" i="9"/>
  <c r="DZ686" i="9" s="1"/>
  <c r="AI686" i="9"/>
  <c r="CZ686" i="9" s="1"/>
  <c r="AD686" i="9"/>
  <c r="CU686" i="9" s="1"/>
  <c r="AN686" i="9"/>
  <c r="DE686" i="9" s="1"/>
  <c r="BA686" i="9"/>
  <c r="DR686" i="9" s="1"/>
  <c r="AA686" i="9"/>
  <c r="CR686" i="9" s="1"/>
  <c r="BR686" i="9"/>
  <c r="EI686" i="9" s="1"/>
  <c r="AL686" i="9"/>
  <c r="DC686" i="9" s="1"/>
  <c r="AS686" i="9"/>
  <c r="DJ686" i="9" s="1"/>
  <c r="BN686" i="9"/>
  <c r="EE686" i="9" s="1"/>
  <c r="BM686" i="9"/>
  <c r="ED686" i="9" s="1"/>
  <c r="BJ686" i="9"/>
  <c r="EA686" i="9" s="1"/>
  <c r="BK686" i="9"/>
  <c r="EB686" i="9" s="1"/>
  <c r="BH686" i="9"/>
  <c r="DY686" i="9" s="1"/>
  <c r="BF686" i="9"/>
  <c r="DW686" i="9" s="1"/>
  <c r="AT686" i="9"/>
  <c r="DK686" i="9" s="1"/>
  <c r="BC686" i="9"/>
  <c r="DT686" i="9" s="1"/>
  <c r="AB686" i="9"/>
  <c r="CS686" i="9" s="1"/>
  <c r="AX686" i="9"/>
  <c r="DO686" i="9" s="1"/>
  <c r="X686" i="9"/>
  <c r="CO686" i="9" s="1"/>
  <c r="AU686" i="9"/>
  <c r="DL686" i="9" s="1"/>
  <c r="BO686" i="9"/>
  <c r="EF686" i="9" s="1"/>
  <c r="AP686" i="9"/>
  <c r="DG686" i="9" s="1"/>
  <c r="BL686" i="9"/>
  <c r="EC686" i="9" s="1"/>
  <c r="W686" i="9"/>
  <c r="CN686" i="9" s="1"/>
  <c r="BG686" i="9"/>
  <c r="DX686" i="9" s="1"/>
  <c r="AH686" i="9"/>
  <c r="CY686" i="9" s="1"/>
  <c r="AO686" i="9"/>
  <c r="DF686" i="9" s="1"/>
  <c r="BQ686" i="9"/>
  <c r="EH686" i="9" s="1"/>
  <c r="AQ686" i="9"/>
  <c r="DH686" i="9" s="1"/>
  <c r="BD686" i="9"/>
  <c r="DU686" i="9" s="1"/>
  <c r="V686" i="9"/>
  <c r="CM686" i="9" s="1"/>
  <c r="Z686" i="9"/>
  <c r="CQ686" i="9" s="1"/>
  <c r="AY686" i="9"/>
  <c r="DP686" i="9" s="1"/>
  <c r="AC686" i="9"/>
  <c r="CT686" i="9" s="1"/>
  <c r="Y686" i="9"/>
  <c r="CP686" i="9" s="1"/>
  <c r="AR686" i="9"/>
  <c r="DI686" i="9" s="1"/>
  <c r="U686" i="9"/>
  <c r="CL686" i="9" s="1"/>
  <c r="BB686" i="9"/>
  <c r="DS686" i="9" s="1"/>
  <c r="AK686" i="9"/>
  <c r="DB686" i="9" s="1"/>
  <c r="AV686" i="9"/>
  <c r="DM686" i="9" s="1"/>
  <c r="BE686" i="9"/>
  <c r="DV686" i="9" s="1"/>
  <c r="AF686" i="9"/>
  <c r="CW686" i="9" s="1"/>
  <c r="BP686" i="9"/>
  <c r="EG686" i="9" s="1"/>
  <c r="AG686" i="9"/>
  <c r="CX686" i="9" s="1"/>
  <c r="AJ686" i="9"/>
  <c r="DA686" i="9" s="1"/>
  <c r="AM686" i="9"/>
  <c r="DD686" i="9" s="1"/>
  <c r="AE686" i="9"/>
  <c r="CV686" i="9" s="1"/>
  <c r="AW686" i="9"/>
  <c r="DN686" i="9" s="1"/>
  <c r="AZ686" i="9"/>
  <c r="DQ686" i="9" s="1"/>
  <c r="O686" i="9"/>
  <c r="CF686" i="9" s="1"/>
  <c r="M686" i="9"/>
  <c r="CD686" i="9" s="1"/>
  <c r="S686" i="9"/>
  <c r="CJ686" i="9" s="1"/>
  <c r="Q686" i="9"/>
  <c r="CH686" i="9" s="1"/>
  <c r="R686" i="9"/>
  <c r="CI686" i="9" s="1"/>
  <c r="L686" i="9"/>
  <c r="P686" i="9"/>
  <c r="CG686" i="9" s="1"/>
  <c r="T686" i="9"/>
  <c r="CK686" i="9" s="1"/>
  <c r="N686" i="9"/>
  <c r="CE686" i="9" s="1"/>
  <c r="W674" i="9"/>
  <c r="CN674" i="9" s="1"/>
  <c r="X674" i="9"/>
  <c r="CO674" i="9" s="1"/>
  <c r="BJ674" i="9"/>
  <c r="EA674" i="9" s="1"/>
  <c r="V674" i="9"/>
  <c r="CM674" i="9" s="1"/>
  <c r="BA674" i="9"/>
  <c r="DR674" i="9" s="1"/>
  <c r="BM674" i="9"/>
  <c r="ED674" i="9" s="1"/>
  <c r="BI674" i="9"/>
  <c r="DZ674" i="9" s="1"/>
  <c r="BK674" i="9"/>
  <c r="EB674" i="9" s="1"/>
  <c r="AL674" i="9"/>
  <c r="DC674" i="9" s="1"/>
  <c r="BC674" i="9"/>
  <c r="DT674" i="9" s="1"/>
  <c r="AX674" i="9"/>
  <c r="DO674" i="9" s="1"/>
  <c r="AD674" i="9"/>
  <c r="CU674" i="9" s="1"/>
  <c r="AQ674" i="9"/>
  <c r="DH674" i="9" s="1"/>
  <c r="BR674" i="9"/>
  <c r="EI674" i="9" s="1"/>
  <c r="AP674" i="9"/>
  <c r="DG674" i="9" s="1"/>
  <c r="BL674" i="9"/>
  <c r="EC674" i="9" s="1"/>
  <c r="BO674" i="9"/>
  <c r="EF674" i="9" s="1"/>
  <c r="AI674" i="9"/>
  <c r="CZ674" i="9" s="1"/>
  <c r="BN674" i="9"/>
  <c r="EE674" i="9" s="1"/>
  <c r="AN674" i="9"/>
  <c r="DE674" i="9" s="1"/>
  <c r="BH674" i="9"/>
  <c r="DY674" i="9" s="1"/>
  <c r="AH674" i="9"/>
  <c r="CY674" i="9" s="1"/>
  <c r="AT674" i="9"/>
  <c r="DK674" i="9" s="1"/>
  <c r="AU674" i="9"/>
  <c r="DL674" i="9" s="1"/>
  <c r="BG674" i="9"/>
  <c r="DX674" i="9" s="1"/>
  <c r="AB674" i="9"/>
  <c r="CS674" i="9" s="1"/>
  <c r="BQ674" i="9"/>
  <c r="EH674" i="9" s="1"/>
  <c r="AO674" i="9"/>
  <c r="DF674" i="9" s="1"/>
  <c r="BF674" i="9"/>
  <c r="DW674" i="9" s="1"/>
  <c r="AS674" i="9"/>
  <c r="DJ674" i="9" s="1"/>
  <c r="AA674" i="9"/>
  <c r="CR674" i="9" s="1"/>
  <c r="BD674" i="9"/>
  <c r="DU674" i="9" s="1"/>
  <c r="AJ674" i="9"/>
  <c r="DA674" i="9" s="1"/>
  <c r="AM674" i="9"/>
  <c r="DD674" i="9" s="1"/>
  <c r="AE674" i="9"/>
  <c r="CV674" i="9" s="1"/>
  <c r="AF674" i="9"/>
  <c r="CW674" i="9" s="1"/>
  <c r="AC674" i="9"/>
  <c r="CT674" i="9" s="1"/>
  <c r="AG674" i="9"/>
  <c r="CX674" i="9" s="1"/>
  <c r="BB674" i="9"/>
  <c r="DS674" i="9" s="1"/>
  <c r="AW674" i="9"/>
  <c r="DN674" i="9" s="1"/>
  <c r="BP674" i="9"/>
  <c r="EG674" i="9" s="1"/>
  <c r="Z674" i="9"/>
  <c r="CQ674" i="9" s="1"/>
  <c r="AY674" i="9"/>
  <c r="DP674" i="9" s="1"/>
  <c r="AK674" i="9"/>
  <c r="DB674" i="9" s="1"/>
  <c r="AZ674" i="9"/>
  <c r="DQ674" i="9" s="1"/>
  <c r="Y674" i="9"/>
  <c r="CP674" i="9" s="1"/>
  <c r="U674" i="9"/>
  <c r="CL674" i="9" s="1"/>
  <c r="AR674" i="9"/>
  <c r="DI674" i="9" s="1"/>
  <c r="BE674" i="9"/>
  <c r="DV674" i="9" s="1"/>
  <c r="AV674" i="9"/>
  <c r="DM674" i="9" s="1"/>
  <c r="R674" i="9"/>
  <c r="CI674" i="9" s="1"/>
  <c r="Q674" i="9"/>
  <c r="CH674" i="9" s="1"/>
  <c r="O674" i="9"/>
  <c r="CF674" i="9" s="1"/>
  <c r="M674" i="9"/>
  <c r="CD674" i="9" s="1"/>
  <c r="N674" i="9"/>
  <c r="CE674" i="9" s="1"/>
  <c r="P674" i="9"/>
  <c r="CG674" i="9" s="1"/>
  <c r="L674" i="9"/>
  <c r="CC674" i="9" s="1"/>
  <c r="S674" i="9"/>
  <c r="CJ674" i="9" s="1"/>
  <c r="T674" i="9"/>
  <c r="CK674" i="9" s="1"/>
  <c r="AO593" i="9"/>
  <c r="AK657" i="11" s="1"/>
  <c r="AM353" i="9"/>
  <c r="AI647" i="11" s="1"/>
  <c r="AP302" i="9"/>
  <c r="DG302" i="9" s="1"/>
  <c r="AG302" i="9"/>
  <c r="CX302" i="9" s="1"/>
  <c r="U302" i="9"/>
  <c r="CL302" i="9" s="1"/>
  <c r="AH302" i="9"/>
  <c r="CY302" i="9" s="1"/>
  <c r="Y302" i="9"/>
  <c r="CP302" i="9" s="1"/>
  <c r="W302" i="9"/>
  <c r="CN302" i="9" s="1"/>
  <c r="AK302" i="9"/>
  <c r="DB302" i="9" s="1"/>
  <c r="AQ302" i="9"/>
  <c r="DH302" i="9" s="1"/>
  <c r="AM302" i="9"/>
  <c r="DD302" i="9" s="1"/>
  <c r="BC302" i="9"/>
  <c r="DT302" i="9" s="1"/>
  <c r="AO302" i="9"/>
  <c r="DF302" i="9" s="1"/>
  <c r="V302" i="9"/>
  <c r="CM302" i="9" s="1"/>
  <c r="AX302" i="9"/>
  <c r="DO302" i="9" s="1"/>
  <c r="BB302" i="9"/>
  <c r="DS302" i="9" s="1"/>
  <c r="BM302" i="9"/>
  <c r="ED302" i="9" s="1"/>
  <c r="AC302" i="9"/>
  <c r="CT302" i="9" s="1"/>
  <c r="BI302" i="9"/>
  <c r="DZ302" i="9" s="1"/>
  <c r="AJ302" i="9"/>
  <c r="DA302" i="9" s="1"/>
  <c r="BQ302" i="9"/>
  <c r="EH302" i="9" s="1"/>
  <c r="BP302" i="9"/>
  <c r="EG302" i="9" s="1"/>
  <c r="BL302" i="9"/>
  <c r="EC302" i="9" s="1"/>
  <c r="AI302" i="9"/>
  <c r="CZ302" i="9" s="1"/>
  <c r="AD302" i="9"/>
  <c r="CU302" i="9" s="1"/>
  <c r="BE302" i="9"/>
  <c r="DV302" i="9" s="1"/>
  <c r="AW302" i="9"/>
  <c r="DN302" i="9" s="1"/>
  <c r="AS302" i="9"/>
  <c r="DJ302" i="9" s="1"/>
  <c r="BF302" i="9"/>
  <c r="DW302" i="9" s="1"/>
  <c r="AN302" i="9"/>
  <c r="DE302" i="9" s="1"/>
  <c r="AE302" i="9"/>
  <c r="CV302" i="9" s="1"/>
  <c r="AA302" i="9"/>
  <c r="CR302" i="9" s="1"/>
  <c r="BH302" i="9"/>
  <c r="DY302" i="9" s="1"/>
  <c r="AB302" i="9"/>
  <c r="CS302" i="9" s="1"/>
  <c r="AF302" i="9"/>
  <c r="CW302" i="9" s="1"/>
  <c r="BO302" i="9"/>
  <c r="EF302" i="9" s="1"/>
  <c r="Z302" i="9"/>
  <c r="CQ302" i="9" s="1"/>
  <c r="BJ302" i="9"/>
  <c r="EA302" i="9" s="1"/>
  <c r="AR302" i="9"/>
  <c r="DI302" i="9" s="1"/>
  <c r="BK302" i="9"/>
  <c r="EB302" i="9" s="1"/>
  <c r="BG302" i="9"/>
  <c r="DX302" i="9" s="1"/>
  <c r="BN302" i="9"/>
  <c r="EE302" i="9" s="1"/>
  <c r="BD302" i="9"/>
  <c r="DU302" i="9" s="1"/>
  <c r="AL302" i="9"/>
  <c r="DC302" i="9" s="1"/>
  <c r="BR302" i="9"/>
  <c r="EI302" i="9" s="1"/>
  <c r="AY302" i="9"/>
  <c r="DP302" i="9" s="1"/>
  <c r="AV302" i="9"/>
  <c r="DM302" i="9" s="1"/>
  <c r="AZ302" i="9"/>
  <c r="DQ302" i="9" s="1"/>
  <c r="X302" i="9"/>
  <c r="CO302" i="9" s="1"/>
  <c r="AT302" i="9"/>
  <c r="DK302" i="9" s="1"/>
  <c r="AU302" i="9"/>
  <c r="DL302" i="9" s="1"/>
  <c r="BA302" i="9"/>
  <c r="DR302" i="9" s="1"/>
  <c r="M302" i="9"/>
  <c r="CD302" i="9" s="1"/>
  <c r="O302" i="9"/>
  <c r="CF302" i="9" s="1"/>
  <c r="S302" i="9"/>
  <c r="CJ302" i="9" s="1"/>
  <c r="T302" i="9"/>
  <c r="CK302" i="9" s="1"/>
  <c r="K302" i="9"/>
  <c r="N302" i="9"/>
  <c r="CE302" i="9" s="1"/>
  <c r="L302" i="9"/>
  <c r="CC302" i="9" s="1"/>
  <c r="Q302" i="9"/>
  <c r="CH302" i="9" s="1"/>
  <c r="P302" i="9"/>
  <c r="CG302" i="9" s="1"/>
  <c r="R302" i="9"/>
  <c r="CI302" i="9" s="1"/>
  <c r="AO293" i="9"/>
  <c r="DF293" i="9" s="1"/>
  <c r="BQ293" i="9"/>
  <c r="EH293" i="9" s="1"/>
  <c r="AX293" i="9"/>
  <c r="DO293" i="9" s="1"/>
  <c r="BJ293" i="9"/>
  <c r="EA293" i="9" s="1"/>
  <c r="AJ293" i="9"/>
  <c r="DA293" i="9" s="1"/>
  <c r="BH293" i="9"/>
  <c r="DY293" i="9" s="1"/>
  <c r="BL293" i="9"/>
  <c r="EC293" i="9" s="1"/>
  <c r="BK293" i="9"/>
  <c r="EB293" i="9" s="1"/>
  <c r="AF293" i="9"/>
  <c r="CW293" i="9" s="1"/>
  <c r="AN293" i="9"/>
  <c r="DE293" i="9" s="1"/>
  <c r="BP293" i="9"/>
  <c r="EG293" i="9" s="1"/>
  <c r="AB293" i="9"/>
  <c r="CS293" i="9" s="1"/>
  <c r="BN293" i="9"/>
  <c r="EE293" i="9" s="1"/>
  <c r="BE293" i="9"/>
  <c r="DV293" i="9" s="1"/>
  <c r="AH293" i="9"/>
  <c r="CY293" i="9" s="1"/>
  <c r="BC293" i="9"/>
  <c r="DT293" i="9" s="1"/>
  <c r="BB293" i="9"/>
  <c r="DS293" i="9" s="1"/>
  <c r="U293" i="9"/>
  <c r="CL293" i="9" s="1"/>
  <c r="AR293" i="9"/>
  <c r="DI293" i="9" s="1"/>
  <c r="BM293" i="9"/>
  <c r="ED293" i="9" s="1"/>
  <c r="AG293" i="9"/>
  <c r="CX293" i="9" s="1"/>
  <c r="AS293" i="9"/>
  <c r="DJ293" i="9" s="1"/>
  <c r="AE293" i="9"/>
  <c r="CV293" i="9" s="1"/>
  <c r="AW293" i="9"/>
  <c r="DN293" i="9" s="1"/>
  <c r="AD293" i="9"/>
  <c r="CU293" i="9" s="1"/>
  <c r="AK293" i="9"/>
  <c r="DB293" i="9" s="1"/>
  <c r="BG293" i="9"/>
  <c r="DX293" i="9" s="1"/>
  <c r="Y293" i="9"/>
  <c r="CP293" i="9" s="1"/>
  <c r="Z293" i="9"/>
  <c r="CQ293" i="9" s="1"/>
  <c r="AM293" i="9"/>
  <c r="DD293" i="9" s="1"/>
  <c r="BI293" i="9"/>
  <c r="DZ293" i="9" s="1"/>
  <c r="BO293" i="9"/>
  <c r="EF293" i="9" s="1"/>
  <c r="W293" i="9"/>
  <c r="CN293" i="9" s="1"/>
  <c r="AA293" i="9"/>
  <c r="CR293" i="9" s="1"/>
  <c r="BF293" i="9"/>
  <c r="DW293" i="9" s="1"/>
  <c r="V293" i="9"/>
  <c r="CM293" i="9" s="1"/>
  <c r="AC293" i="9"/>
  <c r="CT293" i="9" s="1"/>
  <c r="AQ293" i="9"/>
  <c r="DH293" i="9" s="1"/>
  <c r="AI293" i="9"/>
  <c r="CZ293" i="9" s="1"/>
  <c r="AP293" i="9"/>
  <c r="DG293" i="9" s="1"/>
  <c r="BA293" i="9"/>
  <c r="DR293" i="9" s="1"/>
  <c r="AY293" i="9"/>
  <c r="DP293" i="9" s="1"/>
  <c r="AU293" i="9"/>
  <c r="DL293" i="9" s="1"/>
  <c r="BD293" i="9"/>
  <c r="DU293" i="9" s="1"/>
  <c r="AT293" i="9"/>
  <c r="DK293" i="9" s="1"/>
  <c r="X293" i="9"/>
  <c r="CO293" i="9" s="1"/>
  <c r="BR293" i="9"/>
  <c r="EI293" i="9" s="1"/>
  <c r="AZ293" i="9"/>
  <c r="DQ293" i="9" s="1"/>
  <c r="AL293" i="9"/>
  <c r="DC293" i="9" s="1"/>
  <c r="AV293" i="9"/>
  <c r="DM293" i="9" s="1"/>
  <c r="M293" i="9"/>
  <c r="CD293" i="9" s="1"/>
  <c r="S293" i="9"/>
  <c r="CJ293" i="9" s="1"/>
  <c r="N293" i="9"/>
  <c r="CE293" i="9" s="1"/>
  <c r="T293" i="9"/>
  <c r="CK293" i="9" s="1"/>
  <c r="P293" i="9"/>
  <c r="CG293" i="9" s="1"/>
  <c r="L293" i="9"/>
  <c r="CC293" i="9" s="1"/>
  <c r="R293" i="9"/>
  <c r="CI293" i="9" s="1"/>
  <c r="K293" i="9"/>
  <c r="Q293" i="9"/>
  <c r="CH293" i="9" s="1"/>
  <c r="O293" i="9"/>
  <c r="CF293" i="9" s="1"/>
  <c r="EC477" i="9"/>
  <c r="CR477" i="9"/>
  <c r="DZ477" i="9"/>
  <c r="DP477" i="9"/>
  <c r="CM477" i="9"/>
  <c r="CV477" i="9"/>
  <c r="BK536" i="9"/>
  <c r="EB536" i="9" s="1"/>
  <c r="AD536" i="9"/>
  <c r="CU536" i="9" s="1"/>
  <c r="U536" i="9"/>
  <c r="CL536" i="9" s="1"/>
  <c r="AY536" i="9"/>
  <c r="DP536" i="9" s="1"/>
  <c r="X536" i="9"/>
  <c r="CO536" i="9" s="1"/>
  <c r="AX536" i="9"/>
  <c r="DO536" i="9" s="1"/>
  <c r="BC536" i="9"/>
  <c r="DT536" i="9" s="1"/>
  <c r="V536" i="9"/>
  <c r="CM536" i="9" s="1"/>
  <c r="BP536" i="9"/>
  <c r="EG536" i="9" s="1"/>
  <c r="AQ536" i="9"/>
  <c r="DH536" i="9" s="1"/>
  <c r="BL536" i="9"/>
  <c r="EC536" i="9" s="1"/>
  <c r="AU536" i="9"/>
  <c r="DL536" i="9" s="1"/>
  <c r="BQ536" i="9"/>
  <c r="EH536" i="9" s="1"/>
  <c r="BH536" i="9"/>
  <c r="DY536" i="9" s="1"/>
  <c r="Z536" i="9"/>
  <c r="CQ536" i="9" s="1"/>
  <c r="BE536" i="9"/>
  <c r="DV536" i="9" s="1"/>
  <c r="AM536" i="9"/>
  <c r="DD536" i="9" s="1"/>
  <c r="BI536" i="9"/>
  <c r="DZ536" i="9" s="1"/>
  <c r="AZ536" i="9"/>
  <c r="DQ536" i="9" s="1"/>
  <c r="BN536" i="9"/>
  <c r="EE536" i="9" s="1"/>
  <c r="AH536" i="9"/>
  <c r="CY536" i="9" s="1"/>
  <c r="AE536" i="9"/>
  <c r="CV536" i="9" s="1"/>
  <c r="BA536" i="9"/>
  <c r="DR536" i="9" s="1"/>
  <c r="AR536" i="9"/>
  <c r="DI536" i="9" s="1"/>
  <c r="AV536" i="9"/>
  <c r="DM536" i="9" s="1"/>
  <c r="AN536" i="9"/>
  <c r="DE536" i="9" s="1"/>
  <c r="BR536" i="9"/>
  <c r="EI536" i="9" s="1"/>
  <c r="AS536" i="9"/>
  <c r="DJ536" i="9" s="1"/>
  <c r="AJ536" i="9"/>
  <c r="DA536" i="9" s="1"/>
  <c r="Y536" i="9"/>
  <c r="CP536" i="9" s="1"/>
  <c r="AG536" i="9"/>
  <c r="CX536" i="9" s="1"/>
  <c r="BB536" i="9"/>
  <c r="DS536" i="9" s="1"/>
  <c r="AK536" i="9"/>
  <c r="DB536" i="9" s="1"/>
  <c r="BO536" i="9"/>
  <c r="EF536" i="9" s="1"/>
  <c r="BM536" i="9"/>
  <c r="ED536" i="9" s="1"/>
  <c r="AF536" i="9"/>
  <c r="CW536" i="9" s="1"/>
  <c r="AL536" i="9"/>
  <c r="DC536" i="9" s="1"/>
  <c r="AC536" i="9"/>
  <c r="CT536" i="9" s="1"/>
  <c r="BG536" i="9"/>
  <c r="DX536" i="9" s="1"/>
  <c r="AP536" i="9"/>
  <c r="DG536" i="9" s="1"/>
  <c r="BD536" i="9"/>
  <c r="DU536" i="9" s="1"/>
  <c r="AI536" i="9"/>
  <c r="CZ536" i="9" s="1"/>
  <c r="AW536" i="9"/>
  <c r="DN536" i="9" s="1"/>
  <c r="AB536" i="9"/>
  <c r="CS536" i="9" s="1"/>
  <c r="W536" i="9"/>
  <c r="CN536" i="9" s="1"/>
  <c r="BJ536" i="9"/>
  <c r="EA536" i="9" s="1"/>
  <c r="BF536" i="9"/>
  <c r="DW536" i="9" s="1"/>
  <c r="AT536" i="9"/>
  <c r="DK536" i="9" s="1"/>
  <c r="AA536" i="9"/>
  <c r="CR536" i="9" s="1"/>
  <c r="AO536" i="9"/>
  <c r="DF536" i="9" s="1"/>
  <c r="K536" i="9"/>
  <c r="O536" i="9"/>
  <c r="CF536" i="9" s="1"/>
  <c r="T536" i="9"/>
  <c r="CK536" i="9" s="1"/>
  <c r="S536" i="9"/>
  <c r="CJ536" i="9" s="1"/>
  <c r="N536" i="9"/>
  <c r="CE536" i="9" s="1"/>
  <c r="P536" i="9"/>
  <c r="CG536" i="9" s="1"/>
  <c r="R536" i="9"/>
  <c r="CI536" i="9" s="1"/>
  <c r="L536" i="9"/>
  <c r="CC536" i="9" s="1"/>
  <c r="Q536" i="9"/>
  <c r="CH536" i="9" s="1"/>
  <c r="M536" i="9"/>
  <c r="CD536" i="9" s="1"/>
  <c r="BE533" i="9"/>
  <c r="DV533" i="9" s="1"/>
  <c r="BK533" i="9"/>
  <c r="EB533" i="9" s="1"/>
  <c r="BB533" i="9"/>
  <c r="DS533" i="9" s="1"/>
  <c r="BM533" i="9"/>
  <c r="ED533" i="9" s="1"/>
  <c r="BH533" i="9"/>
  <c r="DY533" i="9" s="1"/>
  <c r="Z533" i="9"/>
  <c r="CQ533" i="9" s="1"/>
  <c r="AC533" i="9"/>
  <c r="CT533" i="9" s="1"/>
  <c r="X533" i="9"/>
  <c r="CO533" i="9" s="1"/>
  <c r="AF533" i="9"/>
  <c r="CW533" i="9" s="1"/>
  <c r="AX533" i="9"/>
  <c r="DO533" i="9" s="1"/>
  <c r="V533" i="9"/>
  <c r="CM533" i="9" s="1"/>
  <c r="BD533" i="9"/>
  <c r="DU533" i="9" s="1"/>
  <c r="AG533" i="9"/>
  <c r="CX533" i="9" s="1"/>
  <c r="AR533" i="9"/>
  <c r="DI533" i="9" s="1"/>
  <c r="BG533" i="9"/>
  <c r="DX533" i="9" s="1"/>
  <c r="AK533" i="9"/>
  <c r="DB533" i="9" s="1"/>
  <c r="AN533" i="9"/>
  <c r="DE533" i="9" s="1"/>
  <c r="AY533" i="9"/>
  <c r="DP533" i="9" s="1"/>
  <c r="AQ533" i="9"/>
  <c r="DH533" i="9" s="1"/>
  <c r="BA533" i="9"/>
  <c r="DR533" i="9" s="1"/>
  <c r="AH533" i="9"/>
  <c r="CY533" i="9" s="1"/>
  <c r="AM533" i="9"/>
  <c r="DD533" i="9" s="1"/>
  <c r="BL533" i="9"/>
  <c r="EC533" i="9" s="1"/>
  <c r="BN533" i="9"/>
  <c r="EE533" i="9" s="1"/>
  <c r="BI533" i="9"/>
  <c r="DZ533" i="9" s="1"/>
  <c r="AL533" i="9"/>
  <c r="DC533" i="9" s="1"/>
  <c r="BC533" i="9"/>
  <c r="DT533" i="9" s="1"/>
  <c r="BO533" i="9"/>
  <c r="EF533" i="9" s="1"/>
  <c r="AJ533" i="9"/>
  <c r="DA533" i="9" s="1"/>
  <c r="AP533" i="9"/>
  <c r="DG533" i="9" s="1"/>
  <c r="Y533" i="9"/>
  <c r="CP533" i="9" s="1"/>
  <c r="BQ533" i="9"/>
  <c r="EH533" i="9" s="1"/>
  <c r="AE533" i="9"/>
  <c r="CV533" i="9" s="1"/>
  <c r="AS533" i="9"/>
  <c r="DJ533" i="9" s="1"/>
  <c r="BP533" i="9"/>
  <c r="EG533" i="9" s="1"/>
  <c r="AD533" i="9"/>
  <c r="CU533" i="9" s="1"/>
  <c r="AV533" i="9"/>
  <c r="DM533" i="9" s="1"/>
  <c r="BR533" i="9"/>
  <c r="EI533" i="9" s="1"/>
  <c r="AZ533" i="9"/>
  <c r="DQ533" i="9" s="1"/>
  <c r="AU533" i="9"/>
  <c r="DL533" i="9" s="1"/>
  <c r="U533" i="9"/>
  <c r="CL533" i="9" s="1"/>
  <c r="AO533" i="9"/>
  <c r="DF533" i="9" s="1"/>
  <c r="AB533" i="9"/>
  <c r="CS533" i="9" s="1"/>
  <c r="AA533" i="9"/>
  <c r="CR533" i="9" s="1"/>
  <c r="AW533" i="9"/>
  <c r="DN533" i="9" s="1"/>
  <c r="AT533" i="9"/>
  <c r="DK533" i="9" s="1"/>
  <c r="W533" i="9"/>
  <c r="CN533" i="9" s="1"/>
  <c r="BF533" i="9"/>
  <c r="DW533" i="9" s="1"/>
  <c r="BJ533" i="9"/>
  <c r="EA533" i="9" s="1"/>
  <c r="AI533" i="9"/>
  <c r="CZ533" i="9" s="1"/>
  <c r="P533" i="9"/>
  <c r="CG533" i="9" s="1"/>
  <c r="N533" i="9"/>
  <c r="CE533" i="9" s="1"/>
  <c r="R533" i="9"/>
  <c r="CI533" i="9" s="1"/>
  <c r="S533" i="9"/>
  <c r="CJ533" i="9" s="1"/>
  <c r="Q533" i="9"/>
  <c r="CH533" i="9" s="1"/>
  <c r="O533" i="9"/>
  <c r="CF533" i="9" s="1"/>
  <c r="L533" i="9"/>
  <c r="CC533" i="9" s="1"/>
  <c r="K533" i="9"/>
  <c r="M533" i="9"/>
  <c r="CD533" i="9" s="1"/>
  <c r="T533" i="9"/>
  <c r="CK533" i="9" s="1"/>
  <c r="BR532" i="9"/>
  <c r="EI532" i="9" s="1"/>
  <c r="X532" i="9"/>
  <c r="CO532" i="9" s="1"/>
  <c r="AC532" i="9"/>
  <c r="CT532" i="9" s="1"/>
  <c r="BO532" i="9"/>
  <c r="EF532" i="9" s="1"/>
  <c r="BE532" i="9"/>
  <c r="DV532" i="9" s="1"/>
  <c r="AZ532" i="9"/>
  <c r="DQ532" i="9" s="1"/>
  <c r="AJ532" i="9"/>
  <c r="DA532" i="9" s="1"/>
  <c r="AS532" i="9"/>
  <c r="DJ532" i="9" s="1"/>
  <c r="Y532" i="9"/>
  <c r="CP532" i="9" s="1"/>
  <c r="AF532" i="9"/>
  <c r="CW532" i="9" s="1"/>
  <c r="AK532" i="9"/>
  <c r="DB532" i="9" s="1"/>
  <c r="AO532" i="9"/>
  <c r="DF532" i="9" s="1"/>
  <c r="BL532" i="9"/>
  <c r="EC532" i="9" s="1"/>
  <c r="AE532" i="9"/>
  <c r="CV532" i="9" s="1"/>
  <c r="AP532" i="9"/>
  <c r="DG532" i="9" s="1"/>
  <c r="BD532" i="9"/>
  <c r="DU532" i="9" s="1"/>
  <c r="AU532" i="9"/>
  <c r="DL532" i="9" s="1"/>
  <c r="BH532" i="9"/>
  <c r="DY532" i="9" s="1"/>
  <c r="AG532" i="9"/>
  <c r="CX532" i="9" s="1"/>
  <c r="AL532" i="9"/>
  <c r="DC532" i="9" s="1"/>
  <c r="AQ532" i="9"/>
  <c r="DH532" i="9" s="1"/>
  <c r="BC532" i="9"/>
  <c r="DT532" i="9" s="1"/>
  <c r="Z532" i="9"/>
  <c r="CQ532" i="9" s="1"/>
  <c r="AX532" i="9"/>
  <c r="DO532" i="9" s="1"/>
  <c r="BB532" i="9"/>
  <c r="DS532" i="9" s="1"/>
  <c r="AY532" i="9"/>
  <c r="DP532" i="9" s="1"/>
  <c r="U532" i="9"/>
  <c r="CL532" i="9" s="1"/>
  <c r="BA532" i="9"/>
  <c r="DR532" i="9" s="1"/>
  <c r="BM532" i="9"/>
  <c r="ED532" i="9" s="1"/>
  <c r="BN532" i="9"/>
  <c r="EE532" i="9" s="1"/>
  <c r="AD532" i="9"/>
  <c r="CU532" i="9" s="1"/>
  <c r="BK532" i="9"/>
  <c r="EB532" i="9" s="1"/>
  <c r="AM532" i="9"/>
  <c r="DD532" i="9" s="1"/>
  <c r="BI532" i="9"/>
  <c r="DZ532" i="9" s="1"/>
  <c r="V532" i="9"/>
  <c r="CM532" i="9" s="1"/>
  <c r="BG532" i="9"/>
  <c r="DX532" i="9" s="1"/>
  <c r="AN532" i="9"/>
  <c r="DE532" i="9" s="1"/>
  <c r="BQ532" i="9"/>
  <c r="EH532" i="9" s="1"/>
  <c r="AR532" i="9"/>
  <c r="DI532" i="9" s="1"/>
  <c r="AH532" i="9"/>
  <c r="CY532" i="9" s="1"/>
  <c r="BP532" i="9"/>
  <c r="EG532" i="9" s="1"/>
  <c r="AV532" i="9"/>
  <c r="DM532" i="9" s="1"/>
  <c r="BF532" i="9"/>
  <c r="DW532" i="9" s="1"/>
  <c r="AB532" i="9"/>
  <c r="CS532" i="9" s="1"/>
  <c r="AI532" i="9"/>
  <c r="CZ532" i="9" s="1"/>
  <c r="AT532" i="9"/>
  <c r="DK532" i="9" s="1"/>
  <c r="AA532" i="9"/>
  <c r="CR532" i="9" s="1"/>
  <c r="W532" i="9"/>
  <c r="CN532" i="9" s="1"/>
  <c r="BJ532" i="9"/>
  <c r="EA532" i="9" s="1"/>
  <c r="AW532" i="9"/>
  <c r="DN532" i="9" s="1"/>
  <c r="N532" i="9"/>
  <c r="CE532" i="9" s="1"/>
  <c r="M532" i="9"/>
  <c r="CD532" i="9" s="1"/>
  <c r="O532" i="9"/>
  <c r="CF532" i="9" s="1"/>
  <c r="R532" i="9"/>
  <c r="CI532" i="9" s="1"/>
  <c r="K532" i="9"/>
  <c r="T532" i="9"/>
  <c r="CK532" i="9" s="1"/>
  <c r="L532" i="9"/>
  <c r="CC532" i="9" s="1"/>
  <c r="S532" i="9"/>
  <c r="CJ532" i="9" s="1"/>
  <c r="P532" i="9"/>
  <c r="CG532" i="9" s="1"/>
  <c r="Q532" i="9"/>
  <c r="CH532" i="9" s="1"/>
  <c r="DV309" i="9"/>
  <c r="BE329" i="9"/>
  <c r="BA646" i="11" s="1"/>
  <c r="V329" i="9"/>
  <c r="R646" i="11" s="1"/>
  <c r="CM309" i="9"/>
  <c r="CV407" i="9"/>
  <c r="AE425" i="9"/>
  <c r="AA650" i="11" s="1"/>
  <c r="DE455" i="9"/>
  <c r="AN473" i="9"/>
  <c r="AJ652" i="11" s="1"/>
  <c r="DW337" i="9"/>
  <c r="BF353" i="9"/>
  <c r="BB647" i="11" s="1"/>
  <c r="AI512" i="9"/>
  <c r="CZ512" i="9" s="1"/>
  <c r="BE512" i="9"/>
  <c r="DV512" i="9" s="1"/>
  <c r="BR512" i="9"/>
  <c r="EI512" i="9" s="1"/>
  <c r="AX512" i="9"/>
  <c r="DO512" i="9" s="1"/>
  <c r="AB512" i="9"/>
  <c r="CS512" i="9" s="1"/>
  <c r="BJ512" i="9"/>
  <c r="EA512" i="9" s="1"/>
  <c r="X512" i="9"/>
  <c r="CO512" i="9" s="1"/>
  <c r="AO512" i="9"/>
  <c r="DF512" i="9" s="1"/>
  <c r="Z512" i="9"/>
  <c r="CQ512" i="9" s="1"/>
  <c r="AL512" i="9"/>
  <c r="DC512" i="9" s="1"/>
  <c r="AT512" i="9"/>
  <c r="DK512" i="9" s="1"/>
  <c r="BC512" i="9"/>
  <c r="DT512" i="9" s="1"/>
  <c r="BG512" i="9"/>
  <c r="DX512" i="9" s="1"/>
  <c r="AK512" i="9"/>
  <c r="DB512" i="9" s="1"/>
  <c r="AH512" i="9"/>
  <c r="CY512" i="9" s="1"/>
  <c r="AE512" i="9"/>
  <c r="CV512" i="9" s="1"/>
  <c r="AM512" i="9"/>
  <c r="DD512" i="9" s="1"/>
  <c r="BP512" i="9"/>
  <c r="EG512" i="9" s="1"/>
  <c r="AF512" i="9"/>
  <c r="CW512" i="9" s="1"/>
  <c r="BN512" i="9"/>
  <c r="EE512" i="9" s="1"/>
  <c r="BH512" i="9"/>
  <c r="DY512" i="9" s="1"/>
  <c r="BL512" i="9"/>
  <c r="EC512" i="9" s="1"/>
  <c r="BA512" i="9"/>
  <c r="DR512" i="9" s="1"/>
  <c r="AW512" i="9"/>
  <c r="DN512" i="9" s="1"/>
  <c r="BF512" i="9"/>
  <c r="DW512" i="9" s="1"/>
  <c r="AR512" i="9"/>
  <c r="DI512" i="9" s="1"/>
  <c r="U512" i="9"/>
  <c r="CL512" i="9" s="1"/>
  <c r="AC512" i="9"/>
  <c r="CT512" i="9" s="1"/>
  <c r="AY512" i="9"/>
  <c r="DP512" i="9" s="1"/>
  <c r="BB512" i="9"/>
  <c r="DS512" i="9" s="1"/>
  <c r="AQ512" i="9"/>
  <c r="DH512" i="9" s="1"/>
  <c r="BD512" i="9"/>
  <c r="DU512" i="9" s="1"/>
  <c r="BI512" i="9"/>
  <c r="DZ512" i="9" s="1"/>
  <c r="AZ512" i="9"/>
  <c r="DQ512" i="9" s="1"/>
  <c r="AN512" i="9"/>
  <c r="DE512" i="9" s="1"/>
  <c r="AU512" i="9"/>
  <c r="DL512" i="9" s="1"/>
  <c r="BK512" i="9"/>
  <c r="EB512" i="9" s="1"/>
  <c r="BO512" i="9"/>
  <c r="EF512" i="9" s="1"/>
  <c r="V512" i="9"/>
  <c r="CM512" i="9" s="1"/>
  <c r="BM512" i="9"/>
  <c r="ED512" i="9" s="1"/>
  <c r="AV512" i="9"/>
  <c r="DM512" i="9" s="1"/>
  <c r="AA512" i="9"/>
  <c r="CR512" i="9" s="1"/>
  <c r="W512" i="9"/>
  <c r="CN512" i="9" s="1"/>
  <c r="BQ512" i="9"/>
  <c r="EH512" i="9" s="1"/>
  <c r="AD512" i="9"/>
  <c r="CU512" i="9" s="1"/>
  <c r="Y512" i="9"/>
  <c r="CP512" i="9" s="1"/>
  <c r="AJ512" i="9"/>
  <c r="DA512" i="9" s="1"/>
  <c r="AS512" i="9"/>
  <c r="DJ512" i="9" s="1"/>
  <c r="AG512" i="9"/>
  <c r="CX512" i="9" s="1"/>
  <c r="AP512" i="9"/>
  <c r="DG512" i="9" s="1"/>
  <c r="K512" i="9"/>
  <c r="N512" i="9"/>
  <c r="CE512" i="9" s="1"/>
  <c r="S512" i="9"/>
  <c r="CJ512" i="9" s="1"/>
  <c r="L512" i="9"/>
  <c r="CC512" i="9" s="1"/>
  <c r="P512" i="9"/>
  <c r="CG512" i="9" s="1"/>
  <c r="M512" i="9"/>
  <c r="CD512" i="9" s="1"/>
  <c r="T512" i="9"/>
  <c r="CK512" i="9" s="1"/>
  <c r="O512" i="9"/>
  <c r="CF512" i="9" s="1"/>
  <c r="Q512" i="9"/>
  <c r="CH512" i="9" s="1"/>
  <c r="R512" i="9"/>
  <c r="CI512" i="9" s="1"/>
  <c r="EA477" i="9"/>
  <c r="BT456" i="9"/>
  <c r="L319" i="6" s="1"/>
  <c r="BT313" i="9"/>
  <c r="L188" i="6" s="1"/>
  <c r="BT321" i="9"/>
  <c r="L196" i="6" s="1"/>
  <c r="BT327" i="9"/>
  <c r="L202" i="6" s="1"/>
  <c r="BT465" i="9"/>
  <c r="L328" i="6" s="1"/>
  <c r="BT323" i="9"/>
  <c r="L198" i="6" s="1"/>
  <c r="P353" i="9"/>
  <c r="L647" i="11" s="1"/>
  <c r="BT352" i="9"/>
  <c r="L225" i="6" s="1"/>
  <c r="BU315" i="9"/>
  <c r="M190" i="6" s="1"/>
  <c r="BT310" i="9"/>
  <c r="L185" i="6" s="1"/>
  <c r="BT309" i="9"/>
  <c r="L184" i="6" s="1"/>
  <c r="BU343" i="9"/>
  <c r="M216" i="6" s="1"/>
  <c r="BT589" i="9"/>
  <c r="L442" i="6" s="1"/>
  <c r="BT344" i="9"/>
  <c r="L217" i="6" s="1"/>
  <c r="BT315" i="9"/>
  <c r="L190" i="6" s="1"/>
  <c r="EE309" i="9"/>
  <c r="BN329" i="9"/>
  <c r="BJ646" i="11" s="1"/>
  <c r="AD329" i="9"/>
  <c r="Z646" i="11" s="1"/>
  <c r="CU309" i="9"/>
  <c r="BO329" i="9"/>
  <c r="BK646" i="11" s="1"/>
  <c r="EF309" i="9"/>
  <c r="DM309" i="9"/>
  <c r="AV329" i="9"/>
  <c r="AR646" i="11" s="1"/>
  <c r="DB309" i="9"/>
  <c r="AK329" i="9"/>
  <c r="AG646" i="11" s="1"/>
  <c r="CZ309" i="9"/>
  <c r="AI329" i="9"/>
  <c r="AE646" i="11" s="1"/>
  <c r="EA407" i="9"/>
  <c r="BJ425" i="9"/>
  <c r="BF650" i="11" s="1"/>
  <c r="DC407" i="9"/>
  <c r="AL425" i="9"/>
  <c r="AH650" i="11" s="1"/>
  <c r="DK407" i="9"/>
  <c r="AT425" i="9"/>
  <c r="AP650" i="11" s="1"/>
  <c r="EH407" i="9"/>
  <c r="BQ425" i="9"/>
  <c r="BM650" i="11" s="1"/>
  <c r="EI407" i="9"/>
  <c r="BR425" i="9"/>
  <c r="BN650" i="11" s="1"/>
  <c r="DZ407" i="9"/>
  <c r="BI425" i="9"/>
  <c r="BE650" i="11" s="1"/>
  <c r="AO353" i="9"/>
  <c r="AK647" i="11" s="1"/>
  <c r="DR455" i="9"/>
  <c r="BA473" i="9"/>
  <c r="AW652" i="11" s="1"/>
  <c r="DU455" i="9"/>
  <c r="BD473" i="9"/>
  <c r="AZ652" i="11" s="1"/>
  <c r="DT455" i="9"/>
  <c r="BC473" i="9"/>
  <c r="AY652" i="11" s="1"/>
  <c r="DX455" i="9"/>
  <c r="BG473" i="9"/>
  <c r="BC652" i="11" s="1"/>
  <c r="CQ455" i="9"/>
  <c r="Z473" i="9"/>
  <c r="V652" i="11" s="1"/>
  <c r="DA455" i="9"/>
  <c r="AJ473" i="9"/>
  <c r="AF652" i="11" s="1"/>
  <c r="CT577" i="9"/>
  <c r="AC593" i="9"/>
  <c r="Y657" i="11" s="1"/>
  <c r="CV577" i="9"/>
  <c r="AE593" i="9"/>
  <c r="AA657" i="11" s="1"/>
  <c r="BL593" i="9"/>
  <c r="BH657" i="11" s="1"/>
  <c r="AC353" i="9"/>
  <c r="Y647" i="11" s="1"/>
  <c r="AT382" i="9"/>
  <c r="DK382" i="9" s="1"/>
  <c r="BJ382" i="9"/>
  <c r="EA382" i="9" s="1"/>
  <c r="AV382" i="9"/>
  <c r="DM382" i="9" s="1"/>
  <c r="AL382" i="9"/>
  <c r="DC382" i="9" s="1"/>
  <c r="AO382" i="9"/>
  <c r="DF382" i="9" s="1"/>
  <c r="BK382" i="9"/>
  <c r="EB382" i="9" s="1"/>
  <c r="BE382" i="9"/>
  <c r="DV382" i="9" s="1"/>
  <c r="BF382" i="9"/>
  <c r="DW382" i="9" s="1"/>
  <c r="Z382" i="9"/>
  <c r="CQ382" i="9" s="1"/>
  <c r="BA382" i="9"/>
  <c r="DR382" i="9" s="1"/>
  <c r="AJ382" i="9"/>
  <c r="DA382" i="9" s="1"/>
  <c r="AU382" i="9"/>
  <c r="DL382" i="9" s="1"/>
  <c r="BL382" i="9"/>
  <c r="EC382" i="9" s="1"/>
  <c r="AE382" i="9"/>
  <c r="CV382" i="9" s="1"/>
  <c r="AW382" i="9"/>
  <c r="DN382" i="9" s="1"/>
  <c r="AI382" i="9"/>
  <c r="CZ382" i="9" s="1"/>
  <c r="AX382" i="9"/>
  <c r="DO382" i="9" s="1"/>
  <c r="AG382" i="9"/>
  <c r="CX382" i="9" s="1"/>
  <c r="BH382" i="9"/>
  <c r="DY382" i="9" s="1"/>
  <c r="BP382" i="9"/>
  <c r="EG382" i="9" s="1"/>
  <c r="AS382" i="9"/>
  <c r="DJ382" i="9" s="1"/>
  <c r="Y382" i="9"/>
  <c r="CP382" i="9" s="1"/>
  <c r="AK382" i="9"/>
  <c r="DB382" i="9" s="1"/>
  <c r="X382" i="9"/>
  <c r="CO382" i="9" s="1"/>
  <c r="BC382" i="9"/>
  <c r="DT382" i="9" s="1"/>
  <c r="AD382" i="9"/>
  <c r="CU382" i="9" s="1"/>
  <c r="BI382" i="9"/>
  <c r="DZ382" i="9" s="1"/>
  <c r="AR382" i="9"/>
  <c r="DI382" i="9" s="1"/>
  <c r="AQ382" i="9"/>
  <c r="DH382" i="9" s="1"/>
  <c r="BN382" i="9"/>
  <c r="EE382" i="9" s="1"/>
  <c r="AF382" i="9"/>
  <c r="CW382" i="9" s="1"/>
  <c r="BM382" i="9"/>
  <c r="ED382" i="9" s="1"/>
  <c r="BQ382" i="9"/>
  <c r="EH382" i="9" s="1"/>
  <c r="AP382" i="9"/>
  <c r="DG382" i="9" s="1"/>
  <c r="AN382" i="9"/>
  <c r="DE382" i="9" s="1"/>
  <c r="AZ382" i="9"/>
  <c r="DQ382" i="9" s="1"/>
  <c r="BO382" i="9"/>
  <c r="EF382" i="9" s="1"/>
  <c r="AY382" i="9"/>
  <c r="DP382" i="9" s="1"/>
  <c r="AH382" i="9"/>
  <c r="CY382" i="9" s="1"/>
  <c r="U382" i="9"/>
  <c r="CL382" i="9" s="1"/>
  <c r="W382" i="9"/>
  <c r="CN382" i="9" s="1"/>
  <c r="BB382" i="9"/>
  <c r="DS382" i="9" s="1"/>
  <c r="BG382" i="9"/>
  <c r="DX382" i="9" s="1"/>
  <c r="AA382" i="9"/>
  <c r="CR382" i="9" s="1"/>
  <c r="V382" i="9"/>
  <c r="CM382" i="9" s="1"/>
  <c r="AB382" i="9"/>
  <c r="CS382" i="9" s="1"/>
  <c r="BR382" i="9"/>
  <c r="EI382" i="9" s="1"/>
  <c r="AM382" i="9"/>
  <c r="DD382" i="9" s="1"/>
  <c r="AC382" i="9"/>
  <c r="CT382" i="9" s="1"/>
  <c r="BD382" i="9"/>
  <c r="DU382" i="9" s="1"/>
  <c r="T382" i="9"/>
  <c r="CK382" i="9" s="1"/>
  <c r="P382" i="9"/>
  <c r="CG382" i="9" s="1"/>
  <c r="S382" i="9"/>
  <c r="CJ382" i="9" s="1"/>
  <c r="O382" i="9"/>
  <c r="CF382" i="9" s="1"/>
  <c r="R382" i="9"/>
  <c r="CI382" i="9" s="1"/>
  <c r="N382" i="9"/>
  <c r="CE382" i="9" s="1"/>
  <c r="M382" i="9"/>
  <c r="CD382" i="9" s="1"/>
  <c r="Q382" i="9"/>
  <c r="CH382" i="9" s="1"/>
  <c r="L382" i="9"/>
  <c r="CC382" i="9" s="1"/>
  <c r="BG660" i="9"/>
  <c r="DX660" i="9" s="1"/>
  <c r="AY660" i="9"/>
  <c r="DP660" i="9" s="1"/>
  <c r="AH660" i="9"/>
  <c r="CY660" i="9" s="1"/>
  <c r="AD660" i="9"/>
  <c r="CU660" i="9" s="1"/>
  <c r="AC660" i="9"/>
  <c r="CT660" i="9" s="1"/>
  <c r="U660" i="9"/>
  <c r="CL660" i="9" s="1"/>
  <c r="BO660" i="9"/>
  <c r="EF660" i="9" s="1"/>
  <c r="V660" i="9"/>
  <c r="CM660" i="9" s="1"/>
  <c r="BF660" i="9"/>
  <c r="DW660" i="9" s="1"/>
  <c r="AI660" i="9"/>
  <c r="CZ660" i="9" s="1"/>
  <c r="T660" i="9"/>
  <c r="CK660" i="9" s="1"/>
  <c r="BC660" i="9"/>
  <c r="DT660" i="9" s="1"/>
  <c r="BM660" i="9"/>
  <c r="ED660" i="9" s="1"/>
  <c r="BE660" i="9"/>
  <c r="DV660" i="9" s="1"/>
  <c r="AN660" i="9"/>
  <c r="DE660" i="9" s="1"/>
  <c r="AA660" i="9"/>
  <c r="CR660" i="9" s="1"/>
  <c r="BQ660" i="9"/>
  <c r="EH660" i="9" s="1"/>
  <c r="AX660" i="9"/>
  <c r="DO660" i="9" s="1"/>
  <c r="X660" i="9"/>
  <c r="CO660" i="9" s="1"/>
  <c r="AZ660" i="9"/>
  <c r="DQ660" i="9" s="1"/>
  <c r="AU660" i="9"/>
  <c r="DL660" i="9" s="1"/>
  <c r="Z660" i="9"/>
  <c r="CQ660" i="9" s="1"/>
  <c r="W660" i="9"/>
  <c r="CN660" i="9" s="1"/>
  <c r="BL660" i="9"/>
  <c r="EC660" i="9" s="1"/>
  <c r="BH660" i="9"/>
  <c r="DY660" i="9" s="1"/>
  <c r="AL660" i="9"/>
  <c r="DC660" i="9" s="1"/>
  <c r="BA660" i="9"/>
  <c r="DR660" i="9" s="1"/>
  <c r="AM660" i="9"/>
  <c r="DD660" i="9" s="1"/>
  <c r="AB660" i="9"/>
  <c r="CS660" i="9" s="1"/>
  <c r="AP660" i="9"/>
  <c r="DG660" i="9" s="1"/>
  <c r="BD660" i="9"/>
  <c r="DU660" i="9" s="1"/>
  <c r="AR660" i="9"/>
  <c r="DI660" i="9" s="1"/>
  <c r="AF660" i="9"/>
  <c r="CW660" i="9" s="1"/>
  <c r="AS660" i="9"/>
  <c r="DJ660" i="9" s="1"/>
  <c r="BI660" i="9"/>
  <c r="DZ660" i="9" s="1"/>
  <c r="AG660" i="9"/>
  <c r="CX660" i="9" s="1"/>
  <c r="AK660" i="9"/>
  <c r="DB660" i="9" s="1"/>
  <c r="BB660" i="9"/>
  <c r="DS660" i="9" s="1"/>
  <c r="AJ660" i="9"/>
  <c r="DA660" i="9" s="1"/>
  <c r="Y660" i="9"/>
  <c r="CP660" i="9" s="1"/>
  <c r="AQ660" i="9"/>
  <c r="DH660" i="9" s="1"/>
  <c r="AW660" i="9"/>
  <c r="DN660" i="9" s="1"/>
  <c r="BR660" i="9"/>
  <c r="EI660" i="9" s="1"/>
  <c r="BP660" i="9"/>
  <c r="EG660" i="9" s="1"/>
  <c r="BK660" i="9"/>
  <c r="EB660" i="9" s="1"/>
  <c r="AO660" i="9"/>
  <c r="DF660" i="9" s="1"/>
  <c r="AT660" i="9"/>
  <c r="DK660" i="9" s="1"/>
  <c r="BN660" i="9"/>
  <c r="EE660" i="9" s="1"/>
  <c r="AV660" i="9"/>
  <c r="DM660" i="9" s="1"/>
  <c r="AE660" i="9"/>
  <c r="CV660" i="9" s="1"/>
  <c r="BJ660" i="9"/>
  <c r="EA660" i="9" s="1"/>
  <c r="Q660" i="9"/>
  <c r="CH660" i="9" s="1"/>
  <c r="O660" i="9"/>
  <c r="CF660" i="9" s="1"/>
  <c r="P660" i="9"/>
  <c r="CG660" i="9" s="1"/>
  <c r="S660" i="9"/>
  <c r="CJ660" i="9" s="1"/>
  <c r="L660" i="9"/>
  <c r="CC660" i="9" s="1"/>
  <c r="N660" i="9"/>
  <c r="CE660" i="9" s="1"/>
  <c r="M660" i="9"/>
  <c r="CD660" i="9" s="1"/>
  <c r="K660" i="9"/>
  <c r="R660" i="9"/>
  <c r="CI660" i="9" s="1"/>
  <c r="AQ621" i="9"/>
  <c r="BP621" i="9"/>
  <c r="AO621" i="9"/>
  <c r="AG621" i="9"/>
  <c r="BF621" i="9"/>
  <c r="AN621" i="9"/>
  <c r="W621" i="9"/>
  <c r="AJ621" i="9"/>
  <c r="AL621" i="9"/>
  <c r="AZ621" i="9"/>
  <c r="Z621" i="9"/>
  <c r="AK621" i="9"/>
  <c r="AP621" i="9"/>
  <c r="AE621" i="9"/>
  <c r="AC621" i="9"/>
  <c r="AF621" i="9"/>
  <c r="AB621" i="9"/>
  <c r="AR621" i="9"/>
  <c r="AM621" i="9"/>
  <c r="BH621" i="9"/>
  <c r="AH621" i="9"/>
  <c r="AA621" i="9"/>
  <c r="AX621" i="9"/>
  <c r="I641" i="9"/>
  <c r="AT621" i="9"/>
  <c r="BG621" i="9"/>
  <c r="X621" i="9"/>
  <c r="BD621" i="9"/>
  <c r="AV621" i="9"/>
  <c r="U621" i="9"/>
  <c r="BL621" i="9"/>
  <c r="BB621" i="9"/>
  <c r="AI621" i="9"/>
  <c r="BI621" i="9"/>
  <c r="AS621" i="9"/>
  <c r="BJ621" i="9"/>
  <c r="BR621" i="9"/>
  <c r="Y621" i="9"/>
  <c r="AW621" i="9"/>
  <c r="BO621" i="9"/>
  <c r="BC621" i="9"/>
  <c r="BA621" i="9"/>
  <c r="BK621" i="9"/>
  <c r="AD621" i="9"/>
  <c r="BN621" i="9"/>
  <c r="BE621" i="9"/>
  <c r="AY621" i="9"/>
  <c r="BQ621" i="9"/>
  <c r="BM621" i="9"/>
  <c r="V621" i="9"/>
  <c r="AU621" i="9"/>
  <c r="L621" i="9"/>
  <c r="R621" i="9"/>
  <c r="P621" i="9"/>
  <c r="S621" i="9"/>
  <c r="K621" i="9"/>
  <c r="N621" i="9"/>
  <c r="M621" i="9"/>
  <c r="T621" i="9"/>
  <c r="Q621" i="9"/>
  <c r="O621" i="9"/>
  <c r="AL593" i="9"/>
  <c r="AH657" i="11" s="1"/>
  <c r="Y436" i="9"/>
  <c r="CP436" i="9" s="1"/>
  <c r="BG436" i="9"/>
  <c r="DX436" i="9" s="1"/>
  <c r="AA436" i="9"/>
  <c r="CR436" i="9" s="1"/>
  <c r="BB436" i="9"/>
  <c r="DS436" i="9" s="1"/>
  <c r="AU436" i="9"/>
  <c r="DL436" i="9" s="1"/>
  <c r="AS436" i="9"/>
  <c r="DJ436" i="9" s="1"/>
  <c r="AY436" i="9"/>
  <c r="DP436" i="9" s="1"/>
  <c r="AW436" i="9"/>
  <c r="DN436" i="9" s="1"/>
  <c r="AQ436" i="9"/>
  <c r="DH436" i="9" s="1"/>
  <c r="BF436" i="9"/>
  <c r="DW436" i="9" s="1"/>
  <c r="BD436" i="9"/>
  <c r="DU436" i="9" s="1"/>
  <c r="V436" i="9"/>
  <c r="CM436" i="9" s="1"/>
  <c r="AB436" i="9"/>
  <c r="CS436" i="9" s="1"/>
  <c r="AM436" i="9"/>
  <c r="DD436" i="9" s="1"/>
  <c r="AH436" i="9"/>
  <c r="CY436" i="9" s="1"/>
  <c r="AD436" i="9"/>
  <c r="CU436" i="9" s="1"/>
  <c r="Z436" i="9"/>
  <c r="CQ436" i="9" s="1"/>
  <c r="AG436" i="9"/>
  <c r="CX436" i="9" s="1"/>
  <c r="AO436" i="9"/>
  <c r="DF436" i="9" s="1"/>
  <c r="BK436" i="9"/>
  <c r="EB436" i="9" s="1"/>
  <c r="BP436" i="9"/>
  <c r="EG436" i="9" s="1"/>
  <c r="BC436" i="9"/>
  <c r="DT436" i="9" s="1"/>
  <c r="BJ436" i="9"/>
  <c r="EA436" i="9" s="1"/>
  <c r="AV436" i="9"/>
  <c r="DM436" i="9" s="1"/>
  <c r="U436" i="9"/>
  <c r="CL436" i="9" s="1"/>
  <c r="AX436" i="9"/>
  <c r="DO436" i="9" s="1"/>
  <c r="BQ436" i="9"/>
  <c r="EH436" i="9" s="1"/>
  <c r="AF436" i="9"/>
  <c r="CW436" i="9" s="1"/>
  <c r="AP436" i="9"/>
  <c r="DG436" i="9" s="1"/>
  <c r="BL436" i="9"/>
  <c r="EC436" i="9" s="1"/>
  <c r="X436" i="9"/>
  <c r="CO436" i="9" s="1"/>
  <c r="AI436" i="9"/>
  <c r="CZ436" i="9" s="1"/>
  <c r="W436" i="9"/>
  <c r="CN436" i="9" s="1"/>
  <c r="AK436" i="9"/>
  <c r="DB436" i="9" s="1"/>
  <c r="BI436" i="9"/>
  <c r="DZ436" i="9" s="1"/>
  <c r="AL436" i="9"/>
  <c r="DC436" i="9" s="1"/>
  <c r="BO436" i="9"/>
  <c r="EF436" i="9" s="1"/>
  <c r="BR436" i="9"/>
  <c r="EI436" i="9" s="1"/>
  <c r="AN436" i="9"/>
  <c r="DE436" i="9" s="1"/>
  <c r="BM436" i="9"/>
  <c r="ED436" i="9" s="1"/>
  <c r="AJ436" i="9"/>
  <c r="DA436" i="9" s="1"/>
  <c r="BH436" i="9"/>
  <c r="DY436" i="9" s="1"/>
  <c r="AR436" i="9"/>
  <c r="DI436" i="9" s="1"/>
  <c r="BN436" i="9"/>
  <c r="EE436" i="9" s="1"/>
  <c r="AE436" i="9"/>
  <c r="CV436" i="9" s="1"/>
  <c r="AT436" i="9"/>
  <c r="DK436" i="9" s="1"/>
  <c r="AZ436" i="9"/>
  <c r="DQ436" i="9" s="1"/>
  <c r="BE436" i="9"/>
  <c r="DV436" i="9" s="1"/>
  <c r="BA436" i="9"/>
  <c r="DR436" i="9" s="1"/>
  <c r="AC436" i="9"/>
  <c r="CT436" i="9" s="1"/>
  <c r="K436" i="9"/>
  <c r="N436" i="9"/>
  <c r="CE436" i="9" s="1"/>
  <c r="L436" i="9"/>
  <c r="CC436" i="9" s="1"/>
  <c r="S436" i="9"/>
  <c r="CJ436" i="9" s="1"/>
  <c r="P436" i="9"/>
  <c r="CG436" i="9" s="1"/>
  <c r="Q436" i="9"/>
  <c r="CH436" i="9" s="1"/>
  <c r="M436" i="9"/>
  <c r="CD436" i="9" s="1"/>
  <c r="R436" i="9"/>
  <c r="CI436" i="9" s="1"/>
  <c r="O436" i="9"/>
  <c r="CF436" i="9" s="1"/>
  <c r="T436" i="9"/>
  <c r="CK436" i="9" s="1"/>
  <c r="DT337" i="9"/>
  <c r="BC353" i="9"/>
  <c r="AY647" i="11" s="1"/>
  <c r="DX337" i="9"/>
  <c r="BG353" i="9"/>
  <c r="BC647" i="11" s="1"/>
  <c r="AD647" i="9"/>
  <c r="CU647" i="9" s="1"/>
  <c r="AH647" i="9"/>
  <c r="CY647" i="9" s="1"/>
  <c r="BO647" i="9"/>
  <c r="EF647" i="9" s="1"/>
  <c r="AC647" i="9"/>
  <c r="CT647" i="9" s="1"/>
  <c r="AY647" i="9"/>
  <c r="DP647" i="9" s="1"/>
  <c r="U647" i="9"/>
  <c r="CL647" i="9" s="1"/>
  <c r="BG647" i="9"/>
  <c r="DX647" i="9" s="1"/>
  <c r="BI647" i="9"/>
  <c r="DZ647" i="9" s="1"/>
  <c r="BB647" i="9"/>
  <c r="DS647" i="9" s="1"/>
  <c r="W647" i="9"/>
  <c r="CN647" i="9" s="1"/>
  <c r="AB647" i="9"/>
  <c r="CS647" i="9" s="1"/>
  <c r="AP647" i="9"/>
  <c r="DG647" i="9" s="1"/>
  <c r="BH647" i="9"/>
  <c r="DY647" i="9" s="1"/>
  <c r="AO647" i="9"/>
  <c r="DF647" i="9" s="1"/>
  <c r="AU647" i="9"/>
  <c r="DL647" i="9" s="1"/>
  <c r="AT647" i="9"/>
  <c r="DK647" i="9" s="1"/>
  <c r="AE647" i="9"/>
  <c r="CV647" i="9" s="1"/>
  <c r="AW647" i="9"/>
  <c r="DN647" i="9" s="1"/>
  <c r="BF647" i="9"/>
  <c r="DW647" i="9" s="1"/>
  <c r="BM647" i="9"/>
  <c r="ED647" i="9" s="1"/>
  <c r="AS647" i="9"/>
  <c r="DJ647" i="9" s="1"/>
  <c r="AZ647" i="9"/>
  <c r="DQ647" i="9" s="1"/>
  <c r="AX647" i="9"/>
  <c r="DO647" i="9" s="1"/>
  <c r="V647" i="9"/>
  <c r="CM647" i="9" s="1"/>
  <c r="BE647" i="9"/>
  <c r="DV647" i="9" s="1"/>
  <c r="BN647" i="9"/>
  <c r="EE647" i="9" s="1"/>
  <c r="X647" i="9"/>
  <c r="CO647" i="9" s="1"/>
  <c r="AQ647" i="9"/>
  <c r="DH647" i="9" s="1"/>
  <c r="BA647" i="9"/>
  <c r="DR647" i="9" s="1"/>
  <c r="AG647" i="9"/>
  <c r="CX647" i="9" s="1"/>
  <c r="BP647" i="9"/>
  <c r="EG647" i="9" s="1"/>
  <c r="Y647" i="9"/>
  <c r="CP647" i="9" s="1"/>
  <c r="BK647" i="9"/>
  <c r="EB647" i="9" s="1"/>
  <c r="AI647" i="9"/>
  <c r="CZ647" i="9" s="1"/>
  <c r="BL647" i="9"/>
  <c r="EC647" i="9" s="1"/>
  <c r="AF647" i="9"/>
  <c r="CW647" i="9" s="1"/>
  <c r="AA647" i="9"/>
  <c r="CR647" i="9" s="1"/>
  <c r="AJ647" i="9"/>
  <c r="DA647" i="9" s="1"/>
  <c r="BJ647" i="9"/>
  <c r="EA647" i="9" s="1"/>
  <c r="AR647" i="9"/>
  <c r="DI647" i="9" s="1"/>
  <c r="BQ647" i="9"/>
  <c r="EH647" i="9" s="1"/>
  <c r="BD647" i="9"/>
  <c r="DU647" i="9" s="1"/>
  <c r="AV647" i="9"/>
  <c r="DM647" i="9" s="1"/>
  <c r="BC647" i="9"/>
  <c r="DT647" i="9" s="1"/>
  <c r="BR647" i="9"/>
  <c r="EI647" i="9" s="1"/>
  <c r="AK647" i="9"/>
  <c r="DB647" i="9" s="1"/>
  <c r="AM647" i="9"/>
  <c r="DD647" i="9" s="1"/>
  <c r="AN647" i="9"/>
  <c r="DE647" i="9" s="1"/>
  <c r="Z647" i="9"/>
  <c r="CQ647" i="9" s="1"/>
  <c r="AL647" i="9"/>
  <c r="DC647" i="9" s="1"/>
  <c r="P647" i="9"/>
  <c r="CG647" i="9" s="1"/>
  <c r="T647" i="9"/>
  <c r="CK647" i="9" s="1"/>
  <c r="S647" i="9"/>
  <c r="CJ647" i="9" s="1"/>
  <c r="N647" i="9"/>
  <c r="CE647" i="9" s="1"/>
  <c r="Q647" i="9"/>
  <c r="CH647" i="9" s="1"/>
  <c r="M647" i="9"/>
  <c r="CD647" i="9" s="1"/>
  <c r="K647" i="9"/>
  <c r="O647" i="9"/>
  <c r="CF647" i="9" s="1"/>
  <c r="R647" i="9"/>
  <c r="CI647" i="9" s="1"/>
  <c r="L647" i="9"/>
  <c r="CC647" i="9" s="1"/>
  <c r="AM627" i="9"/>
  <c r="DD627" i="9" s="1"/>
  <c r="AC627" i="9"/>
  <c r="CT627" i="9" s="1"/>
  <c r="AR627" i="9"/>
  <c r="DI627" i="9" s="1"/>
  <c r="AK627" i="9"/>
  <c r="DB627" i="9" s="1"/>
  <c r="AA627" i="9"/>
  <c r="CR627" i="9" s="1"/>
  <c r="AZ627" i="9"/>
  <c r="DQ627" i="9" s="1"/>
  <c r="AF627" i="9"/>
  <c r="CW627" i="9" s="1"/>
  <c r="AL627" i="9"/>
  <c r="DC627" i="9" s="1"/>
  <c r="AO627" i="9"/>
  <c r="DF627" i="9" s="1"/>
  <c r="AP627" i="9"/>
  <c r="DG627" i="9" s="1"/>
  <c r="BH627" i="9"/>
  <c r="DY627" i="9" s="1"/>
  <c r="AJ627" i="9"/>
  <c r="DA627" i="9" s="1"/>
  <c r="AQ627" i="9"/>
  <c r="DH627" i="9" s="1"/>
  <c r="AN627" i="9"/>
  <c r="DE627" i="9" s="1"/>
  <c r="AE627" i="9"/>
  <c r="CV627" i="9" s="1"/>
  <c r="AB627" i="9"/>
  <c r="CS627" i="9" s="1"/>
  <c r="Z627" i="9"/>
  <c r="CQ627" i="9" s="1"/>
  <c r="W627" i="9"/>
  <c r="CN627" i="9" s="1"/>
  <c r="AG627" i="9"/>
  <c r="CX627" i="9" s="1"/>
  <c r="BF627" i="9"/>
  <c r="DW627" i="9" s="1"/>
  <c r="AH627" i="9"/>
  <c r="CY627" i="9" s="1"/>
  <c r="BP627" i="9"/>
  <c r="EG627" i="9" s="1"/>
  <c r="AX627" i="9"/>
  <c r="DO627" i="9" s="1"/>
  <c r="Y627" i="9"/>
  <c r="CP627" i="9" s="1"/>
  <c r="BR627" i="9"/>
  <c r="EI627" i="9" s="1"/>
  <c r="AW627" i="9"/>
  <c r="DN627" i="9" s="1"/>
  <c r="BC627" i="9"/>
  <c r="DT627" i="9" s="1"/>
  <c r="BK627" i="9"/>
  <c r="EB627" i="9" s="1"/>
  <c r="U627" i="9"/>
  <c r="CL627" i="9" s="1"/>
  <c r="BB627" i="9"/>
  <c r="DS627" i="9" s="1"/>
  <c r="BL627" i="9"/>
  <c r="EC627" i="9" s="1"/>
  <c r="BN627" i="9"/>
  <c r="EE627" i="9" s="1"/>
  <c r="AY627" i="9"/>
  <c r="DP627" i="9" s="1"/>
  <c r="BQ627" i="9"/>
  <c r="EH627" i="9" s="1"/>
  <c r="BA627" i="9"/>
  <c r="DR627" i="9" s="1"/>
  <c r="AS627" i="9"/>
  <c r="DJ627" i="9" s="1"/>
  <c r="BI627" i="9"/>
  <c r="DZ627" i="9" s="1"/>
  <c r="BE627" i="9"/>
  <c r="DV627" i="9" s="1"/>
  <c r="BO627" i="9"/>
  <c r="EF627" i="9" s="1"/>
  <c r="AI627" i="9"/>
  <c r="CZ627" i="9" s="1"/>
  <c r="AT627" i="9"/>
  <c r="DK627" i="9" s="1"/>
  <c r="BD627" i="9"/>
  <c r="DU627" i="9" s="1"/>
  <c r="V627" i="9"/>
  <c r="CM627" i="9" s="1"/>
  <c r="AD627" i="9"/>
  <c r="CU627" i="9" s="1"/>
  <c r="BJ627" i="9"/>
  <c r="EA627" i="9" s="1"/>
  <c r="BG627" i="9"/>
  <c r="DX627" i="9" s="1"/>
  <c r="BM627" i="9"/>
  <c r="ED627" i="9" s="1"/>
  <c r="AV627" i="9"/>
  <c r="DM627" i="9" s="1"/>
  <c r="X627" i="9"/>
  <c r="CO627" i="9" s="1"/>
  <c r="AU627" i="9"/>
  <c r="DL627" i="9" s="1"/>
  <c r="M627" i="9"/>
  <c r="CD627" i="9" s="1"/>
  <c r="Q627" i="9"/>
  <c r="CH627" i="9" s="1"/>
  <c r="O627" i="9"/>
  <c r="CF627" i="9" s="1"/>
  <c r="S627" i="9"/>
  <c r="CJ627" i="9" s="1"/>
  <c r="R627" i="9"/>
  <c r="CI627" i="9" s="1"/>
  <c r="N627" i="9"/>
  <c r="CE627" i="9" s="1"/>
  <c r="T627" i="9"/>
  <c r="CK627" i="9" s="1"/>
  <c r="K627" i="9"/>
  <c r="L627" i="9"/>
  <c r="CC627" i="9" s="1"/>
  <c r="P627" i="9"/>
  <c r="CG627" i="9" s="1"/>
  <c r="AX593" i="9"/>
  <c r="AT657" i="11" s="1"/>
  <c r="AO301" i="9"/>
  <c r="DF301" i="9" s="1"/>
  <c r="BQ301" i="9"/>
  <c r="EH301" i="9" s="1"/>
  <c r="AX301" i="9"/>
  <c r="DO301" i="9" s="1"/>
  <c r="U301" i="9"/>
  <c r="CL301" i="9" s="1"/>
  <c r="Z301" i="9"/>
  <c r="CQ301" i="9" s="1"/>
  <c r="BG301" i="9"/>
  <c r="DX301" i="9" s="1"/>
  <c r="BP301" i="9"/>
  <c r="EG301" i="9" s="1"/>
  <c r="AN301" i="9"/>
  <c r="DE301" i="9" s="1"/>
  <c r="AR301" i="9"/>
  <c r="DI301" i="9" s="1"/>
  <c r="AK301" i="9"/>
  <c r="DB301" i="9" s="1"/>
  <c r="BF301" i="9"/>
  <c r="DW301" i="9" s="1"/>
  <c r="BM301" i="9"/>
  <c r="ED301" i="9" s="1"/>
  <c r="AP301" i="9"/>
  <c r="DG301" i="9" s="1"/>
  <c r="BO301" i="9"/>
  <c r="EF301" i="9" s="1"/>
  <c r="AD301" i="9"/>
  <c r="CU301" i="9" s="1"/>
  <c r="AM301" i="9"/>
  <c r="DD301" i="9" s="1"/>
  <c r="BL301" i="9"/>
  <c r="EC301" i="9" s="1"/>
  <c r="AS301" i="9"/>
  <c r="DJ301" i="9" s="1"/>
  <c r="AJ301" i="9"/>
  <c r="DA301" i="9" s="1"/>
  <c r="AB301" i="9"/>
  <c r="CS301" i="9" s="1"/>
  <c r="V301" i="9"/>
  <c r="CM301" i="9" s="1"/>
  <c r="AH301" i="9"/>
  <c r="CY301" i="9" s="1"/>
  <c r="BJ301" i="9"/>
  <c r="EA301" i="9" s="1"/>
  <c r="AE301" i="9"/>
  <c r="CV301" i="9" s="1"/>
  <c r="W301" i="9"/>
  <c r="CN301" i="9" s="1"/>
  <c r="BH301" i="9"/>
  <c r="DY301" i="9" s="1"/>
  <c r="BE301" i="9"/>
  <c r="DV301" i="9" s="1"/>
  <c r="AQ301" i="9"/>
  <c r="DH301" i="9" s="1"/>
  <c r="AG301" i="9"/>
  <c r="CX301" i="9" s="1"/>
  <c r="BB301" i="9"/>
  <c r="DS301" i="9" s="1"/>
  <c r="AF301" i="9"/>
  <c r="CW301" i="9" s="1"/>
  <c r="Y301" i="9"/>
  <c r="CP301" i="9" s="1"/>
  <c r="BC301" i="9"/>
  <c r="DT301" i="9" s="1"/>
  <c r="BK301" i="9"/>
  <c r="EB301" i="9" s="1"/>
  <c r="AW301" i="9"/>
  <c r="DN301" i="9" s="1"/>
  <c r="BN301" i="9"/>
  <c r="EE301" i="9" s="1"/>
  <c r="AC301" i="9"/>
  <c r="CT301" i="9" s="1"/>
  <c r="BI301" i="9"/>
  <c r="DZ301" i="9" s="1"/>
  <c r="AA301" i="9"/>
  <c r="CR301" i="9" s="1"/>
  <c r="AI301" i="9"/>
  <c r="CZ301" i="9" s="1"/>
  <c r="AL301" i="9"/>
  <c r="DC301" i="9" s="1"/>
  <c r="AV301" i="9"/>
  <c r="DM301" i="9" s="1"/>
  <c r="AU301" i="9"/>
  <c r="DL301" i="9" s="1"/>
  <c r="AZ301" i="9"/>
  <c r="DQ301" i="9" s="1"/>
  <c r="BR301" i="9"/>
  <c r="EI301" i="9" s="1"/>
  <c r="AY301" i="9"/>
  <c r="DP301" i="9" s="1"/>
  <c r="BD301" i="9"/>
  <c r="DU301" i="9" s="1"/>
  <c r="BA301" i="9"/>
  <c r="DR301" i="9" s="1"/>
  <c r="AT301" i="9"/>
  <c r="DK301" i="9" s="1"/>
  <c r="X301" i="9"/>
  <c r="CO301" i="9" s="1"/>
  <c r="P301" i="9"/>
  <c r="CG301" i="9" s="1"/>
  <c r="M301" i="9"/>
  <c r="CD301" i="9" s="1"/>
  <c r="R301" i="9"/>
  <c r="CI301" i="9" s="1"/>
  <c r="Q301" i="9"/>
  <c r="CH301" i="9" s="1"/>
  <c r="K301" i="9"/>
  <c r="S301" i="9"/>
  <c r="CJ301" i="9" s="1"/>
  <c r="L301" i="9"/>
  <c r="CC301" i="9" s="1"/>
  <c r="T301" i="9"/>
  <c r="CK301" i="9" s="1"/>
  <c r="N301" i="9"/>
  <c r="CE301" i="9" s="1"/>
  <c r="O301" i="9"/>
  <c r="CF301" i="9" s="1"/>
  <c r="BK304" i="9"/>
  <c r="EB304" i="9" s="1"/>
  <c r="V304" i="9"/>
  <c r="CM304" i="9" s="1"/>
  <c r="BH304" i="9"/>
  <c r="DY304" i="9" s="1"/>
  <c r="AA304" i="9"/>
  <c r="CR304" i="9" s="1"/>
  <c r="BE304" i="9"/>
  <c r="DV304" i="9" s="1"/>
  <c r="BC304" i="9"/>
  <c r="DT304" i="9" s="1"/>
  <c r="BQ304" i="9"/>
  <c r="EH304" i="9" s="1"/>
  <c r="AR304" i="9"/>
  <c r="DI304" i="9" s="1"/>
  <c r="BN304" i="9"/>
  <c r="EE304" i="9" s="1"/>
  <c r="AW304" i="9"/>
  <c r="DN304" i="9" s="1"/>
  <c r="AM304" i="9"/>
  <c r="DD304" i="9" s="1"/>
  <c r="BI304" i="9"/>
  <c r="DZ304" i="9" s="1"/>
  <c r="AJ304" i="9"/>
  <c r="DA304" i="9" s="1"/>
  <c r="BF304" i="9"/>
  <c r="DW304" i="9" s="1"/>
  <c r="AO304" i="9"/>
  <c r="DF304" i="9" s="1"/>
  <c r="AE304" i="9"/>
  <c r="CV304" i="9" s="1"/>
  <c r="AS304" i="9"/>
  <c r="DJ304" i="9" s="1"/>
  <c r="AB304" i="9"/>
  <c r="CS304" i="9" s="1"/>
  <c r="AX304" i="9"/>
  <c r="DO304" i="9" s="1"/>
  <c r="AG304" i="9"/>
  <c r="CX304" i="9" s="1"/>
  <c r="W304" i="9"/>
  <c r="CN304" i="9" s="1"/>
  <c r="AK304" i="9"/>
  <c r="DB304" i="9" s="1"/>
  <c r="BO304" i="9"/>
  <c r="EF304" i="9" s="1"/>
  <c r="AP304" i="9"/>
  <c r="DG304" i="9" s="1"/>
  <c r="Y304" i="9"/>
  <c r="CP304" i="9" s="1"/>
  <c r="BJ304" i="9"/>
  <c r="EA304" i="9" s="1"/>
  <c r="AC304" i="9"/>
  <c r="CT304" i="9" s="1"/>
  <c r="BG304" i="9"/>
  <c r="DX304" i="9" s="1"/>
  <c r="AH304" i="9"/>
  <c r="CY304" i="9" s="1"/>
  <c r="AN304" i="9"/>
  <c r="DE304" i="9" s="1"/>
  <c r="BB304" i="9"/>
  <c r="DS304" i="9" s="1"/>
  <c r="U304" i="9"/>
  <c r="CL304" i="9" s="1"/>
  <c r="AQ304" i="9"/>
  <c r="DH304" i="9" s="1"/>
  <c r="Z304" i="9"/>
  <c r="CQ304" i="9" s="1"/>
  <c r="AF304" i="9"/>
  <c r="CW304" i="9" s="1"/>
  <c r="AD304" i="9"/>
  <c r="CU304" i="9" s="1"/>
  <c r="BP304" i="9"/>
  <c r="EG304" i="9" s="1"/>
  <c r="AI304" i="9"/>
  <c r="CZ304" i="9" s="1"/>
  <c r="BM304" i="9"/>
  <c r="ED304" i="9" s="1"/>
  <c r="BL304" i="9"/>
  <c r="EC304" i="9" s="1"/>
  <c r="X304" i="9"/>
  <c r="CO304" i="9" s="1"/>
  <c r="BR304" i="9"/>
  <c r="EI304" i="9" s="1"/>
  <c r="AL304" i="9"/>
  <c r="DC304" i="9" s="1"/>
  <c r="AV304" i="9"/>
  <c r="DM304" i="9" s="1"/>
  <c r="BD304" i="9"/>
  <c r="DU304" i="9" s="1"/>
  <c r="AT304" i="9"/>
  <c r="DK304" i="9" s="1"/>
  <c r="AU304" i="9"/>
  <c r="DL304" i="9" s="1"/>
  <c r="AY304" i="9"/>
  <c r="DP304" i="9" s="1"/>
  <c r="AZ304" i="9"/>
  <c r="DQ304" i="9" s="1"/>
  <c r="BA304" i="9"/>
  <c r="DR304" i="9" s="1"/>
  <c r="O304" i="9"/>
  <c r="CF304" i="9" s="1"/>
  <c r="P304" i="9"/>
  <c r="CG304" i="9" s="1"/>
  <c r="N304" i="9"/>
  <c r="CE304" i="9" s="1"/>
  <c r="K304" i="9"/>
  <c r="L304" i="9"/>
  <c r="CC304" i="9" s="1"/>
  <c r="M304" i="9"/>
  <c r="CD304" i="9" s="1"/>
  <c r="S304" i="9"/>
  <c r="CJ304" i="9" s="1"/>
  <c r="R304" i="9"/>
  <c r="CI304" i="9" s="1"/>
  <c r="T304" i="9"/>
  <c r="CK304" i="9" s="1"/>
  <c r="Q304" i="9"/>
  <c r="CH304" i="9" s="1"/>
  <c r="BG684" i="9"/>
  <c r="DX684" i="9" s="1"/>
  <c r="AH684" i="9"/>
  <c r="CY684" i="9" s="1"/>
  <c r="W684" i="9"/>
  <c r="CN684" i="9" s="1"/>
  <c r="AB684" i="9"/>
  <c r="CS684" i="9" s="1"/>
  <c r="AQ684" i="9"/>
  <c r="DH684" i="9" s="1"/>
  <c r="BM684" i="9"/>
  <c r="ED684" i="9" s="1"/>
  <c r="BK684" i="9"/>
  <c r="EB684" i="9" s="1"/>
  <c r="AU684" i="9"/>
  <c r="DL684" i="9" s="1"/>
  <c r="AI684" i="9"/>
  <c r="CZ684" i="9" s="1"/>
  <c r="AO684" i="9"/>
  <c r="DF684" i="9" s="1"/>
  <c r="V684" i="9"/>
  <c r="CM684" i="9" s="1"/>
  <c r="AD684" i="9"/>
  <c r="CU684" i="9" s="1"/>
  <c r="BQ684" i="9"/>
  <c r="EH684" i="9" s="1"/>
  <c r="AA684" i="9"/>
  <c r="CR684" i="9" s="1"/>
  <c r="BL684" i="9"/>
  <c r="EC684" i="9" s="1"/>
  <c r="BJ684" i="9"/>
  <c r="EA684" i="9" s="1"/>
  <c r="BI684" i="9"/>
  <c r="DZ684" i="9" s="1"/>
  <c r="BN684" i="9"/>
  <c r="EE684" i="9" s="1"/>
  <c r="BD684" i="9"/>
  <c r="DU684" i="9" s="1"/>
  <c r="BH684" i="9"/>
  <c r="DY684" i="9" s="1"/>
  <c r="BA684" i="9"/>
  <c r="DR684" i="9" s="1"/>
  <c r="BF684" i="9"/>
  <c r="DW684" i="9" s="1"/>
  <c r="AN684" i="9"/>
  <c r="DE684" i="9" s="1"/>
  <c r="AL684" i="9"/>
  <c r="DC684" i="9" s="1"/>
  <c r="AS684" i="9"/>
  <c r="DJ684" i="9" s="1"/>
  <c r="AX684" i="9"/>
  <c r="DO684" i="9" s="1"/>
  <c r="X684" i="9"/>
  <c r="CO684" i="9" s="1"/>
  <c r="BC684" i="9"/>
  <c r="DT684" i="9" s="1"/>
  <c r="BO684" i="9"/>
  <c r="EF684" i="9" s="1"/>
  <c r="AP684" i="9"/>
  <c r="DG684" i="9" s="1"/>
  <c r="AT684" i="9"/>
  <c r="DK684" i="9" s="1"/>
  <c r="BR684" i="9"/>
  <c r="EI684" i="9" s="1"/>
  <c r="AR684" i="9"/>
  <c r="DI684" i="9" s="1"/>
  <c r="AC684" i="9"/>
  <c r="CT684" i="9" s="1"/>
  <c r="BP684" i="9"/>
  <c r="EG684" i="9" s="1"/>
  <c r="U684" i="9"/>
  <c r="CL684" i="9" s="1"/>
  <c r="AJ684" i="9"/>
  <c r="DA684" i="9" s="1"/>
  <c r="AF684" i="9"/>
  <c r="CW684" i="9" s="1"/>
  <c r="AW684" i="9"/>
  <c r="DN684" i="9" s="1"/>
  <c r="AZ684" i="9"/>
  <c r="DQ684" i="9" s="1"/>
  <c r="AV684" i="9"/>
  <c r="DM684" i="9" s="1"/>
  <c r="BB684" i="9"/>
  <c r="DS684" i="9" s="1"/>
  <c r="AY684" i="9"/>
  <c r="DP684" i="9" s="1"/>
  <c r="AM684" i="9"/>
  <c r="DD684" i="9" s="1"/>
  <c r="AG684" i="9"/>
  <c r="CX684" i="9" s="1"/>
  <c r="AE684" i="9"/>
  <c r="CV684" i="9" s="1"/>
  <c r="Y684" i="9"/>
  <c r="CP684" i="9" s="1"/>
  <c r="AK684" i="9"/>
  <c r="DB684" i="9" s="1"/>
  <c r="Z684" i="9"/>
  <c r="CQ684" i="9" s="1"/>
  <c r="BE684" i="9"/>
  <c r="DV684" i="9" s="1"/>
  <c r="N684" i="9"/>
  <c r="CE684" i="9" s="1"/>
  <c r="O684" i="9"/>
  <c r="CF684" i="9" s="1"/>
  <c r="T684" i="9"/>
  <c r="CK684" i="9" s="1"/>
  <c r="Q684" i="9"/>
  <c r="CH684" i="9" s="1"/>
  <c r="L684" i="9"/>
  <c r="CC684" i="9" s="1"/>
  <c r="P684" i="9"/>
  <c r="CG684" i="9" s="1"/>
  <c r="M684" i="9"/>
  <c r="CD684" i="9" s="1"/>
  <c r="R684" i="9"/>
  <c r="CI684" i="9" s="1"/>
  <c r="S684" i="9"/>
  <c r="CJ684" i="9" s="1"/>
  <c r="AT353" i="9"/>
  <c r="AP647" i="11" s="1"/>
  <c r="BE503" i="9"/>
  <c r="DV503" i="9" s="1"/>
  <c r="AX503" i="9"/>
  <c r="DO503" i="9" s="1"/>
  <c r="BJ503" i="9"/>
  <c r="EA503" i="9" s="1"/>
  <c r="BF503" i="9"/>
  <c r="DW503" i="9" s="1"/>
  <c r="BD503" i="9"/>
  <c r="DU503" i="9" s="1"/>
  <c r="AQ503" i="9"/>
  <c r="DH503" i="9" s="1"/>
  <c r="AB503" i="9"/>
  <c r="CS503" i="9" s="1"/>
  <c r="BR503" i="9"/>
  <c r="EI503" i="9" s="1"/>
  <c r="U503" i="9"/>
  <c r="CL503" i="9" s="1"/>
  <c r="AN503" i="9"/>
  <c r="DE503" i="9" s="1"/>
  <c r="Y503" i="9"/>
  <c r="CP503" i="9" s="1"/>
  <c r="X503" i="9"/>
  <c r="CO503" i="9" s="1"/>
  <c r="AH503" i="9"/>
  <c r="CY503" i="9" s="1"/>
  <c r="BL503" i="9"/>
  <c r="EC503" i="9" s="1"/>
  <c r="BA503" i="9"/>
  <c r="DR503" i="9" s="1"/>
  <c r="BN503" i="9"/>
  <c r="EE503" i="9" s="1"/>
  <c r="AI503" i="9"/>
  <c r="CZ503" i="9" s="1"/>
  <c r="AG503" i="9"/>
  <c r="CX503" i="9" s="1"/>
  <c r="AV503" i="9"/>
  <c r="DM503" i="9" s="1"/>
  <c r="AO503" i="9"/>
  <c r="DF503" i="9" s="1"/>
  <c r="AR503" i="9"/>
  <c r="DI503" i="9" s="1"/>
  <c r="BC503" i="9"/>
  <c r="DT503" i="9" s="1"/>
  <c r="BG503" i="9"/>
  <c r="DX503" i="9" s="1"/>
  <c r="AY503" i="9"/>
  <c r="DP503" i="9" s="1"/>
  <c r="AE503" i="9"/>
  <c r="CV503" i="9" s="1"/>
  <c r="AD503" i="9"/>
  <c r="CU503" i="9" s="1"/>
  <c r="AW503" i="9"/>
  <c r="DN503" i="9" s="1"/>
  <c r="Z503" i="9"/>
  <c r="CQ503" i="9" s="1"/>
  <c r="AM503" i="9"/>
  <c r="DD503" i="9" s="1"/>
  <c r="BI503" i="9"/>
  <c r="DZ503" i="9" s="1"/>
  <c r="BH503" i="9"/>
  <c r="DY503" i="9" s="1"/>
  <c r="AC503" i="9"/>
  <c r="CT503" i="9" s="1"/>
  <c r="BQ503" i="9"/>
  <c r="EH503" i="9" s="1"/>
  <c r="AU503" i="9"/>
  <c r="DL503" i="9" s="1"/>
  <c r="BB503" i="9"/>
  <c r="DS503" i="9" s="1"/>
  <c r="AS503" i="9"/>
  <c r="DJ503" i="9" s="1"/>
  <c r="AK503" i="9"/>
  <c r="DB503" i="9" s="1"/>
  <c r="AZ503" i="9"/>
  <c r="DQ503" i="9" s="1"/>
  <c r="BP503" i="9"/>
  <c r="EG503" i="9" s="1"/>
  <c r="BO503" i="9"/>
  <c r="EF503" i="9" s="1"/>
  <c r="V503" i="9"/>
  <c r="CM503" i="9" s="1"/>
  <c r="AP503" i="9"/>
  <c r="DG503" i="9" s="1"/>
  <c r="W503" i="9"/>
  <c r="CN503" i="9" s="1"/>
  <c r="AT503" i="9"/>
  <c r="DK503" i="9" s="1"/>
  <c r="AA503" i="9"/>
  <c r="CR503" i="9" s="1"/>
  <c r="BK503" i="9"/>
  <c r="EB503" i="9" s="1"/>
  <c r="BM503" i="9"/>
  <c r="ED503" i="9" s="1"/>
  <c r="AF503" i="9"/>
  <c r="CW503" i="9" s="1"/>
  <c r="AL503" i="9"/>
  <c r="DC503" i="9" s="1"/>
  <c r="AJ503" i="9"/>
  <c r="DA503" i="9" s="1"/>
  <c r="R503" i="9"/>
  <c r="CI503" i="9" s="1"/>
  <c r="T503" i="9"/>
  <c r="CK503" i="9" s="1"/>
  <c r="S503" i="9"/>
  <c r="CJ503" i="9" s="1"/>
  <c r="K503" i="9"/>
  <c r="Q503" i="9"/>
  <c r="CH503" i="9" s="1"/>
  <c r="M503" i="9"/>
  <c r="CD503" i="9" s="1"/>
  <c r="O503" i="9"/>
  <c r="CF503" i="9" s="1"/>
  <c r="P503" i="9"/>
  <c r="CG503" i="9" s="1"/>
  <c r="N503" i="9"/>
  <c r="CE503" i="9" s="1"/>
  <c r="L503" i="9"/>
  <c r="CC503" i="9" s="1"/>
  <c r="BE519" i="9"/>
  <c r="DV519" i="9" s="1"/>
  <c r="AI519" i="9"/>
  <c r="CZ519" i="9" s="1"/>
  <c r="AU519" i="9"/>
  <c r="DL519" i="9" s="1"/>
  <c r="AK519" i="9"/>
  <c r="DB519" i="9" s="1"/>
  <c r="BI519" i="9"/>
  <c r="DZ519" i="9" s="1"/>
  <c r="AX519" i="9"/>
  <c r="DO519" i="9" s="1"/>
  <c r="AV519" i="9"/>
  <c r="DM519" i="9" s="1"/>
  <c r="Z519" i="9"/>
  <c r="CQ519" i="9" s="1"/>
  <c r="BG519" i="9"/>
  <c r="DX519" i="9" s="1"/>
  <c r="BJ519" i="9"/>
  <c r="EA519" i="9" s="1"/>
  <c r="AC519" i="9"/>
  <c r="CT519" i="9" s="1"/>
  <c r="BC519" i="9"/>
  <c r="DT519" i="9" s="1"/>
  <c r="BR519" i="9"/>
  <c r="EI519" i="9" s="1"/>
  <c r="BL519" i="9"/>
  <c r="EC519" i="9" s="1"/>
  <c r="BN519" i="9"/>
  <c r="EE519" i="9" s="1"/>
  <c r="BD519" i="9"/>
  <c r="DU519" i="9" s="1"/>
  <c r="AQ519" i="9"/>
  <c r="DH519" i="9" s="1"/>
  <c r="BB519" i="9"/>
  <c r="DS519" i="9" s="1"/>
  <c r="AF519" i="9"/>
  <c r="CW519" i="9" s="1"/>
  <c r="AZ519" i="9"/>
  <c r="DQ519" i="9" s="1"/>
  <c r="BH519" i="9"/>
  <c r="DY519" i="9" s="1"/>
  <c r="BP519" i="9"/>
  <c r="EG519" i="9" s="1"/>
  <c r="BF519" i="9"/>
  <c r="DW519" i="9" s="1"/>
  <c r="AM519" i="9"/>
  <c r="DD519" i="9" s="1"/>
  <c r="BO519" i="9"/>
  <c r="EF519" i="9" s="1"/>
  <c r="AR519" i="9"/>
  <c r="DI519" i="9" s="1"/>
  <c r="AE519" i="9"/>
  <c r="CV519" i="9" s="1"/>
  <c r="AN519" i="9"/>
  <c r="DE519" i="9" s="1"/>
  <c r="W519" i="9"/>
  <c r="CN519" i="9" s="1"/>
  <c r="U519" i="9"/>
  <c r="CL519" i="9" s="1"/>
  <c r="AT519" i="9"/>
  <c r="DK519" i="9" s="1"/>
  <c r="AB519" i="9"/>
  <c r="CS519" i="9" s="1"/>
  <c r="AW519" i="9"/>
  <c r="DN519" i="9" s="1"/>
  <c r="V519" i="9"/>
  <c r="CM519" i="9" s="1"/>
  <c r="BA519" i="9"/>
  <c r="DR519" i="9" s="1"/>
  <c r="AL519" i="9"/>
  <c r="DC519" i="9" s="1"/>
  <c r="AY519" i="9"/>
  <c r="DP519" i="9" s="1"/>
  <c r="BM519" i="9"/>
  <c r="ED519" i="9" s="1"/>
  <c r="AJ519" i="9"/>
  <c r="DA519" i="9" s="1"/>
  <c r="X519" i="9"/>
  <c r="CO519" i="9" s="1"/>
  <c r="Y519" i="9"/>
  <c r="CP519" i="9" s="1"/>
  <c r="BK519" i="9"/>
  <c r="EB519" i="9" s="1"/>
  <c r="AP519" i="9"/>
  <c r="DG519" i="9" s="1"/>
  <c r="AO519" i="9"/>
  <c r="DF519" i="9" s="1"/>
  <c r="AD519" i="9"/>
  <c r="CU519" i="9" s="1"/>
  <c r="AG519" i="9"/>
  <c r="CX519" i="9" s="1"/>
  <c r="AH519" i="9"/>
  <c r="CY519" i="9" s="1"/>
  <c r="BQ519" i="9"/>
  <c r="EH519" i="9" s="1"/>
  <c r="AS519" i="9"/>
  <c r="DJ519" i="9" s="1"/>
  <c r="AA519" i="9"/>
  <c r="CR519" i="9" s="1"/>
  <c r="P519" i="9"/>
  <c r="CG519" i="9" s="1"/>
  <c r="N519" i="9"/>
  <c r="CE519" i="9" s="1"/>
  <c r="R519" i="9"/>
  <c r="CI519" i="9" s="1"/>
  <c r="S519" i="9"/>
  <c r="CJ519" i="9" s="1"/>
  <c r="Q519" i="9"/>
  <c r="CH519" i="9" s="1"/>
  <c r="L519" i="9"/>
  <c r="CC519" i="9" s="1"/>
  <c r="M519" i="9"/>
  <c r="CD519" i="9" s="1"/>
  <c r="K519" i="9"/>
  <c r="O519" i="9"/>
  <c r="CF519" i="9" s="1"/>
  <c r="T519" i="9"/>
  <c r="CK519" i="9" s="1"/>
  <c r="AS670" i="9"/>
  <c r="DJ670" i="9" s="1"/>
  <c r="BI670" i="9"/>
  <c r="DZ670" i="9" s="1"/>
  <c r="AL670" i="9"/>
  <c r="DC670" i="9" s="1"/>
  <c r="X670" i="9"/>
  <c r="CO670" i="9" s="1"/>
  <c r="BR670" i="9"/>
  <c r="EI670" i="9" s="1"/>
  <c r="AO670" i="9"/>
  <c r="DF670" i="9" s="1"/>
  <c r="AQ670" i="9"/>
  <c r="DH670" i="9" s="1"/>
  <c r="AP670" i="9"/>
  <c r="DG670" i="9" s="1"/>
  <c r="BF670" i="9"/>
  <c r="DW670" i="9" s="1"/>
  <c r="AI670" i="9"/>
  <c r="CZ670" i="9" s="1"/>
  <c r="BN670" i="9"/>
  <c r="EE670" i="9" s="1"/>
  <c r="BM670" i="9"/>
  <c r="ED670" i="9" s="1"/>
  <c r="BD670" i="9"/>
  <c r="DU670" i="9" s="1"/>
  <c r="BC670" i="9"/>
  <c r="DT670" i="9" s="1"/>
  <c r="AH670" i="9"/>
  <c r="CY670" i="9" s="1"/>
  <c r="BG670" i="9"/>
  <c r="DX670" i="9" s="1"/>
  <c r="BH670" i="9"/>
  <c r="DY670" i="9" s="1"/>
  <c r="AB670" i="9"/>
  <c r="CS670" i="9" s="1"/>
  <c r="BQ670" i="9"/>
  <c r="EH670" i="9" s="1"/>
  <c r="AN670" i="9"/>
  <c r="DE670" i="9" s="1"/>
  <c r="V670" i="9"/>
  <c r="CM670" i="9" s="1"/>
  <c r="AA670" i="9"/>
  <c r="CR670" i="9" s="1"/>
  <c r="AT670" i="9"/>
  <c r="DK670" i="9" s="1"/>
  <c r="AX670" i="9"/>
  <c r="DO670" i="9" s="1"/>
  <c r="BL670" i="9"/>
  <c r="EC670" i="9" s="1"/>
  <c r="BA670" i="9"/>
  <c r="DR670" i="9" s="1"/>
  <c r="W670" i="9"/>
  <c r="CN670" i="9" s="1"/>
  <c r="BK670" i="9"/>
  <c r="EB670" i="9" s="1"/>
  <c r="AD670" i="9"/>
  <c r="CU670" i="9" s="1"/>
  <c r="BO670" i="9"/>
  <c r="EF670" i="9" s="1"/>
  <c r="BJ670" i="9"/>
  <c r="EA670" i="9" s="1"/>
  <c r="AU670" i="9"/>
  <c r="DL670" i="9" s="1"/>
  <c r="U670" i="9"/>
  <c r="CL670" i="9" s="1"/>
  <c r="AZ670" i="9"/>
  <c r="DQ670" i="9" s="1"/>
  <c r="Y670" i="9"/>
  <c r="CP670" i="9" s="1"/>
  <c r="BP670" i="9"/>
  <c r="EG670" i="9" s="1"/>
  <c r="AE670" i="9"/>
  <c r="CV670" i="9" s="1"/>
  <c r="BE670" i="9"/>
  <c r="DV670" i="9" s="1"/>
  <c r="AK670" i="9"/>
  <c r="DB670" i="9" s="1"/>
  <c r="AG670" i="9"/>
  <c r="CX670" i="9" s="1"/>
  <c r="AW670" i="9"/>
  <c r="DN670" i="9" s="1"/>
  <c r="AM670" i="9"/>
  <c r="DD670" i="9" s="1"/>
  <c r="AV670" i="9"/>
  <c r="DM670" i="9" s="1"/>
  <c r="BB670" i="9"/>
  <c r="DS670" i="9" s="1"/>
  <c r="AY670" i="9"/>
  <c r="DP670" i="9" s="1"/>
  <c r="AJ670" i="9"/>
  <c r="DA670" i="9" s="1"/>
  <c r="AR670" i="9"/>
  <c r="DI670" i="9" s="1"/>
  <c r="AC670" i="9"/>
  <c r="CT670" i="9" s="1"/>
  <c r="Z670" i="9"/>
  <c r="CQ670" i="9" s="1"/>
  <c r="AF670" i="9"/>
  <c r="CW670" i="9" s="1"/>
  <c r="T670" i="9"/>
  <c r="CK670" i="9" s="1"/>
  <c r="Q670" i="9"/>
  <c r="CH670" i="9" s="1"/>
  <c r="P670" i="9"/>
  <c r="CG670" i="9" s="1"/>
  <c r="O670" i="9"/>
  <c r="CF670" i="9" s="1"/>
  <c r="L670" i="9"/>
  <c r="CC670" i="9" s="1"/>
  <c r="S670" i="9"/>
  <c r="CJ670" i="9" s="1"/>
  <c r="R670" i="9"/>
  <c r="CI670" i="9" s="1"/>
  <c r="M670" i="9"/>
  <c r="CD670" i="9" s="1"/>
  <c r="N670" i="9"/>
  <c r="CE670" i="9" s="1"/>
  <c r="DA237" i="9"/>
  <c r="I305" i="9"/>
  <c r="BF285" i="9"/>
  <c r="AO285" i="9"/>
  <c r="AM285" i="9"/>
  <c r="BI285" i="9"/>
  <c r="AJ285" i="9"/>
  <c r="AX285" i="9"/>
  <c r="AG285" i="9"/>
  <c r="AE285" i="9"/>
  <c r="AS285" i="9"/>
  <c r="AB285" i="9"/>
  <c r="AP285" i="9"/>
  <c r="Y285" i="9"/>
  <c r="W285" i="9"/>
  <c r="AK285" i="9"/>
  <c r="BO285" i="9"/>
  <c r="AH285" i="9"/>
  <c r="BL285" i="9"/>
  <c r="BJ285" i="9"/>
  <c r="AC285" i="9"/>
  <c r="BG285" i="9"/>
  <c r="Z285" i="9"/>
  <c r="AN285" i="9"/>
  <c r="BB285" i="9"/>
  <c r="U285" i="9"/>
  <c r="AQ285" i="9"/>
  <c r="BM285" i="9"/>
  <c r="AF285" i="9"/>
  <c r="AD285" i="9"/>
  <c r="BP285" i="9"/>
  <c r="AI285" i="9"/>
  <c r="BE285" i="9"/>
  <c r="BK285" i="9"/>
  <c r="V285" i="9"/>
  <c r="BH285" i="9"/>
  <c r="AA285" i="9"/>
  <c r="BN285" i="9"/>
  <c r="AW285" i="9"/>
  <c r="BC285" i="9"/>
  <c r="BQ285" i="9"/>
  <c r="AR285" i="9"/>
  <c r="AT285" i="9"/>
  <c r="AY285" i="9"/>
  <c r="AZ285" i="9"/>
  <c r="BA285" i="9"/>
  <c r="X285" i="9"/>
  <c r="AL285" i="9"/>
  <c r="AU285" i="9"/>
  <c r="BR285" i="9"/>
  <c r="BD285" i="9"/>
  <c r="AV285" i="9"/>
  <c r="S285" i="9"/>
  <c r="K285" i="9"/>
  <c r="O285" i="9"/>
  <c r="T285" i="9"/>
  <c r="N285" i="9"/>
  <c r="L285" i="9"/>
  <c r="R285" i="9"/>
  <c r="M285" i="9"/>
  <c r="Q285" i="9"/>
  <c r="P285" i="9"/>
  <c r="BJ289" i="9"/>
  <c r="EA289" i="9" s="1"/>
  <c r="AC289" i="9"/>
  <c r="CT289" i="9" s="1"/>
  <c r="BB289" i="9"/>
  <c r="DS289" i="9" s="1"/>
  <c r="U289" i="9"/>
  <c r="CL289" i="9" s="1"/>
  <c r="AQ289" i="9"/>
  <c r="DH289" i="9" s="1"/>
  <c r="Z289" i="9"/>
  <c r="CQ289" i="9" s="1"/>
  <c r="AN289" i="9"/>
  <c r="DE289" i="9" s="1"/>
  <c r="AD289" i="9"/>
  <c r="CU289" i="9" s="1"/>
  <c r="BP289" i="9"/>
  <c r="EG289" i="9" s="1"/>
  <c r="AI289" i="9"/>
  <c r="CZ289" i="9" s="1"/>
  <c r="BM289" i="9"/>
  <c r="ED289" i="9" s="1"/>
  <c r="AF289" i="9"/>
  <c r="CW289" i="9" s="1"/>
  <c r="BQ289" i="9"/>
  <c r="EH289" i="9" s="1"/>
  <c r="AR289" i="9"/>
  <c r="DI289" i="9" s="1"/>
  <c r="BI289" i="9"/>
  <c r="DZ289" i="9" s="1"/>
  <c r="AJ289" i="9"/>
  <c r="DA289" i="9" s="1"/>
  <c r="BF289" i="9"/>
  <c r="DW289" i="9" s="1"/>
  <c r="AO289" i="9"/>
  <c r="DF289" i="9" s="1"/>
  <c r="BC289" i="9"/>
  <c r="DT289" i="9" s="1"/>
  <c r="AS289" i="9"/>
  <c r="DJ289" i="9" s="1"/>
  <c r="AB289" i="9"/>
  <c r="CS289" i="9" s="1"/>
  <c r="AX289" i="9"/>
  <c r="DO289" i="9" s="1"/>
  <c r="AG289" i="9"/>
  <c r="CX289" i="9" s="1"/>
  <c r="AM289" i="9"/>
  <c r="DD289" i="9" s="1"/>
  <c r="AP289" i="9"/>
  <c r="DG289" i="9" s="1"/>
  <c r="AE289" i="9"/>
  <c r="CV289" i="9" s="1"/>
  <c r="V289" i="9"/>
  <c r="CM289" i="9" s="1"/>
  <c r="AH289" i="9"/>
  <c r="CY289" i="9" s="1"/>
  <c r="AK289" i="9"/>
  <c r="DB289" i="9" s="1"/>
  <c r="BE289" i="9"/>
  <c r="DV289" i="9" s="1"/>
  <c r="BH289" i="9"/>
  <c r="DY289" i="9" s="1"/>
  <c r="AW289" i="9"/>
  <c r="DN289" i="9" s="1"/>
  <c r="BO289" i="9"/>
  <c r="EF289" i="9" s="1"/>
  <c r="Y289" i="9"/>
  <c r="CP289" i="9" s="1"/>
  <c r="BG289" i="9"/>
  <c r="DX289" i="9" s="1"/>
  <c r="BL289" i="9"/>
  <c r="EC289" i="9" s="1"/>
  <c r="AA289" i="9"/>
  <c r="CR289" i="9" s="1"/>
  <c r="W289" i="9"/>
  <c r="CN289" i="9" s="1"/>
  <c r="BN289" i="9"/>
  <c r="EE289" i="9" s="1"/>
  <c r="BK289" i="9"/>
  <c r="EB289" i="9" s="1"/>
  <c r="X289" i="9"/>
  <c r="CO289" i="9" s="1"/>
  <c r="AY289" i="9"/>
  <c r="DP289" i="9" s="1"/>
  <c r="AZ289" i="9"/>
  <c r="DQ289" i="9" s="1"/>
  <c r="AU289" i="9"/>
  <c r="DL289" i="9" s="1"/>
  <c r="BD289" i="9"/>
  <c r="DU289" i="9" s="1"/>
  <c r="AL289" i="9"/>
  <c r="DC289" i="9" s="1"/>
  <c r="AT289" i="9"/>
  <c r="DK289" i="9" s="1"/>
  <c r="BR289" i="9"/>
  <c r="EI289" i="9" s="1"/>
  <c r="AV289" i="9"/>
  <c r="DM289" i="9" s="1"/>
  <c r="BA289" i="9"/>
  <c r="DR289" i="9" s="1"/>
  <c r="M289" i="9"/>
  <c r="CD289" i="9" s="1"/>
  <c r="Q289" i="9"/>
  <c r="CH289" i="9" s="1"/>
  <c r="R289" i="9"/>
  <c r="CI289" i="9" s="1"/>
  <c r="O289" i="9"/>
  <c r="CF289" i="9" s="1"/>
  <c r="K289" i="9"/>
  <c r="N289" i="9"/>
  <c r="CE289" i="9" s="1"/>
  <c r="T289" i="9"/>
  <c r="CK289" i="9" s="1"/>
  <c r="S289" i="9"/>
  <c r="CJ289" i="9" s="1"/>
  <c r="L289" i="9"/>
  <c r="CC289" i="9" s="1"/>
  <c r="P289" i="9"/>
  <c r="CG289" i="9" s="1"/>
  <c r="EE477" i="9"/>
  <c r="DR477" i="9"/>
  <c r="DI477" i="9"/>
  <c r="CT477" i="9"/>
  <c r="DL477" i="9"/>
  <c r="CN477" i="9"/>
  <c r="I449" i="9"/>
  <c r="X535" i="9"/>
  <c r="CO535" i="9" s="1"/>
  <c r="BK535" i="9"/>
  <c r="EB535" i="9" s="1"/>
  <c r="BO535" i="9"/>
  <c r="EF535" i="9" s="1"/>
  <c r="BR535" i="9"/>
  <c r="EI535" i="9" s="1"/>
  <c r="BB535" i="9"/>
  <c r="DS535" i="9" s="1"/>
  <c r="BQ535" i="9"/>
  <c r="EH535" i="9" s="1"/>
  <c r="BC535" i="9"/>
  <c r="DT535" i="9" s="1"/>
  <c r="AH535" i="9"/>
  <c r="CY535" i="9" s="1"/>
  <c r="AM535" i="9"/>
  <c r="DD535" i="9" s="1"/>
  <c r="V535" i="9"/>
  <c r="CM535" i="9" s="1"/>
  <c r="AE535" i="9"/>
  <c r="CV535" i="9" s="1"/>
  <c r="AS535" i="9"/>
  <c r="DJ535" i="9" s="1"/>
  <c r="U535" i="9"/>
  <c r="CL535" i="9" s="1"/>
  <c r="AL535" i="9"/>
  <c r="DC535" i="9" s="1"/>
  <c r="AC535" i="9"/>
  <c r="CT535" i="9" s="1"/>
  <c r="AF535" i="9"/>
  <c r="CW535" i="9" s="1"/>
  <c r="AJ535" i="9"/>
  <c r="DA535" i="9" s="1"/>
  <c r="AK535" i="9"/>
  <c r="DB535" i="9" s="1"/>
  <c r="AZ535" i="9"/>
  <c r="DQ535" i="9" s="1"/>
  <c r="BH535" i="9"/>
  <c r="DY535" i="9" s="1"/>
  <c r="AR535" i="9"/>
  <c r="DI535" i="9" s="1"/>
  <c r="Z535" i="9"/>
  <c r="CQ535" i="9" s="1"/>
  <c r="BL535" i="9"/>
  <c r="EC535" i="9" s="1"/>
  <c r="AX535" i="9"/>
  <c r="DO535" i="9" s="1"/>
  <c r="BM535" i="9"/>
  <c r="ED535" i="9" s="1"/>
  <c r="BN535" i="9"/>
  <c r="EE535" i="9" s="1"/>
  <c r="AU535" i="9"/>
  <c r="DL535" i="9" s="1"/>
  <c r="AN535" i="9"/>
  <c r="DE535" i="9" s="1"/>
  <c r="BP535" i="9"/>
  <c r="EG535" i="9" s="1"/>
  <c r="BG535" i="9"/>
  <c r="DX535" i="9" s="1"/>
  <c r="BE535" i="9"/>
  <c r="DV535" i="9" s="1"/>
  <c r="BD535" i="9"/>
  <c r="DU535" i="9" s="1"/>
  <c r="BI535" i="9"/>
  <c r="DZ535" i="9" s="1"/>
  <c r="AQ535" i="9"/>
  <c r="DH535" i="9" s="1"/>
  <c r="BA535" i="9"/>
  <c r="DR535" i="9" s="1"/>
  <c r="AG535" i="9"/>
  <c r="CX535" i="9" s="1"/>
  <c r="AO535" i="9"/>
  <c r="DF535" i="9" s="1"/>
  <c r="AV535" i="9"/>
  <c r="DM535" i="9" s="1"/>
  <c r="AP535" i="9"/>
  <c r="DG535" i="9" s="1"/>
  <c r="AY535" i="9"/>
  <c r="DP535" i="9" s="1"/>
  <c r="Y535" i="9"/>
  <c r="CP535" i="9" s="1"/>
  <c r="AD535" i="9"/>
  <c r="CU535" i="9" s="1"/>
  <c r="BJ535" i="9"/>
  <c r="EA535" i="9" s="1"/>
  <c r="W535" i="9"/>
  <c r="CN535" i="9" s="1"/>
  <c r="BF535" i="9"/>
  <c r="DW535" i="9" s="1"/>
  <c r="AT535" i="9"/>
  <c r="DK535" i="9" s="1"/>
  <c r="AW535" i="9"/>
  <c r="DN535" i="9" s="1"/>
  <c r="AB535" i="9"/>
  <c r="CS535" i="9" s="1"/>
  <c r="AI535" i="9"/>
  <c r="CZ535" i="9" s="1"/>
  <c r="AA535" i="9"/>
  <c r="CR535" i="9" s="1"/>
  <c r="N535" i="9"/>
  <c r="CE535" i="9" s="1"/>
  <c r="O535" i="9"/>
  <c r="CF535" i="9" s="1"/>
  <c r="S535" i="9"/>
  <c r="CJ535" i="9" s="1"/>
  <c r="Q535" i="9"/>
  <c r="CH535" i="9" s="1"/>
  <c r="K535" i="9"/>
  <c r="P535" i="9"/>
  <c r="CG535" i="9" s="1"/>
  <c r="T535" i="9"/>
  <c r="CK535" i="9" s="1"/>
  <c r="M535" i="9"/>
  <c r="CD535" i="9" s="1"/>
  <c r="L535" i="9"/>
  <c r="CC535" i="9" s="1"/>
  <c r="R535" i="9"/>
  <c r="CI535" i="9" s="1"/>
  <c r="AP543" i="9"/>
  <c r="DG543" i="9" s="1"/>
  <c r="BD543" i="9"/>
  <c r="DU543" i="9" s="1"/>
  <c r="AM543" i="9"/>
  <c r="DD543" i="9" s="1"/>
  <c r="AQ543" i="9"/>
  <c r="DH543" i="9" s="1"/>
  <c r="U543" i="9"/>
  <c r="CL543" i="9" s="1"/>
  <c r="AH543" i="9"/>
  <c r="CY543" i="9" s="1"/>
  <c r="AV543" i="9"/>
  <c r="DM543" i="9" s="1"/>
  <c r="AE543" i="9"/>
  <c r="CV543" i="9" s="1"/>
  <c r="BH543" i="9"/>
  <c r="DY543" i="9" s="1"/>
  <c r="BP543" i="9"/>
  <c r="EG543" i="9" s="1"/>
  <c r="Z543" i="9"/>
  <c r="CQ543" i="9" s="1"/>
  <c r="AN543" i="9"/>
  <c r="DE543" i="9" s="1"/>
  <c r="BR543" i="9"/>
  <c r="EI543" i="9" s="1"/>
  <c r="AK543" i="9"/>
  <c r="DB543" i="9" s="1"/>
  <c r="BO543" i="9"/>
  <c r="EF543" i="9" s="1"/>
  <c r="BM543" i="9"/>
  <c r="ED543" i="9" s="1"/>
  <c r="AF543" i="9"/>
  <c r="CW543" i="9" s="1"/>
  <c r="BB543" i="9"/>
  <c r="DS543" i="9" s="1"/>
  <c r="BG543" i="9"/>
  <c r="DX543" i="9" s="1"/>
  <c r="AZ543" i="9"/>
  <c r="DQ543" i="9" s="1"/>
  <c r="BE543" i="9"/>
  <c r="DV543" i="9" s="1"/>
  <c r="X543" i="9"/>
  <c r="CO543" i="9" s="1"/>
  <c r="AL543" i="9"/>
  <c r="DC543" i="9" s="1"/>
  <c r="AJ543" i="9"/>
  <c r="DA543" i="9" s="1"/>
  <c r="AS543" i="9"/>
  <c r="DJ543" i="9" s="1"/>
  <c r="AG543" i="9"/>
  <c r="CX543" i="9" s="1"/>
  <c r="BK543" i="9"/>
  <c r="EB543" i="9" s="1"/>
  <c r="AD543" i="9"/>
  <c r="CU543" i="9" s="1"/>
  <c r="BA543" i="9"/>
  <c r="DR543" i="9" s="1"/>
  <c r="AR543" i="9"/>
  <c r="DI543" i="9" s="1"/>
  <c r="BN543" i="9"/>
  <c r="EE543" i="9" s="1"/>
  <c r="Y543" i="9"/>
  <c r="CP543" i="9" s="1"/>
  <c r="BC543" i="9"/>
  <c r="DT543" i="9" s="1"/>
  <c r="V543" i="9"/>
  <c r="CM543" i="9" s="1"/>
  <c r="BQ543" i="9"/>
  <c r="EH543" i="9" s="1"/>
  <c r="AC543" i="9"/>
  <c r="CT543" i="9" s="1"/>
  <c r="AX543" i="9"/>
  <c r="DO543" i="9" s="1"/>
  <c r="BL543" i="9"/>
  <c r="EC543" i="9" s="1"/>
  <c r="AU543" i="9"/>
  <c r="DL543" i="9" s="1"/>
  <c r="BI543" i="9"/>
  <c r="DZ543" i="9" s="1"/>
  <c r="AY543" i="9"/>
  <c r="DP543" i="9" s="1"/>
  <c r="AT543" i="9"/>
  <c r="DK543" i="9" s="1"/>
  <c r="AO543" i="9"/>
  <c r="DF543" i="9" s="1"/>
  <c r="AI543" i="9"/>
  <c r="CZ543" i="9" s="1"/>
  <c r="W543" i="9"/>
  <c r="CN543" i="9" s="1"/>
  <c r="AA543" i="9"/>
  <c r="CR543" i="9" s="1"/>
  <c r="BF543" i="9"/>
  <c r="DW543" i="9" s="1"/>
  <c r="AW543" i="9"/>
  <c r="DN543" i="9" s="1"/>
  <c r="BJ543" i="9"/>
  <c r="EA543" i="9" s="1"/>
  <c r="AB543" i="9"/>
  <c r="CS543" i="9" s="1"/>
  <c r="R543" i="9"/>
  <c r="CI543" i="9" s="1"/>
  <c r="L543" i="9"/>
  <c r="CC543" i="9" s="1"/>
  <c r="N543" i="9"/>
  <c r="CE543" i="9" s="1"/>
  <c r="Q543" i="9"/>
  <c r="CH543" i="9" s="1"/>
  <c r="S543" i="9"/>
  <c r="CJ543" i="9" s="1"/>
  <c r="P543" i="9"/>
  <c r="CG543" i="9" s="1"/>
  <c r="M543" i="9"/>
  <c r="CD543" i="9" s="1"/>
  <c r="K543" i="9"/>
  <c r="O543" i="9"/>
  <c r="CF543" i="9" s="1"/>
  <c r="T543" i="9"/>
  <c r="CK543" i="9" s="1"/>
  <c r="BK526" i="9"/>
  <c r="EB526" i="9" s="1"/>
  <c r="BR526" i="9"/>
  <c r="EI526" i="9" s="1"/>
  <c r="AC526" i="9"/>
  <c r="CT526" i="9" s="1"/>
  <c r="BO526" i="9"/>
  <c r="EF526" i="9" s="1"/>
  <c r="AX526" i="9"/>
  <c r="DO526" i="9" s="1"/>
  <c r="BD526" i="9"/>
  <c r="DU526" i="9" s="1"/>
  <c r="U526" i="9"/>
  <c r="CL526" i="9" s="1"/>
  <c r="BA526" i="9"/>
  <c r="DR526" i="9" s="1"/>
  <c r="AM526" i="9"/>
  <c r="DD526" i="9" s="1"/>
  <c r="AJ526" i="9"/>
  <c r="DA526" i="9" s="1"/>
  <c r="BM526" i="9"/>
  <c r="ED526" i="9" s="1"/>
  <c r="AU526" i="9"/>
  <c r="DL526" i="9" s="1"/>
  <c r="BL526" i="9"/>
  <c r="EC526" i="9" s="1"/>
  <c r="BE526" i="9"/>
  <c r="DV526" i="9" s="1"/>
  <c r="BQ526" i="9"/>
  <c r="EH526" i="9" s="1"/>
  <c r="AO526" i="9"/>
  <c r="DF526" i="9" s="1"/>
  <c r="BC526" i="9"/>
  <c r="DT526" i="9" s="1"/>
  <c r="BP526" i="9"/>
  <c r="EG526" i="9" s="1"/>
  <c r="Z526" i="9"/>
  <c r="CQ526" i="9" s="1"/>
  <c r="AV526" i="9"/>
  <c r="DM526" i="9" s="1"/>
  <c r="AF526" i="9"/>
  <c r="CW526" i="9" s="1"/>
  <c r="V526" i="9"/>
  <c r="CM526" i="9" s="1"/>
  <c r="AS526" i="9"/>
  <c r="DJ526" i="9" s="1"/>
  <c r="AN526" i="9"/>
  <c r="DE526" i="9" s="1"/>
  <c r="Y526" i="9"/>
  <c r="CP526" i="9" s="1"/>
  <c r="AL526" i="9"/>
  <c r="DC526" i="9" s="1"/>
  <c r="AH526" i="9"/>
  <c r="CY526" i="9" s="1"/>
  <c r="X526" i="9"/>
  <c r="CO526" i="9" s="1"/>
  <c r="AZ526" i="9"/>
  <c r="DQ526" i="9" s="1"/>
  <c r="AP526" i="9"/>
  <c r="DG526" i="9" s="1"/>
  <c r="BI526" i="9"/>
  <c r="DZ526" i="9" s="1"/>
  <c r="AR526" i="9"/>
  <c r="DI526" i="9" s="1"/>
  <c r="BB526" i="9"/>
  <c r="DS526" i="9" s="1"/>
  <c r="AK526" i="9"/>
  <c r="DB526" i="9" s="1"/>
  <c r="AQ526" i="9"/>
  <c r="DH526" i="9" s="1"/>
  <c r="AD526" i="9"/>
  <c r="CU526" i="9" s="1"/>
  <c r="BG526" i="9"/>
  <c r="DX526" i="9" s="1"/>
  <c r="AE526" i="9"/>
  <c r="CV526" i="9" s="1"/>
  <c r="BH526" i="9"/>
  <c r="DY526" i="9" s="1"/>
  <c r="AG526" i="9"/>
  <c r="CX526" i="9" s="1"/>
  <c r="BN526" i="9"/>
  <c r="EE526" i="9" s="1"/>
  <c r="AY526" i="9"/>
  <c r="DP526" i="9" s="1"/>
  <c r="AB526" i="9"/>
  <c r="CS526" i="9" s="1"/>
  <c r="AW526" i="9"/>
  <c r="DN526" i="9" s="1"/>
  <c r="BF526" i="9"/>
  <c r="DW526" i="9" s="1"/>
  <c r="W526" i="9"/>
  <c r="CN526" i="9" s="1"/>
  <c r="AI526" i="9"/>
  <c r="CZ526" i="9" s="1"/>
  <c r="AA526" i="9"/>
  <c r="CR526" i="9" s="1"/>
  <c r="AT526" i="9"/>
  <c r="DK526" i="9" s="1"/>
  <c r="BJ526" i="9"/>
  <c r="EA526" i="9" s="1"/>
  <c r="N526" i="9"/>
  <c r="CE526" i="9" s="1"/>
  <c r="K526" i="9"/>
  <c r="M526" i="9"/>
  <c r="CD526" i="9" s="1"/>
  <c r="S526" i="9"/>
  <c r="CJ526" i="9" s="1"/>
  <c r="Q526" i="9"/>
  <c r="CH526" i="9" s="1"/>
  <c r="R526" i="9"/>
  <c r="CI526" i="9" s="1"/>
  <c r="L526" i="9"/>
  <c r="CC526" i="9" s="1"/>
  <c r="T526" i="9"/>
  <c r="CK526" i="9" s="1"/>
  <c r="P526" i="9"/>
  <c r="CG526" i="9" s="1"/>
  <c r="O526" i="9"/>
  <c r="CF526" i="9" s="1"/>
  <c r="U1397" i="6"/>
  <c r="BU673" i="9"/>
  <c r="M518" i="6" s="1"/>
  <c r="BT673" i="9"/>
  <c r="L518" i="6" s="1"/>
  <c r="CB598" i="9"/>
  <c r="BT598" i="9"/>
  <c r="L449" i="6" s="1"/>
  <c r="BU598" i="9"/>
  <c r="M449" i="6" s="1"/>
  <c r="AO214" i="9"/>
  <c r="DF214" i="9" s="1"/>
  <c r="AM214" i="9"/>
  <c r="DD214" i="9" s="1"/>
  <c r="AK214" i="9"/>
  <c r="DB214" i="9" s="1"/>
  <c r="AL231" i="9"/>
  <c r="DC231" i="9" s="1"/>
  <c r="AJ215" i="9"/>
  <c r="DA215" i="9" s="1"/>
  <c r="AQ215" i="9"/>
  <c r="DH215" i="9" s="1"/>
  <c r="CB383" i="9"/>
  <c r="AR214" i="9"/>
  <c r="DI214" i="9" s="1"/>
  <c r="AN214" i="9"/>
  <c r="DE214" i="9" s="1"/>
  <c r="AS214" i="9"/>
  <c r="DJ214" i="9" s="1"/>
  <c r="AJ214" i="9"/>
  <c r="DA214" i="9" s="1"/>
  <c r="AL214" i="9"/>
  <c r="DC214" i="9" s="1"/>
  <c r="AP214" i="9"/>
  <c r="DG214" i="9" s="1"/>
  <c r="AI214" i="9"/>
  <c r="CZ214" i="9" s="1"/>
  <c r="CB568" i="9"/>
  <c r="BT568" i="9"/>
  <c r="L423" i="6" s="1"/>
  <c r="BU568" i="9"/>
  <c r="M423" i="6" s="1"/>
  <c r="AP213" i="9"/>
  <c r="DG213" i="9" s="1"/>
  <c r="AS213" i="9"/>
  <c r="DJ213" i="9" s="1"/>
  <c r="CB424" i="9"/>
  <c r="BT424" i="9"/>
  <c r="L291" i="6" s="1"/>
  <c r="BU424" i="9"/>
  <c r="M291" i="6" s="1"/>
  <c r="CB414" i="9"/>
  <c r="BU414" i="9"/>
  <c r="M281" i="6" s="1"/>
  <c r="BT414" i="9"/>
  <c r="L281" i="6" s="1"/>
  <c r="CB422" i="9"/>
  <c r="BU422" i="9"/>
  <c r="M289" i="6" s="1"/>
  <c r="BT422" i="9"/>
  <c r="L289" i="6" s="1"/>
  <c r="CB417" i="9"/>
  <c r="BT417" i="9"/>
  <c r="L284" i="6" s="1"/>
  <c r="BU417" i="9"/>
  <c r="M284" i="6" s="1"/>
  <c r="BT407" i="9"/>
  <c r="L274" i="6" s="1"/>
  <c r="CB407" i="9"/>
  <c r="BU407" i="9"/>
  <c r="M274" i="6" s="1"/>
  <c r="CB420" i="9"/>
  <c r="BU420" i="9"/>
  <c r="M287" i="6" s="1"/>
  <c r="BT420" i="9"/>
  <c r="L287" i="6" s="1"/>
  <c r="CB386" i="9"/>
  <c r="BU386" i="9"/>
  <c r="M255" i="6" s="1"/>
  <c r="BT386" i="9"/>
  <c r="L255" i="6" s="1"/>
  <c r="CB418" i="9"/>
  <c r="BU418" i="9"/>
  <c r="M285" i="6" s="1"/>
  <c r="BT418" i="9"/>
  <c r="L285" i="6" s="1"/>
  <c r="CB408" i="9"/>
  <c r="BU408" i="9"/>
  <c r="M275" i="6" s="1"/>
  <c r="BT408" i="9"/>
  <c r="L275" i="6" s="1"/>
  <c r="BT411" i="9"/>
  <c r="L278" i="6" s="1"/>
  <c r="CB411" i="9"/>
  <c r="BU411" i="9"/>
  <c r="M278" i="6" s="1"/>
  <c r="CB400" i="9"/>
  <c r="CB409" i="9"/>
  <c r="BU409" i="9"/>
  <c r="M276" i="6" s="1"/>
  <c r="BT409" i="9"/>
  <c r="L276" i="6" s="1"/>
  <c r="CB421" i="9"/>
  <c r="BU421" i="9"/>
  <c r="M288" i="6" s="1"/>
  <c r="BT421" i="9"/>
  <c r="L288" i="6" s="1"/>
  <c r="BU415" i="9"/>
  <c r="M282" i="6" s="1"/>
  <c r="BT415" i="9"/>
  <c r="L282" i="6" s="1"/>
  <c r="CB415" i="9"/>
  <c r="CB384" i="9"/>
  <c r="CB416" i="9"/>
  <c r="BT416" i="9"/>
  <c r="L283" i="6" s="1"/>
  <c r="BU416" i="9"/>
  <c r="M283" i="6" s="1"/>
  <c r="BT413" i="9"/>
  <c r="L280" i="6" s="1"/>
  <c r="CB413" i="9"/>
  <c r="BU413" i="9"/>
  <c r="M280" i="6" s="1"/>
  <c r="CB391" i="9"/>
  <c r="CB396" i="9"/>
  <c r="CB405" i="9"/>
  <c r="BU405" i="9"/>
  <c r="M272" i="6" s="1"/>
  <c r="K425" i="9"/>
  <c r="BT405" i="9"/>
  <c r="BU410" i="9"/>
  <c r="M277" i="6" s="1"/>
  <c r="CB410" i="9"/>
  <c r="BT410" i="9"/>
  <c r="L277" i="6" s="1"/>
  <c r="CB381" i="9"/>
  <c r="BT406" i="9"/>
  <c r="L273" i="6" s="1"/>
  <c r="CB406" i="9"/>
  <c r="BU406" i="9"/>
  <c r="M273" i="6" s="1"/>
  <c r="CB423" i="9"/>
  <c r="BT423" i="9"/>
  <c r="L290" i="6" s="1"/>
  <c r="BU423" i="9"/>
  <c r="M290" i="6" s="1"/>
  <c r="CB382" i="9"/>
  <c r="BU412" i="9"/>
  <c r="M279" i="6" s="1"/>
  <c r="CB412" i="9"/>
  <c r="BT412" i="9"/>
  <c r="L279" i="6" s="1"/>
  <c r="CB419" i="9"/>
  <c r="BU419" i="9"/>
  <c r="M286" i="6" s="1"/>
  <c r="BT419" i="9"/>
  <c r="L286" i="6" s="1"/>
  <c r="AL213" i="9"/>
  <c r="DC213" i="9" s="1"/>
  <c r="AR230" i="9"/>
  <c r="DI230" i="9" s="1"/>
  <c r="AR231" i="9"/>
  <c r="DI231" i="9" s="1"/>
  <c r="AO231" i="9"/>
  <c r="DF231" i="9" s="1"/>
  <c r="AI231" i="9"/>
  <c r="CZ231" i="9" s="1"/>
  <c r="AM213" i="9"/>
  <c r="DD213" i="9" s="1"/>
  <c r="AQ230" i="9"/>
  <c r="DH230" i="9" s="1"/>
  <c r="AN213" i="9"/>
  <c r="DE213" i="9" s="1"/>
  <c r="AS231" i="9"/>
  <c r="DJ231" i="9" s="1"/>
  <c r="AK213" i="9"/>
  <c r="DB213" i="9" s="1"/>
  <c r="AI230" i="9"/>
  <c r="CZ230" i="9" s="1"/>
  <c r="AS230" i="9"/>
  <c r="DJ230" i="9" s="1"/>
  <c r="AK231" i="9"/>
  <c r="DB231" i="9" s="1"/>
  <c r="AM230" i="9"/>
  <c r="DD230" i="9" s="1"/>
  <c r="AN230" i="9"/>
  <c r="DE230" i="9" s="1"/>
  <c r="AJ213" i="9"/>
  <c r="DA213" i="9" s="1"/>
  <c r="AO230" i="9"/>
  <c r="DF230" i="9" s="1"/>
  <c r="AM231" i="9"/>
  <c r="DD231" i="9" s="1"/>
  <c r="AQ213" i="9"/>
  <c r="DH213" i="9" s="1"/>
  <c r="AP231" i="9"/>
  <c r="DG231" i="9" s="1"/>
  <c r="AQ231" i="9"/>
  <c r="DH231" i="9" s="1"/>
  <c r="AN231" i="9"/>
  <c r="DE231" i="9" s="1"/>
  <c r="AP230" i="9"/>
  <c r="DG230" i="9" s="1"/>
  <c r="AJ230" i="9"/>
  <c r="DA230" i="9" s="1"/>
  <c r="AR213" i="9"/>
  <c r="DI213" i="9" s="1"/>
  <c r="AL230" i="9"/>
  <c r="DC230" i="9" s="1"/>
  <c r="AK230" i="9"/>
  <c r="DB230" i="9" s="1"/>
  <c r="AJ231" i="9"/>
  <c r="DA231" i="9" s="1"/>
  <c r="AO213" i="9"/>
  <c r="DF213" i="9" s="1"/>
  <c r="AS215" i="9"/>
  <c r="DJ215" i="9" s="1"/>
  <c r="AI215" i="9"/>
  <c r="CZ215" i="9" s="1"/>
  <c r="AR215" i="9"/>
  <c r="DI215" i="9" s="1"/>
  <c r="AL215" i="9"/>
  <c r="DC215" i="9" s="1"/>
  <c r="AP215" i="9"/>
  <c r="DG215" i="9" s="1"/>
  <c r="AK215" i="9"/>
  <c r="DB215" i="9" s="1"/>
  <c r="AM215" i="9"/>
  <c r="DD215" i="9" s="1"/>
  <c r="AN215" i="9"/>
  <c r="DE215" i="9" s="1"/>
  <c r="AO215" i="9"/>
  <c r="DF215" i="9" s="1"/>
  <c r="AQ228" i="9"/>
  <c r="DH228" i="9" s="1"/>
  <c r="AK217" i="9"/>
  <c r="DB217" i="9" s="1"/>
  <c r="AO217" i="9"/>
  <c r="DF217" i="9" s="1"/>
  <c r="AP228" i="9"/>
  <c r="DG228" i="9" s="1"/>
  <c r="AR228" i="9"/>
  <c r="DI228" i="9" s="1"/>
  <c r="AQ216" i="9"/>
  <c r="DH216" i="9" s="1"/>
  <c r="AJ228" i="9"/>
  <c r="DA228" i="9" s="1"/>
  <c r="AR216" i="9"/>
  <c r="DI216" i="9" s="1"/>
  <c r="AM228" i="9"/>
  <c r="DD228" i="9" s="1"/>
  <c r="AS228" i="9"/>
  <c r="DJ228" i="9" s="1"/>
  <c r="AK216" i="9"/>
  <c r="DB216" i="9" s="1"/>
  <c r="AI228" i="9"/>
  <c r="CZ228" i="9" s="1"/>
  <c r="AL216" i="9"/>
  <c r="DC216" i="9" s="1"/>
  <c r="AN228" i="9"/>
  <c r="DE228" i="9" s="1"/>
  <c r="AS216" i="9"/>
  <c r="DJ216" i="9" s="1"/>
  <c r="AJ216" i="9"/>
  <c r="DA216" i="9" s="1"/>
  <c r="AO228" i="9"/>
  <c r="DF228" i="9" s="1"/>
  <c r="AL228" i="9"/>
  <c r="DC228" i="9" s="1"/>
  <c r="AM216" i="9"/>
  <c r="DD216" i="9" s="1"/>
  <c r="AI216" i="9"/>
  <c r="CZ216" i="9" s="1"/>
  <c r="AN216" i="9"/>
  <c r="DE216" i="9" s="1"/>
  <c r="AO216" i="9"/>
  <c r="DF216" i="9" s="1"/>
  <c r="BR221" i="9"/>
  <c r="EI221" i="9" s="1"/>
  <c r="AN217" i="9"/>
  <c r="DE217" i="9" s="1"/>
  <c r="AJ217" i="9"/>
  <c r="DA217" i="9" s="1"/>
  <c r="AI217" i="9"/>
  <c r="CZ217" i="9" s="1"/>
  <c r="AL217" i="9"/>
  <c r="DC217" i="9" s="1"/>
  <c r="AR217" i="9"/>
  <c r="DI217" i="9" s="1"/>
  <c r="AP217" i="9"/>
  <c r="DG217" i="9" s="1"/>
  <c r="AS217" i="9"/>
  <c r="DJ217" i="9" s="1"/>
  <c r="AM217" i="9"/>
  <c r="DD217" i="9" s="1"/>
  <c r="AQ217" i="9"/>
  <c r="DH217" i="9" s="1"/>
  <c r="BP226" i="9"/>
  <c r="EG226" i="9" s="1"/>
  <c r="BR226" i="9"/>
  <c r="EI226" i="9" s="1"/>
  <c r="BO226" i="9"/>
  <c r="EF226" i="9" s="1"/>
  <c r="BP221" i="9"/>
  <c r="EG221" i="9" s="1"/>
  <c r="BD220" i="9"/>
  <c r="DU220" i="9" s="1"/>
  <c r="BM226" i="9"/>
  <c r="ED226" i="9" s="1"/>
  <c r="BQ226" i="9"/>
  <c r="EH226" i="9" s="1"/>
  <c r="BN221" i="9"/>
  <c r="EE221" i="9" s="1"/>
  <c r="AI220" i="9"/>
  <c r="CZ220" i="9" s="1"/>
  <c r="BI220" i="9"/>
  <c r="DZ220" i="9" s="1"/>
  <c r="AN220" i="9"/>
  <c r="DE220" i="9" s="1"/>
  <c r="AQ220" i="9"/>
  <c r="DH220" i="9" s="1"/>
  <c r="BE220" i="9"/>
  <c r="DV220" i="9" s="1"/>
  <c r="AN232" i="9"/>
  <c r="DE232" i="9" s="1"/>
  <c r="AI232" i="9"/>
  <c r="CZ232" i="9" s="1"/>
  <c r="AR232" i="9"/>
  <c r="DI232" i="9" s="1"/>
  <c r="AJ232" i="9"/>
  <c r="DA232" i="9" s="1"/>
  <c r="AM232" i="9"/>
  <c r="DD232" i="9" s="1"/>
  <c r="AL232" i="9"/>
  <c r="DC232" i="9" s="1"/>
  <c r="AQ232" i="9"/>
  <c r="DH232" i="9" s="1"/>
  <c r="AS232" i="9"/>
  <c r="DJ232" i="9" s="1"/>
  <c r="AO232" i="9"/>
  <c r="DF232" i="9" s="1"/>
  <c r="BM221" i="9"/>
  <c r="ED221" i="9" s="1"/>
  <c r="BO221" i="9"/>
  <c r="EF221" i="9" s="1"/>
  <c r="AK232" i="9"/>
  <c r="DB232" i="9" s="1"/>
  <c r="AP232" i="9"/>
  <c r="DG232" i="9" s="1"/>
  <c r="AM220" i="9"/>
  <c r="DD220" i="9" s="1"/>
  <c r="BM220" i="9"/>
  <c r="ED220" i="9" s="1"/>
  <c r="BK220" i="9"/>
  <c r="EB220" i="9" s="1"/>
  <c r="BR220" i="9"/>
  <c r="EI220" i="9" s="1"/>
  <c r="AS220" i="9"/>
  <c r="DJ220" i="9" s="1"/>
  <c r="AP220" i="9"/>
  <c r="DG220" i="9" s="1"/>
  <c r="BN231" i="9"/>
  <c r="EE231" i="9" s="1"/>
  <c r="AM221" i="9"/>
  <c r="DD221" i="9" s="1"/>
  <c r="AO221" i="9"/>
  <c r="DF221" i="9" s="1"/>
  <c r="BE221" i="9"/>
  <c r="DV221" i="9" s="1"/>
  <c r="AX221" i="9"/>
  <c r="DO221" i="9" s="1"/>
  <c r="BB221" i="9"/>
  <c r="DS221" i="9" s="1"/>
  <c r="AW221" i="9"/>
  <c r="DN221" i="9" s="1"/>
  <c r="AP221" i="9"/>
  <c r="DG221" i="9" s="1"/>
  <c r="AS221" i="9"/>
  <c r="DJ221" i="9" s="1"/>
  <c r="BC221" i="9"/>
  <c r="DT221" i="9" s="1"/>
  <c r="AI221" i="9"/>
  <c r="CZ221" i="9" s="1"/>
  <c r="AL221" i="9"/>
  <c r="DC221" i="9" s="1"/>
  <c r="AU221" i="9"/>
  <c r="DL221" i="9" s="1"/>
  <c r="BL221" i="9"/>
  <c r="EC221" i="9" s="1"/>
  <c r="AJ221" i="9"/>
  <c r="DA221" i="9" s="1"/>
  <c r="AT221" i="9"/>
  <c r="DK221" i="9" s="1"/>
  <c r="AN221" i="9"/>
  <c r="DE221" i="9" s="1"/>
  <c r="BD221" i="9"/>
  <c r="DU221" i="9" s="1"/>
  <c r="BH221" i="9"/>
  <c r="DY221" i="9" s="1"/>
  <c r="AZ221" i="9"/>
  <c r="DQ221" i="9" s="1"/>
  <c r="BI221" i="9"/>
  <c r="DZ221" i="9" s="1"/>
  <c r="AR221" i="9"/>
  <c r="DI221" i="9" s="1"/>
  <c r="AK221" i="9"/>
  <c r="DB221" i="9" s="1"/>
  <c r="AY221" i="9"/>
  <c r="DP221" i="9" s="1"/>
  <c r="BG221" i="9"/>
  <c r="DX221" i="9" s="1"/>
  <c r="BA221" i="9"/>
  <c r="DR221" i="9" s="1"/>
  <c r="BF221" i="9"/>
  <c r="DW221" i="9" s="1"/>
  <c r="BJ221" i="9"/>
  <c r="EA221" i="9" s="1"/>
  <c r="BK221" i="9"/>
  <c r="EB221" i="9" s="1"/>
  <c r="AQ221" i="9"/>
  <c r="DH221" i="9" s="1"/>
  <c r="AV221" i="9"/>
  <c r="DM221" i="9" s="1"/>
  <c r="AX220" i="9"/>
  <c r="DO220" i="9" s="1"/>
  <c r="BG220" i="9"/>
  <c r="DX220" i="9" s="1"/>
  <c r="BB220" i="9"/>
  <c r="DS220" i="9" s="1"/>
  <c r="BH220" i="9"/>
  <c r="DY220" i="9" s="1"/>
  <c r="BR231" i="9"/>
  <c r="EI231" i="9" s="1"/>
  <c r="BN220" i="9"/>
  <c r="EE220" i="9" s="1"/>
  <c r="BO231" i="9"/>
  <c r="EF231" i="9" s="1"/>
  <c r="BO220" i="9"/>
  <c r="EF220" i="9" s="1"/>
  <c r="BA220" i="9"/>
  <c r="DR220" i="9" s="1"/>
  <c r="BC220" i="9"/>
  <c r="DT220" i="9" s="1"/>
  <c r="AW220" i="9"/>
  <c r="DN220" i="9" s="1"/>
  <c r="AU220" i="9"/>
  <c r="DL220" i="9" s="1"/>
  <c r="AJ220" i="9"/>
  <c r="DA220" i="9" s="1"/>
  <c r="BP231" i="9"/>
  <c r="EG231" i="9" s="1"/>
  <c r="BQ220" i="9"/>
  <c r="EH220" i="9" s="1"/>
  <c r="BQ231" i="9"/>
  <c r="EH231" i="9" s="1"/>
  <c r="AL220" i="9"/>
  <c r="DC220" i="9" s="1"/>
  <c r="BJ220" i="9"/>
  <c r="EA220" i="9" s="1"/>
  <c r="AZ220" i="9"/>
  <c r="DQ220" i="9" s="1"/>
  <c r="AT220" i="9"/>
  <c r="DK220" i="9" s="1"/>
  <c r="BL220" i="9"/>
  <c r="EC220" i="9" s="1"/>
  <c r="AY220" i="9"/>
  <c r="DP220" i="9" s="1"/>
  <c r="AR220" i="9"/>
  <c r="DI220" i="9" s="1"/>
  <c r="AV220" i="9"/>
  <c r="DM220" i="9" s="1"/>
  <c r="AO220" i="9"/>
  <c r="DF220" i="9" s="1"/>
  <c r="BF220" i="9"/>
  <c r="DW220" i="9" s="1"/>
  <c r="AK220" i="9"/>
  <c r="DB220" i="9" s="1"/>
  <c r="BP220" i="9"/>
  <c r="EG220" i="9" s="1"/>
  <c r="BL226" i="9"/>
  <c r="EC226" i="9" s="1"/>
  <c r="AQ226" i="9"/>
  <c r="DH226" i="9" s="1"/>
  <c r="BG226" i="9"/>
  <c r="DX226" i="9" s="1"/>
  <c r="AS226" i="9"/>
  <c r="DJ226" i="9" s="1"/>
  <c r="BA226" i="9"/>
  <c r="DR226" i="9" s="1"/>
  <c r="BI226" i="9"/>
  <c r="DZ226" i="9" s="1"/>
  <c r="AO226" i="9"/>
  <c r="DF226" i="9" s="1"/>
  <c r="AY226" i="9"/>
  <c r="DP226" i="9" s="1"/>
  <c r="BJ226" i="9"/>
  <c r="EA226" i="9" s="1"/>
  <c r="AN226" i="9"/>
  <c r="DE226" i="9" s="1"/>
  <c r="AV226" i="9"/>
  <c r="DM226" i="9" s="1"/>
  <c r="AJ226" i="9"/>
  <c r="DA226" i="9" s="1"/>
  <c r="AU226" i="9"/>
  <c r="DL226" i="9" s="1"/>
  <c r="AR226" i="9"/>
  <c r="DI226" i="9" s="1"/>
  <c r="BK226" i="9"/>
  <c r="EB226" i="9" s="1"/>
  <c r="AW226" i="9"/>
  <c r="DN226" i="9" s="1"/>
  <c r="BE226" i="9"/>
  <c r="DV226" i="9" s="1"/>
  <c r="BD226" i="9"/>
  <c r="DU226" i="9" s="1"/>
  <c r="AX226" i="9"/>
  <c r="DO226" i="9" s="1"/>
  <c r="BC226" i="9"/>
  <c r="DT226" i="9" s="1"/>
  <c r="AI226" i="9"/>
  <c r="CZ226" i="9" s="1"/>
  <c r="AP226" i="9"/>
  <c r="DG226" i="9" s="1"/>
  <c r="AK226" i="9"/>
  <c r="DB226" i="9" s="1"/>
  <c r="AM226" i="9"/>
  <c r="DD226" i="9" s="1"/>
  <c r="AT226" i="9"/>
  <c r="DK226" i="9" s="1"/>
  <c r="BH226" i="9"/>
  <c r="DY226" i="9" s="1"/>
  <c r="AZ226" i="9"/>
  <c r="DQ226" i="9" s="1"/>
  <c r="BB226" i="9"/>
  <c r="DS226" i="9" s="1"/>
  <c r="BF226" i="9"/>
  <c r="DW226" i="9" s="1"/>
  <c r="AL226" i="9"/>
  <c r="DC226" i="9" s="1"/>
  <c r="BB231" i="9"/>
  <c r="DS231" i="9" s="1"/>
  <c r="BC231" i="9"/>
  <c r="DT231" i="9" s="1"/>
  <c r="AY231" i="9"/>
  <c r="DP231" i="9" s="1"/>
  <c r="AZ231" i="9"/>
  <c r="DQ231" i="9" s="1"/>
  <c r="BL231" i="9"/>
  <c r="EC231" i="9" s="1"/>
  <c r="BG231" i="9"/>
  <c r="DX231" i="9" s="1"/>
  <c r="BJ231" i="9"/>
  <c r="EA231" i="9" s="1"/>
  <c r="BI231" i="9"/>
  <c r="DZ231" i="9" s="1"/>
  <c r="AV231" i="9"/>
  <c r="DM231" i="9" s="1"/>
  <c r="BF231" i="9"/>
  <c r="DW231" i="9" s="1"/>
  <c r="BK231" i="9"/>
  <c r="EB231" i="9" s="1"/>
  <c r="BA231" i="9"/>
  <c r="DR231" i="9" s="1"/>
  <c r="BE231" i="9"/>
  <c r="DV231" i="9" s="1"/>
  <c r="AX231" i="9"/>
  <c r="DO231" i="9" s="1"/>
  <c r="AU231" i="9"/>
  <c r="DL231" i="9" s="1"/>
  <c r="AT231" i="9"/>
  <c r="DK231" i="9" s="1"/>
  <c r="AW231" i="9"/>
  <c r="DN231" i="9" s="1"/>
  <c r="BH231" i="9"/>
  <c r="DY231" i="9" s="1"/>
  <c r="BD231" i="9"/>
  <c r="DU231" i="9" s="1"/>
  <c r="BQ228" i="9"/>
  <c r="EH228" i="9" s="1"/>
  <c r="BP228" i="9"/>
  <c r="EG228" i="9" s="1"/>
  <c r="BO228" i="9"/>
  <c r="EF228" i="9" s="1"/>
  <c r="BN228" i="9"/>
  <c r="EE228" i="9" s="1"/>
  <c r="BM228" i="9"/>
  <c r="ED228" i="9" s="1"/>
  <c r="BR228" i="9"/>
  <c r="EI228" i="9" s="1"/>
  <c r="BK228" i="9"/>
  <c r="EB228" i="9" s="1"/>
  <c r="AX228" i="9"/>
  <c r="DO228" i="9" s="1"/>
  <c r="BB228" i="9"/>
  <c r="DS228" i="9" s="1"/>
  <c r="BH228" i="9"/>
  <c r="DY228" i="9" s="1"/>
  <c r="BA228" i="9"/>
  <c r="DR228" i="9" s="1"/>
  <c r="BD228" i="9"/>
  <c r="DU228" i="9" s="1"/>
  <c r="BI228" i="9"/>
  <c r="DZ228" i="9" s="1"/>
  <c r="BF228" i="9"/>
  <c r="DW228" i="9" s="1"/>
  <c r="AY228" i="9"/>
  <c r="DP228" i="9" s="1"/>
  <c r="AU228" i="9"/>
  <c r="DL228" i="9" s="1"/>
  <c r="AZ228" i="9"/>
  <c r="DQ228" i="9" s="1"/>
  <c r="AT228" i="9"/>
  <c r="DK228" i="9" s="1"/>
  <c r="BC228" i="9"/>
  <c r="DT228" i="9" s="1"/>
  <c r="AV228" i="9"/>
  <c r="DM228" i="9" s="1"/>
  <c r="BG228" i="9"/>
  <c r="DX228" i="9" s="1"/>
  <c r="AW228" i="9"/>
  <c r="DN228" i="9" s="1"/>
  <c r="BE228" i="9"/>
  <c r="DV228" i="9" s="1"/>
  <c r="BJ228" i="9"/>
  <c r="EA228" i="9" s="1"/>
  <c r="BL228" i="9"/>
  <c r="EC228" i="9" s="1"/>
  <c r="BO224" i="9"/>
  <c r="EF224" i="9" s="1"/>
  <c r="BP224" i="9"/>
  <c r="EG224" i="9" s="1"/>
  <c r="BN224" i="9"/>
  <c r="EE224" i="9" s="1"/>
  <c r="BQ224" i="9"/>
  <c r="EH224" i="9" s="1"/>
  <c r="BM224" i="9"/>
  <c r="ED224" i="9" s="1"/>
  <c r="BR224" i="9"/>
  <c r="EI224" i="9" s="1"/>
  <c r="BG224" i="9"/>
  <c r="DX224" i="9" s="1"/>
  <c r="BA224" i="9"/>
  <c r="DR224" i="9" s="1"/>
  <c r="AV224" i="9"/>
  <c r="DM224" i="9" s="1"/>
  <c r="BL224" i="9"/>
  <c r="EC224" i="9" s="1"/>
  <c r="BH224" i="9"/>
  <c r="DY224" i="9" s="1"/>
  <c r="AU224" i="9"/>
  <c r="DL224" i="9" s="1"/>
  <c r="AT224" i="9"/>
  <c r="DK224" i="9" s="1"/>
  <c r="AR224" i="9"/>
  <c r="DI224" i="9" s="1"/>
  <c r="BD224" i="9"/>
  <c r="DU224" i="9" s="1"/>
  <c r="AM224" i="9"/>
  <c r="DD224" i="9" s="1"/>
  <c r="AO224" i="9"/>
  <c r="DF224" i="9" s="1"/>
  <c r="BE224" i="9"/>
  <c r="DV224" i="9" s="1"/>
  <c r="AK224" i="9"/>
  <c r="DB224" i="9" s="1"/>
  <c r="BB224" i="9"/>
  <c r="DS224" i="9" s="1"/>
  <c r="AS224" i="9"/>
  <c r="DJ224" i="9" s="1"/>
  <c r="AN224" i="9"/>
  <c r="DE224" i="9" s="1"/>
  <c r="AL224" i="9"/>
  <c r="DC224" i="9" s="1"/>
  <c r="AX224" i="9"/>
  <c r="DO224" i="9" s="1"/>
  <c r="BJ224" i="9"/>
  <c r="EA224" i="9" s="1"/>
  <c r="BI224" i="9"/>
  <c r="DZ224" i="9" s="1"/>
  <c r="AI224" i="9"/>
  <c r="CZ224" i="9" s="1"/>
  <c r="AP224" i="9"/>
  <c r="DG224" i="9" s="1"/>
  <c r="AZ224" i="9"/>
  <c r="DQ224" i="9" s="1"/>
  <c r="BK224" i="9"/>
  <c r="EB224" i="9" s="1"/>
  <c r="AQ224" i="9"/>
  <c r="DH224" i="9" s="1"/>
  <c r="AW224" i="9"/>
  <c r="DN224" i="9" s="1"/>
  <c r="AJ224" i="9"/>
  <c r="DA224" i="9" s="1"/>
  <c r="AY224" i="9"/>
  <c r="DP224" i="9" s="1"/>
  <c r="BC224" i="9"/>
  <c r="DT224" i="9" s="1"/>
  <c r="BF224" i="9"/>
  <c r="DW224" i="9" s="1"/>
  <c r="BO225" i="9"/>
  <c r="EF225" i="9" s="1"/>
  <c r="BP225" i="9"/>
  <c r="EG225" i="9" s="1"/>
  <c r="BQ225" i="9"/>
  <c r="EH225" i="9" s="1"/>
  <c r="BN225" i="9"/>
  <c r="EE225" i="9" s="1"/>
  <c r="BM225" i="9"/>
  <c r="ED225" i="9" s="1"/>
  <c r="BR225" i="9"/>
  <c r="EI225" i="9" s="1"/>
  <c r="AS225" i="9"/>
  <c r="DJ225" i="9" s="1"/>
  <c r="BE225" i="9"/>
  <c r="DV225" i="9" s="1"/>
  <c r="BC225" i="9"/>
  <c r="DT225" i="9" s="1"/>
  <c r="AW225" i="9"/>
  <c r="DN225" i="9" s="1"/>
  <c r="AP225" i="9"/>
  <c r="DG225" i="9" s="1"/>
  <c r="AJ225" i="9"/>
  <c r="DA225" i="9" s="1"/>
  <c r="BF225" i="9"/>
  <c r="DW225" i="9" s="1"/>
  <c r="AU225" i="9"/>
  <c r="DL225" i="9" s="1"/>
  <c r="AV225" i="9"/>
  <c r="DM225" i="9" s="1"/>
  <c r="BH225" i="9"/>
  <c r="DY225" i="9" s="1"/>
  <c r="BK225" i="9"/>
  <c r="EB225" i="9" s="1"/>
  <c r="AT225" i="9"/>
  <c r="DK225" i="9" s="1"/>
  <c r="BI225" i="9"/>
  <c r="DZ225" i="9" s="1"/>
  <c r="BL225" i="9"/>
  <c r="EC225" i="9" s="1"/>
  <c r="AN225" i="9"/>
  <c r="DE225" i="9" s="1"/>
  <c r="AZ225" i="9"/>
  <c r="DQ225" i="9" s="1"/>
  <c r="AR225" i="9"/>
  <c r="DI225" i="9" s="1"/>
  <c r="AO225" i="9"/>
  <c r="DF225" i="9" s="1"/>
  <c r="AK225" i="9"/>
  <c r="DB225" i="9" s="1"/>
  <c r="AL225" i="9"/>
  <c r="DC225" i="9" s="1"/>
  <c r="AY225" i="9"/>
  <c r="DP225" i="9" s="1"/>
  <c r="AX225" i="9"/>
  <c r="DO225" i="9" s="1"/>
  <c r="BG225" i="9"/>
  <c r="DX225" i="9" s="1"/>
  <c r="BJ225" i="9"/>
  <c r="EA225" i="9" s="1"/>
  <c r="BB225" i="9"/>
  <c r="DS225" i="9" s="1"/>
  <c r="AM225" i="9"/>
  <c r="DD225" i="9" s="1"/>
  <c r="AI225" i="9"/>
  <c r="CZ225" i="9" s="1"/>
  <c r="BA225" i="9"/>
  <c r="DR225" i="9" s="1"/>
  <c r="BD225" i="9"/>
  <c r="DU225" i="9" s="1"/>
  <c r="AQ225" i="9"/>
  <c r="DH225" i="9" s="1"/>
  <c r="BO223" i="9"/>
  <c r="EF223" i="9" s="1"/>
  <c r="BN223" i="9"/>
  <c r="EE223" i="9" s="1"/>
  <c r="BP223" i="9"/>
  <c r="EG223" i="9" s="1"/>
  <c r="BQ223" i="9"/>
  <c r="EH223" i="9" s="1"/>
  <c r="BM223" i="9"/>
  <c r="ED223" i="9" s="1"/>
  <c r="BR223" i="9"/>
  <c r="EI223" i="9" s="1"/>
  <c r="AX223" i="9"/>
  <c r="DO223" i="9" s="1"/>
  <c r="AZ223" i="9"/>
  <c r="DQ223" i="9" s="1"/>
  <c r="BG223" i="9"/>
  <c r="DX223" i="9" s="1"/>
  <c r="BC223" i="9"/>
  <c r="DT223" i="9" s="1"/>
  <c r="BJ223" i="9"/>
  <c r="EA223" i="9" s="1"/>
  <c r="BK223" i="9"/>
  <c r="EB223" i="9" s="1"/>
  <c r="AQ223" i="9"/>
  <c r="DH223" i="9" s="1"/>
  <c r="AY223" i="9"/>
  <c r="DP223" i="9" s="1"/>
  <c r="AU223" i="9"/>
  <c r="DL223" i="9" s="1"/>
  <c r="BL223" i="9"/>
  <c r="EC223" i="9" s="1"/>
  <c r="AO223" i="9"/>
  <c r="DF223" i="9" s="1"/>
  <c r="AV223" i="9"/>
  <c r="DM223" i="9" s="1"/>
  <c r="AK223" i="9"/>
  <c r="DB223" i="9" s="1"/>
  <c r="AT223" i="9"/>
  <c r="DK223" i="9" s="1"/>
  <c r="BI223" i="9"/>
  <c r="DZ223" i="9" s="1"/>
  <c r="AI223" i="9"/>
  <c r="CZ223" i="9" s="1"/>
  <c r="AJ223" i="9"/>
  <c r="DA223" i="9" s="1"/>
  <c r="BF223" i="9"/>
  <c r="DW223" i="9" s="1"/>
  <c r="AM223" i="9"/>
  <c r="DD223" i="9" s="1"/>
  <c r="BH223" i="9"/>
  <c r="DY223" i="9" s="1"/>
  <c r="BB223" i="9"/>
  <c r="DS223" i="9" s="1"/>
  <c r="BA223" i="9"/>
  <c r="DR223" i="9" s="1"/>
  <c r="AW223" i="9"/>
  <c r="DN223" i="9" s="1"/>
  <c r="AN223" i="9"/>
  <c r="DE223" i="9" s="1"/>
  <c r="AR223" i="9"/>
  <c r="DI223" i="9" s="1"/>
  <c r="BE223" i="9"/>
  <c r="DV223" i="9" s="1"/>
  <c r="AP223" i="9"/>
  <c r="DG223" i="9" s="1"/>
  <c r="BD223" i="9"/>
  <c r="DU223" i="9" s="1"/>
  <c r="AS223" i="9"/>
  <c r="DJ223" i="9" s="1"/>
  <c r="AL223" i="9"/>
  <c r="DC223" i="9" s="1"/>
  <c r="BP230" i="9"/>
  <c r="EG230" i="9" s="1"/>
  <c r="BO230" i="9"/>
  <c r="EF230" i="9" s="1"/>
  <c r="BN230" i="9"/>
  <c r="EE230" i="9" s="1"/>
  <c r="BQ230" i="9"/>
  <c r="EH230" i="9" s="1"/>
  <c r="BM230" i="9"/>
  <c r="ED230" i="9" s="1"/>
  <c r="BR230" i="9"/>
  <c r="EI230" i="9" s="1"/>
  <c r="AX230" i="9"/>
  <c r="DO230" i="9" s="1"/>
  <c r="BA230" i="9"/>
  <c r="DR230" i="9" s="1"/>
  <c r="AT230" i="9"/>
  <c r="DK230" i="9" s="1"/>
  <c r="BC230" i="9"/>
  <c r="DT230" i="9" s="1"/>
  <c r="BH230" i="9"/>
  <c r="DY230" i="9" s="1"/>
  <c r="AV230" i="9"/>
  <c r="DM230" i="9" s="1"/>
  <c r="BK230" i="9"/>
  <c r="EB230" i="9" s="1"/>
  <c r="BF230" i="9"/>
  <c r="DW230" i="9" s="1"/>
  <c r="BL230" i="9"/>
  <c r="EC230" i="9" s="1"/>
  <c r="AZ230" i="9"/>
  <c r="DQ230" i="9" s="1"/>
  <c r="BE230" i="9"/>
  <c r="DV230" i="9" s="1"/>
  <c r="AY230" i="9"/>
  <c r="DP230" i="9" s="1"/>
  <c r="AW230" i="9"/>
  <c r="DN230" i="9" s="1"/>
  <c r="BG230" i="9"/>
  <c r="DX230" i="9" s="1"/>
  <c r="BJ230" i="9"/>
  <c r="EA230" i="9" s="1"/>
  <c r="BD230" i="9"/>
  <c r="DU230" i="9" s="1"/>
  <c r="BI230" i="9"/>
  <c r="DZ230" i="9" s="1"/>
  <c r="AU230" i="9"/>
  <c r="DL230" i="9" s="1"/>
  <c r="BB230" i="9"/>
  <c r="DS230" i="9" s="1"/>
  <c r="BO227" i="9"/>
  <c r="EF227" i="9" s="1"/>
  <c r="BN227" i="9"/>
  <c r="EE227" i="9" s="1"/>
  <c r="BP227" i="9"/>
  <c r="EG227" i="9" s="1"/>
  <c r="BQ227" i="9"/>
  <c r="EH227" i="9" s="1"/>
  <c r="BM227" i="9"/>
  <c r="ED227" i="9" s="1"/>
  <c r="BR227" i="9"/>
  <c r="EI227" i="9" s="1"/>
  <c r="AI227" i="9"/>
  <c r="CZ227" i="9" s="1"/>
  <c r="BG227" i="9"/>
  <c r="DX227" i="9" s="1"/>
  <c r="AU227" i="9"/>
  <c r="DL227" i="9" s="1"/>
  <c r="BK227" i="9"/>
  <c r="EB227" i="9" s="1"/>
  <c r="BL227" i="9"/>
  <c r="EC227" i="9" s="1"/>
  <c r="AV227" i="9"/>
  <c r="DM227" i="9" s="1"/>
  <c r="BE227" i="9"/>
  <c r="DV227" i="9" s="1"/>
  <c r="AX227" i="9"/>
  <c r="DO227" i="9" s="1"/>
  <c r="BJ227" i="9"/>
  <c r="EA227" i="9" s="1"/>
  <c r="BB227" i="9"/>
  <c r="DS227" i="9" s="1"/>
  <c r="AQ227" i="9"/>
  <c r="DH227" i="9" s="1"/>
  <c r="AW227" i="9"/>
  <c r="DN227" i="9" s="1"/>
  <c r="AJ227" i="9"/>
  <c r="DA227" i="9" s="1"/>
  <c r="AM227" i="9"/>
  <c r="DD227" i="9" s="1"/>
  <c r="AT227" i="9"/>
  <c r="DK227" i="9" s="1"/>
  <c r="AN227" i="9"/>
  <c r="DE227" i="9" s="1"/>
  <c r="BD227" i="9"/>
  <c r="DU227" i="9" s="1"/>
  <c r="BI227" i="9"/>
  <c r="DZ227" i="9" s="1"/>
  <c r="AK227" i="9"/>
  <c r="DB227" i="9" s="1"/>
  <c r="AY227" i="9"/>
  <c r="DP227" i="9" s="1"/>
  <c r="AZ227" i="9"/>
  <c r="DQ227" i="9" s="1"/>
  <c r="AO227" i="9"/>
  <c r="DF227" i="9" s="1"/>
  <c r="AL227" i="9"/>
  <c r="DC227" i="9" s="1"/>
  <c r="BH227" i="9"/>
  <c r="DY227" i="9" s="1"/>
  <c r="AS227" i="9"/>
  <c r="DJ227" i="9" s="1"/>
  <c r="AP227" i="9"/>
  <c r="DG227" i="9" s="1"/>
  <c r="BF227" i="9"/>
  <c r="DW227" i="9" s="1"/>
  <c r="BC227" i="9"/>
  <c r="DT227" i="9" s="1"/>
  <c r="AR227" i="9"/>
  <c r="DI227" i="9" s="1"/>
  <c r="BA227" i="9"/>
  <c r="DR227" i="9" s="1"/>
  <c r="BN213" i="9"/>
  <c r="BQ213" i="9"/>
  <c r="BP213" i="9"/>
  <c r="I233" i="9"/>
  <c r="BO213" i="9"/>
  <c r="BR213" i="9"/>
  <c r="BM213" i="9"/>
  <c r="AZ213" i="9"/>
  <c r="BL213" i="9"/>
  <c r="BE213" i="9"/>
  <c r="AY213" i="9"/>
  <c r="AW213" i="9"/>
  <c r="BG213" i="9"/>
  <c r="BJ213" i="9"/>
  <c r="BK213" i="9"/>
  <c r="BB213" i="9"/>
  <c r="BC213" i="9"/>
  <c r="AU213" i="9"/>
  <c r="BH213" i="9"/>
  <c r="AX213" i="9"/>
  <c r="BD213" i="9"/>
  <c r="AT213" i="9"/>
  <c r="AV213" i="9"/>
  <c r="BI213" i="9"/>
  <c r="BA213" i="9"/>
  <c r="BF213" i="9"/>
  <c r="BN214" i="9"/>
  <c r="EE214" i="9" s="1"/>
  <c r="BQ214" i="9"/>
  <c r="EH214" i="9" s="1"/>
  <c r="BP214" i="9"/>
  <c r="EG214" i="9" s="1"/>
  <c r="BO214" i="9"/>
  <c r="EF214" i="9" s="1"/>
  <c r="BR214" i="9"/>
  <c r="EI214" i="9" s="1"/>
  <c r="BM214" i="9"/>
  <c r="ED214" i="9" s="1"/>
  <c r="BF214" i="9"/>
  <c r="DW214" i="9" s="1"/>
  <c r="AU214" i="9"/>
  <c r="DL214" i="9" s="1"/>
  <c r="BG214" i="9"/>
  <c r="DX214" i="9" s="1"/>
  <c r="BA214" i="9"/>
  <c r="DR214" i="9" s="1"/>
  <c r="BC214" i="9"/>
  <c r="DT214" i="9" s="1"/>
  <c r="AV214" i="9"/>
  <c r="DM214" i="9" s="1"/>
  <c r="BE214" i="9"/>
  <c r="DV214" i="9" s="1"/>
  <c r="BH214" i="9"/>
  <c r="DY214" i="9" s="1"/>
  <c r="BI214" i="9"/>
  <c r="DZ214" i="9" s="1"/>
  <c r="AW214" i="9"/>
  <c r="DN214" i="9" s="1"/>
  <c r="AZ214" i="9"/>
  <c r="DQ214" i="9" s="1"/>
  <c r="AT214" i="9"/>
  <c r="DK214" i="9" s="1"/>
  <c r="BL214" i="9"/>
  <c r="EC214" i="9" s="1"/>
  <c r="BK214" i="9"/>
  <c r="EB214" i="9" s="1"/>
  <c r="AX214" i="9"/>
  <c r="DO214" i="9" s="1"/>
  <c r="BD214" i="9"/>
  <c r="DU214" i="9" s="1"/>
  <c r="BJ214" i="9"/>
  <c r="EA214" i="9" s="1"/>
  <c r="BB214" i="9"/>
  <c r="DS214" i="9" s="1"/>
  <c r="AY214" i="9"/>
  <c r="DP214" i="9" s="1"/>
  <c r="BP217" i="9"/>
  <c r="EG217" i="9" s="1"/>
  <c r="BN217" i="9"/>
  <c r="EE217" i="9" s="1"/>
  <c r="BQ217" i="9"/>
  <c r="EH217" i="9" s="1"/>
  <c r="BO217" i="9"/>
  <c r="EF217" i="9" s="1"/>
  <c r="BM217" i="9"/>
  <c r="ED217" i="9" s="1"/>
  <c r="BR217" i="9"/>
  <c r="EI217" i="9" s="1"/>
  <c r="BA217" i="9"/>
  <c r="DR217" i="9" s="1"/>
  <c r="BC217" i="9"/>
  <c r="DT217" i="9" s="1"/>
  <c r="BH217" i="9"/>
  <c r="DY217" i="9" s="1"/>
  <c r="BJ217" i="9"/>
  <c r="EA217" i="9" s="1"/>
  <c r="BI217" i="9"/>
  <c r="DZ217" i="9" s="1"/>
  <c r="AZ217" i="9"/>
  <c r="DQ217" i="9" s="1"/>
  <c r="AT217" i="9"/>
  <c r="DK217" i="9" s="1"/>
  <c r="BL217" i="9"/>
  <c r="EC217" i="9" s="1"/>
  <c r="AY217" i="9"/>
  <c r="DP217" i="9" s="1"/>
  <c r="BK217" i="9"/>
  <c r="EB217" i="9" s="1"/>
  <c r="BF217" i="9"/>
  <c r="DW217" i="9" s="1"/>
  <c r="BG217" i="9"/>
  <c r="DX217" i="9" s="1"/>
  <c r="BD217" i="9"/>
  <c r="DU217" i="9" s="1"/>
  <c r="AV217" i="9"/>
  <c r="DM217" i="9" s="1"/>
  <c r="AU217" i="9"/>
  <c r="DL217" i="9" s="1"/>
  <c r="AW217" i="9"/>
  <c r="DN217" i="9" s="1"/>
  <c r="BB217" i="9"/>
  <c r="DS217" i="9" s="1"/>
  <c r="BE217" i="9"/>
  <c r="DV217" i="9" s="1"/>
  <c r="AX217" i="9"/>
  <c r="DO217" i="9" s="1"/>
  <c r="BN218" i="9"/>
  <c r="EE218" i="9" s="1"/>
  <c r="BO218" i="9"/>
  <c r="EF218" i="9" s="1"/>
  <c r="BP218" i="9"/>
  <c r="EG218" i="9" s="1"/>
  <c r="BQ218" i="9"/>
  <c r="EH218" i="9" s="1"/>
  <c r="BR218" i="9"/>
  <c r="EI218" i="9" s="1"/>
  <c r="BM218" i="9"/>
  <c r="ED218" i="9" s="1"/>
  <c r="BB218" i="9"/>
  <c r="DS218" i="9" s="1"/>
  <c r="AM218" i="9"/>
  <c r="DD218" i="9" s="1"/>
  <c r="BF218" i="9"/>
  <c r="DW218" i="9" s="1"/>
  <c r="AY218" i="9"/>
  <c r="DP218" i="9" s="1"/>
  <c r="AZ218" i="9"/>
  <c r="DQ218" i="9" s="1"/>
  <c r="AS218" i="9"/>
  <c r="DJ218" i="9" s="1"/>
  <c r="AR218" i="9"/>
  <c r="DI218" i="9" s="1"/>
  <c r="AK218" i="9"/>
  <c r="DB218" i="9" s="1"/>
  <c r="AI218" i="9"/>
  <c r="CZ218" i="9" s="1"/>
  <c r="AP218" i="9"/>
  <c r="DG218" i="9" s="1"/>
  <c r="AL218" i="9"/>
  <c r="DC218" i="9" s="1"/>
  <c r="AX218" i="9"/>
  <c r="DO218" i="9" s="1"/>
  <c r="BG218" i="9"/>
  <c r="DX218" i="9" s="1"/>
  <c r="BA218" i="9"/>
  <c r="DR218" i="9" s="1"/>
  <c r="BK218" i="9"/>
  <c r="EB218" i="9" s="1"/>
  <c r="BL218" i="9"/>
  <c r="EC218" i="9" s="1"/>
  <c r="AO218" i="9"/>
  <c r="DF218" i="9" s="1"/>
  <c r="BJ218" i="9"/>
  <c r="EA218" i="9" s="1"/>
  <c r="BC218" i="9"/>
  <c r="DT218" i="9" s="1"/>
  <c r="AV218" i="9"/>
  <c r="DM218" i="9" s="1"/>
  <c r="AT218" i="9"/>
  <c r="DK218" i="9" s="1"/>
  <c r="AQ218" i="9"/>
  <c r="DH218" i="9" s="1"/>
  <c r="AW218" i="9"/>
  <c r="DN218" i="9" s="1"/>
  <c r="BE218" i="9"/>
  <c r="DV218" i="9" s="1"/>
  <c r="AJ218" i="9"/>
  <c r="DA218" i="9" s="1"/>
  <c r="BD218" i="9"/>
  <c r="DU218" i="9" s="1"/>
  <c r="AU218" i="9"/>
  <c r="DL218" i="9" s="1"/>
  <c r="AN218" i="9"/>
  <c r="DE218" i="9" s="1"/>
  <c r="BH218" i="9"/>
  <c r="DY218" i="9" s="1"/>
  <c r="BI218" i="9"/>
  <c r="DZ218" i="9" s="1"/>
  <c r="BQ216" i="9"/>
  <c r="EH216" i="9" s="1"/>
  <c r="BP216" i="9"/>
  <c r="EG216" i="9" s="1"/>
  <c r="BO216" i="9"/>
  <c r="EF216" i="9" s="1"/>
  <c r="BN216" i="9"/>
  <c r="EE216" i="9" s="1"/>
  <c r="BR216" i="9"/>
  <c r="EI216" i="9" s="1"/>
  <c r="BM216" i="9"/>
  <c r="ED216" i="9" s="1"/>
  <c r="BJ216" i="9"/>
  <c r="EA216" i="9" s="1"/>
  <c r="BB216" i="9"/>
  <c r="DS216" i="9" s="1"/>
  <c r="BI216" i="9"/>
  <c r="DZ216" i="9" s="1"/>
  <c r="BF216" i="9"/>
  <c r="DW216" i="9" s="1"/>
  <c r="AU216" i="9"/>
  <c r="DL216" i="9" s="1"/>
  <c r="AZ216" i="9"/>
  <c r="DQ216" i="9" s="1"/>
  <c r="BC216" i="9"/>
  <c r="DT216" i="9" s="1"/>
  <c r="AV216" i="9"/>
  <c r="DM216" i="9" s="1"/>
  <c r="BE216" i="9"/>
  <c r="DV216" i="9" s="1"/>
  <c r="AY216" i="9"/>
  <c r="DP216" i="9" s="1"/>
  <c r="AW216" i="9"/>
  <c r="DN216" i="9" s="1"/>
  <c r="BK216" i="9"/>
  <c r="EB216" i="9" s="1"/>
  <c r="BG216" i="9"/>
  <c r="DX216" i="9" s="1"/>
  <c r="BL216" i="9"/>
  <c r="EC216" i="9" s="1"/>
  <c r="BA216" i="9"/>
  <c r="DR216" i="9" s="1"/>
  <c r="AT216" i="9"/>
  <c r="DK216" i="9" s="1"/>
  <c r="AX216" i="9"/>
  <c r="DO216" i="9" s="1"/>
  <c r="BD216" i="9"/>
  <c r="DU216" i="9" s="1"/>
  <c r="BH216" i="9"/>
  <c r="DY216" i="9" s="1"/>
  <c r="BQ215" i="9"/>
  <c r="EH215" i="9" s="1"/>
  <c r="BP215" i="9"/>
  <c r="EG215" i="9" s="1"/>
  <c r="BO215" i="9"/>
  <c r="EF215" i="9" s="1"/>
  <c r="BN215" i="9"/>
  <c r="EE215" i="9" s="1"/>
  <c r="BR215" i="9"/>
  <c r="EI215" i="9" s="1"/>
  <c r="BM215" i="9"/>
  <c r="ED215" i="9" s="1"/>
  <c r="BD215" i="9"/>
  <c r="DU215" i="9" s="1"/>
  <c r="AV215" i="9"/>
  <c r="DM215" i="9" s="1"/>
  <c r="BJ215" i="9"/>
  <c r="EA215" i="9" s="1"/>
  <c r="BB215" i="9"/>
  <c r="DS215" i="9" s="1"/>
  <c r="BL215" i="9"/>
  <c r="EC215" i="9" s="1"/>
  <c r="AU215" i="9"/>
  <c r="DL215" i="9" s="1"/>
  <c r="AX215" i="9"/>
  <c r="DO215" i="9" s="1"/>
  <c r="BC215" i="9"/>
  <c r="DT215" i="9" s="1"/>
  <c r="BH215" i="9"/>
  <c r="DY215" i="9" s="1"/>
  <c r="BA215" i="9"/>
  <c r="DR215" i="9" s="1"/>
  <c r="BI215" i="9"/>
  <c r="DZ215" i="9" s="1"/>
  <c r="BE215" i="9"/>
  <c r="DV215" i="9" s="1"/>
  <c r="BK215" i="9"/>
  <c r="EB215" i="9" s="1"/>
  <c r="BF215" i="9"/>
  <c r="DW215" i="9" s="1"/>
  <c r="AY215" i="9"/>
  <c r="DP215" i="9" s="1"/>
  <c r="AZ215" i="9"/>
  <c r="DQ215" i="9" s="1"/>
  <c r="AW215" i="9"/>
  <c r="DN215" i="9" s="1"/>
  <c r="BG215" i="9"/>
  <c r="DX215" i="9" s="1"/>
  <c r="AT215" i="9"/>
  <c r="DK215" i="9" s="1"/>
  <c r="BP222" i="9"/>
  <c r="EG222" i="9" s="1"/>
  <c r="BN222" i="9"/>
  <c r="EE222" i="9" s="1"/>
  <c r="BO222" i="9"/>
  <c r="EF222" i="9" s="1"/>
  <c r="BQ222" i="9"/>
  <c r="EH222" i="9" s="1"/>
  <c r="BM222" i="9"/>
  <c r="ED222" i="9" s="1"/>
  <c r="BR222" i="9"/>
  <c r="EI222" i="9" s="1"/>
  <c r="BJ222" i="9"/>
  <c r="EA222" i="9" s="1"/>
  <c r="AT222" i="9"/>
  <c r="DK222" i="9" s="1"/>
  <c r="AL222" i="9"/>
  <c r="DC222" i="9" s="1"/>
  <c r="AM222" i="9"/>
  <c r="DD222" i="9" s="1"/>
  <c r="AJ222" i="9"/>
  <c r="DA222" i="9" s="1"/>
  <c r="BK222" i="9"/>
  <c r="EB222" i="9" s="1"/>
  <c r="BF222" i="9"/>
  <c r="DW222" i="9" s="1"/>
  <c r="AZ222" i="9"/>
  <c r="DQ222" i="9" s="1"/>
  <c r="AQ222" i="9"/>
  <c r="DH222" i="9" s="1"/>
  <c r="BH222" i="9"/>
  <c r="DY222" i="9" s="1"/>
  <c r="AO222" i="9"/>
  <c r="DF222" i="9" s="1"/>
  <c r="BE222" i="9"/>
  <c r="DV222" i="9" s="1"/>
  <c r="BD222" i="9"/>
  <c r="DU222" i="9" s="1"/>
  <c r="BB222" i="9"/>
  <c r="DS222" i="9" s="1"/>
  <c r="AS222" i="9"/>
  <c r="DJ222" i="9" s="1"/>
  <c r="BC222" i="9"/>
  <c r="DT222" i="9" s="1"/>
  <c r="BL222" i="9"/>
  <c r="EC222" i="9" s="1"/>
  <c r="AV222" i="9"/>
  <c r="DM222" i="9" s="1"/>
  <c r="AP222" i="9"/>
  <c r="DG222" i="9" s="1"/>
  <c r="BA222" i="9"/>
  <c r="DR222" i="9" s="1"/>
  <c r="BI222" i="9"/>
  <c r="DZ222" i="9" s="1"/>
  <c r="AR222" i="9"/>
  <c r="DI222" i="9" s="1"/>
  <c r="AN222" i="9"/>
  <c r="DE222" i="9" s="1"/>
  <c r="AK222" i="9"/>
  <c r="DB222" i="9" s="1"/>
  <c r="AY222" i="9"/>
  <c r="DP222" i="9" s="1"/>
  <c r="AW222" i="9"/>
  <c r="DN222" i="9" s="1"/>
  <c r="BG222" i="9"/>
  <c r="DX222" i="9" s="1"/>
  <c r="AU222" i="9"/>
  <c r="DL222" i="9" s="1"/>
  <c r="AI222" i="9"/>
  <c r="CZ222" i="9" s="1"/>
  <c r="AX222" i="9"/>
  <c r="DO222" i="9" s="1"/>
  <c r="BO232" i="9"/>
  <c r="EF232" i="9" s="1"/>
  <c r="BN232" i="9"/>
  <c r="EE232" i="9" s="1"/>
  <c r="BQ232" i="9"/>
  <c r="EH232" i="9" s="1"/>
  <c r="BP232" i="9"/>
  <c r="EG232" i="9" s="1"/>
  <c r="BR232" i="9"/>
  <c r="EI232" i="9" s="1"/>
  <c r="BM232" i="9"/>
  <c r="ED232" i="9" s="1"/>
  <c r="AX232" i="9"/>
  <c r="DO232" i="9" s="1"/>
  <c r="AT232" i="9"/>
  <c r="DK232" i="9" s="1"/>
  <c r="AY232" i="9"/>
  <c r="DP232" i="9" s="1"/>
  <c r="AV232" i="9"/>
  <c r="DM232" i="9" s="1"/>
  <c r="BK232" i="9"/>
  <c r="EB232" i="9" s="1"/>
  <c r="BG232" i="9"/>
  <c r="DX232" i="9" s="1"/>
  <c r="BJ232" i="9"/>
  <c r="EA232" i="9" s="1"/>
  <c r="BD232" i="9"/>
  <c r="DU232" i="9" s="1"/>
  <c r="BB232" i="9"/>
  <c r="DS232" i="9" s="1"/>
  <c r="BF232" i="9"/>
  <c r="DW232" i="9" s="1"/>
  <c r="BH232" i="9"/>
  <c r="DY232" i="9" s="1"/>
  <c r="AU232" i="9"/>
  <c r="DL232" i="9" s="1"/>
  <c r="BI232" i="9"/>
  <c r="DZ232" i="9" s="1"/>
  <c r="AW232" i="9"/>
  <c r="DN232" i="9" s="1"/>
  <c r="AZ232" i="9"/>
  <c r="DQ232" i="9" s="1"/>
  <c r="BA232" i="9"/>
  <c r="DR232" i="9" s="1"/>
  <c r="BC232" i="9"/>
  <c r="DT232" i="9" s="1"/>
  <c r="BL232" i="9"/>
  <c r="EC232" i="9" s="1"/>
  <c r="BE232" i="9"/>
  <c r="DV232" i="9" s="1"/>
  <c r="BQ219" i="9"/>
  <c r="EH219" i="9" s="1"/>
  <c r="BP219" i="9"/>
  <c r="EG219" i="9" s="1"/>
  <c r="BN219" i="9"/>
  <c r="EE219" i="9" s="1"/>
  <c r="BO219" i="9"/>
  <c r="EF219" i="9" s="1"/>
  <c r="BM219" i="9"/>
  <c r="ED219" i="9" s="1"/>
  <c r="BR219" i="9"/>
  <c r="EI219" i="9" s="1"/>
  <c r="AN219" i="9"/>
  <c r="DE219" i="9" s="1"/>
  <c r="AP219" i="9"/>
  <c r="DG219" i="9" s="1"/>
  <c r="AJ219" i="9"/>
  <c r="DA219" i="9" s="1"/>
  <c r="AK219" i="9"/>
  <c r="DB219" i="9" s="1"/>
  <c r="BF219" i="9"/>
  <c r="DW219" i="9" s="1"/>
  <c r="BI219" i="9"/>
  <c r="DZ219" i="9" s="1"/>
  <c r="BD219" i="9"/>
  <c r="DU219" i="9" s="1"/>
  <c r="AL219" i="9"/>
  <c r="DC219" i="9" s="1"/>
  <c r="AS219" i="9"/>
  <c r="DJ219" i="9" s="1"/>
  <c r="BA219" i="9"/>
  <c r="DR219" i="9" s="1"/>
  <c r="BL219" i="9"/>
  <c r="EC219" i="9" s="1"/>
  <c r="AQ219" i="9"/>
  <c r="DH219" i="9" s="1"/>
  <c r="BH219" i="9"/>
  <c r="DY219" i="9" s="1"/>
  <c r="BJ219" i="9"/>
  <c r="EA219" i="9" s="1"/>
  <c r="BC219" i="9"/>
  <c r="DT219" i="9" s="1"/>
  <c r="BE219" i="9"/>
  <c r="DV219" i="9" s="1"/>
  <c r="AI219" i="9"/>
  <c r="CZ219" i="9" s="1"/>
  <c r="AY219" i="9"/>
  <c r="DP219" i="9" s="1"/>
  <c r="AX219" i="9"/>
  <c r="DO219" i="9" s="1"/>
  <c r="AZ219" i="9"/>
  <c r="DQ219" i="9" s="1"/>
  <c r="BG219" i="9"/>
  <c r="DX219" i="9" s="1"/>
  <c r="AU219" i="9"/>
  <c r="DL219" i="9" s="1"/>
  <c r="BK219" i="9"/>
  <c r="EB219" i="9" s="1"/>
  <c r="AR219" i="9"/>
  <c r="DI219" i="9" s="1"/>
  <c r="AT219" i="9"/>
  <c r="DK219" i="9" s="1"/>
  <c r="AW219" i="9"/>
  <c r="DN219" i="9" s="1"/>
  <c r="AV219" i="9"/>
  <c r="DM219" i="9" s="1"/>
  <c r="AM219" i="9"/>
  <c r="DD219" i="9" s="1"/>
  <c r="BB219" i="9"/>
  <c r="DS219" i="9" s="1"/>
  <c r="AO219" i="9"/>
  <c r="DF219" i="9" s="1"/>
  <c r="O106" i="6"/>
  <c r="BO106" i="6" s="1"/>
  <c r="T109" i="6"/>
  <c r="T106" i="6"/>
  <c r="T107" i="6"/>
  <c r="T115" i="6"/>
  <c r="H115" i="6" s="1"/>
  <c r="T112" i="6"/>
  <c r="T97" i="6"/>
  <c r="D97" i="6" s="1"/>
  <c r="O113" i="6"/>
  <c r="AV113" i="6" s="1"/>
  <c r="T102" i="6"/>
  <c r="T99" i="6"/>
  <c r="T100" i="6"/>
  <c r="O104" i="6"/>
  <c r="AG104" i="6" s="1"/>
  <c r="T103" i="6"/>
  <c r="T111" i="6"/>
  <c r="T105" i="6"/>
  <c r="O115" i="6"/>
  <c r="BO115" i="6" s="1"/>
  <c r="T113" i="6"/>
  <c r="T108" i="6"/>
  <c r="O112" i="6"/>
  <c r="BA112" i="6" s="1"/>
  <c r="T114" i="6"/>
  <c r="D114" i="6" s="1"/>
  <c r="T110" i="6"/>
  <c r="T104" i="6"/>
  <c r="O114" i="6"/>
  <c r="BY114" i="6" s="1"/>
  <c r="T101" i="6"/>
  <c r="O111" i="6"/>
  <c r="BA111" i="6" s="1"/>
  <c r="T98" i="6"/>
  <c r="Q71" i="6"/>
  <c r="S71" i="6" s="1"/>
  <c r="U71" i="6" s="1"/>
  <c r="BB96" i="8"/>
  <c r="BC96" i="8" s="1"/>
  <c r="BB38" i="8"/>
  <c r="BC38" i="8" s="1"/>
  <c r="BB105" i="8"/>
  <c r="BC105" i="8" s="1"/>
  <c r="BB106" i="8"/>
  <c r="BC106" i="8" s="1"/>
  <c r="BB90" i="8"/>
  <c r="BC90" i="8" s="1"/>
  <c r="BB54" i="8"/>
  <c r="BC54" i="8" s="1"/>
  <c r="BB67" i="8"/>
  <c r="BC67" i="8" s="1"/>
  <c r="BB43" i="8"/>
  <c r="BC43" i="8" s="1"/>
  <c r="BB107" i="8"/>
  <c r="BC107" i="8" s="1"/>
  <c r="BB73" i="8"/>
  <c r="BC73" i="8" s="1"/>
  <c r="BB93" i="8"/>
  <c r="BC93" i="8" s="1"/>
  <c r="BB35" i="8"/>
  <c r="BC35" i="8" s="1"/>
  <c r="BB60" i="8"/>
  <c r="BC60" i="8" s="1"/>
  <c r="BB63" i="8"/>
  <c r="BC63" i="8" s="1"/>
  <c r="BB88" i="8"/>
  <c r="BC88" i="8" s="1"/>
  <c r="BB61" i="8"/>
  <c r="BC61" i="8" s="1"/>
  <c r="Q24" i="6"/>
  <c r="S24" i="6" s="1"/>
  <c r="U24" i="6" s="1"/>
  <c r="BB49" i="8"/>
  <c r="BC49" i="8" s="1"/>
  <c r="Q75" i="6"/>
  <c r="S75" i="6" s="1"/>
  <c r="U75" i="6" s="1"/>
  <c r="BB100" i="8"/>
  <c r="BC100" i="8" s="1"/>
  <c r="BB80" i="8"/>
  <c r="BC80" i="8" s="1"/>
  <c r="BB113" i="8"/>
  <c r="BC113" i="8" s="1"/>
  <c r="BB52" i="8"/>
  <c r="BC52" i="8" s="1"/>
  <c r="BB68" i="8"/>
  <c r="BC68" i="8" s="1"/>
  <c r="BB66" i="8"/>
  <c r="BC66" i="8" s="1"/>
  <c r="BB99" i="8"/>
  <c r="BC99" i="8" s="1"/>
  <c r="BB50" i="8"/>
  <c r="BC50" i="8" s="1"/>
  <c r="BB57" i="8"/>
  <c r="BC57" i="8" s="1"/>
  <c r="Q51" i="6"/>
  <c r="S51" i="6" s="1"/>
  <c r="BD76" i="8" s="1"/>
  <c r="AO76" i="8" s="1"/>
  <c r="BB76" i="8"/>
  <c r="BC76" i="8" s="1"/>
  <c r="Q14" i="6"/>
  <c r="S14" i="6" s="1"/>
  <c r="BD39" i="8" s="1"/>
  <c r="R39" i="8" s="1"/>
  <c r="BB39" i="8"/>
  <c r="BC39" i="8" s="1"/>
  <c r="BB86" i="8"/>
  <c r="BC86" i="8" s="1"/>
  <c r="BB109" i="8"/>
  <c r="BC109" i="8" s="1"/>
  <c r="BB114" i="8"/>
  <c r="BC114" i="8" s="1"/>
  <c r="BB108" i="8"/>
  <c r="BC108" i="8" s="1"/>
  <c r="BB101" i="8"/>
  <c r="BC101" i="8" s="1"/>
  <c r="BB56" i="8"/>
  <c r="BC56" i="8" s="1"/>
  <c r="BB42" i="8"/>
  <c r="BC42" i="8" s="1"/>
  <c r="BB64" i="8"/>
  <c r="BC64" i="8" s="1"/>
  <c r="BB65" i="8"/>
  <c r="BC65" i="8" s="1"/>
  <c r="BB111" i="8"/>
  <c r="BC111" i="8" s="1"/>
  <c r="BB58" i="8"/>
  <c r="BC58" i="8" s="1"/>
  <c r="BB59" i="8"/>
  <c r="BC59" i="8" s="1"/>
  <c r="BB46" i="8"/>
  <c r="BC46" i="8" s="1"/>
  <c r="BB77" i="8"/>
  <c r="BC77" i="8" s="1"/>
  <c r="BB44" i="8"/>
  <c r="BC44" i="8" s="1"/>
  <c r="BB62" i="8"/>
  <c r="BC62" i="8" s="1"/>
  <c r="BB75" i="8"/>
  <c r="BC75" i="8" s="1"/>
  <c r="BB91" i="8"/>
  <c r="BC91" i="8" s="1"/>
  <c r="BB83" i="8"/>
  <c r="BC83" i="8" s="1"/>
  <c r="BB70" i="8"/>
  <c r="BC70" i="8" s="1"/>
  <c r="Q53" i="6"/>
  <c r="S53" i="6" s="1"/>
  <c r="U53" i="6" s="1"/>
  <c r="BB78" i="8"/>
  <c r="BC78" i="8" s="1"/>
  <c r="BB72" i="8"/>
  <c r="BC72" i="8" s="1"/>
  <c r="BB94" i="8"/>
  <c r="BC94" i="8" s="1"/>
  <c r="BB104" i="8"/>
  <c r="BC104" i="8" s="1"/>
  <c r="BB45" i="8"/>
  <c r="BC45" i="8" s="1"/>
  <c r="BB51" i="8"/>
  <c r="BC51" i="8" s="1"/>
  <c r="BB47" i="8"/>
  <c r="BC47" i="8" s="1"/>
  <c r="BB48" i="8"/>
  <c r="BC48" i="8" s="1"/>
  <c r="BB84" i="8"/>
  <c r="BC84" i="8" s="1"/>
  <c r="BB69" i="8"/>
  <c r="BC69" i="8" s="1"/>
  <c r="BB34" i="8"/>
  <c r="BC34" i="8" s="1"/>
  <c r="BB103" i="8"/>
  <c r="BC103" i="8" s="1"/>
  <c r="BB87" i="8"/>
  <c r="BC87" i="8" s="1"/>
  <c r="BB92" i="8"/>
  <c r="BC92" i="8" s="1"/>
  <c r="BB79" i="8"/>
  <c r="BC79" i="8" s="1"/>
  <c r="BB102" i="8"/>
  <c r="BC102" i="8" s="1"/>
  <c r="BB85" i="8"/>
  <c r="BC85" i="8" s="1"/>
  <c r="BB41" i="8"/>
  <c r="BC41" i="8" s="1"/>
  <c r="BB36" i="8"/>
  <c r="BC36" i="8" s="1"/>
  <c r="BB53" i="8"/>
  <c r="BC53" i="8" s="1"/>
  <c r="BB55" i="8"/>
  <c r="BC55" i="8" s="1"/>
  <c r="BB40" i="8"/>
  <c r="BC40" i="8" s="1"/>
  <c r="Q56" i="6"/>
  <c r="S56" i="6" s="1"/>
  <c r="U56" i="6" s="1"/>
  <c r="BB81" i="8"/>
  <c r="BC81" i="8" s="1"/>
  <c r="BB110" i="8"/>
  <c r="BC110" i="8" s="1"/>
  <c r="BB112" i="8"/>
  <c r="BC112" i="8" s="1"/>
  <c r="BB71" i="8"/>
  <c r="BC71" i="8" s="1"/>
  <c r="BB37" i="8"/>
  <c r="BC37" i="8" s="1"/>
  <c r="BB82" i="8"/>
  <c r="BC82" i="8" s="1"/>
  <c r="BB89" i="8"/>
  <c r="BC89" i="8" s="1"/>
  <c r="BB74" i="8"/>
  <c r="BC74" i="8" s="1"/>
  <c r="BB98" i="8"/>
  <c r="BC98" i="8" s="1"/>
  <c r="BB97" i="8"/>
  <c r="BC97" i="8" s="1"/>
  <c r="BB95" i="8"/>
  <c r="BC95" i="8" s="1"/>
  <c r="O103" i="6"/>
  <c r="O99" i="6"/>
  <c r="O105" i="6"/>
  <c r="O97" i="6"/>
  <c r="O98" i="6"/>
  <c r="O100" i="6"/>
  <c r="O101" i="6"/>
  <c r="O102" i="6"/>
  <c r="BZ711" i="9"/>
  <c r="BD34" i="8"/>
  <c r="AD34" i="8" s="1"/>
  <c r="E474" i="11"/>
  <c r="N1002" i="6" s="1"/>
  <c r="U1002" i="6" s="1"/>
  <c r="U9" i="6"/>
  <c r="O338" i="6"/>
  <c r="O250" i="6"/>
  <c r="O162" i="6"/>
  <c r="O360" i="6"/>
  <c r="O404" i="6"/>
  <c r="O316" i="6"/>
  <c r="O228" i="6"/>
  <c r="O140" i="6"/>
  <c r="O382" i="6"/>
  <c r="O294" i="6"/>
  <c r="O206" i="6"/>
  <c r="O118" i="6"/>
  <c r="O184" i="6"/>
  <c r="O272" i="6"/>
  <c r="O109" i="6"/>
  <c r="O110" i="6"/>
  <c r="O108" i="6"/>
  <c r="O107" i="6"/>
  <c r="O96" i="6"/>
  <c r="AZ118" i="8"/>
  <c r="BA118" i="8"/>
  <c r="BD89" i="8"/>
  <c r="P89" i="8" s="1"/>
  <c r="BD82" i="8"/>
  <c r="AA82" i="8" s="1"/>
  <c r="BD41" i="8"/>
  <c r="AD41" i="8" s="1"/>
  <c r="BD40" i="8"/>
  <c r="BD65" i="8"/>
  <c r="R65" i="8" s="1"/>
  <c r="BD44" i="8"/>
  <c r="AN44" i="8" s="1"/>
  <c r="AL59" i="8"/>
  <c r="BD77" i="8"/>
  <c r="AB77" i="8" s="1"/>
  <c r="AL102" i="8"/>
  <c r="AC102" i="8"/>
  <c r="BD73" i="8"/>
  <c r="AB73" i="8" s="1"/>
  <c r="BD92" i="8"/>
  <c r="P92" i="8" s="1"/>
  <c r="BD94" i="8"/>
  <c r="Q94" i="8" s="1"/>
  <c r="BD52" i="8"/>
  <c r="AN52" i="8" s="1"/>
  <c r="BD100" i="8"/>
  <c r="AN100" i="8" s="1"/>
  <c r="BD87" i="8"/>
  <c r="AN87" i="8" s="1"/>
  <c r="U16" i="6"/>
  <c r="R59" i="8"/>
  <c r="BD72" i="8"/>
  <c r="AD72" i="8" s="1"/>
  <c r="BD55" i="8"/>
  <c r="AO55" i="8" s="1"/>
  <c r="AA59" i="8"/>
  <c r="AO59" i="8"/>
  <c r="BD80" i="8"/>
  <c r="AC80" i="8" s="1"/>
  <c r="BD36" i="8"/>
  <c r="AN36" i="8" s="1"/>
  <c r="R102" i="8"/>
  <c r="BD81" i="8"/>
  <c r="AO81" i="8" s="1"/>
  <c r="BD46" i="8"/>
  <c r="AN46" i="8" s="1"/>
  <c r="AC51" i="8"/>
  <c r="BD61" i="8"/>
  <c r="AM61" i="8" s="1"/>
  <c r="U57" i="6"/>
  <c r="Q59" i="8"/>
  <c r="AN59" i="8"/>
  <c r="BD111" i="8"/>
  <c r="AN111" i="8" s="1"/>
  <c r="BD112" i="8"/>
  <c r="P112" i="8" s="1"/>
  <c r="BD86" i="8"/>
  <c r="AB86" i="8" s="1"/>
  <c r="BD109" i="8"/>
  <c r="R109" i="8" s="1"/>
  <c r="BD93" i="8"/>
  <c r="AD93" i="8" s="1"/>
  <c r="S59" i="8"/>
  <c r="BD105" i="8"/>
  <c r="BD71" i="8"/>
  <c r="R71" i="8" s="1"/>
  <c r="BD114" i="8"/>
  <c r="AO114" i="8" s="1"/>
  <c r="BD38" i="8"/>
  <c r="AB38" i="8" s="1"/>
  <c r="BD110" i="8"/>
  <c r="AO110" i="8" s="1"/>
  <c r="U13" i="6"/>
  <c r="AC59" i="8"/>
  <c r="BD58" i="8"/>
  <c r="AA58" i="8" s="1"/>
  <c r="BD106" i="8"/>
  <c r="AC106" i="8" s="1"/>
  <c r="BD84" i="8"/>
  <c r="S84" i="8" s="1"/>
  <c r="BD43" i="8"/>
  <c r="Q43" i="8" s="1"/>
  <c r="AD59" i="8"/>
  <c r="BD57" i="8"/>
  <c r="AD57" i="8" s="1"/>
  <c r="BD85" i="8"/>
  <c r="R85" i="8" s="1"/>
  <c r="BD75" i="8"/>
  <c r="AO75" i="8" s="1"/>
  <c r="AB59" i="8"/>
  <c r="BD79" i="8"/>
  <c r="AC79" i="8" s="1"/>
  <c r="BD42" i="8"/>
  <c r="R42" i="8" s="1"/>
  <c r="BD45" i="8"/>
  <c r="AO45" i="8" s="1"/>
  <c r="P59" i="8"/>
  <c r="BD107" i="8"/>
  <c r="P107" i="8" s="1"/>
  <c r="BD108" i="8"/>
  <c r="P108" i="8" s="1"/>
  <c r="BD104" i="8"/>
  <c r="AA104" i="8" s="1"/>
  <c r="BD113" i="8"/>
  <c r="P113" i="8" s="1"/>
  <c r="BD78" i="8"/>
  <c r="S78" i="8" s="1"/>
  <c r="BD35" i="8"/>
  <c r="AM35" i="8" s="1"/>
  <c r="BD37" i="8"/>
  <c r="R37" i="8" s="1"/>
  <c r="BD67" i="8"/>
  <c r="AL67" i="8" s="1"/>
  <c r="BD96" i="8"/>
  <c r="AB51" i="8"/>
  <c r="P51" i="8"/>
  <c r="AD51" i="8"/>
  <c r="AM51" i="8"/>
  <c r="R51" i="8"/>
  <c r="Q51" i="8"/>
  <c r="AN51" i="8"/>
  <c r="AO51" i="8"/>
  <c r="AA51" i="8"/>
  <c r="U44" i="6"/>
  <c r="S51" i="8"/>
  <c r="U26" i="6"/>
  <c r="BD68" i="8"/>
  <c r="AN68" i="8" s="1"/>
  <c r="U535" i="6"/>
  <c r="L5" i="2" s="1"/>
  <c r="AA102" i="8"/>
  <c r="AO102" i="8"/>
  <c r="S102" i="8"/>
  <c r="AN102" i="8"/>
  <c r="AD102" i="8"/>
  <c r="AM102" i="8"/>
  <c r="U77" i="6"/>
  <c r="AB102" i="8"/>
  <c r="Q102" i="8"/>
  <c r="P102" i="8"/>
  <c r="CZ213" i="9"/>
  <c r="U72" i="6"/>
  <c r="BD50" i="8"/>
  <c r="P50" i="8" s="1"/>
  <c r="U45" i="6"/>
  <c r="BD101" i="8"/>
  <c r="AL101" i="8" s="1"/>
  <c r="BD83" i="8"/>
  <c r="Q83" i="8" s="1"/>
  <c r="U78" i="6"/>
  <c r="U28" i="6"/>
  <c r="BD56" i="8"/>
  <c r="BD54" i="8"/>
  <c r="U29" i="6"/>
  <c r="U49" i="6"/>
  <c r="BD74" i="8"/>
  <c r="U66" i="6"/>
  <c r="BD91" i="8"/>
  <c r="BD98" i="8"/>
  <c r="U73" i="6"/>
  <c r="U70" i="6"/>
  <c r="BD95" i="8"/>
  <c r="U39" i="6"/>
  <c r="BD64" i="8"/>
  <c r="BD48" i="8"/>
  <c r="U23" i="6"/>
  <c r="U35" i="6"/>
  <c r="BD60" i="8"/>
  <c r="BD88" i="8"/>
  <c r="U63" i="6"/>
  <c r="BD49" i="8"/>
  <c r="BD47" i="8"/>
  <c r="U22" i="6"/>
  <c r="BD99" i="8"/>
  <c r="U74" i="6"/>
  <c r="U37" i="6"/>
  <c r="BD62" i="8"/>
  <c r="AA70" i="8"/>
  <c r="AL70" i="8"/>
  <c r="AB70" i="8"/>
  <c r="AO70" i="8"/>
  <c r="Q70" i="8"/>
  <c r="AD70" i="8"/>
  <c r="AM70" i="8"/>
  <c r="AC70" i="8"/>
  <c r="P70" i="8"/>
  <c r="R70" i="8"/>
  <c r="S70" i="8"/>
  <c r="AN70" i="8"/>
  <c r="AA97" i="8"/>
  <c r="AD97" i="8"/>
  <c r="AO97" i="8"/>
  <c r="R97" i="8"/>
  <c r="AN97" i="8"/>
  <c r="AC97" i="8"/>
  <c r="AM97" i="8"/>
  <c r="AL97" i="8"/>
  <c r="S97" i="8"/>
  <c r="AB97" i="8"/>
  <c r="Q97" i="8"/>
  <c r="P97" i="8"/>
  <c r="BD90" i="8"/>
  <c r="U65" i="6"/>
  <c r="U38" i="6"/>
  <c r="BD63" i="8"/>
  <c r="AM53" i="8"/>
  <c r="AL53" i="8"/>
  <c r="R53" i="8"/>
  <c r="AB53" i="8"/>
  <c r="Q53" i="8"/>
  <c r="S53" i="8"/>
  <c r="AC53" i="8"/>
  <c r="AA53" i="8"/>
  <c r="AO53" i="8"/>
  <c r="AD53" i="8"/>
  <c r="AN53" i="8"/>
  <c r="P53" i="8"/>
  <c r="BD66" i="8"/>
  <c r="U41" i="6"/>
  <c r="Q103" i="8"/>
  <c r="AO103" i="8"/>
  <c r="P103" i="8"/>
  <c r="R103" i="8"/>
  <c r="S103" i="8"/>
  <c r="AL103" i="8"/>
  <c r="AN103" i="8"/>
  <c r="AB103" i="8"/>
  <c r="AM103" i="8"/>
  <c r="AD103" i="8"/>
  <c r="AC103" i="8"/>
  <c r="AA103" i="8"/>
  <c r="AN69" i="8"/>
  <c r="AM69" i="8"/>
  <c r="S69" i="8"/>
  <c r="AL69" i="8"/>
  <c r="AD69" i="8"/>
  <c r="AC69" i="8"/>
  <c r="AB69" i="8"/>
  <c r="AA69" i="8"/>
  <c r="Q69" i="8"/>
  <c r="AO69" i="8"/>
  <c r="P69" i="8"/>
  <c r="R69" i="8"/>
  <c r="E238" i="6" l="1"/>
  <c r="H212" i="6"/>
  <c r="H332" i="6"/>
  <c r="H128" i="6"/>
  <c r="D211" i="6"/>
  <c r="H197" i="6"/>
  <c r="H324" i="6"/>
  <c r="D431" i="6"/>
  <c r="E191" i="6"/>
  <c r="E215" i="6"/>
  <c r="H187" i="6"/>
  <c r="D430" i="6"/>
  <c r="H222" i="6"/>
  <c r="H321" i="6"/>
  <c r="E432" i="6"/>
  <c r="D155" i="6"/>
  <c r="H217" i="6"/>
  <c r="H210" i="6"/>
  <c r="H220" i="6"/>
  <c r="CC365" i="9"/>
  <c r="BT365" i="9"/>
  <c r="L236" i="6" s="1"/>
  <c r="G236" i="6" s="1"/>
  <c r="H330" i="6"/>
  <c r="H209" i="6"/>
  <c r="BT654" i="9"/>
  <c r="L501" i="6" s="1"/>
  <c r="G501" i="6" s="1"/>
  <c r="BU363" i="9"/>
  <c r="M234" i="6" s="1"/>
  <c r="H234" i="6" s="1"/>
  <c r="BU271" i="9"/>
  <c r="M150" i="6" s="1"/>
  <c r="H150" i="6" s="1"/>
  <c r="BT368" i="9"/>
  <c r="L239" i="6" s="1"/>
  <c r="D239" i="6" s="1"/>
  <c r="BU365" i="9"/>
  <c r="M236" i="6" s="1"/>
  <c r="E236" i="6" s="1"/>
  <c r="BT254" i="9"/>
  <c r="L135" i="6" s="1"/>
  <c r="BU654" i="9"/>
  <c r="M501" i="6" s="1"/>
  <c r="E501" i="6" s="1"/>
  <c r="BU278" i="9"/>
  <c r="M157" i="6" s="1"/>
  <c r="BU368" i="9"/>
  <c r="M239" i="6" s="1"/>
  <c r="H239" i="6" s="1"/>
  <c r="BU254" i="9"/>
  <c r="M135" i="6" s="1"/>
  <c r="BT273" i="9"/>
  <c r="L152" i="6" s="1"/>
  <c r="G152" i="6" s="1"/>
  <c r="BT271" i="9"/>
  <c r="L150" i="6" s="1"/>
  <c r="G150" i="6" s="1"/>
  <c r="BT505" i="9"/>
  <c r="L364" i="6" s="1"/>
  <c r="H198" i="6"/>
  <c r="CB610" i="9"/>
  <c r="BT610" i="9"/>
  <c r="L461" i="6" s="1"/>
  <c r="BU610" i="9"/>
  <c r="M461" i="6" s="1"/>
  <c r="H194" i="6"/>
  <c r="D189" i="6"/>
  <c r="H433" i="6"/>
  <c r="BU362" i="9"/>
  <c r="M233" i="6" s="1"/>
  <c r="E233" i="6" s="1"/>
  <c r="CB612" i="9"/>
  <c r="BT612" i="9"/>
  <c r="L463" i="6" s="1"/>
  <c r="BU612" i="9"/>
  <c r="M463" i="6" s="1"/>
  <c r="CB607" i="9"/>
  <c r="BT607" i="9"/>
  <c r="L458" i="6" s="1"/>
  <c r="BU607" i="9"/>
  <c r="M458" i="6" s="1"/>
  <c r="CB398" i="9"/>
  <c r="BT398" i="9"/>
  <c r="L267" i="6" s="1"/>
  <c r="BU398" i="9"/>
  <c r="M267" i="6" s="1"/>
  <c r="D441" i="6"/>
  <c r="D188" i="6"/>
  <c r="H190" i="6"/>
  <c r="CB649" i="9"/>
  <c r="BT649" i="9"/>
  <c r="L496" i="6" s="1"/>
  <c r="H319" i="6"/>
  <c r="CB362" i="9"/>
  <c r="BT362" i="9"/>
  <c r="L233" i="6" s="1"/>
  <c r="G233" i="6" s="1"/>
  <c r="CB273" i="9"/>
  <c r="BU273" i="9"/>
  <c r="M152" i="6" s="1"/>
  <c r="E152" i="6" s="1"/>
  <c r="CB662" i="9"/>
  <c r="BT662" i="9"/>
  <c r="L509" i="6" s="1"/>
  <c r="G318" i="6"/>
  <c r="G196" i="6"/>
  <c r="D190" i="6"/>
  <c r="CB251" i="9"/>
  <c r="BU251" i="9"/>
  <c r="M132" i="6" s="1"/>
  <c r="H132" i="6" s="1"/>
  <c r="BT251" i="9"/>
  <c r="L132" i="6" s="1"/>
  <c r="CB556" i="9"/>
  <c r="BT556" i="9"/>
  <c r="L411" i="6" s="1"/>
  <c r="K401" i="9"/>
  <c r="G649" i="11" s="1"/>
  <c r="CB387" i="9"/>
  <c r="EG357" i="9"/>
  <c r="BP377" i="9"/>
  <c r="BL648" i="11" s="1"/>
  <c r="AA377" i="9"/>
  <c r="W648" i="11" s="1"/>
  <c r="CR357" i="9"/>
  <c r="CD357" i="9"/>
  <c r="M377" i="9"/>
  <c r="I648" i="11" s="1"/>
  <c r="CB608" i="9"/>
  <c r="BU608" i="9"/>
  <c r="M459" i="6" s="1"/>
  <c r="BT608" i="9"/>
  <c r="L459" i="6" s="1"/>
  <c r="D459" i="6" s="1"/>
  <c r="EI357" i="9"/>
  <c r="BR377" i="9"/>
  <c r="BN648" i="11" s="1"/>
  <c r="CB363" i="9"/>
  <c r="BT363" i="9"/>
  <c r="L234" i="6" s="1"/>
  <c r="G234" i="6" s="1"/>
  <c r="CJ615" i="9"/>
  <c r="BT615" i="9"/>
  <c r="L466" i="6" s="1"/>
  <c r="BU615" i="9"/>
  <c r="M466" i="6" s="1"/>
  <c r="CB488" i="9"/>
  <c r="BU488" i="9"/>
  <c r="M349" i="6" s="1"/>
  <c r="E349" i="6" s="1"/>
  <c r="BT488" i="9"/>
  <c r="L349" i="6" s="1"/>
  <c r="G349" i="6" s="1"/>
  <c r="CC397" i="9"/>
  <c r="BT397" i="9"/>
  <c r="L266" i="6" s="1"/>
  <c r="BU397" i="9"/>
  <c r="M266" i="6" s="1"/>
  <c r="DR552" i="9"/>
  <c r="BA569" i="9"/>
  <c r="AW656" i="11" s="1"/>
  <c r="DU552" i="9"/>
  <c r="BD569" i="9"/>
  <c r="AZ656" i="11" s="1"/>
  <c r="CQ552" i="9"/>
  <c r="Z569" i="9"/>
  <c r="V656" i="11" s="1"/>
  <c r="EH552" i="9"/>
  <c r="BQ569" i="9"/>
  <c r="BM656" i="11" s="1"/>
  <c r="CC558" i="9"/>
  <c r="BU558" i="9"/>
  <c r="M413" i="6" s="1"/>
  <c r="BT558" i="9"/>
  <c r="L413" i="6" s="1"/>
  <c r="CD241" i="9"/>
  <c r="BT241" i="9"/>
  <c r="L122" i="6" s="1"/>
  <c r="G122" i="6" s="1"/>
  <c r="BU241" i="9"/>
  <c r="M122" i="6" s="1"/>
  <c r="H122" i="6" s="1"/>
  <c r="DL478" i="9"/>
  <c r="AU497" i="9"/>
  <c r="AQ653" i="11" s="1"/>
  <c r="CC361" i="9"/>
  <c r="BT361" i="9"/>
  <c r="L232" i="6" s="1"/>
  <c r="D232" i="6" s="1"/>
  <c r="BU361" i="9"/>
  <c r="M232" i="6" s="1"/>
  <c r="H232" i="6" s="1"/>
  <c r="CB599" i="9"/>
  <c r="K617" i="9"/>
  <c r="G658" i="11" s="1"/>
  <c r="BU599" i="9"/>
  <c r="M450" i="6" s="1"/>
  <c r="CO364" i="9"/>
  <c r="X377" i="9"/>
  <c r="T648" i="11" s="1"/>
  <c r="CX549" i="9"/>
  <c r="AG569" i="9"/>
  <c r="AC656" i="11" s="1"/>
  <c r="AQ569" i="9"/>
  <c r="AM656" i="11" s="1"/>
  <c r="DH549" i="9"/>
  <c r="BO569" i="9"/>
  <c r="BK656" i="11" s="1"/>
  <c r="EF549" i="9"/>
  <c r="CE555" i="9"/>
  <c r="BU555" i="9"/>
  <c r="M410" i="6" s="1"/>
  <c r="BT555" i="9"/>
  <c r="L410" i="6" s="1"/>
  <c r="D426" i="6"/>
  <c r="G426" i="6"/>
  <c r="H426" i="6"/>
  <c r="E426" i="6"/>
  <c r="G213" i="6"/>
  <c r="E213" i="6"/>
  <c r="D213" i="6"/>
  <c r="E208" i="6"/>
  <c r="G208" i="6"/>
  <c r="E186" i="6"/>
  <c r="H186" i="6"/>
  <c r="D428" i="6"/>
  <c r="E428" i="6"/>
  <c r="E214" i="6"/>
  <c r="H214" i="6"/>
  <c r="H429" i="6"/>
  <c r="E429" i="6"/>
  <c r="H195" i="6"/>
  <c r="D195" i="6"/>
  <c r="G195" i="6"/>
  <c r="H435" i="6"/>
  <c r="G435" i="6"/>
  <c r="E325" i="6"/>
  <c r="H325" i="6"/>
  <c r="E329" i="6"/>
  <c r="D329" i="6"/>
  <c r="H196" i="6"/>
  <c r="E196" i="6"/>
  <c r="BU429" i="9"/>
  <c r="M294" i="6" s="1"/>
  <c r="BU238" i="9"/>
  <c r="M119" i="6" s="1"/>
  <c r="E439" i="6"/>
  <c r="D440" i="6"/>
  <c r="BU649" i="9"/>
  <c r="M496" i="6" s="1"/>
  <c r="H496" i="6" s="1"/>
  <c r="BU603" i="9"/>
  <c r="M454" i="6" s="1"/>
  <c r="H454" i="6" s="1"/>
  <c r="BT238" i="9"/>
  <c r="L119" i="6" s="1"/>
  <c r="AQ332" i="6"/>
  <c r="E331" i="6"/>
  <c r="H436" i="6"/>
  <c r="BU505" i="9"/>
  <c r="M364" i="6" s="1"/>
  <c r="H364" i="6" s="1"/>
  <c r="BU662" i="9"/>
  <c r="M509" i="6" s="1"/>
  <c r="BT603" i="9"/>
  <c r="L454" i="6" s="1"/>
  <c r="G454" i="6" s="1"/>
  <c r="H326" i="6"/>
  <c r="D219" i="6"/>
  <c r="BK569" i="9"/>
  <c r="BG656" i="11" s="1"/>
  <c r="AG329" i="6"/>
  <c r="BF331" i="6"/>
  <c r="E318" i="6"/>
  <c r="E441" i="6"/>
  <c r="G441" i="6"/>
  <c r="G215" i="6"/>
  <c r="E431" i="6"/>
  <c r="G187" i="6"/>
  <c r="D215" i="6"/>
  <c r="H431" i="6"/>
  <c r="G431" i="6"/>
  <c r="D191" i="6"/>
  <c r="G191" i="6"/>
  <c r="H191" i="6"/>
  <c r="H215" i="6"/>
  <c r="BT429" i="9"/>
  <c r="L294" i="6" s="1"/>
  <c r="BA377" i="9"/>
  <c r="AW648" i="11" s="1"/>
  <c r="AR569" i="9"/>
  <c r="AN656" i="11" s="1"/>
  <c r="K569" i="9"/>
  <c r="G656" i="11" s="1"/>
  <c r="AY569" i="9"/>
  <c r="AU656" i="11" s="1"/>
  <c r="E209" i="6"/>
  <c r="AO569" i="9"/>
  <c r="AK656" i="11" s="1"/>
  <c r="G221" i="6"/>
  <c r="BU501" i="9"/>
  <c r="M360" i="6" s="1"/>
  <c r="G428" i="6"/>
  <c r="E374" i="6"/>
  <c r="H428" i="6"/>
  <c r="G437" i="6"/>
  <c r="G219" i="6"/>
  <c r="D199" i="6"/>
  <c r="E197" i="6"/>
  <c r="BT243" i="9"/>
  <c r="L124" i="6" s="1"/>
  <c r="G124" i="6" s="1"/>
  <c r="BB569" i="9"/>
  <c r="AX656" i="11" s="1"/>
  <c r="BT252" i="9"/>
  <c r="L133" i="6" s="1"/>
  <c r="D133" i="6" s="1"/>
  <c r="BJ569" i="9"/>
  <c r="BF656" i="11" s="1"/>
  <c r="E438" i="6"/>
  <c r="BU623" i="9"/>
  <c r="M472" i="6" s="1"/>
  <c r="E472" i="6" s="1"/>
  <c r="BU557" i="9"/>
  <c r="M412" i="6" s="1"/>
  <c r="AD377" i="9"/>
  <c r="Z648" i="11" s="1"/>
  <c r="BU656" i="9"/>
  <c r="M503" i="6" s="1"/>
  <c r="E503" i="6" s="1"/>
  <c r="AL569" i="9"/>
  <c r="AH656" i="11" s="1"/>
  <c r="AA569" i="9"/>
  <c r="W656" i="11" s="1"/>
  <c r="BT656" i="9"/>
  <c r="L503" i="6" s="1"/>
  <c r="E437" i="6"/>
  <c r="E440" i="6"/>
  <c r="G200" i="6"/>
  <c r="D221" i="6"/>
  <c r="BU640" i="9"/>
  <c r="M489" i="6" s="1"/>
  <c r="H188" i="6"/>
  <c r="H327" i="6"/>
  <c r="G436" i="6"/>
  <c r="D214" i="6"/>
  <c r="G321" i="6"/>
  <c r="BU561" i="9"/>
  <c r="M416" i="6" s="1"/>
  <c r="BU614" i="9"/>
  <c r="M465" i="6" s="1"/>
  <c r="BU602" i="9"/>
  <c r="M453" i="6" s="1"/>
  <c r="G440" i="6"/>
  <c r="BT623" i="9"/>
  <c r="L472" i="6" s="1"/>
  <c r="D192" i="6"/>
  <c r="BT550" i="9"/>
  <c r="L405" i="6" s="1"/>
  <c r="BT492" i="9"/>
  <c r="L353" i="6" s="1"/>
  <c r="D353" i="6" s="1"/>
  <c r="BT561" i="9"/>
  <c r="L416" i="6" s="1"/>
  <c r="BT687" i="9"/>
  <c r="L532" i="6" s="1"/>
  <c r="AC377" i="9"/>
  <c r="Y648" i="11" s="1"/>
  <c r="BT597" i="9"/>
  <c r="L448" i="6" s="1"/>
  <c r="BU253" i="9"/>
  <c r="M134" i="6" s="1"/>
  <c r="H134" i="6" s="1"/>
  <c r="BT280" i="9"/>
  <c r="L159" i="6" s="1"/>
  <c r="BT385" i="9"/>
  <c r="L254" i="6" s="1"/>
  <c r="D254" i="6" s="1"/>
  <c r="BT600" i="9"/>
  <c r="L451" i="6" s="1"/>
  <c r="E188" i="6"/>
  <c r="BU600" i="9"/>
  <c r="M451" i="6" s="1"/>
  <c r="BU597" i="9"/>
  <c r="M448" i="6" s="1"/>
  <c r="G214" i="6"/>
  <c r="AK569" i="9"/>
  <c r="AG656" i="11" s="1"/>
  <c r="BT640" i="9"/>
  <c r="L489" i="6" s="1"/>
  <c r="BT265" i="9"/>
  <c r="L144" i="6" s="1"/>
  <c r="G144" i="6" s="1"/>
  <c r="E327" i="6"/>
  <c r="BU687" i="9"/>
  <c r="M532" i="6" s="1"/>
  <c r="AZ497" i="9"/>
  <c r="AV653" i="11" s="1"/>
  <c r="BT602" i="9"/>
  <c r="L453" i="6" s="1"/>
  <c r="D453" i="6" s="1"/>
  <c r="G212" i="6"/>
  <c r="E323" i="6"/>
  <c r="G439" i="6"/>
  <c r="BC569" i="9"/>
  <c r="AY656" i="11" s="1"/>
  <c r="AY497" i="9"/>
  <c r="AU653" i="11" s="1"/>
  <c r="Z377" i="9"/>
  <c r="V648" i="11" s="1"/>
  <c r="BU359" i="9"/>
  <c r="M230" i="6" s="1"/>
  <c r="E230" i="6" s="1"/>
  <c r="AE377" i="9"/>
  <c r="AA648" i="11" s="1"/>
  <c r="BU487" i="9"/>
  <c r="M348" i="6" s="1"/>
  <c r="D193" i="6"/>
  <c r="BG377" i="9"/>
  <c r="BC648" i="11" s="1"/>
  <c r="H323" i="6"/>
  <c r="D437" i="6"/>
  <c r="BC377" i="9"/>
  <c r="AY648" i="11" s="1"/>
  <c r="BU372" i="9"/>
  <c r="M243" i="6" s="1"/>
  <c r="H243" i="6" s="1"/>
  <c r="BU280" i="9"/>
  <c r="M159" i="6" s="1"/>
  <c r="BB377" i="9"/>
  <c r="AX648" i="11" s="1"/>
  <c r="BU661" i="9"/>
  <c r="M508" i="6" s="1"/>
  <c r="H508" i="6" s="1"/>
  <c r="BT359" i="9"/>
  <c r="L230" i="6" s="1"/>
  <c r="D230" i="6" s="1"/>
  <c r="BU567" i="9"/>
  <c r="M422" i="6" s="1"/>
  <c r="BT560" i="9"/>
  <c r="L415" i="6" s="1"/>
  <c r="BT613" i="9"/>
  <c r="L464" i="6" s="1"/>
  <c r="G464" i="6" s="1"/>
  <c r="D209" i="6"/>
  <c r="BT567" i="9"/>
  <c r="L422" i="6" s="1"/>
  <c r="BU560" i="9"/>
  <c r="M415" i="6" s="1"/>
  <c r="BT599" i="9"/>
  <c r="L450" i="6" s="1"/>
  <c r="BU613" i="9"/>
  <c r="M464" i="6" s="1"/>
  <c r="E464" i="6" s="1"/>
  <c r="E212" i="6"/>
  <c r="BU492" i="9"/>
  <c r="M353" i="6" s="1"/>
  <c r="E353" i="6" s="1"/>
  <c r="BT661" i="9"/>
  <c r="L508" i="6" s="1"/>
  <c r="D508" i="6" s="1"/>
  <c r="G322" i="6"/>
  <c r="BU550" i="9"/>
  <c r="M405" i="6" s="1"/>
  <c r="AH617" i="9"/>
  <c r="AD658" i="11" s="1"/>
  <c r="AB569" i="9"/>
  <c r="X656" i="11" s="1"/>
  <c r="BU484" i="9"/>
  <c r="M345" i="6" s="1"/>
  <c r="E345" i="6" s="1"/>
  <c r="BZ221" i="9"/>
  <c r="AV311" i="6"/>
  <c r="H199" i="6"/>
  <c r="H155" i="6"/>
  <c r="E199" i="6"/>
  <c r="H219" i="6"/>
  <c r="E326" i="6"/>
  <c r="E219" i="6"/>
  <c r="BA311" i="6"/>
  <c r="E155" i="6"/>
  <c r="D326" i="6"/>
  <c r="D327" i="6"/>
  <c r="AG311" i="6"/>
  <c r="E218" i="6"/>
  <c r="AQ311" i="6"/>
  <c r="G189" i="6"/>
  <c r="G218" i="6"/>
  <c r="G326" i="6"/>
  <c r="G327" i="6"/>
  <c r="D218" i="6"/>
  <c r="D316" i="6"/>
  <c r="E189" i="6"/>
  <c r="BU624" i="9"/>
  <c r="M473" i="6" s="1"/>
  <c r="E473" i="6" s="1"/>
  <c r="AQ257" i="9"/>
  <c r="AM643" i="11" s="1"/>
  <c r="U569" i="9"/>
  <c r="Q656" i="11" s="1"/>
  <c r="BU244" i="9"/>
  <c r="M125" i="6" s="1"/>
  <c r="E125" i="6" s="1"/>
  <c r="BT253" i="9"/>
  <c r="L134" i="6" s="1"/>
  <c r="G134" i="6" s="1"/>
  <c r="D374" i="6"/>
  <c r="BT244" i="9"/>
  <c r="L125" i="6" s="1"/>
  <c r="D125" i="6" s="1"/>
  <c r="BN257" i="9"/>
  <c r="BJ643" i="11" s="1"/>
  <c r="AF569" i="9"/>
  <c r="AB656" i="11" s="1"/>
  <c r="X569" i="9"/>
  <c r="T656" i="11" s="1"/>
  <c r="BN569" i="9"/>
  <c r="BJ656" i="11" s="1"/>
  <c r="BT501" i="9"/>
  <c r="L360" i="6" s="1"/>
  <c r="E319" i="6"/>
  <c r="AQ377" i="9"/>
  <c r="AM648" i="11" s="1"/>
  <c r="BU265" i="9"/>
  <c r="M144" i="6" s="1"/>
  <c r="E144" i="6" s="1"/>
  <c r="D322" i="6"/>
  <c r="BA330" i="6"/>
  <c r="E217" i="6"/>
  <c r="H480" i="6"/>
  <c r="E322" i="6"/>
  <c r="E316" i="6"/>
  <c r="H213" i="6"/>
  <c r="E332" i="6"/>
  <c r="D480" i="6"/>
  <c r="D332" i="6"/>
  <c r="D432" i="6"/>
  <c r="H432" i="6"/>
  <c r="D217" i="6"/>
  <c r="G332" i="6"/>
  <c r="G432" i="6"/>
  <c r="G442" i="6"/>
  <c r="G197" i="6"/>
  <c r="BU392" i="9"/>
  <c r="M261" i="6" s="1"/>
  <c r="BT554" i="9"/>
  <c r="L409" i="6" s="1"/>
  <c r="D409" i="6" s="1"/>
  <c r="BU563" i="9"/>
  <c r="M418" i="6" s="1"/>
  <c r="E418" i="6" s="1"/>
  <c r="CB549" i="9"/>
  <c r="BU606" i="9"/>
  <c r="M457" i="6" s="1"/>
  <c r="BU616" i="9"/>
  <c r="M467" i="6" s="1"/>
  <c r="E324" i="6"/>
  <c r="BU400" i="9"/>
  <c r="M269" i="6" s="1"/>
  <c r="BT606" i="9"/>
  <c r="L457" i="6" s="1"/>
  <c r="BT616" i="9"/>
  <c r="L467" i="6" s="1"/>
  <c r="BU611" i="9"/>
  <c r="M462" i="6" s="1"/>
  <c r="BT685" i="9"/>
  <c r="L530" i="6" s="1"/>
  <c r="G192" i="6"/>
  <c r="H331" i="6"/>
  <c r="D436" i="6"/>
  <c r="H438" i="6"/>
  <c r="BT256" i="9"/>
  <c r="L137" i="6" s="1"/>
  <c r="BJ497" i="9"/>
  <c r="BF653" i="11" s="1"/>
  <c r="AV377" i="9"/>
  <c r="AR648" i="11" s="1"/>
  <c r="G128" i="6"/>
  <c r="AM569" i="9"/>
  <c r="AI656" i="11" s="1"/>
  <c r="BT364" i="9"/>
  <c r="L235" i="6" s="1"/>
  <c r="G235" i="6" s="1"/>
  <c r="U377" i="9"/>
  <c r="Q648" i="11" s="1"/>
  <c r="CW549" i="9"/>
  <c r="CL549" i="9"/>
  <c r="CO549" i="9"/>
  <c r="BT493" i="9"/>
  <c r="L354" i="6" s="1"/>
  <c r="BU373" i="9"/>
  <c r="M244" i="6" s="1"/>
  <c r="BT389" i="9"/>
  <c r="L258" i="6" s="1"/>
  <c r="BU604" i="9"/>
  <c r="M455" i="6" s="1"/>
  <c r="BU688" i="9"/>
  <c r="M533" i="6" s="1"/>
  <c r="H192" i="6"/>
  <c r="D208" i="6"/>
  <c r="H322" i="6"/>
  <c r="E360" i="6"/>
  <c r="D435" i="6"/>
  <c r="BU371" i="9"/>
  <c r="M242" i="6" s="1"/>
  <c r="BU242" i="9"/>
  <c r="M123" i="6" s="1"/>
  <c r="E123" i="6" s="1"/>
  <c r="BR569" i="9"/>
  <c r="BN656" i="11" s="1"/>
  <c r="BU364" i="9"/>
  <c r="M235" i="6" s="1"/>
  <c r="E235" i="6" s="1"/>
  <c r="BT494" i="9"/>
  <c r="L355" i="6" s="1"/>
  <c r="BT278" i="9"/>
  <c r="L157" i="6" s="1"/>
  <c r="BK377" i="9"/>
  <c r="BG648" i="11" s="1"/>
  <c r="AM377" i="9"/>
  <c r="AI648" i="11" s="1"/>
  <c r="BT372" i="9"/>
  <c r="L243" i="6" s="1"/>
  <c r="D243" i="6" s="1"/>
  <c r="BU388" i="9"/>
  <c r="M257" i="6" s="1"/>
  <c r="BT551" i="9"/>
  <c r="L406" i="6" s="1"/>
  <c r="G406" i="6" s="1"/>
  <c r="BU389" i="9"/>
  <c r="M258" i="6" s="1"/>
  <c r="E258" i="6" s="1"/>
  <c r="BU671" i="9"/>
  <c r="M516" i="6" s="1"/>
  <c r="D360" i="6"/>
  <c r="BE377" i="9"/>
  <c r="BA648" i="11" s="1"/>
  <c r="BT371" i="9"/>
  <c r="L242" i="6" s="1"/>
  <c r="D242" i="6" s="1"/>
  <c r="AR377" i="9"/>
  <c r="AN648" i="11" s="1"/>
  <c r="AZ569" i="9"/>
  <c r="AV656" i="11" s="1"/>
  <c r="E321" i="6"/>
  <c r="AF377" i="9"/>
  <c r="AB648" i="11" s="1"/>
  <c r="AY377" i="9"/>
  <c r="AU648" i="11" s="1"/>
  <c r="AD569" i="9"/>
  <c r="Z656" i="11" s="1"/>
  <c r="BI569" i="9"/>
  <c r="BE656" i="11" s="1"/>
  <c r="BN377" i="9"/>
  <c r="BJ648" i="11" s="1"/>
  <c r="BU394" i="9"/>
  <c r="M263" i="6" s="1"/>
  <c r="BU605" i="9"/>
  <c r="M456" i="6" s="1"/>
  <c r="E192" i="6"/>
  <c r="H208" i="6"/>
  <c r="BU387" i="9"/>
  <c r="M256" i="6" s="1"/>
  <c r="BU676" i="9"/>
  <c r="M521" i="6" s="1"/>
  <c r="E128" i="6"/>
  <c r="H316" i="6"/>
  <c r="D324" i="6"/>
  <c r="E436" i="6"/>
  <c r="G480" i="6"/>
  <c r="BD377" i="9"/>
  <c r="AZ648" i="11" s="1"/>
  <c r="BT374" i="9"/>
  <c r="L245" i="6" s="1"/>
  <c r="BU239" i="9"/>
  <c r="M120" i="6" s="1"/>
  <c r="E120" i="6" s="1"/>
  <c r="K377" i="9"/>
  <c r="G648" i="11" s="1"/>
  <c r="BT267" i="9"/>
  <c r="L146" i="6" s="1"/>
  <c r="AV569" i="9"/>
  <c r="AR656" i="11" s="1"/>
  <c r="BF569" i="9"/>
  <c r="BB656" i="11" s="1"/>
  <c r="EE549" i="9"/>
  <c r="AN377" i="9"/>
  <c r="AJ648" i="11" s="1"/>
  <c r="BT604" i="9"/>
  <c r="L455" i="6" s="1"/>
  <c r="BT605" i="9"/>
  <c r="L456" i="6" s="1"/>
  <c r="AC497" i="9"/>
  <c r="Y653" i="11" s="1"/>
  <c r="BU490" i="9"/>
  <c r="M351" i="6" s="1"/>
  <c r="BT387" i="9"/>
  <c r="L256" i="6" s="1"/>
  <c r="BU601" i="9"/>
  <c r="M452" i="6" s="1"/>
  <c r="BT611" i="9"/>
  <c r="L462" i="6" s="1"/>
  <c r="G217" i="6"/>
  <c r="G324" i="6"/>
  <c r="G338" i="6"/>
  <c r="G433" i="6"/>
  <c r="E433" i="6"/>
  <c r="D438" i="6"/>
  <c r="X257" i="9"/>
  <c r="T643" i="11" s="1"/>
  <c r="AK377" i="9"/>
  <c r="AG648" i="11" s="1"/>
  <c r="AU569" i="9"/>
  <c r="AQ656" i="11" s="1"/>
  <c r="BU493" i="9"/>
  <c r="M354" i="6" s="1"/>
  <c r="BU435" i="9"/>
  <c r="M300" i="6" s="1"/>
  <c r="E300" i="6" s="1"/>
  <c r="D319" i="6"/>
  <c r="AP377" i="9"/>
  <c r="AL648" i="11" s="1"/>
  <c r="BU494" i="9"/>
  <c r="M355" i="6" s="1"/>
  <c r="BU246" i="9"/>
  <c r="M127" i="6" s="1"/>
  <c r="BU287" i="9"/>
  <c r="M164" i="6" s="1"/>
  <c r="H164" i="6" s="1"/>
  <c r="E320" i="6"/>
  <c r="BO377" i="9"/>
  <c r="BK648" i="11" s="1"/>
  <c r="BT373" i="9"/>
  <c r="L244" i="6" s="1"/>
  <c r="BE569" i="9"/>
  <c r="BA656" i="11" s="1"/>
  <c r="BU243" i="9"/>
  <c r="M124" i="6" s="1"/>
  <c r="H124" i="6" s="1"/>
  <c r="BT392" i="9"/>
  <c r="L261" i="6" s="1"/>
  <c r="BU554" i="9"/>
  <c r="M409" i="6" s="1"/>
  <c r="E409" i="6" s="1"/>
  <c r="BT563" i="9"/>
  <c r="L418" i="6" s="1"/>
  <c r="G418" i="6" s="1"/>
  <c r="BU549" i="9"/>
  <c r="M404" i="6" s="1"/>
  <c r="BT601" i="9"/>
  <c r="L452" i="6" s="1"/>
  <c r="D433" i="6"/>
  <c r="G438" i="6"/>
  <c r="BG569" i="9"/>
  <c r="BC656" i="11" s="1"/>
  <c r="BT269" i="9"/>
  <c r="L148" i="6" s="1"/>
  <c r="BT517" i="9"/>
  <c r="L376" i="6" s="1"/>
  <c r="D376" i="6" s="1"/>
  <c r="BU439" i="9"/>
  <c r="M304" i="6" s="1"/>
  <c r="H304" i="6" s="1"/>
  <c r="AH569" i="9"/>
  <c r="AD656" i="11" s="1"/>
  <c r="D331" i="6"/>
  <c r="AT569" i="9"/>
  <c r="AP656" i="11" s="1"/>
  <c r="AH377" i="9"/>
  <c r="AD648" i="11" s="1"/>
  <c r="AP569" i="9"/>
  <c r="AL656" i="11" s="1"/>
  <c r="BT557" i="9"/>
  <c r="L412" i="6" s="1"/>
  <c r="G412" i="6" s="1"/>
  <c r="BN497" i="9"/>
  <c r="BJ653" i="11" s="1"/>
  <c r="BU517" i="9"/>
  <c r="M376" i="6" s="1"/>
  <c r="AU377" i="9"/>
  <c r="AQ648" i="11" s="1"/>
  <c r="BT375" i="9"/>
  <c r="L246" i="6" s="1"/>
  <c r="AX497" i="9"/>
  <c r="AT653" i="11" s="1"/>
  <c r="BH377" i="9"/>
  <c r="BD648" i="11" s="1"/>
  <c r="BT246" i="9"/>
  <c r="L127" i="6" s="1"/>
  <c r="D127" i="6" s="1"/>
  <c r="BT437" i="9"/>
  <c r="L302" i="6" s="1"/>
  <c r="D302" i="6" s="1"/>
  <c r="BJ377" i="9"/>
  <c r="BF648" i="11" s="1"/>
  <c r="AW377" i="9"/>
  <c r="AS648" i="11" s="1"/>
  <c r="AB377" i="9"/>
  <c r="X648" i="11" s="1"/>
  <c r="D197" i="6"/>
  <c r="H442" i="6"/>
  <c r="E435" i="6"/>
  <c r="K497" i="9"/>
  <c r="G653" i="11" s="1"/>
  <c r="H360" i="6"/>
  <c r="BT676" i="9"/>
  <c r="L521" i="6" s="1"/>
  <c r="G188" i="6"/>
  <c r="H193" i="6"/>
  <c r="G209" i="6"/>
  <c r="D323" i="6"/>
  <c r="D439" i="6"/>
  <c r="BT287" i="9"/>
  <c r="L164" i="6" s="1"/>
  <c r="D164" i="6" s="1"/>
  <c r="AJ377" i="9"/>
  <c r="AF648" i="11" s="1"/>
  <c r="BU248" i="9"/>
  <c r="M129" i="6" s="1"/>
  <c r="BT478" i="9"/>
  <c r="L339" i="6" s="1"/>
  <c r="BL569" i="9"/>
  <c r="BH656" i="11" s="1"/>
  <c r="AO377" i="9"/>
  <c r="AK648" i="11" s="1"/>
  <c r="BU256" i="9"/>
  <c r="M137" i="6" s="1"/>
  <c r="AS569" i="9"/>
  <c r="AO656" i="11" s="1"/>
  <c r="BH569" i="9"/>
  <c r="BD656" i="11" s="1"/>
  <c r="G434" i="6"/>
  <c r="AZ377" i="9"/>
  <c r="AV648" i="11" s="1"/>
  <c r="AS377" i="9"/>
  <c r="AO648" i="11" s="1"/>
  <c r="AI377" i="9"/>
  <c r="AE648" i="11" s="1"/>
  <c r="BU385" i="9"/>
  <c r="M254" i="6" s="1"/>
  <c r="H254" i="6" s="1"/>
  <c r="BQ377" i="9"/>
  <c r="BM648" i="11" s="1"/>
  <c r="G211" i="6"/>
  <c r="H211" i="6"/>
  <c r="E220" i="6"/>
  <c r="D220" i="6"/>
  <c r="G430" i="6"/>
  <c r="H440" i="6"/>
  <c r="H437" i="6"/>
  <c r="H439" i="6"/>
  <c r="AA497" i="9"/>
  <c r="W653" i="11" s="1"/>
  <c r="BU637" i="9"/>
  <c r="M486" i="6" s="1"/>
  <c r="E486" i="6" s="1"/>
  <c r="BU279" i="9"/>
  <c r="M158" i="6" s="1"/>
  <c r="H177" i="6"/>
  <c r="G329" i="6"/>
  <c r="Q377" i="9"/>
  <c r="M648" i="11" s="1"/>
  <c r="D196" i="6"/>
  <c r="E211" i="6"/>
  <c r="E193" i="6"/>
  <c r="BU391" i="9"/>
  <c r="M260" i="6" s="1"/>
  <c r="E260" i="6" s="1"/>
  <c r="BT678" i="9"/>
  <c r="L523" i="6" s="1"/>
  <c r="G220" i="6"/>
  <c r="BT239" i="9"/>
  <c r="L120" i="6" s="1"/>
  <c r="D120" i="6" s="1"/>
  <c r="BT626" i="9"/>
  <c r="L475" i="6" s="1"/>
  <c r="BM377" i="9"/>
  <c r="BI648" i="11" s="1"/>
  <c r="BU374" i="9"/>
  <c r="M245" i="6" s="1"/>
  <c r="H430" i="6"/>
  <c r="N377" i="9"/>
  <c r="J648" i="11" s="1"/>
  <c r="Y377" i="9"/>
  <c r="U648" i="11" s="1"/>
  <c r="BT366" i="9"/>
  <c r="L237" i="6" s="1"/>
  <c r="G193" i="6"/>
  <c r="BT509" i="9"/>
  <c r="L368" i="6" s="1"/>
  <c r="BL377" i="9"/>
  <c r="BH648" i="11" s="1"/>
  <c r="BU269" i="9"/>
  <c r="M148" i="6" s="1"/>
  <c r="BT487" i="9"/>
  <c r="L348" i="6" s="1"/>
  <c r="Y569" i="9"/>
  <c r="U656" i="11" s="1"/>
  <c r="BM569" i="9"/>
  <c r="BI656" i="11" s="1"/>
  <c r="AG377" i="9"/>
  <c r="AC648" i="11" s="1"/>
  <c r="BU509" i="9"/>
  <c r="M368" i="6" s="1"/>
  <c r="H368" i="6" s="1"/>
  <c r="AI569" i="9"/>
  <c r="AE656" i="11" s="1"/>
  <c r="D212" i="6"/>
  <c r="H328" i="6"/>
  <c r="AL497" i="9"/>
  <c r="AH653" i="11" s="1"/>
  <c r="G216" i="6"/>
  <c r="H206" i="6"/>
  <c r="AC569" i="9"/>
  <c r="Y656" i="11" s="1"/>
  <c r="AW569" i="9"/>
  <c r="AS656" i="11" s="1"/>
  <c r="AT377" i="9"/>
  <c r="AP648" i="11" s="1"/>
  <c r="BU375" i="9"/>
  <c r="M246" i="6" s="1"/>
  <c r="BU482" i="9"/>
  <c r="M343" i="6" s="1"/>
  <c r="H343" i="6" s="1"/>
  <c r="BT482" i="9"/>
  <c r="L343" i="6" s="1"/>
  <c r="D343" i="6" s="1"/>
  <c r="BU366" i="9"/>
  <c r="M237" i="6" s="1"/>
  <c r="H237" i="6" s="1"/>
  <c r="W569" i="9"/>
  <c r="S656" i="11" s="1"/>
  <c r="G198" i="6"/>
  <c r="D186" i="6"/>
  <c r="G331" i="6"/>
  <c r="D198" i="6"/>
  <c r="AM497" i="9"/>
  <c r="AI653" i="11" s="1"/>
  <c r="BU636" i="9"/>
  <c r="M485" i="6" s="1"/>
  <c r="E485" i="6" s="1"/>
  <c r="T377" i="9"/>
  <c r="P648" i="11" s="1"/>
  <c r="BT242" i="9"/>
  <c r="L123" i="6" s="1"/>
  <c r="W377" i="9"/>
  <c r="S648" i="11" s="1"/>
  <c r="AX569" i="9"/>
  <c r="AT656" i="11" s="1"/>
  <c r="BU263" i="9"/>
  <c r="M142" i="6" s="1"/>
  <c r="BT391" i="9"/>
  <c r="L260" i="6" s="1"/>
  <c r="G186" i="6"/>
  <c r="D222" i="6"/>
  <c r="D184" i="6"/>
  <c r="BP497" i="9"/>
  <c r="BL653" i="11" s="1"/>
  <c r="BU357" i="9"/>
  <c r="M228" i="6" s="1"/>
  <c r="H228" i="6" s="1"/>
  <c r="BF377" i="9"/>
  <c r="BB648" i="11" s="1"/>
  <c r="AN569" i="9"/>
  <c r="AJ656" i="11" s="1"/>
  <c r="BT438" i="9"/>
  <c r="L303" i="6" s="1"/>
  <c r="BU441" i="9"/>
  <c r="M306" i="6" s="1"/>
  <c r="BU491" i="9"/>
  <c r="M352" i="6" s="1"/>
  <c r="E352" i="6" s="1"/>
  <c r="BU369" i="9"/>
  <c r="M240" i="6" s="1"/>
  <c r="H240" i="6" s="1"/>
  <c r="E198" i="6"/>
  <c r="BT435" i="9"/>
  <c r="L300" i="6" s="1"/>
  <c r="D300" i="6" s="1"/>
  <c r="AL377" i="9"/>
  <c r="AH648" i="11" s="1"/>
  <c r="BT357" i="9"/>
  <c r="L228" i="6" s="1"/>
  <c r="G228" i="6" s="1"/>
  <c r="BT279" i="9"/>
  <c r="L158" i="6" s="1"/>
  <c r="BU267" i="9"/>
  <c r="M146" i="6" s="1"/>
  <c r="H146" i="6" s="1"/>
  <c r="BT646" i="9"/>
  <c r="L493" i="6" s="1"/>
  <c r="G222" i="6"/>
  <c r="H434" i="6"/>
  <c r="G429" i="6"/>
  <c r="BH281" i="9"/>
  <c r="BD644" i="11" s="1"/>
  <c r="D434" i="6"/>
  <c r="BT237" i="9"/>
  <c r="L118" i="6" s="1"/>
  <c r="G118" i="6" s="1"/>
  <c r="BT431" i="9"/>
  <c r="L296" i="6" s="1"/>
  <c r="D296" i="6" s="1"/>
  <c r="BT653" i="9"/>
  <c r="L500" i="6" s="1"/>
  <c r="G500" i="6" s="1"/>
  <c r="BU237" i="9"/>
  <c r="M118" i="6" s="1"/>
  <c r="H118" i="6" s="1"/>
  <c r="BT441" i="9"/>
  <c r="L306" i="6" s="1"/>
  <c r="BU683" i="9"/>
  <c r="M528" i="6" s="1"/>
  <c r="E528" i="6" s="1"/>
  <c r="E222" i="6"/>
  <c r="G319" i="6"/>
  <c r="E434" i="6"/>
  <c r="D429" i="6"/>
  <c r="Z257" i="9"/>
  <c r="V643" i="11" s="1"/>
  <c r="X617" i="9"/>
  <c r="T658" i="11" s="1"/>
  <c r="AE569" i="9"/>
  <c r="AA656" i="11" s="1"/>
  <c r="R377" i="9"/>
  <c r="N648" i="11" s="1"/>
  <c r="BT635" i="9"/>
  <c r="L484" i="6" s="1"/>
  <c r="G484" i="6" s="1"/>
  <c r="BP569" i="9"/>
  <c r="BL656" i="11" s="1"/>
  <c r="BT376" i="9"/>
  <c r="L247" i="6" s="1"/>
  <c r="BU437" i="9"/>
  <c r="M302" i="6" s="1"/>
  <c r="H302" i="6" s="1"/>
  <c r="BU376" i="9"/>
  <c r="M247" i="6" s="1"/>
  <c r="BU653" i="9"/>
  <c r="M500" i="6" s="1"/>
  <c r="H500" i="6" s="1"/>
  <c r="BT369" i="9"/>
  <c r="L240" i="6" s="1"/>
  <c r="D240" i="6" s="1"/>
  <c r="AY257" i="9"/>
  <c r="AU643" i="11" s="1"/>
  <c r="AI497" i="9"/>
  <c r="AE653" i="11" s="1"/>
  <c r="BT622" i="9"/>
  <c r="L471" i="6" s="1"/>
  <c r="V377" i="9"/>
  <c r="R648" i="11" s="1"/>
  <c r="AX377" i="9"/>
  <c r="AT648" i="11" s="1"/>
  <c r="V569" i="9"/>
  <c r="R656" i="11" s="1"/>
  <c r="BU646" i="9"/>
  <c r="M493" i="6" s="1"/>
  <c r="BC281" i="9"/>
  <c r="AY644" i="11" s="1"/>
  <c r="BM617" i="9"/>
  <c r="BI658" i="11" s="1"/>
  <c r="G210" i="6"/>
  <c r="U497" i="9"/>
  <c r="Q653" i="11" s="1"/>
  <c r="BU431" i="9"/>
  <c r="M296" i="6" s="1"/>
  <c r="E296" i="6" s="1"/>
  <c r="BI377" i="9"/>
  <c r="BE648" i="11" s="1"/>
  <c r="AJ569" i="9"/>
  <c r="AF656" i="11" s="1"/>
  <c r="BT394" i="9"/>
  <c r="L263" i="6" s="1"/>
  <c r="G263" i="6" s="1"/>
  <c r="BU630" i="9"/>
  <c r="M479" i="6" s="1"/>
  <c r="H479" i="6" s="1"/>
  <c r="BT549" i="9"/>
  <c r="L404" i="6" s="1"/>
  <c r="BU634" i="9"/>
  <c r="M483" i="6" s="1"/>
  <c r="H483" i="6" s="1"/>
  <c r="BT261" i="9"/>
  <c r="L140" i="6" s="1"/>
  <c r="G140" i="6" s="1"/>
  <c r="BT639" i="9"/>
  <c r="L488" i="6" s="1"/>
  <c r="BU255" i="9"/>
  <c r="M136" i="6" s="1"/>
  <c r="E190" i="6"/>
  <c r="D442" i="6"/>
  <c r="V257" i="9"/>
  <c r="R643" i="11" s="1"/>
  <c r="E184" i="6"/>
  <c r="G294" i="6"/>
  <c r="U257" i="9"/>
  <c r="Q643" i="11" s="1"/>
  <c r="E195" i="6"/>
  <c r="K689" i="9"/>
  <c r="G661" i="11" s="1"/>
  <c r="D238" i="6"/>
  <c r="G155" i="6"/>
  <c r="E657" i="11"/>
  <c r="N1181" i="6" s="1"/>
  <c r="E187" i="6"/>
  <c r="G238" i="6"/>
  <c r="BA329" i="6"/>
  <c r="AG331" i="6"/>
  <c r="AV332" i="6"/>
  <c r="BU559" i="9"/>
  <c r="M414" i="6" s="1"/>
  <c r="BU566" i="9"/>
  <c r="M421" i="6" s="1"/>
  <c r="BU383" i="9"/>
  <c r="M252" i="6" s="1"/>
  <c r="E252" i="6" s="1"/>
  <c r="BT688" i="9"/>
  <c r="L533" i="6" s="1"/>
  <c r="BT671" i="9"/>
  <c r="L516" i="6" s="1"/>
  <c r="BU685" i="9"/>
  <c r="M530" i="6" s="1"/>
  <c r="E177" i="6"/>
  <c r="H238" i="6"/>
  <c r="D321" i="6"/>
  <c r="H329" i="6"/>
  <c r="AR497" i="9"/>
  <c r="AN653" i="11" s="1"/>
  <c r="BH257" i="9"/>
  <c r="BD643" i="11" s="1"/>
  <c r="BU625" i="9"/>
  <c r="M474" i="6" s="1"/>
  <c r="BT440" i="9"/>
  <c r="L305" i="6" s="1"/>
  <c r="BB449" i="9"/>
  <c r="AX651" i="11" s="1"/>
  <c r="D646" i="11"/>
  <c r="L1170" i="6" s="1"/>
  <c r="BU664" i="9"/>
  <c r="M511" i="6" s="1"/>
  <c r="D328" i="6"/>
  <c r="AP497" i="9"/>
  <c r="AL653" i="11" s="1"/>
  <c r="BT625" i="9"/>
  <c r="L474" i="6" s="1"/>
  <c r="BT370" i="9"/>
  <c r="L241" i="6" s="1"/>
  <c r="BT664" i="9"/>
  <c r="L511" i="6" s="1"/>
  <c r="BT270" i="9"/>
  <c r="L149" i="6" s="1"/>
  <c r="G149" i="6" s="1"/>
  <c r="BT652" i="9"/>
  <c r="L499" i="6" s="1"/>
  <c r="BU651" i="9"/>
  <c r="M498" i="6" s="1"/>
  <c r="BT481" i="9"/>
  <c r="L342" i="6" s="1"/>
  <c r="D342" i="6" s="1"/>
  <c r="BT249" i="9"/>
  <c r="L130" i="6" s="1"/>
  <c r="D130" i="6" s="1"/>
  <c r="BU393" i="9"/>
  <c r="M262" i="6" s="1"/>
  <c r="BT593" i="9"/>
  <c r="BT564" i="9"/>
  <c r="L419" i="6" s="1"/>
  <c r="BT390" i="9"/>
  <c r="L259" i="6" s="1"/>
  <c r="BU681" i="9"/>
  <c r="M526" i="6" s="1"/>
  <c r="E526" i="6" s="1"/>
  <c r="BT677" i="9"/>
  <c r="L522" i="6" s="1"/>
  <c r="E118" i="6"/>
  <c r="E200" i="6"/>
  <c r="D206" i="6"/>
  <c r="H221" i="6"/>
  <c r="D325" i="6"/>
  <c r="D330" i="6"/>
  <c r="D338" i="6"/>
  <c r="G374" i="6"/>
  <c r="H441" i="6"/>
  <c r="W497" i="9"/>
  <c r="S653" i="11" s="1"/>
  <c r="BA497" i="9"/>
  <c r="AW653" i="11" s="1"/>
  <c r="BT637" i="9"/>
  <c r="L486" i="6" s="1"/>
  <c r="BT485" i="9"/>
  <c r="L346" i="6" s="1"/>
  <c r="BN281" i="9"/>
  <c r="BJ644" i="11" s="1"/>
  <c r="G194" i="6"/>
  <c r="BH497" i="9"/>
  <c r="BD653" i="11" s="1"/>
  <c r="BU669" i="9"/>
  <c r="M514" i="6" s="1"/>
  <c r="BU648" i="9"/>
  <c r="M495" i="6" s="1"/>
  <c r="BU622" i="9"/>
  <c r="M471" i="6" s="1"/>
  <c r="BU632" i="9"/>
  <c r="M481" i="6" s="1"/>
  <c r="E481" i="6" s="1"/>
  <c r="BU245" i="9"/>
  <c r="M126" i="6" s="1"/>
  <c r="BU358" i="9"/>
  <c r="M229" i="6" s="1"/>
  <c r="BT360" i="9"/>
  <c r="L231" i="6" s="1"/>
  <c r="BT496" i="9"/>
  <c r="L357" i="6" s="1"/>
  <c r="L569" i="9"/>
  <c r="H656" i="11" s="1"/>
  <c r="BT245" i="9"/>
  <c r="L126" i="6" s="1"/>
  <c r="BU261" i="9"/>
  <c r="M140" i="6" s="1"/>
  <c r="H140" i="6" s="1"/>
  <c r="BT263" i="9"/>
  <c r="L142" i="6" s="1"/>
  <c r="G142" i="6" s="1"/>
  <c r="BF329" i="6"/>
  <c r="BF332" i="6"/>
  <c r="AV329" i="6"/>
  <c r="BA332" i="6"/>
  <c r="BT393" i="9"/>
  <c r="L262" i="6" s="1"/>
  <c r="BT388" i="9"/>
  <c r="L257" i="6" s="1"/>
  <c r="BT552" i="9"/>
  <c r="L407" i="6" s="1"/>
  <c r="EL308" i="9"/>
  <c r="EL320" i="9" s="1"/>
  <c r="BT565" i="9"/>
  <c r="L420" i="6" s="1"/>
  <c r="BU564" i="9"/>
  <c r="M419" i="6" s="1"/>
  <c r="E419" i="6" s="1"/>
  <c r="BT562" i="9"/>
  <c r="L417" i="6" s="1"/>
  <c r="BU390" i="9"/>
  <c r="M259" i="6" s="1"/>
  <c r="E259" i="6" s="1"/>
  <c r="BU678" i="9"/>
  <c r="M523" i="6" s="1"/>
  <c r="BT679" i="9"/>
  <c r="L524" i="6" s="1"/>
  <c r="BT670" i="9"/>
  <c r="L515" i="6" s="1"/>
  <c r="G177" i="6"/>
  <c r="H189" i="6"/>
  <c r="D187" i="6"/>
  <c r="H200" i="6"/>
  <c r="G206" i="6"/>
  <c r="E221" i="6"/>
  <c r="G325" i="6"/>
  <c r="G330" i="6"/>
  <c r="E338" i="6"/>
  <c r="H374" i="6"/>
  <c r="AN449" i="9"/>
  <c r="AJ651" i="11" s="1"/>
  <c r="BN521" i="9"/>
  <c r="BJ654" i="11" s="1"/>
  <c r="BU486" i="9"/>
  <c r="M347" i="6" s="1"/>
  <c r="BI497" i="9"/>
  <c r="BE653" i="11" s="1"/>
  <c r="BM257" i="9"/>
  <c r="BI643" i="11" s="1"/>
  <c r="AH281" i="9"/>
  <c r="AD644" i="11" s="1"/>
  <c r="BN617" i="9"/>
  <c r="BJ658" i="11" s="1"/>
  <c r="L377" i="9"/>
  <c r="H648" i="11" s="1"/>
  <c r="BU432" i="9"/>
  <c r="M297" i="6" s="1"/>
  <c r="AS257" i="9"/>
  <c r="AO643" i="11" s="1"/>
  <c r="W257" i="9"/>
  <c r="S643" i="11" s="1"/>
  <c r="AI617" i="9"/>
  <c r="AE658" i="11" s="1"/>
  <c r="BU635" i="9"/>
  <c r="M484" i="6" s="1"/>
  <c r="BU485" i="9"/>
  <c r="M346" i="6" s="1"/>
  <c r="BR497" i="9"/>
  <c r="BN653" i="11" s="1"/>
  <c r="BT439" i="9"/>
  <c r="L304" i="6" s="1"/>
  <c r="BU440" i="9"/>
  <c r="M305" i="6" s="1"/>
  <c r="BU478" i="9"/>
  <c r="M339" i="6" s="1"/>
  <c r="BU252" i="9"/>
  <c r="M133" i="6" s="1"/>
  <c r="H133" i="6" s="1"/>
  <c r="CG484" i="9"/>
  <c r="BT484" i="9"/>
  <c r="L345" i="6" s="1"/>
  <c r="BU552" i="9"/>
  <c r="M407" i="6" s="1"/>
  <c r="BU551" i="9"/>
  <c r="M406" i="6" s="1"/>
  <c r="E406" i="6" s="1"/>
  <c r="BU565" i="9"/>
  <c r="M420" i="6" s="1"/>
  <c r="E420" i="6" s="1"/>
  <c r="BU562" i="9"/>
  <c r="M417" i="6" s="1"/>
  <c r="H417" i="6" s="1"/>
  <c r="BT553" i="9"/>
  <c r="L408" i="6" s="1"/>
  <c r="G408" i="6" s="1"/>
  <c r="BT674" i="9"/>
  <c r="L519" i="6" s="1"/>
  <c r="D519" i="6" s="1"/>
  <c r="D177" i="6"/>
  <c r="D200" i="6"/>
  <c r="E206" i="6"/>
  <c r="D216" i="6"/>
  <c r="D318" i="6"/>
  <c r="BT432" i="9"/>
  <c r="L297" i="6" s="1"/>
  <c r="BU553" i="9"/>
  <c r="M408" i="6" s="1"/>
  <c r="BF497" i="9"/>
  <c r="BB653" i="11" s="1"/>
  <c r="AB497" i="9"/>
  <c r="X653" i="11" s="1"/>
  <c r="AV257" i="9"/>
  <c r="AR643" i="11" s="1"/>
  <c r="Q497" i="9"/>
  <c r="M653" i="11" s="1"/>
  <c r="BT650" i="9"/>
  <c r="L497" i="6" s="1"/>
  <c r="BT433" i="9"/>
  <c r="L298" i="6" s="1"/>
  <c r="BT632" i="9"/>
  <c r="L481" i="6" s="1"/>
  <c r="D481" i="6" s="1"/>
  <c r="BU481" i="9"/>
  <c r="M342" i="6" s="1"/>
  <c r="E342" i="6" s="1"/>
  <c r="BU495" i="9"/>
  <c r="M356" i="6" s="1"/>
  <c r="AT497" i="9"/>
  <c r="AP653" i="11" s="1"/>
  <c r="BU479" i="9"/>
  <c r="M340" i="6" s="1"/>
  <c r="BT651" i="9"/>
  <c r="L498" i="6" s="1"/>
  <c r="BT633" i="9"/>
  <c r="L482" i="6" s="1"/>
  <c r="O377" i="9"/>
  <c r="K648" i="11" s="1"/>
  <c r="S569" i="9"/>
  <c r="O656" i="11" s="1"/>
  <c r="BU249" i="9"/>
  <c r="M130" i="6" s="1"/>
  <c r="E130" i="6" s="1"/>
  <c r="BU438" i="9"/>
  <c r="M303" i="6" s="1"/>
  <c r="AQ331" i="6"/>
  <c r="E194" i="6"/>
  <c r="H216" i="6"/>
  <c r="AE497" i="9"/>
  <c r="AA653" i="11" s="1"/>
  <c r="BT255" i="9"/>
  <c r="L136" i="6" s="1"/>
  <c r="BU628" i="9"/>
  <c r="M477" i="6" s="1"/>
  <c r="T569" i="9"/>
  <c r="P656" i="11" s="1"/>
  <c r="BU443" i="9"/>
  <c r="M308" i="6" s="1"/>
  <c r="BT274" i="9"/>
  <c r="L153" i="6" s="1"/>
  <c r="BT443" i="9"/>
  <c r="L308" i="6" s="1"/>
  <c r="BT358" i="9"/>
  <c r="L229" i="6" s="1"/>
  <c r="CB633" i="9"/>
  <c r="BU633" i="9"/>
  <c r="M482" i="6" s="1"/>
  <c r="BA331" i="6"/>
  <c r="E330" i="6"/>
  <c r="BA617" i="9"/>
  <c r="AW658" i="11" s="1"/>
  <c r="BT628" i="9"/>
  <c r="L477" i="6" s="1"/>
  <c r="BT486" i="9"/>
  <c r="L347" i="6" s="1"/>
  <c r="BU370" i="9"/>
  <c r="M241" i="6" s="1"/>
  <c r="BT400" i="9"/>
  <c r="L269" i="6" s="1"/>
  <c r="BT559" i="9"/>
  <c r="L414" i="6" s="1"/>
  <c r="G414" i="6" s="1"/>
  <c r="BT566" i="9"/>
  <c r="L421" i="6" s="1"/>
  <c r="BT383" i="9"/>
  <c r="L252" i="6" s="1"/>
  <c r="G252" i="6" s="1"/>
  <c r="BT683" i="9"/>
  <c r="L528" i="6" s="1"/>
  <c r="D528" i="6" s="1"/>
  <c r="BU677" i="9"/>
  <c r="M522" i="6" s="1"/>
  <c r="H522" i="6" s="1"/>
  <c r="BO449" i="9"/>
  <c r="BK651" i="11" s="1"/>
  <c r="R569" i="9"/>
  <c r="N656" i="11" s="1"/>
  <c r="V497" i="9"/>
  <c r="R653" i="11" s="1"/>
  <c r="BL497" i="9"/>
  <c r="BH653" i="11" s="1"/>
  <c r="BU381" i="9"/>
  <c r="M250" i="6" s="1"/>
  <c r="H250" i="6" s="1"/>
  <c r="S377" i="9"/>
  <c r="O648" i="11" s="1"/>
  <c r="BT648" i="9"/>
  <c r="L495" i="6" s="1"/>
  <c r="G495" i="6" s="1"/>
  <c r="BT272" i="9"/>
  <c r="L151" i="6" s="1"/>
  <c r="G151" i="6" s="1"/>
  <c r="BU433" i="9"/>
  <c r="M298" i="6" s="1"/>
  <c r="E298" i="6" s="1"/>
  <c r="AE617" i="9"/>
  <c r="AA658" i="11" s="1"/>
  <c r="BU658" i="9"/>
  <c r="M505" i="6" s="1"/>
  <c r="BU272" i="9"/>
  <c r="M151" i="6" s="1"/>
  <c r="H318" i="6"/>
  <c r="BT658" i="9"/>
  <c r="L505" i="6" s="1"/>
  <c r="BU496" i="9"/>
  <c r="M357" i="6" s="1"/>
  <c r="BT479" i="9"/>
  <c r="L340" i="6" s="1"/>
  <c r="BT490" i="9"/>
  <c r="L351" i="6" s="1"/>
  <c r="BT495" i="9"/>
  <c r="L356" i="6" s="1"/>
  <c r="CF624" i="9"/>
  <c r="BT624" i="9"/>
  <c r="L473" i="6" s="1"/>
  <c r="G329" i="9"/>
  <c r="AQ449" i="9"/>
  <c r="AM651" i="11" s="1"/>
  <c r="AV330" i="6"/>
  <c r="BF333" i="6"/>
  <c r="AG330" i="6"/>
  <c r="BA333" i="6"/>
  <c r="BT353" i="9"/>
  <c r="BT395" i="9"/>
  <c r="L264" i="6" s="1"/>
  <c r="G264" i="6" s="1"/>
  <c r="BU675" i="9"/>
  <c r="M520" i="6" s="1"/>
  <c r="G184" i="6"/>
  <c r="E216" i="6"/>
  <c r="H320" i="6"/>
  <c r="Q617" i="9"/>
  <c r="M658" i="11" s="1"/>
  <c r="G328" i="6"/>
  <c r="BK617" i="9"/>
  <c r="BG658" i="11" s="1"/>
  <c r="Y257" i="9"/>
  <c r="U643" i="11" s="1"/>
  <c r="V617" i="9"/>
  <c r="R658" i="11" s="1"/>
  <c r="D657" i="11"/>
  <c r="L1181" i="6" s="1"/>
  <c r="X497" i="9"/>
  <c r="T653" i="11" s="1"/>
  <c r="CC636" i="9"/>
  <c r="BT636" i="9"/>
  <c r="L485" i="6" s="1"/>
  <c r="G353" i="9"/>
  <c r="D140" i="6"/>
  <c r="AQ333" i="6"/>
  <c r="BU682" i="9"/>
  <c r="M527" i="6" s="1"/>
  <c r="H527" i="6" s="1"/>
  <c r="D320" i="6"/>
  <c r="BM449" i="9"/>
  <c r="BI651" i="11" s="1"/>
  <c r="BD257" i="9"/>
  <c r="AZ643" i="11" s="1"/>
  <c r="V449" i="9"/>
  <c r="R651" i="11" s="1"/>
  <c r="E646" i="11"/>
  <c r="N1170" i="6" s="1"/>
  <c r="D210" i="6"/>
  <c r="CB630" i="9"/>
  <c r="BT630" i="9"/>
  <c r="L479" i="6" s="1"/>
  <c r="CG549" i="9"/>
  <c r="P569" i="9"/>
  <c r="L656" i="11" s="1"/>
  <c r="CB650" i="9"/>
  <c r="BU650" i="9"/>
  <c r="M497" i="6" s="1"/>
  <c r="AG333" i="6"/>
  <c r="BT384" i="9"/>
  <c r="L253" i="6" s="1"/>
  <c r="D253" i="6" s="1"/>
  <c r="BT675" i="9"/>
  <c r="L520" i="6" s="1"/>
  <c r="G520" i="6" s="1"/>
  <c r="G320" i="6"/>
  <c r="BF521" i="9"/>
  <c r="BB654" i="11" s="1"/>
  <c r="BG617" i="9"/>
  <c r="BC658" i="11" s="1"/>
  <c r="BG257" i="9"/>
  <c r="BC643" i="11" s="1"/>
  <c r="BB497" i="9"/>
  <c r="AX653" i="11" s="1"/>
  <c r="M569" i="9"/>
  <c r="I656" i="11" s="1"/>
  <c r="CD549" i="9"/>
  <c r="CB634" i="9"/>
  <c r="BT634" i="9"/>
  <c r="L483" i="6" s="1"/>
  <c r="CD639" i="9"/>
  <c r="BU639" i="9"/>
  <c r="M488" i="6" s="1"/>
  <c r="BU556" i="9"/>
  <c r="M411" i="6" s="1"/>
  <c r="CC626" i="9"/>
  <c r="BU626" i="9"/>
  <c r="M475" i="6" s="1"/>
  <c r="CB652" i="9"/>
  <c r="BU652" i="9"/>
  <c r="M499" i="6" s="1"/>
  <c r="E430" i="6"/>
  <c r="BU684" i="9"/>
  <c r="M529" i="6" s="1"/>
  <c r="H529" i="6" s="1"/>
  <c r="D294" i="6"/>
  <c r="AM617" i="9"/>
  <c r="AI658" i="11" s="1"/>
  <c r="AL257" i="9"/>
  <c r="AH643" i="11" s="1"/>
  <c r="W281" i="9"/>
  <c r="S644" i="11" s="1"/>
  <c r="E328" i="6"/>
  <c r="BL449" i="9"/>
  <c r="BH651" i="11" s="1"/>
  <c r="BU274" i="9"/>
  <c r="M153" i="6" s="1"/>
  <c r="CB274" i="9"/>
  <c r="CE549" i="9"/>
  <c r="N569" i="9"/>
  <c r="J656" i="11" s="1"/>
  <c r="CH270" i="9"/>
  <c r="BU270" i="9"/>
  <c r="M149" i="6" s="1"/>
  <c r="L931" i="6"/>
  <c r="U931" i="6" s="1"/>
  <c r="U922" i="6" s="1"/>
  <c r="L14" i="2" s="1"/>
  <c r="AB60" i="18" s="1"/>
  <c r="BU679" i="9"/>
  <c r="M524" i="6" s="1"/>
  <c r="H524" i="6" s="1"/>
  <c r="E140" i="6"/>
  <c r="H294" i="6"/>
  <c r="BG281" i="9"/>
  <c r="BC644" i="11" s="1"/>
  <c r="BI617" i="9"/>
  <c r="BE658" i="11" s="1"/>
  <c r="E647" i="11"/>
  <c r="N1171" i="6" s="1"/>
  <c r="AD257" i="9"/>
  <c r="Z643" i="11" s="1"/>
  <c r="BI281" i="9"/>
  <c r="BE644" i="11" s="1"/>
  <c r="E652" i="11"/>
  <c r="N1176" i="6" s="1"/>
  <c r="BE497" i="9"/>
  <c r="BA653" i="11" s="1"/>
  <c r="BT248" i="9"/>
  <c r="L129" i="6" s="1"/>
  <c r="CB360" i="9"/>
  <c r="BU360" i="9"/>
  <c r="M231" i="6" s="1"/>
  <c r="CH549" i="9"/>
  <c r="Q569" i="9"/>
  <c r="M656" i="11" s="1"/>
  <c r="CC491" i="9"/>
  <c r="BT491" i="9"/>
  <c r="L352" i="6" s="1"/>
  <c r="CG360" i="9"/>
  <c r="P377" i="9"/>
  <c r="BU396" i="9"/>
  <c r="M265" i="6" s="1"/>
  <c r="U521" i="9"/>
  <c r="Q654" i="11" s="1"/>
  <c r="BT396" i="9"/>
  <c r="L265" i="6" s="1"/>
  <c r="D265" i="6" s="1"/>
  <c r="BU395" i="9"/>
  <c r="M264" i="6" s="1"/>
  <c r="H264" i="6" s="1"/>
  <c r="BO617" i="9"/>
  <c r="BK658" i="11" s="1"/>
  <c r="Z449" i="9"/>
  <c r="V651" i="11" s="1"/>
  <c r="AV617" i="9"/>
  <c r="AR658" i="11" s="1"/>
  <c r="E442" i="6"/>
  <c r="BT614" i="9"/>
  <c r="L465" i="6" s="1"/>
  <c r="CF549" i="9"/>
  <c r="O569" i="9"/>
  <c r="K656" i="11" s="1"/>
  <c r="CD285" i="9"/>
  <c r="M305" i="9"/>
  <c r="I645" i="11" s="1"/>
  <c r="DM285" i="9"/>
  <c r="AV305" i="9"/>
  <c r="AR645" i="11" s="1"/>
  <c r="DP285" i="9"/>
  <c r="AY305" i="9"/>
  <c r="AU645" i="11" s="1"/>
  <c r="BH305" i="9"/>
  <c r="BD645" i="11" s="1"/>
  <c r="DY285" i="9"/>
  <c r="BM305" i="9"/>
  <c r="BI645" i="11" s="1"/>
  <c r="ED285" i="9"/>
  <c r="BJ305" i="9"/>
  <c r="BF645" i="11" s="1"/>
  <c r="EA285" i="9"/>
  <c r="CS285" i="9"/>
  <c r="AB305" i="9"/>
  <c r="X645" i="11" s="1"/>
  <c r="DF285" i="9"/>
  <c r="AO305" i="9"/>
  <c r="AK645" i="11" s="1"/>
  <c r="CB304" i="9"/>
  <c r="BT304" i="9"/>
  <c r="L181" i="6" s="1"/>
  <c r="BU304" i="9"/>
  <c r="M181" i="6" s="1"/>
  <c r="CB436" i="9"/>
  <c r="BT436" i="9"/>
  <c r="L301" i="6" s="1"/>
  <c r="BU436" i="9"/>
  <c r="M301" i="6" s="1"/>
  <c r="CE621" i="9"/>
  <c r="N641" i="9"/>
  <c r="J659" i="11" s="1"/>
  <c r="ED621" i="9"/>
  <c r="BM641" i="9"/>
  <c r="BI659" i="11" s="1"/>
  <c r="DT621" i="9"/>
  <c r="BC641" i="9"/>
  <c r="AY659" i="11" s="1"/>
  <c r="CZ621" i="9"/>
  <c r="AI641" i="9"/>
  <c r="AE659" i="11" s="1"/>
  <c r="DK621" i="9"/>
  <c r="AT641" i="9"/>
  <c r="AP659" i="11" s="1"/>
  <c r="AB641" i="9"/>
  <c r="X659" i="11" s="1"/>
  <c r="CS621" i="9"/>
  <c r="AL641" i="9"/>
  <c r="AH659" i="11" s="1"/>
  <c r="DC621" i="9"/>
  <c r="DH621" i="9"/>
  <c r="AQ641" i="9"/>
  <c r="AM659" i="11" s="1"/>
  <c r="BL521" i="9"/>
  <c r="BH654" i="11" s="1"/>
  <c r="AJ521" i="9"/>
  <c r="AF654" i="11" s="1"/>
  <c r="CB507" i="9"/>
  <c r="BT507" i="9"/>
  <c r="L366" i="6" s="1"/>
  <c r="BU507" i="9"/>
  <c r="M366" i="6" s="1"/>
  <c r="CJ381" i="9"/>
  <c r="S401" i="9"/>
  <c r="O649" i="11" s="1"/>
  <c r="CY381" i="9"/>
  <c r="AH401" i="9"/>
  <c r="AD649" i="11" s="1"/>
  <c r="CL381" i="9"/>
  <c r="U401" i="9"/>
  <c r="Q649" i="11" s="1"/>
  <c r="DF381" i="9"/>
  <c r="AO401" i="9"/>
  <c r="AK649" i="11" s="1"/>
  <c r="CQ381" i="9"/>
  <c r="Z401" i="9"/>
  <c r="V649" i="11" s="1"/>
  <c r="DR381" i="9"/>
  <c r="BA401" i="9"/>
  <c r="AW649" i="11" s="1"/>
  <c r="EI381" i="9"/>
  <c r="BR401" i="9"/>
  <c r="BN649" i="11" s="1"/>
  <c r="CN381" i="9"/>
  <c r="W401" i="9"/>
  <c r="S649" i="11" s="1"/>
  <c r="CB275" i="9"/>
  <c r="BT275" i="9"/>
  <c r="L154" i="6" s="1"/>
  <c r="BU275" i="9"/>
  <c r="M154" i="6" s="1"/>
  <c r="AK521" i="9"/>
  <c r="AG654" i="11" s="1"/>
  <c r="CG669" i="9"/>
  <c r="P689" i="9"/>
  <c r="L661" i="11" s="1"/>
  <c r="CL669" i="9"/>
  <c r="U689" i="9"/>
  <c r="Q661" i="11" s="1"/>
  <c r="CW669" i="9"/>
  <c r="AF689" i="9"/>
  <c r="AB661" i="11" s="1"/>
  <c r="BH689" i="9"/>
  <c r="BD661" i="11" s="1"/>
  <c r="DY669" i="9"/>
  <c r="V689" i="9"/>
  <c r="R661" i="11" s="1"/>
  <c r="CM669" i="9"/>
  <c r="AS689" i="9"/>
  <c r="AO661" i="11" s="1"/>
  <c r="DJ669" i="9"/>
  <c r="DR669" i="9"/>
  <c r="BA689" i="9"/>
  <c r="AW661" i="11" s="1"/>
  <c r="AJ617" i="9"/>
  <c r="AF658" i="11" s="1"/>
  <c r="CE609" i="9"/>
  <c r="N617" i="9"/>
  <c r="J658" i="11" s="1"/>
  <c r="CD434" i="9"/>
  <c r="M449" i="9"/>
  <c r="I651" i="11" s="1"/>
  <c r="BY470" i="6"/>
  <c r="BA470" i="6"/>
  <c r="AQ470" i="6"/>
  <c r="BT470" i="6"/>
  <c r="BF470" i="6"/>
  <c r="AV470" i="6"/>
  <c r="BO470" i="6"/>
  <c r="AG470" i="6"/>
  <c r="BT168" i="6"/>
  <c r="BO168" i="6"/>
  <c r="BY168" i="6"/>
  <c r="BT260" i="6"/>
  <c r="BO260" i="6"/>
  <c r="BF260" i="6"/>
  <c r="AG260" i="6"/>
  <c r="BY260" i="6"/>
  <c r="BA260" i="6"/>
  <c r="AV260" i="6"/>
  <c r="AQ260" i="6"/>
  <c r="BO330" i="6"/>
  <c r="BY330" i="6"/>
  <c r="BT330" i="6"/>
  <c r="BY508" i="6"/>
  <c r="AV508" i="6"/>
  <c r="BF508" i="6"/>
  <c r="BT508" i="6"/>
  <c r="AQ508" i="6"/>
  <c r="BO508" i="6"/>
  <c r="BA508" i="6"/>
  <c r="AG508" i="6"/>
  <c r="BT179" i="6"/>
  <c r="BY179" i="6"/>
  <c r="BO179" i="6"/>
  <c r="BT256" i="6"/>
  <c r="BO256" i="6"/>
  <c r="BY256" i="6"/>
  <c r="AV256" i="6"/>
  <c r="AQ256" i="6"/>
  <c r="BF256" i="6"/>
  <c r="BA256" i="6"/>
  <c r="AG256" i="6"/>
  <c r="BT333" i="6"/>
  <c r="BO333" i="6"/>
  <c r="BY333" i="6"/>
  <c r="BO503" i="6"/>
  <c r="BT503" i="6"/>
  <c r="BA503" i="6"/>
  <c r="BY503" i="6"/>
  <c r="AG503" i="6"/>
  <c r="BF503" i="6"/>
  <c r="AV503" i="6"/>
  <c r="AQ503" i="6"/>
  <c r="BO194" i="6"/>
  <c r="AQ194" i="6"/>
  <c r="AV194" i="6"/>
  <c r="BF194" i="6"/>
  <c r="AG194" i="6"/>
  <c r="BA194" i="6"/>
  <c r="BY194" i="6"/>
  <c r="BT194" i="6"/>
  <c r="BT263" i="6"/>
  <c r="BY263" i="6"/>
  <c r="BO263" i="6"/>
  <c r="BO347" i="6"/>
  <c r="BY347" i="6"/>
  <c r="AQ347" i="6"/>
  <c r="BF347" i="6"/>
  <c r="BT347" i="6"/>
  <c r="BA347" i="6"/>
  <c r="AV347" i="6"/>
  <c r="AG347" i="6"/>
  <c r="BO178" i="6"/>
  <c r="BY178" i="6"/>
  <c r="BT178" i="6"/>
  <c r="BT266" i="6"/>
  <c r="BO266" i="6"/>
  <c r="BY266" i="6"/>
  <c r="BY328" i="6"/>
  <c r="BT328" i="6"/>
  <c r="BO328" i="6"/>
  <c r="BO524" i="6"/>
  <c r="BF524" i="6"/>
  <c r="AQ524" i="6"/>
  <c r="BY524" i="6"/>
  <c r="AV524" i="6"/>
  <c r="BT524" i="6"/>
  <c r="AG524" i="6"/>
  <c r="BA524" i="6"/>
  <c r="BT172" i="6"/>
  <c r="BF172" i="6"/>
  <c r="BO172" i="6"/>
  <c r="AG172" i="6"/>
  <c r="BY172" i="6"/>
  <c r="BA172" i="6"/>
  <c r="AV172" i="6"/>
  <c r="AQ172" i="6"/>
  <c r="BY233" i="6"/>
  <c r="BA233" i="6"/>
  <c r="AV233" i="6"/>
  <c r="BT233" i="6"/>
  <c r="AQ233" i="6"/>
  <c r="BO233" i="6"/>
  <c r="BF233" i="6"/>
  <c r="AG233" i="6"/>
  <c r="BT301" i="6"/>
  <c r="AQ301" i="6"/>
  <c r="BO301" i="6"/>
  <c r="BF301" i="6"/>
  <c r="AV301" i="6"/>
  <c r="BY301" i="6"/>
  <c r="BA301" i="6"/>
  <c r="AG301" i="6"/>
  <c r="BT455" i="6"/>
  <c r="BF455" i="6"/>
  <c r="BO455" i="6"/>
  <c r="AG455" i="6"/>
  <c r="BY455" i="6"/>
  <c r="BA455" i="6"/>
  <c r="AV455" i="6"/>
  <c r="AQ455" i="6"/>
  <c r="BY155" i="6"/>
  <c r="BT155" i="6"/>
  <c r="BF155" i="6"/>
  <c r="AQ155" i="6"/>
  <c r="AG155" i="6"/>
  <c r="BO155" i="6"/>
  <c r="AV155" i="6"/>
  <c r="BA155" i="6"/>
  <c r="BY210" i="6"/>
  <c r="BF210" i="6"/>
  <c r="BA210" i="6"/>
  <c r="AG210" i="6"/>
  <c r="AQ210" i="6"/>
  <c r="BO210" i="6"/>
  <c r="AV210" i="6"/>
  <c r="BT210" i="6"/>
  <c r="BT296" i="6"/>
  <c r="BY296" i="6"/>
  <c r="BO296" i="6"/>
  <c r="AQ296" i="6"/>
  <c r="AV296" i="6"/>
  <c r="BF296" i="6"/>
  <c r="AG296" i="6"/>
  <c r="BA296" i="6"/>
  <c r="BO409" i="6"/>
  <c r="BY409" i="6"/>
  <c r="BT409" i="6"/>
  <c r="BF409" i="6"/>
  <c r="BA409" i="6"/>
  <c r="AQ409" i="6"/>
  <c r="AG409" i="6"/>
  <c r="AV409" i="6"/>
  <c r="BT137" i="6"/>
  <c r="BO137" i="6"/>
  <c r="AG137" i="6"/>
  <c r="BY137" i="6"/>
  <c r="AQ137" i="6"/>
  <c r="BF137" i="6"/>
  <c r="BA137" i="6"/>
  <c r="AV137" i="6"/>
  <c r="BY191" i="6"/>
  <c r="BT191" i="6"/>
  <c r="BO191" i="6"/>
  <c r="BT285" i="6"/>
  <c r="BY285" i="6"/>
  <c r="BO285" i="6"/>
  <c r="BT364" i="6"/>
  <c r="BO364" i="6"/>
  <c r="BF364" i="6"/>
  <c r="AG364" i="6"/>
  <c r="BY364" i="6"/>
  <c r="BA364" i="6"/>
  <c r="AV364" i="6"/>
  <c r="AQ364" i="6"/>
  <c r="BY197" i="6"/>
  <c r="BT197" i="6"/>
  <c r="BO197" i="6"/>
  <c r="BY269" i="6"/>
  <c r="BT269" i="6"/>
  <c r="BO269" i="6"/>
  <c r="AG269" i="6"/>
  <c r="BF269" i="6"/>
  <c r="BA269" i="6"/>
  <c r="AV269" i="6"/>
  <c r="AQ269" i="6"/>
  <c r="BY351" i="6"/>
  <c r="BT351" i="6"/>
  <c r="BF351" i="6"/>
  <c r="AQ351" i="6"/>
  <c r="AG351" i="6"/>
  <c r="BA351" i="6"/>
  <c r="AV351" i="6"/>
  <c r="BO351" i="6"/>
  <c r="BY361" i="6"/>
  <c r="BO361" i="6"/>
  <c r="AG361" i="6"/>
  <c r="BT361" i="6"/>
  <c r="BA361" i="6"/>
  <c r="AV361" i="6"/>
  <c r="BF361" i="6"/>
  <c r="AQ361" i="6"/>
  <c r="BO430" i="6"/>
  <c r="AV430" i="6"/>
  <c r="BA430" i="6"/>
  <c r="BT430" i="6"/>
  <c r="AQ430" i="6"/>
  <c r="BY430" i="6"/>
  <c r="BF430" i="6"/>
  <c r="AG430" i="6"/>
  <c r="BO501" i="6"/>
  <c r="AG501" i="6"/>
  <c r="BA501" i="6"/>
  <c r="AV501" i="6"/>
  <c r="BY501" i="6"/>
  <c r="AQ501" i="6"/>
  <c r="BF501" i="6"/>
  <c r="BT501" i="6"/>
  <c r="H290" i="6"/>
  <c r="G290" i="6"/>
  <c r="D290" i="6"/>
  <c r="E290" i="6"/>
  <c r="G137" i="6"/>
  <c r="E137" i="6"/>
  <c r="D137" i="6"/>
  <c r="H137" i="6"/>
  <c r="G511" i="6"/>
  <c r="H511" i="6"/>
  <c r="E511" i="6"/>
  <c r="D511" i="6"/>
  <c r="BO521" i="6"/>
  <c r="BA521" i="6"/>
  <c r="BF521" i="6"/>
  <c r="AG521" i="6"/>
  <c r="BT521" i="6"/>
  <c r="AQ521" i="6"/>
  <c r="BY521" i="6"/>
  <c r="AV521" i="6"/>
  <c r="E443" i="6"/>
  <c r="H443" i="6"/>
  <c r="D443" i="6"/>
  <c r="G443" i="6"/>
  <c r="H422" i="6"/>
  <c r="G422" i="6"/>
  <c r="D422" i="6"/>
  <c r="E422" i="6"/>
  <c r="BA481" i="6"/>
  <c r="AG481" i="6"/>
  <c r="BO481" i="6"/>
  <c r="BT481" i="6"/>
  <c r="AQ481" i="6"/>
  <c r="AV481" i="6"/>
  <c r="BY481" i="6"/>
  <c r="BF481" i="6"/>
  <c r="H465" i="6"/>
  <c r="D465" i="6"/>
  <c r="E465" i="6"/>
  <c r="G465" i="6"/>
  <c r="BO383" i="6"/>
  <c r="AQ383" i="6"/>
  <c r="BF383" i="6"/>
  <c r="AG383" i="6"/>
  <c r="BA383" i="6"/>
  <c r="AV383" i="6"/>
  <c r="BY383" i="6"/>
  <c r="BT383" i="6"/>
  <c r="BT457" i="6"/>
  <c r="BY457" i="6"/>
  <c r="BO457" i="6"/>
  <c r="AQ457" i="6"/>
  <c r="BF457" i="6"/>
  <c r="AG457" i="6"/>
  <c r="BA457" i="6"/>
  <c r="AV457" i="6"/>
  <c r="D466" i="6"/>
  <c r="H466" i="6"/>
  <c r="G466" i="6"/>
  <c r="E466" i="6"/>
  <c r="BY414" i="6"/>
  <c r="BF414" i="6"/>
  <c r="AG414" i="6"/>
  <c r="BT414" i="6"/>
  <c r="BA414" i="6"/>
  <c r="AV414" i="6"/>
  <c r="AQ414" i="6"/>
  <c r="BO414" i="6"/>
  <c r="BT480" i="6"/>
  <c r="BY480" i="6"/>
  <c r="AQ480" i="6"/>
  <c r="BF480" i="6"/>
  <c r="AG480" i="6"/>
  <c r="BA480" i="6"/>
  <c r="BO480" i="6"/>
  <c r="AV480" i="6"/>
  <c r="G378" i="6"/>
  <c r="E378" i="6"/>
  <c r="H378" i="6"/>
  <c r="D378" i="6"/>
  <c r="H377" i="6"/>
  <c r="G377" i="6"/>
  <c r="D377" i="6"/>
  <c r="E377" i="6"/>
  <c r="BT405" i="6"/>
  <c r="AQ405" i="6"/>
  <c r="BF405" i="6"/>
  <c r="AG405" i="6"/>
  <c r="BO405" i="6"/>
  <c r="BY405" i="6"/>
  <c r="BA405" i="6"/>
  <c r="AV405" i="6"/>
  <c r="BA486" i="6"/>
  <c r="BO486" i="6"/>
  <c r="BT486" i="6"/>
  <c r="BY486" i="6"/>
  <c r="AQ486" i="6"/>
  <c r="BF486" i="6"/>
  <c r="AV486" i="6"/>
  <c r="AG486" i="6"/>
  <c r="CC525" i="9"/>
  <c r="L545" i="9"/>
  <c r="H655" i="11" s="1"/>
  <c r="CI525" i="9"/>
  <c r="R545" i="9"/>
  <c r="N655" i="11" s="1"/>
  <c r="DW525" i="9"/>
  <c r="BF545" i="9"/>
  <c r="BB655" i="11" s="1"/>
  <c r="CX525" i="9"/>
  <c r="AG545" i="9"/>
  <c r="AC655" i="11" s="1"/>
  <c r="DS525" i="9"/>
  <c r="BB545" i="9"/>
  <c r="AX655" i="11" s="1"/>
  <c r="CT525" i="9"/>
  <c r="AC545" i="9"/>
  <c r="Y655" i="11" s="1"/>
  <c r="BD545" i="9"/>
  <c r="AZ655" i="11" s="1"/>
  <c r="DU525" i="9"/>
  <c r="BG545" i="9"/>
  <c r="BC655" i="11" s="1"/>
  <c r="DX525" i="9"/>
  <c r="CB296" i="9"/>
  <c r="BT296" i="9"/>
  <c r="L173" i="6" s="1"/>
  <c r="BU296" i="9"/>
  <c r="M173" i="6" s="1"/>
  <c r="BC257" i="9"/>
  <c r="AY643" i="11" s="1"/>
  <c r="AW281" i="9"/>
  <c r="AS644" i="11" s="1"/>
  <c r="CI262" i="9"/>
  <c r="R281" i="9"/>
  <c r="N644" i="11" s="1"/>
  <c r="AL521" i="9"/>
  <c r="AH654" i="11" s="1"/>
  <c r="CB502" i="9"/>
  <c r="BU502" i="9"/>
  <c r="M361" i="6" s="1"/>
  <c r="BT502" i="9"/>
  <c r="K521" i="9"/>
  <c r="CK502" i="9"/>
  <c r="T521" i="9"/>
  <c r="P654" i="11" s="1"/>
  <c r="AZ617" i="9"/>
  <c r="AV658" i="11" s="1"/>
  <c r="AO449" i="9"/>
  <c r="AK651" i="11" s="1"/>
  <c r="BB521" i="9"/>
  <c r="AX654" i="11" s="1"/>
  <c r="AL281" i="9"/>
  <c r="AH644" i="11" s="1"/>
  <c r="BB281" i="9"/>
  <c r="AX644" i="11" s="1"/>
  <c r="CB483" i="9"/>
  <c r="BT483" i="9"/>
  <c r="L344" i="6" s="1"/>
  <c r="BU483" i="9"/>
  <c r="M344" i="6" s="1"/>
  <c r="CD480" i="9"/>
  <c r="M497" i="9"/>
  <c r="I653" i="11" s="1"/>
  <c r="CG480" i="9"/>
  <c r="P497" i="9"/>
  <c r="L653" i="11" s="1"/>
  <c r="CF645" i="9"/>
  <c r="O665" i="9"/>
  <c r="K660" i="11" s="1"/>
  <c r="DE645" i="9"/>
  <c r="AN665" i="9"/>
  <c r="AJ660" i="11" s="1"/>
  <c r="DN645" i="9"/>
  <c r="AW665" i="9"/>
  <c r="AS660" i="11" s="1"/>
  <c r="CM645" i="9"/>
  <c r="V665" i="9"/>
  <c r="R660" i="11" s="1"/>
  <c r="DS645" i="9"/>
  <c r="BB665" i="9"/>
  <c r="AX660" i="11" s="1"/>
  <c r="DG645" i="9"/>
  <c r="AP665" i="9"/>
  <c r="AL660" i="11" s="1"/>
  <c r="CX645" i="9"/>
  <c r="AG665" i="9"/>
  <c r="AC660" i="11" s="1"/>
  <c r="X449" i="9"/>
  <c r="T651" i="11" s="1"/>
  <c r="Z497" i="9"/>
  <c r="V653" i="11" s="1"/>
  <c r="AO521" i="9"/>
  <c r="AK654" i="11" s="1"/>
  <c r="BB617" i="9"/>
  <c r="AX658" i="11" s="1"/>
  <c r="CE240" i="9"/>
  <c r="N257" i="9"/>
  <c r="J643" i="11" s="1"/>
  <c r="AF449" i="9"/>
  <c r="AB651" i="11" s="1"/>
  <c r="CB672" i="9"/>
  <c r="BT672" i="9"/>
  <c r="L517" i="6" s="1"/>
  <c r="BU672" i="9"/>
  <c r="M517" i="6" s="1"/>
  <c r="AX281" i="9"/>
  <c r="AT644" i="11" s="1"/>
  <c r="CB526" i="9"/>
  <c r="BT526" i="9"/>
  <c r="L383" i="6" s="1"/>
  <c r="BU526" i="9"/>
  <c r="M383" i="6" s="1"/>
  <c r="R305" i="9"/>
  <c r="N645" i="11" s="1"/>
  <c r="CI285" i="9"/>
  <c r="DU285" i="9"/>
  <c r="BD305" i="9"/>
  <c r="AZ645" i="11" s="1"/>
  <c r="DK285" i="9"/>
  <c r="AT305" i="9"/>
  <c r="AP645" i="11" s="1"/>
  <c r="DH285" i="9"/>
  <c r="AQ305" i="9"/>
  <c r="AM645" i="11" s="1"/>
  <c r="BL305" i="9"/>
  <c r="BH645" i="11" s="1"/>
  <c r="EC285" i="9"/>
  <c r="DJ285" i="9"/>
  <c r="AS305" i="9"/>
  <c r="AO645" i="11" s="1"/>
  <c r="BF305" i="9"/>
  <c r="BB645" i="11" s="1"/>
  <c r="DW285" i="9"/>
  <c r="CB621" i="9"/>
  <c r="BU621" i="9"/>
  <c r="M470" i="6" s="1"/>
  <c r="BT621" i="9"/>
  <c r="K641" i="9"/>
  <c r="EH621" i="9"/>
  <c r="BQ641" i="9"/>
  <c r="BM659" i="11" s="1"/>
  <c r="EF621" i="9"/>
  <c r="BO641" i="9"/>
  <c r="BK659" i="11" s="1"/>
  <c r="DS621" i="9"/>
  <c r="BB641" i="9"/>
  <c r="AX659" i="11" s="1"/>
  <c r="CW621" i="9"/>
  <c r="AF641" i="9"/>
  <c r="AB659" i="11" s="1"/>
  <c r="DA621" i="9"/>
  <c r="AJ641" i="9"/>
  <c r="AF659" i="11" s="1"/>
  <c r="AX449" i="9"/>
  <c r="AT651" i="11" s="1"/>
  <c r="CD381" i="9"/>
  <c r="M401" i="9"/>
  <c r="I649" i="11" s="1"/>
  <c r="CZ381" i="9"/>
  <c r="AI401" i="9"/>
  <c r="AE649" i="11" s="1"/>
  <c r="CD669" i="9"/>
  <c r="M689" i="9"/>
  <c r="I661" i="11" s="1"/>
  <c r="CQ669" i="9"/>
  <c r="Z689" i="9"/>
  <c r="V661" i="11" s="1"/>
  <c r="BC689" i="9"/>
  <c r="AY661" i="11" s="1"/>
  <c r="DT669" i="9"/>
  <c r="BJ689" i="9"/>
  <c r="BF661" i="11" s="1"/>
  <c r="EA669" i="9"/>
  <c r="CE434" i="9"/>
  <c r="N449" i="9"/>
  <c r="J651" i="11" s="1"/>
  <c r="CB264" i="9"/>
  <c r="BT264" i="9"/>
  <c r="L143" i="6" s="1"/>
  <c r="G143" i="6" s="1"/>
  <c r="BU264" i="9"/>
  <c r="M143" i="6" s="1"/>
  <c r="E143" i="6" s="1"/>
  <c r="E141" i="6"/>
  <c r="G141" i="6"/>
  <c r="H141" i="6"/>
  <c r="D141" i="6"/>
  <c r="AQ121" i="6"/>
  <c r="BA121" i="6"/>
  <c r="BT121" i="6"/>
  <c r="BY121" i="6"/>
  <c r="BO121" i="6"/>
  <c r="AG121" i="6"/>
  <c r="AV121" i="6"/>
  <c r="BF121" i="6"/>
  <c r="BY267" i="6"/>
  <c r="BO267" i="6"/>
  <c r="BT267" i="6"/>
  <c r="BO264" i="6"/>
  <c r="BY264" i="6"/>
  <c r="BT264" i="6"/>
  <c r="BO348" i="6"/>
  <c r="BF348" i="6"/>
  <c r="BA348" i="6"/>
  <c r="BT348" i="6"/>
  <c r="AG348" i="6"/>
  <c r="AV348" i="6"/>
  <c r="BY348" i="6"/>
  <c r="AQ348" i="6"/>
  <c r="BO193" i="6"/>
  <c r="BT193" i="6"/>
  <c r="BY193" i="6"/>
  <c r="BY278" i="6"/>
  <c r="BF278" i="6"/>
  <c r="AV278" i="6"/>
  <c r="BO278" i="6"/>
  <c r="AQ278" i="6"/>
  <c r="BT278" i="6"/>
  <c r="AG278" i="6"/>
  <c r="BA278" i="6"/>
  <c r="BT377" i="6"/>
  <c r="BO377" i="6"/>
  <c r="BY377" i="6"/>
  <c r="AV377" i="6"/>
  <c r="BA377" i="6"/>
  <c r="AG377" i="6"/>
  <c r="AQ377" i="6"/>
  <c r="BF377" i="6"/>
  <c r="BY203" i="6"/>
  <c r="AV203" i="6"/>
  <c r="BA203" i="6"/>
  <c r="AG203" i="6"/>
  <c r="BT203" i="6"/>
  <c r="BF203" i="6"/>
  <c r="AQ203" i="6"/>
  <c r="BO203" i="6"/>
  <c r="BT344" i="6"/>
  <c r="BO344" i="6"/>
  <c r="AQ344" i="6"/>
  <c r="BF344" i="6"/>
  <c r="BY344" i="6"/>
  <c r="AG344" i="6"/>
  <c r="BA344" i="6"/>
  <c r="AV344" i="6"/>
  <c r="BT167" i="6"/>
  <c r="BA167" i="6"/>
  <c r="AG167" i="6"/>
  <c r="AV167" i="6"/>
  <c r="BO167" i="6"/>
  <c r="AQ167" i="6"/>
  <c r="BY167" i="6"/>
  <c r="BF167" i="6"/>
  <c r="BO237" i="6"/>
  <c r="AQ237" i="6"/>
  <c r="BF237" i="6"/>
  <c r="AG237" i="6"/>
  <c r="BY237" i="6"/>
  <c r="BT237" i="6"/>
  <c r="AV237" i="6"/>
  <c r="BA237" i="6"/>
  <c r="BY324" i="6"/>
  <c r="BO324" i="6"/>
  <c r="AQ324" i="6"/>
  <c r="BF324" i="6"/>
  <c r="AG324" i="6"/>
  <c r="BA324" i="6"/>
  <c r="BT324" i="6"/>
  <c r="AV324" i="6"/>
  <c r="BY478" i="6"/>
  <c r="BT478" i="6"/>
  <c r="BO478" i="6"/>
  <c r="BF478" i="6"/>
  <c r="AG478" i="6"/>
  <c r="AQ478" i="6"/>
  <c r="BA478" i="6"/>
  <c r="AV478" i="6"/>
  <c r="BY158" i="6"/>
  <c r="AV158" i="6"/>
  <c r="BF158" i="6"/>
  <c r="AG158" i="6"/>
  <c r="BA158" i="6"/>
  <c r="BT158" i="6"/>
  <c r="AQ158" i="6"/>
  <c r="BO158" i="6"/>
  <c r="BO239" i="6"/>
  <c r="BT239" i="6"/>
  <c r="BY239" i="6"/>
  <c r="BY304" i="6"/>
  <c r="BF304" i="6"/>
  <c r="AG304" i="6"/>
  <c r="BO304" i="6"/>
  <c r="BA304" i="6"/>
  <c r="BT304" i="6"/>
  <c r="AV304" i="6"/>
  <c r="AQ304" i="6"/>
  <c r="BO428" i="6"/>
  <c r="AQ428" i="6"/>
  <c r="BY428" i="6"/>
  <c r="BF428" i="6"/>
  <c r="BT428" i="6"/>
  <c r="AV428" i="6"/>
  <c r="AG428" i="6"/>
  <c r="BA428" i="6"/>
  <c r="BY133" i="6"/>
  <c r="AG133" i="6"/>
  <c r="BT133" i="6"/>
  <c r="BF133" i="6"/>
  <c r="BO133" i="6"/>
  <c r="BA133" i="6"/>
  <c r="AV133" i="6"/>
  <c r="AQ133" i="6"/>
  <c r="BT216" i="6"/>
  <c r="BO216" i="6"/>
  <c r="AQ216" i="6"/>
  <c r="BY216" i="6"/>
  <c r="AV216" i="6"/>
  <c r="BF216" i="6"/>
  <c r="BA216" i="6"/>
  <c r="AG216" i="6"/>
  <c r="BT279" i="6"/>
  <c r="BF279" i="6"/>
  <c r="AG279" i="6"/>
  <c r="BY279" i="6"/>
  <c r="BA279" i="6"/>
  <c r="BO279" i="6"/>
  <c r="AQ279" i="6"/>
  <c r="AV279" i="6"/>
  <c r="BO388" i="6"/>
  <c r="BY388" i="6"/>
  <c r="BF388" i="6"/>
  <c r="BT388" i="6"/>
  <c r="AG388" i="6"/>
  <c r="BA388" i="6"/>
  <c r="AQ388" i="6"/>
  <c r="AV388" i="6"/>
  <c r="BO132" i="6"/>
  <c r="BY132" i="6"/>
  <c r="BT132" i="6"/>
  <c r="BT209" i="6"/>
  <c r="BO209" i="6"/>
  <c r="AV209" i="6"/>
  <c r="BY209" i="6"/>
  <c r="BF209" i="6"/>
  <c r="AG209" i="6"/>
  <c r="BA209" i="6"/>
  <c r="AQ209" i="6"/>
  <c r="BY274" i="6"/>
  <c r="BT274" i="6"/>
  <c r="AQ274" i="6"/>
  <c r="AV274" i="6"/>
  <c r="BF274" i="6"/>
  <c r="AG274" i="6"/>
  <c r="BA274" i="6"/>
  <c r="BO274" i="6"/>
  <c r="BY378" i="6"/>
  <c r="BO378" i="6"/>
  <c r="BA378" i="6"/>
  <c r="BT378" i="6"/>
  <c r="BF378" i="6"/>
  <c r="AV378" i="6"/>
  <c r="AG378" i="6"/>
  <c r="AQ378" i="6"/>
  <c r="BY371" i="6"/>
  <c r="BO371" i="6"/>
  <c r="BT371" i="6"/>
  <c r="BT439" i="6"/>
  <c r="BA439" i="6"/>
  <c r="BF439" i="6"/>
  <c r="BO439" i="6"/>
  <c r="AQ439" i="6"/>
  <c r="AG439" i="6"/>
  <c r="BY439" i="6"/>
  <c r="AV439" i="6"/>
  <c r="BY528" i="6"/>
  <c r="AV528" i="6"/>
  <c r="BT528" i="6"/>
  <c r="BO528" i="6"/>
  <c r="AQ528" i="6"/>
  <c r="BF528" i="6"/>
  <c r="AG528" i="6"/>
  <c r="BA528" i="6"/>
  <c r="D510" i="6"/>
  <c r="H510" i="6"/>
  <c r="G510" i="6"/>
  <c r="E510" i="6"/>
  <c r="E135" i="6"/>
  <c r="D135" i="6"/>
  <c r="G135" i="6"/>
  <c r="H135" i="6"/>
  <c r="AG517" i="6"/>
  <c r="AQ517" i="6"/>
  <c r="BA517" i="6"/>
  <c r="BY517" i="6"/>
  <c r="BF517" i="6"/>
  <c r="BT517" i="6"/>
  <c r="BO517" i="6"/>
  <c r="AV517" i="6"/>
  <c r="D444" i="6"/>
  <c r="H444" i="6"/>
  <c r="E444" i="6"/>
  <c r="G444" i="6"/>
  <c r="D202" i="6"/>
  <c r="H202" i="6"/>
  <c r="G202" i="6"/>
  <c r="E202" i="6"/>
  <c r="E515" i="6"/>
  <c r="H515" i="6"/>
  <c r="D515" i="6"/>
  <c r="G515" i="6"/>
  <c r="BO420" i="6"/>
  <c r="BY420" i="6"/>
  <c r="BT420" i="6"/>
  <c r="BY494" i="6"/>
  <c r="BT494" i="6"/>
  <c r="AG494" i="6"/>
  <c r="AV494" i="6"/>
  <c r="BO494" i="6"/>
  <c r="AQ494" i="6"/>
  <c r="BF494" i="6"/>
  <c r="BA494" i="6"/>
  <c r="H273" i="6"/>
  <c r="G273" i="6"/>
  <c r="D273" i="6"/>
  <c r="E273" i="6"/>
  <c r="BY319" i="6"/>
  <c r="BT319" i="6"/>
  <c r="BA319" i="6"/>
  <c r="AV319" i="6"/>
  <c r="BO319" i="6"/>
  <c r="BF319" i="6"/>
  <c r="AG319" i="6"/>
  <c r="AQ319" i="6"/>
  <c r="BT387" i="6"/>
  <c r="BY387" i="6"/>
  <c r="AG387" i="6"/>
  <c r="BO387" i="6"/>
  <c r="BF387" i="6"/>
  <c r="AV387" i="6"/>
  <c r="AQ387" i="6"/>
  <c r="BA387" i="6"/>
  <c r="BT489" i="6"/>
  <c r="AV489" i="6"/>
  <c r="BY489" i="6"/>
  <c r="BF489" i="6"/>
  <c r="BO489" i="6"/>
  <c r="AQ489" i="6"/>
  <c r="AG489" i="6"/>
  <c r="BA489" i="6"/>
  <c r="H509" i="6"/>
  <c r="D509" i="6"/>
  <c r="E509" i="6"/>
  <c r="G509" i="6"/>
  <c r="BY357" i="6"/>
  <c r="AG357" i="6"/>
  <c r="BF357" i="6"/>
  <c r="BT357" i="6"/>
  <c r="AQ357" i="6"/>
  <c r="BA357" i="6"/>
  <c r="BO357" i="6"/>
  <c r="AV357" i="6"/>
  <c r="BY413" i="6"/>
  <c r="BO413" i="6"/>
  <c r="BA413" i="6"/>
  <c r="AV413" i="6"/>
  <c r="BT413" i="6"/>
  <c r="AG413" i="6"/>
  <c r="AQ413" i="6"/>
  <c r="BF413" i="6"/>
  <c r="BO493" i="6"/>
  <c r="BY493" i="6"/>
  <c r="BT493" i="6"/>
  <c r="AQ493" i="6"/>
  <c r="BF493" i="6"/>
  <c r="AG493" i="6"/>
  <c r="BA493" i="6"/>
  <c r="AV493" i="6"/>
  <c r="D311" i="6"/>
  <c r="H311" i="6"/>
  <c r="G311" i="6"/>
  <c r="E311" i="6"/>
  <c r="BT350" i="6"/>
  <c r="BO350" i="6"/>
  <c r="BY350" i="6"/>
  <c r="BT411" i="6"/>
  <c r="AV411" i="6"/>
  <c r="BO411" i="6"/>
  <c r="AQ411" i="6"/>
  <c r="BY411" i="6"/>
  <c r="BF411" i="6"/>
  <c r="AG411" i="6"/>
  <c r="BA411" i="6"/>
  <c r="AQ504" i="6"/>
  <c r="BT504" i="6"/>
  <c r="BF504" i="6"/>
  <c r="AG504" i="6"/>
  <c r="BO504" i="6"/>
  <c r="BY504" i="6"/>
  <c r="AV504" i="6"/>
  <c r="BA504" i="6"/>
  <c r="AN257" i="9"/>
  <c r="AJ643" i="11" s="1"/>
  <c r="CG525" i="9"/>
  <c r="P545" i="9"/>
  <c r="L655" i="11" s="1"/>
  <c r="O545" i="9"/>
  <c r="K655" i="11" s="1"/>
  <c r="CF525" i="9"/>
  <c r="CR525" i="9"/>
  <c r="AA545" i="9"/>
  <c r="W655" i="11" s="1"/>
  <c r="EG525" i="9"/>
  <c r="BP545" i="9"/>
  <c r="BL655" i="11" s="1"/>
  <c r="CW525" i="9"/>
  <c r="AF545" i="9"/>
  <c r="AB655" i="11" s="1"/>
  <c r="CL525" i="9"/>
  <c r="U545" i="9"/>
  <c r="Q655" i="11" s="1"/>
  <c r="DG525" i="9"/>
  <c r="AP545" i="9"/>
  <c r="AL655" i="11" s="1"/>
  <c r="CM525" i="9"/>
  <c r="V545" i="9"/>
  <c r="R655" i="11" s="1"/>
  <c r="AS449" i="9"/>
  <c r="AO651" i="11" s="1"/>
  <c r="AO497" i="9"/>
  <c r="AK653" i="11" s="1"/>
  <c r="AZ521" i="9"/>
  <c r="AV654" i="11" s="1"/>
  <c r="AX257" i="9"/>
  <c r="AT643" i="11" s="1"/>
  <c r="V281" i="9"/>
  <c r="R644" i="11" s="1"/>
  <c r="AQ617" i="9"/>
  <c r="AM658" i="11" s="1"/>
  <c r="AT617" i="9"/>
  <c r="AP658" i="11" s="1"/>
  <c r="CB657" i="9"/>
  <c r="BT657" i="9"/>
  <c r="L504" i="6" s="1"/>
  <c r="BU657" i="9"/>
  <c r="M504" i="6" s="1"/>
  <c r="CC262" i="9"/>
  <c r="L281" i="9"/>
  <c r="H644" i="11" s="1"/>
  <c r="CE502" i="9"/>
  <c r="N521" i="9"/>
  <c r="J654" i="11" s="1"/>
  <c r="CD502" i="9"/>
  <c r="M521" i="9"/>
  <c r="I654" i="11" s="1"/>
  <c r="CB528" i="9"/>
  <c r="BT528" i="9"/>
  <c r="L385" i="6" s="1"/>
  <c r="BU528" i="9"/>
  <c r="M385" i="6" s="1"/>
  <c r="BO257" i="9"/>
  <c r="BK643" i="11" s="1"/>
  <c r="AP617" i="9"/>
  <c r="AL658" i="11" s="1"/>
  <c r="AR617" i="9"/>
  <c r="AN658" i="11" s="1"/>
  <c r="CB447" i="9"/>
  <c r="BU447" i="9"/>
  <c r="M312" i="6" s="1"/>
  <c r="BT447" i="9"/>
  <c r="L312" i="6" s="1"/>
  <c r="CB480" i="9"/>
  <c r="BU480" i="9"/>
  <c r="M341" i="6" s="1"/>
  <c r="BT480" i="9"/>
  <c r="CJ645" i="9"/>
  <c r="S665" i="9"/>
  <c r="O660" i="11" s="1"/>
  <c r="DV645" i="9"/>
  <c r="BE665" i="9"/>
  <c r="BA660" i="11" s="1"/>
  <c r="AF665" i="9"/>
  <c r="AB660" i="11" s="1"/>
  <c r="CW645" i="9"/>
  <c r="DM645" i="9"/>
  <c r="AV665" i="9"/>
  <c r="AR660" i="11" s="1"/>
  <c r="EI645" i="9"/>
  <c r="BR665" i="9"/>
  <c r="BN660" i="11" s="1"/>
  <c r="DY645" i="9"/>
  <c r="BH665" i="9"/>
  <c r="BD660" i="11" s="1"/>
  <c r="AH665" i="9"/>
  <c r="AD660" i="11" s="1"/>
  <c r="CY645" i="9"/>
  <c r="AH521" i="9"/>
  <c r="AD654" i="11" s="1"/>
  <c r="AW257" i="9"/>
  <c r="AS643" i="11" s="1"/>
  <c r="BD281" i="9"/>
  <c r="AZ644" i="11" s="1"/>
  <c r="BH617" i="9"/>
  <c r="BD658" i="11" s="1"/>
  <c r="CC240" i="9"/>
  <c r="L257" i="9"/>
  <c r="H643" i="11" s="1"/>
  <c r="CB629" i="9"/>
  <c r="BT629" i="9"/>
  <c r="L478" i="6" s="1"/>
  <c r="BU629" i="9"/>
  <c r="M478" i="6" s="1"/>
  <c r="T497" i="9"/>
  <c r="P653" i="11" s="1"/>
  <c r="AC449" i="9"/>
  <c r="Y651" i="11" s="1"/>
  <c r="AG497" i="9"/>
  <c r="AC653" i="11" s="1"/>
  <c r="AS497" i="9"/>
  <c r="AO653" i="11" s="1"/>
  <c r="BA521" i="9"/>
  <c r="AW654" i="11" s="1"/>
  <c r="BJ521" i="9"/>
  <c r="BF654" i="11" s="1"/>
  <c r="AI257" i="9"/>
  <c r="AE643" i="11" s="1"/>
  <c r="CB518" i="9"/>
  <c r="BU518" i="9"/>
  <c r="M377" i="6" s="1"/>
  <c r="BT518" i="9"/>
  <c r="L377" i="6" s="1"/>
  <c r="BQ281" i="9"/>
  <c r="BM644" i="11" s="1"/>
  <c r="AW617" i="9"/>
  <c r="AS658" i="11" s="1"/>
  <c r="CB663" i="9"/>
  <c r="BT663" i="9"/>
  <c r="L510" i="6" s="1"/>
  <c r="BU663" i="9"/>
  <c r="M510" i="6" s="1"/>
  <c r="BT399" i="9"/>
  <c r="L268" i="6" s="1"/>
  <c r="CM285" i="9"/>
  <c r="V305" i="9"/>
  <c r="R645" i="11" s="1"/>
  <c r="CB532" i="9"/>
  <c r="BU532" i="9"/>
  <c r="M389" i="6" s="1"/>
  <c r="BT532" i="9"/>
  <c r="L389" i="6" s="1"/>
  <c r="CU381" i="9"/>
  <c r="AD401" i="9"/>
  <c r="Z649" i="11" s="1"/>
  <c r="CS381" i="9"/>
  <c r="AB401" i="9"/>
  <c r="X649" i="11" s="1"/>
  <c r="DO381" i="9"/>
  <c r="AX401" i="9"/>
  <c r="AT649" i="11" s="1"/>
  <c r="EG381" i="9"/>
  <c r="BP401" i="9"/>
  <c r="BL649" i="11" s="1"/>
  <c r="DD381" i="9"/>
  <c r="AM401" i="9"/>
  <c r="AI649" i="11" s="1"/>
  <c r="AG449" i="9"/>
  <c r="AC651" i="11" s="1"/>
  <c r="CI669" i="9"/>
  <c r="R689" i="9"/>
  <c r="N661" i="11" s="1"/>
  <c r="AG689" i="9"/>
  <c r="AC661" i="11" s="1"/>
  <c r="CX669" i="9"/>
  <c r="CN669" i="9"/>
  <c r="W689" i="9"/>
  <c r="S661" i="11" s="1"/>
  <c r="AL689" i="9"/>
  <c r="AH661" i="11" s="1"/>
  <c r="DC669" i="9"/>
  <c r="CK609" i="9"/>
  <c r="T617" i="9"/>
  <c r="P658" i="11" s="1"/>
  <c r="BO143" i="6"/>
  <c r="AQ143" i="6"/>
  <c r="BT143" i="6"/>
  <c r="AV143" i="6"/>
  <c r="BF143" i="6"/>
  <c r="BY143" i="6"/>
  <c r="AG143" i="6"/>
  <c r="BA143" i="6"/>
  <c r="BO448" i="6"/>
  <c r="BA448" i="6"/>
  <c r="AQ448" i="6"/>
  <c r="BY448" i="6"/>
  <c r="BF448" i="6"/>
  <c r="BT448" i="6"/>
  <c r="AV448" i="6"/>
  <c r="AG448" i="6"/>
  <c r="BO185" i="6"/>
  <c r="AQ185" i="6"/>
  <c r="BY185" i="6"/>
  <c r="BA185" i="6"/>
  <c r="BT185" i="6"/>
  <c r="BF185" i="6"/>
  <c r="AG185" i="6"/>
  <c r="AV185" i="6"/>
  <c r="BT353" i="6"/>
  <c r="AV353" i="6"/>
  <c r="AG353" i="6"/>
  <c r="BO353" i="6"/>
  <c r="BA353" i="6"/>
  <c r="BF353" i="6"/>
  <c r="BY353" i="6"/>
  <c r="AQ353" i="6"/>
  <c r="BT195" i="6"/>
  <c r="BO195" i="6"/>
  <c r="BY195" i="6"/>
  <c r="BY251" i="6"/>
  <c r="BO251" i="6"/>
  <c r="AQ251" i="6"/>
  <c r="BF251" i="6"/>
  <c r="BT251" i="6"/>
  <c r="BA251" i="6"/>
  <c r="AG251" i="6"/>
  <c r="AV251" i="6"/>
  <c r="BF330" i="6"/>
  <c r="BU384" i="9"/>
  <c r="M253" i="6" s="1"/>
  <c r="G593" i="9"/>
  <c r="EM452" i="9"/>
  <c r="G473" i="9"/>
  <c r="D647" i="11"/>
  <c r="L1171" i="6" s="1"/>
  <c r="EM308" i="9"/>
  <c r="EM325" i="9" s="1"/>
  <c r="BU609" i="9"/>
  <c r="M460" i="6" s="1"/>
  <c r="H460" i="6" s="1"/>
  <c r="BT609" i="9"/>
  <c r="L460" i="6" s="1"/>
  <c r="G460" i="6" s="1"/>
  <c r="D128" i="6"/>
  <c r="E210" i="6"/>
  <c r="Z521" i="9"/>
  <c r="V654" i="11" s="1"/>
  <c r="L305" i="9"/>
  <c r="H645" i="11" s="1"/>
  <c r="CC285" i="9"/>
  <c r="EI285" i="9"/>
  <c r="BR305" i="9"/>
  <c r="BN645" i="11" s="1"/>
  <c r="DI285" i="9"/>
  <c r="AR305" i="9"/>
  <c r="AN645" i="11" s="1"/>
  <c r="EB285" i="9"/>
  <c r="BK305" i="9"/>
  <c r="BG645" i="11" s="1"/>
  <c r="U305" i="9"/>
  <c r="Q645" i="11" s="1"/>
  <c r="CL285" i="9"/>
  <c r="AH305" i="9"/>
  <c r="AD645" i="11" s="1"/>
  <c r="CY285" i="9"/>
  <c r="CV285" i="9"/>
  <c r="AE305" i="9"/>
  <c r="AA645" i="11" s="1"/>
  <c r="AF281" i="9"/>
  <c r="AB644" i="11" s="1"/>
  <c r="AS281" i="9"/>
  <c r="AO644" i="11" s="1"/>
  <c r="CB647" i="9"/>
  <c r="BT647" i="9"/>
  <c r="L494" i="6" s="1"/>
  <c r="BU647" i="9"/>
  <c r="M494" i="6" s="1"/>
  <c r="CJ621" i="9"/>
  <c r="S641" i="9"/>
  <c r="O659" i="11" s="1"/>
  <c r="DP621" i="9"/>
  <c r="AY641" i="9"/>
  <c r="AU659" i="11" s="1"/>
  <c r="DN621" i="9"/>
  <c r="AW641" i="9"/>
  <c r="AS659" i="11" s="1"/>
  <c r="EC621" i="9"/>
  <c r="BL641" i="9"/>
  <c r="BH659" i="11" s="1"/>
  <c r="AX641" i="9"/>
  <c r="AT659" i="11" s="1"/>
  <c r="DO621" i="9"/>
  <c r="CT621" i="9"/>
  <c r="AC641" i="9"/>
  <c r="Y659" i="11" s="1"/>
  <c r="CN621" i="9"/>
  <c r="W641" i="9"/>
  <c r="S659" i="11" s="1"/>
  <c r="CB660" i="9"/>
  <c r="BU660" i="9"/>
  <c r="M507" i="6" s="1"/>
  <c r="BT660" i="9"/>
  <c r="L507" i="6" s="1"/>
  <c r="T449" i="9"/>
  <c r="P651" i="11" s="1"/>
  <c r="AR521" i="9"/>
  <c r="AN654" i="11" s="1"/>
  <c r="CB533" i="9"/>
  <c r="BU533" i="9"/>
  <c r="M390" i="6" s="1"/>
  <c r="BT533" i="9"/>
  <c r="L390" i="6" s="1"/>
  <c r="BC449" i="9"/>
  <c r="AY651" i="11" s="1"/>
  <c r="AF521" i="9"/>
  <c r="AB654" i="11" s="1"/>
  <c r="V521" i="9"/>
  <c r="R654" i="11" s="1"/>
  <c r="CC686" i="9"/>
  <c r="BU686" i="9"/>
  <c r="M531" i="6" s="1"/>
  <c r="BT686" i="9"/>
  <c r="L531" i="6" s="1"/>
  <c r="CB513" i="9"/>
  <c r="BT513" i="9"/>
  <c r="L372" i="6" s="1"/>
  <c r="BU513" i="9"/>
  <c r="M372" i="6" s="1"/>
  <c r="CF381" i="9"/>
  <c r="O401" i="9"/>
  <c r="K649" i="11" s="1"/>
  <c r="EE381" i="9"/>
  <c r="BN401" i="9"/>
  <c r="BJ649" i="11" s="1"/>
  <c r="DG381" i="9"/>
  <c r="AP401" i="9"/>
  <c r="AL649" i="11" s="1"/>
  <c r="DB381" i="9"/>
  <c r="AK401" i="9"/>
  <c r="AG649" i="11" s="1"/>
  <c r="DM381" i="9"/>
  <c r="AV401" i="9"/>
  <c r="AR649" i="11" s="1"/>
  <c r="CM381" i="9"/>
  <c r="V401" i="9"/>
  <c r="R649" i="11" s="1"/>
  <c r="DA381" i="9"/>
  <c r="AJ401" i="9"/>
  <c r="AF649" i="11" s="1"/>
  <c r="DK381" i="9"/>
  <c r="AT401" i="9"/>
  <c r="AP649" i="11" s="1"/>
  <c r="CB540" i="9"/>
  <c r="BT540" i="9"/>
  <c r="L397" i="6" s="1"/>
  <c r="BU540" i="9"/>
  <c r="M397" i="6" s="1"/>
  <c r="BD449" i="9"/>
  <c r="AZ651" i="11" s="1"/>
  <c r="BI521" i="9"/>
  <c r="BE654" i="11" s="1"/>
  <c r="BM521" i="9"/>
  <c r="BI654" i="11" s="1"/>
  <c r="CK669" i="9"/>
  <c r="T689" i="9"/>
  <c r="P661" i="11" s="1"/>
  <c r="DD669" i="9"/>
  <c r="AM689" i="9"/>
  <c r="AI661" i="11" s="1"/>
  <c r="CP669" i="9"/>
  <c r="Y689" i="9"/>
  <c r="U661" i="11" s="1"/>
  <c r="DP669" i="9"/>
  <c r="AY689" i="9"/>
  <c r="AU661" i="11" s="1"/>
  <c r="AO689" i="9"/>
  <c r="AK661" i="11" s="1"/>
  <c r="DF669" i="9"/>
  <c r="CY669" i="9"/>
  <c r="AH689" i="9"/>
  <c r="AD661" i="11" s="1"/>
  <c r="X689" i="9"/>
  <c r="T661" i="11" s="1"/>
  <c r="CO669" i="9"/>
  <c r="DU669" i="9"/>
  <c r="BD689" i="9"/>
  <c r="AZ661" i="11" s="1"/>
  <c r="AP281" i="9"/>
  <c r="AL644" i="11" s="1"/>
  <c r="AT281" i="9"/>
  <c r="AP644" i="11" s="1"/>
  <c r="CF609" i="9"/>
  <c r="O617" i="9"/>
  <c r="K658" i="11" s="1"/>
  <c r="CI609" i="9"/>
  <c r="R617" i="9"/>
  <c r="N658" i="11" s="1"/>
  <c r="CF434" i="9"/>
  <c r="O449" i="9"/>
  <c r="K651" i="11" s="1"/>
  <c r="BO142" i="6"/>
  <c r="BF142" i="6"/>
  <c r="BA142" i="6"/>
  <c r="BY142" i="6"/>
  <c r="BT142" i="6"/>
  <c r="AV142" i="6"/>
  <c r="AG142" i="6"/>
  <c r="AQ142" i="6"/>
  <c r="BT514" i="6"/>
  <c r="BO514" i="6"/>
  <c r="BF514" i="6"/>
  <c r="BA514" i="6"/>
  <c r="AG514" i="6"/>
  <c r="AV514" i="6"/>
  <c r="BY514" i="6"/>
  <c r="AQ514" i="6"/>
  <c r="BT187" i="6"/>
  <c r="BO187" i="6"/>
  <c r="AG187" i="6"/>
  <c r="BA187" i="6"/>
  <c r="BY187" i="6"/>
  <c r="AV187" i="6"/>
  <c r="BF187" i="6"/>
  <c r="AQ187" i="6"/>
  <c r="BY276" i="6"/>
  <c r="BT276" i="6"/>
  <c r="BO276" i="6"/>
  <c r="AV276" i="6"/>
  <c r="BA276" i="6"/>
  <c r="AQ276" i="6"/>
  <c r="AG276" i="6"/>
  <c r="BF276" i="6"/>
  <c r="BO373" i="6"/>
  <c r="AQ373" i="6"/>
  <c r="BA373" i="6"/>
  <c r="BY373" i="6"/>
  <c r="BT373" i="6"/>
  <c r="AG373" i="6"/>
  <c r="AV373" i="6"/>
  <c r="BF373" i="6"/>
  <c r="BO192" i="6"/>
  <c r="BT192" i="6"/>
  <c r="BY192" i="6"/>
  <c r="AV192" i="6"/>
  <c r="AG192" i="6"/>
  <c r="BA192" i="6"/>
  <c r="AQ192" i="6"/>
  <c r="BF192" i="6"/>
  <c r="BY288" i="6"/>
  <c r="BO288" i="6"/>
  <c r="BT288" i="6"/>
  <c r="BT366" i="6"/>
  <c r="AG366" i="6"/>
  <c r="BA366" i="6"/>
  <c r="AV366" i="6"/>
  <c r="AQ366" i="6"/>
  <c r="BY366" i="6"/>
  <c r="BO366" i="6"/>
  <c r="BF366" i="6"/>
  <c r="AQ123" i="6"/>
  <c r="BO123" i="6"/>
  <c r="BF123" i="6"/>
  <c r="BY123" i="6"/>
  <c r="BT123" i="6"/>
  <c r="AG123" i="6"/>
  <c r="AV123" i="6"/>
  <c r="BA123" i="6"/>
  <c r="BY223" i="6"/>
  <c r="BT223" i="6"/>
  <c r="BO223" i="6"/>
  <c r="BF281" i="6"/>
  <c r="AG281" i="6"/>
  <c r="BT281" i="6"/>
  <c r="BA281" i="6"/>
  <c r="BY281" i="6"/>
  <c r="BO281" i="6"/>
  <c r="AQ281" i="6"/>
  <c r="AV281" i="6"/>
  <c r="BO391" i="6"/>
  <c r="BF391" i="6"/>
  <c r="AG391" i="6"/>
  <c r="BA391" i="6"/>
  <c r="BY391" i="6"/>
  <c r="AV391" i="6"/>
  <c r="BT391" i="6"/>
  <c r="AQ391" i="6"/>
  <c r="BT128" i="6"/>
  <c r="AQ128" i="6"/>
  <c r="BO128" i="6"/>
  <c r="BF128" i="6"/>
  <c r="AG128" i="6"/>
  <c r="BY128" i="6"/>
  <c r="BA128" i="6"/>
  <c r="AV128" i="6"/>
  <c r="BY201" i="6"/>
  <c r="BO201" i="6"/>
  <c r="BA201" i="6"/>
  <c r="AQ201" i="6"/>
  <c r="BF201" i="6"/>
  <c r="AG201" i="6"/>
  <c r="BT201" i="6"/>
  <c r="AV201" i="6"/>
  <c r="BY287" i="6"/>
  <c r="BT287" i="6"/>
  <c r="BO287" i="6"/>
  <c r="BO365" i="6"/>
  <c r="BT365" i="6"/>
  <c r="BA365" i="6"/>
  <c r="AV365" i="6"/>
  <c r="AQ365" i="6"/>
  <c r="BF365" i="6"/>
  <c r="AG365" i="6"/>
  <c r="BY365" i="6"/>
  <c r="BT186" i="6"/>
  <c r="AV186" i="6"/>
  <c r="AG186" i="6"/>
  <c r="BF186" i="6"/>
  <c r="BO186" i="6"/>
  <c r="BA186" i="6"/>
  <c r="BY186" i="6"/>
  <c r="AQ186" i="6"/>
  <c r="BY257" i="6"/>
  <c r="BO257" i="6"/>
  <c r="AQ257" i="6"/>
  <c r="BF257" i="6"/>
  <c r="BT257" i="6"/>
  <c r="AG257" i="6"/>
  <c r="AV257" i="6"/>
  <c r="BA257" i="6"/>
  <c r="BO321" i="6"/>
  <c r="BA321" i="6"/>
  <c r="AV321" i="6"/>
  <c r="AQ321" i="6"/>
  <c r="BY321" i="6"/>
  <c r="AG321" i="6"/>
  <c r="BF321" i="6"/>
  <c r="BT321" i="6"/>
  <c r="BA525" i="6"/>
  <c r="BY525" i="6"/>
  <c r="BT525" i="6"/>
  <c r="AQ525" i="6"/>
  <c r="BO525" i="6"/>
  <c r="BF525" i="6"/>
  <c r="AV525" i="6"/>
  <c r="AG525" i="6"/>
  <c r="BT166" i="6"/>
  <c r="BO166" i="6"/>
  <c r="BY166" i="6"/>
  <c r="AV166" i="6"/>
  <c r="AQ166" i="6"/>
  <c r="BA166" i="6"/>
  <c r="BF166" i="6"/>
  <c r="AG166" i="6"/>
  <c r="AG247" i="6"/>
  <c r="BF247" i="6"/>
  <c r="AV247" i="6"/>
  <c r="AQ247" i="6"/>
  <c r="BT247" i="6"/>
  <c r="BA247" i="6"/>
  <c r="BO247" i="6"/>
  <c r="BY247" i="6"/>
  <c r="BY307" i="6"/>
  <c r="BT307" i="6"/>
  <c r="BO307" i="6"/>
  <c r="BT454" i="6"/>
  <c r="BA454" i="6"/>
  <c r="AV454" i="6"/>
  <c r="BO454" i="6"/>
  <c r="BF454" i="6"/>
  <c r="AQ454" i="6"/>
  <c r="AG454" i="6"/>
  <c r="BY454" i="6"/>
  <c r="BT150" i="6"/>
  <c r="BA150" i="6"/>
  <c r="AG150" i="6"/>
  <c r="AV150" i="6"/>
  <c r="BO150" i="6"/>
  <c r="BY150" i="6"/>
  <c r="BF150" i="6"/>
  <c r="AQ150" i="6"/>
  <c r="BY207" i="6"/>
  <c r="BA207" i="6"/>
  <c r="AV207" i="6"/>
  <c r="BT207" i="6"/>
  <c r="AG207" i="6"/>
  <c r="BO207" i="6"/>
  <c r="AQ207" i="6"/>
  <c r="BF207" i="6"/>
  <c r="BO303" i="6"/>
  <c r="AV303" i="6"/>
  <c r="BY303" i="6"/>
  <c r="AQ303" i="6"/>
  <c r="BT303" i="6"/>
  <c r="BF303" i="6"/>
  <c r="AG303" i="6"/>
  <c r="BA303" i="6"/>
  <c r="BT412" i="6"/>
  <c r="BO412" i="6"/>
  <c r="BF412" i="6"/>
  <c r="AG412" i="6"/>
  <c r="AQ412" i="6"/>
  <c r="BY412" i="6"/>
  <c r="BA412" i="6"/>
  <c r="AV412" i="6"/>
  <c r="BO125" i="6"/>
  <c r="BY125" i="6"/>
  <c r="BT125" i="6"/>
  <c r="BO224" i="6"/>
  <c r="BT224" i="6"/>
  <c r="BY224" i="6"/>
  <c r="BO289" i="6"/>
  <c r="BT289" i="6"/>
  <c r="BY289" i="6"/>
  <c r="BT386" i="6"/>
  <c r="BO386" i="6"/>
  <c r="BA386" i="6"/>
  <c r="AQ386" i="6"/>
  <c r="BF386" i="6"/>
  <c r="AG386" i="6"/>
  <c r="BY386" i="6"/>
  <c r="AV386" i="6"/>
  <c r="BO372" i="6"/>
  <c r="BT372" i="6"/>
  <c r="BY372" i="6"/>
  <c r="BT461" i="6"/>
  <c r="BY461" i="6"/>
  <c r="BO461" i="6"/>
  <c r="AQ461" i="6"/>
  <c r="AG461" i="6"/>
  <c r="AV461" i="6"/>
  <c r="BA461" i="6"/>
  <c r="BF461" i="6"/>
  <c r="BO518" i="6"/>
  <c r="AQ518" i="6"/>
  <c r="BF518" i="6"/>
  <c r="AG518" i="6"/>
  <c r="BY518" i="6"/>
  <c r="BT518" i="6"/>
  <c r="AV518" i="6"/>
  <c r="BA518" i="6"/>
  <c r="BY459" i="6"/>
  <c r="BT459" i="6"/>
  <c r="AV459" i="6"/>
  <c r="BF459" i="6"/>
  <c r="AQ459" i="6"/>
  <c r="BO459" i="6"/>
  <c r="AG459" i="6"/>
  <c r="BA459" i="6"/>
  <c r="H401" i="6"/>
  <c r="G401" i="6"/>
  <c r="D401" i="6"/>
  <c r="E401" i="6"/>
  <c r="E225" i="6"/>
  <c r="D225" i="6"/>
  <c r="G225" i="6"/>
  <c r="H225" i="6"/>
  <c r="G247" i="6"/>
  <c r="E247" i="6"/>
  <c r="D247" i="6"/>
  <c r="H247" i="6"/>
  <c r="BY434" i="6"/>
  <c r="BT434" i="6"/>
  <c r="AG434" i="6"/>
  <c r="BA434" i="6"/>
  <c r="BO434" i="6"/>
  <c r="AV434" i="6"/>
  <c r="AQ434" i="6"/>
  <c r="BF434" i="6"/>
  <c r="BY500" i="6"/>
  <c r="BT500" i="6"/>
  <c r="BO500" i="6"/>
  <c r="BF500" i="6"/>
  <c r="AG500" i="6"/>
  <c r="AV500" i="6"/>
  <c r="BA500" i="6"/>
  <c r="AQ500" i="6"/>
  <c r="BT349" i="6"/>
  <c r="BO349" i="6"/>
  <c r="BY349" i="6"/>
  <c r="BF408" i="6"/>
  <c r="BA408" i="6"/>
  <c r="BO408" i="6"/>
  <c r="AG408" i="6"/>
  <c r="BY408" i="6"/>
  <c r="BT408" i="6"/>
  <c r="AV408" i="6"/>
  <c r="AQ408" i="6"/>
  <c r="AQ487" i="6"/>
  <c r="AG487" i="6"/>
  <c r="BT487" i="6"/>
  <c r="BA487" i="6"/>
  <c r="BO487" i="6"/>
  <c r="AV487" i="6"/>
  <c r="BY487" i="6"/>
  <c r="BF487" i="6"/>
  <c r="BY355" i="6"/>
  <c r="BO355" i="6"/>
  <c r="AG355" i="6"/>
  <c r="BA355" i="6"/>
  <c r="AQ355" i="6"/>
  <c r="BF355" i="6"/>
  <c r="BT355" i="6"/>
  <c r="AV355" i="6"/>
  <c r="BO442" i="6"/>
  <c r="BF442" i="6"/>
  <c r="BY442" i="6"/>
  <c r="AV442" i="6"/>
  <c r="BT442" i="6"/>
  <c r="AG442" i="6"/>
  <c r="AQ442" i="6"/>
  <c r="BA442" i="6"/>
  <c r="BA509" i="6"/>
  <c r="BO509" i="6"/>
  <c r="BF509" i="6"/>
  <c r="BY509" i="6"/>
  <c r="BT509" i="6"/>
  <c r="AG509" i="6"/>
  <c r="AQ509" i="6"/>
  <c r="AV509" i="6"/>
  <c r="E487" i="6"/>
  <c r="H487" i="6"/>
  <c r="D487" i="6"/>
  <c r="G487" i="6"/>
  <c r="G163" i="6"/>
  <c r="E163" i="6"/>
  <c r="D163" i="6"/>
  <c r="H163" i="6"/>
  <c r="BT342" i="6"/>
  <c r="BY342" i="6"/>
  <c r="AV342" i="6"/>
  <c r="BF342" i="6"/>
  <c r="AQ342" i="6"/>
  <c r="AG342" i="6"/>
  <c r="BA342" i="6"/>
  <c r="BO342" i="6"/>
  <c r="BO435" i="6"/>
  <c r="AQ435" i="6"/>
  <c r="BF435" i="6"/>
  <c r="BY435" i="6"/>
  <c r="AG435" i="6"/>
  <c r="BT435" i="6"/>
  <c r="BA435" i="6"/>
  <c r="AV435" i="6"/>
  <c r="BO511" i="6"/>
  <c r="BY511" i="6"/>
  <c r="AG511" i="6"/>
  <c r="BF511" i="6"/>
  <c r="AQ511" i="6"/>
  <c r="BT511" i="6"/>
  <c r="AV511" i="6"/>
  <c r="BA511" i="6"/>
  <c r="BG449" i="9"/>
  <c r="BC651" i="11" s="1"/>
  <c r="AV281" i="9"/>
  <c r="AR644" i="11" s="1"/>
  <c r="CK525" i="9"/>
  <c r="T545" i="9"/>
  <c r="P655" i="11" s="1"/>
  <c r="EA525" i="9"/>
  <c r="BJ545" i="9"/>
  <c r="BF655" i="11" s="1"/>
  <c r="DN525" i="9"/>
  <c r="AW545" i="9"/>
  <c r="AS655" i="11" s="1"/>
  <c r="DY525" i="9"/>
  <c r="BH545" i="9"/>
  <c r="BD655" i="11" s="1"/>
  <c r="BM545" i="9"/>
  <c r="BI655" i="11" s="1"/>
  <c r="ED525" i="9"/>
  <c r="CV525" i="9"/>
  <c r="AE545" i="9"/>
  <c r="AA655" i="11" s="1"/>
  <c r="DA525" i="9"/>
  <c r="AJ545" i="9"/>
  <c r="AF655" i="11" s="1"/>
  <c r="DT525" i="9"/>
  <c r="BC545" i="9"/>
  <c r="AY655" i="11" s="1"/>
  <c r="BK257" i="9"/>
  <c r="BG643" i="11" s="1"/>
  <c r="CK262" i="9"/>
  <c r="T281" i="9"/>
  <c r="P644" i="11" s="1"/>
  <c r="CB446" i="9"/>
  <c r="BU446" i="9"/>
  <c r="M311" i="6" s="1"/>
  <c r="BT446" i="9"/>
  <c r="L311" i="6" s="1"/>
  <c r="CB291" i="9"/>
  <c r="BT291" i="9"/>
  <c r="L168" i="6" s="1"/>
  <c r="BU291" i="9"/>
  <c r="M168" i="6" s="1"/>
  <c r="CC502" i="9"/>
  <c r="L521" i="9"/>
  <c r="H654" i="11" s="1"/>
  <c r="BL617" i="9"/>
  <c r="BH658" i="11" s="1"/>
  <c r="BR449" i="9"/>
  <c r="BN651" i="11" s="1"/>
  <c r="AD449" i="9"/>
  <c r="Z651" i="11" s="1"/>
  <c r="AF497" i="9"/>
  <c r="AB653" i="11" s="1"/>
  <c r="AN521" i="9"/>
  <c r="AJ654" i="11" s="1"/>
  <c r="AD521" i="9"/>
  <c r="Z654" i="11" s="1"/>
  <c r="AH257" i="9"/>
  <c r="AD643" i="11" s="1"/>
  <c r="AK257" i="9"/>
  <c r="AG643" i="11" s="1"/>
  <c r="CC681" i="9"/>
  <c r="BT681" i="9"/>
  <c r="L526" i="6" s="1"/>
  <c r="AY281" i="9"/>
  <c r="AU644" i="11" s="1"/>
  <c r="CI480" i="9"/>
  <c r="R497" i="9"/>
  <c r="N653" i="11" s="1"/>
  <c r="CB645" i="9"/>
  <c r="BT645" i="9"/>
  <c r="BU645" i="9"/>
  <c r="M492" i="6" s="1"/>
  <c r="K665" i="9"/>
  <c r="DD645" i="9"/>
  <c r="AM665" i="9"/>
  <c r="AI660" i="11" s="1"/>
  <c r="ED645" i="9"/>
  <c r="BM665" i="9"/>
  <c r="BI660" i="11" s="1"/>
  <c r="DK645" i="9"/>
  <c r="AT665" i="9"/>
  <c r="AP660" i="11" s="1"/>
  <c r="CV645" i="9"/>
  <c r="AE665" i="9"/>
  <c r="AA660" i="11" s="1"/>
  <c r="DQ645" i="9"/>
  <c r="AZ665" i="9"/>
  <c r="AV660" i="11" s="1"/>
  <c r="DP645" i="9"/>
  <c r="AY665" i="9"/>
  <c r="AU660" i="11" s="1"/>
  <c r="CB266" i="9"/>
  <c r="BT266" i="9"/>
  <c r="L145" i="6" s="1"/>
  <c r="BU266" i="9"/>
  <c r="M145" i="6" s="1"/>
  <c r="AW449" i="9"/>
  <c r="AS651" i="11" s="1"/>
  <c r="BI449" i="9"/>
  <c r="BE651" i="11" s="1"/>
  <c r="U449" i="9"/>
  <c r="Q651" i="11" s="1"/>
  <c r="BQ521" i="9"/>
  <c r="BM654" i="11" s="1"/>
  <c r="AP521" i="9"/>
  <c r="AL654" i="11" s="1"/>
  <c r="AA257" i="9"/>
  <c r="W643" i="11" s="1"/>
  <c r="CB680" i="9"/>
  <c r="BT680" i="9"/>
  <c r="L525" i="6" s="1"/>
  <c r="BU680" i="9"/>
  <c r="M525" i="6" s="1"/>
  <c r="Z281" i="9"/>
  <c r="V644" i="11" s="1"/>
  <c r="CH240" i="9"/>
  <c r="Q257" i="9"/>
  <c r="M643" i="11" s="1"/>
  <c r="BH449" i="9"/>
  <c r="BD651" i="11" s="1"/>
  <c r="AJ281" i="9"/>
  <c r="AF644" i="11" s="1"/>
  <c r="BT382" i="9"/>
  <c r="L251" i="6" s="1"/>
  <c r="EL452" i="9"/>
  <c r="EL458" i="9" s="1"/>
  <c r="BU670" i="9"/>
  <c r="M515" i="6" s="1"/>
  <c r="DL285" i="9"/>
  <c r="AU305" i="9"/>
  <c r="AQ645" i="11" s="1"/>
  <c r="BE305" i="9"/>
  <c r="BA645" i="11" s="1"/>
  <c r="DV285" i="9"/>
  <c r="AG305" i="9"/>
  <c r="AC645" i="11" s="1"/>
  <c r="CX285" i="9"/>
  <c r="CG621" i="9"/>
  <c r="P641" i="9"/>
  <c r="L659" i="11" s="1"/>
  <c r="CP621" i="9"/>
  <c r="Y641" i="9"/>
  <c r="U659" i="11" s="1"/>
  <c r="CV621" i="9"/>
  <c r="AE641" i="9"/>
  <c r="AA659" i="11" s="1"/>
  <c r="CI381" i="9"/>
  <c r="R401" i="9"/>
  <c r="N649" i="11" s="1"/>
  <c r="DW381" i="9"/>
  <c r="BF401" i="9"/>
  <c r="BB649" i="11" s="1"/>
  <c r="DL381" i="9"/>
  <c r="AU401" i="9"/>
  <c r="AQ649" i="11" s="1"/>
  <c r="DJ381" i="9"/>
  <c r="AS401" i="9"/>
  <c r="AO649" i="11" s="1"/>
  <c r="AA449" i="9"/>
  <c r="W651" i="11" s="1"/>
  <c r="AQ521" i="9"/>
  <c r="AM654" i="11" s="1"/>
  <c r="BE281" i="9"/>
  <c r="BA644" i="11" s="1"/>
  <c r="CB542" i="9"/>
  <c r="BT542" i="9"/>
  <c r="L399" i="6" s="1"/>
  <c r="BU542" i="9"/>
  <c r="M399" i="6" s="1"/>
  <c r="AE449" i="9"/>
  <c r="AA651" i="11" s="1"/>
  <c r="CJ669" i="9"/>
  <c r="S689" i="9"/>
  <c r="O661" i="11" s="1"/>
  <c r="CT669" i="9"/>
  <c r="AC689" i="9"/>
  <c r="Y661" i="11" s="1"/>
  <c r="DN669" i="9"/>
  <c r="AW689" i="9"/>
  <c r="AS661" i="11" s="1"/>
  <c r="DB669" i="9"/>
  <c r="AK689" i="9"/>
  <c r="AG661" i="11" s="1"/>
  <c r="AI689" i="9"/>
  <c r="AE661" i="11" s="1"/>
  <c r="CZ669" i="9"/>
  <c r="DX669" i="9"/>
  <c r="BG689" i="9"/>
  <c r="BC661" i="11" s="1"/>
  <c r="DO669" i="9"/>
  <c r="AX689" i="9"/>
  <c r="AT661" i="11" s="1"/>
  <c r="BN689" i="9"/>
  <c r="BJ661" i="11" s="1"/>
  <c r="EE669" i="9"/>
  <c r="CB250" i="9"/>
  <c r="BU250" i="9"/>
  <c r="M131" i="6" s="1"/>
  <c r="BT250" i="9"/>
  <c r="L131" i="6" s="1"/>
  <c r="CG434" i="9"/>
  <c r="P449" i="9"/>
  <c r="L651" i="11" s="1"/>
  <c r="BO119" i="6"/>
  <c r="BA119" i="6"/>
  <c r="AG119" i="6"/>
  <c r="BY119" i="6"/>
  <c r="BF119" i="6"/>
  <c r="AQ119" i="6"/>
  <c r="BT119" i="6"/>
  <c r="AV119" i="6"/>
  <c r="BY135" i="6"/>
  <c r="AV135" i="6"/>
  <c r="BF135" i="6"/>
  <c r="AG135" i="6"/>
  <c r="BT135" i="6"/>
  <c r="BO135" i="6"/>
  <c r="AQ135" i="6"/>
  <c r="BA135" i="6"/>
  <c r="BY217" i="6"/>
  <c r="BT217" i="6"/>
  <c r="BO217" i="6"/>
  <c r="BY283" i="6"/>
  <c r="BT283" i="6"/>
  <c r="BO283" i="6"/>
  <c r="BT375" i="6"/>
  <c r="BA375" i="6"/>
  <c r="AV375" i="6"/>
  <c r="AG375" i="6"/>
  <c r="AQ375" i="6"/>
  <c r="BY375" i="6"/>
  <c r="BO375" i="6"/>
  <c r="BF375" i="6"/>
  <c r="BO131" i="6"/>
  <c r="BT131" i="6"/>
  <c r="BY131" i="6"/>
  <c r="BO208" i="6"/>
  <c r="BF208" i="6"/>
  <c r="AG208" i="6"/>
  <c r="BT208" i="6"/>
  <c r="BA208" i="6"/>
  <c r="AV208" i="6"/>
  <c r="BY208" i="6"/>
  <c r="AQ208" i="6"/>
  <c r="BO284" i="6"/>
  <c r="BY284" i="6"/>
  <c r="BT284" i="6"/>
  <c r="BO367" i="6"/>
  <c r="BY367" i="6"/>
  <c r="BT367" i="6"/>
  <c r="BF367" i="6"/>
  <c r="AG367" i="6"/>
  <c r="BA367" i="6"/>
  <c r="AQ367" i="6"/>
  <c r="AV367" i="6"/>
  <c r="BY148" i="6"/>
  <c r="BT148" i="6"/>
  <c r="BF148" i="6"/>
  <c r="BO148" i="6"/>
  <c r="AQ148" i="6"/>
  <c r="BA148" i="6"/>
  <c r="AG148" i="6"/>
  <c r="AV148" i="6"/>
  <c r="BO220" i="6"/>
  <c r="BY220" i="6"/>
  <c r="BT220" i="6"/>
  <c r="BY282" i="6"/>
  <c r="BO282" i="6"/>
  <c r="AV282" i="6"/>
  <c r="BF282" i="6"/>
  <c r="AG282" i="6"/>
  <c r="BA282" i="6"/>
  <c r="BT282" i="6"/>
  <c r="AQ282" i="6"/>
  <c r="BT397" i="6"/>
  <c r="BO397" i="6"/>
  <c r="BY397" i="6"/>
  <c r="BY124" i="6"/>
  <c r="BO124" i="6"/>
  <c r="BT124" i="6"/>
  <c r="BT213" i="6"/>
  <c r="BO213" i="6"/>
  <c r="BY213" i="6"/>
  <c r="BA273" i="6"/>
  <c r="BT273" i="6"/>
  <c r="BO273" i="6"/>
  <c r="BY273" i="6"/>
  <c r="AQ273" i="6"/>
  <c r="BF273" i="6"/>
  <c r="AG273" i="6"/>
  <c r="AV273" i="6"/>
  <c r="BO389" i="6"/>
  <c r="BA389" i="6"/>
  <c r="AV389" i="6"/>
  <c r="BY389" i="6"/>
  <c r="AQ389" i="6"/>
  <c r="BT389" i="6"/>
  <c r="AG389" i="6"/>
  <c r="BF389" i="6"/>
  <c r="BT199" i="6"/>
  <c r="BY199" i="6"/>
  <c r="BO199" i="6"/>
  <c r="BY268" i="6"/>
  <c r="BT268" i="6"/>
  <c r="BO268" i="6"/>
  <c r="BT339" i="6"/>
  <c r="AV339" i="6"/>
  <c r="AQ339" i="6"/>
  <c r="BF339" i="6"/>
  <c r="AG339" i="6"/>
  <c r="BY339" i="6"/>
  <c r="BO339" i="6"/>
  <c r="BA339" i="6"/>
  <c r="BY181" i="6"/>
  <c r="BT181" i="6"/>
  <c r="BO181" i="6"/>
  <c r="BY259" i="6"/>
  <c r="BT259" i="6"/>
  <c r="AQ259" i="6"/>
  <c r="BF259" i="6"/>
  <c r="AG259" i="6"/>
  <c r="BA259" i="6"/>
  <c r="BO259" i="6"/>
  <c r="AV259" i="6"/>
  <c r="BY335" i="6"/>
  <c r="AQ335" i="6"/>
  <c r="AV335" i="6"/>
  <c r="BF335" i="6"/>
  <c r="AG335" i="6"/>
  <c r="BA335" i="6"/>
  <c r="BT335" i="6"/>
  <c r="BO335" i="6"/>
  <c r="BT475" i="6"/>
  <c r="BF475" i="6"/>
  <c r="AV475" i="6"/>
  <c r="BY475" i="6"/>
  <c r="AQ475" i="6"/>
  <c r="BO475" i="6"/>
  <c r="AG475" i="6"/>
  <c r="BA475" i="6"/>
  <c r="BT154" i="6"/>
  <c r="BO154" i="6"/>
  <c r="BY154" i="6"/>
  <c r="BO245" i="6"/>
  <c r="BY245" i="6"/>
  <c r="BT245" i="6"/>
  <c r="BT302" i="6"/>
  <c r="BY302" i="6"/>
  <c r="BO302" i="6"/>
  <c r="BF302" i="6"/>
  <c r="AG302" i="6"/>
  <c r="AQ302" i="6"/>
  <c r="AV302" i="6"/>
  <c r="BA302" i="6"/>
  <c r="BT432" i="6"/>
  <c r="BF432" i="6"/>
  <c r="BY432" i="6"/>
  <c r="AG432" i="6"/>
  <c r="BO432" i="6"/>
  <c r="BA432" i="6"/>
  <c r="AQ432" i="6"/>
  <c r="AV432" i="6"/>
  <c r="BT152" i="6"/>
  <c r="BY152" i="6"/>
  <c r="BO152" i="6"/>
  <c r="BT222" i="6"/>
  <c r="BO222" i="6"/>
  <c r="BY222" i="6"/>
  <c r="BT300" i="6"/>
  <c r="BO300" i="6"/>
  <c r="BA300" i="6"/>
  <c r="BY300" i="6"/>
  <c r="AV300" i="6"/>
  <c r="BF300" i="6"/>
  <c r="AQ300" i="6"/>
  <c r="AG300" i="6"/>
  <c r="BY410" i="6"/>
  <c r="AG410" i="6"/>
  <c r="BA410" i="6"/>
  <c r="BF410" i="6"/>
  <c r="AV410" i="6"/>
  <c r="BO410" i="6"/>
  <c r="BT410" i="6"/>
  <c r="AQ410" i="6"/>
  <c r="BY393" i="6"/>
  <c r="BO393" i="6"/>
  <c r="BT393" i="6"/>
  <c r="BT458" i="6"/>
  <c r="AQ458" i="6"/>
  <c r="BY458" i="6"/>
  <c r="BF458" i="6"/>
  <c r="BO458" i="6"/>
  <c r="AG458" i="6"/>
  <c r="BA458" i="6"/>
  <c r="AV458" i="6"/>
  <c r="E333" i="6"/>
  <c r="H333" i="6"/>
  <c r="D333" i="6"/>
  <c r="G333" i="6"/>
  <c r="G157" i="6"/>
  <c r="E157" i="6"/>
  <c r="D157" i="6"/>
  <c r="H157" i="6"/>
  <c r="G229" i="6"/>
  <c r="E229" i="6"/>
  <c r="D229" i="6"/>
  <c r="H229" i="6"/>
  <c r="BA484" i="6"/>
  <c r="BO484" i="6"/>
  <c r="BT484" i="6"/>
  <c r="BY484" i="6"/>
  <c r="AG484" i="6"/>
  <c r="BF484" i="6"/>
  <c r="AQ484" i="6"/>
  <c r="AV484" i="6"/>
  <c r="E423" i="6"/>
  <c r="H423" i="6"/>
  <c r="D423" i="6"/>
  <c r="G423" i="6"/>
  <c r="H400" i="6"/>
  <c r="G400" i="6"/>
  <c r="D400" i="6"/>
  <c r="E400" i="6"/>
  <c r="AG431" i="6"/>
  <c r="BF431" i="6"/>
  <c r="BY431" i="6"/>
  <c r="BT431" i="6"/>
  <c r="BO431" i="6"/>
  <c r="AV431" i="6"/>
  <c r="AQ431" i="6"/>
  <c r="BA431" i="6"/>
  <c r="BA507" i="6"/>
  <c r="BF507" i="6"/>
  <c r="BY507" i="6"/>
  <c r="BT507" i="6"/>
  <c r="AV507" i="6"/>
  <c r="BO507" i="6"/>
  <c r="AG507" i="6"/>
  <c r="AQ507" i="6"/>
  <c r="G245" i="6"/>
  <c r="E245" i="6"/>
  <c r="D245" i="6"/>
  <c r="H245" i="6"/>
  <c r="D289" i="6"/>
  <c r="H289" i="6"/>
  <c r="G289" i="6"/>
  <c r="E289" i="6"/>
  <c r="BY345" i="6"/>
  <c r="BA345" i="6"/>
  <c r="AV345" i="6"/>
  <c r="AQ345" i="6"/>
  <c r="BT345" i="6"/>
  <c r="BO345" i="6"/>
  <c r="AG345" i="6"/>
  <c r="BF345" i="6"/>
  <c r="BY407" i="6"/>
  <c r="BT407" i="6"/>
  <c r="AV407" i="6"/>
  <c r="AQ407" i="6"/>
  <c r="BF407" i="6"/>
  <c r="BO407" i="6"/>
  <c r="AG407" i="6"/>
  <c r="BA407" i="6"/>
  <c r="BY498" i="6"/>
  <c r="BO498" i="6"/>
  <c r="AG498" i="6"/>
  <c r="BA498" i="6"/>
  <c r="AQ498" i="6"/>
  <c r="AV498" i="6"/>
  <c r="BT498" i="6"/>
  <c r="BF498" i="6"/>
  <c r="D361" i="6"/>
  <c r="H361" i="6"/>
  <c r="E361" i="6"/>
  <c r="G361" i="6"/>
  <c r="BO368" i="6"/>
  <c r="AQ368" i="6"/>
  <c r="BY368" i="6"/>
  <c r="BT368" i="6"/>
  <c r="BF368" i="6"/>
  <c r="AG368" i="6"/>
  <c r="AV368" i="6"/>
  <c r="BA368" i="6"/>
  <c r="BT436" i="6"/>
  <c r="AQ436" i="6"/>
  <c r="BO436" i="6"/>
  <c r="BF436" i="6"/>
  <c r="BY436" i="6"/>
  <c r="AG436" i="6"/>
  <c r="AV436" i="6"/>
  <c r="BA436" i="6"/>
  <c r="AQ519" i="6"/>
  <c r="BT519" i="6"/>
  <c r="BO519" i="6"/>
  <c r="AV519" i="6"/>
  <c r="BA519" i="6"/>
  <c r="BF519" i="6"/>
  <c r="BY519" i="6"/>
  <c r="AG519" i="6"/>
  <c r="D291" i="6"/>
  <c r="H291" i="6"/>
  <c r="G291" i="6"/>
  <c r="E291" i="6"/>
  <c r="BT379" i="6"/>
  <c r="AQ379" i="6"/>
  <c r="BF379" i="6"/>
  <c r="BA379" i="6"/>
  <c r="AG379" i="6"/>
  <c r="BY379" i="6"/>
  <c r="BO379" i="6"/>
  <c r="AV379" i="6"/>
  <c r="BA437" i="6"/>
  <c r="BO437" i="6"/>
  <c r="AQ437" i="6"/>
  <c r="BY437" i="6"/>
  <c r="BF437" i="6"/>
  <c r="AG437" i="6"/>
  <c r="AV437" i="6"/>
  <c r="BT437" i="6"/>
  <c r="AQ515" i="6"/>
  <c r="BY515" i="6"/>
  <c r="BA515" i="6"/>
  <c r="BO515" i="6"/>
  <c r="BF515" i="6"/>
  <c r="AG515" i="6"/>
  <c r="AV515" i="6"/>
  <c r="BT515" i="6"/>
  <c r="CE525" i="9"/>
  <c r="N545" i="9"/>
  <c r="J655" i="11" s="1"/>
  <c r="CZ525" i="9"/>
  <c r="AI545" i="9"/>
  <c r="AE655" i="11" s="1"/>
  <c r="DC525" i="9"/>
  <c r="AL545" i="9"/>
  <c r="AH655" i="11" s="1"/>
  <c r="DJ525" i="9"/>
  <c r="AS545" i="9"/>
  <c r="AO655" i="11" s="1"/>
  <c r="AV545" i="9"/>
  <c r="AR655" i="11" s="1"/>
  <c r="DM525" i="9"/>
  <c r="BO545" i="9"/>
  <c r="BK655" i="11" s="1"/>
  <c r="EF525" i="9"/>
  <c r="CP525" i="9"/>
  <c r="Y545" i="9"/>
  <c r="U655" i="11" s="1"/>
  <c r="BF449" i="9"/>
  <c r="BB651" i="11" s="1"/>
  <c r="AK497" i="9"/>
  <c r="AG653" i="11" s="1"/>
  <c r="AS521" i="9"/>
  <c r="AO654" i="11" s="1"/>
  <c r="BF281" i="9"/>
  <c r="BB644" i="11" s="1"/>
  <c r="AU281" i="9"/>
  <c r="AQ644" i="11" s="1"/>
  <c r="AC617" i="9"/>
  <c r="Y658" i="11" s="1"/>
  <c r="W617" i="9"/>
  <c r="S658" i="11" s="1"/>
  <c r="CF262" i="9"/>
  <c r="O281" i="9"/>
  <c r="K644" i="11" s="1"/>
  <c r="S281" i="9"/>
  <c r="O644" i="11" s="1"/>
  <c r="CI502" i="9"/>
  <c r="R521" i="9"/>
  <c r="N654" i="11" s="1"/>
  <c r="CB544" i="9"/>
  <c r="BU544" i="9"/>
  <c r="M401" i="6" s="1"/>
  <c r="BT544" i="9"/>
  <c r="L401" i="6" s="1"/>
  <c r="AN281" i="9"/>
  <c r="AJ644" i="11" s="1"/>
  <c r="AM281" i="9"/>
  <c r="AI644" i="11" s="1"/>
  <c r="AF617" i="9"/>
  <c r="AB658" i="11" s="1"/>
  <c r="Z617" i="9"/>
  <c r="V658" i="11" s="1"/>
  <c r="CB448" i="9"/>
  <c r="BU448" i="9"/>
  <c r="M313" i="6" s="1"/>
  <c r="BT448" i="9"/>
  <c r="L313" i="6" s="1"/>
  <c r="CJ480" i="9"/>
  <c r="S497" i="9"/>
  <c r="O653" i="11" s="1"/>
  <c r="CK645" i="9"/>
  <c r="T665" i="9"/>
  <c r="P660" i="11" s="1"/>
  <c r="EA645" i="9"/>
  <c r="BJ665" i="9"/>
  <c r="BF660" i="11" s="1"/>
  <c r="EE645" i="9"/>
  <c r="BN665" i="9"/>
  <c r="BJ660" i="11" s="1"/>
  <c r="DW645" i="9"/>
  <c r="BF665" i="9"/>
  <c r="BB660" i="11" s="1"/>
  <c r="DT645" i="9"/>
  <c r="BC665" i="9"/>
  <c r="AY660" i="11" s="1"/>
  <c r="CO645" i="9"/>
  <c r="X665" i="9"/>
  <c r="T660" i="11" s="1"/>
  <c r="DX645" i="9"/>
  <c r="BG665" i="9"/>
  <c r="BC660" i="11" s="1"/>
  <c r="AN497" i="9"/>
  <c r="AJ653" i="11" s="1"/>
  <c r="AU257" i="9"/>
  <c r="AQ643" i="11" s="1"/>
  <c r="AG281" i="9"/>
  <c r="AC644" i="11" s="1"/>
  <c r="BO497" i="9"/>
  <c r="BK653" i="11" s="1"/>
  <c r="BA257" i="9"/>
  <c r="AW643" i="11" s="1"/>
  <c r="Y617" i="9"/>
  <c r="U658" i="11" s="1"/>
  <c r="CK240" i="9"/>
  <c r="T257" i="9"/>
  <c r="P643" i="11" s="1"/>
  <c r="CB277" i="9"/>
  <c r="BT277" i="9"/>
  <c r="L156" i="6" s="1"/>
  <c r="BU277" i="9"/>
  <c r="M156" i="6" s="1"/>
  <c r="CB531" i="9"/>
  <c r="BT531" i="9"/>
  <c r="L388" i="6" s="1"/>
  <c r="BU531" i="9"/>
  <c r="M388" i="6" s="1"/>
  <c r="AI449" i="9"/>
  <c r="AE651" i="11" s="1"/>
  <c r="AP449" i="9"/>
  <c r="AL651" i="11" s="1"/>
  <c r="AV497" i="9"/>
  <c r="AR653" i="11" s="1"/>
  <c r="AH497" i="9"/>
  <c r="AD653" i="11" s="1"/>
  <c r="BO521" i="9"/>
  <c r="BK654" i="11" s="1"/>
  <c r="AM257" i="9"/>
  <c r="AI643" i="11" s="1"/>
  <c r="AK617" i="9"/>
  <c r="AG658" i="11" s="1"/>
  <c r="AX617" i="9"/>
  <c r="AT658" i="11" s="1"/>
  <c r="CB442" i="9"/>
  <c r="BU442" i="9"/>
  <c r="M307" i="6" s="1"/>
  <c r="BT442" i="9"/>
  <c r="L307" i="6" s="1"/>
  <c r="CB444" i="9"/>
  <c r="BU444" i="9"/>
  <c r="M309" i="6" s="1"/>
  <c r="BT444" i="9"/>
  <c r="L309" i="6" s="1"/>
  <c r="CE285" i="9"/>
  <c r="N305" i="9"/>
  <c r="J645" i="11" s="1"/>
  <c r="BQ305" i="9"/>
  <c r="BM645" i="11" s="1"/>
  <c r="EH285" i="9"/>
  <c r="BB305" i="9"/>
  <c r="AX645" i="11" s="1"/>
  <c r="DS285" i="9"/>
  <c r="BO305" i="9"/>
  <c r="BK645" i="11" s="1"/>
  <c r="EF285" i="9"/>
  <c r="CB301" i="9"/>
  <c r="BU301" i="9"/>
  <c r="M178" i="6" s="1"/>
  <c r="BT301" i="9"/>
  <c r="L178" i="6" s="1"/>
  <c r="DV621" i="9"/>
  <c r="BE641" i="9"/>
  <c r="BA659" i="11" s="1"/>
  <c r="CL621" i="9"/>
  <c r="U641" i="9"/>
  <c r="Q659" i="11" s="1"/>
  <c r="CR621" i="9"/>
  <c r="AA641" i="9"/>
  <c r="W659" i="11" s="1"/>
  <c r="DE621" i="9"/>
  <c r="AN641" i="9"/>
  <c r="AJ659" i="11" s="1"/>
  <c r="AV449" i="9"/>
  <c r="AR651" i="11" s="1"/>
  <c r="AG617" i="9"/>
  <c r="AC658" i="11" s="1"/>
  <c r="DU381" i="9"/>
  <c r="BD401" i="9"/>
  <c r="AZ649" i="11" s="1"/>
  <c r="CP381" i="9"/>
  <c r="Y401" i="9"/>
  <c r="U649" i="11" s="1"/>
  <c r="DI381" i="9"/>
  <c r="AR401" i="9"/>
  <c r="AN649" i="11" s="1"/>
  <c r="BU382" i="9"/>
  <c r="M251" i="6" s="1"/>
  <c r="EL572" i="9"/>
  <c r="EL573" i="9" s="1"/>
  <c r="EL574" i="9" s="1"/>
  <c r="EL575" i="9" s="1"/>
  <c r="EL576" i="9" s="1"/>
  <c r="EL577" i="9" s="1"/>
  <c r="EL578" i="9" s="1"/>
  <c r="EL579" i="9" s="1"/>
  <c r="EL580" i="9" s="1"/>
  <c r="EL581" i="9" s="1"/>
  <c r="EL582" i="9" s="1"/>
  <c r="EL583" i="9" s="1"/>
  <c r="EL584" i="9" s="1"/>
  <c r="EL585" i="9" s="1"/>
  <c r="EL586" i="9" s="1"/>
  <c r="EL587" i="9" s="1"/>
  <c r="EL588" i="9" s="1"/>
  <c r="EK572" i="9"/>
  <c r="EK577" i="9" s="1"/>
  <c r="EK452" i="9"/>
  <c r="EK457" i="9" s="1"/>
  <c r="BT473" i="9"/>
  <c r="BT682" i="9"/>
  <c r="L527" i="6" s="1"/>
  <c r="BT684" i="9"/>
  <c r="L529" i="6" s="1"/>
  <c r="G529" i="6" s="1"/>
  <c r="D652" i="11"/>
  <c r="L1176" i="6" s="1"/>
  <c r="G190" i="6"/>
  <c r="D194" i="6"/>
  <c r="AT449" i="9"/>
  <c r="AP651" i="11" s="1"/>
  <c r="BK521" i="9"/>
  <c r="BG654" i="11" s="1"/>
  <c r="T305" i="9"/>
  <c r="P645" i="11" s="1"/>
  <c r="CK285" i="9"/>
  <c r="DC285" i="9"/>
  <c r="AL305" i="9"/>
  <c r="AH645" i="11" s="1"/>
  <c r="DT285" i="9"/>
  <c r="BC305" i="9"/>
  <c r="AY645" i="11" s="1"/>
  <c r="CZ285" i="9"/>
  <c r="AI305" i="9"/>
  <c r="AE645" i="11" s="1"/>
  <c r="DE285" i="9"/>
  <c r="AN305" i="9"/>
  <c r="AJ645" i="11" s="1"/>
  <c r="AK305" i="9"/>
  <c r="AG645" i="11" s="1"/>
  <c r="DB285" i="9"/>
  <c r="AX305" i="9"/>
  <c r="AT645" i="11" s="1"/>
  <c r="DO285" i="9"/>
  <c r="BI257" i="9"/>
  <c r="BE643" i="11" s="1"/>
  <c r="BM281" i="9"/>
  <c r="BI644" i="11" s="1"/>
  <c r="AZ281" i="9"/>
  <c r="AV644" i="11" s="1"/>
  <c r="AD617" i="9"/>
  <c r="Z658" i="11" s="1"/>
  <c r="CF621" i="9"/>
  <c r="O641" i="9"/>
  <c r="K659" i="11" s="1"/>
  <c r="CI621" i="9"/>
  <c r="R641" i="9"/>
  <c r="N659" i="11" s="1"/>
  <c r="EE621" i="9"/>
  <c r="BN641" i="9"/>
  <c r="BJ659" i="11" s="1"/>
  <c r="EI621" i="9"/>
  <c r="BR641" i="9"/>
  <c r="BN659" i="11" s="1"/>
  <c r="DM621" i="9"/>
  <c r="AV641" i="9"/>
  <c r="AR659" i="11" s="1"/>
  <c r="CY621" i="9"/>
  <c r="AH641" i="9"/>
  <c r="AD659" i="11" s="1"/>
  <c r="DG621" i="9"/>
  <c r="AP641" i="9"/>
  <c r="AL659" i="11" s="1"/>
  <c r="BF641" i="9"/>
  <c r="BB659" i="11" s="1"/>
  <c r="DW621" i="9"/>
  <c r="BF257" i="9"/>
  <c r="BB643" i="11" s="1"/>
  <c r="W449" i="9"/>
  <c r="S651" i="11" s="1"/>
  <c r="AE521" i="9"/>
  <c r="AA654" i="11" s="1"/>
  <c r="AT257" i="9"/>
  <c r="AP643" i="11" s="1"/>
  <c r="CH381" i="9"/>
  <c r="Q401" i="9"/>
  <c r="M649" i="11" s="1"/>
  <c r="EA381" i="9"/>
  <c r="BJ401" i="9"/>
  <c r="BF649" i="11" s="1"/>
  <c r="DS381" i="9"/>
  <c r="BB401" i="9"/>
  <c r="AX649" i="11" s="1"/>
  <c r="CO381" i="9"/>
  <c r="X401" i="9"/>
  <c r="T649" i="11" s="1"/>
  <c r="DC381" i="9"/>
  <c r="AL401" i="9"/>
  <c r="AH649" i="11" s="1"/>
  <c r="EB381" i="9"/>
  <c r="BK401" i="9"/>
  <c r="BG649" i="11" s="1"/>
  <c r="DV381" i="9"/>
  <c r="BE401" i="9"/>
  <c r="BA649" i="11" s="1"/>
  <c r="M617" i="9"/>
  <c r="I658" i="11" s="1"/>
  <c r="CB529" i="9"/>
  <c r="BU529" i="9"/>
  <c r="M386" i="6" s="1"/>
  <c r="BT529" i="9"/>
  <c r="L386" i="6" s="1"/>
  <c r="AT521" i="9"/>
  <c r="AP654" i="11" s="1"/>
  <c r="AW521" i="9"/>
  <c r="AS654" i="11" s="1"/>
  <c r="CC669" i="9"/>
  <c r="L689" i="9"/>
  <c r="H661" i="11" s="1"/>
  <c r="EG669" i="9"/>
  <c r="BP689" i="9"/>
  <c r="BL661" i="11" s="1"/>
  <c r="DM669" i="9"/>
  <c r="AV689" i="9"/>
  <c r="AR661" i="11" s="1"/>
  <c r="AB689" i="9"/>
  <c r="X661" i="11" s="1"/>
  <c r="CS669" i="9"/>
  <c r="DZ669" i="9"/>
  <c r="BI689" i="9"/>
  <c r="BE661" i="11" s="1"/>
  <c r="AD689" i="9"/>
  <c r="Z661" i="11" s="1"/>
  <c r="CU669" i="9"/>
  <c r="BQ689" i="9"/>
  <c r="BM661" i="11" s="1"/>
  <c r="EH669" i="9"/>
  <c r="CB516" i="9"/>
  <c r="BU516" i="9"/>
  <c r="M375" i="6" s="1"/>
  <c r="BT516" i="9"/>
  <c r="L375" i="6" s="1"/>
  <c r="BU508" i="9"/>
  <c r="M367" i="6" s="1"/>
  <c r="BT508" i="9"/>
  <c r="L367" i="6" s="1"/>
  <c r="CB508" i="9"/>
  <c r="AB281" i="9"/>
  <c r="X644" i="11" s="1"/>
  <c r="BA281" i="9"/>
  <c r="AW644" i="11" s="1"/>
  <c r="BR617" i="9"/>
  <c r="BN658" i="11" s="1"/>
  <c r="CC609" i="9"/>
  <c r="L617" i="9"/>
  <c r="H658" i="11" s="1"/>
  <c r="BO122" i="6"/>
  <c r="BT122" i="6"/>
  <c r="BY122" i="6"/>
  <c r="BA122" i="6"/>
  <c r="BF122" i="6"/>
  <c r="AQ122" i="6"/>
  <c r="AV122" i="6"/>
  <c r="AG122" i="6"/>
  <c r="E119" i="6"/>
  <c r="D119" i="6"/>
  <c r="H119" i="6"/>
  <c r="G119" i="6"/>
  <c r="BT134" i="6"/>
  <c r="AQ134" i="6"/>
  <c r="BF134" i="6"/>
  <c r="BY134" i="6"/>
  <c r="AV134" i="6"/>
  <c r="BO134" i="6"/>
  <c r="BA134" i="6"/>
  <c r="AG134" i="6"/>
  <c r="BY214" i="6"/>
  <c r="BO214" i="6"/>
  <c r="BA214" i="6"/>
  <c r="AV214" i="6"/>
  <c r="BF214" i="6"/>
  <c r="AG214" i="6"/>
  <c r="AQ214" i="6"/>
  <c r="BT214" i="6"/>
  <c r="BY280" i="6"/>
  <c r="BT280" i="6"/>
  <c r="BF280" i="6"/>
  <c r="BO280" i="6"/>
  <c r="AQ280" i="6"/>
  <c r="AG280" i="6"/>
  <c r="AV280" i="6"/>
  <c r="BA280" i="6"/>
  <c r="BY392" i="6"/>
  <c r="BT392" i="6"/>
  <c r="AQ392" i="6"/>
  <c r="BO392" i="6"/>
  <c r="BF392" i="6"/>
  <c r="BA392" i="6"/>
  <c r="AG392" i="6"/>
  <c r="AV392" i="6"/>
  <c r="BY129" i="6"/>
  <c r="BT129" i="6"/>
  <c r="BO129" i="6"/>
  <c r="BT218" i="6"/>
  <c r="BO218" i="6"/>
  <c r="BY218" i="6"/>
  <c r="BY286" i="6"/>
  <c r="BO286" i="6"/>
  <c r="BT286" i="6"/>
  <c r="BT390" i="6"/>
  <c r="AV390" i="6"/>
  <c r="BO390" i="6"/>
  <c r="BY390" i="6"/>
  <c r="AQ390" i="6"/>
  <c r="AG390" i="6"/>
  <c r="BA390" i="6"/>
  <c r="BF390" i="6"/>
  <c r="BT151" i="6"/>
  <c r="BY151" i="6"/>
  <c r="BO151" i="6"/>
  <c r="BY243" i="6"/>
  <c r="BO243" i="6"/>
  <c r="BT243" i="6"/>
  <c r="BF312" i="6"/>
  <c r="BO312" i="6"/>
  <c r="BA312" i="6"/>
  <c r="AV312" i="6"/>
  <c r="BY312" i="6"/>
  <c r="BT312" i="6"/>
  <c r="AG312" i="6"/>
  <c r="AQ312" i="6"/>
  <c r="BY423" i="6"/>
  <c r="BO423" i="6"/>
  <c r="BT423" i="6"/>
  <c r="AQ423" i="6"/>
  <c r="AG423" i="6"/>
  <c r="AV423" i="6"/>
  <c r="BA423" i="6"/>
  <c r="BF423" i="6"/>
  <c r="BT145" i="6"/>
  <c r="BO145" i="6"/>
  <c r="BA145" i="6"/>
  <c r="AV145" i="6"/>
  <c r="AQ145" i="6"/>
  <c r="BF145" i="6"/>
  <c r="AG145" i="6"/>
  <c r="BY145" i="6"/>
  <c r="BT215" i="6"/>
  <c r="BO215" i="6"/>
  <c r="BY215" i="6"/>
  <c r="BT310" i="6"/>
  <c r="BO310" i="6"/>
  <c r="BY310" i="6"/>
  <c r="BY395" i="6"/>
  <c r="BT395" i="6"/>
  <c r="BO395" i="6"/>
  <c r="BO130" i="6"/>
  <c r="BY130" i="6"/>
  <c r="BT130" i="6"/>
  <c r="BY196" i="6"/>
  <c r="BT196" i="6"/>
  <c r="BO196" i="6"/>
  <c r="AV275" i="6"/>
  <c r="AQ275" i="6"/>
  <c r="BF275" i="6"/>
  <c r="BY275" i="6"/>
  <c r="BT275" i="6"/>
  <c r="BA275" i="6"/>
  <c r="BO275" i="6"/>
  <c r="AG275" i="6"/>
  <c r="BT374" i="6"/>
  <c r="BA374" i="6"/>
  <c r="BO374" i="6"/>
  <c r="AG374" i="6"/>
  <c r="AQ374" i="6"/>
  <c r="BF374" i="6"/>
  <c r="BY374" i="6"/>
  <c r="AV374" i="6"/>
  <c r="BY190" i="6"/>
  <c r="BT190" i="6"/>
  <c r="BO190" i="6"/>
  <c r="BO255" i="6"/>
  <c r="BT255" i="6"/>
  <c r="BA255" i="6"/>
  <c r="AV255" i="6"/>
  <c r="AQ255" i="6"/>
  <c r="BF255" i="6"/>
  <c r="AG255" i="6"/>
  <c r="BY255" i="6"/>
  <c r="BO332" i="6"/>
  <c r="BY332" i="6"/>
  <c r="BT332" i="6"/>
  <c r="BY527" i="6"/>
  <c r="BA527" i="6"/>
  <c r="AQ527" i="6"/>
  <c r="BF527" i="6"/>
  <c r="AG527" i="6"/>
  <c r="BT527" i="6"/>
  <c r="BO527" i="6"/>
  <c r="AV527" i="6"/>
  <c r="BT165" i="6"/>
  <c r="BY165" i="6"/>
  <c r="BO165" i="6"/>
  <c r="AV165" i="6"/>
  <c r="AQ165" i="6"/>
  <c r="AG165" i="6"/>
  <c r="BA165" i="6"/>
  <c r="BF165" i="6"/>
  <c r="BY242" i="6"/>
  <c r="BO242" i="6"/>
  <c r="BT242" i="6"/>
  <c r="BO317" i="6"/>
  <c r="BY317" i="6"/>
  <c r="BT317" i="6"/>
  <c r="BA317" i="6"/>
  <c r="AV317" i="6"/>
  <c r="BF317" i="6"/>
  <c r="AQ317" i="6"/>
  <c r="AG317" i="6"/>
  <c r="BY466" i="6"/>
  <c r="BF466" i="6"/>
  <c r="AV466" i="6"/>
  <c r="AQ466" i="6"/>
  <c r="BO466" i="6"/>
  <c r="AG466" i="6"/>
  <c r="BT466" i="6"/>
  <c r="BA466" i="6"/>
  <c r="BY153" i="6"/>
  <c r="BT153" i="6"/>
  <c r="BO153" i="6"/>
  <c r="BO236" i="6"/>
  <c r="BY236" i="6"/>
  <c r="BT236" i="6"/>
  <c r="BF236" i="6"/>
  <c r="AQ236" i="6"/>
  <c r="AG236" i="6"/>
  <c r="AV236" i="6"/>
  <c r="BA236" i="6"/>
  <c r="BY298" i="6"/>
  <c r="BT298" i="6"/>
  <c r="BO298" i="6"/>
  <c r="AV298" i="6"/>
  <c r="BA298" i="6"/>
  <c r="AQ298" i="6"/>
  <c r="BF298" i="6"/>
  <c r="AG298" i="6"/>
  <c r="BT444" i="6"/>
  <c r="AV444" i="6"/>
  <c r="AG444" i="6"/>
  <c r="BF444" i="6"/>
  <c r="BY444" i="6"/>
  <c r="BO444" i="6"/>
  <c r="AQ444" i="6"/>
  <c r="BA444" i="6"/>
  <c r="BY318" i="6"/>
  <c r="BO318" i="6"/>
  <c r="AQ318" i="6"/>
  <c r="BF318" i="6"/>
  <c r="AV318" i="6"/>
  <c r="BA318" i="6"/>
  <c r="BT318" i="6"/>
  <c r="AG318" i="6"/>
  <c r="BO401" i="6"/>
  <c r="BY401" i="6"/>
  <c r="BT401" i="6"/>
  <c r="AQ401" i="6"/>
  <c r="BA401" i="6"/>
  <c r="BF401" i="6"/>
  <c r="AG401" i="6"/>
  <c r="AV401" i="6"/>
  <c r="AV473" i="6"/>
  <c r="AQ473" i="6"/>
  <c r="BF473" i="6"/>
  <c r="BA473" i="6"/>
  <c r="BT473" i="6"/>
  <c r="AG473" i="6"/>
  <c r="BO473" i="6"/>
  <c r="BY473" i="6"/>
  <c r="E295" i="6"/>
  <c r="H295" i="6"/>
  <c r="D295" i="6"/>
  <c r="G295" i="6"/>
  <c r="E405" i="6"/>
  <c r="H405" i="6"/>
  <c r="G405" i="6"/>
  <c r="D405" i="6"/>
  <c r="E268" i="6"/>
  <c r="G268" i="6"/>
  <c r="H268" i="6"/>
  <c r="D268" i="6"/>
  <c r="BT476" i="6"/>
  <c r="BO476" i="6"/>
  <c r="BY476" i="6"/>
  <c r="AQ476" i="6"/>
  <c r="AG476" i="6"/>
  <c r="BA476" i="6"/>
  <c r="AV476" i="6"/>
  <c r="BF476" i="6"/>
  <c r="G251" i="6"/>
  <c r="E251" i="6"/>
  <c r="D251" i="6"/>
  <c r="H251" i="6"/>
  <c r="H357" i="6"/>
  <c r="G357" i="6"/>
  <c r="D357" i="6"/>
  <c r="E357" i="6"/>
  <c r="BT450" i="6"/>
  <c r="BY450" i="6"/>
  <c r="AG450" i="6"/>
  <c r="BA450" i="6"/>
  <c r="BO450" i="6"/>
  <c r="AQ450" i="6"/>
  <c r="AV450" i="6"/>
  <c r="BF450" i="6"/>
  <c r="BY522" i="6"/>
  <c r="BO522" i="6"/>
  <c r="BF522" i="6"/>
  <c r="AG522" i="6"/>
  <c r="BT522" i="6"/>
  <c r="BA522" i="6"/>
  <c r="AQ522" i="6"/>
  <c r="AV522" i="6"/>
  <c r="H312" i="6"/>
  <c r="G312" i="6"/>
  <c r="E312" i="6"/>
  <c r="D312" i="6"/>
  <c r="BY346" i="6"/>
  <c r="BF346" i="6"/>
  <c r="AG346" i="6"/>
  <c r="BT346" i="6"/>
  <c r="BA346" i="6"/>
  <c r="AV346" i="6"/>
  <c r="AQ346" i="6"/>
  <c r="BO346" i="6"/>
  <c r="BY443" i="6"/>
  <c r="BO443" i="6"/>
  <c r="BF443" i="6"/>
  <c r="AV443" i="6"/>
  <c r="AG443" i="6"/>
  <c r="BT443" i="6"/>
  <c r="BA443" i="6"/>
  <c r="AQ443" i="6"/>
  <c r="BY499" i="6"/>
  <c r="AQ499" i="6"/>
  <c r="BT499" i="6"/>
  <c r="BO499" i="6"/>
  <c r="BF499" i="6"/>
  <c r="AG499" i="6"/>
  <c r="AV499" i="6"/>
  <c r="BA499" i="6"/>
  <c r="E489" i="6"/>
  <c r="H489" i="6"/>
  <c r="G489" i="6"/>
  <c r="D489" i="6"/>
  <c r="BF370" i="6"/>
  <c r="AG370" i="6"/>
  <c r="BA370" i="6"/>
  <c r="BT370" i="6"/>
  <c r="BO370" i="6"/>
  <c r="AV370" i="6"/>
  <c r="BY370" i="6"/>
  <c r="AQ370" i="6"/>
  <c r="AQ462" i="6"/>
  <c r="BF462" i="6"/>
  <c r="BO462" i="6"/>
  <c r="BT462" i="6"/>
  <c r="AG462" i="6"/>
  <c r="BA462" i="6"/>
  <c r="BY462" i="6"/>
  <c r="AV462" i="6"/>
  <c r="AQ530" i="6"/>
  <c r="BT530" i="6"/>
  <c r="BO530" i="6"/>
  <c r="AV530" i="6"/>
  <c r="AG530" i="6"/>
  <c r="BY530" i="6"/>
  <c r="BF530" i="6"/>
  <c r="BA530" i="6"/>
  <c r="H335" i="6"/>
  <c r="G335" i="6"/>
  <c r="D335" i="6"/>
  <c r="E335" i="6"/>
  <c r="AV363" i="6"/>
  <c r="AQ363" i="6"/>
  <c r="BY363" i="6"/>
  <c r="BF363" i="6"/>
  <c r="BT363" i="6"/>
  <c r="BO363" i="6"/>
  <c r="AG363" i="6"/>
  <c r="BA363" i="6"/>
  <c r="BO467" i="6"/>
  <c r="BT467" i="6"/>
  <c r="AG467" i="6"/>
  <c r="BY467" i="6"/>
  <c r="BA467" i="6"/>
  <c r="AQ467" i="6"/>
  <c r="AV467" i="6"/>
  <c r="BF467" i="6"/>
  <c r="BT531" i="6"/>
  <c r="AG531" i="6"/>
  <c r="BO531" i="6"/>
  <c r="BA531" i="6"/>
  <c r="BY531" i="6"/>
  <c r="BF531" i="6"/>
  <c r="AV531" i="6"/>
  <c r="AQ531" i="6"/>
  <c r="E339" i="6"/>
  <c r="H339" i="6"/>
  <c r="G339" i="6"/>
  <c r="D339" i="6"/>
  <c r="G223" i="6"/>
  <c r="E223" i="6"/>
  <c r="D223" i="6"/>
  <c r="H223" i="6"/>
  <c r="BC617" i="9"/>
  <c r="AY658" i="11" s="1"/>
  <c r="CB537" i="9"/>
  <c r="BT537" i="9"/>
  <c r="L394" i="6" s="1"/>
  <c r="BU537" i="9"/>
  <c r="M394" i="6" s="1"/>
  <c r="CB534" i="9"/>
  <c r="BT534" i="9"/>
  <c r="L391" i="6" s="1"/>
  <c r="BU534" i="9"/>
  <c r="M391" i="6" s="1"/>
  <c r="CJ525" i="9"/>
  <c r="S545" i="9"/>
  <c r="O655" i="11" s="1"/>
  <c r="CS525" i="9"/>
  <c r="AB545" i="9"/>
  <c r="X655" i="11" s="1"/>
  <c r="DR525" i="9"/>
  <c r="BA545" i="9"/>
  <c r="AW655" i="11" s="1"/>
  <c r="X545" i="9"/>
  <c r="T655" i="11" s="1"/>
  <c r="CO525" i="9"/>
  <c r="DZ525" i="9"/>
  <c r="BI545" i="9"/>
  <c r="BE655" i="11" s="1"/>
  <c r="CY525" i="9"/>
  <c r="AH545" i="9"/>
  <c r="AD655" i="11" s="1"/>
  <c r="DL525" i="9"/>
  <c r="AU545" i="9"/>
  <c r="AQ655" i="11" s="1"/>
  <c r="BN545" i="9"/>
  <c r="BJ655" i="11" s="1"/>
  <c r="EE525" i="9"/>
  <c r="CD262" i="9"/>
  <c r="M281" i="9"/>
  <c r="I644" i="11" s="1"/>
  <c r="N281" i="9"/>
  <c r="J644" i="11" s="1"/>
  <c r="AL449" i="9"/>
  <c r="AH651" i="11" s="1"/>
  <c r="CH502" i="9"/>
  <c r="Q521" i="9"/>
  <c r="M654" i="11" s="1"/>
  <c r="AE281" i="9"/>
  <c r="AA644" i="11" s="1"/>
  <c r="BA449" i="9"/>
  <c r="AW651" i="11" s="1"/>
  <c r="BK497" i="9"/>
  <c r="BG653" i="11" s="1"/>
  <c r="AC521" i="9"/>
  <c r="Y654" i="11" s="1"/>
  <c r="AG521" i="9"/>
  <c r="AC654" i="11" s="1"/>
  <c r="AE257" i="9"/>
  <c r="AA643" i="11" s="1"/>
  <c r="AF257" i="9"/>
  <c r="AB643" i="11" s="1"/>
  <c r="CC480" i="9"/>
  <c r="L497" i="9"/>
  <c r="CC645" i="9"/>
  <c r="L665" i="9"/>
  <c r="H660" i="11" s="1"/>
  <c r="CG645" i="9"/>
  <c r="P665" i="9"/>
  <c r="L660" i="11" s="1"/>
  <c r="CR645" i="9"/>
  <c r="AA665" i="9"/>
  <c r="W660" i="11" s="1"/>
  <c r="AS665" i="9"/>
  <c r="AO660" i="11" s="1"/>
  <c r="DJ645" i="9"/>
  <c r="DI645" i="9"/>
  <c r="AR665" i="9"/>
  <c r="AN660" i="11" s="1"/>
  <c r="DC645" i="9"/>
  <c r="AL665" i="9"/>
  <c r="AH660" i="11" s="1"/>
  <c r="DF645" i="9"/>
  <c r="AO665" i="9"/>
  <c r="AK660" i="11" s="1"/>
  <c r="EF645" i="9"/>
  <c r="BO665" i="9"/>
  <c r="BK660" i="11" s="1"/>
  <c r="R257" i="9"/>
  <c r="N643" i="11" s="1"/>
  <c r="L449" i="9"/>
  <c r="H651" i="11" s="1"/>
  <c r="CB541" i="9"/>
  <c r="BT541" i="9"/>
  <c r="L398" i="6" s="1"/>
  <c r="BU541" i="9"/>
  <c r="M398" i="6" s="1"/>
  <c r="AR449" i="9"/>
  <c r="AN651" i="11" s="1"/>
  <c r="AH449" i="9"/>
  <c r="AD651" i="11" s="1"/>
  <c r="Y497" i="9"/>
  <c r="U653" i="11" s="1"/>
  <c r="BG521" i="9"/>
  <c r="BC654" i="11" s="1"/>
  <c r="AY521" i="9"/>
  <c r="AU654" i="11" s="1"/>
  <c r="BO281" i="9"/>
  <c r="BK644" i="11" s="1"/>
  <c r="BQ617" i="9"/>
  <c r="BM658" i="11" s="1"/>
  <c r="CB445" i="9"/>
  <c r="BT445" i="9"/>
  <c r="L310" i="6" s="1"/>
  <c r="BU445" i="9"/>
  <c r="M310" i="6" s="1"/>
  <c r="CF240" i="9"/>
  <c r="O257" i="9"/>
  <c r="K643" i="11" s="1"/>
  <c r="CB659" i="9"/>
  <c r="BT659" i="9"/>
  <c r="L506" i="6" s="1"/>
  <c r="BU659" i="9"/>
  <c r="M506" i="6" s="1"/>
  <c r="CB538" i="9"/>
  <c r="BU538" i="9"/>
  <c r="M395" i="6" s="1"/>
  <c r="BT538" i="9"/>
  <c r="L395" i="6" s="1"/>
  <c r="CB303" i="9"/>
  <c r="BT303" i="9"/>
  <c r="L180" i="6" s="1"/>
  <c r="BU303" i="9"/>
  <c r="M180" i="6" s="1"/>
  <c r="BQ257" i="9"/>
  <c r="BM643" i="11" s="1"/>
  <c r="AD281" i="9"/>
  <c r="Z644" i="11" s="1"/>
  <c r="EK308" i="9"/>
  <c r="EK328" i="9" s="1"/>
  <c r="EM332" i="9"/>
  <c r="EL332" i="9"/>
  <c r="EL345" i="9" s="1"/>
  <c r="CF285" i="9"/>
  <c r="O305" i="9"/>
  <c r="K645" i="11" s="1"/>
  <c r="CO285" i="9"/>
  <c r="X305" i="9"/>
  <c r="T645" i="11" s="1"/>
  <c r="DN285" i="9"/>
  <c r="AW305" i="9"/>
  <c r="AS645" i="11" s="1"/>
  <c r="EG285" i="9"/>
  <c r="BP305" i="9"/>
  <c r="BL645" i="11" s="1"/>
  <c r="Z305" i="9"/>
  <c r="V645" i="11" s="1"/>
  <c r="CQ285" i="9"/>
  <c r="CN285" i="9"/>
  <c r="W305" i="9"/>
  <c r="S645" i="11" s="1"/>
  <c r="DA285" i="9"/>
  <c r="AJ305" i="9"/>
  <c r="AF645" i="11" s="1"/>
  <c r="AJ257" i="9"/>
  <c r="AF643" i="11" s="1"/>
  <c r="CB627" i="9"/>
  <c r="BU627" i="9"/>
  <c r="M476" i="6" s="1"/>
  <c r="BT627" i="9"/>
  <c r="L476" i="6" s="1"/>
  <c r="CH621" i="9"/>
  <c r="Q641" i="9"/>
  <c r="M659" i="11" s="1"/>
  <c r="CC621" i="9"/>
  <c r="L641" i="9"/>
  <c r="H659" i="11" s="1"/>
  <c r="CU621" i="9"/>
  <c r="AD641" i="9"/>
  <c r="Z659" i="11" s="1"/>
  <c r="EA621" i="9"/>
  <c r="BJ641" i="9"/>
  <c r="BF659" i="11" s="1"/>
  <c r="DU621" i="9"/>
  <c r="BD641" i="9"/>
  <c r="AZ659" i="11" s="1"/>
  <c r="BH641" i="9"/>
  <c r="BD659" i="11" s="1"/>
  <c r="DY621" i="9"/>
  <c r="DB621" i="9"/>
  <c r="AK641" i="9"/>
  <c r="AG659" i="11" s="1"/>
  <c r="CX621" i="9"/>
  <c r="AG641" i="9"/>
  <c r="AC659" i="11" s="1"/>
  <c r="AA281" i="9"/>
  <c r="W644" i="11" s="1"/>
  <c r="CB536" i="9"/>
  <c r="BU536" i="9"/>
  <c r="M393" i="6" s="1"/>
  <c r="BT536" i="9"/>
  <c r="L393" i="6" s="1"/>
  <c r="CB302" i="9"/>
  <c r="BT302" i="9"/>
  <c r="L179" i="6" s="1"/>
  <c r="BU302" i="9"/>
  <c r="M179" i="6" s="1"/>
  <c r="AS617" i="9"/>
  <c r="AO658" i="11" s="1"/>
  <c r="BU655" i="9"/>
  <c r="M502" i="6" s="1"/>
  <c r="BT655" i="9"/>
  <c r="L502" i="6" s="1"/>
  <c r="CB655" i="9"/>
  <c r="CC381" i="9"/>
  <c r="L401" i="9"/>
  <c r="H649" i="11" s="1"/>
  <c r="CT381" i="9"/>
  <c r="AC401" i="9"/>
  <c r="Y649" i="11" s="1"/>
  <c r="EF381" i="9"/>
  <c r="BO401" i="9"/>
  <c r="BK649" i="11" s="1"/>
  <c r="DH381" i="9"/>
  <c r="AQ401" i="9"/>
  <c r="AM649" i="11" s="1"/>
  <c r="ED381" i="9"/>
  <c r="BM401" i="9"/>
  <c r="BI649" i="11" s="1"/>
  <c r="DX381" i="9"/>
  <c r="BG401" i="9"/>
  <c r="BC649" i="11" s="1"/>
  <c r="DT381" i="9"/>
  <c r="BC401" i="9"/>
  <c r="AY649" i="11" s="1"/>
  <c r="AY617" i="9"/>
  <c r="AU658" i="11" s="1"/>
  <c r="CB527" i="9"/>
  <c r="BU527" i="9"/>
  <c r="M384" i="6" s="1"/>
  <c r="BT527" i="9"/>
  <c r="L384" i="6" s="1"/>
  <c r="CB298" i="9"/>
  <c r="BT298" i="9"/>
  <c r="L175" i="6" s="1"/>
  <c r="G175" i="6" s="1"/>
  <c r="BU298" i="9"/>
  <c r="M175" i="6" s="1"/>
  <c r="BP257" i="9"/>
  <c r="BL643" i="11" s="1"/>
  <c r="O689" i="9"/>
  <c r="K661" i="11" s="1"/>
  <c r="CF669" i="9"/>
  <c r="DI669" i="9"/>
  <c r="AR689" i="9"/>
  <c r="AN661" i="11" s="1"/>
  <c r="DA669" i="9"/>
  <c r="AJ689" i="9"/>
  <c r="AF661" i="11" s="1"/>
  <c r="BR689" i="9"/>
  <c r="BN661" i="11" s="1"/>
  <c r="EI669" i="9"/>
  <c r="AU689" i="9"/>
  <c r="AQ661" i="11" s="1"/>
  <c r="DL669" i="9"/>
  <c r="BK689" i="9"/>
  <c r="BG661" i="11" s="1"/>
  <c r="EB669" i="9"/>
  <c r="AT689" i="9"/>
  <c r="AP661" i="11" s="1"/>
  <c r="DK669" i="9"/>
  <c r="CB290" i="9"/>
  <c r="BT290" i="9"/>
  <c r="L167" i="6" s="1"/>
  <c r="BU290" i="9"/>
  <c r="M167" i="6" s="1"/>
  <c r="CG609" i="9"/>
  <c r="P617" i="9"/>
  <c r="L658" i="11" s="1"/>
  <c r="CI434" i="9"/>
  <c r="R449" i="9"/>
  <c r="N651" i="11" s="1"/>
  <c r="O521" i="9"/>
  <c r="K654" i="11" s="1"/>
  <c r="BT159" i="6"/>
  <c r="AG159" i="6"/>
  <c r="BF159" i="6"/>
  <c r="AV159" i="6"/>
  <c r="AQ159" i="6"/>
  <c r="BO159" i="6"/>
  <c r="BY159" i="6"/>
  <c r="BA159" i="6"/>
  <c r="BY225" i="6"/>
  <c r="BO225" i="6"/>
  <c r="AG225" i="6"/>
  <c r="BA225" i="6"/>
  <c r="AV225" i="6"/>
  <c r="BT225" i="6"/>
  <c r="AQ225" i="6"/>
  <c r="BF225" i="6"/>
  <c r="BY311" i="6"/>
  <c r="BO311" i="6"/>
  <c r="BT311" i="6"/>
  <c r="BY417" i="6"/>
  <c r="BO417" i="6"/>
  <c r="BT417" i="6"/>
  <c r="BT146" i="6"/>
  <c r="BY146" i="6"/>
  <c r="BO146" i="6"/>
  <c r="BY219" i="6"/>
  <c r="BT219" i="6"/>
  <c r="BO219" i="6"/>
  <c r="BT305" i="6"/>
  <c r="BO305" i="6"/>
  <c r="BY305" i="6"/>
  <c r="BY416" i="6"/>
  <c r="BT416" i="6"/>
  <c r="BO416" i="6"/>
  <c r="BO170" i="6"/>
  <c r="BT170" i="6"/>
  <c r="AV170" i="6"/>
  <c r="AG170" i="6"/>
  <c r="BY170" i="6"/>
  <c r="BA170" i="6"/>
  <c r="BF170" i="6"/>
  <c r="AQ170" i="6"/>
  <c r="BO244" i="6"/>
  <c r="BY244" i="6"/>
  <c r="BT244" i="6"/>
  <c r="BO299" i="6"/>
  <c r="AG299" i="6"/>
  <c r="AQ299" i="6"/>
  <c r="BF299" i="6"/>
  <c r="BT299" i="6"/>
  <c r="BY299" i="6"/>
  <c r="AV299" i="6"/>
  <c r="BA299" i="6"/>
  <c r="BT445" i="6"/>
  <c r="AQ445" i="6"/>
  <c r="BO445" i="6"/>
  <c r="AV445" i="6"/>
  <c r="BY445" i="6"/>
  <c r="BF445" i="6"/>
  <c r="AG445" i="6"/>
  <c r="BA445" i="6"/>
  <c r="BO149" i="6"/>
  <c r="BY149" i="6"/>
  <c r="BT149" i="6"/>
  <c r="BT232" i="6"/>
  <c r="BF232" i="6"/>
  <c r="AG232" i="6"/>
  <c r="BO232" i="6"/>
  <c r="BY232" i="6"/>
  <c r="AQ232" i="6"/>
  <c r="BA232" i="6"/>
  <c r="AV232" i="6"/>
  <c r="BT297" i="6"/>
  <c r="BY297" i="6"/>
  <c r="AG297" i="6"/>
  <c r="BO297" i="6"/>
  <c r="BA297" i="6"/>
  <c r="AQ297" i="6"/>
  <c r="BF297" i="6"/>
  <c r="AV297" i="6"/>
  <c r="BY433" i="6"/>
  <c r="BT433" i="6"/>
  <c r="BO433" i="6"/>
  <c r="BF433" i="6"/>
  <c r="AG433" i="6"/>
  <c r="BA433" i="6"/>
  <c r="AQ433" i="6"/>
  <c r="AV433" i="6"/>
  <c r="BO126" i="6"/>
  <c r="BY126" i="6"/>
  <c r="AQ126" i="6"/>
  <c r="AV126" i="6"/>
  <c r="BT126" i="6"/>
  <c r="BF126" i="6"/>
  <c r="AG126" i="6"/>
  <c r="BA126" i="6"/>
  <c r="BY211" i="6"/>
  <c r="AV211" i="6"/>
  <c r="BF211" i="6"/>
  <c r="BT211" i="6"/>
  <c r="BO211" i="6"/>
  <c r="BA211" i="6"/>
  <c r="AG211" i="6"/>
  <c r="AQ211" i="6"/>
  <c r="BT277" i="6"/>
  <c r="AG277" i="6"/>
  <c r="AQ277" i="6"/>
  <c r="AV277" i="6"/>
  <c r="BO277" i="6"/>
  <c r="BY277" i="6"/>
  <c r="BF277" i="6"/>
  <c r="BA277" i="6"/>
  <c r="BY400" i="6"/>
  <c r="AG400" i="6"/>
  <c r="BT400" i="6"/>
  <c r="BO400" i="6"/>
  <c r="BA400" i="6"/>
  <c r="AQ400" i="6"/>
  <c r="BF400" i="6"/>
  <c r="AV400" i="6"/>
  <c r="BO189" i="6"/>
  <c r="BT189" i="6"/>
  <c r="BA189" i="6"/>
  <c r="AV189" i="6"/>
  <c r="AQ189" i="6"/>
  <c r="BF189" i="6"/>
  <c r="BY189" i="6"/>
  <c r="AG189" i="6"/>
  <c r="BO254" i="6"/>
  <c r="BY254" i="6"/>
  <c r="BT254" i="6"/>
  <c r="AV254" i="6"/>
  <c r="BF254" i="6"/>
  <c r="AQ254" i="6"/>
  <c r="AG254" i="6"/>
  <c r="BA254" i="6"/>
  <c r="BT340" i="6"/>
  <c r="BO340" i="6"/>
  <c r="AQ340" i="6"/>
  <c r="BA340" i="6"/>
  <c r="BY340" i="6"/>
  <c r="AV340" i="6"/>
  <c r="AG340" i="6"/>
  <c r="BF340" i="6"/>
  <c r="BT164" i="6"/>
  <c r="AV164" i="6"/>
  <c r="AQ164" i="6"/>
  <c r="BO164" i="6"/>
  <c r="BF164" i="6"/>
  <c r="BY164" i="6"/>
  <c r="BA164" i="6"/>
  <c r="AG164" i="6"/>
  <c r="BY253" i="6"/>
  <c r="AV253" i="6"/>
  <c r="BT253" i="6"/>
  <c r="AQ253" i="6"/>
  <c r="BO253" i="6"/>
  <c r="AG253" i="6"/>
  <c r="BF253" i="6"/>
  <c r="BA253" i="6"/>
  <c r="AV334" i="6"/>
  <c r="BT334" i="6"/>
  <c r="BO334" i="6"/>
  <c r="BA334" i="6"/>
  <c r="BY334" i="6"/>
  <c r="BF334" i="6"/>
  <c r="AG334" i="6"/>
  <c r="AQ334" i="6"/>
  <c r="BT497" i="6"/>
  <c r="BY497" i="6"/>
  <c r="AV497" i="6"/>
  <c r="BO497" i="6"/>
  <c r="AQ497" i="6"/>
  <c r="BF497" i="6"/>
  <c r="AG497" i="6"/>
  <c r="BA497" i="6"/>
  <c r="BY177" i="6"/>
  <c r="BT177" i="6"/>
  <c r="BO177" i="6"/>
  <c r="BO230" i="6"/>
  <c r="BY230" i="6"/>
  <c r="BT230" i="6"/>
  <c r="AQ230" i="6"/>
  <c r="AV230" i="6"/>
  <c r="BF230" i="6"/>
  <c r="BA230" i="6"/>
  <c r="AG230" i="6"/>
  <c r="BY325" i="6"/>
  <c r="BT325" i="6"/>
  <c r="BO325" i="6"/>
  <c r="AQ325" i="6"/>
  <c r="BF325" i="6"/>
  <c r="AG325" i="6"/>
  <c r="BA325" i="6"/>
  <c r="AV325" i="6"/>
  <c r="BY451" i="6"/>
  <c r="BA451" i="6"/>
  <c r="BT451" i="6"/>
  <c r="BO451" i="6"/>
  <c r="AV451" i="6"/>
  <c r="AG451" i="6"/>
  <c r="BF451" i="6"/>
  <c r="AQ451" i="6"/>
  <c r="BT322" i="6"/>
  <c r="BO322" i="6"/>
  <c r="AG322" i="6"/>
  <c r="BY322" i="6"/>
  <c r="BA322" i="6"/>
  <c r="AV322" i="6"/>
  <c r="AQ322" i="6"/>
  <c r="BF322" i="6"/>
  <c r="BO418" i="6"/>
  <c r="BY418" i="6"/>
  <c r="BT418" i="6"/>
  <c r="BO472" i="6"/>
  <c r="BT472" i="6"/>
  <c r="BA472" i="6"/>
  <c r="AV472" i="6"/>
  <c r="AQ472" i="6"/>
  <c r="BF472" i="6"/>
  <c r="BY472" i="6"/>
  <c r="AG472" i="6"/>
  <c r="BO506" i="6"/>
  <c r="AV506" i="6"/>
  <c r="AG506" i="6"/>
  <c r="BF506" i="6"/>
  <c r="BA506" i="6"/>
  <c r="BY506" i="6"/>
  <c r="BT506" i="6"/>
  <c r="AQ506" i="6"/>
  <c r="E224" i="6"/>
  <c r="H224" i="6"/>
  <c r="G224" i="6"/>
  <c r="D224" i="6"/>
  <c r="H427" i="6"/>
  <c r="D427" i="6"/>
  <c r="E427" i="6"/>
  <c r="G427" i="6"/>
  <c r="H356" i="6"/>
  <c r="G356" i="6"/>
  <c r="E356" i="6"/>
  <c r="D356" i="6"/>
  <c r="BY453" i="6"/>
  <c r="BO453" i="6"/>
  <c r="AG453" i="6"/>
  <c r="AQ453" i="6"/>
  <c r="BF453" i="6"/>
  <c r="BT453" i="6"/>
  <c r="BA453" i="6"/>
  <c r="AV453" i="6"/>
  <c r="BT520" i="6"/>
  <c r="AG520" i="6"/>
  <c r="AQ520" i="6"/>
  <c r="BA520" i="6"/>
  <c r="BY520" i="6"/>
  <c r="AV520" i="6"/>
  <c r="BF520" i="6"/>
  <c r="BO520" i="6"/>
  <c r="BY362" i="6"/>
  <c r="BO362" i="6"/>
  <c r="BA362" i="6"/>
  <c r="AV362" i="6"/>
  <c r="BT362" i="6"/>
  <c r="AQ362" i="6"/>
  <c r="AG362" i="6"/>
  <c r="BF362" i="6"/>
  <c r="BO441" i="6"/>
  <c r="BF441" i="6"/>
  <c r="BY441" i="6"/>
  <c r="BT441" i="6"/>
  <c r="AQ441" i="6"/>
  <c r="AG441" i="6"/>
  <c r="AV441" i="6"/>
  <c r="BA441" i="6"/>
  <c r="BT532" i="6"/>
  <c r="AQ532" i="6"/>
  <c r="AV532" i="6"/>
  <c r="BO532" i="6"/>
  <c r="BA532" i="6"/>
  <c r="BY532" i="6"/>
  <c r="BF532" i="6"/>
  <c r="AG532" i="6"/>
  <c r="E317" i="6"/>
  <c r="H317" i="6"/>
  <c r="D317" i="6"/>
  <c r="G317" i="6"/>
  <c r="E421" i="6"/>
  <c r="H421" i="6"/>
  <c r="D421" i="6"/>
  <c r="G421" i="6"/>
  <c r="BO384" i="6"/>
  <c r="AQ384" i="6"/>
  <c r="BF384" i="6"/>
  <c r="AG384" i="6"/>
  <c r="BA384" i="6"/>
  <c r="BY384" i="6"/>
  <c r="BT384" i="6"/>
  <c r="AV384" i="6"/>
  <c r="BT460" i="6"/>
  <c r="BY460" i="6"/>
  <c r="BO460" i="6"/>
  <c r="AV460" i="6"/>
  <c r="AG460" i="6"/>
  <c r="BA460" i="6"/>
  <c r="BF460" i="6"/>
  <c r="AQ460" i="6"/>
  <c r="BO533" i="6"/>
  <c r="AV533" i="6"/>
  <c r="BT533" i="6"/>
  <c r="BA533" i="6"/>
  <c r="BY533" i="6"/>
  <c r="AQ533" i="6"/>
  <c r="AG533" i="6"/>
  <c r="BF533" i="6"/>
  <c r="D531" i="6"/>
  <c r="H531" i="6"/>
  <c r="G531" i="6"/>
  <c r="E531" i="6"/>
  <c r="BO394" i="6"/>
  <c r="BT394" i="6"/>
  <c r="BY394" i="6"/>
  <c r="BO452" i="6"/>
  <c r="BY452" i="6"/>
  <c r="BT452" i="6"/>
  <c r="AV452" i="6"/>
  <c r="AQ452" i="6"/>
  <c r="BF452" i="6"/>
  <c r="BA452" i="6"/>
  <c r="AG452" i="6"/>
  <c r="BO529" i="6"/>
  <c r="AQ529" i="6"/>
  <c r="BY529" i="6"/>
  <c r="BT529" i="6"/>
  <c r="AV529" i="6"/>
  <c r="BA529" i="6"/>
  <c r="AG529" i="6"/>
  <c r="BF529" i="6"/>
  <c r="H449" i="6"/>
  <c r="D449" i="6"/>
  <c r="E449" i="6"/>
  <c r="G449" i="6"/>
  <c r="Q545" i="9"/>
  <c r="M655" i="11" s="1"/>
  <c r="CH525" i="9"/>
  <c r="DK525" i="9"/>
  <c r="AT545" i="9"/>
  <c r="AP655" i="11" s="1"/>
  <c r="DB525" i="9"/>
  <c r="AK545" i="9"/>
  <c r="AG655" i="11" s="1"/>
  <c r="DV525" i="9"/>
  <c r="BE545" i="9"/>
  <c r="BA655" i="11" s="1"/>
  <c r="EI525" i="9"/>
  <c r="BR545" i="9"/>
  <c r="BN655" i="11" s="1"/>
  <c r="AZ545" i="9"/>
  <c r="AV655" i="11" s="1"/>
  <c r="DQ525" i="9"/>
  <c r="BL545" i="9"/>
  <c r="BH655" i="11" s="1"/>
  <c r="EC525" i="9"/>
  <c r="AM449" i="9"/>
  <c r="AI651" i="11" s="1"/>
  <c r="BK449" i="9"/>
  <c r="BG651" i="11" s="1"/>
  <c r="AJ497" i="9"/>
  <c r="AF653" i="11" s="1"/>
  <c r="BC521" i="9"/>
  <c r="AY654" i="11" s="1"/>
  <c r="Y521" i="9"/>
  <c r="U654" i="11" s="1"/>
  <c r="BB257" i="9"/>
  <c r="AX643" i="11" s="1"/>
  <c r="CB514" i="9"/>
  <c r="BU514" i="9"/>
  <c r="M373" i="6" s="1"/>
  <c r="BT514" i="9"/>
  <c r="L373" i="6" s="1"/>
  <c r="X281" i="9"/>
  <c r="T644" i="11" s="1"/>
  <c r="BJ281" i="9"/>
  <c r="BF644" i="11" s="1"/>
  <c r="AN617" i="9"/>
  <c r="AJ658" i="11" s="1"/>
  <c r="CB506" i="9"/>
  <c r="BT506" i="9"/>
  <c r="L365" i="6" s="1"/>
  <c r="BU506" i="9"/>
  <c r="M365" i="6" s="1"/>
  <c r="CB262" i="9"/>
  <c r="K281" i="9"/>
  <c r="BU262" i="9"/>
  <c r="M141" i="6" s="1"/>
  <c r="BT262" i="9"/>
  <c r="CB489" i="9"/>
  <c r="BU489" i="9"/>
  <c r="M350" i="6" s="1"/>
  <c r="BT489" i="9"/>
  <c r="L350" i="6" s="1"/>
  <c r="AY449" i="9"/>
  <c r="AU651" i="11" s="1"/>
  <c r="CB299" i="9"/>
  <c r="BU299" i="9"/>
  <c r="M176" i="6" s="1"/>
  <c r="BT299" i="9"/>
  <c r="L176" i="6" s="1"/>
  <c r="CB520" i="9"/>
  <c r="BT520" i="9"/>
  <c r="L379" i="6" s="1"/>
  <c r="BU520" i="9"/>
  <c r="M379" i="6" s="1"/>
  <c r="AR281" i="9"/>
  <c r="AN644" i="11" s="1"/>
  <c r="BP281" i="9"/>
  <c r="BL644" i="11" s="1"/>
  <c r="AO617" i="9"/>
  <c r="AK658" i="11" s="1"/>
  <c r="CI645" i="9"/>
  <c r="R665" i="9"/>
  <c r="N660" i="11" s="1"/>
  <c r="CH645" i="9"/>
  <c r="Q665" i="9"/>
  <c r="M660" i="11" s="1"/>
  <c r="DR645" i="9"/>
  <c r="BA665" i="9"/>
  <c r="AW660" i="11" s="1"/>
  <c r="DL645" i="9"/>
  <c r="AU665" i="9"/>
  <c r="AQ660" i="11" s="1"/>
  <c r="DB645" i="9"/>
  <c r="AK665" i="9"/>
  <c r="AG660" i="11" s="1"/>
  <c r="EG645" i="9"/>
  <c r="BP665" i="9"/>
  <c r="BL660" i="11" s="1"/>
  <c r="CZ645" i="9"/>
  <c r="AI665" i="9"/>
  <c r="AE660" i="11" s="1"/>
  <c r="CL645" i="9"/>
  <c r="U665" i="9"/>
  <c r="Q660" i="11" s="1"/>
  <c r="CB539" i="9"/>
  <c r="BU539" i="9"/>
  <c r="M396" i="6" s="1"/>
  <c r="BT539" i="9"/>
  <c r="L396" i="6" s="1"/>
  <c r="BD497" i="9"/>
  <c r="AZ653" i="11" s="1"/>
  <c r="AC257" i="9"/>
  <c r="Y643" i="11" s="1"/>
  <c r="AB257" i="9"/>
  <c r="X643" i="11" s="1"/>
  <c r="AQ281" i="9"/>
  <c r="AM644" i="11" s="1"/>
  <c r="AL617" i="9"/>
  <c r="AH658" i="11" s="1"/>
  <c r="BE617" i="9"/>
  <c r="BA658" i="11" s="1"/>
  <c r="CG240" i="9"/>
  <c r="P257" i="9"/>
  <c r="L643" i="11" s="1"/>
  <c r="BE449" i="9"/>
  <c r="BA651" i="11" s="1"/>
  <c r="AU449" i="9"/>
  <c r="AQ651" i="11" s="1"/>
  <c r="AQ497" i="9"/>
  <c r="AM653" i="11" s="1"/>
  <c r="AI521" i="9"/>
  <c r="AE654" i="11" s="1"/>
  <c r="AA521" i="9"/>
  <c r="W654" i="11" s="1"/>
  <c r="CB297" i="9"/>
  <c r="BT297" i="9"/>
  <c r="L174" i="6" s="1"/>
  <c r="BU297" i="9"/>
  <c r="M174" i="6" s="1"/>
  <c r="AO257" i="9"/>
  <c r="AK643" i="11" s="1"/>
  <c r="BK281" i="9"/>
  <c r="BG644" i="11" s="1"/>
  <c r="AB617" i="9"/>
  <c r="X658" i="11" s="1"/>
  <c r="AU617" i="9"/>
  <c r="AQ658" i="11" s="1"/>
  <c r="P305" i="9"/>
  <c r="L645" i="11" s="1"/>
  <c r="CG285" i="9"/>
  <c r="CU285" i="9"/>
  <c r="AD305" i="9"/>
  <c r="Z645" i="11" s="1"/>
  <c r="CB519" i="9"/>
  <c r="BU519" i="9"/>
  <c r="M378" i="6" s="1"/>
  <c r="BT519" i="9"/>
  <c r="L378" i="6" s="1"/>
  <c r="BQ449" i="9"/>
  <c r="BM651" i="11" s="1"/>
  <c r="X521" i="9"/>
  <c r="T654" i="11" s="1"/>
  <c r="CB293" i="9"/>
  <c r="BU293" i="9"/>
  <c r="M170" i="6" s="1"/>
  <c r="BT293" i="9"/>
  <c r="L170" i="6" s="1"/>
  <c r="DQ381" i="9"/>
  <c r="AZ401" i="9"/>
  <c r="AV649" i="11" s="1"/>
  <c r="DP381" i="9"/>
  <c r="AY401" i="9"/>
  <c r="AU649" i="11" s="1"/>
  <c r="DY381" i="9"/>
  <c r="BH401" i="9"/>
  <c r="BD649" i="11" s="1"/>
  <c r="DZ381" i="9"/>
  <c r="BI401" i="9"/>
  <c r="BE649" i="11" s="1"/>
  <c r="AV521" i="9"/>
  <c r="AR654" i="11" s="1"/>
  <c r="Q689" i="9"/>
  <c r="M661" i="11" s="1"/>
  <c r="CH669" i="9"/>
  <c r="BL689" i="9"/>
  <c r="BH661" i="11" s="1"/>
  <c r="EC669" i="9"/>
  <c r="DG669" i="9"/>
  <c r="AP689" i="9"/>
  <c r="AL661" i="11" s="1"/>
  <c r="CJ609" i="9"/>
  <c r="S617" i="9"/>
  <c r="O658" i="11" s="1"/>
  <c r="CH434" i="9"/>
  <c r="Q449" i="9"/>
  <c r="M651" i="11" s="1"/>
  <c r="AV144" i="6"/>
  <c r="AQ144" i="6"/>
  <c r="BY144" i="6"/>
  <c r="BF144" i="6"/>
  <c r="BO144" i="6"/>
  <c r="BT144" i="6"/>
  <c r="BA144" i="6"/>
  <c r="AG144" i="6"/>
  <c r="BO492" i="6"/>
  <c r="BT492" i="6"/>
  <c r="BF492" i="6"/>
  <c r="AQ492" i="6"/>
  <c r="AV492" i="6"/>
  <c r="BY492" i="6"/>
  <c r="AG492" i="6"/>
  <c r="BA492" i="6"/>
  <c r="BT231" i="6"/>
  <c r="AV231" i="6"/>
  <c r="AQ231" i="6"/>
  <c r="BO231" i="6"/>
  <c r="BF231" i="6"/>
  <c r="BY231" i="6"/>
  <c r="AG231" i="6"/>
  <c r="BA231" i="6"/>
  <c r="BT429" i="6"/>
  <c r="BO429" i="6"/>
  <c r="BY429" i="6"/>
  <c r="AV429" i="6"/>
  <c r="AQ429" i="6"/>
  <c r="AG429" i="6"/>
  <c r="BF429" i="6"/>
  <c r="BA429" i="6"/>
  <c r="AG229" i="6"/>
  <c r="BA229" i="6"/>
  <c r="AV229" i="6"/>
  <c r="BT229" i="6"/>
  <c r="BO229" i="6"/>
  <c r="BY229" i="6"/>
  <c r="AQ229" i="6"/>
  <c r="BF229" i="6"/>
  <c r="BY306" i="6"/>
  <c r="BT306" i="6"/>
  <c r="BO306" i="6"/>
  <c r="BO438" i="6"/>
  <c r="AV438" i="6"/>
  <c r="BA438" i="6"/>
  <c r="AQ438" i="6"/>
  <c r="AG438" i="6"/>
  <c r="BT438" i="6"/>
  <c r="BY438" i="6"/>
  <c r="BF438" i="6"/>
  <c r="BO174" i="6"/>
  <c r="BY174" i="6"/>
  <c r="BT174" i="6"/>
  <c r="BY240" i="6"/>
  <c r="BT240" i="6"/>
  <c r="BO240" i="6"/>
  <c r="BY320" i="6"/>
  <c r="AQ320" i="6"/>
  <c r="BF320" i="6"/>
  <c r="AG320" i="6"/>
  <c r="BT320" i="6"/>
  <c r="BO320" i="6"/>
  <c r="AV320" i="6"/>
  <c r="BA320" i="6"/>
  <c r="BT176" i="6"/>
  <c r="BY176" i="6"/>
  <c r="BO176" i="6"/>
  <c r="BY234" i="6"/>
  <c r="AV234" i="6"/>
  <c r="BT234" i="6"/>
  <c r="AQ234" i="6"/>
  <c r="BO234" i="6"/>
  <c r="AG234" i="6"/>
  <c r="BF234" i="6"/>
  <c r="BA234" i="6"/>
  <c r="BT313" i="6"/>
  <c r="AQ313" i="6"/>
  <c r="BF313" i="6"/>
  <c r="BY313" i="6"/>
  <c r="AV313" i="6"/>
  <c r="BA313" i="6"/>
  <c r="BO313" i="6"/>
  <c r="AG313" i="6"/>
  <c r="BO440" i="6"/>
  <c r="BY440" i="6"/>
  <c r="AQ440" i="6"/>
  <c r="BT440" i="6"/>
  <c r="AG440" i="6"/>
  <c r="BF440" i="6"/>
  <c r="AV440" i="6"/>
  <c r="BA440" i="6"/>
  <c r="BY157" i="6"/>
  <c r="BA157" i="6"/>
  <c r="BF157" i="6"/>
  <c r="BT157" i="6"/>
  <c r="AG157" i="6"/>
  <c r="BO157" i="6"/>
  <c r="AQ157" i="6"/>
  <c r="AV157" i="6"/>
  <c r="BO212" i="6"/>
  <c r="BT212" i="6"/>
  <c r="BY212" i="6"/>
  <c r="BT309" i="6"/>
  <c r="BY309" i="6"/>
  <c r="BO309" i="6"/>
  <c r="BO406" i="6"/>
  <c r="AQ406" i="6"/>
  <c r="AV406" i="6"/>
  <c r="BY406" i="6"/>
  <c r="BF406" i="6"/>
  <c r="AG406" i="6"/>
  <c r="BA406" i="6"/>
  <c r="BT406" i="6"/>
  <c r="BO127" i="6"/>
  <c r="BT127" i="6"/>
  <c r="BY127" i="6"/>
  <c r="BY202" i="6"/>
  <c r="BF202" i="6"/>
  <c r="BT202" i="6"/>
  <c r="AG202" i="6"/>
  <c r="AQ202" i="6"/>
  <c r="BO202" i="6"/>
  <c r="AV202" i="6"/>
  <c r="BA202" i="6"/>
  <c r="BT291" i="6"/>
  <c r="BA291" i="6"/>
  <c r="BF291" i="6"/>
  <c r="BO291" i="6"/>
  <c r="BY291" i="6"/>
  <c r="AG291" i="6"/>
  <c r="AQ291" i="6"/>
  <c r="AV291" i="6"/>
  <c r="BT369" i="6"/>
  <c r="BY369" i="6"/>
  <c r="BO369" i="6"/>
  <c r="AQ369" i="6"/>
  <c r="BF369" i="6"/>
  <c r="AG369" i="6"/>
  <c r="BA369" i="6"/>
  <c r="AV369" i="6"/>
  <c r="BY198" i="6"/>
  <c r="BT198" i="6"/>
  <c r="BO198" i="6"/>
  <c r="BY252" i="6"/>
  <c r="BT252" i="6"/>
  <c r="AQ252" i="6"/>
  <c r="BO252" i="6"/>
  <c r="BA252" i="6"/>
  <c r="BF252" i="6"/>
  <c r="AG252" i="6"/>
  <c r="AV252" i="6"/>
  <c r="BY341" i="6"/>
  <c r="AV341" i="6"/>
  <c r="AG341" i="6"/>
  <c r="BT341" i="6"/>
  <c r="AQ341" i="6"/>
  <c r="BO341" i="6"/>
  <c r="BF341" i="6"/>
  <c r="BA341" i="6"/>
  <c r="BO516" i="6"/>
  <c r="BY516" i="6"/>
  <c r="AV516" i="6"/>
  <c r="AQ516" i="6"/>
  <c r="BF516" i="6"/>
  <c r="BA516" i="6"/>
  <c r="AG516" i="6"/>
  <c r="BT516" i="6"/>
  <c r="BO163" i="6"/>
  <c r="BT163" i="6"/>
  <c r="BA163" i="6"/>
  <c r="AV163" i="6"/>
  <c r="BY163" i="6"/>
  <c r="BF163" i="6"/>
  <c r="AG163" i="6"/>
  <c r="AQ163" i="6"/>
  <c r="BT258" i="6"/>
  <c r="BY258" i="6"/>
  <c r="BA258" i="6"/>
  <c r="AQ258" i="6"/>
  <c r="BO258" i="6"/>
  <c r="BF258" i="6"/>
  <c r="AV258" i="6"/>
  <c r="AG258" i="6"/>
  <c r="BY327" i="6"/>
  <c r="BT327" i="6"/>
  <c r="BO327" i="6"/>
  <c r="AG502" i="6"/>
  <c r="BY502" i="6"/>
  <c r="AV502" i="6"/>
  <c r="BO502" i="6"/>
  <c r="AQ502" i="6"/>
  <c r="BF502" i="6"/>
  <c r="BA502" i="6"/>
  <c r="BT502" i="6"/>
  <c r="BY356" i="6"/>
  <c r="BA356" i="6"/>
  <c r="BT356" i="6"/>
  <c r="AG356" i="6"/>
  <c r="BO356" i="6"/>
  <c r="BF356" i="6"/>
  <c r="AV356" i="6"/>
  <c r="AQ356" i="6"/>
  <c r="BY421" i="6"/>
  <c r="BT421" i="6"/>
  <c r="BO421" i="6"/>
  <c r="BO479" i="6"/>
  <c r="AG479" i="6"/>
  <c r="BY479" i="6"/>
  <c r="BA479" i="6"/>
  <c r="BT479" i="6"/>
  <c r="AQ479" i="6"/>
  <c r="BF479" i="6"/>
  <c r="AV479" i="6"/>
  <c r="G185" i="6"/>
  <c r="E185" i="6"/>
  <c r="D185" i="6"/>
  <c r="H185" i="6"/>
  <c r="G179" i="6"/>
  <c r="E179" i="6"/>
  <c r="D179" i="6"/>
  <c r="H179" i="6"/>
  <c r="BO505" i="6"/>
  <c r="BT505" i="6"/>
  <c r="BY505" i="6"/>
  <c r="BF505" i="6"/>
  <c r="AQ505" i="6"/>
  <c r="AG505" i="6"/>
  <c r="AV505" i="6"/>
  <c r="BA505" i="6"/>
  <c r="E181" i="6"/>
  <c r="D181" i="6"/>
  <c r="G181" i="6"/>
  <c r="H181" i="6"/>
  <c r="H488" i="6"/>
  <c r="G488" i="6"/>
  <c r="D488" i="6"/>
  <c r="E488" i="6"/>
  <c r="H313" i="6"/>
  <c r="G313" i="6"/>
  <c r="D313" i="6"/>
  <c r="E313" i="6"/>
  <c r="BT463" i="6"/>
  <c r="AQ463" i="6"/>
  <c r="BO463" i="6"/>
  <c r="BY463" i="6"/>
  <c r="AG463" i="6"/>
  <c r="BA463" i="6"/>
  <c r="AV463" i="6"/>
  <c r="BF463" i="6"/>
  <c r="D532" i="6"/>
  <c r="H532" i="6"/>
  <c r="G532" i="6"/>
  <c r="E532" i="6"/>
  <c r="BT376" i="6"/>
  <c r="BO376" i="6"/>
  <c r="BY376" i="6"/>
  <c r="BA376" i="6"/>
  <c r="AV376" i="6"/>
  <c r="AQ376" i="6"/>
  <c r="BF376" i="6"/>
  <c r="AG376" i="6"/>
  <c r="BT464" i="6"/>
  <c r="BF464" i="6"/>
  <c r="AV464" i="6"/>
  <c r="BO464" i="6"/>
  <c r="BY464" i="6"/>
  <c r="AQ464" i="6"/>
  <c r="AG464" i="6"/>
  <c r="BA464" i="6"/>
  <c r="BO523" i="6"/>
  <c r="BF523" i="6"/>
  <c r="BA523" i="6"/>
  <c r="BY523" i="6"/>
  <c r="AQ523" i="6"/>
  <c r="AV523" i="6"/>
  <c r="BT523" i="6"/>
  <c r="AG523" i="6"/>
  <c r="BT398" i="6"/>
  <c r="BY398" i="6"/>
  <c r="BO398" i="6"/>
  <c r="AV465" i="6"/>
  <c r="BO465" i="6"/>
  <c r="BT465" i="6"/>
  <c r="AQ465" i="6"/>
  <c r="BY465" i="6"/>
  <c r="BA465" i="6"/>
  <c r="AG465" i="6"/>
  <c r="BF465" i="6"/>
  <c r="D267" i="6"/>
  <c r="H267" i="6"/>
  <c r="G267" i="6"/>
  <c r="E267" i="6"/>
  <c r="BY399" i="6"/>
  <c r="BT399" i="6"/>
  <c r="BO399" i="6"/>
  <c r="AV488" i="6"/>
  <c r="AQ488" i="6"/>
  <c r="BY488" i="6"/>
  <c r="BT488" i="6"/>
  <c r="BO488" i="6"/>
  <c r="AG488" i="6"/>
  <c r="BF488" i="6"/>
  <c r="BA488" i="6"/>
  <c r="H334" i="6"/>
  <c r="G334" i="6"/>
  <c r="D334" i="6"/>
  <c r="E334" i="6"/>
  <c r="E383" i="6"/>
  <c r="H383" i="6"/>
  <c r="G383" i="6"/>
  <c r="D383" i="6"/>
  <c r="BE521" i="9"/>
  <c r="BA654" i="11" s="1"/>
  <c r="CB525" i="9"/>
  <c r="K545" i="9"/>
  <c r="BT525" i="9"/>
  <c r="BU525" i="9"/>
  <c r="M382" i="6" s="1"/>
  <c r="CN525" i="9"/>
  <c r="W545" i="9"/>
  <c r="S655" i="11" s="1"/>
  <c r="CU525" i="9"/>
  <c r="AD545" i="9"/>
  <c r="Z655" i="11" s="1"/>
  <c r="BQ545" i="9"/>
  <c r="BM655" i="11" s="1"/>
  <c r="EH525" i="9"/>
  <c r="DE525" i="9"/>
  <c r="AN545" i="9"/>
  <c r="AJ655" i="11" s="1"/>
  <c r="DI525" i="9"/>
  <c r="AR545" i="9"/>
  <c r="AN655" i="11" s="1"/>
  <c r="AX545" i="9"/>
  <c r="AT655" i="11" s="1"/>
  <c r="DO525" i="9"/>
  <c r="AR257" i="9"/>
  <c r="AN643" i="11" s="1"/>
  <c r="CH262" i="9"/>
  <c r="Q281" i="9"/>
  <c r="M644" i="11" s="1"/>
  <c r="AZ257" i="9"/>
  <c r="AV643" i="11" s="1"/>
  <c r="CG502" i="9"/>
  <c r="P521" i="9"/>
  <c r="L654" i="11" s="1"/>
  <c r="U281" i="9"/>
  <c r="Q644" i="11" s="1"/>
  <c r="AJ449" i="9"/>
  <c r="AF651" i="11" s="1"/>
  <c r="BM497" i="9"/>
  <c r="BI653" i="11" s="1"/>
  <c r="BC497" i="9"/>
  <c r="AY653" i="11" s="1"/>
  <c r="W521" i="9"/>
  <c r="S654" i="11" s="1"/>
  <c r="AG257" i="9"/>
  <c r="AC643" i="11" s="1"/>
  <c r="CD645" i="9"/>
  <c r="M665" i="9"/>
  <c r="I660" i="11" s="1"/>
  <c r="DH645" i="9"/>
  <c r="AQ665" i="9"/>
  <c r="AM660" i="11" s="1"/>
  <c r="EB645" i="9"/>
  <c r="BK665" i="9"/>
  <c r="BG660" i="11" s="1"/>
  <c r="CS645" i="9"/>
  <c r="AB665" i="9"/>
  <c r="X660" i="11" s="1"/>
  <c r="EC645" i="9"/>
  <c r="BL665" i="9"/>
  <c r="BH660" i="11" s="1"/>
  <c r="DA645" i="9"/>
  <c r="AJ665" i="9"/>
  <c r="AF660" i="11" s="1"/>
  <c r="EH645" i="9"/>
  <c r="BQ665" i="9"/>
  <c r="BM660" i="11" s="1"/>
  <c r="AC665" i="9"/>
  <c r="Y660" i="11" s="1"/>
  <c r="CT645" i="9"/>
  <c r="BG497" i="9"/>
  <c r="BC653" i="11" s="1"/>
  <c r="BQ497" i="9"/>
  <c r="BM653" i="11" s="1"/>
  <c r="BD521" i="9"/>
  <c r="AZ654" i="11" s="1"/>
  <c r="CB288" i="9"/>
  <c r="BT288" i="9"/>
  <c r="L165" i="6" s="1"/>
  <c r="BU288" i="9"/>
  <c r="M165" i="6" s="1"/>
  <c r="BR257" i="9"/>
  <c r="BN643" i="11" s="1"/>
  <c r="CB510" i="9"/>
  <c r="BU510" i="9"/>
  <c r="M369" i="6" s="1"/>
  <c r="BT510" i="9"/>
  <c r="L369" i="6" s="1"/>
  <c r="CB511" i="9"/>
  <c r="BU511" i="9"/>
  <c r="M370" i="6" s="1"/>
  <c r="BT511" i="9"/>
  <c r="L370" i="6" s="1"/>
  <c r="CB268" i="9"/>
  <c r="BU268" i="9"/>
  <c r="M147" i="6" s="1"/>
  <c r="BT268" i="9"/>
  <c r="L147" i="6" s="1"/>
  <c r="G147" i="6" s="1"/>
  <c r="BU399" i="9"/>
  <c r="M268" i="6" s="1"/>
  <c r="CB535" i="9"/>
  <c r="BU535" i="9"/>
  <c r="M392" i="6" s="1"/>
  <c r="BT535" i="9"/>
  <c r="L392" i="6" s="1"/>
  <c r="CB285" i="9"/>
  <c r="BT285" i="9"/>
  <c r="K305" i="9"/>
  <c r="BU285" i="9"/>
  <c r="M162" i="6" s="1"/>
  <c r="H162" i="6" s="1"/>
  <c r="DR285" i="9"/>
  <c r="BA305" i="9"/>
  <c r="AW645" i="11" s="1"/>
  <c r="BN305" i="9"/>
  <c r="BJ645" i="11" s="1"/>
  <c r="EE285" i="9"/>
  <c r="BG305" i="9"/>
  <c r="BC645" i="11" s="1"/>
  <c r="DX285" i="9"/>
  <c r="Y305" i="9"/>
  <c r="U645" i="11" s="1"/>
  <c r="CP285" i="9"/>
  <c r="DZ285" i="9"/>
  <c r="BI305" i="9"/>
  <c r="BE645" i="11" s="1"/>
  <c r="CB503" i="9"/>
  <c r="BU503" i="9"/>
  <c r="M362" i="6" s="1"/>
  <c r="H362" i="6" s="1"/>
  <c r="BT503" i="9"/>
  <c r="L362" i="6" s="1"/>
  <c r="T641" i="9"/>
  <c r="P659" i="11" s="1"/>
  <c r="CK621" i="9"/>
  <c r="DL621" i="9"/>
  <c r="AU641" i="9"/>
  <c r="AQ659" i="11" s="1"/>
  <c r="EB621" i="9"/>
  <c r="BK641" i="9"/>
  <c r="BG659" i="11" s="1"/>
  <c r="DJ621" i="9"/>
  <c r="AS641" i="9"/>
  <c r="AO659" i="11" s="1"/>
  <c r="CO621" i="9"/>
  <c r="X641" i="9"/>
  <c r="T659" i="11" s="1"/>
  <c r="DD621" i="9"/>
  <c r="AM641" i="9"/>
  <c r="AI659" i="11" s="1"/>
  <c r="CQ621" i="9"/>
  <c r="Z641" i="9"/>
  <c r="V659" i="11" s="1"/>
  <c r="DF621" i="9"/>
  <c r="AO641" i="9"/>
  <c r="AK659" i="11" s="1"/>
  <c r="AK449" i="9"/>
  <c r="AG651" i="11" s="1"/>
  <c r="CK381" i="9"/>
  <c r="T401" i="9"/>
  <c r="P649" i="11" s="1"/>
  <c r="CV381" i="9"/>
  <c r="AE401" i="9"/>
  <c r="AA649" i="11" s="1"/>
  <c r="CW381" i="9"/>
  <c r="AF401" i="9"/>
  <c r="AB649" i="11" s="1"/>
  <c r="BE689" i="9"/>
  <c r="BA661" i="11" s="1"/>
  <c r="DV669" i="9"/>
  <c r="CV669" i="9"/>
  <c r="AE689" i="9"/>
  <c r="AA661" i="11" s="1"/>
  <c r="BM689" i="9"/>
  <c r="BI661" i="11" s="1"/>
  <c r="ED669" i="9"/>
  <c r="AN689" i="9"/>
  <c r="AJ661" i="11" s="1"/>
  <c r="DE669" i="9"/>
  <c r="U617" i="9"/>
  <c r="Q658" i="11" s="1"/>
  <c r="CB286" i="9"/>
  <c r="BU286" i="9"/>
  <c r="M163" i="6" s="1"/>
  <c r="BT286" i="9"/>
  <c r="L163" i="6" s="1"/>
  <c r="BO156" i="6"/>
  <c r="BF156" i="6"/>
  <c r="AQ156" i="6"/>
  <c r="AG156" i="6"/>
  <c r="BT156" i="6"/>
  <c r="BA156" i="6"/>
  <c r="BY156" i="6"/>
  <c r="AV156" i="6"/>
  <c r="BT295" i="6"/>
  <c r="AQ295" i="6"/>
  <c r="BF295" i="6"/>
  <c r="AG295" i="6"/>
  <c r="BA295" i="6"/>
  <c r="AV295" i="6"/>
  <c r="BY295" i="6"/>
  <c r="BO295" i="6"/>
  <c r="BO171" i="6"/>
  <c r="BT171" i="6"/>
  <c r="BY171" i="6"/>
  <c r="BA482" i="6"/>
  <c r="BY482" i="6"/>
  <c r="BT482" i="6"/>
  <c r="AV482" i="6"/>
  <c r="BO482" i="6"/>
  <c r="AQ482" i="6"/>
  <c r="AG482" i="6"/>
  <c r="BF482" i="6"/>
  <c r="BF176" i="6"/>
  <c r="BT381" i="9"/>
  <c r="L250" i="6" s="1"/>
  <c r="EM572" i="9"/>
  <c r="EM573" i="9" s="1"/>
  <c r="EM574" i="9" s="1"/>
  <c r="EM575" i="9" s="1"/>
  <c r="EM576" i="9" s="1"/>
  <c r="EM577" i="9" s="1"/>
  <c r="EM578" i="9" s="1"/>
  <c r="EM579" i="9" s="1"/>
  <c r="EM580" i="9" s="1"/>
  <c r="EM581" i="9" s="1"/>
  <c r="EM582" i="9" s="1"/>
  <c r="EM583" i="9" s="1"/>
  <c r="EM584" i="9" s="1"/>
  <c r="EM585" i="9" s="1"/>
  <c r="EM586" i="9" s="1"/>
  <c r="EM587" i="9" s="1"/>
  <c r="EM588" i="9" s="1"/>
  <c r="BT329" i="9"/>
  <c r="EK332" i="9"/>
  <c r="EK344" i="9" s="1"/>
  <c r="BT669" i="9"/>
  <c r="L514" i="6" s="1"/>
  <c r="D514" i="6" s="1"/>
  <c r="BU674" i="9"/>
  <c r="M519" i="6" s="1"/>
  <c r="H519" i="6" s="1"/>
  <c r="CB543" i="9"/>
  <c r="BU543" i="9"/>
  <c r="M400" i="6" s="1"/>
  <c r="BT543" i="9"/>
  <c r="L400" i="6" s="1"/>
  <c r="Y449" i="9"/>
  <c r="U651" i="11" s="1"/>
  <c r="BH521" i="9"/>
  <c r="BD654" i="11" s="1"/>
  <c r="CB289" i="9"/>
  <c r="BU289" i="9"/>
  <c r="M166" i="6" s="1"/>
  <c r="BT289" i="9"/>
  <c r="L166" i="6" s="1"/>
  <c r="CH285" i="9"/>
  <c r="Q305" i="9"/>
  <c r="M645" i="11" s="1"/>
  <c r="CJ285" i="9"/>
  <c r="S305" i="9"/>
  <c r="O645" i="11" s="1"/>
  <c r="DQ285" i="9"/>
  <c r="AZ305" i="9"/>
  <c r="AV645" i="11" s="1"/>
  <c r="AA305" i="9"/>
  <c r="W645" i="11" s="1"/>
  <c r="CR285" i="9"/>
  <c r="AF305" i="9"/>
  <c r="AB645" i="11" s="1"/>
  <c r="CW285" i="9"/>
  <c r="CT285" i="9"/>
  <c r="AC305" i="9"/>
  <c r="Y645" i="11" s="1"/>
  <c r="AP305" i="9"/>
  <c r="AL645" i="11" s="1"/>
  <c r="DG285" i="9"/>
  <c r="DD285" i="9"/>
  <c r="AM305" i="9"/>
  <c r="AI645" i="11" s="1"/>
  <c r="AP257" i="9"/>
  <c r="AL643" i="11" s="1"/>
  <c r="CD621" i="9"/>
  <c r="M641" i="9"/>
  <c r="I659" i="11" s="1"/>
  <c r="CM621" i="9"/>
  <c r="V641" i="9"/>
  <c r="R659" i="11" s="1"/>
  <c r="DR621" i="9"/>
  <c r="BA641" i="9"/>
  <c r="AW659" i="11" s="1"/>
  <c r="DZ621" i="9"/>
  <c r="BI641" i="9"/>
  <c r="BE659" i="11" s="1"/>
  <c r="DX621" i="9"/>
  <c r="BG641" i="9"/>
  <c r="BC659" i="11" s="1"/>
  <c r="DI621" i="9"/>
  <c r="AR641" i="9"/>
  <c r="AN659" i="11" s="1"/>
  <c r="DQ621" i="9"/>
  <c r="AZ641" i="9"/>
  <c r="AV659" i="11" s="1"/>
  <c r="EG621" i="9"/>
  <c r="BP641" i="9"/>
  <c r="BL659" i="11" s="1"/>
  <c r="CB512" i="9"/>
  <c r="BT512" i="9"/>
  <c r="L371" i="6" s="1"/>
  <c r="BU512" i="9"/>
  <c r="M371" i="6" s="1"/>
  <c r="CB295" i="9"/>
  <c r="BU295" i="9"/>
  <c r="M172" i="6" s="1"/>
  <c r="BT295" i="9"/>
  <c r="L172" i="6" s="1"/>
  <c r="AC281" i="9"/>
  <c r="Y644" i="11" s="1"/>
  <c r="AO281" i="9"/>
  <c r="AK644" i="11" s="1"/>
  <c r="CE381" i="9"/>
  <c r="N401" i="9"/>
  <c r="J649" i="11" s="1"/>
  <c r="CG381" i="9"/>
  <c r="P401" i="9"/>
  <c r="L649" i="11" s="1"/>
  <c r="BL401" i="9"/>
  <c r="BH649" i="11" s="1"/>
  <c r="EC381" i="9"/>
  <c r="CX381" i="9"/>
  <c r="AG401" i="9"/>
  <c r="AC649" i="11" s="1"/>
  <c r="DE381" i="9"/>
  <c r="AN401" i="9"/>
  <c r="AJ649" i="11" s="1"/>
  <c r="EH381" i="9"/>
  <c r="BQ401" i="9"/>
  <c r="BM649" i="11" s="1"/>
  <c r="CR381" i="9"/>
  <c r="AA401" i="9"/>
  <c r="W649" i="11" s="1"/>
  <c r="DN381" i="9"/>
  <c r="AW401" i="9"/>
  <c r="AS649" i="11" s="1"/>
  <c r="CB638" i="9"/>
  <c r="BT638" i="9"/>
  <c r="L487" i="6" s="1"/>
  <c r="BU638" i="9"/>
  <c r="M487" i="6" s="1"/>
  <c r="AB449" i="9"/>
  <c r="X651" i="11" s="1"/>
  <c r="N689" i="9"/>
  <c r="J661" i="11" s="1"/>
  <c r="CE669" i="9"/>
  <c r="DS669" i="9"/>
  <c r="BB689" i="9"/>
  <c r="AX661" i="11" s="1"/>
  <c r="AZ689" i="9"/>
  <c r="AV661" i="11" s="1"/>
  <c r="DQ669" i="9"/>
  <c r="AA689" i="9"/>
  <c r="W661" i="11" s="1"/>
  <c r="CR669" i="9"/>
  <c r="AQ689" i="9"/>
  <c r="AM661" i="11" s="1"/>
  <c r="DH669" i="9"/>
  <c r="BO689" i="9"/>
  <c r="BK661" i="11" s="1"/>
  <c r="EF669" i="9"/>
  <c r="DW669" i="9"/>
  <c r="BF689" i="9"/>
  <c r="BB661" i="11" s="1"/>
  <c r="Y281" i="9"/>
  <c r="U644" i="11" s="1"/>
  <c r="CB434" i="9"/>
  <c r="K449" i="9"/>
  <c r="BU434" i="9"/>
  <c r="M299" i="6" s="1"/>
  <c r="BT434" i="9"/>
  <c r="L299" i="6" s="1"/>
  <c r="CJ434" i="9"/>
  <c r="S449" i="9"/>
  <c r="O651" i="11" s="1"/>
  <c r="AQ120" i="6"/>
  <c r="BY120" i="6"/>
  <c r="BT120" i="6"/>
  <c r="AV120" i="6"/>
  <c r="AG120" i="6"/>
  <c r="BO120" i="6"/>
  <c r="BF120" i="6"/>
  <c r="BA120" i="6"/>
  <c r="BO141" i="6"/>
  <c r="AG141" i="6"/>
  <c r="AV141" i="6"/>
  <c r="BF141" i="6"/>
  <c r="AQ141" i="6"/>
  <c r="BT141" i="6"/>
  <c r="BY141" i="6"/>
  <c r="BA141" i="6"/>
  <c r="BT426" i="6"/>
  <c r="BF426" i="6"/>
  <c r="AV426" i="6"/>
  <c r="BA426" i="6"/>
  <c r="BY426" i="6"/>
  <c r="BO426" i="6"/>
  <c r="AQ426" i="6"/>
  <c r="AG426" i="6"/>
  <c r="BT169" i="6"/>
  <c r="BO169" i="6"/>
  <c r="BY169" i="6"/>
  <c r="BT241" i="6"/>
  <c r="BO241" i="6"/>
  <c r="BY241" i="6"/>
  <c r="BY326" i="6"/>
  <c r="BT326" i="6"/>
  <c r="BO326" i="6"/>
  <c r="BA326" i="6"/>
  <c r="AV326" i="6"/>
  <c r="AQ326" i="6"/>
  <c r="AG326" i="6"/>
  <c r="BF326" i="6"/>
  <c r="BT449" i="6"/>
  <c r="BO449" i="6"/>
  <c r="AG449" i="6"/>
  <c r="BA449" i="6"/>
  <c r="AV449" i="6"/>
  <c r="AQ449" i="6"/>
  <c r="BY449" i="6"/>
  <c r="BF449" i="6"/>
  <c r="BO180" i="6"/>
  <c r="BY180" i="6"/>
  <c r="BT180" i="6"/>
  <c r="BY238" i="6"/>
  <c r="BF238" i="6"/>
  <c r="AG238" i="6"/>
  <c r="BA238" i="6"/>
  <c r="AV238" i="6"/>
  <c r="BT238" i="6"/>
  <c r="AQ238" i="6"/>
  <c r="BO238" i="6"/>
  <c r="BT329" i="6"/>
  <c r="BY329" i="6"/>
  <c r="BO329" i="6"/>
  <c r="AG483" i="6"/>
  <c r="BA483" i="6"/>
  <c r="AQ483" i="6"/>
  <c r="BY483" i="6"/>
  <c r="BO483" i="6"/>
  <c r="BT483" i="6"/>
  <c r="AV483" i="6"/>
  <c r="BF483" i="6"/>
  <c r="BO175" i="6"/>
  <c r="BY175" i="6"/>
  <c r="BT175" i="6"/>
  <c r="BO265" i="6"/>
  <c r="BT265" i="6"/>
  <c r="BY265" i="6"/>
  <c r="BY323" i="6"/>
  <c r="AG323" i="6"/>
  <c r="BT323" i="6"/>
  <c r="BA323" i="6"/>
  <c r="BO323" i="6"/>
  <c r="AV323" i="6"/>
  <c r="AQ323" i="6"/>
  <c r="BF323" i="6"/>
  <c r="AV510" i="6"/>
  <c r="BO510" i="6"/>
  <c r="BY510" i="6"/>
  <c r="BT510" i="6"/>
  <c r="BF510" i="6"/>
  <c r="AG510" i="6"/>
  <c r="AQ510" i="6"/>
  <c r="BA510" i="6"/>
  <c r="BY173" i="6"/>
  <c r="BO173" i="6"/>
  <c r="BT173" i="6"/>
  <c r="BY235" i="6"/>
  <c r="AQ235" i="6"/>
  <c r="BT235" i="6"/>
  <c r="BO235" i="6"/>
  <c r="BF235" i="6"/>
  <c r="BA235" i="6"/>
  <c r="AV235" i="6"/>
  <c r="AG235" i="6"/>
  <c r="BO331" i="6"/>
  <c r="BY331" i="6"/>
  <c r="BT331" i="6"/>
  <c r="BT477" i="6"/>
  <c r="BY477" i="6"/>
  <c r="AG477" i="6"/>
  <c r="BO477" i="6"/>
  <c r="BA477" i="6"/>
  <c r="AV477" i="6"/>
  <c r="AQ477" i="6"/>
  <c r="BF477" i="6"/>
  <c r="BT147" i="6"/>
  <c r="BO147" i="6"/>
  <c r="BY147" i="6"/>
  <c r="BO246" i="6"/>
  <c r="AG246" i="6"/>
  <c r="BY246" i="6"/>
  <c r="BF246" i="6"/>
  <c r="AQ246" i="6"/>
  <c r="BT246" i="6"/>
  <c r="BA246" i="6"/>
  <c r="AV246" i="6"/>
  <c r="BO308" i="6"/>
  <c r="BY308" i="6"/>
  <c r="BT308" i="6"/>
  <c r="BO427" i="6"/>
  <c r="AG427" i="6"/>
  <c r="BY427" i="6"/>
  <c r="BA427" i="6"/>
  <c r="BT427" i="6"/>
  <c r="AV427" i="6"/>
  <c r="BF427" i="6"/>
  <c r="AQ427" i="6"/>
  <c r="BO136" i="6"/>
  <c r="BY136" i="6"/>
  <c r="BF136" i="6"/>
  <c r="BT136" i="6"/>
  <c r="BA136" i="6"/>
  <c r="AG136" i="6"/>
  <c r="AV136" i="6"/>
  <c r="AQ136" i="6"/>
  <c r="BY221" i="6"/>
  <c r="BT221" i="6"/>
  <c r="BO221" i="6"/>
  <c r="AG290" i="6"/>
  <c r="BF290" i="6"/>
  <c r="BO290" i="6"/>
  <c r="BA290" i="6"/>
  <c r="BY290" i="6"/>
  <c r="AV290" i="6"/>
  <c r="AQ290" i="6"/>
  <c r="BT290" i="6"/>
  <c r="BT385" i="6"/>
  <c r="BY385" i="6"/>
  <c r="AV385" i="6"/>
  <c r="BO385" i="6"/>
  <c r="AQ385" i="6"/>
  <c r="BF385" i="6"/>
  <c r="BA385" i="6"/>
  <c r="AG385" i="6"/>
  <c r="BO200" i="6"/>
  <c r="BT200" i="6"/>
  <c r="BY200" i="6"/>
  <c r="BA200" i="6"/>
  <c r="BF200" i="6"/>
  <c r="AV200" i="6"/>
  <c r="AG200" i="6"/>
  <c r="AQ200" i="6"/>
  <c r="BY261" i="6"/>
  <c r="BO261" i="6"/>
  <c r="BT261" i="6"/>
  <c r="AG354" i="6"/>
  <c r="BO354" i="6"/>
  <c r="BY354" i="6"/>
  <c r="AV354" i="6"/>
  <c r="BT354" i="6"/>
  <c r="BA354" i="6"/>
  <c r="AQ354" i="6"/>
  <c r="BF354" i="6"/>
  <c r="H467" i="6"/>
  <c r="D467" i="6"/>
  <c r="E467" i="6"/>
  <c r="G467" i="6"/>
  <c r="BY188" i="6"/>
  <c r="AQ188" i="6"/>
  <c r="BF188" i="6"/>
  <c r="AG188" i="6"/>
  <c r="BT188" i="6"/>
  <c r="BO188" i="6"/>
  <c r="AV188" i="6"/>
  <c r="BA188" i="6"/>
  <c r="BY262" i="6"/>
  <c r="BO262" i="6"/>
  <c r="BT262" i="6"/>
  <c r="BY352" i="6"/>
  <c r="AV352" i="6"/>
  <c r="AG352" i="6"/>
  <c r="AQ352" i="6"/>
  <c r="BT352" i="6"/>
  <c r="BO352" i="6"/>
  <c r="BA352" i="6"/>
  <c r="BF352" i="6"/>
  <c r="E399" i="6"/>
  <c r="H399" i="6"/>
  <c r="D399" i="6"/>
  <c r="G399" i="6"/>
  <c r="BA343" i="6"/>
  <c r="AV343" i="6"/>
  <c r="AQ343" i="6"/>
  <c r="BO343" i="6"/>
  <c r="BY343" i="6"/>
  <c r="BF343" i="6"/>
  <c r="BT343" i="6"/>
  <c r="AG343" i="6"/>
  <c r="BT419" i="6"/>
  <c r="BO419" i="6"/>
  <c r="BY419" i="6"/>
  <c r="BT495" i="6"/>
  <c r="BO495" i="6"/>
  <c r="AV495" i="6"/>
  <c r="BY495" i="6"/>
  <c r="AQ495" i="6"/>
  <c r="AG495" i="6"/>
  <c r="BA495" i="6"/>
  <c r="BF495" i="6"/>
  <c r="G203" i="6"/>
  <c r="E203" i="6"/>
  <c r="D203" i="6"/>
  <c r="H203" i="6"/>
  <c r="H355" i="6"/>
  <c r="G355" i="6"/>
  <c r="E355" i="6"/>
  <c r="D355" i="6"/>
  <c r="AV496" i="6"/>
  <c r="BF496" i="6"/>
  <c r="BO496" i="6"/>
  <c r="AQ496" i="6"/>
  <c r="AG496" i="6"/>
  <c r="BT496" i="6"/>
  <c r="BA496" i="6"/>
  <c r="BY496" i="6"/>
  <c r="G207" i="6"/>
  <c r="E207" i="6"/>
  <c r="D207" i="6"/>
  <c r="H207" i="6"/>
  <c r="E201" i="6"/>
  <c r="D201" i="6"/>
  <c r="G201" i="6"/>
  <c r="H201" i="6"/>
  <c r="G159" i="6"/>
  <c r="E159" i="6"/>
  <c r="H159" i="6"/>
  <c r="D159" i="6"/>
  <c r="H445" i="6"/>
  <c r="D445" i="6"/>
  <c r="G445" i="6"/>
  <c r="E445" i="6"/>
  <c r="BT471" i="6"/>
  <c r="BO471" i="6"/>
  <c r="AQ471" i="6"/>
  <c r="BY471" i="6"/>
  <c r="AV471" i="6"/>
  <c r="BF471" i="6"/>
  <c r="BA471" i="6"/>
  <c r="AG471" i="6"/>
  <c r="H471" i="6"/>
  <c r="D471" i="6"/>
  <c r="G471" i="6"/>
  <c r="E471" i="6"/>
  <c r="D246" i="6"/>
  <c r="E246" i="6"/>
  <c r="H246" i="6"/>
  <c r="G246" i="6"/>
  <c r="BY396" i="6"/>
  <c r="BT396" i="6"/>
  <c r="BO396" i="6"/>
  <c r="BF456" i="6"/>
  <c r="AG456" i="6"/>
  <c r="BT456" i="6"/>
  <c r="BA456" i="6"/>
  <c r="AQ456" i="6"/>
  <c r="BY456" i="6"/>
  <c r="AV456" i="6"/>
  <c r="BO456" i="6"/>
  <c r="BO526" i="6"/>
  <c r="BY526" i="6"/>
  <c r="AQ526" i="6"/>
  <c r="AG526" i="6"/>
  <c r="BA526" i="6"/>
  <c r="BT526" i="6"/>
  <c r="AV526" i="6"/>
  <c r="BF526" i="6"/>
  <c r="H269" i="6"/>
  <c r="G269" i="6"/>
  <c r="D269" i="6"/>
  <c r="E269" i="6"/>
  <c r="E136" i="6"/>
  <c r="H136" i="6"/>
  <c r="D136" i="6"/>
  <c r="G136" i="6"/>
  <c r="BO415" i="6"/>
  <c r="BY415" i="6"/>
  <c r="BT415" i="6"/>
  <c r="BF485" i="6"/>
  <c r="AQ485" i="6"/>
  <c r="BY485" i="6"/>
  <c r="BA485" i="6"/>
  <c r="BO485" i="6"/>
  <c r="AV485" i="6"/>
  <c r="AG485" i="6"/>
  <c r="BT485" i="6"/>
  <c r="H158" i="6"/>
  <c r="G158" i="6"/>
  <c r="E158" i="6"/>
  <c r="D158" i="6"/>
  <c r="H493" i="6"/>
  <c r="D493" i="6"/>
  <c r="E493" i="6"/>
  <c r="G493" i="6"/>
  <c r="H379" i="6"/>
  <c r="G379" i="6"/>
  <c r="D379" i="6"/>
  <c r="E379" i="6"/>
  <c r="BO422" i="6"/>
  <c r="AG422" i="6"/>
  <c r="BA422" i="6"/>
  <c r="BY422" i="6"/>
  <c r="BF422" i="6"/>
  <c r="AV422" i="6"/>
  <c r="BT422" i="6"/>
  <c r="AQ422" i="6"/>
  <c r="BO474" i="6"/>
  <c r="AV474" i="6"/>
  <c r="AG474" i="6"/>
  <c r="BY474" i="6"/>
  <c r="BA474" i="6"/>
  <c r="BT474" i="6"/>
  <c r="AQ474" i="6"/>
  <c r="BF474" i="6"/>
  <c r="D533" i="6"/>
  <c r="H533" i="6"/>
  <c r="G533" i="6"/>
  <c r="E533" i="6"/>
  <c r="H180" i="6"/>
  <c r="G180" i="6"/>
  <c r="D180" i="6"/>
  <c r="E180" i="6"/>
  <c r="AZ449" i="9"/>
  <c r="AV651" i="11" s="1"/>
  <c r="BP521" i="9"/>
  <c r="BL654" i="11" s="1"/>
  <c r="CD525" i="9"/>
  <c r="M545" i="9"/>
  <c r="I655" i="11" s="1"/>
  <c r="DF525" i="9"/>
  <c r="AO545" i="9"/>
  <c r="AK655" i="11" s="1"/>
  <c r="EB525" i="9"/>
  <c r="BK545" i="9"/>
  <c r="BG655" i="11" s="1"/>
  <c r="DH525" i="9"/>
  <c r="AQ545" i="9"/>
  <c r="AM655" i="11" s="1"/>
  <c r="Z545" i="9"/>
  <c r="V655" i="11" s="1"/>
  <c r="CQ525" i="9"/>
  <c r="DD525" i="9"/>
  <c r="AM545" i="9"/>
  <c r="AI655" i="11" s="1"/>
  <c r="AY545" i="9"/>
  <c r="AU655" i="11" s="1"/>
  <c r="DP525" i="9"/>
  <c r="BJ449" i="9"/>
  <c r="BF651" i="11" s="1"/>
  <c r="BP449" i="9"/>
  <c r="BL651" i="11" s="1"/>
  <c r="AX521" i="9"/>
  <c r="AT654" i="11" s="1"/>
  <c r="AU521" i="9"/>
  <c r="AQ654" i="11" s="1"/>
  <c r="BL257" i="9"/>
  <c r="BH643" i="11" s="1"/>
  <c r="CB292" i="9"/>
  <c r="BT292" i="9"/>
  <c r="L169" i="6" s="1"/>
  <c r="BU292" i="9"/>
  <c r="M169" i="6" s="1"/>
  <c r="BL281" i="9"/>
  <c r="BH644" i="11" s="1"/>
  <c r="BD617" i="9"/>
  <c r="AZ658" i="11" s="1"/>
  <c r="CG262" i="9"/>
  <c r="P281" i="9"/>
  <c r="L644" i="11" s="1"/>
  <c r="CJ502" i="9"/>
  <c r="S521" i="9"/>
  <c r="O654" i="11" s="1"/>
  <c r="BJ617" i="9"/>
  <c r="BF658" i="11" s="1"/>
  <c r="CE480" i="9"/>
  <c r="N497" i="9"/>
  <c r="J653" i="11" s="1"/>
  <c r="CF480" i="9"/>
  <c r="O497" i="9"/>
  <c r="K653" i="11" s="1"/>
  <c r="N665" i="9"/>
  <c r="J660" i="11" s="1"/>
  <c r="CE645" i="9"/>
  <c r="CN645" i="9"/>
  <c r="W665" i="9"/>
  <c r="S660" i="11" s="1"/>
  <c r="DU645" i="9"/>
  <c r="BD665" i="9"/>
  <c r="AZ660" i="11" s="1"/>
  <c r="DO645" i="9"/>
  <c r="AX665" i="9"/>
  <c r="AT660" i="11" s="1"/>
  <c r="CP645" i="9"/>
  <c r="Y665" i="9"/>
  <c r="U660" i="11" s="1"/>
  <c r="CQ645" i="9"/>
  <c r="Z665" i="9"/>
  <c r="V660" i="11" s="1"/>
  <c r="DZ645" i="9"/>
  <c r="BI665" i="9"/>
  <c r="BE660" i="11" s="1"/>
  <c r="CU645" i="9"/>
  <c r="AD665" i="9"/>
  <c r="Z660" i="11" s="1"/>
  <c r="BR521" i="9"/>
  <c r="BN654" i="11" s="1"/>
  <c r="CB530" i="9"/>
  <c r="BT530" i="9"/>
  <c r="L387" i="6" s="1"/>
  <c r="BU530" i="9"/>
  <c r="M387" i="6" s="1"/>
  <c r="BN449" i="9"/>
  <c r="BJ651" i="11" s="1"/>
  <c r="BJ257" i="9"/>
  <c r="BF643" i="11" s="1"/>
  <c r="BU504" i="9"/>
  <c r="M363" i="6" s="1"/>
  <c r="BT504" i="9"/>
  <c r="L363" i="6" s="1"/>
  <c r="CB504" i="9"/>
  <c r="CB294" i="9"/>
  <c r="BT294" i="9"/>
  <c r="L171" i="6" s="1"/>
  <c r="BU294" i="9"/>
  <c r="M171" i="6" s="1"/>
  <c r="AK281" i="9"/>
  <c r="AG644" i="11" s="1"/>
  <c r="AI281" i="9"/>
  <c r="AE644" i="11" s="1"/>
  <c r="AA617" i="9"/>
  <c r="W658" i="11" s="1"/>
  <c r="CB240" i="9"/>
  <c r="BT240" i="9"/>
  <c r="K257" i="9"/>
  <c r="BU240" i="9"/>
  <c r="M121" i="6" s="1"/>
  <c r="E121" i="6" s="1"/>
  <c r="CD240" i="9"/>
  <c r="M257" i="9"/>
  <c r="I643" i="11" s="1"/>
  <c r="AW497" i="9"/>
  <c r="AS653" i="11" s="1"/>
  <c r="AD497" i="9"/>
  <c r="Z653" i="11" s="1"/>
  <c r="AB521" i="9"/>
  <c r="X654" i="11" s="1"/>
  <c r="AM521" i="9"/>
  <c r="AI654" i="11" s="1"/>
  <c r="BE257" i="9"/>
  <c r="BA643" i="11" s="1"/>
  <c r="BR281" i="9"/>
  <c r="BN644" i="11" s="1"/>
  <c r="BF617" i="9"/>
  <c r="BB658" i="11" s="1"/>
  <c r="BP617" i="9"/>
  <c r="BL658" i="11" s="1"/>
  <c r="S257" i="9"/>
  <c r="O643" i="11" s="1"/>
  <c r="D518" i="6"/>
  <c r="G518" i="6"/>
  <c r="H518" i="6"/>
  <c r="E518" i="6"/>
  <c r="H514" i="6"/>
  <c r="E514" i="6"/>
  <c r="H448" i="6"/>
  <c r="E448" i="6"/>
  <c r="G448" i="6"/>
  <c r="D448" i="6"/>
  <c r="H404" i="6"/>
  <c r="E404" i="6"/>
  <c r="U1399" i="6"/>
  <c r="G404" i="6"/>
  <c r="D404" i="6"/>
  <c r="G274" i="6"/>
  <c r="D274" i="6"/>
  <c r="E280" i="6"/>
  <c r="H280" i="6"/>
  <c r="E288" i="6"/>
  <c r="H288" i="6"/>
  <c r="E284" i="6"/>
  <c r="H284" i="6"/>
  <c r="H281" i="6"/>
  <c r="E281" i="6"/>
  <c r="G285" i="6"/>
  <c r="D285" i="6"/>
  <c r="G284" i="6"/>
  <c r="D284" i="6"/>
  <c r="H279" i="6"/>
  <c r="E279" i="6"/>
  <c r="D286" i="6"/>
  <c r="G286" i="6"/>
  <c r="G277" i="6"/>
  <c r="D277" i="6"/>
  <c r="G280" i="6"/>
  <c r="D280" i="6"/>
  <c r="G276" i="6"/>
  <c r="D276" i="6"/>
  <c r="E285" i="6"/>
  <c r="H285" i="6"/>
  <c r="G287" i="6"/>
  <c r="D287" i="6"/>
  <c r="G288" i="6"/>
  <c r="D288" i="6"/>
  <c r="E286" i="6"/>
  <c r="H286" i="6"/>
  <c r="H283" i="6"/>
  <c r="E283" i="6"/>
  <c r="E276" i="6"/>
  <c r="H276" i="6"/>
  <c r="E278" i="6"/>
  <c r="H278" i="6"/>
  <c r="H287" i="6"/>
  <c r="E287" i="6"/>
  <c r="E277" i="6"/>
  <c r="H277" i="6"/>
  <c r="G283" i="6"/>
  <c r="D283" i="6"/>
  <c r="E275" i="6"/>
  <c r="H275" i="6"/>
  <c r="G279" i="6"/>
  <c r="D279" i="6"/>
  <c r="G282" i="6"/>
  <c r="D282" i="6"/>
  <c r="D278" i="6"/>
  <c r="G278" i="6"/>
  <c r="E274" i="6"/>
  <c r="H274" i="6"/>
  <c r="E282" i="6"/>
  <c r="H282" i="6"/>
  <c r="G275" i="6"/>
  <c r="D275" i="6"/>
  <c r="G281" i="6"/>
  <c r="D281" i="6"/>
  <c r="E272" i="6"/>
  <c r="H272" i="6"/>
  <c r="D255" i="6"/>
  <c r="G255" i="6"/>
  <c r="H255" i="6"/>
  <c r="E255" i="6"/>
  <c r="E250" i="6"/>
  <c r="BT425" i="9"/>
  <c r="L272" i="6"/>
  <c r="EK404" i="9"/>
  <c r="G425" i="9"/>
  <c r="EM404" i="9"/>
  <c r="EL404" i="9"/>
  <c r="G650" i="11"/>
  <c r="AN76" i="8"/>
  <c r="AN233" i="9"/>
  <c r="AQ233" i="9"/>
  <c r="AS233" i="9"/>
  <c r="AR233" i="9"/>
  <c r="AN642" i="11" s="1"/>
  <c r="AL233" i="9"/>
  <c r="AP233" i="9"/>
  <c r="AI233" i="9"/>
  <c r="AM233" i="9"/>
  <c r="AK233" i="9"/>
  <c r="AO233" i="9"/>
  <c r="AK642" i="11" s="1"/>
  <c r="AJ233" i="9"/>
  <c r="DK213" i="9"/>
  <c r="AT233" i="9"/>
  <c r="BJ233" i="9"/>
  <c r="EA213" i="9"/>
  <c r="EI213" i="9"/>
  <c r="BR233" i="9"/>
  <c r="DU213" i="9"/>
  <c r="BD233" i="9"/>
  <c r="DX213" i="9"/>
  <c r="BG233" i="9"/>
  <c r="BO233" i="9"/>
  <c r="EF213" i="9"/>
  <c r="DO213" i="9"/>
  <c r="AX233" i="9"/>
  <c r="AW233" i="9"/>
  <c r="DN213" i="9"/>
  <c r="DY213" i="9"/>
  <c r="BH233" i="9"/>
  <c r="DP213" i="9"/>
  <c r="AY233" i="9"/>
  <c r="BP233" i="9"/>
  <c r="EG213" i="9"/>
  <c r="DW213" i="9"/>
  <c r="BF233" i="9"/>
  <c r="DL213" i="9"/>
  <c r="AU233" i="9"/>
  <c r="DV213" i="9"/>
  <c r="BE233" i="9"/>
  <c r="EH213" i="9"/>
  <c r="BQ233" i="9"/>
  <c r="BA233" i="9"/>
  <c r="DR213" i="9"/>
  <c r="BC233" i="9"/>
  <c r="DT213" i="9"/>
  <c r="EC213" i="9"/>
  <c r="BL233" i="9"/>
  <c r="EE213" i="9"/>
  <c r="BN233" i="9"/>
  <c r="DZ213" i="9"/>
  <c r="BI233" i="9"/>
  <c r="BB233" i="9"/>
  <c r="DS213" i="9"/>
  <c r="AZ233" i="9"/>
  <c r="DQ213" i="9"/>
  <c r="DM213" i="9"/>
  <c r="AV233" i="9"/>
  <c r="EB213" i="9"/>
  <c r="BK233" i="9"/>
  <c r="ED213" i="9"/>
  <c r="BM233" i="9"/>
  <c r="BA106" i="6"/>
  <c r="AG106" i="6"/>
  <c r="AV106" i="6"/>
  <c r="BF106" i="6"/>
  <c r="AQ106" i="6"/>
  <c r="AD76" i="8"/>
  <c r="AB76" i="8"/>
  <c r="S76" i="8"/>
  <c r="P76" i="8"/>
  <c r="BY106" i="6"/>
  <c r="BT106" i="6"/>
  <c r="D115" i="6"/>
  <c r="AQ115" i="6"/>
  <c r="BF104" i="6"/>
  <c r="AV104" i="6"/>
  <c r="E97" i="6"/>
  <c r="G97" i="6"/>
  <c r="H97" i="6"/>
  <c r="S643" i="6"/>
  <c r="E114" i="6"/>
  <c r="AG113" i="6"/>
  <c r="BO104" i="6"/>
  <c r="E115" i="6"/>
  <c r="BT114" i="6"/>
  <c r="G115" i="6"/>
  <c r="BA104" i="6"/>
  <c r="BF112" i="6"/>
  <c r="AQ111" i="6"/>
  <c r="BO112" i="6"/>
  <c r="BF111" i="6"/>
  <c r="BT112" i="6"/>
  <c r="BO114" i="6"/>
  <c r="S662" i="6"/>
  <c r="AQ112" i="6"/>
  <c r="AG114" i="6"/>
  <c r="S650" i="6"/>
  <c r="AV114" i="6"/>
  <c r="AV112" i="6"/>
  <c r="AG111" i="6"/>
  <c r="AG112" i="6"/>
  <c r="BY112" i="6"/>
  <c r="H114" i="6"/>
  <c r="BF114" i="6"/>
  <c r="AV111" i="6"/>
  <c r="S661" i="6"/>
  <c r="S634" i="6"/>
  <c r="S637" i="6"/>
  <c r="G114" i="6"/>
  <c r="BF115" i="6"/>
  <c r="BT104" i="6"/>
  <c r="BA113" i="6"/>
  <c r="BY111" i="6"/>
  <c r="S655" i="6"/>
  <c r="S647" i="6"/>
  <c r="S657" i="6"/>
  <c r="S649" i="6"/>
  <c r="S654" i="6"/>
  <c r="S648" i="6"/>
  <c r="BT115" i="6"/>
  <c r="AQ104" i="6"/>
  <c r="BO113" i="6"/>
  <c r="BO111" i="6"/>
  <c r="BA114" i="6"/>
  <c r="S642" i="6"/>
  <c r="S644" i="6"/>
  <c r="S656" i="6"/>
  <c r="S646" i="6"/>
  <c r="S638" i="6"/>
  <c r="S630" i="6"/>
  <c r="BY115" i="6"/>
  <c r="BY104" i="6"/>
  <c r="AQ113" i="6"/>
  <c r="BT111" i="6"/>
  <c r="AQ114" i="6"/>
  <c r="S636" i="6"/>
  <c r="S631" i="6"/>
  <c r="S633" i="6"/>
  <c r="S645" i="6"/>
  <c r="S635" i="6"/>
  <c r="AG115" i="6"/>
  <c r="BT113" i="6"/>
  <c r="AV115" i="6"/>
  <c r="BY113" i="6"/>
  <c r="BA115" i="6"/>
  <c r="BF113" i="6"/>
  <c r="S632" i="6"/>
  <c r="R76" i="8"/>
  <c r="AL76" i="8"/>
  <c r="AA76" i="8"/>
  <c r="AC76" i="8"/>
  <c r="AM76" i="8"/>
  <c r="Q76" i="8"/>
  <c r="U51" i="6"/>
  <c r="Q39" i="8"/>
  <c r="AL39" i="8"/>
  <c r="S39" i="8"/>
  <c r="P39" i="8"/>
  <c r="AB39" i="8"/>
  <c r="AD39" i="8"/>
  <c r="AA39" i="8"/>
  <c r="AO39" i="8"/>
  <c r="AM39" i="8"/>
  <c r="AC39" i="8"/>
  <c r="AN39" i="8"/>
  <c r="U14" i="6"/>
  <c r="AW161" i="8"/>
  <c r="AX161" i="8"/>
  <c r="BT250" i="6"/>
  <c r="BO250" i="6"/>
  <c r="BY250" i="6"/>
  <c r="BO98" i="6"/>
  <c r="BY98" i="6"/>
  <c r="BT98" i="6"/>
  <c r="BY272" i="6"/>
  <c r="BT272" i="6"/>
  <c r="BO272" i="6"/>
  <c r="BT294" i="6"/>
  <c r="BO294" i="6"/>
  <c r="BY294" i="6"/>
  <c r="BY140" i="6"/>
  <c r="BT140" i="6"/>
  <c r="BO140" i="6"/>
  <c r="BY97" i="6"/>
  <c r="BT97" i="6"/>
  <c r="BO97" i="6"/>
  <c r="BY109" i="6"/>
  <c r="BT109" i="6"/>
  <c r="BO109" i="6"/>
  <c r="BT338" i="6"/>
  <c r="BO338" i="6"/>
  <c r="BY338" i="6"/>
  <c r="BT316" i="6"/>
  <c r="BO316" i="6"/>
  <c r="BY316" i="6"/>
  <c r="BO99" i="6"/>
  <c r="BY99" i="6"/>
  <c r="BT99" i="6"/>
  <c r="BY184" i="6"/>
  <c r="BT184" i="6"/>
  <c r="BO184" i="6"/>
  <c r="AG404" i="6"/>
  <c r="BT404" i="6"/>
  <c r="BO404" i="6"/>
  <c r="BY404" i="6"/>
  <c r="BY103" i="6"/>
  <c r="BT103" i="6"/>
  <c r="BO103" i="6"/>
  <c r="BO105" i="6"/>
  <c r="BY105" i="6"/>
  <c r="BT105" i="6"/>
  <c r="BY107" i="6"/>
  <c r="BT107" i="6"/>
  <c r="BO107" i="6"/>
  <c r="BY102" i="6"/>
  <c r="BT102" i="6"/>
  <c r="BO102" i="6"/>
  <c r="BY206" i="6"/>
  <c r="BT206" i="6"/>
  <c r="BO206" i="6"/>
  <c r="BY228" i="6"/>
  <c r="BT228" i="6"/>
  <c r="BO228" i="6"/>
  <c r="BY108" i="6"/>
  <c r="BT108" i="6"/>
  <c r="BO108" i="6"/>
  <c r="BT118" i="6"/>
  <c r="BO118" i="6"/>
  <c r="BY118" i="6"/>
  <c r="AQ360" i="6"/>
  <c r="BY360" i="6"/>
  <c r="BT360" i="6"/>
  <c r="BO360" i="6"/>
  <c r="BT101" i="6"/>
  <c r="BO101" i="6"/>
  <c r="BY101" i="6"/>
  <c r="BO382" i="6"/>
  <c r="BY382" i="6"/>
  <c r="BT382" i="6"/>
  <c r="BO110" i="6"/>
  <c r="BY110" i="6"/>
  <c r="BT110" i="6"/>
  <c r="BY162" i="6"/>
  <c r="BT162" i="6"/>
  <c r="BO162" i="6"/>
  <c r="BT100" i="6"/>
  <c r="BO100" i="6"/>
  <c r="BY100" i="6"/>
  <c r="AQ215" i="6"/>
  <c r="BF215" i="6"/>
  <c r="AG215" i="6"/>
  <c r="BA215" i="6"/>
  <c r="AV215" i="6"/>
  <c r="BF213" i="6"/>
  <c r="AG213" i="6"/>
  <c r="BA213" i="6"/>
  <c r="AV213" i="6"/>
  <c r="AQ213" i="6"/>
  <c r="AG212" i="6"/>
  <c r="BA212" i="6"/>
  <c r="BF212" i="6"/>
  <c r="AV212" i="6"/>
  <c r="AQ212" i="6"/>
  <c r="AQ193" i="6"/>
  <c r="BF193" i="6"/>
  <c r="AG193" i="6"/>
  <c r="BA193" i="6"/>
  <c r="AV193" i="6"/>
  <c r="AG190" i="6"/>
  <c r="BA190" i="6"/>
  <c r="BF190" i="6"/>
  <c r="AV190" i="6"/>
  <c r="AQ190" i="6"/>
  <c r="BF191" i="6"/>
  <c r="AG191" i="6"/>
  <c r="BA191" i="6"/>
  <c r="AV191" i="6"/>
  <c r="AQ191" i="6"/>
  <c r="AA34" i="8"/>
  <c r="Q34" i="8"/>
  <c r="AG168" i="6"/>
  <c r="BF168" i="6"/>
  <c r="BA168" i="6"/>
  <c r="AV168" i="6"/>
  <c r="AQ168" i="6"/>
  <c r="BF169" i="6"/>
  <c r="AG169" i="6"/>
  <c r="BA169" i="6"/>
  <c r="AV169" i="6"/>
  <c r="AQ169" i="6"/>
  <c r="AQ171" i="6"/>
  <c r="BF171" i="6"/>
  <c r="AG171" i="6"/>
  <c r="BA171" i="6"/>
  <c r="AV171" i="6"/>
  <c r="BF147" i="6"/>
  <c r="AG147" i="6"/>
  <c r="BA147" i="6"/>
  <c r="AV147" i="6"/>
  <c r="AQ147" i="6"/>
  <c r="AQ149" i="6"/>
  <c r="BF149" i="6"/>
  <c r="AG149" i="6"/>
  <c r="BA149" i="6"/>
  <c r="AV149" i="6"/>
  <c r="AG146" i="6"/>
  <c r="AQ146" i="6"/>
  <c r="AV146" i="6"/>
  <c r="BF146" i="6"/>
  <c r="BA146" i="6"/>
  <c r="AG124" i="6"/>
  <c r="BA124" i="6"/>
  <c r="BF124" i="6"/>
  <c r="AV124" i="6"/>
  <c r="AQ124" i="6"/>
  <c r="BF125" i="6"/>
  <c r="AG125" i="6"/>
  <c r="BA125" i="6"/>
  <c r="AV125" i="6"/>
  <c r="AQ125" i="6"/>
  <c r="AQ127" i="6"/>
  <c r="BF127" i="6"/>
  <c r="AG127" i="6"/>
  <c r="BA127" i="6"/>
  <c r="AV127" i="6"/>
  <c r="AQ98" i="6"/>
  <c r="BF98" i="6"/>
  <c r="AG98" i="6"/>
  <c r="BA98" i="6"/>
  <c r="AV98" i="6"/>
  <c r="AQ97" i="6"/>
  <c r="BF97" i="6"/>
  <c r="AG97" i="6"/>
  <c r="BA97" i="6"/>
  <c r="AV97" i="6"/>
  <c r="AQ105" i="6"/>
  <c r="BF105" i="6"/>
  <c r="AG105" i="6"/>
  <c r="BA105" i="6"/>
  <c r="AV105" i="6"/>
  <c r="AV99" i="6"/>
  <c r="AQ99" i="6"/>
  <c r="BF99" i="6"/>
  <c r="AG99" i="6"/>
  <c r="BA99" i="6"/>
  <c r="BF103" i="6"/>
  <c r="AG103" i="6"/>
  <c r="BA103" i="6"/>
  <c r="AV103" i="6"/>
  <c r="AQ103" i="6"/>
  <c r="AG102" i="6"/>
  <c r="BA102" i="6"/>
  <c r="AV102" i="6"/>
  <c r="AQ102" i="6"/>
  <c r="BF102" i="6"/>
  <c r="BA101" i="6"/>
  <c r="AQ101" i="6"/>
  <c r="AV101" i="6"/>
  <c r="BF101" i="6"/>
  <c r="AG101" i="6"/>
  <c r="AV100" i="6"/>
  <c r="AQ100" i="6"/>
  <c r="BF100" i="6"/>
  <c r="AG100" i="6"/>
  <c r="BA100" i="6"/>
  <c r="BZ712" i="9"/>
  <c r="AW160" i="8"/>
  <c r="AW139" i="8"/>
  <c r="AX160" i="8"/>
  <c r="AX139" i="8"/>
  <c r="AL34" i="8"/>
  <c r="AN34" i="8"/>
  <c r="R34" i="8"/>
  <c r="AM34" i="8"/>
  <c r="AO34" i="8"/>
  <c r="AC34" i="8"/>
  <c r="S34" i="8"/>
  <c r="AB34" i="8"/>
  <c r="P34" i="8"/>
  <c r="AG261" i="6"/>
  <c r="AG360" i="6"/>
  <c r="AQ305" i="6"/>
  <c r="AV305" i="6"/>
  <c r="BF360" i="6"/>
  <c r="AQ96" i="6"/>
  <c r="BF305" i="6"/>
  <c r="AV152" i="6"/>
  <c r="BF418" i="6"/>
  <c r="AV418" i="6"/>
  <c r="BA305" i="6"/>
  <c r="BA418" i="6"/>
  <c r="AG418" i="6"/>
  <c r="AQ418" i="6"/>
  <c r="AV263" i="6"/>
  <c r="BF261" i="6"/>
  <c r="AV261" i="6"/>
  <c r="BA261" i="6"/>
  <c r="BF263" i="6"/>
  <c r="BA263" i="6"/>
  <c r="AQ263" i="6"/>
  <c r="AV307" i="6"/>
  <c r="BA371" i="6"/>
  <c r="AQ420" i="6"/>
  <c r="AV316" i="6"/>
  <c r="AG415" i="6"/>
  <c r="AQ294" i="6"/>
  <c r="BA328" i="6"/>
  <c r="BA241" i="6"/>
  <c r="AG382" i="6"/>
  <c r="AG306" i="6"/>
  <c r="AG416" i="6"/>
  <c r="AQ416" i="6"/>
  <c r="AG199" i="6"/>
  <c r="BF416" i="6"/>
  <c r="AV199" i="6"/>
  <c r="AG108" i="6"/>
  <c r="AV416" i="6"/>
  <c r="BF199" i="6"/>
  <c r="BA415" i="6"/>
  <c r="AV220" i="6"/>
  <c r="AV415" i="6"/>
  <c r="BF415" i="6"/>
  <c r="AQ199" i="6"/>
  <c r="BA416" i="6"/>
  <c r="BA199" i="6"/>
  <c r="BA220" i="6"/>
  <c r="BF220" i="6"/>
  <c r="AQ220" i="6"/>
  <c r="AG220" i="6"/>
  <c r="BF398" i="6"/>
  <c r="AQ217" i="6"/>
  <c r="BF217" i="6"/>
  <c r="AG395" i="6"/>
  <c r="BA398" i="6"/>
  <c r="BA395" i="6"/>
  <c r="BA217" i="6"/>
  <c r="AQ395" i="6"/>
  <c r="AQ398" i="6"/>
  <c r="AV217" i="6"/>
  <c r="AV395" i="6"/>
  <c r="AV398" i="6"/>
  <c r="BF395" i="6"/>
  <c r="AG398" i="6"/>
  <c r="AV108" i="6"/>
  <c r="BF421" i="6"/>
  <c r="BA262" i="6"/>
  <c r="AQ140" i="6"/>
  <c r="AG181" i="6"/>
  <c r="BF240" i="6"/>
  <c r="AQ245" i="6"/>
  <c r="BA176" i="6"/>
  <c r="BA174" i="6"/>
  <c r="AV154" i="6"/>
  <c r="AV287" i="6"/>
  <c r="AG151" i="6"/>
  <c r="AV289" i="6"/>
  <c r="AG180" i="6"/>
  <c r="AG244" i="6"/>
  <c r="BA268" i="6"/>
  <c r="BA221" i="6"/>
  <c r="BF198" i="6"/>
  <c r="BF108" i="6"/>
  <c r="AQ219" i="6"/>
  <c r="AV179" i="6"/>
  <c r="BA284" i="6"/>
  <c r="BA265" i="6"/>
  <c r="AQ250" i="6"/>
  <c r="BF286" i="6"/>
  <c r="AQ173" i="6"/>
  <c r="BA175" i="6"/>
  <c r="AQ241" i="6"/>
  <c r="AV110" i="6"/>
  <c r="BA283" i="6"/>
  <c r="BF131" i="6"/>
  <c r="AV178" i="6"/>
  <c r="BA177" i="6"/>
  <c r="BF107" i="6"/>
  <c r="AQ239" i="6"/>
  <c r="AG162" i="6"/>
  <c r="AV272" i="6"/>
  <c r="BF110" i="6"/>
  <c r="BA272" i="6"/>
  <c r="AQ110" i="6"/>
  <c r="BA110" i="6"/>
  <c r="AG110" i="6"/>
  <c r="BA421" i="6"/>
  <c r="BA129" i="6"/>
  <c r="AG421" i="6"/>
  <c r="AG129" i="6"/>
  <c r="AG419" i="6"/>
  <c r="AV421" i="6"/>
  <c r="AG152" i="6"/>
  <c r="AQ108" i="6"/>
  <c r="AQ152" i="6"/>
  <c r="BF129" i="6"/>
  <c r="BA108" i="6"/>
  <c r="BA360" i="6"/>
  <c r="AQ415" i="6"/>
  <c r="BA152" i="6"/>
  <c r="AQ129" i="6"/>
  <c r="AV360" i="6"/>
  <c r="BF152" i="6"/>
  <c r="AV265" i="6"/>
  <c r="BA250" i="6"/>
  <c r="AG272" i="6"/>
  <c r="BF241" i="6"/>
  <c r="BF272" i="6"/>
  <c r="AV241" i="6"/>
  <c r="AQ272" i="6"/>
  <c r="AG241" i="6"/>
  <c r="BF245" i="6"/>
  <c r="AQ350" i="6"/>
  <c r="BA140" i="6"/>
  <c r="AG176" i="6"/>
  <c r="AQ174" i="6"/>
  <c r="AG350" i="6"/>
  <c r="BA181" i="6"/>
  <c r="AQ176" i="6"/>
  <c r="AG245" i="6"/>
  <c r="AV176" i="6"/>
  <c r="BF174" i="6"/>
  <c r="AG174" i="6"/>
  <c r="BA245" i="6"/>
  <c r="AV245" i="6"/>
  <c r="BF350" i="6"/>
  <c r="BF265" i="6"/>
  <c r="AQ372" i="6"/>
  <c r="AQ265" i="6"/>
  <c r="AG250" i="6"/>
  <c r="BF372" i="6"/>
  <c r="AV250" i="6"/>
  <c r="BA372" i="6"/>
  <c r="AG372" i="6"/>
  <c r="AG265" i="6"/>
  <c r="BF250" i="6"/>
  <c r="AV372" i="6"/>
  <c r="AG195" i="6"/>
  <c r="AQ309" i="6"/>
  <c r="AQ195" i="6"/>
  <c r="AG221" i="6"/>
  <c r="BF309" i="6"/>
  <c r="BA309" i="6"/>
  <c r="BA195" i="6"/>
  <c r="AQ221" i="6"/>
  <c r="AV309" i="6"/>
  <c r="AV195" i="6"/>
  <c r="BF221" i="6"/>
  <c r="AG309" i="6"/>
  <c r="AV221" i="6"/>
  <c r="BF195" i="6"/>
  <c r="AG240" i="6"/>
  <c r="BF181" i="6"/>
  <c r="AG140" i="6"/>
  <c r="BA240" i="6"/>
  <c r="AG264" i="6"/>
  <c r="AQ316" i="6"/>
  <c r="BF316" i="6"/>
  <c r="BF242" i="6"/>
  <c r="AQ382" i="6"/>
  <c r="AG349" i="6"/>
  <c r="AV349" i="6"/>
  <c r="BF349" i="6"/>
  <c r="AQ349" i="6"/>
  <c r="BA349" i="6"/>
  <c r="AV264" i="6"/>
  <c r="BA264" i="6"/>
  <c r="AQ264" i="6"/>
  <c r="BA404" i="6"/>
  <c r="BA130" i="6"/>
  <c r="AV140" i="6"/>
  <c r="BF420" i="6"/>
  <c r="AV151" i="6"/>
  <c r="AV162" i="6"/>
  <c r="BF306" i="6"/>
  <c r="AV218" i="6"/>
  <c r="BF109" i="6"/>
  <c r="BF371" i="6"/>
  <c r="BF419" i="6"/>
  <c r="AQ419" i="6"/>
  <c r="BA419" i="6"/>
  <c r="AV228" i="6"/>
  <c r="AV420" i="6"/>
  <c r="AV181" i="6"/>
  <c r="AV222" i="6"/>
  <c r="BA244" i="6"/>
  <c r="BA420" i="6"/>
  <c r="AQ181" i="6"/>
  <c r="AQ240" i="6"/>
  <c r="AG327" i="6"/>
  <c r="BA350" i="6"/>
  <c r="AQ109" i="6"/>
  <c r="BF140" i="6"/>
  <c r="AV177" i="6"/>
  <c r="AG262" i="6"/>
  <c r="BF308" i="6"/>
  <c r="AG420" i="6"/>
  <c r="AV350" i="6"/>
  <c r="AV240" i="6"/>
  <c r="AG394" i="6"/>
  <c r="AG218" i="6"/>
  <c r="AQ306" i="6"/>
  <c r="BF399" i="6"/>
  <c r="AQ394" i="6"/>
  <c r="AQ228" i="6"/>
  <c r="BA218" i="6"/>
  <c r="BA399" i="6"/>
  <c r="AV394" i="6"/>
  <c r="AV371" i="6"/>
  <c r="AQ218" i="6"/>
  <c r="AV306" i="6"/>
  <c r="AQ371" i="6"/>
  <c r="BA306" i="6"/>
  <c r="AV399" i="6"/>
  <c r="BA394" i="6"/>
  <c r="BF218" i="6"/>
  <c r="BF394" i="6"/>
  <c r="AG371" i="6"/>
  <c r="AG228" i="6"/>
  <c r="BF228" i="6"/>
  <c r="BA289" i="6"/>
  <c r="BA228" i="6"/>
  <c r="AV268" i="6"/>
  <c r="AG118" i="6"/>
  <c r="AG396" i="6"/>
  <c r="BA118" i="6"/>
  <c r="BF153" i="6"/>
  <c r="AQ285" i="6"/>
  <c r="AQ307" i="6"/>
  <c r="AG316" i="6"/>
  <c r="AQ393" i="6"/>
  <c r="AV382" i="6"/>
  <c r="BA316" i="6"/>
  <c r="BF382" i="6"/>
  <c r="BA382" i="6"/>
  <c r="BF268" i="6"/>
  <c r="AG393" i="6"/>
  <c r="AQ268" i="6"/>
  <c r="AG242" i="6"/>
  <c r="BF393" i="6"/>
  <c r="BA242" i="6"/>
  <c r="BF396" i="6"/>
  <c r="AV396" i="6"/>
  <c r="AG287" i="6"/>
  <c r="BF289" i="6"/>
  <c r="AQ153" i="6"/>
  <c r="BF118" i="6"/>
  <c r="AG239" i="6"/>
  <c r="AQ223" i="6"/>
  <c r="AG289" i="6"/>
  <c r="BF307" i="6"/>
  <c r="BA198" i="6"/>
  <c r="AV286" i="6"/>
  <c r="BF310" i="6"/>
  <c r="BF267" i="6"/>
  <c r="AG198" i="6"/>
  <c r="BF223" i="6"/>
  <c r="AQ267" i="6"/>
  <c r="AV175" i="6"/>
  <c r="BF206" i="6"/>
  <c r="BA184" i="6"/>
  <c r="BT96" i="6"/>
  <c r="AQ206" i="6"/>
  <c r="BO96" i="6"/>
  <c r="BF184" i="6"/>
  <c r="AQ179" i="6"/>
  <c r="BA243" i="6"/>
  <c r="AQ222" i="6"/>
  <c r="BF222" i="6"/>
  <c r="AV266" i="6"/>
  <c r="AQ417" i="6"/>
  <c r="AV244" i="6"/>
  <c r="AV338" i="6"/>
  <c r="BA107" i="6"/>
  <c r="AQ327" i="6"/>
  <c r="BA285" i="6"/>
  <c r="BF404" i="6"/>
  <c r="BA397" i="6"/>
  <c r="AQ154" i="6"/>
  <c r="AQ131" i="6"/>
  <c r="BA162" i="6"/>
  <c r="BF130" i="6"/>
  <c r="AG196" i="6"/>
  <c r="BF285" i="6"/>
  <c r="AQ224" i="6"/>
  <c r="AV239" i="6"/>
  <c r="AG178" i="6"/>
  <c r="AV294" i="6"/>
  <c r="AV397" i="6"/>
  <c r="AG153" i="6"/>
  <c r="AV198" i="6"/>
  <c r="AV131" i="6"/>
  <c r="AQ162" i="6"/>
  <c r="AQ130" i="6"/>
  <c r="AG285" i="6"/>
  <c r="AG224" i="6"/>
  <c r="BF239" i="6"/>
  <c r="AG294" i="6"/>
  <c r="AQ404" i="6"/>
  <c r="AV153" i="6"/>
  <c r="AV130" i="6"/>
  <c r="AV285" i="6"/>
  <c r="BF288" i="6"/>
  <c r="AG107" i="6"/>
  <c r="BA294" i="6"/>
  <c r="BF397" i="6"/>
  <c r="BA239" i="6"/>
  <c r="AQ288" i="6"/>
  <c r="AV107" i="6"/>
  <c r="BF294" i="6"/>
  <c r="AV404" i="6"/>
  <c r="AQ397" i="6"/>
  <c r="BA153" i="6"/>
  <c r="BF162" i="6"/>
  <c r="AG130" i="6"/>
  <c r="BF283" i="6"/>
  <c r="AQ177" i="6"/>
  <c r="AG288" i="6"/>
  <c r="AV196" i="6"/>
  <c r="AV283" i="6"/>
  <c r="AQ396" i="6"/>
  <c r="BF154" i="6"/>
  <c r="AQ198" i="6"/>
  <c r="AV118" i="6"/>
  <c r="AQ151" i="6"/>
  <c r="BA224" i="6"/>
  <c r="BA287" i="6"/>
  <c r="BF243" i="6"/>
  <c r="AQ262" i="6"/>
  <c r="AG223" i="6"/>
  <c r="AQ399" i="6"/>
  <c r="BA393" i="6"/>
  <c r="BA396" i="6"/>
  <c r="AG154" i="6"/>
  <c r="AV180" i="6"/>
  <c r="AQ118" i="6"/>
  <c r="BA151" i="6"/>
  <c r="BF224" i="6"/>
  <c r="BF287" i="6"/>
  <c r="AG243" i="6"/>
  <c r="BF262" i="6"/>
  <c r="BA222" i="6"/>
  <c r="AQ244" i="6"/>
  <c r="AV223" i="6"/>
  <c r="BF264" i="6"/>
  <c r="AV242" i="6"/>
  <c r="AQ289" i="6"/>
  <c r="AG399" i="6"/>
  <c r="AQ180" i="6"/>
  <c r="BF151" i="6"/>
  <c r="AV224" i="6"/>
  <c r="AQ287" i="6"/>
  <c r="AV243" i="6"/>
  <c r="AV262" i="6"/>
  <c r="BF244" i="6"/>
  <c r="BA223" i="6"/>
  <c r="AG268" i="6"/>
  <c r="AQ242" i="6"/>
  <c r="BA109" i="6"/>
  <c r="BA154" i="6"/>
  <c r="BF180" i="6"/>
  <c r="AQ243" i="6"/>
  <c r="AG222" i="6"/>
  <c r="BA180" i="6"/>
  <c r="BF328" i="6"/>
  <c r="AV308" i="6"/>
  <c r="AQ328" i="6"/>
  <c r="BF327" i="6"/>
  <c r="AG96" i="6"/>
  <c r="BA417" i="6"/>
  <c r="AG109" i="6"/>
  <c r="AG197" i="6"/>
  <c r="AV173" i="6"/>
  <c r="BA131" i="6"/>
  <c r="BA178" i="6"/>
  <c r="BF177" i="6"/>
  <c r="BF196" i="6"/>
  <c r="BA219" i="6"/>
  <c r="AG283" i="6"/>
  <c r="AG284" i="6"/>
  <c r="AQ266" i="6"/>
  <c r="AG267" i="6"/>
  <c r="AV219" i="6"/>
  <c r="BA308" i="6"/>
  <c r="AV328" i="6"/>
  <c r="AG307" i="6"/>
  <c r="AQ310" i="6"/>
  <c r="AV96" i="6"/>
  <c r="AG338" i="6"/>
  <c r="BF197" i="6"/>
  <c r="BA173" i="6"/>
  <c r="BF179" i="6"/>
  <c r="AG175" i="6"/>
  <c r="BF178" i="6"/>
  <c r="AQ132" i="6"/>
  <c r="AV184" i="6"/>
  <c r="AQ196" i="6"/>
  <c r="AG206" i="6"/>
  <c r="AV288" i="6"/>
  <c r="BA266" i="6"/>
  <c r="BF417" i="6"/>
  <c r="BF284" i="6"/>
  <c r="AG266" i="6"/>
  <c r="BA307" i="6"/>
  <c r="BY96" i="6"/>
  <c r="AQ338" i="6"/>
  <c r="BF175" i="6"/>
  <c r="AG328" i="6"/>
  <c r="BA310" i="6"/>
  <c r="BF338" i="6"/>
  <c r="AG417" i="6"/>
  <c r="AV109" i="6"/>
  <c r="AQ197" i="6"/>
  <c r="BF173" i="6"/>
  <c r="AG131" i="6"/>
  <c r="BA179" i="6"/>
  <c r="AQ175" i="6"/>
  <c r="AQ178" i="6"/>
  <c r="BA132" i="6"/>
  <c r="AG184" i="6"/>
  <c r="AG219" i="6"/>
  <c r="BA286" i="6"/>
  <c r="AQ284" i="6"/>
  <c r="BA288" i="6"/>
  <c r="BF266" i="6"/>
  <c r="BA267" i="6"/>
  <c r="BA197" i="6"/>
  <c r="AG179" i="6"/>
  <c r="AG132" i="6"/>
  <c r="AQ286" i="6"/>
  <c r="BA206" i="6"/>
  <c r="AG308" i="6"/>
  <c r="AV310" i="6"/>
  <c r="AV327" i="6"/>
  <c r="BF96" i="6"/>
  <c r="BA338" i="6"/>
  <c r="AV417" i="6"/>
  <c r="AV197" i="6"/>
  <c r="AG173" i="6"/>
  <c r="AG177" i="6"/>
  <c r="BF132" i="6"/>
  <c r="AQ184" i="6"/>
  <c r="BA196" i="6"/>
  <c r="BF219" i="6"/>
  <c r="AG286" i="6"/>
  <c r="AQ283" i="6"/>
  <c r="AV206" i="6"/>
  <c r="AV267" i="6"/>
  <c r="AV132" i="6"/>
  <c r="AV284" i="6"/>
  <c r="AQ107" i="6"/>
  <c r="BA96" i="6"/>
  <c r="U972" i="6"/>
  <c r="AO89" i="8"/>
  <c r="AL89" i="8"/>
  <c r="AC89" i="8"/>
  <c r="AD89" i="8"/>
  <c r="AA89" i="8"/>
  <c r="AM89" i="8"/>
  <c r="AN89" i="8"/>
  <c r="R89" i="8"/>
  <c r="AB89" i="8"/>
  <c r="S89" i="8"/>
  <c r="Q89" i="8"/>
  <c r="AO82" i="8"/>
  <c r="AM82" i="8"/>
  <c r="P82" i="8"/>
  <c r="AB82" i="8"/>
  <c r="AD82" i="8"/>
  <c r="AN82" i="8"/>
  <c r="R82" i="8"/>
  <c r="AL82" i="8"/>
  <c r="Q82" i="8"/>
  <c r="AC82" i="8"/>
  <c r="S82" i="8"/>
  <c r="AO41" i="8"/>
  <c r="AN41" i="8"/>
  <c r="P41" i="8"/>
  <c r="AM41" i="8"/>
  <c r="AC41" i="8"/>
  <c r="AB41" i="8"/>
  <c r="S41" i="8"/>
  <c r="AO44" i="8"/>
  <c r="AC44" i="8"/>
  <c r="R44" i="8"/>
  <c r="AL41" i="8"/>
  <c r="AA41" i="8"/>
  <c r="AB44" i="8"/>
  <c r="AC73" i="8"/>
  <c r="Q41" i="8"/>
  <c r="R41" i="8"/>
  <c r="AA44" i="8"/>
  <c r="AM44" i="8"/>
  <c r="AD44" i="8"/>
  <c r="R73" i="8"/>
  <c r="Q44" i="8"/>
  <c r="AC40" i="8"/>
  <c r="AM40" i="8"/>
  <c r="AL40" i="8"/>
  <c r="R40" i="8"/>
  <c r="Q40" i="8"/>
  <c r="AO40" i="8"/>
  <c r="AN40" i="8"/>
  <c r="AD40" i="8"/>
  <c r="AA40" i="8"/>
  <c r="AB40" i="8"/>
  <c r="P40" i="8"/>
  <c r="S40" i="8"/>
  <c r="P65" i="8"/>
  <c r="AD65" i="8"/>
  <c r="AN65" i="8"/>
  <c r="AA65" i="8"/>
  <c r="AC65" i="8"/>
  <c r="AB65" i="8"/>
  <c r="S65" i="8"/>
  <c r="AM65" i="8"/>
  <c r="Q65" i="8"/>
  <c r="AL65" i="8"/>
  <c r="AO65" i="8"/>
  <c r="P44" i="8"/>
  <c r="AL44" i="8"/>
  <c r="S73" i="8"/>
  <c r="R80" i="8"/>
  <c r="R92" i="8"/>
  <c r="S92" i="8"/>
  <c r="P100" i="8"/>
  <c r="AB100" i="8"/>
  <c r="AC100" i="8"/>
  <c r="AD100" i="8"/>
  <c r="AO100" i="8"/>
  <c r="AN80" i="8"/>
  <c r="AD92" i="8"/>
  <c r="Q100" i="8"/>
  <c r="AL100" i="8"/>
  <c r="AB92" i="8"/>
  <c r="AM100" i="8"/>
  <c r="AA100" i="8"/>
  <c r="AB80" i="8"/>
  <c r="AN92" i="8"/>
  <c r="P80" i="8"/>
  <c r="Q92" i="8"/>
  <c r="S100" i="8"/>
  <c r="R100" i="8"/>
  <c r="AC92" i="8"/>
  <c r="AM80" i="8"/>
  <c r="AM92" i="8"/>
  <c r="AN73" i="8"/>
  <c r="S80" i="8"/>
  <c r="Q80" i="8"/>
  <c r="AA80" i="8"/>
  <c r="AO73" i="8"/>
  <c r="AO80" i="8"/>
  <c r="AD77" i="8"/>
  <c r="P73" i="8"/>
  <c r="S44" i="8"/>
  <c r="AD80" i="8"/>
  <c r="AL80" i="8"/>
  <c r="AL73" i="8"/>
  <c r="AM73" i="8"/>
  <c r="AA73" i="8"/>
  <c r="AA87" i="8"/>
  <c r="AA92" i="8"/>
  <c r="S87" i="8"/>
  <c r="AO92" i="8"/>
  <c r="AL92" i="8"/>
  <c r="AO87" i="8"/>
  <c r="AD73" i="8"/>
  <c r="Q73" i="8"/>
  <c r="Q87" i="8"/>
  <c r="AM106" i="8"/>
  <c r="AA114" i="8"/>
  <c r="AD58" i="8"/>
  <c r="AM52" i="8"/>
  <c r="AC81" i="8"/>
  <c r="AB81" i="8"/>
  <c r="P81" i="8"/>
  <c r="AC58" i="8"/>
  <c r="AM81" i="8"/>
  <c r="AB107" i="8"/>
  <c r="AN104" i="8"/>
  <c r="S81" i="8"/>
  <c r="AO111" i="8"/>
  <c r="AA111" i="8"/>
  <c r="R111" i="8"/>
  <c r="S104" i="8"/>
  <c r="AL57" i="8"/>
  <c r="AL58" i="8"/>
  <c r="AN58" i="8"/>
  <c r="S58" i="8"/>
  <c r="AC111" i="8"/>
  <c r="AM111" i="8"/>
  <c r="AB111" i="8"/>
  <c r="AD79" i="8"/>
  <c r="AB79" i="8"/>
  <c r="Q111" i="8"/>
  <c r="AD111" i="8"/>
  <c r="AL111" i="8"/>
  <c r="P111" i="8"/>
  <c r="S111" i="8"/>
  <c r="AL104" i="8"/>
  <c r="AO106" i="8"/>
  <c r="P106" i="8"/>
  <c r="AD104" i="8"/>
  <c r="AN81" i="8"/>
  <c r="AO58" i="8"/>
  <c r="R58" i="8"/>
  <c r="AB106" i="8"/>
  <c r="P104" i="8"/>
  <c r="Q81" i="8"/>
  <c r="AD81" i="8"/>
  <c r="AM58" i="8"/>
  <c r="AB58" i="8"/>
  <c r="AN106" i="8"/>
  <c r="R106" i="8"/>
  <c r="S106" i="8"/>
  <c r="AB104" i="8"/>
  <c r="AM104" i="8"/>
  <c r="AB110" i="8"/>
  <c r="AL81" i="8"/>
  <c r="R81" i="8"/>
  <c r="AO104" i="8"/>
  <c r="AA81" i="8"/>
  <c r="Q104" i="8"/>
  <c r="Q58" i="8"/>
  <c r="P58" i="8"/>
  <c r="AC104" i="8"/>
  <c r="R104" i="8"/>
  <c r="P94" i="8"/>
  <c r="AN94" i="8"/>
  <c r="AA36" i="8"/>
  <c r="AC94" i="8"/>
  <c r="AN77" i="8"/>
  <c r="AN57" i="8"/>
  <c r="Q57" i="8"/>
  <c r="AA77" i="8"/>
  <c r="AC57" i="8"/>
  <c r="AM77" i="8"/>
  <c r="Q77" i="8"/>
  <c r="AO77" i="8"/>
  <c r="AN71" i="8"/>
  <c r="R77" i="8"/>
  <c r="S77" i="8"/>
  <c r="AC77" i="8"/>
  <c r="P77" i="8"/>
  <c r="AA57" i="8"/>
  <c r="AL77" i="8"/>
  <c r="AD61" i="8"/>
  <c r="R36" i="8"/>
  <c r="Q72" i="8"/>
  <c r="AM72" i="8"/>
  <c r="AA72" i="8"/>
  <c r="AA94" i="8"/>
  <c r="AL72" i="8"/>
  <c r="AD36" i="8"/>
  <c r="AB36" i="8"/>
  <c r="AN72" i="8"/>
  <c r="AM94" i="8"/>
  <c r="AB72" i="8"/>
  <c r="S36" i="8"/>
  <c r="AO36" i="8"/>
  <c r="AC72" i="8"/>
  <c r="S94" i="8"/>
  <c r="AD94" i="8"/>
  <c r="AC36" i="8"/>
  <c r="AL36" i="8"/>
  <c r="S72" i="8"/>
  <c r="AL94" i="8"/>
  <c r="AM36" i="8"/>
  <c r="Q36" i="8"/>
  <c r="P72" i="8"/>
  <c r="AO94" i="8"/>
  <c r="R94" i="8"/>
  <c r="P36" i="8"/>
  <c r="R72" i="8"/>
  <c r="AB94" i="8"/>
  <c r="AO72" i="8"/>
  <c r="AB61" i="8"/>
  <c r="AC96" i="8"/>
  <c r="AM96" i="8"/>
  <c r="S96" i="8"/>
  <c r="S105" i="8"/>
  <c r="R105" i="8"/>
  <c r="AL61" i="8"/>
  <c r="P61" i="8"/>
  <c r="R61" i="8"/>
  <c r="AA61" i="8"/>
  <c r="AO61" i="8"/>
  <c r="S61" i="8"/>
  <c r="AC61" i="8"/>
  <c r="AN61" i="8"/>
  <c r="Q61" i="8"/>
  <c r="AM110" i="8"/>
  <c r="AD110" i="8"/>
  <c r="AN108" i="8"/>
  <c r="AA110" i="8"/>
  <c r="P110" i="8"/>
  <c r="R110" i="8"/>
  <c r="AC52" i="8"/>
  <c r="P52" i="8"/>
  <c r="AD52" i="8"/>
  <c r="Q52" i="8"/>
  <c r="AL52" i="8"/>
  <c r="AD87" i="8"/>
  <c r="AA55" i="8"/>
  <c r="AL46" i="8"/>
  <c r="R52" i="8"/>
  <c r="R55" i="8"/>
  <c r="P55" i="8"/>
  <c r="S55" i="8"/>
  <c r="AM55" i="8"/>
  <c r="AL55" i="8"/>
  <c r="AA52" i="8"/>
  <c r="AC87" i="8"/>
  <c r="AN55" i="8"/>
  <c r="AC55" i="8"/>
  <c r="AB52" i="8"/>
  <c r="Q55" i="8"/>
  <c r="S52" i="8"/>
  <c r="AO52" i="8"/>
  <c r="P87" i="8"/>
  <c r="AA71" i="8"/>
  <c r="AB71" i="8"/>
  <c r="AM71" i="8"/>
  <c r="S71" i="8"/>
  <c r="AA93" i="8"/>
  <c r="Q71" i="8"/>
  <c r="AC71" i="8"/>
  <c r="AL93" i="8"/>
  <c r="AO71" i="8"/>
  <c r="AD71" i="8"/>
  <c r="AM93" i="8"/>
  <c r="AL71" i="8"/>
  <c r="P71" i="8"/>
  <c r="AB93" i="8"/>
  <c r="R93" i="8"/>
  <c r="R87" i="8"/>
  <c r="AB87" i="8"/>
  <c r="AM87" i="8"/>
  <c r="AL87" i="8"/>
  <c r="R108" i="8"/>
  <c r="AB55" i="8"/>
  <c r="AD55" i="8"/>
  <c r="AM57" i="8"/>
  <c r="AB112" i="8"/>
  <c r="AB57" i="8"/>
  <c r="R57" i="8"/>
  <c r="AA79" i="8"/>
  <c r="AO78" i="8"/>
  <c r="AL79" i="8"/>
  <c r="S79" i="8"/>
  <c r="R79" i="8"/>
  <c r="AO79" i="8"/>
  <c r="AL78" i="8"/>
  <c r="S57" i="8"/>
  <c r="AO57" i="8"/>
  <c r="P57" i="8"/>
  <c r="AM78" i="8"/>
  <c r="AC78" i="8"/>
  <c r="AB84" i="8"/>
  <c r="R78" i="8"/>
  <c r="AA85" i="8"/>
  <c r="Q85" i="8"/>
  <c r="AD112" i="8"/>
  <c r="AB42" i="8"/>
  <c r="P84" i="8"/>
  <c r="AO84" i="8"/>
  <c r="AN78" i="8"/>
  <c r="P78" i="8"/>
  <c r="AD78" i="8"/>
  <c r="AM84" i="8"/>
  <c r="R84" i="8"/>
  <c r="R112" i="8"/>
  <c r="AB78" i="8"/>
  <c r="AA84" i="8"/>
  <c r="AA78" i="8"/>
  <c r="Q78" i="8"/>
  <c r="Q112" i="8"/>
  <c r="AA109" i="8"/>
  <c r="AN42" i="8"/>
  <c r="AL42" i="8"/>
  <c r="P42" i="8"/>
  <c r="R38" i="8"/>
  <c r="R46" i="8"/>
  <c r="S46" i="8"/>
  <c r="AB108" i="8"/>
  <c r="S38" i="8"/>
  <c r="AD38" i="8"/>
  <c r="AC46" i="8"/>
  <c r="AA46" i="8"/>
  <c r="AD108" i="8"/>
  <c r="Q46" i="8"/>
  <c r="AM108" i="8"/>
  <c r="AD46" i="8"/>
  <c r="AB46" i="8"/>
  <c r="AA108" i="8"/>
  <c r="P38" i="8"/>
  <c r="AM46" i="8"/>
  <c r="AL108" i="8"/>
  <c r="AL38" i="8"/>
  <c r="AM38" i="8"/>
  <c r="P46" i="8"/>
  <c r="AC108" i="8"/>
  <c r="Q108" i="8"/>
  <c r="S108" i="8"/>
  <c r="AO108" i="8"/>
  <c r="AO46" i="8"/>
  <c r="AC113" i="8"/>
  <c r="Q113" i="8"/>
  <c r="Q79" i="8"/>
  <c r="AA86" i="8"/>
  <c r="AC86" i="8"/>
  <c r="AB113" i="8"/>
  <c r="Q75" i="8"/>
  <c r="AC110" i="8"/>
  <c r="S86" i="8"/>
  <c r="AN93" i="8"/>
  <c r="AC93" i="8"/>
  <c r="AL110" i="8"/>
  <c r="AN67" i="8"/>
  <c r="AL75" i="8"/>
  <c r="AN110" i="8"/>
  <c r="S110" i="8"/>
  <c r="AO35" i="8"/>
  <c r="Q110" i="8"/>
  <c r="R35" i="8"/>
  <c r="AC43" i="8"/>
  <c r="AC67" i="8"/>
  <c r="P93" i="8"/>
  <c r="AA96" i="8"/>
  <c r="Q96" i="8"/>
  <c r="AN105" i="8"/>
  <c r="AB105" i="8"/>
  <c r="AM109" i="8"/>
  <c r="AB109" i="8"/>
  <c r="AO96" i="8"/>
  <c r="AN96" i="8"/>
  <c r="AA105" i="8"/>
  <c r="P105" i="8"/>
  <c r="AB96" i="8"/>
  <c r="AM105" i="8"/>
  <c r="AL105" i="8"/>
  <c r="AN37" i="8"/>
  <c r="P96" i="8"/>
  <c r="Q105" i="8"/>
  <c r="AD105" i="8"/>
  <c r="AA68" i="8"/>
  <c r="Q109" i="8"/>
  <c r="AL96" i="8"/>
  <c r="AM68" i="8"/>
  <c r="AL68" i="8"/>
  <c r="R96" i="8"/>
  <c r="AO105" i="8"/>
  <c r="AD68" i="8"/>
  <c r="AD96" i="8"/>
  <c r="AC105" i="8"/>
  <c r="AB68" i="8"/>
  <c r="S114" i="8"/>
  <c r="P109" i="8"/>
  <c r="S109" i="8"/>
  <c r="AL107" i="8"/>
  <c r="AL114" i="8"/>
  <c r="P114" i="8"/>
  <c r="AM107" i="8"/>
  <c r="R107" i="8"/>
  <c r="AB37" i="8"/>
  <c r="AB114" i="8"/>
  <c r="AN114" i="8"/>
  <c r="Q107" i="8"/>
  <c r="AC107" i="8"/>
  <c r="AO109" i="8"/>
  <c r="S37" i="8"/>
  <c r="AL37" i="8"/>
  <c r="S107" i="8"/>
  <c r="AC37" i="8"/>
  <c r="AC114" i="8"/>
  <c r="AD114" i="8"/>
  <c r="AM114" i="8"/>
  <c r="AA107" i="8"/>
  <c r="Q114" i="8"/>
  <c r="AN107" i="8"/>
  <c r="AC109" i="8"/>
  <c r="AA37" i="8"/>
  <c r="R114" i="8"/>
  <c r="AO107" i="8"/>
  <c r="AD107" i="8"/>
  <c r="AD109" i="8"/>
  <c r="AL109" i="8"/>
  <c r="Q37" i="8"/>
  <c r="AA67" i="8"/>
  <c r="AA113" i="8"/>
  <c r="AN113" i="8"/>
  <c r="Q93" i="8"/>
  <c r="S93" i="8"/>
  <c r="AM113" i="8"/>
  <c r="AO93" i="8"/>
  <c r="AO67" i="8"/>
  <c r="AN79" i="8"/>
  <c r="Q106" i="8"/>
  <c r="R113" i="8"/>
  <c r="S113" i="8"/>
  <c r="Q67" i="8"/>
  <c r="R67" i="8"/>
  <c r="AD113" i="8"/>
  <c r="AA106" i="8"/>
  <c r="AM79" i="8"/>
  <c r="S67" i="8"/>
  <c r="P79" i="8"/>
  <c r="AB67" i="8"/>
  <c r="AO113" i="8"/>
  <c r="AL113" i="8"/>
  <c r="AM75" i="8"/>
  <c r="AN45" i="8"/>
  <c r="Q45" i="8"/>
  <c r="AC75" i="8"/>
  <c r="AB35" i="8"/>
  <c r="S43" i="8"/>
  <c r="AL85" i="8"/>
  <c r="AO85" i="8"/>
  <c r="Q42" i="8"/>
  <c r="AL45" i="8"/>
  <c r="AL106" i="8"/>
  <c r="AD106" i="8"/>
  <c r="AA35" i="8"/>
  <c r="R75" i="8"/>
  <c r="AL35" i="8"/>
  <c r="AM43" i="8"/>
  <c r="P43" i="8"/>
  <c r="AD43" i="8"/>
  <c r="AN85" i="8"/>
  <c r="AM112" i="8"/>
  <c r="Q86" i="8"/>
  <c r="S85" i="8"/>
  <c r="AA112" i="8"/>
  <c r="AM85" i="8"/>
  <c r="AO42" i="8"/>
  <c r="S42" i="8"/>
  <c r="P45" i="8"/>
  <c r="AD45" i="8"/>
  <c r="AN109" i="8"/>
  <c r="AC35" i="8"/>
  <c r="AL43" i="8"/>
  <c r="AA43" i="8"/>
  <c r="AN112" i="8"/>
  <c r="AO86" i="8"/>
  <c r="R86" i="8"/>
  <c r="S112" i="8"/>
  <c r="AL86" i="8"/>
  <c r="AC112" i="8"/>
  <c r="AB85" i="8"/>
  <c r="R45" i="8"/>
  <c r="AD42" i="8"/>
  <c r="AN38" i="8"/>
  <c r="AA38" i="8"/>
  <c r="Q38" i="8"/>
  <c r="AO38" i="8"/>
  <c r="AC38" i="8"/>
  <c r="AA45" i="8"/>
  <c r="AB75" i="8"/>
  <c r="AN43" i="8"/>
  <c r="P75" i="8"/>
  <c r="AD75" i="8"/>
  <c r="P35" i="8"/>
  <c r="AC84" i="8"/>
  <c r="R43" i="8"/>
  <c r="AN84" i="8"/>
  <c r="AD86" i="8"/>
  <c r="AL112" i="8"/>
  <c r="P85" i="8"/>
  <c r="AA42" i="8"/>
  <c r="AC42" i="8"/>
  <c r="Q35" i="8"/>
  <c r="AN35" i="8"/>
  <c r="AD35" i="8"/>
  <c r="AB43" i="8"/>
  <c r="AD84" i="8"/>
  <c r="AC85" i="8"/>
  <c r="AM45" i="8"/>
  <c r="S45" i="8"/>
  <c r="P37" i="8"/>
  <c r="AA75" i="8"/>
  <c r="S75" i="8"/>
  <c r="AN75" i="8"/>
  <c r="S35" i="8"/>
  <c r="AO43" i="8"/>
  <c r="Q84" i="8"/>
  <c r="AL84" i="8"/>
  <c r="AN86" i="8"/>
  <c r="AD85" i="8"/>
  <c r="P86" i="8"/>
  <c r="AO112" i="8"/>
  <c r="AM86" i="8"/>
  <c r="AC45" i="8"/>
  <c r="AM42" i="8"/>
  <c r="AB45" i="8"/>
  <c r="AM67" i="8"/>
  <c r="AO37" i="8"/>
  <c r="P67" i="8"/>
  <c r="AD67" i="8"/>
  <c r="AD37" i="8"/>
  <c r="AM37" i="8"/>
  <c r="S68" i="8"/>
  <c r="AC68" i="8"/>
  <c r="AO68" i="8"/>
  <c r="Q68" i="8"/>
  <c r="P68" i="8"/>
  <c r="R68" i="8"/>
  <c r="AD50" i="8"/>
  <c r="AM50" i="8"/>
  <c r="AA101" i="8"/>
  <c r="R101" i="8"/>
  <c r="AD101" i="8"/>
  <c r="AC50" i="8"/>
  <c r="R50" i="8"/>
  <c r="Q50" i="8"/>
  <c r="AO50" i="8"/>
  <c r="AA50" i="8"/>
  <c r="AL50" i="8"/>
  <c r="AB50" i="8"/>
  <c r="AN50" i="8"/>
  <c r="S50" i="8"/>
  <c r="AD83" i="8"/>
  <c r="AO101" i="8"/>
  <c r="AN101" i="8"/>
  <c r="AC101" i="8"/>
  <c r="R83" i="8"/>
  <c r="Q101" i="8"/>
  <c r="S101" i="8"/>
  <c r="AB101" i="8"/>
  <c r="P101" i="8"/>
  <c r="AL83" i="8"/>
  <c r="AB83" i="8"/>
  <c r="P83" i="8"/>
  <c r="AC83" i="8"/>
  <c r="AM101" i="8"/>
  <c r="AA83" i="8"/>
  <c r="AM83" i="8"/>
  <c r="AO83" i="8"/>
  <c r="AN83" i="8"/>
  <c r="S83" i="8"/>
  <c r="AN56" i="8"/>
  <c r="AA56" i="8"/>
  <c r="R56" i="8"/>
  <c r="AO56" i="8"/>
  <c r="Q56" i="8"/>
  <c r="P56" i="8"/>
  <c r="AL56" i="8"/>
  <c r="AD56" i="8"/>
  <c r="AM56" i="8"/>
  <c r="S56" i="8"/>
  <c r="AC56" i="8"/>
  <c r="AB56" i="8"/>
  <c r="AL48" i="8"/>
  <c r="AC48" i="8"/>
  <c r="AN48" i="8"/>
  <c r="Q48" i="8"/>
  <c r="R48" i="8"/>
  <c r="AA48" i="8"/>
  <c r="AD48" i="8"/>
  <c r="P48" i="8"/>
  <c r="AM48" i="8"/>
  <c r="AO48" i="8"/>
  <c r="AB48" i="8"/>
  <c r="S48" i="8"/>
  <c r="AL60" i="8"/>
  <c r="R60" i="8"/>
  <c r="AB60" i="8"/>
  <c r="AC60" i="8"/>
  <c r="S60" i="8"/>
  <c r="AO60" i="8"/>
  <c r="Q60" i="8"/>
  <c r="AN60" i="8"/>
  <c r="AA60" i="8"/>
  <c r="P60" i="8"/>
  <c r="AD60" i="8"/>
  <c r="AM60" i="8"/>
  <c r="AA64" i="8"/>
  <c r="AN64" i="8"/>
  <c r="Q64" i="8"/>
  <c r="AO64" i="8"/>
  <c r="AD64" i="8"/>
  <c r="S64" i="8"/>
  <c r="AC64" i="8"/>
  <c r="AM64" i="8"/>
  <c r="R64" i="8"/>
  <c r="AL64" i="8"/>
  <c r="AB64" i="8"/>
  <c r="P64" i="8"/>
  <c r="AB95" i="8"/>
  <c r="R95" i="8"/>
  <c r="AO95" i="8"/>
  <c r="AC95" i="8"/>
  <c r="AA95" i="8"/>
  <c r="AD95" i="8"/>
  <c r="AN95" i="8"/>
  <c r="P95" i="8"/>
  <c r="AL95" i="8"/>
  <c r="S95" i="8"/>
  <c r="Q95" i="8"/>
  <c r="AM95" i="8"/>
  <c r="AD66" i="8"/>
  <c r="S66" i="8"/>
  <c r="AC66" i="8"/>
  <c r="Q66" i="8"/>
  <c r="AN66" i="8"/>
  <c r="P66" i="8"/>
  <c r="R66" i="8"/>
  <c r="AB66" i="8"/>
  <c r="AM66" i="8"/>
  <c r="AO66" i="8"/>
  <c r="AA66" i="8"/>
  <c r="AL66" i="8"/>
  <c r="AM63" i="8"/>
  <c r="AC63" i="8"/>
  <c r="AL63" i="8"/>
  <c r="Q63" i="8"/>
  <c r="AB63" i="8"/>
  <c r="AO63" i="8"/>
  <c r="AA63" i="8"/>
  <c r="P63" i="8"/>
  <c r="AD63" i="8"/>
  <c r="AN63" i="8"/>
  <c r="S63" i="8"/>
  <c r="R63" i="8"/>
  <c r="AN47" i="8"/>
  <c r="S47" i="8"/>
  <c r="AM47" i="8"/>
  <c r="AL47" i="8"/>
  <c r="Q47" i="8"/>
  <c r="AO47" i="8"/>
  <c r="AA47" i="8"/>
  <c r="R47" i="8"/>
  <c r="P47" i="8"/>
  <c r="AB47" i="8"/>
  <c r="AD47" i="8"/>
  <c r="AC47" i="8"/>
  <c r="AN88" i="8"/>
  <c r="AB88" i="8"/>
  <c r="R88" i="8"/>
  <c r="P88" i="8"/>
  <c r="AA88" i="8"/>
  <c r="AD88" i="8"/>
  <c r="AO88" i="8"/>
  <c r="Q88" i="8"/>
  <c r="AM88" i="8"/>
  <c r="AC88" i="8"/>
  <c r="AL88" i="8"/>
  <c r="S88" i="8"/>
  <c r="Q49" i="8"/>
  <c r="AD49" i="8"/>
  <c r="S49" i="8"/>
  <c r="AA49" i="8"/>
  <c r="AM49" i="8"/>
  <c r="R49" i="8"/>
  <c r="AN49" i="8"/>
  <c r="AL49" i="8"/>
  <c r="AO49" i="8"/>
  <c r="P49" i="8"/>
  <c r="AB49" i="8"/>
  <c r="AC49" i="8"/>
  <c r="P74" i="8"/>
  <c r="AD74" i="8"/>
  <c r="AO74" i="8"/>
  <c r="S74" i="8"/>
  <c r="R74" i="8"/>
  <c r="AM74" i="8"/>
  <c r="Q74" i="8"/>
  <c r="AL74" i="8"/>
  <c r="AN74" i="8"/>
  <c r="AA74" i="8"/>
  <c r="AB74" i="8"/>
  <c r="AC74" i="8"/>
  <c r="AO90" i="8"/>
  <c r="AD90" i="8"/>
  <c r="AB90" i="8"/>
  <c r="AC90" i="8"/>
  <c r="AM90" i="8"/>
  <c r="R90" i="8"/>
  <c r="P90" i="8"/>
  <c r="AL90" i="8"/>
  <c r="AA90" i="8"/>
  <c r="Q90" i="8"/>
  <c r="S90" i="8"/>
  <c r="AN90" i="8"/>
  <c r="AM99" i="8"/>
  <c r="R99" i="8"/>
  <c r="P99" i="8"/>
  <c r="AA99" i="8"/>
  <c r="AL99" i="8"/>
  <c r="AO99" i="8"/>
  <c r="AC99" i="8"/>
  <c r="S99" i="8"/>
  <c r="Q99" i="8"/>
  <c r="AD99" i="8"/>
  <c r="AN99" i="8"/>
  <c r="AB99" i="8"/>
  <c r="AA98" i="8"/>
  <c r="AC98" i="8"/>
  <c r="AL98" i="8"/>
  <c r="AN98" i="8"/>
  <c r="Q98" i="8"/>
  <c r="AD98" i="8"/>
  <c r="P98" i="8"/>
  <c r="AO98" i="8"/>
  <c r="AB98" i="8"/>
  <c r="S98" i="8"/>
  <c r="AM98" i="8"/>
  <c r="R98" i="8"/>
  <c r="AD62" i="8"/>
  <c r="AC62" i="8"/>
  <c r="AA62" i="8"/>
  <c r="Q62" i="8"/>
  <c r="S62" i="8"/>
  <c r="AM62" i="8"/>
  <c r="AO62" i="8"/>
  <c r="P62" i="8"/>
  <c r="R62" i="8"/>
  <c r="AL62" i="8"/>
  <c r="AN62" i="8"/>
  <c r="AB62" i="8"/>
  <c r="Q91" i="8"/>
  <c r="AM91" i="8"/>
  <c r="AA91" i="8"/>
  <c r="AL91" i="8"/>
  <c r="AB91" i="8"/>
  <c r="S91" i="8"/>
  <c r="AO91" i="8"/>
  <c r="AD91" i="8"/>
  <c r="R91" i="8"/>
  <c r="AC91" i="8"/>
  <c r="AN91" i="8"/>
  <c r="P91" i="8"/>
  <c r="AL54" i="8"/>
  <c r="P54" i="8"/>
  <c r="AD54" i="8"/>
  <c r="AB54" i="8"/>
  <c r="AA54" i="8"/>
  <c r="S54" i="8"/>
  <c r="R54" i="8"/>
  <c r="AO54" i="8"/>
  <c r="AN54" i="8"/>
  <c r="Q54" i="8"/>
  <c r="AC54" i="8"/>
  <c r="AM54" i="8"/>
  <c r="E234" i="6" l="1"/>
  <c r="D234" i="6"/>
  <c r="D501" i="6"/>
  <c r="D152" i="6"/>
  <c r="H233" i="6"/>
  <c r="H236" i="6"/>
  <c r="G459" i="6"/>
  <c r="E150" i="6"/>
  <c r="E239" i="6"/>
  <c r="H472" i="6"/>
  <c r="D454" i="6"/>
  <c r="H473" i="6"/>
  <c r="D150" i="6"/>
  <c r="E132" i="6"/>
  <c r="H353" i="6"/>
  <c r="G239" i="6"/>
  <c r="H125" i="6"/>
  <c r="D233" i="6"/>
  <c r="D349" i="6"/>
  <c r="D235" i="6"/>
  <c r="D236" i="6"/>
  <c r="E496" i="6"/>
  <c r="H152" i="6"/>
  <c r="E122" i="6"/>
  <c r="D122" i="6"/>
  <c r="G364" i="6"/>
  <c r="D364" i="6"/>
  <c r="G496" i="6"/>
  <c r="D496" i="6"/>
  <c r="G132" i="6"/>
  <c r="D132" i="6"/>
  <c r="D503" i="6"/>
  <c r="G503" i="6"/>
  <c r="E232" i="6"/>
  <c r="D144" i="6"/>
  <c r="E364" i="6"/>
  <c r="H349" i="6"/>
  <c r="H501" i="6"/>
  <c r="D134" i="6"/>
  <c r="E508" i="6"/>
  <c r="G232" i="6"/>
  <c r="D461" i="6"/>
  <c r="G461" i="6"/>
  <c r="H461" i="6"/>
  <c r="E461" i="6"/>
  <c r="D463" i="6"/>
  <c r="G463" i="6"/>
  <c r="H463" i="6"/>
  <c r="E463" i="6"/>
  <c r="G458" i="6"/>
  <c r="D458" i="6"/>
  <c r="H458" i="6"/>
  <c r="E458" i="6"/>
  <c r="D472" i="6"/>
  <c r="G472" i="6"/>
  <c r="G411" i="6"/>
  <c r="D411" i="6"/>
  <c r="H459" i="6"/>
  <c r="E459" i="6"/>
  <c r="G266" i="6"/>
  <c r="D266" i="6"/>
  <c r="E266" i="6"/>
  <c r="H266" i="6"/>
  <c r="H413" i="6"/>
  <c r="E413" i="6"/>
  <c r="G413" i="6"/>
  <c r="D413" i="6"/>
  <c r="H450" i="6"/>
  <c r="E450" i="6"/>
  <c r="H410" i="6"/>
  <c r="E410" i="6"/>
  <c r="D410" i="6"/>
  <c r="G410" i="6"/>
  <c r="H412" i="6"/>
  <c r="E412" i="6"/>
  <c r="H416" i="6"/>
  <c r="E416" i="6"/>
  <c r="E348" i="6"/>
  <c r="H348" i="6"/>
  <c r="D146" i="6"/>
  <c r="G146" i="6"/>
  <c r="E351" i="6"/>
  <c r="H351" i="6"/>
  <c r="H354" i="6"/>
  <c r="E354" i="6"/>
  <c r="E127" i="6"/>
  <c r="H127" i="6"/>
  <c r="H376" i="6"/>
  <c r="E376" i="6"/>
  <c r="H129" i="6"/>
  <c r="E129" i="6"/>
  <c r="H142" i="6"/>
  <c r="E142" i="6"/>
  <c r="E453" i="6"/>
  <c r="H453" i="6"/>
  <c r="G416" i="6"/>
  <c r="D416" i="6"/>
  <c r="D451" i="6"/>
  <c r="G451" i="6"/>
  <c r="E451" i="6"/>
  <c r="H451" i="6"/>
  <c r="D415" i="6"/>
  <c r="G415" i="6"/>
  <c r="H415" i="6"/>
  <c r="E415" i="6"/>
  <c r="G450" i="6"/>
  <c r="D450" i="6"/>
  <c r="H261" i="6"/>
  <c r="E261" i="6"/>
  <c r="H457" i="6"/>
  <c r="E457" i="6"/>
  <c r="G457" i="6"/>
  <c r="D457" i="6"/>
  <c r="H462" i="6"/>
  <c r="E462" i="6"/>
  <c r="D530" i="6"/>
  <c r="G530" i="6"/>
  <c r="G258" i="6"/>
  <c r="D258" i="6"/>
  <c r="E455" i="6"/>
  <c r="H455" i="6"/>
  <c r="H242" i="6"/>
  <c r="E242" i="6"/>
  <c r="E257" i="6"/>
  <c r="H257" i="6"/>
  <c r="E516" i="6"/>
  <c r="H516" i="6"/>
  <c r="H263" i="6"/>
  <c r="E263" i="6"/>
  <c r="E456" i="6"/>
  <c r="H456" i="6"/>
  <c r="E256" i="6"/>
  <c r="H256" i="6"/>
  <c r="H521" i="6"/>
  <c r="E521" i="6"/>
  <c r="G455" i="6"/>
  <c r="D455" i="6"/>
  <c r="G456" i="6"/>
  <c r="D456" i="6"/>
  <c r="G256" i="6"/>
  <c r="D256" i="6"/>
  <c r="E452" i="6"/>
  <c r="H452" i="6"/>
  <c r="D462" i="6"/>
  <c r="G462" i="6"/>
  <c r="G261" i="6"/>
  <c r="D261" i="6"/>
  <c r="D452" i="6"/>
  <c r="G452" i="6"/>
  <c r="D521" i="6"/>
  <c r="G521" i="6"/>
  <c r="D523" i="6"/>
  <c r="G523" i="6"/>
  <c r="D260" i="6"/>
  <c r="G260" i="6"/>
  <c r="E414" i="6"/>
  <c r="H414" i="6"/>
  <c r="G516" i="6"/>
  <c r="D516" i="6"/>
  <c r="H530" i="6"/>
  <c r="E530" i="6"/>
  <c r="H262" i="6"/>
  <c r="E262" i="6"/>
  <c r="D419" i="6"/>
  <c r="G419" i="6"/>
  <c r="D259" i="6"/>
  <c r="G259" i="6"/>
  <c r="D522" i="6"/>
  <c r="G522" i="6"/>
  <c r="G262" i="6"/>
  <c r="D262" i="6"/>
  <c r="G257" i="6"/>
  <c r="D257" i="6"/>
  <c r="D420" i="6"/>
  <c r="G420" i="6"/>
  <c r="G417" i="6"/>
  <c r="D417" i="6"/>
  <c r="E523" i="6"/>
  <c r="H523" i="6"/>
  <c r="D524" i="6"/>
  <c r="G524" i="6"/>
  <c r="E407" i="6"/>
  <c r="H407" i="6"/>
  <c r="G297" i="6"/>
  <c r="D297" i="6"/>
  <c r="E520" i="6"/>
  <c r="H520" i="6"/>
  <c r="H265" i="6"/>
  <c r="E265" i="6"/>
  <c r="E253" i="6"/>
  <c r="H253" i="6"/>
  <c r="EM455" i="9"/>
  <c r="EM468" i="9"/>
  <c r="EM462" i="9"/>
  <c r="EM464" i="9"/>
  <c r="EM469" i="9"/>
  <c r="EM461" i="9"/>
  <c r="G527" i="6"/>
  <c r="D527" i="6"/>
  <c r="EM350" i="9"/>
  <c r="EM349" i="9"/>
  <c r="G253" i="6"/>
  <c r="E454" i="6"/>
  <c r="V60" i="18"/>
  <c r="G265" i="6"/>
  <c r="D408" i="6"/>
  <c r="S60" i="18"/>
  <c r="D151" i="6"/>
  <c r="H345" i="6"/>
  <c r="H258" i="6"/>
  <c r="EL309" i="9"/>
  <c r="H503" i="6"/>
  <c r="H464" i="6"/>
  <c r="EL472" i="9"/>
  <c r="D252" i="6"/>
  <c r="E302" i="6"/>
  <c r="D124" i="6"/>
  <c r="EM352" i="9"/>
  <c r="EM343" i="9"/>
  <c r="G125" i="6"/>
  <c r="D264" i="6"/>
  <c r="E524" i="6"/>
  <c r="H526" i="6"/>
  <c r="G133" i="6"/>
  <c r="E164" i="6"/>
  <c r="D418" i="6"/>
  <c r="H252" i="6"/>
  <c r="G528" i="6"/>
  <c r="H235" i="6"/>
  <c r="H419" i="6"/>
  <c r="U1181" i="6"/>
  <c r="E264" i="6"/>
  <c r="H418" i="6"/>
  <c r="E304" i="6"/>
  <c r="H420" i="6"/>
  <c r="H300" i="6"/>
  <c r="E243" i="6"/>
  <c r="E134" i="6"/>
  <c r="G242" i="6"/>
  <c r="H230" i="6"/>
  <c r="H409" i="6"/>
  <c r="G409" i="6"/>
  <c r="E368" i="6"/>
  <c r="EM323" i="9"/>
  <c r="EM322" i="9"/>
  <c r="EM337" i="9"/>
  <c r="G254" i="6"/>
  <c r="D412" i="6"/>
  <c r="D406" i="6"/>
  <c r="G453" i="6"/>
  <c r="U1176" i="6"/>
  <c r="D500" i="6"/>
  <c r="G353" i="6"/>
  <c r="G230" i="6"/>
  <c r="EM315" i="9"/>
  <c r="EK346" i="9"/>
  <c r="H406" i="6"/>
  <c r="EM319" i="9"/>
  <c r="EM326" i="9"/>
  <c r="D464" i="6"/>
  <c r="G508" i="6"/>
  <c r="D414" i="6"/>
  <c r="G302" i="6"/>
  <c r="G376" i="6"/>
  <c r="H352" i="6"/>
  <c r="E483" i="6"/>
  <c r="BZ222" i="9"/>
  <c r="EK586" i="9"/>
  <c r="EK581" i="9"/>
  <c r="EK573" i="9"/>
  <c r="U1171" i="6"/>
  <c r="H123" i="6"/>
  <c r="EK592" i="9"/>
  <c r="C102" i="14"/>
  <c r="EM471" i="9"/>
  <c r="EL315" i="9"/>
  <c r="EK468" i="9"/>
  <c r="BE60" i="18"/>
  <c r="EM454" i="9"/>
  <c r="AD60" i="18"/>
  <c r="EM470" i="9"/>
  <c r="EM460" i="9"/>
  <c r="EK455" i="9"/>
  <c r="E527" i="6"/>
  <c r="G243" i="6"/>
  <c r="H144" i="6"/>
  <c r="F60" i="18"/>
  <c r="EL318" i="9"/>
  <c r="EM467" i="9"/>
  <c r="EM453" i="9"/>
  <c r="H260" i="6"/>
  <c r="H528" i="6"/>
  <c r="AJ60" i="18"/>
  <c r="EM458" i="9"/>
  <c r="EM466" i="9"/>
  <c r="AA60" i="18"/>
  <c r="EL323" i="9"/>
  <c r="EM459" i="9"/>
  <c r="EM465" i="9"/>
  <c r="EK327" i="9"/>
  <c r="EL313" i="9"/>
  <c r="EM472" i="9"/>
  <c r="EM463" i="9"/>
  <c r="EM347" i="9"/>
  <c r="EM345" i="9"/>
  <c r="EM334" i="9"/>
  <c r="D460" i="6"/>
  <c r="EM342" i="9"/>
  <c r="EL456" i="9"/>
  <c r="EK335" i="9"/>
  <c r="EL319" i="9"/>
  <c r="EM457" i="9"/>
  <c r="EM456" i="9"/>
  <c r="EM339" i="9"/>
  <c r="EM340" i="9"/>
  <c r="EL460" i="9"/>
  <c r="E244" i="6"/>
  <c r="H244" i="6"/>
  <c r="E124" i="6"/>
  <c r="D228" i="6"/>
  <c r="E479" i="6"/>
  <c r="H120" i="6"/>
  <c r="D354" i="6"/>
  <c r="G354" i="6"/>
  <c r="EM333" i="9"/>
  <c r="EL465" i="9"/>
  <c r="EM344" i="9"/>
  <c r="EM346" i="9"/>
  <c r="G148" i="6"/>
  <c r="D148" i="6"/>
  <c r="EL461" i="9"/>
  <c r="EM335" i="9"/>
  <c r="EM348" i="9"/>
  <c r="D118" i="6"/>
  <c r="G127" i="6"/>
  <c r="E240" i="6"/>
  <c r="G244" i="6"/>
  <c r="D244" i="6"/>
  <c r="G130" i="6"/>
  <c r="E254" i="6"/>
  <c r="EK583" i="9"/>
  <c r="EK587" i="9"/>
  <c r="EK576" i="9"/>
  <c r="EL328" i="9"/>
  <c r="EK578" i="9"/>
  <c r="EM309" i="9"/>
  <c r="EM313" i="9"/>
  <c r="EL321" i="9"/>
  <c r="EL351" i="9"/>
  <c r="D529" i="6"/>
  <c r="BT377" i="9"/>
  <c r="EK356" i="9"/>
  <c r="EK370" i="9" s="1"/>
  <c r="BT569" i="9"/>
  <c r="EL312" i="9"/>
  <c r="EL325" i="9"/>
  <c r="EK582" i="9"/>
  <c r="EL314" i="9"/>
  <c r="EL322" i="9"/>
  <c r="EM324" i="9"/>
  <c r="EM312" i="9"/>
  <c r="EL352" i="9"/>
  <c r="E529" i="6"/>
  <c r="D142" i="6"/>
  <c r="G343" i="6"/>
  <c r="EK591" i="9"/>
  <c r="EK580" i="9"/>
  <c r="EK584" i="9"/>
  <c r="EK588" i="9"/>
  <c r="H481" i="6"/>
  <c r="G120" i="6"/>
  <c r="EM316" i="9"/>
  <c r="EM318" i="9"/>
  <c r="AL691" i="9"/>
  <c r="AL858" i="9" s="1"/>
  <c r="EK579" i="9"/>
  <c r="EK575" i="9"/>
  <c r="EK590" i="9"/>
  <c r="EL316" i="9"/>
  <c r="EM311" i="9"/>
  <c r="EM314" i="9"/>
  <c r="EL339" i="9"/>
  <c r="E417" i="6"/>
  <c r="EL327" i="9"/>
  <c r="EL310" i="9"/>
  <c r="EL317" i="9"/>
  <c r="EK585" i="9"/>
  <c r="EK589" i="9"/>
  <c r="EM310" i="9"/>
  <c r="EM321" i="9"/>
  <c r="EM320" i="9"/>
  <c r="EL349" i="9"/>
  <c r="EL348" i="9"/>
  <c r="E522" i="6"/>
  <c r="D520" i="6"/>
  <c r="E237" i="6"/>
  <c r="EL326" i="9"/>
  <c r="EL311" i="9"/>
  <c r="EL324" i="9"/>
  <c r="EK574" i="9"/>
  <c r="EM317" i="9"/>
  <c r="EM328" i="9"/>
  <c r="EM327" i="9"/>
  <c r="EL341" i="9"/>
  <c r="EL347" i="9"/>
  <c r="G164" i="6"/>
  <c r="D348" i="6"/>
  <c r="G348" i="6"/>
  <c r="E148" i="6"/>
  <c r="H148" i="6"/>
  <c r="EL340" i="9"/>
  <c r="EL350" i="9"/>
  <c r="D484" i="6"/>
  <c r="E500" i="6"/>
  <c r="EM356" i="9"/>
  <c r="EM366" i="9" s="1"/>
  <c r="E228" i="6"/>
  <c r="G368" i="6"/>
  <c r="D368" i="6"/>
  <c r="G475" i="6"/>
  <c r="D475" i="6"/>
  <c r="EK321" i="9"/>
  <c r="EL344" i="9"/>
  <c r="EL338" i="9"/>
  <c r="G296" i="6"/>
  <c r="EK317" i="9"/>
  <c r="EL337" i="9"/>
  <c r="G240" i="6"/>
  <c r="D237" i="6"/>
  <c r="G237" i="6"/>
  <c r="EK313" i="9"/>
  <c r="EL342" i="9"/>
  <c r="EL333" i="9"/>
  <c r="H298" i="6"/>
  <c r="H486" i="6"/>
  <c r="EK322" i="9"/>
  <c r="EL346" i="9"/>
  <c r="EL334" i="9"/>
  <c r="H485" i="6"/>
  <c r="E343" i="6"/>
  <c r="G377" i="9"/>
  <c r="G306" i="6"/>
  <c r="D306" i="6"/>
  <c r="E146" i="6"/>
  <c r="E306" i="6"/>
  <c r="H306" i="6"/>
  <c r="G514" i="6"/>
  <c r="G303" i="6"/>
  <c r="D303" i="6"/>
  <c r="D123" i="6"/>
  <c r="G123" i="6"/>
  <c r="H296" i="6"/>
  <c r="G300" i="6"/>
  <c r="H130" i="6"/>
  <c r="D263" i="6"/>
  <c r="EK340" i="9"/>
  <c r="EK333" i="9"/>
  <c r="EK338" i="9"/>
  <c r="EK350" i="9"/>
  <c r="EM341" i="9"/>
  <c r="EM336" i="9"/>
  <c r="EK347" i="9"/>
  <c r="EL343" i="9"/>
  <c r="EK342" i="9"/>
  <c r="EM338" i="9"/>
  <c r="EM351" i="9"/>
  <c r="BT689" i="9"/>
  <c r="EK348" i="9"/>
  <c r="EK337" i="9"/>
  <c r="H340" i="6"/>
  <c r="E340" i="6"/>
  <c r="BN60" i="18"/>
  <c r="AR60" i="18"/>
  <c r="EK461" i="9"/>
  <c r="AL60" i="18"/>
  <c r="AC60" i="18"/>
  <c r="BM60" i="18"/>
  <c r="BA60" i="18"/>
  <c r="EK460" i="9"/>
  <c r="G569" i="9"/>
  <c r="AV60" i="18"/>
  <c r="BF60" i="18"/>
  <c r="AO60" i="18"/>
  <c r="Q60" i="18"/>
  <c r="M60" i="18"/>
  <c r="AY60" i="18"/>
  <c r="BJ60" i="18"/>
  <c r="AM60" i="18"/>
  <c r="G519" i="6"/>
  <c r="D351" i="6"/>
  <c r="G351" i="6"/>
  <c r="D153" i="6"/>
  <c r="G153" i="6"/>
  <c r="D482" i="6"/>
  <c r="G482" i="6"/>
  <c r="G497" i="6"/>
  <c r="D497" i="6"/>
  <c r="G345" i="6"/>
  <c r="D345" i="6"/>
  <c r="E346" i="6"/>
  <c r="H346" i="6"/>
  <c r="D126" i="6"/>
  <c r="G126" i="6"/>
  <c r="G499" i="6"/>
  <c r="D499" i="6"/>
  <c r="E133" i="6"/>
  <c r="BL60" i="18"/>
  <c r="EK548" i="9"/>
  <c r="EK568" i="9" s="1"/>
  <c r="AT60" i="18"/>
  <c r="BO60" i="18"/>
  <c r="AQ60" i="18"/>
  <c r="H60" i="18"/>
  <c r="BD60" i="18"/>
  <c r="E60" i="18"/>
  <c r="AE60" i="18"/>
  <c r="BB60" i="18"/>
  <c r="EK472" i="9"/>
  <c r="EK462" i="9"/>
  <c r="EK453" i="9"/>
  <c r="D340" i="6"/>
  <c r="G340" i="6"/>
  <c r="H308" i="6"/>
  <c r="E308" i="6"/>
  <c r="D498" i="6"/>
  <c r="G498" i="6"/>
  <c r="H484" i="6"/>
  <c r="E484" i="6"/>
  <c r="H495" i="6"/>
  <c r="E495" i="6"/>
  <c r="G505" i="6"/>
  <c r="D505" i="6"/>
  <c r="H477" i="6"/>
  <c r="E477" i="6"/>
  <c r="E347" i="6"/>
  <c r="H347" i="6"/>
  <c r="G231" i="6"/>
  <c r="D231" i="6"/>
  <c r="G241" i="6"/>
  <c r="D241" i="6"/>
  <c r="H342" i="6"/>
  <c r="BC60" i="18"/>
  <c r="W60" i="18"/>
  <c r="D495" i="6"/>
  <c r="E241" i="6"/>
  <c r="H241" i="6"/>
  <c r="H482" i="6"/>
  <c r="E482" i="6"/>
  <c r="H303" i="6"/>
  <c r="E303" i="6"/>
  <c r="H305" i="6"/>
  <c r="E305" i="6"/>
  <c r="G474" i="6"/>
  <c r="D474" i="6"/>
  <c r="D305" i="6"/>
  <c r="G305" i="6"/>
  <c r="AS60" i="18"/>
  <c r="BI60" i="18"/>
  <c r="AK60" i="18"/>
  <c r="AH60" i="18"/>
  <c r="BK60" i="18"/>
  <c r="BP60" i="18"/>
  <c r="BH60" i="18"/>
  <c r="AP60" i="18"/>
  <c r="EK467" i="9"/>
  <c r="EK454" i="9"/>
  <c r="EK459" i="9"/>
  <c r="G473" i="6"/>
  <c r="D473" i="6"/>
  <c r="H151" i="6"/>
  <c r="E151" i="6"/>
  <c r="D347" i="6"/>
  <c r="G347" i="6"/>
  <c r="H408" i="6"/>
  <c r="E408" i="6"/>
  <c r="G304" i="6"/>
  <c r="D304" i="6"/>
  <c r="H297" i="6"/>
  <c r="E297" i="6"/>
  <c r="E126" i="6"/>
  <c r="H126" i="6"/>
  <c r="H474" i="6"/>
  <c r="E474" i="6"/>
  <c r="D149" i="6"/>
  <c r="Y60" i="18"/>
  <c r="EK465" i="9"/>
  <c r="H259" i="6"/>
  <c r="O60" i="18"/>
  <c r="EK464" i="9"/>
  <c r="R60" i="18"/>
  <c r="AN60" i="18"/>
  <c r="N60" i="18"/>
  <c r="AX60" i="18"/>
  <c r="AW60" i="18"/>
  <c r="I60" i="18"/>
  <c r="AG60" i="18"/>
  <c r="T60" i="18"/>
  <c r="EK470" i="9"/>
  <c r="EK469" i="9"/>
  <c r="E460" i="6"/>
  <c r="H505" i="6"/>
  <c r="E505" i="6"/>
  <c r="D477" i="6"/>
  <c r="G477" i="6"/>
  <c r="G346" i="6"/>
  <c r="D346" i="6"/>
  <c r="G342" i="6"/>
  <c r="G60" i="18"/>
  <c r="X60" i="18"/>
  <c r="AI60" i="18"/>
  <c r="EK466" i="9"/>
  <c r="AF60" i="18"/>
  <c r="AZ60" i="18"/>
  <c r="EK471" i="9"/>
  <c r="EK463" i="9"/>
  <c r="BG60" i="18"/>
  <c r="Z60" i="18"/>
  <c r="P60" i="18"/>
  <c r="U60" i="18"/>
  <c r="L60" i="18"/>
  <c r="K60" i="18"/>
  <c r="AU60" i="18"/>
  <c r="J60" i="18"/>
  <c r="EK458" i="9"/>
  <c r="EL336" i="9"/>
  <c r="EL335" i="9"/>
  <c r="EK456" i="9"/>
  <c r="U1170" i="6"/>
  <c r="G308" i="6"/>
  <c r="D308" i="6"/>
  <c r="G298" i="6"/>
  <c r="D298" i="6"/>
  <c r="G481" i="6"/>
  <c r="D486" i="6"/>
  <c r="G486" i="6"/>
  <c r="E498" i="6"/>
  <c r="H498" i="6"/>
  <c r="D658" i="11"/>
  <c r="L1182" i="6" s="1"/>
  <c r="E658" i="11"/>
  <c r="N1182" i="6" s="1"/>
  <c r="E153" i="6"/>
  <c r="H153" i="6"/>
  <c r="D483" i="6"/>
  <c r="G483" i="6"/>
  <c r="H497" i="6"/>
  <c r="E497" i="6"/>
  <c r="EL548" i="9"/>
  <c r="BT617" i="9"/>
  <c r="G617" i="9"/>
  <c r="EL462" i="9"/>
  <c r="EL464" i="9"/>
  <c r="EL455" i="9"/>
  <c r="E231" i="6"/>
  <c r="H231" i="6"/>
  <c r="H499" i="6"/>
  <c r="E499" i="6"/>
  <c r="AK691" i="9"/>
  <c r="AK858" i="9" s="1"/>
  <c r="EL459" i="9"/>
  <c r="EL469" i="9"/>
  <c r="EL453" i="9"/>
  <c r="AM691" i="9"/>
  <c r="AM858" i="9" s="1"/>
  <c r="BT401" i="9"/>
  <c r="EK339" i="9"/>
  <c r="EK341" i="9"/>
  <c r="EL467" i="9"/>
  <c r="EK476" i="9"/>
  <c r="EK492" i="9" s="1"/>
  <c r="L648" i="11"/>
  <c r="EL356" i="9"/>
  <c r="G129" i="6"/>
  <c r="D129" i="6"/>
  <c r="H149" i="6"/>
  <c r="E149" i="6"/>
  <c r="H475" i="6"/>
  <c r="E475" i="6"/>
  <c r="G479" i="6"/>
  <c r="D479" i="6"/>
  <c r="G485" i="6"/>
  <c r="D485" i="6"/>
  <c r="AI691" i="9"/>
  <c r="AI858" i="9" s="1"/>
  <c r="EL463" i="9"/>
  <c r="EL471" i="9"/>
  <c r="EL457" i="9"/>
  <c r="EL470" i="9"/>
  <c r="EL466" i="9"/>
  <c r="G352" i="6"/>
  <c r="D352" i="6"/>
  <c r="E411" i="6"/>
  <c r="H411" i="6"/>
  <c r="EM548" i="9"/>
  <c r="EM549" i="9" s="1"/>
  <c r="EL454" i="9"/>
  <c r="EK351" i="9"/>
  <c r="EL468" i="9"/>
  <c r="EM668" i="9"/>
  <c r="EM684" i="9" s="1"/>
  <c r="D661" i="11"/>
  <c r="L1185" i="6" s="1"/>
  <c r="E392" i="6"/>
  <c r="H392" i="6"/>
  <c r="D365" i="6"/>
  <c r="G365" i="6"/>
  <c r="G393" i="6"/>
  <c r="D393" i="6"/>
  <c r="E367" i="6"/>
  <c r="H367" i="6"/>
  <c r="H178" i="6"/>
  <c r="E178" i="6"/>
  <c r="G307" i="6"/>
  <c r="D307" i="6"/>
  <c r="E390" i="6"/>
  <c r="H390" i="6"/>
  <c r="H389" i="6"/>
  <c r="E389" i="6"/>
  <c r="G641" i="9"/>
  <c r="EL620" i="9"/>
  <c r="G659" i="11"/>
  <c r="EM620" i="9"/>
  <c r="EK620" i="9"/>
  <c r="E661" i="11"/>
  <c r="N1185" i="6" s="1"/>
  <c r="E363" i="6"/>
  <c r="H363" i="6"/>
  <c r="AK663" i="11"/>
  <c r="AN663" i="11"/>
  <c r="AQ691" i="9"/>
  <c r="AQ858" i="9" s="1"/>
  <c r="EK320" i="9"/>
  <c r="EK324" i="9"/>
  <c r="G689" i="9"/>
  <c r="G299" i="6"/>
  <c r="D299" i="6"/>
  <c r="D166" i="6"/>
  <c r="G166" i="6"/>
  <c r="D369" i="6"/>
  <c r="G369" i="6"/>
  <c r="H350" i="6"/>
  <c r="E350" i="6"/>
  <c r="H393" i="6"/>
  <c r="E393" i="6"/>
  <c r="H506" i="6"/>
  <c r="E506" i="6"/>
  <c r="D398" i="6"/>
  <c r="G398" i="6"/>
  <c r="D375" i="6"/>
  <c r="G375" i="6"/>
  <c r="E307" i="6"/>
  <c r="H307" i="6"/>
  <c r="L470" i="6"/>
  <c r="BT641" i="9"/>
  <c r="EL380" i="9"/>
  <c r="G350" i="6"/>
  <c r="D350" i="6"/>
  <c r="E384" i="6"/>
  <c r="H384" i="6"/>
  <c r="E398" i="6"/>
  <c r="H398" i="6"/>
  <c r="AS691" i="9"/>
  <c r="AS858" i="9" s="1"/>
  <c r="EK319" i="9"/>
  <c r="EK318" i="9"/>
  <c r="E299" i="6"/>
  <c r="H299" i="6"/>
  <c r="D172" i="6"/>
  <c r="G172" i="6"/>
  <c r="E166" i="6"/>
  <c r="H166" i="6"/>
  <c r="E369" i="6"/>
  <c r="H369" i="6"/>
  <c r="H121" i="6"/>
  <c r="H167" i="6"/>
  <c r="E167" i="6"/>
  <c r="D502" i="6"/>
  <c r="G502" i="6"/>
  <c r="G506" i="6"/>
  <c r="D506" i="6"/>
  <c r="E375" i="6"/>
  <c r="H375" i="6"/>
  <c r="D526" i="6"/>
  <c r="G526" i="6"/>
  <c r="H470" i="6"/>
  <c r="E470" i="6"/>
  <c r="H143" i="6"/>
  <c r="H154" i="6"/>
  <c r="E154" i="6"/>
  <c r="H301" i="6"/>
  <c r="E301" i="6"/>
  <c r="D175" i="6"/>
  <c r="G394" i="6"/>
  <c r="D394" i="6"/>
  <c r="AN691" i="9"/>
  <c r="AN858" i="9" s="1"/>
  <c r="EK325" i="9"/>
  <c r="EK323" i="9"/>
  <c r="EK596" i="9"/>
  <c r="EK605" i="9" s="1"/>
  <c r="EK314" i="9"/>
  <c r="EK668" i="9"/>
  <c r="EK682" i="9" s="1"/>
  <c r="H171" i="6"/>
  <c r="E171" i="6"/>
  <c r="H387" i="6"/>
  <c r="E387" i="6"/>
  <c r="E169" i="6"/>
  <c r="H169" i="6"/>
  <c r="G651" i="11"/>
  <c r="EM428" i="9"/>
  <c r="EL428" i="9"/>
  <c r="EK428" i="9"/>
  <c r="G449" i="9"/>
  <c r="E172" i="6"/>
  <c r="H172" i="6"/>
  <c r="H382" i="6"/>
  <c r="E382" i="6"/>
  <c r="G170" i="6"/>
  <c r="D170" i="6"/>
  <c r="H174" i="6"/>
  <c r="E174" i="6"/>
  <c r="G396" i="6"/>
  <c r="D396" i="6"/>
  <c r="L141" i="6"/>
  <c r="BT281" i="9"/>
  <c r="G167" i="6"/>
  <c r="D167" i="6"/>
  <c r="H502" i="6"/>
  <c r="E502" i="6"/>
  <c r="E388" i="6"/>
  <c r="H388" i="6"/>
  <c r="G131" i="6"/>
  <c r="D131" i="6"/>
  <c r="H525" i="6"/>
  <c r="E525" i="6"/>
  <c r="G660" i="11"/>
  <c r="G665" i="9"/>
  <c r="EM644" i="9"/>
  <c r="EK644" i="9"/>
  <c r="EL644" i="9"/>
  <c r="E397" i="6"/>
  <c r="H397" i="6"/>
  <c r="L341" i="6"/>
  <c r="BT497" i="9"/>
  <c r="E344" i="6"/>
  <c r="H344" i="6"/>
  <c r="D143" i="6"/>
  <c r="D154" i="6"/>
  <c r="G154" i="6"/>
  <c r="D301" i="6"/>
  <c r="G301" i="6"/>
  <c r="G174" i="6"/>
  <c r="D174" i="6"/>
  <c r="E396" i="6"/>
  <c r="H396" i="6"/>
  <c r="D176" i="6"/>
  <c r="G176" i="6"/>
  <c r="H175" i="6"/>
  <c r="E175" i="6"/>
  <c r="D476" i="6"/>
  <c r="G476" i="6"/>
  <c r="H391" i="6"/>
  <c r="E391" i="6"/>
  <c r="D386" i="6"/>
  <c r="G386" i="6"/>
  <c r="D388" i="6"/>
  <c r="G388" i="6"/>
  <c r="H131" i="6"/>
  <c r="E131" i="6"/>
  <c r="BT449" i="9"/>
  <c r="D525" i="6"/>
  <c r="G525" i="6"/>
  <c r="E145" i="6"/>
  <c r="H145" i="6"/>
  <c r="H492" i="6"/>
  <c r="E492" i="6"/>
  <c r="G397" i="6"/>
  <c r="D397" i="6"/>
  <c r="G507" i="6"/>
  <c r="D507" i="6"/>
  <c r="E478" i="6"/>
  <c r="H478" i="6"/>
  <c r="H341" i="6"/>
  <c r="E341" i="6"/>
  <c r="H385" i="6"/>
  <c r="E385" i="6"/>
  <c r="G344" i="6"/>
  <c r="D344" i="6"/>
  <c r="D147" i="6"/>
  <c r="G171" i="6"/>
  <c r="D171" i="6"/>
  <c r="G645" i="11"/>
  <c r="EL284" i="9"/>
  <c r="G305" i="9"/>
  <c r="EK284" i="9"/>
  <c r="EM284" i="9"/>
  <c r="AJ691" i="9"/>
  <c r="AJ858" i="9" s="1"/>
  <c r="EK380" i="9"/>
  <c r="EK392" i="9" s="1"/>
  <c r="EK326" i="9"/>
  <c r="EK309" i="9"/>
  <c r="EK336" i="9"/>
  <c r="EK349" i="9"/>
  <c r="E519" i="6"/>
  <c r="G643" i="11"/>
  <c r="EK236" i="9"/>
  <c r="EM236" i="9"/>
  <c r="G257" i="9"/>
  <c r="EL236" i="9"/>
  <c r="E371" i="6"/>
  <c r="H371" i="6"/>
  <c r="L162" i="6"/>
  <c r="BT305" i="9"/>
  <c r="H165" i="6"/>
  <c r="E165" i="6"/>
  <c r="G655" i="11"/>
  <c r="EK524" i="9"/>
  <c r="EL524" i="9"/>
  <c r="G545" i="9"/>
  <c r="EM524" i="9"/>
  <c r="E176" i="6"/>
  <c r="H176" i="6"/>
  <c r="G644" i="11"/>
  <c r="EL260" i="9"/>
  <c r="G281" i="9"/>
  <c r="EK260" i="9"/>
  <c r="EM260" i="9"/>
  <c r="G373" i="6"/>
  <c r="D373" i="6"/>
  <c r="E476" i="6"/>
  <c r="H476" i="6"/>
  <c r="H653" i="11"/>
  <c r="EL476" i="9"/>
  <c r="EM476" i="9"/>
  <c r="G497" i="9"/>
  <c r="G391" i="6"/>
  <c r="D391" i="6"/>
  <c r="E386" i="6"/>
  <c r="H386" i="6"/>
  <c r="G309" i="6"/>
  <c r="D309" i="6"/>
  <c r="D145" i="6"/>
  <c r="G145" i="6"/>
  <c r="L492" i="6"/>
  <c r="BT665" i="9"/>
  <c r="E507" i="6"/>
  <c r="H507" i="6"/>
  <c r="E494" i="6"/>
  <c r="H494" i="6"/>
  <c r="D478" i="6"/>
  <c r="G478" i="6"/>
  <c r="G385" i="6"/>
  <c r="D385" i="6"/>
  <c r="H504" i="6"/>
  <c r="E504" i="6"/>
  <c r="G654" i="11"/>
  <c r="EK500" i="9"/>
  <c r="G521" i="9"/>
  <c r="EL500" i="9"/>
  <c r="EM500" i="9"/>
  <c r="H366" i="6"/>
  <c r="E366" i="6"/>
  <c r="E362" i="6"/>
  <c r="G401" i="9"/>
  <c r="EL596" i="9"/>
  <c r="EL610" i="9" s="1"/>
  <c r="D169" i="6"/>
  <c r="G169" i="6"/>
  <c r="L382" i="6"/>
  <c r="BT545" i="9"/>
  <c r="EM380" i="9"/>
  <c r="EM393" i="9" s="1"/>
  <c r="EK312" i="9"/>
  <c r="EK316" i="9"/>
  <c r="EK315" i="9"/>
  <c r="L121" i="6"/>
  <c r="BT257" i="9"/>
  <c r="D371" i="6"/>
  <c r="G371" i="6"/>
  <c r="G362" i="6"/>
  <c r="D362" i="6"/>
  <c r="D370" i="6"/>
  <c r="G370" i="6"/>
  <c r="G165" i="6"/>
  <c r="D165" i="6"/>
  <c r="H373" i="6"/>
  <c r="E373" i="6"/>
  <c r="G395" i="6"/>
  <c r="D395" i="6"/>
  <c r="H310" i="6"/>
  <c r="E310" i="6"/>
  <c r="E309" i="6"/>
  <c r="H309" i="6"/>
  <c r="H156" i="6"/>
  <c r="E156" i="6"/>
  <c r="H168" i="6"/>
  <c r="E168" i="6"/>
  <c r="E372" i="6"/>
  <c r="H372" i="6"/>
  <c r="G494" i="6"/>
  <c r="D494" i="6"/>
  <c r="G504" i="6"/>
  <c r="D504" i="6"/>
  <c r="E517" i="6"/>
  <c r="H517" i="6"/>
  <c r="L361" i="6"/>
  <c r="BT521" i="9"/>
  <c r="H173" i="6"/>
  <c r="E173" i="6"/>
  <c r="D366" i="6"/>
  <c r="G366" i="6"/>
  <c r="E162" i="6"/>
  <c r="G387" i="6"/>
  <c r="D387" i="6"/>
  <c r="E147" i="6"/>
  <c r="H147" i="6"/>
  <c r="H170" i="6"/>
  <c r="E170" i="6"/>
  <c r="AP691" i="9"/>
  <c r="AP858" i="9" s="1"/>
  <c r="EK311" i="9"/>
  <c r="EK310" i="9"/>
  <c r="EM596" i="9"/>
  <c r="EM603" i="9" s="1"/>
  <c r="EK334" i="9"/>
  <c r="EK345" i="9"/>
  <c r="EK343" i="9"/>
  <c r="EK352" i="9"/>
  <c r="EL668" i="9"/>
  <c r="EL678" i="9" s="1"/>
  <c r="D363" i="6"/>
  <c r="G363" i="6"/>
  <c r="G392" i="6"/>
  <c r="D392" i="6"/>
  <c r="H370" i="6"/>
  <c r="E370" i="6"/>
  <c r="E365" i="6"/>
  <c r="H365" i="6"/>
  <c r="D384" i="6"/>
  <c r="G384" i="6"/>
  <c r="E395" i="6"/>
  <c r="H395" i="6"/>
  <c r="G310" i="6"/>
  <c r="D310" i="6"/>
  <c r="E394" i="6"/>
  <c r="H394" i="6"/>
  <c r="D367" i="6"/>
  <c r="G367" i="6"/>
  <c r="G178" i="6"/>
  <c r="D178" i="6"/>
  <c r="D156" i="6"/>
  <c r="G156" i="6"/>
  <c r="G168" i="6"/>
  <c r="D168" i="6"/>
  <c r="D372" i="6"/>
  <c r="G372" i="6"/>
  <c r="G390" i="6"/>
  <c r="D390" i="6"/>
  <c r="G389" i="6"/>
  <c r="D389" i="6"/>
  <c r="D517" i="6"/>
  <c r="G517" i="6"/>
  <c r="D173" i="6"/>
  <c r="G173" i="6"/>
  <c r="G407" i="6"/>
  <c r="D407" i="6"/>
  <c r="U1393" i="6"/>
  <c r="D272" i="6"/>
  <c r="G272" i="6"/>
  <c r="U1392" i="6"/>
  <c r="G250" i="6"/>
  <c r="D250" i="6"/>
  <c r="AO642" i="11"/>
  <c r="AO663" i="11" s="1"/>
  <c r="AJ642" i="11"/>
  <c r="AJ663" i="11" s="1"/>
  <c r="E649" i="11"/>
  <c r="N1173" i="6" s="1"/>
  <c r="D649" i="11"/>
  <c r="L1173" i="6" s="1"/>
  <c r="EL405" i="9"/>
  <c r="EL417" i="9"/>
  <c r="EL408" i="9"/>
  <c r="EL418" i="9"/>
  <c r="EL409" i="9"/>
  <c r="EL424" i="9"/>
  <c r="EL410" i="9"/>
  <c r="EL422" i="9"/>
  <c r="EL423" i="9"/>
  <c r="EL414" i="9"/>
  <c r="EL415" i="9"/>
  <c r="EL406" i="9"/>
  <c r="EL407" i="9"/>
  <c r="EL419" i="9"/>
  <c r="EL421" i="9"/>
  <c r="EL420" i="9"/>
  <c r="EL411" i="9"/>
  <c r="EL413" i="9"/>
  <c r="EL412" i="9"/>
  <c r="EL416" i="9"/>
  <c r="EM412" i="9"/>
  <c r="EM424" i="9"/>
  <c r="EM417" i="9"/>
  <c r="EM416" i="9"/>
  <c r="EM418" i="9"/>
  <c r="EM409" i="9"/>
  <c r="EM408" i="9"/>
  <c r="EM410" i="9"/>
  <c r="EM422" i="9"/>
  <c r="EM413" i="9"/>
  <c r="EM423" i="9"/>
  <c r="EM414" i="9"/>
  <c r="EM405" i="9"/>
  <c r="EM415" i="9"/>
  <c r="EM406" i="9"/>
  <c r="EM421" i="9"/>
  <c r="EM407" i="9"/>
  <c r="EM419" i="9"/>
  <c r="EM420" i="9"/>
  <c r="EM411" i="9"/>
  <c r="EK418" i="9"/>
  <c r="EK409" i="9"/>
  <c r="EK410" i="9"/>
  <c r="EK422" i="9"/>
  <c r="EK424" i="9"/>
  <c r="EK423" i="9"/>
  <c r="EK414" i="9"/>
  <c r="EK416" i="9"/>
  <c r="EK415" i="9"/>
  <c r="EK406" i="9"/>
  <c r="EK408" i="9"/>
  <c r="EK407" i="9"/>
  <c r="EK419" i="9"/>
  <c r="EK421" i="9"/>
  <c r="EK420" i="9"/>
  <c r="EK411" i="9"/>
  <c r="EK413" i="9"/>
  <c r="EK412" i="9"/>
  <c r="EK405" i="9"/>
  <c r="EK417" i="9"/>
  <c r="D656" i="11"/>
  <c r="L1180" i="6" s="1"/>
  <c r="E656" i="11"/>
  <c r="N1180" i="6" s="1"/>
  <c r="E650" i="11"/>
  <c r="N1174" i="6" s="1"/>
  <c r="D650" i="11"/>
  <c r="L1174" i="6" s="1"/>
  <c r="AH642" i="11"/>
  <c r="AH663" i="11" s="1"/>
  <c r="AF642" i="11"/>
  <c r="AF663" i="11" s="1"/>
  <c r="AE642" i="11"/>
  <c r="AE663" i="11" s="1"/>
  <c r="AI642" i="11"/>
  <c r="AI663" i="11" s="1"/>
  <c r="AG642" i="11"/>
  <c r="AG663" i="11" s="1"/>
  <c r="AR691" i="9"/>
  <c r="AR858" i="9" s="1"/>
  <c r="AO691" i="9"/>
  <c r="AO858" i="9" s="1"/>
  <c r="AL642" i="11"/>
  <c r="AL663" i="11" s="1"/>
  <c r="AM642" i="11"/>
  <c r="AM663" i="11" s="1"/>
  <c r="BH691" i="9"/>
  <c r="BH858" i="9" s="1"/>
  <c r="BH861" i="9" s="1"/>
  <c r="BD642" i="11"/>
  <c r="BD663" i="11" s="1"/>
  <c r="BA691" i="9"/>
  <c r="BA858" i="9" s="1"/>
  <c r="BA861" i="9" s="1"/>
  <c r="AW642" i="11"/>
  <c r="AW663" i="11" s="1"/>
  <c r="BF691" i="9"/>
  <c r="BF858" i="9" s="1"/>
  <c r="BF861" i="9" s="1"/>
  <c r="BB642" i="11"/>
  <c r="BB663" i="11" s="1"/>
  <c r="BK642" i="11"/>
  <c r="BK663" i="11" s="1"/>
  <c r="BO691" i="9"/>
  <c r="BO858" i="9" s="1"/>
  <c r="BJ691" i="9"/>
  <c r="BJ858" i="9" s="1"/>
  <c r="BJ861" i="9" s="1"/>
  <c r="BF642" i="11"/>
  <c r="BF663" i="11" s="1"/>
  <c r="BJ642" i="11"/>
  <c r="BJ663" i="11" s="1"/>
  <c r="BN691" i="9"/>
  <c r="BN858" i="9" s="1"/>
  <c r="BC642" i="11"/>
  <c r="BC663" i="11" s="1"/>
  <c r="BG691" i="9"/>
  <c r="BG858" i="9" s="1"/>
  <c r="BG861" i="9" s="1"/>
  <c r="AT691" i="9"/>
  <c r="AT858" i="9" s="1"/>
  <c r="AT861" i="9" s="1"/>
  <c r="AP642" i="11"/>
  <c r="AP663" i="11" s="1"/>
  <c r="BI642" i="11"/>
  <c r="BI663" i="11" s="1"/>
  <c r="BM691" i="9"/>
  <c r="BM858" i="9" s="1"/>
  <c r="AV642" i="11"/>
  <c r="AV663" i="11" s="1"/>
  <c r="AZ691" i="9"/>
  <c r="AZ858" i="9" s="1"/>
  <c r="AZ861" i="9" s="1"/>
  <c r="BM642" i="11"/>
  <c r="BM663" i="11" s="1"/>
  <c r="BQ691" i="9"/>
  <c r="BQ858" i="9" s="1"/>
  <c r="BL691" i="9"/>
  <c r="BL858" i="9" s="1"/>
  <c r="BL861" i="9" s="1"/>
  <c r="BH642" i="11"/>
  <c r="BH663" i="11" s="1"/>
  <c r="AZ642" i="11"/>
  <c r="AZ663" i="11" s="1"/>
  <c r="BD691" i="9"/>
  <c r="BD858" i="9" s="1"/>
  <c r="BD861" i="9" s="1"/>
  <c r="BK691" i="9"/>
  <c r="BK858" i="9" s="1"/>
  <c r="BK861" i="9" s="1"/>
  <c r="BG642" i="11"/>
  <c r="BG663" i="11" s="1"/>
  <c r="AX642" i="11"/>
  <c r="AX663" i="11" s="1"/>
  <c r="BB691" i="9"/>
  <c r="BB858" i="9" s="1"/>
  <c r="BB861" i="9" s="1"/>
  <c r="BE691" i="9"/>
  <c r="BE858" i="9" s="1"/>
  <c r="BE861" i="9" s="1"/>
  <c r="BA642" i="11"/>
  <c r="BA663" i="11" s="1"/>
  <c r="BL642" i="11"/>
  <c r="BL663" i="11" s="1"/>
  <c r="BP691" i="9"/>
  <c r="BP858" i="9" s="1"/>
  <c r="BI691" i="9"/>
  <c r="BI858" i="9" s="1"/>
  <c r="BI861" i="9" s="1"/>
  <c r="BE642" i="11"/>
  <c r="BE663" i="11" s="1"/>
  <c r="AY691" i="9"/>
  <c r="AY858" i="9" s="1"/>
  <c r="AY861" i="9" s="1"/>
  <c r="AU642" i="11"/>
  <c r="AU663" i="11" s="1"/>
  <c r="AS642" i="11"/>
  <c r="AS663" i="11" s="1"/>
  <c r="AW691" i="9"/>
  <c r="AW858" i="9" s="1"/>
  <c r="AW861" i="9" s="1"/>
  <c r="BN642" i="11"/>
  <c r="BN663" i="11" s="1"/>
  <c r="BR691" i="9"/>
  <c r="BR858" i="9" s="1"/>
  <c r="AV691" i="9"/>
  <c r="AV858" i="9" s="1"/>
  <c r="AV861" i="9" s="1"/>
  <c r="AR642" i="11"/>
  <c r="AR663" i="11" s="1"/>
  <c r="BC691" i="9"/>
  <c r="BC858" i="9" s="1"/>
  <c r="BC861" i="9" s="1"/>
  <c r="AY642" i="11"/>
  <c r="AY663" i="11" s="1"/>
  <c r="AU691" i="9"/>
  <c r="AU858" i="9" s="1"/>
  <c r="AU861" i="9" s="1"/>
  <c r="AQ642" i="11"/>
  <c r="AQ663" i="11" s="1"/>
  <c r="AX691" i="9"/>
  <c r="AX858" i="9" s="1"/>
  <c r="AX861" i="9" s="1"/>
  <c r="AT642" i="11"/>
  <c r="AT663" i="11" s="1"/>
  <c r="U4" i="6"/>
  <c r="L3" i="2" s="1"/>
  <c r="AY161" i="8"/>
  <c r="G161" i="8"/>
  <c r="BZ713" i="9"/>
  <c r="BZ714" i="9" s="1"/>
  <c r="BZ715" i="9" s="1"/>
  <c r="BZ716" i="9" s="1"/>
  <c r="BZ717" i="9" s="1"/>
  <c r="BZ718" i="9" s="1"/>
  <c r="BZ719" i="9" s="1"/>
  <c r="BZ720" i="9" s="1"/>
  <c r="BZ721" i="9" s="1"/>
  <c r="BZ722" i="9" s="1"/>
  <c r="BZ723" i="9" s="1"/>
  <c r="BZ724" i="9" s="1"/>
  <c r="BZ725" i="9" s="1"/>
  <c r="BZ726" i="9" s="1"/>
  <c r="BZ727" i="9" s="1"/>
  <c r="BZ728" i="9" s="1"/>
  <c r="BZ729" i="9" s="1"/>
  <c r="BZ730" i="9" s="1"/>
  <c r="BZ731" i="9" s="1"/>
  <c r="BZ732" i="9" s="1"/>
  <c r="BZ733" i="9" s="1"/>
  <c r="BZ734" i="9" s="1"/>
  <c r="BZ735" i="9" s="1"/>
  <c r="BZ736" i="9" s="1"/>
  <c r="BZ737" i="9" s="1"/>
  <c r="BZ738" i="9" s="1"/>
  <c r="BZ739" i="9" s="1"/>
  <c r="BZ740" i="9" s="1"/>
  <c r="BZ741" i="9" s="1"/>
  <c r="BZ742" i="9" s="1"/>
  <c r="BZ743" i="9" s="1"/>
  <c r="BZ744" i="9" s="1"/>
  <c r="BZ745" i="9" s="1"/>
  <c r="BZ746" i="9" s="1"/>
  <c r="BZ747" i="9" s="1"/>
  <c r="EL589" i="9"/>
  <c r="EM589" i="9"/>
  <c r="AY139" i="8"/>
  <c r="G139" i="8"/>
  <c r="G160" i="8"/>
  <c r="AY160" i="8"/>
  <c r="EL566" i="9" l="1"/>
  <c r="EL553" i="9"/>
  <c r="EL556" i="9"/>
  <c r="EL567" i="9"/>
  <c r="EL563" i="9"/>
  <c r="EL559" i="9"/>
  <c r="EL560" i="9"/>
  <c r="EM359" i="9"/>
  <c r="EM373" i="9"/>
  <c r="EK672" i="9"/>
  <c r="EK687" i="9"/>
  <c r="EM381" i="9"/>
  <c r="EK680" i="9"/>
  <c r="EK396" i="9"/>
  <c r="EK673" i="9"/>
  <c r="BZ223" i="9"/>
  <c r="EL550" i="9"/>
  <c r="EL615" i="9"/>
  <c r="EL564" i="9"/>
  <c r="EL549" i="9"/>
  <c r="EL562" i="9"/>
  <c r="EL568" i="9"/>
  <c r="EL551" i="9"/>
  <c r="EL552" i="9"/>
  <c r="EK375" i="9"/>
  <c r="EK368" i="9"/>
  <c r="EK363" i="9"/>
  <c r="EK491" i="9"/>
  <c r="EK360" i="9"/>
  <c r="EK367" i="9"/>
  <c r="EL609" i="9"/>
  <c r="EK601" i="9"/>
  <c r="EK495" i="9"/>
  <c r="EK602" i="9"/>
  <c r="EK478" i="9"/>
  <c r="EK361" i="9"/>
  <c r="EK359" i="9"/>
  <c r="EK612" i="9"/>
  <c r="EK688" i="9"/>
  <c r="EM369" i="9"/>
  <c r="EK373" i="9"/>
  <c r="EK369" i="9"/>
  <c r="EK364" i="9"/>
  <c r="EK358" i="9"/>
  <c r="EM388" i="9"/>
  <c r="EK603" i="9"/>
  <c r="EK685" i="9"/>
  <c r="EK365" i="9"/>
  <c r="EK362" i="9"/>
  <c r="EM392" i="9"/>
  <c r="EL614" i="9"/>
  <c r="EK604" i="9"/>
  <c r="EK678" i="9"/>
  <c r="EM370" i="9"/>
  <c r="EK487" i="9"/>
  <c r="EK371" i="9"/>
  <c r="EK372" i="9"/>
  <c r="EM397" i="9"/>
  <c r="EL608" i="9"/>
  <c r="EK686" i="9"/>
  <c r="EM363" i="9"/>
  <c r="EK366" i="9"/>
  <c r="EK376" i="9"/>
  <c r="EK357" i="9"/>
  <c r="EK374" i="9"/>
  <c r="EK479" i="9"/>
  <c r="EK480" i="9"/>
  <c r="EK610" i="9"/>
  <c r="EK616" i="9"/>
  <c r="EM553" i="9"/>
  <c r="EL598" i="9"/>
  <c r="EK607" i="9"/>
  <c r="EK611" i="9"/>
  <c r="EK599" i="9"/>
  <c r="EM556" i="9"/>
  <c r="EK614" i="9"/>
  <c r="EK558" i="9"/>
  <c r="EM384" i="9"/>
  <c r="EK598" i="9"/>
  <c r="EK606" i="9"/>
  <c r="EK597" i="9"/>
  <c r="EK563" i="9"/>
  <c r="EK609" i="9"/>
  <c r="EK615" i="9"/>
  <c r="EK608" i="9"/>
  <c r="EK613" i="9"/>
  <c r="EK600" i="9"/>
  <c r="EK482" i="9"/>
  <c r="EM616" i="9"/>
  <c r="EK395" i="9"/>
  <c r="EM609" i="9"/>
  <c r="EM372" i="9"/>
  <c r="EM368" i="9"/>
  <c r="EM364" i="9"/>
  <c r="EL679" i="9"/>
  <c r="EM374" i="9"/>
  <c r="EM376" i="9"/>
  <c r="EM375" i="9"/>
  <c r="EM361" i="9"/>
  <c r="EM367" i="9"/>
  <c r="EM357" i="9"/>
  <c r="EL683" i="9"/>
  <c r="EM358" i="9"/>
  <c r="EM360" i="9"/>
  <c r="EM365" i="9"/>
  <c r="EM362" i="9"/>
  <c r="EM371" i="9"/>
  <c r="EK477" i="9"/>
  <c r="U1182" i="6"/>
  <c r="EK485" i="9"/>
  <c r="EM390" i="9"/>
  <c r="EL677" i="9"/>
  <c r="EK490" i="9"/>
  <c r="EK486" i="9"/>
  <c r="EM389" i="9"/>
  <c r="EK481" i="9"/>
  <c r="EK483" i="9"/>
  <c r="EK397" i="9"/>
  <c r="EK394" i="9"/>
  <c r="EK387" i="9"/>
  <c r="EK400" i="9"/>
  <c r="EL555" i="9"/>
  <c r="EL554" i="9"/>
  <c r="EK398" i="9"/>
  <c r="EK383" i="9"/>
  <c r="EK382" i="9"/>
  <c r="EM600" i="9"/>
  <c r="EL557" i="9"/>
  <c r="EL558" i="9"/>
  <c r="EK381" i="9"/>
  <c r="EK384" i="9"/>
  <c r="EK386" i="9"/>
  <c r="EK489" i="9"/>
  <c r="EK488" i="9"/>
  <c r="EK388" i="9"/>
  <c r="EK393" i="9"/>
  <c r="EK390" i="9"/>
  <c r="EK389" i="9"/>
  <c r="EK391" i="9"/>
  <c r="EK399" i="9"/>
  <c r="EL561" i="9"/>
  <c r="EL565" i="9"/>
  <c r="EK385" i="9"/>
  <c r="EL672" i="9"/>
  <c r="EK556" i="9"/>
  <c r="EM568" i="9"/>
  <c r="EK557" i="9"/>
  <c r="EK561" i="9"/>
  <c r="EK551" i="9"/>
  <c r="EM558" i="9"/>
  <c r="EM560" i="9"/>
  <c r="EM563" i="9"/>
  <c r="EM391" i="9"/>
  <c r="EM394" i="9"/>
  <c r="EL606" i="9"/>
  <c r="EL604" i="9"/>
  <c r="EK671" i="9"/>
  <c r="EK670" i="9"/>
  <c r="EK567" i="9"/>
  <c r="EM554" i="9"/>
  <c r="EK554" i="9"/>
  <c r="EM566" i="9"/>
  <c r="EK566" i="9"/>
  <c r="EK560" i="9"/>
  <c r="EM564" i="9"/>
  <c r="EM561" i="9"/>
  <c r="EM400" i="9"/>
  <c r="EM398" i="9"/>
  <c r="EL602" i="9"/>
  <c r="EL603" i="9"/>
  <c r="EK684" i="9"/>
  <c r="EK669" i="9"/>
  <c r="EK674" i="9"/>
  <c r="EK565" i="9"/>
  <c r="EK549" i="9"/>
  <c r="EK552" i="9"/>
  <c r="EK564" i="9"/>
  <c r="EM557" i="9"/>
  <c r="EM552" i="9"/>
  <c r="EM567" i="9"/>
  <c r="EM383" i="9"/>
  <c r="EM386" i="9"/>
  <c r="EL613" i="9"/>
  <c r="EL601" i="9"/>
  <c r="EK677" i="9"/>
  <c r="EK675" i="9"/>
  <c r="EK550" i="9"/>
  <c r="EK553" i="9"/>
  <c r="EK562" i="9"/>
  <c r="EM550" i="9"/>
  <c r="EM562" i="9"/>
  <c r="EM555" i="9"/>
  <c r="EM395" i="9"/>
  <c r="EM387" i="9"/>
  <c r="EL605" i="9"/>
  <c r="EL597" i="9"/>
  <c r="EM607" i="9"/>
  <c r="EK679" i="9"/>
  <c r="EK676" i="9"/>
  <c r="EM559" i="9"/>
  <c r="EK559" i="9"/>
  <c r="EK555" i="9"/>
  <c r="EM565" i="9"/>
  <c r="EM551" i="9"/>
  <c r="EM382" i="9"/>
  <c r="EM385" i="9"/>
  <c r="EL600" i="9"/>
  <c r="EL611" i="9"/>
  <c r="EK681" i="9"/>
  <c r="EK683" i="9"/>
  <c r="EM678" i="9"/>
  <c r="EM673" i="9"/>
  <c r="EM604" i="9"/>
  <c r="EM672" i="9"/>
  <c r="EM680" i="9"/>
  <c r="EK484" i="9"/>
  <c r="EK496" i="9"/>
  <c r="EM679" i="9"/>
  <c r="EM688" i="9"/>
  <c r="EM686" i="9"/>
  <c r="EL374" i="9"/>
  <c r="EL373" i="9"/>
  <c r="EL369" i="9"/>
  <c r="EL357" i="9"/>
  <c r="EL365" i="9"/>
  <c r="EL376" i="9"/>
  <c r="EL364" i="9"/>
  <c r="EL362" i="9"/>
  <c r="EL360" i="9"/>
  <c r="EL371" i="9"/>
  <c r="EL366" i="9"/>
  <c r="EL359" i="9"/>
  <c r="EL361" i="9"/>
  <c r="EL367" i="9"/>
  <c r="EL372" i="9"/>
  <c r="EL370" i="9"/>
  <c r="EL358" i="9"/>
  <c r="EL368" i="9"/>
  <c r="EL375" i="9"/>
  <c r="EL363" i="9"/>
  <c r="EL599" i="9"/>
  <c r="EL616" i="9"/>
  <c r="EL612" i="9"/>
  <c r="EM599" i="9"/>
  <c r="EM677" i="9"/>
  <c r="EM682" i="9"/>
  <c r="EK493" i="9"/>
  <c r="EK494" i="9"/>
  <c r="E648" i="11"/>
  <c r="N1172" i="6" s="1"/>
  <c r="D648" i="11"/>
  <c r="L1172" i="6" s="1"/>
  <c r="EM685" i="9"/>
  <c r="EM669" i="9"/>
  <c r="U1185" i="6"/>
  <c r="EM606" i="9"/>
  <c r="EM670" i="9"/>
  <c r="EM674" i="9"/>
  <c r="EM683" i="9"/>
  <c r="EM687" i="9"/>
  <c r="EM671" i="9"/>
  <c r="EM396" i="9"/>
  <c r="EM399" i="9"/>
  <c r="EL607" i="9"/>
  <c r="EM601" i="9"/>
  <c r="EM676" i="9"/>
  <c r="EM675" i="9"/>
  <c r="EM681" i="9"/>
  <c r="D341" i="6"/>
  <c r="G341" i="6"/>
  <c r="EL631" i="9"/>
  <c r="EL629" i="9"/>
  <c r="EL621" i="9"/>
  <c r="EL639" i="9"/>
  <c r="EL637" i="9"/>
  <c r="EL632" i="9"/>
  <c r="EL623" i="9"/>
  <c r="EL638" i="9"/>
  <c r="EL630" i="9"/>
  <c r="EL627" i="9"/>
  <c r="EL626" i="9"/>
  <c r="EL625" i="9"/>
  <c r="EL628" i="9"/>
  <c r="EL624" i="9"/>
  <c r="EL640" i="9"/>
  <c r="EL633" i="9"/>
  <c r="EL622" i="9"/>
  <c r="EL635" i="9"/>
  <c r="EL634" i="9"/>
  <c r="EL636" i="9"/>
  <c r="EM597" i="9"/>
  <c r="EM598" i="9"/>
  <c r="EM611" i="9"/>
  <c r="EL670" i="9"/>
  <c r="EM487" i="9"/>
  <c r="EM481" i="9"/>
  <c r="EM492" i="9"/>
  <c r="EM488" i="9"/>
  <c r="EM477" i="9"/>
  <c r="EM486" i="9"/>
  <c r="EM480" i="9"/>
  <c r="EM489" i="9"/>
  <c r="EM494" i="9"/>
  <c r="EM483" i="9"/>
  <c r="EM478" i="9"/>
  <c r="EM493" i="9"/>
  <c r="EM484" i="9"/>
  <c r="EM479" i="9"/>
  <c r="EM491" i="9"/>
  <c r="EM485" i="9"/>
  <c r="EM495" i="9"/>
  <c r="EM496" i="9"/>
  <c r="EM482" i="9"/>
  <c r="EM490" i="9"/>
  <c r="EK275" i="9"/>
  <c r="EK270" i="9"/>
  <c r="EK265" i="9"/>
  <c r="EK276" i="9"/>
  <c r="EK261" i="9"/>
  <c r="EK274" i="9"/>
  <c r="EK268" i="9"/>
  <c r="EK271" i="9"/>
  <c r="EK269" i="9"/>
  <c r="EK277" i="9"/>
  <c r="EK272" i="9"/>
  <c r="EK262" i="9"/>
  <c r="EK278" i="9"/>
  <c r="EK273" i="9"/>
  <c r="EK266" i="9"/>
  <c r="EK264" i="9"/>
  <c r="EK267" i="9"/>
  <c r="EK263" i="9"/>
  <c r="EK279" i="9"/>
  <c r="EK280" i="9"/>
  <c r="EL540" i="9"/>
  <c r="EL526" i="9"/>
  <c r="EL535" i="9"/>
  <c r="EL529" i="9"/>
  <c r="EL530" i="9"/>
  <c r="EL528" i="9"/>
  <c r="EL532" i="9"/>
  <c r="EL542" i="9"/>
  <c r="EL531" i="9"/>
  <c r="EL533" i="9"/>
  <c r="EL543" i="9"/>
  <c r="EL525" i="9"/>
  <c r="EL544" i="9"/>
  <c r="EL541" i="9"/>
  <c r="EL534" i="9"/>
  <c r="EL539" i="9"/>
  <c r="EL536" i="9"/>
  <c r="EL538" i="9"/>
  <c r="EL527" i="9"/>
  <c r="EL537" i="9"/>
  <c r="EM445" i="9"/>
  <c r="EM446" i="9"/>
  <c r="EM433" i="9"/>
  <c r="EM448" i="9"/>
  <c r="EM431" i="9"/>
  <c r="EM442" i="9"/>
  <c r="EM437" i="9"/>
  <c r="EM435" i="9"/>
  <c r="EM438" i="9"/>
  <c r="EM444" i="9"/>
  <c r="EM434" i="9"/>
  <c r="EM432" i="9"/>
  <c r="EM429" i="9"/>
  <c r="EM430" i="9"/>
  <c r="EM447" i="9"/>
  <c r="EM439" i="9"/>
  <c r="EM436" i="9"/>
  <c r="EM440" i="9"/>
  <c r="EM441" i="9"/>
  <c r="EM443" i="9"/>
  <c r="EL676" i="9"/>
  <c r="EK502" i="9"/>
  <c r="EK519" i="9"/>
  <c r="EK514" i="9"/>
  <c r="EK506" i="9"/>
  <c r="EK510" i="9"/>
  <c r="EK503" i="9"/>
  <c r="EK515" i="9"/>
  <c r="EK512" i="9"/>
  <c r="EK509" i="9"/>
  <c r="EK508" i="9"/>
  <c r="EK507" i="9"/>
  <c r="EK513" i="9"/>
  <c r="EK518" i="9"/>
  <c r="EK520" i="9"/>
  <c r="EK511" i="9"/>
  <c r="EK504" i="9"/>
  <c r="EK501" i="9"/>
  <c r="EK517" i="9"/>
  <c r="EK516" i="9"/>
  <c r="EK505" i="9"/>
  <c r="EL486" i="9"/>
  <c r="EL483" i="9"/>
  <c r="EL488" i="9"/>
  <c r="EL478" i="9"/>
  <c r="EL494" i="9"/>
  <c r="EL490" i="9"/>
  <c r="EL485" i="9"/>
  <c r="EL480" i="9"/>
  <c r="EL495" i="9"/>
  <c r="EL491" i="9"/>
  <c r="EL493" i="9"/>
  <c r="EL481" i="9"/>
  <c r="EL484" i="9"/>
  <c r="EL477" i="9"/>
  <c r="EL487" i="9"/>
  <c r="EL479" i="9"/>
  <c r="EL492" i="9"/>
  <c r="EL496" i="9"/>
  <c r="EL489" i="9"/>
  <c r="EL482" i="9"/>
  <c r="EK543" i="9"/>
  <c r="EK530" i="9"/>
  <c r="EK526" i="9"/>
  <c r="EK540" i="9"/>
  <c r="EK537" i="9"/>
  <c r="EK542" i="9"/>
  <c r="EK527" i="9"/>
  <c r="EK525" i="9"/>
  <c r="EK529" i="9"/>
  <c r="EK528" i="9"/>
  <c r="EK538" i="9"/>
  <c r="EK535" i="9"/>
  <c r="EK541" i="9"/>
  <c r="EK539" i="9"/>
  <c r="EK533" i="9"/>
  <c r="EK531" i="9"/>
  <c r="EK544" i="9"/>
  <c r="EK536" i="9"/>
  <c r="EK534" i="9"/>
  <c r="EK532" i="9"/>
  <c r="EL249" i="9"/>
  <c r="EL238" i="9"/>
  <c r="EL253" i="9"/>
  <c r="EL241" i="9"/>
  <c r="EL255" i="9"/>
  <c r="EL247" i="9"/>
  <c r="EL237" i="9"/>
  <c r="EL254" i="9"/>
  <c r="EL250" i="9"/>
  <c r="EL252" i="9"/>
  <c r="EL246" i="9"/>
  <c r="EL242" i="9"/>
  <c r="EL244" i="9"/>
  <c r="EL248" i="9"/>
  <c r="EL243" i="9"/>
  <c r="EL240" i="9"/>
  <c r="EL256" i="9"/>
  <c r="EL239" i="9"/>
  <c r="EL251" i="9"/>
  <c r="EL245" i="9"/>
  <c r="EM293" i="9"/>
  <c r="EM300" i="9"/>
  <c r="EM291" i="9"/>
  <c r="EM301" i="9"/>
  <c r="EM294" i="9"/>
  <c r="EM304" i="9"/>
  <c r="EM285" i="9"/>
  <c r="EM302" i="9"/>
  <c r="EM299" i="9"/>
  <c r="EM297" i="9"/>
  <c r="EM296" i="9"/>
  <c r="EM286" i="9"/>
  <c r="EM290" i="9"/>
  <c r="EM298" i="9"/>
  <c r="EM289" i="9"/>
  <c r="EM292" i="9"/>
  <c r="EM303" i="9"/>
  <c r="EM288" i="9"/>
  <c r="EM295" i="9"/>
  <c r="EM287" i="9"/>
  <c r="D651" i="11"/>
  <c r="L1175" i="6" s="1"/>
  <c r="E651" i="11"/>
  <c r="N1175" i="6" s="1"/>
  <c r="EL688" i="9"/>
  <c r="EL686" i="9"/>
  <c r="EL675" i="9"/>
  <c r="D121" i="6"/>
  <c r="G121" i="6"/>
  <c r="E654" i="11"/>
  <c r="N1178" i="6" s="1"/>
  <c r="D654" i="11"/>
  <c r="L1178" i="6" s="1"/>
  <c r="E653" i="11"/>
  <c r="N1177" i="6" s="1"/>
  <c r="D653" i="11"/>
  <c r="L1177" i="6" s="1"/>
  <c r="EL278" i="9"/>
  <c r="EL270" i="9"/>
  <c r="EL266" i="9"/>
  <c r="EL261" i="9"/>
  <c r="EL272" i="9"/>
  <c r="EL267" i="9"/>
  <c r="EL262" i="9"/>
  <c r="EL276" i="9"/>
  <c r="EL277" i="9"/>
  <c r="EL263" i="9"/>
  <c r="EL265" i="9"/>
  <c r="EL273" i="9"/>
  <c r="EL271" i="9"/>
  <c r="EL279" i="9"/>
  <c r="EL274" i="9"/>
  <c r="EL280" i="9"/>
  <c r="EL275" i="9"/>
  <c r="EL268" i="9"/>
  <c r="EL264" i="9"/>
  <c r="EL269" i="9"/>
  <c r="E655" i="11"/>
  <c r="N1179" i="6" s="1"/>
  <c r="D655" i="11"/>
  <c r="L1179" i="6" s="1"/>
  <c r="EK288" i="9"/>
  <c r="EK304" i="9"/>
  <c r="EK295" i="9"/>
  <c r="EK294" i="9"/>
  <c r="EK289" i="9"/>
  <c r="EK292" i="9"/>
  <c r="EK303" i="9"/>
  <c r="EK298" i="9"/>
  <c r="EK293" i="9"/>
  <c r="EK299" i="9"/>
  <c r="EK296" i="9"/>
  <c r="EK300" i="9"/>
  <c r="EK286" i="9"/>
  <c r="EK297" i="9"/>
  <c r="EK301" i="9"/>
  <c r="EK290" i="9"/>
  <c r="EK285" i="9"/>
  <c r="EK302" i="9"/>
  <c r="EK291" i="9"/>
  <c r="EK287" i="9"/>
  <c r="EL657" i="9"/>
  <c r="EL660" i="9"/>
  <c r="EL647" i="9"/>
  <c r="EL663" i="9"/>
  <c r="EL653" i="9"/>
  <c r="EL651" i="9"/>
  <c r="EL648" i="9"/>
  <c r="EL652" i="9"/>
  <c r="EL659" i="9"/>
  <c r="EL654" i="9"/>
  <c r="EL645" i="9"/>
  <c r="EL649" i="9"/>
  <c r="EL650" i="9"/>
  <c r="EL656" i="9"/>
  <c r="EL661" i="9"/>
  <c r="EL658" i="9"/>
  <c r="EL646" i="9"/>
  <c r="EL662" i="9"/>
  <c r="EL664" i="9"/>
  <c r="EL655" i="9"/>
  <c r="EL386" i="9"/>
  <c r="EL397" i="9"/>
  <c r="EL398" i="9"/>
  <c r="EL387" i="9"/>
  <c r="EL395" i="9"/>
  <c r="EL396" i="9"/>
  <c r="EL399" i="9"/>
  <c r="EL392" i="9"/>
  <c r="EL389" i="9"/>
  <c r="EL391" i="9"/>
  <c r="EL388" i="9"/>
  <c r="EL400" i="9"/>
  <c r="EL393" i="9"/>
  <c r="EL394" i="9"/>
  <c r="EL384" i="9"/>
  <c r="EL390" i="9"/>
  <c r="EL385" i="9"/>
  <c r="EL383" i="9"/>
  <c r="EL381" i="9"/>
  <c r="EL382" i="9"/>
  <c r="EM605" i="9"/>
  <c r="EM615" i="9"/>
  <c r="EL680" i="9"/>
  <c r="EL685" i="9"/>
  <c r="D644" i="11"/>
  <c r="E644" i="11"/>
  <c r="N1168" i="6" s="1"/>
  <c r="EM252" i="9"/>
  <c r="EM240" i="9"/>
  <c r="EM239" i="9"/>
  <c r="EM255" i="9"/>
  <c r="EM241" i="9"/>
  <c r="EM243" i="9"/>
  <c r="EM242" i="9"/>
  <c r="EM237" i="9"/>
  <c r="EM249" i="9"/>
  <c r="EM248" i="9"/>
  <c r="EM254" i="9"/>
  <c r="EM245" i="9"/>
  <c r="EM246" i="9"/>
  <c r="EM250" i="9"/>
  <c r="EM244" i="9"/>
  <c r="EM238" i="9"/>
  <c r="EM253" i="9"/>
  <c r="EM256" i="9"/>
  <c r="EM247" i="9"/>
  <c r="EM251" i="9"/>
  <c r="EK655" i="9"/>
  <c r="EK654" i="9"/>
  <c r="EK652" i="9"/>
  <c r="EK653" i="9"/>
  <c r="EK650" i="9"/>
  <c r="EK645" i="9"/>
  <c r="EK661" i="9"/>
  <c r="EK656" i="9"/>
  <c r="EK646" i="9"/>
  <c r="EK659" i="9"/>
  <c r="EK660" i="9"/>
  <c r="EK649" i="9"/>
  <c r="EK663" i="9"/>
  <c r="EK658" i="9"/>
  <c r="EK662" i="9"/>
  <c r="EK651" i="9"/>
  <c r="EK648" i="9"/>
  <c r="EK664" i="9"/>
  <c r="EK647" i="9"/>
  <c r="EK657" i="9"/>
  <c r="EL509" i="9"/>
  <c r="EL510" i="9"/>
  <c r="EL512" i="9"/>
  <c r="EL503" i="9"/>
  <c r="EL517" i="9"/>
  <c r="EL505" i="9"/>
  <c r="EL516" i="9"/>
  <c r="EL507" i="9"/>
  <c r="EL515" i="9"/>
  <c r="EL513" i="9"/>
  <c r="EL519" i="9"/>
  <c r="EL514" i="9"/>
  <c r="EL520" i="9"/>
  <c r="EL506" i="9"/>
  <c r="EL502" i="9"/>
  <c r="EL518" i="9"/>
  <c r="EL511" i="9"/>
  <c r="EL504" i="9"/>
  <c r="EL508" i="9"/>
  <c r="EL501" i="9"/>
  <c r="EM612" i="9"/>
  <c r="EM610" i="9"/>
  <c r="EL687" i="9"/>
  <c r="EL673" i="9"/>
  <c r="EK239" i="9"/>
  <c r="EK242" i="9"/>
  <c r="EK252" i="9"/>
  <c r="EK243" i="9"/>
  <c r="EK251" i="9"/>
  <c r="EK253" i="9"/>
  <c r="EK255" i="9"/>
  <c r="EK250" i="9"/>
  <c r="EK245" i="9"/>
  <c r="EK256" i="9"/>
  <c r="EK246" i="9"/>
  <c r="EK248" i="9"/>
  <c r="EK238" i="9"/>
  <c r="EK247" i="9"/>
  <c r="EK241" i="9"/>
  <c r="EK249" i="9"/>
  <c r="EK244" i="9"/>
  <c r="EK254" i="9"/>
  <c r="EK237" i="9"/>
  <c r="EK240" i="9"/>
  <c r="EL285" i="9"/>
  <c r="EL304" i="9"/>
  <c r="EL297" i="9"/>
  <c r="EL292" i="9"/>
  <c r="EL287" i="9"/>
  <c r="EL301" i="9"/>
  <c r="EL293" i="9"/>
  <c r="EL288" i="9"/>
  <c r="EL286" i="9"/>
  <c r="EL289" i="9"/>
  <c r="EL303" i="9"/>
  <c r="EL291" i="9"/>
  <c r="EL295" i="9"/>
  <c r="EL302" i="9"/>
  <c r="EL298" i="9"/>
  <c r="EL300" i="9"/>
  <c r="EL296" i="9"/>
  <c r="EL294" i="9"/>
  <c r="EL290" i="9"/>
  <c r="EL299" i="9"/>
  <c r="EM660" i="9"/>
  <c r="EM654" i="9"/>
  <c r="EM649" i="9"/>
  <c r="EM658" i="9"/>
  <c r="EM656" i="9"/>
  <c r="EM650" i="9"/>
  <c r="EM663" i="9"/>
  <c r="EM664" i="9"/>
  <c r="EM647" i="9"/>
  <c r="EM661" i="9"/>
  <c r="EM652" i="9"/>
  <c r="EM659" i="9"/>
  <c r="EM662" i="9"/>
  <c r="EM657" i="9"/>
  <c r="EM645" i="9"/>
  <c r="EM648" i="9"/>
  <c r="EM655" i="9"/>
  <c r="EM651" i="9"/>
  <c r="EM646" i="9"/>
  <c r="EM653" i="9"/>
  <c r="G470" i="6"/>
  <c r="D470" i="6"/>
  <c r="EK621" i="9"/>
  <c r="EK638" i="9"/>
  <c r="EK637" i="9"/>
  <c r="EK631" i="9"/>
  <c r="EK632" i="9"/>
  <c r="EK623" i="9"/>
  <c r="EK640" i="9"/>
  <c r="EK630" i="9"/>
  <c r="EK625" i="9"/>
  <c r="EK639" i="9"/>
  <c r="EK633" i="9"/>
  <c r="EK627" i="9"/>
  <c r="EK635" i="9"/>
  <c r="EK628" i="9"/>
  <c r="EK636" i="9"/>
  <c r="EK634" i="9"/>
  <c r="EK629" i="9"/>
  <c r="EK624" i="9"/>
  <c r="EK626" i="9"/>
  <c r="EK622" i="9"/>
  <c r="EL431" i="9"/>
  <c r="EL446" i="9"/>
  <c r="EL447" i="9"/>
  <c r="EL429" i="9"/>
  <c r="EL448" i="9"/>
  <c r="EL445" i="9"/>
  <c r="EL443" i="9"/>
  <c r="EL441" i="9"/>
  <c r="EL434" i="9"/>
  <c r="EL439" i="9"/>
  <c r="EL438" i="9"/>
  <c r="EL436" i="9"/>
  <c r="EL440" i="9"/>
  <c r="EL433" i="9"/>
  <c r="EL444" i="9"/>
  <c r="EL435" i="9"/>
  <c r="EL430" i="9"/>
  <c r="EL437" i="9"/>
  <c r="EL432" i="9"/>
  <c r="EL442" i="9"/>
  <c r="EM608" i="9"/>
  <c r="EM614" i="9"/>
  <c r="EL674" i="9"/>
  <c r="EL681" i="9"/>
  <c r="EL682" i="9"/>
  <c r="E643" i="11"/>
  <c r="N1167" i="6" s="1"/>
  <c r="D643" i="11"/>
  <c r="L1167" i="6" s="1"/>
  <c r="D645" i="11"/>
  <c r="L1169" i="6" s="1"/>
  <c r="E645" i="11"/>
  <c r="N1169" i="6" s="1"/>
  <c r="EM636" i="9"/>
  <c r="EM628" i="9"/>
  <c r="EM639" i="9"/>
  <c r="EM629" i="9"/>
  <c r="EM624" i="9"/>
  <c r="EM632" i="9"/>
  <c r="EM640" i="9"/>
  <c r="EM637" i="9"/>
  <c r="EM631" i="9"/>
  <c r="EM635" i="9"/>
  <c r="EM623" i="9"/>
  <c r="EM638" i="9"/>
  <c r="EM625" i="9"/>
  <c r="EM622" i="9"/>
  <c r="EM634" i="9"/>
  <c r="EM633" i="9"/>
  <c r="EM621" i="9"/>
  <c r="EM627" i="9"/>
  <c r="EM626" i="9"/>
  <c r="EM630" i="9"/>
  <c r="EM267" i="9"/>
  <c r="EM273" i="9"/>
  <c r="EM268" i="9"/>
  <c r="EM277" i="9"/>
  <c r="EM274" i="9"/>
  <c r="EM269" i="9"/>
  <c r="EM271" i="9"/>
  <c r="EM275" i="9"/>
  <c r="EM278" i="9"/>
  <c r="EM276" i="9"/>
  <c r="EM279" i="9"/>
  <c r="EM280" i="9"/>
  <c r="EM262" i="9"/>
  <c r="EM270" i="9"/>
  <c r="EM263" i="9"/>
  <c r="EM272" i="9"/>
  <c r="EM266" i="9"/>
  <c r="EM264" i="9"/>
  <c r="EM261" i="9"/>
  <c r="EM265" i="9"/>
  <c r="EM602" i="9"/>
  <c r="EM613" i="9"/>
  <c r="EL669" i="9"/>
  <c r="EL671" i="9"/>
  <c r="EL684" i="9"/>
  <c r="G382" i="6"/>
  <c r="D382" i="6"/>
  <c r="EM504" i="9"/>
  <c r="EM515" i="9"/>
  <c r="EM505" i="9"/>
  <c r="EM516" i="9"/>
  <c r="EM514" i="9"/>
  <c r="EM507" i="9"/>
  <c r="EM520" i="9"/>
  <c r="EM513" i="9"/>
  <c r="EM506" i="9"/>
  <c r="EM501" i="9"/>
  <c r="EM509" i="9"/>
  <c r="EM503" i="9"/>
  <c r="EM511" i="9"/>
  <c r="EM510" i="9"/>
  <c r="EM502" i="9"/>
  <c r="EM508" i="9"/>
  <c r="EM519" i="9"/>
  <c r="EM517" i="9"/>
  <c r="EM512" i="9"/>
  <c r="EM518" i="9"/>
  <c r="D492" i="6"/>
  <c r="G492" i="6"/>
  <c r="EM539" i="9"/>
  <c r="EM540" i="9"/>
  <c r="EM541" i="9"/>
  <c r="EM543" i="9"/>
  <c r="EM531" i="9"/>
  <c r="EM527" i="9"/>
  <c r="EM530" i="9"/>
  <c r="EM534" i="9"/>
  <c r="EM526" i="9"/>
  <c r="EM544" i="9"/>
  <c r="EM525" i="9"/>
  <c r="EM532" i="9"/>
  <c r="EM528" i="9"/>
  <c r="EM536" i="9"/>
  <c r="EM537" i="9"/>
  <c r="EM535" i="9"/>
  <c r="EM533" i="9"/>
  <c r="EM529" i="9"/>
  <c r="EM538" i="9"/>
  <c r="EM542" i="9"/>
  <c r="G162" i="6"/>
  <c r="D162" i="6"/>
  <c r="D660" i="11"/>
  <c r="L1184" i="6" s="1"/>
  <c r="E660" i="11"/>
  <c r="N1184" i="6" s="1"/>
  <c r="EK446" i="9"/>
  <c r="EK433" i="9"/>
  <c r="EK432" i="9"/>
  <c r="EK439" i="9"/>
  <c r="EK438" i="9"/>
  <c r="EK436" i="9"/>
  <c r="EK429" i="9"/>
  <c r="EK431" i="9"/>
  <c r="EK448" i="9"/>
  <c r="EK445" i="9"/>
  <c r="EK443" i="9"/>
  <c r="EK447" i="9"/>
  <c r="EK441" i="9"/>
  <c r="EK442" i="9"/>
  <c r="EK434" i="9"/>
  <c r="EK440" i="9"/>
  <c r="EK430" i="9"/>
  <c r="EK435" i="9"/>
  <c r="EK437" i="9"/>
  <c r="EK444" i="9"/>
  <c r="D659" i="11"/>
  <c r="L1183" i="6" s="1"/>
  <c r="E659" i="11"/>
  <c r="N1183" i="6" s="1"/>
  <c r="U1173" i="6"/>
  <c r="U1174" i="6"/>
  <c r="U1180" i="6"/>
  <c r="AB69" i="14"/>
  <c r="AK861" i="9"/>
  <c r="AC69" i="14"/>
  <c r="AL861" i="9"/>
  <c r="AA69" i="14"/>
  <c r="AJ861" i="9"/>
  <c r="AZ669" i="11"/>
  <c r="AZ676" i="11" s="1"/>
  <c r="AJ69" i="14"/>
  <c r="AS861" i="9"/>
  <c r="BF669" i="11"/>
  <c r="BF676" i="11" s="1"/>
  <c r="AH69" i="14"/>
  <c r="AQ861" i="9"/>
  <c r="AD69" i="14"/>
  <c r="AM861" i="9"/>
  <c r="AS669" i="11"/>
  <c r="AS676" i="11" s="1"/>
  <c r="AQ669" i="11"/>
  <c r="AQ676" i="11" s="1"/>
  <c r="BA669" i="11"/>
  <c r="BA676" i="11" s="1"/>
  <c r="BH669" i="11"/>
  <c r="BH676" i="11" s="1"/>
  <c r="AP669" i="11"/>
  <c r="AP676" i="11" s="1"/>
  <c r="AX669" i="11"/>
  <c r="AX676" i="11" s="1"/>
  <c r="BC669" i="11"/>
  <c r="BC676" i="11" s="1"/>
  <c r="BD669" i="11"/>
  <c r="BD676" i="11" s="1"/>
  <c r="AY669" i="11"/>
  <c r="AY676" i="11" s="1"/>
  <c r="AU669" i="11"/>
  <c r="AU676" i="11" s="1"/>
  <c r="BB669" i="11"/>
  <c r="BB676" i="11" s="1"/>
  <c r="AF69" i="14"/>
  <c r="AO861" i="9"/>
  <c r="AI69" i="14"/>
  <c r="AR861" i="9"/>
  <c r="AV669" i="11"/>
  <c r="AV676" i="11" s="1"/>
  <c r="AT669" i="11"/>
  <c r="AT676" i="11" s="1"/>
  <c r="AE69" i="14"/>
  <c r="AN861" i="9"/>
  <c r="AG69" i="14"/>
  <c r="AP861" i="9"/>
  <c r="Z69" i="14"/>
  <c r="AI861" i="9"/>
  <c r="AR669" i="11"/>
  <c r="AR676" i="11" s="1"/>
  <c r="BE669" i="11"/>
  <c r="BE676" i="11" s="1"/>
  <c r="BG669" i="11"/>
  <c r="BG676" i="11" s="1"/>
  <c r="AW669" i="11"/>
  <c r="AW676" i="11" s="1"/>
  <c r="AL69" i="14"/>
  <c r="AL27" i="14" s="1"/>
  <c r="AL71" i="14"/>
  <c r="AV71" i="14"/>
  <c r="AV69" i="14"/>
  <c r="AV27" i="14" s="1"/>
  <c r="BC71" i="14"/>
  <c r="BC69" i="14"/>
  <c r="BC27" i="14" s="1"/>
  <c r="AK71" i="14"/>
  <c r="AK69" i="14"/>
  <c r="AK27" i="14" s="1"/>
  <c r="AS69" i="14"/>
  <c r="AS27" i="14" s="1"/>
  <c r="AS71" i="14"/>
  <c r="BQ692" i="9"/>
  <c r="BQ861" i="9"/>
  <c r="AX69" i="14"/>
  <c r="AX27" i="14" s="1"/>
  <c r="AX71" i="14"/>
  <c r="AT71" i="14"/>
  <c r="AT69" i="14"/>
  <c r="AT27" i="14" s="1"/>
  <c r="AP69" i="14"/>
  <c r="AP27" i="14" s="1"/>
  <c r="AP71" i="14"/>
  <c r="AW71" i="14"/>
  <c r="AW69" i="14"/>
  <c r="AW27" i="14" s="1"/>
  <c r="AQ69" i="14"/>
  <c r="AQ27" i="14" s="1"/>
  <c r="AQ71" i="14"/>
  <c r="BN692" i="9"/>
  <c r="BN861" i="9"/>
  <c r="AM69" i="14"/>
  <c r="AM27" i="14" s="1"/>
  <c r="AM71" i="14"/>
  <c r="AZ69" i="14"/>
  <c r="AZ27" i="14" s="1"/>
  <c r="AZ71" i="14"/>
  <c r="BB69" i="14"/>
  <c r="BB27" i="14" s="1"/>
  <c r="BB71" i="14"/>
  <c r="AR69" i="14"/>
  <c r="AR27" i="14" s="1"/>
  <c r="AR71" i="14"/>
  <c r="BR692" i="9"/>
  <c r="BR861" i="9"/>
  <c r="BP692" i="9"/>
  <c r="BP861" i="9"/>
  <c r="AU71" i="14"/>
  <c r="AU69" i="14"/>
  <c r="AU27" i="14" s="1"/>
  <c r="BM861" i="9"/>
  <c r="BM692" i="9"/>
  <c r="AO71" i="14"/>
  <c r="AO69" i="14"/>
  <c r="AO27" i="14" s="1"/>
  <c r="BA69" i="14"/>
  <c r="BA27" i="14" s="1"/>
  <c r="BA71" i="14"/>
  <c r="AY71" i="14"/>
  <c r="AY69" i="14"/>
  <c r="AY27" i="14" s="1"/>
  <c r="AN71" i="14"/>
  <c r="AN69" i="14"/>
  <c r="AN27" i="14" s="1"/>
  <c r="BO692" i="9"/>
  <c r="BO861" i="9"/>
  <c r="EM590" i="9"/>
  <c r="EL590" i="9"/>
  <c r="AH49" i="18"/>
  <c r="AC49" i="18"/>
  <c r="BI49" i="18"/>
  <c r="BG49" i="18"/>
  <c r="AP49" i="18"/>
  <c r="L49" i="18"/>
  <c r="AR49" i="18"/>
  <c r="K49" i="18"/>
  <c r="E49" i="18"/>
  <c r="U49" i="18"/>
  <c r="BA49" i="18"/>
  <c r="BE49" i="18"/>
  <c r="AW49" i="18"/>
  <c r="BN49" i="18"/>
  <c r="AJ49" i="18"/>
  <c r="BP49" i="18"/>
  <c r="J49" i="18"/>
  <c r="M49" i="18"/>
  <c r="AS49" i="18"/>
  <c r="AG49" i="18"/>
  <c r="Z49" i="18"/>
  <c r="BF49" i="18"/>
  <c r="AB49" i="18"/>
  <c r="BH49" i="18"/>
  <c r="AK49" i="18"/>
  <c r="Q49" i="18"/>
  <c r="F49" i="18"/>
  <c r="R49" i="18"/>
  <c r="AX49" i="18"/>
  <c r="T49" i="18"/>
  <c r="AZ49" i="18"/>
  <c r="AY49" i="18"/>
  <c r="G49" i="18"/>
  <c r="AM49" i="18"/>
  <c r="V49" i="18"/>
  <c r="BB49" i="18"/>
  <c r="Y49" i="18"/>
  <c r="AA49" i="18"/>
  <c r="P49" i="18"/>
  <c r="AV49" i="18"/>
  <c r="BK49" i="18"/>
  <c r="N49" i="18"/>
  <c r="AT49" i="18"/>
  <c r="I49" i="18"/>
  <c r="S49" i="18"/>
  <c r="H49" i="18"/>
  <c r="AN49" i="18"/>
  <c r="AE49" i="18"/>
  <c r="AF49" i="18"/>
  <c r="AL49" i="18"/>
  <c r="AI49" i="18"/>
  <c r="W49" i="18"/>
  <c r="BM49" i="18"/>
  <c r="BO49" i="18"/>
  <c r="BL49" i="18"/>
  <c r="AD49" i="18"/>
  <c r="O49" i="18"/>
  <c r="AU49" i="18"/>
  <c r="BJ49" i="18"/>
  <c r="BC49" i="18"/>
  <c r="AO49" i="18"/>
  <c r="AQ49" i="18"/>
  <c r="X49" i="18"/>
  <c r="BD49" i="18"/>
  <c r="C93" i="14"/>
  <c r="E481" i="11"/>
  <c r="N1009" i="6" s="1"/>
  <c r="D480" i="11"/>
  <c r="L1008" i="6" s="1"/>
  <c r="E480" i="11"/>
  <c r="N1008" i="6" s="1"/>
  <c r="E483" i="11"/>
  <c r="N1011" i="6" s="1"/>
  <c r="D483" i="11"/>
  <c r="L1011" i="6" s="1"/>
  <c r="BZ224" i="9" l="1"/>
  <c r="U1179" i="6"/>
  <c r="U1178" i="6"/>
  <c r="U1168" i="6"/>
  <c r="U1177" i="6"/>
  <c r="U1169" i="6"/>
  <c r="U1175" i="6"/>
  <c r="U1167" i="6"/>
  <c r="U1172" i="6"/>
  <c r="U1184" i="6"/>
  <c r="U1183" i="6"/>
  <c r="AU684" i="11"/>
  <c r="AR684" i="11"/>
  <c r="BC684" i="11"/>
  <c r="BE684" i="11"/>
  <c r="AE669" i="11"/>
  <c r="AE676" i="11" s="1"/>
  <c r="AL669" i="11"/>
  <c r="AL676" i="11" s="1"/>
  <c r="AS684" i="11"/>
  <c r="AH669" i="11"/>
  <c r="AH676" i="11" s="1"/>
  <c r="BG684" i="11"/>
  <c r="BB684" i="11"/>
  <c r="BH684" i="11"/>
  <c r="BL669" i="11"/>
  <c r="BL676" i="11" s="1"/>
  <c r="BM669" i="11"/>
  <c r="BM676" i="11" s="1"/>
  <c r="AJ669" i="11"/>
  <c r="AJ676" i="11" s="1"/>
  <c r="AI669" i="11"/>
  <c r="AI676" i="11" s="1"/>
  <c r="BF684" i="11"/>
  <c r="BD684" i="11"/>
  <c r="AX684" i="11"/>
  <c r="BK669" i="11"/>
  <c r="BK676" i="11" s="1"/>
  <c r="BN669" i="11"/>
  <c r="BN676" i="11" s="1"/>
  <c r="AN669" i="11"/>
  <c r="AN676" i="11" s="1"/>
  <c r="AY684" i="11"/>
  <c r="AQ684" i="11"/>
  <c r="AM669" i="11"/>
  <c r="AM676" i="11" s="1"/>
  <c r="AV684" i="11"/>
  <c r="AO669" i="11"/>
  <c r="AO676" i="11" s="1"/>
  <c r="AZ684" i="11"/>
  <c r="AK669" i="11"/>
  <c r="AK676" i="11" s="1"/>
  <c r="BA684" i="11"/>
  <c r="AF669" i="11"/>
  <c r="AF676" i="11" s="1"/>
  <c r="AG669" i="11"/>
  <c r="AG676" i="11" s="1"/>
  <c r="BJ669" i="11"/>
  <c r="BJ676" i="11" s="1"/>
  <c r="BI669" i="11"/>
  <c r="BI676" i="11" s="1"/>
  <c r="AW684" i="11"/>
  <c r="AT684" i="11"/>
  <c r="AP684" i="11"/>
  <c r="BE69" i="14"/>
  <c r="BE27" i="14" s="1"/>
  <c r="BD69" i="14"/>
  <c r="BD27" i="14" s="1"/>
  <c r="BG71" i="14"/>
  <c r="BG69" i="14"/>
  <c r="BG27" i="14" s="1"/>
  <c r="BH71" i="14"/>
  <c r="BH69" i="14"/>
  <c r="BH27" i="14" s="1"/>
  <c r="BF69" i="14"/>
  <c r="BF27" i="14" s="1"/>
  <c r="BI71" i="14"/>
  <c r="BI69" i="14"/>
  <c r="BI27" i="14" s="1"/>
  <c r="BB548" i="8"/>
  <c r="BC548" i="8" s="1"/>
  <c r="BB579" i="8"/>
  <c r="BC579" i="8" s="1"/>
  <c r="BB584" i="8"/>
  <c r="BC584" i="8" s="1"/>
  <c r="BB568" i="8"/>
  <c r="BC568" i="8" s="1"/>
  <c r="BB575" i="8"/>
  <c r="BC575" i="8" s="1"/>
  <c r="BB576" i="8"/>
  <c r="BC576" i="8" s="1"/>
  <c r="BB586" i="8"/>
  <c r="BC586" i="8" s="1"/>
  <c r="BB578" i="8"/>
  <c r="BC578" i="8" s="1"/>
  <c r="BB564" i="8"/>
  <c r="BC564" i="8" s="1"/>
  <c r="BB572" i="8"/>
  <c r="BC572" i="8" s="1"/>
  <c r="BB555" i="8"/>
  <c r="BC555" i="8" s="1"/>
  <c r="BB563" i="8"/>
  <c r="BC563" i="8" s="1"/>
  <c r="BB583" i="8"/>
  <c r="BC583" i="8" s="1"/>
  <c r="BB588" i="8"/>
  <c r="BC588" i="8" s="1"/>
  <c r="BB581" i="8"/>
  <c r="BC581" i="8" s="1"/>
  <c r="BB577" i="8"/>
  <c r="BC577" i="8" s="1"/>
  <c r="BB589" i="8"/>
  <c r="BC589" i="8" s="1"/>
  <c r="BB540" i="8"/>
  <c r="BC540" i="8" s="1"/>
  <c r="BB549" i="8"/>
  <c r="BC549" i="8" s="1"/>
  <c r="BB587" i="8"/>
  <c r="BC587" i="8" s="1"/>
  <c r="BB553" i="8"/>
  <c r="BC553" i="8" s="1"/>
  <c r="BB574" i="8"/>
  <c r="BC574" i="8" s="1"/>
  <c r="BB580" i="8"/>
  <c r="BC580" i="8" s="1"/>
  <c r="BB552" i="8"/>
  <c r="BC552" i="8" s="1"/>
  <c r="BB571" i="8"/>
  <c r="BC571" i="8" s="1"/>
  <c r="BB559" i="8"/>
  <c r="BC559" i="8" s="1"/>
  <c r="BB550" i="8"/>
  <c r="BC550" i="8" s="1"/>
  <c r="BB558" i="8"/>
  <c r="BC558" i="8" s="1"/>
  <c r="BB541" i="8"/>
  <c r="BC541" i="8" s="1"/>
  <c r="BB570" i="8"/>
  <c r="BC570" i="8" s="1"/>
  <c r="BB565" i="8"/>
  <c r="BC565" i="8" s="1"/>
  <c r="BB566" i="8"/>
  <c r="BC566" i="8" s="1"/>
  <c r="BB542" i="8"/>
  <c r="BC542" i="8" s="1"/>
  <c r="BB557" i="8"/>
  <c r="BC557" i="8" s="1"/>
  <c r="BB573" i="8"/>
  <c r="BC573" i="8" s="1"/>
  <c r="BB556" i="8"/>
  <c r="BC556" i="8" s="1"/>
  <c r="BB554" i="8"/>
  <c r="BC554" i="8" s="1"/>
  <c r="BB569" i="8"/>
  <c r="BC569" i="8" s="1"/>
  <c r="BB551" i="8"/>
  <c r="BC551" i="8" s="1"/>
  <c r="BB161" i="8"/>
  <c r="BC161" i="8" s="1"/>
  <c r="BB543" i="8"/>
  <c r="BC543" i="8" s="1"/>
  <c r="BB561" i="8"/>
  <c r="BC561" i="8" s="1"/>
  <c r="BB139" i="8"/>
  <c r="BC139" i="8" s="1"/>
  <c r="BB546" i="8"/>
  <c r="BC546" i="8" s="1"/>
  <c r="BB562" i="8"/>
  <c r="BC562" i="8" s="1"/>
  <c r="BB585" i="8"/>
  <c r="BC585" i="8" s="1"/>
  <c r="BB160" i="8"/>
  <c r="BC160" i="8" s="1"/>
  <c r="BB567" i="8"/>
  <c r="BC567" i="8" s="1"/>
  <c r="BB547" i="8"/>
  <c r="BC547" i="8" s="1"/>
  <c r="BB582" i="8"/>
  <c r="BC582" i="8" s="1"/>
  <c r="BB560" i="8"/>
  <c r="BC560" i="8" s="1"/>
  <c r="BB544" i="8"/>
  <c r="BC544" i="8" s="1"/>
  <c r="BB545" i="8"/>
  <c r="BC545" i="8" s="1"/>
  <c r="BD533" i="8"/>
  <c r="BD525" i="8"/>
  <c r="BD536" i="8"/>
  <c r="BD528" i="8"/>
  <c r="BD520" i="8"/>
  <c r="BD531" i="8"/>
  <c r="BD523" i="8"/>
  <c r="BD534" i="8"/>
  <c r="BD526" i="8"/>
  <c r="BD518" i="8"/>
  <c r="BD535" i="8"/>
  <c r="BD527" i="8"/>
  <c r="BD519" i="8"/>
  <c r="BD529" i="8"/>
  <c r="BD522" i="8"/>
  <c r="BD532" i="8"/>
  <c r="BD524" i="8"/>
  <c r="BD521" i="8"/>
  <c r="BD530" i="8"/>
  <c r="BD512" i="8"/>
  <c r="BD504" i="8"/>
  <c r="BD501" i="8"/>
  <c r="BD515" i="8"/>
  <c r="BD507" i="8"/>
  <c r="BD499" i="8"/>
  <c r="BD510" i="8"/>
  <c r="BD502" i="8"/>
  <c r="BD513" i="8"/>
  <c r="BD505" i="8"/>
  <c r="BD497" i="8"/>
  <c r="BD508" i="8"/>
  <c r="BD500" i="8"/>
  <c r="BD509" i="8"/>
  <c r="BD511" i="8"/>
  <c r="BD503" i="8"/>
  <c r="BD514" i="8"/>
  <c r="BD506" i="8"/>
  <c r="BD498" i="8"/>
  <c r="BD491" i="8"/>
  <c r="BD483" i="8"/>
  <c r="BD494" i="8"/>
  <c r="BD486" i="8"/>
  <c r="BD478" i="8"/>
  <c r="BD489" i="8"/>
  <c r="BD481" i="8"/>
  <c r="BD492" i="8"/>
  <c r="BD484" i="8"/>
  <c r="BD476" i="8"/>
  <c r="BD487" i="8"/>
  <c r="BD479" i="8"/>
  <c r="BD490" i="8"/>
  <c r="BD482" i="8"/>
  <c r="BD493" i="8"/>
  <c r="BD485" i="8"/>
  <c r="BD477" i="8"/>
  <c r="BD480" i="8"/>
  <c r="BD488" i="8"/>
  <c r="BD470" i="8"/>
  <c r="BD462" i="8"/>
  <c r="BD473" i="8"/>
  <c r="BD465" i="8"/>
  <c r="BD457" i="8"/>
  <c r="BD468" i="8"/>
  <c r="BD460" i="8"/>
  <c r="BD471" i="8"/>
  <c r="BD463" i="8"/>
  <c r="BD455" i="8"/>
  <c r="BD472" i="8"/>
  <c r="BD466" i="8"/>
  <c r="BD458" i="8"/>
  <c r="BD469" i="8"/>
  <c r="BD461" i="8"/>
  <c r="BD464" i="8"/>
  <c r="BD467" i="8"/>
  <c r="BD456" i="8"/>
  <c r="BD459" i="8"/>
  <c r="BD449" i="8"/>
  <c r="BD441" i="8"/>
  <c r="BD452" i="8"/>
  <c r="BD444" i="8"/>
  <c r="BD436" i="8"/>
  <c r="BD447" i="8"/>
  <c r="BD439" i="8"/>
  <c r="BD446" i="8"/>
  <c r="BD450" i="8"/>
  <c r="BD442" i="8"/>
  <c r="BD434" i="8"/>
  <c r="BD445" i="8"/>
  <c r="BD437" i="8"/>
  <c r="BD448" i="8"/>
  <c r="BD440" i="8"/>
  <c r="BD438" i="8"/>
  <c r="BD451" i="8"/>
  <c r="BD443" i="8"/>
  <c r="BD435" i="8"/>
  <c r="BD428" i="8"/>
  <c r="BD420" i="8"/>
  <c r="BD431" i="8"/>
  <c r="BD423" i="8"/>
  <c r="BD415" i="8"/>
  <c r="BD426" i="8"/>
  <c r="BD418" i="8"/>
  <c r="BD429" i="8"/>
  <c r="BD421" i="8"/>
  <c r="BD413" i="8"/>
  <c r="BD425" i="8"/>
  <c r="BD424" i="8"/>
  <c r="BD416" i="8"/>
  <c r="BD427" i="8"/>
  <c r="BD419" i="8"/>
  <c r="BD430" i="8"/>
  <c r="BD422" i="8"/>
  <c r="BD414" i="8"/>
  <c r="BD417" i="8"/>
  <c r="BD407" i="8"/>
  <c r="BD399" i="8"/>
  <c r="BD410" i="8"/>
  <c r="BD402" i="8"/>
  <c r="BD394" i="8"/>
  <c r="BD404" i="8"/>
  <c r="BD405" i="8"/>
  <c r="BD397" i="8"/>
  <c r="BD408" i="8"/>
  <c r="BD400" i="8"/>
  <c r="BD392" i="8"/>
  <c r="BD403" i="8"/>
  <c r="BD395" i="8"/>
  <c r="BD396" i="8"/>
  <c r="BD406" i="8"/>
  <c r="BD398" i="8"/>
  <c r="BD409" i="8"/>
  <c r="BD401" i="8"/>
  <c r="BD393" i="8"/>
  <c r="BD386" i="8"/>
  <c r="BD378" i="8"/>
  <c r="BD389" i="8"/>
  <c r="BD381" i="8"/>
  <c r="BD373" i="8"/>
  <c r="BD384" i="8"/>
  <c r="BD376" i="8"/>
  <c r="BD377" i="8"/>
  <c r="BD387" i="8"/>
  <c r="BD379" i="8"/>
  <c r="BD371" i="8"/>
  <c r="BD382" i="8"/>
  <c r="BD374" i="8"/>
  <c r="BD388" i="8"/>
  <c r="BD380" i="8"/>
  <c r="BD372" i="8"/>
  <c r="BD385" i="8"/>
  <c r="BD383" i="8"/>
  <c r="BD375" i="8"/>
  <c r="BD365" i="8"/>
  <c r="BD357" i="8"/>
  <c r="BD368" i="8"/>
  <c r="BD360" i="8"/>
  <c r="BD352" i="8"/>
  <c r="BD363" i="8"/>
  <c r="BD355" i="8"/>
  <c r="BD366" i="8"/>
  <c r="BD358" i="8"/>
  <c r="BD350" i="8"/>
  <c r="BD361" i="8"/>
  <c r="BD353" i="8"/>
  <c r="BD354" i="8"/>
  <c r="BD364" i="8"/>
  <c r="BD356" i="8"/>
  <c r="BD362" i="8"/>
  <c r="BD367" i="8"/>
  <c r="BD359" i="8"/>
  <c r="BD351" i="8"/>
  <c r="BD344" i="8"/>
  <c r="BD336" i="8"/>
  <c r="BD347" i="8"/>
  <c r="BD339" i="8"/>
  <c r="BD331" i="8"/>
  <c r="BD342" i="8"/>
  <c r="BD334" i="8"/>
  <c r="BD345" i="8"/>
  <c r="BD337" i="8"/>
  <c r="BD329" i="8"/>
  <c r="BD333" i="8"/>
  <c r="BD340" i="8"/>
  <c r="BD332" i="8"/>
  <c r="BD341" i="8"/>
  <c r="BD343" i="8"/>
  <c r="BD335" i="8"/>
  <c r="BD346" i="8"/>
  <c r="BD338" i="8"/>
  <c r="BD330" i="8"/>
  <c r="BD323" i="8"/>
  <c r="BD315" i="8"/>
  <c r="BD312" i="8"/>
  <c r="BD326" i="8"/>
  <c r="BD318" i="8"/>
  <c r="BD310" i="8"/>
  <c r="BD321" i="8"/>
  <c r="BD313" i="8"/>
  <c r="BD324" i="8"/>
  <c r="BD316" i="8"/>
  <c r="BD308" i="8"/>
  <c r="BD319" i="8"/>
  <c r="BD311" i="8"/>
  <c r="BD320" i="8"/>
  <c r="BD322" i="8"/>
  <c r="BD314" i="8"/>
  <c r="BD325" i="8"/>
  <c r="BD317" i="8"/>
  <c r="BD309" i="8"/>
  <c r="BD302" i="8"/>
  <c r="BD294" i="8"/>
  <c r="BD305" i="8"/>
  <c r="BD297" i="8"/>
  <c r="BD289" i="8"/>
  <c r="BD300" i="8"/>
  <c r="BD292" i="8"/>
  <c r="BD303" i="8"/>
  <c r="BD295" i="8"/>
  <c r="BD287" i="8"/>
  <c r="BD291" i="8"/>
  <c r="BD298" i="8"/>
  <c r="BD290" i="8"/>
  <c r="BD301" i="8"/>
  <c r="BD293" i="8"/>
  <c r="BD304" i="8"/>
  <c r="BD296" i="8"/>
  <c r="BD288" i="8"/>
  <c r="BD299" i="8"/>
  <c r="BD281" i="8"/>
  <c r="BD273" i="8"/>
  <c r="BD270" i="8"/>
  <c r="BD284" i="8"/>
  <c r="BD276" i="8"/>
  <c r="BD268" i="8"/>
  <c r="BD279" i="8"/>
  <c r="BD271" i="8"/>
  <c r="BD282" i="8"/>
  <c r="BD274" i="8"/>
  <c r="BD266" i="8"/>
  <c r="BD277" i="8"/>
  <c r="BD269" i="8"/>
  <c r="BD280" i="8"/>
  <c r="BD272" i="8"/>
  <c r="BD278" i="8"/>
  <c r="BD283" i="8"/>
  <c r="BD275" i="8"/>
  <c r="BD267" i="8"/>
  <c r="BD260" i="8"/>
  <c r="BD252" i="8"/>
  <c r="BD263" i="8"/>
  <c r="BD255" i="8"/>
  <c r="BD247" i="8"/>
  <c r="BD258" i="8"/>
  <c r="BD250" i="8"/>
  <c r="BD261" i="8"/>
  <c r="BD253" i="8"/>
  <c r="BD245" i="8"/>
  <c r="BD256" i="8"/>
  <c r="BD248" i="8"/>
  <c r="BD257" i="8"/>
  <c r="BD259" i="8"/>
  <c r="BD251" i="8"/>
  <c r="BD262" i="8"/>
  <c r="BD254" i="8"/>
  <c r="BD246" i="8"/>
  <c r="BD249" i="8"/>
  <c r="BD239" i="8"/>
  <c r="BD231" i="8"/>
  <c r="BD242" i="8"/>
  <c r="BD234" i="8"/>
  <c r="BD226" i="8"/>
  <c r="BD237" i="8"/>
  <c r="BD229" i="8"/>
  <c r="BD240" i="8"/>
  <c r="BD232" i="8"/>
  <c r="BD224" i="8"/>
  <c r="BD235" i="8"/>
  <c r="BD227" i="8"/>
  <c r="BD238" i="8"/>
  <c r="BD230" i="8"/>
  <c r="BD233" i="8"/>
  <c r="BD228" i="8"/>
  <c r="BD236" i="8"/>
  <c r="BD241" i="8"/>
  <c r="BD225" i="8"/>
  <c r="BD218" i="8"/>
  <c r="BD210" i="8"/>
  <c r="BD221" i="8"/>
  <c r="BD213" i="8"/>
  <c r="BD205" i="8"/>
  <c r="BD216" i="8"/>
  <c r="BD208" i="8"/>
  <c r="BD219" i="8"/>
  <c r="BD211" i="8"/>
  <c r="BD203" i="8"/>
  <c r="BD214" i="8"/>
  <c r="BD206" i="8"/>
  <c r="BD217" i="8"/>
  <c r="BD209" i="8"/>
  <c r="BD220" i="8"/>
  <c r="BD212" i="8"/>
  <c r="BD204" i="8"/>
  <c r="BD215" i="8"/>
  <c r="BD207" i="8"/>
  <c r="BD197" i="8"/>
  <c r="BD189" i="8"/>
  <c r="BD191" i="8"/>
  <c r="BD200" i="8"/>
  <c r="BD192" i="8"/>
  <c r="BD184" i="8"/>
  <c r="BD195" i="8"/>
  <c r="BD187" i="8"/>
  <c r="BD198" i="8"/>
  <c r="BD190" i="8"/>
  <c r="BD182" i="8"/>
  <c r="BD199" i="8"/>
  <c r="BD193" i="8"/>
  <c r="BD185" i="8"/>
  <c r="BD183" i="8"/>
  <c r="BD196" i="8"/>
  <c r="BD188" i="8"/>
  <c r="BD194" i="8"/>
  <c r="BD186" i="8"/>
  <c r="BD176" i="8"/>
  <c r="BD168" i="8"/>
  <c r="BD173" i="8"/>
  <c r="BD165" i="8"/>
  <c r="BD179" i="8"/>
  <c r="BD171" i="8"/>
  <c r="BD163" i="8"/>
  <c r="BD174" i="8"/>
  <c r="BD166" i="8"/>
  <c r="BD177" i="8"/>
  <c r="BD169" i="8"/>
  <c r="BD161" i="8"/>
  <c r="BD172" i="8"/>
  <c r="BD164" i="8"/>
  <c r="BD175" i="8"/>
  <c r="BD167" i="8"/>
  <c r="BD178" i="8"/>
  <c r="BD170" i="8"/>
  <c r="BD162" i="8"/>
  <c r="BD155" i="8"/>
  <c r="BD147" i="8"/>
  <c r="BD158" i="8"/>
  <c r="BD150" i="8"/>
  <c r="BD142" i="8"/>
  <c r="BD149" i="8"/>
  <c r="BD153" i="8"/>
  <c r="BD145" i="8"/>
  <c r="BD157" i="8"/>
  <c r="BD156" i="8"/>
  <c r="BD148" i="8"/>
  <c r="BD140" i="8"/>
  <c r="BD151" i="8"/>
  <c r="BD143" i="8"/>
  <c r="BD154" i="8"/>
  <c r="BD146" i="8"/>
  <c r="BD152" i="8"/>
  <c r="BD144" i="8"/>
  <c r="BD141" i="8"/>
  <c r="BD134" i="8"/>
  <c r="BD126" i="8"/>
  <c r="BD120" i="8"/>
  <c r="BD137" i="8"/>
  <c r="BD129" i="8"/>
  <c r="BD121" i="8"/>
  <c r="BD132" i="8"/>
  <c r="BD124" i="8"/>
  <c r="BD135" i="8"/>
  <c r="BD127" i="8"/>
  <c r="BD119" i="8"/>
  <c r="BD130" i="8"/>
  <c r="BD122" i="8"/>
  <c r="BD128" i="8"/>
  <c r="BD133" i="8"/>
  <c r="BD125" i="8"/>
  <c r="BD136" i="8"/>
  <c r="BD131" i="8"/>
  <c r="BD123" i="8"/>
  <c r="BD139" i="8"/>
  <c r="AN139" i="8" s="1"/>
  <c r="AS139" i="8" s="1"/>
  <c r="EL591" i="9"/>
  <c r="EM591" i="9"/>
  <c r="BD391" i="8"/>
  <c r="AO391" i="8" s="1"/>
  <c r="AT391" i="8" s="1"/>
  <c r="BD412" i="8"/>
  <c r="AM412" i="8" s="1"/>
  <c r="AR412" i="8" s="1"/>
  <c r="BD349" i="8"/>
  <c r="R349" i="8" s="1"/>
  <c r="W349" i="8" s="1"/>
  <c r="BD370" i="8"/>
  <c r="AN370" i="8" s="1"/>
  <c r="AS370" i="8" s="1"/>
  <c r="BD307" i="8"/>
  <c r="AB307" i="8" s="1"/>
  <c r="AG307" i="8" s="1"/>
  <c r="BD265" i="8"/>
  <c r="AN265" i="8" s="1"/>
  <c r="AS265" i="8" s="1"/>
  <c r="BD181" i="8"/>
  <c r="AC181" i="8" s="1"/>
  <c r="AH181" i="8" s="1"/>
  <c r="BD286" i="8"/>
  <c r="AM286" i="8" s="1"/>
  <c r="AR286" i="8" s="1"/>
  <c r="BD244" i="8"/>
  <c r="AN244" i="8" s="1"/>
  <c r="AS244" i="8" s="1"/>
  <c r="BD328" i="8"/>
  <c r="R328" i="8" s="1"/>
  <c r="W328" i="8" s="1"/>
  <c r="BD223" i="8"/>
  <c r="AA223" i="8" s="1"/>
  <c r="AF223" i="8" s="1"/>
  <c r="BD202" i="8"/>
  <c r="AM202" i="8" s="1"/>
  <c r="AR202" i="8" s="1"/>
  <c r="BD118" i="8"/>
  <c r="Q118" i="8" s="1"/>
  <c r="BD580" i="8"/>
  <c r="BD496" i="8"/>
  <c r="BD545" i="8"/>
  <c r="BD579" i="8"/>
  <c r="BD551" i="8"/>
  <c r="BD581" i="8"/>
  <c r="BD560" i="8"/>
  <c r="BD574" i="8"/>
  <c r="BD553" i="8"/>
  <c r="BD582" i="8"/>
  <c r="BD565" i="8"/>
  <c r="BD564" i="8"/>
  <c r="BD554" i="8"/>
  <c r="BD570" i="8"/>
  <c r="BD572" i="8"/>
  <c r="BD542" i="8"/>
  <c r="BD559" i="8"/>
  <c r="BD557" i="8"/>
  <c r="BD568" i="8"/>
  <c r="BD541" i="8"/>
  <c r="BD555" i="8"/>
  <c r="BD566" i="8"/>
  <c r="BD577" i="8"/>
  <c r="BD544" i="8"/>
  <c r="BD543" i="8"/>
  <c r="BD567" i="8"/>
  <c r="BD578" i="8"/>
  <c r="BD433" i="8"/>
  <c r="BD547" i="8"/>
  <c r="BD562" i="8"/>
  <c r="BD548" i="8"/>
  <c r="BD563" i="8"/>
  <c r="BD584" i="8"/>
  <c r="BD546" i="8"/>
  <c r="BD587" i="8"/>
  <c r="BD588" i="8"/>
  <c r="BD561" i="8"/>
  <c r="BD589" i="8"/>
  <c r="BD454" i="8"/>
  <c r="BD575" i="8"/>
  <c r="BD550" i="8"/>
  <c r="BD517" i="8"/>
  <c r="BD558" i="8"/>
  <c r="BD571" i="8"/>
  <c r="BD586" i="8"/>
  <c r="BD475" i="8"/>
  <c r="BD583" i="8"/>
  <c r="BD552" i="8"/>
  <c r="BD576" i="8"/>
  <c r="BD585" i="8"/>
  <c r="BD549" i="8"/>
  <c r="BD556" i="8"/>
  <c r="BD540" i="8"/>
  <c r="BD573" i="8"/>
  <c r="BD569" i="8"/>
  <c r="BD160" i="8"/>
  <c r="AD160" i="8" s="1"/>
  <c r="AI160" i="8" s="1"/>
  <c r="D481" i="11"/>
  <c r="L1009" i="6" s="1"/>
  <c r="U1009" i="6" s="1"/>
  <c r="U1008" i="6"/>
  <c r="U1011" i="6"/>
  <c r="AD71" i="14"/>
  <c r="AF71" i="14"/>
  <c r="AA71" i="14"/>
  <c r="AG71" i="14"/>
  <c r="AE71" i="14"/>
  <c r="AH71" i="14"/>
  <c r="AB71" i="14"/>
  <c r="AI71" i="14"/>
  <c r="Z71" i="14"/>
  <c r="AJ71" i="14"/>
  <c r="AC71" i="14"/>
  <c r="AG27" i="14"/>
  <c r="AF27" i="14"/>
  <c r="AA27" i="14"/>
  <c r="Z27" i="14"/>
  <c r="AB27" i="14"/>
  <c r="AC27" i="14"/>
  <c r="AE27" i="14"/>
  <c r="AI27" i="14"/>
  <c r="AD27" i="14"/>
  <c r="AH27" i="14"/>
  <c r="AJ27" i="14"/>
  <c r="BZ225" i="9" l="1"/>
  <c r="BI684" i="11"/>
  <c r="BL684" i="11"/>
  <c r="BN684" i="11"/>
  <c r="BJ684" i="11"/>
  <c r="BK684" i="11"/>
  <c r="BM684" i="11"/>
  <c r="BF71" i="14"/>
  <c r="BO862" i="9"/>
  <c r="BM862" i="9"/>
  <c r="BD71" i="14"/>
  <c r="BN862" i="9"/>
  <c r="BE71" i="14"/>
  <c r="AO532" i="8"/>
  <c r="AT532" i="8" s="1"/>
  <c r="AD532" i="8"/>
  <c r="AI532" i="8" s="1"/>
  <c r="S532" i="8"/>
  <c r="X532" i="8" s="1"/>
  <c r="AA532" i="8"/>
  <c r="AF532" i="8" s="1"/>
  <c r="AN532" i="8"/>
  <c r="AS532" i="8" s="1"/>
  <c r="AC532" i="8"/>
  <c r="AH532" i="8" s="1"/>
  <c r="R532" i="8"/>
  <c r="W532" i="8" s="1"/>
  <c r="AM532" i="8"/>
  <c r="AR532" i="8" s="1"/>
  <c r="AB532" i="8"/>
  <c r="AG532" i="8" s="1"/>
  <c r="Q532" i="8"/>
  <c r="V532" i="8" s="1"/>
  <c r="AL532" i="8"/>
  <c r="AQ532" i="8" s="1"/>
  <c r="P532" i="8"/>
  <c r="U532" i="8" s="1"/>
  <c r="AO522" i="8"/>
  <c r="AT522" i="8" s="1"/>
  <c r="AD522" i="8"/>
  <c r="AI522" i="8" s="1"/>
  <c r="S522" i="8"/>
  <c r="X522" i="8" s="1"/>
  <c r="AL522" i="8"/>
  <c r="AQ522" i="8" s="1"/>
  <c r="AA522" i="8"/>
  <c r="AF522" i="8" s="1"/>
  <c r="P522" i="8"/>
  <c r="U522" i="8" s="1"/>
  <c r="Q522" i="8"/>
  <c r="V522" i="8" s="1"/>
  <c r="R522" i="8"/>
  <c r="W522" i="8" s="1"/>
  <c r="AN522" i="8"/>
  <c r="AS522" i="8" s="1"/>
  <c r="AM522" i="8"/>
  <c r="AR522" i="8" s="1"/>
  <c r="AC522" i="8"/>
  <c r="AH522" i="8" s="1"/>
  <c r="AB522" i="8"/>
  <c r="AG522" i="8" s="1"/>
  <c r="AM523" i="8"/>
  <c r="AR523" i="8" s="1"/>
  <c r="AB523" i="8"/>
  <c r="AG523" i="8" s="1"/>
  <c r="Q523" i="8"/>
  <c r="V523" i="8" s="1"/>
  <c r="AL523" i="8"/>
  <c r="AQ523" i="8" s="1"/>
  <c r="AA523" i="8"/>
  <c r="AF523" i="8" s="1"/>
  <c r="P523" i="8"/>
  <c r="U523" i="8" s="1"/>
  <c r="AO523" i="8"/>
  <c r="AT523" i="8" s="1"/>
  <c r="AD523" i="8"/>
  <c r="AI523" i="8" s="1"/>
  <c r="S523" i="8"/>
  <c r="X523" i="8" s="1"/>
  <c r="AN523" i="8"/>
  <c r="AS523" i="8" s="1"/>
  <c r="AC523" i="8"/>
  <c r="AH523" i="8" s="1"/>
  <c r="R523" i="8"/>
  <c r="W523" i="8" s="1"/>
  <c r="AN534" i="8"/>
  <c r="AS534" i="8" s="1"/>
  <c r="AC534" i="8"/>
  <c r="AH534" i="8" s="1"/>
  <c r="R534" i="8"/>
  <c r="W534" i="8" s="1"/>
  <c r="AM534" i="8"/>
  <c r="AR534" i="8" s="1"/>
  <c r="AB534" i="8"/>
  <c r="AG534" i="8" s="1"/>
  <c r="Q534" i="8"/>
  <c r="V534" i="8" s="1"/>
  <c r="AL534" i="8"/>
  <c r="AQ534" i="8" s="1"/>
  <c r="AA534" i="8"/>
  <c r="AF534" i="8" s="1"/>
  <c r="P534" i="8"/>
  <c r="U534" i="8" s="1"/>
  <c r="S534" i="8"/>
  <c r="X534" i="8" s="1"/>
  <c r="AO534" i="8"/>
  <c r="AT534" i="8" s="1"/>
  <c r="AD534" i="8"/>
  <c r="AI534" i="8" s="1"/>
  <c r="AO529" i="8"/>
  <c r="AT529" i="8" s="1"/>
  <c r="AD529" i="8"/>
  <c r="AI529" i="8" s="1"/>
  <c r="S529" i="8"/>
  <c r="X529" i="8" s="1"/>
  <c r="AN529" i="8"/>
  <c r="AS529" i="8" s="1"/>
  <c r="AC529" i="8"/>
  <c r="AH529" i="8" s="1"/>
  <c r="R529" i="8"/>
  <c r="W529" i="8" s="1"/>
  <c r="AM529" i="8"/>
  <c r="AR529" i="8" s="1"/>
  <c r="AB529" i="8"/>
  <c r="AG529" i="8" s="1"/>
  <c r="Q529" i="8"/>
  <c r="V529" i="8" s="1"/>
  <c r="AL529" i="8"/>
  <c r="AQ529" i="8" s="1"/>
  <c r="AA529" i="8"/>
  <c r="AF529" i="8" s="1"/>
  <c r="P529" i="8"/>
  <c r="U529" i="8" s="1"/>
  <c r="AM531" i="8"/>
  <c r="AR531" i="8" s="1"/>
  <c r="AB531" i="8"/>
  <c r="AG531" i="8" s="1"/>
  <c r="Q531" i="8"/>
  <c r="V531" i="8" s="1"/>
  <c r="AL531" i="8"/>
  <c r="AQ531" i="8" s="1"/>
  <c r="AA531" i="8"/>
  <c r="AF531" i="8" s="1"/>
  <c r="P531" i="8"/>
  <c r="U531" i="8" s="1"/>
  <c r="AO531" i="8"/>
  <c r="AT531" i="8" s="1"/>
  <c r="AD531" i="8"/>
  <c r="AI531" i="8" s="1"/>
  <c r="S531" i="8"/>
  <c r="X531" i="8" s="1"/>
  <c r="R531" i="8"/>
  <c r="W531" i="8" s="1"/>
  <c r="AN531" i="8"/>
  <c r="AS531" i="8" s="1"/>
  <c r="AC531" i="8"/>
  <c r="AH531" i="8" s="1"/>
  <c r="AO519" i="8"/>
  <c r="AT519" i="8" s="1"/>
  <c r="AD519" i="8"/>
  <c r="AI519" i="8" s="1"/>
  <c r="S519" i="8"/>
  <c r="X519" i="8" s="1"/>
  <c r="AN519" i="8"/>
  <c r="AS519" i="8" s="1"/>
  <c r="AC519" i="8"/>
  <c r="AH519" i="8" s="1"/>
  <c r="R519" i="8"/>
  <c r="W519" i="8" s="1"/>
  <c r="AL519" i="8"/>
  <c r="AQ519" i="8" s="1"/>
  <c r="AM519" i="8"/>
  <c r="AR519" i="8" s="1"/>
  <c r="AB519" i="8"/>
  <c r="AG519" i="8" s="1"/>
  <c r="AA519" i="8"/>
  <c r="AF519" i="8" s="1"/>
  <c r="P519" i="8"/>
  <c r="U519" i="8" s="1"/>
  <c r="Q519" i="8"/>
  <c r="V519" i="8" s="1"/>
  <c r="AL520" i="8"/>
  <c r="AQ520" i="8" s="1"/>
  <c r="AA520" i="8"/>
  <c r="AF520" i="8" s="1"/>
  <c r="P520" i="8"/>
  <c r="U520" i="8" s="1"/>
  <c r="AN520" i="8"/>
  <c r="AS520" i="8" s="1"/>
  <c r="AC520" i="8"/>
  <c r="AH520" i="8" s="1"/>
  <c r="R520" i="8"/>
  <c r="W520" i="8" s="1"/>
  <c r="AD520" i="8"/>
  <c r="AI520" i="8" s="1"/>
  <c r="AB520" i="8"/>
  <c r="AG520" i="8" s="1"/>
  <c r="S520" i="8"/>
  <c r="X520" i="8" s="1"/>
  <c r="AM520" i="8"/>
  <c r="AR520" i="8" s="1"/>
  <c r="Q520" i="8"/>
  <c r="V520" i="8" s="1"/>
  <c r="AO520" i="8"/>
  <c r="AT520" i="8" s="1"/>
  <c r="AO527" i="8"/>
  <c r="AT527" i="8" s="1"/>
  <c r="AD527" i="8"/>
  <c r="AI527" i="8" s="1"/>
  <c r="S527" i="8"/>
  <c r="X527" i="8" s="1"/>
  <c r="AN527" i="8"/>
  <c r="AS527" i="8" s="1"/>
  <c r="AC527" i="8"/>
  <c r="AH527" i="8" s="1"/>
  <c r="R527" i="8"/>
  <c r="W527" i="8" s="1"/>
  <c r="AB527" i="8"/>
  <c r="AG527" i="8" s="1"/>
  <c r="AA527" i="8"/>
  <c r="AF527" i="8" s="1"/>
  <c r="Q527" i="8"/>
  <c r="V527" i="8" s="1"/>
  <c r="P527" i="8"/>
  <c r="U527" i="8" s="1"/>
  <c r="AM527" i="8"/>
  <c r="AR527" i="8" s="1"/>
  <c r="AL527" i="8"/>
  <c r="AQ527" i="8" s="1"/>
  <c r="AL528" i="8"/>
  <c r="AQ528" i="8" s="1"/>
  <c r="AA528" i="8"/>
  <c r="AF528" i="8" s="1"/>
  <c r="P528" i="8"/>
  <c r="U528" i="8" s="1"/>
  <c r="AN528" i="8"/>
  <c r="AS528" i="8" s="1"/>
  <c r="AC528" i="8"/>
  <c r="AH528" i="8" s="1"/>
  <c r="R528" i="8"/>
  <c r="W528" i="8" s="1"/>
  <c r="S528" i="8"/>
  <c r="X528" i="8" s="1"/>
  <c r="Q528" i="8"/>
  <c r="V528" i="8" s="1"/>
  <c r="AO528" i="8"/>
  <c r="AT528" i="8" s="1"/>
  <c r="AM528" i="8"/>
  <c r="AR528" i="8" s="1"/>
  <c r="AD528" i="8"/>
  <c r="AI528" i="8" s="1"/>
  <c r="AB528" i="8"/>
  <c r="AG528" i="8" s="1"/>
  <c r="AO530" i="8"/>
  <c r="AT530" i="8" s="1"/>
  <c r="AD530" i="8"/>
  <c r="AI530" i="8" s="1"/>
  <c r="S530" i="8"/>
  <c r="X530" i="8" s="1"/>
  <c r="AL530" i="8"/>
  <c r="AQ530" i="8" s="1"/>
  <c r="AA530" i="8"/>
  <c r="AF530" i="8" s="1"/>
  <c r="P530" i="8"/>
  <c r="U530" i="8" s="1"/>
  <c r="AC530" i="8"/>
  <c r="AH530" i="8" s="1"/>
  <c r="AB530" i="8"/>
  <c r="AG530" i="8" s="1"/>
  <c r="R530" i="8"/>
  <c r="W530" i="8" s="1"/>
  <c r="Q530" i="8"/>
  <c r="V530" i="8" s="1"/>
  <c r="AN530" i="8"/>
  <c r="AS530" i="8" s="1"/>
  <c r="AM530" i="8"/>
  <c r="AR530" i="8" s="1"/>
  <c r="AO535" i="8"/>
  <c r="AT535" i="8" s="1"/>
  <c r="AD535" i="8"/>
  <c r="AI535" i="8" s="1"/>
  <c r="S535" i="8"/>
  <c r="X535" i="8" s="1"/>
  <c r="AN535" i="8"/>
  <c r="AS535" i="8" s="1"/>
  <c r="AC535" i="8"/>
  <c r="AH535" i="8" s="1"/>
  <c r="R535" i="8"/>
  <c r="W535" i="8" s="1"/>
  <c r="AM535" i="8"/>
  <c r="AR535" i="8" s="1"/>
  <c r="AB535" i="8"/>
  <c r="AG535" i="8" s="1"/>
  <c r="Q535" i="8"/>
  <c r="V535" i="8" s="1"/>
  <c r="AA535" i="8"/>
  <c r="AF535" i="8" s="1"/>
  <c r="P535" i="8"/>
  <c r="U535" i="8" s="1"/>
  <c r="AL535" i="8"/>
  <c r="AQ535" i="8" s="1"/>
  <c r="AL536" i="8"/>
  <c r="AQ536" i="8" s="1"/>
  <c r="AA536" i="8"/>
  <c r="AF536" i="8" s="1"/>
  <c r="P536" i="8"/>
  <c r="U536" i="8" s="1"/>
  <c r="AN536" i="8"/>
  <c r="AS536" i="8" s="1"/>
  <c r="AC536" i="8"/>
  <c r="AH536" i="8" s="1"/>
  <c r="R536" i="8"/>
  <c r="W536" i="8" s="1"/>
  <c r="AM536" i="8"/>
  <c r="AR536" i="8" s="1"/>
  <c r="AB536" i="8"/>
  <c r="AG536" i="8" s="1"/>
  <c r="AD536" i="8"/>
  <c r="AI536" i="8" s="1"/>
  <c r="S536" i="8"/>
  <c r="X536" i="8" s="1"/>
  <c r="Q536" i="8"/>
  <c r="V536" i="8" s="1"/>
  <c r="AO536" i="8"/>
  <c r="AT536" i="8" s="1"/>
  <c r="AO521" i="8"/>
  <c r="AT521" i="8" s="1"/>
  <c r="AD521" i="8"/>
  <c r="AI521" i="8" s="1"/>
  <c r="S521" i="8"/>
  <c r="X521" i="8" s="1"/>
  <c r="AN521" i="8"/>
  <c r="AS521" i="8" s="1"/>
  <c r="AC521" i="8"/>
  <c r="AH521" i="8" s="1"/>
  <c r="R521" i="8"/>
  <c r="W521" i="8" s="1"/>
  <c r="AM521" i="8"/>
  <c r="AR521" i="8" s="1"/>
  <c r="AB521" i="8"/>
  <c r="AG521" i="8" s="1"/>
  <c r="Q521" i="8"/>
  <c r="V521" i="8" s="1"/>
  <c r="AL521" i="8"/>
  <c r="AQ521" i="8" s="1"/>
  <c r="AA521" i="8"/>
  <c r="AF521" i="8" s="1"/>
  <c r="P521" i="8"/>
  <c r="U521" i="8" s="1"/>
  <c r="AN518" i="8"/>
  <c r="AS518" i="8" s="1"/>
  <c r="AC518" i="8"/>
  <c r="AH518" i="8" s="1"/>
  <c r="R518" i="8"/>
  <c r="W518" i="8" s="1"/>
  <c r="AM518" i="8"/>
  <c r="AR518" i="8" s="1"/>
  <c r="AB518" i="8"/>
  <c r="AG518" i="8" s="1"/>
  <c r="Q518" i="8"/>
  <c r="V518" i="8" s="1"/>
  <c r="AL518" i="8"/>
  <c r="AQ518" i="8" s="1"/>
  <c r="AA518" i="8"/>
  <c r="AF518" i="8" s="1"/>
  <c r="P518" i="8"/>
  <c r="U518" i="8" s="1"/>
  <c r="S518" i="8"/>
  <c r="X518" i="8" s="1"/>
  <c r="AO518" i="8"/>
  <c r="AT518" i="8" s="1"/>
  <c r="AD518" i="8"/>
  <c r="AI518" i="8" s="1"/>
  <c r="AM525" i="8"/>
  <c r="AR525" i="8" s="1"/>
  <c r="AB525" i="8"/>
  <c r="AG525" i="8" s="1"/>
  <c r="Q525" i="8"/>
  <c r="V525" i="8" s="1"/>
  <c r="AO525" i="8"/>
  <c r="AT525" i="8" s="1"/>
  <c r="P525" i="8"/>
  <c r="U525" i="8" s="1"/>
  <c r="AN525" i="8"/>
  <c r="AS525" i="8" s="1"/>
  <c r="AL525" i="8"/>
  <c r="AQ525" i="8" s="1"/>
  <c r="S525" i="8"/>
  <c r="X525" i="8" s="1"/>
  <c r="AD525" i="8"/>
  <c r="AI525" i="8" s="1"/>
  <c r="AC525" i="8"/>
  <c r="AH525" i="8" s="1"/>
  <c r="R525" i="8"/>
  <c r="W525" i="8" s="1"/>
  <c r="AA525" i="8"/>
  <c r="AF525" i="8" s="1"/>
  <c r="AO524" i="8"/>
  <c r="AT524" i="8" s="1"/>
  <c r="AD524" i="8"/>
  <c r="AI524" i="8" s="1"/>
  <c r="S524" i="8"/>
  <c r="X524" i="8" s="1"/>
  <c r="AN524" i="8"/>
  <c r="AS524" i="8" s="1"/>
  <c r="AC524" i="8"/>
  <c r="AH524" i="8" s="1"/>
  <c r="R524" i="8"/>
  <c r="W524" i="8" s="1"/>
  <c r="AM524" i="8"/>
  <c r="AR524" i="8" s="1"/>
  <c r="AB524" i="8"/>
  <c r="AG524" i="8" s="1"/>
  <c r="Q524" i="8"/>
  <c r="V524" i="8" s="1"/>
  <c r="P524" i="8"/>
  <c r="U524" i="8" s="1"/>
  <c r="AL524" i="8"/>
  <c r="AQ524" i="8" s="1"/>
  <c r="AA524" i="8"/>
  <c r="AF524" i="8" s="1"/>
  <c r="AN526" i="8"/>
  <c r="AS526" i="8" s="1"/>
  <c r="AC526" i="8"/>
  <c r="AH526" i="8" s="1"/>
  <c r="R526" i="8"/>
  <c r="W526" i="8" s="1"/>
  <c r="AM526" i="8"/>
  <c r="AR526" i="8" s="1"/>
  <c r="AB526" i="8"/>
  <c r="AG526" i="8" s="1"/>
  <c r="Q526" i="8"/>
  <c r="V526" i="8" s="1"/>
  <c r="AL526" i="8"/>
  <c r="AQ526" i="8" s="1"/>
  <c r="AA526" i="8"/>
  <c r="AF526" i="8" s="1"/>
  <c r="P526" i="8"/>
  <c r="U526" i="8" s="1"/>
  <c r="AD526" i="8"/>
  <c r="AI526" i="8" s="1"/>
  <c r="AO526" i="8"/>
  <c r="AT526" i="8" s="1"/>
  <c r="S526" i="8"/>
  <c r="X526" i="8" s="1"/>
  <c r="S533" i="8"/>
  <c r="X533" i="8" s="1"/>
  <c r="AO533" i="8"/>
  <c r="AT533" i="8" s="1"/>
  <c r="AD533" i="8"/>
  <c r="AI533" i="8" s="1"/>
  <c r="AM533" i="8"/>
  <c r="AR533" i="8" s="1"/>
  <c r="AB533" i="8"/>
  <c r="AG533" i="8" s="1"/>
  <c r="Q533" i="8"/>
  <c r="V533" i="8" s="1"/>
  <c r="P533" i="8"/>
  <c r="U533" i="8" s="1"/>
  <c r="R533" i="8"/>
  <c r="W533" i="8" s="1"/>
  <c r="AN533" i="8"/>
  <c r="AS533" i="8" s="1"/>
  <c r="AL533" i="8"/>
  <c r="AQ533" i="8" s="1"/>
  <c r="AC533" i="8"/>
  <c r="AH533" i="8" s="1"/>
  <c r="AA533" i="8"/>
  <c r="AF533" i="8" s="1"/>
  <c r="AO503" i="8"/>
  <c r="AT503" i="8" s="1"/>
  <c r="AD503" i="8"/>
  <c r="AI503" i="8" s="1"/>
  <c r="S503" i="8"/>
  <c r="X503" i="8" s="1"/>
  <c r="AN503" i="8"/>
  <c r="AS503" i="8" s="1"/>
  <c r="AC503" i="8"/>
  <c r="AH503" i="8" s="1"/>
  <c r="R503" i="8"/>
  <c r="W503" i="8" s="1"/>
  <c r="AM503" i="8"/>
  <c r="AR503" i="8" s="1"/>
  <c r="AB503" i="8"/>
  <c r="AG503" i="8" s="1"/>
  <c r="Q503" i="8"/>
  <c r="V503" i="8" s="1"/>
  <c r="AL503" i="8"/>
  <c r="AQ503" i="8" s="1"/>
  <c r="AA503" i="8"/>
  <c r="AF503" i="8" s="1"/>
  <c r="P503" i="8"/>
  <c r="U503" i="8" s="1"/>
  <c r="AM502" i="8"/>
  <c r="AR502" i="8" s="1"/>
  <c r="AB502" i="8"/>
  <c r="AG502" i="8" s="1"/>
  <c r="Q502" i="8"/>
  <c r="V502" i="8" s="1"/>
  <c r="AC502" i="8"/>
  <c r="AH502" i="8" s="1"/>
  <c r="AL502" i="8"/>
  <c r="AQ502" i="8" s="1"/>
  <c r="AA502" i="8"/>
  <c r="AF502" i="8" s="1"/>
  <c r="P502" i="8"/>
  <c r="U502" i="8" s="1"/>
  <c r="R502" i="8"/>
  <c r="W502" i="8" s="1"/>
  <c r="AO502" i="8"/>
  <c r="AT502" i="8" s="1"/>
  <c r="AD502" i="8"/>
  <c r="AI502" i="8" s="1"/>
  <c r="S502" i="8"/>
  <c r="X502" i="8" s="1"/>
  <c r="AN502" i="8"/>
  <c r="AS502" i="8" s="1"/>
  <c r="AO511" i="8"/>
  <c r="AT511" i="8" s="1"/>
  <c r="AD511" i="8"/>
  <c r="AI511" i="8" s="1"/>
  <c r="S511" i="8"/>
  <c r="X511" i="8" s="1"/>
  <c r="AN511" i="8"/>
  <c r="AS511" i="8" s="1"/>
  <c r="AC511" i="8"/>
  <c r="AH511" i="8" s="1"/>
  <c r="R511" i="8"/>
  <c r="W511" i="8" s="1"/>
  <c r="AM511" i="8"/>
  <c r="AR511" i="8" s="1"/>
  <c r="AB511" i="8"/>
  <c r="AG511" i="8" s="1"/>
  <c r="Q511" i="8"/>
  <c r="V511" i="8" s="1"/>
  <c r="AL511" i="8"/>
  <c r="AQ511" i="8" s="1"/>
  <c r="AA511" i="8"/>
  <c r="AF511" i="8" s="1"/>
  <c r="P511" i="8"/>
  <c r="U511" i="8" s="1"/>
  <c r="AM510" i="8"/>
  <c r="AR510" i="8" s="1"/>
  <c r="AB510" i="8"/>
  <c r="AG510" i="8" s="1"/>
  <c r="Q510" i="8"/>
  <c r="V510" i="8" s="1"/>
  <c r="AL510" i="8"/>
  <c r="AQ510" i="8" s="1"/>
  <c r="AA510" i="8"/>
  <c r="AF510" i="8" s="1"/>
  <c r="P510" i="8"/>
  <c r="U510" i="8" s="1"/>
  <c r="AC510" i="8"/>
  <c r="AH510" i="8" s="1"/>
  <c r="AN510" i="8"/>
  <c r="AS510" i="8" s="1"/>
  <c r="R510" i="8"/>
  <c r="W510" i="8" s="1"/>
  <c r="AO510" i="8"/>
  <c r="AT510" i="8" s="1"/>
  <c r="AD510" i="8"/>
  <c r="AI510" i="8" s="1"/>
  <c r="S510" i="8"/>
  <c r="X510" i="8" s="1"/>
  <c r="AO509" i="8"/>
  <c r="AT509" i="8" s="1"/>
  <c r="AD509" i="8"/>
  <c r="AI509" i="8" s="1"/>
  <c r="S509" i="8"/>
  <c r="X509" i="8" s="1"/>
  <c r="AN509" i="8"/>
  <c r="AS509" i="8" s="1"/>
  <c r="AC509" i="8"/>
  <c r="AH509" i="8" s="1"/>
  <c r="R509" i="8"/>
  <c r="W509" i="8" s="1"/>
  <c r="AM509" i="8"/>
  <c r="AR509" i="8" s="1"/>
  <c r="AB509" i="8"/>
  <c r="AG509" i="8" s="1"/>
  <c r="Q509" i="8"/>
  <c r="V509" i="8" s="1"/>
  <c r="AL509" i="8"/>
  <c r="AQ509" i="8" s="1"/>
  <c r="AA509" i="8"/>
  <c r="AF509" i="8" s="1"/>
  <c r="P509" i="8"/>
  <c r="U509" i="8" s="1"/>
  <c r="AL499" i="8"/>
  <c r="AQ499" i="8" s="1"/>
  <c r="AA499" i="8"/>
  <c r="AF499" i="8" s="1"/>
  <c r="P499" i="8"/>
  <c r="U499" i="8" s="1"/>
  <c r="AB499" i="8"/>
  <c r="AG499" i="8" s="1"/>
  <c r="AM499" i="8"/>
  <c r="AR499" i="8" s="1"/>
  <c r="AO499" i="8"/>
  <c r="AT499" i="8" s="1"/>
  <c r="AD499" i="8"/>
  <c r="AI499" i="8" s="1"/>
  <c r="S499" i="8"/>
  <c r="X499" i="8" s="1"/>
  <c r="AN499" i="8"/>
  <c r="AS499" i="8" s="1"/>
  <c r="AC499" i="8"/>
  <c r="AH499" i="8" s="1"/>
  <c r="R499" i="8"/>
  <c r="W499" i="8" s="1"/>
  <c r="Q499" i="8"/>
  <c r="V499" i="8" s="1"/>
  <c r="AO500" i="8"/>
  <c r="AT500" i="8" s="1"/>
  <c r="AD500" i="8"/>
  <c r="AI500" i="8" s="1"/>
  <c r="S500" i="8"/>
  <c r="X500" i="8" s="1"/>
  <c r="AN500" i="8"/>
  <c r="AS500" i="8" s="1"/>
  <c r="AC500" i="8"/>
  <c r="AH500" i="8" s="1"/>
  <c r="R500" i="8"/>
  <c r="W500" i="8" s="1"/>
  <c r="AM500" i="8"/>
  <c r="AR500" i="8" s="1"/>
  <c r="AB500" i="8"/>
  <c r="AG500" i="8" s="1"/>
  <c r="Q500" i="8"/>
  <c r="V500" i="8" s="1"/>
  <c r="AL500" i="8"/>
  <c r="AQ500" i="8" s="1"/>
  <c r="AA500" i="8"/>
  <c r="AF500" i="8" s="1"/>
  <c r="P500" i="8"/>
  <c r="U500" i="8" s="1"/>
  <c r="AL507" i="8"/>
  <c r="AQ507" i="8" s="1"/>
  <c r="AA507" i="8"/>
  <c r="AF507" i="8" s="1"/>
  <c r="P507" i="8"/>
  <c r="U507" i="8" s="1"/>
  <c r="AM507" i="8"/>
  <c r="AR507" i="8" s="1"/>
  <c r="AB507" i="8"/>
  <c r="AG507" i="8" s="1"/>
  <c r="AO507" i="8"/>
  <c r="AT507" i="8" s="1"/>
  <c r="AD507" i="8"/>
  <c r="AI507" i="8" s="1"/>
  <c r="S507" i="8"/>
  <c r="X507" i="8" s="1"/>
  <c r="AN507" i="8"/>
  <c r="AS507" i="8" s="1"/>
  <c r="AC507" i="8"/>
  <c r="AH507" i="8" s="1"/>
  <c r="R507" i="8"/>
  <c r="W507" i="8" s="1"/>
  <c r="Q507" i="8"/>
  <c r="V507" i="8" s="1"/>
  <c r="AO508" i="8"/>
  <c r="AT508" i="8" s="1"/>
  <c r="AD508" i="8"/>
  <c r="AI508" i="8" s="1"/>
  <c r="S508" i="8"/>
  <c r="X508" i="8" s="1"/>
  <c r="AN508" i="8"/>
  <c r="AS508" i="8" s="1"/>
  <c r="AC508" i="8"/>
  <c r="AH508" i="8" s="1"/>
  <c r="R508" i="8"/>
  <c r="W508" i="8" s="1"/>
  <c r="AM508" i="8"/>
  <c r="AR508" i="8" s="1"/>
  <c r="AB508" i="8"/>
  <c r="AG508" i="8" s="1"/>
  <c r="Q508" i="8"/>
  <c r="V508" i="8" s="1"/>
  <c r="AL508" i="8"/>
  <c r="AQ508" i="8" s="1"/>
  <c r="AA508" i="8"/>
  <c r="AF508" i="8" s="1"/>
  <c r="P508" i="8"/>
  <c r="U508" i="8" s="1"/>
  <c r="AL515" i="8"/>
  <c r="AQ515" i="8" s="1"/>
  <c r="AA515" i="8"/>
  <c r="AF515" i="8" s="1"/>
  <c r="P515" i="8"/>
  <c r="U515" i="8" s="1"/>
  <c r="Q515" i="8"/>
  <c r="V515" i="8" s="1"/>
  <c r="AM515" i="8"/>
  <c r="AR515" i="8" s="1"/>
  <c r="AO515" i="8"/>
  <c r="AT515" i="8" s="1"/>
  <c r="AD515" i="8"/>
  <c r="AI515" i="8" s="1"/>
  <c r="S515" i="8"/>
  <c r="X515" i="8" s="1"/>
  <c r="AB515" i="8"/>
  <c r="AG515" i="8" s="1"/>
  <c r="AN515" i="8"/>
  <c r="AS515" i="8" s="1"/>
  <c r="AC515" i="8"/>
  <c r="AH515" i="8" s="1"/>
  <c r="R515" i="8"/>
  <c r="W515" i="8" s="1"/>
  <c r="AO498" i="8"/>
  <c r="AT498" i="8" s="1"/>
  <c r="AD498" i="8"/>
  <c r="AI498" i="8" s="1"/>
  <c r="S498" i="8"/>
  <c r="X498" i="8" s="1"/>
  <c r="AN498" i="8"/>
  <c r="AS498" i="8" s="1"/>
  <c r="AC498" i="8"/>
  <c r="AH498" i="8" s="1"/>
  <c r="R498" i="8"/>
  <c r="W498" i="8" s="1"/>
  <c r="AM498" i="8"/>
  <c r="AR498" i="8" s="1"/>
  <c r="AB498" i="8"/>
  <c r="AG498" i="8" s="1"/>
  <c r="Q498" i="8"/>
  <c r="V498" i="8" s="1"/>
  <c r="AL498" i="8"/>
  <c r="AQ498" i="8" s="1"/>
  <c r="AA498" i="8"/>
  <c r="AF498" i="8" s="1"/>
  <c r="P498" i="8"/>
  <c r="U498" i="8" s="1"/>
  <c r="AN497" i="8"/>
  <c r="AS497" i="8" s="1"/>
  <c r="AC497" i="8"/>
  <c r="AH497" i="8" s="1"/>
  <c r="R497" i="8"/>
  <c r="W497" i="8" s="1"/>
  <c r="AM497" i="8"/>
  <c r="AR497" i="8" s="1"/>
  <c r="AB497" i="8"/>
  <c r="AG497" i="8" s="1"/>
  <c r="Q497" i="8"/>
  <c r="V497" i="8" s="1"/>
  <c r="AL497" i="8"/>
  <c r="AQ497" i="8" s="1"/>
  <c r="AA497" i="8"/>
  <c r="AF497" i="8" s="1"/>
  <c r="P497" i="8"/>
  <c r="U497" i="8" s="1"/>
  <c r="AO497" i="8"/>
  <c r="AT497" i="8" s="1"/>
  <c r="AD497" i="8"/>
  <c r="AI497" i="8" s="1"/>
  <c r="S497" i="8"/>
  <c r="X497" i="8" s="1"/>
  <c r="AO501" i="8"/>
  <c r="AT501" i="8" s="1"/>
  <c r="AD501" i="8"/>
  <c r="AI501" i="8" s="1"/>
  <c r="S501" i="8"/>
  <c r="X501" i="8" s="1"/>
  <c r="AN501" i="8"/>
  <c r="AS501" i="8" s="1"/>
  <c r="AC501" i="8"/>
  <c r="AH501" i="8" s="1"/>
  <c r="R501" i="8"/>
  <c r="W501" i="8" s="1"/>
  <c r="AM501" i="8"/>
  <c r="AR501" i="8" s="1"/>
  <c r="AB501" i="8"/>
  <c r="AG501" i="8" s="1"/>
  <c r="Q501" i="8"/>
  <c r="V501" i="8" s="1"/>
  <c r="AL501" i="8"/>
  <c r="AQ501" i="8" s="1"/>
  <c r="AA501" i="8"/>
  <c r="AF501" i="8" s="1"/>
  <c r="P501" i="8"/>
  <c r="U501" i="8" s="1"/>
  <c r="AO506" i="8"/>
  <c r="AT506" i="8" s="1"/>
  <c r="AD506" i="8"/>
  <c r="AI506" i="8" s="1"/>
  <c r="S506" i="8"/>
  <c r="X506" i="8" s="1"/>
  <c r="AN506" i="8"/>
  <c r="AS506" i="8" s="1"/>
  <c r="AC506" i="8"/>
  <c r="AH506" i="8" s="1"/>
  <c r="R506" i="8"/>
  <c r="W506" i="8" s="1"/>
  <c r="AM506" i="8"/>
  <c r="AR506" i="8" s="1"/>
  <c r="AB506" i="8"/>
  <c r="AG506" i="8" s="1"/>
  <c r="Q506" i="8"/>
  <c r="V506" i="8" s="1"/>
  <c r="AL506" i="8"/>
  <c r="AQ506" i="8" s="1"/>
  <c r="AA506" i="8"/>
  <c r="AF506" i="8" s="1"/>
  <c r="P506" i="8"/>
  <c r="U506" i="8" s="1"/>
  <c r="AN505" i="8"/>
  <c r="AS505" i="8" s="1"/>
  <c r="AC505" i="8"/>
  <c r="AH505" i="8" s="1"/>
  <c r="R505" i="8"/>
  <c r="W505" i="8" s="1"/>
  <c r="AD505" i="8"/>
  <c r="AI505" i="8" s="1"/>
  <c r="AM505" i="8"/>
  <c r="AR505" i="8" s="1"/>
  <c r="AB505" i="8"/>
  <c r="AG505" i="8" s="1"/>
  <c r="Q505" i="8"/>
  <c r="V505" i="8" s="1"/>
  <c r="AO505" i="8"/>
  <c r="AT505" i="8" s="1"/>
  <c r="AL505" i="8"/>
  <c r="AQ505" i="8" s="1"/>
  <c r="AA505" i="8"/>
  <c r="AF505" i="8" s="1"/>
  <c r="P505" i="8"/>
  <c r="U505" i="8" s="1"/>
  <c r="S505" i="8"/>
  <c r="X505" i="8" s="1"/>
  <c r="AL504" i="8"/>
  <c r="AQ504" i="8" s="1"/>
  <c r="AO504" i="8"/>
  <c r="AT504" i="8" s="1"/>
  <c r="AD504" i="8"/>
  <c r="AI504" i="8" s="1"/>
  <c r="S504" i="8"/>
  <c r="X504" i="8" s="1"/>
  <c r="P504" i="8"/>
  <c r="U504" i="8" s="1"/>
  <c r="AN504" i="8"/>
  <c r="AS504" i="8" s="1"/>
  <c r="AC504" i="8"/>
  <c r="AH504" i="8" s="1"/>
  <c r="R504" i="8"/>
  <c r="W504" i="8" s="1"/>
  <c r="AM504" i="8"/>
  <c r="AR504" i="8" s="1"/>
  <c r="AB504" i="8"/>
  <c r="AG504" i="8" s="1"/>
  <c r="Q504" i="8"/>
  <c r="V504" i="8" s="1"/>
  <c r="AA504" i="8"/>
  <c r="AF504" i="8" s="1"/>
  <c r="AO514" i="8"/>
  <c r="AT514" i="8" s="1"/>
  <c r="AD514" i="8"/>
  <c r="AI514" i="8" s="1"/>
  <c r="S514" i="8"/>
  <c r="X514" i="8" s="1"/>
  <c r="AN514" i="8"/>
  <c r="AS514" i="8" s="1"/>
  <c r="AC514" i="8"/>
  <c r="AH514" i="8" s="1"/>
  <c r="R514" i="8"/>
  <c r="W514" i="8" s="1"/>
  <c r="AM514" i="8"/>
  <c r="AR514" i="8" s="1"/>
  <c r="AB514" i="8"/>
  <c r="AG514" i="8" s="1"/>
  <c r="Q514" i="8"/>
  <c r="V514" i="8" s="1"/>
  <c r="AL514" i="8"/>
  <c r="AQ514" i="8" s="1"/>
  <c r="AA514" i="8"/>
  <c r="AF514" i="8" s="1"/>
  <c r="P514" i="8"/>
  <c r="U514" i="8" s="1"/>
  <c r="AN513" i="8"/>
  <c r="AS513" i="8" s="1"/>
  <c r="AC513" i="8"/>
  <c r="AH513" i="8" s="1"/>
  <c r="R513" i="8"/>
  <c r="W513" i="8" s="1"/>
  <c r="AM513" i="8"/>
  <c r="AR513" i="8" s="1"/>
  <c r="AB513" i="8"/>
  <c r="AG513" i="8" s="1"/>
  <c r="Q513" i="8"/>
  <c r="V513" i="8" s="1"/>
  <c r="AL513" i="8"/>
  <c r="AQ513" i="8" s="1"/>
  <c r="AA513" i="8"/>
  <c r="AF513" i="8" s="1"/>
  <c r="P513" i="8"/>
  <c r="U513" i="8" s="1"/>
  <c r="AD513" i="8"/>
  <c r="AI513" i="8" s="1"/>
  <c r="AO513" i="8"/>
  <c r="AT513" i="8" s="1"/>
  <c r="S513" i="8"/>
  <c r="X513" i="8" s="1"/>
  <c r="AA512" i="8"/>
  <c r="AF512" i="8" s="1"/>
  <c r="AO512" i="8"/>
  <c r="AT512" i="8" s="1"/>
  <c r="AD512" i="8"/>
  <c r="AI512" i="8" s="1"/>
  <c r="S512" i="8"/>
  <c r="X512" i="8" s="1"/>
  <c r="AL512" i="8"/>
  <c r="AQ512" i="8" s="1"/>
  <c r="P512" i="8"/>
  <c r="U512" i="8" s="1"/>
  <c r="AN512" i="8"/>
  <c r="AS512" i="8" s="1"/>
  <c r="AC512" i="8"/>
  <c r="AH512" i="8" s="1"/>
  <c r="R512" i="8"/>
  <c r="W512" i="8" s="1"/>
  <c r="AM512" i="8"/>
  <c r="AR512" i="8" s="1"/>
  <c r="AB512" i="8"/>
  <c r="AG512" i="8" s="1"/>
  <c r="Q512" i="8"/>
  <c r="V512" i="8" s="1"/>
  <c r="AO485" i="8"/>
  <c r="AT485" i="8" s="1"/>
  <c r="AD485" i="8"/>
  <c r="AI485" i="8" s="1"/>
  <c r="S485" i="8"/>
  <c r="X485" i="8" s="1"/>
  <c r="AN485" i="8"/>
  <c r="AS485" i="8" s="1"/>
  <c r="AC485" i="8"/>
  <c r="AH485" i="8" s="1"/>
  <c r="R485" i="8"/>
  <c r="W485" i="8" s="1"/>
  <c r="AM485" i="8"/>
  <c r="AR485" i="8" s="1"/>
  <c r="AB485" i="8"/>
  <c r="AG485" i="8" s="1"/>
  <c r="Q485" i="8"/>
  <c r="V485" i="8" s="1"/>
  <c r="AL485" i="8"/>
  <c r="AQ485" i="8" s="1"/>
  <c r="AA485" i="8"/>
  <c r="AF485" i="8" s="1"/>
  <c r="P485" i="8"/>
  <c r="U485" i="8" s="1"/>
  <c r="AN492" i="8"/>
  <c r="AS492" i="8" s="1"/>
  <c r="AC492" i="8"/>
  <c r="AH492" i="8" s="1"/>
  <c r="R492" i="8"/>
  <c r="W492" i="8" s="1"/>
  <c r="AM492" i="8"/>
  <c r="AR492" i="8" s="1"/>
  <c r="AB492" i="8"/>
  <c r="AG492" i="8" s="1"/>
  <c r="Q492" i="8"/>
  <c r="V492" i="8" s="1"/>
  <c r="AL492" i="8"/>
  <c r="AQ492" i="8" s="1"/>
  <c r="AA492" i="8"/>
  <c r="AF492" i="8" s="1"/>
  <c r="P492" i="8"/>
  <c r="U492" i="8" s="1"/>
  <c r="AO492" i="8"/>
  <c r="AT492" i="8" s="1"/>
  <c r="AD492" i="8"/>
  <c r="AI492" i="8" s="1"/>
  <c r="S492" i="8"/>
  <c r="X492" i="8" s="1"/>
  <c r="AO493" i="8"/>
  <c r="AT493" i="8" s="1"/>
  <c r="AD493" i="8"/>
  <c r="AI493" i="8" s="1"/>
  <c r="S493" i="8"/>
  <c r="X493" i="8" s="1"/>
  <c r="AN493" i="8"/>
  <c r="AS493" i="8" s="1"/>
  <c r="AC493" i="8"/>
  <c r="AH493" i="8" s="1"/>
  <c r="R493" i="8"/>
  <c r="W493" i="8" s="1"/>
  <c r="AM493" i="8"/>
  <c r="AR493" i="8" s="1"/>
  <c r="AB493" i="8"/>
  <c r="AG493" i="8" s="1"/>
  <c r="Q493" i="8"/>
  <c r="V493" i="8" s="1"/>
  <c r="AL493" i="8"/>
  <c r="AQ493" i="8" s="1"/>
  <c r="AA493" i="8"/>
  <c r="AF493" i="8" s="1"/>
  <c r="P493" i="8"/>
  <c r="U493" i="8" s="1"/>
  <c r="AM481" i="8"/>
  <c r="AR481" i="8" s="1"/>
  <c r="AB481" i="8"/>
  <c r="AG481" i="8" s="1"/>
  <c r="Q481" i="8"/>
  <c r="V481" i="8" s="1"/>
  <c r="AL481" i="8"/>
  <c r="AQ481" i="8" s="1"/>
  <c r="AA481" i="8"/>
  <c r="AF481" i="8" s="1"/>
  <c r="P481" i="8"/>
  <c r="U481" i="8" s="1"/>
  <c r="AO481" i="8"/>
  <c r="AT481" i="8" s="1"/>
  <c r="AD481" i="8"/>
  <c r="AI481" i="8" s="1"/>
  <c r="S481" i="8"/>
  <c r="X481" i="8" s="1"/>
  <c r="AN481" i="8"/>
  <c r="AS481" i="8" s="1"/>
  <c r="AC481" i="8"/>
  <c r="AH481" i="8" s="1"/>
  <c r="R481" i="8"/>
  <c r="W481" i="8" s="1"/>
  <c r="AO482" i="8"/>
  <c r="AT482" i="8" s="1"/>
  <c r="AD482" i="8"/>
  <c r="AI482" i="8" s="1"/>
  <c r="S482" i="8"/>
  <c r="X482" i="8" s="1"/>
  <c r="AN482" i="8"/>
  <c r="AS482" i="8" s="1"/>
  <c r="AC482" i="8"/>
  <c r="AH482" i="8" s="1"/>
  <c r="R482" i="8"/>
  <c r="W482" i="8" s="1"/>
  <c r="AM482" i="8"/>
  <c r="AR482" i="8" s="1"/>
  <c r="AB482" i="8"/>
  <c r="AG482" i="8" s="1"/>
  <c r="Q482" i="8"/>
  <c r="V482" i="8" s="1"/>
  <c r="AL482" i="8"/>
  <c r="AQ482" i="8" s="1"/>
  <c r="AA482" i="8"/>
  <c r="AF482" i="8" s="1"/>
  <c r="P482" i="8"/>
  <c r="U482" i="8" s="1"/>
  <c r="AL478" i="8"/>
  <c r="AQ478" i="8" s="1"/>
  <c r="AA478" i="8"/>
  <c r="AF478" i="8" s="1"/>
  <c r="P478" i="8"/>
  <c r="U478" i="8" s="1"/>
  <c r="AO478" i="8"/>
  <c r="AT478" i="8" s="1"/>
  <c r="AD478" i="8"/>
  <c r="AI478" i="8" s="1"/>
  <c r="S478" i="8"/>
  <c r="X478" i="8" s="1"/>
  <c r="AN478" i="8"/>
  <c r="AS478" i="8" s="1"/>
  <c r="AC478" i="8"/>
  <c r="AH478" i="8" s="1"/>
  <c r="R478" i="8"/>
  <c r="W478" i="8" s="1"/>
  <c r="AM478" i="8"/>
  <c r="AR478" i="8" s="1"/>
  <c r="AB478" i="8"/>
  <c r="AG478" i="8" s="1"/>
  <c r="Q478" i="8"/>
  <c r="V478" i="8" s="1"/>
  <c r="AO479" i="8"/>
  <c r="AT479" i="8" s="1"/>
  <c r="AD479" i="8"/>
  <c r="AI479" i="8" s="1"/>
  <c r="S479" i="8"/>
  <c r="X479" i="8" s="1"/>
  <c r="AN479" i="8"/>
  <c r="AS479" i="8" s="1"/>
  <c r="AC479" i="8"/>
  <c r="AH479" i="8" s="1"/>
  <c r="R479" i="8"/>
  <c r="W479" i="8" s="1"/>
  <c r="AM479" i="8"/>
  <c r="AR479" i="8" s="1"/>
  <c r="AB479" i="8"/>
  <c r="AG479" i="8" s="1"/>
  <c r="Q479" i="8"/>
  <c r="V479" i="8" s="1"/>
  <c r="AL479" i="8"/>
  <c r="AQ479" i="8" s="1"/>
  <c r="AA479" i="8"/>
  <c r="AF479" i="8" s="1"/>
  <c r="P479" i="8"/>
  <c r="U479" i="8" s="1"/>
  <c r="AL486" i="8"/>
  <c r="AQ486" i="8" s="1"/>
  <c r="AA486" i="8"/>
  <c r="AF486" i="8" s="1"/>
  <c r="P486" i="8"/>
  <c r="U486" i="8" s="1"/>
  <c r="AO486" i="8"/>
  <c r="AT486" i="8" s="1"/>
  <c r="AD486" i="8"/>
  <c r="AI486" i="8" s="1"/>
  <c r="S486" i="8"/>
  <c r="X486" i="8" s="1"/>
  <c r="AN486" i="8"/>
  <c r="AS486" i="8" s="1"/>
  <c r="AC486" i="8"/>
  <c r="AH486" i="8" s="1"/>
  <c r="R486" i="8"/>
  <c r="W486" i="8" s="1"/>
  <c r="AB486" i="8"/>
  <c r="AG486" i="8" s="1"/>
  <c r="Q486" i="8"/>
  <c r="V486" i="8" s="1"/>
  <c r="AM486" i="8"/>
  <c r="AR486" i="8" s="1"/>
  <c r="AM489" i="8"/>
  <c r="AR489" i="8" s="1"/>
  <c r="AB489" i="8"/>
  <c r="AG489" i="8" s="1"/>
  <c r="Q489" i="8"/>
  <c r="V489" i="8" s="1"/>
  <c r="AL489" i="8"/>
  <c r="AQ489" i="8" s="1"/>
  <c r="AA489" i="8"/>
  <c r="AF489" i="8" s="1"/>
  <c r="P489" i="8"/>
  <c r="U489" i="8" s="1"/>
  <c r="AO489" i="8"/>
  <c r="AT489" i="8" s="1"/>
  <c r="AD489" i="8"/>
  <c r="AI489" i="8" s="1"/>
  <c r="S489" i="8"/>
  <c r="X489" i="8" s="1"/>
  <c r="AN489" i="8"/>
  <c r="AS489" i="8" s="1"/>
  <c r="R489" i="8"/>
  <c r="W489" i="8" s="1"/>
  <c r="AC489" i="8"/>
  <c r="AH489" i="8" s="1"/>
  <c r="AO490" i="8"/>
  <c r="AT490" i="8" s="1"/>
  <c r="AD490" i="8"/>
  <c r="AI490" i="8" s="1"/>
  <c r="S490" i="8"/>
  <c r="X490" i="8" s="1"/>
  <c r="AN490" i="8"/>
  <c r="AS490" i="8" s="1"/>
  <c r="AC490" i="8"/>
  <c r="AH490" i="8" s="1"/>
  <c r="R490" i="8"/>
  <c r="W490" i="8" s="1"/>
  <c r="AM490" i="8"/>
  <c r="AR490" i="8" s="1"/>
  <c r="AB490" i="8"/>
  <c r="AG490" i="8" s="1"/>
  <c r="Q490" i="8"/>
  <c r="V490" i="8" s="1"/>
  <c r="AL490" i="8"/>
  <c r="AQ490" i="8" s="1"/>
  <c r="AA490" i="8"/>
  <c r="AF490" i="8" s="1"/>
  <c r="P490" i="8"/>
  <c r="U490" i="8" s="1"/>
  <c r="AO488" i="8"/>
  <c r="AT488" i="8" s="1"/>
  <c r="AD488" i="8"/>
  <c r="AI488" i="8" s="1"/>
  <c r="S488" i="8"/>
  <c r="X488" i="8" s="1"/>
  <c r="AN488" i="8"/>
  <c r="AS488" i="8" s="1"/>
  <c r="AC488" i="8"/>
  <c r="AH488" i="8" s="1"/>
  <c r="R488" i="8"/>
  <c r="W488" i="8" s="1"/>
  <c r="AM488" i="8"/>
  <c r="AR488" i="8" s="1"/>
  <c r="AB488" i="8"/>
  <c r="AG488" i="8" s="1"/>
  <c r="Q488" i="8"/>
  <c r="V488" i="8" s="1"/>
  <c r="AL488" i="8"/>
  <c r="AQ488" i="8" s="1"/>
  <c r="AA488" i="8"/>
  <c r="AF488" i="8" s="1"/>
  <c r="P488" i="8"/>
  <c r="U488" i="8" s="1"/>
  <c r="AO487" i="8"/>
  <c r="AT487" i="8" s="1"/>
  <c r="AD487" i="8"/>
  <c r="AI487" i="8" s="1"/>
  <c r="S487" i="8"/>
  <c r="X487" i="8" s="1"/>
  <c r="AN487" i="8"/>
  <c r="AS487" i="8" s="1"/>
  <c r="AC487" i="8"/>
  <c r="AH487" i="8" s="1"/>
  <c r="R487" i="8"/>
  <c r="W487" i="8" s="1"/>
  <c r="AM487" i="8"/>
  <c r="AR487" i="8" s="1"/>
  <c r="AB487" i="8"/>
  <c r="AG487" i="8" s="1"/>
  <c r="Q487" i="8"/>
  <c r="V487" i="8" s="1"/>
  <c r="AL487" i="8"/>
  <c r="AQ487" i="8" s="1"/>
  <c r="AA487" i="8"/>
  <c r="AF487" i="8" s="1"/>
  <c r="P487" i="8"/>
  <c r="U487" i="8" s="1"/>
  <c r="AL494" i="8"/>
  <c r="AQ494" i="8" s="1"/>
  <c r="AA494" i="8"/>
  <c r="AF494" i="8" s="1"/>
  <c r="P494" i="8"/>
  <c r="U494" i="8" s="1"/>
  <c r="S494" i="8"/>
  <c r="X494" i="8" s="1"/>
  <c r="AD494" i="8"/>
  <c r="AI494" i="8" s="1"/>
  <c r="AO494" i="8"/>
  <c r="AT494" i="8" s="1"/>
  <c r="AN494" i="8"/>
  <c r="AS494" i="8" s="1"/>
  <c r="AC494" i="8"/>
  <c r="AH494" i="8" s="1"/>
  <c r="R494" i="8"/>
  <c r="W494" i="8" s="1"/>
  <c r="AM494" i="8"/>
  <c r="AR494" i="8" s="1"/>
  <c r="AB494" i="8"/>
  <c r="AG494" i="8" s="1"/>
  <c r="Q494" i="8"/>
  <c r="V494" i="8" s="1"/>
  <c r="AO480" i="8"/>
  <c r="AT480" i="8" s="1"/>
  <c r="AD480" i="8"/>
  <c r="AI480" i="8" s="1"/>
  <c r="S480" i="8"/>
  <c r="X480" i="8" s="1"/>
  <c r="AN480" i="8"/>
  <c r="AS480" i="8" s="1"/>
  <c r="AC480" i="8"/>
  <c r="AH480" i="8" s="1"/>
  <c r="R480" i="8"/>
  <c r="W480" i="8" s="1"/>
  <c r="AM480" i="8"/>
  <c r="AR480" i="8" s="1"/>
  <c r="AB480" i="8"/>
  <c r="AG480" i="8" s="1"/>
  <c r="Q480" i="8"/>
  <c r="V480" i="8" s="1"/>
  <c r="AL480" i="8"/>
  <c r="AQ480" i="8" s="1"/>
  <c r="AA480" i="8"/>
  <c r="AF480" i="8" s="1"/>
  <c r="P480" i="8"/>
  <c r="U480" i="8" s="1"/>
  <c r="AN476" i="8"/>
  <c r="AS476" i="8" s="1"/>
  <c r="AC476" i="8"/>
  <c r="AH476" i="8" s="1"/>
  <c r="R476" i="8"/>
  <c r="W476" i="8" s="1"/>
  <c r="AM476" i="8"/>
  <c r="AR476" i="8" s="1"/>
  <c r="AB476" i="8"/>
  <c r="AG476" i="8" s="1"/>
  <c r="Q476" i="8"/>
  <c r="V476" i="8" s="1"/>
  <c r="AL476" i="8"/>
  <c r="AQ476" i="8" s="1"/>
  <c r="AA476" i="8"/>
  <c r="AF476" i="8" s="1"/>
  <c r="P476" i="8"/>
  <c r="U476" i="8" s="1"/>
  <c r="AO476" i="8"/>
  <c r="AT476" i="8" s="1"/>
  <c r="AD476" i="8"/>
  <c r="AI476" i="8" s="1"/>
  <c r="S476" i="8"/>
  <c r="X476" i="8" s="1"/>
  <c r="AO483" i="8"/>
  <c r="AT483" i="8" s="1"/>
  <c r="AD483" i="8"/>
  <c r="AI483" i="8" s="1"/>
  <c r="S483" i="8"/>
  <c r="X483" i="8" s="1"/>
  <c r="AN483" i="8"/>
  <c r="AS483" i="8" s="1"/>
  <c r="AC483" i="8"/>
  <c r="AH483" i="8" s="1"/>
  <c r="R483" i="8"/>
  <c r="W483" i="8" s="1"/>
  <c r="AM483" i="8"/>
  <c r="AR483" i="8" s="1"/>
  <c r="AB483" i="8"/>
  <c r="AG483" i="8" s="1"/>
  <c r="Q483" i="8"/>
  <c r="V483" i="8" s="1"/>
  <c r="AL483" i="8"/>
  <c r="AQ483" i="8" s="1"/>
  <c r="AA483" i="8"/>
  <c r="AF483" i="8" s="1"/>
  <c r="P483" i="8"/>
  <c r="U483" i="8" s="1"/>
  <c r="AO477" i="8"/>
  <c r="AT477" i="8" s="1"/>
  <c r="AD477" i="8"/>
  <c r="AI477" i="8" s="1"/>
  <c r="S477" i="8"/>
  <c r="X477" i="8" s="1"/>
  <c r="AN477" i="8"/>
  <c r="AS477" i="8" s="1"/>
  <c r="AC477" i="8"/>
  <c r="AH477" i="8" s="1"/>
  <c r="R477" i="8"/>
  <c r="W477" i="8" s="1"/>
  <c r="AM477" i="8"/>
  <c r="AR477" i="8" s="1"/>
  <c r="AB477" i="8"/>
  <c r="AG477" i="8" s="1"/>
  <c r="Q477" i="8"/>
  <c r="V477" i="8" s="1"/>
  <c r="AL477" i="8"/>
  <c r="AQ477" i="8" s="1"/>
  <c r="AA477" i="8"/>
  <c r="AF477" i="8" s="1"/>
  <c r="P477" i="8"/>
  <c r="U477" i="8" s="1"/>
  <c r="AN484" i="8"/>
  <c r="AS484" i="8" s="1"/>
  <c r="AC484" i="8"/>
  <c r="AH484" i="8" s="1"/>
  <c r="R484" i="8"/>
  <c r="W484" i="8" s="1"/>
  <c r="AM484" i="8"/>
  <c r="AR484" i="8" s="1"/>
  <c r="AB484" i="8"/>
  <c r="AG484" i="8" s="1"/>
  <c r="Q484" i="8"/>
  <c r="V484" i="8" s="1"/>
  <c r="AL484" i="8"/>
  <c r="AQ484" i="8" s="1"/>
  <c r="AA484" i="8"/>
  <c r="AF484" i="8" s="1"/>
  <c r="P484" i="8"/>
  <c r="U484" i="8" s="1"/>
  <c r="AD484" i="8"/>
  <c r="AI484" i="8" s="1"/>
  <c r="S484" i="8"/>
  <c r="X484" i="8" s="1"/>
  <c r="AO484" i="8"/>
  <c r="AT484" i="8" s="1"/>
  <c r="AO491" i="8"/>
  <c r="AT491" i="8" s="1"/>
  <c r="AD491" i="8"/>
  <c r="AI491" i="8" s="1"/>
  <c r="S491" i="8"/>
  <c r="X491" i="8" s="1"/>
  <c r="AN491" i="8"/>
  <c r="AS491" i="8" s="1"/>
  <c r="AC491" i="8"/>
  <c r="AH491" i="8" s="1"/>
  <c r="R491" i="8"/>
  <c r="W491" i="8" s="1"/>
  <c r="AM491" i="8"/>
  <c r="AR491" i="8" s="1"/>
  <c r="AB491" i="8"/>
  <c r="AG491" i="8" s="1"/>
  <c r="Q491" i="8"/>
  <c r="V491" i="8" s="1"/>
  <c r="AL491" i="8"/>
  <c r="AQ491" i="8" s="1"/>
  <c r="AA491" i="8"/>
  <c r="AF491" i="8" s="1"/>
  <c r="P491" i="8"/>
  <c r="U491" i="8" s="1"/>
  <c r="AN471" i="8"/>
  <c r="AS471" i="8" s="1"/>
  <c r="AC471" i="8"/>
  <c r="AH471" i="8" s="1"/>
  <c r="R471" i="8"/>
  <c r="W471" i="8" s="1"/>
  <c r="AM471" i="8"/>
  <c r="AR471" i="8" s="1"/>
  <c r="AB471" i="8"/>
  <c r="AG471" i="8" s="1"/>
  <c r="Q471" i="8"/>
  <c r="V471" i="8" s="1"/>
  <c r="AL471" i="8"/>
  <c r="AQ471" i="8" s="1"/>
  <c r="AA471" i="8"/>
  <c r="AF471" i="8" s="1"/>
  <c r="P471" i="8"/>
  <c r="U471" i="8" s="1"/>
  <c r="AO471" i="8"/>
  <c r="AT471" i="8" s="1"/>
  <c r="AD471" i="8"/>
  <c r="AI471" i="8" s="1"/>
  <c r="S471" i="8"/>
  <c r="X471" i="8" s="1"/>
  <c r="AO461" i="8"/>
  <c r="AT461" i="8" s="1"/>
  <c r="AD461" i="8"/>
  <c r="AI461" i="8" s="1"/>
  <c r="S461" i="8"/>
  <c r="X461" i="8" s="1"/>
  <c r="AN461" i="8"/>
  <c r="AS461" i="8" s="1"/>
  <c r="AC461" i="8"/>
  <c r="AH461" i="8" s="1"/>
  <c r="R461" i="8"/>
  <c r="W461" i="8" s="1"/>
  <c r="AM461" i="8"/>
  <c r="AR461" i="8" s="1"/>
  <c r="AB461" i="8"/>
  <c r="AG461" i="8" s="1"/>
  <c r="Q461" i="8"/>
  <c r="V461" i="8" s="1"/>
  <c r="AL461" i="8"/>
  <c r="AQ461" i="8" s="1"/>
  <c r="AA461" i="8"/>
  <c r="AF461" i="8" s="1"/>
  <c r="P461" i="8"/>
  <c r="U461" i="8" s="1"/>
  <c r="AM460" i="8"/>
  <c r="AR460" i="8" s="1"/>
  <c r="AB460" i="8"/>
  <c r="AG460" i="8" s="1"/>
  <c r="Q460" i="8"/>
  <c r="V460" i="8" s="1"/>
  <c r="AL460" i="8"/>
  <c r="AQ460" i="8" s="1"/>
  <c r="AA460" i="8"/>
  <c r="AF460" i="8" s="1"/>
  <c r="P460" i="8"/>
  <c r="U460" i="8" s="1"/>
  <c r="S460" i="8"/>
  <c r="X460" i="8" s="1"/>
  <c r="R460" i="8"/>
  <c r="W460" i="8" s="1"/>
  <c r="AO460" i="8"/>
  <c r="AT460" i="8" s="1"/>
  <c r="AN460" i="8"/>
  <c r="AS460" i="8" s="1"/>
  <c r="AD460" i="8"/>
  <c r="AI460" i="8" s="1"/>
  <c r="AC460" i="8"/>
  <c r="AH460" i="8" s="1"/>
  <c r="AO469" i="8"/>
  <c r="AT469" i="8" s="1"/>
  <c r="AD469" i="8"/>
  <c r="AI469" i="8" s="1"/>
  <c r="S469" i="8"/>
  <c r="X469" i="8" s="1"/>
  <c r="AN469" i="8"/>
  <c r="AS469" i="8" s="1"/>
  <c r="AC469" i="8"/>
  <c r="AH469" i="8" s="1"/>
  <c r="R469" i="8"/>
  <c r="W469" i="8" s="1"/>
  <c r="AM469" i="8"/>
  <c r="AR469" i="8" s="1"/>
  <c r="AB469" i="8"/>
  <c r="AG469" i="8" s="1"/>
  <c r="Q469" i="8"/>
  <c r="V469" i="8" s="1"/>
  <c r="AL469" i="8"/>
  <c r="AQ469" i="8" s="1"/>
  <c r="AA469" i="8"/>
  <c r="AF469" i="8" s="1"/>
  <c r="P469" i="8"/>
  <c r="U469" i="8" s="1"/>
  <c r="AM468" i="8"/>
  <c r="AR468" i="8" s="1"/>
  <c r="AB468" i="8"/>
  <c r="AG468" i="8" s="1"/>
  <c r="Q468" i="8"/>
  <c r="V468" i="8" s="1"/>
  <c r="S468" i="8"/>
  <c r="X468" i="8" s="1"/>
  <c r="AL468" i="8"/>
  <c r="AQ468" i="8" s="1"/>
  <c r="AA468" i="8"/>
  <c r="AF468" i="8" s="1"/>
  <c r="P468" i="8"/>
  <c r="U468" i="8" s="1"/>
  <c r="AO468" i="8"/>
  <c r="AT468" i="8" s="1"/>
  <c r="AD468" i="8"/>
  <c r="AI468" i="8" s="1"/>
  <c r="AN468" i="8"/>
  <c r="AS468" i="8" s="1"/>
  <c r="AC468" i="8"/>
  <c r="AH468" i="8" s="1"/>
  <c r="R468" i="8"/>
  <c r="W468" i="8" s="1"/>
  <c r="AO464" i="8"/>
  <c r="AT464" i="8" s="1"/>
  <c r="AD464" i="8"/>
  <c r="AI464" i="8" s="1"/>
  <c r="S464" i="8"/>
  <c r="X464" i="8" s="1"/>
  <c r="AN464" i="8"/>
  <c r="AS464" i="8" s="1"/>
  <c r="AC464" i="8"/>
  <c r="AH464" i="8" s="1"/>
  <c r="R464" i="8"/>
  <c r="W464" i="8" s="1"/>
  <c r="AM464" i="8"/>
  <c r="AR464" i="8" s="1"/>
  <c r="AB464" i="8"/>
  <c r="AG464" i="8" s="1"/>
  <c r="Q464" i="8"/>
  <c r="V464" i="8" s="1"/>
  <c r="AL464" i="8"/>
  <c r="AQ464" i="8" s="1"/>
  <c r="AA464" i="8"/>
  <c r="AF464" i="8" s="1"/>
  <c r="P464" i="8"/>
  <c r="U464" i="8" s="1"/>
  <c r="AO458" i="8"/>
  <c r="AT458" i="8" s="1"/>
  <c r="AD458" i="8"/>
  <c r="AI458" i="8" s="1"/>
  <c r="S458" i="8"/>
  <c r="X458" i="8" s="1"/>
  <c r="AN458" i="8"/>
  <c r="AS458" i="8" s="1"/>
  <c r="AC458" i="8"/>
  <c r="AH458" i="8" s="1"/>
  <c r="R458" i="8"/>
  <c r="W458" i="8" s="1"/>
  <c r="AM458" i="8"/>
  <c r="AR458" i="8" s="1"/>
  <c r="AB458" i="8"/>
  <c r="AG458" i="8" s="1"/>
  <c r="Q458" i="8"/>
  <c r="V458" i="8" s="1"/>
  <c r="AL458" i="8"/>
  <c r="AQ458" i="8" s="1"/>
  <c r="AA458" i="8"/>
  <c r="AF458" i="8" s="1"/>
  <c r="P458" i="8"/>
  <c r="U458" i="8" s="1"/>
  <c r="AL457" i="8"/>
  <c r="AQ457" i="8" s="1"/>
  <c r="AA457" i="8"/>
  <c r="AF457" i="8" s="1"/>
  <c r="P457" i="8"/>
  <c r="U457" i="8" s="1"/>
  <c r="AO457" i="8"/>
  <c r="AT457" i="8" s="1"/>
  <c r="AD457" i="8"/>
  <c r="AI457" i="8" s="1"/>
  <c r="S457" i="8"/>
  <c r="X457" i="8" s="1"/>
  <c r="AN457" i="8"/>
  <c r="AS457" i="8" s="1"/>
  <c r="AM457" i="8"/>
  <c r="AR457" i="8" s="1"/>
  <c r="AC457" i="8"/>
  <c r="AH457" i="8" s="1"/>
  <c r="AB457" i="8"/>
  <c r="AG457" i="8" s="1"/>
  <c r="R457" i="8"/>
  <c r="W457" i="8" s="1"/>
  <c r="Q457" i="8"/>
  <c r="V457" i="8" s="1"/>
  <c r="AO466" i="8"/>
  <c r="AT466" i="8" s="1"/>
  <c r="AD466" i="8"/>
  <c r="AI466" i="8" s="1"/>
  <c r="S466" i="8"/>
  <c r="X466" i="8" s="1"/>
  <c r="AN466" i="8"/>
  <c r="AS466" i="8" s="1"/>
  <c r="AC466" i="8"/>
  <c r="AH466" i="8" s="1"/>
  <c r="R466" i="8"/>
  <c r="W466" i="8" s="1"/>
  <c r="AM466" i="8"/>
  <c r="AR466" i="8" s="1"/>
  <c r="AB466" i="8"/>
  <c r="AG466" i="8" s="1"/>
  <c r="Q466" i="8"/>
  <c r="V466" i="8" s="1"/>
  <c r="AL466" i="8"/>
  <c r="AQ466" i="8" s="1"/>
  <c r="AA466" i="8"/>
  <c r="AF466" i="8" s="1"/>
  <c r="P466" i="8"/>
  <c r="U466" i="8" s="1"/>
  <c r="AL465" i="8"/>
  <c r="AQ465" i="8" s="1"/>
  <c r="AA465" i="8"/>
  <c r="AF465" i="8" s="1"/>
  <c r="P465" i="8"/>
  <c r="U465" i="8" s="1"/>
  <c r="AN465" i="8"/>
  <c r="AS465" i="8" s="1"/>
  <c r="R465" i="8"/>
  <c r="W465" i="8" s="1"/>
  <c r="AC465" i="8"/>
  <c r="AH465" i="8" s="1"/>
  <c r="AO465" i="8"/>
  <c r="AT465" i="8" s="1"/>
  <c r="AD465" i="8"/>
  <c r="AI465" i="8" s="1"/>
  <c r="S465" i="8"/>
  <c r="X465" i="8" s="1"/>
  <c r="Q465" i="8"/>
  <c r="V465" i="8" s="1"/>
  <c r="AM465" i="8"/>
  <c r="AR465" i="8" s="1"/>
  <c r="AB465" i="8"/>
  <c r="AG465" i="8" s="1"/>
  <c r="AO459" i="8"/>
  <c r="AT459" i="8" s="1"/>
  <c r="AD459" i="8"/>
  <c r="AI459" i="8" s="1"/>
  <c r="S459" i="8"/>
  <c r="X459" i="8" s="1"/>
  <c r="AN459" i="8"/>
  <c r="AS459" i="8" s="1"/>
  <c r="AC459" i="8"/>
  <c r="AH459" i="8" s="1"/>
  <c r="R459" i="8"/>
  <c r="W459" i="8" s="1"/>
  <c r="AM459" i="8"/>
  <c r="AR459" i="8" s="1"/>
  <c r="AB459" i="8"/>
  <c r="AG459" i="8" s="1"/>
  <c r="Q459" i="8"/>
  <c r="V459" i="8" s="1"/>
  <c r="P459" i="8"/>
  <c r="U459" i="8" s="1"/>
  <c r="AL459" i="8"/>
  <c r="AQ459" i="8" s="1"/>
  <c r="AA459" i="8"/>
  <c r="AF459" i="8" s="1"/>
  <c r="AO472" i="8"/>
  <c r="AT472" i="8" s="1"/>
  <c r="AD472" i="8"/>
  <c r="AI472" i="8" s="1"/>
  <c r="S472" i="8"/>
  <c r="X472" i="8" s="1"/>
  <c r="AN472" i="8"/>
  <c r="AS472" i="8" s="1"/>
  <c r="AC472" i="8"/>
  <c r="AH472" i="8" s="1"/>
  <c r="R472" i="8"/>
  <c r="W472" i="8" s="1"/>
  <c r="AM472" i="8"/>
  <c r="AR472" i="8" s="1"/>
  <c r="AB472" i="8"/>
  <c r="AG472" i="8" s="1"/>
  <c r="Q472" i="8"/>
  <c r="V472" i="8" s="1"/>
  <c r="AL472" i="8"/>
  <c r="AQ472" i="8" s="1"/>
  <c r="AA472" i="8"/>
  <c r="AF472" i="8" s="1"/>
  <c r="P472" i="8"/>
  <c r="U472" i="8" s="1"/>
  <c r="AL473" i="8"/>
  <c r="AQ473" i="8" s="1"/>
  <c r="AA473" i="8"/>
  <c r="AF473" i="8" s="1"/>
  <c r="P473" i="8"/>
  <c r="U473" i="8" s="1"/>
  <c r="R473" i="8"/>
  <c r="W473" i="8" s="1"/>
  <c r="AC473" i="8"/>
  <c r="AH473" i="8" s="1"/>
  <c r="AO473" i="8"/>
  <c r="AT473" i="8" s="1"/>
  <c r="AD473" i="8"/>
  <c r="AI473" i="8" s="1"/>
  <c r="S473" i="8"/>
  <c r="X473" i="8" s="1"/>
  <c r="AN473" i="8"/>
  <c r="AS473" i="8" s="1"/>
  <c r="AM473" i="8"/>
  <c r="AR473" i="8" s="1"/>
  <c r="AB473" i="8"/>
  <c r="AG473" i="8" s="1"/>
  <c r="Q473" i="8"/>
  <c r="V473" i="8" s="1"/>
  <c r="AO456" i="8"/>
  <c r="AT456" i="8" s="1"/>
  <c r="AD456" i="8"/>
  <c r="AI456" i="8" s="1"/>
  <c r="S456" i="8"/>
  <c r="X456" i="8" s="1"/>
  <c r="AN456" i="8"/>
  <c r="AS456" i="8" s="1"/>
  <c r="AC456" i="8"/>
  <c r="AH456" i="8" s="1"/>
  <c r="R456" i="8"/>
  <c r="W456" i="8" s="1"/>
  <c r="AM456" i="8"/>
  <c r="AR456" i="8" s="1"/>
  <c r="AB456" i="8"/>
  <c r="AG456" i="8" s="1"/>
  <c r="Q456" i="8"/>
  <c r="V456" i="8" s="1"/>
  <c r="AL456" i="8"/>
  <c r="AQ456" i="8" s="1"/>
  <c r="AA456" i="8"/>
  <c r="AF456" i="8" s="1"/>
  <c r="P456" i="8"/>
  <c r="U456" i="8" s="1"/>
  <c r="AN455" i="8"/>
  <c r="AS455" i="8" s="1"/>
  <c r="AC455" i="8"/>
  <c r="AH455" i="8" s="1"/>
  <c r="R455" i="8"/>
  <c r="W455" i="8" s="1"/>
  <c r="AM455" i="8"/>
  <c r="AR455" i="8" s="1"/>
  <c r="AB455" i="8"/>
  <c r="AG455" i="8" s="1"/>
  <c r="Q455" i="8"/>
  <c r="V455" i="8" s="1"/>
  <c r="AL455" i="8"/>
  <c r="AQ455" i="8" s="1"/>
  <c r="AA455" i="8"/>
  <c r="AF455" i="8" s="1"/>
  <c r="P455" i="8"/>
  <c r="U455" i="8" s="1"/>
  <c r="AD455" i="8"/>
  <c r="AI455" i="8" s="1"/>
  <c r="S455" i="8"/>
  <c r="X455" i="8" s="1"/>
  <c r="AO455" i="8"/>
  <c r="AT455" i="8" s="1"/>
  <c r="AO462" i="8"/>
  <c r="AT462" i="8" s="1"/>
  <c r="AD462" i="8"/>
  <c r="AI462" i="8" s="1"/>
  <c r="S462" i="8"/>
  <c r="X462" i="8" s="1"/>
  <c r="AN462" i="8"/>
  <c r="AS462" i="8" s="1"/>
  <c r="AC462" i="8"/>
  <c r="AH462" i="8" s="1"/>
  <c r="R462" i="8"/>
  <c r="W462" i="8" s="1"/>
  <c r="AB462" i="8"/>
  <c r="AG462" i="8" s="1"/>
  <c r="AA462" i="8"/>
  <c r="AF462" i="8" s="1"/>
  <c r="Q462" i="8"/>
  <c r="V462" i="8" s="1"/>
  <c r="P462" i="8"/>
  <c r="U462" i="8" s="1"/>
  <c r="AM462" i="8"/>
  <c r="AR462" i="8" s="1"/>
  <c r="AL462" i="8"/>
  <c r="AQ462" i="8" s="1"/>
  <c r="AA467" i="8"/>
  <c r="AF467" i="8" s="1"/>
  <c r="AL467" i="8"/>
  <c r="AQ467" i="8" s="1"/>
  <c r="AO467" i="8"/>
  <c r="AT467" i="8" s="1"/>
  <c r="AD467" i="8"/>
  <c r="AI467" i="8" s="1"/>
  <c r="S467" i="8"/>
  <c r="X467" i="8" s="1"/>
  <c r="AN467" i="8"/>
  <c r="AS467" i="8" s="1"/>
  <c r="AC467" i="8"/>
  <c r="AH467" i="8" s="1"/>
  <c r="R467" i="8"/>
  <c r="W467" i="8" s="1"/>
  <c r="AM467" i="8"/>
  <c r="AR467" i="8" s="1"/>
  <c r="AB467" i="8"/>
  <c r="AG467" i="8" s="1"/>
  <c r="Q467" i="8"/>
  <c r="V467" i="8" s="1"/>
  <c r="P467" i="8"/>
  <c r="U467" i="8" s="1"/>
  <c r="AN463" i="8"/>
  <c r="AS463" i="8" s="1"/>
  <c r="AC463" i="8"/>
  <c r="AH463" i="8" s="1"/>
  <c r="R463" i="8"/>
  <c r="W463" i="8" s="1"/>
  <c r="AM463" i="8"/>
  <c r="AR463" i="8" s="1"/>
  <c r="AB463" i="8"/>
  <c r="AG463" i="8" s="1"/>
  <c r="Q463" i="8"/>
  <c r="V463" i="8" s="1"/>
  <c r="AL463" i="8"/>
  <c r="AQ463" i="8" s="1"/>
  <c r="AA463" i="8"/>
  <c r="AF463" i="8" s="1"/>
  <c r="P463" i="8"/>
  <c r="U463" i="8" s="1"/>
  <c r="AO463" i="8"/>
  <c r="AT463" i="8" s="1"/>
  <c r="AD463" i="8"/>
  <c r="AI463" i="8" s="1"/>
  <c r="S463" i="8"/>
  <c r="X463" i="8" s="1"/>
  <c r="AM470" i="8"/>
  <c r="AR470" i="8" s="1"/>
  <c r="Q470" i="8"/>
  <c r="V470" i="8" s="1"/>
  <c r="AB470" i="8"/>
  <c r="AG470" i="8" s="1"/>
  <c r="AO470" i="8"/>
  <c r="AT470" i="8" s="1"/>
  <c r="AD470" i="8"/>
  <c r="AI470" i="8" s="1"/>
  <c r="S470" i="8"/>
  <c r="X470" i="8" s="1"/>
  <c r="AN470" i="8"/>
  <c r="AS470" i="8" s="1"/>
  <c r="AC470" i="8"/>
  <c r="AH470" i="8" s="1"/>
  <c r="R470" i="8"/>
  <c r="W470" i="8" s="1"/>
  <c r="P470" i="8"/>
  <c r="U470" i="8" s="1"/>
  <c r="AL470" i="8"/>
  <c r="AQ470" i="8" s="1"/>
  <c r="AA470" i="8"/>
  <c r="AF470" i="8" s="1"/>
  <c r="AO446" i="8"/>
  <c r="AT446" i="8" s="1"/>
  <c r="AD446" i="8"/>
  <c r="AI446" i="8" s="1"/>
  <c r="S446" i="8"/>
  <c r="X446" i="8" s="1"/>
  <c r="AN446" i="8"/>
  <c r="AS446" i="8" s="1"/>
  <c r="AC446" i="8"/>
  <c r="AH446" i="8" s="1"/>
  <c r="R446" i="8"/>
  <c r="W446" i="8" s="1"/>
  <c r="AM446" i="8"/>
  <c r="AR446" i="8" s="1"/>
  <c r="AB446" i="8"/>
  <c r="AG446" i="8" s="1"/>
  <c r="Q446" i="8"/>
  <c r="V446" i="8" s="1"/>
  <c r="AL446" i="8"/>
  <c r="AQ446" i="8" s="1"/>
  <c r="AA446" i="8"/>
  <c r="AF446" i="8" s="1"/>
  <c r="P446" i="8"/>
  <c r="U446" i="8" s="1"/>
  <c r="AO440" i="8"/>
  <c r="AT440" i="8" s="1"/>
  <c r="AD440" i="8"/>
  <c r="AI440" i="8" s="1"/>
  <c r="S440" i="8"/>
  <c r="X440" i="8" s="1"/>
  <c r="AN440" i="8"/>
  <c r="AS440" i="8" s="1"/>
  <c r="AC440" i="8"/>
  <c r="AH440" i="8" s="1"/>
  <c r="R440" i="8"/>
  <c r="W440" i="8" s="1"/>
  <c r="AM440" i="8"/>
  <c r="AR440" i="8" s="1"/>
  <c r="AB440" i="8"/>
  <c r="AG440" i="8" s="1"/>
  <c r="Q440" i="8"/>
  <c r="V440" i="8" s="1"/>
  <c r="AL440" i="8"/>
  <c r="AQ440" i="8" s="1"/>
  <c r="AA440" i="8"/>
  <c r="AF440" i="8" s="1"/>
  <c r="P440" i="8"/>
  <c r="U440" i="8" s="1"/>
  <c r="AM439" i="8"/>
  <c r="AR439" i="8" s="1"/>
  <c r="AB439" i="8"/>
  <c r="AG439" i="8" s="1"/>
  <c r="Q439" i="8"/>
  <c r="V439" i="8" s="1"/>
  <c r="AN439" i="8"/>
  <c r="AS439" i="8" s="1"/>
  <c r="AL439" i="8"/>
  <c r="AQ439" i="8" s="1"/>
  <c r="AA439" i="8"/>
  <c r="AF439" i="8" s="1"/>
  <c r="P439" i="8"/>
  <c r="U439" i="8" s="1"/>
  <c r="AC439" i="8"/>
  <c r="AH439" i="8" s="1"/>
  <c r="R439" i="8"/>
  <c r="W439" i="8" s="1"/>
  <c r="AO439" i="8"/>
  <c r="AT439" i="8" s="1"/>
  <c r="AD439" i="8"/>
  <c r="AI439" i="8" s="1"/>
  <c r="S439" i="8"/>
  <c r="X439" i="8" s="1"/>
  <c r="AO438" i="8"/>
  <c r="AT438" i="8" s="1"/>
  <c r="AD438" i="8"/>
  <c r="AI438" i="8" s="1"/>
  <c r="S438" i="8"/>
  <c r="X438" i="8" s="1"/>
  <c r="AN438" i="8"/>
  <c r="AS438" i="8" s="1"/>
  <c r="AC438" i="8"/>
  <c r="AH438" i="8" s="1"/>
  <c r="R438" i="8"/>
  <c r="W438" i="8" s="1"/>
  <c r="AM438" i="8"/>
  <c r="AR438" i="8" s="1"/>
  <c r="AB438" i="8"/>
  <c r="AG438" i="8" s="1"/>
  <c r="Q438" i="8"/>
  <c r="V438" i="8" s="1"/>
  <c r="AL438" i="8"/>
  <c r="AQ438" i="8" s="1"/>
  <c r="AA438" i="8"/>
  <c r="AF438" i="8" s="1"/>
  <c r="P438" i="8"/>
  <c r="U438" i="8" s="1"/>
  <c r="AO448" i="8"/>
  <c r="AT448" i="8" s="1"/>
  <c r="AD448" i="8"/>
  <c r="AI448" i="8" s="1"/>
  <c r="S448" i="8"/>
  <c r="X448" i="8" s="1"/>
  <c r="AN448" i="8"/>
  <c r="AS448" i="8" s="1"/>
  <c r="AC448" i="8"/>
  <c r="AH448" i="8" s="1"/>
  <c r="R448" i="8"/>
  <c r="W448" i="8" s="1"/>
  <c r="AM448" i="8"/>
  <c r="AR448" i="8" s="1"/>
  <c r="AB448" i="8"/>
  <c r="AG448" i="8" s="1"/>
  <c r="Q448" i="8"/>
  <c r="V448" i="8" s="1"/>
  <c r="AL448" i="8"/>
  <c r="AQ448" i="8" s="1"/>
  <c r="AA448" i="8"/>
  <c r="AF448" i="8" s="1"/>
  <c r="P448" i="8"/>
  <c r="U448" i="8" s="1"/>
  <c r="AM447" i="8"/>
  <c r="AR447" i="8" s="1"/>
  <c r="AB447" i="8"/>
  <c r="AG447" i="8" s="1"/>
  <c r="Q447" i="8"/>
  <c r="V447" i="8" s="1"/>
  <c r="AL447" i="8"/>
  <c r="AQ447" i="8" s="1"/>
  <c r="AA447" i="8"/>
  <c r="AF447" i="8" s="1"/>
  <c r="P447" i="8"/>
  <c r="U447" i="8" s="1"/>
  <c r="AC447" i="8"/>
  <c r="AH447" i="8" s="1"/>
  <c r="R447" i="8"/>
  <c r="W447" i="8" s="1"/>
  <c r="AO447" i="8"/>
  <c r="AT447" i="8" s="1"/>
  <c r="AD447" i="8"/>
  <c r="AI447" i="8" s="1"/>
  <c r="S447" i="8"/>
  <c r="X447" i="8" s="1"/>
  <c r="AN447" i="8"/>
  <c r="AS447" i="8" s="1"/>
  <c r="AO437" i="8"/>
  <c r="AT437" i="8" s="1"/>
  <c r="AD437" i="8"/>
  <c r="AI437" i="8" s="1"/>
  <c r="S437" i="8"/>
  <c r="X437" i="8" s="1"/>
  <c r="AN437" i="8"/>
  <c r="AS437" i="8" s="1"/>
  <c r="AC437" i="8"/>
  <c r="AH437" i="8" s="1"/>
  <c r="R437" i="8"/>
  <c r="W437" i="8" s="1"/>
  <c r="AM437" i="8"/>
  <c r="AR437" i="8" s="1"/>
  <c r="AB437" i="8"/>
  <c r="AG437" i="8" s="1"/>
  <c r="Q437" i="8"/>
  <c r="V437" i="8" s="1"/>
  <c r="AL437" i="8"/>
  <c r="AQ437" i="8" s="1"/>
  <c r="AA437" i="8"/>
  <c r="AF437" i="8" s="1"/>
  <c r="P437" i="8"/>
  <c r="U437" i="8" s="1"/>
  <c r="AL436" i="8"/>
  <c r="AQ436" i="8" s="1"/>
  <c r="AA436" i="8"/>
  <c r="AF436" i="8" s="1"/>
  <c r="P436" i="8"/>
  <c r="U436" i="8" s="1"/>
  <c r="AB436" i="8"/>
  <c r="AG436" i="8" s="1"/>
  <c r="Q436" i="8"/>
  <c r="V436" i="8" s="1"/>
  <c r="AO436" i="8"/>
  <c r="AT436" i="8" s="1"/>
  <c r="AD436" i="8"/>
  <c r="AI436" i="8" s="1"/>
  <c r="S436" i="8"/>
  <c r="X436" i="8" s="1"/>
  <c r="AN436" i="8"/>
  <c r="AS436" i="8" s="1"/>
  <c r="AC436" i="8"/>
  <c r="AH436" i="8" s="1"/>
  <c r="R436" i="8"/>
  <c r="W436" i="8" s="1"/>
  <c r="AM436" i="8"/>
  <c r="AR436" i="8" s="1"/>
  <c r="AO445" i="8"/>
  <c r="AT445" i="8" s="1"/>
  <c r="AD445" i="8"/>
  <c r="AI445" i="8" s="1"/>
  <c r="S445" i="8"/>
  <c r="X445" i="8" s="1"/>
  <c r="AN445" i="8"/>
  <c r="AS445" i="8" s="1"/>
  <c r="AC445" i="8"/>
  <c r="AH445" i="8" s="1"/>
  <c r="R445" i="8"/>
  <c r="W445" i="8" s="1"/>
  <c r="AM445" i="8"/>
  <c r="AR445" i="8" s="1"/>
  <c r="AB445" i="8"/>
  <c r="AG445" i="8" s="1"/>
  <c r="Q445" i="8"/>
  <c r="V445" i="8" s="1"/>
  <c r="AL445" i="8"/>
  <c r="AQ445" i="8" s="1"/>
  <c r="AA445" i="8"/>
  <c r="AF445" i="8" s="1"/>
  <c r="P445" i="8"/>
  <c r="U445" i="8" s="1"/>
  <c r="AL444" i="8"/>
  <c r="AQ444" i="8" s="1"/>
  <c r="AA444" i="8"/>
  <c r="AF444" i="8" s="1"/>
  <c r="P444" i="8"/>
  <c r="U444" i="8" s="1"/>
  <c r="AM444" i="8"/>
  <c r="AR444" i="8" s="1"/>
  <c r="Q444" i="8"/>
  <c r="V444" i="8" s="1"/>
  <c r="AO444" i="8"/>
  <c r="AT444" i="8" s="1"/>
  <c r="AD444" i="8"/>
  <c r="AI444" i="8" s="1"/>
  <c r="S444" i="8"/>
  <c r="X444" i="8" s="1"/>
  <c r="AB444" i="8"/>
  <c r="AG444" i="8" s="1"/>
  <c r="AN444" i="8"/>
  <c r="AS444" i="8" s="1"/>
  <c r="AC444" i="8"/>
  <c r="AH444" i="8" s="1"/>
  <c r="R444" i="8"/>
  <c r="W444" i="8" s="1"/>
  <c r="AO435" i="8"/>
  <c r="AT435" i="8" s="1"/>
  <c r="AD435" i="8"/>
  <c r="AI435" i="8" s="1"/>
  <c r="S435" i="8"/>
  <c r="X435" i="8" s="1"/>
  <c r="AN435" i="8"/>
  <c r="AS435" i="8" s="1"/>
  <c r="AC435" i="8"/>
  <c r="AH435" i="8" s="1"/>
  <c r="R435" i="8"/>
  <c r="W435" i="8" s="1"/>
  <c r="AM435" i="8"/>
  <c r="AR435" i="8" s="1"/>
  <c r="AB435" i="8"/>
  <c r="AG435" i="8" s="1"/>
  <c r="Q435" i="8"/>
  <c r="V435" i="8" s="1"/>
  <c r="AL435" i="8"/>
  <c r="AQ435" i="8" s="1"/>
  <c r="AA435" i="8"/>
  <c r="AF435" i="8" s="1"/>
  <c r="P435" i="8"/>
  <c r="U435" i="8" s="1"/>
  <c r="AN434" i="8"/>
  <c r="AS434" i="8" s="1"/>
  <c r="AC434" i="8"/>
  <c r="AH434" i="8" s="1"/>
  <c r="R434" i="8"/>
  <c r="W434" i="8" s="1"/>
  <c r="AD434" i="8"/>
  <c r="AI434" i="8" s="1"/>
  <c r="AM434" i="8"/>
  <c r="AR434" i="8" s="1"/>
  <c r="AB434" i="8"/>
  <c r="AG434" i="8" s="1"/>
  <c r="Q434" i="8"/>
  <c r="V434" i="8" s="1"/>
  <c r="AL434" i="8"/>
  <c r="AQ434" i="8" s="1"/>
  <c r="AA434" i="8"/>
  <c r="AF434" i="8" s="1"/>
  <c r="P434" i="8"/>
  <c r="U434" i="8" s="1"/>
  <c r="AO434" i="8"/>
  <c r="AT434" i="8" s="1"/>
  <c r="S434" i="8"/>
  <c r="X434" i="8" s="1"/>
  <c r="AL452" i="8"/>
  <c r="AQ452" i="8" s="1"/>
  <c r="AA452" i="8"/>
  <c r="AF452" i="8" s="1"/>
  <c r="P452" i="8"/>
  <c r="U452" i="8" s="1"/>
  <c r="Q452" i="8"/>
  <c r="V452" i="8" s="1"/>
  <c r="AM452" i="8"/>
  <c r="AR452" i="8" s="1"/>
  <c r="AO452" i="8"/>
  <c r="AT452" i="8" s="1"/>
  <c r="AD452" i="8"/>
  <c r="AI452" i="8" s="1"/>
  <c r="S452" i="8"/>
  <c r="X452" i="8" s="1"/>
  <c r="AB452" i="8"/>
  <c r="AG452" i="8" s="1"/>
  <c r="AN452" i="8"/>
  <c r="AS452" i="8" s="1"/>
  <c r="AC452" i="8"/>
  <c r="AH452" i="8" s="1"/>
  <c r="R452" i="8"/>
  <c r="W452" i="8" s="1"/>
  <c r="AO443" i="8"/>
  <c r="AT443" i="8" s="1"/>
  <c r="AD443" i="8"/>
  <c r="AI443" i="8" s="1"/>
  <c r="S443" i="8"/>
  <c r="X443" i="8" s="1"/>
  <c r="AN443" i="8"/>
  <c r="AS443" i="8" s="1"/>
  <c r="AC443" i="8"/>
  <c r="AH443" i="8" s="1"/>
  <c r="R443" i="8"/>
  <c r="W443" i="8" s="1"/>
  <c r="AM443" i="8"/>
  <c r="AR443" i="8" s="1"/>
  <c r="AB443" i="8"/>
  <c r="AG443" i="8" s="1"/>
  <c r="Q443" i="8"/>
  <c r="V443" i="8" s="1"/>
  <c r="AL443" i="8"/>
  <c r="AQ443" i="8" s="1"/>
  <c r="AA443" i="8"/>
  <c r="AF443" i="8" s="1"/>
  <c r="P443" i="8"/>
  <c r="U443" i="8" s="1"/>
  <c r="AN442" i="8"/>
  <c r="AS442" i="8" s="1"/>
  <c r="AC442" i="8"/>
  <c r="AH442" i="8" s="1"/>
  <c r="R442" i="8"/>
  <c r="W442" i="8" s="1"/>
  <c r="AM442" i="8"/>
  <c r="AR442" i="8" s="1"/>
  <c r="AB442" i="8"/>
  <c r="AG442" i="8" s="1"/>
  <c r="Q442" i="8"/>
  <c r="V442" i="8" s="1"/>
  <c r="AL442" i="8"/>
  <c r="AQ442" i="8" s="1"/>
  <c r="AA442" i="8"/>
  <c r="AF442" i="8" s="1"/>
  <c r="P442" i="8"/>
  <c r="U442" i="8" s="1"/>
  <c r="AO442" i="8"/>
  <c r="AT442" i="8" s="1"/>
  <c r="AD442" i="8"/>
  <c r="AI442" i="8" s="1"/>
  <c r="S442" i="8"/>
  <c r="X442" i="8" s="1"/>
  <c r="AL441" i="8"/>
  <c r="AQ441" i="8" s="1"/>
  <c r="AA441" i="8"/>
  <c r="AF441" i="8" s="1"/>
  <c r="AO441" i="8"/>
  <c r="AT441" i="8" s="1"/>
  <c r="AD441" i="8"/>
  <c r="AI441" i="8" s="1"/>
  <c r="S441" i="8"/>
  <c r="X441" i="8" s="1"/>
  <c r="AN441" i="8"/>
  <c r="AS441" i="8" s="1"/>
  <c r="AC441" i="8"/>
  <c r="AH441" i="8" s="1"/>
  <c r="R441" i="8"/>
  <c r="W441" i="8" s="1"/>
  <c r="AM441" i="8"/>
  <c r="AR441" i="8" s="1"/>
  <c r="AB441" i="8"/>
  <c r="AG441" i="8" s="1"/>
  <c r="Q441" i="8"/>
  <c r="V441" i="8" s="1"/>
  <c r="P441" i="8"/>
  <c r="U441" i="8" s="1"/>
  <c r="AO451" i="8"/>
  <c r="AT451" i="8" s="1"/>
  <c r="AD451" i="8"/>
  <c r="AI451" i="8" s="1"/>
  <c r="S451" i="8"/>
  <c r="X451" i="8" s="1"/>
  <c r="AN451" i="8"/>
  <c r="AS451" i="8" s="1"/>
  <c r="AC451" i="8"/>
  <c r="AH451" i="8" s="1"/>
  <c r="R451" i="8"/>
  <c r="W451" i="8" s="1"/>
  <c r="AM451" i="8"/>
  <c r="AR451" i="8" s="1"/>
  <c r="AB451" i="8"/>
  <c r="AG451" i="8" s="1"/>
  <c r="Q451" i="8"/>
  <c r="V451" i="8" s="1"/>
  <c r="AL451" i="8"/>
  <c r="AQ451" i="8" s="1"/>
  <c r="AA451" i="8"/>
  <c r="AF451" i="8" s="1"/>
  <c r="P451" i="8"/>
  <c r="U451" i="8" s="1"/>
  <c r="AN450" i="8"/>
  <c r="AS450" i="8" s="1"/>
  <c r="AC450" i="8"/>
  <c r="AH450" i="8" s="1"/>
  <c r="R450" i="8"/>
  <c r="W450" i="8" s="1"/>
  <c r="AM450" i="8"/>
  <c r="AR450" i="8" s="1"/>
  <c r="AB450" i="8"/>
  <c r="AG450" i="8" s="1"/>
  <c r="Q450" i="8"/>
  <c r="V450" i="8" s="1"/>
  <c r="AL450" i="8"/>
  <c r="AQ450" i="8" s="1"/>
  <c r="AA450" i="8"/>
  <c r="AF450" i="8" s="1"/>
  <c r="P450" i="8"/>
  <c r="U450" i="8" s="1"/>
  <c r="S450" i="8"/>
  <c r="X450" i="8" s="1"/>
  <c r="AO450" i="8"/>
  <c r="AT450" i="8" s="1"/>
  <c r="AD450" i="8"/>
  <c r="AI450" i="8" s="1"/>
  <c r="P449" i="8"/>
  <c r="U449" i="8" s="1"/>
  <c r="AL449" i="8"/>
  <c r="AQ449" i="8" s="1"/>
  <c r="AA449" i="8"/>
  <c r="AF449" i="8" s="1"/>
  <c r="AO449" i="8"/>
  <c r="AT449" i="8" s="1"/>
  <c r="AD449" i="8"/>
  <c r="AI449" i="8" s="1"/>
  <c r="S449" i="8"/>
  <c r="X449" i="8" s="1"/>
  <c r="AN449" i="8"/>
  <c r="AS449" i="8" s="1"/>
  <c r="AC449" i="8"/>
  <c r="AH449" i="8" s="1"/>
  <c r="R449" i="8"/>
  <c r="W449" i="8" s="1"/>
  <c r="AM449" i="8"/>
  <c r="AR449" i="8" s="1"/>
  <c r="AB449" i="8"/>
  <c r="AG449" i="8" s="1"/>
  <c r="Q449" i="8"/>
  <c r="V449" i="8" s="1"/>
  <c r="AN429" i="8"/>
  <c r="AS429" i="8" s="1"/>
  <c r="AC429" i="8"/>
  <c r="AH429" i="8" s="1"/>
  <c r="R429" i="8"/>
  <c r="W429" i="8" s="1"/>
  <c r="AO429" i="8"/>
  <c r="AT429" i="8" s="1"/>
  <c r="S429" i="8"/>
  <c r="X429" i="8" s="1"/>
  <c r="AM429" i="8"/>
  <c r="AR429" i="8" s="1"/>
  <c r="AB429" i="8"/>
  <c r="AG429" i="8" s="1"/>
  <c r="Q429" i="8"/>
  <c r="V429" i="8" s="1"/>
  <c r="AL429" i="8"/>
  <c r="AQ429" i="8" s="1"/>
  <c r="AA429" i="8"/>
  <c r="AF429" i="8" s="1"/>
  <c r="P429" i="8"/>
  <c r="U429" i="8" s="1"/>
  <c r="AD429" i="8"/>
  <c r="AI429" i="8" s="1"/>
  <c r="AO419" i="8"/>
  <c r="AT419" i="8" s="1"/>
  <c r="AD419" i="8"/>
  <c r="AI419" i="8" s="1"/>
  <c r="S419" i="8"/>
  <c r="X419" i="8" s="1"/>
  <c r="AN419" i="8"/>
  <c r="AS419" i="8" s="1"/>
  <c r="AC419" i="8"/>
  <c r="AH419" i="8" s="1"/>
  <c r="R419" i="8"/>
  <c r="W419" i="8" s="1"/>
  <c r="AM419" i="8"/>
  <c r="AR419" i="8" s="1"/>
  <c r="AB419" i="8"/>
  <c r="AG419" i="8" s="1"/>
  <c r="Q419" i="8"/>
  <c r="V419" i="8" s="1"/>
  <c r="AL419" i="8"/>
  <c r="AQ419" i="8" s="1"/>
  <c r="AA419" i="8"/>
  <c r="AF419" i="8" s="1"/>
  <c r="P419" i="8"/>
  <c r="U419" i="8" s="1"/>
  <c r="AM418" i="8"/>
  <c r="AR418" i="8" s="1"/>
  <c r="AB418" i="8"/>
  <c r="AG418" i="8" s="1"/>
  <c r="Q418" i="8"/>
  <c r="V418" i="8" s="1"/>
  <c r="R418" i="8"/>
  <c r="W418" i="8" s="1"/>
  <c r="AL418" i="8"/>
  <c r="AQ418" i="8" s="1"/>
  <c r="AA418" i="8"/>
  <c r="AF418" i="8" s="1"/>
  <c r="P418" i="8"/>
  <c r="U418" i="8" s="1"/>
  <c r="AN418" i="8"/>
  <c r="AS418" i="8" s="1"/>
  <c r="AC418" i="8"/>
  <c r="AH418" i="8" s="1"/>
  <c r="AO418" i="8"/>
  <c r="AT418" i="8" s="1"/>
  <c r="AD418" i="8"/>
  <c r="AI418" i="8" s="1"/>
  <c r="S418" i="8"/>
  <c r="X418" i="8" s="1"/>
  <c r="AO430" i="8"/>
  <c r="AT430" i="8" s="1"/>
  <c r="AD430" i="8"/>
  <c r="AI430" i="8" s="1"/>
  <c r="S430" i="8"/>
  <c r="X430" i="8" s="1"/>
  <c r="AN430" i="8"/>
  <c r="AS430" i="8" s="1"/>
  <c r="AC430" i="8"/>
  <c r="AH430" i="8" s="1"/>
  <c r="R430" i="8"/>
  <c r="W430" i="8" s="1"/>
  <c r="AM430" i="8"/>
  <c r="AR430" i="8" s="1"/>
  <c r="AB430" i="8"/>
  <c r="AG430" i="8" s="1"/>
  <c r="Q430" i="8"/>
  <c r="V430" i="8" s="1"/>
  <c r="AL430" i="8"/>
  <c r="AQ430" i="8" s="1"/>
  <c r="AA430" i="8"/>
  <c r="AF430" i="8" s="1"/>
  <c r="P430" i="8"/>
  <c r="U430" i="8" s="1"/>
  <c r="AO427" i="8"/>
  <c r="AT427" i="8" s="1"/>
  <c r="AD427" i="8"/>
  <c r="AI427" i="8" s="1"/>
  <c r="S427" i="8"/>
  <c r="X427" i="8" s="1"/>
  <c r="AN427" i="8"/>
  <c r="AS427" i="8" s="1"/>
  <c r="AC427" i="8"/>
  <c r="AH427" i="8" s="1"/>
  <c r="R427" i="8"/>
  <c r="W427" i="8" s="1"/>
  <c r="AM427" i="8"/>
  <c r="AR427" i="8" s="1"/>
  <c r="AB427" i="8"/>
  <c r="AG427" i="8" s="1"/>
  <c r="Q427" i="8"/>
  <c r="V427" i="8" s="1"/>
  <c r="AL427" i="8"/>
  <c r="AQ427" i="8" s="1"/>
  <c r="AA427" i="8"/>
  <c r="AF427" i="8" s="1"/>
  <c r="P427" i="8"/>
  <c r="U427" i="8" s="1"/>
  <c r="AM426" i="8"/>
  <c r="AR426" i="8" s="1"/>
  <c r="AB426" i="8"/>
  <c r="AG426" i="8" s="1"/>
  <c r="Q426" i="8"/>
  <c r="V426" i="8" s="1"/>
  <c r="AN426" i="8"/>
  <c r="AS426" i="8" s="1"/>
  <c r="R426" i="8"/>
  <c r="W426" i="8" s="1"/>
  <c r="AL426" i="8"/>
  <c r="AQ426" i="8" s="1"/>
  <c r="AA426" i="8"/>
  <c r="AF426" i="8" s="1"/>
  <c r="P426" i="8"/>
  <c r="U426" i="8" s="1"/>
  <c r="AC426" i="8"/>
  <c r="AH426" i="8" s="1"/>
  <c r="AO426" i="8"/>
  <c r="AT426" i="8" s="1"/>
  <c r="AD426" i="8"/>
  <c r="AI426" i="8" s="1"/>
  <c r="S426" i="8"/>
  <c r="X426" i="8" s="1"/>
  <c r="AO416" i="8"/>
  <c r="AT416" i="8" s="1"/>
  <c r="AD416" i="8"/>
  <c r="AI416" i="8" s="1"/>
  <c r="S416" i="8"/>
  <c r="X416" i="8" s="1"/>
  <c r="AN416" i="8"/>
  <c r="AS416" i="8" s="1"/>
  <c r="AC416" i="8"/>
  <c r="AH416" i="8" s="1"/>
  <c r="R416" i="8"/>
  <c r="W416" i="8" s="1"/>
  <c r="AM416" i="8"/>
  <c r="AR416" i="8" s="1"/>
  <c r="AB416" i="8"/>
  <c r="AG416" i="8" s="1"/>
  <c r="Q416" i="8"/>
  <c r="V416" i="8" s="1"/>
  <c r="AL416" i="8"/>
  <c r="AQ416" i="8" s="1"/>
  <c r="AA416" i="8"/>
  <c r="AF416" i="8" s="1"/>
  <c r="P416" i="8"/>
  <c r="U416" i="8" s="1"/>
  <c r="AL415" i="8"/>
  <c r="AQ415" i="8" s="1"/>
  <c r="AA415" i="8"/>
  <c r="AF415" i="8" s="1"/>
  <c r="P415" i="8"/>
  <c r="U415" i="8" s="1"/>
  <c r="AO415" i="8"/>
  <c r="AT415" i="8" s="1"/>
  <c r="AD415" i="8"/>
  <c r="AI415" i="8" s="1"/>
  <c r="S415" i="8"/>
  <c r="X415" i="8" s="1"/>
  <c r="AN415" i="8"/>
  <c r="AS415" i="8" s="1"/>
  <c r="AC415" i="8"/>
  <c r="AH415" i="8" s="1"/>
  <c r="R415" i="8"/>
  <c r="W415" i="8" s="1"/>
  <c r="Q415" i="8"/>
  <c r="V415" i="8" s="1"/>
  <c r="AB415" i="8"/>
  <c r="AG415" i="8" s="1"/>
  <c r="AM415" i="8"/>
  <c r="AR415" i="8" s="1"/>
  <c r="AO424" i="8"/>
  <c r="AT424" i="8" s="1"/>
  <c r="AD424" i="8"/>
  <c r="AI424" i="8" s="1"/>
  <c r="S424" i="8"/>
  <c r="X424" i="8" s="1"/>
  <c r="AN424" i="8"/>
  <c r="AS424" i="8" s="1"/>
  <c r="AC424" i="8"/>
  <c r="AH424" i="8" s="1"/>
  <c r="R424" i="8"/>
  <c r="W424" i="8" s="1"/>
  <c r="AM424" i="8"/>
  <c r="AR424" i="8" s="1"/>
  <c r="AB424" i="8"/>
  <c r="AG424" i="8" s="1"/>
  <c r="Q424" i="8"/>
  <c r="V424" i="8" s="1"/>
  <c r="AL424" i="8"/>
  <c r="AQ424" i="8" s="1"/>
  <c r="AA424" i="8"/>
  <c r="AF424" i="8" s="1"/>
  <c r="P424" i="8"/>
  <c r="U424" i="8" s="1"/>
  <c r="AL423" i="8"/>
  <c r="AQ423" i="8" s="1"/>
  <c r="AA423" i="8"/>
  <c r="AF423" i="8" s="1"/>
  <c r="P423" i="8"/>
  <c r="U423" i="8" s="1"/>
  <c r="Q423" i="8"/>
  <c r="V423" i="8" s="1"/>
  <c r="AM423" i="8"/>
  <c r="AR423" i="8" s="1"/>
  <c r="AB423" i="8"/>
  <c r="AG423" i="8" s="1"/>
  <c r="AO423" i="8"/>
  <c r="AT423" i="8" s="1"/>
  <c r="AD423" i="8"/>
  <c r="AI423" i="8" s="1"/>
  <c r="S423" i="8"/>
  <c r="X423" i="8" s="1"/>
  <c r="AN423" i="8"/>
  <c r="AS423" i="8" s="1"/>
  <c r="AC423" i="8"/>
  <c r="AH423" i="8" s="1"/>
  <c r="R423" i="8"/>
  <c r="W423" i="8" s="1"/>
  <c r="AO417" i="8"/>
  <c r="AT417" i="8" s="1"/>
  <c r="AD417" i="8"/>
  <c r="AI417" i="8" s="1"/>
  <c r="S417" i="8"/>
  <c r="X417" i="8" s="1"/>
  <c r="AN417" i="8"/>
  <c r="AS417" i="8" s="1"/>
  <c r="AC417" i="8"/>
  <c r="AH417" i="8" s="1"/>
  <c r="R417" i="8"/>
  <c r="W417" i="8" s="1"/>
  <c r="AM417" i="8"/>
  <c r="AR417" i="8" s="1"/>
  <c r="AB417" i="8"/>
  <c r="AG417" i="8" s="1"/>
  <c r="Q417" i="8"/>
  <c r="V417" i="8" s="1"/>
  <c r="AL417" i="8"/>
  <c r="AQ417" i="8" s="1"/>
  <c r="AA417" i="8"/>
  <c r="AF417" i="8" s="1"/>
  <c r="P417" i="8"/>
  <c r="U417" i="8" s="1"/>
  <c r="AO425" i="8"/>
  <c r="AT425" i="8" s="1"/>
  <c r="AD425" i="8"/>
  <c r="AI425" i="8" s="1"/>
  <c r="S425" i="8"/>
  <c r="X425" i="8" s="1"/>
  <c r="AN425" i="8"/>
  <c r="AS425" i="8" s="1"/>
  <c r="AC425" i="8"/>
  <c r="AH425" i="8" s="1"/>
  <c r="R425" i="8"/>
  <c r="W425" i="8" s="1"/>
  <c r="AM425" i="8"/>
  <c r="AR425" i="8" s="1"/>
  <c r="AB425" i="8"/>
  <c r="AG425" i="8" s="1"/>
  <c r="Q425" i="8"/>
  <c r="V425" i="8" s="1"/>
  <c r="AL425" i="8"/>
  <c r="AQ425" i="8" s="1"/>
  <c r="AA425" i="8"/>
  <c r="AF425" i="8" s="1"/>
  <c r="P425" i="8"/>
  <c r="U425" i="8" s="1"/>
  <c r="AL431" i="8"/>
  <c r="AQ431" i="8" s="1"/>
  <c r="AA431" i="8"/>
  <c r="AF431" i="8" s="1"/>
  <c r="P431" i="8"/>
  <c r="U431" i="8" s="1"/>
  <c r="Q431" i="8"/>
  <c r="V431" i="8" s="1"/>
  <c r="AM431" i="8"/>
  <c r="AR431" i="8" s="1"/>
  <c r="AO431" i="8"/>
  <c r="AT431" i="8" s="1"/>
  <c r="AD431" i="8"/>
  <c r="AI431" i="8" s="1"/>
  <c r="S431" i="8"/>
  <c r="X431" i="8" s="1"/>
  <c r="AN431" i="8"/>
  <c r="AS431" i="8" s="1"/>
  <c r="AC431" i="8"/>
  <c r="AH431" i="8" s="1"/>
  <c r="R431" i="8"/>
  <c r="W431" i="8" s="1"/>
  <c r="AB431" i="8"/>
  <c r="AG431" i="8" s="1"/>
  <c r="AO414" i="8"/>
  <c r="AT414" i="8" s="1"/>
  <c r="AD414" i="8"/>
  <c r="AI414" i="8" s="1"/>
  <c r="S414" i="8"/>
  <c r="X414" i="8" s="1"/>
  <c r="AN414" i="8"/>
  <c r="AS414" i="8" s="1"/>
  <c r="AC414" i="8"/>
  <c r="AH414" i="8" s="1"/>
  <c r="R414" i="8"/>
  <c r="W414" i="8" s="1"/>
  <c r="AM414" i="8"/>
  <c r="AR414" i="8" s="1"/>
  <c r="AB414" i="8"/>
  <c r="AG414" i="8" s="1"/>
  <c r="Q414" i="8"/>
  <c r="V414" i="8" s="1"/>
  <c r="AL414" i="8"/>
  <c r="AQ414" i="8" s="1"/>
  <c r="AA414" i="8"/>
  <c r="AF414" i="8" s="1"/>
  <c r="P414" i="8"/>
  <c r="U414" i="8" s="1"/>
  <c r="AN413" i="8"/>
  <c r="AS413" i="8" s="1"/>
  <c r="AC413" i="8"/>
  <c r="AH413" i="8" s="1"/>
  <c r="R413" i="8"/>
  <c r="W413" i="8" s="1"/>
  <c r="AM413" i="8"/>
  <c r="AR413" i="8" s="1"/>
  <c r="AB413" i="8"/>
  <c r="AG413" i="8" s="1"/>
  <c r="Q413" i="8"/>
  <c r="V413" i="8" s="1"/>
  <c r="AL413" i="8"/>
  <c r="AQ413" i="8" s="1"/>
  <c r="AA413" i="8"/>
  <c r="AF413" i="8" s="1"/>
  <c r="P413" i="8"/>
  <c r="U413" i="8" s="1"/>
  <c r="AO413" i="8"/>
  <c r="AT413" i="8" s="1"/>
  <c r="AD413" i="8"/>
  <c r="AI413" i="8" s="1"/>
  <c r="S413" i="8"/>
  <c r="X413" i="8" s="1"/>
  <c r="AL420" i="8"/>
  <c r="AQ420" i="8" s="1"/>
  <c r="P420" i="8"/>
  <c r="U420" i="8" s="1"/>
  <c r="AO420" i="8"/>
  <c r="AT420" i="8" s="1"/>
  <c r="AD420" i="8"/>
  <c r="AI420" i="8" s="1"/>
  <c r="S420" i="8"/>
  <c r="X420" i="8" s="1"/>
  <c r="AN420" i="8"/>
  <c r="AS420" i="8" s="1"/>
  <c r="AC420" i="8"/>
  <c r="AH420" i="8" s="1"/>
  <c r="R420" i="8"/>
  <c r="W420" i="8" s="1"/>
  <c r="AM420" i="8"/>
  <c r="AR420" i="8" s="1"/>
  <c r="AB420" i="8"/>
  <c r="AG420" i="8" s="1"/>
  <c r="Q420" i="8"/>
  <c r="V420" i="8" s="1"/>
  <c r="AA420" i="8"/>
  <c r="AF420" i="8" s="1"/>
  <c r="AO422" i="8"/>
  <c r="AT422" i="8" s="1"/>
  <c r="AD422" i="8"/>
  <c r="AI422" i="8" s="1"/>
  <c r="S422" i="8"/>
  <c r="X422" i="8" s="1"/>
  <c r="AN422" i="8"/>
  <c r="AS422" i="8" s="1"/>
  <c r="AC422" i="8"/>
  <c r="AH422" i="8" s="1"/>
  <c r="R422" i="8"/>
  <c r="W422" i="8" s="1"/>
  <c r="AM422" i="8"/>
  <c r="AR422" i="8" s="1"/>
  <c r="AB422" i="8"/>
  <c r="AG422" i="8" s="1"/>
  <c r="Q422" i="8"/>
  <c r="V422" i="8" s="1"/>
  <c r="AL422" i="8"/>
  <c r="AQ422" i="8" s="1"/>
  <c r="AA422" i="8"/>
  <c r="AF422" i="8" s="1"/>
  <c r="P422" i="8"/>
  <c r="U422" i="8" s="1"/>
  <c r="AN421" i="8"/>
  <c r="AS421" i="8" s="1"/>
  <c r="AC421" i="8"/>
  <c r="AH421" i="8" s="1"/>
  <c r="R421" i="8"/>
  <c r="W421" i="8" s="1"/>
  <c r="S421" i="8"/>
  <c r="X421" i="8" s="1"/>
  <c r="AM421" i="8"/>
  <c r="AR421" i="8" s="1"/>
  <c r="AB421" i="8"/>
  <c r="AG421" i="8" s="1"/>
  <c r="Q421" i="8"/>
  <c r="V421" i="8" s="1"/>
  <c r="AL421" i="8"/>
  <c r="AQ421" i="8" s="1"/>
  <c r="AA421" i="8"/>
  <c r="AF421" i="8" s="1"/>
  <c r="P421" i="8"/>
  <c r="U421" i="8" s="1"/>
  <c r="AO421" i="8"/>
  <c r="AT421" i="8" s="1"/>
  <c r="AD421" i="8"/>
  <c r="AI421" i="8" s="1"/>
  <c r="P428" i="8"/>
  <c r="U428" i="8" s="1"/>
  <c r="AL428" i="8"/>
  <c r="AQ428" i="8" s="1"/>
  <c r="AO428" i="8"/>
  <c r="AT428" i="8" s="1"/>
  <c r="AD428" i="8"/>
  <c r="AI428" i="8" s="1"/>
  <c r="S428" i="8"/>
  <c r="X428" i="8" s="1"/>
  <c r="AN428" i="8"/>
  <c r="AS428" i="8" s="1"/>
  <c r="AC428" i="8"/>
  <c r="AH428" i="8" s="1"/>
  <c r="R428" i="8"/>
  <c r="W428" i="8" s="1"/>
  <c r="AM428" i="8"/>
  <c r="AR428" i="8" s="1"/>
  <c r="AB428" i="8"/>
  <c r="AG428" i="8" s="1"/>
  <c r="Q428" i="8"/>
  <c r="V428" i="8" s="1"/>
  <c r="AA428" i="8"/>
  <c r="AF428" i="8" s="1"/>
  <c r="AO398" i="8"/>
  <c r="AT398" i="8" s="1"/>
  <c r="AD398" i="8"/>
  <c r="AI398" i="8" s="1"/>
  <c r="S398" i="8"/>
  <c r="X398" i="8" s="1"/>
  <c r="AN398" i="8"/>
  <c r="AS398" i="8" s="1"/>
  <c r="AC398" i="8"/>
  <c r="AH398" i="8" s="1"/>
  <c r="R398" i="8"/>
  <c r="W398" i="8" s="1"/>
  <c r="AM398" i="8"/>
  <c r="AR398" i="8" s="1"/>
  <c r="AB398" i="8"/>
  <c r="AG398" i="8" s="1"/>
  <c r="Q398" i="8"/>
  <c r="V398" i="8" s="1"/>
  <c r="AL398" i="8"/>
  <c r="AQ398" i="8" s="1"/>
  <c r="AA398" i="8"/>
  <c r="AF398" i="8" s="1"/>
  <c r="P398" i="8"/>
  <c r="U398" i="8" s="1"/>
  <c r="AM397" i="8"/>
  <c r="AR397" i="8" s="1"/>
  <c r="AB397" i="8"/>
  <c r="AG397" i="8" s="1"/>
  <c r="Q397" i="8"/>
  <c r="V397" i="8" s="1"/>
  <c r="AL397" i="8"/>
  <c r="AQ397" i="8" s="1"/>
  <c r="AA397" i="8"/>
  <c r="AF397" i="8" s="1"/>
  <c r="P397" i="8"/>
  <c r="U397" i="8" s="1"/>
  <c r="AC397" i="8"/>
  <c r="AH397" i="8" s="1"/>
  <c r="AN397" i="8"/>
  <c r="AS397" i="8" s="1"/>
  <c r="AO397" i="8"/>
  <c r="AT397" i="8" s="1"/>
  <c r="AD397" i="8"/>
  <c r="AI397" i="8" s="1"/>
  <c r="S397" i="8"/>
  <c r="X397" i="8" s="1"/>
  <c r="R397" i="8"/>
  <c r="W397" i="8" s="1"/>
  <c r="AO406" i="8"/>
  <c r="AT406" i="8" s="1"/>
  <c r="AD406" i="8"/>
  <c r="AI406" i="8" s="1"/>
  <c r="S406" i="8"/>
  <c r="X406" i="8" s="1"/>
  <c r="AN406" i="8"/>
  <c r="AS406" i="8" s="1"/>
  <c r="AC406" i="8"/>
  <c r="AH406" i="8" s="1"/>
  <c r="R406" i="8"/>
  <c r="W406" i="8" s="1"/>
  <c r="AM406" i="8"/>
  <c r="AR406" i="8" s="1"/>
  <c r="AB406" i="8"/>
  <c r="AG406" i="8" s="1"/>
  <c r="Q406" i="8"/>
  <c r="V406" i="8" s="1"/>
  <c r="AL406" i="8"/>
  <c r="AQ406" i="8" s="1"/>
  <c r="AA406" i="8"/>
  <c r="AF406" i="8" s="1"/>
  <c r="P406" i="8"/>
  <c r="U406" i="8" s="1"/>
  <c r="AM405" i="8"/>
  <c r="AR405" i="8" s="1"/>
  <c r="AB405" i="8"/>
  <c r="AG405" i="8" s="1"/>
  <c r="Q405" i="8"/>
  <c r="V405" i="8" s="1"/>
  <c r="AC405" i="8"/>
  <c r="AH405" i="8" s="1"/>
  <c r="AL405" i="8"/>
  <c r="AQ405" i="8" s="1"/>
  <c r="AA405" i="8"/>
  <c r="AF405" i="8" s="1"/>
  <c r="P405" i="8"/>
  <c r="U405" i="8" s="1"/>
  <c r="R405" i="8"/>
  <c r="W405" i="8" s="1"/>
  <c r="AO405" i="8"/>
  <c r="AT405" i="8" s="1"/>
  <c r="AD405" i="8"/>
  <c r="AI405" i="8" s="1"/>
  <c r="S405" i="8"/>
  <c r="X405" i="8" s="1"/>
  <c r="AN405" i="8"/>
  <c r="AS405" i="8" s="1"/>
  <c r="AO396" i="8"/>
  <c r="AT396" i="8" s="1"/>
  <c r="AD396" i="8"/>
  <c r="AI396" i="8" s="1"/>
  <c r="S396" i="8"/>
  <c r="X396" i="8" s="1"/>
  <c r="AN396" i="8"/>
  <c r="AS396" i="8" s="1"/>
  <c r="AC396" i="8"/>
  <c r="AH396" i="8" s="1"/>
  <c r="R396" i="8"/>
  <c r="W396" i="8" s="1"/>
  <c r="AM396" i="8"/>
  <c r="AR396" i="8" s="1"/>
  <c r="AB396" i="8"/>
  <c r="AG396" i="8" s="1"/>
  <c r="Q396" i="8"/>
  <c r="V396" i="8" s="1"/>
  <c r="AL396" i="8"/>
  <c r="AQ396" i="8" s="1"/>
  <c r="AA396" i="8"/>
  <c r="AF396" i="8" s="1"/>
  <c r="P396" i="8"/>
  <c r="U396" i="8" s="1"/>
  <c r="AO404" i="8"/>
  <c r="AT404" i="8" s="1"/>
  <c r="AD404" i="8"/>
  <c r="AI404" i="8" s="1"/>
  <c r="S404" i="8"/>
  <c r="X404" i="8" s="1"/>
  <c r="AN404" i="8"/>
  <c r="AS404" i="8" s="1"/>
  <c r="AC404" i="8"/>
  <c r="AH404" i="8" s="1"/>
  <c r="R404" i="8"/>
  <c r="W404" i="8" s="1"/>
  <c r="AM404" i="8"/>
  <c r="AR404" i="8" s="1"/>
  <c r="AB404" i="8"/>
  <c r="AG404" i="8" s="1"/>
  <c r="Q404" i="8"/>
  <c r="V404" i="8" s="1"/>
  <c r="AL404" i="8"/>
  <c r="AQ404" i="8" s="1"/>
  <c r="AA404" i="8"/>
  <c r="AF404" i="8" s="1"/>
  <c r="P404" i="8"/>
  <c r="U404" i="8" s="1"/>
  <c r="AO395" i="8"/>
  <c r="AT395" i="8" s="1"/>
  <c r="AD395" i="8"/>
  <c r="AI395" i="8" s="1"/>
  <c r="S395" i="8"/>
  <c r="X395" i="8" s="1"/>
  <c r="AN395" i="8"/>
  <c r="AS395" i="8" s="1"/>
  <c r="AC395" i="8"/>
  <c r="AH395" i="8" s="1"/>
  <c r="R395" i="8"/>
  <c r="W395" i="8" s="1"/>
  <c r="AM395" i="8"/>
  <c r="AR395" i="8" s="1"/>
  <c r="AB395" i="8"/>
  <c r="AG395" i="8" s="1"/>
  <c r="Q395" i="8"/>
  <c r="V395" i="8" s="1"/>
  <c r="AL395" i="8"/>
  <c r="AQ395" i="8" s="1"/>
  <c r="AA395" i="8"/>
  <c r="AF395" i="8" s="1"/>
  <c r="P395" i="8"/>
  <c r="U395" i="8" s="1"/>
  <c r="AL394" i="8"/>
  <c r="AQ394" i="8" s="1"/>
  <c r="AA394" i="8"/>
  <c r="AF394" i="8" s="1"/>
  <c r="P394" i="8"/>
  <c r="U394" i="8" s="1"/>
  <c r="AM394" i="8"/>
  <c r="AR394" i="8" s="1"/>
  <c r="AB394" i="8"/>
  <c r="AG394" i="8" s="1"/>
  <c r="Q394" i="8"/>
  <c r="V394" i="8" s="1"/>
  <c r="AO394" i="8"/>
  <c r="AT394" i="8" s="1"/>
  <c r="AD394" i="8"/>
  <c r="AI394" i="8" s="1"/>
  <c r="S394" i="8"/>
  <c r="X394" i="8" s="1"/>
  <c r="AN394" i="8"/>
  <c r="AS394" i="8" s="1"/>
  <c r="AC394" i="8"/>
  <c r="AH394" i="8" s="1"/>
  <c r="R394" i="8"/>
  <c r="W394" i="8" s="1"/>
  <c r="AO403" i="8"/>
  <c r="AT403" i="8" s="1"/>
  <c r="AD403" i="8"/>
  <c r="AI403" i="8" s="1"/>
  <c r="S403" i="8"/>
  <c r="X403" i="8" s="1"/>
  <c r="AN403" i="8"/>
  <c r="AS403" i="8" s="1"/>
  <c r="AC403" i="8"/>
  <c r="AH403" i="8" s="1"/>
  <c r="R403" i="8"/>
  <c r="W403" i="8" s="1"/>
  <c r="AM403" i="8"/>
  <c r="AR403" i="8" s="1"/>
  <c r="AB403" i="8"/>
  <c r="AG403" i="8" s="1"/>
  <c r="Q403" i="8"/>
  <c r="V403" i="8" s="1"/>
  <c r="AL403" i="8"/>
  <c r="AQ403" i="8" s="1"/>
  <c r="AA403" i="8"/>
  <c r="AF403" i="8" s="1"/>
  <c r="P403" i="8"/>
  <c r="U403" i="8" s="1"/>
  <c r="AL402" i="8"/>
  <c r="AQ402" i="8" s="1"/>
  <c r="AA402" i="8"/>
  <c r="AF402" i="8" s="1"/>
  <c r="P402" i="8"/>
  <c r="U402" i="8" s="1"/>
  <c r="AM402" i="8"/>
  <c r="AR402" i="8" s="1"/>
  <c r="Q402" i="8"/>
  <c r="V402" i="8" s="1"/>
  <c r="AO402" i="8"/>
  <c r="AT402" i="8" s="1"/>
  <c r="AD402" i="8"/>
  <c r="AI402" i="8" s="1"/>
  <c r="S402" i="8"/>
  <c r="X402" i="8" s="1"/>
  <c r="AN402" i="8"/>
  <c r="AS402" i="8" s="1"/>
  <c r="AC402" i="8"/>
  <c r="AH402" i="8" s="1"/>
  <c r="R402" i="8"/>
  <c r="W402" i="8" s="1"/>
  <c r="AB402" i="8"/>
  <c r="AG402" i="8" s="1"/>
  <c r="AO393" i="8"/>
  <c r="AT393" i="8" s="1"/>
  <c r="AD393" i="8"/>
  <c r="AI393" i="8" s="1"/>
  <c r="S393" i="8"/>
  <c r="X393" i="8" s="1"/>
  <c r="AN393" i="8"/>
  <c r="AS393" i="8" s="1"/>
  <c r="AC393" i="8"/>
  <c r="AH393" i="8" s="1"/>
  <c r="R393" i="8"/>
  <c r="W393" i="8" s="1"/>
  <c r="AM393" i="8"/>
  <c r="AR393" i="8" s="1"/>
  <c r="AB393" i="8"/>
  <c r="AG393" i="8" s="1"/>
  <c r="Q393" i="8"/>
  <c r="V393" i="8" s="1"/>
  <c r="AL393" i="8"/>
  <c r="AQ393" i="8" s="1"/>
  <c r="AA393" i="8"/>
  <c r="AF393" i="8" s="1"/>
  <c r="P393" i="8"/>
  <c r="U393" i="8" s="1"/>
  <c r="AN392" i="8"/>
  <c r="AS392" i="8" s="1"/>
  <c r="AC392" i="8"/>
  <c r="AH392" i="8" s="1"/>
  <c r="R392" i="8"/>
  <c r="W392" i="8" s="1"/>
  <c r="AM392" i="8"/>
  <c r="AR392" i="8" s="1"/>
  <c r="AB392" i="8"/>
  <c r="AG392" i="8" s="1"/>
  <c r="Q392" i="8"/>
  <c r="V392" i="8" s="1"/>
  <c r="AL392" i="8"/>
  <c r="AQ392" i="8" s="1"/>
  <c r="AA392" i="8"/>
  <c r="AF392" i="8" s="1"/>
  <c r="P392" i="8"/>
  <c r="U392" i="8" s="1"/>
  <c r="S392" i="8"/>
  <c r="X392" i="8" s="1"/>
  <c r="AO392" i="8"/>
  <c r="AT392" i="8" s="1"/>
  <c r="AD392" i="8"/>
  <c r="AI392" i="8" s="1"/>
  <c r="AL410" i="8"/>
  <c r="AQ410" i="8" s="1"/>
  <c r="AA410" i="8"/>
  <c r="AF410" i="8" s="1"/>
  <c r="P410" i="8"/>
  <c r="U410" i="8" s="1"/>
  <c r="Q410" i="8"/>
  <c r="V410" i="8" s="1"/>
  <c r="AB410" i="8"/>
  <c r="AG410" i="8" s="1"/>
  <c r="AO410" i="8"/>
  <c r="AT410" i="8" s="1"/>
  <c r="AD410" i="8"/>
  <c r="AI410" i="8" s="1"/>
  <c r="S410" i="8"/>
  <c r="X410" i="8" s="1"/>
  <c r="AM410" i="8"/>
  <c r="AR410" i="8" s="1"/>
  <c r="AN410" i="8"/>
  <c r="AS410" i="8" s="1"/>
  <c r="AC410" i="8"/>
  <c r="AH410" i="8" s="1"/>
  <c r="R410" i="8"/>
  <c r="W410" i="8" s="1"/>
  <c r="AO401" i="8"/>
  <c r="AT401" i="8" s="1"/>
  <c r="AD401" i="8"/>
  <c r="AI401" i="8" s="1"/>
  <c r="S401" i="8"/>
  <c r="X401" i="8" s="1"/>
  <c r="AN401" i="8"/>
  <c r="AS401" i="8" s="1"/>
  <c r="AC401" i="8"/>
  <c r="AH401" i="8" s="1"/>
  <c r="R401" i="8"/>
  <c r="W401" i="8" s="1"/>
  <c r="AM401" i="8"/>
  <c r="AR401" i="8" s="1"/>
  <c r="AB401" i="8"/>
  <c r="AG401" i="8" s="1"/>
  <c r="Q401" i="8"/>
  <c r="V401" i="8" s="1"/>
  <c r="AL401" i="8"/>
  <c r="AQ401" i="8" s="1"/>
  <c r="AA401" i="8"/>
  <c r="AF401" i="8" s="1"/>
  <c r="P401" i="8"/>
  <c r="U401" i="8" s="1"/>
  <c r="AN400" i="8"/>
  <c r="AS400" i="8" s="1"/>
  <c r="AC400" i="8"/>
  <c r="AH400" i="8" s="1"/>
  <c r="R400" i="8"/>
  <c r="W400" i="8" s="1"/>
  <c r="AM400" i="8"/>
  <c r="AR400" i="8" s="1"/>
  <c r="AB400" i="8"/>
  <c r="AG400" i="8" s="1"/>
  <c r="Q400" i="8"/>
  <c r="V400" i="8" s="1"/>
  <c r="AL400" i="8"/>
  <c r="AQ400" i="8" s="1"/>
  <c r="AA400" i="8"/>
  <c r="AF400" i="8" s="1"/>
  <c r="P400" i="8"/>
  <c r="U400" i="8" s="1"/>
  <c r="AD400" i="8"/>
  <c r="AI400" i="8" s="1"/>
  <c r="AO400" i="8"/>
  <c r="AT400" i="8" s="1"/>
  <c r="S400" i="8"/>
  <c r="X400" i="8" s="1"/>
  <c r="P399" i="8"/>
  <c r="U399" i="8" s="1"/>
  <c r="AO399" i="8"/>
  <c r="AT399" i="8" s="1"/>
  <c r="AD399" i="8"/>
  <c r="AI399" i="8" s="1"/>
  <c r="S399" i="8"/>
  <c r="X399" i="8" s="1"/>
  <c r="AN399" i="8"/>
  <c r="AS399" i="8" s="1"/>
  <c r="AC399" i="8"/>
  <c r="AH399" i="8" s="1"/>
  <c r="R399" i="8"/>
  <c r="W399" i="8" s="1"/>
  <c r="AL399" i="8"/>
  <c r="AQ399" i="8" s="1"/>
  <c r="AM399" i="8"/>
  <c r="AR399" i="8" s="1"/>
  <c r="AB399" i="8"/>
  <c r="AG399" i="8" s="1"/>
  <c r="Q399" i="8"/>
  <c r="V399" i="8" s="1"/>
  <c r="AA399" i="8"/>
  <c r="AF399" i="8" s="1"/>
  <c r="AO409" i="8"/>
  <c r="AT409" i="8" s="1"/>
  <c r="AD409" i="8"/>
  <c r="AI409" i="8" s="1"/>
  <c r="S409" i="8"/>
  <c r="X409" i="8" s="1"/>
  <c r="AN409" i="8"/>
  <c r="AS409" i="8" s="1"/>
  <c r="AC409" i="8"/>
  <c r="AH409" i="8" s="1"/>
  <c r="R409" i="8"/>
  <c r="W409" i="8" s="1"/>
  <c r="AM409" i="8"/>
  <c r="AR409" i="8" s="1"/>
  <c r="AB409" i="8"/>
  <c r="AG409" i="8" s="1"/>
  <c r="Q409" i="8"/>
  <c r="V409" i="8" s="1"/>
  <c r="AL409" i="8"/>
  <c r="AQ409" i="8" s="1"/>
  <c r="AA409" i="8"/>
  <c r="AF409" i="8" s="1"/>
  <c r="P409" i="8"/>
  <c r="U409" i="8" s="1"/>
  <c r="AN408" i="8"/>
  <c r="AS408" i="8" s="1"/>
  <c r="AC408" i="8"/>
  <c r="AH408" i="8" s="1"/>
  <c r="R408" i="8"/>
  <c r="W408" i="8" s="1"/>
  <c r="AM408" i="8"/>
  <c r="AR408" i="8" s="1"/>
  <c r="AB408" i="8"/>
  <c r="AG408" i="8" s="1"/>
  <c r="Q408" i="8"/>
  <c r="V408" i="8" s="1"/>
  <c r="AO408" i="8"/>
  <c r="AT408" i="8" s="1"/>
  <c r="S408" i="8"/>
  <c r="X408" i="8" s="1"/>
  <c r="AL408" i="8"/>
  <c r="AQ408" i="8" s="1"/>
  <c r="AA408" i="8"/>
  <c r="AF408" i="8" s="1"/>
  <c r="P408" i="8"/>
  <c r="U408" i="8" s="1"/>
  <c r="AD408" i="8"/>
  <c r="AI408" i="8" s="1"/>
  <c r="AA407" i="8"/>
  <c r="AF407" i="8" s="1"/>
  <c r="P407" i="8"/>
  <c r="U407" i="8" s="1"/>
  <c r="AO407" i="8"/>
  <c r="AT407" i="8" s="1"/>
  <c r="AD407" i="8"/>
  <c r="AI407" i="8" s="1"/>
  <c r="S407" i="8"/>
  <c r="X407" i="8" s="1"/>
  <c r="AN407" i="8"/>
  <c r="AS407" i="8" s="1"/>
  <c r="AC407" i="8"/>
  <c r="AH407" i="8" s="1"/>
  <c r="R407" i="8"/>
  <c r="W407" i="8" s="1"/>
  <c r="AM407" i="8"/>
  <c r="AR407" i="8" s="1"/>
  <c r="AB407" i="8"/>
  <c r="AG407" i="8" s="1"/>
  <c r="Q407" i="8"/>
  <c r="V407" i="8" s="1"/>
  <c r="AL407" i="8"/>
  <c r="AQ407" i="8" s="1"/>
  <c r="AO372" i="8"/>
  <c r="AT372" i="8" s="1"/>
  <c r="AD372" i="8"/>
  <c r="AI372" i="8" s="1"/>
  <c r="S372" i="8"/>
  <c r="X372" i="8" s="1"/>
  <c r="AN372" i="8"/>
  <c r="AS372" i="8" s="1"/>
  <c r="AC372" i="8"/>
  <c r="AH372" i="8" s="1"/>
  <c r="R372" i="8"/>
  <c r="W372" i="8" s="1"/>
  <c r="AM372" i="8"/>
  <c r="AR372" i="8" s="1"/>
  <c r="AB372" i="8"/>
  <c r="AG372" i="8" s="1"/>
  <c r="Q372" i="8"/>
  <c r="V372" i="8" s="1"/>
  <c r="AA372" i="8"/>
  <c r="AF372" i="8" s="1"/>
  <c r="P372" i="8"/>
  <c r="U372" i="8" s="1"/>
  <c r="AL372" i="8"/>
  <c r="AQ372" i="8" s="1"/>
  <c r="AO377" i="8"/>
  <c r="AT377" i="8" s="1"/>
  <c r="AD377" i="8"/>
  <c r="AI377" i="8" s="1"/>
  <c r="S377" i="8"/>
  <c r="X377" i="8" s="1"/>
  <c r="AN377" i="8"/>
  <c r="AS377" i="8" s="1"/>
  <c r="AC377" i="8"/>
  <c r="AH377" i="8" s="1"/>
  <c r="R377" i="8"/>
  <c r="W377" i="8" s="1"/>
  <c r="AM377" i="8"/>
  <c r="AR377" i="8" s="1"/>
  <c r="AB377" i="8"/>
  <c r="AG377" i="8" s="1"/>
  <c r="Q377" i="8"/>
  <c r="V377" i="8" s="1"/>
  <c r="AL377" i="8"/>
  <c r="AQ377" i="8" s="1"/>
  <c r="AA377" i="8"/>
  <c r="AF377" i="8" s="1"/>
  <c r="P377" i="8"/>
  <c r="U377" i="8" s="1"/>
  <c r="AO380" i="8"/>
  <c r="AT380" i="8" s="1"/>
  <c r="AD380" i="8"/>
  <c r="AI380" i="8" s="1"/>
  <c r="S380" i="8"/>
  <c r="X380" i="8" s="1"/>
  <c r="AN380" i="8"/>
  <c r="AS380" i="8" s="1"/>
  <c r="AC380" i="8"/>
  <c r="AH380" i="8" s="1"/>
  <c r="R380" i="8"/>
  <c r="W380" i="8" s="1"/>
  <c r="AM380" i="8"/>
  <c r="AR380" i="8" s="1"/>
  <c r="AB380" i="8"/>
  <c r="AG380" i="8" s="1"/>
  <c r="Q380" i="8"/>
  <c r="V380" i="8" s="1"/>
  <c r="AL380" i="8"/>
  <c r="AQ380" i="8" s="1"/>
  <c r="P380" i="8"/>
  <c r="U380" i="8" s="1"/>
  <c r="AA380" i="8"/>
  <c r="AF380" i="8" s="1"/>
  <c r="AM376" i="8"/>
  <c r="AR376" i="8" s="1"/>
  <c r="AB376" i="8"/>
  <c r="AG376" i="8" s="1"/>
  <c r="Q376" i="8"/>
  <c r="V376" i="8" s="1"/>
  <c r="AL376" i="8"/>
  <c r="AQ376" i="8" s="1"/>
  <c r="AA376" i="8"/>
  <c r="AF376" i="8" s="1"/>
  <c r="P376" i="8"/>
  <c r="U376" i="8" s="1"/>
  <c r="AO376" i="8"/>
  <c r="AT376" i="8" s="1"/>
  <c r="AD376" i="8"/>
  <c r="AI376" i="8" s="1"/>
  <c r="S376" i="8"/>
  <c r="X376" i="8" s="1"/>
  <c r="AN376" i="8"/>
  <c r="AS376" i="8" s="1"/>
  <c r="AC376" i="8"/>
  <c r="AH376" i="8" s="1"/>
  <c r="R376" i="8"/>
  <c r="W376" i="8" s="1"/>
  <c r="AO374" i="8"/>
  <c r="AT374" i="8" s="1"/>
  <c r="AD374" i="8"/>
  <c r="AI374" i="8" s="1"/>
  <c r="S374" i="8"/>
  <c r="X374" i="8" s="1"/>
  <c r="AN374" i="8"/>
  <c r="AS374" i="8" s="1"/>
  <c r="AC374" i="8"/>
  <c r="AH374" i="8" s="1"/>
  <c r="R374" i="8"/>
  <c r="W374" i="8" s="1"/>
  <c r="AM374" i="8"/>
  <c r="AR374" i="8" s="1"/>
  <c r="AB374" i="8"/>
  <c r="AG374" i="8" s="1"/>
  <c r="Q374" i="8"/>
  <c r="V374" i="8" s="1"/>
  <c r="AL374" i="8"/>
  <c r="AQ374" i="8" s="1"/>
  <c r="AA374" i="8"/>
  <c r="AF374" i="8" s="1"/>
  <c r="P374" i="8"/>
  <c r="U374" i="8" s="1"/>
  <c r="AL373" i="8"/>
  <c r="AQ373" i="8" s="1"/>
  <c r="AA373" i="8"/>
  <c r="AF373" i="8" s="1"/>
  <c r="P373" i="8"/>
  <c r="U373" i="8" s="1"/>
  <c r="AN373" i="8"/>
  <c r="AS373" i="8" s="1"/>
  <c r="AC373" i="8"/>
  <c r="AH373" i="8" s="1"/>
  <c r="R373" i="8"/>
  <c r="W373" i="8" s="1"/>
  <c r="AM373" i="8"/>
  <c r="AR373" i="8" s="1"/>
  <c r="AB373" i="8"/>
  <c r="AG373" i="8" s="1"/>
  <c r="Q373" i="8"/>
  <c r="V373" i="8" s="1"/>
  <c r="AO373" i="8"/>
  <c r="AT373" i="8" s="1"/>
  <c r="AD373" i="8"/>
  <c r="AI373" i="8" s="1"/>
  <c r="S373" i="8"/>
  <c r="X373" i="8" s="1"/>
  <c r="AM384" i="8"/>
  <c r="AR384" i="8" s="1"/>
  <c r="AB384" i="8"/>
  <c r="AG384" i="8" s="1"/>
  <c r="Q384" i="8"/>
  <c r="V384" i="8" s="1"/>
  <c r="AL384" i="8"/>
  <c r="AQ384" i="8" s="1"/>
  <c r="AA384" i="8"/>
  <c r="AF384" i="8" s="1"/>
  <c r="P384" i="8"/>
  <c r="U384" i="8" s="1"/>
  <c r="AO384" i="8"/>
  <c r="AT384" i="8" s="1"/>
  <c r="AD384" i="8"/>
  <c r="AI384" i="8" s="1"/>
  <c r="S384" i="8"/>
  <c r="X384" i="8" s="1"/>
  <c r="AN384" i="8"/>
  <c r="AS384" i="8" s="1"/>
  <c r="AC384" i="8"/>
  <c r="AH384" i="8" s="1"/>
  <c r="R384" i="8"/>
  <c r="W384" i="8" s="1"/>
  <c r="AO382" i="8"/>
  <c r="AT382" i="8" s="1"/>
  <c r="AD382" i="8"/>
  <c r="AI382" i="8" s="1"/>
  <c r="S382" i="8"/>
  <c r="X382" i="8" s="1"/>
  <c r="AN382" i="8"/>
  <c r="AS382" i="8" s="1"/>
  <c r="AC382" i="8"/>
  <c r="AH382" i="8" s="1"/>
  <c r="R382" i="8"/>
  <c r="W382" i="8" s="1"/>
  <c r="AM382" i="8"/>
  <c r="AR382" i="8" s="1"/>
  <c r="AB382" i="8"/>
  <c r="AG382" i="8" s="1"/>
  <c r="Q382" i="8"/>
  <c r="V382" i="8" s="1"/>
  <c r="AL382" i="8"/>
  <c r="AQ382" i="8" s="1"/>
  <c r="AA382" i="8"/>
  <c r="AF382" i="8" s="1"/>
  <c r="P382" i="8"/>
  <c r="U382" i="8" s="1"/>
  <c r="AL381" i="8"/>
  <c r="AQ381" i="8" s="1"/>
  <c r="AA381" i="8"/>
  <c r="AF381" i="8" s="1"/>
  <c r="P381" i="8"/>
  <c r="U381" i="8" s="1"/>
  <c r="AD381" i="8"/>
  <c r="AI381" i="8" s="1"/>
  <c r="S381" i="8"/>
  <c r="X381" i="8" s="1"/>
  <c r="AN381" i="8"/>
  <c r="AS381" i="8" s="1"/>
  <c r="AC381" i="8"/>
  <c r="AH381" i="8" s="1"/>
  <c r="R381" i="8"/>
  <c r="W381" i="8" s="1"/>
  <c r="AO381" i="8"/>
  <c r="AT381" i="8" s="1"/>
  <c r="AM381" i="8"/>
  <c r="AR381" i="8" s="1"/>
  <c r="AB381" i="8"/>
  <c r="AG381" i="8" s="1"/>
  <c r="Q381" i="8"/>
  <c r="V381" i="8" s="1"/>
  <c r="AO388" i="8"/>
  <c r="AT388" i="8" s="1"/>
  <c r="AD388" i="8"/>
  <c r="AI388" i="8" s="1"/>
  <c r="S388" i="8"/>
  <c r="X388" i="8" s="1"/>
  <c r="P388" i="8"/>
  <c r="U388" i="8" s="1"/>
  <c r="AN388" i="8"/>
  <c r="AS388" i="8" s="1"/>
  <c r="AC388" i="8"/>
  <c r="AH388" i="8" s="1"/>
  <c r="R388" i="8"/>
  <c r="W388" i="8" s="1"/>
  <c r="AM388" i="8"/>
  <c r="AR388" i="8" s="1"/>
  <c r="AB388" i="8"/>
  <c r="AG388" i="8" s="1"/>
  <c r="Q388" i="8"/>
  <c r="V388" i="8" s="1"/>
  <c r="AL388" i="8"/>
  <c r="AQ388" i="8" s="1"/>
  <c r="AA388" i="8"/>
  <c r="AF388" i="8" s="1"/>
  <c r="AO375" i="8"/>
  <c r="AT375" i="8" s="1"/>
  <c r="AD375" i="8"/>
  <c r="AI375" i="8" s="1"/>
  <c r="S375" i="8"/>
  <c r="X375" i="8" s="1"/>
  <c r="AN375" i="8"/>
  <c r="AS375" i="8" s="1"/>
  <c r="AC375" i="8"/>
  <c r="AH375" i="8" s="1"/>
  <c r="R375" i="8"/>
  <c r="W375" i="8" s="1"/>
  <c r="AL375" i="8"/>
  <c r="AQ375" i="8" s="1"/>
  <c r="AA375" i="8"/>
  <c r="AF375" i="8" s="1"/>
  <c r="P375" i="8"/>
  <c r="U375" i="8" s="1"/>
  <c r="Q375" i="8"/>
  <c r="V375" i="8" s="1"/>
  <c r="AB375" i="8"/>
  <c r="AG375" i="8" s="1"/>
  <c r="AM375" i="8"/>
  <c r="AR375" i="8" s="1"/>
  <c r="AN371" i="8"/>
  <c r="AS371" i="8" s="1"/>
  <c r="AC371" i="8"/>
  <c r="AH371" i="8" s="1"/>
  <c r="R371" i="8"/>
  <c r="W371" i="8" s="1"/>
  <c r="AM371" i="8"/>
  <c r="AR371" i="8" s="1"/>
  <c r="AB371" i="8"/>
  <c r="AG371" i="8" s="1"/>
  <c r="Q371" i="8"/>
  <c r="V371" i="8" s="1"/>
  <c r="AL371" i="8"/>
  <c r="AQ371" i="8" s="1"/>
  <c r="AA371" i="8"/>
  <c r="AF371" i="8" s="1"/>
  <c r="P371" i="8"/>
  <c r="U371" i="8" s="1"/>
  <c r="AO371" i="8"/>
  <c r="AT371" i="8" s="1"/>
  <c r="AD371" i="8"/>
  <c r="AI371" i="8" s="1"/>
  <c r="S371" i="8"/>
  <c r="X371" i="8" s="1"/>
  <c r="AL389" i="8"/>
  <c r="AQ389" i="8" s="1"/>
  <c r="AA389" i="8"/>
  <c r="AF389" i="8" s="1"/>
  <c r="P389" i="8"/>
  <c r="U389" i="8" s="1"/>
  <c r="S389" i="8"/>
  <c r="X389" i="8" s="1"/>
  <c r="AD389" i="8"/>
  <c r="AI389" i="8" s="1"/>
  <c r="AO389" i="8"/>
  <c r="AT389" i="8" s="1"/>
  <c r="AN389" i="8"/>
  <c r="AS389" i="8" s="1"/>
  <c r="AC389" i="8"/>
  <c r="AH389" i="8" s="1"/>
  <c r="R389" i="8"/>
  <c r="W389" i="8" s="1"/>
  <c r="AM389" i="8"/>
  <c r="AR389" i="8" s="1"/>
  <c r="AB389" i="8"/>
  <c r="AG389" i="8" s="1"/>
  <c r="Q389" i="8"/>
  <c r="V389" i="8" s="1"/>
  <c r="AM383" i="8"/>
  <c r="AR383" i="8" s="1"/>
  <c r="AO383" i="8"/>
  <c r="AT383" i="8" s="1"/>
  <c r="AD383" i="8"/>
  <c r="AI383" i="8" s="1"/>
  <c r="S383" i="8"/>
  <c r="X383" i="8" s="1"/>
  <c r="AN383" i="8"/>
  <c r="AS383" i="8" s="1"/>
  <c r="AC383" i="8"/>
  <c r="AH383" i="8" s="1"/>
  <c r="R383" i="8"/>
  <c r="W383" i="8" s="1"/>
  <c r="AB383" i="8"/>
  <c r="AG383" i="8" s="1"/>
  <c r="AL383" i="8"/>
  <c r="AQ383" i="8" s="1"/>
  <c r="AA383" i="8"/>
  <c r="AF383" i="8" s="1"/>
  <c r="P383" i="8"/>
  <c r="U383" i="8" s="1"/>
  <c r="Q383" i="8"/>
  <c r="V383" i="8" s="1"/>
  <c r="AN379" i="8"/>
  <c r="AS379" i="8" s="1"/>
  <c r="AC379" i="8"/>
  <c r="AH379" i="8" s="1"/>
  <c r="R379" i="8"/>
  <c r="W379" i="8" s="1"/>
  <c r="AM379" i="8"/>
  <c r="AR379" i="8" s="1"/>
  <c r="AB379" i="8"/>
  <c r="AG379" i="8" s="1"/>
  <c r="Q379" i="8"/>
  <c r="V379" i="8" s="1"/>
  <c r="AL379" i="8"/>
  <c r="AQ379" i="8" s="1"/>
  <c r="AA379" i="8"/>
  <c r="AF379" i="8" s="1"/>
  <c r="P379" i="8"/>
  <c r="U379" i="8" s="1"/>
  <c r="AO379" i="8"/>
  <c r="AT379" i="8" s="1"/>
  <c r="AD379" i="8"/>
  <c r="AI379" i="8" s="1"/>
  <c r="S379" i="8"/>
  <c r="X379" i="8" s="1"/>
  <c r="R378" i="8"/>
  <c r="W378" i="8" s="1"/>
  <c r="AO378" i="8"/>
  <c r="AT378" i="8" s="1"/>
  <c r="AD378" i="8"/>
  <c r="AI378" i="8" s="1"/>
  <c r="S378" i="8"/>
  <c r="X378" i="8" s="1"/>
  <c r="AM378" i="8"/>
  <c r="AR378" i="8" s="1"/>
  <c r="AB378" i="8"/>
  <c r="AG378" i="8" s="1"/>
  <c r="Q378" i="8"/>
  <c r="V378" i="8" s="1"/>
  <c r="AN378" i="8"/>
  <c r="AS378" i="8" s="1"/>
  <c r="AL378" i="8"/>
  <c r="AQ378" i="8" s="1"/>
  <c r="AA378" i="8"/>
  <c r="AF378" i="8" s="1"/>
  <c r="P378" i="8"/>
  <c r="U378" i="8" s="1"/>
  <c r="AC378" i="8"/>
  <c r="AH378" i="8" s="1"/>
  <c r="AO385" i="8"/>
  <c r="AT385" i="8" s="1"/>
  <c r="AD385" i="8"/>
  <c r="AI385" i="8" s="1"/>
  <c r="S385" i="8"/>
  <c r="X385" i="8" s="1"/>
  <c r="AN385" i="8"/>
  <c r="AS385" i="8" s="1"/>
  <c r="AC385" i="8"/>
  <c r="AH385" i="8" s="1"/>
  <c r="R385" i="8"/>
  <c r="W385" i="8" s="1"/>
  <c r="AM385" i="8"/>
  <c r="AR385" i="8" s="1"/>
  <c r="AB385" i="8"/>
  <c r="AG385" i="8" s="1"/>
  <c r="Q385" i="8"/>
  <c r="V385" i="8" s="1"/>
  <c r="AL385" i="8"/>
  <c r="AQ385" i="8" s="1"/>
  <c r="AA385" i="8"/>
  <c r="AF385" i="8" s="1"/>
  <c r="P385" i="8"/>
  <c r="U385" i="8" s="1"/>
  <c r="AN387" i="8"/>
  <c r="AS387" i="8" s="1"/>
  <c r="AC387" i="8"/>
  <c r="AH387" i="8" s="1"/>
  <c r="R387" i="8"/>
  <c r="W387" i="8" s="1"/>
  <c r="AM387" i="8"/>
  <c r="AR387" i="8" s="1"/>
  <c r="AB387" i="8"/>
  <c r="AG387" i="8" s="1"/>
  <c r="Q387" i="8"/>
  <c r="V387" i="8" s="1"/>
  <c r="AL387" i="8"/>
  <c r="AQ387" i="8" s="1"/>
  <c r="AA387" i="8"/>
  <c r="AF387" i="8" s="1"/>
  <c r="P387" i="8"/>
  <c r="U387" i="8" s="1"/>
  <c r="AO387" i="8"/>
  <c r="AT387" i="8" s="1"/>
  <c r="AD387" i="8"/>
  <c r="AI387" i="8" s="1"/>
  <c r="S387" i="8"/>
  <c r="X387" i="8" s="1"/>
  <c r="AN386" i="8"/>
  <c r="AS386" i="8" s="1"/>
  <c r="AC386" i="8"/>
  <c r="AH386" i="8" s="1"/>
  <c r="AO386" i="8"/>
  <c r="AT386" i="8" s="1"/>
  <c r="AD386" i="8"/>
  <c r="AI386" i="8" s="1"/>
  <c r="S386" i="8"/>
  <c r="X386" i="8" s="1"/>
  <c r="AM386" i="8"/>
  <c r="AR386" i="8" s="1"/>
  <c r="AB386" i="8"/>
  <c r="AG386" i="8" s="1"/>
  <c r="Q386" i="8"/>
  <c r="V386" i="8" s="1"/>
  <c r="R386" i="8"/>
  <c r="W386" i="8" s="1"/>
  <c r="AL386" i="8"/>
  <c r="AQ386" i="8" s="1"/>
  <c r="AA386" i="8"/>
  <c r="AF386" i="8" s="1"/>
  <c r="P386" i="8"/>
  <c r="U386" i="8" s="1"/>
  <c r="AO362" i="8"/>
  <c r="AT362" i="8" s="1"/>
  <c r="AD362" i="8"/>
  <c r="AI362" i="8" s="1"/>
  <c r="S362" i="8"/>
  <c r="X362" i="8" s="1"/>
  <c r="AN362" i="8"/>
  <c r="AS362" i="8" s="1"/>
  <c r="AC362" i="8"/>
  <c r="AH362" i="8" s="1"/>
  <c r="R362" i="8"/>
  <c r="W362" i="8" s="1"/>
  <c r="AM362" i="8"/>
  <c r="AR362" i="8" s="1"/>
  <c r="AB362" i="8"/>
  <c r="AG362" i="8" s="1"/>
  <c r="Q362" i="8"/>
  <c r="V362" i="8" s="1"/>
  <c r="AL362" i="8"/>
  <c r="AQ362" i="8" s="1"/>
  <c r="AA362" i="8"/>
  <c r="AF362" i="8" s="1"/>
  <c r="P362" i="8"/>
  <c r="U362" i="8" s="1"/>
  <c r="AN366" i="8"/>
  <c r="AS366" i="8" s="1"/>
  <c r="AC366" i="8"/>
  <c r="AH366" i="8" s="1"/>
  <c r="R366" i="8"/>
  <c r="W366" i="8" s="1"/>
  <c r="AM366" i="8"/>
  <c r="AR366" i="8" s="1"/>
  <c r="AB366" i="8"/>
  <c r="AG366" i="8" s="1"/>
  <c r="Q366" i="8"/>
  <c r="V366" i="8" s="1"/>
  <c r="AL366" i="8"/>
  <c r="AQ366" i="8" s="1"/>
  <c r="AA366" i="8"/>
  <c r="AF366" i="8" s="1"/>
  <c r="P366" i="8"/>
  <c r="U366" i="8" s="1"/>
  <c r="AD366" i="8"/>
  <c r="AI366" i="8" s="1"/>
  <c r="AO366" i="8"/>
  <c r="AT366" i="8" s="1"/>
  <c r="S366" i="8"/>
  <c r="X366" i="8" s="1"/>
  <c r="AO356" i="8"/>
  <c r="AT356" i="8" s="1"/>
  <c r="AD356" i="8"/>
  <c r="AI356" i="8" s="1"/>
  <c r="S356" i="8"/>
  <c r="X356" i="8" s="1"/>
  <c r="AN356" i="8"/>
  <c r="AS356" i="8" s="1"/>
  <c r="AC356" i="8"/>
  <c r="AH356" i="8" s="1"/>
  <c r="R356" i="8"/>
  <c r="W356" i="8" s="1"/>
  <c r="AM356" i="8"/>
  <c r="AR356" i="8" s="1"/>
  <c r="AB356" i="8"/>
  <c r="AG356" i="8" s="1"/>
  <c r="Q356" i="8"/>
  <c r="V356" i="8" s="1"/>
  <c r="AL356" i="8"/>
  <c r="AQ356" i="8" s="1"/>
  <c r="AA356" i="8"/>
  <c r="AF356" i="8" s="1"/>
  <c r="P356" i="8"/>
  <c r="U356" i="8" s="1"/>
  <c r="AM355" i="8"/>
  <c r="AR355" i="8" s="1"/>
  <c r="AB355" i="8"/>
  <c r="AG355" i="8" s="1"/>
  <c r="Q355" i="8"/>
  <c r="V355" i="8" s="1"/>
  <c r="AN355" i="8"/>
  <c r="AS355" i="8" s="1"/>
  <c r="AL355" i="8"/>
  <c r="AQ355" i="8" s="1"/>
  <c r="AA355" i="8"/>
  <c r="AF355" i="8" s="1"/>
  <c r="P355" i="8"/>
  <c r="U355" i="8" s="1"/>
  <c r="AC355" i="8"/>
  <c r="AH355" i="8" s="1"/>
  <c r="R355" i="8"/>
  <c r="W355" i="8" s="1"/>
  <c r="AO355" i="8"/>
  <c r="AT355" i="8" s="1"/>
  <c r="AD355" i="8"/>
  <c r="AI355" i="8" s="1"/>
  <c r="S355" i="8"/>
  <c r="X355" i="8" s="1"/>
  <c r="AO364" i="8"/>
  <c r="AT364" i="8" s="1"/>
  <c r="AD364" i="8"/>
  <c r="AI364" i="8" s="1"/>
  <c r="S364" i="8"/>
  <c r="X364" i="8" s="1"/>
  <c r="AN364" i="8"/>
  <c r="AS364" i="8" s="1"/>
  <c r="AC364" i="8"/>
  <c r="AH364" i="8" s="1"/>
  <c r="R364" i="8"/>
  <c r="W364" i="8" s="1"/>
  <c r="AM364" i="8"/>
  <c r="AR364" i="8" s="1"/>
  <c r="AB364" i="8"/>
  <c r="AG364" i="8" s="1"/>
  <c r="Q364" i="8"/>
  <c r="V364" i="8" s="1"/>
  <c r="AL364" i="8"/>
  <c r="AQ364" i="8" s="1"/>
  <c r="AA364" i="8"/>
  <c r="AF364" i="8" s="1"/>
  <c r="P364" i="8"/>
  <c r="U364" i="8" s="1"/>
  <c r="AM363" i="8"/>
  <c r="AR363" i="8" s="1"/>
  <c r="AB363" i="8"/>
  <c r="AG363" i="8" s="1"/>
  <c r="Q363" i="8"/>
  <c r="V363" i="8" s="1"/>
  <c r="AL363" i="8"/>
  <c r="AQ363" i="8" s="1"/>
  <c r="AA363" i="8"/>
  <c r="AF363" i="8" s="1"/>
  <c r="P363" i="8"/>
  <c r="U363" i="8" s="1"/>
  <c r="AC363" i="8"/>
  <c r="AH363" i="8" s="1"/>
  <c r="R363" i="8"/>
  <c r="W363" i="8" s="1"/>
  <c r="AN363" i="8"/>
  <c r="AS363" i="8" s="1"/>
  <c r="AO363" i="8"/>
  <c r="AT363" i="8" s="1"/>
  <c r="AD363" i="8"/>
  <c r="AI363" i="8" s="1"/>
  <c r="S363" i="8"/>
  <c r="X363" i="8" s="1"/>
  <c r="AO354" i="8"/>
  <c r="AT354" i="8" s="1"/>
  <c r="AD354" i="8"/>
  <c r="AI354" i="8" s="1"/>
  <c r="S354" i="8"/>
  <c r="X354" i="8" s="1"/>
  <c r="AN354" i="8"/>
  <c r="AS354" i="8" s="1"/>
  <c r="AC354" i="8"/>
  <c r="AH354" i="8" s="1"/>
  <c r="R354" i="8"/>
  <c r="W354" i="8" s="1"/>
  <c r="AM354" i="8"/>
  <c r="AR354" i="8" s="1"/>
  <c r="AB354" i="8"/>
  <c r="AG354" i="8" s="1"/>
  <c r="Q354" i="8"/>
  <c r="V354" i="8" s="1"/>
  <c r="AL354" i="8"/>
  <c r="AQ354" i="8" s="1"/>
  <c r="AA354" i="8"/>
  <c r="AF354" i="8" s="1"/>
  <c r="P354" i="8"/>
  <c r="U354" i="8" s="1"/>
  <c r="AL352" i="8"/>
  <c r="AQ352" i="8" s="1"/>
  <c r="AA352" i="8"/>
  <c r="AF352" i="8" s="1"/>
  <c r="P352" i="8"/>
  <c r="U352" i="8" s="1"/>
  <c r="AO352" i="8"/>
  <c r="AT352" i="8" s="1"/>
  <c r="AD352" i="8"/>
  <c r="AI352" i="8" s="1"/>
  <c r="S352" i="8"/>
  <c r="X352" i="8" s="1"/>
  <c r="AN352" i="8"/>
  <c r="AS352" i="8" s="1"/>
  <c r="AC352" i="8"/>
  <c r="AH352" i="8" s="1"/>
  <c r="R352" i="8"/>
  <c r="W352" i="8" s="1"/>
  <c r="AM352" i="8"/>
  <c r="AR352" i="8" s="1"/>
  <c r="AB352" i="8"/>
  <c r="AG352" i="8" s="1"/>
  <c r="Q352" i="8"/>
  <c r="V352" i="8" s="1"/>
  <c r="AO353" i="8"/>
  <c r="AT353" i="8" s="1"/>
  <c r="AD353" i="8"/>
  <c r="AI353" i="8" s="1"/>
  <c r="S353" i="8"/>
  <c r="X353" i="8" s="1"/>
  <c r="AN353" i="8"/>
  <c r="AS353" i="8" s="1"/>
  <c r="AC353" i="8"/>
  <c r="AH353" i="8" s="1"/>
  <c r="R353" i="8"/>
  <c r="W353" i="8" s="1"/>
  <c r="AM353" i="8"/>
  <c r="AR353" i="8" s="1"/>
  <c r="AB353" i="8"/>
  <c r="AG353" i="8" s="1"/>
  <c r="Q353" i="8"/>
  <c r="V353" i="8" s="1"/>
  <c r="AL353" i="8"/>
  <c r="AQ353" i="8" s="1"/>
  <c r="AA353" i="8"/>
  <c r="AF353" i="8" s="1"/>
  <c r="P353" i="8"/>
  <c r="U353" i="8" s="1"/>
  <c r="AL360" i="8"/>
  <c r="AQ360" i="8" s="1"/>
  <c r="AA360" i="8"/>
  <c r="AF360" i="8" s="1"/>
  <c r="P360" i="8"/>
  <c r="U360" i="8" s="1"/>
  <c r="AB360" i="8"/>
  <c r="AG360" i="8" s="1"/>
  <c r="AM360" i="8"/>
  <c r="AR360" i="8" s="1"/>
  <c r="AO360" i="8"/>
  <c r="AT360" i="8" s="1"/>
  <c r="AD360" i="8"/>
  <c r="AI360" i="8" s="1"/>
  <c r="S360" i="8"/>
  <c r="X360" i="8" s="1"/>
  <c r="Q360" i="8"/>
  <c r="V360" i="8" s="1"/>
  <c r="AN360" i="8"/>
  <c r="AS360" i="8" s="1"/>
  <c r="AC360" i="8"/>
  <c r="AH360" i="8" s="1"/>
  <c r="R360" i="8"/>
  <c r="W360" i="8" s="1"/>
  <c r="AO351" i="8"/>
  <c r="AT351" i="8" s="1"/>
  <c r="AD351" i="8"/>
  <c r="AI351" i="8" s="1"/>
  <c r="S351" i="8"/>
  <c r="X351" i="8" s="1"/>
  <c r="AN351" i="8"/>
  <c r="AS351" i="8" s="1"/>
  <c r="AC351" i="8"/>
  <c r="AH351" i="8" s="1"/>
  <c r="R351" i="8"/>
  <c r="W351" i="8" s="1"/>
  <c r="AM351" i="8"/>
  <c r="AR351" i="8" s="1"/>
  <c r="AB351" i="8"/>
  <c r="AG351" i="8" s="1"/>
  <c r="Q351" i="8"/>
  <c r="V351" i="8" s="1"/>
  <c r="AL351" i="8"/>
  <c r="AQ351" i="8" s="1"/>
  <c r="AA351" i="8"/>
  <c r="AF351" i="8" s="1"/>
  <c r="P351" i="8"/>
  <c r="U351" i="8" s="1"/>
  <c r="AO361" i="8"/>
  <c r="AT361" i="8" s="1"/>
  <c r="AD361" i="8"/>
  <c r="AI361" i="8" s="1"/>
  <c r="S361" i="8"/>
  <c r="X361" i="8" s="1"/>
  <c r="AN361" i="8"/>
  <c r="AS361" i="8" s="1"/>
  <c r="AC361" i="8"/>
  <c r="AH361" i="8" s="1"/>
  <c r="R361" i="8"/>
  <c r="W361" i="8" s="1"/>
  <c r="AM361" i="8"/>
  <c r="AR361" i="8" s="1"/>
  <c r="AB361" i="8"/>
  <c r="AG361" i="8" s="1"/>
  <c r="Q361" i="8"/>
  <c r="V361" i="8" s="1"/>
  <c r="AL361" i="8"/>
  <c r="AQ361" i="8" s="1"/>
  <c r="AA361" i="8"/>
  <c r="AF361" i="8" s="1"/>
  <c r="P361" i="8"/>
  <c r="U361" i="8" s="1"/>
  <c r="AL368" i="8"/>
  <c r="AQ368" i="8" s="1"/>
  <c r="AA368" i="8"/>
  <c r="AF368" i="8" s="1"/>
  <c r="P368" i="8"/>
  <c r="U368" i="8" s="1"/>
  <c r="Q368" i="8"/>
  <c r="V368" i="8" s="1"/>
  <c r="AB368" i="8"/>
  <c r="AG368" i="8" s="1"/>
  <c r="AO368" i="8"/>
  <c r="AT368" i="8" s="1"/>
  <c r="AD368" i="8"/>
  <c r="AI368" i="8" s="1"/>
  <c r="S368" i="8"/>
  <c r="X368" i="8" s="1"/>
  <c r="AM368" i="8"/>
  <c r="AR368" i="8" s="1"/>
  <c r="AN368" i="8"/>
  <c r="AS368" i="8" s="1"/>
  <c r="AC368" i="8"/>
  <c r="AH368" i="8" s="1"/>
  <c r="R368" i="8"/>
  <c r="W368" i="8" s="1"/>
  <c r="AO359" i="8"/>
  <c r="AT359" i="8" s="1"/>
  <c r="AD359" i="8"/>
  <c r="AI359" i="8" s="1"/>
  <c r="S359" i="8"/>
  <c r="X359" i="8" s="1"/>
  <c r="AN359" i="8"/>
  <c r="AS359" i="8" s="1"/>
  <c r="AC359" i="8"/>
  <c r="AH359" i="8" s="1"/>
  <c r="R359" i="8"/>
  <c r="W359" i="8" s="1"/>
  <c r="AM359" i="8"/>
  <c r="AR359" i="8" s="1"/>
  <c r="AB359" i="8"/>
  <c r="AG359" i="8" s="1"/>
  <c r="Q359" i="8"/>
  <c r="V359" i="8" s="1"/>
  <c r="AL359" i="8"/>
  <c r="AQ359" i="8" s="1"/>
  <c r="AA359" i="8"/>
  <c r="AF359" i="8" s="1"/>
  <c r="P359" i="8"/>
  <c r="U359" i="8" s="1"/>
  <c r="AN350" i="8"/>
  <c r="AS350" i="8" s="1"/>
  <c r="AC350" i="8"/>
  <c r="AH350" i="8" s="1"/>
  <c r="R350" i="8"/>
  <c r="W350" i="8" s="1"/>
  <c r="AM350" i="8"/>
  <c r="AR350" i="8" s="1"/>
  <c r="AB350" i="8"/>
  <c r="AG350" i="8" s="1"/>
  <c r="Q350" i="8"/>
  <c r="V350" i="8" s="1"/>
  <c r="AL350" i="8"/>
  <c r="AQ350" i="8" s="1"/>
  <c r="AA350" i="8"/>
  <c r="AF350" i="8" s="1"/>
  <c r="P350" i="8"/>
  <c r="U350" i="8" s="1"/>
  <c r="AO350" i="8"/>
  <c r="AT350" i="8" s="1"/>
  <c r="AD350" i="8"/>
  <c r="AI350" i="8" s="1"/>
  <c r="S350" i="8"/>
  <c r="X350" i="8" s="1"/>
  <c r="AL357" i="8"/>
  <c r="AQ357" i="8" s="1"/>
  <c r="P357" i="8"/>
  <c r="U357" i="8" s="1"/>
  <c r="AA357" i="8"/>
  <c r="AF357" i="8" s="1"/>
  <c r="AO357" i="8"/>
  <c r="AT357" i="8" s="1"/>
  <c r="AD357" i="8"/>
  <c r="AI357" i="8" s="1"/>
  <c r="S357" i="8"/>
  <c r="X357" i="8" s="1"/>
  <c r="AN357" i="8"/>
  <c r="AS357" i="8" s="1"/>
  <c r="AC357" i="8"/>
  <c r="AH357" i="8" s="1"/>
  <c r="R357" i="8"/>
  <c r="W357" i="8" s="1"/>
  <c r="AM357" i="8"/>
  <c r="AR357" i="8" s="1"/>
  <c r="AB357" i="8"/>
  <c r="AG357" i="8" s="1"/>
  <c r="Q357" i="8"/>
  <c r="V357" i="8" s="1"/>
  <c r="AO367" i="8"/>
  <c r="AT367" i="8" s="1"/>
  <c r="AD367" i="8"/>
  <c r="AI367" i="8" s="1"/>
  <c r="S367" i="8"/>
  <c r="X367" i="8" s="1"/>
  <c r="AN367" i="8"/>
  <c r="AS367" i="8" s="1"/>
  <c r="AC367" i="8"/>
  <c r="AH367" i="8" s="1"/>
  <c r="R367" i="8"/>
  <c r="W367" i="8" s="1"/>
  <c r="AM367" i="8"/>
  <c r="AR367" i="8" s="1"/>
  <c r="AB367" i="8"/>
  <c r="AG367" i="8" s="1"/>
  <c r="Q367" i="8"/>
  <c r="V367" i="8" s="1"/>
  <c r="AL367" i="8"/>
  <c r="AQ367" i="8" s="1"/>
  <c r="AA367" i="8"/>
  <c r="AF367" i="8" s="1"/>
  <c r="P367" i="8"/>
  <c r="U367" i="8" s="1"/>
  <c r="AN358" i="8"/>
  <c r="AS358" i="8" s="1"/>
  <c r="AC358" i="8"/>
  <c r="AH358" i="8" s="1"/>
  <c r="R358" i="8"/>
  <c r="W358" i="8" s="1"/>
  <c r="AM358" i="8"/>
  <c r="AR358" i="8" s="1"/>
  <c r="AB358" i="8"/>
  <c r="AG358" i="8" s="1"/>
  <c r="Q358" i="8"/>
  <c r="V358" i="8" s="1"/>
  <c r="AD358" i="8"/>
  <c r="AI358" i="8" s="1"/>
  <c r="AL358" i="8"/>
  <c r="AQ358" i="8" s="1"/>
  <c r="AA358" i="8"/>
  <c r="AF358" i="8" s="1"/>
  <c r="P358" i="8"/>
  <c r="U358" i="8" s="1"/>
  <c r="S358" i="8"/>
  <c r="X358" i="8" s="1"/>
  <c r="AO358" i="8"/>
  <c r="AT358" i="8" s="1"/>
  <c r="P365" i="8"/>
  <c r="U365" i="8" s="1"/>
  <c r="AO365" i="8"/>
  <c r="AT365" i="8" s="1"/>
  <c r="AD365" i="8"/>
  <c r="AI365" i="8" s="1"/>
  <c r="S365" i="8"/>
  <c r="X365" i="8" s="1"/>
  <c r="AN365" i="8"/>
  <c r="AS365" i="8" s="1"/>
  <c r="AC365" i="8"/>
  <c r="AH365" i="8" s="1"/>
  <c r="R365" i="8"/>
  <c r="W365" i="8" s="1"/>
  <c r="AL365" i="8"/>
  <c r="AQ365" i="8" s="1"/>
  <c r="AA365" i="8"/>
  <c r="AF365" i="8" s="1"/>
  <c r="AM365" i="8"/>
  <c r="AR365" i="8" s="1"/>
  <c r="AB365" i="8"/>
  <c r="AG365" i="8" s="1"/>
  <c r="Q365" i="8"/>
  <c r="V365" i="8" s="1"/>
  <c r="AO335" i="8"/>
  <c r="AT335" i="8" s="1"/>
  <c r="AD335" i="8"/>
  <c r="AI335" i="8" s="1"/>
  <c r="S335" i="8"/>
  <c r="X335" i="8" s="1"/>
  <c r="AN335" i="8"/>
  <c r="AS335" i="8" s="1"/>
  <c r="AC335" i="8"/>
  <c r="AH335" i="8" s="1"/>
  <c r="R335" i="8"/>
  <c r="W335" i="8" s="1"/>
  <c r="AM335" i="8"/>
  <c r="AR335" i="8" s="1"/>
  <c r="AB335" i="8"/>
  <c r="AG335" i="8" s="1"/>
  <c r="Q335" i="8"/>
  <c r="V335" i="8" s="1"/>
  <c r="AL335" i="8"/>
  <c r="AQ335" i="8" s="1"/>
  <c r="AA335" i="8"/>
  <c r="AF335" i="8" s="1"/>
  <c r="P335" i="8"/>
  <c r="U335" i="8" s="1"/>
  <c r="AN345" i="8"/>
  <c r="AS345" i="8" s="1"/>
  <c r="AC345" i="8"/>
  <c r="AH345" i="8" s="1"/>
  <c r="R345" i="8"/>
  <c r="W345" i="8" s="1"/>
  <c r="AM345" i="8"/>
  <c r="AR345" i="8" s="1"/>
  <c r="AB345" i="8"/>
  <c r="AG345" i="8" s="1"/>
  <c r="Q345" i="8"/>
  <c r="V345" i="8" s="1"/>
  <c r="AL345" i="8"/>
  <c r="AQ345" i="8" s="1"/>
  <c r="AA345" i="8"/>
  <c r="AF345" i="8" s="1"/>
  <c r="P345" i="8"/>
  <c r="U345" i="8" s="1"/>
  <c r="AD345" i="8"/>
  <c r="AI345" i="8" s="1"/>
  <c r="AO345" i="8"/>
  <c r="AT345" i="8" s="1"/>
  <c r="S345" i="8"/>
  <c r="X345" i="8" s="1"/>
  <c r="AO343" i="8"/>
  <c r="AT343" i="8" s="1"/>
  <c r="AD343" i="8"/>
  <c r="AI343" i="8" s="1"/>
  <c r="S343" i="8"/>
  <c r="X343" i="8" s="1"/>
  <c r="AN343" i="8"/>
  <c r="AS343" i="8" s="1"/>
  <c r="AC343" i="8"/>
  <c r="AH343" i="8" s="1"/>
  <c r="R343" i="8"/>
  <c r="W343" i="8" s="1"/>
  <c r="AM343" i="8"/>
  <c r="AR343" i="8" s="1"/>
  <c r="AB343" i="8"/>
  <c r="AG343" i="8" s="1"/>
  <c r="Q343" i="8"/>
  <c r="V343" i="8" s="1"/>
  <c r="AL343" i="8"/>
  <c r="AQ343" i="8" s="1"/>
  <c r="AA343" i="8"/>
  <c r="AF343" i="8" s="1"/>
  <c r="P343" i="8"/>
  <c r="U343" i="8" s="1"/>
  <c r="AM334" i="8"/>
  <c r="AR334" i="8" s="1"/>
  <c r="AB334" i="8"/>
  <c r="AG334" i="8" s="1"/>
  <c r="Q334" i="8"/>
  <c r="V334" i="8" s="1"/>
  <c r="AL334" i="8"/>
  <c r="AQ334" i="8" s="1"/>
  <c r="AA334" i="8"/>
  <c r="AF334" i="8" s="1"/>
  <c r="P334" i="8"/>
  <c r="U334" i="8" s="1"/>
  <c r="R334" i="8"/>
  <c r="W334" i="8" s="1"/>
  <c r="AN334" i="8"/>
  <c r="AS334" i="8" s="1"/>
  <c r="AC334" i="8"/>
  <c r="AH334" i="8" s="1"/>
  <c r="AO334" i="8"/>
  <c r="AT334" i="8" s="1"/>
  <c r="AD334" i="8"/>
  <c r="AI334" i="8" s="1"/>
  <c r="S334" i="8"/>
  <c r="X334" i="8" s="1"/>
  <c r="AO341" i="8"/>
  <c r="AT341" i="8" s="1"/>
  <c r="AD341" i="8"/>
  <c r="AI341" i="8" s="1"/>
  <c r="S341" i="8"/>
  <c r="X341" i="8" s="1"/>
  <c r="AN341" i="8"/>
  <c r="AS341" i="8" s="1"/>
  <c r="AC341" i="8"/>
  <c r="AH341" i="8" s="1"/>
  <c r="R341" i="8"/>
  <c r="W341" i="8" s="1"/>
  <c r="AM341" i="8"/>
  <c r="AR341" i="8" s="1"/>
  <c r="AB341" i="8"/>
  <c r="AG341" i="8" s="1"/>
  <c r="Q341" i="8"/>
  <c r="V341" i="8" s="1"/>
  <c r="AL341" i="8"/>
  <c r="AQ341" i="8" s="1"/>
  <c r="AA341" i="8"/>
  <c r="AF341" i="8" s="1"/>
  <c r="P341" i="8"/>
  <c r="U341" i="8" s="1"/>
  <c r="AM342" i="8"/>
  <c r="AR342" i="8" s="1"/>
  <c r="AB342" i="8"/>
  <c r="AG342" i="8" s="1"/>
  <c r="Q342" i="8"/>
  <c r="V342" i="8" s="1"/>
  <c r="AL342" i="8"/>
  <c r="AQ342" i="8" s="1"/>
  <c r="AA342" i="8"/>
  <c r="AF342" i="8" s="1"/>
  <c r="P342" i="8"/>
  <c r="U342" i="8" s="1"/>
  <c r="AC342" i="8"/>
  <c r="AH342" i="8" s="1"/>
  <c r="AN342" i="8"/>
  <c r="AS342" i="8" s="1"/>
  <c r="R342" i="8"/>
  <c r="W342" i="8" s="1"/>
  <c r="AO342" i="8"/>
  <c r="AT342" i="8" s="1"/>
  <c r="AD342" i="8"/>
  <c r="AI342" i="8" s="1"/>
  <c r="S342" i="8"/>
  <c r="X342" i="8" s="1"/>
  <c r="AO332" i="8"/>
  <c r="AT332" i="8" s="1"/>
  <c r="AD332" i="8"/>
  <c r="AI332" i="8" s="1"/>
  <c r="S332" i="8"/>
  <c r="X332" i="8" s="1"/>
  <c r="AN332" i="8"/>
  <c r="AS332" i="8" s="1"/>
  <c r="AC332" i="8"/>
  <c r="AH332" i="8" s="1"/>
  <c r="R332" i="8"/>
  <c r="W332" i="8" s="1"/>
  <c r="AM332" i="8"/>
  <c r="AR332" i="8" s="1"/>
  <c r="AB332" i="8"/>
  <c r="AG332" i="8" s="1"/>
  <c r="Q332" i="8"/>
  <c r="V332" i="8" s="1"/>
  <c r="AL332" i="8"/>
  <c r="AQ332" i="8" s="1"/>
  <c r="AA332" i="8"/>
  <c r="AF332" i="8" s="1"/>
  <c r="P332" i="8"/>
  <c r="U332" i="8" s="1"/>
  <c r="AL331" i="8"/>
  <c r="AQ331" i="8" s="1"/>
  <c r="AA331" i="8"/>
  <c r="AF331" i="8" s="1"/>
  <c r="P331" i="8"/>
  <c r="U331" i="8" s="1"/>
  <c r="AB331" i="8"/>
  <c r="AG331" i="8" s="1"/>
  <c r="AM331" i="8"/>
  <c r="AR331" i="8" s="1"/>
  <c r="Q331" i="8"/>
  <c r="V331" i="8" s="1"/>
  <c r="AO331" i="8"/>
  <c r="AT331" i="8" s="1"/>
  <c r="AD331" i="8"/>
  <c r="AI331" i="8" s="1"/>
  <c r="S331" i="8"/>
  <c r="X331" i="8" s="1"/>
  <c r="AN331" i="8"/>
  <c r="AS331" i="8" s="1"/>
  <c r="AC331" i="8"/>
  <c r="AH331" i="8" s="1"/>
  <c r="R331" i="8"/>
  <c r="W331" i="8" s="1"/>
  <c r="AO340" i="8"/>
  <c r="AT340" i="8" s="1"/>
  <c r="AD340" i="8"/>
  <c r="AI340" i="8" s="1"/>
  <c r="S340" i="8"/>
  <c r="X340" i="8" s="1"/>
  <c r="AN340" i="8"/>
  <c r="AS340" i="8" s="1"/>
  <c r="AC340" i="8"/>
  <c r="AH340" i="8" s="1"/>
  <c r="R340" i="8"/>
  <c r="W340" i="8" s="1"/>
  <c r="AM340" i="8"/>
  <c r="AR340" i="8" s="1"/>
  <c r="AB340" i="8"/>
  <c r="AG340" i="8" s="1"/>
  <c r="Q340" i="8"/>
  <c r="V340" i="8" s="1"/>
  <c r="AL340" i="8"/>
  <c r="AQ340" i="8" s="1"/>
  <c r="AA340" i="8"/>
  <c r="AF340" i="8" s="1"/>
  <c r="P340" i="8"/>
  <c r="U340" i="8" s="1"/>
  <c r="AL339" i="8"/>
  <c r="AQ339" i="8" s="1"/>
  <c r="AA339" i="8"/>
  <c r="AF339" i="8" s="1"/>
  <c r="P339" i="8"/>
  <c r="U339" i="8" s="1"/>
  <c r="Q339" i="8"/>
  <c r="V339" i="8" s="1"/>
  <c r="AO339" i="8"/>
  <c r="AT339" i="8" s="1"/>
  <c r="AD339" i="8"/>
  <c r="AI339" i="8" s="1"/>
  <c r="S339" i="8"/>
  <c r="X339" i="8" s="1"/>
  <c r="AM339" i="8"/>
  <c r="AR339" i="8" s="1"/>
  <c r="AN339" i="8"/>
  <c r="AS339" i="8" s="1"/>
  <c r="AC339" i="8"/>
  <c r="AH339" i="8" s="1"/>
  <c r="R339" i="8"/>
  <c r="W339" i="8" s="1"/>
  <c r="AB339" i="8"/>
  <c r="AG339" i="8" s="1"/>
  <c r="AO330" i="8"/>
  <c r="AT330" i="8" s="1"/>
  <c r="AD330" i="8"/>
  <c r="AI330" i="8" s="1"/>
  <c r="S330" i="8"/>
  <c r="X330" i="8" s="1"/>
  <c r="AN330" i="8"/>
  <c r="AS330" i="8" s="1"/>
  <c r="AC330" i="8"/>
  <c r="AH330" i="8" s="1"/>
  <c r="R330" i="8"/>
  <c r="W330" i="8" s="1"/>
  <c r="AM330" i="8"/>
  <c r="AR330" i="8" s="1"/>
  <c r="AB330" i="8"/>
  <c r="AG330" i="8" s="1"/>
  <c r="Q330" i="8"/>
  <c r="V330" i="8" s="1"/>
  <c r="AL330" i="8"/>
  <c r="AQ330" i="8" s="1"/>
  <c r="AA330" i="8"/>
  <c r="AF330" i="8" s="1"/>
  <c r="P330" i="8"/>
  <c r="U330" i="8" s="1"/>
  <c r="AO333" i="8"/>
  <c r="AT333" i="8" s="1"/>
  <c r="AD333" i="8"/>
  <c r="AI333" i="8" s="1"/>
  <c r="S333" i="8"/>
  <c r="X333" i="8" s="1"/>
  <c r="AN333" i="8"/>
  <c r="AS333" i="8" s="1"/>
  <c r="AC333" i="8"/>
  <c r="AH333" i="8" s="1"/>
  <c r="R333" i="8"/>
  <c r="W333" i="8" s="1"/>
  <c r="AM333" i="8"/>
  <c r="AR333" i="8" s="1"/>
  <c r="AB333" i="8"/>
  <c r="AG333" i="8" s="1"/>
  <c r="Q333" i="8"/>
  <c r="V333" i="8" s="1"/>
  <c r="AL333" i="8"/>
  <c r="AQ333" i="8" s="1"/>
  <c r="AA333" i="8"/>
  <c r="AF333" i="8" s="1"/>
  <c r="P333" i="8"/>
  <c r="U333" i="8" s="1"/>
  <c r="AL347" i="8"/>
  <c r="AQ347" i="8" s="1"/>
  <c r="AA347" i="8"/>
  <c r="AF347" i="8" s="1"/>
  <c r="P347" i="8"/>
  <c r="U347" i="8" s="1"/>
  <c r="Q347" i="8"/>
  <c r="V347" i="8" s="1"/>
  <c r="AB347" i="8"/>
  <c r="AG347" i="8" s="1"/>
  <c r="AO347" i="8"/>
  <c r="AT347" i="8" s="1"/>
  <c r="AD347" i="8"/>
  <c r="AI347" i="8" s="1"/>
  <c r="S347" i="8"/>
  <c r="X347" i="8" s="1"/>
  <c r="AN347" i="8"/>
  <c r="AS347" i="8" s="1"/>
  <c r="AC347" i="8"/>
  <c r="AH347" i="8" s="1"/>
  <c r="R347" i="8"/>
  <c r="W347" i="8" s="1"/>
  <c r="AM347" i="8"/>
  <c r="AR347" i="8" s="1"/>
  <c r="AO338" i="8"/>
  <c r="AT338" i="8" s="1"/>
  <c r="AD338" i="8"/>
  <c r="AI338" i="8" s="1"/>
  <c r="S338" i="8"/>
  <c r="X338" i="8" s="1"/>
  <c r="AN338" i="8"/>
  <c r="AS338" i="8" s="1"/>
  <c r="AC338" i="8"/>
  <c r="AH338" i="8" s="1"/>
  <c r="R338" i="8"/>
  <c r="W338" i="8" s="1"/>
  <c r="AM338" i="8"/>
  <c r="AR338" i="8" s="1"/>
  <c r="AB338" i="8"/>
  <c r="AG338" i="8" s="1"/>
  <c r="Q338" i="8"/>
  <c r="V338" i="8" s="1"/>
  <c r="AL338" i="8"/>
  <c r="AQ338" i="8" s="1"/>
  <c r="AA338" i="8"/>
  <c r="AF338" i="8" s="1"/>
  <c r="P338" i="8"/>
  <c r="U338" i="8" s="1"/>
  <c r="AN329" i="8"/>
  <c r="AS329" i="8" s="1"/>
  <c r="AC329" i="8"/>
  <c r="AH329" i="8" s="1"/>
  <c r="R329" i="8"/>
  <c r="W329" i="8" s="1"/>
  <c r="AM329" i="8"/>
  <c r="AR329" i="8" s="1"/>
  <c r="AB329" i="8"/>
  <c r="AG329" i="8" s="1"/>
  <c r="Q329" i="8"/>
  <c r="V329" i="8" s="1"/>
  <c r="AL329" i="8"/>
  <c r="AQ329" i="8" s="1"/>
  <c r="AA329" i="8"/>
  <c r="AF329" i="8" s="1"/>
  <c r="P329" i="8"/>
  <c r="U329" i="8" s="1"/>
  <c r="AO329" i="8"/>
  <c r="AT329" i="8" s="1"/>
  <c r="AD329" i="8"/>
  <c r="AI329" i="8" s="1"/>
  <c r="S329" i="8"/>
  <c r="X329" i="8" s="1"/>
  <c r="AL336" i="8"/>
  <c r="AQ336" i="8" s="1"/>
  <c r="P336" i="8"/>
  <c r="U336" i="8" s="1"/>
  <c r="AO336" i="8"/>
  <c r="AT336" i="8" s="1"/>
  <c r="AD336" i="8"/>
  <c r="AI336" i="8" s="1"/>
  <c r="S336" i="8"/>
  <c r="X336" i="8" s="1"/>
  <c r="AN336" i="8"/>
  <c r="AS336" i="8" s="1"/>
  <c r="AC336" i="8"/>
  <c r="AH336" i="8" s="1"/>
  <c r="R336" i="8"/>
  <c r="W336" i="8" s="1"/>
  <c r="AA336" i="8"/>
  <c r="AF336" i="8" s="1"/>
  <c r="AM336" i="8"/>
  <c r="AR336" i="8" s="1"/>
  <c r="AB336" i="8"/>
  <c r="AG336" i="8" s="1"/>
  <c r="Q336" i="8"/>
  <c r="V336" i="8" s="1"/>
  <c r="AO346" i="8"/>
  <c r="AT346" i="8" s="1"/>
  <c r="AD346" i="8"/>
  <c r="AI346" i="8" s="1"/>
  <c r="S346" i="8"/>
  <c r="X346" i="8" s="1"/>
  <c r="AN346" i="8"/>
  <c r="AS346" i="8" s="1"/>
  <c r="AC346" i="8"/>
  <c r="AH346" i="8" s="1"/>
  <c r="R346" i="8"/>
  <c r="W346" i="8" s="1"/>
  <c r="AM346" i="8"/>
  <c r="AR346" i="8" s="1"/>
  <c r="AB346" i="8"/>
  <c r="AG346" i="8" s="1"/>
  <c r="Q346" i="8"/>
  <c r="V346" i="8" s="1"/>
  <c r="AL346" i="8"/>
  <c r="AQ346" i="8" s="1"/>
  <c r="AA346" i="8"/>
  <c r="AF346" i="8" s="1"/>
  <c r="P346" i="8"/>
  <c r="U346" i="8" s="1"/>
  <c r="AN337" i="8"/>
  <c r="AS337" i="8" s="1"/>
  <c r="AC337" i="8"/>
  <c r="AH337" i="8" s="1"/>
  <c r="R337" i="8"/>
  <c r="W337" i="8" s="1"/>
  <c r="AM337" i="8"/>
  <c r="AR337" i="8" s="1"/>
  <c r="AB337" i="8"/>
  <c r="AG337" i="8" s="1"/>
  <c r="Q337" i="8"/>
  <c r="V337" i="8" s="1"/>
  <c r="AO337" i="8"/>
  <c r="AT337" i="8" s="1"/>
  <c r="AL337" i="8"/>
  <c r="AQ337" i="8" s="1"/>
  <c r="AA337" i="8"/>
  <c r="AF337" i="8" s="1"/>
  <c r="P337" i="8"/>
  <c r="U337" i="8" s="1"/>
  <c r="AD337" i="8"/>
  <c r="AI337" i="8" s="1"/>
  <c r="S337" i="8"/>
  <c r="X337" i="8" s="1"/>
  <c r="P344" i="8"/>
  <c r="U344" i="8" s="1"/>
  <c r="AO344" i="8"/>
  <c r="AT344" i="8" s="1"/>
  <c r="AD344" i="8"/>
  <c r="AI344" i="8" s="1"/>
  <c r="S344" i="8"/>
  <c r="X344" i="8" s="1"/>
  <c r="AN344" i="8"/>
  <c r="AS344" i="8" s="1"/>
  <c r="AC344" i="8"/>
  <c r="AH344" i="8" s="1"/>
  <c r="R344" i="8"/>
  <c r="W344" i="8" s="1"/>
  <c r="AM344" i="8"/>
  <c r="AR344" i="8" s="1"/>
  <c r="AB344" i="8"/>
  <c r="AG344" i="8" s="1"/>
  <c r="Q344" i="8"/>
  <c r="V344" i="8" s="1"/>
  <c r="AL344" i="8"/>
  <c r="AQ344" i="8" s="1"/>
  <c r="AA344" i="8"/>
  <c r="AF344" i="8" s="1"/>
  <c r="AO314" i="8"/>
  <c r="AT314" i="8" s="1"/>
  <c r="AD314" i="8"/>
  <c r="AI314" i="8" s="1"/>
  <c r="S314" i="8"/>
  <c r="X314" i="8" s="1"/>
  <c r="AN314" i="8"/>
  <c r="AS314" i="8" s="1"/>
  <c r="AC314" i="8"/>
  <c r="AH314" i="8" s="1"/>
  <c r="R314" i="8"/>
  <c r="W314" i="8" s="1"/>
  <c r="AM314" i="8"/>
  <c r="AR314" i="8" s="1"/>
  <c r="AB314" i="8"/>
  <c r="AG314" i="8" s="1"/>
  <c r="Q314" i="8"/>
  <c r="V314" i="8" s="1"/>
  <c r="AL314" i="8"/>
  <c r="AQ314" i="8" s="1"/>
  <c r="AA314" i="8"/>
  <c r="AF314" i="8" s="1"/>
  <c r="P314" i="8"/>
  <c r="U314" i="8" s="1"/>
  <c r="AM313" i="8"/>
  <c r="AR313" i="8" s="1"/>
  <c r="AB313" i="8"/>
  <c r="AG313" i="8" s="1"/>
  <c r="Q313" i="8"/>
  <c r="V313" i="8" s="1"/>
  <c r="AL313" i="8"/>
  <c r="AQ313" i="8" s="1"/>
  <c r="AA313" i="8"/>
  <c r="AF313" i="8" s="1"/>
  <c r="P313" i="8"/>
  <c r="U313" i="8" s="1"/>
  <c r="AN313" i="8"/>
  <c r="AS313" i="8" s="1"/>
  <c r="AC313" i="8"/>
  <c r="AH313" i="8" s="1"/>
  <c r="AO313" i="8"/>
  <c r="AT313" i="8" s="1"/>
  <c r="AD313" i="8"/>
  <c r="AI313" i="8" s="1"/>
  <c r="S313" i="8"/>
  <c r="X313" i="8" s="1"/>
  <c r="R313" i="8"/>
  <c r="W313" i="8" s="1"/>
  <c r="AO322" i="8"/>
  <c r="AT322" i="8" s="1"/>
  <c r="AD322" i="8"/>
  <c r="AI322" i="8" s="1"/>
  <c r="S322" i="8"/>
  <c r="X322" i="8" s="1"/>
  <c r="AN322" i="8"/>
  <c r="AS322" i="8" s="1"/>
  <c r="AC322" i="8"/>
  <c r="AH322" i="8" s="1"/>
  <c r="R322" i="8"/>
  <c r="W322" i="8" s="1"/>
  <c r="AM322" i="8"/>
  <c r="AR322" i="8" s="1"/>
  <c r="AB322" i="8"/>
  <c r="AG322" i="8" s="1"/>
  <c r="Q322" i="8"/>
  <c r="V322" i="8" s="1"/>
  <c r="AL322" i="8"/>
  <c r="AQ322" i="8" s="1"/>
  <c r="AA322" i="8"/>
  <c r="AF322" i="8" s="1"/>
  <c r="P322" i="8"/>
  <c r="U322" i="8" s="1"/>
  <c r="AM321" i="8"/>
  <c r="AR321" i="8" s="1"/>
  <c r="AB321" i="8"/>
  <c r="AG321" i="8" s="1"/>
  <c r="Q321" i="8"/>
  <c r="V321" i="8" s="1"/>
  <c r="AL321" i="8"/>
  <c r="AQ321" i="8" s="1"/>
  <c r="AA321" i="8"/>
  <c r="AF321" i="8" s="1"/>
  <c r="P321" i="8"/>
  <c r="U321" i="8" s="1"/>
  <c r="R321" i="8"/>
  <c r="W321" i="8" s="1"/>
  <c r="AC321" i="8"/>
  <c r="AH321" i="8" s="1"/>
  <c r="AO321" i="8"/>
  <c r="AT321" i="8" s="1"/>
  <c r="AD321" i="8"/>
  <c r="AI321" i="8" s="1"/>
  <c r="S321" i="8"/>
  <c r="X321" i="8" s="1"/>
  <c r="AN321" i="8"/>
  <c r="AS321" i="8" s="1"/>
  <c r="AO320" i="8"/>
  <c r="AT320" i="8" s="1"/>
  <c r="AD320" i="8"/>
  <c r="AI320" i="8" s="1"/>
  <c r="S320" i="8"/>
  <c r="X320" i="8" s="1"/>
  <c r="AN320" i="8"/>
  <c r="AS320" i="8" s="1"/>
  <c r="AC320" i="8"/>
  <c r="AH320" i="8" s="1"/>
  <c r="R320" i="8"/>
  <c r="W320" i="8" s="1"/>
  <c r="AM320" i="8"/>
  <c r="AR320" i="8" s="1"/>
  <c r="AB320" i="8"/>
  <c r="AG320" i="8" s="1"/>
  <c r="Q320" i="8"/>
  <c r="V320" i="8" s="1"/>
  <c r="AL320" i="8"/>
  <c r="AQ320" i="8" s="1"/>
  <c r="AA320" i="8"/>
  <c r="AF320" i="8" s="1"/>
  <c r="P320" i="8"/>
  <c r="U320" i="8" s="1"/>
  <c r="AL310" i="8"/>
  <c r="AQ310" i="8" s="1"/>
  <c r="AA310" i="8"/>
  <c r="AF310" i="8" s="1"/>
  <c r="P310" i="8"/>
  <c r="U310" i="8" s="1"/>
  <c r="AO310" i="8"/>
  <c r="AT310" i="8" s="1"/>
  <c r="AD310" i="8"/>
  <c r="AI310" i="8" s="1"/>
  <c r="S310" i="8"/>
  <c r="X310" i="8" s="1"/>
  <c r="AN310" i="8"/>
  <c r="AS310" i="8" s="1"/>
  <c r="AC310" i="8"/>
  <c r="AH310" i="8" s="1"/>
  <c r="R310" i="8"/>
  <c r="W310" i="8" s="1"/>
  <c r="AM310" i="8"/>
  <c r="AR310" i="8" s="1"/>
  <c r="AB310" i="8"/>
  <c r="AG310" i="8" s="1"/>
  <c r="Q310" i="8"/>
  <c r="V310" i="8" s="1"/>
  <c r="AO311" i="8"/>
  <c r="AT311" i="8" s="1"/>
  <c r="AD311" i="8"/>
  <c r="AI311" i="8" s="1"/>
  <c r="S311" i="8"/>
  <c r="X311" i="8" s="1"/>
  <c r="AN311" i="8"/>
  <c r="AS311" i="8" s="1"/>
  <c r="AC311" i="8"/>
  <c r="AH311" i="8" s="1"/>
  <c r="R311" i="8"/>
  <c r="W311" i="8" s="1"/>
  <c r="AM311" i="8"/>
  <c r="AR311" i="8" s="1"/>
  <c r="AB311" i="8"/>
  <c r="AG311" i="8" s="1"/>
  <c r="Q311" i="8"/>
  <c r="V311" i="8" s="1"/>
  <c r="AL311" i="8"/>
  <c r="AQ311" i="8" s="1"/>
  <c r="AA311" i="8"/>
  <c r="AF311" i="8" s="1"/>
  <c r="P311" i="8"/>
  <c r="U311" i="8" s="1"/>
  <c r="AL318" i="8"/>
  <c r="AQ318" i="8" s="1"/>
  <c r="AA318" i="8"/>
  <c r="AF318" i="8" s="1"/>
  <c r="P318" i="8"/>
  <c r="U318" i="8" s="1"/>
  <c r="AM318" i="8"/>
  <c r="AR318" i="8" s="1"/>
  <c r="Q318" i="8"/>
  <c r="V318" i="8" s="1"/>
  <c r="AB318" i="8"/>
  <c r="AG318" i="8" s="1"/>
  <c r="AO318" i="8"/>
  <c r="AT318" i="8" s="1"/>
  <c r="AD318" i="8"/>
  <c r="AI318" i="8" s="1"/>
  <c r="S318" i="8"/>
  <c r="X318" i="8" s="1"/>
  <c r="AN318" i="8"/>
  <c r="AS318" i="8" s="1"/>
  <c r="AC318" i="8"/>
  <c r="AH318" i="8" s="1"/>
  <c r="R318" i="8"/>
  <c r="W318" i="8" s="1"/>
  <c r="AO319" i="8"/>
  <c r="AT319" i="8" s="1"/>
  <c r="AD319" i="8"/>
  <c r="AI319" i="8" s="1"/>
  <c r="S319" i="8"/>
  <c r="X319" i="8" s="1"/>
  <c r="AN319" i="8"/>
  <c r="AS319" i="8" s="1"/>
  <c r="AC319" i="8"/>
  <c r="AH319" i="8" s="1"/>
  <c r="R319" i="8"/>
  <c r="W319" i="8" s="1"/>
  <c r="AM319" i="8"/>
  <c r="AR319" i="8" s="1"/>
  <c r="AB319" i="8"/>
  <c r="AG319" i="8" s="1"/>
  <c r="Q319" i="8"/>
  <c r="V319" i="8" s="1"/>
  <c r="AL319" i="8"/>
  <c r="AQ319" i="8" s="1"/>
  <c r="AA319" i="8"/>
  <c r="AF319" i="8" s="1"/>
  <c r="P319" i="8"/>
  <c r="U319" i="8" s="1"/>
  <c r="AL326" i="8"/>
  <c r="AQ326" i="8" s="1"/>
  <c r="AA326" i="8"/>
  <c r="AF326" i="8" s="1"/>
  <c r="P326" i="8"/>
  <c r="U326" i="8" s="1"/>
  <c r="Q326" i="8"/>
  <c r="V326" i="8" s="1"/>
  <c r="AB326" i="8"/>
  <c r="AG326" i="8" s="1"/>
  <c r="AO326" i="8"/>
  <c r="AT326" i="8" s="1"/>
  <c r="AD326" i="8"/>
  <c r="AI326" i="8" s="1"/>
  <c r="S326" i="8"/>
  <c r="X326" i="8" s="1"/>
  <c r="AM326" i="8"/>
  <c r="AR326" i="8" s="1"/>
  <c r="AN326" i="8"/>
  <c r="AS326" i="8" s="1"/>
  <c r="AC326" i="8"/>
  <c r="AH326" i="8" s="1"/>
  <c r="R326" i="8"/>
  <c r="W326" i="8" s="1"/>
  <c r="AO309" i="8"/>
  <c r="AT309" i="8" s="1"/>
  <c r="AD309" i="8"/>
  <c r="AI309" i="8" s="1"/>
  <c r="S309" i="8"/>
  <c r="X309" i="8" s="1"/>
  <c r="AN309" i="8"/>
  <c r="AS309" i="8" s="1"/>
  <c r="AC309" i="8"/>
  <c r="AH309" i="8" s="1"/>
  <c r="R309" i="8"/>
  <c r="W309" i="8" s="1"/>
  <c r="AM309" i="8"/>
  <c r="AR309" i="8" s="1"/>
  <c r="AB309" i="8"/>
  <c r="AG309" i="8" s="1"/>
  <c r="Q309" i="8"/>
  <c r="V309" i="8" s="1"/>
  <c r="AL309" i="8"/>
  <c r="AQ309" i="8" s="1"/>
  <c r="AA309" i="8"/>
  <c r="AF309" i="8" s="1"/>
  <c r="P309" i="8"/>
  <c r="U309" i="8" s="1"/>
  <c r="AN308" i="8"/>
  <c r="AS308" i="8" s="1"/>
  <c r="AC308" i="8"/>
  <c r="AH308" i="8" s="1"/>
  <c r="R308" i="8"/>
  <c r="W308" i="8" s="1"/>
  <c r="AM308" i="8"/>
  <c r="AR308" i="8" s="1"/>
  <c r="AB308" i="8"/>
  <c r="AG308" i="8" s="1"/>
  <c r="Q308" i="8"/>
  <c r="V308" i="8" s="1"/>
  <c r="AL308" i="8"/>
  <c r="AQ308" i="8" s="1"/>
  <c r="AA308" i="8"/>
  <c r="AF308" i="8" s="1"/>
  <c r="P308" i="8"/>
  <c r="U308" i="8" s="1"/>
  <c r="AO308" i="8"/>
  <c r="AT308" i="8" s="1"/>
  <c r="AD308" i="8"/>
  <c r="AI308" i="8" s="1"/>
  <c r="S308" i="8"/>
  <c r="X308" i="8" s="1"/>
  <c r="AO312" i="8"/>
  <c r="AT312" i="8" s="1"/>
  <c r="AD312" i="8"/>
  <c r="AI312" i="8" s="1"/>
  <c r="S312" i="8"/>
  <c r="X312" i="8" s="1"/>
  <c r="AN312" i="8"/>
  <c r="AS312" i="8" s="1"/>
  <c r="AC312" i="8"/>
  <c r="AH312" i="8" s="1"/>
  <c r="R312" i="8"/>
  <c r="W312" i="8" s="1"/>
  <c r="AM312" i="8"/>
  <c r="AR312" i="8" s="1"/>
  <c r="AB312" i="8"/>
  <c r="AG312" i="8" s="1"/>
  <c r="Q312" i="8"/>
  <c r="V312" i="8" s="1"/>
  <c r="AL312" i="8"/>
  <c r="AQ312" i="8" s="1"/>
  <c r="AA312" i="8"/>
  <c r="AF312" i="8" s="1"/>
  <c r="P312" i="8"/>
  <c r="U312" i="8" s="1"/>
  <c r="AO317" i="8"/>
  <c r="AT317" i="8" s="1"/>
  <c r="AD317" i="8"/>
  <c r="AI317" i="8" s="1"/>
  <c r="S317" i="8"/>
  <c r="X317" i="8" s="1"/>
  <c r="AN317" i="8"/>
  <c r="AS317" i="8" s="1"/>
  <c r="AC317" i="8"/>
  <c r="AH317" i="8" s="1"/>
  <c r="R317" i="8"/>
  <c r="W317" i="8" s="1"/>
  <c r="AM317" i="8"/>
  <c r="AR317" i="8" s="1"/>
  <c r="AB317" i="8"/>
  <c r="AG317" i="8" s="1"/>
  <c r="Q317" i="8"/>
  <c r="V317" i="8" s="1"/>
  <c r="AL317" i="8"/>
  <c r="AQ317" i="8" s="1"/>
  <c r="AA317" i="8"/>
  <c r="AF317" i="8" s="1"/>
  <c r="P317" i="8"/>
  <c r="U317" i="8" s="1"/>
  <c r="AN316" i="8"/>
  <c r="AS316" i="8" s="1"/>
  <c r="AC316" i="8"/>
  <c r="AH316" i="8" s="1"/>
  <c r="R316" i="8"/>
  <c r="W316" i="8" s="1"/>
  <c r="AO316" i="8"/>
  <c r="AT316" i="8" s="1"/>
  <c r="AM316" i="8"/>
  <c r="AR316" i="8" s="1"/>
  <c r="AB316" i="8"/>
  <c r="AG316" i="8" s="1"/>
  <c r="Q316" i="8"/>
  <c r="V316" i="8" s="1"/>
  <c r="AL316" i="8"/>
  <c r="AQ316" i="8" s="1"/>
  <c r="AA316" i="8"/>
  <c r="AF316" i="8" s="1"/>
  <c r="P316" i="8"/>
  <c r="U316" i="8" s="1"/>
  <c r="AD316" i="8"/>
  <c r="AI316" i="8" s="1"/>
  <c r="S316" i="8"/>
  <c r="X316" i="8" s="1"/>
  <c r="AL315" i="8"/>
  <c r="AQ315" i="8" s="1"/>
  <c r="P315" i="8"/>
  <c r="U315" i="8" s="1"/>
  <c r="AO315" i="8"/>
  <c r="AT315" i="8" s="1"/>
  <c r="AD315" i="8"/>
  <c r="AI315" i="8" s="1"/>
  <c r="S315" i="8"/>
  <c r="X315" i="8" s="1"/>
  <c r="AN315" i="8"/>
  <c r="AS315" i="8" s="1"/>
  <c r="AC315" i="8"/>
  <c r="AH315" i="8" s="1"/>
  <c r="R315" i="8"/>
  <c r="W315" i="8" s="1"/>
  <c r="AM315" i="8"/>
  <c r="AR315" i="8" s="1"/>
  <c r="AB315" i="8"/>
  <c r="AG315" i="8" s="1"/>
  <c r="Q315" i="8"/>
  <c r="V315" i="8" s="1"/>
  <c r="AA315" i="8"/>
  <c r="AF315" i="8" s="1"/>
  <c r="AO325" i="8"/>
  <c r="AT325" i="8" s="1"/>
  <c r="AD325" i="8"/>
  <c r="AI325" i="8" s="1"/>
  <c r="S325" i="8"/>
  <c r="X325" i="8" s="1"/>
  <c r="AN325" i="8"/>
  <c r="AS325" i="8" s="1"/>
  <c r="AC325" i="8"/>
  <c r="AH325" i="8" s="1"/>
  <c r="R325" i="8"/>
  <c r="W325" i="8" s="1"/>
  <c r="AM325" i="8"/>
  <c r="AR325" i="8" s="1"/>
  <c r="AB325" i="8"/>
  <c r="AG325" i="8" s="1"/>
  <c r="Q325" i="8"/>
  <c r="V325" i="8" s="1"/>
  <c r="AL325" i="8"/>
  <c r="AQ325" i="8" s="1"/>
  <c r="AA325" i="8"/>
  <c r="AF325" i="8" s="1"/>
  <c r="P325" i="8"/>
  <c r="U325" i="8" s="1"/>
  <c r="AN324" i="8"/>
  <c r="AS324" i="8" s="1"/>
  <c r="AC324" i="8"/>
  <c r="AH324" i="8" s="1"/>
  <c r="R324" i="8"/>
  <c r="W324" i="8" s="1"/>
  <c r="AM324" i="8"/>
  <c r="AR324" i="8" s="1"/>
  <c r="AB324" i="8"/>
  <c r="AG324" i="8" s="1"/>
  <c r="Q324" i="8"/>
  <c r="V324" i="8" s="1"/>
  <c r="AD324" i="8"/>
  <c r="AI324" i="8" s="1"/>
  <c r="S324" i="8"/>
  <c r="X324" i="8" s="1"/>
  <c r="AL324" i="8"/>
  <c r="AQ324" i="8" s="1"/>
  <c r="AA324" i="8"/>
  <c r="AF324" i="8" s="1"/>
  <c r="P324" i="8"/>
  <c r="U324" i="8" s="1"/>
  <c r="AO324" i="8"/>
  <c r="AT324" i="8" s="1"/>
  <c r="P323" i="8"/>
  <c r="U323" i="8" s="1"/>
  <c r="AL323" i="8"/>
  <c r="AQ323" i="8" s="1"/>
  <c r="AA323" i="8"/>
  <c r="AF323" i="8" s="1"/>
  <c r="AO323" i="8"/>
  <c r="AT323" i="8" s="1"/>
  <c r="AD323" i="8"/>
  <c r="AI323" i="8" s="1"/>
  <c r="S323" i="8"/>
  <c r="X323" i="8" s="1"/>
  <c r="AN323" i="8"/>
  <c r="AS323" i="8" s="1"/>
  <c r="AC323" i="8"/>
  <c r="AH323" i="8" s="1"/>
  <c r="R323" i="8"/>
  <c r="W323" i="8" s="1"/>
  <c r="AM323" i="8"/>
  <c r="AR323" i="8" s="1"/>
  <c r="AB323" i="8"/>
  <c r="AG323" i="8" s="1"/>
  <c r="Q323" i="8"/>
  <c r="V323" i="8" s="1"/>
  <c r="AO304" i="8"/>
  <c r="AT304" i="8" s="1"/>
  <c r="AD304" i="8"/>
  <c r="AI304" i="8" s="1"/>
  <c r="S304" i="8"/>
  <c r="X304" i="8" s="1"/>
  <c r="AN304" i="8"/>
  <c r="AS304" i="8" s="1"/>
  <c r="AC304" i="8"/>
  <c r="AH304" i="8" s="1"/>
  <c r="R304" i="8"/>
  <c r="W304" i="8" s="1"/>
  <c r="AM304" i="8"/>
  <c r="AR304" i="8" s="1"/>
  <c r="AB304" i="8"/>
  <c r="AG304" i="8" s="1"/>
  <c r="Q304" i="8"/>
  <c r="V304" i="8" s="1"/>
  <c r="AL304" i="8"/>
  <c r="AQ304" i="8" s="1"/>
  <c r="AA304" i="8"/>
  <c r="AF304" i="8" s="1"/>
  <c r="P304" i="8"/>
  <c r="U304" i="8" s="1"/>
  <c r="AN303" i="8"/>
  <c r="AS303" i="8" s="1"/>
  <c r="AC303" i="8"/>
  <c r="AH303" i="8" s="1"/>
  <c r="R303" i="8"/>
  <c r="W303" i="8" s="1"/>
  <c r="AM303" i="8"/>
  <c r="AR303" i="8" s="1"/>
  <c r="AB303" i="8"/>
  <c r="AG303" i="8" s="1"/>
  <c r="Q303" i="8"/>
  <c r="V303" i="8" s="1"/>
  <c r="AL303" i="8"/>
  <c r="AQ303" i="8" s="1"/>
  <c r="AA303" i="8"/>
  <c r="AF303" i="8" s="1"/>
  <c r="P303" i="8"/>
  <c r="U303" i="8" s="1"/>
  <c r="AO303" i="8"/>
  <c r="AT303" i="8" s="1"/>
  <c r="AD303" i="8"/>
  <c r="AI303" i="8" s="1"/>
  <c r="S303" i="8"/>
  <c r="X303" i="8" s="1"/>
  <c r="AO296" i="8"/>
  <c r="AT296" i="8" s="1"/>
  <c r="AD296" i="8"/>
  <c r="AI296" i="8" s="1"/>
  <c r="S296" i="8"/>
  <c r="X296" i="8" s="1"/>
  <c r="AN296" i="8"/>
  <c r="AS296" i="8" s="1"/>
  <c r="AC296" i="8"/>
  <c r="AH296" i="8" s="1"/>
  <c r="R296" i="8"/>
  <c r="W296" i="8" s="1"/>
  <c r="AM296" i="8"/>
  <c r="AR296" i="8" s="1"/>
  <c r="AB296" i="8"/>
  <c r="AG296" i="8" s="1"/>
  <c r="Q296" i="8"/>
  <c r="V296" i="8" s="1"/>
  <c r="AL296" i="8"/>
  <c r="AQ296" i="8" s="1"/>
  <c r="AA296" i="8"/>
  <c r="AF296" i="8" s="1"/>
  <c r="P296" i="8"/>
  <c r="U296" i="8" s="1"/>
  <c r="AO293" i="8"/>
  <c r="AT293" i="8" s="1"/>
  <c r="AD293" i="8"/>
  <c r="AI293" i="8" s="1"/>
  <c r="S293" i="8"/>
  <c r="X293" i="8" s="1"/>
  <c r="AN293" i="8"/>
  <c r="AS293" i="8" s="1"/>
  <c r="AC293" i="8"/>
  <c r="AH293" i="8" s="1"/>
  <c r="R293" i="8"/>
  <c r="W293" i="8" s="1"/>
  <c r="AM293" i="8"/>
  <c r="AR293" i="8" s="1"/>
  <c r="AB293" i="8"/>
  <c r="AG293" i="8" s="1"/>
  <c r="Q293" i="8"/>
  <c r="V293" i="8" s="1"/>
  <c r="AL293" i="8"/>
  <c r="AQ293" i="8" s="1"/>
  <c r="AA293" i="8"/>
  <c r="AF293" i="8" s="1"/>
  <c r="P293" i="8"/>
  <c r="U293" i="8" s="1"/>
  <c r="AM292" i="8"/>
  <c r="AR292" i="8" s="1"/>
  <c r="AB292" i="8"/>
  <c r="AG292" i="8" s="1"/>
  <c r="Q292" i="8"/>
  <c r="V292" i="8" s="1"/>
  <c r="AL292" i="8"/>
  <c r="AQ292" i="8" s="1"/>
  <c r="AA292" i="8"/>
  <c r="AF292" i="8" s="1"/>
  <c r="P292" i="8"/>
  <c r="U292" i="8" s="1"/>
  <c r="AC292" i="8"/>
  <c r="AH292" i="8" s="1"/>
  <c r="AO292" i="8"/>
  <c r="AT292" i="8" s="1"/>
  <c r="AD292" i="8"/>
  <c r="AI292" i="8" s="1"/>
  <c r="S292" i="8"/>
  <c r="X292" i="8" s="1"/>
  <c r="R292" i="8"/>
  <c r="W292" i="8" s="1"/>
  <c r="AN292" i="8"/>
  <c r="AS292" i="8" s="1"/>
  <c r="AO301" i="8"/>
  <c r="AT301" i="8" s="1"/>
  <c r="AD301" i="8"/>
  <c r="AI301" i="8" s="1"/>
  <c r="S301" i="8"/>
  <c r="X301" i="8" s="1"/>
  <c r="AN301" i="8"/>
  <c r="AS301" i="8" s="1"/>
  <c r="AC301" i="8"/>
  <c r="AH301" i="8" s="1"/>
  <c r="R301" i="8"/>
  <c r="W301" i="8" s="1"/>
  <c r="AM301" i="8"/>
  <c r="AR301" i="8" s="1"/>
  <c r="AB301" i="8"/>
  <c r="AG301" i="8" s="1"/>
  <c r="Q301" i="8"/>
  <c r="V301" i="8" s="1"/>
  <c r="AL301" i="8"/>
  <c r="AQ301" i="8" s="1"/>
  <c r="AA301" i="8"/>
  <c r="AF301" i="8" s="1"/>
  <c r="P301" i="8"/>
  <c r="U301" i="8" s="1"/>
  <c r="AM300" i="8"/>
  <c r="AR300" i="8" s="1"/>
  <c r="AB300" i="8"/>
  <c r="AG300" i="8" s="1"/>
  <c r="Q300" i="8"/>
  <c r="V300" i="8" s="1"/>
  <c r="AL300" i="8"/>
  <c r="AQ300" i="8" s="1"/>
  <c r="AA300" i="8"/>
  <c r="AF300" i="8" s="1"/>
  <c r="P300" i="8"/>
  <c r="U300" i="8" s="1"/>
  <c r="AO300" i="8"/>
  <c r="AT300" i="8" s="1"/>
  <c r="AD300" i="8"/>
  <c r="AI300" i="8" s="1"/>
  <c r="S300" i="8"/>
  <c r="X300" i="8" s="1"/>
  <c r="AN300" i="8"/>
  <c r="AS300" i="8" s="1"/>
  <c r="AC300" i="8"/>
  <c r="AH300" i="8" s="1"/>
  <c r="R300" i="8"/>
  <c r="W300" i="8" s="1"/>
  <c r="AO290" i="8"/>
  <c r="AT290" i="8" s="1"/>
  <c r="AD290" i="8"/>
  <c r="AI290" i="8" s="1"/>
  <c r="S290" i="8"/>
  <c r="X290" i="8" s="1"/>
  <c r="AN290" i="8"/>
  <c r="AS290" i="8" s="1"/>
  <c r="AC290" i="8"/>
  <c r="AH290" i="8" s="1"/>
  <c r="R290" i="8"/>
  <c r="W290" i="8" s="1"/>
  <c r="AM290" i="8"/>
  <c r="AR290" i="8" s="1"/>
  <c r="AB290" i="8"/>
  <c r="AG290" i="8" s="1"/>
  <c r="Q290" i="8"/>
  <c r="V290" i="8" s="1"/>
  <c r="AL290" i="8"/>
  <c r="AQ290" i="8" s="1"/>
  <c r="AA290" i="8"/>
  <c r="AF290" i="8" s="1"/>
  <c r="P290" i="8"/>
  <c r="U290" i="8" s="1"/>
  <c r="AL289" i="8"/>
  <c r="AQ289" i="8" s="1"/>
  <c r="AA289" i="8"/>
  <c r="AF289" i="8" s="1"/>
  <c r="P289" i="8"/>
  <c r="U289" i="8" s="1"/>
  <c r="AM289" i="8"/>
  <c r="AR289" i="8" s="1"/>
  <c r="AB289" i="8"/>
  <c r="AG289" i="8" s="1"/>
  <c r="AO289" i="8"/>
  <c r="AT289" i="8" s="1"/>
  <c r="AD289" i="8"/>
  <c r="AI289" i="8" s="1"/>
  <c r="S289" i="8"/>
  <c r="X289" i="8" s="1"/>
  <c r="AN289" i="8"/>
  <c r="AS289" i="8" s="1"/>
  <c r="AC289" i="8"/>
  <c r="AH289" i="8" s="1"/>
  <c r="R289" i="8"/>
  <c r="W289" i="8" s="1"/>
  <c r="Q289" i="8"/>
  <c r="V289" i="8" s="1"/>
  <c r="AO298" i="8"/>
  <c r="AT298" i="8" s="1"/>
  <c r="AD298" i="8"/>
  <c r="AI298" i="8" s="1"/>
  <c r="S298" i="8"/>
  <c r="X298" i="8" s="1"/>
  <c r="AN298" i="8"/>
  <c r="AS298" i="8" s="1"/>
  <c r="AC298" i="8"/>
  <c r="AH298" i="8" s="1"/>
  <c r="R298" i="8"/>
  <c r="W298" i="8" s="1"/>
  <c r="AM298" i="8"/>
  <c r="AR298" i="8" s="1"/>
  <c r="AB298" i="8"/>
  <c r="AG298" i="8" s="1"/>
  <c r="Q298" i="8"/>
  <c r="V298" i="8" s="1"/>
  <c r="AL298" i="8"/>
  <c r="AQ298" i="8" s="1"/>
  <c r="AA298" i="8"/>
  <c r="AF298" i="8" s="1"/>
  <c r="P298" i="8"/>
  <c r="U298" i="8" s="1"/>
  <c r="AL297" i="8"/>
  <c r="AQ297" i="8" s="1"/>
  <c r="AA297" i="8"/>
  <c r="AF297" i="8" s="1"/>
  <c r="P297" i="8"/>
  <c r="U297" i="8" s="1"/>
  <c r="AB297" i="8"/>
  <c r="AG297" i="8" s="1"/>
  <c r="AM297" i="8"/>
  <c r="AR297" i="8" s="1"/>
  <c r="Q297" i="8"/>
  <c r="V297" i="8" s="1"/>
  <c r="AO297" i="8"/>
  <c r="AT297" i="8" s="1"/>
  <c r="AD297" i="8"/>
  <c r="AI297" i="8" s="1"/>
  <c r="S297" i="8"/>
  <c r="X297" i="8" s="1"/>
  <c r="AN297" i="8"/>
  <c r="AS297" i="8" s="1"/>
  <c r="AC297" i="8"/>
  <c r="AH297" i="8" s="1"/>
  <c r="R297" i="8"/>
  <c r="W297" i="8" s="1"/>
  <c r="AO299" i="8"/>
  <c r="AT299" i="8" s="1"/>
  <c r="AD299" i="8"/>
  <c r="AI299" i="8" s="1"/>
  <c r="S299" i="8"/>
  <c r="X299" i="8" s="1"/>
  <c r="AN299" i="8"/>
  <c r="AS299" i="8" s="1"/>
  <c r="AC299" i="8"/>
  <c r="AH299" i="8" s="1"/>
  <c r="R299" i="8"/>
  <c r="W299" i="8" s="1"/>
  <c r="AM299" i="8"/>
  <c r="AR299" i="8" s="1"/>
  <c r="AB299" i="8"/>
  <c r="AG299" i="8" s="1"/>
  <c r="Q299" i="8"/>
  <c r="V299" i="8" s="1"/>
  <c r="AL299" i="8"/>
  <c r="AQ299" i="8" s="1"/>
  <c r="AA299" i="8"/>
  <c r="AF299" i="8" s="1"/>
  <c r="P299" i="8"/>
  <c r="U299" i="8" s="1"/>
  <c r="AO291" i="8"/>
  <c r="AT291" i="8" s="1"/>
  <c r="AD291" i="8"/>
  <c r="AI291" i="8" s="1"/>
  <c r="S291" i="8"/>
  <c r="X291" i="8" s="1"/>
  <c r="AN291" i="8"/>
  <c r="AS291" i="8" s="1"/>
  <c r="AC291" i="8"/>
  <c r="AH291" i="8" s="1"/>
  <c r="R291" i="8"/>
  <c r="W291" i="8" s="1"/>
  <c r="AM291" i="8"/>
  <c r="AR291" i="8" s="1"/>
  <c r="AB291" i="8"/>
  <c r="AG291" i="8" s="1"/>
  <c r="Q291" i="8"/>
  <c r="V291" i="8" s="1"/>
  <c r="AL291" i="8"/>
  <c r="AQ291" i="8" s="1"/>
  <c r="AA291" i="8"/>
  <c r="AF291" i="8" s="1"/>
  <c r="P291" i="8"/>
  <c r="U291" i="8" s="1"/>
  <c r="AL305" i="8"/>
  <c r="AQ305" i="8" s="1"/>
  <c r="AA305" i="8"/>
  <c r="AF305" i="8" s="1"/>
  <c r="P305" i="8"/>
  <c r="U305" i="8" s="1"/>
  <c r="AB305" i="8"/>
  <c r="AG305" i="8" s="1"/>
  <c r="AM305" i="8"/>
  <c r="AR305" i="8" s="1"/>
  <c r="AO305" i="8"/>
  <c r="AT305" i="8" s="1"/>
  <c r="AD305" i="8"/>
  <c r="AI305" i="8" s="1"/>
  <c r="S305" i="8"/>
  <c r="X305" i="8" s="1"/>
  <c r="Q305" i="8"/>
  <c r="V305" i="8" s="1"/>
  <c r="AN305" i="8"/>
  <c r="AS305" i="8" s="1"/>
  <c r="AC305" i="8"/>
  <c r="AH305" i="8" s="1"/>
  <c r="R305" i="8"/>
  <c r="W305" i="8" s="1"/>
  <c r="AO288" i="8"/>
  <c r="AT288" i="8" s="1"/>
  <c r="AD288" i="8"/>
  <c r="AI288" i="8" s="1"/>
  <c r="S288" i="8"/>
  <c r="X288" i="8" s="1"/>
  <c r="AN288" i="8"/>
  <c r="AS288" i="8" s="1"/>
  <c r="AC288" i="8"/>
  <c r="AH288" i="8" s="1"/>
  <c r="R288" i="8"/>
  <c r="W288" i="8" s="1"/>
  <c r="AM288" i="8"/>
  <c r="AR288" i="8" s="1"/>
  <c r="AB288" i="8"/>
  <c r="AG288" i="8" s="1"/>
  <c r="Q288" i="8"/>
  <c r="V288" i="8" s="1"/>
  <c r="AL288" i="8"/>
  <c r="AQ288" i="8" s="1"/>
  <c r="AA288" i="8"/>
  <c r="AF288" i="8" s="1"/>
  <c r="P288" i="8"/>
  <c r="U288" i="8" s="1"/>
  <c r="AN287" i="8"/>
  <c r="AS287" i="8" s="1"/>
  <c r="AC287" i="8"/>
  <c r="AH287" i="8" s="1"/>
  <c r="R287" i="8"/>
  <c r="W287" i="8" s="1"/>
  <c r="AM287" i="8"/>
  <c r="AR287" i="8" s="1"/>
  <c r="AB287" i="8"/>
  <c r="AG287" i="8" s="1"/>
  <c r="Q287" i="8"/>
  <c r="V287" i="8" s="1"/>
  <c r="AL287" i="8"/>
  <c r="AQ287" i="8" s="1"/>
  <c r="AA287" i="8"/>
  <c r="AF287" i="8" s="1"/>
  <c r="P287" i="8"/>
  <c r="U287" i="8" s="1"/>
  <c r="AO287" i="8"/>
  <c r="AT287" i="8" s="1"/>
  <c r="S287" i="8"/>
  <c r="X287" i="8" s="1"/>
  <c r="AD287" i="8"/>
  <c r="AI287" i="8" s="1"/>
  <c r="AA294" i="8"/>
  <c r="AF294" i="8" s="1"/>
  <c r="P294" i="8"/>
  <c r="U294" i="8" s="1"/>
  <c r="AO294" i="8"/>
  <c r="AT294" i="8" s="1"/>
  <c r="AD294" i="8"/>
  <c r="AI294" i="8" s="1"/>
  <c r="S294" i="8"/>
  <c r="X294" i="8" s="1"/>
  <c r="AN294" i="8"/>
  <c r="AS294" i="8" s="1"/>
  <c r="AC294" i="8"/>
  <c r="AH294" i="8" s="1"/>
  <c r="R294" i="8"/>
  <c r="W294" i="8" s="1"/>
  <c r="AM294" i="8"/>
  <c r="AR294" i="8" s="1"/>
  <c r="AB294" i="8"/>
  <c r="AG294" i="8" s="1"/>
  <c r="Q294" i="8"/>
  <c r="V294" i="8" s="1"/>
  <c r="AL294" i="8"/>
  <c r="AQ294" i="8" s="1"/>
  <c r="AN295" i="8"/>
  <c r="AS295" i="8" s="1"/>
  <c r="AC295" i="8"/>
  <c r="AH295" i="8" s="1"/>
  <c r="R295" i="8"/>
  <c r="W295" i="8" s="1"/>
  <c r="AD295" i="8"/>
  <c r="AI295" i="8" s="1"/>
  <c r="AM295" i="8"/>
  <c r="AR295" i="8" s="1"/>
  <c r="AB295" i="8"/>
  <c r="AG295" i="8" s="1"/>
  <c r="Q295" i="8"/>
  <c r="V295" i="8" s="1"/>
  <c r="AL295" i="8"/>
  <c r="AQ295" i="8" s="1"/>
  <c r="AA295" i="8"/>
  <c r="AF295" i="8" s="1"/>
  <c r="P295" i="8"/>
  <c r="U295" i="8" s="1"/>
  <c r="AO295" i="8"/>
  <c r="AT295" i="8" s="1"/>
  <c r="S295" i="8"/>
  <c r="X295" i="8" s="1"/>
  <c r="AO302" i="8"/>
  <c r="AT302" i="8" s="1"/>
  <c r="AD302" i="8"/>
  <c r="AI302" i="8" s="1"/>
  <c r="S302" i="8"/>
  <c r="X302" i="8" s="1"/>
  <c r="AN302" i="8"/>
  <c r="AS302" i="8" s="1"/>
  <c r="AC302" i="8"/>
  <c r="AH302" i="8" s="1"/>
  <c r="R302" i="8"/>
  <c r="W302" i="8" s="1"/>
  <c r="AM302" i="8"/>
  <c r="AR302" i="8" s="1"/>
  <c r="AB302" i="8"/>
  <c r="AG302" i="8" s="1"/>
  <c r="Q302" i="8"/>
  <c r="V302" i="8" s="1"/>
  <c r="AL302" i="8"/>
  <c r="AQ302" i="8" s="1"/>
  <c r="AA302" i="8"/>
  <c r="AF302" i="8" s="1"/>
  <c r="P302" i="8"/>
  <c r="U302" i="8" s="1"/>
  <c r="AO278" i="8"/>
  <c r="AT278" i="8" s="1"/>
  <c r="AD278" i="8"/>
  <c r="AI278" i="8" s="1"/>
  <c r="S278" i="8"/>
  <c r="X278" i="8" s="1"/>
  <c r="AN278" i="8"/>
  <c r="AS278" i="8" s="1"/>
  <c r="AC278" i="8"/>
  <c r="AH278" i="8" s="1"/>
  <c r="R278" i="8"/>
  <c r="W278" i="8" s="1"/>
  <c r="AM278" i="8"/>
  <c r="AR278" i="8" s="1"/>
  <c r="AB278" i="8"/>
  <c r="AG278" i="8" s="1"/>
  <c r="Q278" i="8"/>
  <c r="V278" i="8" s="1"/>
  <c r="AL278" i="8"/>
  <c r="AQ278" i="8" s="1"/>
  <c r="AA278" i="8"/>
  <c r="AF278" i="8" s="1"/>
  <c r="P278" i="8"/>
  <c r="U278" i="8" s="1"/>
  <c r="AM271" i="8"/>
  <c r="AR271" i="8" s="1"/>
  <c r="AB271" i="8"/>
  <c r="AG271" i="8" s="1"/>
  <c r="Q271" i="8"/>
  <c r="V271" i="8" s="1"/>
  <c r="AL271" i="8"/>
  <c r="AQ271" i="8" s="1"/>
  <c r="AA271" i="8"/>
  <c r="AF271" i="8" s="1"/>
  <c r="P271" i="8"/>
  <c r="U271" i="8" s="1"/>
  <c r="AN271" i="8"/>
  <c r="AS271" i="8" s="1"/>
  <c r="R271" i="8"/>
  <c r="W271" i="8" s="1"/>
  <c r="AO271" i="8"/>
  <c r="AT271" i="8" s="1"/>
  <c r="AD271" i="8"/>
  <c r="AI271" i="8" s="1"/>
  <c r="S271" i="8"/>
  <c r="X271" i="8" s="1"/>
  <c r="AC271" i="8"/>
  <c r="AH271" i="8" s="1"/>
  <c r="AO272" i="8"/>
  <c r="AT272" i="8" s="1"/>
  <c r="AD272" i="8"/>
  <c r="AI272" i="8" s="1"/>
  <c r="S272" i="8"/>
  <c r="X272" i="8" s="1"/>
  <c r="AN272" i="8"/>
  <c r="AS272" i="8" s="1"/>
  <c r="AC272" i="8"/>
  <c r="AH272" i="8" s="1"/>
  <c r="R272" i="8"/>
  <c r="W272" i="8" s="1"/>
  <c r="AM272" i="8"/>
  <c r="AR272" i="8" s="1"/>
  <c r="AB272" i="8"/>
  <c r="AG272" i="8" s="1"/>
  <c r="Q272" i="8"/>
  <c r="V272" i="8" s="1"/>
  <c r="AL272" i="8"/>
  <c r="AQ272" i="8" s="1"/>
  <c r="AA272" i="8"/>
  <c r="AF272" i="8" s="1"/>
  <c r="P272" i="8"/>
  <c r="U272" i="8" s="1"/>
  <c r="AM279" i="8"/>
  <c r="AR279" i="8" s="1"/>
  <c r="AB279" i="8"/>
  <c r="AG279" i="8" s="1"/>
  <c r="Q279" i="8"/>
  <c r="V279" i="8" s="1"/>
  <c r="AN279" i="8"/>
  <c r="AS279" i="8" s="1"/>
  <c r="AL279" i="8"/>
  <c r="AQ279" i="8" s="1"/>
  <c r="AA279" i="8"/>
  <c r="AF279" i="8" s="1"/>
  <c r="P279" i="8"/>
  <c r="U279" i="8" s="1"/>
  <c r="R279" i="8"/>
  <c r="W279" i="8" s="1"/>
  <c r="AO279" i="8"/>
  <c r="AT279" i="8" s="1"/>
  <c r="AD279" i="8"/>
  <c r="AI279" i="8" s="1"/>
  <c r="S279" i="8"/>
  <c r="X279" i="8" s="1"/>
  <c r="AC279" i="8"/>
  <c r="AH279" i="8" s="1"/>
  <c r="AO280" i="8"/>
  <c r="AT280" i="8" s="1"/>
  <c r="AD280" i="8"/>
  <c r="AI280" i="8" s="1"/>
  <c r="S280" i="8"/>
  <c r="X280" i="8" s="1"/>
  <c r="AN280" i="8"/>
  <c r="AS280" i="8" s="1"/>
  <c r="AC280" i="8"/>
  <c r="AH280" i="8" s="1"/>
  <c r="R280" i="8"/>
  <c r="W280" i="8" s="1"/>
  <c r="AM280" i="8"/>
  <c r="AR280" i="8" s="1"/>
  <c r="AB280" i="8"/>
  <c r="AG280" i="8" s="1"/>
  <c r="Q280" i="8"/>
  <c r="V280" i="8" s="1"/>
  <c r="AL280" i="8"/>
  <c r="AQ280" i="8" s="1"/>
  <c r="AA280" i="8"/>
  <c r="AF280" i="8" s="1"/>
  <c r="P280" i="8"/>
  <c r="U280" i="8" s="1"/>
  <c r="AL268" i="8"/>
  <c r="AQ268" i="8" s="1"/>
  <c r="AA268" i="8"/>
  <c r="AF268" i="8" s="1"/>
  <c r="P268" i="8"/>
  <c r="U268" i="8" s="1"/>
  <c r="Q268" i="8"/>
  <c r="V268" i="8" s="1"/>
  <c r="AM268" i="8"/>
  <c r="AR268" i="8" s="1"/>
  <c r="AB268" i="8"/>
  <c r="AG268" i="8" s="1"/>
  <c r="AO268" i="8"/>
  <c r="AT268" i="8" s="1"/>
  <c r="AD268" i="8"/>
  <c r="AI268" i="8" s="1"/>
  <c r="S268" i="8"/>
  <c r="X268" i="8" s="1"/>
  <c r="AN268" i="8"/>
  <c r="AS268" i="8" s="1"/>
  <c r="AC268" i="8"/>
  <c r="AH268" i="8" s="1"/>
  <c r="R268" i="8"/>
  <c r="W268" i="8" s="1"/>
  <c r="AO269" i="8"/>
  <c r="AT269" i="8" s="1"/>
  <c r="AD269" i="8"/>
  <c r="AI269" i="8" s="1"/>
  <c r="S269" i="8"/>
  <c r="X269" i="8" s="1"/>
  <c r="AN269" i="8"/>
  <c r="AS269" i="8" s="1"/>
  <c r="AC269" i="8"/>
  <c r="AH269" i="8" s="1"/>
  <c r="R269" i="8"/>
  <c r="W269" i="8" s="1"/>
  <c r="AM269" i="8"/>
  <c r="AR269" i="8" s="1"/>
  <c r="AB269" i="8"/>
  <c r="AG269" i="8" s="1"/>
  <c r="Q269" i="8"/>
  <c r="V269" i="8" s="1"/>
  <c r="AL269" i="8"/>
  <c r="AQ269" i="8" s="1"/>
  <c r="AA269" i="8"/>
  <c r="AF269" i="8" s="1"/>
  <c r="P269" i="8"/>
  <c r="U269" i="8" s="1"/>
  <c r="AL276" i="8"/>
  <c r="AQ276" i="8" s="1"/>
  <c r="AA276" i="8"/>
  <c r="AF276" i="8" s="1"/>
  <c r="P276" i="8"/>
  <c r="U276" i="8" s="1"/>
  <c r="AB276" i="8"/>
  <c r="AG276" i="8" s="1"/>
  <c r="Q276" i="8"/>
  <c r="V276" i="8" s="1"/>
  <c r="AO276" i="8"/>
  <c r="AT276" i="8" s="1"/>
  <c r="AD276" i="8"/>
  <c r="AI276" i="8" s="1"/>
  <c r="S276" i="8"/>
  <c r="X276" i="8" s="1"/>
  <c r="AM276" i="8"/>
  <c r="AR276" i="8" s="1"/>
  <c r="AN276" i="8"/>
  <c r="AS276" i="8" s="1"/>
  <c r="AC276" i="8"/>
  <c r="AH276" i="8" s="1"/>
  <c r="R276" i="8"/>
  <c r="W276" i="8" s="1"/>
  <c r="AO277" i="8"/>
  <c r="AT277" i="8" s="1"/>
  <c r="AD277" i="8"/>
  <c r="AI277" i="8" s="1"/>
  <c r="S277" i="8"/>
  <c r="X277" i="8" s="1"/>
  <c r="AN277" i="8"/>
  <c r="AS277" i="8" s="1"/>
  <c r="AC277" i="8"/>
  <c r="AH277" i="8" s="1"/>
  <c r="R277" i="8"/>
  <c r="W277" i="8" s="1"/>
  <c r="AM277" i="8"/>
  <c r="AR277" i="8" s="1"/>
  <c r="AB277" i="8"/>
  <c r="AG277" i="8" s="1"/>
  <c r="Q277" i="8"/>
  <c r="V277" i="8" s="1"/>
  <c r="AL277" i="8"/>
  <c r="AQ277" i="8" s="1"/>
  <c r="AA277" i="8"/>
  <c r="AF277" i="8" s="1"/>
  <c r="P277" i="8"/>
  <c r="U277" i="8" s="1"/>
  <c r="AL284" i="8"/>
  <c r="AQ284" i="8" s="1"/>
  <c r="AA284" i="8"/>
  <c r="AF284" i="8" s="1"/>
  <c r="P284" i="8"/>
  <c r="U284" i="8" s="1"/>
  <c r="Q284" i="8"/>
  <c r="V284" i="8" s="1"/>
  <c r="AB284" i="8"/>
  <c r="AG284" i="8" s="1"/>
  <c r="AO284" i="8"/>
  <c r="AT284" i="8" s="1"/>
  <c r="AD284" i="8"/>
  <c r="AI284" i="8" s="1"/>
  <c r="S284" i="8"/>
  <c r="X284" i="8" s="1"/>
  <c r="AN284" i="8"/>
  <c r="AS284" i="8" s="1"/>
  <c r="AC284" i="8"/>
  <c r="AH284" i="8" s="1"/>
  <c r="R284" i="8"/>
  <c r="W284" i="8" s="1"/>
  <c r="AM284" i="8"/>
  <c r="AR284" i="8" s="1"/>
  <c r="AO267" i="8"/>
  <c r="AT267" i="8" s="1"/>
  <c r="AD267" i="8"/>
  <c r="AI267" i="8" s="1"/>
  <c r="S267" i="8"/>
  <c r="X267" i="8" s="1"/>
  <c r="AN267" i="8"/>
  <c r="AS267" i="8" s="1"/>
  <c r="AC267" i="8"/>
  <c r="AH267" i="8" s="1"/>
  <c r="R267" i="8"/>
  <c r="W267" i="8" s="1"/>
  <c r="AM267" i="8"/>
  <c r="AR267" i="8" s="1"/>
  <c r="AB267" i="8"/>
  <c r="AG267" i="8" s="1"/>
  <c r="Q267" i="8"/>
  <c r="V267" i="8" s="1"/>
  <c r="AL267" i="8"/>
  <c r="AQ267" i="8" s="1"/>
  <c r="AA267" i="8"/>
  <c r="AF267" i="8" s="1"/>
  <c r="P267" i="8"/>
  <c r="U267" i="8" s="1"/>
  <c r="AN266" i="8"/>
  <c r="AS266" i="8" s="1"/>
  <c r="AC266" i="8"/>
  <c r="AH266" i="8" s="1"/>
  <c r="R266" i="8"/>
  <c r="W266" i="8" s="1"/>
  <c r="AM266" i="8"/>
  <c r="AR266" i="8" s="1"/>
  <c r="AB266" i="8"/>
  <c r="AG266" i="8" s="1"/>
  <c r="Q266" i="8"/>
  <c r="V266" i="8" s="1"/>
  <c r="AL266" i="8"/>
  <c r="AQ266" i="8" s="1"/>
  <c r="AA266" i="8"/>
  <c r="AF266" i="8" s="1"/>
  <c r="P266" i="8"/>
  <c r="U266" i="8" s="1"/>
  <c r="AD266" i="8"/>
  <c r="AI266" i="8" s="1"/>
  <c r="AO266" i="8"/>
  <c r="AT266" i="8" s="1"/>
  <c r="S266" i="8"/>
  <c r="X266" i="8" s="1"/>
  <c r="AO270" i="8"/>
  <c r="AT270" i="8" s="1"/>
  <c r="AD270" i="8"/>
  <c r="AI270" i="8" s="1"/>
  <c r="S270" i="8"/>
  <c r="X270" i="8" s="1"/>
  <c r="AN270" i="8"/>
  <c r="AS270" i="8" s="1"/>
  <c r="AC270" i="8"/>
  <c r="AH270" i="8" s="1"/>
  <c r="R270" i="8"/>
  <c r="W270" i="8" s="1"/>
  <c r="AM270" i="8"/>
  <c r="AR270" i="8" s="1"/>
  <c r="AB270" i="8"/>
  <c r="AG270" i="8" s="1"/>
  <c r="Q270" i="8"/>
  <c r="V270" i="8" s="1"/>
  <c r="AL270" i="8"/>
  <c r="AQ270" i="8" s="1"/>
  <c r="AA270" i="8"/>
  <c r="AF270" i="8" s="1"/>
  <c r="P270" i="8"/>
  <c r="U270" i="8" s="1"/>
  <c r="AO275" i="8"/>
  <c r="AT275" i="8" s="1"/>
  <c r="AD275" i="8"/>
  <c r="AI275" i="8" s="1"/>
  <c r="S275" i="8"/>
  <c r="X275" i="8" s="1"/>
  <c r="AN275" i="8"/>
  <c r="AS275" i="8" s="1"/>
  <c r="AC275" i="8"/>
  <c r="AH275" i="8" s="1"/>
  <c r="R275" i="8"/>
  <c r="W275" i="8" s="1"/>
  <c r="AM275" i="8"/>
  <c r="AR275" i="8" s="1"/>
  <c r="AB275" i="8"/>
  <c r="AG275" i="8" s="1"/>
  <c r="Q275" i="8"/>
  <c r="V275" i="8" s="1"/>
  <c r="AL275" i="8"/>
  <c r="AQ275" i="8" s="1"/>
  <c r="AA275" i="8"/>
  <c r="AF275" i="8" s="1"/>
  <c r="P275" i="8"/>
  <c r="U275" i="8" s="1"/>
  <c r="AN274" i="8"/>
  <c r="AS274" i="8" s="1"/>
  <c r="AC274" i="8"/>
  <c r="AH274" i="8" s="1"/>
  <c r="R274" i="8"/>
  <c r="W274" i="8" s="1"/>
  <c r="AM274" i="8"/>
  <c r="AR274" i="8" s="1"/>
  <c r="AB274" i="8"/>
  <c r="AG274" i="8" s="1"/>
  <c r="Q274" i="8"/>
  <c r="V274" i="8" s="1"/>
  <c r="AD274" i="8"/>
  <c r="AI274" i="8" s="1"/>
  <c r="AL274" i="8"/>
  <c r="AQ274" i="8" s="1"/>
  <c r="AA274" i="8"/>
  <c r="AF274" i="8" s="1"/>
  <c r="P274" i="8"/>
  <c r="U274" i="8" s="1"/>
  <c r="AO274" i="8"/>
  <c r="AT274" i="8" s="1"/>
  <c r="S274" i="8"/>
  <c r="X274" i="8" s="1"/>
  <c r="AL273" i="8"/>
  <c r="AQ273" i="8" s="1"/>
  <c r="P273" i="8"/>
  <c r="U273" i="8" s="1"/>
  <c r="AO273" i="8"/>
  <c r="AT273" i="8" s="1"/>
  <c r="AD273" i="8"/>
  <c r="AI273" i="8" s="1"/>
  <c r="S273" i="8"/>
  <c r="X273" i="8" s="1"/>
  <c r="AN273" i="8"/>
  <c r="AS273" i="8" s="1"/>
  <c r="AC273" i="8"/>
  <c r="AH273" i="8" s="1"/>
  <c r="R273" i="8"/>
  <c r="W273" i="8" s="1"/>
  <c r="AA273" i="8"/>
  <c r="AF273" i="8" s="1"/>
  <c r="AM273" i="8"/>
  <c r="AR273" i="8" s="1"/>
  <c r="AB273" i="8"/>
  <c r="AG273" i="8" s="1"/>
  <c r="Q273" i="8"/>
  <c r="V273" i="8" s="1"/>
  <c r="AO283" i="8"/>
  <c r="AT283" i="8" s="1"/>
  <c r="AD283" i="8"/>
  <c r="AI283" i="8" s="1"/>
  <c r="S283" i="8"/>
  <c r="X283" i="8" s="1"/>
  <c r="AN283" i="8"/>
  <c r="AS283" i="8" s="1"/>
  <c r="AC283" i="8"/>
  <c r="AH283" i="8" s="1"/>
  <c r="R283" i="8"/>
  <c r="W283" i="8" s="1"/>
  <c r="AM283" i="8"/>
  <c r="AR283" i="8" s="1"/>
  <c r="AB283" i="8"/>
  <c r="AG283" i="8" s="1"/>
  <c r="Q283" i="8"/>
  <c r="V283" i="8" s="1"/>
  <c r="AL283" i="8"/>
  <c r="AQ283" i="8" s="1"/>
  <c r="AA283" i="8"/>
  <c r="AF283" i="8" s="1"/>
  <c r="P283" i="8"/>
  <c r="U283" i="8" s="1"/>
  <c r="AN282" i="8"/>
  <c r="AS282" i="8" s="1"/>
  <c r="AC282" i="8"/>
  <c r="AH282" i="8" s="1"/>
  <c r="R282" i="8"/>
  <c r="W282" i="8" s="1"/>
  <c r="AM282" i="8"/>
  <c r="AR282" i="8" s="1"/>
  <c r="AB282" i="8"/>
  <c r="AG282" i="8" s="1"/>
  <c r="Q282" i="8"/>
  <c r="V282" i="8" s="1"/>
  <c r="AL282" i="8"/>
  <c r="AQ282" i="8" s="1"/>
  <c r="AA282" i="8"/>
  <c r="AF282" i="8" s="1"/>
  <c r="P282" i="8"/>
  <c r="U282" i="8" s="1"/>
  <c r="AO282" i="8"/>
  <c r="AT282" i="8" s="1"/>
  <c r="AD282" i="8"/>
  <c r="AI282" i="8" s="1"/>
  <c r="S282" i="8"/>
  <c r="X282" i="8" s="1"/>
  <c r="AA281" i="8"/>
  <c r="AF281" i="8" s="1"/>
  <c r="P281" i="8"/>
  <c r="U281" i="8" s="1"/>
  <c r="AO281" i="8"/>
  <c r="AT281" i="8" s="1"/>
  <c r="AD281" i="8"/>
  <c r="AI281" i="8" s="1"/>
  <c r="S281" i="8"/>
  <c r="X281" i="8" s="1"/>
  <c r="AL281" i="8"/>
  <c r="AQ281" i="8" s="1"/>
  <c r="AN281" i="8"/>
  <c r="AS281" i="8" s="1"/>
  <c r="AC281" i="8"/>
  <c r="AH281" i="8" s="1"/>
  <c r="R281" i="8"/>
  <c r="W281" i="8" s="1"/>
  <c r="AM281" i="8"/>
  <c r="AR281" i="8" s="1"/>
  <c r="AB281" i="8"/>
  <c r="AG281" i="8" s="1"/>
  <c r="Q281" i="8"/>
  <c r="V281" i="8" s="1"/>
  <c r="AO262" i="8"/>
  <c r="AT262" i="8" s="1"/>
  <c r="AD262" i="8"/>
  <c r="AI262" i="8" s="1"/>
  <c r="S262" i="8"/>
  <c r="X262" i="8" s="1"/>
  <c r="AN262" i="8"/>
  <c r="AS262" i="8" s="1"/>
  <c r="AC262" i="8"/>
  <c r="AH262" i="8" s="1"/>
  <c r="R262" i="8"/>
  <c r="W262" i="8" s="1"/>
  <c r="AM262" i="8"/>
  <c r="AR262" i="8" s="1"/>
  <c r="AB262" i="8"/>
  <c r="AG262" i="8" s="1"/>
  <c r="Q262" i="8"/>
  <c r="V262" i="8" s="1"/>
  <c r="AL262" i="8"/>
  <c r="AQ262" i="8" s="1"/>
  <c r="AA262" i="8"/>
  <c r="AF262" i="8" s="1"/>
  <c r="P262" i="8"/>
  <c r="U262" i="8" s="1"/>
  <c r="AN261" i="8"/>
  <c r="AS261" i="8" s="1"/>
  <c r="AC261" i="8"/>
  <c r="AH261" i="8" s="1"/>
  <c r="R261" i="8"/>
  <c r="W261" i="8" s="1"/>
  <c r="AM261" i="8"/>
  <c r="AR261" i="8" s="1"/>
  <c r="AB261" i="8"/>
  <c r="AG261" i="8" s="1"/>
  <c r="Q261" i="8"/>
  <c r="V261" i="8" s="1"/>
  <c r="AL261" i="8"/>
  <c r="AQ261" i="8" s="1"/>
  <c r="AA261" i="8"/>
  <c r="AF261" i="8" s="1"/>
  <c r="P261" i="8"/>
  <c r="U261" i="8" s="1"/>
  <c r="AO261" i="8"/>
  <c r="AT261" i="8" s="1"/>
  <c r="AD261" i="8"/>
  <c r="AI261" i="8" s="1"/>
  <c r="S261" i="8"/>
  <c r="X261" i="8" s="1"/>
  <c r="AO251" i="8"/>
  <c r="AT251" i="8" s="1"/>
  <c r="AD251" i="8"/>
  <c r="AI251" i="8" s="1"/>
  <c r="S251" i="8"/>
  <c r="X251" i="8" s="1"/>
  <c r="AN251" i="8"/>
  <c r="AS251" i="8" s="1"/>
  <c r="AC251" i="8"/>
  <c r="AH251" i="8" s="1"/>
  <c r="R251" i="8"/>
  <c r="W251" i="8" s="1"/>
  <c r="AM251" i="8"/>
  <c r="AR251" i="8" s="1"/>
  <c r="AB251" i="8"/>
  <c r="AG251" i="8" s="1"/>
  <c r="Q251" i="8"/>
  <c r="V251" i="8" s="1"/>
  <c r="AL251" i="8"/>
  <c r="AQ251" i="8" s="1"/>
  <c r="AA251" i="8"/>
  <c r="AF251" i="8" s="1"/>
  <c r="P251" i="8"/>
  <c r="U251" i="8" s="1"/>
  <c r="AM250" i="8"/>
  <c r="AR250" i="8" s="1"/>
  <c r="AB250" i="8"/>
  <c r="AG250" i="8" s="1"/>
  <c r="Q250" i="8"/>
  <c r="V250" i="8" s="1"/>
  <c r="AL250" i="8"/>
  <c r="AQ250" i="8" s="1"/>
  <c r="AA250" i="8"/>
  <c r="AF250" i="8" s="1"/>
  <c r="P250" i="8"/>
  <c r="U250" i="8" s="1"/>
  <c r="AO250" i="8"/>
  <c r="AT250" i="8" s="1"/>
  <c r="AD250" i="8"/>
  <c r="AI250" i="8" s="1"/>
  <c r="S250" i="8"/>
  <c r="X250" i="8" s="1"/>
  <c r="AN250" i="8"/>
  <c r="AS250" i="8" s="1"/>
  <c r="AC250" i="8"/>
  <c r="AH250" i="8" s="1"/>
  <c r="R250" i="8"/>
  <c r="W250" i="8" s="1"/>
  <c r="AO259" i="8"/>
  <c r="AT259" i="8" s="1"/>
  <c r="AD259" i="8"/>
  <c r="AI259" i="8" s="1"/>
  <c r="S259" i="8"/>
  <c r="X259" i="8" s="1"/>
  <c r="AN259" i="8"/>
  <c r="AS259" i="8" s="1"/>
  <c r="AC259" i="8"/>
  <c r="AH259" i="8" s="1"/>
  <c r="R259" i="8"/>
  <c r="W259" i="8" s="1"/>
  <c r="AM259" i="8"/>
  <c r="AR259" i="8" s="1"/>
  <c r="AB259" i="8"/>
  <c r="AG259" i="8" s="1"/>
  <c r="Q259" i="8"/>
  <c r="V259" i="8" s="1"/>
  <c r="AL259" i="8"/>
  <c r="AQ259" i="8" s="1"/>
  <c r="AA259" i="8"/>
  <c r="AF259" i="8" s="1"/>
  <c r="P259" i="8"/>
  <c r="U259" i="8" s="1"/>
  <c r="AM258" i="8"/>
  <c r="AR258" i="8" s="1"/>
  <c r="AB258" i="8"/>
  <c r="AG258" i="8" s="1"/>
  <c r="Q258" i="8"/>
  <c r="V258" i="8" s="1"/>
  <c r="AL258" i="8"/>
  <c r="AQ258" i="8" s="1"/>
  <c r="AA258" i="8"/>
  <c r="AF258" i="8" s="1"/>
  <c r="P258" i="8"/>
  <c r="U258" i="8" s="1"/>
  <c r="AN258" i="8"/>
  <c r="AS258" i="8" s="1"/>
  <c r="AC258" i="8"/>
  <c r="AH258" i="8" s="1"/>
  <c r="R258" i="8"/>
  <c r="W258" i="8" s="1"/>
  <c r="AO258" i="8"/>
  <c r="AT258" i="8" s="1"/>
  <c r="AD258" i="8"/>
  <c r="AI258" i="8" s="1"/>
  <c r="S258" i="8"/>
  <c r="X258" i="8" s="1"/>
  <c r="AO257" i="8"/>
  <c r="AT257" i="8" s="1"/>
  <c r="AD257" i="8"/>
  <c r="AI257" i="8" s="1"/>
  <c r="S257" i="8"/>
  <c r="X257" i="8" s="1"/>
  <c r="AN257" i="8"/>
  <c r="AS257" i="8" s="1"/>
  <c r="AC257" i="8"/>
  <c r="AH257" i="8" s="1"/>
  <c r="R257" i="8"/>
  <c r="W257" i="8" s="1"/>
  <c r="AM257" i="8"/>
  <c r="AR257" i="8" s="1"/>
  <c r="AB257" i="8"/>
  <c r="AG257" i="8" s="1"/>
  <c r="Q257" i="8"/>
  <c r="V257" i="8" s="1"/>
  <c r="AL257" i="8"/>
  <c r="AQ257" i="8" s="1"/>
  <c r="AA257" i="8"/>
  <c r="AF257" i="8" s="1"/>
  <c r="P257" i="8"/>
  <c r="U257" i="8" s="1"/>
  <c r="AL247" i="8"/>
  <c r="AQ247" i="8" s="1"/>
  <c r="AA247" i="8"/>
  <c r="AF247" i="8" s="1"/>
  <c r="P247" i="8"/>
  <c r="U247" i="8" s="1"/>
  <c r="AO247" i="8"/>
  <c r="AT247" i="8" s="1"/>
  <c r="AD247" i="8"/>
  <c r="AI247" i="8" s="1"/>
  <c r="S247" i="8"/>
  <c r="X247" i="8" s="1"/>
  <c r="AN247" i="8"/>
  <c r="AS247" i="8" s="1"/>
  <c r="AC247" i="8"/>
  <c r="AH247" i="8" s="1"/>
  <c r="R247" i="8"/>
  <c r="W247" i="8" s="1"/>
  <c r="AM247" i="8"/>
  <c r="AR247" i="8" s="1"/>
  <c r="AB247" i="8"/>
  <c r="AG247" i="8" s="1"/>
  <c r="Q247" i="8"/>
  <c r="V247" i="8" s="1"/>
  <c r="AO248" i="8"/>
  <c r="AT248" i="8" s="1"/>
  <c r="AD248" i="8"/>
  <c r="AI248" i="8" s="1"/>
  <c r="S248" i="8"/>
  <c r="X248" i="8" s="1"/>
  <c r="AN248" i="8"/>
  <c r="AS248" i="8" s="1"/>
  <c r="AC248" i="8"/>
  <c r="AH248" i="8" s="1"/>
  <c r="R248" i="8"/>
  <c r="W248" i="8" s="1"/>
  <c r="AM248" i="8"/>
  <c r="AR248" i="8" s="1"/>
  <c r="AB248" i="8"/>
  <c r="AG248" i="8" s="1"/>
  <c r="Q248" i="8"/>
  <c r="V248" i="8" s="1"/>
  <c r="AL248" i="8"/>
  <c r="AQ248" i="8" s="1"/>
  <c r="AA248" i="8"/>
  <c r="AF248" i="8" s="1"/>
  <c r="P248" i="8"/>
  <c r="U248" i="8" s="1"/>
  <c r="AL255" i="8"/>
  <c r="AQ255" i="8" s="1"/>
  <c r="AA255" i="8"/>
  <c r="AF255" i="8" s="1"/>
  <c r="P255" i="8"/>
  <c r="U255" i="8" s="1"/>
  <c r="AO255" i="8"/>
  <c r="AT255" i="8" s="1"/>
  <c r="AD255" i="8"/>
  <c r="AI255" i="8" s="1"/>
  <c r="S255" i="8"/>
  <c r="X255" i="8" s="1"/>
  <c r="AM255" i="8"/>
  <c r="AR255" i="8" s="1"/>
  <c r="AB255" i="8"/>
  <c r="AG255" i="8" s="1"/>
  <c r="Q255" i="8"/>
  <c r="V255" i="8" s="1"/>
  <c r="AN255" i="8"/>
  <c r="AS255" i="8" s="1"/>
  <c r="AC255" i="8"/>
  <c r="AH255" i="8" s="1"/>
  <c r="R255" i="8"/>
  <c r="W255" i="8" s="1"/>
  <c r="AO249" i="8"/>
  <c r="AT249" i="8" s="1"/>
  <c r="AD249" i="8"/>
  <c r="AI249" i="8" s="1"/>
  <c r="S249" i="8"/>
  <c r="X249" i="8" s="1"/>
  <c r="AN249" i="8"/>
  <c r="AS249" i="8" s="1"/>
  <c r="AC249" i="8"/>
  <c r="AH249" i="8" s="1"/>
  <c r="R249" i="8"/>
  <c r="W249" i="8" s="1"/>
  <c r="AM249" i="8"/>
  <c r="AR249" i="8" s="1"/>
  <c r="AB249" i="8"/>
  <c r="AG249" i="8" s="1"/>
  <c r="Q249" i="8"/>
  <c r="V249" i="8" s="1"/>
  <c r="AL249" i="8"/>
  <c r="AQ249" i="8" s="1"/>
  <c r="AA249" i="8"/>
  <c r="AF249" i="8" s="1"/>
  <c r="P249" i="8"/>
  <c r="U249" i="8" s="1"/>
  <c r="AO256" i="8"/>
  <c r="AT256" i="8" s="1"/>
  <c r="AD256" i="8"/>
  <c r="AI256" i="8" s="1"/>
  <c r="S256" i="8"/>
  <c r="X256" i="8" s="1"/>
  <c r="AN256" i="8"/>
  <c r="AS256" i="8" s="1"/>
  <c r="AC256" i="8"/>
  <c r="AH256" i="8" s="1"/>
  <c r="R256" i="8"/>
  <c r="W256" i="8" s="1"/>
  <c r="AM256" i="8"/>
  <c r="AR256" i="8" s="1"/>
  <c r="AB256" i="8"/>
  <c r="AG256" i="8" s="1"/>
  <c r="Q256" i="8"/>
  <c r="V256" i="8" s="1"/>
  <c r="AL256" i="8"/>
  <c r="AQ256" i="8" s="1"/>
  <c r="AA256" i="8"/>
  <c r="AF256" i="8" s="1"/>
  <c r="P256" i="8"/>
  <c r="U256" i="8" s="1"/>
  <c r="AL263" i="8"/>
  <c r="AQ263" i="8" s="1"/>
  <c r="AA263" i="8"/>
  <c r="AF263" i="8" s="1"/>
  <c r="P263" i="8"/>
  <c r="U263" i="8" s="1"/>
  <c r="AB263" i="8"/>
  <c r="AG263" i="8" s="1"/>
  <c r="AO263" i="8"/>
  <c r="AT263" i="8" s="1"/>
  <c r="AD263" i="8"/>
  <c r="AI263" i="8" s="1"/>
  <c r="S263" i="8"/>
  <c r="X263" i="8" s="1"/>
  <c r="AM263" i="8"/>
  <c r="AR263" i="8" s="1"/>
  <c r="AN263" i="8"/>
  <c r="AS263" i="8" s="1"/>
  <c r="AC263" i="8"/>
  <c r="AH263" i="8" s="1"/>
  <c r="R263" i="8"/>
  <c r="W263" i="8" s="1"/>
  <c r="Q263" i="8"/>
  <c r="V263" i="8" s="1"/>
  <c r="AO246" i="8"/>
  <c r="AT246" i="8" s="1"/>
  <c r="AD246" i="8"/>
  <c r="AI246" i="8" s="1"/>
  <c r="S246" i="8"/>
  <c r="X246" i="8" s="1"/>
  <c r="AN246" i="8"/>
  <c r="AS246" i="8" s="1"/>
  <c r="AC246" i="8"/>
  <c r="AH246" i="8" s="1"/>
  <c r="R246" i="8"/>
  <c r="W246" i="8" s="1"/>
  <c r="AM246" i="8"/>
  <c r="AR246" i="8" s="1"/>
  <c r="AB246" i="8"/>
  <c r="AG246" i="8" s="1"/>
  <c r="Q246" i="8"/>
  <c r="V246" i="8" s="1"/>
  <c r="AL246" i="8"/>
  <c r="AQ246" i="8" s="1"/>
  <c r="AA246" i="8"/>
  <c r="AF246" i="8" s="1"/>
  <c r="P246" i="8"/>
  <c r="U246" i="8" s="1"/>
  <c r="AN245" i="8"/>
  <c r="AS245" i="8" s="1"/>
  <c r="AC245" i="8"/>
  <c r="AH245" i="8" s="1"/>
  <c r="R245" i="8"/>
  <c r="W245" i="8" s="1"/>
  <c r="AM245" i="8"/>
  <c r="AR245" i="8" s="1"/>
  <c r="AB245" i="8"/>
  <c r="AG245" i="8" s="1"/>
  <c r="Q245" i="8"/>
  <c r="V245" i="8" s="1"/>
  <c r="AL245" i="8"/>
  <c r="AQ245" i="8" s="1"/>
  <c r="AA245" i="8"/>
  <c r="AF245" i="8" s="1"/>
  <c r="P245" i="8"/>
  <c r="U245" i="8" s="1"/>
  <c r="AD245" i="8"/>
  <c r="AI245" i="8" s="1"/>
  <c r="S245" i="8"/>
  <c r="X245" i="8" s="1"/>
  <c r="AO245" i="8"/>
  <c r="AT245" i="8" s="1"/>
  <c r="AO252" i="8"/>
  <c r="AT252" i="8" s="1"/>
  <c r="AD252" i="8"/>
  <c r="AI252" i="8" s="1"/>
  <c r="S252" i="8"/>
  <c r="X252" i="8" s="1"/>
  <c r="AN252" i="8"/>
  <c r="AS252" i="8" s="1"/>
  <c r="AC252" i="8"/>
  <c r="AH252" i="8" s="1"/>
  <c r="R252" i="8"/>
  <c r="W252" i="8" s="1"/>
  <c r="AM252" i="8"/>
  <c r="AR252" i="8" s="1"/>
  <c r="AB252" i="8"/>
  <c r="AG252" i="8" s="1"/>
  <c r="Q252" i="8"/>
  <c r="V252" i="8" s="1"/>
  <c r="AL252" i="8"/>
  <c r="AQ252" i="8" s="1"/>
  <c r="AA252" i="8"/>
  <c r="AF252" i="8" s="1"/>
  <c r="P252" i="8"/>
  <c r="U252" i="8" s="1"/>
  <c r="AO254" i="8"/>
  <c r="AT254" i="8" s="1"/>
  <c r="AD254" i="8"/>
  <c r="AI254" i="8" s="1"/>
  <c r="S254" i="8"/>
  <c r="X254" i="8" s="1"/>
  <c r="AN254" i="8"/>
  <c r="AS254" i="8" s="1"/>
  <c r="AC254" i="8"/>
  <c r="AH254" i="8" s="1"/>
  <c r="R254" i="8"/>
  <c r="W254" i="8" s="1"/>
  <c r="AM254" i="8"/>
  <c r="AR254" i="8" s="1"/>
  <c r="AB254" i="8"/>
  <c r="AG254" i="8" s="1"/>
  <c r="Q254" i="8"/>
  <c r="V254" i="8" s="1"/>
  <c r="AL254" i="8"/>
  <c r="AQ254" i="8" s="1"/>
  <c r="AA254" i="8"/>
  <c r="AF254" i="8" s="1"/>
  <c r="P254" i="8"/>
  <c r="U254" i="8" s="1"/>
  <c r="AN253" i="8"/>
  <c r="AS253" i="8" s="1"/>
  <c r="AC253" i="8"/>
  <c r="AH253" i="8" s="1"/>
  <c r="R253" i="8"/>
  <c r="W253" i="8" s="1"/>
  <c r="AM253" i="8"/>
  <c r="AR253" i="8" s="1"/>
  <c r="AB253" i="8"/>
  <c r="AG253" i="8" s="1"/>
  <c r="Q253" i="8"/>
  <c r="V253" i="8" s="1"/>
  <c r="AL253" i="8"/>
  <c r="AQ253" i="8" s="1"/>
  <c r="AA253" i="8"/>
  <c r="AF253" i="8" s="1"/>
  <c r="P253" i="8"/>
  <c r="U253" i="8" s="1"/>
  <c r="AO253" i="8"/>
  <c r="AT253" i="8" s="1"/>
  <c r="AD253" i="8"/>
  <c r="AI253" i="8" s="1"/>
  <c r="S253" i="8"/>
  <c r="X253" i="8" s="1"/>
  <c r="AO260" i="8"/>
  <c r="AT260" i="8" s="1"/>
  <c r="AD260" i="8"/>
  <c r="AI260" i="8" s="1"/>
  <c r="S260" i="8"/>
  <c r="X260" i="8" s="1"/>
  <c r="AN260" i="8"/>
  <c r="AS260" i="8" s="1"/>
  <c r="AC260" i="8"/>
  <c r="AH260" i="8" s="1"/>
  <c r="R260" i="8"/>
  <c r="W260" i="8" s="1"/>
  <c r="AL260" i="8"/>
  <c r="AQ260" i="8" s="1"/>
  <c r="AA260" i="8"/>
  <c r="AF260" i="8" s="1"/>
  <c r="P260" i="8"/>
  <c r="U260" i="8" s="1"/>
  <c r="AM260" i="8"/>
  <c r="AR260" i="8" s="1"/>
  <c r="AB260" i="8"/>
  <c r="AG260" i="8" s="1"/>
  <c r="Q260" i="8"/>
  <c r="V260" i="8" s="1"/>
  <c r="AN240" i="8"/>
  <c r="AS240" i="8" s="1"/>
  <c r="AC240" i="8"/>
  <c r="AH240" i="8" s="1"/>
  <c r="R240" i="8"/>
  <c r="W240" i="8" s="1"/>
  <c r="AM240" i="8"/>
  <c r="AR240" i="8" s="1"/>
  <c r="AB240" i="8"/>
  <c r="AG240" i="8" s="1"/>
  <c r="Q240" i="8"/>
  <c r="V240" i="8" s="1"/>
  <c r="AL240" i="8"/>
  <c r="AQ240" i="8" s="1"/>
  <c r="AA240" i="8"/>
  <c r="AF240" i="8" s="1"/>
  <c r="P240" i="8"/>
  <c r="U240" i="8" s="1"/>
  <c r="AO240" i="8"/>
  <c r="AT240" i="8" s="1"/>
  <c r="AD240" i="8"/>
  <c r="AI240" i="8" s="1"/>
  <c r="S240" i="8"/>
  <c r="X240" i="8" s="1"/>
  <c r="AO233" i="8"/>
  <c r="AT233" i="8" s="1"/>
  <c r="AD233" i="8"/>
  <c r="AI233" i="8" s="1"/>
  <c r="S233" i="8"/>
  <c r="X233" i="8" s="1"/>
  <c r="AN233" i="8"/>
  <c r="AS233" i="8" s="1"/>
  <c r="AC233" i="8"/>
  <c r="AH233" i="8" s="1"/>
  <c r="R233" i="8"/>
  <c r="W233" i="8" s="1"/>
  <c r="AM233" i="8"/>
  <c r="AR233" i="8" s="1"/>
  <c r="AB233" i="8"/>
  <c r="AG233" i="8" s="1"/>
  <c r="Q233" i="8"/>
  <c r="V233" i="8" s="1"/>
  <c r="AL233" i="8"/>
  <c r="AQ233" i="8" s="1"/>
  <c r="AA233" i="8"/>
  <c r="AF233" i="8" s="1"/>
  <c r="P233" i="8"/>
  <c r="U233" i="8" s="1"/>
  <c r="AM229" i="8"/>
  <c r="AR229" i="8" s="1"/>
  <c r="AB229" i="8"/>
  <c r="AG229" i="8" s="1"/>
  <c r="Q229" i="8"/>
  <c r="V229" i="8" s="1"/>
  <c r="AL229" i="8"/>
  <c r="AQ229" i="8" s="1"/>
  <c r="AA229" i="8"/>
  <c r="AF229" i="8" s="1"/>
  <c r="P229" i="8"/>
  <c r="U229" i="8" s="1"/>
  <c r="AC229" i="8"/>
  <c r="AH229" i="8" s="1"/>
  <c r="AO229" i="8"/>
  <c r="AT229" i="8" s="1"/>
  <c r="AN229" i="8"/>
  <c r="AS229" i="8" s="1"/>
  <c r="AD229" i="8"/>
  <c r="AI229" i="8" s="1"/>
  <c r="S229" i="8"/>
  <c r="X229" i="8" s="1"/>
  <c r="R229" i="8"/>
  <c r="W229" i="8" s="1"/>
  <c r="AO228" i="8"/>
  <c r="AT228" i="8" s="1"/>
  <c r="AD228" i="8"/>
  <c r="AI228" i="8" s="1"/>
  <c r="S228" i="8"/>
  <c r="X228" i="8" s="1"/>
  <c r="AN228" i="8"/>
  <c r="AS228" i="8" s="1"/>
  <c r="AC228" i="8"/>
  <c r="AH228" i="8" s="1"/>
  <c r="R228" i="8"/>
  <c r="W228" i="8" s="1"/>
  <c r="AM228" i="8"/>
  <c r="AR228" i="8" s="1"/>
  <c r="AB228" i="8"/>
  <c r="AG228" i="8" s="1"/>
  <c r="Q228" i="8"/>
  <c r="V228" i="8" s="1"/>
  <c r="AL228" i="8"/>
  <c r="AQ228" i="8" s="1"/>
  <c r="AA228" i="8"/>
  <c r="AF228" i="8" s="1"/>
  <c r="P228" i="8"/>
  <c r="U228" i="8" s="1"/>
  <c r="AO230" i="8"/>
  <c r="AT230" i="8" s="1"/>
  <c r="AD230" i="8"/>
  <c r="AI230" i="8" s="1"/>
  <c r="S230" i="8"/>
  <c r="X230" i="8" s="1"/>
  <c r="AN230" i="8"/>
  <c r="AS230" i="8" s="1"/>
  <c r="AC230" i="8"/>
  <c r="AH230" i="8" s="1"/>
  <c r="R230" i="8"/>
  <c r="W230" i="8" s="1"/>
  <c r="AM230" i="8"/>
  <c r="AR230" i="8" s="1"/>
  <c r="AB230" i="8"/>
  <c r="AG230" i="8" s="1"/>
  <c r="Q230" i="8"/>
  <c r="V230" i="8" s="1"/>
  <c r="AL230" i="8"/>
  <c r="AQ230" i="8" s="1"/>
  <c r="AA230" i="8"/>
  <c r="AF230" i="8" s="1"/>
  <c r="P230" i="8"/>
  <c r="U230" i="8" s="1"/>
  <c r="AM237" i="8"/>
  <c r="AR237" i="8" s="1"/>
  <c r="AB237" i="8"/>
  <c r="AG237" i="8" s="1"/>
  <c r="Q237" i="8"/>
  <c r="V237" i="8" s="1"/>
  <c r="AL237" i="8"/>
  <c r="AQ237" i="8" s="1"/>
  <c r="AA237" i="8"/>
  <c r="AF237" i="8" s="1"/>
  <c r="P237" i="8"/>
  <c r="U237" i="8" s="1"/>
  <c r="R237" i="8"/>
  <c r="W237" i="8" s="1"/>
  <c r="AO237" i="8"/>
  <c r="AT237" i="8" s="1"/>
  <c r="AD237" i="8"/>
  <c r="AI237" i="8" s="1"/>
  <c r="AN237" i="8"/>
  <c r="AS237" i="8" s="1"/>
  <c r="AC237" i="8"/>
  <c r="AH237" i="8" s="1"/>
  <c r="S237" i="8"/>
  <c r="X237" i="8" s="1"/>
  <c r="AO238" i="8"/>
  <c r="AT238" i="8" s="1"/>
  <c r="AD238" i="8"/>
  <c r="AI238" i="8" s="1"/>
  <c r="S238" i="8"/>
  <c r="X238" i="8" s="1"/>
  <c r="AN238" i="8"/>
  <c r="AS238" i="8" s="1"/>
  <c r="AC238" i="8"/>
  <c r="AH238" i="8" s="1"/>
  <c r="R238" i="8"/>
  <c r="W238" i="8" s="1"/>
  <c r="AM238" i="8"/>
  <c r="AR238" i="8" s="1"/>
  <c r="AB238" i="8"/>
  <c r="AG238" i="8" s="1"/>
  <c r="Q238" i="8"/>
  <c r="V238" i="8" s="1"/>
  <c r="AL238" i="8"/>
  <c r="AQ238" i="8" s="1"/>
  <c r="AA238" i="8"/>
  <c r="AF238" i="8" s="1"/>
  <c r="P238" i="8"/>
  <c r="U238" i="8" s="1"/>
  <c r="AL226" i="8"/>
  <c r="AQ226" i="8" s="1"/>
  <c r="AA226" i="8"/>
  <c r="AF226" i="8" s="1"/>
  <c r="P226" i="8"/>
  <c r="U226" i="8" s="1"/>
  <c r="AO226" i="8"/>
  <c r="AT226" i="8" s="1"/>
  <c r="AD226" i="8"/>
  <c r="AI226" i="8" s="1"/>
  <c r="S226" i="8"/>
  <c r="X226" i="8" s="1"/>
  <c r="AC226" i="8"/>
  <c r="AH226" i="8" s="1"/>
  <c r="AB226" i="8"/>
  <c r="AG226" i="8" s="1"/>
  <c r="R226" i="8"/>
  <c r="W226" i="8" s="1"/>
  <c r="Q226" i="8"/>
  <c r="V226" i="8" s="1"/>
  <c r="AN226" i="8"/>
  <c r="AS226" i="8" s="1"/>
  <c r="AM226" i="8"/>
  <c r="AR226" i="8" s="1"/>
  <c r="AO227" i="8"/>
  <c r="AT227" i="8" s="1"/>
  <c r="AD227" i="8"/>
  <c r="AI227" i="8" s="1"/>
  <c r="S227" i="8"/>
  <c r="X227" i="8" s="1"/>
  <c r="AN227" i="8"/>
  <c r="AS227" i="8" s="1"/>
  <c r="AC227" i="8"/>
  <c r="AH227" i="8" s="1"/>
  <c r="R227" i="8"/>
  <c r="W227" i="8" s="1"/>
  <c r="AM227" i="8"/>
  <c r="AR227" i="8" s="1"/>
  <c r="AB227" i="8"/>
  <c r="AG227" i="8" s="1"/>
  <c r="Q227" i="8"/>
  <c r="V227" i="8" s="1"/>
  <c r="AL227" i="8"/>
  <c r="AQ227" i="8" s="1"/>
  <c r="AA227" i="8"/>
  <c r="AF227" i="8" s="1"/>
  <c r="P227" i="8"/>
  <c r="U227" i="8" s="1"/>
  <c r="AL234" i="8"/>
  <c r="AQ234" i="8" s="1"/>
  <c r="AA234" i="8"/>
  <c r="AF234" i="8" s="1"/>
  <c r="P234" i="8"/>
  <c r="U234" i="8" s="1"/>
  <c r="AO234" i="8"/>
  <c r="AT234" i="8" s="1"/>
  <c r="AD234" i="8"/>
  <c r="AI234" i="8" s="1"/>
  <c r="S234" i="8"/>
  <c r="X234" i="8" s="1"/>
  <c r="AM234" i="8"/>
  <c r="AR234" i="8" s="1"/>
  <c r="AC234" i="8"/>
  <c r="AH234" i="8" s="1"/>
  <c r="AB234" i="8"/>
  <c r="AG234" i="8" s="1"/>
  <c r="R234" i="8"/>
  <c r="W234" i="8" s="1"/>
  <c r="Q234" i="8"/>
  <c r="V234" i="8" s="1"/>
  <c r="AN234" i="8"/>
  <c r="AS234" i="8" s="1"/>
  <c r="AO225" i="8"/>
  <c r="AT225" i="8" s="1"/>
  <c r="AD225" i="8"/>
  <c r="AI225" i="8" s="1"/>
  <c r="S225" i="8"/>
  <c r="X225" i="8" s="1"/>
  <c r="AN225" i="8"/>
  <c r="AS225" i="8" s="1"/>
  <c r="AC225" i="8"/>
  <c r="AH225" i="8" s="1"/>
  <c r="R225" i="8"/>
  <c r="W225" i="8" s="1"/>
  <c r="AM225" i="8"/>
  <c r="AR225" i="8" s="1"/>
  <c r="AB225" i="8"/>
  <c r="AG225" i="8" s="1"/>
  <c r="Q225" i="8"/>
  <c r="V225" i="8" s="1"/>
  <c r="AL225" i="8"/>
  <c r="AQ225" i="8" s="1"/>
  <c r="AA225" i="8"/>
  <c r="AF225" i="8" s="1"/>
  <c r="P225" i="8"/>
  <c r="U225" i="8" s="1"/>
  <c r="AO235" i="8"/>
  <c r="AT235" i="8" s="1"/>
  <c r="AD235" i="8"/>
  <c r="AI235" i="8" s="1"/>
  <c r="S235" i="8"/>
  <c r="X235" i="8" s="1"/>
  <c r="AN235" i="8"/>
  <c r="AS235" i="8" s="1"/>
  <c r="AC235" i="8"/>
  <c r="AH235" i="8" s="1"/>
  <c r="R235" i="8"/>
  <c r="W235" i="8" s="1"/>
  <c r="AM235" i="8"/>
  <c r="AR235" i="8" s="1"/>
  <c r="AB235" i="8"/>
  <c r="AG235" i="8" s="1"/>
  <c r="Q235" i="8"/>
  <c r="V235" i="8" s="1"/>
  <c r="AL235" i="8"/>
  <c r="AQ235" i="8" s="1"/>
  <c r="AA235" i="8"/>
  <c r="AF235" i="8" s="1"/>
  <c r="P235" i="8"/>
  <c r="U235" i="8" s="1"/>
  <c r="AL242" i="8"/>
  <c r="AQ242" i="8" s="1"/>
  <c r="AA242" i="8"/>
  <c r="AF242" i="8" s="1"/>
  <c r="P242" i="8"/>
  <c r="U242" i="8" s="1"/>
  <c r="AO242" i="8"/>
  <c r="AT242" i="8" s="1"/>
  <c r="AD242" i="8"/>
  <c r="AI242" i="8" s="1"/>
  <c r="S242" i="8"/>
  <c r="X242" i="8" s="1"/>
  <c r="AB242" i="8"/>
  <c r="AG242" i="8" s="1"/>
  <c r="R242" i="8"/>
  <c r="W242" i="8" s="1"/>
  <c r="AN242" i="8"/>
  <c r="AS242" i="8" s="1"/>
  <c r="Q242" i="8"/>
  <c r="V242" i="8" s="1"/>
  <c r="AM242" i="8"/>
  <c r="AR242" i="8" s="1"/>
  <c r="AC242" i="8"/>
  <c r="AH242" i="8" s="1"/>
  <c r="AO241" i="8"/>
  <c r="AT241" i="8" s="1"/>
  <c r="AD241" i="8"/>
  <c r="AI241" i="8" s="1"/>
  <c r="S241" i="8"/>
  <c r="X241" i="8" s="1"/>
  <c r="AN241" i="8"/>
  <c r="AS241" i="8" s="1"/>
  <c r="AC241" i="8"/>
  <c r="AH241" i="8" s="1"/>
  <c r="R241" i="8"/>
  <c r="W241" i="8" s="1"/>
  <c r="AM241" i="8"/>
  <c r="AR241" i="8" s="1"/>
  <c r="AB241" i="8"/>
  <c r="AG241" i="8" s="1"/>
  <c r="Q241" i="8"/>
  <c r="V241" i="8" s="1"/>
  <c r="AL241" i="8"/>
  <c r="AQ241" i="8" s="1"/>
  <c r="AA241" i="8"/>
  <c r="AF241" i="8" s="1"/>
  <c r="P241" i="8"/>
  <c r="U241" i="8" s="1"/>
  <c r="AN224" i="8"/>
  <c r="AS224" i="8" s="1"/>
  <c r="AC224" i="8"/>
  <c r="AH224" i="8" s="1"/>
  <c r="R224" i="8"/>
  <c r="W224" i="8" s="1"/>
  <c r="AM224" i="8"/>
  <c r="AR224" i="8" s="1"/>
  <c r="AB224" i="8"/>
  <c r="AG224" i="8" s="1"/>
  <c r="Q224" i="8"/>
  <c r="V224" i="8" s="1"/>
  <c r="AL224" i="8"/>
  <c r="AQ224" i="8" s="1"/>
  <c r="AA224" i="8"/>
  <c r="AF224" i="8" s="1"/>
  <c r="P224" i="8"/>
  <c r="U224" i="8" s="1"/>
  <c r="AD224" i="8"/>
  <c r="AI224" i="8" s="1"/>
  <c r="S224" i="8"/>
  <c r="X224" i="8" s="1"/>
  <c r="AO224" i="8"/>
  <c r="AT224" i="8" s="1"/>
  <c r="AO231" i="8"/>
  <c r="AT231" i="8" s="1"/>
  <c r="AD231" i="8"/>
  <c r="AI231" i="8" s="1"/>
  <c r="S231" i="8"/>
  <c r="X231" i="8" s="1"/>
  <c r="AN231" i="8"/>
  <c r="AS231" i="8" s="1"/>
  <c r="AC231" i="8"/>
  <c r="AH231" i="8" s="1"/>
  <c r="R231" i="8"/>
  <c r="W231" i="8" s="1"/>
  <c r="AA231" i="8"/>
  <c r="AF231" i="8" s="1"/>
  <c r="AM231" i="8"/>
  <c r="AR231" i="8" s="1"/>
  <c r="Q231" i="8"/>
  <c r="V231" i="8" s="1"/>
  <c r="P231" i="8"/>
  <c r="U231" i="8" s="1"/>
  <c r="AL231" i="8"/>
  <c r="AQ231" i="8" s="1"/>
  <c r="AB231" i="8"/>
  <c r="AG231" i="8" s="1"/>
  <c r="AO236" i="8"/>
  <c r="AT236" i="8" s="1"/>
  <c r="AD236" i="8"/>
  <c r="AI236" i="8" s="1"/>
  <c r="S236" i="8"/>
  <c r="X236" i="8" s="1"/>
  <c r="AN236" i="8"/>
  <c r="AS236" i="8" s="1"/>
  <c r="AC236" i="8"/>
  <c r="AH236" i="8" s="1"/>
  <c r="R236" i="8"/>
  <c r="W236" i="8" s="1"/>
  <c r="AM236" i="8"/>
  <c r="AR236" i="8" s="1"/>
  <c r="AB236" i="8"/>
  <c r="AG236" i="8" s="1"/>
  <c r="Q236" i="8"/>
  <c r="V236" i="8" s="1"/>
  <c r="AL236" i="8"/>
  <c r="AQ236" i="8" s="1"/>
  <c r="AA236" i="8"/>
  <c r="AF236" i="8" s="1"/>
  <c r="P236" i="8"/>
  <c r="U236" i="8" s="1"/>
  <c r="AN232" i="8"/>
  <c r="AS232" i="8" s="1"/>
  <c r="AC232" i="8"/>
  <c r="AH232" i="8" s="1"/>
  <c r="R232" i="8"/>
  <c r="W232" i="8" s="1"/>
  <c r="AM232" i="8"/>
  <c r="AR232" i="8" s="1"/>
  <c r="AB232" i="8"/>
  <c r="AG232" i="8" s="1"/>
  <c r="Q232" i="8"/>
  <c r="V232" i="8" s="1"/>
  <c r="AL232" i="8"/>
  <c r="AQ232" i="8" s="1"/>
  <c r="AA232" i="8"/>
  <c r="AF232" i="8" s="1"/>
  <c r="P232" i="8"/>
  <c r="U232" i="8" s="1"/>
  <c r="AD232" i="8"/>
  <c r="AI232" i="8" s="1"/>
  <c r="S232" i="8"/>
  <c r="X232" i="8" s="1"/>
  <c r="AO232" i="8"/>
  <c r="AT232" i="8" s="1"/>
  <c r="AO239" i="8"/>
  <c r="AT239" i="8" s="1"/>
  <c r="AD239" i="8"/>
  <c r="AI239" i="8" s="1"/>
  <c r="S239" i="8"/>
  <c r="X239" i="8" s="1"/>
  <c r="AN239" i="8"/>
  <c r="AS239" i="8" s="1"/>
  <c r="AC239" i="8"/>
  <c r="AH239" i="8" s="1"/>
  <c r="R239" i="8"/>
  <c r="W239" i="8" s="1"/>
  <c r="AM239" i="8"/>
  <c r="AR239" i="8" s="1"/>
  <c r="AB239" i="8"/>
  <c r="AG239" i="8" s="1"/>
  <c r="Q239" i="8"/>
  <c r="V239" i="8" s="1"/>
  <c r="AA239" i="8"/>
  <c r="AF239" i="8" s="1"/>
  <c r="AL239" i="8"/>
  <c r="AQ239" i="8" s="1"/>
  <c r="P239" i="8"/>
  <c r="U239" i="8" s="1"/>
  <c r="AO212" i="8"/>
  <c r="AT212" i="8" s="1"/>
  <c r="AD212" i="8"/>
  <c r="AI212" i="8" s="1"/>
  <c r="S212" i="8"/>
  <c r="X212" i="8" s="1"/>
  <c r="AN212" i="8"/>
  <c r="AS212" i="8" s="1"/>
  <c r="AC212" i="8"/>
  <c r="AH212" i="8" s="1"/>
  <c r="R212" i="8"/>
  <c r="W212" i="8" s="1"/>
  <c r="AM212" i="8"/>
  <c r="AR212" i="8" s="1"/>
  <c r="AB212" i="8"/>
  <c r="AG212" i="8" s="1"/>
  <c r="Q212" i="8"/>
  <c r="V212" i="8" s="1"/>
  <c r="AL212" i="8"/>
  <c r="AQ212" i="8" s="1"/>
  <c r="AA212" i="8"/>
  <c r="AF212" i="8" s="1"/>
  <c r="P212" i="8"/>
  <c r="U212" i="8" s="1"/>
  <c r="AN219" i="8"/>
  <c r="AS219" i="8" s="1"/>
  <c r="AC219" i="8"/>
  <c r="AH219" i="8" s="1"/>
  <c r="R219" i="8"/>
  <c r="W219" i="8" s="1"/>
  <c r="AM219" i="8"/>
  <c r="AR219" i="8" s="1"/>
  <c r="AB219" i="8"/>
  <c r="AG219" i="8" s="1"/>
  <c r="Q219" i="8"/>
  <c r="V219" i="8" s="1"/>
  <c r="AL219" i="8"/>
  <c r="AQ219" i="8" s="1"/>
  <c r="AA219" i="8"/>
  <c r="AF219" i="8" s="1"/>
  <c r="P219" i="8"/>
  <c r="U219" i="8" s="1"/>
  <c r="AO219" i="8"/>
  <c r="AT219" i="8" s="1"/>
  <c r="AD219" i="8"/>
  <c r="AI219" i="8" s="1"/>
  <c r="S219" i="8"/>
  <c r="X219" i="8" s="1"/>
  <c r="AO220" i="8"/>
  <c r="AT220" i="8" s="1"/>
  <c r="AD220" i="8"/>
  <c r="AI220" i="8" s="1"/>
  <c r="S220" i="8"/>
  <c r="X220" i="8" s="1"/>
  <c r="AN220" i="8"/>
  <c r="AS220" i="8" s="1"/>
  <c r="AC220" i="8"/>
  <c r="AH220" i="8" s="1"/>
  <c r="R220" i="8"/>
  <c r="W220" i="8" s="1"/>
  <c r="AM220" i="8"/>
  <c r="AR220" i="8" s="1"/>
  <c r="AB220" i="8"/>
  <c r="AG220" i="8" s="1"/>
  <c r="Q220" i="8"/>
  <c r="V220" i="8" s="1"/>
  <c r="AL220" i="8"/>
  <c r="AQ220" i="8" s="1"/>
  <c r="AA220" i="8"/>
  <c r="AF220" i="8" s="1"/>
  <c r="P220" i="8"/>
  <c r="U220" i="8" s="1"/>
  <c r="AM208" i="8"/>
  <c r="AR208" i="8" s="1"/>
  <c r="AB208" i="8"/>
  <c r="AG208" i="8" s="1"/>
  <c r="Q208" i="8"/>
  <c r="V208" i="8" s="1"/>
  <c r="AL208" i="8"/>
  <c r="AQ208" i="8" s="1"/>
  <c r="AA208" i="8"/>
  <c r="AF208" i="8" s="1"/>
  <c r="P208" i="8"/>
  <c r="U208" i="8" s="1"/>
  <c r="AO208" i="8"/>
  <c r="AT208" i="8" s="1"/>
  <c r="AD208" i="8"/>
  <c r="AI208" i="8" s="1"/>
  <c r="S208" i="8"/>
  <c r="X208" i="8" s="1"/>
  <c r="AN208" i="8"/>
  <c r="AS208" i="8" s="1"/>
  <c r="AC208" i="8"/>
  <c r="AH208" i="8" s="1"/>
  <c r="R208" i="8"/>
  <c r="W208" i="8" s="1"/>
  <c r="AM216" i="8"/>
  <c r="AR216" i="8" s="1"/>
  <c r="AB216" i="8"/>
  <c r="AG216" i="8" s="1"/>
  <c r="Q216" i="8"/>
  <c r="V216" i="8" s="1"/>
  <c r="AL216" i="8"/>
  <c r="AQ216" i="8" s="1"/>
  <c r="AA216" i="8"/>
  <c r="AF216" i="8" s="1"/>
  <c r="P216" i="8"/>
  <c r="U216" i="8" s="1"/>
  <c r="AC216" i="8"/>
  <c r="AH216" i="8" s="1"/>
  <c r="AO216" i="8"/>
  <c r="AT216" i="8" s="1"/>
  <c r="AD216" i="8"/>
  <c r="AI216" i="8" s="1"/>
  <c r="S216" i="8"/>
  <c r="X216" i="8" s="1"/>
  <c r="AN216" i="8"/>
  <c r="AS216" i="8" s="1"/>
  <c r="R216" i="8"/>
  <c r="W216" i="8" s="1"/>
  <c r="AO217" i="8"/>
  <c r="AT217" i="8" s="1"/>
  <c r="AD217" i="8"/>
  <c r="AI217" i="8" s="1"/>
  <c r="S217" i="8"/>
  <c r="X217" i="8" s="1"/>
  <c r="AN217" i="8"/>
  <c r="AS217" i="8" s="1"/>
  <c r="AC217" i="8"/>
  <c r="AH217" i="8" s="1"/>
  <c r="R217" i="8"/>
  <c r="W217" i="8" s="1"/>
  <c r="AM217" i="8"/>
  <c r="AR217" i="8" s="1"/>
  <c r="AB217" i="8"/>
  <c r="AG217" i="8" s="1"/>
  <c r="Q217" i="8"/>
  <c r="V217" i="8" s="1"/>
  <c r="AL217" i="8"/>
  <c r="AQ217" i="8" s="1"/>
  <c r="AA217" i="8"/>
  <c r="AF217" i="8" s="1"/>
  <c r="P217" i="8"/>
  <c r="U217" i="8" s="1"/>
  <c r="AL205" i="8"/>
  <c r="AQ205" i="8" s="1"/>
  <c r="AA205" i="8"/>
  <c r="AF205" i="8" s="1"/>
  <c r="P205" i="8"/>
  <c r="U205" i="8" s="1"/>
  <c r="AO205" i="8"/>
  <c r="AT205" i="8" s="1"/>
  <c r="AD205" i="8"/>
  <c r="AI205" i="8" s="1"/>
  <c r="S205" i="8"/>
  <c r="X205" i="8" s="1"/>
  <c r="AN205" i="8"/>
  <c r="AS205" i="8" s="1"/>
  <c r="AC205" i="8"/>
  <c r="AH205" i="8" s="1"/>
  <c r="R205" i="8"/>
  <c r="W205" i="8" s="1"/>
  <c r="AM205" i="8"/>
  <c r="AR205" i="8" s="1"/>
  <c r="AB205" i="8"/>
  <c r="AG205" i="8" s="1"/>
  <c r="Q205" i="8"/>
  <c r="V205" i="8" s="1"/>
  <c r="AO209" i="8"/>
  <c r="AT209" i="8" s="1"/>
  <c r="AD209" i="8"/>
  <c r="AI209" i="8" s="1"/>
  <c r="S209" i="8"/>
  <c r="X209" i="8" s="1"/>
  <c r="AN209" i="8"/>
  <c r="AS209" i="8" s="1"/>
  <c r="AC209" i="8"/>
  <c r="AH209" i="8" s="1"/>
  <c r="R209" i="8"/>
  <c r="W209" i="8" s="1"/>
  <c r="AM209" i="8"/>
  <c r="AR209" i="8" s="1"/>
  <c r="AB209" i="8"/>
  <c r="AG209" i="8" s="1"/>
  <c r="Q209" i="8"/>
  <c r="V209" i="8" s="1"/>
  <c r="AL209" i="8"/>
  <c r="AQ209" i="8" s="1"/>
  <c r="AA209" i="8"/>
  <c r="AF209" i="8" s="1"/>
  <c r="P209" i="8"/>
  <c r="U209" i="8" s="1"/>
  <c r="AO206" i="8"/>
  <c r="AT206" i="8" s="1"/>
  <c r="AD206" i="8"/>
  <c r="AI206" i="8" s="1"/>
  <c r="S206" i="8"/>
  <c r="X206" i="8" s="1"/>
  <c r="AN206" i="8"/>
  <c r="AS206" i="8" s="1"/>
  <c r="AC206" i="8"/>
  <c r="AH206" i="8" s="1"/>
  <c r="R206" i="8"/>
  <c r="W206" i="8" s="1"/>
  <c r="AM206" i="8"/>
  <c r="AR206" i="8" s="1"/>
  <c r="AB206" i="8"/>
  <c r="AG206" i="8" s="1"/>
  <c r="Q206" i="8"/>
  <c r="V206" i="8" s="1"/>
  <c r="AL206" i="8"/>
  <c r="AQ206" i="8" s="1"/>
  <c r="AA206" i="8"/>
  <c r="AF206" i="8" s="1"/>
  <c r="P206" i="8"/>
  <c r="U206" i="8" s="1"/>
  <c r="AL213" i="8"/>
  <c r="AQ213" i="8" s="1"/>
  <c r="AA213" i="8"/>
  <c r="AF213" i="8" s="1"/>
  <c r="P213" i="8"/>
  <c r="U213" i="8" s="1"/>
  <c r="AB213" i="8"/>
  <c r="AG213" i="8" s="1"/>
  <c r="Q213" i="8"/>
  <c r="V213" i="8" s="1"/>
  <c r="AO213" i="8"/>
  <c r="AT213" i="8" s="1"/>
  <c r="AD213" i="8"/>
  <c r="AI213" i="8" s="1"/>
  <c r="S213" i="8"/>
  <c r="X213" i="8" s="1"/>
  <c r="AM213" i="8"/>
  <c r="AR213" i="8" s="1"/>
  <c r="AN213" i="8"/>
  <c r="AS213" i="8" s="1"/>
  <c r="AC213" i="8"/>
  <c r="AH213" i="8" s="1"/>
  <c r="R213" i="8"/>
  <c r="W213" i="8" s="1"/>
  <c r="AO207" i="8"/>
  <c r="AT207" i="8" s="1"/>
  <c r="AD207" i="8"/>
  <c r="AI207" i="8" s="1"/>
  <c r="S207" i="8"/>
  <c r="X207" i="8" s="1"/>
  <c r="AN207" i="8"/>
  <c r="AS207" i="8" s="1"/>
  <c r="AC207" i="8"/>
  <c r="AH207" i="8" s="1"/>
  <c r="R207" i="8"/>
  <c r="W207" i="8" s="1"/>
  <c r="AM207" i="8"/>
  <c r="AR207" i="8" s="1"/>
  <c r="AB207" i="8"/>
  <c r="AG207" i="8" s="1"/>
  <c r="Q207" i="8"/>
  <c r="V207" i="8" s="1"/>
  <c r="AL207" i="8"/>
  <c r="AQ207" i="8" s="1"/>
  <c r="AA207" i="8"/>
  <c r="AF207" i="8" s="1"/>
  <c r="P207" i="8"/>
  <c r="U207" i="8" s="1"/>
  <c r="AO214" i="8"/>
  <c r="AT214" i="8" s="1"/>
  <c r="AD214" i="8"/>
  <c r="AI214" i="8" s="1"/>
  <c r="S214" i="8"/>
  <c r="X214" i="8" s="1"/>
  <c r="AN214" i="8"/>
  <c r="AS214" i="8" s="1"/>
  <c r="AC214" i="8"/>
  <c r="AH214" i="8" s="1"/>
  <c r="R214" i="8"/>
  <c r="W214" i="8" s="1"/>
  <c r="AM214" i="8"/>
  <c r="AR214" i="8" s="1"/>
  <c r="AB214" i="8"/>
  <c r="AG214" i="8" s="1"/>
  <c r="Q214" i="8"/>
  <c r="V214" i="8" s="1"/>
  <c r="AL214" i="8"/>
  <c r="AQ214" i="8" s="1"/>
  <c r="AA214" i="8"/>
  <c r="AF214" i="8" s="1"/>
  <c r="P214" i="8"/>
  <c r="U214" i="8" s="1"/>
  <c r="AL221" i="8"/>
  <c r="AQ221" i="8" s="1"/>
  <c r="AA221" i="8"/>
  <c r="AF221" i="8" s="1"/>
  <c r="P221" i="8"/>
  <c r="U221" i="8" s="1"/>
  <c r="AM221" i="8"/>
  <c r="AR221" i="8" s="1"/>
  <c r="Q221" i="8"/>
  <c r="V221" i="8" s="1"/>
  <c r="AO221" i="8"/>
  <c r="AT221" i="8" s="1"/>
  <c r="AD221" i="8"/>
  <c r="AI221" i="8" s="1"/>
  <c r="S221" i="8"/>
  <c r="X221" i="8" s="1"/>
  <c r="AB221" i="8"/>
  <c r="AG221" i="8" s="1"/>
  <c r="AN221" i="8"/>
  <c r="AS221" i="8" s="1"/>
  <c r="AC221" i="8"/>
  <c r="AH221" i="8" s="1"/>
  <c r="R221" i="8"/>
  <c r="W221" i="8" s="1"/>
  <c r="AO215" i="8"/>
  <c r="AT215" i="8" s="1"/>
  <c r="AD215" i="8"/>
  <c r="AI215" i="8" s="1"/>
  <c r="S215" i="8"/>
  <c r="X215" i="8" s="1"/>
  <c r="AN215" i="8"/>
  <c r="AS215" i="8" s="1"/>
  <c r="AC215" i="8"/>
  <c r="AH215" i="8" s="1"/>
  <c r="R215" i="8"/>
  <c r="W215" i="8" s="1"/>
  <c r="AM215" i="8"/>
  <c r="AR215" i="8" s="1"/>
  <c r="AB215" i="8"/>
  <c r="AG215" i="8" s="1"/>
  <c r="Q215" i="8"/>
  <c r="V215" i="8" s="1"/>
  <c r="AL215" i="8"/>
  <c r="AQ215" i="8" s="1"/>
  <c r="AA215" i="8"/>
  <c r="AF215" i="8" s="1"/>
  <c r="P215" i="8"/>
  <c r="U215" i="8" s="1"/>
  <c r="AN203" i="8"/>
  <c r="AS203" i="8" s="1"/>
  <c r="AC203" i="8"/>
  <c r="AH203" i="8" s="1"/>
  <c r="R203" i="8"/>
  <c r="W203" i="8" s="1"/>
  <c r="AM203" i="8"/>
  <c r="AR203" i="8" s="1"/>
  <c r="AB203" i="8"/>
  <c r="AG203" i="8" s="1"/>
  <c r="Q203" i="8"/>
  <c r="V203" i="8" s="1"/>
  <c r="AL203" i="8"/>
  <c r="AQ203" i="8" s="1"/>
  <c r="AA203" i="8"/>
  <c r="AF203" i="8" s="1"/>
  <c r="P203" i="8"/>
  <c r="U203" i="8" s="1"/>
  <c r="S203" i="8"/>
  <c r="X203" i="8" s="1"/>
  <c r="AD203" i="8"/>
  <c r="AI203" i="8" s="1"/>
  <c r="AO203" i="8"/>
  <c r="AT203" i="8" s="1"/>
  <c r="AL210" i="8"/>
  <c r="AQ210" i="8" s="1"/>
  <c r="AO210" i="8"/>
  <c r="AT210" i="8" s="1"/>
  <c r="AD210" i="8"/>
  <c r="AI210" i="8" s="1"/>
  <c r="S210" i="8"/>
  <c r="X210" i="8" s="1"/>
  <c r="P210" i="8"/>
  <c r="U210" i="8" s="1"/>
  <c r="AN210" i="8"/>
  <c r="AS210" i="8" s="1"/>
  <c r="AC210" i="8"/>
  <c r="AH210" i="8" s="1"/>
  <c r="R210" i="8"/>
  <c r="W210" i="8" s="1"/>
  <c r="AM210" i="8"/>
  <c r="AR210" i="8" s="1"/>
  <c r="AB210" i="8"/>
  <c r="AG210" i="8" s="1"/>
  <c r="Q210" i="8"/>
  <c r="V210" i="8" s="1"/>
  <c r="AA210" i="8"/>
  <c r="AF210" i="8" s="1"/>
  <c r="AO204" i="8"/>
  <c r="AT204" i="8" s="1"/>
  <c r="AD204" i="8"/>
  <c r="AI204" i="8" s="1"/>
  <c r="S204" i="8"/>
  <c r="X204" i="8" s="1"/>
  <c r="AN204" i="8"/>
  <c r="AS204" i="8" s="1"/>
  <c r="AC204" i="8"/>
  <c r="AH204" i="8" s="1"/>
  <c r="R204" i="8"/>
  <c r="W204" i="8" s="1"/>
  <c r="AM204" i="8"/>
  <c r="AR204" i="8" s="1"/>
  <c r="AB204" i="8"/>
  <c r="AG204" i="8" s="1"/>
  <c r="Q204" i="8"/>
  <c r="V204" i="8" s="1"/>
  <c r="AL204" i="8"/>
  <c r="AQ204" i="8" s="1"/>
  <c r="AA204" i="8"/>
  <c r="AF204" i="8" s="1"/>
  <c r="P204" i="8"/>
  <c r="U204" i="8" s="1"/>
  <c r="AN211" i="8"/>
  <c r="AS211" i="8" s="1"/>
  <c r="AC211" i="8"/>
  <c r="AH211" i="8" s="1"/>
  <c r="R211" i="8"/>
  <c r="W211" i="8" s="1"/>
  <c r="AO211" i="8"/>
  <c r="AT211" i="8" s="1"/>
  <c r="AM211" i="8"/>
  <c r="AR211" i="8" s="1"/>
  <c r="AB211" i="8"/>
  <c r="AG211" i="8" s="1"/>
  <c r="Q211" i="8"/>
  <c r="V211" i="8" s="1"/>
  <c r="AL211" i="8"/>
  <c r="AQ211" i="8" s="1"/>
  <c r="AA211" i="8"/>
  <c r="AF211" i="8" s="1"/>
  <c r="P211" i="8"/>
  <c r="U211" i="8" s="1"/>
  <c r="AD211" i="8"/>
  <c r="AI211" i="8" s="1"/>
  <c r="S211" i="8"/>
  <c r="X211" i="8" s="1"/>
  <c r="AL218" i="8"/>
  <c r="AQ218" i="8" s="1"/>
  <c r="AO218" i="8"/>
  <c r="AT218" i="8" s="1"/>
  <c r="AD218" i="8"/>
  <c r="AI218" i="8" s="1"/>
  <c r="S218" i="8"/>
  <c r="X218" i="8" s="1"/>
  <c r="AN218" i="8"/>
  <c r="AS218" i="8" s="1"/>
  <c r="AC218" i="8"/>
  <c r="AH218" i="8" s="1"/>
  <c r="R218" i="8"/>
  <c r="W218" i="8" s="1"/>
  <c r="AA218" i="8"/>
  <c r="AF218" i="8" s="1"/>
  <c r="P218" i="8"/>
  <c r="U218" i="8" s="1"/>
  <c r="AM218" i="8"/>
  <c r="AR218" i="8" s="1"/>
  <c r="AB218" i="8"/>
  <c r="AG218" i="8" s="1"/>
  <c r="Q218" i="8"/>
  <c r="V218" i="8" s="1"/>
  <c r="AO183" i="8"/>
  <c r="AT183" i="8" s="1"/>
  <c r="AD183" i="8"/>
  <c r="AI183" i="8" s="1"/>
  <c r="S183" i="8"/>
  <c r="X183" i="8" s="1"/>
  <c r="AN183" i="8"/>
  <c r="AS183" i="8" s="1"/>
  <c r="AC183" i="8"/>
  <c r="AH183" i="8" s="1"/>
  <c r="R183" i="8"/>
  <c r="W183" i="8" s="1"/>
  <c r="AM183" i="8"/>
  <c r="AR183" i="8" s="1"/>
  <c r="AB183" i="8"/>
  <c r="AG183" i="8" s="1"/>
  <c r="Q183" i="8"/>
  <c r="V183" i="8" s="1"/>
  <c r="AL183" i="8"/>
  <c r="AQ183" i="8" s="1"/>
  <c r="AA183" i="8"/>
  <c r="AF183" i="8" s="1"/>
  <c r="P183" i="8"/>
  <c r="U183" i="8" s="1"/>
  <c r="AM195" i="8"/>
  <c r="AR195" i="8" s="1"/>
  <c r="AB195" i="8"/>
  <c r="AG195" i="8" s="1"/>
  <c r="Q195" i="8"/>
  <c r="V195" i="8" s="1"/>
  <c r="S195" i="8"/>
  <c r="X195" i="8" s="1"/>
  <c r="AL195" i="8"/>
  <c r="AQ195" i="8" s="1"/>
  <c r="AA195" i="8"/>
  <c r="AF195" i="8" s="1"/>
  <c r="P195" i="8"/>
  <c r="U195" i="8" s="1"/>
  <c r="AD195" i="8"/>
  <c r="AI195" i="8" s="1"/>
  <c r="AO195" i="8"/>
  <c r="AT195" i="8" s="1"/>
  <c r="AN195" i="8"/>
  <c r="AS195" i="8" s="1"/>
  <c r="AC195" i="8"/>
  <c r="AH195" i="8" s="1"/>
  <c r="R195" i="8"/>
  <c r="W195" i="8" s="1"/>
  <c r="AO185" i="8"/>
  <c r="AT185" i="8" s="1"/>
  <c r="AD185" i="8"/>
  <c r="AI185" i="8" s="1"/>
  <c r="S185" i="8"/>
  <c r="X185" i="8" s="1"/>
  <c r="AN185" i="8"/>
  <c r="AS185" i="8" s="1"/>
  <c r="AC185" i="8"/>
  <c r="AH185" i="8" s="1"/>
  <c r="R185" i="8"/>
  <c r="W185" i="8" s="1"/>
  <c r="AM185" i="8"/>
  <c r="AR185" i="8" s="1"/>
  <c r="AB185" i="8"/>
  <c r="AG185" i="8" s="1"/>
  <c r="Q185" i="8"/>
  <c r="V185" i="8" s="1"/>
  <c r="AL185" i="8"/>
  <c r="AQ185" i="8" s="1"/>
  <c r="AA185" i="8"/>
  <c r="AF185" i="8" s="1"/>
  <c r="P185" i="8"/>
  <c r="U185" i="8" s="1"/>
  <c r="AL184" i="8"/>
  <c r="AQ184" i="8" s="1"/>
  <c r="AA184" i="8"/>
  <c r="AF184" i="8" s="1"/>
  <c r="P184" i="8"/>
  <c r="U184" i="8" s="1"/>
  <c r="AN184" i="8"/>
  <c r="AS184" i="8" s="1"/>
  <c r="R184" i="8"/>
  <c r="W184" i="8" s="1"/>
  <c r="AC184" i="8"/>
  <c r="AH184" i="8" s="1"/>
  <c r="AO184" i="8"/>
  <c r="AT184" i="8" s="1"/>
  <c r="AD184" i="8"/>
  <c r="AI184" i="8" s="1"/>
  <c r="S184" i="8"/>
  <c r="X184" i="8" s="1"/>
  <c r="AM184" i="8"/>
  <c r="AR184" i="8" s="1"/>
  <c r="AB184" i="8"/>
  <c r="AG184" i="8" s="1"/>
  <c r="Q184" i="8"/>
  <c r="V184" i="8" s="1"/>
  <c r="AO193" i="8"/>
  <c r="AT193" i="8" s="1"/>
  <c r="AD193" i="8"/>
  <c r="AI193" i="8" s="1"/>
  <c r="S193" i="8"/>
  <c r="X193" i="8" s="1"/>
  <c r="AN193" i="8"/>
  <c r="AS193" i="8" s="1"/>
  <c r="AC193" i="8"/>
  <c r="AH193" i="8" s="1"/>
  <c r="R193" i="8"/>
  <c r="W193" i="8" s="1"/>
  <c r="AM193" i="8"/>
  <c r="AR193" i="8" s="1"/>
  <c r="AB193" i="8"/>
  <c r="AG193" i="8" s="1"/>
  <c r="Q193" i="8"/>
  <c r="V193" i="8" s="1"/>
  <c r="AL193" i="8"/>
  <c r="AQ193" i="8" s="1"/>
  <c r="AA193" i="8"/>
  <c r="AF193" i="8" s="1"/>
  <c r="P193" i="8"/>
  <c r="U193" i="8" s="1"/>
  <c r="AL192" i="8"/>
  <c r="AQ192" i="8" s="1"/>
  <c r="AA192" i="8"/>
  <c r="AF192" i="8" s="1"/>
  <c r="P192" i="8"/>
  <c r="U192" i="8" s="1"/>
  <c r="R192" i="8"/>
  <c r="W192" i="8" s="1"/>
  <c r="AN192" i="8"/>
  <c r="AS192" i="8" s="1"/>
  <c r="AO192" i="8"/>
  <c r="AT192" i="8" s="1"/>
  <c r="AD192" i="8"/>
  <c r="AI192" i="8" s="1"/>
  <c r="S192" i="8"/>
  <c r="X192" i="8" s="1"/>
  <c r="AC192" i="8"/>
  <c r="AH192" i="8" s="1"/>
  <c r="AM192" i="8"/>
  <c r="AR192" i="8" s="1"/>
  <c r="AB192" i="8"/>
  <c r="AG192" i="8" s="1"/>
  <c r="Q192" i="8"/>
  <c r="V192" i="8" s="1"/>
  <c r="AO199" i="8"/>
  <c r="AT199" i="8" s="1"/>
  <c r="AD199" i="8"/>
  <c r="AI199" i="8" s="1"/>
  <c r="S199" i="8"/>
  <c r="X199" i="8" s="1"/>
  <c r="AN199" i="8"/>
  <c r="AS199" i="8" s="1"/>
  <c r="AC199" i="8"/>
  <c r="AH199" i="8" s="1"/>
  <c r="R199" i="8"/>
  <c r="W199" i="8" s="1"/>
  <c r="AM199" i="8"/>
  <c r="AR199" i="8" s="1"/>
  <c r="AB199" i="8"/>
  <c r="AG199" i="8" s="1"/>
  <c r="Q199" i="8"/>
  <c r="V199" i="8" s="1"/>
  <c r="AL199" i="8"/>
  <c r="AQ199" i="8" s="1"/>
  <c r="AA199" i="8"/>
  <c r="AF199" i="8" s="1"/>
  <c r="P199" i="8"/>
  <c r="U199" i="8" s="1"/>
  <c r="AL200" i="8"/>
  <c r="AQ200" i="8" s="1"/>
  <c r="AA200" i="8"/>
  <c r="AF200" i="8" s="1"/>
  <c r="P200" i="8"/>
  <c r="U200" i="8" s="1"/>
  <c r="AC200" i="8"/>
  <c r="AH200" i="8" s="1"/>
  <c r="R200" i="8"/>
  <c r="W200" i="8" s="1"/>
  <c r="AN200" i="8"/>
  <c r="AS200" i="8" s="1"/>
  <c r="AO200" i="8"/>
  <c r="AT200" i="8" s="1"/>
  <c r="AD200" i="8"/>
  <c r="AI200" i="8" s="1"/>
  <c r="S200" i="8"/>
  <c r="X200" i="8" s="1"/>
  <c r="AM200" i="8"/>
  <c r="AR200" i="8" s="1"/>
  <c r="AB200" i="8"/>
  <c r="AG200" i="8" s="1"/>
  <c r="Q200" i="8"/>
  <c r="V200" i="8" s="1"/>
  <c r="AM187" i="8"/>
  <c r="AR187" i="8" s="1"/>
  <c r="AB187" i="8"/>
  <c r="AG187" i="8" s="1"/>
  <c r="Q187" i="8"/>
  <c r="V187" i="8" s="1"/>
  <c r="AL187" i="8"/>
  <c r="AQ187" i="8" s="1"/>
  <c r="AA187" i="8"/>
  <c r="AF187" i="8" s="1"/>
  <c r="P187" i="8"/>
  <c r="U187" i="8" s="1"/>
  <c r="AO187" i="8"/>
  <c r="AT187" i="8" s="1"/>
  <c r="AD187" i="8"/>
  <c r="AI187" i="8" s="1"/>
  <c r="S187" i="8"/>
  <c r="X187" i="8" s="1"/>
  <c r="AN187" i="8"/>
  <c r="AS187" i="8" s="1"/>
  <c r="AC187" i="8"/>
  <c r="AH187" i="8" s="1"/>
  <c r="R187" i="8"/>
  <c r="W187" i="8" s="1"/>
  <c r="AL186" i="8"/>
  <c r="AQ186" i="8" s="1"/>
  <c r="AO186" i="8"/>
  <c r="AT186" i="8" s="1"/>
  <c r="AD186" i="8"/>
  <c r="AI186" i="8" s="1"/>
  <c r="S186" i="8"/>
  <c r="X186" i="8" s="1"/>
  <c r="AN186" i="8"/>
  <c r="AS186" i="8" s="1"/>
  <c r="AC186" i="8"/>
  <c r="AH186" i="8" s="1"/>
  <c r="R186" i="8"/>
  <c r="W186" i="8" s="1"/>
  <c r="P186" i="8"/>
  <c r="U186" i="8" s="1"/>
  <c r="AM186" i="8"/>
  <c r="AR186" i="8" s="1"/>
  <c r="AB186" i="8"/>
  <c r="AG186" i="8" s="1"/>
  <c r="Q186" i="8"/>
  <c r="V186" i="8" s="1"/>
  <c r="AA186" i="8"/>
  <c r="AF186" i="8" s="1"/>
  <c r="AN182" i="8"/>
  <c r="AS182" i="8" s="1"/>
  <c r="AC182" i="8"/>
  <c r="AH182" i="8" s="1"/>
  <c r="R182" i="8"/>
  <c r="W182" i="8" s="1"/>
  <c r="AM182" i="8"/>
  <c r="AR182" i="8" s="1"/>
  <c r="AB182" i="8"/>
  <c r="AG182" i="8" s="1"/>
  <c r="Q182" i="8"/>
  <c r="V182" i="8" s="1"/>
  <c r="AL182" i="8"/>
  <c r="AQ182" i="8" s="1"/>
  <c r="AA182" i="8"/>
  <c r="AF182" i="8" s="1"/>
  <c r="P182" i="8"/>
  <c r="U182" i="8" s="1"/>
  <c r="AO182" i="8"/>
  <c r="AT182" i="8" s="1"/>
  <c r="AD182" i="8"/>
  <c r="AI182" i="8" s="1"/>
  <c r="S182" i="8"/>
  <c r="X182" i="8" s="1"/>
  <c r="AO191" i="8"/>
  <c r="AT191" i="8" s="1"/>
  <c r="AD191" i="8"/>
  <c r="AI191" i="8" s="1"/>
  <c r="S191" i="8"/>
  <c r="X191" i="8" s="1"/>
  <c r="AN191" i="8"/>
  <c r="AS191" i="8" s="1"/>
  <c r="AC191" i="8"/>
  <c r="AH191" i="8" s="1"/>
  <c r="R191" i="8"/>
  <c r="W191" i="8" s="1"/>
  <c r="AM191" i="8"/>
  <c r="AR191" i="8" s="1"/>
  <c r="AB191" i="8"/>
  <c r="AG191" i="8" s="1"/>
  <c r="Q191" i="8"/>
  <c r="V191" i="8" s="1"/>
  <c r="AL191" i="8"/>
  <c r="AQ191" i="8" s="1"/>
  <c r="AA191" i="8"/>
  <c r="AF191" i="8" s="1"/>
  <c r="P191" i="8"/>
  <c r="U191" i="8" s="1"/>
  <c r="AA194" i="8"/>
  <c r="AF194" i="8" s="1"/>
  <c r="P194" i="8"/>
  <c r="U194" i="8" s="1"/>
  <c r="AO194" i="8"/>
  <c r="AT194" i="8" s="1"/>
  <c r="AD194" i="8"/>
  <c r="AI194" i="8" s="1"/>
  <c r="S194" i="8"/>
  <c r="X194" i="8" s="1"/>
  <c r="AL194" i="8"/>
  <c r="AQ194" i="8" s="1"/>
  <c r="AN194" i="8"/>
  <c r="AS194" i="8" s="1"/>
  <c r="AC194" i="8"/>
  <c r="AH194" i="8" s="1"/>
  <c r="R194" i="8"/>
  <c r="W194" i="8" s="1"/>
  <c r="AM194" i="8"/>
  <c r="AR194" i="8" s="1"/>
  <c r="AB194" i="8"/>
  <c r="AG194" i="8" s="1"/>
  <c r="Q194" i="8"/>
  <c r="V194" i="8" s="1"/>
  <c r="AN190" i="8"/>
  <c r="AS190" i="8" s="1"/>
  <c r="AC190" i="8"/>
  <c r="AH190" i="8" s="1"/>
  <c r="R190" i="8"/>
  <c r="W190" i="8" s="1"/>
  <c r="AM190" i="8"/>
  <c r="AR190" i="8" s="1"/>
  <c r="AB190" i="8"/>
  <c r="AG190" i="8" s="1"/>
  <c r="Q190" i="8"/>
  <c r="V190" i="8" s="1"/>
  <c r="AL190" i="8"/>
  <c r="AQ190" i="8" s="1"/>
  <c r="AA190" i="8"/>
  <c r="AF190" i="8" s="1"/>
  <c r="P190" i="8"/>
  <c r="U190" i="8" s="1"/>
  <c r="AO190" i="8"/>
  <c r="AT190" i="8" s="1"/>
  <c r="AD190" i="8"/>
  <c r="AI190" i="8" s="1"/>
  <c r="S190" i="8"/>
  <c r="X190" i="8" s="1"/>
  <c r="Q189" i="8"/>
  <c r="V189" i="8" s="1"/>
  <c r="AM189" i="8"/>
  <c r="AR189" i="8" s="1"/>
  <c r="AO189" i="8"/>
  <c r="AT189" i="8" s="1"/>
  <c r="AD189" i="8"/>
  <c r="AI189" i="8" s="1"/>
  <c r="S189" i="8"/>
  <c r="X189" i="8" s="1"/>
  <c r="AN189" i="8"/>
  <c r="AS189" i="8" s="1"/>
  <c r="AC189" i="8"/>
  <c r="AH189" i="8" s="1"/>
  <c r="R189" i="8"/>
  <c r="W189" i="8" s="1"/>
  <c r="AB189" i="8"/>
  <c r="AG189" i="8" s="1"/>
  <c r="AL189" i="8"/>
  <c r="AQ189" i="8" s="1"/>
  <c r="AA189" i="8"/>
  <c r="AF189" i="8" s="1"/>
  <c r="P189" i="8"/>
  <c r="U189" i="8" s="1"/>
  <c r="AO196" i="8"/>
  <c r="AT196" i="8" s="1"/>
  <c r="AD196" i="8"/>
  <c r="AI196" i="8" s="1"/>
  <c r="S196" i="8"/>
  <c r="X196" i="8" s="1"/>
  <c r="AN196" i="8"/>
  <c r="AS196" i="8" s="1"/>
  <c r="AC196" i="8"/>
  <c r="AH196" i="8" s="1"/>
  <c r="R196" i="8"/>
  <c r="W196" i="8" s="1"/>
  <c r="AM196" i="8"/>
  <c r="AR196" i="8" s="1"/>
  <c r="AB196" i="8"/>
  <c r="AG196" i="8" s="1"/>
  <c r="Q196" i="8"/>
  <c r="V196" i="8" s="1"/>
  <c r="AL196" i="8"/>
  <c r="AQ196" i="8" s="1"/>
  <c r="AA196" i="8"/>
  <c r="AF196" i="8" s="1"/>
  <c r="P196" i="8"/>
  <c r="U196" i="8" s="1"/>
  <c r="AO188" i="8"/>
  <c r="AT188" i="8" s="1"/>
  <c r="AD188" i="8"/>
  <c r="AI188" i="8" s="1"/>
  <c r="S188" i="8"/>
  <c r="X188" i="8" s="1"/>
  <c r="AN188" i="8"/>
  <c r="AS188" i="8" s="1"/>
  <c r="AC188" i="8"/>
  <c r="AH188" i="8" s="1"/>
  <c r="R188" i="8"/>
  <c r="W188" i="8" s="1"/>
  <c r="AM188" i="8"/>
  <c r="AR188" i="8" s="1"/>
  <c r="AB188" i="8"/>
  <c r="AG188" i="8" s="1"/>
  <c r="Q188" i="8"/>
  <c r="V188" i="8" s="1"/>
  <c r="AL188" i="8"/>
  <c r="AQ188" i="8" s="1"/>
  <c r="AA188" i="8"/>
  <c r="AF188" i="8" s="1"/>
  <c r="P188" i="8"/>
  <c r="U188" i="8" s="1"/>
  <c r="AN198" i="8"/>
  <c r="AS198" i="8" s="1"/>
  <c r="AC198" i="8"/>
  <c r="AH198" i="8" s="1"/>
  <c r="R198" i="8"/>
  <c r="W198" i="8" s="1"/>
  <c r="AM198" i="8"/>
  <c r="AR198" i="8" s="1"/>
  <c r="AB198" i="8"/>
  <c r="AG198" i="8" s="1"/>
  <c r="Q198" i="8"/>
  <c r="V198" i="8" s="1"/>
  <c r="AL198" i="8"/>
  <c r="AQ198" i="8" s="1"/>
  <c r="AA198" i="8"/>
  <c r="AF198" i="8" s="1"/>
  <c r="P198" i="8"/>
  <c r="U198" i="8" s="1"/>
  <c r="AO198" i="8"/>
  <c r="AT198" i="8" s="1"/>
  <c r="AD198" i="8"/>
  <c r="AI198" i="8" s="1"/>
  <c r="S198" i="8"/>
  <c r="X198" i="8" s="1"/>
  <c r="AM197" i="8"/>
  <c r="AR197" i="8" s="1"/>
  <c r="AB197" i="8"/>
  <c r="AG197" i="8" s="1"/>
  <c r="Q197" i="8"/>
  <c r="V197" i="8" s="1"/>
  <c r="AO197" i="8"/>
  <c r="AT197" i="8" s="1"/>
  <c r="AD197" i="8"/>
  <c r="AI197" i="8" s="1"/>
  <c r="S197" i="8"/>
  <c r="X197" i="8" s="1"/>
  <c r="AN197" i="8"/>
  <c r="AS197" i="8" s="1"/>
  <c r="AC197" i="8"/>
  <c r="AH197" i="8" s="1"/>
  <c r="R197" i="8"/>
  <c r="W197" i="8" s="1"/>
  <c r="AL197" i="8"/>
  <c r="AQ197" i="8" s="1"/>
  <c r="AA197" i="8"/>
  <c r="AF197" i="8" s="1"/>
  <c r="P197" i="8"/>
  <c r="U197" i="8" s="1"/>
  <c r="AO167" i="8"/>
  <c r="AT167" i="8" s="1"/>
  <c r="AD167" i="8"/>
  <c r="AI167" i="8" s="1"/>
  <c r="S167" i="8"/>
  <c r="X167" i="8" s="1"/>
  <c r="AN167" i="8"/>
  <c r="AS167" i="8" s="1"/>
  <c r="AC167" i="8"/>
  <c r="AH167" i="8" s="1"/>
  <c r="R167" i="8"/>
  <c r="W167" i="8" s="1"/>
  <c r="AM167" i="8"/>
  <c r="AR167" i="8" s="1"/>
  <c r="AB167" i="8"/>
  <c r="AG167" i="8" s="1"/>
  <c r="Q167" i="8"/>
  <c r="V167" i="8" s="1"/>
  <c r="AL167" i="8"/>
  <c r="AQ167" i="8" s="1"/>
  <c r="AA167" i="8"/>
  <c r="AF167" i="8" s="1"/>
  <c r="P167" i="8"/>
  <c r="U167" i="8" s="1"/>
  <c r="AM174" i="8"/>
  <c r="AR174" i="8" s="1"/>
  <c r="AB174" i="8"/>
  <c r="AG174" i="8" s="1"/>
  <c r="Q174" i="8"/>
  <c r="V174" i="8" s="1"/>
  <c r="AC174" i="8"/>
  <c r="AH174" i="8" s="1"/>
  <c r="AL174" i="8"/>
  <c r="AQ174" i="8" s="1"/>
  <c r="AA174" i="8"/>
  <c r="AF174" i="8" s="1"/>
  <c r="P174" i="8"/>
  <c r="U174" i="8" s="1"/>
  <c r="AN174" i="8"/>
  <c r="AS174" i="8" s="1"/>
  <c r="R174" i="8"/>
  <c r="W174" i="8" s="1"/>
  <c r="AO174" i="8"/>
  <c r="AT174" i="8" s="1"/>
  <c r="AD174" i="8"/>
  <c r="AI174" i="8" s="1"/>
  <c r="S174" i="8"/>
  <c r="X174" i="8" s="1"/>
  <c r="AO175" i="8"/>
  <c r="AT175" i="8" s="1"/>
  <c r="AD175" i="8"/>
  <c r="AI175" i="8" s="1"/>
  <c r="S175" i="8"/>
  <c r="X175" i="8" s="1"/>
  <c r="AN175" i="8"/>
  <c r="AS175" i="8" s="1"/>
  <c r="AC175" i="8"/>
  <c r="AH175" i="8" s="1"/>
  <c r="R175" i="8"/>
  <c r="W175" i="8" s="1"/>
  <c r="AM175" i="8"/>
  <c r="AR175" i="8" s="1"/>
  <c r="AB175" i="8"/>
  <c r="AG175" i="8" s="1"/>
  <c r="Q175" i="8"/>
  <c r="V175" i="8" s="1"/>
  <c r="AL175" i="8"/>
  <c r="AQ175" i="8" s="1"/>
  <c r="AA175" i="8"/>
  <c r="AF175" i="8" s="1"/>
  <c r="P175" i="8"/>
  <c r="U175" i="8" s="1"/>
  <c r="AL163" i="8"/>
  <c r="AQ163" i="8" s="1"/>
  <c r="AA163" i="8"/>
  <c r="AF163" i="8" s="1"/>
  <c r="P163" i="8"/>
  <c r="U163" i="8" s="1"/>
  <c r="AO163" i="8"/>
  <c r="AT163" i="8" s="1"/>
  <c r="AD163" i="8"/>
  <c r="AI163" i="8" s="1"/>
  <c r="S163" i="8"/>
  <c r="X163" i="8" s="1"/>
  <c r="AN163" i="8"/>
  <c r="AS163" i="8" s="1"/>
  <c r="AC163" i="8"/>
  <c r="AH163" i="8" s="1"/>
  <c r="R163" i="8"/>
  <c r="W163" i="8" s="1"/>
  <c r="AM163" i="8"/>
  <c r="AR163" i="8" s="1"/>
  <c r="AB163" i="8"/>
  <c r="AG163" i="8" s="1"/>
  <c r="Q163" i="8"/>
  <c r="V163" i="8" s="1"/>
  <c r="AO164" i="8"/>
  <c r="AT164" i="8" s="1"/>
  <c r="AD164" i="8"/>
  <c r="AI164" i="8" s="1"/>
  <c r="S164" i="8"/>
  <c r="X164" i="8" s="1"/>
  <c r="AN164" i="8"/>
  <c r="AS164" i="8" s="1"/>
  <c r="AC164" i="8"/>
  <c r="AH164" i="8" s="1"/>
  <c r="R164" i="8"/>
  <c r="W164" i="8" s="1"/>
  <c r="AM164" i="8"/>
  <c r="AR164" i="8" s="1"/>
  <c r="AB164" i="8"/>
  <c r="AG164" i="8" s="1"/>
  <c r="Q164" i="8"/>
  <c r="V164" i="8" s="1"/>
  <c r="AL164" i="8"/>
  <c r="AQ164" i="8" s="1"/>
  <c r="AA164" i="8"/>
  <c r="AF164" i="8" s="1"/>
  <c r="P164" i="8"/>
  <c r="U164" i="8" s="1"/>
  <c r="AL171" i="8"/>
  <c r="AQ171" i="8" s="1"/>
  <c r="AA171" i="8"/>
  <c r="AF171" i="8" s="1"/>
  <c r="P171" i="8"/>
  <c r="U171" i="8" s="1"/>
  <c r="AO171" i="8"/>
  <c r="AT171" i="8" s="1"/>
  <c r="AD171" i="8"/>
  <c r="AI171" i="8" s="1"/>
  <c r="S171" i="8"/>
  <c r="X171" i="8" s="1"/>
  <c r="AN171" i="8"/>
  <c r="AS171" i="8" s="1"/>
  <c r="AC171" i="8"/>
  <c r="AH171" i="8" s="1"/>
  <c r="R171" i="8"/>
  <c r="W171" i="8" s="1"/>
  <c r="AM171" i="8"/>
  <c r="AR171" i="8" s="1"/>
  <c r="AB171" i="8"/>
  <c r="AG171" i="8" s="1"/>
  <c r="Q171" i="8"/>
  <c r="V171" i="8" s="1"/>
  <c r="AO172" i="8"/>
  <c r="AT172" i="8" s="1"/>
  <c r="AD172" i="8"/>
  <c r="AI172" i="8" s="1"/>
  <c r="S172" i="8"/>
  <c r="X172" i="8" s="1"/>
  <c r="AN172" i="8"/>
  <c r="AS172" i="8" s="1"/>
  <c r="AC172" i="8"/>
  <c r="AH172" i="8" s="1"/>
  <c r="R172" i="8"/>
  <c r="W172" i="8" s="1"/>
  <c r="AM172" i="8"/>
  <c r="AR172" i="8" s="1"/>
  <c r="AB172" i="8"/>
  <c r="AG172" i="8" s="1"/>
  <c r="Q172" i="8"/>
  <c r="V172" i="8" s="1"/>
  <c r="AL172" i="8"/>
  <c r="AQ172" i="8" s="1"/>
  <c r="AA172" i="8"/>
  <c r="AF172" i="8" s="1"/>
  <c r="P172" i="8"/>
  <c r="U172" i="8" s="1"/>
  <c r="AL179" i="8"/>
  <c r="AQ179" i="8" s="1"/>
  <c r="AA179" i="8"/>
  <c r="AF179" i="8" s="1"/>
  <c r="P179" i="8"/>
  <c r="U179" i="8" s="1"/>
  <c r="AB179" i="8"/>
  <c r="AG179" i="8" s="1"/>
  <c r="AM179" i="8"/>
  <c r="AR179" i="8" s="1"/>
  <c r="Q179" i="8"/>
  <c r="V179" i="8" s="1"/>
  <c r="AO179" i="8"/>
  <c r="AT179" i="8" s="1"/>
  <c r="AD179" i="8"/>
  <c r="AI179" i="8" s="1"/>
  <c r="S179" i="8"/>
  <c r="X179" i="8" s="1"/>
  <c r="AN179" i="8"/>
  <c r="AS179" i="8" s="1"/>
  <c r="AC179" i="8"/>
  <c r="AH179" i="8" s="1"/>
  <c r="R179" i="8"/>
  <c r="W179" i="8" s="1"/>
  <c r="AN161" i="8"/>
  <c r="AS161" i="8" s="1"/>
  <c r="AC161" i="8"/>
  <c r="AH161" i="8" s="1"/>
  <c r="R161" i="8"/>
  <c r="W161" i="8" s="1"/>
  <c r="AM161" i="8"/>
  <c r="AR161" i="8" s="1"/>
  <c r="AB161" i="8"/>
  <c r="AG161" i="8" s="1"/>
  <c r="Q161" i="8"/>
  <c r="V161" i="8" s="1"/>
  <c r="AL161" i="8"/>
  <c r="AQ161" i="8" s="1"/>
  <c r="AA161" i="8"/>
  <c r="AF161" i="8" s="1"/>
  <c r="P161" i="8"/>
  <c r="U161" i="8" s="1"/>
  <c r="AO161" i="8"/>
  <c r="AT161" i="8" s="1"/>
  <c r="AD161" i="8"/>
  <c r="AI161" i="8" s="1"/>
  <c r="S161" i="8"/>
  <c r="X161" i="8" s="1"/>
  <c r="AO165" i="8"/>
  <c r="AT165" i="8" s="1"/>
  <c r="AD165" i="8"/>
  <c r="AI165" i="8" s="1"/>
  <c r="S165" i="8"/>
  <c r="X165" i="8" s="1"/>
  <c r="AN165" i="8"/>
  <c r="AS165" i="8" s="1"/>
  <c r="AC165" i="8"/>
  <c r="AH165" i="8" s="1"/>
  <c r="R165" i="8"/>
  <c r="W165" i="8" s="1"/>
  <c r="AM165" i="8"/>
  <c r="AR165" i="8" s="1"/>
  <c r="AB165" i="8"/>
  <c r="AG165" i="8" s="1"/>
  <c r="Q165" i="8"/>
  <c r="V165" i="8" s="1"/>
  <c r="AL165" i="8"/>
  <c r="AQ165" i="8" s="1"/>
  <c r="AA165" i="8"/>
  <c r="AF165" i="8" s="1"/>
  <c r="P165" i="8"/>
  <c r="U165" i="8" s="1"/>
  <c r="AO162" i="8"/>
  <c r="AT162" i="8" s="1"/>
  <c r="AD162" i="8"/>
  <c r="AI162" i="8" s="1"/>
  <c r="S162" i="8"/>
  <c r="X162" i="8" s="1"/>
  <c r="AN162" i="8"/>
  <c r="AS162" i="8" s="1"/>
  <c r="AC162" i="8"/>
  <c r="AH162" i="8" s="1"/>
  <c r="R162" i="8"/>
  <c r="W162" i="8" s="1"/>
  <c r="AM162" i="8"/>
  <c r="AR162" i="8" s="1"/>
  <c r="AB162" i="8"/>
  <c r="AG162" i="8" s="1"/>
  <c r="Q162" i="8"/>
  <c r="V162" i="8" s="1"/>
  <c r="AL162" i="8"/>
  <c r="AQ162" i="8" s="1"/>
  <c r="AA162" i="8"/>
  <c r="AF162" i="8" s="1"/>
  <c r="P162" i="8"/>
  <c r="U162" i="8" s="1"/>
  <c r="AN169" i="8"/>
  <c r="AS169" i="8" s="1"/>
  <c r="AC169" i="8"/>
  <c r="AH169" i="8" s="1"/>
  <c r="R169" i="8"/>
  <c r="W169" i="8" s="1"/>
  <c r="AM169" i="8"/>
  <c r="AR169" i="8" s="1"/>
  <c r="AB169" i="8"/>
  <c r="AG169" i="8" s="1"/>
  <c r="Q169" i="8"/>
  <c r="V169" i="8" s="1"/>
  <c r="AD169" i="8"/>
  <c r="AI169" i="8" s="1"/>
  <c r="AL169" i="8"/>
  <c r="AQ169" i="8" s="1"/>
  <c r="AA169" i="8"/>
  <c r="AF169" i="8" s="1"/>
  <c r="P169" i="8"/>
  <c r="U169" i="8" s="1"/>
  <c r="S169" i="8"/>
  <c r="X169" i="8" s="1"/>
  <c r="AO169" i="8"/>
  <c r="AT169" i="8" s="1"/>
  <c r="AO173" i="8"/>
  <c r="AT173" i="8" s="1"/>
  <c r="AD173" i="8"/>
  <c r="AI173" i="8" s="1"/>
  <c r="S173" i="8"/>
  <c r="X173" i="8" s="1"/>
  <c r="AN173" i="8"/>
  <c r="AS173" i="8" s="1"/>
  <c r="AC173" i="8"/>
  <c r="AH173" i="8" s="1"/>
  <c r="R173" i="8"/>
  <c r="W173" i="8" s="1"/>
  <c r="AM173" i="8"/>
  <c r="AR173" i="8" s="1"/>
  <c r="AB173" i="8"/>
  <c r="AG173" i="8" s="1"/>
  <c r="Q173" i="8"/>
  <c r="V173" i="8" s="1"/>
  <c r="AL173" i="8"/>
  <c r="AQ173" i="8" s="1"/>
  <c r="AA173" i="8"/>
  <c r="AF173" i="8" s="1"/>
  <c r="P173" i="8"/>
  <c r="U173" i="8" s="1"/>
  <c r="AO170" i="8"/>
  <c r="AT170" i="8" s="1"/>
  <c r="AD170" i="8"/>
  <c r="AI170" i="8" s="1"/>
  <c r="S170" i="8"/>
  <c r="X170" i="8" s="1"/>
  <c r="AN170" i="8"/>
  <c r="AS170" i="8" s="1"/>
  <c r="AC170" i="8"/>
  <c r="AH170" i="8" s="1"/>
  <c r="R170" i="8"/>
  <c r="W170" i="8" s="1"/>
  <c r="AM170" i="8"/>
  <c r="AR170" i="8" s="1"/>
  <c r="AB170" i="8"/>
  <c r="AG170" i="8" s="1"/>
  <c r="Q170" i="8"/>
  <c r="V170" i="8" s="1"/>
  <c r="AL170" i="8"/>
  <c r="AQ170" i="8" s="1"/>
  <c r="AA170" i="8"/>
  <c r="AF170" i="8" s="1"/>
  <c r="P170" i="8"/>
  <c r="U170" i="8" s="1"/>
  <c r="AN177" i="8"/>
  <c r="AS177" i="8" s="1"/>
  <c r="AC177" i="8"/>
  <c r="AH177" i="8" s="1"/>
  <c r="R177" i="8"/>
  <c r="W177" i="8" s="1"/>
  <c r="AM177" i="8"/>
  <c r="AR177" i="8" s="1"/>
  <c r="AB177" i="8"/>
  <c r="AG177" i="8" s="1"/>
  <c r="Q177" i="8"/>
  <c r="V177" i="8" s="1"/>
  <c r="AL177" i="8"/>
  <c r="AQ177" i="8" s="1"/>
  <c r="AA177" i="8"/>
  <c r="AF177" i="8" s="1"/>
  <c r="P177" i="8"/>
  <c r="U177" i="8" s="1"/>
  <c r="S177" i="8"/>
  <c r="X177" i="8" s="1"/>
  <c r="AO177" i="8"/>
  <c r="AT177" i="8" s="1"/>
  <c r="AD177" i="8"/>
  <c r="AI177" i="8" s="1"/>
  <c r="AL168" i="8"/>
  <c r="AQ168" i="8" s="1"/>
  <c r="P168" i="8"/>
  <c r="U168" i="8" s="1"/>
  <c r="AO168" i="8"/>
  <c r="AT168" i="8" s="1"/>
  <c r="AD168" i="8"/>
  <c r="AI168" i="8" s="1"/>
  <c r="S168" i="8"/>
  <c r="X168" i="8" s="1"/>
  <c r="AN168" i="8"/>
  <c r="AS168" i="8" s="1"/>
  <c r="AC168" i="8"/>
  <c r="AH168" i="8" s="1"/>
  <c r="R168" i="8"/>
  <c r="W168" i="8" s="1"/>
  <c r="AM168" i="8"/>
  <c r="AR168" i="8" s="1"/>
  <c r="AB168" i="8"/>
  <c r="AG168" i="8" s="1"/>
  <c r="Q168" i="8"/>
  <c r="V168" i="8" s="1"/>
  <c r="AA168" i="8"/>
  <c r="AF168" i="8" s="1"/>
  <c r="AO178" i="8"/>
  <c r="AT178" i="8" s="1"/>
  <c r="AD178" i="8"/>
  <c r="AI178" i="8" s="1"/>
  <c r="S178" i="8"/>
  <c r="X178" i="8" s="1"/>
  <c r="AN178" i="8"/>
  <c r="AS178" i="8" s="1"/>
  <c r="AC178" i="8"/>
  <c r="AH178" i="8" s="1"/>
  <c r="R178" i="8"/>
  <c r="W178" i="8" s="1"/>
  <c r="AM178" i="8"/>
  <c r="AR178" i="8" s="1"/>
  <c r="AB178" i="8"/>
  <c r="AG178" i="8" s="1"/>
  <c r="Q178" i="8"/>
  <c r="V178" i="8" s="1"/>
  <c r="AL178" i="8"/>
  <c r="AQ178" i="8" s="1"/>
  <c r="AA178" i="8"/>
  <c r="AF178" i="8" s="1"/>
  <c r="P178" i="8"/>
  <c r="U178" i="8" s="1"/>
  <c r="AM166" i="8"/>
  <c r="AR166" i="8" s="1"/>
  <c r="AB166" i="8"/>
  <c r="AG166" i="8" s="1"/>
  <c r="Q166" i="8"/>
  <c r="V166" i="8" s="1"/>
  <c r="AN166" i="8"/>
  <c r="AS166" i="8" s="1"/>
  <c r="AL166" i="8"/>
  <c r="AQ166" i="8" s="1"/>
  <c r="AA166" i="8"/>
  <c r="AF166" i="8" s="1"/>
  <c r="P166" i="8"/>
  <c r="U166" i="8" s="1"/>
  <c r="AC166" i="8"/>
  <c r="AH166" i="8" s="1"/>
  <c r="AO166" i="8"/>
  <c r="AT166" i="8" s="1"/>
  <c r="AD166" i="8"/>
  <c r="AI166" i="8" s="1"/>
  <c r="S166" i="8"/>
  <c r="X166" i="8" s="1"/>
  <c r="R166" i="8"/>
  <c r="W166" i="8" s="1"/>
  <c r="AL176" i="8"/>
  <c r="AQ176" i="8" s="1"/>
  <c r="AA176" i="8"/>
  <c r="AF176" i="8" s="1"/>
  <c r="P176" i="8"/>
  <c r="U176" i="8" s="1"/>
  <c r="AO176" i="8"/>
  <c r="AT176" i="8" s="1"/>
  <c r="AD176" i="8"/>
  <c r="AI176" i="8" s="1"/>
  <c r="S176" i="8"/>
  <c r="X176" i="8" s="1"/>
  <c r="AN176" i="8"/>
  <c r="AS176" i="8" s="1"/>
  <c r="AC176" i="8"/>
  <c r="AH176" i="8" s="1"/>
  <c r="R176" i="8"/>
  <c r="W176" i="8" s="1"/>
  <c r="AM176" i="8"/>
  <c r="AR176" i="8" s="1"/>
  <c r="AB176" i="8"/>
  <c r="AG176" i="8" s="1"/>
  <c r="Q176" i="8"/>
  <c r="V176" i="8" s="1"/>
  <c r="AM145" i="8"/>
  <c r="AR145" i="8" s="1"/>
  <c r="AB145" i="8"/>
  <c r="AG145" i="8" s="1"/>
  <c r="Q145" i="8"/>
  <c r="V145" i="8" s="1"/>
  <c r="AL145" i="8"/>
  <c r="AQ145" i="8" s="1"/>
  <c r="AA145" i="8"/>
  <c r="AF145" i="8" s="1"/>
  <c r="P145" i="8"/>
  <c r="U145" i="8" s="1"/>
  <c r="AO145" i="8"/>
  <c r="AT145" i="8" s="1"/>
  <c r="AN145" i="8"/>
  <c r="AS145" i="8" s="1"/>
  <c r="AD145" i="8"/>
  <c r="AI145" i="8" s="1"/>
  <c r="AC145" i="8"/>
  <c r="AH145" i="8" s="1"/>
  <c r="S145" i="8"/>
  <c r="X145" i="8" s="1"/>
  <c r="R145" i="8"/>
  <c r="W145" i="8" s="1"/>
  <c r="AO154" i="8"/>
  <c r="AT154" i="8" s="1"/>
  <c r="AD154" i="8"/>
  <c r="AI154" i="8" s="1"/>
  <c r="S154" i="8"/>
  <c r="X154" i="8" s="1"/>
  <c r="AN154" i="8"/>
  <c r="AS154" i="8" s="1"/>
  <c r="AC154" i="8"/>
  <c r="AH154" i="8" s="1"/>
  <c r="R154" i="8"/>
  <c r="W154" i="8" s="1"/>
  <c r="AM154" i="8"/>
  <c r="AR154" i="8" s="1"/>
  <c r="AB154" i="8"/>
  <c r="AG154" i="8" s="1"/>
  <c r="Q154" i="8"/>
  <c r="V154" i="8" s="1"/>
  <c r="AL154" i="8"/>
  <c r="AQ154" i="8" s="1"/>
  <c r="AA154" i="8"/>
  <c r="AF154" i="8" s="1"/>
  <c r="P154" i="8"/>
  <c r="U154" i="8" s="1"/>
  <c r="AM153" i="8"/>
  <c r="AR153" i="8" s="1"/>
  <c r="AB153" i="8"/>
  <c r="AG153" i="8" s="1"/>
  <c r="Q153" i="8"/>
  <c r="V153" i="8" s="1"/>
  <c r="AL153" i="8"/>
  <c r="AQ153" i="8" s="1"/>
  <c r="AA153" i="8"/>
  <c r="AF153" i="8" s="1"/>
  <c r="P153" i="8"/>
  <c r="U153" i="8" s="1"/>
  <c r="AO153" i="8"/>
  <c r="AT153" i="8" s="1"/>
  <c r="S153" i="8"/>
  <c r="X153" i="8" s="1"/>
  <c r="AD153" i="8"/>
  <c r="AI153" i="8" s="1"/>
  <c r="R153" i="8"/>
  <c r="W153" i="8" s="1"/>
  <c r="AN153" i="8"/>
  <c r="AS153" i="8" s="1"/>
  <c r="AC153" i="8"/>
  <c r="AH153" i="8" s="1"/>
  <c r="AO146" i="8"/>
  <c r="AT146" i="8" s="1"/>
  <c r="AD146" i="8"/>
  <c r="AI146" i="8" s="1"/>
  <c r="S146" i="8"/>
  <c r="X146" i="8" s="1"/>
  <c r="AN146" i="8"/>
  <c r="AS146" i="8" s="1"/>
  <c r="AC146" i="8"/>
  <c r="AH146" i="8" s="1"/>
  <c r="R146" i="8"/>
  <c r="W146" i="8" s="1"/>
  <c r="AM146" i="8"/>
  <c r="AR146" i="8" s="1"/>
  <c r="AB146" i="8"/>
  <c r="AG146" i="8" s="1"/>
  <c r="Q146" i="8"/>
  <c r="V146" i="8" s="1"/>
  <c r="AL146" i="8"/>
  <c r="AQ146" i="8" s="1"/>
  <c r="AA146" i="8"/>
  <c r="AF146" i="8" s="1"/>
  <c r="P146" i="8"/>
  <c r="U146" i="8" s="1"/>
  <c r="AO143" i="8"/>
  <c r="AT143" i="8" s="1"/>
  <c r="AD143" i="8"/>
  <c r="AI143" i="8" s="1"/>
  <c r="S143" i="8"/>
  <c r="X143" i="8" s="1"/>
  <c r="AN143" i="8"/>
  <c r="AS143" i="8" s="1"/>
  <c r="AC143" i="8"/>
  <c r="AH143" i="8" s="1"/>
  <c r="R143" i="8"/>
  <c r="W143" i="8" s="1"/>
  <c r="AM143" i="8"/>
  <c r="AR143" i="8" s="1"/>
  <c r="AB143" i="8"/>
  <c r="AG143" i="8" s="1"/>
  <c r="Q143" i="8"/>
  <c r="V143" i="8" s="1"/>
  <c r="AL143" i="8"/>
  <c r="AQ143" i="8" s="1"/>
  <c r="AA143" i="8"/>
  <c r="AF143" i="8" s="1"/>
  <c r="P143" i="8"/>
  <c r="U143" i="8" s="1"/>
  <c r="AO149" i="8"/>
  <c r="AT149" i="8" s="1"/>
  <c r="AD149" i="8"/>
  <c r="AI149" i="8" s="1"/>
  <c r="S149" i="8"/>
  <c r="X149" i="8" s="1"/>
  <c r="AN149" i="8"/>
  <c r="AS149" i="8" s="1"/>
  <c r="AC149" i="8"/>
  <c r="AH149" i="8" s="1"/>
  <c r="R149" i="8"/>
  <c r="W149" i="8" s="1"/>
  <c r="AM149" i="8"/>
  <c r="AR149" i="8" s="1"/>
  <c r="AB149" i="8"/>
  <c r="AG149" i="8" s="1"/>
  <c r="Q149" i="8"/>
  <c r="V149" i="8" s="1"/>
  <c r="AL149" i="8"/>
  <c r="AQ149" i="8" s="1"/>
  <c r="AA149" i="8"/>
  <c r="AF149" i="8" s="1"/>
  <c r="P149" i="8"/>
  <c r="U149" i="8" s="1"/>
  <c r="AL142" i="8"/>
  <c r="AQ142" i="8" s="1"/>
  <c r="AA142" i="8"/>
  <c r="AF142" i="8" s="1"/>
  <c r="P142" i="8"/>
  <c r="U142" i="8" s="1"/>
  <c r="AO142" i="8"/>
  <c r="AT142" i="8" s="1"/>
  <c r="AD142" i="8"/>
  <c r="AI142" i="8" s="1"/>
  <c r="S142" i="8"/>
  <c r="X142" i="8" s="1"/>
  <c r="AB142" i="8"/>
  <c r="AG142" i="8" s="1"/>
  <c r="R142" i="8"/>
  <c r="W142" i="8" s="1"/>
  <c r="Q142" i="8"/>
  <c r="V142" i="8" s="1"/>
  <c r="AN142" i="8"/>
  <c r="AS142" i="8" s="1"/>
  <c r="AM142" i="8"/>
  <c r="AR142" i="8" s="1"/>
  <c r="AC142" i="8"/>
  <c r="AH142" i="8" s="1"/>
  <c r="AN140" i="8"/>
  <c r="AS140" i="8" s="1"/>
  <c r="AC140" i="8"/>
  <c r="AH140" i="8" s="1"/>
  <c r="R140" i="8"/>
  <c r="W140" i="8" s="1"/>
  <c r="AM140" i="8"/>
  <c r="AR140" i="8" s="1"/>
  <c r="AB140" i="8"/>
  <c r="AG140" i="8" s="1"/>
  <c r="Q140" i="8"/>
  <c r="V140" i="8" s="1"/>
  <c r="AL140" i="8"/>
  <c r="AQ140" i="8" s="1"/>
  <c r="AA140" i="8"/>
  <c r="AF140" i="8" s="1"/>
  <c r="P140" i="8"/>
  <c r="U140" i="8" s="1"/>
  <c r="AO140" i="8"/>
  <c r="AT140" i="8" s="1"/>
  <c r="S140" i="8"/>
  <c r="X140" i="8" s="1"/>
  <c r="AD140" i="8"/>
  <c r="AI140" i="8" s="1"/>
  <c r="AL150" i="8"/>
  <c r="AQ150" i="8" s="1"/>
  <c r="AA150" i="8"/>
  <c r="AF150" i="8" s="1"/>
  <c r="P150" i="8"/>
  <c r="U150" i="8" s="1"/>
  <c r="AN150" i="8"/>
  <c r="AS150" i="8" s="1"/>
  <c r="AC150" i="8"/>
  <c r="AH150" i="8" s="1"/>
  <c r="AO150" i="8"/>
  <c r="AT150" i="8" s="1"/>
  <c r="AD150" i="8"/>
  <c r="AI150" i="8" s="1"/>
  <c r="S150" i="8"/>
  <c r="X150" i="8" s="1"/>
  <c r="R150" i="8"/>
  <c r="W150" i="8" s="1"/>
  <c r="Q150" i="8"/>
  <c r="V150" i="8" s="1"/>
  <c r="AB150" i="8"/>
  <c r="AG150" i="8" s="1"/>
  <c r="AM150" i="8"/>
  <c r="AR150" i="8" s="1"/>
  <c r="AO151" i="8"/>
  <c r="AT151" i="8" s="1"/>
  <c r="AD151" i="8"/>
  <c r="AI151" i="8" s="1"/>
  <c r="S151" i="8"/>
  <c r="X151" i="8" s="1"/>
  <c r="AN151" i="8"/>
  <c r="AS151" i="8" s="1"/>
  <c r="AC151" i="8"/>
  <c r="AH151" i="8" s="1"/>
  <c r="R151" i="8"/>
  <c r="W151" i="8" s="1"/>
  <c r="AM151" i="8"/>
  <c r="AR151" i="8" s="1"/>
  <c r="AB151" i="8"/>
  <c r="AG151" i="8" s="1"/>
  <c r="Q151" i="8"/>
  <c r="V151" i="8" s="1"/>
  <c r="AL151" i="8"/>
  <c r="AQ151" i="8" s="1"/>
  <c r="AA151" i="8"/>
  <c r="AF151" i="8" s="1"/>
  <c r="P151" i="8"/>
  <c r="U151" i="8" s="1"/>
  <c r="AO141" i="8"/>
  <c r="AT141" i="8" s="1"/>
  <c r="AD141" i="8"/>
  <c r="AI141" i="8" s="1"/>
  <c r="S141" i="8"/>
  <c r="X141" i="8" s="1"/>
  <c r="AN141" i="8"/>
  <c r="AS141" i="8" s="1"/>
  <c r="AC141" i="8"/>
  <c r="AH141" i="8" s="1"/>
  <c r="R141" i="8"/>
  <c r="W141" i="8" s="1"/>
  <c r="AM141" i="8"/>
  <c r="AR141" i="8" s="1"/>
  <c r="AB141" i="8"/>
  <c r="AG141" i="8" s="1"/>
  <c r="Q141" i="8"/>
  <c r="V141" i="8" s="1"/>
  <c r="AL141" i="8"/>
  <c r="AQ141" i="8" s="1"/>
  <c r="AA141" i="8"/>
  <c r="AF141" i="8" s="1"/>
  <c r="P141" i="8"/>
  <c r="U141" i="8" s="1"/>
  <c r="AN148" i="8"/>
  <c r="AS148" i="8" s="1"/>
  <c r="AC148" i="8"/>
  <c r="AH148" i="8" s="1"/>
  <c r="R148" i="8"/>
  <c r="W148" i="8" s="1"/>
  <c r="AM148" i="8"/>
  <c r="AR148" i="8" s="1"/>
  <c r="AB148" i="8"/>
  <c r="AG148" i="8" s="1"/>
  <c r="Q148" i="8"/>
  <c r="V148" i="8" s="1"/>
  <c r="AL148" i="8"/>
  <c r="AQ148" i="8" s="1"/>
  <c r="AA148" i="8"/>
  <c r="AF148" i="8" s="1"/>
  <c r="P148" i="8"/>
  <c r="U148" i="8" s="1"/>
  <c r="AD148" i="8"/>
  <c r="AI148" i="8" s="1"/>
  <c r="S148" i="8"/>
  <c r="X148" i="8" s="1"/>
  <c r="AO148" i="8"/>
  <c r="AT148" i="8" s="1"/>
  <c r="AL158" i="8"/>
  <c r="AQ158" i="8" s="1"/>
  <c r="AA158" i="8"/>
  <c r="AF158" i="8" s="1"/>
  <c r="P158" i="8"/>
  <c r="U158" i="8" s="1"/>
  <c r="R158" i="8"/>
  <c r="W158" i="8" s="1"/>
  <c r="AC158" i="8"/>
  <c r="AH158" i="8" s="1"/>
  <c r="AN158" i="8"/>
  <c r="AS158" i="8" s="1"/>
  <c r="AO158" i="8"/>
  <c r="AT158" i="8" s="1"/>
  <c r="AD158" i="8"/>
  <c r="AI158" i="8" s="1"/>
  <c r="S158" i="8"/>
  <c r="X158" i="8" s="1"/>
  <c r="Q158" i="8"/>
  <c r="V158" i="8" s="1"/>
  <c r="AM158" i="8"/>
  <c r="AR158" i="8" s="1"/>
  <c r="AB158" i="8"/>
  <c r="AG158" i="8" s="1"/>
  <c r="AO144" i="8"/>
  <c r="AT144" i="8" s="1"/>
  <c r="AD144" i="8"/>
  <c r="AI144" i="8" s="1"/>
  <c r="S144" i="8"/>
  <c r="X144" i="8" s="1"/>
  <c r="AN144" i="8"/>
  <c r="AS144" i="8" s="1"/>
  <c r="AC144" i="8"/>
  <c r="AH144" i="8" s="1"/>
  <c r="R144" i="8"/>
  <c r="W144" i="8" s="1"/>
  <c r="AM144" i="8"/>
  <c r="AR144" i="8" s="1"/>
  <c r="AB144" i="8"/>
  <c r="AG144" i="8" s="1"/>
  <c r="Q144" i="8"/>
  <c r="V144" i="8" s="1"/>
  <c r="AL144" i="8"/>
  <c r="AQ144" i="8" s="1"/>
  <c r="AA144" i="8"/>
  <c r="AF144" i="8" s="1"/>
  <c r="P144" i="8"/>
  <c r="U144" i="8" s="1"/>
  <c r="AN156" i="8"/>
  <c r="AS156" i="8" s="1"/>
  <c r="AC156" i="8"/>
  <c r="AH156" i="8" s="1"/>
  <c r="R156" i="8"/>
  <c r="W156" i="8" s="1"/>
  <c r="AM156" i="8"/>
  <c r="AR156" i="8" s="1"/>
  <c r="AB156" i="8"/>
  <c r="AG156" i="8" s="1"/>
  <c r="Q156" i="8"/>
  <c r="V156" i="8" s="1"/>
  <c r="AL156" i="8"/>
  <c r="AQ156" i="8" s="1"/>
  <c r="AA156" i="8"/>
  <c r="AF156" i="8" s="1"/>
  <c r="P156" i="8"/>
  <c r="U156" i="8" s="1"/>
  <c r="AO156" i="8"/>
  <c r="AT156" i="8" s="1"/>
  <c r="AD156" i="8"/>
  <c r="AI156" i="8" s="1"/>
  <c r="S156" i="8"/>
  <c r="X156" i="8" s="1"/>
  <c r="AO147" i="8"/>
  <c r="AT147" i="8" s="1"/>
  <c r="AD147" i="8"/>
  <c r="AI147" i="8" s="1"/>
  <c r="S147" i="8"/>
  <c r="X147" i="8" s="1"/>
  <c r="AN147" i="8"/>
  <c r="AS147" i="8" s="1"/>
  <c r="AC147" i="8"/>
  <c r="AH147" i="8" s="1"/>
  <c r="R147" i="8"/>
  <c r="W147" i="8" s="1"/>
  <c r="Q147" i="8"/>
  <c r="V147" i="8" s="1"/>
  <c r="P147" i="8"/>
  <c r="U147" i="8" s="1"/>
  <c r="AM147" i="8"/>
  <c r="AR147" i="8" s="1"/>
  <c r="AA147" i="8"/>
  <c r="AF147" i="8" s="1"/>
  <c r="AL147" i="8"/>
  <c r="AQ147" i="8" s="1"/>
  <c r="AB147" i="8"/>
  <c r="AG147" i="8" s="1"/>
  <c r="AO152" i="8"/>
  <c r="AT152" i="8" s="1"/>
  <c r="AD152" i="8"/>
  <c r="AI152" i="8" s="1"/>
  <c r="S152" i="8"/>
  <c r="X152" i="8" s="1"/>
  <c r="AL152" i="8"/>
  <c r="AQ152" i="8" s="1"/>
  <c r="AN152" i="8"/>
  <c r="AS152" i="8" s="1"/>
  <c r="AC152" i="8"/>
  <c r="AH152" i="8" s="1"/>
  <c r="R152" i="8"/>
  <c r="W152" i="8" s="1"/>
  <c r="AA152" i="8"/>
  <c r="AF152" i="8" s="1"/>
  <c r="AM152" i="8"/>
  <c r="AR152" i="8" s="1"/>
  <c r="AB152" i="8"/>
  <c r="AG152" i="8" s="1"/>
  <c r="Q152" i="8"/>
  <c r="V152" i="8" s="1"/>
  <c r="P152" i="8"/>
  <c r="U152" i="8" s="1"/>
  <c r="AO157" i="8"/>
  <c r="AT157" i="8" s="1"/>
  <c r="AD157" i="8"/>
  <c r="AI157" i="8" s="1"/>
  <c r="S157" i="8"/>
  <c r="X157" i="8" s="1"/>
  <c r="AN157" i="8"/>
  <c r="AS157" i="8" s="1"/>
  <c r="AC157" i="8"/>
  <c r="AH157" i="8" s="1"/>
  <c r="R157" i="8"/>
  <c r="W157" i="8" s="1"/>
  <c r="AM157" i="8"/>
  <c r="AR157" i="8" s="1"/>
  <c r="AB157" i="8"/>
  <c r="AG157" i="8" s="1"/>
  <c r="Q157" i="8"/>
  <c r="V157" i="8" s="1"/>
  <c r="AL157" i="8"/>
  <c r="AQ157" i="8" s="1"/>
  <c r="AA157" i="8"/>
  <c r="AF157" i="8" s="1"/>
  <c r="P157" i="8"/>
  <c r="U157" i="8" s="1"/>
  <c r="AO155" i="8"/>
  <c r="AT155" i="8" s="1"/>
  <c r="AD155" i="8"/>
  <c r="AI155" i="8" s="1"/>
  <c r="S155" i="8"/>
  <c r="X155" i="8" s="1"/>
  <c r="AM155" i="8"/>
  <c r="AR155" i="8" s="1"/>
  <c r="AB155" i="8"/>
  <c r="AG155" i="8" s="1"/>
  <c r="Q155" i="8"/>
  <c r="V155" i="8" s="1"/>
  <c r="AN155" i="8"/>
  <c r="AS155" i="8" s="1"/>
  <c r="AC155" i="8"/>
  <c r="AH155" i="8" s="1"/>
  <c r="R155" i="8"/>
  <c r="W155" i="8" s="1"/>
  <c r="AA155" i="8"/>
  <c r="AF155" i="8" s="1"/>
  <c r="P155" i="8"/>
  <c r="U155" i="8" s="1"/>
  <c r="AL155" i="8"/>
  <c r="AQ155" i="8" s="1"/>
  <c r="AO125" i="8"/>
  <c r="AT125" i="8" s="1"/>
  <c r="AD125" i="8"/>
  <c r="AI125" i="8" s="1"/>
  <c r="S125" i="8"/>
  <c r="X125" i="8" s="1"/>
  <c r="AN125" i="8"/>
  <c r="AS125" i="8" s="1"/>
  <c r="AC125" i="8"/>
  <c r="AH125" i="8" s="1"/>
  <c r="R125" i="8"/>
  <c r="W125" i="8" s="1"/>
  <c r="AM125" i="8"/>
  <c r="AR125" i="8" s="1"/>
  <c r="AB125" i="8"/>
  <c r="AG125" i="8" s="1"/>
  <c r="Q125" i="8"/>
  <c r="V125" i="8" s="1"/>
  <c r="AL125" i="8"/>
  <c r="AQ125" i="8" s="1"/>
  <c r="AA125" i="8"/>
  <c r="AF125" i="8" s="1"/>
  <c r="P125" i="8"/>
  <c r="U125" i="8" s="1"/>
  <c r="AM124" i="8"/>
  <c r="AR124" i="8" s="1"/>
  <c r="AB124" i="8"/>
  <c r="AG124" i="8" s="1"/>
  <c r="Q124" i="8"/>
  <c r="V124" i="8" s="1"/>
  <c r="AL124" i="8"/>
  <c r="AQ124" i="8" s="1"/>
  <c r="AA124" i="8"/>
  <c r="AF124" i="8" s="1"/>
  <c r="P124" i="8"/>
  <c r="U124" i="8" s="1"/>
  <c r="AD124" i="8"/>
  <c r="AI124" i="8" s="1"/>
  <c r="S124" i="8"/>
  <c r="X124" i="8" s="1"/>
  <c r="AO124" i="8"/>
  <c r="AT124" i="8" s="1"/>
  <c r="R124" i="8"/>
  <c r="W124" i="8" s="1"/>
  <c r="AN124" i="8"/>
  <c r="AS124" i="8" s="1"/>
  <c r="AC124" i="8"/>
  <c r="AH124" i="8" s="1"/>
  <c r="AO133" i="8"/>
  <c r="AT133" i="8" s="1"/>
  <c r="AD133" i="8"/>
  <c r="AI133" i="8" s="1"/>
  <c r="S133" i="8"/>
  <c r="X133" i="8" s="1"/>
  <c r="AN133" i="8"/>
  <c r="AS133" i="8" s="1"/>
  <c r="AC133" i="8"/>
  <c r="AH133" i="8" s="1"/>
  <c r="R133" i="8"/>
  <c r="W133" i="8" s="1"/>
  <c r="AM133" i="8"/>
  <c r="AR133" i="8" s="1"/>
  <c r="AB133" i="8"/>
  <c r="AG133" i="8" s="1"/>
  <c r="Q133" i="8"/>
  <c r="V133" i="8" s="1"/>
  <c r="AL133" i="8"/>
  <c r="AQ133" i="8" s="1"/>
  <c r="AA133" i="8"/>
  <c r="AF133" i="8" s="1"/>
  <c r="P133" i="8"/>
  <c r="U133" i="8" s="1"/>
  <c r="AM132" i="8"/>
  <c r="AR132" i="8" s="1"/>
  <c r="AB132" i="8"/>
  <c r="AG132" i="8" s="1"/>
  <c r="Q132" i="8"/>
  <c r="V132" i="8" s="1"/>
  <c r="AD132" i="8"/>
  <c r="AI132" i="8" s="1"/>
  <c r="AL132" i="8"/>
  <c r="AQ132" i="8" s="1"/>
  <c r="AA132" i="8"/>
  <c r="AF132" i="8" s="1"/>
  <c r="P132" i="8"/>
  <c r="U132" i="8" s="1"/>
  <c r="AO132" i="8"/>
  <c r="AT132" i="8" s="1"/>
  <c r="S132" i="8"/>
  <c r="X132" i="8" s="1"/>
  <c r="AC132" i="8"/>
  <c r="AH132" i="8" s="1"/>
  <c r="AN132" i="8"/>
  <c r="AS132" i="8" s="1"/>
  <c r="R132" i="8"/>
  <c r="W132" i="8" s="1"/>
  <c r="AO128" i="8"/>
  <c r="AT128" i="8" s="1"/>
  <c r="AD128" i="8"/>
  <c r="AI128" i="8" s="1"/>
  <c r="S128" i="8"/>
  <c r="X128" i="8" s="1"/>
  <c r="AN128" i="8"/>
  <c r="AS128" i="8" s="1"/>
  <c r="AC128" i="8"/>
  <c r="AH128" i="8" s="1"/>
  <c r="R128" i="8"/>
  <c r="W128" i="8" s="1"/>
  <c r="AM128" i="8"/>
  <c r="AR128" i="8" s="1"/>
  <c r="AB128" i="8"/>
  <c r="AG128" i="8" s="1"/>
  <c r="Q128" i="8"/>
  <c r="V128" i="8" s="1"/>
  <c r="AL128" i="8"/>
  <c r="AQ128" i="8" s="1"/>
  <c r="AA128" i="8"/>
  <c r="AF128" i="8" s="1"/>
  <c r="P128" i="8"/>
  <c r="U128" i="8" s="1"/>
  <c r="AL121" i="8"/>
  <c r="AQ121" i="8" s="1"/>
  <c r="AA121" i="8"/>
  <c r="AF121" i="8" s="1"/>
  <c r="P121" i="8"/>
  <c r="U121" i="8" s="1"/>
  <c r="AN121" i="8"/>
  <c r="AS121" i="8" s="1"/>
  <c r="R121" i="8"/>
  <c r="W121" i="8" s="1"/>
  <c r="AC121" i="8"/>
  <c r="AH121" i="8" s="1"/>
  <c r="AO121" i="8"/>
  <c r="AT121" i="8" s="1"/>
  <c r="AD121" i="8"/>
  <c r="AI121" i="8" s="1"/>
  <c r="S121" i="8"/>
  <c r="X121" i="8" s="1"/>
  <c r="Q121" i="8"/>
  <c r="V121" i="8" s="1"/>
  <c r="AM121" i="8"/>
  <c r="AR121" i="8" s="1"/>
  <c r="AB121" i="8"/>
  <c r="AG121" i="8" s="1"/>
  <c r="AO122" i="8"/>
  <c r="AT122" i="8" s="1"/>
  <c r="AD122" i="8"/>
  <c r="AI122" i="8" s="1"/>
  <c r="S122" i="8"/>
  <c r="X122" i="8" s="1"/>
  <c r="AN122" i="8"/>
  <c r="AS122" i="8" s="1"/>
  <c r="AC122" i="8"/>
  <c r="AH122" i="8" s="1"/>
  <c r="R122" i="8"/>
  <c r="W122" i="8" s="1"/>
  <c r="AM122" i="8"/>
  <c r="AR122" i="8" s="1"/>
  <c r="AB122" i="8"/>
  <c r="AG122" i="8" s="1"/>
  <c r="Q122" i="8"/>
  <c r="V122" i="8" s="1"/>
  <c r="AL122" i="8"/>
  <c r="AQ122" i="8" s="1"/>
  <c r="AA122" i="8"/>
  <c r="AF122" i="8" s="1"/>
  <c r="P122" i="8"/>
  <c r="U122" i="8" s="1"/>
  <c r="AL129" i="8"/>
  <c r="AQ129" i="8" s="1"/>
  <c r="AA129" i="8"/>
  <c r="AF129" i="8" s="1"/>
  <c r="P129" i="8"/>
  <c r="U129" i="8" s="1"/>
  <c r="AC129" i="8"/>
  <c r="AH129" i="8" s="1"/>
  <c r="AN129" i="8"/>
  <c r="AS129" i="8" s="1"/>
  <c r="AO129" i="8"/>
  <c r="AT129" i="8" s="1"/>
  <c r="AD129" i="8"/>
  <c r="AI129" i="8" s="1"/>
  <c r="S129" i="8"/>
  <c r="X129" i="8" s="1"/>
  <c r="R129" i="8"/>
  <c r="W129" i="8" s="1"/>
  <c r="AB129" i="8"/>
  <c r="AG129" i="8" s="1"/>
  <c r="Q129" i="8"/>
  <c r="V129" i="8" s="1"/>
  <c r="AM129" i="8"/>
  <c r="AR129" i="8" s="1"/>
  <c r="AO130" i="8"/>
  <c r="AT130" i="8" s="1"/>
  <c r="AD130" i="8"/>
  <c r="AI130" i="8" s="1"/>
  <c r="S130" i="8"/>
  <c r="X130" i="8" s="1"/>
  <c r="AN130" i="8"/>
  <c r="AS130" i="8" s="1"/>
  <c r="AC130" i="8"/>
  <c r="AH130" i="8" s="1"/>
  <c r="R130" i="8"/>
  <c r="W130" i="8" s="1"/>
  <c r="AM130" i="8"/>
  <c r="AR130" i="8" s="1"/>
  <c r="AB130" i="8"/>
  <c r="AG130" i="8" s="1"/>
  <c r="Q130" i="8"/>
  <c r="V130" i="8" s="1"/>
  <c r="AL130" i="8"/>
  <c r="AQ130" i="8" s="1"/>
  <c r="AA130" i="8"/>
  <c r="AF130" i="8" s="1"/>
  <c r="P130" i="8"/>
  <c r="U130" i="8" s="1"/>
  <c r="AL137" i="8"/>
  <c r="AQ137" i="8" s="1"/>
  <c r="AA137" i="8"/>
  <c r="AF137" i="8" s="1"/>
  <c r="P137" i="8"/>
  <c r="U137" i="8" s="1"/>
  <c r="AC137" i="8"/>
  <c r="AH137" i="8" s="1"/>
  <c r="R137" i="8"/>
  <c r="W137" i="8" s="1"/>
  <c r="AN137" i="8"/>
  <c r="AS137" i="8" s="1"/>
  <c r="AO137" i="8"/>
  <c r="AT137" i="8" s="1"/>
  <c r="AD137" i="8"/>
  <c r="AI137" i="8" s="1"/>
  <c r="S137" i="8"/>
  <c r="X137" i="8" s="1"/>
  <c r="AM137" i="8"/>
  <c r="AR137" i="8" s="1"/>
  <c r="AB137" i="8"/>
  <c r="AG137" i="8" s="1"/>
  <c r="Q137" i="8"/>
  <c r="V137" i="8" s="1"/>
  <c r="AL123" i="8"/>
  <c r="AQ123" i="8" s="1"/>
  <c r="P123" i="8"/>
  <c r="U123" i="8" s="1"/>
  <c r="AO123" i="8"/>
  <c r="AT123" i="8" s="1"/>
  <c r="AD123" i="8"/>
  <c r="AI123" i="8" s="1"/>
  <c r="S123" i="8"/>
  <c r="X123" i="8" s="1"/>
  <c r="AA123" i="8"/>
  <c r="AF123" i="8" s="1"/>
  <c r="AN123" i="8"/>
  <c r="AS123" i="8" s="1"/>
  <c r="AC123" i="8"/>
  <c r="AH123" i="8" s="1"/>
  <c r="R123" i="8"/>
  <c r="W123" i="8" s="1"/>
  <c r="AM123" i="8"/>
  <c r="AR123" i="8" s="1"/>
  <c r="AB123" i="8"/>
  <c r="AG123" i="8" s="1"/>
  <c r="Q123" i="8"/>
  <c r="V123" i="8" s="1"/>
  <c r="AN119" i="8"/>
  <c r="AS119" i="8" s="1"/>
  <c r="AC119" i="8"/>
  <c r="AH119" i="8" s="1"/>
  <c r="R119" i="8"/>
  <c r="W119" i="8" s="1"/>
  <c r="AM119" i="8"/>
  <c r="AR119" i="8" s="1"/>
  <c r="AB119" i="8"/>
  <c r="AG119" i="8" s="1"/>
  <c r="Q119" i="8"/>
  <c r="V119" i="8" s="1"/>
  <c r="AL119" i="8"/>
  <c r="AQ119" i="8" s="1"/>
  <c r="AA119" i="8"/>
  <c r="AF119" i="8" s="1"/>
  <c r="P119" i="8"/>
  <c r="U119" i="8" s="1"/>
  <c r="AO119" i="8"/>
  <c r="AT119" i="8" s="1"/>
  <c r="AD119" i="8"/>
  <c r="AI119" i="8" s="1"/>
  <c r="S119" i="8"/>
  <c r="X119" i="8" s="1"/>
  <c r="AO120" i="8"/>
  <c r="AT120" i="8" s="1"/>
  <c r="AD120" i="8"/>
  <c r="AI120" i="8" s="1"/>
  <c r="S120" i="8"/>
  <c r="X120" i="8" s="1"/>
  <c r="AN120" i="8"/>
  <c r="AS120" i="8" s="1"/>
  <c r="AC120" i="8"/>
  <c r="AH120" i="8" s="1"/>
  <c r="R120" i="8"/>
  <c r="W120" i="8" s="1"/>
  <c r="AM120" i="8"/>
  <c r="AR120" i="8" s="1"/>
  <c r="AB120" i="8"/>
  <c r="AG120" i="8" s="1"/>
  <c r="Q120" i="8"/>
  <c r="V120" i="8" s="1"/>
  <c r="AL120" i="8"/>
  <c r="AQ120" i="8" s="1"/>
  <c r="AA120" i="8"/>
  <c r="AF120" i="8" s="1"/>
  <c r="P120" i="8"/>
  <c r="U120" i="8" s="1"/>
  <c r="AL131" i="8"/>
  <c r="AQ131" i="8" s="1"/>
  <c r="P131" i="8"/>
  <c r="U131" i="8" s="1"/>
  <c r="AO131" i="8"/>
  <c r="AT131" i="8" s="1"/>
  <c r="AD131" i="8"/>
  <c r="AI131" i="8" s="1"/>
  <c r="S131" i="8"/>
  <c r="X131" i="8" s="1"/>
  <c r="AN131" i="8"/>
  <c r="AS131" i="8" s="1"/>
  <c r="AC131" i="8"/>
  <c r="AH131" i="8" s="1"/>
  <c r="R131" i="8"/>
  <c r="W131" i="8" s="1"/>
  <c r="AA131" i="8"/>
  <c r="AF131" i="8" s="1"/>
  <c r="AM131" i="8"/>
  <c r="AR131" i="8" s="1"/>
  <c r="AB131" i="8"/>
  <c r="AG131" i="8" s="1"/>
  <c r="Q131" i="8"/>
  <c r="V131" i="8" s="1"/>
  <c r="AN127" i="8"/>
  <c r="AS127" i="8" s="1"/>
  <c r="AC127" i="8"/>
  <c r="AH127" i="8" s="1"/>
  <c r="R127" i="8"/>
  <c r="W127" i="8" s="1"/>
  <c r="AM127" i="8"/>
  <c r="AR127" i="8" s="1"/>
  <c r="AB127" i="8"/>
  <c r="AG127" i="8" s="1"/>
  <c r="Q127" i="8"/>
  <c r="V127" i="8" s="1"/>
  <c r="AL127" i="8"/>
  <c r="AQ127" i="8" s="1"/>
  <c r="AA127" i="8"/>
  <c r="AF127" i="8" s="1"/>
  <c r="P127" i="8"/>
  <c r="U127" i="8" s="1"/>
  <c r="AO127" i="8"/>
  <c r="AT127" i="8" s="1"/>
  <c r="AD127" i="8"/>
  <c r="AI127" i="8" s="1"/>
  <c r="S127" i="8"/>
  <c r="X127" i="8" s="1"/>
  <c r="AB126" i="8"/>
  <c r="AG126" i="8" s="1"/>
  <c r="AO126" i="8"/>
  <c r="AT126" i="8" s="1"/>
  <c r="AD126" i="8"/>
  <c r="AI126" i="8" s="1"/>
  <c r="S126" i="8"/>
  <c r="X126" i="8" s="1"/>
  <c r="AM126" i="8"/>
  <c r="AR126" i="8" s="1"/>
  <c r="Q126" i="8"/>
  <c r="V126" i="8" s="1"/>
  <c r="AN126" i="8"/>
  <c r="AS126" i="8" s="1"/>
  <c r="AC126" i="8"/>
  <c r="AH126" i="8" s="1"/>
  <c r="R126" i="8"/>
  <c r="W126" i="8" s="1"/>
  <c r="AL126" i="8"/>
  <c r="AQ126" i="8" s="1"/>
  <c r="AA126" i="8"/>
  <c r="AF126" i="8" s="1"/>
  <c r="P126" i="8"/>
  <c r="U126" i="8" s="1"/>
  <c r="AO136" i="8"/>
  <c r="AT136" i="8" s="1"/>
  <c r="AD136" i="8"/>
  <c r="AI136" i="8" s="1"/>
  <c r="S136" i="8"/>
  <c r="X136" i="8" s="1"/>
  <c r="AN136" i="8"/>
  <c r="AS136" i="8" s="1"/>
  <c r="AC136" i="8"/>
  <c r="AH136" i="8" s="1"/>
  <c r="R136" i="8"/>
  <c r="W136" i="8" s="1"/>
  <c r="AM136" i="8"/>
  <c r="AR136" i="8" s="1"/>
  <c r="AB136" i="8"/>
  <c r="AG136" i="8" s="1"/>
  <c r="Q136" i="8"/>
  <c r="V136" i="8" s="1"/>
  <c r="AL136" i="8"/>
  <c r="AQ136" i="8" s="1"/>
  <c r="AA136" i="8"/>
  <c r="AF136" i="8" s="1"/>
  <c r="P136" i="8"/>
  <c r="U136" i="8" s="1"/>
  <c r="AN135" i="8"/>
  <c r="AS135" i="8" s="1"/>
  <c r="AC135" i="8"/>
  <c r="AH135" i="8" s="1"/>
  <c r="R135" i="8"/>
  <c r="W135" i="8" s="1"/>
  <c r="AM135" i="8"/>
  <c r="AR135" i="8" s="1"/>
  <c r="AB135" i="8"/>
  <c r="AG135" i="8" s="1"/>
  <c r="Q135" i="8"/>
  <c r="V135" i="8" s="1"/>
  <c r="AL135" i="8"/>
  <c r="AQ135" i="8" s="1"/>
  <c r="AA135" i="8"/>
  <c r="AF135" i="8" s="1"/>
  <c r="P135" i="8"/>
  <c r="U135" i="8" s="1"/>
  <c r="S135" i="8"/>
  <c r="X135" i="8" s="1"/>
  <c r="AO135" i="8"/>
  <c r="AT135" i="8" s="1"/>
  <c r="AD135" i="8"/>
  <c r="AI135" i="8" s="1"/>
  <c r="AB134" i="8"/>
  <c r="AG134" i="8" s="1"/>
  <c r="Q134" i="8"/>
  <c r="V134" i="8" s="1"/>
  <c r="AM134" i="8"/>
  <c r="AR134" i="8" s="1"/>
  <c r="AO134" i="8"/>
  <c r="AT134" i="8" s="1"/>
  <c r="AD134" i="8"/>
  <c r="AI134" i="8" s="1"/>
  <c r="S134" i="8"/>
  <c r="X134" i="8" s="1"/>
  <c r="AN134" i="8"/>
  <c r="AS134" i="8" s="1"/>
  <c r="AC134" i="8"/>
  <c r="AH134" i="8" s="1"/>
  <c r="R134" i="8"/>
  <c r="W134" i="8" s="1"/>
  <c r="P134" i="8"/>
  <c r="U134" i="8" s="1"/>
  <c r="AL134" i="8"/>
  <c r="AQ134" i="8" s="1"/>
  <c r="AA134" i="8"/>
  <c r="AF134" i="8" s="1"/>
  <c r="AC391" i="8"/>
  <c r="AH391" i="8" s="1"/>
  <c r="R391" i="8"/>
  <c r="W391" i="8" s="1"/>
  <c r="AB139" i="8"/>
  <c r="AG139" i="8" s="1"/>
  <c r="Q139" i="8"/>
  <c r="V139" i="8" s="1"/>
  <c r="AL391" i="8"/>
  <c r="AQ391" i="8" s="1"/>
  <c r="AN391" i="8"/>
  <c r="AS391" i="8" s="1"/>
  <c r="AM391" i="8"/>
  <c r="AR391" i="8" s="1"/>
  <c r="AD391" i="8"/>
  <c r="AI391" i="8" s="1"/>
  <c r="AA391" i="8"/>
  <c r="AF391" i="8" s="1"/>
  <c r="AB391" i="8"/>
  <c r="AG391" i="8" s="1"/>
  <c r="P139" i="8"/>
  <c r="U139" i="8" s="1"/>
  <c r="AA139" i="8"/>
  <c r="AF139" i="8" s="1"/>
  <c r="R139" i="8"/>
  <c r="W139" i="8" s="1"/>
  <c r="AO139" i="8"/>
  <c r="AT139" i="8" s="1"/>
  <c r="S139" i="8"/>
  <c r="X139" i="8" s="1"/>
  <c r="AC139" i="8"/>
  <c r="AH139" i="8" s="1"/>
  <c r="AM139" i="8"/>
  <c r="AR139" i="8" s="1"/>
  <c r="AD139" i="8"/>
  <c r="AI139" i="8" s="1"/>
  <c r="AL139" i="8"/>
  <c r="AQ139" i="8" s="1"/>
  <c r="S391" i="8"/>
  <c r="X391" i="8" s="1"/>
  <c r="Q391" i="8"/>
  <c r="V391" i="8" s="1"/>
  <c r="P391" i="8"/>
  <c r="U391" i="8" s="1"/>
  <c r="AL412" i="8"/>
  <c r="AQ412" i="8" s="1"/>
  <c r="EM592" i="9"/>
  <c r="EL592" i="9"/>
  <c r="AL349" i="8"/>
  <c r="AQ349" i="8" s="1"/>
  <c r="AD412" i="8"/>
  <c r="AI412" i="8" s="1"/>
  <c r="AN412" i="8"/>
  <c r="AS412" i="8" s="1"/>
  <c r="Q412" i="8"/>
  <c r="V412" i="8" s="1"/>
  <c r="P412" i="8"/>
  <c r="U412" i="8" s="1"/>
  <c r="AC412" i="8"/>
  <c r="AH412" i="8" s="1"/>
  <c r="R412" i="8"/>
  <c r="W412" i="8" s="1"/>
  <c r="AO412" i="8"/>
  <c r="AT412" i="8" s="1"/>
  <c r="S412" i="8"/>
  <c r="X412" i="8" s="1"/>
  <c r="AA412" i="8"/>
  <c r="AF412" i="8" s="1"/>
  <c r="AB412" i="8"/>
  <c r="AG412" i="8" s="1"/>
  <c r="AD370" i="8"/>
  <c r="AI370" i="8" s="1"/>
  <c r="AM349" i="8"/>
  <c r="AR349" i="8" s="1"/>
  <c r="AB286" i="8"/>
  <c r="AG286" i="8" s="1"/>
  <c r="AM223" i="8"/>
  <c r="AR223" i="8" s="1"/>
  <c r="AL223" i="8"/>
  <c r="AQ223" i="8" s="1"/>
  <c r="AA349" i="8"/>
  <c r="AF349" i="8" s="1"/>
  <c r="AD349" i="8"/>
  <c r="AI349" i="8" s="1"/>
  <c r="S349" i="8"/>
  <c r="X349" i="8" s="1"/>
  <c r="P349" i="8"/>
  <c r="U349" i="8" s="1"/>
  <c r="AB349" i="8"/>
  <c r="AG349" i="8" s="1"/>
  <c r="Q349" i="8"/>
  <c r="V349" i="8" s="1"/>
  <c r="AN349" i="8"/>
  <c r="AS349" i="8" s="1"/>
  <c r="AC349" i="8"/>
  <c r="AH349" i="8" s="1"/>
  <c r="AO349" i="8"/>
  <c r="AT349" i="8" s="1"/>
  <c r="AA370" i="8"/>
  <c r="AF370" i="8" s="1"/>
  <c r="AB223" i="8"/>
  <c r="AG223" i="8" s="1"/>
  <c r="AO223" i="8"/>
  <c r="AT223" i="8" s="1"/>
  <c r="AC223" i="8"/>
  <c r="AH223" i="8" s="1"/>
  <c r="AN328" i="8"/>
  <c r="AS328" i="8" s="1"/>
  <c r="AM370" i="8"/>
  <c r="AR370" i="8" s="1"/>
  <c r="AA328" i="8"/>
  <c r="AF328" i="8" s="1"/>
  <c r="AO370" i="8"/>
  <c r="AT370" i="8" s="1"/>
  <c r="Q370" i="8"/>
  <c r="V370" i="8" s="1"/>
  <c r="P328" i="8"/>
  <c r="U328" i="8" s="1"/>
  <c r="AL328" i="8"/>
  <c r="AQ328" i="8" s="1"/>
  <c r="Q328" i="8"/>
  <c r="V328" i="8" s="1"/>
  <c r="AC328" i="8"/>
  <c r="AH328" i="8" s="1"/>
  <c r="AB328" i="8"/>
  <c r="AG328" i="8" s="1"/>
  <c r="AD328" i="8"/>
  <c r="AI328" i="8" s="1"/>
  <c r="S328" i="8"/>
  <c r="X328" i="8" s="1"/>
  <c r="AO328" i="8"/>
  <c r="AT328" i="8" s="1"/>
  <c r="S286" i="8"/>
  <c r="X286" i="8" s="1"/>
  <c r="AC244" i="8"/>
  <c r="AH244" i="8" s="1"/>
  <c r="AA307" i="8"/>
  <c r="AF307" i="8" s="1"/>
  <c r="P265" i="8"/>
  <c r="U265" i="8" s="1"/>
  <c r="AC370" i="8"/>
  <c r="AH370" i="8" s="1"/>
  <c r="P370" i="8"/>
  <c r="U370" i="8" s="1"/>
  <c r="AL370" i="8"/>
  <c r="AQ370" i="8" s="1"/>
  <c r="AM328" i="8"/>
  <c r="AR328" i="8" s="1"/>
  <c r="S370" i="8"/>
  <c r="X370" i="8" s="1"/>
  <c r="R370" i="8"/>
  <c r="W370" i="8" s="1"/>
  <c r="AB370" i="8"/>
  <c r="AG370" i="8" s="1"/>
  <c r="AA286" i="8"/>
  <c r="AF286" i="8" s="1"/>
  <c r="AD223" i="8"/>
  <c r="AI223" i="8" s="1"/>
  <c r="P307" i="8"/>
  <c r="U307" i="8" s="1"/>
  <c r="AM307" i="8"/>
  <c r="AR307" i="8" s="1"/>
  <c r="P286" i="8"/>
  <c r="U286" i="8" s="1"/>
  <c r="AM244" i="8"/>
  <c r="AR244" i="8" s="1"/>
  <c r="R307" i="8"/>
  <c r="W307" i="8" s="1"/>
  <c r="Q244" i="8"/>
  <c r="V244" i="8" s="1"/>
  <c r="AC307" i="8"/>
  <c r="AH307" i="8" s="1"/>
  <c r="AN307" i="8"/>
  <c r="AS307" i="8" s="1"/>
  <c r="AD244" i="8"/>
  <c r="AI244" i="8" s="1"/>
  <c r="S244" i="8"/>
  <c r="X244" i="8" s="1"/>
  <c r="AO307" i="8"/>
  <c r="AT307" i="8" s="1"/>
  <c r="Q286" i="8"/>
  <c r="V286" i="8" s="1"/>
  <c r="P244" i="8"/>
  <c r="U244" i="8" s="1"/>
  <c r="AL307" i="8"/>
  <c r="AQ307" i="8" s="1"/>
  <c r="S307" i="8"/>
  <c r="X307" i="8" s="1"/>
  <c r="AD307" i="8"/>
  <c r="AI307" i="8" s="1"/>
  <c r="Q307" i="8"/>
  <c r="V307" i="8" s="1"/>
  <c r="R286" i="8"/>
  <c r="W286" i="8" s="1"/>
  <c r="AO286" i="8"/>
  <c r="AT286" i="8" s="1"/>
  <c r="AC286" i="8"/>
  <c r="AH286" i="8" s="1"/>
  <c r="AD286" i="8"/>
  <c r="AI286" i="8" s="1"/>
  <c r="R223" i="8"/>
  <c r="W223" i="8" s="1"/>
  <c r="AN223" i="8"/>
  <c r="AS223" i="8" s="1"/>
  <c r="AL286" i="8"/>
  <c r="AQ286" i="8" s="1"/>
  <c r="S223" i="8"/>
  <c r="X223" i="8" s="1"/>
  <c r="P223" i="8"/>
  <c r="U223" i="8" s="1"/>
  <c r="Q223" i="8"/>
  <c r="V223" i="8" s="1"/>
  <c r="R265" i="8"/>
  <c r="W265" i="8" s="1"/>
  <c r="AN286" i="8"/>
  <c r="AS286" i="8" s="1"/>
  <c r="AD181" i="8"/>
  <c r="AI181" i="8" s="1"/>
  <c r="AL181" i="8"/>
  <c r="AQ181" i="8" s="1"/>
  <c r="R181" i="8"/>
  <c r="W181" i="8" s="1"/>
  <c r="P181" i="8"/>
  <c r="U181" i="8" s="1"/>
  <c r="S181" i="8"/>
  <c r="X181" i="8" s="1"/>
  <c r="Q181" i="8"/>
  <c r="V181" i="8" s="1"/>
  <c r="AD265" i="8"/>
  <c r="AI265" i="8" s="1"/>
  <c r="AL265" i="8"/>
  <c r="AQ265" i="8" s="1"/>
  <c r="AM181" i="8"/>
  <c r="AR181" i="8" s="1"/>
  <c r="AB181" i="8"/>
  <c r="AG181" i="8" s="1"/>
  <c r="AO181" i="8"/>
  <c r="AT181" i="8" s="1"/>
  <c r="AD202" i="8"/>
  <c r="AI202" i="8" s="1"/>
  <c r="AM265" i="8"/>
  <c r="AR265" i="8" s="1"/>
  <c r="AO265" i="8"/>
  <c r="AT265" i="8" s="1"/>
  <c r="AA181" i="8"/>
  <c r="AF181" i="8" s="1"/>
  <c r="AC265" i="8"/>
  <c r="AH265" i="8" s="1"/>
  <c r="AB265" i="8"/>
  <c r="AG265" i="8" s="1"/>
  <c r="AN181" i="8"/>
  <c r="AS181" i="8" s="1"/>
  <c r="AA265" i="8"/>
  <c r="AF265" i="8" s="1"/>
  <c r="Q265" i="8"/>
  <c r="V265" i="8" s="1"/>
  <c r="S265" i="8"/>
  <c r="X265" i="8" s="1"/>
  <c r="R244" i="8"/>
  <c r="W244" i="8" s="1"/>
  <c r="AO244" i="8"/>
  <c r="AT244" i="8" s="1"/>
  <c r="AB244" i="8"/>
  <c r="AG244" i="8" s="1"/>
  <c r="AL244" i="8"/>
  <c r="AQ244" i="8" s="1"/>
  <c r="AA244" i="8"/>
  <c r="AF244" i="8" s="1"/>
  <c r="R202" i="8"/>
  <c r="W202" i="8" s="1"/>
  <c r="AB202" i="8"/>
  <c r="AG202" i="8" s="1"/>
  <c r="AC202" i="8"/>
  <c r="AH202" i="8" s="1"/>
  <c r="AL202" i="8"/>
  <c r="AQ202" i="8" s="1"/>
  <c r="AA202" i="8"/>
  <c r="AF202" i="8" s="1"/>
  <c r="P202" i="8"/>
  <c r="U202" i="8" s="1"/>
  <c r="AN202" i="8"/>
  <c r="AS202" i="8" s="1"/>
  <c r="S202" i="8"/>
  <c r="X202" i="8" s="1"/>
  <c r="AO202" i="8"/>
  <c r="AT202" i="8" s="1"/>
  <c r="Q202" i="8"/>
  <c r="V202" i="8" s="1"/>
  <c r="P160" i="8"/>
  <c r="U160" i="8" s="1"/>
  <c r="AN160" i="8"/>
  <c r="AS160" i="8" s="1"/>
  <c r="AB160" i="8"/>
  <c r="AG160" i="8" s="1"/>
  <c r="AM160" i="8"/>
  <c r="AR160" i="8" s="1"/>
  <c r="AL160" i="8"/>
  <c r="AQ160" i="8" s="1"/>
  <c r="AA160" i="8"/>
  <c r="AF160" i="8" s="1"/>
  <c r="AO160" i="8"/>
  <c r="AT160" i="8" s="1"/>
  <c r="R160" i="8"/>
  <c r="W160" i="8" s="1"/>
  <c r="Q160" i="8"/>
  <c r="V160" i="8" s="1"/>
  <c r="AC160" i="8"/>
  <c r="AH160" i="8" s="1"/>
  <c r="S160" i="8"/>
  <c r="X160" i="8" s="1"/>
  <c r="P540" i="8"/>
  <c r="U540" i="8" s="1"/>
  <c r="AM540" i="8"/>
  <c r="AR540" i="8" s="1"/>
  <c r="R540" i="8"/>
  <c r="W540" i="8" s="1"/>
  <c r="AL540" i="8"/>
  <c r="AQ540" i="8" s="1"/>
  <c r="AC540" i="8"/>
  <c r="AH540" i="8" s="1"/>
  <c r="AB540" i="8"/>
  <c r="AG540" i="8" s="1"/>
  <c r="S540" i="8"/>
  <c r="X540" i="8" s="1"/>
  <c r="Q540" i="8"/>
  <c r="V540" i="8" s="1"/>
  <c r="AO540" i="8"/>
  <c r="AT540" i="8" s="1"/>
  <c r="AN540" i="8"/>
  <c r="AS540" i="8" s="1"/>
  <c r="AD540" i="8"/>
  <c r="AI540" i="8" s="1"/>
  <c r="AA540" i="8"/>
  <c r="AF540" i="8" s="1"/>
  <c r="Q571" i="8"/>
  <c r="V571" i="8" s="1"/>
  <c r="AD571" i="8"/>
  <c r="AI571" i="8" s="1"/>
  <c r="AA571" i="8"/>
  <c r="AF571" i="8" s="1"/>
  <c r="R571" i="8"/>
  <c r="W571" i="8" s="1"/>
  <c r="AN571" i="8"/>
  <c r="AS571" i="8" s="1"/>
  <c r="AM571" i="8"/>
  <c r="AR571" i="8" s="1"/>
  <c r="AB571" i="8"/>
  <c r="AG571" i="8" s="1"/>
  <c r="S571" i="8"/>
  <c r="X571" i="8" s="1"/>
  <c r="AC571" i="8"/>
  <c r="AH571" i="8" s="1"/>
  <c r="AO571" i="8"/>
  <c r="AT571" i="8" s="1"/>
  <c r="AL571" i="8"/>
  <c r="AQ571" i="8" s="1"/>
  <c r="P571" i="8"/>
  <c r="U571" i="8" s="1"/>
  <c r="AN575" i="8"/>
  <c r="AS575" i="8" s="1"/>
  <c r="P575" i="8"/>
  <c r="U575" i="8" s="1"/>
  <c r="R575" i="8"/>
  <c r="W575" i="8" s="1"/>
  <c r="AC575" i="8"/>
  <c r="AH575" i="8" s="1"/>
  <c r="AD575" i="8"/>
  <c r="AI575" i="8" s="1"/>
  <c r="AB575" i="8"/>
  <c r="AG575" i="8" s="1"/>
  <c r="AO575" i="8"/>
  <c r="AT575" i="8" s="1"/>
  <c r="AM575" i="8"/>
  <c r="AR575" i="8" s="1"/>
  <c r="Q575" i="8"/>
  <c r="V575" i="8" s="1"/>
  <c r="AL575" i="8"/>
  <c r="AQ575" i="8" s="1"/>
  <c r="S575" i="8"/>
  <c r="X575" i="8" s="1"/>
  <c r="AA575" i="8"/>
  <c r="AF575" i="8" s="1"/>
  <c r="R546" i="8"/>
  <c r="W546" i="8" s="1"/>
  <c r="AO546" i="8"/>
  <c r="AT546" i="8" s="1"/>
  <c r="Q546" i="8"/>
  <c r="V546" i="8" s="1"/>
  <c r="AC546" i="8"/>
  <c r="AH546" i="8" s="1"/>
  <c r="AD546" i="8"/>
  <c r="AI546" i="8" s="1"/>
  <c r="AN546" i="8"/>
  <c r="AS546" i="8" s="1"/>
  <c r="S546" i="8"/>
  <c r="X546" i="8" s="1"/>
  <c r="AL546" i="8"/>
  <c r="AQ546" i="8" s="1"/>
  <c r="AA546" i="8"/>
  <c r="AF546" i="8" s="1"/>
  <c r="AB546" i="8"/>
  <c r="AG546" i="8" s="1"/>
  <c r="AM546" i="8"/>
  <c r="AR546" i="8" s="1"/>
  <c r="P546" i="8"/>
  <c r="U546" i="8" s="1"/>
  <c r="AO562" i="8"/>
  <c r="AT562" i="8" s="1"/>
  <c r="AB562" i="8"/>
  <c r="AG562" i="8" s="1"/>
  <c r="S562" i="8"/>
  <c r="X562" i="8" s="1"/>
  <c r="AC562" i="8"/>
  <c r="AH562" i="8" s="1"/>
  <c r="AN562" i="8"/>
  <c r="AS562" i="8" s="1"/>
  <c r="P562" i="8"/>
  <c r="U562" i="8" s="1"/>
  <c r="Q562" i="8"/>
  <c r="V562" i="8" s="1"/>
  <c r="R562" i="8"/>
  <c r="W562" i="8" s="1"/>
  <c r="AD562" i="8"/>
  <c r="AI562" i="8" s="1"/>
  <c r="AA562" i="8"/>
  <c r="AF562" i="8" s="1"/>
  <c r="AM562" i="8"/>
  <c r="AR562" i="8" s="1"/>
  <c r="AL562" i="8"/>
  <c r="AQ562" i="8" s="1"/>
  <c r="AN578" i="8"/>
  <c r="AS578" i="8" s="1"/>
  <c r="AC578" i="8"/>
  <c r="AH578" i="8" s="1"/>
  <c r="R578" i="8"/>
  <c r="W578" i="8" s="1"/>
  <c r="AD578" i="8"/>
  <c r="AI578" i="8" s="1"/>
  <c r="AB578" i="8"/>
  <c r="AG578" i="8" s="1"/>
  <c r="AA578" i="8"/>
  <c r="AF578" i="8" s="1"/>
  <c r="Q578" i="8"/>
  <c r="V578" i="8" s="1"/>
  <c r="AM578" i="8"/>
  <c r="AR578" i="8" s="1"/>
  <c r="AL578" i="8"/>
  <c r="AQ578" i="8" s="1"/>
  <c r="S578" i="8"/>
  <c r="X578" i="8" s="1"/>
  <c r="AO578" i="8"/>
  <c r="AT578" i="8" s="1"/>
  <c r="P578" i="8"/>
  <c r="U578" i="8" s="1"/>
  <c r="AA559" i="8"/>
  <c r="AF559" i="8" s="1"/>
  <c r="AL559" i="8"/>
  <c r="AQ559" i="8" s="1"/>
  <c r="AO559" i="8"/>
  <c r="AT559" i="8" s="1"/>
  <c r="P559" i="8"/>
  <c r="U559" i="8" s="1"/>
  <c r="AN559" i="8"/>
  <c r="AS559" i="8" s="1"/>
  <c r="S559" i="8"/>
  <c r="X559" i="8" s="1"/>
  <c r="AB559" i="8"/>
  <c r="AG559" i="8" s="1"/>
  <c r="AC559" i="8"/>
  <c r="AH559" i="8" s="1"/>
  <c r="AM559" i="8"/>
  <c r="AR559" i="8" s="1"/>
  <c r="Q559" i="8"/>
  <c r="V559" i="8" s="1"/>
  <c r="AD559" i="8"/>
  <c r="AI559" i="8" s="1"/>
  <c r="R559" i="8"/>
  <c r="W559" i="8" s="1"/>
  <c r="AM560" i="8"/>
  <c r="AR560" i="8" s="1"/>
  <c r="AN560" i="8"/>
  <c r="AS560" i="8" s="1"/>
  <c r="AD560" i="8"/>
  <c r="AI560" i="8" s="1"/>
  <c r="R560" i="8"/>
  <c r="W560" i="8" s="1"/>
  <c r="AL560" i="8"/>
  <c r="AQ560" i="8" s="1"/>
  <c r="AO560" i="8"/>
  <c r="AT560" i="8" s="1"/>
  <c r="P560" i="8"/>
  <c r="U560" i="8" s="1"/>
  <c r="AC560" i="8"/>
  <c r="AH560" i="8" s="1"/>
  <c r="Q560" i="8"/>
  <c r="V560" i="8" s="1"/>
  <c r="AA560" i="8"/>
  <c r="AF560" i="8" s="1"/>
  <c r="S560" i="8"/>
  <c r="X560" i="8" s="1"/>
  <c r="AB560" i="8"/>
  <c r="AG560" i="8" s="1"/>
  <c r="Q556" i="8"/>
  <c r="V556" i="8" s="1"/>
  <c r="AB556" i="8"/>
  <c r="AG556" i="8" s="1"/>
  <c r="AN556" i="8"/>
  <c r="AS556" i="8" s="1"/>
  <c r="AL556" i="8"/>
  <c r="AQ556" i="8" s="1"/>
  <c r="R556" i="8"/>
  <c r="W556" i="8" s="1"/>
  <c r="AM556" i="8"/>
  <c r="AR556" i="8" s="1"/>
  <c r="AC556" i="8"/>
  <c r="AH556" i="8" s="1"/>
  <c r="AO556" i="8"/>
  <c r="AT556" i="8" s="1"/>
  <c r="AA556" i="8"/>
  <c r="AF556" i="8" s="1"/>
  <c r="S556" i="8"/>
  <c r="X556" i="8" s="1"/>
  <c r="P556" i="8"/>
  <c r="U556" i="8" s="1"/>
  <c r="AD556" i="8"/>
  <c r="AI556" i="8" s="1"/>
  <c r="AB549" i="8"/>
  <c r="AG549" i="8" s="1"/>
  <c r="AM549" i="8"/>
  <c r="AR549" i="8" s="1"/>
  <c r="AN549" i="8"/>
  <c r="AS549" i="8" s="1"/>
  <c r="R549" i="8"/>
  <c r="W549" i="8" s="1"/>
  <c r="P549" i="8"/>
  <c r="U549" i="8" s="1"/>
  <c r="AL549" i="8"/>
  <c r="AQ549" i="8" s="1"/>
  <c r="S549" i="8"/>
  <c r="X549" i="8" s="1"/>
  <c r="AA549" i="8"/>
  <c r="AF549" i="8" s="1"/>
  <c r="Q549" i="8"/>
  <c r="V549" i="8" s="1"/>
  <c r="AD549" i="8"/>
  <c r="AI549" i="8" s="1"/>
  <c r="AC549" i="8"/>
  <c r="AH549" i="8" s="1"/>
  <c r="AO549" i="8"/>
  <c r="AT549" i="8" s="1"/>
  <c r="AL558" i="8"/>
  <c r="AQ558" i="8" s="1"/>
  <c r="AD558" i="8"/>
  <c r="AI558" i="8" s="1"/>
  <c r="S558" i="8"/>
  <c r="X558" i="8" s="1"/>
  <c r="R558" i="8"/>
  <c r="W558" i="8" s="1"/>
  <c r="AN558" i="8"/>
  <c r="AS558" i="8" s="1"/>
  <c r="AO558" i="8"/>
  <c r="AT558" i="8" s="1"/>
  <c r="AA558" i="8"/>
  <c r="AF558" i="8" s="1"/>
  <c r="AC558" i="8"/>
  <c r="AH558" i="8" s="1"/>
  <c r="AM558" i="8"/>
  <c r="AR558" i="8" s="1"/>
  <c r="Q558" i="8"/>
  <c r="V558" i="8" s="1"/>
  <c r="AB558" i="8"/>
  <c r="AG558" i="8" s="1"/>
  <c r="P558" i="8"/>
  <c r="U558" i="8" s="1"/>
  <c r="R454" i="8"/>
  <c r="W454" i="8" s="1"/>
  <c r="S454" i="8"/>
  <c r="X454" i="8" s="1"/>
  <c r="AB454" i="8"/>
  <c r="AG454" i="8" s="1"/>
  <c r="AD454" i="8"/>
  <c r="AI454" i="8" s="1"/>
  <c r="AN454" i="8"/>
  <c r="AS454" i="8" s="1"/>
  <c r="AM454" i="8"/>
  <c r="AR454" i="8" s="1"/>
  <c r="AL454" i="8"/>
  <c r="AQ454" i="8" s="1"/>
  <c r="P454" i="8"/>
  <c r="U454" i="8" s="1"/>
  <c r="AO454" i="8"/>
  <c r="AT454" i="8" s="1"/>
  <c r="AA454" i="8"/>
  <c r="AF454" i="8" s="1"/>
  <c r="Q454" i="8"/>
  <c r="V454" i="8" s="1"/>
  <c r="AC454" i="8"/>
  <c r="AH454" i="8" s="1"/>
  <c r="AN584" i="8"/>
  <c r="AS584" i="8" s="1"/>
  <c r="P584" i="8"/>
  <c r="U584" i="8" s="1"/>
  <c r="AC584" i="8"/>
  <c r="AH584" i="8" s="1"/>
  <c r="Q584" i="8"/>
  <c r="V584" i="8" s="1"/>
  <c r="AB584" i="8"/>
  <c r="AG584" i="8" s="1"/>
  <c r="AL584" i="8"/>
  <c r="AQ584" i="8" s="1"/>
  <c r="AO584" i="8"/>
  <c r="AT584" i="8" s="1"/>
  <c r="R584" i="8"/>
  <c r="W584" i="8" s="1"/>
  <c r="S584" i="8"/>
  <c r="X584" i="8" s="1"/>
  <c r="AA584" i="8"/>
  <c r="AF584" i="8" s="1"/>
  <c r="AD584" i="8"/>
  <c r="AI584" i="8" s="1"/>
  <c r="AM584" i="8"/>
  <c r="AR584" i="8" s="1"/>
  <c r="R547" i="8"/>
  <c r="W547" i="8" s="1"/>
  <c r="AN547" i="8"/>
  <c r="AS547" i="8" s="1"/>
  <c r="S547" i="8"/>
  <c r="X547" i="8" s="1"/>
  <c r="AA547" i="8"/>
  <c r="AF547" i="8" s="1"/>
  <c r="P547" i="8"/>
  <c r="U547" i="8" s="1"/>
  <c r="AL547" i="8"/>
  <c r="AQ547" i="8" s="1"/>
  <c r="AC547" i="8"/>
  <c r="AH547" i="8" s="1"/>
  <c r="AB547" i="8"/>
  <c r="AG547" i="8" s="1"/>
  <c r="Q547" i="8"/>
  <c r="V547" i="8" s="1"/>
  <c r="AO547" i="8"/>
  <c r="AT547" i="8" s="1"/>
  <c r="AD547" i="8"/>
  <c r="AI547" i="8" s="1"/>
  <c r="AM547" i="8"/>
  <c r="AR547" i="8" s="1"/>
  <c r="AL567" i="8"/>
  <c r="AQ567" i="8" s="1"/>
  <c r="Q567" i="8"/>
  <c r="V567" i="8" s="1"/>
  <c r="AB567" i="8"/>
  <c r="AG567" i="8" s="1"/>
  <c r="AA567" i="8"/>
  <c r="AF567" i="8" s="1"/>
  <c r="AN567" i="8"/>
  <c r="AS567" i="8" s="1"/>
  <c r="S567" i="8"/>
  <c r="X567" i="8" s="1"/>
  <c r="R567" i="8"/>
  <c r="W567" i="8" s="1"/>
  <c r="AD567" i="8"/>
  <c r="AI567" i="8" s="1"/>
  <c r="P567" i="8"/>
  <c r="U567" i="8" s="1"/>
  <c r="AC567" i="8"/>
  <c r="AH567" i="8" s="1"/>
  <c r="AO567" i="8"/>
  <c r="AT567" i="8" s="1"/>
  <c r="AM567" i="8"/>
  <c r="AR567" i="8" s="1"/>
  <c r="AB566" i="8"/>
  <c r="AG566" i="8" s="1"/>
  <c r="P566" i="8"/>
  <c r="U566" i="8" s="1"/>
  <c r="AM566" i="8"/>
  <c r="AR566" i="8" s="1"/>
  <c r="S566" i="8"/>
  <c r="X566" i="8" s="1"/>
  <c r="AN566" i="8"/>
  <c r="AS566" i="8" s="1"/>
  <c r="AC566" i="8"/>
  <c r="AH566" i="8" s="1"/>
  <c r="AL566" i="8"/>
  <c r="AQ566" i="8" s="1"/>
  <c r="AD566" i="8"/>
  <c r="AI566" i="8" s="1"/>
  <c r="AO566" i="8"/>
  <c r="AT566" i="8" s="1"/>
  <c r="Q566" i="8"/>
  <c r="V566" i="8" s="1"/>
  <c r="R566" i="8"/>
  <c r="W566" i="8" s="1"/>
  <c r="AA566" i="8"/>
  <c r="AF566" i="8" s="1"/>
  <c r="AM542" i="8"/>
  <c r="AR542" i="8" s="1"/>
  <c r="AO542" i="8"/>
  <c r="AT542" i="8" s="1"/>
  <c r="R542" i="8"/>
  <c r="W542" i="8" s="1"/>
  <c r="Q542" i="8"/>
  <c r="V542" i="8" s="1"/>
  <c r="AL542" i="8"/>
  <c r="AQ542" i="8" s="1"/>
  <c r="AC542" i="8"/>
  <c r="AH542" i="8" s="1"/>
  <c r="S542" i="8"/>
  <c r="X542" i="8" s="1"/>
  <c r="AB542" i="8"/>
  <c r="AG542" i="8" s="1"/>
  <c r="P542" i="8"/>
  <c r="U542" i="8" s="1"/>
  <c r="AA542" i="8"/>
  <c r="AF542" i="8" s="1"/>
  <c r="AN542" i="8"/>
  <c r="AS542" i="8" s="1"/>
  <c r="AD542" i="8"/>
  <c r="AI542" i="8" s="1"/>
  <c r="AD551" i="8"/>
  <c r="AI551" i="8" s="1"/>
  <c r="AA551" i="8"/>
  <c r="AF551" i="8" s="1"/>
  <c r="AO551" i="8"/>
  <c r="AT551" i="8" s="1"/>
  <c r="Q551" i="8"/>
  <c r="V551" i="8" s="1"/>
  <c r="P551" i="8"/>
  <c r="U551" i="8" s="1"/>
  <c r="R551" i="8"/>
  <c r="W551" i="8" s="1"/>
  <c r="AC551" i="8"/>
  <c r="AH551" i="8" s="1"/>
  <c r="AN551" i="8"/>
  <c r="AS551" i="8" s="1"/>
  <c r="AB551" i="8"/>
  <c r="AG551" i="8" s="1"/>
  <c r="AM551" i="8"/>
  <c r="AR551" i="8" s="1"/>
  <c r="AL551" i="8"/>
  <c r="AQ551" i="8" s="1"/>
  <c r="S551" i="8"/>
  <c r="X551" i="8" s="1"/>
  <c r="AN517" i="8"/>
  <c r="AS517" i="8" s="1"/>
  <c r="AB517" i="8"/>
  <c r="AG517" i="8" s="1"/>
  <c r="AL517" i="8"/>
  <c r="AQ517" i="8" s="1"/>
  <c r="Q517" i="8"/>
  <c r="V517" i="8" s="1"/>
  <c r="AA517" i="8"/>
  <c r="AF517" i="8" s="1"/>
  <c r="S517" i="8"/>
  <c r="X517" i="8" s="1"/>
  <c r="AM517" i="8"/>
  <c r="AR517" i="8" s="1"/>
  <c r="AO517" i="8"/>
  <c r="AT517" i="8" s="1"/>
  <c r="R517" i="8"/>
  <c r="W517" i="8" s="1"/>
  <c r="AC517" i="8"/>
  <c r="AH517" i="8" s="1"/>
  <c r="P517" i="8"/>
  <c r="U517" i="8" s="1"/>
  <c r="AD517" i="8"/>
  <c r="AI517" i="8" s="1"/>
  <c r="Q563" i="8"/>
  <c r="V563" i="8" s="1"/>
  <c r="AD563" i="8"/>
  <c r="AI563" i="8" s="1"/>
  <c r="S563" i="8"/>
  <c r="X563" i="8" s="1"/>
  <c r="P563" i="8"/>
  <c r="U563" i="8" s="1"/>
  <c r="AO563" i="8"/>
  <c r="AT563" i="8" s="1"/>
  <c r="AA563" i="8"/>
  <c r="AF563" i="8" s="1"/>
  <c r="AB563" i="8"/>
  <c r="AG563" i="8" s="1"/>
  <c r="AM563" i="8"/>
  <c r="AR563" i="8" s="1"/>
  <c r="R563" i="8"/>
  <c r="W563" i="8" s="1"/>
  <c r="AC563" i="8"/>
  <c r="AH563" i="8" s="1"/>
  <c r="AN563" i="8"/>
  <c r="AS563" i="8" s="1"/>
  <c r="AL563" i="8"/>
  <c r="AQ563" i="8" s="1"/>
  <c r="AD555" i="8"/>
  <c r="AI555" i="8" s="1"/>
  <c r="R555" i="8"/>
  <c r="W555" i="8" s="1"/>
  <c r="AA555" i="8"/>
  <c r="AF555" i="8" s="1"/>
  <c r="AM555" i="8"/>
  <c r="AR555" i="8" s="1"/>
  <c r="AB555" i="8"/>
  <c r="AG555" i="8" s="1"/>
  <c r="AL555" i="8"/>
  <c r="AQ555" i="8" s="1"/>
  <c r="AN555" i="8"/>
  <c r="AS555" i="8" s="1"/>
  <c r="AC555" i="8"/>
  <c r="AH555" i="8" s="1"/>
  <c r="S555" i="8"/>
  <c r="X555" i="8" s="1"/>
  <c r="Q555" i="8"/>
  <c r="V555" i="8" s="1"/>
  <c r="P555" i="8"/>
  <c r="U555" i="8" s="1"/>
  <c r="AO555" i="8"/>
  <c r="AT555" i="8" s="1"/>
  <c r="Q572" i="8"/>
  <c r="V572" i="8" s="1"/>
  <c r="AB572" i="8"/>
  <c r="AG572" i="8" s="1"/>
  <c r="AN572" i="8"/>
  <c r="AS572" i="8" s="1"/>
  <c r="AD572" i="8"/>
  <c r="AI572" i="8" s="1"/>
  <c r="P572" i="8"/>
  <c r="U572" i="8" s="1"/>
  <c r="R572" i="8"/>
  <c r="W572" i="8" s="1"/>
  <c r="AL572" i="8"/>
  <c r="AQ572" i="8" s="1"/>
  <c r="AC572" i="8"/>
  <c r="AH572" i="8" s="1"/>
  <c r="S572" i="8"/>
  <c r="X572" i="8" s="1"/>
  <c r="AA572" i="8"/>
  <c r="AF572" i="8" s="1"/>
  <c r="AO572" i="8"/>
  <c r="AT572" i="8" s="1"/>
  <c r="AM572" i="8"/>
  <c r="AR572" i="8" s="1"/>
  <c r="AM581" i="8"/>
  <c r="AR581" i="8" s="1"/>
  <c r="AN581" i="8"/>
  <c r="AS581" i="8" s="1"/>
  <c r="Q581" i="8"/>
  <c r="V581" i="8" s="1"/>
  <c r="AD581" i="8"/>
  <c r="AI581" i="8" s="1"/>
  <c r="R581" i="8"/>
  <c r="W581" i="8" s="1"/>
  <c r="AO581" i="8"/>
  <c r="AT581" i="8" s="1"/>
  <c r="AA581" i="8"/>
  <c r="AF581" i="8" s="1"/>
  <c r="S581" i="8"/>
  <c r="X581" i="8" s="1"/>
  <c r="AC581" i="8"/>
  <c r="AH581" i="8" s="1"/>
  <c r="AB581" i="8"/>
  <c r="AG581" i="8" s="1"/>
  <c r="AL581" i="8"/>
  <c r="AQ581" i="8" s="1"/>
  <c r="P581" i="8"/>
  <c r="U581" i="8" s="1"/>
  <c r="AC585" i="8"/>
  <c r="AH585" i="8" s="1"/>
  <c r="AM585" i="8"/>
  <c r="AR585" i="8" s="1"/>
  <c r="AD585" i="8"/>
  <c r="AI585" i="8" s="1"/>
  <c r="S585" i="8"/>
  <c r="X585" i="8" s="1"/>
  <c r="R585" i="8"/>
  <c r="W585" i="8" s="1"/>
  <c r="AL585" i="8"/>
  <c r="AQ585" i="8" s="1"/>
  <c r="AB585" i="8"/>
  <c r="AG585" i="8" s="1"/>
  <c r="AA585" i="8"/>
  <c r="AF585" i="8" s="1"/>
  <c r="AO585" i="8"/>
  <c r="AT585" i="8" s="1"/>
  <c r="Q585" i="8"/>
  <c r="V585" i="8" s="1"/>
  <c r="AN585" i="8"/>
  <c r="AS585" i="8" s="1"/>
  <c r="P585" i="8"/>
  <c r="U585" i="8" s="1"/>
  <c r="Q550" i="8"/>
  <c r="V550" i="8" s="1"/>
  <c r="AN550" i="8"/>
  <c r="AS550" i="8" s="1"/>
  <c r="AL550" i="8"/>
  <c r="AQ550" i="8" s="1"/>
  <c r="P550" i="8"/>
  <c r="U550" i="8" s="1"/>
  <c r="AD550" i="8"/>
  <c r="AI550" i="8" s="1"/>
  <c r="AO550" i="8"/>
  <c r="AT550" i="8" s="1"/>
  <c r="AM550" i="8"/>
  <c r="AR550" i="8" s="1"/>
  <c r="AA550" i="8"/>
  <c r="AF550" i="8" s="1"/>
  <c r="AC550" i="8"/>
  <c r="AH550" i="8" s="1"/>
  <c r="S550" i="8"/>
  <c r="X550" i="8" s="1"/>
  <c r="R550" i="8"/>
  <c r="W550" i="8" s="1"/>
  <c r="AB550" i="8"/>
  <c r="AG550" i="8" s="1"/>
  <c r="AB570" i="8"/>
  <c r="AG570" i="8" s="1"/>
  <c r="Q570" i="8"/>
  <c r="V570" i="8" s="1"/>
  <c r="AN570" i="8"/>
  <c r="AS570" i="8" s="1"/>
  <c r="AD570" i="8"/>
  <c r="AI570" i="8" s="1"/>
  <c r="AO570" i="8"/>
  <c r="AT570" i="8" s="1"/>
  <c r="AL570" i="8"/>
  <c r="AQ570" i="8" s="1"/>
  <c r="P570" i="8"/>
  <c r="U570" i="8" s="1"/>
  <c r="R570" i="8"/>
  <c r="W570" i="8" s="1"/>
  <c r="AM570" i="8"/>
  <c r="AR570" i="8" s="1"/>
  <c r="AC570" i="8"/>
  <c r="AH570" i="8" s="1"/>
  <c r="S570" i="8"/>
  <c r="X570" i="8" s="1"/>
  <c r="AA570" i="8"/>
  <c r="AF570" i="8" s="1"/>
  <c r="AC564" i="8"/>
  <c r="AH564" i="8" s="1"/>
  <c r="AB564" i="8"/>
  <c r="AG564" i="8" s="1"/>
  <c r="AN564" i="8"/>
  <c r="AS564" i="8" s="1"/>
  <c r="R564" i="8"/>
  <c r="W564" i="8" s="1"/>
  <c r="P564" i="8"/>
  <c r="U564" i="8" s="1"/>
  <c r="AO564" i="8"/>
  <c r="AT564" i="8" s="1"/>
  <c r="AA564" i="8"/>
  <c r="AF564" i="8" s="1"/>
  <c r="S564" i="8"/>
  <c r="X564" i="8" s="1"/>
  <c r="Q564" i="8"/>
  <c r="V564" i="8" s="1"/>
  <c r="AM564" i="8"/>
  <c r="AR564" i="8" s="1"/>
  <c r="AD564" i="8"/>
  <c r="AI564" i="8" s="1"/>
  <c r="AL564" i="8"/>
  <c r="AQ564" i="8" s="1"/>
  <c r="AC576" i="8"/>
  <c r="AH576" i="8" s="1"/>
  <c r="R576" i="8"/>
  <c r="W576" i="8" s="1"/>
  <c r="AN576" i="8"/>
  <c r="AS576" i="8" s="1"/>
  <c r="AM576" i="8"/>
  <c r="AR576" i="8" s="1"/>
  <c r="AL576" i="8"/>
  <c r="AQ576" i="8" s="1"/>
  <c r="P576" i="8"/>
  <c r="U576" i="8" s="1"/>
  <c r="Q576" i="8"/>
  <c r="V576" i="8" s="1"/>
  <c r="AA576" i="8"/>
  <c r="AF576" i="8" s="1"/>
  <c r="AD576" i="8"/>
  <c r="AI576" i="8" s="1"/>
  <c r="AO576" i="8"/>
  <c r="AT576" i="8" s="1"/>
  <c r="S576" i="8"/>
  <c r="X576" i="8" s="1"/>
  <c r="AB576" i="8"/>
  <c r="AG576" i="8" s="1"/>
  <c r="AB589" i="8"/>
  <c r="AG589" i="8" s="1"/>
  <c r="AA589" i="8"/>
  <c r="AF589" i="8" s="1"/>
  <c r="P589" i="8"/>
  <c r="U589" i="8" s="1"/>
  <c r="S589" i="8"/>
  <c r="X589" i="8" s="1"/>
  <c r="AM589" i="8"/>
  <c r="AR589" i="8" s="1"/>
  <c r="R589" i="8"/>
  <c r="W589" i="8" s="1"/>
  <c r="Q589" i="8"/>
  <c r="V589" i="8" s="1"/>
  <c r="AN589" i="8"/>
  <c r="AS589" i="8" s="1"/>
  <c r="AO589" i="8"/>
  <c r="AT589" i="8" s="1"/>
  <c r="AC589" i="8"/>
  <c r="AH589" i="8" s="1"/>
  <c r="AD589" i="8"/>
  <c r="AI589" i="8" s="1"/>
  <c r="AL589" i="8"/>
  <c r="AQ589" i="8" s="1"/>
  <c r="R543" i="8"/>
  <c r="W543" i="8" s="1"/>
  <c r="AM543" i="8"/>
  <c r="AR543" i="8" s="1"/>
  <c r="AL543" i="8"/>
  <c r="AQ543" i="8" s="1"/>
  <c r="AO543" i="8"/>
  <c r="AT543" i="8" s="1"/>
  <c r="Q543" i="8"/>
  <c r="V543" i="8" s="1"/>
  <c r="AA543" i="8"/>
  <c r="AF543" i="8" s="1"/>
  <c r="S543" i="8"/>
  <c r="X543" i="8" s="1"/>
  <c r="AD543" i="8"/>
  <c r="AI543" i="8" s="1"/>
  <c r="AB543" i="8"/>
  <c r="AG543" i="8" s="1"/>
  <c r="P543" i="8"/>
  <c r="U543" i="8" s="1"/>
  <c r="AC543" i="8"/>
  <c r="AH543" i="8" s="1"/>
  <c r="AN543" i="8"/>
  <c r="AS543" i="8" s="1"/>
  <c r="AD541" i="8"/>
  <c r="AI541" i="8" s="1"/>
  <c r="AL541" i="8"/>
  <c r="AQ541" i="8" s="1"/>
  <c r="AB541" i="8"/>
  <c r="AG541" i="8" s="1"/>
  <c r="AA541" i="8"/>
  <c r="AF541" i="8" s="1"/>
  <c r="Q541" i="8"/>
  <c r="V541" i="8" s="1"/>
  <c r="R541" i="8"/>
  <c r="W541" i="8" s="1"/>
  <c r="AO541" i="8"/>
  <c r="AT541" i="8" s="1"/>
  <c r="AM541" i="8"/>
  <c r="AR541" i="8" s="1"/>
  <c r="S541" i="8"/>
  <c r="X541" i="8" s="1"/>
  <c r="AN541" i="8"/>
  <c r="AS541" i="8" s="1"/>
  <c r="P541" i="8"/>
  <c r="U541" i="8" s="1"/>
  <c r="AC541" i="8"/>
  <c r="AH541" i="8" s="1"/>
  <c r="S565" i="8"/>
  <c r="X565" i="8" s="1"/>
  <c r="Q565" i="8"/>
  <c r="V565" i="8" s="1"/>
  <c r="AO565" i="8"/>
  <c r="AT565" i="8" s="1"/>
  <c r="AB565" i="8"/>
  <c r="AG565" i="8" s="1"/>
  <c r="AC565" i="8"/>
  <c r="AH565" i="8" s="1"/>
  <c r="R565" i="8"/>
  <c r="W565" i="8" s="1"/>
  <c r="AM565" i="8"/>
  <c r="AR565" i="8" s="1"/>
  <c r="P565" i="8"/>
  <c r="U565" i="8" s="1"/>
  <c r="AD565" i="8"/>
  <c r="AI565" i="8" s="1"/>
  <c r="AA565" i="8"/>
  <c r="AF565" i="8" s="1"/>
  <c r="AL565" i="8"/>
  <c r="AQ565" i="8" s="1"/>
  <c r="AN565" i="8"/>
  <c r="AS565" i="8" s="1"/>
  <c r="AN580" i="8"/>
  <c r="AS580" i="8" s="1"/>
  <c r="AD580" i="8"/>
  <c r="AI580" i="8" s="1"/>
  <c r="S580" i="8"/>
  <c r="X580" i="8" s="1"/>
  <c r="AO580" i="8"/>
  <c r="AT580" i="8" s="1"/>
  <c r="AM580" i="8"/>
  <c r="AR580" i="8" s="1"/>
  <c r="Q580" i="8"/>
  <c r="V580" i="8" s="1"/>
  <c r="AC580" i="8"/>
  <c r="AH580" i="8" s="1"/>
  <c r="P580" i="8"/>
  <c r="U580" i="8" s="1"/>
  <c r="R580" i="8"/>
  <c r="W580" i="8" s="1"/>
  <c r="AA580" i="8"/>
  <c r="AF580" i="8" s="1"/>
  <c r="AB580" i="8"/>
  <c r="AG580" i="8" s="1"/>
  <c r="AL580" i="8"/>
  <c r="AQ580" i="8" s="1"/>
  <c r="P569" i="8"/>
  <c r="U569" i="8" s="1"/>
  <c r="AA569" i="8"/>
  <c r="AF569" i="8" s="1"/>
  <c r="S569" i="8"/>
  <c r="X569" i="8" s="1"/>
  <c r="AM569" i="8"/>
  <c r="AR569" i="8" s="1"/>
  <c r="AC569" i="8"/>
  <c r="AH569" i="8" s="1"/>
  <c r="AN569" i="8"/>
  <c r="AS569" i="8" s="1"/>
  <c r="Q569" i="8"/>
  <c r="V569" i="8" s="1"/>
  <c r="AD569" i="8"/>
  <c r="AI569" i="8" s="1"/>
  <c r="AO569" i="8"/>
  <c r="AT569" i="8" s="1"/>
  <c r="AL569" i="8"/>
  <c r="AQ569" i="8" s="1"/>
  <c r="R569" i="8"/>
  <c r="W569" i="8" s="1"/>
  <c r="AB569" i="8"/>
  <c r="AG569" i="8" s="1"/>
  <c r="AD552" i="8"/>
  <c r="AI552" i="8" s="1"/>
  <c r="AA552" i="8"/>
  <c r="AF552" i="8" s="1"/>
  <c r="Q552" i="8"/>
  <c r="V552" i="8" s="1"/>
  <c r="AM552" i="8"/>
  <c r="AR552" i="8" s="1"/>
  <c r="S552" i="8"/>
  <c r="X552" i="8" s="1"/>
  <c r="AN552" i="8"/>
  <c r="AS552" i="8" s="1"/>
  <c r="AC552" i="8"/>
  <c r="AH552" i="8" s="1"/>
  <c r="AO552" i="8"/>
  <c r="AT552" i="8" s="1"/>
  <c r="P552" i="8"/>
  <c r="U552" i="8" s="1"/>
  <c r="AB552" i="8"/>
  <c r="AG552" i="8" s="1"/>
  <c r="AL552" i="8"/>
  <c r="AQ552" i="8" s="1"/>
  <c r="R552" i="8"/>
  <c r="W552" i="8" s="1"/>
  <c r="AL561" i="8"/>
  <c r="AQ561" i="8" s="1"/>
  <c r="AC561" i="8"/>
  <c r="AH561" i="8" s="1"/>
  <c r="R561" i="8"/>
  <c r="W561" i="8" s="1"/>
  <c r="AB561" i="8"/>
  <c r="AG561" i="8" s="1"/>
  <c r="AN561" i="8"/>
  <c r="AS561" i="8" s="1"/>
  <c r="S561" i="8"/>
  <c r="X561" i="8" s="1"/>
  <c r="AO561" i="8"/>
  <c r="AT561" i="8" s="1"/>
  <c r="Q561" i="8"/>
  <c r="V561" i="8" s="1"/>
  <c r="AD561" i="8"/>
  <c r="AI561" i="8" s="1"/>
  <c r="P561" i="8"/>
  <c r="U561" i="8" s="1"/>
  <c r="AM561" i="8"/>
  <c r="AR561" i="8" s="1"/>
  <c r="AA561" i="8"/>
  <c r="AF561" i="8" s="1"/>
  <c r="AD544" i="8"/>
  <c r="AI544" i="8" s="1"/>
  <c r="AC544" i="8"/>
  <c r="AH544" i="8" s="1"/>
  <c r="AA544" i="8"/>
  <c r="AF544" i="8" s="1"/>
  <c r="S544" i="8"/>
  <c r="X544" i="8" s="1"/>
  <c r="AL544" i="8"/>
  <c r="AQ544" i="8" s="1"/>
  <c r="AN544" i="8"/>
  <c r="AS544" i="8" s="1"/>
  <c r="AB544" i="8"/>
  <c r="AG544" i="8" s="1"/>
  <c r="P544" i="8"/>
  <c r="U544" i="8" s="1"/>
  <c r="Q544" i="8"/>
  <c r="V544" i="8" s="1"/>
  <c r="R544" i="8"/>
  <c r="W544" i="8" s="1"/>
  <c r="AM544" i="8"/>
  <c r="AR544" i="8" s="1"/>
  <c r="AO544" i="8"/>
  <c r="AT544" i="8" s="1"/>
  <c r="AC553" i="8"/>
  <c r="AH553" i="8" s="1"/>
  <c r="AL553" i="8"/>
  <c r="AQ553" i="8" s="1"/>
  <c r="S553" i="8"/>
  <c r="X553" i="8" s="1"/>
  <c r="Q553" i="8"/>
  <c r="V553" i="8" s="1"/>
  <c r="AM553" i="8"/>
  <c r="AR553" i="8" s="1"/>
  <c r="R553" i="8"/>
  <c r="W553" i="8" s="1"/>
  <c r="AA553" i="8"/>
  <c r="AF553" i="8" s="1"/>
  <c r="AB553" i="8"/>
  <c r="AG553" i="8" s="1"/>
  <c r="AD553" i="8"/>
  <c r="AI553" i="8" s="1"/>
  <c r="AO553" i="8"/>
  <c r="AT553" i="8" s="1"/>
  <c r="AN553" i="8"/>
  <c r="AS553" i="8" s="1"/>
  <c r="P553" i="8"/>
  <c r="U553" i="8" s="1"/>
  <c r="AM579" i="8"/>
  <c r="AR579" i="8" s="1"/>
  <c r="AL579" i="8"/>
  <c r="AQ579" i="8" s="1"/>
  <c r="P579" i="8"/>
  <c r="U579" i="8" s="1"/>
  <c r="AC579" i="8"/>
  <c r="AH579" i="8" s="1"/>
  <c r="AB579" i="8"/>
  <c r="AG579" i="8" s="1"/>
  <c r="AD579" i="8"/>
  <c r="AI579" i="8" s="1"/>
  <c r="AO579" i="8"/>
  <c r="AT579" i="8" s="1"/>
  <c r="R579" i="8"/>
  <c r="W579" i="8" s="1"/>
  <c r="AN579" i="8"/>
  <c r="AS579" i="8" s="1"/>
  <c r="S579" i="8"/>
  <c r="X579" i="8" s="1"/>
  <c r="Q579" i="8"/>
  <c r="V579" i="8" s="1"/>
  <c r="AA579" i="8"/>
  <c r="AF579" i="8" s="1"/>
  <c r="Q573" i="8"/>
  <c r="V573" i="8" s="1"/>
  <c r="AC573" i="8"/>
  <c r="AH573" i="8" s="1"/>
  <c r="AN573" i="8"/>
  <c r="AS573" i="8" s="1"/>
  <c r="AD573" i="8"/>
  <c r="AI573" i="8" s="1"/>
  <c r="P573" i="8"/>
  <c r="U573" i="8" s="1"/>
  <c r="R573" i="8"/>
  <c r="W573" i="8" s="1"/>
  <c r="AB573" i="8"/>
  <c r="AG573" i="8" s="1"/>
  <c r="AO573" i="8"/>
  <c r="AT573" i="8" s="1"/>
  <c r="AM573" i="8"/>
  <c r="AR573" i="8" s="1"/>
  <c r="AL573" i="8"/>
  <c r="AQ573" i="8" s="1"/>
  <c r="AA573" i="8"/>
  <c r="AF573" i="8" s="1"/>
  <c r="S573" i="8"/>
  <c r="X573" i="8" s="1"/>
  <c r="R583" i="8"/>
  <c r="W583" i="8" s="1"/>
  <c r="AA583" i="8"/>
  <c r="AF583" i="8" s="1"/>
  <c r="AM583" i="8"/>
  <c r="AR583" i="8" s="1"/>
  <c r="AD583" i="8"/>
  <c r="AI583" i="8" s="1"/>
  <c r="P583" i="8"/>
  <c r="U583" i="8" s="1"/>
  <c r="AO583" i="8"/>
  <c r="AT583" i="8" s="1"/>
  <c r="Q583" i="8"/>
  <c r="V583" i="8" s="1"/>
  <c r="AB583" i="8"/>
  <c r="AG583" i="8" s="1"/>
  <c r="AC583" i="8"/>
  <c r="AH583" i="8" s="1"/>
  <c r="S583" i="8"/>
  <c r="X583" i="8" s="1"/>
  <c r="AL583" i="8"/>
  <c r="AQ583" i="8" s="1"/>
  <c r="AN583" i="8"/>
  <c r="AS583" i="8" s="1"/>
  <c r="R475" i="8"/>
  <c r="W475" i="8" s="1"/>
  <c r="AL475" i="8"/>
  <c r="AQ475" i="8" s="1"/>
  <c r="P475" i="8"/>
  <c r="U475" i="8" s="1"/>
  <c r="AC475" i="8"/>
  <c r="AH475" i="8" s="1"/>
  <c r="AO475" i="8"/>
  <c r="AT475" i="8" s="1"/>
  <c r="AD475" i="8"/>
  <c r="AI475" i="8" s="1"/>
  <c r="Q475" i="8"/>
  <c r="V475" i="8" s="1"/>
  <c r="AM475" i="8"/>
  <c r="AR475" i="8" s="1"/>
  <c r="S475" i="8"/>
  <c r="X475" i="8" s="1"/>
  <c r="AA475" i="8"/>
  <c r="AF475" i="8" s="1"/>
  <c r="AB475" i="8"/>
  <c r="AG475" i="8" s="1"/>
  <c r="AN475" i="8"/>
  <c r="AS475" i="8" s="1"/>
  <c r="AD588" i="8"/>
  <c r="AI588" i="8" s="1"/>
  <c r="AN588" i="8"/>
  <c r="AS588" i="8" s="1"/>
  <c r="S588" i="8"/>
  <c r="X588" i="8" s="1"/>
  <c r="Q588" i="8"/>
  <c r="V588" i="8" s="1"/>
  <c r="AM588" i="8"/>
  <c r="AR588" i="8" s="1"/>
  <c r="AC588" i="8"/>
  <c r="AH588" i="8" s="1"/>
  <c r="P588" i="8"/>
  <c r="U588" i="8" s="1"/>
  <c r="AO588" i="8"/>
  <c r="AT588" i="8" s="1"/>
  <c r="R588" i="8"/>
  <c r="W588" i="8" s="1"/>
  <c r="AA588" i="8"/>
  <c r="AF588" i="8" s="1"/>
  <c r="AB588" i="8"/>
  <c r="AG588" i="8" s="1"/>
  <c r="AL588" i="8"/>
  <c r="AQ588" i="8" s="1"/>
  <c r="AN548" i="8"/>
  <c r="AS548" i="8" s="1"/>
  <c r="AB548" i="8"/>
  <c r="AG548" i="8" s="1"/>
  <c r="AM548" i="8"/>
  <c r="AR548" i="8" s="1"/>
  <c r="S548" i="8"/>
  <c r="X548" i="8" s="1"/>
  <c r="Q548" i="8"/>
  <c r="V548" i="8" s="1"/>
  <c r="R548" i="8"/>
  <c r="W548" i="8" s="1"/>
  <c r="AO548" i="8"/>
  <c r="AT548" i="8" s="1"/>
  <c r="AL548" i="8"/>
  <c r="AQ548" i="8" s="1"/>
  <c r="AA548" i="8"/>
  <c r="AF548" i="8" s="1"/>
  <c r="P548" i="8"/>
  <c r="U548" i="8" s="1"/>
  <c r="AC548" i="8"/>
  <c r="AH548" i="8" s="1"/>
  <c r="AD548" i="8"/>
  <c r="AI548" i="8" s="1"/>
  <c r="AN433" i="8"/>
  <c r="AS433" i="8" s="1"/>
  <c r="R433" i="8"/>
  <c r="W433" i="8" s="1"/>
  <c r="AC433" i="8"/>
  <c r="AH433" i="8" s="1"/>
  <c r="AL433" i="8"/>
  <c r="AQ433" i="8" s="1"/>
  <c r="AA433" i="8"/>
  <c r="AF433" i="8" s="1"/>
  <c r="AO433" i="8"/>
  <c r="AT433" i="8" s="1"/>
  <c r="Q433" i="8"/>
  <c r="V433" i="8" s="1"/>
  <c r="AD433" i="8"/>
  <c r="AI433" i="8" s="1"/>
  <c r="AM433" i="8"/>
  <c r="AR433" i="8" s="1"/>
  <c r="AB433" i="8"/>
  <c r="AG433" i="8" s="1"/>
  <c r="P433" i="8"/>
  <c r="U433" i="8" s="1"/>
  <c r="S433" i="8"/>
  <c r="X433" i="8" s="1"/>
  <c r="R577" i="8"/>
  <c r="W577" i="8" s="1"/>
  <c r="AN577" i="8"/>
  <c r="AS577" i="8" s="1"/>
  <c r="AB577" i="8"/>
  <c r="AG577" i="8" s="1"/>
  <c r="AL577" i="8"/>
  <c r="AQ577" i="8" s="1"/>
  <c r="S577" i="8"/>
  <c r="X577" i="8" s="1"/>
  <c r="AA577" i="8"/>
  <c r="AF577" i="8" s="1"/>
  <c r="P577" i="8"/>
  <c r="U577" i="8" s="1"/>
  <c r="AD577" i="8"/>
  <c r="AI577" i="8" s="1"/>
  <c r="Q577" i="8"/>
  <c r="V577" i="8" s="1"/>
  <c r="AO577" i="8"/>
  <c r="AT577" i="8" s="1"/>
  <c r="AM577" i="8"/>
  <c r="AR577" i="8" s="1"/>
  <c r="AC577" i="8"/>
  <c r="AH577" i="8" s="1"/>
  <c r="AO568" i="8"/>
  <c r="AT568" i="8" s="1"/>
  <c r="AB568" i="8"/>
  <c r="AG568" i="8" s="1"/>
  <c r="AA568" i="8"/>
  <c r="AF568" i="8" s="1"/>
  <c r="S568" i="8"/>
  <c r="X568" i="8" s="1"/>
  <c r="R568" i="8"/>
  <c r="W568" i="8" s="1"/>
  <c r="AD568" i="8"/>
  <c r="AI568" i="8" s="1"/>
  <c r="Q568" i="8"/>
  <c r="V568" i="8" s="1"/>
  <c r="P568" i="8"/>
  <c r="U568" i="8" s="1"/>
  <c r="AN568" i="8"/>
  <c r="AS568" i="8" s="1"/>
  <c r="AL568" i="8"/>
  <c r="AQ568" i="8" s="1"/>
  <c r="AM568" i="8"/>
  <c r="AR568" i="8" s="1"/>
  <c r="AC568" i="8"/>
  <c r="AH568" i="8" s="1"/>
  <c r="AA582" i="8"/>
  <c r="AF582" i="8" s="1"/>
  <c r="AB582" i="8"/>
  <c r="AG582" i="8" s="1"/>
  <c r="P582" i="8"/>
  <c r="U582" i="8" s="1"/>
  <c r="R582" i="8"/>
  <c r="W582" i="8" s="1"/>
  <c r="AN582" i="8"/>
  <c r="AS582" i="8" s="1"/>
  <c r="AD582" i="8"/>
  <c r="AI582" i="8" s="1"/>
  <c r="AL582" i="8"/>
  <c r="AQ582" i="8" s="1"/>
  <c r="S582" i="8"/>
  <c r="X582" i="8" s="1"/>
  <c r="AC582" i="8"/>
  <c r="AH582" i="8" s="1"/>
  <c r="AM582" i="8"/>
  <c r="AR582" i="8" s="1"/>
  <c r="Q582" i="8"/>
  <c r="V582" i="8" s="1"/>
  <c r="AO582" i="8"/>
  <c r="AT582" i="8" s="1"/>
  <c r="AL574" i="8"/>
  <c r="AQ574" i="8" s="1"/>
  <c r="AO574" i="8"/>
  <c r="AT574" i="8" s="1"/>
  <c r="AB574" i="8"/>
  <c r="AG574" i="8" s="1"/>
  <c r="Q574" i="8"/>
  <c r="V574" i="8" s="1"/>
  <c r="AA574" i="8"/>
  <c r="AF574" i="8" s="1"/>
  <c r="AD574" i="8"/>
  <c r="AI574" i="8" s="1"/>
  <c r="S574" i="8"/>
  <c r="X574" i="8" s="1"/>
  <c r="R574" i="8"/>
  <c r="W574" i="8" s="1"/>
  <c r="AM574" i="8"/>
  <c r="AR574" i="8" s="1"/>
  <c r="P574" i="8"/>
  <c r="U574" i="8" s="1"/>
  <c r="AC574" i="8"/>
  <c r="AH574" i="8" s="1"/>
  <c r="AN574" i="8"/>
  <c r="AS574" i="8" s="1"/>
  <c r="AC545" i="8"/>
  <c r="AH545" i="8" s="1"/>
  <c r="AO545" i="8"/>
  <c r="AT545" i="8" s="1"/>
  <c r="AB545" i="8"/>
  <c r="AG545" i="8" s="1"/>
  <c r="AM545" i="8"/>
  <c r="AR545" i="8" s="1"/>
  <c r="AD545" i="8"/>
  <c r="AI545" i="8" s="1"/>
  <c r="P545" i="8"/>
  <c r="U545" i="8" s="1"/>
  <c r="AL545" i="8"/>
  <c r="AQ545" i="8" s="1"/>
  <c r="AN545" i="8"/>
  <c r="AS545" i="8" s="1"/>
  <c r="AA545" i="8"/>
  <c r="AF545" i="8" s="1"/>
  <c r="S545" i="8"/>
  <c r="X545" i="8" s="1"/>
  <c r="Q545" i="8"/>
  <c r="V545" i="8" s="1"/>
  <c r="R545" i="8"/>
  <c r="W545" i="8" s="1"/>
  <c r="AM586" i="8"/>
  <c r="AR586" i="8" s="1"/>
  <c r="Q586" i="8"/>
  <c r="V586" i="8" s="1"/>
  <c r="AC586" i="8"/>
  <c r="AH586" i="8" s="1"/>
  <c r="AA586" i="8"/>
  <c r="AF586" i="8" s="1"/>
  <c r="AL586" i="8"/>
  <c r="AQ586" i="8" s="1"/>
  <c r="AB586" i="8"/>
  <c r="AG586" i="8" s="1"/>
  <c r="AO586" i="8"/>
  <c r="AT586" i="8" s="1"/>
  <c r="P586" i="8"/>
  <c r="U586" i="8" s="1"/>
  <c r="R586" i="8"/>
  <c r="W586" i="8" s="1"/>
  <c r="S586" i="8"/>
  <c r="X586" i="8" s="1"/>
  <c r="AD586" i="8"/>
  <c r="AI586" i="8" s="1"/>
  <c r="AN586" i="8"/>
  <c r="AS586" i="8" s="1"/>
  <c r="R587" i="8"/>
  <c r="W587" i="8" s="1"/>
  <c r="AD587" i="8"/>
  <c r="AI587" i="8" s="1"/>
  <c r="AO587" i="8"/>
  <c r="AT587" i="8" s="1"/>
  <c r="AC587" i="8"/>
  <c r="AH587" i="8" s="1"/>
  <c r="AN587" i="8"/>
  <c r="AS587" i="8" s="1"/>
  <c r="S587" i="8"/>
  <c r="X587" i="8" s="1"/>
  <c r="P587" i="8"/>
  <c r="U587" i="8" s="1"/>
  <c r="AA587" i="8"/>
  <c r="AF587" i="8" s="1"/>
  <c r="AL587" i="8"/>
  <c r="AQ587" i="8" s="1"/>
  <c r="Q587" i="8"/>
  <c r="V587" i="8" s="1"/>
  <c r="AB587" i="8"/>
  <c r="AG587" i="8" s="1"/>
  <c r="AM587" i="8"/>
  <c r="AR587" i="8" s="1"/>
  <c r="R557" i="8"/>
  <c r="W557" i="8" s="1"/>
  <c r="Q557" i="8"/>
  <c r="V557" i="8" s="1"/>
  <c r="AA557" i="8"/>
  <c r="AF557" i="8" s="1"/>
  <c r="P557" i="8"/>
  <c r="U557" i="8" s="1"/>
  <c r="S557" i="8"/>
  <c r="X557" i="8" s="1"/>
  <c r="AL557" i="8"/>
  <c r="AQ557" i="8" s="1"/>
  <c r="AN557" i="8"/>
  <c r="AS557" i="8" s="1"/>
  <c r="AD557" i="8"/>
  <c r="AI557" i="8" s="1"/>
  <c r="AO557" i="8"/>
  <c r="AT557" i="8" s="1"/>
  <c r="AC557" i="8"/>
  <c r="AH557" i="8" s="1"/>
  <c r="AB557" i="8"/>
  <c r="AG557" i="8" s="1"/>
  <c r="AM557" i="8"/>
  <c r="AR557" i="8" s="1"/>
  <c r="AN554" i="8"/>
  <c r="AS554" i="8" s="1"/>
  <c r="Q554" i="8"/>
  <c r="V554" i="8" s="1"/>
  <c r="AB554" i="8"/>
  <c r="AG554" i="8" s="1"/>
  <c r="AO554" i="8"/>
  <c r="AT554" i="8" s="1"/>
  <c r="AL554" i="8"/>
  <c r="AQ554" i="8" s="1"/>
  <c r="S554" i="8"/>
  <c r="X554" i="8" s="1"/>
  <c r="AC554" i="8"/>
  <c r="AH554" i="8" s="1"/>
  <c r="AA554" i="8"/>
  <c r="AF554" i="8" s="1"/>
  <c r="P554" i="8"/>
  <c r="U554" i="8" s="1"/>
  <c r="AM554" i="8"/>
  <c r="AR554" i="8" s="1"/>
  <c r="R554" i="8"/>
  <c r="W554" i="8" s="1"/>
  <c r="AD554" i="8"/>
  <c r="AI554" i="8" s="1"/>
  <c r="AD496" i="8"/>
  <c r="AI496" i="8" s="1"/>
  <c r="S496" i="8"/>
  <c r="X496" i="8" s="1"/>
  <c r="AC496" i="8"/>
  <c r="AH496" i="8" s="1"/>
  <c r="AL496" i="8"/>
  <c r="AQ496" i="8" s="1"/>
  <c r="AM496" i="8"/>
  <c r="AR496" i="8" s="1"/>
  <c r="AN496" i="8"/>
  <c r="AS496" i="8" s="1"/>
  <c r="Q496" i="8"/>
  <c r="V496" i="8" s="1"/>
  <c r="R496" i="8"/>
  <c r="W496" i="8" s="1"/>
  <c r="P496" i="8"/>
  <c r="U496" i="8" s="1"/>
  <c r="AO496" i="8"/>
  <c r="AT496" i="8" s="1"/>
  <c r="AA496" i="8"/>
  <c r="AF496" i="8" s="1"/>
  <c r="AB496" i="8"/>
  <c r="AG496" i="8" s="1"/>
  <c r="AL7" i="18"/>
  <c r="Z7" i="18"/>
  <c r="E7" i="18"/>
  <c r="BE7" i="18"/>
  <c r="BL7" i="18"/>
  <c r="AW7" i="18"/>
  <c r="BO7" i="18"/>
  <c r="BP7" i="18"/>
  <c r="BF7" i="18"/>
  <c r="AH7" i="18"/>
  <c r="AY7" i="18"/>
  <c r="AX7" i="18"/>
  <c r="J7" i="18"/>
  <c r="AA7" i="18"/>
  <c r="BI7" i="18"/>
  <c r="S7" i="18"/>
  <c r="BB7" i="18"/>
  <c r="AD7" i="18"/>
  <c r="AU7" i="18"/>
  <c r="AS7" i="18"/>
  <c r="AF7" i="18"/>
  <c r="AN7" i="18"/>
  <c r="BA7" i="18"/>
  <c r="AI7" i="18"/>
  <c r="AJ7" i="18"/>
  <c r="AP7" i="18"/>
  <c r="BN7" i="18"/>
  <c r="AK7" i="18"/>
  <c r="M7" i="18"/>
  <c r="AM7" i="18"/>
  <c r="K7" i="18"/>
  <c r="R7" i="18"/>
  <c r="Y7" i="18"/>
  <c r="G7" i="18"/>
  <c r="AQ7" i="18"/>
  <c r="BG7" i="18"/>
  <c r="I7" i="18"/>
  <c r="BJ7" i="18"/>
  <c r="AT7" i="18"/>
  <c r="H7" i="18"/>
  <c r="AO7" i="18"/>
  <c r="X7" i="18"/>
  <c r="P7" i="18"/>
  <c r="L7" i="18"/>
  <c r="F7" i="18"/>
  <c r="AR7" i="18"/>
  <c r="AE7" i="18"/>
  <c r="BC7" i="18"/>
  <c r="BM7" i="18"/>
  <c r="BK7" i="18"/>
  <c r="BD7" i="18"/>
  <c r="U7" i="18"/>
  <c r="Q7" i="18"/>
  <c r="AZ7" i="18"/>
  <c r="O7" i="18"/>
  <c r="AG7" i="18"/>
  <c r="BH7" i="18"/>
  <c r="AB7" i="18"/>
  <c r="AV7" i="18"/>
  <c r="W7" i="18"/>
  <c r="T7" i="18"/>
  <c r="AC7" i="18"/>
  <c r="V7" i="18"/>
  <c r="N7" i="18"/>
  <c r="AN684" i="11"/>
  <c r="AG684" i="11"/>
  <c r="AH684" i="11"/>
  <c r="AM684" i="11"/>
  <c r="AL684" i="11"/>
  <c r="AF684" i="11"/>
  <c r="AJ684" i="11"/>
  <c r="AK684" i="11"/>
  <c r="AO684" i="11"/>
  <c r="AE684" i="11"/>
  <c r="AI684" i="11"/>
  <c r="BZ226" i="9" l="1"/>
  <c r="U656" i="6"/>
  <c r="U645" i="6"/>
  <c r="U634" i="6"/>
  <c r="U649" i="6"/>
  <c r="U642" i="6"/>
  <c r="U655" i="6"/>
  <c r="U648" i="6"/>
  <c r="U633" i="6"/>
  <c r="U630" i="6"/>
  <c r="U644" i="6"/>
  <c r="U637" i="6"/>
  <c r="U647" i="6"/>
  <c r="U636" i="6"/>
  <c r="U632" i="6"/>
  <c r="U650" i="6"/>
  <c r="U643" i="6"/>
  <c r="U631" i="6"/>
  <c r="U646" i="6"/>
  <c r="U635" i="6"/>
  <c r="BZ227" i="9" l="1"/>
  <c r="AP51" i="18"/>
  <c r="L51" i="18"/>
  <c r="AR51" i="18"/>
  <c r="K51" i="18"/>
  <c r="E51" i="18"/>
  <c r="U51" i="18"/>
  <c r="BA51" i="18"/>
  <c r="BE51" i="18"/>
  <c r="AW51" i="18"/>
  <c r="BN51" i="18"/>
  <c r="AJ51" i="18"/>
  <c r="BP51" i="18"/>
  <c r="J51" i="18"/>
  <c r="M51" i="18"/>
  <c r="AS51" i="18"/>
  <c r="AG51" i="18"/>
  <c r="Z51" i="18"/>
  <c r="BF51" i="18"/>
  <c r="AB51" i="18"/>
  <c r="BH51" i="18"/>
  <c r="AK51" i="18"/>
  <c r="Q51" i="18"/>
  <c r="F51" i="18"/>
  <c r="R51" i="18"/>
  <c r="AX51" i="18"/>
  <c r="T51" i="18"/>
  <c r="AZ51" i="18"/>
  <c r="AY51" i="18"/>
  <c r="AH51" i="18"/>
  <c r="AC51" i="18"/>
  <c r="BI51" i="18"/>
  <c r="BG51" i="18"/>
  <c r="V51" i="18"/>
  <c r="BB51" i="18"/>
  <c r="Y51" i="18"/>
  <c r="AA51" i="18"/>
  <c r="P51" i="18"/>
  <c r="AV51" i="18"/>
  <c r="BK51" i="18"/>
  <c r="N51" i="18"/>
  <c r="AT51" i="18"/>
  <c r="I51" i="18"/>
  <c r="S51" i="18"/>
  <c r="H51" i="18"/>
  <c r="AN51" i="18"/>
  <c r="AE51" i="18"/>
  <c r="AF51" i="18"/>
  <c r="AL51" i="18"/>
  <c r="AI51" i="18"/>
  <c r="W51" i="18"/>
  <c r="BM51" i="18"/>
  <c r="BO51" i="18"/>
  <c r="BL51" i="18"/>
  <c r="AD51" i="18"/>
  <c r="O51" i="18"/>
  <c r="AU51" i="18"/>
  <c r="BJ51" i="18"/>
  <c r="BC51" i="18"/>
  <c r="AO51" i="18"/>
  <c r="AQ51" i="18"/>
  <c r="X51" i="18"/>
  <c r="BD51" i="18"/>
  <c r="G51" i="18"/>
  <c r="AM51" i="18"/>
  <c r="C94" i="14"/>
  <c r="BZ228" i="9" l="1"/>
  <c r="AT692" i="9"/>
  <c r="AU692" i="9" s="1"/>
  <c r="BZ229" i="9" l="1"/>
  <c r="BR862" i="9"/>
  <c r="BQ862" i="9"/>
  <c r="AV692" i="9"/>
  <c r="AW692" i="9" s="1"/>
  <c r="AX692" i="9" s="1"/>
  <c r="AY692" i="9" s="1"/>
  <c r="AZ692" i="9" s="1"/>
  <c r="BA692" i="9" s="1"/>
  <c r="BB692" i="9" s="1"/>
  <c r="BC692" i="9" s="1"/>
  <c r="BD692" i="9" s="1"/>
  <c r="BE692" i="9" s="1"/>
  <c r="BF692" i="9" s="1"/>
  <c r="BG692" i="9" s="1"/>
  <c r="BH692" i="9" s="1"/>
  <c r="BI692" i="9" s="1"/>
  <c r="BJ692" i="9" s="1"/>
  <c r="BK692" i="9" s="1"/>
  <c r="BL692" i="9" s="1"/>
  <c r="BZ230" i="9" l="1"/>
  <c r="BZ231" i="9" l="1"/>
  <c r="BZ232" i="9" l="1"/>
  <c r="BZ237" i="9" l="1"/>
  <c r="E468" i="11"/>
  <c r="N996" i="6" s="1"/>
  <c r="D468" i="11"/>
  <c r="L996" i="6" s="1"/>
  <c r="BZ238" i="9" l="1"/>
  <c r="U996" i="6"/>
  <c r="BZ239" i="9" l="1"/>
  <c r="AN71" i="18"/>
  <c r="AH71" i="18"/>
  <c r="AC71" i="18"/>
  <c r="AA71" i="18"/>
  <c r="AM71" i="18"/>
  <c r="O71" i="18"/>
  <c r="BZ240" i="9" l="1"/>
  <c r="U119" i="14"/>
  <c r="BZ241" i="9" l="1"/>
  <c r="BZ242" i="9" l="1"/>
  <c r="BZ243" i="9" l="1"/>
  <c r="BZ244" i="9" l="1"/>
  <c r="BZ245" i="9" l="1"/>
  <c r="AC55" i="18"/>
  <c r="W6" i="18"/>
  <c r="W50" i="18" s="1"/>
  <c r="O6" i="18"/>
  <c r="O50" i="18" s="1"/>
  <c r="AB6" i="18"/>
  <c r="H6" i="18"/>
  <c r="H50" i="18" s="1"/>
  <c r="AH6" i="18"/>
  <c r="E6" i="18"/>
  <c r="E50" i="18" s="1"/>
  <c r="BK6" i="18"/>
  <c r="BK50" i="18" s="1"/>
  <c r="AK6" i="18"/>
  <c r="AK50" i="18" s="1"/>
  <c r="AI6" i="18"/>
  <c r="AI50" i="18" s="1"/>
  <c r="AM6" i="18"/>
  <c r="AM50" i="18" s="1"/>
  <c r="BO6" i="18"/>
  <c r="BO50" i="18" s="1"/>
  <c r="I6" i="18"/>
  <c r="I50" i="18" s="1"/>
  <c r="M6" i="18"/>
  <c r="M50" i="18" s="1"/>
  <c r="BP6" i="18"/>
  <c r="BP50" i="18" s="1"/>
  <c r="AO6" i="18"/>
  <c r="AO50" i="18" s="1"/>
  <c r="N6" i="18"/>
  <c r="N50" i="18" s="1"/>
  <c r="BD6" i="18"/>
  <c r="BD50" i="18" s="1"/>
  <c r="J6" i="18"/>
  <c r="J50" i="18" s="1"/>
  <c r="P6" i="18"/>
  <c r="AE6" i="18"/>
  <c r="AE50" i="18" s="1"/>
  <c r="AR6" i="18"/>
  <c r="AR50" i="18" s="1"/>
  <c r="AZ6" i="18"/>
  <c r="AZ50" i="18" s="1"/>
  <c r="Q6" i="18"/>
  <c r="Q50" i="18" s="1"/>
  <c r="X6" i="18"/>
  <c r="X50" i="18" s="1"/>
  <c r="BI6" i="18"/>
  <c r="BI50" i="18" s="1"/>
  <c r="G6" i="18"/>
  <c r="G50" i="18" s="1"/>
  <c r="AJ6" i="18"/>
  <c r="AJ50" i="18" s="1"/>
  <c r="F6" i="18"/>
  <c r="F50" i="18" s="1"/>
  <c r="K6" i="18"/>
  <c r="K50" i="18" s="1"/>
  <c r="AP6" i="18"/>
  <c r="AP50" i="18" s="1"/>
  <c r="Z6" i="18"/>
  <c r="Z50" i="18" s="1"/>
  <c r="AU6" i="18"/>
  <c r="AU50" i="18" s="1"/>
  <c r="BC6" i="18"/>
  <c r="BC50" i="18" s="1"/>
  <c r="AQ6" i="18"/>
  <c r="AQ50" i="18" s="1"/>
  <c r="AS6" i="18"/>
  <c r="AS50" i="18" s="1"/>
  <c r="AN6" i="18"/>
  <c r="AN50" i="18" s="1"/>
  <c r="AV6" i="18"/>
  <c r="AV50" i="18" s="1"/>
  <c r="R6" i="18"/>
  <c r="R50" i="18" s="1"/>
  <c r="AL6" i="18"/>
  <c r="AL50" i="18" s="1"/>
  <c r="BA6" i="18"/>
  <c r="BA50" i="18" s="1"/>
  <c r="L6" i="18"/>
  <c r="L50" i="18" s="1"/>
  <c r="BE6" i="18"/>
  <c r="BE50" i="18" s="1"/>
  <c r="AG6" i="18"/>
  <c r="AG50" i="18" s="1"/>
  <c r="U6" i="18"/>
  <c r="U50" i="18" s="1"/>
  <c r="BG6" i="18"/>
  <c r="BG50" i="18" s="1"/>
  <c r="BB6" i="18"/>
  <c r="BB50" i="18" s="1"/>
  <c r="BF6" i="18"/>
  <c r="BF50" i="18" s="1"/>
  <c r="T6" i="18"/>
  <c r="T50" i="18" s="1"/>
  <c r="AC6" i="18"/>
  <c r="V6" i="18"/>
  <c r="V50" i="18" s="1"/>
  <c r="BM6" i="18"/>
  <c r="BM50" i="18" s="1"/>
  <c r="Y6" i="18"/>
  <c r="Y50" i="18" s="1"/>
  <c r="BJ6" i="18"/>
  <c r="BJ50" i="18" s="1"/>
  <c r="AX6" i="18"/>
  <c r="AX50" i="18" s="1"/>
  <c r="AW6" i="18"/>
  <c r="AW50" i="18" s="1"/>
  <c r="AA6" i="18"/>
  <c r="AA50" i="18" s="1"/>
  <c r="BH6" i="18"/>
  <c r="BH50" i="18" s="1"/>
  <c r="AD6" i="18"/>
  <c r="AD50" i="18" s="1"/>
  <c r="BN6" i="18"/>
  <c r="BN50" i="18" s="1"/>
  <c r="AY6" i="18"/>
  <c r="AY50" i="18" s="1"/>
  <c r="BL6" i="18"/>
  <c r="BL50" i="18" s="1"/>
  <c r="S6" i="18"/>
  <c r="S50" i="18" s="1"/>
  <c r="AT6" i="18"/>
  <c r="AT50" i="18" s="1"/>
  <c r="AF6" i="18"/>
  <c r="AF50" i="18" s="1"/>
  <c r="BZ246" i="9" l="1"/>
  <c r="AH8" i="18"/>
  <c r="AH50" i="18" s="1"/>
  <c r="AH12" i="18"/>
  <c r="AC12" i="18"/>
  <c r="AC8" i="18"/>
  <c r="AC50" i="18" s="1"/>
  <c r="BZ247" i="9" l="1"/>
  <c r="AH55" i="18"/>
  <c r="BZ248" i="9" l="1"/>
  <c r="U1543" i="6"/>
  <c r="BZ249" i="9" l="1"/>
  <c r="L26" i="2"/>
  <c r="BZ250" i="9" l="1"/>
  <c r="K72" i="18"/>
  <c r="AC72" i="18"/>
  <c r="AK72" i="18"/>
  <c r="BI72" i="18"/>
  <c r="J72" i="18"/>
  <c r="AP72" i="18"/>
  <c r="AJ72" i="18"/>
  <c r="BP72" i="18"/>
  <c r="U72" i="18"/>
  <c r="BA72" i="18"/>
  <c r="BE72" i="18"/>
  <c r="AW72" i="18"/>
  <c r="AH72" i="18"/>
  <c r="BN72" i="18"/>
  <c r="AB72" i="18"/>
  <c r="BH72" i="18"/>
  <c r="E72" i="18"/>
  <c r="AS72" i="18"/>
  <c r="AG72" i="18"/>
  <c r="Z72" i="18"/>
  <c r="BF72" i="18"/>
  <c r="T72" i="18"/>
  <c r="AZ72" i="18"/>
  <c r="M72" i="18"/>
  <c r="AY72" i="18"/>
  <c r="Q72" i="18"/>
  <c r="F72" i="18"/>
  <c r="R72" i="18"/>
  <c r="AX72" i="18"/>
  <c r="L72" i="18"/>
  <c r="AR72" i="18"/>
  <c r="BG72" i="18"/>
  <c r="AA72" i="18"/>
  <c r="V72" i="18"/>
  <c r="BB72" i="18"/>
  <c r="O72" i="18"/>
  <c r="AU72" i="18"/>
  <c r="Y72" i="18"/>
  <c r="P72" i="18"/>
  <c r="AV72" i="18"/>
  <c r="S72" i="18"/>
  <c r="N72" i="18"/>
  <c r="AT72" i="18"/>
  <c r="G72" i="18"/>
  <c r="AM72" i="18"/>
  <c r="I72" i="18"/>
  <c r="H72" i="18"/>
  <c r="AN72" i="18"/>
  <c r="AI72" i="18"/>
  <c r="BO72" i="18"/>
  <c r="AL72" i="18"/>
  <c r="AE72" i="18"/>
  <c r="BK72" i="18"/>
  <c r="BM72" i="18"/>
  <c r="AF72" i="18"/>
  <c r="BL72" i="18"/>
  <c r="AQ72" i="18"/>
  <c r="AD72" i="18"/>
  <c r="BJ72" i="18"/>
  <c r="W72" i="18"/>
  <c r="BC72" i="18"/>
  <c r="AO72" i="18"/>
  <c r="X72" i="18"/>
  <c r="BD72" i="18"/>
  <c r="C113" i="14"/>
  <c r="BZ251" i="9" l="1"/>
  <c r="BM167" i="14"/>
  <c r="AD167" i="14"/>
  <c r="E167" i="14"/>
  <c r="BB167" i="14"/>
  <c r="I167" i="14"/>
  <c r="K167" i="14"/>
  <c r="T167" i="14"/>
  <c r="O167" i="14"/>
  <c r="AK167" i="14"/>
  <c r="S167" i="14"/>
  <c r="BI167" i="14"/>
  <c r="AY167" i="14"/>
  <c r="AF167" i="14"/>
  <c r="AV167" i="14"/>
  <c r="F167" i="14"/>
  <c r="R167" i="14"/>
  <c r="AP167" i="14"/>
  <c r="BJ167" i="14"/>
  <c r="L167" i="14"/>
  <c r="AS167" i="14"/>
  <c r="AH167" i="14"/>
  <c r="AZ167" i="14"/>
  <c r="BG167" i="14"/>
  <c r="W167" i="14"/>
  <c r="M167" i="14"/>
  <c r="J167" i="14"/>
  <c r="BK167" i="14"/>
  <c r="AI167" i="14"/>
  <c r="BF167" i="14"/>
  <c r="AN167" i="14"/>
  <c r="BL167" i="14"/>
  <c r="G167" i="14"/>
  <c r="AA167" i="14"/>
  <c r="BA167" i="14"/>
  <c r="AE167" i="14"/>
  <c r="N167" i="14"/>
  <c r="AM167" i="14"/>
  <c r="AQ167" i="14"/>
  <c r="Z167" i="14"/>
  <c r="Q167" i="14"/>
  <c r="X167" i="14"/>
  <c r="AT167" i="14"/>
  <c r="AJ167" i="14"/>
  <c r="AO167" i="14"/>
  <c r="AC167" i="14"/>
  <c r="Y167" i="14"/>
  <c r="AU167" i="14"/>
  <c r="BH167" i="14"/>
  <c r="BE167" i="14"/>
  <c r="AX167" i="14"/>
  <c r="D167" i="14"/>
  <c r="AL167" i="14"/>
  <c r="AR167" i="14"/>
  <c r="BC167" i="14"/>
  <c r="BN167" i="14"/>
  <c r="V167" i="14"/>
  <c r="AW167" i="14"/>
  <c r="BD167" i="14"/>
  <c r="P167" i="14"/>
  <c r="AG167" i="14"/>
  <c r="H167" i="14"/>
  <c r="AB167" i="14"/>
  <c r="U167" i="14"/>
  <c r="BZ252" i="9" l="1"/>
  <c r="P118" i="8"/>
  <c r="U118" i="8" s="1"/>
  <c r="V118" i="8"/>
  <c r="S118" i="8"/>
  <c r="X118" i="8" s="1"/>
  <c r="R118" i="8"/>
  <c r="W118" i="8" s="1"/>
  <c r="AN118" i="8"/>
  <c r="AS118" i="8" s="1"/>
  <c r="AD118" i="8"/>
  <c r="AI118" i="8" s="1"/>
  <c r="AC118" i="8"/>
  <c r="AH118" i="8" s="1"/>
  <c r="AM118" i="8"/>
  <c r="AR118" i="8" s="1"/>
  <c r="AA118" i="8"/>
  <c r="AF118" i="8" s="1"/>
  <c r="AB118" i="8"/>
  <c r="AG118" i="8" s="1"/>
  <c r="AO118" i="8"/>
  <c r="AT118" i="8" s="1"/>
  <c r="AL118" i="8"/>
  <c r="AQ118" i="8" s="1"/>
  <c r="BZ253" i="9" l="1"/>
  <c r="C167" i="14"/>
  <c r="BZ254" i="9" l="1"/>
  <c r="R144" i="14"/>
  <c r="BE165" i="14"/>
  <c r="BZ255" i="9" l="1"/>
  <c r="BE28" i="4"/>
  <c r="R165" i="14"/>
  <c r="BH165" i="14"/>
  <c r="J165" i="14"/>
  <c r="J144" i="14"/>
  <c r="AL165" i="14"/>
  <c r="AL144" i="14"/>
  <c r="AM144" i="14"/>
  <c r="BK165" i="14"/>
  <c r="AE165" i="14"/>
  <c r="AE144" i="14"/>
  <c r="O144" i="14"/>
  <c r="O165" i="14"/>
  <c r="AG144" i="14"/>
  <c r="AG165" i="14"/>
  <c r="AN165" i="14"/>
  <c r="Z165" i="14"/>
  <c r="Z144" i="14"/>
  <c r="AA165" i="14"/>
  <c r="AA144" i="14"/>
  <c r="D165" i="14"/>
  <c r="D144" i="14"/>
  <c r="BB165" i="14"/>
  <c r="AO144" i="14"/>
  <c r="BM165" i="14"/>
  <c r="AB144" i="14"/>
  <c r="AB165" i="14"/>
  <c r="V144" i="14"/>
  <c r="V165" i="14"/>
  <c r="F165" i="14"/>
  <c r="F144" i="14"/>
  <c r="AR165" i="14"/>
  <c r="I144" i="14"/>
  <c r="I165" i="14"/>
  <c r="W144" i="14"/>
  <c r="W165" i="14"/>
  <c r="AF165" i="14"/>
  <c r="AF144" i="14"/>
  <c r="T144" i="14"/>
  <c r="T165" i="14"/>
  <c r="AV165" i="14"/>
  <c r="AW165" i="14"/>
  <c r="AZ165" i="14"/>
  <c r="BA165" i="14"/>
  <c r="P144" i="14"/>
  <c r="P165" i="14"/>
  <c r="G165" i="14"/>
  <c r="G144" i="14"/>
  <c r="AN144" i="14"/>
  <c r="BL165" i="14"/>
  <c r="AJ144" i="14"/>
  <c r="AJ165" i="14"/>
  <c r="BG165" i="14"/>
  <c r="AP165" i="14"/>
  <c r="U165" i="14"/>
  <c r="U144" i="14"/>
  <c r="AM165" i="14"/>
  <c r="X144" i="14"/>
  <c r="X165" i="14"/>
  <c r="H165" i="14"/>
  <c r="H144" i="14"/>
  <c r="L165" i="14"/>
  <c r="L144" i="14"/>
  <c r="AI165" i="14"/>
  <c r="AI144" i="14"/>
  <c r="K144" i="14"/>
  <c r="K165" i="14"/>
  <c r="AS165" i="14"/>
  <c r="M144" i="14"/>
  <c r="M165" i="14"/>
  <c r="AK165" i="14"/>
  <c r="AK144" i="14"/>
  <c r="BF165" i="14"/>
  <c r="Q144" i="14"/>
  <c r="Q165" i="14"/>
  <c r="S144" i="14"/>
  <c r="S165" i="14"/>
  <c r="BI165" i="14"/>
  <c r="AU165" i="14"/>
  <c r="AD165" i="14"/>
  <c r="AD144" i="14"/>
  <c r="BD165" i="14"/>
  <c r="AC165" i="14"/>
  <c r="AC144" i="14"/>
  <c r="AX165" i="14"/>
  <c r="AY165" i="14"/>
  <c r="E144" i="14"/>
  <c r="E165" i="14"/>
  <c r="Y144" i="14"/>
  <c r="Y165" i="14"/>
  <c r="AO165" i="14"/>
  <c r="BN165" i="14"/>
  <c r="AP144" i="14"/>
  <c r="BC165" i="14"/>
  <c r="AH165" i="14"/>
  <c r="AH144" i="14"/>
  <c r="N165" i="14"/>
  <c r="N144" i="14"/>
  <c r="AQ165" i="14"/>
  <c r="AT165" i="14"/>
  <c r="BJ165" i="14"/>
  <c r="BZ256" i="9" l="1"/>
  <c r="I46" i="18"/>
  <c r="Z46" i="18"/>
  <c r="AQ46" i="18"/>
  <c r="AK46" i="18"/>
  <c r="L46" i="18"/>
  <c r="AT46" i="18"/>
  <c r="AM46" i="18"/>
  <c r="H46" i="18"/>
  <c r="AG46" i="18"/>
  <c r="AH46" i="18"/>
  <c r="BO46" i="18"/>
  <c r="AS46" i="18"/>
  <c r="AB46" i="18"/>
  <c r="BB46" i="18"/>
  <c r="AU46" i="18"/>
  <c r="P46" i="18"/>
  <c r="AO46" i="18"/>
  <c r="AP46" i="18"/>
  <c r="AJ46" i="18"/>
  <c r="BA46" i="18"/>
  <c r="BH46" i="18"/>
  <c r="BJ46" i="18"/>
  <c r="BC46" i="18"/>
  <c r="X46" i="18"/>
  <c r="AW46" i="18"/>
  <c r="AX46" i="18"/>
  <c r="BP46" i="18"/>
  <c r="BI46" i="18"/>
  <c r="F46" i="18"/>
  <c r="AR46" i="18"/>
  <c r="BK46" i="18"/>
  <c r="AF46" i="18"/>
  <c r="BE46" i="18"/>
  <c r="BF46" i="18"/>
  <c r="E46" i="18"/>
  <c r="K46" i="18"/>
  <c r="N46" i="18"/>
  <c r="G46" i="18"/>
  <c r="Q46" i="18"/>
  <c r="AN46" i="18"/>
  <c r="BM46" i="18"/>
  <c r="BN46" i="18"/>
  <c r="M46" i="18"/>
  <c r="S46" i="18"/>
  <c r="V46" i="18"/>
  <c r="O46" i="18"/>
  <c r="AY46" i="18"/>
  <c r="AV46" i="18"/>
  <c r="J46" i="18"/>
  <c r="Y46" i="18"/>
  <c r="U46" i="18"/>
  <c r="AI46" i="18"/>
  <c r="AD46" i="18"/>
  <c r="W46" i="18"/>
  <c r="T46" i="18"/>
  <c r="BD46" i="18"/>
  <c r="R46" i="18"/>
  <c r="AA46" i="18"/>
  <c r="AC46" i="18"/>
  <c r="BG46" i="18"/>
  <c r="AL46" i="18"/>
  <c r="AE46" i="18"/>
  <c r="AZ46" i="18"/>
  <c r="BL46" i="18"/>
  <c r="C165" i="14"/>
  <c r="C144" i="14"/>
  <c r="BZ261" i="9" l="1"/>
  <c r="BE166" i="14"/>
  <c r="BI166" i="14"/>
  <c r="AE166" i="14"/>
  <c r="AW166" i="14"/>
  <c r="AA166" i="14"/>
  <c r="AJ166" i="14"/>
  <c r="AB166" i="14"/>
  <c r="BM166" i="14"/>
  <c r="AI166" i="14"/>
  <c r="AP166" i="14"/>
  <c r="K166" i="14"/>
  <c r="R166" i="14"/>
  <c r="BC166" i="14"/>
  <c r="D166" i="14"/>
  <c r="AL166" i="14"/>
  <c r="P166" i="14"/>
  <c r="M166" i="14"/>
  <c r="S166" i="14"/>
  <c r="BK166" i="14"/>
  <c r="O166" i="14"/>
  <c r="AG166" i="14"/>
  <c r="BN166" i="14"/>
  <c r="G166" i="14"/>
  <c r="AS166" i="14"/>
  <c r="AK166" i="14"/>
  <c r="V166" i="14"/>
  <c r="BL166" i="14"/>
  <c r="BG166" i="14"/>
  <c r="AU166" i="14"/>
  <c r="T166" i="14"/>
  <c r="AZ166" i="14"/>
  <c r="J166" i="14"/>
  <c r="F166" i="14"/>
  <c r="AV166" i="14"/>
  <c r="BB166" i="14"/>
  <c r="Z166" i="14"/>
  <c r="I166" i="14"/>
  <c r="AO166" i="14"/>
  <c r="AY166" i="14"/>
  <c r="BD166" i="14"/>
  <c r="E166" i="14"/>
  <c r="AN166" i="14"/>
  <c r="BF166" i="14"/>
  <c r="W166" i="14"/>
  <c r="AQ166" i="14"/>
  <c r="AM166" i="14"/>
  <c r="AF166" i="14"/>
  <c r="H166" i="14"/>
  <c r="AR166" i="14"/>
  <c r="BH166" i="14"/>
  <c r="BA166" i="14"/>
  <c r="AX166" i="14"/>
  <c r="AC166" i="14"/>
  <c r="Q166" i="14"/>
  <c r="AD166" i="14"/>
  <c r="Y166" i="14"/>
  <c r="X166" i="14"/>
  <c r="N166" i="14"/>
  <c r="AT166" i="14"/>
  <c r="L166" i="14"/>
  <c r="AH166" i="14"/>
  <c r="BJ166" i="14"/>
  <c r="U166" i="14"/>
  <c r="BZ262" i="9" l="1"/>
  <c r="AY169" i="14"/>
  <c r="AY168" i="14"/>
  <c r="BL169" i="14"/>
  <c r="BL168" i="14"/>
  <c r="AW169" i="14"/>
  <c r="AW168" i="14"/>
  <c r="R168" i="14"/>
  <c r="AH168" i="14"/>
  <c r="X168" i="14"/>
  <c r="AC168" i="14"/>
  <c r="AR168" i="14"/>
  <c r="AR169" i="14"/>
  <c r="AQ169" i="14"/>
  <c r="AQ168" i="14"/>
  <c r="BM168" i="14"/>
  <c r="BM169" i="14"/>
  <c r="AN168" i="14"/>
  <c r="AN169" i="14"/>
  <c r="AO169" i="14"/>
  <c r="AO168" i="14"/>
  <c r="AV168" i="14"/>
  <c r="AV169" i="14"/>
  <c r="T168" i="14"/>
  <c r="V168" i="14"/>
  <c r="BN168" i="14"/>
  <c r="BN169" i="14"/>
  <c r="BK169" i="14"/>
  <c r="BK168" i="14"/>
  <c r="AL169" i="14"/>
  <c r="AL168" i="14"/>
  <c r="K168" i="14"/>
  <c r="AB168" i="14"/>
  <c r="AE168" i="14"/>
  <c r="BF169" i="14"/>
  <c r="BF168" i="14"/>
  <c r="P168" i="14"/>
  <c r="L168" i="14"/>
  <c r="Y168" i="14"/>
  <c r="AX168" i="14"/>
  <c r="AX169" i="14"/>
  <c r="H168" i="14"/>
  <c r="W168" i="14"/>
  <c r="E168" i="14"/>
  <c r="I168" i="14"/>
  <c r="F168" i="14"/>
  <c r="AU168" i="14"/>
  <c r="AU169" i="14"/>
  <c r="AK168" i="14"/>
  <c r="AG168" i="14"/>
  <c r="S168" i="14"/>
  <c r="D168" i="14"/>
  <c r="AP168" i="14"/>
  <c r="AP169" i="14"/>
  <c r="AJ168" i="14"/>
  <c r="BI168" i="14"/>
  <c r="BI169" i="14"/>
  <c r="O168" i="14"/>
  <c r="U168" i="14"/>
  <c r="AT168" i="14"/>
  <c r="AT169" i="14"/>
  <c r="AD168" i="14"/>
  <c r="BA169" i="14"/>
  <c r="BA168" i="14"/>
  <c r="AF168" i="14"/>
  <c r="C168" i="14"/>
  <c r="BB169" i="14"/>
  <c r="BB168" i="14"/>
  <c r="AZ169" i="14"/>
  <c r="AZ168" i="14"/>
  <c r="C166" i="14"/>
  <c r="BD168" i="14"/>
  <c r="BD169" i="14"/>
  <c r="Z168" i="14"/>
  <c r="J168" i="14"/>
  <c r="BG169" i="14"/>
  <c r="BG168" i="14"/>
  <c r="AS169" i="14"/>
  <c r="AS168" i="14"/>
  <c r="M168" i="14"/>
  <c r="BC168" i="14"/>
  <c r="BC169" i="14"/>
  <c r="AI168" i="14"/>
  <c r="AA168" i="14"/>
  <c r="BE168" i="14"/>
  <c r="BE169" i="14"/>
  <c r="G168" i="14"/>
  <c r="BJ168" i="14"/>
  <c r="BJ169" i="14"/>
  <c r="N168" i="14"/>
  <c r="Q168" i="14"/>
  <c r="BH168" i="14"/>
  <c r="BH169" i="14"/>
  <c r="AM168" i="14"/>
  <c r="AM169" i="14"/>
  <c r="D169" i="14"/>
  <c r="BZ263" i="9" l="1"/>
  <c r="BZ264" i="9" s="1"/>
  <c r="BZ265" i="9" s="1"/>
  <c r="BZ266" i="9" s="1"/>
  <c r="BZ267" i="9" s="1"/>
  <c r="BZ268" i="9" s="1"/>
  <c r="BZ269" i="9" s="1"/>
  <c r="BZ270" i="9" s="1"/>
  <c r="BZ271" i="9" s="1"/>
  <c r="BZ272" i="9" s="1"/>
  <c r="BZ273" i="9" s="1"/>
  <c r="BZ274" i="9" s="1"/>
  <c r="BZ275" i="9" s="1"/>
  <c r="BZ276" i="9" s="1"/>
  <c r="BZ277" i="9" s="1"/>
  <c r="BZ278" i="9" s="1"/>
  <c r="BZ279" i="9" s="1"/>
  <c r="BZ280" i="9" s="1"/>
  <c r="BZ285" i="9" s="1"/>
  <c r="BZ286" i="9" s="1"/>
  <c r="BZ287" i="9" s="1"/>
  <c r="BZ288" i="9" s="1"/>
  <c r="BZ289" i="9" s="1"/>
  <c r="BZ290" i="9" s="1"/>
  <c r="BZ291" i="9" s="1"/>
  <c r="BZ292" i="9" s="1"/>
  <c r="BZ293" i="9" s="1"/>
  <c r="BZ294" i="9" s="1"/>
  <c r="BZ295" i="9" s="1"/>
  <c r="BZ296" i="9" s="1"/>
  <c r="BZ297" i="9" s="1"/>
  <c r="BZ298" i="9" s="1"/>
  <c r="BZ299" i="9" s="1"/>
  <c r="BZ300" i="9" s="1"/>
  <c r="BZ301" i="9" s="1"/>
  <c r="BZ302" i="9" s="1"/>
  <c r="BZ303" i="9" s="1"/>
  <c r="BZ304" i="9" s="1"/>
  <c r="BZ309" i="9" s="1"/>
  <c r="BZ310" i="9" s="1"/>
  <c r="BZ311" i="9" s="1"/>
  <c r="BZ312" i="9" s="1"/>
  <c r="BZ313" i="9" s="1"/>
  <c r="BZ314" i="9" s="1"/>
  <c r="BZ315" i="9" s="1"/>
  <c r="BZ316" i="9" s="1"/>
  <c r="BZ317" i="9" s="1"/>
  <c r="BZ318" i="9" s="1"/>
  <c r="BZ319" i="9" s="1"/>
  <c r="BZ320" i="9" s="1"/>
  <c r="BZ321" i="9" s="1"/>
  <c r="BZ322" i="9" s="1"/>
  <c r="BZ323" i="9" s="1"/>
  <c r="BZ324" i="9" s="1"/>
  <c r="BZ325" i="9" s="1"/>
  <c r="BZ326" i="9" s="1"/>
  <c r="BZ327" i="9" s="1"/>
  <c r="BZ328" i="9" s="1"/>
  <c r="BZ333" i="9" s="1"/>
  <c r="BZ334" i="9" s="1"/>
  <c r="BZ335" i="9" s="1"/>
  <c r="BZ336" i="9" s="1"/>
  <c r="BZ337" i="9" s="1"/>
  <c r="BZ338" i="9" s="1"/>
  <c r="BZ339" i="9" s="1"/>
  <c r="BZ340" i="9" s="1"/>
  <c r="BZ341" i="9" s="1"/>
  <c r="BZ342" i="9" s="1"/>
  <c r="BZ343" i="9" s="1"/>
  <c r="BZ344" i="9" s="1"/>
  <c r="BZ345" i="9" s="1"/>
  <c r="BZ346" i="9" s="1"/>
  <c r="BZ347" i="9" s="1"/>
  <c r="BZ348" i="9" s="1"/>
  <c r="BZ349" i="9" s="1"/>
  <c r="BZ350" i="9" s="1"/>
  <c r="BZ351" i="9" s="1"/>
  <c r="BZ352" i="9" s="1"/>
  <c r="BZ357" i="9" s="1"/>
  <c r="BZ358" i="9" s="1"/>
  <c r="BZ359" i="9" s="1"/>
  <c r="BZ360" i="9" s="1"/>
  <c r="C169" i="14"/>
  <c r="BZ361" i="9" l="1"/>
  <c r="BZ362" i="9" s="1"/>
  <c r="E169" i="14"/>
  <c r="BZ363" i="9" l="1"/>
  <c r="F169" i="14"/>
  <c r="BZ364" i="9" l="1"/>
  <c r="G169" i="14"/>
  <c r="BZ365" i="9" l="1"/>
  <c r="H169" i="14"/>
  <c r="BZ366" i="9" l="1"/>
  <c r="I169" i="14"/>
  <c r="BZ367" i="9" l="1"/>
  <c r="J169" i="14"/>
  <c r="BZ368" i="9" l="1"/>
  <c r="L169" i="14"/>
  <c r="K169" i="14"/>
  <c r="BZ369" i="9" l="1"/>
  <c r="N169" i="14"/>
  <c r="M169" i="14"/>
  <c r="BZ370" i="9" l="1"/>
  <c r="P169" i="14"/>
  <c r="O169" i="14"/>
  <c r="BZ371" i="9" l="1"/>
  <c r="BZ372" i="9" l="1"/>
  <c r="R169" i="14"/>
  <c r="Q169" i="14"/>
  <c r="BZ373" i="9" l="1"/>
  <c r="T169" i="14"/>
  <c r="S169" i="14"/>
  <c r="BZ374" i="9" l="1"/>
  <c r="U169" i="14"/>
  <c r="BZ375" i="9" l="1"/>
  <c r="V169" i="14"/>
  <c r="BZ376" i="9" l="1"/>
  <c r="BZ381" i="9" s="1"/>
  <c r="BZ382" i="9" s="1"/>
  <c r="BZ383" i="9" s="1"/>
  <c r="BZ384" i="9" s="1"/>
  <c r="BZ385" i="9" s="1"/>
  <c r="BZ386" i="9" s="1"/>
  <c r="BZ387" i="9" s="1"/>
  <c r="BZ388" i="9" s="1"/>
  <c r="BZ389" i="9" s="1"/>
  <c r="BZ390" i="9" s="1"/>
  <c r="BZ391" i="9" s="1"/>
  <c r="BZ392" i="9" s="1"/>
  <c r="BZ393" i="9" s="1"/>
  <c r="BZ394" i="9" s="1"/>
  <c r="BZ395" i="9" s="1"/>
  <c r="BZ396" i="9" s="1"/>
  <c r="BZ397" i="9" s="1"/>
  <c r="BZ398" i="9" s="1"/>
  <c r="BZ399" i="9" s="1"/>
  <c r="BZ400" i="9" s="1"/>
  <c r="BZ405" i="9" s="1"/>
  <c r="BZ406" i="9" s="1"/>
  <c r="BZ407" i="9" s="1"/>
  <c r="BZ408" i="9" s="1"/>
  <c r="BZ409" i="9" s="1"/>
  <c r="W169" i="14"/>
  <c r="BZ410" i="9" l="1"/>
  <c r="AZ9" i="11"/>
  <c r="X169" i="14"/>
  <c r="BZ411" i="9" l="1"/>
  <c r="BM8" i="11"/>
  <c r="AV8" i="11"/>
  <c r="AU7" i="11"/>
  <c r="BA8" i="11"/>
  <c r="BG7" i="11"/>
  <c r="BJ8" i="11"/>
  <c r="BC9" i="11"/>
  <c r="BI7" i="11"/>
  <c r="BE11" i="11"/>
  <c r="AR8" i="11"/>
  <c r="BK7" i="11"/>
  <c r="BJ9" i="11"/>
  <c r="AX9" i="11"/>
  <c r="AZ8" i="11"/>
  <c r="BC10" i="11"/>
  <c r="BB8" i="11"/>
  <c r="BH9" i="11"/>
  <c r="AX7" i="11"/>
  <c r="BH11" i="11"/>
  <c r="BL8" i="11"/>
  <c r="BB11" i="11"/>
  <c r="AQ7" i="11"/>
  <c r="AV10" i="11"/>
  <c r="BM10" i="11"/>
  <c r="BE8" i="11"/>
  <c r="BJ10" i="11"/>
  <c r="AX11" i="11"/>
  <c r="AW8" i="11"/>
  <c r="BI11" i="11"/>
  <c r="AY11" i="11"/>
  <c r="AS8" i="11"/>
  <c r="BI8" i="11"/>
  <c r="AS7" i="11"/>
  <c r="AQ11" i="11"/>
  <c r="BA11" i="11"/>
  <c r="AR12" i="11"/>
  <c r="AV7" i="11"/>
  <c r="AU11" i="11"/>
  <c r="BE10" i="11"/>
  <c r="BI10" i="11"/>
  <c r="AY9" i="11"/>
  <c r="BN8" i="11"/>
  <c r="BC7" i="11"/>
  <c r="BK9" i="11"/>
  <c r="AW11" i="11"/>
  <c r="AX8" i="11"/>
  <c r="BG10" i="11"/>
  <c r="AP7" i="11"/>
  <c r="BN9" i="11"/>
  <c r="BI9" i="11"/>
  <c r="BH8" i="11"/>
  <c r="AR10" i="11"/>
  <c r="AU10" i="11"/>
  <c r="BL10" i="11"/>
  <c r="BD8" i="11"/>
  <c r="BJ11" i="11"/>
  <c r="AP11" i="11"/>
  <c r="BD11" i="11"/>
  <c r="BK10" i="11"/>
  <c r="BL11" i="11"/>
  <c r="BL9" i="11"/>
  <c r="AT10" i="11"/>
  <c r="AQ10" i="11"/>
  <c r="BF8" i="11"/>
  <c r="BE9" i="11"/>
  <c r="BA9" i="11"/>
  <c r="AQ9" i="11"/>
  <c r="AT7" i="11"/>
  <c r="BF10" i="11"/>
  <c r="BM9" i="11"/>
  <c r="BK8" i="11"/>
  <c r="BN11" i="11"/>
  <c r="BF7" i="11"/>
  <c r="AY8" i="11"/>
  <c r="AY10" i="11"/>
  <c r="BG9" i="11"/>
  <c r="BC11" i="11"/>
  <c r="AP8" i="11"/>
  <c r="AU9" i="11"/>
  <c r="BD9" i="11"/>
  <c r="AX10" i="11"/>
  <c r="AV9" i="11"/>
  <c r="BL7" i="11"/>
  <c r="AU8" i="11"/>
  <c r="AQ8" i="11"/>
  <c r="BM7" i="11"/>
  <c r="BB9" i="11"/>
  <c r="AZ10" i="11"/>
  <c r="BF11" i="11"/>
  <c r="AZ7" i="11"/>
  <c r="BH7" i="11"/>
  <c r="AR9" i="11"/>
  <c r="AR7" i="11"/>
  <c r="AT8" i="11"/>
  <c r="AW9" i="11"/>
  <c r="BM11" i="11"/>
  <c r="BB10" i="11"/>
  <c r="AV11" i="11"/>
  <c r="AT11" i="11"/>
  <c r="AR11" i="11"/>
  <c r="BD7" i="11"/>
  <c r="BA10" i="11"/>
  <c r="BF9" i="11"/>
  <c r="AT9" i="11"/>
  <c r="BG8" i="11"/>
  <c r="AP9" i="11"/>
  <c r="BN7" i="11"/>
  <c r="AW7" i="11"/>
  <c r="AS11" i="11"/>
  <c r="AS9" i="11"/>
  <c r="BD10" i="11"/>
  <c r="BB7" i="11"/>
  <c r="BJ7" i="11"/>
  <c r="BH10" i="11"/>
  <c r="AY7" i="11"/>
  <c r="BI13" i="11"/>
  <c r="AZ11" i="11"/>
  <c r="BL12" i="11"/>
  <c r="BC8" i="11"/>
  <c r="AW10" i="11"/>
  <c r="AP10" i="11"/>
  <c r="BA7" i="11"/>
  <c r="BK11" i="11"/>
  <c r="BG11" i="11"/>
  <c r="BE7" i="11"/>
  <c r="BN10" i="11"/>
  <c r="AS10" i="11"/>
  <c r="BL21" i="11"/>
  <c r="BH20" i="11"/>
  <c r="BN14" i="11"/>
  <c r="BD21" i="11"/>
  <c r="BI21" i="11"/>
  <c r="BD15" i="11"/>
  <c r="BI15" i="11"/>
  <c r="BA15" i="11"/>
  <c r="AX18" i="11"/>
  <c r="AV14" i="11"/>
  <c r="AP19" i="11"/>
  <c r="BM15" i="11"/>
  <c r="AU15" i="11"/>
  <c r="BB20" i="11"/>
  <c r="BC21" i="11"/>
  <c r="BG15" i="11"/>
  <c r="BK14" i="11"/>
  <c r="BE15" i="11"/>
  <c r="BF12" i="11"/>
  <c r="AZ14" i="11"/>
  <c r="BK12" i="11"/>
  <c r="BB12" i="11"/>
  <c r="AY12" i="11"/>
  <c r="AV13" i="11"/>
  <c r="AP14" i="11"/>
  <c r="AX13" i="11"/>
  <c r="BG14" i="11"/>
  <c r="BD14" i="11"/>
  <c r="BL14" i="11"/>
  <c r="AR14" i="11"/>
  <c r="BE14" i="11"/>
  <c r="BJ18" i="11"/>
  <c r="BH14" i="11"/>
  <c r="BI20" i="11"/>
  <c r="AV15" i="11"/>
  <c r="AZ19" i="11"/>
  <c r="BK15" i="11"/>
  <c r="BM14" i="11"/>
  <c r="BN20" i="11"/>
  <c r="BA14" i="11"/>
  <c r="AP15" i="11"/>
  <c r="AS15" i="11"/>
  <c r="AS14" i="11"/>
  <c r="AK23" i="11"/>
  <c r="BC22" i="11"/>
  <c r="AI23" i="11"/>
  <c r="AW24" i="11"/>
  <c r="BH22" i="11"/>
  <c r="AN24" i="11"/>
  <c r="BI24" i="11"/>
  <c r="C24" i="11"/>
  <c r="BG23" i="11"/>
  <c r="AY24" i="11"/>
  <c r="AV22" i="11"/>
  <c r="AQ25" i="11"/>
  <c r="BN15" i="11"/>
  <c r="BC15" i="11"/>
  <c r="BL15" i="11"/>
  <c r="AX15" i="11"/>
  <c r="BG19" i="11"/>
  <c r="AT25" i="11"/>
  <c r="AU24" i="11"/>
  <c r="BG22" i="11"/>
  <c r="AY25" i="11"/>
  <c r="AS24" i="11"/>
  <c r="BD24" i="11"/>
  <c r="AH7" i="11"/>
  <c r="AL8" i="11"/>
  <c r="AJ7" i="11"/>
  <c r="AL7" i="11"/>
  <c r="AO7" i="11"/>
  <c r="AM7" i="11"/>
  <c r="AK7" i="11"/>
  <c r="AG8" i="11"/>
  <c r="AE8" i="11"/>
  <c r="AE7" i="11"/>
  <c r="AI7" i="11"/>
  <c r="AG7" i="11"/>
  <c r="C7" i="11"/>
  <c r="AG9" i="11"/>
  <c r="AN9" i="11"/>
  <c r="AI9" i="11"/>
  <c r="AO10" i="11"/>
  <c r="AL9" i="11"/>
  <c r="AJ8" i="11"/>
  <c r="AO8" i="11"/>
  <c r="AI8" i="11"/>
  <c r="C8" i="11"/>
  <c r="AH9" i="11"/>
  <c r="AK8" i="11"/>
  <c r="AM9" i="11"/>
  <c r="AF7" i="11"/>
  <c r="AN7" i="11"/>
  <c r="AM8" i="11"/>
  <c r="C10" i="11"/>
  <c r="AO9" i="11"/>
  <c r="AF8" i="11"/>
  <c r="C9" i="11"/>
  <c r="AH8" i="11"/>
  <c r="AI10" i="11"/>
  <c r="AN8" i="11"/>
  <c r="AJ10" i="11"/>
  <c r="AL10" i="11"/>
  <c r="AI11" i="11"/>
  <c r="AK9" i="11"/>
  <c r="AN10" i="11"/>
  <c r="AK10" i="11"/>
  <c r="AM10" i="11"/>
  <c r="AJ9" i="11"/>
  <c r="AV12" i="11"/>
  <c r="AF9" i="11"/>
  <c r="AG10" i="11"/>
  <c r="AH11" i="11"/>
  <c r="AJ11" i="11"/>
  <c r="AF10" i="11"/>
  <c r="C11" i="11"/>
  <c r="AE10" i="11"/>
  <c r="AH10" i="11"/>
  <c r="AG11" i="11"/>
  <c r="AE9" i="11"/>
  <c r="AL11" i="11"/>
  <c r="BE12" i="11"/>
  <c r="AM12" i="11"/>
  <c r="AF11" i="11"/>
  <c r="AZ12" i="11"/>
  <c r="AO11" i="11"/>
  <c r="AE11" i="11"/>
  <c r="AK11" i="11"/>
  <c r="AN11" i="11"/>
  <c r="AL12" i="11"/>
  <c r="AM11" i="11"/>
  <c r="AO12" i="11"/>
  <c r="BK22" i="11"/>
  <c r="AY23" i="11"/>
  <c r="AW12" i="11"/>
  <c r="AU12" i="11"/>
  <c r="BI12" i="11"/>
  <c r="BD12" i="11"/>
  <c r="BA12" i="11"/>
  <c r="AZ15" i="11"/>
  <c r="AK13" i="11"/>
  <c r="AE12" i="11"/>
  <c r="AG13" i="11"/>
  <c r="AL16" i="11"/>
  <c r="BB15" i="11"/>
  <c r="BF16" i="11"/>
  <c r="AF13" i="11"/>
  <c r="BA13" i="11"/>
  <c r="AJ12" i="11"/>
  <c r="AZ13" i="11"/>
  <c r="AQ13" i="11"/>
  <c r="BC13" i="11"/>
  <c r="AE15" i="11"/>
  <c r="BF15" i="11"/>
  <c r="AE14" i="11"/>
  <c r="C12" i="11"/>
  <c r="C13" i="11"/>
  <c r="AU14" i="11"/>
  <c r="BG16" i="11"/>
  <c r="AF16" i="11"/>
  <c r="AK15" i="11"/>
  <c r="AQ14" i="11"/>
  <c r="AI14" i="11"/>
  <c r="AX12" i="11"/>
  <c r="AY14" i="11"/>
  <c r="AI15" i="11"/>
  <c r="AK16" i="11"/>
  <c r="BF14" i="11"/>
  <c r="AN14" i="11"/>
  <c r="AH12" i="11"/>
  <c r="BN12" i="11"/>
  <c r="BC12" i="11"/>
  <c r="AF12" i="11"/>
  <c r="AN16" i="11"/>
  <c r="AH16" i="11"/>
  <c r="AE16" i="11"/>
  <c r="AU13" i="11"/>
  <c r="BB13" i="11"/>
  <c r="BE13" i="11"/>
  <c r="BJ13" i="11"/>
  <c r="AQ12" i="11"/>
  <c r="AT12" i="11"/>
  <c r="BM12" i="11"/>
  <c r="BJ12" i="11"/>
  <c r="BG12" i="11"/>
  <c r="AG15" i="11"/>
  <c r="AK12" i="11"/>
  <c r="AS12" i="11"/>
  <c r="AJ15" i="11"/>
  <c r="C16" i="11"/>
  <c r="AN12" i="11"/>
  <c r="BC14" i="11"/>
  <c r="AE13" i="11"/>
  <c r="BL16" i="11"/>
  <c r="AG16" i="11"/>
  <c r="BH12" i="11"/>
  <c r="AM13" i="11"/>
  <c r="AI13" i="11"/>
  <c r="BE16" i="11"/>
  <c r="AS13" i="11"/>
  <c r="AI12" i="11"/>
  <c r="AY13" i="11"/>
  <c r="AM15" i="11"/>
  <c r="BN13" i="11"/>
  <c r="AW13" i="11"/>
  <c r="BB14" i="11"/>
  <c r="AH14" i="11"/>
  <c r="BK16" i="11"/>
  <c r="AP12" i="11"/>
  <c r="AW15" i="11"/>
  <c r="AR13" i="11"/>
  <c r="AJ16" i="11"/>
  <c r="AT13" i="11"/>
  <c r="AI16" i="11"/>
  <c r="AG12" i="11"/>
  <c r="AP13" i="11"/>
  <c r="AT15" i="11"/>
  <c r="AT14" i="11"/>
  <c r="BM13" i="11"/>
  <c r="BL13" i="11"/>
  <c r="AG14" i="11"/>
  <c r="BJ16" i="11"/>
  <c r="AL13" i="11"/>
  <c r="BG13" i="11"/>
  <c r="AK14" i="11"/>
  <c r="BH13" i="11"/>
  <c r="AH13" i="11"/>
  <c r="AV17" i="11"/>
  <c r="BD13" i="11"/>
  <c r="AU17" i="11"/>
  <c r="AT16" i="11"/>
  <c r="AO13" i="11"/>
  <c r="AH15" i="11"/>
  <c r="BK17" i="11"/>
  <c r="AQ16" i="11"/>
  <c r="BK13" i="11"/>
  <c r="BM17" i="11"/>
  <c r="BD16" i="11"/>
  <c r="AJ13" i="11"/>
  <c r="AL15" i="11"/>
  <c r="AO15" i="11"/>
  <c r="BJ14" i="11"/>
  <c r="AY15" i="11"/>
  <c r="AW14" i="11"/>
  <c r="BM16" i="11"/>
  <c r="BF17" i="11"/>
  <c r="AN15" i="11"/>
  <c r="AY16" i="11"/>
  <c r="AS17" i="11"/>
  <c r="BH16" i="11"/>
  <c r="BJ15" i="11"/>
  <c r="BC16" i="11"/>
  <c r="AL14" i="11"/>
  <c r="AO16" i="11"/>
  <c r="BN16" i="11"/>
  <c r="AF14" i="11"/>
  <c r="BB16" i="11"/>
  <c r="AX14" i="11"/>
  <c r="BH15" i="11"/>
  <c r="BF13" i="11"/>
  <c r="BE17" i="11"/>
  <c r="AE17" i="11"/>
  <c r="AQ15" i="11"/>
  <c r="AP16" i="11"/>
  <c r="AR16" i="11"/>
  <c r="C15" i="11"/>
  <c r="AZ16" i="11"/>
  <c r="AF15" i="11"/>
  <c r="BN17" i="11"/>
  <c r="AM16" i="11"/>
  <c r="AJ14" i="11"/>
  <c r="AF17" i="11"/>
  <c r="BL17" i="11"/>
  <c r="AN13" i="11"/>
  <c r="AV16" i="11"/>
  <c r="BB17" i="11"/>
  <c r="C14" i="11"/>
  <c r="BI14" i="11"/>
  <c r="BF18" i="11"/>
  <c r="AK17" i="11"/>
  <c r="AG17" i="11"/>
  <c r="BD17" i="11"/>
  <c r="BM18" i="11"/>
  <c r="AW16" i="11"/>
  <c r="AO17" i="11"/>
  <c r="AJ18" i="11"/>
  <c r="AN17" i="11"/>
  <c r="AO18" i="11"/>
  <c r="AW17" i="11"/>
  <c r="AP17" i="11"/>
  <c r="AO14" i="11"/>
  <c r="AW18" i="11"/>
  <c r="BI16" i="11"/>
  <c r="BE18" i="11"/>
  <c r="AS16" i="11"/>
  <c r="BG17" i="11"/>
  <c r="BC17" i="11"/>
  <c r="BA16" i="11"/>
  <c r="AX16" i="11"/>
  <c r="AZ18" i="11"/>
  <c r="AQ17" i="11"/>
  <c r="AL17" i="11"/>
  <c r="AZ17" i="11"/>
  <c r="BN18" i="11"/>
  <c r="BI18" i="11"/>
  <c r="AM14" i="11"/>
  <c r="BK18" i="11"/>
  <c r="C18" i="11"/>
  <c r="AJ17" i="11"/>
  <c r="AM17" i="11"/>
  <c r="AL18" i="11"/>
  <c r="AH17" i="11"/>
  <c r="AR15" i="11"/>
  <c r="AK18" i="11"/>
  <c r="AR17" i="11"/>
  <c r="BA18" i="11"/>
  <c r="AU16" i="11"/>
  <c r="AG19" i="11"/>
  <c r="AY17" i="11"/>
  <c r="AG18" i="11"/>
  <c r="AI17" i="11"/>
  <c r="AS18" i="11"/>
  <c r="BC19" i="11"/>
  <c r="BI17" i="11"/>
  <c r="AX19" i="11"/>
  <c r="AU18" i="11"/>
  <c r="BJ17" i="11"/>
  <c r="AO19" i="11"/>
  <c r="BH19" i="11"/>
  <c r="AT17" i="11"/>
  <c r="AM18" i="11"/>
  <c r="BC18" i="11"/>
  <c r="BG18" i="11"/>
  <c r="AQ19" i="11"/>
  <c r="AM19" i="11"/>
  <c r="AK19" i="11"/>
  <c r="BB18" i="11"/>
  <c r="AI18" i="11"/>
  <c r="BA17" i="11"/>
  <c r="AT18" i="11"/>
  <c r="BH17" i="11"/>
  <c r="AX17" i="11"/>
  <c r="AP18" i="11"/>
  <c r="AV18" i="11"/>
  <c r="AF18" i="11"/>
  <c r="AZ20" i="11"/>
  <c r="AT20" i="11"/>
  <c r="AE18" i="11"/>
  <c r="AH18" i="11"/>
  <c r="AN18" i="11"/>
  <c r="AE19" i="11"/>
  <c r="AJ19" i="11"/>
  <c r="BL19" i="11"/>
  <c r="BK19" i="11"/>
  <c r="AQ18" i="11"/>
  <c r="C19" i="11"/>
  <c r="BD19" i="11"/>
  <c r="AN19" i="11"/>
  <c r="AR20" i="11"/>
  <c r="BI19" i="11"/>
  <c r="BF21" i="11"/>
  <c r="AY18" i="11"/>
  <c r="AM20" i="11"/>
  <c r="AS19" i="11"/>
  <c r="AV19" i="11"/>
  <c r="AL19" i="11"/>
  <c r="BE19" i="11"/>
  <c r="AY19" i="11"/>
  <c r="AI19" i="11"/>
  <c r="BB19" i="11"/>
  <c r="BM19" i="11"/>
  <c r="AH20" i="11"/>
  <c r="BN19" i="11"/>
  <c r="AR18" i="11"/>
  <c r="AL20" i="11"/>
  <c r="BH18" i="11"/>
  <c r="AR19" i="11"/>
  <c r="AG20" i="11"/>
  <c r="C17" i="11"/>
  <c r="BD18" i="11"/>
  <c r="AU19" i="11"/>
  <c r="AW19" i="11"/>
  <c r="AW20" i="11"/>
  <c r="AQ20" i="11"/>
  <c r="BJ20" i="11"/>
  <c r="AH19" i="11"/>
  <c r="BA19" i="11"/>
  <c r="BE21" i="11"/>
  <c r="BD20" i="11"/>
  <c r="AP20" i="11"/>
  <c r="BA20" i="11"/>
  <c r="AI20" i="11"/>
  <c r="BF19" i="11"/>
  <c r="AK20" i="11"/>
  <c r="BL18" i="11"/>
  <c r="AE20" i="11"/>
  <c r="AZ21" i="11"/>
  <c r="C20" i="11"/>
  <c r="AV21" i="11"/>
  <c r="BM20" i="11"/>
  <c r="AO20" i="11"/>
  <c r="AR21" i="11"/>
  <c r="AF20" i="11"/>
  <c r="AU20" i="11"/>
  <c r="AJ21" i="11"/>
  <c r="BM21" i="11"/>
  <c r="BK20" i="11"/>
  <c r="BJ21" i="11"/>
  <c r="AX20" i="11"/>
  <c r="BC20" i="11"/>
  <c r="AV20" i="11"/>
  <c r="BJ19" i="11"/>
  <c r="AS20" i="11"/>
  <c r="BB21" i="11"/>
  <c r="AT19" i="11"/>
  <c r="AL21" i="11"/>
  <c r="BK21" i="11"/>
  <c r="AN20" i="11"/>
  <c r="BF20" i="11"/>
  <c r="BE20" i="11"/>
  <c r="AY20" i="11"/>
  <c r="BG21" i="11"/>
  <c r="AX23" i="11"/>
  <c r="AH22" i="11"/>
  <c r="BN21" i="11"/>
  <c r="AG21" i="11"/>
  <c r="AQ22" i="11"/>
  <c r="AO22" i="11"/>
  <c r="AX22" i="11"/>
  <c r="AU21" i="11"/>
  <c r="AJ22" i="11"/>
  <c r="AT21" i="11"/>
  <c r="AF19" i="11"/>
  <c r="AI21" i="11"/>
  <c r="AG22" i="11"/>
  <c r="C21" i="11"/>
  <c r="AN21" i="11"/>
  <c r="AP22" i="11"/>
  <c r="AJ20" i="11"/>
  <c r="AM22" i="11"/>
  <c r="AO21" i="11"/>
  <c r="AW21" i="11"/>
  <c r="AK22" i="11"/>
  <c r="BG20" i="11"/>
  <c r="AH21" i="11"/>
  <c r="AI22" i="11"/>
  <c r="AR22" i="11"/>
  <c r="C22" i="11"/>
  <c r="BL20" i="11"/>
  <c r="AW22" i="11"/>
  <c r="AY21" i="11"/>
  <c r="AP21" i="11"/>
  <c r="AY22" i="11"/>
  <c r="AU23" i="11"/>
  <c r="AT22" i="11"/>
  <c r="AZ22" i="11"/>
  <c r="AS22" i="11"/>
  <c r="AF22" i="11"/>
  <c r="AE22" i="11"/>
  <c r="AX21" i="11"/>
  <c r="BJ23" i="11"/>
  <c r="AL22" i="11"/>
  <c r="AS23" i="11"/>
  <c r="BA21" i="11"/>
  <c r="BJ22" i="11"/>
  <c r="BD23" i="11"/>
  <c r="AJ23" i="11"/>
  <c r="BA22" i="11"/>
  <c r="BI22" i="11"/>
  <c r="BN23" i="11"/>
  <c r="AH23" i="11"/>
  <c r="AM21" i="11"/>
  <c r="AK21" i="11"/>
  <c r="AS21" i="11"/>
  <c r="BN22" i="11"/>
  <c r="BM22" i="11"/>
  <c r="AQ21" i="11"/>
  <c r="BF22" i="11"/>
  <c r="AE23" i="11"/>
  <c r="AZ23" i="11"/>
  <c r="AN22" i="11"/>
  <c r="BD22" i="11"/>
  <c r="AV23" i="11"/>
  <c r="BB22" i="11"/>
  <c r="AE21" i="11"/>
  <c r="AP23" i="11"/>
  <c r="BM24" i="11"/>
  <c r="AT23" i="11"/>
  <c r="C23" i="11"/>
  <c r="AF21" i="11"/>
  <c r="BI23" i="11"/>
  <c r="BM23" i="11"/>
  <c r="AM23" i="11"/>
  <c r="BL23" i="11"/>
  <c r="BA23" i="11"/>
  <c r="AO24" i="11"/>
  <c r="BE24" i="11"/>
  <c r="AW23" i="11"/>
  <c r="BC24" i="11"/>
  <c r="AR24" i="11"/>
  <c r="BH21" i="11"/>
  <c r="AK24" i="11"/>
  <c r="BE22" i="11"/>
  <c r="AF24" i="11"/>
  <c r="AG23" i="11"/>
  <c r="BH23" i="11"/>
  <c r="BF23" i="11"/>
  <c r="AJ24" i="11"/>
  <c r="BH24" i="11"/>
  <c r="AQ24" i="11"/>
  <c r="AL24" i="11"/>
  <c r="AE24" i="11"/>
  <c r="BL22" i="11"/>
  <c r="AN23" i="11"/>
  <c r="BB23" i="11"/>
  <c r="BE23" i="11"/>
  <c r="BK25" i="11"/>
  <c r="AU22" i="11"/>
  <c r="BF24" i="11"/>
  <c r="AQ23" i="11"/>
  <c r="BC23" i="11"/>
  <c r="AL25" i="11"/>
  <c r="AO23" i="11"/>
  <c r="AR25" i="11"/>
  <c r="AK25" i="11"/>
  <c r="AX24" i="11"/>
  <c r="AH25" i="11"/>
  <c r="AU25" i="11"/>
  <c r="AX25" i="11"/>
  <c r="AW25" i="11"/>
  <c r="BN25" i="11"/>
  <c r="BG24" i="11"/>
  <c r="AJ25" i="11"/>
  <c r="AH24" i="11"/>
  <c r="BF25" i="11"/>
  <c r="AE25" i="11"/>
  <c r="AZ25" i="11"/>
  <c r="BB25" i="11"/>
  <c r="BK23" i="11"/>
  <c r="AN25" i="11"/>
  <c r="BH25" i="11"/>
  <c r="BG25" i="11"/>
  <c r="AO25" i="11"/>
  <c r="BJ24" i="11"/>
  <c r="AM24" i="11"/>
  <c r="AF25" i="11"/>
  <c r="BK24" i="11"/>
  <c r="AS25" i="11"/>
  <c r="BM25" i="11"/>
  <c r="C25" i="11"/>
  <c r="AP24" i="11"/>
  <c r="AR23" i="11"/>
  <c r="BI25" i="11"/>
  <c r="AG25" i="11"/>
  <c r="BA24" i="11"/>
  <c r="AZ24" i="11"/>
  <c r="AF23" i="11"/>
  <c r="AV25" i="11"/>
  <c r="AI25" i="11"/>
  <c r="AL23" i="11"/>
  <c r="BB24" i="11"/>
  <c r="BJ25" i="11"/>
  <c r="BN24" i="11"/>
  <c r="AP25" i="11"/>
  <c r="BC25" i="11"/>
  <c r="AI24" i="11"/>
  <c r="BE25" i="11"/>
  <c r="BL24" i="11"/>
  <c r="AV24" i="11"/>
  <c r="AT24" i="11"/>
  <c r="AG24" i="11"/>
  <c r="BA25" i="11"/>
  <c r="BD25" i="11"/>
  <c r="AM25" i="11"/>
  <c r="BL25" i="11"/>
  <c r="Y169" i="14"/>
  <c r="BZ412" i="9" l="1"/>
  <c r="BZ413" i="9" s="1"/>
  <c r="AV636" i="11"/>
  <c r="W636" i="11"/>
  <c r="AD636" i="11"/>
  <c r="AH636" i="11"/>
  <c r="AP636" i="11"/>
  <c r="AT636" i="11"/>
  <c r="AA636" i="11"/>
  <c r="BB636" i="11"/>
  <c r="S636" i="11"/>
  <c r="M636" i="11"/>
  <c r="BC636" i="11"/>
  <c r="H636" i="11"/>
  <c r="AJ636" i="11"/>
  <c r="AO636" i="11"/>
  <c r="BH636" i="11"/>
  <c r="AF636" i="11"/>
  <c r="Q636" i="11"/>
  <c r="BF636" i="11"/>
  <c r="BL636" i="11"/>
  <c r="AS636" i="11"/>
  <c r="I636" i="11"/>
  <c r="AQ636" i="11"/>
  <c r="U636" i="11"/>
  <c r="AK636" i="11"/>
  <c r="BI636" i="11"/>
  <c r="AN636" i="11"/>
  <c r="J636" i="11"/>
  <c r="BM636" i="11"/>
  <c r="AE636" i="11"/>
  <c r="AZ636" i="11"/>
  <c r="AB636" i="11"/>
  <c r="AX636" i="11"/>
  <c r="BG636" i="11"/>
  <c r="P636" i="11"/>
  <c r="BJ636" i="11"/>
  <c r="X636" i="11"/>
  <c r="R636" i="11"/>
  <c r="K636" i="11"/>
  <c r="BK636" i="11"/>
  <c r="O636" i="11"/>
  <c r="AR636" i="11"/>
  <c r="N636" i="11"/>
  <c r="BN636" i="11"/>
  <c r="AC636" i="11"/>
  <c r="BE636" i="11"/>
  <c r="AU636" i="11"/>
  <c r="BD636" i="11"/>
  <c r="AL636" i="11"/>
  <c r="AI636" i="11"/>
  <c r="BA636" i="11"/>
  <c r="T636" i="11"/>
  <c r="Y636" i="11"/>
  <c r="AW636" i="11"/>
  <c r="AY636" i="11"/>
  <c r="AM636" i="11"/>
  <c r="V636" i="11"/>
  <c r="L636" i="11"/>
  <c r="Z636" i="11"/>
  <c r="AG636" i="11"/>
  <c r="Z169" i="14"/>
  <c r="BZ414" i="9" l="1"/>
  <c r="G636" i="11"/>
  <c r="E463" i="11"/>
  <c r="N991" i="6" s="1"/>
  <c r="D463" i="11"/>
  <c r="L991" i="6" s="1"/>
  <c r="AA169" i="14"/>
  <c r="BZ415" i="9" l="1"/>
  <c r="U991" i="6"/>
  <c r="S1189" i="6" s="1"/>
  <c r="U1189" i="6" s="1"/>
  <c r="U1376" i="6" s="1"/>
  <c r="U1246" i="6" s="1"/>
  <c r="L20" i="2" s="1"/>
  <c r="AB169" i="14"/>
  <c r="BZ416" i="9" l="1"/>
  <c r="AO66" i="18"/>
  <c r="BM66" i="18"/>
  <c r="H66" i="18"/>
  <c r="BA66" i="18"/>
  <c r="BI66" i="18"/>
  <c r="BF66" i="18"/>
  <c r="AH66" i="18"/>
  <c r="AR66" i="18"/>
  <c r="BN66" i="18"/>
  <c r="I66" i="18"/>
  <c r="AC66" i="18"/>
  <c r="Y66" i="18"/>
  <c r="AQ66" i="18"/>
  <c r="AF66" i="18"/>
  <c r="AN66" i="18"/>
  <c r="BE66" i="18"/>
  <c r="AX66" i="18"/>
  <c r="T66" i="18"/>
  <c r="AP66" i="18"/>
  <c r="Z66" i="18"/>
  <c r="R66" i="18"/>
  <c r="AB66" i="18"/>
  <c r="BC66" i="18"/>
  <c r="AA66" i="18"/>
  <c r="X66" i="18"/>
  <c r="BL66" i="18"/>
  <c r="AI66" i="18"/>
  <c r="BG66" i="18"/>
  <c r="L66" i="18"/>
  <c r="AU66" i="18"/>
  <c r="K66" i="18"/>
  <c r="U66" i="18"/>
  <c r="M66" i="18"/>
  <c r="BH66" i="18"/>
  <c r="AE66" i="18"/>
  <c r="P66" i="18"/>
  <c r="BD66" i="18"/>
  <c r="AD66" i="18"/>
  <c r="N66" i="18"/>
  <c r="J66" i="18"/>
  <c r="AM66" i="18"/>
  <c r="AY66" i="18"/>
  <c r="E66" i="18"/>
  <c r="AS66" i="18"/>
  <c r="G66" i="18"/>
  <c r="AV66" i="18"/>
  <c r="V66" i="18"/>
  <c r="BO66" i="18"/>
  <c r="AT66" i="18"/>
  <c r="AL66" i="18"/>
  <c r="F66" i="18"/>
  <c r="AW66" i="18"/>
  <c r="AJ66" i="18"/>
  <c r="AK66" i="18"/>
  <c r="Q66" i="18"/>
  <c r="AG66" i="18"/>
  <c r="W66" i="18"/>
  <c r="S66" i="18"/>
  <c r="BJ66" i="18"/>
  <c r="BP66" i="18"/>
  <c r="BB66" i="18"/>
  <c r="AZ66" i="18"/>
  <c r="O66" i="18"/>
  <c r="BK66" i="18"/>
  <c r="AC169" i="14"/>
  <c r="BZ417" i="9" l="1"/>
  <c r="AD169" i="14"/>
  <c r="BZ418" i="9" l="1"/>
  <c r="AE169" i="14"/>
  <c r="BZ419" i="9" l="1"/>
  <c r="AF169" i="14"/>
  <c r="BZ420" i="9" l="1"/>
  <c r="AG169" i="14"/>
  <c r="BZ421" i="9" l="1"/>
  <c r="AH169" i="14"/>
  <c r="BZ422" i="9" l="1"/>
  <c r="AM122" i="14"/>
  <c r="T42" i="2"/>
  <c r="AI169" i="14"/>
  <c r="BZ423" i="9" l="1"/>
  <c r="T47" i="2"/>
  <c r="T46" i="2"/>
  <c r="T45" i="2"/>
  <c r="T44" i="2"/>
  <c r="AJ169" i="14"/>
  <c r="BZ424" i="9" l="1"/>
  <c r="T49" i="2"/>
  <c r="Z39" i="2" s="1"/>
  <c r="AK169" i="14"/>
  <c r="Z48" i="18"/>
  <c r="Z94" i="18" s="1"/>
  <c r="E48" i="18"/>
  <c r="E94" i="18" s="1"/>
  <c r="AZ48" i="18"/>
  <c r="AZ94" i="18" s="1"/>
  <c r="W48" i="18"/>
  <c r="W94" i="18" s="1"/>
  <c r="AS48" i="18"/>
  <c r="AS94" i="18" s="1"/>
  <c r="AH48" i="18"/>
  <c r="AH94" i="18" s="1"/>
  <c r="H48" i="18"/>
  <c r="H94" i="18" s="1"/>
  <c r="AW48" i="18"/>
  <c r="AW94" i="18" s="1"/>
  <c r="AG48" i="18"/>
  <c r="AG94" i="18" s="1"/>
  <c r="BH48" i="18"/>
  <c r="BH94" i="18" s="1"/>
  <c r="AL48" i="18"/>
  <c r="AL94" i="18" s="1"/>
  <c r="AC48" i="18"/>
  <c r="AC94" i="18" s="1"/>
  <c r="Y48" i="18"/>
  <c r="Y94" i="18" s="1"/>
  <c r="AD48" i="18"/>
  <c r="AD94" i="18" s="1"/>
  <c r="BE48" i="18"/>
  <c r="BE94" i="18" s="1"/>
  <c r="J48" i="18"/>
  <c r="J94" i="18" s="1"/>
  <c r="BA48" i="18"/>
  <c r="BA94" i="18" s="1"/>
  <c r="G48" i="18"/>
  <c r="G94" i="18" s="1"/>
  <c r="AX48" i="18"/>
  <c r="AX94" i="18" s="1"/>
  <c r="BB48" i="18"/>
  <c r="BB94" i="18" s="1"/>
  <c r="N48" i="18"/>
  <c r="N94" i="18" s="1"/>
  <c r="AK48" i="18"/>
  <c r="AK94" i="18" s="1"/>
  <c r="U48" i="18"/>
  <c r="U94" i="18" s="1"/>
  <c r="Q48" i="18"/>
  <c r="Q94" i="18" s="1"/>
  <c r="AR48" i="18"/>
  <c r="AR94" i="18" s="1"/>
  <c r="AI48" i="18"/>
  <c r="AI94" i="18" s="1"/>
  <c r="X48" i="18"/>
  <c r="X94" i="18" s="1"/>
  <c r="BD48" i="18"/>
  <c r="BD94" i="18" s="1"/>
  <c r="AU48" i="18"/>
  <c r="AU94" i="18" s="1"/>
  <c r="AY48" i="18"/>
  <c r="AY94" i="18" s="1"/>
  <c r="AA48" i="18"/>
  <c r="AA94" i="18" s="1"/>
  <c r="BL48" i="18"/>
  <c r="BL94" i="18" s="1"/>
  <c r="BO48" i="18"/>
  <c r="BO94" i="18" s="1"/>
  <c r="I48" i="18"/>
  <c r="I94" i="18" s="1"/>
  <c r="AO48" i="18"/>
  <c r="AO94" i="18" s="1"/>
  <c r="AN48" i="18"/>
  <c r="AN94" i="18" s="1"/>
  <c r="AJ48" i="18"/>
  <c r="AJ94" i="18" s="1"/>
  <c r="K48" i="18"/>
  <c r="K94" i="18" s="1"/>
  <c r="BI48" i="18"/>
  <c r="BI94" i="18" s="1"/>
  <c r="BP48" i="18"/>
  <c r="BP94" i="18" s="1"/>
  <c r="AV48" i="18"/>
  <c r="AV94" i="18" s="1"/>
  <c r="O48" i="18"/>
  <c r="O94" i="18" s="1"/>
  <c r="BK48" i="18"/>
  <c r="BK94" i="18" s="1"/>
  <c r="AP48" i="18"/>
  <c r="AP94" i="18" s="1"/>
  <c r="BF48" i="18"/>
  <c r="BF94" i="18" s="1"/>
  <c r="R48" i="18"/>
  <c r="R94" i="18" s="1"/>
  <c r="M48" i="18"/>
  <c r="M94" i="18" s="1"/>
  <c r="BN48" i="18"/>
  <c r="BN94" i="18" s="1"/>
  <c r="S48" i="18"/>
  <c r="S94" i="18" s="1"/>
  <c r="F48" i="18"/>
  <c r="F94" i="18" s="1"/>
  <c r="AF48" i="18"/>
  <c r="AF94" i="18" s="1"/>
  <c r="BM48" i="18"/>
  <c r="BM94" i="18" s="1"/>
  <c r="AM48" i="18"/>
  <c r="AM94" i="18" s="1"/>
  <c r="L48" i="18"/>
  <c r="L94" i="18" s="1"/>
  <c r="BG48" i="18"/>
  <c r="BG94" i="18" s="1"/>
  <c r="BJ48" i="18"/>
  <c r="BJ94" i="18" s="1"/>
  <c r="AQ48" i="18"/>
  <c r="AQ94" i="18" s="1"/>
  <c r="V48" i="18"/>
  <c r="V94" i="18" s="1"/>
  <c r="AT48" i="18"/>
  <c r="AT94" i="18" s="1"/>
  <c r="BC48" i="18"/>
  <c r="BC94" i="18" s="1"/>
  <c r="AE48" i="18"/>
  <c r="AE94" i="18" s="1"/>
  <c r="T48" i="18"/>
  <c r="T94" i="18" s="1"/>
  <c r="I51" i="9"/>
  <c r="L1385" i="6" s="1"/>
  <c r="T3" i="9"/>
  <c r="BZ429" i="9" l="1"/>
  <c r="AA25" i="9"/>
  <c r="X25" i="9"/>
  <c r="AB25" i="9"/>
  <c r="AC25" i="9"/>
  <c r="W25" i="9"/>
  <c r="Y25" i="9"/>
  <c r="AD25" i="9"/>
  <c r="AF25" i="9"/>
  <c r="AG25" i="9"/>
  <c r="AE25" i="9"/>
  <c r="AH25" i="9"/>
  <c r="Z25" i="9"/>
  <c r="U25" i="9"/>
  <c r="V25" i="9"/>
  <c r="T71" i="9"/>
  <c r="I71" i="9" s="1"/>
  <c r="T25" i="9"/>
  <c r="N1385" i="6"/>
  <c r="U1385" i="6" s="1"/>
  <c r="BZ430" i="9" l="1"/>
  <c r="H25" i="9"/>
  <c r="I25" i="9" s="1"/>
  <c r="V77" i="9" s="1" a="1"/>
  <c r="V77" i="9" s="1"/>
  <c r="BZ431" i="9" l="1"/>
  <c r="U77" i="9" a="1"/>
  <c r="U77" i="9" s="1"/>
  <c r="U183" i="9" s="1"/>
  <c r="S77" i="9" a="1"/>
  <c r="S77" i="9" s="1"/>
  <c r="S183" i="9" s="1"/>
  <c r="AH77" i="9" a="1"/>
  <c r="AH77" i="9" s="1"/>
  <c r="AH183" i="9" s="1"/>
  <c r="AG77" i="9" a="1"/>
  <c r="AG77" i="9" s="1"/>
  <c r="AG183" i="9" s="1"/>
  <c r="AC77" i="9" a="1"/>
  <c r="AC77" i="9" s="1"/>
  <c r="AC183" i="9" s="1"/>
  <c r="AA77" i="9" a="1"/>
  <c r="AA77" i="9" s="1"/>
  <c r="AA183" i="9" s="1"/>
  <c r="W77" i="9" a="1"/>
  <c r="W77" i="9" s="1"/>
  <c r="W183" i="9" s="1"/>
  <c r="AE77" i="9" a="1"/>
  <c r="AE77" i="9" s="1"/>
  <c r="AE183" i="9" s="1"/>
  <c r="Z77" i="9" a="1"/>
  <c r="Z77" i="9" s="1"/>
  <c r="Z183" i="9" s="1"/>
  <c r="X77" i="9" a="1"/>
  <c r="X77" i="9" s="1"/>
  <c r="X183" i="9" s="1"/>
  <c r="AF77" i="9" a="1"/>
  <c r="AF77" i="9" s="1"/>
  <c r="AF183" i="9" s="1"/>
  <c r="AD77" i="9" a="1"/>
  <c r="AD77" i="9" s="1"/>
  <c r="AD183" i="9" s="1"/>
  <c r="Y77" i="9" a="1"/>
  <c r="Y77" i="9" s="1"/>
  <c r="Y183" i="9" s="1"/>
  <c r="AB77" i="9" a="1"/>
  <c r="AB77" i="9" s="1"/>
  <c r="AB183" i="9" s="1"/>
  <c r="M77" i="9" a="1"/>
  <c r="M77" i="9" s="1"/>
  <c r="P77" i="9" a="1"/>
  <c r="P77" i="9" s="1"/>
  <c r="P183" i="9" s="1"/>
  <c r="O77" i="9" a="1"/>
  <c r="O77" i="9" s="1"/>
  <c r="O183" i="9" s="1"/>
  <c r="T77" i="9" a="1"/>
  <c r="T77" i="9" s="1"/>
  <c r="N77" i="9" a="1"/>
  <c r="N77" i="9" s="1"/>
  <c r="N183" i="9" s="1"/>
  <c r="L77" i="9" a="1"/>
  <c r="L77" i="9" s="1"/>
  <c r="L183" i="9" s="1"/>
  <c r="Q77" i="9" a="1"/>
  <c r="Q77" i="9" s="1"/>
  <c r="K77" i="9" a="1"/>
  <c r="K77" i="9" s="1"/>
  <c r="R77" i="9" a="1"/>
  <c r="R77" i="9" s="1"/>
  <c r="R183" i="9" s="1"/>
  <c r="V183" i="9"/>
  <c r="BZ432" i="9" l="1"/>
  <c r="AE203" i="9"/>
  <c r="AE229" i="9"/>
  <c r="CV229" i="9" s="1"/>
  <c r="AA23" i="11" s="1"/>
  <c r="AE214" i="9"/>
  <c r="CV214" i="9" s="1"/>
  <c r="AA8" i="11" s="1"/>
  <c r="AE231" i="9"/>
  <c r="CV231" i="9" s="1"/>
  <c r="AA25" i="11" s="1"/>
  <c r="AE221" i="9"/>
  <c r="CV221" i="9" s="1"/>
  <c r="AA15" i="11" s="1"/>
  <c r="AE226" i="9"/>
  <c r="CV226" i="9" s="1"/>
  <c r="AA20" i="11" s="1"/>
  <c r="AE224" i="9"/>
  <c r="CV224" i="9" s="1"/>
  <c r="AA18" i="11" s="1"/>
  <c r="AE219" i="9"/>
  <c r="CV219" i="9" s="1"/>
  <c r="AA13" i="11" s="1"/>
  <c r="AE217" i="9"/>
  <c r="CV217" i="9" s="1"/>
  <c r="AA11" i="11" s="1"/>
  <c r="AE220" i="9"/>
  <c r="CV220" i="9" s="1"/>
  <c r="AA14" i="11" s="1"/>
  <c r="AE223" i="9"/>
  <c r="CV223" i="9" s="1"/>
  <c r="AA17" i="11" s="1"/>
  <c r="AE228" i="9"/>
  <c r="CV228" i="9" s="1"/>
  <c r="AA22" i="11" s="1"/>
  <c r="AE227" i="9"/>
  <c r="CV227" i="9" s="1"/>
  <c r="AA21" i="11" s="1"/>
  <c r="AE218" i="9"/>
  <c r="CV218" i="9" s="1"/>
  <c r="AA12" i="11" s="1"/>
  <c r="AE222" i="9"/>
  <c r="CV222" i="9" s="1"/>
  <c r="AA16" i="11" s="1"/>
  <c r="AE213" i="9"/>
  <c r="AE230" i="9"/>
  <c r="CV230" i="9" s="1"/>
  <c r="AA24" i="11" s="1"/>
  <c r="AE225" i="9"/>
  <c r="CV225" i="9" s="1"/>
  <c r="AA19" i="11" s="1"/>
  <c r="AE215" i="9"/>
  <c r="CV215" i="9" s="1"/>
  <c r="AA9" i="11" s="1"/>
  <c r="AE216" i="9"/>
  <c r="CV216" i="9" s="1"/>
  <c r="AA10" i="11" s="1"/>
  <c r="AE232" i="9"/>
  <c r="CV232" i="9" s="1"/>
  <c r="W229" i="9"/>
  <c r="CN229" i="9" s="1"/>
  <c r="S23" i="11" s="1"/>
  <c r="W203" i="9"/>
  <c r="W230" i="9"/>
  <c r="CN230" i="9" s="1"/>
  <c r="S24" i="11" s="1"/>
  <c r="W224" i="9"/>
  <c r="CN224" i="9" s="1"/>
  <c r="S18" i="11" s="1"/>
  <c r="W223" i="9"/>
  <c r="CN223" i="9" s="1"/>
  <c r="S17" i="11" s="1"/>
  <c r="W222" i="9"/>
  <c r="CN222" i="9" s="1"/>
  <c r="S16" i="11" s="1"/>
  <c r="W221" i="9"/>
  <c r="CN221" i="9" s="1"/>
  <c r="S15" i="11" s="1"/>
  <c r="W216" i="9"/>
  <c r="CN216" i="9" s="1"/>
  <c r="S10" i="11" s="1"/>
  <c r="W217" i="9"/>
  <c r="CN217" i="9" s="1"/>
  <c r="S11" i="11" s="1"/>
  <c r="W226" i="9"/>
  <c r="CN226" i="9" s="1"/>
  <c r="S20" i="11" s="1"/>
  <c r="W228" i="9"/>
  <c r="CN228" i="9" s="1"/>
  <c r="S22" i="11" s="1"/>
  <c r="W220" i="9"/>
  <c r="CN220" i="9" s="1"/>
  <c r="S14" i="11" s="1"/>
  <c r="W213" i="9"/>
  <c r="W215" i="9"/>
  <c r="CN215" i="9" s="1"/>
  <c r="S9" i="11" s="1"/>
  <c r="W218" i="9"/>
  <c r="CN218" i="9" s="1"/>
  <c r="S12" i="11" s="1"/>
  <c r="W214" i="9"/>
  <c r="CN214" i="9" s="1"/>
  <c r="S8" i="11" s="1"/>
  <c r="W231" i="9"/>
  <c r="CN231" i="9" s="1"/>
  <c r="S25" i="11" s="1"/>
  <c r="W232" i="9"/>
  <c r="CN232" i="9" s="1"/>
  <c r="W225" i="9"/>
  <c r="CN225" i="9" s="1"/>
  <c r="S19" i="11" s="1"/>
  <c r="W227" i="9"/>
  <c r="CN227" i="9" s="1"/>
  <c r="S21" i="11" s="1"/>
  <c r="W219" i="9"/>
  <c r="CN219" i="9" s="1"/>
  <c r="S13" i="11" s="1"/>
  <c r="AB229" i="9"/>
  <c r="CS229" i="9" s="1"/>
  <c r="X23" i="11" s="1"/>
  <c r="AB203" i="9"/>
  <c r="AB228" i="9"/>
  <c r="CS228" i="9" s="1"/>
  <c r="X22" i="11" s="1"/>
  <c r="AB232" i="9"/>
  <c r="CS232" i="9" s="1"/>
  <c r="AB220" i="9"/>
  <c r="CS220" i="9" s="1"/>
  <c r="X14" i="11" s="1"/>
  <c r="AB227" i="9"/>
  <c r="CS227" i="9" s="1"/>
  <c r="X21" i="11" s="1"/>
  <c r="AB218" i="9"/>
  <c r="CS218" i="9" s="1"/>
  <c r="X12" i="11" s="1"/>
  <c r="AB213" i="9"/>
  <c r="AB224" i="9"/>
  <c r="CS224" i="9" s="1"/>
  <c r="X18" i="11" s="1"/>
  <c r="AB221" i="9"/>
  <c r="CS221" i="9" s="1"/>
  <c r="X15" i="11" s="1"/>
  <c r="AB223" i="9"/>
  <c r="CS223" i="9" s="1"/>
  <c r="X17" i="11" s="1"/>
  <c r="AB214" i="9"/>
  <c r="CS214" i="9" s="1"/>
  <c r="X8" i="11" s="1"/>
  <c r="AB226" i="9"/>
  <c r="CS226" i="9" s="1"/>
  <c r="X20" i="11" s="1"/>
  <c r="AB231" i="9"/>
  <c r="CS231" i="9" s="1"/>
  <c r="X25" i="11" s="1"/>
  <c r="AB222" i="9"/>
  <c r="CS222" i="9" s="1"/>
  <c r="X16" i="11" s="1"/>
  <c r="AB230" i="9"/>
  <c r="CS230" i="9" s="1"/>
  <c r="X24" i="11" s="1"/>
  <c r="AB219" i="9"/>
  <c r="CS219" i="9" s="1"/>
  <c r="X13" i="11" s="1"/>
  <c r="AB215" i="9"/>
  <c r="CS215" i="9" s="1"/>
  <c r="X9" i="11" s="1"/>
  <c r="AB216" i="9"/>
  <c r="CS216" i="9" s="1"/>
  <c r="X10" i="11" s="1"/>
  <c r="AB217" i="9"/>
  <c r="CS217" i="9" s="1"/>
  <c r="X11" i="11" s="1"/>
  <c r="AB225" i="9"/>
  <c r="CS225" i="9" s="1"/>
  <c r="X19" i="11" s="1"/>
  <c r="AA203" i="9"/>
  <c r="AA229" i="9"/>
  <c r="CR229" i="9" s="1"/>
  <c r="W23" i="11" s="1"/>
  <c r="AA217" i="9"/>
  <c r="CR217" i="9" s="1"/>
  <c r="W11" i="11" s="1"/>
  <c r="AA214" i="9"/>
  <c r="CR214" i="9" s="1"/>
  <c r="W8" i="11" s="1"/>
  <c r="AA213" i="9"/>
  <c r="AA215" i="9"/>
  <c r="CR215" i="9" s="1"/>
  <c r="W9" i="11" s="1"/>
  <c r="AA227" i="9"/>
  <c r="CR227" i="9" s="1"/>
  <c r="W21" i="11" s="1"/>
  <c r="AA216" i="9"/>
  <c r="CR216" i="9" s="1"/>
  <c r="W10" i="11" s="1"/>
  <c r="AA221" i="9"/>
  <c r="CR221" i="9" s="1"/>
  <c r="W15" i="11" s="1"/>
  <c r="AA223" i="9"/>
  <c r="CR223" i="9" s="1"/>
  <c r="W17" i="11" s="1"/>
  <c r="AA231" i="9"/>
  <c r="CR231" i="9" s="1"/>
  <c r="W25" i="11" s="1"/>
  <c r="AA220" i="9"/>
  <c r="CR220" i="9" s="1"/>
  <c r="W14" i="11" s="1"/>
  <c r="AA226" i="9"/>
  <c r="CR226" i="9" s="1"/>
  <c r="W20" i="11" s="1"/>
  <c r="AA222" i="9"/>
  <c r="CR222" i="9" s="1"/>
  <c r="W16" i="11" s="1"/>
  <c r="AA232" i="9"/>
  <c r="CR232" i="9" s="1"/>
  <c r="AA230" i="9"/>
  <c r="CR230" i="9" s="1"/>
  <c r="W24" i="11" s="1"/>
  <c r="AA228" i="9"/>
  <c r="CR228" i="9" s="1"/>
  <c r="W22" i="11" s="1"/>
  <c r="AA225" i="9"/>
  <c r="CR225" i="9" s="1"/>
  <c r="W19" i="11" s="1"/>
  <c r="AA219" i="9"/>
  <c r="CR219" i="9" s="1"/>
  <c r="W13" i="11" s="1"/>
  <c r="AA218" i="9"/>
  <c r="CR218" i="9" s="1"/>
  <c r="W12" i="11" s="1"/>
  <c r="AA224" i="9"/>
  <c r="CR224" i="9" s="1"/>
  <c r="W18" i="11" s="1"/>
  <c r="Y203" i="9"/>
  <c r="Y229" i="9"/>
  <c r="CP229" i="9" s="1"/>
  <c r="U23" i="11" s="1"/>
  <c r="Y232" i="9"/>
  <c r="CP232" i="9" s="1"/>
  <c r="Y225" i="9"/>
  <c r="CP225" i="9" s="1"/>
  <c r="U19" i="11" s="1"/>
  <c r="Y231" i="9"/>
  <c r="CP231" i="9" s="1"/>
  <c r="U25" i="11" s="1"/>
  <c r="Y217" i="9"/>
  <c r="CP217" i="9" s="1"/>
  <c r="U11" i="11" s="1"/>
  <c r="Y228" i="9"/>
  <c r="CP228" i="9" s="1"/>
  <c r="U22" i="11" s="1"/>
  <c r="Y223" i="9"/>
  <c r="CP223" i="9" s="1"/>
  <c r="U17" i="11" s="1"/>
  <c r="Y214" i="9"/>
  <c r="CP214" i="9" s="1"/>
  <c r="U8" i="11" s="1"/>
  <c r="Y215" i="9"/>
  <c r="CP215" i="9" s="1"/>
  <c r="U9" i="11" s="1"/>
  <c r="Y220" i="9"/>
  <c r="CP220" i="9" s="1"/>
  <c r="U14" i="11" s="1"/>
  <c r="Y213" i="9"/>
  <c r="Y222" i="9"/>
  <c r="CP222" i="9" s="1"/>
  <c r="U16" i="11" s="1"/>
  <c r="Y224" i="9"/>
  <c r="CP224" i="9" s="1"/>
  <c r="U18" i="11" s="1"/>
  <c r="Y216" i="9"/>
  <c r="CP216" i="9" s="1"/>
  <c r="U10" i="11" s="1"/>
  <c r="Y218" i="9"/>
  <c r="CP218" i="9" s="1"/>
  <c r="U12" i="11" s="1"/>
  <c r="Y226" i="9"/>
  <c r="CP226" i="9" s="1"/>
  <c r="U20" i="11" s="1"/>
  <c r="Y219" i="9"/>
  <c r="CP219" i="9" s="1"/>
  <c r="U13" i="11" s="1"/>
  <c r="Y230" i="9"/>
  <c r="CP230" i="9" s="1"/>
  <c r="U24" i="11" s="1"/>
  <c r="Y221" i="9"/>
  <c r="CP221" i="9" s="1"/>
  <c r="U15" i="11" s="1"/>
  <c r="Y227" i="9"/>
  <c r="CP227" i="9" s="1"/>
  <c r="U21" i="11" s="1"/>
  <c r="AC203" i="9"/>
  <c r="AC229" i="9"/>
  <c r="CT229" i="9" s="1"/>
  <c r="Y23" i="11" s="1"/>
  <c r="AC231" i="9"/>
  <c r="CT231" i="9" s="1"/>
  <c r="Y25" i="11" s="1"/>
  <c r="AC220" i="9"/>
  <c r="CT220" i="9" s="1"/>
  <c r="Y14" i="11" s="1"/>
  <c r="AC216" i="9"/>
  <c r="CT216" i="9" s="1"/>
  <c r="Y10" i="11" s="1"/>
  <c r="AC225" i="9"/>
  <c r="CT225" i="9" s="1"/>
  <c r="Y19" i="11" s="1"/>
  <c r="AC227" i="9"/>
  <c r="CT227" i="9" s="1"/>
  <c r="Y21" i="11" s="1"/>
  <c r="AC214" i="9"/>
  <c r="CT214" i="9" s="1"/>
  <c r="Y8" i="11" s="1"/>
  <c r="AC230" i="9"/>
  <c r="CT230" i="9" s="1"/>
  <c r="Y24" i="11" s="1"/>
  <c r="AC228" i="9"/>
  <c r="CT228" i="9" s="1"/>
  <c r="Y22" i="11" s="1"/>
  <c r="AC222" i="9"/>
  <c r="CT222" i="9" s="1"/>
  <c r="Y16" i="11" s="1"/>
  <c r="AC232" i="9"/>
  <c r="CT232" i="9" s="1"/>
  <c r="AC223" i="9"/>
  <c r="CT223" i="9" s="1"/>
  <c r="Y17" i="11" s="1"/>
  <c r="AC219" i="9"/>
  <c r="CT219" i="9" s="1"/>
  <c r="Y13" i="11" s="1"/>
  <c r="AC213" i="9"/>
  <c r="AC215" i="9"/>
  <c r="CT215" i="9" s="1"/>
  <c r="Y9" i="11" s="1"/>
  <c r="AC217" i="9"/>
  <c r="CT217" i="9" s="1"/>
  <c r="Y11" i="11" s="1"/>
  <c r="AC226" i="9"/>
  <c r="CT226" i="9" s="1"/>
  <c r="Y20" i="11" s="1"/>
  <c r="AC224" i="9"/>
  <c r="CT224" i="9" s="1"/>
  <c r="Y18" i="11" s="1"/>
  <c r="AC218" i="9"/>
  <c r="CT218" i="9" s="1"/>
  <c r="Y12" i="11" s="1"/>
  <c r="AC221" i="9"/>
  <c r="CT221" i="9" s="1"/>
  <c r="Y15" i="11" s="1"/>
  <c r="AD203" i="9"/>
  <c r="AD229" i="9"/>
  <c r="CU229" i="9" s="1"/>
  <c r="Z23" i="11" s="1"/>
  <c r="AD218" i="9"/>
  <c r="CU218" i="9" s="1"/>
  <c r="Z12" i="11" s="1"/>
  <c r="AD216" i="9"/>
  <c r="CU216" i="9" s="1"/>
  <c r="Z10" i="11" s="1"/>
  <c r="AD221" i="9"/>
  <c r="CU221" i="9" s="1"/>
  <c r="Z15" i="11" s="1"/>
  <c r="AD213" i="9"/>
  <c r="AD217" i="9"/>
  <c r="CU217" i="9" s="1"/>
  <c r="Z11" i="11" s="1"/>
  <c r="AD226" i="9"/>
  <c r="CU226" i="9" s="1"/>
  <c r="Z20" i="11" s="1"/>
  <c r="AD224" i="9"/>
  <c r="CU224" i="9" s="1"/>
  <c r="Z18" i="11" s="1"/>
  <c r="AD223" i="9"/>
  <c r="CU223" i="9" s="1"/>
  <c r="Z17" i="11" s="1"/>
  <c r="AD227" i="9"/>
  <c r="CU227" i="9" s="1"/>
  <c r="Z21" i="11" s="1"/>
  <c r="AD219" i="9"/>
  <c r="CU219" i="9" s="1"/>
  <c r="Z13" i="11" s="1"/>
  <c r="AD228" i="9"/>
  <c r="CU228" i="9" s="1"/>
  <c r="Z22" i="11" s="1"/>
  <c r="AD225" i="9"/>
  <c r="CU225" i="9" s="1"/>
  <c r="Z19" i="11" s="1"/>
  <c r="AD214" i="9"/>
  <c r="CU214" i="9" s="1"/>
  <c r="Z8" i="11" s="1"/>
  <c r="AD231" i="9"/>
  <c r="CU231" i="9" s="1"/>
  <c r="Z25" i="11" s="1"/>
  <c r="AD215" i="9"/>
  <c r="CU215" i="9" s="1"/>
  <c r="Z9" i="11" s="1"/>
  <c r="AD232" i="9"/>
  <c r="CU232" i="9" s="1"/>
  <c r="AD230" i="9"/>
  <c r="CU230" i="9" s="1"/>
  <c r="Z24" i="11" s="1"/>
  <c r="AD220" i="9"/>
  <c r="CU220" i="9" s="1"/>
  <c r="Z14" i="11" s="1"/>
  <c r="AD222" i="9"/>
  <c r="CU222" i="9" s="1"/>
  <c r="Z16" i="11" s="1"/>
  <c r="AG229" i="9"/>
  <c r="CX229" i="9" s="1"/>
  <c r="AC23" i="11" s="1"/>
  <c r="AG203" i="9"/>
  <c r="AG216" i="9"/>
  <c r="CX216" i="9" s="1"/>
  <c r="AC10" i="11" s="1"/>
  <c r="AG219" i="9"/>
  <c r="CX219" i="9" s="1"/>
  <c r="AC13" i="11" s="1"/>
  <c r="AG215" i="9"/>
  <c r="CX215" i="9" s="1"/>
  <c r="AC9" i="11" s="1"/>
  <c r="AG213" i="9"/>
  <c r="AG218" i="9"/>
  <c r="CX218" i="9" s="1"/>
  <c r="AC12" i="11" s="1"/>
  <c r="AG217" i="9"/>
  <c r="CX217" i="9" s="1"/>
  <c r="AC11" i="11" s="1"/>
  <c r="AG220" i="9"/>
  <c r="CX220" i="9" s="1"/>
  <c r="AC14" i="11" s="1"/>
  <c r="AG225" i="9"/>
  <c r="CX225" i="9" s="1"/>
  <c r="AC19" i="11" s="1"/>
  <c r="AG231" i="9"/>
  <c r="CX231" i="9" s="1"/>
  <c r="AC25" i="11" s="1"/>
  <c r="AG227" i="9"/>
  <c r="CX227" i="9" s="1"/>
  <c r="AC21" i="11" s="1"/>
  <c r="AG222" i="9"/>
  <c r="CX222" i="9" s="1"/>
  <c r="AC16" i="11" s="1"/>
  <c r="AG232" i="9"/>
  <c r="CX232" i="9" s="1"/>
  <c r="AG226" i="9"/>
  <c r="CX226" i="9" s="1"/>
  <c r="AC20" i="11" s="1"/>
  <c r="AG230" i="9"/>
  <c r="CX230" i="9" s="1"/>
  <c r="AC24" i="11" s="1"/>
  <c r="AG228" i="9"/>
  <c r="CX228" i="9" s="1"/>
  <c r="AC22" i="11" s="1"/>
  <c r="AG221" i="9"/>
  <c r="CX221" i="9" s="1"/>
  <c r="AC15" i="11" s="1"/>
  <c r="AG224" i="9"/>
  <c r="CX224" i="9" s="1"/>
  <c r="AC18" i="11" s="1"/>
  <c r="AG214" i="9"/>
  <c r="CX214" i="9" s="1"/>
  <c r="AC8" i="11" s="1"/>
  <c r="AG223" i="9"/>
  <c r="CX223" i="9" s="1"/>
  <c r="AC17" i="11" s="1"/>
  <c r="AF203" i="9"/>
  <c r="AF229" i="9"/>
  <c r="CW229" i="9" s="1"/>
  <c r="AB23" i="11" s="1"/>
  <c r="AF224" i="9"/>
  <c r="CW224" i="9" s="1"/>
  <c r="AB18" i="11" s="1"/>
  <c r="AF218" i="9"/>
  <c r="CW218" i="9" s="1"/>
  <c r="AB12" i="11" s="1"/>
  <c r="AF219" i="9"/>
  <c r="CW219" i="9" s="1"/>
  <c r="AB13" i="11" s="1"/>
  <c r="AF222" i="9"/>
  <c r="CW222" i="9" s="1"/>
  <c r="AB16" i="11" s="1"/>
  <c r="AF217" i="9"/>
  <c r="CW217" i="9" s="1"/>
  <c r="AB11" i="11" s="1"/>
  <c r="AF226" i="9"/>
  <c r="CW226" i="9" s="1"/>
  <c r="AB20" i="11" s="1"/>
  <c r="AF223" i="9"/>
  <c r="CW223" i="9" s="1"/>
  <c r="AB17" i="11" s="1"/>
  <c r="AF232" i="9"/>
  <c r="CW232" i="9" s="1"/>
  <c r="AF227" i="9"/>
  <c r="CW227" i="9" s="1"/>
  <c r="AB21" i="11" s="1"/>
  <c r="AF213" i="9"/>
  <c r="AF225" i="9"/>
  <c r="CW225" i="9" s="1"/>
  <c r="AB19" i="11" s="1"/>
  <c r="AF214" i="9"/>
  <c r="CW214" i="9" s="1"/>
  <c r="AB8" i="11" s="1"/>
  <c r="AF230" i="9"/>
  <c r="CW230" i="9" s="1"/>
  <c r="AB24" i="11" s="1"/>
  <c r="AF215" i="9"/>
  <c r="CW215" i="9" s="1"/>
  <c r="AB9" i="11" s="1"/>
  <c r="AF231" i="9"/>
  <c r="CW231" i="9" s="1"/>
  <c r="AB25" i="11" s="1"/>
  <c r="AF228" i="9"/>
  <c r="CW228" i="9" s="1"/>
  <c r="AB22" i="11" s="1"/>
  <c r="AF220" i="9"/>
  <c r="CW220" i="9" s="1"/>
  <c r="AB14" i="11" s="1"/>
  <c r="AF216" i="9"/>
  <c r="CW216" i="9" s="1"/>
  <c r="AB10" i="11" s="1"/>
  <c r="AF221" i="9"/>
  <c r="CW221" i="9" s="1"/>
  <c r="AB15" i="11" s="1"/>
  <c r="AH229" i="9"/>
  <c r="CY229" i="9" s="1"/>
  <c r="AD23" i="11" s="1"/>
  <c r="AH203" i="9"/>
  <c r="AH215" i="9"/>
  <c r="CY215" i="9" s="1"/>
  <c r="AD9" i="11" s="1"/>
  <c r="AH223" i="9"/>
  <c r="CY223" i="9" s="1"/>
  <c r="AD17" i="11" s="1"/>
  <c r="AH225" i="9"/>
  <c r="CY225" i="9" s="1"/>
  <c r="AD19" i="11" s="1"/>
  <c r="AH230" i="9"/>
  <c r="CY230" i="9" s="1"/>
  <c r="AD24" i="11" s="1"/>
  <c r="AH231" i="9"/>
  <c r="CY231" i="9" s="1"/>
  <c r="AD25" i="11" s="1"/>
  <c r="AH216" i="9"/>
  <c r="CY216" i="9" s="1"/>
  <c r="AD10" i="11" s="1"/>
  <c r="AH213" i="9"/>
  <c r="AH224" i="9"/>
  <c r="CY224" i="9" s="1"/>
  <c r="AD18" i="11" s="1"/>
  <c r="AH218" i="9"/>
  <c r="CY218" i="9" s="1"/>
  <c r="AD12" i="11" s="1"/>
  <c r="AH222" i="9"/>
  <c r="CY222" i="9" s="1"/>
  <c r="AD16" i="11" s="1"/>
  <c r="AH226" i="9"/>
  <c r="CY226" i="9" s="1"/>
  <c r="AD20" i="11" s="1"/>
  <c r="AH214" i="9"/>
  <c r="CY214" i="9" s="1"/>
  <c r="AD8" i="11" s="1"/>
  <c r="AH220" i="9"/>
  <c r="CY220" i="9" s="1"/>
  <c r="AD14" i="11" s="1"/>
  <c r="AH219" i="9"/>
  <c r="CY219" i="9" s="1"/>
  <c r="AD13" i="11" s="1"/>
  <c r="AH217" i="9"/>
  <c r="CY217" i="9" s="1"/>
  <c r="AD11" i="11" s="1"/>
  <c r="AH228" i="9"/>
  <c r="CY228" i="9" s="1"/>
  <c r="AD22" i="11" s="1"/>
  <c r="AH227" i="9"/>
  <c r="CY227" i="9" s="1"/>
  <c r="AD21" i="11" s="1"/>
  <c r="AH221" i="9"/>
  <c r="CY221" i="9" s="1"/>
  <c r="AD15" i="11" s="1"/>
  <c r="AH232" i="9"/>
  <c r="CY232" i="9" s="1"/>
  <c r="X229" i="9"/>
  <c r="CO229" i="9" s="1"/>
  <c r="T23" i="11" s="1"/>
  <c r="X203" i="9"/>
  <c r="X227" i="9"/>
  <c r="CO227" i="9" s="1"/>
  <c r="T21" i="11" s="1"/>
  <c r="X219" i="9"/>
  <c r="CO219" i="9" s="1"/>
  <c r="T13" i="11" s="1"/>
  <c r="X228" i="9"/>
  <c r="CO228" i="9" s="1"/>
  <c r="T22" i="11" s="1"/>
  <c r="X226" i="9"/>
  <c r="CO226" i="9" s="1"/>
  <c r="T20" i="11" s="1"/>
  <c r="X224" i="9"/>
  <c r="CO224" i="9" s="1"/>
  <c r="T18" i="11" s="1"/>
  <c r="X221" i="9"/>
  <c r="CO221" i="9" s="1"/>
  <c r="T15" i="11" s="1"/>
  <c r="X213" i="9"/>
  <c r="X217" i="9"/>
  <c r="CO217" i="9" s="1"/>
  <c r="T11" i="11" s="1"/>
  <c r="X225" i="9"/>
  <c r="CO225" i="9" s="1"/>
  <c r="T19" i="11" s="1"/>
  <c r="X223" i="9"/>
  <c r="CO223" i="9" s="1"/>
  <c r="T17" i="11" s="1"/>
  <c r="X215" i="9"/>
  <c r="CO215" i="9" s="1"/>
  <c r="T9" i="11" s="1"/>
  <c r="X231" i="9"/>
  <c r="CO231" i="9" s="1"/>
  <c r="T25" i="11" s="1"/>
  <c r="X220" i="9"/>
  <c r="CO220" i="9" s="1"/>
  <c r="T14" i="11" s="1"/>
  <c r="X216" i="9"/>
  <c r="CO216" i="9" s="1"/>
  <c r="T10" i="11" s="1"/>
  <c r="X222" i="9"/>
  <c r="CO222" i="9" s="1"/>
  <c r="T16" i="11" s="1"/>
  <c r="X218" i="9"/>
  <c r="CO218" i="9" s="1"/>
  <c r="T12" i="11" s="1"/>
  <c r="X214" i="9"/>
  <c r="CO214" i="9" s="1"/>
  <c r="T8" i="11" s="1"/>
  <c r="X230" i="9"/>
  <c r="CO230" i="9" s="1"/>
  <c r="T24" i="11" s="1"/>
  <c r="X232" i="9"/>
  <c r="CO232" i="9" s="1"/>
  <c r="Z229" i="9"/>
  <c r="CQ229" i="9" s="1"/>
  <c r="V23" i="11" s="1"/>
  <c r="Z203" i="9"/>
  <c r="Z217" i="9"/>
  <c r="CQ217" i="9" s="1"/>
  <c r="V11" i="11" s="1"/>
  <c r="Z232" i="9"/>
  <c r="CQ232" i="9" s="1"/>
  <c r="Z221" i="9"/>
  <c r="CQ221" i="9" s="1"/>
  <c r="V15" i="11" s="1"/>
  <c r="Z213" i="9"/>
  <c r="Z231" i="9"/>
  <c r="CQ231" i="9" s="1"/>
  <c r="V25" i="11" s="1"/>
  <c r="Z215" i="9"/>
  <c r="CQ215" i="9" s="1"/>
  <c r="V9" i="11" s="1"/>
  <c r="Z228" i="9"/>
  <c r="CQ228" i="9" s="1"/>
  <c r="V22" i="11" s="1"/>
  <c r="Z220" i="9"/>
  <c r="CQ220" i="9" s="1"/>
  <c r="V14" i="11" s="1"/>
  <c r="Z219" i="9"/>
  <c r="CQ219" i="9" s="1"/>
  <c r="V13" i="11" s="1"/>
  <c r="Z214" i="9"/>
  <c r="CQ214" i="9" s="1"/>
  <c r="V8" i="11" s="1"/>
  <c r="Z216" i="9"/>
  <c r="CQ216" i="9" s="1"/>
  <c r="V10" i="11" s="1"/>
  <c r="Z224" i="9"/>
  <c r="CQ224" i="9" s="1"/>
  <c r="V18" i="11" s="1"/>
  <c r="Z223" i="9"/>
  <c r="CQ223" i="9" s="1"/>
  <c r="V17" i="11" s="1"/>
  <c r="Z230" i="9"/>
  <c r="CQ230" i="9" s="1"/>
  <c r="V24" i="11" s="1"/>
  <c r="Z227" i="9"/>
  <c r="CQ227" i="9" s="1"/>
  <c r="V21" i="11" s="1"/>
  <c r="Z218" i="9"/>
  <c r="CQ218" i="9" s="1"/>
  <c r="V12" i="11" s="1"/>
  <c r="Z226" i="9"/>
  <c r="CQ226" i="9" s="1"/>
  <c r="V20" i="11" s="1"/>
  <c r="Z225" i="9"/>
  <c r="CQ225" i="9" s="1"/>
  <c r="V19" i="11" s="1"/>
  <c r="Z222" i="9"/>
  <c r="CQ222" i="9" s="1"/>
  <c r="V16" i="11" s="1"/>
  <c r="Z97" i="9"/>
  <c r="O97" i="9"/>
  <c r="AG97" i="9"/>
  <c r="BA97" i="9"/>
  <c r="AS97" i="9"/>
  <c r="AS98" i="9" s="1"/>
  <c r="AJ7" i="14" s="1"/>
  <c r="Q97" i="9"/>
  <c r="R97" i="9"/>
  <c r="M183" i="9"/>
  <c r="M221" i="9" s="1"/>
  <c r="CD221" i="9" s="1"/>
  <c r="I15" i="11" s="1"/>
  <c r="T97" i="9"/>
  <c r="AE97" i="9"/>
  <c r="AY97" i="9"/>
  <c r="AP97" i="9"/>
  <c r="AO97" i="9"/>
  <c r="Y97" i="9"/>
  <c r="AJ97" i="9"/>
  <c r="L97" i="9"/>
  <c r="C6" i="14" s="1"/>
  <c r="AI97" i="9"/>
  <c r="AC26" i="18" s="1"/>
  <c r="M97" i="9"/>
  <c r="H77" i="9"/>
  <c r="AW97" i="9"/>
  <c r="BI97" i="9"/>
  <c r="N97" i="9"/>
  <c r="AK97" i="9"/>
  <c r="AB6" i="14" s="1"/>
  <c r="BP97" i="9"/>
  <c r="BG6" i="14" s="1"/>
  <c r="K183" i="9"/>
  <c r="BF97" i="9"/>
  <c r="AV97" i="9"/>
  <c r="AR97" i="9"/>
  <c r="AM97" i="9"/>
  <c r="BL97" i="9"/>
  <c r="AT97" i="9"/>
  <c r="AK6" i="14" s="1"/>
  <c r="K97" i="9"/>
  <c r="AB97" i="9"/>
  <c r="AD97" i="9"/>
  <c r="W97" i="9"/>
  <c r="BE97" i="9"/>
  <c r="BD97" i="9"/>
  <c r="AU6" i="14" s="1"/>
  <c r="T183" i="9"/>
  <c r="P97" i="9"/>
  <c r="J26" i="18" s="1"/>
  <c r="AZ97" i="9"/>
  <c r="AT26" i="18" s="1"/>
  <c r="AC97" i="9"/>
  <c r="AL97" i="9"/>
  <c r="Q183" i="9"/>
  <c r="Q219" i="9" s="1"/>
  <c r="CH219" i="9" s="1"/>
  <c r="M13" i="11" s="1"/>
  <c r="BK97" i="9"/>
  <c r="U97" i="9"/>
  <c r="V97" i="9"/>
  <c r="S97" i="9"/>
  <c r="BC97" i="9"/>
  <c r="BC98" i="9" s="1"/>
  <c r="AT7" i="14" s="1"/>
  <c r="BQ97" i="9"/>
  <c r="BB97" i="9"/>
  <c r="AU97" i="9"/>
  <c r="AX97" i="9"/>
  <c r="AF97" i="9"/>
  <c r="W6" i="14" s="1"/>
  <c r="BG97" i="9"/>
  <c r="X97" i="9"/>
  <c r="BJ97" i="9"/>
  <c r="BJ98" i="9" s="1"/>
  <c r="BA7" i="14" s="1"/>
  <c r="AA97" i="9"/>
  <c r="AH97" i="9"/>
  <c r="BO97" i="9"/>
  <c r="AN97" i="9"/>
  <c r="BN97" i="9"/>
  <c r="BN98" i="9" s="1"/>
  <c r="BE7" i="14" s="1"/>
  <c r="BR97" i="9"/>
  <c r="BH97" i="9"/>
  <c r="BB26" i="18" s="1"/>
  <c r="AQ97" i="9"/>
  <c r="AQ98" i="9" s="1"/>
  <c r="AH7" i="14" s="1"/>
  <c r="BM97" i="9"/>
  <c r="BD6" i="14" s="1"/>
  <c r="S214" i="9"/>
  <c r="CJ214" i="9" s="1"/>
  <c r="O8" i="11" s="1"/>
  <c r="S203" i="9"/>
  <c r="S229" i="9"/>
  <c r="CJ229" i="9" s="1"/>
  <c r="O23" i="11" s="1"/>
  <c r="S230" i="9"/>
  <c r="CJ230" i="9" s="1"/>
  <c r="O24" i="11" s="1"/>
  <c r="S222" i="9"/>
  <c r="CJ222" i="9" s="1"/>
  <c r="O16" i="11" s="1"/>
  <c r="S216" i="9"/>
  <c r="CJ216" i="9" s="1"/>
  <c r="O10" i="11" s="1"/>
  <c r="S217" i="9"/>
  <c r="CJ217" i="9" s="1"/>
  <c r="O11" i="11" s="1"/>
  <c r="S215" i="9"/>
  <c r="CJ215" i="9" s="1"/>
  <c r="O9" i="11" s="1"/>
  <c r="S224" i="9"/>
  <c r="CJ224" i="9" s="1"/>
  <c r="O18" i="11" s="1"/>
  <c r="S232" i="9"/>
  <c r="CJ232" i="9" s="1"/>
  <c r="S227" i="9"/>
  <c r="CJ227" i="9" s="1"/>
  <c r="O21" i="11" s="1"/>
  <c r="S228" i="9"/>
  <c r="CJ228" i="9" s="1"/>
  <c r="O22" i="11" s="1"/>
  <c r="S220" i="9"/>
  <c r="CJ220" i="9" s="1"/>
  <c r="O14" i="11" s="1"/>
  <c r="S223" i="9"/>
  <c r="CJ223" i="9" s="1"/>
  <c r="O17" i="11" s="1"/>
  <c r="S218" i="9"/>
  <c r="CJ218" i="9" s="1"/>
  <c r="O12" i="11" s="1"/>
  <c r="S219" i="9"/>
  <c r="CJ219" i="9" s="1"/>
  <c r="O13" i="11" s="1"/>
  <c r="S225" i="9"/>
  <c r="CJ225" i="9" s="1"/>
  <c r="O19" i="11" s="1"/>
  <c r="S231" i="9"/>
  <c r="CJ231" i="9" s="1"/>
  <c r="O25" i="11" s="1"/>
  <c r="S213" i="9"/>
  <c r="S221" i="9"/>
  <c r="CJ221" i="9" s="1"/>
  <c r="O15" i="11" s="1"/>
  <c r="S226" i="9"/>
  <c r="CJ226" i="9" s="1"/>
  <c r="O20" i="11" s="1"/>
  <c r="L222" i="9"/>
  <c r="CC222" i="9" s="1"/>
  <c r="H16" i="11" s="1"/>
  <c r="L214" i="9"/>
  <c r="CC214" i="9" s="1"/>
  <c r="H8" i="11" s="1"/>
  <c r="L216" i="9"/>
  <c r="CC216" i="9" s="1"/>
  <c r="H10" i="11" s="1"/>
  <c r="L226" i="9"/>
  <c r="CC226" i="9" s="1"/>
  <c r="H20" i="11" s="1"/>
  <c r="L219" i="9"/>
  <c r="CC219" i="9" s="1"/>
  <c r="H13" i="11" s="1"/>
  <c r="L217" i="9"/>
  <c r="CC217" i="9" s="1"/>
  <c r="H11" i="11" s="1"/>
  <c r="L220" i="9"/>
  <c r="CC220" i="9" s="1"/>
  <c r="H14" i="11" s="1"/>
  <c r="L223" i="9"/>
  <c r="CC223" i="9" s="1"/>
  <c r="H17" i="11" s="1"/>
  <c r="L225" i="9"/>
  <c r="CC225" i="9" s="1"/>
  <c r="H19" i="11" s="1"/>
  <c r="L232" i="9"/>
  <c r="CC232" i="9" s="1"/>
  <c r="L229" i="9"/>
  <c r="CC229" i="9" s="1"/>
  <c r="H23" i="11" s="1"/>
  <c r="L227" i="9"/>
  <c r="CC227" i="9" s="1"/>
  <c r="H21" i="11" s="1"/>
  <c r="L215" i="9"/>
  <c r="CC215" i="9" s="1"/>
  <c r="H9" i="11" s="1"/>
  <c r="L224" i="9"/>
  <c r="CC224" i="9" s="1"/>
  <c r="H18" i="11" s="1"/>
  <c r="L231" i="9"/>
  <c r="CC231" i="9" s="1"/>
  <c r="H25" i="11" s="1"/>
  <c r="L221" i="9"/>
  <c r="CC221" i="9" s="1"/>
  <c r="H15" i="11" s="1"/>
  <c r="L228" i="9"/>
  <c r="CC228" i="9" s="1"/>
  <c r="H22" i="11" s="1"/>
  <c r="L230" i="9"/>
  <c r="CC230" i="9" s="1"/>
  <c r="H24" i="11" s="1"/>
  <c r="L218" i="9"/>
  <c r="CC218" i="9" s="1"/>
  <c r="H12" i="11" s="1"/>
  <c r="L203" i="9"/>
  <c r="L213" i="9"/>
  <c r="O229" i="9"/>
  <c r="CF229" i="9" s="1"/>
  <c r="K23" i="11" s="1"/>
  <c r="O203" i="9"/>
  <c r="O214" i="9"/>
  <c r="CF214" i="9" s="1"/>
  <c r="K8" i="11" s="1"/>
  <c r="O217" i="9"/>
  <c r="CF217" i="9" s="1"/>
  <c r="K11" i="11" s="1"/>
  <c r="O225" i="9"/>
  <c r="CF225" i="9" s="1"/>
  <c r="K19" i="11" s="1"/>
  <c r="O218" i="9"/>
  <c r="CF218" i="9" s="1"/>
  <c r="K12" i="11" s="1"/>
  <c r="O232" i="9"/>
  <c r="CF232" i="9" s="1"/>
  <c r="O223" i="9"/>
  <c r="CF223" i="9" s="1"/>
  <c r="K17" i="11" s="1"/>
  <c r="O227" i="9"/>
  <c r="CF227" i="9" s="1"/>
  <c r="K21" i="11" s="1"/>
  <c r="O226" i="9"/>
  <c r="CF226" i="9" s="1"/>
  <c r="K20" i="11" s="1"/>
  <c r="O224" i="9"/>
  <c r="CF224" i="9" s="1"/>
  <c r="K18" i="11" s="1"/>
  <c r="O216" i="9"/>
  <c r="CF216" i="9" s="1"/>
  <c r="K10" i="11" s="1"/>
  <c r="O228" i="9"/>
  <c r="CF228" i="9" s="1"/>
  <c r="K22" i="11" s="1"/>
  <c r="O220" i="9"/>
  <c r="CF220" i="9" s="1"/>
  <c r="K14" i="11" s="1"/>
  <c r="O222" i="9"/>
  <c r="CF222" i="9" s="1"/>
  <c r="K16" i="11" s="1"/>
  <c r="O230" i="9"/>
  <c r="CF230" i="9" s="1"/>
  <c r="K24" i="11" s="1"/>
  <c r="O215" i="9"/>
  <c r="CF215" i="9" s="1"/>
  <c r="K9" i="11" s="1"/>
  <c r="O213" i="9"/>
  <c r="O231" i="9"/>
  <c r="CF231" i="9" s="1"/>
  <c r="K25" i="11" s="1"/>
  <c r="O221" i="9"/>
  <c r="CF221" i="9" s="1"/>
  <c r="K15" i="11" s="1"/>
  <c r="O219" i="9"/>
  <c r="CF219" i="9" s="1"/>
  <c r="K13" i="11" s="1"/>
  <c r="R217" i="9"/>
  <c r="CI217" i="9" s="1"/>
  <c r="N11" i="11" s="1"/>
  <c r="R214" i="9"/>
  <c r="CI214" i="9" s="1"/>
  <c r="N8" i="11" s="1"/>
  <c r="R227" i="9"/>
  <c r="CI227" i="9" s="1"/>
  <c r="N21" i="11" s="1"/>
  <c r="R224" i="9"/>
  <c r="CI224" i="9" s="1"/>
  <c r="N18" i="11" s="1"/>
  <c r="R221" i="9"/>
  <c r="CI221" i="9" s="1"/>
  <c r="N15" i="11" s="1"/>
  <c r="R216" i="9"/>
  <c r="CI216" i="9" s="1"/>
  <c r="N10" i="11" s="1"/>
  <c r="R223" i="9"/>
  <c r="CI223" i="9" s="1"/>
  <c r="N17" i="11" s="1"/>
  <c r="R220" i="9"/>
  <c r="CI220" i="9" s="1"/>
  <c r="N14" i="11" s="1"/>
  <c r="R222" i="9"/>
  <c r="CI222" i="9" s="1"/>
  <c r="N16" i="11" s="1"/>
  <c r="R229" i="9"/>
  <c r="CI229" i="9" s="1"/>
  <c r="N23" i="11" s="1"/>
  <c r="R225" i="9"/>
  <c r="CI225" i="9" s="1"/>
  <c r="N19" i="11" s="1"/>
  <c r="R232" i="9"/>
  <c r="CI232" i="9" s="1"/>
  <c r="R215" i="9"/>
  <c r="CI215" i="9" s="1"/>
  <c r="N9" i="11" s="1"/>
  <c r="R228" i="9"/>
  <c r="CI228" i="9" s="1"/>
  <c r="N22" i="11" s="1"/>
  <c r="R218" i="9"/>
  <c r="CI218" i="9" s="1"/>
  <c r="N12" i="11" s="1"/>
  <c r="R219" i="9"/>
  <c r="CI219" i="9" s="1"/>
  <c r="N13" i="11" s="1"/>
  <c r="R230" i="9"/>
  <c r="CI230" i="9" s="1"/>
  <c r="N24" i="11" s="1"/>
  <c r="R231" i="9"/>
  <c r="CI231" i="9" s="1"/>
  <c r="N25" i="11" s="1"/>
  <c r="R226" i="9"/>
  <c r="CI226" i="9" s="1"/>
  <c r="N20" i="11" s="1"/>
  <c r="R203" i="9"/>
  <c r="R213" i="9"/>
  <c r="N229" i="9"/>
  <c r="CE229" i="9" s="1"/>
  <c r="J23" i="11" s="1"/>
  <c r="N214" i="9"/>
  <c r="CE214" i="9" s="1"/>
  <c r="J8" i="11" s="1"/>
  <c r="N203" i="9"/>
  <c r="N213" i="9"/>
  <c r="N215" i="9"/>
  <c r="CE215" i="9" s="1"/>
  <c r="J9" i="11" s="1"/>
  <c r="N223" i="9"/>
  <c r="CE223" i="9" s="1"/>
  <c r="J17" i="11" s="1"/>
  <c r="N232" i="9"/>
  <c r="CE232" i="9" s="1"/>
  <c r="N221" i="9"/>
  <c r="CE221" i="9" s="1"/>
  <c r="J15" i="11" s="1"/>
  <c r="N224" i="9"/>
  <c r="CE224" i="9" s="1"/>
  <c r="J18" i="11" s="1"/>
  <c r="N219" i="9"/>
  <c r="CE219" i="9" s="1"/>
  <c r="J13" i="11" s="1"/>
  <c r="N228" i="9"/>
  <c r="CE228" i="9" s="1"/>
  <c r="J22" i="11" s="1"/>
  <c r="N231" i="9"/>
  <c r="CE231" i="9" s="1"/>
  <c r="J25" i="11" s="1"/>
  <c r="N225" i="9"/>
  <c r="CE225" i="9" s="1"/>
  <c r="J19" i="11" s="1"/>
  <c r="N216" i="9"/>
  <c r="CE216" i="9" s="1"/>
  <c r="J10" i="11" s="1"/>
  <c r="N227" i="9"/>
  <c r="CE227" i="9" s="1"/>
  <c r="J21" i="11" s="1"/>
  <c r="N218" i="9"/>
  <c r="CE218" i="9" s="1"/>
  <c r="J12" i="11" s="1"/>
  <c r="N226" i="9"/>
  <c r="CE226" i="9" s="1"/>
  <c r="J20" i="11" s="1"/>
  <c r="N230" i="9"/>
  <c r="CE230" i="9" s="1"/>
  <c r="J24" i="11" s="1"/>
  <c r="N217" i="9"/>
  <c r="CE217" i="9" s="1"/>
  <c r="J11" i="11" s="1"/>
  <c r="N220" i="9"/>
  <c r="CE220" i="9" s="1"/>
  <c r="J14" i="11" s="1"/>
  <c r="N222" i="9"/>
  <c r="CE222" i="9" s="1"/>
  <c r="J16" i="11" s="1"/>
  <c r="U229" i="9"/>
  <c r="CL229" i="9" s="1"/>
  <c r="Q23" i="11" s="1"/>
  <c r="U214" i="9"/>
  <c r="CL214" i="9" s="1"/>
  <c r="Q8" i="11" s="1"/>
  <c r="U215" i="9"/>
  <c r="CL215" i="9" s="1"/>
  <c r="Q9" i="11" s="1"/>
  <c r="U203" i="9"/>
  <c r="U226" i="9"/>
  <c r="CL226" i="9" s="1"/>
  <c r="Q20" i="11" s="1"/>
  <c r="U224" i="9"/>
  <c r="CL224" i="9" s="1"/>
  <c r="Q18" i="11" s="1"/>
  <c r="U225" i="9"/>
  <c r="CL225" i="9" s="1"/>
  <c r="Q19" i="11" s="1"/>
  <c r="U231" i="9"/>
  <c r="CL231" i="9" s="1"/>
  <c r="Q25" i="11" s="1"/>
  <c r="U232" i="9"/>
  <c r="CL232" i="9" s="1"/>
  <c r="U217" i="9"/>
  <c r="CL217" i="9" s="1"/>
  <c r="Q11" i="11" s="1"/>
  <c r="U221" i="9"/>
  <c r="CL221" i="9" s="1"/>
  <c r="Q15" i="11" s="1"/>
  <c r="U218" i="9"/>
  <c r="CL218" i="9" s="1"/>
  <c r="Q12" i="11" s="1"/>
  <c r="U222" i="9"/>
  <c r="CL222" i="9" s="1"/>
  <c r="Q16" i="11" s="1"/>
  <c r="U228" i="9"/>
  <c r="CL228" i="9" s="1"/>
  <c r="Q22" i="11" s="1"/>
  <c r="U230" i="9"/>
  <c r="CL230" i="9" s="1"/>
  <c r="Q24" i="11" s="1"/>
  <c r="U213" i="9"/>
  <c r="U219" i="9"/>
  <c r="CL219" i="9" s="1"/>
  <c r="Q13" i="11" s="1"/>
  <c r="U220" i="9"/>
  <c r="CL220" i="9" s="1"/>
  <c r="Q14" i="11" s="1"/>
  <c r="U227" i="9"/>
  <c r="CL227" i="9" s="1"/>
  <c r="Q21" i="11" s="1"/>
  <c r="U216" i="9"/>
  <c r="CL216" i="9" s="1"/>
  <c r="Q10" i="11" s="1"/>
  <c r="U223" i="9"/>
  <c r="CL223" i="9" s="1"/>
  <c r="Q17" i="11" s="1"/>
  <c r="V229" i="9"/>
  <c r="CM229" i="9" s="1"/>
  <c r="R23" i="11" s="1"/>
  <c r="V214" i="9"/>
  <c r="CM214" i="9" s="1"/>
  <c r="R8" i="11" s="1"/>
  <c r="V203" i="9"/>
  <c r="V231" i="9"/>
  <c r="CM231" i="9" s="1"/>
  <c r="R25" i="11" s="1"/>
  <c r="V218" i="9"/>
  <c r="CM218" i="9" s="1"/>
  <c r="R12" i="11" s="1"/>
  <c r="V230" i="9"/>
  <c r="CM230" i="9" s="1"/>
  <c r="R24" i="11" s="1"/>
  <c r="V213" i="9"/>
  <c r="V217" i="9"/>
  <c r="CM217" i="9" s="1"/>
  <c r="R11" i="11" s="1"/>
  <c r="V222" i="9"/>
  <c r="CM222" i="9" s="1"/>
  <c r="R16" i="11" s="1"/>
  <c r="V215" i="9"/>
  <c r="CM215" i="9" s="1"/>
  <c r="R9" i="11" s="1"/>
  <c r="V221" i="9"/>
  <c r="CM221" i="9" s="1"/>
  <c r="R15" i="11" s="1"/>
  <c r="V223" i="9"/>
  <c r="CM223" i="9" s="1"/>
  <c r="R17" i="11" s="1"/>
  <c r="V228" i="9"/>
  <c r="CM228" i="9" s="1"/>
  <c r="R22" i="11" s="1"/>
  <c r="V232" i="9"/>
  <c r="CM232" i="9" s="1"/>
  <c r="V224" i="9"/>
  <c r="CM224" i="9" s="1"/>
  <c r="R18" i="11" s="1"/>
  <c r="V225" i="9"/>
  <c r="CM225" i="9" s="1"/>
  <c r="R19" i="11" s="1"/>
  <c r="V216" i="9"/>
  <c r="CM216" i="9" s="1"/>
  <c r="R10" i="11" s="1"/>
  <c r="V219" i="9"/>
  <c r="CM219" i="9" s="1"/>
  <c r="R13" i="11" s="1"/>
  <c r="V220" i="9"/>
  <c r="CM220" i="9" s="1"/>
  <c r="R14" i="11" s="1"/>
  <c r="V227" i="9"/>
  <c r="CM227" i="9" s="1"/>
  <c r="R21" i="11" s="1"/>
  <c r="V226" i="9"/>
  <c r="CM226" i="9" s="1"/>
  <c r="R20" i="11" s="1"/>
  <c r="P229" i="9"/>
  <c r="CG229" i="9" s="1"/>
  <c r="L23" i="11" s="1"/>
  <c r="P214" i="9"/>
  <c r="CG214" i="9" s="1"/>
  <c r="L8" i="11" s="1"/>
  <c r="P203" i="9"/>
  <c r="P215" i="9"/>
  <c r="CG215" i="9" s="1"/>
  <c r="L9" i="11" s="1"/>
  <c r="P231" i="9"/>
  <c r="CG231" i="9" s="1"/>
  <c r="L25" i="11" s="1"/>
  <c r="P226" i="9"/>
  <c r="CG226" i="9" s="1"/>
  <c r="L20" i="11" s="1"/>
  <c r="P223" i="9"/>
  <c r="CG223" i="9" s="1"/>
  <c r="L17" i="11" s="1"/>
  <c r="P220" i="9"/>
  <c r="CG220" i="9" s="1"/>
  <c r="L14" i="11" s="1"/>
  <c r="P224" i="9"/>
  <c r="CG224" i="9" s="1"/>
  <c r="L18" i="11" s="1"/>
  <c r="P216" i="9"/>
  <c r="CG216" i="9" s="1"/>
  <c r="L10" i="11" s="1"/>
  <c r="P217" i="9"/>
  <c r="CG217" i="9" s="1"/>
  <c r="L11" i="11" s="1"/>
  <c r="P221" i="9"/>
  <c r="CG221" i="9" s="1"/>
  <c r="L15" i="11" s="1"/>
  <c r="P213" i="9"/>
  <c r="P232" i="9"/>
  <c r="CG232" i="9" s="1"/>
  <c r="P225" i="9"/>
  <c r="CG225" i="9" s="1"/>
  <c r="L19" i="11" s="1"/>
  <c r="P218" i="9"/>
  <c r="CG218" i="9" s="1"/>
  <c r="L12" i="11" s="1"/>
  <c r="P219" i="9"/>
  <c r="CG219" i="9" s="1"/>
  <c r="L13" i="11" s="1"/>
  <c r="P227" i="9"/>
  <c r="CG227" i="9" s="1"/>
  <c r="L21" i="11" s="1"/>
  <c r="P230" i="9"/>
  <c r="CG230" i="9" s="1"/>
  <c r="L24" i="11" s="1"/>
  <c r="P228" i="9"/>
  <c r="CG228" i="9" s="1"/>
  <c r="L22" i="11" s="1"/>
  <c r="P222" i="9"/>
  <c r="CG222" i="9" s="1"/>
  <c r="L16" i="11" s="1"/>
  <c r="T26" i="18" l="1"/>
  <c r="Q6" i="14"/>
  <c r="I26" i="18"/>
  <c r="F6" i="14"/>
  <c r="X6" i="14"/>
  <c r="AA26" i="18"/>
  <c r="Y26" i="18"/>
  <c r="V6" i="14"/>
  <c r="AY98" i="9"/>
  <c r="AP7" i="14" s="1"/>
  <c r="AS26" i="18"/>
  <c r="AP6" i="14"/>
  <c r="D6" i="14"/>
  <c r="G26" i="18"/>
  <c r="AV98" i="9"/>
  <c r="AM7" i="14" s="1"/>
  <c r="AP26" i="18"/>
  <c r="AR98" i="9"/>
  <c r="AI7" i="14" s="1"/>
  <c r="AI6" i="14"/>
  <c r="AL26" i="18"/>
  <c r="AE6" i="14"/>
  <c r="AH26" i="18"/>
  <c r="AN98" i="9"/>
  <c r="AE7" i="14" s="1"/>
  <c r="BR98" i="9"/>
  <c r="BI7" i="14" s="1"/>
  <c r="BI6" i="14"/>
  <c r="BL26" i="18"/>
  <c r="BA98" i="9"/>
  <c r="AR7" i="14" s="1"/>
  <c r="AU26" i="18"/>
  <c r="AR6" i="14"/>
  <c r="H6" i="14"/>
  <c r="K26" i="18"/>
  <c r="L26" i="18"/>
  <c r="I6" i="14"/>
  <c r="AP98" i="9"/>
  <c r="AG7" i="14" s="1"/>
  <c r="AG6" i="14"/>
  <c r="AJ26" i="18"/>
  <c r="AI26" i="18"/>
  <c r="AF6" i="14"/>
  <c r="P6" i="14"/>
  <c r="S26" i="18"/>
  <c r="AD26" i="18"/>
  <c r="AA6" i="14"/>
  <c r="AW98" i="9"/>
  <c r="AN7" i="14" s="1"/>
  <c r="AQ26" i="18"/>
  <c r="AN6" i="14"/>
  <c r="AZ6" i="14"/>
  <c r="BC26" i="18"/>
  <c r="BI98" i="9"/>
  <c r="AZ7" i="14" s="1"/>
  <c r="H26" i="18"/>
  <c r="E6" i="14"/>
  <c r="K214" i="9"/>
  <c r="CB214" i="9" s="1"/>
  <c r="G8" i="11" s="1"/>
  <c r="K230" i="9"/>
  <c r="K203" i="9"/>
  <c r="K226" i="9"/>
  <c r="CB226" i="9" s="1"/>
  <c r="G20" i="11" s="1"/>
  <c r="K231" i="9"/>
  <c r="CB231" i="9" s="1"/>
  <c r="G25" i="11" s="1"/>
  <c r="K232" i="9"/>
  <c r="CB232" i="9" s="1"/>
  <c r="K225" i="9"/>
  <c r="CB225" i="9" s="1"/>
  <c r="G19" i="11" s="1"/>
  <c r="K217" i="9"/>
  <c r="CB217" i="9" s="1"/>
  <c r="G11" i="11" s="1"/>
  <c r="K221" i="9"/>
  <c r="CB221" i="9" s="1"/>
  <c r="G15" i="11" s="1"/>
  <c r="K215" i="9"/>
  <c r="CB215" i="9" s="1"/>
  <c r="G9" i="11" s="1"/>
  <c r="K228" i="9"/>
  <c r="CB228" i="9" s="1"/>
  <c r="G22" i="11" s="1"/>
  <c r="K229" i="9"/>
  <c r="CB229" i="9" s="1"/>
  <c r="G23" i="11" s="1"/>
  <c r="K224" i="9"/>
  <c r="CB224" i="9" s="1"/>
  <c r="G18" i="11" s="1"/>
  <c r="K213" i="9"/>
  <c r="CB213" i="9" s="1"/>
  <c r="G7" i="11" s="1"/>
  <c r="AZ26" i="18"/>
  <c r="BF98" i="9"/>
  <c r="AW7" i="14" s="1"/>
  <c r="AW6" i="14"/>
  <c r="AG26" i="18"/>
  <c r="AD6" i="14"/>
  <c r="AM98" i="9"/>
  <c r="AD7" i="14" s="1"/>
  <c r="BC6" i="14"/>
  <c r="BF26" i="18"/>
  <c r="BL98" i="9"/>
  <c r="BC7" i="14" s="1"/>
  <c r="AL98" i="9"/>
  <c r="AC7" i="14" s="1"/>
  <c r="AF26" i="18"/>
  <c r="AC6" i="14"/>
  <c r="BE26" i="18"/>
  <c r="BK98" i="9"/>
  <c r="BB7" i="14" s="1"/>
  <c r="BB6" i="14"/>
  <c r="O26" i="18"/>
  <c r="L6" i="14"/>
  <c r="P26" i="18"/>
  <c r="M6" i="14"/>
  <c r="J6" i="14"/>
  <c r="M26" i="18"/>
  <c r="R6" i="14"/>
  <c r="U26" i="18"/>
  <c r="Y6" i="14"/>
  <c r="AB26" i="18"/>
  <c r="N26" i="18"/>
  <c r="K6" i="14"/>
  <c r="E26" i="18"/>
  <c r="K98" i="9"/>
  <c r="S6" i="14"/>
  <c r="V26" i="18"/>
  <c r="U6" i="14"/>
  <c r="X26" i="18"/>
  <c r="N6" i="14"/>
  <c r="Q26" i="18"/>
  <c r="BE98" i="9"/>
  <c r="AV7" i="14" s="1"/>
  <c r="AV6" i="14"/>
  <c r="AY26" i="18"/>
  <c r="BK26" i="18"/>
  <c r="BQ98" i="9"/>
  <c r="BH7" i="14" s="1"/>
  <c r="BH6" i="14"/>
  <c r="BB98" i="9"/>
  <c r="AS7" i="14" s="1"/>
  <c r="AS6" i="14"/>
  <c r="AV26" i="18"/>
  <c r="AU98" i="9"/>
  <c r="AL7" i="14" s="1"/>
  <c r="AO26" i="18"/>
  <c r="AL6" i="14"/>
  <c r="AX98" i="9"/>
  <c r="AO7" i="14" s="1"/>
  <c r="AO6" i="14"/>
  <c r="AR26" i="18"/>
  <c r="BG98" i="9"/>
  <c r="AX7" i="14" s="1"/>
  <c r="BA26" i="18"/>
  <c r="AX6" i="14"/>
  <c r="BO98" i="9"/>
  <c r="BF7" i="14" s="1"/>
  <c r="BI26" i="18"/>
  <c r="BF6" i="14"/>
  <c r="T228" i="9"/>
  <c r="CK228" i="9" s="1"/>
  <c r="P22" i="11" s="1"/>
  <c r="T225" i="9"/>
  <c r="CK225" i="9" s="1"/>
  <c r="P19" i="11" s="1"/>
  <c r="BZ433" i="9"/>
  <c r="T224" i="9"/>
  <c r="CK224" i="9" s="1"/>
  <c r="P18" i="11" s="1"/>
  <c r="T226" i="9"/>
  <c r="CK226" i="9" s="1"/>
  <c r="P20" i="11" s="1"/>
  <c r="T215" i="9"/>
  <c r="CK215" i="9" s="1"/>
  <c r="P9" i="11" s="1"/>
  <c r="K219" i="9"/>
  <c r="CB219" i="9" s="1"/>
  <c r="G13" i="11" s="1"/>
  <c r="K220" i="9"/>
  <c r="CB220" i="9" s="1"/>
  <c r="G14" i="11" s="1"/>
  <c r="K216" i="9"/>
  <c r="CB216" i="9" s="1"/>
  <c r="G10" i="11" s="1"/>
  <c r="K222" i="9"/>
  <c r="CB222" i="9" s="1"/>
  <c r="G16" i="11" s="1"/>
  <c r="K218" i="9"/>
  <c r="CB218" i="9" s="1"/>
  <c r="G12" i="11" s="1"/>
  <c r="K227" i="9"/>
  <c r="CB227" i="9" s="1"/>
  <c r="G21" i="11" s="1"/>
  <c r="K223" i="9"/>
  <c r="CB223" i="9" s="1"/>
  <c r="G17" i="11" s="1"/>
  <c r="Q224" i="9"/>
  <c r="CH224" i="9" s="1"/>
  <c r="M18" i="11" s="1"/>
  <c r="AM6" i="14"/>
  <c r="AY6" i="14"/>
  <c r="AJ98" i="9"/>
  <c r="AA7" i="14" s="1"/>
  <c r="O6" i="14"/>
  <c r="AN26" i="18"/>
  <c r="R26" i="18"/>
  <c r="CT213" i="9"/>
  <c r="Y7" i="11" s="1"/>
  <c r="AC233" i="9"/>
  <c r="CP213" i="9"/>
  <c r="U7" i="11" s="1"/>
  <c r="Y233" i="9"/>
  <c r="CV213" i="9"/>
  <c r="AA7" i="11" s="1"/>
  <c r="AE233" i="9"/>
  <c r="AX26" i="18"/>
  <c r="BH98" i="9"/>
  <c r="AY7" i="14" s="1"/>
  <c r="G6" i="14"/>
  <c r="AT98" i="9"/>
  <c r="AK7" i="14" s="1"/>
  <c r="AK98" i="9"/>
  <c r="AB7" i="14" s="1"/>
  <c r="CY213" i="9"/>
  <c r="AD7" i="11" s="1"/>
  <c r="AH233" i="9"/>
  <c r="AE26" i="18"/>
  <c r="CQ213" i="9"/>
  <c r="V7" i="11" s="1"/>
  <c r="Z233" i="9"/>
  <c r="CW213" i="9"/>
  <c r="AB7" i="11" s="1"/>
  <c r="AF233" i="9"/>
  <c r="CU213" i="9"/>
  <c r="Z7" i="11" s="1"/>
  <c r="AD233" i="9"/>
  <c r="CR213" i="9"/>
  <c r="W7" i="11" s="1"/>
  <c r="AA233" i="9"/>
  <c r="CO213" i="9"/>
  <c r="T7" i="11" s="1"/>
  <c r="X233" i="9"/>
  <c r="CS213" i="9"/>
  <c r="X7" i="11" s="1"/>
  <c r="AB233" i="9"/>
  <c r="CN213" i="9"/>
  <c r="S7" i="11" s="1"/>
  <c r="W233" i="9"/>
  <c r="CX213" i="9"/>
  <c r="AC7" i="11" s="1"/>
  <c r="AG233" i="9"/>
  <c r="T218" i="9"/>
  <c r="CK218" i="9" s="1"/>
  <c r="P12" i="11" s="1"/>
  <c r="T217" i="9"/>
  <c r="CK217" i="9" s="1"/>
  <c r="P11" i="11" s="1"/>
  <c r="T231" i="9"/>
  <c r="CK231" i="9" s="1"/>
  <c r="P25" i="11" s="1"/>
  <c r="T223" i="9"/>
  <c r="CK223" i="9" s="1"/>
  <c r="P17" i="11" s="1"/>
  <c r="T227" i="9"/>
  <c r="CK227" i="9" s="1"/>
  <c r="P21" i="11" s="1"/>
  <c r="T222" i="9"/>
  <c r="CK222" i="9" s="1"/>
  <c r="P16" i="11" s="1"/>
  <c r="T213" i="9"/>
  <c r="CK213" i="9" s="1"/>
  <c r="P7" i="11" s="1"/>
  <c r="T232" i="9"/>
  <c r="CK232" i="9" s="1"/>
  <c r="T214" i="9"/>
  <c r="CK214" i="9" s="1"/>
  <c r="P8" i="11" s="1"/>
  <c r="T220" i="9"/>
  <c r="CK220" i="9" s="1"/>
  <c r="P14" i="11" s="1"/>
  <c r="Q228" i="9"/>
  <c r="CH228" i="9" s="1"/>
  <c r="M22" i="11" s="1"/>
  <c r="T221" i="9"/>
  <c r="CK221" i="9" s="1"/>
  <c r="P15" i="11" s="1"/>
  <c r="T203" i="9"/>
  <c r="T216" i="9"/>
  <c r="CK216" i="9" s="1"/>
  <c r="P10" i="11" s="1"/>
  <c r="T229" i="9"/>
  <c r="CK229" i="9" s="1"/>
  <c r="P23" i="11" s="1"/>
  <c r="T219" i="9"/>
  <c r="CK219" i="9" s="1"/>
  <c r="P13" i="11" s="1"/>
  <c r="T230" i="9"/>
  <c r="CK230" i="9" s="1"/>
  <c r="P24" i="11" s="1"/>
  <c r="Q222" i="9"/>
  <c r="CH222" i="9" s="1"/>
  <c r="M16" i="11" s="1"/>
  <c r="Q221" i="9"/>
  <c r="CH221" i="9" s="1"/>
  <c r="M15" i="11" s="1"/>
  <c r="Q217" i="9"/>
  <c r="CH217" i="9" s="1"/>
  <c r="M11" i="11" s="1"/>
  <c r="Q218" i="9"/>
  <c r="CH218" i="9" s="1"/>
  <c r="M12" i="11" s="1"/>
  <c r="Q225" i="9"/>
  <c r="CH225" i="9" s="1"/>
  <c r="M19" i="11" s="1"/>
  <c r="Q215" i="9"/>
  <c r="CH215" i="9" s="1"/>
  <c r="M9" i="11" s="1"/>
  <c r="Q216" i="9"/>
  <c r="CH216" i="9" s="1"/>
  <c r="M10" i="11" s="1"/>
  <c r="Q230" i="9"/>
  <c r="CH230" i="9" s="1"/>
  <c r="M24" i="11" s="1"/>
  <c r="Q203" i="9"/>
  <c r="Q213" i="9"/>
  <c r="CH213" i="9" s="1"/>
  <c r="M7" i="11" s="1"/>
  <c r="Q226" i="9"/>
  <c r="CH226" i="9" s="1"/>
  <c r="M20" i="11" s="1"/>
  <c r="Q214" i="9"/>
  <c r="CH214" i="9" s="1"/>
  <c r="M8" i="11" s="1"/>
  <c r="Q227" i="9"/>
  <c r="CH227" i="9" s="1"/>
  <c r="M21" i="11" s="1"/>
  <c r="Q232" i="9"/>
  <c r="CH232" i="9" s="1"/>
  <c r="Q229" i="9"/>
  <c r="CH229" i="9" s="1"/>
  <c r="M23" i="11" s="1"/>
  <c r="Q223" i="9"/>
  <c r="CH223" i="9" s="1"/>
  <c r="M17" i="11" s="1"/>
  <c r="Q231" i="9"/>
  <c r="CH231" i="9" s="1"/>
  <c r="M25" i="11" s="1"/>
  <c r="Q220" i="9"/>
  <c r="CH220" i="9" s="1"/>
  <c r="M14" i="11" s="1"/>
  <c r="M216" i="9"/>
  <c r="CD216" i="9" s="1"/>
  <c r="I10" i="11" s="1"/>
  <c r="M232" i="9"/>
  <c r="CD232" i="9" s="1"/>
  <c r="M231" i="9"/>
  <c r="CD231" i="9" s="1"/>
  <c r="I25" i="11" s="1"/>
  <c r="M226" i="9"/>
  <c r="CD226" i="9" s="1"/>
  <c r="I20" i="11" s="1"/>
  <c r="F26" i="18"/>
  <c r="AZ98" i="9"/>
  <c r="AQ7" i="14" s="1"/>
  <c r="AQ6" i="14"/>
  <c r="M213" i="9"/>
  <c r="M227" i="9"/>
  <c r="CD227" i="9" s="1"/>
  <c r="I21" i="11" s="1"/>
  <c r="BJ26" i="18"/>
  <c r="M217" i="9"/>
  <c r="CD217" i="9" s="1"/>
  <c r="I11" i="11" s="1"/>
  <c r="M228" i="9"/>
  <c r="CD228" i="9" s="1"/>
  <c r="I22" i="11" s="1"/>
  <c r="BD98" i="9"/>
  <c r="AU7" i="14" s="1"/>
  <c r="I183" i="9"/>
  <c r="BP98" i="9"/>
  <c r="BG7" i="14" s="1"/>
  <c r="M215" i="9"/>
  <c r="CD215" i="9" s="1"/>
  <c r="I9" i="11" s="1"/>
  <c r="M225" i="9"/>
  <c r="CD225" i="9" s="1"/>
  <c r="I19" i="11" s="1"/>
  <c r="AO98" i="9"/>
  <c r="AF7" i="14" s="1"/>
  <c r="BA6" i="14"/>
  <c r="BD26" i="18"/>
  <c r="M230" i="9"/>
  <c r="CD230" i="9" s="1"/>
  <c r="I24" i="11" s="1"/>
  <c r="M224" i="9"/>
  <c r="CD224" i="9" s="1"/>
  <c r="I18" i="11" s="1"/>
  <c r="M214" i="9"/>
  <c r="CD214" i="9" s="1"/>
  <c r="I8" i="11" s="1"/>
  <c r="BH26" i="18"/>
  <c r="AM26" i="18"/>
  <c r="M219" i="9"/>
  <c r="CD219" i="9" s="1"/>
  <c r="I13" i="11" s="1"/>
  <c r="M222" i="9"/>
  <c r="CD222" i="9" s="1"/>
  <c r="I16" i="11" s="1"/>
  <c r="M229" i="9"/>
  <c r="CD229" i="9" s="1"/>
  <c r="I23" i="11" s="1"/>
  <c r="AH6" i="14"/>
  <c r="BE6" i="14"/>
  <c r="AW26" i="18"/>
  <c r="Z26" i="18"/>
  <c r="AT6" i="14"/>
  <c r="B6" i="14"/>
  <c r="AJ6" i="14"/>
  <c r="M218" i="9"/>
  <c r="CD218" i="9" s="1"/>
  <c r="I12" i="11" s="1"/>
  <c r="M223" i="9"/>
  <c r="CD223" i="9" s="1"/>
  <c r="I17" i="11" s="1"/>
  <c r="M203" i="9"/>
  <c r="M220" i="9"/>
  <c r="CD220" i="9" s="1"/>
  <c r="I14" i="11" s="1"/>
  <c r="AI98" i="9"/>
  <c r="Z7" i="14" s="1"/>
  <c r="BG26" i="18"/>
  <c r="BM98" i="9"/>
  <c r="BD7" i="14" s="1"/>
  <c r="T6" i="14"/>
  <c r="W26" i="18"/>
  <c r="Z6" i="14"/>
  <c r="AK26" i="18"/>
  <c r="CB230" i="9"/>
  <c r="G24" i="11" s="1"/>
  <c r="CC213" i="9"/>
  <c r="H7" i="11" s="1"/>
  <c r="L233" i="9"/>
  <c r="CL213" i="9"/>
  <c r="Q7" i="11" s="1"/>
  <c r="U233" i="9"/>
  <c r="CM213" i="9"/>
  <c r="R7" i="11" s="1"/>
  <c r="V233" i="9"/>
  <c r="CE213" i="9"/>
  <c r="J7" i="11" s="1"/>
  <c r="N233" i="9"/>
  <c r="CJ213" i="9"/>
  <c r="O7" i="11" s="1"/>
  <c r="S233" i="9"/>
  <c r="CI213" i="9"/>
  <c r="N7" i="11" s="1"/>
  <c r="R233" i="9"/>
  <c r="CF213" i="9"/>
  <c r="K7" i="11" s="1"/>
  <c r="O233" i="9"/>
  <c r="CG213" i="9"/>
  <c r="L7" i="11" s="1"/>
  <c r="P233" i="9"/>
  <c r="K204" i="9"/>
  <c r="B7" i="14" l="1"/>
  <c r="L98" i="9"/>
  <c r="BZ434" i="9"/>
  <c r="K233" i="9"/>
  <c r="G642" i="11" s="1"/>
  <c r="T642" i="11"/>
  <c r="T663" i="11" s="1"/>
  <c r="X691" i="9"/>
  <c r="X858" i="9" s="1"/>
  <c r="Z691" i="9"/>
  <c r="Z858" i="9" s="1"/>
  <c r="V642" i="11"/>
  <c r="V663" i="11" s="1"/>
  <c r="AD642" i="11"/>
  <c r="AD663" i="11" s="1"/>
  <c r="AH691" i="9"/>
  <c r="AH858" i="9" s="1"/>
  <c r="AC691" i="9"/>
  <c r="AC858" i="9" s="1"/>
  <c r="Y642" i="11"/>
  <c r="Y663" i="11" s="1"/>
  <c r="AG691" i="9"/>
  <c r="AG858" i="9" s="1"/>
  <c r="AC642" i="11"/>
  <c r="AC663" i="11" s="1"/>
  <c r="W642" i="11"/>
  <c r="W663" i="11" s="1"/>
  <c r="AA691" i="9"/>
  <c r="AA858" i="9" s="1"/>
  <c r="S642" i="11"/>
  <c r="S663" i="11" s="1"/>
  <c r="W691" i="9"/>
  <c r="W858" i="9" s="1"/>
  <c r="Z642" i="11"/>
  <c r="Z663" i="11" s="1"/>
  <c r="AD691" i="9"/>
  <c r="AD858" i="9" s="1"/>
  <c r="AE691" i="9"/>
  <c r="AE858" i="9" s="1"/>
  <c r="AA642" i="11"/>
  <c r="AA663" i="11" s="1"/>
  <c r="X642" i="11"/>
  <c r="X663" i="11" s="1"/>
  <c r="AB691" i="9"/>
  <c r="AB858" i="9" s="1"/>
  <c r="AB642" i="11"/>
  <c r="AB663" i="11" s="1"/>
  <c r="AF691" i="9"/>
  <c r="AF858" i="9" s="1"/>
  <c r="U642" i="11"/>
  <c r="U663" i="11" s="1"/>
  <c r="Y691" i="9"/>
  <c r="Y858" i="9" s="1"/>
  <c r="BU221" i="9"/>
  <c r="BT221" i="9"/>
  <c r="AW231" i="8" s="1"/>
  <c r="BT219" i="9"/>
  <c r="L102" i="6" s="1"/>
  <c r="BT232" i="9"/>
  <c r="L115" i="6" s="1"/>
  <c r="BU226" i="9"/>
  <c r="BU232" i="9"/>
  <c r="M115" i="6" s="1"/>
  <c r="BU231" i="9"/>
  <c r="BT231" i="9"/>
  <c r="AW136" i="8" s="1"/>
  <c r="BT217" i="9"/>
  <c r="BT213" i="9"/>
  <c r="T233" i="9"/>
  <c r="P642" i="11" s="1"/>
  <c r="P663" i="11" s="1"/>
  <c r="BU219" i="9"/>
  <c r="AX124" i="8" s="1"/>
  <c r="I203" i="9"/>
  <c r="BU216" i="9"/>
  <c r="BT216" i="9"/>
  <c r="Q233" i="9"/>
  <c r="M642" i="11" s="1"/>
  <c r="M663" i="11" s="1"/>
  <c r="BT230" i="9"/>
  <c r="BU214" i="9"/>
  <c r="BU220" i="9"/>
  <c r="BT226" i="9"/>
  <c r="BT228" i="9"/>
  <c r="BU228" i="9"/>
  <c r="BT220" i="9"/>
  <c r="BT214" i="9"/>
  <c r="BT224" i="9"/>
  <c r="BU223" i="9"/>
  <c r="BU224" i="9"/>
  <c r="BT223" i="9"/>
  <c r="BU230" i="9"/>
  <c r="CD213" i="9"/>
  <c r="I7" i="11" s="1"/>
  <c r="E7" i="11" s="1"/>
  <c r="BT227" i="9"/>
  <c r="BU225" i="9"/>
  <c r="BU227" i="9"/>
  <c r="BU213" i="9"/>
  <c r="BT222" i="9"/>
  <c r="BU222" i="9"/>
  <c r="BT215" i="9"/>
  <c r="BU217" i="9"/>
  <c r="M233" i="9"/>
  <c r="BT225" i="9"/>
  <c r="BT218" i="9"/>
  <c r="BU215" i="9"/>
  <c r="BT229" i="9"/>
  <c r="BU218" i="9"/>
  <c r="BU229" i="9"/>
  <c r="H642" i="11"/>
  <c r="H663" i="11" s="1"/>
  <c r="L691" i="9"/>
  <c r="L858" i="9" s="1"/>
  <c r="L861" i="9" s="1"/>
  <c r="D10" i="11"/>
  <c r="E10" i="11"/>
  <c r="D14" i="11"/>
  <c r="E14" i="11"/>
  <c r="E15" i="11"/>
  <c r="D15" i="11"/>
  <c r="L204" i="9"/>
  <c r="M204" i="9" s="1"/>
  <c r="D22" i="11"/>
  <c r="E22" i="11"/>
  <c r="E23" i="11"/>
  <c r="D23" i="11"/>
  <c r="E8" i="11"/>
  <c r="D8" i="11"/>
  <c r="C7" i="14"/>
  <c r="E9" i="11"/>
  <c r="D9" i="11"/>
  <c r="M98" i="9"/>
  <c r="E19" i="11"/>
  <c r="D19" i="11"/>
  <c r="N642" i="11"/>
  <c r="N663" i="11" s="1"/>
  <c r="R691" i="9"/>
  <c r="R858" i="9" s="1"/>
  <c r="R861" i="9" s="1"/>
  <c r="P691" i="9"/>
  <c r="P858" i="9" s="1"/>
  <c r="P861" i="9" s="1"/>
  <c r="L642" i="11"/>
  <c r="L663" i="11" s="1"/>
  <c r="D13" i="11"/>
  <c r="E13" i="11"/>
  <c r="E18" i="11"/>
  <c r="D18" i="11"/>
  <c r="D17" i="11"/>
  <c r="E17" i="11"/>
  <c r="D12" i="11"/>
  <c r="E12" i="11"/>
  <c r="O642" i="11"/>
  <c r="O663" i="11" s="1"/>
  <c r="S691" i="9"/>
  <c r="S858" i="9" s="1"/>
  <c r="S861" i="9" s="1"/>
  <c r="D11" i="11"/>
  <c r="E11" i="11"/>
  <c r="J642" i="11"/>
  <c r="J663" i="11" s="1"/>
  <c r="N691" i="9"/>
  <c r="N858" i="9" s="1"/>
  <c r="N861" i="9" s="1"/>
  <c r="D24" i="11"/>
  <c r="E24" i="11"/>
  <c r="E16" i="11"/>
  <c r="D16" i="11"/>
  <c r="K642" i="11"/>
  <c r="K663" i="11" s="1"/>
  <c r="O691" i="9"/>
  <c r="O858" i="9" s="1"/>
  <c r="O861" i="9" s="1"/>
  <c r="E20" i="11"/>
  <c r="D20" i="11"/>
  <c r="V691" i="9"/>
  <c r="V858" i="9" s="1"/>
  <c r="V861" i="9" s="1"/>
  <c r="R642" i="11"/>
  <c r="R663" i="11" s="1"/>
  <c r="D25" i="11"/>
  <c r="E25" i="11"/>
  <c r="U691" i="9"/>
  <c r="U858" i="9" s="1"/>
  <c r="U861" i="9" s="1"/>
  <c r="Q642" i="11"/>
  <c r="Q663" i="11" s="1"/>
  <c r="E21" i="11"/>
  <c r="D21" i="11"/>
  <c r="K691" i="9" l="1"/>
  <c r="K858" i="9" s="1"/>
  <c r="K861" i="9" s="1"/>
  <c r="AW124" i="8"/>
  <c r="AX462" i="8"/>
  <c r="AX126" i="8"/>
  <c r="BZ435" i="9"/>
  <c r="Y69" i="14"/>
  <c r="Y27" i="14" s="1"/>
  <c r="AH861" i="9"/>
  <c r="R69" i="14"/>
  <c r="R27" i="14" s="1"/>
  <c r="AA861" i="9"/>
  <c r="AB861" i="9"/>
  <c r="S69" i="14"/>
  <c r="S27" i="14" s="1"/>
  <c r="N69" i="14"/>
  <c r="N27" i="14" s="1"/>
  <c r="W861" i="9"/>
  <c r="Q69" i="14"/>
  <c r="Q27" i="14" s="1"/>
  <c r="Z861" i="9"/>
  <c r="U69" i="14"/>
  <c r="U27" i="14" s="1"/>
  <c r="AD861" i="9"/>
  <c r="X69" i="14"/>
  <c r="X27" i="14" s="1"/>
  <c r="AG861" i="9"/>
  <c r="O69" i="14"/>
  <c r="O27" i="14" s="1"/>
  <c r="X861" i="9"/>
  <c r="W69" i="14"/>
  <c r="W27" i="14" s="1"/>
  <c r="AF861" i="9"/>
  <c r="P69" i="14"/>
  <c r="P27" i="14" s="1"/>
  <c r="Y861" i="9"/>
  <c r="AC861" i="9"/>
  <c r="T69" i="14"/>
  <c r="T27" i="14" s="1"/>
  <c r="V69" i="14"/>
  <c r="V27" i="14" s="1"/>
  <c r="AE861" i="9"/>
  <c r="M104" i="6"/>
  <c r="L114" i="6"/>
  <c r="AX210" i="8"/>
  <c r="AX170" i="8"/>
  <c r="AW137" i="8"/>
  <c r="AX420" i="8"/>
  <c r="AX378" i="8"/>
  <c r="AX483" i="8"/>
  <c r="AX231" i="8"/>
  <c r="AX336" i="8"/>
  <c r="AX148" i="8"/>
  <c r="AX273" i="8"/>
  <c r="L104" i="6"/>
  <c r="G104" i="6" s="1"/>
  <c r="AX252" i="8"/>
  <c r="AX525" i="8"/>
  <c r="AW170" i="8"/>
  <c r="AX357" i="8"/>
  <c r="AX504" i="8"/>
  <c r="AX189" i="8"/>
  <c r="AX315" i="8"/>
  <c r="AX294" i="8"/>
  <c r="AX441" i="8"/>
  <c r="AX399" i="8"/>
  <c r="AW126" i="8"/>
  <c r="AX395" i="8"/>
  <c r="AX374" i="8"/>
  <c r="AX269" i="8"/>
  <c r="AX500" i="8"/>
  <c r="AX521" i="8"/>
  <c r="AX479" i="8"/>
  <c r="AX332" i="8"/>
  <c r="AX353" i="8"/>
  <c r="AX458" i="8"/>
  <c r="AX437" i="8"/>
  <c r="AX416" i="8"/>
  <c r="AX311" i="8"/>
  <c r="AX290" i="8"/>
  <c r="AX385" i="8"/>
  <c r="AX427" i="8"/>
  <c r="AX469" i="8"/>
  <c r="AX280" i="8"/>
  <c r="AX490" i="8"/>
  <c r="AX322" i="8"/>
  <c r="AX532" i="8"/>
  <c r="AX364" i="8"/>
  <c r="AX301" i="8"/>
  <c r="AX448" i="8"/>
  <c r="AX406" i="8"/>
  <c r="AX511" i="8"/>
  <c r="AX343" i="8"/>
  <c r="AW499" i="8"/>
  <c r="AW478" i="8"/>
  <c r="AW352" i="8"/>
  <c r="AW310" i="8"/>
  <c r="AW394" i="8"/>
  <c r="AW415" i="8"/>
  <c r="AW373" i="8"/>
  <c r="AW289" i="8"/>
  <c r="AW520" i="8"/>
  <c r="AW331" i="8"/>
  <c r="AW268" i="8"/>
  <c r="AW457" i="8"/>
  <c r="AW436" i="8"/>
  <c r="AW514" i="8"/>
  <c r="AW283" i="8"/>
  <c r="AW430" i="8"/>
  <c r="AW473" i="8"/>
  <c r="AW451" i="8"/>
  <c r="AW493" i="8"/>
  <c r="AW535" i="8"/>
  <c r="AW346" i="8"/>
  <c r="AW409" i="8"/>
  <c r="AW452" i="8"/>
  <c r="AW304" i="8"/>
  <c r="AW367" i="8"/>
  <c r="AW368" i="8"/>
  <c r="AW494" i="8"/>
  <c r="AW515" i="8"/>
  <c r="AW326" i="8"/>
  <c r="AW347" i="8"/>
  <c r="AW325" i="8"/>
  <c r="AW284" i="8"/>
  <c r="AW410" i="8"/>
  <c r="AW536" i="8"/>
  <c r="AW472" i="8"/>
  <c r="AW431" i="8"/>
  <c r="AW305" i="8"/>
  <c r="AW389" i="8"/>
  <c r="AW388" i="8"/>
  <c r="AW210" i="8"/>
  <c r="AX281" i="8"/>
  <c r="AX428" i="8"/>
  <c r="AX407" i="8"/>
  <c r="AX386" i="8"/>
  <c r="AX344" i="8"/>
  <c r="AX533" i="8"/>
  <c r="AX323" i="8"/>
  <c r="AX302" i="8"/>
  <c r="AX449" i="8"/>
  <c r="AX491" i="8"/>
  <c r="AX365" i="8"/>
  <c r="AX512" i="8"/>
  <c r="AX470" i="8"/>
  <c r="AW309" i="8"/>
  <c r="AW351" i="8"/>
  <c r="AW519" i="8"/>
  <c r="AW372" i="8"/>
  <c r="AW435" i="8"/>
  <c r="AW267" i="8"/>
  <c r="AW456" i="8"/>
  <c r="AW414" i="8"/>
  <c r="AW393" i="8"/>
  <c r="AW498" i="8"/>
  <c r="AW288" i="8"/>
  <c r="AW477" i="8"/>
  <c r="AW330" i="8"/>
  <c r="AX471" i="8"/>
  <c r="AX324" i="8"/>
  <c r="AX513" i="8"/>
  <c r="AX303" i="8"/>
  <c r="AX366" i="8"/>
  <c r="AX429" i="8"/>
  <c r="AX387" i="8"/>
  <c r="AX282" i="8"/>
  <c r="AX345" i="8"/>
  <c r="AX492" i="8"/>
  <c r="AX534" i="8"/>
  <c r="AX450" i="8"/>
  <c r="AX408" i="8"/>
  <c r="AW280" i="8"/>
  <c r="AW343" i="8"/>
  <c r="AW469" i="8"/>
  <c r="AW532" i="8"/>
  <c r="AW322" i="8"/>
  <c r="AW385" i="8"/>
  <c r="AW301" i="8"/>
  <c r="AW427" i="8"/>
  <c r="AW448" i="8"/>
  <c r="AW490" i="8"/>
  <c r="AW406" i="8"/>
  <c r="AW511" i="8"/>
  <c r="AW364" i="8"/>
  <c r="AX394" i="8"/>
  <c r="AX478" i="8"/>
  <c r="AX520" i="8"/>
  <c r="AX289" i="8"/>
  <c r="AX310" i="8"/>
  <c r="AX436" i="8"/>
  <c r="AX415" i="8"/>
  <c r="AX352" i="8"/>
  <c r="AX499" i="8"/>
  <c r="AX331" i="8"/>
  <c r="AX373" i="8"/>
  <c r="AX268" i="8"/>
  <c r="AX457" i="8"/>
  <c r="AX409" i="8"/>
  <c r="AX514" i="8"/>
  <c r="AX410" i="8"/>
  <c r="AX494" i="8"/>
  <c r="AX493" i="8"/>
  <c r="AX535" i="8"/>
  <c r="AX515" i="8"/>
  <c r="AX472" i="8"/>
  <c r="AX451" i="8"/>
  <c r="AX536" i="8"/>
  <c r="AX283" i="8"/>
  <c r="AX368" i="8"/>
  <c r="AX304" i="8"/>
  <c r="AX326" i="8"/>
  <c r="AX430" i="8"/>
  <c r="AX388" i="8"/>
  <c r="AX346" i="8"/>
  <c r="AX305" i="8"/>
  <c r="AX431" i="8"/>
  <c r="AX367" i="8"/>
  <c r="AX473" i="8"/>
  <c r="AX347" i="8"/>
  <c r="AX325" i="8"/>
  <c r="AX284" i="8"/>
  <c r="AX389" i="8"/>
  <c r="AX452" i="8"/>
  <c r="AX522" i="8"/>
  <c r="AX312" i="8"/>
  <c r="AX438" i="8"/>
  <c r="AX354" i="8"/>
  <c r="AX375" i="8"/>
  <c r="AX291" i="8"/>
  <c r="AX270" i="8"/>
  <c r="AX333" i="8"/>
  <c r="AX417" i="8"/>
  <c r="AX480" i="8"/>
  <c r="AX501" i="8"/>
  <c r="AX459" i="8"/>
  <c r="AX396" i="8"/>
  <c r="AX526" i="8"/>
  <c r="AX337" i="8"/>
  <c r="AX400" i="8"/>
  <c r="AX484" i="8"/>
  <c r="AX421" i="8"/>
  <c r="AX505" i="8"/>
  <c r="AX442" i="8"/>
  <c r="AX379" i="8"/>
  <c r="AX295" i="8"/>
  <c r="AX274" i="8"/>
  <c r="AX316" i="8"/>
  <c r="AX463" i="8"/>
  <c r="AX358" i="8"/>
  <c r="AW317" i="8"/>
  <c r="AW338" i="8"/>
  <c r="AW401" i="8"/>
  <c r="AW422" i="8"/>
  <c r="AW506" i="8"/>
  <c r="AW296" i="8"/>
  <c r="AW443" i="8"/>
  <c r="AW527" i="8"/>
  <c r="AW275" i="8"/>
  <c r="AW359" i="8"/>
  <c r="AW464" i="8"/>
  <c r="AW485" i="8"/>
  <c r="AW380" i="8"/>
  <c r="AW467" i="8"/>
  <c r="AW425" i="8"/>
  <c r="AW404" i="8"/>
  <c r="AW320" i="8"/>
  <c r="AW341" i="8"/>
  <c r="AW299" i="8"/>
  <c r="AW530" i="8"/>
  <c r="AW362" i="8"/>
  <c r="AW383" i="8"/>
  <c r="AW488" i="8"/>
  <c r="AW509" i="8"/>
  <c r="AW278" i="8"/>
  <c r="AW446" i="8"/>
  <c r="AW399" i="8"/>
  <c r="AW504" i="8"/>
  <c r="AW462" i="8"/>
  <c r="AW441" i="8"/>
  <c r="AW294" i="8"/>
  <c r="AW315" i="8"/>
  <c r="AW483" i="8"/>
  <c r="AW357" i="8"/>
  <c r="AW420" i="8"/>
  <c r="AW273" i="8"/>
  <c r="AW336" i="8"/>
  <c r="AW378" i="8"/>
  <c r="AW525" i="8"/>
  <c r="AW323" i="8"/>
  <c r="AW449" i="8"/>
  <c r="AW386" i="8"/>
  <c r="AW344" i="8"/>
  <c r="AW533" i="8"/>
  <c r="AW281" i="8"/>
  <c r="AW407" i="8"/>
  <c r="AW428" i="8"/>
  <c r="AW470" i="8"/>
  <c r="AW491" i="8"/>
  <c r="AW512" i="8"/>
  <c r="AW302" i="8"/>
  <c r="AW365" i="8"/>
  <c r="AW295" i="8"/>
  <c r="AW316" i="8"/>
  <c r="AW358" i="8"/>
  <c r="AW505" i="8"/>
  <c r="AW400" i="8"/>
  <c r="AW526" i="8"/>
  <c r="AW274" i="8"/>
  <c r="AW484" i="8"/>
  <c r="AW421" i="8"/>
  <c r="AW463" i="8"/>
  <c r="AW442" i="8"/>
  <c r="AW337" i="8"/>
  <c r="AW379" i="8"/>
  <c r="AX528" i="8"/>
  <c r="AX402" i="8"/>
  <c r="AX423" i="8"/>
  <c r="AX507" i="8"/>
  <c r="AX360" i="8"/>
  <c r="AX339" i="8"/>
  <c r="AX381" i="8"/>
  <c r="AX318" i="8"/>
  <c r="AX444" i="8"/>
  <c r="AX297" i="8"/>
  <c r="AX465" i="8"/>
  <c r="AX276" i="8"/>
  <c r="AX486" i="8"/>
  <c r="AX314" i="8"/>
  <c r="AX482" i="8"/>
  <c r="AX377" i="8"/>
  <c r="AX419" i="8"/>
  <c r="AX356" i="8"/>
  <c r="AX398" i="8"/>
  <c r="AX272" i="8"/>
  <c r="AX461" i="8"/>
  <c r="AX293" i="8"/>
  <c r="AX503" i="8"/>
  <c r="AX440" i="8"/>
  <c r="AX335" i="8"/>
  <c r="AX524" i="8"/>
  <c r="M102" i="6"/>
  <c r="E102" i="6" s="1"/>
  <c r="AX313" i="8"/>
  <c r="AX481" i="8"/>
  <c r="AX502" i="8"/>
  <c r="AX334" i="8"/>
  <c r="AX523" i="8"/>
  <c r="AX376" i="8"/>
  <c r="AX355" i="8"/>
  <c r="AX292" i="8"/>
  <c r="AX397" i="8"/>
  <c r="AX271" i="8"/>
  <c r="AX418" i="8"/>
  <c r="AX439" i="8"/>
  <c r="AX460" i="8"/>
  <c r="AX446" i="8"/>
  <c r="AX404" i="8"/>
  <c r="AX530" i="8"/>
  <c r="AX362" i="8"/>
  <c r="AX488" i="8"/>
  <c r="AX383" i="8"/>
  <c r="AX425" i="8"/>
  <c r="AX509" i="8"/>
  <c r="AX467" i="8"/>
  <c r="AX320" i="8"/>
  <c r="AX341" i="8"/>
  <c r="AX299" i="8"/>
  <c r="AX278" i="8"/>
  <c r="AW189" i="8"/>
  <c r="AX267" i="8"/>
  <c r="AX393" i="8"/>
  <c r="AX498" i="8"/>
  <c r="AX309" i="8"/>
  <c r="AX372" i="8"/>
  <c r="AX288" i="8"/>
  <c r="AX456" i="8"/>
  <c r="AX477" i="8"/>
  <c r="AX519" i="8"/>
  <c r="AX330" i="8"/>
  <c r="AX351" i="8"/>
  <c r="AX414" i="8"/>
  <c r="AX435" i="8"/>
  <c r="AX370" i="8"/>
  <c r="AX286" i="8"/>
  <c r="AX496" i="8"/>
  <c r="AX349" i="8"/>
  <c r="AX412" i="8"/>
  <c r="AX475" i="8"/>
  <c r="AX391" i="8"/>
  <c r="AX307" i="8"/>
  <c r="AX454" i="8"/>
  <c r="AX328" i="8"/>
  <c r="AX433" i="8"/>
  <c r="AX517" i="8"/>
  <c r="AX443" i="8"/>
  <c r="AX464" i="8"/>
  <c r="AX338" i="8"/>
  <c r="AX359" i="8"/>
  <c r="AX506" i="8"/>
  <c r="AX275" i="8"/>
  <c r="AX485" i="8"/>
  <c r="AX401" i="8"/>
  <c r="AX422" i="8"/>
  <c r="AX380" i="8"/>
  <c r="AX296" i="8"/>
  <c r="AX317" i="8"/>
  <c r="AX527" i="8"/>
  <c r="AX413" i="8"/>
  <c r="AX287" i="8"/>
  <c r="AX455" i="8"/>
  <c r="AX308" i="8"/>
  <c r="AX392" i="8"/>
  <c r="AX434" i="8"/>
  <c r="AX497" i="8"/>
  <c r="AX371" i="8"/>
  <c r="AX350" i="8"/>
  <c r="AX266" i="8"/>
  <c r="AX518" i="8"/>
  <c r="AX476" i="8"/>
  <c r="AX329" i="8"/>
  <c r="AW501" i="8"/>
  <c r="AW270" i="8"/>
  <c r="AW459" i="8"/>
  <c r="AW396" i="8"/>
  <c r="AW480" i="8"/>
  <c r="AW417" i="8"/>
  <c r="AW438" i="8"/>
  <c r="AW333" i="8"/>
  <c r="AW354" i="8"/>
  <c r="AW522" i="8"/>
  <c r="AW375" i="8"/>
  <c r="AW312" i="8"/>
  <c r="AW291" i="8"/>
  <c r="AX300" i="8"/>
  <c r="AX447" i="8"/>
  <c r="AX489" i="8"/>
  <c r="AX342" i="8"/>
  <c r="AX405" i="8"/>
  <c r="AX321" i="8"/>
  <c r="AX363" i="8"/>
  <c r="AX384" i="8"/>
  <c r="AX531" i="8"/>
  <c r="AX510" i="8"/>
  <c r="AX468" i="8"/>
  <c r="AX279" i="8"/>
  <c r="AX426" i="8"/>
  <c r="AW486" i="8"/>
  <c r="AW360" i="8"/>
  <c r="AW423" i="8"/>
  <c r="AW402" i="8"/>
  <c r="AW381" i="8"/>
  <c r="AW444" i="8"/>
  <c r="AW318" i="8"/>
  <c r="AW276" i="8"/>
  <c r="AW528" i="8"/>
  <c r="AW507" i="8"/>
  <c r="AW297" i="8"/>
  <c r="AW465" i="8"/>
  <c r="AW339" i="8"/>
  <c r="AW450" i="8"/>
  <c r="AW534" i="8"/>
  <c r="AW471" i="8"/>
  <c r="AW282" i="8"/>
  <c r="AW366" i="8"/>
  <c r="AW492" i="8"/>
  <c r="AW303" i="8"/>
  <c r="AW513" i="8"/>
  <c r="AW324" i="8"/>
  <c r="AW345" i="8"/>
  <c r="AW387" i="8"/>
  <c r="AW429" i="8"/>
  <c r="AW408" i="8"/>
  <c r="AW418" i="8"/>
  <c r="AW397" i="8"/>
  <c r="AW460" i="8"/>
  <c r="AW439" i="8"/>
  <c r="AW481" i="8"/>
  <c r="AW313" i="8"/>
  <c r="AW334" i="8"/>
  <c r="AW502" i="8"/>
  <c r="AW355" i="8"/>
  <c r="AW271" i="8"/>
  <c r="AW523" i="8"/>
  <c r="AW292" i="8"/>
  <c r="AW376" i="8"/>
  <c r="AW508" i="8"/>
  <c r="AW529" i="8"/>
  <c r="AW382" i="8"/>
  <c r="AW445" i="8"/>
  <c r="AW403" i="8"/>
  <c r="AW298" i="8"/>
  <c r="AW361" i="8"/>
  <c r="AW277" i="8"/>
  <c r="AW424" i="8"/>
  <c r="AW340" i="8"/>
  <c r="AW319" i="8"/>
  <c r="AW487" i="8"/>
  <c r="AW466" i="8"/>
  <c r="AX298" i="8"/>
  <c r="AX319" i="8"/>
  <c r="AX445" i="8"/>
  <c r="AX487" i="8"/>
  <c r="AX466" i="8"/>
  <c r="AX361" i="8"/>
  <c r="AX403" i="8"/>
  <c r="AX340" i="8"/>
  <c r="AX382" i="8"/>
  <c r="AX529" i="8"/>
  <c r="AX277" i="8"/>
  <c r="AX508" i="8"/>
  <c r="AX424" i="8"/>
  <c r="AW329" i="8"/>
  <c r="AW476" i="8"/>
  <c r="AW266" i="8"/>
  <c r="AW308" i="8"/>
  <c r="AW287" i="8"/>
  <c r="AW350" i="8"/>
  <c r="AW392" i="8"/>
  <c r="AW371" i="8"/>
  <c r="AW434" i="8"/>
  <c r="AW497" i="8"/>
  <c r="AW455" i="8"/>
  <c r="AW413" i="8"/>
  <c r="AW518" i="8"/>
  <c r="AW517" i="8"/>
  <c r="AW475" i="8"/>
  <c r="AW349" i="8"/>
  <c r="AW433" i="8"/>
  <c r="AW328" i="8"/>
  <c r="AW496" i="8"/>
  <c r="AW391" i="8"/>
  <c r="AW307" i="8"/>
  <c r="AW412" i="8"/>
  <c r="AW370" i="8"/>
  <c r="AW454" i="8"/>
  <c r="AW286" i="8"/>
  <c r="AW252" i="8"/>
  <c r="AW426" i="8"/>
  <c r="AW468" i="8"/>
  <c r="AW279" i="8"/>
  <c r="AW531" i="8"/>
  <c r="AW342" i="8"/>
  <c r="AW363" i="8"/>
  <c r="AW489" i="8"/>
  <c r="AW300" i="8"/>
  <c r="AW405" i="8"/>
  <c r="AW447" i="8"/>
  <c r="AW384" i="8"/>
  <c r="AW321" i="8"/>
  <c r="AW510" i="8"/>
  <c r="AW398" i="8"/>
  <c r="AW293" i="8"/>
  <c r="AW419" i="8"/>
  <c r="AW482" i="8"/>
  <c r="AW335" i="8"/>
  <c r="AW440" i="8"/>
  <c r="AW272" i="8"/>
  <c r="AW524" i="8"/>
  <c r="AW314" i="8"/>
  <c r="AW377" i="8"/>
  <c r="AW503" i="8"/>
  <c r="AW356" i="8"/>
  <c r="AW461" i="8"/>
  <c r="AW458" i="8"/>
  <c r="AW269" i="8"/>
  <c r="AW353" i="8"/>
  <c r="AW311" i="8"/>
  <c r="AW437" i="8"/>
  <c r="AW290" i="8"/>
  <c r="AW479" i="8"/>
  <c r="AW521" i="8"/>
  <c r="AW332" i="8"/>
  <c r="AW416" i="8"/>
  <c r="AW374" i="8"/>
  <c r="AW395" i="8"/>
  <c r="AW500" i="8"/>
  <c r="AW148" i="8"/>
  <c r="AX123" i="8"/>
  <c r="AX145" i="8"/>
  <c r="AX249" i="8"/>
  <c r="AX186" i="8"/>
  <c r="AX167" i="8"/>
  <c r="AX228" i="8"/>
  <c r="AX207" i="8"/>
  <c r="M105" i="6"/>
  <c r="E105" i="6" s="1"/>
  <c r="AX149" i="8"/>
  <c r="AX190" i="8"/>
  <c r="AX211" i="8"/>
  <c r="AX171" i="8"/>
  <c r="AX253" i="8"/>
  <c r="AX232" i="8"/>
  <c r="AW128" i="8"/>
  <c r="AW150" i="8"/>
  <c r="AW172" i="8"/>
  <c r="AW191" i="8"/>
  <c r="AW233" i="8"/>
  <c r="AW254" i="8"/>
  <c r="AW212" i="8"/>
  <c r="AW131" i="8"/>
  <c r="AW153" i="8"/>
  <c r="AW257" i="8"/>
  <c r="AW215" i="8"/>
  <c r="AW236" i="8"/>
  <c r="AW175" i="8"/>
  <c r="AW194" i="8"/>
  <c r="M107" i="6"/>
  <c r="E107" i="6" s="1"/>
  <c r="AX255" i="8"/>
  <c r="AX173" i="8"/>
  <c r="AX213" i="8"/>
  <c r="AX192" i="8"/>
  <c r="AX234" i="8"/>
  <c r="AX151" i="8"/>
  <c r="M98" i="6"/>
  <c r="H98" i="6" s="1"/>
  <c r="AX246" i="8"/>
  <c r="AX183" i="8"/>
  <c r="AX225" i="8"/>
  <c r="AX204" i="8"/>
  <c r="AX164" i="8"/>
  <c r="AX142" i="8"/>
  <c r="M96" i="6"/>
  <c r="E96" i="6" s="1"/>
  <c r="AX265" i="8"/>
  <c r="AX181" i="8"/>
  <c r="AX223" i="8"/>
  <c r="AX244" i="8"/>
  <c r="AX140" i="8"/>
  <c r="AX162" i="8"/>
  <c r="AX202" i="8"/>
  <c r="AX128" i="8"/>
  <c r="AX212" i="8"/>
  <c r="AX233" i="8"/>
  <c r="AX150" i="8"/>
  <c r="AX172" i="8"/>
  <c r="AX191" i="8"/>
  <c r="AX254" i="8"/>
  <c r="M97" i="6"/>
  <c r="AX141" i="8"/>
  <c r="AX182" i="8"/>
  <c r="AX163" i="8"/>
  <c r="AX245" i="8"/>
  <c r="AX224" i="8"/>
  <c r="AX203" i="8"/>
  <c r="AX175" i="8"/>
  <c r="AX153" i="8"/>
  <c r="AX257" i="8"/>
  <c r="AX194" i="8"/>
  <c r="AX236" i="8"/>
  <c r="AX215" i="8"/>
  <c r="AW123" i="8"/>
  <c r="AW167" i="8"/>
  <c r="AW145" i="8"/>
  <c r="AW186" i="8"/>
  <c r="AW207" i="8"/>
  <c r="AW249" i="8"/>
  <c r="AW228" i="8"/>
  <c r="M110" i="6"/>
  <c r="H110" i="6" s="1"/>
  <c r="AX237" i="8"/>
  <c r="AX258" i="8"/>
  <c r="AX176" i="8"/>
  <c r="AX195" i="8"/>
  <c r="AX154" i="8"/>
  <c r="AX216" i="8"/>
  <c r="AW129" i="8"/>
  <c r="AW255" i="8"/>
  <c r="AW213" i="8"/>
  <c r="AW234" i="8"/>
  <c r="AW192" i="8"/>
  <c r="AW173" i="8"/>
  <c r="AW151" i="8"/>
  <c r="AW135" i="8"/>
  <c r="AW198" i="8"/>
  <c r="AW219" i="8"/>
  <c r="AW240" i="8"/>
  <c r="AW261" i="8"/>
  <c r="AW157" i="8"/>
  <c r="AW179" i="8"/>
  <c r="AW250" i="8"/>
  <c r="AW187" i="8"/>
  <c r="AW146" i="8"/>
  <c r="AW168" i="8"/>
  <c r="AW229" i="8"/>
  <c r="AW208" i="8"/>
  <c r="AW127" i="8"/>
  <c r="AW171" i="8"/>
  <c r="AW190" i="8"/>
  <c r="AW149" i="8"/>
  <c r="AW211" i="8"/>
  <c r="AW253" i="8"/>
  <c r="AW232" i="8"/>
  <c r="AW130" i="8"/>
  <c r="AW256" i="8"/>
  <c r="AW193" i="8"/>
  <c r="AW152" i="8"/>
  <c r="AW214" i="8"/>
  <c r="AW235" i="8"/>
  <c r="AW174" i="8"/>
  <c r="M108" i="6"/>
  <c r="H108" i="6" s="1"/>
  <c r="AX235" i="8"/>
  <c r="AX256" i="8"/>
  <c r="AX214" i="8"/>
  <c r="AX174" i="8"/>
  <c r="AX193" i="8"/>
  <c r="AX152" i="8"/>
  <c r="L97" i="6"/>
  <c r="AW163" i="8"/>
  <c r="AW203" i="8"/>
  <c r="AW224" i="8"/>
  <c r="AW182" i="8"/>
  <c r="AW245" i="8"/>
  <c r="AW141" i="8"/>
  <c r="AW118" i="8"/>
  <c r="AW244" i="8"/>
  <c r="AW181" i="8"/>
  <c r="AW140" i="8"/>
  <c r="AW223" i="8"/>
  <c r="AW162" i="8"/>
  <c r="AW202" i="8"/>
  <c r="AW265" i="8"/>
  <c r="AX208" i="8"/>
  <c r="AX168" i="8"/>
  <c r="AX146" i="8"/>
  <c r="AX229" i="8"/>
  <c r="AX250" i="8"/>
  <c r="AX187" i="8"/>
  <c r="L110" i="6"/>
  <c r="D110" i="6" s="1"/>
  <c r="AW176" i="8"/>
  <c r="AW154" i="8"/>
  <c r="AW258" i="8"/>
  <c r="AW237" i="8"/>
  <c r="AW216" i="8"/>
  <c r="AW195" i="8"/>
  <c r="L103" i="6"/>
  <c r="G103" i="6" s="1"/>
  <c r="AW188" i="8"/>
  <c r="AW230" i="8"/>
  <c r="AW169" i="8"/>
  <c r="AW209" i="8"/>
  <c r="AW147" i="8"/>
  <c r="AW251" i="8"/>
  <c r="L100" i="6"/>
  <c r="G100" i="6" s="1"/>
  <c r="AW166" i="8"/>
  <c r="AW144" i="8"/>
  <c r="AW227" i="8"/>
  <c r="AW185" i="8"/>
  <c r="AW248" i="8"/>
  <c r="AW206" i="8"/>
  <c r="L112" i="6"/>
  <c r="G112" i="6" s="1"/>
  <c r="AW178" i="8"/>
  <c r="AW156" i="8"/>
  <c r="AW239" i="8"/>
  <c r="AW218" i="8"/>
  <c r="AW260" i="8"/>
  <c r="AW197" i="8"/>
  <c r="M103" i="6"/>
  <c r="E103" i="6" s="1"/>
  <c r="AX188" i="8"/>
  <c r="AX230" i="8"/>
  <c r="AX209" i="8"/>
  <c r="AX251" i="8"/>
  <c r="AX169" i="8"/>
  <c r="AX147" i="8"/>
  <c r="AX131" i="8"/>
  <c r="M100" i="6"/>
  <c r="H100" i="6" s="1"/>
  <c r="AX166" i="8"/>
  <c r="AX227" i="8"/>
  <c r="AX206" i="8"/>
  <c r="AX248" i="8"/>
  <c r="AX185" i="8"/>
  <c r="AX144" i="8"/>
  <c r="M111" i="6"/>
  <c r="H111" i="6" s="1"/>
  <c r="AX196" i="8"/>
  <c r="AX177" i="8"/>
  <c r="AX238" i="8"/>
  <c r="AX217" i="8"/>
  <c r="AX155" i="8"/>
  <c r="AX259" i="8"/>
  <c r="L99" i="6"/>
  <c r="D99" i="6" s="1"/>
  <c r="AW205" i="8"/>
  <c r="AW184" i="8"/>
  <c r="AW226" i="8"/>
  <c r="AW247" i="8"/>
  <c r="AW165" i="8"/>
  <c r="AW143" i="8"/>
  <c r="AW199" i="8"/>
  <c r="AW221" i="8"/>
  <c r="AW263" i="8"/>
  <c r="AW200" i="8"/>
  <c r="AW220" i="8"/>
  <c r="AW241" i="8"/>
  <c r="AW242" i="8"/>
  <c r="AW262" i="8"/>
  <c r="AW158" i="8"/>
  <c r="M109" i="6"/>
  <c r="H109" i="6" s="1"/>
  <c r="M112" i="6"/>
  <c r="E112" i="6" s="1"/>
  <c r="AX260" i="8"/>
  <c r="AX156" i="8"/>
  <c r="AX197" i="8"/>
  <c r="AX178" i="8"/>
  <c r="AX218" i="8"/>
  <c r="AX239" i="8"/>
  <c r="L98" i="6"/>
  <c r="G98" i="6" s="1"/>
  <c r="AW204" i="8"/>
  <c r="AW225" i="8"/>
  <c r="AW142" i="8"/>
  <c r="AW183" i="8"/>
  <c r="AW164" i="8"/>
  <c r="AW246" i="8"/>
  <c r="M113" i="6"/>
  <c r="AX198" i="8"/>
  <c r="AX240" i="8"/>
  <c r="AX157" i="8"/>
  <c r="AX219" i="8"/>
  <c r="AX261" i="8"/>
  <c r="AX179" i="8"/>
  <c r="AW133" i="8"/>
  <c r="AW196" i="8"/>
  <c r="AW238" i="8"/>
  <c r="AW217" i="8"/>
  <c r="AW259" i="8"/>
  <c r="AW177" i="8"/>
  <c r="AW155" i="8"/>
  <c r="M99" i="6"/>
  <c r="E99" i="6" s="1"/>
  <c r="AX226" i="8"/>
  <c r="AX205" i="8"/>
  <c r="AX247" i="8"/>
  <c r="AX143" i="8"/>
  <c r="AX184" i="8"/>
  <c r="AX165" i="8"/>
  <c r="AX136" i="8"/>
  <c r="AY136" i="8" s="1"/>
  <c r="AX263" i="8"/>
  <c r="AX241" i="8"/>
  <c r="AX158" i="8"/>
  <c r="AX242" i="8"/>
  <c r="AX199" i="8"/>
  <c r="AX200" i="8"/>
  <c r="AX262" i="8"/>
  <c r="AX221" i="8"/>
  <c r="AX220" i="8"/>
  <c r="L109" i="6"/>
  <c r="G109" i="6" s="1"/>
  <c r="AX134" i="8"/>
  <c r="AX137" i="8"/>
  <c r="M114" i="6"/>
  <c r="AX135" i="8"/>
  <c r="AW122" i="8"/>
  <c r="L96" i="6"/>
  <c r="L113" i="6"/>
  <c r="AX132" i="8"/>
  <c r="EM212" i="9"/>
  <c r="EM216" i="9" s="1"/>
  <c r="T691" i="9"/>
  <c r="T858" i="9" s="1"/>
  <c r="T861" i="9" s="1"/>
  <c r="L107" i="6"/>
  <c r="G107" i="6" s="1"/>
  <c r="AX119" i="8"/>
  <c r="L106" i="6"/>
  <c r="D106" i="6" s="1"/>
  <c r="AW121" i="8"/>
  <c r="D7" i="11"/>
  <c r="Q691" i="9"/>
  <c r="Q858" i="9" s="1"/>
  <c r="Q861" i="9" s="1"/>
  <c r="L111" i="6"/>
  <c r="D111" i="6" s="1"/>
  <c r="AX122" i="8"/>
  <c r="AX133" i="8"/>
  <c r="AX121" i="8"/>
  <c r="EL212" i="9"/>
  <c r="EL224" i="9" s="1"/>
  <c r="L105" i="6"/>
  <c r="D105" i="6" s="1"/>
  <c r="AX125" i="8"/>
  <c r="AX130" i="8"/>
  <c r="L108" i="6"/>
  <c r="D108" i="6" s="1"/>
  <c r="AW119" i="8"/>
  <c r="AX118" i="8"/>
  <c r="EK212" i="9"/>
  <c r="EK221" i="9" s="1"/>
  <c r="I642" i="11"/>
  <c r="I663" i="11" s="1"/>
  <c r="AW125" i="8"/>
  <c r="G233" i="9"/>
  <c r="AW132" i="8"/>
  <c r="M691" i="9"/>
  <c r="M858" i="9" s="1"/>
  <c r="M861" i="9" s="1"/>
  <c r="M106" i="6"/>
  <c r="H106" i="6" s="1"/>
  <c r="AX129" i="8"/>
  <c r="AX127" i="8"/>
  <c r="AW134" i="8"/>
  <c r="AW120" i="8"/>
  <c r="BT233" i="9"/>
  <c r="M101" i="6"/>
  <c r="H101" i="6" s="1"/>
  <c r="L101" i="6"/>
  <c r="D101" i="6" s="1"/>
  <c r="AX120" i="8"/>
  <c r="N204" i="9"/>
  <c r="O204" i="9" s="1"/>
  <c r="AY124" i="8"/>
  <c r="G124" i="8"/>
  <c r="D102" i="6"/>
  <c r="G102" i="6"/>
  <c r="D7" i="14"/>
  <c r="N98" i="9"/>
  <c r="O98" i="9" s="1"/>
  <c r="F7" i="14" s="1"/>
  <c r="E113" i="6"/>
  <c r="H113" i="6"/>
  <c r="G113" i="6"/>
  <c r="D113" i="6"/>
  <c r="G663" i="11"/>
  <c r="K692" i="9" l="1"/>
  <c r="L692" i="9" s="1"/>
  <c r="AY126" i="8"/>
  <c r="AY132" i="8"/>
  <c r="G252" i="8"/>
  <c r="AY148" i="8"/>
  <c r="H104" i="6"/>
  <c r="E104" i="6"/>
  <c r="AY118" i="8"/>
  <c r="AY129" i="8"/>
  <c r="G231" i="8"/>
  <c r="AY231" i="8"/>
  <c r="AY210" i="8"/>
  <c r="G96" i="6"/>
  <c r="L828" i="6" a="1"/>
  <c r="L828" i="6" s="1"/>
  <c r="L829" i="6" s="1"/>
  <c r="L830" i="6" s="1"/>
  <c r="U830" i="6" s="1"/>
  <c r="G210" i="8"/>
  <c r="E111" i="6"/>
  <c r="E98" i="6"/>
  <c r="BZ436" i="9"/>
  <c r="H107" i="6"/>
  <c r="U71" i="14"/>
  <c r="Z669" i="11"/>
  <c r="Z676" i="11" s="1"/>
  <c r="W71" i="14"/>
  <c r="AB669" i="11"/>
  <c r="AB676" i="11" s="1"/>
  <c r="W669" i="11"/>
  <c r="W676" i="11" s="1"/>
  <c r="R71" i="14"/>
  <c r="O71" i="14"/>
  <c r="T669" i="11"/>
  <c r="T676" i="11" s="1"/>
  <c r="AD669" i="11"/>
  <c r="AD676" i="11" s="1"/>
  <c r="Y71" i="14"/>
  <c r="AY170" i="8"/>
  <c r="P71" i="14"/>
  <c r="U669" i="11"/>
  <c r="U676" i="11" s="1"/>
  <c r="N71" i="14"/>
  <c r="S669" i="11"/>
  <c r="S676" i="11" s="1"/>
  <c r="T71" i="14"/>
  <c r="Y669" i="11"/>
  <c r="Y676" i="11" s="1"/>
  <c r="G110" i="6"/>
  <c r="X71" i="14"/>
  <c r="AC669" i="11"/>
  <c r="AC676" i="11" s="1"/>
  <c r="Q71" i="14"/>
  <c r="V669" i="11"/>
  <c r="V676" i="11" s="1"/>
  <c r="E110" i="6"/>
  <c r="AA669" i="11"/>
  <c r="AA676" i="11" s="1"/>
  <c r="V71" i="14"/>
  <c r="X669" i="11"/>
  <c r="X676" i="11" s="1"/>
  <c r="S71" i="14"/>
  <c r="AY123" i="8"/>
  <c r="D103" i="6"/>
  <c r="E108" i="6"/>
  <c r="AY137" i="8"/>
  <c r="D104" i="6"/>
  <c r="G99" i="6"/>
  <c r="G123" i="8"/>
  <c r="H105" i="6"/>
  <c r="AY252" i="8"/>
  <c r="H112" i="6"/>
  <c r="D107" i="6"/>
  <c r="D112" i="6"/>
  <c r="D98" i="6"/>
  <c r="G126" i="8"/>
  <c r="G170" i="8"/>
  <c r="G106" i="6"/>
  <c r="G136" i="8"/>
  <c r="AY130" i="8"/>
  <c r="G148" i="8"/>
  <c r="H99" i="6"/>
  <c r="AY189" i="8"/>
  <c r="G189" i="8"/>
  <c r="H102" i="6"/>
  <c r="D96" i="6"/>
  <c r="AY521" i="8"/>
  <c r="G521" i="8"/>
  <c r="G461" i="8"/>
  <c r="AY461" i="8"/>
  <c r="AY335" i="8"/>
  <c r="G335" i="8"/>
  <c r="AY447" i="8"/>
  <c r="G447" i="8"/>
  <c r="G468" i="8"/>
  <c r="AY468" i="8"/>
  <c r="G391" i="8"/>
  <c r="AY391" i="8"/>
  <c r="G413" i="8"/>
  <c r="AY413" i="8"/>
  <c r="G308" i="8"/>
  <c r="AY308" i="8"/>
  <c r="G298" i="8"/>
  <c r="AY298" i="8"/>
  <c r="G523" i="8"/>
  <c r="AY523" i="8"/>
  <c r="AY460" i="8"/>
  <c r="G460" i="8"/>
  <c r="AY513" i="8"/>
  <c r="G513" i="8"/>
  <c r="AY339" i="8"/>
  <c r="G339" i="8"/>
  <c r="G381" i="8"/>
  <c r="AY381" i="8"/>
  <c r="AY438" i="8"/>
  <c r="G438" i="8"/>
  <c r="AY379" i="8"/>
  <c r="G379" i="8"/>
  <c r="AY400" i="8"/>
  <c r="G400" i="8"/>
  <c r="AY491" i="8"/>
  <c r="G491" i="8"/>
  <c r="G449" i="8"/>
  <c r="AY449" i="8"/>
  <c r="G483" i="8"/>
  <c r="AY483" i="8"/>
  <c r="G278" i="8"/>
  <c r="AY278" i="8"/>
  <c r="G320" i="8"/>
  <c r="AY320" i="8"/>
  <c r="AY275" i="8"/>
  <c r="G275" i="8"/>
  <c r="G317" i="8"/>
  <c r="AY317" i="8"/>
  <c r="G301" i="8"/>
  <c r="AY301" i="8"/>
  <c r="AY393" i="8"/>
  <c r="G393" i="8"/>
  <c r="AY309" i="8"/>
  <c r="G309" i="8"/>
  <c r="AY389" i="8"/>
  <c r="G389" i="8"/>
  <c r="G347" i="8"/>
  <c r="AY347" i="8"/>
  <c r="G409" i="8"/>
  <c r="AY409" i="8"/>
  <c r="AY514" i="8"/>
  <c r="G514" i="8"/>
  <c r="G415" i="8"/>
  <c r="AY415" i="8"/>
  <c r="G479" i="8"/>
  <c r="AY479" i="8"/>
  <c r="G356" i="8"/>
  <c r="AY356" i="8"/>
  <c r="AY482" i="8"/>
  <c r="G482" i="8"/>
  <c r="AY405" i="8"/>
  <c r="G405" i="8"/>
  <c r="G426" i="8"/>
  <c r="AY426" i="8"/>
  <c r="AY496" i="8"/>
  <c r="G496" i="8"/>
  <c r="AY455" i="8"/>
  <c r="G455" i="8"/>
  <c r="G266" i="8"/>
  <c r="AY266" i="8"/>
  <c r="G466" i="8"/>
  <c r="AY466" i="8"/>
  <c r="G403" i="8"/>
  <c r="AY403" i="8"/>
  <c r="G271" i="8"/>
  <c r="AY271" i="8"/>
  <c r="G397" i="8"/>
  <c r="AY397" i="8"/>
  <c r="G303" i="8"/>
  <c r="AY303" i="8"/>
  <c r="AY465" i="8"/>
  <c r="G465" i="8"/>
  <c r="G402" i="8"/>
  <c r="AY402" i="8"/>
  <c r="G417" i="8"/>
  <c r="AY417" i="8"/>
  <c r="AY337" i="8"/>
  <c r="G337" i="8"/>
  <c r="AY505" i="8"/>
  <c r="G505" i="8"/>
  <c r="G470" i="8"/>
  <c r="AY470" i="8"/>
  <c r="AY323" i="8"/>
  <c r="G323" i="8"/>
  <c r="G315" i="8"/>
  <c r="AY315" i="8"/>
  <c r="AY509" i="8"/>
  <c r="G509" i="8"/>
  <c r="G404" i="8"/>
  <c r="AY404" i="8"/>
  <c r="G527" i="8"/>
  <c r="AY527" i="8"/>
  <c r="AY385" i="8"/>
  <c r="G385" i="8"/>
  <c r="AY414" i="8"/>
  <c r="G414" i="8"/>
  <c r="AY305" i="8"/>
  <c r="G305" i="8"/>
  <c r="AY326" i="8"/>
  <c r="G326" i="8"/>
  <c r="AY346" i="8"/>
  <c r="G346" i="8"/>
  <c r="AY436" i="8"/>
  <c r="G436" i="8"/>
  <c r="AY394" i="8"/>
  <c r="G394" i="8"/>
  <c r="BX275" i="6"/>
  <c r="BZ275" i="6" s="1"/>
  <c r="BX451" i="6"/>
  <c r="BZ451" i="6" s="1"/>
  <c r="BX319" i="6"/>
  <c r="BZ319" i="6" s="1"/>
  <c r="BX297" i="6"/>
  <c r="BZ297" i="6" s="1"/>
  <c r="BX429" i="6"/>
  <c r="BZ429" i="6" s="1"/>
  <c r="BX341" i="6"/>
  <c r="BZ341" i="6" s="1"/>
  <c r="BX517" i="6"/>
  <c r="BZ517" i="6" s="1"/>
  <c r="BX407" i="6"/>
  <c r="BZ407" i="6" s="1"/>
  <c r="BX253" i="6"/>
  <c r="BZ253" i="6" s="1"/>
  <c r="BX495" i="6"/>
  <c r="BZ495" i="6" s="1"/>
  <c r="BX363" i="6"/>
  <c r="BZ363" i="6" s="1"/>
  <c r="BX385" i="6"/>
  <c r="BZ385" i="6" s="1"/>
  <c r="BX473" i="6"/>
  <c r="BZ473" i="6" s="1"/>
  <c r="AY290" i="8"/>
  <c r="G290" i="8"/>
  <c r="G503" i="8"/>
  <c r="AY503" i="8"/>
  <c r="G419" i="8"/>
  <c r="AY419" i="8"/>
  <c r="G300" i="8"/>
  <c r="AY300" i="8"/>
  <c r="G328" i="8"/>
  <c r="AY328" i="8"/>
  <c r="AY497" i="8"/>
  <c r="G497" i="8"/>
  <c r="G476" i="8"/>
  <c r="AY476" i="8"/>
  <c r="AY487" i="8"/>
  <c r="G487" i="8"/>
  <c r="AY445" i="8"/>
  <c r="G445" i="8"/>
  <c r="AY355" i="8"/>
  <c r="G355" i="8"/>
  <c r="G418" i="8"/>
  <c r="AY418" i="8"/>
  <c r="AY492" i="8"/>
  <c r="G492" i="8"/>
  <c r="AY297" i="8"/>
  <c r="G297" i="8"/>
  <c r="G423" i="8"/>
  <c r="AY423" i="8"/>
  <c r="G291" i="8"/>
  <c r="AY291" i="8"/>
  <c r="G480" i="8"/>
  <c r="AY480" i="8"/>
  <c r="G442" i="8"/>
  <c r="AY442" i="8"/>
  <c r="G358" i="8"/>
  <c r="AY358" i="8"/>
  <c r="G428" i="8"/>
  <c r="AY428" i="8"/>
  <c r="AY525" i="8"/>
  <c r="G525" i="8"/>
  <c r="G294" i="8"/>
  <c r="AY294" i="8"/>
  <c r="G488" i="8"/>
  <c r="AY488" i="8"/>
  <c r="G425" i="8"/>
  <c r="AY425" i="8"/>
  <c r="G443" i="8"/>
  <c r="AY443" i="8"/>
  <c r="G364" i="8"/>
  <c r="AY364" i="8"/>
  <c r="AY322" i="8"/>
  <c r="G322" i="8"/>
  <c r="G456" i="8"/>
  <c r="AY456" i="8"/>
  <c r="AY431" i="8"/>
  <c r="G431" i="8"/>
  <c r="G515" i="8"/>
  <c r="AY515" i="8"/>
  <c r="G535" i="8"/>
  <c r="AY535" i="8"/>
  <c r="G457" i="8"/>
  <c r="AY457" i="8"/>
  <c r="G310" i="8"/>
  <c r="AY310" i="8"/>
  <c r="AY500" i="8"/>
  <c r="G500" i="8"/>
  <c r="AY437" i="8"/>
  <c r="G437" i="8"/>
  <c r="G377" i="8"/>
  <c r="AY377" i="8"/>
  <c r="AY293" i="8"/>
  <c r="G293" i="8"/>
  <c r="AY489" i="8"/>
  <c r="G489" i="8"/>
  <c r="AY286" i="8"/>
  <c r="G286" i="8"/>
  <c r="G433" i="8"/>
  <c r="AY433" i="8"/>
  <c r="AY434" i="8"/>
  <c r="G434" i="8"/>
  <c r="AY329" i="8"/>
  <c r="G329" i="8"/>
  <c r="G319" i="8"/>
  <c r="AY319" i="8"/>
  <c r="AY382" i="8"/>
  <c r="G382" i="8"/>
  <c r="AY502" i="8"/>
  <c r="G502" i="8"/>
  <c r="G408" i="8"/>
  <c r="AY408" i="8"/>
  <c r="AY366" i="8"/>
  <c r="G366" i="8"/>
  <c r="G507" i="8"/>
  <c r="AY507" i="8"/>
  <c r="AY360" i="8"/>
  <c r="G360" i="8"/>
  <c r="G312" i="8"/>
  <c r="AY312" i="8"/>
  <c r="G396" i="8"/>
  <c r="AY396" i="8"/>
  <c r="G463" i="8"/>
  <c r="AY463" i="8"/>
  <c r="AY316" i="8"/>
  <c r="G316" i="8"/>
  <c r="G407" i="8"/>
  <c r="AY407" i="8"/>
  <c r="AY378" i="8"/>
  <c r="G378" i="8"/>
  <c r="AY441" i="8"/>
  <c r="G441" i="8"/>
  <c r="AY383" i="8"/>
  <c r="G383" i="8"/>
  <c r="AY467" i="8"/>
  <c r="G467" i="8"/>
  <c r="G296" i="8"/>
  <c r="AY296" i="8"/>
  <c r="G511" i="8"/>
  <c r="AY511" i="8"/>
  <c r="G532" i="8"/>
  <c r="AY532" i="8"/>
  <c r="G267" i="8"/>
  <c r="AY267" i="8"/>
  <c r="AY472" i="8"/>
  <c r="G472" i="8"/>
  <c r="G494" i="8"/>
  <c r="AY494" i="8"/>
  <c r="AY493" i="8"/>
  <c r="G493" i="8"/>
  <c r="G268" i="8"/>
  <c r="AY268" i="8"/>
  <c r="G352" i="8"/>
  <c r="AY352" i="8"/>
  <c r="AY395" i="8"/>
  <c r="G395" i="8"/>
  <c r="AY311" i="8"/>
  <c r="G311" i="8"/>
  <c r="G314" i="8"/>
  <c r="AY314" i="8"/>
  <c r="AY398" i="8"/>
  <c r="G398" i="8"/>
  <c r="AY363" i="8"/>
  <c r="G363" i="8"/>
  <c r="AY454" i="8"/>
  <c r="G454" i="8"/>
  <c r="G349" i="8"/>
  <c r="AY349" i="8"/>
  <c r="AY371" i="8"/>
  <c r="G371" i="8"/>
  <c r="G340" i="8"/>
  <c r="AY340" i="8"/>
  <c r="AY529" i="8"/>
  <c r="G529" i="8"/>
  <c r="G334" i="8"/>
  <c r="AY334" i="8"/>
  <c r="AY429" i="8"/>
  <c r="G429" i="8"/>
  <c r="AY282" i="8"/>
  <c r="G282" i="8"/>
  <c r="G528" i="8"/>
  <c r="AY528" i="8"/>
  <c r="G486" i="8"/>
  <c r="AY486" i="8"/>
  <c r="G375" i="8"/>
  <c r="AY375" i="8"/>
  <c r="AY459" i="8"/>
  <c r="G459" i="8"/>
  <c r="AY421" i="8"/>
  <c r="G421" i="8"/>
  <c r="AY295" i="8"/>
  <c r="G295" i="8"/>
  <c r="AY281" i="8"/>
  <c r="G281" i="8"/>
  <c r="AY336" i="8"/>
  <c r="G336" i="8"/>
  <c r="AY462" i="8"/>
  <c r="G462" i="8"/>
  <c r="AY362" i="8"/>
  <c r="G362" i="8"/>
  <c r="AY380" i="8"/>
  <c r="G380" i="8"/>
  <c r="G506" i="8"/>
  <c r="AY506" i="8"/>
  <c r="G406" i="8"/>
  <c r="AY406" i="8"/>
  <c r="AY469" i="8"/>
  <c r="G469" i="8"/>
  <c r="G330" i="8"/>
  <c r="AY330" i="8"/>
  <c r="AY435" i="8"/>
  <c r="G435" i="8"/>
  <c r="G536" i="8"/>
  <c r="AY536" i="8"/>
  <c r="G368" i="8"/>
  <c r="AY368" i="8"/>
  <c r="AY451" i="8"/>
  <c r="G451" i="8"/>
  <c r="AY331" i="8"/>
  <c r="G331" i="8"/>
  <c r="AY478" i="8"/>
  <c r="G478" i="8"/>
  <c r="AY374" i="8"/>
  <c r="G374" i="8"/>
  <c r="G353" i="8"/>
  <c r="AY353" i="8"/>
  <c r="AY524" i="8"/>
  <c r="G524" i="8"/>
  <c r="G510" i="8"/>
  <c r="AY510" i="8"/>
  <c r="AY342" i="8"/>
  <c r="G342" i="8"/>
  <c r="G370" i="8"/>
  <c r="AY370" i="8"/>
  <c r="G475" i="8"/>
  <c r="AY475" i="8"/>
  <c r="G392" i="8"/>
  <c r="AY392" i="8"/>
  <c r="G424" i="8"/>
  <c r="AY424" i="8"/>
  <c r="G508" i="8"/>
  <c r="AY508" i="8"/>
  <c r="G313" i="8"/>
  <c r="AY313" i="8"/>
  <c r="AY387" i="8"/>
  <c r="G387" i="8"/>
  <c r="G471" i="8"/>
  <c r="AY471" i="8"/>
  <c r="AY276" i="8"/>
  <c r="G276" i="8"/>
  <c r="AY522" i="8"/>
  <c r="G522" i="8"/>
  <c r="AY270" i="8"/>
  <c r="G270" i="8"/>
  <c r="AY484" i="8"/>
  <c r="G484" i="8"/>
  <c r="G365" i="8"/>
  <c r="AY365" i="8"/>
  <c r="G533" i="8"/>
  <c r="AY533" i="8"/>
  <c r="G273" i="8"/>
  <c r="AY273" i="8"/>
  <c r="G504" i="8"/>
  <c r="AY504" i="8"/>
  <c r="G530" i="8"/>
  <c r="AY530" i="8"/>
  <c r="AY485" i="8"/>
  <c r="G485" i="8"/>
  <c r="G422" i="8"/>
  <c r="AY422" i="8"/>
  <c r="AY490" i="8"/>
  <c r="G490" i="8"/>
  <c r="AY343" i="8"/>
  <c r="G343" i="8"/>
  <c r="G477" i="8"/>
  <c r="AY477" i="8"/>
  <c r="AY372" i="8"/>
  <c r="G372" i="8"/>
  <c r="G410" i="8"/>
  <c r="AY410" i="8"/>
  <c r="AY367" i="8"/>
  <c r="G367" i="8"/>
  <c r="G473" i="8"/>
  <c r="AY473" i="8"/>
  <c r="AY520" i="8"/>
  <c r="G520" i="8"/>
  <c r="AY499" i="8"/>
  <c r="G499" i="8"/>
  <c r="BS503" i="6"/>
  <c r="BU503" i="6" s="1"/>
  <c r="BS371" i="6"/>
  <c r="BU371" i="6" s="1"/>
  <c r="BS261" i="6"/>
  <c r="BU261" i="6" s="1"/>
  <c r="BS305" i="6"/>
  <c r="BU305" i="6" s="1"/>
  <c r="BS349" i="6"/>
  <c r="BU349" i="6" s="1"/>
  <c r="BS283" i="6"/>
  <c r="BU283" i="6" s="1"/>
  <c r="BS327" i="6"/>
  <c r="BU327" i="6" s="1"/>
  <c r="BS437" i="6"/>
  <c r="BU437" i="6" s="1"/>
  <c r="BS481" i="6"/>
  <c r="BU481" i="6" s="1"/>
  <c r="BS525" i="6"/>
  <c r="BU525" i="6" s="1"/>
  <c r="BS415" i="6"/>
  <c r="BU415" i="6" s="1"/>
  <c r="BS459" i="6"/>
  <c r="BU459" i="6" s="1"/>
  <c r="BS393" i="6"/>
  <c r="BU393" i="6" s="1"/>
  <c r="AY416" i="8"/>
  <c r="G416" i="8"/>
  <c r="AY269" i="8"/>
  <c r="G269" i="8"/>
  <c r="G272" i="8"/>
  <c r="AY272" i="8"/>
  <c r="AY321" i="8"/>
  <c r="G321" i="8"/>
  <c r="AY531" i="8"/>
  <c r="G531" i="8"/>
  <c r="G412" i="8"/>
  <c r="AY412" i="8"/>
  <c r="G517" i="8"/>
  <c r="AY517" i="8"/>
  <c r="G350" i="8"/>
  <c r="AY350" i="8"/>
  <c r="AY277" i="8"/>
  <c r="G277" i="8"/>
  <c r="G376" i="8"/>
  <c r="AY376" i="8"/>
  <c r="G481" i="8"/>
  <c r="AY481" i="8"/>
  <c r="AY345" i="8"/>
  <c r="G345" i="8"/>
  <c r="G534" i="8"/>
  <c r="AY534" i="8"/>
  <c r="AY318" i="8"/>
  <c r="G318" i="8"/>
  <c r="AY354" i="8"/>
  <c r="G354" i="8"/>
  <c r="AY501" i="8"/>
  <c r="G501" i="8"/>
  <c r="G274" i="8"/>
  <c r="AY274" i="8"/>
  <c r="G302" i="8"/>
  <c r="AY302" i="8"/>
  <c r="G344" i="8"/>
  <c r="AY344" i="8"/>
  <c r="G420" i="8"/>
  <c r="AY420" i="8"/>
  <c r="AY399" i="8"/>
  <c r="G399" i="8"/>
  <c r="AY299" i="8"/>
  <c r="G299" i="8"/>
  <c r="AY464" i="8"/>
  <c r="G464" i="8"/>
  <c r="AY401" i="8"/>
  <c r="G401" i="8"/>
  <c r="G448" i="8"/>
  <c r="AY448" i="8"/>
  <c r="G280" i="8"/>
  <c r="AY280" i="8"/>
  <c r="G288" i="8"/>
  <c r="AY288" i="8"/>
  <c r="G519" i="8"/>
  <c r="AY519" i="8"/>
  <c r="G284" i="8"/>
  <c r="AY284" i="8"/>
  <c r="G304" i="8"/>
  <c r="AY304" i="8"/>
  <c r="AY430" i="8"/>
  <c r="G430" i="8"/>
  <c r="AY289" i="8"/>
  <c r="G289" i="8"/>
  <c r="BN324" i="6"/>
  <c r="BP324" i="6" s="1"/>
  <c r="BN258" i="6"/>
  <c r="BP258" i="6" s="1"/>
  <c r="BN302" i="6"/>
  <c r="BP302" i="6" s="1"/>
  <c r="BN412" i="6"/>
  <c r="BP412" i="6" s="1"/>
  <c r="BN434" i="6"/>
  <c r="BP434" i="6" s="1"/>
  <c r="BN368" i="6"/>
  <c r="BP368" i="6" s="1"/>
  <c r="BN390" i="6"/>
  <c r="BP390" i="6" s="1"/>
  <c r="BN346" i="6"/>
  <c r="BP346" i="6" s="1"/>
  <c r="BN456" i="6"/>
  <c r="BP456" i="6" s="1"/>
  <c r="BN500" i="6"/>
  <c r="BP500" i="6" s="1"/>
  <c r="BN280" i="6"/>
  <c r="BP280" i="6" s="1"/>
  <c r="BN522" i="6"/>
  <c r="BP522" i="6" s="1"/>
  <c r="BN478" i="6"/>
  <c r="BP478" i="6" s="1"/>
  <c r="G332" i="8"/>
  <c r="AY332" i="8"/>
  <c r="G458" i="8"/>
  <c r="AY458" i="8"/>
  <c r="AY440" i="8"/>
  <c r="G440" i="8"/>
  <c r="AY384" i="8"/>
  <c r="G384" i="8"/>
  <c r="G279" i="8"/>
  <c r="AY279" i="8"/>
  <c r="AY307" i="8"/>
  <c r="G307" i="8"/>
  <c r="AY518" i="8"/>
  <c r="G518" i="8"/>
  <c r="AY287" i="8"/>
  <c r="G287" i="8"/>
  <c r="G361" i="8"/>
  <c r="AY361" i="8"/>
  <c r="AY292" i="8"/>
  <c r="G292" i="8"/>
  <c r="G439" i="8"/>
  <c r="AY439" i="8"/>
  <c r="AY324" i="8"/>
  <c r="G324" i="8"/>
  <c r="G450" i="8"/>
  <c r="AY450" i="8"/>
  <c r="AY444" i="8"/>
  <c r="G444" i="8"/>
  <c r="AY333" i="8"/>
  <c r="G333" i="8"/>
  <c r="AY526" i="8"/>
  <c r="G526" i="8"/>
  <c r="G512" i="8"/>
  <c r="AY512" i="8"/>
  <c r="G386" i="8"/>
  <c r="AY386" i="8"/>
  <c r="AY357" i="8"/>
  <c r="G357" i="8"/>
  <c r="AY446" i="8"/>
  <c r="G446" i="8"/>
  <c r="G341" i="8"/>
  <c r="AY341" i="8"/>
  <c r="G359" i="8"/>
  <c r="AY359" i="8"/>
  <c r="G338" i="8"/>
  <c r="AY338" i="8"/>
  <c r="AY427" i="8"/>
  <c r="G427" i="8"/>
  <c r="G498" i="8"/>
  <c r="AY498" i="8"/>
  <c r="AY351" i="8"/>
  <c r="G351" i="8"/>
  <c r="G388" i="8"/>
  <c r="AY388" i="8"/>
  <c r="AY325" i="8"/>
  <c r="G325" i="8"/>
  <c r="AY452" i="8"/>
  <c r="G452" i="8"/>
  <c r="G283" i="8"/>
  <c r="AY283" i="8"/>
  <c r="AY373" i="8"/>
  <c r="G373" i="8"/>
  <c r="AY128" i="8"/>
  <c r="G127" i="8"/>
  <c r="AY131" i="8"/>
  <c r="G118" i="8"/>
  <c r="G131" i="8"/>
  <c r="G128" i="8"/>
  <c r="G135" i="8"/>
  <c r="AY133" i="8"/>
  <c r="D109" i="6"/>
  <c r="E100" i="6"/>
  <c r="H103" i="6"/>
  <c r="E109" i="6"/>
  <c r="H96" i="6"/>
  <c r="AY135" i="8"/>
  <c r="D100" i="6"/>
  <c r="G217" i="8"/>
  <c r="AY217" i="8"/>
  <c r="G204" i="8"/>
  <c r="AY204" i="8"/>
  <c r="G220" i="8"/>
  <c r="AY220" i="8"/>
  <c r="AY226" i="8"/>
  <c r="G226" i="8"/>
  <c r="G166" i="8"/>
  <c r="AY166" i="8"/>
  <c r="G265" i="8"/>
  <c r="AY265" i="8"/>
  <c r="G141" i="8"/>
  <c r="AY141" i="8"/>
  <c r="AY214" i="8"/>
  <c r="G214" i="8"/>
  <c r="AY149" i="8"/>
  <c r="G149" i="8"/>
  <c r="AY187" i="8"/>
  <c r="G187" i="8"/>
  <c r="AY249" i="8"/>
  <c r="G249" i="8"/>
  <c r="AY238" i="8"/>
  <c r="G238" i="8"/>
  <c r="AY200" i="8"/>
  <c r="G200" i="8"/>
  <c r="AY184" i="8"/>
  <c r="G184" i="8"/>
  <c r="AY195" i="8"/>
  <c r="G195" i="8"/>
  <c r="AY202" i="8"/>
  <c r="G202" i="8"/>
  <c r="G245" i="8"/>
  <c r="AY245" i="8"/>
  <c r="AY152" i="8"/>
  <c r="G152" i="8"/>
  <c r="AY190" i="8"/>
  <c r="G190" i="8"/>
  <c r="G250" i="8"/>
  <c r="AY250" i="8"/>
  <c r="AY151" i="8"/>
  <c r="G151" i="8"/>
  <c r="G207" i="8"/>
  <c r="AY207" i="8"/>
  <c r="G212" i="8"/>
  <c r="AY212" i="8"/>
  <c r="G196" i="8"/>
  <c r="AY196" i="8"/>
  <c r="AY263" i="8"/>
  <c r="G263" i="8"/>
  <c r="G205" i="8"/>
  <c r="AY205" i="8"/>
  <c r="G197" i="8"/>
  <c r="AY197" i="8"/>
  <c r="G251" i="8"/>
  <c r="AY251" i="8"/>
  <c r="AY216" i="8"/>
  <c r="G216" i="8"/>
  <c r="G162" i="8"/>
  <c r="AY162" i="8"/>
  <c r="G182" i="8"/>
  <c r="AY182" i="8"/>
  <c r="G193" i="8"/>
  <c r="AY193" i="8"/>
  <c r="AY171" i="8"/>
  <c r="G171" i="8"/>
  <c r="G179" i="8"/>
  <c r="AY179" i="8"/>
  <c r="AY173" i="8"/>
  <c r="G173" i="8"/>
  <c r="G186" i="8"/>
  <c r="AY186" i="8"/>
  <c r="G194" i="8"/>
  <c r="AY194" i="8"/>
  <c r="G254" i="8"/>
  <c r="AY254" i="8"/>
  <c r="BS107" i="6"/>
  <c r="BU107" i="6" s="1"/>
  <c r="BS129" i="6"/>
  <c r="BU129" i="6" s="1"/>
  <c r="BS195" i="6"/>
  <c r="BU195" i="6" s="1"/>
  <c r="BS217" i="6"/>
  <c r="BU217" i="6" s="1"/>
  <c r="BS151" i="6"/>
  <c r="BU151" i="6" s="1"/>
  <c r="BS173" i="6"/>
  <c r="BU173" i="6" s="1"/>
  <c r="BS239" i="6"/>
  <c r="BU239" i="6" s="1"/>
  <c r="G246" i="8"/>
  <c r="AY246" i="8"/>
  <c r="G221" i="8"/>
  <c r="AY221" i="8"/>
  <c r="G260" i="8"/>
  <c r="AY260" i="8"/>
  <c r="G206" i="8"/>
  <c r="AY206" i="8"/>
  <c r="AY147" i="8"/>
  <c r="G147" i="8"/>
  <c r="AY237" i="8"/>
  <c r="G237" i="8"/>
  <c r="G223" i="8"/>
  <c r="AY223" i="8"/>
  <c r="G224" i="8"/>
  <c r="AY224" i="8"/>
  <c r="AY256" i="8"/>
  <c r="G256" i="8"/>
  <c r="G157" i="8"/>
  <c r="AY157" i="8"/>
  <c r="AY192" i="8"/>
  <c r="G192" i="8"/>
  <c r="AY145" i="8"/>
  <c r="G145" i="8"/>
  <c r="G175" i="8"/>
  <c r="AY175" i="8"/>
  <c r="AY233" i="8"/>
  <c r="G233" i="8"/>
  <c r="BN104" i="6"/>
  <c r="BP104" i="6" s="1"/>
  <c r="BN192" i="6"/>
  <c r="BP192" i="6" s="1"/>
  <c r="BN236" i="6"/>
  <c r="BP236" i="6" s="1"/>
  <c r="BN170" i="6"/>
  <c r="BP170" i="6" s="1"/>
  <c r="BN126" i="6"/>
  <c r="BP126" i="6" s="1"/>
  <c r="BN148" i="6"/>
  <c r="BP148" i="6" s="1"/>
  <c r="BN214" i="6"/>
  <c r="BP214" i="6" s="1"/>
  <c r="AY164" i="8"/>
  <c r="G164" i="8"/>
  <c r="G158" i="8"/>
  <c r="AY158" i="8"/>
  <c r="G199" i="8"/>
  <c r="AY199" i="8"/>
  <c r="G218" i="8"/>
  <c r="AY218" i="8"/>
  <c r="AY248" i="8"/>
  <c r="G248" i="8"/>
  <c r="AY209" i="8"/>
  <c r="G209" i="8"/>
  <c r="G258" i="8"/>
  <c r="AY258" i="8"/>
  <c r="AY140" i="8"/>
  <c r="G140" i="8"/>
  <c r="AY203" i="8"/>
  <c r="G203" i="8"/>
  <c r="AY208" i="8"/>
  <c r="G208" i="8"/>
  <c r="AY261" i="8"/>
  <c r="G261" i="8"/>
  <c r="G234" i="8"/>
  <c r="AY234" i="8"/>
  <c r="AY167" i="8"/>
  <c r="G167" i="8"/>
  <c r="G236" i="8"/>
  <c r="AY236" i="8"/>
  <c r="AY191" i="8"/>
  <c r="G191" i="8"/>
  <c r="AY155" i="8"/>
  <c r="G155" i="8"/>
  <c r="AY183" i="8"/>
  <c r="G183" i="8"/>
  <c r="G262" i="8"/>
  <c r="AY262" i="8"/>
  <c r="G143" i="8"/>
  <c r="AY143" i="8"/>
  <c r="G239" i="8"/>
  <c r="AY239" i="8"/>
  <c r="AY185" i="8"/>
  <c r="G185" i="8"/>
  <c r="AY169" i="8"/>
  <c r="G169" i="8"/>
  <c r="AY154" i="8"/>
  <c r="G154" i="8"/>
  <c r="AY181" i="8"/>
  <c r="G181" i="8"/>
  <c r="G163" i="8"/>
  <c r="AY163" i="8"/>
  <c r="AY232" i="8"/>
  <c r="G232" i="8"/>
  <c r="AY229" i="8"/>
  <c r="G229" i="8"/>
  <c r="G240" i="8"/>
  <c r="AY240" i="8"/>
  <c r="G213" i="8"/>
  <c r="AY213" i="8"/>
  <c r="G215" i="8"/>
  <c r="AY215" i="8"/>
  <c r="G172" i="8"/>
  <c r="AY172" i="8"/>
  <c r="G177" i="8"/>
  <c r="AY177" i="8"/>
  <c r="G142" i="8"/>
  <c r="AY142" i="8"/>
  <c r="AY242" i="8"/>
  <c r="G242" i="8"/>
  <c r="AY165" i="8"/>
  <c r="G165" i="8"/>
  <c r="AY156" i="8"/>
  <c r="G156" i="8"/>
  <c r="G227" i="8"/>
  <c r="AY227" i="8"/>
  <c r="AY230" i="8"/>
  <c r="G230" i="8"/>
  <c r="G176" i="8"/>
  <c r="AY176" i="8"/>
  <c r="AY244" i="8"/>
  <c r="G244" i="8"/>
  <c r="G174" i="8"/>
  <c r="AY174" i="8"/>
  <c r="G253" i="8"/>
  <c r="AY253" i="8"/>
  <c r="AY168" i="8"/>
  <c r="G168" i="8"/>
  <c r="AY219" i="8"/>
  <c r="G219" i="8"/>
  <c r="AY255" i="8"/>
  <c r="G255" i="8"/>
  <c r="G257" i="8"/>
  <c r="AY257" i="8"/>
  <c r="G150" i="8"/>
  <c r="AY150" i="8"/>
  <c r="BX99" i="6"/>
  <c r="BZ99" i="6" s="1"/>
  <c r="BX231" i="6"/>
  <c r="BZ231" i="6" s="1"/>
  <c r="BX165" i="6"/>
  <c r="BZ165" i="6" s="1"/>
  <c r="BX187" i="6"/>
  <c r="BZ187" i="6" s="1"/>
  <c r="BX209" i="6"/>
  <c r="BZ209" i="6" s="1"/>
  <c r="BX143" i="6"/>
  <c r="BZ143" i="6" s="1"/>
  <c r="BX121" i="6"/>
  <c r="BZ121" i="6" s="1"/>
  <c r="AY259" i="8"/>
  <c r="G259" i="8"/>
  <c r="G225" i="8"/>
  <c r="AY225" i="8"/>
  <c r="AY241" i="8"/>
  <c r="G241" i="8"/>
  <c r="AY247" i="8"/>
  <c r="G247" i="8"/>
  <c r="AY178" i="8"/>
  <c r="G178" i="8"/>
  <c r="G144" i="8"/>
  <c r="AY144" i="8"/>
  <c r="G188" i="8"/>
  <c r="AY188" i="8"/>
  <c r="AY235" i="8"/>
  <c r="G235" i="8"/>
  <c r="G211" i="8"/>
  <c r="AY211" i="8"/>
  <c r="G146" i="8"/>
  <c r="AY146" i="8"/>
  <c r="G198" i="8"/>
  <c r="AY198" i="8"/>
  <c r="G228" i="8"/>
  <c r="AY228" i="8"/>
  <c r="G153" i="8"/>
  <c r="AY153" i="8"/>
  <c r="G137" i="8"/>
  <c r="G130" i="8"/>
  <c r="G134" i="8"/>
  <c r="AY134" i="8"/>
  <c r="G121" i="8"/>
  <c r="V32" i="8"/>
  <c r="G132" i="8"/>
  <c r="G105" i="6"/>
  <c r="EM221" i="9"/>
  <c r="EM217" i="9"/>
  <c r="EM220" i="9"/>
  <c r="EM230" i="9"/>
  <c r="AY122" i="8"/>
  <c r="G108" i="6"/>
  <c r="EM232" i="9"/>
  <c r="EM224" i="9"/>
  <c r="EM218" i="9"/>
  <c r="EM231" i="9"/>
  <c r="EM214" i="9"/>
  <c r="EM213" i="9"/>
  <c r="EM227" i="9"/>
  <c r="EM226" i="9"/>
  <c r="EM219" i="9"/>
  <c r="EM215" i="9"/>
  <c r="EM222" i="9"/>
  <c r="EM229" i="9"/>
  <c r="EM225" i="9"/>
  <c r="EM223" i="9"/>
  <c r="EM228" i="9"/>
  <c r="G111" i="6"/>
  <c r="AY121" i="8"/>
  <c r="EL228" i="9"/>
  <c r="I691" i="9"/>
  <c r="L768" i="6" s="1"/>
  <c r="U768" i="6" s="1"/>
  <c r="G129" i="8"/>
  <c r="EL220" i="9"/>
  <c r="EL215" i="9"/>
  <c r="L875" i="6"/>
  <c r="U875" i="6" s="1"/>
  <c r="G119" i="8"/>
  <c r="EK223" i="9"/>
  <c r="EK216" i="9"/>
  <c r="AY119" i="8"/>
  <c r="EK224" i="9"/>
  <c r="L878" i="6"/>
  <c r="U878" i="6" s="1"/>
  <c r="EK218" i="9"/>
  <c r="EK213" i="9"/>
  <c r="L862" i="6"/>
  <c r="U862" i="6" s="1"/>
  <c r="EK228" i="9"/>
  <c r="EK217" i="9"/>
  <c r="EK232" i="9"/>
  <c r="G101" i="6"/>
  <c r="EL230" i="9"/>
  <c r="AY127" i="8"/>
  <c r="L883" i="6"/>
  <c r="U883" i="6" s="1"/>
  <c r="EL223" i="9"/>
  <c r="EL231" i="9"/>
  <c r="EK230" i="9"/>
  <c r="EK225" i="9"/>
  <c r="L855" i="6"/>
  <c r="U855" i="6" s="1"/>
  <c r="L912" i="6"/>
  <c r="U912" i="6" s="1"/>
  <c r="EL217" i="9"/>
  <c r="EL213" i="9"/>
  <c r="E642" i="11"/>
  <c r="N1166" i="6" s="1"/>
  <c r="G122" i="8"/>
  <c r="E106" i="6"/>
  <c r="G133" i="8"/>
  <c r="EL221" i="9"/>
  <c r="EL226" i="9"/>
  <c r="EK227" i="9"/>
  <c r="EK214" i="9"/>
  <c r="L973" i="6"/>
  <c r="U973" i="6" s="1"/>
  <c r="L910" i="6"/>
  <c r="U910" i="6" s="1"/>
  <c r="EL222" i="9"/>
  <c r="EL232" i="9"/>
  <c r="EL216" i="9"/>
  <c r="EL225" i="9"/>
  <c r="EL227" i="9"/>
  <c r="EK226" i="9"/>
  <c r="EK222" i="9"/>
  <c r="EK215" i="9"/>
  <c r="L886" i="6"/>
  <c r="U886" i="6" s="1"/>
  <c r="L914" i="6"/>
  <c r="U914" i="6" s="1"/>
  <c r="U32" i="8"/>
  <c r="EL229" i="9"/>
  <c r="EL218" i="9"/>
  <c r="D642" i="11"/>
  <c r="L1166" i="6" s="1"/>
  <c r="EL214" i="9"/>
  <c r="EL219" i="9"/>
  <c r="EK219" i="9"/>
  <c r="EK220" i="9"/>
  <c r="EK231" i="9"/>
  <c r="L889" i="6"/>
  <c r="U889" i="6" s="1"/>
  <c r="EK229" i="9"/>
  <c r="G125" i="8"/>
  <c r="AY125" i="8"/>
  <c r="W32" i="8"/>
  <c r="AY120" i="8"/>
  <c r="X32" i="8"/>
  <c r="S838" i="6"/>
  <c r="L905" i="6"/>
  <c r="U905" i="6" s="1"/>
  <c r="L868" i="6"/>
  <c r="U868" i="6" s="1"/>
  <c r="L881" i="6"/>
  <c r="U881" i="6" s="1"/>
  <c r="L880" i="6"/>
  <c r="U880" i="6" s="1"/>
  <c r="L971" i="6"/>
  <c r="U971" i="6" s="1"/>
  <c r="L913" i="6"/>
  <c r="U913" i="6" s="1"/>
  <c r="E101" i="6"/>
  <c r="L978" i="6"/>
  <c r="U978" i="6" s="1"/>
  <c r="L899" i="6"/>
  <c r="U899" i="6" s="1"/>
  <c r="L874" i="6"/>
  <c r="U874" i="6" s="1"/>
  <c r="L918" i="6"/>
  <c r="U918" i="6" s="1"/>
  <c r="L879" i="6"/>
  <c r="U879" i="6" s="1"/>
  <c r="L885" i="6"/>
  <c r="U885" i="6" s="1"/>
  <c r="L911" i="6"/>
  <c r="U911" i="6" s="1"/>
  <c r="L902" i="6"/>
  <c r="U902" i="6" s="1"/>
  <c r="L870" i="6"/>
  <c r="U870" i="6" s="1"/>
  <c r="L919" i="6"/>
  <c r="U919" i="6" s="1"/>
  <c r="L864" i="6"/>
  <c r="U864" i="6" s="1"/>
  <c r="L915" i="6"/>
  <c r="U915" i="6" s="1"/>
  <c r="L895" i="6"/>
  <c r="L901" i="6"/>
  <c r="U901" i="6" s="1"/>
  <c r="L892" i="6"/>
  <c r="L824" i="6"/>
  <c r="U824" i="6" s="1"/>
  <c r="L893" i="6"/>
  <c r="L882" i="6"/>
  <c r="U882" i="6" s="1"/>
  <c r="L842" i="6"/>
  <c r="U842" i="6" s="1"/>
  <c r="L891" i="6"/>
  <c r="L887" i="6"/>
  <c r="U887" i="6" s="1"/>
  <c r="L822" i="6"/>
  <c r="U822" i="6" s="1"/>
  <c r="L867" i="6"/>
  <c r="U867" i="6" s="1"/>
  <c r="L863" i="6"/>
  <c r="U863" i="6" s="1"/>
  <c r="L906" i="6"/>
  <c r="U906" i="6" s="1"/>
  <c r="L903" i="6"/>
  <c r="U903" i="6" s="1"/>
  <c r="L896" i="6"/>
  <c r="U896" i="6" s="1"/>
  <c r="AA12" i="2"/>
  <c r="L907" i="6"/>
  <c r="U907" i="6" s="1"/>
  <c r="L820" i="6"/>
  <c r="U820" i="6" s="1"/>
  <c r="L890" i="6"/>
  <c r="L869" i="6"/>
  <c r="U869" i="6" s="1"/>
  <c r="L873" i="6"/>
  <c r="U873" i="6" s="1"/>
  <c r="L894" i="6"/>
  <c r="U894" i="6" s="1"/>
  <c r="L871" i="6"/>
  <c r="U871" i="6" s="1"/>
  <c r="L860" i="6"/>
  <c r="U860" i="6" s="1"/>
  <c r="AA13" i="2"/>
  <c r="L898" i="6"/>
  <c r="U898" i="6" s="1"/>
  <c r="L909" i="6"/>
  <c r="U909" i="6" s="1"/>
  <c r="L823" i="6"/>
  <c r="U823" i="6" s="1"/>
  <c r="L904" i="6"/>
  <c r="U904" i="6" s="1"/>
  <c r="L876" i="6"/>
  <c r="U876" i="6" s="1"/>
  <c r="L916" i="6"/>
  <c r="U916" i="6" s="1"/>
  <c r="L865" i="6"/>
  <c r="U865" i="6" s="1"/>
  <c r="L977" i="6"/>
  <c r="U977" i="6" s="1"/>
  <c r="L884" i="6"/>
  <c r="L908" i="6"/>
  <c r="U908" i="6" s="1"/>
  <c r="L834" i="6"/>
  <c r="U834" i="6" s="1"/>
  <c r="L861" i="6"/>
  <c r="U861" i="6" s="1"/>
  <c r="L872" i="6"/>
  <c r="U872" i="6" s="1"/>
  <c r="L900" i="6"/>
  <c r="U900" i="6" s="1"/>
  <c r="L888" i="6"/>
  <c r="U888" i="6" s="1"/>
  <c r="L920" i="6"/>
  <c r="U920" i="6" s="1"/>
  <c r="L818" i="6"/>
  <c r="U818" i="6" s="1"/>
  <c r="L821" i="6"/>
  <c r="U821" i="6" s="1"/>
  <c r="U1451" i="6"/>
  <c r="L819" i="6"/>
  <c r="U819" i="6" s="1"/>
  <c r="G120" i="8"/>
  <c r="L841" i="6"/>
  <c r="U841" i="6" s="1"/>
  <c r="L838" i="6"/>
  <c r="L897" i="6"/>
  <c r="U897" i="6" s="1"/>
  <c r="L877" i="6"/>
  <c r="U877" i="6" s="1"/>
  <c r="L917" i="6"/>
  <c r="U917" i="6" s="1"/>
  <c r="L981" i="6"/>
  <c r="U981" i="6" s="1"/>
  <c r="L866" i="6"/>
  <c r="U866" i="6" s="1"/>
  <c r="L982" i="6"/>
  <c r="U982" i="6" s="1"/>
  <c r="P98" i="9"/>
  <c r="G7" i="14" s="1"/>
  <c r="G69" i="14"/>
  <c r="G27" i="14" s="1"/>
  <c r="M692" i="9"/>
  <c r="N692" i="9" s="1"/>
  <c r="O692" i="9" s="1"/>
  <c r="E69" i="14"/>
  <c r="E27" i="14" s="1"/>
  <c r="D69" i="14"/>
  <c r="D27" i="14" s="1"/>
  <c r="B69" i="14"/>
  <c r="B27" i="14" s="1"/>
  <c r="E7" i="14"/>
  <c r="J69" i="14"/>
  <c r="J27" i="14" s="1"/>
  <c r="F69" i="14"/>
  <c r="F27" i="14" s="1"/>
  <c r="K69" i="14"/>
  <c r="K27" i="14" s="1"/>
  <c r="M69" i="14"/>
  <c r="M27" i="14" s="1"/>
  <c r="L69" i="14"/>
  <c r="L27" i="14" s="1"/>
  <c r="P204" i="9"/>
  <c r="Q204" i="9" s="1"/>
  <c r="I69" i="14"/>
  <c r="I27" i="14" s="1"/>
  <c r="C69" i="14"/>
  <c r="C27" i="14" s="1"/>
  <c r="Q98" i="9"/>
  <c r="H7" i="14" s="1"/>
  <c r="L616" i="6" l="1"/>
  <c r="U829" i="6"/>
  <c r="U828" i="6"/>
  <c r="BZ437" i="9"/>
  <c r="T684" i="11"/>
  <c r="U684" i="11"/>
  <c r="V684" i="11"/>
  <c r="AC684" i="11"/>
  <c r="W684" i="11"/>
  <c r="Z684" i="11"/>
  <c r="X684" i="11"/>
  <c r="S684" i="11"/>
  <c r="AB684" i="11"/>
  <c r="AD684" i="11"/>
  <c r="AA684" i="11"/>
  <c r="Y684" i="11"/>
  <c r="U1166" i="6"/>
  <c r="U986" i="6" s="1"/>
  <c r="S1480" i="6" s="1"/>
  <c r="U1480" i="6" s="1"/>
  <c r="BS295" i="6"/>
  <c r="BU295" i="6" s="1"/>
  <c r="BS449" i="6"/>
  <c r="BU449" i="6" s="1"/>
  <c r="BS361" i="6"/>
  <c r="BU361" i="6" s="1"/>
  <c r="BS317" i="6"/>
  <c r="BU317" i="6" s="1"/>
  <c r="BS251" i="6"/>
  <c r="BU251" i="6" s="1"/>
  <c r="BS427" i="6"/>
  <c r="BU427" i="6" s="1"/>
  <c r="BS273" i="6"/>
  <c r="BU273" i="6" s="1"/>
  <c r="BS339" i="6"/>
  <c r="BU339" i="6" s="1"/>
  <c r="BS383" i="6"/>
  <c r="BU383" i="6" s="1"/>
  <c r="BS405" i="6"/>
  <c r="BU405" i="6" s="1"/>
  <c r="BS471" i="6"/>
  <c r="BU471" i="6" s="1"/>
  <c r="BS515" i="6"/>
  <c r="BU515" i="6" s="1"/>
  <c r="BS493" i="6"/>
  <c r="BU493" i="6" s="1"/>
  <c r="BN259" i="6"/>
  <c r="BP259" i="6" s="1"/>
  <c r="BN501" i="6"/>
  <c r="BP501" i="6" s="1"/>
  <c r="BN281" i="6"/>
  <c r="BP281" i="6" s="1"/>
  <c r="BN303" i="6"/>
  <c r="BP303" i="6" s="1"/>
  <c r="BN347" i="6"/>
  <c r="BP347" i="6" s="1"/>
  <c r="BN435" i="6"/>
  <c r="BP435" i="6" s="1"/>
  <c r="BN523" i="6"/>
  <c r="BP523" i="6" s="1"/>
  <c r="BN457" i="6"/>
  <c r="BP457" i="6" s="1"/>
  <c r="BN325" i="6"/>
  <c r="BP325" i="6" s="1"/>
  <c r="BN391" i="6"/>
  <c r="BP391" i="6" s="1"/>
  <c r="BN479" i="6"/>
  <c r="BP479" i="6" s="1"/>
  <c r="BN369" i="6"/>
  <c r="BP369" i="6" s="1"/>
  <c r="BN413" i="6"/>
  <c r="BP413" i="6" s="1"/>
  <c r="BS392" i="6"/>
  <c r="BU392" i="6" s="1"/>
  <c r="BS282" i="6"/>
  <c r="BU282" i="6" s="1"/>
  <c r="BS414" i="6"/>
  <c r="BU414" i="6" s="1"/>
  <c r="BS480" i="6"/>
  <c r="BU480" i="6" s="1"/>
  <c r="BS304" i="6"/>
  <c r="BU304" i="6" s="1"/>
  <c r="BS348" i="6"/>
  <c r="BU348" i="6" s="1"/>
  <c r="BS502" i="6"/>
  <c r="BU502" i="6" s="1"/>
  <c r="BS458" i="6"/>
  <c r="BU458" i="6" s="1"/>
  <c r="BS260" i="6"/>
  <c r="BU260" i="6" s="1"/>
  <c r="BS370" i="6"/>
  <c r="BU370" i="6" s="1"/>
  <c r="BS326" i="6"/>
  <c r="BU326" i="6" s="1"/>
  <c r="BS436" i="6"/>
  <c r="BU436" i="6" s="1"/>
  <c r="BS524" i="6"/>
  <c r="BU524" i="6" s="1"/>
  <c r="BX410" i="6"/>
  <c r="BZ410" i="6" s="1"/>
  <c r="BX322" i="6"/>
  <c r="BZ322" i="6" s="1"/>
  <c r="BX278" i="6"/>
  <c r="BZ278" i="6" s="1"/>
  <c r="BX256" i="6"/>
  <c r="BZ256" i="6" s="1"/>
  <c r="BX300" i="6"/>
  <c r="BZ300" i="6" s="1"/>
  <c r="BX520" i="6"/>
  <c r="BZ520" i="6" s="1"/>
  <c r="BX432" i="6"/>
  <c r="BZ432" i="6" s="1"/>
  <c r="BX344" i="6"/>
  <c r="BZ344" i="6" s="1"/>
  <c r="BX498" i="6"/>
  <c r="BZ498" i="6" s="1"/>
  <c r="BX388" i="6"/>
  <c r="BZ388" i="6" s="1"/>
  <c r="BX366" i="6"/>
  <c r="BZ366" i="6" s="1"/>
  <c r="BX454" i="6"/>
  <c r="BZ454" i="6" s="1"/>
  <c r="BX476" i="6"/>
  <c r="BZ476" i="6" s="1"/>
  <c r="BN307" i="6"/>
  <c r="BP307" i="6" s="1"/>
  <c r="BN461" i="6"/>
  <c r="BP461" i="6" s="1"/>
  <c r="BN263" i="6"/>
  <c r="BP263" i="6" s="1"/>
  <c r="BN285" i="6"/>
  <c r="BP285" i="6" s="1"/>
  <c r="BN527" i="6"/>
  <c r="BP527" i="6" s="1"/>
  <c r="BN417" i="6"/>
  <c r="BP417" i="6" s="1"/>
  <c r="BN373" i="6"/>
  <c r="BP373" i="6" s="1"/>
  <c r="BN329" i="6"/>
  <c r="BP329" i="6" s="1"/>
  <c r="BN483" i="6"/>
  <c r="BP483" i="6" s="1"/>
  <c r="BN505" i="6"/>
  <c r="BP505" i="6" s="1"/>
  <c r="BN439" i="6"/>
  <c r="BP439" i="6" s="1"/>
  <c r="BN351" i="6"/>
  <c r="BP351" i="6" s="1"/>
  <c r="BN395" i="6"/>
  <c r="BP395" i="6" s="1"/>
  <c r="BN449" i="6"/>
  <c r="BP449" i="6" s="1"/>
  <c r="BN427" i="6"/>
  <c r="BP427" i="6" s="1"/>
  <c r="BN361" i="6"/>
  <c r="BP361" i="6" s="1"/>
  <c r="BN317" i="6"/>
  <c r="BP317" i="6" s="1"/>
  <c r="BN251" i="6"/>
  <c r="BP251" i="6" s="1"/>
  <c r="BN471" i="6"/>
  <c r="BP471" i="6" s="1"/>
  <c r="BN383" i="6"/>
  <c r="BP383" i="6" s="1"/>
  <c r="BN295" i="6"/>
  <c r="BP295" i="6" s="1"/>
  <c r="BN493" i="6"/>
  <c r="BP493" i="6" s="1"/>
  <c r="BN339" i="6"/>
  <c r="BP339" i="6" s="1"/>
  <c r="BN405" i="6"/>
  <c r="BP405" i="6" s="1"/>
  <c r="BN273" i="6"/>
  <c r="BP273" i="6" s="1"/>
  <c r="BN515" i="6"/>
  <c r="BP515" i="6" s="1"/>
  <c r="BS426" i="6"/>
  <c r="BU426" i="6" s="1"/>
  <c r="BS514" i="6"/>
  <c r="BU514" i="6" s="1"/>
  <c r="BS470" i="6"/>
  <c r="BU470" i="6" s="1"/>
  <c r="BS448" i="6"/>
  <c r="BU448" i="6" s="1"/>
  <c r="BS492" i="6"/>
  <c r="BU492" i="6" s="1"/>
  <c r="BS272" i="6"/>
  <c r="BU272" i="6" s="1"/>
  <c r="BS316" i="6"/>
  <c r="BU316" i="6" s="1"/>
  <c r="BS360" i="6"/>
  <c r="BU360" i="6" s="1"/>
  <c r="BS338" i="6"/>
  <c r="BU338" i="6" s="1"/>
  <c r="BS294" i="6"/>
  <c r="BU294" i="6" s="1"/>
  <c r="BS404" i="6"/>
  <c r="BU404" i="6" s="1"/>
  <c r="BS382" i="6"/>
  <c r="BU382" i="6" s="1"/>
  <c r="BN514" i="6"/>
  <c r="BP514" i="6" s="1"/>
  <c r="BN470" i="6"/>
  <c r="BP470" i="6" s="1"/>
  <c r="BN448" i="6"/>
  <c r="BP448" i="6" s="1"/>
  <c r="BN426" i="6"/>
  <c r="BP426" i="6" s="1"/>
  <c r="BN492" i="6"/>
  <c r="BP492" i="6" s="1"/>
  <c r="BN272" i="6"/>
  <c r="BP272" i="6" s="1"/>
  <c r="BN316" i="6"/>
  <c r="BP316" i="6" s="1"/>
  <c r="BN382" i="6"/>
  <c r="BP382" i="6" s="1"/>
  <c r="BN338" i="6"/>
  <c r="BP338" i="6" s="1"/>
  <c r="BN294" i="6"/>
  <c r="BP294" i="6" s="1"/>
  <c r="BN404" i="6"/>
  <c r="BP404" i="6" s="1"/>
  <c r="BN360" i="6"/>
  <c r="BP360" i="6" s="1"/>
  <c r="BX527" i="6"/>
  <c r="BZ527" i="6" s="1"/>
  <c r="BX263" i="6"/>
  <c r="BZ263" i="6" s="1"/>
  <c r="BX351" i="6"/>
  <c r="BZ351" i="6" s="1"/>
  <c r="BX373" i="6"/>
  <c r="BZ373" i="6" s="1"/>
  <c r="BX417" i="6"/>
  <c r="BZ417" i="6" s="1"/>
  <c r="BX439" i="6"/>
  <c r="BZ439" i="6" s="1"/>
  <c r="BX461" i="6"/>
  <c r="BZ461" i="6" s="1"/>
  <c r="BX395" i="6"/>
  <c r="BZ395" i="6" s="1"/>
  <c r="BX505" i="6"/>
  <c r="BZ505" i="6" s="1"/>
  <c r="BX329" i="6"/>
  <c r="BZ329" i="6" s="1"/>
  <c r="BX483" i="6"/>
  <c r="BZ483" i="6" s="1"/>
  <c r="BX285" i="6"/>
  <c r="BZ285" i="6" s="1"/>
  <c r="BX307" i="6"/>
  <c r="BZ307" i="6" s="1"/>
  <c r="BN266" i="6"/>
  <c r="BP266" i="6" s="1"/>
  <c r="BN310" i="6"/>
  <c r="BP310" i="6" s="1"/>
  <c r="BN288" i="6"/>
  <c r="BP288" i="6" s="1"/>
  <c r="BN530" i="6"/>
  <c r="BP530" i="6" s="1"/>
  <c r="BN508" i="6"/>
  <c r="BP508" i="6" s="1"/>
  <c r="BN486" i="6"/>
  <c r="BP486" i="6" s="1"/>
  <c r="BN464" i="6"/>
  <c r="BP464" i="6" s="1"/>
  <c r="BN354" i="6"/>
  <c r="BP354" i="6" s="1"/>
  <c r="BN332" i="6"/>
  <c r="BP332" i="6" s="1"/>
  <c r="BN442" i="6"/>
  <c r="BP442" i="6" s="1"/>
  <c r="BN420" i="6"/>
  <c r="BP420" i="6" s="1"/>
  <c r="BN376" i="6"/>
  <c r="BP376" i="6" s="1"/>
  <c r="BN398" i="6"/>
  <c r="BP398" i="6" s="1"/>
  <c r="BS387" i="6"/>
  <c r="BU387" i="6" s="1"/>
  <c r="BS409" i="6"/>
  <c r="BU409" i="6" s="1"/>
  <c r="BS343" i="6"/>
  <c r="BU343" i="6" s="1"/>
  <c r="BS365" i="6"/>
  <c r="BU365" i="6" s="1"/>
  <c r="BS299" i="6"/>
  <c r="BU299" i="6" s="1"/>
  <c r="BS321" i="6"/>
  <c r="BU321" i="6" s="1"/>
  <c r="BS255" i="6"/>
  <c r="BU255" i="6" s="1"/>
  <c r="BS277" i="6"/>
  <c r="BU277" i="6" s="1"/>
  <c r="BS475" i="6"/>
  <c r="BU475" i="6" s="1"/>
  <c r="BS497" i="6"/>
  <c r="BU497" i="6" s="1"/>
  <c r="BS519" i="6"/>
  <c r="BU519" i="6" s="1"/>
  <c r="BS453" i="6"/>
  <c r="BU453" i="6" s="1"/>
  <c r="BS431" i="6"/>
  <c r="BU431" i="6" s="1"/>
  <c r="BS286" i="6"/>
  <c r="BU286" i="6" s="1"/>
  <c r="BS264" i="6"/>
  <c r="BU264" i="6" s="1"/>
  <c r="BS506" i="6"/>
  <c r="BU506" i="6" s="1"/>
  <c r="BS374" i="6"/>
  <c r="BU374" i="6" s="1"/>
  <c r="BS462" i="6"/>
  <c r="BU462" i="6" s="1"/>
  <c r="BS440" i="6"/>
  <c r="BU440" i="6" s="1"/>
  <c r="BS528" i="6"/>
  <c r="BU528" i="6" s="1"/>
  <c r="BS352" i="6"/>
  <c r="BU352" i="6" s="1"/>
  <c r="BS330" i="6"/>
  <c r="BU330" i="6" s="1"/>
  <c r="BS484" i="6"/>
  <c r="BU484" i="6" s="1"/>
  <c r="BS396" i="6"/>
  <c r="BU396" i="6" s="1"/>
  <c r="BS308" i="6"/>
  <c r="BU308" i="6" s="1"/>
  <c r="BS418" i="6"/>
  <c r="BU418" i="6" s="1"/>
  <c r="BN528" i="6"/>
  <c r="BP528" i="6" s="1"/>
  <c r="BN352" i="6"/>
  <c r="BP352" i="6" s="1"/>
  <c r="BN374" i="6"/>
  <c r="BP374" i="6" s="1"/>
  <c r="BN286" i="6"/>
  <c r="BP286" i="6" s="1"/>
  <c r="BN264" i="6"/>
  <c r="BP264" i="6" s="1"/>
  <c r="BN484" i="6"/>
  <c r="BP484" i="6" s="1"/>
  <c r="BN396" i="6"/>
  <c r="BP396" i="6" s="1"/>
  <c r="BN506" i="6"/>
  <c r="BP506" i="6" s="1"/>
  <c r="BN418" i="6"/>
  <c r="BP418" i="6" s="1"/>
  <c r="BN330" i="6"/>
  <c r="BP330" i="6" s="1"/>
  <c r="BN462" i="6"/>
  <c r="BP462" i="6" s="1"/>
  <c r="BN440" i="6"/>
  <c r="BP440" i="6" s="1"/>
  <c r="BN308" i="6"/>
  <c r="BP308" i="6" s="1"/>
  <c r="BS298" i="6"/>
  <c r="BU298" i="6" s="1"/>
  <c r="BS408" i="6"/>
  <c r="BU408" i="6" s="1"/>
  <c r="BS430" i="6"/>
  <c r="BU430" i="6" s="1"/>
  <c r="BS452" i="6"/>
  <c r="BU452" i="6" s="1"/>
  <c r="BS386" i="6"/>
  <c r="BU386" i="6" s="1"/>
  <c r="BS254" i="6"/>
  <c r="BU254" i="6" s="1"/>
  <c r="BS276" i="6"/>
  <c r="BU276" i="6" s="1"/>
  <c r="BS342" i="6"/>
  <c r="BU342" i="6" s="1"/>
  <c r="BS364" i="6"/>
  <c r="BU364" i="6" s="1"/>
  <c r="BS474" i="6"/>
  <c r="BU474" i="6" s="1"/>
  <c r="BS320" i="6"/>
  <c r="BU320" i="6" s="1"/>
  <c r="BS496" i="6"/>
  <c r="BU496" i="6" s="1"/>
  <c r="BS518" i="6"/>
  <c r="BU518" i="6" s="1"/>
  <c r="BN365" i="6"/>
  <c r="BP365" i="6" s="1"/>
  <c r="BN321" i="6"/>
  <c r="BP321" i="6" s="1"/>
  <c r="BN497" i="6"/>
  <c r="BP497" i="6" s="1"/>
  <c r="BN299" i="6"/>
  <c r="BP299" i="6" s="1"/>
  <c r="BN453" i="6"/>
  <c r="BP453" i="6" s="1"/>
  <c r="BN255" i="6"/>
  <c r="BP255" i="6" s="1"/>
  <c r="BN277" i="6"/>
  <c r="BP277" i="6" s="1"/>
  <c r="BN519" i="6"/>
  <c r="BP519" i="6" s="1"/>
  <c r="BN343" i="6"/>
  <c r="BP343" i="6" s="1"/>
  <c r="BN387" i="6"/>
  <c r="BP387" i="6" s="1"/>
  <c r="BN409" i="6"/>
  <c r="BP409" i="6" s="1"/>
  <c r="BN431" i="6"/>
  <c r="BP431" i="6" s="1"/>
  <c r="BN475" i="6"/>
  <c r="BP475" i="6" s="1"/>
  <c r="BS406" i="6"/>
  <c r="BU406" i="6" s="1"/>
  <c r="BS296" i="6"/>
  <c r="BU296" i="6" s="1"/>
  <c r="BS340" i="6"/>
  <c r="BU340" i="6" s="1"/>
  <c r="BS494" i="6"/>
  <c r="BU494" i="6" s="1"/>
  <c r="BS318" i="6"/>
  <c r="BU318" i="6" s="1"/>
  <c r="BS362" i="6"/>
  <c r="BU362" i="6" s="1"/>
  <c r="BS428" i="6"/>
  <c r="BU428" i="6" s="1"/>
  <c r="BS252" i="6"/>
  <c r="BU252" i="6" s="1"/>
  <c r="BS450" i="6"/>
  <c r="BU450" i="6" s="1"/>
  <c r="BS274" i="6"/>
  <c r="BU274" i="6" s="1"/>
  <c r="BS472" i="6"/>
  <c r="BU472" i="6" s="1"/>
  <c r="BS516" i="6"/>
  <c r="BU516" i="6" s="1"/>
  <c r="BS384" i="6"/>
  <c r="BU384" i="6" s="1"/>
  <c r="BX309" i="6"/>
  <c r="BZ309" i="6" s="1"/>
  <c r="BX287" i="6"/>
  <c r="BZ287" i="6" s="1"/>
  <c r="BX265" i="6"/>
  <c r="BZ265" i="6" s="1"/>
  <c r="BX463" i="6"/>
  <c r="BZ463" i="6" s="1"/>
  <c r="BX441" i="6"/>
  <c r="BZ441" i="6" s="1"/>
  <c r="BX529" i="6"/>
  <c r="BZ529" i="6" s="1"/>
  <c r="BX419" i="6"/>
  <c r="BZ419" i="6" s="1"/>
  <c r="BX507" i="6"/>
  <c r="BZ507" i="6" s="1"/>
  <c r="BX397" i="6"/>
  <c r="BZ397" i="6" s="1"/>
  <c r="BX375" i="6"/>
  <c r="BZ375" i="6" s="1"/>
  <c r="BX485" i="6"/>
  <c r="BZ485" i="6" s="1"/>
  <c r="BX331" i="6"/>
  <c r="BZ331" i="6" s="1"/>
  <c r="BX353" i="6"/>
  <c r="BZ353" i="6" s="1"/>
  <c r="BX264" i="6"/>
  <c r="BZ264" i="6" s="1"/>
  <c r="BX308" i="6"/>
  <c r="BZ308" i="6" s="1"/>
  <c r="BX330" i="6"/>
  <c r="BZ330" i="6" s="1"/>
  <c r="BX528" i="6"/>
  <c r="BZ528" i="6" s="1"/>
  <c r="BX374" i="6"/>
  <c r="BZ374" i="6" s="1"/>
  <c r="BX396" i="6"/>
  <c r="BZ396" i="6" s="1"/>
  <c r="BX462" i="6"/>
  <c r="BZ462" i="6" s="1"/>
  <c r="BX484" i="6"/>
  <c r="BZ484" i="6" s="1"/>
  <c r="BX286" i="6"/>
  <c r="BZ286" i="6" s="1"/>
  <c r="BX352" i="6"/>
  <c r="BZ352" i="6" s="1"/>
  <c r="BX418" i="6"/>
  <c r="BZ418" i="6" s="1"/>
  <c r="BX440" i="6"/>
  <c r="BZ440" i="6" s="1"/>
  <c r="BX506" i="6"/>
  <c r="BZ506" i="6" s="1"/>
  <c r="BS310" i="6"/>
  <c r="BU310" i="6" s="1"/>
  <c r="BS288" i="6"/>
  <c r="BU288" i="6" s="1"/>
  <c r="BS530" i="6"/>
  <c r="BU530" i="6" s="1"/>
  <c r="BS266" i="6"/>
  <c r="BU266" i="6" s="1"/>
  <c r="BS486" i="6"/>
  <c r="BU486" i="6" s="1"/>
  <c r="BS464" i="6"/>
  <c r="BU464" i="6" s="1"/>
  <c r="BS442" i="6"/>
  <c r="BU442" i="6" s="1"/>
  <c r="BS420" i="6"/>
  <c r="BU420" i="6" s="1"/>
  <c r="BS508" i="6"/>
  <c r="BU508" i="6" s="1"/>
  <c r="BS376" i="6"/>
  <c r="BU376" i="6" s="1"/>
  <c r="BS398" i="6"/>
  <c r="BU398" i="6" s="1"/>
  <c r="BS354" i="6"/>
  <c r="BU354" i="6" s="1"/>
  <c r="BS332" i="6"/>
  <c r="BU332" i="6" s="1"/>
  <c r="BS504" i="6"/>
  <c r="BU504" i="6" s="1"/>
  <c r="BS482" i="6"/>
  <c r="BU482" i="6" s="1"/>
  <c r="BS306" i="6"/>
  <c r="BU306" i="6" s="1"/>
  <c r="BS416" i="6"/>
  <c r="BU416" i="6" s="1"/>
  <c r="BS438" i="6"/>
  <c r="BU438" i="6" s="1"/>
  <c r="BS460" i="6"/>
  <c r="BU460" i="6" s="1"/>
  <c r="BS394" i="6"/>
  <c r="BU394" i="6" s="1"/>
  <c r="BS526" i="6"/>
  <c r="BU526" i="6" s="1"/>
  <c r="BS350" i="6"/>
  <c r="BU350" i="6" s="1"/>
  <c r="BS262" i="6"/>
  <c r="BU262" i="6" s="1"/>
  <c r="BS328" i="6"/>
  <c r="BU328" i="6" s="1"/>
  <c r="BS372" i="6"/>
  <c r="BU372" i="6" s="1"/>
  <c r="BS284" i="6"/>
  <c r="BU284" i="6" s="1"/>
  <c r="BS263" i="6"/>
  <c r="BU263" i="6" s="1"/>
  <c r="BS285" i="6"/>
  <c r="BU285" i="6" s="1"/>
  <c r="BS483" i="6"/>
  <c r="BU483" i="6" s="1"/>
  <c r="BS505" i="6"/>
  <c r="BU505" i="6" s="1"/>
  <c r="BS527" i="6"/>
  <c r="BU527" i="6" s="1"/>
  <c r="BS439" i="6"/>
  <c r="BU439" i="6" s="1"/>
  <c r="BS461" i="6"/>
  <c r="BU461" i="6" s="1"/>
  <c r="BS395" i="6"/>
  <c r="BU395" i="6" s="1"/>
  <c r="BS417" i="6"/>
  <c r="BU417" i="6" s="1"/>
  <c r="BS307" i="6"/>
  <c r="BU307" i="6" s="1"/>
  <c r="BS373" i="6"/>
  <c r="BU373" i="6" s="1"/>
  <c r="BS329" i="6"/>
  <c r="BU329" i="6" s="1"/>
  <c r="BS351" i="6"/>
  <c r="BU351" i="6" s="1"/>
  <c r="BS311" i="6"/>
  <c r="BU311" i="6" s="1"/>
  <c r="BS377" i="6"/>
  <c r="BU377" i="6" s="1"/>
  <c r="BS509" i="6"/>
  <c r="BU509" i="6" s="1"/>
  <c r="BS267" i="6"/>
  <c r="BU267" i="6" s="1"/>
  <c r="BS465" i="6"/>
  <c r="BU465" i="6" s="1"/>
  <c r="BS289" i="6"/>
  <c r="BU289" i="6" s="1"/>
  <c r="BS355" i="6"/>
  <c r="BU355" i="6" s="1"/>
  <c r="BS399" i="6"/>
  <c r="BU399" i="6" s="1"/>
  <c r="BS421" i="6"/>
  <c r="BU421" i="6" s="1"/>
  <c r="BS487" i="6"/>
  <c r="BU487" i="6" s="1"/>
  <c r="BS443" i="6"/>
  <c r="BU443" i="6" s="1"/>
  <c r="BS333" i="6"/>
  <c r="BU333" i="6" s="1"/>
  <c r="BS531" i="6"/>
  <c r="BU531" i="6" s="1"/>
  <c r="BS323" i="6"/>
  <c r="BU323" i="6" s="1"/>
  <c r="BS301" i="6"/>
  <c r="BU301" i="6" s="1"/>
  <c r="BS389" i="6"/>
  <c r="BU389" i="6" s="1"/>
  <c r="BS257" i="6"/>
  <c r="BU257" i="6" s="1"/>
  <c r="BS367" i="6"/>
  <c r="BU367" i="6" s="1"/>
  <c r="BS411" i="6"/>
  <c r="BU411" i="6" s="1"/>
  <c r="BS521" i="6"/>
  <c r="BU521" i="6" s="1"/>
  <c r="BS345" i="6"/>
  <c r="BU345" i="6" s="1"/>
  <c r="BS433" i="6"/>
  <c r="BU433" i="6" s="1"/>
  <c r="BS279" i="6"/>
  <c r="BU279" i="6" s="1"/>
  <c r="BS477" i="6"/>
  <c r="BU477" i="6" s="1"/>
  <c r="BS499" i="6"/>
  <c r="BU499" i="6" s="1"/>
  <c r="BS455" i="6"/>
  <c r="BU455" i="6" s="1"/>
  <c r="BX326" i="6"/>
  <c r="BZ326" i="6" s="1"/>
  <c r="BX370" i="6"/>
  <c r="BZ370" i="6" s="1"/>
  <c r="BX392" i="6"/>
  <c r="BZ392" i="6" s="1"/>
  <c r="BX282" i="6"/>
  <c r="BZ282" i="6" s="1"/>
  <c r="BX458" i="6"/>
  <c r="BZ458" i="6" s="1"/>
  <c r="BX480" i="6"/>
  <c r="BZ480" i="6" s="1"/>
  <c r="BX304" i="6"/>
  <c r="BZ304" i="6" s="1"/>
  <c r="BX348" i="6"/>
  <c r="BZ348" i="6" s="1"/>
  <c r="BX414" i="6"/>
  <c r="BZ414" i="6" s="1"/>
  <c r="BX436" i="6"/>
  <c r="BZ436" i="6" s="1"/>
  <c r="BX260" i="6"/>
  <c r="BZ260" i="6" s="1"/>
  <c r="BX502" i="6"/>
  <c r="BZ502" i="6" s="1"/>
  <c r="BX524" i="6"/>
  <c r="BZ524" i="6" s="1"/>
  <c r="BX470" i="6"/>
  <c r="BZ470" i="6" s="1"/>
  <c r="BX448" i="6"/>
  <c r="BZ448" i="6" s="1"/>
  <c r="BX426" i="6"/>
  <c r="BZ426" i="6" s="1"/>
  <c r="BX492" i="6"/>
  <c r="BZ492" i="6" s="1"/>
  <c r="BX514" i="6"/>
  <c r="BZ514" i="6" s="1"/>
  <c r="BX272" i="6"/>
  <c r="BZ272" i="6" s="1"/>
  <c r="BX316" i="6"/>
  <c r="BZ316" i="6" s="1"/>
  <c r="BX294" i="6"/>
  <c r="BZ294" i="6" s="1"/>
  <c r="BX404" i="6"/>
  <c r="BZ404" i="6" s="1"/>
  <c r="BX338" i="6"/>
  <c r="BZ338" i="6" s="1"/>
  <c r="BX360" i="6"/>
  <c r="BZ360" i="6" s="1"/>
  <c r="BX382" i="6"/>
  <c r="BZ382" i="6" s="1"/>
  <c r="BX267" i="6"/>
  <c r="BZ267" i="6" s="1"/>
  <c r="BX465" i="6"/>
  <c r="BZ465" i="6" s="1"/>
  <c r="BX531" i="6"/>
  <c r="BZ531" i="6" s="1"/>
  <c r="BX289" i="6"/>
  <c r="BZ289" i="6" s="1"/>
  <c r="BX355" i="6"/>
  <c r="BZ355" i="6" s="1"/>
  <c r="BX399" i="6"/>
  <c r="BZ399" i="6" s="1"/>
  <c r="BX421" i="6"/>
  <c r="BZ421" i="6" s="1"/>
  <c r="BX487" i="6"/>
  <c r="BZ487" i="6" s="1"/>
  <c r="BX443" i="6"/>
  <c r="BZ443" i="6" s="1"/>
  <c r="BX311" i="6"/>
  <c r="BZ311" i="6" s="1"/>
  <c r="BX377" i="6"/>
  <c r="BZ377" i="6" s="1"/>
  <c r="BX509" i="6"/>
  <c r="BZ509" i="6" s="1"/>
  <c r="BX333" i="6"/>
  <c r="BZ333" i="6" s="1"/>
  <c r="BN313" i="6"/>
  <c r="BP313" i="6" s="1"/>
  <c r="BN291" i="6"/>
  <c r="BP291" i="6" s="1"/>
  <c r="BN422" i="6"/>
  <c r="BP422" i="6" s="1"/>
  <c r="BN488" i="6"/>
  <c r="BP488" i="6" s="1"/>
  <c r="BN379" i="6"/>
  <c r="BP379" i="6" s="1"/>
  <c r="BN312" i="6"/>
  <c r="BP312" i="6" s="1"/>
  <c r="BN356" i="6"/>
  <c r="BP356" i="6" s="1"/>
  <c r="BN510" i="6"/>
  <c r="BP510" i="6" s="1"/>
  <c r="BN378" i="6"/>
  <c r="BP378" i="6" s="1"/>
  <c r="BN444" i="6"/>
  <c r="BP444" i="6" s="1"/>
  <c r="BN467" i="6"/>
  <c r="BP467" i="6" s="1"/>
  <c r="BN269" i="6"/>
  <c r="BP269" i="6" s="1"/>
  <c r="BN268" i="6"/>
  <c r="BP268" i="6" s="1"/>
  <c r="BN466" i="6"/>
  <c r="BP466" i="6" s="1"/>
  <c r="BN401" i="6"/>
  <c r="BP401" i="6" s="1"/>
  <c r="BN334" i="6"/>
  <c r="BP334" i="6" s="1"/>
  <c r="BN400" i="6"/>
  <c r="BP400" i="6" s="1"/>
  <c r="BN445" i="6"/>
  <c r="BP445" i="6" s="1"/>
  <c r="BN423" i="6"/>
  <c r="BP423" i="6" s="1"/>
  <c r="BN357" i="6"/>
  <c r="BP357" i="6" s="1"/>
  <c r="BN489" i="6"/>
  <c r="BP489" i="6" s="1"/>
  <c r="BN532" i="6"/>
  <c r="BP532" i="6" s="1"/>
  <c r="BN511" i="6"/>
  <c r="BP511" i="6" s="1"/>
  <c r="BN335" i="6"/>
  <c r="BP335" i="6" s="1"/>
  <c r="BN533" i="6"/>
  <c r="BP533" i="6" s="1"/>
  <c r="BN290" i="6"/>
  <c r="BP290" i="6" s="1"/>
  <c r="BS253" i="6"/>
  <c r="BU253" i="6" s="1"/>
  <c r="BS275" i="6"/>
  <c r="BU275" i="6" s="1"/>
  <c r="BS495" i="6"/>
  <c r="BU495" i="6" s="1"/>
  <c r="BS385" i="6"/>
  <c r="BU385" i="6" s="1"/>
  <c r="BS473" i="6"/>
  <c r="BU473" i="6" s="1"/>
  <c r="BS297" i="6"/>
  <c r="BU297" i="6" s="1"/>
  <c r="BS341" i="6"/>
  <c r="BU341" i="6" s="1"/>
  <c r="BS429" i="6"/>
  <c r="BU429" i="6" s="1"/>
  <c r="BS517" i="6"/>
  <c r="BU517" i="6" s="1"/>
  <c r="BS407" i="6"/>
  <c r="BU407" i="6" s="1"/>
  <c r="BS319" i="6"/>
  <c r="BU319" i="6" s="1"/>
  <c r="BS451" i="6"/>
  <c r="BU451" i="6" s="1"/>
  <c r="BS363" i="6"/>
  <c r="BU363" i="6" s="1"/>
  <c r="BS324" i="6"/>
  <c r="BU324" i="6" s="1"/>
  <c r="BS302" i="6"/>
  <c r="BU302" i="6" s="1"/>
  <c r="BS280" i="6"/>
  <c r="BU280" i="6" s="1"/>
  <c r="BS522" i="6"/>
  <c r="BU522" i="6" s="1"/>
  <c r="BS368" i="6"/>
  <c r="BU368" i="6" s="1"/>
  <c r="BS390" i="6"/>
  <c r="BU390" i="6" s="1"/>
  <c r="BS346" i="6"/>
  <c r="BU346" i="6" s="1"/>
  <c r="BS434" i="6"/>
  <c r="BU434" i="6" s="1"/>
  <c r="BS500" i="6"/>
  <c r="BU500" i="6" s="1"/>
  <c r="BS258" i="6"/>
  <c r="BU258" i="6" s="1"/>
  <c r="BS478" i="6"/>
  <c r="BU478" i="6" s="1"/>
  <c r="BS412" i="6"/>
  <c r="BU412" i="6" s="1"/>
  <c r="BS456" i="6"/>
  <c r="BU456" i="6" s="1"/>
  <c r="BN503" i="6"/>
  <c r="BP503" i="6" s="1"/>
  <c r="BN261" i="6"/>
  <c r="BP261" i="6" s="1"/>
  <c r="BN305" i="6"/>
  <c r="BP305" i="6" s="1"/>
  <c r="BN349" i="6"/>
  <c r="BP349" i="6" s="1"/>
  <c r="BN283" i="6"/>
  <c r="BP283" i="6" s="1"/>
  <c r="BN481" i="6"/>
  <c r="BP481" i="6" s="1"/>
  <c r="BN393" i="6"/>
  <c r="BP393" i="6" s="1"/>
  <c r="BN525" i="6"/>
  <c r="BP525" i="6" s="1"/>
  <c r="BN437" i="6"/>
  <c r="BP437" i="6" s="1"/>
  <c r="BN327" i="6"/>
  <c r="BP327" i="6" s="1"/>
  <c r="BN371" i="6"/>
  <c r="BP371" i="6" s="1"/>
  <c r="BN415" i="6"/>
  <c r="BP415" i="6" s="1"/>
  <c r="BN459" i="6"/>
  <c r="BP459" i="6" s="1"/>
  <c r="BX504" i="6"/>
  <c r="BZ504" i="6" s="1"/>
  <c r="BX482" i="6"/>
  <c r="BZ482" i="6" s="1"/>
  <c r="BX306" i="6"/>
  <c r="BZ306" i="6" s="1"/>
  <c r="BX416" i="6"/>
  <c r="BZ416" i="6" s="1"/>
  <c r="BX438" i="6"/>
  <c r="BZ438" i="6" s="1"/>
  <c r="BX460" i="6"/>
  <c r="BZ460" i="6" s="1"/>
  <c r="BX394" i="6"/>
  <c r="BZ394" i="6" s="1"/>
  <c r="BX262" i="6"/>
  <c r="BZ262" i="6" s="1"/>
  <c r="BX284" i="6"/>
  <c r="BZ284" i="6" s="1"/>
  <c r="BX328" i="6"/>
  <c r="BZ328" i="6" s="1"/>
  <c r="BX350" i="6"/>
  <c r="BZ350" i="6" s="1"/>
  <c r="BX372" i="6"/>
  <c r="BZ372" i="6" s="1"/>
  <c r="BX526" i="6"/>
  <c r="BZ526" i="6" s="1"/>
  <c r="BX295" i="6"/>
  <c r="BZ295" i="6" s="1"/>
  <c r="BX449" i="6"/>
  <c r="BZ449" i="6" s="1"/>
  <c r="BX361" i="6"/>
  <c r="BZ361" i="6" s="1"/>
  <c r="BX317" i="6"/>
  <c r="BZ317" i="6" s="1"/>
  <c r="BX515" i="6"/>
  <c r="BZ515" i="6" s="1"/>
  <c r="BX251" i="6"/>
  <c r="BZ251" i="6" s="1"/>
  <c r="BX427" i="6"/>
  <c r="BZ427" i="6" s="1"/>
  <c r="BX383" i="6"/>
  <c r="BZ383" i="6" s="1"/>
  <c r="BX471" i="6"/>
  <c r="BZ471" i="6" s="1"/>
  <c r="BX273" i="6"/>
  <c r="BZ273" i="6" s="1"/>
  <c r="BX405" i="6"/>
  <c r="BZ405" i="6" s="1"/>
  <c r="BX493" i="6"/>
  <c r="BZ493" i="6" s="1"/>
  <c r="BX339" i="6"/>
  <c r="BZ339" i="6" s="1"/>
  <c r="BX323" i="6"/>
  <c r="BZ323" i="6" s="1"/>
  <c r="BX301" i="6"/>
  <c r="BZ301" i="6" s="1"/>
  <c r="BX279" i="6"/>
  <c r="BZ279" i="6" s="1"/>
  <c r="BX257" i="6"/>
  <c r="BZ257" i="6" s="1"/>
  <c r="BX367" i="6"/>
  <c r="BZ367" i="6" s="1"/>
  <c r="BX521" i="6"/>
  <c r="BZ521" i="6" s="1"/>
  <c r="BX345" i="6"/>
  <c r="BZ345" i="6" s="1"/>
  <c r="BX389" i="6"/>
  <c r="BZ389" i="6" s="1"/>
  <c r="BX477" i="6"/>
  <c r="BZ477" i="6" s="1"/>
  <c r="BX499" i="6"/>
  <c r="BZ499" i="6" s="1"/>
  <c r="BX455" i="6"/>
  <c r="BZ455" i="6" s="1"/>
  <c r="BX433" i="6"/>
  <c r="BZ433" i="6" s="1"/>
  <c r="BX411" i="6"/>
  <c r="BZ411" i="6" s="1"/>
  <c r="BN257" i="6"/>
  <c r="BP257" i="6" s="1"/>
  <c r="BN323" i="6"/>
  <c r="BP323" i="6" s="1"/>
  <c r="BN411" i="6"/>
  <c r="BP411" i="6" s="1"/>
  <c r="BN389" i="6"/>
  <c r="BP389" i="6" s="1"/>
  <c r="BN367" i="6"/>
  <c r="BP367" i="6" s="1"/>
  <c r="BN301" i="6"/>
  <c r="BP301" i="6" s="1"/>
  <c r="BN521" i="6"/>
  <c r="BP521" i="6" s="1"/>
  <c r="BN345" i="6"/>
  <c r="BP345" i="6" s="1"/>
  <c r="BN433" i="6"/>
  <c r="BP433" i="6" s="1"/>
  <c r="BN279" i="6"/>
  <c r="BP279" i="6" s="1"/>
  <c r="BN455" i="6"/>
  <c r="BP455" i="6" s="1"/>
  <c r="BN477" i="6"/>
  <c r="BP477" i="6" s="1"/>
  <c r="BN499" i="6"/>
  <c r="BP499" i="6" s="1"/>
  <c r="BN504" i="6"/>
  <c r="BP504" i="6" s="1"/>
  <c r="BN284" i="6"/>
  <c r="BP284" i="6" s="1"/>
  <c r="BN482" i="6"/>
  <c r="BP482" i="6" s="1"/>
  <c r="BN306" i="6"/>
  <c r="BP306" i="6" s="1"/>
  <c r="BN416" i="6"/>
  <c r="BP416" i="6" s="1"/>
  <c r="BN438" i="6"/>
  <c r="BP438" i="6" s="1"/>
  <c r="BN460" i="6"/>
  <c r="BP460" i="6" s="1"/>
  <c r="BN350" i="6"/>
  <c r="BP350" i="6" s="1"/>
  <c r="BN526" i="6"/>
  <c r="BP526" i="6" s="1"/>
  <c r="BN394" i="6"/>
  <c r="BP394" i="6" s="1"/>
  <c r="BN262" i="6"/>
  <c r="BP262" i="6" s="1"/>
  <c r="BN328" i="6"/>
  <c r="BP328" i="6" s="1"/>
  <c r="BN372" i="6"/>
  <c r="BP372" i="6" s="1"/>
  <c r="BX288" i="6"/>
  <c r="BZ288" i="6" s="1"/>
  <c r="BX530" i="6"/>
  <c r="BZ530" i="6" s="1"/>
  <c r="BX266" i="6"/>
  <c r="BZ266" i="6" s="1"/>
  <c r="BX310" i="6"/>
  <c r="BZ310" i="6" s="1"/>
  <c r="BX464" i="6"/>
  <c r="BZ464" i="6" s="1"/>
  <c r="BX442" i="6"/>
  <c r="BZ442" i="6" s="1"/>
  <c r="BX420" i="6"/>
  <c r="BZ420" i="6" s="1"/>
  <c r="BX486" i="6"/>
  <c r="BZ486" i="6" s="1"/>
  <c r="BX376" i="6"/>
  <c r="BZ376" i="6" s="1"/>
  <c r="BX398" i="6"/>
  <c r="BZ398" i="6" s="1"/>
  <c r="BX354" i="6"/>
  <c r="BZ354" i="6" s="1"/>
  <c r="BX332" i="6"/>
  <c r="BZ332" i="6" s="1"/>
  <c r="BX508" i="6"/>
  <c r="BZ508" i="6" s="1"/>
  <c r="BX489" i="6"/>
  <c r="BZ489" i="6" s="1"/>
  <c r="BX422" i="6"/>
  <c r="BZ422" i="6" s="1"/>
  <c r="BX444" i="6"/>
  <c r="BZ444" i="6" s="1"/>
  <c r="BX467" i="6"/>
  <c r="BZ467" i="6" s="1"/>
  <c r="BX269" i="6"/>
  <c r="BZ269" i="6" s="1"/>
  <c r="BX268" i="6"/>
  <c r="BZ268" i="6" s="1"/>
  <c r="BX510" i="6"/>
  <c r="BZ510" i="6" s="1"/>
  <c r="BX401" i="6"/>
  <c r="BZ401" i="6" s="1"/>
  <c r="BX378" i="6"/>
  <c r="BZ378" i="6" s="1"/>
  <c r="BX400" i="6"/>
  <c r="BZ400" i="6" s="1"/>
  <c r="BX511" i="6"/>
  <c r="BZ511" i="6" s="1"/>
  <c r="BX466" i="6"/>
  <c r="BZ466" i="6" s="1"/>
  <c r="BX313" i="6"/>
  <c r="BZ313" i="6" s="1"/>
  <c r="BX290" i="6"/>
  <c r="BZ290" i="6" s="1"/>
  <c r="BX356" i="6"/>
  <c r="BZ356" i="6" s="1"/>
  <c r="BX379" i="6"/>
  <c r="BZ379" i="6" s="1"/>
  <c r="BX291" i="6"/>
  <c r="BZ291" i="6" s="1"/>
  <c r="BX532" i="6"/>
  <c r="BZ532" i="6" s="1"/>
  <c r="BX312" i="6"/>
  <c r="BZ312" i="6" s="1"/>
  <c r="BX335" i="6"/>
  <c r="BZ335" i="6" s="1"/>
  <c r="BX533" i="6"/>
  <c r="BZ533" i="6" s="1"/>
  <c r="BX423" i="6"/>
  <c r="BZ423" i="6" s="1"/>
  <c r="BX445" i="6"/>
  <c r="BZ445" i="6" s="1"/>
  <c r="BX334" i="6"/>
  <c r="BZ334" i="6" s="1"/>
  <c r="BX488" i="6"/>
  <c r="BZ488" i="6" s="1"/>
  <c r="BX357" i="6"/>
  <c r="BZ357" i="6" s="1"/>
  <c r="BX386" i="6"/>
  <c r="BZ386" i="6" s="1"/>
  <c r="BX254" i="6"/>
  <c r="BZ254" i="6" s="1"/>
  <c r="BX276" i="6"/>
  <c r="BZ276" i="6" s="1"/>
  <c r="BX342" i="6"/>
  <c r="BZ342" i="6" s="1"/>
  <c r="BX364" i="6"/>
  <c r="BZ364" i="6" s="1"/>
  <c r="BX496" i="6"/>
  <c r="BZ496" i="6" s="1"/>
  <c r="BX320" i="6"/>
  <c r="BZ320" i="6" s="1"/>
  <c r="BX430" i="6"/>
  <c r="BZ430" i="6" s="1"/>
  <c r="BX518" i="6"/>
  <c r="BZ518" i="6" s="1"/>
  <c r="BX298" i="6"/>
  <c r="BZ298" i="6" s="1"/>
  <c r="BX474" i="6"/>
  <c r="BZ474" i="6" s="1"/>
  <c r="BX452" i="6"/>
  <c r="BZ452" i="6" s="1"/>
  <c r="BX408" i="6"/>
  <c r="BZ408" i="6" s="1"/>
  <c r="BN432" i="6"/>
  <c r="BP432" i="6" s="1"/>
  <c r="BN454" i="6"/>
  <c r="BP454" i="6" s="1"/>
  <c r="BN300" i="6"/>
  <c r="BP300" i="6" s="1"/>
  <c r="BN322" i="6"/>
  <c r="BP322" i="6" s="1"/>
  <c r="BN520" i="6"/>
  <c r="BP520" i="6" s="1"/>
  <c r="BN344" i="6"/>
  <c r="BP344" i="6" s="1"/>
  <c r="BN366" i="6"/>
  <c r="BP366" i="6" s="1"/>
  <c r="BN278" i="6"/>
  <c r="BP278" i="6" s="1"/>
  <c r="BN256" i="6"/>
  <c r="BP256" i="6" s="1"/>
  <c r="BN410" i="6"/>
  <c r="BP410" i="6" s="1"/>
  <c r="BN388" i="6"/>
  <c r="BP388" i="6" s="1"/>
  <c r="BN476" i="6"/>
  <c r="BP476" i="6" s="1"/>
  <c r="BN498" i="6"/>
  <c r="BP498" i="6" s="1"/>
  <c r="BS281" i="6"/>
  <c r="BU281" i="6" s="1"/>
  <c r="BS435" i="6"/>
  <c r="BU435" i="6" s="1"/>
  <c r="BS391" i="6"/>
  <c r="BU391" i="6" s="1"/>
  <c r="BS303" i="6"/>
  <c r="BU303" i="6" s="1"/>
  <c r="BS347" i="6"/>
  <c r="BU347" i="6" s="1"/>
  <c r="BS457" i="6"/>
  <c r="BU457" i="6" s="1"/>
  <c r="BS523" i="6"/>
  <c r="BU523" i="6" s="1"/>
  <c r="BS369" i="6"/>
  <c r="BU369" i="6" s="1"/>
  <c r="BS325" i="6"/>
  <c r="BU325" i="6" s="1"/>
  <c r="BS259" i="6"/>
  <c r="BU259" i="6" s="1"/>
  <c r="BS413" i="6"/>
  <c r="BU413" i="6" s="1"/>
  <c r="BS479" i="6"/>
  <c r="BU479" i="6" s="1"/>
  <c r="BS501" i="6"/>
  <c r="BU501" i="6" s="1"/>
  <c r="BN377" i="6"/>
  <c r="BP377" i="6" s="1"/>
  <c r="BN355" i="6"/>
  <c r="BP355" i="6" s="1"/>
  <c r="BN399" i="6"/>
  <c r="BP399" i="6" s="1"/>
  <c r="BN267" i="6"/>
  <c r="BP267" i="6" s="1"/>
  <c r="BN487" i="6"/>
  <c r="BP487" i="6" s="1"/>
  <c r="BN465" i="6"/>
  <c r="BP465" i="6" s="1"/>
  <c r="BN289" i="6"/>
  <c r="BP289" i="6" s="1"/>
  <c r="BN421" i="6"/>
  <c r="BP421" i="6" s="1"/>
  <c r="BN443" i="6"/>
  <c r="BP443" i="6" s="1"/>
  <c r="BN509" i="6"/>
  <c r="BP509" i="6" s="1"/>
  <c r="BN333" i="6"/>
  <c r="BP333" i="6" s="1"/>
  <c r="BN311" i="6"/>
  <c r="BP311" i="6" s="1"/>
  <c r="BN531" i="6"/>
  <c r="BP531" i="6" s="1"/>
  <c r="BN276" i="6"/>
  <c r="BP276" i="6" s="1"/>
  <c r="BN320" i="6"/>
  <c r="BP320" i="6" s="1"/>
  <c r="BN474" i="6"/>
  <c r="BP474" i="6" s="1"/>
  <c r="BN298" i="6"/>
  <c r="BP298" i="6" s="1"/>
  <c r="BN408" i="6"/>
  <c r="BP408" i="6" s="1"/>
  <c r="BN430" i="6"/>
  <c r="BP430" i="6" s="1"/>
  <c r="BN452" i="6"/>
  <c r="BP452" i="6" s="1"/>
  <c r="BN386" i="6"/>
  <c r="BP386" i="6" s="1"/>
  <c r="BN254" i="6"/>
  <c r="BP254" i="6" s="1"/>
  <c r="BN342" i="6"/>
  <c r="BP342" i="6" s="1"/>
  <c r="BN364" i="6"/>
  <c r="BP364" i="6" s="1"/>
  <c r="BN496" i="6"/>
  <c r="BP496" i="6" s="1"/>
  <c r="BN518" i="6"/>
  <c r="BP518" i="6" s="1"/>
  <c r="BN253" i="6"/>
  <c r="BP253" i="6" s="1"/>
  <c r="BN275" i="6"/>
  <c r="BP275" i="6" s="1"/>
  <c r="BN473" i="6"/>
  <c r="BP473" i="6" s="1"/>
  <c r="BN385" i="6"/>
  <c r="BP385" i="6" s="1"/>
  <c r="BN297" i="6"/>
  <c r="BP297" i="6" s="1"/>
  <c r="BN341" i="6"/>
  <c r="BP341" i="6" s="1"/>
  <c r="BN429" i="6"/>
  <c r="BP429" i="6" s="1"/>
  <c r="BN495" i="6"/>
  <c r="BP495" i="6" s="1"/>
  <c r="BN517" i="6"/>
  <c r="BP517" i="6" s="1"/>
  <c r="BN407" i="6"/>
  <c r="BP407" i="6" s="1"/>
  <c r="BN363" i="6"/>
  <c r="BP363" i="6" s="1"/>
  <c r="BN319" i="6"/>
  <c r="BP319" i="6" s="1"/>
  <c r="BN451" i="6"/>
  <c r="BP451" i="6" s="1"/>
  <c r="BX281" i="6"/>
  <c r="BZ281" i="6" s="1"/>
  <c r="BX303" i="6"/>
  <c r="BZ303" i="6" s="1"/>
  <c r="BX347" i="6"/>
  <c r="BZ347" i="6" s="1"/>
  <c r="BX325" i="6"/>
  <c r="BZ325" i="6" s="1"/>
  <c r="BX391" i="6"/>
  <c r="BZ391" i="6" s="1"/>
  <c r="BX435" i="6"/>
  <c r="BZ435" i="6" s="1"/>
  <c r="BX523" i="6"/>
  <c r="BZ523" i="6" s="1"/>
  <c r="BX369" i="6"/>
  <c r="BZ369" i="6" s="1"/>
  <c r="BX259" i="6"/>
  <c r="BZ259" i="6" s="1"/>
  <c r="BX457" i="6"/>
  <c r="BZ457" i="6" s="1"/>
  <c r="BX413" i="6"/>
  <c r="BZ413" i="6" s="1"/>
  <c r="BX479" i="6"/>
  <c r="BZ479" i="6" s="1"/>
  <c r="BX501" i="6"/>
  <c r="BZ501" i="6" s="1"/>
  <c r="BX299" i="6"/>
  <c r="BZ299" i="6" s="1"/>
  <c r="BX321" i="6"/>
  <c r="BZ321" i="6" s="1"/>
  <c r="BX277" i="6"/>
  <c r="BZ277" i="6" s="1"/>
  <c r="BX453" i="6"/>
  <c r="BZ453" i="6" s="1"/>
  <c r="BX409" i="6"/>
  <c r="BZ409" i="6" s="1"/>
  <c r="BX343" i="6"/>
  <c r="BZ343" i="6" s="1"/>
  <c r="BX387" i="6"/>
  <c r="BZ387" i="6" s="1"/>
  <c r="BX497" i="6"/>
  <c r="BZ497" i="6" s="1"/>
  <c r="BX255" i="6"/>
  <c r="BZ255" i="6" s="1"/>
  <c r="BX431" i="6"/>
  <c r="BZ431" i="6" s="1"/>
  <c r="BX519" i="6"/>
  <c r="BZ519" i="6" s="1"/>
  <c r="BX475" i="6"/>
  <c r="BZ475" i="6" s="1"/>
  <c r="BX365" i="6"/>
  <c r="BZ365" i="6" s="1"/>
  <c r="BX324" i="6"/>
  <c r="BZ324" i="6" s="1"/>
  <c r="BX302" i="6"/>
  <c r="BZ302" i="6" s="1"/>
  <c r="BX280" i="6"/>
  <c r="BZ280" i="6" s="1"/>
  <c r="BX522" i="6"/>
  <c r="BZ522" i="6" s="1"/>
  <c r="BX346" i="6"/>
  <c r="BZ346" i="6" s="1"/>
  <c r="BX390" i="6"/>
  <c r="BZ390" i="6" s="1"/>
  <c r="BX258" i="6"/>
  <c r="BZ258" i="6" s="1"/>
  <c r="BX500" i="6"/>
  <c r="BZ500" i="6" s="1"/>
  <c r="BX478" i="6"/>
  <c r="BZ478" i="6" s="1"/>
  <c r="BX368" i="6"/>
  <c r="BZ368" i="6" s="1"/>
  <c r="BX456" i="6"/>
  <c r="BZ456" i="6" s="1"/>
  <c r="BX412" i="6"/>
  <c r="BZ412" i="6" s="1"/>
  <c r="BX434" i="6"/>
  <c r="BZ434" i="6" s="1"/>
  <c r="BS300" i="6"/>
  <c r="BU300" i="6" s="1"/>
  <c r="BS322" i="6"/>
  <c r="BU322" i="6" s="1"/>
  <c r="BS520" i="6"/>
  <c r="BU520" i="6" s="1"/>
  <c r="BS278" i="6"/>
  <c r="BU278" i="6" s="1"/>
  <c r="BS256" i="6"/>
  <c r="BU256" i="6" s="1"/>
  <c r="BS344" i="6"/>
  <c r="BU344" i="6" s="1"/>
  <c r="BS410" i="6"/>
  <c r="BU410" i="6" s="1"/>
  <c r="BS388" i="6"/>
  <c r="BU388" i="6" s="1"/>
  <c r="BS366" i="6"/>
  <c r="BU366" i="6" s="1"/>
  <c r="BS432" i="6"/>
  <c r="BU432" i="6" s="1"/>
  <c r="BS476" i="6"/>
  <c r="BU476" i="6" s="1"/>
  <c r="BS454" i="6"/>
  <c r="BU454" i="6" s="1"/>
  <c r="BS498" i="6"/>
  <c r="BU498" i="6" s="1"/>
  <c r="BN472" i="6"/>
  <c r="BP472" i="6" s="1"/>
  <c r="BN406" i="6"/>
  <c r="BP406" i="6" s="1"/>
  <c r="BN296" i="6"/>
  <c r="BP296" i="6" s="1"/>
  <c r="BN340" i="6"/>
  <c r="BP340" i="6" s="1"/>
  <c r="BN494" i="6"/>
  <c r="BP494" i="6" s="1"/>
  <c r="BN318" i="6"/>
  <c r="BP318" i="6" s="1"/>
  <c r="BN362" i="6"/>
  <c r="BP362" i="6" s="1"/>
  <c r="BN428" i="6"/>
  <c r="BP428" i="6" s="1"/>
  <c r="BN252" i="6"/>
  <c r="BP252" i="6" s="1"/>
  <c r="BN450" i="6"/>
  <c r="BP450" i="6" s="1"/>
  <c r="BN384" i="6"/>
  <c r="BP384" i="6" s="1"/>
  <c r="BN274" i="6"/>
  <c r="BP274" i="6" s="1"/>
  <c r="BN516" i="6"/>
  <c r="BP516" i="6" s="1"/>
  <c r="BS312" i="6"/>
  <c r="BU312" i="6" s="1"/>
  <c r="BS356" i="6"/>
  <c r="BU356" i="6" s="1"/>
  <c r="BS510" i="6"/>
  <c r="BU510" i="6" s="1"/>
  <c r="BS378" i="6"/>
  <c r="BU378" i="6" s="1"/>
  <c r="BS444" i="6"/>
  <c r="BU444" i="6" s="1"/>
  <c r="BS467" i="6"/>
  <c r="BU467" i="6" s="1"/>
  <c r="BS269" i="6"/>
  <c r="BU269" i="6" s="1"/>
  <c r="BS268" i="6"/>
  <c r="BU268" i="6" s="1"/>
  <c r="BS466" i="6"/>
  <c r="BU466" i="6" s="1"/>
  <c r="BS401" i="6"/>
  <c r="BU401" i="6" s="1"/>
  <c r="BS334" i="6"/>
  <c r="BU334" i="6" s="1"/>
  <c r="BS290" i="6"/>
  <c r="BU290" i="6" s="1"/>
  <c r="BS400" i="6"/>
  <c r="BU400" i="6" s="1"/>
  <c r="BS357" i="6"/>
  <c r="BU357" i="6" s="1"/>
  <c r="BS489" i="6"/>
  <c r="BU489" i="6" s="1"/>
  <c r="BS313" i="6"/>
  <c r="BU313" i="6" s="1"/>
  <c r="BS379" i="6"/>
  <c r="BU379" i="6" s="1"/>
  <c r="BS291" i="6"/>
  <c r="BU291" i="6" s="1"/>
  <c r="BS532" i="6"/>
  <c r="BU532" i="6" s="1"/>
  <c r="BS422" i="6"/>
  <c r="BU422" i="6" s="1"/>
  <c r="BS511" i="6"/>
  <c r="BU511" i="6" s="1"/>
  <c r="BS335" i="6"/>
  <c r="BU335" i="6" s="1"/>
  <c r="BS533" i="6"/>
  <c r="BU533" i="6" s="1"/>
  <c r="BS488" i="6"/>
  <c r="BU488" i="6" s="1"/>
  <c r="BS445" i="6"/>
  <c r="BU445" i="6" s="1"/>
  <c r="BS423" i="6"/>
  <c r="BU423" i="6" s="1"/>
  <c r="BN309" i="6"/>
  <c r="BP309" i="6" s="1"/>
  <c r="BN287" i="6"/>
  <c r="BP287" i="6" s="1"/>
  <c r="BN265" i="6"/>
  <c r="BP265" i="6" s="1"/>
  <c r="BN353" i="6"/>
  <c r="BP353" i="6" s="1"/>
  <c r="BN485" i="6"/>
  <c r="BP485" i="6" s="1"/>
  <c r="BN507" i="6"/>
  <c r="BP507" i="6" s="1"/>
  <c r="BN463" i="6"/>
  <c r="BP463" i="6" s="1"/>
  <c r="BN441" i="6"/>
  <c r="BP441" i="6" s="1"/>
  <c r="BN529" i="6"/>
  <c r="BP529" i="6" s="1"/>
  <c r="BN375" i="6"/>
  <c r="BP375" i="6" s="1"/>
  <c r="BN419" i="6"/>
  <c r="BP419" i="6" s="1"/>
  <c r="BN397" i="6"/>
  <c r="BP397" i="6" s="1"/>
  <c r="BN331" i="6"/>
  <c r="BP331" i="6" s="1"/>
  <c r="BN260" i="6"/>
  <c r="BP260" i="6" s="1"/>
  <c r="BN458" i="6"/>
  <c r="BP458" i="6" s="1"/>
  <c r="BN392" i="6"/>
  <c r="BP392" i="6" s="1"/>
  <c r="BN282" i="6"/>
  <c r="BP282" i="6" s="1"/>
  <c r="BN414" i="6"/>
  <c r="BP414" i="6" s="1"/>
  <c r="BN480" i="6"/>
  <c r="BP480" i="6" s="1"/>
  <c r="BN304" i="6"/>
  <c r="BP304" i="6" s="1"/>
  <c r="BN348" i="6"/>
  <c r="BP348" i="6" s="1"/>
  <c r="BN502" i="6"/>
  <c r="BP502" i="6" s="1"/>
  <c r="BN370" i="6"/>
  <c r="BP370" i="6" s="1"/>
  <c r="BN326" i="6"/>
  <c r="BP326" i="6" s="1"/>
  <c r="BN436" i="6"/>
  <c r="BP436" i="6" s="1"/>
  <c r="BN524" i="6"/>
  <c r="BP524" i="6" s="1"/>
  <c r="BS309" i="6"/>
  <c r="BU309" i="6" s="1"/>
  <c r="BS287" i="6"/>
  <c r="BU287" i="6" s="1"/>
  <c r="BS265" i="6"/>
  <c r="BU265" i="6" s="1"/>
  <c r="BS485" i="6"/>
  <c r="BU485" i="6" s="1"/>
  <c r="BS507" i="6"/>
  <c r="BU507" i="6" s="1"/>
  <c r="BS463" i="6"/>
  <c r="BU463" i="6" s="1"/>
  <c r="BS353" i="6"/>
  <c r="BU353" i="6" s="1"/>
  <c r="BS441" i="6"/>
  <c r="BU441" i="6" s="1"/>
  <c r="BS529" i="6"/>
  <c r="BU529" i="6" s="1"/>
  <c r="BS331" i="6"/>
  <c r="BU331" i="6" s="1"/>
  <c r="BS419" i="6"/>
  <c r="BU419" i="6" s="1"/>
  <c r="BS397" i="6"/>
  <c r="BU397" i="6" s="1"/>
  <c r="BS375" i="6"/>
  <c r="BU375" i="6" s="1"/>
  <c r="BX296" i="6"/>
  <c r="BZ296" i="6" s="1"/>
  <c r="BX340" i="6"/>
  <c r="BZ340" i="6" s="1"/>
  <c r="BX406" i="6"/>
  <c r="BZ406" i="6" s="1"/>
  <c r="BX428" i="6"/>
  <c r="BZ428" i="6" s="1"/>
  <c r="BX252" i="6"/>
  <c r="BZ252" i="6" s="1"/>
  <c r="BX494" i="6"/>
  <c r="BZ494" i="6" s="1"/>
  <c r="BX274" i="6"/>
  <c r="BZ274" i="6" s="1"/>
  <c r="BX318" i="6"/>
  <c r="BZ318" i="6" s="1"/>
  <c r="BX362" i="6"/>
  <c r="BZ362" i="6" s="1"/>
  <c r="BX384" i="6"/>
  <c r="BZ384" i="6" s="1"/>
  <c r="BX472" i="6"/>
  <c r="BZ472" i="6" s="1"/>
  <c r="BX516" i="6"/>
  <c r="BZ516" i="6" s="1"/>
  <c r="BX450" i="6"/>
  <c r="BZ450" i="6" s="1"/>
  <c r="BX503" i="6"/>
  <c r="BZ503" i="6" s="1"/>
  <c r="BX261" i="6"/>
  <c r="BZ261" i="6" s="1"/>
  <c r="BX305" i="6"/>
  <c r="BZ305" i="6" s="1"/>
  <c r="BX349" i="6"/>
  <c r="BZ349" i="6" s="1"/>
  <c r="BX283" i="6"/>
  <c r="BZ283" i="6" s="1"/>
  <c r="BX327" i="6"/>
  <c r="BZ327" i="6" s="1"/>
  <c r="BX481" i="6"/>
  <c r="BZ481" i="6" s="1"/>
  <c r="BX437" i="6"/>
  <c r="BZ437" i="6" s="1"/>
  <c r="BX525" i="6"/>
  <c r="BZ525" i="6" s="1"/>
  <c r="BX415" i="6"/>
  <c r="BZ415" i="6" s="1"/>
  <c r="BX459" i="6"/>
  <c r="BZ459" i="6" s="1"/>
  <c r="BX371" i="6"/>
  <c r="BZ371" i="6" s="1"/>
  <c r="BX393" i="6"/>
  <c r="BZ393" i="6" s="1"/>
  <c r="BN115" i="6"/>
  <c r="BP115" i="6" s="1"/>
  <c r="BN202" i="6"/>
  <c r="BP202" i="6" s="1"/>
  <c r="BN159" i="6"/>
  <c r="BP159" i="6" s="1"/>
  <c r="BN246" i="6"/>
  <c r="BP246" i="6" s="1"/>
  <c r="BN203" i="6"/>
  <c r="BP203" i="6" s="1"/>
  <c r="BN137" i="6"/>
  <c r="BP137" i="6" s="1"/>
  <c r="BN225" i="6"/>
  <c r="BP225" i="6" s="1"/>
  <c r="BN158" i="6"/>
  <c r="BP158" i="6" s="1"/>
  <c r="BN181" i="6"/>
  <c r="BP181" i="6" s="1"/>
  <c r="BN136" i="6"/>
  <c r="BP136" i="6" s="1"/>
  <c r="BN180" i="6"/>
  <c r="BP180" i="6" s="1"/>
  <c r="BN247" i="6"/>
  <c r="BP247" i="6" s="1"/>
  <c r="BN224" i="6"/>
  <c r="BP224" i="6" s="1"/>
  <c r="BS99" i="6"/>
  <c r="BU99" i="6" s="1"/>
  <c r="BS209" i="6"/>
  <c r="BU209" i="6" s="1"/>
  <c r="BS231" i="6"/>
  <c r="BU231" i="6" s="1"/>
  <c r="BS165" i="6"/>
  <c r="BU165" i="6" s="1"/>
  <c r="BS187" i="6"/>
  <c r="BU187" i="6" s="1"/>
  <c r="BS143" i="6"/>
  <c r="BU143" i="6" s="1"/>
  <c r="BS121" i="6"/>
  <c r="BU121" i="6" s="1"/>
  <c r="BS104" i="6"/>
  <c r="BU104" i="6" s="1"/>
  <c r="BS126" i="6"/>
  <c r="BU126" i="6" s="1"/>
  <c r="BS170" i="6"/>
  <c r="BU170" i="6" s="1"/>
  <c r="BS192" i="6"/>
  <c r="BU192" i="6" s="1"/>
  <c r="BS148" i="6"/>
  <c r="BU148" i="6" s="1"/>
  <c r="BS214" i="6"/>
  <c r="BU214" i="6" s="1"/>
  <c r="BS236" i="6"/>
  <c r="BU236" i="6" s="1"/>
  <c r="BN107" i="6"/>
  <c r="BP107" i="6" s="1"/>
  <c r="BN173" i="6"/>
  <c r="BP173" i="6" s="1"/>
  <c r="BN239" i="6"/>
  <c r="BP239" i="6" s="1"/>
  <c r="BN195" i="6"/>
  <c r="BP195" i="6" s="1"/>
  <c r="BN217" i="6"/>
  <c r="BP217" i="6" s="1"/>
  <c r="BN151" i="6"/>
  <c r="BP151" i="6" s="1"/>
  <c r="BN129" i="6"/>
  <c r="BP129" i="6" s="1"/>
  <c r="BX108" i="6"/>
  <c r="BZ108" i="6" s="1"/>
  <c r="BX174" i="6"/>
  <c r="BZ174" i="6" s="1"/>
  <c r="BX196" i="6"/>
  <c r="BZ196" i="6" s="1"/>
  <c r="BX152" i="6"/>
  <c r="BZ152" i="6" s="1"/>
  <c r="BX218" i="6"/>
  <c r="BZ218" i="6" s="1"/>
  <c r="BX240" i="6"/>
  <c r="BZ240" i="6" s="1"/>
  <c r="BX130" i="6"/>
  <c r="BZ130" i="6" s="1"/>
  <c r="BX97" i="6"/>
  <c r="BZ97" i="6" s="1"/>
  <c r="BX229" i="6"/>
  <c r="BZ229" i="6" s="1"/>
  <c r="BX163" i="6"/>
  <c r="BZ163" i="6" s="1"/>
  <c r="BX207" i="6"/>
  <c r="BZ207" i="6" s="1"/>
  <c r="BX185" i="6"/>
  <c r="BZ185" i="6" s="1"/>
  <c r="BX119" i="6"/>
  <c r="BZ119" i="6" s="1"/>
  <c r="BX141" i="6"/>
  <c r="BZ141" i="6" s="1"/>
  <c r="BX103" i="6"/>
  <c r="BZ103" i="6" s="1"/>
  <c r="BX213" i="6"/>
  <c r="BZ213" i="6" s="1"/>
  <c r="BX235" i="6"/>
  <c r="BZ235" i="6" s="1"/>
  <c r="BX125" i="6"/>
  <c r="BZ125" i="6" s="1"/>
  <c r="BX147" i="6"/>
  <c r="BZ147" i="6" s="1"/>
  <c r="BX191" i="6"/>
  <c r="BZ191" i="6" s="1"/>
  <c r="BX169" i="6"/>
  <c r="BZ169" i="6" s="1"/>
  <c r="BN103" i="6"/>
  <c r="BP103" i="6" s="1"/>
  <c r="BN169" i="6"/>
  <c r="BP169" i="6" s="1"/>
  <c r="BN125" i="6"/>
  <c r="BP125" i="6" s="1"/>
  <c r="BN235" i="6"/>
  <c r="BP235" i="6" s="1"/>
  <c r="BN147" i="6"/>
  <c r="BP147" i="6" s="1"/>
  <c r="BN191" i="6"/>
  <c r="BP191" i="6" s="1"/>
  <c r="BN213" i="6"/>
  <c r="BP213" i="6" s="1"/>
  <c r="BN108" i="6"/>
  <c r="BP108" i="6" s="1"/>
  <c r="BN196" i="6"/>
  <c r="BP196" i="6" s="1"/>
  <c r="BN152" i="6"/>
  <c r="BP152" i="6" s="1"/>
  <c r="BN130" i="6"/>
  <c r="BP130" i="6" s="1"/>
  <c r="BN240" i="6"/>
  <c r="BP240" i="6" s="1"/>
  <c r="BN174" i="6"/>
  <c r="BP174" i="6" s="1"/>
  <c r="BN218" i="6"/>
  <c r="BP218" i="6" s="1"/>
  <c r="BX112" i="6"/>
  <c r="BZ112" i="6" s="1"/>
  <c r="BX244" i="6"/>
  <c r="BZ244" i="6" s="1"/>
  <c r="BX134" i="6"/>
  <c r="BZ134" i="6" s="1"/>
  <c r="BX222" i="6"/>
  <c r="BZ222" i="6" s="1"/>
  <c r="BX200" i="6"/>
  <c r="BZ200" i="6" s="1"/>
  <c r="BX156" i="6"/>
  <c r="BZ156" i="6" s="1"/>
  <c r="BX178" i="6"/>
  <c r="BZ178" i="6" s="1"/>
  <c r="BX115" i="6"/>
  <c r="BZ115" i="6" s="1"/>
  <c r="BX137" i="6"/>
  <c r="BZ137" i="6" s="1"/>
  <c r="BX225" i="6"/>
  <c r="BZ225" i="6" s="1"/>
  <c r="BX181" i="6"/>
  <c r="BZ181" i="6" s="1"/>
  <c r="BX136" i="6"/>
  <c r="BZ136" i="6" s="1"/>
  <c r="BX246" i="6"/>
  <c r="BZ246" i="6" s="1"/>
  <c r="BX180" i="6"/>
  <c r="BZ180" i="6" s="1"/>
  <c r="BX247" i="6"/>
  <c r="BZ247" i="6" s="1"/>
  <c r="BX202" i="6"/>
  <c r="BZ202" i="6" s="1"/>
  <c r="BX158" i="6"/>
  <c r="BZ158" i="6" s="1"/>
  <c r="BX159" i="6"/>
  <c r="BZ159" i="6" s="1"/>
  <c r="BX203" i="6"/>
  <c r="BZ203" i="6" s="1"/>
  <c r="BX224" i="6"/>
  <c r="BZ224" i="6" s="1"/>
  <c r="BX100" i="6"/>
  <c r="BZ100" i="6" s="1"/>
  <c r="BX210" i="6"/>
  <c r="BZ210" i="6" s="1"/>
  <c r="BX232" i="6"/>
  <c r="BZ232" i="6" s="1"/>
  <c r="BX188" i="6"/>
  <c r="BZ188" i="6" s="1"/>
  <c r="BX166" i="6"/>
  <c r="BZ166" i="6" s="1"/>
  <c r="BX122" i="6"/>
  <c r="BZ122" i="6" s="1"/>
  <c r="BX144" i="6"/>
  <c r="BZ144" i="6" s="1"/>
  <c r="BN102" i="6"/>
  <c r="BP102" i="6" s="1"/>
  <c r="BN146" i="6"/>
  <c r="BP146" i="6" s="1"/>
  <c r="BN234" i="6"/>
  <c r="BP234" i="6" s="1"/>
  <c r="BN212" i="6"/>
  <c r="BP212" i="6" s="1"/>
  <c r="BN168" i="6"/>
  <c r="BP168" i="6" s="1"/>
  <c r="BN190" i="6"/>
  <c r="BP190" i="6" s="1"/>
  <c r="BN124" i="6"/>
  <c r="BP124" i="6" s="1"/>
  <c r="BS105" i="6"/>
  <c r="BU105" i="6" s="1"/>
  <c r="BS149" i="6"/>
  <c r="BU149" i="6" s="1"/>
  <c r="BS215" i="6"/>
  <c r="BU215" i="6" s="1"/>
  <c r="BS237" i="6"/>
  <c r="BU237" i="6" s="1"/>
  <c r="BS127" i="6"/>
  <c r="BU127" i="6" s="1"/>
  <c r="BS171" i="6"/>
  <c r="BU171" i="6" s="1"/>
  <c r="BS193" i="6"/>
  <c r="BU193" i="6" s="1"/>
  <c r="BN113" i="6"/>
  <c r="BP113" i="6" s="1"/>
  <c r="BN179" i="6"/>
  <c r="BP179" i="6" s="1"/>
  <c r="BN201" i="6"/>
  <c r="BP201" i="6" s="1"/>
  <c r="BN157" i="6"/>
  <c r="BP157" i="6" s="1"/>
  <c r="BN223" i="6"/>
  <c r="BP223" i="6" s="1"/>
  <c r="BN245" i="6"/>
  <c r="BP245" i="6" s="1"/>
  <c r="BN135" i="6"/>
  <c r="BP135" i="6" s="1"/>
  <c r="BN100" i="6"/>
  <c r="BP100" i="6" s="1"/>
  <c r="BN232" i="6"/>
  <c r="BP232" i="6" s="1"/>
  <c r="BN166" i="6"/>
  <c r="BP166" i="6" s="1"/>
  <c r="BN210" i="6"/>
  <c r="BP210" i="6" s="1"/>
  <c r="BN188" i="6"/>
  <c r="BP188" i="6" s="1"/>
  <c r="BN144" i="6"/>
  <c r="BP144" i="6" s="1"/>
  <c r="BN122" i="6"/>
  <c r="BP122" i="6" s="1"/>
  <c r="BN99" i="6"/>
  <c r="BP99" i="6" s="1"/>
  <c r="BN209" i="6"/>
  <c r="BP209" i="6" s="1"/>
  <c r="BN187" i="6"/>
  <c r="BP187" i="6" s="1"/>
  <c r="BN231" i="6"/>
  <c r="BP231" i="6" s="1"/>
  <c r="BN165" i="6"/>
  <c r="BP165" i="6" s="1"/>
  <c r="BN143" i="6"/>
  <c r="BP143" i="6" s="1"/>
  <c r="BN121" i="6"/>
  <c r="BP121" i="6" s="1"/>
  <c r="BX105" i="6"/>
  <c r="BZ105" i="6" s="1"/>
  <c r="BX215" i="6"/>
  <c r="BZ215" i="6" s="1"/>
  <c r="BX193" i="6"/>
  <c r="BZ193" i="6" s="1"/>
  <c r="BX127" i="6"/>
  <c r="BZ127" i="6" s="1"/>
  <c r="BX149" i="6"/>
  <c r="BZ149" i="6" s="1"/>
  <c r="BX237" i="6"/>
  <c r="BZ237" i="6" s="1"/>
  <c r="BX171" i="6"/>
  <c r="BZ171" i="6" s="1"/>
  <c r="BX101" i="6"/>
  <c r="BZ101" i="6" s="1"/>
  <c r="BX211" i="6"/>
  <c r="BZ211" i="6" s="1"/>
  <c r="BX189" i="6"/>
  <c r="BZ189" i="6" s="1"/>
  <c r="BX233" i="6"/>
  <c r="BZ233" i="6" s="1"/>
  <c r="BX145" i="6"/>
  <c r="BZ145" i="6" s="1"/>
  <c r="BX167" i="6"/>
  <c r="BZ167" i="6" s="1"/>
  <c r="BX123" i="6"/>
  <c r="BZ123" i="6" s="1"/>
  <c r="BX104" i="6"/>
  <c r="BZ104" i="6" s="1"/>
  <c r="BX170" i="6"/>
  <c r="BZ170" i="6" s="1"/>
  <c r="BX192" i="6"/>
  <c r="BZ192" i="6" s="1"/>
  <c r="BX148" i="6"/>
  <c r="BZ148" i="6" s="1"/>
  <c r="BX236" i="6"/>
  <c r="BZ236" i="6" s="1"/>
  <c r="BX214" i="6"/>
  <c r="BZ214" i="6" s="1"/>
  <c r="BX126" i="6"/>
  <c r="BZ126" i="6" s="1"/>
  <c r="BS102" i="6"/>
  <c r="BU102" i="6" s="1"/>
  <c r="BS146" i="6"/>
  <c r="BU146" i="6" s="1"/>
  <c r="BS234" i="6"/>
  <c r="BU234" i="6" s="1"/>
  <c r="BS212" i="6"/>
  <c r="BU212" i="6" s="1"/>
  <c r="BS168" i="6"/>
  <c r="BU168" i="6" s="1"/>
  <c r="BS190" i="6"/>
  <c r="BU190" i="6" s="1"/>
  <c r="BS124" i="6"/>
  <c r="BU124" i="6" s="1"/>
  <c r="BN98" i="6"/>
  <c r="BP98" i="6" s="1"/>
  <c r="BN208" i="6"/>
  <c r="BP208" i="6" s="1"/>
  <c r="BN230" i="6"/>
  <c r="BP230" i="6" s="1"/>
  <c r="BN164" i="6"/>
  <c r="BP164" i="6" s="1"/>
  <c r="BN186" i="6"/>
  <c r="BP186" i="6" s="1"/>
  <c r="BN120" i="6"/>
  <c r="BP120" i="6" s="1"/>
  <c r="BN142" i="6"/>
  <c r="BP142" i="6" s="1"/>
  <c r="BS115" i="6"/>
  <c r="BU115" i="6" s="1"/>
  <c r="BS246" i="6"/>
  <c r="BU246" i="6" s="1"/>
  <c r="BS159" i="6"/>
  <c r="BU159" i="6" s="1"/>
  <c r="BS137" i="6"/>
  <c r="BU137" i="6" s="1"/>
  <c r="BS225" i="6"/>
  <c r="BU225" i="6" s="1"/>
  <c r="BS224" i="6"/>
  <c r="BU224" i="6" s="1"/>
  <c r="BS181" i="6"/>
  <c r="BU181" i="6" s="1"/>
  <c r="BS136" i="6"/>
  <c r="BU136" i="6" s="1"/>
  <c r="BS180" i="6"/>
  <c r="BU180" i="6" s="1"/>
  <c r="BS247" i="6"/>
  <c r="BU247" i="6" s="1"/>
  <c r="BS203" i="6"/>
  <c r="BU203" i="6" s="1"/>
  <c r="BS202" i="6"/>
  <c r="BU202" i="6" s="1"/>
  <c r="BS158" i="6"/>
  <c r="BU158" i="6" s="1"/>
  <c r="BN111" i="6"/>
  <c r="BP111" i="6" s="1"/>
  <c r="BN133" i="6"/>
  <c r="BP133" i="6" s="1"/>
  <c r="BN155" i="6"/>
  <c r="BP155" i="6" s="1"/>
  <c r="BN199" i="6"/>
  <c r="BP199" i="6" s="1"/>
  <c r="BN221" i="6"/>
  <c r="BP221" i="6" s="1"/>
  <c r="BN177" i="6"/>
  <c r="BP177" i="6" s="1"/>
  <c r="BN243" i="6"/>
  <c r="BP243" i="6" s="1"/>
  <c r="BN106" i="6"/>
  <c r="BP106" i="6" s="1"/>
  <c r="BN194" i="6"/>
  <c r="BP194" i="6" s="1"/>
  <c r="BN216" i="6"/>
  <c r="BP216" i="6" s="1"/>
  <c r="BN128" i="6"/>
  <c r="BP128" i="6" s="1"/>
  <c r="BN172" i="6"/>
  <c r="BP172" i="6" s="1"/>
  <c r="BN150" i="6"/>
  <c r="BP150" i="6" s="1"/>
  <c r="BN238" i="6"/>
  <c r="BP238" i="6" s="1"/>
  <c r="BS111" i="6"/>
  <c r="BU111" i="6" s="1"/>
  <c r="BS133" i="6"/>
  <c r="BU133" i="6" s="1"/>
  <c r="BS155" i="6"/>
  <c r="BU155" i="6" s="1"/>
  <c r="BS199" i="6"/>
  <c r="BU199" i="6" s="1"/>
  <c r="BS177" i="6"/>
  <c r="BU177" i="6" s="1"/>
  <c r="BS243" i="6"/>
  <c r="BU243" i="6" s="1"/>
  <c r="BS221" i="6"/>
  <c r="BU221" i="6" s="1"/>
  <c r="BX98" i="6"/>
  <c r="BZ98" i="6" s="1"/>
  <c r="BX230" i="6"/>
  <c r="BZ230" i="6" s="1"/>
  <c r="BX164" i="6"/>
  <c r="BZ164" i="6" s="1"/>
  <c r="BX208" i="6"/>
  <c r="BZ208" i="6" s="1"/>
  <c r="BX186" i="6"/>
  <c r="BZ186" i="6" s="1"/>
  <c r="BX142" i="6"/>
  <c r="BZ142" i="6" s="1"/>
  <c r="BX120" i="6"/>
  <c r="BZ120" i="6" s="1"/>
  <c r="BX107" i="6"/>
  <c r="BZ107" i="6" s="1"/>
  <c r="BX239" i="6"/>
  <c r="BZ239" i="6" s="1"/>
  <c r="BX195" i="6"/>
  <c r="BZ195" i="6" s="1"/>
  <c r="BX217" i="6"/>
  <c r="BZ217" i="6" s="1"/>
  <c r="BX151" i="6"/>
  <c r="BZ151" i="6" s="1"/>
  <c r="BX173" i="6"/>
  <c r="BZ173" i="6" s="1"/>
  <c r="BX129" i="6"/>
  <c r="BZ129" i="6" s="1"/>
  <c r="BS97" i="6"/>
  <c r="BU97" i="6" s="1"/>
  <c r="BS207" i="6"/>
  <c r="BU207" i="6" s="1"/>
  <c r="BS185" i="6"/>
  <c r="BU185" i="6" s="1"/>
  <c r="BS229" i="6"/>
  <c r="BU229" i="6" s="1"/>
  <c r="BS163" i="6"/>
  <c r="BU163" i="6" s="1"/>
  <c r="BS119" i="6"/>
  <c r="BU119" i="6" s="1"/>
  <c r="BS141" i="6"/>
  <c r="BU141" i="6" s="1"/>
  <c r="BN105" i="6"/>
  <c r="BP105" i="6" s="1"/>
  <c r="BN149" i="6"/>
  <c r="BP149" i="6" s="1"/>
  <c r="BN171" i="6"/>
  <c r="BP171" i="6" s="1"/>
  <c r="BN193" i="6"/>
  <c r="BP193" i="6" s="1"/>
  <c r="BN215" i="6"/>
  <c r="BP215" i="6" s="1"/>
  <c r="BN237" i="6"/>
  <c r="BP237" i="6" s="1"/>
  <c r="BN127" i="6"/>
  <c r="BP127" i="6" s="1"/>
  <c r="BS106" i="6"/>
  <c r="BU106" i="6" s="1"/>
  <c r="BS128" i="6"/>
  <c r="BU128" i="6" s="1"/>
  <c r="BS172" i="6"/>
  <c r="BU172" i="6" s="1"/>
  <c r="BS150" i="6"/>
  <c r="BU150" i="6" s="1"/>
  <c r="BS216" i="6"/>
  <c r="BU216" i="6" s="1"/>
  <c r="BS194" i="6"/>
  <c r="BU194" i="6" s="1"/>
  <c r="BS238" i="6"/>
  <c r="BU238" i="6" s="1"/>
  <c r="BX102" i="6"/>
  <c r="BZ102" i="6" s="1"/>
  <c r="BX146" i="6"/>
  <c r="BZ146" i="6" s="1"/>
  <c r="BX234" i="6"/>
  <c r="BZ234" i="6" s="1"/>
  <c r="BX212" i="6"/>
  <c r="BZ212" i="6" s="1"/>
  <c r="BX168" i="6"/>
  <c r="BZ168" i="6" s="1"/>
  <c r="BX190" i="6"/>
  <c r="BZ190" i="6" s="1"/>
  <c r="BX124" i="6"/>
  <c r="BZ124" i="6" s="1"/>
  <c r="BN109" i="6"/>
  <c r="BP109" i="6" s="1"/>
  <c r="BN175" i="6"/>
  <c r="BP175" i="6" s="1"/>
  <c r="BN197" i="6"/>
  <c r="BP197" i="6" s="1"/>
  <c r="BN153" i="6"/>
  <c r="BP153" i="6" s="1"/>
  <c r="BN219" i="6"/>
  <c r="BP219" i="6" s="1"/>
  <c r="BN241" i="6"/>
  <c r="BP241" i="6" s="1"/>
  <c r="BN131" i="6"/>
  <c r="BP131" i="6" s="1"/>
  <c r="BN97" i="6"/>
  <c r="BP97" i="6" s="1"/>
  <c r="BN229" i="6"/>
  <c r="BP229" i="6" s="1"/>
  <c r="BN207" i="6"/>
  <c r="BP207" i="6" s="1"/>
  <c r="BN163" i="6"/>
  <c r="BP163" i="6" s="1"/>
  <c r="BN185" i="6"/>
  <c r="BP185" i="6" s="1"/>
  <c r="BN119" i="6"/>
  <c r="BP119" i="6" s="1"/>
  <c r="BN141" i="6"/>
  <c r="BP141" i="6" s="1"/>
  <c r="BS96" i="6"/>
  <c r="BU96" i="6" s="1"/>
  <c r="BS206" i="6"/>
  <c r="BU206" i="6" s="1"/>
  <c r="BS184" i="6"/>
  <c r="BU184" i="6" s="1"/>
  <c r="BS118" i="6"/>
  <c r="BU118" i="6" s="1"/>
  <c r="BS228" i="6"/>
  <c r="BU228" i="6" s="1"/>
  <c r="BS162" i="6"/>
  <c r="BU162" i="6" s="1"/>
  <c r="BS140" i="6"/>
  <c r="BU140" i="6" s="1"/>
  <c r="BS250" i="6"/>
  <c r="BU250" i="6" s="1"/>
  <c r="BN96" i="6"/>
  <c r="BP96" i="6" s="1"/>
  <c r="BN206" i="6"/>
  <c r="BP206" i="6" s="1"/>
  <c r="BN184" i="6"/>
  <c r="BP184" i="6" s="1"/>
  <c r="BN162" i="6"/>
  <c r="BP162" i="6" s="1"/>
  <c r="BN118" i="6"/>
  <c r="BP118" i="6" s="1"/>
  <c r="BN250" i="6"/>
  <c r="BP250" i="6" s="1"/>
  <c r="BN140" i="6"/>
  <c r="BP140" i="6" s="1"/>
  <c r="BN228" i="6"/>
  <c r="BP228" i="6" s="1"/>
  <c r="BX109" i="6"/>
  <c r="BZ109" i="6" s="1"/>
  <c r="BX131" i="6"/>
  <c r="BZ131" i="6" s="1"/>
  <c r="BX153" i="6"/>
  <c r="BZ153" i="6" s="1"/>
  <c r="BX241" i="6"/>
  <c r="BZ241" i="6" s="1"/>
  <c r="BX175" i="6"/>
  <c r="BZ175" i="6" s="1"/>
  <c r="BX219" i="6"/>
  <c r="BZ219" i="6" s="1"/>
  <c r="BX197" i="6"/>
  <c r="BZ197" i="6" s="1"/>
  <c r="BN112" i="6"/>
  <c r="BP112" i="6" s="1"/>
  <c r="BN156" i="6"/>
  <c r="BP156" i="6" s="1"/>
  <c r="BN134" i="6"/>
  <c r="BP134" i="6" s="1"/>
  <c r="BN222" i="6"/>
  <c r="BP222" i="6" s="1"/>
  <c r="BN244" i="6"/>
  <c r="BP244" i="6" s="1"/>
  <c r="BN178" i="6"/>
  <c r="BP178" i="6" s="1"/>
  <c r="BN200" i="6"/>
  <c r="BP200" i="6" s="1"/>
  <c r="BS101" i="6"/>
  <c r="BU101" i="6" s="1"/>
  <c r="BS167" i="6"/>
  <c r="BU167" i="6" s="1"/>
  <c r="BS189" i="6"/>
  <c r="BU189" i="6" s="1"/>
  <c r="BS123" i="6"/>
  <c r="BU123" i="6" s="1"/>
  <c r="BS211" i="6"/>
  <c r="BU211" i="6" s="1"/>
  <c r="BS233" i="6"/>
  <c r="BU233" i="6" s="1"/>
  <c r="BS145" i="6"/>
  <c r="BU145" i="6" s="1"/>
  <c r="BS110" i="6"/>
  <c r="BU110" i="6" s="1"/>
  <c r="BS198" i="6"/>
  <c r="BU198" i="6" s="1"/>
  <c r="BS132" i="6"/>
  <c r="BU132" i="6" s="1"/>
  <c r="BS154" i="6"/>
  <c r="BU154" i="6" s="1"/>
  <c r="BS220" i="6"/>
  <c r="BU220" i="6" s="1"/>
  <c r="BS176" i="6"/>
  <c r="BU176" i="6" s="1"/>
  <c r="BS242" i="6"/>
  <c r="BU242" i="6" s="1"/>
  <c r="BN110" i="6"/>
  <c r="BP110" i="6" s="1"/>
  <c r="BN242" i="6"/>
  <c r="BP242" i="6" s="1"/>
  <c r="BN176" i="6"/>
  <c r="BP176" i="6" s="1"/>
  <c r="BN132" i="6"/>
  <c r="BP132" i="6" s="1"/>
  <c r="BN220" i="6"/>
  <c r="BP220" i="6" s="1"/>
  <c r="BN198" i="6"/>
  <c r="BP198" i="6" s="1"/>
  <c r="BN154" i="6"/>
  <c r="BP154" i="6" s="1"/>
  <c r="BS100" i="6"/>
  <c r="BU100" i="6" s="1"/>
  <c r="BS210" i="6"/>
  <c r="BU210" i="6" s="1"/>
  <c r="BS232" i="6"/>
  <c r="BU232" i="6" s="1"/>
  <c r="BS188" i="6"/>
  <c r="BU188" i="6" s="1"/>
  <c r="BS166" i="6"/>
  <c r="BU166" i="6" s="1"/>
  <c r="BS122" i="6"/>
  <c r="BU122" i="6" s="1"/>
  <c r="BS144" i="6"/>
  <c r="BU144" i="6" s="1"/>
  <c r="BN101" i="6"/>
  <c r="BP101" i="6" s="1"/>
  <c r="BN167" i="6"/>
  <c r="BP167" i="6" s="1"/>
  <c r="BN189" i="6"/>
  <c r="BP189" i="6" s="1"/>
  <c r="BN123" i="6"/>
  <c r="BP123" i="6" s="1"/>
  <c r="BN211" i="6"/>
  <c r="BP211" i="6" s="1"/>
  <c r="BN233" i="6"/>
  <c r="BP233" i="6" s="1"/>
  <c r="BN145" i="6"/>
  <c r="BP145" i="6" s="1"/>
  <c r="BS98" i="6"/>
  <c r="BU98" i="6" s="1"/>
  <c r="BS230" i="6"/>
  <c r="BU230" i="6" s="1"/>
  <c r="BS164" i="6"/>
  <c r="BU164" i="6" s="1"/>
  <c r="BS208" i="6"/>
  <c r="BU208" i="6" s="1"/>
  <c r="BS186" i="6"/>
  <c r="BU186" i="6" s="1"/>
  <c r="BS142" i="6"/>
  <c r="BU142" i="6" s="1"/>
  <c r="BS120" i="6"/>
  <c r="BU120" i="6" s="1"/>
  <c r="BX111" i="6"/>
  <c r="BZ111" i="6" s="1"/>
  <c r="BX155" i="6"/>
  <c r="BZ155" i="6" s="1"/>
  <c r="BX199" i="6"/>
  <c r="BZ199" i="6" s="1"/>
  <c r="BX177" i="6"/>
  <c r="BZ177" i="6" s="1"/>
  <c r="BX133" i="6"/>
  <c r="BZ133" i="6" s="1"/>
  <c r="BX243" i="6"/>
  <c r="BZ243" i="6" s="1"/>
  <c r="BX221" i="6"/>
  <c r="BZ221" i="6" s="1"/>
  <c r="BX110" i="6"/>
  <c r="BZ110" i="6" s="1"/>
  <c r="BX132" i="6"/>
  <c r="BZ132" i="6" s="1"/>
  <c r="BX154" i="6"/>
  <c r="BZ154" i="6" s="1"/>
  <c r="BX242" i="6"/>
  <c r="BZ242" i="6" s="1"/>
  <c r="BX220" i="6"/>
  <c r="BZ220" i="6" s="1"/>
  <c r="BX176" i="6"/>
  <c r="BZ176" i="6" s="1"/>
  <c r="BX198" i="6"/>
  <c r="BZ198" i="6" s="1"/>
  <c r="BS112" i="6"/>
  <c r="BU112" i="6" s="1"/>
  <c r="BS244" i="6"/>
  <c r="BU244" i="6" s="1"/>
  <c r="BS156" i="6"/>
  <c r="BU156" i="6" s="1"/>
  <c r="BS134" i="6"/>
  <c r="BU134" i="6" s="1"/>
  <c r="BS222" i="6"/>
  <c r="BU222" i="6" s="1"/>
  <c r="BS200" i="6"/>
  <c r="BU200" i="6" s="1"/>
  <c r="BS178" i="6"/>
  <c r="BU178" i="6" s="1"/>
  <c r="BS108" i="6"/>
  <c r="BU108" i="6" s="1"/>
  <c r="BS240" i="6"/>
  <c r="BU240" i="6" s="1"/>
  <c r="BS130" i="6"/>
  <c r="BU130" i="6" s="1"/>
  <c r="BS174" i="6"/>
  <c r="BU174" i="6" s="1"/>
  <c r="BS196" i="6"/>
  <c r="BU196" i="6" s="1"/>
  <c r="BS152" i="6"/>
  <c r="BU152" i="6" s="1"/>
  <c r="BS218" i="6"/>
  <c r="BU218" i="6" s="1"/>
  <c r="BS109" i="6"/>
  <c r="BU109" i="6" s="1"/>
  <c r="BS153" i="6"/>
  <c r="BU153" i="6" s="1"/>
  <c r="BS219" i="6"/>
  <c r="BU219" i="6" s="1"/>
  <c r="BS241" i="6"/>
  <c r="BU241" i="6" s="1"/>
  <c r="BS197" i="6"/>
  <c r="BU197" i="6" s="1"/>
  <c r="BS131" i="6"/>
  <c r="BU131" i="6" s="1"/>
  <c r="BS175" i="6"/>
  <c r="BU175" i="6" s="1"/>
  <c r="BS113" i="6"/>
  <c r="BU113" i="6" s="1"/>
  <c r="BS179" i="6"/>
  <c r="BU179" i="6" s="1"/>
  <c r="BS201" i="6"/>
  <c r="BU201" i="6" s="1"/>
  <c r="BS157" i="6"/>
  <c r="BU157" i="6" s="1"/>
  <c r="BS223" i="6"/>
  <c r="BU223" i="6" s="1"/>
  <c r="BS135" i="6"/>
  <c r="BU135" i="6" s="1"/>
  <c r="BS245" i="6"/>
  <c r="BU245" i="6" s="1"/>
  <c r="BS103" i="6"/>
  <c r="BU103" i="6" s="1"/>
  <c r="BS125" i="6"/>
  <c r="BU125" i="6" s="1"/>
  <c r="BS235" i="6"/>
  <c r="BU235" i="6" s="1"/>
  <c r="BS169" i="6"/>
  <c r="BU169" i="6" s="1"/>
  <c r="BS213" i="6"/>
  <c r="BU213" i="6" s="1"/>
  <c r="BS191" i="6"/>
  <c r="BU191" i="6" s="1"/>
  <c r="BS147" i="6"/>
  <c r="BU147" i="6" s="1"/>
  <c r="BX106" i="6"/>
  <c r="BZ106" i="6" s="1"/>
  <c r="BX172" i="6"/>
  <c r="BZ172" i="6" s="1"/>
  <c r="BX150" i="6"/>
  <c r="BZ150" i="6" s="1"/>
  <c r="BX216" i="6"/>
  <c r="BZ216" i="6" s="1"/>
  <c r="BX128" i="6"/>
  <c r="BZ128" i="6" s="1"/>
  <c r="BX238" i="6"/>
  <c r="BZ238" i="6" s="1"/>
  <c r="BX194" i="6"/>
  <c r="BZ194" i="6" s="1"/>
  <c r="BX96" i="6"/>
  <c r="BZ96" i="6" s="1"/>
  <c r="BX184" i="6"/>
  <c r="BZ184" i="6" s="1"/>
  <c r="BX206" i="6"/>
  <c r="BZ206" i="6" s="1"/>
  <c r="BX250" i="6"/>
  <c r="BZ250" i="6" s="1"/>
  <c r="BX162" i="6"/>
  <c r="BZ162" i="6" s="1"/>
  <c r="BX140" i="6"/>
  <c r="BZ140" i="6" s="1"/>
  <c r="BX228" i="6"/>
  <c r="BZ228" i="6" s="1"/>
  <c r="BX118" i="6"/>
  <c r="BZ118" i="6" s="1"/>
  <c r="BX113" i="6"/>
  <c r="BZ113" i="6" s="1"/>
  <c r="BX245" i="6"/>
  <c r="BZ245" i="6" s="1"/>
  <c r="BX179" i="6"/>
  <c r="BZ179" i="6" s="1"/>
  <c r="BX223" i="6"/>
  <c r="BZ223" i="6" s="1"/>
  <c r="BX201" i="6"/>
  <c r="BZ201" i="6" s="1"/>
  <c r="BX135" i="6"/>
  <c r="BZ135" i="6" s="1"/>
  <c r="BX157" i="6"/>
  <c r="BZ157" i="6" s="1"/>
  <c r="AA19" i="2"/>
  <c r="AA20" i="2" s="1"/>
  <c r="AA22" i="2" s="1"/>
  <c r="BX114" i="6"/>
  <c r="BZ114" i="6" s="1"/>
  <c r="H69" i="14"/>
  <c r="H27" i="14" s="1"/>
  <c r="L654" i="6"/>
  <c r="U654" i="6" s="1"/>
  <c r="H858" i="9"/>
  <c r="I858" i="9"/>
  <c r="AA25" i="2"/>
  <c r="L764" i="6"/>
  <c r="U764" i="6" s="1"/>
  <c r="L740" i="6"/>
  <c r="L743" i="6" s="1"/>
  <c r="U743" i="6" s="1"/>
  <c r="AF32" i="8"/>
  <c r="D663" i="11"/>
  <c r="AT32" i="8"/>
  <c r="AH32" i="8"/>
  <c r="AR32" i="8"/>
  <c r="AI32" i="8"/>
  <c r="AG32" i="8"/>
  <c r="AS32" i="8"/>
  <c r="AQ32" i="8"/>
  <c r="BS114" i="6"/>
  <c r="BU114" i="6" s="1"/>
  <c r="BN114" i="6"/>
  <c r="BP114" i="6" s="1"/>
  <c r="U838" i="6"/>
  <c r="AA14" i="2"/>
  <c r="AA16" i="2" s="1"/>
  <c r="P12" i="8" s="1"/>
  <c r="AL12" i="8" s="1"/>
  <c r="U967" i="6"/>
  <c r="L16" i="2" s="1"/>
  <c r="L71" i="14"/>
  <c r="Q669" i="11"/>
  <c r="Q676" i="11" s="1"/>
  <c r="R204" i="9"/>
  <c r="S204" i="9" s="1"/>
  <c r="T204" i="9" s="1"/>
  <c r="K669" i="11"/>
  <c r="K676" i="11" s="1"/>
  <c r="F71" i="14"/>
  <c r="D71" i="14"/>
  <c r="I669" i="11"/>
  <c r="I676" i="11" s="1"/>
  <c r="H669" i="11"/>
  <c r="H676" i="11" s="1"/>
  <c r="C71" i="14"/>
  <c r="J71" i="14"/>
  <c r="O669" i="11"/>
  <c r="O676" i="11" s="1"/>
  <c r="L669" i="11"/>
  <c r="L676" i="11" s="1"/>
  <c r="G71" i="14"/>
  <c r="M71" i="14"/>
  <c r="R669" i="11"/>
  <c r="R676" i="11" s="1"/>
  <c r="N669" i="11"/>
  <c r="N676" i="11" s="1"/>
  <c r="I71" i="14"/>
  <c r="P692" i="9"/>
  <c r="M669" i="11"/>
  <c r="M676" i="11" s="1"/>
  <c r="H71" i="14"/>
  <c r="U800" i="6"/>
  <c r="U1411" i="6"/>
  <c r="G669" i="11"/>
  <c r="G676" i="11" s="1"/>
  <c r="K862" i="9"/>
  <c r="U1412" i="6"/>
  <c r="U890" i="6"/>
  <c r="U884" i="6"/>
  <c r="U892" i="6"/>
  <c r="U802" i="6"/>
  <c r="U893" i="6"/>
  <c r="B71" i="14"/>
  <c r="U895" i="6"/>
  <c r="U891" i="6"/>
  <c r="I861" i="9"/>
  <c r="P669" i="11"/>
  <c r="P676" i="11" s="1"/>
  <c r="K71" i="14"/>
  <c r="R98" i="9"/>
  <c r="J669" i="11"/>
  <c r="J676" i="11" s="1"/>
  <c r="E71" i="14"/>
  <c r="U815" i="6" l="1"/>
  <c r="L11" i="2" s="1"/>
  <c r="L638" i="6"/>
  <c r="L600" i="6"/>
  <c r="L601" i="6" s="1"/>
  <c r="L623" i="6" s="1"/>
  <c r="BK253" i="6"/>
  <c r="Q253" i="6" s="1"/>
  <c r="S253" i="6" s="1"/>
  <c r="U253" i="6" s="1"/>
  <c r="BK275" i="6"/>
  <c r="Q275" i="6" s="1"/>
  <c r="S275" i="6" s="1"/>
  <c r="U275" i="6" s="1"/>
  <c r="BK473" i="6"/>
  <c r="Q473" i="6" s="1"/>
  <c r="S473" i="6" s="1"/>
  <c r="U473" i="6" s="1"/>
  <c r="BK385" i="6"/>
  <c r="Q385" i="6" s="1"/>
  <c r="S385" i="6" s="1"/>
  <c r="U385" i="6" s="1"/>
  <c r="BK517" i="6"/>
  <c r="Q517" i="6" s="1"/>
  <c r="S517" i="6" s="1"/>
  <c r="U517" i="6" s="1"/>
  <c r="BK407" i="6"/>
  <c r="Q407" i="6" s="1"/>
  <c r="S407" i="6" s="1"/>
  <c r="U407" i="6" s="1"/>
  <c r="BK363" i="6"/>
  <c r="Q363" i="6" s="1"/>
  <c r="S363" i="6" s="1"/>
  <c r="U363" i="6" s="1"/>
  <c r="BK346" i="6"/>
  <c r="Q346" i="6" s="1"/>
  <c r="S346" i="6" s="1"/>
  <c r="U346" i="6" s="1"/>
  <c r="BK456" i="6"/>
  <c r="Q456" i="6" s="1"/>
  <c r="S456" i="6" s="1"/>
  <c r="U456" i="6" s="1"/>
  <c r="BK526" i="6"/>
  <c r="Q526" i="6" s="1"/>
  <c r="S526" i="6" s="1"/>
  <c r="U526" i="6" s="1"/>
  <c r="BK267" i="6"/>
  <c r="Q267" i="6" s="1"/>
  <c r="S267" i="6" s="1"/>
  <c r="U267" i="6" s="1"/>
  <c r="BK231" i="6"/>
  <c r="Q231" i="6" s="1"/>
  <c r="S231" i="6" s="1"/>
  <c r="U231" i="6" s="1"/>
  <c r="BK165" i="6"/>
  <c r="Q165" i="6" s="1"/>
  <c r="S165" i="6" s="1"/>
  <c r="U165" i="6" s="1"/>
  <c r="L17" i="2"/>
  <c r="BK108" i="6"/>
  <c r="BK429" i="6"/>
  <c r="Q429" i="6" s="1"/>
  <c r="S429" i="6" s="1"/>
  <c r="U429" i="6" s="1"/>
  <c r="BK170" i="6"/>
  <c r="Q170" i="6" s="1"/>
  <c r="S170" i="6" s="1"/>
  <c r="U170" i="6" s="1"/>
  <c r="BK495" i="6"/>
  <c r="Q495" i="6" s="1"/>
  <c r="S495" i="6" s="1"/>
  <c r="U495" i="6" s="1"/>
  <c r="BK518" i="6"/>
  <c r="Q518" i="6" s="1"/>
  <c r="S518" i="6" s="1"/>
  <c r="U518" i="6" s="1"/>
  <c r="BK465" i="6"/>
  <c r="Q465" i="6" s="1"/>
  <c r="S465" i="6" s="1"/>
  <c r="U465" i="6" s="1"/>
  <c r="BZ438" i="9"/>
  <c r="BB196" i="11" s="1"/>
  <c r="AO187" i="11"/>
  <c r="BK178" i="11"/>
  <c r="BN185" i="11"/>
  <c r="K180" i="11"/>
  <c r="BI193" i="11"/>
  <c r="AR180" i="11"/>
  <c r="Q188" i="11"/>
  <c r="C179" i="11"/>
  <c r="L193" i="11"/>
  <c r="AD184" i="11"/>
  <c r="BN187" i="11"/>
  <c r="X188" i="11"/>
  <c r="Y180" i="11"/>
  <c r="W179" i="11"/>
  <c r="H193" i="11"/>
  <c r="Q179" i="11"/>
  <c r="AM185" i="11"/>
  <c r="K187" i="11"/>
  <c r="AQ178" i="11"/>
  <c r="AR179" i="11"/>
  <c r="AC180" i="11"/>
  <c r="O193" i="11"/>
  <c r="BN194" i="11"/>
  <c r="R180" i="11"/>
  <c r="N179" i="11"/>
  <c r="AM179" i="11"/>
  <c r="BH179" i="11"/>
  <c r="C180" i="11"/>
  <c r="L195" i="11"/>
  <c r="AG191" i="11"/>
  <c r="AZ178" i="11"/>
  <c r="BA178" i="11"/>
  <c r="AG180" i="11"/>
  <c r="AE180" i="11"/>
  <c r="BB185" i="11"/>
  <c r="AZ179" i="11"/>
  <c r="L187" i="11"/>
  <c r="BL179" i="11"/>
  <c r="AA178" i="11"/>
  <c r="AG189" i="11"/>
  <c r="BC184" i="11"/>
  <c r="H177" i="11"/>
  <c r="AT192" i="11"/>
  <c r="W188" i="11"/>
  <c r="Z26" i="11"/>
  <c r="BC191" i="11"/>
  <c r="BM195" i="11"/>
  <c r="V192" i="11"/>
  <c r="K26" i="11"/>
  <c r="AJ188" i="11"/>
  <c r="W26" i="11"/>
  <c r="P186" i="11"/>
  <c r="AT195" i="11"/>
  <c r="I194" i="11"/>
  <c r="AY195" i="11"/>
  <c r="AY186" i="11"/>
  <c r="X194" i="11"/>
  <c r="AZ191" i="11"/>
  <c r="AC192" i="11"/>
  <c r="N26" i="11"/>
  <c r="H26" i="11"/>
  <c r="BI185" i="11"/>
  <c r="O26" i="11"/>
  <c r="X193" i="11"/>
  <c r="U26" i="11"/>
  <c r="BG190" i="11"/>
  <c r="BJ185" i="11"/>
  <c r="BJ193" i="11"/>
  <c r="AZ193" i="11"/>
  <c r="I185" i="11"/>
  <c r="J26" i="11"/>
  <c r="O187" i="11"/>
  <c r="M186" i="11"/>
  <c r="N193" i="11"/>
  <c r="Y195" i="11"/>
  <c r="AP187" i="11"/>
  <c r="R185" i="11"/>
  <c r="BG184" i="11"/>
  <c r="AR185" i="11"/>
  <c r="AD26" i="11"/>
  <c r="AV189" i="11"/>
  <c r="AG193" i="11"/>
  <c r="J190" i="11"/>
  <c r="Q26" i="11"/>
  <c r="AZ190" i="11"/>
  <c r="P193" i="11"/>
  <c r="AG188" i="11"/>
  <c r="J188" i="11"/>
  <c r="AO184" i="11"/>
  <c r="BB192" i="11"/>
  <c r="H195" i="11"/>
  <c r="AT188" i="11"/>
  <c r="BJ191" i="11"/>
  <c r="T26" i="11"/>
  <c r="BD189" i="11"/>
  <c r="O186" i="11"/>
  <c r="BN191" i="11"/>
  <c r="BH185" i="11"/>
  <c r="BN189" i="11"/>
  <c r="V186" i="11"/>
  <c r="BG191" i="11"/>
  <c r="R26" i="11"/>
  <c r="BM192" i="11"/>
  <c r="BN186" i="11"/>
  <c r="AD186" i="11"/>
  <c r="V187" i="11"/>
  <c r="AX187" i="11"/>
  <c r="BI192" i="11"/>
  <c r="BB184" i="11"/>
  <c r="AK191" i="11"/>
  <c r="BE194" i="11"/>
  <c r="BH192" i="11"/>
  <c r="AC188" i="11"/>
  <c r="AG184" i="11"/>
  <c r="AM187" i="11"/>
  <c r="AC191" i="11"/>
  <c r="AZ185" i="11"/>
  <c r="K185" i="11"/>
  <c r="AV193" i="11"/>
  <c r="BC192" i="11"/>
  <c r="BD185" i="11"/>
  <c r="L26" i="11"/>
  <c r="Z192" i="11"/>
  <c r="U194" i="11"/>
  <c r="AS187" i="11"/>
  <c r="BC187" i="11"/>
  <c r="AF187" i="11"/>
  <c r="N184" i="11"/>
  <c r="BM194" i="11"/>
  <c r="AT190" i="11"/>
  <c r="AV184" i="11"/>
  <c r="BM187" i="11"/>
  <c r="AI184" i="11"/>
  <c r="AF186" i="11"/>
  <c r="U187" i="11"/>
  <c r="AO194" i="11"/>
  <c r="L189" i="11"/>
  <c r="AW192" i="11"/>
  <c r="BK190" i="11"/>
  <c r="BK184" i="11"/>
  <c r="BE188" i="11"/>
  <c r="L186" i="11"/>
  <c r="AL184" i="11"/>
  <c r="AU192" i="11"/>
  <c r="AQ194" i="11"/>
  <c r="AP184" i="11"/>
  <c r="AA26" i="11"/>
  <c r="G194" i="11"/>
  <c r="BB189" i="11"/>
  <c r="BB187" i="11"/>
  <c r="O184" i="11"/>
  <c r="AW184" i="11"/>
  <c r="BI191" i="11"/>
  <c r="S191" i="11"/>
  <c r="T193" i="11"/>
  <c r="AQ193" i="11"/>
  <c r="BE193" i="11"/>
  <c r="BN192" i="11"/>
  <c r="BH186" i="11"/>
  <c r="AO186" i="11"/>
  <c r="Q194" i="11"/>
  <c r="AF195" i="11"/>
  <c r="AN189" i="11"/>
  <c r="AL190" i="11"/>
  <c r="BN190" i="11"/>
  <c r="BG186" i="11"/>
  <c r="S185" i="11"/>
  <c r="AB191" i="11"/>
  <c r="AS193" i="11"/>
  <c r="AK195" i="11"/>
  <c r="R193" i="11"/>
  <c r="X189" i="11"/>
  <c r="AU195" i="11"/>
  <c r="U190" i="11"/>
  <c r="AO185" i="11"/>
  <c r="BA187" i="11"/>
  <c r="M26" i="11"/>
  <c r="L185" i="11"/>
  <c r="AH186" i="11"/>
  <c r="C193" i="11"/>
  <c r="AW188" i="11"/>
  <c r="BN193" i="11"/>
  <c r="BB188" i="11"/>
  <c r="AX190" i="11"/>
  <c r="BH188" i="11"/>
  <c r="O189" i="11"/>
  <c r="BC186" i="11"/>
  <c r="BF188" i="11"/>
  <c r="P26" i="11"/>
  <c r="AY193" i="11"/>
  <c r="AZ189" i="11"/>
  <c r="BK187" i="11"/>
  <c r="AO191" i="11"/>
  <c r="AP194" i="11"/>
  <c r="M184" i="11"/>
  <c r="V26" i="11"/>
  <c r="AS190" i="11"/>
  <c r="AT191" i="11"/>
  <c r="AA195" i="11"/>
  <c r="BK195" i="11"/>
  <c r="AI190" i="11"/>
  <c r="AB26" i="11"/>
  <c r="M188" i="11"/>
  <c r="AK193" i="11"/>
  <c r="AN194" i="11"/>
  <c r="AB194" i="11"/>
  <c r="AX189" i="11"/>
  <c r="J193" i="11"/>
  <c r="H192" i="11"/>
  <c r="P185" i="11"/>
  <c r="BL191" i="11"/>
  <c r="BD192" i="11"/>
  <c r="AC185" i="11"/>
  <c r="G26" i="11"/>
  <c r="AM188" i="11"/>
  <c r="AP192" i="11"/>
  <c r="S26" i="11"/>
  <c r="BD191" i="11"/>
  <c r="AJ189" i="11"/>
  <c r="Q186" i="11"/>
  <c r="X26" i="11"/>
  <c r="AF194" i="11"/>
  <c r="G192" i="11"/>
  <c r="BE195" i="11"/>
  <c r="AK192" i="11"/>
  <c r="I26" i="11"/>
  <c r="AU186" i="11"/>
  <c r="C190" i="11"/>
  <c r="AI193" i="11"/>
  <c r="BG185" i="11"/>
  <c r="Y26" i="11"/>
  <c r="AB184" i="11"/>
  <c r="AQ187" i="11"/>
  <c r="AC26" i="11"/>
  <c r="BK509" i="6"/>
  <c r="Q509" i="6" s="1"/>
  <c r="S509" i="6" s="1"/>
  <c r="U509" i="6" s="1"/>
  <c r="BK458" i="6"/>
  <c r="Q458" i="6" s="1"/>
  <c r="S458" i="6" s="1"/>
  <c r="U458" i="6" s="1"/>
  <c r="BK209" i="6"/>
  <c r="Q209" i="6" s="1"/>
  <c r="S209" i="6" s="1"/>
  <c r="U209" i="6" s="1"/>
  <c r="BK370" i="6"/>
  <c r="Q370" i="6" s="1"/>
  <c r="S370" i="6" s="1"/>
  <c r="U370" i="6" s="1"/>
  <c r="BK496" i="6"/>
  <c r="Q496" i="6" s="1"/>
  <c r="S496" i="6" s="1"/>
  <c r="U496" i="6" s="1"/>
  <c r="BK298" i="6"/>
  <c r="Q298" i="6" s="1"/>
  <c r="S298" i="6" s="1"/>
  <c r="U298" i="6" s="1"/>
  <c r="BK328" i="6"/>
  <c r="Q328" i="6" s="1"/>
  <c r="S328" i="6" s="1"/>
  <c r="U328" i="6" s="1"/>
  <c r="BK482" i="6"/>
  <c r="Q482" i="6" s="1"/>
  <c r="S482" i="6" s="1"/>
  <c r="U482" i="6" s="1"/>
  <c r="BK236" i="6"/>
  <c r="Q236" i="6" s="1"/>
  <c r="S236" i="6" s="1"/>
  <c r="U236" i="6" s="1"/>
  <c r="BK143" i="6"/>
  <c r="Q143" i="6" s="1"/>
  <c r="S143" i="6" s="1"/>
  <c r="U143" i="6" s="1"/>
  <c r="BK436" i="6"/>
  <c r="Q436" i="6" s="1"/>
  <c r="S436" i="6" s="1"/>
  <c r="U436" i="6" s="1"/>
  <c r="BK392" i="6"/>
  <c r="Q392" i="6" s="1"/>
  <c r="S392" i="6" s="1"/>
  <c r="U392" i="6" s="1"/>
  <c r="BK443" i="6"/>
  <c r="Q443" i="6" s="1"/>
  <c r="S443" i="6" s="1"/>
  <c r="U443" i="6" s="1"/>
  <c r="BK260" i="6"/>
  <c r="Q260" i="6" s="1"/>
  <c r="S260" i="6" s="1"/>
  <c r="U260" i="6" s="1"/>
  <c r="BK306" i="6"/>
  <c r="Q306" i="6" s="1"/>
  <c r="S306" i="6" s="1"/>
  <c r="U306" i="6" s="1"/>
  <c r="BK474" i="6"/>
  <c r="Q474" i="6" s="1"/>
  <c r="S474" i="6" s="1"/>
  <c r="U474" i="6" s="1"/>
  <c r="BK350" i="6"/>
  <c r="Q350" i="6" s="1"/>
  <c r="S350" i="6" s="1"/>
  <c r="U350" i="6" s="1"/>
  <c r="I7" i="14"/>
  <c r="BK390" i="6"/>
  <c r="Q390" i="6" s="1"/>
  <c r="S390" i="6" s="1"/>
  <c r="U390" i="6" s="1"/>
  <c r="BK319" i="6"/>
  <c r="Q319" i="6" s="1"/>
  <c r="S319" i="6" s="1"/>
  <c r="U319" i="6" s="1"/>
  <c r="BK276" i="6"/>
  <c r="Q276" i="6" s="1"/>
  <c r="S276" i="6" s="1"/>
  <c r="U276" i="6" s="1"/>
  <c r="BK257" i="6"/>
  <c r="Q257" i="6" s="1"/>
  <c r="S257" i="6" s="1"/>
  <c r="U257" i="6" s="1"/>
  <c r="BK284" i="6"/>
  <c r="Q284" i="6" s="1"/>
  <c r="S284" i="6" s="1"/>
  <c r="U284" i="6" s="1"/>
  <c r="BK99" i="6"/>
  <c r="BB520" i="8" s="1"/>
  <c r="BC520" i="8" s="1"/>
  <c r="BK96" i="6"/>
  <c r="BK254" i="6"/>
  <c r="Q254" i="6" s="1"/>
  <c r="S254" i="6" s="1"/>
  <c r="U254" i="6" s="1"/>
  <c r="BK504" i="6"/>
  <c r="Q504" i="6" s="1"/>
  <c r="S504" i="6" s="1"/>
  <c r="U504" i="6" s="1"/>
  <c r="BK193" i="6"/>
  <c r="Q193" i="6" s="1"/>
  <c r="S193" i="6" s="1"/>
  <c r="U193" i="6" s="1"/>
  <c r="BK386" i="6"/>
  <c r="Q386" i="6" s="1"/>
  <c r="S386" i="6" s="1"/>
  <c r="U386" i="6" s="1"/>
  <c r="BK487" i="6"/>
  <c r="Q487" i="6" s="1"/>
  <c r="S487" i="6" s="1"/>
  <c r="U487" i="6" s="1"/>
  <c r="BK112" i="6"/>
  <c r="BB491" i="8" s="1"/>
  <c r="BC491" i="8" s="1"/>
  <c r="BK126" i="6"/>
  <c r="Q126" i="6" s="1"/>
  <c r="S126" i="6" s="1"/>
  <c r="U126" i="6" s="1"/>
  <c r="BK104" i="6"/>
  <c r="BB420" i="8" s="1"/>
  <c r="BC420" i="8" s="1"/>
  <c r="BK111" i="6"/>
  <c r="BB322" i="8" s="1"/>
  <c r="BC322" i="8" s="1"/>
  <c r="BK460" i="6"/>
  <c r="Q460" i="6" s="1"/>
  <c r="S460" i="6" s="1"/>
  <c r="U460" i="6" s="1"/>
  <c r="BK258" i="6"/>
  <c r="Q258" i="6" s="1"/>
  <c r="S258" i="6" s="1"/>
  <c r="U258" i="6" s="1"/>
  <c r="BK421" i="6"/>
  <c r="Q421" i="6" s="1"/>
  <c r="S421" i="6" s="1"/>
  <c r="U421" i="6" s="1"/>
  <c r="BK348" i="6"/>
  <c r="Q348" i="6" s="1"/>
  <c r="S348" i="6" s="1"/>
  <c r="U348" i="6" s="1"/>
  <c r="BK115" i="6"/>
  <c r="Q115" i="6" s="1"/>
  <c r="S115" i="6" s="1"/>
  <c r="U115" i="6" s="1"/>
  <c r="BK341" i="6"/>
  <c r="Q341" i="6" s="1"/>
  <c r="S341" i="6" s="1"/>
  <c r="U341" i="6" s="1"/>
  <c r="BK311" i="6"/>
  <c r="Q311" i="6" s="1"/>
  <c r="S311" i="6" s="1"/>
  <c r="U311" i="6" s="1"/>
  <c r="BK377" i="6"/>
  <c r="Q377" i="6" s="1"/>
  <c r="S377" i="6" s="1"/>
  <c r="U377" i="6" s="1"/>
  <c r="BK433" i="6"/>
  <c r="Q433" i="6" s="1"/>
  <c r="S433" i="6" s="1"/>
  <c r="U433" i="6" s="1"/>
  <c r="BK100" i="6"/>
  <c r="BK502" i="6"/>
  <c r="Q502" i="6" s="1"/>
  <c r="S502" i="6" s="1"/>
  <c r="U502" i="6" s="1"/>
  <c r="BK364" i="6"/>
  <c r="Q364" i="6" s="1"/>
  <c r="S364" i="6" s="1"/>
  <c r="U364" i="6" s="1"/>
  <c r="BK451" i="6"/>
  <c r="Q451" i="6" s="1"/>
  <c r="S451" i="6" s="1"/>
  <c r="U451" i="6" s="1"/>
  <c r="BK289" i="6"/>
  <c r="Q289" i="6" s="1"/>
  <c r="S289" i="6" s="1"/>
  <c r="U289" i="6" s="1"/>
  <c r="BK531" i="6"/>
  <c r="Q531" i="6" s="1"/>
  <c r="S531" i="6" s="1"/>
  <c r="U531" i="6" s="1"/>
  <c r="BK414" i="6"/>
  <c r="Q414" i="6" s="1"/>
  <c r="S414" i="6" s="1"/>
  <c r="U414" i="6" s="1"/>
  <c r="BK452" i="6"/>
  <c r="Q452" i="6" s="1"/>
  <c r="S452" i="6" s="1"/>
  <c r="U452" i="6" s="1"/>
  <c r="BK282" i="6"/>
  <c r="Q282" i="6" s="1"/>
  <c r="S282" i="6" s="1"/>
  <c r="U282" i="6" s="1"/>
  <c r="BK438" i="6"/>
  <c r="Q438" i="6" s="1"/>
  <c r="S438" i="6" s="1"/>
  <c r="U438" i="6" s="1"/>
  <c r="BK326" i="6"/>
  <c r="Q326" i="6" s="1"/>
  <c r="S326" i="6" s="1"/>
  <c r="U326" i="6" s="1"/>
  <c r="BK408" i="6"/>
  <c r="Q408" i="6" s="1"/>
  <c r="S408" i="6" s="1"/>
  <c r="U408" i="6" s="1"/>
  <c r="BK372" i="6"/>
  <c r="Q372" i="6" s="1"/>
  <c r="S372" i="6" s="1"/>
  <c r="U372" i="6" s="1"/>
  <c r="BK416" i="6"/>
  <c r="Q416" i="6" s="1"/>
  <c r="S416" i="6" s="1"/>
  <c r="U416" i="6" s="1"/>
  <c r="BK279" i="6"/>
  <c r="Q279" i="6" s="1"/>
  <c r="S279" i="6" s="1"/>
  <c r="U279" i="6" s="1"/>
  <c r="BK323" i="6"/>
  <c r="Q323" i="6" s="1"/>
  <c r="S323" i="6" s="1"/>
  <c r="U323" i="6" s="1"/>
  <c r="BK148" i="6"/>
  <c r="Q148" i="6" s="1"/>
  <c r="S148" i="6" s="1"/>
  <c r="U148" i="6" s="1"/>
  <c r="BK262" i="6"/>
  <c r="Q262" i="6" s="1"/>
  <c r="S262" i="6" s="1"/>
  <c r="U262" i="6" s="1"/>
  <c r="BK237" i="6"/>
  <c r="Q237" i="6" s="1"/>
  <c r="S237" i="6" s="1"/>
  <c r="U237" i="6" s="1"/>
  <c r="BK521" i="6"/>
  <c r="Q521" i="6" s="1"/>
  <c r="S521" i="6" s="1"/>
  <c r="U521" i="6" s="1"/>
  <c r="BK109" i="6"/>
  <c r="BB530" i="8" s="1"/>
  <c r="BC530" i="8" s="1"/>
  <c r="BK214" i="6"/>
  <c r="Q214" i="6" s="1"/>
  <c r="S214" i="6" s="1"/>
  <c r="U214" i="6" s="1"/>
  <c r="BK187" i="6"/>
  <c r="Q187" i="6" s="1"/>
  <c r="S187" i="6" s="1"/>
  <c r="U187" i="6" s="1"/>
  <c r="BK430" i="6"/>
  <c r="Q430" i="6" s="1"/>
  <c r="S430" i="6" s="1"/>
  <c r="U430" i="6" s="1"/>
  <c r="BK185" i="6"/>
  <c r="Q185" i="6" s="1"/>
  <c r="S185" i="6" s="1"/>
  <c r="U185" i="6" s="1"/>
  <c r="BK500" i="6"/>
  <c r="Q500" i="6" s="1"/>
  <c r="S500" i="6" s="1"/>
  <c r="U500" i="6" s="1"/>
  <c r="BK121" i="6"/>
  <c r="Q121" i="6" s="1"/>
  <c r="S121" i="6" s="1"/>
  <c r="U121" i="6" s="1"/>
  <c r="BK297" i="6"/>
  <c r="Q297" i="6" s="1"/>
  <c r="S297" i="6" s="1"/>
  <c r="U297" i="6" s="1"/>
  <c r="BK342" i="6"/>
  <c r="Q342" i="6" s="1"/>
  <c r="S342" i="6" s="1"/>
  <c r="U342" i="6" s="1"/>
  <c r="BK320" i="6"/>
  <c r="Q320" i="6" s="1"/>
  <c r="S320" i="6" s="1"/>
  <c r="U320" i="6" s="1"/>
  <c r="BK394" i="6"/>
  <c r="Q394" i="6" s="1"/>
  <c r="S394" i="6" s="1"/>
  <c r="U394" i="6" s="1"/>
  <c r="BK304" i="6"/>
  <c r="Q304" i="6" s="1"/>
  <c r="S304" i="6" s="1"/>
  <c r="U304" i="6" s="1"/>
  <c r="BK480" i="6"/>
  <c r="Q480" i="6" s="1"/>
  <c r="S480" i="6" s="1"/>
  <c r="U480" i="6" s="1"/>
  <c r="BK107" i="6"/>
  <c r="BB528" i="8" s="1"/>
  <c r="BC528" i="8" s="1"/>
  <c r="BK524" i="6"/>
  <c r="Q524" i="6" s="1"/>
  <c r="S524" i="6" s="1"/>
  <c r="U524" i="6" s="1"/>
  <c r="BK477" i="6"/>
  <c r="Q477" i="6" s="1"/>
  <c r="S477" i="6" s="1"/>
  <c r="U477" i="6" s="1"/>
  <c r="BK389" i="6"/>
  <c r="Q389" i="6" s="1"/>
  <c r="S389" i="6" s="1"/>
  <c r="U389" i="6" s="1"/>
  <c r="BK119" i="6"/>
  <c r="Q119" i="6" s="1"/>
  <c r="S119" i="6" s="1"/>
  <c r="U119" i="6" s="1"/>
  <c r="BK333" i="6"/>
  <c r="Q333" i="6" s="1"/>
  <c r="S333" i="6" s="1"/>
  <c r="U333" i="6" s="1"/>
  <c r="BK399" i="6"/>
  <c r="Q399" i="6" s="1"/>
  <c r="S399" i="6" s="1"/>
  <c r="U399" i="6" s="1"/>
  <c r="BK411" i="6"/>
  <c r="Q411" i="6" s="1"/>
  <c r="S411" i="6" s="1"/>
  <c r="U411" i="6" s="1"/>
  <c r="BK324" i="6"/>
  <c r="Q324" i="6" s="1"/>
  <c r="S324" i="6" s="1"/>
  <c r="U324" i="6" s="1"/>
  <c r="BK355" i="6"/>
  <c r="Q355" i="6" s="1"/>
  <c r="S355" i="6" s="1"/>
  <c r="U355" i="6" s="1"/>
  <c r="BK345" i="6"/>
  <c r="Q345" i="6" s="1"/>
  <c r="S345" i="6" s="1"/>
  <c r="U345" i="6" s="1"/>
  <c r="BK455" i="6"/>
  <c r="Q455" i="6" s="1"/>
  <c r="S455" i="6" s="1"/>
  <c r="U455" i="6" s="1"/>
  <c r="BK463" i="6"/>
  <c r="Q463" i="6" s="1"/>
  <c r="S463" i="6" s="1"/>
  <c r="U463" i="6" s="1"/>
  <c r="BK302" i="6"/>
  <c r="Q302" i="6" s="1"/>
  <c r="S302" i="6" s="1"/>
  <c r="U302" i="6" s="1"/>
  <c r="BK507" i="6"/>
  <c r="Q507" i="6" s="1"/>
  <c r="S507" i="6" s="1"/>
  <c r="U507" i="6" s="1"/>
  <c r="BK434" i="6"/>
  <c r="Q434" i="6" s="1"/>
  <c r="S434" i="6" s="1"/>
  <c r="U434" i="6" s="1"/>
  <c r="BK368" i="6"/>
  <c r="Q368" i="6" s="1"/>
  <c r="S368" i="6" s="1"/>
  <c r="U368" i="6" s="1"/>
  <c r="BK412" i="6"/>
  <c r="Q412" i="6" s="1"/>
  <c r="S412" i="6" s="1"/>
  <c r="U412" i="6" s="1"/>
  <c r="BK522" i="6"/>
  <c r="Q522" i="6" s="1"/>
  <c r="S522" i="6" s="1"/>
  <c r="U522" i="6" s="1"/>
  <c r="BK478" i="6"/>
  <c r="Q478" i="6" s="1"/>
  <c r="S478" i="6" s="1"/>
  <c r="U478" i="6" s="1"/>
  <c r="BK280" i="6"/>
  <c r="Q280" i="6" s="1"/>
  <c r="S280" i="6" s="1"/>
  <c r="U280" i="6" s="1"/>
  <c r="BK419" i="6"/>
  <c r="Q419" i="6" s="1"/>
  <c r="S419" i="6" s="1"/>
  <c r="U419" i="6" s="1"/>
  <c r="BK265" i="6"/>
  <c r="Q265" i="6" s="1"/>
  <c r="S265" i="6" s="1"/>
  <c r="U265" i="6" s="1"/>
  <c r="BK450" i="6"/>
  <c r="Q450" i="6" s="1"/>
  <c r="S450" i="6" s="1"/>
  <c r="U450" i="6" s="1"/>
  <c r="BK406" i="6"/>
  <c r="Q406" i="6" s="1"/>
  <c r="S406" i="6" s="1"/>
  <c r="U406" i="6" s="1"/>
  <c r="BK278" i="6"/>
  <c r="Q278" i="6" s="1"/>
  <c r="S278" i="6" s="1"/>
  <c r="U278" i="6" s="1"/>
  <c r="BK481" i="6"/>
  <c r="Q481" i="6" s="1"/>
  <c r="S481" i="6" s="1"/>
  <c r="U481" i="6" s="1"/>
  <c r="BK290" i="6"/>
  <c r="Q290" i="6" s="1"/>
  <c r="S290" i="6" s="1"/>
  <c r="U290" i="6" s="1"/>
  <c r="BK445" i="6"/>
  <c r="Q445" i="6" s="1"/>
  <c r="S445" i="6" s="1"/>
  <c r="U445" i="6" s="1"/>
  <c r="BK444" i="6"/>
  <c r="Q444" i="6" s="1"/>
  <c r="S444" i="6" s="1"/>
  <c r="U444" i="6" s="1"/>
  <c r="BK291" i="6"/>
  <c r="Q291" i="6" s="1"/>
  <c r="S291" i="6" s="1"/>
  <c r="U291" i="6" s="1"/>
  <c r="BK343" i="6"/>
  <c r="Q343" i="6" s="1"/>
  <c r="S343" i="6" s="1"/>
  <c r="U343" i="6" s="1"/>
  <c r="BK365" i="6"/>
  <c r="Q365" i="6" s="1"/>
  <c r="S365" i="6" s="1"/>
  <c r="U365" i="6" s="1"/>
  <c r="BK462" i="6"/>
  <c r="Q462" i="6" s="1"/>
  <c r="S462" i="6" s="1"/>
  <c r="U462" i="6" s="1"/>
  <c r="BK374" i="6"/>
  <c r="Q374" i="6" s="1"/>
  <c r="S374" i="6" s="1"/>
  <c r="U374" i="6" s="1"/>
  <c r="BK442" i="6"/>
  <c r="Q442" i="6" s="1"/>
  <c r="S442" i="6" s="1"/>
  <c r="U442" i="6" s="1"/>
  <c r="BK310" i="6"/>
  <c r="Q310" i="6" s="1"/>
  <c r="S310" i="6" s="1"/>
  <c r="U310" i="6" s="1"/>
  <c r="BK492" i="6"/>
  <c r="Q492" i="6" s="1"/>
  <c r="S492" i="6" s="1"/>
  <c r="U492" i="6" s="1"/>
  <c r="BK471" i="6"/>
  <c r="Q471" i="6" s="1"/>
  <c r="S471" i="6" s="1"/>
  <c r="U471" i="6" s="1"/>
  <c r="BK439" i="6"/>
  <c r="Q439" i="6" s="1"/>
  <c r="S439" i="6" s="1"/>
  <c r="U439" i="6" s="1"/>
  <c r="BK263" i="6"/>
  <c r="Q263" i="6" s="1"/>
  <c r="S263" i="6" s="1"/>
  <c r="U263" i="6" s="1"/>
  <c r="BK479" i="6"/>
  <c r="Q479" i="6" s="1"/>
  <c r="S479" i="6" s="1"/>
  <c r="U479" i="6" s="1"/>
  <c r="BK281" i="6"/>
  <c r="Q281" i="6" s="1"/>
  <c r="S281" i="6" s="1"/>
  <c r="U281" i="6" s="1"/>
  <c r="BK375" i="6"/>
  <c r="Q375" i="6" s="1"/>
  <c r="S375" i="6" s="1"/>
  <c r="U375" i="6" s="1"/>
  <c r="BK287" i="6"/>
  <c r="Q287" i="6" s="1"/>
  <c r="S287" i="6" s="1"/>
  <c r="U287" i="6" s="1"/>
  <c r="BK252" i="6"/>
  <c r="Q252" i="6" s="1"/>
  <c r="S252" i="6" s="1"/>
  <c r="U252" i="6" s="1"/>
  <c r="BK472" i="6"/>
  <c r="Q472" i="6" s="1"/>
  <c r="S472" i="6" s="1"/>
  <c r="U472" i="6" s="1"/>
  <c r="BK366" i="6"/>
  <c r="Q366" i="6" s="1"/>
  <c r="S366" i="6" s="1"/>
  <c r="U366" i="6" s="1"/>
  <c r="BK459" i="6"/>
  <c r="Q459" i="6" s="1"/>
  <c r="S459" i="6" s="1"/>
  <c r="U459" i="6" s="1"/>
  <c r="BK283" i="6"/>
  <c r="Q283" i="6" s="1"/>
  <c r="S283" i="6" s="1"/>
  <c r="U283" i="6" s="1"/>
  <c r="BK533" i="6"/>
  <c r="Q533" i="6" s="1"/>
  <c r="S533" i="6" s="1"/>
  <c r="U533" i="6" s="1"/>
  <c r="BK400" i="6"/>
  <c r="Q400" i="6" s="1"/>
  <c r="S400" i="6" s="1"/>
  <c r="U400" i="6" s="1"/>
  <c r="BK378" i="6"/>
  <c r="Q378" i="6" s="1"/>
  <c r="S378" i="6" s="1"/>
  <c r="U378" i="6" s="1"/>
  <c r="BK313" i="6"/>
  <c r="Q313" i="6" s="1"/>
  <c r="S313" i="6" s="1"/>
  <c r="U313" i="6" s="1"/>
  <c r="BK519" i="6"/>
  <c r="Q519" i="6" s="1"/>
  <c r="S519" i="6" s="1"/>
  <c r="U519" i="6" s="1"/>
  <c r="BK330" i="6"/>
  <c r="Q330" i="6" s="1"/>
  <c r="S330" i="6" s="1"/>
  <c r="U330" i="6" s="1"/>
  <c r="BK352" i="6"/>
  <c r="Q352" i="6" s="1"/>
  <c r="S352" i="6" s="1"/>
  <c r="U352" i="6" s="1"/>
  <c r="BK332" i="6"/>
  <c r="Q332" i="6" s="1"/>
  <c r="S332" i="6" s="1"/>
  <c r="U332" i="6" s="1"/>
  <c r="BK266" i="6"/>
  <c r="Q266" i="6" s="1"/>
  <c r="S266" i="6" s="1"/>
  <c r="U266" i="6" s="1"/>
  <c r="BK360" i="6"/>
  <c r="Q360" i="6" s="1"/>
  <c r="S360" i="6" s="1"/>
  <c r="U360" i="6" s="1"/>
  <c r="BK426" i="6"/>
  <c r="Q426" i="6" s="1"/>
  <c r="S426" i="6" s="1"/>
  <c r="U426" i="6" s="1"/>
  <c r="BK515" i="6"/>
  <c r="Q515" i="6" s="1"/>
  <c r="S515" i="6" s="1"/>
  <c r="U515" i="6" s="1"/>
  <c r="BK251" i="6"/>
  <c r="Q251" i="6" s="1"/>
  <c r="S251" i="6" s="1"/>
  <c r="U251" i="6" s="1"/>
  <c r="BK505" i="6"/>
  <c r="Q505" i="6" s="1"/>
  <c r="S505" i="6" s="1"/>
  <c r="U505" i="6" s="1"/>
  <c r="BK461" i="6"/>
  <c r="Q461" i="6" s="1"/>
  <c r="S461" i="6" s="1"/>
  <c r="U461" i="6" s="1"/>
  <c r="BK391" i="6"/>
  <c r="Q391" i="6" s="1"/>
  <c r="S391" i="6" s="1"/>
  <c r="U391" i="6" s="1"/>
  <c r="BK501" i="6"/>
  <c r="Q501" i="6" s="1"/>
  <c r="S501" i="6" s="1"/>
  <c r="U501" i="6" s="1"/>
  <c r="BK529" i="6"/>
  <c r="Q529" i="6" s="1"/>
  <c r="S529" i="6" s="1"/>
  <c r="U529" i="6" s="1"/>
  <c r="BK309" i="6"/>
  <c r="Q309" i="6" s="1"/>
  <c r="S309" i="6" s="1"/>
  <c r="U309" i="6" s="1"/>
  <c r="BK428" i="6"/>
  <c r="Q428" i="6" s="1"/>
  <c r="S428" i="6" s="1"/>
  <c r="U428" i="6" s="1"/>
  <c r="BK344" i="6"/>
  <c r="Q344" i="6" s="1"/>
  <c r="S344" i="6" s="1"/>
  <c r="U344" i="6" s="1"/>
  <c r="BK301" i="6"/>
  <c r="Q301" i="6" s="1"/>
  <c r="S301" i="6" s="1"/>
  <c r="U301" i="6" s="1"/>
  <c r="BK415" i="6"/>
  <c r="Q415" i="6" s="1"/>
  <c r="S415" i="6" s="1"/>
  <c r="U415" i="6" s="1"/>
  <c r="BK349" i="6"/>
  <c r="Q349" i="6" s="1"/>
  <c r="S349" i="6" s="1"/>
  <c r="U349" i="6" s="1"/>
  <c r="BK335" i="6"/>
  <c r="Q335" i="6" s="1"/>
  <c r="S335" i="6" s="1"/>
  <c r="U335" i="6" s="1"/>
  <c r="BK334" i="6"/>
  <c r="Q334" i="6" s="1"/>
  <c r="S334" i="6" s="1"/>
  <c r="U334" i="6" s="1"/>
  <c r="BK510" i="6"/>
  <c r="Q510" i="6" s="1"/>
  <c r="S510" i="6" s="1"/>
  <c r="U510" i="6" s="1"/>
  <c r="BK277" i="6"/>
  <c r="Q277" i="6" s="1"/>
  <c r="S277" i="6" s="1"/>
  <c r="U277" i="6" s="1"/>
  <c r="BK418" i="6"/>
  <c r="Q418" i="6" s="1"/>
  <c r="S418" i="6" s="1"/>
  <c r="U418" i="6" s="1"/>
  <c r="BK528" i="6"/>
  <c r="Q528" i="6" s="1"/>
  <c r="S528" i="6" s="1"/>
  <c r="U528" i="6" s="1"/>
  <c r="BK354" i="6"/>
  <c r="Q354" i="6" s="1"/>
  <c r="S354" i="6" s="1"/>
  <c r="U354" i="6" s="1"/>
  <c r="BK404" i="6"/>
  <c r="Q404" i="6" s="1"/>
  <c r="S404" i="6" s="1"/>
  <c r="U404" i="6" s="1"/>
  <c r="BK448" i="6"/>
  <c r="Q448" i="6" s="1"/>
  <c r="S448" i="6" s="1"/>
  <c r="U448" i="6" s="1"/>
  <c r="BK273" i="6"/>
  <c r="Q273" i="6" s="1"/>
  <c r="S273" i="6" s="1"/>
  <c r="U273" i="6" s="1"/>
  <c r="BK317" i="6"/>
  <c r="Q317" i="6" s="1"/>
  <c r="S317" i="6" s="1"/>
  <c r="U317" i="6" s="1"/>
  <c r="BK483" i="6"/>
  <c r="Q483" i="6" s="1"/>
  <c r="S483" i="6" s="1"/>
  <c r="U483" i="6" s="1"/>
  <c r="BK307" i="6"/>
  <c r="Q307" i="6" s="1"/>
  <c r="S307" i="6" s="1"/>
  <c r="U307" i="6" s="1"/>
  <c r="BK325" i="6"/>
  <c r="Q325" i="6" s="1"/>
  <c r="S325" i="6" s="1"/>
  <c r="U325" i="6" s="1"/>
  <c r="BK259" i="6"/>
  <c r="Q259" i="6" s="1"/>
  <c r="S259" i="6" s="1"/>
  <c r="U259" i="6" s="1"/>
  <c r="BK441" i="6"/>
  <c r="Q441" i="6" s="1"/>
  <c r="S441" i="6" s="1"/>
  <c r="U441" i="6" s="1"/>
  <c r="BK362" i="6"/>
  <c r="Q362" i="6" s="1"/>
  <c r="S362" i="6" s="1"/>
  <c r="U362" i="6" s="1"/>
  <c r="BK498" i="6"/>
  <c r="Q498" i="6" s="1"/>
  <c r="S498" i="6" s="1"/>
  <c r="U498" i="6" s="1"/>
  <c r="BK520" i="6"/>
  <c r="Q520" i="6" s="1"/>
  <c r="S520" i="6" s="1"/>
  <c r="U520" i="6" s="1"/>
  <c r="BK499" i="6"/>
  <c r="Q499" i="6" s="1"/>
  <c r="S499" i="6" s="1"/>
  <c r="U499" i="6" s="1"/>
  <c r="BK367" i="6"/>
  <c r="Q367" i="6" s="1"/>
  <c r="S367" i="6" s="1"/>
  <c r="U367" i="6" s="1"/>
  <c r="BK371" i="6"/>
  <c r="Q371" i="6" s="1"/>
  <c r="S371" i="6" s="1"/>
  <c r="U371" i="6" s="1"/>
  <c r="BK305" i="6"/>
  <c r="Q305" i="6" s="1"/>
  <c r="S305" i="6" s="1"/>
  <c r="U305" i="6" s="1"/>
  <c r="BK511" i="6"/>
  <c r="Q511" i="6" s="1"/>
  <c r="S511" i="6" s="1"/>
  <c r="U511" i="6" s="1"/>
  <c r="BK401" i="6"/>
  <c r="Q401" i="6" s="1"/>
  <c r="S401" i="6" s="1"/>
  <c r="U401" i="6" s="1"/>
  <c r="BK356" i="6"/>
  <c r="Q356" i="6" s="1"/>
  <c r="S356" i="6" s="1"/>
  <c r="U356" i="6" s="1"/>
  <c r="BK255" i="6"/>
  <c r="Q255" i="6" s="1"/>
  <c r="S255" i="6" s="1"/>
  <c r="U255" i="6" s="1"/>
  <c r="BK506" i="6"/>
  <c r="Q506" i="6" s="1"/>
  <c r="S506" i="6" s="1"/>
  <c r="U506" i="6" s="1"/>
  <c r="BK464" i="6"/>
  <c r="Q464" i="6" s="1"/>
  <c r="S464" i="6" s="1"/>
  <c r="U464" i="6" s="1"/>
  <c r="BK294" i="6"/>
  <c r="Q294" i="6" s="1"/>
  <c r="S294" i="6" s="1"/>
  <c r="U294" i="6" s="1"/>
  <c r="BK470" i="6"/>
  <c r="Q470" i="6" s="1"/>
  <c r="S470" i="6" s="1"/>
  <c r="U470" i="6" s="1"/>
  <c r="BK405" i="6"/>
  <c r="Q405" i="6" s="1"/>
  <c r="S405" i="6" s="1"/>
  <c r="U405" i="6" s="1"/>
  <c r="BK361" i="6"/>
  <c r="Q361" i="6" s="1"/>
  <c r="S361" i="6" s="1"/>
  <c r="U361" i="6" s="1"/>
  <c r="BK329" i="6"/>
  <c r="Q329" i="6" s="1"/>
  <c r="S329" i="6" s="1"/>
  <c r="U329" i="6" s="1"/>
  <c r="BK457" i="6"/>
  <c r="Q457" i="6" s="1"/>
  <c r="S457" i="6" s="1"/>
  <c r="U457" i="6" s="1"/>
  <c r="BK318" i="6"/>
  <c r="Q318" i="6" s="1"/>
  <c r="S318" i="6" s="1"/>
  <c r="U318" i="6" s="1"/>
  <c r="BK476" i="6"/>
  <c r="Q476" i="6" s="1"/>
  <c r="S476" i="6" s="1"/>
  <c r="U476" i="6" s="1"/>
  <c r="BK322" i="6"/>
  <c r="Q322" i="6" s="1"/>
  <c r="S322" i="6" s="1"/>
  <c r="U322" i="6" s="1"/>
  <c r="BK327" i="6"/>
  <c r="Q327" i="6" s="1"/>
  <c r="S327" i="6" s="1"/>
  <c r="U327" i="6" s="1"/>
  <c r="BK261" i="6"/>
  <c r="Q261" i="6" s="1"/>
  <c r="S261" i="6" s="1"/>
  <c r="U261" i="6" s="1"/>
  <c r="BK532" i="6"/>
  <c r="Q532" i="6" s="1"/>
  <c r="S532" i="6" s="1"/>
  <c r="U532" i="6" s="1"/>
  <c r="BK466" i="6"/>
  <c r="Q466" i="6" s="1"/>
  <c r="S466" i="6" s="1"/>
  <c r="U466" i="6" s="1"/>
  <c r="BK312" i="6"/>
  <c r="Q312" i="6" s="1"/>
  <c r="S312" i="6" s="1"/>
  <c r="U312" i="6" s="1"/>
  <c r="BK475" i="6"/>
  <c r="Q475" i="6" s="1"/>
  <c r="S475" i="6" s="1"/>
  <c r="U475" i="6" s="1"/>
  <c r="BK453" i="6"/>
  <c r="Q453" i="6" s="1"/>
  <c r="S453" i="6" s="1"/>
  <c r="U453" i="6" s="1"/>
  <c r="BK396" i="6"/>
  <c r="Q396" i="6" s="1"/>
  <c r="S396" i="6" s="1"/>
  <c r="U396" i="6" s="1"/>
  <c r="BK486" i="6"/>
  <c r="Q486" i="6" s="1"/>
  <c r="S486" i="6" s="1"/>
  <c r="U486" i="6" s="1"/>
  <c r="BK338" i="6"/>
  <c r="Q338" i="6" s="1"/>
  <c r="S338" i="6" s="1"/>
  <c r="U338" i="6" s="1"/>
  <c r="BK514" i="6"/>
  <c r="Q514" i="6" s="1"/>
  <c r="S514" i="6" s="1"/>
  <c r="U514" i="6" s="1"/>
  <c r="BK339" i="6"/>
  <c r="Q339" i="6" s="1"/>
  <c r="S339" i="6" s="1"/>
  <c r="U339" i="6" s="1"/>
  <c r="BK427" i="6"/>
  <c r="Q427" i="6" s="1"/>
  <c r="S427" i="6" s="1"/>
  <c r="U427" i="6" s="1"/>
  <c r="BK373" i="6"/>
  <c r="Q373" i="6" s="1"/>
  <c r="S373" i="6" s="1"/>
  <c r="U373" i="6" s="1"/>
  <c r="BK523" i="6"/>
  <c r="Q523" i="6" s="1"/>
  <c r="S523" i="6" s="1"/>
  <c r="U523" i="6" s="1"/>
  <c r="BK516" i="6"/>
  <c r="Q516" i="6" s="1"/>
  <c r="S516" i="6" s="1"/>
  <c r="U516" i="6" s="1"/>
  <c r="BK494" i="6"/>
  <c r="Q494" i="6" s="1"/>
  <c r="S494" i="6" s="1"/>
  <c r="U494" i="6" s="1"/>
  <c r="BK388" i="6"/>
  <c r="Q388" i="6" s="1"/>
  <c r="S388" i="6" s="1"/>
  <c r="U388" i="6" s="1"/>
  <c r="BK300" i="6"/>
  <c r="Q300" i="6" s="1"/>
  <c r="S300" i="6" s="1"/>
  <c r="U300" i="6" s="1"/>
  <c r="BK437" i="6"/>
  <c r="Q437" i="6" s="1"/>
  <c r="S437" i="6" s="1"/>
  <c r="U437" i="6" s="1"/>
  <c r="BK503" i="6"/>
  <c r="Q503" i="6" s="1"/>
  <c r="S503" i="6" s="1"/>
  <c r="U503" i="6" s="1"/>
  <c r="BK489" i="6"/>
  <c r="Q489" i="6" s="1"/>
  <c r="S489" i="6" s="1"/>
  <c r="U489" i="6" s="1"/>
  <c r="BK268" i="6"/>
  <c r="Q268" i="6" s="1"/>
  <c r="S268" i="6" s="1"/>
  <c r="U268" i="6" s="1"/>
  <c r="BK379" i="6"/>
  <c r="Q379" i="6" s="1"/>
  <c r="S379" i="6" s="1"/>
  <c r="U379" i="6" s="1"/>
  <c r="BK431" i="6"/>
  <c r="Q431" i="6" s="1"/>
  <c r="S431" i="6" s="1"/>
  <c r="U431" i="6" s="1"/>
  <c r="BK299" i="6"/>
  <c r="Q299" i="6" s="1"/>
  <c r="S299" i="6" s="1"/>
  <c r="U299" i="6" s="1"/>
  <c r="BK484" i="6"/>
  <c r="Q484" i="6" s="1"/>
  <c r="S484" i="6" s="1"/>
  <c r="U484" i="6" s="1"/>
  <c r="BK398" i="6"/>
  <c r="Q398" i="6" s="1"/>
  <c r="S398" i="6" s="1"/>
  <c r="U398" i="6" s="1"/>
  <c r="BK508" i="6"/>
  <c r="Q508" i="6" s="1"/>
  <c r="S508" i="6" s="1"/>
  <c r="U508" i="6" s="1"/>
  <c r="BK382" i="6"/>
  <c r="Q382" i="6" s="1"/>
  <c r="S382" i="6" s="1"/>
  <c r="U382" i="6" s="1"/>
  <c r="BK493" i="6"/>
  <c r="Q493" i="6" s="1"/>
  <c r="S493" i="6" s="1"/>
  <c r="U493" i="6" s="1"/>
  <c r="BK449" i="6"/>
  <c r="Q449" i="6" s="1"/>
  <c r="S449" i="6" s="1"/>
  <c r="U449" i="6" s="1"/>
  <c r="BK417" i="6"/>
  <c r="Q417" i="6" s="1"/>
  <c r="S417" i="6" s="1"/>
  <c r="U417" i="6" s="1"/>
  <c r="BK435" i="6"/>
  <c r="Q435" i="6" s="1"/>
  <c r="S435" i="6" s="1"/>
  <c r="U435" i="6" s="1"/>
  <c r="BK331" i="6"/>
  <c r="Q331" i="6" s="1"/>
  <c r="S331" i="6" s="1"/>
  <c r="U331" i="6" s="1"/>
  <c r="BK485" i="6"/>
  <c r="Q485" i="6" s="1"/>
  <c r="S485" i="6" s="1"/>
  <c r="U485" i="6" s="1"/>
  <c r="BK274" i="6"/>
  <c r="Q274" i="6" s="1"/>
  <c r="S274" i="6" s="1"/>
  <c r="U274" i="6" s="1"/>
  <c r="BK340" i="6"/>
  <c r="Q340" i="6" s="1"/>
  <c r="S340" i="6" s="1"/>
  <c r="U340" i="6" s="1"/>
  <c r="BK410" i="6"/>
  <c r="Q410" i="6" s="1"/>
  <c r="S410" i="6" s="1"/>
  <c r="U410" i="6" s="1"/>
  <c r="BK454" i="6"/>
  <c r="Q454" i="6" s="1"/>
  <c r="S454" i="6" s="1"/>
  <c r="U454" i="6" s="1"/>
  <c r="BK525" i="6"/>
  <c r="Q525" i="6" s="1"/>
  <c r="S525" i="6" s="1"/>
  <c r="U525" i="6" s="1"/>
  <c r="BK357" i="6"/>
  <c r="Q357" i="6" s="1"/>
  <c r="S357" i="6" s="1"/>
  <c r="U357" i="6" s="1"/>
  <c r="BK269" i="6"/>
  <c r="Q269" i="6" s="1"/>
  <c r="S269" i="6" s="1"/>
  <c r="U269" i="6" s="1"/>
  <c r="BK488" i="6"/>
  <c r="Q488" i="6" s="1"/>
  <c r="S488" i="6" s="1"/>
  <c r="U488" i="6" s="1"/>
  <c r="BK409" i="6"/>
  <c r="Q409" i="6" s="1"/>
  <c r="S409" i="6" s="1"/>
  <c r="U409" i="6" s="1"/>
  <c r="BK497" i="6"/>
  <c r="Q497" i="6" s="1"/>
  <c r="S497" i="6" s="1"/>
  <c r="U497" i="6" s="1"/>
  <c r="BK308" i="6"/>
  <c r="Q308" i="6" s="1"/>
  <c r="S308" i="6" s="1"/>
  <c r="U308" i="6" s="1"/>
  <c r="BK264" i="6"/>
  <c r="Q264" i="6" s="1"/>
  <c r="S264" i="6" s="1"/>
  <c r="U264" i="6" s="1"/>
  <c r="BK376" i="6"/>
  <c r="Q376" i="6" s="1"/>
  <c r="S376" i="6" s="1"/>
  <c r="U376" i="6" s="1"/>
  <c r="BK530" i="6"/>
  <c r="Q530" i="6" s="1"/>
  <c r="S530" i="6" s="1"/>
  <c r="U530" i="6" s="1"/>
  <c r="BK316" i="6"/>
  <c r="Q316" i="6" s="1"/>
  <c r="S316" i="6" s="1"/>
  <c r="U316" i="6" s="1"/>
  <c r="BK295" i="6"/>
  <c r="Q295" i="6" s="1"/>
  <c r="S295" i="6" s="1"/>
  <c r="U295" i="6" s="1"/>
  <c r="BK395" i="6"/>
  <c r="Q395" i="6" s="1"/>
  <c r="S395" i="6" s="1"/>
  <c r="U395" i="6" s="1"/>
  <c r="BK527" i="6"/>
  <c r="Q527" i="6" s="1"/>
  <c r="S527" i="6" s="1"/>
  <c r="U527" i="6" s="1"/>
  <c r="BK413" i="6"/>
  <c r="Q413" i="6" s="1"/>
  <c r="S413" i="6" s="1"/>
  <c r="U413" i="6" s="1"/>
  <c r="BK347" i="6"/>
  <c r="Q347" i="6" s="1"/>
  <c r="S347" i="6" s="1"/>
  <c r="U347" i="6" s="1"/>
  <c r="BK397" i="6"/>
  <c r="Q397" i="6" s="1"/>
  <c r="S397" i="6" s="1"/>
  <c r="U397" i="6" s="1"/>
  <c r="BK353" i="6"/>
  <c r="Q353" i="6" s="1"/>
  <c r="S353" i="6" s="1"/>
  <c r="U353" i="6" s="1"/>
  <c r="BK384" i="6"/>
  <c r="Q384" i="6" s="1"/>
  <c r="S384" i="6" s="1"/>
  <c r="U384" i="6" s="1"/>
  <c r="BK296" i="6"/>
  <c r="Q296" i="6" s="1"/>
  <c r="S296" i="6" s="1"/>
  <c r="U296" i="6" s="1"/>
  <c r="BK256" i="6"/>
  <c r="Q256" i="6" s="1"/>
  <c r="S256" i="6" s="1"/>
  <c r="U256" i="6" s="1"/>
  <c r="BK432" i="6"/>
  <c r="Q432" i="6" s="1"/>
  <c r="S432" i="6" s="1"/>
  <c r="U432" i="6" s="1"/>
  <c r="BK393" i="6"/>
  <c r="Q393" i="6" s="1"/>
  <c r="S393" i="6" s="1"/>
  <c r="U393" i="6" s="1"/>
  <c r="BK423" i="6"/>
  <c r="Q423" i="6" s="1"/>
  <c r="S423" i="6" s="1"/>
  <c r="U423" i="6" s="1"/>
  <c r="BK467" i="6"/>
  <c r="Q467" i="6" s="1"/>
  <c r="S467" i="6" s="1"/>
  <c r="U467" i="6" s="1"/>
  <c r="BK422" i="6"/>
  <c r="Q422" i="6" s="1"/>
  <c r="S422" i="6" s="1"/>
  <c r="U422" i="6" s="1"/>
  <c r="BK387" i="6"/>
  <c r="Q387" i="6" s="1"/>
  <c r="S387" i="6" s="1"/>
  <c r="U387" i="6" s="1"/>
  <c r="BK321" i="6"/>
  <c r="Q321" i="6" s="1"/>
  <c r="S321" i="6" s="1"/>
  <c r="U321" i="6" s="1"/>
  <c r="BK440" i="6"/>
  <c r="Q440" i="6" s="1"/>
  <c r="S440" i="6" s="1"/>
  <c r="U440" i="6" s="1"/>
  <c r="BK286" i="6"/>
  <c r="Q286" i="6" s="1"/>
  <c r="S286" i="6" s="1"/>
  <c r="U286" i="6" s="1"/>
  <c r="BK420" i="6"/>
  <c r="Q420" i="6" s="1"/>
  <c r="S420" i="6" s="1"/>
  <c r="U420" i="6" s="1"/>
  <c r="BK288" i="6"/>
  <c r="Q288" i="6" s="1"/>
  <c r="S288" i="6" s="1"/>
  <c r="U288" i="6" s="1"/>
  <c r="BK272" i="6"/>
  <c r="Q272" i="6" s="1"/>
  <c r="S272" i="6" s="1"/>
  <c r="U272" i="6" s="1"/>
  <c r="BK383" i="6"/>
  <c r="Q383" i="6" s="1"/>
  <c r="S383" i="6" s="1"/>
  <c r="U383" i="6" s="1"/>
  <c r="BK351" i="6"/>
  <c r="Q351" i="6" s="1"/>
  <c r="S351" i="6" s="1"/>
  <c r="U351" i="6" s="1"/>
  <c r="BK285" i="6"/>
  <c r="Q285" i="6" s="1"/>
  <c r="S285" i="6" s="1"/>
  <c r="U285" i="6" s="1"/>
  <c r="BK369" i="6"/>
  <c r="Q369" i="6" s="1"/>
  <c r="S369" i="6" s="1"/>
  <c r="U369" i="6" s="1"/>
  <c r="BK303" i="6"/>
  <c r="Q303" i="6" s="1"/>
  <c r="S303" i="6" s="1"/>
  <c r="U303" i="6" s="1"/>
  <c r="BK106" i="6"/>
  <c r="BB464" i="8" s="1"/>
  <c r="BC464" i="8" s="1"/>
  <c r="BK102" i="6"/>
  <c r="BB168" i="8" s="1"/>
  <c r="BC168" i="8" s="1"/>
  <c r="BK127" i="6"/>
  <c r="Q127" i="6" s="1"/>
  <c r="S127" i="6" s="1"/>
  <c r="U127" i="6" s="1"/>
  <c r="BK113" i="6"/>
  <c r="BB240" i="8" s="1"/>
  <c r="BC240" i="8" s="1"/>
  <c r="BK163" i="6"/>
  <c r="Q163" i="6" s="1"/>
  <c r="S163" i="6" s="1"/>
  <c r="U163" i="6" s="1"/>
  <c r="BK123" i="6"/>
  <c r="Q123" i="6" s="1"/>
  <c r="S123" i="6" s="1"/>
  <c r="U123" i="6" s="1"/>
  <c r="BK101" i="6"/>
  <c r="BB145" i="8" s="1"/>
  <c r="BC145" i="8" s="1"/>
  <c r="BK149" i="6"/>
  <c r="Q149" i="6" s="1"/>
  <c r="S149" i="6" s="1"/>
  <c r="U149" i="6" s="1"/>
  <c r="BK207" i="6"/>
  <c r="Q207" i="6" s="1"/>
  <c r="S207" i="6" s="1"/>
  <c r="U207" i="6" s="1"/>
  <c r="BK189" i="6"/>
  <c r="Q189" i="6" s="1"/>
  <c r="S189" i="6" s="1"/>
  <c r="U189" i="6" s="1"/>
  <c r="BK215" i="6"/>
  <c r="Q215" i="6" s="1"/>
  <c r="S215" i="6" s="1"/>
  <c r="U215" i="6" s="1"/>
  <c r="BK233" i="6"/>
  <c r="Q233" i="6" s="1"/>
  <c r="S233" i="6" s="1"/>
  <c r="U233" i="6" s="1"/>
  <c r="BK211" i="6"/>
  <c r="Q211" i="6" s="1"/>
  <c r="S211" i="6" s="1"/>
  <c r="U211" i="6" s="1"/>
  <c r="BK171" i="6"/>
  <c r="Q171" i="6" s="1"/>
  <c r="S171" i="6" s="1"/>
  <c r="U171" i="6" s="1"/>
  <c r="BK97" i="6"/>
  <c r="BB518" i="8" s="1"/>
  <c r="BC518" i="8" s="1"/>
  <c r="BK98" i="6"/>
  <c r="BB519" i="8" s="1"/>
  <c r="BC519" i="8" s="1"/>
  <c r="BK105" i="6"/>
  <c r="BB190" i="8" s="1"/>
  <c r="BC190" i="8" s="1"/>
  <c r="BK103" i="6"/>
  <c r="BB524" i="8" s="1"/>
  <c r="BC524" i="8" s="1"/>
  <c r="BK192" i="6"/>
  <c r="Q192" i="6" s="1"/>
  <c r="S192" i="6" s="1"/>
  <c r="U192" i="6" s="1"/>
  <c r="BK110" i="6"/>
  <c r="BB531" i="8" s="1"/>
  <c r="BC531" i="8" s="1"/>
  <c r="BK167" i="6"/>
  <c r="Q167" i="6" s="1"/>
  <c r="S167" i="6" s="1"/>
  <c r="U167" i="6" s="1"/>
  <c r="BK229" i="6"/>
  <c r="Q229" i="6" s="1"/>
  <c r="S229" i="6" s="1"/>
  <c r="U229" i="6" s="1"/>
  <c r="BK145" i="6"/>
  <c r="Q145" i="6" s="1"/>
  <c r="S145" i="6" s="1"/>
  <c r="U145" i="6" s="1"/>
  <c r="BK141" i="6"/>
  <c r="Q141" i="6" s="1"/>
  <c r="S141" i="6" s="1"/>
  <c r="U141" i="6" s="1"/>
  <c r="BK244" i="6"/>
  <c r="Q244" i="6" s="1"/>
  <c r="S244" i="6" s="1"/>
  <c r="U244" i="6" s="1"/>
  <c r="BK118" i="6"/>
  <c r="Q118" i="6" s="1"/>
  <c r="S118" i="6" s="1"/>
  <c r="U118" i="6" s="1"/>
  <c r="BK197" i="6"/>
  <c r="Q197" i="6" s="1"/>
  <c r="S197" i="6" s="1"/>
  <c r="U197" i="6" s="1"/>
  <c r="BK172" i="6"/>
  <c r="Q172" i="6" s="1"/>
  <c r="S172" i="6" s="1"/>
  <c r="U172" i="6" s="1"/>
  <c r="BK199" i="6"/>
  <c r="Q199" i="6" s="1"/>
  <c r="S199" i="6" s="1"/>
  <c r="U199" i="6" s="1"/>
  <c r="BK166" i="6"/>
  <c r="Q166" i="6" s="1"/>
  <c r="S166" i="6" s="1"/>
  <c r="U166" i="6" s="1"/>
  <c r="BK179" i="6"/>
  <c r="Q179" i="6" s="1"/>
  <c r="S179" i="6" s="1"/>
  <c r="U179" i="6" s="1"/>
  <c r="BK196" i="6"/>
  <c r="Q196" i="6" s="1"/>
  <c r="S196" i="6" s="1"/>
  <c r="U196" i="6" s="1"/>
  <c r="BK217" i="6"/>
  <c r="Q217" i="6" s="1"/>
  <c r="S217" i="6" s="1"/>
  <c r="U217" i="6" s="1"/>
  <c r="BK158" i="6"/>
  <c r="Q158" i="6" s="1"/>
  <c r="S158" i="6" s="1"/>
  <c r="U158" i="6" s="1"/>
  <c r="BK154" i="6"/>
  <c r="Q154" i="6" s="1"/>
  <c r="S154" i="6" s="1"/>
  <c r="U154" i="6" s="1"/>
  <c r="BK222" i="6"/>
  <c r="Q222" i="6" s="1"/>
  <c r="S222" i="6" s="1"/>
  <c r="U222" i="6" s="1"/>
  <c r="BK162" i="6"/>
  <c r="Q162" i="6" s="1"/>
  <c r="S162" i="6" s="1"/>
  <c r="U162" i="6" s="1"/>
  <c r="BK175" i="6"/>
  <c r="Q175" i="6" s="1"/>
  <c r="S175" i="6" s="1"/>
  <c r="U175" i="6" s="1"/>
  <c r="BK128" i="6"/>
  <c r="Q128" i="6" s="1"/>
  <c r="S128" i="6" s="1"/>
  <c r="U128" i="6" s="1"/>
  <c r="BK155" i="6"/>
  <c r="Q155" i="6" s="1"/>
  <c r="S155" i="6" s="1"/>
  <c r="U155" i="6" s="1"/>
  <c r="BK142" i="6"/>
  <c r="Q142" i="6" s="1"/>
  <c r="S142" i="6" s="1"/>
  <c r="U142" i="6" s="1"/>
  <c r="BK232" i="6"/>
  <c r="Q232" i="6" s="1"/>
  <c r="S232" i="6" s="1"/>
  <c r="U232" i="6" s="1"/>
  <c r="BK124" i="6"/>
  <c r="Q124" i="6" s="1"/>
  <c r="S124" i="6" s="1"/>
  <c r="U124" i="6" s="1"/>
  <c r="BK195" i="6"/>
  <c r="Q195" i="6" s="1"/>
  <c r="S195" i="6" s="1"/>
  <c r="U195" i="6" s="1"/>
  <c r="BK225" i="6"/>
  <c r="Q225" i="6" s="1"/>
  <c r="S225" i="6" s="1"/>
  <c r="U225" i="6" s="1"/>
  <c r="BK198" i="6"/>
  <c r="Q198" i="6" s="1"/>
  <c r="S198" i="6" s="1"/>
  <c r="U198" i="6" s="1"/>
  <c r="BK134" i="6"/>
  <c r="Q134" i="6" s="1"/>
  <c r="S134" i="6" s="1"/>
  <c r="U134" i="6" s="1"/>
  <c r="BK184" i="6"/>
  <c r="Q184" i="6" s="1"/>
  <c r="S184" i="6" s="1"/>
  <c r="U184" i="6" s="1"/>
  <c r="BK216" i="6"/>
  <c r="Q216" i="6" s="1"/>
  <c r="S216" i="6" s="1"/>
  <c r="U216" i="6" s="1"/>
  <c r="BK133" i="6"/>
  <c r="Q133" i="6" s="1"/>
  <c r="S133" i="6" s="1"/>
  <c r="U133" i="6" s="1"/>
  <c r="BK120" i="6"/>
  <c r="Q120" i="6" s="1"/>
  <c r="S120" i="6" s="1"/>
  <c r="U120" i="6" s="1"/>
  <c r="BK190" i="6"/>
  <c r="Q190" i="6" s="1"/>
  <c r="S190" i="6" s="1"/>
  <c r="U190" i="6" s="1"/>
  <c r="BK213" i="6"/>
  <c r="Q213" i="6" s="1"/>
  <c r="S213" i="6" s="1"/>
  <c r="U213" i="6" s="1"/>
  <c r="BK239" i="6"/>
  <c r="Q239" i="6" s="1"/>
  <c r="S239" i="6" s="1"/>
  <c r="U239" i="6" s="1"/>
  <c r="BK137" i="6"/>
  <c r="Q137" i="6" s="1"/>
  <c r="S137" i="6" s="1"/>
  <c r="U137" i="6" s="1"/>
  <c r="BK220" i="6"/>
  <c r="Q220" i="6" s="1"/>
  <c r="S220" i="6" s="1"/>
  <c r="U220" i="6" s="1"/>
  <c r="BK156" i="6"/>
  <c r="Q156" i="6" s="1"/>
  <c r="S156" i="6" s="1"/>
  <c r="U156" i="6" s="1"/>
  <c r="BK206" i="6"/>
  <c r="Q206" i="6" s="1"/>
  <c r="S206" i="6" s="1"/>
  <c r="U206" i="6" s="1"/>
  <c r="BK194" i="6"/>
  <c r="Q194" i="6" s="1"/>
  <c r="S194" i="6" s="1"/>
  <c r="U194" i="6" s="1"/>
  <c r="BK186" i="6"/>
  <c r="Q186" i="6" s="1"/>
  <c r="S186" i="6" s="1"/>
  <c r="U186" i="6" s="1"/>
  <c r="BK135" i="6"/>
  <c r="Q135" i="6" s="1"/>
  <c r="S135" i="6" s="1"/>
  <c r="U135" i="6" s="1"/>
  <c r="BK168" i="6"/>
  <c r="Q168" i="6" s="1"/>
  <c r="S168" i="6" s="1"/>
  <c r="U168" i="6" s="1"/>
  <c r="BK218" i="6"/>
  <c r="Q218" i="6" s="1"/>
  <c r="S218" i="6" s="1"/>
  <c r="U218" i="6" s="1"/>
  <c r="BK191" i="6"/>
  <c r="Q191" i="6" s="1"/>
  <c r="S191" i="6" s="1"/>
  <c r="U191" i="6" s="1"/>
  <c r="BK173" i="6"/>
  <c r="Q173" i="6" s="1"/>
  <c r="S173" i="6" s="1"/>
  <c r="U173" i="6" s="1"/>
  <c r="BK224" i="6"/>
  <c r="Q224" i="6" s="1"/>
  <c r="S224" i="6" s="1"/>
  <c r="U224" i="6" s="1"/>
  <c r="BK203" i="6"/>
  <c r="Q203" i="6" s="1"/>
  <c r="S203" i="6" s="1"/>
  <c r="U203" i="6" s="1"/>
  <c r="BK132" i="6"/>
  <c r="Q132" i="6" s="1"/>
  <c r="S132" i="6" s="1"/>
  <c r="U132" i="6" s="1"/>
  <c r="BK131" i="6"/>
  <c r="Q131" i="6" s="1"/>
  <c r="S131" i="6" s="1"/>
  <c r="U131" i="6" s="1"/>
  <c r="BK164" i="6"/>
  <c r="Q164" i="6" s="1"/>
  <c r="S164" i="6" s="1"/>
  <c r="U164" i="6" s="1"/>
  <c r="BK122" i="6"/>
  <c r="Q122" i="6" s="1"/>
  <c r="S122" i="6" s="1"/>
  <c r="U122" i="6" s="1"/>
  <c r="BK245" i="6"/>
  <c r="Q245" i="6" s="1"/>
  <c r="S245" i="6" s="1"/>
  <c r="U245" i="6" s="1"/>
  <c r="BK212" i="6"/>
  <c r="Q212" i="6" s="1"/>
  <c r="S212" i="6" s="1"/>
  <c r="U212" i="6" s="1"/>
  <c r="BK174" i="6"/>
  <c r="Q174" i="6" s="1"/>
  <c r="S174" i="6" s="1"/>
  <c r="U174" i="6" s="1"/>
  <c r="BK147" i="6"/>
  <c r="Q147" i="6" s="1"/>
  <c r="S147" i="6" s="1"/>
  <c r="U147" i="6" s="1"/>
  <c r="BK247" i="6"/>
  <c r="Q247" i="6" s="1"/>
  <c r="S247" i="6" s="1"/>
  <c r="U247" i="6" s="1"/>
  <c r="BK246" i="6"/>
  <c r="Q246" i="6" s="1"/>
  <c r="S246" i="6" s="1"/>
  <c r="U246" i="6" s="1"/>
  <c r="BK176" i="6"/>
  <c r="Q176" i="6" s="1"/>
  <c r="S176" i="6" s="1"/>
  <c r="U176" i="6" s="1"/>
  <c r="BK228" i="6"/>
  <c r="Q228" i="6" s="1"/>
  <c r="S228" i="6" s="1"/>
  <c r="U228" i="6" s="1"/>
  <c r="BK241" i="6"/>
  <c r="Q241" i="6" s="1"/>
  <c r="S241" i="6" s="1"/>
  <c r="U241" i="6" s="1"/>
  <c r="BK243" i="6"/>
  <c r="Q243" i="6" s="1"/>
  <c r="S243" i="6" s="1"/>
  <c r="U243" i="6" s="1"/>
  <c r="BK230" i="6"/>
  <c r="Q230" i="6" s="1"/>
  <c r="S230" i="6" s="1"/>
  <c r="U230" i="6" s="1"/>
  <c r="BK144" i="6"/>
  <c r="Q144" i="6" s="1"/>
  <c r="S144" i="6" s="1"/>
  <c r="U144" i="6" s="1"/>
  <c r="BK223" i="6"/>
  <c r="Q223" i="6" s="1"/>
  <c r="S223" i="6" s="1"/>
  <c r="U223" i="6" s="1"/>
  <c r="BK234" i="6"/>
  <c r="Q234" i="6" s="1"/>
  <c r="S234" i="6" s="1"/>
  <c r="U234" i="6" s="1"/>
  <c r="BK240" i="6"/>
  <c r="Q240" i="6" s="1"/>
  <c r="S240" i="6" s="1"/>
  <c r="U240" i="6" s="1"/>
  <c r="BK235" i="6"/>
  <c r="Q235" i="6" s="1"/>
  <c r="S235" i="6" s="1"/>
  <c r="U235" i="6" s="1"/>
  <c r="BK180" i="6"/>
  <c r="Q180" i="6" s="1"/>
  <c r="S180" i="6" s="1"/>
  <c r="U180" i="6" s="1"/>
  <c r="BK159" i="6"/>
  <c r="Q159" i="6" s="1"/>
  <c r="S159" i="6" s="1"/>
  <c r="U159" i="6" s="1"/>
  <c r="BK242" i="6"/>
  <c r="Q242" i="6" s="1"/>
  <c r="S242" i="6" s="1"/>
  <c r="U242" i="6" s="1"/>
  <c r="BK200" i="6"/>
  <c r="Q200" i="6" s="1"/>
  <c r="S200" i="6" s="1"/>
  <c r="U200" i="6" s="1"/>
  <c r="BK140" i="6"/>
  <c r="Q140" i="6" s="1"/>
  <c r="S140" i="6" s="1"/>
  <c r="U140" i="6" s="1"/>
  <c r="BK219" i="6"/>
  <c r="Q219" i="6" s="1"/>
  <c r="S219" i="6" s="1"/>
  <c r="U219" i="6" s="1"/>
  <c r="BK238" i="6"/>
  <c r="Q238" i="6" s="1"/>
  <c r="S238" i="6" s="1"/>
  <c r="U238" i="6" s="1"/>
  <c r="BK177" i="6"/>
  <c r="Q177" i="6" s="1"/>
  <c r="S177" i="6" s="1"/>
  <c r="U177" i="6" s="1"/>
  <c r="BK208" i="6"/>
  <c r="Q208" i="6" s="1"/>
  <c r="S208" i="6" s="1"/>
  <c r="U208" i="6" s="1"/>
  <c r="BK188" i="6"/>
  <c r="Q188" i="6" s="1"/>
  <c r="S188" i="6" s="1"/>
  <c r="U188" i="6" s="1"/>
  <c r="BK157" i="6"/>
  <c r="Q157" i="6" s="1"/>
  <c r="S157" i="6" s="1"/>
  <c r="U157" i="6" s="1"/>
  <c r="BK146" i="6"/>
  <c r="Q146" i="6" s="1"/>
  <c r="S146" i="6" s="1"/>
  <c r="U146" i="6" s="1"/>
  <c r="BK130" i="6"/>
  <c r="Q130" i="6" s="1"/>
  <c r="S130" i="6" s="1"/>
  <c r="U130" i="6" s="1"/>
  <c r="BK125" i="6"/>
  <c r="Q125" i="6" s="1"/>
  <c r="S125" i="6" s="1"/>
  <c r="U125" i="6" s="1"/>
  <c r="BK129" i="6"/>
  <c r="Q129" i="6" s="1"/>
  <c r="S129" i="6" s="1"/>
  <c r="U129" i="6" s="1"/>
  <c r="BK136" i="6"/>
  <c r="Q136" i="6" s="1"/>
  <c r="S136" i="6" s="1"/>
  <c r="U136" i="6" s="1"/>
  <c r="BK202" i="6"/>
  <c r="Q202" i="6" s="1"/>
  <c r="S202" i="6" s="1"/>
  <c r="U202" i="6" s="1"/>
  <c r="BK178" i="6"/>
  <c r="Q178" i="6" s="1"/>
  <c r="S178" i="6" s="1"/>
  <c r="U178" i="6" s="1"/>
  <c r="BK250" i="6"/>
  <c r="Q250" i="6" s="1"/>
  <c r="S250" i="6" s="1"/>
  <c r="U250" i="6" s="1"/>
  <c r="BK153" i="6"/>
  <c r="Q153" i="6" s="1"/>
  <c r="S153" i="6" s="1"/>
  <c r="U153" i="6" s="1"/>
  <c r="BK150" i="6"/>
  <c r="Q150" i="6" s="1"/>
  <c r="S150" i="6" s="1"/>
  <c r="U150" i="6" s="1"/>
  <c r="BK221" i="6"/>
  <c r="Q221" i="6" s="1"/>
  <c r="S221" i="6" s="1"/>
  <c r="U221" i="6" s="1"/>
  <c r="BK210" i="6"/>
  <c r="Q210" i="6" s="1"/>
  <c r="S210" i="6" s="1"/>
  <c r="U210" i="6" s="1"/>
  <c r="BK201" i="6"/>
  <c r="Q201" i="6" s="1"/>
  <c r="S201" i="6" s="1"/>
  <c r="U201" i="6" s="1"/>
  <c r="BK152" i="6"/>
  <c r="Q152" i="6" s="1"/>
  <c r="S152" i="6" s="1"/>
  <c r="U152" i="6" s="1"/>
  <c r="BK169" i="6"/>
  <c r="Q169" i="6" s="1"/>
  <c r="S169" i="6" s="1"/>
  <c r="U169" i="6" s="1"/>
  <c r="BK151" i="6"/>
  <c r="Q151" i="6" s="1"/>
  <c r="S151" i="6" s="1"/>
  <c r="U151" i="6" s="1"/>
  <c r="BK181" i="6"/>
  <c r="Q181" i="6" s="1"/>
  <c r="S181" i="6" s="1"/>
  <c r="U181" i="6" s="1"/>
  <c r="L657" i="6"/>
  <c r="U657" i="6" s="1"/>
  <c r="U740" i="6"/>
  <c r="L742" i="6"/>
  <c r="U742" i="6" s="1"/>
  <c r="BK114" i="6"/>
  <c r="P17" i="8"/>
  <c r="AL17" i="8" s="1"/>
  <c r="P22" i="8"/>
  <c r="AL22" i="8" s="1"/>
  <c r="P20" i="8"/>
  <c r="AA20" i="8" s="1"/>
  <c r="P18" i="8"/>
  <c r="AL18" i="8" s="1"/>
  <c r="P24" i="8"/>
  <c r="AL24" i="8" s="1"/>
  <c r="P25" i="8"/>
  <c r="AA25" i="8" s="1"/>
  <c r="U857" i="6"/>
  <c r="L13" i="2" s="1"/>
  <c r="U204" i="9"/>
  <c r="V204" i="9" s="1"/>
  <c r="W204" i="9" s="1"/>
  <c r="X204" i="9" s="1"/>
  <c r="Y204" i="9" s="1"/>
  <c r="Z204" i="9" s="1"/>
  <c r="AA204" i="9" s="1"/>
  <c r="AB204" i="9" s="1"/>
  <c r="AC204" i="9" s="1"/>
  <c r="AD204" i="9" s="1"/>
  <c r="AE204" i="9" s="1"/>
  <c r="AF204" i="9" s="1"/>
  <c r="AG204" i="9" s="1"/>
  <c r="AH204" i="9" s="1"/>
  <c r="AI204" i="9" s="1"/>
  <c r="AJ204" i="9" s="1"/>
  <c r="AK204" i="9" s="1"/>
  <c r="AL204" i="9" s="1"/>
  <c r="AM204" i="9" s="1"/>
  <c r="AN204" i="9" s="1"/>
  <c r="AO204" i="9" s="1"/>
  <c r="AP204" i="9" s="1"/>
  <c r="AQ204" i="9" s="1"/>
  <c r="AR204" i="9" s="1"/>
  <c r="AS204" i="9" s="1"/>
  <c r="AT204" i="9" s="1"/>
  <c r="AU204" i="9" s="1"/>
  <c r="AV204" i="9" s="1"/>
  <c r="AW204" i="9" s="1"/>
  <c r="AX204" i="9" s="1"/>
  <c r="AY204" i="9" s="1"/>
  <c r="AZ204" i="9" s="1"/>
  <c r="BA204" i="9" s="1"/>
  <c r="BB204" i="9" s="1"/>
  <c r="BC204" i="9" s="1"/>
  <c r="BD204" i="9" s="1"/>
  <c r="BE204" i="9" s="1"/>
  <c r="BF204" i="9" s="1"/>
  <c r="BG204" i="9" s="1"/>
  <c r="BH204" i="9" s="1"/>
  <c r="BI204" i="9" s="1"/>
  <c r="BJ204" i="9" s="1"/>
  <c r="BK204" i="9" s="1"/>
  <c r="BL204" i="9" s="1"/>
  <c r="U1378" i="6"/>
  <c r="L21" i="2" s="1"/>
  <c r="AA23" i="2"/>
  <c r="E669" i="11"/>
  <c r="N1194" i="6" s="1"/>
  <c r="G684" i="11"/>
  <c r="D669" i="11"/>
  <c r="D675" i="11"/>
  <c r="L1200" i="6" s="1"/>
  <c r="E675" i="11"/>
  <c r="N1200" i="6" s="1"/>
  <c r="Q692" i="9"/>
  <c r="R692" i="9" s="1"/>
  <c r="K684" i="11"/>
  <c r="D679" i="11"/>
  <c r="L1204" i="6" s="1"/>
  <c r="E679" i="11"/>
  <c r="N1204" i="6" s="1"/>
  <c r="Q684" i="11"/>
  <c r="D670" i="11"/>
  <c r="L1195" i="6" s="1"/>
  <c r="E670" i="11"/>
  <c r="N1195" i="6" s="1"/>
  <c r="L684" i="11"/>
  <c r="R684" i="11"/>
  <c r="P684" i="11"/>
  <c r="D680" i="11"/>
  <c r="L1205" i="6" s="1"/>
  <c r="E680" i="11"/>
  <c r="N1205" i="6" s="1"/>
  <c r="E676" i="11"/>
  <c r="N1201" i="6" s="1"/>
  <c r="D676" i="11"/>
  <c r="L1201" i="6" s="1"/>
  <c r="L1452" i="6"/>
  <c r="U1452" i="6" s="1"/>
  <c r="E671" i="11"/>
  <c r="N1196" i="6" s="1"/>
  <c r="D671" i="11"/>
  <c r="L1196" i="6" s="1"/>
  <c r="S98" i="9"/>
  <c r="J7" i="14" s="1"/>
  <c r="T98" i="9"/>
  <c r="D672" i="11"/>
  <c r="L1197" i="6" s="1"/>
  <c r="E672" i="11"/>
  <c r="N1197" i="6" s="1"/>
  <c r="D674" i="11"/>
  <c r="L1199" i="6" s="1"/>
  <c r="E674" i="11"/>
  <c r="N1199" i="6" s="1"/>
  <c r="D678" i="11"/>
  <c r="L1203" i="6" s="1"/>
  <c r="E678" i="11"/>
  <c r="N1203" i="6" s="1"/>
  <c r="N684" i="11"/>
  <c r="J62" i="18"/>
  <c r="H62" i="18"/>
  <c r="I62" i="18"/>
  <c r="AN62" i="18"/>
  <c r="AQ62" i="18"/>
  <c r="P14" i="8"/>
  <c r="AL14" i="8" s="1"/>
  <c r="BP62" i="18"/>
  <c r="BA62" i="18"/>
  <c r="BN62" i="18"/>
  <c r="E62" i="18"/>
  <c r="AH62" i="18"/>
  <c r="K62" i="18"/>
  <c r="AX62" i="18"/>
  <c r="AU62" i="18"/>
  <c r="G62" i="18"/>
  <c r="BM62" i="18"/>
  <c r="Y62" i="18"/>
  <c r="W62" i="18"/>
  <c r="BE62" i="18"/>
  <c r="L62" i="18"/>
  <c r="AY62" i="18"/>
  <c r="Z62" i="18"/>
  <c r="AF62" i="18"/>
  <c r="BC62" i="18"/>
  <c r="AE62" i="18"/>
  <c r="AB62" i="18"/>
  <c r="BH62" i="18"/>
  <c r="AR62" i="18"/>
  <c r="C104" i="14"/>
  <c r="BG62" i="18"/>
  <c r="BI62" i="18"/>
  <c r="AT62" i="18"/>
  <c r="O62" i="18"/>
  <c r="AV62" i="18"/>
  <c r="AS62" i="18"/>
  <c r="AP62" i="18"/>
  <c r="AZ62" i="18"/>
  <c r="AO62" i="18"/>
  <c r="BK62" i="18"/>
  <c r="S62" i="18"/>
  <c r="BB62" i="18"/>
  <c r="AD62" i="18"/>
  <c r="Q62" i="18"/>
  <c r="R62" i="18"/>
  <c r="T62" i="18"/>
  <c r="BO62" i="18"/>
  <c r="BJ62" i="18"/>
  <c r="AL62" i="18"/>
  <c r="N62" i="18"/>
  <c r="V62" i="18"/>
  <c r="BF62" i="18"/>
  <c r="AC62" i="18"/>
  <c r="BL62" i="18"/>
  <c r="U62" i="18"/>
  <c r="AA62" i="18"/>
  <c r="AG62" i="18"/>
  <c r="M62" i="18"/>
  <c r="X62" i="18"/>
  <c r="BD62" i="18"/>
  <c r="P62" i="18"/>
  <c r="AI62" i="18"/>
  <c r="AW62" i="18"/>
  <c r="AJ62" i="18"/>
  <c r="AK62" i="18"/>
  <c r="AM62" i="18"/>
  <c r="F62" i="18"/>
  <c r="L862" i="9"/>
  <c r="D682" i="11"/>
  <c r="L1207" i="6" s="1"/>
  <c r="E682" i="11"/>
  <c r="N1207" i="6" s="1"/>
  <c r="J684" i="11"/>
  <c r="L668" i="6"/>
  <c r="L944" i="6"/>
  <c r="U944" i="6" s="1"/>
  <c r="L686" i="6"/>
  <c r="L848" i="6"/>
  <c r="U848" i="6" s="1"/>
  <c r="L766" i="6"/>
  <c r="U766" i="6" s="1"/>
  <c r="L960" i="6"/>
  <c r="U960" i="6" s="1"/>
  <c r="L765" i="6"/>
  <c r="L963" i="6"/>
  <c r="U963" i="6" s="1"/>
  <c r="L950" i="6"/>
  <c r="U950" i="6" s="1"/>
  <c r="L957" i="6"/>
  <c r="U957" i="6" s="1"/>
  <c r="L851" i="6"/>
  <c r="U851" i="6" s="1"/>
  <c r="L953" i="6"/>
  <c r="U953" i="6" s="1"/>
  <c r="L956" i="6"/>
  <c r="U956" i="6" s="1"/>
  <c r="L678" i="6"/>
  <c r="U678" i="6" s="1"/>
  <c r="L692" i="6"/>
  <c r="U692" i="6" s="1"/>
  <c r="L738" i="6"/>
  <c r="U738" i="6" s="1"/>
  <c r="L691" i="6"/>
  <c r="U691" i="6" s="1"/>
  <c r="L672" i="6"/>
  <c r="U672" i="6" s="1"/>
  <c r="L850" i="6"/>
  <c r="U850" i="6" s="1"/>
  <c r="L690" i="6"/>
  <c r="U690" i="6" s="1"/>
  <c r="L946" i="6"/>
  <c r="U946" i="6" s="1"/>
  <c r="L731" i="6"/>
  <c r="U731" i="6" s="1"/>
  <c r="L767" i="6"/>
  <c r="U767" i="6" s="1"/>
  <c r="L959" i="6"/>
  <c r="U959" i="6" s="1"/>
  <c r="L680" i="6"/>
  <c r="U680" i="6" s="1"/>
  <c r="L961" i="6"/>
  <c r="U961" i="6" s="1"/>
  <c r="L954" i="6"/>
  <c r="U954" i="6" s="1"/>
  <c r="L730" i="6"/>
  <c r="U730" i="6" s="1"/>
  <c r="L962" i="6"/>
  <c r="U962" i="6" s="1"/>
  <c r="L732" i="6"/>
  <c r="U732" i="6" s="1"/>
  <c r="L673" i="6"/>
  <c r="U673" i="6" s="1"/>
  <c r="L777" i="6"/>
  <c r="L955" i="6"/>
  <c r="U955" i="6" s="1"/>
  <c r="L739" i="6"/>
  <c r="U739" i="6" s="1"/>
  <c r="L693" i="6"/>
  <c r="U693" i="6" s="1"/>
  <c r="L947" i="6"/>
  <c r="U947" i="6" s="1"/>
  <c r="L689" i="6"/>
  <c r="U689" i="6" s="1"/>
  <c r="L681" i="6"/>
  <c r="U681" i="6" s="1"/>
  <c r="L949" i="6"/>
  <c r="L736" i="6"/>
  <c r="U736" i="6" s="1"/>
  <c r="L945" i="6"/>
  <c r="U945" i="6" s="1"/>
  <c r="L697" i="6"/>
  <c r="U697" i="6" s="1"/>
  <c r="L734" i="6"/>
  <c r="U734" i="6" s="1"/>
  <c r="L675" i="6"/>
  <c r="U675" i="6" s="1"/>
  <c r="L735" i="6"/>
  <c r="U735" i="6" s="1"/>
  <c r="L733" i="6"/>
  <c r="U733" i="6" s="1"/>
  <c r="L674" i="6"/>
  <c r="U674" i="6" s="1"/>
  <c r="L849" i="6"/>
  <c r="U849" i="6" s="1"/>
  <c r="L775" i="6"/>
  <c r="U775" i="6" s="1"/>
  <c r="L952" i="6"/>
  <c r="U952" i="6" s="1"/>
  <c r="L737" i="6"/>
  <c r="U737" i="6" s="1"/>
  <c r="L698" i="6"/>
  <c r="U698" i="6" s="1"/>
  <c r="L699" i="6"/>
  <c r="U699" i="6" s="1"/>
  <c r="L671" i="6"/>
  <c r="U671" i="6" s="1"/>
  <c r="L958" i="6"/>
  <c r="U958" i="6" s="1"/>
  <c r="L951" i="6"/>
  <c r="U951" i="6" s="1"/>
  <c r="L696" i="6"/>
  <c r="U696" i="6" s="1"/>
  <c r="L679" i="6"/>
  <c r="U679" i="6" s="1"/>
  <c r="L948" i="6"/>
  <c r="L776" i="6"/>
  <c r="U776" i="6" s="1"/>
  <c r="E673" i="11"/>
  <c r="N1198" i="6" s="1"/>
  <c r="D673" i="11"/>
  <c r="L1198" i="6" s="1"/>
  <c r="E677" i="11"/>
  <c r="N1202" i="6" s="1"/>
  <c r="D677" i="11"/>
  <c r="L1202" i="6" s="1"/>
  <c r="I684" i="11"/>
  <c r="D683" i="11"/>
  <c r="L1208" i="6" s="1"/>
  <c r="E683" i="11"/>
  <c r="N1208" i="6" s="1"/>
  <c r="E681" i="11"/>
  <c r="N1206" i="6" s="1"/>
  <c r="D681" i="11"/>
  <c r="L1206" i="6" s="1"/>
  <c r="M684" i="11"/>
  <c r="O684" i="11"/>
  <c r="H684" i="11"/>
  <c r="BB521" i="8" l="1"/>
  <c r="BC521" i="8" s="1"/>
  <c r="AC196" i="11"/>
  <c r="AB196" i="11"/>
  <c r="AT196" i="11"/>
  <c r="BK196" i="11"/>
  <c r="N196" i="11"/>
  <c r="AD196" i="11"/>
  <c r="AQ196" i="11"/>
  <c r="AE196" i="11"/>
  <c r="AW196" i="11"/>
  <c r="BC196" i="11"/>
  <c r="BF196" i="11"/>
  <c r="AA196" i="11"/>
  <c r="AR196" i="11"/>
  <c r="J196" i="11"/>
  <c r="BE196" i="11"/>
  <c r="AV196" i="11"/>
  <c r="AI196" i="11"/>
  <c r="AY196" i="11"/>
  <c r="M196" i="11"/>
  <c r="AG196" i="11"/>
  <c r="AG57" i="18"/>
  <c r="AC57" i="18"/>
  <c r="AQ57" i="18"/>
  <c r="BK57" i="18"/>
  <c r="AU57" i="18"/>
  <c r="AN57" i="18"/>
  <c r="BM57" i="18"/>
  <c r="BB57" i="18"/>
  <c r="AI57" i="18"/>
  <c r="C99" i="14"/>
  <c r="AV57" i="18"/>
  <c r="Q57" i="18"/>
  <c r="AA57" i="18"/>
  <c r="L57" i="18"/>
  <c r="AJ57" i="18"/>
  <c r="R57" i="18"/>
  <c r="P9" i="8"/>
  <c r="AL9" i="8" s="1"/>
  <c r="AX57" i="18"/>
  <c r="Y57" i="18"/>
  <c r="X57" i="18"/>
  <c r="BF57" i="18"/>
  <c r="BJ57" i="18"/>
  <c r="AZ57" i="18"/>
  <c r="BO57" i="18"/>
  <c r="AW57" i="18"/>
  <c r="AB57" i="18"/>
  <c r="H57" i="18"/>
  <c r="V57" i="18"/>
  <c r="AS57" i="18"/>
  <c r="BN57" i="18"/>
  <c r="BE57" i="18"/>
  <c r="BC57" i="18"/>
  <c r="J57" i="18"/>
  <c r="N57" i="18"/>
  <c r="AF57" i="18"/>
  <c r="BD57" i="18"/>
  <c r="AK57" i="18"/>
  <c r="Z57" i="18"/>
  <c r="BL57" i="18"/>
  <c r="P57" i="18"/>
  <c r="BI57" i="18"/>
  <c r="O57" i="18"/>
  <c r="G57" i="18"/>
  <c r="BG57" i="18"/>
  <c r="AL57" i="18"/>
  <c r="BA57" i="18"/>
  <c r="W57" i="18"/>
  <c r="BP57" i="18"/>
  <c r="AE57" i="18"/>
  <c r="AO57" i="18"/>
  <c r="AD57" i="18"/>
  <c r="AT57" i="18"/>
  <c r="U57" i="18"/>
  <c r="AY57" i="18"/>
  <c r="AP57" i="18"/>
  <c r="BH57" i="18"/>
  <c r="S57" i="18"/>
  <c r="AH57" i="18"/>
  <c r="E57" i="18"/>
  <c r="AM57" i="18"/>
  <c r="T57" i="18"/>
  <c r="F57" i="18"/>
  <c r="AR57" i="18"/>
  <c r="K57" i="18"/>
  <c r="M57" i="18"/>
  <c r="I57" i="18"/>
  <c r="L639" i="6"/>
  <c r="U638" i="6"/>
  <c r="BB517" i="8"/>
  <c r="BC517" i="8" s="1"/>
  <c r="BB433" i="8"/>
  <c r="BC433" i="8" s="1"/>
  <c r="P63" i="18"/>
  <c r="AX63" i="18"/>
  <c r="S63" i="18"/>
  <c r="T63" i="18"/>
  <c r="AZ63" i="18"/>
  <c r="AG63" i="18"/>
  <c r="BE63" i="18"/>
  <c r="AD63" i="18"/>
  <c r="C105" i="14"/>
  <c r="Z63" i="18"/>
  <c r="AE63" i="18"/>
  <c r="AJ63" i="18"/>
  <c r="AN63" i="18"/>
  <c r="AO63" i="18"/>
  <c r="BO63" i="18"/>
  <c r="BB63" i="18"/>
  <c r="AC63" i="18"/>
  <c r="AS63" i="18"/>
  <c r="M63" i="18"/>
  <c r="L63" i="18"/>
  <c r="AL63" i="18"/>
  <c r="AW63" i="18"/>
  <c r="H63" i="18"/>
  <c r="AH63" i="18"/>
  <c r="W63" i="18"/>
  <c r="AQ63" i="18"/>
  <c r="P15" i="8"/>
  <c r="BA63" i="18"/>
  <c r="U63" i="18"/>
  <c r="AY63" i="18"/>
  <c r="AU63" i="18"/>
  <c r="BD63" i="18"/>
  <c r="AI63" i="18"/>
  <c r="I63" i="18"/>
  <c r="Y63" i="18"/>
  <c r="BG63" i="18"/>
  <c r="E63" i="18"/>
  <c r="BH63" i="18"/>
  <c r="J63" i="18"/>
  <c r="AK63" i="18"/>
  <c r="N63" i="18"/>
  <c r="F63" i="18"/>
  <c r="BN63" i="18"/>
  <c r="AT63" i="18"/>
  <c r="BL63" i="18"/>
  <c r="BI63" i="18"/>
  <c r="AB63" i="18"/>
  <c r="BM63" i="18"/>
  <c r="AF63" i="18"/>
  <c r="BP63" i="18"/>
  <c r="R63" i="18"/>
  <c r="AM63" i="18"/>
  <c r="BC63" i="18"/>
  <c r="V63" i="18"/>
  <c r="BJ63" i="18"/>
  <c r="O63" i="18"/>
  <c r="AR63" i="18"/>
  <c r="AA63" i="18"/>
  <c r="K63" i="18"/>
  <c r="BF63" i="18"/>
  <c r="AP63" i="18"/>
  <c r="BK63" i="18"/>
  <c r="AV63" i="18"/>
  <c r="X63" i="18"/>
  <c r="G63" i="18"/>
  <c r="Q63" i="18"/>
  <c r="BB382" i="8"/>
  <c r="BC382" i="8" s="1"/>
  <c r="BB424" i="8"/>
  <c r="BC424" i="8" s="1"/>
  <c r="BB487" i="8"/>
  <c r="BC487" i="8" s="1"/>
  <c r="BB466" i="8"/>
  <c r="BC466" i="8" s="1"/>
  <c r="BB529" i="8"/>
  <c r="BC529" i="8" s="1"/>
  <c r="BB508" i="8"/>
  <c r="BC508" i="8" s="1"/>
  <c r="BB445" i="8"/>
  <c r="BC445" i="8" s="1"/>
  <c r="Q108" i="6"/>
  <c r="S108" i="6" s="1"/>
  <c r="U108" i="6" s="1"/>
  <c r="BB152" i="8"/>
  <c r="BC152" i="8" s="1"/>
  <c r="BB130" i="8"/>
  <c r="BC130" i="8" s="1"/>
  <c r="BB193" i="8"/>
  <c r="BC193" i="8" s="1"/>
  <c r="BB174" i="8"/>
  <c r="BC174" i="8" s="1"/>
  <c r="BB235" i="8"/>
  <c r="BC235" i="8" s="1"/>
  <c r="BB277" i="8"/>
  <c r="BC277" i="8" s="1"/>
  <c r="BB256" i="8"/>
  <c r="BC256" i="8" s="1"/>
  <c r="BB319" i="8"/>
  <c r="BC319" i="8" s="1"/>
  <c r="BB298" i="8"/>
  <c r="BC298" i="8" s="1"/>
  <c r="BB361" i="8"/>
  <c r="BC361" i="8" s="1"/>
  <c r="BB340" i="8"/>
  <c r="BC340" i="8" s="1"/>
  <c r="BB403" i="8"/>
  <c r="BC403" i="8" s="1"/>
  <c r="BB214" i="8"/>
  <c r="BC214" i="8" s="1"/>
  <c r="BZ439" i="9"/>
  <c r="AX197" i="11" s="1"/>
  <c r="V196" i="11"/>
  <c r="BJ196" i="11"/>
  <c r="BB170" i="8"/>
  <c r="BC170" i="8" s="1"/>
  <c r="BB399" i="8"/>
  <c r="BC399" i="8" s="1"/>
  <c r="BB311" i="8"/>
  <c r="BC311" i="8" s="1"/>
  <c r="Q106" i="6"/>
  <c r="S106" i="6" s="1"/>
  <c r="U106" i="6" s="1"/>
  <c r="BB233" i="8"/>
  <c r="BC233" i="8" s="1"/>
  <c r="Q104" i="6"/>
  <c r="S104" i="6" s="1"/>
  <c r="U104" i="6" s="1"/>
  <c r="BB315" i="8"/>
  <c r="BC315" i="8" s="1"/>
  <c r="BB437" i="8"/>
  <c r="BC437" i="8" s="1"/>
  <c r="BB458" i="8"/>
  <c r="BC458" i="8" s="1"/>
  <c r="BB227" i="8"/>
  <c r="BC227" i="8" s="1"/>
  <c r="BB332" i="8"/>
  <c r="BC332" i="8" s="1"/>
  <c r="BB122" i="8"/>
  <c r="BC122" i="8" s="1"/>
  <c r="BB206" i="8"/>
  <c r="BC206" i="8" s="1"/>
  <c r="BB479" i="8"/>
  <c r="BC479" i="8" s="1"/>
  <c r="BB162" i="8"/>
  <c r="BC162" i="8" s="1"/>
  <c r="BB525" i="8"/>
  <c r="BC525" i="8" s="1"/>
  <c r="BB126" i="8"/>
  <c r="BC126" i="8" s="1"/>
  <c r="BB294" i="8"/>
  <c r="BC294" i="8" s="1"/>
  <c r="BB244" i="8"/>
  <c r="BC244" i="8" s="1"/>
  <c r="BB151" i="8"/>
  <c r="BC151" i="8" s="1"/>
  <c r="BB269" i="8"/>
  <c r="BC269" i="8" s="1"/>
  <c r="BB416" i="8"/>
  <c r="BC416" i="8" s="1"/>
  <c r="BB192" i="8"/>
  <c r="BC192" i="8" s="1"/>
  <c r="BB273" i="8"/>
  <c r="BC273" i="8" s="1"/>
  <c r="Q100" i="6"/>
  <c r="S100" i="6" s="1"/>
  <c r="U100" i="6" s="1"/>
  <c r="BB223" i="8"/>
  <c r="BC223" i="8" s="1"/>
  <c r="BB370" i="8"/>
  <c r="BC370" i="8" s="1"/>
  <c r="BB462" i="8"/>
  <c r="BC462" i="8" s="1"/>
  <c r="BB118" i="8"/>
  <c r="BC118" i="8" s="1"/>
  <c r="BB181" i="8"/>
  <c r="BC181" i="8" s="1"/>
  <c r="BB248" i="8"/>
  <c r="BC248" i="8" s="1"/>
  <c r="BB374" i="8"/>
  <c r="BC374" i="8" s="1"/>
  <c r="BB286" i="8"/>
  <c r="BC286" i="8" s="1"/>
  <c r="BB353" i="8"/>
  <c r="BC353" i="8" s="1"/>
  <c r="BB378" i="8"/>
  <c r="BC378" i="8" s="1"/>
  <c r="BB496" i="8"/>
  <c r="BC496" i="8" s="1"/>
  <c r="BB144" i="8"/>
  <c r="BC144" i="8" s="1"/>
  <c r="BB185" i="8"/>
  <c r="BC185" i="8" s="1"/>
  <c r="BB210" i="8"/>
  <c r="BC210" i="8" s="1"/>
  <c r="BB290" i="8"/>
  <c r="BC290" i="8" s="1"/>
  <c r="BB357" i="8"/>
  <c r="BC357" i="8" s="1"/>
  <c r="BB500" i="8"/>
  <c r="BC500" i="8" s="1"/>
  <c r="Q107" i="6"/>
  <c r="S107" i="6" s="1"/>
  <c r="U107" i="6" s="1"/>
  <c r="BB360" i="8"/>
  <c r="BC360" i="8" s="1"/>
  <c r="BB423" i="8"/>
  <c r="BC423" i="8" s="1"/>
  <c r="AQ179" i="11"/>
  <c r="U180" i="11"/>
  <c r="W180" i="11"/>
  <c r="K179" i="11"/>
  <c r="AS180" i="11"/>
  <c r="I179" i="11"/>
  <c r="BM180" i="11"/>
  <c r="BL181" i="11"/>
  <c r="U179" i="11"/>
  <c r="AU180" i="11"/>
  <c r="AL180" i="11"/>
  <c r="AN181" i="11"/>
  <c r="BD179" i="11"/>
  <c r="BH180" i="11"/>
  <c r="BJ180" i="11"/>
  <c r="AX180" i="11"/>
  <c r="G180" i="11"/>
  <c r="BF180" i="11"/>
  <c r="V180" i="11"/>
  <c r="AJ179" i="11"/>
  <c r="BD180" i="11"/>
  <c r="BK180" i="11"/>
  <c r="AT180" i="11"/>
  <c r="O180" i="11"/>
  <c r="AC181" i="11"/>
  <c r="BC179" i="11"/>
  <c r="L181" i="11"/>
  <c r="BI179" i="11"/>
  <c r="T180" i="11"/>
  <c r="L179" i="11"/>
  <c r="AS181" i="11"/>
  <c r="Q181" i="11"/>
  <c r="AM180" i="11"/>
  <c r="AI180" i="11"/>
  <c r="BJ179" i="11"/>
  <c r="N181" i="11"/>
  <c r="BG181" i="11"/>
  <c r="BN180" i="11"/>
  <c r="AQ180" i="11"/>
  <c r="H180" i="11"/>
  <c r="BN181" i="11"/>
  <c r="BJ182" i="11"/>
  <c r="AN182" i="11"/>
  <c r="U181" i="11"/>
  <c r="BK182" i="11"/>
  <c r="AM181" i="11"/>
  <c r="AL182" i="11"/>
  <c r="Y181" i="11"/>
  <c r="N182" i="11"/>
  <c r="AW181" i="11"/>
  <c r="BI181" i="11"/>
  <c r="T182" i="11"/>
  <c r="BA181" i="11"/>
  <c r="AH181" i="11"/>
  <c r="AT182" i="11"/>
  <c r="BM182" i="11"/>
  <c r="AJ181" i="11"/>
  <c r="AW182" i="11"/>
  <c r="S181" i="11"/>
  <c r="BD181" i="11"/>
  <c r="Y182" i="11"/>
  <c r="L182" i="11"/>
  <c r="AI182" i="11"/>
  <c r="AO182" i="11"/>
  <c r="AR181" i="11"/>
  <c r="P181" i="11"/>
  <c r="R182" i="11"/>
  <c r="C181" i="11"/>
  <c r="X182" i="11"/>
  <c r="BI182" i="11"/>
  <c r="U182" i="11"/>
  <c r="V181" i="11"/>
  <c r="AI181" i="11"/>
  <c r="H182" i="11"/>
  <c r="AC182" i="11"/>
  <c r="BM181" i="11"/>
  <c r="W182" i="11"/>
  <c r="AF181" i="11"/>
  <c r="BF182" i="11"/>
  <c r="AD181" i="11"/>
  <c r="AA182" i="11"/>
  <c r="G181" i="11"/>
  <c r="AY182" i="11"/>
  <c r="I181" i="11"/>
  <c r="Q182" i="11"/>
  <c r="AS182" i="11"/>
  <c r="AG181" i="11"/>
  <c r="N57" i="11"/>
  <c r="G182" i="11"/>
  <c r="R181" i="11"/>
  <c r="O181" i="11"/>
  <c r="AU181" i="11"/>
  <c r="AF182" i="11"/>
  <c r="AX181" i="11"/>
  <c r="AE182" i="11"/>
  <c r="X181" i="11"/>
  <c r="BC182" i="11"/>
  <c r="BJ181" i="11"/>
  <c r="BH182" i="11"/>
  <c r="O182" i="11"/>
  <c r="BC181" i="11"/>
  <c r="Z182" i="11"/>
  <c r="AK181" i="11"/>
  <c r="AO181" i="11"/>
  <c r="BK181" i="11"/>
  <c r="I182" i="11"/>
  <c r="AL181" i="11"/>
  <c r="V182" i="11"/>
  <c r="W181" i="11"/>
  <c r="BL182" i="11"/>
  <c r="K181" i="11"/>
  <c r="H181" i="11"/>
  <c r="AB182" i="11"/>
  <c r="AJ182" i="11"/>
  <c r="BA182" i="11"/>
  <c r="AP181" i="11"/>
  <c r="AD182" i="11"/>
  <c r="J182" i="11"/>
  <c r="AV182" i="11"/>
  <c r="Z181" i="11"/>
  <c r="AZ181" i="11"/>
  <c r="M181" i="11"/>
  <c r="M178" i="11"/>
  <c r="P182" i="11"/>
  <c r="J181" i="11"/>
  <c r="AA181" i="11"/>
  <c r="AE181" i="11"/>
  <c r="AY181" i="11"/>
  <c r="AB181" i="11"/>
  <c r="AP182" i="11"/>
  <c r="AV181" i="11"/>
  <c r="AT181" i="11"/>
  <c r="BH181" i="11"/>
  <c r="G125" i="11"/>
  <c r="AH173" i="11"/>
  <c r="AK121" i="11"/>
  <c r="I173" i="11"/>
  <c r="AR173" i="11"/>
  <c r="AF177" i="11"/>
  <c r="BN50" i="11"/>
  <c r="O116" i="11"/>
  <c r="AM176" i="11"/>
  <c r="AU158" i="11"/>
  <c r="AJ48" i="11"/>
  <c r="AO29" i="11"/>
  <c r="BK77" i="11"/>
  <c r="AI53" i="11"/>
  <c r="BI125" i="11"/>
  <c r="BG39" i="11"/>
  <c r="AF125" i="11"/>
  <c r="V86" i="11"/>
  <c r="BD67" i="11"/>
  <c r="BI163" i="11"/>
  <c r="AE102" i="11"/>
  <c r="AU133" i="11"/>
  <c r="AS65" i="11"/>
  <c r="K129" i="11"/>
  <c r="BA83" i="11"/>
  <c r="AO156" i="11"/>
  <c r="AC37" i="11"/>
  <c r="AP79" i="11"/>
  <c r="Q118" i="11"/>
  <c r="AO87" i="11"/>
  <c r="AM111" i="11"/>
  <c r="J52" i="11"/>
  <c r="BA28" i="11"/>
  <c r="C28" i="11"/>
  <c r="O42" i="11"/>
  <c r="AZ154" i="11"/>
  <c r="BF46" i="11"/>
  <c r="Y78" i="11"/>
  <c r="O169" i="11"/>
  <c r="W118" i="11"/>
  <c r="J68" i="11"/>
  <c r="AB32" i="11"/>
  <c r="AB105" i="11"/>
  <c r="AT161" i="11"/>
  <c r="Z167" i="11"/>
  <c r="AG166" i="11"/>
  <c r="I135" i="11"/>
  <c r="W111" i="11"/>
  <c r="T33" i="11"/>
  <c r="C87" i="11"/>
  <c r="AG88" i="11"/>
  <c r="M50" i="11"/>
  <c r="K135" i="11"/>
  <c r="J107" i="11"/>
  <c r="AZ121" i="11"/>
  <c r="BI92" i="11"/>
  <c r="AG92" i="11"/>
  <c r="AG54" i="11"/>
  <c r="BM81" i="11"/>
  <c r="AM52" i="11"/>
  <c r="H147" i="11"/>
  <c r="BG142" i="11"/>
  <c r="P54" i="11"/>
  <c r="AQ91" i="11"/>
  <c r="BM146" i="11"/>
  <c r="V92" i="11"/>
  <c r="AL42" i="11"/>
  <c r="AU146" i="11"/>
  <c r="AU79" i="11"/>
  <c r="BA95" i="11"/>
  <c r="AJ47" i="11"/>
  <c r="AV39" i="11"/>
  <c r="BH132" i="11"/>
  <c r="W155" i="11"/>
  <c r="S86" i="11"/>
  <c r="Q87" i="11"/>
  <c r="AF133" i="11"/>
  <c r="J78" i="11"/>
  <c r="J136" i="11"/>
  <c r="AE95" i="11"/>
  <c r="BA73" i="11"/>
  <c r="AP177" i="11"/>
  <c r="P77" i="11"/>
  <c r="BM85" i="11"/>
  <c r="Y74" i="11"/>
  <c r="V31" i="11"/>
  <c r="BD88" i="11"/>
  <c r="H53" i="11"/>
  <c r="Z123" i="11"/>
  <c r="BD43" i="11"/>
  <c r="AE58" i="11"/>
  <c r="L43" i="11"/>
  <c r="BI122" i="11"/>
  <c r="BB79" i="11"/>
  <c r="AG138" i="11"/>
  <c r="J154" i="11"/>
  <c r="W31" i="11"/>
  <c r="AA33" i="11"/>
  <c r="AX173" i="11"/>
  <c r="AR178" i="11"/>
  <c r="BM184" i="11"/>
  <c r="AY192" i="11"/>
  <c r="H187" i="11"/>
  <c r="V175" i="11"/>
  <c r="U189" i="11"/>
  <c r="BJ183" i="11"/>
  <c r="AW183" i="11"/>
  <c r="W183" i="11"/>
  <c r="L170" i="11"/>
  <c r="AN175" i="11"/>
  <c r="BB34" i="11"/>
  <c r="X100" i="11"/>
  <c r="AP90" i="11"/>
  <c r="Q163" i="11"/>
  <c r="U85" i="11"/>
  <c r="G188" i="11"/>
  <c r="AK183" i="11"/>
  <c r="Z65" i="11"/>
  <c r="BM94" i="11"/>
  <c r="AL191" i="11"/>
  <c r="BG183" i="11"/>
  <c r="R192" i="11"/>
  <c r="BC35" i="11"/>
  <c r="W104" i="11"/>
  <c r="AG183" i="11"/>
  <c r="Z185" i="11"/>
  <c r="I192" i="11"/>
  <c r="AD188" i="11"/>
  <c r="BB87" i="11"/>
  <c r="AF87" i="11"/>
  <c r="AS135" i="11"/>
  <c r="AR53" i="11"/>
  <c r="AU196" i="11"/>
  <c r="AK182" i="11"/>
  <c r="P184" i="11"/>
  <c r="AY190" i="11"/>
  <c r="AH85" i="11"/>
  <c r="J70" i="11"/>
  <c r="AH123" i="11"/>
  <c r="AH167" i="11"/>
  <c r="AC186" i="11"/>
  <c r="BI183" i="11"/>
  <c r="AC183" i="11"/>
  <c r="I65" i="11"/>
  <c r="AZ166" i="11"/>
  <c r="J62" i="11"/>
  <c r="Y77" i="11"/>
  <c r="AM182" i="11"/>
  <c r="AP190" i="11"/>
  <c r="AR184" i="11"/>
  <c r="AQ186" i="11"/>
  <c r="BJ66" i="11"/>
  <c r="J131" i="11"/>
  <c r="AH151" i="11"/>
  <c r="Y189" i="11"/>
  <c r="Z74" i="11"/>
  <c r="AX29" i="11"/>
  <c r="AL49" i="11"/>
  <c r="AE185" i="11"/>
  <c r="BK185" i="11"/>
  <c r="AS50" i="11"/>
  <c r="AA146" i="11"/>
  <c r="AM169" i="11"/>
  <c r="Q159" i="11"/>
  <c r="T189" i="11"/>
  <c r="AZ192" i="11"/>
  <c r="AY70" i="11"/>
  <c r="AP99" i="11"/>
  <c r="K113" i="11"/>
  <c r="Y71" i="11"/>
  <c r="AI183" i="11"/>
  <c r="AU183" i="11"/>
  <c r="W187" i="11"/>
  <c r="AZ34" i="11"/>
  <c r="BI177" i="11"/>
  <c r="BF175" i="11"/>
  <c r="AW186" i="11"/>
  <c r="AX182" i="11"/>
  <c r="BE182" i="11"/>
  <c r="AT108" i="11"/>
  <c r="G74" i="11"/>
  <c r="S111" i="11"/>
  <c r="AR183" i="11"/>
  <c r="BB182" i="11"/>
  <c r="AH136" i="11"/>
  <c r="M179" i="11"/>
  <c r="BA118" i="11"/>
  <c r="AS186" i="11"/>
  <c r="W193" i="11"/>
  <c r="BN182" i="11"/>
  <c r="O90" i="11"/>
  <c r="AN64" i="11"/>
  <c r="G61" i="11"/>
  <c r="AA187" i="11"/>
  <c r="T150" i="11"/>
  <c r="V156" i="11"/>
  <c r="AP35" i="11"/>
  <c r="BK183" i="11"/>
  <c r="AV183" i="11"/>
  <c r="BH190" i="11"/>
  <c r="Q176" i="11"/>
  <c r="BN158" i="11"/>
  <c r="AU162" i="11"/>
  <c r="J41" i="11"/>
  <c r="K182" i="11"/>
  <c r="BG80" i="11"/>
  <c r="R92" i="11"/>
  <c r="H170" i="11"/>
  <c r="BG174" i="11"/>
  <c r="AK196" i="11"/>
  <c r="T184" i="11"/>
  <c r="BC109" i="11"/>
  <c r="AZ63" i="11"/>
  <c r="U183" i="11"/>
  <c r="C182" i="11"/>
  <c r="AR106" i="11"/>
  <c r="M182" i="11"/>
  <c r="R103" i="11"/>
  <c r="AQ154" i="11"/>
  <c r="AV64" i="11"/>
  <c r="N183" i="11"/>
  <c r="O183" i="11"/>
  <c r="W190" i="11"/>
  <c r="AD185" i="11"/>
  <c r="C103" i="11"/>
  <c r="AG173" i="11"/>
  <c r="AP47" i="11"/>
  <c r="BF195" i="11"/>
  <c r="P187" i="11"/>
  <c r="Q183" i="11"/>
  <c r="BG107" i="11"/>
  <c r="BG121" i="11"/>
  <c r="AN90" i="11"/>
  <c r="BH183" i="11"/>
  <c r="M193" i="11"/>
  <c r="P82" i="11"/>
  <c r="L66" i="11"/>
  <c r="BJ32" i="11"/>
  <c r="I41" i="11"/>
  <c r="C189" i="11"/>
  <c r="AC47" i="11"/>
  <c r="AX97" i="11"/>
  <c r="J149" i="11"/>
  <c r="BM177" i="11"/>
  <c r="Y184" i="11"/>
  <c r="Q88" i="11"/>
  <c r="Y41" i="11"/>
  <c r="AX184" i="11"/>
  <c r="AO195" i="11"/>
  <c r="BI195" i="11"/>
  <c r="BJ92" i="11"/>
  <c r="BK175" i="11"/>
  <c r="X79" i="11"/>
  <c r="AS75" i="11"/>
  <c r="AI194" i="11"/>
  <c r="BI187" i="11"/>
  <c r="I159" i="11"/>
  <c r="AL99" i="11"/>
  <c r="AB126" i="11"/>
  <c r="AT41" i="11"/>
  <c r="W189" i="11"/>
  <c r="BD182" i="11"/>
  <c r="P183" i="11"/>
  <c r="S84" i="11"/>
  <c r="L122" i="11"/>
  <c r="AG187" i="11"/>
  <c r="U185" i="11"/>
  <c r="BD167" i="11"/>
  <c r="AS168" i="11"/>
  <c r="AT48" i="11"/>
  <c r="AH177" i="11"/>
  <c r="AB148" i="11"/>
  <c r="AM69" i="11"/>
  <c r="X183" i="11"/>
  <c r="BD197" i="11"/>
  <c r="I196" i="11"/>
  <c r="BL76" i="11"/>
  <c r="AJ103" i="11"/>
  <c r="AR57" i="11"/>
  <c r="AU127" i="11"/>
  <c r="U192" i="11"/>
  <c r="AT106" i="11"/>
  <c r="Z149" i="11"/>
  <c r="Y128" i="11"/>
  <c r="AT78" i="11"/>
  <c r="S147" i="11"/>
  <c r="U175" i="11"/>
  <c r="AQ182" i="11"/>
  <c r="AG185" i="11"/>
  <c r="AU63" i="11"/>
  <c r="BH81" i="11"/>
  <c r="I109" i="11"/>
  <c r="AL46" i="11"/>
  <c r="BA191" i="11"/>
  <c r="W110" i="11"/>
  <c r="AI139" i="11"/>
  <c r="AY183" i="11"/>
  <c r="AR182" i="11"/>
  <c r="C65" i="11"/>
  <c r="AA71" i="11"/>
  <c r="H184" i="11"/>
  <c r="BJ188" i="11"/>
  <c r="AP53" i="11"/>
  <c r="U46" i="11"/>
  <c r="AL64" i="11"/>
  <c r="H99" i="11"/>
  <c r="AV52" i="11"/>
  <c r="BM125" i="11"/>
  <c r="AF189" i="11"/>
  <c r="BA157" i="11"/>
  <c r="AU182" i="11"/>
  <c r="AF30" i="11"/>
  <c r="S182" i="11"/>
  <c r="BC195" i="11"/>
  <c r="AD191" i="11"/>
  <c r="BN78" i="11"/>
  <c r="AG182" i="11"/>
  <c r="AK189" i="11"/>
  <c r="BI100" i="11"/>
  <c r="AC61" i="11"/>
  <c r="AW151" i="11"/>
  <c r="U97" i="11"/>
  <c r="M107" i="11"/>
  <c r="AE79" i="11"/>
  <c r="BA188" i="11"/>
  <c r="AH189" i="11"/>
  <c r="I189" i="11"/>
  <c r="AT72" i="11"/>
  <c r="M86" i="11"/>
  <c r="AT88" i="11"/>
  <c r="T41" i="11"/>
  <c r="AH182" i="11"/>
  <c r="AE187" i="11"/>
  <c r="S153" i="11"/>
  <c r="AF29" i="11"/>
  <c r="AL173" i="11"/>
  <c r="BN42" i="11"/>
  <c r="AA188" i="11"/>
  <c r="AV191" i="11"/>
  <c r="AW81" i="11"/>
  <c r="AW80" i="11"/>
  <c r="AJ95" i="11"/>
  <c r="AP30" i="11"/>
  <c r="Q187" i="11"/>
  <c r="G191" i="11"/>
  <c r="BD193" i="11"/>
  <c r="AW190" i="11"/>
  <c r="AO197" i="11"/>
  <c r="AS184" i="11"/>
  <c r="AF61" i="11"/>
  <c r="G93" i="11"/>
  <c r="BB193" i="11"/>
  <c r="AB183" i="11"/>
  <c r="AU188" i="11"/>
  <c r="N89" i="11"/>
  <c r="BG182" i="11"/>
  <c r="AB186" i="11"/>
  <c r="AL51" i="11"/>
  <c r="BN173" i="11"/>
  <c r="AN99" i="11"/>
  <c r="BF183" i="11"/>
  <c r="W192" i="11"/>
  <c r="L192" i="11"/>
  <c r="Y52" i="11"/>
  <c r="J172" i="11"/>
  <c r="BF111" i="11"/>
  <c r="AC184" i="11"/>
  <c r="M194" i="11"/>
  <c r="AC114" i="11"/>
  <c r="T59" i="11"/>
  <c r="V190" i="11"/>
  <c r="H160" i="11"/>
  <c r="BE46" i="11"/>
  <c r="Z193" i="11"/>
  <c r="K184" i="11"/>
  <c r="AJ194" i="11"/>
  <c r="AO93" i="11"/>
  <c r="BK37" i="11"/>
  <c r="AR120" i="11"/>
  <c r="S75" i="11"/>
  <c r="AN184" i="11"/>
  <c r="AP135" i="11"/>
  <c r="AB54" i="11"/>
  <c r="I128" i="11"/>
  <c r="BD74" i="11"/>
  <c r="AZ183" i="11"/>
  <c r="AZ182" i="11"/>
  <c r="AA183" i="11"/>
  <c r="AL187" i="11"/>
  <c r="AH187" i="11"/>
  <c r="AN191" i="11"/>
  <c r="BE190" i="11"/>
  <c r="Q196" i="11"/>
  <c r="AG197" i="11"/>
  <c r="BD196" i="11"/>
  <c r="AO189" i="11"/>
  <c r="AC189" i="11"/>
  <c r="R197" i="11"/>
  <c r="R186" i="11"/>
  <c r="AM183" i="11"/>
  <c r="AV192" i="11"/>
  <c r="BL183" i="11"/>
  <c r="Q55" i="11"/>
  <c r="BH195" i="11"/>
  <c r="BN196" i="11"/>
  <c r="BL189" i="11"/>
  <c r="C188" i="11"/>
  <c r="BA194" i="11"/>
  <c r="AN185" i="11"/>
  <c r="AM192" i="11"/>
  <c r="BJ190" i="11"/>
  <c r="T186" i="11"/>
  <c r="BG193" i="11"/>
  <c r="BN195" i="11"/>
  <c r="BL190" i="11"/>
  <c r="G187" i="11"/>
  <c r="P194" i="11"/>
  <c r="AA193" i="11"/>
  <c r="BC189" i="11"/>
  <c r="P188" i="11"/>
  <c r="BD195" i="11"/>
  <c r="T185" i="11"/>
  <c r="AJ196" i="11"/>
  <c r="C105" i="11"/>
  <c r="AQ184" i="11"/>
  <c r="BF194" i="11"/>
  <c r="AR188" i="11"/>
  <c r="AH191" i="11"/>
  <c r="BH184" i="11"/>
  <c r="BB191" i="11"/>
  <c r="AF190" i="11"/>
  <c r="C184" i="11"/>
  <c r="BM188" i="11"/>
  <c r="G186" i="11"/>
  <c r="AW197" i="11"/>
  <c r="U188" i="11"/>
  <c r="C187" i="11"/>
  <c r="W194" i="11"/>
  <c r="BC197" i="11"/>
  <c r="M195" i="11"/>
  <c r="BH40" i="11"/>
  <c r="AJ187" i="11"/>
  <c r="AL196" i="11"/>
  <c r="I195" i="11"/>
  <c r="AU185" i="11"/>
  <c r="AA197" i="11"/>
  <c r="V189" i="11"/>
  <c r="Y197" i="11"/>
  <c r="I193" i="11"/>
  <c r="AD190" i="11"/>
  <c r="AU193" i="11"/>
  <c r="AJ195" i="11"/>
  <c r="I186" i="11"/>
  <c r="AV185" i="11"/>
  <c r="U191" i="11"/>
  <c r="V195" i="11"/>
  <c r="AA191" i="11"/>
  <c r="BE159" i="11"/>
  <c r="J192" i="11"/>
  <c r="AS194" i="11"/>
  <c r="AC187" i="11"/>
  <c r="AE186" i="11"/>
  <c r="H191" i="11"/>
  <c r="Q193" i="11"/>
  <c r="AK194" i="11"/>
  <c r="AL186" i="11"/>
  <c r="AN192" i="11"/>
  <c r="BD188" i="11"/>
  <c r="AR190" i="11"/>
  <c r="AC190" i="11"/>
  <c r="AA189" i="11"/>
  <c r="AT183" i="11"/>
  <c r="T190" i="11"/>
  <c r="AO92" i="11"/>
  <c r="AD192" i="11"/>
  <c r="BD190" i="11"/>
  <c r="V191" i="11"/>
  <c r="L164" i="11"/>
  <c r="AB195" i="11"/>
  <c r="AO193" i="11"/>
  <c r="AW185" i="11"/>
  <c r="I162" i="11"/>
  <c r="AV187" i="11"/>
  <c r="AF191" i="11"/>
  <c r="BG197" i="11"/>
  <c r="AZ194" i="11"/>
  <c r="K196" i="11"/>
  <c r="AL70" i="11"/>
  <c r="BK192" i="11"/>
  <c r="AA190" i="11"/>
  <c r="BE191" i="11"/>
  <c r="AH195" i="11"/>
  <c r="AE192" i="11"/>
  <c r="Y187" i="11"/>
  <c r="BJ192" i="11"/>
  <c r="BA193" i="11"/>
  <c r="AH192" i="11"/>
  <c r="AJ184" i="11"/>
  <c r="AA185" i="11"/>
  <c r="AA192" i="11"/>
  <c r="H186" i="11"/>
  <c r="M189" i="11"/>
  <c r="C186" i="11"/>
  <c r="BF192" i="11"/>
  <c r="BI189" i="11"/>
  <c r="AM191" i="11"/>
  <c r="AX106" i="11"/>
  <c r="U184" i="11"/>
  <c r="R189" i="11"/>
  <c r="AS189" i="11"/>
  <c r="L188" i="11"/>
  <c r="AK186" i="11"/>
  <c r="Z186" i="11"/>
  <c r="G195" i="11"/>
  <c r="AE193" i="11"/>
  <c r="AJ185" i="11"/>
  <c r="AZ195" i="11"/>
  <c r="Y192" i="11"/>
  <c r="BA185" i="11"/>
  <c r="U195" i="11"/>
  <c r="BF185" i="11"/>
  <c r="AH193" i="11"/>
  <c r="BF186" i="11"/>
  <c r="AZ186" i="11"/>
  <c r="AE188" i="11"/>
  <c r="X192" i="11"/>
  <c r="G190" i="11"/>
  <c r="AJ192" i="11"/>
  <c r="AS43" i="11"/>
  <c r="U196" i="11"/>
  <c r="C196" i="11"/>
  <c r="AT189" i="11"/>
  <c r="AN186" i="11"/>
  <c r="AU191" i="11"/>
  <c r="AX196" i="11"/>
  <c r="BE192" i="11"/>
  <c r="AN193" i="11"/>
  <c r="Q190" i="11"/>
  <c r="BG188" i="11"/>
  <c r="AR194" i="11"/>
  <c r="AT194" i="11"/>
  <c r="V194" i="11"/>
  <c r="W184" i="11"/>
  <c r="Q195" i="11"/>
  <c r="T191" i="11"/>
  <c r="BL192" i="11"/>
  <c r="X184" i="11"/>
  <c r="H188" i="11"/>
  <c r="AE194" i="11"/>
  <c r="AU34" i="11"/>
  <c r="S186" i="11"/>
  <c r="AI187" i="11"/>
  <c r="I188" i="11"/>
  <c r="BJ184" i="11"/>
  <c r="N188" i="11"/>
  <c r="T183" i="11"/>
  <c r="AQ191" i="11"/>
  <c r="BA186" i="11"/>
  <c r="X190" i="11"/>
  <c r="AF188" i="11"/>
  <c r="AO190" i="11"/>
  <c r="L184" i="11"/>
  <c r="U193" i="11"/>
  <c r="AB185" i="11"/>
  <c r="N186" i="11"/>
  <c r="BF190" i="11"/>
  <c r="Y194" i="11"/>
  <c r="BD186" i="11"/>
  <c r="S184" i="11"/>
  <c r="AS191" i="11"/>
  <c r="Z78" i="11"/>
  <c r="AR157" i="11"/>
  <c r="L183" i="11"/>
  <c r="K191" i="11"/>
  <c r="S187" i="11"/>
  <c r="BG194" i="11"/>
  <c r="AE191" i="11"/>
  <c r="I191" i="11"/>
  <c r="AZ70" i="11"/>
  <c r="Y186" i="11"/>
  <c r="AC194" i="11"/>
  <c r="Y196" i="11"/>
  <c r="AU187" i="11"/>
  <c r="AV175" i="11"/>
  <c r="AX195" i="11"/>
  <c r="N190" i="11"/>
  <c r="O185" i="11"/>
  <c r="J186" i="11"/>
  <c r="I187" i="11"/>
  <c r="Z69" i="11"/>
  <c r="L191" i="11"/>
  <c r="BC194" i="11"/>
  <c r="BA195" i="11"/>
  <c r="AL185" i="11"/>
  <c r="AY194" i="11"/>
  <c r="V185" i="11"/>
  <c r="AK185" i="11"/>
  <c r="M185" i="11"/>
  <c r="BL184" i="11"/>
  <c r="I190" i="11"/>
  <c r="X185" i="11"/>
  <c r="H57" i="11"/>
  <c r="BJ189" i="11"/>
  <c r="BK194" i="11"/>
  <c r="BM185" i="11"/>
  <c r="M192" i="11"/>
  <c r="AM195" i="11"/>
  <c r="C56" i="11"/>
  <c r="BD194" i="11"/>
  <c r="AO183" i="11"/>
  <c r="AA194" i="11"/>
  <c r="AR192" i="11"/>
  <c r="M183" i="11"/>
  <c r="AQ192" i="11"/>
  <c r="AV195" i="11"/>
  <c r="R195" i="11"/>
  <c r="AK184" i="11"/>
  <c r="AF185" i="11"/>
  <c r="BI190" i="11"/>
  <c r="N87" i="11"/>
  <c r="K193" i="11"/>
  <c r="AA186" i="11"/>
  <c r="AX191" i="11"/>
  <c r="Q184" i="11"/>
  <c r="BF184" i="11"/>
  <c r="P143" i="11"/>
  <c r="Z197" i="11"/>
  <c r="R191" i="11"/>
  <c r="L196" i="11"/>
  <c r="BM183" i="11"/>
  <c r="AJ190" i="11"/>
  <c r="R183" i="11"/>
  <c r="AF192" i="11"/>
  <c r="AR193" i="11"/>
  <c r="AC174" i="11"/>
  <c r="AN187" i="11"/>
  <c r="BK193" i="11"/>
  <c r="BC188" i="11"/>
  <c r="BM190" i="11"/>
  <c r="AT187" i="11"/>
  <c r="AG190" i="11"/>
  <c r="Z196" i="11"/>
  <c r="Z191" i="11"/>
  <c r="BI188" i="11"/>
  <c r="AW194" i="11"/>
  <c r="AT184" i="11"/>
  <c r="AC193" i="11"/>
  <c r="S183" i="11"/>
  <c r="AX194" i="11"/>
  <c r="BC193" i="11"/>
  <c r="AH183" i="11"/>
  <c r="W191" i="11"/>
  <c r="AL183" i="11"/>
  <c r="AI191" i="11"/>
  <c r="R184" i="11"/>
  <c r="G183" i="11"/>
  <c r="U197" i="11"/>
  <c r="AM193" i="11"/>
  <c r="BI53" i="11"/>
  <c r="AD183" i="11"/>
  <c r="BC183" i="11"/>
  <c r="AH184" i="11"/>
  <c r="AH196" i="11"/>
  <c r="AY191" i="11"/>
  <c r="BJ197" i="11"/>
  <c r="AR189" i="11"/>
  <c r="AJ41" i="11"/>
  <c r="AT186" i="11"/>
  <c r="G193" i="11"/>
  <c r="W186" i="11"/>
  <c r="K190" i="11"/>
  <c r="Z194" i="11"/>
  <c r="AP189" i="11"/>
  <c r="AV194" i="11"/>
  <c r="Z188" i="11"/>
  <c r="J194" i="11"/>
  <c r="X186" i="11"/>
  <c r="BM191" i="11"/>
  <c r="BH118" i="11"/>
  <c r="AO192" i="11"/>
  <c r="X196" i="11"/>
  <c r="AQ189" i="11"/>
  <c r="AB197" i="11"/>
  <c r="AD193" i="11"/>
  <c r="Y183" i="11"/>
  <c r="AL192" i="11"/>
  <c r="N195" i="11"/>
  <c r="AS197" i="11"/>
  <c r="J184" i="11"/>
  <c r="R194" i="11"/>
  <c r="S189" i="11"/>
  <c r="AK141" i="11"/>
  <c r="BJ186" i="11"/>
  <c r="BF189" i="11"/>
  <c r="C185" i="11"/>
  <c r="U186" i="11"/>
  <c r="AW189" i="11"/>
  <c r="H185" i="11"/>
  <c r="AU194" i="11"/>
  <c r="BD183" i="11"/>
  <c r="AP84" i="11"/>
  <c r="BL186" i="11"/>
  <c r="AD187" i="11"/>
  <c r="BL195" i="11"/>
  <c r="AO196" i="11"/>
  <c r="P190" i="11"/>
  <c r="AS188" i="11"/>
  <c r="R190" i="11"/>
  <c r="AQ195" i="11"/>
  <c r="BM197" i="11"/>
  <c r="Y193" i="11"/>
  <c r="L190" i="11"/>
  <c r="AK190" i="11"/>
  <c r="AV118" i="11"/>
  <c r="AM197" i="11"/>
  <c r="BC185" i="11"/>
  <c r="BJ194" i="11"/>
  <c r="N187" i="11"/>
  <c r="AX188" i="11"/>
  <c r="AP183" i="11"/>
  <c r="AV186" i="11"/>
  <c r="AD189" i="11"/>
  <c r="K175" i="11"/>
  <c r="AG194" i="11"/>
  <c r="J195" i="11"/>
  <c r="O192" i="11"/>
  <c r="BM196" i="11"/>
  <c r="AF184" i="11"/>
  <c r="Z195" i="11"/>
  <c r="AQ49" i="11"/>
  <c r="J189" i="11"/>
  <c r="K194" i="11"/>
  <c r="L194" i="11"/>
  <c r="BL196" i="11"/>
  <c r="BL185" i="11"/>
  <c r="Z190" i="11"/>
  <c r="X191" i="11"/>
  <c r="P192" i="11"/>
  <c r="K183" i="11"/>
  <c r="AU190" i="11"/>
  <c r="BE187" i="11"/>
  <c r="K186" i="11"/>
  <c r="AM189" i="11"/>
  <c r="AN190" i="11"/>
  <c r="BK197" i="11"/>
  <c r="AP185" i="11"/>
  <c r="BN94" i="11"/>
  <c r="N191" i="11"/>
  <c r="BF187" i="11"/>
  <c r="AZ184" i="11"/>
  <c r="AP191" i="11"/>
  <c r="O191" i="11"/>
  <c r="T194" i="11"/>
  <c r="AM194" i="11"/>
  <c r="AA184" i="11"/>
  <c r="AE197" i="11"/>
  <c r="S196" i="11"/>
  <c r="AY185" i="11"/>
  <c r="J185" i="11"/>
  <c r="AB189" i="11"/>
  <c r="BE197" i="11"/>
  <c r="C192" i="11"/>
  <c r="AK38" i="11"/>
  <c r="BD187" i="11"/>
  <c r="N194" i="11"/>
  <c r="O194" i="11"/>
  <c r="AE184" i="11"/>
  <c r="AJ186" i="11"/>
  <c r="AP195" i="11"/>
  <c r="BA183" i="11"/>
  <c r="Q192" i="11"/>
  <c r="BG192" i="11"/>
  <c r="Q185" i="11"/>
  <c r="AE195" i="11"/>
  <c r="AG192" i="11"/>
  <c r="AC86" i="11"/>
  <c r="BM186" i="11"/>
  <c r="C195" i="11"/>
  <c r="AB64" i="11"/>
  <c r="AP186" i="11"/>
  <c r="S193" i="11"/>
  <c r="L197" i="11"/>
  <c r="BD184" i="11"/>
  <c r="G185" i="11"/>
  <c r="BA184" i="11"/>
  <c r="BB183" i="11"/>
  <c r="BK189" i="11"/>
  <c r="AG186" i="11"/>
  <c r="AI197" i="11"/>
  <c r="AL194" i="11"/>
  <c r="AS183" i="11"/>
  <c r="S194" i="11"/>
  <c r="AM190" i="11"/>
  <c r="AZ187" i="11"/>
  <c r="J174" i="11"/>
  <c r="Y188" i="11"/>
  <c r="BH189" i="11"/>
  <c r="AG195" i="11"/>
  <c r="BB194" i="11"/>
  <c r="AU189" i="11"/>
  <c r="Z183" i="11"/>
  <c r="AX185" i="11"/>
  <c r="BC190" i="11"/>
  <c r="BJ195" i="11"/>
  <c r="AH188" i="11"/>
  <c r="N185" i="11"/>
  <c r="AC178" i="11"/>
  <c r="AR195" i="11"/>
  <c r="BE186" i="11"/>
  <c r="P191" i="11"/>
  <c r="Y147" i="11"/>
  <c r="AD194" i="11"/>
  <c r="J191" i="11"/>
  <c r="BA192" i="11"/>
  <c r="P197" i="11"/>
  <c r="G196" i="11"/>
  <c r="H189" i="11"/>
  <c r="BE184" i="11"/>
  <c r="AZ188" i="11"/>
  <c r="W196" i="11"/>
  <c r="BG187" i="11"/>
  <c r="AH190" i="11"/>
  <c r="BF193" i="11"/>
  <c r="BI186" i="11"/>
  <c r="AW187" i="11"/>
  <c r="H183" i="11"/>
  <c r="BI194" i="11"/>
  <c r="BM134" i="11"/>
  <c r="AB192" i="11"/>
  <c r="BH187" i="11"/>
  <c r="S195" i="11"/>
  <c r="AV190" i="11"/>
  <c r="AO188" i="11"/>
  <c r="Y191" i="11"/>
  <c r="P55" i="11"/>
  <c r="AE190" i="11"/>
  <c r="AJ193" i="11"/>
  <c r="AT193" i="11"/>
  <c r="BB190" i="11"/>
  <c r="BL187" i="11"/>
  <c r="R188" i="11"/>
  <c r="I183" i="11"/>
  <c r="BE183" i="11"/>
  <c r="X187" i="11"/>
  <c r="BL188" i="11"/>
  <c r="T188" i="11"/>
  <c r="AA145" i="11"/>
  <c r="M190" i="11"/>
  <c r="AW191" i="11"/>
  <c r="AH194" i="11"/>
  <c r="AB193" i="11"/>
  <c r="AM186" i="11"/>
  <c r="BI184" i="11"/>
  <c r="O190" i="11"/>
  <c r="X197" i="11"/>
  <c r="K195" i="11"/>
  <c r="AC195" i="11"/>
  <c r="V183" i="11"/>
  <c r="AP197" i="11"/>
  <c r="BK191" i="11"/>
  <c r="M197" i="11"/>
  <c r="AB81" i="11"/>
  <c r="BB195" i="11"/>
  <c r="AV197" i="11"/>
  <c r="AN176" i="11"/>
  <c r="O196" i="11"/>
  <c r="V184" i="11"/>
  <c r="AQ190" i="11"/>
  <c r="AQ188" i="11"/>
  <c r="BF191" i="11"/>
  <c r="AI189" i="11"/>
  <c r="AD195" i="11"/>
  <c r="S188" i="11"/>
  <c r="C183" i="11"/>
  <c r="AS185" i="11"/>
  <c r="AY188" i="11"/>
  <c r="K197" i="11"/>
  <c r="V197" i="11"/>
  <c r="P189" i="11"/>
  <c r="L75" i="11"/>
  <c r="AF183" i="11"/>
  <c r="BG189" i="11"/>
  <c r="AU197" i="11"/>
  <c r="R196" i="11"/>
  <c r="AE189" i="11"/>
  <c r="AY187" i="11"/>
  <c r="BH197" i="11"/>
  <c r="AJ183" i="11"/>
  <c r="I184" i="11"/>
  <c r="R187" i="11"/>
  <c r="J187" i="11"/>
  <c r="N192" i="11"/>
  <c r="H190" i="11"/>
  <c r="T187" i="11"/>
  <c r="AQ183" i="11"/>
  <c r="BG195" i="11"/>
  <c r="AW193" i="11"/>
  <c r="AJ191" i="11"/>
  <c r="AV188" i="11"/>
  <c r="AS196" i="11"/>
  <c r="AR60" i="11"/>
  <c r="K188" i="11"/>
  <c r="BN184" i="11"/>
  <c r="AQ197" i="11"/>
  <c r="AS192" i="11"/>
  <c r="AL193" i="11"/>
  <c r="Z184" i="11"/>
  <c r="H194" i="11"/>
  <c r="AU184" i="11"/>
  <c r="BA189" i="11"/>
  <c r="C191" i="11"/>
  <c r="W195" i="11"/>
  <c r="BH194" i="11"/>
  <c r="AY184" i="11"/>
  <c r="AN188" i="11"/>
  <c r="O195" i="11"/>
  <c r="AN183" i="11"/>
  <c r="V188" i="11"/>
  <c r="V193" i="11"/>
  <c r="AN196" i="11"/>
  <c r="Y185" i="11"/>
  <c r="Q191" i="11"/>
  <c r="AR191" i="11"/>
  <c r="BI64" i="11"/>
  <c r="K192" i="11"/>
  <c r="AM196" i="11"/>
  <c r="O138" i="11"/>
  <c r="BH191" i="11"/>
  <c r="X195" i="11"/>
  <c r="AX192" i="11"/>
  <c r="AB188" i="11"/>
  <c r="H196" i="11"/>
  <c r="AX193" i="11"/>
  <c r="AI188" i="11"/>
  <c r="Z57" i="11"/>
  <c r="BJ187" i="11"/>
  <c r="AY189" i="11"/>
  <c r="AL188" i="11"/>
  <c r="S197" i="11"/>
  <c r="AI186" i="11"/>
  <c r="AP196" i="11"/>
  <c r="O188" i="11"/>
  <c r="BN183" i="11"/>
  <c r="AB187" i="11"/>
  <c r="S192" i="11"/>
  <c r="N189" i="11"/>
  <c r="AU176" i="11"/>
  <c r="Y190" i="11"/>
  <c r="J197" i="11"/>
  <c r="W185" i="11"/>
  <c r="BL193" i="11"/>
  <c r="G141" i="11"/>
  <c r="P195" i="11"/>
  <c r="AX186" i="11"/>
  <c r="AE183" i="11"/>
  <c r="AP193" i="11"/>
  <c r="J183" i="11"/>
  <c r="Q189" i="11"/>
  <c r="BI196" i="11"/>
  <c r="BE185" i="11"/>
  <c r="G184" i="11"/>
  <c r="BM189" i="11"/>
  <c r="BH196" i="11"/>
  <c r="AX183" i="11"/>
  <c r="T192" i="11"/>
  <c r="AT185" i="11"/>
  <c r="AV112" i="11"/>
  <c r="M187" i="11"/>
  <c r="W109" i="11"/>
  <c r="AM59" i="11"/>
  <c r="U145" i="11"/>
  <c r="AO95" i="11"/>
  <c r="K159" i="11"/>
  <c r="AG86" i="11"/>
  <c r="T85" i="11"/>
  <c r="O70" i="11"/>
  <c r="AW149" i="11"/>
  <c r="R131" i="11"/>
  <c r="AA135" i="11"/>
  <c r="C85" i="11"/>
  <c r="AD169" i="11"/>
  <c r="AU27" i="11"/>
  <c r="C109" i="11"/>
  <c r="AG164" i="11"/>
  <c r="AZ66" i="11"/>
  <c r="H178" i="11"/>
  <c r="Y93" i="11"/>
  <c r="AX174" i="11"/>
  <c r="AD173" i="11"/>
  <c r="AO144" i="11"/>
  <c r="BF101" i="11"/>
  <c r="H161" i="11"/>
  <c r="C161" i="11"/>
  <c r="BM98" i="11"/>
  <c r="AE60" i="11"/>
  <c r="AL59" i="11"/>
  <c r="AS176" i="11"/>
  <c r="AQ141" i="11"/>
  <c r="AD125" i="11"/>
  <c r="K45" i="11"/>
  <c r="G176" i="11"/>
  <c r="AS56" i="11"/>
  <c r="AI41" i="11"/>
  <c r="BF85" i="11"/>
  <c r="AR43" i="11"/>
  <c r="AO91" i="11"/>
  <c r="BD75" i="11"/>
  <c r="BF122" i="11"/>
  <c r="BC65" i="11"/>
  <c r="AY71" i="11"/>
  <c r="T153" i="11"/>
  <c r="X109" i="11"/>
  <c r="AK91" i="11"/>
  <c r="AE133" i="11"/>
  <c r="P163" i="11"/>
  <c r="BN57" i="11"/>
  <c r="BG33" i="11"/>
  <c r="J119" i="11"/>
  <c r="X85" i="11"/>
  <c r="T120" i="11"/>
  <c r="U140" i="11"/>
  <c r="BK72" i="11"/>
  <c r="BB101" i="11"/>
  <c r="BD86" i="11"/>
  <c r="AZ31" i="11"/>
  <c r="BM174" i="11"/>
  <c r="V59" i="11"/>
  <c r="C136" i="11"/>
  <c r="BJ166" i="11"/>
  <c r="AM49" i="11"/>
  <c r="L130" i="11"/>
  <c r="BL172" i="11"/>
  <c r="AE173" i="11"/>
  <c r="BC137" i="11"/>
  <c r="AQ38" i="11"/>
  <c r="BL132" i="11"/>
  <c r="AO111" i="11"/>
  <c r="O39" i="11"/>
  <c r="P93" i="11"/>
  <c r="N154" i="11"/>
  <c r="AA109" i="11"/>
  <c r="K75" i="11"/>
  <c r="G102" i="11"/>
  <c r="BK177" i="11"/>
  <c r="K176" i="11"/>
  <c r="AX136" i="11"/>
  <c r="AO89" i="11"/>
  <c r="U39" i="11"/>
  <c r="BB121" i="11"/>
  <c r="AW26" i="11"/>
  <c r="BA37" i="11"/>
  <c r="AU99" i="11"/>
  <c r="AH125" i="11"/>
  <c r="AZ46" i="11"/>
  <c r="BM82" i="11"/>
  <c r="Q127" i="11"/>
  <c r="AY86" i="11"/>
  <c r="M62" i="11"/>
  <c r="AT93" i="11"/>
  <c r="AG153" i="11"/>
  <c r="X165" i="11"/>
  <c r="AT124" i="11"/>
  <c r="AX102" i="11"/>
  <c r="AU74" i="11"/>
  <c r="AG63" i="11"/>
  <c r="AV173" i="11"/>
  <c r="AJ108" i="11"/>
  <c r="AS47" i="11"/>
  <c r="BC147" i="11"/>
  <c r="AX118" i="11"/>
  <c r="Z34" i="11"/>
  <c r="BI41" i="11"/>
  <c r="H38" i="11"/>
  <c r="S98" i="11"/>
  <c r="BA62" i="11"/>
  <c r="AA134" i="11"/>
  <c r="C121" i="11"/>
  <c r="AB52" i="11"/>
  <c r="AV164" i="11"/>
  <c r="BJ78" i="11"/>
  <c r="AS170" i="11"/>
  <c r="K50" i="11"/>
  <c r="BB171" i="11"/>
  <c r="BA158" i="11"/>
  <c r="BD164" i="11"/>
  <c r="Y63" i="11"/>
  <c r="T165" i="11"/>
  <c r="V33" i="11"/>
  <c r="J74" i="11"/>
  <c r="AW136" i="11"/>
  <c r="AY56" i="11"/>
  <c r="W176" i="11"/>
  <c r="BA61" i="11"/>
  <c r="BN126" i="11"/>
  <c r="BI60" i="11"/>
  <c r="AI172" i="11"/>
  <c r="AB71" i="11"/>
  <c r="BC32" i="11"/>
  <c r="BB146" i="11"/>
  <c r="P159" i="11"/>
  <c r="AE46" i="11"/>
  <c r="AP45" i="11"/>
  <c r="BK146" i="11"/>
  <c r="I115" i="11"/>
  <c r="AZ149" i="11"/>
  <c r="AN148" i="11"/>
  <c r="AZ148" i="11"/>
  <c r="T65" i="11"/>
  <c r="AP81" i="11"/>
  <c r="S180" i="11"/>
  <c r="AP142" i="11"/>
  <c r="AL31" i="11"/>
  <c r="AK39" i="11"/>
  <c r="G40" i="11"/>
  <c r="Z63" i="11"/>
  <c r="BB58" i="11"/>
  <c r="C61" i="11"/>
  <c r="J29" i="11"/>
  <c r="AL84" i="11"/>
  <c r="N126" i="11"/>
  <c r="BI102" i="11"/>
  <c r="AO68" i="11"/>
  <c r="AS52" i="11"/>
  <c r="AY115" i="11"/>
  <c r="AD126" i="11"/>
  <c r="BM152" i="11"/>
  <c r="BH76" i="11"/>
  <c r="AL108" i="11"/>
  <c r="H105" i="11"/>
  <c r="AD120" i="11"/>
  <c r="K58" i="11"/>
  <c r="AR48" i="11"/>
  <c r="AB99" i="11"/>
  <c r="BA96" i="11"/>
  <c r="BM126" i="11"/>
  <c r="AK135" i="11"/>
  <c r="AZ86" i="11"/>
  <c r="AJ148" i="11"/>
  <c r="AL115" i="11"/>
  <c r="L83" i="11"/>
  <c r="H138" i="11"/>
  <c r="S143" i="11"/>
  <c r="R70" i="11"/>
  <c r="BI146" i="11"/>
  <c r="AP91" i="11"/>
  <c r="N75" i="11"/>
  <c r="J87" i="11"/>
  <c r="X64" i="11"/>
  <c r="X74" i="11"/>
  <c r="Z133" i="11"/>
  <c r="AX147" i="11"/>
  <c r="AQ107" i="11"/>
  <c r="G150" i="11"/>
  <c r="BG88" i="11"/>
  <c r="N156" i="11"/>
  <c r="AZ118" i="11"/>
  <c r="BI148" i="11"/>
  <c r="P111" i="11"/>
  <c r="O162" i="11"/>
  <c r="AS158" i="11"/>
  <c r="BF166" i="11"/>
  <c r="BE174" i="11"/>
  <c r="AJ101" i="11"/>
  <c r="AE33" i="11"/>
  <c r="AO38" i="11"/>
  <c r="J145" i="11"/>
  <c r="BD41" i="11"/>
  <c r="Z83" i="11"/>
  <c r="AW97" i="11"/>
  <c r="BF157" i="11"/>
  <c r="Q115" i="11"/>
  <c r="O75" i="11"/>
  <c r="I113" i="11"/>
  <c r="U160" i="11"/>
  <c r="AC33" i="11"/>
  <c r="J113" i="11"/>
  <c r="BM50" i="11"/>
  <c r="BI97" i="11"/>
  <c r="AF91" i="11"/>
  <c r="AN159" i="11"/>
  <c r="BE57" i="11"/>
  <c r="J93" i="11"/>
  <c r="R38" i="11"/>
  <c r="BL146" i="11"/>
  <c r="BN85" i="11"/>
  <c r="AK149" i="11"/>
  <c r="AH135" i="11"/>
  <c r="Y146" i="11"/>
  <c r="AY69" i="11"/>
  <c r="N159" i="11"/>
  <c r="AA43" i="11"/>
  <c r="AN80" i="11"/>
  <c r="BJ57" i="11"/>
  <c r="AY149" i="11"/>
  <c r="AW103" i="11"/>
  <c r="BM122" i="11"/>
  <c r="AT152" i="11"/>
  <c r="AL92" i="11"/>
  <c r="T38" i="11"/>
  <c r="AH92" i="11"/>
  <c r="AR46" i="11"/>
  <c r="AC71" i="11"/>
  <c r="AT98" i="11"/>
  <c r="AC120" i="11"/>
  <c r="AX112" i="11"/>
  <c r="H42" i="11"/>
  <c r="T172" i="11"/>
  <c r="AN152" i="11"/>
  <c r="U100" i="11"/>
  <c r="BG124" i="11"/>
  <c r="AI106" i="11"/>
  <c r="AR166" i="11"/>
  <c r="AA84" i="11"/>
  <c r="M69" i="11"/>
  <c r="C141" i="11"/>
  <c r="R174" i="11"/>
  <c r="AT43" i="11"/>
  <c r="AA69" i="11"/>
  <c r="AT96" i="11"/>
  <c r="N107" i="11"/>
  <c r="BE127" i="11"/>
  <c r="AS55" i="11"/>
  <c r="AC46" i="11"/>
  <c r="BF145" i="11"/>
  <c r="AL122" i="11"/>
  <c r="BN139" i="11"/>
  <c r="BC132" i="11"/>
  <c r="G106" i="11"/>
  <c r="AI157" i="11"/>
  <c r="AW120" i="11"/>
  <c r="X130" i="11"/>
  <c r="AR65" i="11"/>
  <c r="AY43" i="11"/>
  <c r="I85" i="11"/>
  <c r="AO26" i="11"/>
  <c r="AM172" i="11"/>
  <c r="AD50" i="11"/>
  <c r="AP165" i="11"/>
  <c r="BD171" i="11"/>
  <c r="AG62" i="11"/>
  <c r="Z173" i="11"/>
  <c r="AD149" i="11"/>
  <c r="L37" i="11"/>
  <c r="U143" i="11"/>
  <c r="AG105" i="11"/>
  <c r="AP160" i="11"/>
  <c r="W98" i="11"/>
  <c r="AD113" i="11"/>
  <c r="BA76" i="11"/>
  <c r="O62" i="11"/>
  <c r="BI110" i="11"/>
  <c r="AV134" i="11"/>
  <c r="AH160" i="11"/>
  <c r="AX36" i="11"/>
  <c r="N38" i="11"/>
  <c r="T63" i="11"/>
  <c r="AY38" i="11"/>
  <c r="AK111" i="11"/>
  <c r="BC125" i="11"/>
  <c r="BH87" i="11"/>
  <c r="M46" i="11"/>
  <c r="P153" i="11"/>
  <c r="AV28" i="11"/>
  <c r="U146" i="11"/>
  <c r="X146" i="11"/>
  <c r="BD162" i="11"/>
  <c r="BK93" i="11"/>
  <c r="BG77" i="11"/>
  <c r="AG32" i="11"/>
  <c r="V139" i="11"/>
  <c r="BK82" i="11"/>
  <c r="N91" i="11"/>
  <c r="M31" i="11"/>
  <c r="P38" i="11"/>
  <c r="BJ160" i="11"/>
  <c r="BH68" i="11"/>
  <c r="J95" i="11"/>
  <c r="T98" i="11"/>
  <c r="BE135" i="11"/>
  <c r="BK46" i="11"/>
  <c r="T154" i="11"/>
  <c r="AT114" i="11"/>
  <c r="M118" i="11"/>
  <c r="G152" i="11"/>
  <c r="G36" i="11"/>
  <c r="AC121" i="11"/>
  <c r="N69" i="11"/>
  <c r="AE63" i="11"/>
  <c r="AU115" i="11"/>
  <c r="P178" i="11"/>
  <c r="W175" i="11"/>
  <c r="AO165" i="11"/>
  <c r="AV124" i="11"/>
  <c r="AV144" i="11"/>
  <c r="AA98" i="11"/>
  <c r="AN82" i="11"/>
  <c r="I104" i="11"/>
  <c r="P112" i="11"/>
  <c r="AW155" i="11"/>
  <c r="BH94" i="11"/>
  <c r="BN64" i="11"/>
  <c r="I144" i="11"/>
  <c r="T137" i="11"/>
  <c r="Z104" i="11"/>
  <c r="AK154" i="11"/>
  <c r="AY148" i="11"/>
  <c r="BI40" i="11"/>
  <c r="BD124" i="11"/>
  <c r="BG161" i="11"/>
  <c r="AD110" i="11"/>
  <c r="P156" i="11"/>
  <c r="G83" i="11"/>
  <c r="N72" i="11"/>
  <c r="AK117" i="11"/>
  <c r="BJ76" i="11"/>
  <c r="BB168" i="11"/>
  <c r="AM163" i="11"/>
  <c r="AC104" i="11"/>
  <c r="C67" i="11"/>
  <c r="T91" i="11"/>
  <c r="AZ52" i="11"/>
  <c r="V71" i="11"/>
  <c r="AM60" i="11"/>
  <c r="X61" i="11"/>
  <c r="AE170" i="11"/>
  <c r="BH165" i="11"/>
  <c r="AA165" i="11"/>
  <c r="AR86" i="11"/>
  <c r="BG144" i="11"/>
  <c r="AE50" i="11"/>
  <c r="AD154" i="11"/>
  <c r="O94" i="11"/>
  <c r="AE98" i="11"/>
  <c r="BI84" i="11"/>
  <c r="AP64" i="11"/>
  <c r="BC71" i="11"/>
  <c r="X134" i="11"/>
  <c r="AO122" i="11"/>
  <c r="AM171" i="11"/>
  <c r="BE115" i="11"/>
  <c r="AF32" i="11"/>
  <c r="X172" i="11"/>
  <c r="I49" i="11"/>
  <c r="S137" i="11"/>
  <c r="Q170" i="11"/>
  <c r="AP29" i="11"/>
  <c r="BB138" i="11"/>
  <c r="Q110" i="11"/>
  <c r="O73" i="11"/>
  <c r="AN79" i="11"/>
  <c r="BC141" i="11"/>
  <c r="BL151" i="11"/>
  <c r="AQ97" i="11"/>
  <c r="K94" i="11"/>
  <c r="AU149" i="11"/>
  <c r="AD106" i="11"/>
  <c r="AC49" i="11"/>
  <c r="I99" i="11"/>
  <c r="L102" i="11"/>
  <c r="R170" i="11"/>
  <c r="AH53" i="11"/>
  <c r="BA125" i="11"/>
  <c r="Y114" i="11"/>
  <c r="AO137" i="11"/>
  <c r="AC77" i="11"/>
  <c r="AK144" i="11"/>
  <c r="O110" i="11"/>
  <c r="AS69" i="11"/>
  <c r="AJ44" i="11"/>
  <c r="P164" i="11"/>
  <c r="J59" i="11"/>
  <c r="O128" i="11"/>
  <c r="C119" i="11"/>
  <c r="X46" i="11"/>
  <c r="G70" i="11"/>
  <c r="U27" i="11"/>
  <c r="AH179" i="11"/>
  <c r="AE132" i="11"/>
  <c r="AD139" i="11"/>
  <c r="AM175" i="11"/>
  <c r="AP174" i="11"/>
  <c r="AJ98" i="11"/>
  <c r="X112" i="11"/>
  <c r="Y69" i="11"/>
  <c r="C134" i="11"/>
  <c r="M105" i="11"/>
  <c r="AJ150" i="11"/>
  <c r="AP57" i="11"/>
  <c r="M143" i="11"/>
  <c r="AM155" i="11"/>
  <c r="BA114" i="11"/>
  <c r="S45" i="11"/>
  <c r="W52" i="11"/>
  <c r="BC127" i="11"/>
  <c r="AF130" i="11"/>
  <c r="BK86" i="11"/>
  <c r="BM68" i="11"/>
  <c r="AJ51" i="11"/>
  <c r="AO116" i="11"/>
  <c r="AT154" i="11"/>
  <c r="AO125" i="11"/>
  <c r="K81" i="11"/>
  <c r="BM169" i="11"/>
  <c r="M152" i="11"/>
  <c r="AF77" i="11"/>
  <c r="AZ153" i="11"/>
  <c r="BM114" i="11"/>
  <c r="M94" i="11"/>
  <c r="R119" i="11"/>
  <c r="W74" i="11"/>
  <c r="AA60" i="11"/>
  <c r="AT26" i="11"/>
  <c r="AO59" i="11"/>
  <c r="Y119" i="11"/>
  <c r="BL149" i="11"/>
  <c r="AH128" i="11"/>
  <c r="N50" i="11"/>
  <c r="K84" i="11"/>
  <c r="P56" i="11"/>
  <c r="BD103" i="11"/>
  <c r="AL95" i="11"/>
  <c r="V93" i="11"/>
  <c r="BG101" i="11"/>
  <c r="J147" i="11"/>
  <c r="AL110" i="11"/>
  <c r="BI113" i="11"/>
  <c r="M30" i="11"/>
  <c r="BD55" i="11"/>
  <c r="AM114" i="11"/>
  <c r="O154" i="11"/>
  <c r="BD40" i="11"/>
  <c r="J91" i="11"/>
  <c r="I163" i="11"/>
  <c r="AN42" i="11"/>
  <c r="BE128" i="11"/>
  <c r="AU54" i="11"/>
  <c r="G91" i="11"/>
  <c r="AR126" i="11"/>
  <c r="BK139" i="11"/>
  <c r="R111" i="11"/>
  <c r="M83" i="11"/>
  <c r="AH145" i="11"/>
  <c r="BB113" i="11"/>
  <c r="AB39" i="11"/>
  <c r="Z155" i="11"/>
  <c r="K88" i="11"/>
  <c r="AU116" i="11"/>
  <c r="BD83" i="11"/>
  <c r="AI76" i="11"/>
  <c r="AB151" i="11"/>
  <c r="X83" i="11"/>
  <c r="AT146" i="11"/>
  <c r="Z53" i="11"/>
  <c r="BA65" i="11"/>
  <c r="AX125" i="11"/>
  <c r="Z105" i="11"/>
  <c r="BB51" i="11"/>
  <c r="Q109" i="11"/>
  <c r="AJ58" i="11"/>
  <c r="BB80" i="11"/>
  <c r="BH130" i="11"/>
  <c r="Y48" i="11"/>
  <c r="AR149" i="11"/>
  <c r="P87" i="11"/>
  <c r="U176" i="11"/>
  <c r="Q50" i="11"/>
  <c r="BM49" i="11"/>
  <c r="G123" i="11"/>
  <c r="BM96" i="11"/>
  <c r="BM193" i="11"/>
  <c r="AE106" i="11"/>
  <c r="BE88" i="11"/>
  <c r="R29" i="11"/>
  <c r="AB164" i="11"/>
  <c r="AQ148" i="11"/>
  <c r="W170" i="11"/>
  <c r="AC125" i="11"/>
  <c r="AF99" i="11"/>
  <c r="Z33" i="11"/>
  <c r="AX156" i="11"/>
  <c r="AJ115" i="11"/>
  <c r="M38" i="11"/>
  <c r="Y90" i="11"/>
  <c r="Q41" i="11"/>
  <c r="Q60" i="11"/>
  <c r="AL114" i="11"/>
  <c r="BJ101" i="11"/>
  <c r="Y149" i="11"/>
  <c r="Y101" i="11"/>
  <c r="R94" i="11"/>
  <c r="AV157" i="11"/>
  <c r="AT70" i="11"/>
  <c r="W168" i="11"/>
  <c r="S36" i="11"/>
  <c r="BG164" i="11"/>
  <c r="AI129" i="11"/>
  <c r="M36" i="11"/>
  <c r="AU150" i="11"/>
  <c r="AL126" i="11"/>
  <c r="AN35" i="11"/>
  <c r="AF180" i="11"/>
  <c r="J122" i="11"/>
  <c r="BA180" i="11"/>
  <c r="I74" i="11"/>
  <c r="BB180" i="11"/>
  <c r="BM119" i="11"/>
  <c r="BL90" i="11"/>
  <c r="AD86" i="11"/>
  <c r="AH42" i="11"/>
  <c r="Y61" i="11"/>
  <c r="AE164" i="11"/>
  <c r="BD148" i="11"/>
  <c r="BK142" i="11"/>
  <c r="BL93" i="11"/>
  <c r="AV171" i="11"/>
  <c r="BL71" i="11"/>
  <c r="H145" i="11"/>
  <c r="L143" i="11"/>
  <c r="BD125" i="11"/>
  <c r="BF133" i="11"/>
  <c r="V114" i="11"/>
  <c r="H47" i="11"/>
  <c r="N35" i="11"/>
  <c r="BG75" i="11"/>
  <c r="AC95" i="11"/>
  <c r="AL89" i="11"/>
  <c r="AP148" i="11"/>
  <c r="H104" i="11"/>
  <c r="AZ90" i="11"/>
  <c r="K31" i="11"/>
  <c r="AN195" i="11"/>
  <c r="BA124" i="11"/>
  <c r="AD47" i="11"/>
  <c r="AK136" i="11"/>
  <c r="O143" i="11"/>
  <c r="AN179" i="11"/>
  <c r="BI116" i="11"/>
  <c r="Q39" i="11"/>
  <c r="AI153" i="11"/>
  <c r="O103" i="11"/>
  <c r="U30" i="11"/>
  <c r="Z163" i="11"/>
  <c r="Z160" i="11"/>
  <c r="AI162" i="11"/>
  <c r="AE151" i="11"/>
  <c r="AU42" i="11"/>
  <c r="BI27" i="11"/>
  <c r="AH54" i="11"/>
  <c r="P67" i="11"/>
  <c r="AH105" i="11"/>
  <c r="AG178" i="11"/>
  <c r="AX61" i="11"/>
  <c r="AE115" i="11"/>
  <c r="AR80" i="11"/>
  <c r="BL106" i="11"/>
  <c r="AH104" i="11"/>
  <c r="M51" i="11"/>
  <c r="Z111" i="11"/>
  <c r="AL170" i="11"/>
  <c r="J144" i="11"/>
  <c r="H169" i="11"/>
  <c r="BF33" i="11"/>
  <c r="Y157" i="11"/>
  <c r="M93" i="11"/>
  <c r="C165" i="11"/>
  <c r="AF113" i="11"/>
  <c r="AS51" i="11"/>
  <c r="BD161" i="11"/>
  <c r="L46" i="11"/>
  <c r="AZ65" i="11"/>
  <c r="AF58" i="11"/>
  <c r="BB166" i="11"/>
  <c r="AH103" i="11"/>
  <c r="Z54" i="11"/>
  <c r="AT179" i="11"/>
  <c r="AM75" i="11"/>
  <c r="BI117" i="11"/>
  <c r="BG108" i="11"/>
  <c r="O36" i="11"/>
  <c r="BA190" i="11"/>
  <c r="AN37" i="11"/>
  <c r="X153" i="11"/>
  <c r="AX148" i="11"/>
  <c r="C54" i="11"/>
  <c r="L147" i="11"/>
  <c r="S132" i="11"/>
  <c r="AM96" i="11"/>
  <c r="Q147" i="11"/>
  <c r="O92" i="11"/>
  <c r="BL117" i="11"/>
  <c r="Y46" i="11"/>
  <c r="AT53" i="11"/>
  <c r="BK96" i="11"/>
  <c r="AU82" i="11"/>
  <c r="AB121" i="11"/>
  <c r="M136" i="11"/>
  <c r="S165" i="11"/>
  <c r="AS76" i="11"/>
  <c r="AK123" i="11"/>
  <c r="BK106" i="11"/>
  <c r="BM101" i="11"/>
  <c r="X131" i="11"/>
  <c r="X75" i="11"/>
  <c r="AW66" i="11"/>
  <c r="S179" i="11"/>
  <c r="AF83" i="11"/>
  <c r="AR62" i="11"/>
  <c r="AA90" i="11"/>
  <c r="AV79" i="11"/>
  <c r="C138" i="11"/>
  <c r="BB61" i="11"/>
  <c r="AG155" i="11"/>
  <c r="AU114" i="11"/>
  <c r="BI112" i="11"/>
  <c r="W51" i="11"/>
  <c r="L54" i="11"/>
  <c r="AW82" i="11"/>
  <c r="BI107" i="11"/>
  <c r="X58" i="11"/>
  <c r="BB38" i="11"/>
  <c r="BL131" i="11"/>
  <c r="AP88" i="11"/>
  <c r="R105" i="11"/>
  <c r="BL34" i="11"/>
  <c r="X113" i="11"/>
  <c r="AW84" i="11"/>
  <c r="BE27" i="11"/>
  <c r="I165" i="11"/>
  <c r="AR162" i="11"/>
  <c r="AQ134" i="11"/>
  <c r="BN149" i="11"/>
  <c r="W143" i="11"/>
  <c r="C126" i="11"/>
  <c r="AS169" i="11"/>
  <c r="AH155" i="11"/>
  <c r="S100" i="11"/>
  <c r="BB167" i="11"/>
  <c r="BK30" i="11"/>
  <c r="J176" i="11"/>
  <c r="AM66" i="11"/>
  <c r="L59" i="11"/>
  <c r="BE121" i="11"/>
  <c r="AF151" i="11"/>
  <c r="O175" i="11"/>
  <c r="BJ38" i="11"/>
  <c r="N98" i="11"/>
  <c r="Q53" i="11"/>
  <c r="I64" i="11"/>
  <c r="BD105" i="11"/>
  <c r="R157" i="11"/>
  <c r="J66" i="11"/>
  <c r="AD151" i="11"/>
  <c r="AK66" i="11"/>
  <c r="BD29" i="11"/>
  <c r="AN65" i="11"/>
  <c r="T71" i="11"/>
  <c r="BD141" i="11"/>
  <c r="AC50" i="11"/>
  <c r="W43" i="11"/>
  <c r="AI161" i="11"/>
  <c r="AD98" i="11"/>
  <c r="O141" i="11"/>
  <c r="AM90" i="11"/>
  <c r="BE43" i="11"/>
  <c r="I79" i="11"/>
  <c r="AZ173" i="11"/>
  <c r="BN53" i="11"/>
  <c r="BL69" i="11"/>
  <c r="Q56" i="11"/>
  <c r="AV40" i="11"/>
  <c r="BI36" i="11"/>
  <c r="Z146" i="11"/>
  <c r="Q80" i="11"/>
  <c r="AQ92" i="11"/>
  <c r="AS49" i="11"/>
  <c r="BI75" i="11"/>
  <c r="AM64" i="11"/>
  <c r="AB144" i="11"/>
  <c r="BF65" i="11"/>
  <c r="AR94" i="11"/>
  <c r="P86" i="11"/>
  <c r="K141" i="11"/>
  <c r="BC58" i="11"/>
  <c r="BG90" i="11"/>
  <c r="C130" i="11"/>
  <c r="BF78" i="11"/>
  <c r="AN131" i="11"/>
  <c r="J159" i="11"/>
  <c r="M70" i="11"/>
  <c r="AB49" i="11"/>
  <c r="AV97" i="11"/>
  <c r="AZ53" i="11"/>
  <c r="AD94" i="11"/>
  <c r="N45" i="11"/>
  <c r="BJ137" i="11"/>
  <c r="J54" i="11"/>
  <c r="BA140" i="11"/>
  <c r="BE42" i="11"/>
  <c r="R59" i="11"/>
  <c r="X90" i="11"/>
  <c r="BF62" i="11"/>
  <c r="W133" i="11"/>
  <c r="K119" i="11"/>
  <c r="BB140" i="11"/>
  <c r="U126" i="11"/>
  <c r="BI58" i="11"/>
  <c r="BN169" i="11"/>
  <c r="AQ153" i="11"/>
  <c r="AN115" i="11"/>
  <c r="AZ49" i="11"/>
  <c r="BN153" i="11"/>
  <c r="BN79" i="11"/>
  <c r="AR177" i="11"/>
  <c r="AB76" i="11"/>
  <c r="AC148" i="11"/>
  <c r="Q108" i="11"/>
  <c r="AR113" i="11"/>
  <c r="AL75" i="11"/>
  <c r="AW110" i="11"/>
  <c r="O31" i="11"/>
  <c r="AS120" i="11"/>
  <c r="AD171" i="11"/>
  <c r="N28" i="11"/>
  <c r="BN135" i="11"/>
  <c r="P80" i="11"/>
  <c r="K153" i="11"/>
  <c r="BH56" i="11"/>
  <c r="AA76" i="11"/>
  <c r="BK81" i="11"/>
  <c r="R177" i="11"/>
  <c r="T92" i="11"/>
  <c r="AY52" i="11"/>
  <c r="BN83" i="11"/>
  <c r="BF96" i="11"/>
  <c r="BE167" i="11"/>
  <c r="AW53" i="11"/>
  <c r="L106" i="11"/>
  <c r="BC146" i="11"/>
  <c r="AH64" i="11"/>
  <c r="AL133" i="11"/>
  <c r="AC157" i="11"/>
  <c r="AS119" i="11"/>
  <c r="BE136" i="11"/>
  <c r="BK150" i="11"/>
  <c r="S128" i="11"/>
  <c r="AF55" i="11"/>
  <c r="H174" i="11"/>
  <c r="AX133" i="11"/>
  <c r="AB119" i="11"/>
  <c r="L110" i="11"/>
  <c r="Q90" i="11"/>
  <c r="N48" i="11"/>
  <c r="AM119" i="11"/>
  <c r="AM74" i="11"/>
  <c r="AB44" i="11"/>
  <c r="AF156" i="11"/>
  <c r="AT62" i="11"/>
  <c r="Y72" i="11"/>
  <c r="AO121" i="11"/>
  <c r="BK164" i="11"/>
  <c r="H116" i="11"/>
  <c r="N123" i="11"/>
  <c r="AI34" i="11"/>
  <c r="G135" i="11"/>
  <c r="Q120" i="11"/>
  <c r="BE175" i="11"/>
  <c r="AT28" i="11"/>
  <c r="AG45" i="11"/>
  <c r="BE71" i="11"/>
  <c r="AC92" i="11"/>
  <c r="AR111" i="11"/>
  <c r="P160" i="11"/>
  <c r="Y122" i="11"/>
  <c r="V72" i="11"/>
  <c r="H71" i="11"/>
  <c r="O98" i="11"/>
  <c r="AT166" i="11"/>
  <c r="BI173" i="11"/>
  <c r="AK187" i="11"/>
  <c r="P32" i="11"/>
  <c r="K87" i="11"/>
  <c r="U158" i="11"/>
  <c r="AF39" i="11"/>
  <c r="BF179" i="11"/>
  <c r="N122" i="11"/>
  <c r="G164" i="11"/>
  <c r="BG85" i="11"/>
  <c r="AZ60" i="11"/>
  <c r="AC57" i="11"/>
  <c r="AQ167" i="11"/>
  <c r="AS82" i="11"/>
  <c r="AN122" i="11"/>
  <c r="W54" i="11"/>
  <c r="U60" i="11"/>
  <c r="Z174" i="11"/>
  <c r="AL138" i="11"/>
  <c r="AB84" i="11"/>
  <c r="T40" i="11"/>
  <c r="AR31" i="11"/>
  <c r="BA40" i="11"/>
  <c r="Z61" i="11"/>
  <c r="W160" i="11"/>
  <c r="T69" i="11"/>
  <c r="H91" i="11"/>
  <c r="AQ168" i="11"/>
  <c r="AT47" i="11"/>
  <c r="BK61" i="11"/>
  <c r="BM123" i="11"/>
  <c r="I89" i="11"/>
  <c r="AQ165" i="11"/>
  <c r="AT156" i="11"/>
  <c r="S163" i="11"/>
  <c r="C144" i="11"/>
  <c r="H76" i="11"/>
  <c r="BD59" i="11"/>
  <c r="P99" i="11"/>
  <c r="AA127" i="11"/>
  <c r="BD82" i="11"/>
  <c r="AH61" i="11"/>
  <c r="AD37" i="11"/>
  <c r="W147" i="11"/>
  <c r="C97" i="11"/>
  <c r="AY83" i="11"/>
  <c r="AU107" i="11"/>
  <c r="Z45" i="11"/>
  <c r="AE144" i="11"/>
  <c r="AD165" i="11"/>
  <c r="AZ119" i="11"/>
  <c r="AV154" i="11"/>
  <c r="Z44" i="11"/>
  <c r="BE171" i="11"/>
  <c r="V124" i="11"/>
  <c r="H93" i="11"/>
  <c r="K151" i="11"/>
  <c r="AY142" i="11"/>
  <c r="V40" i="11"/>
  <c r="BN174" i="11"/>
  <c r="BE140" i="11"/>
  <c r="BF29" i="11"/>
  <c r="T114" i="11"/>
  <c r="BG58" i="11"/>
  <c r="AB154" i="11"/>
  <c r="BE138" i="11"/>
  <c r="V120" i="11"/>
  <c r="BE61" i="11"/>
  <c r="BD154" i="11"/>
  <c r="T158" i="11"/>
  <c r="AS145" i="11"/>
  <c r="AH106" i="11"/>
  <c r="AZ161" i="11"/>
  <c r="AW37" i="11"/>
  <c r="AK101" i="11"/>
  <c r="AO178" i="11"/>
  <c r="X32" i="11"/>
  <c r="AN29" i="11"/>
  <c r="Z31" i="11"/>
  <c r="V130" i="11"/>
  <c r="G73" i="11"/>
  <c r="P89" i="11"/>
  <c r="S81" i="11"/>
  <c r="AQ142" i="11"/>
  <c r="Z187" i="11"/>
  <c r="Z90" i="11"/>
  <c r="AQ61" i="11"/>
  <c r="AU36" i="11"/>
  <c r="R133" i="11"/>
  <c r="AT168" i="11"/>
  <c r="BE130" i="11"/>
  <c r="BG49" i="11"/>
  <c r="AH154" i="11"/>
  <c r="AI61" i="11"/>
  <c r="V168" i="11"/>
  <c r="P42" i="11"/>
  <c r="S144" i="11"/>
  <c r="X168" i="11"/>
  <c r="BB36" i="11"/>
  <c r="M43" i="11"/>
  <c r="R158" i="11"/>
  <c r="AJ89" i="11"/>
  <c r="AC68" i="11"/>
  <c r="M115" i="11"/>
  <c r="BC135" i="11"/>
  <c r="AZ106" i="11"/>
  <c r="AV72" i="11"/>
  <c r="AS154" i="11"/>
  <c r="AU128" i="11"/>
  <c r="BG127" i="11"/>
  <c r="I82" i="11"/>
  <c r="BL154" i="11"/>
  <c r="BC30" i="11"/>
  <c r="AO27" i="11"/>
  <c r="AD54" i="11"/>
  <c r="H41" i="11"/>
  <c r="BI156" i="11"/>
  <c r="AD29" i="11"/>
  <c r="AS159" i="11"/>
  <c r="J169" i="11"/>
  <c r="C171" i="11"/>
  <c r="AM28" i="11"/>
  <c r="K132" i="11"/>
  <c r="AE28" i="11"/>
  <c r="AU94" i="11"/>
  <c r="BH147" i="11"/>
  <c r="BJ70" i="11"/>
  <c r="AB114" i="11"/>
  <c r="M128" i="11"/>
  <c r="AO36" i="11"/>
  <c r="BK67" i="11"/>
  <c r="BK168" i="11"/>
  <c r="AW62" i="11"/>
  <c r="AV167" i="11"/>
  <c r="BH143" i="11"/>
  <c r="AW133" i="11"/>
  <c r="AS36" i="11"/>
  <c r="P62" i="11"/>
  <c r="AC146" i="11"/>
  <c r="BI132" i="11"/>
  <c r="AN39" i="11"/>
  <c r="BC100" i="11"/>
  <c r="AL160" i="11"/>
  <c r="AA168" i="11"/>
  <c r="AC27" i="11"/>
  <c r="K74" i="11"/>
  <c r="I153" i="11"/>
  <c r="I68" i="11"/>
  <c r="AZ136" i="11"/>
  <c r="BF137" i="11"/>
  <c r="P28" i="11"/>
  <c r="AI90" i="11"/>
  <c r="BF83" i="11"/>
  <c r="AT63" i="11"/>
  <c r="BK87" i="11"/>
  <c r="Y130" i="11"/>
  <c r="BC155" i="11"/>
  <c r="AD135" i="11"/>
  <c r="BK53" i="11"/>
  <c r="AR144" i="11"/>
  <c r="Y124" i="11"/>
  <c r="H111" i="11"/>
  <c r="BB112" i="11"/>
  <c r="W178" i="11"/>
  <c r="R136" i="11"/>
  <c r="AW137" i="11"/>
  <c r="AR45" i="11"/>
  <c r="BN51" i="11"/>
  <c r="BA79" i="11"/>
  <c r="O66" i="11"/>
  <c r="H139" i="11"/>
  <c r="AJ117" i="11"/>
  <c r="S127" i="11"/>
  <c r="V49" i="11"/>
  <c r="AC36" i="11"/>
  <c r="AT29" i="11"/>
  <c r="BF71" i="11"/>
  <c r="AZ147" i="11"/>
  <c r="AA82" i="11"/>
  <c r="AP147" i="11"/>
  <c r="AM92" i="11"/>
  <c r="AQ163" i="11"/>
  <c r="S123" i="11"/>
  <c r="BD56" i="11"/>
  <c r="AY81" i="11"/>
  <c r="H130" i="11"/>
  <c r="BM29" i="11"/>
  <c r="P124" i="11"/>
  <c r="AC41" i="11"/>
  <c r="AD34" i="11"/>
  <c r="V77" i="11"/>
  <c r="U162" i="11"/>
  <c r="T80" i="11"/>
  <c r="R109" i="11"/>
  <c r="AR115" i="11"/>
  <c r="BA132" i="11"/>
  <c r="C75" i="11"/>
  <c r="BL166" i="11"/>
  <c r="I143" i="11"/>
  <c r="AN56" i="11"/>
  <c r="AE154" i="11"/>
  <c r="AT61" i="11"/>
  <c r="AN107" i="11"/>
  <c r="AU124" i="11"/>
  <c r="AG145" i="11"/>
  <c r="I180" i="11"/>
  <c r="AE27" i="11"/>
  <c r="N31" i="11"/>
  <c r="AZ168" i="11"/>
  <c r="Z58" i="11"/>
  <c r="K162" i="11"/>
  <c r="BL108" i="11"/>
  <c r="AM39" i="11"/>
  <c r="BE63" i="11"/>
  <c r="AO173" i="11"/>
  <c r="AW55" i="11"/>
  <c r="G115" i="11"/>
  <c r="AT178" i="11"/>
  <c r="BL73" i="11"/>
  <c r="AI127" i="11"/>
  <c r="V36" i="11"/>
  <c r="K69" i="11"/>
  <c r="Z50" i="11"/>
  <c r="AT36" i="11"/>
  <c r="AP116" i="11"/>
  <c r="Q172" i="11"/>
  <c r="AH75" i="11"/>
  <c r="AA70" i="11"/>
  <c r="J171" i="11"/>
  <c r="AT113" i="11"/>
  <c r="AX30" i="11"/>
  <c r="AJ142" i="11"/>
  <c r="Z99" i="11"/>
  <c r="U152" i="11"/>
  <c r="AB128" i="11"/>
  <c r="S82" i="11"/>
  <c r="S35" i="11"/>
  <c r="BB84" i="11"/>
  <c r="R159" i="11"/>
  <c r="AO179" i="11"/>
  <c r="BN176" i="11"/>
  <c r="Q111" i="11"/>
  <c r="BL161" i="11"/>
  <c r="I167" i="11"/>
  <c r="AK148" i="11"/>
  <c r="AZ89" i="11"/>
  <c r="AV54" i="11"/>
  <c r="BM64" i="11"/>
  <c r="C98" i="11"/>
  <c r="AP188" i="11"/>
  <c r="AI130" i="11"/>
  <c r="BL38" i="11"/>
  <c r="AX132" i="11"/>
  <c r="AU100" i="11"/>
  <c r="M139" i="11"/>
  <c r="BN128" i="11"/>
  <c r="BC57" i="11"/>
  <c r="AK29" i="11"/>
  <c r="AJ124" i="11"/>
  <c r="AG58" i="11"/>
  <c r="N166" i="11"/>
  <c r="N74" i="11"/>
  <c r="AN134" i="11"/>
  <c r="BH89" i="11"/>
  <c r="AU51" i="11"/>
  <c r="BI130" i="11"/>
  <c r="BB145" i="11"/>
  <c r="Q103" i="11"/>
  <c r="I130" i="11"/>
  <c r="N44" i="11"/>
  <c r="K110" i="11"/>
  <c r="J155" i="11"/>
  <c r="BI139" i="11"/>
  <c r="AK33" i="11"/>
  <c r="AF105" i="11"/>
  <c r="L79" i="11"/>
  <c r="BF48" i="11"/>
  <c r="AF121" i="11"/>
  <c r="AO141" i="11"/>
  <c r="BA130" i="11"/>
  <c r="Q76" i="11"/>
  <c r="J167" i="11"/>
  <c r="BB94" i="11"/>
  <c r="U92" i="11"/>
  <c r="O124" i="11"/>
  <c r="R83" i="11"/>
  <c r="AO40" i="11"/>
  <c r="BJ177" i="11"/>
  <c r="AD155" i="11"/>
  <c r="AC132" i="11"/>
  <c r="L30" i="11"/>
  <c r="AT60" i="11"/>
  <c r="BE108" i="11"/>
  <c r="I72" i="11"/>
  <c r="BI65" i="11"/>
  <c r="AZ84" i="11"/>
  <c r="AJ76" i="11"/>
  <c r="BM93" i="11"/>
  <c r="N158" i="11"/>
  <c r="AQ102" i="11"/>
  <c r="AI71" i="11"/>
  <c r="M162" i="11"/>
  <c r="AM154" i="11"/>
  <c r="AV35" i="11"/>
  <c r="I156" i="11"/>
  <c r="BE133" i="11"/>
  <c r="BB97" i="11"/>
  <c r="AO169" i="11"/>
  <c r="AM42" i="11"/>
  <c r="BB45" i="11"/>
  <c r="M95" i="11"/>
  <c r="AY88" i="11"/>
  <c r="AV161" i="11"/>
  <c r="AV75" i="11"/>
  <c r="BE139" i="11"/>
  <c r="T54" i="11"/>
  <c r="BN117" i="11"/>
  <c r="AD153" i="11"/>
  <c r="H118" i="11"/>
  <c r="BA115" i="11"/>
  <c r="N128" i="11"/>
  <c r="K170" i="11"/>
  <c r="AB180" i="11"/>
  <c r="O111" i="11"/>
  <c r="AY139" i="11"/>
  <c r="Q91" i="11"/>
  <c r="BJ62" i="11"/>
  <c r="U161" i="11"/>
  <c r="AD66" i="11"/>
  <c r="BF161" i="11"/>
  <c r="J99" i="11"/>
  <c r="S55" i="11"/>
  <c r="BN134" i="11"/>
  <c r="BF167" i="11"/>
  <c r="AG158" i="11"/>
  <c r="AP134" i="11"/>
  <c r="AJ71" i="11"/>
  <c r="AF80" i="11"/>
  <c r="BE146" i="11"/>
  <c r="AK179" i="11"/>
  <c r="AT100" i="11"/>
  <c r="O63" i="11"/>
  <c r="Z154" i="11"/>
  <c r="R175" i="11"/>
  <c r="BL177" i="11"/>
  <c r="BN175" i="11"/>
  <c r="BL173" i="11"/>
  <c r="BC95" i="11"/>
  <c r="Q34" i="11"/>
  <c r="S85" i="11"/>
  <c r="AT157" i="11"/>
  <c r="AA169" i="11"/>
  <c r="R49" i="11"/>
  <c r="AI116" i="11"/>
  <c r="BL157" i="11"/>
  <c r="AW85" i="11"/>
  <c r="AW122" i="11"/>
  <c r="X78" i="11"/>
  <c r="L86" i="11"/>
  <c r="AC136" i="11"/>
  <c r="AS178" i="11"/>
  <c r="BN168" i="11"/>
  <c r="BA71" i="11"/>
  <c r="AH33" i="11"/>
  <c r="Z103" i="11"/>
  <c r="AM63" i="11"/>
  <c r="AU171" i="11"/>
  <c r="BC52" i="11"/>
  <c r="U41" i="11"/>
  <c r="Z152" i="11"/>
  <c r="V157" i="11"/>
  <c r="BN188" i="11"/>
  <c r="U110" i="11"/>
  <c r="AV129" i="11"/>
  <c r="AJ130" i="11"/>
  <c r="AN75" i="11"/>
  <c r="W123" i="11"/>
  <c r="AX167" i="11"/>
  <c r="AQ139" i="11"/>
  <c r="AD132" i="11"/>
  <c r="AQ177" i="11"/>
  <c r="BA173" i="11"/>
  <c r="BE55" i="11"/>
  <c r="AF120" i="11"/>
  <c r="AR139" i="11"/>
  <c r="AB130" i="11"/>
  <c r="BH28" i="11"/>
  <c r="AB156" i="11"/>
  <c r="AL121" i="11"/>
  <c r="AB145" i="11"/>
  <c r="AW38" i="11"/>
  <c r="L120" i="11"/>
  <c r="BF121" i="11"/>
  <c r="R56" i="11"/>
  <c r="AK49" i="11"/>
  <c r="Y104" i="11"/>
  <c r="T82" i="11"/>
  <c r="P107" i="11"/>
  <c r="R149" i="11"/>
  <c r="I71" i="11"/>
  <c r="BG139" i="11"/>
  <c r="BC98" i="11"/>
  <c r="BL89" i="11"/>
  <c r="BM115" i="11"/>
  <c r="R140" i="11"/>
  <c r="BN167" i="11"/>
  <c r="Q132" i="11"/>
  <c r="BD177" i="11"/>
  <c r="AK114" i="11"/>
  <c r="AE121" i="11"/>
  <c r="Q129" i="11"/>
  <c r="AK170" i="11"/>
  <c r="T47" i="11"/>
  <c r="K169" i="11"/>
  <c r="BG152" i="11"/>
  <c r="AS150" i="11"/>
  <c r="AO60" i="11"/>
  <c r="T27" i="11"/>
  <c r="AE169" i="11"/>
  <c r="AL35" i="11"/>
  <c r="BM113" i="11"/>
  <c r="BB115" i="11"/>
  <c r="K165" i="11"/>
  <c r="AI151" i="11"/>
  <c r="BG106" i="11"/>
  <c r="AW27" i="11"/>
  <c r="I114" i="11"/>
  <c r="C151" i="11"/>
  <c r="AW56" i="11"/>
  <c r="BD76" i="11"/>
  <c r="T166" i="11"/>
  <c r="BG157" i="11"/>
  <c r="R81" i="11"/>
  <c r="BN91" i="11"/>
  <c r="S73" i="11"/>
  <c r="I149" i="11"/>
  <c r="AM124" i="11"/>
  <c r="BC105" i="11"/>
  <c r="AB65" i="11"/>
  <c r="BJ45" i="11"/>
  <c r="BD97" i="11"/>
  <c r="AB43" i="11"/>
  <c r="I95" i="11"/>
  <c r="AS64" i="11"/>
  <c r="AI158" i="11"/>
  <c r="BJ88" i="11"/>
  <c r="AM27" i="11"/>
  <c r="AW160" i="11"/>
  <c r="V118" i="11"/>
  <c r="BC56" i="11"/>
  <c r="H50" i="11"/>
  <c r="BA137" i="11"/>
  <c r="P90" i="11"/>
  <c r="AH83" i="11"/>
  <c r="AE175" i="11"/>
  <c r="AG128" i="11"/>
  <c r="AE118" i="11"/>
  <c r="N40" i="11"/>
  <c r="BD118" i="11"/>
  <c r="BL52" i="11"/>
  <c r="AI58" i="11"/>
  <c r="AH39" i="11"/>
  <c r="AH149" i="11"/>
  <c r="AS146" i="11"/>
  <c r="P39" i="11"/>
  <c r="AZ74" i="11"/>
  <c r="AS44" i="11"/>
  <c r="AK130" i="11"/>
  <c r="AN53" i="11"/>
  <c r="BB83" i="11"/>
  <c r="Q175" i="11"/>
  <c r="AW86" i="11"/>
  <c r="AG179" i="11"/>
  <c r="BA128" i="11"/>
  <c r="AY35" i="11"/>
  <c r="AE55" i="11"/>
  <c r="AE69" i="11"/>
  <c r="AZ102" i="11"/>
  <c r="N125" i="11"/>
  <c r="AG39" i="11"/>
  <c r="AO146" i="11"/>
  <c r="T132" i="11"/>
  <c r="AU41" i="11"/>
  <c r="BG31" i="11"/>
  <c r="N113" i="11"/>
  <c r="AJ134" i="11"/>
  <c r="BA72" i="11"/>
  <c r="AP95" i="11"/>
  <c r="BD137" i="11"/>
  <c r="AH51" i="11"/>
  <c r="AY46" i="11"/>
  <c r="BJ173" i="11"/>
  <c r="O137" i="11"/>
  <c r="J134" i="11"/>
  <c r="AE65" i="11"/>
  <c r="W140" i="11"/>
  <c r="AE44" i="11"/>
  <c r="P141" i="11"/>
  <c r="AH158" i="11"/>
  <c r="W101" i="11"/>
  <c r="AB57" i="11"/>
  <c r="AE136" i="11"/>
  <c r="AB63" i="11"/>
  <c r="BA167" i="11"/>
  <c r="AJ110" i="11"/>
  <c r="M41" i="11"/>
  <c r="T96" i="11"/>
  <c r="BB102" i="11"/>
  <c r="BF72" i="11"/>
  <c r="AM45" i="11"/>
  <c r="BC99" i="11"/>
  <c r="T156" i="11"/>
  <c r="AN74" i="11"/>
  <c r="BF130" i="11"/>
  <c r="BK95" i="11"/>
  <c r="AY26" i="11"/>
  <c r="AM122" i="11"/>
  <c r="BG89" i="11"/>
  <c r="AJ121" i="11"/>
  <c r="AG124" i="11"/>
  <c r="BA163" i="11"/>
  <c r="AK167" i="11"/>
  <c r="R39" i="11"/>
  <c r="AI38" i="11"/>
  <c r="L136" i="11"/>
  <c r="G143" i="11"/>
  <c r="BK132" i="11"/>
  <c r="N56" i="11"/>
  <c r="S71" i="11"/>
  <c r="AQ157" i="11"/>
  <c r="Q30" i="11"/>
  <c r="BD73" i="11"/>
  <c r="AQ80" i="11"/>
  <c r="AJ152" i="11"/>
  <c r="AD152" i="11"/>
  <c r="AP50" i="11"/>
  <c r="AD49" i="11"/>
  <c r="AF118" i="11"/>
  <c r="V27" i="11"/>
  <c r="O130" i="11"/>
  <c r="BF86" i="11"/>
  <c r="AP58" i="11"/>
  <c r="BB98" i="11"/>
  <c r="AP117" i="11"/>
  <c r="K157" i="11"/>
  <c r="AG104" i="11"/>
  <c r="AK163" i="11"/>
  <c r="V47" i="11"/>
  <c r="N139" i="11"/>
  <c r="BN131" i="11"/>
  <c r="O105" i="11"/>
  <c r="AM115" i="11"/>
  <c r="BD80" i="11"/>
  <c r="L105" i="11"/>
  <c r="G130" i="11"/>
  <c r="AJ102" i="11"/>
  <c r="BN166" i="11"/>
  <c r="G55" i="11"/>
  <c r="AI49" i="11"/>
  <c r="AO73" i="11"/>
  <c r="AB93" i="11"/>
  <c r="S146" i="11"/>
  <c r="BN32" i="11"/>
  <c r="AU168" i="11"/>
  <c r="V134" i="11"/>
  <c r="H92" i="11"/>
  <c r="BA86" i="11"/>
  <c r="N63" i="11"/>
  <c r="AZ38" i="11"/>
  <c r="BF138" i="11"/>
  <c r="AM29" i="11"/>
  <c r="BE77" i="11"/>
  <c r="AI133" i="11"/>
  <c r="G142" i="11"/>
  <c r="C93" i="11"/>
  <c r="BM111" i="11"/>
  <c r="AS30" i="11"/>
  <c r="K99" i="11"/>
  <c r="BD99" i="11"/>
  <c r="AX72" i="11"/>
  <c r="J61" i="11"/>
  <c r="M85" i="11"/>
  <c r="AP173" i="11"/>
  <c r="U124" i="11"/>
  <c r="BN156" i="11"/>
  <c r="T160" i="11"/>
  <c r="AX165" i="11"/>
  <c r="C139" i="11"/>
  <c r="AS157" i="11"/>
  <c r="BC161" i="11"/>
  <c r="BK50" i="11"/>
  <c r="I103" i="11"/>
  <c r="AH74" i="11"/>
  <c r="AE171" i="11"/>
  <c r="U165" i="11"/>
  <c r="U167" i="11"/>
  <c r="AH162" i="11"/>
  <c r="AS151" i="11"/>
  <c r="W148" i="11"/>
  <c r="BB125" i="11"/>
  <c r="U99" i="11"/>
  <c r="Q146" i="11"/>
  <c r="J146" i="11"/>
  <c r="AP44" i="11"/>
  <c r="N155" i="11"/>
  <c r="R51" i="11"/>
  <c r="BG43" i="11"/>
  <c r="AK147" i="11"/>
  <c r="U134" i="11"/>
  <c r="BN33" i="11"/>
  <c r="BI42" i="11"/>
  <c r="Q32" i="11"/>
  <c r="AJ175" i="11"/>
  <c r="M108" i="11"/>
  <c r="BA52" i="11"/>
  <c r="AH62" i="11"/>
  <c r="AU140" i="11"/>
  <c r="X76" i="11"/>
  <c r="AN117" i="11"/>
  <c r="AO153" i="11"/>
  <c r="AT99" i="11"/>
  <c r="AX38" i="11"/>
  <c r="AE77" i="11"/>
  <c r="AG117" i="11"/>
  <c r="L95" i="11"/>
  <c r="AH70" i="11"/>
  <c r="AR136" i="11"/>
  <c r="I96" i="11"/>
  <c r="AO135" i="11"/>
  <c r="W89" i="11"/>
  <c r="K67" i="11"/>
  <c r="T163" i="11"/>
  <c r="C106" i="11"/>
  <c r="AB41" i="11"/>
  <c r="BB123" i="11"/>
  <c r="AH148" i="11"/>
  <c r="J48" i="11"/>
  <c r="AC94" i="11"/>
  <c r="AJ87" i="11"/>
  <c r="BG147" i="11"/>
  <c r="BB100" i="11"/>
  <c r="BJ138" i="11"/>
  <c r="BL125" i="11"/>
  <c r="Y111" i="11"/>
  <c r="Q131" i="11"/>
  <c r="Z170" i="11"/>
  <c r="BB70" i="11"/>
  <c r="Z116" i="11"/>
  <c r="I127" i="11"/>
  <c r="AF104" i="11"/>
  <c r="K173" i="11"/>
  <c r="BC177" i="11"/>
  <c r="M161" i="11"/>
  <c r="J106" i="11"/>
  <c r="BI28" i="11"/>
  <c r="O150" i="11"/>
  <c r="AP151" i="11"/>
  <c r="AY114" i="11"/>
  <c r="N29" i="11"/>
  <c r="AG119" i="11"/>
  <c r="Y132" i="11"/>
  <c r="AH107" i="11"/>
  <c r="T103" i="11"/>
  <c r="AK106" i="11"/>
  <c r="P33" i="11"/>
  <c r="L114" i="11"/>
  <c r="AD52" i="11"/>
  <c r="AA34" i="11"/>
  <c r="AA62" i="11"/>
  <c r="AQ88" i="11"/>
  <c r="AB31" i="11"/>
  <c r="BH84" i="11"/>
  <c r="BG117" i="11"/>
  <c r="R114" i="11"/>
  <c r="S115" i="11"/>
  <c r="AV139" i="11"/>
  <c r="BL194" i="11"/>
  <c r="C27" i="11"/>
  <c r="Y83" i="11"/>
  <c r="W159" i="11"/>
  <c r="AV119" i="11"/>
  <c r="AV135" i="11"/>
  <c r="Y105" i="11"/>
  <c r="AB30" i="11"/>
  <c r="AE75" i="11"/>
  <c r="V88" i="11"/>
  <c r="X137" i="11"/>
  <c r="BK38" i="11"/>
  <c r="AT132" i="11"/>
  <c r="K51" i="11"/>
  <c r="M87" i="11"/>
  <c r="AI30" i="11"/>
  <c r="AU125" i="11"/>
  <c r="X107" i="11"/>
  <c r="U55" i="11"/>
  <c r="AM142" i="11"/>
  <c r="AS133" i="11"/>
  <c r="AS42" i="11"/>
  <c r="BH150" i="11"/>
  <c r="T104" i="11"/>
  <c r="AL136" i="11"/>
  <c r="I87" i="11"/>
  <c r="BA112" i="11"/>
  <c r="BL41" i="11"/>
  <c r="AQ28" i="11"/>
  <c r="L69" i="11"/>
  <c r="AC160" i="11"/>
  <c r="G144" i="11"/>
  <c r="AR91" i="11"/>
  <c r="AT94" i="11"/>
  <c r="AA103" i="11"/>
  <c r="AV117" i="11"/>
  <c r="BE74" i="11"/>
  <c r="J143" i="11"/>
  <c r="N33" i="11"/>
  <c r="S168" i="11"/>
  <c r="BJ150" i="11"/>
  <c r="AI92" i="11"/>
  <c r="BM76" i="11"/>
  <c r="L39" i="11"/>
  <c r="P100" i="11"/>
  <c r="Y96" i="11"/>
  <c r="AF136" i="11"/>
  <c r="AV120" i="11"/>
  <c r="S61" i="11"/>
  <c r="AC171" i="11"/>
  <c r="K28" i="11"/>
  <c r="V172" i="11"/>
  <c r="Y82" i="11"/>
  <c r="BF104" i="11"/>
  <c r="AV151" i="11"/>
  <c r="BH63" i="11"/>
  <c r="AZ130" i="11"/>
  <c r="AG26" i="11"/>
  <c r="BH73" i="11"/>
  <c r="AZ44" i="11"/>
  <c r="BE31" i="11"/>
  <c r="AR100" i="11"/>
  <c r="AY179" i="11"/>
  <c r="T78" i="11"/>
  <c r="BE162" i="11"/>
  <c r="BB28" i="11"/>
  <c r="K121" i="11"/>
  <c r="Z171" i="11"/>
  <c r="AP94" i="11"/>
  <c r="AP61" i="11"/>
  <c r="AX39" i="11"/>
  <c r="K35" i="11"/>
  <c r="AC87" i="11"/>
  <c r="AL125" i="11"/>
  <c r="X110" i="11"/>
  <c r="AN120" i="11"/>
  <c r="Y28" i="11"/>
  <c r="S38" i="11"/>
  <c r="AS27" i="11"/>
  <c r="I142" i="11"/>
  <c r="AE81" i="11"/>
  <c r="AR171" i="11"/>
  <c r="AD131" i="11"/>
  <c r="AW141" i="11"/>
  <c r="M57" i="11"/>
  <c r="AL147" i="11"/>
  <c r="Q152" i="11"/>
  <c r="AV31" i="11"/>
  <c r="AA42" i="11"/>
  <c r="AU66" i="11"/>
  <c r="L94" i="11"/>
  <c r="BJ116" i="11"/>
  <c r="C135" i="11"/>
  <c r="AC91" i="11"/>
  <c r="Z92" i="11"/>
  <c r="K146" i="11"/>
  <c r="BC82" i="11"/>
  <c r="AP155" i="11"/>
  <c r="AV147" i="11"/>
  <c r="AX149" i="11"/>
  <c r="AX161" i="11"/>
  <c r="W167" i="11"/>
  <c r="AV168" i="11"/>
  <c r="BK121" i="11"/>
  <c r="C76" i="11"/>
  <c r="AA61" i="11"/>
  <c r="BD37" i="11"/>
  <c r="BL68" i="11"/>
  <c r="AV99" i="11"/>
  <c r="AW74" i="11"/>
  <c r="BA196" i="11"/>
  <c r="BD34" i="11"/>
  <c r="Q47" i="11"/>
  <c r="AS45" i="11"/>
  <c r="M109" i="11"/>
  <c r="T122" i="11"/>
  <c r="AP120" i="11"/>
  <c r="AC161" i="11"/>
  <c r="AX75" i="11"/>
  <c r="AQ30" i="11"/>
  <c r="BC140" i="11"/>
  <c r="Y162" i="11"/>
  <c r="O104" i="11"/>
  <c r="AX96" i="11"/>
  <c r="AY107" i="11"/>
  <c r="AJ78" i="11"/>
  <c r="AW154" i="11"/>
  <c r="AV172" i="11"/>
  <c r="BE134" i="11"/>
  <c r="BB76" i="11"/>
  <c r="AP42" i="11"/>
  <c r="W86" i="11"/>
  <c r="P179" i="11"/>
  <c r="AJ161" i="11"/>
  <c r="AK60" i="11"/>
  <c r="G158" i="11"/>
  <c r="W76" i="11"/>
  <c r="AX76" i="11"/>
  <c r="P85" i="11"/>
  <c r="AP138" i="11"/>
  <c r="AG113" i="11"/>
  <c r="AA72" i="11"/>
  <c r="H96" i="11"/>
  <c r="G108" i="11"/>
  <c r="N64" i="11"/>
  <c r="H95" i="11"/>
  <c r="AK122" i="11"/>
  <c r="AK151" i="11"/>
  <c r="L126" i="11"/>
  <c r="AM149" i="11"/>
  <c r="N138" i="11"/>
  <c r="AE146" i="11"/>
  <c r="AU77" i="11"/>
  <c r="AB87" i="11"/>
  <c r="C83" i="11"/>
  <c r="AX124" i="11"/>
  <c r="AD63" i="11"/>
  <c r="P150" i="11"/>
  <c r="R113" i="11"/>
  <c r="AQ44" i="11"/>
  <c r="C107" i="11"/>
  <c r="AD140" i="11"/>
  <c r="G172" i="11"/>
  <c r="AB146" i="11"/>
  <c r="Q125" i="11"/>
  <c r="H163" i="11"/>
  <c r="AS33" i="11"/>
  <c r="T79" i="11"/>
  <c r="AW77" i="11"/>
  <c r="S108" i="11"/>
  <c r="P105" i="11"/>
  <c r="AX74" i="11"/>
  <c r="AU39" i="11"/>
  <c r="U171" i="11"/>
  <c r="AF144" i="11"/>
  <c r="AB100" i="11"/>
  <c r="AV57" i="11"/>
  <c r="K73" i="11"/>
  <c r="BE119" i="11"/>
  <c r="AJ57" i="11"/>
  <c r="M114" i="11"/>
  <c r="AT167" i="11"/>
  <c r="AR66" i="11"/>
  <c r="AZ135" i="11"/>
  <c r="BL37" i="11"/>
  <c r="M73" i="11"/>
  <c r="Z178" i="11"/>
  <c r="N149" i="11"/>
  <c r="Z180" i="11"/>
  <c r="V177" i="11"/>
  <c r="BJ56" i="11"/>
  <c r="BG45" i="11"/>
  <c r="AL94" i="11"/>
  <c r="BN152" i="11"/>
  <c r="BE33" i="11"/>
  <c r="AN111" i="11"/>
  <c r="BM41" i="11"/>
  <c r="Z168" i="11"/>
  <c r="BG175" i="11"/>
  <c r="AB94" i="11"/>
  <c r="BL46" i="11"/>
  <c r="AA156" i="11"/>
  <c r="AX168" i="11"/>
  <c r="Q140" i="11"/>
  <c r="K47" i="11"/>
  <c r="BB111" i="11"/>
  <c r="BI143" i="11"/>
  <c r="W28" i="11"/>
  <c r="AF147" i="11"/>
  <c r="C35" i="11"/>
  <c r="AO112" i="11"/>
  <c r="AJ157" i="11"/>
  <c r="BM78" i="11"/>
  <c r="Y153" i="11"/>
  <c r="AZ98" i="11"/>
  <c r="O131" i="11"/>
  <c r="R97" i="11"/>
  <c r="N92" i="11"/>
  <c r="X155" i="11"/>
  <c r="I140" i="11"/>
  <c r="BF135" i="11"/>
  <c r="AH178" i="11"/>
  <c r="Q141" i="11"/>
  <c r="BG173" i="11"/>
  <c r="L98" i="11"/>
  <c r="AP82" i="11"/>
  <c r="BM132" i="11"/>
  <c r="W102" i="11"/>
  <c r="X157" i="11"/>
  <c r="AI195" i="11"/>
  <c r="N73" i="11"/>
  <c r="BK98" i="11"/>
  <c r="AG157" i="11"/>
  <c r="AT155" i="11"/>
  <c r="BD129" i="11"/>
  <c r="N137" i="11"/>
  <c r="BB176" i="11"/>
  <c r="AZ88" i="11"/>
  <c r="BG140" i="11"/>
  <c r="H34" i="11"/>
  <c r="AW60" i="11"/>
  <c r="T31" i="11"/>
  <c r="AK72" i="11"/>
  <c r="BC131" i="11"/>
  <c r="BH100" i="11"/>
  <c r="AO69" i="11"/>
  <c r="BB130" i="11"/>
  <c r="AI66" i="11"/>
  <c r="T135" i="11"/>
  <c r="Y141" i="11"/>
  <c r="BH137" i="11"/>
  <c r="S104" i="11"/>
  <c r="AJ52" i="11"/>
  <c r="AS79" i="11"/>
  <c r="AQ136" i="11"/>
  <c r="AZ113" i="11"/>
  <c r="BE111" i="11"/>
  <c r="AI54" i="11"/>
  <c r="AR36" i="11"/>
  <c r="L124" i="11"/>
  <c r="AJ120" i="11"/>
  <c r="BG79" i="11"/>
  <c r="AR104" i="11"/>
  <c r="BA74" i="11"/>
  <c r="AG56" i="11"/>
  <c r="AZ43" i="11"/>
  <c r="L28" i="11"/>
  <c r="BN165" i="11"/>
  <c r="S119" i="11"/>
  <c r="BE168" i="11"/>
  <c r="AB171" i="11"/>
  <c r="AE37" i="11"/>
  <c r="G112" i="11"/>
  <c r="AC150" i="11"/>
  <c r="N171" i="11"/>
  <c r="BM89" i="11"/>
  <c r="L31" i="11"/>
  <c r="K120" i="11"/>
  <c r="P134" i="11"/>
  <c r="R27" i="11"/>
  <c r="BI159" i="11"/>
  <c r="BE110" i="11"/>
  <c r="AB169" i="11"/>
  <c r="AK103" i="11"/>
  <c r="AJ38" i="11"/>
  <c r="U72" i="11"/>
  <c r="AA105" i="11"/>
  <c r="K64" i="11"/>
  <c r="O151" i="11"/>
  <c r="AU58" i="11"/>
  <c r="L167" i="11"/>
  <c r="AQ47" i="11"/>
  <c r="M159" i="11"/>
  <c r="BL169" i="11"/>
  <c r="BN40" i="11"/>
  <c r="AC165" i="11"/>
  <c r="AM76" i="11"/>
  <c r="P92" i="11"/>
  <c r="M126" i="11"/>
  <c r="Z148" i="11"/>
  <c r="BF63" i="11"/>
  <c r="O55" i="11"/>
  <c r="AT171" i="11"/>
  <c r="Q94" i="11"/>
  <c r="AO46" i="11"/>
  <c r="AF157" i="11"/>
  <c r="BC76" i="11"/>
  <c r="J27" i="11"/>
  <c r="J123" i="11"/>
  <c r="AG103" i="11"/>
  <c r="BK31" i="11"/>
  <c r="AW146" i="11"/>
  <c r="AZ59" i="11"/>
  <c r="AC100" i="11"/>
  <c r="AO88" i="11"/>
  <c r="Q33" i="11"/>
  <c r="Y57" i="11"/>
  <c r="AS97" i="11"/>
  <c r="AX50" i="11"/>
  <c r="BD78" i="11"/>
  <c r="BM120" i="11"/>
  <c r="BK85" i="11"/>
  <c r="AP77" i="11"/>
  <c r="BB152" i="11"/>
  <c r="AT175" i="11"/>
  <c r="AH66" i="11"/>
  <c r="BH30" i="11"/>
  <c r="M48" i="11"/>
  <c r="AQ129" i="11"/>
  <c r="AY176" i="11"/>
  <c r="AT77" i="11"/>
  <c r="J53" i="11"/>
  <c r="C81" i="11"/>
  <c r="BN140" i="11"/>
  <c r="AP33" i="11"/>
  <c r="Z42" i="11"/>
  <c r="AM30" i="11"/>
  <c r="R122" i="11"/>
  <c r="AB123" i="11"/>
  <c r="AH171" i="11"/>
  <c r="Z35" i="11"/>
  <c r="Z128" i="11"/>
  <c r="AO131" i="11"/>
  <c r="AZ33" i="11"/>
  <c r="BB54" i="11"/>
  <c r="X37" i="11"/>
  <c r="BC107" i="11"/>
  <c r="AT67" i="11"/>
  <c r="AB96" i="11"/>
  <c r="BF26" i="11"/>
  <c r="AA63" i="11"/>
  <c r="BA135" i="11"/>
  <c r="AJ165" i="11"/>
  <c r="AH157" i="11"/>
  <c r="AT104" i="11"/>
  <c r="O114" i="11"/>
  <c r="J34" i="11"/>
  <c r="BF102" i="11"/>
  <c r="G117" i="11"/>
  <c r="AH161" i="11"/>
  <c r="AN85" i="11"/>
  <c r="L140" i="11"/>
  <c r="AW28" i="11"/>
  <c r="AQ169" i="11"/>
  <c r="AP132" i="11"/>
  <c r="AS136" i="11"/>
  <c r="AS129" i="11"/>
  <c r="O119" i="11"/>
  <c r="BA139" i="11"/>
  <c r="J163" i="11"/>
  <c r="G84" i="11"/>
  <c r="P196" i="11"/>
  <c r="AK93" i="11"/>
  <c r="R118" i="11"/>
  <c r="AF73" i="11"/>
  <c r="BF64" i="11"/>
  <c r="AH140" i="11"/>
  <c r="AH131" i="11"/>
  <c r="AD109" i="11"/>
  <c r="AT59" i="11"/>
  <c r="R69" i="11"/>
  <c r="I27" i="11"/>
  <c r="BK122" i="11"/>
  <c r="T66" i="11"/>
  <c r="AW88" i="11"/>
  <c r="O86" i="11"/>
  <c r="H59" i="11"/>
  <c r="BD113" i="11"/>
  <c r="O48" i="11"/>
  <c r="AZ170" i="11"/>
  <c r="AD93" i="11"/>
  <c r="AQ106" i="11"/>
  <c r="AC109" i="11"/>
  <c r="AG50" i="11"/>
  <c r="R95" i="11"/>
  <c r="G32" i="11"/>
  <c r="AP66" i="11"/>
  <c r="AL78" i="11"/>
  <c r="AD87" i="11"/>
  <c r="J86" i="11"/>
  <c r="BA29" i="11"/>
  <c r="BC27" i="11"/>
  <c r="BE170" i="11"/>
  <c r="AY87" i="11"/>
  <c r="R44" i="11"/>
  <c r="BH136" i="11"/>
  <c r="BI118" i="11"/>
  <c r="BC26" i="11"/>
  <c r="BB55" i="11"/>
  <c r="BD132" i="11"/>
  <c r="AL87" i="11"/>
  <c r="BH34" i="11"/>
  <c r="V122" i="11"/>
  <c r="W95" i="11"/>
  <c r="AC51" i="11"/>
  <c r="AD177" i="11"/>
  <c r="AO79" i="11"/>
  <c r="AH45" i="11"/>
  <c r="U43" i="11"/>
  <c r="G122" i="11"/>
  <c r="BA168" i="11"/>
  <c r="AZ39" i="11"/>
  <c r="T112" i="11"/>
  <c r="BG154" i="11"/>
  <c r="S125" i="11"/>
  <c r="AX139" i="11"/>
  <c r="BG70" i="11"/>
  <c r="AL132" i="11"/>
  <c r="W91" i="11"/>
  <c r="AC156" i="11"/>
  <c r="AM89" i="11"/>
  <c r="BJ27" i="11"/>
  <c r="BD89" i="11"/>
  <c r="P162" i="11"/>
  <c r="BN151" i="11"/>
  <c r="AG55" i="11"/>
  <c r="AB173" i="11"/>
  <c r="BK65" i="11"/>
  <c r="T144" i="11"/>
  <c r="AL39" i="11"/>
  <c r="H134" i="11"/>
  <c r="AM51" i="11"/>
  <c r="BD147" i="11"/>
  <c r="Z136" i="11"/>
  <c r="BH70" i="11"/>
  <c r="V173" i="11"/>
  <c r="AT151" i="11"/>
  <c r="Y148" i="11"/>
  <c r="Q106" i="11"/>
  <c r="AR28" i="11"/>
  <c r="BF87" i="11"/>
  <c r="AQ176" i="11"/>
  <c r="AH46" i="11"/>
  <c r="BJ30" i="11"/>
  <c r="W34" i="11"/>
  <c r="AC83" i="11"/>
  <c r="BH35" i="11"/>
  <c r="C44" i="11"/>
  <c r="AA123" i="11"/>
  <c r="BJ169" i="11"/>
  <c r="AD161" i="11"/>
  <c r="BD142" i="11"/>
  <c r="AV153" i="11"/>
  <c r="BK36" i="11"/>
  <c r="AH79" i="11"/>
  <c r="O155" i="11"/>
  <c r="AC123" i="11"/>
  <c r="W45" i="11"/>
  <c r="K62" i="11"/>
  <c r="AQ162" i="11"/>
  <c r="AF173" i="11"/>
  <c r="BI161" i="11"/>
  <c r="BK57" i="11"/>
  <c r="N78" i="11"/>
  <c r="R48" i="11"/>
  <c r="AN170" i="11"/>
  <c r="Q144" i="11"/>
  <c r="BC50" i="11"/>
  <c r="X124" i="11"/>
  <c r="Z112" i="11"/>
  <c r="J157" i="11"/>
  <c r="BD172" i="11"/>
  <c r="M164" i="11"/>
  <c r="AI107" i="11"/>
  <c r="AH82" i="11"/>
  <c r="AM129" i="11"/>
  <c r="AT35" i="11"/>
  <c r="T136" i="11"/>
  <c r="AY157" i="11"/>
  <c r="AV61" i="11"/>
  <c r="P72" i="11"/>
  <c r="H165" i="11"/>
  <c r="Q70" i="11"/>
  <c r="AS162" i="11"/>
  <c r="BK169" i="11"/>
  <c r="AL47" i="11"/>
  <c r="BK156" i="11"/>
  <c r="BN145" i="11"/>
  <c r="G87" i="11"/>
  <c r="AV127" i="11"/>
  <c r="Y102" i="11"/>
  <c r="AJ65" i="11"/>
  <c r="G38" i="11"/>
  <c r="M52" i="11"/>
  <c r="N86" i="11"/>
  <c r="AQ50" i="11"/>
  <c r="M59" i="11"/>
  <c r="BM130" i="11"/>
  <c r="V60" i="11"/>
  <c r="O85" i="11"/>
  <c r="X126" i="11"/>
  <c r="AU139" i="11"/>
  <c r="U122" i="11"/>
  <c r="L57" i="11"/>
  <c r="BB150" i="11"/>
  <c r="AT128" i="11"/>
  <c r="AB79" i="11"/>
  <c r="BL134" i="11"/>
  <c r="AA52" i="11"/>
  <c r="Y168" i="11"/>
  <c r="J84" i="11"/>
  <c r="X123" i="11"/>
  <c r="AQ170" i="11"/>
  <c r="AX27" i="11"/>
  <c r="H158" i="11"/>
  <c r="AB129" i="11"/>
  <c r="O57" i="11"/>
  <c r="Z68" i="11"/>
  <c r="BB43" i="11"/>
  <c r="AZ159" i="11"/>
  <c r="AP133" i="11"/>
  <c r="W164" i="11"/>
  <c r="P69" i="11"/>
  <c r="BH142" i="11"/>
  <c r="AF50" i="11"/>
  <c r="K101" i="11"/>
  <c r="H117" i="11"/>
  <c r="BD84" i="11"/>
  <c r="AE178" i="11"/>
  <c r="Z55" i="11"/>
  <c r="L53" i="11"/>
  <c r="P57" i="11"/>
  <c r="AM161" i="11"/>
  <c r="BJ47" i="11"/>
  <c r="AJ42" i="11"/>
  <c r="AN113" i="11"/>
  <c r="Q66" i="11"/>
  <c r="BA133" i="11"/>
  <c r="M55" i="11"/>
  <c r="T35" i="11"/>
  <c r="X99" i="11"/>
  <c r="U96" i="11"/>
  <c r="AM118" i="11"/>
  <c r="AL123" i="11"/>
  <c r="BA126" i="11"/>
  <c r="AD40" i="11"/>
  <c r="AB38" i="11"/>
  <c r="AG93" i="11"/>
  <c r="AA151" i="11"/>
  <c r="AI80" i="11"/>
  <c r="N148" i="11"/>
  <c r="BG100" i="11"/>
  <c r="Q98" i="11"/>
  <c r="Y94" i="11"/>
  <c r="I32" i="11"/>
  <c r="BL143" i="11"/>
  <c r="AI29" i="11"/>
  <c r="AP146" i="11"/>
  <c r="BM121" i="11"/>
  <c r="BL114" i="11"/>
  <c r="BF82" i="11"/>
  <c r="T70" i="11"/>
  <c r="AC102" i="11"/>
  <c r="AM79" i="11"/>
  <c r="J180" i="11"/>
  <c r="P64" i="11"/>
  <c r="AC74" i="11"/>
  <c r="V138" i="11"/>
  <c r="AX116" i="11"/>
  <c r="BA121" i="11"/>
  <c r="AD28" i="11"/>
  <c r="AQ118" i="11"/>
  <c r="AP87" i="11"/>
  <c r="AK42" i="11"/>
  <c r="AK56" i="11"/>
  <c r="L171" i="11"/>
  <c r="BB122" i="11"/>
  <c r="N96" i="11"/>
  <c r="BB33" i="11"/>
  <c r="AO145" i="11"/>
  <c r="AX62" i="11"/>
  <c r="BG48" i="11"/>
  <c r="AC107" i="11"/>
  <c r="AD65" i="11"/>
  <c r="AZ145" i="11"/>
  <c r="AY44" i="11"/>
  <c r="J160" i="11"/>
  <c r="AO157" i="11"/>
  <c r="AD111" i="11"/>
  <c r="U130" i="11"/>
  <c r="O134" i="11"/>
  <c r="AT40" i="11"/>
  <c r="BN28" i="11"/>
  <c r="BK160" i="11"/>
  <c r="AZ100" i="11"/>
  <c r="BN172" i="11"/>
  <c r="BD158" i="11"/>
  <c r="L38" i="11"/>
  <c r="C128" i="11"/>
  <c r="AT120" i="11"/>
  <c r="AM105" i="11"/>
  <c r="J101" i="11"/>
  <c r="BI120" i="11"/>
  <c r="R123" i="11"/>
  <c r="BN68" i="11"/>
  <c r="AF126" i="11"/>
  <c r="AU28" i="11"/>
  <c r="AH47" i="11"/>
  <c r="AH98" i="11"/>
  <c r="C33" i="11"/>
  <c r="BM35" i="11"/>
  <c r="BF53" i="11"/>
  <c r="AI104" i="11"/>
  <c r="M37" i="11"/>
  <c r="AM95" i="11"/>
  <c r="AT170" i="11"/>
  <c r="AP111" i="11"/>
  <c r="AS177" i="11"/>
  <c r="W29" i="11"/>
  <c r="BF74" i="11"/>
  <c r="G63" i="11"/>
  <c r="V51" i="11"/>
  <c r="AV51" i="11"/>
  <c r="T125" i="11"/>
  <c r="BC123" i="11"/>
  <c r="BA85" i="11"/>
  <c r="BD120" i="11"/>
  <c r="AJ143" i="11"/>
  <c r="BN155" i="11"/>
  <c r="G48" i="11"/>
  <c r="AN149" i="11"/>
  <c r="AU104" i="11"/>
  <c r="L96" i="11"/>
  <c r="BI135" i="11"/>
  <c r="L113" i="11"/>
  <c r="Z106" i="11"/>
  <c r="AY80" i="11"/>
  <c r="AB62" i="11"/>
  <c r="R82" i="11"/>
  <c r="N58" i="11"/>
  <c r="AQ109" i="11"/>
  <c r="BF154" i="11"/>
  <c r="BI108" i="11"/>
  <c r="AI185" i="11"/>
  <c r="AX151" i="11"/>
  <c r="BJ34" i="11"/>
  <c r="BK102" i="11"/>
  <c r="AU65" i="11"/>
  <c r="T130" i="11"/>
  <c r="AN76" i="11"/>
  <c r="BB65" i="11"/>
  <c r="AF66" i="11"/>
  <c r="AF68" i="11"/>
  <c r="U65" i="11"/>
  <c r="I50" i="11"/>
  <c r="U79" i="11"/>
  <c r="BD92" i="11"/>
  <c r="AH90" i="11"/>
  <c r="BI128" i="11"/>
  <c r="Z179" i="11"/>
  <c r="BG120" i="11"/>
  <c r="BK58" i="11"/>
  <c r="O173" i="11"/>
  <c r="BE165" i="11"/>
  <c r="BK172" i="11"/>
  <c r="AZ62" i="11"/>
  <c r="X41" i="11"/>
  <c r="K168" i="11"/>
  <c r="AP93" i="11"/>
  <c r="BK26" i="11"/>
  <c r="AW30" i="11"/>
  <c r="R179" i="11"/>
  <c r="AV122" i="11"/>
  <c r="S50" i="11"/>
  <c r="BN75" i="11"/>
  <c r="H109" i="11"/>
  <c r="AR158" i="11"/>
  <c r="AU43" i="11"/>
  <c r="BM117" i="11"/>
  <c r="X152" i="11"/>
  <c r="AI150" i="11"/>
  <c r="H48" i="11"/>
  <c r="AX100" i="11"/>
  <c r="BA144" i="11"/>
  <c r="Q86" i="11"/>
  <c r="BG126" i="11"/>
  <c r="AV93" i="11"/>
  <c r="V67" i="11"/>
  <c r="AK58" i="11"/>
  <c r="AP76" i="11"/>
  <c r="N116" i="11"/>
  <c r="BK140" i="11"/>
  <c r="BE37" i="11"/>
  <c r="AP180" i="11"/>
  <c r="BC178" i="11"/>
  <c r="BJ133" i="11"/>
  <c r="BE60" i="11"/>
  <c r="Z27" i="11"/>
  <c r="U34" i="11"/>
  <c r="U38" i="11"/>
  <c r="AM133" i="11"/>
  <c r="H70" i="11"/>
  <c r="AY164" i="11"/>
  <c r="P151" i="11"/>
  <c r="AQ26" i="11"/>
  <c r="AF72" i="11"/>
  <c r="X151" i="11"/>
  <c r="AA138" i="11"/>
  <c r="H68" i="11"/>
  <c r="S99" i="11"/>
  <c r="L144" i="11"/>
  <c r="C64" i="11"/>
  <c r="AL118" i="11"/>
  <c r="AT118" i="11"/>
  <c r="BH121" i="11"/>
  <c r="T39" i="11"/>
  <c r="BH33" i="11"/>
  <c r="AR68" i="11"/>
  <c r="AG102" i="11"/>
  <c r="BM55" i="11"/>
  <c r="Z95" i="11"/>
  <c r="BN35" i="11"/>
  <c r="BF168" i="11"/>
  <c r="K34" i="11"/>
  <c r="C88" i="11"/>
  <c r="M172" i="11"/>
  <c r="AG30" i="11"/>
  <c r="BJ125" i="11"/>
  <c r="G114" i="11"/>
  <c r="AT39" i="11"/>
  <c r="BM173" i="11"/>
  <c r="AB117" i="11"/>
  <c r="BA160" i="11"/>
  <c r="AT134" i="11"/>
  <c r="BG125" i="11"/>
  <c r="AV162" i="11"/>
  <c r="AM62" i="11"/>
  <c r="AW109" i="11"/>
  <c r="AM134" i="11"/>
  <c r="BG153" i="11"/>
  <c r="AO98" i="11"/>
  <c r="BE97" i="11"/>
  <c r="P161" i="11"/>
  <c r="AF40" i="11"/>
  <c r="S134" i="11"/>
  <c r="J32" i="11"/>
  <c r="BC61" i="11"/>
  <c r="W78" i="11"/>
  <c r="BK173" i="11"/>
  <c r="I117" i="11"/>
  <c r="H135" i="11"/>
  <c r="AI69" i="11"/>
  <c r="AJ64" i="11"/>
  <c r="BG131" i="11"/>
  <c r="AO33" i="11"/>
  <c r="BN157" i="11"/>
  <c r="AU136" i="11"/>
  <c r="BI55" i="11"/>
  <c r="BF172" i="11"/>
  <c r="AR117" i="11"/>
  <c r="O171" i="11"/>
  <c r="H54" i="11"/>
  <c r="BD27" i="11"/>
  <c r="AY104" i="11"/>
  <c r="BF34" i="11"/>
  <c r="BE86" i="11"/>
  <c r="AD162" i="11"/>
  <c r="J148" i="11"/>
  <c r="AR114" i="11"/>
  <c r="AS93" i="11"/>
  <c r="V43" i="11"/>
  <c r="T152" i="11"/>
  <c r="AG148" i="11"/>
  <c r="U123" i="11"/>
  <c r="AW92" i="11"/>
  <c r="AG131" i="11"/>
  <c r="AO176" i="11"/>
  <c r="H159" i="11"/>
  <c r="U174" i="11"/>
  <c r="AY39" i="11"/>
  <c r="S29" i="11"/>
  <c r="AY111" i="11"/>
  <c r="J124" i="11"/>
  <c r="AU61" i="11"/>
  <c r="BC122" i="11"/>
  <c r="O153" i="11"/>
  <c r="AF152" i="11"/>
  <c r="AD32" i="11"/>
  <c r="AF43" i="11"/>
  <c r="AW46" i="11"/>
  <c r="BK117" i="11"/>
  <c r="H36" i="11"/>
  <c r="AQ59" i="11"/>
  <c r="AX178" i="11"/>
  <c r="J64" i="11"/>
  <c r="H67" i="11"/>
  <c r="BL86" i="11"/>
  <c r="AF176" i="11"/>
  <c r="AV177" i="11"/>
  <c r="J139" i="11"/>
  <c r="AK174" i="11"/>
  <c r="BN48" i="11"/>
  <c r="BC102" i="11"/>
  <c r="N114" i="11"/>
  <c r="U87" i="11"/>
  <c r="AY167" i="11"/>
  <c r="AD167" i="11"/>
  <c r="AL45" i="11"/>
  <c r="C34" i="11"/>
  <c r="V94" i="11"/>
  <c r="AQ135" i="11"/>
  <c r="AQ36" i="11"/>
  <c r="AZ93" i="11"/>
  <c r="AG129" i="11"/>
  <c r="M145" i="11"/>
  <c r="X28" i="11"/>
  <c r="AW89" i="11"/>
  <c r="G42" i="11"/>
  <c r="AL73" i="11"/>
  <c r="AW87" i="11"/>
  <c r="S124" i="11"/>
  <c r="AN92" i="11"/>
  <c r="AW152" i="11"/>
  <c r="AE101" i="11"/>
  <c r="X52" i="11"/>
  <c r="AM146" i="11"/>
  <c r="AE131" i="11"/>
  <c r="BE176" i="11"/>
  <c r="BE99" i="11"/>
  <c r="BL100" i="11"/>
  <c r="BI59" i="11"/>
  <c r="S63" i="11"/>
  <c r="T67" i="11"/>
  <c r="C169" i="11"/>
  <c r="AB104" i="11"/>
  <c r="BJ81" i="11"/>
  <c r="Q126" i="11"/>
  <c r="AE167" i="11"/>
  <c r="BC166" i="11"/>
  <c r="AJ74" i="11"/>
  <c r="T45" i="11"/>
  <c r="AC105" i="11"/>
  <c r="BL126" i="11"/>
  <c r="AG135" i="11"/>
  <c r="AN138" i="11"/>
  <c r="BB68" i="11"/>
  <c r="V176" i="11"/>
  <c r="J94" i="11"/>
  <c r="AY112" i="11"/>
  <c r="BC152" i="11"/>
  <c r="Q79" i="11"/>
  <c r="BC87" i="11"/>
  <c r="AV125" i="11"/>
  <c r="M150" i="11"/>
  <c r="AH60" i="11"/>
  <c r="BL129" i="11"/>
  <c r="W129" i="11"/>
  <c r="AL81" i="11"/>
  <c r="BG55" i="11"/>
  <c r="AP55" i="11"/>
  <c r="U49" i="11"/>
  <c r="AE135" i="11"/>
  <c r="AJ159" i="11"/>
  <c r="N143" i="11"/>
  <c r="AN98" i="11"/>
  <c r="T62" i="11"/>
  <c r="J35" i="11"/>
  <c r="L134" i="11"/>
  <c r="BM144" i="11"/>
  <c r="BI81" i="11"/>
  <c r="AN40" i="11"/>
  <c r="BH53" i="11"/>
  <c r="K96" i="11"/>
  <c r="AP41" i="11"/>
  <c r="AL106" i="11"/>
  <c r="AP103" i="11"/>
  <c r="AB86" i="11"/>
  <c r="BF68" i="11"/>
  <c r="AE70" i="11"/>
  <c r="X179" i="11"/>
  <c r="BA162" i="11"/>
  <c r="P172" i="11"/>
  <c r="AY154" i="11"/>
  <c r="C114" i="11"/>
  <c r="AC141" i="11"/>
  <c r="S107" i="11"/>
  <c r="K60" i="11"/>
  <c r="X118" i="11"/>
  <c r="V145" i="11"/>
  <c r="AI165" i="11"/>
  <c r="L111" i="11"/>
  <c r="R154" i="11"/>
  <c r="Z119" i="11"/>
  <c r="AG174" i="11"/>
  <c r="BB75" i="11"/>
  <c r="AX47" i="11"/>
  <c r="AX34" i="11"/>
  <c r="BH58" i="11"/>
  <c r="R96" i="11"/>
  <c r="AH89" i="11"/>
  <c r="BH104" i="11"/>
  <c r="AB133" i="11"/>
  <c r="AM110" i="11"/>
  <c r="AD166" i="11"/>
  <c r="AU123" i="11"/>
  <c r="BI105" i="11"/>
  <c r="W161" i="11"/>
  <c r="AY54" i="11"/>
  <c r="AY161" i="11"/>
  <c r="AI89" i="11"/>
  <c r="BC38" i="11"/>
  <c r="AT81" i="11"/>
  <c r="AK44" i="11"/>
  <c r="AU152" i="11"/>
  <c r="AW131" i="11"/>
  <c r="AH110" i="11"/>
  <c r="BA57" i="11"/>
  <c r="AA27" i="11"/>
  <c r="S161" i="11"/>
  <c r="K83" i="11"/>
  <c r="AP27" i="11"/>
  <c r="BL88" i="11"/>
  <c r="AY75" i="11"/>
  <c r="BF125" i="11"/>
  <c r="AG47" i="11"/>
  <c r="Z131" i="11"/>
  <c r="AE168" i="11"/>
  <c r="AC90" i="11"/>
  <c r="BG28" i="11"/>
  <c r="S90" i="11"/>
  <c r="X119" i="11"/>
  <c r="BI168" i="11"/>
  <c r="R90" i="11"/>
  <c r="BL122" i="11"/>
  <c r="AK98" i="11"/>
  <c r="AD76" i="11"/>
  <c r="AZ85" i="11"/>
  <c r="AR132" i="11"/>
  <c r="W32" i="11"/>
  <c r="AV86" i="11"/>
  <c r="G197" i="11"/>
  <c r="AZ134" i="11"/>
  <c r="AZ29" i="11"/>
  <c r="H86" i="11"/>
  <c r="AP67" i="11"/>
  <c r="AT75" i="11"/>
  <c r="BI83" i="11"/>
  <c r="N60" i="11"/>
  <c r="AO71" i="11"/>
  <c r="BA131" i="11"/>
  <c r="AG65" i="11"/>
  <c r="BC180" i="11"/>
  <c r="BG133" i="11"/>
  <c r="AM150" i="11"/>
  <c r="BI45" i="11"/>
  <c r="C42" i="11"/>
  <c r="AH48" i="11"/>
  <c r="AE89" i="11"/>
  <c r="R162" i="11"/>
  <c r="Y131" i="11"/>
  <c r="AN55" i="11"/>
  <c r="AS123" i="11"/>
  <c r="BG42" i="11"/>
  <c r="X94" i="11"/>
  <c r="AA124" i="11"/>
  <c r="AO30" i="11"/>
  <c r="I121" i="11"/>
  <c r="AT80" i="11"/>
  <c r="Y150" i="11"/>
  <c r="X69" i="11"/>
  <c r="AG35" i="11"/>
  <c r="AN147" i="11"/>
  <c r="BH156" i="11"/>
  <c r="W80" i="11"/>
  <c r="AQ101" i="11"/>
  <c r="K53" i="11"/>
  <c r="AW126" i="11"/>
  <c r="BE90" i="11"/>
  <c r="BN107" i="11"/>
  <c r="V178" i="11"/>
  <c r="AQ86" i="11"/>
  <c r="T36" i="11"/>
  <c r="Y116" i="11"/>
  <c r="BJ114" i="11"/>
  <c r="N175" i="11"/>
  <c r="H110" i="11"/>
  <c r="Q138" i="11"/>
  <c r="AB46" i="11"/>
  <c r="AM35" i="11"/>
  <c r="AO90" i="11"/>
  <c r="BF120" i="11"/>
  <c r="BE124" i="11"/>
  <c r="S170" i="11"/>
  <c r="I161" i="11"/>
  <c r="AL163" i="11"/>
  <c r="AZ111" i="11"/>
  <c r="AH52" i="11"/>
  <c r="BC28" i="11"/>
  <c r="AQ73" i="11"/>
  <c r="L60" i="11"/>
  <c r="AR63" i="11"/>
  <c r="AQ94" i="11"/>
  <c r="AH93" i="11"/>
  <c r="AO151" i="11"/>
  <c r="AT91" i="11"/>
  <c r="BA39" i="11"/>
  <c r="BF123" i="11"/>
  <c r="AW169" i="11"/>
  <c r="BG167" i="11"/>
  <c r="AB74" i="11"/>
  <c r="R148" i="11"/>
  <c r="K98" i="11"/>
  <c r="BC128" i="11"/>
  <c r="BJ140" i="11"/>
  <c r="AX171" i="11"/>
  <c r="Z39" i="11"/>
  <c r="Q112" i="11"/>
  <c r="AP136" i="11"/>
  <c r="BB96" i="11"/>
  <c r="AI52" i="11"/>
  <c r="U64" i="11"/>
  <c r="AK86" i="11"/>
  <c r="BB59" i="11"/>
  <c r="BG143" i="11"/>
  <c r="BN100" i="11"/>
  <c r="O163" i="11"/>
  <c r="Y29" i="11"/>
  <c r="R40" i="11"/>
  <c r="AL54" i="11"/>
  <c r="AR155" i="11"/>
  <c r="J98" i="11"/>
  <c r="BA104" i="11"/>
  <c r="U164" i="11"/>
  <c r="AA36" i="11"/>
  <c r="AH112" i="11"/>
  <c r="AM100" i="11"/>
  <c r="AT86" i="11"/>
  <c r="AK129" i="11"/>
  <c r="AH63" i="11"/>
  <c r="BJ156" i="11"/>
  <c r="AK57" i="11"/>
  <c r="AP108" i="11"/>
  <c r="BF127" i="11"/>
  <c r="BK186" i="11"/>
  <c r="AG107" i="11"/>
  <c r="BG119" i="11"/>
  <c r="BK162" i="11"/>
  <c r="H127" i="11"/>
  <c r="BB67" i="11"/>
  <c r="O34" i="11"/>
  <c r="AG115" i="11"/>
  <c r="BG132" i="11"/>
  <c r="AV176" i="11"/>
  <c r="I93" i="11"/>
  <c r="AG140" i="11"/>
  <c r="BB48" i="11"/>
  <c r="BE29" i="11"/>
  <c r="AF127" i="11"/>
  <c r="AA126" i="11"/>
  <c r="AA48" i="11"/>
  <c r="Q148" i="11"/>
  <c r="AX80" i="11"/>
  <c r="X125" i="11"/>
  <c r="AV48" i="11"/>
  <c r="Z109" i="11"/>
  <c r="BF38" i="11"/>
  <c r="AK166" i="11"/>
  <c r="AL167" i="11"/>
  <c r="BF81" i="11"/>
  <c r="BH155" i="11"/>
  <c r="T121" i="11"/>
  <c r="AC65" i="11"/>
  <c r="P114" i="11"/>
  <c r="AI119" i="11"/>
  <c r="BM145" i="11"/>
  <c r="AG82" i="11"/>
  <c r="BE58" i="11"/>
  <c r="P128" i="11"/>
  <c r="AW129" i="11"/>
  <c r="BK161" i="11"/>
  <c r="AB42" i="11"/>
  <c r="U121" i="11"/>
  <c r="X169" i="11"/>
  <c r="W77" i="11"/>
  <c r="J138" i="11"/>
  <c r="BA171" i="11"/>
  <c r="W114" i="11"/>
  <c r="G49" i="11"/>
  <c r="AZ58" i="11"/>
  <c r="AE120" i="11"/>
  <c r="AX122" i="11"/>
  <c r="O176" i="11"/>
  <c r="AK133" i="11"/>
  <c r="X174" i="11"/>
  <c r="P136" i="11"/>
  <c r="AB134" i="11"/>
  <c r="M122" i="11"/>
  <c r="AC93" i="11"/>
  <c r="G120" i="11"/>
  <c r="AE140" i="11"/>
  <c r="BM42" i="11"/>
  <c r="AO80" i="11"/>
  <c r="AP86" i="11"/>
  <c r="AU121" i="11"/>
  <c r="AZ61" i="11"/>
  <c r="AZ155" i="11"/>
  <c r="BE107" i="11"/>
  <c r="AT58" i="11"/>
  <c r="V96" i="11"/>
  <c r="AS61" i="11"/>
  <c r="BD47" i="11"/>
  <c r="P47" i="11"/>
  <c r="AW166" i="11"/>
  <c r="O158" i="11"/>
  <c r="BB88" i="11"/>
  <c r="BK144" i="11"/>
  <c r="R46" i="11"/>
  <c r="BL85" i="11"/>
  <c r="AF93" i="11"/>
  <c r="BG26" i="11"/>
  <c r="M124" i="11"/>
  <c r="N100" i="11"/>
  <c r="C140" i="11"/>
  <c r="BE52" i="11"/>
  <c r="AL56" i="11"/>
  <c r="AM97" i="11"/>
  <c r="V79" i="11"/>
  <c r="AT144" i="11"/>
  <c r="AK67" i="11"/>
  <c r="AW156" i="11"/>
  <c r="V151" i="11"/>
  <c r="AQ105" i="11"/>
  <c r="AY53" i="11"/>
  <c r="Z100" i="11"/>
  <c r="Z107" i="11"/>
  <c r="AA112" i="11"/>
  <c r="T108" i="11"/>
  <c r="BJ99" i="11"/>
  <c r="AR121" i="11"/>
  <c r="BF103" i="11"/>
  <c r="AX71" i="11"/>
  <c r="AY27" i="11"/>
  <c r="AP137" i="11"/>
  <c r="BM153" i="11"/>
  <c r="AR154" i="11"/>
  <c r="BE125" i="11"/>
  <c r="BD38" i="11"/>
  <c r="AP143" i="11"/>
  <c r="X164" i="11"/>
  <c r="BA45" i="11"/>
  <c r="G103" i="11"/>
  <c r="BJ124" i="11"/>
  <c r="X166" i="11"/>
  <c r="AV169" i="11"/>
  <c r="H85" i="11"/>
  <c r="T127" i="11"/>
  <c r="BC62" i="11"/>
  <c r="AJ86" i="11"/>
  <c r="BI50" i="11"/>
  <c r="AT46" i="11"/>
  <c r="AI60" i="11"/>
  <c r="AI75" i="11"/>
  <c r="AU93" i="11"/>
  <c r="BD46" i="11"/>
  <c r="AH76" i="11"/>
  <c r="BM105" i="11"/>
  <c r="BL120" i="11"/>
  <c r="BE40" i="11"/>
  <c r="AW195" i="11"/>
  <c r="U29" i="11"/>
  <c r="AI164" i="11"/>
  <c r="BB137" i="11"/>
  <c r="Y43" i="11"/>
  <c r="AB40" i="11"/>
  <c r="AD143" i="11"/>
  <c r="T81" i="11"/>
  <c r="BL103" i="11"/>
  <c r="AI138" i="11"/>
  <c r="AI179" i="11"/>
  <c r="C153" i="11"/>
  <c r="BH178" i="11"/>
  <c r="AK180" i="11"/>
  <c r="BJ127" i="11"/>
  <c r="K42" i="11"/>
  <c r="AC162" i="11"/>
  <c r="BL155" i="11"/>
  <c r="W146" i="11"/>
  <c r="I81" i="11"/>
  <c r="AE88" i="11"/>
  <c r="BL111" i="11"/>
  <c r="AY106" i="11"/>
  <c r="AE78" i="11"/>
  <c r="AC176" i="11"/>
  <c r="AJ92" i="11"/>
  <c r="AO39" i="11"/>
  <c r="AW94" i="11"/>
  <c r="AE119" i="11"/>
  <c r="BF99" i="11"/>
  <c r="T89" i="11"/>
  <c r="K142" i="11"/>
  <c r="AH32" i="11"/>
  <c r="AM32" i="11"/>
  <c r="AN51" i="11"/>
  <c r="BB35" i="11"/>
  <c r="BG172" i="11"/>
  <c r="AA162" i="11"/>
  <c r="AS38" i="11"/>
  <c r="AO82" i="11"/>
  <c r="C122" i="11"/>
  <c r="X127" i="11"/>
  <c r="H166" i="11"/>
  <c r="AP121" i="11"/>
  <c r="BM163" i="11"/>
  <c r="AS39" i="11"/>
  <c r="BJ153" i="11"/>
  <c r="AA75" i="11"/>
  <c r="AU157" i="11"/>
  <c r="AE76" i="11"/>
  <c r="AI144" i="11"/>
  <c r="BL150" i="11"/>
  <c r="AE99" i="11"/>
  <c r="BI149" i="11"/>
  <c r="I139" i="11"/>
  <c r="AR73" i="11"/>
  <c r="BF150" i="11"/>
  <c r="BF60" i="11"/>
  <c r="AQ76" i="11"/>
  <c r="X140" i="11"/>
  <c r="AE84" i="11"/>
  <c r="H51" i="11"/>
  <c r="AF41" i="11"/>
  <c r="C132" i="11"/>
  <c r="AA93" i="11"/>
  <c r="AA160" i="11"/>
  <c r="X50" i="11"/>
  <c r="J100" i="11"/>
  <c r="U61" i="11"/>
  <c r="AY132" i="11"/>
  <c r="AH116" i="11"/>
  <c r="H77" i="11"/>
  <c r="X81" i="11"/>
  <c r="W158" i="11"/>
  <c r="Z143" i="11"/>
  <c r="H121" i="11"/>
  <c r="BK126" i="11"/>
  <c r="BE49" i="11"/>
  <c r="U88" i="11"/>
  <c r="AM58" i="11"/>
  <c r="AC179" i="11"/>
  <c r="AJ131" i="11"/>
  <c r="V50" i="11"/>
  <c r="AG67" i="11"/>
  <c r="AX42" i="11"/>
  <c r="AC63" i="11"/>
  <c r="BK103" i="11"/>
  <c r="L139" i="11"/>
  <c r="I88" i="11"/>
  <c r="G69" i="11"/>
  <c r="O53" i="11"/>
  <c r="V142" i="11"/>
  <c r="AE117" i="11"/>
  <c r="BE81" i="11"/>
  <c r="C90" i="11"/>
  <c r="AP104" i="11"/>
  <c r="AR70" i="11"/>
  <c r="H122" i="11"/>
  <c r="W152" i="11"/>
  <c r="AT92" i="11"/>
  <c r="AU59" i="11"/>
  <c r="AL137" i="11"/>
  <c r="BD71" i="11"/>
  <c r="V37" i="11"/>
  <c r="O33" i="11"/>
  <c r="AQ113" i="11"/>
  <c r="V103" i="11"/>
  <c r="AV66" i="11"/>
  <c r="AO85" i="11"/>
  <c r="H133" i="11"/>
  <c r="BG37" i="11"/>
  <c r="S116" i="11"/>
  <c r="C95" i="11"/>
  <c r="AR112" i="11"/>
  <c r="T64" i="11"/>
  <c r="AK126" i="11"/>
  <c r="H60" i="11"/>
  <c r="C31" i="11"/>
  <c r="P139" i="11"/>
  <c r="I48" i="11"/>
  <c r="AL100" i="11"/>
  <c r="AF158" i="11"/>
  <c r="BI106" i="11"/>
  <c r="P44" i="11"/>
  <c r="BD91" i="11"/>
  <c r="V106" i="11"/>
  <c r="BM58" i="11"/>
  <c r="X101" i="11"/>
  <c r="BG36" i="11"/>
  <c r="BA143" i="11"/>
  <c r="AR41" i="11"/>
  <c r="AA83" i="11"/>
  <c r="U62" i="11"/>
  <c r="AO162" i="11"/>
  <c r="AT177" i="11"/>
  <c r="AR118" i="11"/>
  <c r="BN178" i="11"/>
  <c r="BC175" i="11"/>
  <c r="AG106" i="11"/>
  <c r="AX64" i="11"/>
  <c r="O159" i="11"/>
  <c r="AX138" i="11"/>
  <c r="AP141" i="11"/>
  <c r="AU145" i="11"/>
  <c r="BK130" i="11"/>
  <c r="H55" i="11"/>
  <c r="AO124" i="11"/>
  <c r="AN143" i="11"/>
  <c r="G45" i="11"/>
  <c r="AP48" i="11"/>
  <c r="AO94" i="11"/>
  <c r="BN133" i="11"/>
  <c r="AJ168" i="11"/>
  <c r="BH162" i="11"/>
  <c r="AY60" i="11"/>
  <c r="N37" i="11"/>
  <c r="AR30" i="11"/>
  <c r="T128" i="11"/>
  <c r="AP78" i="11"/>
  <c r="AI146" i="11"/>
  <c r="O109" i="11"/>
  <c r="AX114" i="11"/>
  <c r="AI26" i="11"/>
  <c r="Z115" i="11"/>
  <c r="BJ39" i="11"/>
  <c r="BG66" i="11"/>
  <c r="AA31" i="11"/>
  <c r="AY74" i="11"/>
  <c r="H65" i="11"/>
  <c r="BG179" i="11"/>
  <c r="BI61" i="11"/>
  <c r="AP105" i="11"/>
  <c r="BC142" i="11"/>
  <c r="AN118" i="11"/>
  <c r="AC126" i="11"/>
  <c r="AG154" i="11"/>
  <c r="BD58" i="11"/>
  <c r="BA56" i="11"/>
  <c r="H123" i="11"/>
  <c r="AF148" i="11"/>
  <c r="AW111" i="11"/>
  <c r="BL74" i="11"/>
  <c r="O38" i="11"/>
  <c r="K65" i="11"/>
  <c r="AS175" i="11"/>
  <c r="H37" i="11"/>
  <c r="BB161" i="11"/>
  <c r="AR29" i="11"/>
  <c r="AI134" i="11"/>
  <c r="AR127" i="11"/>
  <c r="P58" i="11"/>
  <c r="AK94" i="11"/>
  <c r="AR40" i="11"/>
  <c r="BC90" i="11"/>
  <c r="BK135" i="11"/>
  <c r="AX98" i="11"/>
  <c r="BC173" i="11"/>
  <c r="AE143" i="11"/>
  <c r="BB82" i="11"/>
  <c r="BM151" i="11"/>
  <c r="M138" i="11"/>
  <c r="AQ140" i="11"/>
  <c r="V116" i="11"/>
  <c r="X86" i="11"/>
  <c r="Z162" i="11"/>
  <c r="AE74" i="11"/>
  <c r="U84" i="11"/>
  <c r="BC45" i="11"/>
  <c r="BI172" i="11"/>
  <c r="AD88" i="11"/>
  <c r="AV165" i="11"/>
  <c r="AR156" i="11"/>
  <c r="Y121" i="11"/>
  <c r="Y155" i="11"/>
  <c r="AJ56" i="11"/>
  <c r="BG83" i="11"/>
  <c r="L157" i="11"/>
  <c r="M68" i="11"/>
  <c r="BM131" i="11"/>
  <c r="Y31" i="11"/>
  <c r="T99" i="11"/>
  <c r="BE145" i="11"/>
  <c r="AA167" i="11"/>
  <c r="AG125" i="11"/>
  <c r="AS91" i="11"/>
  <c r="BD30" i="11"/>
  <c r="BN161" i="11"/>
  <c r="AE123" i="11"/>
  <c r="AY145" i="11"/>
  <c r="AB55" i="11"/>
  <c r="AV78" i="11"/>
  <c r="BG71" i="11"/>
  <c r="G44" i="11"/>
  <c r="C133" i="11"/>
  <c r="U106" i="11"/>
  <c r="L90" i="11"/>
  <c r="BF173" i="11"/>
  <c r="H73" i="11"/>
  <c r="AM141" i="11"/>
  <c r="BM62" i="11"/>
  <c r="AC64" i="11"/>
  <c r="BE26" i="11"/>
  <c r="AL63" i="11"/>
  <c r="AK48" i="11"/>
  <c r="X33" i="11"/>
  <c r="AO158" i="11"/>
  <c r="X147" i="11"/>
  <c r="AQ133" i="11"/>
  <c r="BG170" i="11"/>
  <c r="AZ163" i="11"/>
  <c r="Q155" i="11"/>
  <c r="AB78" i="11"/>
  <c r="S154" i="11"/>
  <c r="AI96" i="11"/>
  <c r="BN56" i="11"/>
  <c r="J152" i="11"/>
  <c r="BC160" i="11"/>
  <c r="AL58" i="11"/>
  <c r="I98" i="11"/>
  <c r="C86" i="11"/>
  <c r="K109" i="11"/>
  <c r="AN47" i="11"/>
  <c r="AU85" i="11"/>
  <c r="V100" i="11"/>
  <c r="M60" i="11"/>
  <c r="AD112" i="11"/>
  <c r="AU37" i="11"/>
  <c r="W67" i="11"/>
  <c r="AK161" i="11"/>
  <c r="I34" i="11"/>
  <c r="H129" i="11"/>
  <c r="BH161" i="11"/>
  <c r="M176" i="11"/>
  <c r="AY68" i="11"/>
  <c r="AQ84" i="11"/>
  <c r="AU26" i="11"/>
  <c r="BC139" i="11"/>
  <c r="BL176" i="11"/>
  <c r="C162" i="11"/>
  <c r="W63" i="11"/>
  <c r="K125" i="11"/>
  <c r="J97" i="11"/>
  <c r="Y143" i="11"/>
  <c r="BL160" i="11"/>
  <c r="BK52" i="11"/>
  <c r="Q61" i="11"/>
  <c r="X93" i="11"/>
  <c r="W135" i="11"/>
  <c r="AI160" i="11"/>
  <c r="AK69" i="11"/>
  <c r="AQ69" i="11"/>
  <c r="AM109" i="11"/>
  <c r="AF175" i="11"/>
  <c r="X103" i="11"/>
  <c r="AM99" i="11"/>
  <c r="AI44" i="11"/>
  <c r="J49" i="11"/>
  <c r="AZ37" i="11"/>
  <c r="AR103" i="11"/>
  <c r="AA81" i="11"/>
  <c r="Q154" i="11"/>
  <c r="BL171" i="11"/>
  <c r="P40" i="11"/>
  <c r="AC60" i="11"/>
  <c r="Z117" i="11"/>
  <c r="Z142" i="11"/>
  <c r="AO45" i="11"/>
  <c r="L169" i="11"/>
  <c r="Q40" i="11"/>
  <c r="Q27" i="11"/>
  <c r="S60" i="11"/>
  <c r="AF94" i="11"/>
  <c r="AM157" i="11"/>
  <c r="BE65" i="11"/>
  <c r="V131" i="11"/>
  <c r="AK63" i="11"/>
  <c r="BF54" i="11"/>
  <c r="J56" i="11"/>
  <c r="AI31" i="11"/>
  <c r="AY65" i="11"/>
  <c r="AS37" i="11"/>
  <c r="V80" i="11"/>
  <c r="AI142" i="11"/>
  <c r="N71" i="11"/>
  <c r="N81" i="11"/>
  <c r="BA58" i="11"/>
  <c r="Z40" i="11"/>
  <c r="BG136" i="11"/>
  <c r="BI101" i="11"/>
  <c r="AF85" i="11"/>
  <c r="AV150" i="11"/>
  <c r="BI150" i="11"/>
  <c r="AZ64" i="11"/>
  <c r="S37" i="11"/>
  <c r="M154" i="11"/>
  <c r="AY42" i="11"/>
  <c r="AN161" i="11"/>
  <c r="BA113" i="11"/>
  <c r="C149" i="11"/>
  <c r="BJ172" i="11"/>
  <c r="AA97" i="11"/>
  <c r="AP75" i="11"/>
  <c r="AF129" i="11"/>
  <c r="AU48" i="11"/>
  <c r="J39" i="11"/>
  <c r="AB83" i="11"/>
  <c r="AC34" i="11"/>
  <c r="W61" i="11"/>
  <c r="AC79" i="11"/>
  <c r="BH171" i="11"/>
  <c r="BH80" i="11"/>
  <c r="AW95" i="11"/>
  <c r="BI158" i="11"/>
  <c r="AZ108" i="11"/>
  <c r="R34" i="11"/>
  <c r="AC163" i="11"/>
  <c r="AT55" i="11"/>
  <c r="BJ134" i="11"/>
  <c r="J92" i="11"/>
  <c r="AS114" i="11"/>
  <c r="X159" i="11"/>
  <c r="X60" i="11"/>
  <c r="AR152" i="11"/>
  <c r="AN171" i="11"/>
  <c r="U31" i="11"/>
  <c r="BL72" i="11"/>
  <c r="AH56" i="11"/>
  <c r="T95" i="11"/>
  <c r="AH139" i="11"/>
  <c r="BH154" i="11"/>
  <c r="AV103" i="11"/>
  <c r="AM140" i="11"/>
  <c r="I91" i="11"/>
  <c r="BA103" i="11"/>
  <c r="H31" i="11"/>
  <c r="AN38" i="11"/>
  <c r="J37" i="11"/>
  <c r="T111" i="11"/>
  <c r="Z75" i="11"/>
  <c r="AL117" i="11"/>
  <c r="AX130" i="11"/>
  <c r="BJ142" i="11"/>
  <c r="AN73" i="11"/>
  <c r="AQ53" i="11"/>
  <c r="AG28" i="11"/>
  <c r="R66" i="11"/>
  <c r="BF45" i="11"/>
  <c r="C102" i="11"/>
  <c r="AT101" i="11"/>
  <c r="Q143" i="11"/>
  <c r="K29" i="11"/>
  <c r="AV29" i="11"/>
  <c r="BJ41" i="11"/>
  <c r="AN105" i="11"/>
  <c r="AJ129" i="11"/>
  <c r="AA170" i="11"/>
  <c r="AQ144" i="11"/>
  <c r="AO58" i="11"/>
  <c r="BB139" i="11"/>
  <c r="AM145" i="11"/>
  <c r="BL70" i="11"/>
  <c r="L71" i="11"/>
  <c r="AX78" i="11"/>
  <c r="BI151" i="11"/>
  <c r="AC54" i="11"/>
  <c r="G116" i="11"/>
  <c r="AR186" i="11"/>
  <c r="T168" i="11"/>
  <c r="BE83" i="11"/>
  <c r="J126" i="11"/>
  <c r="BJ104" i="11"/>
  <c r="BN113" i="11"/>
  <c r="AT172" i="11"/>
  <c r="BC79" i="11"/>
  <c r="BL42" i="11"/>
  <c r="BN47" i="11"/>
  <c r="C68" i="11"/>
  <c r="BH91" i="11"/>
  <c r="AK116" i="11"/>
  <c r="M100" i="11"/>
  <c r="AC73" i="11"/>
  <c r="M103" i="11"/>
  <c r="BC88" i="11"/>
  <c r="BG81" i="11"/>
  <c r="I170" i="11"/>
  <c r="AF97" i="11"/>
  <c r="H108" i="11"/>
  <c r="R116" i="11"/>
  <c r="AR167" i="11"/>
  <c r="AI174" i="11"/>
  <c r="Y54" i="11"/>
  <c r="AZ87" i="11"/>
  <c r="Q73" i="11"/>
  <c r="BK157" i="11"/>
  <c r="X91" i="11"/>
  <c r="BD102" i="11"/>
  <c r="AT56" i="11"/>
  <c r="W121" i="11"/>
  <c r="AW32" i="11"/>
  <c r="AI47" i="11"/>
  <c r="AF135" i="11"/>
  <c r="AE71" i="11"/>
  <c r="AG146" i="11"/>
  <c r="C147" i="11"/>
  <c r="K127" i="11"/>
  <c r="BC111" i="11"/>
  <c r="BJ120" i="11"/>
  <c r="BL27" i="11"/>
  <c r="K106" i="11"/>
  <c r="AL62" i="11"/>
  <c r="O165" i="11"/>
  <c r="BC43" i="11"/>
  <c r="BM37" i="11"/>
  <c r="AB36" i="11"/>
  <c r="AL113" i="11"/>
  <c r="BI80" i="11"/>
  <c r="Z140" i="11"/>
  <c r="AC149" i="11"/>
  <c r="J165" i="11"/>
  <c r="X27" i="11"/>
  <c r="O142" i="11"/>
  <c r="AN129" i="11"/>
  <c r="Y100" i="11"/>
  <c r="U125" i="11"/>
  <c r="AF143" i="11"/>
  <c r="AJ82" i="11"/>
  <c r="G151" i="11"/>
  <c r="T28" i="11"/>
  <c r="AK90" i="11"/>
  <c r="M174" i="11"/>
  <c r="AK146" i="11"/>
  <c r="X89" i="11"/>
  <c r="BH77" i="11"/>
  <c r="AB82" i="11"/>
  <c r="AK35" i="11"/>
  <c r="Z86" i="11"/>
  <c r="AH78" i="11"/>
  <c r="X150" i="11"/>
  <c r="AT169" i="11"/>
  <c r="T195" i="11"/>
  <c r="AL131" i="11"/>
  <c r="BH88" i="11"/>
  <c r="X59" i="11"/>
  <c r="AR35" i="11"/>
  <c r="BJ54" i="11"/>
  <c r="AD80" i="11"/>
  <c r="S178" i="11"/>
  <c r="BH41" i="11"/>
  <c r="BI174" i="11"/>
  <c r="L118" i="11"/>
  <c r="BJ44" i="11"/>
  <c r="AW68" i="11"/>
  <c r="BF37" i="11"/>
  <c r="BK123" i="11"/>
  <c r="AC31" i="11"/>
  <c r="G104" i="11"/>
  <c r="T140" i="11"/>
  <c r="BL140" i="11"/>
  <c r="T169" i="11"/>
  <c r="C36" i="11"/>
  <c r="Y110" i="11"/>
  <c r="AC82" i="11"/>
  <c r="AH163" i="11"/>
  <c r="W141" i="11"/>
  <c r="AS77" i="11"/>
  <c r="AQ174" i="11"/>
  <c r="AP71" i="11"/>
  <c r="AJ85" i="11"/>
  <c r="AB53" i="11"/>
  <c r="AK159" i="11"/>
  <c r="BJ40" i="11"/>
  <c r="AX104" i="11"/>
  <c r="AZ110" i="11"/>
  <c r="AW139" i="11"/>
  <c r="N164" i="11"/>
  <c r="AF107" i="11"/>
  <c r="AC35" i="11"/>
  <c r="AN50" i="11"/>
  <c r="AI118" i="11"/>
  <c r="AU166" i="11"/>
  <c r="H80" i="11"/>
  <c r="BD31" i="11"/>
  <c r="AY180" i="11"/>
  <c r="AA40" i="11"/>
  <c r="BA102" i="11"/>
  <c r="BC108" i="11"/>
  <c r="AB140" i="11"/>
  <c r="AX146" i="11"/>
  <c r="AY116" i="11"/>
  <c r="O69" i="11"/>
  <c r="AZ128" i="11"/>
  <c r="Y139" i="11"/>
  <c r="AF57" i="11"/>
  <c r="AD101" i="11"/>
  <c r="J88" i="11"/>
  <c r="AP130" i="11"/>
  <c r="AF75" i="11"/>
  <c r="BB118" i="11"/>
  <c r="G133" i="11"/>
  <c r="BA63" i="11"/>
  <c r="Q37" i="11"/>
  <c r="AH50" i="11"/>
  <c r="AS86" i="11"/>
  <c r="AL101" i="11"/>
  <c r="AQ89" i="11"/>
  <c r="BJ128" i="11"/>
  <c r="AV111" i="11"/>
  <c r="BE154" i="11"/>
  <c r="BE116" i="11"/>
  <c r="BE158" i="11"/>
  <c r="AU120" i="11"/>
  <c r="T87" i="11"/>
  <c r="BH127" i="11"/>
  <c r="AQ41" i="11"/>
  <c r="C63" i="11"/>
  <c r="AP154" i="11"/>
  <c r="AO76" i="11"/>
  <c r="AF36" i="11"/>
  <c r="W138" i="11"/>
  <c r="N62" i="11"/>
  <c r="AZ48" i="11"/>
  <c r="BE67" i="11"/>
  <c r="BL142" i="11"/>
  <c r="L92" i="11"/>
  <c r="H124" i="11"/>
  <c r="AJ30" i="11"/>
  <c r="P117" i="11"/>
  <c r="N65" i="11"/>
  <c r="BJ126" i="11"/>
  <c r="AG151" i="11"/>
  <c r="AH97" i="11"/>
  <c r="BM110" i="11"/>
  <c r="AT33" i="11"/>
  <c r="AS152" i="11"/>
  <c r="C111" i="11"/>
  <c r="AX40" i="11"/>
  <c r="AR83" i="11"/>
  <c r="BK116" i="11"/>
  <c r="AI74" i="11"/>
  <c r="K40" i="11"/>
  <c r="AO128" i="11"/>
  <c r="AS141" i="11"/>
  <c r="BJ165" i="11"/>
  <c r="AP114" i="11"/>
  <c r="BJ155" i="11"/>
  <c r="AY159" i="11"/>
  <c r="AV109" i="11"/>
  <c r="AK77" i="11"/>
  <c r="BH71" i="11"/>
  <c r="K80" i="11"/>
  <c r="S139" i="11"/>
  <c r="BM162" i="11"/>
  <c r="W62" i="11"/>
  <c r="BA38" i="11"/>
  <c r="K76" i="11"/>
  <c r="BK141" i="11"/>
  <c r="BC172" i="11"/>
  <c r="AC44" i="11"/>
  <c r="P73" i="11"/>
  <c r="AU78" i="11"/>
  <c r="AG59" i="11"/>
  <c r="C99" i="11"/>
  <c r="BD173" i="11"/>
  <c r="AF52" i="11"/>
  <c r="BI99" i="11"/>
  <c r="Z139" i="11"/>
  <c r="P133" i="11"/>
  <c r="AL143" i="11"/>
  <c r="Y55" i="11"/>
  <c r="AO66" i="11"/>
  <c r="U89" i="11"/>
  <c r="AI70" i="11"/>
  <c r="W88" i="11"/>
  <c r="V84" i="11"/>
  <c r="BB147" i="11"/>
  <c r="AM126" i="11"/>
  <c r="N177" i="11"/>
  <c r="AA157" i="11"/>
  <c r="BN112" i="11"/>
  <c r="V163" i="11"/>
  <c r="J141" i="11"/>
  <c r="AQ120" i="11"/>
  <c r="BG159" i="11"/>
  <c r="BB91" i="11"/>
  <c r="N167" i="11"/>
  <c r="BD151" i="11"/>
  <c r="M144" i="11"/>
  <c r="G166" i="11"/>
  <c r="AB177" i="11"/>
  <c r="S49" i="11"/>
  <c r="AH26" i="11"/>
  <c r="BK45" i="11"/>
  <c r="BB53" i="11"/>
  <c r="AM54" i="11"/>
  <c r="AW64" i="11"/>
  <c r="BA129" i="11"/>
  <c r="G134" i="11"/>
  <c r="BA166" i="11"/>
  <c r="AU129" i="11"/>
  <c r="AY101" i="11"/>
  <c r="AX129" i="11"/>
  <c r="AC40" i="11"/>
  <c r="C123" i="11"/>
  <c r="AY99" i="11"/>
  <c r="AV156" i="11"/>
  <c r="AI102" i="11"/>
  <c r="I69" i="11"/>
  <c r="BH26" i="11"/>
  <c r="AF35" i="11"/>
  <c r="AX108" i="11"/>
  <c r="H168" i="11"/>
  <c r="AQ175" i="11"/>
  <c r="AG130" i="11"/>
  <c r="AE100" i="11"/>
  <c r="I40" i="11"/>
  <c r="V132" i="11"/>
  <c r="BE75" i="11"/>
  <c r="AT163" i="11"/>
  <c r="Q156" i="11"/>
  <c r="N173" i="11"/>
  <c r="O172" i="11"/>
  <c r="AJ158" i="11"/>
  <c r="U163" i="11"/>
  <c r="S94" i="11"/>
  <c r="M65" i="11"/>
  <c r="J129" i="11"/>
  <c r="AY61" i="11"/>
  <c r="P119" i="11"/>
  <c r="I84" i="11"/>
  <c r="AU106" i="11"/>
  <c r="AZ56" i="11"/>
  <c r="AR26" i="11"/>
  <c r="BI96" i="11"/>
  <c r="AD148" i="11"/>
  <c r="AN125" i="11"/>
  <c r="AB27" i="11"/>
  <c r="AB77" i="11"/>
  <c r="BB29" i="11"/>
  <c r="AH137" i="11"/>
  <c r="Z141" i="11"/>
  <c r="AK157" i="11"/>
  <c r="BC69" i="11"/>
  <c r="AO35" i="11"/>
  <c r="O123" i="11"/>
  <c r="BC133" i="11"/>
  <c r="AJ53" i="11"/>
  <c r="W90" i="11"/>
  <c r="Q105" i="11"/>
  <c r="K66" i="11"/>
  <c r="AA56" i="11"/>
  <c r="R151" i="11"/>
  <c r="AF34" i="11"/>
  <c r="O49" i="11"/>
  <c r="BB149" i="11"/>
  <c r="AD114" i="11"/>
  <c r="BK100" i="11"/>
  <c r="BF142" i="11"/>
  <c r="BF149" i="11"/>
  <c r="S92" i="11"/>
  <c r="AZ123" i="11"/>
  <c r="BG53" i="11"/>
  <c r="Q89" i="11"/>
  <c r="AM113" i="11"/>
  <c r="AO63" i="11"/>
  <c r="N67" i="11"/>
  <c r="BK170" i="11"/>
  <c r="BC138" i="11"/>
  <c r="Z87" i="11"/>
  <c r="AL153" i="11"/>
  <c r="O108" i="11"/>
  <c r="R33" i="11"/>
  <c r="AU46" i="11"/>
  <c r="AP100" i="11"/>
  <c r="AC133" i="11"/>
  <c r="AR110" i="11"/>
  <c r="Z135" i="11"/>
  <c r="BA34" i="11"/>
  <c r="BG46" i="11"/>
  <c r="BD134" i="11"/>
  <c r="BF35" i="11"/>
  <c r="AB149" i="11"/>
  <c r="AB95" i="11"/>
  <c r="BE147" i="11"/>
  <c r="AH159" i="11"/>
  <c r="Y45" i="11"/>
  <c r="U101" i="11"/>
  <c r="BF109" i="11"/>
  <c r="BF115" i="11"/>
  <c r="AW33" i="11"/>
  <c r="AA68" i="11"/>
  <c r="W116" i="11"/>
  <c r="AP26" i="11"/>
  <c r="BD126" i="11"/>
  <c r="AJ176" i="11"/>
  <c r="BM71" i="11"/>
  <c r="AI131" i="11"/>
  <c r="AA120" i="11"/>
  <c r="AJ63" i="11"/>
  <c r="AP156" i="11"/>
  <c r="AU69" i="11"/>
  <c r="N83" i="11"/>
  <c r="BI129" i="11"/>
  <c r="AD53" i="11"/>
  <c r="V75" i="11"/>
  <c r="BL116" i="11"/>
  <c r="BM109" i="11"/>
  <c r="BC165" i="11"/>
  <c r="AF123" i="11"/>
  <c r="Y165" i="11"/>
  <c r="BN125" i="11"/>
  <c r="BK104" i="11"/>
  <c r="BI140" i="11"/>
  <c r="R75" i="11"/>
  <c r="AK50" i="11"/>
  <c r="BA138" i="11"/>
  <c r="T178" i="11"/>
  <c r="AY156" i="11"/>
  <c r="Y164" i="11"/>
  <c r="V52" i="11"/>
  <c r="J116" i="11"/>
  <c r="AA152" i="11"/>
  <c r="BD150" i="11"/>
  <c r="U138" i="11"/>
  <c r="C58" i="11"/>
  <c r="AH99" i="11"/>
  <c r="AR99" i="11"/>
  <c r="C112" i="11"/>
  <c r="AZ132" i="11"/>
  <c r="AE54" i="11"/>
  <c r="AU134" i="11"/>
  <c r="AN141" i="11"/>
  <c r="AB75" i="11"/>
  <c r="AN142" i="11"/>
  <c r="AM125" i="11"/>
  <c r="AN46" i="11"/>
  <c r="BD96" i="11"/>
  <c r="P168" i="11"/>
  <c r="BB148" i="11"/>
  <c r="BM156" i="11"/>
  <c r="AR135" i="11"/>
  <c r="AM56" i="11"/>
  <c r="X143" i="11"/>
  <c r="P36" i="11"/>
  <c r="R55" i="11"/>
  <c r="BK127" i="11"/>
  <c r="AB178" i="11"/>
  <c r="S58" i="11"/>
  <c r="AP157" i="11"/>
  <c r="AQ48" i="11"/>
  <c r="AZ176" i="11"/>
  <c r="AI178" i="11"/>
  <c r="M177" i="11"/>
  <c r="N142" i="11"/>
  <c r="AU83" i="11"/>
  <c r="V108" i="11"/>
  <c r="AK62" i="11"/>
  <c r="S65" i="11"/>
  <c r="I125" i="11"/>
  <c r="BD109" i="11"/>
  <c r="AZ164" i="11"/>
  <c r="AI40" i="11"/>
  <c r="AN123" i="11"/>
  <c r="AA115" i="11"/>
  <c r="AE42" i="11"/>
  <c r="AK100" i="11"/>
  <c r="AM67" i="11"/>
  <c r="U104" i="11"/>
  <c r="AR116" i="11"/>
  <c r="Z51" i="11"/>
  <c r="BA142" i="11"/>
  <c r="AQ72" i="11"/>
  <c r="AK43" i="11"/>
  <c r="N55" i="11"/>
  <c r="BA120" i="11"/>
  <c r="BI51" i="11"/>
  <c r="Q161" i="11"/>
  <c r="AT69" i="11"/>
  <c r="AF86" i="11"/>
  <c r="AH174" i="11"/>
  <c r="AF145" i="11"/>
  <c r="AQ85" i="11"/>
  <c r="BC41" i="11"/>
  <c r="AY103" i="11"/>
  <c r="AB138" i="11"/>
  <c r="Z126" i="11"/>
  <c r="AL129" i="11"/>
  <c r="BM161" i="11"/>
  <c r="C84" i="11"/>
  <c r="T61" i="11"/>
  <c r="P84" i="11"/>
  <c r="AS112" i="11"/>
  <c r="G54" i="11"/>
  <c r="AL148" i="11"/>
  <c r="BG67" i="11"/>
  <c r="AO104" i="11"/>
  <c r="X133" i="11"/>
  <c r="BG123" i="11"/>
  <c r="AX160" i="11"/>
  <c r="BF174" i="11"/>
  <c r="BA107" i="11"/>
  <c r="AG76" i="11"/>
  <c r="AU76" i="11"/>
  <c r="AH88" i="11"/>
  <c r="AO138" i="11"/>
  <c r="AA89" i="11"/>
  <c r="AU111" i="11"/>
  <c r="BI131" i="11"/>
  <c r="AJ88" i="11"/>
  <c r="BD60" i="11"/>
  <c r="AU88" i="11"/>
  <c r="R127" i="11"/>
  <c r="AY128" i="11"/>
  <c r="BL49" i="11"/>
  <c r="AR131" i="11"/>
  <c r="AV38" i="11"/>
  <c r="AZ57" i="11"/>
  <c r="AR42" i="11"/>
  <c r="AP166" i="11"/>
  <c r="G168" i="11"/>
  <c r="BL128" i="11"/>
  <c r="V69" i="11"/>
  <c r="BE59" i="11"/>
  <c r="AW172" i="11"/>
  <c r="AM33" i="11"/>
  <c r="AH126" i="11"/>
  <c r="Y113" i="11"/>
  <c r="AG27" i="11"/>
  <c r="AW147" i="11"/>
  <c r="BA91" i="11"/>
  <c r="P66" i="11"/>
  <c r="AB85" i="11"/>
  <c r="AU122" i="11"/>
  <c r="AU156" i="11"/>
  <c r="L74" i="11"/>
  <c r="BK114" i="11"/>
  <c r="AF163" i="11"/>
  <c r="AA116" i="11"/>
  <c r="BD57" i="11"/>
  <c r="AI79" i="11"/>
  <c r="BF156" i="11"/>
  <c r="AW121" i="11"/>
  <c r="BF136" i="11"/>
  <c r="BC121" i="11"/>
  <c r="BJ49" i="11"/>
  <c r="BH67" i="11"/>
  <c r="AU75" i="11"/>
  <c r="BC94" i="11"/>
  <c r="AJ94" i="11"/>
  <c r="BC53" i="11"/>
  <c r="K97" i="11"/>
  <c r="AM137" i="11"/>
  <c r="BG84" i="11"/>
  <c r="U56" i="11"/>
  <c r="C53" i="11"/>
  <c r="BA55" i="11"/>
  <c r="AJ174" i="11"/>
  <c r="AT112" i="11"/>
  <c r="AP163" i="11"/>
  <c r="O45" i="11"/>
  <c r="AS156" i="11"/>
  <c r="G163" i="11"/>
  <c r="AV82" i="11"/>
  <c r="R77" i="11"/>
  <c r="BL159" i="11"/>
  <c r="BM147" i="11"/>
  <c r="AU167" i="11"/>
  <c r="AT34" i="11"/>
  <c r="P158" i="11"/>
  <c r="L159" i="11"/>
  <c r="AT162" i="11"/>
  <c r="AW52" i="11"/>
  <c r="AZ120" i="11"/>
  <c r="V56" i="11"/>
  <c r="AZ122" i="11"/>
  <c r="Y75" i="11"/>
  <c r="N178" i="11"/>
  <c r="U53" i="11"/>
  <c r="AZ103" i="11"/>
  <c r="BF171" i="11"/>
  <c r="AX120" i="11"/>
  <c r="AJ162" i="11"/>
  <c r="BH29" i="11"/>
  <c r="BK44" i="11"/>
  <c r="R31" i="11"/>
  <c r="S155" i="11"/>
  <c r="AN137" i="11"/>
  <c r="Z77" i="11"/>
  <c r="Z138" i="11"/>
  <c r="AR109" i="11"/>
  <c r="AV70" i="11"/>
  <c r="AZ174" i="11"/>
  <c r="O29" i="11"/>
  <c r="W130" i="11"/>
  <c r="AN62" i="11"/>
  <c r="AK125" i="11"/>
  <c r="AV30" i="11"/>
  <c r="L109" i="11"/>
  <c r="AF137" i="11"/>
  <c r="AX137" i="11"/>
  <c r="AX172" i="11"/>
  <c r="V66" i="11"/>
  <c r="AY121" i="11"/>
  <c r="AI170" i="11"/>
  <c r="AN178" i="11"/>
  <c r="W173" i="11"/>
  <c r="AH109" i="11"/>
  <c r="O77" i="11"/>
  <c r="BL99" i="11"/>
  <c r="AG176" i="11"/>
  <c r="AK28" i="11"/>
  <c r="BH64" i="11"/>
  <c r="W122" i="11"/>
  <c r="C71" i="11"/>
  <c r="AQ64" i="11"/>
  <c r="Y107" i="11"/>
  <c r="BJ98" i="11"/>
  <c r="AI123" i="11"/>
  <c r="BD116" i="11"/>
  <c r="AD130" i="11"/>
  <c r="I56" i="11"/>
  <c r="AM40" i="11"/>
  <c r="BC81" i="11"/>
  <c r="AP140" i="11"/>
  <c r="AD62" i="11"/>
  <c r="BN102" i="11"/>
  <c r="S51" i="11"/>
  <c r="BM128" i="11"/>
  <c r="S167" i="11"/>
  <c r="AF196" i="11"/>
  <c r="AZ162" i="11"/>
  <c r="AA113" i="11"/>
  <c r="BI38" i="11"/>
  <c r="AQ40" i="11"/>
  <c r="AF48" i="11"/>
  <c r="AA166" i="11"/>
  <c r="BG65" i="11"/>
  <c r="K115" i="11"/>
  <c r="AG167" i="11"/>
  <c r="BJ168" i="11"/>
  <c r="R169" i="11"/>
  <c r="AU178" i="11"/>
  <c r="G118" i="11"/>
  <c r="O93" i="11"/>
  <c r="AT122" i="11"/>
  <c r="AC76" i="11"/>
  <c r="BD54" i="11"/>
  <c r="AQ114" i="11"/>
  <c r="AA28" i="11"/>
  <c r="I58" i="11"/>
  <c r="O76" i="11"/>
  <c r="AL50" i="11"/>
  <c r="AD67" i="11"/>
  <c r="BI126" i="11"/>
  <c r="BH90" i="11"/>
  <c r="AG120" i="11"/>
  <c r="AB70" i="11"/>
  <c r="V155" i="11"/>
  <c r="AT83" i="11"/>
  <c r="AM83" i="11"/>
  <c r="BF70" i="11"/>
  <c r="BM118" i="11"/>
  <c r="K118" i="11"/>
  <c r="AW100" i="11"/>
  <c r="L58" i="11"/>
  <c r="AF26" i="11"/>
  <c r="AM55" i="11"/>
  <c r="AD70" i="11"/>
  <c r="S118" i="11"/>
  <c r="AD141" i="11"/>
  <c r="AF167" i="11"/>
  <c r="Q45" i="11"/>
  <c r="AW79" i="11"/>
  <c r="BF141" i="11"/>
  <c r="BM90" i="11"/>
  <c r="Q123" i="11"/>
  <c r="AP162" i="11"/>
  <c r="AT119" i="11"/>
  <c r="BL36" i="11"/>
  <c r="BI37" i="11"/>
  <c r="AA139" i="11"/>
  <c r="AL41" i="11"/>
  <c r="T72" i="11"/>
  <c r="AH72" i="11"/>
  <c r="BM149" i="11"/>
  <c r="AS113" i="11"/>
  <c r="AZ158" i="11"/>
  <c r="BG34" i="11"/>
  <c r="BI57" i="11"/>
  <c r="AL43" i="11"/>
  <c r="AZ76" i="11"/>
  <c r="R168" i="11"/>
  <c r="BL156" i="11"/>
  <c r="Y40" i="11"/>
  <c r="AI82" i="11"/>
  <c r="Q54" i="11"/>
  <c r="AR130" i="11"/>
  <c r="BI90" i="11"/>
  <c r="BK32" i="11"/>
  <c r="Q68" i="11"/>
  <c r="BH193" i="11"/>
  <c r="BI43" i="11"/>
  <c r="AM47" i="11"/>
  <c r="AP126" i="11"/>
  <c r="AB89" i="11"/>
  <c r="X62" i="11"/>
  <c r="BH74" i="11"/>
  <c r="BN66" i="11"/>
  <c r="AR187" i="11"/>
  <c r="G145" i="11"/>
  <c r="AX59" i="11"/>
  <c r="BN76" i="11"/>
  <c r="AP97" i="11"/>
  <c r="BI176" i="11"/>
  <c r="P157" i="11"/>
  <c r="P74" i="11"/>
  <c r="AL102" i="11"/>
  <c r="AN112" i="11"/>
  <c r="BN41" i="11"/>
  <c r="AQ78" i="11"/>
  <c r="BA108" i="11"/>
  <c r="AW45" i="11"/>
  <c r="BN130" i="11"/>
  <c r="BC74" i="11"/>
  <c r="W163" i="11"/>
  <c r="BK42" i="11"/>
  <c r="BN160" i="11"/>
  <c r="G132" i="11"/>
  <c r="AK45" i="11"/>
  <c r="AQ96" i="11"/>
  <c r="AL40" i="11"/>
  <c r="BC29" i="11"/>
  <c r="AM130" i="11"/>
  <c r="O95" i="11"/>
  <c r="AF84" i="11"/>
  <c r="AI125" i="11"/>
  <c r="AV115" i="11"/>
  <c r="BL29" i="11"/>
  <c r="BB133" i="11"/>
  <c r="BE109" i="11"/>
  <c r="BK59" i="11"/>
  <c r="BL92" i="11"/>
  <c r="AW171" i="11"/>
  <c r="P103" i="11"/>
  <c r="BD152" i="11"/>
  <c r="BJ144" i="11"/>
  <c r="AF162" i="11"/>
  <c r="AD105" i="11"/>
  <c r="AY147" i="11"/>
  <c r="I28" i="11"/>
  <c r="AI95" i="11"/>
  <c r="AR133" i="11"/>
  <c r="AI83" i="11"/>
  <c r="AL197" i="11"/>
  <c r="AP123" i="11"/>
  <c r="S43" i="11"/>
  <c r="AK61" i="11"/>
  <c r="N59" i="11"/>
  <c r="BD50" i="11"/>
  <c r="BD51" i="11"/>
  <c r="AZ45" i="11"/>
  <c r="I83" i="11"/>
  <c r="U48" i="11"/>
  <c r="AI33" i="11"/>
  <c r="T123" i="11"/>
  <c r="BN159" i="11"/>
  <c r="BL115" i="11"/>
  <c r="AR142" i="11"/>
  <c r="O118" i="11"/>
  <c r="AA133" i="11"/>
  <c r="BL170" i="11"/>
  <c r="BG59" i="11"/>
  <c r="K148" i="11"/>
  <c r="AW161" i="11"/>
  <c r="T124" i="11"/>
  <c r="P137" i="11"/>
  <c r="K91" i="11"/>
  <c r="C62" i="11"/>
  <c r="AJ145" i="11"/>
  <c r="BM142" i="11"/>
  <c r="AK70" i="11"/>
  <c r="AU30" i="11"/>
  <c r="AS90" i="11"/>
  <c r="AL124" i="11"/>
  <c r="BF79" i="11"/>
  <c r="V39" i="11"/>
  <c r="AP74" i="11"/>
  <c r="AW127" i="11"/>
  <c r="AS34" i="11"/>
  <c r="G62" i="11"/>
  <c r="U36" i="11"/>
  <c r="AG83" i="11"/>
  <c r="P113" i="11"/>
  <c r="BI104" i="11"/>
  <c r="AO132" i="11"/>
  <c r="P95" i="11"/>
  <c r="BN30" i="11"/>
  <c r="BM155" i="11"/>
  <c r="BK54" i="11"/>
  <c r="O44" i="11"/>
  <c r="BI86" i="11"/>
  <c r="S87" i="11"/>
  <c r="AW177" i="11"/>
  <c r="W68" i="11"/>
  <c r="BE177" i="11"/>
  <c r="BI165" i="11"/>
  <c r="X175" i="11"/>
  <c r="AY108" i="11"/>
  <c r="AZ117" i="11"/>
  <c r="BJ119" i="11"/>
  <c r="AV160" i="11"/>
  <c r="BD139" i="11"/>
  <c r="Y33" i="11"/>
  <c r="BK188" i="11"/>
  <c r="AT127" i="11"/>
  <c r="AE160" i="11"/>
  <c r="P118" i="11"/>
  <c r="G31" i="11"/>
  <c r="AM70" i="11"/>
  <c r="AQ150" i="11"/>
  <c r="S136" i="11"/>
  <c r="BA92" i="11"/>
  <c r="C137" i="11"/>
  <c r="BL39" i="11"/>
  <c r="BJ151" i="11"/>
  <c r="BM138" i="11"/>
  <c r="BB126" i="11"/>
  <c r="AA95" i="11"/>
  <c r="BM116" i="11"/>
  <c r="V144" i="11"/>
  <c r="AE110" i="11"/>
  <c r="J162" i="11"/>
  <c r="BK99" i="11"/>
  <c r="AG42" i="11"/>
  <c r="L132" i="11"/>
  <c r="S76" i="11"/>
  <c r="L125" i="11"/>
  <c r="AQ33" i="11"/>
  <c r="AN173" i="11"/>
  <c r="AY122" i="11"/>
  <c r="AY77" i="11"/>
  <c r="AL116" i="11"/>
  <c r="C172" i="11"/>
  <c r="AD129" i="11"/>
  <c r="BK71" i="11"/>
  <c r="AS165" i="11"/>
  <c r="AE29" i="11"/>
  <c r="AG73" i="11"/>
  <c r="AC62" i="11"/>
  <c r="O148" i="11"/>
  <c r="AP161" i="11"/>
  <c r="X138" i="11"/>
  <c r="C55" i="11"/>
  <c r="U58" i="11"/>
  <c r="AC43" i="11"/>
  <c r="AK109" i="11"/>
  <c r="AK124" i="11"/>
  <c r="BI119" i="11"/>
  <c r="BI123" i="11"/>
  <c r="AB170" i="11"/>
  <c r="K36" i="11"/>
  <c r="V119" i="11"/>
  <c r="BN143" i="11"/>
  <c r="BK29" i="11"/>
  <c r="O61" i="11"/>
  <c r="BJ26" i="11"/>
  <c r="AQ58" i="11"/>
  <c r="AW65" i="11"/>
  <c r="T157" i="11"/>
  <c r="AY79" i="11"/>
  <c r="BM28" i="11"/>
  <c r="Z110" i="11"/>
  <c r="AH180" i="11"/>
  <c r="BH112" i="11"/>
  <c r="AI135" i="11"/>
  <c r="AS67" i="11"/>
  <c r="AU50" i="11"/>
  <c r="AX142" i="11"/>
  <c r="AE30" i="11"/>
  <c r="W37" i="11"/>
  <c r="BE30" i="11"/>
  <c r="AT73" i="11"/>
  <c r="Z172" i="11"/>
  <c r="AS116" i="11"/>
  <c r="BM160" i="11"/>
  <c r="BH48" i="11"/>
  <c r="AW71" i="11"/>
  <c r="AU33" i="11"/>
  <c r="AX35" i="11"/>
  <c r="AX155" i="11"/>
  <c r="BH49" i="11"/>
  <c r="Y138" i="11"/>
  <c r="U47" i="11"/>
  <c r="G65" i="11"/>
  <c r="S83" i="11"/>
  <c r="G92" i="11"/>
  <c r="V165" i="11"/>
  <c r="BE189" i="11"/>
  <c r="V117" i="11"/>
  <c r="AH100" i="11"/>
  <c r="I118" i="11"/>
  <c r="AW54" i="11"/>
  <c r="AY73" i="11"/>
  <c r="BK60" i="11"/>
  <c r="AX48" i="11"/>
  <c r="BE91" i="11"/>
  <c r="R42" i="11"/>
  <c r="BN177" i="11"/>
  <c r="BD169" i="11"/>
  <c r="I90" i="11"/>
  <c r="T94" i="11"/>
  <c r="BG56" i="11"/>
  <c r="AL149" i="11"/>
  <c r="AH147" i="11"/>
  <c r="AH37" i="11"/>
  <c r="BA141" i="11"/>
  <c r="AT130" i="11"/>
  <c r="AC56" i="11"/>
  <c r="AL72" i="11"/>
  <c r="AO130" i="11"/>
  <c r="AM37" i="11"/>
  <c r="AQ121" i="11"/>
  <c r="V65" i="11"/>
  <c r="BE132" i="11"/>
  <c r="AK51" i="11"/>
  <c r="V159" i="11"/>
  <c r="AP175" i="11"/>
  <c r="V113" i="11"/>
  <c r="P177" i="11"/>
  <c r="BI175" i="11"/>
  <c r="AK165" i="11"/>
  <c r="T196" i="11"/>
  <c r="L168" i="11"/>
  <c r="AN139" i="11"/>
  <c r="BM73" i="11"/>
  <c r="I157" i="11"/>
  <c r="AV94" i="11"/>
  <c r="M112" i="11"/>
  <c r="AE43" i="11"/>
  <c r="Z161" i="11"/>
  <c r="L45" i="11"/>
  <c r="K156" i="11"/>
  <c r="AR153" i="11"/>
  <c r="AF117" i="11"/>
  <c r="L173" i="11"/>
  <c r="BB64" i="11"/>
  <c r="Z72" i="11"/>
  <c r="AY98" i="11"/>
  <c r="BE149" i="11"/>
  <c r="X63" i="11"/>
  <c r="BN61" i="11"/>
  <c r="AJ26" i="11"/>
  <c r="AE163" i="11"/>
  <c r="BA80" i="11"/>
  <c r="AV123" i="11"/>
  <c r="AX51" i="11"/>
  <c r="J109" i="11"/>
  <c r="M53" i="11"/>
  <c r="AI109" i="11"/>
  <c r="AA91" i="11"/>
  <c r="K79" i="11"/>
  <c r="AA176" i="11"/>
  <c r="BH60" i="11"/>
  <c r="S176" i="11"/>
  <c r="I174" i="11"/>
  <c r="AK115" i="11"/>
  <c r="AS95" i="11"/>
  <c r="AM153" i="11"/>
  <c r="AN30" i="11"/>
  <c r="AI136" i="11"/>
  <c r="BI77" i="11"/>
  <c r="O146" i="11"/>
  <c r="AF70" i="11"/>
  <c r="J128" i="11"/>
  <c r="X170" i="11"/>
  <c r="K100" i="11"/>
  <c r="I177" i="11"/>
  <c r="AH114" i="11"/>
  <c r="V149" i="11"/>
  <c r="X160" i="11"/>
  <c r="C146" i="11"/>
  <c r="BE80" i="11"/>
  <c r="L51" i="11"/>
  <c r="BH169" i="11"/>
  <c r="AE122" i="11"/>
  <c r="AQ145" i="11"/>
  <c r="BD110" i="11"/>
  <c r="AY165" i="11"/>
  <c r="U159" i="11"/>
  <c r="AJ132" i="11"/>
  <c r="M89" i="11"/>
  <c r="Q114" i="11"/>
  <c r="Z166" i="11"/>
  <c r="AW83" i="11"/>
  <c r="AY62" i="11"/>
  <c r="BD48" i="11"/>
  <c r="BL180" i="11"/>
  <c r="AF165" i="11"/>
  <c r="BF110" i="11"/>
  <c r="BN170" i="11"/>
  <c r="BC31" i="11"/>
  <c r="AS148" i="11"/>
  <c r="BD131" i="11"/>
  <c r="V126" i="11"/>
  <c r="AY123" i="11"/>
  <c r="AJ29" i="11"/>
  <c r="Y86" i="11"/>
  <c r="AG149" i="11"/>
  <c r="AQ126" i="11"/>
  <c r="BD87" i="11"/>
  <c r="N46" i="11"/>
  <c r="AB125" i="11"/>
  <c r="AX77" i="11"/>
  <c r="N132" i="11"/>
  <c r="O167" i="11"/>
  <c r="BN27" i="11"/>
  <c r="AE162" i="11"/>
  <c r="T115" i="11"/>
  <c r="W162" i="11"/>
  <c r="BH170" i="11"/>
  <c r="AC85" i="11"/>
  <c r="AT115" i="11"/>
  <c r="BH75" i="11"/>
  <c r="Y36" i="11"/>
  <c r="AK82" i="11"/>
  <c r="BD117" i="11"/>
  <c r="BB85" i="11"/>
  <c r="Z36" i="11"/>
  <c r="X162" i="11"/>
  <c r="BD112" i="11"/>
  <c r="AM88" i="11"/>
  <c r="BE169" i="11"/>
  <c r="AV59" i="11"/>
  <c r="BD70" i="11"/>
  <c r="BA109" i="11"/>
  <c r="AK140" i="11"/>
  <c r="AL142" i="11"/>
  <c r="AL168" i="11"/>
  <c r="BE45" i="11"/>
  <c r="BL145" i="11"/>
  <c r="AS149" i="11"/>
  <c r="BN101" i="11"/>
  <c r="AJ90" i="11"/>
  <c r="AX94" i="11"/>
  <c r="W69" i="11"/>
  <c r="AZ129" i="11"/>
  <c r="X65" i="11"/>
  <c r="R117" i="11"/>
  <c r="V90" i="11"/>
  <c r="BF169" i="11"/>
  <c r="BC85" i="11"/>
  <c r="R62" i="11"/>
  <c r="AG43" i="11"/>
  <c r="BE64" i="11"/>
  <c r="AH166" i="11"/>
  <c r="AV50" i="11"/>
  <c r="BK138" i="11"/>
  <c r="BA148" i="11"/>
  <c r="BJ132" i="11"/>
  <c r="BB158" i="11"/>
  <c r="AL36" i="11"/>
  <c r="BB78" i="11"/>
  <c r="L34" i="11"/>
  <c r="M133" i="11"/>
  <c r="L100" i="11"/>
  <c r="AZ81" i="11"/>
  <c r="BB56" i="11"/>
  <c r="AZ73" i="11"/>
  <c r="P170" i="11"/>
  <c r="Y135" i="11"/>
  <c r="S126" i="11"/>
  <c r="L32" i="11"/>
  <c r="BB66" i="11"/>
  <c r="AH133" i="11"/>
  <c r="AO37" i="11"/>
  <c r="AP98" i="11"/>
  <c r="V112" i="11"/>
  <c r="S129" i="11"/>
  <c r="AO77" i="11"/>
  <c r="R72" i="11"/>
  <c r="BH65" i="11"/>
  <c r="AA87" i="11"/>
  <c r="AO78" i="11"/>
  <c r="Q128" i="11"/>
  <c r="R132" i="11"/>
  <c r="AM78" i="11"/>
  <c r="H144" i="11"/>
  <c r="W48" i="11"/>
  <c r="W151" i="11"/>
  <c r="AE116" i="11"/>
  <c r="AD137" i="11"/>
  <c r="BJ164" i="11"/>
  <c r="AJ97" i="11"/>
  <c r="BI109" i="11"/>
  <c r="T162" i="11"/>
  <c r="X116" i="11"/>
  <c r="AW48" i="11"/>
  <c r="Q104" i="11"/>
  <c r="BB151" i="11"/>
  <c r="AF140" i="11"/>
  <c r="AX101" i="11"/>
  <c r="BN142" i="11"/>
  <c r="V34" i="11"/>
  <c r="BM65" i="11"/>
  <c r="AO123" i="11"/>
  <c r="AG96" i="11"/>
  <c r="AY63" i="11"/>
  <c r="AR77" i="11"/>
  <c r="K57" i="11"/>
  <c r="J60" i="11"/>
  <c r="AQ42" i="11"/>
  <c r="BE113" i="11"/>
  <c r="BF170" i="11"/>
  <c r="AE134" i="11"/>
  <c r="I154" i="11"/>
  <c r="K108" i="11"/>
  <c r="O164" i="11"/>
  <c r="AR37" i="11"/>
  <c r="Y58" i="11"/>
  <c r="T181" i="11"/>
  <c r="T83" i="11"/>
  <c r="AV67" i="11"/>
  <c r="BF44" i="11"/>
  <c r="AO41" i="11"/>
  <c r="BG158" i="11"/>
  <c r="M78" i="11"/>
  <c r="AP172" i="11"/>
  <c r="BK152" i="11"/>
  <c r="AG142" i="11"/>
  <c r="BN110" i="11"/>
  <c r="AN96" i="11"/>
  <c r="AC140" i="11"/>
  <c r="I60" i="11"/>
  <c r="V154" i="11"/>
  <c r="H33" i="11"/>
  <c r="AN145" i="11"/>
  <c r="BM102" i="11"/>
  <c r="AA55" i="11"/>
  <c r="BE161" i="11"/>
  <c r="U81" i="11"/>
  <c r="AA78" i="11"/>
  <c r="AZ51" i="11"/>
  <c r="BL139" i="11"/>
  <c r="N85" i="11"/>
  <c r="AZ133" i="11"/>
  <c r="J31" i="11"/>
  <c r="AM44" i="11"/>
  <c r="AE145" i="11"/>
  <c r="G137" i="11"/>
  <c r="BA164" i="11"/>
  <c r="BB136" i="11"/>
  <c r="BL47" i="11"/>
  <c r="AW163" i="11"/>
  <c r="BJ121" i="11"/>
  <c r="BB181" i="11"/>
  <c r="BB164" i="11"/>
  <c r="AR107" i="11"/>
  <c r="BE82" i="11"/>
  <c r="AH81" i="11"/>
  <c r="H97" i="11"/>
  <c r="AM87" i="11"/>
  <c r="L55" i="11"/>
  <c r="AS74" i="11"/>
  <c r="BL105" i="11"/>
  <c r="AH120" i="11"/>
  <c r="O91" i="11"/>
  <c r="BJ75" i="11"/>
  <c r="Q145" i="11"/>
  <c r="Q42" i="11"/>
  <c r="AJ27" i="11"/>
  <c r="AJ50" i="11"/>
  <c r="AJ122" i="11"/>
  <c r="AD172" i="11"/>
  <c r="AY138" i="11"/>
  <c r="BL163" i="11"/>
  <c r="I111" i="11"/>
  <c r="AY155" i="11"/>
  <c r="AF106" i="11"/>
  <c r="AJ164" i="11"/>
  <c r="AG75" i="11"/>
  <c r="Z189" i="11"/>
  <c r="BI137" i="11"/>
  <c r="P35" i="11"/>
  <c r="BJ113" i="11"/>
  <c r="BM95" i="11"/>
  <c r="AO62" i="11"/>
  <c r="BA154" i="11"/>
  <c r="BC70" i="11"/>
  <c r="AX56" i="11"/>
  <c r="K89" i="11"/>
  <c r="AP102" i="11"/>
  <c r="K61" i="11"/>
  <c r="N103" i="11"/>
  <c r="U67" i="11"/>
  <c r="AD107" i="11"/>
  <c r="AU70" i="11"/>
  <c r="G90" i="11"/>
  <c r="L82" i="11"/>
  <c r="Y127" i="11"/>
  <c r="BG72" i="11"/>
  <c r="AJ70" i="11"/>
  <c r="BB174" i="11"/>
  <c r="AP158" i="11"/>
  <c r="BH102" i="11"/>
  <c r="BM133" i="11"/>
  <c r="BE129" i="11"/>
  <c r="AW162" i="11"/>
  <c r="K92" i="11"/>
  <c r="BG52" i="11"/>
  <c r="AB34" i="11"/>
  <c r="AU170" i="11"/>
  <c r="BL136" i="11"/>
  <c r="AM26" i="11"/>
  <c r="BK48" i="11"/>
  <c r="C32" i="11"/>
  <c r="BC97" i="11"/>
  <c r="AD147" i="11"/>
  <c r="V170" i="11"/>
  <c r="C115" i="11"/>
  <c r="AD92" i="11"/>
  <c r="AA137" i="11"/>
  <c r="AC66" i="11"/>
  <c r="R120" i="11"/>
  <c r="AR93" i="11"/>
  <c r="AI148" i="11"/>
  <c r="G111" i="11"/>
  <c r="Y171" i="11"/>
  <c r="K27" i="11"/>
  <c r="AL37" i="11"/>
  <c r="K85" i="11"/>
  <c r="BH62" i="11"/>
  <c r="BJ60" i="11"/>
  <c r="AM165" i="11"/>
  <c r="AY136" i="11"/>
  <c r="AK55" i="11"/>
  <c r="AJ66" i="11"/>
  <c r="BL168" i="11"/>
  <c r="AE67" i="11"/>
  <c r="AW142" i="11"/>
  <c r="AZ107" i="11"/>
  <c r="BM158" i="11"/>
  <c r="R142" i="11"/>
  <c r="BI138" i="11"/>
  <c r="AV46" i="11"/>
  <c r="AP176" i="11"/>
  <c r="BN74" i="11"/>
  <c r="AH28" i="11"/>
  <c r="BB50" i="11"/>
  <c r="BD44" i="11"/>
  <c r="C170" i="11"/>
  <c r="AE82" i="11"/>
  <c r="BL58" i="11"/>
  <c r="AJ118" i="11"/>
  <c r="BH152" i="11"/>
  <c r="AI84" i="11"/>
  <c r="U120" i="11"/>
  <c r="AY170" i="11"/>
  <c r="J71" i="11"/>
  <c r="AL162" i="11"/>
  <c r="AY92" i="11"/>
  <c r="X42" i="11"/>
  <c r="BE92" i="11"/>
  <c r="AN31" i="11"/>
  <c r="AZ69" i="11"/>
  <c r="BG148" i="11"/>
  <c r="AJ113" i="11"/>
  <c r="AA35" i="11"/>
  <c r="U103" i="11"/>
  <c r="AV152" i="11"/>
  <c r="AZ82" i="11"/>
  <c r="N161" i="11"/>
  <c r="BA49" i="11"/>
  <c r="P76" i="11"/>
  <c r="BA90" i="11"/>
  <c r="BI142" i="11"/>
  <c r="BM51" i="11"/>
  <c r="AN106" i="11"/>
  <c r="AJ34" i="11"/>
  <c r="H175" i="11"/>
  <c r="Y47" i="11"/>
  <c r="AH138" i="11"/>
  <c r="AI63" i="11"/>
  <c r="AQ27" i="11"/>
  <c r="AD174" i="11"/>
  <c r="BM175" i="11"/>
  <c r="W47" i="11"/>
  <c r="AQ56" i="11"/>
  <c r="AZ172" i="11"/>
  <c r="AW128" i="11"/>
  <c r="AA164" i="11"/>
  <c r="M173" i="11"/>
  <c r="BG87" i="11"/>
  <c r="BD106" i="11"/>
  <c r="AW58" i="11"/>
  <c r="AL120" i="11"/>
  <c r="AQ95" i="11"/>
  <c r="AN33" i="11"/>
  <c r="O96" i="11"/>
  <c r="AV71" i="11"/>
  <c r="AD68" i="11"/>
  <c r="AF132" i="11"/>
  <c r="AN66" i="11"/>
  <c r="AW104" i="11"/>
  <c r="AF79" i="11"/>
  <c r="N133" i="11"/>
  <c r="G47" i="11"/>
  <c r="AY55" i="11"/>
  <c r="Y156" i="11"/>
  <c r="AN163" i="11"/>
  <c r="AY102" i="11"/>
  <c r="AP69" i="11"/>
  <c r="BA149" i="11"/>
  <c r="V83" i="11"/>
  <c r="AI86" i="11"/>
  <c r="AM177" i="11"/>
  <c r="G66" i="11"/>
  <c r="AM61" i="11"/>
  <c r="AK137" i="11"/>
  <c r="M121" i="11"/>
  <c r="AL83" i="11"/>
  <c r="I61" i="11"/>
  <c r="AA161" i="11"/>
  <c r="AK118" i="11"/>
  <c r="AK142" i="11"/>
  <c r="AC72" i="11"/>
  <c r="BA145" i="11"/>
  <c r="Y172" i="11"/>
  <c r="BH120" i="11"/>
  <c r="BD63" i="11"/>
  <c r="AK27" i="11"/>
  <c r="V30" i="11"/>
  <c r="T60" i="11"/>
  <c r="T134" i="11"/>
  <c r="AZ80" i="11"/>
  <c r="M158" i="11"/>
  <c r="AT57" i="11"/>
  <c r="K82" i="11"/>
  <c r="P145" i="11"/>
  <c r="AM127" i="11"/>
  <c r="BG98" i="11"/>
  <c r="BI147" i="11"/>
  <c r="AV137" i="11"/>
  <c r="R58" i="11"/>
  <c r="AV131" i="11"/>
  <c r="BA30" i="11"/>
  <c r="AC152" i="11"/>
  <c r="V150" i="11"/>
  <c r="I155" i="11"/>
  <c r="AP92" i="11"/>
  <c r="T133" i="11"/>
  <c r="AR79" i="11"/>
  <c r="AF110" i="11"/>
  <c r="AO49" i="11"/>
  <c r="BF47" i="11"/>
  <c r="H83" i="11"/>
  <c r="AI27" i="11"/>
  <c r="G85" i="11"/>
  <c r="AZ41" i="11"/>
  <c r="AN157" i="11"/>
  <c r="AG159" i="11"/>
  <c r="AI110" i="11"/>
  <c r="AW164" i="11"/>
  <c r="AG40" i="11"/>
  <c r="AJ46" i="11"/>
  <c r="BB46" i="11"/>
  <c r="W131" i="11"/>
  <c r="BF181" i="11"/>
  <c r="AI97" i="11"/>
  <c r="AK153" i="11"/>
  <c r="N165" i="11"/>
  <c r="C158" i="11"/>
  <c r="AE87" i="11"/>
  <c r="AJ35" i="11"/>
  <c r="T167" i="11"/>
  <c r="C108" i="11"/>
  <c r="C41" i="11"/>
  <c r="AH130" i="11"/>
  <c r="AG118" i="11"/>
  <c r="BB103" i="11"/>
  <c r="AI87" i="11"/>
  <c r="BJ36" i="11"/>
  <c r="J111" i="11"/>
  <c r="AS143" i="11"/>
  <c r="AY96" i="11"/>
  <c r="BF57" i="11"/>
  <c r="AB101" i="11"/>
  <c r="AB167" i="11"/>
  <c r="M29" i="11"/>
  <c r="R135" i="11"/>
  <c r="BH116" i="11"/>
  <c r="BE62" i="11"/>
  <c r="AO163" i="11"/>
  <c r="BD81" i="11"/>
  <c r="M163" i="11"/>
  <c r="AW157" i="11"/>
  <c r="BN162" i="11"/>
  <c r="BJ170" i="11"/>
  <c r="AV114" i="11"/>
  <c r="AA79" i="11"/>
  <c r="T142" i="11"/>
  <c r="R71" i="11"/>
  <c r="BK136" i="11"/>
  <c r="W96" i="11"/>
  <c r="AD79" i="11"/>
  <c r="BM72" i="11"/>
  <c r="AN78" i="11"/>
  <c r="BD136" i="11"/>
  <c r="BH158" i="11"/>
  <c r="AF49" i="11"/>
  <c r="G177" i="11"/>
  <c r="M98" i="11"/>
  <c r="BA150" i="11"/>
  <c r="BD28" i="11"/>
  <c r="AS118" i="11"/>
  <c r="AR82" i="11"/>
  <c r="M119" i="11"/>
  <c r="AI126" i="11"/>
  <c r="AR145" i="11"/>
  <c r="AJ167" i="11"/>
  <c r="U80" i="11"/>
  <c r="AH55" i="11"/>
  <c r="C175" i="11"/>
  <c r="AA57" i="11"/>
  <c r="Z144" i="11"/>
  <c r="H171" i="11"/>
  <c r="BA51" i="11"/>
  <c r="AH34" i="11"/>
  <c r="C45" i="11"/>
  <c r="AI72" i="11"/>
  <c r="AV37" i="11"/>
  <c r="Y95" i="11"/>
  <c r="G153" i="11"/>
  <c r="J150" i="11"/>
  <c r="AU137" i="11"/>
  <c r="V95" i="11"/>
  <c r="AE66" i="11"/>
  <c r="W60" i="11"/>
  <c r="M75" i="11"/>
  <c r="AC89" i="11"/>
  <c r="R108" i="11"/>
  <c r="AJ128" i="11"/>
  <c r="G37" i="11"/>
  <c r="BE94" i="11"/>
  <c r="BN115" i="11"/>
  <c r="I176" i="11"/>
  <c r="BJ64" i="11"/>
  <c r="AF64" i="11"/>
  <c r="H125" i="11"/>
  <c r="BN96" i="11"/>
  <c r="H120" i="11"/>
  <c r="BD39" i="11"/>
  <c r="BK129" i="11"/>
  <c r="U95" i="11"/>
  <c r="BI111" i="11"/>
  <c r="W38" i="11"/>
  <c r="Q151" i="11"/>
  <c r="BA82" i="11"/>
  <c r="BA77" i="11"/>
  <c r="AG168" i="11"/>
  <c r="R124" i="11"/>
  <c r="S140" i="11"/>
  <c r="AF111" i="11"/>
  <c r="L151" i="11"/>
  <c r="S105" i="11"/>
  <c r="BA110" i="11"/>
  <c r="S46" i="11"/>
  <c r="BE68" i="11"/>
  <c r="BI49" i="11"/>
  <c r="O64" i="11"/>
  <c r="AR161" i="11"/>
  <c r="AP59" i="11"/>
  <c r="L62" i="11"/>
  <c r="G171" i="11"/>
  <c r="AG121" i="11"/>
  <c r="L33" i="11"/>
  <c r="C80" i="11"/>
  <c r="BG180" i="11"/>
  <c r="BM136" i="11"/>
  <c r="BB179" i="11"/>
  <c r="BL175" i="11"/>
  <c r="C116" i="11"/>
  <c r="BI166" i="11"/>
  <c r="AL38" i="11"/>
  <c r="AT85" i="11"/>
  <c r="AA125" i="11"/>
  <c r="AR85" i="11"/>
  <c r="AP52" i="11"/>
  <c r="BE143" i="11"/>
  <c r="AS126" i="11"/>
  <c r="AW34" i="11"/>
  <c r="BB160" i="11"/>
  <c r="G159" i="11"/>
  <c r="S145" i="11"/>
  <c r="L78" i="11"/>
  <c r="BD45" i="11"/>
  <c r="BK66" i="11"/>
  <c r="H106" i="11"/>
  <c r="U149" i="11"/>
  <c r="AE86" i="11"/>
  <c r="AS81" i="11"/>
  <c r="AU90" i="11"/>
  <c r="BI94" i="11"/>
  <c r="P169" i="11"/>
  <c r="BC163" i="11"/>
  <c r="BF94" i="11"/>
  <c r="V161" i="11"/>
  <c r="AJ104" i="11"/>
  <c r="AK160" i="11"/>
  <c r="S157" i="11"/>
  <c r="AR159" i="11"/>
  <c r="AL28" i="11"/>
  <c r="BE112" i="11"/>
  <c r="J83" i="11"/>
  <c r="Y137" i="11"/>
  <c r="AK112" i="11"/>
  <c r="AK172" i="11"/>
  <c r="BN114" i="11"/>
  <c r="BH144" i="11"/>
  <c r="AY141" i="11"/>
  <c r="AW44" i="11"/>
  <c r="Z124" i="11"/>
  <c r="BD159" i="11"/>
  <c r="AN67" i="11"/>
  <c r="AW98" i="11"/>
  <c r="I108" i="11"/>
  <c r="AG87" i="11"/>
  <c r="S175" i="11"/>
  <c r="BI114" i="11"/>
  <c r="V102" i="11"/>
  <c r="AG99" i="11"/>
  <c r="BK34" i="11"/>
  <c r="AD100" i="11"/>
  <c r="X35" i="11"/>
  <c r="AU174" i="11"/>
  <c r="AY162" i="11"/>
  <c r="BB31" i="11"/>
  <c r="AR72" i="11"/>
  <c r="BC73" i="11"/>
  <c r="BB110" i="11"/>
  <c r="BD153" i="11"/>
  <c r="O149" i="11"/>
  <c r="AN58" i="11"/>
  <c r="BA123" i="11"/>
  <c r="N120" i="11"/>
  <c r="AE157" i="11"/>
  <c r="BM34" i="11"/>
  <c r="W27" i="11"/>
  <c r="BG64" i="11"/>
  <c r="AK107" i="11"/>
  <c r="AK156" i="11"/>
  <c r="AN101" i="11"/>
  <c r="AT95" i="11"/>
  <c r="W36" i="11"/>
  <c r="AF155" i="11"/>
  <c r="BB73" i="11"/>
  <c r="R64" i="11"/>
  <c r="BH107" i="11"/>
  <c r="T151" i="11"/>
  <c r="O43" i="11"/>
  <c r="AY82" i="11"/>
  <c r="C66" i="11"/>
  <c r="BF32" i="11"/>
  <c r="AS102" i="11"/>
  <c r="AI81" i="11"/>
  <c r="K131" i="11"/>
  <c r="U51" i="11"/>
  <c r="Q59" i="11"/>
  <c r="AY91" i="11"/>
  <c r="G43" i="11"/>
  <c r="AU159" i="11"/>
  <c r="BA174" i="11"/>
  <c r="R129" i="11"/>
  <c r="Y115" i="11"/>
  <c r="Q51" i="11"/>
  <c r="N119" i="11"/>
  <c r="AJ60" i="11"/>
  <c r="N170" i="11"/>
  <c r="AP122" i="11"/>
  <c r="AJ177" i="11"/>
  <c r="BH46" i="11"/>
  <c r="BE66" i="11"/>
  <c r="BF36" i="11"/>
  <c r="BB175" i="11"/>
  <c r="X178" i="11"/>
  <c r="AE126" i="11"/>
  <c r="Z48" i="11"/>
  <c r="AQ65" i="11"/>
  <c r="AM162" i="11"/>
  <c r="BM166" i="11"/>
  <c r="AG152" i="11"/>
  <c r="BK91" i="11"/>
  <c r="Z59" i="11"/>
  <c r="BN132" i="11"/>
  <c r="BC149" i="11"/>
  <c r="AV45" i="11"/>
  <c r="U90" i="11"/>
  <c r="Z38" i="11"/>
  <c r="AC124" i="11"/>
  <c r="N88" i="11"/>
  <c r="AL179" i="11"/>
  <c r="AW167" i="11"/>
  <c r="BH45" i="11"/>
  <c r="AK178" i="11"/>
  <c r="J161" i="11"/>
  <c r="BK56" i="11"/>
  <c r="AC137" i="11"/>
  <c r="R173" i="11"/>
  <c r="BK163" i="11"/>
  <c r="AQ152" i="11"/>
  <c r="AN44" i="11"/>
  <c r="AY95" i="11"/>
  <c r="BA31" i="11"/>
  <c r="BM176" i="11"/>
  <c r="AJ36" i="11"/>
  <c r="P173" i="11"/>
  <c r="AV143" i="11"/>
  <c r="AE174" i="11"/>
  <c r="AM178" i="11"/>
  <c r="AW93" i="11"/>
  <c r="AD91" i="11"/>
  <c r="W145" i="11"/>
  <c r="N110" i="11"/>
  <c r="L104" i="11"/>
  <c r="AG171" i="11"/>
  <c r="N97" i="11"/>
  <c r="BJ135" i="11"/>
  <c r="AZ142" i="11"/>
  <c r="L93" i="11"/>
  <c r="BK131" i="11"/>
  <c r="AM57" i="11"/>
  <c r="L154" i="11"/>
  <c r="Q96" i="11"/>
  <c r="Z125" i="11"/>
  <c r="AY90" i="11"/>
  <c r="U52" i="11"/>
  <c r="AU81" i="11"/>
  <c r="Z73" i="11"/>
  <c r="I123" i="11"/>
  <c r="Y158" i="11"/>
  <c r="AB33" i="11"/>
  <c r="C39" i="11"/>
  <c r="AB103" i="11"/>
  <c r="BH153" i="11"/>
  <c r="J85" i="11"/>
  <c r="AR168" i="11"/>
  <c r="BB108" i="11"/>
  <c r="O79" i="11"/>
  <c r="AH165" i="11"/>
  <c r="S72" i="11"/>
  <c r="N36" i="11"/>
  <c r="W149" i="11"/>
  <c r="P167" i="11"/>
  <c r="C51" i="11"/>
  <c r="AC116" i="11"/>
  <c r="S28" i="11"/>
  <c r="AD150" i="11"/>
  <c r="I62" i="11"/>
  <c r="AY113" i="11"/>
  <c r="S109" i="11"/>
  <c r="AG163" i="11"/>
  <c r="X104" i="11"/>
  <c r="BM66" i="11"/>
  <c r="AT133" i="11"/>
  <c r="AX110" i="11"/>
  <c r="BK134" i="11"/>
  <c r="Y106" i="11"/>
  <c r="AZ99" i="11"/>
  <c r="AI121" i="11"/>
  <c r="Y129" i="11"/>
  <c r="Q121" i="11"/>
  <c r="AI28" i="11"/>
  <c r="K144" i="11"/>
  <c r="AA104" i="11"/>
  <c r="AY47" i="11"/>
  <c r="AK76" i="11"/>
  <c r="AO34" i="11"/>
  <c r="AW106" i="11"/>
  <c r="V166" i="11"/>
  <c r="AU113" i="11"/>
  <c r="BG93" i="11"/>
  <c r="I147" i="11"/>
  <c r="N136" i="11"/>
  <c r="AG60" i="11"/>
  <c r="AS88" i="11"/>
  <c r="G67" i="11"/>
  <c r="BH106" i="11"/>
  <c r="BC68" i="11"/>
  <c r="BN49" i="11"/>
  <c r="S173" i="11"/>
  <c r="AR88" i="11"/>
  <c r="AQ43" i="11"/>
  <c r="AK188" i="11"/>
  <c r="AU86" i="11"/>
  <c r="AS66" i="11"/>
  <c r="BC104" i="11"/>
  <c r="BH109" i="11"/>
  <c r="BL57" i="11"/>
  <c r="X47" i="11"/>
  <c r="AG78" i="11"/>
  <c r="C155" i="11"/>
  <c r="BJ100" i="11"/>
  <c r="V158" i="11"/>
  <c r="BE72" i="11"/>
  <c r="M82" i="11"/>
  <c r="AA96" i="11"/>
  <c r="N140" i="11"/>
  <c r="L116" i="11"/>
  <c r="AN61" i="11"/>
  <c r="BG178" i="11"/>
  <c r="C160" i="11"/>
  <c r="AG90" i="11"/>
  <c r="BB186" i="11"/>
  <c r="BM54" i="11"/>
  <c r="AB90" i="11"/>
  <c r="BD94" i="11"/>
  <c r="K134" i="11"/>
  <c r="BE93" i="11"/>
  <c r="P120" i="11"/>
  <c r="AK132" i="11"/>
  <c r="J63" i="11"/>
  <c r="BF30" i="11"/>
  <c r="AG169" i="11"/>
  <c r="C168" i="11"/>
  <c r="N93" i="11"/>
  <c r="AX54" i="11"/>
  <c r="G30" i="11"/>
  <c r="BA27" i="11"/>
  <c r="G82" i="11"/>
  <c r="AP113" i="11"/>
  <c r="V44" i="11"/>
  <c r="S174" i="11"/>
  <c r="AB190" i="11"/>
  <c r="M140" i="11"/>
  <c r="AC55" i="11"/>
  <c r="BE148" i="11"/>
  <c r="Y163" i="11"/>
  <c r="BF177" i="11"/>
  <c r="AZ78" i="11"/>
  <c r="AO103" i="11"/>
  <c r="AZ47" i="11"/>
  <c r="P126" i="11"/>
  <c r="AW175" i="11"/>
  <c r="J114" i="11"/>
  <c r="BC33" i="11"/>
  <c r="C143" i="11"/>
  <c r="C72" i="11"/>
  <c r="BA153" i="11"/>
  <c r="AE92" i="11"/>
  <c r="BH115" i="11"/>
  <c r="AB120" i="11"/>
  <c r="AM132" i="11"/>
  <c r="AP31" i="11"/>
  <c r="Q135" i="11"/>
  <c r="AU143" i="11"/>
  <c r="AE107" i="11"/>
  <c r="BE166" i="11"/>
  <c r="BL28" i="11"/>
  <c r="BK166" i="11"/>
  <c r="Q85" i="11"/>
  <c r="AR49" i="11"/>
  <c r="AD117" i="11"/>
  <c r="BJ136" i="11"/>
  <c r="BH114" i="11"/>
  <c r="AY33" i="11"/>
  <c r="BB74" i="11"/>
  <c r="AA102" i="11"/>
  <c r="BG47" i="11"/>
  <c r="BA169" i="11"/>
  <c r="BG29" i="11"/>
  <c r="BM164" i="11"/>
  <c r="K72" i="11"/>
  <c r="BG74" i="11"/>
  <c r="AB142" i="11"/>
  <c r="Y178" i="11"/>
  <c r="C117" i="11"/>
  <c r="V62" i="11"/>
  <c r="AT31" i="11"/>
  <c r="I55" i="11"/>
  <c r="G35" i="11"/>
  <c r="Q28" i="11"/>
  <c r="BC40" i="11"/>
  <c r="I137" i="11"/>
  <c r="AP32" i="11"/>
  <c r="BD146" i="11"/>
  <c r="AV101" i="11"/>
  <c r="AN158" i="11"/>
  <c r="AW57" i="11"/>
  <c r="AQ90" i="11"/>
  <c r="BJ94" i="11"/>
  <c r="AL158" i="11"/>
  <c r="AL61" i="11"/>
  <c r="U45" i="11"/>
  <c r="G89" i="11"/>
  <c r="AV36" i="11"/>
  <c r="AE26" i="11"/>
  <c r="M127" i="11"/>
  <c r="O27" i="11"/>
  <c r="AD72" i="11"/>
  <c r="H39" i="11"/>
  <c r="AH69" i="11"/>
  <c r="AB139" i="11"/>
  <c r="BJ90" i="11"/>
  <c r="P175" i="11"/>
  <c r="AF69" i="11"/>
  <c r="AA130" i="11"/>
  <c r="BK110" i="11"/>
  <c r="BB72" i="11"/>
  <c r="AV81" i="11"/>
  <c r="K160" i="11"/>
  <c r="AB113" i="11"/>
  <c r="Q49" i="11"/>
  <c r="AD51" i="11"/>
  <c r="BE103" i="11"/>
  <c r="BJ86" i="11"/>
  <c r="AL71" i="11"/>
  <c r="Q81" i="11"/>
  <c r="AN154" i="11"/>
  <c r="H90" i="11"/>
  <c r="Q36" i="11"/>
  <c r="AX91" i="11"/>
  <c r="I120" i="11"/>
  <c r="AY166" i="11"/>
  <c r="AV116" i="11"/>
  <c r="W125" i="11"/>
  <c r="J65" i="11"/>
  <c r="AT141" i="11"/>
  <c r="BF97" i="11"/>
  <c r="AR87" i="11"/>
  <c r="AY137" i="11"/>
  <c r="BG109" i="11"/>
  <c r="AZ125" i="11"/>
  <c r="K137" i="11"/>
  <c r="AQ131" i="11"/>
  <c r="T145" i="11"/>
  <c r="AW40" i="11"/>
  <c r="BF162" i="11"/>
  <c r="U78" i="11"/>
  <c r="AJ127" i="11"/>
  <c r="AX52" i="11"/>
  <c r="AV98" i="11"/>
  <c r="AI120" i="11"/>
  <c r="AW90" i="11"/>
  <c r="AW179" i="11"/>
  <c r="AD27" i="11"/>
  <c r="AY40" i="11"/>
  <c r="AX90" i="11"/>
  <c r="BG177" i="11"/>
  <c r="P180" i="11"/>
  <c r="Q77" i="11"/>
  <c r="BG110" i="11"/>
  <c r="AA173" i="11"/>
  <c r="AF128" i="11"/>
  <c r="AQ156" i="11"/>
  <c r="BC126" i="11"/>
  <c r="Y79" i="11"/>
  <c r="M66" i="11"/>
  <c r="AI154" i="11"/>
  <c r="S88" i="11"/>
  <c r="U127" i="11"/>
  <c r="V82" i="11"/>
  <c r="AL67" i="11"/>
  <c r="AL91" i="11"/>
  <c r="H61" i="11"/>
  <c r="AM107" i="11"/>
  <c r="BL66" i="11"/>
  <c r="V89" i="11"/>
  <c r="AV65" i="11"/>
  <c r="W126" i="11"/>
  <c r="AZ40" i="11"/>
  <c r="BA35" i="11"/>
  <c r="BB37" i="11"/>
  <c r="BM44" i="11"/>
  <c r="J80" i="11"/>
  <c r="AE103" i="11"/>
  <c r="BM135" i="11"/>
  <c r="AH127" i="11"/>
  <c r="BB117" i="11"/>
  <c r="AD123" i="11"/>
  <c r="AF44" i="11"/>
  <c r="O129" i="11"/>
  <c r="AX83" i="11"/>
  <c r="AL27" i="11"/>
  <c r="H143" i="11"/>
  <c r="AR27" i="11"/>
  <c r="R88" i="11"/>
  <c r="AZ77" i="11"/>
  <c r="AF141" i="11"/>
  <c r="M92" i="11"/>
  <c r="AW174" i="11"/>
  <c r="AK145" i="11"/>
  <c r="X108" i="11"/>
  <c r="BB144" i="11"/>
  <c r="AX170" i="11"/>
  <c r="AC169" i="11"/>
  <c r="K189" i="11"/>
  <c r="G109" i="11"/>
  <c r="AX65" i="11"/>
  <c r="AP60" i="11"/>
  <c r="K150" i="11"/>
  <c r="AX107" i="11"/>
  <c r="BE54" i="11"/>
  <c r="AV174" i="11"/>
  <c r="R85" i="11"/>
  <c r="AF172" i="11"/>
  <c r="BK148" i="11"/>
  <c r="AL82" i="11"/>
  <c r="BL144" i="11"/>
  <c r="N99" i="11"/>
  <c r="AJ155" i="11"/>
  <c r="AE48" i="11"/>
  <c r="BE164" i="11"/>
  <c r="N153" i="11"/>
  <c r="W84" i="11"/>
  <c r="AQ79" i="11"/>
  <c r="BD69" i="11"/>
  <c r="BE47" i="11"/>
  <c r="I110" i="11"/>
  <c r="AK26" i="11"/>
  <c r="AE97" i="11"/>
  <c r="Y103" i="11"/>
  <c r="AN162" i="11"/>
  <c r="AA101" i="11"/>
  <c r="AM159" i="11"/>
  <c r="AA172" i="11"/>
  <c r="AM135" i="11"/>
  <c r="AK110" i="11"/>
  <c r="AH30" i="11"/>
  <c r="AP54" i="11"/>
  <c r="R125" i="11"/>
  <c r="M149" i="11"/>
  <c r="AR125" i="11"/>
  <c r="L127" i="11"/>
  <c r="W56" i="11"/>
  <c r="AW107" i="11"/>
  <c r="AU108" i="11"/>
  <c r="AZ175" i="11"/>
  <c r="V64" i="11"/>
  <c r="X177" i="11"/>
  <c r="U177" i="11"/>
  <c r="M44" i="11"/>
  <c r="AB135" i="11"/>
  <c r="AY57" i="11"/>
  <c r="BG99" i="11"/>
  <c r="N162" i="11"/>
  <c r="AZ32" i="11"/>
  <c r="AY133" i="11"/>
  <c r="BH83" i="11"/>
  <c r="U137" i="11"/>
  <c r="AW35" i="11"/>
  <c r="AK79" i="11"/>
  <c r="BJ106" i="11"/>
  <c r="AF78" i="11"/>
  <c r="BC171" i="11"/>
  <c r="O135" i="11"/>
  <c r="X30" i="11"/>
  <c r="AF134" i="11"/>
  <c r="BJ37" i="11"/>
  <c r="BJ146" i="11"/>
  <c r="AG97" i="11"/>
  <c r="AK36" i="11"/>
  <c r="AF119" i="11"/>
  <c r="AO67" i="11"/>
  <c r="AW140" i="11"/>
  <c r="BL78" i="11"/>
  <c r="AV105" i="11"/>
  <c r="AR54" i="11"/>
  <c r="J156" i="11"/>
  <c r="AW108" i="11"/>
  <c r="BD42" i="11"/>
  <c r="U76" i="11"/>
  <c r="AQ45" i="11"/>
  <c r="P110" i="11"/>
  <c r="BL35" i="11"/>
  <c r="BE32" i="11"/>
  <c r="AS110" i="11"/>
  <c r="BB155" i="11"/>
  <c r="AK31" i="11"/>
  <c r="AD41" i="11"/>
  <c r="BB135" i="11"/>
  <c r="BB197" i="11"/>
  <c r="AC164" i="11"/>
  <c r="AB106" i="11"/>
  <c r="I141" i="11"/>
  <c r="AT158" i="11"/>
  <c r="AQ137" i="11"/>
  <c r="W75" i="11"/>
  <c r="BN38" i="11"/>
  <c r="AM139" i="11"/>
  <c r="AO75" i="11"/>
  <c r="AV85" i="11"/>
  <c r="AF102" i="11"/>
  <c r="V101" i="11"/>
  <c r="BE39" i="11"/>
  <c r="W79" i="11"/>
  <c r="X145" i="11"/>
  <c r="AZ94" i="11"/>
  <c r="BF153" i="11"/>
  <c r="R107" i="11"/>
  <c r="AV58" i="11"/>
  <c r="S78" i="11"/>
  <c r="BA165" i="11"/>
  <c r="N108" i="11"/>
  <c r="BC44" i="11"/>
  <c r="BD79" i="11"/>
  <c r="AK89" i="11"/>
  <c r="BD178" i="11"/>
  <c r="AR55" i="11"/>
  <c r="AB136" i="11"/>
  <c r="BI153" i="11"/>
  <c r="S150" i="11"/>
  <c r="AN140" i="11"/>
  <c r="P152" i="11"/>
  <c r="Z46" i="11"/>
  <c r="AY118" i="11"/>
  <c r="Q162" i="11"/>
  <c r="AM31" i="11"/>
  <c r="AO48" i="11"/>
  <c r="AE156" i="11"/>
  <c r="G88" i="11"/>
  <c r="BH61" i="11"/>
  <c r="AJ106" i="11"/>
  <c r="O112" i="11"/>
  <c r="C145" i="11"/>
  <c r="O47" i="11"/>
  <c r="AB67" i="11"/>
  <c r="Z150" i="11"/>
  <c r="BC78" i="11"/>
  <c r="BG102" i="11"/>
  <c r="X98" i="11"/>
  <c r="C38" i="11"/>
  <c r="BA127" i="11"/>
  <c r="BL53" i="11"/>
  <c r="R104" i="11"/>
  <c r="BK153" i="11"/>
  <c r="BI134" i="11"/>
  <c r="I92" i="11"/>
  <c r="AA155" i="11"/>
  <c r="T102" i="11"/>
  <c r="X31" i="11"/>
  <c r="L40" i="11"/>
  <c r="BB177" i="11"/>
  <c r="Y32" i="11"/>
  <c r="BB42" i="11"/>
  <c r="Q158" i="11"/>
  <c r="Y154" i="11"/>
  <c r="BE78" i="11"/>
  <c r="AY72" i="11"/>
  <c r="Z94" i="11"/>
  <c r="AK85" i="11"/>
  <c r="Y84" i="11"/>
  <c r="BJ107" i="11"/>
  <c r="G71" i="11"/>
  <c r="AB58" i="11"/>
  <c r="J104" i="11"/>
  <c r="AL30" i="11"/>
  <c r="BN80" i="11"/>
  <c r="O68" i="11"/>
  <c r="AN68" i="11"/>
  <c r="AS72" i="11"/>
  <c r="AB80" i="11"/>
  <c r="K49" i="11"/>
  <c r="AD175" i="11"/>
  <c r="BN164" i="11"/>
  <c r="BI171" i="11"/>
  <c r="AJ96" i="11"/>
  <c r="AS138" i="11"/>
  <c r="W53" i="11"/>
  <c r="J170" i="11"/>
  <c r="G126" i="11"/>
  <c r="BJ43" i="11"/>
  <c r="O65" i="11"/>
  <c r="AM166" i="11"/>
  <c r="BA134" i="11"/>
  <c r="W165" i="11"/>
  <c r="BC84" i="11"/>
  <c r="T55" i="11"/>
  <c r="AN93" i="11"/>
  <c r="BB163" i="11"/>
  <c r="AY105" i="11"/>
  <c r="AO170" i="11"/>
  <c r="C47" i="11"/>
  <c r="G27" i="11"/>
  <c r="BH167" i="11"/>
  <c r="BL112" i="11"/>
  <c r="AV32" i="11"/>
  <c r="AX60" i="11"/>
  <c r="I107" i="11"/>
  <c r="Z89" i="11"/>
  <c r="AC53" i="11"/>
  <c r="AU119" i="11"/>
  <c r="AB179" i="11"/>
  <c r="AA37" i="11"/>
  <c r="T49" i="11"/>
  <c r="N32" i="11"/>
  <c r="AA175" i="11"/>
  <c r="X49" i="11"/>
  <c r="BB178" i="11"/>
  <c r="AO140" i="11"/>
  <c r="M97" i="11"/>
  <c r="BM141" i="11"/>
  <c r="H167" i="11"/>
  <c r="W97" i="11"/>
  <c r="AA46" i="11"/>
  <c r="AD69" i="11"/>
  <c r="BJ162" i="11"/>
  <c r="Z71" i="11"/>
  <c r="BF131" i="11"/>
  <c r="AM43" i="11"/>
  <c r="AW76" i="11"/>
  <c r="AI117" i="11"/>
  <c r="AW150" i="11"/>
  <c r="BJ55" i="11"/>
  <c r="BL80" i="11"/>
  <c r="AX58" i="11"/>
  <c r="AH38" i="11"/>
  <c r="BM103" i="11"/>
  <c r="AR150" i="11"/>
  <c r="X121" i="11"/>
  <c r="AC99" i="11"/>
  <c r="BD114" i="11"/>
  <c r="BJ103" i="11"/>
  <c r="AO53" i="11"/>
  <c r="AQ164" i="11"/>
  <c r="AS142" i="11"/>
  <c r="AM152" i="11"/>
  <c r="BI34" i="11"/>
  <c r="BK143" i="11"/>
  <c r="Y81" i="11"/>
  <c r="AI48" i="11"/>
  <c r="AU60" i="11"/>
  <c r="T43" i="11"/>
  <c r="BC167" i="11"/>
  <c r="BH166" i="11"/>
  <c r="U40" i="11"/>
  <c r="BL165" i="11"/>
  <c r="G147" i="11"/>
  <c r="AK134" i="11"/>
  <c r="AX127" i="11"/>
  <c r="AJ39" i="11"/>
  <c r="AP43" i="11"/>
  <c r="AV170" i="11"/>
  <c r="BH113" i="11"/>
  <c r="BI72" i="11"/>
  <c r="AS111" i="11"/>
  <c r="AY151" i="11"/>
  <c r="AN160" i="11"/>
  <c r="BK84" i="11"/>
  <c r="BL77" i="11"/>
  <c r="M42" i="11"/>
  <c r="X70" i="11"/>
  <c r="BE85" i="11"/>
  <c r="W127" i="11"/>
  <c r="AC134" i="11"/>
  <c r="BF76" i="11"/>
  <c r="G86" i="11"/>
  <c r="AQ158" i="11"/>
  <c r="AJ62" i="11"/>
  <c r="BD104" i="11"/>
  <c r="AT137" i="11"/>
  <c r="N147" i="11"/>
  <c r="AR151" i="11"/>
  <c r="BJ73" i="11"/>
  <c r="U107" i="11"/>
  <c r="AO96" i="11"/>
  <c r="AZ177" i="11"/>
  <c r="AM38" i="11"/>
  <c r="AB102" i="11"/>
  <c r="AB107" i="11"/>
  <c r="BM63" i="11"/>
  <c r="J108" i="11"/>
  <c r="BG141" i="11"/>
  <c r="AN146" i="11"/>
  <c r="H63" i="11"/>
  <c r="AF193" i="11"/>
  <c r="AT38" i="11"/>
  <c r="R163" i="11"/>
  <c r="AX28" i="11"/>
  <c r="BM100" i="11"/>
  <c r="T109" i="11"/>
  <c r="Y34" i="11"/>
  <c r="AI163" i="11"/>
  <c r="AH164" i="11"/>
  <c r="AB124" i="11"/>
  <c r="AY49" i="11"/>
  <c r="BF158" i="11"/>
  <c r="AO44" i="11"/>
  <c r="BD165" i="11"/>
  <c r="P30" i="11"/>
  <c r="P98" i="11"/>
  <c r="AF171" i="11"/>
  <c r="BF40" i="11"/>
  <c r="AR96" i="11"/>
  <c r="AO117" i="11"/>
  <c r="AT76" i="11"/>
  <c r="AC106" i="11"/>
  <c r="AJ169" i="11"/>
  <c r="AF88" i="11"/>
  <c r="BN179" i="11"/>
  <c r="AV142" i="11"/>
  <c r="AB48" i="11"/>
  <c r="AQ172" i="11"/>
  <c r="AQ173" i="11"/>
  <c r="AI173" i="11"/>
  <c r="K116" i="11"/>
  <c r="BC83" i="11"/>
  <c r="BC36" i="11"/>
  <c r="AN91" i="11"/>
  <c r="BH138" i="11"/>
  <c r="V97" i="11"/>
  <c r="AJ109" i="11"/>
  <c r="K46" i="11"/>
  <c r="K136" i="11"/>
  <c r="AY109" i="11"/>
  <c r="BA88" i="11"/>
  <c r="AZ35" i="11"/>
  <c r="AS28" i="11"/>
  <c r="N77" i="11"/>
  <c r="AH94" i="11"/>
  <c r="AG34" i="11"/>
  <c r="N117" i="11"/>
  <c r="BG51" i="11"/>
  <c r="V38" i="11"/>
  <c r="BJ79" i="11"/>
  <c r="BC154" i="11"/>
  <c r="P96" i="11"/>
  <c r="AP34" i="11"/>
  <c r="AY34" i="11"/>
  <c r="AD145" i="11"/>
  <c r="BA67" i="11"/>
  <c r="AJ99" i="11"/>
  <c r="AP145" i="11"/>
  <c r="AK104" i="11"/>
  <c r="BK158" i="11"/>
  <c r="H151" i="11"/>
  <c r="AN83" i="11"/>
  <c r="AZ68" i="11"/>
  <c r="BG104" i="11"/>
  <c r="AM174" i="11"/>
  <c r="T126" i="11"/>
  <c r="BD35" i="11"/>
  <c r="W128" i="11"/>
  <c r="C124" i="11"/>
  <c r="AK150" i="11"/>
  <c r="U69" i="11"/>
  <c r="BG116" i="11"/>
  <c r="AI169" i="11"/>
  <c r="BF51" i="11"/>
  <c r="AI56" i="11"/>
  <c r="AQ117" i="11"/>
  <c r="I67" i="11"/>
  <c r="Y174" i="11"/>
  <c r="AS122" i="11"/>
  <c r="AD179" i="11"/>
  <c r="BK40" i="11"/>
  <c r="BG32" i="11"/>
  <c r="BF89" i="11"/>
  <c r="AR148" i="11"/>
  <c r="J36" i="11"/>
  <c r="BM86" i="11"/>
  <c r="BM67" i="11"/>
  <c r="AA129" i="11"/>
  <c r="AB132" i="11"/>
  <c r="AZ126" i="11"/>
  <c r="AZ131" i="11"/>
  <c r="N111" i="11"/>
  <c r="AB112" i="11"/>
  <c r="T147" i="11"/>
  <c r="AU109" i="11"/>
  <c r="AX157" i="11"/>
  <c r="AB166" i="11"/>
  <c r="AZ54" i="11"/>
  <c r="V133" i="11"/>
  <c r="BL40" i="11"/>
  <c r="AG69" i="11"/>
  <c r="AW102" i="11"/>
  <c r="AE172" i="11"/>
  <c r="M84" i="11"/>
  <c r="BD95" i="11"/>
  <c r="BC144" i="11"/>
  <c r="BK78" i="11"/>
  <c r="M129" i="11"/>
  <c r="AG126" i="11"/>
  <c r="K39" i="11"/>
  <c r="M165" i="11"/>
  <c r="AQ31" i="11"/>
  <c r="AV92" i="11"/>
  <c r="AG143" i="11"/>
  <c r="BE180" i="11"/>
  <c r="J118" i="11"/>
  <c r="S159" i="11"/>
  <c r="L155" i="11"/>
  <c r="Y108" i="11"/>
  <c r="O80" i="11"/>
  <c r="BL65" i="11"/>
  <c r="AV96" i="11"/>
  <c r="AL98" i="11"/>
  <c r="AC170" i="11"/>
  <c r="BJ171" i="11"/>
  <c r="U132" i="11"/>
  <c r="BC93" i="11"/>
  <c r="I97" i="11"/>
  <c r="BJ131" i="11"/>
  <c r="R164" i="11"/>
  <c r="AM50" i="11"/>
  <c r="BA175" i="11"/>
  <c r="AS58" i="11"/>
  <c r="AJ83" i="11"/>
  <c r="AX46" i="11"/>
  <c r="R102" i="11"/>
  <c r="AV44" i="11"/>
  <c r="AP149" i="11"/>
  <c r="AG172" i="11"/>
  <c r="BH160" i="11"/>
  <c r="AR128" i="11"/>
  <c r="T105" i="11"/>
  <c r="O107" i="11"/>
  <c r="AG133" i="11"/>
  <c r="AV158" i="11"/>
  <c r="AC144" i="11"/>
  <c r="AC113" i="11"/>
  <c r="AZ139" i="11"/>
  <c r="AC119" i="11"/>
  <c r="G119" i="11"/>
  <c r="R178" i="11"/>
  <c r="BL59" i="11"/>
  <c r="AK138" i="11"/>
  <c r="AB47" i="11"/>
  <c r="P29" i="11"/>
  <c r="W99" i="11"/>
  <c r="Y70" i="11"/>
  <c r="BA87" i="11"/>
  <c r="AW47" i="11"/>
  <c r="AK128" i="11"/>
  <c r="V61" i="11"/>
  <c r="AO164" i="11"/>
  <c r="BD166" i="11"/>
  <c r="AJ59" i="11"/>
  <c r="BC34" i="11"/>
  <c r="AT131" i="11"/>
  <c r="AQ124" i="11"/>
  <c r="V46" i="11"/>
  <c r="AF54" i="11"/>
  <c r="AW63" i="11"/>
  <c r="BA89" i="11"/>
  <c r="K86" i="11"/>
  <c r="AT50" i="11"/>
  <c r="BJ46" i="11"/>
  <c r="N82" i="11"/>
  <c r="AF100" i="11"/>
  <c r="AV63" i="11"/>
  <c r="P52" i="11"/>
  <c r="AU103" i="11"/>
  <c r="S96" i="11"/>
  <c r="BN138" i="11"/>
  <c r="AV100" i="11"/>
  <c r="AC58" i="11"/>
  <c r="BN65" i="11"/>
  <c r="BI47" i="11"/>
  <c r="AL127" i="11"/>
  <c r="AL103" i="11"/>
  <c r="AD78" i="11"/>
  <c r="AW158" i="11"/>
  <c r="J47" i="11"/>
  <c r="O82" i="11"/>
  <c r="AO74" i="11"/>
  <c r="AY125" i="11"/>
  <c r="AZ138" i="11"/>
  <c r="AQ149" i="11"/>
  <c r="N131" i="11"/>
  <c r="AU98" i="11"/>
  <c r="V153" i="11"/>
  <c r="AE147" i="11"/>
  <c r="AI101" i="11"/>
  <c r="AB56" i="11"/>
  <c r="BF41" i="11"/>
  <c r="AS46" i="11"/>
  <c r="BK108" i="11"/>
  <c r="BJ152" i="11"/>
  <c r="AQ112" i="11"/>
  <c r="X106" i="11"/>
  <c r="M102" i="11"/>
  <c r="AI171" i="11"/>
  <c r="O88" i="11"/>
  <c r="AL60" i="11"/>
  <c r="O113" i="11"/>
  <c r="J140" i="11"/>
  <c r="X136" i="11"/>
  <c r="U70" i="11"/>
  <c r="BH78" i="11"/>
  <c r="AX166" i="11"/>
  <c r="P50" i="11"/>
  <c r="S101" i="11"/>
  <c r="AQ111" i="11"/>
  <c r="I76" i="11"/>
  <c r="AR174" i="11"/>
  <c r="AY100" i="11"/>
  <c r="AR102" i="11"/>
  <c r="J40" i="11"/>
  <c r="G100" i="11"/>
  <c r="AO51" i="11"/>
  <c r="BK125" i="11"/>
  <c r="Z164" i="11"/>
  <c r="BE152" i="11"/>
  <c r="AL119" i="11"/>
  <c r="R68" i="11"/>
  <c r="X57" i="11"/>
  <c r="I53" i="11"/>
  <c r="Y117" i="11"/>
  <c r="BK154" i="11"/>
  <c r="AS108" i="11"/>
  <c r="BI124" i="11"/>
  <c r="Z175" i="11"/>
  <c r="Q52" i="11"/>
  <c r="O115" i="11"/>
  <c r="Q83" i="11"/>
  <c r="W71" i="11"/>
  <c r="BM45" i="11"/>
  <c r="I106" i="11"/>
  <c r="BI121" i="11"/>
  <c r="AL139" i="11"/>
  <c r="AB37" i="11"/>
  <c r="AX63" i="11"/>
  <c r="BM88" i="11"/>
  <c r="X102" i="11"/>
  <c r="U37" i="11"/>
  <c r="BD170" i="11"/>
  <c r="BE172" i="11"/>
  <c r="BE141" i="11"/>
  <c r="BD49" i="11"/>
  <c r="H148" i="11"/>
  <c r="G107" i="11"/>
  <c r="AH119" i="11"/>
  <c r="Q124" i="11"/>
  <c r="AU29" i="11"/>
  <c r="I31" i="11"/>
  <c r="M141" i="11"/>
  <c r="AD146" i="11"/>
  <c r="AJ61" i="11"/>
  <c r="AK143" i="11"/>
  <c r="BC101" i="11"/>
  <c r="AH31" i="11"/>
  <c r="BN73" i="11"/>
  <c r="T42" i="11"/>
  <c r="AS68" i="11"/>
  <c r="BC168" i="11"/>
  <c r="AW132" i="11"/>
  <c r="AW41" i="11"/>
  <c r="AG177" i="11"/>
  <c r="AI100" i="11"/>
  <c r="AX67" i="11"/>
  <c r="N27" i="11"/>
  <c r="AQ99" i="11"/>
  <c r="Y30" i="11"/>
  <c r="AG162" i="11"/>
  <c r="V136" i="11"/>
  <c r="AR123" i="11"/>
  <c r="Y91" i="11"/>
  <c r="AT51" i="11"/>
  <c r="BM104" i="11"/>
  <c r="AL152" i="11"/>
  <c r="AF89" i="11"/>
  <c r="AL164" i="11"/>
  <c r="AS87" i="11"/>
  <c r="M63" i="11"/>
  <c r="BM168" i="11"/>
  <c r="AM73" i="11"/>
  <c r="AU84" i="11"/>
  <c r="AM148" i="11"/>
  <c r="N141" i="11"/>
  <c r="AO126" i="11"/>
  <c r="AH170" i="11"/>
  <c r="N43" i="11"/>
  <c r="T74" i="11"/>
  <c r="AE52" i="11"/>
  <c r="BB159" i="11"/>
  <c r="U59" i="11"/>
  <c r="BB39" i="11"/>
  <c r="BG114" i="11"/>
  <c r="Q167" i="11"/>
  <c r="G60" i="11"/>
  <c r="S93" i="11"/>
  <c r="R134" i="11"/>
  <c r="AE45" i="11"/>
  <c r="L87" i="11"/>
  <c r="AK173" i="11"/>
  <c r="BJ65" i="11"/>
  <c r="G170" i="11"/>
  <c r="AQ77" i="11"/>
  <c r="AR98" i="11"/>
  <c r="AN54" i="11"/>
  <c r="BH79" i="11"/>
  <c r="BB107" i="11"/>
  <c r="H154" i="11"/>
  <c r="BN122" i="11"/>
  <c r="W35" i="11"/>
  <c r="BF92" i="11"/>
  <c r="BN154" i="11"/>
  <c r="AW135" i="11"/>
  <c r="BH140" i="11"/>
  <c r="BI180" i="11"/>
  <c r="J72" i="11"/>
  <c r="M111" i="11"/>
  <c r="V140" i="11"/>
  <c r="AI77" i="11"/>
  <c r="W33" i="11"/>
  <c r="AR89" i="11"/>
  <c r="AM77" i="11"/>
  <c r="V152" i="11"/>
  <c r="AI67" i="11"/>
  <c r="AP119" i="11"/>
  <c r="N106" i="11"/>
  <c r="S66" i="11"/>
  <c r="AO55" i="11"/>
  <c r="N61" i="11"/>
  <c r="BJ69" i="11"/>
  <c r="K166" i="11"/>
  <c r="V78" i="11"/>
  <c r="AE35" i="11"/>
  <c r="AO64" i="11"/>
  <c r="BB90" i="11"/>
  <c r="G57" i="11"/>
  <c r="BN43" i="11"/>
  <c r="BH92" i="11"/>
  <c r="Y27" i="11"/>
  <c r="AY134" i="11"/>
  <c r="L99" i="11"/>
  <c r="BN72" i="11"/>
  <c r="BF105" i="11"/>
  <c r="AX119" i="11"/>
  <c r="AX103" i="11"/>
  <c r="BH129" i="11"/>
  <c r="AB108" i="11"/>
  <c r="BM170" i="11"/>
  <c r="BB47" i="11"/>
  <c r="BI30" i="11"/>
  <c r="AQ75" i="11"/>
  <c r="AA85" i="11"/>
  <c r="BE79" i="11"/>
  <c r="T73" i="11"/>
  <c r="AV90" i="11"/>
  <c r="K124" i="11"/>
  <c r="AJ146" i="11"/>
  <c r="BI67" i="11"/>
  <c r="BK28" i="11"/>
  <c r="BM30" i="11"/>
  <c r="BI46" i="11"/>
  <c r="L70" i="11"/>
  <c r="U153" i="11"/>
  <c r="Y167" i="11"/>
  <c r="AS105" i="11"/>
  <c r="BG146" i="11"/>
  <c r="BA155" i="11"/>
  <c r="AK74" i="11"/>
  <c r="N53" i="11"/>
  <c r="V104" i="11"/>
  <c r="Y44" i="11"/>
  <c r="BN67" i="11"/>
  <c r="G80" i="11"/>
  <c r="BC37" i="11"/>
  <c r="AM68" i="11"/>
  <c r="AK83" i="11"/>
  <c r="AO120" i="11"/>
  <c r="V111" i="11"/>
  <c r="BN55" i="11"/>
  <c r="R139" i="11"/>
  <c r="BL30" i="11"/>
  <c r="AQ125" i="11"/>
  <c r="AC115" i="11"/>
  <c r="AP101" i="11"/>
  <c r="BJ89" i="11"/>
  <c r="AY150" i="11"/>
  <c r="AM160" i="11"/>
  <c r="I136" i="11"/>
  <c r="P51" i="11"/>
  <c r="AN52" i="11"/>
  <c r="AA121" i="11"/>
  <c r="C173" i="11"/>
  <c r="BM27" i="11"/>
  <c r="M160" i="11"/>
  <c r="BI160" i="11"/>
  <c r="AJ123" i="11"/>
  <c r="AN133" i="11"/>
  <c r="S48" i="11"/>
  <c r="V87" i="11"/>
  <c r="AU135" i="11"/>
  <c r="R150" i="11"/>
  <c r="BA81" i="11"/>
  <c r="AN94" i="11"/>
  <c r="BA48" i="11"/>
  <c r="AU35" i="11"/>
  <c r="R86" i="11"/>
  <c r="BG30" i="11"/>
  <c r="AK30" i="11"/>
  <c r="S112" i="11"/>
  <c r="AF31" i="11"/>
  <c r="V135" i="11"/>
  <c r="BG38" i="11"/>
  <c r="U28" i="11"/>
  <c r="BL44" i="11"/>
  <c r="AS124" i="11"/>
  <c r="BJ95" i="11"/>
  <c r="M132" i="11"/>
  <c r="I36" i="11"/>
  <c r="AS29" i="11"/>
  <c r="M80" i="11"/>
  <c r="BE44" i="11"/>
  <c r="C43" i="11"/>
  <c r="BL83" i="11"/>
  <c r="O179" i="11"/>
  <c r="BM43" i="11"/>
  <c r="AU177" i="11"/>
  <c r="AC175" i="11"/>
  <c r="M156" i="11"/>
  <c r="AA64" i="11"/>
  <c r="AO42" i="11"/>
  <c r="U33" i="11"/>
  <c r="BN58" i="11"/>
  <c r="AN116" i="11"/>
  <c r="BJ50" i="11"/>
  <c r="AJ33" i="11"/>
  <c r="BC66" i="11"/>
  <c r="O147" i="11"/>
  <c r="Q134" i="11"/>
  <c r="BC89" i="11"/>
  <c r="AO175" i="11"/>
  <c r="R172" i="11"/>
  <c r="W39" i="11"/>
  <c r="BM32" i="11"/>
  <c r="O127" i="11"/>
  <c r="AF81" i="11"/>
  <c r="AO174" i="11"/>
  <c r="AD81" i="11"/>
  <c r="BK119" i="11"/>
  <c r="P155" i="11"/>
  <c r="AZ101" i="11"/>
  <c r="AZ165" i="11"/>
  <c r="AO115" i="11"/>
  <c r="L108" i="11"/>
  <c r="AX115" i="11"/>
  <c r="Q150" i="11"/>
  <c r="V174" i="11"/>
  <c r="AS40" i="11"/>
  <c r="BJ149" i="11"/>
  <c r="AP73" i="11"/>
  <c r="BN119" i="11"/>
  <c r="AW67" i="11"/>
  <c r="I158" i="11"/>
  <c r="S135" i="11"/>
  <c r="X71" i="11"/>
  <c r="I33" i="11"/>
  <c r="AX169" i="11"/>
  <c r="H164" i="11"/>
  <c r="BE35" i="11"/>
  <c r="AD60" i="11"/>
  <c r="AJ138" i="11"/>
  <c r="P97" i="11"/>
  <c r="O126" i="11"/>
  <c r="AO139" i="11"/>
  <c r="L175" i="11"/>
  <c r="AP168" i="11"/>
  <c r="X173" i="11"/>
  <c r="BI133" i="11"/>
  <c r="BN89" i="11"/>
  <c r="P102" i="11"/>
  <c r="S69" i="11"/>
  <c r="BC143" i="11"/>
  <c r="K122" i="11"/>
  <c r="AV73" i="11"/>
  <c r="AZ151" i="11"/>
  <c r="AT145" i="11"/>
  <c r="N47" i="11"/>
  <c r="P27" i="11"/>
  <c r="AZ144" i="11"/>
  <c r="BD122" i="11"/>
  <c r="I150" i="11"/>
  <c r="AQ122" i="11"/>
  <c r="AJ107" i="11"/>
  <c r="T44" i="11"/>
  <c r="AG127" i="11"/>
  <c r="AV53" i="11"/>
  <c r="AP110" i="11"/>
  <c r="N151" i="11"/>
  <c r="AH156" i="11"/>
  <c r="BH42" i="11"/>
  <c r="BA116" i="11"/>
  <c r="AJ37" i="11"/>
  <c r="AX26" i="11"/>
  <c r="U139" i="11"/>
  <c r="C69" i="11"/>
  <c r="BM97" i="11"/>
  <c r="AD82" i="11"/>
  <c r="AO97" i="11"/>
  <c r="BE101" i="11"/>
  <c r="BG169" i="11"/>
  <c r="X142" i="11"/>
  <c r="Z114" i="11"/>
  <c r="AL34" i="11"/>
  <c r="BN99" i="11"/>
  <c r="AH169" i="11"/>
  <c r="S30" i="11"/>
  <c r="AH43" i="11"/>
  <c r="BL109" i="11"/>
  <c r="AS32" i="11"/>
  <c r="L150" i="11"/>
  <c r="R73" i="11"/>
  <c r="AD104" i="11"/>
  <c r="AD116" i="11"/>
  <c r="G124" i="11"/>
  <c r="AW69" i="11"/>
  <c r="BF113" i="11"/>
  <c r="U178" i="11"/>
  <c r="I86" i="11"/>
  <c r="BN86" i="11"/>
  <c r="BN123" i="11"/>
  <c r="BK118" i="11"/>
  <c r="AC177" i="11"/>
  <c r="BC115" i="11"/>
  <c r="AN144" i="11"/>
  <c r="L56" i="11"/>
  <c r="AI98" i="11"/>
  <c r="AB66" i="11"/>
  <c r="AE138" i="11"/>
  <c r="AT68" i="11"/>
  <c r="Y125" i="11"/>
  <c r="O40" i="11"/>
  <c r="L91" i="11"/>
  <c r="L52" i="11"/>
  <c r="AJ112" i="11"/>
  <c r="AR97" i="11"/>
  <c r="AR172" i="11"/>
  <c r="H62" i="11"/>
  <c r="AQ181" i="11"/>
  <c r="BH111" i="11"/>
  <c r="AT126" i="11"/>
  <c r="AJ178" i="11"/>
  <c r="AJ114" i="11"/>
  <c r="AG156" i="11"/>
  <c r="AZ160" i="11"/>
  <c r="P108" i="11"/>
  <c r="T155" i="11"/>
  <c r="AY94" i="11"/>
  <c r="BL110" i="11"/>
  <c r="AB109" i="11"/>
  <c r="AX92" i="11"/>
  <c r="BH176" i="11"/>
  <c r="BI98" i="11"/>
  <c r="BF58" i="11"/>
  <c r="AC75" i="11"/>
  <c r="AP150" i="11"/>
  <c r="AP178" i="11"/>
  <c r="T116" i="11"/>
  <c r="AC108" i="11"/>
  <c r="BF77" i="11"/>
  <c r="Y97" i="11"/>
  <c r="BH139" i="11"/>
  <c r="AV138" i="11"/>
  <c r="K38" i="11"/>
  <c r="AN102" i="11"/>
  <c r="M130" i="11"/>
  <c r="I152" i="11"/>
  <c r="AU148" i="11"/>
  <c r="AI42" i="11"/>
  <c r="AD64" i="11"/>
  <c r="BL98" i="11"/>
  <c r="AG71" i="11"/>
  <c r="Z134" i="11"/>
  <c r="N127" i="11"/>
  <c r="Z145" i="11"/>
  <c r="BB71" i="11"/>
  <c r="BC116" i="11"/>
  <c r="R99" i="11"/>
  <c r="AI111" i="11"/>
  <c r="AB118" i="11"/>
  <c r="G97" i="11"/>
  <c r="AK95" i="11"/>
  <c r="BK171" i="11"/>
  <c r="H29" i="11"/>
  <c r="AX159" i="11"/>
  <c r="T30" i="11"/>
  <c r="BJ167" i="11"/>
  <c r="AP152" i="11"/>
  <c r="AU161" i="11"/>
  <c r="BE106" i="11"/>
  <c r="T173" i="11"/>
  <c r="AY152" i="11"/>
  <c r="AS139" i="11"/>
  <c r="W105" i="11"/>
  <c r="U169" i="11"/>
  <c r="AT89" i="11"/>
  <c r="J58" i="11"/>
  <c r="AC159" i="11"/>
  <c r="AI94" i="11"/>
  <c r="AK105" i="11"/>
  <c r="N70" i="11"/>
  <c r="AN95" i="11"/>
  <c r="J38" i="11"/>
  <c r="BN171" i="11"/>
  <c r="AK32" i="11"/>
  <c r="O174" i="11"/>
  <c r="AS35" i="11"/>
  <c r="L121" i="11"/>
  <c r="BG54" i="11"/>
  <c r="AX131" i="11"/>
  <c r="V85" i="11"/>
  <c r="Q82" i="11"/>
  <c r="BN163" i="11"/>
  <c r="AN104" i="11"/>
  <c r="BE173" i="11"/>
  <c r="AR163" i="11"/>
  <c r="BI39" i="11"/>
  <c r="BI164" i="11"/>
  <c r="W156" i="11"/>
  <c r="AM158" i="11"/>
  <c r="AS107" i="11"/>
  <c r="T84" i="11"/>
  <c r="BK128" i="11"/>
  <c r="U32" i="11"/>
  <c r="AV145" i="11"/>
  <c r="BI169" i="11"/>
  <c r="AY160" i="11"/>
  <c r="BJ161" i="11"/>
  <c r="AH71" i="11"/>
  <c r="R30" i="11"/>
  <c r="W93" i="11"/>
  <c r="AG141" i="11"/>
  <c r="BL138" i="11"/>
  <c r="S131" i="11"/>
  <c r="S166" i="11"/>
  <c r="AV55" i="11"/>
  <c r="AC70" i="11"/>
  <c r="Q168" i="11"/>
  <c r="AE59" i="11"/>
  <c r="AZ124" i="11"/>
  <c r="BK97" i="11"/>
  <c r="BK62" i="11"/>
  <c r="BC59" i="11"/>
  <c r="BL54" i="11"/>
  <c r="BJ48" i="11"/>
  <c r="P83" i="11"/>
  <c r="AU179" i="11"/>
  <c r="AL178" i="11"/>
  <c r="O35" i="11"/>
  <c r="M137" i="11"/>
  <c r="AQ132" i="11"/>
  <c r="AF150" i="11"/>
  <c r="W139" i="11"/>
  <c r="BB106" i="11"/>
  <c r="AL90" i="11"/>
  <c r="BB95" i="11"/>
  <c r="BI66" i="11"/>
  <c r="BA84" i="11"/>
  <c r="O51" i="11"/>
  <c r="AH58" i="11"/>
  <c r="S103" i="11"/>
  <c r="AN169" i="11"/>
  <c r="BI71" i="11"/>
  <c r="Y145" i="11"/>
  <c r="L128" i="11"/>
  <c r="BA68" i="11"/>
  <c r="AB158" i="11"/>
  <c r="AG29" i="11"/>
  <c r="BC159" i="11"/>
  <c r="BK55" i="11"/>
  <c r="P125" i="11"/>
  <c r="AM41" i="11"/>
  <c r="C163" i="11"/>
  <c r="AX152" i="11"/>
  <c r="J89" i="11"/>
  <c r="AE176" i="11"/>
  <c r="AJ54" i="11"/>
  <c r="BD107" i="11"/>
  <c r="P45" i="11"/>
  <c r="AY173" i="11"/>
  <c r="AH176" i="11"/>
  <c r="AE152" i="11"/>
  <c r="S27" i="11"/>
  <c r="U148" i="11"/>
  <c r="AA99" i="11"/>
  <c r="Z130" i="11"/>
  <c r="BD160" i="11"/>
  <c r="V98" i="11"/>
  <c r="BM40" i="11"/>
  <c r="BH93" i="11"/>
  <c r="AV132" i="11"/>
  <c r="BN95" i="11"/>
  <c r="Z156" i="11"/>
  <c r="AT54" i="11"/>
  <c r="J120" i="11"/>
  <c r="Z165" i="11"/>
  <c r="AO31" i="11"/>
  <c r="T75" i="11"/>
  <c r="Y62" i="11"/>
  <c r="AH91" i="11"/>
  <c r="AB51" i="11"/>
  <c r="T29" i="11"/>
  <c r="AN135" i="11"/>
  <c r="N124" i="11"/>
  <c r="AS134" i="11"/>
  <c r="G155" i="11"/>
  <c r="BK51" i="11"/>
  <c r="BG166" i="11"/>
  <c r="AE129" i="11"/>
  <c r="BB62" i="11"/>
  <c r="BK174" i="11"/>
  <c r="U154" i="11"/>
  <c r="O178" i="11"/>
  <c r="AA41" i="11"/>
  <c r="G105" i="11"/>
  <c r="AM164" i="11"/>
  <c r="BB89" i="11"/>
  <c r="AQ119" i="11"/>
  <c r="I105" i="11"/>
  <c r="AI108" i="11"/>
  <c r="AS132" i="11"/>
  <c r="L163" i="11"/>
  <c r="AU96" i="11"/>
  <c r="AO32" i="11"/>
  <c r="BB134" i="11"/>
  <c r="Y76" i="11"/>
  <c r="AK164" i="11"/>
  <c r="AJ67" i="11"/>
  <c r="U156" i="11"/>
  <c r="AC129" i="11"/>
  <c r="AR140" i="11"/>
  <c r="T48" i="11"/>
  <c r="AP96" i="11"/>
  <c r="BK79" i="11"/>
  <c r="AO83" i="11"/>
  <c r="AH152" i="11"/>
  <c r="AN180" i="11"/>
  <c r="AB122" i="11"/>
  <c r="BK74" i="11"/>
  <c r="K123" i="11"/>
  <c r="Q58" i="11"/>
  <c r="J30" i="11"/>
  <c r="C167" i="11"/>
  <c r="X167" i="11"/>
  <c r="BF42" i="11"/>
  <c r="AD127" i="11"/>
  <c r="H75" i="11"/>
  <c r="BC39" i="11"/>
  <c r="K149" i="11"/>
  <c r="I166" i="11"/>
  <c r="Y173" i="11"/>
  <c r="L35" i="11"/>
  <c r="BH168" i="11"/>
  <c r="AJ116" i="11"/>
  <c r="BH128" i="11"/>
  <c r="AT117" i="11"/>
  <c r="BB162" i="11"/>
  <c r="AH172" i="11"/>
  <c r="AR59" i="11"/>
  <c r="X158" i="11"/>
  <c r="AS83" i="11"/>
  <c r="AF160" i="11"/>
  <c r="BM39" i="11"/>
  <c r="BG82" i="11"/>
  <c r="BF39" i="11"/>
  <c r="X97" i="11"/>
  <c r="BE126" i="11"/>
  <c r="AV159" i="11"/>
  <c r="AK41" i="11"/>
  <c r="AC45" i="11"/>
  <c r="M88" i="11"/>
  <c r="V115" i="11"/>
  <c r="BL107" i="11"/>
  <c r="U108" i="11"/>
  <c r="AH96" i="11"/>
  <c r="R138" i="11"/>
  <c r="BA41" i="11"/>
  <c r="BD140" i="11"/>
  <c r="AW49" i="11"/>
  <c r="AY172" i="11"/>
  <c r="AS179" i="11"/>
  <c r="AI64" i="11"/>
  <c r="S41" i="11"/>
  <c r="X54" i="11"/>
  <c r="AB176" i="11"/>
  <c r="AV180" i="11"/>
  <c r="BC150" i="11"/>
  <c r="G178" i="11"/>
  <c r="AQ110" i="11"/>
  <c r="AP115" i="11"/>
  <c r="K43" i="11"/>
  <c r="AO109" i="11"/>
  <c r="BI88" i="11"/>
  <c r="AZ91" i="11"/>
  <c r="AN127" i="11"/>
  <c r="M54" i="11"/>
  <c r="BI136" i="11"/>
  <c r="AL156" i="11"/>
  <c r="BC106" i="11"/>
  <c r="AZ67" i="11"/>
  <c r="C26" i="11"/>
  <c r="R76" i="11"/>
  <c r="BM87" i="11"/>
  <c r="R126" i="11"/>
  <c r="M90" i="11"/>
  <c r="G146" i="11"/>
  <c r="AL109" i="11"/>
  <c r="AQ108" i="11"/>
  <c r="N129" i="11"/>
  <c r="AI122" i="11"/>
  <c r="AZ116" i="11"/>
  <c r="BB143" i="11"/>
  <c r="BK147" i="11"/>
  <c r="BG112" i="11"/>
  <c r="H126" i="11"/>
  <c r="X122" i="11"/>
  <c r="BB57" i="11"/>
  <c r="BE163" i="11"/>
  <c r="V146" i="11"/>
  <c r="BF134" i="11"/>
  <c r="BK124" i="11"/>
  <c r="L77" i="11"/>
  <c r="K37" i="11"/>
  <c r="AH108" i="11"/>
  <c r="AD138" i="11"/>
  <c r="BA54" i="11"/>
  <c r="I37" i="11"/>
  <c r="AO108" i="11"/>
  <c r="AT103" i="11"/>
  <c r="AI39" i="11"/>
  <c r="AJ80" i="11"/>
  <c r="P65" i="11"/>
  <c r="AL169" i="11"/>
  <c r="N41" i="11"/>
  <c r="BD61" i="11"/>
  <c r="P131" i="11"/>
  <c r="BD101" i="11"/>
  <c r="BI162" i="11"/>
  <c r="U151" i="11"/>
  <c r="G121" i="11"/>
  <c r="G95" i="11"/>
  <c r="I148" i="11"/>
  <c r="R87" i="11"/>
  <c r="Z82" i="11"/>
  <c r="BF116" i="11"/>
  <c r="J153" i="11"/>
  <c r="BB93" i="11"/>
  <c r="AO28" i="11"/>
  <c r="AF166" i="11"/>
  <c r="AD31" i="11"/>
  <c r="AC118" i="11"/>
  <c r="O99" i="11"/>
  <c r="H28" i="11"/>
  <c r="I38" i="11"/>
  <c r="J28" i="11"/>
  <c r="BF55" i="11"/>
  <c r="G113" i="11"/>
  <c r="L80" i="11"/>
  <c r="AW29" i="11"/>
  <c r="K140" i="11"/>
  <c r="H140" i="11"/>
  <c r="AA66" i="11"/>
  <c r="BI152" i="11"/>
  <c r="AY29" i="11"/>
  <c r="AI114" i="11"/>
  <c r="M191" i="11"/>
  <c r="AD38" i="11"/>
  <c r="AM136" i="11"/>
  <c r="BG137" i="11"/>
  <c r="M151" i="11"/>
  <c r="H114" i="11"/>
  <c r="M120" i="11"/>
  <c r="BN44" i="11"/>
  <c r="L178" i="11"/>
  <c r="AJ180" i="11"/>
  <c r="BJ176" i="11"/>
  <c r="AD176" i="11"/>
  <c r="AD118" i="11"/>
  <c r="L29" i="11"/>
  <c r="AX33" i="11"/>
  <c r="L27" i="11"/>
  <c r="AR44" i="11"/>
  <c r="BE118" i="11"/>
  <c r="G110" i="11"/>
  <c r="AR47" i="11"/>
  <c r="AO105" i="11"/>
  <c r="AJ166" i="11"/>
  <c r="S148" i="11"/>
  <c r="W81" i="11"/>
  <c r="AV113" i="11"/>
  <c r="AC28" i="11"/>
  <c r="BF98" i="11"/>
  <c r="O78" i="11"/>
  <c r="AI166" i="11"/>
  <c r="AT65" i="11"/>
  <c r="BH66" i="11"/>
  <c r="AF96" i="11"/>
  <c r="AU92" i="11"/>
  <c r="BH36" i="11"/>
  <c r="Q69" i="11"/>
  <c r="AO56" i="11"/>
  <c r="H146" i="11"/>
  <c r="C48" i="11"/>
  <c r="K133" i="11"/>
  <c r="AU57" i="11"/>
  <c r="AU117" i="11"/>
  <c r="AO134" i="11"/>
  <c r="BL61" i="11"/>
  <c r="AE161" i="11"/>
  <c r="AE165" i="11"/>
  <c r="BE114" i="11"/>
  <c r="I47" i="11"/>
  <c r="U173" i="11"/>
  <c r="AU97" i="11"/>
  <c r="P53" i="11"/>
  <c r="AB72" i="11"/>
  <c r="T113" i="11"/>
  <c r="AV102" i="11"/>
  <c r="AO43" i="11"/>
  <c r="AK78" i="11"/>
  <c r="AW118" i="11"/>
  <c r="BL130" i="11"/>
  <c r="R84" i="11"/>
  <c r="W70" i="11"/>
  <c r="BG50" i="11"/>
  <c r="H43" i="11"/>
  <c r="BL45" i="11"/>
  <c r="AC128" i="11"/>
  <c r="AI43" i="11"/>
  <c r="S117" i="11"/>
  <c r="BF75" i="11"/>
  <c r="X48" i="11"/>
  <c r="AF131" i="11"/>
  <c r="S152" i="11"/>
  <c r="T159" i="11"/>
  <c r="AD97" i="11"/>
  <c r="AM117" i="11"/>
  <c r="AA122" i="11"/>
  <c r="BH110" i="11"/>
  <c r="X29" i="11"/>
  <c r="AY93" i="11"/>
  <c r="U141" i="11"/>
  <c r="W144" i="11"/>
  <c r="AX81" i="11"/>
  <c r="X156" i="11"/>
  <c r="AZ152" i="11"/>
  <c r="AL26" i="11"/>
  <c r="AO142" i="11"/>
  <c r="C40" i="11"/>
  <c r="AS125" i="11"/>
  <c r="AK92" i="11"/>
  <c r="Q43" i="11"/>
  <c r="AN114" i="11"/>
  <c r="BK94" i="11"/>
  <c r="Y88" i="11"/>
  <c r="AJ105" i="11"/>
  <c r="W49" i="11"/>
  <c r="W142" i="11"/>
  <c r="BL31" i="11"/>
  <c r="BK145" i="11"/>
  <c r="BB52" i="11"/>
  <c r="AD158" i="11"/>
  <c r="W100" i="11"/>
  <c r="BM92" i="11"/>
  <c r="N169" i="11"/>
  <c r="C60" i="11"/>
  <c r="BK151" i="11"/>
  <c r="BC96" i="11"/>
  <c r="AQ57" i="11"/>
  <c r="AO106" i="11"/>
  <c r="AA50" i="11"/>
  <c r="BK137" i="11"/>
  <c r="AP46" i="11"/>
  <c r="AK127" i="11"/>
  <c r="AF114" i="11"/>
  <c r="C70" i="11"/>
  <c r="AO180" i="11"/>
  <c r="BL60" i="11"/>
  <c r="J178" i="11"/>
  <c r="AN119" i="11"/>
  <c r="AE113" i="11"/>
  <c r="BL81" i="11"/>
  <c r="M147" i="11"/>
  <c r="AI51" i="11"/>
  <c r="AR33" i="11"/>
  <c r="BN120" i="11"/>
  <c r="AO65" i="11"/>
  <c r="U91" i="11"/>
  <c r="AG110" i="11"/>
  <c r="O32" i="11"/>
  <c r="BN108" i="11"/>
  <c r="H141" i="11"/>
  <c r="R52" i="11"/>
  <c r="AJ81" i="11"/>
  <c r="AZ96" i="11"/>
  <c r="AX82" i="11"/>
  <c r="BD90" i="11"/>
  <c r="AC154" i="11"/>
  <c r="AG48" i="11"/>
  <c r="AR175" i="11"/>
  <c r="AC158" i="11"/>
  <c r="AM143" i="11"/>
  <c r="BM79" i="11"/>
  <c r="AT32" i="11"/>
  <c r="J77" i="11"/>
  <c r="W55" i="11"/>
  <c r="BI157" i="11"/>
  <c r="AL146" i="11"/>
  <c r="C52" i="11"/>
  <c r="AJ31" i="11"/>
  <c r="Y98" i="11"/>
  <c r="C131" i="11"/>
  <c r="AC81" i="11"/>
  <c r="AK40" i="11"/>
  <c r="J130" i="11"/>
  <c r="AJ154" i="11"/>
  <c r="H82" i="11"/>
  <c r="BH163" i="11"/>
  <c r="AQ39" i="11"/>
  <c r="N101" i="11"/>
  <c r="BM150" i="11"/>
  <c r="BA101" i="11"/>
  <c r="BM36" i="11"/>
  <c r="AQ71" i="11"/>
  <c r="BF119" i="11"/>
  <c r="BB156" i="11"/>
  <c r="Z129" i="11"/>
  <c r="AM167" i="11"/>
  <c r="AK158" i="11"/>
  <c r="AQ54" i="11"/>
  <c r="AI55" i="11"/>
  <c r="N68" i="11"/>
  <c r="AT176" i="11"/>
  <c r="M180" i="11"/>
  <c r="J177" i="11"/>
  <c r="W169" i="11"/>
  <c r="BL91" i="11"/>
  <c r="G154" i="11"/>
  <c r="AP169" i="11"/>
  <c r="V105" i="11"/>
  <c r="H30" i="11"/>
  <c r="BA172" i="11"/>
  <c r="BK120" i="11"/>
  <c r="AY117" i="11"/>
  <c r="N144" i="11"/>
  <c r="O120" i="11"/>
  <c r="R171" i="11"/>
  <c r="AY126" i="11"/>
  <c r="X111" i="11"/>
  <c r="M167" i="11"/>
  <c r="AI167" i="11"/>
  <c r="BF165" i="11"/>
  <c r="AP107" i="11"/>
  <c r="G72" i="11"/>
  <c r="R32" i="11"/>
  <c r="AN41" i="11"/>
  <c r="AY119" i="11"/>
  <c r="Z52" i="11"/>
  <c r="AT135" i="11"/>
  <c r="AB165" i="11"/>
  <c r="V162" i="11"/>
  <c r="AX121" i="11"/>
  <c r="AB60" i="11"/>
  <c r="P138" i="11"/>
  <c r="T149" i="11"/>
  <c r="AF65" i="11"/>
  <c r="U94" i="11"/>
  <c r="AE53" i="11"/>
  <c r="BF126" i="11"/>
  <c r="J67" i="11"/>
  <c r="BN92" i="11"/>
  <c r="K48" i="11"/>
  <c r="AP28" i="11"/>
  <c r="U155" i="11"/>
  <c r="Z49" i="11"/>
  <c r="AW112" i="11"/>
  <c r="AF149" i="11"/>
  <c r="AC98" i="11"/>
  <c r="AV106" i="11"/>
  <c r="AS163" i="11"/>
  <c r="AA39" i="11"/>
  <c r="H113" i="11"/>
  <c r="I175" i="11"/>
  <c r="BA59" i="11"/>
  <c r="G68" i="11"/>
  <c r="AS26" i="11"/>
  <c r="BD123" i="11"/>
  <c r="AG46" i="11"/>
  <c r="AL104" i="11"/>
  <c r="AJ79" i="11"/>
  <c r="BC124" i="11"/>
  <c r="BL152" i="11"/>
  <c r="AA94" i="11"/>
  <c r="BE96" i="11"/>
  <c r="AQ98" i="11"/>
  <c r="W64" i="11"/>
  <c r="V171" i="11"/>
  <c r="AF138" i="11"/>
  <c r="T50" i="11"/>
  <c r="Q97" i="11"/>
  <c r="V73" i="11"/>
  <c r="AY178" i="11"/>
  <c r="BE48" i="11"/>
  <c r="BG44" i="11"/>
  <c r="AW105" i="11"/>
  <c r="AH134" i="11"/>
  <c r="AA44" i="11"/>
  <c r="M74" i="11"/>
  <c r="G149" i="11"/>
  <c r="AZ109" i="11"/>
  <c r="AM138" i="11"/>
  <c r="AH27" i="11"/>
  <c r="T97" i="11"/>
  <c r="W113" i="11"/>
  <c r="AD108" i="11"/>
  <c r="AJ173" i="11"/>
  <c r="AI88" i="11"/>
  <c r="L174" i="11"/>
  <c r="BF163" i="11"/>
  <c r="BH145" i="11"/>
  <c r="BE34" i="11"/>
  <c r="K172" i="11"/>
  <c r="Y68" i="11"/>
  <c r="T170" i="11"/>
  <c r="AU55" i="11"/>
  <c r="S64" i="11"/>
  <c r="G173" i="11"/>
  <c r="BE38" i="11"/>
  <c r="BI62" i="11"/>
  <c r="AJ136" i="11"/>
  <c r="BA161" i="11"/>
  <c r="AY66" i="11"/>
  <c r="S172" i="11"/>
  <c r="BC103" i="11"/>
  <c r="AG112" i="11"/>
  <c r="BH125" i="11"/>
  <c r="X53" i="11"/>
  <c r="Y39" i="11"/>
  <c r="U129" i="11"/>
  <c r="AD136" i="11"/>
  <c r="BK167" i="11"/>
  <c r="BN88" i="11"/>
  <c r="AX113" i="11"/>
  <c r="G34" i="11"/>
  <c r="AL86" i="11"/>
  <c r="BB142" i="11"/>
  <c r="AK46" i="11"/>
  <c r="I172" i="11"/>
  <c r="BM84" i="11"/>
  <c r="AM81" i="11"/>
  <c r="C92" i="11"/>
  <c r="AY76" i="11"/>
  <c r="G29" i="11"/>
  <c r="I51" i="11"/>
  <c r="AK139" i="11"/>
  <c r="BI91" i="11"/>
  <c r="AH132" i="11"/>
  <c r="BH31" i="11"/>
  <c r="AR51" i="11"/>
  <c r="BN127" i="11"/>
  <c r="BJ83" i="11"/>
  <c r="AY129" i="11"/>
  <c r="AD96" i="11"/>
  <c r="AP62" i="11"/>
  <c r="Q99" i="11"/>
  <c r="Z113" i="11"/>
  <c r="K59" i="11"/>
  <c r="AA92" i="11"/>
  <c r="BL63" i="11"/>
  <c r="AT173" i="11"/>
  <c r="G64" i="11"/>
  <c r="P91" i="11"/>
  <c r="BI145" i="11"/>
  <c r="BF148" i="11"/>
  <c r="G174" i="11"/>
  <c r="AZ95" i="11"/>
  <c r="Y136" i="11"/>
  <c r="X132" i="11"/>
  <c r="AY158" i="11"/>
  <c r="V123" i="11"/>
  <c r="AF92" i="11"/>
  <c r="BN146" i="11"/>
  <c r="BH54" i="11"/>
  <c r="BA46" i="11"/>
  <c r="Y85" i="11"/>
  <c r="AQ130" i="11"/>
  <c r="BI115" i="11"/>
  <c r="AJ137" i="11"/>
  <c r="C104" i="11"/>
  <c r="Q178" i="11"/>
  <c r="BD26" i="11"/>
  <c r="BF117" i="11"/>
  <c r="H46" i="11"/>
  <c r="AP49" i="11"/>
  <c r="AH146" i="11"/>
  <c r="AT97" i="11"/>
  <c r="BH43" i="11"/>
  <c r="AM98" i="11"/>
  <c r="AD35" i="11"/>
  <c r="AN36" i="11"/>
  <c r="L137" i="11"/>
  <c r="O133" i="11"/>
  <c r="Q72" i="11"/>
  <c r="AD77" i="11"/>
  <c r="BM107" i="11"/>
  <c r="AM128" i="11"/>
  <c r="H69" i="11"/>
  <c r="AS53" i="11"/>
  <c r="BF90" i="11"/>
  <c r="AV56" i="11"/>
  <c r="BM77" i="11"/>
  <c r="S80" i="11"/>
  <c r="AP51" i="11"/>
  <c r="BJ61" i="11"/>
  <c r="AD144" i="11"/>
  <c r="BJ102" i="11"/>
  <c r="C194" i="11"/>
  <c r="AV33" i="11"/>
  <c r="AV107" i="11"/>
  <c r="I45" i="11"/>
  <c r="L50" i="11"/>
  <c r="R110" i="11"/>
  <c r="AQ81" i="11"/>
  <c r="BG78" i="11"/>
  <c r="AA180" i="11"/>
  <c r="AS147" i="11"/>
  <c r="AP37" i="11"/>
  <c r="AA45" i="11"/>
  <c r="BA36" i="11"/>
  <c r="AU67" i="11"/>
  <c r="AA54" i="11"/>
  <c r="AZ115" i="11"/>
  <c r="S160" i="11"/>
  <c r="U136" i="11"/>
  <c r="AJ141" i="11"/>
  <c r="BJ141" i="11"/>
  <c r="G46" i="11"/>
  <c r="AG66" i="11"/>
  <c r="AX32" i="11"/>
  <c r="AP164" i="11"/>
  <c r="BN29" i="11"/>
  <c r="Y175" i="11"/>
  <c r="BJ71" i="11"/>
  <c r="AB127" i="11"/>
  <c r="AF103" i="11"/>
  <c r="BB104" i="11"/>
  <c r="I46" i="11"/>
  <c r="L156" i="11"/>
  <c r="BF129" i="11"/>
  <c r="AW61" i="11"/>
  <c r="AA148" i="11"/>
  <c r="AV148" i="11"/>
  <c r="I171" i="11"/>
  <c r="AB155" i="11"/>
  <c r="W171" i="11"/>
  <c r="Y50" i="11"/>
  <c r="AI78" i="11"/>
  <c r="K95" i="11"/>
  <c r="BM148" i="11"/>
  <c r="P34" i="11"/>
  <c r="BF178" i="11"/>
  <c r="AU87" i="11"/>
  <c r="R36" i="11"/>
  <c r="H45" i="11"/>
  <c r="N104" i="11"/>
  <c r="N174" i="11"/>
  <c r="BA106" i="11"/>
  <c r="BN59" i="11"/>
  <c r="U117" i="11"/>
  <c r="AK113" i="11"/>
  <c r="BN104" i="11"/>
  <c r="AA100" i="11"/>
  <c r="X34" i="11"/>
  <c r="AV95" i="11"/>
  <c r="BC55" i="11"/>
  <c r="P37" i="11"/>
  <c r="AQ37" i="11"/>
  <c r="BE53" i="11"/>
  <c r="AX134" i="11"/>
  <c r="S33" i="11"/>
  <c r="L47" i="11"/>
  <c r="BL141" i="11"/>
  <c r="AY30" i="11"/>
  <c r="AL77" i="11"/>
  <c r="BG176" i="11"/>
  <c r="AW59" i="11"/>
  <c r="N90" i="11"/>
  <c r="AO110" i="11"/>
  <c r="BL56" i="11"/>
  <c r="AB160" i="11"/>
  <c r="AD89" i="11"/>
  <c r="BL147" i="11"/>
  <c r="AT107" i="11"/>
  <c r="Y89" i="11"/>
  <c r="BH95" i="11"/>
  <c r="AD73" i="11"/>
  <c r="G50" i="11"/>
  <c r="X96" i="11"/>
  <c r="AT71" i="11"/>
  <c r="AN26" i="11"/>
  <c r="AY48" i="11"/>
  <c r="S89" i="11"/>
  <c r="AY174" i="11"/>
  <c r="S114" i="11"/>
  <c r="BB92" i="11"/>
  <c r="AF46" i="11"/>
  <c r="K147" i="11"/>
  <c r="BL48" i="11"/>
  <c r="AB91" i="11"/>
  <c r="BF43" i="11"/>
  <c r="AX87" i="11"/>
  <c r="N54" i="11"/>
  <c r="AV76" i="11"/>
  <c r="H136" i="11"/>
  <c r="BI127" i="11"/>
  <c r="N84" i="11"/>
  <c r="BG91" i="11"/>
  <c r="BD156" i="11"/>
  <c r="AL32" i="11"/>
  <c r="AF42" i="11"/>
  <c r="AB116" i="11"/>
  <c r="X67" i="11"/>
  <c r="AF53" i="11"/>
  <c r="AM36" i="11"/>
  <c r="AX123" i="11"/>
  <c r="BD121" i="11"/>
  <c r="AS128" i="11"/>
  <c r="N118" i="11"/>
  <c r="AL33" i="11"/>
  <c r="BC80" i="11"/>
  <c r="AF62" i="11"/>
  <c r="BH173" i="11"/>
  <c r="U50" i="11"/>
  <c r="K33" i="11"/>
  <c r="AA49" i="11"/>
  <c r="AW75" i="11"/>
  <c r="AK120" i="11"/>
  <c r="AN167" i="11"/>
  <c r="AF51" i="11"/>
  <c r="BK41" i="11"/>
  <c r="BF112" i="11"/>
  <c r="X36" i="11"/>
  <c r="AZ105" i="11"/>
  <c r="BN34" i="11"/>
  <c r="AY124" i="11"/>
  <c r="P116" i="11"/>
  <c r="N49" i="11"/>
  <c r="BC169" i="11"/>
  <c r="AR67" i="11"/>
  <c r="BH164" i="11"/>
  <c r="AQ82" i="11"/>
  <c r="L135" i="11"/>
  <c r="BG163" i="11"/>
  <c r="AQ32" i="11"/>
  <c r="BN54" i="11"/>
  <c r="P70" i="11"/>
  <c r="AU95" i="11"/>
  <c r="T164" i="11"/>
  <c r="L158" i="11"/>
  <c r="AU169" i="11"/>
  <c r="AD103" i="11"/>
  <c r="Q71" i="11"/>
  <c r="AV130" i="11"/>
  <c r="G160" i="11"/>
  <c r="U119" i="11"/>
  <c r="I54" i="11"/>
  <c r="AA136" i="11"/>
  <c r="BF152" i="11"/>
  <c r="AD48" i="11"/>
  <c r="BH55" i="11"/>
  <c r="AS62" i="11"/>
  <c r="X84" i="11"/>
  <c r="AW119" i="11"/>
  <c r="BG149" i="11"/>
  <c r="BA93" i="11"/>
  <c r="H152" i="11"/>
  <c r="AF122" i="11"/>
  <c r="L41" i="11"/>
  <c r="BE157" i="11"/>
  <c r="P130" i="11"/>
  <c r="AL105" i="11"/>
  <c r="X115" i="11"/>
  <c r="C73" i="11"/>
  <c r="AD178" i="11"/>
  <c r="AN72" i="11"/>
  <c r="L115" i="11"/>
  <c r="S133" i="11"/>
  <c r="R155" i="11"/>
  <c r="AG98" i="11"/>
  <c r="I160" i="11"/>
  <c r="BA122" i="11"/>
  <c r="BI69" i="11"/>
  <c r="AL53" i="11"/>
  <c r="AN166" i="11"/>
  <c r="X117" i="11"/>
  <c r="AU62" i="11"/>
  <c r="AT79" i="11"/>
  <c r="BM57" i="11"/>
  <c r="BB124" i="11"/>
  <c r="L103" i="11"/>
  <c r="AM131" i="11"/>
  <c r="AL88" i="11"/>
  <c r="BF107" i="11"/>
  <c r="BC114" i="11"/>
  <c r="AN136" i="11"/>
  <c r="R60" i="11"/>
  <c r="O140" i="11"/>
  <c r="BI56" i="11"/>
  <c r="BG63" i="11"/>
  <c r="AA80" i="11"/>
  <c r="AH142" i="11"/>
  <c r="AQ83" i="11"/>
  <c r="AE142" i="11"/>
  <c r="Y65" i="11"/>
  <c r="AV121" i="11"/>
  <c r="BA151" i="11"/>
  <c r="AG79" i="11"/>
  <c r="BN129" i="11"/>
  <c r="AD57" i="11"/>
  <c r="BG61" i="11"/>
  <c r="BM47" i="11"/>
  <c r="Q84" i="11"/>
  <c r="BH146" i="11"/>
  <c r="AF47" i="11"/>
  <c r="M113" i="11"/>
  <c r="J115" i="11"/>
  <c r="S138" i="11"/>
  <c r="S169" i="11"/>
  <c r="U93" i="11"/>
  <c r="AC38" i="11"/>
  <c r="AX89" i="11"/>
  <c r="BN26" i="11"/>
  <c r="AD74" i="11"/>
  <c r="H78" i="11"/>
  <c r="C30" i="11"/>
  <c r="V179" i="11"/>
  <c r="BM48" i="11"/>
  <c r="AB175" i="11"/>
  <c r="BH126" i="11"/>
  <c r="BH57" i="11"/>
  <c r="AN45" i="11"/>
  <c r="L141" i="11"/>
  <c r="AV62" i="11"/>
  <c r="AD119" i="11"/>
  <c r="X139" i="11"/>
  <c r="Z108" i="11"/>
  <c r="Z84" i="11"/>
  <c r="Z64" i="11"/>
  <c r="M35" i="11"/>
  <c r="W117" i="11"/>
  <c r="AL97" i="11"/>
  <c r="AS100" i="11"/>
  <c r="AQ115" i="11"/>
  <c r="AH124" i="11"/>
  <c r="S47" i="11"/>
  <c r="C57" i="11"/>
  <c r="AA132" i="11"/>
  <c r="L123" i="11"/>
  <c r="V41" i="11"/>
  <c r="AX153" i="11"/>
  <c r="AT74" i="11"/>
  <c r="P146" i="11"/>
  <c r="O139" i="11"/>
  <c r="AS173" i="11"/>
  <c r="AC67" i="11"/>
  <c r="BE98" i="11"/>
  <c r="W134" i="11"/>
  <c r="BA26" i="11"/>
  <c r="AS70" i="11"/>
  <c r="AZ79" i="11"/>
  <c r="BC151" i="11"/>
  <c r="L166" i="11"/>
  <c r="I168" i="11"/>
  <c r="J166" i="11"/>
  <c r="W82" i="11"/>
  <c r="AG136" i="11"/>
  <c r="AN126" i="11"/>
  <c r="Q153" i="11"/>
  <c r="BE120" i="11"/>
  <c r="L138" i="11"/>
  <c r="AQ123" i="11"/>
  <c r="BD133" i="11"/>
  <c r="J133" i="11"/>
  <c r="R115" i="11"/>
  <c r="BK88" i="11"/>
  <c r="AR141" i="11"/>
  <c r="T57" i="11"/>
  <c r="BB131" i="11"/>
  <c r="AJ45" i="11"/>
  <c r="AF95" i="11"/>
  <c r="AM103" i="11"/>
  <c r="M131" i="11"/>
  <c r="M106" i="11"/>
  <c r="W46" i="11"/>
  <c r="AP127" i="11"/>
  <c r="I52" i="11"/>
  <c r="AK171" i="11"/>
  <c r="BD163" i="11"/>
  <c r="C50" i="11"/>
  <c r="AN121" i="11"/>
  <c r="AE36" i="11"/>
  <c r="AG116" i="11"/>
  <c r="AU64" i="11"/>
  <c r="Z28" i="11"/>
  <c r="BA156" i="11"/>
  <c r="Y99" i="11"/>
  <c r="AX140" i="11"/>
  <c r="S77" i="11"/>
  <c r="BB26" i="11"/>
  <c r="L148" i="11"/>
  <c r="BB170" i="11"/>
  <c r="R74" i="11"/>
  <c r="AF179" i="11"/>
  <c r="T90" i="11"/>
  <c r="BC130" i="11"/>
  <c r="I112" i="11"/>
  <c r="AC42" i="11"/>
  <c r="R80" i="11"/>
  <c r="BC91" i="11"/>
  <c r="W103" i="11"/>
  <c r="AD43" i="11"/>
  <c r="V148" i="11"/>
  <c r="R43" i="11"/>
  <c r="AI73" i="11"/>
  <c r="AV87" i="11"/>
  <c r="AS98" i="11"/>
  <c r="W94" i="11"/>
  <c r="P43" i="11"/>
  <c r="BM112" i="11"/>
  <c r="T143" i="11"/>
  <c r="AL76" i="11"/>
  <c r="AY130" i="11"/>
  <c r="AC59" i="11"/>
  <c r="AT123" i="11"/>
  <c r="AN77" i="11"/>
  <c r="AB161" i="11"/>
  <c r="AH102" i="11"/>
  <c r="G189" i="11"/>
  <c r="BA33" i="11"/>
  <c r="K139" i="11"/>
  <c r="BI85" i="11"/>
  <c r="BC134" i="11"/>
  <c r="BF50" i="11"/>
  <c r="I39" i="11"/>
  <c r="M28" i="11"/>
  <c r="O177" i="11"/>
  <c r="BI87" i="11"/>
  <c r="Q177" i="11"/>
  <c r="AN177" i="11"/>
  <c r="K105" i="11"/>
  <c r="BL102" i="11"/>
  <c r="AV128" i="11"/>
  <c r="AP167" i="11"/>
  <c r="AP159" i="11"/>
  <c r="BE50" i="11"/>
  <c r="AZ75" i="11"/>
  <c r="BI32" i="11"/>
  <c r="AT149" i="11"/>
  <c r="BG103" i="11"/>
  <c r="BA179" i="11"/>
  <c r="AW134" i="11"/>
  <c r="Y177" i="11"/>
  <c r="AO57" i="11"/>
  <c r="AT87" i="11"/>
  <c r="G161" i="11"/>
  <c r="K55" i="11"/>
  <c r="J42" i="11"/>
  <c r="BJ42" i="11"/>
  <c r="P135" i="11"/>
  <c r="AG122" i="11"/>
  <c r="AF76" i="11"/>
  <c r="AV146" i="11"/>
  <c r="AN43" i="11"/>
  <c r="AF33" i="11"/>
  <c r="Q74" i="11"/>
  <c r="M135" i="11"/>
  <c r="AW180" i="11"/>
  <c r="AU142" i="11"/>
  <c r="L117" i="11"/>
  <c r="AO52" i="11"/>
  <c r="AJ91" i="11"/>
  <c r="AH84" i="11"/>
  <c r="BG138" i="11"/>
  <c r="AC122" i="11"/>
  <c r="AT64" i="11"/>
  <c r="AN32" i="11"/>
  <c r="BD77" i="11"/>
  <c r="BF144" i="11"/>
  <c r="H172" i="11"/>
  <c r="G138" i="11"/>
  <c r="H149" i="11"/>
  <c r="K111" i="11"/>
  <c r="AS106" i="11"/>
  <c r="AJ43" i="11"/>
  <c r="BJ148" i="11"/>
  <c r="AB141" i="11"/>
  <c r="BH151" i="11"/>
  <c r="BD119" i="11"/>
  <c r="AJ170" i="11"/>
  <c r="AL85" i="11"/>
  <c r="AM34" i="11"/>
  <c r="BG73" i="11"/>
  <c r="AD128" i="11"/>
  <c r="AT109" i="11"/>
  <c r="J164" i="11"/>
  <c r="AV163" i="11"/>
  <c r="AX84" i="11"/>
  <c r="BN77" i="11"/>
  <c r="AE149" i="11"/>
  <c r="BD85" i="11"/>
  <c r="AE73" i="11"/>
  <c r="S162" i="11"/>
  <c r="AA77" i="11"/>
  <c r="K90" i="11"/>
  <c r="Z158" i="11"/>
  <c r="I178" i="11"/>
  <c r="AL134" i="11"/>
  <c r="AM170" i="11"/>
  <c r="AI68" i="11"/>
  <c r="R93" i="11"/>
  <c r="T138" i="11"/>
  <c r="L119" i="11"/>
  <c r="P81" i="11"/>
  <c r="Z120" i="11"/>
  <c r="O170" i="11"/>
  <c r="AW125" i="11"/>
  <c r="AQ70" i="11"/>
  <c r="X38" i="11"/>
  <c r="H150" i="11"/>
  <c r="AJ111" i="11"/>
  <c r="AQ127" i="11"/>
  <c r="AI149" i="11"/>
  <c r="BI155" i="11"/>
  <c r="Q75" i="11"/>
  <c r="AS78" i="11"/>
  <c r="BH82" i="11"/>
  <c r="Q100" i="11"/>
  <c r="AT121" i="11"/>
  <c r="BD145" i="11"/>
  <c r="AN168" i="11"/>
  <c r="AV60" i="11"/>
  <c r="AI141" i="11"/>
  <c r="Q119" i="11"/>
  <c r="H58" i="11"/>
  <c r="BB128" i="11"/>
  <c r="BL118" i="11"/>
  <c r="P78" i="11"/>
  <c r="Y176" i="11"/>
  <c r="AH87" i="11"/>
  <c r="R100" i="11"/>
  <c r="AD56" i="11"/>
  <c r="BH174" i="11"/>
  <c r="Z176" i="11"/>
  <c r="AL174" i="11"/>
  <c r="C157" i="11"/>
  <c r="BN93" i="11"/>
  <c r="AM123" i="11"/>
  <c r="Y80" i="11"/>
  <c r="R141" i="11"/>
  <c r="AV27" i="11"/>
  <c r="I116" i="11"/>
  <c r="I101" i="11"/>
  <c r="BD155" i="11"/>
  <c r="AI59" i="11"/>
  <c r="BK75" i="11"/>
  <c r="AC48" i="11"/>
  <c r="AA142" i="11"/>
  <c r="AM121" i="11"/>
  <c r="AK102" i="11"/>
  <c r="H101" i="11"/>
  <c r="Y179" i="11"/>
  <c r="T179" i="11"/>
  <c r="AA141" i="11"/>
  <c r="G167" i="11"/>
  <c r="U142" i="11"/>
  <c r="BH50" i="11"/>
  <c r="BG105" i="11"/>
  <c r="AB92" i="11"/>
  <c r="J158" i="11"/>
  <c r="AU53" i="11"/>
  <c r="Z93" i="11"/>
  <c r="AK175" i="11"/>
  <c r="AJ125" i="11"/>
  <c r="O84" i="11"/>
  <c r="AJ69" i="11"/>
  <c r="K114" i="11"/>
  <c r="AR176" i="11"/>
  <c r="Y169" i="11"/>
  <c r="BE144" i="11"/>
  <c r="AL55" i="11"/>
  <c r="AO154" i="11"/>
  <c r="AR92" i="11"/>
  <c r="AS161" i="11"/>
  <c r="BG165" i="11"/>
  <c r="AT37" i="11"/>
  <c r="U71" i="11"/>
  <c r="M101" i="11"/>
  <c r="G77" i="11"/>
  <c r="BM172" i="11"/>
  <c r="BM38" i="11"/>
  <c r="H107" i="11"/>
  <c r="AA65" i="11"/>
  <c r="AX79" i="11"/>
  <c r="Q107" i="11"/>
  <c r="AW148" i="11"/>
  <c r="BK105" i="11"/>
  <c r="BF88" i="11"/>
  <c r="AD142" i="11"/>
  <c r="T117" i="11"/>
  <c r="H157" i="11"/>
  <c r="AN132" i="11"/>
  <c r="T52" i="11"/>
  <c r="H27" i="11"/>
  <c r="W136" i="11"/>
  <c r="G28" i="11"/>
  <c r="V127" i="11"/>
  <c r="BK92" i="11"/>
  <c r="K54" i="11"/>
  <c r="AE130" i="11"/>
  <c r="W177" i="11"/>
  <c r="U147" i="11"/>
  <c r="AO113" i="11"/>
  <c r="AG81" i="11"/>
  <c r="AR76" i="11"/>
  <c r="H56" i="11"/>
  <c r="L145" i="11"/>
  <c r="AO172" i="11"/>
  <c r="AB69" i="11"/>
  <c r="BN121" i="11"/>
  <c r="BH123" i="11"/>
  <c r="AA150" i="11"/>
  <c r="AR134" i="11"/>
  <c r="AN71" i="11"/>
  <c r="AU110" i="11"/>
  <c r="BF146" i="11"/>
  <c r="BJ118" i="11"/>
  <c r="AU52" i="11"/>
  <c r="AU154" i="11"/>
  <c r="C89" i="11"/>
  <c r="BG150" i="11"/>
  <c r="AN128" i="11"/>
  <c r="BB41" i="11"/>
  <c r="AP83" i="11"/>
  <c r="AV77" i="11"/>
  <c r="K117" i="11"/>
  <c r="AE62" i="11"/>
  <c r="AT136" i="11"/>
  <c r="M99" i="11"/>
  <c r="BG129" i="11"/>
  <c r="BC145" i="11"/>
  <c r="AZ104" i="11"/>
  <c r="AG144" i="11"/>
  <c r="AE114" i="11"/>
  <c r="O37" i="11"/>
  <c r="BB119" i="11"/>
  <c r="AI155" i="11"/>
  <c r="BK27" i="11"/>
  <c r="T174" i="11"/>
  <c r="G51" i="11"/>
  <c r="AE39" i="11"/>
  <c r="V125" i="11"/>
  <c r="BE142" i="11"/>
  <c r="AW72" i="11"/>
  <c r="AO160" i="11"/>
  <c r="K161" i="11"/>
  <c r="AL166" i="11"/>
  <c r="BM106" i="11"/>
  <c r="AG31" i="11"/>
  <c r="AF67" i="11"/>
  <c r="BL43" i="11"/>
  <c r="Q136" i="11"/>
  <c r="R28" i="11"/>
  <c r="M157" i="11"/>
  <c r="AN110" i="11"/>
  <c r="BG40" i="11"/>
  <c r="AK155" i="11"/>
  <c r="AB88" i="11"/>
  <c r="AX175" i="11"/>
  <c r="J55" i="11"/>
  <c r="BD64" i="11"/>
  <c r="BG168" i="11"/>
  <c r="AU112" i="11"/>
  <c r="AV140" i="11"/>
  <c r="AF108" i="11"/>
  <c r="S34" i="11"/>
  <c r="AK99" i="11"/>
  <c r="Z121" i="11"/>
  <c r="AW168" i="11"/>
  <c r="Q64" i="11"/>
  <c r="U86" i="11"/>
  <c r="Y37" i="11"/>
  <c r="AD58" i="11"/>
  <c r="S44" i="11"/>
  <c r="AE57" i="11"/>
  <c r="M49" i="11"/>
  <c r="AX44" i="11"/>
  <c r="AQ51" i="11"/>
  <c r="AI57" i="11"/>
  <c r="N115" i="11"/>
  <c r="I131" i="11"/>
  <c r="AP128" i="11"/>
  <c r="AU132" i="11"/>
  <c r="BB44" i="11"/>
  <c r="H32" i="11"/>
  <c r="L89" i="11"/>
  <c r="BI74" i="11"/>
  <c r="BF108" i="11"/>
  <c r="AP106" i="11"/>
  <c r="BB141" i="11"/>
  <c r="AO99" i="11"/>
  <c r="R176" i="11"/>
  <c r="BG134" i="11"/>
  <c r="U131" i="11"/>
  <c r="R145" i="11"/>
  <c r="AR64" i="11"/>
  <c r="AY143" i="11"/>
  <c r="AM82" i="11"/>
  <c r="AH117" i="11"/>
  <c r="AI168" i="11"/>
  <c r="L67" i="11"/>
  <c r="AR56" i="11"/>
  <c r="AN151" i="11"/>
  <c r="AR52" i="11"/>
  <c r="AB45" i="11"/>
  <c r="BM52" i="11"/>
  <c r="AV149" i="11"/>
  <c r="AX41" i="11"/>
  <c r="S79" i="11"/>
  <c r="AC101" i="11"/>
  <c r="AH80" i="11"/>
  <c r="AX105" i="11"/>
  <c r="BL137" i="11"/>
  <c r="T141" i="11"/>
  <c r="BJ97" i="11"/>
  <c r="AS96" i="11"/>
  <c r="O71" i="11"/>
  <c r="BG76" i="11"/>
  <c r="J90" i="11"/>
  <c r="K164" i="11"/>
  <c r="BL97" i="11"/>
  <c r="AV84" i="11"/>
  <c r="Q95" i="11"/>
  <c r="AG175" i="11"/>
  <c r="BH69" i="11"/>
  <c r="AS121" i="11"/>
  <c r="AQ34" i="11"/>
  <c r="L162" i="11"/>
  <c r="AY163" i="11"/>
  <c r="AL68" i="11"/>
  <c r="N94" i="11"/>
  <c r="AJ139" i="11"/>
  <c r="C152" i="11"/>
  <c r="I124" i="11"/>
  <c r="BF91" i="11"/>
  <c r="BJ33" i="11"/>
  <c r="BG94" i="11"/>
  <c r="Z157" i="11"/>
  <c r="BH172" i="11"/>
  <c r="AL96" i="11"/>
  <c r="Z80" i="11"/>
  <c r="AJ93" i="11"/>
  <c r="C29" i="11"/>
  <c r="AJ55" i="11"/>
  <c r="BN37" i="11"/>
  <c r="AI145" i="11"/>
  <c r="W66" i="11"/>
  <c r="BD52" i="11"/>
  <c r="AM112" i="11"/>
  <c r="BH134" i="11"/>
  <c r="BI79" i="11"/>
  <c r="AI103" i="11"/>
  <c r="AB98" i="11"/>
  <c r="AI192" i="11"/>
  <c r="AR124" i="11"/>
  <c r="BE36" i="11"/>
  <c r="AD61" i="11"/>
  <c r="BC75" i="11"/>
  <c r="BL64" i="11"/>
  <c r="AT174" i="11"/>
  <c r="AM106" i="11"/>
  <c r="L64" i="11"/>
  <c r="P166" i="11"/>
  <c r="K41" i="11"/>
  <c r="AO61" i="11"/>
  <c r="I59" i="11"/>
  <c r="AV141" i="11"/>
  <c r="G56" i="11"/>
  <c r="AV89" i="11"/>
  <c r="BF28" i="11"/>
  <c r="T77" i="11"/>
  <c r="Z159" i="11"/>
  <c r="AX93" i="11"/>
  <c r="AH40" i="11"/>
  <c r="AX158" i="11"/>
  <c r="AU45" i="11"/>
  <c r="BE131" i="11"/>
  <c r="AB143" i="11"/>
  <c r="Q93" i="11"/>
  <c r="T161" i="11"/>
  <c r="AW78" i="11"/>
  <c r="Y35" i="11"/>
  <c r="AR90" i="11"/>
  <c r="AM84" i="11"/>
  <c r="BJ105" i="11"/>
  <c r="Z32" i="11"/>
  <c r="AC143" i="11"/>
  <c r="AU164" i="11"/>
  <c r="BF95" i="11"/>
  <c r="K32" i="11"/>
  <c r="U102" i="11"/>
  <c r="AE139" i="11"/>
  <c r="AW178" i="11"/>
  <c r="J112" i="11"/>
  <c r="H74" i="11"/>
  <c r="W150" i="11"/>
  <c r="AT116" i="11"/>
  <c r="BM179" i="11"/>
  <c r="AA177" i="11"/>
  <c r="C96" i="11"/>
  <c r="AT82" i="11"/>
  <c r="I75" i="11"/>
  <c r="AN153" i="11"/>
  <c r="H103" i="11"/>
  <c r="BG160" i="11"/>
  <c r="AT197" i="11"/>
  <c r="BD32" i="11"/>
  <c r="AJ75" i="11"/>
  <c r="AS92" i="11"/>
  <c r="BJ147" i="11"/>
  <c r="Y170" i="11"/>
  <c r="U35" i="11"/>
  <c r="AM91" i="11"/>
  <c r="K112" i="11"/>
  <c r="C82" i="11"/>
  <c r="V45" i="11"/>
  <c r="Y59" i="11"/>
  <c r="BC158" i="11"/>
  <c r="BE160" i="11"/>
  <c r="K163" i="11"/>
  <c r="V169" i="11"/>
  <c r="AC117" i="11"/>
  <c r="M117" i="11"/>
  <c r="G59" i="11"/>
  <c r="AA147" i="11"/>
  <c r="AP171" i="11"/>
  <c r="BG196" i="11"/>
  <c r="BJ29" i="11"/>
  <c r="AG91" i="11"/>
  <c r="AD170" i="11"/>
  <c r="AO102" i="11"/>
  <c r="BL135" i="11"/>
  <c r="AM173" i="11"/>
  <c r="AH29" i="11"/>
  <c r="P61" i="11"/>
  <c r="BN84" i="11"/>
  <c r="AJ160" i="11"/>
  <c r="L101" i="11"/>
  <c r="AG161" i="11"/>
  <c r="Z118" i="11"/>
  <c r="T68" i="11"/>
  <c r="R147" i="11"/>
  <c r="L149" i="11"/>
  <c r="AC166" i="11"/>
  <c r="AH101" i="11"/>
  <c r="AE64" i="11"/>
  <c r="AE49" i="11"/>
  <c r="AG85" i="11"/>
  <c r="H153" i="11"/>
  <c r="U82" i="11"/>
  <c r="BN81" i="11"/>
  <c r="O117" i="11"/>
  <c r="AZ71" i="11"/>
  <c r="K138" i="11"/>
  <c r="O58" i="11"/>
  <c r="AE109" i="11"/>
  <c r="BB132" i="11"/>
  <c r="T171" i="11"/>
  <c r="S110" i="11"/>
  <c r="G41" i="11"/>
  <c r="P71" i="11"/>
  <c r="BB165" i="11"/>
  <c r="BD115" i="11"/>
  <c r="R160" i="11"/>
  <c r="AO152" i="11"/>
  <c r="AG52" i="11"/>
  <c r="AS174" i="11"/>
  <c r="U118" i="11"/>
  <c r="BC46" i="11"/>
  <c r="AY89" i="11"/>
  <c r="H35" i="11"/>
  <c r="S130" i="11"/>
  <c r="AG160" i="11"/>
  <c r="AM147" i="11"/>
  <c r="BJ145" i="11"/>
  <c r="AD71" i="11"/>
  <c r="M76" i="11"/>
  <c r="AT111" i="11"/>
  <c r="AO54" i="11"/>
  <c r="AJ84" i="11"/>
  <c r="BI76" i="11"/>
  <c r="K52" i="11"/>
  <c r="AF116" i="11"/>
  <c r="BD98" i="11"/>
  <c r="AG57" i="11"/>
  <c r="BD175" i="11"/>
  <c r="AD180" i="11"/>
  <c r="AY175" i="11"/>
  <c r="AX176" i="11"/>
  <c r="BD149" i="11"/>
  <c r="R78" i="11"/>
  <c r="Y51" i="11"/>
  <c r="Q116" i="11"/>
  <c r="O50" i="11"/>
  <c r="AS137" i="11"/>
  <c r="W172" i="11"/>
  <c r="AB147" i="11"/>
  <c r="AD45" i="11"/>
  <c r="AA67" i="11"/>
  <c r="BE87" i="11"/>
  <c r="BA44" i="11"/>
  <c r="AM72" i="11"/>
  <c r="S62" i="11"/>
  <c r="H72" i="11"/>
  <c r="BE76" i="11"/>
  <c r="AC80" i="11"/>
  <c r="L180" i="11"/>
  <c r="U75" i="11"/>
  <c r="R35" i="11"/>
  <c r="AZ42" i="11"/>
  <c r="J96" i="11"/>
  <c r="M45" i="11"/>
  <c r="AN97" i="11"/>
  <c r="AI115" i="11"/>
  <c r="BN60" i="11"/>
  <c r="O144" i="11"/>
  <c r="AX88" i="11"/>
  <c r="BC47" i="11"/>
  <c r="AU72" i="11"/>
  <c r="K68" i="11"/>
  <c r="AY146" i="11"/>
  <c r="R61" i="11"/>
  <c r="AA154" i="11"/>
  <c r="AW113" i="11"/>
  <c r="L68" i="11"/>
  <c r="BD65" i="11"/>
  <c r="BC117" i="11"/>
  <c r="AJ119" i="11"/>
  <c r="AM65" i="11"/>
  <c r="K155" i="11"/>
  <c r="AZ146" i="11"/>
  <c r="BH124" i="11"/>
  <c r="BF67" i="11"/>
  <c r="R130" i="11"/>
  <c r="BK90" i="11"/>
  <c r="AL161" i="11"/>
  <c r="AH35" i="11"/>
  <c r="BK115" i="11"/>
  <c r="R106" i="11"/>
  <c r="BB116" i="11"/>
  <c r="AG49" i="11"/>
  <c r="AH73" i="11"/>
  <c r="X73" i="11"/>
  <c r="BF100" i="11"/>
  <c r="L160" i="11"/>
  <c r="AZ140" i="11"/>
  <c r="G75" i="11"/>
  <c r="AH122" i="11"/>
  <c r="AG123" i="11"/>
  <c r="BG151" i="11"/>
  <c r="AA153" i="11"/>
  <c r="M67" i="11"/>
  <c r="R152" i="11"/>
  <c r="BI93" i="11"/>
  <c r="AX154" i="11"/>
  <c r="H88" i="11"/>
  <c r="AP112" i="11"/>
  <c r="BI48" i="11"/>
  <c r="I43" i="11"/>
  <c r="AO47" i="11"/>
  <c r="AO129" i="11"/>
  <c r="AB153" i="11"/>
  <c r="AE125" i="11"/>
  <c r="BN62" i="11"/>
  <c r="AN150" i="11"/>
  <c r="AL135" i="11"/>
  <c r="AG147" i="11"/>
  <c r="AT45" i="11"/>
  <c r="BN52" i="11"/>
  <c r="Z67" i="11"/>
  <c r="AC39" i="11"/>
  <c r="P140" i="11"/>
  <c r="BM69" i="11"/>
  <c r="AW43" i="11"/>
  <c r="Q35" i="11"/>
  <c r="AR170" i="11"/>
  <c r="AQ35" i="11"/>
  <c r="T76" i="11"/>
  <c r="BF73" i="11"/>
  <c r="Z101" i="11"/>
  <c r="BF128" i="11"/>
  <c r="AZ137" i="11"/>
  <c r="AB35" i="11"/>
  <c r="AH65" i="11"/>
  <c r="AJ49" i="11"/>
  <c r="BF80" i="11"/>
  <c r="V99" i="11"/>
  <c r="AG72" i="11"/>
  <c r="AE179" i="11"/>
  <c r="Q165" i="11"/>
  <c r="AK176" i="11"/>
  <c r="AG94" i="11"/>
  <c r="AB50" i="11"/>
  <c r="AI132" i="11"/>
  <c r="AL150" i="11"/>
  <c r="AM85" i="11"/>
  <c r="AB29" i="11"/>
  <c r="AU130" i="11"/>
  <c r="AT42" i="11"/>
  <c r="Q149" i="11"/>
  <c r="P60" i="11"/>
  <c r="BF84" i="11"/>
  <c r="AG132" i="11"/>
  <c r="BB154" i="11"/>
  <c r="AX143" i="11"/>
  <c r="BA111" i="11"/>
  <c r="AL69" i="11"/>
  <c r="AA73" i="11"/>
  <c r="BB153" i="11"/>
  <c r="AY135" i="11"/>
  <c r="M155" i="11"/>
  <c r="Q63" i="11"/>
  <c r="AM116" i="11"/>
  <c r="AA30" i="11"/>
  <c r="AG111" i="11"/>
  <c r="V137" i="11"/>
  <c r="AH121" i="11"/>
  <c r="AI93" i="11"/>
  <c r="X92" i="11"/>
  <c r="AY58" i="11"/>
  <c r="C79" i="11"/>
  <c r="BM80" i="11"/>
  <c r="BF176" i="11"/>
  <c r="AD83" i="11"/>
  <c r="AD42" i="11"/>
  <c r="AO50" i="11"/>
  <c r="BN39" i="11"/>
  <c r="S156" i="11"/>
  <c r="K158" i="11"/>
  <c r="AO149" i="11"/>
  <c r="AI143" i="11"/>
  <c r="AQ161" i="11"/>
  <c r="BN71" i="11"/>
  <c r="AQ143" i="11"/>
  <c r="AW99" i="11"/>
  <c r="AP124" i="11"/>
  <c r="AM102" i="11"/>
  <c r="R57" i="11"/>
  <c r="AC138" i="11"/>
  <c r="BA170" i="11"/>
  <c r="BL33" i="11"/>
  <c r="AL66" i="11"/>
  <c r="AW176" i="11"/>
  <c r="AF178" i="11"/>
  <c r="AH175" i="11"/>
  <c r="AE111" i="11"/>
  <c r="BH47" i="11"/>
  <c r="AJ72" i="11"/>
  <c r="BC63" i="11"/>
  <c r="AE34" i="11"/>
  <c r="Y140" i="11"/>
  <c r="BG171" i="11"/>
  <c r="U113" i="11"/>
  <c r="Z62" i="11"/>
  <c r="L165" i="11"/>
  <c r="AL157" i="11"/>
  <c r="AX177" i="11"/>
  <c r="V48" i="11"/>
  <c r="BK159" i="11"/>
  <c r="AN87" i="11"/>
  <c r="S32" i="11"/>
  <c r="AG70" i="11"/>
  <c r="BA147" i="11"/>
  <c r="AF63" i="11"/>
  <c r="J33" i="11"/>
  <c r="BL51" i="11"/>
  <c r="Q62" i="11"/>
  <c r="X82" i="11"/>
  <c r="AP118" i="11"/>
  <c r="BA99" i="11"/>
  <c r="AO72" i="11"/>
  <c r="BJ52" i="11"/>
  <c r="BD53" i="11"/>
  <c r="AT159" i="11"/>
  <c r="V32" i="11"/>
  <c r="Z91" i="11"/>
  <c r="BK111" i="11"/>
  <c r="AE158" i="11"/>
  <c r="N160" i="11"/>
  <c r="AN69" i="11"/>
  <c r="G58" i="11"/>
  <c r="BG113" i="11"/>
  <c r="C164" i="11"/>
  <c r="AZ127" i="11"/>
  <c r="BM99" i="11"/>
  <c r="P144" i="11"/>
  <c r="K174" i="11"/>
  <c r="AI112" i="11"/>
  <c r="AN156" i="11"/>
  <c r="AO171" i="11"/>
  <c r="O160" i="11"/>
  <c r="AL175" i="11"/>
  <c r="BH39" i="11"/>
  <c r="AS54" i="11"/>
  <c r="AK65" i="11"/>
  <c r="V107" i="11"/>
  <c r="BL55" i="11"/>
  <c r="AV42" i="11"/>
  <c r="AX128" i="11"/>
  <c r="AJ151" i="11"/>
  <c r="AO86" i="11"/>
  <c r="AN70" i="11"/>
  <c r="BL127" i="11"/>
  <c r="BE70" i="11"/>
  <c r="BN116" i="11"/>
  <c r="AY144" i="11"/>
  <c r="BM137" i="11"/>
  <c r="AH113" i="11"/>
  <c r="AT27" i="11"/>
  <c r="AX117" i="11"/>
  <c r="BA152" i="11"/>
  <c r="AP179" i="11"/>
  <c r="BI33" i="11"/>
  <c r="AF27" i="11"/>
  <c r="W40" i="11"/>
  <c r="AH141" i="11"/>
  <c r="Y49" i="11"/>
  <c r="AN60" i="11"/>
  <c r="I70" i="11"/>
  <c r="AH111" i="11"/>
  <c r="AO161" i="11"/>
  <c r="Y123" i="11"/>
  <c r="AW130" i="11"/>
  <c r="AS57" i="11"/>
  <c r="I132" i="11"/>
  <c r="AE68" i="11"/>
  <c r="BF69" i="11"/>
  <c r="V164" i="11"/>
  <c r="AX95" i="11"/>
  <c r="AF142" i="11"/>
  <c r="AP170" i="11"/>
  <c r="R166" i="11"/>
  <c r="U157" i="11"/>
  <c r="Z85" i="11"/>
  <c r="BD72" i="11"/>
  <c r="AY127" i="11"/>
  <c r="X51" i="11"/>
  <c r="Y120" i="11"/>
  <c r="I63" i="11"/>
  <c r="AQ93" i="11"/>
  <c r="W72" i="11"/>
  <c r="Q31" i="11"/>
  <c r="S177" i="11"/>
  <c r="I100" i="11"/>
  <c r="AG51" i="11"/>
  <c r="AE94" i="11"/>
  <c r="AH57" i="11"/>
  <c r="AQ159" i="11"/>
  <c r="K171" i="11"/>
  <c r="AU102" i="11"/>
  <c r="AE108" i="11"/>
  <c r="AS85" i="11"/>
  <c r="AK96" i="11"/>
  <c r="AE32" i="11"/>
  <c r="AT44" i="11"/>
  <c r="AQ155" i="11"/>
  <c r="R53" i="11"/>
  <c r="BE28" i="11"/>
  <c r="W132" i="11"/>
  <c r="BL123" i="11"/>
  <c r="Y42" i="11"/>
  <c r="AW101" i="11"/>
  <c r="Q173" i="11"/>
  <c r="BE100" i="11"/>
  <c r="Q169" i="11"/>
  <c r="AU163" i="11"/>
  <c r="AW115" i="11"/>
  <c r="Q113" i="11"/>
  <c r="S39" i="11"/>
  <c r="Z56" i="11"/>
  <c r="BM74" i="11"/>
  <c r="AK54" i="11"/>
  <c r="U111" i="11"/>
  <c r="Z47" i="11"/>
  <c r="Q164" i="11"/>
  <c r="BH103" i="11"/>
  <c r="O100" i="11"/>
  <c r="AO136" i="11"/>
  <c r="G96" i="11"/>
  <c r="O101" i="11"/>
  <c r="T86" i="11"/>
  <c r="AZ27" i="11"/>
  <c r="BM31" i="11"/>
  <c r="P41" i="11"/>
  <c r="AY120" i="11"/>
  <c r="K107" i="11"/>
  <c r="AC69" i="11"/>
  <c r="AH95" i="11"/>
  <c r="AP70" i="11"/>
  <c r="U57" i="11"/>
  <c r="BK33" i="11"/>
  <c r="BE156" i="11"/>
  <c r="BB173" i="11"/>
  <c r="AZ156" i="11"/>
  <c r="BL119" i="11"/>
  <c r="AJ156" i="11"/>
  <c r="V81" i="11"/>
  <c r="R89" i="11"/>
  <c r="BK112" i="11"/>
  <c r="AB159" i="11"/>
  <c r="BB40" i="11"/>
  <c r="AD30" i="11"/>
  <c r="L49" i="11"/>
  <c r="AW165" i="11"/>
  <c r="BM33" i="11"/>
  <c r="AN164" i="11"/>
  <c r="AZ97" i="11"/>
  <c r="C77" i="11"/>
  <c r="AS104" i="11"/>
  <c r="BK155" i="11"/>
  <c r="J142" i="11"/>
  <c r="AX57" i="11"/>
  <c r="AM101" i="11"/>
  <c r="AE159" i="11"/>
  <c r="K145" i="11"/>
  <c r="AA140" i="11"/>
  <c r="N76" i="11"/>
  <c r="AE124" i="11"/>
  <c r="BK49" i="11"/>
  <c r="AI124" i="11"/>
  <c r="H84" i="11"/>
  <c r="J117" i="11"/>
  <c r="BG35" i="11"/>
  <c r="BF143" i="11"/>
  <c r="BK39" i="11"/>
  <c r="BG92" i="11"/>
  <c r="AO114" i="11"/>
  <c r="W107" i="11"/>
  <c r="BM83" i="11"/>
  <c r="BG95" i="11"/>
  <c r="S121" i="11"/>
  <c r="O125" i="11"/>
  <c r="I73" i="11"/>
  <c r="BA75" i="11"/>
  <c r="BH177" i="11"/>
  <c r="J151" i="11"/>
  <c r="X148" i="11"/>
  <c r="AO101" i="11"/>
  <c r="U77" i="11"/>
  <c r="BA146" i="11"/>
  <c r="AQ103" i="11"/>
  <c r="AF124" i="11"/>
  <c r="AY32" i="11"/>
  <c r="AS155" i="11"/>
  <c r="H119" i="11"/>
  <c r="H52" i="11"/>
  <c r="BH119" i="11"/>
  <c r="AI159" i="11"/>
  <c r="AO166" i="11"/>
  <c r="C120" i="11"/>
  <c r="AR39" i="11"/>
  <c r="AH168" i="11"/>
  <c r="AX37" i="11"/>
  <c r="AE141" i="11"/>
  <c r="C118" i="11"/>
  <c r="AF37" i="11"/>
  <c r="AQ60" i="11"/>
  <c r="AF38" i="11"/>
  <c r="BI82" i="11"/>
  <c r="AP144" i="11"/>
  <c r="BC113" i="11"/>
  <c r="C49" i="11"/>
  <c r="AS195" i="11"/>
  <c r="J105" i="11"/>
  <c r="Z70" i="11"/>
  <c r="AQ138" i="11"/>
  <c r="AM48" i="11"/>
  <c r="BN103" i="11"/>
  <c r="S142" i="11"/>
  <c r="I145" i="11"/>
  <c r="T177" i="11"/>
  <c r="AO118" i="11"/>
  <c r="AG37" i="11"/>
  <c r="AR69" i="11"/>
  <c r="AN86" i="11"/>
  <c r="W153" i="11"/>
  <c r="U63" i="11"/>
  <c r="AD168" i="11"/>
  <c r="O152" i="11"/>
  <c r="R153" i="11"/>
  <c r="AN165" i="11"/>
  <c r="V76" i="11"/>
  <c r="AS84" i="11"/>
  <c r="BE150" i="11"/>
  <c r="AC130" i="11"/>
  <c r="G162" i="11"/>
  <c r="T51" i="11"/>
  <c r="AA119" i="11"/>
  <c r="AN89" i="11"/>
  <c r="AE41" i="11"/>
  <c r="BC92" i="11"/>
  <c r="L48" i="11"/>
  <c r="AK73" i="11"/>
  <c r="AD39" i="11"/>
  <c r="AR38" i="11"/>
  <c r="AB150" i="11"/>
  <c r="BN90" i="11"/>
  <c r="AO147" i="11"/>
  <c r="N80" i="11"/>
  <c r="J75" i="11"/>
  <c r="AK34" i="11"/>
  <c r="O54" i="11"/>
  <c r="AW39" i="11"/>
  <c r="AE150" i="11"/>
  <c r="AI62" i="11"/>
  <c r="R161" i="11"/>
  <c r="M40" i="11"/>
  <c r="G140" i="11"/>
  <c r="U133" i="11"/>
  <c r="AG139" i="11"/>
  <c r="P147" i="11"/>
  <c r="K167" i="11"/>
  <c r="P59" i="11"/>
  <c r="AV34" i="11"/>
  <c r="L153" i="11"/>
  <c r="Q137" i="11"/>
  <c r="M81" i="11"/>
  <c r="Y134" i="11"/>
  <c r="AI85" i="11"/>
  <c r="BG155" i="11"/>
  <c r="BJ51" i="11"/>
  <c r="O59" i="11"/>
  <c r="BA60" i="11"/>
  <c r="AX163" i="11"/>
  <c r="AZ26" i="11"/>
  <c r="BJ82" i="11"/>
  <c r="AL145" i="11"/>
  <c r="O102" i="11"/>
  <c r="BL75" i="11"/>
  <c r="BL158" i="11"/>
  <c r="AS94" i="11"/>
  <c r="G136" i="11"/>
  <c r="AK169" i="11"/>
  <c r="BH122" i="11"/>
  <c r="U98" i="11"/>
  <c r="I119" i="11"/>
  <c r="BB69" i="11"/>
  <c r="O60" i="11"/>
  <c r="BL104" i="11"/>
  <c r="X43" i="11"/>
  <c r="BG60" i="11"/>
  <c r="AF169" i="11"/>
  <c r="V68" i="11"/>
  <c r="AI32" i="11"/>
  <c r="AU172" i="11"/>
  <c r="AP36" i="11"/>
  <c r="BL26" i="11"/>
  <c r="BL167" i="11"/>
  <c r="AA114" i="11"/>
  <c r="K103" i="11"/>
  <c r="K154" i="11"/>
  <c r="AF139" i="11"/>
  <c r="BB60" i="11"/>
  <c r="AZ167" i="11"/>
  <c r="AK81" i="11"/>
  <c r="AQ87" i="11"/>
  <c r="U144" i="11"/>
  <c r="BC51" i="11"/>
  <c r="P123" i="11"/>
  <c r="AY67" i="11"/>
  <c r="AY50" i="11"/>
  <c r="V63" i="11"/>
  <c r="AZ92" i="11"/>
  <c r="AF59" i="11"/>
  <c r="Z88" i="11"/>
  <c r="AR101" i="11"/>
  <c r="BA53" i="11"/>
  <c r="N79" i="11"/>
  <c r="W115" i="11"/>
  <c r="AM53" i="11"/>
  <c r="BD143" i="11"/>
  <c r="L133" i="11"/>
  <c r="AK52" i="11"/>
  <c r="AU73" i="11"/>
  <c r="Y126" i="11"/>
  <c r="AJ144" i="11"/>
  <c r="AK87" i="11"/>
  <c r="AP72" i="11"/>
  <c r="AL176" i="11"/>
  <c r="M104" i="11"/>
  <c r="AH67" i="11"/>
  <c r="O52" i="11"/>
  <c r="BC86" i="11"/>
  <c r="R112" i="11"/>
  <c r="N145" i="11"/>
  <c r="AO119" i="11"/>
  <c r="AL65" i="11"/>
  <c r="Q101" i="11"/>
  <c r="U42" i="11"/>
  <c r="AG61" i="11"/>
  <c r="N150" i="11"/>
  <c r="AK53" i="11"/>
  <c r="AL57" i="11"/>
  <c r="AN88" i="11"/>
  <c r="J175" i="11"/>
  <c r="BH135" i="11"/>
  <c r="Q142" i="11"/>
  <c r="BG69" i="11"/>
  <c r="AV108" i="11"/>
  <c r="BA43" i="11"/>
  <c r="AU153" i="11"/>
  <c r="W119" i="11"/>
  <c r="AI36" i="11"/>
  <c r="BE56" i="11"/>
  <c r="AQ151" i="11"/>
  <c r="BM140" i="11"/>
  <c r="AR129" i="11"/>
  <c r="N34" i="11"/>
  <c r="AA86" i="11"/>
  <c r="C46" i="11"/>
  <c r="U170" i="11"/>
  <c r="S158" i="11"/>
  <c r="AG108" i="11"/>
  <c r="AP131" i="11"/>
  <c r="X163" i="11"/>
  <c r="BD135" i="11"/>
  <c r="AK84" i="11"/>
  <c r="U44" i="11"/>
  <c r="AR143" i="11"/>
  <c r="AQ185" i="11"/>
  <c r="AF154" i="11"/>
  <c r="O166" i="11"/>
  <c r="AC168" i="11"/>
  <c r="BC129" i="11"/>
  <c r="AE83" i="11"/>
  <c r="P132" i="11"/>
  <c r="H98" i="11"/>
  <c r="AC52" i="11"/>
  <c r="AF60" i="11"/>
  <c r="BI170" i="11"/>
  <c r="BH131" i="11"/>
  <c r="AC142" i="11"/>
  <c r="AL154" i="11"/>
  <c r="BJ28" i="11"/>
  <c r="C125" i="11"/>
  <c r="W83" i="11"/>
  <c r="L129" i="11"/>
  <c r="BL79" i="11"/>
  <c r="K56" i="11"/>
  <c r="R144" i="11"/>
  <c r="Y64" i="11"/>
  <c r="S56" i="11"/>
  <c r="C150" i="11"/>
  <c r="AQ128" i="11"/>
  <c r="AD157" i="11"/>
  <c r="BM46" i="11"/>
  <c r="Z177" i="11"/>
  <c r="I29" i="11"/>
  <c r="BA176" i="11"/>
  <c r="AW96" i="11"/>
  <c r="H115" i="11"/>
  <c r="BJ80" i="11"/>
  <c r="X72" i="11"/>
  <c r="AS127" i="11"/>
  <c r="G78" i="11"/>
  <c r="BA136" i="11"/>
  <c r="AD163" i="11"/>
  <c r="AZ143" i="11"/>
  <c r="N134" i="11"/>
  <c r="BF147" i="11"/>
  <c r="G33" i="11"/>
  <c r="Z29" i="11"/>
  <c r="T119" i="11"/>
  <c r="H79" i="11"/>
  <c r="S102" i="11"/>
  <c r="Z102" i="11"/>
  <c r="O72" i="11"/>
  <c r="BH37" i="11"/>
  <c r="BJ87" i="11"/>
  <c r="C154" i="11"/>
  <c r="BL121" i="11"/>
  <c r="X87" i="11"/>
  <c r="AS153" i="11"/>
  <c r="P154" i="11"/>
  <c r="C74" i="11"/>
  <c r="C100" i="11"/>
  <c r="AK168" i="11"/>
  <c r="AV83" i="11"/>
  <c r="AB110" i="11"/>
  <c r="BF106" i="11"/>
  <c r="AK108" i="11"/>
  <c r="BD127" i="11"/>
  <c r="AU101" i="11"/>
  <c r="BJ68" i="11"/>
  <c r="BJ53" i="11"/>
  <c r="AC131" i="11"/>
  <c r="M166" i="11"/>
  <c r="L146" i="11"/>
  <c r="AB73" i="11"/>
  <c r="BL94" i="11"/>
  <c r="AH115" i="11"/>
  <c r="BG128" i="11"/>
  <c r="AS166" i="11"/>
  <c r="W120" i="11"/>
  <c r="BN46" i="11"/>
  <c r="AD160" i="11"/>
  <c r="AA58" i="11"/>
  <c r="AT90" i="11"/>
  <c r="AF170" i="11"/>
  <c r="AF71" i="11"/>
  <c r="BL101" i="11"/>
  <c r="BM91" i="11"/>
  <c r="R146" i="11"/>
  <c r="AU89" i="11"/>
  <c r="AA88" i="11"/>
  <c r="AN48" i="11"/>
  <c r="AK64" i="11"/>
  <c r="BM56" i="11"/>
  <c r="AT52" i="11"/>
  <c r="AF74" i="11"/>
  <c r="AG170" i="11"/>
  <c r="J135" i="11"/>
  <c r="N39" i="11"/>
  <c r="M61" i="11"/>
  <c r="AA158" i="11"/>
  <c r="AM80" i="11"/>
  <c r="BD174" i="11"/>
  <c r="Y67" i="11"/>
  <c r="AD95" i="11"/>
  <c r="AV41" i="11"/>
  <c r="AV80" i="11"/>
  <c r="AQ171" i="11"/>
  <c r="L36" i="11"/>
  <c r="AA179" i="11"/>
  <c r="P142" i="11"/>
  <c r="AD156" i="11"/>
  <c r="AZ50" i="11"/>
  <c r="W57" i="11"/>
  <c r="BA42" i="11"/>
  <c r="AR146" i="11"/>
  <c r="BI197" i="11"/>
  <c r="AJ147" i="11"/>
  <c r="AR75" i="11"/>
  <c r="AX145" i="11"/>
  <c r="AA143" i="11"/>
  <c r="N51" i="11"/>
  <c r="BN70" i="11"/>
  <c r="T110" i="11"/>
  <c r="X77" i="11"/>
  <c r="AA118" i="11"/>
  <c r="AY37" i="11"/>
  <c r="AE128" i="11"/>
  <c r="M34" i="11"/>
  <c r="AU105" i="11"/>
  <c r="AQ63" i="11"/>
  <c r="AY153" i="11"/>
  <c r="H94" i="11"/>
  <c r="N157" i="11"/>
  <c r="S70" i="11"/>
  <c r="K30" i="11"/>
  <c r="AO70" i="11"/>
  <c r="AM151" i="11"/>
  <c r="W157" i="11"/>
  <c r="BE69" i="11"/>
  <c r="AO107" i="11"/>
  <c r="H155" i="11"/>
  <c r="BJ110" i="11"/>
  <c r="R47" i="11"/>
  <c r="AI175" i="11"/>
  <c r="N176" i="11"/>
  <c r="AQ74" i="11"/>
  <c r="AR95" i="11"/>
  <c r="I30" i="11"/>
  <c r="AI152" i="11"/>
  <c r="AC32" i="11"/>
  <c r="AA47" i="11"/>
  <c r="R167" i="11"/>
  <c r="AS71" i="11"/>
  <c r="AN84" i="11"/>
  <c r="BA50" i="11"/>
  <c r="H179" i="11"/>
  <c r="BH72" i="11"/>
  <c r="L176" i="11"/>
  <c r="L81" i="11"/>
  <c r="AJ163" i="11"/>
  <c r="BB86" i="11"/>
  <c r="N163" i="11"/>
  <c r="AU151" i="11"/>
  <c r="S95" i="11"/>
  <c r="AL155" i="11"/>
  <c r="AN155" i="11"/>
  <c r="AI37" i="11"/>
  <c r="AB131" i="11"/>
  <c r="AB115" i="11"/>
  <c r="AU147" i="11"/>
  <c r="Q57" i="11"/>
  <c r="BH148" i="11"/>
  <c r="BG41" i="11"/>
  <c r="T107" i="11"/>
  <c r="C37" i="11"/>
  <c r="AU144" i="11"/>
  <c r="AA29" i="11"/>
  <c r="BM167" i="11"/>
  <c r="BF59" i="11"/>
  <c r="BF159" i="11"/>
  <c r="J125" i="11"/>
  <c r="AT84" i="11"/>
  <c r="AH150" i="11"/>
  <c r="AA128" i="11"/>
  <c r="BI154" i="11"/>
  <c r="I129" i="11"/>
  <c r="AD115" i="11"/>
  <c r="Z137" i="11"/>
  <c r="S97" i="11"/>
  <c r="AC78" i="11"/>
  <c r="AZ180" i="11"/>
  <c r="BC136" i="11"/>
  <c r="Z127" i="11"/>
  <c r="AO133" i="11"/>
  <c r="AX31" i="11"/>
  <c r="Z66" i="11"/>
  <c r="BA47" i="11"/>
  <c r="J45" i="11"/>
  <c r="BB157" i="11"/>
  <c r="Q122" i="11"/>
  <c r="X120" i="11"/>
  <c r="L42" i="11"/>
  <c r="W154" i="11"/>
  <c r="S171" i="11"/>
  <c r="BL162" i="11"/>
  <c r="BE102" i="11"/>
  <c r="BJ112" i="11"/>
  <c r="P79" i="11"/>
  <c r="BI103" i="11"/>
  <c r="S42" i="11"/>
  <c r="AH77" i="11"/>
  <c r="AK177" i="11"/>
  <c r="AR71" i="11"/>
  <c r="BH175" i="11"/>
  <c r="AW70" i="11"/>
  <c r="AI147" i="11"/>
  <c r="BN82" i="11"/>
  <c r="X154" i="11"/>
  <c r="BJ115" i="11"/>
  <c r="H44" i="11"/>
  <c r="AL195" i="11"/>
  <c r="X55" i="11"/>
  <c r="C159" i="11"/>
  <c r="BE122" i="11"/>
  <c r="BC54" i="11"/>
  <c r="H87" i="11"/>
  <c r="Y38" i="11"/>
  <c r="P174" i="11"/>
  <c r="O89" i="11"/>
  <c r="BH38" i="11"/>
  <c r="AL141" i="11"/>
  <c r="R41" i="11"/>
  <c r="AZ169" i="11"/>
  <c r="R121" i="11"/>
  <c r="AD134" i="11"/>
  <c r="T100" i="11"/>
  <c r="AF112" i="11"/>
  <c r="H131" i="11"/>
  <c r="AP63" i="11"/>
  <c r="BA98" i="11"/>
  <c r="Y159" i="11"/>
  <c r="BM60" i="11"/>
  <c r="BJ31" i="11"/>
  <c r="AE40" i="11"/>
  <c r="BK73" i="11"/>
  <c r="Q130" i="11"/>
  <c r="AJ73" i="11"/>
  <c r="BM129" i="11"/>
  <c r="AO177" i="11"/>
  <c r="BC110" i="11"/>
  <c r="AG84" i="11"/>
  <c r="BC156" i="11"/>
  <c r="AC97" i="11"/>
  <c r="AC172" i="11"/>
  <c r="J168" i="11"/>
  <c r="AC153" i="11"/>
  <c r="AX135" i="11"/>
  <c r="AN103" i="11"/>
  <c r="O41" i="11"/>
  <c r="AG100" i="11"/>
  <c r="BJ35" i="11"/>
  <c r="AS144" i="11"/>
  <c r="Q29" i="11"/>
  <c r="AS99" i="11"/>
  <c r="BD144" i="11"/>
  <c r="AB61" i="11"/>
  <c r="BJ178" i="11"/>
  <c r="C176" i="11"/>
  <c r="BB77" i="11"/>
  <c r="AU80" i="11"/>
  <c r="AI35" i="11"/>
  <c r="BF49" i="11"/>
  <c r="BF160" i="11"/>
  <c r="BA105" i="11"/>
  <c r="BA78" i="11"/>
  <c r="AD75" i="11"/>
  <c r="AZ55" i="11"/>
  <c r="AT165" i="11"/>
  <c r="Z37" i="11"/>
  <c r="Z79" i="11"/>
  <c r="AC96" i="11"/>
  <c r="AF174" i="11"/>
  <c r="BJ122" i="11"/>
  <c r="W174" i="11"/>
  <c r="BH52" i="11"/>
  <c r="X141" i="11"/>
  <c r="BL32" i="11"/>
  <c r="L112" i="11"/>
  <c r="AX164" i="11"/>
  <c r="S31" i="11"/>
  <c r="BC60" i="11"/>
  <c r="M32" i="11"/>
  <c r="AA108" i="11"/>
  <c r="U115" i="11"/>
  <c r="AE105" i="11"/>
  <c r="H112" i="11"/>
  <c r="BA64" i="11"/>
  <c r="BN69" i="11"/>
  <c r="BK70" i="11"/>
  <c r="BH85" i="11"/>
  <c r="G101" i="11"/>
  <c r="AG80" i="11"/>
  <c r="AO143" i="11"/>
  <c r="H100" i="11"/>
  <c r="BC118" i="11"/>
  <c r="Q92" i="11"/>
  <c r="W41" i="11"/>
  <c r="BH117" i="11"/>
  <c r="BL113" i="11"/>
  <c r="W112" i="11"/>
  <c r="AS101" i="11"/>
  <c r="S91" i="11"/>
  <c r="BM26" i="11"/>
  <c r="O56" i="11"/>
  <c r="BD176" i="11"/>
  <c r="BI73" i="11"/>
  <c r="N30" i="11"/>
  <c r="BH157" i="11"/>
  <c r="BK69" i="11"/>
  <c r="AW31" i="11"/>
  <c r="BB172" i="11"/>
  <c r="AY110" i="11"/>
  <c r="AJ171" i="11"/>
  <c r="Q46" i="11"/>
  <c r="X114" i="11"/>
  <c r="AF98" i="11"/>
  <c r="AW143" i="11"/>
  <c r="L63" i="11"/>
  <c r="Z169" i="11"/>
  <c r="BF27" i="11"/>
  <c r="AG101" i="11"/>
  <c r="BH86" i="11"/>
  <c r="G139" i="11"/>
  <c r="BH44" i="11"/>
  <c r="Y144" i="11"/>
  <c r="BC119" i="11"/>
  <c r="BK47" i="11"/>
  <c r="AY64" i="11"/>
  <c r="BI78" i="11"/>
  <c r="BE151" i="11"/>
  <c r="BL84" i="11"/>
  <c r="AP38" i="11"/>
  <c r="I133" i="11"/>
  <c r="T34" i="11"/>
  <c r="AS48" i="11"/>
  <c r="AY140" i="11"/>
  <c r="R165" i="11"/>
  <c r="AY59" i="11"/>
  <c r="AS103" i="11"/>
  <c r="AE47" i="11"/>
  <c r="AC103" i="11"/>
  <c r="AA107" i="11"/>
  <c r="P63" i="11"/>
  <c r="AE51" i="11"/>
  <c r="S40" i="11"/>
  <c r="BN137" i="11"/>
  <c r="I102" i="11"/>
  <c r="BM157" i="11"/>
  <c r="AF159" i="11"/>
  <c r="AG36" i="11"/>
  <c r="AE61" i="11"/>
  <c r="AA149" i="11"/>
  <c r="W106" i="11"/>
  <c r="BH32" i="11"/>
  <c r="AN81" i="11"/>
  <c r="X88" i="11"/>
  <c r="H81" i="11"/>
  <c r="BC42" i="11"/>
  <c r="AD44" i="11"/>
  <c r="AT140" i="11"/>
  <c r="AS80" i="11"/>
  <c r="U172" i="11"/>
  <c r="AS41" i="11"/>
  <c r="AR119" i="11"/>
  <c r="AV91" i="11"/>
  <c r="P122" i="11"/>
  <c r="AK131" i="11"/>
  <c r="BE123" i="11"/>
  <c r="BG115" i="11"/>
  <c r="I66" i="11"/>
  <c r="BF93" i="11"/>
  <c r="AU91" i="11"/>
  <c r="R45" i="11"/>
  <c r="AL172" i="11"/>
  <c r="H64" i="11"/>
  <c r="AK97" i="11"/>
  <c r="BM143" i="11"/>
  <c r="BB120" i="11"/>
  <c r="AI91" i="11"/>
  <c r="AT49" i="11"/>
  <c r="AK119" i="11"/>
  <c r="S68" i="11"/>
  <c r="X171" i="11"/>
  <c r="S67" i="11"/>
  <c r="AM104" i="11"/>
  <c r="BK101" i="11"/>
  <c r="BF118" i="11"/>
  <c r="J43" i="11"/>
  <c r="AH185" i="11"/>
  <c r="AV110" i="11"/>
  <c r="BH96" i="11"/>
  <c r="M58" i="11"/>
  <c r="R50" i="11"/>
  <c r="P75" i="11"/>
  <c r="BJ175" i="11"/>
  <c r="O145" i="11"/>
  <c r="AZ150" i="11"/>
  <c r="Y152" i="11"/>
  <c r="C101" i="11"/>
  <c r="AU71" i="11"/>
  <c r="BG118" i="11"/>
  <c r="L73" i="11"/>
  <c r="K130" i="11"/>
  <c r="AG95" i="11"/>
  <c r="M116" i="11"/>
  <c r="AW138" i="11"/>
  <c r="BN98" i="11"/>
  <c r="AW173" i="11"/>
  <c r="X44" i="11"/>
  <c r="BB49" i="11"/>
  <c r="BM75" i="11"/>
  <c r="AA131" i="11"/>
  <c r="Q157" i="11"/>
  <c r="BD138" i="11"/>
  <c r="BJ130" i="11"/>
  <c r="S113" i="11"/>
  <c r="M64" i="11"/>
  <c r="Q133" i="11"/>
  <c r="AX53" i="11"/>
  <c r="AF161" i="11"/>
  <c r="BD36" i="11"/>
  <c r="BJ84" i="11"/>
  <c r="BA100" i="11"/>
  <c r="O97" i="11"/>
  <c r="BL96" i="11"/>
  <c r="V129" i="11"/>
  <c r="P46" i="11"/>
  <c r="AL165" i="11"/>
  <c r="N112" i="11"/>
  <c r="AM108" i="11"/>
  <c r="O106" i="11"/>
  <c r="AW51" i="11"/>
  <c r="BA32" i="11"/>
  <c r="M91" i="11"/>
  <c r="J44" i="11"/>
  <c r="AJ135" i="11"/>
  <c r="J69" i="11"/>
  <c r="M146" i="11"/>
  <c r="V54" i="11"/>
  <c r="V74" i="11"/>
  <c r="V91" i="11"/>
  <c r="Y133" i="11"/>
  <c r="T139" i="11"/>
  <c r="I134" i="11"/>
  <c r="X180" i="11"/>
  <c r="Q160" i="11"/>
  <c r="BN36" i="11"/>
  <c r="AR32" i="11"/>
  <c r="AS164" i="11"/>
  <c r="BJ85" i="11"/>
  <c r="BF164" i="11"/>
  <c r="X45" i="11"/>
  <c r="AR78" i="11"/>
  <c r="AW42" i="11"/>
  <c r="AE90" i="11"/>
  <c r="AF28" i="11"/>
  <c r="AZ36" i="11"/>
  <c r="U128" i="11"/>
  <c r="BH149" i="11"/>
  <c r="T46" i="11"/>
  <c r="AU155" i="11"/>
  <c r="H137" i="11"/>
  <c r="AG68" i="11"/>
  <c r="V128" i="11"/>
  <c r="BG97" i="11"/>
  <c r="H132" i="11"/>
  <c r="AO84" i="11"/>
  <c r="T131" i="11"/>
  <c r="BM59" i="11"/>
  <c r="O74" i="11"/>
  <c r="U150" i="11"/>
  <c r="AD99" i="11"/>
  <c r="AL144" i="11"/>
  <c r="AD159" i="11"/>
  <c r="G127" i="11"/>
  <c r="L44" i="11"/>
  <c r="X128" i="11"/>
  <c r="G81" i="11"/>
  <c r="AX109" i="11"/>
  <c r="O28" i="11"/>
  <c r="H89" i="11"/>
  <c r="J79" i="11"/>
  <c r="BJ117" i="11"/>
  <c r="AM46" i="11"/>
  <c r="BE84" i="11"/>
  <c r="AE93" i="11"/>
  <c r="H162" i="11"/>
  <c r="BJ58" i="11"/>
  <c r="Z30" i="11"/>
  <c r="BM61" i="11"/>
  <c r="H49" i="11"/>
  <c r="AL29" i="11"/>
  <c r="BN63" i="11"/>
  <c r="AH36" i="11"/>
  <c r="C91" i="11"/>
  <c r="M56" i="11"/>
  <c r="BK63" i="11"/>
  <c r="BE178" i="11"/>
  <c r="T106" i="11"/>
  <c r="AE56" i="11"/>
  <c r="Y92" i="11"/>
  <c r="Z122" i="11"/>
  <c r="K178" i="11"/>
  <c r="AI176" i="11"/>
  <c r="L142" i="11"/>
  <c r="I35" i="11"/>
  <c r="X40" i="11"/>
  <c r="AE80" i="11"/>
  <c r="J81" i="11"/>
  <c r="R98" i="11"/>
  <c r="BJ157" i="11"/>
  <c r="AR160" i="11"/>
  <c r="AG134" i="11"/>
  <c r="K77" i="11"/>
  <c r="AM86" i="11"/>
  <c r="AE85" i="11"/>
  <c r="AL128" i="11"/>
  <c r="AI99" i="11"/>
  <c r="AV178" i="11"/>
  <c r="AD46" i="11"/>
  <c r="W30" i="11"/>
  <c r="BN87" i="11"/>
  <c r="AU141" i="11"/>
  <c r="AN100" i="11"/>
  <c r="M77" i="11"/>
  <c r="BM53" i="11"/>
  <c r="H128" i="11"/>
  <c r="AZ114" i="11"/>
  <c r="R91" i="11"/>
  <c r="BF61" i="11"/>
  <c r="AK88" i="11"/>
  <c r="G52" i="11"/>
  <c r="AC30" i="11"/>
  <c r="L72" i="11"/>
  <c r="V57" i="11"/>
  <c r="BC72" i="11"/>
  <c r="BK76" i="11"/>
  <c r="AN174" i="11"/>
  <c r="T56" i="11"/>
  <c r="AT148" i="11"/>
  <c r="S74" i="11"/>
  <c r="AE127" i="11"/>
  <c r="Z153" i="11"/>
  <c r="AR147" i="11"/>
  <c r="BJ91" i="11"/>
  <c r="AD84" i="11"/>
  <c r="AY171" i="11"/>
  <c r="P101" i="11"/>
  <c r="BK107" i="11"/>
  <c r="AR169" i="11"/>
  <c r="AX55" i="11"/>
  <c r="Q38" i="11"/>
  <c r="AN57" i="11"/>
  <c r="AS89" i="11"/>
  <c r="V28" i="11"/>
  <c r="AB111" i="11"/>
  <c r="BD68" i="11"/>
  <c r="M47" i="11"/>
  <c r="AX126" i="11"/>
  <c r="BH27" i="11"/>
  <c r="AJ149" i="11"/>
  <c r="AT143" i="11"/>
  <c r="AT105" i="11"/>
  <c r="W87" i="11"/>
  <c r="BJ63" i="11"/>
  <c r="AG150" i="11"/>
  <c r="R54" i="11"/>
  <c r="BG27" i="11"/>
  <c r="M123" i="11"/>
  <c r="BL82" i="11"/>
  <c r="Y109" i="11"/>
  <c r="AA117" i="11"/>
  <c r="Y151" i="11"/>
  <c r="Z132" i="11"/>
  <c r="L85" i="11"/>
  <c r="AX141" i="11"/>
  <c r="AC111" i="11"/>
  <c r="AM184" i="11"/>
  <c r="BI26" i="11"/>
  <c r="AI156" i="11"/>
  <c r="AU138" i="11"/>
  <c r="V35" i="11"/>
  <c r="L61" i="11"/>
  <c r="G99" i="11"/>
  <c r="AN130" i="11"/>
  <c r="S149" i="11"/>
  <c r="AB172" i="11"/>
  <c r="AY168" i="11"/>
  <c r="AR105" i="11"/>
  <c r="AW124" i="11"/>
  <c r="AJ172" i="11"/>
  <c r="BF31" i="11"/>
  <c r="AY177" i="11"/>
  <c r="BI167" i="11"/>
  <c r="AO155" i="11"/>
  <c r="N152" i="11"/>
  <c r="N102" i="11"/>
  <c r="BG156" i="11"/>
  <c r="U109" i="11"/>
  <c r="BC49" i="11"/>
  <c r="AW117" i="11"/>
  <c r="AX144" i="11"/>
  <c r="BA69" i="11"/>
  <c r="AR50" i="11"/>
  <c r="J51" i="11"/>
  <c r="BF52" i="11"/>
  <c r="BN141" i="11"/>
  <c r="AM168" i="11"/>
  <c r="BC170" i="11"/>
  <c r="AG38" i="11"/>
  <c r="BE179" i="11"/>
  <c r="AB137" i="11"/>
  <c r="AF56" i="11"/>
  <c r="BB127" i="11"/>
  <c r="BK133" i="11"/>
  <c r="W137" i="11"/>
  <c r="S122" i="11"/>
  <c r="BD93" i="11"/>
  <c r="N121" i="11"/>
  <c r="AG77" i="11"/>
  <c r="BL153" i="11"/>
  <c r="Z151" i="11"/>
  <c r="AQ46" i="11"/>
  <c r="BJ93" i="11"/>
  <c r="K93" i="11"/>
  <c r="P121" i="11"/>
  <c r="AH44" i="11"/>
  <c r="AD102" i="11"/>
  <c r="P129" i="11"/>
  <c r="L172" i="11"/>
  <c r="M71" i="11"/>
  <c r="AB163" i="11"/>
  <c r="BJ158" i="11"/>
  <c r="X80" i="11"/>
  <c r="X161" i="11"/>
  <c r="AL189" i="11"/>
  <c r="AT160" i="11"/>
  <c r="K70" i="11"/>
  <c r="AW116" i="11"/>
  <c r="V58" i="11"/>
  <c r="P88" i="11"/>
  <c r="BK165" i="11"/>
  <c r="C59" i="11"/>
  <c r="AW73" i="11"/>
  <c r="O81" i="11"/>
  <c r="AH86" i="11"/>
  <c r="O30" i="11"/>
  <c r="AD90" i="11"/>
  <c r="BF155" i="11"/>
  <c r="AE104" i="11"/>
  <c r="G79" i="11"/>
  <c r="P48" i="11"/>
  <c r="L84" i="11"/>
  <c r="AY45" i="11"/>
  <c r="AT30" i="11"/>
  <c r="T93" i="11"/>
  <c r="AC127" i="11"/>
  <c r="AJ68" i="11"/>
  <c r="BN147" i="11"/>
  <c r="AO148" i="11"/>
  <c r="O136" i="11"/>
  <c r="BK35" i="11"/>
  <c r="H40" i="11"/>
  <c r="AG89" i="11"/>
  <c r="L161" i="11"/>
  <c r="BB63" i="11"/>
  <c r="AB59" i="11"/>
  <c r="AO100" i="11"/>
  <c r="AC173" i="11"/>
  <c r="AU49" i="11"/>
  <c r="BB99" i="11"/>
  <c r="U116" i="11"/>
  <c r="I126" i="11"/>
  <c r="AA110" i="11"/>
  <c r="J137" i="11"/>
  <c r="BC64" i="11"/>
  <c r="AS31" i="11"/>
  <c r="L107" i="11"/>
  <c r="AF82" i="11"/>
  <c r="S106" i="11"/>
  <c r="BK68" i="11"/>
  <c r="AI113" i="11"/>
  <c r="AK152" i="11"/>
  <c r="AZ157" i="11"/>
  <c r="AP153" i="11"/>
  <c r="AS130" i="11"/>
  <c r="BK83" i="11"/>
  <c r="P94" i="11"/>
  <c r="G165" i="11"/>
  <c r="S57" i="11"/>
  <c r="BF124" i="11"/>
  <c r="AD36" i="11"/>
  <c r="AV179" i="11"/>
  <c r="BD130" i="11"/>
  <c r="BJ77" i="11"/>
  <c r="K152" i="11"/>
  <c r="BM70" i="11"/>
  <c r="AT153" i="11"/>
  <c r="Q166" i="11"/>
  <c r="BB169" i="11"/>
  <c r="BD100" i="11"/>
  <c r="BD111" i="11"/>
  <c r="U105" i="11"/>
  <c r="AN27" i="11"/>
  <c r="O87" i="11"/>
  <c r="U135" i="11"/>
  <c r="AA159" i="11"/>
  <c r="AM120" i="11"/>
  <c r="I169" i="11"/>
  <c r="BL133" i="11"/>
  <c r="AP40" i="11"/>
  <c r="AZ141" i="11"/>
  <c r="AE31" i="11"/>
  <c r="AN34" i="11"/>
  <c r="Q180" i="11"/>
  <c r="AN59" i="11"/>
  <c r="AR84" i="11"/>
  <c r="G148" i="11"/>
  <c r="Y118" i="11"/>
  <c r="C142" i="11"/>
  <c r="M171" i="11"/>
  <c r="AV136" i="11"/>
  <c r="Z81" i="11"/>
  <c r="BM124" i="11"/>
  <c r="AI105" i="11"/>
  <c r="AT142" i="11"/>
  <c r="AX111" i="11"/>
  <c r="AU40" i="11"/>
  <c r="AI65" i="11"/>
  <c r="AP139" i="11"/>
  <c r="BB81" i="11"/>
  <c r="P149" i="11"/>
  <c r="AQ166" i="11"/>
  <c r="P104" i="11"/>
  <c r="BG122" i="11"/>
  <c r="AT66" i="11"/>
  <c r="BI52" i="11"/>
  <c r="AB28" i="11"/>
  <c r="I151" i="11"/>
  <c r="BN31" i="11"/>
  <c r="AF115" i="11"/>
  <c r="AK80" i="11"/>
  <c r="AU175" i="11"/>
  <c r="AT164" i="11"/>
  <c r="AD122" i="11"/>
  <c r="AZ83" i="11"/>
  <c r="AV26" i="11"/>
  <c r="V121" i="11"/>
  <c r="M96" i="11"/>
  <c r="BL178" i="11"/>
  <c r="T176" i="11"/>
  <c r="AQ100" i="11"/>
  <c r="BB129" i="11"/>
  <c r="AQ52" i="11"/>
  <c r="AS59" i="11"/>
  <c r="BG68" i="11"/>
  <c r="W73" i="11"/>
  <c r="M168" i="11"/>
  <c r="S52" i="11"/>
  <c r="AW159" i="11"/>
  <c r="BH108" i="11"/>
  <c r="BF114" i="11"/>
  <c r="G179" i="11"/>
  <c r="Y60" i="11"/>
  <c r="O121" i="11"/>
  <c r="P171" i="11"/>
  <c r="J103" i="11"/>
  <c r="AP68" i="11"/>
  <c r="K102" i="11"/>
  <c r="AU32" i="11"/>
  <c r="H142" i="11"/>
  <c r="AN109" i="11"/>
  <c r="BH99" i="11"/>
  <c r="AW145" i="11"/>
  <c r="AH144" i="11"/>
  <c r="AK37" i="11"/>
  <c r="W58" i="11"/>
  <c r="BA97" i="11"/>
  <c r="AN108" i="11"/>
  <c r="V29" i="11"/>
  <c r="AB162" i="11"/>
  <c r="AQ29" i="11"/>
  <c r="BG62" i="11"/>
  <c r="AG44" i="11"/>
  <c r="AV166" i="11"/>
  <c r="AS60" i="11"/>
  <c r="BE73" i="11"/>
  <c r="AN49" i="11"/>
  <c r="AS115" i="11"/>
  <c r="L65" i="11"/>
  <c r="BB109" i="11"/>
  <c r="M148" i="11"/>
  <c r="BA117" i="11"/>
  <c r="AJ77" i="11"/>
  <c r="U66" i="11"/>
  <c r="AY85" i="11"/>
  <c r="M153" i="11"/>
  <c r="BC120" i="11"/>
  <c r="BA177" i="11"/>
  <c r="Y56" i="11"/>
  <c r="AX99" i="11"/>
  <c r="G128" i="11"/>
  <c r="AR81" i="11"/>
  <c r="G76" i="11"/>
  <c r="R65" i="11"/>
  <c r="H66" i="11"/>
  <c r="BI141" i="11"/>
  <c r="AP85" i="11"/>
  <c r="BJ139" i="11"/>
  <c r="AW153" i="11"/>
  <c r="BF140" i="11"/>
  <c r="BK109" i="11"/>
  <c r="BF56" i="11"/>
  <c r="V53" i="11"/>
  <c r="O67" i="11"/>
  <c r="BK80" i="11"/>
  <c r="AD55" i="11"/>
  <c r="U54" i="11"/>
  <c r="AI177" i="11"/>
  <c r="BM165" i="11"/>
  <c r="BG86" i="11"/>
  <c r="AK75" i="11"/>
  <c r="AS117" i="11"/>
  <c r="AQ104" i="11"/>
  <c r="N146" i="11"/>
  <c r="BM108" i="11"/>
  <c r="AM93" i="11"/>
  <c r="BG111" i="11"/>
  <c r="AQ160" i="11"/>
  <c r="AT129" i="11"/>
  <c r="O132" i="11"/>
  <c r="AF164" i="11"/>
  <c r="AC139" i="11"/>
  <c r="M39" i="11"/>
  <c r="X95" i="11"/>
  <c r="AV126" i="11"/>
  <c r="AV43" i="11"/>
  <c r="AQ55" i="11"/>
  <c r="P49" i="11"/>
  <c r="BB27" i="11"/>
  <c r="AU173" i="11"/>
  <c r="AO150" i="11"/>
  <c r="S151" i="11"/>
  <c r="AR122" i="11"/>
  <c r="AL93" i="11"/>
  <c r="BE155" i="11"/>
  <c r="AS73" i="11"/>
  <c r="O156" i="11"/>
  <c r="AL79" i="11"/>
  <c r="AS160" i="11"/>
  <c r="V42" i="11"/>
  <c r="AE38" i="11"/>
  <c r="AA144" i="11"/>
  <c r="Q44" i="11"/>
  <c r="BD157" i="11"/>
  <c r="L177" i="11"/>
  <c r="T148" i="11"/>
  <c r="AG64" i="11"/>
  <c r="R156" i="11"/>
  <c r="Z96" i="11"/>
  <c r="Y142" i="11"/>
  <c r="BM171" i="11"/>
  <c r="Y112" i="11"/>
  <c r="BD108" i="11"/>
  <c r="O122" i="11"/>
  <c r="C156" i="11"/>
  <c r="AG33" i="11"/>
  <c r="BG130" i="11"/>
  <c r="BJ163" i="11"/>
  <c r="P115" i="11"/>
  <c r="Q67" i="11"/>
  <c r="BI89" i="11"/>
  <c r="AC84" i="11"/>
  <c r="AY78" i="11"/>
  <c r="Y66" i="11"/>
  <c r="BC112" i="11"/>
  <c r="R101" i="11"/>
  <c r="V141" i="11"/>
  <c r="AC112" i="11"/>
  <c r="Z97" i="11"/>
  <c r="AE155" i="11"/>
  <c r="BN118" i="11"/>
  <c r="S190" i="11"/>
  <c r="P106" i="11"/>
  <c r="AU126" i="11"/>
  <c r="G53" i="11"/>
  <c r="AA74" i="11"/>
  <c r="AX49" i="11"/>
  <c r="R128" i="11"/>
  <c r="G175" i="11"/>
  <c r="AB174" i="11"/>
  <c r="W85" i="11"/>
  <c r="BI54" i="11"/>
  <c r="Z76" i="11"/>
  <c r="BI95" i="11"/>
  <c r="AF109" i="11"/>
  <c r="AL111" i="11"/>
  <c r="AY31" i="11"/>
  <c r="BE117" i="11"/>
  <c r="BM127" i="11"/>
  <c r="I94" i="11"/>
  <c r="BC48" i="11"/>
  <c r="K78" i="11"/>
  <c r="J102" i="11"/>
  <c r="BB30" i="11"/>
  <c r="AI140" i="11"/>
  <c r="AY131" i="11"/>
  <c r="BL95" i="11"/>
  <c r="J110" i="11"/>
  <c r="BN144" i="11"/>
  <c r="J82" i="11"/>
  <c r="BI44" i="11"/>
  <c r="AA163" i="11"/>
  <c r="AE72" i="11"/>
  <c r="Q78" i="11"/>
  <c r="BH105" i="11"/>
  <c r="BE105" i="11"/>
  <c r="O157" i="11"/>
  <c r="AW144" i="11"/>
  <c r="BM139" i="11"/>
  <c r="AX70" i="11"/>
  <c r="K143" i="11"/>
  <c r="AF90" i="11"/>
  <c r="AP56" i="11"/>
  <c r="AJ40" i="11"/>
  <c r="BM159" i="11"/>
  <c r="AN28" i="11"/>
  <c r="W108" i="11"/>
  <c r="BG145" i="11"/>
  <c r="W92" i="11"/>
  <c r="N66" i="11"/>
  <c r="AA111" i="11"/>
  <c r="AH41" i="11"/>
  <c r="BC162" i="11"/>
  <c r="AP125" i="11"/>
  <c r="BH141" i="11"/>
  <c r="Q102" i="11"/>
  <c r="AA32" i="11"/>
  <c r="AX162" i="11"/>
  <c r="G39" i="11"/>
  <c r="BI178" i="11"/>
  <c r="X135" i="11"/>
  <c r="BE41" i="11"/>
  <c r="BC153" i="11"/>
  <c r="AW50" i="11"/>
  <c r="AU118" i="11"/>
  <c r="AT138" i="11"/>
  <c r="BK64" i="11"/>
  <c r="Q139" i="11"/>
  <c r="Z147" i="11"/>
  <c r="BJ174" i="11"/>
  <c r="C166" i="11"/>
  <c r="AB68" i="11"/>
  <c r="AG165" i="11"/>
  <c r="AO127" i="11"/>
  <c r="BH98" i="11"/>
  <c r="BD62" i="11"/>
  <c r="AT139" i="11"/>
  <c r="AY41" i="11"/>
  <c r="Q174" i="11"/>
  <c r="R67" i="11"/>
  <c r="BJ72" i="11"/>
  <c r="BL50" i="11"/>
  <c r="BJ154" i="11"/>
  <c r="W65" i="11"/>
  <c r="K104" i="11"/>
  <c r="T101" i="11"/>
  <c r="AH129" i="11"/>
  <c r="BF66" i="11"/>
  <c r="N95" i="11"/>
  <c r="BA70" i="11"/>
  <c r="AQ67" i="11"/>
  <c r="AE153" i="11"/>
  <c r="Y87" i="11"/>
  <c r="M170" i="11"/>
  <c r="AN63" i="11"/>
  <c r="H176" i="11"/>
  <c r="BL87" i="11"/>
  <c r="S120" i="11"/>
  <c r="W42" i="11"/>
  <c r="BN45" i="11"/>
  <c r="BI144" i="11"/>
  <c r="J127" i="11"/>
  <c r="BB32" i="11"/>
  <c r="T88" i="11"/>
  <c r="R63" i="11"/>
  <c r="Q117" i="11"/>
  <c r="BB105" i="11"/>
  <c r="AZ196" i="11"/>
  <c r="AZ171" i="11"/>
  <c r="AX43" i="11"/>
  <c r="AZ72" i="11"/>
  <c r="AF101" i="11"/>
  <c r="AL44" i="11"/>
  <c r="J73" i="11"/>
  <c r="AQ116" i="11"/>
  <c r="P68" i="11"/>
  <c r="H173" i="11"/>
  <c r="N109" i="11"/>
  <c r="AT150" i="11"/>
  <c r="AI137" i="11"/>
  <c r="BL148" i="11"/>
  <c r="BN106" i="11"/>
  <c r="T58" i="11"/>
  <c r="AM156" i="11"/>
  <c r="AL159" i="11"/>
  <c r="AR108" i="11"/>
  <c r="W124" i="11"/>
  <c r="BA94" i="11"/>
  <c r="V147" i="11"/>
  <c r="AV47" i="11"/>
  <c r="O161" i="11"/>
  <c r="S164" i="11"/>
  <c r="S59" i="11"/>
  <c r="N105" i="11"/>
  <c r="AC155" i="11"/>
  <c r="AE91" i="11"/>
  <c r="AU68" i="11"/>
  <c r="AB168" i="11"/>
  <c r="AV133" i="11"/>
  <c r="M169" i="11"/>
  <c r="BA66" i="11"/>
  <c r="P31" i="11"/>
  <c r="BI35" i="11"/>
  <c r="AU165" i="11"/>
  <c r="N135" i="11"/>
  <c r="U168" i="11"/>
  <c r="N130" i="11"/>
  <c r="BJ111" i="11"/>
  <c r="AL74" i="11"/>
  <c r="BJ74" i="11"/>
  <c r="G94" i="11"/>
  <c r="N52" i="11"/>
  <c r="AH49" i="11"/>
  <c r="BL124" i="11"/>
  <c r="AC29" i="11"/>
  <c r="AD121" i="11"/>
  <c r="AZ112" i="11"/>
  <c r="AN172" i="11"/>
  <c r="O46" i="11"/>
  <c r="AU38" i="11"/>
  <c r="AH59" i="11"/>
  <c r="AR61" i="11"/>
  <c r="AG41" i="11"/>
  <c r="BL164" i="11"/>
  <c r="Y160" i="11"/>
  <c r="BC176" i="11"/>
  <c r="V160" i="11"/>
  <c r="J179" i="11"/>
  <c r="AU47" i="11"/>
  <c r="X66" i="11"/>
  <c r="T53" i="11"/>
  <c r="AP65" i="11"/>
  <c r="AE137" i="11"/>
  <c r="R143" i="11"/>
  <c r="V55" i="11"/>
  <c r="BE51" i="11"/>
  <c r="AW36" i="11"/>
  <c r="BN97" i="11"/>
  <c r="M142" i="11"/>
  <c r="G98" i="11"/>
  <c r="BD168" i="11"/>
  <c r="AQ62" i="11"/>
  <c r="Y73" i="11"/>
  <c r="AV155" i="11"/>
  <c r="W166" i="11"/>
  <c r="AX45" i="11"/>
  <c r="AD85" i="11"/>
  <c r="X56" i="11"/>
  <c r="AX66" i="11"/>
  <c r="AV88" i="11"/>
  <c r="P148" i="11"/>
  <c r="AG114" i="11"/>
  <c r="BN109" i="11"/>
  <c r="AT110" i="11"/>
  <c r="AS167" i="11"/>
  <c r="BJ108" i="11"/>
  <c r="AL151" i="11"/>
  <c r="AK47" i="11"/>
  <c r="BK113" i="11"/>
  <c r="AR74" i="11"/>
  <c r="S141" i="11"/>
  <c r="W59" i="11"/>
  <c r="AB97" i="11"/>
  <c r="H102" i="11"/>
  <c r="U74" i="11"/>
  <c r="AD33" i="11"/>
  <c r="AL171" i="11"/>
  <c r="R79" i="11"/>
  <c r="C113" i="11"/>
  <c r="L131" i="11"/>
  <c r="Z60" i="11"/>
  <c r="J121" i="11"/>
  <c r="AH143" i="11"/>
  <c r="AY84" i="11"/>
  <c r="Z98" i="11"/>
  <c r="T37" i="11"/>
  <c r="AB152" i="11"/>
  <c r="AO81" i="11"/>
  <c r="AI50" i="11"/>
  <c r="T175" i="11"/>
  <c r="O168" i="11"/>
  <c r="BA159" i="11"/>
  <c r="BH133" i="11"/>
  <c r="BH59" i="11"/>
  <c r="K71" i="11"/>
  <c r="G131" i="11"/>
  <c r="AR58" i="11"/>
  <c r="AL112" i="11"/>
  <c r="BH97" i="11"/>
  <c r="AR165" i="11"/>
  <c r="BH51" i="11"/>
  <c r="BE95" i="11"/>
  <c r="V167" i="11"/>
  <c r="AR137" i="11"/>
  <c r="BN105" i="11"/>
  <c r="AL140" i="11"/>
  <c r="U112" i="11"/>
  <c r="G169" i="11"/>
  <c r="AK68" i="11"/>
  <c r="K128" i="11"/>
  <c r="V70" i="11"/>
  <c r="I138" i="11"/>
  <c r="BN148" i="11"/>
  <c r="AQ68" i="11"/>
  <c r="BC77" i="11"/>
  <c r="M134" i="11"/>
  <c r="AS63" i="11"/>
  <c r="BL67" i="11"/>
  <c r="T129" i="11"/>
  <c r="BH101" i="11"/>
  <c r="AS131" i="11"/>
  <c r="Y161" i="11"/>
  <c r="L76" i="11"/>
  <c r="T32" i="11"/>
  <c r="C129" i="11"/>
  <c r="BG135" i="11"/>
  <c r="AW91" i="11"/>
  <c r="AY36" i="11"/>
  <c r="BM178" i="11"/>
  <c r="BI29" i="11"/>
  <c r="AK162" i="11"/>
  <c r="AB157" i="11"/>
  <c r="S53" i="11"/>
  <c r="J50" i="11"/>
  <c r="J46" i="11"/>
  <c r="AX86" i="11"/>
  <c r="AD133" i="11"/>
  <c r="AD59" i="11"/>
  <c r="AP89" i="11"/>
  <c r="Y53" i="11"/>
  <c r="X129" i="11"/>
  <c r="AL177" i="11"/>
  <c r="Q171" i="11"/>
  <c r="BK176" i="11"/>
  <c r="AA51" i="11"/>
  <c r="BB114" i="11"/>
  <c r="U83" i="11"/>
  <c r="I146" i="11"/>
  <c r="AS109" i="11"/>
  <c r="N42" i="11"/>
  <c r="AV69" i="11"/>
  <c r="BI63" i="11"/>
  <c r="U68" i="11"/>
  <c r="P109" i="11"/>
  <c r="AL80" i="11"/>
  <c r="AA59" i="11"/>
  <c r="AU160" i="11"/>
  <c r="AW123" i="11"/>
  <c r="AQ146" i="11"/>
  <c r="AN124" i="11"/>
  <c r="AX69" i="11"/>
  <c r="L88" i="11"/>
  <c r="I77" i="11"/>
  <c r="P165" i="11"/>
  <c r="M72" i="11"/>
  <c r="R37" i="11"/>
  <c r="BC164" i="11"/>
  <c r="AQ147" i="11"/>
  <c r="BC67" i="11"/>
  <c r="AO168" i="11"/>
  <c r="AE112" i="11"/>
  <c r="BJ96" i="11"/>
  <c r="Q48" i="11"/>
  <c r="AG74" i="11"/>
  <c r="AQ66" i="11"/>
  <c r="AW114" i="11"/>
  <c r="I44" i="11"/>
  <c r="J173" i="11"/>
  <c r="C148" i="11"/>
  <c r="AF168" i="11"/>
  <c r="I80" i="11"/>
  <c r="AU131" i="11"/>
  <c r="AA53" i="11"/>
  <c r="S54" i="11"/>
  <c r="I122" i="11"/>
  <c r="AJ32" i="11"/>
  <c r="U114" i="11"/>
  <c r="BH159" i="11"/>
  <c r="AJ140" i="11"/>
  <c r="AY28" i="11"/>
  <c r="AR138" i="11"/>
  <c r="BJ109" i="11"/>
  <c r="Z43" i="11"/>
  <c r="AF45" i="11"/>
  <c r="G156" i="11"/>
  <c r="BJ67" i="11"/>
  <c r="AS171" i="11"/>
  <c r="AH153" i="11"/>
  <c r="AC135" i="11"/>
  <c r="K126" i="11"/>
  <c r="BE89" i="11"/>
  <c r="BJ143" i="11"/>
  <c r="AD124" i="11"/>
  <c r="AZ30" i="11"/>
  <c r="AL130" i="11"/>
  <c r="AJ153" i="11"/>
  <c r="L152" i="11"/>
  <c r="V110" i="11"/>
  <c r="AT147" i="11"/>
  <c r="BN136" i="11"/>
  <c r="Q65" i="11"/>
  <c r="BG96" i="11"/>
  <c r="AW170" i="11"/>
  <c r="AA171" i="11"/>
  <c r="X149" i="11"/>
  <c r="BL62" i="11"/>
  <c r="AG109" i="11"/>
  <c r="O83" i="11"/>
  <c r="AX179" i="11"/>
  <c r="AA174" i="11"/>
  <c r="BE153" i="11"/>
  <c r="K63" i="11"/>
  <c r="I57" i="11"/>
  <c r="AR164" i="11"/>
  <c r="BJ59" i="11"/>
  <c r="AZ28" i="11"/>
  <c r="X39" i="11"/>
  <c r="AJ133" i="11"/>
  <c r="AG53" i="11"/>
  <c r="BI31" i="11"/>
  <c r="G157" i="11"/>
  <c r="AM71" i="11"/>
  <c r="AO159" i="11"/>
  <c r="AV104" i="11"/>
  <c r="AY51" i="11"/>
  <c r="AU44" i="11"/>
  <c r="BF132" i="11"/>
  <c r="L97" i="11"/>
  <c r="T146" i="11"/>
  <c r="H156" i="11"/>
  <c r="BK149" i="11"/>
  <c r="AP80" i="11"/>
  <c r="AP129" i="11"/>
  <c r="I78" i="11"/>
  <c r="Y166" i="11"/>
  <c r="AU31" i="11"/>
  <c r="AE96" i="11"/>
  <c r="Z41" i="11"/>
  <c r="BK89" i="11"/>
  <c r="AC88" i="11"/>
  <c r="BJ129" i="11"/>
  <c r="T118" i="11"/>
  <c r="BA119" i="11"/>
  <c r="X176" i="11"/>
  <c r="M175" i="11"/>
  <c r="AH68" i="11"/>
  <c r="AC147" i="11"/>
  <c r="BE137" i="11"/>
  <c r="C110" i="11"/>
  <c r="AC110" i="11"/>
  <c r="V109" i="11"/>
  <c r="I164" i="11"/>
  <c r="AC167" i="11"/>
  <c r="X144" i="11"/>
  <c r="N172" i="11"/>
  <c r="C178" i="11"/>
  <c r="AD164" i="11"/>
  <c r="AE166" i="11"/>
  <c r="AF153" i="11"/>
  <c r="AV68" i="11"/>
  <c r="AT125" i="11"/>
  <c r="K44" i="11"/>
  <c r="K177" i="11"/>
  <c r="M27" i="11"/>
  <c r="BC148" i="11"/>
  <c r="C127" i="11"/>
  <c r="AS172" i="11"/>
  <c r="AA106" i="11"/>
  <c r="AP109" i="11"/>
  <c r="BM154" i="11"/>
  <c r="BF139" i="11"/>
  <c r="BD66" i="11"/>
  <c r="X105" i="11"/>
  <c r="AH118" i="11"/>
  <c r="AV74" i="11"/>
  <c r="AY169" i="11"/>
  <c r="G129" i="11"/>
  <c r="AI45" i="11"/>
  <c r="BC157" i="11"/>
  <c r="C78" i="11"/>
  <c r="BJ159" i="11"/>
  <c r="AM94" i="11"/>
  <c r="AO167" i="11"/>
  <c r="AR34" i="11"/>
  <c r="AX150" i="11"/>
  <c r="AK59" i="11"/>
  <c r="BF151" i="11"/>
  <c r="AX68" i="11"/>
  <c r="P127" i="11"/>
  <c r="M79" i="11"/>
  <c r="N180" i="11"/>
  <c r="AE148" i="11"/>
  <c r="AJ100" i="11"/>
  <c r="J76" i="11"/>
  <c r="W44" i="11"/>
  <c r="AU56" i="11"/>
  <c r="AP39" i="11"/>
  <c r="AI46" i="11"/>
  <c r="U166" i="11"/>
  <c r="BG57" i="11"/>
  <c r="BN111" i="11"/>
  <c r="AT102" i="11"/>
  <c r="M33" i="11"/>
  <c r="AL107" i="11"/>
  <c r="AK71" i="11"/>
  <c r="AS140" i="11"/>
  <c r="BD33" i="11"/>
  <c r="BE181" i="11"/>
  <c r="AA38" i="11"/>
  <c r="AL48" i="11"/>
  <c r="AX85" i="11"/>
  <c r="C177" i="11"/>
  <c r="BK179" i="11"/>
  <c r="AE177" i="11"/>
  <c r="U73" i="11"/>
  <c r="BN124" i="11"/>
  <c r="BJ123" i="11"/>
  <c r="AM144" i="11"/>
  <c r="AC145" i="11"/>
  <c r="J132" i="11"/>
  <c r="C174" i="11"/>
  <c r="BE104" i="11"/>
  <c r="AX73" i="11"/>
  <c r="J57" i="11"/>
  <c r="BK43" i="11"/>
  <c r="R137" i="11"/>
  <c r="V143" i="11"/>
  <c r="BL174" i="11"/>
  <c r="AL52" i="11"/>
  <c r="AF146" i="11"/>
  <c r="I42" i="11"/>
  <c r="X68" i="11"/>
  <c r="BG162" i="11"/>
  <c r="AV49" i="11"/>
  <c r="C94" i="11"/>
  <c r="AJ28" i="11"/>
  <c r="AY97" i="11"/>
  <c r="AJ126" i="11"/>
  <c r="W50" i="11"/>
  <c r="BD128" i="11"/>
  <c r="M110" i="11"/>
  <c r="M125" i="11"/>
  <c r="N168" i="11"/>
  <c r="BI70" i="11"/>
  <c r="BI68" i="11"/>
  <c r="AI128" i="11"/>
  <c r="AC151" i="11"/>
  <c r="BN150" i="11"/>
  <c r="P176" i="11"/>
  <c r="AG137" i="11"/>
  <c r="BC174" i="11"/>
  <c r="BB148" i="8"/>
  <c r="BC148" i="8" s="1"/>
  <c r="BB166" i="8"/>
  <c r="BC166" i="8" s="1"/>
  <c r="BB231" i="8"/>
  <c r="BC231" i="8" s="1"/>
  <c r="BB307" i="8"/>
  <c r="BC307" i="8" s="1"/>
  <c r="BB395" i="8"/>
  <c r="BC395" i="8" s="1"/>
  <c r="BB412" i="8"/>
  <c r="BC412" i="8" s="1"/>
  <c r="BB465" i="8"/>
  <c r="BC465" i="8" s="1"/>
  <c r="BB134" i="8"/>
  <c r="BC134" i="8" s="1"/>
  <c r="BB415" i="8"/>
  <c r="BC415" i="8" s="1"/>
  <c r="BB247" i="8"/>
  <c r="BC247" i="8" s="1"/>
  <c r="BB177" i="8"/>
  <c r="BC177" i="8" s="1"/>
  <c r="BB532" i="8"/>
  <c r="BC532" i="8" s="1"/>
  <c r="BB140" i="8"/>
  <c r="BC140" i="8" s="1"/>
  <c r="BB202" i="8"/>
  <c r="BC202" i="8" s="1"/>
  <c r="BB265" i="8"/>
  <c r="BC265" i="8" s="1"/>
  <c r="BB336" i="8"/>
  <c r="BC336" i="8" s="1"/>
  <c r="BB406" i="8"/>
  <c r="BC406" i="8" s="1"/>
  <c r="BB483" i="8"/>
  <c r="BC483" i="8" s="1"/>
  <c r="BB427" i="8"/>
  <c r="BC427" i="8" s="1"/>
  <c r="BB155" i="8"/>
  <c r="BC155" i="8" s="1"/>
  <c r="Q96" i="6"/>
  <c r="S96" i="6" s="1"/>
  <c r="U96" i="6" s="1"/>
  <c r="BB252" i="8"/>
  <c r="BC252" i="8" s="1"/>
  <c r="BB349" i="8"/>
  <c r="BC349" i="8" s="1"/>
  <c r="BB504" i="8"/>
  <c r="BC504" i="8" s="1"/>
  <c r="BB189" i="8"/>
  <c r="BC189" i="8" s="1"/>
  <c r="BB280" i="8"/>
  <c r="BC280" i="8" s="1"/>
  <c r="BB328" i="8"/>
  <c r="BC328" i="8" s="1"/>
  <c r="BB391" i="8"/>
  <c r="BC391" i="8" s="1"/>
  <c r="BB441" i="8"/>
  <c r="BC441" i="8" s="1"/>
  <c r="BB475" i="8"/>
  <c r="BC475" i="8" s="1"/>
  <c r="BB301" i="8"/>
  <c r="BC301" i="8" s="1"/>
  <c r="BB454" i="8"/>
  <c r="BC454" i="8" s="1"/>
  <c r="Q98" i="6"/>
  <c r="S98" i="6" s="1"/>
  <c r="U98" i="6" s="1"/>
  <c r="BB239" i="8"/>
  <c r="BC239" i="8" s="1"/>
  <c r="BB323" i="8"/>
  <c r="BC323" i="8" s="1"/>
  <c r="BB289" i="8"/>
  <c r="BC289" i="8" s="1"/>
  <c r="BB470" i="8"/>
  <c r="BC470" i="8" s="1"/>
  <c r="BB373" i="8"/>
  <c r="BC373" i="8" s="1"/>
  <c r="BB156" i="8"/>
  <c r="BC156" i="8" s="1"/>
  <c r="BB457" i="8"/>
  <c r="BC457" i="8" s="1"/>
  <c r="BB499" i="8"/>
  <c r="BC499" i="8" s="1"/>
  <c r="BB133" i="8"/>
  <c r="BC133" i="8" s="1"/>
  <c r="BB197" i="8"/>
  <c r="BC197" i="8" s="1"/>
  <c r="BB365" i="8"/>
  <c r="BC365" i="8" s="1"/>
  <c r="BB407" i="8"/>
  <c r="BC407" i="8" s="1"/>
  <c r="BB511" i="8"/>
  <c r="BC511" i="8" s="1"/>
  <c r="BB178" i="8"/>
  <c r="BC178" i="8" s="1"/>
  <c r="BB344" i="8"/>
  <c r="BC344" i="8" s="1"/>
  <c r="BB386" i="8"/>
  <c r="BC386" i="8" s="1"/>
  <c r="BB448" i="8"/>
  <c r="BC448" i="8" s="1"/>
  <c r="Q112" i="6"/>
  <c r="S112" i="6" s="1"/>
  <c r="U112" i="6" s="1"/>
  <c r="BB238" i="8"/>
  <c r="BC238" i="8" s="1"/>
  <c r="BB259" i="8"/>
  <c r="BC259" i="8" s="1"/>
  <c r="BB302" i="8"/>
  <c r="BC302" i="8" s="1"/>
  <c r="BB385" i="8"/>
  <c r="BC385" i="8" s="1"/>
  <c r="BB490" i="8"/>
  <c r="BC490" i="8" s="1"/>
  <c r="Q111" i="6"/>
  <c r="S111" i="6" s="1"/>
  <c r="U111" i="6" s="1"/>
  <c r="BB217" i="8"/>
  <c r="BC217" i="8" s="1"/>
  <c r="BB281" i="8"/>
  <c r="BC281" i="8" s="1"/>
  <c r="BB364" i="8"/>
  <c r="BC364" i="8" s="1"/>
  <c r="BB469" i="8"/>
  <c r="BC469" i="8" s="1"/>
  <c r="BB533" i="8"/>
  <c r="BC533" i="8" s="1"/>
  <c r="BB260" i="8"/>
  <c r="BC260" i="8" s="1"/>
  <c r="BB343" i="8"/>
  <c r="BC343" i="8" s="1"/>
  <c r="BB449" i="8"/>
  <c r="BC449" i="8" s="1"/>
  <c r="BB512" i="8"/>
  <c r="BC512" i="8" s="1"/>
  <c r="BB196" i="8"/>
  <c r="BC196" i="8" s="1"/>
  <c r="BB218" i="8"/>
  <c r="BC218" i="8" s="1"/>
  <c r="BB428" i="8"/>
  <c r="BC428" i="8" s="1"/>
  <c r="BB268" i="8"/>
  <c r="BC268" i="8" s="1"/>
  <c r="BB436" i="8"/>
  <c r="BC436" i="8" s="1"/>
  <c r="BB478" i="8"/>
  <c r="BC478" i="8" s="1"/>
  <c r="BB143" i="8"/>
  <c r="BC143" i="8" s="1"/>
  <c r="BB226" i="8"/>
  <c r="BC226" i="8" s="1"/>
  <c r="BB121" i="8"/>
  <c r="BC121" i="8" s="1"/>
  <c r="Q99" i="6"/>
  <c r="S99" i="6" s="1"/>
  <c r="U99" i="6" s="1"/>
  <c r="BB184" i="8"/>
  <c r="BC184" i="8" s="1"/>
  <c r="BB205" i="8"/>
  <c r="BC205" i="8" s="1"/>
  <c r="BB352" i="8"/>
  <c r="BC352" i="8" s="1"/>
  <c r="BB165" i="8"/>
  <c r="BC165" i="8" s="1"/>
  <c r="BB310" i="8"/>
  <c r="BC310" i="8" s="1"/>
  <c r="BB331" i="8"/>
  <c r="BC331" i="8" s="1"/>
  <c r="BB394" i="8"/>
  <c r="BC394" i="8" s="1"/>
  <c r="BB402" i="8"/>
  <c r="BC402" i="8" s="1"/>
  <c r="BB467" i="8"/>
  <c r="BC467" i="8" s="1"/>
  <c r="BB278" i="8"/>
  <c r="BC278" i="8" s="1"/>
  <c r="BB153" i="8"/>
  <c r="BC153" i="8" s="1"/>
  <c r="BB173" i="8"/>
  <c r="BC173" i="8" s="1"/>
  <c r="BB213" i="8"/>
  <c r="BC213" i="8" s="1"/>
  <c r="BB341" i="8"/>
  <c r="BC341" i="8" s="1"/>
  <c r="BB255" i="8"/>
  <c r="BC255" i="8" s="1"/>
  <c r="BB444" i="8"/>
  <c r="BC444" i="8" s="1"/>
  <c r="BB234" i="8"/>
  <c r="BC234" i="8" s="1"/>
  <c r="BB297" i="8"/>
  <c r="BC297" i="8" s="1"/>
  <c r="BB404" i="8"/>
  <c r="BC404" i="8" s="1"/>
  <c r="BB507" i="8"/>
  <c r="BC507" i="8" s="1"/>
  <c r="BB509" i="8"/>
  <c r="BC509" i="8" s="1"/>
  <c r="Q109" i="6"/>
  <c r="S109" i="6" s="1"/>
  <c r="U109" i="6" s="1"/>
  <c r="BB215" i="8"/>
  <c r="BC215" i="8" s="1"/>
  <c r="BB276" i="8"/>
  <c r="BC276" i="8" s="1"/>
  <c r="BB339" i="8"/>
  <c r="BC339" i="8" s="1"/>
  <c r="BB486" i="8"/>
  <c r="BC486" i="8" s="1"/>
  <c r="BB131" i="8"/>
  <c r="BC131" i="8" s="1"/>
  <c r="BB129" i="8"/>
  <c r="BC129" i="8" s="1"/>
  <c r="BB318" i="8"/>
  <c r="BC318" i="8" s="1"/>
  <c r="BB381" i="8"/>
  <c r="BC381" i="8" s="1"/>
  <c r="BB488" i="8"/>
  <c r="BC488" i="8" s="1"/>
  <c r="BB320" i="8"/>
  <c r="BC320" i="8" s="1"/>
  <c r="BB194" i="8"/>
  <c r="BC194" i="8" s="1"/>
  <c r="BB299" i="8"/>
  <c r="BC299" i="8" s="1"/>
  <c r="BB446" i="8"/>
  <c r="BC446" i="8" s="1"/>
  <c r="BB257" i="8"/>
  <c r="BC257" i="8" s="1"/>
  <c r="BB175" i="8"/>
  <c r="BC175" i="8" s="1"/>
  <c r="BB425" i="8"/>
  <c r="BC425" i="8" s="1"/>
  <c r="BB383" i="8"/>
  <c r="BC383" i="8" s="1"/>
  <c r="BB124" i="8"/>
  <c r="BC124" i="8" s="1"/>
  <c r="BB236" i="8"/>
  <c r="BC236" i="8" s="1"/>
  <c r="BB362" i="8"/>
  <c r="BC362" i="8" s="1"/>
  <c r="BB142" i="8"/>
  <c r="BC142" i="8" s="1"/>
  <c r="BB296" i="8"/>
  <c r="BC296" i="8" s="1"/>
  <c r="BB401" i="8"/>
  <c r="BC401" i="8" s="1"/>
  <c r="BB120" i="8"/>
  <c r="BC120" i="8" s="1"/>
  <c r="BB219" i="8"/>
  <c r="BC219" i="8" s="1"/>
  <c r="BB212" i="8"/>
  <c r="BC212" i="8" s="1"/>
  <c r="BB275" i="8"/>
  <c r="BC275" i="8" s="1"/>
  <c r="BB359" i="8"/>
  <c r="BC359" i="8" s="1"/>
  <c r="Q113" i="6"/>
  <c r="S113" i="6" s="1"/>
  <c r="U113" i="6" s="1"/>
  <c r="BB191" i="8"/>
  <c r="BC191" i="8" s="1"/>
  <c r="BB254" i="8"/>
  <c r="BC254" i="8" s="1"/>
  <c r="BB338" i="8"/>
  <c r="BC338" i="8" s="1"/>
  <c r="BB380" i="8"/>
  <c r="BC380" i="8" s="1"/>
  <c r="BB128" i="8"/>
  <c r="BC128" i="8" s="1"/>
  <c r="BB172" i="8"/>
  <c r="BC172" i="8" s="1"/>
  <c r="BB443" i="8"/>
  <c r="BC443" i="8" s="1"/>
  <c r="BB150" i="8"/>
  <c r="BC150" i="8" s="1"/>
  <c r="BB317" i="8"/>
  <c r="BC317" i="8" s="1"/>
  <c r="BB422" i="8"/>
  <c r="BC422" i="8" s="1"/>
  <c r="BB485" i="8"/>
  <c r="BC485" i="8" s="1"/>
  <c r="BB198" i="8"/>
  <c r="BC198" i="8" s="1"/>
  <c r="BB188" i="8"/>
  <c r="BC188" i="8" s="1"/>
  <c r="BB125" i="8"/>
  <c r="BC125" i="8" s="1"/>
  <c r="BB179" i="8"/>
  <c r="BC179" i="8" s="1"/>
  <c r="BB169" i="8"/>
  <c r="BC169" i="8" s="1"/>
  <c r="BB271" i="8"/>
  <c r="BC271" i="8" s="1"/>
  <c r="BB261" i="8"/>
  <c r="BC261" i="8" s="1"/>
  <c r="BB282" i="8"/>
  <c r="BC282" i="8" s="1"/>
  <c r="BB157" i="8"/>
  <c r="BC157" i="8" s="1"/>
  <c r="BB147" i="8"/>
  <c r="BC147" i="8" s="1"/>
  <c r="BB135" i="8"/>
  <c r="BC135" i="8" s="1"/>
  <c r="Q103" i="6"/>
  <c r="S103" i="6" s="1"/>
  <c r="U103" i="6" s="1"/>
  <c r="Q102" i="6"/>
  <c r="S102" i="6" s="1"/>
  <c r="U102" i="6" s="1"/>
  <c r="BB229" i="8"/>
  <c r="BC229" i="8" s="1"/>
  <c r="BB250" i="8"/>
  <c r="BC250" i="8" s="1"/>
  <c r="BB208" i="8"/>
  <c r="BC208" i="8" s="1"/>
  <c r="BB187" i="8"/>
  <c r="BC187" i="8" s="1"/>
  <c r="BB313" i="8"/>
  <c r="BC313" i="8" s="1"/>
  <c r="BB523" i="8"/>
  <c r="BC523" i="8" s="1"/>
  <c r="BB505" i="8"/>
  <c r="BC505" i="8" s="1"/>
  <c r="BB526" i="8"/>
  <c r="BC526" i="8" s="1"/>
  <c r="BB506" i="8"/>
  <c r="BC506" i="8" s="1"/>
  <c r="BB527" i="8"/>
  <c r="BC527" i="8" s="1"/>
  <c r="BB513" i="8"/>
  <c r="BC513" i="8" s="1"/>
  <c r="BB534" i="8"/>
  <c r="BC534" i="8" s="1"/>
  <c r="BB535" i="8"/>
  <c r="BC535" i="8" s="1"/>
  <c r="BB536" i="8"/>
  <c r="BC536" i="8" s="1"/>
  <c r="BB146" i="8"/>
  <c r="BC146" i="8" s="1"/>
  <c r="BB501" i="8"/>
  <c r="BC501" i="8" s="1"/>
  <c r="BB522" i="8"/>
  <c r="BC522" i="8" s="1"/>
  <c r="BB397" i="8"/>
  <c r="BC397" i="8" s="1"/>
  <c r="BB502" i="8"/>
  <c r="BC502" i="8" s="1"/>
  <c r="BB482" i="8"/>
  <c r="BC482" i="8" s="1"/>
  <c r="BB503" i="8"/>
  <c r="BC503" i="8" s="1"/>
  <c r="BB292" i="8"/>
  <c r="BC292" i="8" s="1"/>
  <c r="BB477" i="8"/>
  <c r="BC477" i="8" s="1"/>
  <c r="BB498" i="8"/>
  <c r="BC498" i="8" s="1"/>
  <c r="BB476" i="8"/>
  <c r="BC476" i="8" s="1"/>
  <c r="BB497" i="8"/>
  <c r="BC497" i="8" s="1"/>
  <c r="BB514" i="8"/>
  <c r="BC514" i="8" s="1"/>
  <c r="BB515" i="8"/>
  <c r="BC515" i="8" s="1"/>
  <c r="BB489" i="8"/>
  <c r="BC489" i="8" s="1"/>
  <c r="BB510" i="8"/>
  <c r="BC510" i="8" s="1"/>
  <c r="BB334" i="8"/>
  <c r="BC334" i="8" s="1"/>
  <c r="BB439" i="8"/>
  <c r="BC439" i="8" s="1"/>
  <c r="BB228" i="8"/>
  <c r="BC228" i="8" s="1"/>
  <c r="BB480" i="8"/>
  <c r="BC480" i="8" s="1"/>
  <c r="BB471" i="8"/>
  <c r="BC471" i="8" s="1"/>
  <c r="BB492" i="8"/>
  <c r="BC492" i="8" s="1"/>
  <c r="BB493" i="8"/>
  <c r="BC493" i="8" s="1"/>
  <c r="BB494" i="8"/>
  <c r="BC494" i="8" s="1"/>
  <c r="BB408" i="8"/>
  <c r="BC408" i="8" s="1"/>
  <c r="BB324" i="8"/>
  <c r="BC324" i="8" s="1"/>
  <c r="BB460" i="8"/>
  <c r="BC460" i="8" s="1"/>
  <c r="BB481" i="8"/>
  <c r="BC481" i="8" s="1"/>
  <c r="BB303" i="8"/>
  <c r="BC303" i="8" s="1"/>
  <c r="BB345" i="8"/>
  <c r="BC345" i="8" s="1"/>
  <c r="BB463" i="8"/>
  <c r="BC463" i="8" s="1"/>
  <c r="BB484" i="8"/>
  <c r="BC484" i="8" s="1"/>
  <c r="BB366" i="8"/>
  <c r="BC366" i="8" s="1"/>
  <c r="BB387" i="8"/>
  <c r="BC387" i="8" s="1"/>
  <c r="BB450" i="8"/>
  <c r="BC450" i="8" s="1"/>
  <c r="BB429" i="8"/>
  <c r="BC429" i="8" s="1"/>
  <c r="BB440" i="8"/>
  <c r="BC440" i="8" s="1"/>
  <c r="BB461" i="8"/>
  <c r="BC461" i="8" s="1"/>
  <c r="BB435" i="8"/>
  <c r="BC435" i="8" s="1"/>
  <c r="BB456" i="8"/>
  <c r="BC456" i="8" s="1"/>
  <c r="BB355" i="8"/>
  <c r="BC355" i="8" s="1"/>
  <c r="BB473" i="8"/>
  <c r="BC473" i="8" s="1"/>
  <c r="BB472" i="8"/>
  <c r="BC472" i="8" s="1"/>
  <c r="Q97" i="6"/>
  <c r="S97" i="6" s="1"/>
  <c r="BB455" i="8"/>
  <c r="BC455" i="8" s="1"/>
  <c r="BB123" i="8"/>
  <c r="BC123" i="8" s="1"/>
  <c r="BB459" i="8"/>
  <c r="BC459" i="8" s="1"/>
  <c r="BB376" i="8"/>
  <c r="BC376" i="8" s="1"/>
  <c r="BB418" i="8"/>
  <c r="BC418" i="8" s="1"/>
  <c r="Q110" i="6"/>
  <c r="S110" i="6" s="1"/>
  <c r="U110" i="6" s="1"/>
  <c r="BB468" i="8"/>
  <c r="BC468" i="8" s="1"/>
  <c r="BB119" i="8"/>
  <c r="BC119" i="8" s="1"/>
  <c r="Q101" i="6"/>
  <c r="S101" i="6" s="1"/>
  <c r="U101" i="6" s="1"/>
  <c r="BB163" i="8"/>
  <c r="BC163" i="8" s="1"/>
  <c r="BB207" i="8"/>
  <c r="BC207" i="8" s="1"/>
  <c r="BB186" i="8"/>
  <c r="BC186" i="8" s="1"/>
  <c r="BB141" i="8"/>
  <c r="BC141" i="8" s="1"/>
  <c r="BB167" i="8"/>
  <c r="BC167" i="8" s="1"/>
  <c r="BB413" i="8"/>
  <c r="BC413" i="8" s="1"/>
  <c r="BB434" i="8"/>
  <c r="BC434" i="8" s="1"/>
  <c r="BB417" i="8"/>
  <c r="BC417" i="8" s="1"/>
  <c r="BB438" i="8"/>
  <c r="BC438" i="8" s="1"/>
  <c r="BB426" i="8"/>
  <c r="BC426" i="8" s="1"/>
  <c r="BB447" i="8"/>
  <c r="BC447" i="8" s="1"/>
  <c r="BB451" i="8"/>
  <c r="BC451" i="8" s="1"/>
  <c r="BB452" i="8"/>
  <c r="BC452" i="8" s="1"/>
  <c r="BB421" i="8"/>
  <c r="BC421" i="8" s="1"/>
  <c r="BB442" i="8"/>
  <c r="BC442" i="8" s="1"/>
  <c r="BB398" i="8"/>
  <c r="BC398" i="8" s="1"/>
  <c r="BB419" i="8"/>
  <c r="BC419" i="8" s="1"/>
  <c r="BB430" i="8"/>
  <c r="BC430" i="8" s="1"/>
  <c r="BB431" i="8"/>
  <c r="BC431" i="8" s="1"/>
  <c r="BB393" i="8"/>
  <c r="BC393" i="8" s="1"/>
  <c r="BB414" i="8"/>
  <c r="BC414" i="8" s="1"/>
  <c r="BB371" i="8"/>
  <c r="BC371" i="8" s="1"/>
  <c r="BB392" i="8"/>
  <c r="BC392" i="8" s="1"/>
  <c r="BB375" i="8"/>
  <c r="BC375" i="8" s="1"/>
  <c r="BB396" i="8"/>
  <c r="BC396" i="8" s="1"/>
  <c r="BB384" i="8"/>
  <c r="BC384" i="8" s="1"/>
  <c r="BB405" i="8"/>
  <c r="BC405" i="8" s="1"/>
  <c r="BB409" i="8"/>
  <c r="BC409" i="8" s="1"/>
  <c r="BB410" i="8"/>
  <c r="BC410" i="8" s="1"/>
  <c r="BB379" i="8"/>
  <c r="BC379" i="8" s="1"/>
  <c r="BB400" i="8"/>
  <c r="BC400" i="8" s="1"/>
  <c r="L658" i="6"/>
  <c r="BB132" i="8"/>
  <c r="BC132" i="8" s="1"/>
  <c r="BB176" i="8"/>
  <c r="BC176" i="8" s="1"/>
  <c r="BB388" i="8"/>
  <c r="BC388" i="8" s="1"/>
  <c r="BB389" i="8"/>
  <c r="BC389" i="8" s="1"/>
  <c r="BB356" i="8"/>
  <c r="BC356" i="8" s="1"/>
  <c r="BB377" i="8"/>
  <c r="BC377" i="8" s="1"/>
  <c r="BB351" i="8"/>
  <c r="BC351" i="8" s="1"/>
  <c r="BB372" i="8"/>
  <c r="BC372" i="8" s="1"/>
  <c r="BB329" i="8"/>
  <c r="BC329" i="8" s="1"/>
  <c r="BB350" i="8"/>
  <c r="BC350" i="8" s="1"/>
  <c r="BB333" i="8"/>
  <c r="BC333" i="8" s="1"/>
  <c r="BB354" i="8"/>
  <c r="BC354" i="8" s="1"/>
  <c r="BB342" i="8"/>
  <c r="BC342" i="8" s="1"/>
  <c r="BB363" i="8"/>
  <c r="BC363" i="8" s="1"/>
  <c r="BB368" i="8"/>
  <c r="BC368" i="8" s="1"/>
  <c r="BB367" i="8"/>
  <c r="BC367" i="8" s="1"/>
  <c r="BB337" i="8"/>
  <c r="BC337" i="8" s="1"/>
  <c r="BB358" i="8"/>
  <c r="BC358" i="8" s="1"/>
  <c r="BB346" i="8"/>
  <c r="BC346" i="8" s="1"/>
  <c r="BB347" i="8"/>
  <c r="BC347" i="8" s="1"/>
  <c r="BB209" i="8"/>
  <c r="BC209" i="8" s="1"/>
  <c r="BB335" i="8"/>
  <c r="BC335" i="8" s="1"/>
  <c r="BB309" i="8"/>
  <c r="BC309" i="8" s="1"/>
  <c r="BB330" i="8"/>
  <c r="BC330" i="8" s="1"/>
  <c r="BB295" i="8"/>
  <c r="BC295" i="8" s="1"/>
  <c r="BB316" i="8"/>
  <c r="BC316" i="8" s="1"/>
  <c r="BB287" i="8"/>
  <c r="BC287" i="8" s="1"/>
  <c r="BB308" i="8"/>
  <c r="BC308" i="8" s="1"/>
  <c r="BB291" i="8"/>
  <c r="BC291" i="8" s="1"/>
  <c r="BB312" i="8"/>
  <c r="BC312" i="8" s="1"/>
  <c r="BB237" i="8"/>
  <c r="BC237" i="8" s="1"/>
  <c r="BB321" i="8"/>
  <c r="BC321" i="8" s="1"/>
  <c r="BB326" i="8"/>
  <c r="BC326" i="8" s="1"/>
  <c r="BB325" i="8"/>
  <c r="BC325" i="8" s="1"/>
  <c r="BB293" i="8"/>
  <c r="BC293" i="8" s="1"/>
  <c r="BB314" i="8"/>
  <c r="BC314" i="8" s="1"/>
  <c r="BB182" i="8"/>
  <c r="BC182" i="8" s="1"/>
  <c r="BB203" i="8"/>
  <c r="BC203" i="8" s="1"/>
  <c r="BB305" i="8"/>
  <c r="BC305" i="8" s="1"/>
  <c r="BB304" i="8"/>
  <c r="BC304" i="8" s="1"/>
  <c r="BB195" i="8"/>
  <c r="BC195" i="8" s="1"/>
  <c r="BB300" i="8"/>
  <c r="BC300" i="8" s="1"/>
  <c r="BB204" i="8"/>
  <c r="BC204" i="8" s="1"/>
  <c r="BB288" i="8"/>
  <c r="BC288" i="8" s="1"/>
  <c r="BB216" i="8"/>
  <c r="BC216" i="8" s="1"/>
  <c r="BB154" i="8"/>
  <c r="BC154" i="8" s="1"/>
  <c r="BB284" i="8"/>
  <c r="BC284" i="8" s="1"/>
  <c r="BB283" i="8"/>
  <c r="BC283" i="8" s="1"/>
  <c r="BB258" i="8"/>
  <c r="BC258" i="8" s="1"/>
  <c r="BB279" i="8"/>
  <c r="BC279" i="8" s="1"/>
  <c r="BB251" i="8"/>
  <c r="BC251" i="8" s="1"/>
  <c r="BB272" i="8"/>
  <c r="BC272" i="8" s="1"/>
  <c r="Q105" i="6"/>
  <c r="S105" i="6" s="1"/>
  <c r="U105" i="6" s="1"/>
  <c r="BB274" i="8"/>
  <c r="BC274" i="8" s="1"/>
  <c r="BB246" i="8"/>
  <c r="BC246" i="8" s="1"/>
  <c r="BB267" i="8"/>
  <c r="BC267" i="8" s="1"/>
  <c r="BB245" i="8"/>
  <c r="BC245" i="8" s="1"/>
  <c r="BB266" i="8"/>
  <c r="BC266" i="8" s="1"/>
  <c r="BB249" i="8"/>
  <c r="BC249" i="8" s="1"/>
  <c r="BB270" i="8"/>
  <c r="BC270" i="8" s="1"/>
  <c r="BB183" i="8"/>
  <c r="BC183" i="8" s="1"/>
  <c r="BB164" i="8"/>
  <c r="BC164" i="8" s="1"/>
  <c r="BB225" i="8"/>
  <c r="BC225" i="8" s="1"/>
  <c r="BB171" i="8"/>
  <c r="BC171" i="8" s="1"/>
  <c r="BB253" i="8"/>
  <c r="BC253" i="8" s="1"/>
  <c r="BB149" i="8"/>
  <c r="BC149" i="8" s="1"/>
  <c r="BB127" i="8"/>
  <c r="BC127" i="8" s="1"/>
  <c r="BB232" i="8"/>
  <c r="BC232" i="8" s="1"/>
  <c r="BB211" i="8"/>
  <c r="BC211" i="8" s="1"/>
  <c r="BB230" i="8"/>
  <c r="BC230" i="8" s="1"/>
  <c r="BB224" i="8"/>
  <c r="BC224" i="8" s="1"/>
  <c r="BB263" i="8"/>
  <c r="BC263" i="8" s="1"/>
  <c r="BB262" i="8"/>
  <c r="BC262" i="8" s="1"/>
  <c r="BB242" i="8"/>
  <c r="BC242" i="8" s="1"/>
  <c r="BB241" i="8"/>
  <c r="BC241" i="8" s="1"/>
  <c r="BB221" i="8"/>
  <c r="BC221" i="8" s="1"/>
  <c r="BB220" i="8"/>
  <c r="BC220" i="8" s="1"/>
  <c r="BB200" i="8"/>
  <c r="BC200" i="8" s="1"/>
  <c r="BB199" i="8"/>
  <c r="BC199" i="8" s="1"/>
  <c r="Q114" i="6"/>
  <c r="S114" i="6" s="1"/>
  <c r="U114" i="6" s="1"/>
  <c r="BB158" i="8"/>
  <c r="BC158" i="8" s="1"/>
  <c r="BB136" i="8"/>
  <c r="BC136" i="8" s="1"/>
  <c r="BB137" i="8"/>
  <c r="BC137" i="8" s="1"/>
  <c r="U845" i="6"/>
  <c r="L12" i="2" s="1"/>
  <c r="AL20" i="8"/>
  <c r="AA24" i="8"/>
  <c r="AL25" i="8"/>
  <c r="U1202" i="6"/>
  <c r="U1195" i="6"/>
  <c r="U1207" i="6"/>
  <c r="U1200" i="6"/>
  <c r="U1205" i="6"/>
  <c r="U1199" i="6"/>
  <c r="U1204" i="6"/>
  <c r="S692" i="9"/>
  <c r="T692" i="9" s="1"/>
  <c r="U692" i="9" s="1"/>
  <c r="V692" i="9" s="1"/>
  <c r="W692" i="9" s="1"/>
  <c r="X692" i="9" s="1"/>
  <c r="Y692" i="9" s="1"/>
  <c r="Z692" i="9" s="1"/>
  <c r="AA692" i="9" s="1"/>
  <c r="AB692" i="9" s="1"/>
  <c r="AC692" i="9" s="1"/>
  <c r="AD692" i="9" s="1"/>
  <c r="AE692" i="9" s="1"/>
  <c r="AF692" i="9" s="1"/>
  <c r="AG692" i="9" s="1"/>
  <c r="AH692" i="9" s="1"/>
  <c r="AI692" i="9" s="1"/>
  <c r="AJ692" i="9" s="1"/>
  <c r="AK692" i="9" s="1"/>
  <c r="AL692" i="9" s="1"/>
  <c r="AM692" i="9" s="1"/>
  <c r="AN692" i="9" s="1"/>
  <c r="AO692" i="9" s="1"/>
  <c r="AP692" i="9" s="1"/>
  <c r="AQ692" i="9" s="1"/>
  <c r="AR692" i="9" s="1"/>
  <c r="AS692" i="9" s="1"/>
  <c r="U1201" i="6"/>
  <c r="U1208" i="6"/>
  <c r="L1455" i="6"/>
  <c r="U1455" i="6" s="1"/>
  <c r="U1427" i="6" s="1"/>
  <c r="K7" i="14"/>
  <c r="U98" i="9"/>
  <c r="U810" i="6"/>
  <c r="U777" i="6"/>
  <c r="P11" i="8"/>
  <c r="AN59" i="18"/>
  <c r="BD59" i="18"/>
  <c r="AG59" i="18"/>
  <c r="BM59" i="18"/>
  <c r="AA59" i="18"/>
  <c r="AM59" i="18"/>
  <c r="AR59" i="18"/>
  <c r="BH59" i="18"/>
  <c r="P59" i="18"/>
  <c r="W59" i="18"/>
  <c r="AD59" i="18"/>
  <c r="BA59" i="18"/>
  <c r="R59" i="18"/>
  <c r="Z59" i="18"/>
  <c r="BF59" i="18"/>
  <c r="AK59" i="18"/>
  <c r="AH59" i="18"/>
  <c r="H59" i="18"/>
  <c r="I59" i="18"/>
  <c r="V59" i="18"/>
  <c r="AL59" i="18"/>
  <c r="AS59" i="18"/>
  <c r="BG59" i="18"/>
  <c r="F59" i="18"/>
  <c r="AB59" i="18"/>
  <c r="AX59" i="18"/>
  <c r="BB59" i="18"/>
  <c r="AY59" i="18"/>
  <c r="N59" i="18"/>
  <c r="BL59" i="18"/>
  <c r="BO59" i="18"/>
  <c r="U59" i="18"/>
  <c r="G59" i="18"/>
  <c r="E59" i="18"/>
  <c r="Q59" i="18"/>
  <c r="BN59" i="18"/>
  <c r="X59" i="18"/>
  <c r="AF59" i="18"/>
  <c r="O59" i="18"/>
  <c r="BP59" i="18"/>
  <c r="AC59" i="18"/>
  <c r="C101" i="14"/>
  <c r="BK59" i="18"/>
  <c r="J59" i="18"/>
  <c r="AV59" i="18"/>
  <c r="AO59" i="18"/>
  <c r="AQ59" i="18"/>
  <c r="AJ59" i="18"/>
  <c r="AZ59" i="18"/>
  <c r="BC59" i="18"/>
  <c r="AI59" i="18"/>
  <c r="AP59" i="18"/>
  <c r="M59" i="18"/>
  <c r="AW59" i="18"/>
  <c r="Y59" i="18"/>
  <c r="T59" i="18"/>
  <c r="BJ59" i="18"/>
  <c r="K59" i="18"/>
  <c r="AT59" i="18"/>
  <c r="AE59" i="18"/>
  <c r="BI59" i="18"/>
  <c r="AU59" i="18"/>
  <c r="BE59" i="18"/>
  <c r="L59" i="18"/>
  <c r="S59" i="18"/>
  <c r="P19" i="8"/>
  <c r="S67" i="18"/>
  <c r="AX67" i="18"/>
  <c r="BD67" i="18"/>
  <c r="AQ67" i="18"/>
  <c r="BH67" i="18"/>
  <c r="AN67" i="18"/>
  <c r="BC67" i="18"/>
  <c r="AA67" i="18"/>
  <c r="AV67" i="18"/>
  <c r="AI67" i="18"/>
  <c r="AS67" i="18"/>
  <c r="BI67" i="18"/>
  <c r="Y67" i="18"/>
  <c r="Q67" i="18"/>
  <c r="AG67" i="18"/>
  <c r="AM67" i="18"/>
  <c r="AJ67" i="18"/>
  <c r="C108" i="14"/>
  <c r="BO67" i="18"/>
  <c r="BF67" i="18"/>
  <c r="AH67" i="18"/>
  <c r="AY67" i="18"/>
  <c r="P67" i="18"/>
  <c r="AE67" i="18"/>
  <c r="X67" i="18"/>
  <c r="BM67" i="18"/>
  <c r="K67" i="18"/>
  <c r="BE67" i="18"/>
  <c r="R67" i="18"/>
  <c r="V67" i="18"/>
  <c r="AC67" i="18"/>
  <c r="W67" i="18"/>
  <c r="AF67" i="18"/>
  <c r="G67" i="18"/>
  <c r="U67" i="18"/>
  <c r="BK67" i="18"/>
  <c r="BJ67" i="18"/>
  <c r="BA67" i="18"/>
  <c r="AU67" i="18"/>
  <c r="AW67" i="18"/>
  <c r="AT67" i="18"/>
  <c r="BL67" i="18"/>
  <c r="BG67" i="18"/>
  <c r="F67" i="18"/>
  <c r="T67" i="18"/>
  <c r="AP67" i="18"/>
  <c r="H67" i="18"/>
  <c r="M67" i="18"/>
  <c r="AB67" i="18"/>
  <c r="Z67" i="18"/>
  <c r="J67" i="18"/>
  <c r="AO67" i="18"/>
  <c r="N67" i="18"/>
  <c r="AL67" i="18"/>
  <c r="E67" i="18"/>
  <c r="AZ67" i="18"/>
  <c r="I67" i="18"/>
  <c r="BP67" i="18"/>
  <c r="BN67" i="18"/>
  <c r="AR67" i="18"/>
  <c r="O67" i="18"/>
  <c r="L67" i="18"/>
  <c r="AK67" i="18"/>
  <c r="BB67" i="18"/>
  <c r="AD67" i="18"/>
  <c r="U1206" i="6"/>
  <c r="U805" i="6"/>
  <c r="U812" i="6"/>
  <c r="U806" i="6"/>
  <c r="U765" i="6"/>
  <c r="U804" i="6"/>
  <c r="U807" i="6"/>
  <c r="L778" i="6"/>
  <c r="U778" i="6" s="1"/>
  <c r="U1203" i="6"/>
  <c r="U1196" i="6"/>
  <c r="U1197" i="6"/>
  <c r="L1194" i="6"/>
  <c r="D684" i="11"/>
  <c r="D697" i="11" s="1"/>
  <c r="D705" i="11" s="1"/>
  <c r="U1198" i="6"/>
  <c r="M862" i="9"/>
  <c r="N862" i="9" s="1"/>
  <c r="AA9" i="8" l="1"/>
  <c r="N197" i="11"/>
  <c r="L661" i="6"/>
  <c r="L662" i="6"/>
  <c r="U662" i="6" s="1"/>
  <c r="AD197" i="11"/>
  <c r="BL197" i="11"/>
  <c r="AK197" i="11"/>
  <c r="AH197" i="11"/>
  <c r="AJ197" i="11"/>
  <c r="O197" i="11"/>
  <c r="H197" i="11"/>
  <c r="BN197" i="11"/>
  <c r="AN197" i="11"/>
  <c r="AY197" i="11"/>
  <c r="C197" i="11"/>
  <c r="AR197" i="11"/>
  <c r="AC197" i="11"/>
  <c r="AZ197" i="11"/>
  <c r="T197" i="11"/>
  <c r="Q197" i="11"/>
  <c r="BF197" i="11"/>
  <c r="BA197" i="11"/>
  <c r="W197" i="11"/>
  <c r="AF197" i="11"/>
  <c r="I197" i="11"/>
  <c r="AA15" i="8"/>
  <c r="AL15" i="8"/>
  <c r="D192" i="11"/>
  <c r="BZ440" i="9"/>
  <c r="E192" i="11"/>
  <c r="D26" i="11"/>
  <c r="E194" i="11"/>
  <c r="E128" i="11"/>
  <c r="D128" i="11"/>
  <c r="D127" i="11"/>
  <c r="E127" i="11"/>
  <c r="E139" i="11"/>
  <c r="D139" i="11"/>
  <c r="D101" i="11"/>
  <c r="E101" i="11"/>
  <c r="D136" i="11"/>
  <c r="E136" i="11"/>
  <c r="D140" i="11"/>
  <c r="E140" i="11"/>
  <c r="E138" i="11"/>
  <c r="D138" i="11"/>
  <c r="D174" i="11"/>
  <c r="E174" i="11"/>
  <c r="E173" i="11"/>
  <c r="D173" i="11"/>
  <c r="E121" i="11"/>
  <c r="D121" i="11"/>
  <c r="E119" i="11"/>
  <c r="D119" i="11"/>
  <c r="D86" i="11"/>
  <c r="E86" i="11"/>
  <c r="D88" i="11"/>
  <c r="E88" i="11"/>
  <c r="D35" i="11"/>
  <c r="E35" i="11"/>
  <c r="E118" i="11"/>
  <c r="D118" i="11"/>
  <c r="D104" i="11"/>
  <c r="E104" i="11"/>
  <c r="D49" i="11"/>
  <c r="E49" i="11"/>
  <c r="E142" i="11"/>
  <c r="D142" i="11"/>
  <c r="D55" i="11"/>
  <c r="E55" i="11"/>
  <c r="D150" i="11"/>
  <c r="E150" i="11"/>
  <c r="D176" i="11"/>
  <c r="E176" i="11"/>
  <c r="E184" i="11"/>
  <c r="D184" i="11"/>
  <c r="E93" i="11"/>
  <c r="D93" i="11"/>
  <c r="D61" i="11"/>
  <c r="E61" i="11"/>
  <c r="D194" i="11"/>
  <c r="D41" i="11"/>
  <c r="E41" i="11"/>
  <c r="E94" i="11"/>
  <c r="D94" i="11"/>
  <c r="D165" i="11"/>
  <c r="E165" i="11"/>
  <c r="D96" i="11"/>
  <c r="E96" i="11"/>
  <c r="D161" i="11"/>
  <c r="E161" i="11"/>
  <c r="D27" i="11"/>
  <c r="E27" i="11"/>
  <c r="D37" i="11"/>
  <c r="E37" i="11"/>
  <c r="E177" i="11"/>
  <c r="D177" i="11"/>
  <c r="D47" i="11"/>
  <c r="E47" i="11"/>
  <c r="E111" i="11"/>
  <c r="D111" i="11"/>
  <c r="D31" i="11"/>
  <c r="E31" i="11"/>
  <c r="E103" i="11"/>
  <c r="D103" i="11"/>
  <c r="D112" i="11"/>
  <c r="E112" i="11"/>
  <c r="E143" i="11"/>
  <c r="D143" i="11"/>
  <c r="E83" i="11"/>
  <c r="D83" i="11"/>
  <c r="D153" i="11"/>
  <c r="E153" i="11"/>
  <c r="E26" i="11"/>
  <c r="D169" i="11"/>
  <c r="E169" i="11"/>
  <c r="D160" i="11"/>
  <c r="E160" i="11"/>
  <c r="E46" i="11"/>
  <c r="D46" i="11"/>
  <c r="E149" i="11"/>
  <c r="D149" i="11"/>
  <c r="E72" i="11"/>
  <c r="D72" i="11"/>
  <c r="D154" i="11"/>
  <c r="E154" i="11"/>
  <c r="D146" i="11"/>
  <c r="E146" i="11"/>
  <c r="E57" i="11"/>
  <c r="D57" i="11"/>
  <c r="E89" i="11"/>
  <c r="D89" i="11"/>
  <c r="D43" i="11"/>
  <c r="E43" i="11"/>
  <c r="D171" i="11"/>
  <c r="E171" i="11"/>
  <c r="D163" i="11"/>
  <c r="E163" i="11"/>
  <c r="E134" i="11"/>
  <c r="D134" i="11"/>
  <c r="D116" i="11"/>
  <c r="E116" i="11"/>
  <c r="E48" i="11"/>
  <c r="D48" i="11"/>
  <c r="D108" i="11"/>
  <c r="E108" i="11"/>
  <c r="D158" i="11"/>
  <c r="E158" i="11"/>
  <c r="D144" i="11"/>
  <c r="E144" i="11"/>
  <c r="D70" i="11"/>
  <c r="E70" i="11"/>
  <c r="D141" i="11"/>
  <c r="E141" i="11"/>
  <c r="E185" i="11"/>
  <c r="D185" i="11"/>
  <c r="D125" i="11"/>
  <c r="E125" i="11"/>
  <c r="D92" i="11"/>
  <c r="E92" i="11"/>
  <c r="E132" i="11"/>
  <c r="D132" i="11"/>
  <c r="E166" i="11"/>
  <c r="D166" i="11"/>
  <c r="E45" i="11"/>
  <c r="D45" i="11"/>
  <c r="D63" i="11"/>
  <c r="E63" i="11"/>
  <c r="D38" i="11"/>
  <c r="E38" i="11"/>
  <c r="E117" i="11"/>
  <c r="D117" i="11"/>
  <c r="E130" i="11"/>
  <c r="D130" i="11"/>
  <c r="D156" i="11"/>
  <c r="E156" i="11"/>
  <c r="D99" i="11"/>
  <c r="E99" i="11"/>
  <c r="D109" i="11"/>
  <c r="E109" i="11"/>
  <c r="E82" i="11"/>
  <c r="D82" i="11"/>
  <c r="E98" i="11"/>
  <c r="D98" i="11"/>
  <c r="E148" i="11"/>
  <c r="D148" i="11"/>
  <c r="D75" i="11"/>
  <c r="E75" i="11"/>
  <c r="D77" i="11"/>
  <c r="E77" i="11"/>
  <c r="D167" i="11"/>
  <c r="E167" i="11"/>
  <c r="E189" i="11"/>
  <c r="D189" i="11"/>
  <c r="D64" i="11"/>
  <c r="E64" i="11"/>
  <c r="D110" i="11"/>
  <c r="E110" i="11"/>
  <c r="D178" i="11"/>
  <c r="E178" i="11"/>
  <c r="D97" i="11"/>
  <c r="E97" i="11"/>
  <c r="E80" i="11"/>
  <c r="D80" i="11"/>
  <c r="D170" i="11"/>
  <c r="E170" i="11"/>
  <c r="E107" i="11"/>
  <c r="D107" i="11"/>
  <c r="D100" i="11"/>
  <c r="E100" i="11"/>
  <c r="E168" i="11"/>
  <c r="D168" i="11"/>
  <c r="D91" i="11"/>
  <c r="E91" i="11"/>
  <c r="E36" i="11"/>
  <c r="D36" i="11"/>
  <c r="E196" i="11"/>
  <c r="D196" i="11"/>
  <c r="E195" i="11"/>
  <c r="D195" i="11"/>
  <c r="E74" i="11"/>
  <c r="D74" i="11"/>
  <c r="D68" i="11"/>
  <c r="E68" i="11"/>
  <c r="E39" i="11"/>
  <c r="D39" i="11"/>
  <c r="E81" i="11"/>
  <c r="D81" i="11"/>
  <c r="D78" i="11"/>
  <c r="E78" i="11"/>
  <c r="D30" i="11"/>
  <c r="E30" i="11"/>
  <c r="E65" i="11"/>
  <c r="D65" i="11"/>
  <c r="E62" i="11"/>
  <c r="D62" i="11"/>
  <c r="E145" i="11"/>
  <c r="D145" i="11"/>
  <c r="D133" i="11"/>
  <c r="E133" i="11"/>
  <c r="D151" i="11"/>
  <c r="E151" i="11"/>
  <c r="D120" i="11"/>
  <c r="E120" i="11"/>
  <c r="D135" i="11"/>
  <c r="E135" i="11"/>
  <c r="E123" i="11"/>
  <c r="D123" i="11"/>
  <c r="E152" i="11"/>
  <c r="D152" i="11"/>
  <c r="E106" i="11"/>
  <c r="D106" i="11"/>
  <c r="D187" i="11"/>
  <c r="E187" i="11"/>
  <c r="E60" i="11"/>
  <c r="D60" i="11"/>
  <c r="D131" i="11"/>
  <c r="E131" i="11"/>
  <c r="D76" i="11"/>
  <c r="E76" i="11"/>
  <c r="E162" i="11"/>
  <c r="D162" i="11"/>
  <c r="E50" i="11"/>
  <c r="D50" i="11"/>
  <c r="E29" i="11"/>
  <c r="D29" i="11"/>
  <c r="D105" i="11"/>
  <c r="E105" i="11"/>
  <c r="D124" i="11"/>
  <c r="E124" i="11"/>
  <c r="E126" i="11"/>
  <c r="D126" i="11"/>
  <c r="E67" i="11"/>
  <c r="D67" i="11"/>
  <c r="D85" i="11"/>
  <c r="E85" i="11"/>
  <c r="D90" i="11"/>
  <c r="E90" i="11"/>
  <c r="D137" i="11"/>
  <c r="E137" i="11"/>
  <c r="E69" i="11"/>
  <c r="D69" i="11"/>
  <c r="E42" i="11"/>
  <c r="D42" i="11"/>
  <c r="D122" i="11"/>
  <c r="E122" i="11"/>
  <c r="E32" i="11"/>
  <c r="D32" i="11"/>
  <c r="E115" i="11"/>
  <c r="D115" i="11"/>
  <c r="E102" i="11"/>
  <c r="D102" i="11"/>
  <c r="E193" i="11"/>
  <c r="D193" i="11"/>
  <c r="D183" i="11"/>
  <c r="E183" i="11"/>
  <c r="D190" i="11"/>
  <c r="E190" i="11"/>
  <c r="E191" i="11"/>
  <c r="D191" i="11"/>
  <c r="D188" i="11"/>
  <c r="E188" i="11"/>
  <c r="E181" i="11"/>
  <c r="D181" i="11"/>
  <c r="E53" i="11"/>
  <c r="D53" i="11"/>
  <c r="D58" i="11"/>
  <c r="E58" i="11"/>
  <c r="D28" i="11"/>
  <c r="E28" i="11"/>
  <c r="E147" i="11"/>
  <c r="D147" i="11"/>
  <c r="D129" i="11"/>
  <c r="E129" i="11"/>
  <c r="D157" i="11"/>
  <c r="E157" i="11"/>
  <c r="E175" i="11"/>
  <c r="D175" i="11"/>
  <c r="E179" i="11"/>
  <c r="D179" i="11"/>
  <c r="E79" i="11"/>
  <c r="D79" i="11"/>
  <c r="E52" i="11"/>
  <c r="D52" i="11"/>
  <c r="E33" i="11"/>
  <c r="D33" i="11"/>
  <c r="E59" i="11"/>
  <c r="D59" i="11"/>
  <c r="D56" i="11"/>
  <c r="E56" i="11"/>
  <c r="E51" i="11"/>
  <c r="D51" i="11"/>
  <c r="D34" i="11"/>
  <c r="E34" i="11"/>
  <c r="D113" i="11"/>
  <c r="E113" i="11"/>
  <c r="E95" i="11"/>
  <c r="D95" i="11"/>
  <c r="D155" i="11"/>
  <c r="E155" i="11"/>
  <c r="D71" i="11"/>
  <c r="E71" i="11"/>
  <c r="E159" i="11"/>
  <c r="D159" i="11"/>
  <c r="E66" i="11"/>
  <c r="D66" i="11"/>
  <c r="D54" i="11"/>
  <c r="E54" i="11"/>
  <c r="D44" i="11"/>
  <c r="E44" i="11"/>
  <c r="E114" i="11"/>
  <c r="D114" i="11"/>
  <c r="E87" i="11"/>
  <c r="D87" i="11"/>
  <c r="E84" i="11"/>
  <c r="D84" i="11"/>
  <c r="D172" i="11"/>
  <c r="E172" i="11"/>
  <c r="D73" i="11"/>
  <c r="E73" i="11"/>
  <c r="E164" i="11"/>
  <c r="D164" i="11"/>
  <c r="D40" i="11"/>
  <c r="E40" i="11"/>
  <c r="E186" i="11"/>
  <c r="D186" i="11"/>
  <c r="D182" i="11"/>
  <c r="E182" i="11"/>
  <c r="E180" i="11"/>
  <c r="D180" i="11"/>
  <c r="S609" i="6"/>
  <c r="U609" i="6" s="1"/>
  <c r="S619" i="6"/>
  <c r="S607" i="6"/>
  <c r="U607" i="6" s="1"/>
  <c r="S623" i="6"/>
  <c r="U623" i="6" s="1"/>
  <c r="S608" i="6"/>
  <c r="U608" i="6" s="1"/>
  <c r="S593" i="6"/>
  <c r="U593" i="6" s="1"/>
  <c r="S624" i="6"/>
  <c r="S604" i="6"/>
  <c r="U604" i="6" s="1"/>
  <c r="S616" i="6"/>
  <c r="O616" i="6" s="1"/>
  <c r="S597" i="6"/>
  <c r="U597" i="6" s="1"/>
  <c r="S600" i="6"/>
  <c r="U600" i="6" s="1"/>
  <c r="S611" i="6"/>
  <c r="U611" i="6" s="1"/>
  <c r="S612" i="6"/>
  <c r="U612" i="6" s="1"/>
  <c r="S595" i="6"/>
  <c r="U595" i="6" s="1"/>
  <c r="S610" i="6"/>
  <c r="U610" i="6" s="1"/>
  <c r="S592" i="6"/>
  <c r="U592" i="6" s="1"/>
  <c r="S605" i="6"/>
  <c r="U605" i="6" s="1"/>
  <c r="S606" i="6"/>
  <c r="U606" i="6" s="1"/>
  <c r="S618" i="6"/>
  <c r="U618" i="6" s="1"/>
  <c r="S599" i="6"/>
  <c r="U599" i="6" s="1"/>
  <c r="S594" i="6"/>
  <c r="U594" i="6" s="1"/>
  <c r="S598" i="6"/>
  <c r="U598" i="6" s="1"/>
  <c r="U91" i="6"/>
  <c r="L4" i="2" s="1"/>
  <c r="S617" i="6"/>
  <c r="U617" i="6" s="1"/>
  <c r="S596" i="6"/>
  <c r="U596" i="6" s="1"/>
  <c r="S948" i="6"/>
  <c r="U948" i="6" s="1"/>
  <c r="S686" i="6"/>
  <c r="U686" i="6" s="1"/>
  <c r="U683" i="6" s="1"/>
  <c r="L9" i="2" s="1"/>
  <c r="S949" i="6"/>
  <c r="U949" i="6" s="1"/>
  <c r="S668" i="6"/>
  <c r="U668" i="6" s="1"/>
  <c r="U665" i="6" s="1"/>
  <c r="L8" i="2" s="1"/>
  <c r="I12" i="18"/>
  <c r="I8" i="18"/>
  <c r="F8" i="18"/>
  <c r="F12" i="18"/>
  <c r="U701" i="6"/>
  <c r="L10" i="2" s="1"/>
  <c r="D707" i="11"/>
  <c r="AA19" i="8"/>
  <c r="AL19" i="8"/>
  <c r="O862" i="9"/>
  <c r="P862" i="9" s="1"/>
  <c r="L23" i="2"/>
  <c r="U1194" i="6"/>
  <c r="L1211" i="6"/>
  <c r="AA11" i="8"/>
  <c r="AL11" i="8"/>
  <c r="E16" i="18"/>
  <c r="E56" i="18" s="1"/>
  <c r="AT58" i="18"/>
  <c r="AP58" i="18"/>
  <c r="BN58" i="18"/>
  <c r="AA58" i="18"/>
  <c r="AB58" i="18"/>
  <c r="J58" i="18"/>
  <c r="M58" i="18"/>
  <c r="AJ58" i="18"/>
  <c r="N58" i="18"/>
  <c r="R58" i="18"/>
  <c r="BP58" i="18"/>
  <c r="V58" i="18"/>
  <c r="S58" i="18"/>
  <c r="BG58" i="18"/>
  <c r="E58" i="18"/>
  <c r="AI58" i="18"/>
  <c r="AR58" i="18"/>
  <c r="AS58" i="18"/>
  <c r="BC58" i="18"/>
  <c r="AL58" i="18"/>
  <c r="AQ58" i="18"/>
  <c r="I58" i="18"/>
  <c r="H58" i="18"/>
  <c r="BK58" i="18"/>
  <c r="BA58" i="18"/>
  <c r="P10" i="8"/>
  <c r="BM58" i="18"/>
  <c r="AK58" i="18"/>
  <c r="AV58" i="18"/>
  <c r="BO58" i="18"/>
  <c r="X58" i="18"/>
  <c r="AY58" i="18"/>
  <c r="BB58" i="18"/>
  <c r="AZ58" i="18"/>
  <c r="Y58" i="18"/>
  <c r="AC58" i="18"/>
  <c r="BH58" i="18"/>
  <c r="K58" i="18"/>
  <c r="AE58" i="18"/>
  <c r="BF58" i="18"/>
  <c r="AU58" i="18"/>
  <c r="BD58" i="18"/>
  <c r="AX58" i="18"/>
  <c r="AN58" i="18"/>
  <c r="F58" i="18"/>
  <c r="BL58" i="18"/>
  <c r="AG58" i="18"/>
  <c r="BJ58" i="18"/>
  <c r="Q58" i="18"/>
  <c r="U58" i="18"/>
  <c r="L58" i="18"/>
  <c r="AF58" i="18"/>
  <c r="T58" i="18"/>
  <c r="BI58" i="18"/>
  <c r="O58" i="18"/>
  <c r="P58" i="18"/>
  <c r="W58" i="18"/>
  <c r="BE58" i="18"/>
  <c r="AM58" i="18"/>
  <c r="AH58" i="18"/>
  <c r="AW58" i="18"/>
  <c r="AO58" i="18"/>
  <c r="G58" i="18"/>
  <c r="C100" i="14"/>
  <c r="Z58" i="18"/>
  <c r="AD58" i="18"/>
  <c r="L1479" i="6"/>
  <c r="U1479" i="6" s="1"/>
  <c r="L7" i="14"/>
  <c r="V98" i="9"/>
  <c r="U1211" i="6" l="1"/>
  <c r="L1215" i="6"/>
  <c r="L663" i="6"/>
  <c r="W627" i="6" s="1"/>
  <c r="U661" i="6"/>
  <c r="U627" i="6" s="1"/>
  <c r="L7" i="2" s="1"/>
  <c r="C95" i="14" s="1"/>
  <c r="P55" i="18"/>
  <c r="W55" i="18"/>
  <c r="U616" i="6"/>
  <c r="L624" i="6"/>
  <c r="L619" i="6"/>
  <c r="D197" i="11"/>
  <c r="E197" i="11"/>
  <c r="AA198" i="11"/>
  <c r="AD198" i="11"/>
  <c r="C198" i="11"/>
  <c r="BI198" i="11"/>
  <c r="BZ441" i="9"/>
  <c r="BG199" i="11" s="1"/>
  <c r="AN198" i="11"/>
  <c r="L198" i="11"/>
  <c r="AC198" i="11"/>
  <c r="Q198" i="11"/>
  <c r="AP198" i="11"/>
  <c r="X198" i="11"/>
  <c r="AM198" i="11"/>
  <c r="BA198" i="11"/>
  <c r="AW198" i="11"/>
  <c r="BC198" i="11"/>
  <c r="AI198" i="11"/>
  <c r="J198" i="11"/>
  <c r="BB198" i="11"/>
  <c r="AT198" i="11"/>
  <c r="AZ198" i="11"/>
  <c r="AR198" i="11"/>
  <c r="P198" i="11"/>
  <c r="G198" i="11"/>
  <c r="N198" i="11"/>
  <c r="H198" i="11"/>
  <c r="U198" i="11"/>
  <c r="BF198" i="11"/>
  <c r="Z198" i="11"/>
  <c r="I198" i="11"/>
  <c r="BD198" i="11"/>
  <c r="O198" i="11"/>
  <c r="BH198" i="11"/>
  <c r="S198" i="11"/>
  <c r="BE198" i="11"/>
  <c r="BJ198" i="11"/>
  <c r="AO198" i="11"/>
  <c r="AV198" i="11"/>
  <c r="BL198" i="11"/>
  <c r="AF198" i="11"/>
  <c r="BN198" i="11"/>
  <c r="AG198" i="11"/>
  <c r="AE198" i="11"/>
  <c r="AQ198" i="11"/>
  <c r="K198" i="11"/>
  <c r="AS198" i="11"/>
  <c r="AY198" i="11"/>
  <c r="T198" i="11"/>
  <c r="V198" i="11"/>
  <c r="AB198" i="11"/>
  <c r="AX198" i="11"/>
  <c r="AL198" i="11"/>
  <c r="BK198" i="11"/>
  <c r="M198" i="11"/>
  <c r="BM198" i="11"/>
  <c r="AK198" i="11"/>
  <c r="AH198" i="11"/>
  <c r="BG198" i="11"/>
  <c r="AU198" i="11"/>
  <c r="AJ198" i="11"/>
  <c r="Y198" i="11"/>
  <c r="R198" i="11"/>
  <c r="W198" i="11"/>
  <c r="T11" i="18"/>
  <c r="AR11" i="18"/>
  <c r="AB11" i="18"/>
  <c r="AN11" i="18"/>
  <c r="AK11" i="18"/>
  <c r="BO11" i="18"/>
  <c r="L11" i="18"/>
  <c r="M11" i="18"/>
  <c r="BL11" i="18"/>
  <c r="BH11" i="18"/>
  <c r="AS11" i="18"/>
  <c r="BB11" i="18"/>
  <c r="BG11" i="18"/>
  <c r="BF11" i="18"/>
  <c r="BC11" i="18"/>
  <c r="AL11" i="18"/>
  <c r="V11" i="18"/>
  <c r="AT11" i="18"/>
  <c r="AH11" i="18"/>
  <c r="AA11" i="18"/>
  <c r="AO11" i="18"/>
  <c r="BM11" i="18"/>
  <c r="AX11" i="18"/>
  <c r="G11" i="18"/>
  <c r="BA11" i="18"/>
  <c r="E11" i="18"/>
  <c r="BN11" i="18"/>
  <c r="AQ11" i="18"/>
  <c r="AF11" i="18"/>
  <c r="I11" i="18"/>
  <c r="H11" i="18"/>
  <c r="AD11" i="18"/>
  <c r="BI11" i="18"/>
  <c r="P11" i="18"/>
  <c r="Q11" i="18"/>
  <c r="AU11" i="18"/>
  <c r="S11" i="18"/>
  <c r="AM11" i="18"/>
  <c r="BJ11" i="18"/>
  <c r="BK11" i="18"/>
  <c r="W11" i="18"/>
  <c r="I55" i="18"/>
  <c r="AB55" i="18"/>
  <c r="AB12" i="18"/>
  <c r="AB8" i="18"/>
  <c r="AB50" i="18" s="1"/>
  <c r="AB48" i="18" s="1"/>
  <c r="AB94" i="18" s="1"/>
  <c r="M7" i="14"/>
  <c r="W98" i="9"/>
  <c r="AP11" i="18"/>
  <c r="O11" i="18"/>
  <c r="AI11" i="18"/>
  <c r="AE11" i="18"/>
  <c r="F11" i="18"/>
  <c r="J11" i="18"/>
  <c r="U11" i="18"/>
  <c r="BD11" i="18"/>
  <c r="Y11" i="18"/>
  <c r="N11" i="18"/>
  <c r="AY11" i="18"/>
  <c r="K11" i="18"/>
  <c r="AG11" i="18"/>
  <c r="AJ11" i="18"/>
  <c r="BP11" i="18"/>
  <c r="AZ11" i="18"/>
  <c r="AC11" i="18"/>
  <c r="Z11" i="18"/>
  <c r="R11" i="18"/>
  <c r="X11" i="18"/>
  <c r="BE11" i="18"/>
  <c r="AV11" i="18"/>
  <c r="AW11" i="18"/>
  <c r="N10" i="18"/>
  <c r="Q10" i="18"/>
  <c r="W10" i="18"/>
  <c r="M10" i="18"/>
  <c r="J10" i="18"/>
  <c r="BM10" i="18"/>
  <c r="T10" i="18"/>
  <c r="AF10" i="18"/>
  <c r="BH10" i="18"/>
  <c r="BL10" i="18"/>
  <c r="AW10" i="18"/>
  <c r="G10" i="18"/>
  <c r="AY10" i="18"/>
  <c r="AL10" i="18"/>
  <c r="BG10" i="18"/>
  <c r="Y10" i="18"/>
  <c r="BE10" i="18"/>
  <c r="X10" i="18"/>
  <c r="Z10" i="18"/>
  <c r="AG10" i="18"/>
  <c r="S10" i="18"/>
  <c r="O10" i="18"/>
  <c r="BK10" i="18"/>
  <c r="AA10" i="18"/>
  <c r="AQ10" i="18"/>
  <c r="K10" i="18"/>
  <c r="P10" i="18"/>
  <c r="AB10" i="18"/>
  <c r="AM10" i="18"/>
  <c r="AO10" i="18"/>
  <c r="AV10" i="18"/>
  <c r="U10" i="18"/>
  <c r="AN10" i="18"/>
  <c r="AD10" i="18"/>
  <c r="BN10" i="18"/>
  <c r="E10" i="18"/>
  <c r="BF10" i="18"/>
  <c r="H10" i="18"/>
  <c r="AU10" i="18"/>
  <c r="AH10" i="18"/>
  <c r="V10" i="18"/>
  <c r="AJ10" i="18"/>
  <c r="R10" i="18"/>
  <c r="AP10" i="18"/>
  <c r="AX10" i="18"/>
  <c r="I10" i="18"/>
  <c r="AZ10" i="18"/>
  <c r="BJ10" i="18"/>
  <c r="L10" i="18"/>
  <c r="BB10" i="18"/>
  <c r="BP10" i="18"/>
  <c r="BI10" i="18"/>
  <c r="BO10" i="18"/>
  <c r="BC10" i="18"/>
  <c r="AI10" i="18"/>
  <c r="AK10" i="18"/>
  <c r="F10" i="18"/>
  <c r="AC10" i="18"/>
  <c r="AE10" i="18"/>
  <c r="BA10" i="18"/>
  <c r="AS10" i="18"/>
  <c r="BD10" i="18"/>
  <c r="AT10" i="18"/>
  <c r="AR10" i="18"/>
  <c r="U941" i="6"/>
  <c r="L15" i="2" s="1"/>
  <c r="P13" i="8" s="1"/>
  <c r="F55" i="18"/>
  <c r="N55" i="18"/>
  <c r="Q862" i="9"/>
  <c r="R862" i="9" s="1"/>
  <c r="E54" i="18"/>
  <c r="C96" i="14"/>
  <c r="P6" i="8"/>
  <c r="BH69" i="18"/>
  <c r="X69" i="18"/>
  <c r="AW69" i="18"/>
  <c r="BO69" i="18"/>
  <c r="AJ69" i="18"/>
  <c r="AS69" i="18"/>
  <c r="AA69" i="18"/>
  <c r="Q69" i="18"/>
  <c r="BK69" i="18"/>
  <c r="O69" i="18"/>
  <c r="AK69" i="18"/>
  <c r="AY69" i="18"/>
  <c r="AH69" i="18"/>
  <c r="AI69" i="18"/>
  <c r="AV69" i="18"/>
  <c r="K69" i="18"/>
  <c r="P21" i="8"/>
  <c r="AL21" i="8" s="1"/>
  <c r="BE69" i="18"/>
  <c r="E69" i="18"/>
  <c r="AF69" i="18"/>
  <c r="AP69" i="18"/>
  <c r="AN69" i="18"/>
  <c r="H69" i="18"/>
  <c r="AB69" i="18"/>
  <c r="J69" i="18"/>
  <c r="AD69" i="18"/>
  <c r="AG69" i="18"/>
  <c r="Y69" i="18"/>
  <c r="V69" i="18"/>
  <c r="BA69" i="18"/>
  <c r="T69" i="18"/>
  <c r="AC69" i="18"/>
  <c r="BI69" i="18"/>
  <c r="I69" i="18"/>
  <c r="AZ69" i="18"/>
  <c r="Z69" i="18"/>
  <c r="AQ69" i="18"/>
  <c r="BG69" i="18"/>
  <c r="P69" i="18"/>
  <c r="AX69" i="18"/>
  <c r="AU69" i="18"/>
  <c r="BJ69" i="18"/>
  <c r="AR69" i="18"/>
  <c r="AM69" i="18"/>
  <c r="BF69" i="18"/>
  <c r="AT69" i="18"/>
  <c r="AE69" i="18"/>
  <c r="W69" i="18"/>
  <c r="BM69" i="18"/>
  <c r="R69" i="18"/>
  <c r="BD69" i="18"/>
  <c r="C110" i="14"/>
  <c r="S69" i="18"/>
  <c r="N69" i="18"/>
  <c r="AO69" i="18"/>
  <c r="F69" i="18"/>
  <c r="L69" i="18"/>
  <c r="BC69" i="18"/>
  <c r="AL69" i="18"/>
  <c r="BB69" i="18"/>
  <c r="BN69" i="18"/>
  <c r="M69" i="18"/>
  <c r="U69" i="18"/>
  <c r="BL69" i="18"/>
  <c r="G69" i="18"/>
  <c r="BP69" i="18"/>
  <c r="C98" i="14"/>
  <c r="P8" i="8"/>
  <c r="AA10" i="8"/>
  <c r="AL10" i="8"/>
  <c r="P7" i="8"/>
  <c r="C97" i="14"/>
  <c r="E55" i="18"/>
  <c r="AA199" i="11" l="1"/>
  <c r="Z199" i="11"/>
  <c r="S199" i="11"/>
  <c r="BL199" i="11"/>
  <c r="BK199" i="11"/>
  <c r="AU199" i="11"/>
  <c r="AT199" i="11"/>
  <c r="K199" i="11"/>
  <c r="AL199" i="11"/>
  <c r="AG199" i="11"/>
  <c r="W199" i="11"/>
  <c r="I199" i="11"/>
  <c r="AO199" i="11"/>
  <c r="AP199" i="11"/>
  <c r="P199" i="11"/>
  <c r="O199" i="11"/>
  <c r="U199" i="11"/>
  <c r="BD199" i="11"/>
  <c r="BF199" i="11"/>
  <c r="L199" i="11"/>
  <c r="AQ199" i="11"/>
  <c r="AH199" i="11"/>
  <c r="BA199" i="11"/>
  <c r="M199" i="11"/>
  <c r="BJ199" i="11"/>
  <c r="AE199" i="11"/>
  <c r="BE199" i="11"/>
  <c r="V199" i="11"/>
  <c r="AS199" i="11"/>
  <c r="AJ199" i="11"/>
  <c r="AZ199" i="11"/>
  <c r="AY199" i="11"/>
  <c r="R199" i="11"/>
  <c r="X199" i="11"/>
  <c r="AN199" i="11"/>
  <c r="AX199" i="11"/>
  <c r="AI199" i="11"/>
  <c r="AK199" i="11"/>
  <c r="BZ442" i="9"/>
  <c r="BD200" i="11" s="1"/>
  <c r="H199" i="11"/>
  <c r="AC199" i="11"/>
  <c r="T199" i="11"/>
  <c r="J199" i="11"/>
  <c r="G199" i="11"/>
  <c r="AB199" i="11"/>
  <c r="BB199" i="11"/>
  <c r="BI199" i="11"/>
  <c r="AM199" i="11"/>
  <c r="AV199" i="11"/>
  <c r="AF199" i="11"/>
  <c r="L1216" i="6"/>
  <c r="U1216" i="6" s="1"/>
  <c r="U1215" i="6"/>
  <c r="AW199" i="11"/>
  <c r="N199" i="11"/>
  <c r="AR199" i="11"/>
  <c r="C199" i="11"/>
  <c r="N616" i="6"/>
  <c r="P616" i="6"/>
  <c r="U624" i="6"/>
  <c r="E12" i="18" s="1"/>
  <c r="E53" i="18" s="1"/>
  <c r="L625" i="6"/>
  <c r="U619" i="6"/>
  <c r="L620" i="6"/>
  <c r="L200" i="11"/>
  <c r="AU200" i="11"/>
  <c r="AG200" i="11"/>
  <c r="AT200" i="11"/>
  <c r="BL200" i="11"/>
  <c r="AM200" i="11"/>
  <c r="M200" i="11"/>
  <c r="AA200" i="11"/>
  <c r="I200" i="11"/>
  <c r="U200" i="11"/>
  <c r="AH200" i="11"/>
  <c r="V200" i="11"/>
  <c r="AN200" i="11"/>
  <c r="G200" i="11"/>
  <c r="AQ200" i="11"/>
  <c r="J200" i="11"/>
  <c r="BK200" i="11"/>
  <c r="D198" i="11"/>
  <c r="E198" i="11"/>
  <c r="AL200" i="11"/>
  <c r="BM200" i="11"/>
  <c r="BN199" i="11"/>
  <c r="Q199" i="11"/>
  <c r="BM199" i="11"/>
  <c r="AD199" i="11"/>
  <c r="AC200" i="11"/>
  <c r="AP200" i="11"/>
  <c r="BF200" i="11"/>
  <c r="Y199" i="11"/>
  <c r="BC199" i="11"/>
  <c r="BB200" i="11"/>
  <c r="AD200" i="11"/>
  <c r="BH199" i="11"/>
  <c r="AC53" i="18"/>
  <c r="AE53" i="18"/>
  <c r="AZ53" i="18"/>
  <c r="T53" i="18"/>
  <c r="BB53" i="18"/>
  <c r="Y53" i="18"/>
  <c r="AG53" i="18"/>
  <c r="BD53" i="18"/>
  <c r="AH53" i="18"/>
  <c r="AX53" i="18"/>
  <c r="BZ443" i="9"/>
  <c r="AL53" i="18"/>
  <c r="AT53" i="18"/>
  <c r="S53" i="18"/>
  <c r="AR53" i="18"/>
  <c r="BH53" i="18"/>
  <c r="AN53" i="18"/>
  <c r="AQ53" i="18"/>
  <c r="AA53" i="18"/>
  <c r="AO53" i="18"/>
  <c r="AI53" i="18"/>
  <c r="AS53" i="18"/>
  <c r="BC53" i="18"/>
  <c r="I53" i="18"/>
  <c r="H53" i="18"/>
  <c r="BM53" i="18"/>
  <c r="AB53" i="18"/>
  <c r="AP53" i="18"/>
  <c r="BN53" i="18"/>
  <c r="G53" i="18"/>
  <c r="M53" i="18"/>
  <c r="L53" i="18"/>
  <c r="AK53" i="18"/>
  <c r="BJ53" i="18"/>
  <c r="AF53" i="18"/>
  <c r="AU53" i="18"/>
  <c r="BK53" i="18"/>
  <c r="BG53" i="18"/>
  <c r="BA53" i="18"/>
  <c r="BO53" i="18"/>
  <c r="BF53" i="18"/>
  <c r="AM53" i="18"/>
  <c r="BI53" i="18"/>
  <c r="AD53" i="18"/>
  <c r="BL53" i="18"/>
  <c r="Q53" i="18"/>
  <c r="V53" i="18"/>
  <c r="AV53" i="18"/>
  <c r="J53" i="18"/>
  <c r="O53" i="18"/>
  <c r="N7" i="14"/>
  <c r="X98" i="9"/>
  <c r="AY53" i="18"/>
  <c r="R53" i="18"/>
  <c r="Z53" i="18"/>
  <c r="BP53" i="18"/>
  <c r="AW53" i="18"/>
  <c r="AJ53" i="18"/>
  <c r="K53" i="18"/>
  <c r="X53" i="18"/>
  <c r="F53" i="18"/>
  <c r="BE53" i="18"/>
  <c r="U53" i="18"/>
  <c r="G61" i="18"/>
  <c r="Q61" i="18"/>
  <c r="F61" i="18"/>
  <c r="AG61" i="18"/>
  <c r="AK61" i="18"/>
  <c r="I61" i="18"/>
  <c r="BE61" i="18"/>
  <c r="BO61" i="18"/>
  <c r="W61" i="18"/>
  <c r="BG61" i="18"/>
  <c r="AO61" i="18"/>
  <c r="K61" i="18"/>
  <c r="BA61" i="18"/>
  <c r="AC61" i="18"/>
  <c r="AN61" i="18"/>
  <c r="BK61" i="18"/>
  <c r="C103" i="14"/>
  <c r="BB61" i="18"/>
  <c r="AM61" i="18"/>
  <c r="X61" i="18"/>
  <c r="AA61" i="18"/>
  <c r="AQ61" i="18"/>
  <c r="E61" i="18"/>
  <c r="AD61" i="18"/>
  <c r="R61" i="18"/>
  <c r="AF61" i="18"/>
  <c r="BL61" i="18"/>
  <c r="AS61" i="18"/>
  <c r="BF61" i="18"/>
  <c r="L61" i="18"/>
  <c r="AX61" i="18"/>
  <c r="AE61" i="18"/>
  <c r="AJ61" i="18"/>
  <c r="S61" i="18"/>
  <c r="AI61" i="18"/>
  <c r="BD61" i="18"/>
  <c r="AW61" i="18"/>
  <c r="BM61" i="18"/>
  <c r="AY61" i="18"/>
  <c r="AL61" i="18"/>
  <c r="O61" i="18"/>
  <c r="BI61" i="18"/>
  <c r="AR61" i="18"/>
  <c r="Z61" i="18"/>
  <c r="BN61" i="18"/>
  <c r="M61" i="18"/>
  <c r="T61" i="18"/>
  <c r="V61" i="18"/>
  <c r="P61" i="18"/>
  <c r="N61" i="18"/>
  <c r="J61" i="18"/>
  <c r="AP61" i="18"/>
  <c r="BC61" i="18"/>
  <c r="BP61" i="18"/>
  <c r="AH61" i="18"/>
  <c r="AV61" i="18"/>
  <c r="H61" i="18"/>
  <c r="AT61" i="18"/>
  <c r="BH61" i="18"/>
  <c r="BJ61" i="18"/>
  <c r="AU61" i="18"/>
  <c r="Y61" i="18"/>
  <c r="AZ61" i="18"/>
  <c r="AB61" i="18"/>
  <c r="U61" i="18"/>
  <c r="S862" i="9"/>
  <c r="T862" i="9" s="1"/>
  <c r="U862" i="9" s="1"/>
  <c r="V862" i="9" s="1"/>
  <c r="W862" i="9" s="1"/>
  <c r="X862" i="9" s="1"/>
  <c r="Y862" i="9" s="1"/>
  <c r="Z862" i="9" s="1"/>
  <c r="AA862" i="9" s="1"/>
  <c r="AB862" i="9" s="1"/>
  <c r="AC862" i="9" s="1"/>
  <c r="AD862" i="9" s="1"/>
  <c r="AE862" i="9" s="1"/>
  <c r="AF862" i="9" s="1"/>
  <c r="AG862" i="9" s="1"/>
  <c r="AH862" i="9" s="1"/>
  <c r="AI862" i="9" s="1"/>
  <c r="AJ862" i="9" s="1"/>
  <c r="AK862" i="9" s="1"/>
  <c r="AL862" i="9" s="1"/>
  <c r="AM862" i="9" s="1"/>
  <c r="AN862" i="9" s="1"/>
  <c r="AO862" i="9" s="1"/>
  <c r="AP862" i="9" s="1"/>
  <c r="AQ862" i="9" s="1"/>
  <c r="AR862" i="9" s="1"/>
  <c r="AS862" i="9" s="1"/>
  <c r="AT862" i="9" s="1"/>
  <c r="AU862" i="9" s="1"/>
  <c r="AV862" i="9" s="1"/>
  <c r="AW862" i="9" s="1"/>
  <c r="AX862" i="9" s="1"/>
  <c r="AY862" i="9" s="1"/>
  <c r="AZ862" i="9" s="1"/>
  <c r="BA862" i="9" s="1"/>
  <c r="BB862" i="9" s="1"/>
  <c r="BC862" i="9" s="1"/>
  <c r="BD862" i="9" s="1"/>
  <c r="BE862" i="9" s="1"/>
  <c r="BF862" i="9" s="1"/>
  <c r="BG862" i="9" s="1"/>
  <c r="BH862" i="9" s="1"/>
  <c r="BI862" i="9" s="1"/>
  <c r="BJ862" i="9" s="1"/>
  <c r="BK862" i="9" s="1"/>
  <c r="BL862" i="9" s="1"/>
  <c r="BP862" i="9" s="1"/>
  <c r="AA6" i="8"/>
  <c r="AL6" i="8"/>
  <c r="AL13" i="8"/>
  <c r="AA13" i="8"/>
  <c r="AL7" i="8"/>
  <c r="AA7" i="8"/>
  <c r="AR200" i="11" l="1"/>
  <c r="X200" i="11"/>
  <c r="AO200" i="11"/>
  <c r="H200" i="11"/>
  <c r="BG200" i="11"/>
  <c r="O200" i="11"/>
  <c r="Q200" i="11"/>
  <c r="AK200" i="11"/>
  <c r="AS200" i="11"/>
  <c r="BN200" i="11"/>
  <c r="AJ200" i="11"/>
  <c r="AW200" i="11"/>
  <c r="C200" i="11"/>
  <c r="BE200" i="11"/>
  <c r="AE200" i="11"/>
  <c r="AV200" i="11"/>
  <c r="S200" i="11"/>
  <c r="Z200" i="11"/>
  <c r="T200" i="11"/>
  <c r="AB200" i="11"/>
  <c r="W200" i="11"/>
  <c r="R200" i="11"/>
  <c r="N200" i="11"/>
  <c r="BC200" i="11"/>
  <c r="BI200" i="11"/>
  <c r="P200" i="11"/>
  <c r="AX200" i="11"/>
  <c r="Y200" i="11"/>
  <c r="BJ200" i="11"/>
  <c r="AI200" i="11"/>
  <c r="AF200" i="11"/>
  <c r="BH200" i="11"/>
  <c r="AY200" i="11"/>
  <c r="K200" i="11"/>
  <c r="AZ200" i="11"/>
  <c r="BA200" i="11"/>
  <c r="U1191" i="6"/>
  <c r="U589" i="6"/>
  <c r="L6" i="2" s="1"/>
  <c r="AH52" i="18" s="1"/>
  <c r="W12" i="18"/>
  <c r="W53" i="18" s="1"/>
  <c r="W8" i="18"/>
  <c r="P12" i="18"/>
  <c r="P53" i="18" s="1"/>
  <c r="P8" i="18"/>
  <c r="P50" i="18" s="1"/>
  <c r="P48" i="18" s="1"/>
  <c r="P94" i="18" s="1"/>
  <c r="N12" i="18"/>
  <c r="N53" i="18" s="1"/>
  <c r="N8" i="18"/>
  <c r="W589" i="6"/>
  <c r="E199" i="11"/>
  <c r="AP201" i="11"/>
  <c r="BC201" i="11"/>
  <c r="BL201" i="11"/>
  <c r="H201" i="11"/>
  <c r="BD201" i="11"/>
  <c r="W201" i="11"/>
  <c r="AM201" i="11"/>
  <c r="AL201" i="11"/>
  <c r="BJ201" i="11"/>
  <c r="AE201" i="11"/>
  <c r="AN201" i="11"/>
  <c r="BE201" i="11"/>
  <c r="AI201" i="11"/>
  <c r="C201" i="11"/>
  <c r="Z201" i="11"/>
  <c r="M201" i="11"/>
  <c r="AC201" i="11"/>
  <c r="AJ201" i="11"/>
  <c r="X201" i="11"/>
  <c r="N201" i="11"/>
  <c r="G201" i="11"/>
  <c r="BH201" i="11"/>
  <c r="P201" i="11"/>
  <c r="Q201" i="11"/>
  <c r="BF201" i="11"/>
  <c r="AO201" i="11"/>
  <c r="Y201" i="11"/>
  <c r="K201" i="11"/>
  <c r="BI201" i="11"/>
  <c r="AY201" i="11"/>
  <c r="BN201" i="11"/>
  <c r="AA201" i="11"/>
  <c r="AB201" i="11"/>
  <c r="BB201" i="11"/>
  <c r="J201" i="11"/>
  <c r="R201" i="11"/>
  <c r="I201" i="11"/>
  <c r="S201" i="11"/>
  <c r="AG201" i="11"/>
  <c r="AH201" i="11"/>
  <c r="T201" i="11"/>
  <c r="AQ201" i="11"/>
  <c r="AV201" i="11"/>
  <c r="D199" i="11"/>
  <c r="AW201" i="11"/>
  <c r="AX201" i="11"/>
  <c r="BG201" i="11"/>
  <c r="AZ201" i="11"/>
  <c r="AU201" i="11"/>
  <c r="O201" i="11"/>
  <c r="AR201" i="11"/>
  <c r="L201" i="11"/>
  <c r="BA201" i="11"/>
  <c r="BM201" i="11"/>
  <c r="AK201" i="11"/>
  <c r="BK201" i="11"/>
  <c r="AF201" i="11"/>
  <c r="U201" i="11"/>
  <c r="AT201" i="11"/>
  <c r="V201" i="11"/>
  <c r="AS201" i="11"/>
  <c r="AD201" i="11"/>
  <c r="BZ444" i="9"/>
  <c r="AM202" i="11" s="1"/>
  <c r="O7" i="14"/>
  <c r="Y98" i="9"/>
  <c r="AA26" i="8"/>
  <c r="D200" i="11" l="1"/>
  <c r="E200" i="11"/>
  <c r="L1481" i="6"/>
  <c r="U1481" i="6" s="1"/>
  <c r="U1474" i="6" s="1"/>
  <c r="L18" i="2"/>
  <c r="AV52" i="18"/>
  <c r="T52" i="18"/>
  <c r="AS52" i="18"/>
  <c r="AJ52" i="18"/>
  <c r="BC52" i="18"/>
  <c r="BE52" i="18"/>
  <c r="J52" i="18"/>
  <c r="U52" i="18"/>
  <c r="G52" i="18"/>
  <c r="AK52" i="18"/>
  <c r="AU52" i="18"/>
  <c r="R52" i="18"/>
  <c r="X52" i="18"/>
  <c r="E52" i="18"/>
  <c r="AO52" i="18"/>
  <c r="H52" i="18"/>
  <c r="BG52" i="18"/>
  <c r="BM52" i="18"/>
  <c r="BF52" i="18"/>
  <c r="O52" i="18"/>
  <c r="AF52" i="18"/>
  <c r="AI52" i="18"/>
  <c r="AP52" i="18"/>
  <c r="AW52" i="18"/>
  <c r="BL52" i="18"/>
  <c r="AD52" i="18"/>
  <c r="AM52" i="18"/>
  <c r="AQ52" i="18"/>
  <c r="AY52" i="18"/>
  <c r="Q52" i="18"/>
  <c r="BK52" i="18"/>
  <c r="N52" i="18"/>
  <c r="Y52" i="18"/>
  <c r="BP52" i="18"/>
  <c r="AE52" i="18"/>
  <c r="M52" i="18"/>
  <c r="AA52" i="18"/>
  <c r="Z52" i="18"/>
  <c r="AB52" i="18"/>
  <c r="F52" i="18"/>
  <c r="S52" i="18"/>
  <c r="L52" i="18"/>
  <c r="AN52" i="18"/>
  <c r="BN52" i="18"/>
  <c r="I52" i="18"/>
  <c r="K52" i="18"/>
  <c r="AZ52" i="18"/>
  <c r="P52" i="18"/>
  <c r="W52" i="18"/>
  <c r="AC52" i="18"/>
  <c r="BH52" i="18"/>
  <c r="AL52" i="18"/>
  <c r="AG52" i="18"/>
  <c r="AT52" i="18"/>
  <c r="AR52" i="18"/>
  <c r="BO52" i="18"/>
  <c r="BJ52" i="18"/>
  <c r="BA52" i="18"/>
  <c r="AX52" i="18"/>
  <c r="BI52" i="18"/>
  <c r="BB52" i="18"/>
  <c r="BD52" i="18"/>
  <c r="V52" i="18"/>
  <c r="W71" i="18"/>
  <c r="AF202" i="11"/>
  <c r="AV202" i="11"/>
  <c r="AS202" i="11"/>
  <c r="AC202" i="11"/>
  <c r="BG202" i="11"/>
  <c r="I202" i="11"/>
  <c r="AZ202" i="11"/>
  <c r="BE202" i="11"/>
  <c r="BD202" i="11"/>
  <c r="C202" i="11"/>
  <c r="G202" i="11"/>
  <c r="AT202" i="11"/>
  <c r="AN202" i="11"/>
  <c r="AO202" i="11"/>
  <c r="AQ202" i="11"/>
  <c r="N202" i="11"/>
  <c r="AI202" i="11"/>
  <c r="BA202" i="11"/>
  <c r="AX202" i="11"/>
  <c r="BH202" i="11"/>
  <c r="BN202" i="11"/>
  <c r="S202" i="11"/>
  <c r="T202" i="11"/>
  <c r="AA202" i="11"/>
  <c r="M202" i="11"/>
  <c r="AL202" i="11"/>
  <c r="AU202" i="11"/>
  <c r="H202" i="11"/>
  <c r="BM202" i="11"/>
  <c r="Y202" i="11"/>
  <c r="BK202" i="11"/>
  <c r="W202" i="11"/>
  <c r="AG202" i="11"/>
  <c r="AK202" i="11"/>
  <c r="BI202" i="11"/>
  <c r="BF202" i="11"/>
  <c r="Z202" i="11"/>
  <c r="BC202" i="11"/>
  <c r="AY202" i="11"/>
  <c r="V202" i="11"/>
  <c r="Q202" i="11"/>
  <c r="BJ202" i="11"/>
  <c r="AD202" i="11"/>
  <c r="K202" i="11"/>
  <c r="R202" i="11"/>
  <c r="AE202" i="11"/>
  <c r="U202" i="11"/>
  <c r="AH202" i="11"/>
  <c r="BL202" i="11"/>
  <c r="AB202" i="11"/>
  <c r="BB202" i="11"/>
  <c r="AR202" i="11"/>
  <c r="X202" i="11"/>
  <c r="L202" i="11"/>
  <c r="J202" i="11"/>
  <c r="AP202" i="11"/>
  <c r="O202" i="11"/>
  <c r="AW202" i="11"/>
  <c r="P202" i="11"/>
  <c r="AJ202" i="11"/>
  <c r="D201" i="11"/>
  <c r="E201" i="11"/>
  <c r="BZ445" i="9"/>
  <c r="I71" i="18"/>
  <c r="AB71" i="18"/>
  <c r="P7" i="14"/>
  <c r="Z98" i="9"/>
  <c r="F71" i="18"/>
  <c r="BH64" i="18" l="1"/>
  <c r="AO64" i="18"/>
  <c r="BJ64" i="18"/>
  <c r="T64" i="18"/>
  <c r="BC64" i="18"/>
  <c r="L64" i="18"/>
  <c r="I64" i="18"/>
  <c r="BP64" i="18"/>
  <c r="AT64" i="18"/>
  <c r="U64" i="18"/>
  <c r="AU64" i="18"/>
  <c r="V64" i="18"/>
  <c r="AX64" i="18"/>
  <c r="P64" i="18"/>
  <c r="AH64" i="18"/>
  <c r="AW64" i="18"/>
  <c r="BL64" i="18"/>
  <c r="AJ64" i="18"/>
  <c r="G64" i="18"/>
  <c r="BA64" i="18"/>
  <c r="O64" i="18"/>
  <c r="R64" i="18"/>
  <c r="AK64" i="18"/>
  <c r="BM64" i="18"/>
  <c r="S64" i="18"/>
  <c r="C106" i="14"/>
  <c r="J64" i="18"/>
  <c r="BO64" i="18"/>
  <c r="BK64" i="18"/>
  <c r="W64" i="18"/>
  <c r="AE64" i="18"/>
  <c r="N64" i="18"/>
  <c r="Y64" i="18"/>
  <c r="M64" i="18"/>
  <c r="Z64" i="18"/>
  <c r="AS64" i="18"/>
  <c r="AP64" i="18"/>
  <c r="BE64" i="18"/>
  <c r="BI64" i="18"/>
  <c r="AF64" i="18"/>
  <c r="AQ64" i="18"/>
  <c r="AA64" i="18"/>
  <c r="AM64" i="18"/>
  <c r="AC64" i="18"/>
  <c r="BD64" i="18"/>
  <c r="H64" i="18"/>
  <c r="AZ64" i="18"/>
  <c r="AV64" i="18"/>
  <c r="AI64" i="18"/>
  <c r="Q64" i="18"/>
  <c r="F64" i="18"/>
  <c r="AY64" i="18"/>
  <c r="E64" i="18"/>
  <c r="AB64" i="18"/>
  <c r="BF64" i="18"/>
  <c r="AD64" i="18"/>
  <c r="X64" i="18"/>
  <c r="AN64" i="18"/>
  <c r="BN64" i="18"/>
  <c r="P16" i="8"/>
  <c r="AL16" i="8" s="1"/>
  <c r="K64" i="18"/>
  <c r="AR64" i="18"/>
  <c r="AL64" i="18"/>
  <c r="AG64" i="18"/>
  <c r="BB64" i="18"/>
  <c r="BG64" i="18"/>
  <c r="L25" i="2"/>
  <c r="N71" i="18" s="1"/>
  <c r="U2" i="6"/>
  <c r="BZ446" i="9"/>
  <c r="BZ447" i="9" s="1"/>
  <c r="U203" i="11"/>
  <c r="V203" i="11"/>
  <c r="AW204" i="11"/>
  <c r="AL203" i="11"/>
  <c r="T203" i="11"/>
  <c r="AZ203" i="11"/>
  <c r="S203" i="11"/>
  <c r="W203" i="11"/>
  <c r="AV203" i="11"/>
  <c r="AD204" i="11"/>
  <c r="T204" i="11"/>
  <c r="AG203" i="11"/>
  <c r="BJ203" i="11"/>
  <c r="D202" i="11"/>
  <c r="E202" i="11"/>
  <c r="Q7" i="14"/>
  <c r="AA98" i="9"/>
  <c r="AQ204" i="11" l="1"/>
  <c r="N204" i="11"/>
  <c r="BC204" i="11"/>
  <c r="T1474" i="6"/>
  <c r="T1219" i="6"/>
  <c r="T857" i="6"/>
  <c r="S6" i="4"/>
  <c r="T6" i="4" s="1"/>
  <c r="S22" i="4"/>
  <c r="T22" i="4" s="1"/>
  <c r="T683" i="6"/>
  <c r="T1246" i="6"/>
  <c r="S14" i="4"/>
  <c r="T14" i="4" s="1"/>
  <c r="T535" i="6"/>
  <c r="T1378" i="6"/>
  <c r="T845" i="6"/>
  <c r="S19" i="4"/>
  <c r="T19" i="4" s="1"/>
  <c r="T701" i="6"/>
  <c r="S5" i="4"/>
  <c r="T5" i="4" s="1"/>
  <c r="R35" i="4" s="1"/>
  <c r="T35" i="4" s="1"/>
  <c r="S9" i="4"/>
  <c r="T9" i="4" s="1"/>
  <c r="T1460" i="6"/>
  <c r="S10" i="4"/>
  <c r="T10" i="4" s="1"/>
  <c r="S4" i="4"/>
  <c r="T4" i="4" s="1"/>
  <c r="T1427" i="6"/>
  <c r="S11" i="4"/>
  <c r="T11" i="4" s="1"/>
  <c r="S16" i="4"/>
  <c r="T16" i="4" s="1"/>
  <c r="T627" i="6"/>
  <c r="T91" i="6"/>
  <c r="S13" i="4"/>
  <c r="T13" i="4" s="1"/>
  <c r="T1549" i="6"/>
  <c r="S15" i="4"/>
  <c r="T15" i="4" s="1"/>
  <c r="T1417" i="6"/>
  <c r="T1543" i="6"/>
  <c r="S3" i="4"/>
  <c r="T4" i="6"/>
  <c r="T815" i="6"/>
  <c r="S18" i="4"/>
  <c r="T18" i="4" s="1"/>
  <c r="S21" i="4"/>
  <c r="T21" i="4" s="1"/>
  <c r="S7" i="4"/>
  <c r="T7" i="4" s="1"/>
  <c r="T665" i="6"/>
  <c r="T922" i="6"/>
  <c r="T986" i="6"/>
  <c r="S8" i="4"/>
  <c r="T8" i="4" s="1"/>
  <c r="S12" i="4"/>
  <c r="T12" i="4" s="1"/>
  <c r="T589" i="6"/>
  <c r="T967" i="6"/>
  <c r="T941" i="6"/>
  <c r="T1191" i="6"/>
  <c r="S17" i="4"/>
  <c r="T17" i="4" s="1"/>
  <c r="S20" i="4"/>
  <c r="T20" i="4" s="1"/>
  <c r="P23" i="8"/>
  <c r="P71" i="18"/>
  <c r="E71" i="18"/>
  <c r="C112" i="14"/>
  <c r="L28" i="2"/>
  <c r="AA204" i="11"/>
  <c r="BZ448" i="9"/>
  <c r="BZ453" i="9" s="1"/>
  <c r="R7" i="14"/>
  <c r="AB98" i="9"/>
  <c r="R38" i="4" l="1"/>
  <c r="T38" i="4" s="1"/>
  <c r="R51" i="4"/>
  <c r="T51" i="4" s="1"/>
  <c r="R53" i="4"/>
  <c r="S53" i="4" s="1"/>
  <c r="R33" i="4"/>
  <c r="S33" i="4" s="1"/>
  <c r="R34" i="4"/>
  <c r="R52" i="4"/>
  <c r="S52" i="4" s="1"/>
  <c r="R50" i="4"/>
  <c r="S50" i="4" s="1"/>
  <c r="R46" i="4"/>
  <c r="T46" i="4" s="1"/>
  <c r="R47" i="4"/>
  <c r="S47" i="4" s="1"/>
  <c r="R48" i="4"/>
  <c r="T48" i="4" s="1"/>
  <c r="R43" i="4"/>
  <c r="S43" i="4" s="1"/>
  <c r="R45" i="4"/>
  <c r="T45" i="4" s="1"/>
  <c r="R44" i="4"/>
  <c r="T44" i="4" s="1"/>
  <c r="R42" i="4"/>
  <c r="S42" i="4" s="1"/>
  <c r="R41" i="4"/>
  <c r="S41" i="4" s="1"/>
  <c r="R40" i="4"/>
  <c r="T40" i="4" s="1"/>
  <c r="R39" i="4"/>
  <c r="T39" i="4" s="1"/>
  <c r="R37" i="4"/>
  <c r="S37" i="4" s="1"/>
  <c r="R36" i="4"/>
  <c r="S36" i="4" s="1"/>
  <c r="S35" i="4"/>
  <c r="AL23" i="8"/>
  <c r="AL26" i="8" s="1"/>
  <c r="P26" i="8"/>
  <c r="S23" i="4"/>
  <c r="T23" i="4" s="1"/>
  <c r="T3" i="4"/>
  <c r="R32" i="4" s="1"/>
  <c r="T3" i="2"/>
  <c r="L36" i="2"/>
  <c r="M28" i="2" s="1"/>
  <c r="Z40" i="2"/>
  <c r="U118" i="14"/>
  <c r="AS35" i="4"/>
  <c r="M41" i="31" s="1"/>
  <c r="AQ35" i="4"/>
  <c r="U35" i="4"/>
  <c r="AW207" i="11"/>
  <c r="BZ454" i="9"/>
  <c r="S7" i="14"/>
  <c r="AC98" i="9"/>
  <c r="S38" i="4" l="1"/>
  <c r="S51" i="4"/>
  <c r="AS38" i="4"/>
  <c r="AQ38" i="4"/>
  <c r="U38" i="4"/>
  <c r="T53" i="4"/>
  <c r="AQ53" i="4" s="1"/>
  <c r="T33" i="4"/>
  <c r="AS33" i="4" s="1"/>
  <c r="M39" i="31" s="1"/>
  <c r="T34" i="4"/>
  <c r="S34" i="4"/>
  <c r="D39" i="31"/>
  <c r="E39" i="31"/>
  <c r="F5" i="27"/>
  <c r="G5" i="27" s="1"/>
  <c r="I41" i="31"/>
  <c r="L41" i="31"/>
  <c r="K41" i="31"/>
  <c r="J41" i="31"/>
  <c r="F39" i="31"/>
  <c r="T52" i="4"/>
  <c r="U52" i="4" s="1"/>
  <c r="T50" i="4"/>
  <c r="U50" i="4" s="1"/>
  <c r="S48" i="4"/>
  <c r="T47" i="4"/>
  <c r="U47" i="4" s="1"/>
  <c r="S46" i="4"/>
  <c r="S45" i="4"/>
  <c r="T43" i="4"/>
  <c r="AQ43" i="4" s="1"/>
  <c r="S44" i="4"/>
  <c r="T42" i="4"/>
  <c r="U42" i="4" s="1"/>
  <c r="T41" i="4"/>
  <c r="AS41" i="4" s="1"/>
  <c r="F10" i="27" s="1"/>
  <c r="G10" i="27" s="1"/>
  <c r="S39" i="4"/>
  <c r="T37" i="4"/>
  <c r="U37" i="4" s="1"/>
  <c r="S40" i="4"/>
  <c r="T36" i="4"/>
  <c r="U36" i="4" s="1"/>
  <c r="N26" i="2"/>
  <c r="M33" i="2"/>
  <c r="M17" i="2"/>
  <c r="M8" i="2"/>
  <c r="M32" i="2"/>
  <c r="M20" i="2"/>
  <c r="M4" i="2"/>
  <c r="M25" i="2"/>
  <c r="M31" i="2"/>
  <c r="M15" i="2"/>
  <c r="M26" i="2"/>
  <c r="M12" i="2"/>
  <c r="M34" i="2"/>
  <c r="M14" i="2"/>
  <c r="M23" i="2"/>
  <c r="M19" i="2"/>
  <c r="M16" i="2"/>
  <c r="M10" i="2"/>
  <c r="M13" i="2"/>
  <c r="M22" i="2"/>
  <c r="M30" i="2"/>
  <c r="M11" i="2"/>
  <c r="M9" i="2"/>
  <c r="M7" i="2"/>
  <c r="M27" i="2"/>
  <c r="M5" i="2"/>
  <c r="M24" i="2"/>
  <c r="M3" i="2"/>
  <c r="M21" i="2"/>
  <c r="M6" i="2"/>
  <c r="M18" i="2"/>
  <c r="BK45" i="18"/>
  <c r="BK44" i="18" s="1"/>
  <c r="BL96" i="18" s="1"/>
  <c r="BO45" i="18"/>
  <c r="BO44" i="18" s="1"/>
  <c r="BP96" i="18" s="1"/>
  <c r="AH45" i="18"/>
  <c r="AH44" i="18" s="1"/>
  <c r="AI96" i="18" s="1"/>
  <c r="Q45" i="18"/>
  <c r="Q44" i="18" s="1"/>
  <c r="R96" i="18" s="1"/>
  <c r="AF45" i="18"/>
  <c r="AF44" i="18" s="1"/>
  <c r="AG96" i="18" s="1"/>
  <c r="BJ45" i="18"/>
  <c r="BJ44" i="18" s="1"/>
  <c r="BK96" i="18" s="1"/>
  <c r="AL45" i="18"/>
  <c r="AL44" i="18" s="1"/>
  <c r="AM96" i="18" s="1"/>
  <c r="X45" i="18"/>
  <c r="X44" i="18" s="1"/>
  <c r="Y96" i="18" s="1"/>
  <c r="AA4" i="2"/>
  <c r="BE82" i="8"/>
  <c r="BE94" i="8"/>
  <c r="BE152" i="8"/>
  <c r="BE75" i="8"/>
  <c r="BE38" i="8"/>
  <c r="BE429" i="8"/>
  <c r="BE435" i="8"/>
  <c r="BE242" i="8"/>
  <c r="BE172" i="8"/>
  <c r="BE97" i="8"/>
  <c r="BE441" i="8"/>
  <c r="BE496" i="8"/>
  <c r="BE249" i="8"/>
  <c r="BE396" i="8"/>
  <c r="BE274" i="8"/>
  <c r="BE305" i="8"/>
  <c r="BE448" i="8"/>
  <c r="BE546" i="8"/>
  <c r="BE319" i="8"/>
  <c r="BE513" i="8"/>
  <c r="BE586" i="8"/>
  <c r="BE246" i="8"/>
  <c r="BE198" i="8"/>
  <c r="BE278" i="8"/>
  <c r="BE258" i="8"/>
  <c r="BE371" i="8"/>
  <c r="BE329" i="8"/>
  <c r="BE392" i="8"/>
  <c r="BE379" i="8"/>
  <c r="BE414" i="8"/>
  <c r="BE179" i="8"/>
  <c r="BE133" i="8"/>
  <c r="BE419" i="8"/>
  <c r="BE462" i="8"/>
  <c r="BE81" i="8"/>
  <c r="BE219" i="8"/>
  <c r="BE294" i="8"/>
  <c r="BE563" i="8"/>
  <c r="BE42" i="8"/>
  <c r="BE121" i="8"/>
  <c r="BE353" i="8"/>
  <c r="BE459" i="8"/>
  <c r="BE493" i="8"/>
  <c r="BE163" i="8"/>
  <c r="BE232" i="8"/>
  <c r="BE233" i="8"/>
  <c r="BE415" i="8"/>
  <c r="BE186" i="8"/>
  <c r="BE551" i="8"/>
  <c r="BE580" i="8"/>
  <c r="AX45" i="18"/>
  <c r="AX44" i="18" s="1"/>
  <c r="AY96" i="18" s="1"/>
  <c r="R45" i="18"/>
  <c r="R44" i="18" s="1"/>
  <c r="S96" i="18" s="1"/>
  <c r="N45" i="18"/>
  <c r="N44" i="18" s="1"/>
  <c r="O96" i="18" s="1"/>
  <c r="AB45" i="18"/>
  <c r="AB44" i="18" s="1"/>
  <c r="AC96" i="18" s="1"/>
  <c r="L45" i="18"/>
  <c r="L44" i="18" s="1"/>
  <c r="M96" i="18" s="1"/>
  <c r="F45" i="18"/>
  <c r="F44" i="18" s="1"/>
  <c r="G96" i="18" s="1"/>
  <c r="BE45" i="18"/>
  <c r="BE44" i="18" s="1"/>
  <c r="BF96" i="18" s="1"/>
  <c r="AJ45" i="18"/>
  <c r="AJ44" i="18" s="1"/>
  <c r="AK96" i="18" s="1"/>
  <c r="BE583" i="8"/>
  <c r="BE573" i="8"/>
  <c r="BE122" i="8"/>
  <c r="BE391" i="8"/>
  <c r="BE499" i="8"/>
  <c r="BE304" i="8"/>
  <c r="BE301" i="8"/>
  <c r="BE312" i="8"/>
  <c r="BE143" i="8"/>
  <c r="BE298" i="8"/>
  <c r="BE503" i="8"/>
  <c r="BE476" i="8"/>
  <c r="BE187" i="8"/>
  <c r="BE208" i="8"/>
  <c r="BE471" i="8"/>
  <c r="BE272" i="8"/>
  <c r="BE74" i="8"/>
  <c r="BE292" i="8"/>
  <c r="BE89" i="8"/>
  <c r="BE245" i="8"/>
  <c r="BE255" i="8"/>
  <c r="BE522" i="8"/>
  <c r="BE447" i="8"/>
  <c r="BE157" i="8"/>
  <c r="BE367" i="8"/>
  <c r="BE330" i="8"/>
  <c r="BE480" i="8"/>
  <c r="BE275" i="8"/>
  <c r="BE146" i="8"/>
  <c r="BE399" i="8"/>
  <c r="BE550" i="8"/>
  <c r="BE559" i="8"/>
  <c r="BE295" i="8"/>
  <c r="BE171" i="8"/>
  <c r="BE125" i="8"/>
  <c r="BE454" i="8"/>
  <c r="BE54" i="8"/>
  <c r="BE66" i="8"/>
  <c r="BE45" i="8"/>
  <c r="BE154" i="8"/>
  <c r="BE60" i="8"/>
  <c r="BE281" i="8"/>
  <c r="BE579" i="8"/>
  <c r="BE398" i="8"/>
  <c r="BE587" i="8"/>
  <c r="BE582" i="8"/>
  <c r="BE153" i="8"/>
  <c r="BE129" i="8"/>
  <c r="BE527" i="8"/>
  <c r="BE136" i="8"/>
  <c r="BE344" i="8"/>
  <c r="BE221" i="8"/>
  <c r="BE417" i="8"/>
  <c r="BE88" i="8"/>
  <c r="BE507" i="8"/>
  <c r="AP45" i="18"/>
  <c r="AP44" i="18" s="1"/>
  <c r="AQ96" i="18" s="1"/>
  <c r="AD45" i="18"/>
  <c r="AD44" i="18" s="1"/>
  <c r="AE96" i="18" s="1"/>
  <c r="U45" i="18"/>
  <c r="U44" i="18" s="1"/>
  <c r="V96" i="18" s="1"/>
  <c r="BI45" i="18"/>
  <c r="BI44" i="18" s="1"/>
  <c r="BJ96" i="18" s="1"/>
  <c r="AC45" i="18"/>
  <c r="AC44" i="18" s="1"/>
  <c r="AD96" i="18" s="1"/>
  <c r="M45" i="18"/>
  <c r="M44" i="18" s="1"/>
  <c r="N96" i="18" s="1"/>
  <c r="AA6" i="2"/>
  <c r="AG45" i="18"/>
  <c r="AG44" i="18" s="1"/>
  <c r="AH96" i="18" s="1"/>
  <c r="BE442" i="8"/>
  <c r="BE144" i="8"/>
  <c r="BE560" i="8"/>
  <c r="BE549" i="8"/>
  <c r="BE273" i="8"/>
  <c r="BE145" i="8"/>
  <c r="BE262" i="8"/>
  <c r="BE65" i="8"/>
  <c r="BE137" i="8"/>
  <c r="BE525" i="8"/>
  <c r="BE383" i="8"/>
  <c r="BE284" i="8"/>
  <c r="BE164" i="8"/>
  <c r="BE132" i="8"/>
  <c r="BE311" i="8"/>
  <c r="BE436" i="8"/>
  <c r="BE575" i="8"/>
  <c r="BE80" i="8"/>
  <c r="BE204" i="8"/>
  <c r="BE444" i="8"/>
  <c r="BE588" i="8"/>
  <c r="BE166" i="8"/>
  <c r="BE470" i="8"/>
  <c r="BE387" i="8"/>
  <c r="BE416" i="8"/>
  <c r="BE244" i="8"/>
  <c r="BE581" i="8"/>
  <c r="BE360" i="8"/>
  <c r="BE151" i="8"/>
  <c r="BE32" i="8"/>
  <c r="BE108" i="8"/>
  <c r="BE431" i="8"/>
  <c r="BE540" i="8"/>
  <c r="BE56" i="8"/>
  <c r="BE354" i="8"/>
  <c r="BE378" i="8"/>
  <c r="BE509" i="8"/>
  <c r="BE90" i="8"/>
  <c r="BE501" i="8"/>
  <c r="BE569" i="8"/>
  <c r="BE212" i="8"/>
  <c r="BE106" i="8"/>
  <c r="BE191" i="8"/>
  <c r="BE373" i="8"/>
  <c r="BE53" i="8"/>
  <c r="BE182" i="8"/>
  <c r="BE276" i="8"/>
  <c r="BE363" i="8"/>
  <c r="BE397" i="8"/>
  <c r="BE571" i="8"/>
  <c r="BE188" i="8"/>
  <c r="BE437" i="8"/>
  <c r="BE358" i="8"/>
  <c r="BE357" i="8"/>
  <c r="BE86" i="8"/>
  <c r="BE46" i="8"/>
  <c r="BE139" i="8"/>
  <c r="AK45" i="18"/>
  <c r="AK44" i="18" s="1"/>
  <c r="AL96" i="18" s="1"/>
  <c r="E45" i="18"/>
  <c r="E44" i="18" s="1"/>
  <c r="F96" i="18" s="1"/>
  <c r="AO45" i="18"/>
  <c r="AO44" i="18" s="1"/>
  <c r="AP96" i="18" s="1"/>
  <c r="BC45" i="18"/>
  <c r="BC44" i="18" s="1"/>
  <c r="BD96" i="18" s="1"/>
  <c r="AY45" i="18"/>
  <c r="AY44" i="18" s="1"/>
  <c r="AZ96" i="18" s="1"/>
  <c r="AA45" i="18"/>
  <c r="AA44" i="18" s="1"/>
  <c r="AB96" i="18" s="1"/>
  <c r="H45" i="18"/>
  <c r="H44" i="18" s="1"/>
  <c r="I96" i="18" s="1"/>
  <c r="V45" i="18"/>
  <c r="V44" i="18" s="1"/>
  <c r="W96" i="18" s="1"/>
  <c r="BE572" i="8"/>
  <c r="BE482" i="8"/>
  <c r="BE51" i="8"/>
  <c r="BE67" i="8"/>
  <c r="BE235" i="8"/>
  <c r="BE366" i="8"/>
  <c r="BE280" i="8"/>
  <c r="BE39" i="8"/>
  <c r="BE557" i="8"/>
  <c r="BE283" i="8"/>
  <c r="BE467" i="8"/>
  <c r="BE96" i="8"/>
  <c r="BE68" i="8"/>
  <c r="BE324" i="8"/>
  <c r="BE465" i="8"/>
  <c r="BE434" i="8"/>
  <c r="BE466" i="8"/>
  <c r="BE370" i="8"/>
  <c r="BE120" i="8"/>
  <c r="BE240" i="8"/>
  <c r="BE105" i="8"/>
  <c r="BE168" i="8"/>
  <c r="BE142" i="8"/>
  <c r="BE259" i="8"/>
  <c r="BE449" i="8"/>
  <c r="BE426" i="8"/>
  <c r="BE99" i="8"/>
  <c r="BE532" i="8"/>
  <c r="BE199" i="8"/>
  <c r="BE409" i="8"/>
  <c r="BE565" i="8"/>
  <c r="BE236" i="8"/>
  <c r="BE113" i="8"/>
  <c r="BE238" i="8"/>
  <c r="BE237" i="8"/>
  <c r="BE455" i="8"/>
  <c r="BE576" i="8"/>
  <c r="BE308" i="8"/>
  <c r="BE71" i="8"/>
  <c r="BE526" i="8"/>
  <c r="BE195" i="8"/>
  <c r="BE170" i="8"/>
  <c r="BE230" i="8"/>
  <c r="BE214" i="8"/>
  <c r="BE282" i="8"/>
  <c r="BE161" i="8"/>
  <c r="BE422" i="8"/>
  <c r="BE382" i="8"/>
  <c r="BE207" i="8"/>
  <c r="BE250" i="8"/>
  <c r="BE256" i="8"/>
  <c r="BE439" i="8"/>
  <c r="BE213" i="8"/>
  <c r="BE494" i="8"/>
  <c r="BE364" i="8"/>
  <c r="BE52" i="8"/>
  <c r="BE155" i="8"/>
  <c r="BE50" i="8"/>
  <c r="BE112" i="8"/>
  <c r="BE389" i="8"/>
  <c r="BE228" i="8"/>
  <c r="BE418" i="8"/>
  <c r="BM45" i="18"/>
  <c r="BM44" i="18" s="1"/>
  <c r="BN96" i="18" s="1"/>
  <c r="AZ45" i="18"/>
  <c r="AZ44" i="18" s="1"/>
  <c r="BA96" i="18" s="1"/>
  <c r="Y45" i="18"/>
  <c r="Y44" i="18" s="1"/>
  <c r="Z96" i="18" s="1"/>
  <c r="P45" i="18"/>
  <c r="P44" i="18" s="1"/>
  <c r="Q96" i="18" s="1"/>
  <c r="BG45" i="18"/>
  <c r="BG44" i="18" s="1"/>
  <c r="BH96" i="18" s="1"/>
  <c r="BB45" i="18"/>
  <c r="BB44" i="18" s="1"/>
  <c r="BC96" i="18" s="1"/>
  <c r="J45" i="18"/>
  <c r="J44" i="18" s="1"/>
  <c r="K96" i="18" s="1"/>
  <c r="AQ45" i="18"/>
  <c r="AQ44" i="18" s="1"/>
  <c r="AR96" i="18" s="1"/>
  <c r="BE529" i="8"/>
  <c r="BE85" i="8"/>
  <c r="BE334" i="8"/>
  <c r="BE123" i="8"/>
  <c r="BE384" i="8"/>
  <c r="BE320" i="8"/>
  <c r="BE450" i="8"/>
  <c r="BE463" i="8"/>
  <c r="BE374" i="8"/>
  <c r="BE229" i="8"/>
  <c r="BE47" i="8"/>
  <c r="BE109" i="8"/>
  <c r="BE297" i="8"/>
  <c r="BE430" i="8"/>
  <c r="BE287" i="8"/>
  <c r="BE257" i="8"/>
  <c r="BE472" i="8"/>
  <c r="BE93" i="8"/>
  <c r="BE406" i="8"/>
  <c r="BE44" i="8"/>
  <c r="BE300" i="8"/>
  <c r="BE92" i="8"/>
  <c r="BE239" i="8"/>
  <c r="BE445" i="8"/>
  <c r="BE227" i="8"/>
  <c r="BE210" i="8"/>
  <c r="BE552" i="8"/>
  <c r="BE98" i="8"/>
  <c r="BE500" i="8"/>
  <c r="BE211" i="8"/>
  <c r="BE343" i="8"/>
  <c r="BE114" i="8"/>
  <c r="BE404" i="8"/>
  <c r="BE337" i="8"/>
  <c r="BE475" i="8"/>
  <c r="BE73" i="8"/>
  <c r="BE376" i="8"/>
  <c r="BE489" i="8"/>
  <c r="BE351" i="8"/>
  <c r="BE140" i="8"/>
  <c r="BE174" i="8"/>
  <c r="BE385" i="8"/>
  <c r="BE173" i="8"/>
  <c r="BE63" i="8"/>
  <c r="BE148" i="8"/>
  <c r="BE84" i="8"/>
  <c r="BE407" i="8"/>
  <c r="BE438" i="8"/>
  <c r="BE317" i="8"/>
  <c r="BE555" i="8"/>
  <c r="BE530" i="8"/>
  <c r="BE346" i="8"/>
  <c r="BE451" i="8"/>
  <c r="BE479" i="8"/>
  <c r="BE131" i="8"/>
  <c r="BE223" i="8"/>
  <c r="BE338" i="8"/>
  <c r="BE167" i="8"/>
  <c r="BE181" i="8"/>
  <c r="BE215" i="8"/>
  <c r="BE110" i="8"/>
  <c r="BE352" i="8"/>
  <c r="BE296" i="8"/>
  <c r="BE342" i="8"/>
  <c r="BE286" i="8"/>
  <c r="BE497" i="8"/>
  <c r="BE61" i="8"/>
  <c r="AE45" i="18"/>
  <c r="AE44" i="18" s="1"/>
  <c r="AF96" i="18" s="1"/>
  <c r="BF45" i="18"/>
  <c r="BF44" i="18" s="1"/>
  <c r="BG96" i="18" s="1"/>
  <c r="BL45" i="18"/>
  <c r="BL44" i="18" s="1"/>
  <c r="BM96" i="18" s="1"/>
  <c r="T45" i="18"/>
  <c r="T44" i="18" s="1"/>
  <c r="U96" i="18" s="1"/>
  <c r="AT45" i="18"/>
  <c r="AT44" i="18" s="1"/>
  <c r="AU96" i="18" s="1"/>
  <c r="I45" i="18"/>
  <c r="I44" i="18" s="1"/>
  <c r="J96" i="18" s="1"/>
  <c r="AV45" i="18"/>
  <c r="AV44" i="18" s="1"/>
  <c r="AW96" i="18" s="1"/>
  <c r="Z45" i="18"/>
  <c r="Z44" i="18" s="1"/>
  <c r="AA96" i="18" s="1"/>
  <c r="AM45" i="18"/>
  <c r="AM44" i="18" s="1"/>
  <c r="AN96" i="18" s="1"/>
  <c r="BE77" i="8"/>
  <c r="BE566" i="8"/>
  <c r="BE175" i="8"/>
  <c r="BE217" i="8"/>
  <c r="BE260" i="8"/>
  <c r="BE315" i="8"/>
  <c r="BE141" i="8"/>
  <c r="BE270" i="8"/>
  <c r="BE130" i="8"/>
  <c r="BE302" i="8"/>
  <c r="BE303" i="8"/>
  <c r="BE483" i="8"/>
  <c r="BE457" i="8"/>
  <c r="BE420" i="8"/>
  <c r="BE570" i="8"/>
  <c r="BE111" i="8"/>
  <c r="BE310" i="8"/>
  <c r="BE518" i="8"/>
  <c r="BE372" i="8"/>
  <c r="BE464" i="8"/>
  <c r="BE307" i="8"/>
  <c r="BE196" i="8"/>
  <c r="BE78" i="8"/>
  <c r="BE468" i="8"/>
  <c r="BE333" i="8"/>
  <c r="BE544" i="8"/>
  <c r="BE248" i="8"/>
  <c r="BE247" i="8"/>
  <c r="BE403" i="8"/>
  <c r="BE541" i="8"/>
  <c r="BE169" i="8"/>
  <c r="BE556" i="8"/>
  <c r="BE339" i="8"/>
  <c r="BE332" i="8"/>
  <c r="BE433" i="8"/>
  <c r="BE484" i="8"/>
  <c r="BE147" i="8"/>
  <c r="BE290" i="8"/>
  <c r="BE160" i="8"/>
  <c r="BE316" i="8"/>
  <c r="BE135" i="8"/>
  <c r="BE225" i="8"/>
  <c r="BE193" i="8"/>
  <c r="BE543" i="8"/>
  <c r="BE589" i="8"/>
  <c r="AN45" i="18"/>
  <c r="AN44" i="18" s="1"/>
  <c r="AO96" i="18" s="1"/>
  <c r="BA45" i="18"/>
  <c r="BA44" i="18" s="1"/>
  <c r="BB96" i="18" s="1"/>
  <c r="BN45" i="18"/>
  <c r="BN44" i="18" s="1"/>
  <c r="BO96" i="18" s="1"/>
  <c r="O45" i="18"/>
  <c r="O44" i="18" s="1"/>
  <c r="P96" i="18" s="1"/>
  <c r="W45" i="18"/>
  <c r="W44" i="18" s="1"/>
  <c r="X96" i="18" s="1"/>
  <c r="T9" i="2"/>
  <c r="Q11" i="2" s="1"/>
  <c r="BD45" i="18"/>
  <c r="BD44" i="18" s="1"/>
  <c r="BE96" i="18" s="1"/>
  <c r="AA5" i="2"/>
  <c r="AS45" i="18"/>
  <c r="AS44" i="18" s="1"/>
  <c r="AT96" i="18" s="1"/>
  <c r="BE49" i="8"/>
  <c r="BE514" i="8"/>
  <c r="BE498" i="8"/>
  <c r="BE263" i="8"/>
  <c r="BE512" i="8"/>
  <c r="BE220" i="8"/>
  <c r="BE150" i="8"/>
  <c r="BE266" i="8"/>
  <c r="BE218" i="8"/>
  <c r="BE458" i="8"/>
  <c r="BE542" i="8"/>
  <c r="BE55" i="8"/>
  <c r="BE446" i="8"/>
  <c r="BE400" i="8"/>
  <c r="BE553" i="8"/>
  <c r="BE523" i="8"/>
  <c r="BE524" i="8"/>
  <c r="BE477" i="8"/>
  <c r="BE83" i="8"/>
  <c r="BE48" i="8"/>
  <c r="BE149" i="8"/>
  <c r="BE127" i="8"/>
  <c r="BE421" i="8"/>
  <c r="BE289" i="8"/>
  <c r="BE412" i="8"/>
  <c r="BE118" i="8"/>
  <c r="BE584" i="8"/>
  <c r="BE268" i="8"/>
  <c r="BE202" i="8"/>
  <c r="BE440" i="8"/>
  <c r="BE547" i="8"/>
  <c r="BE254" i="8"/>
  <c r="BE402" i="8"/>
  <c r="BE401" i="8"/>
  <c r="BE375" i="8"/>
  <c r="BE293" i="8"/>
  <c r="BE504" i="8"/>
  <c r="BE558" i="8"/>
  <c r="BE241" i="8"/>
  <c r="BE452" i="8"/>
  <c r="BE231" i="8"/>
  <c r="BE368" i="8"/>
  <c r="BE355" i="8"/>
  <c r="BE395" i="8"/>
  <c r="BE485" i="8"/>
  <c r="BE36" i="8"/>
  <c r="BE325" i="8"/>
  <c r="BE126" i="8"/>
  <c r="BE79" i="8"/>
  <c r="BE252" i="8"/>
  <c r="BE189" i="8"/>
  <c r="BE428" i="8"/>
  <c r="BE388" i="8"/>
  <c r="BE361" i="8"/>
  <c r="BE515" i="8"/>
  <c r="BE487" i="8"/>
  <c r="S45" i="18"/>
  <c r="S44" i="18" s="1"/>
  <c r="T96" i="18" s="1"/>
  <c r="BE261" i="8"/>
  <c r="BE156" i="8"/>
  <c r="BE101" i="8"/>
  <c r="BE554" i="8"/>
  <c r="BE100" i="8"/>
  <c r="BE531" i="8"/>
  <c r="BE35" i="8"/>
  <c r="BE424" i="8"/>
  <c r="BE314" i="8"/>
  <c r="BE521" i="8"/>
  <c r="BE511" i="8"/>
  <c r="BE535" i="8"/>
  <c r="BE205" i="8"/>
  <c r="BE331" i="8"/>
  <c r="BE492" i="8"/>
  <c r="BE502" i="8"/>
  <c r="BE72" i="8"/>
  <c r="BE216" i="8"/>
  <c r="BE564" i="8"/>
  <c r="BE87" i="8"/>
  <c r="BE505" i="8"/>
  <c r="BE326" i="8"/>
  <c r="G45" i="18"/>
  <c r="G44" i="18" s="1"/>
  <c r="H96" i="18" s="1"/>
  <c r="BE341" i="8"/>
  <c r="BE335" i="8"/>
  <c r="BE265" i="8"/>
  <c r="BE562" i="8"/>
  <c r="BE508" i="8"/>
  <c r="BE548" i="8"/>
  <c r="BE185" i="8"/>
  <c r="BE359" i="8"/>
  <c r="BE192" i="8"/>
  <c r="BE322" i="8"/>
  <c r="BE393" i="8"/>
  <c r="BE517" i="8"/>
  <c r="BE134" i="8"/>
  <c r="BE162" i="8"/>
  <c r="BE574" i="8"/>
  <c r="BE253" i="8"/>
  <c r="BP45" i="18"/>
  <c r="BP44" i="18" s="1"/>
  <c r="BE318" i="8"/>
  <c r="BE490" i="8"/>
  <c r="BE271" i="8"/>
  <c r="AR45" i="18"/>
  <c r="AR44" i="18" s="1"/>
  <c r="AS96" i="18" s="1"/>
  <c r="BE561" i="8"/>
  <c r="BE486" i="8"/>
  <c r="BE362" i="8"/>
  <c r="BE58" i="8"/>
  <c r="BE107" i="8"/>
  <c r="BE43" i="8"/>
  <c r="BE158" i="8"/>
  <c r="BE177" i="8"/>
  <c r="BE103" i="8"/>
  <c r="BE234" i="8"/>
  <c r="BE469" i="8"/>
  <c r="BE269" i="8"/>
  <c r="BE328" i="8"/>
  <c r="BE321" i="8"/>
  <c r="BE491" i="8"/>
  <c r="BE178" i="8"/>
  <c r="BE57" i="8"/>
  <c r="BE347" i="8"/>
  <c r="BE443" i="8"/>
  <c r="BE481" i="8"/>
  <c r="BE62" i="8"/>
  <c r="BE119" i="8"/>
  <c r="BH45" i="18"/>
  <c r="BH44" i="18" s="1"/>
  <c r="BI96" i="18" s="1"/>
  <c r="AW45" i="18"/>
  <c r="AW44" i="18" s="1"/>
  <c r="AX96" i="18" s="1"/>
  <c r="BE128" i="8"/>
  <c r="BE461" i="8"/>
  <c r="BE394" i="8"/>
  <c r="BE183" i="8"/>
  <c r="BE184" i="8"/>
  <c r="BE165" i="8"/>
  <c r="BE288" i="8"/>
  <c r="BE194" i="8"/>
  <c r="BE534" i="8"/>
  <c r="BE41" i="8"/>
  <c r="BE377" i="8"/>
  <c r="BE190" i="8"/>
  <c r="BE386" i="8"/>
  <c r="BE568" i="8"/>
  <c r="BE473" i="8"/>
  <c r="BE91" i="8"/>
  <c r="BE279" i="8"/>
  <c r="BE299" i="8"/>
  <c r="BE577" i="8"/>
  <c r="BE309" i="8"/>
  <c r="K45" i="18"/>
  <c r="K44" i="18" s="1"/>
  <c r="L96" i="18" s="1"/>
  <c r="BE488" i="8"/>
  <c r="BE102" i="8"/>
  <c r="BE124" i="8"/>
  <c r="BE410" i="8"/>
  <c r="BE413" i="8"/>
  <c r="BE578" i="8"/>
  <c r="BE291" i="8"/>
  <c r="BE64" i="8"/>
  <c r="BE506" i="8"/>
  <c r="BE206" i="8"/>
  <c r="BE70" i="8"/>
  <c r="BE104" i="8"/>
  <c r="BE545" i="8"/>
  <c r="BE226" i="8"/>
  <c r="BE197" i="8"/>
  <c r="BE313" i="8"/>
  <c r="BE408" i="8"/>
  <c r="BE340" i="8"/>
  <c r="AU45" i="18"/>
  <c r="AU44" i="18" s="1"/>
  <c r="AV96" i="18" s="1"/>
  <c r="BE323" i="8"/>
  <c r="BE519" i="8"/>
  <c r="BE336" i="8"/>
  <c r="BE423" i="8"/>
  <c r="BE251" i="8"/>
  <c r="BE405" i="8"/>
  <c r="BE567" i="8"/>
  <c r="BE277" i="8"/>
  <c r="BE69" i="8"/>
  <c r="BE95" i="8"/>
  <c r="BE456" i="8"/>
  <c r="BE349" i="8"/>
  <c r="BE585" i="8"/>
  <c r="BE425" i="8"/>
  <c r="BE478" i="8"/>
  <c r="BE365" i="8"/>
  <c r="BE528" i="8"/>
  <c r="BE536" i="8"/>
  <c r="BE267" i="8"/>
  <c r="AI45" i="18"/>
  <c r="AI44" i="18" s="1"/>
  <c r="AJ96" i="18" s="1"/>
  <c r="BE209" i="8"/>
  <c r="BE40" i="8"/>
  <c r="BE520" i="8"/>
  <c r="BE381" i="8"/>
  <c r="BE176" i="8"/>
  <c r="BE203" i="8"/>
  <c r="BE427" i="8"/>
  <c r="BE356" i="8"/>
  <c r="BE345" i="8"/>
  <c r="BE37" i="8"/>
  <c r="BE533" i="8"/>
  <c r="BE200" i="8"/>
  <c r="BE76" i="8"/>
  <c r="BE380" i="8"/>
  <c r="BE460" i="8"/>
  <c r="BE224" i="8"/>
  <c r="BE34" i="8"/>
  <c r="BE510" i="8"/>
  <c r="BE33" i="8"/>
  <c r="BE350" i="8"/>
  <c r="BE59" i="8"/>
  <c r="AS53" i="4"/>
  <c r="AQ44" i="4"/>
  <c r="U44" i="4"/>
  <c r="AS44" i="4"/>
  <c r="U46" i="4"/>
  <c r="AS46" i="4"/>
  <c r="AQ46" i="4"/>
  <c r="AQ45" i="4"/>
  <c r="AS45" i="4"/>
  <c r="U45" i="4"/>
  <c r="S32" i="4"/>
  <c r="T32" i="4"/>
  <c r="AS40" i="4"/>
  <c r="F9" i="27" s="1"/>
  <c r="G9" i="27" s="1"/>
  <c r="U40" i="4"/>
  <c r="AQ40" i="4"/>
  <c r="AQ39" i="4"/>
  <c r="AS39" i="4"/>
  <c r="U39" i="4"/>
  <c r="AQ51" i="4"/>
  <c r="AS51" i="4"/>
  <c r="U51" i="4"/>
  <c r="U48" i="4"/>
  <c r="AQ48" i="4"/>
  <c r="AS48" i="4"/>
  <c r="AT35" i="4"/>
  <c r="BC35" i="4"/>
  <c r="BA35" i="4"/>
  <c r="BB35" i="4"/>
  <c r="BZ455" i="9"/>
  <c r="T7" i="14"/>
  <c r="AD98" i="9"/>
  <c r="AS43" i="4" l="1"/>
  <c r="F12" i="27" s="1"/>
  <c r="G12" i="27" s="1"/>
  <c r="U53" i="4"/>
  <c r="BA53" i="4" s="1"/>
  <c r="AT38" i="4"/>
  <c r="BC38" i="4"/>
  <c r="BA38" i="4"/>
  <c r="BB38" i="4"/>
  <c r="AQ52" i="4"/>
  <c r="AS52" i="4"/>
  <c r="E59" i="31" s="1"/>
  <c r="E60" i="31"/>
  <c r="D60" i="31"/>
  <c r="D45" i="31"/>
  <c r="M45" i="31"/>
  <c r="E45" i="31"/>
  <c r="K39" i="31"/>
  <c r="AQ33" i="4"/>
  <c r="G39" i="31"/>
  <c r="H39" i="31"/>
  <c r="I39" i="31"/>
  <c r="J39" i="31"/>
  <c r="L39" i="31"/>
  <c r="F4" i="27"/>
  <c r="G4" i="27" s="1"/>
  <c r="U33" i="4"/>
  <c r="BA33" i="4" s="1"/>
  <c r="AS34" i="4"/>
  <c r="E40" i="31" s="1"/>
  <c r="AQ34" i="4"/>
  <c r="U34" i="4"/>
  <c r="U43" i="4"/>
  <c r="BC43" i="4" s="1"/>
  <c r="AQ50" i="4"/>
  <c r="Q10" i="2"/>
  <c r="X4" i="2"/>
  <c r="X5" i="2"/>
  <c r="AS50" i="4"/>
  <c r="D57" i="31" s="1"/>
  <c r="AS47" i="4"/>
  <c r="AQ47" i="4"/>
  <c r="F8" i="27"/>
  <c r="G8" i="27" s="1"/>
  <c r="F45" i="31"/>
  <c r="J45" i="31"/>
  <c r="L45" i="31"/>
  <c r="K45" i="31"/>
  <c r="I45" i="31"/>
  <c r="H45" i="31"/>
  <c r="G45" i="31"/>
  <c r="C41" i="31"/>
  <c r="E58" i="31"/>
  <c r="D58" i="31"/>
  <c r="U41" i="4"/>
  <c r="AT41" i="4" s="1"/>
  <c r="AQ41" i="4"/>
  <c r="S28" i="4"/>
  <c r="AS37" i="4"/>
  <c r="AQ37" i="4"/>
  <c r="AQ36" i="4"/>
  <c r="AS36" i="4"/>
  <c r="M42" i="31" s="1"/>
  <c r="AQ42" i="4"/>
  <c r="AS42" i="4"/>
  <c r="F11" i="27" s="1"/>
  <c r="G11" i="27" s="1"/>
  <c r="AT51" i="4"/>
  <c r="BC51" i="4"/>
  <c r="BB51" i="4"/>
  <c r="BA51" i="4"/>
  <c r="AT46" i="4"/>
  <c r="BC46" i="4"/>
  <c r="BB46" i="4"/>
  <c r="BA46" i="4"/>
  <c r="AT50" i="4"/>
  <c r="BC50" i="4"/>
  <c r="BB50" i="4"/>
  <c r="BA50" i="4"/>
  <c r="BA52" i="4"/>
  <c r="BC52" i="4"/>
  <c r="BB52" i="4"/>
  <c r="AT52" i="4"/>
  <c r="BC40" i="4"/>
  <c r="BA40" i="4"/>
  <c r="BB40" i="4"/>
  <c r="AT40" i="4"/>
  <c r="BB44" i="4"/>
  <c r="AT44" i="4"/>
  <c r="BA44" i="4"/>
  <c r="BC44" i="4"/>
  <c r="BA45" i="4"/>
  <c r="AT45" i="4"/>
  <c r="BB45" i="4"/>
  <c r="BC45" i="4"/>
  <c r="AT53" i="4"/>
  <c r="BA47" i="4"/>
  <c r="BC47" i="4"/>
  <c r="BB47" i="4"/>
  <c r="AT47" i="4"/>
  <c r="BA36" i="4"/>
  <c r="BC36" i="4"/>
  <c r="BB36" i="4"/>
  <c r="AT36" i="4"/>
  <c r="AT39" i="4"/>
  <c r="BA39" i="4"/>
  <c r="BC39" i="4"/>
  <c r="BB39" i="4"/>
  <c r="AT37" i="4"/>
  <c r="BC37" i="4"/>
  <c r="BA37" i="4"/>
  <c r="BB37" i="4"/>
  <c r="S88" i="18"/>
  <c r="S90" i="18" s="1"/>
  <c r="BL88" i="18"/>
  <c r="BL90" i="18" s="1"/>
  <c r="AW88" i="18"/>
  <c r="AW90" i="18" s="1"/>
  <c r="BB36" i="18"/>
  <c r="BC88" i="18"/>
  <c r="BC90" i="18" s="1"/>
  <c r="I36" i="18"/>
  <c r="AO88" i="18"/>
  <c r="AO90" i="18" s="1"/>
  <c r="AT88" i="18"/>
  <c r="AT90" i="18" s="1"/>
  <c r="BG36" i="18"/>
  <c r="BE36" i="18"/>
  <c r="H36" i="18"/>
  <c r="AA88" i="18"/>
  <c r="AA90" i="18" s="1"/>
  <c r="T33" i="2"/>
  <c r="U36" i="18"/>
  <c r="U44" i="2"/>
  <c r="V36" i="18"/>
  <c r="U45" i="2"/>
  <c r="O36" i="18"/>
  <c r="AJ88" i="18"/>
  <c r="AJ90" i="18" s="1"/>
  <c r="AI88" i="18"/>
  <c r="AI90" i="18" s="1"/>
  <c r="AU88" i="18"/>
  <c r="AU90" i="18" s="1"/>
  <c r="AH36" i="18"/>
  <c r="BC36" i="18"/>
  <c r="BO36" i="18"/>
  <c r="Z36" i="18"/>
  <c r="AQ88" i="18"/>
  <c r="AQ90" i="18" s="1"/>
  <c r="AB36" i="18"/>
  <c r="U88" i="18"/>
  <c r="U90" i="18" s="1"/>
  <c r="W1543" i="6"/>
  <c r="Q88" i="18"/>
  <c r="Q90" i="18" s="1"/>
  <c r="BE88" i="18"/>
  <c r="BE90" i="18" s="1"/>
  <c r="E88" i="18"/>
  <c r="E90" i="18" s="1"/>
  <c r="N88" i="18"/>
  <c r="N90" i="18" s="1"/>
  <c r="BI88" i="18"/>
  <c r="BI90" i="18" s="1"/>
  <c r="Y88" i="18"/>
  <c r="Y90" i="18" s="1"/>
  <c r="AC36" i="18"/>
  <c r="P36" i="18"/>
  <c r="AE88" i="18"/>
  <c r="AE90" i="18" s="1"/>
  <c r="E89" i="18"/>
  <c r="AD36" i="18"/>
  <c r="T26" i="2"/>
  <c r="AV36" i="18"/>
  <c r="AM88" i="18"/>
  <c r="AM90" i="18" s="1"/>
  <c r="AR88" i="18"/>
  <c r="AR90" i="18" s="1"/>
  <c r="BH88" i="18"/>
  <c r="BH90" i="18" s="1"/>
  <c r="AK88" i="18"/>
  <c r="AK90" i="18" s="1"/>
  <c r="K36" i="18"/>
  <c r="V88" i="18"/>
  <c r="V90" i="18" s="1"/>
  <c r="AU36" i="18"/>
  <c r="BD88" i="18"/>
  <c r="BD90" i="18" s="1"/>
  <c r="BD36" i="18"/>
  <c r="T32" i="2"/>
  <c r="BI36" i="18"/>
  <c r="T88" i="18"/>
  <c r="T90" i="18" s="1"/>
  <c r="AJ36" i="18"/>
  <c r="J88" i="18"/>
  <c r="J90" i="18" s="1"/>
  <c r="BM88" i="18"/>
  <c r="BM90" i="18" s="1"/>
  <c r="AV1" i="19"/>
  <c r="AO36" i="18"/>
  <c r="J36" i="18"/>
  <c r="U47" i="2"/>
  <c r="G36" i="18"/>
  <c r="R36" i="18"/>
  <c r="AF36" i="18"/>
  <c r="W36" i="18"/>
  <c r="AX88" i="18"/>
  <c r="AX90" i="18" s="1"/>
  <c r="X36" i="18"/>
  <c r="AG36" i="18"/>
  <c r="BL36" i="18"/>
  <c r="AG88" i="18"/>
  <c r="AG90" i="18" s="1"/>
  <c r="F88" i="18"/>
  <c r="F90" i="18" s="1"/>
  <c r="AV88" i="18"/>
  <c r="AV90" i="18" s="1"/>
  <c r="AW36" i="18"/>
  <c r="AZ36" i="18"/>
  <c r="AX36" i="18"/>
  <c r="BN36" i="18"/>
  <c r="AN36" i="18"/>
  <c r="AD88" i="18"/>
  <c r="AD90" i="18" s="1"/>
  <c r="L88" i="18"/>
  <c r="L90" i="18" s="1"/>
  <c r="AK36" i="18"/>
  <c r="BF36" i="18"/>
  <c r="K88" i="18"/>
  <c r="K90" i="18" s="1"/>
  <c r="AN88" i="18"/>
  <c r="AN90" i="18" s="1"/>
  <c r="AF88" i="18"/>
  <c r="AF90" i="18" s="1"/>
  <c r="U46" i="2"/>
  <c r="BP36" i="18"/>
  <c r="N36" i="18"/>
  <c r="Q36" i="18"/>
  <c r="AI36" i="18"/>
  <c r="T34" i="2"/>
  <c r="AA36" i="18"/>
  <c r="BK88" i="18"/>
  <c r="BK90" i="18" s="1"/>
  <c r="Z37" i="2"/>
  <c r="O88" i="18"/>
  <c r="O90" i="18" s="1"/>
  <c r="AQ36" i="18"/>
  <c r="M88" i="18"/>
  <c r="M90" i="18" s="1"/>
  <c r="BP88" i="18"/>
  <c r="BP90" i="18" s="1"/>
  <c r="BJ88" i="18"/>
  <c r="BJ90" i="18" s="1"/>
  <c r="AS88" i="18"/>
  <c r="AS90" i="18" s="1"/>
  <c r="BJ36" i="18"/>
  <c r="AE36" i="18"/>
  <c r="F36" i="18"/>
  <c r="T27" i="2"/>
  <c r="BA36" i="18"/>
  <c r="X88" i="18"/>
  <c r="X90" i="18" s="1"/>
  <c r="AH88" i="18"/>
  <c r="AH90" i="18" s="1"/>
  <c r="T25" i="2"/>
  <c r="BM36" i="18"/>
  <c r="AP88" i="18"/>
  <c r="AP90" i="18" s="1"/>
  <c r="AP36" i="18"/>
  <c r="BK36" i="18"/>
  <c r="AB88" i="18"/>
  <c r="AB90" i="18" s="1"/>
  <c r="BF88" i="18"/>
  <c r="BF90" i="18" s="1"/>
  <c r="AM36" i="18"/>
  <c r="I88" i="18"/>
  <c r="I90" i="18" s="1"/>
  <c r="S36" i="18"/>
  <c r="T36" i="18"/>
  <c r="T28" i="2"/>
  <c r="G88" i="18"/>
  <c r="G90" i="18" s="1"/>
  <c r="T31" i="2"/>
  <c r="BA88" i="18"/>
  <c r="BA90" i="18" s="1"/>
  <c r="W88" i="18"/>
  <c r="W90" i="18" s="1"/>
  <c r="AL36" i="18"/>
  <c r="AY88" i="18"/>
  <c r="AY90" i="18" s="1"/>
  <c r="AR36" i="18"/>
  <c r="AZ88" i="18"/>
  <c r="AZ90" i="18" s="1"/>
  <c r="Z88" i="18"/>
  <c r="Z90" i="18" s="1"/>
  <c r="E36" i="18"/>
  <c r="R88" i="18"/>
  <c r="R90" i="18" s="1"/>
  <c r="AL88" i="18"/>
  <c r="AL90" i="18" s="1"/>
  <c r="P88" i="18"/>
  <c r="P90" i="18" s="1"/>
  <c r="BB88" i="18"/>
  <c r="BB90" i="18" s="1"/>
  <c r="BG88" i="18"/>
  <c r="BG90" i="18" s="1"/>
  <c r="AS36" i="18"/>
  <c r="BN88" i="18"/>
  <c r="BN90" i="18" s="1"/>
  <c r="AT36" i="18"/>
  <c r="T12" i="2"/>
  <c r="H88" i="18"/>
  <c r="H90" i="18" s="1"/>
  <c r="AY36" i="18"/>
  <c r="BH36" i="18"/>
  <c r="BO88" i="18"/>
  <c r="BO90" i="18" s="1"/>
  <c r="M36" i="18"/>
  <c r="AC88" i="18"/>
  <c r="AC90" i="18" s="1"/>
  <c r="Y36" i="18"/>
  <c r="L36" i="18"/>
  <c r="BC42" i="4"/>
  <c r="BA42" i="4"/>
  <c r="BB42" i="4"/>
  <c r="AT42" i="4"/>
  <c r="AT48" i="4"/>
  <c r="BA48" i="4"/>
  <c r="BC48" i="4"/>
  <c r="BB48" i="4"/>
  <c r="AS32" i="4"/>
  <c r="M38" i="31" s="1"/>
  <c r="U32" i="4"/>
  <c r="AQ32" i="4"/>
  <c r="AZ35" i="4"/>
  <c r="BZ456" i="9"/>
  <c r="U7" i="14"/>
  <c r="AE98" i="9"/>
  <c r="BC53" i="4" l="1"/>
  <c r="M43" i="31"/>
  <c r="L44" i="31"/>
  <c r="M44" i="31"/>
  <c r="BB53" i="4"/>
  <c r="AZ38" i="4"/>
  <c r="D59" i="31"/>
  <c r="D61" i="31" s="1"/>
  <c r="C60" i="31"/>
  <c r="AT33" i="4"/>
  <c r="D40" i="31"/>
  <c r="F40" i="31"/>
  <c r="C39" i="31"/>
  <c r="AT43" i="4"/>
  <c r="BB43" i="4"/>
  <c r="BA43" i="4"/>
  <c r="BC33" i="4"/>
  <c r="BB33" i="4"/>
  <c r="BA34" i="4"/>
  <c r="AT34" i="4"/>
  <c r="BB34" i="4"/>
  <c r="BC34" i="4"/>
  <c r="E57" i="31"/>
  <c r="D38" i="31"/>
  <c r="E38" i="31"/>
  <c r="E55" i="31" s="1"/>
  <c r="C58" i="31"/>
  <c r="F7" i="27"/>
  <c r="G7" i="27" s="1"/>
  <c r="K43" i="31"/>
  <c r="J43" i="31"/>
  <c r="G43" i="31"/>
  <c r="I43" i="31"/>
  <c r="H43" i="31"/>
  <c r="F43" i="31"/>
  <c r="L43" i="31"/>
  <c r="F3" i="27"/>
  <c r="G3" i="27" s="1"/>
  <c r="G38" i="31"/>
  <c r="K38" i="31"/>
  <c r="H38" i="31"/>
  <c r="F38" i="31"/>
  <c r="L38" i="31"/>
  <c r="J38" i="31"/>
  <c r="I38" i="31"/>
  <c r="F6" i="27"/>
  <c r="G6" i="27" s="1"/>
  <c r="H42" i="31"/>
  <c r="L42" i="31"/>
  <c r="K42" i="31"/>
  <c r="J42" i="31"/>
  <c r="I42" i="31"/>
  <c r="C45" i="31"/>
  <c r="BB41" i="4"/>
  <c r="BC41" i="4"/>
  <c r="BA41" i="4"/>
  <c r="AZ46" i="4"/>
  <c r="E92" i="18"/>
  <c r="E98" i="18" s="1"/>
  <c r="AZ42" i="4"/>
  <c r="AZ36" i="4"/>
  <c r="AZ52" i="4"/>
  <c r="AZ44" i="4"/>
  <c r="AT81" i="18"/>
  <c r="AT99" i="18" s="1"/>
  <c r="AT39" i="18"/>
  <c r="AZ48" i="4"/>
  <c r="BK39" i="18"/>
  <c r="BK81" i="18"/>
  <c r="BK99" i="18" s="1"/>
  <c r="U27" i="2"/>
  <c r="Z44" i="2"/>
  <c r="AA44" i="2" s="1"/>
  <c r="C120" i="14"/>
  <c r="AQ39" i="18"/>
  <c r="AQ81" i="18"/>
  <c r="AQ99" i="18" s="1"/>
  <c r="N39" i="18"/>
  <c r="N81" i="18"/>
  <c r="N99" i="18" s="1"/>
  <c r="R39" i="18"/>
  <c r="R81" i="18"/>
  <c r="R99" i="18" s="1"/>
  <c r="AJ39" i="18"/>
  <c r="AJ81" i="18"/>
  <c r="AJ99" i="18" s="1"/>
  <c r="K81" i="18"/>
  <c r="K99" i="18" s="1"/>
  <c r="K39" i="18"/>
  <c r="J89" i="18"/>
  <c r="J92" i="18" s="1"/>
  <c r="J98" i="18" s="1"/>
  <c r="M89" i="18"/>
  <c r="M92" i="18" s="1"/>
  <c r="M98" i="18" s="1"/>
  <c r="AD89" i="18"/>
  <c r="AD92" i="18" s="1"/>
  <c r="AD98" i="18" s="1"/>
  <c r="O89" i="18"/>
  <c r="O92" i="18" s="1"/>
  <c r="O98" i="18" s="1"/>
  <c r="AW89" i="18"/>
  <c r="AW92" i="18" s="1"/>
  <c r="AW98" i="18" s="1"/>
  <c r="BF89" i="18"/>
  <c r="BF92" i="18" s="1"/>
  <c r="BF98" i="18" s="1"/>
  <c r="Y89" i="18"/>
  <c r="Y92" i="18" s="1"/>
  <c r="Y98" i="18" s="1"/>
  <c r="AX89" i="18"/>
  <c r="AX92" i="18" s="1"/>
  <c r="AX98" i="18" s="1"/>
  <c r="AL89" i="18"/>
  <c r="AL92" i="18" s="1"/>
  <c r="AL98" i="18" s="1"/>
  <c r="BN89" i="18"/>
  <c r="BN92" i="18" s="1"/>
  <c r="BN98" i="18" s="1"/>
  <c r="AY89" i="18"/>
  <c r="AY92" i="18" s="1"/>
  <c r="AY98" i="18" s="1"/>
  <c r="AO89" i="18"/>
  <c r="AO92" i="18" s="1"/>
  <c r="AO98" i="18" s="1"/>
  <c r="AC89" i="18"/>
  <c r="AC92" i="18" s="1"/>
  <c r="AC98" i="18" s="1"/>
  <c r="AQ89" i="18"/>
  <c r="AQ92" i="18" s="1"/>
  <c r="AQ98" i="18" s="1"/>
  <c r="X89" i="18"/>
  <c r="X92" i="18" s="1"/>
  <c r="X98" i="18" s="1"/>
  <c r="AF89" i="18"/>
  <c r="AF92" i="18" s="1"/>
  <c r="AF98" i="18" s="1"/>
  <c r="S89" i="18"/>
  <c r="S92" i="18" s="1"/>
  <c r="S98" i="18" s="1"/>
  <c r="R89" i="18"/>
  <c r="R92" i="18" s="1"/>
  <c r="R98" i="18" s="1"/>
  <c r="BD89" i="18"/>
  <c r="BD92" i="18" s="1"/>
  <c r="BD98" i="18" s="1"/>
  <c r="AZ89" i="18"/>
  <c r="AZ92" i="18" s="1"/>
  <c r="AZ98" i="18" s="1"/>
  <c r="G89" i="18"/>
  <c r="G92" i="18" s="1"/>
  <c r="G98" i="18" s="1"/>
  <c r="AE89" i="18"/>
  <c r="AE92" i="18" s="1"/>
  <c r="AE98" i="18" s="1"/>
  <c r="AG89" i="18"/>
  <c r="AG92" i="18" s="1"/>
  <c r="AG98" i="18" s="1"/>
  <c r="F89" i="18"/>
  <c r="F92" i="18" s="1"/>
  <c r="F98" i="18" s="1"/>
  <c r="P89" i="18"/>
  <c r="P92" i="18" s="1"/>
  <c r="P98" i="18" s="1"/>
  <c r="W89" i="18"/>
  <c r="W92" i="18" s="1"/>
  <c r="W98" i="18" s="1"/>
  <c r="AU89" i="18"/>
  <c r="AU92" i="18" s="1"/>
  <c r="AU98" i="18" s="1"/>
  <c r="L89" i="18"/>
  <c r="L92" i="18" s="1"/>
  <c r="L98" i="18" s="1"/>
  <c r="AM89" i="18"/>
  <c r="AM92" i="18" s="1"/>
  <c r="AM98" i="18" s="1"/>
  <c r="BI89" i="18"/>
  <c r="BI92" i="18" s="1"/>
  <c r="BI98" i="18" s="1"/>
  <c r="N89" i="18"/>
  <c r="N92" i="18" s="1"/>
  <c r="N98" i="18" s="1"/>
  <c r="Q89" i="18"/>
  <c r="Q92" i="18" s="1"/>
  <c r="Q98" i="18" s="1"/>
  <c r="BO89" i="18"/>
  <c r="BO92" i="18" s="1"/>
  <c r="BO98" i="18" s="1"/>
  <c r="BE89" i="18"/>
  <c r="BE92" i="18" s="1"/>
  <c r="BE98" i="18" s="1"/>
  <c r="V89" i="18"/>
  <c r="V92" i="18" s="1"/>
  <c r="V98" i="18" s="1"/>
  <c r="AS89" i="18"/>
  <c r="AS92" i="18" s="1"/>
  <c r="AS98" i="18" s="1"/>
  <c r="AK89" i="18"/>
  <c r="AK92" i="18" s="1"/>
  <c r="AK98" i="18" s="1"/>
  <c r="BC89" i="18"/>
  <c r="BC92" i="18" s="1"/>
  <c r="BC98" i="18" s="1"/>
  <c r="AP89" i="18"/>
  <c r="AP92" i="18" s="1"/>
  <c r="AP98" i="18" s="1"/>
  <c r="BP89" i="18"/>
  <c r="BP92" i="18" s="1"/>
  <c r="BP98" i="18" s="1"/>
  <c r="I89" i="18"/>
  <c r="I92" i="18" s="1"/>
  <c r="I98" i="18" s="1"/>
  <c r="BK89" i="18"/>
  <c r="BK92" i="18" s="1"/>
  <c r="BK98" i="18" s="1"/>
  <c r="T89" i="18"/>
  <c r="T92" i="18" s="1"/>
  <c r="T98" i="18" s="1"/>
  <c r="Z89" i="18"/>
  <c r="Z92" i="18" s="1"/>
  <c r="Z98" i="18" s="1"/>
  <c r="BJ89" i="18"/>
  <c r="BJ92" i="18" s="1"/>
  <c r="BJ98" i="18" s="1"/>
  <c r="AN89" i="18"/>
  <c r="AN92" i="18" s="1"/>
  <c r="AN98" i="18" s="1"/>
  <c r="BM89" i="18"/>
  <c r="BM92" i="18" s="1"/>
  <c r="BM98" i="18" s="1"/>
  <c r="AI89" i="18"/>
  <c r="AI92" i="18" s="1"/>
  <c r="AI98" i="18" s="1"/>
  <c r="BH89" i="18"/>
  <c r="BH92" i="18" s="1"/>
  <c r="BH98" i="18" s="1"/>
  <c r="AV89" i="18"/>
  <c r="AV92" i="18" s="1"/>
  <c r="AV98" i="18" s="1"/>
  <c r="AB89" i="18"/>
  <c r="AB92" i="18" s="1"/>
  <c r="AB98" i="18" s="1"/>
  <c r="BB89" i="18"/>
  <c r="BB92" i="18" s="1"/>
  <c r="BB98" i="18" s="1"/>
  <c r="H89" i="18"/>
  <c r="H92" i="18" s="1"/>
  <c r="H98" i="18" s="1"/>
  <c r="BL89" i="18"/>
  <c r="BL92" i="18" s="1"/>
  <c r="BL98" i="18" s="1"/>
  <c r="AA89" i="18"/>
  <c r="AA92" i="18" s="1"/>
  <c r="AA98" i="18" s="1"/>
  <c r="AT89" i="18"/>
  <c r="AT92" i="18" s="1"/>
  <c r="AT98" i="18" s="1"/>
  <c r="AH89" i="18"/>
  <c r="AH92" i="18" s="1"/>
  <c r="AH98" i="18" s="1"/>
  <c r="K89" i="18"/>
  <c r="K92" i="18" s="1"/>
  <c r="K98" i="18" s="1"/>
  <c r="BA89" i="18"/>
  <c r="BA92" i="18" s="1"/>
  <c r="BA98" i="18" s="1"/>
  <c r="AJ89" i="18"/>
  <c r="AJ92" i="18" s="1"/>
  <c r="AJ98" i="18" s="1"/>
  <c r="AR89" i="18"/>
  <c r="AR92" i="18" s="1"/>
  <c r="AR98" i="18" s="1"/>
  <c r="U89" i="18"/>
  <c r="U92" i="18" s="1"/>
  <c r="U98" i="18" s="1"/>
  <c r="BG89" i="18"/>
  <c r="BG92" i="18" s="1"/>
  <c r="BG98" i="18" s="1"/>
  <c r="BC81" i="18"/>
  <c r="BC99" i="18" s="1"/>
  <c r="BC39" i="18"/>
  <c r="AZ37" i="4"/>
  <c r="M81" i="18"/>
  <c r="M99" i="18" s="1"/>
  <c r="M39" i="18"/>
  <c r="AS81" i="18"/>
  <c r="AS99" i="18" s="1"/>
  <c r="AS39" i="18"/>
  <c r="C121" i="14"/>
  <c r="Z45" i="2"/>
  <c r="AA45" i="2" s="1"/>
  <c r="U28" i="2"/>
  <c r="AP39" i="18"/>
  <c r="AP81" i="18"/>
  <c r="AP99" i="18" s="1"/>
  <c r="F39" i="18"/>
  <c r="F81" i="18"/>
  <c r="F99" i="18" s="1"/>
  <c r="BP81" i="18"/>
  <c r="BP99" i="18" s="1"/>
  <c r="BP39" i="18"/>
  <c r="BP78" i="18" s="1"/>
  <c r="G81" i="18"/>
  <c r="G99" i="18" s="1"/>
  <c r="G39" i="18"/>
  <c r="AH81" i="18"/>
  <c r="AH99" i="18" s="1"/>
  <c r="AH39" i="18"/>
  <c r="U81" i="18"/>
  <c r="U99" i="18" s="1"/>
  <c r="U39" i="18"/>
  <c r="I39" i="18"/>
  <c r="I81" i="18"/>
  <c r="I99" i="18" s="1"/>
  <c r="Z38" i="2"/>
  <c r="AM118" i="14"/>
  <c r="T36" i="2"/>
  <c r="U31" i="2"/>
  <c r="BA81" i="18"/>
  <c r="BA99" i="18" s="1"/>
  <c r="BA39" i="18"/>
  <c r="AD81" i="18"/>
  <c r="AD99" i="18" s="1"/>
  <c r="AD39" i="18"/>
  <c r="AR81" i="18"/>
  <c r="AR99" i="18" s="1"/>
  <c r="AR39" i="18"/>
  <c r="T81" i="18"/>
  <c r="T99" i="18" s="1"/>
  <c r="T39" i="18"/>
  <c r="AE81" i="18"/>
  <c r="AE99" i="18" s="1"/>
  <c r="AE39" i="18"/>
  <c r="AA40" i="2"/>
  <c r="AA37" i="2"/>
  <c r="AN39" i="18"/>
  <c r="AN81" i="18"/>
  <c r="AN99" i="18" s="1"/>
  <c r="BL81" i="18"/>
  <c r="BL99" i="18" s="1"/>
  <c r="BL39" i="18"/>
  <c r="BI39" i="18"/>
  <c r="BI81" i="18"/>
  <c r="BI99" i="18" s="1"/>
  <c r="P81" i="18"/>
  <c r="P99" i="18" s="1"/>
  <c r="P39" i="18"/>
  <c r="U33" i="2"/>
  <c r="AM120" i="14"/>
  <c r="Y39" i="18"/>
  <c r="Y81" i="18"/>
  <c r="Y99" i="18" s="1"/>
  <c r="Q81" i="18"/>
  <c r="Q99" i="18" s="1"/>
  <c r="Q39" i="18"/>
  <c r="AF81" i="18"/>
  <c r="AF99" i="18" s="1"/>
  <c r="AF39" i="18"/>
  <c r="BO39" i="18"/>
  <c r="BO81" i="18"/>
  <c r="BO99" i="18" s="1"/>
  <c r="BH81" i="18"/>
  <c r="BH99" i="18" s="1"/>
  <c r="BH39" i="18"/>
  <c r="S81" i="18"/>
  <c r="S99" i="18" s="1"/>
  <c r="S39" i="18"/>
  <c r="BM81" i="18"/>
  <c r="BM99" i="18" s="1"/>
  <c r="BM39" i="18"/>
  <c r="BJ81" i="18"/>
  <c r="BJ99" i="18" s="1"/>
  <c r="BJ39" i="18"/>
  <c r="BN39" i="18"/>
  <c r="BN81" i="18"/>
  <c r="BN99" i="18" s="1"/>
  <c r="AG81" i="18"/>
  <c r="AG99" i="18" s="1"/>
  <c r="AG39" i="18"/>
  <c r="J81" i="18"/>
  <c r="J99" i="18" s="1"/>
  <c r="J39" i="18"/>
  <c r="AM119" i="14"/>
  <c r="U32" i="2"/>
  <c r="AC81" i="18"/>
  <c r="AC99" i="18" s="1"/>
  <c r="AC39" i="18"/>
  <c r="BB39" i="18"/>
  <c r="BB81" i="18"/>
  <c r="BB99" i="18" s="1"/>
  <c r="AZ50" i="4"/>
  <c r="AZ51" i="4"/>
  <c r="E81" i="18"/>
  <c r="E99" i="18" s="1"/>
  <c r="E39" i="18"/>
  <c r="V81" i="18"/>
  <c r="V99" i="18" s="1"/>
  <c r="V39" i="18"/>
  <c r="BC32" i="4"/>
  <c r="AT32" i="4"/>
  <c r="U28" i="4"/>
  <c r="BB32" i="4"/>
  <c r="BA32" i="4"/>
  <c r="AY81" i="18"/>
  <c r="AY99" i="18" s="1"/>
  <c r="AY39" i="18"/>
  <c r="AL81" i="18"/>
  <c r="AL99" i="18" s="1"/>
  <c r="AL39" i="18"/>
  <c r="U25" i="2"/>
  <c r="T29" i="2"/>
  <c r="C118" i="14"/>
  <c r="AA81" i="18"/>
  <c r="AA99" i="18" s="1"/>
  <c r="AA39" i="18"/>
  <c r="AX81" i="18"/>
  <c r="AX99" i="18" s="1"/>
  <c r="AX39" i="18"/>
  <c r="X81" i="18"/>
  <c r="X99" i="18" s="1"/>
  <c r="X39" i="18"/>
  <c r="AO39" i="18"/>
  <c r="AO81" i="18"/>
  <c r="AO99" i="18" s="1"/>
  <c r="BD39" i="18"/>
  <c r="BD81" i="18"/>
  <c r="BD99" i="18" s="1"/>
  <c r="AB39" i="18"/>
  <c r="AB81" i="18"/>
  <c r="AB99" i="18" s="1"/>
  <c r="H81" i="18"/>
  <c r="H99" i="18" s="1"/>
  <c r="H39" i="18"/>
  <c r="AK81" i="18"/>
  <c r="AK99" i="18" s="1"/>
  <c r="AK39" i="18"/>
  <c r="AM39" i="18"/>
  <c r="AM81" i="18"/>
  <c r="AM99" i="18" s="1"/>
  <c r="U34" i="2"/>
  <c r="AM121" i="14"/>
  <c r="AZ81" i="18"/>
  <c r="AZ99" i="18" s="1"/>
  <c r="AZ39" i="18"/>
  <c r="AV81" i="18"/>
  <c r="AV99" i="18" s="1"/>
  <c r="AV39" i="18"/>
  <c r="O81" i="18"/>
  <c r="O99" i="18" s="1"/>
  <c r="O39" i="18"/>
  <c r="BE39" i="18"/>
  <c r="BE81" i="18"/>
  <c r="BE99" i="18" s="1"/>
  <c r="AZ39" i="4"/>
  <c r="AZ40" i="4"/>
  <c r="L81" i="18"/>
  <c r="L99" i="18" s="1"/>
  <c r="L39" i="18"/>
  <c r="AI81" i="18"/>
  <c r="AI99" i="18" s="1"/>
  <c r="AI39" i="18"/>
  <c r="BF39" i="18"/>
  <c r="BF81" i="18"/>
  <c r="BF99" i="18" s="1"/>
  <c r="AW81" i="18"/>
  <c r="AW99" i="18" s="1"/>
  <c r="AW39" i="18"/>
  <c r="W81" i="18"/>
  <c r="W99" i="18" s="1"/>
  <c r="W39" i="18"/>
  <c r="AU39" i="18"/>
  <c r="AU81" i="18"/>
  <c r="AU99" i="18" s="1"/>
  <c r="Z43" i="2"/>
  <c r="AA43" i="2" s="1"/>
  <c r="U26" i="2"/>
  <c r="C119" i="14"/>
  <c r="Z39" i="18"/>
  <c r="Z81" i="18"/>
  <c r="Z99" i="18" s="1"/>
  <c r="BG81" i="18"/>
  <c r="BG99" i="18" s="1"/>
  <c r="BG39" i="18"/>
  <c r="AZ47" i="4"/>
  <c r="AZ45" i="4"/>
  <c r="BZ457" i="9"/>
  <c r="V7" i="14"/>
  <c r="AF98" i="9"/>
  <c r="AZ53" i="4" l="1"/>
  <c r="C44" i="31"/>
  <c r="M55" i="31"/>
  <c r="C59" i="31"/>
  <c r="C40" i="31"/>
  <c r="F55" i="31"/>
  <c r="D55" i="31"/>
  <c r="D62" i="31" s="1"/>
  <c r="L55" i="31"/>
  <c r="H55" i="31"/>
  <c r="K55" i="31"/>
  <c r="G55" i="31"/>
  <c r="C57" i="31"/>
  <c r="E61" i="31"/>
  <c r="I55" i="31"/>
  <c r="J55" i="31"/>
  <c r="AZ43" i="4"/>
  <c r="AZ33" i="4"/>
  <c r="AZ34" i="4"/>
  <c r="G14" i="27"/>
  <c r="C38" i="31"/>
  <c r="C42" i="31"/>
  <c r="C43" i="31"/>
  <c r="BC28" i="4"/>
  <c r="BB28" i="4"/>
  <c r="AZ41" i="4"/>
  <c r="E101" i="18"/>
  <c r="X102" i="18" s="1"/>
  <c r="Y100" i="18" s="1"/>
  <c r="Y101" i="18" s="1"/>
  <c r="AT28" i="4"/>
  <c r="BP84" i="18"/>
  <c r="BP85" i="18" s="1"/>
  <c r="BP79" i="18"/>
  <c r="AL40" i="18"/>
  <c r="AL41" i="18" s="1"/>
  <c r="AK78" i="18"/>
  <c r="AA40" i="18"/>
  <c r="AA41" i="18" s="1"/>
  <c r="Z78" i="18"/>
  <c r="AW78" i="18"/>
  <c r="AX40" i="18"/>
  <c r="AX41" i="18" s="1"/>
  <c r="AO78" i="18"/>
  <c r="AP40" i="18"/>
  <c r="AP41" i="18" s="1"/>
  <c r="K40" i="18"/>
  <c r="K41" i="18" s="1"/>
  <c r="J78" i="18"/>
  <c r="BM78" i="18"/>
  <c r="BN40" i="18"/>
  <c r="BN41" i="18" s="1"/>
  <c r="AF78" i="18"/>
  <c r="AG40" i="18"/>
  <c r="AG41" i="18" s="1"/>
  <c r="Q40" i="18"/>
  <c r="Q41" i="18" s="1"/>
  <c r="P78" i="18"/>
  <c r="AA38" i="2"/>
  <c r="Z42" i="2"/>
  <c r="AP78" i="18"/>
  <c r="AQ40" i="18"/>
  <c r="AQ41" i="18" s="1"/>
  <c r="S40" i="18"/>
  <c r="S41" i="18" s="1"/>
  <c r="R78" i="18"/>
  <c r="BA40" i="18"/>
  <c r="BA41" i="18" s="1"/>
  <c r="AZ78" i="18"/>
  <c r="H78" i="18"/>
  <c r="I40" i="18"/>
  <c r="I41" i="18" s="1"/>
  <c r="X78" i="18"/>
  <c r="Y40" i="18"/>
  <c r="Y41" i="18" s="1"/>
  <c r="U29" i="2"/>
  <c r="AE40" i="18"/>
  <c r="AE41" i="18" s="1"/>
  <c r="AD78" i="18"/>
  <c r="G78" i="18"/>
  <c r="H40" i="18"/>
  <c r="H41" i="18" s="1"/>
  <c r="BL40" i="18"/>
  <c r="BL41" i="18" s="1"/>
  <c r="BK78" i="18"/>
  <c r="BP40" i="18"/>
  <c r="BP41" i="18" s="1"/>
  <c r="BO78" i="18"/>
  <c r="AH78" i="18"/>
  <c r="AI40" i="18"/>
  <c r="AI41" i="18" s="1"/>
  <c r="AM40" i="18"/>
  <c r="AM41" i="18" s="1"/>
  <c r="AL78" i="18"/>
  <c r="AH40" i="18"/>
  <c r="AH41" i="18" s="1"/>
  <c r="AG78" i="18"/>
  <c r="S78" i="18"/>
  <c r="T40" i="18"/>
  <c r="T41" i="18" s="1"/>
  <c r="R40" i="18"/>
  <c r="R41" i="18" s="1"/>
  <c r="Q78" i="18"/>
  <c r="AE78" i="18"/>
  <c r="AF40" i="18"/>
  <c r="AF41" i="18" s="1"/>
  <c r="BC78" i="18"/>
  <c r="BD40" i="18"/>
  <c r="BD41" i="18" s="1"/>
  <c r="O40" i="18"/>
  <c r="O41" i="18" s="1"/>
  <c r="N78" i="18"/>
  <c r="BF78" i="18"/>
  <c r="BG40" i="18"/>
  <c r="BG41" i="18" s="1"/>
  <c r="AX78" i="18"/>
  <c r="AY40" i="18"/>
  <c r="AY41" i="18" s="1"/>
  <c r="BC40" i="18"/>
  <c r="BC41" i="18" s="1"/>
  <c r="BB78" i="18"/>
  <c r="BI78" i="18"/>
  <c r="BJ40" i="18"/>
  <c r="BJ41" i="18" s="1"/>
  <c r="BA78" i="18"/>
  <c r="BB40" i="18"/>
  <c r="BB41" i="18" s="1"/>
  <c r="L40" i="18"/>
  <c r="L41" i="18" s="1"/>
  <c r="K78" i="18"/>
  <c r="AI78" i="18"/>
  <c r="AJ40" i="18"/>
  <c r="AJ41" i="18" s="1"/>
  <c r="BE78" i="18"/>
  <c r="BF40" i="18"/>
  <c r="BF41" i="18" s="1"/>
  <c r="AC40" i="18"/>
  <c r="AC41" i="18" s="1"/>
  <c r="AB78" i="18"/>
  <c r="AZ40" i="18"/>
  <c r="AZ41" i="18" s="1"/>
  <c r="AY78" i="18"/>
  <c r="W40" i="18"/>
  <c r="W41" i="18" s="1"/>
  <c r="V78" i="18"/>
  <c r="AC78" i="18"/>
  <c r="AD40" i="18"/>
  <c r="AD41" i="18" s="1"/>
  <c r="BH78" i="18"/>
  <c r="BI40" i="18"/>
  <c r="BI41" i="18" s="1"/>
  <c r="BL78" i="18"/>
  <c r="BM40" i="18"/>
  <c r="BM41" i="18" s="1"/>
  <c r="U40" i="18"/>
  <c r="U41" i="18" s="1"/>
  <c r="T78" i="18"/>
  <c r="I78" i="18"/>
  <c r="J40" i="18"/>
  <c r="J41" i="18" s="1"/>
  <c r="AT40" i="18"/>
  <c r="AT41" i="18" s="1"/>
  <c r="AS78" i="18"/>
  <c r="AQ78" i="18"/>
  <c r="AR40" i="18"/>
  <c r="AR41" i="18" s="1"/>
  <c r="AT78" i="18"/>
  <c r="AU40" i="18"/>
  <c r="AU41" i="18" s="1"/>
  <c r="BG78" i="18"/>
  <c r="BH40" i="18"/>
  <c r="BH41" i="18" s="1"/>
  <c r="AU78" i="18"/>
  <c r="AV40" i="18"/>
  <c r="AV41" i="18" s="1"/>
  <c r="P40" i="18"/>
  <c r="P41" i="18" s="1"/>
  <c r="O78" i="18"/>
  <c r="AA78" i="18"/>
  <c r="AB40" i="18"/>
  <c r="AB41" i="18" s="1"/>
  <c r="BO40" i="18"/>
  <c r="BO41" i="18" s="1"/>
  <c r="BN78" i="18"/>
  <c r="Z40" i="18"/>
  <c r="Z41" i="18" s="1"/>
  <c r="Y78" i="18"/>
  <c r="V40" i="18"/>
  <c r="V41" i="18" s="1"/>
  <c r="U78" i="18"/>
  <c r="AV78" i="18"/>
  <c r="AW40" i="18"/>
  <c r="AW41" i="18" s="1"/>
  <c r="AN78" i="18"/>
  <c r="AO40" i="18"/>
  <c r="AO41" i="18" s="1"/>
  <c r="W78" i="18"/>
  <c r="X40" i="18"/>
  <c r="X41" i="18" s="1"/>
  <c r="L78" i="18"/>
  <c r="M40" i="18"/>
  <c r="M41" i="18" s="1"/>
  <c r="AM78" i="18"/>
  <c r="AN40" i="18"/>
  <c r="AN41" i="18" s="1"/>
  <c r="BD78" i="18"/>
  <c r="BE40" i="18"/>
  <c r="BE41" i="18" s="1"/>
  <c r="BA28" i="4"/>
  <c r="AZ32" i="4"/>
  <c r="E41" i="18"/>
  <c r="E78" i="18"/>
  <c r="F40" i="18"/>
  <c r="F41" i="18" s="1"/>
  <c r="BK40" i="18"/>
  <c r="BK41" i="18" s="1"/>
  <c r="BJ78" i="18"/>
  <c r="AR78" i="18"/>
  <c r="AS40" i="18"/>
  <c r="AS41" i="18" s="1"/>
  <c r="G40" i="18"/>
  <c r="G41" i="18" s="1"/>
  <c r="F78" i="18"/>
  <c r="M78" i="18"/>
  <c r="N40" i="18"/>
  <c r="N41" i="18" s="1"/>
  <c r="AK40" i="18"/>
  <c r="AK41" i="18" s="1"/>
  <c r="AJ78" i="18"/>
  <c r="BZ458" i="9"/>
  <c r="W7" i="14"/>
  <c r="AG98" i="9"/>
  <c r="C61" i="31" l="1"/>
  <c r="C65" i="31" s="1"/>
  <c r="AU51" i="4"/>
  <c r="AU38" i="4"/>
  <c r="C55" i="31"/>
  <c r="E62" i="31"/>
  <c r="F62" i="31" s="1"/>
  <c r="G62" i="31" s="1"/>
  <c r="H62" i="31" s="1"/>
  <c r="I62" i="31" s="1"/>
  <c r="J62" i="31" s="1"/>
  <c r="K62" i="31" s="1"/>
  <c r="L62" i="31" s="1"/>
  <c r="M62" i="31" s="1"/>
  <c r="N62" i="31" s="1"/>
  <c r="O62" i="31" s="1"/>
  <c r="P62" i="31" s="1"/>
  <c r="Q62" i="31" s="1"/>
  <c r="R62" i="31" s="1"/>
  <c r="S62" i="31" s="1"/>
  <c r="T62" i="31" s="1"/>
  <c r="AU34" i="4"/>
  <c r="AZ28" i="4"/>
  <c r="F102" i="18"/>
  <c r="G100" i="18" s="1"/>
  <c r="G101" i="18" s="1"/>
  <c r="AI102" i="18"/>
  <c r="AJ100" i="18" s="1"/>
  <c r="AJ101" i="18" s="1"/>
  <c r="L102" i="18"/>
  <c r="M100" i="18" s="1"/>
  <c r="M101" i="18" s="1"/>
  <c r="V102" i="18"/>
  <c r="W100" i="18" s="1"/>
  <c r="W101" i="18" s="1"/>
  <c r="AB102" i="18"/>
  <c r="AC100" i="18" s="1"/>
  <c r="AC101" i="18" s="1"/>
  <c r="AA102" i="18"/>
  <c r="AB100" i="18" s="1"/>
  <c r="AB101" i="18" s="1"/>
  <c r="AH102" i="18"/>
  <c r="AI100" i="18" s="1"/>
  <c r="AI101" i="18" s="1"/>
  <c r="AX102" i="18"/>
  <c r="AY100" i="18" s="1"/>
  <c r="AY101" i="18" s="1"/>
  <c r="AZ102" i="18"/>
  <c r="BA100" i="18" s="1"/>
  <c r="BA101" i="18" s="1"/>
  <c r="AU40" i="4"/>
  <c r="AU52" i="4"/>
  <c r="AU43" i="4"/>
  <c r="BL102" i="18"/>
  <c r="BM100" i="18" s="1"/>
  <c r="BM101" i="18" s="1"/>
  <c r="AC102" i="18"/>
  <c r="AD100" i="18" s="1"/>
  <c r="AD101" i="18" s="1"/>
  <c r="BJ102" i="18"/>
  <c r="BK100" i="18" s="1"/>
  <c r="BK101" i="18" s="1"/>
  <c r="BD102" i="18"/>
  <c r="BE100" i="18" s="1"/>
  <c r="BE101" i="18" s="1"/>
  <c r="Q102" i="18"/>
  <c r="R100" i="18" s="1"/>
  <c r="R101" i="18" s="1"/>
  <c r="AW102" i="18"/>
  <c r="AX100" i="18" s="1"/>
  <c r="AX101" i="18" s="1"/>
  <c r="BF102" i="18"/>
  <c r="BG100" i="18" s="1"/>
  <c r="BG101" i="18" s="1"/>
  <c r="AU37" i="4"/>
  <c r="BO102" i="18"/>
  <c r="BP100" i="18" s="1"/>
  <c r="BP101" i="18" s="1"/>
  <c r="AV102" i="18"/>
  <c r="AW100" i="18" s="1"/>
  <c r="AW101" i="18" s="1"/>
  <c r="AR102" i="18"/>
  <c r="AS100" i="18" s="1"/>
  <c r="AS101" i="18" s="1"/>
  <c r="AY102" i="18"/>
  <c r="AZ100" i="18" s="1"/>
  <c r="AZ101" i="18" s="1"/>
  <c r="O102" i="18"/>
  <c r="P100" i="18" s="1"/>
  <c r="P101" i="18" s="1"/>
  <c r="I102" i="18"/>
  <c r="J100" i="18" s="1"/>
  <c r="J101" i="18" s="1"/>
  <c r="N102" i="18"/>
  <c r="O100" i="18" s="1"/>
  <c r="O101" i="18" s="1"/>
  <c r="AL102" i="18"/>
  <c r="AM100" i="18" s="1"/>
  <c r="AM101" i="18" s="1"/>
  <c r="AQ102" i="18"/>
  <c r="AR100" i="18" s="1"/>
  <c r="AR101" i="18" s="1"/>
  <c r="AE102" i="18"/>
  <c r="AF100" i="18" s="1"/>
  <c r="AF101" i="18" s="1"/>
  <c r="AS102" i="18"/>
  <c r="AT100" i="18" s="1"/>
  <c r="AT101" i="18" s="1"/>
  <c r="M102" i="18"/>
  <c r="N100" i="18" s="1"/>
  <c r="N101" i="18" s="1"/>
  <c r="AM102" i="18"/>
  <c r="AN100" i="18" s="1"/>
  <c r="AN101" i="18" s="1"/>
  <c r="P102" i="18"/>
  <c r="Q100" i="18" s="1"/>
  <c r="Q101" i="18" s="1"/>
  <c r="BB102" i="18"/>
  <c r="BC100" i="18" s="1"/>
  <c r="BC101" i="18" s="1"/>
  <c r="AG102" i="18"/>
  <c r="AH100" i="18" s="1"/>
  <c r="AH101" i="18" s="1"/>
  <c r="BH102" i="18"/>
  <c r="BI100" i="18" s="1"/>
  <c r="BI101" i="18" s="1"/>
  <c r="AD102" i="18"/>
  <c r="AE100" i="18" s="1"/>
  <c r="AE101" i="18" s="1"/>
  <c r="AN102" i="18"/>
  <c r="AO100" i="18" s="1"/>
  <c r="AO101" i="18" s="1"/>
  <c r="BG102" i="18"/>
  <c r="BH100" i="18" s="1"/>
  <c r="BH101" i="18" s="1"/>
  <c r="BN102" i="18"/>
  <c r="BO100" i="18" s="1"/>
  <c r="BO101" i="18" s="1"/>
  <c r="W102" i="18"/>
  <c r="X100" i="18" s="1"/>
  <c r="X101" i="18" s="1"/>
  <c r="Z102" i="18"/>
  <c r="AA100" i="18" s="1"/>
  <c r="AA101" i="18" s="1"/>
  <c r="T102" i="18"/>
  <c r="U100" i="18" s="1"/>
  <c r="U101" i="18" s="1"/>
  <c r="U102" i="18"/>
  <c r="V100" i="18" s="1"/>
  <c r="V101" i="18" s="1"/>
  <c r="AT102" i="18"/>
  <c r="AU100" i="18" s="1"/>
  <c r="AU101" i="18" s="1"/>
  <c r="K102" i="18"/>
  <c r="L100" i="18" s="1"/>
  <c r="L101" i="18" s="1"/>
  <c r="AF102" i="18"/>
  <c r="AG100" i="18" s="1"/>
  <c r="AG101" i="18" s="1"/>
  <c r="E102" i="18"/>
  <c r="F100" i="18" s="1"/>
  <c r="BM102" i="18"/>
  <c r="BN100" i="18" s="1"/>
  <c r="BN101" i="18" s="1"/>
  <c r="AK102" i="18"/>
  <c r="AL100" i="18" s="1"/>
  <c r="AL101" i="18" s="1"/>
  <c r="R102" i="18"/>
  <c r="S100" i="18" s="1"/>
  <c r="S101" i="18" s="1"/>
  <c r="AP102" i="18"/>
  <c r="AQ100" i="18" s="1"/>
  <c r="AQ101" i="18" s="1"/>
  <c r="BA102" i="18"/>
  <c r="BB100" i="18" s="1"/>
  <c r="BB101" i="18" s="1"/>
  <c r="AJ102" i="18"/>
  <c r="AK100" i="18" s="1"/>
  <c r="AK101" i="18" s="1"/>
  <c r="G102" i="18"/>
  <c r="H100" i="18" s="1"/>
  <c r="H101" i="18" s="1"/>
  <c r="Y102" i="18"/>
  <c r="Z100" i="18" s="1"/>
  <c r="Z101" i="18" s="1"/>
  <c r="BP102" i="18"/>
  <c r="J102" i="18"/>
  <c r="K100" i="18" s="1"/>
  <c r="K101" i="18" s="1"/>
  <c r="AO102" i="18"/>
  <c r="AP100" i="18" s="1"/>
  <c r="AP101" i="18" s="1"/>
  <c r="BK102" i="18"/>
  <c r="BL100" i="18" s="1"/>
  <c r="BL101" i="18" s="1"/>
  <c r="S102" i="18"/>
  <c r="T100" i="18" s="1"/>
  <c r="T101" i="18" s="1"/>
  <c r="H102" i="18"/>
  <c r="I100" i="18" s="1"/>
  <c r="I101" i="18" s="1"/>
  <c r="BI102" i="18"/>
  <c r="BJ100" i="18" s="1"/>
  <c r="BJ101" i="18" s="1"/>
  <c r="BC102" i="18"/>
  <c r="BD100" i="18" s="1"/>
  <c r="BD101" i="18" s="1"/>
  <c r="AU102" i="18"/>
  <c r="AV100" i="18" s="1"/>
  <c r="AV101" i="18" s="1"/>
  <c r="BE102" i="18"/>
  <c r="BF100" i="18" s="1"/>
  <c r="BF101" i="18" s="1"/>
  <c r="AU32" i="4"/>
  <c r="AU44" i="4"/>
  <c r="AU36" i="4"/>
  <c r="AU53" i="4"/>
  <c r="AU45" i="4"/>
  <c r="AU46" i="4"/>
  <c r="AU33" i="4"/>
  <c r="AU50" i="4"/>
  <c r="AU39" i="4"/>
  <c r="AU41" i="4"/>
  <c r="AU54" i="4"/>
  <c r="AU47" i="4"/>
  <c r="AU42" i="4"/>
  <c r="AS28" i="4"/>
  <c r="AS27" i="4"/>
  <c r="AU48" i="4"/>
  <c r="AU35" i="4"/>
  <c r="BH79" i="18"/>
  <c r="BH84" i="18"/>
  <c r="BH85" i="18" s="1"/>
  <c r="Q84" i="18"/>
  <c r="Q85" i="18" s="1"/>
  <c r="Q79" i="18"/>
  <c r="AD79" i="18"/>
  <c r="AD84" i="18"/>
  <c r="AD85" i="18" s="1"/>
  <c r="AO84" i="18"/>
  <c r="AO85" i="18" s="1"/>
  <c r="AO79" i="18"/>
  <c r="F84" i="18"/>
  <c r="F85" i="18" s="1"/>
  <c r="F79" i="18"/>
  <c r="BA79" i="18"/>
  <c r="BA84" i="18"/>
  <c r="BA85" i="18" s="1"/>
  <c r="BF84" i="18"/>
  <c r="BF85" i="18" s="1"/>
  <c r="BF79" i="18"/>
  <c r="AH79" i="18"/>
  <c r="AH84" i="18"/>
  <c r="AH85" i="18" s="1"/>
  <c r="R79" i="18"/>
  <c r="R84" i="18"/>
  <c r="R85" i="18" s="1"/>
  <c r="AX79" i="18"/>
  <c r="AX84" i="18"/>
  <c r="AX85" i="18" s="1"/>
  <c r="AE79" i="18"/>
  <c r="AE84" i="18"/>
  <c r="AE85" i="18" s="1"/>
  <c r="P79" i="18"/>
  <c r="P84" i="18"/>
  <c r="P85" i="18" s="1"/>
  <c r="AV84" i="18"/>
  <c r="AV85" i="18" s="1"/>
  <c r="AV79" i="18"/>
  <c r="W84" i="18"/>
  <c r="W85" i="18" s="1"/>
  <c r="W79" i="18"/>
  <c r="AR79" i="18"/>
  <c r="AR84" i="18"/>
  <c r="AR85" i="18" s="1"/>
  <c r="I79" i="18"/>
  <c r="I84" i="18"/>
  <c r="I85" i="18" s="1"/>
  <c r="N84" i="18"/>
  <c r="N85" i="18" s="1"/>
  <c r="N79" i="18"/>
  <c r="BO84" i="18"/>
  <c r="BO85" i="18" s="1"/>
  <c r="BO79" i="18"/>
  <c r="AF84" i="18"/>
  <c r="AF85" i="18" s="1"/>
  <c r="AF79" i="18"/>
  <c r="AW79" i="18"/>
  <c r="AW84" i="18"/>
  <c r="AW85" i="18" s="1"/>
  <c r="AZ79" i="18"/>
  <c r="AZ84" i="18"/>
  <c r="AZ85" i="18" s="1"/>
  <c r="U84" i="18"/>
  <c r="U85" i="18" s="1"/>
  <c r="U79" i="18"/>
  <c r="AC79" i="18"/>
  <c r="AC84" i="18"/>
  <c r="AC85" i="18" s="1"/>
  <c r="BD84" i="18"/>
  <c r="BD85" i="18" s="1"/>
  <c r="BD79" i="18"/>
  <c r="Y79" i="18"/>
  <c r="Y84" i="18"/>
  <c r="Y85" i="18" s="1"/>
  <c r="T79" i="18"/>
  <c r="T84" i="18"/>
  <c r="T85" i="18" s="1"/>
  <c r="V84" i="18"/>
  <c r="V85" i="18" s="1"/>
  <c r="V79" i="18"/>
  <c r="BI84" i="18"/>
  <c r="BI85" i="18" s="1"/>
  <c r="BI79" i="18"/>
  <c r="S79" i="18"/>
  <c r="S84" i="18"/>
  <c r="S85" i="18" s="1"/>
  <c r="Z79" i="18"/>
  <c r="Z84" i="18"/>
  <c r="Z85" i="18" s="1"/>
  <c r="AS84" i="18"/>
  <c r="AS85" i="18" s="1"/>
  <c r="AS79" i="18"/>
  <c r="AU84" i="18"/>
  <c r="AU85" i="18" s="1"/>
  <c r="AU79" i="18"/>
  <c r="AT79" i="18"/>
  <c r="AT84" i="18"/>
  <c r="AT85" i="18" s="1"/>
  <c r="AI79" i="18"/>
  <c r="AI84" i="18"/>
  <c r="AI85" i="18" s="1"/>
  <c r="BB84" i="18"/>
  <c r="BB85" i="18" s="1"/>
  <c r="BB79" i="18"/>
  <c r="AG79" i="18"/>
  <c r="AG84" i="18"/>
  <c r="AG85" i="18" s="1"/>
  <c r="BK84" i="18"/>
  <c r="BK85" i="18" s="1"/>
  <c r="BK79" i="18"/>
  <c r="X84" i="18"/>
  <c r="X85" i="18" s="1"/>
  <c r="X79" i="18"/>
  <c r="AP84" i="18"/>
  <c r="AP85" i="18" s="1"/>
  <c r="AP79" i="18"/>
  <c r="BM84" i="18"/>
  <c r="BM85" i="18" s="1"/>
  <c r="BM79" i="18"/>
  <c r="L84" i="18"/>
  <c r="L85" i="18" s="1"/>
  <c r="L79" i="18"/>
  <c r="AB79" i="18"/>
  <c r="AB84" i="18"/>
  <c r="AB85" i="18" s="1"/>
  <c r="G84" i="18"/>
  <c r="G85" i="18" s="1"/>
  <c r="G79" i="18"/>
  <c r="O79" i="18"/>
  <c r="O84" i="18"/>
  <c r="O85" i="18" s="1"/>
  <c r="BJ84" i="18"/>
  <c r="BJ85" i="18" s="1"/>
  <c r="BJ79" i="18"/>
  <c r="AM84" i="18"/>
  <c r="AM85" i="18" s="1"/>
  <c r="AM79" i="18"/>
  <c r="BN84" i="18"/>
  <c r="BN85" i="18" s="1"/>
  <c r="BN79" i="18"/>
  <c r="AY84" i="18"/>
  <c r="AY85" i="18" s="1"/>
  <c r="AY79" i="18"/>
  <c r="BC79" i="18"/>
  <c r="BC84" i="18"/>
  <c r="BC85" i="18" s="1"/>
  <c r="AA42" i="2"/>
  <c r="Z46" i="2"/>
  <c r="AA46" i="2" s="1"/>
  <c r="J79" i="18"/>
  <c r="J84" i="18"/>
  <c r="J85" i="18" s="1"/>
  <c r="AK84" i="18"/>
  <c r="AK85" i="18" s="1"/>
  <c r="AK79" i="18"/>
  <c r="AA79" i="18"/>
  <c r="AA84" i="18"/>
  <c r="AA85" i="18" s="1"/>
  <c r="BE79" i="18"/>
  <c r="BE84" i="18"/>
  <c r="BE85" i="18" s="1"/>
  <c r="AJ84" i="18"/>
  <c r="AJ85" i="18" s="1"/>
  <c r="AJ79" i="18"/>
  <c r="M84" i="18"/>
  <c r="M85" i="18" s="1"/>
  <c r="M79" i="18"/>
  <c r="E84" i="18"/>
  <c r="E85" i="18" s="1"/>
  <c r="E79" i="18"/>
  <c r="AN84" i="18"/>
  <c r="AN85" i="18" s="1"/>
  <c r="AN79" i="18"/>
  <c r="BG79" i="18"/>
  <c r="BG84" i="18"/>
  <c r="BG85" i="18" s="1"/>
  <c r="AQ84" i="18"/>
  <c r="AQ85" i="18" s="1"/>
  <c r="AQ79" i="18"/>
  <c r="BL84" i="18"/>
  <c r="BL85" i="18" s="1"/>
  <c r="BL79" i="18"/>
  <c r="K84" i="18"/>
  <c r="K85" i="18" s="1"/>
  <c r="K79" i="18"/>
  <c r="AL84" i="18"/>
  <c r="AL85" i="18" s="1"/>
  <c r="AL79" i="18"/>
  <c r="H79" i="18"/>
  <c r="H84" i="18"/>
  <c r="H85" i="18" s="1"/>
  <c r="BZ459" i="9"/>
  <c r="X7" i="14"/>
  <c r="AH98" i="9"/>
  <c r="Y7" i="14" s="1"/>
  <c r="C62" i="31" l="1"/>
  <c r="P21" i="18"/>
  <c r="F101" i="18"/>
  <c r="T214" i="11"/>
  <c r="BZ460" i="9"/>
  <c r="Q214" i="11" l="1"/>
  <c r="BZ461" i="9"/>
  <c r="BZ462" i="9" l="1"/>
  <c r="BM216" i="11" l="1"/>
  <c r="BZ463" i="9"/>
  <c r="Z217" i="11" l="1"/>
  <c r="BZ464" i="9"/>
  <c r="BZ465" i="9" l="1"/>
  <c r="BZ466" i="9" l="1"/>
  <c r="BZ467" i="9" l="1"/>
  <c r="BZ468" i="9" l="1"/>
  <c r="BZ469" i="9" l="1"/>
  <c r="BZ470" i="9" s="1"/>
  <c r="BZ471" i="9" l="1"/>
  <c r="BZ472" i="9" l="1"/>
  <c r="BZ477" i="9" l="1"/>
  <c r="BZ478" i="9" l="1"/>
  <c r="BZ479" i="9" l="1"/>
  <c r="BZ480" i="9" l="1"/>
  <c r="BZ481" i="9" l="1"/>
  <c r="BZ482" i="9" l="1"/>
  <c r="BZ483" i="9" s="1"/>
  <c r="BZ484" i="9" l="1"/>
  <c r="BZ485" i="9" l="1"/>
  <c r="BZ486" i="9" s="1"/>
  <c r="BZ487" i="9" l="1"/>
  <c r="BZ488" i="9" l="1"/>
  <c r="AI238" i="11" l="1"/>
  <c r="BZ489" i="9"/>
  <c r="BZ490" i="9" l="1"/>
  <c r="BZ491" i="9" l="1"/>
  <c r="BZ492" i="9" s="1"/>
  <c r="BZ493" i="9" l="1"/>
  <c r="BZ494" i="9" s="1"/>
  <c r="BZ495" i="9" l="1"/>
  <c r="BZ496" i="9" l="1"/>
  <c r="BZ501" i="9" l="1"/>
  <c r="BZ502" i="9" l="1"/>
  <c r="BZ503" i="9" l="1"/>
  <c r="BZ504" i="9" l="1"/>
  <c r="BZ505" i="9" l="1"/>
  <c r="BZ506" i="9" l="1"/>
  <c r="BZ507" i="9" l="1"/>
  <c r="BZ508" i="9" l="1"/>
  <c r="BZ509" i="9" s="1"/>
  <c r="BZ510" i="9" l="1"/>
  <c r="BZ511" i="9" l="1"/>
  <c r="BZ512" i="9" l="1"/>
  <c r="BZ513" i="9" l="1"/>
  <c r="BZ514" i="9" l="1"/>
  <c r="BZ515" i="9" l="1"/>
  <c r="BZ516" i="9" l="1"/>
  <c r="BZ517" i="9" l="1"/>
  <c r="BZ518" i="9" l="1"/>
  <c r="BZ519" i="9" l="1"/>
  <c r="BZ520" i="9" l="1"/>
  <c r="BZ525" i="9" l="1"/>
  <c r="BZ526" i="9" l="1"/>
  <c r="BZ527" i="9" l="1"/>
  <c r="BZ528" i="9" l="1"/>
  <c r="S271" i="11" l="1"/>
  <c r="BZ529" i="9"/>
  <c r="BZ530" i="9" l="1"/>
  <c r="BZ531" i="9" l="1"/>
  <c r="BZ532" i="9" l="1"/>
  <c r="BZ533" i="9" l="1"/>
  <c r="BZ534" i="9" s="1"/>
  <c r="BZ535" i="9" s="1"/>
  <c r="BZ536" i="9" l="1"/>
  <c r="AO278" i="11" s="1"/>
  <c r="BZ537" i="9" l="1"/>
  <c r="BZ538" i="9" l="1"/>
  <c r="BZ539" i="9" l="1"/>
  <c r="BZ540" i="9" l="1"/>
  <c r="BZ541" i="9" l="1"/>
  <c r="BZ542" i="9" l="1"/>
  <c r="BZ543" i="9" l="1"/>
  <c r="BZ544" i="9" s="1"/>
  <c r="BZ549" i="9" s="1"/>
  <c r="BZ550" i="9" l="1"/>
  <c r="BZ551" i="9" l="1"/>
  <c r="AH289" i="11" l="1"/>
  <c r="BZ552" i="9"/>
  <c r="BZ553" i="9" s="1"/>
  <c r="BZ554" i="9" s="1"/>
  <c r="BZ555" i="9" s="1"/>
  <c r="BZ556" i="9" l="1"/>
  <c r="BZ557" i="9" l="1"/>
  <c r="BZ558" i="9" l="1"/>
  <c r="BZ559" i="9" l="1"/>
  <c r="BZ560" i="9" s="1"/>
  <c r="BZ561" i="9" l="1"/>
  <c r="BZ562" i="9" s="1"/>
  <c r="BZ563" i="9" s="1"/>
  <c r="BZ564" i="9" s="1"/>
  <c r="BZ565" i="9" l="1"/>
  <c r="BZ566" i="9" s="1"/>
  <c r="BZ567" i="9" l="1"/>
  <c r="BZ568" i="9" s="1"/>
  <c r="BZ573" i="9" l="1"/>
  <c r="W307" i="11" s="1"/>
  <c r="BZ574" i="9" l="1"/>
  <c r="BZ575" i="9" s="1"/>
  <c r="BZ576" i="9" l="1"/>
  <c r="BZ577" i="9" l="1"/>
  <c r="BZ578" i="9" l="1"/>
  <c r="BZ579" i="9" l="1"/>
  <c r="BZ580" i="9" l="1"/>
  <c r="BZ581" i="9" l="1"/>
  <c r="BZ582" i="9" l="1"/>
  <c r="BZ583" i="9" l="1"/>
  <c r="BZ584" i="9" l="1"/>
  <c r="BZ585" i="9" l="1"/>
  <c r="BZ586" i="9" l="1"/>
  <c r="BZ587" i="9" l="1"/>
  <c r="BZ588" i="9" l="1"/>
  <c r="BZ589" i="9" l="1"/>
  <c r="BZ590" i="9" l="1"/>
  <c r="BZ591" i="9" l="1"/>
  <c r="BZ592" i="9" s="1"/>
  <c r="BZ597" i="9" s="1"/>
  <c r="BZ598" i="9" s="1"/>
  <c r="AL324" i="11"/>
  <c r="BZ599" i="9" l="1"/>
  <c r="BZ600" i="9" s="1"/>
  <c r="BZ601" i="9" l="1"/>
  <c r="BZ602" i="9" l="1"/>
  <c r="BZ603" i="9" l="1"/>
  <c r="BZ604" i="9" l="1"/>
  <c r="BG334" i="11" l="1"/>
  <c r="AV334" i="11"/>
  <c r="BZ605" i="9"/>
  <c r="U335" i="11" l="1"/>
  <c r="BZ606" i="9"/>
  <c r="BZ607" i="9" s="1"/>
  <c r="AW337" i="11" l="1"/>
  <c r="BZ608" i="9"/>
  <c r="BZ609" i="9" l="1"/>
  <c r="H339" i="11" l="1"/>
  <c r="BZ610" i="9"/>
  <c r="BZ611" i="9" l="1"/>
  <c r="BZ612" i="9" l="1"/>
  <c r="BZ613" i="9" l="1"/>
  <c r="BZ614" i="9" l="1"/>
  <c r="BZ615" i="9" l="1"/>
  <c r="BZ616" i="9" l="1"/>
  <c r="BZ621" i="9" l="1"/>
  <c r="BL347" i="11" l="1"/>
  <c r="BZ622" i="9"/>
  <c r="BZ623" i="9" l="1"/>
  <c r="BZ624" i="9" l="1"/>
  <c r="BZ625" i="9" l="1"/>
  <c r="BZ626" i="9" l="1"/>
  <c r="BZ627" i="9" l="1"/>
  <c r="BZ628" i="9" l="1"/>
  <c r="BZ629" i="9" l="1"/>
  <c r="BZ630" i="9" l="1"/>
  <c r="BZ631" i="9" l="1"/>
  <c r="BZ632" i="9" l="1"/>
  <c r="BZ633" i="9" l="1"/>
  <c r="BZ634" i="9" l="1"/>
  <c r="BZ635" i="9" l="1"/>
  <c r="BZ636" i="9" l="1"/>
  <c r="BH362" i="11" l="1"/>
  <c r="BE362" i="11"/>
  <c r="BB362" i="11"/>
  <c r="BZ637" i="9"/>
  <c r="BZ638" i="9" l="1"/>
  <c r="BZ639" i="9" l="1"/>
  <c r="L365" i="11" l="1"/>
  <c r="BZ640" i="9"/>
  <c r="BZ645" i="9" l="1"/>
  <c r="BZ646" i="9" l="1"/>
  <c r="BZ647" i="9" l="1"/>
  <c r="BZ648" i="9" l="1"/>
  <c r="BZ649" i="9" l="1"/>
  <c r="Z371" i="11" l="1"/>
  <c r="BZ650" i="9"/>
  <c r="BZ651" i="9" l="1"/>
  <c r="BZ652" i="9" l="1"/>
  <c r="Y374" i="11" l="1"/>
  <c r="BZ653" i="9"/>
  <c r="BZ654" i="9" l="1"/>
  <c r="BZ655" i="9" l="1"/>
  <c r="BZ656" i="9" l="1"/>
  <c r="AB378" i="11" l="1"/>
  <c r="BZ657" i="9"/>
  <c r="BZ658" i="9" l="1"/>
  <c r="S380" i="11" l="1"/>
  <c r="BZ659" i="9"/>
  <c r="AR381" i="11" l="1"/>
  <c r="BZ660" i="9"/>
  <c r="X382" i="11" s="1"/>
  <c r="BZ661" i="9" l="1"/>
  <c r="BZ662" i="9" l="1"/>
  <c r="BZ663" i="9" l="1"/>
  <c r="BZ664" i="9" l="1"/>
  <c r="BZ669" i="9" l="1"/>
  <c r="BZ670" i="9" l="1"/>
  <c r="BZ671" i="9" l="1"/>
  <c r="AI389" i="11" s="1"/>
  <c r="S389" i="11" l="1"/>
  <c r="X389" i="11"/>
  <c r="BZ672" i="9"/>
  <c r="BI390" i="11" l="1"/>
  <c r="BZ673" i="9"/>
  <c r="BZ674" i="9" l="1"/>
  <c r="P392" i="11" l="1"/>
  <c r="BZ675" i="9"/>
  <c r="BZ676" i="9" l="1"/>
  <c r="AI394" i="11" l="1"/>
  <c r="BZ677" i="9"/>
  <c r="BZ678" i="9" l="1"/>
  <c r="BZ679" i="9" l="1"/>
  <c r="AE397" i="11" l="1"/>
  <c r="BZ680" i="9"/>
  <c r="BZ681" i="9" l="1"/>
  <c r="AJ399" i="11" l="1"/>
  <c r="BM399" i="11"/>
  <c r="BZ682" i="9"/>
  <c r="BZ683" i="9" l="1"/>
  <c r="BZ684" i="9" l="1"/>
  <c r="BZ685" i="9" l="1"/>
  <c r="BG403" i="11" s="1"/>
  <c r="BD403" i="11" l="1"/>
  <c r="Y403" i="11"/>
  <c r="BZ686" i="9"/>
  <c r="AD404" i="11" l="1"/>
  <c r="H404" i="11"/>
  <c r="BZ687" i="9"/>
  <c r="O405" i="11" l="1"/>
  <c r="I405" i="11"/>
  <c r="BZ688" i="9"/>
  <c r="AZ439" i="11" s="1"/>
  <c r="T430" i="11" l="1"/>
  <c r="AL409" i="11"/>
  <c r="O445" i="11"/>
  <c r="AF410" i="11"/>
  <c r="AF427" i="11"/>
  <c r="H452" i="11"/>
  <c r="AJ447" i="11"/>
  <c r="BA426" i="11"/>
  <c r="V444" i="11"/>
  <c r="AH443" i="11"/>
  <c r="R222" i="11"/>
  <c r="AU219" i="11"/>
  <c r="AX208" i="11"/>
  <c r="V442" i="11"/>
  <c r="X445" i="11"/>
  <c r="G242" i="11"/>
  <c r="O323" i="11"/>
  <c r="I205" i="11"/>
  <c r="AS225" i="11"/>
  <c r="BJ240" i="11"/>
  <c r="BE294" i="11"/>
  <c r="U367" i="11"/>
  <c r="BC444" i="11"/>
  <c r="BA429" i="11"/>
  <c r="BD285" i="11"/>
  <c r="AK400" i="11"/>
  <c r="BJ217" i="11"/>
  <c r="S312" i="11"/>
  <c r="AY324" i="11"/>
  <c r="AC327" i="11"/>
  <c r="Y203" i="11"/>
  <c r="X205" i="11"/>
  <c r="AG337" i="11"/>
  <c r="K452" i="11"/>
  <c r="BI324" i="11"/>
  <c r="Z449" i="11"/>
  <c r="BN417" i="11"/>
  <c r="AI236" i="11"/>
  <c r="AI258" i="11"/>
  <c r="C418" i="11"/>
  <c r="BD409" i="11"/>
  <c r="H351" i="11"/>
  <c r="U250" i="11"/>
  <c r="BC287" i="11"/>
  <c r="BD203" i="11"/>
  <c r="H426" i="11"/>
  <c r="AI424" i="11"/>
  <c r="AX328" i="11"/>
  <c r="V388" i="11"/>
  <c r="BB231" i="11"/>
  <c r="AX369" i="11"/>
  <c r="G228" i="11"/>
  <c r="C439" i="11"/>
  <c r="BJ355" i="11"/>
  <c r="AR285" i="11"/>
  <c r="AR349" i="11"/>
  <c r="AO346" i="11"/>
  <c r="BL257" i="11"/>
  <c r="BK374" i="11"/>
  <c r="AP284" i="11"/>
  <c r="AZ406" i="11"/>
  <c r="BI403" i="11"/>
  <c r="AP373" i="11"/>
  <c r="AU245" i="11"/>
  <c r="AC237" i="11"/>
  <c r="AJ217" i="11"/>
  <c r="BK405" i="11"/>
  <c r="BM382" i="11"/>
  <c r="T313" i="11"/>
  <c r="V394" i="11"/>
  <c r="T319" i="11"/>
  <c r="AA250" i="11"/>
  <c r="AP357" i="11"/>
  <c r="AG341" i="11"/>
  <c r="AJ363" i="11"/>
  <c r="AH329" i="11"/>
  <c r="R374" i="11"/>
  <c r="N261" i="11"/>
  <c r="AW210" i="11"/>
  <c r="M403" i="11"/>
  <c r="AC413" i="11"/>
  <c r="O285" i="11"/>
  <c r="AS424" i="11"/>
  <c r="L316" i="11"/>
  <c r="S335" i="11"/>
  <c r="M413" i="11"/>
  <c r="AJ420" i="11"/>
  <c r="AV266" i="11"/>
  <c r="AD249" i="11"/>
  <c r="BG450" i="11"/>
  <c r="BN450" i="11"/>
  <c r="BC443" i="11"/>
  <c r="BG337" i="11"/>
  <c r="C343" i="11"/>
  <c r="Q340" i="11"/>
  <c r="AS434" i="11"/>
  <c r="AM249" i="11"/>
  <c r="H308" i="11"/>
  <c r="BB288" i="11"/>
  <c r="AB444" i="11"/>
  <c r="BI439" i="11"/>
  <c r="AU269" i="11"/>
  <c r="Y434" i="11"/>
  <c r="AM379" i="11"/>
  <c r="N241" i="11"/>
  <c r="AE340" i="11"/>
  <c r="AZ319" i="11"/>
  <c r="BI419" i="11"/>
  <c r="I298" i="11"/>
  <c r="BH424" i="11"/>
  <c r="V330" i="11"/>
  <c r="M248" i="11"/>
  <c r="AW414" i="11"/>
  <c r="AQ211" i="11"/>
  <c r="AI303" i="11"/>
  <c r="Q417" i="11"/>
  <c r="AK444" i="11"/>
  <c r="AP443" i="11"/>
  <c r="BL321" i="11"/>
  <c r="AB314" i="11"/>
  <c r="BN260" i="11"/>
  <c r="Y238" i="11"/>
  <c r="BC243" i="11"/>
  <c r="BF349" i="11"/>
  <c r="AJ293" i="11"/>
  <c r="AV252" i="11"/>
  <c r="BI432" i="11"/>
  <c r="AO315" i="11"/>
  <c r="AP232" i="11"/>
  <c r="L402" i="11"/>
  <c r="BA211" i="11"/>
  <c r="K318" i="11"/>
  <c r="AU455" i="11"/>
  <c r="AG439" i="11"/>
  <c r="AH320" i="11"/>
  <c r="T264" i="11"/>
  <c r="AT365" i="11"/>
  <c r="AH266" i="11"/>
  <c r="AH227" i="11"/>
  <c r="AD357" i="11"/>
  <c r="BH366" i="11"/>
  <c r="AS271" i="11"/>
  <c r="AK208" i="11"/>
  <c r="P215" i="11"/>
  <c r="BC240" i="11"/>
  <c r="BJ341" i="11"/>
  <c r="C361" i="11"/>
  <c r="O286" i="11"/>
  <c r="I211" i="11"/>
  <c r="AZ451" i="11"/>
  <c r="BH433" i="11"/>
  <c r="K444" i="11"/>
  <c r="AI281" i="11"/>
  <c r="BF435" i="11"/>
  <c r="AF453" i="11"/>
  <c r="AA418" i="11"/>
  <c r="AJ220" i="11"/>
  <c r="Y429" i="11"/>
  <c r="AW213" i="11"/>
  <c r="BF413" i="11"/>
  <c r="Y234" i="11"/>
  <c r="S250" i="11"/>
  <c r="P232" i="11"/>
  <c r="AD448" i="11"/>
  <c r="I411" i="11"/>
  <c r="L387" i="11"/>
  <c r="BE443" i="11"/>
  <c r="AQ253" i="11"/>
  <c r="AB261" i="11"/>
  <c r="I359" i="11"/>
  <c r="AD254" i="11"/>
  <c r="AR413" i="11"/>
  <c r="BA425" i="11"/>
  <c r="BG336" i="11"/>
  <c r="AL433" i="11"/>
  <c r="U290" i="11"/>
  <c r="AD335" i="11"/>
  <c r="AS412" i="11"/>
  <c r="BA441" i="11"/>
  <c r="X219" i="11"/>
  <c r="AS418" i="11"/>
  <c r="N406" i="11"/>
  <c r="G259" i="11"/>
  <c r="BC390" i="11"/>
  <c r="AE389" i="11"/>
  <c r="BM383" i="11"/>
  <c r="AZ214" i="11"/>
  <c r="BC216" i="11"/>
  <c r="AQ417" i="11"/>
  <c r="BG378" i="11"/>
  <c r="BE279" i="11"/>
  <c r="AB224" i="11"/>
  <c r="N292" i="11"/>
  <c r="P345" i="11"/>
  <c r="H231" i="11"/>
  <c r="M318" i="11"/>
  <c r="BF288" i="11"/>
  <c r="V271" i="11"/>
  <c r="AU272" i="11"/>
  <c r="AK284" i="11"/>
  <c r="AS355" i="11"/>
  <c r="J250" i="11"/>
  <c r="AR227" i="11"/>
  <c r="AA214" i="11"/>
  <c r="BM282" i="11"/>
  <c r="BE334" i="11"/>
  <c r="AW246" i="11"/>
  <c r="BH402" i="11"/>
  <c r="N208" i="11"/>
  <c r="AM230" i="11"/>
  <c r="P292" i="11"/>
  <c r="I386" i="11"/>
  <c r="X334" i="11"/>
  <c r="L425" i="11"/>
  <c r="AD391" i="11"/>
  <c r="O332" i="11"/>
  <c r="X206" i="11"/>
  <c r="AX411" i="11"/>
  <c r="AF225" i="11"/>
  <c r="AJ317" i="11"/>
  <c r="O426" i="11"/>
  <c r="AN336" i="11"/>
  <c r="I240" i="11"/>
  <c r="AE254" i="11"/>
  <c r="C427" i="11"/>
  <c r="AX374" i="11"/>
  <c r="AY405" i="11"/>
  <c r="G336" i="11"/>
  <c r="AD426" i="11"/>
  <c r="AR297" i="11"/>
  <c r="BA412" i="11"/>
  <c r="AS348" i="11"/>
  <c r="AT418" i="11"/>
  <c r="AC347" i="11"/>
  <c r="X416" i="11"/>
  <c r="BC425" i="11"/>
  <c r="X444" i="11"/>
  <c r="AD432" i="11"/>
  <c r="AW285" i="11"/>
  <c r="H223" i="11"/>
  <c r="AV413" i="11"/>
  <c r="AC449" i="11"/>
  <c r="BA205" i="11"/>
  <c r="BC440" i="11"/>
  <c r="R419" i="11"/>
  <c r="AI437" i="11"/>
  <c r="L455" i="11"/>
  <c r="AP248" i="11"/>
  <c r="AB247" i="11"/>
  <c r="BN248" i="11"/>
  <c r="AP320" i="11"/>
  <c r="Z228" i="11"/>
  <c r="H318" i="11"/>
  <c r="AP404" i="11"/>
  <c r="J392" i="11"/>
  <c r="K296" i="11"/>
  <c r="Z439" i="11"/>
  <c r="P391" i="11"/>
  <c r="G279" i="11"/>
  <c r="AL272" i="11"/>
  <c r="AJ385" i="11"/>
  <c r="P365" i="11"/>
  <c r="C363" i="11"/>
  <c r="W210" i="11"/>
  <c r="AH314" i="11"/>
  <c r="S363" i="11"/>
  <c r="AX233" i="11"/>
  <c r="L352" i="11"/>
  <c r="BD343" i="11"/>
  <c r="L239" i="11"/>
  <c r="AM377" i="11"/>
  <c r="S326" i="11"/>
  <c r="AS230" i="11"/>
  <c r="BJ337" i="11"/>
  <c r="AC229" i="11"/>
  <c r="W261" i="11"/>
  <c r="H291" i="11"/>
  <c r="O317" i="11"/>
  <c r="L342" i="11"/>
  <c r="AU298" i="11"/>
  <c r="BN344" i="11"/>
  <c r="U308" i="11"/>
  <c r="BL264" i="11"/>
  <c r="AM447" i="11"/>
  <c r="N437" i="11"/>
  <c r="O411" i="11"/>
  <c r="AZ204" i="11"/>
  <c r="P337" i="11"/>
  <c r="H444" i="11"/>
  <c r="M333" i="11"/>
  <c r="I448" i="11"/>
  <c r="N391" i="11"/>
  <c r="BI367" i="11"/>
  <c r="AD274" i="11"/>
  <c r="BH440" i="11"/>
  <c r="AW417" i="11"/>
  <c r="BK383" i="11"/>
  <c r="Y422" i="11"/>
  <c r="O388" i="11"/>
  <c r="BG427" i="11"/>
  <c r="BG278" i="11"/>
  <c r="BK364" i="11"/>
  <c r="X377" i="11"/>
  <c r="T218" i="11"/>
  <c r="G440" i="11"/>
  <c r="AH453" i="11"/>
  <c r="AF432" i="11"/>
  <c r="AG226" i="11"/>
  <c r="AJ431" i="11"/>
  <c r="S438" i="11"/>
  <c r="AG336" i="11"/>
  <c r="AB393" i="11"/>
  <c r="AK329" i="11"/>
  <c r="U424" i="11"/>
  <c r="Q290" i="11"/>
  <c r="AM438" i="11"/>
  <c r="BK268" i="11"/>
  <c r="Y452" i="11"/>
  <c r="BJ445" i="11"/>
  <c r="AG261" i="11"/>
  <c r="AV430" i="11"/>
  <c r="BN432" i="11"/>
  <c r="BA388" i="11"/>
  <c r="BL256" i="11"/>
  <c r="AD231" i="11"/>
  <c r="BB258" i="11"/>
  <c r="W378" i="11"/>
  <c r="U351" i="11"/>
  <c r="Y216" i="11"/>
  <c r="AS235" i="11"/>
  <c r="O255" i="11"/>
  <c r="BL369" i="11"/>
  <c r="AH322" i="11"/>
  <c r="BL406" i="11"/>
  <c r="AE278" i="11"/>
  <c r="BB222" i="11"/>
  <c r="J387" i="11"/>
  <c r="X235" i="11"/>
  <c r="AF241" i="11"/>
  <c r="I279" i="11"/>
  <c r="AG308" i="11"/>
  <c r="AE380" i="11"/>
  <c r="AM276" i="11"/>
  <c r="AL304" i="11"/>
  <c r="BA346" i="11"/>
  <c r="AN264" i="11"/>
  <c r="AS386" i="11"/>
  <c r="AB238" i="11"/>
  <c r="H381" i="11"/>
  <c r="BA276" i="11"/>
  <c r="U264" i="11"/>
  <c r="I333" i="11"/>
  <c r="AT298" i="11"/>
  <c r="C251" i="11"/>
  <c r="BE393" i="11"/>
  <c r="AK387" i="11"/>
  <c r="Q415" i="11"/>
  <c r="AE450" i="11"/>
  <c r="AI377" i="11"/>
  <c r="AU415" i="11"/>
  <c r="BE446" i="11"/>
  <c r="AC428" i="11"/>
  <c r="P427" i="11"/>
  <c r="AR234" i="11"/>
  <c r="AS425" i="11"/>
  <c r="AC381" i="11"/>
  <c r="AG311" i="11"/>
  <c r="Z255" i="11"/>
  <c r="K254" i="11"/>
  <c r="AU351" i="11"/>
  <c r="G354" i="11"/>
  <c r="AM446" i="11"/>
  <c r="I452" i="11"/>
  <c r="AO451" i="11"/>
  <c r="AZ442" i="11"/>
  <c r="AF233" i="11"/>
  <c r="AV449" i="11"/>
  <c r="BA222" i="11"/>
  <c r="AM424" i="11"/>
  <c r="AE269" i="11"/>
  <c r="AO318" i="11"/>
  <c r="AS222" i="11"/>
  <c r="C371" i="11"/>
  <c r="T360" i="11"/>
  <c r="P311" i="11"/>
  <c r="AH333" i="11"/>
  <c r="AU337" i="11"/>
  <c r="S351" i="11"/>
  <c r="X208" i="11"/>
  <c r="AE217" i="11"/>
  <c r="BJ419" i="11"/>
  <c r="G438" i="11"/>
  <c r="AV408" i="11"/>
  <c r="U262" i="11"/>
  <c r="AW287" i="11"/>
  <c r="AM243" i="11"/>
  <c r="BI410" i="11"/>
  <c r="X428" i="11"/>
  <c r="M205" i="11"/>
  <c r="AO251" i="11"/>
  <c r="Q219" i="11"/>
  <c r="BB295" i="11"/>
  <c r="Z405" i="11"/>
  <c r="U256" i="11"/>
  <c r="AP328" i="11"/>
  <c r="H356" i="11"/>
  <c r="BJ318" i="11"/>
  <c r="AL440" i="11"/>
  <c r="AW281" i="11"/>
  <c r="AR414" i="11"/>
  <c r="BF214" i="11"/>
  <c r="P302" i="11"/>
  <c r="AW322" i="11"/>
  <c r="C442" i="11"/>
  <c r="AP203" i="11"/>
  <c r="V455" i="11"/>
  <c r="K433" i="11"/>
  <c r="AO373" i="11"/>
  <c r="AU410" i="11"/>
  <c r="AE316" i="11"/>
  <c r="BI422" i="11"/>
  <c r="Y266" i="11"/>
  <c r="Z215" i="11"/>
  <c r="AH442" i="11"/>
  <c r="BK426" i="11"/>
  <c r="AJ257" i="11"/>
  <c r="O441" i="11"/>
  <c r="P344" i="11"/>
  <c r="AB438" i="11"/>
  <c r="H416" i="11"/>
  <c r="L417" i="11"/>
  <c r="G451" i="11"/>
  <c r="AI260" i="11"/>
  <c r="AW234" i="11"/>
  <c r="AG339" i="11"/>
  <c r="V225" i="11"/>
  <c r="P331" i="11"/>
  <c r="AF382" i="11"/>
  <c r="V336" i="11"/>
  <c r="AZ335" i="11"/>
  <c r="AL270" i="11"/>
  <c r="AM404" i="11"/>
  <c r="AN226" i="11"/>
  <c r="W211" i="11"/>
  <c r="O349" i="11"/>
  <c r="BG453" i="11"/>
  <c r="P218" i="11"/>
  <c r="T339" i="11"/>
  <c r="I297" i="11"/>
  <c r="AL310" i="11"/>
  <c r="BA394" i="11"/>
  <c r="BF417" i="11"/>
  <c r="AX329" i="11"/>
  <c r="BI314" i="11"/>
  <c r="BN237" i="11"/>
  <c r="Y306" i="11"/>
  <c r="J455" i="11"/>
  <c r="AB220" i="11"/>
  <c r="BM254" i="11"/>
  <c r="AC263" i="11"/>
  <c r="W323" i="11"/>
  <c r="G433" i="11"/>
  <c r="V270" i="11"/>
  <c r="AJ306" i="11"/>
  <c r="AT206" i="11"/>
  <c r="BH426" i="11"/>
  <c r="S339" i="11"/>
  <c r="AA325" i="11"/>
  <c r="K270" i="11"/>
  <c r="BI306" i="11"/>
  <c r="AT294" i="11"/>
  <c r="BD257" i="11"/>
  <c r="AT395" i="11"/>
  <c r="AW423" i="11"/>
  <c r="AZ443" i="11"/>
  <c r="Y204" i="11"/>
  <c r="AE225" i="11"/>
  <c r="BN339" i="11"/>
  <c r="BJ348" i="11"/>
  <c r="BE206" i="11"/>
  <c r="AX304" i="11"/>
  <c r="U450" i="11"/>
  <c r="G207" i="11"/>
  <c r="Y430" i="11"/>
  <c r="AW302" i="11"/>
  <c r="M419" i="11"/>
  <c r="R316" i="11"/>
  <c r="N367" i="11"/>
  <c r="BJ403" i="11"/>
  <c r="AN440" i="11"/>
  <c r="BA209" i="11"/>
  <c r="O237" i="11"/>
  <c r="N341" i="11"/>
  <c r="R381" i="11"/>
  <c r="H448" i="11"/>
  <c r="BA327" i="11"/>
  <c r="M228" i="11"/>
  <c r="AU305" i="11"/>
  <c r="AH292" i="11"/>
  <c r="AY205" i="11"/>
  <c r="AV426" i="11"/>
  <c r="U259" i="11"/>
  <c r="AY268" i="11"/>
  <c r="AI306" i="11"/>
  <c r="X299" i="11"/>
  <c r="Q289" i="11"/>
  <c r="AU443" i="11"/>
  <c r="AS205" i="11"/>
  <c r="AJ247" i="11"/>
  <c r="BK249" i="11"/>
  <c r="BK307" i="11"/>
  <c r="BM456" i="11"/>
  <c r="BC349" i="11"/>
  <c r="AN378" i="11"/>
  <c r="AJ304" i="11"/>
  <c r="BD230" i="11"/>
  <c r="G257" i="11"/>
  <c r="AG391" i="11"/>
  <c r="AF420" i="11"/>
  <c r="AW216" i="11"/>
  <c r="K227" i="11"/>
  <c r="AA423" i="11"/>
  <c r="Y285" i="11"/>
  <c r="H331" i="11"/>
  <c r="I380" i="11"/>
  <c r="AN259" i="11"/>
  <c r="BM223" i="11"/>
  <c r="AD203" i="11"/>
  <c r="P385" i="11"/>
  <c r="Y365" i="11"/>
  <c r="BJ264" i="11"/>
  <c r="K256" i="11"/>
  <c r="AX407" i="11"/>
  <c r="K356" i="11"/>
  <c r="AZ416" i="11"/>
  <c r="C373" i="11"/>
  <c r="BE426" i="11"/>
  <c r="N362" i="11"/>
  <c r="U220" i="11"/>
  <c r="R331" i="11"/>
  <c r="H265" i="11"/>
  <c r="AD419" i="11"/>
  <c r="BM411" i="11"/>
  <c r="BN275" i="11"/>
  <c r="BH235" i="11"/>
  <c r="K225" i="11"/>
  <c r="BL285" i="11"/>
  <c r="BA435" i="11"/>
  <c r="AA425" i="11"/>
  <c r="AC264" i="11"/>
  <c r="AY273" i="11"/>
  <c r="H443" i="11"/>
  <c r="BN446" i="11"/>
  <c r="T227" i="11"/>
  <c r="AP273" i="11"/>
  <c r="BD327" i="11"/>
  <c r="BL302" i="11"/>
  <c r="AN322" i="11"/>
  <c r="AI352" i="11"/>
  <c r="Z317" i="11"/>
  <c r="AQ357" i="11"/>
  <c r="AG361" i="11"/>
  <c r="BD335" i="11"/>
  <c r="Q331" i="11"/>
  <c r="BC218" i="11"/>
  <c r="AD443" i="11"/>
  <c r="K379" i="11"/>
  <c r="AH293" i="11"/>
  <c r="AO449" i="11"/>
  <c r="BF420" i="11"/>
  <c r="AZ430" i="11"/>
  <c r="AC207" i="11"/>
  <c r="AJ265" i="11"/>
  <c r="Y280" i="11"/>
  <c r="AU238" i="11"/>
  <c r="AM225" i="11"/>
  <c r="G322" i="11"/>
  <c r="AN405" i="11"/>
  <c r="K357" i="11"/>
  <c r="AE261" i="11"/>
  <c r="AO422" i="11"/>
  <c r="BB236" i="11"/>
  <c r="BD407" i="11"/>
  <c r="G423" i="11"/>
  <c r="R409" i="11"/>
  <c r="AG352" i="11"/>
  <c r="AN455" i="11"/>
  <c r="AX357" i="11"/>
  <c r="AS277" i="11"/>
  <c r="BA238" i="11"/>
  <c r="AU370" i="11"/>
  <c r="AG294" i="11"/>
  <c r="BE330" i="11"/>
  <c r="AY426" i="11"/>
  <c r="AY341" i="11"/>
  <c r="K407" i="11"/>
  <c r="BG203" i="11"/>
  <c r="BJ442" i="11"/>
  <c r="S208" i="11"/>
  <c r="X419" i="11"/>
  <c r="BL411" i="11"/>
  <c r="BK206" i="11"/>
  <c r="J212" i="11"/>
  <c r="BA367" i="11"/>
  <c r="U358" i="11"/>
  <c r="AI307" i="11"/>
  <c r="AQ305" i="11"/>
  <c r="V387" i="11"/>
  <c r="BJ323" i="11"/>
  <c r="AX288" i="11"/>
  <c r="BF375" i="11"/>
  <c r="AJ236" i="11"/>
  <c r="O397" i="11"/>
  <c r="AI334" i="11"/>
  <c r="BM251" i="11"/>
  <c r="AT236" i="11"/>
  <c r="AU237" i="11"/>
  <c r="AM271" i="11"/>
  <c r="AF368" i="11"/>
  <c r="AQ303" i="11"/>
  <c r="BL231" i="11"/>
  <c r="G319" i="11"/>
  <c r="T226" i="11"/>
  <c r="BE284" i="11"/>
  <c r="AP269" i="11"/>
  <c r="BM313" i="11"/>
  <c r="T332" i="11"/>
  <c r="AR207" i="11"/>
  <c r="AX295" i="11"/>
  <c r="AZ307" i="11"/>
  <c r="AW274" i="11"/>
  <c r="AP347" i="11"/>
  <c r="BE375" i="11"/>
  <c r="AU417" i="11"/>
  <c r="AY351" i="11"/>
  <c r="BJ311" i="11"/>
  <c r="P411" i="11"/>
  <c r="L247" i="11"/>
  <c r="AP214" i="11"/>
  <c r="AO428" i="11"/>
  <c r="AB392" i="11"/>
  <c r="AS452" i="11"/>
  <c r="AQ444" i="11"/>
  <c r="Y210" i="11"/>
  <c r="BB220" i="11"/>
  <c r="H237" i="11"/>
  <c r="AT421" i="11"/>
  <c r="AY246" i="11"/>
  <c r="AX291" i="11"/>
  <c r="BN219" i="11"/>
  <c r="AM371" i="11"/>
  <c r="AK235" i="11"/>
  <c r="AT438" i="11"/>
  <c r="BH415" i="11"/>
  <c r="AD277" i="11"/>
  <c r="BK276" i="11"/>
  <c r="BG291" i="11"/>
  <c r="S369" i="11"/>
  <c r="H212" i="11"/>
  <c r="AD412" i="11"/>
  <c r="AP442" i="11"/>
  <c r="Z450" i="11"/>
  <c r="G297" i="11"/>
  <c r="AK319" i="11"/>
  <c r="BI380" i="11"/>
  <c r="H354" i="11"/>
  <c r="AR315" i="11"/>
  <c r="AC455" i="11"/>
  <c r="BC233" i="11"/>
  <c r="G359" i="11"/>
  <c r="AH265" i="11"/>
  <c r="C385" i="11"/>
  <c r="K241" i="11"/>
  <c r="S331" i="11"/>
  <c r="W293" i="11"/>
  <c r="Q288" i="11"/>
  <c r="AE311" i="11"/>
  <c r="AT367" i="11"/>
  <c r="N314" i="11"/>
  <c r="AV306" i="11"/>
  <c r="AW288" i="11"/>
  <c r="X308" i="11"/>
  <c r="I375" i="11"/>
  <c r="U248" i="11"/>
  <c r="BC326" i="11"/>
  <c r="U215" i="11"/>
  <c r="Y400" i="11"/>
  <c r="BI303" i="11"/>
  <c r="BI351" i="11"/>
  <c r="I244" i="11"/>
  <c r="T348" i="11"/>
  <c r="BK376" i="11"/>
  <c r="BF316" i="11"/>
  <c r="AN257" i="11"/>
  <c r="AV381" i="11"/>
  <c r="BH375" i="11"/>
  <c r="BK389" i="11"/>
  <c r="AX256" i="11"/>
  <c r="BC260" i="11"/>
  <c r="U205" i="11"/>
  <c r="BH435" i="11"/>
  <c r="BM409" i="11"/>
  <c r="AJ394" i="11"/>
  <c r="H209" i="11"/>
  <c r="BD228" i="11"/>
  <c r="AC352" i="11"/>
  <c r="AS213" i="11"/>
  <c r="AO300" i="11"/>
  <c r="AA419" i="11"/>
  <c r="BC232" i="11"/>
  <c r="AN442" i="11"/>
  <c r="AD417" i="11"/>
  <c r="AI353" i="11"/>
  <c r="AJ353" i="11"/>
  <c r="AT419" i="11"/>
  <c r="R402" i="11"/>
  <c r="AH422" i="11"/>
  <c r="G441" i="11"/>
  <c r="BK430" i="11"/>
  <c r="BJ425" i="11"/>
  <c r="AS218" i="11"/>
  <c r="G312" i="11"/>
  <c r="AT263" i="11"/>
  <c r="J341" i="11"/>
  <c r="AS409" i="11"/>
  <c r="BF430" i="11"/>
  <c r="M277" i="11"/>
  <c r="AS327" i="11"/>
  <c r="AV244" i="11"/>
  <c r="C259" i="11"/>
  <c r="S421" i="11"/>
  <c r="AP414" i="11"/>
  <c r="AY437" i="11"/>
  <c r="BC272" i="11"/>
  <c r="AN446" i="11"/>
  <c r="K231" i="11"/>
  <c r="U391" i="11"/>
  <c r="AP278" i="11"/>
  <c r="BC401" i="11"/>
  <c r="AL333" i="11"/>
  <c r="AY214" i="11"/>
  <c r="AI209" i="11"/>
  <c r="J325" i="11"/>
  <c r="AT231" i="11"/>
  <c r="AE443" i="11"/>
  <c r="K316" i="11"/>
  <c r="W295" i="11"/>
  <c r="BH302" i="11"/>
  <c r="BF388" i="11"/>
  <c r="AD339" i="11"/>
  <c r="AJ339" i="11"/>
  <c r="BI269" i="11"/>
  <c r="BC400" i="11"/>
  <c r="BA288" i="11"/>
  <c r="P447" i="11"/>
  <c r="AJ344" i="11"/>
  <c r="AC272" i="11"/>
  <c r="AU394" i="11"/>
  <c r="AK355" i="11"/>
  <c r="BL237" i="11"/>
  <c r="BG241" i="11"/>
  <c r="AJ370" i="11"/>
  <c r="AA324" i="11"/>
  <c r="M223" i="11"/>
  <c r="AF293" i="11"/>
  <c r="AU335" i="11"/>
  <c r="U401" i="11"/>
  <c r="AQ306" i="11"/>
  <c r="Z421" i="11"/>
  <c r="BF367" i="11"/>
  <c r="M257" i="11"/>
  <c r="AD303" i="11"/>
  <c r="AC242" i="11"/>
  <c r="AD424" i="11"/>
  <c r="AA431" i="11"/>
  <c r="BM336" i="11"/>
  <c r="BE352" i="11"/>
  <c r="BM453" i="11"/>
  <c r="Y382" i="11"/>
  <c r="N444" i="11"/>
  <c r="BK378" i="11"/>
  <c r="AO418" i="11"/>
  <c r="BI424" i="11"/>
  <c r="AR360" i="11"/>
  <c r="S284" i="11"/>
  <c r="Y273" i="11"/>
  <c r="H445" i="11"/>
  <c r="AX298" i="11"/>
  <c r="BD303" i="11"/>
  <c r="BE319" i="11"/>
  <c r="AT369" i="11"/>
  <c r="M275" i="11"/>
  <c r="BJ434" i="11"/>
  <c r="AZ415" i="11"/>
  <c r="G422" i="11"/>
  <c r="I382" i="11"/>
  <c r="J346" i="11"/>
  <c r="AA213" i="11"/>
  <c r="AM353" i="11"/>
  <c r="H295" i="11"/>
  <c r="AS223" i="11"/>
  <c r="AC398" i="11"/>
  <c r="Z205" i="11"/>
  <c r="AF323" i="11"/>
  <c r="AA328" i="11"/>
  <c r="U317" i="11"/>
  <c r="BI209" i="11"/>
  <c r="AV355" i="11"/>
  <c r="Q398" i="11"/>
  <c r="AB328" i="11"/>
  <c r="T252" i="11"/>
  <c r="BF400" i="11"/>
  <c r="N428" i="11"/>
  <c r="BL224" i="11"/>
  <c r="AY279" i="11"/>
  <c r="L297" i="11"/>
  <c r="Z284" i="11"/>
  <c r="AP294" i="11"/>
  <c r="AQ269" i="11"/>
  <c r="AC231" i="11"/>
  <c r="AY312" i="11"/>
  <c r="AD222" i="11"/>
  <c r="AT239" i="11"/>
  <c r="AH307" i="11"/>
  <c r="BK314" i="11"/>
  <c r="S294" i="11"/>
  <c r="AF221" i="11"/>
  <c r="K247" i="11"/>
  <c r="BA331" i="11"/>
  <c r="P231" i="11"/>
  <c r="C292" i="11"/>
  <c r="BE438" i="11"/>
  <c r="BC387" i="11"/>
  <c r="AX419" i="11"/>
  <c r="U406" i="11"/>
  <c r="V399" i="11"/>
  <c r="P205" i="11"/>
  <c r="AJ445" i="11"/>
  <c r="BG455" i="11"/>
  <c r="BC283" i="11"/>
  <c r="AA415" i="11"/>
  <c r="AC322" i="11"/>
  <c r="BF255" i="11"/>
  <c r="T409" i="11"/>
  <c r="AI283" i="11"/>
  <c r="AU409" i="11"/>
  <c r="AM408" i="11"/>
  <c r="AQ429" i="11"/>
  <c r="AX385" i="11"/>
  <c r="BH423" i="11"/>
  <c r="AK279" i="11"/>
  <c r="BG235" i="11"/>
  <c r="BK241" i="11"/>
  <c r="Z244" i="11"/>
  <c r="AO256" i="11"/>
  <c r="G203" i="11"/>
  <c r="AJ438" i="11"/>
  <c r="AY455" i="11"/>
  <c r="AS406" i="11"/>
  <c r="AG272" i="11"/>
  <c r="AS432" i="11"/>
  <c r="AM296" i="11"/>
  <c r="BN296" i="11"/>
  <c r="J416" i="11"/>
  <c r="H396" i="11"/>
  <c r="BD315" i="11"/>
  <c r="AV376" i="11"/>
  <c r="X452" i="11"/>
  <c r="AK344" i="11"/>
  <c r="V237" i="11"/>
  <c r="AX262" i="11"/>
  <c r="BF424" i="11"/>
  <c r="AE448" i="11"/>
  <c r="BG285" i="11"/>
  <c r="U310" i="11"/>
  <c r="BK227" i="11"/>
  <c r="Y404" i="11"/>
  <c r="T298" i="11"/>
  <c r="Z397" i="11"/>
  <c r="W279" i="11"/>
  <c r="N353" i="11"/>
  <c r="AB255" i="11"/>
  <c r="AL259" i="11"/>
  <c r="AP363" i="11"/>
  <c r="BL454" i="11"/>
  <c r="U241" i="11"/>
  <c r="AX376" i="11"/>
  <c r="BN416" i="11"/>
  <c r="AV207" i="11"/>
  <c r="I292" i="11"/>
  <c r="AP226" i="11"/>
  <c r="BC273" i="11"/>
  <c r="BL384" i="11"/>
  <c r="AE275" i="11"/>
  <c r="AK451" i="11"/>
  <c r="Z400" i="11"/>
  <c r="BB323" i="11"/>
  <c r="BK257" i="11"/>
  <c r="BG346" i="11"/>
  <c r="T283" i="11"/>
  <c r="AK322" i="11"/>
  <c r="AU352" i="11"/>
  <c r="AP394" i="11"/>
  <c r="AS342" i="11"/>
  <c r="BE410" i="11"/>
  <c r="BI336" i="11"/>
  <c r="Y364" i="11"/>
  <c r="V381" i="11"/>
  <c r="BA286" i="11"/>
  <c r="H423" i="11"/>
  <c r="T449" i="11"/>
  <c r="AK388" i="11"/>
  <c r="L422" i="11"/>
  <c r="AI421" i="11"/>
  <c r="I338" i="11"/>
  <c r="BG429" i="11"/>
  <c r="AY266" i="11"/>
  <c r="AR274" i="11"/>
  <c r="Z203" i="11"/>
  <c r="H250" i="11"/>
  <c r="AD455" i="11"/>
  <c r="T356" i="11"/>
  <c r="Q412" i="11"/>
  <c r="AN391" i="11"/>
  <c r="BA446" i="11"/>
  <c r="AG345" i="11"/>
  <c r="BE423" i="11"/>
  <c r="S435" i="11"/>
  <c r="R335" i="11"/>
  <c r="BE251" i="11"/>
  <c r="AO299" i="11"/>
  <c r="AY403" i="11"/>
  <c r="T288" i="11"/>
  <c r="AY288" i="11"/>
  <c r="AT240" i="11"/>
  <c r="AF289" i="11"/>
  <c r="U305" i="11"/>
  <c r="L293" i="11"/>
  <c r="AM256" i="11"/>
  <c r="AE345" i="11"/>
  <c r="Q348" i="11"/>
  <c r="AL258" i="11"/>
  <c r="N297" i="11"/>
  <c r="G292" i="11"/>
  <c r="AB341" i="11"/>
  <c r="V298" i="11"/>
  <c r="BH412" i="11"/>
  <c r="AN209" i="11"/>
  <c r="Q389" i="11"/>
  <c r="AQ291" i="11"/>
  <c r="AZ434" i="11"/>
  <c r="Q443" i="11"/>
  <c r="AI311" i="11"/>
  <c r="BD227" i="11"/>
  <c r="AJ274" i="11"/>
  <c r="Y367" i="11"/>
  <c r="AD296" i="11"/>
  <c r="AZ262" i="11"/>
  <c r="M330" i="11"/>
  <c r="BA357" i="11"/>
  <c r="AE412" i="11"/>
  <c r="BF219" i="11"/>
  <c r="AL404" i="11"/>
  <c r="AE288" i="11"/>
  <c r="Z409" i="11"/>
  <c r="BL441" i="11"/>
  <c r="R233" i="11"/>
  <c r="O263" i="11"/>
  <c r="BN315" i="11"/>
  <c r="AJ430" i="11"/>
  <c r="AV328" i="11"/>
  <c r="BK210" i="11"/>
  <c r="L317" i="11"/>
  <c r="BM432" i="11"/>
  <c r="BN323" i="11"/>
  <c r="Z237" i="11"/>
  <c r="BK331" i="11"/>
  <c r="AW441" i="11"/>
  <c r="C323" i="11"/>
  <c r="AO399" i="11"/>
  <c r="BG246" i="11"/>
  <c r="V420" i="11"/>
  <c r="G446" i="11"/>
  <c r="I212" i="11"/>
  <c r="AV295" i="11"/>
  <c r="BB322" i="11"/>
  <c r="Y349" i="11"/>
  <c r="X340" i="11"/>
  <c r="G424" i="11"/>
  <c r="BC274" i="11"/>
  <c r="K263" i="11"/>
  <c r="Q277" i="11"/>
  <c r="X214" i="11"/>
  <c r="AF435" i="11"/>
  <c r="BG237" i="11"/>
  <c r="AW373" i="11"/>
  <c r="AZ317" i="11"/>
  <c r="AU309" i="11"/>
  <c r="V256" i="11"/>
  <c r="AK394" i="11"/>
  <c r="AA391" i="11"/>
  <c r="BH325" i="11"/>
  <c r="AY316" i="11"/>
  <c r="AS306" i="11"/>
  <c r="N343" i="11"/>
  <c r="BH206" i="11"/>
  <c r="BJ387" i="11"/>
  <c r="BI264" i="11"/>
  <c r="AI309" i="11"/>
  <c r="L245" i="11"/>
  <c r="BN340" i="11"/>
  <c r="AJ258" i="11"/>
  <c r="AG348" i="11"/>
  <c r="AV427" i="11"/>
  <c r="AR420" i="11"/>
  <c r="AI271" i="11"/>
  <c r="AM430" i="11"/>
  <c r="BH382" i="11"/>
  <c r="Q257" i="11"/>
  <c r="C246" i="11"/>
  <c r="H386" i="11"/>
  <c r="M340" i="11"/>
  <c r="L415" i="11"/>
  <c r="AV345" i="11"/>
  <c r="Q386" i="11"/>
  <c r="AE356" i="11"/>
  <c r="AX437" i="11"/>
  <c r="AW451" i="11"/>
  <c r="Z209" i="11"/>
  <c r="M420" i="11"/>
  <c r="I430" i="11"/>
  <c r="BJ205" i="11"/>
  <c r="AW429" i="11"/>
  <c r="AT258" i="11"/>
  <c r="X414" i="11"/>
  <c r="BG397" i="11"/>
  <c r="W224" i="11"/>
  <c r="K313" i="11"/>
  <c r="Y290" i="11"/>
  <c r="BL272" i="11"/>
  <c r="M388" i="11"/>
  <c r="AE210" i="11"/>
  <c r="AO225" i="11"/>
  <c r="H232" i="11"/>
  <c r="BG318" i="11"/>
  <c r="Y355" i="11"/>
  <c r="AP440" i="11"/>
  <c r="S388" i="11"/>
  <c r="T416" i="11"/>
  <c r="J277" i="11"/>
  <c r="AI295" i="11"/>
  <c r="T221" i="11"/>
  <c r="BA287" i="11"/>
  <c r="AZ249" i="11"/>
  <c r="AR445" i="11"/>
  <c r="G260" i="11"/>
  <c r="AP242" i="11"/>
  <c r="AF309" i="11"/>
  <c r="T431" i="11"/>
  <c r="BF221" i="11"/>
  <c r="BH268" i="11"/>
  <c r="AH446" i="11"/>
  <c r="O439" i="11"/>
  <c r="BD415" i="11"/>
  <c r="I361" i="11"/>
  <c r="BK410" i="11"/>
  <c r="AQ262" i="11"/>
  <c r="H238" i="11"/>
  <c r="AB285" i="11"/>
  <c r="AI373" i="11"/>
  <c r="M438" i="11"/>
  <c r="Q282" i="11"/>
  <c r="AI450" i="11"/>
  <c r="AP333" i="11"/>
  <c r="W353" i="11"/>
  <c r="Q378" i="11"/>
  <c r="AS389" i="11"/>
  <c r="AE372" i="11"/>
  <c r="BA254" i="11"/>
  <c r="BM447" i="11"/>
  <c r="P405" i="11"/>
  <c r="V360" i="11"/>
  <c r="AD397" i="11"/>
  <c r="K355" i="11"/>
  <c r="AU390" i="11"/>
  <c r="AO213" i="11"/>
  <c r="BE448" i="11"/>
  <c r="BK443" i="11"/>
  <c r="AO215" i="11"/>
  <c r="T403" i="11"/>
  <c r="AB279" i="11"/>
  <c r="AT315" i="11"/>
  <c r="AX204" i="11"/>
  <c r="H430" i="11"/>
  <c r="AY431" i="11"/>
  <c r="AT276" i="11"/>
  <c r="AR343" i="11"/>
  <c r="W289" i="11"/>
  <c r="L314" i="11"/>
  <c r="BG331" i="11"/>
  <c r="AS295" i="11"/>
  <c r="AB298" i="11"/>
  <c r="L290" i="11"/>
  <c r="AZ252" i="11"/>
  <c r="AQ265" i="11"/>
  <c r="AC325" i="11"/>
  <c r="Y335" i="11"/>
  <c r="U210" i="11"/>
  <c r="S223" i="11"/>
  <c r="BI360" i="11"/>
  <c r="BB364" i="11"/>
  <c r="V308" i="11"/>
  <c r="BH307" i="11"/>
  <c r="BH297" i="11"/>
  <c r="BK308" i="11"/>
  <c r="K352" i="11"/>
  <c r="AW269" i="11"/>
  <c r="T277" i="11"/>
  <c r="G328" i="11"/>
  <c r="Z224" i="11"/>
  <c r="BH229" i="11"/>
  <c r="BF228" i="11"/>
  <c r="AF213" i="11"/>
  <c r="AA358" i="11"/>
  <c r="W334" i="11"/>
  <c r="AV316" i="11"/>
  <c r="W288" i="11"/>
  <c r="AG387" i="11"/>
  <c r="BC311" i="11"/>
  <c r="T438" i="11"/>
  <c r="AD454" i="11"/>
  <c r="AY206" i="11"/>
  <c r="BJ225" i="11"/>
  <c r="AF238" i="11"/>
  <c r="AM270" i="11"/>
  <c r="AZ333" i="11"/>
  <c r="I434" i="11"/>
  <c r="X357" i="11"/>
  <c r="AH342" i="11"/>
  <c r="S452" i="11"/>
  <c r="AP432" i="11"/>
  <c r="X410" i="11"/>
  <c r="Y432" i="11"/>
  <c r="AC430" i="11"/>
  <c r="N285" i="11"/>
  <c r="X418" i="11"/>
  <c r="BJ420" i="11"/>
  <c r="J334" i="11"/>
  <c r="BE218" i="11"/>
  <c r="BF429" i="11"/>
  <c r="BN439" i="11"/>
  <c r="AK436" i="11"/>
  <c r="L287" i="11"/>
  <c r="AB456" i="11"/>
  <c r="M421" i="11"/>
  <c r="BB445" i="11"/>
  <c r="J303" i="11"/>
  <c r="AG205" i="11"/>
  <c r="AA414" i="11"/>
  <c r="AP429" i="11"/>
  <c r="AI358" i="11"/>
  <c r="K389" i="11"/>
  <c r="AK334" i="11"/>
  <c r="BG264" i="11"/>
  <c r="AD319" i="11"/>
  <c r="AR298" i="11"/>
  <c r="AK320" i="11"/>
  <c r="X368" i="11"/>
  <c r="AN398" i="11"/>
  <c r="U334" i="11"/>
  <c r="BM215" i="11"/>
  <c r="C291" i="11"/>
  <c r="P309" i="11"/>
  <c r="AM260" i="11"/>
  <c r="BD422" i="11"/>
  <c r="AJ296" i="11"/>
  <c r="BG290" i="11"/>
  <c r="AM398" i="11"/>
  <c r="AS390" i="11"/>
  <c r="P244" i="11"/>
  <c r="H408" i="11"/>
  <c r="AL387" i="11"/>
  <c r="AL314" i="11"/>
  <c r="AY219" i="11"/>
  <c r="BH341" i="11"/>
  <c r="W375" i="11"/>
  <c r="AO337" i="11"/>
  <c r="BL260" i="11"/>
  <c r="L228" i="11"/>
  <c r="BL240" i="11"/>
  <c r="O383" i="11"/>
  <c r="BF291" i="11"/>
  <c r="BJ316" i="11"/>
  <c r="AW438" i="11"/>
  <c r="AG297" i="11"/>
  <c r="BL322" i="11"/>
  <c r="BN295" i="11"/>
  <c r="U398" i="11"/>
  <c r="T453" i="11"/>
  <c r="AJ423" i="11"/>
  <c r="T242" i="11"/>
  <c r="AP266" i="11"/>
  <c r="Z404" i="11"/>
  <c r="AF349" i="11"/>
  <c r="AF223" i="11"/>
  <c r="AP454" i="11"/>
  <c r="AE247" i="11"/>
  <c r="I272" i="11"/>
  <c r="AH304" i="11"/>
  <c r="AI342" i="11"/>
  <c r="BM332" i="11"/>
  <c r="Y381" i="11"/>
  <c r="AB446" i="11"/>
  <c r="AD452" i="11"/>
  <c r="G374" i="11"/>
  <c r="AK244" i="11"/>
  <c r="AX378" i="11"/>
  <c r="AD408" i="11"/>
  <c r="BN388" i="11"/>
  <c r="AX428" i="11"/>
  <c r="BE405" i="11"/>
  <c r="I414" i="11"/>
  <c r="AB410" i="11"/>
  <c r="X345" i="11"/>
  <c r="R450" i="11"/>
  <c r="BG211" i="11"/>
  <c r="Z351" i="11"/>
  <c r="G253" i="11"/>
  <c r="N303" i="11"/>
  <c r="AP327" i="11"/>
  <c r="AQ421" i="11"/>
  <c r="N446" i="11"/>
  <c r="BM351" i="11"/>
  <c r="R293" i="11"/>
  <c r="AG364" i="11"/>
  <c r="R394" i="11"/>
  <c r="V300" i="11"/>
  <c r="AF367" i="11"/>
  <c r="AT212" i="11"/>
  <c r="AZ336" i="11"/>
  <c r="M379" i="11"/>
  <c r="X309" i="11"/>
  <c r="AM327" i="11"/>
  <c r="C221" i="11"/>
  <c r="AG335" i="11"/>
  <c r="K217" i="11"/>
  <c r="L446" i="11"/>
  <c r="AB204" i="11"/>
  <c r="AA403" i="11"/>
  <c r="AS343" i="11"/>
  <c r="AF249" i="11"/>
  <c r="V239" i="11"/>
  <c r="AL267" i="11"/>
  <c r="BN363" i="11"/>
  <c r="L345" i="11"/>
  <c r="AN286" i="11"/>
  <c r="AO211" i="11"/>
  <c r="S277" i="11"/>
  <c r="BM363" i="11"/>
  <c r="BF246" i="11"/>
  <c r="AO203" i="11"/>
  <c r="P317" i="11"/>
  <c r="AK410" i="11"/>
  <c r="AW211" i="11"/>
  <c r="BM288" i="11"/>
  <c r="AR314" i="11"/>
  <c r="AJ234" i="11"/>
  <c r="AO340" i="11"/>
  <c r="AU263" i="11"/>
  <c r="AY224" i="11"/>
  <c r="BC327" i="11"/>
  <c r="G293" i="11"/>
  <c r="AA455" i="11"/>
  <c r="AJ212" i="11"/>
  <c r="N407" i="11"/>
  <c r="BC318" i="11"/>
  <c r="AJ401" i="11"/>
  <c r="BF427" i="11"/>
  <c r="AB253" i="11"/>
  <c r="AB278" i="11"/>
  <c r="AP445" i="11"/>
  <c r="BM450" i="11"/>
  <c r="N435" i="11"/>
  <c r="BN326" i="11"/>
  <c r="Q395" i="11"/>
  <c r="BE230" i="11"/>
  <c r="H275" i="11"/>
  <c r="BD302" i="11"/>
  <c r="AB400" i="11"/>
  <c r="AR380" i="11"/>
  <c r="BJ414" i="11"/>
  <c r="K442" i="11"/>
  <c r="AJ436" i="11"/>
  <c r="R414" i="11"/>
  <c r="AS381" i="11"/>
  <c r="G282" i="11"/>
  <c r="BH234" i="11"/>
  <c r="AT347" i="11"/>
  <c r="N315" i="11"/>
  <c r="X225" i="11"/>
  <c r="AT259" i="11"/>
  <c r="C355" i="11"/>
  <c r="AO332" i="11"/>
  <c r="S226" i="11"/>
  <c r="S310" i="11"/>
  <c r="P286" i="11"/>
  <c r="AG234" i="11"/>
  <c r="AI388" i="11"/>
  <c r="AY278" i="11"/>
  <c r="BI283" i="11"/>
  <c r="AU261" i="11"/>
  <c r="BB271" i="11"/>
  <c r="AJ264" i="11"/>
  <c r="BJ322" i="11"/>
  <c r="AM373" i="11"/>
  <c r="BJ396" i="11"/>
  <c r="AW277" i="11"/>
  <c r="AE219" i="11"/>
  <c r="S356" i="11"/>
  <c r="AO363" i="11"/>
  <c r="S330" i="11"/>
  <c r="BA313" i="11"/>
  <c r="AN382" i="11"/>
  <c r="AL248" i="11"/>
  <c r="P223" i="11"/>
  <c r="BF439" i="11"/>
  <c r="AM287" i="11"/>
  <c r="AU240" i="11"/>
  <c r="AR398" i="11"/>
  <c r="AN449" i="11"/>
  <c r="AL367" i="11"/>
  <c r="N436" i="11"/>
  <c r="BF205" i="11"/>
  <c r="T259" i="11"/>
  <c r="H236" i="11"/>
  <c r="AS437" i="11"/>
  <c r="AM413" i="11"/>
  <c r="S414" i="11"/>
  <c r="AB316" i="11"/>
  <c r="BM408" i="11"/>
  <c r="AU454" i="11"/>
  <c r="AY280" i="11"/>
  <c r="BC288" i="11"/>
  <c r="J404" i="11"/>
  <c r="AG319" i="11"/>
  <c r="AL297" i="11"/>
  <c r="AI447" i="11"/>
  <c r="BB444" i="11"/>
  <c r="BF445" i="11"/>
  <c r="BH342" i="11"/>
  <c r="BK370" i="11"/>
  <c r="AP386" i="11"/>
  <c r="N381" i="11"/>
  <c r="N267" i="11"/>
  <c r="AP424" i="11"/>
  <c r="AP397" i="11"/>
  <c r="AS252" i="11"/>
  <c r="X429" i="11"/>
  <c r="AB291" i="11"/>
  <c r="U422" i="11"/>
  <c r="Q358" i="11"/>
  <c r="M433" i="11"/>
  <c r="BI213" i="11"/>
  <c r="O223" i="11"/>
  <c r="BG316" i="11"/>
  <c r="BJ368" i="11"/>
  <c r="AJ324" i="11"/>
  <c r="AC375" i="11"/>
  <c r="AO348" i="11"/>
  <c r="BI265" i="11"/>
  <c r="AX282" i="11"/>
  <c r="AD270" i="11"/>
  <c r="AQ340" i="11"/>
  <c r="M326" i="11"/>
  <c r="AG214" i="11"/>
  <c r="W386" i="11"/>
  <c r="Z358" i="11"/>
  <c r="AQ264" i="11"/>
  <c r="C313" i="11"/>
  <c r="AP392" i="11"/>
  <c r="Z386" i="11"/>
  <c r="AT319" i="11"/>
  <c r="AI302" i="11"/>
  <c r="C278" i="11"/>
  <c r="AI227" i="11"/>
  <c r="AH432" i="11"/>
  <c r="AV332" i="11"/>
  <c r="BM245" i="11"/>
  <c r="AO354" i="11"/>
  <c r="M213" i="11"/>
  <c r="N258" i="11"/>
  <c r="BM366" i="11"/>
  <c r="BJ409" i="11"/>
  <c r="C366" i="11"/>
  <c r="J251" i="11"/>
  <c r="BI215" i="11"/>
  <c r="AC353" i="11"/>
  <c r="BF272" i="11"/>
  <c r="K310" i="11"/>
  <c r="R436" i="11"/>
  <c r="BG339" i="11"/>
  <c r="AC206" i="11"/>
  <c r="R264" i="11"/>
  <c r="T240" i="11"/>
  <c r="R410" i="11"/>
  <c r="R254" i="11"/>
  <c r="BM394" i="11"/>
  <c r="AK420" i="11"/>
  <c r="AK454" i="11"/>
  <c r="AH408" i="11"/>
  <c r="Y397" i="11"/>
  <c r="AA451" i="11"/>
  <c r="AQ439" i="11"/>
  <c r="H438" i="11"/>
  <c r="AS226" i="11"/>
  <c r="C393" i="11"/>
  <c r="K451" i="11"/>
  <c r="AD409" i="11"/>
  <c r="AK210" i="11"/>
  <c r="AE296" i="11"/>
  <c r="W262" i="11"/>
  <c r="AA322" i="11"/>
  <c r="AH226" i="11"/>
  <c r="AD441" i="11"/>
  <c r="BE220" i="11"/>
  <c r="AP231" i="11"/>
  <c r="AB287" i="11"/>
  <c r="AU453" i="11"/>
  <c r="Y456" i="11"/>
  <c r="BC221" i="11"/>
  <c r="O260" i="11"/>
  <c r="AO240" i="11"/>
  <c r="BL326" i="11"/>
  <c r="AP236" i="11"/>
  <c r="AZ237" i="11"/>
  <c r="S269" i="11"/>
  <c r="U231" i="11"/>
  <c r="BJ433" i="11"/>
  <c r="H292" i="11"/>
  <c r="AX427" i="11"/>
  <c r="M219" i="11"/>
  <c r="O218" i="11"/>
  <c r="T323" i="11"/>
  <c r="BL407" i="11"/>
  <c r="V356" i="11"/>
  <c r="C428" i="11"/>
  <c r="AG441" i="11"/>
  <c r="BF204" i="11"/>
  <c r="AB326" i="11"/>
  <c r="AJ432" i="11"/>
  <c r="R423" i="11"/>
  <c r="AQ407" i="11"/>
  <c r="X310" i="11"/>
  <c r="C450" i="11"/>
  <c r="R204" i="11"/>
  <c r="AZ327" i="11"/>
  <c r="AH454" i="11"/>
  <c r="BM359" i="11"/>
  <c r="AP280" i="11"/>
  <c r="AS450" i="11"/>
  <c r="I428" i="11"/>
  <c r="BK427" i="11"/>
  <c r="H432" i="11"/>
  <c r="AQ263" i="11"/>
  <c r="H203" i="11"/>
  <c r="AA336" i="11"/>
  <c r="AR391" i="11"/>
  <c r="AL233" i="11"/>
  <c r="S256" i="11"/>
  <c r="AH412" i="11"/>
  <c r="BA444" i="11"/>
  <c r="I251" i="11"/>
  <c r="Y313" i="11"/>
  <c r="AO214" i="11"/>
  <c r="T299" i="11"/>
  <c r="AH447" i="11"/>
  <c r="AW268" i="11"/>
  <c r="S303" i="11"/>
  <c r="AZ250" i="11"/>
  <c r="Y269" i="11"/>
  <c r="BK408" i="11"/>
  <c r="BH408" i="11"/>
  <c r="V323" i="11"/>
  <c r="AA272" i="11"/>
  <c r="BK290" i="11"/>
  <c r="V273" i="11"/>
  <c r="AZ359" i="11"/>
  <c r="AB356" i="11"/>
  <c r="AQ313" i="11"/>
  <c r="BL335" i="11"/>
  <c r="BB210" i="11"/>
  <c r="J449" i="11"/>
  <c r="AF299" i="11"/>
  <c r="BK277" i="11"/>
  <c r="BM321" i="11"/>
  <c r="J352" i="11"/>
  <c r="AO369" i="11"/>
  <c r="AX429" i="11"/>
  <c r="BH414" i="11"/>
  <c r="V205" i="11"/>
  <c r="AQ203" i="11"/>
  <c r="L341" i="11"/>
  <c r="AI205" i="11"/>
  <c r="Q405" i="11"/>
  <c r="AG215" i="11"/>
  <c r="AT448" i="11"/>
  <c r="V236" i="11"/>
  <c r="BK239" i="11"/>
  <c r="BJ426" i="11"/>
  <c r="I316" i="11"/>
  <c r="M286" i="11"/>
  <c r="AS345" i="11"/>
  <c r="AI405" i="11"/>
  <c r="AB415" i="11"/>
  <c r="AO423" i="11"/>
  <c r="R208" i="11"/>
  <c r="AN448" i="11"/>
  <c r="BL203" i="11"/>
  <c r="I439" i="11"/>
  <c r="AK385" i="11"/>
  <c r="AM367" i="11"/>
  <c r="BB411" i="11"/>
  <c r="AL305" i="11"/>
  <c r="AN245" i="11"/>
  <c r="AT242" i="11"/>
  <c r="AO290" i="11"/>
  <c r="AV274" i="11"/>
  <c r="BG423" i="11"/>
  <c r="AY438" i="11"/>
  <c r="P240" i="11"/>
  <c r="AN343" i="11"/>
  <c r="T225" i="11"/>
  <c r="AF277" i="11"/>
  <c r="BJ438" i="11"/>
  <c r="X413" i="11"/>
  <c r="AV418" i="11"/>
  <c r="BI270" i="11"/>
  <c r="BC303" i="11"/>
  <c r="J223" i="11"/>
  <c r="BA455" i="11"/>
  <c r="T279" i="11"/>
  <c r="BH279" i="11"/>
  <c r="W389" i="11"/>
  <c r="BD336" i="11"/>
  <c r="H328" i="11"/>
  <c r="Q456" i="11"/>
  <c r="AO419" i="11"/>
  <c r="R273" i="11"/>
  <c r="Y213" i="11"/>
  <c r="AW214" i="11"/>
  <c r="AU324" i="11"/>
  <c r="AK452" i="11"/>
  <c r="AJ267" i="11"/>
  <c r="T418" i="11"/>
  <c r="AE425" i="11"/>
  <c r="BF415" i="11"/>
  <c r="AY262" i="11"/>
  <c r="AD392" i="11"/>
  <c r="AT348" i="11"/>
  <c r="BL227" i="11"/>
  <c r="I415" i="11"/>
  <c r="BK259" i="11"/>
  <c r="S442" i="11"/>
  <c r="P262" i="11"/>
  <c r="AY309" i="11"/>
  <c r="AL277" i="11"/>
  <c r="AU334" i="11"/>
  <c r="AY444" i="11"/>
  <c r="AS278" i="11"/>
  <c r="AE387" i="11"/>
  <c r="BN211" i="11"/>
  <c r="BH429" i="11"/>
  <c r="H219" i="11"/>
  <c r="AR442" i="11"/>
  <c r="BL263" i="11"/>
  <c r="AC226" i="11"/>
  <c r="AE421" i="11"/>
  <c r="BC206" i="11"/>
  <c r="AU273" i="11"/>
  <c r="N276" i="11"/>
  <c r="S209" i="11"/>
  <c r="BE315" i="11"/>
  <c r="AT292" i="11"/>
  <c r="Z455" i="11"/>
  <c r="AH244" i="11"/>
  <c r="AA228" i="11"/>
  <c r="AR310" i="11"/>
  <c r="AM214" i="11"/>
  <c r="X350" i="11"/>
  <c r="O251" i="11"/>
  <c r="AW428" i="11"/>
  <c r="AK316" i="11"/>
  <c r="BI363" i="11"/>
  <c r="BJ343" i="11"/>
  <c r="AF318" i="11"/>
  <c r="P373" i="11"/>
  <c r="V349" i="11"/>
  <c r="Z267" i="11"/>
  <c r="AD440" i="11"/>
  <c r="X234" i="11"/>
  <c r="J453" i="11"/>
  <c r="AE203" i="11"/>
  <c r="BE327" i="11"/>
  <c r="AV433" i="11"/>
  <c r="AA408" i="11"/>
  <c r="M265" i="11"/>
  <c r="BI408" i="11"/>
  <c r="BN425" i="11"/>
  <c r="T427" i="11"/>
  <c r="AM360" i="11"/>
  <c r="BI294" i="11"/>
  <c r="BK445" i="11"/>
  <c r="AX456" i="11"/>
  <c r="AI287" i="11"/>
  <c r="BE451" i="11"/>
  <c r="BG280" i="11"/>
  <c r="BB239" i="11"/>
  <c r="AQ438" i="11"/>
  <c r="L386" i="11"/>
  <c r="AL418" i="11"/>
  <c r="BA203" i="11"/>
  <c r="BF233" i="11"/>
  <c r="AH206" i="11"/>
  <c r="AL205" i="11"/>
  <c r="AI326" i="11"/>
  <c r="BE421" i="11"/>
  <c r="AN362" i="11"/>
  <c r="BC420" i="11"/>
  <c r="AJ439" i="11"/>
  <c r="BI340" i="11"/>
  <c r="AM370" i="11"/>
  <c r="BI231" i="11"/>
  <c r="BB264" i="11"/>
  <c r="L322" i="11"/>
  <c r="AC217" i="11"/>
  <c r="AT422" i="11"/>
  <c r="L397" i="11"/>
  <c r="AW450" i="11"/>
  <c r="AP245" i="11"/>
  <c r="AY313" i="11"/>
  <c r="R296" i="11"/>
  <c r="BL428" i="11"/>
  <c r="P452" i="11"/>
  <c r="Z218" i="11"/>
  <c r="BL213" i="11"/>
  <c r="M293" i="11"/>
  <c r="AL338" i="11"/>
  <c r="BJ417" i="11"/>
  <c r="AA399" i="11"/>
  <c r="W243" i="11"/>
  <c r="BM373" i="11"/>
  <c r="U252" i="11"/>
  <c r="AW315" i="11"/>
  <c r="O242" i="11"/>
  <c r="L254" i="11"/>
  <c r="BM364" i="11"/>
  <c r="Q446" i="11"/>
  <c r="BK213" i="11"/>
  <c r="AO326" i="11"/>
  <c r="C281" i="11"/>
  <c r="K360" i="11"/>
  <c r="BD356" i="11"/>
  <c r="H312" i="11"/>
  <c r="I331" i="11"/>
  <c r="BC310" i="11"/>
  <c r="H255" i="11"/>
  <c r="AH240" i="11"/>
  <c r="AD325" i="11"/>
  <c r="BA328" i="11"/>
  <c r="AC238" i="11"/>
  <c r="AO243" i="11"/>
  <c r="AI257" i="11"/>
  <c r="AP290" i="11"/>
  <c r="AR215" i="11"/>
  <c r="Q246" i="11"/>
  <c r="BF449" i="11"/>
  <c r="AF205" i="11"/>
  <c r="BK291" i="11"/>
  <c r="BH398" i="11"/>
  <c r="T423" i="11"/>
  <c r="AI431" i="11"/>
  <c r="BJ278" i="11"/>
  <c r="X262" i="11"/>
  <c r="Q276" i="11"/>
  <c r="W395" i="11"/>
  <c r="K455" i="11"/>
  <c r="AZ258" i="11"/>
  <c r="AY248" i="11"/>
  <c r="W410" i="11"/>
  <c r="Z254" i="11"/>
  <c r="AX301" i="11"/>
  <c r="AC284" i="11"/>
  <c r="AS237" i="11"/>
  <c r="AY416" i="11"/>
  <c r="S425" i="11"/>
  <c r="AU254" i="11"/>
  <c r="AP450" i="11"/>
  <c r="X456" i="11"/>
  <c r="AI454" i="11"/>
  <c r="L306" i="11"/>
  <c r="O229" i="11"/>
  <c r="AF280" i="11"/>
  <c r="BL309" i="11"/>
  <c r="BA415" i="11"/>
  <c r="I318" i="11"/>
  <c r="U421" i="11"/>
  <c r="AK435" i="11"/>
  <c r="AZ419" i="11"/>
  <c r="AO271" i="11"/>
  <c r="BD224" i="11"/>
  <c r="BJ377" i="11"/>
  <c r="BF267" i="11"/>
  <c r="AL402" i="11"/>
  <c r="X223" i="11"/>
  <c r="J348" i="11"/>
  <c r="BL304" i="11"/>
  <c r="P248" i="11"/>
  <c r="AS219" i="11"/>
  <c r="Y333" i="11"/>
  <c r="BK283" i="11"/>
  <c r="AZ351" i="11"/>
  <c r="BC388" i="11"/>
  <c r="AW444" i="11"/>
  <c r="AD304" i="11"/>
  <c r="AJ261" i="11"/>
  <c r="BI344" i="11"/>
  <c r="G305" i="11"/>
  <c r="Q293" i="11"/>
  <c r="AI215" i="11"/>
  <c r="V365" i="11"/>
  <c r="G362" i="11"/>
  <c r="I385" i="11"/>
  <c r="J269" i="11"/>
  <c r="AF264" i="11"/>
  <c r="BD312" i="11"/>
  <c r="AK234" i="11"/>
  <c r="AD305" i="11"/>
  <c r="BC223" i="11"/>
  <c r="AG257" i="11"/>
  <c r="U271" i="11"/>
  <c r="AE430" i="11"/>
  <c r="AW386" i="11"/>
  <c r="W446" i="11"/>
  <c r="AJ211" i="11"/>
  <c r="AW433" i="11"/>
  <c r="P437" i="11"/>
  <c r="AK310" i="11"/>
  <c r="L441" i="11"/>
  <c r="AU277" i="11"/>
  <c r="Y443" i="11"/>
  <c r="AM423" i="11"/>
  <c r="AP207" i="11"/>
  <c r="AH415" i="11"/>
  <c r="Z340" i="11"/>
  <c r="W368" i="11"/>
  <c r="AB429" i="11"/>
  <c r="AH416" i="11"/>
  <c r="BE263" i="11"/>
  <c r="J423" i="11"/>
  <c r="AM220" i="11"/>
  <c r="BM315" i="11"/>
  <c r="AT311" i="11"/>
  <c r="AT364" i="11"/>
  <c r="AM403" i="11"/>
  <c r="AG435" i="11"/>
  <c r="AN203" i="11"/>
  <c r="W406" i="11"/>
  <c r="AP300" i="11"/>
  <c r="AC279" i="11"/>
  <c r="AT323" i="11"/>
  <c r="AY315" i="11"/>
  <c r="O434" i="11"/>
  <c r="AE418" i="11"/>
  <c r="AS439" i="11"/>
  <c r="AQ282" i="11"/>
  <c r="AR260" i="11"/>
  <c r="AG269" i="11"/>
  <c r="X247" i="11"/>
  <c r="Y435" i="11"/>
  <c r="AR271" i="11"/>
  <c r="K210" i="11"/>
  <c r="Y345" i="11"/>
  <c r="BB224" i="11"/>
  <c r="BH236" i="11"/>
  <c r="X391" i="11"/>
  <c r="BF403" i="11"/>
  <c r="AF361" i="11"/>
  <c r="AI242" i="11"/>
  <c r="BB310" i="11"/>
  <c r="AC243" i="11"/>
  <c r="BB207" i="11"/>
  <c r="BE290" i="11"/>
  <c r="BK207" i="11"/>
  <c r="AQ213" i="11"/>
  <c r="AA334" i="11"/>
  <c r="X242" i="11"/>
  <c r="L220" i="11"/>
  <c r="W255" i="11"/>
  <c r="K307" i="11"/>
  <c r="BH208" i="11"/>
  <c r="AX241" i="11"/>
  <c r="AK260" i="11"/>
  <c r="K300" i="11"/>
  <c r="I234" i="11"/>
  <c r="AT313" i="11"/>
  <c r="AY443" i="11"/>
  <c r="R441" i="11"/>
  <c r="AF414" i="11"/>
  <c r="AY340" i="11"/>
  <c r="J435" i="11"/>
  <c r="BL220" i="11"/>
  <c r="BG204" i="11"/>
  <c r="BG218" i="11"/>
  <c r="G318" i="11"/>
  <c r="AO355" i="11"/>
  <c r="BM207" i="11"/>
  <c r="AQ214" i="11"/>
  <c r="AI443" i="11"/>
  <c r="U443" i="11"/>
  <c r="AP378" i="11"/>
  <c r="AJ442" i="11"/>
  <c r="Y312" i="11"/>
  <c r="L268" i="11"/>
  <c r="BE222" i="11"/>
  <c r="V423" i="11"/>
  <c r="X325" i="11"/>
  <c r="AV216" i="11"/>
  <c r="BB334" i="11"/>
  <c r="W221" i="11"/>
  <c r="AB431" i="11"/>
  <c r="X404" i="11"/>
  <c r="BG207" i="11"/>
  <c r="AP449" i="11"/>
  <c r="AZ255" i="11"/>
  <c r="H305" i="11"/>
  <c r="V409" i="11"/>
  <c r="AB225" i="11"/>
  <c r="W453" i="11"/>
  <c r="W409" i="11"/>
  <c r="K443" i="11"/>
  <c r="U356" i="11"/>
  <c r="AB434" i="11"/>
  <c r="Z314" i="11"/>
  <c r="AB236" i="11"/>
  <c r="V221" i="11"/>
  <c r="AZ285" i="11"/>
  <c r="BA301" i="11"/>
  <c r="P261" i="11"/>
  <c r="R336" i="11"/>
  <c r="R257" i="11"/>
  <c r="AW290" i="11"/>
  <c r="BK387" i="11"/>
  <c r="AG381" i="11"/>
  <c r="O224" i="11"/>
  <c r="BI227" i="11"/>
  <c r="AM212" i="11"/>
  <c r="Q317" i="11"/>
  <c r="K392" i="11"/>
  <c r="K397" i="11"/>
  <c r="O361" i="11"/>
  <c r="K229" i="11"/>
  <c r="AN353" i="11"/>
  <c r="X359" i="11"/>
  <c r="N356" i="11"/>
  <c r="Y233" i="11"/>
  <c r="AQ287" i="11"/>
  <c r="BM379" i="11"/>
  <c r="L208" i="11"/>
  <c r="AO289" i="11"/>
  <c r="AL341" i="11"/>
  <c r="Q377" i="11"/>
  <c r="AM304" i="11"/>
  <c r="V287" i="11"/>
  <c r="BJ432" i="11"/>
  <c r="Z422" i="11"/>
  <c r="C446" i="11"/>
  <c r="AU343" i="11"/>
  <c r="Q326" i="11"/>
  <c r="BF352" i="11"/>
  <c r="K381" i="11"/>
  <c r="AT409" i="11"/>
  <c r="X250" i="11"/>
  <c r="AQ434" i="11"/>
  <c r="AA326" i="11"/>
  <c r="AS420" i="11"/>
  <c r="BN419" i="11"/>
  <c r="K449" i="11"/>
  <c r="AM316" i="11"/>
  <c r="G420" i="11"/>
  <c r="AN292" i="11"/>
  <c r="AO391" i="11"/>
  <c r="AY352" i="11"/>
  <c r="BG440" i="11"/>
  <c r="BG276" i="11"/>
  <c r="Y445" i="11"/>
  <c r="BK215" i="11"/>
  <c r="BJ255" i="11"/>
  <c r="AV456" i="11"/>
  <c r="N214" i="11"/>
  <c r="U254" i="11"/>
  <c r="AJ429" i="11"/>
  <c r="BN357" i="11"/>
  <c r="BN420" i="11"/>
  <c r="M445" i="11"/>
  <c r="AS429" i="11"/>
  <c r="BB344" i="11"/>
  <c r="BJ444" i="11"/>
  <c r="AF353" i="11"/>
  <c r="Q350" i="11"/>
  <c r="I243" i="11"/>
  <c r="AT444" i="11"/>
  <c r="AN269" i="11"/>
  <c r="P363" i="11"/>
  <c r="AH350" i="11"/>
  <c r="W259" i="11"/>
  <c r="BL370" i="11"/>
  <c r="BH309" i="11"/>
  <c r="AJ386" i="11"/>
  <c r="Z339" i="11"/>
  <c r="BF239" i="11"/>
  <c r="I222" i="11"/>
  <c r="H262" i="11"/>
  <c r="AK272" i="11"/>
  <c r="U283" i="11"/>
  <c r="BJ353" i="11"/>
  <c r="W423" i="11"/>
  <c r="Y308" i="11"/>
  <c r="BI349" i="11"/>
  <c r="AF352" i="11"/>
  <c r="BG323" i="11"/>
  <c r="BH379" i="11"/>
  <c r="BF446" i="11"/>
  <c r="AC332" i="11"/>
  <c r="H315" i="11"/>
  <c r="BG301" i="11"/>
  <c r="L312" i="11"/>
  <c r="L399" i="11"/>
  <c r="W348" i="11"/>
  <c r="BN376" i="11"/>
  <c r="AH381" i="11"/>
  <c r="AM334" i="11"/>
  <c r="N447" i="11"/>
  <c r="N235" i="11"/>
  <c r="U260" i="11"/>
  <c r="AC239" i="11"/>
  <c r="AM246" i="11"/>
  <c r="W407" i="11"/>
  <c r="J320" i="11"/>
  <c r="W215" i="11"/>
  <c r="M444" i="11"/>
  <c r="AC260" i="11"/>
  <c r="T345" i="11"/>
  <c r="R207" i="11"/>
  <c r="AI241" i="11"/>
  <c r="AQ297" i="11"/>
  <c r="AG410" i="11"/>
  <c r="AC365" i="11"/>
  <c r="BG206" i="11"/>
  <c r="AH409" i="11"/>
  <c r="AU367" i="11"/>
  <c r="AC441" i="11"/>
  <c r="S299" i="11"/>
  <c r="AB268" i="11"/>
  <c r="AY381" i="11"/>
  <c r="BG443" i="11"/>
  <c r="AW235" i="11"/>
  <c r="G277" i="11"/>
  <c r="AB318" i="11"/>
  <c r="AI324" i="11"/>
  <c r="BB240" i="11"/>
  <c r="AT355" i="11"/>
  <c r="S297" i="11"/>
  <c r="AA207" i="11"/>
  <c r="BB268" i="11"/>
  <c r="AA302" i="11"/>
  <c r="AN412" i="11"/>
  <c r="O324" i="11"/>
  <c r="AL251" i="11"/>
  <c r="BM307" i="11"/>
  <c r="BA241" i="11"/>
  <c r="H261" i="11"/>
  <c r="BB420" i="11"/>
  <c r="AX249" i="11"/>
  <c r="BM276" i="11"/>
  <c r="AZ281" i="11"/>
  <c r="AE259" i="11"/>
  <c r="AD370" i="11"/>
  <c r="AY386" i="11"/>
  <c r="AX436" i="11"/>
  <c r="L329" i="11"/>
  <c r="AV287" i="11"/>
  <c r="BG355" i="11"/>
  <c r="AY348" i="11"/>
  <c r="V436" i="11"/>
  <c r="AV283" i="11"/>
  <c r="AQ425" i="11"/>
  <c r="AZ390" i="11"/>
  <c r="AO238" i="11"/>
  <c r="O226" i="11"/>
  <c r="AC338" i="11"/>
  <c r="Y318" i="11"/>
  <c r="BA343" i="11"/>
  <c r="BD206" i="11"/>
  <c r="AB354" i="11"/>
  <c r="Y303" i="11"/>
  <c r="AX387" i="11"/>
  <c r="BC332" i="11"/>
  <c r="BI204" i="11"/>
  <c r="BG231" i="11"/>
  <c r="AW240" i="11"/>
  <c r="BN271" i="11"/>
  <c r="G221" i="11"/>
  <c r="P420" i="11"/>
  <c r="M203" i="11"/>
  <c r="R365" i="11"/>
  <c r="AX439" i="11"/>
  <c r="AI232" i="11"/>
  <c r="BB252" i="11"/>
  <c r="AN211" i="11"/>
  <c r="K253" i="11"/>
  <c r="AI321" i="11"/>
  <c r="V446" i="11"/>
  <c r="BD361" i="11"/>
  <c r="M220" i="11"/>
  <c r="AS216" i="11"/>
  <c r="K260" i="11"/>
  <c r="AV320" i="11"/>
  <c r="AB421" i="11"/>
  <c r="C386" i="11"/>
  <c r="I206" i="11"/>
  <c r="BM297" i="11"/>
  <c r="AW299" i="11"/>
  <c r="S285" i="11"/>
  <c r="AA432" i="11"/>
  <c r="AB269" i="11"/>
  <c r="U306" i="11"/>
  <c r="AE279" i="11"/>
  <c r="BM273" i="11"/>
  <c r="AT346" i="11"/>
  <c r="AJ305" i="11"/>
  <c r="AD337" i="11"/>
  <c r="X420" i="11"/>
  <c r="N316" i="11"/>
  <c r="T293" i="11"/>
  <c r="J294" i="11"/>
  <c r="W271" i="11"/>
  <c r="AB375" i="11"/>
  <c r="C235" i="11"/>
  <c r="BD243" i="11"/>
  <c r="Q429" i="11"/>
  <c r="G425" i="11"/>
  <c r="BC450" i="11"/>
  <c r="BN204" i="11"/>
  <c r="AM229" i="11"/>
  <c r="AU303" i="11"/>
  <c r="AW434" i="11"/>
  <c r="AB302" i="11"/>
  <c r="BI355" i="11"/>
  <c r="Y360" i="11"/>
  <c r="AN228" i="11"/>
  <c r="BC396" i="11"/>
  <c r="K286" i="11"/>
  <c r="AO443" i="11"/>
  <c r="AG437" i="11"/>
  <c r="BF315" i="11"/>
  <c r="AI420" i="11"/>
  <c r="AK357" i="11"/>
  <c r="AC295" i="11"/>
  <c r="M298" i="11"/>
  <c r="P278" i="11"/>
  <c r="W444" i="11"/>
  <c r="R217" i="11"/>
  <c r="Q327" i="11"/>
  <c r="AS354" i="11"/>
  <c r="AL274" i="11"/>
  <c r="AY238" i="11"/>
  <c r="AY310" i="11"/>
  <c r="BI236" i="11"/>
  <c r="AY442" i="11"/>
  <c r="AT451" i="11"/>
  <c r="C383" i="11"/>
  <c r="AS251" i="11"/>
  <c r="BK288" i="11"/>
  <c r="BM290" i="11"/>
  <c r="BF342" i="11"/>
  <c r="AA289" i="11"/>
  <c r="U396" i="11"/>
  <c r="BN350" i="11"/>
  <c r="P270" i="11"/>
  <c r="AG230" i="11"/>
  <c r="W217" i="11"/>
  <c r="BD414" i="11"/>
  <c r="AL347" i="11"/>
  <c r="AJ224" i="11"/>
  <c r="R347" i="11"/>
  <c r="BE241" i="11"/>
  <c r="W449" i="11"/>
  <c r="R319" i="11"/>
  <c r="O248" i="11"/>
  <c r="BC225" i="11"/>
  <c r="BD295" i="11"/>
  <c r="BG335" i="11"/>
  <c r="N338" i="11"/>
  <c r="N221" i="11"/>
  <c r="BD237" i="11"/>
  <c r="C451" i="11"/>
  <c r="AS311" i="11"/>
  <c r="BD360" i="11"/>
  <c r="V398" i="11"/>
  <c r="AT253" i="11"/>
  <c r="AO335" i="11"/>
  <c r="BD448" i="11"/>
  <c r="J350" i="11"/>
  <c r="AR253" i="11"/>
  <c r="BE422" i="11"/>
  <c r="AM448" i="11"/>
  <c r="C354" i="11"/>
  <c r="BG452" i="11"/>
  <c r="AN268" i="11"/>
  <c r="M441" i="11"/>
  <c r="AR335" i="11"/>
  <c r="BI431" i="11"/>
  <c r="AA206" i="11"/>
  <c r="AC424" i="11"/>
  <c r="AK429" i="11"/>
  <c r="BI369" i="11"/>
  <c r="BM420" i="11"/>
  <c r="AV322" i="11"/>
  <c r="AB228" i="11"/>
  <c r="X433" i="11"/>
  <c r="U380" i="11"/>
  <c r="L421" i="11"/>
  <c r="BG274" i="11"/>
  <c r="I274" i="11"/>
  <c r="N433" i="11"/>
  <c r="AD372" i="11"/>
  <c r="BC456" i="11"/>
  <c r="W258" i="11"/>
  <c r="AV337" i="11"/>
  <c r="J399" i="11"/>
  <c r="R329" i="11"/>
  <c r="BD359" i="11"/>
  <c r="AJ412" i="11"/>
  <c r="J396" i="11"/>
  <c r="BF225" i="11"/>
  <c r="AG428" i="11"/>
  <c r="BC439" i="11"/>
  <c r="Y392" i="11"/>
  <c r="BK219" i="11"/>
  <c r="BG240" i="11"/>
  <c r="AI364" i="11"/>
  <c r="BI386" i="11"/>
  <c r="BN452" i="11"/>
  <c r="C308" i="11"/>
  <c r="N419" i="11"/>
  <c r="AX215" i="11"/>
  <c r="AS203" i="11"/>
  <c r="R238" i="11"/>
  <c r="N271" i="11"/>
  <c r="AA242" i="11"/>
  <c r="AV419" i="11"/>
  <c r="K377" i="11"/>
  <c r="R398" i="11"/>
  <c r="AC377" i="11"/>
  <c r="N266" i="11"/>
  <c r="AI230" i="11"/>
  <c r="AW263" i="11"/>
  <c r="AI255" i="11"/>
  <c r="U269" i="11"/>
  <c r="BH396" i="11"/>
  <c r="AS279" i="11"/>
  <c r="G393" i="11"/>
  <c r="W285" i="11"/>
  <c r="AZ232" i="11"/>
  <c r="X405" i="11"/>
  <c r="BC373" i="11"/>
  <c r="BK302" i="11"/>
  <c r="AO233" i="11"/>
  <c r="AR383" i="11"/>
  <c r="K224" i="11"/>
  <c r="AG293" i="11"/>
  <c r="AN332" i="11"/>
  <c r="V259" i="11"/>
  <c r="AL370" i="11"/>
  <c r="BF281" i="11"/>
  <c r="AM219" i="11"/>
  <c r="I345" i="11"/>
  <c r="AO351" i="11"/>
  <c r="V301" i="11"/>
  <c r="AD258" i="11"/>
  <c r="AE295" i="11"/>
  <c r="BL207" i="11"/>
  <c r="BJ241" i="11"/>
  <c r="AC273" i="11"/>
  <c r="AJ208" i="11"/>
  <c r="M425" i="11"/>
  <c r="AR371" i="11"/>
  <c r="BJ227" i="11"/>
  <c r="K431" i="11"/>
  <c r="AJ269" i="11"/>
  <c r="AC274" i="11"/>
  <c r="AV226" i="11"/>
  <c r="AO308" i="11"/>
  <c r="BE326" i="11"/>
  <c r="AZ394" i="11"/>
  <c r="AJ413" i="11"/>
  <c r="Q243" i="11"/>
  <c r="BI287" i="11"/>
  <c r="AB226" i="11"/>
  <c r="BE394" i="11"/>
  <c r="BI433" i="11"/>
  <c r="C421" i="11"/>
  <c r="I436" i="11"/>
  <c r="AB424" i="11"/>
  <c r="L289" i="11"/>
  <c r="I449" i="11"/>
  <c r="N238" i="11"/>
  <c r="BK419" i="11"/>
  <c r="AG301" i="11"/>
  <c r="AC416" i="11"/>
  <c r="M222" i="11"/>
  <c r="T329" i="11"/>
  <c r="AE427" i="11"/>
  <c r="AG389" i="11"/>
  <c r="BE402" i="11"/>
  <c r="AF224" i="11"/>
  <c r="AC453" i="11"/>
  <c r="AM440" i="11"/>
  <c r="M436" i="11"/>
  <c r="AB426" i="11"/>
  <c r="Q247" i="11"/>
  <c r="AL293" i="11"/>
  <c r="AG246" i="11"/>
  <c r="AF397" i="11"/>
  <c r="AW314" i="11"/>
  <c r="AQ314" i="11"/>
  <c r="W278" i="11"/>
  <c r="BD334" i="11"/>
  <c r="AD283" i="11"/>
  <c r="BL396" i="11"/>
  <c r="BM306" i="11"/>
  <c r="AJ292" i="11"/>
  <c r="AD294" i="11"/>
  <c r="AL242" i="11"/>
  <c r="AM354" i="11"/>
  <c r="BD239" i="11"/>
  <c r="AZ339" i="11"/>
  <c r="K346" i="11"/>
  <c r="BH287" i="11"/>
  <c r="P263" i="11"/>
  <c r="AK342" i="11"/>
  <c r="BK269" i="11"/>
  <c r="AR327" i="11"/>
  <c r="BE211" i="11"/>
  <c r="Z213" i="11"/>
  <c r="U333" i="11"/>
  <c r="L221" i="11"/>
  <c r="BF350" i="11"/>
  <c r="BI211" i="11"/>
  <c r="I248" i="11"/>
  <c r="AP350" i="11"/>
  <c r="AW435" i="11"/>
  <c r="AJ453" i="11"/>
  <c r="AA441" i="11"/>
  <c r="J204" i="11"/>
  <c r="BK332" i="11"/>
  <c r="AQ261" i="11"/>
  <c r="BG345" i="11"/>
  <c r="Z279" i="11"/>
  <c r="AG432" i="11"/>
  <c r="J359" i="11"/>
  <c r="AM205" i="11"/>
  <c r="AG414" i="11"/>
  <c r="X303" i="11"/>
  <c r="AW297" i="11"/>
  <c r="AJ414" i="11"/>
  <c r="AJ382" i="11"/>
  <c r="X313" i="11"/>
  <c r="AD437" i="11"/>
  <c r="AR233" i="11"/>
  <c r="AZ325" i="11"/>
  <c r="AF443" i="11"/>
  <c r="AW377" i="11"/>
  <c r="BJ347" i="11"/>
  <c r="AN418" i="11"/>
  <c r="AN319" i="11"/>
  <c r="AN206" i="11"/>
  <c r="AE422" i="11"/>
  <c r="AC411" i="11"/>
  <c r="AM311" i="11"/>
  <c r="T341" i="11"/>
  <c r="AN288" i="11"/>
  <c r="O422" i="11"/>
  <c r="I378" i="11"/>
  <c r="BE341" i="11"/>
  <c r="AD260" i="11"/>
  <c r="AJ323" i="11"/>
  <c r="BC382" i="11"/>
  <c r="AU274" i="11"/>
  <c r="BC363" i="11"/>
  <c r="Z275" i="11"/>
  <c r="BK240" i="11"/>
  <c r="BL217" i="11"/>
  <c r="BA396" i="11"/>
  <c r="BB217" i="11"/>
  <c r="BD238" i="11"/>
  <c r="AM365" i="11"/>
  <c r="AF297" i="11"/>
  <c r="AW339" i="11"/>
  <c r="AH236" i="11"/>
  <c r="AJ207" i="11"/>
  <c r="U296" i="11"/>
  <c r="P211" i="11"/>
  <c r="Y386" i="11"/>
  <c r="AL406" i="11"/>
  <c r="BE288" i="11"/>
  <c r="AZ337" i="11"/>
  <c r="BE312" i="11"/>
  <c r="BK327" i="11"/>
  <c r="BK347" i="11"/>
  <c r="AJ275" i="11"/>
  <c r="AT326" i="11"/>
  <c r="AD314" i="11"/>
  <c r="AL232" i="11"/>
  <c r="N319" i="11"/>
  <c r="BC446" i="11"/>
  <c r="BH333" i="11"/>
  <c r="AP355" i="11"/>
  <c r="AO441" i="11"/>
  <c r="G415" i="11"/>
  <c r="R367" i="11"/>
  <c r="AY256" i="11"/>
  <c r="AO269" i="11"/>
  <c r="BB388" i="11"/>
  <c r="AH207" i="11"/>
  <c r="L235" i="11"/>
  <c r="BH210" i="11"/>
  <c r="AL331" i="11"/>
  <c r="AJ434" i="11"/>
  <c r="AP299" i="11"/>
  <c r="BG220" i="11"/>
  <c r="U277" i="11"/>
  <c r="P268" i="11"/>
  <c r="AJ368" i="11"/>
  <c r="AM206" i="11"/>
  <c r="AA422" i="11"/>
  <c r="AU301" i="11"/>
  <c r="AG251" i="11"/>
  <c r="O429" i="11"/>
  <c r="Z246" i="11"/>
  <c r="AX230" i="11"/>
  <c r="AC434" i="11"/>
  <c r="AY420" i="11"/>
  <c r="AB275" i="11"/>
  <c r="W437" i="11"/>
  <c r="BL378" i="11"/>
  <c r="BE368" i="11"/>
  <c r="X347" i="11"/>
  <c r="S213" i="11"/>
  <c r="BA376" i="11"/>
  <c r="L204" i="11"/>
  <c r="BN389" i="11"/>
  <c r="S236" i="11"/>
  <c r="R250" i="11"/>
  <c r="AW208" i="11"/>
  <c r="BL283" i="11"/>
  <c r="AO294" i="11"/>
  <c r="AF229" i="11"/>
  <c r="I344" i="11"/>
  <c r="W388" i="11"/>
  <c r="AX266" i="11"/>
  <c r="AG344" i="11"/>
  <c r="U429" i="11"/>
  <c r="AH319" i="11"/>
  <c r="L428" i="11"/>
  <c r="AE250" i="11"/>
  <c r="AB265" i="11"/>
  <c r="BI400" i="11"/>
  <c r="BG303" i="11"/>
  <c r="BL372" i="11"/>
  <c r="BK232" i="11"/>
  <c r="V369" i="11"/>
  <c r="O331" i="11"/>
  <c r="AX211" i="11"/>
  <c r="AY221" i="11"/>
  <c r="M226" i="11"/>
  <c r="S304" i="11"/>
  <c r="BA212" i="11"/>
  <c r="M384" i="11"/>
  <c r="AG419" i="11"/>
  <c r="V248" i="11"/>
  <c r="BI259" i="11"/>
  <c r="BM354" i="11"/>
  <c r="W439" i="11"/>
  <c r="T444" i="11"/>
  <c r="AH203" i="11"/>
  <c r="AI441" i="11"/>
  <c r="X440" i="11"/>
  <c r="AA448" i="11"/>
  <c r="C220" i="11"/>
  <c r="N441" i="11"/>
  <c r="AA446" i="11"/>
  <c r="BH413" i="11"/>
  <c r="M206" i="11"/>
  <c r="BB203" i="11"/>
  <c r="T454" i="11"/>
  <c r="BM343" i="11"/>
  <c r="BI338" i="11"/>
  <c r="BA228" i="11"/>
  <c r="Q205" i="11"/>
  <c r="BN329" i="11"/>
  <c r="AA363" i="11"/>
  <c r="BE407" i="11"/>
  <c r="AD411" i="11"/>
  <c r="AB270" i="11"/>
  <c r="L231" i="11"/>
  <c r="AA364" i="11"/>
  <c r="X226" i="11"/>
  <c r="C431" i="11"/>
  <c r="AI203" i="11"/>
  <c r="AR290" i="11"/>
  <c r="AO416" i="11"/>
  <c r="S212" i="11"/>
  <c r="AB266" i="11"/>
  <c r="AJ418" i="11"/>
  <c r="G373" i="11"/>
  <c r="AA381" i="11"/>
  <c r="BF326" i="11"/>
  <c r="AH369" i="11"/>
  <c r="Z423" i="11"/>
  <c r="AX277" i="11"/>
  <c r="AA285" i="11"/>
  <c r="AP305" i="11"/>
  <c r="BH271" i="11"/>
  <c r="BL332" i="11"/>
  <c r="AI264" i="11"/>
  <c r="AT443" i="11"/>
  <c r="AY204" i="11"/>
  <c r="AW401" i="11"/>
  <c r="BH240" i="11"/>
  <c r="AC350" i="11"/>
  <c r="AE315" i="11"/>
  <c r="BJ335" i="11"/>
  <c r="AK299" i="11"/>
  <c r="V250" i="11"/>
  <c r="I246" i="11"/>
  <c r="BB233" i="11"/>
  <c r="AX217" i="11"/>
  <c r="BD453" i="11"/>
  <c r="K338" i="11"/>
  <c r="AW336" i="11"/>
  <c r="O344" i="11"/>
  <c r="J370" i="11"/>
  <c r="AE409" i="11"/>
  <c r="S232" i="11"/>
  <c r="AA335" i="11"/>
  <c r="Y296" i="11"/>
  <c r="Y353" i="11"/>
  <c r="AJ393" i="11"/>
  <c r="AS455" i="11"/>
  <c r="K213" i="11"/>
  <c r="R209" i="11"/>
  <c r="AN351" i="11"/>
  <c r="AQ437" i="11"/>
  <c r="BE276" i="11"/>
  <c r="AX417" i="11"/>
  <c r="Y368" i="11"/>
  <c r="V419" i="11"/>
  <c r="AF371" i="11"/>
  <c r="V327" i="11"/>
  <c r="P374" i="11"/>
  <c r="AP283" i="11"/>
  <c r="Z345" i="11"/>
  <c r="W428" i="11"/>
  <c r="AQ347" i="11"/>
  <c r="AH336" i="11"/>
  <c r="AM399" i="11"/>
  <c r="AW407" i="11"/>
  <c r="AW329" i="11"/>
  <c r="AX254" i="11"/>
  <c r="AS444" i="11"/>
  <c r="BG432" i="11"/>
  <c r="AN276" i="11"/>
  <c r="V213" i="11"/>
  <c r="AD359" i="11"/>
  <c r="AK204" i="11"/>
  <c r="P454" i="11"/>
  <c r="AE419" i="11"/>
  <c r="AM263" i="11"/>
  <c r="R243" i="11"/>
  <c r="M247" i="11"/>
  <c r="BH439" i="11"/>
  <c r="AG448" i="11"/>
  <c r="AF346" i="11"/>
  <c r="G233" i="11"/>
  <c r="BL289" i="11"/>
  <c r="AN309" i="11"/>
  <c r="G270" i="11"/>
  <c r="X449" i="11"/>
  <c r="AX416" i="11"/>
  <c r="R301" i="11"/>
  <c r="AN330" i="11"/>
  <c r="AX286" i="11"/>
  <c r="AB284" i="11"/>
  <c r="O432" i="11"/>
  <c r="AH282" i="11"/>
  <c r="J377" i="11"/>
  <c r="BJ308" i="11"/>
  <c r="Y267" i="11"/>
  <c r="BJ244" i="11"/>
  <c r="R277" i="11"/>
  <c r="X248" i="11"/>
  <c r="L382" i="11"/>
  <c r="L413" i="11"/>
  <c r="W451" i="11"/>
  <c r="G356" i="11"/>
  <c r="AJ240" i="11"/>
  <c r="AU427" i="11"/>
  <c r="AY356" i="11"/>
  <c r="AL322" i="11"/>
  <c r="BK409" i="11"/>
  <c r="AA396" i="11"/>
  <c r="BJ328" i="11"/>
  <c r="AL348" i="11"/>
  <c r="AB377" i="11"/>
  <c r="AB383" i="11"/>
  <c r="C257" i="11"/>
  <c r="AU437" i="11"/>
  <c r="BC442" i="11"/>
  <c r="AP389" i="11"/>
  <c r="AW342" i="11"/>
  <c r="N283" i="11"/>
  <c r="AB214" i="11"/>
  <c r="AK333" i="11"/>
  <c r="H447" i="11"/>
  <c r="Y418" i="11"/>
  <c r="AH280" i="11"/>
  <c r="BA296" i="11"/>
  <c r="AT280" i="11"/>
  <c r="BN213" i="11"/>
  <c r="L412" i="11"/>
  <c r="S280" i="11"/>
  <c r="Z305" i="11"/>
  <c r="BF212" i="11"/>
  <c r="P236" i="11"/>
  <c r="BB265" i="11"/>
  <c r="AB372" i="11"/>
  <c r="BM268" i="11"/>
  <c r="J450" i="11"/>
  <c r="BC229" i="11"/>
  <c r="AU271" i="11"/>
  <c r="BM262" i="11"/>
  <c r="P456" i="11"/>
  <c r="BD218" i="11"/>
  <c r="AL420" i="11"/>
  <c r="AD263" i="11"/>
  <c r="AQ217" i="11"/>
  <c r="AE434" i="11"/>
  <c r="AP446" i="11"/>
  <c r="C423" i="11"/>
  <c r="BH294" i="11"/>
  <c r="BH216" i="11"/>
  <c r="BF284" i="11"/>
  <c r="AO239" i="11"/>
  <c r="BB266" i="11"/>
  <c r="U239" i="11"/>
  <c r="AF203" i="11"/>
  <c r="BN455" i="11"/>
  <c r="AZ433" i="11"/>
  <c r="BM217" i="11"/>
  <c r="AO284" i="11"/>
  <c r="AC383" i="11"/>
  <c r="BD210" i="11"/>
  <c r="AB305" i="11"/>
  <c r="AN304" i="11"/>
  <c r="BD311" i="11"/>
  <c r="BF444" i="11"/>
  <c r="AV206" i="11"/>
  <c r="X355" i="11"/>
  <c r="AQ298" i="11"/>
  <c r="Z235" i="11"/>
  <c r="O371" i="11"/>
  <c r="BI230" i="11"/>
  <c r="BB314" i="11"/>
  <c r="BC215" i="11"/>
  <c r="AP362" i="11"/>
  <c r="AU364" i="11"/>
  <c r="C245" i="11"/>
  <c r="AM252" i="11"/>
  <c r="N260" i="11"/>
  <c r="O217" i="11"/>
  <c r="AY400" i="11"/>
  <c r="T334" i="11"/>
  <c r="AA433" i="11"/>
  <c r="BF328" i="11"/>
  <c r="AZ229" i="11"/>
  <c r="AL276" i="11"/>
  <c r="Q387" i="11"/>
  <c r="AZ248" i="11"/>
  <c r="AX382" i="11"/>
  <c r="AQ247" i="11"/>
  <c r="BD317" i="11"/>
  <c r="AQ280" i="11"/>
  <c r="AA405" i="11"/>
  <c r="AB221" i="11"/>
  <c r="AT270" i="11"/>
  <c r="BJ276" i="11"/>
  <c r="M322" i="11"/>
  <c r="AR323" i="11"/>
  <c r="AS308" i="11"/>
  <c r="M314" i="11"/>
  <c r="AU342" i="11"/>
  <c r="C224" i="11"/>
  <c r="BC270" i="11"/>
  <c r="AX216" i="11"/>
  <c r="K445" i="11"/>
  <c r="AF428" i="11"/>
  <c r="AZ421" i="11"/>
  <c r="AA341" i="11"/>
  <c r="BB396" i="11"/>
  <c r="BB300" i="11"/>
  <c r="BM452" i="11"/>
  <c r="U444" i="11"/>
  <c r="AB283" i="11"/>
  <c r="M455" i="11"/>
  <c r="AU304" i="11"/>
  <c r="BH438" i="11"/>
  <c r="AB286" i="11"/>
  <c r="AA416" i="11"/>
  <c r="BK392" i="11"/>
  <c r="AY253" i="11"/>
  <c r="AZ441" i="11"/>
  <c r="BG242" i="11"/>
  <c r="AF376" i="11"/>
  <c r="O254" i="11"/>
  <c r="AG421" i="11"/>
  <c r="BF336" i="11"/>
  <c r="BM376" i="11"/>
  <c r="AR281" i="11"/>
  <c r="AF332" i="11"/>
  <c r="AF450" i="11"/>
  <c r="AL288" i="11"/>
  <c r="AK251" i="11"/>
  <c r="I311" i="11"/>
  <c r="BN358" i="11"/>
  <c r="K211" i="11"/>
  <c r="AG213" i="11"/>
  <c r="M229" i="11"/>
  <c r="BH227" i="11"/>
  <c r="L236" i="11"/>
  <c r="AW272" i="11"/>
  <c r="BC249" i="11"/>
  <c r="BJ440" i="11"/>
  <c r="N282" i="11"/>
  <c r="C261" i="11"/>
  <c r="AK317" i="11"/>
  <c r="AM291" i="11"/>
  <c r="AU363" i="11"/>
  <c r="H375" i="11"/>
  <c r="AW253" i="11"/>
  <c r="AV321" i="11"/>
  <c r="BB313" i="11"/>
  <c r="BH296" i="11"/>
  <c r="AQ230" i="11"/>
  <c r="L433" i="11"/>
  <c r="AX408" i="11"/>
  <c r="S231" i="11"/>
  <c r="M256" i="11"/>
  <c r="BJ206" i="11"/>
  <c r="C232" i="11"/>
  <c r="R346" i="11"/>
  <c r="BE416" i="11"/>
  <c r="BL266" i="11"/>
  <c r="AK397" i="11"/>
  <c r="BJ412" i="11"/>
  <c r="AS298" i="11"/>
  <c r="S225" i="11"/>
  <c r="G316" i="11"/>
  <c r="Z432" i="11"/>
  <c r="AM454" i="11"/>
  <c r="AL213" i="11"/>
  <c r="AU442" i="11"/>
  <c r="AF315" i="11"/>
  <c r="AB384" i="11"/>
  <c r="BL447" i="11"/>
  <c r="J403" i="11"/>
  <c r="Y283" i="11"/>
  <c r="AC412" i="11"/>
  <c r="AC341" i="11"/>
  <c r="AQ419" i="11"/>
  <c r="AG420" i="11"/>
  <c r="AV409" i="11"/>
  <c r="AC302" i="11"/>
  <c r="AM412" i="11"/>
  <c r="AR242" i="11"/>
  <c r="BE325" i="11"/>
  <c r="Y227" i="11"/>
  <c r="AB452" i="11"/>
  <c r="L285" i="11"/>
  <c r="AR443" i="11"/>
  <c r="AH271" i="11"/>
  <c r="BB383" i="11"/>
  <c r="BJ372" i="11"/>
  <c r="Z285" i="11"/>
  <c r="AR448" i="11"/>
  <c r="BL445" i="11"/>
  <c r="AZ428" i="11"/>
  <c r="AF449" i="11"/>
  <c r="AK270" i="11"/>
  <c r="M234" i="11"/>
  <c r="AN445" i="11"/>
  <c r="AK415" i="11"/>
  <c r="P439" i="11"/>
  <c r="BC280" i="11"/>
  <c r="O435" i="11"/>
  <c r="BC297" i="11"/>
  <c r="BL419" i="11"/>
  <c r="X339" i="11"/>
  <c r="I287" i="11"/>
  <c r="BF377" i="11"/>
  <c r="U211" i="11"/>
  <c r="K266" i="11"/>
  <c r="Z227" i="11"/>
  <c r="AO286" i="11"/>
  <c r="AN222" i="11"/>
  <c r="AE371" i="11"/>
  <c r="X380" i="11"/>
  <c r="BJ350" i="11"/>
  <c r="BF318" i="11"/>
  <c r="U327" i="11"/>
  <c r="AD363" i="11"/>
  <c r="AI347" i="11"/>
  <c r="AX240" i="11"/>
  <c r="AC275" i="11"/>
  <c r="AD251" i="11"/>
  <c r="BC451" i="11"/>
  <c r="P305" i="11"/>
  <c r="BC235" i="11"/>
  <c r="V253" i="11"/>
  <c r="BA359" i="11"/>
  <c r="AT277" i="11"/>
  <c r="AL296" i="11"/>
  <c r="AT261" i="11"/>
  <c r="AB310" i="11"/>
  <c r="AP341" i="11"/>
  <c r="J244" i="11"/>
  <c r="AR254" i="11"/>
  <c r="AP268" i="11"/>
  <c r="BN277" i="11"/>
  <c r="AT279" i="11"/>
  <c r="AJ411" i="11"/>
  <c r="BA239" i="11"/>
  <c r="AX426" i="11"/>
  <c r="BN274" i="11"/>
  <c r="W250" i="11"/>
  <c r="W422" i="11"/>
  <c r="BH230" i="11"/>
  <c r="AI434" i="11"/>
  <c r="AQ455" i="11"/>
  <c r="AD427" i="11"/>
  <c r="AI432" i="11"/>
  <c r="AT447" i="11"/>
  <c r="BD282" i="11"/>
  <c r="AU365" i="11"/>
  <c r="AI351" i="11"/>
  <c r="AO383" i="11"/>
  <c r="BI290" i="11"/>
  <c r="X353" i="11"/>
  <c r="BJ400" i="11"/>
  <c r="BG418" i="11"/>
  <c r="O447" i="11"/>
  <c r="BB370" i="11"/>
  <c r="BD434" i="11"/>
  <c r="BN453" i="11"/>
  <c r="BA408" i="11"/>
  <c r="AH394" i="11"/>
  <c r="BK361" i="11"/>
  <c r="O252" i="11"/>
  <c r="J419" i="11"/>
  <c r="I282" i="11"/>
  <c r="AF337" i="11"/>
  <c r="X453" i="11"/>
  <c r="BL294" i="11"/>
  <c r="AD362" i="11"/>
  <c r="BM381" i="11"/>
  <c r="O239" i="11"/>
  <c r="AY275" i="11"/>
  <c r="P353" i="11"/>
  <c r="BM219" i="11"/>
  <c r="BB223" i="11"/>
  <c r="BN268" i="11"/>
  <c r="N385" i="11"/>
  <c r="BJ290" i="11"/>
  <c r="M355" i="11"/>
  <c r="BH328" i="11"/>
  <c r="S296" i="11"/>
  <c r="AT344" i="11"/>
  <c r="AL228" i="11"/>
  <c r="AW379" i="11"/>
  <c r="AT245" i="11"/>
  <c r="BD258" i="11"/>
  <c r="AL336" i="11"/>
  <c r="BD425" i="11"/>
  <c r="S318" i="11"/>
  <c r="Z375" i="11"/>
  <c r="BH360" i="11"/>
  <c r="AS210" i="11"/>
  <c r="AM380" i="11"/>
  <c r="P361" i="11"/>
  <c r="AC283" i="11"/>
  <c r="AT299" i="11"/>
  <c r="BJ265" i="11"/>
  <c r="AZ331" i="11"/>
  <c r="I232" i="11"/>
  <c r="AA349" i="11"/>
  <c r="AH279" i="11"/>
  <c r="T443" i="11"/>
  <c r="BJ342" i="11"/>
  <c r="AE208" i="11"/>
  <c r="AM293" i="11"/>
  <c r="BM449" i="11"/>
  <c r="BM206" i="11"/>
  <c r="BD421" i="11"/>
  <c r="AR210" i="11"/>
  <c r="AS456" i="11"/>
  <c r="BE261" i="11"/>
  <c r="AF393" i="11"/>
  <c r="AB297" i="11"/>
  <c r="T408" i="11"/>
  <c r="S206" i="11"/>
  <c r="H424" i="11"/>
  <c r="AJ365" i="11"/>
  <c r="AK348" i="11"/>
  <c r="R315" i="11"/>
  <c r="BK432" i="11"/>
  <c r="BI203" i="11"/>
  <c r="AY394" i="11"/>
  <c r="T355" i="11"/>
  <c r="AT234" i="11"/>
  <c r="BM286" i="11"/>
  <c r="BH280" i="11"/>
  <c r="AZ417" i="11"/>
  <c r="AO429" i="11"/>
  <c r="C437" i="11"/>
  <c r="BG409" i="11"/>
  <c r="BK442" i="11"/>
  <c r="J219" i="11"/>
  <c r="AP399" i="11"/>
  <c r="C380" i="11"/>
  <c r="AM228" i="11"/>
  <c r="BH284" i="11"/>
  <c r="BL248" i="11"/>
  <c r="BD212" i="11"/>
  <c r="J261" i="11"/>
  <c r="I381" i="11"/>
  <c r="BN334" i="11"/>
  <c r="BD404" i="11"/>
  <c r="W411" i="11"/>
  <c r="BC370" i="11"/>
  <c r="BE257" i="11"/>
  <c r="BB321" i="11"/>
  <c r="AX334" i="11"/>
  <c r="BJ313" i="11"/>
  <c r="AN359" i="11"/>
  <c r="S323" i="11"/>
  <c r="BE428" i="11"/>
  <c r="AD267" i="11"/>
  <c r="AN360" i="11"/>
  <c r="V447" i="11"/>
  <c r="AW330" i="11"/>
  <c r="T320" i="11"/>
  <c r="K372" i="11"/>
  <c r="BC207" i="11"/>
  <c r="AL350" i="11"/>
  <c r="AZ448" i="11"/>
  <c r="AH351" i="11"/>
  <c r="G410" i="11"/>
  <c r="BF305" i="11"/>
  <c r="AH214" i="11"/>
  <c r="J254" i="11"/>
  <c r="BM205" i="11"/>
  <c r="BN414" i="11"/>
  <c r="AB422" i="11"/>
  <c r="M356" i="11"/>
  <c r="BN346" i="11"/>
  <c r="BK229" i="11"/>
  <c r="W246" i="11"/>
  <c r="BA204" i="11"/>
  <c r="AM443" i="11"/>
  <c r="S419" i="11"/>
  <c r="AF423" i="11"/>
  <c r="BE436" i="11"/>
  <c r="J262" i="11"/>
  <c r="K331" i="11"/>
  <c r="BB426" i="11"/>
  <c r="P435" i="11"/>
  <c r="BG286" i="11"/>
  <c r="Y217" i="11"/>
  <c r="T250" i="11"/>
  <c r="AX264" i="11"/>
  <c r="AA291" i="11"/>
  <c r="AD238" i="11"/>
  <c r="P387" i="11"/>
  <c r="BG302" i="11"/>
  <c r="G309" i="11"/>
  <c r="Q408" i="11"/>
  <c r="AI451" i="11"/>
  <c r="AK236" i="11"/>
  <c r="T386" i="11"/>
  <c r="L359" i="11"/>
  <c r="AU446" i="11"/>
  <c r="AR306" i="11"/>
  <c r="AV309" i="11"/>
  <c r="Q448" i="11"/>
  <c r="U397" i="11"/>
  <c r="BB235" i="11"/>
  <c r="I259" i="11"/>
  <c r="V228" i="11"/>
  <c r="G306" i="11"/>
  <c r="C217" i="11"/>
  <c r="Z253" i="11"/>
  <c r="BA218" i="11"/>
  <c r="AK224" i="11"/>
  <c r="W321" i="11"/>
  <c r="AX345" i="11"/>
  <c r="L223" i="11"/>
  <c r="I281" i="11"/>
  <c r="R203" i="11"/>
  <c r="BH214" i="11"/>
  <c r="BH316" i="11"/>
  <c r="AE319" i="11"/>
  <c r="AZ395" i="11"/>
  <c r="W239" i="11"/>
  <c r="R241" i="11"/>
  <c r="AV317" i="11"/>
  <c r="AQ250" i="11"/>
  <c r="N348" i="11"/>
  <c r="AE300" i="11"/>
  <c r="J279" i="11"/>
  <c r="BI373" i="11"/>
  <c r="AW308" i="11"/>
  <c r="AX255" i="11"/>
  <c r="J288" i="11"/>
  <c r="AI329" i="11"/>
  <c r="J331" i="11"/>
  <c r="K373" i="11"/>
  <c r="AA295" i="11"/>
  <c r="BC408" i="11"/>
  <c r="V361" i="11"/>
  <c r="AE431" i="11"/>
  <c r="AS416" i="11"/>
  <c r="U431" i="11"/>
  <c r="AE369" i="11"/>
  <c r="M354" i="11"/>
  <c r="AR244" i="11"/>
  <c r="H301" i="11"/>
  <c r="G204" i="11"/>
  <c r="AG438" i="11"/>
  <c r="S423" i="11"/>
  <c r="AF313" i="11"/>
  <c r="AA234" i="11"/>
  <c r="AX452" i="11"/>
  <c r="V230" i="11"/>
  <c r="AX305" i="11"/>
  <c r="AL419" i="11"/>
  <c r="BD326" i="11"/>
  <c r="AP419" i="11"/>
  <c r="U359" i="11"/>
  <c r="AZ302" i="11"/>
  <c r="BL391" i="11"/>
  <c r="Y431" i="11"/>
  <c r="S358" i="11"/>
  <c r="BA453" i="11"/>
  <c r="AM294" i="11"/>
  <c r="BK208" i="11"/>
  <c r="V343" i="11"/>
  <c r="AY412" i="11"/>
  <c r="AV223" i="11"/>
  <c r="BJ340" i="11"/>
  <c r="Q335" i="11"/>
  <c r="AB441" i="11"/>
  <c r="J410" i="11"/>
  <c r="BC325" i="11"/>
  <c r="BI304" i="11"/>
  <c r="M300" i="11"/>
  <c r="AK350" i="11"/>
  <c r="AD287" i="11"/>
  <c r="BG284" i="11"/>
  <c r="BL385" i="11"/>
  <c r="T223" i="11"/>
  <c r="BI394" i="11"/>
  <c r="S207" i="11"/>
  <c r="AB233" i="11"/>
  <c r="AM322" i="11"/>
  <c r="BJ378" i="11"/>
  <c r="J207" i="11"/>
  <c r="M334" i="11"/>
  <c r="AA293" i="11"/>
  <c r="O404" i="11"/>
  <c r="L321" i="11"/>
  <c r="AI293" i="11"/>
  <c r="BG376" i="11"/>
  <c r="BF261" i="11"/>
  <c r="BN272" i="11"/>
  <c r="W290" i="11"/>
  <c r="AB230" i="11"/>
  <c r="AO324" i="11"/>
  <c r="AI308" i="11"/>
  <c r="AK240" i="11"/>
  <c r="AY203" i="11"/>
  <c r="L305" i="11"/>
  <c r="BH334" i="11"/>
  <c r="AC452" i="11"/>
  <c r="T419" i="11"/>
  <c r="AV441" i="11"/>
  <c r="BC395" i="11"/>
  <c r="AI245" i="11"/>
  <c r="AZ312" i="11"/>
  <c r="BJ404" i="11"/>
  <c r="AR431" i="11"/>
  <c r="BN429" i="11"/>
  <c r="AQ332" i="11"/>
  <c r="S307" i="11"/>
  <c r="AS211" i="11"/>
  <c r="BH260" i="11"/>
  <c r="BC449" i="11"/>
  <c r="U309" i="11"/>
  <c r="AZ444" i="11"/>
  <c r="BF379" i="11"/>
  <c r="Z238" i="11"/>
  <c r="AC225" i="11"/>
  <c r="AO209" i="11"/>
  <c r="N254" i="11"/>
  <c r="BC424" i="11"/>
  <c r="BL226" i="11"/>
  <c r="P304" i="11"/>
  <c r="O312" i="11"/>
  <c r="X276" i="11"/>
  <c r="AM240" i="11"/>
  <c r="AN339" i="11"/>
  <c r="BB294" i="11"/>
  <c r="K203" i="11"/>
  <c r="U322" i="11"/>
  <c r="AF364" i="11"/>
  <c r="P266" i="11"/>
  <c r="AE351" i="11"/>
  <c r="AC319" i="11"/>
  <c r="AX318" i="11"/>
  <c r="AZ306" i="11"/>
  <c r="BH352" i="11"/>
  <c r="AW381" i="11"/>
  <c r="BG293" i="11"/>
  <c r="BI337" i="11"/>
  <c r="BK353" i="11"/>
  <c r="BB421" i="11"/>
  <c r="I227" i="11"/>
  <c r="BB273" i="11"/>
  <c r="P413" i="11"/>
  <c r="O437" i="11"/>
  <c r="AW440" i="11"/>
  <c r="C273" i="11"/>
  <c r="AK218" i="11"/>
  <c r="BE447" i="11"/>
  <c r="BE335" i="11"/>
  <c r="AY283" i="11"/>
  <c r="P455" i="11"/>
  <c r="BI440" i="11"/>
  <c r="AO336" i="11"/>
  <c r="BA220" i="11"/>
  <c r="BF274" i="11"/>
  <c r="AE339" i="11"/>
  <c r="AQ448" i="11"/>
  <c r="AO291" i="11"/>
  <c r="AG384" i="11"/>
  <c r="AF207" i="11"/>
  <c r="BJ277" i="11"/>
  <c r="AC305" i="11"/>
  <c r="AP422" i="11"/>
  <c r="L385" i="11"/>
  <c r="J437" i="11"/>
  <c r="AC405" i="11"/>
  <c r="J432" i="11"/>
  <c r="BC241" i="11"/>
  <c r="BK214" i="11"/>
  <c r="BD292" i="11"/>
  <c r="S283" i="11"/>
  <c r="N262" i="11"/>
  <c r="V372" i="11"/>
  <c r="AL339" i="11"/>
  <c r="BC254" i="11"/>
  <c r="G320" i="11"/>
  <c r="BI271" i="11"/>
  <c r="S376" i="11"/>
  <c r="S293" i="11"/>
  <c r="X432" i="11"/>
  <c r="U427" i="11"/>
  <c r="AQ226" i="11"/>
  <c r="BB305" i="11"/>
  <c r="BB330" i="11"/>
  <c r="R272" i="11"/>
  <c r="AB295" i="11"/>
  <c r="AA361" i="11"/>
  <c r="C324" i="11"/>
  <c r="S301" i="11"/>
  <c r="BF320" i="11"/>
  <c r="AO263" i="11"/>
  <c r="BL229" i="11"/>
  <c r="AL353" i="11"/>
  <c r="Z416" i="11"/>
  <c r="AH290" i="11"/>
  <c r="AN279" i="11"/>
  <c r="AB380" i="11"/>
  <c r="BG308" i="11"/>
  <c r="T434" i="11"/>
  <c r="AZ315" i="11"/>
  <c r="BM236" i="11"/>
  <c r="BG341" i="11"/>
  <c r="AH441" i="11"/>
  <c r="AI428" i="11"/>
  <c r="BD412" i="11"/>
  <c r="AP205" i="11"/>
  <c r="R242" i="11"/>
  <c r="AG242" i="11"/>
  <c r="S350" i="11"/>
  <c r="AH257" i="11"/>
  <c r="BK424" i="11"/>
  <c r="AJ454" i="11"/>
  <c r="AQ365" i="11"/>
  <c r="AE452" i="11"/>
  <c r="M345" i="11"/>
  <c r="AC431" i="11"/>
  <c r="S205" i="11"/>
  <c r="BE258" i="11"/>
  <c r="AM449" i="11"/>
  <c r="AO325" i="11"/>
  <c r="AH413" i="11"/>
  <c r="AC224" i="11"/>
  <c r="U435" i="11"/>
  <c r="R292" i="11"/>
  <c r="AA452" i="11"/>
  <c r="W415" i="11"/>
  <c r="BG448" i="11"/>
  <c r="W443" i="11"/>
  <c r="R435" i="11"/>
  <c r="Y428" i="11"/>
  <c r="AG225" i="11"/>
  <c r="BN280" i="11"/>
  <c r="U278" i="11"/>
  <c r="C360" i="11"/>
  <c r="Q255" i="11"/>
  <c r="BA253" i="11"/>
  <c r="C213" i="11"/>
  <c r="AD223" i="11"/>
  <c r="W303" i="11"/>
  <c r="AQ275" i="11"/>
  <c r="AW372" i="11"/>
  <c r="AR424" i="11"/>
  <c r="AV280" i="11"/>
  <c r="AQ281" i="11"/>
  <c r="AL254" i="11"/>
  <c r="BM280" i="11"/>
  <c r="BD324" i="11"/>
  <c r="V304" i="11"/>
  <c r="Q225" i="11"/>
  <c r="AF276" i="11"/>
  <c r="U240" i="11"/>
  <c r="AN329" i="11"/>
  <c r="AD390" i="11"/>
  <c r="AX327" i="11"/>
  <c r="BC252" i="11"/>
  <c r="O210" i="11"/>
  <c r="J445" i="11"/>
  <c r="AW385" i="11"/>
  <c r="U237" i="11"/>
  <c r="AS411" i="11"/>
  <c r="BN359" i="11"/>
  <c r="AE317" i="11"/>
  <c r="W401" i="11"/>
  <c r="AZ414" i="11"/>
  <c r="BN314" i="11"/>
  <c r="BL267" i="11"/>
  <c r="M370" i="11"/>
  <c r="I437" i="11"/>
  <c r="AV204" i="11"/>
  <c r="AJ410" i="11"/>
  <c r="I444" i="11"/>
  <c r="AT442" i="11"/>
  <c r="AQ320" i="11"/>
  <c r="BA244" i="11"/>
  <c r="BB449" i="11"/>
  <c r="BM446" i="11"/>
  <c r="AK431" i="11"/>
  <c r="AJ425" i="11"/>
  <c r="AI207" i="11"/>
  <c r="BC452" i="11"/>
  <c r="AR211" i="11"/>
  <c r="BM231" i="11"/>
  <c r="BF242" i="11"/>
  <c r="AD226" i="11"/>
  <c r="AA238" i="11"/>
  <c r="BD226" i="11"/>
  <c r="AK366" i="11"/>
  <c r="AK311" i="11"/>
  <c r="AN255" i="11"/>
  <c r="BJ415" i="11"/>
  <c r="BL451" i="11"/>
  <c r="AO257" i="11"/>
  <c r="AB212" i="11"/>
  <c r="AD345" i="11"/>
  <c r="BM302" i="11"/>
  <c r="AY376" i="11"/>
  <c r="P316" i="11"/>
  <c r="AQ432" i="11"/>
  <c r="BL426" i="11"/>
  <c r="C397" i="11"/>
  <c r="S426" i="11"/>
  <c r="S397" i="11"/>
  <c r="BB403" i="11"/>
  <c r="AR304" i="11"/>
  <c r="AD378" i="11"/>
  <c r="U446" i="11"/>
  <c r="BI348" i="11"/>
  <c r="BK321" i="11"/>
  <c r="BH421" i="11"/>
  <c r="AW332" i="11"/>
  <c r="BA243" i="11"/>
  <c r="AF269" i="11"/>
  <c r="H347" i="11"/>
  <c r="BI417" i="11"/>
  <c r="BA405" i="11"/>
  <c r="H336" i="11"/>
  <c r="V422" i="11"/>
  <c r="AP277" i="11"/>
  <c r="AZ311" i="11"/>
  <c r="AE368" i="11"/>
  <c r="AI367" i="11"/>
  <c r="BE239" i="11"/>
  <c r="BD338" i="11"/>
  <c r="Q373" i="11"/>
  <c r="BE383" i="11"/>
  <c r="AF255" i="11"/>
  <c r="I264" i="11"/>
  <c r="AL363" i="11"/>
  <c r="BH456" i="11"/>
  <c r="BB205" i="11"/>
  <c r="AF436" i="11"/>
  <c r="BD351" i="11"/>
  <c r="AF366" i="11"/>
  <c r="BB378" i="11"/>
  <c r="BC282" i="11"/>
  <c r="M218" i="11"/>
  <c r="Z334" i="11"/>
  <c r="S364" i="11"/>
  <c r="AK365" i="11"/>
  <c r="J361" i="11"/>
  <c r="M382" i="11"/>
  <c r="BB312" i="11"/>
  <c r="K348" i="11"/>
  <c r="BJ390" i="11"/>
  <c r="AS257" i="11"/>
  <c r="P350" i="11"/>
  <c r="M383" i="11"/>
  <c r="BG325" i="11"/>
  <c r="O280" i="11"/>
  <c r="AH259" i="11"/>
  <c r="AR295" i="11"/>
  <c r="V329" i="11"/>
  <c r="Z393" i="11"/>
  <c r="AR226" i="11"/>
  <c r="AY259" i="11"/>
  <c r="AA377" i="11"/>
  <c r="BB325" i="11"/>
  <c r="AN416" i="11"/>
  <c r="AF374" i="11"/>
  <c r="T340" i="11"/>
  <c r="G406" i="11"/>
  <c r="K212" i="11"/>
  <c r="AE271" i="11"/>
  <c r="X255" i="11"/>
  <c r="AV330" i="11"/>
  <c r="J308" i="11"/>
  <c r="I418" i="11"/>
  <c r="O431" i="11"/>
  <c r="BG454" i="11"/>
  <c r="BJ454" i="11"/>
  <c r="BE417" i="11"/>
  <c r="V320" i="11"/>
  <c r="BE278" i="11"/>
  <c r="AB245" i="11"/>
  <c r="U456" i="11"/>
  <c r="AB319" i="11"/>
  <c r="V204" i="11"/>
  <c r="P410" i="11"/>
  <c r="AG411" i="11"/>
  <c r="BF283" i="11"/>
  <c r="AR287" i="11"/>
  <c r="R334" i="11"/>
  <c r="L283" i="11"/>
  <c r="AF365" i="11"/>
  <c r="BM350" i="11"/>
  <c r="V433" i="11"/>
  <c r="P298" i="11"/>
  <c r="BM298" i="11"/>
  <c r="AN205" i="11"/>
  <c r="AL447" i="11"/>
  <c r="X287" i="11"/>
  <c r="T410" i="11"/>
  <c r="AL299" i="11"/>
  <c r="AF400" i="11"/>
  <c r="AK226" i="11"/>
  <c r="AF441" i="11"/>
  <c r="BC434" i="11"/>
  <c r="AL354" i="11"/>
  <c r="R445" i="11"/>
  <c r="AZ418" i="11"/>
  <c r="AD415" i="11"/>
  <c r="I253" i="11"/>
  <c r="AY413" i="11"/>
  <c r="BB404" i="11"/>
  <c r="P346" i="11"/>
  <c r="BL287" i="11"/>
  <c r="AW259" i="11"/>
  <c r="AH335" i="11"/>
  <c r="AX359" i="11"/>
  <c r="L233" i="11"/>
  <c r="AA254" i="11"/>
  <c r="AK328" i="11"/>
  <c r="V307" i="11"/>
  <c r="U209" i="11"/>
  <c r="BK340" i="11"/>
  <c r="X321" i="11"/>
  <c r="AK349" i="11"/>
  <c r="N289" i="11"/>
  <c r="BC226" i="11"/>
  <c r="AZ367" i="11"/>
  <c r="AD252" i="11"/>
  <c r="BI371" i="11"/>
  <c r="U222" i="11"/>
  <c r="AM290" i="11"/>
  <c r="BA260" i="11"/>
  <c r="BK346" i="11"/>
  <c r="X275" i="11"/>
  <c r="S278" i="11"/>
  <c r="AC355" i="11"/>
  <c r="AA427" i="11"/>
  <c r="AT333" i="11"/>
  <c r="BB380" i="11"/>
  <c r="BG227" i="11"/>
  <c r="N231" i="11"/>
  <c r="H417" i="11"/>
  <c r="AX366" i="11"/>
  <c r="O416" i="11"/>
  <c r="Q307" i="11"/>
  <c r="AL431" i="11"/>
  <c r="L366" i="11"/>
  <c r="AB453" i="11"/>
  <c r="AX383" i="11"/>
  <c r="P422" i="11"/>
  <c r="AR415" i="11"/>
  <c r="AL454" i="11"/>
  <c r="S309" i="11"/>
  <c r="BG256" i="11"/>
  <c r="AO222" i="11"/>
  <c r="BK218" i="11"/>
  <c r="BJ218" i="11"/>
  <c r="AU441" i="11"/>
  <c r="AI267" i="11"/>
  <c r="T432" i="11"/>
  <c r="AK335" i="11"/>
  <c r="AR372" i="11"/>
  <c r="BG358" i="11"/>
  <c r="L423" i="11"/>
  <c r="BF241" i="11"/>
  <c r="BN390" i="11"/>
  <c r="BK425" i="11"/>
  <c r="N394" i="11"/>
  <c r="AO228" i="11"/>
  <c r="AY260" i="11"/>
  <c r="T445" i="11"/>
  <c r="AM434" i="11"/>
  <c r="BC423" i="11"/>
  <c r="AL448" i="11"/>
  <c r="BJ215" i="11"/>
  <c r="Z263" i="11"/>
  <c r="AG290" i="11"/>
  <c r="BI387" i="11"/>
  <c r="BN232" i="11"/>
  <c r="V292" i="11"/>
  <c r="AF287" i="11"/>
  <c r="AD292" i="11"/>
  <c r="AL317" i="11"/>
  <c r="AK326" i="11"/>
  <c r="AJ226" i="11"/>
  <c r="AG315" i="11"/>
  <c r="AS358" i="11"/>
  <c r="Q406" i="11"/>
  <c r="G219" i="11"/>
  <c r="O245" i="11"/>
  <c r="BH384" i="11"/>
  <c r="Y243" i="11"/>
  <c r="BJ208" i="11"/>
  <c r="Y343" i="11"/>
  <c r="BD236" i="11"/>
  <c r="AF258" i="11"/>
  <c r="Y346" i="11"/>
  <c r="O385" i="11"/>
  <c r="BF453" i="11"/>
  <c r="O343" i="11"/>
  <c r="U348" i="11"/>
  <c r="Y293" i="11"/>
  <c r="BM323" i="11"/>
  <c r="AT257" i="11"/>
  <c r="BH392" i="11"/>
  <c r="AR313" i="11"/>
  <c r="BE236" i="11"/>
  <c r="AN266" i="11"/>
  <c r="BE287" i="11"/>
  <c r="R448" i="11"/>
  <c r="AM381" i="11"/>
  <c r="AF204" i="11"/>
  <c r="AB208" i="11"/>
  <c r="O454" i="11"/>
  <c r="BN405" i="11"/>
  <c r="AS291" i="11"/>
  <c r="J448" i="11"/>
  <c r="BK270" i="11"/>
  <c r="AF437" i="11"/>
  <c r="AI414" i="11"/>
  <c r="R431" i="11"/>
  <c r="U255" i="11"/>
  <c r="BE210" i="11"/>
  <c r="AE337" i="11"/>
  <c r="AH418" i="11"/>
  <c r="AT446" i="11"/>
  <c r="BA447" i="11"/>
  <c r="AD364" i="11"/>
  <c r="S433" i="11"/>
  <c r="AL282" i="11"/>
  <c r="AY286" i="11"/>
  <c r="AW205" i="11"/>
  <c r="AZ256" i="11"/>
  <c r="AD453" i="11"/>
  <c r="H369" i="11"/>
  <c r="K447" i="11"/>
  <c r="AR353" i="11"/>
  <c r="BE348" i="11"/>
  <c r="U326" i="11"/>
  <c r="M418" i="11"/>
  <c r="G435" i="11"/>
  <c r="AN355" i="11"/>
  <c r="Y383" i="11"/>
  <c r="AR362" i="11"/>
  <c r="BJ363" i="11"/>
  <c r="P272" i="11"/>
  <c r="AQ368" i="11"/>
  <c r="P212" i="11"/>
  <c r="U395" i="11"/>
  <c r="AV390" i="11"/>
  <c r="Z296" i="11"/>
  <c r="AU372" i="11"/>
  <c r="M400" i="11"/>
  <c r="AN393" i="11"/>
  <c r="O363" i="11"/>
  <c r="AM222" i="11"/>
  <c r="W308" i="11"/>
  <c r="BJ207" i="11"/>
  <c r="AI370" i="11"/>
  <c r="AD346" i="11"/>
  <c r="AO264" i="11"/>
  <c r="BK300" i="11"/>
  <c r="BD364" i="11"/>
  <c r="AS288" i="11"/>
  <c r="AY328" i="11"/>
  <c r="V338" i="11"/>
  <c r="BG383" i="11"/>
  <c r="AO283" i="11"/>
  <c r="BA440" i="11"/>
  <c r="BK253" i="11"/>
  <c r="H281" i="11"/>
  <c r="N355" i="11"/>
  <c r="N386" i="11"/>
  <c r="Q264" i="11"/>
  <c r="AL290" i="11"/>
  <c r="AQ424" i="11"/>
  <c r="AW412" i="11"/>
  <c r="AE256" i="11"/>
  <c r="BF293" i="11"/>
  <c r="N203" i="11"/>
  <c r="T394" i="11"/>
  <c r="BM308" i="11"/>
  <c r="AB395" i="11"/>
  <c r="U439" i="11"/>
  <c r="AU320" i="11"/>
  <c r="AO242" i="11"/>
  <c r="AU295" i="11"/>
  <c r="R270" i="11"/>
  <c r="BA299" i="11"/>
  <c r="C406" i="11"/>
  <c r="G402" i="11"/>
  <c r="AL318" i="11"/>
  <c r="P412" i="11"/>
  <c r="AR255" i="11"/>
  <c r="BJ224" i="11"/>
  <c r="L437" i="11"/>
  <c r="AK422" i="11"/>
  <c r="AR352" i="11"/>
  <c r="AJ294" i="11"/>
  <c r="AP436" i="11"/>
  <c r="AR331" i="11"/>
  <c r="AA410" i="11"/>
  <c r="AV340" i="11"/>
  <c r="AW265" i="11"/>
  <c r="Q252" i="11"/>
  <c r="AP453" i="11"/>
  <c r="BC293" i="11"/>
  <c r="AR278" i="11"/>
  <c r="AV438" i="11"/>
  <c r="BB413" i="11"/>
  <c r="BC419" i="11"/>
  <c r="AK373" i="11"/>
  <c r="BE302" i="11"/>
  <c r="BK386" i="11"/>
  <c r="U371" i="11"/>
  <c r="C375" i="11"/>
  <c r="AL308" i="11"/>
  <c r="AC316" i="11"/>
  <c r="O337" i="11"/>
  <c r="V272" i="11"/>
  <c r="BD296" i="11"/>
  <c r="BJ354" i="11"/>
  <c r="BE280" i="11"/>
  <c r="AX384" i="11"/>
  <c r="AU328" i="11"/>
  <c r="AM288" i="11"/>
  <c r="T273" i="11"/>
  <c r="BF303" i="11"/>
  <c r="BI266" i="11"/>
  <c r="J364" i="11"/>
  <c r="AN384" i="11"/>
  <c r="AG372" i="11"/>
  <c r="AH388" i="11"/>
  <c r="Q224" i="11"/>
  <c r="AC288" i="11"/>
  <c r="K380" i="11"/>
  <c r="BD339" i="11"/>
  <c r="BD220" i="11"/>
  <c r="AL271" i="11"/>
  <c r="AA274" i="11"/>
  <c r="AH334" i="11"/>
  <c r="R400" i="11"/>
  <c r="AD356" i="11"/>
  <c r="R415" i="11"/>
  <c r="Z318" i="11"/>
  <c r="AG268" i="11"/>
  <c r="J323" i="11"/>
  <c r="AT329" i="11"/>
  <c r="AV256" i="11"/>
  <c r="AM203" i="11"/>
  <c r="AW395" i="11"/>
  <c r="BN430" i="11"/>
  <c r="W412" i="11"/>
  <c r="AP396" i="11"/>
  <c r="AU244" i="11"/>
  <c r="G325" i="11"/>
  <c r="AK255" i="11"/>
  <c r="W204" i="11"/>
  <c r="AR435" i="11"/>
  <c r="AC268" i="11"/>
  <c r="BE355" i="11"/>
  <c r="V370" i="11"/>
  <c r="AT393" i="11"/>
  <c r="BK228" i="11"/>
  <c r="N440" i="11"/>
  <c r="AN240" i="11"/>
  <c r="AW382" i="11"/>
  <c r="O278" i="11"/>
  <c r="M297" i="11"/>
  <c r="P254" i="11"/>
  <c r="T424" i="11"/>
  <c r="AO206" i="11"/>
  <c r="AZ340" i="11"/>
  <c r="O256" i="11"/>
  <c r="X233" i="11"/>
  <c r="I241" i="11"/>
  <c r="AO316" i="11"/>
  <c r="AW354" i="11"/>
  <c r="BD399" i="11"/>
  <c r="AH362" i="11"/>
  <c r="AB396" i="11"/>
  <c r="Y348" i="11"/>
  <c r="AC281" i="11"/>
  <c r="G248" i="11"/>
  <c r="AM342" i="11"/>
  <c r="AU308" i="11"/>
  <c r="H435" i="11"/>
  <c r="N429" i="11"/>
  <c r="BC407" i="11"/>
  <c r="L296" i="11"/>
  <c r="AM318" i="11"/>
  <c r="AD425" i="11"/>
  <c r="V224" i="11"/>
  <c r="AT400" i="11"/>
  <c r="AD271" i="11"/>
  <c r="AA366" i="11"/>
  <c r="Z219" i="11"/>
  <c r="J421" i="11"/>
  <c r="X374" i="11"/>
  <c r="BN379" i="11"/>
  <c r="I233" i="11"/>
  <c r="G331" i="11"/>
  <c r="S218" i="11"/>
  <c r="BD274" i="11"/>
  <c r="G403" i="11"/>
  <c r="AB425" i="11"/>
  <c r="AN294" i="11"/>
  <c r="S431" i="11"/>
  <c r="AI206" i="11"/>
  <c r="U408" i="11"/>
  <c r="AQ446" i="11"/>
  <c r="Q426" i="11"/>
  <c r="BF234" i="11"/>
  <c r="AY407" i="11"/>
  <c r="AT417" i="11"/>
  <c r="Y281" i="11"/>
  <c r="BF331" i="11"/>
  <c r="AH384" i="11"/>
  <c r="AS238" i="11"/>
  <c r="AW307" i="11"/>
  <c r="AX222" i="11"/>
  <c r="BN401" i="11"/>
  <c r="AU241" i="11"/>
  <c r="C207" i="11"/>
  <c r="AJ322" i="11"/>
  <c r="T215" i="11"/>
  <c r="BC313" i="11"/>
  <c r="BH241" i="11"/>
  <c r="R353" i="11"/>
  <c r="AJ270" i="11"/>
  <c r="AE260" i="11"/>
  <c r="AF341" i="11"/>
  <c r="BF340" i="11"/>
  <c r="Z236" i="11"/>
  <c r="AH283" i="11"/>
  <c r="AP400" i="11"/>
  <c r="P351" i="11"/>
  <c r="M236" i="11"/>
  <c r="AA258" i="11"/>
  <c r="AJ291" i="11"/>
  <c r="BJ437" i="11"/>
  <c r="C449" i="11"/>
  <c r="L214" i="11"/>
  <c r="AG355" i="11"/>
  <c r="Y322" i="11"/>
  <c r="K208" i="11"/>
  <c r="AS293" i="11"/>
  <c r="P258" i="11"/>
  <c r="P208" i="11"/>
  <c r="AU388" i="11"/>
  <c r="AE359" i="11"/>
  <c r="T426" i="11"/>
  <c r="I203" i="11"/>
  <c r="BK433" i="11"/>
  <c r="AG440" i="11"/>
  <c r="AB246" i="11"/>
  <c r="J318" i="11"/>
  <c r="BC305" i="11"/>
  <c r="AA398" i="11"/>
  <c r="BJ421" i="11"/>
  <c r="BG343" i="11"/>
  <c r="L449" i="11"/>
  <c r="AV233" i="11"/>
  <c r="BF432" i="11"/>
  <c r="AC233" i="11"/>
  <c r="AP343" i="11"/>
  <c r="C204" i="11"/>
  <c r="Q268" i="11"/>
  <c r="AM387" i="11"/>
  <c r="AV264" i="11"/>
  <c r="AJ205" i="11"/>
  <c r="AY304" i="11"/>
  <c r="BH381" i="11"/>
  <c r="S434" i="11"/>
  <c r="AK411" i="11"/>
  <c r="AL441" i="11"/>
  <c r="BG413" i="11"/>
  <c r="N438" i="11"/>
  <c r="AY372" i="11"/>
  <c r="Q291" i="11"/>
  <c r="W264" i="11"/>
  <c r="BD308" i="11"/>
  <c r="AB327" i="11"/>
  <c r="AY344" i="11"/>
  <c r="AJ284" i="11"/>
  <c r="X300" i="11"/>
  <c r="AY361" i="11"/>
  <c r="Y402" i="11"/>
  <c r="AB411" i="11"/>
  <c r="X422" i="11"/>
  <c r="BA317" i="11"/>
  <c r="P207" i="11"/>
  <c r="L351" i="11"/>
  <c r="K249" i="11"/>
  <c r="BD267" i="11"/>
  <c r="BL432" i="11"/>
  <c r="AB382" i="11"/>
  <c r="P265" i="11"/>
  <c r="G360" i="11"/>
  <c r="Z250" i="11"/>
  <c r="H455" i="11"/>
  <c r="Y408" i="11"/>
  <c r="BI389" i="11"/>
  <c r="U338" i="11"/>
  <c r="AE255" i="11"/>
  <c r="S316" i="11"/>
  <c r="J422" i="11"/>
  <c r="I362" i="11"/>
  <c r="C262" i="11"/>
  <c r="BI453" i="11"/>
  <c r="Q345" i="11"/>
  <c r="I204" i="11"/>
  <c r="J425" i="11"/>
  <c r="AR407" i="11"/>
  <c r="AQ414" i="11"/>
  <c r="AY297" i="11"/>
  <c r="AO403" i="11"/>
  <c r="H285" i="11"/>
  <c r="Y388" i="11"/>
  <c r="BG417" i="11"/>
  <c r="AR241" i="11"/>
  <c r="BF365" i="11"/>
  <c r="AF456" i="11"/>
  <c r="AV439" i="11"/>
  <c r="H450" i="11"/>
  <c r="K432" i="11"/>
  <c r="M435" i="11"/>
  <c r="BC427" i="11"/>
  <c r="V317" i="11"/>
  <c r="AY411" i="11"/>
  <c r="AN265" i="11"/>
  <c r="T245" i="11"/>
  <c r="O398" i="11"/>
  <c r="AS397" i="11"/>
  <c r="N372" i="11"/>
  <c r="J315" i="11"/>
  <c r="AO434" i="11"/>
  <c r="BJ441" i="11"/>
  <c r="AZ314" i="11"/>
  <c r="AL313" i="11"/>
  <c r="AH247" i="11"/>
  <c r="BD386" i="11"/>
  <c r="AR206" i="11"/>
  <c r="O235" i="11"/>
  <c r="Z210" i="11"/>
  <c r="AD316" i="11"/>
  <c r="AD354" i="11"/>
  <c r="AY235" i="11"/>
  <c r="AM362" i="11"/>
  <c r="AQ422" i="11"/>
  <c r="N417" i="11"/>
  <c r="BN266" i="11"/>
  <c r="C435" i="11"/>
  <c r="AP447" i="11"/>
  <c r="AD456" i="11"/>
  <c r="AK330" i="11"/>
  <c r="BJ430" i="11"/>
  <c r="H363" i="11"/>
  <c r="S370" i="11"/>
  <c r="Q432" i="11"/>
  <c r="BJ209" i="11"/>
  <c r="U366" i="11"/>
  <c r="Z274" i="11"/>
  <c r="S333" i="11"/>
  <c r="BJ292" i="11"/>
  <c r="AC443" i="11"/>
  <c r="AK312" i="11"/>
  <c r="P371" i="11"/>
  <c r="AI224" i="11"/>
  <c r="G323" i="11"/>
  <c r="AH269" i="11"/>
  <c r="AT247" i="11"/>
  <c r="BG234" i="11"/>
  <c r="AC213" i="11"/>
  <c r="AA219" i="11"/>
  <c r="Z366" i="11"/>
  <c r="C255" i="11"/>
  <c r="Y211" i="11"/>
  <c r="O222" i="11"/>
  <c r="K343" i="11"/>
  <c r="S302" i="11"/>
  <c r="BE273" i="11"/>
  <c r="BJ339" i="11"/>
  <c r="AA310" i="11"/>
  <c r="AU246" i="11"/>
  <c r="AT401" i="11"/>
  <c r="AC203" i="11"/>
  <c r="BA439" i="11"/>
  <c r="BI430" i="11"/>
  <c r="AG340" i="11"/>
  <c r="AZ293" i="11"/>
  <c r="AR204" i="11"/>
  <c r="AK416" i="11"/>
  <c r="AM452" i="11"/>
  <c r="AS428" i="11"/>
  <c r="R417" i="11"/>
  <c r="Z294" i="11"/>
  <c r="AM321" i="11"/>
  <c r="N245" i="11"/>
  <c r="AF455" i="11"/>
  <c r="AR245" i="11"/>
  <c r="AH436" i="11"/>
  <c r="AH330" i="11"/>
  <c r="U217" i="11"/>
  <c r="I335" i="11"/>
  <c r="AR322" i="11"/>
  <c r="P271" i="11"/>
  <c r="AP313" i="11"/>
  <c r="AQ245" i="11"/>
  <c r="AQ327" i="11"/>
  <c r="H242" i="11"/>
  <c r="BA310" i="11"/>
  <c r="Z433" i="11"/>
  <c r="BE225" i="11"/>
  <c r="S417" i="11"/>
  <c r="T337" i="11"/>
  <c r="H226" i="11"/>
  <c r="BL278" i="11"/>
  <c r="P358" i="11"/>
  <c r="AC433" i="11"/>
  <c r="BA208" i="11"/>
  <c r="AX455" i="11"/>
  <c r="BK453" i="11"/>
  <c r="V222" i="11"/>
  <c r="AE204" i="11"/>
  <c r="AB336" i="11"/>
  <c r="U349" i="11"/>
  <c r="Y298" i="11"/>
  <c r="N299" i="11"/>
  <c r="S325" i="11"/>
  <c r="AH249" i="11"/>
  <c r="AT374" i="11"/>
  <c r="L328" i="11"/>
  <c r="AY306" i="11"/>
  <c r="AC208" i="11"/>
  <c r="AB364" i="11"/>
  <c r="AL337" i="11"/>
  <c r="AO302" i="11"/>
  <c r="Y271" i="11"/>
  <c r="O327" i="11"/>
  <c r="BF360" i="11"/>
  <c r="X296" i="11"/>
  <c r="AZ219" i="11"/>
  <c r="AE215" i="11"/>
  <c r="U265" i="11"/>
  <c r="BK452" i="11"/>
  <c r="P283" i="11"/>
  <c r="AB240" i="11"/>
  <c r="BF263" i="11"/>
  <c r="BK398" i="11"/>
  <c r="J284" i="11"/>
  <c r="Y244" i="11"/>
  <c r="AA292" i="11"/>
  <c r="AW389" i="11"/>
  <c r="AJ356" i="11"/>
  <c r="AD444" i="11"/>
  <c r="BF370" i="11"/>
  <c r="AO205" i="11"/>
  <c r="AE413" i="11"/>
  <c r="BH431" i="11"/>
  <c r="U275" i="11"/>
  <c r="Y407" i="11"/>
  <c r="AG417" i="11"/>
  <c r="AV435" i="11"/>
  <c r="BB423" i="11"/>
  <c r="AJ440" i="11"/>
  <c r="AP416" i="11"/>
  <c r="AZ338" i="11"/>
  <c r="Z402" i="11"/>
  <c r="AN229" i="11"/>
  <c r="BL357" i="11"/>
  <c r="AB427" i="11"/>
  <c r="AK266" i="11"/>
  <c r="AR438" i="11"/>
  <c r="AX449" i="11"/>
  <c r="AK227" i="11"/>
  <c r="BK417" i="11"/>
  <c r="BE449" i="11"/>
  <c r="AE330" i="11"/>
  <c r="BN203" i="11"/>
  <c r="L267" i="11"/>
  <c r="AE338" i="11"/>
  <c r="AJ377" i="11"/>
  <c r="BH251" i="11"/>
  <c r="AH339" i="11"/>
  <c r="L319" i="11"/>
  <c r="BK418" i="11"/>
  <c r="M243" i="11"/>
  <c r="AY449" i="11"/>
  <c r="BK456" i="11"/>
  <c r="N215" i="11"/>
  <c r="AT340" i="11"/>
  <c r="P342" i="11"/>
  <c r="M280" i="11"/>
  <c r="R306" i="11"/>
  <c r="AU380" i="11"/>
  <c r="K288" i="11"/>
  <c r="AQ317" i="11"/>
  <c r="C333" i="11"/>
  <c r="AJ298" i="11"/>
  <c r="AZ263" i="11"/>
  <c r="V282" i="11"/>
  <c r="BI223" i="11"/>
  <c r="N263" i="11"/>
  <c r="AQ378" i="11"/>
  <c r="X269" i="11"/>
  <c r="BC212" i="11"/>
  <c r="O241" i="11"/>
  <c r="AF294" i="11"/>
  <c r="AA304" i="11"/>
  <c r="S319" i="11"/>
  <c r="BL241" i="11"/>
  <c r="AN379" i="11"/>
  <c r="BI214" i="11"/>
  <c r="AA236" i="11"/>
  <c r="K403" i="11"/>
  <c r="BL353" i="11"/>
  <c r="AN390" i="11"/>
  <c r="AI233" i="11"/>
  <c r="Q253" i="11"/>
  <c r="R383" i="11"/>
  <c r="X441" i="11"/>
  <c r="Z223" i="11"/>
  <c r="AG324" i="11"/>
  <c r="AN239" i="11"/>
  <c r="AR237" i="11"/>
  <c r="H428" i="11"/>
  <c r="P279" i="11"/>
  <c r="BG268" i="11"/>
  <c r="AQ367" i="11"/>
  <c r="AT339" i="11"/>
  <c r="BL288" i="11"/>
  <c r="AO333" i="11"/>
  <c r="AQ392" i="11"/>
  <c r="U328" i="11"/>
  <c r="BC271" i="11"/>
  <c r="M408" i="11"/>
  <c r="AD422" i="11"/>
  <c r="BM421" i="11"/>
  <c r="AO413" i="11"/>
  <c r="BE429" i="11"/>
  <c r="BK298" i="11"/>
  <c r="BJ300" i="11"/>
  <c r="AI268" i="11"/>
  <c r="U299" i="11"/>
  <c r="BJ381" i="11"/>
  <c r="AW203" i="11"/>
  <c r="AW439" i="11"/>
  <c r="BG407" i="11"/>
  <c r="BL443" i="11"/>
  <c r="Q413" i="11"/>
  <c r="J211" i="11"/>
  <c r="AC299" i="11"/>
  <c r="Y317" i="11"/>
  <c r="AL245" i="11"/>
  <c r="AW310" i="11"/>
  <c r="BM374" i="11"/>
  <c r="AH204" i="11"/>
  <c r="AX283" i="11"/>
  <c r="BI347" i="11"/>
  <c r="AW318" i="11"/>
  <c r="AW406" i="11"/>
  <c r="BH327" i="11"/>
  <c r="BE260" i="11"/>
  <c r="AV262" i="11"/>
  <c r="BM318" i="11"/>
  <c r="X337" i="11"/>
  <c r="AV388" i="11"/>
  <c r="M214" i="11"/>
  <c r="BN325" i="11"/>
  <c r="AV249" i="11"/>
  <c r="BE216" i="11"/>
  <c r="AM375" i="11"/>
  <c r="AY445" i="11"/>
  <c r="AQ346" i="11"/>
  <c r="BJ295" i="11"/>
  <c r="BE324" i="11"/>
  <c r="N295" i="11"/>
  <c r="H241" i="11"/>
  <c r="Z248" i="11"/>
  <c r="AP391" i="11"/>
  <c r="AK323" i="11"/>
  <c r="AX380" i="11"/>
  <c r="AI279" i="11"/>
  <c r="AS282" i="11"/>
  <c r="M270" i="11"/>
  <c r="AB211" i="11"/>
  <c r="AN423" i="11"/>
  <c r="W256" i="11"/>
  <c r="BJ223" i="11"/>
  <c r="BJ448" i="11"/>
  <c r="R430" i="11"/>
  <c r="O449" i="11"/>
  <c r="AE447" i="11"/>
  <c r="AK456" i="11"/>
  <c r="BL415" i="11"/>
  <c r="BE380" i="11"/>
  <c r="AA249" i="11"/>
  <c r="Y419" i="11"/>
  <c r="AJ268" i="11"/>
  <c r="BE340" i="11"/>
  <c r="N430" i="11"/>
  <c r="AU217" i="11"/>
  <c r="H436" i="11"/>
  <c r="AA300" i="11"/>
  <c r="H344" i="11"/>
  <c r="C401" i="11"/>
  <c r="W274" i="11"/>
  <c r="BB272" i="11"/>
  <c r="AA436" i="11"/>
  <c r="AO431" i="11"/>
  <c r="BE430" i="11"/>
  <c r="S424" i="11"/>
  <c r="AW411" i="11"/>
  <c r="AD334" i="11"/>
  <c r="BF266" i="11"/>
  <c r="K216" i="11"/>
  <c r="W237" i="11"/>
  <c r="T384" i="11"/>
  <c r="AS419" i="11"/>
  <c r="AS261" i="11"/>
  <c r="BM227" i="11"/>
  <c r="Q401" i="11"/>
  <c r="C436" i="11"/>
  <c r="BG349" i="11"/>
  <c r="AJ341" i="11"/>
  <c r="V426" i="11"/>
  <c r="AN344" i="11"/>
  <c r="N280" i="11"/>
  <c r="BA263" i="11"/>
  <c r="K367" i="11"/>
  <c r="L274" i="11"/>
  <c r="H329" i="11"/>
  <c r="L278" i="11"/>
  <c r="AG277" i="11"/>
  <c r="AI341" i="11"/>
  <c r="T208" i="11"/>
  <c r="AS394" i="11"/>
  <c r="T351" i="11"/>
  <c r="AD387" i="11"/>
  <c r="BH388" i="11"/>
  <c r="K325" i="11"/>
  <c r="U379" i="11"/>
  <c r="BE227" i="11"/>
  <c r="X335" i="11"/>
  <c r="Y247" i="11"/>
  <c r="O307" i="11"/>
  <c r="AU239" i="11"/>
  <c r="AU297" i="11"/>
  <c r="AH452" i="11"/>
  <c r="BH337" i="11"/>
  <c r="BG266" i="11"/>
  <c r="V333" i="11"/>
  <c r="C254" i="11"/>
  <c r="L294" i="11"/>
  <c r="AU225" i="11"/>
  <c r="V405" i="11"/>
  <c r="BB392" i="11"/>
  <c r="AG252" i="11"/>
  <c r="AV420" i="11"/>
  <c r="S262" i="11"/>
  <c r="AB227" i="11"/>
  <c r="J358" i="11"/>
  <c r="P418" i="11"/>
  <c r="AQ408" i="11"/>
  <c r="BB296" i="11"/>
  <c r="BG419" i="11"/>
  <c r="Q256" i="11"/>
  <c r="AJ335" i="11"/>
  <c r="BH444" i="11"/>
  <c r="AZ210" i="11"/>
  <c r="AR375" i="11"/>
  <c r="N451" i="11"/>
  <c r="O453" i="11"/>
  <c r="H421" i="11"/>
  <c r="AE220" i="11"/>
  <c r="AZ265" i="11"/>
  <c r="BE229" i="11"/>
  <c r="AI386" i="11"/>
  <c r="AR439" i="11"/>
  <c r="AC426" i="11"/>
  <c r="X344" i="11"/>
  <c r="AJ251" i="11"/>
  <c r="BB214" i="11"/>
  <c r="AX278" i="11"/>
  <c r="AF418" i="11"/>
  <c r="O206" i="11"/>
  <c r="AH331" i="11"/>
  <c r="X217" i="11"/>
  <c r="AP261" i="11"/>
  <c r="S274" i="11"/>
  <c r="BC377" i="11"/>
  <c r="AD253" i="11"/>
  <c r="L432" i="11"/>
  <c r="BM369" i="11"/>
  <c r="AB315" i="11"/>
  <c r="G237" i="11"/>
  <c r="Z258" i="11"/>
  <c r="AK453" i="11"/>
  <c r="BD259" i="11"/>
  <c r="BK252" i="11"/>
  <c r="AC265" i="11"/>
  <c r="BC228" i="11"/>
  <c r="AR212" i="11"/>
  <c r="AD414" i="11"/>
  <c r="AT353" i="11"/>
  <c r="S255" i="11"/>
  <c r="AY272" i="11"/>
  <c r="BK444" i="11"/>
  <c r="AU436" i="11"/>
  <c r="M407" i="11"/>
  <c r="BI225" i="11"/>
  <c r="K349" i="11"/>
  <c r="BI412" i="11"/>
  <c r="U315" i="11"/>
  <c r="AO386" i="11"/>
  <c r="V367" i="11"/>
  <c r="AS441" i="11"/>
  <c r="Y450" i="11"/>
  <c r="H453" i="11"/>
  <c r="BF450" i="11"/>
  <c r="Y314" i="11"/>
  <c r="AE248" i="11"/>
  <c r="Y272" i="11"/>
  <c r="Z291" i="11"/>
  <c r="AZ450" i="11"/>
  <c r="AZ456" i="11"/>
  <c r="AU391" i="11"/>
  <c r="N250" i="11"/>
  <c r="BM427" i="11"/>
  <c r="O408" i="11"/>
  <c r="BH419" i="11"/>
  <c r="K311" i="11"/>
  <c r="K435" i="11"/>
  <c r="Q383" i="11"/>
  <c r="Y286" i="11"/>
  <c r="AD227" i="11"/>
  <c r="BF208" i="11"/>
  <c r="AF247" i="11"/>
  <c r="AU327" i="11"/>
  <c r="BC426" i="11"/>
  <c r="X221" i="11"/>
  <c r="AV341" i="11"/>
  <c r="AK219" i="11"/>
  <c r="AY281" i="11"/>
  <c r="Z426" i="11"/>
  <c r="Z234" i="11"/>
  <c r="AV234" i="11"/>
  <c r="BD215" i="11"/>
  <c r="AY362" i="11"/>
  <c r="S422" i="11"/>
  <c r="AF454" i="11"/>
  <c r="BB456" i="11"/>
  <c r="AT291" i="11"/>
  <c r="AG304" i="11"/>
  <c r="AT332" i="11"/>
  <c r="V302" i="11"/>
  <c r="L311" i="11"/>
  <c r="AJ242" i="11"/>
  <c r="BG332" i="11"/>
  <c r="R339" i="11"/>
  <c r="AC427" i="11"/>
  <c r="AE437" i="11"/>
  <c r="BE228" i="11"/>
  <c r="W233" i="11"/>
  <c r="K427" i="11"/>
  <c r="AO267" i="11"/>
  <c r="L368" i="11"/>
  <c r="BG330" i="11"/>
  <c r="AT345" i="11"/>
  <c r="AC252" i="11"/>
  <c r="BH205" i="11"/>
  <c r="L409" i="11"/>
  <c r="AV215" i="11"/>
  <c r="AD413" i="11"/>
  <c r="O293" i="11"/>
  <c r="BD276" i="11"/>
  <c r="AB306" i="11"/>
  <c r="AA435" i="11"/>
  <c r="K333" i="11"/>
  <c r="AE411" i="11"/>
  <c r="K206" i="11"/>
  <c r="BH446" i="11"/>
  <c r="AA321" i="11"/>
  <c r="H337" i="11"/>
  <c r="C434" i="11"/>
  <c r="AU291" i="11"/>
  <c r="AA428" i="11"/>
  <c r="K243" i="11"/>
  <c r="M416" i="11"/>
  <c r="AI237" i="11"/>
  <c r="BD262" i="11"/>
  <c r="C240" i="11"/>
  <c r="BI396" i="11"/>
  <c r="BG368" i="11"/>
  <c r="AV239" i="11"/>
  <c r="AM305" i="11"/>
  <c r="AG264" i="11"/>
  <c r="AO442" i="11"/>
  <c r="BJ344" i="11"/>
  <c r="BJ230" i="11"/>
  <c r="K283" i="11"/>
  <c r="AC271" i="11"/>
  <c r="V373" i="11"/>
  <c r="V229" i="11"/>
  <c r="M348" i="11"/>
  <c r="BJ263" i="11"/>
  <c r="BG236" i="11"/>
  <c r="BK224" i="11"/>
  <c r="H365" i="11"/>
  <c r="AW303" i="11"/>
  <c r="V257" i="11"/>
  <c r="BN212" i="11"/>
  <c r="AF336" i="11"/>
  <c r="AR378" i="11"/>
  <c r="U426" i="11"/>
  <c r="R344" i="11"/>
  <c r="Q411" i="11"/>
  <c r="Y342" i="11"/>
  <c r="BD442" i="11"/>
  <c r="M208" i="11"/>
  <c r="AS430" i="11"/>
  <c r="N425" i="11"/>
  <c r="AW366" i="11"/>
  <c r="AJ286" i="11"/>
  <c r="Q235" i="11"/>
  <c r="BE336" i="11"/>
  <c r="BE409" i="11"/>
  <c r="N354" i="11"/>
  <c r="X232" i="11"/>
  <c r="AN369" i="11"/>
  <c r="AG285" i="11"/>
  <c r="AH437" i="11"/>
  <c r="AU429" i="11"/>
  <c r="AJ373" i="11"/>
  <c r="Z440" i="11"/>
  <c r="N455" i="11"/>
  <c r="R395" i="11"/>
  <c r="AM209" i="11"/>
  <c r="AP204" i="11"/>
  <c r="AM210" i="11"/>
  <c r="K334" i="11"/>
  <c r="AY216" i="11"/>
  <c r="AT306" i="11"/>
  <c r="AG292" i="11"/>
  <c r="AX364" i="11"/>
  <c r="M241" i="11"/>
  <c r="R343" i="11"/>
  <c r="Q258" i="11"/>
  <c r="Z271" i="11"/>
  <c r="AZ228" i="11"/>
  <c r="AV308" i="11"/>
  <c r="S355" i="11"/>
  <c r="C274" i="11"/>
  <c r="P216" i="11"/>
  <c r="G310" i="11"/>
  <c r="W359" i="11"/>
  <c r="AP425" i="11"/>
  <c r="H431" i="11"/>
  <c r="BM365" i="11"/>
  <c r="AW341" i="11"/>
  <c r="V260" i="11"/>
  <c r="BI368" i="11"/>
  <c r="BC210" i="11"/>
  <c r="AY357" i="11"/>
  <c r="X244" i="11"/>
  <c r="AP361" i="11"/>
  <c r="BL339" i="11"/>
  <c r="BL252" i="11"/>
  <c r="AZ246" i="11"/>
  <c r="L292" i="11"/>
  <c r="N453" i="11"/>
  <c r="AQ454" i="11"/>
  <c r="H434" i="11"/>
  <c r="O412" i="11"/>
  <c r="BH291" i="11"/>
  <c r="AT312" i="11"/>
  <c r="Y414" i="11"/>
  <c r="AF439" i="11"/>
  <c r="AO359" i="11"/>
  <c r="X455" i="11"/>
  <c r="BI207" i="11"/>
  <c r="AD309" i="11"/>
  <c r="AE310" i="11"/>
  <c r="L218" i="11"/>
  <c r="AO321" i="11"/>
  <c r="J414" i="11"/>
  <c r="J263" i="11"/>
  <c r="S432" i="11"/>
  <c r="AU356" i="11"/>
  <c r="H271" i="11"/>
  <c r="AR394" i="11"/>
  <c r="AP384" i="11"/>
  <c r="O258" i="11"/>
  <c r="AE222" i="11"/>
  <c r="C252" i="11"/>
  <c r="J309" i="11"/>
  <c r="AK398" i="11"/>
  <c r="M352" i="11"/>
  <c r="AJ352" i="11"/>
  <c r="O306" i="11"/>
  <c r="AH270" i="11"/>
  <c r="I383" i="11"/>
  <c r="S328" i="11"/>
  <c r="X292" i="11"/>
  <c r="R206" i="11"/>
  <c r="AW279" i="11"/>
  <c r="AL210" i="11"/>
  <c r="BB418" i="11"/>
  <c r="AR251" i="11"/>
  <c r="V227" i="11"/>
  <c r="AT252" i="11"/>
  <c r="AA237" i="11"/>
  <c r="Q430" i="11"/>
  <c r="U411" i="11"/>
  <c r="AJ330" i="11"/>
  <c r="T238" i="11"/>
  <c r="AV279" i="11"/>
  <c r="AL275" i="11"/>
  <c r="BN319" i="11"/>
  <c r="AG373" i="11"/>
  <c r="J298" i="11"/>
  <c r="AH313" i="11"/>
  <c r="AT336" i="11"/>
  <c r="BL310" i="11"/>
  <c r="I397" i="11"/>
  <c r="AC363" i="11"/>
  <c r="AX287" i="11"/>
  <c r="G399" i="11"/>
  <c r="AP222" i="11"/>
  <c r="AA203" i="11"/>
  <c r="BL437" i="11"/>
  <c r="AR252" i="11"/>
  <c r="L427" i="11"/>
  <c r="Z410" i="11"/>
  <c r="AS224" i="11"/>
  <c r="AA314" i="11"/>
  <c r="AC340" i="11"/>
  <c r="AY419" i="11"/>
  <c r="AQ418" i="11"/>
  <c r="K320" i="11"/>
  <c r="AJ456" i="11"/>
  <c r="AV436" i="11"/>
  <c r="BK333" i="11"/>
  <c r="AW421" i="11"/>
  <c r="AQ381" i="11"/>
  <c r="AB248" i="11"/>
  <c r="K456" i="11"/>
  <c r="AB418" i="11"/>
  <c r="O336" i="11"/>
  <c r="AV251" i="11"/>
  <c r="Z395" i="11"/>
  <c r="Z427" i="11"/>
  <c r="O427" i="11"/>
  <c r="BL314" i="11"/>
  <c r="AE381" i="11"/>
  <c r="BL254" i="11"/>
  <c r="BC315" i="11"/>
  <c r="S344" i="11"/>
  <c r="S295" i="11"/>
  <c r="BE310" i="11"/>
  <c r="BD400" i="11"/>
  <c r="AA319" i="11"/>
  <c r="BJ216" i="11"/>
  <c r="I384" i="11"/>
  <c r="AK206" i="11"/>
  <c r="Q319" i="11"/>
  <c r="AW244" i="11"/>
  <c r="M244" i="11"/>
  <c r="BG261" i="11"/>
  <c r="AC368" i="11"/>
  <c r="BH420" i="11"/>
  <c r="AW238" i="11"/>
  <c r="AX212" i="11"/>
  <c r="AV305" i="11"/>
  <c r="I431" i="11"/>
  <c r="Q267" i="11"/>
  <c r="Q354" i="11"/>
  <c r="BF399" i="11"/>
  <c r="AK364" i="11"/>
  <c r="AY429" i="11"/>
  <c r="S237" i="11"/>
  <c r="BI364" i="11"/>
  <c r="BM310" i="11"/>
  <c r="AG354" i="11"/>
  <c r="AM232" i="11"/>
  <c r="AP407" i="11"/>
  <c r="Y409" i="11"/>
  <c r="BF218" i="11"/>
  <c r="X279" i="11"/>
  <c r="R371" i="11"/>
  <c r="BL436" i="11"/>
  <c r="AK367" i="11"/>
  <c r="AM451" i="11"/>
  <c r="AC270" i="11"/>
  <c r="AT456" i="11"/>
  <c r="R421" i="11"/>
  <c r="I454" i="11"/>
  <c r="V314" i="11"/>
  <c r="BH455" i="11"/>
  <c r="Q433" i="11"/>
  <c r="AP234" i="11"/>
  <c r="AF274" i="11"/>
  <c r="BD429" i="11"/>
  <c r="AE347" i="11"/>
  <c r="U362" i="11"/>
  <c r="BB447" i="11"/>
  <c r="S445" i="11"/>
  <c r="W450" i="11"/>
  <c r="Q296" i="11"/>
  <c r="N210" i="11"/>
  <c r="BD280" i="11"/>
  <c r="BG433" i="11"/>
  <c r="G434" i="11"/>
  <c r="T327" i="11"/>
  <c r="R363" i="11"/>
  <c r="Q362" i="11"/>
  <c r="V352" i="11"/>
  <c r="AR377" i="11"/>
  <c r="AT321" i="11"/>
  <c r="AL452" i="11"/>
  <c r="BM372" i="11"/>
  <c r="BI313" i="11"/>
  <c r="AD307" i="11"/>
  <c r="AQ279" i="11"/>
  <c r="AJ316" i="11"/>
  <c r="BH269" i="11"/>
  <c r="BD341" i="11"/>
  <c r="G334" i="11"/>
  <c r="AN238" i="11"/>
  <c r="AO310" i="11"/>
  <c r="AV268" i="11"/>
  <c r="P219" i="11"/>
  <c r="G271" i="11"/>
  <c r="AF308" i="11"/>
  <c r="H401" i="11"/>
  <c r="AB365" i="11"/>
  <c r="L378" i="11"/>
  <c r="BC415" i="11"/>
  <c r="AI366" i="11"/>
  <c r="AS256" i="11"/>
  <c r="AO453" i="11"/>
  <c r="AI259" i="11"/>
  <c r="AZ447" i="11"/>
  <c r="V416" i="11"/>
  <c r="AH444" i="11"/>
  <c r="BL204" i="11"/>
  <c r="AF212" i="11"/>
  <c r="AU447" i="11"/>
  <c r="BJ228" i="11"/>
  <c r="BE345" i="11"/>
  <c r="BE452" i="11"/>
  <c r="BN356" i="11"/>
  <c r="T338" i="11"/>
  <c r="BA432" i="11"/>
  <c r="BE205" i="11"/>
  <c r="BF426" i="11"/>
  <c r="T415" i="11"/>
  <c r="BK295" i="11"/>
  <c r="AK245" i="11"/>
  <c r="X237" i="11"/>
  <c r="AJ334" i="11"/>
  <c r="BK369" i="11"/>
  <c r="BH276" i="11"/>
  <c r="X228" i="11"/>
  <c r="BE213" i="11"/>
  <c r="BA215" i="11"/>
  <c r="AR367" i="11"/>
  <c r="AU346" i="11"/>
  <c r="BM285" i="11"/>
  <c r="AQ360" i="11"/>
  <c r="Q234" i="11"/>
  <c r="AL405" i="11"/>
  <c r="V319" i="11"/>
  <c r="AJ307" i="11"/>
  <c r="P383" i="11"/>
  <c r="V267" i="11"/>
  <c r="AI217" i="11"/>
  <c r="AQ233" i="11"/>
  <c r="AR449" i="11"/>
  <c r="H446" i="11"/>
  <c r="AF409" i="11"/>
  <c r="O264" i="11"/>
  <c r="BE235" i="11"/>
  <c r="H216" i="11"/>
  <c r="AD272" i="11"/>
  <c r="AF285" i="11"/>
  <c r="AY368" i="11"/>
  <c r="Z245" i="11"/>
  <c r="BC399" i="11"/>
  <c r="AN385" i="11"/>
  <c r="P320" i="11"/>
  <c r="AL257" i="11"/>
  <c r="BL329" i="11"/>
  <c r="V241" i="11"/>
  <c r="BH219" i="11"/>
  <c r="AZ301" i="11"/>
  <c r="AT449" i="11"/>
  <c r="R265" i="11"/>
  <c r="BC214" i="11"/>
  <c r="BE392" i="11"/>
  <c r="N311" i="11"/>
  <c r="Q402" i="11"/>
  <c r="BA274" i="11"/>
  <c r="Y289" i="11"/>
  <c r="I219" i="11"/>
  <c r="G212" i="11"/>
  <c r="BF216" i="11"/>
  <c r="AP358" i="11"/>
  <c r="V339" i="11"/>
  <c r="AT397" i="11"/>
  <c r="AD240" i="11"/>
  <c r="AX275" i="11"/>
  <c r="AL234" i="11"/>
  <c r="AA244" i="11"/>
  <c r="BI331" i="11"/>
  <c r="BJ447" i="11"/>
  <c r="G215" i="11"/>
  <c r="AW252" i="11"/>
  <c r="V375" i="11"/>
  <c r="O340" i="11"/>
  <c r="AA313" i="11"/>
  <c r="AJ321" i="11"/>
  <c r="I258" i="11"/>
  <c r="AR422" i="11"/>
  <c r="C310" i="11"/>
  <c r="AH356" i="11"/>
  <c r="AM332" i="11"/>
  <c r="BA242" i="11"/>
  <c r="BL301" i="11"/>
  <c r="AY398" i="11"/>
  <c r="Z252" i="11"/>
  <c r="AN317" i="11"/>
  <c r="T278" i="11"/>
  <c r="X284" i="11"/>
  <c r="AE264" i="11"/>
  <c r="BC255" i="11"/>
  <c r="AF226" i="11"/>
  <c r="S392" i="11"/>
  <c r="AC241" i="11"/>
  <c r="O238" i="11"/>
  <c r="AH223" i="11"/>
  <c r="BH254" i="11"/>
  <c r="W313" i="11"/>
  <c r="X230" i="11"/>
  <c r="V401" i="11"/>
  <c r="N409" i="11"/>
  <c r="T236" i="11"/>
  <c r="AV389" i="11"/>
  <c r="H243" i="11"/>
  <c r="S273" i="11"/>
  <c r="AU268" i="11"/>
  <c r="AW367" i="11"/>
  <c r="AY350" i="11"/>
  <c r="AL439" i="11"/>
  <c r="AE402" i="11"/>
  <c r="H311" i="11"/>
  <c r="AT283" i="11"/>
  <c r="BL405" i="11"/>
  <c r="BB372" i="11"/>
  <c r="W235" i="11"/>
  <c r="AL300" i="11"/>
  <c r="BC300" i="11"/>
  <c r="AW413" i="11"/>
  <c r="I280" i="11"/>
  <c r="AA348" i="11"/>
  <c r="Y330" i="11"/>
  <c r="AJ343" i="11"/>
  <c r="N234" i="11"/>
  <c r="BF213" i="11"/>
  <c r="AO277" i="11"/>
  <c r="T294" i="11"/>
  <c r="BB318" i="11"/>
  <c r="L291" i="11"/>
  <c r="BJ250" i="11"/>
  <c r="Y454" i="11"/>
  <c r="L431" i="11"/>
  <c r="P348" i="11"/>
  <c r="BG252" i="11"/>
  <c r="L277" i="11"/>
  <c r="T369" i="11"/>
  <c r="AO345" i="11"/>
  <c r="AN274" i="11"/>
  <c r="BH304" i="11"/>
  <c r="BI220" i="11"/>
  <c r="Y292" i="11"/>
  <c r="BB339" i="11"/>
  <c r="AT296" i="11"/>
  <c r="G390" i="11"/>
  <c r="AE404" i="11"/>
  <c r="BL225" i="11"/>
  <c r="AM383" i="11"/>
  <c r="AY346" i="11"/>
  <c r="AA315" i="11"/>
  <c r="AK392" i="11"/>
  <c r="AB263" i="11"/>
  <c r="BJ325" i="11"/>
  <c r="G216" i="11"/>
  <c r="BH278" i="11"/>
  <c r="Q320" i="11"/>
  <c r="AA312" i="11"/>
  <c r="BH272" i="11"/>
  <c r="AG274" i="11"/>
  <c r="AU354" i="11"/>
  <c r="AW374" i="11"/>
  <c r="U375" i="11"/>
  <c r="BJ330" i="11"/>
  <c r="AZ269" i="11"/>
  <c r="AW245" i="11"/>
  <c r="M359" i="11"/>
  <c r="AZ303" i="11"/>
  <c r="AD273" i="11"/>
  <c r="AP255" i="11"/>
  <c r="AG382" i="11"/>
  <c r="S217" i="11"/>
  <c r="BG222" i="11"/>
  <c r="C325" i="11"/>
  <c r="AQ244" i="11"/>
  <c r="K232" i="11"/>
  <c r="AW403" i="11"/>
  <c r="H260" i="11"/>
  <c r="AW264" i="11"/>
  <c r="BE231" i="11"/>
  <c r="AX239" i="11"/>
  <c r="S403" i="11"/>
  <c r="I213" i="11"/>
  <c r="AA307" i="11"/>
  <c r="U423" i="11"/>
  <c r="AX232" i="11"/>
  <c r="AQ238" i="11"/>
  <c r="W448" i="11"/>
  <c r="X396" i="11"/>
  <c r="BK390" i="11"/>
  <c r="AK217" i="11"/>
  <c r="O221" i="11"/>
  <c r="BM252" i="11"/>
  <c r="Y371" i="11"/>
  <c r="AO412" i="11"/>
  <c r="AI265" i="11"/>
  <c r="BL239" i="11"/>
  <c r="BL244" i="11"/>
  <c r="BE293" i="11"/>
  <c r="AL443" i="11"/>
  <c r="BM414" i="11"/>
  <c r="L215" i="11"/>
  <c r="AG300" i="11"/>
  <c r="U340" i="11"/>
  <c r="AC289" i="11"/>
  <c r="AM308" i="11"/>
  <c r="J440" i="11"/>
  <c r="M429" i="11"/>
  <c r="AK339" i="11"/>
  <c r="BE358" i="11"/>
  <c r="AK345" i="11"/>
  <c r="AH262" i="11"/>
  <c r="N226" i="11"/>
  <c r="AP338" i="11"/>
  <c r="AS363" i="11"/>
  <c r="AM234" i="11"/>
  <c r="AK304" i="11"/>
  <c r="AS371" i="11"/>
  <c r="BN300" i="11"/>
  <c r="O362" i="11"/>
  <c r="BA454" i="11"/>
  <c r="BD205" i="11"/>
  <c r="AP224" i="11"/>
  <c r="AR340" i="11"/>
  <c r="AD311" i="11"/>
  <c r="AW393" i="11"/>
  <c r="AZ328" i="11"/>
  <c r="X398" i="11"/>
  <c r="BM253" i="11"/>
  <c r="AZ231" i="11"/>
  <c r="AD384" i="11"/>
  <c r="AH382" i="11"/>
  <c r="AD255" i="11"/>
  <c r="BE382" i="11"/>
  <c r="BK266" i="11"/>
  <c r="AF217" i="11"/>
  <c r="AI299" i="11"/>
  <c r="BD284" i="11"/>
  <c r="AY265" i="11"/>
  <c r="BI219" i="11"/>
  <c r="AA267" i="11"/>
  <c r="AT370" i="11"/>
  <c r="BG304" i="11"/>
  <c r="I309" i="11"/>
  <c r="AG343" i="11"/>
  <c r="AW426" i="11"/>
  <c r="H345" i="11"/>
  <c r="G231" i="11"/>
  <c r="AR318" i="11"/>
  <c r="AG283" i="11"/>
  <c r="BA236" i="11"/>
  <c r="AT324" i="11"/>
  <c r="AL320" i="11"/>
  <c r="AC296" i="11"/>
  <c r="BH314" i="11"/>
  <c r="C209" i="11"/>
  <c r="G249" i="11"/>
  <c r="N257" i="11"/>
  <c r="AJ408" i="11"/>
  <c r="AA360" i="11"/>
  <c r="M353" i="11"/>
  <c r="X291" i="11"/>
  <c r="H235" i="11"/>
  <c r="AC391" i="11"/>
  <c r="BM325" i="11"/>
  <c r="W236" i="11"/>
  <c r="AX214" i="11"/>
  <c r="AI385" i="11"/>
  <c r="AP235" i="11"/>
  <c r="R361" i="11"/>
  <c r="I404" i="11"/>
  <c r="AF214" i="11"/>
  <c r="AM257" i="11"/>
  <c r="BH266" i="11"/>
  <c r="BK267" i="11"/>
  <c r="Y231" i="11"/>
  <c r="S220" i="11"/>
  <c r="I305" i="11"/>
  <c r="BN282" i="11"/>
  <c r="AI252" i="11"/>
  <c r="S214" i="11"/>
  <c r="AL209" i="11"/>
  <c r="BL412" i="11"/>
  <c r="AR447" i="11"/>
  <c r="T216" i="11"/>
  <c r="BI372" i="11"/>
  <c r="AP251" i="11"/>
  <c r="C277" i="11"/>
  <c r="C267" i="11"/>
  <c r="AV267" i="11"/>
  <c r="AF338" i="11"/>
  <c r="AP274" i="11"/>
  <c r="M252" i="11"/>
  <c r="BN298" i="11"/>
  <c r="AB390" i="11"/>
  <c r="AA280" i="11"/>
  <c r="AS447" i="11"/>
  <c r="I353" i="11"/>
  <c r="AC287" i="11"/>
  <c r="Y379" i="11"/>
  <c r="C268" i="11"/>
  <c r="AN224" i="11"/>
  <c r="U347" i="11"/>
  <c r="AN428" i="11"/>
  <c r="AD208" i="11"/>
  <c r="C443" i="11"/>
  <c r="AV292" i="11"/>
  <c r="BN338" i="11"/>
  <c r="C382" i="11"/>
  <c r="BG314" i="11"/>
  <c r="AV383" i="11"/>
  <c r="P403" i="11"/>
  <c r="AF284" i="11"/>
  <c r="AZ298" i="11"/>
  <c r="AA323" i="11"/>
  <c r="U448" i="11"/>
  <c r="Y323" i="11"/>
  <c r="AA400" i="11"/>
  <c r="AX370" i="11"/>
  <c r="AL364" i="11"/>
  <c r="BG233" i="11"/>
  <c r="AV225" i="11"/>
  <c r="AN280" i="11"/>
  <c r="AE322" i="11"/>
  <c r="AF373" i="11"/>
  <c r="N300" i="11"/>
  <c r="AD423" i="11"/>
  <c r="AN386" i="11"/>
  <c r="BG210" i="11"/>
  <c r="BI366" i="11"/>
  <c r="AM328" i="11"/>
  <c r="BA304" i="11"/>
  <c r="AY226" i="11"/>
  <c r="AP213" i="11"/>
  <c r="BB324" i="11"/>
  <c r="T306" i="11"/>
  <c r="AM359" i="11"/>
  <c r="BK317" i="11"/>
  <c r="BK204" i="11"/>
  <c r="AO221" i="11"/>
  <c r="AO231" i="11"/>
  <c r="AQ373" i="11"/>
  <c r="S408" i="11"/>
  <c r="AJ243" i="11"/>
  <c r="H228" i="11"/>
  <c r="BF250" i="11"/>
  <c r="AO282" i="11"/>
  <c r="O394" i="11"/>
  <c r="M238" i="11"/>
  <c r="AA205" i="11"/>
  <c r="AY264" i="11"/>
  <c r="I257" i="11"/>
  <c r="AI372" i="11"/>
  <c r="BL351" i="11"/>
  <c r="G348" i="11"/>
  <c r="AN212" i="11"/>
  <c r="AO268" i="11"/>
  <c r="J285" i="11"/>
  <c r="BL305" i="11"/>
  <c r="C426" i="11"/>
  <c r="AK327" i="11"/>
  <c r="AO382" i="11"/>
  <c r="AF278" i="11"/>
  <c r="AV371" i="11"/>
  <c r="Y254" i="11"/>
  <c r="C402" i="11"/>
  <c r="AE246" i="11"/>
  <c r="K390" i="11"/>
  <c r="Q285" i="11"/>
  <c r="J220" i="11"/>
  <c r="BL210" i="11"/>
  <c r="C410" i="11"/>
  <c r="Q407" i="11"/>
  <c r="O228" i="11"/>
  <c r="AG204" i="11"/>
  <c r="BM344" i="11"/>
  <c r="AF386" i="11"/>
  <c r="AR339" i="11"/>
  <c r="BM387" i="11"/>
  <c r="BJ416" i="11"/>
  <c r="AK370" i="11"/>
  <c r="AG430" i="11"/>
  <c r="AN421" i="11"/>
  <c r="AZ341" i="11"/>
  <c r="AK265" i="11"/>
  <c r="M337" i="11"/>
  <c r="AM286" i="11"/>
  <c r="BM341" i="11"/>
  <c r="S322" i="11"/>
  <c r="AJ398" i="11"/>
  <c r="AM241" i="11"/>
  <c r="AB370" i="11"/>
  <c r="AQ404" i="11"/>
  <c r="AD261" i="11"/>
  <c r="BA217" i="11"/>
  <c r="Q228" i="11"/>
  <c r="AS448" i="11"/>
  <c r="BB278" i="11"/>
  <c r="BG244" i="11"/>
  <c r="X315" i="11"/>
  <c r="AA256" i="11"/>
  <c r="AU399" i="11"/>
  <c r="BG208" i="11"/>
  <c r="AN434" i="11"/>
  <c r="BH318" i="11"/>
  <c r="BM342" i="11"/>
  <c r="Q302" i="11"/>
  <c r="O303" i="11"/>
  <c r="I271" i="11"/>
  <c r="AH296" i="11"/>
  <c r="J424" i="11"/>
  <c r="AS265" i="11"/>
  <c r="AK301" i="11"/>
  <c r="AQ295" i="11"/>
  <c r="BE321" i="11"/>
  <c r="AC360" i="11"/>
  <c r="AG243" i="11"/>
  <c r="AT416" i="11"/>
  <c r="O203" i="11"/>
  <c r="M299" i="11"/>
  <c r="AO207" i="11"/>
  <c r="H300" i="11"/>
  <c r="R313" i="11"/>
  <c r="BM345" i="11"/>
  <c r="BK441" i="11"/>
  <c r="BC256" i="11"/>
  <c r="AT317" i="11"/>
  <c r="AP349" i="11"/>
  <c r="BJ204" i="11"/>
  <c r="AR408" i="11"/>
  <c r="AI262" i="11"/>
  <c r="U285" i="11"/>
  <c r="BH430" i="11"/>
  <c r="C222" i="11"/>
  <c r="Z212" i="11"/>
  <c r="Z360" i="11"/>
  <c r="BC447" i="11"/>
  <c r="M397" i="11"/>
  <c r="G407" i="11"/>
  <c r="P424" i="11"/>
  <c r="AT445" i="11"/>
  <c r="BM433" i="11"/>
  <c r="BK413" i="11"/>
  <c r="BC234" i="11"/>
  <c r="Q250" i="11"/>
  <c r="BD221" i="11"/>
  <c r="I301" i="11"/>
  <c r="AQ224" i="11"/>
  <c r="C258" i="11"/>
  <c r="AK337" i="11"/>
  <c r="H213" i="11"/>
  <c r="W332" i="11"/>
  <c r="AO420" i="11"/>
  <c r="AR455" i="11"/>
  <c r="AF451" i="11"/>
  <c r="AZ261" i="11"/>
  <c r="AD236" i="11"/>
  <c r="AM330" i="11"/>
  <c r="AQ308" i="11"/>
  <c r="O414" i="11"/>
  <c r="AW371" i="11"/>
  <c r="Z447" i="11"/>
  <c r="S320" i="11"/>
  <c r="AT235" i="11"/>
  <c r="BN235" i="11"/>
  <c r="AK214" i="11"/>
  <c r="I447" i="11"/>
  <c r="P249" i="11"/>
  <c r="H283" i="11"/>
  <c r="AV273" i="11"/>
  <c r="AR379" i="11"/>
  <c r="BD253" i="11"/>
  <c r="L429" i="11"/>
  <c r="AP254" i="11"/>
  <c r="BJ431" i="11"/>
  <c r="K398" i="11"/>
  <c r="C389" i="11"/>
  <c r="M376" i="11"/>
  <c r="AS346" i="11"/>
  <c r="G335" i="11"/>
  <c r="BG370" i="11"/>
  <c r="N411" i="11"/>
  <c r="BG374" i="11"/>
  <c r="BG386" i="11"/>
  <c r="I435" i="11"/>
  <c r="K242" i="11"/>
  <c r="AI446" i="11"/>
  <c r="AG231" i="11"/>
  <c r="BL246" i="11"/>
  <c r="H296" i="11"/>
  <c r="M209" i="11"/>
  <c r="AT453" i="11"/>
  <c r="BM204" i="11"/>
  <c r="S244" i="11"/>
  <c r="X400" i="11"/>
  <c r="AH312" i="11"/>
  <c r="AN437" i="11"/>
  <c r="Y331" i="11"/>
  <c r="AU444" i="11"/>
  <c r="AJ346" i="11"/>
  <c r="H382" i="11"/>
  <c r="AW225" i="11"/>
  <c r="BM238" i="11"/>
  <c r="S311" i="11"/>
  <c r="AT230" i="11"/>
  <c r="BF300" i="11"/>
  <c r="BF245" i="11"/>
  <c r="BK297" i="11"/>
  <c r="AV229" i="11"/>
  <c r="AB252" i="11"/>
  <c r="H403" i="11"/>
  <c r="AN215" i="11"/>
  <c r="AK448" i="11"/>
  <c r="AD232" i="11"/>
  <c r="AU204" i="11"/>
  <c r="L258" i="11"/>
  <c r="BD211" i="11"/>
  <c r="AD218" i="11"/>
  <c r="BD270" i="11"/>
  <c r="J208" i="11"/>
  <c r="U272" i="11"/>
  <c r="BN279" i="11"/>
  <c r="AS281" i="11"/>
  <c r="BH277" i="11"/>
  <c r="AN261" i="11"/>
  <c r="G234" i="11"/>
  <c r="BB285" i="11"/>
  <c r="AR336" i="11"/>
  <c r="BJ361" i="11"/>
  <c r="J213" i="11"/>
  <c r="AX373" i="11"/>
  <c r="AN283" i="11"/>
  <c r="L334" i="11"/>
  <c r="U455" i="11"/>
  <c r="BM384" i="11"/>
  <c r="AV326" i="11"/>
  <c r="H420" i="11"/>
  <c r="AD421" i="11"/>
  <c r="AJ446" i="11"/>
  <c r="M332" i="11"/>
  <c r="S456" i="11"/>
  <c r="Q233" i="11"/>
  <c r="AI365" i="11"/>
  <c r="AC215" i="11"/>
  <c r="BJ294" i="11"/>
  <c r="R322" i="11"/>
  <c r="AK406" i="11"/>
  <c r="H268" i="11"/>
  <c r="BC321" i="11"/>
  <c r="AB363" i="11"/>
  <c r="K322" i="11"/>
  <c r="AJ225" i="11"/>
  <c r="AH419" i="11"/>
  <c r="AI422" i="11"/>
  <c r="BK323" i="11"/>
  <c r="Q238" i="11"/>
  <c r="Y377" i="11"/>
  <c r="AB416" i="11"/>
  <c r="AT414" i="11"/>
  <c r="P294" i="11"/>
  <c r="G283" i="11"/>
  <c r="AK280" i="11"/>
  <c r="L454" i="11"/>
  <c r="AD442" i="11"/>
  <c r="AZ449" i="11"/>
  <c r="BN259" i="11"/>
  <c r="AC245" i="11"/>
  <c r="U392" i="11"/>
  <c r="BB269" i="11"/>
  <c r="AT205" i="11"/>
  <c r="H293" i="11"/>
  <c r="J265" i="11"/>
  <c r="S407" i="11"/>
  <c r="W309" i="11"/>
  <c r="AQ453" i="11"/>
  <c r="BA324" i="11"/>
  <c r="BD305" i="11"/>
  <c r="BN355" i="11"/>
  <c r="Q339" i="11"/>
  <c r="R378" i="11"/>
  <c r="AS414" i="11"/>
  <c r="O243" i="11"/>
  <c r="BJ256" i="11"/>
  <c r="AE323" i="11"/>
  <c r="AR279" i="11"/>
  <c r="BM295" i="11"/>
  <c r="BB451" i="11"/>
  <c r="AT244" i="11"/>
  <c r="AB367" i="11"/>
  <c r="AF357" i="11"/>
  <c r="BL377" i="11"/>
  <c r="BF278" i="11"/>
  <c r="L281" i="11"/>
  <c r="C265" i="11"/>
  <c r="AT288" i="11"/>
  <c r="AA221" i="11"/>
  <c r="AH360" i="11"/>
  <c r="AM262" i="11"/>
  <c r="U303" i="11"/>
  <c r="R285" i="11"/>
  <c r="AZ346" i="11"/>
  <c r="AE320" i="11"/>
  <c r="AP360" i="11"/>
  <c r="AV282" i="11"/>
  <c r="X236" i="11"/>
  <c r="AW292" i="11"/>
  <c r="AI290" i="11"/>
  <c r="AH328" i="11"/>
  <c r="AO404" i="11"/>
  <c r="BL265" i="11"/>
  <c r="BB329" i="11"/>
  <c r="AN242" i="11"/>
  <c r="R289" i="11"/>
  <c r="C395" i="11"/>
  <c r="AZ387" i="11"/>
  <c r="BN227" i="11"/>
  <c r="BF384" i="11"/>
  <c r="AP285" i="11"/>
  <c r="AN246" i="11"/>
  <c r="J209" i="11"/>
  <c r="AU326" i="11"/>
  <c r="V364" i="11"/>
  <c r="Y305" i="11"/>
  <c r="AG454" i="11"/>
  <c r="N380" i="11"/>
  <c r="BJ436" i="11"/>
  <c r="AG365" i="11"/>
  <c r="AT211" i="11"/>
  <c r="N298" i="11"/>
  <c r="AR384" i="11"/>
  <c r="AO365" i="11"/>
  <c r="BH354" i="11"/>
  <c r="BJ303" i="11"/>
  <c r="AB397" i="11"/>
  <c r="H220" i="11"/>
  <c r="BE208" i="11"/>
  <c r="P256" i="11"/>
  <c r="AF403" i="11"/>
  <c r="C387" i="11"/>
  <c r="BI301" i="11"/>
  <c r="K285" i="11"/>
  <c r="BD301" i="11"/>
  <c r="I328" i="11"/>
  <c r="J408" i="11"/>
  <c r="N396" i="11"/>
  <c r="AY329" i="11"/>
  <c r="AM346" i="11"/>
  <c r="AH260" i="11"/>
  <c r="AS362" i="11"/>
  <c r="AL362" i="11"/>
  <c r="H393" i="11"/>
  <c r="BI295" i="11"/>
  <c r="BI428" i="11"/>
  <c r="AB231" i="11"/>
  <c r="O353" i="11"/>
  <c r="BL222" i="11"/>
  <c r="BJ439" i="11"/>
  <c r="Y251" i="11"/>
  <c r="C244" i="11"/>
  <c r="AB237" i="11"/>
  <c r="G357" i="11"/>
  <c r="AQ249" i="11"/>
  <c r="AE223" i="11"/>
  <c r="AF265" i="11"/>
  <c r="AL220" i="11"/>
  <c r="J302" i="11"/>
  <c r="AF304" i="11"/>
  <c r="O367" i="11"/>
  <c r="AF419" i="11"/>
  <c r="H207" i="11"/>
  <c r="BB298" i="11"/>
  <c r="AP297" i="11"/>
  <c r="BA384" i="11"/>
  <c r="AP227" i="11"/>
  <c r="BM406" i="11"/>
  <c r="AZ211" i="11"/>
  <c r="AK287" i="11"/>
  <c r="BM243" i="11"/>
  <c r="K339" i="11"/>
  <c r="L337" i="11"/>
  <c r="BJ346" i="11"/>
  <c r="AS305" i="11"/>
  <c r="AX405" i="11"/>
  <c r="BL280" i="11"/>
  <c r="AJ248" i="11"/>
  <c r="BL395" i="11"/>
  <c r="Z295" i="11"/>
  <c r="AH389" i="11"/>
  <c r="Z321" i="11"/>
  <c r="T406" i="11"/>
  <c r="Y315" i="11"/>
  <c r="BE246" i="11"/>
  <c r="AZ305" i="11"/>
  <c r="BL346" i="11"/>
  <c r="I304" i="11"/>
  <c r="BK403" i="11"/>
  <c r="BL360" i="11"/>
  <c r="Q295" i="11"/>
  <c r="R262" i="11"/>
  <c r="AZ321" i="11"/>
  <c r="N252" i="11"/>
  <c r="J362" i="11"/>
  <c r="AS334" i="11"/>
  <c r="AN338" i="11"/>
  <c r="BM324" i="11"/>
  <c r="BG209" i="11"/>
  <c r="G317" i="11"/>
  <c r="Y351" i="11"/>
  <c r="BC328" i="11"/>
  <c r="Z381" i="11"/>
  <c r="AH237" i="11"/>
  <c r="AT303" i="11"/>
  <c r="AT301" i="11"/>
  <c r="BH246" i="11"/>
  <c r="W351" i="11"/>
  <c r="AJ235" i="11"/>
  <c r="P259" i="11"/>
  <c r="J227" i="11"/>
  <c r="Y260" i="11"/>
  <c r="AZ342" i="11"/>
  <c r="AD205" i="11"/>
  <c r="AY330" i="11"/>
  <c r="BN252" i="11"/>
  <c r="BI359" i="11"/>
  <c r="BB287" i="11"/>
  <c r="BC336" i="11"/>
  <c r="R274" i="11"/>
  <c r="T281" i="11"/>
  <c r="Q314" i="11"/>
  <c r="BF407" i="11"/>
  <c r="AC420" i="11"/>
  <c r="AF291" i="11"/>
  <c r="AJ308" i="11"/>
  <c r="BJ358" i="11"/>
  <c r="V325" i="11"/>
  <c r="AK362" i="11"/>
  <c r="C311" i="11"/>
  <c r="AP317" i="11"/>
  <c r="AG287" i="11"/>
  <c r="AT356" i="11"/>
  <c r="BN322" i="11"/>
  <c r="AI316" i="11"/>
  <c r="BA308" i="11"/>
  <c r="N309" i="11"/>
  <c r="AF219" i="11"/>
  <c r="BE337" i="11"/>
  <c r="O318" i="11"/>
  <c r="K344" i="11"/>
  <c r="BH261" i="11"/>
  <c r="BM417" i="11"/>
  <c r="AY218" i="11"/>
  <c r="U302" i="11"/>
  <c r="AA260" i="11"/>
  <c r="AV210" i="11"/>
  <c r="AP344" i="11"/>
  <c r="I387" i="11"/>
  <c r="P225" i="11"/>
  <c r="O259" i="11"/>
  <c r="AD429" i="11"/>
  <c r="BE271" i="11"/>
  <c r="BN317" i="11"/>
  <c r="I369" i="11"/>
  <c r="BF273" i="11"/>
  <c r="AZ357" i="11"/>
  <c r="Q212" i="11"/>
  <c r="AW282" i="11"/>
  <c r="AV242" i="11"/>
  <c r="BM405" i="11"/>
  <c r="J322" i="11"/>
  <c r="BF405" i="11"/>
  <c r="AI391" i="11"/>
  <c r="BL228" i="11"/>
  <c r="AU255" i="11"/>
  <c r="O267" i="11"/>
  <c r="AH234" i="11"/>
  <c r="S346" i="11"/>
  <c r="BJ289" i="11"/>
  <c r="G236" i="11"/>
  <c r="BL402" i="11"/>
  <c r="AY390" i="11"/>
  <c r="AF246" i="11"/>
  <c r="AY365" i="11"/>
  <c r="BF333" i="11"/>
  <c r="N393" i="11"/>
  <c r="W346" i="11"/>
  <c r="AP330" i="11"/>
  <c r="BB284" i="11"/>
  <c r="AZ427" i="11"/>
  <c r="AX260" i="11"/>
  <c r="AS353" i="11"/>
  <c r="AB307" i="11"/>
  <c r="P307" i="11"/>
  <c r="BA235" i="11"/>
  <c r="BM269" i="11"/>
  <c r="BJ287" i="11"/>
  <c r="Q272" i="11"/>
  <c r="BG313" i="11"/>
  <c r="Q353" i="11"/>
  <c r="AC230" i="11"/>
  <c r="Q347" i="11"/>
  <c r="H234" i="11"/>
  <c r="C444" i="11"/>
  <c r="BE247" i="11"/>
  <c r="BN445" i="11"/>
  <c r="BK247" i="11"/>
  <c r="BF298" i="11"/>
  <c r="AX340" i="11"/>
  <c r="AU281" i="11"/>
  <c r="AG210" i="11"/>
  <c r="L354" i="11"/>
  <c r="P296" i="11"/>
  <c r="BB435" i="11"/>
  <c r="BC324" i="11"/>
  <c r="AG418" i="11"/>
  <c r="AM277" i="11"/>
  <c r="BC238" i="11"/>
  <c r="BD235" i="11"/>
  <c r="AN233" i="11"/>
  <c r="BF452" i="11"/>
  <c r="AH264" i="11"/>
  <c r="Y448" i="11"/>
  <c r="AD239" i="11"/>
  <c r="C238" i="11"/>
  <c r="AD361" i="11"/>
  <c r="Z438" i="11"/>
  <c r="L308" i="11"/>
  <c r="AD220" i="11"/>
  <c r="BB254" i="11"/>
  <c r="AQ310" i="11"/>
  <c r="AJ216" i="11"/>
  <c r="K235" i="11"/>
  <c r="BL296" i="11"/>
  <c r="AQ441" i="11"/>
  <c r="AA453" i="11"/>
  <c r="AN326" i="11"/>
  <c r="AF242" i="11"/>
  <c r="AH427" i="11"/>
  <c r="AK277" i="11"/>
  <c r="AX363" i="11"/>
  <c r="AC248" i="11"/>
  <c r="AW391" i="11"/>
  <c r="AU449" i="11"/>
  <c r="G452" i="11"/>
  <c r="AW420" i="11"/>
  <c r="AB330" i="11"/>
  <c r="BN238" i="11"/>
  <c r="BI267" i="11"/>
  <c r="AR421" i="11"/>
  <c r="BI454" i="11"/>
  <c r="AM297" i="11"/>
  <c r="L211" i="11"/>
  <c r="R226" i="11"/>
  <c r="BE203" i="11"/>
  <c r="BA307" i="11"/>
  <c r="AD308" i="11"/>
  <c r="BN209" i="11"/>
  <c r="AQ343" i="11"/>
  <c r="AR272" i="11"/>
  <c r="BH233" i="11"/>
  <c r="R253" i="11"/>
  <c r="BK235" i="11"/>
  <c r="BI456" i="11"/>
  <c r="Z269" i="11"/>
  <c r="Q208" i="11"/>
  <c r="BA230" i="11"/>
  <c r="AH429" i="11"/>
  <c r="V211" i="11"/>
  <c r="AL424" i="11"/>
  <c r="H304" i="11"/>
  <c r="N290" i="11"/>
  <c r="BN424" i="11"/>
  <c r="Q427" i="11"/>
  <c r="AN318" i="11"/>
  <c r="K354" i="11"/>
  <c r="AF248" i="11"/>
  <c r="AH285" i="11"/>
  <c r="AL295" i="11"/>
  <c r="AP366" i="11"/>
  <c r="BH417" i="11"/>
  <c r="AS326" i="11"/>
  <c r="AT440" i="11"/>
  <c r="AA229" i="11"/>
  <c r="AC294" i="11"/>
  <c r="AE439" i="11"/>
  <c r="M447" i="11"/>
  <c r="BA271" i="11"/>
  <c r="Y453" i="11"/>
  <c r="AO274" i="11"/>
  <c r="AU431" i="11"/>
  <c r="BE420" i="11"/>
  <c r="BI362" i="11"/>
  <c r="BM244" i="11"/>
  <c r="Z247" i="11"/>
  <c r="N244" i="11"/>
  <c r="AU401" i="11"/>
  <c r="BH317" i="11"/>
  <c r="AT391" i="11"/>
  <c r="BB453" i="11"/>
  <c r="AU214" i="11"/>
  <c r="I413" i="11"/>
  <c r="O417" i="11"/>
  <c r="AG271" i="11"/>
  <c r="G411" i="11"/>
  <c r="AT429" i="11"/>
  <c r="R434" i="11"/>
  <c r="V322" i="11"/>
  <c r="BH330" i="11"/>
  <c r="AQ236" i="11"/>
  <c r="AY276" i="11"/>
  <c r="AA384" i="11"/>
  <c r="AI327" i="11"/>
  <c r="AE280" i="11"/>
  <c r="AL385" i="11"/>
  <c r="P329" i="11"/>
  <c r="Z391" i="11"/>
  <c r="AG422" i="11"/>
  <c r="AG282" i="11"/>
  <c r="AD235" i="11"/>
  <c r="AX355" i="11"/>
  <c r="I443" i="11"/>
  <c r="V392" i="11"/>
  <c r="BJ373" i="11"/>
  <c r="BI256" i="11"/>
  <c r="M253" i="11"/>
  <c r="X366" i="11"/>
  <c r="AN399" i="11"/>
  <c r="AI390" i="11"/>
  <c r="AK212" i="11"/>
  <c r="AV241" i="11"/>
  <c r="T372" i="11"/>
  <c r="BM416" i="11"/>
  <c r="AY440" i="11"/>
  <c r="C241" i="11"/>
  <c r="O421" i="11"/>
  <c r="BI273" i="11"/>
  <c r="BJ304" i="11"/>
  <c r="K293" i="11"/>
  <c r="J267" i="11"/>
  <c r="I295" i="11"/>
  <c r="AL444" i="11"/>
  <c r="I237" i="11"/>
  <c r="K423" i="11"/>
  <c r="AL432" i="11"/>
  <c r="BI425" i="11"/>
  <c r="M328" i="11"/>
  <c r="AE305" i="11"/>
  <c r="BF203" i="11"/>
  <c r="AL329" i="11"/>
  <c r="V310" i="11"/>
  <c r="Y225" i="11"/>
  <c r="BA338" i="11"/>
  <c r="R426" i="11"/>
  <c r="AO293" i="11"/>
  <c r="AB407" i="11"/>
  <c r="Z441" i="11"/>
  <c r="AI339" i="11"/>
  <c r="BL423" i="11"/>
  <c r="AJ320" i="11"/>
  <c r="AS331" i="11"/>
  <c r="V234" i="11"/>
  <c r="Q207" i="11"/>
  <c r="AF245" i="11"/>
  <c r="Q423" i="11"/>
  <c r="L340" i="11"/>
  <c r="AG291" i="11"/>
  <c r="BC264" i="11"/>
  <c r="AU330" i="11"/>
  <c r="AW397" i="11"/>
  <c r="W338" i="11"/>
  <c r="BI445" i="11"/>
  <c r="AE451" i="11"/>
  <c r="AU293" i="11"/>
  <c r="BD232" i="11"/>
  <c r="AT441" i="11"/>
  <c r="BD204" i="11"/>
  <c r="P293" i="11"/>
  <c r="AP275" i="11"/>
  <c r="M211" i="11"/>
  <c r="R318" i="11"/>
  <c r="AX339" i="11"/>
  <c r="S233" i="11"/>
  <c r="O250" i="11"/>
  <c r="AH300" i="11"/>
  <c r="N327" i="11"/>
  <c r="AY240" i="11"/>
  <c r="AP451" i="11"/>
  <c r="V427" i="11"/>
  <c r="AH411" i="11"/>
  <c r="AZ438" i="11"/>
  <c r="P347" i="11"/>
  <c r="AQ304" i="11"/>
  <c r="J426" i="11"/>
  <c r="AQ259" i="11"/>
  <c r="Q434" i="11"/>
  <c r="AC235" i="11"/>
  <c r="AD262" i="11"/>
  <c r="N431" i="11"/>
  <c r="M350" i="11"/>
  <c r="X316" i="11"/>
  <c r="R337" i="11"/>
  <c r="AO304" i="11"/>
  <c r="U415" i="11"/>
  <c r="AD434" i="11"/>
  <c r="AA338" i="11"/>
  <c r="L419" i="11"/>
  <c r="BH313" i="11"/>
  <c r="G298" i="11"/>
  <c r="BH404" i="11"/>
  <c r="AO320" i="11"/>
  <c r="Z301" i="11"/>
  <c r="AH371" i="11"/>
  <c r="AX372" i="11"/>
  <c r="S235" i="11"/>
  <c r="Z256" i="11"/>
  <c r="AJ314" i="11"/>
  <c r="I247" i="11"/>
  <c r="AR317" i="11"/>
  <c r="BB297" i="11"/>
  <c r="AV209" i="11"/>
  <c r="AR265" i="11"/>
  <c r="BC358" i="11"/>
  <c r="BG425" i="11"/>
  <c r="AG266" i="11"/>
  <c r="AK426" i="11"/>
  <c r="T321" i="11"/>
  <c r="BK231" i="11"/>
  <c r="BE268" i="11"/>
  <c r="X386" i="11"/>
  <c r="AL217" i="11"/>
  <c r="W267" i="11"/>
  <c r="C334" i="11"/>
  <c r="S353" i="11"/>
  <c r="X258" i="11"/>
  <c r="BH324" i="11"/>
  <c r="BA347" i="11"/>
  <c r="X282" i="11"/>
  <c r="AV313" i="11"/>
  <c r="AJ255" i="11"/>
  <c r="G382" i="11"/>
  <c r="AE258" i="11"/>
  <c r="W385" i="11"/>
  <c r="AZ347" i="11"/>
  <c r="N240" i="11"/>
  <c r="W304" i="11"/>
  <c r="AG249" i="11"/>
  <c r="AE263" i="11"/>
  <c r="U242" i="11"/>
  <c r="J229" i="11"/>
  <c r="S343" i="11"/>
  <c r="Q279" i="11"/>
  <c r="AG288" i="11"/>
  <c r="J386" i="11"/>
  <c r="C326" i="11"/>
  <c r="AL284" i="11"/>
  <c r="BG247" i="11"/>
  <c r="AN250" i="11"/>
  <c r="AU358" i="11"/>
  <c r="AH318" i="11"/>
  <c r="BH315" i="11"/>
  <c r="AH284" i="11"/>
  <c r="AY237" i="11"/>
  <c r="AZ361" i="11"/>
  <c r="G337" i="11"/>
  <c r="AG322" i="11"/>
  <c r="U224" i="11"/>
  <c r="AW301" i="11"/>
  <c r="AC342" i="11"/>
  <c r="AE265" i="11"/>
  <c r="BN335" i="11"/>
  <c r="AD242" i="11"/>
  <c r="AJ327" i="11"/>
  <c r="AX331" i="11"/>
  <c r="AQ442" i="11"/>
  <c r="AF292" i="11"/>
  <c r="BD240" i="11"/>
  <c r="R287" i="11"/>
  <c r="AD224" i="11"/>
  <c r="BI399" i="11"/>
  <c r="AE336" i="11"/>
  <c r="BF338" i="11"/>
  <c r="W312" i="11"/>
  <c r="AT349" i="11"/>
  <c r="AF362" i="11"/>
  <c r="AU253" i="11"/>
  <c r="BJ352" i="11"/>
  <c r="BN368" i="11"/>
  <c r="R213" i="11"/>
  <c r="AJ395" i="11"/>
  <c r="K237" i="11"/>
  <c r="AF244" i="11"/>
  <c r="BH213" i="11"/>
  <c r="AS273" i="11"/>
  <c r="BM232" i="11"/>
  <c r="AX284" i="11"/>
  <c r="I377" i="11"/>
  <c r="BF289" i="11"/>
  <c r="W372" i="11"/>
  <c r="S387" i="11"/>
  <c r="AA372" i="11"/>
  <c r="AI380" i="11"/>
  <c r="AB213" i="11"/>
  <c r="AJ312" i="11"/>
  <c r="BK289" i="11"/>
  <c r="M263" i="11"/>
  <c r="BH448" i="11"/>
  <c r="X330" i="11"/>
  <c r="AA375" i="11"/>
  <c r="AB290" i="11"/>
  <c r="T309" i="11"/>
  <c r="AL382" i="11"/>
  <c r="J281" i="11"/>
  <c r="BK338" i="11"/>
  <c r="BM368" i="11"/>
  <c r="AW431" i="11"/>
  <c r="BG391" i="11"/>
  <c r="Q229" i="11"/>
  <c r="N228" i="11"/>
  <c r="BG299" i="11"/>
  <c r="AB448" i="11"/>
  <c r="M405" i="11"/>
  <c r="BB424" i="11"/>
  <c r="V288" i="11"/>
  <c r="BJ245" i="11"/>
  <c r="BI323" i="11"/>
  <c r="AX354" i="11"/>
  <c r="J275" i="11"/>
  <c r="AA271" i="11"/>
  <c r="BK248" i="11"/>
  <c r="AX276" i="11"/>
  <c r="X212" i="11"/>
  <c r="AA397" i="11"/>
  <c r="BA290" i="11"/>
  <c r="T209" i="11"/>
  <c r="AB207" i="11"/>
  <c r="W265" i="11"/>
  <c r="Z208" i="11"/>
  <c r="AA317" i="11"/>
  <c r="M402" i="11"/>
  <c r="R275" i="11"/>
  <c r="AT357" i="11"/>
  <c r="AB288" i="11"/>
  <c r="O236" i="11"/>
  <c r="BC306" i="11"/>
  <c r="Q455" i="11"/>
  <c r="Q275" i="11"/>
  <c r="C284" i="11"/>
  <c r="P425" i="11"/>
  <c r="AB312" i="11"/>
  <c r="S267" i="11"/>
  <c r="AW289" i="11"/>
  <c r="AT322" i="11"/>
  <c r="AD373" i="11"/>
  <c r="AQ231" i="11"/>
  <c r="BJ269" i="11"/>
  <c r="Q270" i="11"/>
  <c r="T212" i="11"/>
  <c r="AN305" i="11"/>
  <c r="AK256" i="11"/>
  <c r="AN316" i="11"/>
  <c r="AN225" i="11"/>
  <c r="BD289" i="11"/>
  <c r="R399" i="11"/>
  <c r="AO328" i="11"/>
  <c r="S374" i="11"/>
  <c r="AI282" i="11"/>
  <c r="T274" i="11"/>
  <c r="BN395" i="11"/>
  <c r="W281" i="11"/>
  <c r="BB290" i="11"/>
  <c r="L251" i="11"/>
  <c r="BB241" i="11"/>
  <c r="AV323" i="11"/>
  <c r="BF229" i="11"/>
  <c r="AD233" i="11"/>
  <c r="P384" i="11"/>
  <c r="L270" i="11"/>
  <c r="Z261" i="11"/>
  <c r="BB270" i="11"/>
  <c r="BI241" i="11"/>
  <c r="G369" i="11"/>
  <c r="L207" i="11"/>
  <c r="H317" i="11"/>
  <c r="AT254" i="11"/>
  <c r="T235" i="11"/>
  <c r="BM335" i="11"/>
  <c r="AN208" i="11"/>
  <c r="H280" i="11"/>
  <c r="AY318" i="11"/>
  <c r="U314" i="11"/>
  <c r="AX307" i="11"/>
  <c r="BJ307" i="11"/>
  <c r="AO247" i="11"/>
  <c r="Z324" i="11"/>
  <c r="AS405" i="11"/>
  <c r="AE252" i="11"/>
  <c r="BG216" i="11"/>
  <c r="AZ318" i="11"/>
  <c r="AO232" i="11"/>
  <c r="Z446" i="11"/>
  <c r="BH400" i="11"/>
  <c r="BH218" i="11"/>
  <c r="BF237" i="11"/>
  <c r="P222" i="11"/>
  <c r="BC258" i="11"/>
  <c r="V244" i="11"/>
  <c r="AQ240" i="11"/>
  <c r="G251" i="11"/>
  <c r="P340" i="11"/>
  <c r="AS212" i="11"/>
  <c r="AW229" i="11"/>
  <c r="AH291" i="11"/>
  <c r="N273" i="11"/>
  <c r="W318" i="11"/>
  <c r="H454" i="11"/>
  <c r="R379" i="11"/>
  <c r="Q269" i="11"/>
  <c r="AM341" i="11"/>
  <c r="AZ279" i="11"/>
  <c r="AJ213" i="11"/>
  <c r="BM348" i="11"/>
  <c r="AN270" i="11"/>
  <c r="AH359" i="11"/>
  <c r="AM315" i="11"/>
  <c r="AW418" i="11"/>
  <c r="S377" i="11"/>
  <c r="AL225" i="11"/>
  <c r="AX267" i="11"/>
  <c r="AI363" i="11"/>
  <c r="Y366" i="11"/>
  <c r="AY378" i="11"/>
  <c r="BN216" i="11"/>
  <c r="BG297" i="11"/>
  <c r="M363" i="11"/>
  <c r="T308" i="11"/>
  <c r="AZ215" i="11"/>
  <c r="G241" i="11"/>
  <c r="AR266" i="11"/>
  <c r="BA379" i="11"/>
  <c r="BH323" i="11"/>
  <c r="AQ328" i="11"/>
  <c r="S406" i="11"/>
  <c r="AQ379" i="11"/>
  <c r="AQ386" i="11"/>
  <c r="BA280" i="11"/>
  <c r="C407" i="11"/>
  <c r="G265" i="11"/>
  <c r="K317" i="11"/>
  <c r="G262" i="11"/>
  <c r="AS391" i="11"/>
  <c r="AJ273" i="11"/>
  <c r="BB212" i="11"/>
  <c r="X322" i="11"/>
  <c r="AL380" i="11"/>
  <c r="BF337" i="11"/>
  <c r="AN248" i="11"/>
  <c r="S270" i="11"/>
  <c r="AU276" i="11"/>
  <c r="S272" i="11"/>
  <c r="BM279" i="11"/>
  <c r="BF231" i="11"/>
  <c r="AB334" i="11"/>
  <c r="U245" i="11"/>
  <c r="P252" i="11"/>
  <c r="Z262" i="11"/>
  <c r="AK203" i="11"/>
  <c r="BG435" i="11"/>
  <c r="AU242" i="11"/>
  <c r="BA251" i="11"/>
  <c r="AS232" i="11"/>
  <c r="BJ270" i="11"/>
  <c r="AO452" i="11"/>
  <c r="U337" i="11"/>
  <c r="H433" i="11"/>
  <c r="K321" i="11"/>
  <c r="X311" i="11"/>
  <c r="AG262" i="11"/>
  <c r="AO372" i="11"/>
  <c r="AR262" i="11"/>
  <c r="Q281" i="11"/>
  <c r="J382" i="11"/>
  <c r="N288" i="11"/>
  <c r="W242" i="11"/>
  <c r="AG349" i="11"/>
  <c r="G352" i="11"/>
  <c r="W325" i="11"/>
  <c r="AR221" i="11"/>
  <c r="BK212" i="11"/>
  <c r="BD384" i="11"/>
  <c r="Y329" i="11"/>
  <c r="AH297" i="11"/>
  <c r="S300" i="11"/>
  <c r="BK435" i="11"/>
  <c r="AK402" i="11"/>
  <c r="V276" i="11"/>
  <c r="AE313" i="11"/>
  <c r="AF312" i="11"/>
  <c r="AX306" i="11"/>
  <c r="AL383" i="11"/>
  <c r="L284" i="11"/>
  <c r="R230" i="11"/>
  <c r="AT209" i="11"/>
  <c r="AP403" i="11"/>
  <c r="AB451" i="11"/>
  <c r="AO385" i="11"/>
  <c r="BN399" i="11"/>
  <c r="Y261" i="11"/>
  <c r="AH348" i="11"/>
  <c r="BA325" i="11"/>
  <c r="AJ455" i="11"/>
  <c r="H332" i="11"/>
  <c r="BI250" i="11"/>
  <c r="AU221" i="11"/>
  <c r="AE243" i="11"/>
  <c r="BN262" i="11"/>
  <c r="AN290" i="11"/>
  <c r="Y338" i="11"/>
  <c r="BJ321" i="11"/>
  <c r="Z307" i="11"/>
  <c r="AD306" i="11"/>
  <c r="Y375" i="11"/>
  <c r="T374" i="11"/>
  <c r="W248" i="11"/>
  <c r="AN295" i="11"/>
  <c r="AT282" i="11"/>
  <c r="AR402" i="11"/>
  <c r="AG359" i="11"/>
  <c r="AG452" i="11"/>
  <c r="W209" i="11"/>
  <c r="BD411" i="11"/>
  <c r="K309" i="11"/>
  <c r="AS303" i="11"/>
  <c r="BD348" i="11"/>
  <c r="BD219" i="11"/>
  <c r="AN213" i="11"/>
  <c r="AQ350" i="11"/>
  <c r="AH311" i="11"/>
  <c r="BD329" i="11"/>
  <c r="AC256" i="11"/>
  <c r="AQ258" i="11"/>
  <c r="AS396" i="11"/>
  <c r="AQ299" i="11"/>
  <c r="AE325" i="11"/>
  <c r="J333" i="11"/>
  <c r="X289" i="11"/>
  <c r="X370" i="11"/>
  <c r="V215" i="11"/>
  <c r="AV219" i="11"/>
  <c r="BN406" i="11"/>
  <c r="W272" i="11"/>
  <c r="AH246" i="11"/>
  <c r="BH299" i="11"/>
  <c r="AM298" i="11"/>
  <c r="BF285" i="11"/>
  <c r="BD321" i="11"/>
  <c r="AK390" i="11"/>
  <c r="P247" i="11"/>
  <c r="S266" i="11"/>
  <c r="C228" i="11"/>
  <c r="G324" i="11"/>
  <c r="V358" i="11"/>
  <c r="BN426" i="11"/>
  <c r="O456" i="11"/>
  <c r="AI375" i="11"/>
  <c r="AO425" i="11"/>
  <c r="BG431" i="11"/>
  <c r="AM401" i="11"/>
  <c r="BC331" i="11"/>
  <c r="C422" i="11"/>
  <c r="V440" i="11"/>
  <c r="AQ302" i="11"/>
  <c r="G432" i="11"/>
  <c r="AV304" i="11"/>
  <c r="P310" i="11"/>
  <c r="X411" i="11"/>
  <c r="AF250" i="11"/>
  <c r="BG288" i="11"/>
  <c r="BE252" i="11"/>
  <c r="AK306" i="11"/>
  <c r="P226" i="11"/>
  <c r="BM234" i="11"/>
  <c r="AW257" i="11"/>
  <c r="Q449" i="11"/>
  <c r="AE233" i="11"/>
  <c r="AS250" i="11"/>
  <c r="BL325" i="11"/>
  <c r="AM313" i="11"/>
  <c r="G437" i="11"/>
  <c r="BJ427" i="11"/>
  <c r="BD345" i="11"/>
  <c r="AV231" i="11"/>
  <c r="AO296" i="11"/>
  <c r="X274" i="11"/>
  <c r="BI443" i="11"/>
  <c r="BM334" i="11"/>
  <c r="Q204" i="11"/>
  <c r="T224" i="11"/>
  <c r="AF311" i="11"/>
  <c r="BB349" i="11"/>
  <c r="BI226" i="11"/>
  <c r="AU220" i="11"/>
  <c r="Q323" i="11"/>
  <c r="AW224" i="11"/>
  <c r="BA246" i="11"/>
  <c r="AN341" i="11"/>
  <c r="M362" i="11"/>
  <c r="T448" i="11"/>
  <c r="C425" i="11"/>
  <c r="AW261" i="11"/>
  <c r="O424" i="11"/>
  <c r="BM442" i="11"/>
  <c r="W427" i="11"/>
  <c r="C338" i="11"/>
  <c r="G284" i="11"/>
  <c r="L256" i="11"/>
  <c r="S416" i="11"/>
  <c r="BG393" i="11"/>
  <c r="Q393" i="11"/>
  <c r="AB292" i="11"/>
  <c r="BN365" i="11"/>
  <c r="AQ248" i="11"/>
  <c r="AX247" i="11"/>
  <c r="BH436" i="11"/>
  <c r="T365" i="11"/>
  <c r="AY418" i="11"/>
  <c r="AF211" i="11"/>
  <c r="AP337" i="11"/>
  <c r="AL422" i="11"/>
  <c r="O415" i="11"/>
  <c r="BC411" i="11"/>
  <c r="AO204" i="11"/>
  <c r="R320" i="11"/>
  <c r="L338" i="11"/>
  <c r="BE418" i="11"/>
  <c r="T425" i="11"/>
  <c r="BI248" i="11"/>
  <c r="AD257" i="11"/>
  <c r="BL320" i="11"/>
  <c r="N213" i="11"/>
  <c r="Q237" i="11"/>
  <c r="AX270" i="11"/>
  <c r="BH452" i="11"/>
  <c r="BH416" i="11"/>
  <c r="AV217" i="11"/>
  <c r="AC300" i="11"/>
  <c r="O305" i="11"/>
  <c r="I319" i="11"/>
  <c r="AJ233" i="11"/>
  <c r="AJ419" i="11"/>
  <c r="K226" i="11"/>
  <c r="AQ215" i="11"/>
  <c r="P250" i="11"/>
  <c r="AL291" i="11"/>
  <c r="AV298" i="11"/>
  <c r="AG433" i="11"/>
  <c r="AZ289" i="11"/>
  <c r="AS242" i="11"/>
  <c r="T234" i="11"/>
  <c r="AT413" i="11"/>
  <c r="I347" i="11"/>
  <c r="AM264" i="11"/>
  <c r="S329" i="11"/>
  <c r="AI343" i="11"/>
  <c r="N336" i="11"/>
  <c r="X260" i="11"/>
  <c r="C419" i="11"/>
  <c r="AY321" i="11"/>
  <c r="G421" i="11"/>
  <c r="AR320" i="11"/>
  <c r="BA303" i="11"/>
  <c r="AK297" i="11"/>
  <c r="AR454" i="11"/>
  <c r="BN377" i="11"/>
  <c r="S405" i="11"/>
  <c r="AW445" i="11"/>
  <c r="BA398" i="11"/>
  <c r="R452" i="11"/>
  <c r="AH218" i="11"/>
  <c r="AS339" i="11"/>
  <c r="BI280" i="11"/>
  <c r="I424" i="11"/>
  <c r="BA390" i="11"/>
  <c r="AZ207" i="11"/>
  <c r="G205" i="11"/>
  <c r="AS366" i="11"/>
  <c r="R299" i="11"/>
  <c r="AG357" i="11"/>
  <c r="AP380" i="11"/>
  <c r="AN456" i="11"/>
  <c r="AI426" i="11"/>
  <c r="AR330" i="11"/>
  <c r="AX300" i="11"/>
  <c r="R260" i="11"/>
  <c r="AR437" i="11"/>
  <c r="AO220" i="11"/>
  <c r="J295" i="11"/>
  <c r="AI360" i="11"/>
  <c r="AW284" i="11"/>
  <c r="AW313" i="11"/>
  <c r="BJ371" i="11"/>
  <c r="AJ451" i="11"/>
  <c r="BI446" i="11"/>
  <c r="BI254" i="11"/>
  <c r="Y221" i="11"/>
  <c r="N368" i="11"/>
  <c r="C388" i="11"/>
  <c r="AW273" i="11"/>
  <c r="V245" i="11"/>
  <c r="H284" i="11"/>
  <c r="T333" i="11"/>
  <c r="J259" i="11"/>
  <c r="J369" i="11"/>
  <c r="AY301" i="11"/>
  <c r="AW223" i="11"/>
  <c r="BE209" i="11"/>
  <c r="BI352" i="11"/>
  <c r="BL206" i="11"/>
  <c r="BC203" i="11"/>
  <c r="M323" i="11"/>
  <c r="AU420" i="11"/>
  <c r="BF304" i="11"/>
  <c r="BC308" i="11"/>
  <c r="BE456" i="11"/>
  <c r="U449" i="11"/>
  <c r="AU228" i="11"/>
  <c r="AW452" i="11"/>
  <c r="R439" i="11"/>
  <c r="AJ340" i="11"/>
  <c r="AP281" i="11"/>
  <c r="AR236" i="11"/>
  <c r="AU243" i="11"/>
  <c r="AV400" i="11"/>
  <c r="AO352" i="11"/>
  <c r="AD418" i="11"/>
  <c r="AU259" i="11"/>
  <c r="Y226" i="11"/>
  <c r="N220" i="11"/>
  <c r="AW294" i="11"/>
  <c r="AJ252" i="11"/>
  <c r="AR264" i="11"/>
  <c r="AN282" i="11"/>
  <c r="BE450" i="11"/>
  <c r="AX293" i="11"/>
  <c r="AH256" i="11"/>
  <c r="BF235" i="11"/>
  <c r="H399" i="11"/>
  <c r="AK440" i="11"/>
  <c r="BI302" i="11"/>
  <c r="AQ294" i="11"/>
  <c r="X278" i="11"/>
  <c r="V286" i="11"/>
  <c r="AP228" i="11"/>
  <c r="AJ351" i="11"/>
  <c r="AD310" i="11"/>
  <c r="AF243" i="11"/>
  <c r="N248" i="11"/>
  <c r="Z239" i="11"/>
  <c r="AJ223" i="11"/>
  <c r="Q410" i="11"/>
  <c r="L394" i="11"/>
  <c r="AC232" i="11"/>
  <c r="BI216" i="11"/>
  <c r="AO248" i="11"/>
  <c r="AM432" i="11"/>
  <c r="V216" i="11"/>
  <c r="BG305" i="11"/>
  <c r="BF226" i="11"/>
  <c r="BJ237" i="11"/>
  <c r="AS433" i="11"/>
  <c r="V377" i="11"/>
  <c r="BB215" i="11"/>
  <c r="AE374" i="11"/>
  <c r="AS285" i="11"/>
  <c r="AI344" i="11"/>
  <c r="G214" i="11"/>
  <c r="BN224" i="11"/>
  <c r="AQ271" i="11"/>
  <c r="V315" i="11"/>
  <c r="K220" i="11"/>
  <c r="M391" i="11"/>
  <c r="Y295" i="11"/>
  <c r="AR222" i="11"/>
  <c r="BL282" i="11"/>
  <c r="BD413" i="11"/>
  <c r="BG238" i="11"/>
  <c r="AT243" i="11"/>
  <c r="AL273" i="11"/>
  <c r="AJ349" i="11"/>
  <c r="AZ320" i="11"/>
  <c r="AP276" i="11"/>
  <c r="V275" i="11"/>
  <c r="V281" i="11"/>
  <c r="M343" i="11"/>
  <c r="K218" i="11"/>
  <c r="AA288" i="11"/>
  <c r="W280" i="11"/>
  <c r="BC244" i="11"/>
  <c r="P324" i="11"/>
  <c r="AH233" i="11"/>
  <c r="AN406" i="11"/>
  <c r="AQ355" i="11"/>
  <c r="AC223" i="11"/>
  <c r="AR246" i="11"/>
  <c r="AK353" i="11"/>
  <c r="V212" i="11"/>
  <c r="K388" i="11"/>
  <c r="W240" i="11"/>
  <c r="AF372" i="11"/>
  <c r="BF220" i="11"/>
  <c r="W352" i="11"/>
  <c r="AK315" i="11"/>
  <c r="BD352" i="11"/>
  <c r="AD333" i="11"/>
  <c r="AM267" i="11"/>
  <c r="AU282" i="11"/>
  <c r="Y300" i="11"/>
  <c r="AE405" i="11"/>
  <c r="AW335" i="11"/>
  <c r="BL323" i="11"/>
  <c r="AT233" i="11"/>
  <c r="W335" i="11"/>
  <c r="P237" i="11"/>
  <c r="AQ242" i="11"/>
  <c r="AG314" i="11"/>
  <c r="AS241" i="11"/>
  <c r="AP372" i="11"/>
  <c r="L395" i="11"/>
  <c r="U346" i="11"/>
  <c r="Y245" i="11"/>
  <c r="BA250" i="11"/>
  <c r="BK402" i="11"/>
  <c r="AO229" i="11"/>
  <c r="Q394" i="11"/>
  <c r="BD277" i="11"/>
  <c r="AI332" i="11"/>
  <c r="AD268" i="11"/>
  <c r="AL243" i="11"/>
  <c r="AT430" i="11"/>
  <c r="O400" i="11"/>
  <c r="AD300" i="11"/>
  <c r="BG306" i="11"/>
  <c r="K238" i="11"/>
  <c r="AS392" i="11"/>
  <c r="AR289" i="11"/>
  <c r="AX269" i="11"/>
  <c r="S394" i="11"/>
  <c r="I312" i="11"/>
  <c r="AU232" i="11"/>
  <c r="X238" i="11"/>
  <c r="AG286" i="11"/>
  <c r="AX349" i="11"/>
  <c r="S430" i="11"/>
  <c r="AE245" i="11"/>
  <c r="BK271" i="11"/>
  <c r="N325" i="11"/>
  <c r="AG237" i="11"/>
  <c r="AZ272" i="11"/>
  <c r="BM292" i="11"/>
  <c r="AI240" i="11"/>
  <c r="I261" i="11"/>
  <c r="AM340" i="11"/>
  <c r="AV236" i="11"/>
  <c r="Y357" i="11"/>
  <c r="Q306" i="11"/>
  <c r="AN247" i="11"/>
  <c r="BE308" i="11"/>
  <c r="AS229" i="11"/>
  <c r="AX226" i="11"/>
  <c r="BL273" i="11"/>
  <c r="AY366" i="11"/>
  <c r="AH286" i="11"/>
  <c r="AX338" i="11"/>
  <c r="AZ436" i="11"/>
  <c r="BE242" i="11"/>
  <c r="Q330" i="11"/>
  <c r="C295" i="11"/>
  <c r="M393" i="11"/>
  <c r="Y341" i="11"/>
  <c r="AY217" i="11"/>
  <c r="AY287" i="11"/>
  <c r="BG372" i="11"/>
  <c r="BG322" i="11"/>
  <c r="AG327" i="11"/>
  <c r="L363" i="11"/>
  <c r="W268" i="11"/>
  <c r="V311" i="11"/>
  <c r="X245" i="11"/>
  <c r="Z281" i="11"/>
  <c r="G280" i="11"/>
  <c r="Y223" i="11"/>
  <c r="AQ284" i="11"/>
  <c r="AO292" i="11"/>
  <c r="W357" i="11"/>
  <c r="BJ266" i="11"/>
  <c r="BE376" i="11"/>
  <c r="AM335" i="11"/>
  <c r="Y384" i="11"/>
  <c r="O262" i="11"/>
  <c r="BN286" i="11"/>
  <c r="U345" i="11"/>
  <c r="AE302" i="11"/>
  <c r="AR409" i="11"/>
  <c r="AE293" i="11"/>
  <c r="AJ336" i="11"/>
  <c r="AT408" i="11"/>
  <c r="AV311" i="11"/>
  <c r="AV374" i="11"/>
  <c r="S393" i="11"/>
  <c r="J336" i="11"/>
  <c r="AH229" i="11"/>
  <c r="AN443" i="11"/>
  <c r="H258" i="11"/>
  <c r="AA345" i="11"/>
  <c r="AL247" i="11"/>
  <c r="AQ208" i="11"/>
  <c r="BA383" i="11"/>
  <c r="BE269" i="11"/>
  <c r="AL279" i="11"/>
  <c r="G213" i="11"/>
  <c r="AO319" i="11"/>
  <c r="J383" i="11"/>
  <c r="AT241" i="11"/>
  <c r="U230" i="11"/>
  <c r="BI233" i="11"/>
  <c r="Q242" i="11"/>
  <c r="AZ287" i="11"/>
  <c r="AK302" i="11"/>
  <c r="AF370" i="11"/>
  <c r="BI284" i="11"/>
  <c r="H254" i="11"/>
  <c r="AD284" i="11"/>
  <c r="BF355" i="11"/>
  <c r="L298" i="11"/>
  <c r="I446" i="11"/>
  <c r="V214" i="11"/>
  <c r="AC244" i="11"/>
  <c r="R302" i="11"/>
  <c r="T391" i="11"/>
  <c r="AW323" i="11"/>
  <c r="X280" i="11"/>
  <c r="P285" i="11"/>
  <c r="BA219" i="11"/>
  <c r="S215" i="11"/>
  <c r="P221" i="11"/>
  <c r="AD278" i="11"/>
  <c r="AZ230" i="11"/>
  <c r="U364" i="11"/>
  <c r="AR342" i="11"/>
  <c r="AD234" i="11"/>
  <c r="BH355" i="11"/>
  <c r="BL358" i="11"/>
  <c r="G341" i="11"/>
  <c r="AF383" i="11"/>
  <c r="BE272" i="11"/>
  <c r="AB388" i="11"/>
  <c r="BF271" i="11"/>
  <c r="AY252" i="11"/>
  <c r="AZ408" i="11"/>
  <c r="AT325" i="11"/>
  <c r="AH315" i="11"/>
  <c r="I364" i="11"/>
  <c r="G269" i="11"/>
  <c r="BJ233" i="11"/>
  <c r="AA275" i="11"/>
  <c r="T402" i="11"/>
  <c r="AV288" i="11"/>
  <c r="AG399" i="11"/>
  <c r="AO421" i="11"/>
  <c r="Q221" i="11"/>
  <c r="BK265" i="11"/>
  <c r="AH209" i="11"/>
  <c r="Z394" i="11"/>
  <c r="AE326" i="11"/>
  <c r="T379" i="11"/>
  <c r="BK246" i="11"/>
  <c r="BM377" i="11"/>
  <c r="L259" i="11"/>
  <c r="V284" i="11"/>
  <c r="BG275" i="11"/>
  <c r="BI300" i="11"/>
  <c r="BD241" i="11"/>
  <c r="Z286" i="11"/>
  <c r="Z214" i="11"/>
  <c r="I285" i="11"/>
  <c r="AP212" i="11"/>
  <c r="BI276" i="11"/>
  <c r="AS249" i="11"/>
  <c r="AY319" i="11"/>
  <c r="J366" i="11"/>
  <c r="AF348" i="11"/>
  <c r="BK337" i="11"/>
  <c r="BA227" i="11"/>
  <c r="AR256" i="11"/>
  <c r="AR345" i="11"/>
  <c r="BB211" i="11"/>
  <c r="AE228" i="11"/>
  <c r="T211" i="11"/>
  <c r="S241" i="11"/>
  <c r="AY358" i="11"/>
  <c r="BH285" i="11"/>
  <c r="BN243" i="11"/>
  <c r="X358" i="11"/>
  <c r="AK374" i="11"/>
  <c r="G371" i="11"/>
  <c r="AL212" i="11"/>
  <c r="BC342" i="11"/>
  <c r="AB250" i="11"/>
  <c r="V379" i="11"/>
  <c r="AE455" i="11"/>
  <c r="AD321" i="11"/>
  <c r="AW306" i="11"/>
  <c r="AL214" i="11"/>
  <c r="BJ326" i="11"/>
  <c r="L229" i="11"/>
  <c r="P257" i="11"/>
  <c r="Q292" i="11"/>
  <c r="BA262" i="11"/>
  <c r="BC374" i="11"/>
  <c r="O314" i="11"/>
  <c r="AO226" i="11"/>
  <c r="N222" i="11"/>
  <c r="AH410" i="11"/>
  <c r="AA359" i="11"/>
  <c r="W277" i="11"/>
  <c r="BM375" i="11"/>
  <c r="T385" i="11"/>
  <c r="BG359" i="11"/>
  <c r="AO311" i="11"/>
  <c r="AS349" i="11"/>
  <c r="AP340" i="11"/>
  <c r="AY245" i="11"/>
  <c r="AC366" i="11"/>
  <c r="AM204" i="11"/>
  <c r="K221" i="11"/>
  <c r="BI247" i="11"/>
  <c r="C317" i="11"/>
  <c r="AA232" i="11"/>
  <c r="AY211" i="11"/>
  <c r="BC376" i="11"/>
  <c r="BN347" i="11"/>
  <c r="O321" i="11"/>
  <c r="BD349" i="11"/>
  <c r="M279" i="11"/>
  <c r="J206" i="11"/>
  <c r="BA255" i="11"/>
  <c r="AR348" i="11"/>
  <c r="M303" i="11"/>
  <c r="BJ291" i="11"/>
  <c r="AC250" i="11"/>
  <c r="AB309" i="11"/>
  <c r="BN223" i="11"/>
  <c r="AP258" i="11"/>
  <c r="BE399" i="11"/>
  <c r="AV315" i="11"/>
  <c r="N424" i="11"/>
  <c r="K422" i="11"/>
  <c r="Y307" i="11"/>
  <c r="O266" i="11"/>
  <c r="AO356" i="11"/>
  <c r="BH312" i="11"/>
  <c r="AC436" i="11"/>
  <c r="W226" i="11"/>
  <c r="U341" i="11"/>
  <c r="V290" i="11"/>
  <c r="AU319" i="11"/>
  <c r="AL388" i="11"/>
  <c r="AN350" i="11"/>
  <c r="W216" i="11"/>
  <c r="C286" i="11"/>
  <c r="BM412" i="11"/>
  <c r="AK372" i="11"/>
  <c r="BI206" i="11"/>
  <c r="Q322" i="11"/>
  <c r="AN293" i="11"/>
  <c r="AK375" i="11"/>
  <c r="AE414" i="11"/>
  <c r="AX227" i="11"/>
  <c r="AX389" i="11"/>
  <c r="AR334" i="11"/>
  <c r="M409" i="11"/>
  <c r="T387" i="11"/>
  <c r="AT455" i="11"/>
  <c r="AO410" i="11"/>
  <c r="Y239" i="11"/>
  <c r="BM331" i="11"/>
  <c r="BB225" i="11"/>
  <c r="L430" i="11"/>
  <c r="AH392" i="11"/>
  <c r="AY383" i="11"/>
  <c r="AS234" i="11"/>
  <c r="BK301" i="11"/>
  <c r="AA252" i="11"/>
  <c r="I267" i="11"/>
  <c r="AS292" i="11"/>
  <c r="Z412" i="11"/>
  <c r="AV447" i="11"/>
  <c r="BH249" i="11"/>
  <c r="BK294" i="11"/>
  <c r="AB374" i="11"/>
  <c r="O205" i="11"/>
  <c r="AP218" i="11"/>
  <c r="P394" i="11"/>
  <c r="BE313" i="11"/>
  <c r="AV227" i="11"/>
  <c r="AW233" i="11"/>
  <c r="AG408" i="11"/>
  <c r="AU433" i="11"/>
  <c r="N239" i="11"/>
  <c r="AH287" i="11"/>
  <c r="AI294" i="11"/>
  <c r="I220" i="11"/>
  <c r="AV248" i="11"/>
  <c r="AR325" i="11"/>
  <c r="N227" i="11"/>
  <c r="W263" i="11"/>
  <c r="BB331" i="11"/>
  <c r="AL394" i="11"/>
  <c r="I268" i="11"/>
  <c r="AO339" i="11"/>
  <c r="AE408" i="11"/>
  <c r="BJ418" i="11"/>
  <c r="BA422" i="11"/>
  <c r="AN253" i="11"/>
  <c r="M401" i="11"/>
  <c r="BF275" i="11"/>
  <c r="AR213" i="11"/>
  <c r="M439" i="11"/>
  <c r="U298" i="11"/>
  <c r="BJ246" i="11"/>
  <c r="V414" i="11"/>
  <c r="AY307" i="11"/>
  <c r="U257" i="11"/>
  <c r="BK357" i="11"/>
  <c r="AM285" i="11"/>
  <c r="S429" i="11"/>
  <c r="AW258" i="11"/>
  <c r="AI231" i="11"/>
  <c r="AI362" i="11"/>
  <c r="Z425" i="11"/>
  <c r="AX442" i="11"/>
  <c r="W314" i="11"/>
  <c r="AW227" i="11"/>
  <c r="Y447" i="11"/>
  <c r="O249" i="11"/>
  <c r="AT285" i="11"/>
  <c r="AK276" i="11"/>
  <c r="AY234" i="11"/>
  <c r="O375" i="11"/>
  <c r="BE265" i="11"/>
  <c r="AL285" i="11"/>
  <c r="K362" i="11"/>
  <c r="AA273" i="11"/>
  <c r="BA362" i="11"/>
  <c r="AD445" i="11"/>
  <c r="V297" i="11"/>
  <c r="AU371" i="11"/>
  <c r="BK211" i="11"/>
  <c r="AP318" i="11"/>
  <c r="C264" i="11"/>
  <c r="O455" i="11"/>
  <c r="AH340" i="11"/>
  <c r="AE341" i="11"/>
  <c r="BA259" i="11"/>
  <c r="BA267" i="11"/>
  <c r="V265" i="11"/>
  <c r="BA365" i="11"/>
  <c r="BF441" i="11"/>
  <c r="V279" i="11"/>
  <c r="I231" i="11"/>
  <c r="W322" i="11"/>
  <c r="V313" i="11"/>
  <c r="BD358" i="11"/>
  <c r="Q391" i="11"/>
  <c r="U267" i="11"/>
  <c r="AV348" i="11"/>
  <c r="AS395" i="11"/>
  <c r="K314" i="11"/>
  <c r="I256" i="11"/>
  <c r="R235" i="11"/>
  <c r="AI275" i="11"/>
  <c r="BN301" i="11"/>
  <c r="X423" i="11"/>
  <c r="AE444" i="11"/>
  <c r="BC435" i="11"/>
  <c r="BH281" i="11"/>
  <c r="AN422" i="11"/>
  <c r="T305" i="11"/>
  <c r="BA427" i="11"/>
  <c r="AZ243" i="11"/>
  <c r="X443" i="11"/>
  <c r="T411" i="11"/>
  <c r="AU257" i="11"/>
  <c r="P446" i="11"/>
  <c r="C218" i="11"/>
  <c r="W447" i="11"/>
  <c r="M262" i="11"/>
  <c r="O402" i="11"/>
  <c r="BL440" i="11"/>
  <c r="BN240" i="11"/>
  <c r="AJ452" i="11"/>
  <c r="BB234" i="11"/>
  <c r="AX261" i="11"/>
  <c r="BM275" i="11"/>
  <c r="P206" i="11"/>
  <c r="AG451" i="11"/>
  <c r="L280" i="11"/>
  <c r="M268" i="11"/>
  <c r="C227" i="11"/>
  <c r="AL278" i="11"/>
  <c r="AY448" i="11"/>
  <c r="BM353" i="11"/>
  <c r="P333" i="11"/>
  <c r="N312" i="11"/>
  <c r="M221" i="11"/>
  <c r="AI423" i="11"/>
  <c r="Y446" i="11"/>
  <c r="BA252" i="11"/>
  <c r="BF329" i="11"/>
  <c r="AU412" i="11"/>
  <c r="M302" i="11"/>
  <c r="AC404" i="11"/>
  <c r="BI392" i="11"/>
  <c r="AU344" i="11"/>
  <c r="AP291" i="11"/>
  <c r="AK229" i="11"/>
  <c r="H418" i="11"/>
  <c r="BE386" i="11"/>
  <c r="BK437" i="11"/>
  <c r="R454" i="11"/>
  <c r="AF307" i="11"/>
  <c r="AK221" i="11"/>
  <c r="I407" i="11"/>
  <c r="BK306" i="11"/>
  <c r="P204" i="11"/>
  <c r="L453" i="11"/>
  <c r="AX358" i="11"/>
  <c r="H323" i="11"/>
  <c r="M372" i="11"/>
  <c r="M373" i="11"/>
  <c r="AS312" i="11"/>
  <c r="AP206" i="11"/>
  <c r="AK395" i="11"/>
  <c r="AN408" i="11"/>
  <c r="BB206" i="11"/>
  <c r="AH391" i="11"/>
  <c r="BC291" i="11"/>
  <c r="N230" i="11"/>
  <c r="S332" i="11"/>
  <c r="AE362" i="11"/>
  <c r="T364" i="11"/>
  <c r="BD322" i="11"/>
  <c r="AL256" i="11"/>
  <c r="AX271" i="11"/>
  <c r="Q241" i="11"/>
  <c r="AF394" i="11"/>
  <c r="AG321" i="11"/>
  <c r="BE245" i="11"/>
  <c r="AD259" i="11"/>
  <c r="BN208" i="11"/>
  <c r="AP264" i="11"/>
  <c r="BL375" i="11"/>
  <c r="BI285" i="11"/>
  <c r="AH379" i="11"/>
  <c r="BG309" i="11"/>
  <c r="AR319" i="11"/>
  <c r="AI251" i="11"/>
  <c r="Q380" i="11"/>
  <c r="U236" i="11"/>
  <c r="AO261" i="11"/>
  <c r="P203" i="11"/>
  <c r="Q227" i="11"/>
  <c r="Q384" i="11"/>
  <c r="BN250" i="11"/>
  <c r="BB267" i="11"/>
  <c r="N398" i="11"/>
  <c r="AZ241" i="11"/>
  <c r="AT375" i="11"/>
  <c r="AW251" i="11"/>
  <c r="AK321" i="11"/>
  <c r="AR417" i="11"/>
  <c r="H427" i="11"/>
  <c r="BI388" i="11"/>
  <c r="BJ239" i="11"/>
  <c r="V408" i="11"/>
  <c r="BF254" i="11"/>
  <c r="R268" i="11"/>
  <c r="I408" i="11"/>
  <c r="X373" i="11"/>
  <c r="Z420" i="11"/>
  <c r="BG356" i="11"/>
  <c r="W232" i="11"/>
  <c r="N255" i="11"/>
  <c r="AA248" i="11"/>
  <c r="BH410" i="11"/>
  <c r="BD420" i="11"/>
  <c r="W223" i="11"/>
  <c r="Z341" i="11"/>
  <c r="BL221" i="11"/>
  <c r="BK320" i="11"/>
  <c r="AH275" i="11"/>
  <c r="BB255" i="11"/>
  <c r="K271" i="11"/>
  <c r="AK207" i="11"/>
  <c r="BB375" i="11"/>
  <c r="Q435" i="11"/>
  <c r="U350" i="11"/>
  <c r="BK354" i="11"/>
  <c r="AV343" i="11"/>
  <c r="AM310" i="11"/>
  <c r="BH262" i="11"/>
  <c r="O386" i="11"/>
  <c r="T302" i="11"/>
  <c r="AN303" i="11"/>
  <c r="AF218" i="11"/>
  <c r="AZ399" i="11"/>
  <c r="R282" i="11"/>
  <c r="Z330" i="11"/>
  <c r="BF398" i="11"/>
  <c r="BH389" i="11"/>
  <c r="AJ303" i="11"/>
  <c r="P234" i="11"/>
  <c r="N296" i="11"/>
  <c r="BB333" i="11"/>
  <c r="G307" i="11"/>
  <c r="AL377" i="11"/>
  <c r="AE352" i="11"/>
  <c r="AX348" i="11"/>
  <c r="H233" i="11"/>
  <c r="AO295" i="11"/>
  <c r="AY453" i="11"/>
  <c r="AP342" i="11"/>
  <c r="BA363" i="11"/>
  <c r="BE347" i="11"/>
  <c r="AT373" i="11"/>
  <c r="N265" i="11"/>
  <c r="AA218" i="11"/>
  <c r="AD326" i="11"/>
  <c r="V306" i="11"/>
  <c r="AC382" i="11"/>
  <c r="BK262" i="11"/>
  <c r="AH232" i="11"/>
  <c r="BE387" i="11"/>
  <c r="AM223" i="11"/>
  <c r="S249" i="11"/>
  <c r="AE438" i="11"/>
  <c r="U312" i="11"/>
  <c r="BM203" i="11"/>
  <c r="AZ382" i="11"/>
  <c r="BA305" i="11"/>
  <c r="AV362" i="11"/>
  <c r="Q305" i="11"/>
  <c r="BF299" i="11"/>
  <c r="U320" i="11"/>
  <c r="AM269" i="11"/>
  <c r="P426" i="11"/>
  <c r="AK293" i="11"/>
  <c r="BF251" i="11"/>
  <c r="U225" i="11"/>
  <c r="AT297" i="11"/>
  <c r="P322" i="11"/>
  <c r="BN290" i="11"/>
  <c r="BF277" i="11"/>
  <c r="AO287" i="11"/>
  <c r="N415" i="11"/>
  <c r="BL235" i="11"/>
  <c r="AM406" i="11"/>
  <c r="AB277" i="11"/>
  <c r="AC277" i="11"/>
  <c r="V210" i="11"/>
  <c r="BD271" i="11"/>
  <c r="AO357" i="11"/>
  <c r="AK278" i="11"/>
  <c r="BL355" i="11"/>
  <c r="BL238" i="11"/>
  <c r="AM213" i="11"/>
  <c r="AM274" i="11"/>
  <c r="BG307" i="11"/>
  <c r="BL313" i="11"/>
  <c r="AS307" i="11"/>
  <c r="AE378" i="11"/>
  <c r="BM213" i="11"/>
  <c r="R307" i="11"/>
  <c r="AC262" i="11"/>
  <c r="AO322" i="11"/>
  <c r="I299" i="11"/>
  <c r="BI385" i="11"/>
  <c r="AL309" i="11"/>
  <c r="AX317" i="11"/>
  <c r="BL343" i="11"/>
  <c r="AT387" i="11"/>
  <c r="AV276" i="11"/>
  <c r="AC406" i="11"/>
  <c r="AT269" i="11"/>
  <c r="BC301" i="11"/>
  <c r="AD406" i="11"/>
  <c r="J347" i="11"/>
  <c r="AG223" i="11"/>
  <c r="AC376" i="11"/>
  <c r="BN229" i="11"/>
  <c r="N229" i="11"/>
  <c r="BF240" i="11"/>
  <c r="BD395" i="11"/>
  <c r="BB332" i="11"/>
  <c r="I277" i="11"/>
  <c r="T304" i="11"/>
  <c r="AL219" i="11"/>
  <c r="T268" i="11"/>
  <c r="C253" i="11"/>
  <c r="BI272" i="11"/>
  <c r="AI289" i="11"/>
  <c r="V449" i="11"/>
  <c r="AJ239" i="11"/>
  <c r="AP286" i="11"/>
  <c r="AI301" i="11"/>
  <c r="AY323" i="11"/>
  <c r="AB345" i="11"/>
  <c r="M250" i="11"/>
  <c r="AE373" i="11"/>
  <c r="AP230" i="11"/>
  <c r="AI254" i="11"/>
  <c r="I332" i="11"/>
  <c r="AB342" i="11"/>
  <c r="AV363" i="11"/>
  <c r="BM274" i="11"/>
  <c r="X379" i="11"/>
  <c r="J224" i="11"/>
  <c r="BF454" i="11"/>
  <c r="AJ246" i="11"/>
  <c r="AV259" i="11"/>
  <c r="W214" i="11"/>
  <c r="AP418" i="11"/>
  <c r="Z443" i="11"/>
  <c r="AD298" i="11"/>
  <c r="N310" i="11"/>
  <c r="BM320" i="11"/>
  <c r="AT246" i="11"/>
  <c r="N374" i="11"/>
  <c r="M231" i="11"/>
  <c r="Q437" i="11"/>
  <c r="T310" i="11"/>
  <c r="J234" i="11"/>
  <c r="AD389" i="11"/>
  <c r="X332" i="11"/>
  <c r="W310" i="11"/>
  <c r="M404" i="11"/>
  <c r="J260" i="11"/>
  <c r="BF256" i="11"/>
  <c r="AT222" i="11"/>
  <c r="U253" i="11"/>
  <c r="AY446" i="11"/>
  <c r="L276" i="11"/>
  <c r="R279" i="11"/>
  <c r="BI229" i="11"/>
  <c r="AR324" i="11"/>
  <c r="S279" i="11"/>
  <c r="I400" i="11"/>
  <c r="AT351" i="11"/>
  <c r="AR203" i="11"/>
  <c r="AU252" i="11"/>
  <c r="S455" i="11"/>
  <c r="AH327" i="11"/>
  <c r="AE388" i="11"/>
  <c r="AT227" i="11"/>
  <c r="BG321" i="11"/>
  <c r="BM272" i="11"/>
  <c r="T344" i="11"/>
  <c r="AL327" i="11"/>
  <c r="BB335" i="11"/>
  <c r="Y215" i="11"/>
  <c r="U286" i="11"/>
  <c r="N274" i="11"/>
  <c r="O379" i="11"/>
  <c r="L426" i="11"/>
  <c r="BG411" i="11"/>
  <c r="C391" i="11"/>
  <c r="U294" i="11"/>
  <c r="BC323" i="11"/>
  <c r="BH353" i="11"/>
  <c r="X454" i="11"/>
  <c r="BL269" i="11"/>
  <c r="AP368" i="11"/>
  <c r="AY220" i="11"/>
  <c r="Q388" i="11"/>
  <c r="BL348" i="11"/>
  <c r="BF257" i="11"/>
  <c r="AQ234" i="11"/>
  <c r="G220" i="11"/>
  <c r="AJ358" i="11"/>
  <c r="O273" i="11"/>
  <c r="AK325" i="11"/>
  <c r="AW449" i="11"/>
  <c r="Z216" i="11"/>
  <c r="AO344" i="11"/>
  <c r="AU270" i="11"/>
  <c r="BM386" i="11"/>
  <c r="AE292" i="11"/>
  <c r="J255" i="11"/>
  <c r="BF209" i="11"/>
  <c r="H376" i="11"/>
  <c r="BN244" i="11"/>
  <c r="AN296" i="11"/>
  <c r="AO216" i="11"/>
  <c r="AF329" i="11"/>
  <c r="AS338" i="11"/>
  <c r="AW324" i="11"/>
  <c r="H389" i="11"/>
  <c r="AL303" i="11"/>
  <c r="BJ232" i="11"/>
  <c r="AE442" i="11"/>
  <c r="AO456" i="11"/>
  <c r="AO305" i="11"/>
  <c r="AQ285" i="11"/>
  <c r="AY289" i="11"/>
  <c r="M215" i="11"/>
  <c r="BF287" i="11"/>
  <c r="P238" i="11"/>
  <c r="AX290" i="11"/>
  <c r="AF220" i="11"/>
  <c r="AG368" i="11"/>
  <c r="W394" i="11"/>
  <c r="BE397" i="11"/>
  <c r="AP385" i="11"/>
  <c r="Q342" i="11"/>
  <c r="AH352" i="11"/>
  <c r="M304" i="11"/>
  <c r="AV270" i="11"/>
  <c r="BL253" i="11"/>
  <c r="Q239" i="11"/>
  <c r="AP331" i="11"/>
  <c r="AQ286" i="11"/>
  <c r="U330" i="11"/>
  <c r="AR341" i="11"/>
  <c r="AC370" i="11"/>
  <c r="C337" i="11"/>
  <c r="AP316" i="11"/>
  <c r="AF411" i="11"/>
  <c r="O403" i="11"/>
  <c r="AL241" i="11"/>
  <c r="AM331" i="11"/>
  <c r="BK217" i="11"/>
  <c r="R237" i="11"/>
  <c r="BI354" i="11"/>
  <c r="AI261" i="11"/>
  <c r="N337" i="11"/>
  <c r="I284" i="11"/>
  <c r="AV243" i="11"/>
  <c r="W426" i="11"/>
  <c r="AJ391" i="11"/>
  <c r="BL392" i="11"/>
  <c r="M389" i="11"/>
  <c r="AX280" i="11"/>
  <c r="S258" i="11"/>
  <c r="C280" i="11"/>
  <c r="H394" i="11"/>
  <c r="M216" i="11"/>
  <c r="BK416" i="11"/>
  <c r="AS335" i="11"/>
  <c r="Z302" i="11"/>
  <c r="AC425" i="11"/>
  <c r="BF357" i="11"/>
  <c r="AS368" i="11"/>
  <c r="AW221" i="11"/>
  <c r="AU299" i="11"/>
  <c r="BE243" i="11"/>
  <c r="AW360" i="11"/>
  <c r="BM389" i="11"/>
  <c r="C312" i="11"/>
  <c r="C289" i="11"/>
  <c r="BJ220" i="11"/>
  <c r="AX207" i="11"/>
  <c r="BE316" i="11"/>
  <c r="BF345" i="11"/>
  <c r="AC351" i="11"/>
  <c r="BA445" i="11"/>
  <c r="AK292" i="11"/>
  <c r="AL417" i="11"/>
  <c r="AI284" i="11"/>
  <c r="AR444" i="11"/>
  <c r="P378" i="11"/>
  <c r="AU234" i="11"/>
  <c r="V233" i="11"/>
  <c r="R408" i="11"/>
  <c r="AF360" i="11"/>
  <c r="S261" i="11"/>
  <c r="BG281" i="11"/>
  <c r="AZ374" i="11"/>
  <c r="AJ362" i="11"/>
  <c r="AP319" i="11"/>
  <c r="BB204" i="11"/>
  <c r="L416" i="11"/>
  <c r="BM225" i="11"/>
  <c r="AX447" i="11"/>
  <c r="L374" i="11"/>
  <c r="AL211" i="11"/>
  <c r="BB250" i="11"/>
  <c r="AX236" i="11"/>
  <c r="Z436" i="11"/>
  <c r="BB283" i="11"/>
  <c r="BI281" i="11"/>
  <c r="AU448" i="11"/>
  <c r="Z435" i="11"/>
  <c r="L438" i="11"/>
  <c r="AV314" i="11"/>
  <c r="BJ349" i="11"/>
  <c r="AK427" i="11"/>
  <c r="AY377" i="11"/>
  <c r="BI335" i="11"/>
  <c r="BB248" i="11"/>
  <c r="BG228" i="11"/>
  <c r="AG379" i="11"/>
  <c r="BK330" i="11"/>
  <c r="AF354" i="11"/>
  <c r="AD246" i="11"/>
  <c r="BG319" i="11"/>
  <c r="P445" i="11"/>
  <c r="N291" i="11"/>
  <c r="I346" i="11"/>
  <c r="AE235" i="11"/>
  <c r="AZ244" i="11"/>
  <c r="BC309" i="11"/>
  <c r="X267" i="11"/>
  <c r="Q440" i="11"/>
  <c r="P297" i="11"/>
  <c r="AI304" i="11"/>
  <c r="AH276" i="11"/>
  <c r="AZ422" i="11"/>
  <c r="J304" i="11"/>
  <c r="R263" i="11"/>
  <c r="AG303" i="11"/>
  <c r="AA279" i="11"/>
  <c r="W360" i="11"/>
  <c r="AO390" i="11"/>
  <c r="O294" i="11"/>
  <c r="AY207" i="11"/>
  <c r="BJ305" i="11"/>
  <c r="AF447" i="11"/>
  <c r="P349" i="11"/>
  <c r="AU383" i="11"/>
  <c r="BF253" i="11"/>
  <c r="N427" i="11"/>
  <c r="J436" i="11"/>
  <c r="AA420" i="11"/>
  <c r="G430" i="11"/>
  <c r="AF391" i="11"/>
  <c r="AF438" i="11"/>
  <c r="AA287" i="11"/>
  <c r="BD419" i="11"/>
  <c r="BG421" i="11"/>
  <c r="AX454" i="11"/>
  <c r="C225" i="11"/>
  <c r="C411" i="11"/>
  <c r="BD452" i="11"/>
  <c r="X211" i="11"/>
  <c r="AC204" i="11"/>
  <c r="AG258" i="11"/>
  <c r="AB329" i="11"/>
  <c r="K298" i="11"/>
  <c r="AV382" i="11"/>
  <c r="AX209" i="11"/>
  <c r="AO244" i="11"/>
  <c r="BJ384" i="11"/>
  <c r="Z367" i="11"/>
  <c r="I426" i="11"/>
  <c r="C230" i="11"/>
  <c r="N278" i="11"/>
  <c r="BI282" i="11"/>
  <c r="AJ282" i="11"/>
  <c r="BA423" i="11"/>
  <c r="K280" i="11"/>
  <c r="AI393" i="11"/>
  <c r="R214" i="11"/>
  <c r="AQ337" i="11"/>
  <c r="BD214" i="11"/>
  <c r="Q259" i="11"/>
  <c r="AP395" i="11"/>
  <c r="AP412" i="11"/>
  <c r="Q213" i="11"/>
  <c r="X207" i="11"/>
  <c r="AD237" i="11"/>
  <c r="AV271" i="11"/>
  <c r="V450" i="11"/>
  <c r="BF306" i="11"/>
  <c r="AQ273" i="11"/>
  <c r="Q261" i="11"/>
  <c r="U416" i="11"/>
  <c r="G366" i="11"/>
  <c r="AJ435" i="11"/>
  <c r="AD248" i="11"/>
  <c r="AE287" i="11"/>
  <c r="AN298" i="11"/>
  <c r="AB325" i="11"/>
  <c r="BD443" i="11"/>
  <c r="R239" i="11"/>
  <c r="AF298" i="11"/>
  <c r="AP370" i="11"/>
  <c r="U409" i="11"/>
  <c r="AQ205" i="11"/>
  <c r="AB205" i="11"/>
  <c r="AX342" i="11"/>
  <c r="BG205" i="11"/>
  <c r="AZ398" i="11"/>
  <c r="K394" i="11"/>
  <c r="BA316" i="11"/>
  <c r="AG241" i="11"/>
  <c r="AC335" i="11"/>
  <c r="BF339" i="11"/>
  <c r="BC299" i="11"/>
  <c r="AL255" i="11"/>
  <c r="AH323" i="11"/>
  <c r="AC369" i="11"/>
  <c r="X409" i="11"/>
  <c r="BF416" i="11"/>
  <c r="M361" i="11"/>
  <c r="AA383" i="11"/>
  <c r="AV211" i="11"/>
  <c r="R358" i="11"/>
  <c r="AD256" i="11"/>
  <c r="Y380" i="11"/>
  <c r="Z398" i="11"/>
  <c r="AN321" i="11"/>
  <c r="AX251" i="11"/>
  <c r="AE309" i="11"/>
  <c r="AS449" i="11"/>
  <c r="N328" i="11"/>
  <c r="AC388" i="11"/>
  <c r="I370" i="11"/>
  <c r="AI225" i="11"/>
  <c r="AF227" i="11"/>
  <c r="BM239" i="11"/>
  <c r="AY451" i="11"/>
  <c r="BC371" i="11"/>
  <c r="BF302" i="11"/>
  <c r="N269" i="11"/>
  <c r="AA311" i="11"/>
  <c r="J278" i="11"/>
  <c r="O352" i="11"/>
  <c r="K358" i="11"/>
  <c r="I429" i="11"/>
  <c r="BC436" i="11"/>
  <c r="BD440" i="11"/>
  <c r="BL300" i="11"/>
  <c r="N218" i="11"/>
  <c r="BF376" i="11"/>
  <c r="L288" i="11"/>
  <c r="J283" i="11"/>
  <c r="H259" i="11"/>
  <c r="AU350" i="11"/>
  <c r="AT273" i="11"/>
  <c r="BC304" i="11"/>
  <c r="AN374" i="11"/>
  <c r="BD377" i="11"/>
  <c r="X249" i="11"/>
  <c r="L389" i="11"/>
  <c r="BD320" i="11"/>
  <c r="AK421" i="11"/>
  <c r="AI220" i="11"/>
  <c r="AC364" i="11"/>
  <c r="AX279" i="11"/>
  <c r="J443" i="11"/>
  <c r="T265" i="11"/>
  <c r="BM437" i="11"/>
  <c r="J368" i="11"/>
  <c r="BC429" i="11"/>
  <c r="G294" i="11"/>
  <c r="AQ435" i="11"/>
  <c r="BI249" i="11"/>
  <c r="AN324" i="11"/>
  <c r="BL438" i="11"/>
  <c r="BA411" i="11"/>
  <c r="L304" i="11"/>
  <c r="K420" i="11"/>
  <c r="AX252" i="11"/>
  <c r="AU368" i="11"/>
  <c r="I293" i="11"/>
  <c r="Y265" i="11"/>
  <c r="AD336" i="11"/>
  <c r="AH215" i="11"/>
  <c r="BI221" i="11"/>
  <c r="AW410" i="11"/>
  <c r="G266" i="11"/>
  <c r="AJ374" i="11"/>
  <c r="BE248" i="11"/>
  <c r="AT314" i="11"/>
  <c r="P245" i="11"/>
  <c r="AU260" i="11"/>
  <c r="T352" i="11"/>
  <c r="BL245" i="11"/>
  <c r="N243" i="11"/>
  <c r="O204" i="11"/>
  <c r="I417" i="11"/>
  <c r="AI429" i="11"/>
  <c r="AG307" i="11"/>
  <c r="BI330" i="11"/>
  <c r="AM418" i="11"/>
  <c r="AM410" i="11"/>
  <c r="AW228" i="11"/>
  <c r="AF375" i="11"/>
  <c r="AA230" i="11"/>
  <c r="AG233" i="11"/>
  <c r="AI249" i="11"/>
  <c r="BN374" i="11"/>
  <c r="BJ310" i="11"/>
  <c r="AK359" i="11"/>
  <c r="K366" i="11"/>
  <c r="BH320" i="11"/>
  <c r="X397" i="11"/>
  <c r="R212" i="11"/>
  <c r="AX213" i="11"/>
  <c r="N401" i="11"/>
  <c r="AF406" i="11"/>
  <c r="AV218" i="11"/>
  <c r="AA220" i="11"/>
  <c r="W340" i="11"/>
  <c r="AD315" i="11"/>
  <c r="R314" i="11"/>
  <c r="AB445" i="11"/>
  <c r="S447" i="11"/>
  <c r="AP405" i="11"/>
  <c r="BG255" i="11"/>
  <c r="AD243" i="11"/>
  <c r="BN337" i="11"/>
  <c r="AZ304" i="11"/>
  <c r="AR373" i="11"/>
  <c r="Y222" i="11"/>
  <c r="AI395" i="11"/>
  <c r="Z327" i="11"/>
  <c r="AI368" i="11"/>
  <c r="Q226" i="11"/>
  <c r="AT327" i="11"/>
  <c r="AH434" i="11"/>
  <c r="AN380" i="11"/>
  <c r="AS356" i="11"/>
  <c r="AD369" i="11"/>
  <c r="BN284" i="11"/>
  <c r="Z372" i="11"/>
  <c r="BD353" i="11"/>
  <c r="BM260" i="11"/>
  <c r="T303" i="11"/>
  <c r="I275" i="11"/>
  <c r="P404" i="11"/>
  <c r="N369" i="11"/>
  <c r="AN301" i="11"/>
  <c r="AG256" i="11"/>
  <c r="Y309" i="11"/>
  <c r="AK300" i="11"/>
  <c r="AQ427" i="11"/>
  <c r="AR231" i="11"/>
  <c r="AY375" i="11"/>
  <c r="AC354" i="11"/>
  <c r="BI286" i="11"/>
  <c r="AI288" i="11"/>
  <c r="R303" i="11"/>
  <c r="R341" i="11"/>
  <c r="M456" i="11"/>
  <c r="AU315" i="11"/>
  <c r="BD223" i="11"/>
  <c r="AS215" i="11"/>
  <c r="BJ268" i="11"/>
  <c r="Z249" i="11"/>
  <c r="AC326" i="11"/>
  <c r="H335" i="11"/>
  <c r="AQ362" i="11"/>
  <c r="AH261" i="11"/>
  <c r="AG275" i="11"/>
  <c r="AB244" i="11"/>
  <c r="BG298" i="11"/>
  <c r="AX221" i="11"/>
  <c r="AR276" i="11"/>
  <c r="R310" i="11"/>
  <c r="BC245" i="11"/>
  <c r="AX243" i="11"/>
  <c r="AO297" i="11"/>
  <c r="AZ358" i="11"/>
  <c r="BB317" i="11"/>
  <c r="BB219" i="11"/>
  <c r="H217" i="11"/>
  <c r="BL274" i="11"/>
  <c r="AB296" i="11"/>
  <c r="AY322" i="11"/>
  <c r="N305" i="11"/>
  <c r="N209" i="11"/>
  <c r="N448" i="11"/>
  <c r="U428" i="11"/>
  <c r="O446" i="11"/>
  <c r="AC258" i="11"/>
  <c r="AW295" i="11"/>
  <c r="AO342" i="11"/>
  <c r="AB347" i="11"/>
  <c r="AY291" i="11"/>
  <c r="BN217" i="11"/>
  <c r="BL270" i="11"/>
  <c r="AP302" i="11"/>
  <c r="BN387" i="11"/>
  <c r="AR326" i="11"/>
  <c r="BN293" i="11"/>
  <c r="G367" i="11"/>
  <c r="AM333" i="11"/>
  <c r="Y334" i="11"/>
  <c r="BF341" i="11"/>
  <c r="BE439" i="11"/>
  <c r="AF290" i="11"/>
  <c r="AV221" i="11"/>
  <c r="AS284" i="11"/>
  <c r="C372" i="11"/>
  <c r="O269" i="11"/>
  <c r="C282" i="11"/>
  <c r="AZ277" i="11"/>
  <c r="R261" i="11"/>
  <c r="Y288" i="11"/>
  <c r="BE372" i="11"/>
  <c r="R333" i="11"/>
  <c r="T380" i="11"/>
  <c r="I324" i="11"/>
  <c r="AK450" i="11"/>
  <c r="AQ311" i="11"/>
  <c r="AT267" i="11"/>
  <c r="BD367" i="11"/>
  <c r="T346" i="11"/>
  <c r="AH253" i="11"/>
  <c r="BB408" i="11"/>
  <c r="AD230" i="11"/>
  <c r="BH406" i="11"/>
  <c r="S365" i="11"/>
  <c r="BF383" i="11"/>
  <c r="AW340" i="11"/>
  <c r="K329" i="11"/>
  <c r="W298" i="11"/>
  <c r="AY239" i="11"/>
  <c r="W238" i="11"/>
  <c r="AT213" i="11"/>
  <c r="AQ383" i="11"/>
  <c r="BM404" i="11"/>
  <c r="I306" i="11"/>
  <c r="BN303" i="11"/>
  <c r="AH302" i="11"/>
  <c r="X307" i="11"/>
  <c r="M342" i="11"/>
  <c r="AA376" i="11"/>
  <c r="BC360" i="11"/>
  <c r="BL312" i="11"/>
  <c r="AE297" i="11"/>
  <c r="AP322" i="11"/>
  <c r="AP262" i="11"/>
  <c r="AS239" i="11"/>
  <c r="BC392" i="11"/>
  <c r="AM323" i="11"/>
  <c r="BB246" i="11"/>
  <c r="AU231" i="11"/>
  <c r="BE221" i="11"/>
  <c r="Z331" i="11"/>
  <c r="AT250" i="11"/>
  <c r="V425" i="11"/>
  <c r="AV240" i="11"/>
  <c r="J289" i="11"/>
  <c r="X271" i="11"/>
  <c r="AF263" i="11"/>
  <c r="AC337" i="11"/>
  <c r="X224" i="11"/>
  <c r="BL394" i="11"/>
  <c r="U319" i="11"/>
  <c r="AJ337" i="11"/>
  <c r="AD289" i="11"/>
  <c r="AR296" i="11"/>
  <c r="O308" i="11"/>
  <c r="AX310" i="11"/>
  <c r="BD298" i="11"/>
  <c r="I445" i="11"/>
  <c r="AV263" i="11"/>
  <c r="T222" i="11"/>
  <c r="AJ342" i="11"/>
  <c r="Z342" i="11"/>
  <c r="AX273" i="11"/>
  <c r="C297" i="11"/>
  <c r="AV399" i="11"/>
  <c r="AY261" i="11"/>
  <c r="Q424" i="11"/>
  <c r="AW311" i="11"/>
  <c r="BI234" i="11"/>
  <c r="R228" i="11"/>
  <c r="Y339" i="11"/>
  <c r="BA285" i="11"/>
  <c r="BK365" i="11"/>
  <c r="BL243" i="11"/>
  <c r="N253" i="11"/>
  <c r="AM254" i="11"/>
  <c r="W347" i="11"/>
  <c r="AK269" i="11"/>
  <c r="Q436" i="11"/>
  <c r="G387" i="11"/>
  <c r="V406" i="11"/>
  <c r="BL218" i="11"/>
  <c r="AK225" i="11"/>
  <c r="AC320" i="11"/>
  <c r="AM238" i="11"/>
  <c r="R342" i="11"/>
  <c r="L246" i="11"/>
  <c r="AT320" i="11"/>
  <c r="W366" i="11"/>
  <c r="BJ315" i="11"/>
  <c r="AG219" i="11"/>
  <c r="AJ260" i="11"/>
  <c r="H306" i="11"/>
  <c r="X356" i="11"/>
  <c r="BL306" i="11"/>
  <c r="L326" i="11"/>
  <c r="AZ384" i="11"/>
  <c r="AJ237" i="11"/>
  <c r="AM351" i="11"/>
  <c r="AB366" i="11"/>
  <c r="AU345" i="11"/>
  <c r="W305" i="11"/>
  <c r="BN236" i="11"/>
  <c r="AA339" i="11"/>
  <c r="BN407" i="11"/>
  <c r="N320" i="11"/>
  <c r="AI291" i="11"/>
  <c r="O420" i="11"/>
  <c r="N304" i="11"/>
  <c r="BK255" i="11"/>
  <c r="AU312" i="11"/>
  <c r="R249" i="11"/>
  <c r="X327" i="11"/>
  <c r="S313" i="11"/>
  <c r="BL366" i="11"/>
  <c r="AU333" i="11"/>
  <c r="AE236" i="11"/>
  <c r="BB355" i="11"/>
  <c r="AR450" i="11"/>
  <c r="AQ276" i="11"/>
  <c r="R247" i="11"/>
  <c r="AO230" i="11"/>
  <c r="AJ278" i="11"/>
  <c r="AN447" i="11"/>
  <c r="BH300" i="11"/>
  <c r="W317" i="11"/>
  <c r="T233" i="11"/>
  <c r="BH428" i="11"/>
  <c r="BI409" i="11"/>
  <c r="M423" i="11"/>
  <c r="AN306" i="11"/>
  <c r="AH306" i="11"/>
  <c r="K294" i="11"/>
  <c r="J296" i="11"/>
  <c r="O282" i="11"/>
  <c r="Y287" i="11"/>
  <c r="BD251" i="11"/>
  <c r="AV350" i="11"/>
  <c r="G290" i="11"/>
  <c r="BM300" i="11"/>
  <c r="J257" i="11"/>
  <c r="AP332" i="11"/>
  <c r="AH222" i="11"/>
  <c r="AD371" i="11"/>
  <c r="BJ285" i="11"/>
  <c r="AZ278" i="11"/>
  <c r="BH252" i="11"/>
  <c r="P287" i="11"/>
  <c r="Q217" i="11"/>
  <c r="BB307" i="11"/>
  <c r="AZ280" i="11"/>
  <c r="BL258" i="11"/>
  <c r="AI349" i="11"/>
  <c r="BI329" i="11"/>
  <c r="L380" i="11"/>
  <c r="AV208" i="11"/>
  <c r="BA245" i="11"/>
  <c r="AK303" i="11"/>
  <c r="AE392" i="11"/>
  <c r="AX379" i="11"/>
  <c r="AP247" i="11"/>
  <c r="AR284" i="11"/>
  <c r="AZ313" i="11"/>
  <c r="AW392" i="11"/>
  <c r="AB351" i="11"/>
  <c r="AU256" i="11"/>
  <c r="BI444" i="11"/>
  <c r="BC230" i="11"/>
  <c r="AF281" i="11"/>
  <c r="BC393" i="11"/>
  <c r="AK239" i="11"/>
  <c r="AN207" i="11"/>
  <c r="AL312" i="11"/>
  <c r="M349" i="11"/>
  <c r="BA442" i="11"/>
  <c r="AO255" i="11"/>
  <c r="AO218" i="11"/>
  <c r="AE423" i="11"/>
  <c r="AQ274" i="11"/>
  <c r="U284" i="11"/>
  <c r="AH402" i="11"/>
  <c r="J431" i="11"/>
  <c r="T398" i="11"/>
  <c r="BM413" i="11"/>
  <c r="AT207" i="11"/>
  <c r="Q454" i="11"/>
  <c r="AS254" i="11"/>
  <c r="AX444" i="11"/>
  <c r="X387" i="11"/>
  <c r="AX234" i="11"/>
  <c r="AZ437" i="11"/>
  <c r="T455" i="11"/>
  <c r="M440" i="11"/>
  <c r="AP388" i="11"/>
  <c r="AY406" i="11"/>
  <c r="AV414" i="11"/>
  <c r="BC205" i="11"/>
  <c r="AQ431" i="11"/>
  <c r="AR235" i="11"/>
  <c r="AW305" i="11"/>
  <c r="AA225" i="11"/>
  <c r="AL250" i="11"/>
  <c r="AK307" i="11"/>
  <c r="AR456" i="11"/>
  <c r="BH422" i="11"/>
  <c r="BA356" i="11"/>
  <c r="AS375" i="11"/>
  <c r="R297" i="11"/>
  <c r="AF210" i="11"/>
  <c r="AN346" i="11"/>
  <c r="BF440" i="11"/>
  <c r="M309" i="11"/>
  <c r="AD219" i="11"/>
  <c r="BD216" i="11"/>
  <c r="AW293" i="11"/>
  <c r="T243" i="11"/>
  <c r="AW219" i="11"/>
  <c r="AV333" i="11"/>
  <c r="AF408" i="11"/>
  <c r="K267" i="11"/>
  <c r="BM246" i="11"/>
  <c r="J327" i="11"/>
  <c r="AT433" i="11"/>
  <c r="Y423" i="11"/>
  <c r="BA293" i="11"/>
  <c r="S342" i="11"/>
  <c r="K326" i="11"/>
  <c r="U357" i="11"/>
  <c r="O209" i="11"/>
  <c r="AC432" i="11"/>
  <c r="AW309" i="11"/>
  <c r="N317" i="11"/>
  <c r="AD435" i="11"/>
  <c r="BF223" i="11"/>
  <c r="W249" i="11"/>
  <c r="AL280" i="11"/>
  <c r="I314" i="11"/>
  <c r="U318" i="11"/>
  <c r="BD450" i="11"/>
  <c r="R444" i="11"/>
  <c r="T446" i="11"/>
  <c r="V312" i="11"/>
  <c r="AT309" i="11"/>
  <c r="BM422" i="11"/>
  <c r="AV214" i="11"/>
  <c r="BL363" i="11"/>
  <c r="AC437" i="11"/>
  <c r="J385" i="11"/>
  <c r="AJ259" i="11"/>
  <c r="AF262" i="11"/>
  <c r="N270" i="11"/>
  <c r="J299" i="11"/>
  <c r="Z431" i="11"/>
  <c r="J400" i="11"/>
  <c r="AF228" i="11"/>
  <c r="AN320" i="11"/>
  <c r="BA355" i="11"/>
  <c r="AG254" i="11"/>
  <c r="AT221" i="11"/>
  <c r="AD410" i="11"/>
  <c r="BC265" i="11"/>
  <c r="AI376" i="11"/>
  <c r="J375" i="11"/>
  <c r="BM390" i="11"/>
  <c r="AO275" i="11"/>
  <c r="AK263" i="11"/>
  <c r="L439" i="11"/>
  <c r="O299" i="11"/>
  <c r="BD234" i="11"/>
  <c r="AS228" i="11"/>
  <c r="AR209" i="11"/>
  <c r="K399" i="11"/>
  <c r="AL415" i="11"/>
  <c r="J247" i="11"/>
  <c r="N249" i="11"/>
  <c r="AY227" i="11"/>
  <c r="AV272" i="11"/>
  <c r="AV445" i="11"/>
  <c r="BB293" i="11"/>
  <c r="J241" i="11"/>
  <c r="N225" i="11"/>
  <c r="AB454" i="11"/>
  <c r="BF210" i="11"/>
  <c r="AG434" i="11"/>
  <c r="AM283" i="11"/>
  <c r="AO338" i="11"/>
  <c r="AN234" i="11"/>
  <c r="K446" i="11"/>
  <c r="AY334" i="11"/>
  <c r="AS445" i="11"/>
  <c r="AF445" i="11"/>
  <c r="BE234" i="11"/>
  <c r="Z270" i="11"/>
  <c r="AQ270" i="11"/>
  <c r="AW333" i="11"/>
  <c r="K430" i="11"/>
  <c r="AE441" i="11"/>
  <c r="I320" i="11"/>
  <c r="AM221" i="11"/>
  <c r="AB412" i="11"/>
  <c r="Q230" i="11"/>
  <c r="BI317" i="11"/>
  <c r="AN227" i="11"/>
  <c r="AK346" i="11"/>
  <c r="AQ255" i="11"/>
  <c r="V206" i="11"/>
  <c r="AN251" i="11"/>
  <c r="AX203" i="11"/>
  <c r="U344" i="11"/>
  <c r="AF303" i="11"/>
  <c r="L212" i="11"/>
  <c r="AL400" i="11"/>
  <c r="H263" i="11"/>
  <c r="BM240" i="11"/>
  <c r="AB331" i="11"/>
  <c r="BC267" i="11"/>
  <c r="BK450" i="11"/>
  <c r="BE378" i="11"/>
  <c r="AJ383" i="11"/>
  <c r="AV250" i="11"/>
  <c r="Z332" i="11"/>
  <c r="BC285" i="11"/>
  <c r="R271" i="11"/>
  <c r="AS370" i="11"/>
  <c r="AS255" i="11"/>
  <c r="AH341" i="11"/>
  <c r="AZ217" i="11"/>
  <c r="O246" i="11"/>
  <c r="AI439" i="11"/>
  <c r="J434" i="11"/>
  <c r="AB249" i="11"/>
  <c r="O271" i="11"/>
  <c r="BD378" i="11"/>
  <c r="AN420" i="11"/>
  <c r="L370" i="11"/>
  <c r="BN421" i="11"/>
  <c r="AT423" i="11"/>
  <c r="AK376" i="11"/>
  <c r="N423" i="11"/>
  <c r="AL235" i="11"/>
  <c r="BF361" i="11"/>
  <c r="AN441" i="11"/>
  <c r="AN220" i="11"/>
  <c r="AN287" i="11"/>
  <c r="AM339" i="11"/>
  <c r="AF412" i="11"/>
  <c r="BD207" i="11"/>
  <c r="AL301" i="11"/>
  <c r="S448" i="11"/>
  <c r="AF429" i="11"/>
  <c r="AZ455" i="11"/>
  <c r="AT248" i="11"/>
  <c r="BI345" i="11"/>
  <c r="AH208" i="11"/>
  <c r="BE442" i="11"/>
  <c r="BK303" i="11"/>
  <c r="BC366" i="11"/>
  <c r="O320" i="11"/>
  <c r="BL251" i="11"/>
  <c r="BA294" i="11"/>
  <c r="P276" i="11"/>
  <c r="Y229" i="11"/>
  <c r="AN454" i="11"/>
  <c r="L343" i="11"/>
  <c r="K308" i="11"/>
  <c r="AG328" i="11"/>
  <c r="AW262" i="11"/>
  <c r="BI325" i="11"/>
  <c r="AX320" i="11"/>
  <c r="AE426" i="11"/>
  <c r="Y262" i="11"/>
  <c r="BE267" i="11"/>
  <c r="AA282" i="11"/>
  <c r="BG414" i="11"/>
  <c r="C314" i="11"/>
  <c r="AX414" i="11"/>
  <c r="N275" i="11"/>
  <c r="BJ370" i="11"/>
  <c r="P449" i="11"/>
  <c r="BB439" i="11"/>
  <c r="BI397" i="11"/>
  <c r="AB386" i="11"/>
  <c r="R246" i="11"/>
  <c r="AO245" i="11"/>
  <c r="AI273" i="11"/>
  <c r="AK414" i="11"/>
  <c r="AT255" i="11"/>
  <c r="AD280" i="11"/>
  <c r="BG363" i="11"/>
  <c r="AI297" i="11"/>
  <c r="AK243" i="11"/>
  <c r="AY345" i="11"/>
  <c r="Q333" i="11"/>
  <c r="V335" i="11"/>
  <c r="AA290" i="11"/>
  <c r="J210" i="11"/>
  <c r="AD338" i="11"/>
  <c r="C304" i="11"/>
  <c r="BA216" i="11"/>
  <c r="AG356" i="11"/>
  <c r="AJ360" i="11"/>
  <c r="BE270" i="11"/>
  <c r="K353" i="11"/>
  <c r="H309" i="11"/>
  <c r="AO252" i="11"/>
  <c r="V258" i="11"/>
  <c r="I313" i="11"/>
  <c r="P280" i="11"/>
  <c r="AT406" i="11"/>
  <c r="R340" i="11"/>
  <c r="AP312" i="11"/>
  <c r="BN220" i="11"/>
  <c r="AJ299" i="11"/>
  <c r="C249" i="11"/>
  <c r="AQ237" i="11"/>
  <c r="G342" i="11"/>
  <c r="BM361" i="11"/>
  <c r="Q240" i="11"/>
  <c r="W225" i="11"/>
  <c r="AP288" i="11"/>
  <c r="AP390" i="11"/>
  <c r="G314" i="11"/>
  <c r="AS272" i="11"/>
  <c r="AE433" i="11"/>
  <c r="I455" i="11"/>
  <c r="AE324" i="11"/>
  <c r="BB365" i="11"/>
  <c r="AH255" i="11"/>
  <c r="BK309" i="11"/>
  <c r="BI311" i="11"/>
  <c r="AX228" i="11"/>
  <c r="AL399" i="11"/>
  <c r="Z362" i="11"/>
  <c r="AJ215" i="11"/>
  <c r="AU418" i="11"/>
  <c r="BC253" i="11"/>
  <c r="AA217" i="11"/>
  <c r="AJ263" i="11"/>
  <c r="Z257" i="11"/>
  <c r="AF282" i="11"/>
  <c r="M225" i="11"/>
  <c r="AM259" i="11"/>
  <c r="BA320" i="11"/>
  <c r="M242" i="11"/>
  <c r="G267" i="11"/>
  <c r="AH245" i="11"/>
  <c r="M276" i="11"/>
  <c r="N246" i="11"/>
  <c r="G368" i="11"/>
  <c r="V309" i="11"/>
  <c r="AU211" i="11"/>
  <c r="BJ273" i="11"/>
  <c r="BK360" i="11"/>
  <c r="AK213" i="11"/>
  <c r="C248" i="11"/>
  <c r="AS286" i="11"/>
  <c r="S288" i="11"/>
  <c r="BI297" i="11"/>
  <c r="R256" i="11"/>
  <c r="AF267" i="11"/>
  <c r="O311" i="11"/>
  <c r="BG249" i="11"/>
  <c r="BJ332" i="11"/>
  <c r="R446" i="11"/>
  <c r="O444" i="11"/>
  <c r="J305" i="11"/>
  <c r="AG238" i="11"/>
  <c r="P290" i="11"/>
  <c r="AV289" i="11"/>
  <c r="AV425" i="11"/>
  <c r="X326" i="11"/>
  <c r="AI228" i="11"/>
  <c r="BH267" i="11"/>
  <c r="K207" i="11"/>
  <c r="I262" i="11"/>
  <c r="J274" i="11"/>
  <c r="AX312" i="11"/>
  <c r="AK305" i="11"/>
  <c r="AJ354" i="11"/>
  <c r="Z241" i="11"/>
  <c r="R229" i="11"/>
  <c r="W326" i="11"/>
  <c r="AD350" i="11"/>
  <c r="P332" i="11"/>
  <c r="BN230" i="11"/>
  <c r="AG366" i="11"/>
  <c r="BK359" i="11"/>
  <c r="M230" i="11"/>
  <c r="AC339" i="11"/>
  <c r="AL391" i="11"/>
  <c r="AP353" i="11"/>
  <c r="BB400" i="11"/>
  <c r="H279" i="11"/>
  <c r="BJ446" i="11"/>
  <c r="AR291" i="11"/>
  <c r="BG447" i="11"/>
  <c r="N264" i="11"/>
  <c r="S228" i="11"/>
  <c r="T290" i="11"/>
  <c r="BB282" i="11"/>
  <c r="AN371" i="11"/>
  <c r="BN370" i="11"/>
  <c r="Y224" i="11"/>
  <c r="AK223" i="11"/>
  <c r="AX253" i="11"/>
  <c r="M360" i="11"/>
  <c r="AG318" i="11"/>
  <c r="V295" i="11"/>
  <c r="BI342" i="11"/>
  <c r="AZ267" i="11"/>
  <c r="AM236" i="11"/>
  <c r="C316" i="11"/>
  <c r="AU387" i="11"/>
  <c r="BJ364" i="11"/>
  <c r="J291" i="11"/>
  <c r="AK338" i="11"/>
  <c r="AN243" i="11"/>
  <c r="AG232" i="11"/>
  <c r="AA352" i="11"/>
  <c r="BB245" i="11"/>
  <c r="AS337" i="11"/>
  <c r="G413" i="11"/>
  <c r="J335" i="11"/>
  <c r="BK263" i="11"/>
  <c r="V231" i="11"/>
  <c r="AY320" i="11"/>
  <c r="AU329" i="11"/>
  <c r="BC281" i="11"/>
  <c r="S264" i="11"/>
  <c r="J376" i="11"/>
  <c r="C233" i="11"/>
  <c r="BC211" i="11"/>
  <c r="BI318" i="11"/>
  <c r="Y425" i="11"/>
  <c r="AM216" i="11"/>
  <c r="AU306" i="11"/>
  <c r="H357" i="11"/>
  <c r="AO400" i="11"/>
  <c r="AO272" i="11"/>
  <c r="AZ266" i="11"/>
  <c r="AH281" i="11"/>
  <c r="AM215" i="11"/>
  <c r="N377" i="11"/>
  <c r="I217" i="11"/>
  <c r="O450" i="11"/>
  <c r="N211" i="11"/>
  <c r="BB237" i="11"/>
  <c r="S317" i="11"/>
  <c r="U213" i="11"/>
  <c r="L210" i="11"/>
  <c r="BB301" i="11"/>
  <c r="AA305" i="11"/>
  <c r="AA356" i="11"/>
  <c r="AI229" i="11"/>
  <c r="BD389" i="11"/>
  <c r="BL382" i="11"/>
  <c r="BG243" i="11"/>
  <c r="AJ228" i="11"/>
  <c r="AZ209" i="11"/>
  <c r="AP359" i="11"/>
  <c r="X341" i="11"/>
  <c r="AM224" i="11"/>
  <c r="AK340" i="11"/>
  <c r="BF390" i="11"/>
  <c r="AE314" i="11"/>
  <c r="O325" i="11"/>
  <c r="S450" i="11"/>
  <c r="AV361" i="11"/>
  <c r="BI228" i="11"/>
  <c r="AH431" i="11"/>
  <c r="BJ243" i="11"/>
  <c r="L282" i="11"/>
  <c r="AA344" i="11"/>
  <c r="AC357" i="11"/>
  <c r="AI379" i="11"/>
  <c r="T405" i="11"/>
  <c r="BF391" i="11"/>
  <c r="Z266" i="11"/>
  <c r="AA278" i="11"/>
  <c r="AS328" i="11"/>
  <c r="T205" i="11"/>
  <c r="C271" i="11"/>
  <c r="AQ318" i="11"/>
  <c r="C219" i="11"/>
  <c r="AV277" i="11"/>
  <c r="Y399" i="11"/>
  <c r="AL260" i="11"/>
  <c r="G345" i="11"/>
  <c r="AA454" i="11"/>
  <c r="J300" i="11"/>
  <c r="AB232" i="11"/>
  <c r="AA350" i="11"/>
  <c r="AU216" i="11"/>
  <c r="BA312" i="11"/>
  <c r="M366" i="11"/>
  <c r="AH239" i="11"/>
  <c r="BM271" i="11"/>
  <c r="BK216" i="11"/>
  <c r="T256" i="11"/>
  <c r="Z396" i="11"/>
  <c r="BE371" i="11"/>
  <c r="BD309" i="11"/>
  <c r="BF343" i="11"/>
  <c r="AN397" i="11"/>
  <c r="M255" i="11"/>
  <c r="C203" i="11"/>
  <c r="AZ440" i="11"/>
  <c r="AP324" i="11"/>
  <c r="BG221" i="11"/>
  <c r="BL324" i="11"/>
  <c r="BL290" i="11"/>
  <c r="BC222" i="11"/>
  <c r="BE238" i="11"/>
  <c r="Z363" i="11"/>
  <c r="AI208" i="11"/>
  <c r="BD306" i="11"/>
  <c r="BB353" i="11"/>
  <c r="H451" i="11"/>
  <c r="AW387" i="11"/>
  <c r="AZ294" i="11"/>
  <c r="AP417" i="11"/>
  <c r="AB243" i="11"/>
  <c r="V451" i="11"/>
  <c r="AY391" i="11"/>
  <c r="T251" i="11"/>
  <c r="BK348" i="11"/>
  <c r="X220" i="11"/>
  <c r="AD405" i="11"/>
  <c r="AQ420" i="11"/>
  <c r="BG400" i="11"/>
  <c r="X204" i="11"/>
  <c r="Y284" i="11"/>
  <c r="U361" i="11"/>
  <c r="G252" i="11"/>
  <c r="AK228" i="11"/>
  <c r="AJ301" i="11"/>
  <c r="P440" i="11"/>
  <c r="BB315" i="11"/>
  <c r="AA456" i="11"/>
  <c r="S216" i="11"/>
  <c r="R438" i="11"/>
  <c r="AJ443" i="11"/>
  <c r="AT204" i="11"/>
  <c r="AA309" i="11"/>
  <c r="Q223" i="11"/>
  <c r="AT208" i="11"/>
  <c r="K337" i="11"/>
  <c r="J243" i="11"/>
  <c r="H204" i="11"/>
  <c r="R356" i="11"/>
  <c r="AS324" i="11"/>
  <c r="BH223" i="11"/>
  <c r="AE436" i="11"/>
  <c r="BB454" i="11"/>
  <c r="L348" i="11"/>
  <c r="AK261" i="11"/>
  <c r="BK275" i="11"/>
  <c r="AN285" i="11"/>
  <c r="S401" i="11"/>
  <c r="BN383" i="11"/>
  <c r="U228" i="11"/>
  <c r="BD242" i="11"/>
  <c r="S315" i="11"/>
  <c r="V223" i="11"/>
  <c r="BK342" i="11"/>
  <c r="AS299" i="11"/>
  <c r="X352" i="11"/>
  <c r="G258" i="11"/>
  <c r="BN311" i="11"/>
  <c r="AD228" i="11"/>
  <c r="O212" i="11"/>
  <c r="AK352" i="11"/>
  <c r="X407" i="11"/>
  <c r="AB432" i="11"/>
  <c r="AX242" i="11"/>
  <c r="AD433" i="11"/>
  <c r="AC214" i="11"/>
  <c r="AD293" i="11"/>
  <c r="Y442" i="11"/>
  <c r="BK250" i="11"/>
  <c r="X323" i="11"/>
  <c r="BE255" i="11"/>
  <c r="G339" i="11"/>
  <c r="AV440" i="11"/>
  <c r="AW266" i="11"/>
  <c r="AN204" i="11"/>
  <c r="BA319" i="11"/>
  <c r="AW357" i="11"/>
  <c r="AC374" i="11"/>
  <c r="AS446" i="11"/>
  <c r="AZ429" i="11"/>
  <c r="BJ235" i="11"/>
  <c r="AM337" i="11"/>
  <c r="AC227" i="11"/>
  <c r="AI300" i="11"/>
  <c r="BE275" i="11"/>
  <c r="Q451" i="11"/>
  <c r="Q403" i="11"/>
  <c r="C339" i="11"/>
  <c r="BK396" i="11"/>
  <c r="BH335" i="11"/>
  <c r="I322" i="11"/>
  <c r="BG232" i="11"/>
  <c r="AP326" i="11"/>
  <c r="AV338" i="11"/>
  <c r="AV329" i="11"/>
  <c r="AN252" i="11"/>
  <c r="I260" i="11"/>
  <c r="AU249" i="11"/>
  <c r="AR300" i="11"/>
  <c r="AR393" i="11"/>
  <c r="Z338" i="11"/>
  <c r="AK253" i="11"/>
  <c r="R251" i="11"/>
  <c r="AP437" i="11"/>
  <c r="S440" i="11"/>
  <c r="AJ203" i="11"/>
  <c r="AZ238" i="11"/>
  <c r="AI278" i="11"/>
  <c r="AG281" i="11"/>
  <c r="AO237" i="11"/>
  <c r="R252" i="11"/>
  <c r="AE331" i="11"/>
  <c r="BF296" i="11"/>
  <c r="AH397" i="11"/>
  <c r="Z355" i="11"/>
  <c r="AR280" i="11"/>
  <c r="BC414" i="11"/>
  <c r="AB222" i="11"/>
  <c r="AA412" i="11"/>
  <c r="G442" i="11"/>
  <c r="W220" i="11"/>
  <c r="AS440" i="11"/>
  <c r="AP345" i="11"/>
  <c r="BM445" i="11"/>
  <c r="X381" i="11"/>
  <c r="BM319" i="11"/>
  <c r="J411" i="11"/>
  <c r="AU227" i="11"/>
  <c r="N413" i="11"/>
  <c r="AL437" i="11"/>
  <c r="W291" i="11"/>
  <c r="N416" i="11"/>
  <c r="N384" i="11"/>
  <c r="AR283" i="11"/>
  <c r="BM229" i="11"/>
  <c r="BM281" i="11"/>
  <c r="AN450" i="11"/>
  <c r="AD340" i="11"/>
  <c r="BC269" i="11"/>
  <c r="AP439" i="11"/>
  <c r="AD341" i="11"/>
  <c r="H440" i="11"/>
  <c r="AT425" i="11"/>
  <c r="BF309" i="11"/>
  <c r="T314" i="11"/>
  <c r="AD225" i="11"/>
  <c r="AG388" i="11"/>
  <c r="Z434" i="11"/>
  <c r="BC239" i="11"/>
  <c r="AG334" i="11"/>
  <c r="BA295" i="11"/>
  <c r="AN221" i="11"/>
  <c r="BH432" i="11"/>
  <c r="K441" i="11"/>
  <c r="Z414" i="11"/>
  <c r="L224" i="11"/>
  <c r="BH326" i="11"/>
  <c r="AW241" i="11"/>
  <c r="I325" i="11"/>
  <c r="Z303" i="11"/>
  <c r="BA306" i="11"/>
  <c r="K306" i="11"/>
  <c r="AA298" i="11"/>
  <c r="BE219" i="11"/>
  <c r="Z204" i="11"/>
  <c r="AP371" i="11"/>
  <c r="AQ351" i="11"/>
  <c r="X240" i="11"/>
  <c r="AF234" i="11"/>
  <c r="BN269" i="11"/>
  <c r="Q441" i="11"/>
  <c r="BF347" i="11"/>
  <c r="AO259" i="11"/>
  <c r="W327" i="11"/>
  <c r="C293" i="11"/>
  <c r="AL413" i="11"/>
  <c r="Y237" i="11"/>
  <c r="AW226" i="11"/>
  <c r="BM289" i="11"/>
  <c r="BN273" i="11"/>
  <c r="P429" i="11"/>
  <c r="M432" i="11"/>
  <c r="N359" i="11"/>
  <c r="AS421" i="11"/>
  <c r="M377" i="11"/>
  <c r="O283" i="11"/>
  <c r="BA428" i="11"/>
  <c r="BM435" i="11"/>
  <c r="BC403" i="11"/>
  <c r="BJ317" i="11"/>
  <c r="O406" i="11"/>
  <c r="BI415" i="11"/>
  <c r="BM439" i="11"/>
  <c r="AQ316" i="11"/>
  <c r="AP267" i="11"/>
  <c r="AP221" i="11"/>
  <c r="AI409" i="11"/>
  <c r="AY343" i="11"/>
  <c r="AY349" i="11"/>
  <c r="AZ282" i="11"/>
  <c r="BH344" i="11"/>
  <c r="AA240" i="11"/>
  <c r="Q220" i="11"/>
  <c r="S411" i="11"/>
  <c r="C301" i="11"/>
  <c r="Z268" i="11"/>
  <c r="BK352" i="11"/>
  <c r="BI222" i="11"/>
  <c r="T210" i="11"/>
  <c r="AZ224" i="11"/>
  <c r="AE268" i="11"/>
  <c r="H324" i="11"/>
  <c r="AM426" i="11"/>
  <c r="N326" i="11"/>
  <c r="AT256" i="11"/>
  <c r="AF261" i="11"/>
  <c r="AT389" i="11"/>
  <c r="BA419" i="11"/>
  <c r="Z222" i="11"/>
  <c r="C342" i="11"/>
  <c r="M261" i="11"/>
  <c r="P233" i="11"/>
  <c r="U263" i="11"/>
  <c r="V411" i="11"/>
  <c r="M346" i="11"/>
  <c r="BJ213" i="11"/>
  <c r="K305" i="11"/>
  <c r="BB401" i="11"/>
  <c r="C302" i="11"/>
  <c r="C299" i="11"/>
  <c r="BA340" i="11"/>
  <c r="AX425" i="11"/>
  <c r="AC212" i="11"/>
  <c r="AM345" i="11"/>
  <c r="U218" i="11"/>
  <c r="AQ370" i="11"/>
  <c r="Q357" i="11"/>
  <c r="BC316" i="11"/>
  <c r="AU313" i="11"/>
  <c r="AM439" i="11"/>
  <c r="T260" i="11"/>
  <c r="AC253" i="11"/>
  <c r="AR214" i="11"/>
  <c r="Q236" i="11"/>
  <c r="AQ348" i="11"/>
  <c r="AZ290" i="11"/>
  <c r="BA300" i="11"/>
  <c r="BK305" i="11"/>
  <c r="AR302" i="11"/>
  <c r="Q286" i="11"/>
  <c r="Z325" i="11"/>
  <c r="AQ354" i="11"/>
  <c r="AP321" i="11"/>
  <c r="W222" i="11"/>
  <c r="AF356" i="11"/>
  <c r="T213" i="11"/>
  <c r="BB243" i="11"/>
  <c r="BH286" i="11"/>
  <c r="AD349" i="11"/>
  <c r="M301" i="11"/>
  <c r="BK245" i="11"/>
  <c r="K402" i="11"/>
  <c r="AD295" i="11"/>
  <c r="AZ271" i="11"/>
  <c r="BM358" i="11"/>
  <c r="AF389" i="11"/>
  <c r="AX337" i="11"/>
  <c r="AB391" i="11"/>
  <c r="BD263" i="11"/>
  <c r="U353" i="11"/>
  <c r="AZ284" i="11"/>
  <c r="AX265" i="11"/>
  <c r="J326" i="11"/>
  <c r="W316" i="11"/>
  <c r="BK261" i="11"/>
  <c r="BN364" i="11"/>
  <c r="M316" i="11"/>
  <c r="X281" i="11"/>
  <c r="BF311" i="11"/>
  <c r="AG383" i="11"/>
  <c r="BL427" i="11"/>
  <c r="X402" i="11"/>
  <c r="J273" i="11"/>
  <c r="I402" i="11"/>
  <c r="BH395" i="11"/>
  <c r="J351" i="11"/>
  <c r="T350" i="11"/>
  <c r="BK274" i="11"/>
  <c r="O291" i="11"/>
  <c r="AU316" i="11"/>
  <c r="BG428" i="11"/>
  <c r="AG302" i="11"/>
  <c r="C223" i="11"/>
  <c r="AW402" i="11"/>
  <c r="BL211" i="11"/>
  <c r="AF325" i="11"/>
  <c r="BL307" i="11"/>
  <c r="T248" i="11"/>
  <c r="Q452" i="11"/>
  <c r="H210" i="11"/>
  <c r="BL381" i="11"/>
  <c r="AF302" i="11"/>
  <c r="BE311" i="11"/>
  <c r="AM405" i="11"/>
  <c r="AF392" i="11"/>
  <c r="AH385" i="11"/>
  <c r="AV451" i="11"/>
  <c r="I228" i="11"/>
  <c r="AL268" i="11"/>
  <c r="AE435" i="11"/>
  <c r="Q273" i="11"/>
  <c r="R455" i="11"/>
  <c r="Y249" i="11"/>
  <c r="BF260" i="11"/>
  <c r="BA321" i="11"/>
  <c r="P395" i="11"/>
  <c r="H274" i="11"/>
  <c r="J337" i="11"/>
  <c r="V384" i="11"/>
  <c r="AC285" i="11"/>
  <c r="AN349" i="11"/>
  <c r="C275" i="11"/>
  <c r="AR223" i="11"/>
  <c r="O443" i="11"/>
  <c r="AS260" i="11"/>
  <c r="BL433" i="11"/>
  <c r="BC346" i="11"/>
  <c r="BL318" i="11"/>
  <c r="AQ235" i="11"/>
  <c r="AQ390" i="11"/>
  <c r="AS217" i="11"/>
  <c r="BM337" i="11"/>
  <c r="Y350" i="11"/>
  <c r="Y235" i="11"/>
  <c r="AT293" i="11"/>
  <c r="AC333" i="11"/>
  <c r="AA268" i="11"/>
  <c r="BM264" i="11"/>
  <c r="BI333" i="11"/>
  <c r="BE217" i="11"/>
  <c r="AL361" i="11"/>
  <c r="R327" i="11"/>
  <c r="BE304" i="11"/>
  <c r="V263" i="11"/>
  <c r="AC269" i="11"/>
  <c r="AW255" i="11"/>
  <c r="AH390" i="11"/>
  <c r="S251" i="11"/>
  <c r="BJ252" i="11"/>
  <c r="P321" i="11"/>
  <c r="Y294" i="11"/>
  <c r="J363" i="11"/>
  <c r="BK363" i="11"/>
  <c r="K259" i="11"/>
  <c r="AM374" i="11"/>
  <c r="AX394" i="11"/>
  <c r="BH211" i="11"/>
  <c r="C237" i="11"/>
  <c r="BH332" i="11"/>
  <c r="H218" i="11"/>
  <c r="BB256" i="11"/>
  <c r="AB301" i="11"/>
  <c r="Y358" i="11"/>
  <c r="AV325" i="11"/>
  <c r="AJ325" i="11"/>
  <c r="AD399" i="11"/>
  <c r="T358" i="11"/>
  <c r="AG353" i="11"/>
  <c r="AI335" i="11"/>
  <c r="AA402" i="11"/>
  <c r="AI248" i="11"/>
  <c r="AH337" i="11"/>
  <c r="AL379" i="11"/>
  <c r="BM249" i="11"/>
  <c r="R440" i="11"/>
  <c r="AD328" i="11"/>
  <c r="AC309" i="11"/>
  <c r="BM242" i="11"/>
  <c r="AG456" i="11"/>
  <c r="Z359" i="11"/>
  <c r="AG330" i="11"/>
  <c r="AX314" i="11"/>
  <c r="AP249" i="11"/>
  <c r="AB203" i="11"/>
  <c r="W454" i="11"/>
  <c r="X435" i="11"/>
  <c r="O214" i="11"/>
  <c r="G301" i="11"/>
  <c r="Z211" i="11"/>
  <c r="BJ280" i="11"/>
  <c r="AN210" i="11"/>
  <c r="AH404" i="11"/>
  <c r="BN247" i="11"/>
  <c r="AD216" i="11"/>
  <c r="R350" i="11"/>
  <c r="BC246" i="11"/>
  <c r="H298" i="11"/>
  <c r="AK241" i="11"/>
  <c r="X392" i="11"/>
  <c r="L230" i="11"/>
  <c r="AG229" i="11"/>
  <c r="BC294" i="11"/>
  <c r="BN354" i="11"/>
  <c r="AX294" i="11"/>
  <c r="BC220" i="11"/>
  <c r="BM287" i="11"/>
  <c r="BG296" i="11"/>
  <c r="BA309" i="11"/>
  <c r="U385" i="11"/>
  <c r="AN307" i="11"/>
  <c r="AS319" i="11"/>
  <c r="AX292" i="11"/>
  <c r="AK258" i="11"/>
  <c r="AW300" i="11"/>
  <c r="V255" i="11"/>
  <c r="I403" i="11"/>
  <c r="BC250" i="11"/>
  <c r="S252" i="11"/>
  <c r="BC312" i="11"/>
  <c r="BB354" i="11"/>
  <c r="AE253" i="11"/>
  <c r="N347" i="11"/>
  <c r="H352" i="11"/>
  <c r="BB309" i="11"/>
  <c r="BD370" i="11"/>
  <c r="L315" i="11"/>
  <c r="G426" i="11"/>
  <c r="BA386" i="11"/>
  <c r="T220" i="11"/>
  <c r="Y398" i="11"/>
  <c r="X338" i="11"/>
  <c r="AC372" i="11"/>
  <c r="BF307" i="11"/>
  <c r="AU314" i="11"/>
  <c r="S290" i="11"/>
  <c r="AV222" i="11"/>
  <c r="BF395" i="11"/>
  <c r="I441" i="11"/>
  <c r="BH244" i="11"/>
  <c r="BH290" i="11"/>
  <c r="K418" i="11"/>
  <c r="AX296" i="11"/>
  <c r="AV423" i="11"/>
  <c r="C408" i="11"/>
  <c r="AQ443" i="11"/>
  <c r="BC302" i="11"/>
  <c r="AN267" i="11"/>
  <c r="AF388" i="11"/>
  <c r="AR401" i="11"/>
  <c r="AC386" i="11"/>
  <c r="AY336" i="11"/>
  <c r="Q349" i="11"/>
  <c r="AR240" i="11"/>
  <c r="AA211" i="11"/>
  <c r="AX289" i="11"/>
  <c r="O225" i="11"/>
  <c r="AU213" i="11"/>
  <c r="AL292" i="11"/>
  <c r="AC308" i="11"/>
  <c r="AI411" i="11"/>
  <c r="BA272" i="11"/>
  <c r="S229" i="11"/>
  <c r="S281" i="11"/>
  <c r="AY247" i="11"/>
  <c r="AB353" i="11"/>
  <c r="M245" i="11"/>
  <c r="AO246" i="11"/>
  <c r="P366" i="11"/>
  <c r="AO347" i="11"/>
  <c r="AV416" i="11"/>
  <c r="AR311" i="11"/>
  <c r="AC358" i="11"/>
  <c r="O208" i="11"/>
  <c r="BH357" i="11"/>
  <c r="AA212" i="11"/>
  <c r="AF286" i="11"/>
  <c r="K284" i="11"/>
  <c r="AA318" i="11"/>
  <c r="U204" i="11"/>
  <c r="AH308" i="11"/>
  <c r="BA420" i="11"/>
  <c r="M217" i="11"/>
  <c r="BL262" i="11"/>
  <c r="BI291" i="11"/>
  <c r="W228" i="11"/>
  <c r="BD291" i="11"/>
  <c r="BJ260" i="11"/>
  <c r="K453" i="11"/>
  <c r="AS233" i="11"/>
  <c r="AA251" i="11"/>
  <c r="BF455" i="11"/>
  <c r="BC268" i="11"/>
  <c r="I358" i="11"/>
  <c r="S240" i="11"/>
  <c r="T292" i="11"/>
  <c r="BM330" i="11"/>
  <c r="AO364" i="11"/>
  <c r="AW222" i="11"/>
  <c r="BG342" i="11"/>
  <c r="BA402" i="11"/>
  <c r="AN323" i="11"/>
  <c r="AU278" i="11"/>
  <c r="BE384" i="11"/>
  <c r="BD438" i="11"/>
  <c r="AP246" i="11"/>
  <c r="Y258" i="11"/>
  <c r="BJ345" i="11"/>
  <c r="K384" i="11"/>
  <c r="BI218" i="11"/>
  <c r="AN277" i="11"/>
  <c r="T249" i="11"/>
  <c r="J216" i="11"/>
  <c r="AU222" i="11"/>
  <c r="BD287" i="11"/>
  <c r="T370" i="11"/>
  <c r="AO241" i="11"/>
  <c r="AS259" i="11"/>
  <c r="BJ262" i="11"/>
  <c r="AF379" i="11"/>
  <c r="BE305" i="11"/>
  <c r="AL442" i="11"/>
  <c r="AJ318" i="11"/>
  <c r="U276" i="11"/>
  <c r="Y372" i="11"/>
  <c r="AG306" i="11"/>
  <c r="BA291" i="11"/>
  <c r="V261" i="11"/>
  <c r="K215" i="11"/>
  <c r="BD323" i="11"/>
  <c r="U291" i="11"/>
  <c r="AY314" i="11"/>
  <c r="BM357" i="11"/>
  <c r="AU286" i="11"/>
  <c r="AK230" i="11"/>
  <c r="BB398" i="11"/>
  <c r="J231" i="11"/>
  <c r="BI310" i="11"/>
  <c r="AX321" i="11"/>
  <c r="Q278" i="11"/>
  <c r="BE323" i="11"/>
  <c r="BF353" i="11"/>
  <c r="AS247" i="11"/>
  <c r="C376" i="11"/>
  <c r="Q215" i="11"/>
  <c r="I308" i="11"/>
  <c r="Y242" i="11"/>
  <c r="AH217" i="11"/>
  <c r="AY327" i="11"/>
  <c r="BF414" i="11"/>
  <c r="AL266" i="11"/>
  <c r="AF230" i="11"/>
  <c r="AK419" i="11"/>
  <c r="AW247" i="11"/>
  <c r="Z453" i="11"/>
  <c r="W229" i="11"/>
  <c r="T285" i="11"/>
  <c r="AM261" i="11"/>
  <c r="I352" i="11"/>
  <c r="AJ326" i="11"/>
  <c r="BE256" i="11"/>
  <c r="AY333" i="11"/>
  <c r="AG424" i="11"/>
  <c r="U354" i="11"/>
  <c r="AN260" i="11"/>
  <c r="G285" i="11"/>
  <c r="W294" i="11"/>
  <c r="X261" i="11"/>
  <c r="AZ275" i="11"/>
  <c r="AL263" i="11"/>
  <c r="BB279" i="11"/>
  <c r="BB221" i="11"/>
  <c r="AY399" i="11"/>
  <c r="BA247" i="11"/>
  <c r="AZ297" i="11"/>
  <c r="O341" i="11"/>
  <c r="BE390" i="11"/>
  <c r="AF380" i="11"/>
  <c r="AZ234" i="11"/>
  <c r="BG324" i="11"/>
  <c r="K257" i="11"/>
  <c r="H282" i="11"/>
  <c r="BG430" i="11"/>
  <c r="BE244" i="11"/>
  <c r="BJ249" i="11"/>
  <c r="BC389" i="11"/>
  <c r="H372" i="11"/>
  <c r="BK407" i="11"/>
  <c r="BD347" i="11"/>
  <c r="BH310" i="11"/>
  <c r="O350" i="11"/>
  <c r="BI251" i="11"/>
  <c r="AC261" i="11"/>
  <c r="S230" i="11"/>
  <c r="S321" i="11"/>
  <c r="BN258" i="11"/>
  <c r="AI305" i="11"/>
  <c r="U207" i="11"/>
  <c r="AJ309" i="11"/>
  <c r="Z376" i="11"/>
  <c r="AC329" i="11"/>
  <c r="BL275" i="11"/>
  <c r="G208" i="11"/>
  <c r="AE257" i="11"/>
  <c r="AB321" i="11"/>
  <c r="C357" i="11"/>
  <c r="AM384" i="11"/>
  <c r="AG309" i="11"/>
  <c r="Y246" i="11"/>
  <c r="C359" i="11"/>
  <c r="BA333" i="11"/>
  <c r="AM233" i="11"/>
  <c r="AQ220" i="11"/>
  <c r="N414" i="11"/>
  <c r="W231" i="11"/>
  <c r="BM230" i="11"/>
  <c r="T270" i="11"/>
  <c r="BM438" i="11"/>
  <c r="BA233" i="11"/>
  <c r="K277" i="11"/>
  <c r="BH217" i="11"/>
  <c r="BL268" i="11"/>
  <c r="BM431" i="11"/>
  <c r="AC389" i="11"/>
  <c r="BJ376" i="11"/>
  <c r="P229" i="11"/>
  <c r="AM320" i="11"/>
  <c r="AK331" i="11"/>
  <c r="P288" i="11"/>
  <c r="BF327" i="11"/>
  <c r="S340" i="11"/>
  <c r="V283" i="11"/>
  <c r="BG360" i="11"/>
  <c r="AM402" i="11"/>
  <c r="BC209" i="11"/>
  <c r="O365" i="11"/>
  <c r="P396" i="11"/>
  <c r="L250" i="11"/>
  <c r="AE284" i="11"/>
  <c r="AV310" i="11"/>
  <c r="AM309" i="11"/>
  <c r="AT343" i="11"/>
  <c r="AI331" i="11"/>
  <c r="BI262" i="11"/>
  <c r="AA353" i="11"/>
  <c r="C300" i="11"/>
  <c r="AG323" i="11"/>
  <c r="AG395" i="11"/>
  <c r="R304" i="11"/>
  <c r="BI414" i="11"/>
  <c r="AA404" i="11"/>
  <c r="T316" i="11"/>
  <c r="L257" i="11"/>
  <c r="BK285" i="11"/>
  <c r="BA223" i="11"/>
  <c r="BG364" i="11"/>
  <c r="AF288" i="11"/>
  <c r="AO234" i="11"/>
  <c r="K245" i="11"/>
  <c r="BM265" i="11"/>
  <c r="V415" i="11"/>
  <c r="AR258" i="11"/>
  <c r="J342" i="11"/>
  <c r="AG263" i="11"/>
  <c r="AY212" i="11"/>
  <c r="BN360" i="11"/>
  <c r="AP348" i="11"/>
  <c r="Y352" i="11"/>
  <c r="BJ331" i="11"/>
  <c r="M239" i="11"/>
  <c r="BI217" i="11"/>
  <c r="BN306" i="11"/>
  <c r="AW344" i="11"/>
  <c r="BN313" i="11"/>
  <c r="Z390" i="11"/>
  <c r="H277" i="11"/>
  <c r="BL212" i="11"/>
  <c r="AG228" i="11"/>
  <c r="L367" i="11"/>
  <c r="T399" i="11"/>
  <c r="AK381" i="11"/>
  <c r="AA331" i="11"/>
  <c r="AA243" i="11"/>
  <c r="AK283" i="11"/>
  <c r="BK368" i="11"/>
  <c r="AI270" i="11"/>
  <c r="AK445" i="11"/>
  <c r="AL427" i="11"/>
  <c r="AG453" i="11"/>
  <c r="U381" i="11"/>
  <c r="AB258" i="11"/>
  <c r="I210" i="11"/>
  <c r="AB251" i="11"/>
  <c r="BK238" i="11"/>
  <c r="AI292" i="11"/>
  <c r="R294" i="11"/>
  <c r="AP428" i="11"/>
  <c r="BH306" i="11"/>
  <c r="T217" i="11"/>
  <c r="P334" i="11"/>
  <c r="BN409" i="11"/>
  <c r="AH205" i="11"/>
  <c r="AE361" i="11"/>
  <c r="AF442" i="11"/>
  <c r="AD398" i="11"/>
  <c r="AQ449" i="11"/>
  <c r="BH331" i="11"/>
  <c r="W247" i="11"/>
  <c r="Q399" i="11"/>
  <c r="V232" i="11"/>
  <c r="AI407" i="11"/>
  <c r="AO307" i="11"/>
  <c r="BN422" i="11"/>
  <c r="AA442" i="11"/>
  <c r="U329" i="11"/>
  <c r="N412" i="11"/>
  <c r="AE272" i="11"/>
  <c r="AA255" i="11"/>
  <c r="AE358" i="11"/>
  <c r="AV366" i="11"/>
  <c r="Q445" i="11"/>
  <c r="AH267" i="11"/>
  <c r="AQ334" i="11"/>
  <c r="L237" i="11"/>
  <c r="BI309" i="11"/>
  <c r="AD291" i="11"/>
  <c r="AP223" i="11"/>
  <c r="BL242" i="11"/>
  <c r="BN332" i="11"/>
  <c r="BB337" i="11"/>
  <c r="BG351" i="11"/>
  <c r="AL223" i="11"/>
  <c r="BA330" i="11"/>
  <c r="BJ272" i="11"/>
  <c r="AQ341" i="11"/>
  <c r="BK287" i="11"/>
  <c r="BC384" i="11"/>
  <c r="AO279" i="11"/>
  <c r="AH295" i="11"/>
  <c r="BN321" i="11"/>
  <c r="K248" i="11"/>
  <c r="BE427" i="11"/>
  <c r="AN426" i="11"/>
  <c r="Y270" i="11"/>
  <c r="C403" i="11"/>
  <c r="I373" i="11"/>
  <c r="Z354" i="11"/>
  <c r="BE297" i="11"/>
  <c r="BB286" i="11"/>
  <c r="AR243" i="11"/>
  <c r="X252" i="11"/>
  <c r="H289" i="11"/>
  <c r="N293" i="11"/>
  <c r="M258" i="11"/>
  <c r="S242" i="11"/>
  <c r="BJ367" i="11"/>
  <c r="AJ253" i="11"/>
  <c r="AB349" i="11"/>
  <c r="BD447" i="11"/>
  <c r="AL421" i="11"/>
  <c r="AK360" i="11"/>
  <c r="AW312" i="11"/>
  <c r="T296" i="11"/>
  <c r="Z299" i="11"/>
  <c r="Q439" i="11"/>
  <c r="BJ443" i="11"/>
  <c r="G391" i="11"/>
  <c r="AV370" i="11"/>
  <c r="K368" i="11"/>
  <c r="W205" i="11"/>
  <c r="N421" i="11"/>
  <c r="BG445" i="11"/>
  <c r="AI445" i="11"/>
  <c r="BL388" i="11"/>
  <c r="AP375" i="11"/>
  <c r="BG380" i="11"/>
  <c r="BD307" i="11"/>
  <c r="BA314" i="11"/>
  <c r="AB414" i="11"/>
  <c r="K276" i="11"/>
  <c r="BI205" i="11"/>
  <c r="Z428" i="11"/>
  <c r="W254" i="11"/>
  <c r="BI208" i="11"/>
  <c r="AC255" i="11"/>
  <c r="AU285" i="11"/>
  <c r="BK335" i="11"/>
  <c r="J329" i="11"/>
  <c r="BL413" i="11"/>
  <c r="AB223" i="11"/>
  <c r="BC307" i="11"/>
  <c r="BJ254" i="11"/>
  <c r="BJ405" i="11"/>
  <c r="R216" i="11"/>
  <c r="AP225" i="11"/>
  <c r="BL380" i="11"/>
  <c r="AX218" i="11"/>
  <c r="AT316" i="11"/>
  <c r="AN404" i="11"/>
  <c r="P289" i="11"/>
  <c r="AH354" i="11"/>
  <c r="BN283" i="11"/>
  <c r="AZ270" i="11"/>
  <c r="N313" i="11"/>
  <c r="S260" i="11"/>
  <c r="AG386" i="11"/>
  <c r="BN288" i="11"/>
  <c r="J249" i="11"/>
  <c r="BL368" i="11"/>
  <c r="BF401" i="11"/>
  <c r="AF340" i="11"/>
  <c r="AM280" i="11"/>
  <c r="Y228" i="11"/>
  <c r="BH245" i="11"/>
  <c r="BF286" i="11"/>
  <c r="H222" i="11"/>
  <c r="BD385" i="11"/>
  <c r="AR374" i="11"/>
  <c r="AU218" i="11"/>
  <c r="BL345" i="11"/>
  <c r="BA417" i="11"/>
  <c r="AI204" i="11"/>
  <c r="AN409" i="11"/>
  <c r="AO250" i="11"/>
  <c r="V412" i="11"/>
  <c r="S275" i="11"/>
  <c r="BI449" i="11"/>
  <c r="J446" i="11"/>
  <c r="P409" i="11"/>
  <c r="AQ322" i="11"/>
  <c r="AR205" i="11"/>
  <c r="AT302" i="11"/>
  <c r="BJ329" i="11"/>
  <c r="AJ222" i="11"/>
  <c r="AS221" i="11"/>
  <c r="BN299" i="11"/>
  <c r="P448" i="11"/>
  <c r="I351" i="11"/>
  <c r="BF447" i="11"/>
  <c r="T287" i="11"/>
  <c r="AJ245" i="11"/>
  <c r="V452" i="11"/>
  <c r="G365" i="11"/>
  <c r="H362" i="11"/>
  <c r="BL420" i="11"/>
  <c r="AP253" i="11"/>
  <c r="AN333" i="11"/>
  <c r="AQ440" i="11"/>
  <c r="AG289" i="11"/>
  <c r="AX434" i="11"/>
  <c r="M446" i="11"/>
  <c r="R283" i="11"/>
  <c r="AS263" i="11"/>
  <c r="AJ319" i="11"/>
  <c r="P451" i="11"/>
  <c r="BE408" i="11"/>
  <c r="AB254" i="11"/>
  <c r="AL289" i="11"/>
  <c r="O357" i="11"/>
  <c r="BA372" i="11"/>
  <c r="AK250" i="11"/>
  <c r="AO414" i="11"/>
  <c r="R389" i="11"/>
  <c r="AO360" i="11"/>
  <c r="AQ345" i="11"/>
  <c r="BD340" i="11"/>
  <c r="AZ377" i="11"/>
  <c r="BF359" i="11"/>
  <c r="X215" i="11"/>
  <c r="AW362" i="11"/>
  <c r="BA240" i="11"/>
  <c r="AV284" i="11"/>
  <c r="AE232" i="11"/>
  <c r="N217" i="11"/>
  <c r="M313" i="11"/>
  <c r="U404" i="11"/>
  <c r="L372" i="11"/>
  <c r="X403" i="11"/>
  <c r="AK252" i="11"/>
  <c r="BM263" i="11"/>
  <c r="Z406" i="11"/>
  <c r="AE266" i="11"/>
  <c r="C270" i="11"/>
  <c r="AN367" i="11"/>
  <c r="BN239" i="11"/>
  <c r="R328" i="11"/>
  <c r="M224" i="11"/>
  <c r="M246" i="11"/>
  <c r="AH372" i="11"/>
  <c r="AX375" i="11"/>
  <c r="AN376" i="11"/>
  <c r="M284" i="11"/>
  <c r="AV437" i="11"/>
  <c r="AK361" i="11"/>
  <c r="U304" i="11"/>
  <c r="BF335" i="11"/>
  <c r="AL316" i="11"/>
  <c r="BG300" i="11"/>
  <c r="BI242" i="11"/>
  <c r="BC422" i="11"/>
  <c r="M311" i="11"/>
  <c r="N284" i="11"/>
  <c r="AO424" i="11"/>
  <c r="AV346" i="11"/>
  <c r="P303" i="11"/>
  <c r="AN291" i="11"/>
  <c r="J239" i="11"/>
  <c r="BC402" i="11"/>
  <c r="BA311" i="11"/>
  <c r="AG247" i="11"/>
  <c r="S259" i="11"/>
  <c r="BD252" i="11"/>
  <c r="AM361" i="11"/>
  <c r="G210" i="11"/>
  <c r="BI257" i="11"/>
  <c r="AA253" i="11"/>
  <c r="AR292" i="11"/>
  <c r="AI315" i="11"/>
  <c r="AE249" i="11"/>
  <c r="BB327" i="11"/>
  <c r="AV406" i="11"/>
  <c r="K255" i="11"/>
  <c r="BN302" i="11"/>
  <c r="BD387" i="11"/>
  <c r="BG366" i="11"/>
  <c r="S348" i="11"/>
  <c r="BG384" i="11"/>
  <c r="I374" i="11"/>
  <c r="BA232" i="11"/>
  <c r="G238" i="11"/>
  <c r="BN270" i="11"/>
  <c r="M358" i="11"/>
  <c r="X264" i="11"/>
  <c r="AO208" i="11"/>
  <c r="AP456" i="11"/>
  <c r="BM362" i="11"/>
  <c r="BF282" i="11"/>
  <c r="BN226" i="11"/>
  <c r="AM226" i="11"/>
  <c r="AW365" i="11"/>
  <c r="BB208" i="11"/>
  <c r="AS442" i="11"/>
  <c r="AW237" i="11"/>
  <c r="AJ402" i="11"/>
  <c r="BB385" i="11"/>
  <c r="L361" i="11"/>
  <c r="BF279" i="11"/>
  <c r="AE273" i="11"/>
  <c r="AP356" i="11"/>
  <c r="AX308" i="11"/>
  <c r="AB215" i="11"/>
  <c r="J332" i="11"/>
  <c r="BD310" i="11"/>
  <c r="BL356" i="11"/>
  <c r="Z379" i="11"/>
  <c r="Y394" i="11"/>
  <c r="AK294" i="11"/>
  <c r="AU264" i="11"/>
  <c r="W374" i="11"/>
  <c r="Y401" i="11"/>
  <c r="Q336" i="11"/>
  <c r="R348" i="11"/>
  <c r="AP271" i="11"/>
  <c r="O380" i="11"/>
  <c r="AA327" i="11"/>
  <c r="AI226" i="11"/>
  <c r="Y277" i="11"/>
  <c r="U258" i="11"/>
  <c r="BM448" i="11"/>
  <c r="AA266" i="11"/>
  <c r="BC340" i="11"/>
  <c r="AQ359" i="11"/>
  <c r="AB405" i="11"/>
  <c r="BJ388" i="11"/>
  <c r="V324" i="11"/>
  <c r="BC257" i="11"/>
  <c r="BH380" i="11"/>
  <c r="AX391" i="11"/>
  <c r="AY270" i="11"/>
  <c r="BE224" i="11"/>
  <c r="AU302" i="11"/>
  <c r="AG298" i="11"/>
  <c r="AA306" i="11"/>
  <c r="AL343" i="11"/>
  <c r="AP243" i="11"/>
  <c r="AV278" i="11"/>
  <c r="BC344" i="11"/>
  <c r="AG260" i="11"/>
  <c r="Q249" i="11"/>
  <c r="BL424" i="11"/>
  <c r="BF393" i="11"/>
  <c r="L418" i="11"/>
  <c r="J307" i="11"/>
  <c r="H252" i="11"/>
  <c r="AI356" i="11"/>
  <c r="S372" i="11"/>
  <c r="O219" i="11"/>
  <c r="I348" i="11"/>
  <c r="AL206" i="11"/>
  <c r="AY229" i="11"/>
  <c r="AH298" i="11"/>
  <c r="BB216" i="11"/>
  <c r="M269" i="11"/>
  <c r="AJ371" i="11"/>
  <c r="V402" i="11"/>
  <c r="I390" i="11"/>
  <c r="BK341" i="11"/>
  <c r="AU386" i="11"/>
  <c r="T266" i="11"/>
  <c r="AV246" i="11"/>
  <c r="P436" i="11"/>
  <c r="AD323" i="11"/>
  <c r="AP311" i="11"/>
  <c r="W302" i="11"/>
  <c r="M341" i="11"/>
  <c r="BF372" i="11"/>
  <c r="AZ391" i="11"/>
  <c r="AY388" i="11"/>
  <c r="T275" i="11"/>
  <c r="AT383" i="11"/>
  <c r="S287" i="11"/>
  <c r="AG240" i="11"/>
  <c r="AR365" i="11"/>
  <c r="AW317" i="11"/>
  <c r="Z353" i="11"/>
  <c r="H256" i="11"/>
  <c r="AY233" i="11"/>
  <c r="AW267" i="11"/>
  <c r="AE274" i="11"/>
  <c r="AO280" i="11"/>
  <c r="AY384" i="11"/>
  <c r="K252" i="11"/>
  <c r="P275" i="11"/>
  <c r="AG360" i="11"/>
  <c r="AK233" i="11"/>
  <c r="H224" i="11"/>
  <c r="BK203" i="11"/>
  <c r="P299" i="11"/>
  <c r="BJ251" i="11"/>
  <c r="K236" i="11"/>
  <c r="AX248" i="11"/>
  <c r="BM454" i="11"/>
  <c r="AP438" i="11"/>
  <c r="K246" i="11"/>
  <c r="M274" i="11"/>
  <c r="AM227" i="11"/>
  <c r="AZ452" i="11"/>
  <c r="AZ253" i="11"/>
  <c r="BL444" i="11"/>
  <c r="BI245" i="11"/>
  <c r="AP272" i="11"/>
  <c r="S238" i="11"/>
  <c r="AY242" i="11"/>
  <c r="BN257" i="11"/>
  <c r="AV275" i="11"/>
  <c r="AP336" i="11"/>
  <c r="AI346" i="11"/>
  <c r="C347" i="11"/>
  <c r="AY284" i="11"/>
  <c r="AJ238" i="11"/>
  <c r="BB343" i="11"/>
  <c r="AR440" i="11"/>
  <c r="U238" i="11"/>
  <c r="BC237" i="11"/>
  <c r="BN392" i="11"/>
  <c r="BJ392" i="11"/>
  <c r="AO350" i="11"/>
  <c r="AY354" i="11"/>
  <c r="AO317" i="11"/>
  <c r="AQ222" i="11"/>
  <c r="BN320" i="11"/>
  <c r="AZ296" i="11"/>
  <c r="J313" i="11"/>
  <c r="Z304" i="11"/>
  <c r="AW280" i="11"/>
  <c r="R300" i="11"/>
  <c r="AN372" i="11"/>
  <c r="BC263" i="11"/>
  <c r="BF382" i="11"/>
  <c r="AG279" i="11"/>
  <c r="O211" i="11"/>
  <c r="BJ293" i="11"/>
  <c r="U343" i="11"/>
  <c r="J256" i="11"/>
  <c r="Z283" i="11"/>
  <c r="AS309" i="11"/>
  <c r="BJ380" i="11"/>
  <c r="AI235" i="11"/>
  <c r="N334" i="11"/>
  <c r="W311" i="11"/>
  <c r="AP339" i="11"/>
  <c r="AX381" i="11"/>
  <c r="BB226" i="11"/>
  <c r="AY369" i="11"/>
  <c r="K335" i="11"/>
  <c r="BJ288" i="11"/>
  <c r="BI274" i="11"/>
  <c r="V431" i="11"/>
  <c r="AQ246" i="11"/>
  <c r="AI272" i="11"/>
  <c r="G206" i="11"/>
  <c r="O215" i="11"/>
  <c r="AH268" i="11"/>
  <c r="BN393" i="11"/>
  <c r="AM253" i="11"/>
  <c r="AH344" i="11"/>
  <c r="AP309" i="11"/>
  <c r="BE424" i="11"/>
  <c r="BN343" i="11"/>
  <c r="L203" i="11"/>
  <c r="J280" i="11"/>
  <c r="G313" i="11"/>
  <c r="AR228" i="11"/>
  <c r="BD330" i="11"/>
  <c r="BJ386" i="11"/>
  <c r="AQ232" i="11"/>
  <c r="P431" i="11"/>
  <c r="C216" i="11"/>
  <c r="R244" i="11"/>
  <c r="AJ367" i="11"/>
  <c r="V303" i="11"/>
  <c r="BB395" i="11"/>
  <c r="BN242" i="11"/>
  <c r="BG315" i="11"/>
  <c r="Y359" i="11"/>
  <c r="R376" i="11"/>
  <c r="H371" i="11"/>
  <c r="AY249" i="11"/>
  <c r="AT384" i="11"/>
  <c r="R312" i="11"/>
  <c r="Z207" i="11"/>
  <c r="AQ331" i="11"/>
  <c r="P382" i="11"/>
  <c r="AC307" i="11"/>
  <c r="K416" i="11"/>
  <c r="I223" i="11"/>
  <c r="R278" i="11"/>
  <c r="AT377" i="11"/>
  <c r="BB259" i="11"/>
  <c r="BD344" i="11"/>
  <c r="BK371" i="11"/>
  <c r="BH298" i="11"/>
  <c r="AH400" i="11"/>
  <c r="AS258" i="11"/>
  <c r="BM424" i="11"/>
  <c r="U316" i="11"/>
  <c r="BF222" i="11"/>
  <c r="AM244" i="11"/>
  <c r="BJ365" i="11"/>
  <c r="U279" i="11"/>
  <c r="AS325" i="11"/>
  <c r="BN331" i="11"/>
  <c r="AH324" i="11"/>
  <c r="K281" i="11"/>
  <c r="AX235" i="11"/>
  <c r="AN357" i="11"/>
  <c r="I207" i="11"/>
  <c r="BM397" i="11"/>
  <c r="R380" i="11"/>
  <c r="BA377" i="11"/>
  <c r="AA346" i="11"/>
  <c r="AD367" i="11"/>
  <c r="BH295" i="11"/>
  <c r="AG416" i="11"/>
  <c r="AR356" i="11"/>
  <c r="AZ310" i="11"/>
  <c r="AA343" i="11"/>
  <c r="P357" i="11"/>
  <c r="Y395" i="11"/>
  <c r="AT214" i="11"/>
  <c r="AY296" i="11"/>
  <c r="AA209" i="11"/>
  <c r="AE432" i="11"/>
  <c r="S352" i="11"/>
  <c r="C441" i="11"/>
  <c r="AP423" i="11"/>
  <c r="BA443" i="11"/>
  <c r="AN444" i="11"/>
  <c r="U433" i="11"/>
  <c r="AJ254" i="11"/>
  <c r="I266" i="11"/>
  <c r="AO448" i="11"/>
  <c r="BH259" i="11"/>
  <c r="Z382" i="11"/>
  <c r="AX344" i="11"/>
  <c r="AG436" i="11"/>
  <c r="G444" i="11"/>
  <c r="W421" i="11"/>
  <c r="L444" i="11"/>
  <c r="BK310" i="11"/>
  <c r="AX368" i="11"/>
  <c r="AD276" i="11"/>
  <c r="AS330" i="11"/>
  <c r="J407" i="11"/>
  <c r="BK411" i="11"/>
  <c r="C438" i="11"/>
  <c r="BD256" i="11"/>
  <c r="AL265" i="11"/>
  <c r="Z293" i="11"/>
  <c r="BE414" i="11"/>
  <c r="BG444" i="11"/>
  <c r="X431" i="11"/>
  <c r="AN453" i="11"/>
  <c r="S253" i="11"/>
  <c r="AZ239" i="11"/>
  <c r="Q216" i="11"/>
  <c r="AX210" i="11"/>
  <c r="BF211" i="11"/>
  <c r="P364" i="11"/>
  <c r="AI314" i="11"/>
  <c r="BC380" i="11"/>
  <c r="O244" i="11"/>
  <c r="U384" i="11"/>
  <c r="BD233" i="11"/>
  <c r="G209" i="11"/>
  <c r="AP263" i="11"/>
  <c r="AW375" i="11"/>
  <c r="AP308" i="11"/>
  <c r="AQ321" i="11"/>
  <c r="AL311" i="11"/>
  <c r="T367" i="11"/>
  <c r="AQ210" i="11"/>
  <c r="AC328" i="11"/>
  <c r="AZ350" i="11"/>
  <c r="V357" i="11"/>
  <c r="AG375" i="11"/>
  <c r="AG331" i="11"/>
  <c r="BF344" i="11"/>
  <c r="AQ228" i="11"/>
  <c r="AK289" i="11"/>
  <c r="I286" i="11"/>
  <c r="BD374" i="11"/>
  <c r="P300" i="11"/>
  <c r="O360" i="11"/>
  <c r="V441" i="11"/>
  <c r="AW436" i="11"/>
  <c r="BC242" i="11"/>
  <c r="AN314" i="11"/>
  <c r="Y420" i="11"/>
  <c r="X450" i="11"/>
  <c r="BE441" i="11"/>
  <c r="J398" i="11"/>
  <c r="AO427" i="11"/>
  <c r="AJ422" i="11"/>
  <c r="AK248" i="11"/>
  <c r="U360" i="11"/>
  <c r="AV395" i="11"/>
  <c r="AS310" i="11"/>
  <c r="BN382" i="11"/>
  <c r="AQ411" i="11"/>
  <c r="AO376" i="11"/>
  <c r="W445" i="11"/>
  <c r="BL232" i="11"/>
  <c r="AX237" i="11"/>
  <c r="AU382" i="11"/>
  <c r="AQ436" i="11"/>
  <c r="X421" i="11"/>
  <c r="AH316" i="11"/>
  <c r="AP219" i="11"/>
  <c r="O430" i="11"/>
  <c r="BE351" i="11"/>
  <c r="AH250" i="11"/>
  <c r="BE289" i="11"/>
  <c r="P428" i="11"/>
  <c r="AL449" i="11"/>
  <c r="AN232" i="11"/>
  <c r="AJ417" i="11"/>
  <c r="BL421" i="11"/>
  <c r="C362" i="11"/>
  <c r="G232" i="11"/>
  <c r="S305" i="11"/>
  <c r="BB308" i="11"/>
  <c r="BF238" i="11"/>
  <c r="AC392" i="11"/>
  <c r="Q280" i="11"/>
  <c r="BB373" i="11"/>
  <c r="BB257" i="11"/>
  <c r="AE364" i="11"/>
  <c r="AW215" i="11"/>
  <c r="BB368" i="11"/>
  <c r="AG227" i="11"/>
  <c r="K258" i="11"/>
  <c r="BM385" i="11"/>
  <c r="O316" i="11"/>
  <c r="M369" i="11"/>
  <c r="BB432" i="11"/>
  <c r="AW345" i="11"/>
  <c r="V246" i="11"/>
  <c r="BI305" i="11"/>
  <c r="AI250" i="11"/>
  <c r="L300" i="11"/>
  <c r="C405" i="11"/>
  <c r="M410" i="11"/>
  <c r="W397" i="11"/>
  <c r="AS304" i="11"/>
  <c r="BM305" i="11"/>
  <c r="AB394" i="11"/>
  <c r="K290" i="11"/>
  <c r="AV238" i="11"/>
  <c r="AI269" i="11"/>
  <c r="S327" i="11"/>
  <c r="N286" i="11"/>
  <c r="AZ205" i="11"/>
  <c r="AV254" i="11"/>
  <c r="AM279" i="11"/>
  <c r="BH425" i="11"/>
  <c r="BH305" i="11"/>
  <c r="AJ427" i="11"/>
  <c r="BC431" i="11"/>
  <c r="BM398" i="11"/>
  <c r="AU359" i="11"/>
  <c r="AZ383" i="11"/>
  <c r="AG362" i="11"/>
  <c r="H425" i="11"/>
  <c r="Z424" i="11"/>
  <c r="BC227" i="11"/>
  <c r="BE314" i="11"/>
  <c r="AR412" i="11"/>
  <c r="BB291" i="11"/>
  <c r="C413" i="11"/>
  <c r="AU331" i="11"/>
  <c r="N236" i="11"/>
  <c r="C448" i="11"/>
  <c r="BM444" i="11"/>
  <c r="AE386" i="11"/>
  <c r="BH411" i="11"/>
  <c r="AY395" i="11"/>
  <c r="AU438" i="11"/>
  <c r="R357" i="11"/>
  <c r="BL336" i="11"/>
  <c r="AV375" i="11"/>
  <c r="Z226" i="11"/>
  <c r="AB323" i="11"/>
  <c r="BK220" i="11"/>
  <c r="W273" i="11"/>
  <c r="AE277" i="11"/>
  <c r="AR425" i="11"/>
  <c r="Y347" i="11"/>
  <c r="AU360" i="11"/>
  <c r="BB357" i="11"/>
  <c r="K370" i="11"/>
  <c r="BF346" i="11"/>
  <c r="AA388" i="11"/>
  <c r="M398" i="11"/>
  <c r="Z272" i="11"/>
  <c r="BA329" i="11"/>
  <c r="Z290" i="11"/>
  <c r="AG378" i="11"/>
  <c r="AF216" i="11"/>
  <c r="BJ283" i="11"/>
  <c r="BG373" i="11"/>
  <c r="H288" i="11"/>
  <c r="BK326" i="11"/>
  <c r="AG209" i="11"/>
  <c r="V299" i="11"/>
  <c r="AG273" i="11"/>
  <c r="AS269" i="11"/>
  <c r="BH248" i="11"/>
  <c r="BL230" i="11"/>
  <c r="BH338" i="11"/>
  <c r="AV281" i="11"/>
  <c r="C350" i="11"/>
  <c r="N452" i="11"/>
  <c r="C276" i="11"/>
  <c r="AK396" i="11"/>
  <c r="AS321" i="11"/>
  <c r="T312" i="11"/>
  <c r="AN263" i="11"/>
  <c r="AR259" i="11"/>
  <c r="AW206" i="11"/>
  <c r="AO366" i="11"/>
  <c r="O279" i="11"/>
  <c r="BC406" i="11"/>
  <c r="AF272" i="11"/>
  <c r="AK403" i="11"/>
  <c r="G315" i="11"/>
  <c r="BF236" i="11"/>
  <c r="Y332" i="11"/>
  <c r="O335" i="11"/>
  <c r="AF446" i="11"/>
  <c r="BA326" i="11"/>
  <c r="M344" i="11"/>
  <c r="BJ327" i="11"/>
  <c r="Z315" i="11"/>
  <c r="BM329" i="11"/>
  <c r="Y253" i="11"/>
  <c r="U383" i="11"/>
  <c r="BG272" i="11"/>
  <c r="AC371" i="11"/>
  <c r="BA392" i="11"/>
  <c r="N223" i="11"/>
  <c r="J233" i="11"/>
  <c r="Z335" i="11"/>
  <c r="BE320" i="11"/>
  <c r="AU336" i="11"/>
  <c r="AT399" i="11"/>
  <c r="T241" i="11"/>
  <c r="P326" i="11"/>
  <c r="AU385" i="11"/>
  <c r="AG220" i="11"/>
  <c r="AN258" i="11"/>
  <c r="AL397" i="11"/>
  <c r="R236" i="11"/>
  <c r="AG221" i="11"/>
  <c r="AQ333" i="11"/>
  <c r="AX377" i="11"/>
  <c r="BL317" i="11"/>
  <c r="AH272" i="11"/>
  <c r="BL361" i="11"/>
  <c r="BB417" i="11"/>
  <c r="AE285" i="11"/>
  <c r="BK322" i="11"/>
  <c r="T361" i="11"/>
  <c r="AU452" i="11"/>
  <c r="BL328" i="11"/>
  <c r="Z403" i="11"/>
  <c r="AP239" i="11"/>
  <c r="BI224" i="11"/>
  <c r="AS297" i="11"/>
  <c r="BC314" i="11"/>
  <c r="T404" i="11"/>
  <c r="AS264" i="11"/>
  <c r="AA233" i="11"/>
  <c r="AY230" i="11"/>
  <c r="R362" i="11"/>
  <c r="AP250" i="11"/>
  <c r="Q218" i="11"/>
  <c r="I239" i="11"/>
  <c r="BB340" i="11"/>
  <c r="AM348" i="11"/>
  <c r="AQ396" i="11"/>
  <c r="AN214" i="11"/>
  <c r="BB302" i="11"/>
  <c r="AD374" i="11"/>
  <c r="BJ385" i="11"/>
  <c r="AQ397" i="11"/>
  <c r="BA322" i="11"/>
  <c r="N306" i="11"/>
  <c r="Z316" i="11"/>
  <c r="G448" i="11"/>
  <c r="AH303" i="11"/>
  <c r="G405" i="11"/>
  <c r="AB272" i="11"/>
  <c r="AD386" i="11"/>
  <c r="AZ309" i="11"/>
  <c r="Z333" i="11"/>
  <c r="AM289" i="11"/>
  <c r="BK431" i="11"/>
  <c r="AX390" i="11"/>
  <c r="Q251" i="11"/>
  <c r="K437" i="11"/>
  <c r="AW217" i="11"/>
  <c r="J276" i="11"/>
  <c r="G273" i="11"/>
  <c r="W329" i="11"/>
  <c r="AS227" i="11"/>
  <c r="AF387" i="11"/>
  <c r="BK319" i="11"/>
  <c r="R286" i="11"/>
  <c r="H343" i="11"/>
  <c r="J395" i="11"/>
  <c r="BF290" i="11"/>
  <c r="BE285" i="11"/>
  <c r="Z280" i="11"/>
  <c r="I371" i="11"/>
  <c r="K315" i="11"/>
  <c r="AY236" i="11"/>
  <c r="BA256" i="11"/>
  <c r="AW212" i="11"/>
  <c r="BM355" i="11"/>
  <c r="BK438" i="11"/>
  <c r="BL291" i="11"/>
  <c r="AH212" i="11"/>
  <c r="R255" i="11"/>
  <c r="BN289" i="11"/>
  <c r="AZ332" i="11"/>
  <c r="AR268" i="11"/>
  <c r="AV442" i="11"/>
  <c r="AF295" i="11"/>
  <c r="AD275" i="11"/>
  <c r="AQ251" i="11"/>
  <c r="AT220" i="11"/>
  <c r="K261" i="11"/>
  <c r="AM428" i="11"/>
  <c r="H378" i="11"/>
  <c r="AX393" i="11"/>
  <c r="AB303" i="11"/>
  <c r="O333" i="11"/>
  <c r="AF300" i="11"/>
  <c r="AJ331" i="11"/>
  <c r="AW356" i="11"/>
  <c r="AY300" i="11"/>
  <c r="J365" i="11"/>
  <c r="AO392" i="11"/>
  <c r="BN297" i="11"/>
  <c r="AA351" i="11"/>
  <c r="BM278" i="11"/>
  <c r="BJ333" i="11"/>
  <c r="Q210" i="11"/>
  <c r="AR299" i="11"/>
  <c r="AV247" i="11"/>
  <c r="AY244" i="11"/>
  <c r="P253" i="11"/>
  <c r="BL442" i="11"/>
  <c r="AR406" i="11"/>
  <c r="AM239" i="11"/>
  <c r="Z320" i="11"/>
  <c r="J344" i="11"/>
  <c r="G268" i="11"/>
  <c r="AN308" i="11"/>
  <c r="AZ352" i="11"/>
  <c r="Z288" i="11"/>
  <c r="BB358" i="11"/>
  <c r="O377" i="11"/>
  <c r="M227" i="11"/>
  <c r="AC418" i="11"/>
  <c r="AW343" i="11"/>
  <c r="X246" i="11"/>
  <c r="J314" i="11"/>
  <c r="AC221" i="11"/>
  <c r="BF456" i="11"/>
  <c r="BA397" i="11"/>
  <c r="G296" i="11"/>
  <c r="AF279" i="11"/>
  <c r="AH347" i="11"/>
  <c r="AB299" i="11"/>
  <c r="AF266" i="11"/>
  <c r="AZ411" i="11"/>
  <c r="O319" i="11"/>
  <c r="AS344" i="11"/>
  <c r="V220" i="11"/>
  <c r="BM451" i="11"/>
  <c r="AH396" i="11"/>
  <c r="G289" i="11"/>
  <c r="AA222" i="11"/>
  <c r="O329" i="11"/>
  <c r="AB346" i="11"/>
  <c r="Q298" i="11"/>
  <c r="U214" i="11"/>
  <c r="AF296" i="11"/>
  <c r="W320" i="11"/>
  <c r="AC211" i="11"/>
  <c r="C296" i="11"/>
  <c r="O257" i="11"/>
  <c r="AL239" i="11"/>
  <c r="AO253" i="11"/>
  <c r="AR282" i="11"/>
  <c r="AF331" i="11"/>
  <c r="AS388" i="11"/>
  <c r="J317" i="11"/>
  <c r="L272" i="11"/>
  <c r="AH309" i="11"/>
  <c r="AA434" i="11"/>
  <c r="BE379" i="11"/>
  <c r="BJ231" i="11"/>
  <c r="S291" i="11"/>
  <c r="AF344" i="11"/>
  <c r="I401" i="11"/>
  <c r="C328" i="11"/>
  <c r="I209" i="11"/>
  <c r="BI407" i="11"/>
  <c r="J217" i="11"/>
  <c r="BI319" i="11"/>
  <c r="K287" i="11"/>
  <c r="G330" i="11"/>
  <c r="W387" i="11"/>
  <c r="AU223" i="11"/>
  <c r="AJ287" i="11"/>
  <c r="J240" i="11"/>
  <c r="AV296" i="11"/>
  <c r="AM347" i="11"/>
  <c r="T267" i="11"/>
  <c r="AG338" i="11"/>
  <c r="AO331" i="11"/>
  <c r="Q312" i="11"/>
  <c r="AK216" i="11"/>
  <c r="T324" i="11"/>
  <c r="AY267" i="11"/>
  <c r="AL346" i="11"/>
  <c r="BC208" i="11"/>
  <c r="BI258" i="11"/>
  <c r="AR357" i="11"/>
  <c r="Q274" i="11"/>
  <c r="AJ387" i="11"/>
  <c r="AZ242" i="11"/>
  <c r="Q334" i="11"/>
  <c r="G338" i="11"/>
  <c r="BB230" i="11"/>
  <c r="H449" i="11"/>
  <c r="J306" i="11"/>
  <c r="BI239" i="11"/>
  <c r="BE250" i="11"/>
  <c r="BJ281" i="11"/>
  <c r="AZ412" i="11"/>
  <c r="X257" i="11"/>
  <c r="M449" i="11"/>
  <c r="R224" i="11"/>
  <c r="BH322" i="11"/>
  <c r="AP259" i="11"/>
  <c r="BI232" i="11"/>
  <c r="C229" i="11"/>
  <c r="BN408" i="11"/>
  <c r="V448" i="11"/>
  <c r="BJ428" i="11"/>
  <c r="J356" i="11"/>
  <c r="AD266" i="11"/>
  <c r="AI213" i="11"/>
  <c r="G222" i="11"/>
  <c r="AS373" i="11"/>
  <c r="P398" i="11"/>
  <c r="C306" i="11"/>
  <c r="BK436" i="11"/>
  <c r="BC289" i="11"/>
  <c r="BL281" i="11"/>
  <c r="BJ298" i="11"/>
  <c r="AF350" i="11"/>
  <c r="BL234" i="11"/>
  <c r="H400" i="11"/>
  <c r="AT229" i="11"/>
  <c r="O234" i="11"/>
  <c r="H373" i="11"/>
  <c r="AN400" i="11"/>
  <c r="Q299" i="11"/>
  <c r="T301" i="11"/>
  <c r="AO330" i="11"/>
  <c r="Q284" i="11"/>
  <c r="BB247" i="11"/>
  <c r="J221" i="11"/>
  <c r="W367" i="11"/>
  <c r="AZ291" i="11"/>
  <c r="Q265" i="11"/>
  <c r="BF262" i="11"/>
  <c r="J349" i="11"/>
  <c r="N259" i="11"/>
  <c r="AB413" i="11"/>
  <c r="AH228" i="11"/>
  <c r="AQ266" i="11"/>
  <c r="Y321" i="11"/>
  <c r="AY213" i="11"/>
  <c r="AO327" i="11"/>
  <c r="AV339" i="11"/>
  <c r="V296" i="11"/>
  <c r="AT295" i="11"/>
  <c r="BL315" i="11"/>
  <c r="BM402" i="11"/>
  <c r="S338" i="11"/>
  <c r="AV318" i="11"/>
  <c r="BH359" i="11"/>
  <c r="AV401" i="11"/>
  <c r="P235" i="11"/>
  <c r="AB401" i="11"/>
  <c r="O372" i="11"/>
  <c r="BD365" i="11"/>
  <c r="AD352" i="11"/>
  <c r="AD377" i="11"/>
  <c r="AS361" i="11"/>
  <c r="X259" i="11"/>
  <c r="AS296" i="11"/>
  <c r="S248" i="11"/>
  <c r="H367" i="11"/>
  <c r="O290" i="11"/>
  <c r="BN336" i="11"/>
  <c r="AK264" i="11"/>
  <c r="BB419" i="11"/>
  <c r="AW276" i="11"/>
  <c r="W283" i="11"/>
  <c r="P423" i="11"/>
  <c r="N410" i="11"/>
  <c r="H413" i="11"/>
  <c r="Z300" i="11"/>
  <c r="BG362" i="11"/>
  <c r="W377" i="11"/>
  <c r="AL325" i="11"/>
  <c r="BD213" i="11"/>
  <c r="AA269" i="11"/>
  <c r="AJ266" i="11"/>
  <c r="AI410" i="11"/>
  <c r="AN223" i="11"/>
  <c r="AD446" i="11"/>
  <c r="BL236" i="11"/>
  <c r="Y455" i="11"/>
  <c r="AD317" i="11"/>
  <c r="I432" i="11"/>
  <c r="AB337" i="11"/>
  <c r="AB439" i="11"/>
  <c r="BN348" i="11"/>
  <c r="AY447" i="11"/>
  <c r="AN352" i="11"/>
  <c r="S418" i="11"/>
  <c r="BF411" i="11"/>
  <c r="AX333" i="11"/>
  <c r="W456" i="11"/>
  <c r="AK232" i="11"/>
  <c r="AX441" i="11"/>
  <c r="AY208" i="11"/>
  <c r="AL376" i="11"/>
  <c r="BC345" i="11"/>
  <c r="BH346" i="11"/>
  <c r="K251" i="11"/>
  <c r="AG385" i="11"/>
  <c r="P330" i="11"/>
  <c r="BB345" i="11"/>
  <c r="AB435" i="11"/>
  <c r="P380" i="11"/>
  <c r="I350" i="11"/>
  <c r="V252" i="11"/>
  <c r="BB369" i="11"/>
  <c r="AD241" i="11"/>
  <c r="O304" i="11"/>
  <c r="AR286" i="11"/>
  <c r="Z308" i="11"/>
  <c r="BF356" i="11"/>
  <c r="Y389" i="11"/>
  <c r="AY408" i="11"/>
  <c r="AS231" i="11"/>
  <c r="AD211" i="11"/>
  <c r="L323" i="11"/>
  <c r="T401" i="11"/>
  <c r="AR239" i="11"/>
  <c r="AZ324" i="11"/>
  <c r="U280" i="11"/>
  <c r="AJ389" i="11"/>
  <c r="BF322" i="11"/>
  <c r="AA294" i="11"/>
  <c r="G223" i="11"/>
  <c r="AA210" i="11"/>
  <c r="AK393" i="11"/>
  <c r="J230" i="11"/>
  <c r="AG325" i="11"/>
  <c r="AU366" i="11"/>
  <c r="V331" i="11"/>
  <c r="BG434" i="11"/>
  <c r="AN302" i="11"/>
  <c r="X430" i="11"/>
  <c r="AB206" i="11"/>
  <c r="I438" i="11"/>
  <c r="H409" i="11"/>
  <c r="BE433" i="11"/>
  <c r="BM349" i="11"/>
  <c r="BM235" i="11"/>
  <c r="Z240" i="11"/>
  <c r="BK356" i="11"/>
  <c r="K222" i="11"/>
  <c r="O440" i="11"/>
  <c r="AR430" i="11"/>
  <c r="AP426" i="11"/>
  <c r="AY402" i="11"/>
  <c r="AB440" i="11"/>
  <c r="R245" i="11"/>
  <c r="BA298" i="11"/>
  <c r="O348" i="11"/>
  <c r="O284" i="11"/>
  <c r="R442" i="11"/>
  <c r="AF256" i="11"/>
  <c r="U407" i="11"/>
  <c r="AN334" i="11"/>
  <c r="AK318" i="11"/>
  <c r="W452" i="11"/>
  <c r="AX205" i="11"/>
  <c r="AV213" i="11"/>
  <c r="AC303" i="11"/>
  <c r="AN431" i="11"/>
  <c r="W301" i="11"/>
  <c r="G281" i="11"/>
  <c r="AU247" i="11"/>
  <c r="BG415" i="11"/>
  <c r="BC284" i="11"/>
  <c r="AL208" i="11"/>
  <c r="AL344" i="11"/>
  <c r="G389" i="11"/>
  <c r="N351" i="11"/>
  <c r="BK373" i="11"/>
  <c r="O240" i="11"/>
  <c r="O213" i="11"/>
  <c r="H379" i="11"/>
  <c r="O381" i="11"/>
  <c r="AC293" i="11"/>
  <c r="AT308" i="11"/>
  <c r="AE262" i="11"/>
  <c r="AG270" i="11"/>
  <c r="P301" i="11"/>
  <c r="AY231" i="11"/>
  <c r="AC240" i="11"/>
  <c r="AH365" i="11"/>
  <c r="AZ288" i="11"/>
  <c r="AJ256" i="11"/>
  <c r="Y263" i="11"/>
  <c r="Q341" i="11"/>
  <c r="G218" i="11"/>
  <c r="BK372" i="11"/>
  <c r="BM299" i="11"/>
  <c r="BL393" i="11"/>
  <c r="W435" i="11"/>
  <c r="BL286" i="11"/>
  <c r="AJ297" i="11"/>
  <c r="AO210" i="11"/>
  <c r="AD332" i="11"/>
  <c r="K279" i="11"/>
  <c r="X384" i="11"/>
  <c r="BK278" i="11"/>
  <c r="C263" i="11"/>
  <c r="K450" i="11"/>
  <c r="BC453" i="11"/>
  <c r="U289" i="11"/>
  <c r="BM267" i="11"/>
  <c r="AH425" i="11"/>
  <c r="AF322" i="11"/>
  <c r="Z401" i="11"/>
  <c r="I229" i="11"/>
  <c r="BF247" i="11"/>
  <c r="AI412" i="11"/>
  <c r="BI426" i="11"/>
  <c r="O410" i="11"/>
  <c r="V345" i="11"/>
  <c r="BI376" i="11"/>
  <c r="BK226" i="11"/>
  <c r="BN241" i="11"/>
  <c r="AB455" i="11"/>
  <c r="BN442" i="11"/>
  <c r="Q444" i="11"/>
  <c r="I330" i="11"/>
  <c r="I294" i="11"/>
  <c r="BN433" i="11"/>
  <c r="BE353" i="11"/>
  <c r="V285" i="11"/>
  <c r="AF434" i="11"/>
  <c r="AV407" i="11"/>
  <c r="C242" i="11"/>
  <c r="AO440" i="11"/>
  <c r="V359" i="11"/>
  <c r="AK432" i="11"/>
  <c r="Q329" i="11"/>
  <c r="AG208" i="11"/>
  <c r="AV431" i="11"/>
  <c r="T237" i="11"/>
  <c r="AG347" i="11"/>
  <c r="AZ260" i="11"/>
  <c r="AH363" i="11"/>
  <c r="BH347" i="11"/>
  <c r="N279" i="11"/>
  <c r="BA264" i="11"/>
  <c r="T282" i="11"/>
  <c r="AG207" i="11"/>
  <c r="I365" i="11"/>
  <c r="I255" i="11"/>
  <c r="S373" i="11"/>
  <c r="AU341" i="11"/>
  <c r="BE277" i="11"/>
  <c r="W300" i="11"/>
  <c r="AS384" i="11"/>
  <c r="AG342" i="11"/>
  <c r="AB398" i="11"/>
  <c r="AG393" i="11"/>
  <c r="AX257" i="11"/>
  <c r="AM363" i="11"/>
  <c r="S368" i="11"/>
  <c r="AI211" i="11"/>
  <c r="AM251" i="11"/>
  <c r="BE377" i="11"/>
  <c r="G288" i="11"/>
  <c r="BF389" i="11"/>
  <c r="Z242" i="11"/>
  <c r="AU317" i="11"/>
  <c r="BB242" i="11"/>
  <c r="L379" i="11"/>
  <c r="AX220" i="11"/>
  <c r="AX303" i="11"/>
  <c r="L369" i="11"/>
  <c r="AX330" i="11"/>
  <c r="AZ223" i="11"/>
  <c r="AX347" i="11"/>
  <c r="AL355" i="11"/>
  <c r="BJ301" i="11"/>
  <c r="AG367" i="11"/>
  <c r="H225" i="11"/>
  <c r="I391" i="11"/>
  <c r="K375" i="11"/>
  <c r="P209" i="11"/>
  <c r="AT272" i="11"/>
  <c r="BN255" i="11"/>
  <c r="BE254" i="11"/>
  <c r="AO235" i="11"/>
  <c r="M324" i="11"/>
  <c r="BM322" i="11"/>
  <c r="BI384" i="11"/>
  <c r="AI221" i="11"/>
  <c r="AV235" i="11"/>
  <c r="BJ286" i="11"/>
  <c r="AK288" i="11"/>
  <c r="AG218" i="11"/>
  <c r="U216" i="11"/>
  <c r="AY367" i="11"/>
  <c r="BA278" i="11"/>
  <c r="BM328" i="11"/>
  <c r="BB251" i="11"/>
  <c r="AF275" i="11"/>
  <c r="K264" i="11"/>
  <c r="Y385" i="11"/>
  <c r="BJ302" i="11"/>
  <c r="AR248" i="11"/>
  <c r="I245" i="11"/>
  <c r="AI210" i="11"/>
  <c r="R284" i="11"/>
  <c r="AZ379" i="11"/>
  <c r="AS246" i="11"/>
  <c r="Z452" i="11"/>
  <c r="BL284" i="11"/>
  <c r="J245" i="11"/>
  <c r="BH364" i="11"/>
  <c r="L313" i="11"/>
  <c r="AQ209" i="11"/>
  <c r="AJ428" i="11"/>
  <c r="AB320" i="11"/>
  <c r="AX281" i="11"/>
  <c r="AS262" i="11"/>
  <c r="L339" i="11"/>
  <c r="AF268" i="11"/>
  <c r="U287" i="11"/>
  <c r="BG353" i="11"/>
  <c r="K223" i="11"/>
  <c r="T362" i="11"/>
  <c r="BH292" i="11"/>
  <c r="BG287" i="11"/>
  <c r="AY223" i="11"/>
  <c r="BE366" i="11"/>
  <c r="AU209" i="11"/>
  <c r="J266" i="11"/>
  <c r="AV360" i="11"/>
  <c r="BK385" i="11"/>
  <c r="AQ267" i="11"/>
  <c r="H391" i="11"/>
  <c r="M212" i="11"/>
  <c r="AB260" i="11"/>
  <c r="V354" i="11"/>
  <c r="BK339" i="11"/>
  <c r="AU432" i="11"/>
  <c r="BG442" i="11"/>
  <c r="Y276" i="11"/>
  <c r="H299" i="11"/>
  <c r="AC378" i="11"/>
  <c r="AL358" i="11"/>
  <c r="AL283" i="11"/>
  <c r="J312" i="11"/>
  <c r="AI449" i="11"/>
  <c r="AJ214" i="11"/>
  <c r="AV290" i="11"/>
  <c r="AH421" i="11"/>
  <c r="AR328" i="11"/>
  <c r="AV344" i="11"/>
  <c r="M296" i="11"/>
  <c r="BF387" i="11"/>
  <c r="AS236" i="11"/>
  <c r="Q231" i="11"/>
  <c r="V326" i="11"/>
  <c r="N389" i="11"/>
  <c r="BB366" i="11"/>
  <c r="C290" i="11"/>
  <c r="Q344" i="11"/>
  <c r="AT290" i="11"/>
  <c r="AB311" i="11"/>
  <c r="J381" i="11"/>
  <c r="I321" i="11"/>
  <c r="AP323" i="11"/>
  <c r="H297" i="11"/>
  <c r="AI296" i="11"/>
  <c r="M266" i="11"/>
  <c r="Y340" i="11"/>
  <c r="BM255" i="11"/>
  <c r="AP241" i="11"/>
  <c r="AM282" i="11"/>
  <c r="X417" i="11"/>
  <c r="Z418" i="11"/>
  <c r="AN275" i="11"/>
  <c r="BH225" i="11"/>
  <c r="T388" i="11"/>
  <c r="I317" i="11"/>
  <c r="AW396" i="11"/>
  <c r="BA249" i="11"/>
  <c r="AP220" i="11"/>
  <c r="BE212" i="11"/>
  <c r="BB260" i="11"/>
  <c r="W370" i="11"/>
  <c r="O387" i="11"/>
  <c r="T353" i="11"/>
  <c r="AC267" i="11"/>
  <c r="AB358" i="11"/>
  <c r="BH289" i="11"/>
  <c r="T395" i="11"/>
  <c r="BE400" i="11"/>
  <c r="BN353" i="11"/>
  <c r="J391" i="11"/>
  <c r="X317" i="11"/>
  <c r="X393" i="11"/>
  <c r="AM369" i="11"/>
  <c r="M278" i="11"/>
  <c r="AA337" i="11"/>
  <c r="BN222" i="11"/>
  <c r="P368" i="11"/>
  <c r="J355" i="11"/>
  <c r="BF366" i="11"/>
  <c r="U387" i="11"/>
  <c r="BH228" i="11"/>
  <c r="BG270" i="11"/>
  <c r="BC369" i="11"/>
  <c r="AK254" i="11"/>
  <c r="W339" i="11"/>
  <c r="P267" i="11"/>
  <c r="G304" i="11"/>
  <c r="BH215" i="11"/>
  <c r="V346" i="11"/>
  <c r="AF215" i="11"/>
  <c r="AV365" i="11"/>
  <c r="C341" i="11"/>
  <c r="AA439" i="11"/>
  <c r="L318" i="11"/>
  <c r="AM364" i="11"/>
  <c r="O301" i="11"/>
  <c r="AT390" i="11"/>
  <c r="Z298" i="11"/>
  <c r="AX392" i="11"/>
  <c r="P274" i="11"/>
  <c r="AE238" i="11"/>
  <c r="BK311" i="11"/>
  <c r="AE333" i="11"/>
  <c r="W380" i="11"/>
  <c r="AR273" i="11"/>
  <c r="K204" i="11"/>
  <c r="AY311" i="11"/>
  <c r="O292" i="11"/>
  <c r="Y240" i="11"/>
  <c r="BK254" i="11"/>
  <c r="AT411" i="11"/>
  <c r="AT305" i="11"/>
  <c r="O227" i="11"/>
  <c r="AL345" i="11"/>
  <c r="AC324" i="11"/>
  <c r="BH368" i="11"/>
  <c r="BL214" i="11"/>
  <c r="AS253" i="11"/>
  <c r="H214" i="11"/>
  <c r="BA281" i="11"/>
  <c r="AJ221" i="11"/>
  <c r="AN345" i="11"/>
  <c r="BL319" i="11"/>
  <c r="K378" i="11"/>
  <c r="AE367" i="11"/>
  <c r="AM411" i="11"/>
  <c r="AQ256" i="11"/>
  <c r="BC368" i="11"/>
  <c r="AV324" i="11"/>
  <c r="BG357" i="11"/>
  <c r="BM311" i="11"/>
  <c r="AW209" i="11"/>
  <c r="Q332" i="11"/>
  <c r="P210" i="11"/>
  <c r="AU318" i="11"/>
  <c r="G263" i="11"/>
  <c r="AB273" i="11"/>
  <c r="AH231" i="11"/>
  <c r="AX219" i="11"/>
  <c r="AA332" i="11"/>
  <c r="H398" i="11"/>
  <c r="BC213" i="11"/>
  <c r="I310" i="11"/>
  <c r="AW346" i="11"/>
  <c r="AN256" i="11"/>
  <c r="G227" i="11"/>
  <c r="AH278" i="11"/>
  <c r="AE212" i="11"/>
  <c r="AC442" i="11"/>
  <c r="BD392" i="11"/>
  <c r="G380" i="11"/>
  <c r="AQ277" i="11"/>
  <c r="AN254" i="11"/>
  <c r="AH357" i="11"/>
  <c r="H333" i="11"/>
  <c r="AU357" i="11"/>
  <c r="AT354" i="11"/>
  <c r="L266" i="11"/>
  <c r="S379" i="11"/>
  <c r="N219" i="11"/>
  <c r="BG424" i="11"/>
  <c r="BB397" i="11"/>
  <c r="J253" i="11"/>
  <c r="Z297" i="11"/>
  <c r="C321" i="11"/>
  <c r="AV424" i="11"/>
  <c r="BF394" i="11"/>
  <c r="AJ241" i="11"/>
  <c r="AP210" i="11"/>
  <c r="Y336" i="11"/>
  <c r="AP367" i="11"/>
  <c r="BC335" i="11"/>
  <c r="W414" i="11"/>
  <c r="BD231" i="11"/>
  <c r="BI298" i="11"/>
  <c r="G274" i="11"/>
  <c r="AE307" i="11"/>
  <c r="BL327" i="11"/>
  <c r="AZ247" i="11"/>
  <c r="W350" i="11"/>
  <c r="AA355" i="11"/>
  <c r="BK281" i="11"/>
  <c r="AK249" i="11"/>
  <c r="AB241" i="11"/>
  <c r="BJ357" i="11"/>
  <c r="AM292" i="11"/>
  <c r="BG327" i="11"/>
  <c r="BI263" i="11"/>
  <c r="AZ286" i="11"/>
  <c r="BE328" i="11"/>
  <c r="AS402" i="11"/>
  <c r="O247" i="11"/>
  <c r="BC356" i="11"/>
  <c r="AW399" i="11"/>
  <c r="AX250" i="11"/>
  <c r="AK442" i="11"/>
  <c r="R290" i="11"/>
  <c r="BB275" i="11"/>
  <c r="AW236" i="11"/>
  <c r="AX324" i="11"/>
  <c r="X360" i="11"/>
  <c r="AF231" i="11"/>
  <c r="BD260" i="11"/>
  <c r="AP295" i="11"/>
  <c r="BB218" i="11"/>
  <c r="AL298" i="11"/>
  <c r="J338" i="11"/>
  <c r="AF301" i="11"/>
  <c r="Q301" i="11"/>
  <c r="AP352" i="11"/>
  <c r="Z232" i="11"/>
  <c r="AS383" i="11"/>
  <c r="BK358" i="11"/>
  <c r="AQ364" i="11"/>
  <c r="X294" i="11"/>
  <c r="AH395" i="11"/>
  <c r="AQ216" i="11"/>
  <c r="AO387" i="11"/>
  <c r="BF348" i="11"/>
  <c r="AE291" i="11"/>
  <c r="L346" i="11"/>
  <c r="Y319" i="11"/>
  <c r="T255" i="11"/>
  <c r="AH346" i="11"/>
  <c r="AS329" i="11"/>
  <c r="AG370" i="11"/>
  <c r="N272" i="11"/>
  <c r="G230" i="11"/>
  <c r="BG350" i="11"/>
  <c r="R355" i="11"/>
  <c r="AA239" i="11"/>
  <c r="O390" i="11"/>
  <c r="BK449" i="11"/>
  <c r="BH203" i="11"/>
  <c r="AS401" i="11"/>
  <c r="Z419" i="11"/>
  <c r="K425" i="11"/>
  <c r="J371" i="11"/>
  <c r="BH264" i="11"/>
  <c r="O370" i="11"/>
  <c r="AD439" i="11"/>
  <c r="BK328" i="11"/>
  <c r="L401" i="11"/>
  <c r="BD208" i="11"/>
  <c r="BB338" i="11"/>
  <c r="L410" i="11"/>
  <c r="BC367" i="11"/>
  <c r="BD393" i="11"/>
  <c r="R332" i="11"/>
  <c r="T261" i="11"/>
  <c r="AV258" i="11"/>
  <c r="AV446" i="11"/>
  <c r="AD212" i="11"/>
  <c r="BN264" i="11"/>
  <c r="AZ292" i="11"/>
  <c r="BM393" i="11"/>
  <c r="AD436" i="11"/>
  <c r="BC378" i="11"/>
  <c r="BA283" i="11"/>
  <c r="H412" i="11"/>
  <c r="AN407" i="11"/>
  <c r="BA282" i="11"/>
  <c r="AX365" i="11"/>
  <c r="Q397" i="11"/>
  <c r="AT203" i="11"/>
  <c r="AH417" i="11"/>
  <c r="BD379" i="11"/>
  <c r="AN368" i="11"/>
  <c r="AC251" i="11"/>
  <c r="P390" i="11"/>
  <c r="AU288" i="11"/>
  <c r="AW326" i="11"/>
  <c r="S243" i="11"/>
  <c r="AX418" i="11"/>
  <c r="M336" i="11"/>
  <c r="X306" i="11"/>
  <c r="Y301" i="11"/>
  <c r="BM317" i="11"/>
  <c r="AR301" i="11"/>
  <c r="AN365" i="11"/>
  <c r="Z385" i="11"/>
  <c r="AW363" i="11"/>
  <c r="V403" i="11"/>
  <c r="AZ370" i="11"/>
  <c r="AY339" i="11"/>
  <c r="AD297" i="11"/>
  <c r="AM299" i="11"/>
  <c r="BD346" i="11"/>
  <c r="BD266" i="11"/>
  <c r="V393" i="11"/>
  <c r="Z377" i="11"/>
  <c r="N365" i="11"/>
  <c r="X222" i="11"/>
  <c r="K336" i="11"/>
  <c r="P239" i="11"/>
  <c r="AX395" i="11"/>
  <c r="AP365" i="11"/>
  <c r="BN305" i="11"/>
  <c r="BB361" i="11"/>
  <c r="AD209" i="11"/>
  <c r="BB407" i="11"/>
  <c r="AR347" i="11"/>
  <c r="C378" i="11"/>
  <c r="H388" i="11"/>
  <c r="BI442" i="11"/>
  <c r="BE435" i="11"/>
  <c r="AF398" i="11"/>
  <c r="M281" i="11"/>
  <c r="AM303" i="11"/>
  <c r="AR385" i="11"/>
  <c r="Q271" i="11"/>
  <c r="Z220" i="11"/>
  <c r="AA370" i="11"/>
  <c r="AG450" i="11"/>
  <c r="AQ413" i="11"/>
  <c r="BD428" i="11"/>
  <c r="AS415" i="11"/>
  <c r="P444" i="11"/>
  <c r="AV359" i="11"/>
  <c r="W434" i="11"/>
  <c r="AS336" i="11"/>
  <c r="AQ268" i="11"/>
  <c r="I208" i="11"/>
  <c r="AC276" i="11"/>
  <c r="AB402" i="11"/>
  <c r="AE226" i="11"/>
  <c r="AS322" i="11"/>
  <c r="AI218" i="11"/>
  <c r="M417" i="11"/>
  <c r="U227" i="11"/>
  <c r="AL216" i="11"/>
  <c r="BG449" i="11"/>
  <c r="BL455" i="11"/>
  <c r="AT226" i="11"/>
  <c r="O354" i="11"/>
  <c r="AL386" i="11"/>
  <c r="AJ295" i="11"/>
  <c r="Z276" i="11"/>
  <c r="Y250" i="11"/>
  <c r="K209" i="11"/>
  <c r="AU300" i="11"/>
  <c r="P214" i="11"/>
  <c r="BD325" i="11"/>
  <c r="G254" i="11"/>
  <c r="J258" i="11"/>
  <c r="V380" i="11"/>
  <c r="BG239" i="11"/>
  <c r="AO288" i="11"/>
  <c r="S306" i="11"/>
  <c r="AX356" i="11"/>
  <c r="AW243" i="11"/>
  <c r="O276" i="11"/>
  <c r="BN310" i="11"/>
  <c r="AO273" i="11"/>
  <c r="BK324" i="11"/>
  <c r="K282" i="11"/>
  <c r="U336" i="11"/>
  <c r="BM333" i="11"/>
  <c r="O231" i="11"/>
  <c r="AN327" i="11"/>
  <c r="AJ380" i="11"/>
  <c r="AT396" i="11"/>
  <c r="AU212" i="11"/>
  <c r="M204" i="11"/>
  <c r="AT210" i="11"/>
  <c r="AU280" i="11"/>
  <c r="AB235" i="11"/>
  <c r="AS438" i="11"/>
  <c r="BE445" i="11"/>
  <c r="C234" i="11"/>
  <c r="P242" i="11"/>
  <c r="AL204" i="11"/>
  <c r="Z233" i="11"/>
  <c r="AX430" i="11"/>
  <c r="BG329" i="11"/>
  <c r="O315" i="11"/>
  <c r="AE399" i="11"/>
  <c r="BJ407" i="11"/>
  <c r="V424" i="11"/>
  <c r="AN249" i="11"/>
  <c r="I442" i="11"/>
  <c r="AJ348" i="11"/>
  <c r="N442" i="11"/>
  <c r="AP282" i="11"/>
  <c r="J345" i="11"/>
  <c r="T390" i="11"/>
  <c r="BL449" i="11"/>
  <c r="X426" i="11"/>
  <c r="AX272" i="11"/>
  <c r="AN218" i="11"/>
  <c r="AN328" i="11"/>
  <c r="J235" i="11"/>
  <c r="Z442" i="11"/>
  <c r="H456" i="11"/>
  <c r="AD431" i="11"/>
  <c r="AW442" i="11"/>
  <c r="BC409" i="11"/>
  <c r="AV336" i="11"/>
  <c r="BN366" i="11"/>
  <c r="L327" i="11"/>
  <c r="P255" i="11"/>
  <c r="AW454" i="11"/>
  <c r="K365" i="11"/>
  <c r="J447" i="11"/>
  <c r="AO367" i="11"/>
  <c r="BK400" i="11"/>
  <c r="T231" i="11"/>
  <c r="AQ349" i="11"/>
  <c r="O396" i="11"/>
  <c r="BJ222" i="11"/>
  <c r="J268" i="11"/>
  <c r="BF292" i="11"/>
  <c r="AS410" i="11"/>
  <c r="AO397" i="11"/>
  <c r="AH243" i="11"/>
  <c r="M317" i="11"/>
  <c r="G211" i="11"/>
  <c r="BN451" i="11"/>
  <c r="AZ380" i="11"/>
  <c r="N344" i="11"/>
  <c r="N294" i="11"/>
  <c r="AE332" i="11"/>
  <c r="AQ336" i="11"/>
  <c r="L355" i="11"/>
  <c r="AV357" i="11"/>
  <c r="L249" i="11"/>
  <c r="BA221" i="11"/>
  <c r="M411" i="11"/>
  <c r="BJ226" i="11"/>
  <c r="AG405" i="11"/>
  <c r="BC398" i="11"/>
  <c r="AE344" i="11"/>
  <c r="R276" i="11"/>
  <c r="BA265" i="11"/>
  <c r="BB336" i="11"/>
  <c r="AC278" i="11"/>
  <c r="AD420" i="11"/>
  <c r="Y205" i="11"/>
  <c r="BB394" i="11"/>
  <c r="AL218" i="11"/>
  <c r="P438" i="11"/>
  <c r="R308" i="11"/>
  <c r="AW419" i="11"/>
  <c r="AZ240" i="11"/>
  <c r="Z368" i="11"/>
  <c r="AX225" i="11"/>
  <c r="M374" i="11"/>
  <c r="BE207" i="11"/>
  <c r="AQ329" i="11"/>
  <c r="AG250" i="11"/>
  <c r="M357" i="11"/>
  <c r="Z323" i="11"/>
  <c r="BD371" i="11"/>
  <c r="BN316" i="11"/>
  <c r="H239" i="11"/>
  <c r="BN352" i="11"/>
  <c r="Y337" i="11"/>
  <c r="O391" i="11"/>
  <c r="R223" i="11"/>
  <c r="AN401" i="11"/>
  <c r="AY232" i="11"/>
  <c r="AR220" i="11"/>
  <c r="H314" i="11"/>
  <c r="BC339" i="11"/>
  <c r="AP398" i="11"/>
  <c r="AV380" i="11"/>
  <c r="BK279" i="11"/>
  <c r="K345" i="11"/>
  <c r="BJ366" i="11"/>
  <c r="BB389" i="11"/>
  <c r="BN234" i="11"/>
  <c r="BA248" i="11"/>
  <c r="T363" i="11"/>
  <c r="N232" i="11"/>
  <c r="J293" i="11"/>
  <c r="AI310" i="11"/>
  <c r="AZ425" i="11"/>
  <c r="AK446" i="11"/>
  <c r="R323" i="11"/>
  <c r="AE334" i="11"/>
  <c r="AZ254" i="11"/>
  <c r="O295" i="11"/>
  <c r="V340" i="11"/>
  <c r="L353" i="11"/>
  <c r="AH235" i="11"/>
  <c r="BD297" i="11"/>
  <c r="AR218" i="11"/>
  <c r="AH258" i="11"/>
  <c r="Q325" i="11"/>
  <c r="AT424" i="11"/>
  <c r="AV303" i="11"/>
  <c r="U243" i="11"/>
  <c r="BE317" i="11"/>
  <c r="C266" i="11"/>
  <c r="C287" i="11"/>
  <c r="H326" i="11"/>
  <c r="AG216" i="11"/>
  <c r="H211" i="11"/>
  <c r="AC249" i="11"/>
  <c r="AT266" i="11"/>
  <c r="H249" i="11"/>
  <c r="AK211" i="11"/>
  <c r="BE370" i="11"/>
  <c r="K275" i="11"/>
  <c r="BK237" i="11"/>
  <c r="AI223" i="11"/>
  <c r="BJ336" i="11"/>
  <c r="AW334" i="11"/>
  <c r="AX346" i="11"/>
  <c r="AZ323" i="11"/>
  <c r="K341" i="11"/>
  <c r="P306" i="11"/>
  <c r="L310" i="11"/>
  <c r="AG224" i="11"/>
  <c r="P295" i="11"/>
  <c r="AJ230" i="11"/>
  <c r="AT238" i="11"/>
  <c r="U223" i="11"/>
  <c r="Z282" i="11"/>
  <c r="I218" i="11"/>
  <c r="O232" i="11"/>
  <c r="BE455" i="11"/>
  <c r="AS280" i="11"/>
  <c r="BE292" i="11"/>
  <c r="R291" i="11"/>
  <c r="BH329" i="11"/>
  <c r="AW230" i="11"/>
  <c r="AK290" i="11"/>
  <c r="H248" i="11"/>
  <c r="AP314" i="11"/>
  <c r="AU215" i="11"/>
  <c r="AG320" i="11"/>
  <c r="AQ293" i="11"/>
  <c r="AW355" i="11"/>
  <c r="C260" i="11"/>
  <c r="Z413" i="11"/>
  <c r="I329" i="11"/>
  <c r="BF397" i="11"/>
  <c r="Y310" i="11"/>
  <c r="Z329" i="11"/>
  <c r="BL308" i="11"/>
  <c r="AA367" i="11"/>
  <c r="AI216" i="11"/>
  <c r="AT275" i="11"/>
  <c r="O275" i="11"/>
  <c r="AF339" i="11"/>
  <c r="AQ452" i="11"/>
  <c r="AJ397" i="11"/>
  <c r="BF434" i="11"/>
  <c r="AI312" i="11"/>
  <c r="N370" i="11"/>
  <c r="AO323" i="11"/>
  <c r="BG320" i="11"/>
  <c r="AW319" i="11"/>
  <c r="U281" i="11"/>
  <c r="G276" i="11"/>
  <c r="K323" i="11"/>
  <c r="AE349" i="11"/>
  <c r="AO262" i="11"/>
  <c r="AV312" i="11"/>
  <c r="R352" i="11"/>
  <c r="Z287" i="11"/>
  <c r="AZ355" i="11"/>
  <c r="BF319" i="11"/>
  <c r="AG217" i="11"/>
  <c r="L248" i="11"/>
  <c r="AA264" i="11"/>
  <c r="K269" i="11"/>
  <c r="S345" i="11"/>
  <c r="H349" i="11"/>
  <c r="AJ232" i="11"/>
  <c r="Z259" i="11"/>
  <c r="AV351" i="11"/>
  <c r="AK296" i="11"/>
  <c r="AE312" i="11"/>
  <c r="X286" i="11"/>
  <c r="AY222" i="11"/>
  <c r="BI253" i="11"/>
  <c r="AL224" i="11"/>
  <c r="AL230" i="11"/>
  <c r="AT225" i="11"/>
  <c r="BA391" i="11"/>
  <c r="O339" i="11"/>
  <c r="AO378" i="11"/>
  <c r="AE377" i="11"/>
  <c r="BD319" i="11"/>
  <c r="N397" i="11"/>
  <c r="Z388" i="11"/>
  <c r="AC210" i="11"/>
  <c r="G302" i="11"/>
  <c r="AY254" i="11"/>
  <c r="AC236" i="11"/>
  <c r="AN278" i="11"/>
  <c r="BE454" i="11"/>
  <c r="Q244" i="11"/>
  <c r="M312" i="11"/>
  <c r="AP287" i="11"/>
  <c r="AJ204" i="11"/>
  <c r="BK394" i="11"/>
  <c r="BJ210" i="11"/>
  <c r="BN251" i="11"/>
  <c r="BD278" i="11"/>
  <c r="BK421" i="11"/>
  <c r="J203" i="11"/>
  <c r="AI415" i="11"/>
  <c r="BH256" i="11"/>
  <c r="BI243" i="11"/>
  <c r="BH391" i="11"/>
  <c r="AC395" i="11"/>
  <c r="Z384" i="11"/>
  <c r="V321" i="11"/>
  <c r="AN331" i="11"/>
  <c r="AS214" i="11"/>
  <c r="AK343" i="11"/>
  <c r="J367" i="11"/>
  <c r="X288" i="11"/>
  <c r="BH231" i="11"/>
  <c r="AM248" i="11"/>
  <c r="AZ360" i="11"/>
  <c r="BL277" i="11"/>
  <c r="AU456" i="11"/>
  <c r="BD396" i="11"/>
  <c r="R385" i="11"/>
  <c r="AM319" i="11"/>
  <c r="M305" i="11"/>
  <c r="AU307" i="11"/>
  <c r="AO374" i="11"/>
  <c r="AQ339" i="11"/>
  <c r="BD244" i="11"/>
  <c r="L286" i="11"/>
  <c r="AU376" i="11"/>
  <c r="AS274" i="11"/>
  <c r="BN254" i="11"/>
  <c r="P314" i="11"/>
  <c r="U389" i="11"/>
  <c r="BN215" i="11"/>
  <c r="BL219" i="11"/>
  <c r="BJ236" i="11"/>
  <c r="AX316" i="11"/>
  <c r="J339" i="11"/>
  <c r="AN273" i="11"/>
  <c r="Q316" i="11"/>
  <c r="AF413" i="11"/>
  <c r="AD250" i="11"/>
  <c r="BF258" i="11"/>
  <c r="AF240" i="11"/>
  <c r="AP364" i="11"/>
  <c r="T232" i="11"/>
  <c r="AD403" i="11"/>
  <c r="AB348" i="11"/>
  <c r="BG379" i="11"/>
  <c r="T286" i="11"/>
  <c r="I340" i="11"/>
  <c r="AJ366" i="11"/>
  <c r="N307" i="11"/>
  <c r="AY360" i="11"/>
  <c r="AO217" i="11"/>
  <c r="AL253" i="11"/>
  <c r="AA421" i="11"/>
  <c r="AG413" i="11"/>
  <c r="AO407" i="11"/>
  <c r="BK233" i="11"/>
  <c r="AM355" i="11"/>
  <c r="AJ276" i="11"/>
  <c r="J238" i="11"/>
  <c r="V208" i="11"/>
  <c r="AD281" i="11"/>
  <c r="AX229" i="11"/>
  <c r="AS220" i="11"/>
  <c r="J324" i="11"/>
  <c r="O207" i="11"/>
  <c r="AO371" i="11"/>
  <c r="AQ338" i="11"/>
  <c r="BD299" i="11"/>
  <c r="J372" i="11"/>
  <c r="AC216" i="11"/>
  <c r="AN244" i="11"/>
  <c r="AT224" i="11"/>
  <c r="BL364" i="11"/>
  <c r="AY302" i="11"/>
  <c r="BB320" i="11"/>
  <c r="M380" i="11"/>
  <c r="AD312" i="11"/>
  <c r="BA277" i="11"/>
  <c r="M335" i="11"/>
  <c r="AD327" i="11"/>
  <c r="U293" i="11"/>
  <c r="AH219" i="11"/>
  <c r="AB389" i="11"/>
  <c r="C239" i="11"/>
  <c r="AE289" i="11"/>
  <c r="Y282" i="11"/>
  <c r="AB294" i="11"/>
  <c r="AK215" i="11"/>
  <c r="M259" i="11"/>
  <c r="AM422" i="11"/>
  <c r="AI408" i="11"/>
  <c r="AY293" i="11"/>
  <c r="BL233" i="11"/>
  <c r="AS302" i="11"/>
  <c r="N277" i="11"/>
  <c r="AF351" i="11"/>
  <c r="BK379" i="11"/>
  <c r="AR359" i="11"/>
  <c r="BG389" i="11"/>
  <c r="X318" i="11"/>
  <c r="U235" i="11"/>
  <c r="AP307" i="11"/>
  <c r="AB280" i="11"/>
  <c r="T368" i="11"/>
  <c r="BH370" i="11"/>
  <c r="AA373" i="11"/>
  <c r="X342" i="11"/>
  <c r="W213" i="11"/>
  <c r="AC380" i="11"/>
  <c r="AG245" i="11"/>
  <c r="S227" i="11"/>
  <c r="L301" i="11"/>
  <c r="BJ257" i="11"/>
  <c r="P230" i="11"/>
  <c r="AT271" i="11"/>
  <c r="I224" i="11"/>
  <c r="AT274" i="11"/>
  <c r="O265" i="11"/>
  <c r="BE281" i="11"/>
  <c r="BK454" i="11"/>
  <c r="AC446" i="11"/>
  <c r="BC416" i="11"/>
  <c r="AV353" i="11"/>
  <c r="AR232" i="11"/>
  <c r="AR452" i="11"/>
  <c r="AG346" i="11"/>
  <c r="Z365" i="11"/>
  <c r="AN387" i="11"/>
  <c r="P375" i="11"/>
  <c r="AY435" i="11"/>
  <c r="BK412" i="11"/>
  <c r="BD424" i="11"/>
  <c r="AJ441" i="11"/>
  <c r="AO368" i="11"/>
  <c r="Y416" i="11"/>
  <c r="AH449" i="11"/>
  <c r="I215" i="11"/>
  <c r="AX311" i="11"/>
  <c r="C430" i="11"/>
  <c r="I451" i="11"/>
  <c r="R418" i="11"/>
  <c r="AI298" i="11"/>
  <c r="AJ302" i="11"/>
  <c r="V368" i="11"/>
  <c r="AA449" i="11"/>
  <c r="AB335" i="11"/>
  <c r="BF406" i="11"/>
  <c r="BA414" i="11"/>
  <c r="AS204" i="11"/>
  <c r="BJ398" i="11"/>
  <c r="AA424" i="11"/>
  <c r="BG422" i="11"/>
  <c r="AE303" i="11"/>
  <c r="V437" i="11"/>
  <c r="Q297" i="11"/>
  <c r="J270" i="11"/>
  <c r="AV358" i="11"/>
  <c r="AR329" i="11"/>
  <c r="BM284" i="11"/>
  <c r="BE360" i="11"/>
  <c r="C404" i="11"/>
  <c r="Z356" i="11"/>
  <c r="AE304" i="11"/>
  <c r="AX386" i="11"/>
  <c r="T349" i="11"/>
  <c r="M264" i="11"/>
  <c r="AU262" i="11"/>
  <c r="AY255" i="11"/>
  <c r="AK274" i="11"/>
  <c r="AE282" i="11"/>
  <c r="AN235" i="11"/>
  <c r="Q308" i="11"/>
  <c r="AL342" i="11"/>
  <c r="AF327" i="11"/>
  <c r="BK293" i="11"/>
  <c r="AZ407" i="11"/>
  <c r="AD375" i="11"/>
  <c r="AR346" i="11"/>
  <c r="AL321" i="11"/>
  <c r="AT249" i="11"/>
  <c r="G244" i="11"/>
  <c r="H364" i="11"/>
  <c r="BG369" i="11"/>
  <c r="AK455" i="11"/>
  <c r="R288" i="11"/>
  <c r="BE331" i="11"/>
  <c r="T295" i="11"/>
  <c r="U432" i="11"/>
  <c r="AH288" i="11"/>
  <c r="AL262" i="11"/>
  <c r="AF448" i="11"/>
  <c r="AW415" i="11"/>
  <c r="X203" i="11"/>
  <c r="AM307" i="11"/>
  <c r="H411" i="11"/>
  <c r="AR288" i="11"/>
  <c r="AW427" i="11"/>
  <c r="BA452" i="11"/>
  <c r="BJ284" i="11"/>
  <c r="AU435" i="11"/>
  <c r="AS443" i="11"/>
  <c r="I412" i="11"/>
  <c r="AW348" i="11"/>
  <c r="AL352" i="11"/>
  <c r="BH204" i="11"/>
  <c r="BN411" i="11"/>
  <c r="K228" i="11"/>
  <c r="AM419" i="11"/>
  <c r="AG425" i="11"/>
  <c r="H348" i="11"/>
  <c r="AF320" i="11"/>
  <c r="BI235" i="11"/>
  <c r="AS314" i="11"/>
  <c r="AH455" i="11"/>
  <c r="R412" i="11"/>
  <c r="O334" i="11"/>
  <c r="AA371" i="11"/>
  <c r="P414" i="11"/>
  <c r="AX360" i="11"/>
  <c r="C214" i="11"/>
  <c r="AS316" i="11"/>
  <c r="BF310" i="11"/>
  <c r="AE375" i="11"/>
  <c r="C447" i="11"/>
  <c r="BC455" i="11"/>
  <c r="AG371" i="11"/>
  <c r="AZ400" i="11"/>
  <c r="AF395" i="11"/>
  <c r="Q209" i="11"/>
  <c r="Y230" i="11"/>
  <c r="AY326" i="11"/>
  <c r="AD388" i="11"/>
  <c r="K250" i="11"/>
  <c r="BH239" i="11"/>
  <c r="R227" i="11"/>
  <c r="P362" i="11"/>
  <c r="J354" i="11"/>
  <c r="AC348" i="11"/>
  <c r="Z369" i="11"/>
  <c r="Y209" i="11"/>
  <c r="AH221" i="11"/>
  <c r="G246" i="11"/>
  <c r="AS289" i="11"/>
  <c r="AE294" i="11"/>
  <c r="BH212" i="11"/>
  <c r="N379" i="11"/>
  <c r="BF249" i="11"/>
  <c r="M319" i="11"/>
  <c r="BN291" i="11"/>
  <c r="AY401" i="11"/>
  <c r="AK351" i="11"/>
  <c r="AP211" i="11"/>
  <c r="AC419" i="11"/>
  <c r="AL332" i="11"/>
  <c r="G355" i="11"/>
  <c r="BN437" i="11"/>
  <c r="I456" i="11"/>
  <c r="AY215" i="11"/>
  <c r="BL431" i="11"/>
  <c r="G363" i="11"/>
  <c r="C211" i="11"/>
  <c r="AT404" i="11"/>
  <c r="BF301" i="11"/>
  <c r="AP434" i="11"/>
  <c r="AN432" i="11"/>
  <c r="I421" i="11"/>
  <c r="AB340" i="11"/>
  <c r="R391" i="11"/>
  <c r="AH211" i="11"/>
  <c r="L436" i="11"/>
  <c r="BN309" i="11"/>
  <c r="AR399" i="11"/>
  <c r="H368" i="11"/>
  <c r="G321" i="11"/>
  <c r="AT439" i="11"/>
  <c r="AL429" i="11"/>
  <c r="AJ415" i="11"/>
  <c r="H340" i="11"/>
  <c r="Q328" i="11"/>
  <c r="G395" i="11"/>
  <c r="V421" i="11"/>
  <c r="AU400" i="11"/>
  <c r="AV364" i="11"/>
  <c r="AN354" i="11"/>
  <c r="AV260" i="11"/>
  <c r="AB344" i="11"/>
  <c r="T452" i="11"/>
  <c r="AC330" i="11"/>
  <c r="AK205" i="11"/>
  <c r="AY430" i="11"/>
  <c r="P370" i="11"/>
  <c r="BE309" i="11"/>
  <c r="X329" i="11"/>
  <c r="AG390" i="11"/>
  <c r="S409" i="11"/>
  <c r="BA381" i="11"/>
  <c r="BK315" i="11"/>
  <c r="P338" i="11"/>
  <c r="Y219" i="11"/>
  <c r="L388" i="11"/>
  <c r="AM314" i="11"/>
  <c r="O300" i="11"/>
  <c r="N366" i="11"/>
  <c r="AC219" i="11"/>
  <c r="BI328" i="11"/>
  <c r="BM316" i="11"/>
  <c r="V400" i="11"/>
  <c r="AI382" i="11"/>
  <c r="AN310" i="11"/>
  <c r="AE318" i="11"/>
  <c r="H392" i="11"/>
  <c r="BH386" i="11"/>
  <c r="T317" i="11"/>
  <c r="G439" i="11"/>
  <c r="BI398" i="11"/>
  <c r="AR309" i="11"/>
  <c r="AI354" i="11"/>
  <c r="AP382" i="11"/>
  <c r="BD331" i="11"/>
  <c r="AH374" i="11"/>
  <c r="AQ369" i="11"/>
  <c r="AJ379" i="11"/>
  <c r="V385" i="11"/>
  <c r="AZ349" i="11"/>
  <c r="AK209" i="11"/>
  <c r="K272" i="11"/>
  <c r="U212" i="11"/>
  <c r="AQ300" i="11"/>
  <c r="S222" i="11"/>
  <c r="AO411" i="11"/>
  <c r="AB219" i="11"/>
  <c r="BN206" i="11"/>
  <c r="AU296" i="11"/>
  <c r="M315" i="11"/>
  <c r="BK455" i="11"/>
  <c r="BC338" i="11"/>
  <c r="BM392" i="11"/>
  <c r="AP217" i="11"/>
  <c r="AB271" i="11"/>
  <c r="AA447" i="11"/>
  <c r="I214" i="11"/>
  <c r="H229" i="11"/>
  <c r="J215" i="11"/>
  <c r="BK251" i="11"/>
  <c r="O328" i="11"/>
  <c r="AY305" i="11"/>
  <c r="V251" i="11"/>
  <c r="BL362" i="11"/>
  <c r="AV302" i="11"/>
  <c r="AA241" i="11"/>
  <c r="BB350" i="11"/>
  <c r="BN400" i="11"/>
  <c r="AE357" i="11"/>
  <c r="X331" i="11"/>
  <c r="AM344" i="11"/>
  <c r="AA340" i="11"/>
  <c r="BK284" i="11"/>
  <c r="H270" i="11"/>
  <c r="V269" i="11"/>
  <c r="AZ330" i="11"/>
  <c r="BN333" i="11"/>
  <c r="AL319" i="11"/>
  <c r="W403" i="11"/>
  <c r="AH225" i="11"/>
  <c r="AJ384" i="11"/>
  <c r="BK273" i="11"/>
  <c r="AF259" i="11"/>
  <c r="I265" i="11"/>
  <c r="AY298" i="11"/>
  <c r="AU430" i="11"/>
  <c r="J454" i="11"/>
  <c r="BM257" i="11"/>
  <c r="S362" i="11"/>
  <c r="J343" i="11"/>
  <c r="AU378" i="11"/>
  <c r="AW400" i="11"/>
  <c r="BD225" i="11"/>
  <c r="Z260" i="11"/>
  <c r="BM266" i="11"/>
  <c r="BA224" i="11"/>
  <c r="AW338" i="11"/>
  <c r="AB234" i="11"/>
  <c r="BG250" i="11"/>
  <c r="AM389" i="11"/>
  <c r="L358" i="11"/>
  <c r="X351" i="11"/>
  <c r="BN287" i="11"/>
  <c r="AR305" i="11"/>
  <c r="AS244" i="11"/>
  <c r="S383" i="11"/>
  <c r="AI392" i="11"/>
  <c r="M240" i="11"/>
  <c r="J228" i="11"/>
  <c r="R369" i="11"/>
  <c r="AH299" i="11"/>
  <c r="BB341" i="11"/>
  <c r="AJ283" i="11"/>
  <c r="G394" i="11"/>
  <c r="AQ330" i="11"/>
  <c r="J427" i="11"/>
  <c r="W287" i="11"/>
  <c r="AK282" i="11"/>
  <c r="AQ402" i="11"/>
  <c r="AE234" i="11"/>
  <c r="R305" i="11"/>
  <c r="BB213" i="11"/>
  <c r="K301" i="11"/>
  <c r="H310" i="11"/>
  <c r="U229" i="11"/>
  <c r="AZ264" i="11"/>
  <c r="AW250" i="11"/>
  <c r="BD456" i="11"/>
  <c r="X304" i="11"/>
  <c r="T297" i="11"/>
  <c r="AK246" i="11"/>
  <c r="BA341" i="11"/>
  <c r="AV291" i="11"/>
  <c r="R325" i="11"/>
  <c r="BI279" i="11"/>
  <c r="Q337" i="11"/>
  <c r="M338" i="11"/>
  <c r="BN245" i="11"/>
  <c r="BC329" i="11"/>
  <c r="AR358" i="11"/>
  <c r="AQ388" i="11"/>
  <c r="BE296" i="11"/>
  <c r="AI322" i="11"/>
  <c r="AZ334" i="11"/>
  <c r="L255" i="11"/>
  <c r="AW275" i="11"/>
  <c r="BA234" i="11"/>
  <c r="P354" i="11"/>
  <c r="Q294" i="11"/>
  <c r="BC319" i="11"/>
  <c r="X324" i="11"/>
  <c r="AB355" i="11"/>
  <c r="BD275" i="11"/>
  <c r="C212" i="11"/>
  <c r="V439" i="11"/>
  <c r="AT379" i="11"/>
  <c r="BN225" i="11"/>
  <c r="AU229" i="11"/>
  <c r="L241" i="11"/>
  <c r="BB232" i="11"/>
  <c r="BD246" i="11"/>
  <c r="AQ283" i="11"/>
  <c r="AI285" i="11"/>
  <c r="AW260" i="11"/>
  <c r="BB244" i="11"/>
  <c r="AR270" i="11"/>
  <c r="AR267" i="11"/>
  <c r="AU323" i="11"/>
  <c r="R309" i="11"/>
  <c r="AG333" i="11"/>
  <c r="AI406" i="11"/>
  <c r="BK234" i="11"/>
  <c r="AS352" i="11"/>
  <c r="AS266" i="11"/>
  <c r="AI247" i="11"/>
  <c r="L375" i="11"/>
  <c r="AG423" i="11"/>
  <c r="AR275" i="11"/>
  <c r="AV232" i="11"/>
  <c r="AE306" i="11"/>
  <c r="BA449" i="11"/>
  <c r="BJ229" i="11"/>
  <c r="BB391" i="11"/>
  <c r="BD273" i="11"/>
  <c r="AH230" i="11"/>
  <c r="BG292" i="11"/>
  <c r="V218" i="11"/>
  <c r="BF295" i="11"/>
  <c r="AL396" i="11"/>
  <c r="J297" i="11"/>
  <c r="G272" i="11"/>
  <c r="AP209" i="11"/>
  <c r="L234" i="11"/>
  <c r="M207" i="11"/>
  <c r="AG369" i="11"/>
  <c r="AZ354" i="11"/>
  <c r="AN381" i="11"/>
  <c r="AH349" i="11"/>
  <c r="AW270" i="11"/>
  <c r="C356" i="11"/>
  <c r="AU266" i="11"/>
  <c r="AJ290" i="11"/>
  <c r="AX431" i="11"/>
  <c r="BF264" i="11"/>
  <c r="AV373" i="11"/>
  <c r="G278" i="11"/>
  <c r="BF312" i="11"/>
  <c r="Q254" i="11"/>
  <c r="BN292" i="11"/>
  <c r="BD355" i="11"/>
  <c r="U274" i="11"/>
  <c r="BH308" i="11"/>
  <c r="BL292" i="11"/>
  <c r="BK260" i="11"/>
  <c r="AM265" i="11"/>
  <c r="BJ247" i="11"/>
  <c r="BK243" i="11"/>
  <c r="BM303" i="11"/>
  <c r="Q366" i="11"/>
  <c r="AF425" i="11"/>
  <c r="BM258" i="11"/>
  <c r="M295" i="11"/>
  <c r="K304" i="11"/>
  <c r="AI384" i="11"/>
  <c r="AZ216" i="11"/>
  <c r="AF324" i="11"/>
  <c r="AL323" i="11"/>
  <c r="AC396" i="11"/>
  <c r="AV393" i="11"/>
  <c r="N301" i="11"/>
  <c r="T396" i="11"/>
  <c r="AE321" i="11"/>
  <c r="AP306" i="11"/>
  <c r="BK225" i="11"/>
  <c r="BM396" i="11"/>
  <c r="BE232" i="11"/>
  <c r="BA214" i="11"/>
  <c r="K278" i="11"/>
  <c r="AY209" i="11"/>
  <c r="AU325" i="11"/>
  <c r="AF316" i="11"/>
  <c r="BM270" i="11"/>
  <c r="AW327" i="11"/>
  <c r="AB357" i="11"/>
  <c r="Y212" i="11"/>
  <c r="AU321" i="11"/>
  <c r="M287" i="11"/>
  <c r="AQ312" i="11"/>
  <c r="I360" i="11"/>
  <c r="X328" i="11"/>
  <c r="AP229" i="11"/>
  <c r="P315" i="11"/>
  <c r="BG225" i="11"/>
  <c r="AF252" i="11"/>
  <c r="AP293" i="11"/>
  <c r="I288" i="11"/>
  <c r="AC312" i="11"/>
  <c r="BF227" i="11"/>
  <c r="C322" i="11"/>
  <c r="BH222" i="11"/>
  <c r="Q438" i="11"/>
  <c r="P327" i="11"/>
  <c r="Y304" i="11"/>
  <c r="BC231" i="11"/>
  <c r="AH242" i="11"/>
  <c r="AM427" i="11"/>
  <c r="AR308" i="11"/>
  <c r="C298" i="11"/>
  <c r="H294" i="11"/>
  <c r="AZ218" i="11"/>
  <c r="AC286" i="11"/>
  <c r="BC421" i="11"/>
  <c r="T412" i="11"/>
  <c r="AV342" i="11"/>
  <c r="AE237" i="11"/>
  <c r="AX326" i="11"/>
  <c r="BE303" i="11"/>
  <c r="BB280" i="11"/>
  <c r="L398" i="11"/>
  <c r="BD217" i="11"/>
  <c r="BH283" i="11"/>
  <c r="AA380" i="11"/>
  <c r="AN348" i="11"/>
  <c r="AS347" i="11"/>
  <c r="U402" i="11"/>
  <c r="O395" i="11"/>
  <c r="U219" i="11"/>
  <c r="M237" i="11"/>
  <c r="AG236" i="11"/>
  <c r="BA335" i="11"/>
  <c r="AR225" i="11"/>
  <c r="BM221" i="11"/>
  <c r="AQ223" i="11"/>
  <c r="BK325" i="11"/>
  <c r="BH242" i="11"/>
  <c r="BE223" i="11"/>
  <c r="AR250" i="11"/>
  <c r="K342" i="11"/>
  <c r="AV331" i="11"/>
  <c r="P359" i="11"/>
  <c r="AU287" i="11"/>
  <c r="R231" i="11"/>
  <c r="AI219" i="11"/>
  <c r="BI350" i="11"/>
  <c r="BH343" i="11"/>
  <c r="I283" i="11"/>
  <c r="Y259" i="11"/>
  <c r="AD379" i="11"/>
  <c r="AQ252" i="11"/>
  <c r="AY379" i="11"/>
  <c r="L373" i="11"/>
  <c r="AQ278" i="11"/>
  <c r="AA226" i="11"/>
  <c r="AJ300" i="11"/>
  <c r="AH210" i="11"/>
  <c r="AX309" i="11"/>
  <c r="Y373" i="11"/>
  <c r="BF276" i="11"/>
  <c r="AU332" i="11"/>
  <c r="BE266" i="11"/>
  <c r="AJ279" i="11"/>
  <c r="L243" i="11"/>
  <c r="BH311" i="11"/>
  <c r="AY271" i="11"/>
  <c r="BN386" i="11"/>
  <c r="G340" i="11"/>
  <c r="AS318" i="11"/>
  <c r="R298" i="11"/>
  <c r="G428" i="11"/>
  <c r="U311" i="11"/>
  <c r="BJ449" i="11"/>
  <c r="AP335" i="11"/>
  <c r="AC234" i="11"/>
  <c r="AY303" i="11"/>
  <c r="AY274" i="11"/>
  <c r="AZ308" i="11"/>
  <c r="BB276" i="11"/>
  <c r="AQ423" i="11"/>
  <c r="U420" i="11"/>
  <c r="AZ268" i="11"/>
  <c r="J441" i="11"/>
  <c r="AV378" i="11"/>
  <c r="K332" i="11"/>
  <c r="L307" i="11"/>
  <c r="BD446" i="11"/>
  <c r="BE453" i="11"/>
  <c r="BH445" i="11"/>
  <c r="AZ432" i="11"/>
  <c r="AW358" i="11"/>
  <c r="BD410" i="11"/>
  <c r="AW368" i="11"/>
  <c r="Z380" i="11"/>
  <c r="AE429" i="11"/>
  <c r="AS379" i="11"/>
  <c r="BB379" i="11"/>
  <c r="R330" i="11"/>
  <c r="AN433" i="11"/>
  <c r="AB430" i="11"/>
  <c r="AK447" i="11"/>
  <c r="BL298" i="11"/>
  <c r="AZ445" i="11"/>
  <c r="AM338" i="11"/>
  <c r="AE453" i="11"/>
  <c r="P416" i="11"/>
  <c r="AH343" i="11"/>
  <c r="AO433" i="11"/>
  <c r="AA227" i="11"/>
  <c r="W319" i="11"/>
  <c r="AE221" i="11"/>
  <c r="AV347" i="11"/>
  <c r="BN265" i="11"/>
  <c r="AU424" i="11"/>
  <c r="AE449" i="11"/>
  <c r="P269" i="11"/>
  <c r="AW278" i="11"/>
  <c r="H245" i="11"/>
  <c r="AO306" i="11"/>
  <c r="I339" i="11"/>
  <c r="AW388" i="11"/>
  <c r="N349" i="11"/>
  <c r="K387" i="11"/>
  <c r="O366" i="11"/>
  <c r="AJ277" i="11"/>
  <c r="AB259" i="11"/>
  <c r="BB346" i="11"/>
  <c r="AX350" i="11"/>
  <c r="W284" i="11"/>
  <c r="AL373" i="11"/>
  <c r="L269" i="11"/>
  <c r="T244" i="11"/>
  <c r="AC209" i="11"/>
  <c r="AG222" i="11"/>
  <c r="BC266" i="11"/>
  <c r="BL208" i="11"/>
  <c r="BL334" i="11"/>
  <c r="W331" i="11"/>
  <c r="C231" i="11"/>
  <c r="AR261" i="11"/>
  <c r="BK282" i="11"/>
  <c r="G245" i="11"/>
  <c r="BH207" i="11"/>
  <c r="BD264" i="11"/>
  <c r="O356" i="11"/>
  <c r="BI451" i="11"/>
  <c r="AU426" i="11"/>
  <c r="Y426" i="11"/>
  <c r="BN391" i="11"/>
  <c r="AE308" i="11"/>
  <c r="J340" i="11"/>
  <c r="BH238" i="11"/>
  <c r="BL452" i="11"/>
  <c r="BM371" i="11"/>
  <c r="R449" i="11"/>
  <c r="AR418" i="11"/>
  <c r="Q245" i="11"/>
  <c r="BA424" i="11"/>
  <c r="AJ289" i="11"/>
  <c r="AA444" i="11"/>
  <c r="G429" i="11"/>
  <c r="BK230" i="11"/>
  <c r="BE364" i="11"/>
  <c r="AR419" i="11"/>
  <c r="C285" i="11"/>
  <c r="I409" i="11"/>
  <c r="Y433" i="11"/>
  <c r="AH376" i="11"/>
  <c r="AU375" i="11"/>
  <c r="X209" i="11"/>
  <c r="AV230" i="11"/>
  <c r="K205" i="11"/>
  <c r="K383" i="11"/>
  <c r="AI416" i="11"/>
  <c r="AN262" i="11"/>
  <c r="AS287" i="11"/>
  <c r="BF268" i="11"/>
  <c r="L253" i="11"/>
  <c r="AJ437" i="11"/>
  <c r="BG214" i="11"/>
  <c r="AE335" i="11"/>
  <c r="BJ279" i="11"/>
  <c r="BJ408" i="11"/>
  <c r="AS208" i="11"/>
  <c r="BI240" i="11"/>
  <c r="S399" i="11"/>
  <c r="AG377" i="11"/>
  <c r="G447" i="11"/>
  <c r="M387" i="11"/>
  <c r="C315" i="11"/>
  <c r="M414" i="11"/>
  <c r="AI246" i="11"/>
  <c r="BD222" i="11"/>
  <c r="AI340" i="11"/>
  <c r="AL238" i="11"/>
  <c r="AA347" i="11"/>
  <c r="BG333" i="11"/>
  <c r="BD366" i="11"/>
  <c r="BK205" i="11"/>
  <c r="J417" i="11"/>
  <c r="AJ281" i="11"/>
  <c r="AK368" i="11"/>
  <c r="AD290" i="11"/>
  <c r="AZ208" i="11"/>
  <c r="BH374" i="11"/>
  <c r="BF358" i="11"/>
  <c r="AD360" i="11"/>
  <c r="AL430" i="11"/>
  <c r="BF385" i="11"/>
  <c r="Z273" i="11"/>
  <c r="R219" i="11"/>
  <c r="AA208" i="11"/>
  <c r="V254" i="11"/>
  <c r="T229" i="11"/>
  <c r="AI328" i="11"/>
  <c r="BN449" i="11"/>
  <c r="BI413" i="11"/>
  <c r="O330" i="11"/>
  <c r="BA404" i="11"/>
  <c r="BG437" i="11"/>
  <c r="L206" i="11"/>
  <c r="BK404" i="11"/>
  <c r="AV453" i="11"/>
  <c r="AL302" i="11"/>
  <c r="AS387" i="11"/>
  <c r="AZ410" i="11"/>
  <c r="AB385" i="11"/>
  <c r="AP455" i="11"/>
  <c r="AK441" i="11"/>
  <c r="K426" i="11"/>
  <c r="I450" i="11"/>
  <c r="Q310" i="11"/>
  <c r="BI370" i="11"/>
  <c r="Z361" i="11"/>
  <c r="U321" i="11"/>
  <c r="Y236" i="11"/>
  <c r="AY277" i="11"/>
  <c r="M386" i="11"/>
  <c r="AM317" i="11"/>
  <c r="V382" i="11"/>
  <c r="S454" i="11"/>
  <c r="BB431" i="11"/>
  <c r="AQ319" i="11"/>
  <c r="Y427" i="11"/>
  <c r="I278" i="11"/>
  <c r="V291" i="11"/>
  <c r="AI253" i="11"/>
  <c r="AG380" i="11"/>
  <c r="AR229" i="11"/>
  <c r="BI255" i="11"/>
  <c r="AE407" i="11"/>
  <c r="BL439" i="11"/>
  <c r="U454" i="11"/>
  <c r="AU203" i="11"/>
  <c r="BA237" i="11"/>
  <c r="AC359" i="11"/>
  <c r="BA336" i="11"/>
  <c r="AA385" i="11"/>
  <c r="BK299" i="11"/>
  <c r="AB332" i="11"/>
  <c r="BN369" i="11"/>
  <c r="BJ248" i="11"/>
  <c r="AB264" i="11"/>
  <c r="X210" i="11"/>
  <c r="AB216" i="11"/>
  <c r="M406" i="11"/>
  <c r="BE306" i="11"/>
  <c r="AH332" i="11"/>
  <c r="S263" i="11"/>
  <c r="AB361" i="11"/>
  <c r="AE298" i="11"/>
  <c r="AI333" i="11"/>
  <c r="H269" i="11"/>
  <c r="AA283" i="11"/>
  <c r="AF270" i="11"/>
  <c r="R360" i="11"/>
  <c r="BM428" i="11"/>
  <c r="U377" i="11"/>
  <c r="N340" i="11"/>
  <c r="BM309" i="11"/>
  <c r="J252" i="11"/>
  <c r="BD300" i="11"/>
  <c r="BI346" i="11"/>
  <c r="AC440" i="11"/>
  <c r="I327" i="11"/>
  <c r="R225" i="11"/>
  <c r="J226" i="11"/>
  <c r="AP256" i="11"/>
  <c r="BE357" i="11"/>
  <c r="Y214" i="11"/>
  <c r="S292" i="11"/>
  <c r="BG385" i="11"/>
  <c r="J271" i="11"/>
  <c r="AR396" i="11"/>
  <c r="AU294" i="11"/>
  <c r="AH216" i="11"/>
  <c r="K265" i="11"/>
  <c r="BG259" i="11"/>
  <c r="BF232" i="11"/>
  <c r="BA400" i="11"/>
  <c r="W227" i="11"/>
  <c r="AH254" i="11"/>
  <c r="AE231" i="11"/>
  <c r="R210" i="11"/>
  <c r="AB379" i="11"/>
  <c r="BL209" i="11"/>
  <c r="AO389" i="11"/>
  <c r="AG392" i="11"/>
  <c r="BJ238" i="11"/>
  <c r="AA320" i="11"/>
  <c r="AI396" i="11"/>
  <c r="AV319" i="11"/>
  <c r="V396" i="11"/>
  <c r="BF437" i="11"/>
  <c r="AD217" i="11"/>
  <c r="BN441" i="11"/>
  <c r="AX258" i="11"/>
  <c r="K330" i="11"/>
  <c r="BD272" i="11"/>
  <c r="V348" i="11"/>
  <c r="BN380" i="11"/>
  <c r="AW404" i="11"/>
  <c r="AN231" i="11"/>
  <c r="AC331" i="11"/>
  <c r="W425" i="11"/>
  <c r="C369" i="11"/>
  <c r="AV269" i="11"/>
  <c r="AM358" i="11"/>
  <c r="W252" i="11"/>
  <c r="AI418" i="11"/>
  <c r="BK244" i="11"/>
  <c r="BJ338" i="11"/>
  <c r="R211" i="11"/>
  <c r="BH220" i="11"/>
  <c r="AR376" i="11"/>
  <c r="AJ347" i="11"/>
  <c r="BD372" i="11"/>
  <c r="H384" i="11"/>
  <c r="K395" i="11"/>
  <c r="AZ453" i="11"/>
  <c r="AB387" i="11"/>
  <c r="AK222" i="11"/>
  <c r="X298" i="11"/>
  <c r="W379" i="11"/>
  <c r="AF236" i="11"/>
  <c r="BB249" i="11"/>
  <c r="N358" i="11"/>
  <c r="AM242" i="11"/>
  <c r="AY410" i="11"/>
  <c r="BI365" i="11"/>
  <c r="AX351" i="11"/>
  <c r="V217" i="11"/>
  <c r="AT232" i="11"/>
  <c r="AM245" i="11"/>
  <c r="L263" i="11"/>
  <c r="AI413" i="11"/>
  <c r="L240" i="11"/>
  <c r="BH275" i="11"/>
  <c r="BA352" i="11"/>
  <c r="U301" i="11"/>
  <c r="AK358" i="11"/>
  <c r="AZ236" i="11"/>
  <c r="W219" i="11"/>
  <c r="R338" i="11"/>
  <c r="BJ389" i="11"/>
  <c r="AH277" i="11"/>
  <c r="AB333" i="11"/>
  <c r="X272" i="11"/>
  <c r="BF330" i="11"/>
  <c r="J236" i="11"/>
  <c r="V341" i="11"/>
  <c r="AH373" i="11"/>
  <c r="BN345" i="11"/>
  <c r="AN237" i="11"/>
  <c r="BM211" i="11"/>
  <c r="AS245" i="11"/>
  <c r="AT281" i="11"/>
  <c r="BC224" i="11"/>
  <c r="X263" i="11"/>
  <c r="AQ376" i="11"/>
  <c r="C374" i="11"/>
  <c r="L356" i="11"/>
  <c r="J409" i="11"/>
  <c r="BH350" i="11"/>
  <c r="AK418" i="11"/>
  <c r="AT289" i="11"/>
  <c r="BH209" i="11"/>
  <c r="Q304" i="11"/>
  <c r="AV228" i="11"/>
  <c r="L271" i="11"/>
  <c r="S219" i="11"/>
  <c r="AH367" i="11"/>
  <c r="M378" i="11"/>
  <c r="AY250" i="11"/>
  <c r="Y316" i="11"/>
  <c r="K292" i="11"/>
  <c r="J311" i="11"/>
  <c r="M368" i="11"/>
  <c r="AR293" i="11"/>
  <c r="AM231" i="11"/>
  <c r="X348" i="11"/>
  <c r="AD207" i="11"/>
  <c r="AM368" i="11"/>
  <c r="AC313" i="11"/>
  <c r="L392" i="11"/>
  <c r="G229" i="11"/>
  <c r="J310" i="11"/>
  <c r="V226" i="11"/>
  <c r="L324" i="11"/>
  <c r="Q232" i="11"/>
  <c r="V337" i="11"/>
  <c r="AC323" i="11"/>
  <c r="AU348" i="11"/>
  <c r="AD279" i="11"/>
  <c r="BN218" i="11"/>
  <c r="R321" i="11"/>
  <c r="BF294" i="11"/>
  <c r="BE342" i="11"/>
  <c r="H303" i="11"/>
  <c r="R259" i="11"/>
  <c r="AE396" i="11"/>
  <c r="AI374" i="11"/>
  <c r="O289" i="11"/>
  <c r="Y279" i="11"/>
  <c r="BI343" i="11"/>
  <c r="W234" i="11"/>
  <c r="U325" i="11"/>
  <c r="AS403" i="11"/>
  <c r="BM301" i="11"/>
  <c r="BD288" i="11"/>
  <c r="N445" i="11"/>
  <c r="AA247" i="11"/>
  <c r="BC217" i="11"/>
  <c r="AR433" i="11"/>
  <c r="AI337" i="11"/>
  <c r="AQ426" i="11"/>
  <c r="BN324" i="11"/>
  <c r="G287" i="11"/>
  <c r="AE281" i="11"/>
  <c r="I238" i="11"/>
  <c r="AD244" i="11"/>
  <c r="AB218" i="11"/>
  <c r="BG229" i="11"/>
  <c r="BM256" i="11"/>
  <c r="AS323" i="11"/>
  <c r="T291" i="11"/>
  <c r="BK272" i="11"/>
  <c r="AX319" i="11"/>
  <c r="V404" i="11"/>
  <c r="AD286" i="11"/>
  <c r="BD328" i="11"/>
  <c r="BK296" i="11"/>
  <c r="BC292" i="11"/>
  <c r="AX404" i="11"/>
  <c r="AM278" i="11"/>
  <c r="BM233" i="11"/>
  <c r="V376" i="11"/>
  <c r="L302" i="11"/>
  <c r="AU396" i="11"/>
  <c r="I376" i="11"/>
  <c r="L349" i="11"/>
  <c r="AD449" i="11"/>
  <c r="BC410" i="11"/>
  <c r="AD343" i="11"/>
  <c r="T254" i="11"/>
  <c r="AC306" i="11"/>
  <c r="L216" i="11"/>
  <c r="AZ225" i="11"/>
  <c r="K404" i="11"/>
  <c r="AW446" i="11"/>
  <c r="AY355" i="11"/>
  <c r="AR397" i="11"/>
  <c r="AW291" i="11"/>
  <c r="BD281" i="11"/>
  <c r="L279" i="11"/>
  <c r="L225" i="11"/>
  <c r="Y241" i="11"/>
  <c r="AC311" i="11"/>
  <c r="AH310" i="11"/>
  <c r="N233" i="11"/>
  <c r="AJ357" i="11"/>
  <c r="BH393" i="11"/>
  <c r="J384" i="11"/>
  <c r="N308" i="11"/>
  <c r="U365" i="11"/>
  <c r="AP215" i="11"/>
  <c r="R267" i="11"/>
  <c r="AR337" i="11"/>
  <c r="AL287" i="11"/>
  <c r="AD416" i="11"/>
  <c r="BB347" i="11"/>
  <c r="AP240" i="11"/>
  <c r="BI237" i="11"/>
  <c r="C412" i="11"/>
  <c r="AL286" i="11"/>
  <c r="AO439" i="11"/>
  <c r="AE241" i="11"/>
  <c r="BC350" i="11"/>
  <c r="AU224" i="11"/>
  <c r="BB299" i="11"/>
  <c r="G419" i="11"/>
  <c r="BM304" i="11"/>
  <c r="BJ312" i="11"/>
  <c r="AT287" i="11"/>
  <c r="G239" i="11"/>
  <c r="G404" i="11"/>
  <c r="Y297" i="11"/>
  <c r="X251" i="11"/>
  <c r="BL371" i="11"/>
  <c r="Y275" i="11"/>
  <c r="AD285" i="11"/>
  <c r="AL369" i="11"/>
  <c r="R368" i="11"/>
  <c r="J292" i="11"/>
  <c r="BA350" i="11"/>
  <c r="N376" i="11"/>
  <c r="U221" i="11"/>
  <c r="G332" i="11"/>
  <c r="O302" i="11"/>
  <c r="Q374" i="11"/>
  <c r="BH250" i="11"/>
  <c r="AT366" i="11"/>
  <c r="S367" i="11"/>
  <c r="AL360" i="11"/>
  <c r="X375" i="11"/>
  <c r="BG226" i="11"/>
  <c r="AG299" i="11"/>
  <c r="AM258" i="11"/>
  <c r="BG311" i="11"/>
  <c r="AC266" i="11"/>
  <c r="BK375" i="11"/>
  <c r="AQ361" i="11"/>
  <c r="BB238" i="11"/>
  <c r="K234" i="11"/>
  <c r="AL215" i="11"/>
  <c r="J413" i="11"/>
  <c r="BI383" i="11"/>
  <c r="U270" i="11"/>
  <c r="X312" i="11"/>
  <c r="R384" i="11"/>
  <c r="AM237" i="11"/>
  <c r="BK292" i="11"/>
  <c r="AB262" i="11"/>
  <c r="BG253" i="11"/>
  <c r="AF319" i="11"/>
  <c r="S239" i="11"/>
  <c r="BH399" i="11"/>
  <c r="AJ244" i="11"/>
  <c r="Q318" i="11"/>
  <c r="BH226" i="11"/>
  <c r="BB326" i="11"/>
  <c r="AA390" i="11"/>
  <c r="U247" i="11"/>
  <c r="J205" i="11"/>
  <c r="BC275" i="11"/>
  <c r="M272" i="11"/>
  <c r="AT237" i="11"/>
  <c r="AZ226" i="11"/>
  <c r="BN349" i="11"/>
  <c r="AZ276" i="11"/>
  <c r="AS206" i="11"/>
  <c r="AX422" i="11"/>
  <c r="BF270" i="11"/>
  <c r="X383" i="11"/>
  <c r="AL414" i="11"/>
  <c r="BI416" i="11"/>
  <c r="V428" i="11"/>
  <c r="AD282" i="11"/>
  <c r="X367" i="11"/>
  <c r="BE264" i="11"/>
  <c r="AI222" i="11"/>
  <c r="BD454" i="11"/>
  <c r="AN415" i="11"/>
  <c r="AW416" i="11"/>
  <c r="AD351" i="11"/>
  <c r="C226" i="11"/>
  <c r="J214" i="11"/>
  <c r="BL435" i="11"/>
  <c r="S204" i="11"/>
  <c r="Q203" i="11"/>
  <c r="K319" i="11"/>
  <c r="AA357" i="11"/>
  <c r="AM414" i="11"/>
  <c r="BB274" i="11"/>
  <c r="AX285" i="11"/>
  <c r="T436" i="11"/>
  <c r="AZ257" i="11"/>
  <c r="BF332" i="11"/>
  <c r="U324" i="11"/>
  <c r="M325" i="11"/>
  <c r="O433" i="11"/>
  <c r="Q419" i="11"/>
  <c r="Z350" i="11"/>
  <c r="AD206" i="11"/>
  <c r="BC236" i="11"/>
  <c r="AU450" i="11"/>
  <c r="AY454" i="11"/>
  <c r="BN221" i="11"/>
  <c r="BM327" i="11"/>
  <c r="AB338" i="11"/>
  <c r="BJ383" i="11"/>
  <c r="AI345" i="11"/>
  <c r="BM214" i="11"/>
  <c r="AM272" i="11"/>
  <c r="Y208" i="11"/>
  <c r="AK380" i="11"/>
  <c r="BI436" i="11"/>
  <c r="AO219" i="11"/>
  <c r="AF260" i="11"/>
  <c r="W241" i="11"/>
  <c r="AF440" i="11"/>
  <c r="AN297" i="11"/>
  <c r="AV301" i="11"/>
  <c r="R280" i="11"/>
  <c r="AO301" i="11"/>
  <c r="V266" i="11"/>
  <c r="AH248" i="11"/>
  <c r="AP265" i="11"/>
  <c r="BA344" i="11"/>
  <c r="AB339" i="11"/>
  <c r="Z319" i="11"/>
  <c r="AF390" i="11"/>
  <c r="AZ222" i="11"/>
  <c r="I326" i="11"/>
  <c r="BI315" i="11"/>
  <c r="J374" i="11"/>
  <c r="P453" i="11"/>
  <c r="BB384" i="11"/>
  <c r="AL269" i="11"/>
  <c r="BE385" i="11"/>
  <c r="V247" i="11"/>
  <c r="G226" i="11"/>
  <c r="AV286" i="11"/>
  <c r="BJ362" i="11"/>
  <c r="BD254" i="11"/>
  <c r="W413" i="11"/>
  <c r="G388" i="11"/>
  <c r="AJ249" i="11"/>
  <c r="K434" i="11"/>
  <c r="S245" i="11"/>
  <c r="AG427" i="11"/>
  <c r="BJ275" i="11"/>
  <c r="BA207" i="11"/>
  <c r="AN347" i="11"/>
  <c r="AS207" i="11"/>
  <c r="S336" i="11"/>
  <c r="BH258" i="11"/>
  <c r="C256" i="11"/>
  <c r="AF417" i="11"/>
  <c r="AH435" i="11"/>
  <c r="P432" i="11"/>
  <c r="BL311" i="11"/>
  <c r="BN443" i="11"/>
  <c r="AA235" i="11"/>
  <c r="U342" i="11"/>
  <c r="BG224" i="11"/>
  <c r="AC314" i="11"/>
  <c r="BC286" i="11"/>
  <c r="N357" i="11"/>
  <c r="AM326" i="11"/>
  <c r="AW398" i="11"/>
  <c r="Y356" i="11"/>
  <c r="R258" i="11"/>
  <c r="BD441" i="11"/>
  <c r="C414" i="11"/>
  <c r="U307" i="11"/>
  <c r="AO314" i="11"/>
  <c r="I216" i="11"/>
  <c r="AK371" i="11"/>
  <c r="V355" i="11"/>
  <c r="Y248" i="11"/>
  <c r="U266" i="11"/>
  <c r="AR405" i="11"/>
  <c r="BC379" i="11"/>
  <c r="BA332" i="11"/>
  <c r="BD401" i="11"/>
  <c r="AF334" i="11"/>
  <c r="J272" i="11"/>
  <c r="BN381" i="11"/>
  <c r="BM360" i="11"/>
  <c r="AQ326" i="11"/>
  <c r="AG280" i="11"/>
  <c r="H313" i="11"/>
  <c r="AD301" i="11"/>
  <c r="AF385" i="11"/>
  <c r="BA351" i="11"/>
  <c r="AP257" i="11"/>
  <c r="AL222" i="11"/>
  <c r="S246" i="11"/>
  <c r="AB324" i="11"/>
  <c r="BH257" i="11"/>
  <c r="AQ380" i="11"/>
  <c r="AF235" i="11"/>
  <c r="V293" i="11"/>
  <c r="T366" i="11"/>
  <c r="G443" i="11"/>
  <c r="AC318" i="11"/>
  <c r="W336" i="11"/>
  <c r="BM222" i="11"/>
  <c r="Q356" i="11"/>
  <c r="BA395" i="11"/>
  <c r="BI320" i="11"/>
  <c r="BJ324" i="11"/>
  <c r="BD435" i="11"/>
  <c r="AN335" i="11"/>
  <c r="BC298" i="11"/>
  <c r="AJ409" i="11"/>
  <c r="AU425" i="11"/>
  <c r="Y444" i="11"/>
  <c r="R432" i="11"/>
  <c r="AL374" i="11"/>
  <c r="AY338" i="11"/>
  <c r="AT388" i="11"/>
  <c r="BM338" i="11"/>
  <c r="BD332" i="11"/>
  <c r="Z278" i="11"/>
  <c r="AA277" i="11"/>
  <c r="BE412" i="11"/>
  <c r="AW286" i="11"/>
  <c r="W349" i="11"/>
  <c r="AC282" i="11"/>
  <c r="AQ292" i="11"/>
  <c r="G225" i="11"/>
  <c r="M453" i="11"/>
  <c r="AA365" i="11"/>
  <c r="BM407" i="11"/>
  <c r="G346" i="11"/>
  <c r="AV417" i="11"/>
  <c r="M426" i="11"/>
  <c r="AV349" i="11"/>
  <c r="BG388" i="11"/>
  <c r="AF416" i="11"/>
  <c r="BK429" i="11"/>
  <c r="N207" i="11"/>
  <c r="BC276" i="11"/>
  <c r="P343" i="11"/>
  <c r="AK405" i="11"/>
  <c r="R392" i="11"/>
  <c r="M251" i="11"/>
  <c r="BN231" i="11"/>
  <c r="BM247" i="11"/>
  <c r="AM395" i="11"/>
  <c r="BL350" i="11"/>
  <c r="AJ280" i="11"/>
  <c r="W392" i="11"/>
  <c r="AE207" i="11"/>
  <c r="BL344" i="11"/>
  <c r="P246" i="11"/>
  <c r="AT363" i="11"/>
  <c r="BM261" i="11"/>
  <c r="AJ219" i="11"/>
  <c r="AF222" i="11"/>
  <c r="AI369" i="11"/>
  <c r="BH349" i="11"/>
  <c r="BG212" i="11"/>
  <c r="P308" i="11"/>
  <c r="AH213" i="11"/>
  <c r="X266" i="11"/>
  <c r="AW242" i="11"/>
  <c r="Y344" i="11"/>
  <c r="AX299" i="11"/>
  <c r="AR436" i="11"/>
  <c r="AA330" i="11"/>
  <c r="BM248" i="11"/>
  <c r="BA456" i="11"/>
  <c r="Y257" i="11"/>
  <c r="AC447" i="11"/>
  <c r="K385" i="11"/>
  <c r="R324" i="11"/>
  <c r="AJ218" i="11"/>
  <c r="AA265" i="11"/>
  <c r="BG254" i="11"/>
  <c r="BE283" i="11"/>
  <c r="BL338" i="11"/>
  <c r="AA284" i="11"/>
  <c r="AC336" i="11"/>
  <c r="AH273" i="11"/>
  <c r="Y206" i="11"/>
  <c r="AU292" i="11"/>
  <c r="AK271" i="11"/>
  <c r="AA270" i="11"/>
  <c r="AG296" i="11"/>
  <c r="AP369" i="11"/>
  <c r="AP402" i="11"/>
  <c r="K303" i="11"/>
  <c r="N256" i="11"/>
  <c r="BC317" i="11"/>
  <c r="BA337" i="11"/>
  <c r="AO341" i="11"/>
  <c r="AE230" i="11"/>
  <c r="N242" i="11"/>
  <c r="M371" i="11"/>
  <c r="N268" i="11"/>
  <c r="BC247" i="11"/>
  <c r="AB404" i="11"/>
  <c r="V242" i="11"/>
  <c r="AE216" i="11"/>
  <c r="AJ288" i="11"/>
  <c r="AG332" i="11"/>
  <c r="AZ300" i="11"/>
  <c r="U300" i="11"/>
  <c r="J390" i="11"/>
  <c r="AP270" i="11"/>
  <c r="BF410" i="11"/>
  <c r="AY373" i="11"/>
  <c r="AQ363" i="11"/>
  <c r="AT342" i="11"/>
  <c r="AY257" i="11"/>
  <c r="AS275" i="11"/>
  <c r="AM207" i="11"/>
  <c r="AT360" i="11"/>
  <c r="AC379" i="11"/>
  <c r="AC301" i="11"/>
  <c r="Y220" i="11"/>
  <c r="AS248" i="11"/>
  <c r="C340" i="11"/>
  <c r="O368" i="11"/>
  <c r="AJ388" i="11"/>
  <c r="BJ267" i="11"/>
  <c r="AC407" i="11"/>
  <c r="AH386" i="11"/>
  <c r="AE239" i="11"/>
  <c r="I254" i="11"/>
  <c r="BE204" i="11"/>
  <c r="L217" i="11"/>
  <c r="AQ344" i="11"/>
  <c r="V209" i="11"/>
  <c r="AD215" i="11"/>
  <c r="BD229" i="11"/>
  <c r="AJ210" i="11"/>
  <c r="L219" i="11"/>
  <c r="BH319" i="11"/>
  <c r="AF306" i="11"/>
  <c r="AS320" i="11"/>
  <c r="BE404" i="11"/>
  <c r="N329" i="11"/>
  <c r="AL281" i="11"/>
  <c r="AI317" i="11"/>
  <c r="AG278" i="11"/>
  <c r="Q371" i="11"/>
  <c r="Y255" i="11"/>
  <c r="BH221" i="11"/>
  <c r="R447" i="11"/>
  <c r="BF248" i="11"/>
  <c r="AF254" i="11"/>
  <c r="BF244" i="11"/>
  <c r="BI308" i="11"/>
  <c r="BH274" i="11"/>
  <c r="AU395" i="11"/>
  <c r="AM312" i="11"/>
  <c r="AO312" i="11"/>
  <c r="AF401" i="11"/>
  <c r="L295" i="11"/>
  <c r="AQ290" i="11"/>
  <c r="AJ350" i="11"/>
  <c r="X336" i="11"/>
  <c r="BN285" i="11"/>
  <c r="G377" i="11"/>
  <c r="AK379" i="11"/>
  <c r="Q376" i="11"/>
  <c r="M282" i="11"/>
  <c r="BA334" i="11"/>
  <c r="M364" i="11"/>
  <c r="K328" i="11"/>
  <c r="AX223" i="11"/>
  <c r="N224" i="11"/>
  <c r="BF206" i="11"/>
  <c r="AB433" i="11"/>
  <c r="BB416" i="11"/>
  <c r="BE365" i="11"/>
  <c r="W328" i="11"/>
  <c r="AI325" i="11"/>
  <c r="Y324" i="11"/>
  <c r="AG429" i="11"/>
  <c r="AX352" i="11"/>
  <c r="AX325" i="11"/>
  <c r="AF333" i="11"/>
  <c r="I363" i="11"/>
  <c r="AB217" i="11"/>
  <c r="AC222" i="11"/>
  <c r="BM220" i="11"/>
  <c r="AE240" i="11"/>
  <c r="BH339" i="11"/>
  <c r="AF237" i="11"/>
  <c r="AN375" i="11"/>
  <c r="AK369" i="11"/>
  <c r="AK281" i="11"/>
  <c r="I388" i="11"/>
  <c r="C335" i="11"/>
  <c r="W260" i="11"/>
  <c r="U297" i="11"/>
  <c r="AI319" i="11"/>
  <c r="BM283" i="11"/>
  <c r="BM226" i="11"/>
  <c r="AQ257" i="11"/>
  <c r="BC262" i="11"/>
  <c r="BN228" i="11"/>
  <c r="G385" i="11"/>
  <c r="H374" i="11"/>
  <c r="H346" i="11"/>
  <c r="BN373" i="11"/>
  <c r="O347" i="11"/>
  <c r="K262" i="11"/>
  <c r="AF253" i="11"/>
  <c r="BI357" i="11"/>
  <c r="H307" i="11"/>
  <c r="BD293" i="11"/>
  <c r="Z322" i="11"/>
  <c r="AV394" i="11"/>
  <c r="L330" i="11"/>
  <c r="BH265" i="11"/>
  <c r="J330" i="11"/>
  <c r="AX322" i="11"/>
  <c r="BE215" i="11"/>
  <c r="AX335" i="11"/>
  <c r="T219" i="11"/>
  <c r="G275" i="11"/>
  <c r="BH253" i="11"/>
  <c r="H276" i="11"/>
  <c r="T359" i="11"/>
  <c r="AK378" i="11"/>
  <c r="M331" i="11"/>
  <c r="AX315" i="11"/>
  <c r="AM250" i="11"/>
  <c r="W430" i="11"/>
  <c r="Y438" i="11"/>
  <c r="BF217" i="11"/>
  <c r="Z336" i="11"/>
  <c r="AD330" i="11"/>
  <c r="AO270" i="11"/>
  <c r="H246" i="11"/>
  <c r="AA303" i="11"/>
  <c r="AN312" i="11"/>
  <c r="S234" i="11"/>
  <c r="U251" i="11"/>
  <c r="AU226" i="11"/>
  <c r="AT215" i="11"/>
  <c r="BG375" i="11"/>
  <c r="AS399" i="11"/>
  <c r="Z221" i="11"/>
  <c r="BJ406" i="11"/>
  <c r="AR390" i="11"/>
  <c r="S375" i="11"/>
  <c r="U268" i="11"/>
  <c r="V240" i="11"/>
  <c r="J225" i="11"/>
  <c r="Y252" i="11"/>
  <c r="W383" i="11"/>
  <c r="AT341" i="11"/>
  <c r="Q372" i="11"/>
  <c r="AQ315" i="11"/>
  <c r="V353" i="11"/>
  <c r="BG294" i="11"/>
  <c r="L331" i="11"/>
  <c r="T253" i="11"/>
  <c r="AG310" i="11"/>
  <c r="AN411" i="11"/>
  <c r="P367" i="11"/>
  <c r="Q359" i="11"/>
  <c r="L252" i="11"/>
  <c r="BJ375" i="11"/>
  <c r="H278" i="11"/>
  <c r="BC261" i="11"/>
  <c r="AY421" i="11"/>
  <c r="AH238" i="11"/>
  <c r="BK242" i="11"/>
  <c r="AN337" i="11"/>
  <c r="X301" i="11"/>
  <c r="AU402" i="11"/>
  <c r="X241" i="11"/>
  <c r="AU233" i="11"/>
  <c r="J319" i="11"/>
  <c r="AJ262" i="11"/>
  <c r="O233" i="11"/>
  <c r="I399" i="11"/>
  <c r="O326" i="11"/>
  <c r="AJ328" i="11"/>
  <c r="AA286" i="11"/>
  <c r="W253" i="11"/>
  <c r="Q324" i="11"/>
  <c r="AU338" i="11"/>
  <c r="AA443" i="11"/>
  <c r="BK256" i="11"/>
  <c r="AG255" i="11"/>
  <c r="BL249" i="11"/>
  <c r="AD288" i="11"/>
  <c r="L407" i="11"/>
  <c r="BM347" i="11"/>
  <c r="BG328" i="11"/>
  <c r="I302" i="11"/>
  <c r="AL236" i="11"/>
  <c r="AW232" i="11"/>
  <c r="AL207" i="11"/>
  <c r="Y278" i="11"/>
  <c r="AM329" i="11"/>
  <c r="AM255" i="11"/>
  <c r="H327" i="11"/>
  <c r="U249" i="11"/>
  <c r="AE224" i="11"/>
  <c r="AC304" i="11"/>
  <c r="W297" i="11"/>
  <c r="AW298" i="11"/>
  <c r="BD250" i="11"/>
  <c r="AN356" i="11"/>
  <c r="AW394" i="11"/>
  <c r="N322" i="11"/>
  <c r="M260" i="11"/>
  <c r="AR369" i="11"/>
  <c r="I323" i="11"/>
  <c r="W245" i="11"/>
  <c r="BE307" i="11"/>
  <c r="AY317" i="11"/>
  <c r="BC251" i="11"/>
  <c r="BM218" i="11"/>
  <c r="BA416" i="11"/>
  <c r="BE346" i="11"/>
  <c r="BC353" i="11"/>
  <c r="G311" i="11"/>
  <c r="BG317" i="11"/>
  <c r="H272" i="11"/>
  <c r="W438" i="11"/>
  <c r="BG223" i="11"/>
  <c r="Y328" i="11"/>
  <c r="BA451" i="11"/>
  <c r="AS372" i="11"/>
  <c r="AR219" i="11"/>
  <c r="K289" i="11"/>
  <c r="AJ310" i="11"/>
  <c r="BG282" i="11"/>
  <c r="Y218" i="11"/>
  <c r="AF330" i="11"/>
  <c r="AT300" i="11"/>
  <c r="AT223" i="11"/>
  <c r="AD320" i="11"/>
  <c r="BD283" i="11"/>
  <c r="X354" i="11"/>
  <c r="AS380" i="11"/>
  <c r="AD318" i="11"/>
  <c r="AW256" i="11"/>
  <c r="AG265" i="11"/>
  <c r="J380" i="11"/>
  <c r="BN438" i="11"/>
  <c r="L435" i="11"/>
  <c r="AZ353" i="11"/>
  <c r="AT216" i="11"/>
  <c r="AO249" i="11"/>
  <c r="AC218" i="11"/>
  <c r="G303" i="11"/>
  <c r="AM306" i="11"/>
  <c r="M412" i="11"/>
  <c r="AZ424" i="11"/>
  <c r="AC317" i="11"/>
  <c r="H325" i="11"/>
  <c r="Q428" i="11"/>
  <c r="AK424" i="11"/>
  <c r="H321" i="11"/>
  <c r="AX445" i="11"/>
  <c r="AP354" i="11"/>
  <c r="AC439" i="11"/>
  <c r="X295" i="11"/>
  <c r="AN410" i="11"/>
  <c r="BB387" i="11"/>
  <c r="J456" i="11"/>
  <c r="AB447" i="11"/>
  <c r="O310" i="11"/>
  <c r="O220" i="11"/>
  <c r="BI322" i="11"/>
  <c r="AX423" i="11"/>
  <c r="BG410" i="11"/>
  <c r="V262" i="11"/>
  <c r="AZ385" i="11"/>
  <c r="R266" i="11"/>
  <c r="AL249" i="11"/>
  <c r="BK350" i="11"/>
  <c r="W364" i="11"/>
  <c r="P441" i="11"/>
  <c r="AQ412" i="11"/>
  <c r="P408" i="11"/>
  <c r="BF280" i="11"/>
  <c r="M292" i="11"/>
  <c r="W391" i="11"/>
  <c r="O287" i="11"/>
  <c r="M329" i="11"/>
  <c r="AU290" i="11"/>
  <c r="AL368" i="11"/>
  <c r="AL435" i="11"/>
  <c r="BK362" i="11"/>
  <c r="BI316" i="11"/>
  <c r="AA223" i="11"/>
  <c r="AU235" i="11"/>
  <c r="AZ375" i="11"/>
  <c r="I356" i="11"/>
  <c r="BB360" i="11"/>
  <c r="N331" i="11"/>
  <c r="AV245" i="11"/>
  <c r="BA261" i="11"/>
  <c r="M235" i="11"/>
  <c r="AT228" i="11"/>
  <c r="AG259" i="11"/>
  <c r="AE211" i="11"/>
  <c r="AV237" i="11"/>
  <c r="X229" i="11"/>
  <c r="C288" i="11"/>
  <c r="AV257" i="11"/>
  <c r="AI244" i="11"/>
  <c r="L344" i="11"/>
  <c r="BN281" i="11"/>
  <c r="BH270" i="11"/>
  <c r="BG271" i="11"/>
  <c r="BE253" i="11"/>
  <c r="AC290" i="11"/>
  <c r="BD268" i="11"/>
  <c r="AF305" i="11"/>
  <c r="Y256" i="11"/>
  <c r="BD304" i="11"/>
  <c r="X346" i="11"/>
  <c r="BM367" i="11"/>
  <c r="BD362" i="11"/>
  <c r="AV307" i="11"/>
  <c r="BF408" i="11"/>
  <c r="T433" i="11"/>
  <c r="H422" i="11"/>
  <c r="W431" i="11"/>
  <c r="G344" i="11"/>
  <c r="AN414" i="11"/>
  <c r="AI313" i="11"/>
  <c r="AR249" i="11"/>
  <c r="AC414" i="11"/>
  <c r="BD426" i="11"/>
  <c r="BB415" i="11"/>
  <c r="AM352" i="11"/>
  <c r="BI246" i="11"/>
  <c r="Z407" i="11"/>
  <c r="AO446" i="11"/>
  <c r="AK408" i="11"/>
  <c r="BI452" i="11"/>
  <c r="BG248" i="11"/>
  <c r="AS268" i="11"/>
  <c r="C318" i="11"/>
  <c r="AG455" i="11"/>
  <c r="P339" i="11"/>
  <c r="X447" i="11"/>
  <c r="V413" i="11"/>
  <c r="AI399" i="11"/>
  <c r="N321" i="11"/>
  <c r="T429" i="11"/>
  <c r="AS435" i="11"/>
  <c r="AO455" i="11"/>
  <c r="AH439" i="11"/>
  <c r="X213" i="11"/>
  <c r="AZ251" i="11"/>
  <c r="R317" i="11"/>
  <c r="I394" i="11"/>
  <c r="BB412" i="11"/>
  <c r="C279" i="11"/>
  <c r="BF323" i="11"/>
  <c r="AC254" i="11"/>
  <c r="C394" i="11"/>
  <c r="BK258" i="11"/>
  <c r="BD333" i="11"/>
  <c r="M375" i="11"/>
  <c r="I392" i="11"/>
  <c r="R218" i="11"/>
  <c r="AV372" i="11"/>
  <c r="AM211" i="11"/>
  <c r="AA379" i="11"/>
  <c r="AE229" i="11"/>
  <c r="X239" i="11"/>
  <c r="AH305" i="11"/>
  <c r="AD382" i="11"/>
  <c r="X372" i="11"/>
  <c r="AM268" i="11"/>
  <c r="AU279" i="11"/>
  <c r="G264" i="11"/>
  <c r="AN439" i="11"/>
  <c r="BA268" i="11"/>
  <c r="AY225" i="11"/>
  <c r="AO396" i="11"/>
  <c r="BI339" i="11"/>
  <c r="H359" i="11"/>
  <c r="BG277" i="11"/>
  <c r="AR361" i="11"/>
  <c r="AL335" i="11"/>
  <c r="O296" i="11"/>
  <c r="AP237" i="11"/>
  <c r="BE291" i="11"/>
  <c r="H208" i="11"/>
  <c r="AB281" i="11"/>
  <c r="BK351" i="11"/>
  <c r="BD245" i="11"/>
  <c r="AN364" i="11"/>
  <c r="W275" i="11"/>
  <c r="AL229" i="11"/>
  <c r="AY251" i="11"/>
  <c r="AQ206" i="11"/>
  <c r="AY290" i="11"/>
  <c r="C320" i="11"/>
  <c r="BM212" i="11"/>
  <c r="BG441" i="11"/>
  <c r="T331" i="11"/>
  <c r="Q211" i="11"/>
  <c r="BK428" i="11"/>
  <c r="AE286" i="11"/>
  <c r="P379" i="11"/>
  <c r="AU207" i="11"/>
  <c r="C454" i="11"/>
  <c r="AL451" i="11"/>
  <c r="T228" i="11"/>
  <c r="AX245" i="11"/>
  <c r="BI261" i="11"/>
  <c r="U355" i="11"/>
  <c r="AF369" i="11"/>
  <c r="BK382" i="11"/>
  <c r="C332" i="11"/>
  <c r="AQ393" i="11"/>
  <c r="AH406" i="11"/>
  <c r="AN340" i="11"/>
  <c r="AN435" i="11"/>
  <c r="Z289" i="11"/>
  <c r="V395" i="11"/>
  <c r="AD355" i="11"/>
  <c r="J353" i="11"/>
  <c r="H405" i="11"/>
  <c r="BD209" i="11"/>
  <c r="AB242" i="11"/>
  <c r="AC297" i="11"/>
  <c r="BL261" i="11"/>
  <c r="BA275" i="11"/>
  <c r="BK434" i="11"/>
  <c r="U226" i="11"/>
  <c r="AF326" i="11"/>
  <c r="BN307" i="11"/>
  <c r="S347" i="11"/>
  <c r="AV212" i="11"/>
  <c r="S254" i="11"/>
  <c r="BJ450" i="11"/>
  <c r="AQ398" i="11"/>
  <c r="BI288" i="11"/>
  <c r="BC361" i="11"/>
  <c r="BB328" i="11"/>
  <c r="C364" i="11"/>
  <c r="AW352" i="11"/>
  <c r="BH437" i="11"/>
  <c r="S395" i="11"/>
  <c r="R382" i="11"/>
  <c r="BA373" i="11"/>
  <c r="AL455" i="11"/>
  <c r="AL366" i="11"/>
  <c r="AV405" i="11"/>
  <c r="AK231" i="11"/>
  <c r="AH294" i="11"/>
  <c r="BD286" i="11"/>
  <c r="AS357" i="11"/>
  <c r="Q416" i="11"/>
  <c r="AR364" i="11"/>
  <c r="N335" i="11"/>
  <c r="BA226" i="11"/>
  <c r="AB436" i="11"/>
  <c r="M327" i="11"/>
  <c r="BN304" i="11"/>
  <c r="Q338" i="11"/>
  <c r="BD382" i="11"/>
  <c r="BI238" i="11"/>
  <c r="AK285" i="11"/>
  <c r="I300" i="11"/>
  <c r="BE299" i="11"/>
  <c r="AH301" i="11"/>
  <c r="AO394" i="11"/>
  <c r="BG217" i="11"/>
  <c r="BI277" i="11"/>
  <c r="AD447" i="11"/>
  <c r="BK236" i="11"/>
  <c r="BD313" i="11"/>
  <c r="AY389" i="11"/>
  <c r="AU445" i="11"/>
  <c r="AS290" i="11"/>
  <c r="AI398" i="11"/>
  <c r="AN361" i="11"/>
  <c r="AY397" i="11"/>
  <c r="AE205" i="11"/>
  <c r="AL315" i="11"/>
  <c r="S337" i="11"/>
  <c r="AV384" i="11"/>
  <c r="BA385" i="11"/>
  <c r="AN284" i="11"/>
  <c r="BG365" i="11"/>
  <c r="AZ404" i="11"/>
  <c r="L376" i="11"/>
  <c r="BH453" i="11"/>
  <c r="BD432" i="11"/>
  <c r="L443" i="11"/>
  <c r="BI429" i="11"/>
  <c r="AE428" i="11"/>
  <c r="L445" i="11"/>
  <c r="AD210" i="11"/>
  <c r="AS313" i="11"/>
  <c r="BN385" i="11"/>
  <c r="Z411" i="11"/>
  <c r="BI332" i="11"/>
  <c r="BG352" i="11"/>
  <c r="AJ444" i="11"/>
  <c r="M431" i="11"/>
  <c r="AX413" i="11"/>
  <c r="AV397" i="11"/>
  <c r="BD381" i="11"/>
  <c r="AV429" i="11"/>
  <c r="AE393" i="11"/>
  <c r="AL330" i="11"/>
  <c r="K239" i="11"/>
  <c r="AD366" i="11"/>
  <c r="X401" i="11"/>
  <c r="U295" i="11"/>
  <c r="AW231" i="11"/>
  <c r="AY258" i="11"/>
  <c r="AF257" i="11"/>
  <c r="AM217" i="11"/>
  <c r="AD438" i="11"/>
  <c r="BD248" i="11"/>
  <c r="W418" i="11"/>
  <c r="AG326" i="11"/>
  <c r="S257" i="11"/>
  <c r="AA215" i="11"/>
  <c r="P450" i="11"/>
  <c r="K274" i="11"/>
  <c r="AP444" i="11"/>
  <c r="AT330" i="11"/>
  <c r="T207" i="11"/>
  <c r="AQ227" i="11"/>
  <c r="BM440" i="11"/>
  <c r="AQ400" i="11"/>
  <c r="X293" i="11"/>
  <c r="BK451" i="11"/>
  <c r="BG283" i="11"/>
  <c r="I425" i="11"/>
  <c r="AU421" i="11"/>
  <c r="P284" i="11"/>
  <c r="U373" i="11"/>
  <c r="AX443" i="11"/>
  <c r="J264" i="11"/>
  <c r="AR366" i="11"/>
  <c r="AR263" i="11"/>
  <c r="J373" i="11"/>
  <c r="Q260" i="11"/>
  <c r="AD430" i="11"/>
  <c r="AI453" i="11"/>
  <c r="AG443" i="11"/>
  <c r="AO405" i="11"/>
  <c r="BH232" i="11"/>
  <c r="BL223" i="11"/>
  <c r="U233" i="11"/>
  <c r="AG313" i="11"/>
  <c r="AZ326" i="11"/>
  <c r="AE410" i="11"/>
  <c r="AQ356" i="11"/>
  <c r="BH377" i="11"/>
  <c r="AI452" i="11"/>
  <c r="J237" i="11"/>
  <c r="M307" i="11"/>
  <c r="AN342" i="11"/>
  <c r="AI425" i="11"/>
  <c r="AX397" i="11"/>
  <c r="AZ316" i="11"/>
  <c r="I337" i="11"/>
  <c r="AJ332" i="11"/>
  <c r="BJ399" i="11"/>
  <c r="BE329" i="11"/>
  <c r="AO227" i="11"/>
  <c r="I355" i="11"/>
  <c r="S247" i="11"/>
  <c r="BB376" i="11"/>
  <c r="AF407" i="11"/>
  <c r="T262" i="11"/>
  <c r="AK309" i="11"/>
  <c r="K324" i="11"/>
  <c r="C331" i="11"/>
  <c r="BA430" i="11"/>
  <c r="AN311" i="11"/>
  <c r="AR257" i="11"/>
  <c r="AI402" i="11"/>
  <c r="AN370" i="11"/>
  <c r="AU283" i="11"/>
  <c r="G295" i="11"/>
  <c r="AG398" i="11"/>
  <c r="U393" i="11"/>
  <c r="K350" i="11"/>
  <c r="AJ229" i="11"/>
  <c r="BH293" i="11"/>
  <c r="BB374" i="11"/>
  <c r="I410" i="11"/>
  <c r="BI405" i="11"/>
  <c r="AM429" i="11"/>
  <c r="BH369" i="11"/>
  <c r="AD331" i="11"/>
  <c r="U292" i="11"/>
  <c r="BJ360" i="11"/>
  <c r="AN325" i="11"/>
  <c r="AB350" i="11"/>
  <c r="AW378" i="11"/>
  <c r="AF415" i="11"/>
  <c r="M254" i="11"/>
  <c r="AW320" i="11"/>
  <c r="AG400" i="11"/>
  <c r="AW364" i="11"/>
  <c r="BM443" i="11"/>
  <c r="AS436" i="11"/>
  <c r="AD299" i="11"/>
  <c r="O451" i="11"/>
  <c r="Q248" i="11"/>
  <c r="X369" i="11"/>
  <c r="M321" i="11"/>
  <c r="AU347" i="11"/>
  <c r="AC448" i="11"/>
  <c r="AV385" i="11"/>
  <c r="AU408" i="11"/>
  <c r="U363" i="11"/>
  <c r="BE415" i="11"/>
  <c r="BB228" i="11"/>
  <c r="AX446" i="11"/>
  <c r="R456" i="11"/>
  <c r="AN300" i="11"/>
  <c r="BN427" i="11"/>
  <c r="BB393" i="11"/>
  <c r="AE342" i="11"/>
  <c r="U410" i="11"/>
  <c r="P335" i="11"/>
  <c r="BC347" i="11"/>
  <c r="AP383" i="11"/>
  <c r="AA276" i="11"/>
  <c r="BN205" i="11"/>
  <c r="AH377" i="11"/>
  <c r="L448" i="11"/>
  <c r="AM350" i="11"/>
  <c r="AH224" i="11"/>
  <c r="I225" i="11"/>
  <c r="AH378" i="11"/>
  <c r="K364" i="11"/>
  <c r="BI379" i="11"/>
  <c r="BA361" i="11"/>
  <c r="AC291" i="11"/>
  <c r="AQ207" i="11"/>
  <c r="BB304" i="11"/>
  <c r="AV392" i="11"/>
  <c r="AL349" i="11"/>
  <c r="AS404" i="11"/>
  <c r="AJ449" i="11"/>
  <c r="BM429" i="11"/>
  <c r="BE286" i="11"/>
  <c r="R407" i="11"/>
  <c r="BC404" i="11"/>
  <c r="BE356" i="11"/>
  <c r="BM403" i="11"/>
  <c r="BB229" i="11"/>
  <c r="AM385" i="11"/>
  <c r="AP310" i="11"/>
  <c r="R372" i="11"/>
  <c r="Z383" i="11"/>
  <c r="BE361" i="11"/>
  <c r="AR344" i="11"/>
  <c r="AL334" i="11"/>
  <c r="AJ315" i="11"/>
  <c r="H247" i="11"/>
  <c r="AQ309" i="11"/>
  <c r="L396" i="11"/>
  <c r="BN253" i="11"/>
  <c r="W257" i="11"/>
  <c r="BA436" i="11"/>
  <c r="BD247" i="11"/>
  <c r="AX361" i="11"/>
  <c r="W306" i="11"/>
  <c r="P273" i="11"/>
  <c r="AO224" i="11"/>
  <c r="N324" i="11"/>
  <c r="AR307" i="11"/>
  <c r="BH336" i="11"/>
  <c r="C455" i="11"/>
  <c r="AZ381" i="11"/>
  <c r="AP430" i="11"/>
  <c r="G431" i="11"/>
  <c r="AX353" i="11"/>
  <c r="J430" i="11"/>
  <c r="AC334" i="11"/>
  <c r="M233" i="11"/>
  <c r="AV379" i="11"/>
  <c r="AV422" i="11"/>
  <c r="AN429" i="11"/>
  <c r="AP374" i="11"/>
  <c r="AL240" i="11"/>
  <c r="AF310" i="11"/>
  <c r="BI278" i="11"/>
  <c r="BJ271" i="11"/>
  <c r="U394" i="11"/>
  <c r="AS376" i="11"/>
  <c r="AC384" i="11"/>
  <c r="AX259" i="11"/>
  <c r="BG404" i="11"/>
  <c r="W212" i="11"/>
  <c r="AG276" i="11"/>
  <c r="BM314" i="11"/>
  <c r="M210" i="11"/>
  <c r="W282" i="11"/>
  <c r="P415" i="11"/>
  <c r="BF230" i="11"/>
  <c r="AG316" i="11"/>
  <c r="BF438" i="11"/>
  <c r="I290" i="11"/>
  <c r="T381" i="11"/>
  <c r="Y410" i="11"/>
  <c r="X425" i="11"/>
  <c r="BM352" i="11"/>
  <c r="S354" i="11"/>
  <c r="AA246" i="11"/>
  <c r="P386" i="11"/>
  <c r="P360" i="11"/>
  <c r="BE249" i="11"/>
  <c r="AM281" i="11"/>
  <c r="BK222" i="11"/>
  <c r="AT331" i="11"/>
  <c r="K429" i="11"/>
  <c r="AP238" i="11"/>
  <c r="I342" i="11"/>
  <c r="BC343" i="11"/>
  <c r="U378" i="11"/>
  <c r="AZ220" i="11"/>
  <c r="H439" i="11"/>
  <c r="AD265" i="11"/>
  <c r="S357" i="11"/>
  <c r="AX388" i="11"/>
  <c r="X395" i="11"/>
  <c r="I250" i="11"/>
  <c r="Q222" i="11"/>
  <c r="R311" i="11"/>
  <c r="AJ231" i="11"/>
  <c r="H320" i="11"/>
  <c r="AA245" i="11"/>
  <c r="L403" i="11"/>
  <c r="T420" i="11"/>
  <c r="AL393" i="11"/>
  <c r="V334" i="11"/>
  <c r="H227" i="11"/>
  <c r="U445" i="11"/>
  <c r="BC397" i="11"/>
  <c r="X216" i="11"/>
  <c r="AD264" i="11"/>
  <c r="Z392" i="11"/>
  <c r="M396" i="11"/>
  <c r="AD313" i="11"/>
  <c r="AE267" i="11"/>
  <c r="AJ271" i="11"/>
  <c r="AO309" i="11"/>
  <c r="BF334" i="11"/>
  <c r="BA225" i="11"/>
  <c r="Z344" i="11"/>
  <c r="AH251" i="11"/>
  <c r="BJ309" i="11"/>
  <c r="AV300" i="11"/>
  <c r="AZ206" i="11"/>
  <c r="H230" i="11"/>
  <c r="V350" i="11"/>
  <c r="W266" i="11"/>
  <c r="L213" i="11"/>
  <c r="AP406" i="11"/>
  <c r="O230" i="11"/>
  <c r="O346" i="11"/>
  <c r="K414" i="11"/>
  <c r="BK312" i="11"/>
  <c r="G329" i="11"/>
  <c r="R366" i="11"/>
  <c r="K268" i="11"/>
  <c r="AP303" i="11"/>
  <c r="AN363" i="11"/>
  <c r="U453" i="11"/>
  <c r="BC430" i="11"/>
  <c r="AB442" i="11"/>
  <c r="V418" i="11"/>
  <c r="AH358" i="11"/>
  <c r="AU310" i="11"/>
  <c r="Z264" i="11"/>
  <c r="W251" i="11"/>
  <c r="BC333" i="11"/>
  <c r="AD347" i="11"/>
  <c r="AD393" i="11"/>
  <c r="AB450" i="11"/>
  <c r="W393" i="11"/>
  <c r="L364" i="11"/>
  <c r="AU251" i="11"/>
  <c r="K340" i="11"/>
  <c r="AH424" i="11"/>
  <c r="AP387" i="11"/>
  <c r="BE343" i="11"/>
  <c r="AC259" i="11"/>
  <c r="Z277" i="11"/>
  <c r="R295" i="11"/>
  <c r="AA407" i="11"/>
  <c r="Y417" i="11"/>
  <c r="C205" i="11"/>
  <c r="C424" i="11"/>
  <c r="AE327" i="11"/>
  <c r="AK238" i="11"/>
  <c r="AY450" i="11"/>
  <c r="AO349" i="11"/>
  <c r="AT452" i="11"/>
  <c r="BN456" i="11"/>
  <c r="AZ423" i="11"/>
  <c r="C243" i="11"/>
  <c r="AE379" i="11"/>
  <c r="BB390" i="11"/>
  <c r="O270" i="11"/>
  <c r="AY285" i="11"/>
  <c r="O261" i="11"/>
  <c r="J242" i="11"/>
  <c r="P213" i="11"/>
  <c r="BF297" i="11"/>
  <c r="AB256" i="11"/>
  <c r="BC405" i="11"/>
  <c r="P251" i="11"/>
  <c r="BN434" i="11"/>
  <c r="AF426" i="11"/>
  <c r="AC220" i="11"/>
  <c r="BA358" i="11"/>
  <c r="O442" i="11"/>
  <c r="I343" i="11"/>
  <c r="R370" i="11"/>
  <c r="C384" i="11"/>
  <c r="AL372" i="11"/>
  <c r="I379" i="11"/>
  <c r="BI299" i="11"/>
  <c r="BI427" i="11"/>
  <c r="AC410" i="11"/>
  <c r="AS385" i="11"/>
  <c r="AR432" i="11"/>
  <c r="O281" i="11"/>
  <c r="W208" i="11"/>
  <c r="Z251" i="11"/>
  <c r="BJ212" i="11"/>
  <c r="R451" i="11"/>
  <c r="AV387" i="11"/>
  <c r="BC334" i="11"/>
  <c r="AW380" i="11"/>
  <c r="AJ372" i="11"/>
  <c r="G286" i="11"/>
  <c r="AL450" i="11"/>
  <c r="AZ435" i="11"/>
  <c r="AD365" i="11"/>
  <c r="BN413" i="11"/>
  <c r="X408" i="11"/>
  <c r="C305" i="11"/>
  <c r="I269" i="11"/>
  <c r="G418" i="11"/>
  <c r="AM376" i="11"/>
  <c r="BL416" i="11"/>
  <c r="AG396" i="11"/>
  <c r="M291" i="11"/>
  <c r="AC409" i="11"/>
  <c r="P325" i="11"/>
  <c r="T246" i="11"/>
  <c r="BI391" i="11"/>
  <c r="AS408" i="11"/>
  <c r="AE440" i="11"/>
  <c r="AL456" i="11"/>
  <c r="Y326" i="11"/>
  <c r="AM433" i="11"/>
  <c r="BE401" i="11"/>
  <c r="V432" i="11"/>
  <c r="AK430" i="11"/>
  <c r="AM436" i="11"/>
  <c r="I422" i="11"/>
  <c r="M351" i="11"/>
  <c r="R401" i="11"/>
  <c r="BB311" i="11"/>
  <c r="BI327" i="11"/>
  <c r="AM302" i="11"/>
  <c r="AM392" i="11"/>
  <c r="BE349" i="11"/>
  <c r="BG446" i="11"/>
  <c r="AV335" i="11"/>
  <c r="AO212" i="11"/>
  <c r="L238" i="11"/>
  <c r="AI381" i="11"/>
  <c r="AN236" i="11"/>
  <c r="X361" i="11"/>
  <c r="P389" i="11"/>
  <c r="T330" i="11"/>
  <c r="K448" i="11"/>
  <c r="W276" i="11"/>
  <c r="O313" i="11"/>
  <c r="P419" i="11"/>
  <c r="AA429" i="11"/>
  <c r="BE359" i="11"/>
  <c r="T435" i="11"/>
  <c r="BJ234" i="11"/>
  <c r="AE424" i="11"/>
  <c r="M267" i="11"/>
  <c r="BN402" i="11"/>
  <c r="I389" i="11"/>
  <c r="AW304" i="11"/>
  <c r="AB276" i="11"/>
  <c r="AG350" i="11"/>
  <c r="AA387" i="11"/>
  <c r="Y451" i="11"/>
  <c r="BM388" i="11"/>
  <c r="I398" i="11"/>
  <c r="BD433" i="11"/>
  <c r="BD445" i="11"/>
  <c r="AT426" i="11"/>
  <c r="G383" i="11"/>
  <c r="G400" i="11"/>
  <c r="AJ407" i="11"/>
  <c r="Y291" i="11"/>
  <c r="R351" i="11"/>
  <c r="AY342" i="11"/>
  <c r="BA323" i="11"/>
  <c r="L440" i="11"/>
  <c r="G343" i="11"/>
  <c r="BE391" i="11"/>
  <c r="AH252" i="11"/>
  <c r="AC438" i="11"/>
  <c r="Y439" i="11"/>
  <c r="AR321" i="11"/>
  <c r="BK415" i="11"/>
  <c r="AP298" i="11"/>
  <c r="AK273" i="11"/>
  <c r="BK264" i="11"/>
  <c r="AS351" i="11"/>
  <c r="BC432" i="11"/>
  <c r="U208" i="11"/>
  <c r="BI252" i="11"/>
  <c r="AF452" i="11"/>
  <c r="AX435" i="11"/>
  <c r="AU384" i="11"/>
  <c r="AX406" i="11"/>
  <c r="AY382" i="11"/>
  <c r="BI406" i="11"/>
  <c r="W455" i="11"/>
  <c r="J378" i="11"/>
  <c r="BE338" i="11"/>
  <c r="T450" i="11"/>
  <c r="AH393" i="11"/>
  <c r="P243" i="11"/>
  <c r="Y302" i="11"/>
  <c r="BK343" i="11"/>
  <c r="AE383" i="11"/>
  <c r="AV410" i="11"/>
  <c r="BM430" i="11"/>
  <c r="AF359" i="11"/>
  <c r="BF409" i="11"/>
  <c r="AL381" i="11"/>
  <c r="AR247" i="11"/>
  <c r="G364" i="11"/>
  <c r="BJ456" i="11"/>
  <c r="BD408" i="11"/>
  <c r="G361" i="11"/>
  <c r="BD363" i="11"/>
  <c r="AR434" i="11"/>
  <c r="AF232" i="11"/>
  <c r="BI361" i="11"/>
  <c r="V351" i="11"/>
  <c r="BH224" i="11"/>
  <c r="Z206" i="11"/>
  <c r="Z225" i="11"/>
  <c r="BM277" i="11"/>
  <c r="BH385" i="11"/>
  <c r="AI456" i="11"/>
  <c r="AZ259" i="11"/>
  <c r="C452" i="11"/>
  <c r="BG347" i="11"/>
  <c r="BG257" i="11"/>
  <c r="P399" i="11"/>
  <c r="BG267" i="11"/>
  <c r="AB274" i="11"/>
  <c r="AU414" i="11"/>
  <c r="Q309" i="11"/>
  <c r="AU411" i="11"/>
  <c r="S404" i="11"/>
  <c r="N371" i="11"/>
  <c r="S427" i="11"/>
  <c r="R403" i="11"/>
  <c r="BJ359" i="11"/>
  <c r="AJ364" i="11"/>
  <c r="BA393" i="11"/>
  <c r="AH345" i="11"/>
  <c r="AS400" i="11"/>
  <c r="L309" i="11"/>
  <c r="I236" i="11"/>
  <c r="AM415" i="11"/>
  <c r="T440" i="11"/>
  <c r="AJ272" i="11"/>
  <c r="Z346" i="11"/>
  <c r="AN216" i="11"/>
  <c r="AR403" i="11"/>
  <c r="Z326" i="11"/>
  <c r="AW248" i="11"/>
  <c r="BG340" i="11"/>
  <c r="S324" i="11"/>
  <c r="BC219" i="11"/>
  <c r="G370" i="11"/>
  <c r="BD439" i="11"/>
  <c r="V378" i="11"/>
  <c r="G436" i="11"/>
  <c r="U370" i="11"/>
  <c r="BN371" i="11"/>
  <c r="I433" i="11"/>
  <c r="AQ243" i="11"/>
  <c r="BI353" i="11"/>
  <c r="AR370" i="11"/>
  <c r="AE213" i="11"/>
  <c r="AE390" i="11"/>
  <c r="N375" i="11"/>
  <c r="BG377" i="11"/>
  <c r="AS453" i="11"/>
  <c r="AH338" i="11"/>
  <c r="W396" i="11"/>
  <c r="AX433" i="11"/>
  <c r="AE420" i="11"/>
  <c r="AV377" i="11"/>
  <c r="AC246" i="11"/>
  <c r="BH372" i="11"/>
  <c r="V435" i="11"/>
  <c r="AP329" i="11"/>
  <c r="BH301" i="11"/>
  <c r="AI234" i="11"/>
  <c r="AL252" i="11"/>
  <c r="Q311" i="11"/>
  <c r="H385" i="11"/>
  <c r="BK414" i="11"/>
  <c r="AQ387" i="11"/>
  <c r="AY228" i="11"/>
  <c r="AT385" i="11"/>
  <c r="AQ372" i="11"/>
  <c r="BL422" i="11"/>
  <c r="AY409" i="11"/>
  <c r="AQ239" i="11"/>
  <c r="X415" i="11"/>
  <c r="AH456" i="11"/>
  <c r="BJ382" i="11"/>
  <c r="BA409" i="11"/>
  <c r="AM343" i="11"/>
  <c r="O378" i="11"/>
  <c r="T307" i="11"/>
  <c r="BM425" i="11"/>
  <c r="C272" i="11"/>
  <c r="AC310" i="11"/>
  <c r="AN389" i="11"/>
  <c r="AF384" i="11"/>
  <c r="AT337" i="11"/>
  <c r="AG404" i="11"/>
  <c r="AZ396" i="11"/>
  <c r="AN377" i="11"/>
  <c r="BM415" i="11"/>
  <c r="BF378" i="11"/>
  <c r="AA378" i="11"/>
  <c r="AZ343" i="11"/>
  <c r="C283" i="11"/>
  <c r="AR350" i="11"/>
  <c r="C358" i="11"/>
  <c r="AT415" i="11"/>
  <c r="Y268" i="11"/>
  <c r="AZ431" i="11"/>
  <c r="BJ319" i="11"/>
  <c r="AS340" i="11"/>
  <c r="BA421" i="11"/>
  <c r="BI411" i="11"/>
  <c r="J248" i="11"/>
  <c r="AQ409" i="11"/>
  <c r="P318" i="11"/>
  <c r="AX341" i="11"/>
  <c r="Z243" i="11"/>
  <c r="AV205" i="11"/>
  <c r="AI378" i="11"/>
  <c r="N237" i="11"/>
  <c r="L325" i="11"/>
  <c r="AP415" i="11"/>
  <c r="AQ445" i="11"/>
  <c r="J321" i="11"/>
  <c r="O268" i="11"/>
  <c r="AT358" i="11"/>
  <c r="AK267" i="11"/>
  <c r="AT437" i="11"/>
  <c r="AY432" i="11"/>
  <c r="T335" i="11"/>
  <c r="T392" i="11"/>
  <c r="BD423" i="11"/>
  <c r="C269" i="11"/>
  <c r="M273" i="11"/>
  <c r="AP411" i="11"/>
  <c r="AO436" i="11"/>
  <c r="AQ451" i="11"/>
  <c r="BH358" i="11"/>
  <c r="AU362" i="11"/>
  <c r="BH263" i="11"/>
  <c r="BC445" i="11"/>
  <c r="AF343" i="11"/>
  <c r="BM356" i="11"/>
  <c r="AT378" i="11"/>
  <c r="S415" i="11"/>
  <c r="AF399" i="11"/>
  <c r="AT454" i="11"/>
  <c r="AT304" i="11"/>
  <c r="K440" i="11"/>
  <c r="AR354" i="11"/>
  <c r="BM391" i="11"/>
  <c r="U368" i="11"/>
  <c r="AN417" i="11"/>
  <c r="S361" i="11"/>
  <c r="AI448" i="11"/>
  <c r="AO409" i="11"/>
  <c r="AM372" i="11"/>
  <c r="AX402" i="11"/>
  <c r="O359" i="11"/>
  <c r="BL299" i="11"/>
  <c r="BJ242" i="11"/>
  <c r="O342" i="11"/>
  <c r="BJ221" i="11"/>
  <c r="AM445" i="11"/>
  <c r="AB419" i="11"/>
  <c r="AU373" i="11"/>
  <c r="T428" i="11"/>
  <c r="AS350" i="11"/>
  <c r="AB317" i="11"/>
  <c r="H251" i="11"/>
  <c r="P241" i="11"/>
  <c r="BM418" i="11"/>
  <c r="BJ296" i="11"/>
  <c r="R428" i="11"/>
  <c r="AK295" i="11"/>
  <c r="BI307" i="11"/>
  <c r="AB409" i="11"/>
  <c r="BM426" i="11"/>
  <c r="G376" i="11"/>
  <c r="BK423" i="11"/>
  <c r="C303" i="11"/>
  <c r="BJ356" i="11"/>
  <c r="W342" i="11"/>
  <c r="AF209" i="11"/>
  <c r="AN315" i="11"/>
  <c r="AO454" i="11"/>
  <c r="AX238" i="11"/>
  <c r="AQ385" i="11"/>
  <c r="N456" i="11"/>
  <c r="Y440" i="11"/>
  <c r="AI239" i="11"/>
  <c r="P336" i="11"/>
  <c r="N332" i="11"/>
  <c r="BA378" i="11"/>
  <c r="AW239" i="11"/>
  <c r="AN271" i="11"/>
  <c r="AR332" i="11"/>
  <c r="AY269" i="11"/>
  <c r="T289" i="11"/>
  <c r="AP315" i="11"/>
  <c r="AZ295" i="11"/>
  <c r="T451" i="11"/>
  <c r="AA257" i="11"/>
  <c r="AY414" i="11"/>
  <c r="AB359" i="11"/>
  <c r="BA257" i="11"/>
  <c r="J379" i="11"/>
  <c r="BN362" i="11"/>
  <c r="AD229" i="11"/>
  <c r="J418" i="11"/>
  <c r="AN299" i="11"/>
  <c r="AH398" i="11"/>
  <c r="AF271" i="11"/>
  <c r="AW321" i="11"/>
  <c r="AT403" i="11"/>
  <c r="K438" i="11"/>
  <c r="BN294" i="11"/>
  <c r="BM209" i="11"/>
  <c r="Z349" i="11"/>
  <c r="BD417" i="11"/>
  <c r="AE346" i="11"/>
  <c r="N426" i="11"/>
  <c r="AR351" i="11"/>
  <c r="K406" i="11"/>
  <c r="BB402" i="11"/>
  <c r="BB351" i="11"/>
  <c r="BG348" i="11"/>
  <c r="BJ306" i="11"/>
  <c r="AS276" i="11"/>
  <c r="BI404" i="11"/>
  <c r="AO361" i="11"/>
  <c r="BA406" i="11"/>
  <c r="AS426" i="11"/>
  <c r="AT334" i="11"/>
  <c r="AU210" i="11"/>
  <c r="AN402" i="11"/>
  <c r="AL221" i="11"/>
  <c r="BN233" i="11"/>
  <c r="T269" i="11"/>
  <c r="AD213" i="11"/>
  <c r="L226" i="11"/>
  <c r="W417" i="11"/>
  <c r="BG245" i="11"/>
  <c r="AQ323" i="11"/>
  <c r="R429" i="11"/>
  <c r="AH380" i="11"/>
  <c r="BG263" i="11"/>
  <c r="AU311" i="11"/>
  <c r="M424" i="11"/>
  <c r="C440" i="11"/>
  <c r="BB227" i="11"/>
  <c r="T373" i="11"/>
  <c r="AZ221" i="11"/>
  <c r="BA401" i="11"/>
  <c r="BN367" i="11"/>
  <c r="BN396" i="11"/>
  <c r="AW353" i="11"/>
  <c r="R416" i="11"/>
  <c r="BB262" i="11"/>
  <c r="N205" i="11"/>
  <c r="Y274" i="11"/>
  <c r="BL400" i="11"/>
  <c r="AA216" i="11"/>
  <c r="R425" i="11"/>
  <c r="H410" i="11"/>
  <c r="O253" i="11"/>
  <c r="BN361" i="11"/>
  <c r="BD397" i="11"/>
  <c r="AC321" i="11"/>
  <c r="AH368" i="11"/>
  <c r="O393" i="11"/>
  <c r="BE332" i="11"/>
  <c r="N382" i="11"/>
  <c r="AN383" i="11"/>
  <c r="BK223" i="11"/>
  <c r="AU322" i="11"/>
  <c r="BA407" i="11"/>
  <c r="BK397" i="11"/>
  <c r="AT260" i="11"/>
  <c r="Y436" i="11"/>
  <c r="O401" i="11"/>
  <c r="T247" i="11"/>
  <c r="N400" i="11"/>
  <c r="AD245" i="11"/>
  <c r="V235" i="11"/>
  <c r="AX371" i="11"/>
  <c r="BA266" i="11"/>
  <c r="N216" i="11"/>
  <c r="BA279" i="11"/>
  <c r="BC383" i="11"/>
  <c r="AS369" i="11"/>
  <c r="BJ282" i="11"/>
  <c r="AC315" i="11"/>
  <c r="BL342" i="11"/>
  <c r="AJ403" i="11"/>
  <c r="BB356" i="11"/>
  <c r="AI280" i="11"/>
  <c r="BJ299" i="11"/>
  <c r="BF369" i="11"/>
  <c r="AT380" i="11"/>
  <c r="BK336" i="11"/>
  <c r="X302" i="11"/>
  <c r="T315" i="11"/>
  <c r="BD290" i="11"/>
  <c r="BA387" i="11"/>
  <c r="R413" i="11"/>
  <c r="AB322" i="11"/>
  <c r="AX206" i="11"/>
  <c r="BF243" i="11"/>
  <c r="Y354" i="11"/>
  <c r="S359" i="11"/>
  <c r="V207" i="11"/>
  <c r="T263" i="11"/>
  <c r="X399" i="11"/>
  <c r="Y393" i="11"/>
  <c r="AD395" i="11"/>
  <c r="AW283" i="11"/>
  <c r="AY427" i="11"/>
  <c r="G256" i="11"/>
  <c r="G456" i="11"/>
  <c r="AD214" i="11"/>
  <c r="AU419" i="11"/>
  <c r="BE333" i="11"/>
  <c r="BF314" i="11"/>
  <c r="Z312" i="11"/>
  <c r="P430" i="11"/>
  <c r="R406" i="11"/>
  <c r="I393" i="11"/>
  <c r="AA392" i="11"/>
  <c r="BI210" i="11"/>
  <c r="G235" i="11"/>
  <c r="S334" i="11"/>
  <c r="U369" i="11"/>
  <c r="BH363" i="11"/>
  <c r="AL237" i="11"/>
  <c r="AD376" i="11"/>
  <c r="BJ314" i="11"/>
  <c r="AG248" i="11"/>
  <c r="K295" i="11"/>
  <c r="BF371" i="11"/>
  <c r="AJ421" i="11"/>
  <c r="R422" i="11"/>
  <c r="S276" i="11"/>
  <c r="P264" i="11"/>
  <c r="BL271" i="11"/>
  <c r="O373" i="11"/>
  <c r="AP208" i="11"/>
  <c r="BL250" i="11"/>
  <c r="BJ424" i="11"/>
  <c r="C346" i="11"/>
  <c r="BI378" i="11"/>
  <c r="AS240" i="11"/>
  <c r="BN397" i="11"/>
  <c r="BD249" i="11"/>
  <c r="K291" i="11"/>
  <c r="AM417" i="11"/>
  <c r="BM370" i="11"/>
  <c r="AA389" i="11"/>
  <c r="BN249" i="11"/>
  <c r="AO266" i="11"/>
  <c r="BH303" i="11"/>
  <c r="G240" i="11"/>
  <c r="AX224" i="11"/>
  <c r="AZ233" i="11"/>
  <c r="S396" i="11"/>
  <c r="BF265" i="11"/>
  <c r="AL244" i="11"/>
  <c r="AB406" i="11"/>
  <c r="AC454" i="11"/>
  <c r="BG251" i="11"/>
  <c r="AB293" i="11"/>
  <c r="AB343" i="11"/>
  <c r="AQ325" i="11"/>
  <c r="G396" i="11"/>
  <c r="BM436" i="11"/>
  <c r="AF208" i="11"/>
  <c r="BB367" i="11"/>
  <c r="AG351" i="11"/>
  <c r="L393" i="11"/>
  <c r="N333" i="11"/>
  <c r="W292" i="11"/>
  <c r="AP252" i="11"/>
  <c r="L400" i="11"/>
  <c r="AU403" i="11"/>
  <c r="BB348" i="11"/>
  <c r="AB376" i="11"/>
  <c r="BA229" i="11"/>
  <c r="AK412" i="11"/>
  <c r="AJ227" i="11"/>
  <c r="BD354" i="11"/>
  <c r="AU284" i="11"/>
  <c r="U352" i="11"/>
  <c r="AU392" i="11"/>
  <c r="J406" i="11"/>
  <c r="BF325" i="11"/>
  <c r="AY210" i="11"/>
  <c r="H380" i="11"/>
  <c r="AL371" i="11"/>
  <c r="BH403" i="11"/>
  <c r="AJ209" i="11"/>
  <c r="R388" i="11"/>
  <c r="Z378" i="11"/>
  <c r="AJ333" i="11"/>
  <c r="BB263" i="11"/>
  <c r="AD407" i="11"/>
  <c r="AG447" i="11"/>
  <c r="BD391" i="11"/>
  <c r="M385" i="11"/>
  <c r="AQ405" i="11"/>
  <c r="AG329" i="11"/>
  <c r="N373" i="11"/>
  <c r="AC387" i="11"/>
  <c r="AZ362" i="11"/>
  <c r="BL434" i="11"/>
  <c r="Y327" i="11"/>
  <c r="AW218" i="11"/>
  <c r="C210" i="11"/>
  <c r="BL354" i="11"/>
  <c r="S410" i="11"/>
  <c r="BH243" i="11"/>
  <c r="AL264" i="11"/>
  <c r="C399" i="11"/>
  <c r="AG358" i="11"/>
  <c r="G255" i="11"/>
  <c r="BH450" i="11"/>
  <c r="W286" i="11"/>
  <c r="I334" i="11"/>
  <c r="AL246" i="11"/>
  <c r="N247" i="11"/>
  <c r="BD375" i="11"/>
  <c r="I252" i="11"/>
  <c r="H353" i="11"/>
  <c r="BB281" i="11"/>
  <c r="AK257" i="11"/>
  <c r="H266" i="11"/>
  <c r="Z311" i="11"/>
  <c r="AM235" i="11"/>
  <c r="AP244" i="11"/>
  <c r="Z231" i="11"/>
  <c r="Q206" i="11"/>
  <c r="X439" i="11"/>
  <c r="AQ416" i="11"/>
  <c r="AO395" i="11"/>
  <c r="AA281" i="11"/>
  <c r="BI358" i="11"/>
  <c r="AY331" i="11"/>
  <c r="AK434" i="11"/>
  <c r="AP334" i="11"/>
  <c r="AZ403" i="11"/>
  <c r="BF404" i="11"/>
  <c r="AE301" i="11"/>
  <c r="AL226" i="11"/>
  <c r="AU353" i="11"/>
  <c r="BF317" i="11"/>
  <c r="AM388" i="11"/>
  <c r="BH348" i="11"/>
  <c r="BK395" i="11"/>
  <c r="AG206" i="11"/>
  <c r="BE354" i="11"/>
  <c r="G386" i="11"/>
  <c r="U244" i="11"/>
  <c r="G381" i="11"/>
  <c r="AL306" i="11"/>
  <c r="AU230" i="11"/>
  <c r="U400" i="11"/>
  <c r="S221" i="11"/>
  <c r="BN431" i="11"/>
  <c r="AK377" i="11"/>
  <c r="S400" i="11"/>
  <c r="L357" i="11"/>
  <c r="BH376" i="11"/>
  <c r="BH442" i="11"/>
  <c r="BD294" i="11"/>
  <c r="I367" i="11"/>
  <c r="AM456" i="11"/>
  <c r="AL410" i="11"/>
  <c r="BA213" i="11"/>
  <c r="V391" i="11"/>
  <c r="I296" i="11"/>
  <c r="BD279" i="11"/>
  <c r="BJ393" i="11"/>
  <c r="AN219" i="11"/>
  <c r="AO437" i="11"/>
  <c r="BF425" i="11"/>
  <c r="AR423" i="11"/>
  <c r="BF433" i="11"/>
  <c r="BL293" i="11"/>
  <c r="S371" i="11"/>
  <c r="BG392" i="11"/>
  <c r="J444" i="11"/>
  <c r="AI274" i="11"/>
  <c r="H341" i="11"/>
  <c r="T318" i="11"/>
  <c r="X362" i="11"/>
  <c r="BJ397" i="11"/>
  <c r="BM228" i="11"/>
  <c r="L391" i="11"/>
  <c r="AM386" i="11"/>
  <c r="BJ214" i="11"/>
  <c r="AM325" i="11"/>
  <c r="AX367" i="11"/>
  <c r="O355" i="11"/>
  <c r="AI387" i="11"/>
  <c r="BJ253" i="11"/>
  <c r="AA224" i="11"/>
  <c r="BE432" i="11"/>
  <c r="BN447" i="11"/>
  <c r="BL330" i="11"/>
  <c r="BE373" i="11"/>
  <c r="BB381" i="11"/>
  <c r="AC400" i="11"/>
  <c r="BB209" i="11"/>
  <c r="Y232" i="11"/>
  <c r="AQ221" i="11"/>
  <c r="AS417" i="11"/>
  <c r="AQ377" i="11"/>
  <c r="U313" i="11"/>
  <c r="U374" i="11"/>
  <c r="AA342" i="11"/>
  <c r="BJ402" i="11"/>
  <c r="X442" i="11"/>
  <c r="Z352" i="11"/>
  <c r="S412" i="11"/>
  <c r="AF321" i="11"/>
  <c r="BI268" i="11"/>
  <c r="AR333" i="11"/>
  <c r="X406" i="11"/>
  <c r="AO298" i="11"/>
  <c r="W296" i="11"/>
  <c r="AE454" i="11"/>
  <c r="AH423" i="11"/>
  <c r="BN210" i="11"/>
  <c r="P228" i="11"/>
  <c r="U425" i="11"/>
  <c r="L414" i="11"/>
  <c r="C250" i="11"/>
  <c r="BH282" i="11"/>
  <c r="AY452" i="11"/>
  <c r="H244" i="11"/>
  <c r="AP289" i="11"/>
  <c r="BC417" i="11"/>
  <c r="V219" i="11"/>
  <c r="BK344" i="11"/>
  <c r="AL434" i="11"/>
  <c r="AE376" i="11"/>
  <c r="BI212" i="11"/>
  <c r="AI400" i="11"/>
  <c r="AL294" i="11"/>
  <c r="AT359" i="11"/>
  <c r="T326" i="11"/>
  <c r="BK318" i="11"/>
  <c r="AM273" i="11"/>
  <c r="AE360" i="11"/>
  <c r="AI256" i="11"/>
  <c r="AG363" i="11"/>
  <c r="T407" i="11"/>
  <c r="H322" i="11"/>
  <c r="BF215" i="11"/>
  <c r="Z328" i="11"/>
  <c r="J433" i="11"/>
  <c r="AR441" i="11"/>
  <c r="AT338" i="11"/>
  <c r="BL359" i="11"/>
  <c r="AY387" i="11"/>
  <c r="AG442" i="11"/>
  <c r="K327" i="11"/>
  <c r="P291" i="11"/>
  <c r="AD221" i="11"/>
  <c r="R390" i="11"/>
  <c r="AE244" i="11"/>
  <c r="R205" i="11"/>
  <c r="AO450" i="11"/>
  <c r="Y320" i="11"/>
  <c r="S437" i="11"/>
  <c r="AS364" i="11"/>
  <c r="BK420" i="11"/>
  <c r="W341" i="11"/>
  <c r="BN398" i="11"/>
  <c r="AG284" i="11"/>
  <c r="M310" i="11"/>
  <c r="W345" i="11"/>
  <c r="BI260" i="11"/>
  <c r="N443" i="11"/>
  <c r="AH361" i="11"/>
  <c r="AP435" i="11"/>
  <c r="AM284" i="11"/>
  <c r="C307" i="11"/>
  <c r="Z229" i="11"/>
  <c r="BN318" i="11"/>
  <c r="X394" i="11"/>
  <c r="AC403" i="11"/>
  <c r="AA297" i="11"/>
  <c r="Y363" i="11"/>
  <c r="BG361" i="11"/>
  <c r="BE381" i="11"/>
  <c r="AJ378" i="11"/>
  <c r="AM275" i="11"/>
  <c r="BD430" i="11"/>
  <c r="X438" i="11"/>
  <c r="O277" i="11"/>
  <c r="G453" i="11"/>
  <c r="U323" i="11"/>
  <c r="I368" i="11"/>
  <c r="AV327" i="11"/>
  <c r="L404" i="11"/>
  <c r="AU275" i="11"/>
  <c r="BL303" i="11"/>
  <c r="AK275" i="11"/>
  <c r="AM382" i="11"/>
  <c r="AS341" i="11"/>
  <c r="Q321" i="11"/>
  <c r="AT382" i="11"/>
  <c r="C344" i="11"/>
  <c r="T206" i="11"/>
  <c r="BL340" i="11"/>
  <c r="BB425" i="11"/>
  <c r="S381" i="11"/>
  <c r="T328" i="11"/>
  <c r="AO381" i="11"/>
  <c r="C349" i="11"/>
  <c r="W420" i="11"/>
  <c r="X297" i="11"/>
  <c r="BB319" i="11"/>
  <c r="AU355" i="11"/>
  <c r="H441" i="11"/>
  <c r="T280" i="11"/>
  <c r="AL384" i="11"/>
  <c r="Z364" i="11"/>
  <c r="H360" i="11"/>
  <c r="W358" i="11"/>
  <c r="AR368" i="11"/>
  <c r="BA374" i="11"/>
  <c r="AI338" i="11"/>
  <c r="AK268" i="11"/>
  <c r="W362" i="11"/>
  <c r="O297" i="11"/>
  <c r="AI350" i="11"/>
  <c r="BL379" i="11"/>
  <c r="S210" i="11"/>
  <c r="AK404" i="11"/>
  <c r="BC354" i="11"/>
  <c r="BD350" i="11"/>
  <c r="T382" i="11"/>
  <c r="BB452" i="11"/>
  <c r="AF405" i="11"/>
  <c r="AT386" i="11"/>
  <c r="X385" i="11"/>
  <c r="AZ393" i="11"/>
  <c r="AM300" i="11"/>
  <c r="BB443" i="11"/>
  <c r="C345" i="11"/>
  <c r="BI382" i="11"/>
  <c r="H290" i="11"/>
  <c r="BN384" i="11"/>
  <c r="I263" i="11"/>
  <c r="U390" i="11"/>
  <c r="BH373" i="11"/>
  <c r="AO377" i="11"/>
  <c r="Z292" i="11"/>
  <c r="AG244" i="11"/>
  <c r="AF345" i="11"/>
  <c r="BN327" i="11"/>
  <c r="AK291" i="11"/>
  <c r="AJ369" i="11"/>
  <c r="BC375" i="11"/>
  <c r="AE415" i="11"/>
  <c r="AM336" i="11"/>
  <c r="AE242" i="11"/>
  <c r="BL337" i="11"/>
  <c r="V328" i="11"/>
  <c r="AH370" i="11"/>
  <c r="AL261" i="11"/>
  <c r="AV265" i="11"/>
  <c r="AE214" i="11"/>
  <c r="BM326" i="11"/>
  <c r="T347" i="11"/>
  <c r="AQ307" i="11"/>
  <c r="BF380" i="11"/>
  <c r="C206" i="11"/>
  <c r="BI321" i="11"/>
  <c r="BF363" i="11"/>
  <c r="AN241" i="11"/>
  <c r="AC456" i="11"/>
  <c r="BI441" i="11"/>
  <c r="Q263" i="11"/>
  <c r="AD353" i="11"/>
  <c r="BC433" i="11"/>
  <c r="AJ396" i="11"/>
  <c r="R373" i="11"/>
  <c r="K351" i="11"/>
  <c r="P372" i="11"/>
  <c r="L333" i="11"/>
  <c r="J397" i="11"/>
  <c r="AF424" i="11"/>
  <c r="T371" i="11"/>
  <c r="M367" i="11"/>
  <c r="V344" i="11"/>
  <c r="AX362" i="11"/>
  <c r="N206" i="11"/>
  <c r="AJ250" i="11"/>
  <c r="C309" i="11"/>
  <c r="BE274" i="11"/>
  <c r="BC391" i="11"/>
  <c r="L335" i="11"/>
  <c r="AN217" i="11"/>
  <c r="AE370" i="11"/>
  <c r="BN263" i="11"/>
  <c r="BN410" i="11"/>
  <c r="L408" i="11"/>
  <c r="AW455" i="11"/>
  <c r="BM380" i="11"/>
  <c r="BI289" i="11"/>
  <c r="BL418" i="11"/>
  <c r="X365" i="11"/>
  <c r="AM324" i="11"/>
  <c r="AO236" i="11"/>
  <c r="AY353" i="11"/>
  <c r="BF224" i="11"/>
  <c r="X388" i="11"/>
  <c r="V332" i="11"/>
  <c r="BB440" i="11"/>
  <c r="BB399" i="11"/>
  <c r="C400" i="11"/>
  <c r="U436" i="11"/>
  <c r="AE403" i="11"/>
  <c r="AZ366" i="11"/>
  <c r="G326" i="11"/>
  <c r="BJ410" i="11"/>
  <c r="BG381" i="11"/>
  <c r="Y378" i="11"/>
  <c r="P282" i="11"/>
  <c r="AD400" i="11"/>
  <c r="AM407" i="11"/>
  <c r="AE329" i="11"/>
  <c r="Q447" i="11"/>
  <c r="AU258" i="11"/>
  <c r="BE262" i="11"/>
  <c r="AO408" i="11"/>
  <c r="G416" i="11"/>
  <c r="AC257" i="11"/>
  <c r="X285" i="11"/>
  <c r="V280" i="11"/>
  <c r="AA394" i="11"/>
  <c r="BL403" i="11"/>
  <c r="BH409" i="11"/>
  <c r="P369" i="11"/>
  <c r="AL390" i="11"/>
  <c r="AB229" i="11"/>
  <c r="AO343" i="11"/>
  <c r="S428" i="11"/>
  <c r="AZ348" i="11"/>
  <c r="AF317" i="11"/>
  <c r="AS359" i="11"/>
  <c r="BH449" i="11"/>
  <c r="S349" i="11"/>
  <c r="BE395" i="11"/>
  <c r="Y369" i="11"/>
  <c r="N212" i="11"/>
  <c r="W330" i="11"/>
  <c r="AY294" i="11"/>
  <c r="AT410" i="11"/>
  <c r="G392" i="11"/>
  <c r="AF206" i="11"/>
  <c r="BM400" i="11"/>
  <c r="AN313" i="11"/>
  <c r="AN395" i="11"/>
  <c r="AE363" i="11"/>
  <c r="AE270" i="11"/>
  <c r="AJ376" i="11"/>
  <c r="AO223" i="11"/>
  <c r="AW361" i="11"/>
  <c r="BI293" i="11"/>
  <c r="I336" i="11"/>
  <c r="H264" i="11"/>
  <c r="Q364" i="11"/>
  <c r="U376" i="11"/>
  <c r="AL375" i="11"/>
  <c r="AO285" i="11"/>
  <c r="X364" i="11"/>
  <c r="S224" i="11"/>
  <c r="T258" i="11"/>
  <c r="AK314" i="11"/>
  <c r="AT435" i="11"/>
  <c r="BA258" i="11"/>
  <c r="BD337" i="11"/>
  <c r="AZ402" i="11"/>
  <c r="BD455" i="11"/>
  <c r="AT251" i="11"/>
  <c r="Z337" i="11"/>
  <c r="N402" i="11"/>
  <c r="O428" i="11"/>
  <c r="AK356" i="11"/>
  <c r="H442" i="11"/>
  <c r="M320" i="11"/>
  <c r="AX268" i="11"/>
  <c r="AW448" i="11"/>
  <c r="AY380" i="11"/>
  <c r="AZ235" i="11"/>
  <c r="AP351" i="11"/>
  <c r="AG211" i="11"/>
  <c r="H402" i="11"/>
  <c r="AS270" i="11"/>
  <c r="I440" i="11"/>
  <c r="BK393" i="11"/>
  <c r="AR238" i="11"/>
  <c r="W355" i="11"/>
  <c r="BJ395" i="11"/>
  <c r="AO445" i="11"/>
  <c r="V363" i="11"/>
  <c r="T322" i="11"/>
  <c r="BG213" i="11"/>
  <c r="AS332" i="11"/>
  <c r="BJ455" i="11"/>
  <c r="W408" i="11"/>
  <c r="BN214" i="11"/>
  <c r="AU377" i="11"/>
  <c r="Q303" i="11"/>
  <c r="AI243" i="11"/>
  <c r="AY374" i="11"/>
  <c r="O358" i="11"/>
  <c r="Y376" i="11"/>
  <c r="AQ218" i="11"/>
  <c r="AA231" i="11"/>
  <c r="AR303" i="11"/>
  <c r="BL373" i="11"/>
  <c r="AU349" i="11"/>
  <c r="AM378" i="11"/>
  <c r="V430" i="11"/>
  <c r="K393" i="11"/>
  <c r="AV294" i="11"/>
  <c r="AG449" i="11"/>
  <c r="BB371" i="11"/>
  <c r="AK347" i="11"/>
  <c r="I249" i="11"/>
  <c r="K363" i="11"/>
  <c r="AP410" i="11"/>
  <c r="L420" i="11"/>
  <c r="G379" i="11"/>
  <c r="V407" i="11"/>
  <c r="AU381" i="11"/>
  <c r="H406" i="11"/>
  <c r="BK313" i="11"/>
  <c r="G455" i="11"/>
  <c r="AT265" i="11"/>
  <c r="BC259" i="11"/>
  <c r="BG420" i="11"/>
  <c r="X319" i="11"/>
  <c r="O351" i="11"/>
  <c r="AA301" i="11"/>
  <c r="AH241" i="11"/>
  <c r="AI266" i="11"/>
  <c r="V390" i="11"/>
  <c r="BD390" i="11"/>
  <c r="AC399" i="11"/>
  <c r="BF374" i="11"/>
  <c r="AW383" i="11"/>
  <c r="BE300" i="11"/>
  <c r="BE396" i="11"/>
  <c r="V374" i="11"/>
  <c r="BN448" i="11"/>
  <c r="BD342" i="11"/>
  <c r="X446" i="11"/>
  <c r="Q414" i="11"/>
  <c r="AN396" i="11"/>
  <c r="AA374" i="11"/>
  <c r="AX313" i="11"/>
  <c r="BB277" i="11"/>
  <c r="V386" i="11"/>
  <c r="AU265" i="11"/>
  <c r="Q283" i="11"/>
  <c r="AN272" i="11"/>
  <c r="BN261" i="11"/>
  <c r="AI277" i="11"/>
  <c r="AT398" i="11"/>
  <c r="I270" i="11"/>
  <c r="BL367" i="11"/>
  <c r="AU205" i="11"/>
  <c r="AJ361" i="11"/>
  <c r="AZ413" i="11"/>
  <c r="Q385" i="11"/>
  <c r="AZ213" i="11"/>
  <c r="AW296" i="11"/>
  <c r="BA315" i="11"/>
  <c r="BI244" i="11"/>
  <c r="BN378" i="11"/>
  <c r="H397" i="11"/>
  <c r="H267" i="11"/>
  <c r="J429" i="11"/>
  <c r="Q367" i="11"/>
  <c r="N330" i="11"/>
  <c r="Z387" i="11"/>
  <c r="BH397" i="11"/>
  <c r="X434" i="11"/>
  <c r="BL401" i="11"/>
  <c r="BF419" i="11"/>
  <c r="AR427" i="11"/>
  <c r="Q313" i="11"/>
  <c r="P227" i="11"/>
  <c r="AK386" i="11"/>
  <c r="AX302" i="11"/>
  <c r="BK345" i="11"/>
  <c r="BE388" i="11"/>
  <c r="O298" i="11"/>
  <c r="BK304" i="11"/>
  <c r="AG401" i="11"/>
  <c r="AE218" i="11"/>
  <c r="Y441" i="11"/>
  <c r="W405" i="11"/>
  <c r="AV452" i="11"/>
  <c r="AU361" i="11"/>
  <c r="BA318" i="11"/>
  <c r="AT436" i="11"/>
  <c r="AW422" i="11"/>
  <c r="AI430" i="11"/>
  <c r="AR426" i="11"/>
  <c r="W390" i="11"/>
  <c r="AC450" i="11"/>
  <c r="W207" i="11"/>
  <c r="X283" i="11"/>
  <c r="U288" i="11"/>
  <c r="S451" i="11"/>
  <c r="BM241" i="11"/>
  <c r="AQ288" i="11"/>
  <c r="L222" i="11"/>
  <c r="BL341" i="11"/>
  <c r="AQ324" i="11"/>
  <c r="BJ423" i="11"/>
  <c r="Y449" i="11"/>
  <c r="AG312" i="11"/>
  <c r="R437" i="11"/>
  <c r="AP408" i="11"/>
  <c r="AY282" i="11"/>
  <c r="AG431" i="11"/>
  <c r="AR355" i="11"/>
  <c r="AE417" i="11"/>
  <c r="BH356" i="11"/>
  <c r="AL392" i="11"/>
  <c r="K230" i="11"/>
  <c r="AB300" i="11"/>
  <c r="BB377" i="11"/>
  <c r="AS301" i="11"/>
  <c r="AH433" i="11"/>
  <c r="Q343" i="11"/>
  <c r="AE445" i="11"/>
  <c r="BG382" i="11"/>
  <c r="U339" i="11"/>
  <c r="K419" i="11"/>
  <c r="BC352" i="11"/>
  <c r="K408" i="11"/>
  <c r="AY425" i="11"/>
  <c r="S444" i="11"/>
  <c r="AQ301" i="11"/>
  <c r="BM395" i="11"/>
  <c r="BJ452" i="11"/>
  <c r="AQ219" i="11"/>
  <c r="X273" i="11"/>
  <c r="BB430" i="11"/>
  <c r="BM312" i="11"/>
  <c r="N432" i="11"/>
  <c r="AY415" i="11"/>
  <c r="BK286" i="11"/>
  <c r="Q409" i="11"/>
  <c r="BF321" i="11"/>
  <c r="BF422" i="11"/>
  <c r="AM218" i="11"/>
  <c r="AM441" i="11"/>
  <c r="AV443" i="11"/>
  <c r="BB455" i="11"/>
  <c r="Y361" i="11"/>
  <c r="BJ374" i="11"/>
  <c r="AC423" i="11"/>
  <c r="L232" i="11"/>
  <c r="AK308" i="11"/>
  <c r="BJ401" i="11"/>
  <c r="AQ428" i="11"/>
  <c r="AS360" i="11"/>
  <c r="AC356" i="11"/>
  <c r="BB363" i="11"/>
  <c r="W402" i="11"/>
  <c r="W363" i="11"/>
  <c r="BM291" i="11"/>
  <c r="AA430" i="11"/>
  <c r="R443" i="11"/>
  <c r="X412" i="11"/>
  <c r="AO393" i="11"/>
  <c r="BF442" i="11"/>
  <c r="BA410" i="11"/>
  <c r="K376" i="11"/>
  <c r="AU289" i="11"/>
  <c r="AW447" i="11"/>
  <c r="AH420" i="11"/>
  <c r="BM378" i="11"/>
  <c r="BK377" i="11"/>
  <c r="C432" i="11"/>
  <c r="L261" i="11"/>
  <c r="AN427" i="11"/>
  <c r="W433" i="11"/>
  <c r="H395" i="11"/>
  <c r="AF431" i="11"/>
  <c r="M381" i="11"/>
  <c r="BM208" i="11"/>
  <c r="V362" i="11"/>
  <c r="AU398" i="11"/>
  <c r="J415" i="11"/>
  <c r="AZ386" i="11"/>
  <c r="V445" i="11"/>
  <c r="I420" i="11"/>
  <c r="H429" i="11"/>
  <c r="AN438" i="11"/>
  <c r="AR392" i="11"/>
  <c r="BN415" i="11"/>
  <c r="M339" i="11"/>
  <c r="AA296" i="11"/>
  <c r="AP216" i="11"/>
  <c r="AB313" i="11"/>
  <c r="K411" i="11"/>
  <c r="AX332" i="11"/>
  <c r="AW390" i="11"/>
  <c r="AW437" i="11"/>
  <c r="Y207" i="11"/>
  <c r="AT394" i="11"/>
  <c r="AW316" i="11"/>
  <c r="AZ345" i="11"/>
  <c r="O364" i="11"/>
  <c r="BA368" i="11"/>
  <c r="O272" i="11"/>
  <c r="I235" i="11"/>
  <c r="AM442" i="11"/>
  <c r="Q390" i="11"/>
  <c r="L262" i="11"/>
  <c r="AB304" i="11"/>
  <c r="BL453" i="11"/>
  <c r="BD373" i="11"/>
  <c r="W424" i="11"/>
  <c r="W269" i="11"/>
  <c r="BM346" i="11"/>
  <c r="AN452" i="11"/>
  <c r="BH247" i="11"/>
  <c r="C445" i="11"/>
  <c r="AV368" i="11"/>
  <c r="AZ274" i="11"/>
  <c r="AW347" i="11"/>
  <c r="W373" i="11"/>
  <c r="AM356" i="11"/>
  <c r="S385" i="11"/>
  <c r="T437" i="11"/>
  <c r="X227" i="11"/>
  <c r="AA261" i="11"/>
  <c r="R427" i="11"/>
  <c r="BF308" i="11"/>
  <c r="BN375" i="11"/>
  <c r="BA370" i="11"/>
  <c r="S360" i="11"/>
  <c r="AO388" i="11"/>
  <c r="BM423" i="11"/>
  <c r="BL410" i="11"/>
  <c r="V366" i="11"/>
  <c r="C208" i="11"/>
  <c r="BE413" i="11"/>
  <c r="AZ212" i="11"/>
  <c r="AN388" i="11"/>
  <c r="AY263" i="11"/>
  <c r="AT431" i="11"/>
  <c r="L390" i="11"/>
  <c r="BA289" i="11"/>
  <c r="H358" i="11"/>
  <c r="AG445" i="11"/>
  <c r="R359" i="11"/>
  <c r="AK438" i="11"/>
  <c r="AY428" i="11"/>
  <c r="BB433" i="11"/>
  <c r="AD348" i="11"/>
  <c r="AY325" i="11"/>
  <c r="O274" i="11"/>
  <c r="AB381" i="11"/>
  <c r="K424" i="11"/>
  <c r="AT328" i="11"/>
  <c r="BM237" i="11"/>
  <c r="BB342" i="11"/>
  <c r="BK329" i="11"/>
  <c r="AY439" i="11"/>
  <c r="AY308" i="11"/>
  <c r="BF402" i="11"/>
  <c r="R221" i="11"/>
  <c r="G358" i="11"/>
  <c r="BG354" i="11"/>
  <c r="K359" i="11"/>
  <c r="BD406" i="11"/>
  <c r="K371" i="11"/>
  <c r="P406" i="11"/>
  <c r="AT412" i="11"/>
  <c r="AN358" i="11"/>
  <c r="W356" i="11"/>
  <c r="M294" i="11"/>
  <c r="Y437" i="11"/>
  <c r="W244" i="11"/>
  <c r="BG295" i="11"/>
  <c r="AY424" i="11"/>
  <c r="AP401" i="11"/>
  <c r="I230" i="11"/>
  <c r="S439" i="11"/>
  <c r="AU393" i="11"/>
  <c r="AB399" i="11"/>
  <c r="BA399" i="11"/>
  <c r="BK380" i="11"/>
  <c r="L424" i="11"/>
  <c r="BG338" i="11"/>
  <c r="BI395" i="11"/>
  <c r="AQ375" i="11"/>
  <c r="K369" i="11"/>
  <c r="BN330" i="11"/>
  <c r="BM340" i="11"/>
  <c r="N390" i="11"/>
  <c r="AQ225" i="11"/>
  <c r="N318" i="11"/>
  <c r="BC341" i="11"/>
  <c r="BA273" i="11"/>
  <c r="AG295" i="11"/>
  <c r="AE227" i="11"/>
  <c r="BN207" i="11"/>
  <c r="Q369" i="11"/>
  <c r="AN403" i="11"/>
  <c r="BI435" i="11"/>
  <c r="BI401" i="11"/>
  <c r="AA393" i="11"/>
  <c r="BA231" i="11"/>
  <c r="BI375" i="11"/>
  <c r="BC362" i="11"/>
  <c r="AK423" i="11"/>
  <c r="AW325" i="11"/>
  <c r="AG267" i="11"/>
  <c r="Q396" i="11"/>
  <c r="AL307" i="11"/>
  <c r="BM210" i="11"/>
  <c r="BI275" i="11"/>
  <c r="U399" i="11"/>
  <c r="AR316" i="11"/>
  <c r="AD401" i="11"/>
  <c r="AC451" i="11"/>
  <c r="G384" i="11"/>
  <c r="L273" i="11"/>
  <c r="AW331" i="11"/>
  <c r="AR404" i="11"/>
  <c r="AM208" i="11"/>
  <c r="M452" i="11"/>
  <c r="AT350" i="11"/>
  <c r="W270" i="11"/>
  <c r="AE354" i="11"/>
  <c r="BA380" i="11"/>
  <c r="AS413" i="11"/>
  <c r="AW249" i="11"/>
  <c r="BL349" i="11"/>
  <c r="BL390" i="11"/>
  <c r="AG397" i="11"/>
  <c r="AT278" i="11"/>
  <c r="AL416" i="11"/>
  <c r="G217" i="11"/>
  <c r="AJ359" i="11"/>
  <c r="AA401" i="11"/>
  <c r="C377" i="11"/>
  <c r="K219" i="11"/>
  <c r="Q363" i="11"/>
  <c r="AB267" i="11"/>
  <c r="BD261" i="11"/>
  <c r="T271" i="11"/>
  <c r="BF373" i="11"/>
  <c r="AQ374" i="11"/>
  <c r="AV434" i="11"/>
  <c r="AV398" i="11"/>
  <c r="P313" i="11"/>
  <c r="AO313" i="11"/>
  <c r="AT307" i="11"/>
  <c r="V243" i="11"/>
  <c r="AG376" i="11"/>
  <c r="J405" i="11"/>
  <c r="AO281" i="11"/>
  <c r="AW456" i="11"/>
  <c r="BJ274" i="11"/>
  <c r="AI371" i="11"/>
  <c r="BN267" i="11"/>
  <c r="AF335" i="11"/>
  <c r="AW349" i="11"/>
  <c r="BF351" i="11"/>
  <c r="T456" i="11"/>
  <c r="C353" i="11"/>
  <c r="O399" i="11"/>
  <c r="AN289" i="11"/>
  <c r="BB438" i="11"/>
  <c r="AW271" i="11"/>
  <c r="Z374" i="11"/>
  <c r="T376" i="11"/>
  <c r="H334" i="11"/>
  <c r="H377" i="11"/>
  <c r="AO258" i="11"/>
  <c r="L384" i="11"/>
  <c r="BN256" i="11"/>
  <c r="BA364" i="11"/>
  <c r="AM416" i="11"/>
  <c r="AO254" i="11"/>
  <c r="BB409" i="11"/>
  <c r="Q382" i="11"/>
  <c r="BM339" i="11"/>
  <c r="N405" i="11"/>
  <c r="Z265" i="11"/>
  <c r="BI326" i="11"/>
  <c r="AM437" i="11"/>
  <c r="BG426" i="11"/>
  <c r="AQ241" i="11"/>
  <c r="BA389" i="11"/>
  <c r="AH353" i="11"/>
  <c r="T354" i="11"/>
  <c r="AQ447" i="11"/>
  <c r="AO384" i="11"/>
  <c r="AY295" i="11"/>
  <c r="AV391" i="11"/>
  <c r="AU340" i="11"/>
  <c r="O413" i="11"/>
  <c r="O309" i="11"/>
  <c r="AH401" i="11"/>
  <c r="H370" i="11"/>
  <c r="W416" i="11"/>
  <c r="AF283" i="11"/>
  <c r="BL297" i="11"/>
  <c r="BC348" i="11"/>
  <c r="AR216" i="11"/>
  <c r="G261" i="11"/>
  <c r="AI276" i="11"/>
  <c r="BA438" i="11"/>
  <c r="AY456" i="11"/>
  <c r="AM453" i="11"/>
  <c r="AI348" i="11"/>
  <c r="U232" i="11"/>
  <c r="AF328" i="11"/>
  <c r="AP448" i="11"/>
  <c r="AP346" i="11"/>
  <c r="AV297" i="11"/>
  <c r="R386" i="11"/>
  <c r="AC373" i="11"/>
  <c r="Z309" i="11"/>
  <c r="C420" i="11"/>
  <c r="AN392" i="11"/>
  <c r="AC346" i="11"/>
  <c r="Y387" i="11"/>
  <c r="AP292" i="11"/>
  <c r="BD402" i="11"/>
  <c r="AO362" i="11"/>
  <c r="N388" i="11"/>
  <c r="BG230" i="11"/>
  <c r="U282" i="11"/>
  <c r="AR453" i="11"/>
  <c r="AS377" i="11"/>
  <c r="BH237" i="11"/>
  <c r="Q266" i="11"/>
  <c r="H390" i="11"/>
  <c r="G299" i="11"/>
  <c r="T239" i="11"/>
  <c r="V443" i="11"/>
  <c r="AI214" i="11"/>
  <c r="AS451" i="11"/>
  <c r="Q392" i="11"/>
  <c r="J290" i="11"/>
  <c r="AY241" i="11"/>
  <c r="M434" i="11"/>
  <c r="M308" i="11"/>
  <c r="BK221" i="11"/>
  <c r="AL403" i="11"/>
  <c r="AR387" i="11"/>
  <c r="R349" i="11"/>
  <c r="H287" i="11"/>
  <c r="AK354" i="11"/>
  <c r="AZ420" i="11"/>
  <c r="BB386" i="11"/>
  <c r="X218" i="11"/>
  <c r="BE444" i="11"/>
  <c r="M448" i="11"/>
  <c r="H366" i="11"/>
  <c r="AB368" i="11"/>
  <c r="Q365" i="11"/>
  <c r="BG456" i="11"/>
  <c r="L406" i="11"/>
  <c r="BK349" i="11"/>
  <c r="AK417" i="11"/>
  <c r="N342" i="11"/>
  <c r="C247" i="11"/>
  <c r="X243" i="11"/>
  <c r="O448" i="11"/>
  <c r="AP379" i="11"/>
  <c r="N345" i="11"/>
  <c r="J452" i="11"/>
  <c r="BB261" i="11"/>
  <c r="BL295" i="11"/>
  <c r="BC412" i="11"/>
  <c r="AC435" i="11"/>
  <c r="AH405" i="11"/>
  <c r="G409" i="11"/>
  <c r="Y415" i="11"/>
  <c r="I291" i="11"/>
  <c r="BG387" i="11"/>
  <c r="AT352" i="11"/>
  <c r="Y311" i="11"/>
  <c r="AO358" i="11"/>
  <c r="AT268" i="11"/>
  <c r="BI402" i="11"/>
  <c r="I354" i="11"/>
  <c r="AY337" i="11"/>
  <c r="BH447" i="11"/>
  <c r="BN278" i="11"/>
  <c r="T441" i="11"/>
  <c r="AD402" i="11"/>
  <c r="AH321" i="11"/>
  <c r="BL205" i="11"/>
  <c r="BH273" i="11"/>
  <c r="BA339" i="11"/>
  <c r="BC394" i="11"/>
  <c r="BN394" i="11"/>
  <c r="K386" i="11"/>
  <c r="AT318" i="11"/>
  <c r="BG394" i="11"/>
  <c r="S366" i="11"/>
  <c r="AI330" i="11"/>
  <c r="N281" i="11"/>
  <c r="AV299" i="11"/>
  <c r="BG412" i="11"/>
  <c r="H240" i="11"/>
  <c r="Z347" i="11"/>
  <c r="AI320" i="11"/>
  <c r="BD316" i="11"/>
  <c r="L227" i="11"/>
  <c r="AL428" i="11"/>
  <c r="O418" i="11"/>
  <c r="W365" i="11"/>
  <c r="AZ245" i="11"/>
  <c r="AD344" i="11"/>
  <c r="S298" i="11"/>
  <c r="AT405" i="11"/>
  <c r="AC402" i="11"/>
  <c r="BK399" i="11"/>
  <c r="AM357" i="11"/>
  <c r="AW328" i="11"/>
  <c r="AU451" i="11"/>
  <c r="G397" i="11"/>
  <c r="AE398" i="11"/>
  <c r="U273" i="11"/>
  <c r="K410" i="11"/>
  <c r="BJ422" i="11"/>
  <c r="AB239" i="11"/>
  <c r="BF396" i="11"/>
  <c r="AI355" i="11"/>
  <c r="AK259" i="11"/>
  <c r="AK237" i="11"/>
  <c r="BF431" i="11"/>
  <c r="BE434" i="11"/>
  <c r="N395" i="11"/>
  <c r="AV224" i="11"/>
  <c r="W419" i="11"/>
  <c r="AD358" i="11"/>
  <c r="AA438" i="11"/>
  <c r="R240" i="11"/>
  <c r="T230" i="11"/>
  <c r="W206" i="11"/>
  <c r="Y390" i="11"/>
  <c r="BB441" i="11"/>
  <c r="AK437" i="11"/>
  <c r="BG402" i="11"/>
  <c r="AV354" i="11"/>
  <c r="BH434" i="11"/>
  <c r="AP376" i="11"/>
  <c r="V278" i="11"/>
  <c r="X363" i="11"/>
  <c r="AF239" i="11"/>
  <c r="K417" i="11"/>
  <c r="L209" i="11"/>
  <c r="BK401" i="11"/>
  <c r="BI418" i="11"/>
  <c r="S441" i="11"/>
  <c r="AL359" i="11"/>
  <c r="AU407" i="11"/>
  <c r="AG406" i="11"/>
  <c r="I315" i="11"/>
  <c r="AZ378" i="11"/>
  <c r="BD418" i="11"/>
  <c r="AR208" i="11"/>
  <c r="AC298" i="11"/>
  <c r="R397" i="11"/>
  <c r="AB360" i="11"/>
  <c r="AA445" i="11"/>
  <c r="AT368" i="11"/>
  <c r="BI448" i="11"/>
  <c r="AE391" i="11"/>
  <c r="BH367" i="11"/>
  <c r="L456" i="11"/>
  <c r="AU236" i="11"/>
  <c r="BE369" i="11"/>
  <c r="AM421" i="11"/>
  <c r="BA366" i="11"/>
  <c r="S398" i="11"/>
  <c r="AS407" i="11"/>
  <c r="AH448" i="11"/>
  <c r="C368" i="11"/>
  <c r="AE366" i="11"/>
  <c r="BM250" i="11"/>
  <c r="Z306" i="11"/>
  <c r="AG239" i="11"/>
  <c r="AJ416" i="11"/>
  <c r="AU248" i="11"/>
  <c r="BC372" i="11"/>
  <c r="BF428" i="11"/>
  <c r="K273" i="11"/>
  <c r="AT284" i="11"/>
  <c r="BF207" i="11"/>
  <c r="O322" i="11"/>
  <c r="BA353" i="11"/>
  <c r="AA329" i="11"/>
  <c r="AJ206" i="11"/>
  <c r="AG235" i="11"/>
  <c r="BC364" i="11"/>
  <c r="O345" i="11"/>
  <c r="AS393" i="11"/>
  <c r="BM410" i="11"/>
  <c r="R232" i="11"/>
  <c r="P341" i="11"/>
  <c r="U451" i="11"/>
  <c r="AI435" i="11"/>
  <c r="R375" i="11"/>
  <c r="Z389" i="11"/>
  <c r="AF273" i="11"/>
  <c r="W344" i="11"/>
  <c r="BA382" i="11"/>
  <c r="AE209" i="11"/>
  <c r="L244" i="11"/>
  <c r="AO375" i="11"/>
  <c r="AZ392" i="11"/>
  <c r="BG260" i="11"/>
  <c r="BB352" i="11"/>
  <c r="AV386" i="11"/>
  <c r="BE295" i="11"/>
  <c r="AH325" i="11"/>
  <c r="BN404" i="11"/>
  <c r="AK242" i="11"/>
  <c r="BD314" i="11"/>
  <c r="X320" i="11"/>
  <c r="AB210" i="11"/>
  <c r="AZ283" i="11"/>
  <c r="V456" i="11"/>
  <c r="W343" i="11"/>
  <c r="AW350" i="11"/>
  <c r="AJ285" i="11"/>
  <c r="R248" i="11"/>
  <c r="AG403" i="11"/>
  <c r="BH361" i="11"/>
  <c r="J246" i="11"/>
  <c r="AL411" i="11"/>
  <c r="AC247" i="11"/>
  <c r="P401" i="11"/>
  <c r="BD357" i="11"/>
  <c r="U386" i="11"/>
  <c r="O382" i="11"/>
  <c r="Z437" i="11"/>
  <c r="R220" i="11"/>
  <c r="AS454" i="11"/>
  <c r="AN425" i="11"/>
  <c r="AS209" i="11"/>
  <c r="BK447" i="11"/>
  <c r="AH355" i="11"/>
  <c r="V274" i="11"/>
  <c r="BL386" i="11"/>
  <c r="AV428" i="11"/>
  <c r="AI397" i="11"/>
  <c r="AO432" i="11"/>
  <c r="S386" i="11"/>
  <c r="R345" i="11"/>
  <c r="G300" i="11"/>
  <c r="AY335" i="11"/>
  <c r="AA406" i="11"/>
  <c r="AT371" i="11"/>
  <c r="H350" i="11"/>
  <c r="T375" i="11"/>
  <c r="BL331" i="11"/>
  <c r="U403" i="11"/>
  <c r="AL395" i="11"/>
  <c r="AX263" i="11"/>
  <c r="H437" i="11"/>
  <c r="AJ404" i="11"/>
  <c r="J451" i="11"/>
  <c r="AJ381" i="11"/>
  <c r="AO402" i="11"/>
  <c r="AI383" i="11"/>
  <c r="AC421" i="11"/>
  <c r="J412" i="11"/>
  <c r="AR382" i="11"/>
  <c r="M450" i="11"/>
  <c r="AS365" i="11"/>
  <c r="AB209" i="11"/>
  <c r="H215" i="11"/>
  <c r="G333" i="11"/>
  <c r="M289" i="11"/>
  <c r="O369" i="11"/>
  <c r="AH399" i="11"/>
  <c r="AQ389" i="11"/>
  <c r="P393" i="11"/>
  <c r="AY370" i="11"/>
  <c r="X268" i="11"/>
  <c r="BE398" i="11"/>
  <c r="K391" i="11"/>
  <c r="V238" i="11"/>
  <c r="AZ369" i="11"/>
  <c r="P388" i="11"/>
  <c r="AB408" i="11"/>
  <c r="AV455" i="11"/>
  <c r="AO370" i="11"/>
  <c r="T383" i="11"/>
  <c r="I372" i="11"/>
  <c r="AI359" i="11"/>
  <c r="BE425" i="11"/>
  <c r="BI334" i="11"/>
  <c r="AM397" i="11"/>
  <c r="AH326" i="11"/>
  <c r="AS267" i="11"/>
  <c r="AK220" i="11"/>
  <c r="BL397" i="11"/>
  <c r="AB289" i="11"/>
  <c r="BL376" i="11"/>
  <c r="BE301" i="11"/>
  <c r="BG269" i="11"/>
  <c r="Q379" i="11"/>
  <c r="BE282" i="11"/>
  <c r="BC320" i="11"/>
  <c r="BL333" i="11"/>
  <c r="AX420" i="11"/>
  <c r="BN341" i="11"/>
  <c r="K299" i="11"/>
  <c r="AJ338" i="11"/>
  <c r="BJ379" i="11"/>
  <c r="J286" i="11"/>
  <c r="P260" i="11"/>
  <c r="AR312" i="11"/>
  <c r="M443" i="11"/>
  <c r="AX323" i="11"/>
  <c r="AQ352" i="11"/>
  <c r="AN230" i="11"/>
  <c r="AW405" i="11"/>
  <c r="BF324" i="11"/>
  <c r="AX297" i="11"/>
  <c r="X378" i="11"/>
  <c r="S390" i="11"/>
  <c r="Q352" i="11"/>
  <c r="AP431" i="11"/>
  <c r="M399" i="11"/>
  <c r="BI423" i="11"/>
  <c r="AA316" i="11"/>
  <c r="AA354" i="11"/>
  <c r="AV356" i="11"/>
  <c r="AS315" i="11"/>
  <c r="BN418" i="11"/>
  <c r="AT361" i="11"/>
  <c r="BC322" i="11"/>
  <c r="BG398" i="11"/>
  <c r="AQ382" i="11"/>
  <c r="AH383" i="11"/>
  <c r="AE328" i="11"/>
  <c r="AW409" i="11"/>
  <c r="Q262" i="11"/>
  <c r="M427" i="11"/>
  <c r="AR277" i="11"/>
  <c r="BN412" i="11"/>
  <c r="U447" i="11"/>
  <c r="BE318" i="11"/>
  <c r="P323" i="11"/>
  <c r="AD324" i="11"/>
  <c r="AE355" i="11"/>
  <c r="AC205" i="11"/>
  <c r="AP301" i="11"/>
  <c r="K214" i="11"/>
  <c r="AE400" i="11"/>
  <c r="P224" i="11"/>
  <c r="BA284" i="11"/>
  <c r="BD255" i="11"/>
  <c r="AT264" i="11"/>
  <c r="L360" i="11"/>
  <c r="W376" i="11"/>
  <c r="Z448" i="11"/>
  <c r="Q287" i="11"/>
  <c r="BB406" i="11"/>
  <c r="AY243" i="11"/>
  <c r="AQ358" i="11"/>
  <c r="P352" i="11"/>
  <c r="AM247" i="11"/>
  <c r="U434" i="11"/>
  <c r="BL425" i="11"/>
  <c r="AK391" i="11"/>
  <c r="I357" i="11"/>
  <c r="AL436" i="11"/>
  <c r="AV253" i="11"/>
  <c r="BF364" i="11"/>
  <c r="G408" i="11"/>
  <c r="BI312" i="11"/>
  <c r="AY332" i="11"/>
  <c r="AQ403" i="11"/>
  <c r="BI374" i="11"/>
  <c r="U405" i="11"/>
  <c r="AF358" i="11"/>
  <c r="G372" i="11"/>
  <c r="Z357" i="11"/>
  <c r="BB429" i="11"/>
  <c r="BH371" i="11"/>
  <c r="BK384" i="11"/>
  <c r="BH345" i="11"/>
  <c r="BL387" i="11"/>
  <c r="C330" i="11"/>
  <c r="AE290" i="11"/>
  <c r="AE353" i="11"/>
  <c r="U442" i="11"/>
  <c r="AL445" i="11"/>
  <c r="BB303" i="11"/>
  <c r="W382" i="11"/>
  <c r="AK384" i="11"/>
  <c r="BG312" i="11"/>
  <c r="AM301" i="11"/>
  <c r="BK367" i="11"/>
  <c r="AZ376" i="11"/>
  <c r="BK355" i="11"/>
  <c r="I349" i="11"/>
  <c r="T257" i="11"/>
  <c r="V305" i="11"/>
  <c r="BA297" i="11"/>
  <c r="AM435" i="11"/>
  <c r="AT407" i="11"/>
  <c r="AF377" i="11"/>
  <c r="BJ320" i="11"/>
  <c r="J439" i="11"/>
  <c r="BG326" i="11"/>
  <c r="BD380" i="11"/>
  <c r="S384" i="11"/>
  <c r="H383" i="11"/>
  <c r="BC438" i="11"/>
  <c r="C429" i="11"/>
  <c r="M415" i="11"/>
  <c r="R424" i="11"/>
  <c r="AO353" i="11"/>
  <c r="G454" i="11"/>
  <c r="AS422" i="11"/>
  <c r="AR217" i="11"/>
  <c r="AH407" i="11"/>
  <c r="W369" i="11"/>
  <c r="BG258" i="11"/>
  <c r="Q425" i="11"/>
  <c r="AH366" i="11"/>
  <c r="BN328" i="11"/>
  <c r="AC390" i="11"/>
  <c r="I307" i="11"/>
  <c r="M347" i="11"/>
  <c r="AT381" i="11"/>
  <c r="AT218" i="11"/>
  <c r="J218" i="11"/>
  <c r="O392" i="11"/>
  <c r="G398" i="11"/>
  <c r="BC437" i="11"/>
  <c r="AH426" i="11"/>
  <c r="AM409" i="11"/>
  <c r="O216" i="11"/>
  <c r="AG212" i="11"/>
  <c r="BL215" i="11"/>
  <c r="AD396" i="11"/>
  <c r="AQ410" i="11"/>
  <c r="AK363" i="11"/>
  <c r="AD451" i="11"/>
  <c r="R393" i="11"/>
  <c r="AU208" i="11"/>
  <c r="AE206" i="11"/>
  <c r="J287" i="11"/>
  <c r="Z445" i="11"/>
  <c r="AO447" i="11"/>
  <c r="AK247" i="11"/>
  <c r="BD383" i="11"/>
  <c r="R377" i="11"/>
  <c r="J357" i="11"/>
  <c r="AC343" i="11"/>
  <c r="AE401" i="11"/>
  <c r="AI403" i="11"/>
  <c r="J393" i="11"/>
  <c r="S268" i="11"/>
  <c r="BB422" i="11"/>
  <c r="X376" i="11"/>
  <c r="L434" i="11"/>
  <c r="I242" i="11"/>
  <c r="AH450" i="11"/>
  <c r="BK316" i="11"/>
  <c r="AE283" i="11"/>
  <c r="AY371" i="11"/>
  <c r="X448" i="11"/>
  <c r="BN308" i="11"/>
  <c r="BC248" i="11"/>
  <c r="BH451" i="11"/>
  <c r="I341" i="11"/>
  <c r="AV396" i="11"/>
  <c r="H319" i="11"/>
  <c r="AT217" i="11"/>
  <c r="BF269" i="11"/>
  <c r="G291" i="11"/>
  <c r="AX244" i="11"/>
  <c r="BD427" i="11"/>
  <c r="AH445" i="11"/>
  <c r="Y391" i="11"/>
  <c r="BC386" i="11"/>
  <c r="BJ211" i="11"/>
  <c r="BA345" i="11"/>
  <c r="BA210" i="11"/>
  <c r="BC278" i="11"/>
  <c r="V389" i="11"/>
  <c r="BC290" i="11"/>
  <c r="C396" i="11"/>
  <c r="AO276" i="11"/>
  <c r="AN424" i="11"/>
  <c r="AI438" i="11"/>
  <c r="BI381" i="11"/>
  <c r="AE348" i="11"/>
  <c r="AM266" i="11"/>
  <c r="AA368" i="11"/>
  <c r="AO329" i="11"/>
  <c r="BD269" i="11"/>
  <c r="BJ297" i="11"/>
  <c r="AT427" i="11"/>
  <c r="V268" i="11"/>
  <c r="Y264" i="11"/>
  <c r="AU440" i="11"/>
  <c r="AQ212" i="11"/>
  <c r="X254" i="11"/>
  <c r="AZ322" i="11"/>
  <c r="L381" i="11"/>
  <c r="BF354" i="11"/>
  <c r="M430" i="11"/>
  <c r="AF347" i="11"/>
  <c r="AR400" i="11"/>
  <c r="BM455" i="11"/>
  <c r="BH321" i="11"/>
  <c r="BH390" i="11"/>
  <c r="N450" i="11"/>
  <c r="C453" i="11"/>
  <c r="BE440" i="11"/>
  <c r="AW220" i="11"/>
  <c r="AF421" i="11"/>
  <c r="J232" i="11"/>
  <c r="AZ356" i="11"/>
  <c r="AZ363" i="11"/>
  <c r="AM391" i="11"/>
  <c r="AZ426" i="11"/>
  <c r="T378" i="11"/>
  <c r="AK401" i="11"/>
  <c r="BM434" i="11"/>
  <c r="BC295" i="11"/>
  <c r="AD428" i="11"/>
  <c r="V294" i="11"/>
  <c r="V277" i="11"/>
  <c r="AG402" i="11"/>
  <c r="AT392" i="11"/>
  <c r="BA360" i="11"/>
  <c r="AL365" i="11"/>
  <c r="U414" i="11"/>
  <c r="BK440" i="11"/>
  <c r="BH401" i="11"/>
  <c r="H361" i="11"/>
  <c r="BL399" i="11"/>
  <c r="AP325" i="11"/>
  <c r="BN342" i="11"/>
  <c r="G247" i="11"/>
  <c r="J388" i="11"/>
  <c r="AG317" i="11"/>
  <c r="Q351" i="11"/>
  <c r="AV403" i="11"/>
  <c r="BB382" i="11"/>
  <c r="AV402" i="11"/>
  <c r="BJ451" i="11"/>
  <c r="O419" i="11"/>
  <c r="AP393" i="11"/>
  <c r="BC365" i="11"/>
  <c r="H414" i="11"/>
  <c r="K240" i="11"/>
  <c r="T400" i="11"/>
  <c r="AN281" i="11"/>
  <c r="AA362" i="11"/>
  <c r="AZ364" i="11"/>
  <c r="BJ391" i="11"/>
  <c r="I226" i="11"/>
  <c r="BA269" i="11"/>
  <c r="G427" i="11"/>
  <c r="BN423" i="11"/>
  <c r="AS333" i="11"/>
  <c r="AK286" i="11"/>
  <c r="BK209" i="11"/>
  <c r="AL351" i="11"/>
  <c r="BE214" i="11"/>
  <c r="AD269" i="11"/>
  <c r="W354" i="11"/>
  <c r="AX399" i="11"/>
  <c r="S453" i="11"/>
  <c r="BN276" i="11"/>
  <c r="BE237" i="11"/>
  <c r="BD265" i="11"/>
  <c r="K400" i="11"/>
  <c r="Q418" i="11"/>
  <c r="H387" i="11"/>
  <c r="BH418" i="11"/>
  <c r="AX246" i="11"/>
  <c r="N378" i="11"/>
  <c r="BD376" i="11"/>
  <c r="J402" i="11"/>
  <c r="AJ329" i="11"/>
  <c r="I395" i="11"/>
  <c r="AM393" i="11"/>
  <c r="W381" i="11"/>
  <c r="BK334" i="11"/>
  <c r="AG253" i="11"/>
  <c r="H206" i="11"/>
  <c r="AH263" i="11"/>
  <c r="L332" i="11"/>
  <c r="AL231" i="11"/>
  <c r="AC345" i="11"/>
  <c r="N454" i="11"/>
  <c r="M232" i="11"/>
  <c r="BL352" i="11"/>
  <c r="L264" i="11"/>
  <c r="BG439" i="11"/>
  <c r="I303" i="11"/>
  <c r="BG215" i="11"/>
  <c r="X343" i="11"/>
  <c r="AI286" i="11"/>
  <c r="BB289" i="11"/>
  <c r="U246" i="11"/>
  <c r="AC349" i="11"/>
  <c r="AJ375" i="11"/>
  <c r="Z415" i="11"/>
  <c r="BE419" i="11"/>
  <c r="AY396" i="11"/>
  <c r="L350" i="11"/>
  <c r="G450" i="11"/>
  <c r="BJ258" i="11"/>
  <c r="AM425" i="11"/>
  <c r="AV261" i="11"/>
  <c r="R326" i="11"/>
  <c r="M395" i="11"/>
  <c r="H253" i="11"/>
  <c r="Q368" i="11"/>
  <c r="AW359" i="11"/>
  <c r="U332" i="11"/>
  <c r="AX343" i="11"/>
  <c r="AJ400" i="11"/>
  <c r="AY393" i="11"/>
  <c r="P220" i="11"/>
  <c r="N383" i="11"/>
  <c r="AH438" i="11"/>
  <c r="BA375" i="11"/>
  <c r="BF362" i="11"/>
  <c r="AJ313" i="11"/>
  <c r="T421" i="11"/>
  <c r="AM366" i="11"/>
  <c r="M390" i="11"/>
  <c r="AU379" i="11"/>
  <c r="O438" i="11"/>
  <c r="BC357" i="11"/>
  <c r="H355" i="11"/>
  <c r="BC381" i="11"/>
  <c r="Q346" i="11"/>
  <c r="AZ329" i="11"/>
  <c r="X305" i="11"/>
  <c r="N346" i="11"/>
  <c r="BF451" i="11"/>
  <c r="BC279" i="11"/>
  <c r="S282" i="11"/>
  <c r="M365" i="11"/>
  <c r="T276" i="11"/>
  <c r="Z399" i="11"/>
  <c r="AP427" i="11"/>
  <c r="O374" i="11"/>
  <c r="AO303" i="11"/>
  <c r="C215" i="11"/>
  <c r="BA369" i="11"/>
  <c r="AL423" i="11"/>
  <c r="AY359" i="11"/>
  <c r="H205" i="11"/>
  <c r="R281" i="11"/>
  <c r="L265" i="11"/>
  <c r="AV415" i="11"/>
  <c r="AS382" i="11"/>
  <c r="BD369" i="11"/>
  <c r="AQ366" i="11"/>
  <c r="AX410" i="11"/>
  <c r="BJ413" i="11"/>
  <c r="J360" i="11"/>
  <c r="AO401" i="11"/>
  <c r="L205" i="11"/>
  <c r="U441" i="11"/>
  <c r="AU405" i="11"/>
  <c r="AF355" i="11"/>
  <c r="W315" i="11"/>
  <c r="BH288" i="11"/>
  <c r="C390" i="11"/>
  <c r="AA382" i="11"/>
  <c r="AV220" i="11"/>
  <c r="G243" i="11"/>
  <c r="AQ384" i="11"/>
  <c r="AH274" i="11"/>
  <c r="AX403" i="11"/>
  <c r="AV255" i="11"/>
  <c r="N339" i="11"/>
  <c r="V410" i="11"/>
  <c r="AS378" i="11"/>
  <c r="K421" i="11"/>
  <c r="AO260" i="11"/>
  <c r="C329" i="11"/>
  <c r="BB427" i="11"/>
  <c r="M283" i="11"/>
  <c r="AX231" i="11"/>
  <c r="AI318" i="11"/>
  <c r="S341" i="11"/>
  <c r="C348" i="11"/>
  <c r="AV367" i="11"/>
  <c r="V289" i="11"/>
  <c r="V249" i="11"/>
  <c r="BG395" i="11"/>
  <c r="O376" i="11"/>
  <c r="AC344" i="11"/>
  <c r="AJ433" i="11"/>
  <c r="P400" i="11"/>
  <c r="AX401" i="11"/>
  <c r="AY441" i="11"/>
  <c r="BG367" i="11"/>
  <c r="BG416" i="11"/>
  <c r="W399" i="11"/>
  <c r="Y405" i="11"/>
  <c r="AR363" i="11"/>
  <c r="BK280" i="11"/>
  <c r="T447" i="11"/>
  <c r="AW425" i="11"/>
  <c r="P217" i="11"/>
  <c r="AZ273" i="11"/>
  <c r="G250" i="11"/>
  <c r="AT286" i="11"/>
  <c r="AK382" i="11"/>
  <c r="BL383" i="11"/>
  <c r="AV412" i="11"/>
  <c r="AC417" i="11"/>
  <c r="AD322" i="11"/>
  <c r="H302" i="11"/>
  <c r="BI450" i="11"/>
  <c r="AP296" i="11"/>
  <c r="AZ389" i="11"/>
  <c r="BG273" i="11"/>
  <c r="AA437" i="11"/>
  <c r="W299" i="11"/>
  <c r="K428" i="11"/>
  <c r="AD383" i="11"/>
  <c r="AE382" i="11"/>
  <c r="BE240" i="11"/>
  <c r="AE395" i="11"/>
  <c r="M392" i="11"/>
  <c r="AU206" i="11"/>
  <c r="L347" i="11"/>
  <c r="X256" i="11"/>
  <c r="BC351" i="11"/>
  <c r="AI212" i="11"/>
  <c r="AJ424" i="11"/>
  <c r="BC355" i="11"/>
  <c r="AY404" i="11"/>
  <c r="AH317" i="11"/>
  <c r="AK298" i="11"/>
  <c r="AH375" i="11"/>
  <c r="AQ394" i="11"/>
  <c r="AK341" i="11"/>
  <c r="AM295" i="11"/>
  <c r="BH340" i="11"/>
  <c r="AK399" i="11"/>
  <c r="X231" i="11"/>
  <c r="R354" i="11"/>
  <c r="AU267" i="11"/>
  <c r="BB434" i="11"/>
  <c r="AS300" i="11"/>
  <c r="BM294" i="11"/>
  <c r="T311" i="11"/>
  <c r="BH255" i="11"/>
  <c r="N392" i="11"/>
  <c r="X314" i="11"/>
  <c r="BG405" i="11"/>
  <c r="BG310" i="11"/>
  <c r="AG426" i="11"/>
  <c r="BN428" i="11"/>
  <c r="C336" i="11"/>
  <c r="AQ391" i="11"/>
  <c r="AS243" i="11"/>
  <c r="X253" i="11"/>
  <c r="AW453" i="11"/>
  <c r="AA409" i="11"/>
  <c r="U438" i="11"/>
  <c r="AQ371" i="11"/>
  <c r="Q400" i="11"/>
  <c r="BG371" i="11"/>
  <c r="AN419" i="11"/>
  <c r="R396" i="11"/>
  <c r="AZ388" i="11"/>
  <c r="AF402" i="11"/>
  <c r="BN444" i="11"/>
  <c r="AB257" i="11"/>
  <c r="K233" i="11"/>
  <c r="BI341" i="11"/>
  <c r="AP377" i="11"/>
  <c r="V453" i="11"/>
  <c r="AT310" i="11"/>
  <c r="T272" i="11"/>
  <c r="AV421" i="11"/>
  <c r="AK336" i="11"/>
  <c r="H342" i="11"/>
  <c r="K347" i="11"/>
  <c r="BJ394" i="11"/>
  <c r="W384" i="11"/>
  <c r="W218" i="11"/>
  <c r="BF381" i="11"/>
  <c r="AI427" i="11"/>
  <c r="W400" i="11"/>
  <c r="L362" i="11"/>
  <c r="BE322" i="11"/>
  <c r="BI434" i="11"/>
  <c r="N363" i="11"/>
  <c r="AR389" i="11"/>
  <c r="BB405" i="11"/>
  <c r="O288" i="11"/>
  <c r="AT362" i="11"/>
  <c r="M290" i="11"/>
  <c r="K297" i="11"/>
  <c r="C351" i="11"/>
  <c r="I273" i="11"/>
  <c r="BE226" i="11"/>
  <c r="I276" i="11"/>
  <c r="BE344" i="11"/>
  <c r="Z451" i="11"/>
  <c r="Z310" i="11"/>
  <c r="P281" i="11"/>
  <c r="L320" i="11"/>
  <c r="O436" i="11"/>
  <c r="P376" i="11"/>
  <c r="P381" i="11"/>
  <c r="L303" i="11"/>
  <c r="N408" i="11"/>
  <c r="K396" i="11"/>
  <c r="P356" i="11"/>
  <c r="AP279" i="11"/>
  <c r="R404" i="11"/>
  <c r="BG279" i="11"/>
  <c r="U206" i="11"/>
  <c r="AW254" i="11"/>
  <c r="P407" i="11"/>
  <c r="U331" i="11"/>
  <c r="AC361" i="11"/>
  <c r="AI404" i="11"/>
  <c r="N323" i="11"/>
  <c r="AH220" i="11"/>
  <c r="BG396" i="11"/>
  <c r="R364" i="11"/>
  <c r="H286" i="11"/>
  <c r="AQ406" i="11"/>
  <c r="J328" i="11"/>
  <c r="BA418" i="11"/>
  <c r="AU422" i="11"/>
  <c r="P328" i="11"/>
  <c r="S289" i="11"/>
  <c r="AD342" i="11"/>
  <c r="AQ254" i="11"/>
  <c r="BN246" i="11"/>
  <c r="I366" i="11"/>
  <c r="AT262" i="11"/>
  <c r="AT372" i="11"/>
  <c r="L299" i="11"/>
  <c r="AR338" i="11"/>
  <c r="AH403" i="11"/>
  <c r="BB253" i="11"/>
  <c r="AD381" i="11"/>
  <c r="G353" i="11"/>
  <c r="BA354" i="11"/>
  <c r="AW376" i="11"/>
  <c r="BC337" i="11"/>
  <c r="BC359" i="11"/>
  <c r="AX336" i="11"/>
  <c r="M394" i="11"/>
  <c r="BA270" i="11"/>
  <c r="AE350" i="11"/>
  <c r="BI438" i="11"/>
  <c r="C319" i="11"/>
  <c r="G350" i="11"/>
  <c r="T336" i="11"/>
  <c r="AX396" i="11"/>
  <c r="G349" i="11"/>
  <c r="AI419" i="11"/>
  <c r="BN312" i="11"/>
  <c r="AZ371" i="11"/>
  <c r="AC401" i="11"/>
  <c r="AL357" i="11"/>
  <c r="AB403" i="11"/>
  <c r="AZ405" i="11"/>
  <c r="AS427" i="11"/>
  <c r="AQ296" i="11"/>
  <c r="AT402" i="11"/>
  <c r="BK446" i="11"/>
  <c r="AL328" i="11"/>
  <c r="AK313" i="11"/>
  <c r="AU389" i="11"/>
  <c r="L336" i="11"/>
  <c r="AM390" i="11"/>
  <c r="AY299" i="11"/>
  <c r="AI357" i="11"/>
  <c r="BB316" i="11"/>
  <c r="AF433" i="11"/>
  <c r="AK433" i="11"/>
  <c r="AQ353" i="11"/>
  <c r="BG438" i="11"/>
  <c r="AG394" i="11"/>
  <c r="S382" i="11"/>
  <c r="AO334" i="11"/>
  <c r="AM394" i="11"/>
  <c r="AD368" i="11"/>
  <c r="BJ334" i="11"/>
  <c r="J222" i="11"/>
  <c r="BL255" i="11"/>
  <c r="P355" i="11"/>
  <c r="AU397" i="11"/>
  <c r="AK332" i="11"/>
  <c r="AB420" i="11"/>
  <c r="BA348" i="11"/>
  <c r="AI455" i="11"/>
  <c r="Y299" i="11"/>
  <c r="S314" i="11"/>
  <c r="N364" i="11"/>
  <c r="U234" i="11"/>
  <c r="C365" i="11"/>
  <c r="G417" i="11"/>
  <c r="I419" i="11"/>
  <c r="BC296" i="11"/>
  <c r="AV352" i="11"/>
  <c r="T442" i="11"/>
  <c r="AU250" i="11"/>
  <c r="AJ390" i="11"/>
  <c r="T342" i="11"/>
  <c r="AV369" i="11"/>
  <c r="AX274" i="11"/>
  <c r="AD302" i="11"/>
  <c r="AW351" i="11"/>
  <c r="S402" i="11"/>
  <c r="V318" i="11"/>
  <c r="M249" i="11"/>
  <c r="T413" i="11"/>
  <c r="N361" i="11"/>
  <c r="AS283" i="11"/>
  <c r="R269" i="11"/>
  <c r="G224" i="11"/>
  <c r="C456" i="11"/>
  <c r="AS423" i="11"/>
  <c r="AD329" i="11"/>
  <c r="AP260" i="11"/>
  <c r="AN451" i="11"/>
  <c r="X265" i="11"/>
  <c r="V347" i="11"/>
  <c r="AC362" i="11"/>
  <c r="BA403" i="11"/>
  <c r="AU404" i="11"/>
  <c r="Y406" i="11"/>
  <c r="BM293" i="11"/>
  <c r="BE259" i="11"/>
  <c r="AI263" i="11"/>
  <c r="T393" i="11"/>
  <c r="G351" i="11"/>
  <c r="W398" i="11"/>
  <c r="AD385" i="11"/>
  <c r="R234" i="11"/>
  <c r="AF342" i="11"/>
  <c r="Z454" i="11"/>
  <c r="BE350" i="11"/>
  <c r="BD388" i="11"/>
  <c r="BL365" i="11"/>
  <c r="AJ406" i="11"/>
  <c r="R420" i="11"/>
  <c r="AQ430" i="11"/>
  <c r="AZ344" i="11"/>
  <c r="BM401" i="11"/>
  <c r="AO406" i="11"/>
  <c r="AT376" i="11"/>
  <c r="AD247" i="11"/>
  <c r="BF252" i="11"/>
  <c r="BH378" i="11"/>
  <c r="AB369" i="11"/>
  <c r="I406" i="11"/>
  <c r="BL389" i="11"/>
  <c r="AA263" i="11"/>
  <c r="BE233" i="11"/>
  <c r="N434" i="11"/>
  <c r="BF259" i="11"/>
  <c r="BL259" i="11"/>
  <c r="AC397" i="11"/>
  <c r="BH365" i="11"/>
  <c r="P442" i="11"/>
  <c r="G412" i="11"/>
  <c r="Z444" i="11"/>
  <c r="Q431" i="11"/>
  <c r="BL398" i="11"/>
  <c r="BL247" i="11"/>
  <c r="AZ299" i="11"/>
  <c r="AQ433" i="11"/>
  <c r="AT219" i="11"/>
  <c r="AG374" i="11"/>
  <c r="AX400" i="11"/>
  <c r="AH428" i="11"/>
  <c r="AF404" i="11"/>
  <c r="I221" i="11"/>
  <c r="S308" i="11"/>
  <c r="BA302" i="11"/>
  <c r="AL326" i="11"/>
  <c r="Z408" i="11"/>
  <c r="AM400" i="11"/>
  <c r="BM224" i="11"/>
  <c r="W429" i="11"/>
  <c r="O384" i="11"/>
  <c r="Y421" i="11"/>
  <c r="AQ289" i="11"/>
  <c r="N287" i="11"/>
  <c r="AY292" i="11"/>
  <c r="AQ395" i="11"/>
  <c r="AB352" i="11"/>
  <c r="AP381" i="11"/>
  <c r="N350" i="11"/>
  <c r="AA308" i="11"/>
  <c r="AZ365" i="11"/>
  <c r="N404" i="11"/>
  <c r="BJ219" i="11"/>
  <c r="AR416" i="11"/>
  <c r="AZ368" i="11"/>
  <c r="BJ435" i="11"/>
  <c r="G347" i="11"/>
  <c r="AF430" i="11"/>
  <c r="AR230" i="11"/>
  <c r="W441" i="11"/>
  <c r="L371" i="11"/>
  <c r="C236" i="11"/>
  <c r="BG390" i="11"/>
  <c r="AJ355" i="11"/>
  <c r="L383" i="11"/>
  <c r="M271" i="11"/>
  <c r="BB359" i="11"/>
  <c r="BD436" i="11"/>
  <c r="Z313" i="11"/>
  <c r="BB437" i="11"/>
  <c r="Y325" i="11"/>
  <c r="AA299" i="11"/>
  <c r="AQ399" i="11"/>
  <c r="BJ369" i="11"/>
  <c r="BG399" i="11"/>
  <c r="J438" i="11"/>
  <c r="Q375" i="11"/>
  <c r="X290" i="11"/>
  <c r="X277" i="11"/>
  <c r="N251" i="11"/>
  <c r="T325" i="11"/>
  <c r="R405" i="11"/>
  <c r="L377" i="11"/>
  <c r="N387" i="11"/>
  <c r="AY392" i="11"/>
  <c r="S211" i="11"/>
  <c r="AR224" i="11"/>
  <c r="Q315" i="11"/>
  <c r="U372" i="11"/>
  <c r="BG219" i="11"/>
  <c r="AA369" i="11"/>
  <c r="AW369" i="11"/>
  <c r="AS431" i="11"/>
  <c r="AU339" i="11"/>
  <c r="AA262" i="11"/>
  <c r="W230" i="11"/>
  <c r="AR395" i="11"/>
  <c r="X333" i="11"/>
  <c r="P319" i="11"/>
  <c r="X349" i="11"/>
  <c r="AP233" i="11"/>
  <c r="AW430" i="11"/>
  <c r="AH414" i="11"/>
  <c r="V397" i="11"/>
  <c r="Q300" i="11"/>
  <c r="AL227" i="11"/>
  <c r="BA206" i="11"/>
  <c r="BJ261" i="11"/>
  <c r="AK324" i="11"/>
  <c r="Z348" i="11"/>
  <c r="BK366" i="11"/>
  <c r="Z429" i="11"/>
  <c r="AT335" i="11"/>
  <c r="AH364" i="11"/>
  <c r="BE363" i="11"/>
  <c r="C379" i="11"/>
  <c r="AE276" i="11"/>
  <c r="AZ227" i="11"/>
  <c r="R215" i="11"/>
  <c r="Z230" i="11"/>
  <c r="AC228" i="11"/>
  <c r="AE343" i="11"/>
  <c r="S265" i="11"/>
  <c r="BG289" i="11"/>
  <c r="H273" i="11"/>
  <c r="AV293" i="11"/>
  <c r="M306" i="11"/>
  <c r="BL216" i="11"/>
  <c r="AA333" i="11"/>
  <c r="BG265" i="11"/>
  <c r="P277" i="11"/>
  <c r="R433" i="11"/>
  <c r="AE251" i="11"/>
  <c r="AL438" i="11"/>
  <c r="X270" i="11"/>
  <c r="AU374" i="11"/>
  <c r="H221" i="11"/>
  <c r="AK428" i="11"/>
  <c r="BD449" i="11"/>
  <c r="AC429" i="11"/>
  <c r="C367" i="11"/>
  <c r="AQ272" i="11"/>
  <c r="I289" i="11"/>
  <c r="BJ259" i="11"/>
  <c r="BG262" i="11"/>
  <c r="BC441" i="11"/>
  <c r="AC292" i="11"/>
  <c r="AE299" i="11"/>
  <c r="N352" i="11"/>
  <c r="BD318" i="11"/>
  <c r="BE403" i="11"/>
  <c r="Q361" i="11"/>
  <c r="AC444" i="11"/>
  <c r="V264" i="11"/>
  <c r="AI336" i="11"/>
  <c r="BE437" i="11"/>
  <c r="O425" i="11"/>
  <c r="AR388" i="11"/>
  <c r="L275" i="11"/>
  <c r="H415" i="11"/>
  <c r="AV285" i="11"/>
  <c r="BM296" i="11"/>
  <c r="AV450" i="11"/>
  <c r="S286" i="11"/>
  <c r="T284" i="11"/>
  <c r="AQ229" i="11"/>
  <c r="K244" i="11"/>
  <c r="AB282" i="11"/>
  <c r="Z343" i="11"/>
  <c r="AW408" i="11"/>
  <c r="AB423" i="11"/>
  <c r="AQ335" i="11"/>
  <c r="AF251" i="11"/>
  <c r="U261" i="11"/>
  <c r="L260" i="11"/>
  <c r="AP409" i="11"/>
  <c r="M288" i="11"/>
  <c r="P312" i="11"/>
  <c r="AG305" i="11"/>
  <c r="AI440" i="11"/>
  <c r="AA259" i="11"/>
  <c r="BJ351" i="11"/>
  <c r="AI323" i="11"/>
  <c r="AU413" i="11"/>
  <c r="AL412" i="11"/>
  <c r="AF314" i="11"/>
  <c r="H257" i="11"/>
  <c r="L242" i="11"/>
  <c r="AY347" i="11"/>
  <c r="AR269" i="11"/>
  <c r="BL430" i="11"/>
  <c r="BE298" i="11"/>
  <c r="AT432" i="11"/>
  <c r="AP433" i="11"/>
  <c r="AS367" i="11"/>
  <c r="W333" i="11"/>
  <c r="J282" i="11"/>
  <c r="AV448" i="11"/>
  <c r="BK448" i="11"/>
  <c r="BA342" i="11"/>
  <c r="AK262" i="11"/>
  <c r="BG408" i="11"/>
  <c r="AB371" i="11"/>
  <c r="R411" i="11"/>
  <c r="AC280" i="11"/>
  <c r="AO265" i="11"/>
  <c r="BB410" i="11"/>
  <c r="BI292" i="11"/>
  <c r="H316" i="11"/>
  <c r="AR386" i="11"/>
  <c r="BE411" i="11"/>
  <c r="C327" i="11"/>
  <c r="J316" i="11"/>
  <c r="AB449" i="11"/>
  <c r="K302" i="11"/>
  <c r="O338" i="11"/>
  <c r="AQ260" i="11"/>
  <c r="BM259" i="11"/>
  <c r="J301" i="11"/>
  <c r="BB450" i="11"/>
  <c r="AX432" i="11"/>
  <c r="BA292" i="11"/>
  <c r="BC277" i="11"/>
  <c r="C433" i="11"/>
  <c r="Q442" i="11"/>
  <c r="AU406" i="11"/>
  <c r="AR294" i="11"/>
  <c r="AF444" i="11"/>
  <c r="BL279" i="11"/>
  <c r="BB446" i="11"/>
  <c r="K312" i="11"/>
  <c r="BL276" i="11"/>
  <c r="U452" i="11"/>
  <c r="BK406" i="11"/>
  <c r="U440" i="11"/>
  <c r="AZ446" i="11"/>
  <c r="H330" i="11"/>
  <c r="G375" i="11"/>
  <c r="BB306" i="11"/>
  <c r="I427" i="11"/>
  <c r="J420" i="11"/>
  <c r="T300" i="11"/>
  <c r="C294" i="11"/>
  <c r="W337" i="11"/>
  <c r="BG344" i="11"/>
  <c r="BC330" i="11"/>
  <c r="AM349" i="11"/>
  <c r="N360" i="11"/>
  <c r="M285" i="11"/>
  <c r="BB414" i="11"/>
  <c r="AA450" i="11"/>
  <c r="BB292" i="11"/>
  <c r="S420" i="11"/>
  <c r="AE384" i="11"/>
  <c r="AK439" i="11"/>
  <c r="BL316" i="11"/>
  <c r="BA450" i="11"/>
  <c r="G378" i="11"/>
  <c r="BI296" i="11"/>
  <c r="AB362" i="11"/>
  <c r="BF313" i="11"/>
  <c r="AF396" i="11"/>
  <c r="AJ311" i="11"/>
  <c r="V316" i="11"/>
  <c r="N302" i="11"/>
  <c r="H338" i="11"/>
  <c r="AS294" i="11"/>
  <c r="BH405" i="11"/>
  <c r="G327" i="11"/>
  <c r="AV454" i="11"/>
  <c r="AP304" i="11"/>
  <c r="BK381" i="11"/>
  <c r="AS317" i="11"/>
  <c r="AB308" i="11"/>
  <c r="BF368" i="11"/>
  <c r="J442" i="11"/>
  <c r="BI437" i="11"/>
  <c r="M428" i="11"/>
  <c r="AU369" i="11"/>
  <c r="Q370" i="11"/>
  <c r="G308" i="11"/>
  <c r="T397" i="11"/>
  <c r="T377" i="11"/>
  <c r="W324" i="11"/>
  <c r="S446" i="11"/>
  <c r="AL425" i="11"/>
  <c r="AF363" i="11"/>
  <c r="W442" i="11"/>
  <c r="AN413" i="11"/>
  <c r="V342" i="11"/>
  <c r="C416" i="11"/>
  <c r="BH427" i="11"/>
  <c r="BF386" i="11"/>
  <c r="AI433" i="11"/>
  <c r="U417" i="11"/>
  <c r="AC415" i="11"/>
  <c r="AK443" i="11"/>
  <c r="N418" i="11"/>
  <c r="AY423" i="11"/>
  <c r="C417" i="11"/>
  <c r="AA440" i="11"/>
  <c r="AT450" i="11"/>
  <c r="M454" i="11"/>
  <c r="L411" i="11"/>
  <c r="Z456" i="11"/>
  <c r="AO426" i="11"/>
  <c r="X390" i="11"/>
  <c r="P443" i="11"/>
  <c r="BC428" i="11"/>
  <c r="I453" i="11"/>
  <c r="AH451" i="11"/>
  <c r="AB443" i="11"/>
  <c r="BL446" i="11"/>
  <c r="AL340" i="11"/>
  <c r="AP421" i="11"/>
  <c r="AE416" i="11"/>
  <c r="AI442" i="11"/>
  <c r="BH407" i="11"/>
  <c r="AQ450" i="11"/>
  <c r="BD444" i="11"/>
  <c r="AZ372" i="11"/>
  <c r="W404" i="11"/>
  <c r="AN430" i="11"/>
  <c r="AM444" i="11"/>
  <c r="BF448" i="11"/>
  <c r="AK407" i="11"/>
  <c r="AL453" i="11"/>
  <c r="AZ409" i="11"/>
  <c r="BJ411" i="11"/>
  <c r="AE446" i="11"/>
  <c r="AI361" i="11"/>
  <c r="BF436" i="11"/>
  <c r="BE339" i="11"/>
  <c r="BI356" i="11"/>
  <c r="AK389" i="11"/>
  <c r="V454" i="11"/>
  <c r="G414" i="11"/>
  <c r="C352" i="11"/>
  <c r="Q404" i="11"/>
  <c r="X371" i="11"/>
  <c r="AJ345" i="11"/>
  <c r="BA433" i="11"/>
  <c r="AK425" i="11"/>
  <c r="BA349" i="11"/>
  <c r="AY364" i="11"/>
  <c r="AL446" i="11"/>
  <c r="N449" i="11"/>
  <c r="R453" i="11"/>
  <c r="C392" i="11"/>
  <c r="AN366" i="11"/>
  <c r="V417" i="11"/>
  <c r="AP420" i="11"/>
  <c r="N439" i="11"/>
  <c r="L450" i="11"/>
  <c r="AM420" i="11"/>
  <c r="AP452" i="11"/>
  <c r="AC422" i="11"/>
  <c r="N422" i="11"/>
  <c r="AQ342" i="11"/>
  <c r="BH387" i="11"/>
  <c r="BN436" i="11"/>
  <c r="AD394" i="11"/>
  <c r="Q421" i="11"/>
  <c r="AC394" i="11"/>
  <c r="AC393" i="11"/>
  <c r="BG406" i="11"/>
  <c r="BH351" i="11"/>
  <c r="T357" i="11"/>
  <c r="BI377" i="11"/>
  <c r="AV444" i="11"/>
  <c r="K436" i="11"/>
  <c r="AC408" i="11"/>
  <c r="G445" i="11"/>
  <c r="AS398" i="11"/>
  <c r="Q360" i="11"/>
  <c r="AZ401" i="11"/>
  <c r="AX453" i="11"/>
  <c r="AJ426" i="11"/>
  <c r="I416" i="11"/>
  <c r="T343" i="11"/>
  <c r="X451" i="11"/>
  <c r="BK391" i="11"/>
  <c r="AF422" i="11"/>
  <c r="AH387" i="11"/>
  <c r="BN403" i="11"/>
  <c r="K409" i="11"/>
  <c r="BN351" i="11"/>
  <c r="Y362" i="11"/>
  <c r="BG451" i="11"/>
  <c r="AY363" i="11"/>
  <c r="BA437" i="11"/>
  <c r="M422" i="11"/>
  <c r="AZ373" i="11"/>
  <c r="Q453" i="11"/>
  <c r="AW384" i="11"/>
  <c r="Z370" i="11"/>
  <c r="BB442" i="11"/>
  <c r="AL356" i="11"/>
  <c r="AX409" i="11"/>
  <c r="M451" i="11"/>
  <c r="AL408" i="11"/>
  <c r="BF392" i="11"/>
  <c r="W361" i="11"/>
  <c r="K412" i="11"/>
  <c r="V429" i="11"/>
  <c r="O407" i="11"/>
  <c r="AR429" i="11"/>
  <c r="V371" i="11"/>
  <c r="O409" i="11"/>
  <c r="AY417" i="11"/>
  <c r="AR410" i="11"/>
  <c r="Q355" i="11"/>
  <c r="BK388" i="11"/>
  <c r="BF443" i="11"/>
  <c r="BH454" i="11"/>
  <c r="AI401" i="11"/>
  <c r="U430" i="11"/>
  <c r="N399" i="11"/>
  <c r="BN454" i="11"/>
  <c r="BE367" i="11"/>
  <c r="Z430" i="11"/>
  <c r="AX415" i="11"/>
  <c r="AY434" i="11"/>
  <c r="S436" i="11"/>
  <c r="U418" i="11"/>
  <c r="AJ450" i="11"/>
  <c r="AW370" i="11"/>
  <c r="K454" i="11"/>
  <c r="AQ401" i="11"/>
  <c r="C370" i="11"/>
  <c r="AC367" i="11"/>
  <c r="S413" i="11"/>
  <c r="AF381" i="11"/>
  <c r="P397" i="11"/>
  <c r="Q450" i="11"/>
  <c r="W371" i="11"/>
  <c r="C415" i="11"/>
  <c r="AT420" i="11"/>
  <c r="K361" i="11"/>
  <c r="BD398" i="11"/>
  <c r="L405" i="11"/>
  <c r="AH440" i="11"/>
  <c r="AG415" i="11"/>
  <c r="BA413" i="11"/>
  <c r="U382" i="11"/>
  <c r="BB428" i="11"/>
  <c r="BE389" i="11"/>
  <c r="AB373" i="11"/>
  <c r="BN372" i="11"/>
  <c r="BJ429" i="11"/>
  <c r="BA371" i="11"/>
  <c r="BL429" i="11"/>
  <c r="AE365" i="11"/>
  <c r="BL408" i="11"/>
  <c r="AB437" i="11"/>
  <c r="BN440" i="11"/>
  <c r="AO438" i="11"/>
  <c r="AL426" i="11"/>
  <c r="AY422" i="11"/>
  <c r="BF412" i="11"/>
  <c r="P421" i="11"/>
  <c r="AA395" i="11"/>
  <c r="AL398" i="11"/>
  <c r="AN436" i="11"/>
  <c r="BC413" i="11"/>
  <c r="P417" i="11"/>
  <c r="L442" i="11"/>
  <c r="J394" i="11"/>
  <c r="BG436" i="11"/>
  <c r="AE456" i="11"/>
  <c r="BB436" i="11"/>
  <c r="J401" i="11"/>
  <c r="R387" i="11"/>
  <c r="W432" i="11"/>
  <c r="C398" i="11"/>
  <c r="AX424" i="11"/>
  <c r="BC385" i="11"/>
  <c r="AR411" i="11"/>
  <c r="K401" i="11"/>
  <c r="AV404" i="11"/>
  <c r="AQ456" i="11"/>
  <c r="G449" i="11"/>
  <c r="BL374" i="11"/>
  <c r="AW443" i="11"/>
  <c r="BI447" i="11"/>
  <c r="AP441" i="11"/>
  <c r="BD368" i="11"/>
  <c r="AM455" i="11"/>
  <c r="AE394" i="11"/>
  <c r="AV432" i="11"/>
  <c r="K374" i="11"/>
  <c r="AI436" i="11"/>
  <c r="AO380" i="11"/>
  <c r="BF423" i="11"/>
  <c r="Y370" i="11"/>
  <c r="J389" i="11"/>
  <c r="BC448" i="11"/>
  <c r="O389" i="11"/>
  <c r="K382" i="11"/>
  <c r="AY385" i="11"/>
  <c r="AF378" i="11"/>
  <c r="BM441" i="11"/>
  <c r="AJ405" i="11"/>
  <c r="Z373" i="11"/>
  <c r="AN373" i="11"/>
  <c r="AS374" i="11"/>
  <c r="BH383" i="11"/>
  <c r="AD380" i="11"/>
  <c r="BA434" i="11"/>
  <c r="AL389" i="11"/>
  <c r="BD431" i="11"/>
  <c r="AU434" i="11"/>
  <c r="P434" i="11"/>
  <c r="X427" i="11"/>
  <c r="AX440" i="11"/>
  <c r="T417" i="11"/>
  <c r="AX412" i="11"/>
  <c r="P377" i="11"/>
  <c r="S378" i="11"/>
  <c r="AL378" i="11"/>
  <c r="Z417" i="11"/>
  <c r="BE374" i="11"/>
  <c r="U437" i="11"/>
  <c r="BA448" i="11"/>
  <c r="BF421" i="11"/>
  <c r="AK383" i="11"/>
  <c r="BH443" i="11"/>
  <c r="AG444" i="11"/>
  <c r="P433" i="11"/>
  <c r="I423" i="11"/>
  <c r="BG401" i="11"/>
  <c r="AE385" i="11"/>
  <c r="AA417" i="11"/>
  <c r="C381" i="11"/>
  <c r="AA386" i="11"/>
  <c r="AJ392" i="11"/>
  <c r="H419" i="11"/>
  <c r="AN394" i="11"/>
  <c r="Q381" i="11"/>
  <c r="AR428" i="11"/>
  <c r="Y413" i="11"/>
  <c r="V383" i="11"/>
  <c r="AY436" i="11"/>
  <c r="AZ397" i="11"/>
  <c r="AZ454" i="11"/>
  <c r="K405" i="11"/>
  <c r="BI393" i="11"/>
  <c r="BN435" i="11"/>
  <c r="AO379" i="11"/>
  <c r="U388" i="11"/>
  <c r="I396" i="11"/>
  <c r="Y412" i="11"/>
  <c r="AX451" i="11"/>
  <c r="AG446" i="11"/>
  <c r="L451" i="11"/>
  <c r="AP413" i="11"/>
  <c r="BF418" i="11"/>
  <c r="X424" i="11"/>
  <c r="BH394" i="11"/>
  <c r="AM450" i="11"/>
  <c r="BD394" i="11"/>
  <c r="G401" i="11"/>
  <c r="J428" i="11"/>
  <c r="BH441" i="11"/>
  <c r="AC385" i="11"/>
  <c r="N403" i="11"/>
  <c r="U419" i="11"/>
  <c r="BJ453" i="11"/>
  <c r="BI421" i="11"/>
  <c r="W440" i="11"/>
  <c r="O423" i="11"/>
  <c r="BD405" i="11"/>
  <c r="T389" i="11"/>
  <c r="Y424" i="11"/>
  <c r="AA411" i="11"/>
  <c r="T414" i="11"/>
  <c r="AO435" i="11"/>
  <c r="BL414" i="11"/>
  <c r="AX398" i="11"/>
  <c r="S391" i="11"/>
  <c r="AX450" i="11"/>
  <c r="BA431" i="11"/>
  <c r="H407" i="11"/>
  <c r="Q420" i="11"/>
  <c r="AU428" i="11"/>
  <c r="AW424" i="11"/>
  <c r="AO417" i="11"/>
  <c r="BL404" i="11"/>
  <c r="AO444" i="11"/>
  <c r="BI455" i="11"/>
  <c r="AG409" i="11"/>
  <c r="AM396" i="11"/>
  <c r="AK413" i="11"/>
  <c r="Q422" i="11"/>
  <c r="AL407" i="11"/>
  <c r="AD450" i="11"/>
  <c r="AL401" i="11"/>
  <c r="AO398" i="11"/>
  <c r="BI420" i="11"/>
  <c r="BL448" i="11"/>
  <c r="AX448" i="11"/>
  <c r="BD451" i="11"/>
  <c r="Y411" i="11"/>
  <c r="S449" i="11"/>
  <c r="AU416" i="11"/>
  <c r="AU439" i="11"/>
  <c r="BD437" i="11"/>
  <c r="AR451" i="11"/>
  <c r="AK449" i="11"/>
  <c r="AT434" i="11"/>
  <c r="AI444" i="11"/>
  <c r="Y396" i="11"/>
  <c r="BK439" i="11"/>
  <c r="AO430" i="11"/>
  <c r="S443" i="11"/>
  <c r="V434" i="11"/>
  <c r="K415" i="11"/>
  <c r="AJ448" i="11"/>
  <c r="AT428" i="11"/>
  <c r="N420" i="11"/>
  <c r="AG412" i="11"/>
  <c r="AX438" i="11"/>
  <c r="M442" i="11"/>
  <c r="T422" i="11"/>
  <c r="X437" i="11"/>
  <c r="BL450" i="11"/>
  <c r="AK409" i="11"/>
  <c r="AA426" i="11"/>
  <c r="BC418" i="11"/>
  <c r="C409" i="11"/>
  <c r="AX421" i="11"/>
  <c r="AH430" i="11"/>
  <c r="U412" i="11"/>
  <c r="BE431" i="11"/>
  <c r="BL417" i="11"/>
  <c r="BD416" i="11"/>
  <c r="P402" i="11"/>
  <c r="BM419" i="11"/>
  <c r="K439" i="11"/>
  <c r="W436" i="11"/>
  <c r="AM431" i="11"/>
  <c r="O452" i="11"/>
  <c r="L452" i="11"/>
  <c r="M437" i="11"/>
  <c r="BC454" i="11"/>
  <c r="BL409" i="11"/>
  <c r="AA413" i="11"/>
  <c r="AB428" i="11"/>
  <c r="BK422" i="11"/>
  <c r="L447" i="11"/>
  <c r="U413" i="11"/>
  <c r="AI417" i="11"/>
  <c r="AC445" i="11"/>
  <c r="AW432" i="11"/>
  <c r="AG407" i="11"/>
  <c r="AV411" i="11"/>
  <c r="AQ415" i="11"/>
  <c r="AU423" i="11"/>
  <c r="AO415" i="11"/>
  <c r="BE406" i="11"/>
  <c r="X436" i="11"/>
  <c r="AR446" i="11"/>
  <c r="V438" i="11"/>
  <c r="AB417" i="11"/>
  <c r="K413" i="11"/>
  <c r="BB448" i="11"/>
  <c r="BL456" i="11"/>
  <c r="AY433" i="11"/>
  <c r="T439" i="11"/>
  <c r="AE406" i="11"/>
  <c r="V457" i="11" l="1"/>
  <c r="D423" i="11"/>
  <c r="E409" i="11"/>
  <c r="AI457" i="11"/>
  <c r="AP457" i="11"/>
  <c r="BN457" i="11"/>
  <c r="AU457" i="11"/>
  <c r="AF457" i="11"/>
  <c r="D432" i="11"/>
  <c r="AZ457" i="11"/>
  <c r="AL457" i="11"/>
  <c r="H457" i="11"/>
  <c r="E432" i="11"/>
  <c r="E452" i="11"/>
  <c r="D427" i="11"/>
  <c r="E423" i="11"/>
  <c r="AW457" i="11"/>
  <c r="E427" i="11"/>
  <c r="D409" i="11"/>
  <c r="E444" i="11"/>
  <c r="D384" i="11"/>
  <c r="E384" i="11"/>
  <c r="E386" i="11"/>
  <c r="D386" i="11"/>
  <c r="E343" i="11"/>
  <c r="D343" i="11"/>
  <c r="E383" i="11"/>
  <c r="D383" i="11"/>
  <c r="D239" i="11"/>
  <c r="E239" i="11"/>
  <c r="E429" i="11"/>
  <c r="D429" i="11"/>
  <c r="E355" i="11"/>
  <c r="D355" i="11"/>
  <c r="E289" i="11"/>
  <c r="D289" i="11"/>
  <c r="D273" i="11"/>
  <c r="E273" i="11"/>
  <c r="D232" i="11"/>
  <c r="E232" i="11"/>
  <c r="L457" i="11"/>
  <c r="D285" i="11"/>
  <c r="E285" i="11"/>
  <c r="E342" i="11"/>
  <c r="D342" i="11"/>
  <c r="D387" i="11"/>
  <c r="E387" i="11"/>
  <c r="E352" i="11"/>
  <c r="D352" i="11"/>
  <c r="D241" i="11"/>
  <c r="E241" i="11"/>
  <c r="D369" i="11"/>
  <c r="E369" i="11"/>
  <c r="D306" i="11"/>
  <c r="E306" i="11"/>
  <c r="D233" i="11"/>
  <c r="E233" i="11"/>
  <c r="E277" i="11"/>
  <c r="D277" i="11"/>
  <c r="D305" i="11"/>
  <c r="E305" i="11"/>
  <c r="D374" i="11"/>
  <c r="E374" i="11"/>
  <c r="E328" i="11"/>
  <c r="D328" i="11"/>
  <c r="E446" i="11"/>
  <c r="D446" i="11"/>
  <c r="Z457" i="11"/>
  <c r="D297" i="11"/>
  <c r="E297" i="11"/>
  <c r="D259" i="11"/>
  <c r="E259" i="11"/>
  <c r="Y457" i="11"/>
  <c r="U457" i="11"/>
  <c r="AT457" i="11"/>
  <c r="D353" i="11"/>
  <c r="E353" i="11"/>
  <c r="D243" i="11"/>
  <c r="E243" i="11"/>
  <c r="E450" i="11"/>
  <c r="D450" i="11"/>
  <c r="D291" i="11"/>
  <c r="E291" i="11"/>
  <c r="E408" i="11"/>
  <c r="D408" i="11"/>
  <c r="D455" i="11"/>
  <c r="E455" i="11"/>
  <c r="E416" i="11"/>
  <c r="D416" i="11"/>
  <c r="E235" i="11"/>
  <c r="D235" i="11"/>
  <c r="D376" i="11"/>
  <c r="E376" i="11"/>
  <c r="E418" i="11"/>
  <c r="D418" i="11"/>
  <c r="D286" i="11"/>
  <c r="E286" i="11"/>
  <c r="D303" i="11"/>
  <c r="E303" i="11"/>
  <c r="E443" i="11"/>
  <c r="D443" i="11"/>
  <c r="D226" i="11"/>
  <c r="E226" i="11"/>
  <c r="D394" i="11"/>
  <c r="E394" i="11"/>
  <c r="J457" i="11"/>
  <c r="D276" i="11"/>
  <c r="E276" i="11"/>
  <c r="D230" i="11"/>
  <c r="E230" i="11"/>
  <c r="E218" i="11"/>
  <c r="D218" i="11"/>
  <c r="E223" i="11"/>
  <c r="D223" i="11"/>
  <c r="E330" i="11"/>
  <c r="D330" i="11"/>
  <c r="D268" i="11"/>
  <c r="E268" i="11"/>
  <c r="D206" i="11"/>
  <c r="BK457" i="11"/>
  <c r="E301" i="11"/>
  <c r="D301" i="11"/>
  <c r="E266" i="11"/>
  <c r="D266" i="11"/>
  <c r="E294" i="11"/>
  <c r="D294" i="11"/>
  <c r="D307" i="11"/>
  <c r="E307" i="11"/>
  <c r="E371" i="11"/>
  <c r="D371" i="11"/>
  <c r="E205" i="11"/>
  <c r="D205" i="11"/>
  <c r="E421" i="11"/>
  <c r="D421" i="11"/>
  <c r="E437" i="11"/>
  <c r="D437" i="11"/>
  <c r="E317" i="11"/>
  <c r="D317" i="11"/>
  <c r="O457" i="11"/>
  <c r="E348" i="11"/>
  <c r="D348" i="11"/>
  <c r="E216" i="11"/>
  <c r="D216" i="11"/>
  <c r="D215" i="11"/>
  <c r="E215" i="11"/>
  <c r="E434" i="11"/>
  <c r="D434" i="11"/>
  <c r="W457" i="11"/>
  <c r="AM457" i="11"/>
  <c r="E316" i="11"/>
  <c r="D316" i="11"/>
  <c r="M457" i="11"/>
  <c r="D318" i="11"/>
  <c r="E318" i="11"/>
  <c r="E441" i="11"/>
  <c r="D441" i="11"/>
  <c r="D359" i="11"/>
  <c r="E359" i="11"/>
  <c r="D319" i="11"/>
  <c r="E319" i="11"/>
  <c r="E401" i="11"/>
  <c r="D401" i="11"/>
  <c r="AN457" i="11"/>
  <c r="AS457" i="11"/>
  <c r="E449" i="11"/>
  <c r="D449" i="11"/>
  <c r="D378" i="11"/>
  <c r="E378" i="11"/>
  <c r="D372" i="11"/>
  <c r="E372" i="11"/>
  <c r="E261" i="11"/>
  <c r="D261" i="11"/>
  <c r="D392" i="11"/>
  <c r="E392" i="11"/>
  <c r="D240" i="11"/>
  <c r="E240" i="11"/>
  <c r="D209" i="11"/>
  <c r="D361" i="11"/>
  <c r="E361" i="11"/>
  <c r="E225" i="11"/>
  <c r="D346" i="11"/>
  <c r="E346" i="11"/>
  <c r="D428" i="11"/>
  <c r="E428" i="11"/>
  <c r="E244" i="11"/>
  <c r="D244" i="11"/>
  <c r="E288" i="11"/>
  <c r="D288" i="11"/>
  <c r="D281" i="11"/>
  <c r="E281" i="11"/>
  <c r="D426" i="11"/>
  <c r="E426" i="11"/>
  <c r="D314" i="11"/>
  <c r="E314" i="11"/>
  <c r="E430" i="11"/>
  <c r="D430" i="11"/>
  <c r="BM457" i="11"/>
  <c r="E236" i="11"/>
  <c r="D236" i="11"/>
  <c r="E390" i="11"/>
  <c r="D390" i="11"/>
  <c r="D334" i="11"/>
  <c r="E334" i="11"/>
  <c r="I457" i="11"/>
  <c r="D403" i="11"/>
  <c r="E403" i="11"/>
  <c r="E219" i="11"/>
  <c r="D219" i="11"/>
  <c r="E204" i="11"/>
  <c r="D204" i="11"/>
  <c r="D410" i="11"/>
  <c r="E410" i="11"/>
  <c r="BA457" i="11"/>
  <c r="AQ457" i="11"/>
  <c r="AO457" i="11"/>
  <c r="D424" i="11"/>
  <c r="E424" i="11"/>
  <c r="BG457" i="11"/>
  <c r="D257" i="11"/>
  <c r="E257" i="11"/>
  <c r="BD457" i="11"/>
  <c r="D452" i="11"/>
  <c r="D414" i="11"/>
  <c r="E414" i="11"/>
  <c r="D308" i="11"/>
  <c r="E308" i="11"/>
  <c r="D347" i="11"/>
  <c r="E347" i="11"/>
  <c r="D349" i="11"/>
  <c r="E349" i="11"/>
  <c r="E453" i="11"/>
  <c r="D453" i="11"/>
  <c r="D436" i="11"/>
  <c r="E436" i="11"/>
  <c r="E329" i="11"/>
  <c r="D329" i="11"/>
  <c r="D431" i="11"/>
  <c r="E431" i="11"/>
  <c r="D295" i="11"/>
  <c r="E295" i="11"/>
  <c r="D264" i="11"/>
  <c r="E264" i="11"/>
  <c r="D332" i="11"/>
  <c r="E332" i="11"/>
  <c r="D287" i="11"/>
  <c r="E287" i="11"/>
  <c r="D229" i="11"/>
  <c r="E229" i="11"/>
  <c r="E245" i="11"/>
  <c r="D245" i="11"/>
  <c r="D363" i="11"/>
  <c r="E363" i="11"/>
  <c r="D227" i="11"/>
  <c r="E227" i="11"/>
  <c r="D338" i="11"/>
  <c r="E338" i="11"/>
  <c r="D296" i="11"/>
  <c r="E296" i="11"/>
  <c r="E365" i="11"/>
  <c r="D365" i="11"/>
  <c r="E208" i="11"/>
  <c r="D208" i="11"/>
  <c r="AJ457" i="11"/>
  <c r="D267" i="11"/>
  <c r="E267" i="11"/>
  <c r="AR457" i="11"/>
  <c r="D269" i="11"/>
  <c r="E269" i="11"/>
  <c r="AK457" i="11"/>
  <c r="E283" i="11"/>
  <c r="D283" i="11"/>
  <c r="E249" i="11"/>
  <c r="D249" i="11"/>
  <c r="E325" i="11"/>
  <c r="D325" i="11"/>
  <c r="BI457" i="11"/>
  <c r="E356" i="11"/>
  <c r="D356" i="11"/>
  <c r="AH457" i="11"/>
  <c r="D393" i="11"/>
  <c r="E393" i="11"/>
  <c r="D221" i="11"/>
  <c r="E221" i="11"/>
  <c r="E253" i="11"/>
  <c r="D253" i="11"/>
  <c r="D336" i="11"/>
  <c r="E336" i="11"/>
  <c r="D228" i="11"/>
  <c r="E228" i="11"/>
  <c r="E250" i="11"/>
  <c r="D250" i="11"/>
  <c r="E398" i="11"/>
  <c r="D398" i="11"/>
  <c r="E454" i="11"/>
  <c r="D454" i="11"/>
  <c r="D300" i="11"/>
  <c r="E300" i="11"/>
  <c r="D255" i="11"/>
  <c r="E255" i="11"/>
  <c r="E275" i="11"/>
  <c r="D275" i="11"/>
  <c r="E388" i="11"/>
  <c r="D388" i="11"/>
  <c r="E419" i="11"/>
  <c r="D419" i="11"/>
  <c r="E272" i="11"/>
  <c r="D272" i="11"/>
  <c r="D211" i="11"/>
  <c r="E211" i="11"/>
  <c r="D389" i="11"/>
  <c r="E389" i="11"/>
  <c r="D405" i="11"/>
  <c r="E405" i="11"/>
  <c r="E238" i="11"/>
  <c r="D238" i="11"/>
  <c r="E210" i="11"/>
  <c r="D210" i="11"/>
  <c r="D258" i="11"/>
  <c r="E258" i="11"/>
  <c r="D345" i="11"/>
  <c r="E345" i="11"/>
  <c r="AX457" i="11"/>
  <c r="E280" i="11"/>
  <c r="D280" i="11"/>
  <c r="E262" i="11"/>
  <c r="D262" i="11"/>
  <c r="D335" i="11"/>
  <c r="E335" i="11"/>
  <c r="E231" i="11"/>
  <c r="D231" i="11"/>
  <c r="E212" i="11"/>
  <c r="D212" i="11"/>
  <c r="E360" i="11"/>
  <c r="D360" i="11"/>
  <c r="E402" i="11"/>
  <c r="D402" i="11"/>
  <c r="D320" i="11"/>
  <c r="E320" i="11"/>
  <c r="D425" i="11"/>
  <c r="E425" i="11"/>
  <c r="D362" i="11"/>
  <c r="E362" i="11"/>
  <c r="E422" i="11"/>
  <c r="D422" i="11"/>
  <c r="D207" i="11"/>
  <c r="E207" i="11"/>
  <c r="D354" i="11"/>
  <c r="E354" i="11"/>
  <c r="E279" i="11"/>
  <c r="D279" i="11"/>
  <c r="AA457" i="11"/>
  <c r="BH457" i="11"/>
  <c r="D351" i="11"/>
  <c r="E351" i="11"/>
  <c r="E224" i="11"/>
  <c r="D224" i="11"/>
  <c r="E333" i="11"/>
  <c r="D333" i="11"/>
  <c r="E299" i="11"/>
  <c r="D299" i="11"/>
  <c r="E326" i="11"/>
  <c r="D326" i="11"/>
  <c r="E256" i="11"/>
  <c r="D256" i="11"/>
  <c r="D364" i="11"/>
  <c r="E364" i="11"/>
  <c r="E206" i="11"/>
  <c r="E344" i="11"/>
  <c r="D344" i="11"/>
  <c r="Q457" i="11"/>
  <c r="D447" i="11"/>
  <c r="E447" i="11"/>
  <c r="E340" i="11"/>
  <c r="D340" i="11"/>
  <c r="D278" i="11"/>
  <c r="E278" i="11"/>
  <c r="E321" i="11"/>
  <c r="D321" i="11"/>
  <c r="E246" i="11"/>
  <c r="D246" i="11"/>
  <c r="E254" i="11"/>
  <c r="D254" i="11"/>
  <c r="D274" i="11"/>
  <c r="E274" i="11"/>
  <c r="D263" i="11"/>
  <c r="E263" i="11"/>
  <c r="E442" i="11"/>
  <c r="D442" i="11"/>
  <c r="E339" i="11"/>
  <c r="D339" i="11"/>
  <c r="E290" i="11"/>
  <c r="D290" i="11"/>
  <c r="E367" i="11"/>
  <c r="D367" i="11"/>
  <c r="D341" i="11"/>
  <c r="E341" i="11"/>
  <c r="D324" i="11"/>
  <c r="E324" i="11"/>
  <c r="E251" i="11"/>
  <c r="D251" i="11"/>
  <c r="E337" i="11"/>
  <c r="D337" i="11"/>
  <c r="E382" i="11"/>
  <c r="D382" i="11"/>
  <c r="D298" i="11"/>
  <c r="E298" i="11"/>
  <c r="D411" i="11"/>
  <c r="E411" i="11"/>
  <c r="E407" i="11"/>
  <c r="D407" i="11"/>
  <c r="AG457" i="11"/>
  <c r="D271" i="11"/>
  <c r="E271" i="11"/>
  <c r="D323" i="11"/>
  <c r="E323" i="11"/>
  <c r="E331" i="11"/>
  <c r="D331" i="11"/>
  <c r="E270" i="11"/>
  <c r="D270" i="11"/>
  <c r="E373" i="11"/>
  <c r="D373" i="11"/>
  <c r="D415" i="11"/>
  <c r="E415" i="11"/>
  <c r="D312" i="11"/>
  <c r="E312" i="11"/>
  <c r="D444" i="11"/>
  <c r="D375" i="11"/>
  <c r="E375" i="11"/>
  <c r="E350" i="11"/>
  <c r="D350" i="11"/>
  <c r="D379" i="11"/>
  <c r="E379" i="11"/>
  <c r="E381" i="11"/>
  <c r="D381" i="11"/>
  <c r="D396" i="11"/>
  <c r="E396" i="11"/>
  <c r="E370" i="11"/>
  <c r="D370" i="11"/>
  <c r="D225" i="11"/>
  <c r="S457" i="11"/>
  <c r="X457" i="11"/>
  <c r="D380" i="11"/>
  <c r="E380" i="11"/>
  <c r="E304" i="11"/>
  <c r="D304" i="11"/>
  <c r="E222" i="11"/>
  <c r="D222" i="11"/>
  <c r="D315" i="11"/>
  <c r="E315" i="11"/>
  <c r="D313" i="11"/>
  <c r="E313" i="11"/>
  <c r="D252" i="11"/>
  <c r="E252" i="11"/>
  <c r="E220" i="11"/>
  <c r="D220" i="11"/>
  <c r="E213" i="11"/>
  <c r="D213" i="11"/>
  <c r="E214" i="11"/>
  <c r="D214" i="11"/>
  <c r="E265" i="11"/>
  <c r="D265" i="11"/>
  <c r="D234" i="11"/>
  <c r="E234" i="11"/>
  <c r="D399" i="11"/>
  <c r="E399" i="11"/>
  <c r="E237" i="11"/>
  <c r="D237" i="11"/>
  <c r="D435" i="11"/>
  <c r="E435" i="11"/>
  <c r="D309" i="11"/>
  <c r="E309" i="11"/>
  <c r="D420" i="11"/>
  <c r="E420" i="11"/>
  <c r="D322" i="11"/>
  <c r="E322" i="11"/>
  <c r="E440" i="11"/>
  <c r="D440" i="11"/>
  <c r="AC457" i="11"/>
  <c r="BF457" i="11"/>
  <c r="E445" i="11"/>
  <c r="D445" i="11"/>
  <c r="D327" i="11"/>
  <c r="E327" i="11"/>
  <c r="E412" i="11"/>
  <c r="D412" i="11"/>
  <c r="E247" i="11"/>
  <c r="D247" i="11"/>
  <c r="D397" i="11"/>
  <c r="E397" i="11"/>
  <c r="D217" i="11"/>
  <c r="E217" i="11"/>
  <c r="D358" i="11"/>
  <c r="E358" i="11"/>
  <c r="D400" i="11"/>
  <c r="E400" i="11"/>
  <c r="D311" i="11"/>
  <c r="E311" i="11"/>
  <c r="E385" i="11"/>
  <c r="D385" i="11"/>
  <c r="E377" i="11"/>
  <c r="D377" i="11"/>
  <c r="D404" i="11"/>
  <c r="E404" i="11"/>
  <c r="E395" i="11"/>
  <c r="D395" i="11"/>
  <c r="E302" i="11"/>
  <c r="D302" i="11"/>
  <c r="E209" i="11"/>
  <c r="E391" i="11"/>
  <c r="D391" i="11"/>
  <c r="E368" i="11"/>
  <c r="D368" i="11"/>
  <c r="D366" i="11"/>
  <c r="E366" i="11"/>
  <c r="P457" i="11"/>
  <c r="BC457" i="11"/>
  <c r="E284" i="11"/>
  <c r="D284" i="11"/>
  <c r="BE457" i="11"/>
  <c r="E357" i="11"/>
  <c r="D357" i="11"/>
  <c r="BJ457" i="11"/>
  <c r="D310" i="11"/>
  <c r="E310" i="11"/>
  <c r="D248" i="11"/>
  <c r="E248" i="11"/>
  <c r="N457" i="11"/>
  <c r="AV457" i="11"/>
  <c r="R457" i="11"/>
  <c r="D282" i="11"/>
  <c r="E282" i="11"/>
  <c r="E293" i="11"/>
  <c r="D293" i="11"/>
  <c r="D260" i="11"/>
  <c r="E260" i="11"/>
  <c r="D292" i="11"/>
  <c r="E292" i="11"/>
  <c r="E203" i="11"/>
  <c r="D203" i="11"/>
  <c r="G457" i="11"/>
  <c r="AD457" i="11"/>
  <c r="D451" i="11"/>
  <c r="E451" i="11"/>
  <c r="E438" i="11"/>
  <c r="D438" i="11"/>
  <c r="E242" i="11"/>
  <c r="D242" i="11"/>
  <c r="AE457" i="11"/>
  <c r="E406" i="11"/>
  <c r="D406" i="11"/>
  <c r="AB457" i="11"/>
  <c r="D417" i="11"/>
  <c r="E417" i="11"/>
  <c r="K457" i="11"/>
  <c r="E413" i="11"/>
  <c r="D413" i="11"/>
  <c r="D448" i="11"/>
  <c r="E448" i="11"/>
  <c r="BB457" i="11"/>
  <c r="D456" i="11"/>
  <c r="E456" i="11"/>
  <c r="BL457" i="11"/>
  <c r="D433" i="11"/>
  <c r="E433" i="11"/>
  <c r="AY457" i="11"/>
  <c r="E439" i="11"/>
  <c r="D439" i="11"/>
  <c r="T45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Vinicius Tanan Gregorio PRO-I</author>
  </authors>
  <commentList>
    <comment ref="G7" authorId="0" shapeId="0" xr:uid="{3FCD434F-68FA-437D-A0F3-BDF0FCA443FC}">
      <text>
        <r>
          <rPr>
            <b/>
            <sz val="9"/>
            <color indexed="81"/>
            <rFont val="Segoe UI"/>
            <family val="2"/>
          </rPr>
          <t>Zerado manualmente.
Entende-se que os feriados podem ser compensados em dias normais de trabalho.</t>
        </r>
      </text>
    </comment>
    <comment ref="G8" authorId="0" shapeId="0" xr:uid="{3AB2BDA7-B784-4146-A330-A5FF12CDAD55}">
      <text>
        <r>
          <rPr>
            <b/>
            <sz val="9"/>
            <color indexed="81"/>
            <rFont val="Segoe UI"/>
            <family val="2"/>
          </rPr>
          <t>Zerado manualmente.
Entende-se que os feriados podem ser compensados em dias normais de trabalho.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tc={590AC081-88C9-437C-AC02-2B0B4B3DA87E}</author>
    <author>tc={BAFD0B08-4896-47EC-8E89-62767B5795FF}</author>
    <author>tc={6974D438-008B-4A7F-814E-580410D4AB22}</author>
    <author>tc={6949244B-0F40-4630-8410-05F5C583B0CE}</author>
    <author>tc={18740B21-26C0-46F8-8654-E677DC2B2CD5}</author>
    <author>tc={4B517B7A-2566-427E-BAD7-7E29849C2BE5}</author>
    <author>tc={9B110ED9-7F7D-47F5-AB9B-DDB9C498040E}</author>
    <author>tc={C7091D48-349D-4868-A7E4-F4E58E30806F}</author>
    <author>tc={15FE57D1-F945-49FF-BC5F-E612DEDC0C40}</author>
    <author>tc={455DDFAF-1FB8-46DD-921C-FE4AFF3F1F74}</author>
    <author>tc={DF53C013-E5A9-4291-9B66-EA83F25C277D}</author>
    <author>tc={FC24E441-9EE8-42CB-BA5C-BF1A980230E2}</author>
    <author>tc={A80D5134-AF7D-4773-9D2D-AA7891E1FD4A}</author>
    <author>tc={43EA1918-5E9C-473A-B8EB-AD16C5DB6FCA}</author>
    <author>tc={A2E67F41-2D0F-4E59-9FAB-EF38626D649E}</author>
    <author>tc={1D2F349B-D1D3-428E-90BD-A663B9381B70}</author>
    <author>tc={C7DD500E-A829-423F-BE2B-0EA7A38CA3B2}</author>
    <author>tc={5819002F-EE95-4EAF-82FB-B1D54474DD3E}</author>
    <author>tc={5E189371-0257-4713-830F-53965E07F9F1}</author>
    <author>tc={EE4E3825-6C27-44ED-B04B-D12456E6F508}</author>
    <author>tc={AE4AB32F-81B2-4A8C-B2E0-9A7EFB4DE3CA}</author>
    <author>tc={1B6620CD-7347-46F2-B843-BB64666435BE}</author>
  </authors>
  <commentList>
    <comment ref="B2" authorId="0" shapeId="0" xr:uid="{590AC081-88C9-437C-AC02-2B0B4B3DA87E}">
      <text>
        <t>[Threaded comment]
Your version of Excel allows you to read this threaded comment; however, any edits to it will get removed if the file is opened in a newer version of Excel. Learn more: https://go.microsoft.com/fwlink/?linkid=870924
Comment:
    1- Bid - Vinculado aos serviços esporádicos orfertados e que não seguirá como contrato de gestão integrada (obra);
2-Obra -  Vinculado aos contratos de Gestão Integrada;
3-Serviços - Demais serviços exceto itens 1 e 2.</t>
      </text>
    </comment>
    <comment ref="K2" authorId="1" shapeId="0" xr:uid="{BAFD0B08-4896-47EC-8E89-62767B5795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Informar a Margem do Projeto </t>
      </text>
    </comment>
    <comment ref="L2" authorId="2" shapeId="0" xr:uid="{6974D438-008B-4A7F-814E-580410D4AB22}">
      <text>
        <t>[Threaded comment]
Your version of Excel allows you to read this threaded comment; however, any edits to it will get removed if the file is opened in a newer version of Excel. Learn more: https://go.microsoft.com/fwlink/?linkid=870924
Comment:
    34% = Alíquota de 25% IRPJ e 9% CSLL</t>
      </text>
    </comment>
    <comment ref="D5" authorId="3" shapeId="0" xr:uid="{6949244B-0F40-4630-8410-05F5C583B0CE}">
      <text>
        <t>[Threaded comment]
Your version of Excel allows you to read this threaded comment; however, any edits to it will get removed if the file is opened in a newer version of Excel. Learn more: https://go.microsoft.com/fwlink/?linkid=870924
Comment:
    Serviços de construção civil poderá ser por modalidades como por empreitada, por subempreitada e por administração</t>
      </text>
    </comment>
    <comment ref="G5" authorId="4" shapeId="0" xr:uid="{18740B21-26C0-46F8-8654-E677DC2B2CD5}">
      <text>
        <t>[Threaded comment]
Your version of Excel allows you to read this threaded comment; however, any edits to it will get removed if the file is opened in a newer version of Excel. Learn more: https://go.microsoft.com/fwlink/?linkid=870924
Comment:
    ISS devido no local onde o serviço foi efetivamente prestado.</t>
      </text>
    </comment>
    <comment ref="H5" authorId="5" shapeId="0" xr:uid="{4B517B7A-2566-427E-BAD7-7E29849C2BE5}">
      <text>
        <t>[Threaded comment]
Your version of Excel allows you to read this threaded comment; however, any edits to it will get removed if the file is opened in a newer version of Excel. Learn more: https://go.microsoft.com/fwlink/?linkid=870924
Comment:
    ISS devido no local onde o serviço foi efetivamente prestado.</t>
      </text>
    </comment>
    <comment ref="D6" authorId="6" shapeId="0" xr:uid="{9B110ED9-7F7D-47F5-AB9B-DDB9C498040E}">
      <text>
        <t>[Threaded comment]
Your version of Excel allows you to read this threaded comment; however, any edits to it will get removed if the file is opened in a newer version of Excel. Learn more: https://go.microsoft.com/fwlink/?linkid=870924
Comment:
    Serviços de construção civil poderá ser por modalidades como por empreitada, por subempreitada e por administração</t>
      </text>
    </comment>
    <comment ref="G6" authorId="7" shapeId="0" xr:uid="{C7091D48-349D-4868-A7E4-F4E58E30806F}">
      <text>
        <t>[Threaded comment]
Your version of Excel allows you to read this threaded comment; however, any edits to it will get removed if the file is opened in a newer version of Excel. Learn more: https://go.microsoft.com/fwlink/?linkid=870924
Comment:
    ISS devido no local onde o serviço foi efetivamente prestado.</t>
      </text>
    </comment>
    <comment ref="H6" authorId="8" shapeId="0" xr:uid="{15FE57D1-F945-49FF-BC5F-E612DEDC0C40}">
      <text>
        <t>[Threaded comment]
Your version of Excel allows you to read this threaded comment; however, any edits to it will get removed if the file is opened in a newer version of Excel. Learn more: https://go.microsoft.com/fwlink/?linkid=870924
Comment:
    ISS devido no local onde o serviço foi efetivamente prestado.</t>
      </text>
    </comment>
    <comment ref="D7" authorId="9" shapeId="0" xr:uid="{455DDFAF-1FB8-46DD-921C-FE4AFF3F1F74}">
      <text>
        <t>[Threaded comment]
Your version of Excel allows you to read this threaded comment; however, any edits to it will get removed if the file is opened in a newer version of Excel. Learn more: https://go.microsoft.com/fwlink/?linkid=870924
Comment:
    Serviços de construção civil poderá ser por modalidades como por empreitada, por subempreitada e por administração</t>
      </text>
    </comment>
    <comment ref="G7" authorId="10" shapeId="0" xr:uid="{DF53C013-E5A9-4291-9B66-EA83F25C277D}">
      <text>
        <t>[Threaded comment]
Your version of Excel allows you to read this threaded comment; however, any edits to it will get removed if the file is opened in a newer version of Excel. Learn more: https://go.microsoft.com/fwlink/?linkid=870924
Comment:
    ISS devido no local onde o serviço foi efetivamente prestado.</t>
      </text>
    </comment>
    <comment ref="H7" authorId="11" shapeId="0" xr:uid="{FC24E441-9EE8-42CB-BA5C-BF1A980230E2}">
      <text>
        <t>[Threaded comment]
Your version of Excel allows you to read this threaded comment; however, any edits to it will get removed if the file is opened in a newer version of Excel. Learn more: https://go.microsoft.com/fwlink/?linkid=870924
Comment:
    ISS devido no local onde o serviço foi efetivamente prestado.</t>
      </text>
    </comment>
    <comment ref="D8" authorId="12" shapeId="0" xr:uid="{A80D5134-AF7D-4773-9D2D-AA7891E1FD4A}">
      <text>
        <t>[Threaded comment]
Your version of Excel allows you to read this threaded comment; however, any edits to it will get removed if the file is opened in a newer version of Excel. Learn more: https://go.microsoft.com/fwlink/?linkid=870924
Comment:
    Serviços de construção civil poderá ser por modalidades como por empreitada, por subempreitada e por administração</t>
      </text>
    </comment>
    <comment ref="G8" authorId="13" shapeId="0" xr:uid="{43EA1918-5E9C-473A-B8EB-AD16C5DB6FCA}">
      <text>
        <t>[Threaded comment]
Your version of Excel allows you to read this threaded comment; however, any edits to it will get removed if the file is opened in a newer version of Excel. Learn more: https://go.microsoft.com/fwlink/?linkid=870924
Comment:
    ISS devido no local onde o serviço foi efetivamente prestado.</t>
      </text>
    </comment>
    <comment ref="H8" authorId="14" shapeId="0" xr:uid="{A2E67F41-2D0F-4E59-9FAB-EF38626D649E}">
      <text>
        <t>[Threaded comment]
Your version of Excel allows you to read this threaded comment; however, any edits to it will get removed if the file is opened in a newer version of Excel. Learn more: https://go.microsoft.com/fwlink/?linkid=870924
Comment:
    ISS devido no local onde o serviço foi efetivamente prestado.</t>
      </text>
    </comment>
    <comment ref="D9" authorId="15" shapeId="0" xr:uid="{1D2F349B-D1D3-428E-90BD-A663B9381B70}">
      <text>
        <t>[Threaded comment]
Your version of Excel allows you to read this threaded comment; however, any edits to it will get removed if the file is opened in a newer version of Excel. Learn more: https://go.microsoft.com/fwlink/?linkid=870924
Comment:
    Serviços de construção civil poderá ser por modalidades como por empreitada, por subempreitada e por administração</t>
      </text>
    </comment>
    <comment ref="G9" authorId="16" shapeId="0" xr:uid="{C7DD500E-A829-423F-BE2B-0EA7A38CA3B2}">
      <text>
        <t>[Threaded comment]
Your version of Excel allows you to read this threaded comment; however, any edits to it will get removed if the file is opened in a newer version of Excel. Learn more: https://go.microsoft.com/fwlink/?linkid=870924
Comment:
    ISS devido no local onde o serviço foi efetivamente prestado.</t>
      </text>
    </comment>
    <comment ref="H9" authorId="17" shapeId="0" xr:uid="{5819002F-EE95-4EAF-82FB-B1D54474DD3E}">
      <text>
        <t>[Threaded comment]
Your version of Excel allows you to read this threaded comment; however, any edits to it will get removed if the file is opened in a newer version of Excel. Learn more: https://go.microsoft.com/fwlink/?linkid=870924
Comment:
    ISS devido no local onde o serviço foi efetivamente prestado.</t>
      </text>
    </comment>
    <comment ref="G14" authorId="18" shapeId="0" xr:uid="{5E189371-0257-4713-830F-53965E07F9F1}">
      <text>
        <t>[Threaded comment]
Your version of Excel allows you to read this threaded comment; however, any edits to it will get removed if the file is opened in a newer version of Excel. Learn more: https://go.microsoft.com/fwlink/?linkid=870924
Comment:
    ISS devido no local onde o serviço foi efetivamente prestado.</t>
      </text>
    </comment>
    <comment ref="H14" authorId="19" shapeId="0" xr:uid="{EE4E3825-6C27-44ED-B04B-D12456E6F508}">
      <text>
        <t>[Threaded comment]
Your version of Excel allows you to read this threaded comment; however, any edits to it will get removed if the file is opened in a newer version of Excel. Learn more: https://go.microsoft.com/fwlink/?linkid=870924
Comment:
    ISS devido no local onde o serviço foi efetivamente prestado.</t>
      </text>
    </comment>
    <comment ref="G15" authorId="20" shapeId="0" xr:uid="{AE4AB32F-81B2-4A8C-B2E0-9A7EFB4DE3CA}">
      <text>
        <t>[Threaded comment]
Your version of Excel allows you to read this threaded comment; however, any edits to it will get removed if the file is opened in a newer version of Excel. Learn more: https://go.microsoft.com/fwlink/?linkid=870924
Comment:
    ISS devido no local onde o serviço foi efetivamente prestado.</t>
      </text>
    </comment>
    <comment ref="H15" authorId="21" shapeId="0" xr:uid="{1B6620CD-7347-46F2-B843-BB64666435BE}">
      <text>
        <t>[Threaded comment]
Your version of Excel allows you to read this threaded comment; however, any edits to it will get removed if the file is opened in a newer version of Excel. Learn more: https://go.microsoft.com/fwlink/?linkid=870924
Comment:
    ISS devido no local onde o serviço foi efetivamente prestado.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<sst xmlns="http://schemas.openxmlformats.org/spreadsheetml/2006/main" count="7742" uniqueCount="2166">
  <si>
    <t>Dados Básicos do Projeto</t>
  </si>
  <si>
    <t>Cliente</t>
  </si>
  <si>
    <t>FRIGELAR</t>
  </si>
  <si>
    <t>Custos
Serviços</t>
  </si>
  <si>
    <t>Grupo de Custo</t>
  </si>
  <si>
    <t>Valor</t>
  </si>
  <si>
    <t>% Custo</t>
  </si>
  <si>
    <t>% PV</t>
  </si>
  <si>
    <t>Venda</t>
  </si>
  <si>
    <t>Preço de Venda</t>
  </si>
  <si>
    <t>Parâmetros de Mão de Obra Precificada</t>
  </si>
  <si>
    <t>Mão de Obra Indireta</t>
  </si>
  <si>
    <t>Serviços</t>
  </si>
  <si>
    <t>Projeto</t>
  </si>
  <si>
    <t>FRIGELAR_GERENCIAMENTO DE OBRA</t>
  </si>
  <si>
    <t>Mão de Obra Direta</t>
  </si>
  <si>
    <t>Materiais para revenda</t>
  </si>
  <si>
    <t>Venda M.O.</t>
  </si>
  <si>
    <t>R$ Homem x mês</t>
  </si>
  <si>
    <t>Mão de Obra Direta (rotina)</t>
  </si>
  <si>
    <t>Materiais de Aplicação</t>
  </si>
  <si>
    <t>R$ HH Produtivo</t>
  </si>
  <si>
    <t>Unidade</t>
  </si>
  <si>
    <t>CABREÚVA</t>
  </si>
  <si>
    <t>Encargos Sociais - Mensalistas</t>
  </si>
  <si>
    <t>Faturamento Direto</t>
  </si>
  <si>
    <t>R$ HH Total</t>
  </si>
  <si>
    <t>Encargos Sociais - Horistas</t>
  </si>
  <si>
    <t>Serviço Terceirizado</t>
  </si>
  <si>
    <t>Localidade</t>
  </si>
  <si>
    <t>Município</t>
  </si>
  <si>
    <t>UF</t>
  </si>
  <si>
    <t>Mobilização/ Integração de Mão de Obra</t>
  </si>
  <si>
    <t>Horas Trabalhadas</t>
  </si>
  <si>
    <t>Horas Normais MOI</t>
  </si>
  <si>
    <t>SP</t>
  </si>
  <si>
    <t>Desmobilização de Mão de Obra</t>
  </si>
  <si>
    <t>Horas Extras MOI</t>
  </si>
  <si>
    <t>Canteiro de Obras, Infraestrutura de Apoio e Alojamento</t>
  </si>
  <si>
    <t>Horas Totais MOI</t>
  </si>
  <si>
    <t>Mês e ano de início</t>
  </si>
  <si>
    <t>Benefícios</t>
  </si>
  <si>
    <t>Exames Médicos e Gestão da Saúde Ocupacional</t>
  </si>
  <si>
    <t>Preço por Mês</t>
  </si>
  <si>
    <t>Horas Normais MOD</t>
  </si>
  <si>
    <t>Prazos</t>
  </si>
  <si>
    <t>Prazo do Contrato</t>
  </si>
  <si>
    <t>meses</t>
  </si>
  <si>
    <t>EPI's - Equipamentos de Proteção Individual</t>
  </si>
  <si>
    <t>Horas Extras MOD</t>
  </si>
  <si>
    <t>Prazo de Execução</t>
  </si>
  <si>
    <t>EPC's - Equipamentos de Proteção Coletiva</t>
  </si>
  <si>
    <t>Horas Totais MOD</t>
  </si>
  <si>
    <t>Carga horária mês</t>
  </si>
  <si>
    <t>horas</t>
  </si>
  <si>
    <t>Treinamentos</t>
  </si>
  <si>
    <t>Dias trabalhados no mês</t>
  </si>
  <si>
    <t>dias/mês</t>
  </si>
  <si>
    <t>Viagens e Hospedagem</t>
  </si>
  <si>
    <t>Horas Totais MO</t>
  </si>
  <si>
    <t>Carga horária diária</t>
  </si>
  <si>
    <t>horas/dia</t>
  </si>
  <si>
    <t>Equipamentos e Ferramentas</t>
  </si>
  <si>
    <t>Equipamentos de Informática e Softwares</t>
  </si>
  <si>
    <t>Relações de Mão de Obra</t>
  </si>
  <si>
    <t>MOI (Máxima)</t>
  </si>
  <si>
    <t>Acordo Coletivo</t>
  </si>
  <si>
    <t>Tarifa Banco de Horas</t>
  </si>
  <si>
    <t>%</t>
  </si>
  <si>
    <t>Veículos leves e Fretamento</t>
  </si>
  <si>
    <t>MOD (Máxima)</t>
  </si>
  <si>
    <t>Tarifa Hora Extra 1</t>
  </si>
  <si>
    <t>Veículos e Equipamentos Pesados</t>
  </si>
  <si>
    <t>MO Total (Máxima)</t>
  </si>
  <si>
    <t>Tarifa Hora Extra 2</t>
  </si>
  <si>
    <t>Materiais de Consumo</t>
  </si>
  <si>
    <t>Taxa de reajuste (dissídio)</t>
  </si>
  <si>
    <t>Materiais de Aplicação Gerais</t>
  </si>
  <si>
    <t>% MOI (Máxima)</t>
  </si>
  <si>
    <t>Carga horária base mensal</t>
  </si>
  <si>
    <t>horas/mês</t>
  </si>
  <si>
    <t>Serviços Terceirizados</t>
  </si>
  <si>
    <t>% MOD (Máxima)</t>
  </si>
  <si>
    <t>Empreitada</t>
  </si>
  <si>
    <t>Faturamento Indireto</t>
  </si>
  <si>
    <t>Locações</t>
  </si>
  <si>
    <t>Resultados e Análises</t>
  </si>
  <si>
    <t>Mobilização e Desmobilização de Recursos</t>
  </si>
  <si>
    <t>Margem</t>
  </si>
  <si>
    <t>MOI/MOD (Média)</t>
  </si>
  <si>
    <t>Overhead</t>
  </si>
  <si>
    <t>Riscos e Contingências</t>
  </si>
  <si>
    <t>Taxa de negociação</t>
  </si>
  <si>
    <t>Outros Custos</t>
  </si>
  <si>
    <t>Custo Financeiro</t>
  </si>
  <si>
    <t>Custo Total - Serviços</t>
  </si>
  <si>
    <t>Valor Total - Margem</t>
  </si>
  <si>
    <t>Impostos
(serviços)</t>
  </si>
  <si>
    <t>PIS</t>
  </si>
  <si>
    <t>Custos
Materiais/ Terceiros</t>
  </si>
  <si>
    <t>COFINS</t>
  </si>
  <si>
    <t>ISSQN</t>
  </si>
  <si>
    <t>CPRB</t>
  </si>
  <si>
    <t>Custo Total - Materiais/ Terceiros</t>
  </si>
  <si>
    <r>
      <t xml:space="preserve">BDI
</t>
    </r>
    <r>
      <rPr>
        <b/>
        <sz val="8"/>
        <color theme="0"/>
        <rFont val="Iter"/>
      </rPr>
      <t>Multiplicador sobre o custo</t>
    </r>
  </si>
  <si>
    <t>Impostos sobre Materiais</t>
  </si>
  <si>
    <t>Custo Total</t>
  </si>
  <si>
    <t>Valor Total - Impostos</t>
  </si>
  <si>
    <t>A</t>
  </si>
  <si>
    <t>Receita Total</t>
  </si>
  <si>
    <t>B</t>
  </si>
  <si>
    <t>Impostos de Serviços</t>
  </si>
  <si>
    <t>C</t>
  </si>
  <si>
    <t>Impostos de Materiais</t>
  </si>
  <si>
    <t>D</t>
  </si>
  <si>
    <t>Custos de Serviços</t>
  </si>
  <si>
    <t>E</t>
  </si>
  <si>
    <t>Custos de Materiais</t>
  </si>
  <si>
    <t>F</t>
  </si>
  <si>
    <t>Margem Bruta</t>
  </si>
  <si>
    <t>G</t>
  </si>
  <si>
    <t>H</t>
  </si>
  <si>
    <t>I</t>
  </si>
  <si>
    <t>Margem Líquida</t>
  </si>
  <si>
    <t>Gráficos Técnicos</t>
  </si>
  <si>
    <t>Avanço Físico - Curva S</t>
  </si>
  <si>
    <t>Histograma de Mão de Obra Direta</t>
  </si>
  <si>
    <t>Histograma de Mão de Obra Indireta</t>
  </si>
  <si>
    <t>Histograma de Mão de Obra</t>
  </si>
  <si>
    <t>Gráficos de Custos e Resultados</t>
  </si>
  <si>
    <t>Custos</t>
  </si>
  <si>
    <t>Materiais</t>
  </si>
  <si>
    <t>Resultado</t>
  </si>
  <si>
    <t>Peso de Custo - Serviços e Materiais</t>
  </si>
  <si>
    <t>Impostos</t>
  </si>
  <si>
    <t>Gráficos Comerciais</t>
  </si>
  <si>
    <t>Evolução de Faturamento</t>
  </si>
  <si>
    <t>Faturamento mês (x 1000)</t>
  </si>
  <si>
    <t>Fluxo de Caixa Previsto</t>
  </si>
  <si>
    <t>Receita Bruta</t>
  </si>
  <si>
    <t>HISTOGRAMA</t>
  </si>
  <si>
    <t>TERRAPLENAGEM</t>
  </si>
  <si>
    <t>EXECUÇÃO DA OBRA</t>
  </si>
  <si>
    <t>PRÉ-OBRA</t>
  </si>
  <si>
    <t>EQUIPE</t>
  </si>
  <si>
    <t>Prazo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</si>
  <si>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</si>
  <si>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</si>
  <si>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</si>
  <si>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</si>
  <si>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</si>
  <si>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</si>
  <si>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</si>
  <si>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</si>
  <si>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</si>
  <si>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</si>
  <si>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</si>
  <si>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</si>
  <si>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</si>
  <si>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</si>
  <si>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</si>
  <si>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</si>
  <si>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</si>
  <si>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CÓD</t>
  </si>
  <si>
    <t>GERENCIAMENTO DE OBRA</t>
  </si>
  <si>
    <t>Equipe_01</t>
  </si>
  <si>
    <t>Equipe_02</t>
  </si>
  <si>
    <t>Equipe_10</t>
  </si>
  <si>
    <t>Equipe_03</t>
  </si>
  <si>
    <t>Equipe_04</t>
  </si>
  <si>
    <t>Equipe_05</t>
  </si>
  <si>
    <t>Equipe_20</t>
  </si>
  <si>
    <t>Equipe_06</t>
  </si>
  <si>
    <t>Equipe_07</t>
  </si>
  <si>
    <t>Equipe_08</t>
  </si>
  <si>
    <t>Equipe_09</t>
  </si>
  <si>
    <t>Equipe_11</t>
  </si>
  <si>
    <t>Equipe_12</t>
  </si>
  <si>
    <t>Equipe_13</t>
  </si>
  <si>
    <t>Equipe_14</t>
  </si>
  <si>
    <t>Equipe_15</t>
  </si>
  <si>
    <t>PRÉ-OBRA: APOIO À FASE DE CONCORRÊNCIA / SUPRIMENTOS</t>
  </si>
  <si>
    <t>Equipe_16</t>
  </si>
  <si>
    <t>Equipe_17</t>
  </si>
  <si>
    <t>Equipe_18</t>
  </si>
  <si>
    <t>Equipe_19</t>
  </si>
  <si>
    <t xml:space="preserve">TOTAL GERAL </t>
  </si>
  <si>
    <t>CURVA DE DESEMBOLSO</t>
  </si>
  <si>
    <t>EQUIPE (DEDICALÇAO INTEGRAL)</t>
  </si>
  <si>
    <t>VALOR TOTAL R$</t>
  </si>
  <si>
    <t>TOTAL ACUMULADO</t>
  </si>
  <si>
    <t>Valor Da obra</t>
  </si>
  <si>
    <t>Pré-Obra</t>
  </si>
  <si>
    <t>Terraplenagem</t>
  </si>
  <si>
    <t>Obra</t>
  </si>
  <si>
    <t>Instalação dos equipamentos</t>
  </si>
  <si>
    <t>Item</t>
  </si>
  <si>
    <t>Descrição da Equipe</t>
  </si>
  <si>
    <t>Sigla</t>
  </si>
  <si>
    <t>Disciplina</t>
  </si>
  <si>
    <t>Improd. por Equipe</t>
  </si>
  <si>
    <t>HH Total por equipe</t>
  </si>
  <si>
    <t>Custo Total por Equipe</t>
  </si>
  <si>
    <t>Custo da Hora por Disciplina</t>
  </si>
  <si>
    <t>Equipe01</t>
  </si>
  <si>
    <t>PROJETO</t>
  </si>
  <si>
    <t>Equipe02</t>
  </si>
  <si>
    <t>PERMITS</t>
  </si>
  <si>
    <t>Equipe03</t>
  </si>
  <si>
    <t>GERENCIMENTO</t>
  </si>
  <si>
    <t>Equipe04</t>
  </si>
  <si>
    <t>SUPRIMENTOS</t>
  </si>
  <si>
    <t>Equipe05</t>
  </si>
  <si>
    <t>ORÇAMENTOS</t>
  </si>
  <si>
    <t>Equipe06</t>
  </si>
  <si>
    <t>Equipe07</t>
  </si>
  <si>
    <t>Equipe08</t>
  </si>
  <si>
    <t>Equipe09</t>
  </si>
  <si>
    <t>Equipe10</t>
  </si>
  <si>
    <t>Equipe11</t>
  </si>
  <si>
    <t>Equipe12</t>
  </si>
  <si>
    <t>Equipe13</t>
  </si>
  <si>
    <t>Equipe14</t>
  </si>
  <si>
    <t>Equipe15</t>
  </si>
  <si>
    <t>Equipe16</t>
  </si>
  <si>
    <t>Equipe17</t>
  </si>
  <si>
    <t>Equipe18</t>
  </si>
  <si>
    <t>Equipe19</t>
  </si>
  <si>
    <t>Equipe20</t>
  </si>
  <si>
    <t>Descrição das Atividades/ Itens</t>
  </si>
  <si>
    <t>Produtividade</t>
  </si>
  <si>
    <t>Valor de Serviços</t>
  </si>
  <si>
    <t>Valores de Serviços Próprios</t>
  </si>
  <si>
    <t>Suprimentos</t>
  </si>
  <si>
    <t>Valores de Materiais</t>
  </si>
  <si>
    <t>Impostos Totais</t>
  </si>
  <si>
    <t>Memória de Cálculo</t>
  </si>
  <si>
    <t>Gerentes e Coordenadores</t>
  </si>
  <si>
    <t>Supervisores e Especialistas</t>
  </si>
  <si>
    <t>Engenheiros e Arquitetos</t>
  </si>
  <si>
    <t>Analistas Engenheiros e Arquitetos</t>
  </si>
  <si>
    <t>Analistas Administrativos</t>
  </si>
  <si>
    <t>Técnicos</t>
  </si>
  <si>
    <t>Auxiliares e Estágiários</t>
  </si>
  <si>
    <t>Serviços Fornecedores</t>
  </si>
  <si>
    <t>Memória de Cálculo - PPU</t>
  </si>
  <si>
    <t>HH Total</t>
  </si>
  <si>
    <t>Venda Total</t>
  </si>
  <si>
    <t>Impostos Serviços</t>
  </si>
  <si>
    <t>PJ</t>
  </si>
  <si>
    <t>Mensalista</t>
  </si>
  <si>
    <t>De</t>
  </si>
  <si>
    <t>Para</t>
  </si>
  <si>
    <t>Descrição</t>
  </si>
  <si>
    <t>Un.</t>
  </si>
  <si>
    <t>Qtd.</t>
  </si>
  <si>
    <t>Índice Puro</t>
  </si>
  <si>
    <t>Improdut. (%)</t>
  </si>
  <si>
    <t>Índice Improdutivo</t>
  </si>
  <si>
    <t>Equipe</t>
  </si>
  <si>
    <t>Custo Unit.</t>
  </si>
  <si>
    <t>Venda Unit.</t>
  </si>
  <si>
    <t>By-out</t>
  </si>
  <si>
    <t>Fornecedor</t>
  </si>
  <si>
    <t>Tipo de Fornecimento</t>
  </si>
  <si>
    <t>Custo Unitário</t>
  </si>
  <si>
    <t>ICMS - Origem</t>
  </si>
  <si>
    <t>Taxa ICMS</t>
  </si>
  <si>
    <t>PIS/ COFINS</t>
  </si>
  <si>
    <t>IPI</t>
  </si>
  <si>
    <t>Outros Imp. ou Taxas</t>
  </si>
  <si>
    <t>Venda Unitário
Serviço</t>
  </si>
  <si>
    <t>Venda Unitário
Material</t>
  </si>
  <si>
    <t>Venda Unitário
Serviço + Material</t>
  </si>
  <si>
    <t>PIS/COFINS</t>
  </si>
  <si>
    <t>Total
Impostos de Materiais</t>
  </si>
  <si>
    <t>ICMS</t>
  </si>
  <si>
    <t>Outros Impostos ou Taxas</t>
  </si>
  <si>
    <t>QT</t>
  </si>
  <si>
    <t>D/M</t>
  </si>
  <si>
    <t>h/D</t>
  </si>
  <si>
    <t>GER. (OBRA/PROJ)</t>
  </si>
  <si>
    <t>H/D</t>
  </si>
  <si>
    <t>ENG/ARQ SR.</t>
  </si>
  <si>
    <t>EST_II</t>
  </si>
  <si>
    <t>EST_III</t>
  </si>
  <si>
    <t>Ajuda de Custo</t>
  </si>
  <si>
    <t>Coordenador de Obras - Full time 100%</t>
  </si>
  <si>
    <t>mês</t>
  </si>
  <si>
    <t>Serviço</t>
  </si>
  <si>
    <t>Engenheiro Pl. de Planejamento, Qualidade e Custos ( Supervisor) - Full time</t>
  </si>
  <si>
    <t>Engenheiro Jr. Qualidade ( Supervisor) - Instalações 25%</t>
  </si>
  <si>
    <t>Analista de Custos - An. Sr. 50%</t>
  </si>
  <si>
    <t>Arquiteto Pl. ( Gestão de projetos) - Remoto ( Supervisor) - 100%</t>
  </si>
  <si>
    <t>6.1</t>
  </si>
  <si>
    <t>Arquiteto Pl. ( Gestão de projetos) - Remoto ( Supervisor) - 50%</t>
  </si>
  <si>
    <t xml:space="preserve">Técnico de Segurança </t>
  </si>
  <si>
    <t>Gerrente de Obras - 5% - Considerado equipe diluida nas linhas com 10 meses</t>
  </si>
  <si>
    <t>Engenheiro de Segurança - 5% - Considerado equipe diluida nas linhas com 10 meses</t>
  </si>
  <si>
    <t>Coordenador de Arquitetura - Excluso</t>
  </si>
  <si>
    <t>N/A</t>
  </si>
  <si>
    <t>Coordenador de Orçamentos - Part time - 50% mês</t>
  </si>
  <si>
    <t>Arquiteto Pl. ( Gestão de projetos) - Remoto ( Supervisor) - 20% mês</t>
  </si>
  <si>
    <t>Engenheiro Pl. de Planejamento, Qualidade e Custos ( Supervisor) - 10% - mês</t>
  </si>
  <si>
    <t>Analista de Financeiro - An. Sr. 50% ( Análise financeira das empresas)</t>
  </si>
  <si>
    <t xml:space="preserve">caso o prazo da obra ultrapasse o previsto </t>
  </si>
  <si>
    <t>Preço Unitário</t>
  </si>
  <si>
    <t>Preço Total</t>
  </si>
  <si>
    <t>Total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</si>
  <si>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</si>
  <si>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</si>
  <si>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</si>
  <si>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</si>
  <si>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</si>
  <si>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</si>
  <si>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</si>
  <si>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</si>
  <si>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</si>
  <si>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</si>
  <si>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</si>
  <si>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</si>
  <si>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</si>
  <si>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</si>
  <si>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</si>
  <si>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</si>
  <si>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</si>
  <si>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</si>
  <si>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</si>
  <si>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</si>
  <si>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</si>
  <si>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</si>
  <si>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</si>
  <si>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</si>
  <si>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</si>
  <si>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</si>
  <si>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</si>
  <si>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</si>
  <si>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</si>
  <si>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</si>
  <si>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</si>
  <si>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</si>
  <si>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</si>
  <si>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</si>
  <si>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</si>
  <si>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</si>
  <si>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</si>
  <si>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</si>
  <si>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</si>
  <si>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</si>
  <si>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</si>
  <si>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</si>
  <si>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</si>
  <si>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Período Máximo</t>
  </si>
  <si>
    <t>Linha Índice</t>
  </si>
  <si>
    <t>Cronograma e Histograma</t>
  </si>
  <si>
    <t>Ano 1</t>
  </si>
  <si>
    <t>Ano 2</t>
  </si>
  <si>
    <t>Ano 3</t>
  </si>
  <si>
    <t>Ano 4</t>
  </si>
  <si>
    <t>Ano 5</t>
  </si>
  <si>
    <t>Etapa 01</t>
  </si>
  <si>
    <t>Cronograma de execução</t>
  </si>
  <si>
    <t>Horas Calculadas</t>
  </si>
  <si>
    <t>Período Total</t>
  </si>
  <si>
    <r>
      <rPr>
        <b/>
        <i/>
        <sz val="8"/>
        <rFont val="Inter"/>
      </rPr>
      <t>Orientação de Preenchimento</t>
    </r>
    <r>
      <rPr>
        <i/>
        <sz val="8"/>
        <rFont val="Inter"/>
      </rPr>
      <t xml:space="preserve">
1. Somente preencher os campos em branco
2. Deverá ser preenchido com "X" cada mês que a discipina estará em atuação no projeto</t>
    </r>
  </si>
  <si>
    <t>Período de Execução Total (meses)</t>
  </si>
  <si>
    <t>Etapa 02</t>
  </si>
  <si>
    <t>Avanço da Obra - Curva S</t>
  </si>
  <si>
    <t>Percentual</t>
  </si>
  <si>
    <t>Curva S</t>
  </si>
  <si>
    <r>
      <rPr>
        <b/>
        <i/>
        <sz val="8"/>
        <rFont val="Inter"/>
      </rPr>
      <t>Orientação de Preenchimento</t>
    </r>
    <r>
      <rPr>
        <i/>
        <sz val="8"/>
        <rFont val="Inter"/>
      </rPr>
      <t xml:space="preserve">
1. Somente preencher os campos em branco
2. Selecionar o tipo de curva que deverá ser aplicada no planejamento da mão de obra de cada uma das disciplinas presentes no projeto</t>
    </r>
  </si>
  <si>
    <t>Lin</t>
  </si>
  <si>
    <t>Avanço por Mês</t>
  </si>
  <si>
    <t>Avanço Acumulado</t>
  </si>
  <si>
    <t>Etapa 03</t>
  </si>
  <si>
    <t>Horas Extras</t>
  </si>
  <si>
    <t>Banco de Horas</t>
  </si>
  <si>
    <t>Quantidade Total de Horas</t>
  </si>
  <si>
    <t>Média por mês</t>
  </si>
  <si>
    <r>
      <rPr>
        <b/>
        <i/>
        <sz val="8"/>
        <rFont val="Inter"/>
      </rPr>
      <t>Orientação de Preenchimento</t>
    </r>
    <r>
      <rPr>
        <i/>
        <sz val="8"/>
        <rFont val="Inter"/>
      </rPr>
      <t xml:space="preserve">
1. Somente preencher os campos em branco
2. Preencher com as horas totais de banco de horas que serão aplicadas em cada disciplina
3. O valor considerado será aplicado para todos os profissionais inseridos</t>
    </r>
  </si>
  <si>
    <t>Totais</t>
  </si>
  <si>
    <t>Horas Extra 1</t>
  </si>
  <si>
    <r>
      <rPr>
        <b/>
        <i/>
        <sz val="8"/>
        <rFont val="Inter"/>
      </rPr>
      <t>Orientação de Preenchimento</t>
    </r>
    <r>
      <rPr>
        <i/>
        <sz val="8"/>
        <rFont val="Inter"/>
      </rPr>
      <t xml:space="preserve">
1. Somente preencher os campos em branco
2. Preencher com as horas totais de hora extra 1 que serão aplicadas em cada disciplina
3. O valor considerado será aplicado para todos os profissionais inseridos</t>
    </r>
  </si>
  <si>
    <t>Hora Extra 2</t>
  </si>
  <si>
    <r>
      <rPr>
        <b/>
        <i/>
        <sz val="8"/>
        <rFont val="Inter"/>
      </rPr>
      <t>Orientação de Preenchimento</t>
    </r>
    <r>
      <rPr>
        <i/>
        <sz val="8"/>
        <rFont val="Inter"/>
      </rPr>
      <t xml:space="preserve">
1. Somente preencher os campos em branco
2. Preencher com as horas totais de hora extra 2 que serão aplicadas em cada disciplina
3. O valor considerado será aplicado para todos os profissionais inseridos</t>
    </r>
  </si>
  <si>
    <t>Total de Horas Extras</t>
  </si>
  <si>
    <t>Total de Horas Extras Acumulado</t>
  </si>
  <si>
    <t>Etapa 04
(Informativa)</t>
  </si>
  <si>
    <t>Volume de Serviço Estimado por Mês</t>
  </si>
  <si>
    <t>Pico MOD</t>
  </si>
  <si>
    <r>
      <rPr>
        <b/>
        <i/>
        <sz val="8"/>
        <rFont val="Inter"/>
      </rPr>
      <t>Orientação de Preenchimento</t>
    </r>
    <r>
      <rPr>
        <i/>
        <sz val="8"/>
        <rFont val="Inter"/>
      </rPr>
      <t xml:space="preserve">
1. Item somente informativo, não sendo necessário preenchimento de células
2. São apresentados neste item a quantidade de pessoas por mês e por disciplina que serão aplicadas no projeto</t>
    </r>
  </si>
  <si>
    <t>Pico de Mão de Obra Direta</t>
  </si>
  <si>
    <t>Mão de Obra Direta Acumulada</t>
  </si>
  <si>
    <t>Etapa 05.A</t>
  </si>
  <si>
    <t>Equipes Típicas</t>
  </si>
  <si>
    <t>Função Codificada</t>
  </si>
  <si>
    <t>Qtd. Média</t>
  </si>
  <si>
    <t>Período Médio</t>
  </si>
  <si>
    <t>Qualificação
(1/0)</t>
  </si>
  <si>
    <t>Ordenação</t>
  </si>
  <si>
    <t>Resposta Procv</t>
  </si>
  <si>
    <t>Mês1</t>
  </si>
  <si>
    <t>Mês2</t>
  </si>
  <si>
    <t>Mês3</t>
  </si>
  <si>
    <t>Mês4</t>
  </si>
  <si>
    <t>Mês5</t>
  </si>
  <si>
    <t>Mês6</t>
  </si>
  <si>
    <t>Mês7</t>
  </si>
  <si>
    <t>Mês8</t>
  </si>
  <si>
    <t>Mês9</t>
  </si>
  <si>
    <t>Mês10</t>
  </si>
  <si>
    <t>Mês11</t>
  </si>
  <si>
    <t>Mês12</t>
  </si>
  <si>
    <t>Mês13</t>
  </si>
  <si>
    <t>Mês14</t>
  </si>
  <si>
    <t>Mês15</t>
  </si>
  <si>
    <t>Mês16</t>
  </si>
  <si>
    <t>Mês17</t>
  </si>
  <si>
    <t>Mês18</t>
  </si>
  <si>
    <t>Mês19</t>
  </si>
  <si>
    <t>Mês20</t>
  </si>
  <si>
    <t>Mês21</t>
  </si>
  <si>
    <t>Mês22</t>
  </si>
  <si>
    <t>Mês23</t>
  </si>
  <si>
    <t>Mês24</t>
  </si>
  <si>
    <t>Mês25</t>
  </si>
  <si>
    <t>Mês26</t>
  </si>
  <si>
    <t>Mês27</t>
  </si>
  <si>
    <t>Mês28</t>
  </si>
  <si>
    <t>Mês29</t>
  </si>
  <si>
    <t>Mês30</t>
  </si>
  <si>
    <t>Mês31</t>
  </si>
  <si>
    <t>Mês32</t>
  </si>
  <si>
    <t>Mês33</t>
  </si>
  <si>
    <t>Mês34</t>
  </si>
  <si>
    <t>Mês35</t>
  </si>
  <si>
    <t>Mês36</t>
  </si>
  <si>
    <t>Mês37</t>
  </si>
  <si>
    <t>Mês38</t>
  </si>
  <si>
    <t>Mês39</t>
  </si>
  <si>
    <t>Mês40</t>
  </si>
  <si>
    <t>Mês41</t>
  </si>
  <si>
    <t>Mês42</t>
  </si>
  <si>
    <t>Mês43</t>
  </si>
  <si>
    <t>Mês44</t>
  </si>
  <si>
    <t>Mês45</t>
  </si>
  <si>
    <t>Mês46</t>
  </si>
  <si>
    <t>Mês47</t>
  </si>
  <si>
    <t>Mês48</t>
  </si>
  <si>
    <t>Mês49</t>
  </si>
  <si>
    <t>Mês50</t>
  </si>
  <si>
    <t>Mês51</t>
  </si>
  <si>
    <t>Mês52</t>
  </si>
  <si>
    <t>Mês53</t>
  </si>
  <si>
    <t>Mês54</t>
  </si>
  <si>
    <t>Mês55</t>
  </si>
  <si>
    <t>Mês56</t>
  </si>
  <si>
    <t>Mês57</t>
  </si>
  <si>
    <t>Mês58</t>
  </si>
  <si>
    <t>Mês59</t>
  </si>
  <si>
    <t>Mês60</t>
  </si>
  <si>
    <t>Hora Extra 1</t>
  </si>
  <si>
    <t>Função</t>
  </si>
  <si>
    <t>1. Somente preencher os campos em branco
2. Preencher com as funções e suas respectivas quantidades em uma equipe típica da referida disciplina</t>
  </si>
  <si>
    <t>Etapa 05.B</t>
  </si>
  <si>
    <t>Histograma de Mão de Obra Direta - Rotina</t>
  </si>
  <si>
    <t>Período méio</t>
  </si>
  <si>
    <t>Pico de Mão de Obra Direta - Rotina</t>
  </si>
  <si>
    <t>Mão de Obra Direta de Rotina Acumulada</t>
  </si>
  <si>
    <t>Etapa 06</t>
  </si>
  <si>
    <t>Gerência do Contrato</t>
  </si>
  <si>
    <t>Gerente de Contrato</t>
  </si>
  <si>
    <t>Coordenador de Contrato</t>
  </si>
  <si>
    <t>Engenheiro Preposto</t>
  </si>
  <si>
    <t>Administrador Contratual</t>
  </si>
  <si>
    <t>Auxiliar de RH</t>
  </si>
  <si>
    <t>Auxiliar Administrativo</t>
  </si>
  <si>
    <t>Supervisão de Obra</t>
  </si>
  <si>
    <t>Engenheiro Mecânico</t>
  </si>
  <si>
    <t>Engenheiro Elétrica &amp; Instrumentação</t>
  </si>
  <si>
    <t>Engenheiro Civil</t>
  </si>
  <si>
    <t>Engenheiro de Produção</t>
  </si>
  <si>
    <t>Engenheiro de Campo</t>
  </si>
  <si>
    <t>Supervisor de Campo</t>
  </si>
  <si>
    <t>Encarregado</t>
  </si>
  <si>
    <t>Administração da Obra</t>
  </si>
  <si>
    <t>Supervisor Administrativo</t>
  </si>
  <si>
    <t>Técnico Administrativo</t>
  </si>
  <si>
    <t>Comprador Técnico</t>
  </si>
  <si>
    <t>Auxiliar de Compras</t>
  </si>
  <si>
    <t>Técnico de Documentação</t>
  </si>
  <si>
    <t>Planejamento e Controle</t>
  </si>
  <si>
    <t>Coordenador de Planejamento</t>
  </si>
  <si>
    <t>Técnico de Planejamento</t>
  </si>
  <si>
    <t>Planejador</t>
  </si>
  <si>
    <t>Controller</t>
  </si>
  <si>
    <t>Auxiliar de Planejamento</t>
  </si>
  <si>
    <t>Controle de Qualidade</t>
  </si>
  <si>
    <t>Coordenador de Qualidade</t>
  </si>
  <si>
    <t>Técnico de Qualidade</t>
  </si>
  <si>
    <t>Inspetor (LP/PM/EVS)</t>
  </si>
  <si>
    <t>Inspetor RX</t>
  </si>
  <si>
    <t>Inpestor de Equipamento</t>
  </si>
  <si>
    <t>Inspetor N1</t>
  </si>
  <si>
    <t>Inspetor N2</t>
  </si>
  <si>
    <t>SSMA</t>
  </si>
  <si>
    <t>Coordenador de SSMA</t>
  </si>
  <si>
    <t>Técnico de Segurança</t>
  </si>
  <si>
    <t>Auxiliar de Segurança</t>
  </si>
  <si>
    <t>Técnico de Meio Ambiente</t>
  </si>
  <si>
    <t>Medicina do Trabalho</t>
  </si>
  <si>
    <t>Médico do Trabalho</t>
  </si>
  <si>
    <t>Técnico de Enfermagem do Trabalho</t>
  </si>
  <si>
    <t>Enfermeiro do Trabalho</t>
  </si>
  <si>
    <t>Motorista de Ambulância</t>
  </si>
  <si>
    <t>Bombeiro</t>
  </si>
  <si>
    <t>Coordenador de Projetos</t>
  </si>
  <si>
    <t>Projetista Sênior</t>
  </si>
  <si>
    <t>Projetista Pleno</t>
  </si>
  <si>
    <t>Projetista Junior</t>
  </si>
  <si>
    <t>Desenhista Cadista</t>
  </si>
  <si>
    <t>Almoxarifado e Materiais</t>
  </si>
  <si>
    <t>Líder de Almoxarifado</t>
  </si>
  <si>
    <t>Almoxarife</t>
  </si>
  <si>
    <t>Auxiliar de Almoxarifado</t>
  </si>
  <si>
    <t>Técnico de Materiais</t>
  </si>
  <si>
    <t>Apoio, Limpeza e Conservação</t>
  </si>
  <si>
    <t>Operador de Máquinas (Cat.A)</t>
  </si>
  <si>
    <t>Operador de Máquinas (Cat.B)</t>
  </si>
  <si>
    <t>Técnico de Rigging</t>
  </si>
  <si>
    <t>Auxiliar de Rigging</t>
  </si>
  <si>
    <t>Operador de Empilhadeira</t>
  </si>
  <si>
    <t>Operador de Caminhão Munck</t>
  </si>
  <si>
    <t>Motorista (AB)</t>
  </si>
  <si>
    <t>Motorista (C, D ou E)</t>
  </si>
  <si>
    <t>Auxiliar de Serviços Gerais</t>
  </si>
  <si>
    <t>Outros</t>
  </si>
  <si>
    <t>Pico de Mão de Obra Indireta</t>
  </si>
  <si>
    <t>Etapa 07</t>
  </si>
  <si>
    <t>Histograma de Mão de Obra Total</t>
  </si>
  <si>
    <t>MOD</t>
  </si>
  <si>
    <t>Mão de Obra Direta - Rotina</t>
  </si>
  <si>
    <t>MOI</t>
  </si>
  <si>
    <t>Pico de Mão de Obra</t>
  </si>
  <si>
    <t>Mão de Obra Acumulada</t>
  </si>
  <si>
    <t>Curva</t>
  </si>
  <si>
    <t>Referência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</si>
  <si>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</si>
  <si>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</si>
  <si>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</si>
  <si>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</si>
  <si>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</si>
  <si>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</si>
  <si>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</si>
  <si>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</si>
  <si>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</si>
  <si>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38.10</t>
  </si>
  <si>
    <t>38.11</t>
  </si>
  <si>
    <t>38.12</t>
  </si>
  <si>
    <t>38.13</t>
  </si>
  <si>
    <t>38.14</t>
  </si>
  <si>
    <t>38.15</t>
  </si>
  <si>
    <t>38.16</t>
  </si>
  <si>
    <t>38.17</t>
  </si>
  <si>
    <t>38.18</t>
  </si>
  <si>
    <t>38.19</t>
  </si>
  <si>
    <t>38.20</t>
  </si>
  <si>
    <t>38.21</t>
  </si>
  <si>
    <t>38.22</t>
  </si>
  <si>
    <t>38.23</t>
  </si>
  <si>
    <t>38.24</t>
  </si>
  <si>
    <t>38.25</t>
  </si>
  <si>
    <t>38.26</t>
  </si>
  <si>
    <t>38.27</t>
  </si>
  <si>
    <t>38.28</t>
  </si>
  <si>
    <t>38.29</t>
  </si>
  <si>
    <t>38.30</t>
  </si>
  <si>
    <t>38.31</t>
  </si>
  <si>
    <t>38.32</t>
  </si>
  <si>
    <t>38.33</t>
  </si>
  <si>
    <t>38.34</t>
  </si>
  <si>
    <t>38.35</t>
  </si>
  <si>
    <t>38.36</t>
  </si>
  <si>
    <t>38.37</t>
  </si>
  <si>
    <t>38.38</t>
  </si>
  <si>
    <t>38.39</t>
  </si>
  <si>
    <t>38.40</t>
  </si>
  <si>
    <t>38.41</t>
  </si>
  <si>
    <t>38.42</t>
  </si>
  <si>
    <t>38.43</t>
  </si>
  <si>
    <t>38.44</t>
  </si>
  <si>
    <t>38.45</t>
  </si>
  <si>
    <t>38.46</t>
  </si>
  <si>
    <t>38.47</t>
  </si>
  <si>
    <t>38.48</t>
  </si>
  <si>
    <t>38.49</t>
  </si>
  <si>
    <t>38.50</t>
  </si>
  <si>
    <t>38.51</t>
  </si>
  <si>
    <t>38.52</t>
  </si>
  <si>
    <t>38.53</t>
  </si>
  <si>
    <t>38.54</t>
  </si>
  <si>
    <t>38.55</t>
  </si>
  <si>
    <t>38.56</t>
  </si>
  <si>
    <t>38.57</t>
  </si>
  <si>
    <t>38.58</t>
  </si>
  <si>
    <t>38.59</t>
  </si>
  <si>
    <t>38.60</t>
  </si>
  <si>
    <t>50.1</t>
  </si>
  <si>
    <t>50.2</t>
  </si>
  <si>
    <t>50.3</t>
  </si>
  <si>
    <t>50.4</t>
  </si>
  <si>
    <t>50.5</t>
  </si>
  <si>
    <t>50.6</t>
  </si>
  <si>
    <t>50.7</t>
  </si>
  <si>
    <t>50.8</t>
  </si>
  <si>
    <t>50.9</t>
  </si>
  <si>
    <t>50.10</t>
  </si>
  <si>
    <t>50.11</t>
  </si>
  <si>
    <t>50.12</t>
  </si>
  <si>
    <t>50.13</t>
  </si>
  <si>
    <t>50.14</t>
  </si>
  <si>
    <t>50.15</t>
  </si>
  <si>
    <t>50.16</t>
  </si>
  <si>
    <t>50.17</t>
  </si>
  <si>
    <t>50.18</t>
  </si>
  <si>
    <t>50.19</t>
  </si>
  <si>
    <t>50.20</t>
  </si>
  <si>
    <t>50.21</t>
  </si>
  <si>
    <t>50.22</t>
  </si>
  <si>
    <t>50.23</t>
  </si>
  <si>
    <t>50.24</t>
  </si>
  <si>
    <t>50.25</t>
  </si>
  <si>
    <t>50.26</t>
  </si>
  <si>
    <t>50.27</t>
  </si>
  <si>
    <t>50.28</t>
  </si>
  <si>
    <t>50.29</t>
  </si>
  <si>
    <t>50.30</t>
  </si>
  <si>
    <t>50.31</t>
  </si>
  <si>
    <t>50.32</t>
  </si>
  <si>
    <t>50.33</t>
  </si>
  <si>
    <t>50.34</t>
  </si>
  <si>
    <t>50.35</t>
  </si>
  <si>
    <t>50.36</t>
  </si>
  <si>
    <t>50.37</t>
  </si>
  <si>
    <t>50.38</t>
  </si>
  <si>
    <t>50.39</t>
  </si>
  <si>
    <t>50.40</t>
  </si>
  <si>
    <t>50.41</t>
  </si>
  <si>
    <t>50.42</t>
  </si>
  <si>
    <t>50.43</t>
  </si>
  <si>
    <t>50.44</t>
  </si>
  <si>
    <t>50.45</t>
  </si>
  <si>
    <t>50.46</t>
  </si>
  <si>
    <t>50.47</t>
  </si>
  <si>
    <t>50.48</t>
  </si>
  <si>
    <t>50.49</t>
  </si>
  <si>
    <t>50.50</t>
  </si>
  <si>
    <t>50.51</t>
  </si>
  <si>
    <t>50.52</t>
  </si>
  <si>
    <t>50.53</t>
  </si>
  <si>
    <t>50.54</t>
  </si>
  <si>
    <t>50.55</t>
  </si>
  <si>
    <t>50.56</t>
  </si>
  <si>
    <t>50.57</t>
  </si>
  <si>
    <t>50.58</t>
  </si>
  <si>
    <t>50.59</t>
  </si>
  <si>
    <t>50.60</t>
  </si>
  <si>
    <t>60.1</t>
  </si>
  <si>
    <t>60.2</t>
  </si>
  <si>
    <t>60.3</t>
  </si>
  <si>
    <t>60.4</t>
  </si>
  <si>
    <t>60.5</t>
  </si>
  <si>
    <t>60.6</t>
  </si>
  <si>
    <t>60.7</t>
  </si>
  <si>
    <t>60.8</t>
  </si>
  <si>
    <t>60.9</t>
  </si>
  <si>
    <t>60.10</t>
  </si>
  <si>
    <t>60.11</t>
  </si>
  <si>
    <t>60.12</t>
  </si>
  <si>
    <t>60.13</t>
  </si>
  <si>
    <t>60.14</t>
  </si>
  <si>
    <t>60.15</t>
  </si>
  <si>
    <t>60.16</t>
  </si>
  <si>
    <t>60.17</t>
  </si>
  <si>
    <t>60.18</t>
  </si>
  <si>
    <t>60.19</t>
  </si>
  <si>
    <t>60.20</t>
  </si>
  <si>
    <t>60.21</t>
  </si>
  <si>
    <t>60.22</t>
  </si>
  <si>
    <t>60.23</t>
  </si>
  <si>
    <t>60.24</t>
  </si>
  <si>
    <t>60.25</t>
  </si>
  <si>
    <t>60.26</t>
  </si>
  <si>
    <t>60.27</t>
  </si>
  <si>
    <t>60.28</t>
  </si>
  <si>
    <t>60.29</t>
  </si>
  <si>
    <t>60.30</t>
  </si>
  <si>
    <t>60.31</t>
  </si>
  <si>
    <t>60.32</t>
  </si>
  <si>
    <t>60.33</t>
  </si>
  <si>
    <t>60.34</t>
  </si>
  <si>
    <t>60.35</t>
  </si>
  <si>
    <t>60.36</t>
  </si>
  <si>
    <t>60.37</t>
  </si>
  <si>
    <t>60.38</t>
  </si>
  <si>
    <t>60.39</t>
  </si>
  <si>
    <t>60.40</t>
  </si>
  <si>
    <t>60.41</t>
  </si>
  <si>
    <t>60.42</t>
  </si>
  <si>
    <t>60.43</t>
  </si>
  <si>
    <t>60.44</t>
  </si>
  <si>
    <t>60.45</t>
  </si>
  <si>
    <t>60.46</t>
  </si>
  <si>
    <t>60.47</t>
  </si>
  <si>
    <t>60.48</t>
  </si>
  <si>
    <t>60.49</t>
  </si>
  <si>
    <t>60.50</t>
  </si>
  <si>
    <t>60.51</t>
  </si>
  <si>
    <t>60.52</t>
  </si>
  <si>
    <t>60.53</t>
  </si>
  <si>
    <t>60.54</t>
  </si>
  <si>
    <t>60.55</t>
  </si>
  <si>
    <t>60.56</t>
  </si>
  <si>
    <t>60.57</t>
  </si>
  <si>
    <t>60.58</t>
  </si>
  <si>
    <t>60.59</t>
  </si>
  <si>
    <t>60.60</t>
  </si>
  <si>
    <t>70.1</t>
  </si>
  <si>
    <t>70.2</t>
  </si>
  <si>
    <t>70.3</t>
  </si>
  <si>
    <t>70.4</t>
  </si>
  <si>
    <t>70.5</t>
  </si>
  <si>
    <t>70.6</t>
  </si>
  <si>
    <t>70.7</t>
  </si>
  <si>
    <t>70.8</t>
  </si>
  <si>
    <t>70.9</t>
  </si>
  <si>
    <t>70.10</t>
  </si>
  <si>
    <t>70.11</t>
  </si>
  <si>
    <t>70.12</t>
  </si>
  <si>
    <t>70.13</t>
  </si>
  <si>
    <t>70.14</t>
  </si>
  <si>
    <t>70.15</t>
  </si>
  <si>
    <t>70.16</t>
  </si>
  <si>
    <t>70.17</t>
  </si>
  <si>
    <t>70.18</t>
  </si>
  <si>
    <t>70.19</t>
  </si>
  <si>
    <t>70.20</t>
  </si>
  <si>
    <t>70.21</t>
  </si>
  <si>
    <t>70.22</t>
  </si>
  <si>
    <t>70.23</t>
  </si>
  <si>
    <t>70.24</t>
  </si>
  <si>
    <t>70.25</t>
  </si>
  <si>
    <t>70.26</t>
  </si>
  <si>
    <t>70.27</t>
  </si>
  <si>
    <t>70.28</t>
  </si>
  <si>
    <t>70.29</t>
  </si>
  <si>
    <t>70.30</t>
  </si>
  <si>
    <t>70.31</t>
  </si>
  <si>
    <t>70.32</t>
  </si>
  <si>
    <t>70.33</t>
  </si>
  <si>
    <t>70.34</t>
  </si>
  <si>
    <t>70.35</t>
  </si>
  <si>
    <t>70.36</t>
  </si>
  <si>
    <t>70.37</t>
  </si>
  <si>
    <t>70.38</t>
  </si>
  <si>
    <t>70.39</t>
  </si>
  <si>
    <t>70.40</t>
  </si>
  <si>
    <t>70.41</t>
  </si>
  <si>
    <t>70.42</t>
  </si>
  <si>
    <t>70.43</t>
  </si>
  <si>
    <t>70.44</t>
  </si>
  <si>
    <t>70.45</t>
  </si>
  <si>
    <t>70.46</t>
  </si>
  <si>
    <t>70.47</t>
  </si>
  <si>
    <t>70.48</t>
  </si>
  <si>
    <t>70.49</t>
  </si>
  <si>
    <t>70.50</t>
  </si>
  <si>
    <t>70.51</t>
  </si>
  <si>
    <t>70.52</t>
  </si>
  <si>
    <t>70.53</t>
  </si>
  <si>
    <t>70.54</t>
  </si>
  <si>
    <t>70.55</t>
  </si>
  <si>
    <t>70.56</t>
  </si>
  <si>
    <t>70.57</t>
  </si>
  <si>
    <t>70.58</t>
  </si>
  <si>
    <t>70.59</t>
  </si>
  <si>
    <t>70.60</t>
  </si>
  <si>
    <t>Lin.1</t>
  </si>
  <si>
    <t/>
  </si>
  <si>
    <t>Lin.2</t>
  </si>
  <si>
    <t>Lin.3</t>
  </si>
  <si>
    <t>Lin.4</t>
  </si>
  <si>
    <t>Lin.5</t>
  </si>
  <si>
    <t>Lin.6</t>
  </si>
  <si>
    <t>Lin.7</t>
  </si>
  <si>
    <t>Lin.8</t>
  </si>
  <si>
    <t>Lin.9</t>
  </si>
  <si>
    <t>Lin.10</t>
  </si>
  <si>
    <t>Lin.11</t>
  </si>
  <si>
    <t>Lin.12</t>
  </si>
  <si>
    <t>Lin.13</t>
  </si>
  <si>
    <t>Lin.14</t>
  </si>
  <si>
    <t>Lin.15</t>
  </si>
  <si>
    <t>Lin.16</t>
  </si>
  <si>
    <t>Lin.17</t>
  </si>
  <si>
    <t>Lin.18</t>
  </si>
  <si>
    <t>Lin.19</t>
  </si>
  <si>
    <t>Lin.20</t>
  </si>
  <si>
    <t>Lin.21</t>
  </si>
  <si>
    <t>Lin.22</t>
  </si>
  <si>
    <t>Lin.23</t>
  </si>
  <si>
    <t>Lin.24</t>
  </si>
  <si>
    <t>Lin.25</t>
  </si>
  <si>
    <t>Lin.26</t>
  </si>
  <si>
    <t>Lin.27</t>
  </si>
  <si>
    <t>Lin.28</t>
  </si>
  <si>
    <t>Lin.29</t>
  </si>
  <si>
    <t>Lin.30</t>
  </si>
  <si>
    <t>Lin.31</t>
  </si>
  <si>
    <t>Lin.32</t>
  </si>
  <si>
    <t>Lin.33</t>
  </si>
  <si>
    <t>Lin.34</t>
  </si>
  <si>
    <t>Lin.35</t>
  </si>
  <si>
    <t>Lin.36</t>
  </si>
  <si>
    <t>Lin.37</t>
  </si>
  <si>
    <t>Lin.38</t>
  </si>
  <si>
    <t>Lin.39</t>
  </si>
  <si>
    <t>Lin.40</t>
  </si>
  <si>
    <t>Lin.41</t>
  </si>
  <si>
    <t>Lin.42</t>
  </si>
  <si>
    <t>Lin.43</t>
  </si>
  <si>
    <t>Lin.44</t>
  </si>
  <si>
    <t>Lin.45</t>
  </si>
  <si>
    <t>Lin.46</t>
  </si>
  <si>
    <t>Lin.47</t>
  </si>
  <si>
    <t>Lin.48</t>
  </si>
  <si>
    <t>Lin.49</t>
  </si>
  <si>
    <t>Lin.50</t>
  </si>
  <si>
    <t>Lin.51</t>
  </si>
  <si>
    <t>Lin.52</t>
  </si>
  <si>
    <t>Lin.53</t>
  </si>
  <si>
    <t>Lin.54</t>
  </si>
  <si>
    <t>Lin.55</t>
  </si>
  <si>
    <t>Lin.56</t>
  </si>
  <si>
    <t>Lin.57</t>
  </si>
  <si>
    <t>Lin.58</t>
  </si>
  <si>
    <t>Lin.59</t>
  </si>
  <si>
    <t>Lin.60</t>
  </si>
  <si>
    <t>Equipamentos</t>
  </si>
  <si>
    <t>Resumo de Referência - Quantitativo por Função</t>
  </si>
  <si>
    <t>Período</t>
  </si>
  <si>
    <t>Histograma de Equipamentos</t>
  </si>
  <si>
    <t>Acessórios para fixação</t>
  </si>
  <si>
    <t>Conjunto</t>
  </si>
  <si>
    <t>Acessórios para montagem</t>
  </si>
  <si>
    <t>Alicate volt-amperímetro - 600A AC CAT III 600V</t>
  </si>
  <si>
    <t>Alinhador a laser</t>
  </si>
  <si>
    <t>Andaime</t>
  </si>
  <si>
    <t>Metro Linear</t>
  </si>
  <si>
    <t>Andaime tipo quadro - NR18</t>
  </si>
  <si>
    <t>Aparafusadeira de torque controlado</t>
  </si>
  <si>
    <t>Aspirador de pó industrial</t>
  </si>
  <si>
    <t>Balanceador</t>
  </si>
  <si>
    <t>Balde plástico graduado</t>
  </si>
  <si>
    <t>Bancada de oficina</t>
  </si>
  <si>
    <t>Bancada móvel</t>
  </si>
  <si>
    <t>Bandeja plástica</t>
  </si>
  <si>
    <t>Biseladora de tubos fixa</t>
  </si>
  <si>
    <t>Biseladora de tubos manual (campo)</t>
  </si>
  <si>
    <t>Bomba de teste hidrostático elétrica</t>
  </si>
  <si>
    <t>Bomba de teste hidrostático manual</t>
  </si>
  <si>
    <t>Bomba rotativa de sucção manual</t>
  </si>
  <si>
    <t>Cabine de jato e pintura</t>
  </si>
  <si>
    <t>Caçamba 5m³</t>
  </si>
  <si>
    <t>Cadeado para armário</t>
  </si>
  <si>
    <t>Caixa de Ferramentas</t>
  </si>
  <si>
    <t>Carrinho de mão tipo plataforma</t>
  </si>
  <si>
    <t>Carrinho para cilindro (01 cilindro)</t>
  </si>
  <si>
    <t>Carrinho para cilindro (02 cilindro)</t>
  </si>
  <si>
    <t>Carrinho para ferramentas</t>
  </si>
  <si>
    <t>Carrinho para transporte de tambor</t>
  </si>
  <si>
    <t>Carrinho plataforma</t>
  </si>
  <si>
    <t>Carro transpalet</t>
  </si>
  <si>
    <t>Catraca de corrente de 750 kg</t>
  </si>
  <si>
    <t>Chave de impacto portátil</t>
  </si>
  <si>
    <t>Chaves especiais</t>
  </si>
  <si>
    <t>Cinta de polietileno</t>
  </si>
  <si>
    <t>Compressor</t>
  </si>
  <si>
    <t>Conjunto oxicorte completo</t>
  </si>
  <si>
    <t>Conjunto oxicorte tipo tartaruga</t>
  </si>
  <si>
    <t>Cortador pneumático de cabos</t>
  </si>
  <si>
    <t>Decapador de cabos</t>
  </si>
  <si>
    <t>Detector de tensão</t>
  </si>
  <si>
    <t>Dobradeira, Guilhotina e Calandra</t>
  </si>
  <si>
    <t>Dobrador de tubos</t>
  </si>
  <si>
    <t>Escala de inox 2000mm</t>
  </si>
  <si>
    <t>Escala de inox 500mm</t>
  </si>
  <si>
    <t>Esmerilhadeira 4.1/2"</t>
  </si>
  <si>
    <t>Esmerilhadeira 7.1/2"</t>
  </si>
  <si>
    <t>Esmerilhadeira de bancada</t>
  </si>
  <si>
    <t>Estropo</t>
  </si>
  <si>
    <t>Estufa cochicho</t>
  </si>
  <si>
    <t>Estufa para eletrodo</t>
  </si>
  <si>
    <t>Extensão elétrica - 50 metros</t>
  </si>
  <si>
    <t>Fresadora</t>
  </si>
  <si>
    <t>Funil plástico</t>
  </si>
  <si>
    <t>Furadeira base magnética</t>
  </si>
  <si>
    <t>Furadeira de bancada</t>
  </si>
  <si>
    <t>Furadeira elétrica 1/2"</t>
  </si>
  <si>
    <t>Furadeira impacto 5/8"</t>
  </si>
  <si>
    <t>Furadeira industrial</t>
  </si>
  <si>
    <t>Gerador de energia - 025 KVA</t>
  </si>
  <si>
    <t>Gerador de energia - 040 KVA</t>
  </si>
  <si>
    <t>Gerador de energia - 050 KVA</t>
  </si>
  <si>
    <t>Gerador de energia - 080 KVA</t>
  </si>
  <si>
    <t>Gerador de energia - 100 KVA</t>
  </si>
  <si>
    <t>Gerador de energia - 150 KVA</t>
  </si>
  <si>
    <t>Guincho hidráulico</t>
  </si>
  <si>
    <t>Hipot 5KV</t>
  </si>
  <si>
    <t>Jateador portátil sem geração de calor</t>
  </si>
  <si>
    <t>Kit para corte com plasma</t>
  </si>
  <si>
    <t>Lanterna anti-explosão</t>
  </si>
  <si>
    <t>Lata para descarte de resíduos</t>
  </si>
  <si>
    <t>Lavadora de alta pressão</t>
  </si>
  <si>
    <t>Lona plástica</t>
  </si>
  <si>
    <t>Macaco Hidráulico 10 ton</t>
  </si>
  <si>
    <t>Macaco Hidráulico 30 ton</t>
  </si>
  <si>
    <t>Macaco Hidráulico 50 ton</t>
  </si>
  <si>
    <t>Maquina de solda - Eletrofusão</t>
  </si>
  <si>
    <t>Máquina de solda - ER</t>
  </si>
  <si>
    <t>Máquina de solda - MIG/ MAG</t>
  </si>
  <si>
    <t>Máquina de solda - TIG</t>
  </si>
  <si>
    <t>Máquina de solda - Tubo PP</t>
  </si>
  <si>
    <t>Máquina de torque controlado</t>
  </si>
  <si>
    <t>Martelete elétrico</t>
  </si>
  <si>
    <t>Medidor de relação de transformação</t>
  </si>
  <si>
    <t>Morsa</t>
  </si>
  <si>
    <t>Multímetro digital</t>
  </si>
  <si>
    <t>Nível a laser</t>
  </si>
  <si>
    <t>Painel elétrico temporário</t>
  </si>
  <si>
    <t>Painel para ferramentas de uso coletivo</t>
  </si>
  <si>
    <t>Palete</t>
  </si>
  <si>
    <t>Pandis girus</t>
  </si>
  <si>
    <t>Parafusadeira</t>
  </si>
  <si>
    <t>Pistola de pintura + acessórios</t>
  </si>
  <si>
    <t>Plaina de bancada</t>
  </si>
  <si>
    <t>Pórtico móvel</t>
  </si>
  <si>
    <t>Prensa terminal hidráulico</t>
  </si>
  <si>
    <t>Refrigerador para máscara de solda</t>
  </si>
  <si>
    <t>Regulador de gases</t>
  </si>
  <si>
    <t>Retífica manual</t>
  </si>
  <si>
    <t>Rosqueadeira Elétrica 1/2" à 2"</t>
  </si>
  <si>
    <t>Rosqueadeira Elétrica 2.1/2" à 4" (tubo galvanizado)</t>
  </si>
  <si>
    <t>Serra circular manual</t>
  </si>
  <si>
    <t>Serra de bancada</t>
  </si>
  <si>
    <t>Talha de alavanca - 3 Ton</t>
  </si>
  <si>
    <t>Talha de corrente - 1 Ton</t>
  </si>
  <si>
    <t>Talha de corrente - 1,5 Ton</t>
  </si>
  <si>
    <t>Talha de corrente - 3 Ton</t>
  </si>
  <si>
    <t>Teodolito eletrônico</t>
  </si>
  <si>
    <t>Termômetro de IR visual</t>
  </si>
  <si>
    <t>Testador de bateria</t>
  </si>
  <si>
    <t>Testador de comando pneumático</t>
  </si>
  <si>
    <t>Tirfor 3,2 Ton</t>
  </si>
  <si>
    <t>Torno</t>
  </si>
  <si>
    <t>Torquimetro de estalo</t>
  </si>
  <si>
    <t>Torre de Iluminação</t>
  </si>
  <si>
    <t>Trena a laser</t>
  </si>
  <si>
    <t>Vara de manobra para alta tensão</t>
  </si>
  <si>
    <t>Hilti - Alicate Prensador Universal e de Corte NUN 54-A</t>
  </si>
  <si>
    <t>Hilti - Aparafusadeira a Bateria SBT 4A-22</t>
  </si>
  <si>
    <t>Hilti - Chave de Impacto a Bateria SIW 9-A22 ¾”</t>
  </si>
  <si>
    <t>Hilti - Desbastador a Bateria AG 125-A22</t>
  </si>
  <si>
    <t>Hilti - Dispensador a Bateria HDE 500-A22</t>
  </si>
  <si>
    <t>Hilti - Furadeira a Bateria SF 8M-A22</t>
  </si>
  <si>
    <t>Hilti - Laser Multilinhas a Bateria PM 40-MG</t>
  </si>
  <si>
    <t>Hilti - Martelo Combinado a Bateria TE 60-A36</t>
  </si>
  <si>
    <t>Hilti - Serra Circular a Bateria SC 70W-A22</t>
  </si>
  <si>
    <t>Hilti - Serra Sabre a Bateria SR 4-A22</t>
  </si>
  <si>
    <t>Hilti - Bateria B 22/8.0 Li-ion</t>
  </si>
  <si>
    <t>Hilti - Carregador de bateria C4/36-MC4</t>
  </si>
  <si>
    <t>Alisadora de piso de concreto à gasolina</t>
  </si>
  <si>
    <t>Betoneira 400 litros</t>
  </si>
  <si>
    <t>Bomba à gasolina submersível para recalque</t>
  </si>
  <si>
    <t>Bomba elétrica submersível para recalque</t>
  </si>
  <si>
    <t>Compactador de solo tipo sapo à gasolina</t>
  </si>
  <si>
    <t>Cortadora de piso de bancada</t>
  </si>
  <si>
    <t>Cortadora de pisos e asfalto</t>
  </si>
  <si>
    <t>Fresadora politriz</t>
  </si>
  <si>
    <t>Martelo demolidor 10 kg</t>
  </si>
  <si>
    <t>Martelo demolidor 16 kg</t>
  </si>
  <si>
    <t>Martelo demolidor 30 kg</t>
  </si>
  <si>
    <t>Motoserra à gasolina</t>
  </si>
  <si>
    <t>Placa vibratória à gasolina</t>
  </si>
  <si>
    <t>Plaina elétrica</t>
  </si>
  <si>
    <t>Vibrador de concreto com mangote</t>
  </si>
  <si>
    <t>Megger</t>
  </si>
  <si>
    <t>Jateadora de gelo seco</t>
  </si>
  <si>
    <t>Freezer para armazenamento de gelo seco</t>
  </si>
  <si>
    <t>Videoscopio</t>
  </si>
  <si>
    <t>Robo para limpeza de dutos</t>
  </si>
  <si>
    <t>Testador de Rigidez Dielétrica</t>
  </si>
  <si>
    <t>Medidor de relação de espiras TTR</t>
  </si>
  <si>
    <t>Histograma de Caixa de Ferramentas</t>
  </si>
  <si>
    <t>Unidades</t>
  </si>
  <si>
    <t>Caixa de Ferramentas - Equipe de Rotina</t>
  </si>
  <si>
    <t>Histograma de Equipamentos de Informática</t>
  </si>
  <si>
    <t>Notebook i5 - 4Gb  1Tb</t>
  </si>
  <si>
    <t>Notebook i7 - 8Gb  1Tb</t>
  </si>
  <si>
    <t>Tela de 21,5"</t>
  </si>
  <si>
    <t>Conjunto mouse e teclado sem fio</t>
  </si>
  <si>
    <t>Filtro de linha 4 tomadas</t>
  </si>
  <si>
    <t>Kit ergonomia</t>
  </si>
  <si>
    <t>Telefone fixo IP</t>
  </si>
  <si>
    <t>Telefone celular</t>
  </si>
  <si>
    <t>Relógio de ponto</t>
  </si>
  <si>
    <t>Impressora</t>
  </si>
  <si>
    <t>Rádio comunicador digital</t>
  </si>
  <si>
    <t>Rack 5U 19"</t>
  </si>
  <si>
    <t>Switch Ethernet 24 portas</t>
  </si>
  <si>
    <t>Câmera fotográfica</t>
  </si>
  <si>
    <t>Histograma de Veículos Leves e Fretamento</t>
  </si>
  <si>
    <t>Pick-up 4x4</t>
  </si>
  <si>
    <t>Pick-up média</t>
  </si>
  <si>
    <t>Pick-up utilitário</t>
  </si>
  <si>
    <t>Veículo 7 lugares</t>
  </si>
  <si>
    <t>Veículo leve sedan</t>
  </si>
  <si>
    <t>Veículo leve hatch</t>
  </si>
  <si>
    <t>Locação de ônibus 44 lugares com motorista</t>
  </si>
  <si>
    <t>Locação de micro-ônibus 28 lugares com motorista</t>
  </si>
  <si>
    <t>Locação de van 15 lugares com motorista</t>
  </si>
  <si>
    <t>Total Geral de Veículos Leves e Fretamento</t>
  </si>
  <si>
    <t>Ambulância</t>
  </si>
  <si>
    <t>Caminhão comboio</t>
  </si>
  <si>
    <t>Carreta prancha</t>
  </si>
  <si>
    <t>Caminhão truck</t>
  </si>
  <si>
    <t>Caminhão munck 10 Ton</t>
  </si>
  <si>
    <t>Caminhão munck 15 Ton</t>
  </si>
  <si>
    <t>Caminhão munck 20 Ton</t>
  </si>
  <si>
    <t>Caminhão pipa 10m³</t>
  </si>
  <si>
    <t>Empilhadeira 2,5 Ton</t>
  </si>
  <si>
    <t>Empilhadeira 5 Ton</t>
  </si>
  <si>
    <t>Empilhadeira 7 Ton</t>
  </si>
  <si>
    <t>Guindaste telescópico 20 Ton</t>
  </si>
  <si>
    <t>Guindaste telescópico 30 Ton</t>
  </si>
  <si>
    <t>Guindaste telescópico 50 Ton</t>
  </si>
  <si>
    <t>Guindaste telescópico 60 Ton</t>
  </si>
  <si>
    <t>Guindaste telescópico 80 Ton</t>
  </si>
  <si>
    <t>Guindaste telescópico 100 Ton</t>
  </si>
  <si>
    <t>Guindaste telescópico 120 Ton</t>
  </si>
  <si>
    <t>Guindaste telescópico 130 Ton</t>
  </si>
  <si>
    <t>Guindaste telescópico 250 Ton</t>
  </si>
  <si>
    <t>Guindaste telescópico 300 Ton</t>
  </si>
  <si>
    <t>Guindaste telescópico 400 Ton</t>
  </si>
  <si>
    <t>Guindaste telescópico 500 Ton</t>
  </si>
  <si>
    <t>Guindaste treliçado 20 Ton</t>
  </si>
  <si>
    <t>Guindaste treliçado 30 Ton</t>
  </si>
  <si>
    <t>Guindaste treliçado 50 Ton</t>
  </si>
  <si>
    <t>Guindaste treliçado 60 Ton</t>
  </si>
  <si>
    <t>Guindaste treliçado 80 Ton</t>
  </si>
  <si>
    <t>Guindaste treliçado 100 Ton</t>
  </si>
  <si>
    <t>Guindaste treliçado 120 Ton</t>
  </si>
  <si>
    <t>Guindaste treliçado 130 Ton</t>
  </si>
  <si>
    <t>Guindaste treliçado 250 Ton</t>
  </si>
  <si>
    <t>Guindaste treliçado 300 Ton</t>
  </si>
  <si>
    <t>Guindaste treliçado 400 Ton</t>
  </si>
  <si>
    <t>Guindaste treliçado 500 Ton</t>
  </si>
  <si>
    <t>Plataforma articulada de 6 m à 8 m</t>
  </si>
  <si>
    <t>Plataforma articulada de 8 m à 10 m</t>
  </si>
  <si>
    <t>Plataforma articulada de 10 m à 12 m</t>
  </si>
  <si>
    <t>Plataforma articulada de 13 m à 16 m</t>
  </si>
  <si>
    <t>Plataforma articulada de 18 m à 20 m</t>
  </si>
  <si>
    <t>Plataforma articulada de 24 m à 26 m</t>
  </si>
  <si>
    <t>Plataforma articulada de 38 m à 40 m</t>
  </si>
  <si>
    <t>Plataforma articulada de 30 m à 41 m</t>
  </si>
  <si>
    <t>Caminhão vácuo</t>
  </si>
  <si>
    <t>Trator sobre rodas</t>
  </si>
  <si>
    <t>Trator sobre esteiras</t>
  </si>
  <si>
    <t>Escavadeira</t>
  </si>
  <si>
    <t>Retroescavadeira</t>
  </si>
  <si>
    <t>Motoniveladora</t>
  </si>
  <si>
    <t>Caminhão basculante 6 m³</t>
  </si>
  <si>
    <t>Caminhão basculante 10 m³</t>
  </si>
  <si>
    <t>Caminhão basculante trucado 15 m³</t>
  </si>
  <si>
    <t>Rolo pé de carneiro</t>
  </si>
  <si>
    <t>Rolo compactador</t>
  </si>
  <si>
    <t>Side boom</t>
  </si>
  <si>
    <t>Curvadora de tubos</t>
  </si>
  <si>
    <t>Pá carregadeira</t>
  </si>
  <si>
    <t>Caminhão Espargidor</t>
  </si>
  <si>
    <t>R$ por Hora</t>
  </si>
  <si>
    <t>Contempla?</t>
  </si>
  <si>
    <t>Encargos Sociais</t>
  </si>
  <si>
    <t>Mobilização de Mão de Obra</t>
  </si>
  <si>
    <t>Sim</t>
  </si>
  <si>
    <t>Canteiro de Obras e Infraestrutura de Apoio</t>
  </si>
  <si>
    <t>Não</t>
  </si>
  <si>
    <t>Tarifas &gt;&gt;&gt;</t>
  </si>
  <si>
    <t>Salários</t>
  </si>
  <si>
    <t>Hora Contratual</t>
  </si>
  <si>
    <t>Hora Contratual com Diluição de MOI</t>
  </si>
  <si>
    <t>Hora Pura</t>
  </si>
  <si>
    <t>Hora Pura com Diluição de MOI</t>
  </si>
  <si>
    <t>Hora Cheia</t>
  </si>
  <si>
    <t>Hora Cheia com Diluição de MOI</t>
  </si>
  <si>
    <t>Dados Contratuais</t>
  </si>
  <si>
    <t>Remuneração</t>
  </si>
  <si>
    <t>Regime de Remuneração</t>
  </si>
  <si>
    <t>Remuneração Total (Mês)</t>
  </si>
  <si>
    <t>Remuneração + Reajuste</t>
  </si>
  <si>
    <t>Descrição Sindical</t>
  </si>
  <si>
    <t>Observações</t>
  </si>
  <si>
    <t>Hora Normal</t>
  </si>
  <si>
    <t>Hora
Extra 1</t>
  </si>
  <si>
    <t>Hora
Extra 2</t>
  </si>
  <si>
    <t>Qtd. Horas Normais</t>
  </si>
  <si>
    <t>Qtd. Banco de Horas</t>
  </si>
  <si>
    <t>Qtd. Horas Extras 1</t>
  </si>
  <si>
    <t>Qtd. Horas Extras 2</t>
  </si>
  <si>
    <t>HH Trabalhado</t>
  </si>
  <si>
    <t>Salário Total</t>
  </si>
  <si>
    <t>Valor Total Venda</t>
  </si>
  <si>
    <t>MOD Rotina</t>
  </si>
  <si>
    <t>Salários 2024</t>
  </si>
  <si>
    <t>Salários 2026</t>
  </si>
  <si>
    <t>Dias trabalhados mes</t>
  </si>
  <si>
    <t>Horas trabalhados mes</t>
  </si>
  <si>
    <t>CLT</t>
  </si>
  <si>
    <t>ítem</t>
  </si>
  <si>
    <t>Cargo</t>
  </si>
  <si>
    <t>Horista</t>
  </si>
  <si>
    <t>Gerente - Obras/Projeto</t>
  </si>
  <si>
    <t>Gerente - Adm/ Corpora</t>
  </si>
  <si>
    <t>GER.(ADM/CORP)</t>
  </si>
  <si>
    <t>Coordenador</t>
  </si>
  <si>
    <t>COORD.</t>
  </si>
  <si>
    <t>Supervisor / Especialista</t>
  </si>
  <si>
    <t>SUP.-ESP</t>
  </si>
  <si>
    <t>Engenheiro / Arquiteto Senior</t>
  </si>
  <si>
    <t>Engenheiro / Arquiteto Pleno</t>
  </si>
  <si>
    <t>ENG/ARQ PL.</t>
  </si>
  <si>
    <t>Engenheiro / Arquiteto Junior</t>
  </si>
  <si>
    <t>ENG/ARQ JR.</t>
  </si>
  <si>
    <t>Analista Senior - Eng e Arqu.</t>
  </si>
  <si>
    <t>AN SR. ENG/ARQ</t>
  </si>
  <si>
    <t>Analista Pleno - Eng e Arqu.</t>
  </si>
  <si>
    <t>AN PL. ENG/ARQ</t>
  </si>
  <si>
    <t>Analista Júnior - Eng e Arqu.</t>
  </si>
  <si>
    <t>AN JR. ENG/ARQ</t>
  </si>
  <si>
    <t>Analista Senior - Adm/ Corpora</t>
  </si>
  <si>
    <t>AN SR. ADM/CRP</t>
  </si>
  <si>
    <t>Analista Pleno - Adm/ Corpora</t>
  </si>
  <si>
    <t>AN PL. ADM/CRP</t>
  </si>
  <si>
    <t>Analista Júnior - Adm/ Corpora</t>
  </si>
  <si>
    <t>AN JR. ADM/CRP</t>
  </si>
  <si>
    <t>Técnico III</t>
  </si>
  <si>
    <t>TEC III</t>
  </si>
  <si>
    <t>Técnico II</t>
  </si>
  <si>
    <t>TEC II</t>
  </si>
  <si>
    <t>Técnico I</t>
  </si>
  <si>
    <t>TEC I</t>
  </si>
  <si>
    <t>Auxiliar Técnico</t>
  </si>
  <si>
    <t>AUX TEC</t>
  </si>
  <si>
    <t>AUX ADM</t>
  </si>
  <si>
    <t>Estagiário</t>
  </si>
  <si>
    <t>EST</t>
  </si>
  <si>
    <t>Estagiário II</t>
  </si>
  <si>
    <t>Estagiário III</t>
  </si>
  <si>
    <t>Precificação dos Serviços</t>
  </si>
  <si>
    <t>Custo Total de Serviços</t>
  </si>
  <si>
    <t>Periculosidade</t>
  </si>
  <si>
    <t>Insalubridade</t>
  </si>
  <si>
    <t>Adicional Noturno</t>
  </si>
  <si>
    <t>Turno de Revezamento</t>
  </si>
  <si>
    <t>Transferência</t>
  </si>
  <si>
    <t>Trabalho Embarcado</t>
  </si>
  <si>
    <t>Banco de Horas no Mês</t>
  </si>
  <si>
    <t>Hora Extra 1 no Mês</t>
  </si>
  <si>
    <t>Hora Extra 2 no Mês</t>
  </si>
  <si>
    <t>Qtd. do Recurso</t>
  </si>
  <si>
    <t>Salário Base</t>
  </si>
  <si>
    <t>Adicionais</t>
  </si>
  <si>
    <t>Custo Total de Adicionais</t>
  </si>
  <si>
    <t>Sim/Não</t>
  </si>
  <si>
    <t>% do adicional</t>
  </si>
  <si>
    <t>Preço Base</t>
  </si>
  <si>
    <t>Horas Noturnas</t>
  </si>
  <si>
    <t>Custo Total de Horas Extras</t>
  </si>
  <si>
    <t>Custo Banco de Horas</t>
  </si>
  <si>
    <t>Total Banco de Horas</t>
  </si>
  <si>
    <t>Qtd. Hora Extra 01</t>
  </si>
  <si>
    <t>Custo Hora Extra 01</t>
  </si>
  <si>
    <t>Total Hora Extra 01</t>
  </si>
  <si>
    <t>Qtd. Hora Extra 02</t>
  </si>
  <si>
    <t>Custo Hora Extra 02</t>
  </si>
  <si>
    <t>Total Hora Extra 02</t>
  </si>
  <si>
    <t>Grupo A</t>
  </si>
  <si>
    <t>Alíquota</t>
  </si>
  <si>
    <t>Preço Referência</t>
  </si>
  <si>
    <t>INSS</t>
  </si>
  <si>
    <t>SESI</t>
  </si>
  <si>
    <t>SENAI</t>
  </si>
  <si>
    <t>INCRA</t>
  </si>
  <si>
    <t>SEBRAE</t>
  </si>
  <si>
    <t>Salário Educação</t>
  </si>
  <si>
    <t>Seguro Contra Acidentes de Trabalho</t>
  </si>
  <si>
    <t>FGTS</t>
  </si>
  <si>
    <t>SECONCI</t>
  </si>
  <si>
    <t>Total Grupo A</t>
  </si>
  <si>
    <t>Grupo B</t>
  </si>
  <si>
    <t>Repouso Semanal Remunerado</t>
  </si>
  <si>
    <t>Feriados</t>
  </si>
  <si>
    <t>Auxílio Enfermidade</t>
  </si>
  <si>
    <t>13º Salário</t>
  </si>
  <si>
    <t>Licença Paternidade</t>
  </si>
  <si>
    <t>Faltas Justificadas</t>
  </si>
  <si>
    <t>Auxílio Acidente de Trabalho</t>
  </si>
  <si>
    <t>Férias Gozadas + 1/3</t>
  </si>
  <si>
    <t>Salário Maternidade</t>
  </si>
  <si>
    <t>Total Grupo B</t>
  </si>
  <si>
    <t>Grupo C</t>
  </si>
  <si>
    <t>Haverá Dispensa?</t>
  </si>
  <si>
    <t>Percentual do contrato para a dispensa</t>
  </si>
  <si>
    <t>Valor de salários da dispensa 100%</t>
  </si>
  <si>
    <t>Valor de salários da dispensa parcial</t>
  </si>
  <si>
    <t>Aviso Prévio Indenizado</t>
  </si>
  <si>
    <t>NÃO</t>
  </si>
  <si>
    <t>Depósito por Dispensa Imotivada</t>
  </si>
  <si>
    <t>SIM</t>
  </si>
  <si>
    <t>Indenização Adicional</t>
  </si>
  <si>
    <t>Indenização por Estabilidade à Acidentado</t>
  </si>
  <si>
    <t>Total Grupo C</t>
  </si>
  <si>
    <t>Grupo D</t>
  </si>
  <si>
    <t>Incidência cumulativa - Grupo A x Grupo B</t>
  </si>
  <si>
    <t>Incidência Grupo A x Aviso Prévio</t>
  </si>
  <si>
    <t>Total Grupo D</t>
  </si>
  <si>
    <t>Prazo de Mobilização</t>
  </si>
  <si>
    <t>Qtd. de Profissionais</t>
  </si>
  <si>
    <t>Unidade do Recurso</t>
  </si>
  <si>
    <t>Utilização do Recurso (%)</t>
  </si>
  <si>
    <t>Custo Unitário do Recurso</t>
  </si>
  <si>
    <t>Custo Total do Recurso</t>
  </si>
  <si>
    <t>Mobilização e integração de mão de obra</t>
  </si>
  <si>
    <t>Horas Mob.</t>
  </si>
  <si>
    <t>Alimentação</t>
  </si>
  <si>
    <t>Desjejum</t>
  </si>
  <si>
    <t>Uniddes</t>
  </si>
  <si>
    <t>Almoço</t>
  </si>
  <si>
    <t>Lanche da tarde</t>
  </si>
  <si>
    <t>Jantar</t>
  </si>
  <si>
    <t>Ceia</t>
  </si>
  <si>
    <t>Deslocamento</t>
  </si>
  <si>
    <t>Ônibus fretado</t>
  </si>
  <si>
    <t>Micro-ônibus fretado</t>
  </si>
  <si>
    <t>Van fretada</t>
  </si>
  <si>
    <t>Transporte púbico</t>
  </si>
  <si>
    <t>Prazo de Desmobilização</t>
  </si>
  <si>
    <t>Mobilização de mão de obra</t>
  </si>
  <si>
    <t>Horas Desmob.</t>
  </si>
  <si>
    <t>Locação de Residência</t>
  </si>
  <si>
    <t>Fator de Uso</t>
  </si>
  <si>
    <t>Unidade do Fator de Uso</t>
  </si>
  <si>
    <t>Locação de residência</t>
  </si>
  <si>
    <t>Meses</t>
  </si>
  <si>
    <t>Energia elétrica para residência</t>
  </si>
  <si>
    <t>Água para residência</t>
  </si>
  <si>
    <t>Telefonia e pacote de dados para residência</t>
  </si>
  <si>
    <t>Adequação de imóvel - Civil</t>
  </si>
  <si>
    <t>Verba</t>
  </si>
  <si>
    <t>Atividade</t>
  </si>
  <si>
    <t>Adequação de imóvel - Elétrica</t>
  </si>
  <si>
    <t>Adequação de imóvel - Hidráulica</t>
  </si>
  <si>
    <t>Adequação de imóvel - Cobertura</t>
  </si>
  <si>
    <t>Adequação de imóvel - Esquadrias</t>
  </si>
  <si>
    <t>Adequação de imóvel - Pintura</t>
  </si>
  <si>
    <t>Locação de Área Comercial</t>
  </si>
  <si>
    <t>Locação de área comercial</t>
  </si>
  <si>
    <t>Energia elétrica para área comercial</t>
  </si>
  <si>
    <t>Água para área comercial</t>
  </si>
  <si>
    <t>Telefonia e pacote de dados para área comercial</t>
  </si>
  <si>
    <t>Alojamento</t>
  </si>
  <si>
    <t>Guarita</t>
  </si>
  <si>
    <t>m²</t>
  </si>
  <si>
    <t>Serviços Gerais e Ambulatório</t>
  </si>
  <si>
    <t>Administração</t>
  </si>
  <si>
    <t>Refeitório</t>
  </si>
  <si>
    <t>Centro Comercial e Quiosques</t>
  </si>
  <si>
    <t>Academia</t>
  </si>
  <si>
    <t>Sala de TV e Biblioteca</t>
  </si>
  <si>
    <t>Alojamento Assobradado</t>
  </si>
  <si>
    <t>Lavanderia</t>
  </si>
  <si>
    <t>Caixa d'água</t>
  </si>
  <si>
    <t>Beliche</t>
  </si>
  <si>
    <t>Aquisição</t>
  </si>
  <si>
    <t>Cama de solteiro</t>
  </si>
  <si>
    <t>Armário 2 portas com chave</t>
  </si>
  <si>
    <t>Ventilador de teto</t>
  </si>
  <si>
    <t>Instalações Provisórias</t>
  </si>
  <si>
    <t>Container habitável 15m²</t>
  </si>
  <si>
    <t>Container habitável 30m²</t>
  </si>
  <si>
    <t>Container habitável 45m²</t>
  </si>
  <si>
    <t>Container vestiário (03 x Vasos e 04 x Chuveiros)</t>
  </si>
  <si>
    <t>Sanitário químico com manutenção</t>
  </si>
  <si>
    <t>Galpão de lona</t>
  </si>
  <si>
    <t>Adequação de área disponibilizada - Civil</t>
  </si>
  <si>
    <t>Adequação de área disponibilizada - Elétrica</t>
  </si>
  <si>
    <t>Adequação de área disponibilizada - Hidráulica</t>
  </si>
  <si>
    <t>Adequação de área disponibilizada - Cobertura</t>
  </si>
  <si>
    <t>Adequação de área disponibilizada - Esquadrias</t>
  </si>
  <si>
    <t>Adequação de área disponibilizada - Pintura</t>
  </si>
  <si>
    <t>Instalações Fixas</t>
  </si>
  <si>
    <t>Galpão de telha metálica</t>
  </si>
  <si>
    <t>Construção de canteiro - Almoxarifado</t>
  </si>
  <si>
    <t>Construção de canteiro - Área de vivência</t>
  </si>
  <si>
    <t>Construção de canteiro - Baias de resíduos químicos</t>
  </si>
  <si>
    <t>Construção de canteiro - Baias de resíduos sólidos</t>
  </si>
  <si>
    <t>Construção de canteiro - Canteiro avançado</t>
  </si>
  <si>
    <t>Construção de canteiro - Carpintaria</t>
  </si>
  <si>
    <t>Construção de canteiro - Central de fôrmas</t>
  </si>
  <si>
    <t>Construção de canteiro - Controle tecnológico</t>
  </si>
  <si>
    <t>Construção de canteiro - Escritório</t>
  </si>
  <si>
    <t>Construção de canteiro - Guarita</t>
  </si>
  <si>
    <t>Construção de canteiro - Pronto atendimento</t>
  </si>
  <si>
    <t>Construção de canteiro - Refeitório</t>
  </si>
  <si>
    <t>Construção de canteiro - Sanitário e vestiário</t>
  </si>
  <si>
    <t>Construção de canteiro - Sala de treinamento</t>
  </si>
  <si>
    <t>Gradil e cercas</t>
  </si>
  <si>
    <t>Metro linear</t>
  </si>
  <si>
    <t>Sistema de CFTV para canteiro de obras</t>
  </si>
  <si>
    <t>Câmera</t>
  </si>
  <si>
    <t>Torniquete para controle de acesso para canteiro de obras</t>
  </si>
  <si>
    <t>ETE Provisória</t>
  </si>
  <si>
    <t>Castelo D'água</t>
  </si>
  <si>
    <t>Mobiliário e Equipamentos do Canteiro de Obras</t>
  </si>
  <si>
    <t>Depreciação
(meses)</t>
  </si>
  <si>
    <t>Mesa para escritório</t>
  </si>
  <si>
    <t>Cadeira com rodinha</t>
  </si>
  <si>
    <t>Cadeira sem rodinha</t>
  </si>
  <si>
    <t>Armário para escritório</t>
  </si>
  <si>
    <t>Mesa para sala de reunião - 6 lugares</t>
  </si>
  <si>
    <t>Conjunto de cadeiras para sala de reunião</t>
  </si>
  <si>
    <t>Quadro de cortiça para avisos</t>
  </si>
  <si>
    <t>Quadro branco</t>
  </si>
  <si>
    <t>Armário para vestiário - 8 portas</t>
  </si>
  <si>
    <t>Bebedouro refrigerado para galão de 20 litros</t>
  </si>
  <si>
    <t>Bebedouro refrigerado industrial</t>
  </si>
  <si>
    <t>Ar condicionado 12.000 Btus</t>
  </si>
  <si>
    <t>Cadeira com 3 assentos</t>
  </si>
  <si>
    <t>Mesa de pebolim</t>
  </si>
  <si>
    <t>Mesa de sinuca</t>
  </si>
  <si>
    <t>Mesa de tênis de mesa</t>
  </si>
  <si>
    <t>Televisão 42" com suporte</t>
  </si>
  <si>
    <t>Maca para ambulatório</t>
  </si>
  <si>
    <t>Cadeira universitária</t>
  </si>
  <si>
    <t>Acessórios e jogos de tabuleiro</t>
  </si>
  <si>
    <t>Conjunto de mesa e cadeiras plásticas</t>
  </si>
  <si>
    <t>Refeição e Alimentação</t>
  </si>
  <si>
    <t>Homem x Mês</t>
  </si>
  <si>
    <t>Unidades/mês</t>
  </si>
  <si>
    <t>Lanche</t>
  </si>
  <si>
    <t>Cesta básica</t>
  </si>
  <si>
    <t>Cesta natalina</t>
  </si>
  <si>
    <t>Unidades/ano</t>
  </si>
  <si>
    <t>Saúde</t>
  </si>
  <si>
    <t>Plano de saúde</t>
  </si>
  <si>
    <t>Vidas cobertas</t>
  </si>
  <si>
    <t>Plano odontológico</t>
  </si>
  <si>
    <t>Seguro de vida</t>
  </si>
  <si>
    <t>Transporte</t>
  </si>
  <si>
    <t>Vale transporte</t>
  </si>
  <si>
    <t>Vales/mês</t>
  </si>
  <si>
    <t>Participação nos Resultados</t>
  </si>
  <si>
    <t>PLR - Participação no Lucro</t>
  </si>
  <si>
    <t>PLR/ano</t>
  </si>
  <si>
    <t>Outros benefícios</t>
  </si>
  <si>
    <t>Ajuda de custo</t>
  </si>
  <si>
    <t>Auxílio creche</t>
  </si>
  <si>
    <t>Exames Médicos Ocupacionais</t>
  </si>
  <si>
    <t>Exame médico admissional</t>
  </si>
  <si>
    <t>Exame médico periódio semestral</t>
  </si>
  <si>
    <t>Exame médico periódio anual</t>
  </si>
  <si>
    <t>Exame médico demissional</t>
  </si>
  <si>
    <t>Gestão de Saúde Ocupacional</t>
  </si>
  <si>
    <t>PPRA/PCMSO</t>
  </si>
  <si>
    <t>EPI's</t>
  </si>
  <si>
    <t>Camisa brim</t>
  </si>
  <si>
    <t>Unidades/Prof</t>
  </si>
  <si>
    <t>Calça brim</t>
  </si>
  <si>
    <t>Macação brim</t>
  </si>
  <si>
    <t>Calça RF</t>
  </si>
  <si>
    <t>Camisa RF</t>
  </si>
  <si>
    <t>Macacão RF</t>
  </si>
  <si>
    <t>Colete com faixa refletiva</t>
  </si>
  <si>
    <t>Japona/Jaqueta com faixa refletiva</t>
  </si>
  <si>
    <t>Capa de chuva</t>
  </si>
  <si>
    <t>Capacete com carneira e jugular</t>
  </si>
  <si>
    <t>Carneira</t>
  </si>
  <si>
    <t>Jugular</t>
  </si>
  <si>
    <t>Protetor auricular tipo concha para capacete</t>
  </si>
  <si>
    <t>Protetor auricular tipo concha</t>
  </si>
  <si>
    <t>Protetor auricular interno</t>
  </si>
  <si>
    <t>Botina com biqueira de aço</t>
  </si>
  <si>
    <t>Botina com biqueira de PCV</t>
  </si>
  <si>
    <t>Botina com biqueira de PVC com metatarso</t>
  </si>
  <si>
    <t>Óculos de proteção convencional</t>
  </si>
  <si>
    <t>Óculos de proteção de sobrepor</t>
  </si>
  <si>
    <t>Óculos de proteção amplavisão</t>
  </si>
  <si>
    <t>Protetor facil com catrata</t>
  </si>
  <si>
    <t>Máscara de proteção respiratória PFF1</t>
  </si>
  <si>
    <t>Máscara de tecido</t>
  </si>
  <si>
    <t>Luva multitato</t>
  </si>
  <si>
    <t>Luva de vaqueta</t>
  </si>
  <si>
    <t>Luva de raspa punho curto</t>
  </si>
  <si>
    <t>Luva de raspa punho longo</t>
  </si>
  <si>
    <t>Crachá</t>
  </si>
  <si>
    <t>Bolsa para EPI's</t>
  </si>
  <si>
    <t>Avental de raspa com mangas para soldador</t>
  </si>
  <si>
    <t>Avental de raspa</t>
  </si>
  <si>
    <t>Mangote de raspa</t>
  </si>
  <si>
    <t>Perneira de raspa</t>
  </si>
  <si>
    <t>Perneira de couro</t>
  </si>
  <si>
    <t>Máscara de solda com escurecimento automático</t>
  </si>
  <si>
    <t>Cinto de segurança com talabarte Y</t>
  </si>
  <si>
    <t>Macacão para NR 10</t>
  </si>
  <si>
    <t>Protetor Facil para Arco Elétrico</t>
  </si>
  <si>
    <t>Luva Isolante Alta Tensão - Classe 0</t>
  </si>
  <si>
    <t>Luva Isolante Alta Tensão - Classe 2</t>
  </si>
  <si>
    <t>Luva Isolante Alta Tensão - Classe 3</t>
  </si>
  <si>
    <t>Alpinismo - Cinto de segurança para alpinista</t>
  </si>
  <si>
    <t>Alpinismo - Talabarte duplo com absorvedor de energia</t>
  </si>
  <si>
    <t>Alpinismo - Mosquetões de aço – oval</t>
  </si>
  <si>
    <t>Alpinismo - Mosquetões de alumínio – tipo D assimétrico</t>
  </si>
  <si>
    <t>Alpinismo - Placa de ancoragem</t>
  </si>
  <si>
    <t>Alpinismo - Roldanas simples</t>
  </si>
  <si>
    <t>Alpinismo - Roldana dupla (paralela)</t>
  </si>
  <si>
    <t>Alpinismo - Corda de 11mm  K2 com 100m para alpinista</t>
  </si>
  <si>
    <t>Alpinismo - Trava quedas para alpinista</t>
  </si>
  <si>
    <t>Alpinismo - Ascensor de punho para alpinista</t>
  </si>
  <si>
    <t>Alpinismo - Ascensor de pé para alpinista</t>
  </si>
  <si>
    <t>Alpinismo - Ascensor de peito para alpinista</t>
  </si>
  <si>
    <t>Alpinismo - Descensor ID “S” – para cordas de até 11,5 mm para alpinista</t>
  </si>
  <si>
    <t>Alpinismo - Capacete para alpinista</t>
  </si>
  <si>
    <t>Alpinismo - Mosquetão para alpinista</t>
  </si>
  <si>
    <t>Alpinismo - Cinta de ancoragem 100cm para alpinista</t>
  </si>
  <si>
    <t>Protetor solar</t>
  </si>
  <si>
    <t>Álcool em gel</t>
  </si>
  <si>
    <t>EPC's</t>
  </si>
  <si>
    <t>Cone</t>
  </si>
  <si>
    <t>Fita zebrada</t>
  </si>
  <si>
    <t>Metros</t>
  </si>
  <si>
    <t>Corrente de sinalização (preta e amarela)</t>
  </si>
  <si>
    <t>Pedestal sinalizador para corrente</t>
  </si>
  <si>
    <t>Tela de proteção (laranja)</t>
  </si>
  <si>
    <t>Pontalete de madeira</t>
  </si>
  <si>
    <t>Cabana Kevlar</t>
  </si>
  <si>
    <t>Gazebo</t>
  </si>
  <si>
    <t>Placa de sinalização pequena</t>
  </si>
  <si>
    <t>Placa de sinalização média</t>
  </si>
  <si>
    <t>Placa de sinalização grande</t>
  </si>
  <si>
    <t>Banner</t>
  </si>
  <si>
    <t>Pedestal para banner</t>
  </si>
  <si>
    <t>Extintor de incêndio ABC - 6 kg</t>
  </si>
  <si>
    <t>Treinamento</t>
  </si>
  <si>
    <t>Validade</t>
  </si>
  <si>
    <t>Direção Defensiva</t>
  </si>
  <si>
    <t>Primeiros Socorros</t>
  </si>
  <si>
    <t>S.E.P. (Sist. Elétrico de Potência)</t>
  </si>
  <si>
    <t>Combate a Incêndio</t>
  </si>
  <si>
    <t>Campanha de QSMS</t>
  </si>
  <si>
    <t>Reciclagem de integração</t>
  </si>
  <si>
    <t>NR-06 EPI's</t>
  </si>
  <si>
    <t>NR-09 Riscos Ambientais</t>
  </si>
  <si>
    <t>NR-10 Eletricidade</t>
  </si>
  <si>
    <t>NR-11 Transporte, Movimentação, Armazenagem e Manuseio de Materiais</t>
  </si>
  <si>
    <t>NR-12 Máquinas e Equipamentos (segurança)</t>
  </si>
  <si>
    <t>NR-13 Caldeiras e Vasos de Pressão</t>
  </si>
  <si>
    <t>NR-14 Fornos</t>
  </si>
  <si>
    <t>NR-19 Explosivos</t>
  </si>
  <si>
    <t>NR-20 Líquidos Combustíveis e Inflamáveis</t>
  </si>
  <si>
    <t>NR-23 Proteção Contra Incêndios</t>
  </si>
  <si>
    <t>NR-25 Resíduos Industriais</t>
  </si>
  <si>
    <t>NR-26 Sinalização de segurança</t>
  </si>
  <si>
    <t>NR-33 Espaço Confinado</t>
  </si>
  <si>
    <t>NR-35 Trabalho em Altura</t>
  </si>
  <si>
    <t>Passagem</t>
  </si>
  <si>
    <t>Passagem aérea - Indiretos</t>
  </si>
  <si>
    <t>Viagens/mês</t>
  </si>
  <si>
    <t>Passagem aérea - Diretos</t>
  </si>
  <si>
    <t>Passagem rodoviária - Indiretos</t>
  </si>
  <si>
    <t>Passagem rodoviária - Diretos</t>
  </si>
  <si>
    <t>Hospedagem</t>
  </si>
  <si>
    <t>Hotel/Pousada - Quarto individual</t>
  </si>
  <si>
    <t>Diárias</t>
  </si>
  <si>
    <t>Hotel/Pousada - Quarto duplo</t>
  </si>
  <si>
    <t>Deslocamento/ Transfer</t>
  </si>
  <si>
    <t>Táxi/Uber</t>
  </si>
  <si>
    <t>Viagens</t>
  </si>
  <si>
    <t>Reembolso de quilometragem</t>
  </si>
  <si>
    <t>Km/mês</t>
  </si>
  <si>
    <t>Viagem Diretoria + Hospedagem</t>
  </si>
  <si>
    <t>Rafa Amore 2 viagens mensais + hospedagem</t>
  </si>
  <si>
    <t>Leonardo</t>
  </si>
  <si>
    <t>Equipamentos Manuais</t>
  </si>
  <si>
    <t>Caixas de Ferramentas</t>
  </si>
  <si>
    <t>Manutenção de Equipamentos</t>
  </si>
  <si>
    <t>Manutenção de equipamentos</t>
  </si>
  <si>
    <t>Tecnologia da Informação e Comunicação</t>
  </si>
  <si>
    <t>Licenças e Softwares</t>
  </si>
  <si>
    <t>Adobe reader</t>
  </si>
  <si>
    <t>Adobe Acrobat PRO</t>
  </si>
  <si>
    <t>Revit</t>
  </si>
  <si>
    <t>Project</t>
  </si>
  <si>
    <t>Pacote Office 365</t>
  </si>
  <si>
    <t>Windows</t>
  </si>
  <si>
    <t>Veículos Leves e Fretamento</t>
  </si>
  <si>
    <t>Veículos Leve</t>
  </si>
  <si>
    <t>Fretamento</t>
  </si>
  <si>
    <t>Combustível</t>
  </si>
  <si>
    <t>Combustível para veículos leve</t>
  </si>
  <si>
    <t>Litros/mês</t>
  </si>
  <si>
    <t>Combustível para ônibus</t>
  </si>
  <si>
    <t>Combustível para micro-ônibus</t>
  </si>
  <si>
    <t>Combustível para van</t>
  </si>
  <si>
    <t>Pedágios</t>
  </si>
  <si>
    <t>Pedágios/mês</t>
  </si>
  <si>
    <t>Material de Consumo Mão de Obra Indireta</t>
  </si>
  <si>
    <t>Material de consumo para mão de obra indireta</t>
  </si>
  <si>
    <t>Material de Consumo Mão de Obra Direta</t>
  </si>
  <si>
    <t>Material de consumo - mão de obra direta - rotia</t>
  </si>
  <si>
    <t>Material de Consumo Geral</t>
  </si>
  <si>
    <t>Material de limpeza</t>
  </si>
  <si>
    <t>Verba/mês</t>
  </si>
  <si>
    <t>Material de consumo para inspeção</t>
  </si>
  <si>
    <t>Material de consumo para retoque de pintura</t>
  </si>
  <si>
    <t>Água industrial</t>
  </si>
  <si>
    <t>Litro</t>
  </si>
  <si>
    <t>Água potável</t>
  </si>
  <si>
    <t>Combustível para gerador</t>
  </si>
  <si>
    <t>Combustível para compressor</t>
  </si>
  <si>
    <t>Contratação de Mão de Obra PJ</t>
  </si>
  <si>
    <t>Documental</t>
  </si>
  <si>
    <t>Elaboração inicial de documentação</t>
  </si>
  <si>
    <t>Licenças</t>
  </si>
  <si>
    <t>ART</t>
  </si>
  <si>
    <t>Aquisição de normas técnicas</t>
  </si>
  <si>
    <t>Elaboração de procedimentos técnicos</t>
  </si>
  <si>
    <t>Serviços Gerais</t>
  </si>
  <si>
    <t>Limpeza e conservação de canteiro e instalações</t>
  </si>
  <si>
    <t>Higienização de fardamento/uniformes</t>
  </si>
  <si>
    <t>Lavagens/mês</t>
  </si>
  <si>
    <t>Telefonia e dados móveis</t>
  </si>
  <si>
    <t>Plano/mês</t>
  </si>
  <si>
    <t>Telefonia e dados móveis para residência</t>
  </si>
  <si>
    <t>Telefonia e dados móveis para área comercial</t>
  </si>
  <si>
    <t>Telefonia e dados móveis para alojamento</t>
  </si>
  <si>
    <t>Telefonia e dados móveis para canteiro</t>
  </si>
  <si>
    <t>Fretes e transportes gerais</t>
  </si>
  <si>
    <t>Mob. e Desmob. de constainers</t>
  </si>
  <si>
    <t>Mob. e Desmob. de galpão de lona</t>
  </si>
  <si>
    <t>Mob. e Desmob. de mobiliário para canteiro</t>
  </si>
  <si>
    <t>Mob. e Desmob. de equipamentos e ferramentas</t>
  </si>
  <si>
    <t>Mob. e Desmob. de equipamentos de informática</t>
  </si>
  <si>
    <t>Mob. e Desmob.</t>
  </si>
  <si>
    <t>Risco</t>
  </si>
  <si>
    <t>Descrição do Risco</t>
  </si>
  <si>
    <t>Incidência</t>
  </si>
  <si>
    <t>Unidade da Incidência</t>
  </si>
  <si>
    <t>Valor de Referênca</t>
  </si>
  <si>
    <t>Unidade da Referência</t>
  </si>
  <si>
    <t>Probabilidade</t>
  </si>
  <si>
    <t>Impacto no Custo Unitário</t>
  </si>
  <si>
    <t>Risco, conforme análise de risco (aba "Análise de Risco")</t>
  </si>
  <si>
    <t>Custo de Risco</t>
  </si>
  <si>
    <t>Análise de Risco</t>
  </si>
  <si>
    <t>Qtd. Do Recurso</t>
  </si>
  <si>
    <t>Apólice de seguro - Adiantamento</t>
  </si>
  <si>
    <t>Apólice</t>
  </si>
  <si>
    <t>Apólice de seguro - Responsabilidade Civil</t>
  </si>
  <si>
    <t>Crédito de PIS e COFINS</t>
  </si>
  <si>
    <t>% d eCrédito</t>
  </si>
  <si>
    <t>Formalização de assinatura de contrato</t>
  </si>
  <si>
    <t>Taxa</t>
  </si>
  <si>
    <t>Assinatura</t>
  </si>
  <si>
    <t>Improdutividade</t>
  </si>
  <si>
    <t>Cálculo da Improdutividade</t>
  </si>
  <si>
    <t>Unidade
(Qtd.)</t>
  </si>
  <si>
    <t>Unidade
(Referência)</t>
  </si>
  <si>
    <t>Incidência Total</t>
  </si>
  <si>
    <t>Unidade
(Incidência)</t>
  </si>
  <si>
    <t>Percentual de Improdutividade</t>
  </si>
  <si>
    <t>Aplicabilidade por Equipe Típica</t>
  </si>
  <si>
    <t>Chuvas, raios e suas consequências</t>
  </si>
  <si>
    <t>dias de chuva</t>
  </si>
  <si>
    <t>dias úteis no ano</t>
  </si>
  <si>
    <t>% horas/dia</t>
  </si>
  <si>
    <t>horas de deslocamento ano</t>
  </si>
  <si>
    <t>horas úteis no ano</t>
  </si>
  <si>
    <t>Diálogos Diários de Segurança</t>
  </si>
  <si>
    <t>horas em DDS</t>
  </si>
  <si>
    <t>Entrada e saída</t>
  </si>
  <si>
    <t>horas em inatividade</t>
  </si>
  <si>
    <t>Exame toxicológico</t>
  </si>
  <si>
    <t>horas em exame toxicológico</t>
  </si>
  <si>
    <t>% profissionais/ total MO</t>
  </si>
  <si>
    <t>Organização e Limpeza</t>
  </si>
  <si>
    <t>horas em atividade</t>
  </si>
  <si>
    <t>Retirada de materiais, equipamentos e ferramentas</t>
  </si>
  <si>
    <t>horas em almoxarifado</t>
  </si>
  <si>
    <t>Treinamentos e Reciclagens</t>
  </si>
  <si>
    <t>horas em treinamento</t>
  </si>
  <si>
    <t>Vestiário (banho e troca de uniforme)</t>
  </si>
  <si>
    <t>horas em vestiário</t>
  </si>
  <si>
    <t>Improdutividade Total</t>
  </si>
  <si>
    <t>--------------------------------------------</t>
  </si>
  <si>
    <t>Produtividade Total</t>
  </si>
  <si>
    <t>Total &gt;&gt;&gt;</t>
  </si>
  <si>
    <t>Identificação do Risco</t>
  </si>
  <si>
    <t>Análise Qualitativa</t>
  </si>
  <si>
    <t>MEMÓRIA DE CÁLCULO
PRÉ-TRATAMENTO</t>
  </si>
  <si>
    <t>Plano de Resposta ao Risco</t>
  </si>
  <si>
    <t>Análise Quantitativa</t>
  </si>
  <si>
    <t>MEMÓRIA DE CÁLCULO ESTIMADO</t>
  </si>
  <si>
    <t>Classificação do Risco Pré-Tratamento</t>
  </si>
  <si>
    <t>Classificação do Risco Pós-Tratamento</t>
  </si>
  <si>
    <t>Tipologia do Risco</t>
  </si>
  <si>
    <t>EAR Nível 1</t>
  </si>
  <si>
    <t>EAR Nível 2</t>
  </si>
  <si>
    <t>Causa</t>
  </si>
  <si>
    <t>Efeito</t>
  </si>
  <si>
    <t>Fase em que foi Identificado</t>
  </si>
  <si>
    <t>Nível de Probabilidade Pré</t>
  </si>
  <si>
    <t>Probabilidade Pré</t>
  </si>
  <si>
    <t>Nível de Impacto Pré</t>
  </si>
  <si>
    <t>Impacto Pré</t>
  </si>
  <si>
    <t>Classificação Risco / Severidade Pré</t>
  </si>
  <si>
    <t>Prob. Mínima</t>
  </si>
  <si>
    <t>Prob. Máxima</t>
  </si>
  <si>
    <t>Valor Mínimo</t>
  </si>
  <si>
    <t>Valor Máximo</t>
  </si>
  <si>
    <t>Valor Médio</t>
  </si>
  <si>
    <t>Estratégia de Tratamento</t>
  </si>
  <si>
    <t>Plano de Ação</t>
  </si>
  <si>
    <t>Departamento Responsável</t>
  </si>
  <si>
    <t>Lista de Tratamento ao Risco
Ameaça ou Oportunidade</t>
  </si>
  <si>
    <t>Descrição da Quantificação</t>
  </si>
  <si>
    <t>Probabilidade de Ocorrência (%)</t>
  </si>
  <si>
    <t>Valor Médio Estimado</t>
  </si>
  <si>
    <t>Ameaça</t>
  </si>
  <si>
    <t>Engenharia e Projetos</t>
  </si>
  <si>
    <t>Prospecção</t>
  </si>
  <si>
    <t>Mitigar</t>
  </si>
  <si>
    <t>Encargos Sociais - Mão de Obra Indireta - Periódicos</t>
  </si>
  <si>
    <t>Encargos Sociais - Mão de Obra Indireta - Anuais</t>
  </si>
  <si>
    <t>Encargos Sociais - Mão de Obra Indireta - Desmobilização</t>
  </si>
  <si>
    <t>Encargos Sociais - Mão de Obra Direta - Periódicos</t>
  </si>
  <si>
    <t>Encargos Sociais - Mão de Obra Direta - Anuais</t>
  </si>
  <si>
    <t>Encargos Sociais - Mão de Obra Direta - Desmobilização</t>
  </si>
  <si>
    <t>Gastos mensais</t>
  </si>
  <si>
    <t>Gasto na mobilização</t>
  </si>
  <si>
    <t>Informações de Entrada</t>
  </si>
  <si>
    <t>Fluxo de Caixa</t>
  </si>
  <si>
    <t>Taxa de Custo Financeiro</t>
  </si>
  <si>
    <t>Taxa de Financimaneto a.m. (%)</t>
  </si>
  <si>
    <t>Retenção Contratual (%)</t>
  </si>
  <si>
    <t>Prazo de liberação da Retenção Contratual (meses)</t>
  </si>
  <si>
    <t>Avanço físico</t>
  </si>
  <si>
    <t>Fixo Mensal</t>
  </si>
  <si>
    <t>Planejado</t>
  </si>
  <si>
    <t>Critério de Medição</t>
  </si>
  <si>
    <t>Prazo para Pagamento</t>
  </si>
  <si>
    <t>Informe Econômico</t>
  </si>
  <si>
    <t>+</t>
  </si>
  <si>
    <t>Receita Equivalente</t>
  </si>
  <si>
    <t>Faturamento direto</t>
  </si>
  <si>
    <t>Faturamento Serviços</t>
  </si>
  <si>
    <t>P.N.F.</t>
  </si>
  <si>
    <t>Revenda de Materiais</t>
  </si>
  <si>
    <t>-</t>
  </si>
  <si>
    <t>Encargos Sociais - Mão de Obra Indireta</t>
  </si>
  <si>
    <t>Encargos Sociais - Mão de Obra Direta</t>
  </si>
  <si>
    <t>Margem Bruta (R$)</t>
  </si>
  <si>
    <t>Margem Bruta (%)</t>
  </si>
  <si>
    <t>Margem Líquida (R$)</t>
  </si>
  <si>
    <t>Margem Líquida (%)</t>
  </si>
  <si>
    <t>Informe Financeiro</t>
  </si>
  <si>
    <t>=</t>
  </si>
  <si>
    <t>Recebimento Bruto dos Serviços</t>
  </si>
  <si>
    <t>Adiantamento</t>
  </si>
  <si>
    <t>Retenção Contratual</t>
  </si>
  <si>
    <t>Recebimento Líquido</t>
  </si>
  <si>
    <t>Pagamento de Custos</t>
  </si>
  <si>
    <t>Pagamento de Impostos</t>
  </si>
  <si>
    <t>Geração de Caixa Bruta</t>
  </si>
  <si>
    <t>Geração de Caixa Líquida</t>
  </si>
  <si>
    <t>Geração de Caixa Acumulada</t>
  </si>
  <si>
    <t>Considerações e Comentários</t>
  </si>
  <si>
    <t>Sáb</t>
  </si>
  <si>
    <t>Contagem de sábados em 1 ano, prevendo a média dentro de 5 anos</t>
  </si>
  <si>
    <t>Dom</t>
  </si>
  <si>
    <t>Contagem de domingos em 1 ano, prevendo a média dentro de 5 anos</t>
  </si>
  <si>
    <t>Dia útil</t>
  </si>
  <si>
    <t>Contagem de dias úteis em 1 ano, prevendo a média dentro de 5 anos</t>
  </si>
  <si>
    <t>Dias no ano</t>
  </si>
  <si>
    <t>Feriados Nacionais</t>
  </si>
  <si>
    <t>Considerado 1 dia de afastamento por doença por pessoa</t>
  </si>
  <si>
    <t>Feriados Municipais</t>
  </si>
  <si>
    <t>&lt;&lt;&lt;&lt; Preencher</t>
  </si>
  <si>
    <t>Estimados, em média, 4 feriados municipais</t>
  </si>
  <si>
    <t>Férias</t>
  </si>
  <si>
    <t>Descanso semanal remunerado</t>
  </si>
  <si>
    <t>Afastamento por doença</t>
  </si>
  <si>
    <t>Afastamento por acidente de trabalho</t>
  </si>
  <si>
    <t>Considerado 1 dia de afastamento por acidente de trabalho por pessoa</t>
  </si>
  <si>
    <t>Considerado 1,5 dias de faltas justificadas por pessoa</t>
  </si>
  <si>
    <t>Licença paternidade</t>
  </si>
  <si>
    <t>Considerado que 5% do efetivo terá 5 dias de licença paternidade</t>
  </si>
  <si>
    <t>Licença maternidade</t>
  </si>
  <si>
    <t>Considerado que 1% do efetivo terá 120 dias de licença maternidade</t>
  </si>
  <si>
    <t>Dias para débito</t>
  </si>
  <si>
    <t>Dias efetivamente trabalhados</t>
  </si>
  <si>
    <t>Dias</t>
  </si>
  <si>
    <t>Data</t>
  </si>
  <si>
    <t>Classificação</t>
  </si>
  <si>
    <t>Data Original</t>
  </si>
  <si>
    <t>Classificação Final</t>
  </si>
  <si>
    <t>FERIADO</t>
  </si>
  <si>
    <t>DESTINO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</si>
  <si>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</si>
  <si>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</si>
  <si>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</si>
  <si>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</si>
  <si>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</si>
  <si>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</si>
  <si>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</si>
  <si>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</si>
  <si>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</si>
  <si>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</si>
  <si>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</si>
  <si>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</si>
  <si>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</si>
  <si>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</si>
  <si>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</si>
  <si>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</si>
  <si>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</si>
  <si>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</si>
  <si>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RN</t>
  </si>
  <si>
    <t>RS</t>
  </si>
  <si>
    <t>RJ</t>
  </si>
  <si>
    <t>RO</t>
  </si>
  <si>
    <t>RR</t>
  </si>
  <si>
    <t>SC</t>
  </si>
  <si>
    <t>SE</t>
  </si>
  <si>
    <t>TO</t>
  </si>
  <si>
    <t>IMP</t>
  </si>
  <si>
    <t>ORIGEM</t>
  </si>
  <si>
    <t>Avanço do Orçamento</t>
  </si>
  <si>
    <t>Soma de Pesos Totais</t>
  </si>
  <si>
    <t>Soma de Pesos do Orçamento</t>
  </si>
  <si>
    <t>Percentual Total (conferência)</t>
  </si>
  <si>
    <t>Avanço de Início</t>
  </si>
  <si>
    <t>Avanço de Conclusão</t>
  </si>
  <si>
    <t>Avanço Total</t>
  </si>
  <si>
    <t>Aba</t>
  </si>
  <si>
    <t>Setor Responsável</t>
  </si>
  <si>
    <t>Aplicabilidade</t>
  </si>
  <si>
    <t>Status de Início</t>
  </si>
  <si>
    <t>Data de Solicitação</t>
  </si>
  <si>
    <t>Status de Conclusão</t>
  </si>
  <si>
    <t>Data de Conclusão</t>
  </si>
  <si>
    <t>Observações/ Comentários/ Anotações</t>
  </si>
  <si>
    <t>Peso da Atividade
(de 0 a 10)</t>
  </si>
  <si>
    <t>% da Atividade</t>
  </si>
  <si>
    <t>Preenchimento dos dados básicos da precificação</t>
  </si>
  <si>
    <t>Dashboard</t>
  </si>
  <si>
    <t>Orçamento</t>
  </si>
  <si>
    <t>Preenchimento dos prazos</t>
  </si>
  <si>
    <t>Consulta de acordo coletivo</t>
  </si>
  <si>
    <t>Solicitação de aprovação de acordo coletivo</t>
  </si>
  <si>
    <t>Jurídico</t>
  </si>
  <si>
    <t>Solicitação de análise da minuta contratual/ contrato</t>
  </si>
  <si>
    <t>Solicitação de consolidação/aprovação dos benefícios aplicáveis</t>
  </si>
  <si>
    <t>Departamento Pessoal</t>
  </si>
  <si>
    <t>Solicitação de impostos aplicáveis</t>
  </si>
  <si>
    <t>Fiscal</t>
  </si>
  <si>
    <t>Levantamento de quantidades</t>
  </si>
  <si>
    <t>Engenharia</t>
  </si>
  <si>
    <t>Importação da PU do Cliente/ EAP do Cliente/ MTO da Engenharia</t>
  </si>
  <si>
    <t>Tarefas</t>
  </si>
  <si>
    <t>Aplicação de índice de produtividade para as atividades</t>
  </si>
  <si>
    <t>Realização do cálculo de improdutividade</t>
  </si>
  <si>
    <t>Preenchimento do cronograma estimado de projeto</t>
  </si>
  <si>
    <t>Cronog. e Histog.</t>
  </si>
  <si>
    <t>Dimensionamento das horas extras por equipe típica</t>
  </si>
  <si>
    <t>Dimensionamento das equipes típicas</t>
  </si>
  <si>
    <t>Dimensionamento da equipe de rotina/ apoio</t>
  </si>
  <si>
    <t>Dimensionamento das equipes indiretas</t>
  </si>
  <si>
    <t>Dimensionamento dos equipamentos leves e manuais</t>
  </si>
  <si>
    <t>Dimensionamento dos veículos leves e de fretamento</t>
  </si>
  <si>
    <t>Dimensionamento dos veículos pesados</t>
  </si>
  <si>
    <t>Preenchimento dos salários</t>
  </si>
  <si>
    <t>Solicitação de cotação de materiais</t>
  </si>
  <si>
    <t>Solicitação de cotação de equipamentos</t>
  </si>
  <si>
    <t>Solicitação de cotação de serviços</t>
  </si>
  <si>
    <t>Solicitação de cotação de recursos indiretos</t>
  </si>
  <si>
    <t>Precificação - Mão de Obra Indireta - Adicionais</t>
  </si>
  <si>
    <t>Precificação</t>
  </si>
  <si>
    <t>Precificação - Mão de Obra Indireta - Horas Extras</t>
  </si>
  <si>
    <t>Precificação - Mão de obra direta - Adicionais</t>
  </si>
  <si>
    <t>Precificação - Mão de obra direta (rotina) - Adicionais</t>
  </si>
  <si>
    <t>Precificação - Encargos Sociais - Mão de Obra Direta</t>
  </si>
  <si>
    <t>Precificação - Mobilização/ Integração de Mão de Obra</t>
  </si>
  <si>
    <t>Precificação - Desmobilização de Mão de Obra</t>
  </si>
  <si>
    <t>Precificação - Canteiro de Obras, Infraestrutura de Apoio e Alojamento</t>
  </si>
  <si>
    <t>Precificação - Benefícios</t>
  </si>
  <si>
    <t>Precificação - Exames Médicos e Gestão da Saúde Ocupacional</t>
  </si>
  <si>
    <t>Precificação - EPI's - Equipamentos de Proteção Individual</t>
  </si>
  <si>
    <t>Precificação - EPC's - Equipamentos de Proteção Coletiva</t>
  </si>
  <si>
    <t>Precificação - Treinamentos</t>
  </si>
  <si>
    <t>Precificação - Viagens e Hospedagem</t>
  </si>
  <si>
    <t>Precificação - Equipamentos e Ferramentas</t>
  </si>
  <si>
    <t>Precificação - Equipamentos de Informática e Softwares</t>
  </si>
  <si>
    <t>Precificação - Veículos leves e Fretamento</t>
  </si>
  <si>
    <t>Precificação - Veículos e Equipamentos Pesados</t>
  </si>
  <si>
    <t>Precificação - Materiais de Consumo</t>
  </si>
  <si>
    <t>Precificação - Materiais de Aplicação Gerais</t>
  </si>
  <si>
    <t>Precificação - Serviços Terceirizados</t>
  </si>
  <si>
    <t>Precificação - Locações</t>
  </si>
  <si>
    <t>Precificação - Mobilização e Desmobilização de Recursos</t>
  </si>
  <si>
    <t>Precificação - Outros Custos</t>
  </si>
  <si>
    <t>Elaboração da análise de risco</t>
  </si>
  <si>
    <t>Análise do fluxo de caixa</t>
  </si>
  <si>
    <t>Verificação final antes do fechamento</t>
  </si>
  <si>
    <t>Fechamento com superintendente de orçamentos e propostas</t>
  </si>
  <si>
    <t>Fechamento com operação</t>
  </si>
  <si>
    <t>Fechamento com diretoria técnica</t>
  </si>
  <si>
    <t>Formalização da aprovação via e-mail</t>
  </si>
  <si>
    <t>Envio de orçamento para o cliente</t>
  </si>
  <si>
    <t>Comercial</t>
  </si>
  <si>
    <t>CC</t>
  </si>
  <si>
    <t>MEC_EQUIP</t>
  </si>
  <si>
    <t>MECÂNICA</t>
  </si>
  <si>
    <t>MONTAGEM DE EQUIPAMENTOS</t>
  </si>
  <si>
    <t>TUB_FAB_AC</t>
  </si>
  <si>
    <t>TUBULAÇÃO AÇO CARBONO</t>
  </si>
  <si>
    <t>FABRICAÇÃO</t>
  </si>
  <si>
    <t>TUB_FAB_AI</t>
  </si>
  <si>
    <t>TUBULAÇÃO AÇO INOX</t>
  </si>
  <si>
    <t>TUB_FAB_AL</t>
  </si>
  <si>
    <t>TUBULAÇÃO AÇO LIGA</t>
  </si>
  <si>
    <t>TUB_FAB_PEAD</t>
  </si>
  <si>
    <t>TUBULAÇÃO PEAD</t>
  </si>
  <si>
    <t>TUB_MONT_AC</t>
  </si>
  <si>
    <t>MONTAGEM</t>
  </si>
  <si>
    <t>TUB_MONT_AI</t>
  </si>
  <si>
    <t>TUB_MONT_AL</t>
  </si>
  <si>
    <t>TUB_MONT_PEAD</t>
  </si>
  <si>
    <t>TUB_FAB+MONT_AC</t>
  </si>
  <si>
    <t>FABRICAÇÃO + MONTAGEM</t>
  </si>
  <si>
    <t>TUB_FAB+MONT_AI</t>
  </si>
  <si>
    <t>TUB_FAB+MONT_AL</t>
  </si>
  <si>
    <t>TUB_FAB+MONT_PEAD</t>
  </si>
  <si>
    <t>TUB_VALV</t>
  </si>
  <si>
    <t>TUBULAÇÃO</t>
  </si>
  <si>
    <t>MONTAGEM DE VÁLVULAS</t>
  </si>
  <si>
    <t>EST_FAB</t>
  </si>
  <si>
    <t>ESTRUTURA METÁLICA</t>
  </si>
  <si>
    <t>EST_MONT</t>
  </si>
  <si>
    <t>EST_FAB+MONT</t>
  </si>
  <si>
    <t>CAL_FAB</t>
  </si>
  <si>
    <t>CALDEIRARIA</t>
  </si>
  <si>
    <t>CAL_MONT</t>
  </si>
  <si>
    <t>CAL_FAB+MONT</t>
  </si>
  <si>
    <t>ISOL_MONT</t>
  </si>
  <si>
    <t>ISOLAMENTO TÉRMICO</t>
  </si>
  <si>
    <t>ELÉ_INFRA</t>
  </si>
  <si>
    <t>ELÉTRICA</t>
  </si>
  <si>
    <t>MONTAGEM DE INFRAESTRUTURA</t>
  </si>
  <si>
    <t>ELÉ_CABOS</t>
  </si>
  <si>
    <t>LANÇAMENTO DE CABOS</t>
  </si>
  <si>
    <t>ELÉ_EQUIP</t>
  </si>
  <si>
    <t>INS_INSTR.</t>
  </si>
  <si>
    <t>INSTRUMENTAÇÃO</t>
  </si>
  <si>
    <t>MONTAGEM DE INSTRUMENTOS</t>
  </si>
  <si>
    <t>CIV_GERAL</t>
  </si>
  <si>
    <t>CIVIL</t>
  </si>
  <si>
    <t>GERAL</t>
  </si>
  <si>
    <t>CIV_FOMRAS</t>
  </si>
  <si>
    <t>FÔRMAS</t>
  </si>
  <si>
    <t>CIV_ARMAD</t>
  </si>
  <si>
    <t>ARMADURA</t>
  </si>
  <si>
    <t>CIV_ESTRUT</t>
  </si>
  <si>
    <t>ESTRUTURAS</t>
  </si>
  <si>
    <t>COM</t>
  </si>
  <si>
    <t>COMISSIONAMENTO</t>
  </si>
  <si>
    <t>PART.ASSIST</t>
  </si>
  <si>
    <t>PARTIDA ASSISTIDA</t>
  </si>
  <si>
    <t>Revisão</t>
  </si>
  <si>
    <t>Fase</t>
  </si>
  <si>
    <t>EAR 1</t>
  </si>
  <si>
    <t>Fase em que foi Ifentificado</t>
  </si>
  <si>
    <t>Classificação do Risco</t>
  </si>
  <si>
    <t>Modalidade Contratural</t>
  </si>
  <si>
    <t>Revenda</t>
  </si>
  <si>
    <t>00</t>
  </si>
  <si>
    <t>Avaliação Orçamentos</t>
  </si>
  <si>
    <t>Escopo</t>
  </si>
  <si>
    <t>Raro
(Prob. &lt;15%)</t>
  </si>
  <si>
    <t>Insignificante
(de 0,0 a 500,0 R$mil)</t>
  </si>
  <si>
    <t>Desprezível</t>
  </si>
  <si>
    <t>Escalar</t>
  </si>
  <si>
    <t>Aplicável</t>
  </si>
  <si>
    <t>Programado</t>
  </si>
  <si>
    <t>Aplicação</t>
  </si>
  <si>
    <t>01</t>
  </si>
  <si>
    <t>Fechamento diretoria</t>
  </si>
  <si>
    <t>Oportunidade</t>
  </si>
  <si>
    <t>Tempo</t>
  </si>
  <si>
    <t>Proposta e Negociação</t>
  </si>
  <si>
    <t>Improvável
(15% &lt; Prob. &lt; 25%)</t>
  </si>
  <si>
    <t>Menor
(de 500,0 a 1.000,0 R$mil)</t>
  </si>
  <si>
    <t>Muito Baixo</t>
  </si>
  <si>
    <t>Aceitar</t>
  </si>
  <si>
    <t>Não Aplicável</t>
  </si>
  <si>
    <t>Não iniciado</t>
  </si>
  <si>
    <t>FD</t>
  </si>
  <si>
    <t>02</t>
  </si>
  <si>
    <t>Revisão de Orçamento</t>
  </si>
  <si>
    <t>Custo</t>
  </si>
  <si>
    <t>Planejamento</t>
  </si>
  <si>
    <t>Possível
(25% &lt; Prob. &lt; 50%)</t>
  </si>
  <si>
    <t>Moderado
(de 1.000,0 a 5.000,0 R$mil)</t>
  </si>
  <si>
    <t>Baixo</t>
  </si>
  <si>
    <t>Melhorar</t>
  </si>
  <si>
    <t>Solicitado</t>
  </si>
  <si>
    <t>Em execução</t>
  </si>
  <si>
    <t>03</t>
  </si>
  <si>
    <t>Execução</t>
  </si>
  <si>
    <t>Provável
(50% &lt; Prob.)</t>
  </si>
  <si>
    <t>Extremo
(de 5.000,0 a 25.000,0 R$mil)</t>
  </si>
  <si>
    <t>Médio Baixo</t>
  </si>
  <si>
    <t>Transferir</t>
  </si>
  <si>
    <t>Compartilhar</t>
  </si>
  <si>
    <t>Concluído</t>
  </si>
  <si>
    <t>04</t>
  </si>
  <si>
    <t>Econômico-Financeiro</t>
  </si>
  <si>
    <t>Monitoramento e Controle</t>
  </si>
  <si>
    <t>Moderado</t>
  </si>
  <si>
    <t>Eliminar</t>
  </si>
  <si>
    <t>Explorar</t>
  </si>
  <si>
    <t>05</t>
  </si>
  <si>
    <t>Partes Interessadas</t>
  </si>
  <si>
    <t>Encerramento</t>
  </si>
  <si>
    <t>Médio Alto</t>
  </si>
  <si>
    <t>06</t>
  </si>
  <si>
    <t>Recursos Humanos</t>
  </si>
  <si>
    <t>Pós-Obra</t>
  </si>
  <si>
    <t>Alto</t>
  </si>
  <si>
    <t>07</t>
  </si>
  <si>
    <t>Meio Ambiente</t>
  </si>
  <si>
    <t>Muito Alto</t>
  </si>
  <si>
    <t>08</t>
  </si>
  <si>
    <t>Segurança e Saúde</t>
  </si>
  <si>
    <t>Extremo</t>
  </si>
  <si>
    <t>09</t>
  </si>
  <si>
    <t>10</t>
  </si>
  <si>
    <t>Aquisições</t>
  </si>
  <si>
    <t>Comunicação</t>
  </si>
  <si>
    <t>Qualidade</t>
  </si>
  <si>
    <t>Pleitos</t>
  </si>
  <si>
    <t>O imposto calculado, levando-se em consideração que todo o material e mão-de-obra será comprado em nome do cliente e a Engenharia complementará o restante do valor das notas fiscais.</t>
  </si>
  <si>
    <t>STEEL - AÇO</t>
  </si>
  <si>
    <t>STEEL- PLAC/ASS</t>
  </si>
  <si>
    <t>INSTALAÇÕES</t>
  </si>
  <si>
    <t>ACABAMENTOS</t>
  </si>
  <si>
    <t>FATURAMENTO STEEL</t>
  </si>
  <si>
    <t>BDI</t>
  </si>
  <si>
    <t>LUCRO</t>
  </si>
  <si>
    <t>TOTAL GERAL</t>
  </si>
  <si>
    <t>TOTAL GERAL DA NF A SER EMITIDA</t>
  </si>
  <si>
    <t xml:space="preserve">IMPOSTOS </t>
  </si>
  <si>
    <t>FAT INDIRETO</t>
  </si>
  <si>
    <t>PRODUTO</t>
  </si>
  <si>
    <t>IR*</t>
  </si>
  <si>
    <t>CSLL*</t>
  </si>
  <si>
    <t>ISS</t>
  </si>
  <si>
    <t>TOTAL DE IMPOSTOS</t>
  </si>
  <si>
    <t xml:space="preserve">IMPOSTO AÇO </t>
  </si>
  <si>
    <r>
      <rPr>
        <b/>
        <sz val="9"/>
        <color indexed="10"/>
        <rFont val="InTER"/>
      </rPr>
      <t>OBS.: "ISS" PODE VARIAR DEPENDENDO DO MUNICÍPIO DA OBRA</t>
    </r>
  </si>
  <si>
    <t>MUNICÍPIO</t>
  </si>
  <si>
    <r>
      <rPr>
        <sz val="9"/>
        <color indexed="9"/>
        <rFont val="InTER"/>
      </rPr>
      <t>OBRA EMPREITADA (7.02)</t>
    </r>
  </si>
  <si>
    <r>
      <rPr>
        <sz val="9"/>
        <color indexed="9"/>
        <rFont val="InTER"/>
      </rPr>
      <t>OBRA ADMINISTRATADA (ITEM 7.19)</t>
    </r>
  </si>
  <si>
    <t>ALEXÂNIA</t>
  </si>
  <si>
    <t>ARARAQUARA</t>
  </si>
  <si>
    <t>ICMS OPERAÇÃO</t>
  </si>
  <si>
    <t>ASSIS</t>
  </si>
  <si>
    <t>ICMS DIFAL</t>
  </si>
  <si>
    <t>Item ira variar de acordo com a localização da obra, olhar tabela abaixo</t>
  </si>
  <si>
    <t>ATIBAIA</t>
  </si>
  <si>
    <t>TOTAL</t>
  </si>
  <si>
    <t>Valor do DIFAL devera ser subtraido do valor da OPERAÇÃO</t>
  </si>
  <si>
    <t>BALNEÁREO</t>
  </si>
  <si>
    <t>BARUERI</t>
  </si>
  <si>
    <t>*IRPJ e CSLL, são impostos de resultados operacionais da empresa e não se utiliza para formar preço</t>
  </si>
  <si>
    <t>BAURU</t>
  </si>
  <si>
    <t>BELO HORIZONTE</t>
  </si>
  <si>
    <t>COMPOSIÇÃO ALÍQUOTAS INTERNAS</t>
  </si>
  <si>
    <t>BETIM</t>
  </si>
  <si>
    <t>PRODUTOS</t>
  </si>
  <si>
    <t>BRAGANÇA PAULISTA</t>
  </si>
  <si>
    <t>BRASILIA</t>
  </si>
  <si>
    <t xml:space="preserve">ESTADO </t>
  </si>
  <si>
    <t>PERFIL - 7216.10.00</t>
  </si>
  <si>
    <t>AÇO - 7210.49.10</t>
  </si>
  <si>
    <t>PAINEL - 9406.90.20</t>
  </si>
  <si>
    <t>CAJAMAR</t>
  </si>
  <si>
    <t>ACRE</t>
  </si>
  <si>
    <t>ALAGOAS</t>
  </si>
  <si>
    <t>CAMPINAS</t>
  </si>
  <si>
    <t>AMAPÁ</t>
  </si>
  <si>
    <t>CAMPO GRANDE</t>
  </si>
  <si>
    <t>AMAZONAS</t>
  </si>
  <si>
    <t>CIANORTE</t>
  </si>
  <si>
    <t>BAHIA</t>
  </si>
  <si>
    <t>CONTAGEM</t>
  </si>
  <si>
    <t>CEARÁ</t>
  </si>
  <si>
    <t>COTIA</t>
  </si>
  <si>
    <t>DISTRITO FEDERAL</t>
  </si>
  <si>
    <t>CUIABÁ</t>
  </si>
  <si>
    <t>ESPÍRITO SANTO</t>
  </si>
  <si>
    <t>CURITIBA</t>
  </si>
  <si>
    <t>GOIÁS</t>
  </si>
  <si>
    <t>DUQUE DE CAXIAS</t>
  </si>
  <si>
    <t>MARANHÃO</t>
  </si>
  <si>
    <t>MATO GROSSO</t>
  </si>
  <si>
    <t>EXTREMA</t>
  </si>
  <si>
    <t xml:space="preserve">MATO GROSSO DO SUL </t>
  </si>
  <si>
    <t>FLORIANÓPOLIS</t>
  </si>
  <si>
    <t xml:space="preserve">MINAS GERAIS </t>
  </si>
  <si>
    <t>FORTALEZA</t>
  </si>
  <si>
    <t>PARÁ</t>
  </si>
  <si>
    <t>GOIÂNIA</t>
  </si>
  <si>
    <t>PARAÍBA</t>
  </si>
  <si>
    <t>GUARUJÁ</t>
  </si>
  <si>
    <t>PARANÁ</t>
  </si>
  <si>
    <t>GUARULHOS</t>
  </si>
  <si>
    <t>PERNAMBUCO</t>
  </si>
  <si>
    <t>HORTOLÂDIA</t>
  </si>
  <si>
    <t>PIAUÍ</t>
  </si>
  <si>
    <t>INDAIATUBA</t>
  </si>
  <si>
    <t>RIO DE JANEIRO</t>
  </si>
  <si>
    <t>ITACARÉ</t>
  </si>
  <si>
    <t>RIO GRANDE DO NORTE</t>
  </si>
  <si>
    <t>ITAÍ</t>
  </si>
  <si>
    <t>RIO GRANDE DO SUL</t>
  </si>
  <si>
    <t>ITAPEMA</t>
  </si>
  <si>
    <t xml:space="preserve">RONDÔNIA </t>
  </si>
  <si>
    <t>ITAPETININGA</t>
  </si>
  <si>
    <t>RORAIMA</t>
  </si>
  <si>
    <t>ITATIBA</t>
  </si>
  <si>
    <t>SANTA CATARINA</t>
  </si>
  <si>
    <t>ITIRAPINA</t>
  </si>
  <si>
    <t>SÃO PAULO</t>
  </si>
  <si>
    <t>ITU</t>
  </si>
  <si>
    <t xml:space="preserve">SERGIPE </t>
  </si>
  <si>
    <t>ITUPEVA</t>
  </si>
  <si>
    <t>TOCANTIS</t>
  </si>
  <si>
    <t>JACAREÍ</t>
  </si>
  <si>
    <t>JUNDIAÍ</t>
  </si>
  <si>
    <t>LAGOA SANTA</t>
  </si>
  <si>
    <t>LIMEIRA</t>
  </si>
  <si>
    <t>LONDRINA</t>
  </si>
  <si>
    <t>MACAÉ</t>
  </si>
  <si>
    <t>MANGARATIBA</t>
  </si>
  <si>
    <t>MOGI GUAÇU</t>
  </si>
  <si>
    <t>MONTE MOR</t>
  </si>
  <si>
    <t>NOVA LIMA</t>
  </si>
  <si>
    <t>NOVA ODESSA</t>
  </si>
  <si>
    <t>NOVO HAMBURGO</t>
  </si>
  <si>
    <t>ORLÂNDIA</t>
  </si>
  <si>
    <t>OSASCO</t>
  </si>
  <si>
    <t>PARNAMIRIM</t>
  </si>
  <si>
    <t>PAULÍNIA</t>
  </si>
  <si>
    <t>PETRÓPOLIS</t>
  </si>
  <si>
    <t>PIEDADE</t>
  </si>
  <si>
    <t>PIRACAIA</t>
  </si>
  <si>
    <t>PIRACICABA</t>
  </si>
  <si>
    <t>PIRASSUNUNGA</t>
  </si>
  <si>
    <t>PORTO ALEGRE</t>
  </si>
  <si>
    <t>PORTO BELO</t>
  </si>
  <si>
    <t>PORTO FELIZ</t>
  </si>
  <si>
    <t>PORTO SEGURO</t>
  </si>
  <si>
    <t>POUSO ALEGRE</t>
  </si>
  <si>
    <t>RECIFE</t>
  </si>
  <si>
    <t>RIBEIRÃO PRETO</t>
  </si>
  <si>
    <t>SALVADOR</t>
  </si>
  <si>
    <t>SANTANA DE PARNAÍBA</t>
  </si>
  <si>
    <t>SANTO ANDRÉ</t>
  </si>
  <si>
    <t>SANTOS</t>
  </si>
  <si>
    <t>SÃO BERNARDO DO CAMPO</t>
  </si>
  <si>
    <t>SÃO JOSÉ DOS CAMPOS</t>
  </si>
  <si>
    <t>SÃO ROQUE</t>
  </si>
  <si>
    <t>SÃO SEBASTIÃO</t>
  </si>
  <si>
    <t>SUMARÉ</t>
  </si>
  <si>
    <t>TAUBATÉ</t>
  </si>
  <si>
    <t>TERESINA</t>
  </si>
  <si>
    <t>VITÓRIA</t>
  </si>
  <si>
    <t>Trâmite Comercial</t>
  </si>
  <si>
    <t xml:space="preserve">Objeto/Contrato </t>
  </si>
  <si>
    <t xml:space="preserve">Descrição do Serviço </t>
  </si>
  <si>
    <t>LC 116/03</t>
  </si>
  <si>
    <t xml:space="preserve">Custo (precificação) por Serviços </t>
  </si>
  <si>
    <t>% Tributos por Serviços</t>
  </si>
  <si>
    <t>Margem Líquida (Receita-Custos-Despesas)</t>
  </si>
  <si>
    <t>34% sobre a margem líquida</t>
  </si>
  <si>
    <t>% Total dos Tributos por Serviços</t>
  </si>
  <si>
    <t>Retenções (Compensações)</t>
  </si>
  <si>
    <t>CLÁUSULA DO TRIBUTO</t>
  </si>
  <si>
    <t>PIS
COFINS</t>
  </si>
  <si>
    <t>ISS Barueri</t>
  </si>
  <si>
    <t>ISS São Paulo</t>
  </si>
  <si>
    <t>Barueri</t>
  </si>
  <si>
    <t>São Paulo</t>
  </si>
  <si>
    <t>IRPJ/CSLL</t>
  </si>
  <si>
    <t>Avaliações</t>
  </si>
  <si>
    <t>Prestação de servicos de avaliação de bens e serviços de qualquer natureza</t>
  </si>
  <si>
    <t>Servico de avaliação de bens e serviços de qualquer natureza</t>
  </si>
  <si>
    <t>28.01</t>
  </si>
  <si>
    <t>Construção Civil</t>
  </si>
  <si>
    <t>Prestação de servicos de execucao de construção civil</t>
  </si>
  <si>
    <t>Servicos de execução de construcao civil</t>
  </si>
  <si>
    <t>7.02</t>
  </si>
  <si>
    <t xml:space="preserve">Receita com retenção de INSS 11%  conf. artigos 108 e 110 da IN-RFB nº 2.110/2022.
Poderá ser aplicado a redução de Base de Cálculo do INSS em percentual de  65% se a utilização de equipamento for inerente à execução dos serviços contratados (IN-RFB nº 2.110/2022 , artigos 118, II, "b)", item 5. </t>
  </si>
  <si>
    <t>Servicos de execução de construcao civil por administração</t>
  </si>
  <si>
    <t>Servicos de execução de construcao civil por empreitada total</t>
  </si>
  <si>
    <t>Servicos de execução de construcao civil por subempreitada</t>
  </si>
  <si>
    <t>Servicos de execução de construcao civil empreitada parcial</t>
  </si>
  <si>
    <t>Elaboração de projetos</t>
  </si>
  <si>
    <t>Bid (sem obra)</t>
  </si>
  <si>
    <t>Prestação de servicos de elaboracao de planos diretores, projetos e anteprojetos</t>
  </si>
  <si>
    <t>Servicos de elaboracao de planos diretores, projetos e anteprojetos</t>
  </si>
  <si>
    <t>7.03</t>
  </si>
  <si>
    <t>Prestação de servicos de elaboracao de planos diretores, projetos e anteprojetos de obras (construção civil)</t>
  </si>
  <si>
    <r>
      <t xml:space="preserve">Servicos de </t>
    </r>
    <r>
      <rPr>
        <b/>
        <sz val="10"/>
        <color theme="1"/>
        <rFont val="Calibri"/>
        <family val="2"/>
      </rPr>
      <t>gestao integrada</t>
    </r>
    <r>
      <rPr>
        <sz val="10"/>
        <color theme="1"/>
        <rFont val="Calibri"/>
        <family val="2"/>
      </rPr>
      <t xml:space="preserve"> de elaboracao de planos diretores, projetos e anteprojetos </t>
    </r>
    <r>
      <rPr>
        <b/>
        <sz val="10"/>
        <color theme="1"/>
        <rFont val="Calibri"/>
        <family val="2"/>
      </rPr>
      <t>vinculados a obra de construcao civil</t>
    </r>
  </si>
  <si>
    <t>Tributação: Conforme a legislação vigente e nos termos definidos pelo Ato Declaratório Normativo Cosit nº 30, de 13/10/1999; pela Solução de Consulta Cosit nº 111, de 28/09/2020 e pela tese firmada pelo STJ no Tema Repetitivo nº 198, publicado em 29/10/2009.</t>
  </si>
  <si>
    <t>Prestação de servicos de engenharia, arquitetura, urbanismo, paisagismo e congeneres</t>
  </si>
  <si>
    <t>Servicos de engenharia, arquitetura, urbanismo, paisagismo e congeneres</t>
  </si>
  <si>
    <t>7.01</t>
  </si>
  <si>
    <t>Prestação de servicos de engenharia e arquitetura de obra (construção civil)</t>
  </si>
  <si>
    <r>
      <t xml:space="preserve">Servicos de </t>
    </r>
    <r>
      <rPr>
        <b/>
        <sz val="10"/>
        <color theme="1"/>
        <rFont val="Calibri"/>
        <family val="2"/>
      </rPr>
      <t>gestao integrada</t>
    </r>
    <r>
      <rPr>
        <sz val="10"/>
        <color theme="1"/>
        <rFont val="Calibri"/>
        <family val="2"/>
      </rPr>
      <t xml:space="preserve"> de engenharia, arquitetura, urbanismo, paisagismo e congeneres</t>
    </r>
    <r>
      <rPr>
        <b/>
        <sz val="10"/>
        <color theme="1"/>
        <rFont val="Calibri"/>
        <family val="2"/>
      </rPr>
      <t xml:space="preserve"> vinculados a obra de construcao civil</t>
    </r>
  </si>
  <si>
    <t>Gestão Integrada</t>
  </si>
  <si>
    <t>Prestação de servicos de acompanhamento e fiscalizacao de obras de engenharia e arquitetura (construção civil)</t>
  </si>
  <si>
    <r>
      <t xml:space="preserve">Servicos de </t>
    </r>
    <r>
      <rPr>
        <b/>
        <sz val="10"/>
        <color theme="1"/>
        <rFont val="Calibri"/>
        <family val="2"/>
      </rPr>
      <t>gestao integrada</t>
    </r>
    <r>
      <rPr>
        <sz val="10"/>
        <color theme="1"/>
        <rFont val="Calibri"/>
        <family val="2"/>
      </rPr>
      <t xml:space="preserve"> de acompanhamento e fiscalizacao de</t>
    </r>
    <r>
      <rPr>
        <b/>
        <sz val="10"/>
        <color theme="1"/>
        <rFont val="Calibri"/>
        <family val="2"/>
      </rPr>
      <t xml:space="preserve"> execução de obra de construcao civil</t>
    </r>
  </si>
  <si>
    <t>7.19</t>
  </si>
  <si>
    <t xml:space="preserve">Acompanhamento / Fiscalização de obra </t>
  </si>
  <si>
    <t>Servicos de acompanhamento e fiscalizacao de execução de obra de construcao civil</t>
  </si>
  <si>
    <t>Intermediação/
Corretagem</t>
  </si>
  <si>
    <t>Prestação de servicos de agenciamento, corretagem ou intermediacao de bens moveis ou imoveis por quaisquer meios</t>
  </si>
  <si>
    <t>Servicos de agenciamento, corretagem ou intermediacao de bens moveis ou imoveis por quaisquer meios</t>
  </si>
  <si>
    <t>10.05</t>
  </si>
  <si>
    <t>R.</t>
  </si>
  <si>
    <t>Item Alterado/ Revisado</t>
  </si>
  <si>
    <t>Alteração</t>
  </si>
  <si>
    <t>Solicitante</t>
  </si>
  <si>
    <t>Justificativa/ Consideração/ Comentário</t>
  </si>
  <si>
    <t>Quantitativa/ Qualitativa</t>
  </si>
  <si>
    <t>Valor Total do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</si>
</sst>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#,##0.000"/>
    <numFmt numFmtId="166" formatCode="#,##0.00_ ;\-#,##0.00\ "/>
    <numFmt numFmtId="167" formatCode="[$-416]mmmm\-yy;@"/>
    <numFmt numFmtId="168" formatCode="#,##0_ ;\-#,##0\ "/>
    <numFmt numFmtId="169" formatCode="#,##0.00_ ;[Red]\-#,##0.00\ "/>
    <numFmt numFmtId="170" formatCode="&quot;Mês &quot;0"/>
    <numFmt numFmtId="171" formatCode="&quot;R$&quot;\ #,##0.00"/>
    <numFmt numFmtId="172" formatCode="_(* #,##0.00_);_(* \(#,##0.00\);_(* &quot;-&quot;??_);_(@_)"/>
    <numFmt numFmtId="173" formatCode="0.000%"/>
  </numFmts>
  <fonts count="85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8"/>
      <color theme="1"/>
      <name val="Arial"/>
      <family val="2"/>
    </font>
    <font>
      <sz val="6"/>
      <color theme="1"/>
      <name val="Arial"/>
      <family val="2"/>
    </font>
    <font>
      <b/>
      <sz val="12"/>
      <color rgb="FFFF6900"/>
      <name val="Arial"/>
      <family val="2"/>
    </font>
    <font>
      <i/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indexed="81"/>
      <name val="Segoe UI"/>
      <family val="2"/>
    </font>
    <font>
      <u/>
      <sz val="11"/>
      <color theme="10"/>
      <name val="Calibri"/>
      <family val="2"/>
      <scheme val="minor"/>
    </font>
    <font>
      <sz val="8"/>
      <name val="Iter"/>
    </font>
    <font>
      <b/>
      <sz val="10"/>
      <color theme="0"/>
      <name val="Iter"/>
    </font>
    <font>
      <b/>
      <sz val="8"/>
      <name val="Iter"/>
    </font>
    <font>
      <b/>
      <sz val="8"/>
      <color theme="0"/>
      <name val="Iter"/>
    </font>
    <font>
      <b/>
      <sz val="9"/>
      <color theme="0"/>
      <name val="Iter"/>
    </font>
    <font>
      <b/>
      <sz val="11"/>
      <color theme="0"/>
      <name val="Iter"/>
    </font>
    <font>
      <b/>
      <sz val="11"/>
      <name val="Iter"/>
    </font>
    <font>
      <b/>
      <sz val="10"/>
      <name val="Iter"/>
    </font>
    <font>
      <b/>
      <sz val="12"/>
      <color theme="0"/>
      <name val="Iter"/>
    </font>
    <font>
      <b/>
      <sz val="16"/>
      <name val="Iter"/>
    </font>
    <font>
      <sz val="8"/>
      <name val="Inter"/>
    </font>
    <font>
      <b/>
      <sz val="8"/>
      <name val="Inter"/>
    </font>
    <font>
      <b/>
      <sz val="8"/>
      <color theme="0"/>
      <name val="Inter"/>
    </font>
    <font>
      <b/>
      <sz val="11"/>
      <color theme="0"/>
      <name val="Inter"/>
    </font>
    <font>
      <sz val="8"/>
      <color theme="0" tint="-0.14999847407452621"/>
      <name val="Inter"/>
    </font>
    <font>
      <sz val="8"/>
      <color theme="0"/>
      <name val="Inter"/>
    </font>
    <font>
      <b/>
      <sz val="10"/>
      <color theme="0"/>
      <name val="Inter"/>
    </font>
    <font>
      <sz val="10"/>
      <color theme="1"/>
      <name val="Inter"/>
    </font>
    <font>
      <b/>
      <sz val="10"/>
      <color theme="1"/>
      <name val="Inter"/>
    </font>
    <font>
      <b/>
      <sz val="12"/>
      <color theme="0"/>
      <name val="Inter"/>
    </font>
    <font>
      <i/>
      <sz val="8"/>
      <name val="Inter"/>
    </font>
    <font>
      <b/>
      <i/>
      <sz val="8"/>
      <name val="Inter"/>
    </font>
    <font>
      <b/>
      <sz val="10"/>
      <name val="Inter"/>
    </font>
    <font>
      <b/>
      <i/>
      <sz val="8"/>
      <color rgb="FFFF6900"/>
      <name val="Inter"/>
    </font>
    <font>
      <b/>
      <i/>
      <sz val="8"/>
      <color theme="8" tint="-0.499984740745262"/>
      <name val="Inter"/>
    </font>
    <font>
      <sz val="8"/>
      <color rgb="FFFF0000"/>
      <name val="Inter"/>
    </font>
    <font>
      <sz val="11"/>
      <color theme="1"/>
      <name val="Inter"/>
    </font>
    <font>
      <b/>
      <sz val="11"/>
      <color rgb="FFFF0000"/>
      <name val="Inter"/>
    </font>
    <font>
      <i/>
      <sz val="11"/>
      <color theme="1"/>
      <name val="Inter"/>
    </font>
    <font>
      <i/>
      <sz val="11"/>
      <color rgb="FFFF0000"/>
      <name val="Inter"/>
    </font>
    <font>
      <sz val="11"/>
      <color rgb="FFFF0000"/>
      <name val="Inter"/>
    </font>
    <font>
      <b/>
      <sz val="11"/>
      <name val="Inter"/>
    </font>
    <font>
      <i/>
      <sz val="8"/>
      <color theme="2" tint="-0.499984740745262"/>
      <name val="Inter"/>
    </font>
    <font>
      <b/>
      <i/>
      <sz val="12"/>
      <color theme="0"/>
      <name val="Inter"/>
    </font>
    <font>
      <sz val="8"/>
      <color theme="1"/>
      <name val="Inter"/>
    </font>
    <font>
      <b/>
      <sz val="8"/>
      <color theme="1"/>
      <name val="Inter"/>
    </font>
    <font>
      <b/>
      <sz val="12"/>
      <color theme="1"/>
      <name val="Inter"/>
    </font>
    <font>
      <b/>
      <sz val="16"/>
      <color theme="0"/>
      <name val="Inter"/>
    </font>
    <font>
      <b/>
      <sz val="10"/>
      <color rgb="FFFF0000"/>
      <name val="Inter"/>
    </font>
    <font>
      <i/>
      <sz val="8"/>
      <color rgb="FF7030A0"/>
      <name val="Inter"/>
    </font>
    <font>
      <b/>
      <sz val="12"/>
      <color rgb="FF00B050"/>
      <name val="Inter"/>
    </font>
    <font>
      <b/>
      <sz val="12"/>
      <color rgb="FFFF0000"/>
      <name val="Inter"/>
    </font>
    <font>
      <i/>
      <sz val="8"/>
      <color theme="1"/>
      <name val="Inter"/>
    </font>
    <font>
      <b/>
      <sz val="12"/>
      <color rgb="FF0070C0"/>
      <name val="Inter"/>
    </font>
    <font>
      <sz val="9"/>
      <name val="Frutiger"/>
    </font>
    <font>
      <b/>
      <sz val="10"/>
      <name val="Frutiger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theme="1"/>
      <name val="Calibri"/>
      <family val="2"/>
    </font>
    <font>
      <b/>
      <sz val="10"/>
      <color rgb="FF333333"/>
      <name val="Calibri"/>
      <family val="2"/>
    </font>
    <font>
      <b/>
      <sz val="10"/>
      <color theme="1"/>
      <name val="Calibri"/>
      <family val="2"/>
    </font>
    <font>
      <sz val="9"/>
      <name val="InTER"/>
    </font>
    <font>
      <b/>
      <sz val="9"/>
      <name val="InTER"/>
    </font>
    <font>
      <b/>
      <sz val="9"/>
      <color theme="0"/>
      <name val="InTER"/>
    </font>
    <font>
      <sz val="9"/>
      <color rgb="FF002128"/>
      <name val="InTER"/>
    </font>
    <font>
      <b/>
      <sz val="9"/>
      <color rgb="FF002128"/>
      <name val="InTER"/>
    </font>
    <font>
      <b/>
      <sz val="9"/>
      <color rgb="FFC00000"/>
      <name val="InTER"/>
    </font>
    <font>
      <sz val="9"/>
      <color theme="0"/>
      <name val="InTER"/>
    </font>
    <font>
      <b/>
      <sz val="9"/>
      <color indexed="10"/>
      <name val="InTER"/>
    </font>
    <font>
      <sz val="9"/>
      <color indexed="9"/>
      <name val="InTER"/>
    </font>
    <font>
      <sz val="9"/>
      <color rgb="FF000000"/>
      <name val="InTER"/>
    </font>
    <font>
      <b/>
      <sz val="9"/>
      <color rgb="FFFF0000"/>
      <name val="InTER"/>
    </font>
    <font>
      <b/>
      <sz val="8"/>
      <color rgb="FFFF0000"/>
      <name val="InTER"/>
    </font>
    <font>
      <b/>
      <sz val="11"/>
      <color rgb="FF000000"/>
      <name val="InTER"/>
    </font>
    <font>
      <sz val="11"/>
      <color rgb="FF000000"/>
      <name val="InTER"/>
    </font>
    <font>
      <sz val="8"/>
      <color rgb="FF000000"/>
      <name val="InTER"/>
    </font>
    <font>
      <b/>
      <sz val="12"/>
      <color theme="0"/>
      <name val="Arial"/>
      <family val="2"/>
    </font>
    <font>
      <sz val="12"/>
      <color theme="1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CDFF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A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4787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2EC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rgb="FFFF6900"/>
      </bottom>
      <diagonal/>
    </border>
    <border>
      <left style="thin">
        <color indexed="64"/>
      </left>
      <right style="thick">
        <color rgb="FF7030A0"/>
      </right>
      <top style="thick">
        <color rgb="FF7030A0"/>
      </top>
      <bottom style="thin">
        <color indexed="64"/>
      </bottom>
      <diagonal/>
    </border>
    <border>
      <left style="thick">
        <color rgb="FF7030A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7030A0"/>
      </right>
      <top style="thin">
        <color indexed="64"/>
      </top>
      <bottom style="thin">
        <color indexed="64"/>
      </bottom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/>
      <right style="thick">
        <color theme="0" tint="-0.499984740745262"/>
      </right>
      <top/>
      <bottom/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n">
        <color indexed="64"/>
      </bottom>
      <diagonal/>
    </border>
    <border>
      <left/>
      <right style="thick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ck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 tint="-0.499984740745262"/>
      </top>
      <bottom style="thin">
        <color theme="0"/>
      </bottom>
      <diagonal/>
    </border>
    <border>
      <left style="thin">
        <color theme="0"/>
      </left>
      <right style="thick">
        <color theme="0" tint="-0.499984740745262"/>
      </right>
      <top style="thick">
        <color theme="0" tint="-0.499984740745262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 tint="-0.499984740745262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ck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0" tint="-0.499984740745262"/>
      </bottom>
      <diagonal/>
    </border>
    <border>
      <left style="thin">
        <color theme="0"/>
      </left>
      <right style="thick">
        <color theme="0" tint="-0.499984740745262"/>
      </right>
      <top style="thin">
        <color theme="0"/>
      </top>
      <bottom style="thick">
        <color theme="0" tint="-0.499984740745262"/>
      </bottom>
      <diagonal/>
    </border>
    <border>
      <left style="thin">
        <color theme="0"/>
      </left>
      <right style="thin">
        <color indexed="64"/>
      </right>
      <top style="thick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0" tint="-0.499984740745262"/>
      </top>
      <bottom/>
      <diagonal/>
    </border>
    <border>
      <left style="thin">
        <color theme="0"/>
      </left>
      <right/>
      <top style="thick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ck">
        <color theme="0" tint="-0.499984740745262"/>
      </bottom>
      <diagonal/>
    </border>
    <border>
      <left style="hair">
        <color theme="0"/>
      </left>
      <right style="thick">
        <color theme="0" tint="-0.499984740745262"/>
      </right>
      <top style="thick">
        <color theme="0" tint="-0.499984740745262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thick">
        <color theme="0" tint="-0.499984740745262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thick">
        <color theme="0" tint="-0.499984740745262"/>
      </right>
      <top style="hair">
        <color theme="0"/>
      </top>
      <bottom style="hair">
        <color theme="0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ck">
        <color theme="0" tint="-0.499984740745262"/>
      </top>
      <bottom style="thin">
        <color theme="0"/>
      </bottom>
      <diagonal/>
    </border>
    <border>
      <left style="thin">
        <color indexed="64"/>
      </left>
      <right style="thick">
        <color theme="0" tint="-0.499984740745262"/>
      </right>
      <top style="thick">
        <color theme="0" tint="-0.499984740745262"/>
      </top>
      <bottom style="thin">
        <color theme="0"/>
      </bottom>
      <diagonal/>
    </border>
    <border>
      <left style="thick">
        <color theme="0" tint="-0.499984740745262"/>
      </left>
      <right style="thin">
        <color theme="0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indexed="64"/>
      </right>
      <top style="thick">
        <color theme="0" tint="-0.499984740745262"/>
      </top>
      <bottom style="thin">
        <color indexed="64"/>
      </bottom>
      <diagonal/>
    </border>
    <border>
      <left style="thick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 tint="-0.499984740745262"/>
      </left>
      <right style="thin">
        <color indexed="64"/>
      </right>
      <top style="thin">
        <color indexed="64"/>
      </top>
      <bottom style="thick">
        <color theme="0" tint="-0.499984740745262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rgb="FFFFC00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ck">
        <color theme="0" tint="-0.499984740745262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ck">
        <color theme="0" tint="-0.499984740745262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9" fontId="61" fillId="0" borderId="0">
      <alignment vertical="top" wrapText="1"/>
    </xf>
    <xf numFmtId="0" fontId="62" fillId="0" borderId="0" applyNumberFormat="0">
      <alignment vertical="top" wrapText="1"/>
    </xf>
    <xf numFmtId="172" fontId="63" fillId="0" borderId="0" applyFont="0" applyFill="0" applyBorder="0" applyAlignment="0" applyProtection="0"/>
    <xf numFmtId="0" fontId="63" fillId="0" borderId="0" applyNumberFormat="0" applyFont="0" applyFill="0" applyBorder="0" applyAlignment="0" applyProtection="0"/>
    <xf numFmtId="0" fontId="64" fillId="0" borderId="0"/>
    <xf numFmtId="44" fontId="4" fillId="0" borderId="0" applyFont="0" applyFill="0" applyBorder="0" applyAlignment="0" applyProtection="0"/>
  </cellStyleXfs>
  <cellXfs count="670">
    <xf numFmtId="0" fontId="0" fillId="0" borderId="0" xfId="0"/>
    <xf numFmtId="0" fontId="28" fillId="21" borderId="4" xfId="0" applyFont="1" applyFill="1" applyBorder="1" applyAlignment="1">
      <alignment horizontal="center" vertical="center" wrapText="1"/>
    </xf>
    <xf numFmtId="0" fontId="28" fillId="21" borderId="2" xfId="0" applyFont="1" applyFill="1" applyBorder="1" applyAlignment="1">
      <alignment horizontal="center" vertical="center" wrapText="1"/>
    </xf>
    <xf numFmtId="10" fontId="19" fillId="39" borderId="27" xfId="3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4" borderId="1" xfId="3" applyFont="1" applyFill="1" applyBorder="1" applyAlignment="1">
      <alignment horizontal="center" vertical="center"/>
    </xf>
    <xf numFmtId="9" fontId="1" fillId="0" borderId="1" xfId="3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1" fillId="4" borderId="1" xfId="3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10" fillId="0" borderId="1" xfId="3" applyFont="1" applyBorder="1" applyAlignment="1">
      <alignment horizontal="center" vertical="center"/>
    </xf>
    <xf numFmtId="10" fontId="10" fillId="0" borderId="1" xfId="3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6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center" vertical="center"/>
    </xf>
    <xf numFmtId="10" fontId="1" fillId="16" borderId="0" xfId="3" applyNumberFormat="1" applyFont="1" applyFill="1" applyBorder="1" applyAlignment="1">
      <alignment horizontal="center" vertical="center"/>
    </xf>
    <xf numFmtId="4" fontId="1" fillId="16" borderId="0" xfId="3" applyNumberFormat="1" applyFont="1" applyFill="1" applyBorder="1" applyAlignment="1">
      <alignment horizontal="center" vertical="center"/>
    </xf>
    <xf numFmtId="4" fontId="1" fillId="16" borderId="0" xfId="0" applyNumberFormat="1" applyFont="1" applyFill="1" applyAlignment="1">
      <alignment horizontal="center" vertical="center"/>
    </xf>
    <xf numFmtId="4" fontId="1" fillId="16" borderId="0" xfId="3" applyNumberFormat="1" applyFont="1" applyFill="1" applyBorder="1" applyAlignment="1">
      <alignment horizontal="left" vertical="center"/>
    </xf>
    <xf numFmtId="0" fontId="1" fillId="16" borderId="0" xfId="0" applyFont="1" applyFill="1" applyAlignment="1">
      <alignment horizontal="left" vertical="center"/>
    </xf>
    <xf numFmtId="44" fontId="1" fillId="16" borderId="0" xfId="3" applyNumberFormat="1" applyFont="1" applyFill="1" applyBorder="1" applyAlignment="1">
      <alignment horizontal="center" vertical="center"/>
    </xf>
    <xf numFmtId="44" fontId="1" fillId="16" borderId="0" xfId="0" applyNumberFormat="1" applyFont="1" applyFill="1" applyAlignment="1">
      <alignment horizontal="center" vertical="center"/>
    </xf>
    <xf numFmtId="9" fontId="1" fillId="16" borderId="0" xfId="3" applyFont="1" applyFill="1" applyBorder="1" applyAlignment="1">
      <alignment horizontal="center" vertical="center"/>
    </xf>
    <xf numFmtId="0" fontId="1" fillId="16" borderId="0" xfId="0" applyFont="1" applyFill="1" applyAlignment="1">
      <alignment vertical="center"/>
    </xf>
    <xf numFmtId="168" fontId="1" fillId="16" borderId="0" xfId="3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6" fillId="26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10" fontId="3" fillId="9" borderId="1" xfId="3" applyNumberFormat="1" applyFont="1" applyFill="1" applyBorder="1" applyAlignment="1">
      <alignment horizontal="center" vertical="center"/>
    </xf>
    <xf numFmtId="44" fontId="3" fillId="12" borderId="1" xfId="3" applyNumberFormat="1" applyFont="1" applyFill="1" applyBorder="1" applyAlignment="1">
      <alignment horizontal="center" vertical="center" wrapText="1"/>
    </xf>
    <xf numFmtId="9" fontId="3" fillId="16" borderId="1" xfId="3" applyFont="1" applyFill="1" applyBorder="1" applyAlignment="1">
      <alignment horizontal="center" vertical="center"/>
    </xf>
    <xf numFmtId="4" fontId="3" fillId="12" borderId="1" xfId="3" applyNumberFormat="1" applyFont="1" applyFill="1" applyBorder="1" applyAlignment="1">
      <alignment horizontal="center" vertical="center" wrapText="1"/>
    </xf>
    <xf numFmtId="4" fontId="3" fillId="16" borderId="1" xfId="0" applyNumberFormat="1" applyFont="1" applyFill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1" fillId="16" borderId="1" xfId="0" applyNumberFormat="1" applyFont="1" applyFill="1" applyBorder="1" applyAlignment="1">
      <alignment horizontal="center" vertical="center"/>
    </xf>
    <xf numFmtId="10" fontId="1" fillId="16" borderId="1" xfId="3" applyNumberFormat="1" applyFont="1" applyFill="1" applyBorder="1" applyAlignment="1">
      <alignment horizontal="center" vertical="center"/>
    </xf>
    <xf numFmtId="10" fontId="3" fillId="16" borderId="1" xfId="3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44" fontId="17" fillId="3" borderId="0" xfId="0" applyNumberFormat="1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9" fontId="27" fillId="3" borderId="0" xfId="3" applyFont="1" applyFill="1" applyAlignment="1">
      <alignment horizontal="center" vertical="center"/>
    </xf>
    <xf numFmtId="0" fontId="27" fillId="3" borderId="0" xfId="3" applyNumberFormat="1" applyFont="1" applyFill="1" applyAlignment="1">
      <alignment horizontal="center" vertical="center"/>
    </xf>
    <xf numFmtId="0" fontId="27" fillId="15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9" fillId="20" borderId="1" xfId="0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center" vertical="center" wrapText="1"/>
    </xf>
    <xf numFmtId="0" fontId="30" fillId="30" borderId="0" xfId="5" applyFont="1" applyFill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10" fontId="27" fillId="9" borderId="1" xfId="3" applyNumberFormat="1" applyFont="1" applyFill="1" applyBorder="1" applyAlignment="1">
      <alignment horizontal="center" vertical="center"/>
    </xf>
    <xf numFmtId="165" fontId="27" fillId="9" borderId="1" xfId="0" applyNumberFormat="1" applyFont="1" applyFill="1" applyBorder="1" applyAlignment="1">
      <alignment horizontal="center" vertical="center"/>
    </xf>
    <xf numFmtId="44" fontId="28" fillId="9" borderId="1" xfId="0" applyNumberFormat="1" applyFont="1" applyFill="1" applyBorder="1" applyAlignment="1">
      <alignment horizontal="center" vertical="center"/>
    </xf>
    <xf numFmtId="0" fontId="29" fillId="30" borderId="1" xfId="0" applyFont="1" applyFill="1" applyBorder="1" applyAlignment="1">
      <alignment horizontal="center" vertical="center" wrapText="1"/>
    </xf>
    <xf numFmtId="165" fontId="28" fillId="21" borderId="1" xfId="0" applyNumberFormat="1" applyFont="1" applyFill="1" applyBorder="1" applyAlignment="1">
      <alignment horizontal="center" vertical="center"/>
    </xf>
    <xf numFmtId="44" fontId="28" fillId="21" borderId="1" xfId="0" applyNumberFormat="1" applyFont="1" applyFill="1" applyBorder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33" fillId="20" borderId="1" xfId="0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center" vertical="center" textRotation="90" wrapText="1"/>
    </xf>
    <xf numFmtId="0" fontId="33" fillId="30" borderId="1" xfId="0" applyFont="1" applyFill="1" applyBorder="1" applyAlignment="1">
      <alignment horizontal="centerContinuous" vertical="center"/>
    </xf>
    <xf numFmtId="0" fontId="32" fillId="30" borderId="0" xfId="0" applyFont="1" applyFill="1" applyAlignment="1">
      <alignment horizontal="centerContinuous" vertical="center"/>
    </xf>
    <xf numFmtId="0" fontId="32" fillId="0" borderId="0" xfId="0" applyFont="1" applyAlignment="1">
      <alignment horizontal="center" vertical="center"/>
    </xf>
    <xf numFmtId="0" fontId="29" fillId="17" borderId="1" xfId="0" applyFont="1" applyFill="1" applyBorder="1" applyAlignment="1">
      <alignment horizontal="center" vertical="center"/>
    </xf>
    <xf numFmtId="44" fontId="27" fillId="3" borderId="0" xfId="0" applyNumberFormat="1" applyFont="1" applyFill="1" applyAlignment="1">
      <alignment horizontal="center" vertical="center"/>
    </xf>
    <xf numFmtId="44" fontId="28" fillId="33" borderId="1" xfId="0" applyNumberFormat="1" applyFont="1" applyFill="1" applyBorder="1" applyAlignment="1">
      <alignment horizontal="center" vertical="center"/>
    </xf>
    <xf numFmtId="44" fontId="28" fillId="10" borderId="1" xfId="0" applyNumberFormat="1" applyFont="1" applyFill="1" applyBorder="1" applyAlignment="1">
      <alignment horizontal="center" vertical="center"/>
    </xf>
    <xf numFmtId="0" fontId="29" fillId="30" borderId="10" xfId="0" applyFont="1" applyFill="1" applyBorder="1" applyAlignment="1">
      <alignment horizontal="center" vertical="center" wrapText="1"/>
    </xf>
    <xf numFmtId="0" fontId="29" fillId="30" borderId="12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9" fontId="29" fillId="20" borderId="1" xfId="3" applyFont="1" applyFill="1" applyBorder="1" applyAlignment="1">
      <alignment horizontal="center" vertical="center" wrapText="1"/>
    </xf>
    <xf numFmtId="0" fontId="29" fillId="20" borderId="1" xfId="3" applyNumberFormat="1" applyFont="1" applyFill="1" applyBorder="1" applyAlignment="1">
      <alignment horizontal="center" vertical="center" wrapText="1"/>
    </xf>
    <xf numFmtId="0" fontId="27" fillId="15" borderId="0" xfId="0" applyFont="1" applyFill="1" applyAlignment="1">
      <alignment horizontal="center" vertical="center" wrapText="1"/>
    </xf>
    <xf numFmtId="0" fontId="29" fillId="17" borderId="1" xfId="0" applyFont="1" applyFill="1" applyBorder="1" applyAlignment="1">
      <alignment horizontal="center" vertical="center" wrapText="1"/>
    </xf>
    <xf numFmtId="0" fontId="29" fillId="30" borderId="11" xfId="0" applyFont="1" applyFill="1" applyBorder="1" applyAlignment="1">
      <alignment horizontal="center" vertical="center" wrapText="1"/>
    </xf>
    <xf numFmtId="0" fontId="29" fillId="32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4" fontId="27" fillId="0" borderId="1" xfId="0" applyNumberFormat="1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44" fontId="27" fillId="9" borderId="1" xfId="0" applyNumberFormat="1" applyFont="1" applyFill="1" applyBorder="1" applyAlignment="1">
      <alignment horizontal="center" vertical="center"/>
    </xf>
    <xf numFmtId="44" fontId="27" fillId="0" borderId="1" xfId="0" applyNumberFormat="1" applyFont="1" applyBorder="1" applyAlignment="1">
      <alignment horizontal="center" vertical="center"/>
    </xf>
    <xf numFmtId="10" fontId="27" fillId="0" borderId="1" xfId="3" applyNumberFormat="1" applyFont="1" applyFill="1" applyBorder="1" applyAlignment="1">
      <alignment horizontal="center" vertical="center"/>
    </xf>
    <xf numFmtId="0" fontId="27" fillId="0" borderId="1" xfId="3" applyNumberFormat="1" applyFont="1" applyFill="1" applyBorder="1" applyAlignment="1">
      <alignment horizontal="center" vertical="center"/>
    </xf>
    <xf numFmtId="44" fontId="28" fillId="0" borderId="1" xfId="0" applyNumberFormat="1" applyFont="1" applyBorder="1" applyAlignment="1">
      <alignment horizontal="center" vertical="center"/>
    </xf>
    <xf numFmtId="10" fontId="28" fillId="9" borderId="1" xfId="3" applyNumberFormat="1" applyFont="1" applyFill="1" applyBorder="1" applyAlignment="1">
      <alignment horizontal="center" vertical="center"/>
    </xf>
    <xf numFmtId="10" fontId="28" fillId="9" borderId="1" xfId="0" applyNumberFormat="1" applyFont="1" applyFill="1" applyBorder="1" applyAlignment="1">
      <alignment horizontal="center" vertical="center"/>
    </xf>
    <xf numFmtId="10" fontId="28" fillId="0" borderId="1" xfId="0" applyNumberFormat="1" applyFont="1" applyBorder="1" applyAlignment="1">
      <alignment horizontal="center" vertical="center"/>
    </xf>
    <xf numFmtId="44" fontId="28" fillId="23" borderId="1" xfId="0" applyNumberFormat="1" applyFont="1" applyFill="1" applyBorder="1" applyAlignment="1">
      <alignment horizontal="center" vertical="center"/>
    </xf>
    <xf numFmtId="0" fontId="27" fillId="26" borderId="11" xfId="0" applyFont="1" applyFill="1" applyBorder="1" applyAlignment="1">
      <alignment horizontal="center" vertical="center" wrapText="1"/>
    </xf>
    <xf numFmtId="0" fontId="27" fillId="26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9" fontId="27" fillId="0" borderId="1" xfId="3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9" fontId="27" fillId="0" borderId="0" xfId="3" applyFont="1" applyAlignment="1">
      <alignment horizontal="center" vertical="center"/>
    </xf>
    <xf numFmtId="0" fontId="27" fillId="0" borderId="0" xfId="3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44" fontId="34" fillId="0" borderId="0" xfId="0" applyNumberFormat="1" applyFont="1" applyAlignment="1">
      <alignment horizontal="center" vertical="center"/>
    </xf>
    <xf numFmtId="4" fontId="33" fillId="20" borderId="1" xfId="0" applyNumberFormat="1" applyFont="1" applyFill="1" applyBorder="1" applyAlignment="1">
      <alignment horizontal="center" vertical="center"/>
    </xf>
    <xf numFmtId="44" fontId="33" fillId="20" borderId="1" xfId="0" applyNumberFormat="1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4" fontId="34" fillId="0" borderId="1" xfId="0" applyNumberFormat="1" applyFont="1" applyBorder="1" applyAlignment="1">
      <alignment horizontal="center" vertical="center"/>
    </xf>
    <xf numFmtId="44" fontId="34" fillId="0" borderId="1" xfId="0" applyNumberFormat="1" applyFont="1" applyBorder="1" applyAlignment="1">
      <alignment horizontal="center" vertical="center"/>
    </xf>
    <xf numFmtId="44" fontId="35" fillId="9" borderId="1" xfId="0" applyNumberFormat="1" applyFont="1" applyFill="1" applyBorder="1" applyAlignment="1">
      <alignment horizontal="center" vertical="center"/>
    </xf>
    <xf numFmtId="0" fontId="28" fillId="14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/>
    </xf>
    <xf numFmtId="0" fontId="28" fillId="14" borderId="6" xfId="0" applyFont="1" applyFill="1" applyBorder="1" applyAlignment="1">
      <alignment horizontal="center" vertical="center" wrapText="1"/>
    </xf>
    <xf numFmtId="4" fontId="27" fillId="11" borderId="1" xfId="0" applyNumberFormat="1" applyFont="1" applyFill="1" applyBorder="1" applyAlignment="1">
      <alignment horizontal="center" vertical="center"/>
    </xf>
    <xf numFmtId="0" fontId="36" fillId="20" borderId="1" xfId="0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centerContinuous" vertical="center"/>
    </xf>
    <xf numFmtId="0" fontId="28" fillId="21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left" vertical="center"/>
    </xf>
    <xf numFmtId="4" fontId="27" fillId="9" borderId="1" xfId="0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4" fontId="28" fillId="21" borderId="1" xfId="3" applyNumberFormat="1" applyFont="1" applyFill="1" applyBorder="1" applyAlignment="1">
      <alignment horizontal="center" vertical="center"/>
    </xf>
    <xf numFmtId="0" fontId="39" fillId="21" borderId="1" xfId="0" applyFont="1" applyFill="1" applyBorder="1" applyAlignment="1">
      <alignment horizontal="center" vertical="center"/>
    </xf>
    <xf numFmtId="9" fontId="28" fillId="21" borderId="1" xfId="3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centerContinuous" vertical="center" wrapText="1"/>
    </xf>
    <xf numFmtId="0" fontId="29" fillId="20" borderId="1" xfId="0" applyFont="1" applyFill="1" applyBorder="1" applyAlignment="1">
      <alignment horizontal="right" vertical="center" wrapText="1"/>
    </xf>
    <xf numFmtId="0" fontId="27" fillId="9" borderId="4" xfId="0" applyFont="1" applyFill="1" applyBorder="1" applyAlignment="1">
      <alignment horizontal="left" vertical="center"/>
    </xf>
    <xf numFmtId="4" fontId="27" fillId="3" borderId="0" xfId="0" applyNumberFormat="1" applyFont="1" applyFill="1" applyAlignment="1">
      <alignment horizontal="center" vertical="center"/>
    </xf>
    <xf numFmtId="0" fontId="28" fillId="21" borderId="4" xfId="0" applyFont="1" applyFill="1" applyBorder="1" applyAlignment="1">
      <alignment horizontal="centerContinuous" vertical="center" wrapText="1"/>
    </xf>
    <xf numFmtId="0" fontId="28" fillId="21" borderId="2" xfId="0" applyFont="1" applyFill="1" applyBorder="1" applyAlignment="1">
      <alignment horizontal="centerContinuous" vertical="center" wrapText="1"/>
    </xf>
    <xf numFmtId="10" fontId="27" fillId="9" borderId="2" xfId="3" applyNumberFormat="1" applyFont="1" applyFill="1" applyBorder="1" applyAlignment="1">
      <alignment horizontal="center" vertical="center"/>
    </xf>
    <xf numFmtId="4" fontId="27" fillId="9" borderId="1" xfId="3" applyNumberFormat="1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 wrapText="1"/>
    </xf>
    <xf numFmtId="0" fontId="28" fillId="21" borderId="3" xfId="0" applyFont="1" applyFill="1" applyBorder="1" applyAlignment="1">
      <alignment horizontal="center" vertical="center" wrapText="1"/>
    </xf>
    <xf numFmtId="2" fontId="28" fillId="4" borderId="1" xfId="0" applyNumberFormat="1" applyFont="1" applyFill="1" applyBorder="1" applyAlignment="1">
      <alignment horizontal="center" vertical="center"/>
    </xf>
    <xf numFmtId="2" fontId="27" fillId="9" borderId="1" xfId="0" applyNumberFormat="1" applyFont="1" applyFill="1" applyBorder="1" applyAlignment="1">
      <alignment horizontal="center" vertical="center"/>
    </xf>
    <xf numFmtId="2" fontId="27" fillId="11" borderId="1" xfId="0" applyNumberFormat="1" applyFont="1" applyFill="1" applyBorder="1" applyAlignment="1">
      <alignment horizontal="center" vertical="center"/>
    </xf>
    <xf numFmtId="0" fontId="28" fillId="21" borderId="1" xfId="0" applyFont="1" applyFill="1" applyBorder="1" applyAlignment="1">
      <alignment vertical="center"/>
    </xf>
    <xf numFmtId="4" fontId="28" fillId="21" borderId="1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4" fontId="27" fillId="9" borderId="2" xfId="0" applyNumberFormat="1" applyFont="1" applyFill="1" applyBorder="1" applyAlignment="1">
      <alignment horizontal="center" vertical="center"/>
    </xf>
    <xf numFmtId="2" fontId="27" fillId="0" borderId="1" xfId="0" applyNumberFormat="1" applyFont="1" applyBorder="1" applyAlignment="1">
      <alignment horizontal="center" vertical="center"/>
    </xf>
    <xf numFmtId="4" fontId="28" fillId="9" borderId="1" xfId="3" applyNumberFormat="1" applyFont="1" applyFill="1" applyBorder="1" applyAlignment="1">
      <alignment horizontal="center" vertical="center"/>
    </xf>
    <xf numFmtId="2" fontId="28" fillId="9" borderId="1" xfId="0" applyNumberFormat="1" applyFont="1" applyFill="1" applyBorder="1" applyAlignment="1">
      <alignment horizontal="center" vertical="center"/>
    </xf>
    <xf numFmtId="0" fontId="29" fillId="20" borderId="4" xfId="0" applyFont="1" applyFill="1" applyBorder="1" applyAlignment="1">
      <alignment horizontal="centerContinuous" vertical="center"/>
    </xf>
    <xf numFmtId="0" fontId="32" fillId="20" borderId="2" xfId="0" applyFont="1" applyFill="1" applyBorder="1" applyAlignment="1">
      <alignment horizontal="centerContinuous" vertical="center"/>
    </xf>
    <xf numFmtId="0" fontId="28" fillId="21" borderId="4" xfId="0" applyFont="1" applyFill="1" applyBorder="1" applyAlignment="1">
      <alignment horizontal="left" vertical="center"/>
    </xf>
    <xf numFmtId="0" fontId="27" fillId="21" borderId="2" xfId="0" applyFont="1" applyFill="1" applyBorder="1" applyAlignment="1">
      <alignment horizontal="left" vertical="center"/>
    </xf>
    <xf numFmtId="10" fontId="40" fillId="11" borderId="1" xfId="3" applyNumberFormat="1" applyFont="1" applyFill="1" applyBorder="1" applyAlignment="1">
      <alignment horizontal="center" vertical="center"/>
    </xf>
    <xf numFmtId="44" fontId="29" fillId="20" borderId="2" xfId="0" applyNumberFormat="1" applyFont="1" applyFill="1" applyBorder="1" applyAlignment="1">
      <alignment horizontal="center" vertical="center" wrapText="1"/>
    </xf>
    <xf numFmtId="44" fontId="29" fillId="20" borderId="1" xfId="0" applyNumberFormat="1" applyFont="1" applyFill="1" applyBorder="1" applyAlignment="1">
      <alignment horizontal="center" vertical="center" wrapText="1"/>
    </xf>
    <xf numFmtId="44" fontId="32" fillId="3" borderId="0" xfId="0" applyNumberFormat="1" applyFont="1" applyFill="1" applyAlignment="1">
      <alignment horizontal="center" vertical="center"/>
    </xf>
    <xf numFmtId="10" fontId="41" fillId="3" borderId="0" xfId="3" applyNumberFormat="1" applyFont="1" applyFill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43" fillId="35" borderId="0" xfId="0" applyFont="1" applyFill="1"/>
    <xf numFmtId="0" fontId="44" fillId="3" borderId="1" xfId="0" applyFont="1" applyFill="1" applyBorder="1" applyAlignment="1">
      <alignment horizontal="center"/>
    </xf>
    <xf numFmtId="0" fontId="30" fillId="36" borderId="1" xfId="0" applyFont="1" applyFill="1" applyBorder="1" applyAlignment="1">
      <alignment horizontal="center"/>
    </xf>
    <xf numFmtId="2" fontId="43" fillId="35" borderId="1" xfId="0" applyNumberFormat="1" applyFont="1" applyFill="1" applyBorder="1" applyAlignment="1">
      <alignment horizontal="center"/>
    </xf>
    <xf numFmtId="0" fontId="33" fillId="20" borderId="4" xfId="0" applyFont="1" applyFill="1" applyBorder="1" applyAlignment="1">
      <alignment horizontal="left" vertical="center"/>
    </xf>
    <xf numFmtId="0" fontId="33" fillId="20" borderId="5" xfId="0" applyFont="1" applyFill="1" applyBorder="1" applyAlignment="1">
      <alignment horizontal="left" vertical="center"/>
    </xf>
    <xf numFmtId="0" fontId="33" fillId="20" borderId="2" xfId="0" applyFont="1" applyFill="1" applyBorder="1" applyAlignment="1">
      <alignment horizontal="right" vertical="center"/>
    </xf>
    <xf numFmtId="44" fontId="39" fillId="21" borderId="1" xfId="0" applyNumberFormat="1" applyFont="1" applyFill="1" applyBorder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0" fontId="33" fillId="20" borderId="5" xfId="0" applyFont="1" applyFill="1" applyBorder="1" applyAlignment="1">
      <alignment horizontal="center" vertical="center"/>
    </xf>
    <xf numFmtId="0" fontId="33" fillId="20" borderId="5" xfId="0" applyFont="1" applyFill="1" applyBorder="1" applyAlignment="1">
      <alignment horizontal="right" vertical="center"/>
    </xf>
    <xf numFmtId="10" fontId="33" fillId="20" borderId="5" xfId="3" applyNumberFormat="1" applyFont="1" applyFill="1" applyBorder="1" applyAlignment="1">
      <alignment horizontal="center" vertical="center"/>
    </xf>
    <xf numFmtId="44" fontId="33" fillId="20" borderId="5" xfId="0" applyNumberFormat="1" applyFont="1" applyFill="1" applyBorder="1" applyAlignment="1">
      <alignment horizontal="center" vertical="center"/>
    </xf>
    <xf numFmtId="44" fontId="33" fillId="20" borderId="2" xfId="0" applyNumberFormat="1" applyFont="1" applyFill="1" applyBorder="1" applyAlignment="1">
      <alignment horizontal="center" vertical="center"/>
    </xf>
    <xf numFmtId="0" fontId="28" fillId="3" borderId="0" xfId="1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8" fillId="3" borderId="0" xfId="2" applyFont="1" applyFill="1" applyAlignment="1">
      <alignment horizontal="center" vertical="center"/>
    </xf>
    <xf numFmtId="0" fontId="29" fillId="5" borderId="1" xfId="0" applyFont="1" applyFill="1" applyBorder="1" applyAlignment="1">
      <alignment horizontal="centerContinuous" vertical="center"/>
    </xf>
    <xf numFmtId="0" fontId="28" fillId="21" borderId="1" xfId="0" applyFont="1" applyFill="1" applyBorder="1" applyAlignment="1">
      <alignment horizontal="center" vertical="center"/>
    </xf>
    <xf numFmtId="0" fontId="27" fillId="34" borderId="1" xfId="0" applyFont="1" applyFill="1" applyBorder="1" applyAlignment="1">
      <alignment horizontal="center" vertical="center"/>
    </xf>
    <xf numFmtId="0" fontId="49" fillId="3" borderId="0" xfId="0" applyFont="1" applyFill="1" applyAlignment="1">
      <alignment horizontal="center" vertical="center"/>
    </xf>
    <xf numFmtId="0" fontId="38" fillId="0" borderId="1" xfId="0" applyFont="1" applyBorder="1" applyAlignment="1">
      <alignment horizontal="left" vertical="center"/>
    </xf>
    <xf numFmtId="9" fontId="27" fillId="9" borderId="1" xfId="3" applyFont="1" applyFill="1" applyBorder="1" applyAlignment="1">
      <alignment horizontal="center" vertical="center"/>
    </xf>
    <xf numFmtId="4" fontId="27" fillId="0" borderId="1" xfId="3" applyNumberFormat="1" applyFont="1" applyFill="1" applyBorder="1" applyAlignment="1">
      <alignment horizontal="center" vertical="center"/>
    </xf>
    <xf numFmtId="10" fontId="50" fillId="20" borderId="2" xfId="3" applyNumberFormat="1" applyFont="1" applyFill="1" applyBorder="1" applyAlignment="1">
      <alignment horizontal="center" vertical="center"/>
    </xf>
    <xf numFmtId="0" fontId="28" fillId="21" borderId="1" xfId="0" applyFont="1" applyFill="1" applyBorder="1" applyAlignment="1">
      <alignment horizontal="right" vertical="center"/>
    </xf>
    <xf numFmtId="10" fontId="28" fillId="21" borderId="1" xfId="0" applyNumberFormat="1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left" vertical="center" wrapText="1"/>
    </xf>
    <xf numFmtId="10" fontId="27" fillId="26" borderId="1" xfId="3" applyNumberFormat="1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12" borderId="1" xfId="3" applyNumberFormat="1" applyFont="1" applyFill="1" applyBorder="1" applyAlignment="1">
      <alignment horizontal="center" vertical="center" textRotation="90" wrapText="1"/>
    </xf>
    <xf numFmtId="0" fontId="52" fillId="9" borderId="1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left" vertical="center" wrapText="1"/>
    </xf>
    <xf numFmtId="4" fontId="51" fillId="0" borderId="1" xfId="0" applyNumberFormat="1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10" fontId="51" fillId="0" borderId="1" xfId="3" applyNumberFormat="1" applyFont="1" applyBorder="1" applyAlignment="1">
      <alignment horizontal="center" vertical="center" wrapText="1"/>
    </xf>
    <xf numFmtId="10" fontId="52" fillId="9" borderId="1" xfId="3" applyNumberFormat="1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10" fontId="51" fillId="0" borderId="1" xfId="3" applyNumberFormat="1" applyFont="1" applyBorder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quotePrefix="1" applyFont="1" applyAlignment="1">
      <alignment horizontal="center" vertical="center"/>
    </xf>
    <xf numFmtId="10" fontId="52" fillId="21" borderId="1" xfId="3" applyNumberFormat="1" applyFont="1" applyFill="1" applyBorder="1" applyAlignment="1">
      <alignment horizontal="center" vertical="center" wrapText="1"/>
    </xf>
    <xf numFmtId="10" fontId="52" fillId="12" borderId="1" xfId="3" applyNumberFormat="1" applyFont="1" applyFill="1" applyBorder="1" applyAlignment="1">
      <alignment horizontal="center" vertical="center" wrapText="1"/>
    </xf>
    <xf numFmtId="0" fontId="51" fillId="0" borderId="0" xfId="0" applyFont="1" applyAlignment="1">
      <alignment horizontal="right" vertical="center" wrapText="1"/>
    </xf>
    <xf numFmtId="9" fontId="52" fillId="21" borderId="1" xfId="3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 wrapText="1"/>
    </xf>
    <xf numFmtId="0" fontId="51" fillId="0" borderId="0" xfId="0" applyFont="1" applyAlignment="1">
      <alignment horizontal="left" vertical="center"/>
    </xf>
    <xf numFmtId="9" fontId="51" fillId="0" borderId="0" xfId="3" applyFont="1" applyAlignment="1">
      <alignment horizontal="center" vertical="center"/>
    </xf>
    <xf numFmtId="44" fontId="51" fillId="0" borderId="0" xfId="0" applyNumberFormat="1" applyFont="1" applyAlignment="1">
      <alignment horizontal="center" vertical="center"/>
    </xf>
    <xf numFmtId="44" fontId="52" fillId="12" borderId="0" xfId="3" applyNumberFormat="1" applyFont="1" applyFill="1" applyAlignment="1">
      <alignment horizontal="right" vertical="center" wrapText="1"/>
    </xf>
    <xf numFmtId="44" fontId="52" fillId="16" borderId="0" xfId="0" applyNumberFormat="1" applyFont="1" applyFill="1" applyAlignment="1">
      <alignment horizontal="center" vertical="center"/>
    </xf>
    <xf numFmtId="44" fontId="52" fillId="22" borderId="0" xfId="0" applyNumberFormat="1" applyFont="1" applyFill="1" applyAlignment="1">
      <alignment horizontal="center" vertical="center"/>
    </xf>
    <xf numFmtId="10" fontId="52" fillId="0" borderId="0" xfId="3" applyNumberFormat="1" applyFont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44" fontId="29" fillId="30" borderId="0" xfId="0" applyNumberFormat="1" applyFont="1" applyFill="1" applyAlignment="1">
      <alignment horizontal="center" vertical="center" wrapText="1"/>
    </xf>
    <xf numFmtId="0" fontId="52" fillId="9" borderId="0" xfId="0" applyFont="1" applyFill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9" fontId="52" fillId="12" borderId="0" xfId="3" applyFont="1" applyFill="1" applyAlignment="1">
      <alignment horizontal="center" vertical="center" wrapText="1"/>
    </xf>
    <xf numFmtId="44" fontId="52" fillId="12" borderId="0" xfId="3" applyNumberFormat="1" applyFont="1" applyFill="1" applyAlignment="1">
      <alignment horizontal="center" vertical="center" wrapText="1"/>
    </xf>
    <xf numFmtId="0" fontId="52" fillId="22" borderId="0" xfId="0" applyFont="1" applyFill="1" applyAlignment="1">
      <alignment horizontal="center" vertical="center" wrapText="1"/>
    </xf>
    <xf numFmtId="9" fontId="52" fillId="22" borderId="0" xfId="3" applyFont="1" applyFill="1" applyAlignment="1">
      <alignment horizontal="center" vertical="center" wrapText="1"/>
    </xf>
    <xf numFmtId="44" fontId="52" fillId="22" borderId="0" xfId="0" applyNumberFormat="1" applyFont="1" applyFill="1" applyAlignment="1">
      <alignment horizontal="center" vertical="center" wrapText="1"/>
    </xf>
    <xf numFmtId="0" fontId="52" fillId="9" borderId="0" xfId="0" applyFont="1" applyFill="1" applyAlignment="1">
      <alignment horizontal="center" vertical="center"/>
    </xf>
    <xf numFmtId="0" fontId="51" fillId="31" borderId="0" xfId="0" applyFont="1" applyFill="1" applyAlignment="1">
      <alignment horizontal="center" vertical="center"/>
    </xf>
    <xf numFmtId="0" fontId="51" fillId="23" borderId="0" xfId="0" applyFont="1" applyFill="1" applyAlignment="1">
      <alignment horizontal="center" vertical="center" wrapText="1"/>
    </xf>
    <xf numFmtId="0" fontId="52" fillId="21" borderId="0" xfId="0" applyFont="1" applyFill="1" applyAlignment="1">
      <alignment horizontal="center" vertical="center"/>
    </xf>
    <xf numFmtId="9" fontId="51" fillId="16" borderId="0" xfId="3" applyFont="1" applyFill="1" applyAlignment="1">
      <alignment horizontal="center" vertical="center"/>
    </xf>
    <xf numFmtId="44" fontId="51" fillId="16" borderId="0" xfId="0" applyNumberFormat="1" applyFont="1" applyFill="1" applyAlignment="1">
      <alignment horizontal="center" vertical="center"/>
    </xf>
    <xf numFmtId="10" fontId="52" fillId="0" borderId="0" xfId="3" applyNumberFormat="1" applyFont="1" applyAlignment="1">
      <alignment horizontal="center" vertical="center" wrapText="1"/>
    </xf>
    <xf numFmtId="0" fontId="53" fillId="28" borderId="0" xfId="0" applyFont="1" applyFill="1" applyAlignment="1">
      <alignment horizontal="center" vertical="center"/>
    </xf>
    <xf numFmtId="0" fontId="29" fillId="29" borderId="0" xfId="0" applyFont="1" applyFill="1" applyAlignment="1">
      <alignment horizontal="left" vertical="center"/>
    </xf>
    <xf numFmtId="170" fontId="29" fillId="29" borderId="0" xfId="0" applyNumberFormat="1" applyFont="1" applyFill="1" applyAlignment="1">
      <alignment horizontal="center" vertical="center"/>
    </xf>
    <xf numFmtId="10" fontId="27" fillId="3" borderId="0" xfId="3" applyNumberFormat="1" applyFont="1" applyFill="1" applyAlignment="1">
      <alignment horizontal="center" vertical="center"/>
    </xf>
    <xf numFmtId="0" fontId="37" fillId="3" borderId="0" xfId="0" applyFont="1" applyFill="1" applyAlignment="1">
      <alignment horizontal="right" vertical="center"/>
    </xf>
    <xf numFmtId="4" fontId="37" fillId="3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left" vertical="center"/>
    </xf>
    <xf numFmtId="44" fontId="27" fillId="0" borderId="0" xfId="0" applyNumberFormat="1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70" fontId="29" fillId="20" borderId="0" xfId="0" applyNumberFormat="1" applyFont="1" applyFill="1" applyAlignment="1">
      <alignment horizontal="center" vertical="center"/>
    </xf>
    <xf numFmtId="0" fontId="51" fillId="0" borderId="0" xfId="0" applyFont="1" applyAlignment="1">
      <alignment horizontal="right" vertical="center"/>
    </xf>
    <xf numFmtId="10" fontId="52" fillId="24" borderId="0" xfId="3" applyNumberFormat="1" applyFont="1" applyFill="1" applyBorder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0" fontId="52" fillId="24" borderId="0" xfId="3" applyNumberFormat="1" applyFont="1" applyFill="1" applyBorder="1" applyAlignment="1">
      <alignment horizontal="center" vertical="center"/>
    </xf>
    <xf numFmtId="0" fontId="51" fillId="25" borderId="0" xfId="0" applyFont="1" applyFill="1" applyAlignment="1">
      <alignment horizontal="right" vertical="center"/>
    </xf>
    <xf numFmtId="10" fontId="27" fillId="25" borderId="0" xfId="3" applyNumberFormat="1" applyFont="1" applyFill="1" applyAlignment="1">
      <alignment horizontal="center" vertical="center"/>
    </xf>
    <xf numFmtId="10" fontId="51" fillId="25" borderId="0" xfId="3" applyNumberFormat="1" applyFont="1" applyFill="1" applyAlignment="1">
      <alignment horizontal="center" vertical="center"/>
    </xf>
    <xf numFmtId="0" fontId="52" fillId="24" borderId="0" xfId="0" applyFont="1" applyFill="1" applyAlignment="1">
      <alignment horizontal="center" vertical="center"/>
    </xf>
    <xf numFmtId="10" fontId="28" fillId="9" borderId="0" xfId="3" applyNumberFormat="1" applyFont="1" applyFill="1" applyAlignment="1">
      <alignment horizontal="center" vertical="center"/>
    </xf>
    <xf numFmtId="10" fontId="52" fillId="9" borderId="0" xfId="3" applyNumberFormat="1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2" fillId="25" borderId="0" xfId="0" applyFont="1" applyFill="1" applyAlignment="1">
      <alignment horizontal="center" vertical="center"/>
    </xf>
    <xf numFmtId="10" fontId="51" fillId="25" borderId="0" xfId="0" applyNumberFormat="1" applyFont="1" applyFill="1" applyAlignment="1">
      <alignment horizontal="center" vertical="center"/>
    </xf>
    <xf numFmtId="10" fontId="52" fillId="27" borderId="0" xfId="0" applyNumberFormat="1" applyFont="1" applyFill="1" applyAlignment="1">
      <alignment horizontal="center" vertical="center"/>
    </xf>
    <xf numFmtId="43" fontId="51" fillId="0" borderId="0" xfId="4" applyFont="1" applyFill="1" applyAlignment="1">
      <alignment horizontal="center" vertical="center"/>
    </xf>
    <xf numFmtId="169" fontId="57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right" vertical="center"/>
    </xf>
    <xf numFmtId="169" fontId="51" fillId="0" borderId="0" xfId="0" applyNumberFormat="1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43" fontId="52" fillId="0" borderId="0" xfId="4" applyFont="1" applyFill="1" applyAlignment="1">
      <alignment horizontal="center" vertical="center"/>
    </xf>
    <xf numFmtId="0" fontId="53" fillId="16" borderId="0" xfId="0" applyFont="1" applyFill="1" applyAlignment="1">
      <alignment horizontal="center" vertical="center"/>
    </xf>
    <xf numFmtId="0" fontId="51" fillId="16" borderId="0" xfId="0" applyFont="1" applyFill="1" applyAlignment="1">
      <alignment horizontal="left" vertical="center"/>
    </xf>
    <xf numFmtId="0" fontId="51" fillId="16" borderId="0" xfId="0" applyFont="1" applyFill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169" fontId="27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37" fillId="0" borderId="0" xfId="0" applyFont="1" applyAlignment="1">
      <alignment horizontal="center" vertical="center"/>
    </xf>
    <xf numFmtId="169" fontId="37" fillId="0" borderId="0" xfId="0" applyNumberFormat="1" applyFont="1" applyAlignment="1">
      <alignment horizontal="center" vertical="center"/>
    </xf>
    <xf numFmtId="4" fontId="28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right" vertical="center"/>
    </xf>
    <xf numFmtId="44" fontId="59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4" fontId="37" fillId="0" borderId="0" xfId="0" applyNumberFormat="1" applyFont="1" applyAlignment="1">
      <alignment horizontal="center" vertical="center"/>
    </xf>
    <xf numFmtId="164" fontId="28" fillId="0" borderId="0" xfId="3" applyNumberFormat="1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10" fontId="52" fillId="0" borderId="0" xfId="0" applyNumberFormat="1" applyFont="1" applyAlignment="1">
      <alignment horizontal="center" vertical="center"/>
    </xf>
    <xf numFmtId="169" fontId="52" fillId="0" borderId="0" xfId="0" applyNumberFormat="1" applyFont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44" fontId="29" fillId="8" borderId="1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1" fillId="0" borderId="1" xfId="0" applyFont="1" applyBorder="1" applyAlignment="1">
      <alignment horizontal="left" vertical="center"/>
    </xf>
    <xf numFmtId="44" fontId="51" fillId="0" borderId="1" xfId="0" applyNumberFormat="1" applyFont="1" applyBorder="1" applyAlignment="1">
      <alignment horizontal="center" vertical="center"/>
    </xf>
    <xf numFmtId="14" fontId="51" fillId="0" borderId="1" xfId="0" applyNumberFormat="1" applyFont="1" applyBorder="1" applyAlignment="1">
      <alignment horizontal="center" vertical="center"/>
    </xf>
    <xf numFmtId="14" fontId="51" fillId="0" borderId="0" xfId="0" applyNumberFormat="1" applyFont="1" applyAlignment="1">
      <alignment horizontal="center" vertical="center"/>
    </xf>
    <xf numFmtId="0" fontId="52" fillId="9" borderId="1" xfId="0" applyFont="1" applyFill="1" applyBorder="1" applyAlignment="1">
      <alignment horizontal="center" vertical="center"/>
    </xf>
    <xf numFmtId="49" fontId="52" fillId="0" borderId="0" xfId="0" applyNumberFormat="1" applyFont="1" applyAlignment="1">
      <alignment horizontal="center" vertical="center"/>
    </xf>
    <xf numFmtId="49" fontId="51" fillId="0" borderId="0" xfId="0" applyNumberFormat="1" applyFont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/>
    </xf>
    <xf numFmtId="44" fontId="20" fillId="38" borderId="23" xfId="0" applyNumberFormat="1" applyFont="1" applyFill="1" applyBorder="1" applyAlignment="1">
      <alignment horizontal="center" vertical="center"/>
    </xf>
    <xf numFmtId="9" fontId="20" fillId="38" borderId="24" xfId="3" applyFont="1" applyFill="1" applyBorder="1" applyAlignment="1">
      <alignment horizontal="center" vertical="center"/>
    </xf>
    <xf numFmtId="44" fontId="19" fillId="39" borderId="26" xfId="0" applyNumberFormat="1" applyFont="1" applyFill="1" applyBorder="1" applyAlignment="1">
      <alignment horizontal="center" vertical="center"/>
    </xf>
    <xf numFmtId="44" fontId="20" fillId="38" borderId="26" xfId="0" applyNumberFormat="1" applyFont="1" applyFill="1" applyBorder="1" applyAlignment="1">
      <alignment horizontal="center" vertical="center"/>
    </xf>
    <xf numFmtId="9" fontId="20" fillId="38" borderId="27" xfId="3" applyFont="1" applyFill="1" applyBorder="1" applyAlignment="1">
      <alignment horizontal="center" vertical="center"/>
    </xf>
    <xf numFmtId="44" fontId="20" fillId="38" borderId="29" xfId="0" applyNumberFormat="1" applyFont="1" applyFill="1" applyBorder="1" applyAlignment="1">
      <alignment horizontal="center" vertical="center"/>
    </xf>
    <xf numFmtId="9" fontId="20" fillId="38" borderId="30" xfId="3" applyFont="1" applyFill="1" applyBorder="1" applyAlignment="1">
      <alignment horizontal="center" vertical="center"/>
    </xf>
    <xf numFmtId="4" fontId="19" fillId="37" borderId="26" xfId="0" applyNumberFormat="1" applyFont="1" applyFill="1" applyBorder="1" applyAlignment="1">
      <alignment horizontal="center" vertical="center"/>
    </xf>
    <xf numFmtId="4" fontId="19" fillId="37" borderId="29" xfId="0" applyNumberFormat="1" applyFont="1" applyFill="1" applyBorder="1" applyAlignment="1">
      <alignment horizontal="center" vertical="center"/>
    </xf>
    <xf numFmtId="0" fontId="19" fillId="24" borderId="14" xfId="0" applyFont="1" applyFill="1" applyBorder="1" applyAlignment="1">
      <alignment horizontal="center" vertical="center"/>
    </xf>
    <xf numFmtId="44" fontId="27" fillId="24" borderId="1" xfId="0" applyNumberFormat="1" applyFont="1" applyFill="1" applyBorder="1" applyAlignment="1">
      <alignment horizontal="center" vertical="center"/>
    </xf>
    <xf numFmtId="0" fontId="44" fillId="3" borderId="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0" borderId="26" xfId="0" applyFont="1" applyFill="1" applyBorder="1"/>
    <xf numFmtId="0" fontId="30" fillId="36" borderId="26" xfId="0" applyFont="1" applyFill="1" applyBorder="1" applyAlignment="1">
      <alignment horizontal="center"/>
    </xf>
    <xf numFmtId="0" fontId="30" fillId="20" borderId="26" xfId="0" applyFont="1" applyFill="1" applyBorder="1" applyAlignment="1">
      <alignment horizontal="center"/>
    </xf>
    <xf numFmtId="0" fontId="30" fillId="20" borderId="26" xfId="0" applyFont="1" applyFill="1" applyBorder="1" applyAlignment="1">
      <alignment horizontal="center" vertical="center" wrapText="1"/>
    </xf>
    <xf numFmtId="0" fontId="43" fillId="12" borderId="26" xfId="0" applyFont="1" applyFill="1" applyBorder="1"/>
    <xf numFmtId="0" fontId="45" fillId="12" borderId="26" xfId="0" applyFont="1" applyFill="1" applyBorder="1" applyAlignment="1">
      <alignment vertical="center"/>
    </xf>
    <xf numFmtId="8" fontId="46" fillId="12" borderId="26" xfId="0" applyNumberFormat="1" applyFont="1" applyFill="1" applyBorder="1" applyAlignment="1">
      <alignment horizontal="center" vertical="center"/>
    </xf>
    <xf numFmtId="8" fontId="43" fillId="12" borderId="26" xfId="0" applyNumberFormat="1" applyFont="1" applyFill="1" applyBorder="1" applyAlignment="1">
      <alignment horizontal="center"/>
    </xf>
    <xf numFmtId="171" fontId="43" fillId="12" borderId="26" xfId="0" applyNumberFormat="1" applyFont="1" applyFill="1" applyBorder="1" applyAlignment="1">
      <alignment horizontal="center"/>
    </xf>
    <xf numFmtId="0" fontId="43" fillId="12" borderId="26" xfId="0" applyFont="1" applyFill="1" applyBorder="1" applyAlignment="1">
      <alignment vertical="center" wrapText="1"/>
    </xf>
    <xf numFmtId="0" fontId="43" fillId="12" borderId="26" xfId="0" applyFont="1" applyFill="1" applyBorder="1" applyAlignment="1">
      <alignment vertical="center"/>
    </xf>
    <xf numFmtId="8" fontId="47" fillId="12" borderId="26" xfId="0" applyNumberFormat="1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  <xf numFmtId="0" fontId="17" fillId="3" borderId="44" xfId="0" applyFont="1" applyFill="1" applyBorder="1" applyAlignment="1">
      <alignment horizontal="center" vertical="center"/>
    </xf>
    <xf numFmtId="0" fontId="17" fillId="3" borderId="45" xfId="0" applyFont="1" applyFill="1" applyBorder="1" applyAlignment="1">
      <alignment horizontal="center" vertical="center"/>
    </xf>
    <xf numFmtId="44" fontId="17" fillId="3" borderId="44" xfId="0" applyNumberFormat="1" applyFont="1" applyFill="1" applyBorder="1" applyAlignment="1">
      <alignment horizontal="center" vertical="center"/>
    </xf>
    <xf numFmtId="0" fontId="17" fillId="3" borderId="46" xfId="0" applyFont="1" applyFill="1" applyBorder="1" applyAlignment="1">
      <alignment horizontal="center" vertical="center"/>
    </xf>
    <xf numFmtId="10" fontId="19" fillId="37" borderId="23" xfId="3" applyNumberFormat="1" applyFont="1" applyFill="1" applyBorder="1" applyAlignment="1">
      <alignment horizontal="center" vertical="center"/>
    </xf>
    <xf numFmtId="10" fontId="19" fillId="37" borderId="26" xfId="3" applyNumberFormat="1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44" fontId="17" fillId="3" borderId="14" xfId="0" applyNumberFormat="1" applyFont="1" applyFill="1" applyBorder="1" applyAlignment="1">
      <alignment horizontal="center" vertical="center"/>
    </xf>
    <xf numFmtId="0" fontId="17" fillId="3" borderId="38" xfId="0" applyFont="1" applyFill="1" applyBorder="1" applyAlignment="1">
      <alignment horizontal="center" vertical="center"/>
    </xf>
    <xf numFmtId="0" fontId="65" fillId="0" borderId="0" xfId="0" applyFont="1"/>
    <xf numFmtId="0" fontId="66" fillId="39" borderId="56" xfId="0" applyFont="1" applyFill="1" applyBorder="1" applyAlignment="1" applyProtection="1">
      <alignment horizontal="center" vertical="center" wrapText="1"/>
      <protection locked="0"/>
    </xf>
    <xf numFmtId="0" fontId="66" fillId="12" borderId="56" xfId="0" applyFont="1" applyFill="1" applyBorder="1" applyAlignment="1" applyProtection="1">
      <alignment horizontal="center" vertical="center" wrapText="1"/>
      <protection locked="0"/>
    </xf>
    <xf numFmtId="0" fontId="66" fillId="45" borderId="56" xfId="0" applyFont="1" applyFill="1" applyBorder="1" applyAlignment="1" applyProtection="1">
      <alignment horizontal="center" vertical="center" wrapText="1"/>
      <protection locked="0"/>
    </xf>
    <xf numFmtId="0" fontId="65" fillId="0" borderId="57" xfId="0" applyFont="1" applyBorder="1" applyAlignment="1" applyProtection="1">
      <alignment horizontal="center" vertical="center" wrapText="1"/>
      <protection locked="0"/>
    </xf>
    <xf numFmtId="0" fontId="65" fillId="0" borderId="58" xfId="0" applyFont="1" applyBorder="1" applyAlignment="1" applyProtection="1">
      <alignment horizontal="justify" vertical="center" wrapText="1"/>
      <protection locked="0"/>
    </xf>
    <xf numFmtId="0" fontId="65" fillId="0" borderId="58" xfId="0" applyFont="1" applyBorder="1" applyAlignment="1" applyProtection="1">
      <alignment horizontal="center" vertical="center" wrapText="1"/>
      <protection locked="0"/>
    </xf>
    <xf numFmtId="10" fontId="65" fillId="39" borderId="58" xfId="0" applyNumberFormat="1" applyFont="1" applyFill="1" applyBorder="1" applyAlignment="1" applyProtection="1">
      <alignment horizontal="center" vertical="center" wrapText="1"/>
      <protection locked="0"/>
    </xf>
    <xf numFmtId="10" fontId="67" fillId="39" borderId="58" xfId="0" applyNumberFormat="1" applyFont="1" applyFill="1" applyBorder="1" applyAlignment="1" applyProtection="1">
      <alignment horizontal="center" vertical="center" wrapText="1"/>
      <protection locked="0"/>
    </xf>
    <xf numFmtId="9" fontId="67" fillId="3" borderId="58" xfId="3" applyFont="1" applyFill="1" applyBorder="1" applyAlignment="1" applyProtection="1">
      <alignment horizontal="center" vertical="center" wrapText="1"/>
      <protection locked="0"/>
    </xf>
    <xf numFmtId="10" fontId="67" fillId="12" borderId="58" xfId="0" applyNumberFormat="1" applyFont="1" applyFill="1" applyBorder="1" applyAlignment="1" applyProtection="1">
      <alignment horizontal="center" vertical="center" wrapText="1"/>
      <protection locked="0"/>
    </xf>
    <xf numFmtId="10" fontId="65" fillId="0" borderId="58" xfId="0" applyNumberFormat="1" applyFont="1" applyBorder="1" applyAlignment="1" applyProtection="1">
      <alignment horizontal="center" vertical="center" wrapText="1"/>
      <protection locked="0"/>
    </xf>
    <xf numFmtId="0" fontId="65" fillId="0" borderId="59" xfId="0" applyFont="1" applyBorder="1" applyAlignment="1" applyProtection="1">
      <alignment horizontal="justify" vertical="center" wrapText="1"/>
      <protection locked="0"/>
    </xf>
    <xf numFmtId="0" fontId="65" fillId="0" borderId="34" xfId="0" applyFont="1" applyBorder="1" applyAlignment="1" applyProtection="1">
      <alignment horizontal="center" vertical="center" wrapText="1"/>
      <protection locked="0"/>
    </xf>
    <xf numFmtId="0" fontId="65" fillId="0" borderId="57" xfId="0" applyFont="1" applyBorder="1" applyAlignment="1" applyProtection="1">
      <alignment horizontal="justify" vertical="center" wrapText="1"/>
      <protection locked="0"/>
    </xf>
    <xf numFmtId="10" fontId="65" fillId="39" borderId="57" xfId="0" applyNumberFormat="1" applyFont="1" applyFill="1" applyBorder="1" applyAlignment="1" applyProtection="1">
      <alignment horizontal="center" vertical="center" wrapText="1"/>
      <protection locked="0"/>
    </xf>
    <xf numFmtId="10" fontId="67" fillId="39" borderId="57" xfId="0" applyNumberFormat="1" applyFont="1" applyFill="1" applyBorder="1" applyAlignment="1" applyProtection="1">
      <alignment horizontal="center" vertical="center" wrapText="1"/>
      <protection locked="0"/>
    </xf>
    <xf numFmtId="10" fontId="67" fillId="12" borderId="57" xfId="0" applyNumberFormat="1" applyFont="1" applyFill="1" applyBorder="1" applyAlignment="1" applyProtection="1">
      <alignment horizontal="center" vertical="center" wrapText="1"/>
      <protection locked="0"/>
    </xf>
    <xf numFmtId="10" fontId="65" fillId="0" borderId="57" xfId="0" applyNumberFormat="1" applyFont="1" applyBorder="1" applyAlignment="1" applyProtection="1">
      <alignment horizontal="center" vertical="center" wrapText="1"/>
      <protection locked="0"/>
    </xf>
    <xf numFmtId="0" fontId="65" fillId="0" borderId="0" xfId="0" applyFont="1" applyProtection="1">
      <protection locked="0"/>
    </xf>
    <xf numFmtId="10" fontId="68" fillId="0" borderId="0" xfId="6" applyNumberFormat="1" applyFont="1" applyAlignment="1">
      <alignment horizontal="center" vertical="center" wrapText="1"/>
    </xf>
    <xf numFmtId="4" fontId="68" fillId="0" borderId="0" xfId="6" applyNumberFormat="1" applyFont="1" applyAlignment="1">
      <alignment horizontal="center" vertical="center" wrapText="1"/>
    </xf>
    <xf numFmtId="4" fontId="69" fillId="0" borderId="0" xfId="7" applyNumberFormat="1" applyFont="1" applyAlignment="1">
      <alignment horizontal="left" vertical="center"/>
    </xf>
    <xf numFmtId="4" fontId="69" fillId="0" borderId="0" xfId="7" applyNumberFormat="1" applyFont="1" applyAlignment="1">
      <alignment horizontal="center" vertical="center" wrapText="1"/>
    </xf>
    <xf numFmtId="172" fontId="70" fillId="40" borderId="0" xfId="8" applyFont="1" applyFill="1" applyAlignment="1">
      <alignment horizontal="center" vertical="center" wrapText="1"/>
    </xf>
    <xf numFmtId="172" fontId="70" fillId="41" borderId="34" xfId="8" applyFont="1" applyFill="1" applyBorder="1" applyAlignment="1">
      <alignment horizontal="center" vertical="center"/>
    </xf>
    <xf numFmtId="4" fontId="71" fillId="0" borderId="34" xfId="6" applyNumberFormat="1" applyFont="1" applyBorder="1" applyAlignment="1">
      <alignment vertical="center" wrapText="1"/>
    </xf>
    <xf numFmtId="4" fontId="72" fillId="3" borderId="34" xfId="8" applyNumberFormat="1" applyFont="1" applyFill="1" applyBorder="1" applyAlignment="1">
      <alignment horizontal="center" vertical="center"/>
    </xf>
    <xf numFmtId="0" fontId="69" fillId="0" borderId="0" xfId="9" applyFont="1" applyFill="1" applyBorder="1" applyAlignment="1">
      <alignment horizontal="center" vertical="center" wrapText="1"/>
    </xf>
    <xf numFmtId="4" fontId="68" fillId="0" borderId="34" xfId="6" applyNumberFormat="1" applyFont="1" applyBorder="1" applyAlignment="1">
      <alignment vertical="center" wrapText="1"/>
    </xf>
    <xf numFmtId="4" fontId="73" fillId="0" borderId="34" xfId="6" applyNumberFormat="1" applyFont="1" applyBorder="1" applyAlignment="1">
      <alignment horizontal="center" vertical="center" wrapText="1"/>
    </xf>
    <xf numFmtId="4" fontId="71" fillId="0" borderId="34" xfId="6" applyNumberFormat="1" applyFont="1" applyBorder="1" applyAlignment="1">
      <alignment horizontal="center" vertical="center" wrapText="1"/>
    </xf>
    <xf numFmtId="4" fontId="72" fillId="0" borderId="34" xfId="6" applyNumberFormat="1" applyFont="1" applyBorder="1" applyAlignment="1">
      <alignment vertical="center" wrapText="1"/>
    </xf>
    <xf numFmtId="4" fontId="72" fillId="0" borderId="34" xfId="6" applyNumberFormat="1" applyFont="1" applyBorder="1" applyAlignment="1">
      <alignment horizontal="center" vertical="center" wrapText="1"/>
    </xf>
    <xf numFmtId="10" fontId="71" fillId="0" borderId="34" xfId="6" applyNumberFormat="1" applyFont="1" applyBorder="1" applyAlignment="1">
      <alignment horizontal="center" vertical="center" wrapText="1"/>
    </xf>
    <xf numFmtId="10" fontId="74" fillId="42" borderId="34" xfId="6" applyNumberFormat="1" applyFont="1" applyFill="1" applyBorder="1" applyAlignment="1">
      <alignment horizontal="center" vertical="center" wrapText="1"/>
    </xf>
    <xf numFmtId="4" fontId="70" fillId="41" borderId="34" xfId="6" applyNumberFormat="1" applyFont="1" applyFill="1" applyBorder="1" applyAlignment="1">
      <alignment horizontal="center" vertical="center" wrapText="1"/>
    </xf>
    <xf numFmtId="10" fontId="70" fillId="41" borderId="34" xfId="6" applyNumberFormat="1" applyFont="1" applyFill="1" applyBorder="1" applyAlignment="1">
      <alignment horizontal="center" vertical="center" wrapText="1"/>
    </xf>
    <xf numFmtId="4" fontId="71" fillId="0" borderId="0" xfId="6" applyNumberFormat="1" applyFont="1" applyAlignment="1">
      <alignment horizontal="center" vertical="center" wrapText="1"/>
    </xf>
    <xf numFmtId="4" fontId="70" fillId="41" borderId="0" xfId="6" applyNumberFormat="1" applyFont="1" applyFill="1" applyAlignment="1">
      <alignment horizontal="center" vertical="center" wrapText="1"/>
    </xf>
    <xf numFmtId="0" fontId="76" fillId="41" borderId="34" xfId="10" applyFont="1" applyFill="1" applyBorder="1" applyAlignment="1">
      <alignment horizontal="center" vertical="center" wrapText="1"/>
    </xf>
    <xf numFmtId="0" fontId="68" fillId="41" borderId="34" xfId="10" applyFont="1" applyFill="1" applyBorder="1" applyAlignment="1">
      <alignment horizontal="center" vertical="center" wrapText="1"/>
    </xf>
    <xf numFmtId="0" fontId="74" fillId="41" borderId="34" xfId="10" applyFont="1" applyFill="1" applyBorder="1" applyAlignment="1">
      <alignment horizontal="center" vertical="center" wrapText="1"/>
    </xf>
    <xf numFmtId="0" fontId="68" fillId="0" borderId="34" xfId="9" applyFont="1" applyFill="1" applyBorder="1" applyAlignment="1">
      <alignment horizontal="center" vertical="center" wrapText="1"/>
    </xf>
    <xf numFmtId="10" fontId="77" fillId="0" borderId="34" xfId="9" applyNumberFormat="1" applyFont="1" applyFill="1" applyBorder="1" applyAlignment="1">
      <alignment horizontal="center" vertical="center" shrinkToFit="1"/>
    </xf>
    <xf numFmtId="10" fontId="77" fillId="0" borderId="0" xfId="9" applyNumberFormat="1" applyFont="1" applyFill="1" applyBorder="1" applyAlignment="1">
      <alignment horizontal="center" vertical="center" shrinkToFit="1"/>
    </xf>
    <xf numFmtId="0" fontId="71" fillId="0" borderId="34" xfId="10" applyFont="1" applyBorder="1" applyAlignment="1">
      <alignment horizontal="center" vertical="center" wrapText="1"/>
    </xf>
    <xf numFmtId="164" fontId="71" fillId="0" borderId="34" xfId="10" applyNumberFormat="1" applyFont="1" applyBorder="1" applyAlignment="1">
      <alignment horizontal="center" vertical="center" shrinkToFit="1"/>
    </xf>
    <xf numFmtId="10" fontId="77" fillId="26" borderId="34" xfId="9" applyNumberFormat="1" applyFont="1" applyFill="1" applyBorder="1" applyAlignment="1">
      <alignment horizontal="center" vertical="center" shrinkToFit="1"/>
    </xf>
    <xf numFmtId="10" fontId="77" fillId="26" borderId="0" xfId="9" applyNumberFormat="1" applyFont="1" applyFill="1" applyBorder="1" applyAlignment="1">
      <alignment horizontal="center" vertical="center" shrinkToFit="1"/>
    </xf>
    <xf numFmtId="4" fontId="78" fillId="0" borderId="0" xfId="6" applyNumberFormat="1" applyFont="1" applyAlignment="1">
      <alignment horizontal="left" vertical="center"/>
    </xf>
    <xf numFmtId="4" fontId="79" fillId="0" borderId="0" xfId="6" applyNumberFormat="1" applyFont="1" applyAlignment="1">
      <alignment vertical="center"/>
    </xf>
    <xf numFmtId="4" fontId="27" fillId="0" borderId="0" xfId="6" applyNumberFormat="1" applyFont="1" applyAlignment="1">
      <alignment vertical="center"/>
    </xf>
    <xf numFmtId="4" fontId="68" fillId="0" borderId="0" xfId="6" applyNumberFormat="1" applyFont="1" applyAlignment="1">
      <alignment vertical="center"/>
    </xf>
    <xf numFmtId="0" fontId="80" fillId="0" borderId="0" xfId="9" applyNumberFormat="1" applyFont="1" applyFill="1" applyBorder="1" applyAlignment="1"/>
    <xf numFmtId="0" fontId="81" fillId="0" borderId="0" xfId="9" applyNumberFormat="1" applyFont="1" applyFill="1" applyBorder="1" applyAlignment="1"/>
    <xf numFmtId="0" fontId="80" fillId="43" borderId="1" xfId="9" applyNumberFormat="1" applyFont="1" applyFill="1" applyBorder="1" applyAlignment="1">
      <alignment horizontal="left"/>
    </xf>
    <xf numFmtId="0" fontId="81" fillId="0" borderId="1" xfId="9" applyNumberFormat="1" applyFont="1" applyFill="1" applyBorder="1" applyAlignment="1"/>
    <xf numFmtId="9" fontId="81" fillId="0" borderId="1" xfId="9" applyNumberFormat="1" applyFont="1" applyFill="1" applyBorder="1" applyAlignment="1">
      <alignment horizontal="left"/>
    </xf>
    <xf numFmtId="10" fontId="81" fillId="0" borderId="1" xfId="9" applyNumberFormat="1" applyFont="1" applyFill="1" applyBorder="1" applyAlignment="1">
      <alignment horizontal="left"/>
    </xf>
    <xf numFmtId="0" fontId="27" fillId="0" borderId="34" xfId="10" applyFont="1" applyBorder="1" applyAlignment="1">
      <alignment horizontal="center" vertical="center" wrapText="1"/>
    </xf>
    <xf numFmtId="164" fontId="82" fillId="0" borderId="34" xfId="10" applyNumberFormat="1" applyFont="1" applyBorder="1" applyAlignment="1">
      <alignment horizontal="center" vertical="center" shrinkToFit="1"/>
    </xf>
    <xf numFmtId="4" fontId="19" fillId="11" borderId="23" xfId="0" applyNumberFormat="1" applyFont="1" applyFill="1" applyBorder="1" applyAlignment="1">
      <alignment horizontal="center" vertical="center"/>
    </xf>
    <xf numFmtId="4" fontId="19" fillId="11" borderId="26" xfId="0" applyNumberFormat="1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20" fillId="38" borderId="22" xfId="0" applyFont="1" applyFill="1" applyBorder="1" applyAlignment="1">
      <alignment horizontal="left" vertical="center" wrapText="1"/>
    </xf>
    <xf numFmtId="0" fontId="20" fillId="38" borderId="25" xfId="0" applyFont="1" applyFill="1" applyBorder="1" applyAlignment="1">
      <alignment horizontal="left" vertical="center" wrapText="1"/>
    </xf>
    <xf numFmtId="0" fontId="20" fillId="38" borderId="28" xfId="0" applyFont="1" applyFill="1" applyBorder="1" applyAlignment="1">
      <alignment horizontal="left" vertical="center" wrapText="1"/>
    </xf>
    <xf numFmtId="0" fontId="19" fillId="46" borderId="29" xfId="0" applyFont="1" applyFill="1" applyBorder="1" applyAlignment="1">
      <alignment horizontal="left" vertical="center"/>
    </xf>
    <xf numFmtId="0" fontId="17" fillId="38" borderId="0" xfId="0" applyFont="1" applyFill="1" applyAlignment="1">
      <alignment horizontal="centerContinuous" vertical="center"/>
    </xf>
    <xf numFmtId="0" fontId="20" fillId="38" borderId="0" xfId="0" applyFont="1" applyFill="1" applyAlignment="1">
      <alignment horizontal="centerContinuous" vertical="center"/>
    </xf>
    <xf numFmtId="0" fontId="17" fillId="38" borderId="23" xfId="0" applyFont="1" applyFill="1" applyBorder="1" applyAlignment="1">
      <alignment horizontal="centerContinuous" vertical="center"/>
    </xf>
    <xf numFmtId="0" fontId="17" fillId="38" borderId="39" xfId="0" applyFont="1" applyFill="1" applyBorder="1" applyAlignment="1">
      <alignment horizontal="centerContinuous" vertical="center"/>
    </xf>
    <xf numFmtId="0" fontId="20" fillId="38" borderId="23" xfId="0" applyFont="1" applyFill="1" applyBorder="1" applyAlignment="1">
      <alignment horizontal="centerContinuous" vertical="center"/>
    </xf>
    <xf numFmtId="0" fontId="19" fillId="47" borderId="26" xfId="0" applyFont="1" applyFill="1" applyBorder="1" applyAlignment="1">
      <alignment horizontal="left" vertical="center"/>
    </xf>
    <xf numFmtId="0" fontId="20" fillId="38" borderId="26" xfId="0" applyFont="1" applyFill="1" applyBorder="1" applyAlignment="1">
      <alignment horizontal="center" vertical="center"/>
    </xf>
    <xf numFmtId="0" fontId="20" fillId="38" borderId="20" xfId="0" applyFont="1" applyFill="1" applyBorder="1" applyAlignment="1">
      <alignment horizontal="center" vertical="center"/>
    </xf>
    <xf numFmtId="0" fontId="20" fillId="38" borderId="26" xfId="0" applyFont="1" applyFill="1" applyBorder="1" applyAlignment="1">
      <alignment horizontal="right" vertical="center"/>
    </xf>
    <xf numFmtId="10" fontId="19" fillId="46" borderId="26" xfId="3" applyNumberFormat="1" applyFont="1" applyFill="1" applyBorder="1" applyAlignment="1">
      <alignment horizontal="center" vertical="center"/>
    </xf>
    <xf numFmtId="0" fontId="20" fillId="38" borderId="44" xfId="0" applyFont="1" applyFill="1" applyBorder="1" applyAlignment="1">
      <alignment horizontal="right" vertical="center"/>
    </xf>
    <xf numFmtId="0" fontId="19" fillId="46" borderId="44" xfId="0" applyFont="1" applyFill="1" applyBorder="1" applyAlignment="1">
      <alignment vertical="center"/>
    </xf>
    <xf numFmtId="44" fontId="19" fillId="39" borderId="44" xfId="0" applyNumberFormat="1" applyFont="1" applyFill="1" applyBorder="1" applyAlignment="1">
      <alignment horizontal="centerContinuous" vertical="center"/>
    </xf>
    <xf numFmtId="44" fontId="19" fillId="39" borderId="45" xfId="0" applyNumberFormat="1" applyFont="1" applyFill="1" applyBorder="1" applyAlignment="1">
      <alignment horizontal="centerContinuous" vertical="center"/>
    </xf>
    <xf numFmtId="10" fontId="19" fillId="46" borderId="21" xfId="3" applyNumberFormat="1" applyFont="1" applyFill="1" applyBorder="1" applyAlignment="1">
      <alignment horizontal="center" vertical="center"/>
    </xf>
    <xf numFmtId="44" fontId="19" fillId="46" borderId="26" xfId="0" applyNumberFormat="1" applyFont="1" applyFill="1" applyBorder="1" applyAlignment="1">
      <alignment horizontal="center" vertical="center"/>
    </xf>
    <xf numFmtId="44" fontId="19" fillId="46" borderId="29" xfId="0" applyNumberFormat="1" applyFont="1" applyFill="1" applyBorder="1" applyAlignment="1">
      <alignment horizontal="center" vertical="center"/>
    </xf>
    <xf numFmtId="10" fontId="19" fillId="46" borderId="23" xfId="3" applyNumberFormat="1" applyFont="1" applyFill="1" applyBorder="1" applyAlignment="1">
      <alignment horizontal="center" vertical="center"/>
    </xf>
    <xf numFmtId="10" fontId="19" fillId="46" borderId="27" xfId="3" applyNumberFormat="1" applyFont="1" applyFill="1" applyBorder="1" applyAlignment="1">
      <alignment horizontal="center" vertical="center"/>
    </xf>
    <xf numFmtId="44" fontId="19" fillId="46" borderId="40" xfId="0" applyNumberFormat="1" applyFont="1" applyFill="1" applyBorder="1" applyAlignment="1">
      <alignment horizontal="center" vertical="center"/>
    </xf>
    <xf numFmtId="0" fontId="20" fillId="38" borderId="23" xfId="0" applyFont="1" applyFill="1" applyBorder="1" applyAlignment="1">
      <alignment vertical="center"/>
    </xf>
    <xf numFmtId="0" fontId="20" fillId="38" borderId="24" xfId="0" applyFont="1" applyFill="1" applyBorder="1" applyAlignment="1">
      <alignment horizontal="center" vertical="center"/>
    </xf>
    <xf numFmtId="0" fontId="20" fillId="38" borderId="40" xfId="0" applyFont="1" applyFill="1" applyBorder="1" applyAlignment="1">
      <alignment vertical="center"/>
    </xf>
    <xf numFmtId="0" fontId="20" fillId="38" borderId="29" xfId="0" applyFont="1" applyFill="1" applyBorder="1" applyAlignment="1">
      <alignment vertical="center"/>
    </xf>
    <xf numFmtId="0" fontId="20" fillId="38" borderId="52" xfId="0" applyFont="1" applyFill="1" applyBorder="1" applyAlignment="1">
      <alignment vertical="center"/>
    </xf>
    <xf numFmtId="0" fontId="20" fillId="38" borderId="53" xfId="0" applyFont="1" applyFill="1" applyBorder="1" applyAlignment="1">
      <alignment horizontal="center" vertical="center"/>
    </xf>
    <xf numFmtId="0" fontId="20" fillId="38" borderId="54" xfId="0" applyFont="1" applyFill="1" applyBorder="1" applyAlignment="1">
      <alignment horizontal="center" vertical="center"/>
    </xf>
    <xf numFmtId="0" fontId="20" fillId="38" borderId="55" xfId="0" applyFont="1" applyFill="1" applyBorder="1" applyAlignment="1">
      <alignment horizontal="center" vertical="center"/>
    </xf>
    <xf numFmtId="4" fontId="19" fillId="47" borderId="27" xfId="0" applyNumberFormat="1" applyFont="1" applyFill="1" applyBorder="1" applyAlignment="1">
      <alignment horizontal="center" vertical="center"/>
    </xf>
    <xf numFmtId="44" fontId="19" fillId="39" borderId="27" xfId="0" applyNumberFormat="1" applyFont="1" applyFill="1" applyBorder="1" applyAlignment="1">
      <alignment horizontal="center" vertical="center"/>
    </xf>
    <xf numFmtId="166" fontId="19" fillId="39" borderId="27" xfId="0" applyNumberFormat="1" applyFont="1" applyFill="1" applyBorder="1" applyAlignment="1">
      <alignment horizontal="center" vertical="center"/>
    </xf>
    <xf numFmtId="10" fontId="19" fillId="39" borderId="30" xfId="3" applyNumberFormat="1" applyFont="1" applyFill="1" applyBorder="1" applyAlignment="1">
      <alignment horizontal="center" vertical="center"/>
    </xf>
    <xf numFmtId="44" fontId="19" fillId="39" borderId="23" xfId="0" applyNumberFormat="1" applyFont="1" applyFill="1" applyBorder="1" applyAlignment="1">
      <alignment horizontal="center" vertical="center"/>
    </xf>
    <xf numFmtId="10" fontId="19" fillId="47" borderId="27" xfId="3" applyNumberFormat="1" applyFont="1" applyFill="1" applyBorder="1" applyAlignment="1">
      <alignment horizontal="center" vertical="center"/>
    </xf>
    <xf numFmtId="44" fontId="19" fillId="47" borderId="52" xfId="0" applyNumberFormat="1" applyFont="1" applyFill="1" applyBorder="1" applyAlignment="1">
      <alignment horizontal="center" vertical="center"/>
    </xf>
    <xf numFmtId="10" fontId="19" fillId="11" borderId="26" xfId="3" applyNumberFormat="1" applyFont="1" applyFill="1" applyBorder="1" applyAlignment="1">
      <alignment horizontal="center" vertical="center"/>
    </xf>
    <xf numFmtId="0" fontId="19" fillId="46" borderId="26" xfId="0" applyFont="1" applyFill="1" applyBorder="1" applyAlignment="1">
      <alignment horizontal="left" vertical="center"/>
    </xf>
    <xf numFmtId="0" fontId="19" fillId="46" borderId="23" xfId="0" applyFont="1" applyFill="1" applyBorder="1" applyAlignment="1">
      <alignment horizontal="left" vertical="center"/>
    </xf>
    <xf numFmtId="0" fontId="19" fillId="46" borderId="23" xfId="0" applyFont="1" applyFill="1" applyBorder="1" applyAlignment="1">
      <alignment horizontal="center" vertical="center"/>
    </xf>
    <xf numFmtId="0" fontId="19" fillId="46" borderId="26" xfId="0" applyFont="1" applyFill="1" applyBorder="1" applyAlignment="1">
      <alignment horizontal="center" vertical="center"/>
    </xf>
    <xf numFmtId="0" fontId="19" fillId="46" borderId="29" xfId="0" applyFont="1" applyFill="1" applyBorder="1" applyAlignment="1">
      <alignment horizontal="center" vertical="center"/>
    </xf>
    <xf numFmtId="0" fontId="19" fillId="46" borderId="26" xfId="0" applyFont="1" applyFill="1" applyBorder="1" applyAlignment="1">
      <alignment horizontal="right" vertical="center"/>
    </xf>
    <xf numFmtId="0" fontId="19" fillId="46" borderId="29" xfId="0" applyFont="1" applyFill="1" applyBorder="1" applyAlignment="1">
      <alignment horizontal="right" vertical="center"/>
    </xf>
    <xf numFmtId="0" fontId="19" fillId="46" borderId="25" xfId="0" applyFont="1" applyFill="1" applyBorder="1" applyAlignment="1">
      <alignment horizontal="left" vertical="center" wrapText="1"/>
    </xf>
    <xf numFmtId="0" fontId="19" fillId="46" borderId="27" xfId="0" applyFont="1" applyFill="1" applyBorder="1" applyAlignment="1">
      <alignment horizontal="center" vertical="center"/>
    </xf>
    <xf numFmtId="0" fontId="0" fillId="3" borderId="0" xfId="0" applyFill="1"/>
    <xf numFmtId="0" fontId="2" fillId="38" borderId="1" xfId="0" applyFont="1" applyFill="1" applyBorder="1" applyAlignment="1">
      <alignment horizontal="centerContinuous" vertical="center"/>
    </xf>
    <xf numFmtId="0" fontId="6" fillId="21" borderId="1" xfId="0" applyFont="1" applyFill="1" applyBorder="1" applyAlignment="1">
      <alignment horizontal="center" vertical="center" wrapText="1"/>
    </xf>
    <xf numFmtId="0" fontId="29" fillId="38" borderId="1" xfId="0" applyFont="1" applyFill="1" applyBorder="1" applyAlignment="1">
      <alignment horizontal="center" vertical="center" wrapText="1"/>
    </xf>
    <xf numFmtId="0" fontId="29" fillId="38" borderId="1" xfId="0" applyFont="1" applyFill="1" applyBorder="1" applyAlignment="1">
      <alignment horizontal="centerContinuous" vertical="center" wrapText="1"/>
    </xf>
    <xf numFmtId="0" fontId="29" fillId="20" borderId="0" xfId="0" applyFont="1" applyFill="1" applyAlignment="1">
      <alignment horizontal="center" vertical="center" textRotation="90" wrapText="1"/>
    </xf>
    <xf numFmtId="0" fontId="29" fillId="30" borderId="0" xfId="0" applyFont="1" applyFill="1" applyAlignment="1">
      <alignment horizontal="center" vertical="center" textRotation="90" wrapText="1"/>
    </xf>
    <xf numFmtId="0" fontId="29" fillId="17" borderId="0" xfId="0" applyFont="1" applyFill="1" applyAlignment="1">
      <alignment horizontal="center" vertical="center" textRotation="90" wrapText="1"/>
    </xf>
    <xf numFmtId="0" fontId="29" fillId="30" borderId="4" xfId="0" applyFont="1" applyFill="1" applyBorder="1" applyAlignment="1">
      <alignment horizontal="center" vertical="center" wrapText="1"/>
    </xf>
    <xf numFmtId="0" fontId="29" fillId="32" borderId="0" xfId="0" applyFont="1" applyFill="1" applyAlignment="1">
      <alignment horizontal="center" vertical="center" textRotation="90" wrapText="1"/>
    </xf>
    <xf numFmtId="171" fontId="28" fillId="21" borderId="1" xfId="0" applyNumberFormat="1" applyFont="1" applyFill="1" applyBorder="1" applyAlignment="1">
      <alignment horizontal="center" vertical="center" wrapText="1"/>
    </xf>
    <xf numFmtId="10" fontId="28" fillId="21" borderId="1" xfId="3" applyNumberFormat="1" applyFont="1" applyFill="1" applyBorder="1" applyAlignment="1">
      <alignment horizontal="center" vertical="center" wrapText="1"/>
    </xf>
    <xf numFmtId="8" fontId="43" fillId="35" borderId="0" xfId="0" applyNumberFormat="1" applyFont="1" applyFill="1"/>
    <xf numFmtId="44" fontId="27" fillId="3" borderId="0" xfId="11" applyFont="1" applyFill="1" applyAlignment="1">
      <alignment horizontal="center" vertical="center"/>
    </xf>
    <xf numFmtId="0" fontId="27" fillId="48" borderId="1" xfId="0" applyFont="1" applyFill="1" applyBorder="1" applyAlignment="1">
      <alignment horizontal="left" vertical="center"/>
    </xf>
    <xf numFmtId="173" fontId="27" fillId="3" borderId="0" xfId="3" applyNumberFormat="1" applyFont="1" applyFill="1" applyAlignment="1">
      <alignment horizontal="center" vertical="center"/>
    </xf>
    <xf numFmtId="171" fontId="47" fillId="12" borderId="26" xfId="0" applyNumberFormat="1" applyFont="1" applyFill="1" applyBorder="1" applyAlignment="1">
      <alignment horizontal="center"/>
    </xf>
    <xf numFmtId="0" fontId="5" fillId="49" borderId="0" xfId="0" applyFont="1" applyFill="1" applyAlignment="1">
      <alignment horizontal="center"/>
    </xf>
    <xf numFmtId="0" fontId="83" fillId="5" borderId="1" xfId="0" applyFont="1" applyFill="1" applyBorder="1" applyAlignment="1">
      <alignment horizontal="center"/>
    </xf>
    <xf numFmtId="0" fontId="5" fillId="50" borderId="1" xfId="0" applyFont="1" applyFill="1" applyBorder="1" applyAlignment="1">
      <alignment horizontal="center"/>
    </xf>
    <xf numFmtId="17" fontId="5" fillId="51" borderId="1" xfId="0" applyNumberFormat="1" applyFont="1" applyFill="1" applyBorder="1" applyAlignment="1">
      <alignment horizontal="center"/>
    </xf>
    <xf numFmtId="0" fontId="5" fillId="51" borderId="1" xfId="0" applyFont="1" applyFill="1" applyBorder="1" applyAlignment="1">
      <alignment horizontal="center"/>
    </xf>
    <xf numFmtId="49" fontId="84" fillId="49" borderId="0" xfId="0" applyNumberFormat="1" applyFont="1" applyFill="1"/>
    <xf numFmtId="2" fontId="84" fillId="49" borderId="1" xfId="0" applyNumberFormat="1" applyFont="1" applyFill="1" applyBorder="1" applyAlignment="1">
      <alignment horizontal="center"/>
    </xf>
    <xf numFmtId="0" fontId="84" fillId="49" borderId="1" xfId="0" applyFont="1" applyFill="1" applyBorder="1" applyAlignment="1">
      <alignment horizontal="center"/>
    </xf>
    <xf numFmtId="0" fontId="84" fillId="49" borderId="0" xfId="0" applyFont="1" applyFill="1"/>
    <xf numFmtId="44" fontId="83" fillId="5" borderId="1" xfId="0" applyNumberFormat="1" applyFont="1" applyFill="1" applyBorder="1" applyAlignment="1">
      <alignment horizontal="center"/>
    </xf>
    <xf numFmtId="171" fontId="84" fillId="49" borderId="1" xfId="0" applyNumberFormat="1" applyFont="1" applyFill="1" applyBorder="1" applyAlignment="1">
      <alignment horizontal="center"/>
    </xf>
    <xf numFmtId="171" fontId="83" fillId="5" borderId="1" xfId="0" applyNumberFormat="1" applyFont="1" applyFill="1" applyBorder="1" applyAlignment="1">
      <alignment horizontal="center"/>
    </xf>
    <xf numFmtId="10" fontId="83" fillId="5" borderId="1" xfId="3" applyNumberFormat="1" applyFont="1" applyFill="1" applyBorder="1" applyAlignment="1">
      <alignment horizontal="center"/>
    </xf>
    <xf numFmtId="0" fontId="84" fillId="49" borderId="0" xfId="0" applyFont="1" applyFill="1" applyAlignment="1">
      <alignment horizontal="center"/>
    </xf>
    <xf numFmtId="0" fontId="84" fillId="26" borderId="1" xfId="0" applyFont="1" applyFill="1" applyBorder="1" applyAlignment="1">
      <alignment horizontal="center"/>
    </xf>
    <xf numFmtId="9" fontId="84" fillId="49" borderId="1" xfId="3" applyFont="1" applyFill="1" applyBorder="1" applyAlignment="1">
      <alignment horizontal="center"/>
    </xf>
    <xf numFmtId="0" fontId="5" fillId="49" borderId="0" xfId="0" applyFont="1" applyFill="1" applyAlignment="1">
      <alignment horizontal="center" wrapText="1"/>
    </xf>
    <xf numFmtId="17" fontId="5" fillId="51" borderId="1" xfId="0" applyNumberFormat="1" applyFont="1" applyFill="1" applyBorder="1" applyAlignment="1">
      <alignment horizontal="center" wrapText="1"/>
    </xf>
    <xf numFmtId="0" fontId="84" fillId="49" borderId="1" xfId="0" applyFont="1" applyFill="1" applyBorder="1" applyAlignment="1">
      <alignment wrapText="1"/>
    </xf>
    <xf numFmtId="0" fontId="83" fillId="5" borderId="1" xfId="0" applyFont="1" applyFill="1" applyBorder="1" applyAlignment="1">
      <alignment wrapText="1"/>
    </xf>
    <xf numFmtId="0" fontId="84" fillId="49" borderId="0" xfId="0" applyFont="1" applyFill="1" applyAlignment="1">
      <alignment wrapText="1"/>
    </xf>
    <xf numFmtId="10" fontId="17" fillId="3" borderId="14" xfId="3" applyNumberFormat="1" applyFont="1" applyFill="1" applyBorder="1" applyAlignment="1">
      <alignment horizontal="center" vertical="center"/>
    </xf>
    <xf numFmtId="44" fontId="38" fillId="0" borderId="1" xfId="0" applyNumberFormat="1" applyFont="1" applyBorder="1" applyAlignment="1">
      <alignment horizontal="left" vertical="center"/>
    </xf>
    <xf numFmtId="8" fontId="43" fillId="28" borderId="26" xfId="0" applyNumberFormat="1" applyFont="1" applyFill="1" applyBorder="1" applyAlignment="1">
      <alignment horizontal="center"/>
    </xf>
    <xf numFmtId="0" fontId="83" fillId="5" borderId="1" xfId="0" applyFont="1" applyFill="1" applyBorder="1"/>
    <xf numFmtId="9" fontId="84" fillId="49" borderId="1" xfId="0" applyNumberFormat="1" applyFont="1" applyFill="1" applyBorder="1" applyAlignment="1">
      <alignment horizontal="center"/>
    </xf>
    <xf numFmtId="0" fontId="83" fillId="20" borderId="70" xfId="0" applyFont="1" applyFill="1" applyBorder="1" applyAlignment="1">
      <alignment horizontal="center"/>
    </xf>
    <xf numFmtId="2" fontId="27" fillId="3" borderId="0" xfId="0" applyNumberFormat="1" applyFont="1" applyFill="1" applyAlignment="1">
      <alignment horizontal="center" vertical="center" wrapText="1"/>
    </xf>
    <xf numFmtId="0" fontId="29" fillId="20" borderId="1" xfId="0" applyFont="1" applyFill="1" applyBorder="1" applyAlignment="1">
      <alignment horizontal="center" vertical="center" wrapText="1"/>
    </xf>
    <xf numFmtId="0" fontId="29" fillId="20" borderId="4" xfId="1" applyFont="1" applyFill="1" applyBorder="1" applyAlignment="1">
      <alignment horizontal="center" vertical="center" wrapText="1"/>
    </xf>
    <xf numFmtId="0" fontId="29" fillId="20" borderId="5" xfId="1" applyFont="1" applyFill="1" applyBorder="1" applyAlignment="1">
      <alignment horizontal="center" vertical="center" wrapText="1"/>
    </xf>
    <xf numFmtId="0" fontId="29" fillId="20" borderId="2" xfId="1" applyFont="1" applyFill="1" applyBorder="1" applyAlignment="1">
      <alignment horizontal="center" vertical="center" wrapText="1"/>
    </xf>
    <xf numFmtId="0" fontId="36" fillId="20" borderId="6" xfId="0" applyFont="1" applyFill="1" applyBorder="1" applyAlignment="1">
      <alignment horizontal="center" vertical="top" textRotation="90"/>
    </xf>
    <xf numFmtId="0" fontId="36" fillId="20" borderId="7" xfId="0" applyFont="1" applyFill="1" applyBorder="1" applyAlignment="1">
      <alignment horizontal="center" vertical="top" textRotation="90"/>
    </xf>
    <xf numFmtId="0" fontId="36" fillId="20" borderId="1" xfId="0" applyFont="1" applyFill="1" applyBorder="1" applyAlignment="1">
      <alignment horizontal="center" vertical="top" textRotation="90"/>
    </xf>
    <xf numFmtId="0" fontId="20" fillId="38" borderId="47" xfId="0" applyFont="1" applyFill="1" applyBorder="1" applyAlignment="1">
      <alignment horizontal="center" vertical="center" textRotation="90" wrapText="1"/>
    </xf>
    <xf numFmtId="0" fontId="20" fillId="38" borderId="33" xfId="0" applyFont="1" applyFill="1" applyBorder="1" applyAlignment="1">
      <alignment horizontal="center" vertical="center" textRotation="90" wrapText="1"/>
    </xf>
    <xf numFmtId="0" fontId="20" fillId="38" borderId="32" xfId="0" applyFont="1" applyFill="1" applyBorder="1" applyAlignment="1">
      <alignment horizontal="center" vertical="center" textRotation="90" wrapText="1"/>
    </xf>
    <xf numFmtId="0" fontId="18" fillId="38" borderId="50" xfId="0" applyFont="1" applyFill="1" applyBorder="1" applyAlignment="1">
      <alignment horizontal="center" vertical="center" wrapText="1"/>
    </xf>
    <xf numFmtId="0" fontId="18" fillId="38" borderId="51" xfId="0" applyFont="1" applyFill="1" applyBorder="1" applyAlignment="1">
      <alignment horizontal="center" vertical="center" wrapText="1"/>
    </xf>
    <xf numFmtId="0" fontId="18" fillId="38" borderId="26" xfId="0" applyFont="1" applyFill="1" applyBorder="1" applyAlignment="1">
      <alignment horizontal="center" vertical="center" textRotation="90" wrapText="1"/>
    </xf>
    <xf numFmtId="10" fontId="24" fillId="46" borderId="26" xfId="0" applyNumberFormat="1" applyFont="1" applyFill="1" applyBorder="1" applyAlignment="1">
      <alignment horizontal="center" vertical="center"/>
    </xf>
    <xf numFmtId="0" fontId="24" fillId="46" borderId="26" xfId="0" applyFont="1" applyFill="1" applyBorder="1" applyAlignment="1">
      <alignment horizontal="center" vertical="center"/>
    </xf>
    <xf numFmtId="0" fontId="20" fillId="38" borderId="26" xfId="0" applyFont="1" applyFill="1" applyBorder="1" applyAlignment="1">
      <alignment horizontal="center" vertical="center" textRotation="90" wrapText="1"/>
    </xf>
    <xf numFmtId="0" fontId="25" fillId="38" borderId="40" xfId="0" applyFont="1" applyFill="1" applyBorder="1" applyAlignment="1">
      <alignment horizontal="center" vertical="center" wrapText="1"/>
    </xf>
    <xf numFmtId="0" fontId="25" fillId="38" borderId="40" xfId="0" applyFont="1" applyFill="1" applyBorder="1" applyAlignment="1">
      <alignment horizontal="center" vertical="center"/>
    </xf>
    <xf numFmtId="0" fontId="25" fillId="38" borderId="41" xfId="0" applyFont="1" applyFill="1" applyBorder="1" applyAlignment="1">
      <alignment horizontal="center" vertical="center"/>
    </xf>
    <xf numFmtId="10" fontId="26" fillId="46" borderId="40" xfId="3" applyNumberFormat="1" applyFont="1" applyFill="1" applyBorder="1" applyAlignment="1">
      <alignment horizontal="center" vertical="center"/>
    </xf>
    <xf numFmtId="10" fontId="26" fillId="46" borderId="41" xfId="3" applyNumberFormat="1" applyFont="1" applyFill="1" applyBorder="1" applyAlignment="1">
      <alignment horizontal="center" vertical="center"/>
    </xf>
    <xf numFmtId="0" fontId="18" fillId="38" borderId="23" xfId="0" applyFont="1" applyFill="1" applyBorder="1" applyAlignment="1">
      <alignment horizontal="center" vertical="center" textRotation="90"/>
    </xf>
    <xf numFmtId="0" fontId="18" fillId="38" borderId="26" xfId="0" applyFont="1" applyFill="1" applyBorder="1" applyAlignment="1">
      <alignment horizontal="center" vertical="center" textRotation="90"/>
    </xf>
    <xf numFmtId="0" fontId="18" fillId="38" borderId="29" xfId="0" applyFont="1" applyFill="1" applyBorder="1" applyAlignment="1">
      <alignment horizontal="center" vertical="center" textRotation="90"/>
    </xf>
    <xf numFmtId="0" fontId="18" fillId="38" borderId="23" xfId="0" applyFont="1" applyFill="1" applyBorder="1" applyAlignment="1">
      <alignment horizontal="center" vertical="center" textRotation="90" wrapText="1"/>
    </xf>
    <xf numFmtId="0" fontId="18" fillId="38" borderId="29" xfId="0" applyFont="1" applyFill="1" applyBorder="1" applyAlignment="1">
      <alignment horizontal="center" vertical="center" textRotation="90" wrapText="1"/>
    </xf>
    <xf numFmtId="0" fontId="19" fillId="46" borderId="26" xfId="0" applyFont="1" applyFill="1" applyBorder="1" applyAlignment="1">
      <alignment horizontal="left" vertical="center"/>
    </xf>
    <xf numFmtId="0" fontId="18" fillId="5" borderId="23" xfId="0" applyFont="1" applyFill="1" applyBorder="1" applyAlignment="1">
      <alignment horizontal="center" vertical="center" textRotation="90" wrapText="1"/>
    </xf>
    <xf numFmtId="0" fontId="18" fillId="5" borderId="26" xfId="0" applyFont="1" applyFill="1" applyBorder="1" applyAlignment="1">
      <alignment horizontal="center" vertical="center" textRotation="90" wrapText="1"/>
    </xf>
    <xf numFmtId="0" fontId="18" fillId="5" borderId="29" xfId="0" applyFont="1" applyFill="1" applyBorder="1" applyAlignment="1">
      <alignment horizontal="center" vertical="center" textRotation="90" wrapText="1"/>
    </xf>
    <xf numFmtId="167" fontId="19" fillId="11" borderId="29" xfId="0" applyNumberFormat="1" applyFont="1" applyFill="1" applyBorder="1" applyAlignment="1">
      <alignment horizontal="left" vertical="center"/>
    </xf>
    <xf numFmtId="167" fontId="19" fillId="11" borderId="30" xfId="0" applyNumberFormat="1" applyFont="1" applyFill="1" applyBorder="1" applyAlignment="1">
      <alignment horizontal="left" vertical="center"/>
    </xf>
    <xf numFmtId="0" fontId="19" fillId="46" borderId="23" xfId="0" applyFont="1" applyFill="1" applyBorder="1" applyAlignment="1">
      <alignment horizontal="left" vertical="center"/>
    </xf>
    <xf numFmtId="0" fontId="19" fillId="11" borderId="27" xfId="0" applyFont="1" applyFill="1" applyBorder="1" applyAlignment="1">
      <alignment horizontal="center" vertical="center"/>
    </xf>
    <xf numFmtId="0" fontId="21" fillId="38" borderId="26" xfId="0" applyFont="1" applyFill="1" applyBorder="1" applyAlignment="1">
      <alignment horizontal="center" vertical="center" textRotation="90" wrapText="1"/>
    </xf>
    <xf numFmtId="0" fontId="20" fillId="38" borderId="31" xfId="0" applyFont="1" applyFill="1" applyBorder="1" applyAlignment="1">
      <alignment horizontal="center" vertical="center"/>
    </xf>
    <xf numFmtId="0" fontId="20" fillId="38" borderId="48" xfId="0" applyFont="1" applyFill="1" applyBorder="1" applyAlignment="1">
      <alignment horizontal="center" vertical="center"/>
    </xf>
    <xf numFmtId="0" fontId="20" fillId="38" borderId="49" xfId="0" applyFont="1" applyFill="1" applyBorder="1" applyAlignment="1">
      <alignment horizontal="center" vertical="center"/>
    </xf>
    <xf numFmtId="0" fontId="20" fillId="38" borderId="43" xfId="0" applyFont="1" applyFill="1" applyBorder="1" applyAlignment="1">
      <alignment horizontal="center" vertical="center"/>
    </xf>
    <xf numFmtId="0" fontId="20" fillId="38" borderId="42" xfId="0" applyFont="1" applyFill="1" applyBorder="1" applyAlignment="1">
      <alignment horizontal="center" vertical="center"/>
    </xf>
    <xf numFmtId="0" fontId="22" fillId="38" borderId="44" xfId="0" applyFont="1" applyFill="1" applyBorder="1" applyAlignment="1">
      <alignment horizontal="center" vertical="center" wrapText="1"/>
    </xf>
    <xf numFmtId="44" fontId="23" fillId="39" borderId="44" xfId="0" applyNumberFormat="1" applyFont="1" applyFill="1" applyBorder="1" applyAlignment="1">
      <alignment horizontal="center" vertical="center"/>
    </xf>
    <xf numFmtId="44" fontId="23" fillId="39" borderId="45" xfId="0" applyNumberFormat="1" applyFont="1" applyFill="1" applyBorder="1" applyAlignment="1">
      <alignment horizontal="center" vertical="center"/>
    </xf>
    <xf numFmtId="0" fontId="19" fillId="11" borderId="26" xfId="0" applyFont="1" applyFill="1" applyBorder="1" applyAlignment="1">
      <alignment horizontal="left" vertical="center"/>
    </xf>
    <xf numFmtId="10" fontId="19" fillId="46" borderId="27" xfId="3" applyNumberFormat="1" applyFont="1" applyFill="1" applyBorder="1" applyAlignment="1">
      <alignment horizontal="center" vertical="center"/>
    </xf>
    <xf numFmtId="0" fontId="20" fillId="38" borderId="29" xfId="0" applyFont="1" applyFill="1" applyBorder="1" applyAlignment="1">
      <alignment horizontal="right" vertical="center"/>
    </xf>
    <xf numFmtId="0" fontId="18" fillId="38" borderId="43" xfId="0" applyFont="1" applyFill="1" applyBorder="1" applyAlignment="1">
      <alignment horizontal="center" vertical="center" textRotation="90"/>
    </xf>
    <xf numFmtId="0" fontId="18" fillId="38" borderId="44" xfId="0" applyFont="1" applyFill="1" applyBorder="1" applyAlignment="1">
      <alignment horizontal="center" vertical="center" textRotation="90"/>
    </xf>
    <xf numFmtId="0" fontId="19" fillId="46" borderId="26" xfId="0" applyFont="1" applyFill="1" applyBorder="1" applyAlignment="1">
      <alignment horizontal="center" vertical="center"/>
    </xf>
    <xf numFmtId="0" fontId="19" fillId="11" borderId="23" xfId="0" applyFont="1" applyFill="1" applyBorder="1" applyAlignment="1">
      <alignment horizontal="left" vertical="center"/>
    </xf>
    <xf numFmtId="0" fontId="19" fillId="11" borderId="24" xfId="0" applyFont="1" applyFill="1" applyBorder="1" applyAlignment="1">
      <alignment horizontal="left" vertical="center"/>
    </xf>
    <xf numFmtId="0" fontId="19" fillId="11" borderId="27" xfId="0" applyFont="1" applyFill="1" applyBorder="1" applyAlignment="1">
      <alignment horizontal="left" vertical="center"/>
    </xf>
    <xf numFmtId="0" fontId="19" fillId="11" borderId="26" xfId="0" applyFont="1" applyFill="1" applyBorder="1" applyAlignment="1">
      <alignment horizontal="left" vertical="center" wrapText="1"/>
    </xf>
    <xf numFmtId="0" fontId="19" fillId="11" borderId="60" xfId="0" applyFont="1" applyFill="1" applyBorder="1" applyAlignment="1">
      <alignment horizontal="left" vertical="center" wrapText="1"/>
    </xf>
    <xf numFmtId="0" fontId="19" fillId="11" borderId="61" xfId="0" applyFont="1" applyFill="1" applyBorder="1" applyAlignment="1">
      <alignment horizontal="left" vertical="center" wrapText="1"/>
    </xf>
    <xf numFmtId="0" fontId="19" fillId="11" borderId="62" xfId="0" applyFont="1" applyFill="1" applyBorder="1" applyAlignment="1">
      <alignment horizontal="left" vertical="center" wrapText="1"/>
    </xf>
    <xf numFmtId="0" fontId="19" fillId="11" borderId="63" xfId="0" applyFont="1" applyFill="1" applyBorder="1" applyAlignment="1">
      <alignment horizontal="left" vertical="center" wrapText="1"/>
    </xf>
    <xf numFmtId="0" fontId="19" fillId="11" borderId="64" xfId="0" applyFont="1" applyFill="1" applyBorder="1" applyAlignment="1">
      <alignment horizontal="left" vertical="center" wrapText="1"/>
    </xf>
    <xf numFmtId="0" fontId="19" fillId="11" borderId="65" xfId="0" applyFont="1" applyFill="1" applyBorder="1" applyAlignment="1">
      <alignment horizontal="left" vertical="center" wrapText="1"/>
    </xf>
    <xf numFmtId="0" fontId="83" fillId="20" borderId="66" xfId="0" applyFont="1" applyFill="1" applyBorder="1" applyAlignment="1">
      <alignment horizontal="center" vertical="center"/>
    </xf>
    <xf numFmtId="0" fontId="83" fillId="20" borderId="8" xfId="0" applyFont="1" applyFill="1" applyBorder="1" applyAlignment="1">
      <alignment horizontal="center" vertical="center"/>
    </xf>
    <xf numFmtId="0" fontId="83" fillId="20" borderId="67" xfId="0" applyFont="1" applyFill="1" applyBorder="1" applyAlignment="1">
      <alignment horizontal="center" vertical="center"/>
    </xf>
    <xf numFmtId="0" fontId="83" fillId="20" borderId="68" xfId="0" applyFont="1" applyFill="1" applyBorder="1" applyAlignment="1">
      <alignment horizontal="center" vertical="center"/>
    </xf>
    <xf numFmtId="0" fontId="83" fillId="5" borderId="69" xfId="0" applyFont="1" applyFill="1" applyBorder="1" applyAlignment="1">
      <alignment horizontal="center"/>
    </xf>
    <xf numFmtId="0" fontId="83" fillId="5" borderId="66" xfId="0" applyFont="1" applyFill="1" applyBorder="1" applyAlignment="1">
      <alignment horizontal="center"/>
    </xf>
    <xf numFmtId="0" fontId="83" fillId="5" borderId="5" xfId="0" applyFont="1" applyFill="1" applyBorder="1" applyAlignment="1">
      <alignment horizontal="center"/>
    </xf>
    <xf numFmtId="0" fontId="83" fillId="5" borderId="2" xfId="0" applyFont="1" applyFill="1" applyBorder="1" applyAlignment="1">
      <alignment horizontal="center"/>
    </xf>
    <xf numFmtId="0" fontId="83" fillId="5" borderId="3" xfId="0" applyFont="1" applyFill="1" applyBorder="1" applyAlignment="1">
      <alignment horizontal="center"/>
    </xf>
    <xf numFmtId="0" fontId="83" fillId="5" borderId="4" xfId="0" applyFont="1" applyFill="1" applyBorder="1" applyAlignment="1">
      <alignment horizontal="center"/>
    </xf>
    <xf numFmtId="0" fontId="83" fillId="20" borderId="0" xfId="0" applyFont="1" applyFill="1" applyAlignment="1">
      <alignment horizontal="center"/>
    </xf>
    <xf numFmtId="0" fontId="29" fillId="17" borderId="1" xfId="0" applyFont="1" applyFill="1" applyBorder="1" applyAlignment="1">
      <alignment horizontal="center" vertical="center" textRotation="90" wrapText="1"/>
    </xf>
    <xf numFmtId="0" fontId="33" fillId="20" borderId="1" xfId="0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center" vertical="center" textRotation="90" wrapText="1"/>
    </xf>
    <xf numFmtId="0" fontId="29" fillId="30" borderId="1" xfId="0" applyFont="1" applyFill="1" applyBorder="1" applyAlignment="1">
      <alignment horizontal="center" vertical="center" textRotation="90" wrapText="1"/>
    </xf>
    <xf numFmtId="0" fontId="29" fillId="30" borderId="4" xfId="0" applyFont="1" applyFill="1" applyBorder="1" applyAlignment="1">
      <alignment horizontal="center" vertical="center" textRotation="90" wrapText="1"/>
    </xf>
    <xf numFmtId="0" fontId="29" fillId="32" borderId="1" xfId="0" applyFont="1" applyFill="1" applyBorder="1" applyAlignment="1">
      <alignment horizontal="center" vertical="center" textRotation="90" wrapText="1"/>
    </xf>
    <xf numFmtId="0" fontId="33" fillId="32" borderId="1" xfId="0" applyFont="1" applyFill="1" applyBorder="1" applyAlignment="1">
      <alignment horizontal="center" vertical="center"/>
    </xf>
    <xf numFmtId="0" fontId="29" fillId="17" borderId="1" xfId="0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0" fontId="36" fillId="20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 textRotation="90" wrapText="1"/>
    </xf>
    <xf numFmtId="0" fontId="29" fillId="18" borderId="1" xfId="0" applyFont="1" applyFill="1" applyBorder="1" applyAlignment="1">
      <alignment horizontal="center" vertical="center" wrapText="1"/>
    </xf>
    <xf numFmtId="0" fontId="29" fillId="18" borderId="6" xfId="0" applyFont="1" applyFill="1" applyBorder="1" applyAlignment="1">
      <alignment horizontal="center" vertical="center" wrapText="1"/>
    </xf>
    <xf numFmtId="0" fontId="29" fillId="18" borderId="3" xfId="0" applyFont="1" applyFill="1" applyBorder="1" applyAlignment="1">
      <alignment horizontal="center" vertical="center" wrapText="1"/>
    </xf>
    <xf numFmtId="0" fontId="29" fillId="38" borderId="1" xfId="0" applyFont="1" applyFill="1" applyBorder="1" applyAlignment="1">
      <alignment horizontal="right" vertical="center"/>
    </xf>
    <xf numFmtId="0" fontId="29" fillId="38" borderId="4" xfId="0" applyFont="1" applyFill="1" applyBorder="1" applyAlignment="1">
      <alignment horizontal="right" vertical="center"/>
    </xf>
    <xf numFmtId="0" fontId="29" fillId="38" borderId="5" xfId="0" applyFont="1" applyFill="1" applyBorder="1" applyAlignment="1">
      <alignment horizontal="right" vertical="center"/>
    </xf>
    <xf numFmtId="0" fontId="29" fillId="38" borderId="2" xfId="0" applyFont="1" applyFill="1" applyBorder="1" applyAlignment="1">
      <alignment horizontal="right" vertical="center"/>
    </xf>
    <xf numFmtId="0" fontId="33" fillId="38" borderId="1" xfId="0" applyFont="1" applyFill="1" applyBorder="1" applyAlignment="1">
      <alignment horizontal="center" vertical="center" wrapText="1"/>
    </xf>
    <xf numFmtId="0" fontId="29" fillId="20" borderId="6" xfId="0" applyFont="1" applyFill="1" applyBorder="1" applyAlignment="1">
      <alignment horizontal="center" vertical="center" wrapText="1"/>
    </xf>
    <xf numFmtId="0" fontId="29" fillId="20" borderId="3" xfId="0" applyFont="1" applyFill="1" applyBorder="1" applyAlignment="1">
      <alignment horizontal="center" vertical="center" wrapText="1"/>
    </xf>
    <xf numFmtId="0" fontId="29" fillId="38" borderId="1" xfId="0" applyFont="1" applyFill="1" applyBorder="1" applyAlignment="1">
      <alignment horizontal="center" vertical="center" textRotation="90" wrapText="1"/>
    </xf>
    <xf numFmtId="0" fontId="28" fillId="21" borderId="6" xfId="0" applyFont="1" applyFill="1" applyBorder="1" applyAlignment="1">
      <alignment horizontal="center" vertical="center" wrapText="1"/>
    </xf>
    <xf numFmtId="0" fontId="28" fillId="21" borderId="7" xfId="0" applyFont="1" applyFill="1" applyBorder="1" applyAlignment="1">
      <alignment horizontal="center" vertical="center" wrapText="1"/>
    </xf>
    <xf numFmtId="0" fontId="28" fillId="21" borderId="3" xfId="0" applyFont="1" applyFill="1" applyBorder="1" applyAlignment="1">
      <alignment horizontal="center" vertical="center" wrapText="1"/>
    </xf>
    <xf numFmtId="0" fontId="28" fillId="21" borderId="1" xfId="0" applyFont="1" applyFill="1" applyBorder="1" applyAlignment="1">
      <alignment horizontal="center" vertical="center" wrapText="1"/>
    </xf>
    <xf numFmtId="0" fontId="36" fillId="38" borderId="6" xfId="0" applyFont="1" applyFill="1" applyBorder="1" applyAlignment="1">
      <alignment horizontal="center" vertical="center" wrapText="1"/>
    </xf>
    <xf numFmtId="0" fontId="36" fillId="38" borderId="3" xfId="0" applyFont="1" applyFill="1" applyBorder="1" applyAlignment="1">
      <alignment horizontal="center" vertical="center" wrapText="1"/>
    </xf>
    <xf numFmtId="0" fontId="29" fillId="20" borderId="4" xfId="0" applyFont="1" applyFill="1" applyBorder="1" applyAlignment="1">
      <alignment horizontal="right" vertical="center"/>
    </xf>
    <xf numFmtId="0" fontId="29" fillId="20" borderId="5" xfId="0" applyFont="1" applyFill="1" applyBorder="1" applyAlignment="1">
      <alignment horizontal="right" vertical="center"/>
    </xf>
    <xf numFmtId="0" fontId="29" fillId="20" borderId="2" xfId="0" applyFont="1" applyFill="1" applyBorder="1" applyAlignment="1">
      <alignment horizontal="right" vertical="center"/>
    </xf>
    <xf numFmtId="0" fontId="33" fillId="20" borderId="1" xfId="0" applyFont="1" applyFill="1" applyBorder="1" applyAlignment="1">
      <alignment horizontal="center" vertical="center" wrapText="1"/>
    </xf>
    <xf numFmtId="0" fontId="29" fillId="20" borderId="1" xfId="0" applyFont="1" applyFill="1" applyBorder="1" applyAlignment="1">
      <alignment horizontal="right" vertical="center"/>
    </xf>
    <xf numFmtId="0" fontId="29" fillId="20" borderId="4" xfId="0" applyFont="1" applyFill="1" applyBorder="1" applyAlignment="1">
      <alignment horizontal="right" vertical="center" wrapText="1"/>
    </xf>
    <xf numFmtId="0" fontId="29" fillId="20" borderId="2" xfId="0" applyFont="1" applyFill="1" applyBorder="1" applyAlignment="1">
      <alignment horizontal="right" vertical="center" wrapText="1"/>
    </xf>
    <xf numFmtId="0" fontId="29" fillId="20" borderId="1" xfId="0" applyFont="1" applyFill="1" applyBorder="1" applyAlignment="1">
      <alignment horizontal="right" vertical="center" wrapText="1"/>
    </xf>
    <xf numFmtId="0" fontId="27" fillId="9" borderId="6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 vertical="center"/>
    </xf>
    <xf numFmtId="0" fontId="37" fillId="22" borderId="6" xfId="0" applyFont="1" applyFill="1" applyBorder="1" applyAlignment="1">
      <alignment horizontal="center" vertical="center" wrapText="1"/>
    </xf>
    <xf numFmtId="0" fontId="37" fillId="22" borderId="7" xfId="0" applyFont="1" applyFill="1" applyBorder="1" applyAlignment="1">
      <alignment horizontal="center" vertical="center" wrapText="1"/>
    </xf>
    <xf numFmtId="0" fontId="37" fillId="22" borderId="7" xfId="0" applyFont="1" applyFill="1" applyBorder="1" applyAlignment="1">
      <alignment horizontal="center" vertical="center"/>
    </xf>
    <xf numFmtId="0" fontId="37" fillId="22" borderId="3" xfId="0" applyFont="1" applyFill="1" applyBorder="1" applyAlignment="1">
      <alignment horizontal="center" vertical="center"/>
    </xf>
    <xf numFmtId="0" fontId="37" fillId="22" borderId="3" xfId="0" applyFont="1" applyFill="1" applyBorder="1" applyAlignment="1">
      <alignment horizontal="center" vertical="center" wrapText="1"/>
    </xf>
    <xf numFmtId="0" fontId="36" fillId="20" borderId="6" xfId="0" applyFont="1" applyFill="1" applyBorder="1" applyAlignment="1">
      <alignment horizontal="center" vertical="center" wrapText="1"/>
    </xf>
    <xf numFmtId="0" fontId="36" fillId="20" borderId="3" xfId="0" applyFont="1" applyFill="1" applyBorder="1" applyAlignment="1">
      <alignment horizontal="center" vertical="center" wrapText="1"/>
    </xf>
    <xf numFmtId="0" fontId="36" fillId="20" borderId="1" xfId="0" applyFont="1" applyFill="1" applyBorder="1" applyAlignment="1">
      <alignment horizontal="center" vertical="center" wrapText="1"/>
    </xf>
    <xf numFmtId="44" fontId="29" fillId="20" borderId="2" xfId="0" applyNumberFormat="1" applyFont="1" applyFill="1" applyBorder="1" applyAlignment="1">
      <alignment horizontal="center" vertical="center" wrapText="1"/>
    </xf>
    <xf numFmtId="44" fontId="29" fillId="20" borderId="1" xfId="0" applyNumberFormat="1" applyFont="1" applyFill="1" applyBorder="1" applyAlignment="1">
      <alignment horizontal="center" vertical="center" wrapText="1"/>
    </xf>
    <xf numFmtId="0" fontId="29" fillId="20" borderId="1" xfId="0" applyFont="1" applyFill="1" applyBorder="1" applyAlignment="1">
      <alignment horizontal="center" vertical="center"/>
    </xf>
    <xf numFmtId="44" fontId="29" fillId="20" borderId="1" xfId="0" applyNumberFormat="1" applyFont="1" applyFill="1" applyBorder="1" applyAlignment="1">
      <alignment horizontal="center" vertical="center" textRotation="90" wrapText="1"/>
    </xf>
    <xf numFmtId="0" fontId="30" fillId="20" borderId="4" xfId="0" applyFont="1" applyFill="1" applyBorder="1" applyAlignment="1">
      <alignment horizontal="center"/>
    </xf>
    <xf numFmtId="0" fontId="30" fillId="20" borderId="5" xfId="0" applyFont="1" applyFill="1" applyBorder="1" applyAlignment="1">
      <alignment horizontal="center"/>
    </xf>
    <xf numFmtId="0" fontId="30" fillId="20" borderId="2" xfId="0" applyFont="1" applyFill="1" applyBorder="1" applyAlignment="1">
      <alignment horizontal="center"/>
    </xf>
    <xf numFmtId="0" fontId="29" fillId="20" borderId="0" xfId="0" applyFont="1" applyFill="1" applyAlignment="1">
      <alignment horizontal="center" vertical="center"/>
    </xf>
    <xf numFmtId="0" fontId="29" fillId="30" borderId="0" xfId="0" applyFont="1" applyFill="1" applyAlignment="1">
      <alignment horizontal="center" vertical="center" textRotation="90" wrapText="1"/>
    </xf>
    <xf numFmtId="0" fontId="29" fillId="30" borderId="0" xfId="0" applyFont="1" applyFill="1" applyAlignment="1">
      <alignment horizontal="center" vertical="center"/>
    </xf>
    <xf numFmtId="0" fontId="29" fillId="15" borderId="0" xfId="0" applyFont="1" applyFill="1" applyAlignment="1">
      <alignment horizontal="center" vertical="center" wrapText="1"/>
    </xf>
    <xf numFmtId="0" fontId="29" fillId="15" borderId="0" xfId="0" applyFont="1" applyFill="1" applyAlignment="1">
      <alignment horizontal="center" vertical="center"/>
    </xf>
    <xf numFmtId="0" fontId="52" fillId="12" borderId="0" xfId="3" applyNumberFormat="1" applyFont="1" applyFill="1" applyAlignment="1">
      <alignment horizontal="center" vertical="center" wrapText="1"/>
    </xf>
    <xf numFmtId="0" fontId="29" fillId="8" borderId="0" xfId="0" applyFont="1" applyFill="1" applyAlignment="1">
      <alignment horizontal="center" vertical="center"/>
    </xf>
    <xf numFmtId="0" fontId="29" fillId="20" borderId="0" xfId="0" applyFont="1" applyFill="1" applyAlignment="1">
      <alignment horizontal="center" vertical="center" textRotation="90" wrapText="1"/>
    </xf>
    <xf numFmtId="0" fontId="52" fillId="19" borderId="0" xfId="0" applyFont="1" applyFill="1" applyAlignment="1">
      <alignment horizontal="center" vertical="center" wrapText="1"/>
    </xf>
    <xf numFmtId="0" fontId="54" fillId="20" borderId="0" xfId="0" applyFont="1" applyFill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0" fontId="55" fillId="11" borderId="0" xfId="3" applyNumberFormat="1" applyFont="1" applyFill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2" fillId="20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2" fillId="20" borderId="1" xfId="0" applyFont="1" applyFill="1" applyBorder="1" applyAlignment="1">
      <alignment horizontal="right" vertical="center" wrapText="1"/>
    </xf>
    <xf numFmtId="3" fontId="2" fillId="20" borderId="1" xfId="0" applyNumberFormat="1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textRotation="90"/>
    </xf>
    <xf numFmtId="0" fontId="5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75" fillId="0" borderId="0" xfId="9" applyFont="1" applyFill="1" applyBorder="1" applyAlignment="1">
      <alignment horizontal="center" vertical="center" wrapText="1"/>
    </xf>
    <xf numFmtId="0" fontId="69" fillId="0" borderId="0" xfId="9" applyFont="1" applyFill="1" applyBorder="1" applyAlignment="1">
      <alignment horizontal="center" vertical="center" wrapText="1"/>
    </xf>
    <xf numFmtId="4" fontId="70" fillId="41" borderId="35" xfId="6" applyNumberFormat="1" applyFont="1" applyFill="1" applyBorder="1" applyAlignment="1">
      <alignment horizontal="center" vertical="center" wrapText="1"/>
    </xf>
    <xf numFmtId="4" fontId="70" fillId="41" borderId="36" xfId="6" applyNumberFormat="1" applyFont="1" applyFill="1" applyBorder="1" applyAlignment="1">
      <alignment horizontal="center" vertical="center" wrapText="1"/>
    </xf>
    <xf numFmtId="0" fontId="69" fillId="0" borderId="35" xfId="9" applyFont="1" applyFill="1" applyBorder="1" applyAlignment="1">
      <alignment horizontal="left" vertical="center" wrapText="1"/>
    </xf>
    <xf numFmtId="0" fontId="69" fillId="0" borderId="37" xfId="9" applyFont="1" applyFill="1" applyBorder="1" applyAlignment="1">
      <alignment horizontal="left" vertical="center" wrapText="1"/>
    </xf>
    <xf numFmtId="0" fontId="69" fillId="0" borderId="34" xfId="9" applyFont="1" applyFill="1" applyBorder="1" applyAlignment="1">
      <alignment horizontal="center" vertical="center" wrapText="1"/>
    </xf>
    <xf numFmtId="0" fontId="66" fillId="39" borderId="56" xfId="0" applyFont="1" applyFill="1" applyBorder="1" applyAlignment="1" applyProtection="1">
      <alignment horizontal="center" vertical="center" wrapText="1"/>
      <protection locked="0"/>
    </xf>
    <xf numFmtId="0" fontId="66" fillId="3" borderId="56" xfId="0" applyFont="1" applyFill="1" applyBorder="1" applyAlignment="1" applyProtection="1">
      <alignment horizontal="center" vertical="center" wrapText="1"/>
      <protection locked="0"/>
    </xf>
    <xf numFmtId="0" fontId="66" fillId="44" borderId="56" xfId="0" applyFont="1" applyFill="1" applyBorder="1" applyAlignment="1" applyProtection="1">
      <alignment horizontal="center" vertical="center" wrapText="1"/>
      <protection locked="0"/>
    </xf>
    <xf numFmtId="44" fontId="29" fillId="7" borderId="1" xfId="0" applyNumberFormat="1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14" fontId="29" fillId="20" borderId="1" xfId="0" applyNumberFormat="1" applyFont="1" applyFill="1" applyBorder="1" applyAlignment="1">
      <alignment horizontal="center" vertical="center"/>
    </xf>
  </cellXfs>
  <cellStyles count="12">
    <cellStyle name="Divisoes" xfId="7" xr:uid="{815DE80F-60E5-4594-B084-5980AE8D580E}"/>
    <cellStyle name="Hipervínculo" xfId="5" builtinId="8"/>
    <cellStyle name="Millares" xfId="4" builtinId="3"/>
    <cellStyle name="Moneda" xfId="11" builtinId="4"/>
    <cellStyle name="NivelCol_1" xfId="2" builtinId="2" iLevel="0"/>
    <cellStyle name="NivelFila_1" xfId="1" builtinId="1" iLevel="0"/>
    <cellStyle name="Normal" xfId="0" builtinId="0"/>
    <cellStyle name="Normal 2" xfId="9" xr:uid="{25AEEC8A-234B-4D47-B575-5C885CED767C}"/>
    <cellStyle name="Normal 4" xfId="10" xr:uid="{6C70E59C-AD10-452B-92FB-C9A0F21A2C1F}"/>
    <cellStyle name="Normal_planilha Bco Votorantim 14.010.02 rev00" xfId="6" xr:uid="{F659A1C6-B4F7-499C-9369-CEAD9EEB8907}"/>
    <cellStyle name="Porcentaje" xfId="3" builtinId="5"/>
    <cellStyle name="Separador de milhares 2" xfId="8" xr:uid="{DFC10AF9-7AAE-4006-B0A0-944D5C0D86F0}"/>
  </cellStyles>
  <dxfs count="46">
    <dxf>
      <fill>
        <patternFill>
          <bgColor theme="8" tint="0.79998168889431442"/>
        </patternFill>
      </fill>
    </dxf>
    <dxf>
      <fill>
        <patternFill>
          <bgColor rgb="FFFFA7A7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FFA7A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color rgb="FFFF0000"/>
      </font>
    </dxf>
    <dxf>
      <fill>
        <patternFill>
          <bgColor theme="9" tint="0.59996337778862885"/>
        </patternFill>
      </fill>
    </dxf>
    <dxf>
      <fill>
        <patternFill>
          <bgColor rgb="FFFFA7A7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ill>
        <gradientFill degree="90">
          <stop position="0">
            <color theme="7" tint="0.80001220740379042"/>
          </stop>
          <stop position="0.5">
            <color theme="7"/>
          </stop>
          <stop position="1">
            <color theme="7" tint="0.80001220740379042"/>
          </stop>
        </gradientFill>
      </fill>
    </dxf>
    <dxf>
      <fill>
        <gradientFill degree="90">
          <stop position="0">
            <color theme="7" tint="0.80001220740379042"/>
          </stop>
          <stop position="0.5">
            <color theme="7"/>
          </stop>
          <stop position="1">
            <color theme="7" tint="0.80001220740379042"/>
          </stop>
        </gradientFill>
      </fill>
    </dxf>
    <dxf>
      <fill>
        <gradientFill degree="90">
          <stop position="0">
            <color theme="7" tint="0.80001220740379042"/>
          </stop>
          <stop position="0.5">
            <color theme="7"/>
          </stop>
          <stop position="1">
            <color theme="7" tint="0.80001220740379042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5" tint="-9.9948118533890809E-2"/>
        </patternFill>
      </fill>
    </dxf>
  </dxfs>
  <tableStyles count="0" defaultTableStyle="TableStyleMedium2" defaultPivotStyle="PivotStyleLight16"/>
  <colors>
    <mruColors>
      <color rgb="FFFF6900"/>
      <color rgb="FFFFFFA7"/>
      <color rgb="FFFFFFFF"/>
      <color rgb="FFFFA7A7"/>
      <color rgb="FFFFFFCC"/>
      <color rgb="FFECDFF5"/>
      <color rgb="FFB889DB"/>
      <color rgb="FFFF9797"/>
      <color rgb="FFFF4F4F"/>
      <color rgb="FF9494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4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9.xml"/><Relationship Id="rId63" Type="http://schemas.openxmlformats.org/officeDocument/2006/relationships/externalLink" Target="externalLinks/externalLink40.xml"/><Relationship Id="rId84" Type="http://schemas.openxmlformats.org/officeDocument/2006/relationships/externalLink" Target="externalLinks/externalLink61.xml"/><Relationship Id="rId138" Type="http://schemas.openxmlformats.org/officeDocument/2006/relationships/externalLink" Target="externalLinks/externalLink115.xml"/><Relationship Id="rId107" Type="http://schemas.openxmlformats.org/officeDocument/2006/relationships/externalLink" Target="externalLinks/externalLink84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9.xml"/><Relationship Id="rId53" Type="http://schemas.openxmlformats.org/officeDocument/2006/relationships/externalLink" Target="externalLinks/externalLink30.xml"/><Relationship Id="rId74" Type="http://schemas.openxmlformats.org/officeDocument/2006/relationships/externalLink" Target="externalLinks/externalLink51.xml"/><Relationship Id="rId128" Type="http://schemas.openxmlformats.org/officeDocument/2006/relationships/externalLink" Target="externalLinks/externalLink105.xml"/><Relationship Id="rId14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2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43" Type="http://schemas.openxmlformats.org/officeDocument/2006/relationships/externalLink" Target="externalLinks/externalLink20.xml"/><Relationship Id="rId48" Type="http://schemas.openxmlformats.org/officeDocument/2006/relationships/externalLink" Target="externalLinks/externalLink25.xml"/><Relationship Id="rId64" Type="http://schemas.openxmlformats.org/officeDocument/2006/relationships/externalLink" Target="externalLinks/externalLink41.xml"/><Relationship Id="rId69" Type="http://schemas.openxmlformats.org/officeDocument/2006/relationships/externalLink" Target="externalLinks/externalLink46.xml"/><Relationship Id="rId113" Type="http://schemas.openxmlformats.org/officeDocument/2006/relationships/externalLink" Target="externalLinks/externalLink90.xml"/><Relationship Id="rId118" Type="http://schemas.openxmlformats.org/officeDocument/2006/relationships/externalLink" Target="externalLinks/externalLink95.xml"/><Relationship Id="rId134" Type="http://schemas.openxmlformats.org/officeDocument/2006/relationships/externalLink" Target="externalLinks/externalLink111.xml"/><Relationship Id="rId139" Type="http://schemas.openxmlformats.org/officeDocument/2006/relationships/externalLink" Target="externalLinks/externalLink116.xml"/><Relationship Id="rId80" Type="http://schemas.openxmlformats.org/officeDocument/2006/relationships/externalLink" Target="externalLinks/externalLink57.xml"/><Relationship Id="rId85" Type="http://schemas.openxmlformats.org/officeDocument/2006/relationships/externalLink" Target="externalLinks/externalLink62.xml"/><Relationship Id="rId150" Type="http://schemas.openxmlformats.org/officeDocument/2006/relationships/sheetMetadata" Target="metadata.xml"/><Relationship Id="rId155" Type="http://schemas.openxmlformats.org/officeDocument/2006/relationships/customXml" Target="../customXml/item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59" Type="http://schemas.openxmlformats.org/officeDocument/2006/relationships/externalLink" Target="externalLinks/externalLink36.xml"/><Relationship Id="rId103" Type="http://schemas.openxmlformats.org/officeDocument/2006/relationships/externalLink" Target="externalLinks/externalLink80.xml"/><Relationship Id="rId108" Type="http://schemas.openxmlformats.org/officeDocument/2006/relationships/externalLink" Target="externalLinks/externalLink85.xml"/><Relationship Id="rId124" Type="http://schemas.openxmlformats.org/officeDocument/2006/relationships/externalLink" Target="externalLinks/externalLink101.xml"/><Relationship Id="rId129" Type="http://schemas.openxmlformats.org/officeDocument/2006/relationships/externalLink" Target="externalLinks/externalLink106.xml"/><Relationship Id="rId54" Type="http://schemas.openxmlformats.org/officeDocument/2006/relationships/externalLink" Target="externalLinks/externalLink31.xml"/><Relationship Id="rId70" Type="http://schemas.openxmlformats.org/officeDocument/2006/relationships/externalLink" Target="externalLinks/externalLink47.xml"/><Relationship Id="rId75" Type="http://schemas.openxmlformats.org/officeDocument/2006/relationships/externalLink" Target="externalLinks/externalLink52.xml"/><Relationship Id="rId91" Type="http://schemas.openxmlformats.org/officeDocument/2006/relationships/externalLink" Target="externalLinks/externalLink68.xml"/><Relationship Id="rId96" Type="http://schemas.openxmlformats.org/officeDocument/2006/relationships/externalLink" Target="externalLinks/externalLink73.xml"/><Relationship Id="rId140" Type="http://schemas.openxmlformats.org/officeDocument/2006/relationships/externalLink" Target="externalLinks/externalLink117.xml"/><Relationship Id="rId145" Type="http://schemas.openxmlformats.org/officeDocument/2006/relationships/externalLink" Target="externalLinks/externalLink1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49" Type="http://schemas.openxmlformats.org/officeDocument/2006/relationships/externalLink" Target="externalLinks/externalLink26.xml"/><Relationship Id="rId114" Type="http://schemas.openxmlformats.org/officeDocument/2006/relationships/externalLink" Target="externalLinks/externalLink91.xml"/><Relationship Id="rId119" Type="http://schemas.openxmlformats.org/officeDocument/2006/relationships/externalLink" Target="externalLinks/externalLink96.xml"/><Relationship Id="rId44" Type="http://schemas.openxmlformats.org/officeDocument/2006/relationships/externalLink" Target="externalLinks/externalLink21.xml"/><Relationship Id="rId60" Type="http://schemas.openxmlformats.org/officeDocument/2006/relationships/externalLink" Target="externalLinks/externalLink37.xml"/><Relationship Id="rId65" Type="http://schemas.openxmlformats.org/officeDocument/2006/relationships/externalLink" Target="externalLinks/externalLink42.xml"/><Relationship Id="rId81" Type="http://schemas.openxmlformats.org/officeDocument/2006/relationships/externalLink" Target="externalLinks/externalLink58.xml"/><Relationship Id="rId86" Type="http://schemas.openxmlformats.org/officeDocument/2006/relationships/externalLink" Target="externalLinks/externalLink63.xml"/><Relationship Id="rId130" Type="http://schemas.openxmlformats.org/officeDocument/2006/relationships/externalLink" Target="externalLinks/externalLink107.xml"/><Relationship Id="rId135" Type="http://schemas.openxmlformats.org/officeDocument/2006/relationships/externalLink" Target="externalLinks/externalLink112.xml"/><Relationship Id="rId151" Type="http://schemas.microsoft.com/office/2017/10/relationships/person" Target="persons/perso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6.xml"/><Relationship Id="rId109" Type="http://schemas.openxmlformats.org/officeDocument/2006/relationships/externalLink" Target="externalLinks/externalLink86.xml"/><Relationship Id="rId34" Type="http://schemas.openxmlformats.org/officeDocument/2006/relationships/externalLink" Target="externalLinks/externalLink11.xml"/><Relationship Id="rId50" Type="http://schemas.openxmlformats.org/officeDocument/2006/relationships/externalLink" Target="externalLinks/externalLink27.xml"/><Relationship Id="rId55" Type="http://schemas.openxmlformats.org/officeDocument/2006/relationships/externalLink" Target="externalLinks/externalLink32.xml"/><Relationship Id="rId76" Type="http://schemas.openxmlformats.org/officeDocument/2006/relationships/externalLink" Target="externalLinks/externalLink53.xml"/><Relationship Id="rId97" Type="http://schemas.openxmlformats.org/officeDocument/2006/relationships/externalLink" Target="externalLinks/externalLink74.xml"/><Relationship Id="rId104" Type="http://schemas.openxmlformats.org/officeDocument/2006/relationships/externalLink" Target="externalLinks/externalLink81.xml"/><Relationship Id="rId120" Type="http://schemas.openxmlformats.org/officeDocument/2006/relationships/externalLink" Target="externalLinks/externalLink97.xml"/><Relationship Id="rId125" Type="http://schemas.openxmlformats.org/officeDocument/2006/relationships/externalLink" Target="externalLinks/externalLink102.xml"/><Relationship Id="rId141" Type="http://schemas.openxmlformats.org/officeDocument/2006/relationships/externalLink" Target="externalLinks/externalLink118.xml"/><Relationship Id="rId146" Type="http://schemas.openxmlformats.org/officeDocument/2006/relationships/externalLink" Target="externalLinks/externalLink12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8.xml"/><Relationship Id="rId92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.xml"/><Relationship Id="rId40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43.xml"/><Relationship Id="rId87" Type="http://schemas.openxmlformats.org/officeDocument/2006/relationships/externalLink" Target="externalLinks/externalLink64.xml"/><Relationship Id="rId110" Type="http://schemas.openxmlformats.org/officeDocument/2006/relationships/externalLink" Target="externalLinks/externalLink87.xml"/><Relationship Id="rId115" Type="http://schemas.openxmlformats.org/officeDocument/2006/relationships/externalLink" Target="externalLinks/externalLink92.xml"/><Relationship Id="rId131" Type="http://schemas.openxmlformats.org/officeDocument/2006/relationships/externalLink" Target="externalLinks/externalLink108.xml"/><Relationship Id="rId136" Type="http://schemas.openxmlformats.org/officeDocument/2006/relationships/externalLink" Target="externalLinks/externalLink113.xml"/><Relationship Id="rId61" Type="http://schemas.openxmlformats.org/officeDocument/2006/relationships/externalLink" Target="externalLinks/externalLink38.xml"/><Relationship Id="rId82" Type="http://schemas.openxmlformats.org/officeDocument/2006/relationships/externalLink" Target="externalLinks/externalLink59.xml"/><Relationship Id="rId15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33.xml"/><Relationship Id="rId77" Type="http://schemas.openxmlformats.org/officeDocument/2006/relationships/externalLink" Target="externalLinks/externalLink54.xml"/><Relationship Id="rId100" Type="http://schemas.openxmlformats.org/officeDocument/2006/relationships/externalLink" Target="externalLinks/externalLink77.xml"/><Relationship Id="rId105" Type="http://schemas.openxmlformats.org/officeDocument/2006/relationships/externalLink" Target="externalLinks/externalLink82.xml"/><Relationship Id="rId126" Type="http://schemas.openxmlformats.org/officeDocument/2006/relationships/externalLink" Target="externalLinks/externalLink103.xml"/><Relationship Id="rId14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8.xml"/><Relationship Id="rId72" Type="http://schemas.openxmlformats.org/officeDocument/2006/relationships/externalLink" Target="externalLinks/externalLink49.xml"/><Relationship Id="rId93" Type="http://schemas.openxmlformats.org/officeDocument/2006/relationships/externalLink" Target="externalLinks/externalLink70.xml"/><Relationship Id="rId98" Type="http://schemas.openxmlformats.org/officeDocument/2006/relationships/externalLink" Target="externalLinks/externalLink75.xml"/><Relationship Id="rId121" Type="http://schemas.openxmlformats.org/officeDocument/2006/relationships/externalLink" Target="externalLinks/externalLink98.xml"/><Relationship Id="rId142" Type="http://schemas.openxmlformats.org/officeDocument/2006/relationships/externalLink" Target="externalLinks/externalLink119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.xml"/><Relationship Id="rId46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44.xml"/><Relationship Id="rId116" Type="http://schemas.openxmlformats.org/officeDocument/2006/relationships/externalLink" Target="externalLinks/externalLink93.xml"/><Relationship Id="rId137" Type="http://schemas.openxmlformats.org/officeDocument/2006/relationships/externalLink" Target="externalLinks/externalLink11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39.xml"/><Relationship Id="rId83" Type="http://schemas.openxmlformats.org/officeDocument/2006/relationships/externalLink" Target="externalLinks/externalLink60.xml"/><Relationship Id="rId88" Type="http://schemas.openxmlformats.org/officeDocument/2006/relationships/externalLink" Target="externalLinks/externalLink65.xml"/><Relationship Id="rId111" Type="http://schemas.openxmlformats.org/officeDocument/2006/relationships/externalLink" Target="externalLinks/externalLink88.xml"/><Relationship Id="rId132" Type="http://schemas.openxmlformats.org/officeDocument/2006/relationships/externalLink" Target="externalLinks/externalLink109.xml"/><Relationship Id="rId153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34.xml"/><Relationship Id="rId106" Type="http://schemas.openxmlformats.org/officeDocument/2006/relationships/externalLink" Target="externalLinks/externalLink83.xml"/><Relationship Id="rId127" Type="http://schemas.openxmlformats.org/officeDocument/2006/relationships/externalLink" Target="externalLinks/externalLink10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8.xml"/><Relationship Id="rId52" Type="http://schemas.openxmlformats.org/officeDocument/2006/relationships/externalLink" Target="externalLinks/externalLink29.xml"/><Relationship Id="rId73" Type="http://schemas.openxmlformats.org/officeDocument/2006/relationships/externalLink" Target="externalLinks/externalLink50.xml"/><Relationship Id="rId78" Type="http://schemas.openxmlformats.org/officeDocument/2006/relationships/externalLink" Target="externalLinks/externalLink55.xml"/><Relationship Id="rId94" Type="http://schemas.openxmlformats.org/officeDocument/2006/relationships/externalLink" Target="externalLinks/externalLink71.xml"/><Relationship Id="rId99" Type="http://schemas.openxmlformats.org/officeDocument/2006/relationships/externalLink" Target="externalLinks/externalLink76.xml"/><Relationship Id="rId101" Type="http://schemas.openxmlformats.org/officeDocument/2006/relationships/externalLink" Target="externalLinks/externalLink78.xml"/><Relationship Id="rId122" Type="http://schemas.openxmlformats.org/officeDocument/2006/relationships/externalLink" Target="externalLinks/externalLink99.xml"/><Relationship Id="rId143" Type="http://schemas.openxmlformats.org/officeDocument/2006/relationships/externalLink" Target="externalLinks/externalLink120.xml"/><Relationship Id="rId14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externalLink" Target="externalLinks/externalLink3.xml"/><Relationship Id="rId47" Type="http://schemas.openxmlformats.org/officeDocument/2006/relationships/externalLink" Target="externalLinks/externalLink24.xml"/><Relationship Id="rId68" Type="http://schemas.openxmlformats.org/officeDocument/2006/relationships/externalLink" Target="externalLinks/externalLink45.xml"/><Relationship Id="rId89" Type="http://schemas.openxmlformats.org/officeDocument/2006/relationships/externalLink" Target="externalLinks/externalLink66.xml"/><Relationship Id="rId112" Type="http://schemas.openxmlformats.org/officeDocument/2006/relationships/externalLink" Target="externalLinks/externalLink89.xml"/><Relationship Id="rId133" Type="http://schemas.openxmlformats.org/officeDocument/2006/relationships/externalLink" Target="externalLinks/externalLink110.xml"/><Relationship Id="rId154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14.xml"/><Relationship Id="rId58" Type="http://schemas.openxmlformats.org/officeDocument/2006/relationships/externalLink" Target="externalLinks/externalLink35.xml"/><Relationship Id="rId79" Type="http://schemas.openxmlformats.org/officeDocument/2006/relationships/externalLink" Target="externalLinks/externalLink56.xml"/><Relationship Id="rId102" Type="http://schemas.openxmlformats.org/officeDocument/2006/relationships/externalLink" Target="externalLinks/externalLink79.xml"/><Relationship Id="rId123" Type="http://schemas.openxmlformats.org/officeDocument/2006/relationships/externalLink" Target="externalLinks/externalLink100.xml"/><Relationship Id="rId144" Type="http://schemas.openxmlformats.org/officeDocument/2006/relationships/externalLink" Target="externalLinks/externalLink121.xml"/><Relationship Id="rId90" Type="http://schemas.openxmlformats.org/officeDocument/2006/relationships/externalLink" Target="externalLinks/externalLink6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200" b="1"/>
              <a:t>Custos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20000"/>
                <a:lumOff val="80000"/>
              </a:schemeClr>
            </a:solidFill>
            <a:ln w="1905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Dashboard!$K$3:$K$27</c:f>
              <c:strCache>
                <c:ptCount val="25"/>
                <c:pt idx="0">
                  <c:v>Mão de Obra Indireta</c:v>
                </c:pt>
                <c:pt idx="1">
                  <c:v>Mão de Obra Direta</c:v>
                </c:pt>
                <c:pt idx="2">
                  <c:v>Mão de Obra Direta (rotina)</c:v>
                </c:pt>
                <c:pt idx="3">
                  <c:v>Encargos Sociais - Mensalistas</c:v>
                </c:pt>
                <c:pt idx="4">
                  <c:v>Encargos Sociais - Horistas</c:v>
                </c:pt>
                <c:pt idx="5">
                  <c:v>Mobilização/ Integração de Mão de Obra</c:v>
                </c:pt>
                <c:pt idx="6">
                  <c:v>Desmobilização de Mão de Obra</c:v>
                </c:pt>
                <c:pt idx="7">
                  <c:v>Canteiro de Obras, Infraestrutura de Apoio e Alojamento</c:v>
                </c:pt>
                <c:pt idx="8">
                  <c:v>Benefícios</c:v>
                </c:pt>
                <c:pt idx="9">
                  <c:v>Exames Médicos e Gestão da Saúde Ocupacional</c:v>
                </c:pt>
                <c:pt idx="10">
                  <c:v>EPI's - Equipamentos de Proteção Individual</c:v>
                </c:pt>
                <c:pt idx="11">
                  <c:v>EPC's - Equipamentos de Proteção Coletiva</c:v>
                </c:pt>
                <c:pt idx="12">
                  <c:v>Treinamentos</c:v>
                </c:pt>
                <c:pt idx="13">
                  <c:v>Viagens e Hospedagem</c:v>
                </c:pt>
                <c:pt idx="14">
                  <c:v>Equipamentos e Ferramentas</c:v>
                </c:pt>
                <c:pt idx="15">
                  <c:v>Equipamentos de Informática e Softwares</c:v>
                </c:pt>
                <c:pt idx="16">
                  <c:v>Veículos leves e Fretamento</c:v>
                </c:pt>
                <c:pt idx="17">
                  <c:v>Veículos e Equipamentos Pesados</c:v>
                </c:pt>
                <c:pt idx="18">
                  <c:v>Materiais de Consumo</c:v>
                </c:pt>
                <c:pt idx="19">
                  <c:v>Materiais de Aplicação Gerais</c:v>
                </c:pt>
                <c:pt idx="20">
                  <c:v>Serviços Terceirizados</c:v>
                </c:pt>
                <c:pt idx="21">
                  <c:v>Locações</c:v>
                </c:pt>
                <c:pt idx="22">
                  <c:v>Mobilização e Desmobilização de Recursos</c:v>
                </c:pt>
                <c:pt idx="23">
                  <c:v>Riscos e Contingências</c:v>
                </c:pt>
                <c:pt idx="24">
                  <c:v>Outros Custos</c:v>
                </c:pt>
              </c:strCache>
            </c:strRef>
          </c:cat>
          <c:val>
            <c:numRef>
              <c:f>Dashboard!$M$3:$M$26</c:f>
              <c:numCache>
                <c:formatCode>0.00%</c:formatCode>
                <c:ptCount val="24"/>
                <c:pt idx="0">
                  <c:v>1.6341738980638128E-2</c:v>
                </c:pt>
                <c:pt idx="1">
                  <c:v>0.52861144949723848</c:v>
                </c:pt>
                <c:pt idx="2">
                  <c:v>0</c:v>
                </c:pt>
                <c:pt idx="3">
                  <c:v>8.1028027794379107E-2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5.9477606512667813E-2</c:v>
                </c:pt>
                <c:pt idx="9">
                  <c:v>3.7283163233798522E-3</c:v>
                </c:pt>
                <c:pt idx="10">
                  <c:v>1.3468015214620927E-2</c:v>
                </c:pt>
                <c:pt idx="11">
                  <c:v>2.3470616275853354E-3</c:v>
                </c:pt>
                <c:pt idx="12">
                  <c:v>0</c:v>
                </c:pt>
                <c:pt idx="13">
                  <c:v>8.2851473852885618E-2</c:v>
                </c:pt>
                <c:pt idx="14">
                  <c:v>1.9046315828249566E-3</c:v>
                </c:pt>
                <c:pt idx="15">
                  <c:v>3.8082601231706772E-2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3.7420296707761929E-3</c:v>
                </c:pt>
                <c:pt idx="21">
                  <c:v>0</c:v>
                </c:pt>
                <c:pt idx="22">
                  <c:v>8.0946842270060654E-4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5-449E-BEBA-AFEE7FFB4E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08622335"/>
        <c:axId val="1008623167"/>
      </c:barChart>
      <c:catAx>
        <c:axId val="1008622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08623167"/>
        <c:crosses val="autoZero"/>
        <c:auto val="1"/>
        <c:lblAlgn val="ctr"/>
        <c:lblOffset val="100"/>
        <c:noMultiLvlLbl val="0"/>
      </c:catAx>
      <c:valAx>
        <c:axId val="10086231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crossAx val="100862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69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48D-42EF-A975-139429AC999F}"/>
              </c:ext>
            </c:extLst>
          </c:dPt>
          <c:dPt>
            <c:idx val="1"/>
            <c:bubble3D val="0"/>
            <c:spPr>
              <a:solidFill>
                <a:srgbClr val="009BD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8D-42EF-A975-139429AC999F}"/>
              </c:ext>
            </c:extLst>
          </c:dPt>
          <c:dPt>
            <c:idx val="2"/>
            <c:bubble3D val="0"/>
            <c:spPr>
              <a:solidFill>
                <a:srgbClr val="73BE4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321-48DC-9863-0EC49B059054}"/>
              </c:ext>
            </c:extLst>
          </c:dPt>
          <c:dPt>
            <c:idx val="3"/>
            <c:bubble3D val="0"/>
            <c:spPr>
              <a:solidFill>
                <a:srgbClr val="FFDC3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21-48DC-9863-0EC49B059054}"/>
              </c:ext>
            </c:extLst>
          </c:dPt>
          <c:dPt>
            <c:idx val="4"/>
            <c:bubble3D val="0"/>
            <c:spPr>
              <a:solidFill>
                <a:srgbClr val="94949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321-48DC-9863-0EC49B0590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Dashboard!$S$3:$S$7</c:f>
              <c:strCache>
                <c:ptCount val="5"/>
                <c:pt idx="0">
                  <c:v>Serviços</c:v>
                </c:pt>
                <c:pt idx="1">
                  <c:v>Materiais para revenda</c:v>
                </c:pt>
                <c:pt idx="2">
                  <c:v>Materiais de Aplicação</c:v>
                </c:pt>
                <c:pt idx="3">
                  <c:v>Faturamento Direto</c:v>
                </c:pt>
                <c:pt idx="4">
                  <c:v>Serviço Terceirizado</c:v>
                </c:pt>
              </c:strCache>
            </c:strRef>
          </c:cat>
          <c:val>
            <c:numRef>
              <c:f>Dashboard!$T$3:$T$7</c:f>
              <c:numCache>
                <c:formatCode>_("R$"* #,##0.00_);_("R$"* \(#,##0.00\);_("R$"* "-"??_);_(@_)</c:formatCode>
                <c:ptCount val="5"/>
                <c:pt idx="0">
                  <c:v>1278817.6200000001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257498.17117776151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D-42EF-A975-139429AC999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b="1"/>
              <a:t>Avanço Físico - Curva 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chemeClr val="accent2">
                  <a:lumMod val="20000"/>
                  <a:lumOff val="80000"/>
                </a:scheme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Gráficos!$B$7:$BI$7</c:f>
              <c:numCache>
                <c:formatCode>0.00%</c:formatCode>
                <c:ptCount val="60"/>
                <c:pt idx="0">
                  <c:v>9.999999999999995E-2</c:v>
                </c:pt>
                <c:pt idx="1">
                  <c:v>0.1999999999999999</c:v>
                </c:pt>
                <c:pt idx="2">
                  <c:v>0.29999999999999982</c:v>
                </c:pt>
                <c:pt idx="3">
                  <c:v>0.3999999999999998</c:v>
                </c:pt>
                <c:pt idx="4">
                  <c:v>0.49999999999999978</c:v>
                </c:pt>
                <c:pt idx="5">
                  <c:v>0.59999999999999976</c:v>
                </c:pt>
                <c:pt idx="6">
                  <c:v>0.69999999999999973</c:v>
                </c:pt>
                <c:pt idx="7">
                  <c:v>0.79999999999999971</c:v>
                </c:pt>
                <c:pt idx="8">
                  <c:v>0.89999999999999969</c:v>
                </c:pt>
                <c:pt idx="9">
                  <c:v>0.99999999999999967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82-4E03-A03B-7EB18E3B8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94576"/>
        <c:axId val="124197904"/>
      </c:lineChart>
      <c:catAx>
        <c:axId val="12419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4197904"/>
        <c:crosses val="autoZero"/>
        <c:auto val="1"/>
        <c:lblAlgn val="ctr"/>
        <c:lblOffset val="100"/>
        <c:noMultiLvlLbl val="0"/>
      </c:catAx>
      <c:valAx>
        <c:axId val="12419790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4194576"/>
        <c:crosses val="autoZero"/>
        <c:crossBetween val="between"/>
      </c:valAx>
    </c:plotArea>
    <c:plotVisOnly val="1"/>
    <c:dispBlanksAs val="gap"/>
    <c:showDLblsOverMax val="0"/>
    <c:extLst/>
  </c:chart>
  <c:spPr>
    <a:ln>
      <a:solidFill>
        <a:srgbClr val="FF6900"/>
      </a:solidFill>
    </a:ln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b="1"/>
              <a:t>Histograma Geral de Mão de Obra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Gráficos!$B$71:$BI$71</c:f>
              <c:numCache>
                <c:formatCode>#,##0.00</c:formatCode>
                <c:ptCount val="60"/>
                <c:pt idx="0">
                  <c:v>4.3499999999999996</c:v>
                </c:pt>
                <c:pt idx="1">
                  <c:v>4.3499999999999996</c:v>
                </c:pt>
                <c:pt idx="2">
                  <c:v>4.3499999999999996</c:v>
                </c:pt>
                <c:pt idx="3">
                  <c:v>4.3499999999999996</c:v>
                </c:pt>
                <c:pt idx="4">
                  <c:v>4.3499999999999996</c:v>
                </c:pt>
                <c:pt idx="5">
                  <c:v>4.3499999999999996</c:v>
                </c:pt>
                <c:pt idx="6">
                  <c:v>4.3499999999999996</c:v>
                </c:pt>
                <c:pt idx="7">
                  <c:v>4.3499999999999996</c:v>
                </c:pt>
                <c:pt idx="8">
                  <c:v>4.3499999999999996</c:v>
                </c:pt>
                <c:pt idx="9">
                  <c:v>4.3499999999999996</c:v>
                </c:pt>
                <c:pt idx="10">
                  <c:v>0.08</c:v>
                </c:pt>
                <c:pt idx="11">
                  <c:v>0.08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5-47FF-A4A1-0201FBABCE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194992"/>
        <c:axId val="124201648"/>
      </c:barChart>
      <c:catAx>
        <c:axId val="124194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4201648"/>
        <c:crosses val="autoZero"/>
        <c:auto val="1"/>
        <c:lblAlgn val="ctr"/>
        <c:lblOffset val="100"/>
        <c:noMultiLvlLbl val="0"/>
      </c:catAx>
      <c:valAx>
        <c:axId val="1242016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2419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6900"/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b="1"/>
              <a:t>Histograma de Mão de Obra Indireta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Gráficos!$B$48:$BI$48</c:f>
              <c:numCache>
                <c:formatCode>#,##0.00</c:formatCode>
                <c:ptCount val="60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F-4059-A207-7A8ABEE3F9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194992"/>
        <c:axId val="124201648"/>
      </c:barChart>
      <c:catAx>
        <c:axId val="124194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4201648"/>
        <c:crosses val="autoZero"/>
        <c:auto val="1"/>
        <c:lblAlgn val="ctr"/>
        <c:lblOffset val="100"/>
        <c:noMultiLvlLbl val="0"/>
      </c:catAx>
      <c:valAx>
        <c:axId val="1242016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2419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6900"/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b="1"/>
              <a:t>Histograma de Mão de Obra Direta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2422839355219702E-2"/>
          <c:y val="0.15148395082566743"/>
          <c:w val="0.98047839529894043"/>
          <c:h val="0.78436800325666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Gráficos!$B$27:$BI$27</c:f>
              <c:numCache>
                <c:formatCode>#,##0.00</c:formatCode>
                <c:ptCount val="60"/>
                <c:pt idx="0">
                  <c:v>8.5399999999999991</c:v>
                </c:pt>
                <c:pt idx="1">
                  <c:v>8.5399999999999991</c:v>
                </c:pt>
                <c:pt idx="2">
                  <c:v>8.5399999999999991</c:v>
                </c:pt>
                <c:pt idx="3">
                  <c:v>8.5399999999999991</c:v>
                </c:pt>
                <c:pt idx="4">
                  <c:v>8.5399999999999991</c:v>
                </c:pt>
                <c:pt idx="5">
                  <c:v>8.5399999999999991</c:v>
                </c:pt>
                <c:pt idx="6">
                  <c:v>8.5399999999999991</c:v>
                </c:pt>
                <c:pt idx="7">
                  <c:v>8.5399999999999991</c:v>
                </c:pt>
                <c:pt idx="8">
                  <c:v>8.5399999999999991</c:v>
                </c:pt>
                <c:pt idx="9">
                  <c:v>8.5399999999999991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5-442D-90D0-A268B44E51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194992"/>
        <c:axId val="124201648"/>
      </c:barChart>
      <c:catAx>
        <c:axId val="124194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4201648"/>
        <c:crosses val="autoZero"/>
        <c:auto val="1"/>
        <c:lblAlgn val="ctr"/>
        <c:lblOffset val="100"/>
        <c:noMultiLvlLbl val="0"/>
      </c:catAx>
      <c:valAx>
        <c:axId val="1242016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2419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6900"/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b="1"/>
              <a:t>Custos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Gráficos!$B$93:$B$115</c:f>
              <c:strCache>
                <c:ptCount val="23"/>
                <c:pt idx="0">
                  <c:v>Mão de Obra Indireta</c:v>
                </c:pt>
                <c:pt idx="1">
                  <c:v>Mão de Obra Direta (rotina)</c:v>
                </c:pt>
                <c:pt idx="2">
                  <c:v>Encargos Sociais - Horistas</c:v>
                </c:pt>
                <c:pt idx="3">
                  <c:v>Mobilização/ Integração de Mão de Obra</c:v>
                </c:pt>
                <c:pt idx="4">
                  <c:v>Desmobilização de Mão de Obra</c:v>
                </c:pt>
                <c:pt idx="5">
                  <c:v>Canteiro de Obras, Infraestrutura de Apoio e Alojamento</c:v>
                </c:pt>
                <c:pt idx="6">
                  <c:v>Benefícios</c:v>
                </c:pt>
                <c:pt idx="7">
                  <c:v>Exames Médicos e Gestão da Saúde Ocupacional</c:v>
                </c:pt>
                <c:pt idx="8">
                  <c:v>EPI's - Equipamentos de Proteção Individual</c:v>
                </c:pt>
                <c:pt idx="9">
                  <c:v>EPC's - Equipamentos de Proteção Coletiva</c:v>
                </c:pt>
                <c:pt idx="10">
                  <c:v>Treinamentos</c:v>
                </c:pt>
                <c:pt idx="11">
                  <c:v>Viagens e Hospedagem</c:v>
                </c:pt>
                <c:pt idx="12">
                  <c:v>Equipamentos e Ferramentas</c:v>
                </c:pt>
                <c:pt idx="13">
                  <c:v>Equipamentos de Informática e Softwares</c:v>
                </c:pt>
                <c:pt idx="14">
                  <c:v>Veículos leves e Fretamento</c:v>
                </c:pt>
                <c:pt idx="15">
                  <c:v>Materiais de Consumo</c:v>
                </c:pt>
                <c:pt idx="16">
                  <c:v>Materiais de Aplicação Gerais</c:v>
                </c:pt>
                <c:pt idx="17">
                  <c:v>Serviços Terceirizados</c:v>
                </c:pt>
                <c:pt idx="18">
                  <c:v>Locações</c:v>
                </c:pt>
                <c:pt idx="19">
                  <c:v>Mobilização e Desmobilização de Recursos</c:v>
                </c:pt>
                <c:pt idx="20">
                  <c:v>Riscos e Contingências</c:v>
                </c:pt>
                <c:pt idx="21">
                  <c:v>Outros Custos</c:v>
                </c:pt>
                <c:pt idx="22">
                  <c:v>Materiais</c:v>
                </c:pt>
              </c:strCache>
            </c:strRef>
          </c:cat>
          <c:val>
            <c:numRef>
              <c:f>Gráficos!$C$93:$C$115</c:f>
              <c:numCache>
                <c:formatCode>_("R$"* #,##0.00_);_("R$"* \(#,##0.00\);_("R$"* "-"??_);_(@_)</c:formatCode>
                <c:ptCount val="23"/>
                <c:pt idx="0">
                  <c:v>17160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62455.760000000009</c:v>
                </c:pt>
                <c:pt idx="7">
                  <c:v>3914.9999999999995</c:v>
                </c:pt>
                <c:pt idx="8">
                  <c:v>14142.383583333336</c:v>
                </c:pt>
                <c:pt idx="9">
                  <c:v>2464.5833333333317</c:v>
                </c:pt>
                <c:pt idx="10">
                  <c:v>#N/A</c:v>
                </c:pt>
                <c:pt idx="11">
                  <c:v>87000</c:v>
                </c:pt>
                <c:pt idx="12">
                  <c:v>2000</c:v>
                </c:pt>
                <c:pt idx="13">
                  <c:v>39989.467333333327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3929.4000000000005</c:v>
                </c:pt>
                <c:pt idx="18">
                  <c:v>#N/A</c:v>
                </c:pt>
                <c:pt idx="19">
                  <c:v>850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819-4CDE-B5BF-C99FAE8561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194992"/>
        <c:axId val="124201648"/>
      </c:barChart>
      <c:catAx>
        <c:axId val="12419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4201648"/>
        <c:crosses val="autoZero"/>
        <c:auto val="1"/>
        <c:lblAlgn val="ctr"/>
        <c:lblOffset val="100"/>
        <c:noMultiLvlLbl val="0"/>
      </c:catAx>
      <c:valAx>
        <c:axId val="1242016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419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6900"/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b="1"/>
              <a:t>Evolução de 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Gráficos!$B$144</c:f>
              <c:strCache>
                <c:ptCount val="1"/>
                <c:pt idx="0">
                  <c:v>Faturamento mês (x 1000)</c:v>
                </c:pt>
              </c:strCache>
            </c:strRef>
          </c:tx>
          <c:spPr>
            <a:ln w="28575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Gráficos!$C$144:$BN$144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1A-44C5-8EF0-8A0971C0B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94992"/>
        <c:axId val="124201648"/>
      </c:lineChart>
      <c:catAx>
        <c:axId val="12419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4201648"/>
        <c:crosses val="autoZero"/>
        <c:auto val="1"/>
        <c:lblAlgn val="ctr"/>
        <c:lblOffset val="100"/>
        <c:noMultiLvlLbl val="0"/>
      </c:catAx>
      <c:valAx>
        <c:axId val="12420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41949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6900"/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b="1"/>
              <a:t>Resultado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Gráficos!$B$118:$B$121</c:f>
              <c:strCache>
                <c:ptCount val="4"/>
                <c:pt idx="0">
                  <c:v>Lucro</c:v>
                </c:pt>
                <c:pt idx="1">
                  <c:v>Overhead</c:v>
                </c:pt>
                <c:pt idx="2">
                  <c:v>Taxa de negociação</c:v>
                </c:pt>
                <c:pt idx="3">
                  <c:v>Custo Financeiro</c:v>
                </c:pt>
              </c:strCache>
            </c:strRef>
          </c:cat>
          <c:val>
            <c:numRef>
              <c:f>Gráficos!$C$118:$C$121</c:f>
              <c:numCache>
                <c:formatCode>_("R$"* #,##0.00_);_("R$"* \(#,##0.00\);_("R$"* "-"??_);_(@_)</c:formatCode>
                <c:ptCount val="4"/>
                <c:pt idx="0">
                  <c:v>168994.7370295538</c:v>
                </c:pt>
                <c:pt idx="1">
                  <c:v>153631.57911777619</c:v>
                </c:pt>
                <c:pt idx="2">
                  <c:v>30726.315823555236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8-465D-9CD3-4DA862BC3E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194992"/>
        <c:axId val="124201648"/>
      </c:barChart>
      <c:catAx>
        <c:axId val="12419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4201648"/>
        <c:crosses val="autoZero"/>
        <c:auto val="1"/>
        <c:lblAlgn val="ctr"/>
        <c:lblOffset val="100"/>
        <c:noMultiLvlLbl val="0"/>
      </c:catAx>
      <c:valAx>
        <c:axId val="1242016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419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6900"/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b="1"/>
              <a:t>Impostos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Gráficos!$AL$118:$AL$122</c:f>
              <c:strCache>
                <c:ptCount val="5"/>
                <c:pt idx="0">
                  <c:v>PIS</c:v>
                </c:pt>
                <c:pt idx="1">
                  <c:v>COFINS</c:v>
                </c:pt>
                <c:pt idx="2">
                  <c:v>ISSQN</c:v>
                </c:pt>
                <c:pt idx="3">
                  <c:v>CPRB</c:v>
                </c:pt>
                <c:pt idx="4">
                  <c:v>Impostos sobre Materiais</c:v>
                </c:pt>
              </c:strCache>
            </c:strRef>
          </c:cat>
          <c:val>
            <c:numRef>
              <c:f>Gráficos!$AM$118:$AM$122</c:f>
              <c:numCache>
                <c:formatCode>_("R$"* #,##0.00_);_("R$"* \(#,##0.00\);_("R$"* "-"??_);_(@_)</c:formatCode>
                <c:ptCount val="5"/>
                <c:pt idx="0">
                  <c:v>8312.3145299999996</c:v>
                </c:pt>
                <c:pt idx="1">
                  <c:v>38364.528600000005</c:v>
                </c:pt>
                <c:pt idx="2">
                  <c:v>63940.881000000008</c:v>
                </c:pt>
                <c:pt idx="3">
                  <c:v>#N/A</c:v>
                </c:pt>
                <c:pt idx="4">
                  <c:v>22273.591806876368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B-4344-BAC4-506EB5C9DE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194992"/>
        <c:axId val="124201648"/>
      </c:barChart>
      <c:catAx>
        <c:axId val="12419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4201648"/>
        <c:crosses val="autoZero"/>
        <c:auto val="1"/>
        <c:lblAlgn val="ctr"/>
        <c:lblOffset val="100"/>
        <c:noMultiLvlLbl val="0"/>
      </c:catAx>
      <c:valAx>
        <c:axId val="1242016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419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6900"/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b="1"/>
              <a:t>Peso</a:t>
            </a:r>
            <a:r>
              <a:rPr lang="pt-BR" b="1" baseline="0"/>
              <a:t> de Custo</a:t>
            </a:r>
          </a:p>
          <a:p>
            <a:pPr>
              <a:defRPr b="1"/>
            </a:pPr>
            <a:r>
              <a:rPr lang="pt-BR" b="1" baseline="0"/>
              <a:t>Serviços e Materiais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6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60-4DDF-93AA-0AE7C3827ECD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E60-4DDF-93AA-0AE7C3827EC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Gráficos!$T$118:$T$119</c:f>
              <c:strCache>
                <c:ptCount val="2"/>
                <c:pt idx="0">
                  <c:v>Serviços</c:v>
                </c:pt>
                <c:pt idx="1">
                  <c:v>Materiais para revenda</c:v>
                </c:pt>
              </c:strCache>
            </c:strRef>
          </c:cat>
          <c:val>
            <c:numRef>
              <c:f>Gráficos!$U$118:$U$119</c:f>
              <c:numCache>
                <c:formatCode>0%</c:formatCode>
                <c:ptCount val="2"/>
                <c:pt idx="0">
                  <c:v>0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A-4663-88FD-3BF343519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6900"/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96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b="1"/>
              <a:t>Fluxo de Caixa Previsto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6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Gráficos!$B$165</c:f>
              <c:strCache>
                <c:ptCount val="1"/>
                <c:pt idx="0">
                  <c:v>Receita Bruta</c:v>
                </c:pt>
              </c:strCache>
            </c:strRef>
          </c:tx>
          <c:spPr>
            <a:ln w="28575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</c:marker>
          <c:val>
            <c:numRef>
              <c:f>Gráficos!$C$165:$BN$165</c:f>
              <c:numCache>
                <c:formatCode>#,##0_ ;\-#,##0\ 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B-4FFB-A45C-FA49321EF025}"/>
            </c:ext>
          </c:extLst>
        </c:ser>
        <c:ser>
          <c:idx val="1"/>
          <c:order val="1"/>
          <c:tx>
            <c:strRef>
              <c:f>Gráficos!$B$166</c:f>
              <c:strCache>
                <c:ptCount val="1"/>
                <c:pt idx="0">
                  <c:v>Impostos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1">
                    <a:lumMod val="85000"/>
                  </a:schemeClr>
                </a:solidFill>
              </a:ln>
              <a:effectLst/>
            </c:spPr>
          </c:marker>
          <c:val>
            <c:numRef>
              <c:f>Gráficos!$C$166:$BN$166</c:f>
              <c:numCache>
                <c:formatCode>#,##0_ ;\-#,##0\ 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B-4FFB-A45C-FA49321EF025}"/>
            </c:ext>
          </c:extLst>
        </c:ser>
        <c:ser>
          <c:idx val="2"/>
          <c:order val="2"/>
          <c:tx>
            <c:strRef>
              <c:f>Gráficos!$B$167</c:f>
              <c:strCache>
                <c:ptCount val="1"/>
                <c:pt idx="0">
                  <c:v>Custos</c:v>
                </c:pt>
              </c:strCache>
            </c:strRef>
          </c:tx>
          <c:spPr>
            <a:ln w="2857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</c:spPr>
          </c:marker>
          <c:val>
            <c:numRef>
              <c:f>Gráficos!$C$167:$BN$167</c:f>
              <c:numCache>
                <c:formatCode>#,##0_ ;\-#,##0\ 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4B-4FFB-A45C-FA49321EF025}"/>
            </c:ext>
          </c:extLst>
        </c:ser>
        <c:ser>
          <c:idx val="3"/>
          <c:order val="3"/>
          <c:tx>
            <c:strRef>
              <c:f>Gráficos!$B$168</c:f>
              <c:strCache>
                <c:ptCount val="1"/>
                <c:pt idx="0">
                  <c:v>Margem Bruta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2060"/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val>
            <c:numRef>
              <c:f>Gráficos!$C$168:$BN$168</c:f>
              <c:numCache>
                <c:formatCode>#,##0_ ;\-#,##0\ 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4B-4FFB-A45C-FA49321EF025}"/>
            </c:ext>
          </c:extLst>
        </c:ser>
        <c:ser>
          <c:idx val="5"/>
          <c:order val="4"/>
          <c:tx>
            <c:strRef>
              <c:f>Gráficos!$B$169</c:f>
              <c:strCache>
                <c:ptCount val="1"/>
                <c:pt idx="0">
                  <c:v>Custo Financeiro</c:v>
                </c:pt>
              </c:strCache>
            </c:strRef>
          </c:tx>
          <c:spPr>
            <a:ln w="28575" cap="rnd">
              <a:solidFill>
                <a:srgbClr val="FFC1C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rgbClr val="FFC1C1"/>
                </a:solidFill>
              </a:ln>
              <a:effectLst/>
            </c:spPr>
          </c:marker>
          <c:val>
            <c:numRef>
              <c:f>Gráficos!$C$169:$BN$169</c:f>
              <c:numCache>
                <c:formatCode>#,##0_ ;\-#,##0\ 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4B-4FFB-A45C-FA49321EF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0905823"/>
        <c:axId val="890895007"/>
      </c:lineChart>
      <c:catAx>
        <c:axId val="890905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90895007"/>
        <c:crosses val="autoZero"/>
        <c:auto val="1"/>
        <c:lblAlgn val="ctr"/>
        <c:lblOffset val="100"/>
        <c:noMultiLvlLbl val="0"/>
      </c:catAx>
      <c:valAx>
        <c:axId val="89089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909058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6900"/>
      </a:solidFill>
      <a:round/>
    </a:ln>
    <a:effectLst/>
  </c:spPr>
  <c:txPr>
    <a:bodyPr/>
    <a:lstStyle/>
    <a:p>
      <a:pPr>
        <a:defRPr lang="en-US" sz="800" b="0" i="0" u="none" strike="noStrike" kern="1200" baseline="0">
          <a:solidFill>
            <a:sysClr val="windowText" lastClr="000000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Histograma -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HISTOGRAMA!$D$6:$L$6</c:f>
              <c:strCache>
                <c:ptCount val="9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</c:strCache>
            </c:strRef>
          </c:cat>
          <c:val>
            <c:numRef>
              <c:f>HISTOGRAMA!$D$30:$L$30</c:f>
              <c:numCache>
                <c:formatCode>General</c:formatCode>
                <c:ptCount val="9"/>
                <c:pt idx="0">
                  <c:v>3.5000000000000004</c:v>
                </c:pt>
                <c:pt idx="1">
                  <c:v>3.0000000000000004</c:v>
                </c:pt>
                <c:pt idx="2">
                  <c:v>3.2</c:v>
                </c:pt>
                <c:pt idx="3">
                  <c:v>4</c:v>
                </c:pt>
                <c:pt idx="4">
                  <c:v>4.5</c:v>
                </c:pt>
                <c:pt idx="5">
                  <c:v>4.75</c:v>
                </c:pt>
                <c:pt idx="6">
                  <c:v>4.75</c:v>
                </c:pt>
                <c:pt idx="7">
                  <c:v>4.75</c:v>
                </c:pt>
                <c:pt idx="8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9-4682-9023-4BEB70DA3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981339007"/>
        <c:axId val="1981339967"/>
      </c:barChart>
      <c:catAx>
        <c:axId val="198133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1339967"/>
        <c:crosses val="autoZero"/>
        <c:auto val="1"/>
        <c:lblAlgn val="ctr"/>
        <c:lblOffset val="100"/>
        <c:noMultiLvlLbl val="0"/>
      </c:catAx>
      <c:valAx>
        <c:axId val="198133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133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de Desembolso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HISTOGRAMA!$D$61:$L$61</c:f>
              <c:strCache>
                <c:ptCount val="9"/>
                <c:pt idx="0">
                  <c:v>R$ 43.036,03</c:v>
                </c:pt>
                <c:pt idx="1">
                  <c:v>R$ 34.488,77</c:v>
                </c:pt>
                <c:pt idx="2">
                  <c:v>R$ 0,00</c:v>
                </c:pt>
                <c:pt idx="3">
                  <c:v>R$ 0,00</c:v>
                </c:pt>
                <c:pt idx="4">
                  <c:v>R$ 0,00</c:v>
                </c:pt>
                <c:pt idx="5">
                  <c:v>R$ 0,00</c:v>
                </c:pt>
                <c:pt idx="6">
                  <c:v>R$ 0,00</c:v>
                </c:pt>
                <c:pt idx="7">
                  <c:v>R$ 0,00</c:v>
                </c:pt>
                <c:pt idx="8">
                  <c:v>R$ 0,00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HISTOGRAMA!$D$61:$L$61</c:f>
              <c:numCache>
                <c:formatCode>"R$"\ #,##0.00</c:formatCode>
                <c:ptCount val="9"/>
                <c:pt idx="0">
                  <c:v>43036.030000000006</c:v>
                </c:pt>
                <c:pt idx="1">
                  <c:v>34488.770000000004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F7-4336-9B19-11D838E6B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2628079"/>
        <c:axId val="402629999"/>
      </c:barChart>
      <c:lineChart>
        <c:grouping val="standard"/>
        <c:varyColors val="0"/>
        <c:ser>
          <c:idx val="1"/>
          <c:order val="0"/>
          <c:tx>
            <c:v>Curva de Desenbolso Acumulado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HISTOGRAMA!$D$36:$L$36</c:f>
              <c:strCache>
                <c:ptCount val="9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</c:strCache>
            </c:strRef>
          </c:cat>
          <c:val>
            <c:numRef>
              <c:f>HISTOGRAMA!$D$62:$L$62</c:f>
              <c:numCache>
                <c:formatCode>"R$"\ #,##0.00</c:formatCode>
                <c:ptCount val="9"/>
                <c:pt idx="0">
                  <c:v>129145.78</c:v>
                </c:pt>
                <c:pt idx="1">
                  <c:v>249744.3</c:v>
                </c:pt>
                <c:pt idx="2">
                  <c:v>374574.45</c:v>
                </c:pt>
                <c:pt idx="3">
                  <c:v>525273.48</c:v>
                </c:pt>
                <c:pt idx="4">
                  <c:v>688177.41999999993</c:v>
                </c:pt>
                <c:pt idx="5">
                  <c:v>863856.5199999999</c:v>
                </c:pt>
                <c:pt idx="6">
                  <c:v>1039535.6199999999</c:v>
                </c:pt>
                <c:pt idx="7">
                  <c:v>1215214.7199999997</c:v>
                </c:pt>
                <c:pt idx="8">
                  <c:v>1375765.2499999998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F7-4336-9B19-11D838E6B1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2628079"/>
        <c:axId val="402629999"/>
      </c:lineChart>
      <c:catAx>
        <c:axId val="40262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2629999"/>
        <c:crosses val="autoZero"/>
        <c:auto val="1"/>
        <c:lblAlgn val="ctr"/>
        <c:lblOffset val="100"/>
        <c:noMultiLvlLbl val="0"/>
      </c:catAx>
      <c:valAx>
        <c:axId val="40262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262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12" Type="http://schemas.openxmlformats.org/officeDocument/2006/relationships/image" Target="../media/image10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7.png"/><Relationship Id="rId14" Type="http://schemas.openxmlformats.org/officeDocument/2006/relationships/image" Target="../media/image1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svg"/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36</xdr:row>
      <xdr:rowOff>66098</xdr:rowOff>
    </xdr:from>
    <xdr:to>
      <xdr:col>14</xdr:col>
      <xdr:colOff>31462</xdr:colOff>
      <xdr:row>49</xdr:row>
      <xdr:rowOff>57727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4FA0070-ADB6-4367-8684-8E2B0BE46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254000</xdr:colOff>
      <xdr:row>12</xdr:row>
      <xdr:rowOff>103908</xdr:rowOff>
    </xdr:from>
    <xdr:to>
      <xdr:col>20</xdr:col>
      <xdr:colOff>219364</xdr:colOff>
      <xdr:row>22</xdr:row>
      <xdr:rowOff>138544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429A20B-59D2-4C39-8B9C-9C75EEA21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191737</xdr:colOff>
      <xdr:row>12</xdr:row>
      <xdr:rowOff>16700</xdr:rowOff>
    </xdr:from>
    <xdr:to>
      <xdr:col>0</xdr:col>
      <xdr:colOff>1077337</xdr:colOff>
      <xdr:row>16</xdr:row>
      <xdr:rowOff>50468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2B36CCB-D31A-DC3C-B033-ACACACAC0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737" y="2191575"/>
          <a:ext cx="885600" cy="923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95251</xdr:colOff>
      <xdr:row>11</xdr:row>
      <xdr:rowOff>77107</xdr:rowOff>
    </xdr:from>
    <xdr:to>
      <xdr:col>8</xdr:col>
      <xdr:colOff>1145097</xdr:colOff>
      <xdr:row>16</xdr:row>
      <xdr:rowOff>49626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52F833D-DA50-220C-F495-435D512FB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8376" y="2061482"/>
          <a:ext cx="1049846" cy="1093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209261</xdr:colOff>
      <xdr:row>29</xdr:row>
      <xdr:rowOff>180686</xdr:rowOff>
    </xdr:from>
    <xdr:to>
      <xdr:col>8</xdr:col>
      <xdr:colOff>1098036</xdr:colOff>
      <xdr:row>33</xdr:row>
      <xdr:rowOff>203108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C5A68C3-CFD7-ADC8-71F1-79514704C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0118" y="5596329"/>
          <a:ext cx="885600" cy="915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186172</xdr:colOff>
      <xdr:row>28</xdr:row>
      <xdr:rowOff>28862</xdr:rowOff>
    </xdr:from>
    <xdr:to>
      <xdr:col>24</xdr:col>
      <xdr:colOff>1078576</xdr:colOff>
      <xdr:row>32</xdr:row>
      <xdr:rowOff>50706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224A471-DDC4-07C2-E8A2-13719C189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7172" y="5251737"/>
          <a:ext cx="885600" cy="918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259772</xdr:colOff>
      <xdr:row>27</xdr:row>
      <xdr:rowOff>36081</xdr:rowOff>
    </xdr:from>
    <xdr:to>
      <xdr:col>0</xdr:col>
      <xdr:colOff>1145372</xdr:colOff>
      <xdr:row>31</xdr:row>
      <xdr:rowOff>57925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F87E31E1-F5A8-FA10-8F77-6924D7006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772" y="5219990"/>
          <a:ext cx="885600" cy="947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207818</xdr:colOff>
      <xdr:row>9</xdr:row>
      <xdr:rowOff>11546</xdr:rowOff>
    </xdr:from>
    <xdr:to>
      <xdr:col>23</xdr:col>
      <xdr:colOff>1093418</xdr:colOff>
      <xdr:row>13</xdr:row>
      <xdr:rowOff>7213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9764E37-261C-BD23-5F6A-C5AE3980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7273" y="1662546"/>
          <a:ext cx="885600" cy="915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225138</xdr:colOff>
      <xdr:row>3</xdr:row>
      <xdr:rowOff>135658</xdr:rowOff>
    </xdr:from>
    <xdr:to>
      <xdr:col>16</xdr:col>
      <xdr:colOff>1117088</xdr:colOff>
      <xdr:row>7</xdr:row>
      <xdr:rowOff>141399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F35D768-2F00-C148-79FC-BFD2132A4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2683" y="609022"/>
          <a:ext cx="885600" cy="93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288636</xdr:colOff>
      <xdr:row>18</xdr:row>
      <xdr:rowOff>34636</xdr:rowOff>
    </xdr:from>
    <xdr:to>
      <xdr:col>1</xdr:col>
      <xdr:colOff>2661</xdr:colOff>
      <xdr:row>22</xdr:row>
      <xdr:rowOff>17651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493A5715-F04B-4F38-8D0E-741950C8D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36" y="3452091"/>
          <a:ext cx="885600" cy="902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213591</xdr:colOff>
      <xdr:row>39</xdr:row>
      <xdr:rowOff>163079</xdr:rowOff>
    </xdr:from>
    <xdr:ext cx="885600" cy="947179"/>
    <xdr:pic>
      <xdr:nvPicPr>
        <xdr:cNvPr id="15" name="Imagem 14">
          <a:extLst>
            <a:ext uri="{FF2B5EF4-FFF2-40B4-BE49-F238E27FC236}">
              <a16:creationId xmlns:a16="http://schemas.microsoft.com/office/drawing/2014/main" id="{42315A79-FF06-4C0A-99F4-933F0111C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591" y="7702261"/>
          <a:ext cx="885600" cy="947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16</xdr:col>
      <xdr:colOff>143739</xdr:colOff>
      <xdr:row>30</xdr:row>
      <xdr:rowOff>80817</xdr:rowOff>
    </xdr:from>
    <xdr:to>
      <xdr:col>16</xdr:col>
      <xdr:colOff>1035689</xdr:colOff>
      <xdr:row>34</xdr:row>
      <xdr:rowOff>64080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5857E781-EAEB-FC8F-91F7-97FCF37A2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284" y="5853544"/>
          <a:ext cx="891950" cy="914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150091</xdr:colOff>
      <xdr:row>43</xdr:row>
      <xdr:rowOff>103909</xdr:rowOff>
    </xdr:from>
    <xdr:to>
      <xdr:col>16</xdr:col>
      <xdr:colOff>1035691</xdr:colOff>
      <xdr:row>47</xdr:row>
      <xdr:rowOff>83998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59EC9DC9-BFB7-4890-B726-CD109348E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7636" y="8428182"/>
          <a:ext cx="891950" cy="914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192304</xdr:colOff>
      <xdr:row>6</xdr:row>
      <xdr:rowOff>175193</xdr:rowOff>
    </xdr:from>
    <xdr:to>
      <xdr:col>0</xdr:col>
      <xdr:colOff>1077904</xdr:colOff>
      <xdr:row>10</xdr:row>
      <xdr:rowOff>186262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8BF30D-8597-4D98-BC8B-C38FA4AE2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304" y="1374222"/>
          <a:ext cx="885600" cy="907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162862</xdr:colOff>
      <xdr:row>1</xdr:row>
      <xdr:rowOff>33618</xdr:rowOff>
    </xdr:from>
    <xdr:to>
      <xdr:col>0</xdr:col>
      <xdr:colOff>1054100</xdr:colOff>
      <xdr:row>3</xdr:row>
      <xdr:rowOff>186828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F2BC18D-638F-4EA1-94D8-205DD358CB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r="62433"/>
        <a:stretch>
          <a:fillRect/>
        </a:stretch>
      </xdr:blipFill>
      <xdr:spPr>
        <a:xfrm>
          <a:off x="162862" y="112059"/>
          <a:ext cx="891238" cy="6014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176639</xdr:rowOff>
    </xdr:from>
    <xdr:to>
      <xdr:col>1</xdr:col>
      <xdr:colOff>432</xdr:colOff>
      <xdr:row>6</xdr:row>
      <xdr:rowOff>46029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633D6E18-7F0F-4000-B70B-9C56EE4AB6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40092"/>
        <a:stretch>
          <a:fillRect/>
        </a:stretch>
      </xdr:blipFill>
      <xdr:spPr>
        <a:xfrm>
          <a:off x="0" y="703315"/>
          <a:ext cx="1219632" cy="5417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61</xdr:col>
      <xdr:colOff>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4670E2-5B32-42F8-958F-1D358DACC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66</xdr:row>
      <xdr:rowOff>0</xdr:rowOff>
    </xdr:from>
    <xdr:to>
      <xdr:col>61</xdr:col>
      <xdr:colOff>0</xdr:colOff>
      <xdr:row>85</xdr:row>
      <xdr:rowOff>151074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185F824-75A5-4504-8492-3BC995F20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61</xdr:col>
      <xdr:colOff>0</xdr:colOff>
      <xdr:row>65</xdr:row>
      <xdr:rowOff>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7745AF3-AD68-4821-AA82-ED38A42FE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61</xdr:col>
      <xdr:colOff>0</xdr:colOff>
      <xdr:row>44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C9FC8EA-D9CE-4415-BB56-877C5C24F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91</xdr:row>
      <xdr:rowOff>0</xdr:rowOff>
    </xdr:from>
    <xdr:to>
      <xdr:col>62</xdr:col>
      <xdr:colOff>0</xdr:colOff>
      <xdr:row>114</xdr:row>
      <xdr:rowOff>151074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A9BB1EB-0AEA-40EB-9560-1062C4B85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141</xdr:row>
      <xdr:rowOff>0</xdr:rowOff>
    </xdr:from>
    <xdr:to>
      <xdr:col>62</xdr:col>
      <xdr:colOff>0</xdr:colOff>
      <xdr:row>161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533D42C-6810-41F8-A3DA-AB23D5B07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</xdr:colOff>
      <xdr:row>116</xdr:row>
      <xdr:rowOff>0</xdr:rowOff>
    </xdr:from>
    <xdr:to>
      <xdr:col>17</xdr:col>
      <xdr:colOff>238538</xdr:colOff>
      <xdr:row>135</xdr:row>
      <xdr:rowOff>151072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C01542D-39C7-4B56-8E75-5AFFD4089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0</xdr:colOff>
      <xdr:row>116</xdr:row>
      <xdr:rowOff>1</xdr:rowOff>
    </xdr:from>
    <xdr:to>
      <xdr:col>62</xdr:col>
      <xdr:colOff>0</xdr:colOff>
      <xdr:row>136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E21A420-EE53-46BB-9B67-E0FF6C072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222636</xdr:colOff>
      <xdr:row>116</xdr:row>
      <xdr:rowOff>3</xdr:rowOff>
    </xdr:from>
    <xdr:to>
      <xdr:col>35</xdr:col>
      <xdr:colOff>238538</xdr:colOff>
      <xdr:row>136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C1D476-6A7E-462E-9EEA-BF0908CB0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162</xdr:row>
      <xdr:rowOff>0</xdr:rowOff>
    </xdr:from>
    <xdr:to>
      <xdr:col>62</xdr:col>
      <xdr:colOff>0</xdr:colOff>
      <xdr:row>186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AF8F21F-A513-4E25-BCF7-4FCEEFB6A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7938</xdr:colOff>
      <xdr:row>30</xdr:row>
      <xdr:rowOff>104775</xdr:rowOff>
    </xdr:from>
    <xdr:to>
      <xdr:col>12</xdr:col>
      <xdr:colOff>0</xdr:colOff>
      <xdr:row>30</xdr:row>
      <xdr:rowOff>2847975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84F33D-1E7D-6488-415B-52FD1D2F0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1301750</xdr:colOff>
      <xdr:row>62</xdr:row>
      <xdr:rowOff>152399</xdr:rowOff>
    </xdr:from>
    <xdr:to>
      <xdr:col>12</xdr:col>
      <xdr:colOff>0</xdr:colOff>
      <xdr:row>62</xdr:row>
      <xdr:rowOff>5064124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102FA6-69DC-FC7B-9B8A-C3FA48521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143124</xdr:colOff>
      <xdr:row>18</xdr:row>
      <xdr:rowOff>111319</xdr:rowOff>
    </xdr:from>
    <xdr:to>
      <xdr:col>4</xdr:col>
      <xdr:colOff>691765</xdr:colOff>
      <xdr:row>22</xdr:row>
      <xdr:rowOff>55661</xdr:rowOff>
    </xdr:to>
    <xdr:pic>
      <xdr:nvPicPr>
        <xdr:cNvPr id="6" name="Gráfico 5" descr="Registrar estrutura de tópicos">
          <a:extLst>
            <a:ext uri="{FF2B5EF4-FFF2-40B4-BE49-F238E27FC236}">
              <a16:creationId xmlns:a16="http://schemas.microsoft.com/office/drawing/2014/main" id="{F02DEF22-AE26-4E97-8EFB-7013BA6A2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76870" y="262394"/>
          <a:ext cx="548641" cy="54864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11070</xdr:rowOff>
    </xdr:from>
    <xdr:to>
      <xdr:col>14</xdr:col>
      <xdr:colOff>392836</xdr:colOff>
      <xdr:row>22</xdr:row>
      <xdr:rowOff>151074</xdr:rowOff>
    </xdr:to>
    <xdr:pic>
      <xdr:nvPicPr>
        <xdr:cNvPr id="7" name="Imagem 6" descr="Método | Jobs e Carreira">
          <a:extLst>
            <a:ext uri="{FF2B5EF4-FFF2-40B4-BE49-F238E27FC236}">
              <a16:creationId xmlns:a16="http://schemas.microsoft.com/office/drawing/2014/main" id="{C1A43F1C-4CB6-9E2F-73BE-0B16550A1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3958" y="162145"/>
          <a:ext cx="1935389" cy="74430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15686</xdr:colOff>
      <xdr:row>60</xdr:row>
      <xdr:rowOff>120117</xdr:rowOff>
    </xdr:from>
    <xdr:to>
      <xdr:col>5</xdr:col>
      <xdr:colOff>1219870</xdr:colOff>
      <xdr:row>80</xdr:row>
      <xdr:rowOff>165174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C01AA7D-6C9C-432A-9C42-DDEB99F1A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536" y="7930617"/>
          <a:ext cx="6677884" cy="38550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tec-suobr452\OBRAS\Arq-xls\Medi&#231;&#227;o\Dell-f2-m3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OLVAY%20-%20L20262\3%20-%20Projeto\6%20-%20Civil\&#193;REA-11\Rev-Valida\fjt\data\Rb\173753-020-GEN-508%23C-Cost%20estim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2%20-%20Comercial/Sala%20T&#233;cnica/C%20-%20Or&#231;amentos/2012%20-%20Or&#231;amentos/071%20-%20Transbrasiliana%20-%20Conv.%20100-2012/_Sismo/Sismo_P_3300b_026_clema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iovana\balancemento%20de%20contrato%20e%20medi&#231;oes%20compl\medi&#231;oes_2003\franco%20da%20rocha\medi&#231;&#227;o_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C%20-%20Or&#231;amentos\C%20-%20Or&#231;amentos%202008\036%20-%20Shopping%20Itaquera\Custo%20Shopping%20Itaquer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seg04\hd\SOP\Monte%20Azul%20Tapa%20Buraco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xandre\c\Denis\medica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1\big%20d%20(f)\0000-SONDO%20GERIBELO-RESOLO\SONDAGEM\backup\plano%20comunitario\ruas%20camargo%20campos\TABELA%20SVP\OR&#199;AMENTO%20SV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uno\Orcamento\Engelog\00-Banco%20de%20Dados\Padr&#245;es\Pre&#231;os%20unit&#225;rios\RFS%20-%20Pre&#231;os%20Unit&#225;rios%20DER%20(junho%202005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Meus%20documentos\meus%20documentos\0-ATMOSFERA\221-AcompDeObra-AGRA-Cyrela\221-AcompDeObra-2005\07-05\EVCO\EVCO3639inccvl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cessos\Projeto-ES\Bandes\Projeto%20T&#233;cnico\Plano_DVF\&#218;ltima_Revis&#227;o\Projeto_ES_R3(em%20uso%201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2%20-%20Comercial/Sala%20T&#233;cnica/C%20-%20Or&#231;amentos/2012%20-%20Or&#231;amentos/071%20-%20Transbrasiliana%20-%20Conv.%20100-2012/C%20-%20Or&#231;amentos/C%20-%20Or&#231;amentos%202008/036%20-%20Shopping%20Itaquera/Custo%20Shopping%20Itaquer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bero\MHA\04030-CENPES\2005\_arcond\251-Central%20Utilidades\Arquivos%20de%20programas\SENEC\Smec32\consultas\MTV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bero\MHA\04030-CENPES\2005\_arcond\251-Central%20Utilidades\Arquivos%20de%20programas\SENEC\Smec32\consultas\MT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bero\MHA\04030-CENPES\2005\_arcond\251-Central%20Utilidades\Arquivos%20de%20programas\SENEC\Smec32\consultas\MT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bero\MHA\04030-CENPES\2005\_arcond\251-Central%20Utilidades\Arquivos%20de%20programas\SENEC\Smec32\consultas\MTV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bero\MHA\04030-CENPES\2005\_arcond\251-Central%20Utilidades\Arquivos%20de%20programas\SENEC\Smec32\consultas\MTV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dowsvista-pc\c\meus%20documentos\0-ATMOSFERA\221-AcompDeObra-AGRA-Cyrela\221-AcompDeObra-2005\07-05\EVCO\EVCO3639inccvl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ldemir\c\gelson\XLS\CUSTOS\DNER398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_PROSUL2\APPL\USR\GELSON\XLS\CONSAPPE\SISNORTE\REORDENA\11BR28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o\c\ENG&#170;%20JANE\OR&#199;AMENT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_aroldo\Meus%20documentos\GEOSOLO\PAVIMENT_VG\Med_5_marajoar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p-serv05\Solesa\GEST%20SOLESA\OR&#199;AMENTO\MODELOS\0001%20A%20-CUSTOS%20%20MODEL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compart$/OR&#199;AMENTO%20-%20C/CURVAS%20DB%20-%20C/K03018%20-%20EXTRA%20JUNDIA&#205;/667%20CURVA%20R0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_aroldo\Meus%20documentos\GEOSOLO\PAVIMENT_VG\Medi&#231;&#227;o%20n&#186;%20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ngelog/00-Banco%20de%20Dados/Padr&#245;es/Pre&#231;os%20unit&#225;rios/RFS%20-%20Pre&#231;os%20Unit&#225;rios%20DER%20(junho%202005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p-serv05\Solesa\Gest\PROPOSTAS%202006\000%20-%20TEOBRAS\000-A\OR&#199;AMENTO\000-A%20CUSTO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p-serv05\Solesa\Gest\PROPOSTAS%202006\765%20-%20CB%20EMBU\765%20A\OR&#199;AMENTO\000-A%20CUSTOS%20SOLES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Documents%20and%20Settings/felipe.ALIANSCE/Configura&#231;&#245;es%20locais/Temporary%20Internet%20Files/OLKD/IPO/Fluxos/Bancos/pessoais/Milena%20Damasio/MS%20Excel/V&#237;nculo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PRqd%20GCO-2010/PRqd%20GCO-2010/Place_2-PRqd%20GCO-2-Anexos%20dos%20Processos/c%20-%20Produ&#231;&#227;o/GCO-029-Plano%20de%20Audit%20de%20Contratos_aditivos_distratos/h%20-%20Mapa%20de%20Cota&#231;&#227;o/Modelo_Mapa%20de%20Cota&#231;&#227;o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pmo/projetos/shoppingmanaus/Administrao%20dos%20Contratos/ALLIANCE/000_MED_ALLIANCE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is.cpfl.com.br/OEP/GERAL/PESE/PESE%202013-2022/PO-Plano%20de%20Obras/Resumos%20das%20Obras%20-%20EXCEL/RC%20-%20OBRAS%202013-2014-2015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_T&#233;cnica/Projetos%20em%20Andamento/P.M.%20Jacare&#237;/CAMPI%20IFSP/Projetos/PLANILHA%20E%20MEMORIAL/OR&#199;AMENTO%20FINAL/OR-JAC02-IFS-ARQ02-001-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GEST/PROPOSTAS%202008/579%20-%20CD%20ATACAD&#195;O%20-%20ITAPEVI/OR&#199;AMENTO/REV%20A/579A-Planilha%20CUSTOS_OPCAO%20TELHA%20GALVALUME%20NATURA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ldemir\c\infraero%20navegantes\NF_AmpTP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ldemir\c\Meus%20documentos\DEP\BR%20101\101%20Florian&#243;polis%20-%20Os&#243;rio%20Minuta%20Corrigida\Lote%2031%20SC\custos-l3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6.54.215\Publico2\GODOY_REC\Cad%20pre&#231;os_montagem\05-03\Relat&#243;rio_Caderno%20Pre&#231;os_Mai03%20geral\Caderno%20Pre&#231;os_MAI03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ontrole%20Sistemico%20e%20Processos\Or&#231;amento\Or&#231;amento%202017\CAPEX\Acompanhamento%202017\05-Projetos%20obras%20e%20f&#237;sicos\Projetos%20-%20Infra%20Estrutura.xlsb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0-PROPOSTAS%20EM%20ANDAMENTO\2014-10-30%20-%20PR%2092-14%20-%20Natura%20Park\08%20-%20LEVANTAMENTOS\Referencia\Planilha_TelefonicaHMP_Lote%2004%20e%2005%20-%20Comparativo%20PRINCIPAL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Documents%20and%20Settings/cassia/Configura&#231;&#245;es%20locais/Temporary%20Internet%20Files/Content.IE5/UYMTZMJZ/Lev_Torr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utra/02.%20ANTT/Obras_envio/644%20-%20Pra&#231;as%20de%20Ped&#225;gio%20e%20AVIs/Viuva%20Gra&#231;a/06%20COMPOSI&#199;&#213;ES%20-%20INST.%20VI&#218;VA%20GRA&#199;A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souza\Downloads\250XXX_Planilha%20Analitica_REV00.xlsx" TargetMode="External"/><Relationship Id="rId1" Type="http://schemas.openxmlformats.org/officeDocument/2006/relationships/externalLinkPath" Target="file:///C:\Users\isouza\Downloads\250XXX_Planilha%20Analitica_REV00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lanilhas\DB\updat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Meus%20Documentos/Macros/Cabral/macroGT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fl-cps-file\servicoscorporativos\Users\3008258\Downloads\Melhore%20Analise%20de%20Seus%20Dados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Roccon/2%20-%20Or&#231;amentos/4%20-%20Or&#231;amentos%202017/67%20-%20VBC%20-%20Renovias%20CC-13/01.%20Or&#231;.%20CC-13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onectados-my.sharepoint.com/Users/isabbue/ITAU/1.GER_ALAVANC&#193;VEL/Ferramenta%20de%20Status%20da%20Requisi&#231;&#227;o%20v20.3.xlsb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bero\MHA\04030-CENPES\2005\_arcond\251-Central%20Utilidades\Arquivos%20de%20programas\SENEC\Smec32\consultas\V&#225;lvulas%20-%20Temp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242%20-%20Stupendo%20-%20Controle_Global_%20(PA)_R14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uno\Orcamento\Ghetti\Projeto%20Anhanguera\Terraplenagem\AB-SP330_00-0011.46-MAR-A1-TE-MC.E-001.R0%20(EIXO%2050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Laudely%20Documentos/EDUCAMAIS/EDUCAMAIS/PROJETO%20EXECUTIVO/SINALIZA&#199;&#195;O/Quantitativo%20-%20Sinaliza&#231;&#227;o%20Horizontal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BRAS\QUINTANA\orcamento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ROliveir/AppData/Local/Microsoft/Windows/INetCache/Content.Outlook/CVGU49GE/Planilha%20Or&#231;amento%20Executivo_HELBOR_May%20Way_R0.xlsx" TargetMode="External"/><Relationship Id="rId1" Type="http://schemas.openxmlformats.org/officeDocument/2006/relationships/externalLinkPath" Target="/Users/ROliveir/AppData/Local/Microsoft/Windows/INetCache/Content.Outlook/CVGU49GE/Planilha%20Or&#231;amento%20Executivo_HELBOR_May%20Way_R0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EngAplic\Engenharia%20Aplicada\PROPOSTAS\ANDAMENTO\CIEE%20-%20Porto%20Alegre\07%20-%20Planilhas\Custo\Planilha%20Or&#231;_Custo_CIEE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%20Trabalho\CONTROL%20TEC\VILLA%20LOBOS\CUSTO%20ABRIL-2004\Plan_0242_HTB-2&#170;%20fase-R1a-18jun04-com%20EstTubad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CLIENTES/Cassia/CD%20Avon%20-%20Cabreuva/A%20Trabalho/CONTROL%20TEC/VILLA%20LOBOS/CUSTO%20ABRIL-2004/Plan_0242_HTB-2&#170;%20fase-R1a-18jun04-com%20EstTubad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llserver\Obras\meus%20documentos\0-ATMOSFERA\221-AcompDeObra-AGRA-Cyrela\0-Taxa-ADM\Tx_ADM-1(dez02-set04)\221-Atmosfera-ResumoRelatDesp(dez-02-set-04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posi&#231;&#227;o\Compos_com_coef_insumo_total_6(1)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jetos\LENC-PRO%20VICINAIS%20III\Custo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_1\tec1\ARQ\SOLOTEC\BR-476\VIGA\ANALISES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CIEE%20-%20Porto%20Alegre/07%20-%20Planilhas/Custo/Planilha%20Or&#231;_Custo_CIEE_Rev02_em27-06-05_V03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6CC9571\planilha_quantidades_vi&#225;rio_Anhanguera_fase_1_21_09_Custo%20-%20Sede-Rev%2012-12-07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WorkGroup\Planejamento\Programa&#231;&#227;o%20e%20Controle%20de%20Obras\USU&#193;RIOS\JFSNeto\51%20-%20Overtopinng\Atual%20(2%20Jul%2007)\03-%20Overtopping%20C%20Alves%20-%20R5_Rodrigo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w3k13ec\compart$\EngAplic\Engenharia%20Aplicada\PROPOSTAS\ANDAMENTO\CIEE%20-%20Porto%20Alegre\07%20-%20Planilhas\Custo\Planilha%20Or&#231;_Custo_CIEE_Rev01_em12-04-05_V0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bua&#231;u\Estudo%20de%20cronograma%20e%20%20M&#227;o%20de%20obr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omgas%20SP/Controles%20de%20Ativos/Comgas%20SP/Controles%20de%20Ativos/Parque%20de%20Equipamentos%20Antigo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Processos/Projeto-ES/Bandes/Projeto%20T&#233;cnico/Plano_DVF/&#218;ltima_Revis&#227;o/Projeto_ES_R3(em%20uso%201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_T&#233;cnica/Projetos%20em%20Andamento/P.M.%20Jacare&#237;/CAMPI%20IFSP/Projetos/PROJETO%20EXECUTIVO/PLANILHA%20E%20MEMORIAL/OR-JAC02-IFS-ARQ4-001_&#216;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Gest/OR&#199;AMENTOS/654_DA_-_LM_-_COMPRE_BEM_-_RIO_DAS_OSTRAS_01-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GEST%20SOLESA/OR&#199;AMENTO/MODELOS/0001%20A%20-CUSTOS%20%20MODELO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OR&#199;AMENTO%20-%20C/CURVAS%20DB%20-%20C/K03018%20-%20EXTRA%20JUNDIA&#205;/667%20CURVA%20R0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onectados-my.sharepoint.com/Users/Visagio/Desktop/WS%20de%20Gest&#227;o%20de%20Categorias/03.%20Aula%20I/01.%20Plotagem%20Categorias/NMC_Plotagem_Categoria_Template.xlsm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Un_Servicos/EPR/DESENVOLVIMENTO/PRO/3%20-%20PROPOSTAS/OBRAS%20PERDIDAS/2013-524%20PATIO%20MARITIMA/20%20OR&#199;AMENTO/R0/03%20DESP%20INDIRETAS/DI%20Patio%20Maritima%20rev0.8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omgas%20SP/Controles%20de%20Ativos/Comgas%20SP/Controles%20de%20Ativos/Parque%20de%20Equipamentos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utoBAn/OBRAS%20PREVISTAS%20EM%20PROPOSTA%20e%20DESAPROPRIA&#199;&#213;ES/74%20-%20Recupera&#231;&#227;o%20de%20OAE%20-%20demais%20obras/07%20Contrata&#231;&#245;es%20-%20Jul-2004/Drenagem%20(mai%202003)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sers\luisarnaldo\Documents\F:\BACKUP\CANTAREI\ESTUDO%20PRELIMINAR\infraestrutura\orcamento\orcamento12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sers\luisarnaldo\Documents\Eng_everton\c\OBRAS\WILSON\Sao%20Paulo%20Wellness\orcamento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vaneng\or&#231;amento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microsoft.com/office/2019/04/relationships/externalLinkLongPath" Target="http://intranet.metodo.com.br/Users/rcerquei/AppData/Local/Microsoft/Windows/Temporary%20Internet%20Files/Content.Outlook/6IIWWIG3/4-%20ESTIMATIVAS%20DE%20CUSTO/2012-441%20SHOP%20CERRADO/20%20OR&#199;AMENTO/R0/03%20DESP%20INDIRETAS/DI_SH.%20CERRADO_04%2009%2012%20R0d.xlsx?18C01B84" TargetMode="External"/><Relationship Id="rId1" Type="http://schemas.openxmlformats.org/officeDocument/2006/relationships/externalLinkPath" Target="file:///\\18C01B84\DI_SH.%20CERRADO_04%2009%2012%20R0d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sa\c\INTERNET\Eudora\Attach\SBLO_PcP-AmpTPS_fora_CLP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magbc130\depave12\Tabelas%20(jan_06)\Edifica&#231;&#245;es\INSU_jan_06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magbc130\depave12\DEPAVE12\Tabelas%20(jan_07)\EDIF\EDIF_INSU_JAN_07_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XCEL/CECAV/OR&#199;CILNI.XLS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microsoft.com/office/2019/04/relationships/externalLinkLongPath" Target="http://intranet.metodo.com.br/Un_Servicos/TECNOLOGIA/Engenharia/PROPOSTAS/ANDAMENTO/Vila%20Gale%20-%20Cumbucu/Janeiro%202007/07%20-%20Planilhas/Custo/Revis&#227;o%2000%20-%2007-02-07/Inicial/Plan%20custo%20inicial%20-%20Vila%20Gal&#233;%2016-01-07%20%20-%20Rev%200.xls?337811F1" TargetMode="External"/><Relationship Id="rId1" Type="http://schemas.openxmlformats.org/officeDocument/2006/relationships/externalLinkPath" Target="file:///\\337811F1\Plan%20custo%20inicial%20-%20Vila%20Gal&#233;%2016-01-07%20%20-%20Rev%200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GERENC~1/CONFIG~1/Temp/Rar$DI00.110/Obras/242%20-%20Stupendo%20(Aroeira%20Incorporadora)/GER%20Obra/4%20-%20Custo/4.3%20-%20Controle%20Global/242%20-%20Stupendo%20-%20Controle_Global_%20(PA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opadilha\Delivery\Documents%20and%20Settings\vice-02\Configura&#231;&#245;es%20locais\Temporary%20Internet%20Files\OLK22\Thico\Banco%20de%20Dados%20para%20incluir%20no%20THICO%2025%2010%2006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CLIENTES/Cassia/CD%20Avon%20-%20Cabreuva/Atrabalho/A%20trabalho/ESPERA/Modelos%20de%20Planilhas/Revest%20interno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llserver\orcamentos\Programas\Programas%20de%20Or&#231;amentos\Planilha%20atualizada\Plano%20de%20contas-rev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arlos%20Marcio/AppData/Local/Microsoft/Windows/Temporary%20Internet%20Files/Content.IE5/05PUH0X5/Comgas%20SP/Medi&#231;&#245;es%20em%20Excel/Resumo/xxxx%20Papycom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citacao\licitacao\MG_Consultoria\2_Modelos_Qtds_REV\Levant_Qtde_Geral_Rev1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planer1\c\TECPLANER\CLIENTES\ALTTI\Sierra%20Nevada\Plataforma\PlatSierra%202008%2004%20(abril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ES\Prime\Top%20Life\Plataforma\Plataf%20TopLife%202009%2008%20v06.xlsm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metodo.com.br/pmo/projetos/paulista1230/Documentos%20de%20incio/02.%20Orcamento%202011-359/20%20OR&#199;AMENTO/R2/Desktop/DI%20Paulista%201230-fevereiro%20de%202012%20Rev00d%20op&#231;&#227;o.xlsx" TargetMode="External"/></Relationships>
</file>

<file path=xl/externalLinks/_rels/externalLink9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todoengenharia.sharepoint.com/Processos/PropostasOrcamentos/2026/2026-037%20-%20BALNE&#193;RIO%20SHOPPING_GERENCIAMENTO%20DE%20OBRAS%20DE%20EXPANS&#195;O%20DO%20BALNE&#193;RIO%20SHOPPING/02.%20Or&#231;amento/Rev.00/Pricing_2026-037_rev.00.1%20-%20Equipe%20Otimizada.xlsx" TargetMode="External"/><Relationship Id="rId2" Type="http://schemas.microsoft.com/office/2019/04/relationships/externalLinkLongPath" Target="/Processos/PropostasOrcamentos/2026/2026-037%20-%20BALNE&#193;RIO%20SHOPPING_GERENCIAMENTO%20DE%20OBRAS%20DE%20EXPANS&#195;O%20DO%20BALNE&#193;RIO%20SHOPPING/02.%20Or&#231;amento/Rev.00/Pricing_2026-037_rev.00.1%20-%20Equipe%20Otimizada.xlsx?B98934A7" TargetMode="External"/><Relationship Id="rId1" Type="http://schemas.openxmlformats.org/officeDocument/2006/relationships/externalLinkPath" Target="file:///\\B98934A7\Pricing_2026-037_rev.00.1%20-%20Equipe%20Otimizada.xlsx" TargetMode="External"/><Relationship Id="rId4" Type="http://schemas.openxmlformats.org/officeDocument/2006/relationships/externalLinkPath" Target="../../../2026-037%20-%20BALNE&#193;RIO%20SHOPPING_GERENCIAMENTO%20DE%20OBRAS%20DE%20EXPANS&#195;O%20DO%20BALNE&#193;RIO%20SHOPPING/02.%20Or&#231;amento/Rev.00/Pricing_2026-037_rev.00.1%20-%20Equipe%20Otimizada.xlsx" TargetMode="External"/></Relationships>
</file>

<file path=xl/externalLinks/_rels/externalLink9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eus%20documentos/CARAPICUIBA/Medi&#231;&#245;es%20PMCP/Ano%202002/Medi&#231;&#227;o%2008-2002/Nelson%20Hungria/Medi&#231;&#227;o%2008-02%20NH.xls" TargetMode="External"/><Relationship Id="rId1" Type="http://schemas.openxmlformats.org/officeDocument/2006/relationships/externalLinkPath" Target="/Meus%20documentos/CARAPICUIBA/Medi&#231;&#245;es%20PMCP/Ano%202002/Medi&#231;&#227;o%2008-2002/Nelson%20Hungria/Medi&#231;&#227;o%2008-02%20NH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\TECPLANER\CLIENTES\ALTTI\Sierra%20Nevada\Plataforma\PlatSierra%20v03.xlsm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AN\Ata\Comit&#234;%2009-Nov\GAP%20Ativos%20e%20Passivo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latecnica/C%20-%20Or&#231;amentos/2011%20-%20Or&#231;amentos/032%20-%20OAS%20-%20Recife/002%20-%20CCR%20Pavimento/001%20-%20CCR%20-%20Pavimento%20-%20Rev%20001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magbs2\licita&#231;&#227;o%20svma\Depave12\Tabelas%20(jul_07)\EDIF\TAB_P2_JUL_2007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ose%20Luiz\SIMULADOR\Reg01%20-%20POA%20CS\Alvorad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uno\Orcamento\Programa&#231;&#245;es\Ano2000\Final\SP-270\Trecho-3\Rosto-PAV-SP-270-T3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1272253\c$\Banespa\Pessoal\Ricardo%20Medori\ENDERE&#199;OS%20ATUALIZADOS\Planilh&#227;o%20Pabs%20Santander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o-file-01.aquanima.corp\AQNSAO-OP\Users\alda_minioli\Documents\1709\170920\Renovacao%20Marcenaria\MARCENARIA_COTACAO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driana\Or&#231;amento_Empresarial_SOLESA(20.10.01)\Or&#231;amento_SOLESA-R2A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cessos\Projeto-ES\Orc_Empresarial-2001\Orc-2001-R2\Or&#231;amento_SOLESA-R2A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tec-suobr452\OBRAS\051-COHAB%20Mutir&#245;es\Medi&#231;&#245;es\Uni&#227;o%20de%20Todos\Uni-todos-P07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0-PROPOSTAS%202006/REDE%20RECORD%20RJ%20-%20GeH/0-CUSTO%20EQUALIZADO%2027-10-2006/PARAMETROS%20PARA%20META/PL%20RECORD%20RJ%202&#170;%20ETAPA%20-%20MPC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vazio\projetos\06232\06232_EL&#201;TRICA\e0603211%20tc%203pav%2029-08-2008.doc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a_arqs\eletrica\e0603200.doc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ST\PROPOSTAS%202007\244%20-%20WAL%20MART\244-A\DOC.%20RECEBIDOS\DOCUMENTOS%20NOVOS\New%20Folder\Arquivos%20Categoria%20de%20Peroxidos\Arquivos%20Gerais\Laporte-RFI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onectados-my.sharepoint.com/Users/isabbue/ITAU/1.%202018/3.%20SAUDE%20OCUPACIONAL/Acompanhamento%20-%20Sa&#250;de%20Ocupacional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magbc130\depave12\Tabelas%20(jan_06)\Edifica&#231;&#245;es\TAB_jan_06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magbc130\depave12\DEPAVE12\Tabelas%20(jan_07)\EDIF\EDIF_CUSTOS_JAN_07_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magbc130\depave12\DEPAVE12\Tabelas%20(jan_06)\Edifica&#231;&#245;es\TAB_P2_jan_06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magbs2\licita&#231;&#227;o%20svma\DEPAVE12\Tabelas%20(jan_07)\EDIF\TAB_P2_JAN_07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bens\d\USR\GELSON\XLS\CONSAPPE\SISNORTE\DER0797N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bens\d\USR\GELSON\XLS\CONSAPPE\SISNORTE\DER0198N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uno\Orcamento\Programa&#231;&#245;es\Ano2000\Final\SP-270\Trecho-3\Rosto-TER-SP-270-T3.xls" TargetMode="External"/></Relationships>
</file>

<file path=xl/externalLinks/_rels/externalLink120.xml.rels><?xml version="1.0" encoding="UTF-8" standalone="yes"?>
<Relationships xmlns="http://schemas.openxmlformats.org/package/2006/relationships"><Relationship Id="rId2" Type="http://schemas.microsoft.com/office/2019/04/relationships/externalLinkLongPath" Target="http://intranet.metodo.com.br/TEMP/Temporary%20Internet%20Files/Content.Outlook/SU3TORDD/EngAplic/Engenharia%20Aplicada/PROPOSTAS/ANDAMENTO/CIEE%20-%20Porto%20Alegre/07%20-%20Planilhas/Custo/Planilha%20Or&#231;_Custo_CIEE_Rev01_em12-04-05_V02.xls?14B59CEF" TargetMode="External"/><Relationship Id="rId1" Type="http://schemas.openxmlformats.org/officeDocument/2006/relationships/externalLinkPath" Target="file:///\\14B59CEF\Planilha%20Or&#231;_Custo_CIEE_Rev01_em12-04-05_V02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TRATO\372-01\SIS\372-01-00-411-001-01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phcosta\Temporary%20Internet%20Files\OLK3D\BSB%20Gerencial_Logo%20Novo_Pymes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Engelog\Controle%20de%20Contratos%20atualizado%20at&#233;%2025.05.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ACOMP.OBRA"/>
      <sheetName val="EXTR.CRON."/>
      <sheetName val="REAJUSTE"/>
      <sheetName val="MEDIÇÃO"/>
      <sheetName val="POS.FÍS."/>
      <sheetName val="GRÁFICO"/>
      <sheetName val="CONT-FAT"/>
      <sheetName val="MUL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ETE(E)"/>
      <sheetName val="SUMMARY"/>
      <sheetName val="DETAILS"/>
      <sheetName val="Sheet 4 "/>
      <sheetName val="TABELAS"/>
      <sheetName val="INSTRUÇÕES"/>
      <sheetName val="INCCTO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"/>
      <sheetName val="OBRA"/>
      <sheetName val="TP_BASE"/>
      <sheetName val="APONT"/>
      <sheetName val="Rel_Serv"/>
      <sheetName val="MEMÓRIA"/>
      <sheetName val="CRONO_FF"/>
      <sheetName val="RESUMO"/>
      <sheetName val="GRÁFICO"/>
      <sheetName val="XAPON"/>
      <sheetName val="ORÇAM"/>
      <sheetName val="AUXILIAR"/>
      <sheetName val="FaixasCr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ódulo4"/>
      <sheetName val="Módulo3"/>
      <sheetName val="Módulo2"/>
      <sheetName val="Módulo1"/>
      <sheetName val="CAPA"/>
      <sheetName val="MEDIÇAO 1"/>
      <sheetName val="CONTRATO"/>
      <sheetName val="PAV"/>
      <sheetName val="5.03"/>
      <sheetName val="5.04"/>
      <sheetName val="5.10"/>
      <sheetName val="5.13"/>
      <sheetName val="5.14"/>
      <sheetName val="5.19"/>
      <sheetName val="5.20pav"/>
      <sheetName val="5.21"/>
      <sheetName val="5.24.1"/>
      <sheetName val="5.25.1"/>
      <sheetName val="5.26"/>
      <sheetName val="5.27"/>
      <sheetName val="5.28"/>
      <sheetName val="5.42"/>
      <sheetName val="5.47p"/>
      <sheetName val="5.67"/>
      <sheetName val="5.78.1"/>
      <sheetName val="5.78.4"/>
      <sheetName val="5.79.1"/>
      <sheetName val="5.79.4"/>
      <sheetName val="5.8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esentação"/>
      <sheetName val="DI"/>
      <sheetName val="Custo"/>
      <sheetName val="Composição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ção Ago"/>
      <sheetName val="Ficha Prod Dia Ago 01"/>
      <sheetName val="Plan1"/>
      <sheetName val="Ficha Prod Dia Set 01"/>
      <sheetName val="Plan2"/>
      <sheetName val="Ficha Prod Dia Out 01"/>
      <sheetName val="Plan3"/>
      <sheetName val="Plan6"/>
      <sheetName val="Plan5"/>
      <sheetName val="Plan4"/>
      <sheetName val="Ficha Prod Dia Nov 01"/>
      <sheetName val="Plan9"/>
      <sheetName val="Plan13"/>
      <sheetName val="Plan12"/>
      <sheetName val="Plan14"/>
      <sheetName val="Ficha Prod Dia Fev 2002"/>
      <sheetName val="Fonte Vias Públicas"/>
      <sheetName val="Ficha Prod Dia Mar 2002"/>
      <sheetName val="Equipe e Carga Diária"/>
      <sheetName val="Ficha Prod Dia Abril 2002"/>
      <sheetName val="Plan8"/>
      <sheetName val="Plan11"/>
      <sheetName val="Ficha Prod Dia Jan 02 2 CONTRAT"/>
      <sheetName val="Plan10"/>
      <sheetName val="Ficha Prod Dia Jan 02"/>
      <sheetName val="Ficha Prod Dia Dez 01"/>
      <sheetName val="Plan7"/>
      <sheetName val="CAMINHÕES"/>
      <sheetName val="Medições"/>
      <sheetName val="Cronogra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"/>
      <sheetName val="Tabela 31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RJUL99)"/>
      <sheetName val="OBRJUL98"/>
      <sheetName val="OBRJU95"/>
      <sheetName val="INCCTOT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ágina Inicial"/>
      <sheetName val="Tabela"/>
      <sheetName val="Preços_BSTC"/>
      <sheetName val="Notas Técnicas"/>
      <sheetName val="Página_Inicial"/>
      <sheetName val="Notas_Técnicas"/>
    </sheetNames>
    <sheetDataSet>
      <sheetData sheetId="0"/>
      <sheetData sheetId="1" refreshError="1"/>
      <sheetData sheetId="2" refreshError="1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-JUL-05"/>
      <sheetName val="SALDO_A_EXEC(R$)"/>
      <sheetName val="SALDO_A_EXEC(INCC)"/>
      <sheetName val="EVCO-JUL-05"/>
      <sheetName val="ORIGINAL"/>
      <sheetName val="Plan3"/>
      <sheetName val="Plan4"/>
      <sheetName val="Curvas"/>
      <sheetName val="INPUT"/>
      <sheetName val="Contr_Global"/>
      <sheetName val="Índice"/>
      <sheetName val="TabsAux"/>
      <sheetName val="Planilha_projeção"/>
      <sheetName val="MDO_Própria"/>
      <sheetName val="1.Composição salarial"/>
      <sheetName val="D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"/>
      <sheetName val="Investimentos"/>
      <sheetName val="Receitas"/>
      <sheetName val="MP+Insumos"/>
      <sheetName val="Diversas"/>
      <sheetName val="Energia"/>
      <sheetName val="MOD+MOI"/>
      <sheetName val="Impostos"/>
      <sheetName val="CustoAnual"/>
      <sheetName val="DepManSeg"/>
      <sheetName val="CapGiro"/>
      <sheetName val="JR+AMORT."/>
      <sheetName val="BNDES"/>
      <sheetName val="FUNRES"/>
      <sheetName val="Projeção"/>
      <sheetName val="FluxoCaixa"/>
      <sheetName val="TIR"/>
      <sheetName val="Indicadores"/>
      <sheetName val="Ind_Econ"/>
      <sheetName val="Ev_FluxoCaixa"/>
      <sheetName val="Quadro de Usos e Fontes"/>
      <sheetName val="Dados"/>
      <sheetName val="Cálculo"/>
      <sheetName val="Dias da Semana"/>
      <sheetName val="Vencimentos"/>
      <sheetName val="URTJLP"/>
      <sheetName val="Contrato 1098 - Banespa"/>
      <sheetName val="Contrato 1570 - Banespa"/>
      <sheetName val="Contrato 4766 - Banespa"/>
      <sheetName val="Contrato P803 P - Sudameris"/>
      <sheetName val="Contrato 5599 - Sudameris"/>
      <sheetName val="Contrato 970.405.901_00 - Itaú"/>
      <sheetName val="Contrato 40236-2 - BCN"/>
      <sheetName val="Contrato Gerador"/>
      <sheetName val="Simulação - Máquina FRO - Uniba"/>
      <sheetName val="Contrato Capital Giro"/>
      <sheetName val="Parcelamento INSS"/>
      <sheetName val="Parcelamento ICMS"/>
      <sheetName val="BNDES - Solesa"/>
      <sheetName val="Analítico"/>
      <sheetName val="Sintético"/>
      <sheetName val="MP_Insum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esentação"/>
      <sheetName val="DI"/>
      <sheetName val="Custo"/>
      <sheetName val="Composição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-JUL-05"/>
      <sheetName val="SALDO_A_EXEC(R$)"/>
      <sheetName val="SALDO_A_EXEC(INCC)"/>
      <sheetName val="EVCO-JUL-05"/>
      <sheetName val="ORIGINAL"/>
      <sheetName val="Plan3"/>
      <sheetName val="Plan4"/>
      <sheetName val="Curvas"/>
      <sheetName val="INPUT"/>
      <sheetName val="Contr_Global"/>
      <sheetName val="Índice"/>
      <sheetName val="TabsAux"/>
      <sheetName val="Planilha_projeção"/>
      <sheetName val="MDO_Próp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ExecuçServiços"/>
      <sheetName val="Quadro de Quant"/>
      <sheetName val="ORÇLote28 "/>
      <sheetName val="ResBR101"/>
      <sheetName val="Gráfico2"/>
      <sheetName val="RESUMO Lote28"/>
      <sheetName val="RESUMO Lote36"/>
      <sheetName val="orcID nº1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0"/>
      <sheetName val="orc ID nº11"/>
      <sheetName val="orc ID nº12"/>
      <sheetName val="orc ID nº13"/>
      <sheetName val="orc ID nº 14"/>
      <sheetName val="orc ID nº 15"/>
      <sheetName val="orc ID nº16"/>
      <sheetName val="orc ID nº17"/>
      <sheetName val="orc ID nº 18"/>
      <sheetName val="orc ID nº19"/>
      <sheetName val="orc ID nº20"/>
      <sheetName val="orc ID Lote 36"/>
      <sheetName val="Orç Compar Viaduto 1"/>
      <sheetName val="Orç Compar Ater Estac1736"/>
      <sheetName val="orçmin nº22 (paralelo aterro)"/>
      <sheetName val="orçmin nº23 (paralelo viaduto)"/>
      <sheetName val="orçmin nº24 (contorno aterro)"/>
      <sheetName val="Resumo Orç22+23+24"/>
      <sheetName val="orçmin nº21 Meio Ambiente"/>
      <sheetName val="orçmin nº21 Meio Ambiente IME"/>
      <sheetName val="orçmin (17)AC VIA SECUND"/>
      <sheetName val="orçmin (18) abrigo de passag"/>
      <sheetName val="quantitativos e custos"/>
      <sheetName val="1CDExecServiços"/>
      <sheetName val="2ProduçMateriais"/>
      <sheetName val="3ConcretoeArgam."/>
      <sheetName val="14ConsiderGerais"/>
      <sheetName val="4Transporte"/>
      <sheetName val="5Equipamentos"/>
      <sheetName val="6Mão-de-obra"/>
      <sheetName val="7Materiais"/>
      <sheetName val="8Formas"/>
      <sheetName val="9Composição C.Unitários"/>
      <sheetName val="10ConsumoMat.Concretos"/>
      <sheetName val="11ConsumoMatServton"/>
      <sheetName val="12ConsMatServPaviment"/>
      <sheetName val="13ConsMatServComplem"/>
      <sheetName val="15Projetos"/>
      <sheetName val="16DMT"/>
      <sheetName val="17Composição(MOD)"/>
      <sheetName val="09.517.01"/>
      <sheetName val="09.517.02"/>
      <sheetName val="09.517.03"/>
      <sheetName val="09.517.04"/>
      <sheetName val="09.517.05"/>
      <sheetName val="09.519.01"/>
      <sheetName val="09.601.00"/>
      <sheetName val="09.601.01"/>
      <sheetName val="09.601.02"/>
      <sheetName val="09.999.01"/>
      <sheetName val="09.601.04"/>
      <sheetName val="02.100.00"/>
      <sheetName val="02.230.00"/>
      <sheetName val="02.300.00"/>
      <sheetName val="02.400.00"/>
      <sheetName val="02.530.00"/>
      <sheetName val="02.540.01"/>
      <sheetName val="P 02.540.01"/>
      <sheetName val="P 02.560.01"/>
      <sheetName val="02.999.03"/>
      <sheetName val="02.999.05"/>
      <sheetName val="02.999.06"/>
      <sheetName val="P 02.999.07"/>
      <sheetName val="P 02.999.08"/>
      <sheetName val="P 02.250.01"/>
      <sheetName val="P 02.250.00"/>
      <sheetName val="DER53130"/>
      <sheetName val="MACHIDRAULICO"/>
      <sheetName val="P 02.530.01"/>
      <sheetName val="03.119.01"/>
      <sheetName val="03.300.01"/>
      <sheetName val="03.310.01"/>
      <sheetName val="03.310.02"/>
      <sheetName val="03.310.03"/>
      <sheetName val="03.310.04"/>
      <sheetName val="03.321.00"/>
      <sheetName val="03.321.01"/>
      <sheetName val="03.322.00"/>
      <sheetName val="03.323.00"/>
      <sheetName val="03.323.01"/>
      <sheetName val="03.324.00"/>
      <sheetName val="03.325.00"/>
      <sheetName val="03.326.00"/>
      <sheetName val="03.327.00"/>
      <sheetName val="P 03.327.01"/>
      <sheetName val="03.328.00"/>
      <sheetName val="03.328.01"/>
      <sheetName val="03.329.01"/>
      <sheetName val="03.329.02"/>
      <sheetName val="03.329.03"/>
      <sheetName val="03.329.04"/>
      <sheetName val="03.330.00"/>
      <sheetName val="03.340.00"/>
      <sheetName val="03.341.00"/>
      <sheetName val="03.353.00"/>
      <sheetName val="03.354.00"/>
      <sheetName val="03.359.01"/>
      <sheetName val="03.370.00"/>
      <sheetName val="03.371.00"/>
      <sheetName val="03.371.01"/>
      <sheetName val="03.371.02"/>
      <sheetName val="04.999.07"/>
      <sheetName val="05.100.00"/>
      <sheetName val="05.102.00"/>
      <sheetName val="05.300.01"/>
      <sheetName val="05.300.02"/>
      <sheetName val="DER 45340"/>
      <sheetName val="05.301.00"/>
      <sheetName val="05.301.01"/>
      <sheetName val="06.210.01"/>
      <sheetName val="06.400.01"/>
      <sheetName val="DER80050"/>
      <sheetName val="06.410.00"/>
      <sheetName val="9000030"/>
      <sheetName val="9000031"/>
      <sheetName val="P02.999.10"/>
      <sheetName val="P 04.100.06"/>
      <sheetName val="P 04.100.07"/>
      <sheetName val="P 04.100.08"/>
      <sheetName val="P 04.100.08a"/>
      <sheetName val="P 04.100.09"/>
      <sheetName val="P 04.100.10"/>
      <sheetName val="P 04.100.11"/>
      <sheetName val="P 04.100.12"/>
      <sheetName val="P 04.100.13"/>
      <sheetName val="P 04.100.19"/>
      <sheetName val="P 04.100.20"/>
      <sheetName val="P 04.100.21"/>
      <sheetName val="P 04.100.22"/>
      <sheetName val="P 04.100.23"/>
      <sheetName val="P 04.100.24"/>
      <sheetName val="P 04.100.40"/>
      <sheetName val="DER92196"/>
      <sheetName val="P 10.000.05"/>
      <sheetName val="P 10.000.06"/>
      <sheetName val="P 10.000.07"/>
      <sheetName val="P 10.000.08"/>
      <sheetName val="03.993.02"/>
      <sheetName val="P 03.993.02a"/>
      <sheetName val="P 03.993.02b"/>
      <sheetName val="03.412.01"/>
      <sheetName val="03.412.02"/>
      <sheetName val="03.412.03"/>
      <sheetName val="DER53460a"/>
      <sheetName val="DER90150"/>
      <sheetName val="DER90160"/>
      <sheetName val="DER90170"/>
      <sheetName val="DER90180"/>
      <sheetName val="DER51225"/>
      <sheetName val="DER51235"/>
      <sheetName val="DER51250"/>
      <sheetName val="DER51260"/>
      <sheetName val="DER51270"/>
      <sheetName val="DER51280"/>
      <sheetName val="DER51290"/>
      <sheetName val="DER51300"/>
      <sheetName val="DER51310"/>
      <sheetName val="DER51320"/>
      <sheetName val="DER51330"/>
      <sheetName val="DER51340"/>
      <sheetName val="DER51350"/>
      <sheetName val="DER51360"/>
      <sheetName val="DER45000"/>
      <sheetName val="DER52020a"/>
      <sheetName val="DER52020b"/>
      <sheetName val="0499901a"/>
      <sheetName val="03.991.02"/>
      <sheetName val="Plan18"/>
      <sheetName val="P 0д.100.11"/>
      <sheetName val="Quadro_de_Quant"/>
      <sheetName val="ORÇLote28_"/>
      <sheetName val="RESUMO_Lote28"/>
      <sheetName val="RESUMO_Lote36"/>
      <sheetName val="orcID_nº1"/>
      <sheetName val="orc_ID_nº2_"/>
      <sheetName val="orc_ID_nº3"/>
      <sheetName val="orcID_nº4"/>
      <sheetName val="orcID_nº5"/>
      <sheetName val="orcID_nº6"/>
      <sheetName val="orcID_nº7"/>
      <sheetName val="orc_ID_nº8"/>
      <sheetName val="orc_ID_nº9"/>
      <sheetName val="orc_ID_nº10"/>
      <sheetName val="orc_ID_nº11"/>
      <sheetName val="orc_ID_nº12"/>
      <sheetName val="orc_ID_nº13"/>
      <sheetName val="orc_ID_nº_14"/>
      <sheetName val="orc_ID_nº_15"/>
      <sheetName val="orc_ID_nº16"/>
      <sheetName val="orc_ID_nº17"/>
      <sheetName val="orc_ID_nº_18"/>
      <sheetName val="orc_ID_nº19"/>
      <sheetName val="orc_ID_nº20"/>
      <sheetName val="orc_ID_Lote_36"/>
      <sheetName val="Orç_Compar_Viaduto_1"/>
      <sheetName val="Orç_Compar_Ater_Estac1736"/>
      <sheetName val="orçmin_nº22_(paralelo_aterro)"/>
      <sheetName val="orçmin_nº23_(paralelo_viaduto)"/>
      <sheetName val="orçmin_nº24_(contorno_aterro)"/>
      <sheetName val="Resumo_Orç22+23+24"/>
      <sheetName val="orçmin_nº21_Meio_Ambiente"/>
      <sheetName val="orçmin_nº21_Meio_Ambiente_IME"/>
      <sheetName val="orçmin_(17)AC_VIA_SECUND"/>
      <sheetName val="orçmin_(18)_abrigo_de_passag"/>
      <sheetName val="quantitativos_e_custos"/>
      <sheetName val="3ConcretoeArgam_"/>
      <sheetName val="9Composição_C_Unitários"/>
      <sheetName val="10ConsumoMat_Concretos"/>
      <sheetName val="09_517_01"/>
      <sheetName val="09_517_02"/>
      <sheetName val="09_517_03"/>
      <sheetName val="09_517_04"/>
      <sheetName val="09_517_05"/>
      <sheetName val="09_519_01"/>
      <sheetName val="09_601_00"/>
      <sheetName val="09_601_01"/>
      <sheetName val="09_601_02"/>
      <sheetName val="09_999_01"/>
      <sheetName val="09_601_04"/>
      <sheetName val="02_100_00"/>
      <sheetName val="02_230_00"/>
      <sheetName val="02_300_00"/>
      <sheetName val="02_400_00"/>
      <sheetName val="02_530_00"/>
      <sheetName val="02_540_01"/>
      <sheetName val="P_02_540_01"/>
      <sheetName val="P_02_560_01"/>
      <sheetName val="02_999_03"/>
      <sheetName val="02_999_05"/>
      <sheetName val="02_999_06"/>
      <sheetName val="P_02_999_07"/>
      <sheetName val="P_02_999_08"/>
      <sheetName val="P_02_250_01"/>
      <sheetName val="P_02_250_00"/>
      <sheetName val="P_02_530_01"/>
      <sheetName val="03_119_01"/>
      <sheetName val="03_300_01"/>
      <sheetName val="03_310_01"/>
      <sheetName val="03_310_02"/>
      <sheetName val="03_310_03"/>
      <sheetName val="03_310_04"/>
      <sheetName val="03_321_00"/>
      <sheetName val="03_321_01"/>
      <sheetName val="03_322_00"/>
      <sheetName val="03_323_00"/>
      <sheetName val="03_323_01"/>
      <sheetName val="03_324_00"/>
      <sheetName val="03_325_00"/>
      <sheetName val="03_326_00"/>
      <sheetName val="03_327_00"/>
      <sheetName val="P_03_327_01"/>
      <sheetName val="03_328_00"/>
      <sheetName val="03_328_01"/>
      <sheetName val="03_329_01"/>
      <sheetName val="03_329_02"/>
      <sheetName val="03_329_03"/>
      <sheetName val="03_329_04"/>
      <sheetName val="03_330_00"/>
      <sheetName val="03_340_00"/>
      <sheetName val="03_341_00"/>
      <sheetName val="03_353_00"/>
      <sheetName val="03_354_00"/>
      <sheetName val="03_359_01"/>
      <sheetName val="03_370_00"/>
      <sheetName val="03_371_00"/>
      <sheetName val="03_371_01"/>
      <sheetName val="03_371_02"/>
      <sheetName val="04_999_07"/>
      <sheetName val="05_100_00"/>
      <sheetName val="05_102_00"/>
      <sheetName val="05_300_01"/>
      <sheetName val="05_300_02"/>
      <sheetName val="DER_45340"/>
      <sheetName val="05_301_00"/>
      <sheetName val="05_301_01"/>
      <sheetName val="06_210_01"/>
      <sheetName val="06_400_01"/>
      <sheetName val="06_410_00"/>
      <sheetName val="P02_999_10"/>
      <sheetName val="P_04_100_06"/>
      <sheetName val="P_04_100_07"/>
      <sheetName val="P_04_100_08"/>
      <sheetName val="P_04_100_08a"/>
      <sheetName val="P_04_100_09"/>
      <sheetName val="P_04_100_10"/>
      <sheetName val="P_04_100_11"/>
      <sheetName val="P_04_100_12"/>
      <sheetName val="P_04_100_13"/>
      <sheetName val="P_04_100_19"/>
      <sheetName val="P_04_100_20"/>
      <sheetName val="P_04_100_21"/>
      <sheetName val="P_04_100_22"/>
      <sheetName val="P_04_100_23"/>
      <sheetName val="P_04_100_24"/>
      <sheetName val="P_04_100_40"/>
      <sheetName val="P_10_000_05"/>
      <sheetName val="P_10_000_06"/>
      <sheetName val="P_10_000_07"/>
      <sheetName val="P_10_000_08"/>
      <sheetName val="03_993_02"/>
      <sheetName val="P_03_993_02a"/>
      <sheetName val="P_03_993_02b"/>
      <sheetName val="03_412_01"/>
      <sheetName val="03_412_02"/>
      <sheetName val="03_412_03"/>
      <sheetName val="03_991_02"/>
      <sheetName val="P_0д_100_11"/>
      <sheetName val="FISICO-FIN. - PMG"/>
      <sheetName val="CUSTO METÁLICO REV. 00"/>
      <sheetName val="C.P.U. completa"/>
      <sheetName val="INSUMOS "/>
      <sheetName val="D. I.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ExecuçServiços"/>
      <sheetName val="PARADA DE ÔNIBUS"/>
      <sheetName val="ACESSO TIPO II"/>
      <sheetName val="Faixas adic."/>
      <sheetName val="RESUMO reordenamento"/>
      <sheetName val="MODELO PARA ORÇAMENTO"/>
      <sheetName val="DER janeiro98"/>
      <sheetName val="PARADA_DE_ÔNIBUS"/>
      <sheetName val="ACESSO_TIPO_II"/>
      <sheetName val="Faixas_adic_"/>
      <sheetName val="RESUMO_reordenamento"/>
      <sheetName val="MODELO_PARA_ORÇAMENTO"/>
      <sheetName val="DER_janeiro98"/>
      <sheetName val="PREÇO REV. 00"/>
      <sheetName val="CUSTO REV. 00"/>
      <sheetName val="C.P.U. completa"/>
      <sheetName val="INSUMOS "/>
      <sheetName val="DESPESAS INDIRETA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Machado"/>
      <sheetName val="JAGUACIRINGA"/>
      <sheetName val="BELARMINO"/>
      <sheetName val="Everton"/>
      <sheetName val="paulino 2"/>
      <sheetName val="calazans"/>
      <sheetName val="medeiros"/>
      <sheetName val="HOMERO"/>
      <sheetName val="laura"/>
      <sheetName val="cruzalia"/>
      <sheetName val="badra"/>
      <sheetName val="paulino03"/>
      <sheetName val="Diana"/>
      <sheetName val="jaguacininga 2"/>
      <sheetName val="jaguacininga 3"/>
      <sheetName val="JAGUACININGA 04"/>
      <sheetName val="JAGUACININGA 05"/>
      <sheetName val="CATAS ALTAS"/>
      <sheetName val="PRAÇA DA CONQUISTA"/>
      <sheetName val="NEBULOSAS 1ª OS"/>
      <sheetName val="NEBULOSAS"/>
      <sheetName val="ANGICOx F. do Douro"/>
      <sheetName val="ANGICOx Vilalobos"/>
      <sheetName val="CARLOS MACHADO (2)"/>
      <sheetName val="Carlos Machado"/>
      <sheetName val="ESCORPIÃO"/>
      <sheetName val="ESCORPIÃO 1ª OS"/>
      <sheetName val="BARTOLOMEU 1ª OS"/>
      <sheetName val="Margarida Tomy"/>
      <sheetName val="Plan6 (2)"/>
      <sheetName val="Tabela 31"/>
      <sheetName val="ANGICO COMPLETA"/>
      <sheetName val="ANG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MED_5"/>
      <sheetName val="REL MED_5"/>
      <sheetName val="Relatório-1ª med."/>
      <sheetName val="DRENA"/>
      <sheetName val="Plan2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REL_MED_5"/>
      <sheetName val="Relatório-1ª_med_"/>
      <sheetName val="ORIGINAL"/>
      <sheetName val="REL_MED_51"/>
      <sheetName val="Relatório-1ª_med_1"/>
      <sheetName val="PREÇO REV. 00"/>
      <sheetName val="CUSTO REV. 00"/>
      <sheetName val="C.P.U. completa"/>
      <sheetName val="INSUMOS "/>
      <sheetName val="DESPESAS INDIRE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QP"/>
      <sheetName val="IMPOSTOS"/>
      <sheetName val="CUSTO METÁLICA"/>
      <sheetName val="TELHA ZIPADA GALVANIZADA B 0,5"/>
      <sheetName val="TELHA TRAP GALVANIZADA B 0,5"/>
      <sheetName val="ARREMATES GALVANIZADO B 0,5"/>
      <sheetName val="CALHA e CX PRESSÃO GALVANIZADO"/>
      <sheetName val="PREÇOS"/>
      <sheetName val="          F I M        "/>
      <sheetName val="ISOLAMENTO"/>
      <sheetName val="TELHA ZIP GALV (COMPARAÇÃO)"/>
      <sheetName val="TELHA TRAP GALVALUME 0,5"/>
      <sheetName val="Domos 45,2cm "/>
      <sheetName val="VENTILADOR TIPO ALA"/>
      <sheetName val="TELHA TRAP GALVANIZADO B 0,65"/>
      <sheetName val="ARREMATES GALVALUME 0,5"/>
      <sheetName val="ARREMATES GALVANIZADO B 0,65"/>
      <sheetName val="Telha zipada Galv B 0,65  (2)"/>
      <sheetName val="Telha zipada galvalume 0,5 pin"/>
      <sheetName val="Domos 90,4cm"/>
      <sheetName val="Telha TRNASLÚCIDA"/>
      <sheetName val="TELHAS TRAP INF MBP ESP 0,5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ordo de Verbas"/>
      <sheetName val="PQP"/>
      <sheetName val="Plan1"/>
      <sheetName val="Plan1 (2)"/>
      <sheetName val="EXTRA JUNDIAÍ"/>
      <sheetName val="RESUMO 3"/>
      <sheetName val="OS"/>
      <sheetName val="094001 - CURVA ICEC"/>
      <sheetName val="K03018 - CURVA MCS"/>
      <sheetName val="L03125 - CURVA SOLE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ório-5ª med."/>
      <sheetName val="RESUMO-DVOP"/>
      <sheetName val="REAJUSTE "/>
      <sheetName val="Rem. e limpeza "/>
      <sheetName val="Cubação - Teórica"/>
      <sheetName val="DMT - TEORICO "/>
      <sheetName val="Cub.-Med 5"/>
      <sheetName val="DMT-5ª MEDIÇÃO "/>
      <sheetName val="Cronograma Físico-Financeiro"/>
      <sheetName val="Cronograma Semanal"/>
      <sheetName val="Bueiros"/>
      <sheetName val="Regula"/>
      <sheetName val="Sub-base"/>
      <sheetName val="Base"/>
      <sheetName val="Imprimação"/>
      <sheetName val="CBUQ"/>
      <sheetName val="Colchão drenante"/>
      <sheetName val="TSS"/>
      <sheetName val="TSD-FOG"/>
      <sheetName val="AGREGADOS"/>
      <sheetName val="Pintura"/>
      <sheetName val="Grama"/>
      <sheetName val="Transporte de brita"/>
      <sheetName val="DRENO"/>
      <sheetName val="DRENO SALDO"/>
      <sheetName val="AÇO CA-50"/>
      <sheetName val="AÇO CA-50 (2)"/>
      <sheetName val="DMT - TEORICO 2"/>
      <sheetName val="Acumulado"/>
      <sheetName val="ORIGINAL"/>
      <sheetName val="Relatório-5ª_med_"/>
      <sheetName val="REAJUSTE_"/>
      <sheetName val="Rem__e_limpeza_"/>
      <sheetName val="Cubação_-_Teórica"/>
      <sheetName val="DMT_-_TEORICO_"/>
      <sheetName val="Cub_-Med_5"/>
      <sheetName val="DMT-5ª_MEDIÇÃO_"/>
      <sheetName val="Cronograma_Físico-Financeiro"/>
      <sheetName val="Cronograma_Semanal"/>
      <sheetName val="Colchão_drenante"/>
      <sheetName val="Transporte_de_brita"/>
      <sheetName val="DRENO_SALDO"/>
      <sheetName val="AÇO_CA-50"/>
      <sheetName val="AÇO_CA-50_(2)"/>
      <sheetName val="DMT_-_TEORICO_2"/>
      <sheetName val="PREÇO REV. 00"/>
      <sheetName val="CUSTO REV. 00"/>
      <sheetName val="C.P.U. completa"/>
      <sheetName val="INSUMOS "/>
      <sheetName val="DESPESAS INDIRE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ágina Inicial"/>
      <sheetName val="Tabela"/>
      <sheetName val="Preços_BSTC"/>
      <sheetName val="Notas Técnicas"/>
      <sheetName val="Reaproveitamento_de_formas"/>
      <sheetName val="Regula"/>
      <sheetName val="Base"/>
      <sheetName val="Sub-base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QP Op1"/>
      <sheetName val="PQP Op2"/>
      <sheetName val="Plan1"/>
      <sheetName val="PREÇOS"/>
      <sheetName val="TELHA SANDUICHE"/>
      <sheetName val="ARREMATES BR GALPAO "/>
      <sheetName val="IMPOSTOS"/>
      <sheetName val="CUSTO MET Opç1"/>
      <sheetName val="CUSTO MET Opç2"/>
      <sheetName val="CUSTO MET P2"/>
      <sheetName val="VENDA ICEC"/>
      <sheetName val="CRONOGRAMA EQUIPAMENTOS COB"/>
      <sheetName val="INFRA"/>
      <sheetName val="Acordo de Verbas"/>
      <sheetName val="TELHA  TRAPEZOIDAL"/>
      <sheetName val="xxxxxxxxxxxx_F I M_xxxxxxxxxxxx"/>
      <sheetName val="ARREMATES branco bege MARQUISES"/>
      <sheetName val="ARREMATESlateral face"/>
      <sheetName val="CONDUTORES AGUA PLUVIAL"/>
      <sheetName val="DOMOS 55 CM simples"/>
      <sheetName val="Domos 90,4cm simples"/>
      <sheetName val="Domos 90,4cm DUPLO"/>
      <sheetName val="ISOLAMENTO"/>
      <sheetName val="TELHA ZIPADA"/>
      <sheetName val="TELHA ZIPADA via solesa"/>
      <sheetName val="VENTILADOR TIPO ALA"/>
      <sheetName val="CRONOGRAMA MOD"/>
      <sheetName val="CRONOGRAMA MOI"/>
      <sheetName val="CONSULTA ISSQN e F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QP"/>
      <sheetName val="RESUMO (2)"/>
      <sheetName val="IMPOSTOS"/>
      <sheetName val="PREÇOS"/>
      <sheetName val="CUSTO METÁLICA Salão e Dep"/>
      <sheetName val="CUSTO METÁLICA Marq e Docas"/>
      <sheetName val="PQPU"/>
      <sheetName val="TELHA ZIPADA"/>
      <sheetName val="TELHA  TRAPEZOIDAL"/>
      <sheetName val="VENTILADOR TIPO ALA"/>
      <sheetName val="ISOLAMENTO"/>
      <sheetName val="CALHAS_ ARREM NAT salão vendas"/>
      <sheetName val="CALHAS_ ARREM P1F salão vendas"/>
      <sheetName val="CALHAS_ ARREMATES MARQUISE"/>
      <sheetName val="CALHAS_ ARREMATES DEPÓSITO"/>
      <sheetName val="CALHAS_ ARREMATES DOCAS"/>
      <sheetName val="CRONOGRAMA EQUIPAMENTOS COB"/>
      <sheetName val="INFRA"/>
      <sheetName val="Acordo de Verbas"/>
      <sheetName val="Levant"/>
      <sheetName val="_             F I M            "/>
      <sheetName val="DOMOS 55 CM"/>
      <sheetName val="DOMOS 90_4 CM"/>
      <sheetName val="TELHA ZIPADA V. Solesa"/>
      <sheetName val="CRONOGRAMA MOD"/>
      <sheetName val="CRONOGRAMA MOI"/>
      <sheetName val="CONSULTA ISSQN e F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Vínculos"/>
      <sheetName val="#REF"/>
      <sheetName val="Cadastro"/>
      <sheetName val="Tab Mix"/>
      <sheetName val="Tab Negociação"/>
      <sheetName val="Tab Comercial"/>
      <sheetName val="Resultado do mês - Comentado"/>
      <sheetName val="TX. GERENC - 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isição de Suprimentos"/>
      <sheetName val="Cotação de Materiais"/>
      <sheetName val="RS"/>
      <sheetName val="Protocolos de Fornecimento"/>
    </sheetNames>
    <sheetDataSet>
      <sheetData sheetId="0"/>
      <sheetData sheetId="1"/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HIST.CONTRATO"/>
      <sheetName val="Med(1)"/>
      <sheetName val="Med(2)"/>
      <sheetName val="Med(3)"/>
      <sheetName val="Med(X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"/>
      <sheetName val="Orçamento Modular DEEE"/>
      <sheetName val="2022 LT Sta Rosa - Horizontina"/>
      <sheetName val="2022 LT M Baldo - Três Passos"/>
      <sheetName val="2022 Três de Maio"/>
      <sheetName val="2021 - SE Cerro Largo"/>
      <sheetName val="2021 LT Guarita-Campo Novo"/>
      <sheetName val="2020 - SE São Luiz Gonzaga"/>
      <sheetName val="2019 LT Guarita-M.Baldo"/>
      <sheetName val="2019 SE Erechim 3 "/>
      <sheetName val="2019 SE SANTO AUGUSTO"/>
      <sheetName val="2019 - SE Santo Ângelo 1"/>
      <sheetName val="2018 SE Sarandi 138@69"/>
      <sheetName val="2018 - SE Eugênio de Castro"/>
      <sheetName val="2017 SE Sananduva 138@69"/>
      <sheetName val="2017 SE Getúlio Vargas"/>
      <sheetName val="2017 - SE Barracão"/>
      <sheetName val="2017 - RC013 Santo Cristo "/>
      <sheetName val="2016 LT Santa Marta - Marau"/>
      <sheetName val="2016 - SE Marau Módulos de AL"/>
      <sheetName val="2015 RC032 SE Julio de Cast."/>
      <sheetName val="2015 - RC030 - SE Erechim 4"/>
      <sheetName val="2015 - RC031 - SE Cruz Alta 2"/>
      <sheetName val="2015 LT Campo Novo - Ceriluz"/>
      <sheetName val="RC034 2015 SE Frederico 2 "/>
      <sheetName val="2015 RC033 SE Constantina"/>
      <sheetName val="2015 - RC028 - SE Passo Fundo 3"/>
      <sheetName val="2015 - RC027 -TAPEJARA 2"/>
      <sheetName val="2014 RC029 Palmeira da Missões"/>
      <sheetName val="Compensação Reativa"/>
      <sheetName val="Desembolso"/>
      <sheetName val="Plano de obras"/>
      <sheetName val="Modelo"/>
      <sheetName val="2017 - RC033 Santo Cristo "/>
      <sheetName val="2015 RC035 LT Cpo Novo - Crluz"/>
      <sheetName val="2013 RC036  - AL IBR12"/>
      <sheetName val="RGE CENTRO"/>
      <sheetName val="Resumo"/>
      <sheetName val="BASES"/>
      <sheetName val="BASE IMÓVEIS E INFOS"/>
      <sheetName val="DRIVERS"/>
      <sheetName val="SIGLAS ÁREAS"/>
      <sheetName val="dados"/>
      <sheetName val="BASE IMÓVE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"/>
      <sheetName val="SER. PREL."/>
      <sheetName val="BL1"/>
      <sheetName val="BL2"/>
      <sheetName val="BL3-4"/>
      <sheetName val="BL5"/>
      <sheetName val="BL6"/>
      <sheetName val="BL7"/>
      <sheetName val="BL8"/>
      <sheetName val="PORTARIA"/>
      <sheetName val="SUBEST."/>
      <sheetName val="MURO DE ARRIMO"/>
      <sheetName val="DRENAGEM"/>
      <sheetName val="PAVIMENTAÇÃO"/>
      <sheetName val="PAISAGISMO"/>
      <sheetName val="SERV. COMP."/>
      <sheetName val="ADM LOC"/>
      <sheetName val="VALOR POR ETA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"/>
      <sheetName val="PQP-MCS"/>
      <sheetName val="Preços"/>
      <sheetName val="Levantam"/>
      <sheetName val="Impostos"/>
      <sheetName val="TABELA"/>
      <sheetName val="Dômus S Telha Poli_904"/>
      <sheetName val="Telha Trap."/>
      <sheetName val="Telha Zip-0,5mm Aço Galv"/>
      <sheetName val="Arremates"/>
      <sheetName val="CM3"/>
      <sheetName val="TOTAL"/>
      <sheetName val="VENT-1"/>
      <sheetName val="VENT-2"/>
      <sheetName val="Telha Zip-0,65mm"/>
      <sheetName val="Isolamento"/>
      <sheetName val="CALHA 600 N"/>
      <sheetName val="CALHA 1200 N"/>
      <sheetName val="Calha Alumínio"/>
      <sheetName val="LM ESCADA MARINHEIRO"/>
      <sheetName val="INFRA"/>
      <sheetName val="Acordo de Verbas"/>
      <sheetName val="PERFIS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c"/>
      <sheetName val="Orçamento com preço"/>
      <sheetName val="Orçamento construbase"/>
      <sheetName val="insumos"/>
      <sheetName val="composições"/>
      <sheetName val="di"/>
      <sheetName val="cronograma"/>
      <sheetName val="di (2)"/>
      <sheetName val="composições (2)"/>
      <sheetName val="insumos (2)"/>
      <sheetName val="Orçamento_com_preço"/>
      <sheetName val="Orçamento_construbase"/>
      <sheetName val="di_(2)"/>
      <sheetName val="composições_(2)"/>
      <sheetName val="insumos_(2)"/>
      <sheetName val="Painel_Contr"/>
      <sheetName val="TabsAux"/>
      <sheetName val="Contr_Glob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ço com composição do DNER"/>
      <sheetName val="Composição do  DNER"/>
      <sheetName val="Serviços Novos"/>
      <sheetName val="Composição Nova"/>
      <sheetName val="DMT Lote 22 e Lote 31"/>
      <sheetName val="Preços de equipamentos"/>
      <sheetName val="Preços de Mão-de-obra"/>
      <sheetName val="Preços de Materiais"/>
      <sheetName val="Reaproveitamento_de_formas"/>
      <sheetName val="custos-l31"/>
      <sheetName val="#REF"/>
      <sheetName val="Serviço_com_composição_do_DNER"/>
      <sheetName val="Composição_do__DNER"/>
      <sheetName val="Serviços_Novos"/>
      <sheetName val="Composição_Nova"/>
      <sheetName val="DMT_Lote_22_e_Lote_31"/>
      <sheetName val="Preços_de_equipamentos"/>
      <sheetName val="Preços_de_Mão-de-obra"/>
      <sheetName val="Preços_de_Materia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ai03"/>
      <sheetName val="BEC0403"/>
      <sheetName val="Bso0503"/>
      <sheetName val="Ins0503_especif.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namica"/>
      <sheetName val="Resumo"/>
      <sheetName val="Real2016 (F)"/>
      <sheetName val="Orçado2016 (F)"/>
      <sheetName val="Orçado"/>
      <sheetName val="Real"/>
      <sheetName val="Variações"/>
      <sheetName val="Dados"/>
      <sheetName val="Princ vars D1-D2"/>
      <sheetName val="Princ vars D3-D7"/>
      <sheetName val="Princ vars D8 e demais"/>
      <sheetName val="base_cron_frota"/>
      <sheetName val="gráficos_frota"/>
      <sheetName val="check"/>
      <sheetName val="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LT 4 E 5 "/>
      <sheetName val="Planilha LT 4 E 5 "/>
      <sheetName val="CURVA"/>
      <sheetName val="CPU LT4"/>
      <sheetName val="CPU LT5"/>
      <sheetName val="BANCO DE INSUMOS GERAL"/>
      <sheetName val="INCC"/>
      <sheetName val="BANCO DE INSUMOS"/>
      <sheetName val="CPU ind."/>
      <sheetName val="HISTOGRAMA"/>
      <sheetName val="CANTEIRO"/>
      <sheetName val="Reduções"/>
      <sheetName val="Altera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Diversos"/>
      <sheetName val="Loucas e tampos"/>
      <sheetName val="Acabamentos Internos"/>
      <sheetName val="Impermeabilização"/>
      <sheetName val="Alvenarias"/>
      <sheetName val="Esquadrias Aço"/>
      <sheetName val="Esquadrias PVC"/>
      <sheetName val="Esquadrias Madeira"/>
      <sheetName val="Moveis"/>
      <sheetName val="ESTACAS"/>
      <sheetName val="SOLO GRAMPEADO"/>
      <sheetName val="BLOCOS"/>
      <sheetName val="VIGAS BALDRAMES"/>
      <sheetName val="PAREDES"/>
      <sheetName val="LAJES SOBRE SOLO"/>
      <sheetName val=" VIGAS"/>
      <sheetName val="LAJE"/>
      <sheetName val="PILARES"/>
      <sheetName val="ARMAÇÃO"/>
      <sheetName val="Fachada"/>
      <sheetName val="Cobertu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.DAN-HEBERT"/>
      <sheetName val="CPUorig"/>
      <sheetName val="Orç.DAN-HEBERT ANTT"/>
      <sheetName val="CPU ANTT"/>
      <sheetName val="V-Graça rev"/>
      <sheetName val="CPU01AR"/>
      <sheetName val="CPU02AR"/>
      <sheetName val="CPU03AR"/>
      <sheetName val="CPU04AR"/>
      <sheetName val="CPU05AR"/>
      <sheetName val="CPU06AR"/>
      <sheetName val="CPU07AR"/>
      <sheetName val="CPU08AR"/>
      <sheetName val="CPU09AR"/>
      <sheetName val="CPU10AR"/>
      <sheetName val="CPU11AR"/>
      <sheetName val="CPU12AR"/>
      <sheetName val="CPU13AR"/>
      <sheetName val="CPU14AR"/>
      <sheetName val="CPU01"/>
      <sheetName val="CPU02"/>
      <sheetName val="CPU03"/>
      <sheetName val="CPU04"/>
      <sheetName val="CPU05"/>
      <sheetName val="CPU06"/>
      <sheetName val="CPU07"/>
      <sheetName val="CPU08"/>
      <sheetName val="CPU09"/>
      <sheetName val="CPU10"/>
      <sheetName val="CPU11"/>
      <sheetName val="CPU12"/>
      <sheetName val="CPU13"/>
      <sheetName val="CPU14"/>
      <sheetName val="CPU15"/>
      <sheetName val="CPU16"/>
      <sheetName val="CPU17"/>
      <sheetName val="CPU18"/>
      <sheetName val="CPU19"/>
      <sheetName val="CPU20"/>
      <sheetName val="CPU21"/>
      <sheetName val="CPU22"/>
      <sheetName val="CPU23"/>
      <sheetName val="CPU24"/>
      <sheetName val="CPU25"/>
      <sheetName val="CPU26"/>
      <sheetName val="CPU27"/>
      <sheetName val="CPU28"/>
      <sheetName val="CPU29"/>
      <sheetName val="CPU30"/>
      <sheetName val="CPU31"/>
      <sheetName val="CPU32"/>
      <sheetName val="CPU33"/>
      <sheetName val="CPU34"/>
      <sheetName val="CPU35"/>
      <sheetName val="CPU36"/>
      <sheetName val="CPU37"/>
      <sheetName val="CPU38"/>
      <sheetName val="CPU39"/>
      <sheetName val="CPU40"/>
      <sheetName val="CPU41"/>
      <sheetName val="CPU42"/>
      <sheetName val="CPU43"/>
      <sheetName val="CPU44"/>
      <sheetName val="CPU45"/>
      <sheetName val="CPU46"/>
      <sheetName val="CPU47"/>
      <sheetName val="CPU48"/>
      <sheetName val="CPU49"/>
      <sheetName val="CPU50"/>
      <sheetName val="CPU51"/>
      <sheetName val="CPU52"/>
      <sheetName val="CPU53"/>
      <sheetName val="CPU54"/>
      <sheetName val="CPU55"/>
      <sheetName val="CPU56"/>
      <sheetName val="CPU57"/>
      <sheetName val="CPU58"/>
      <sheetName val="CPU59"/>
      <sheetName val="CPU60"/>
      <sheetName val="CPU61"/>
      <sheetName val="CPU62"/>
      <sheetName val="CPU63"/>
      <sheetName val="CPU64"/>
      <sheetName val="CPU lum"/>
      <sheetName val="CPU lum (2)"/>
      <sheetName val="V-Graça"/>
      <sheetName val="Orç_DAN-HEBERT"/>
      <sheetName val="Orç_DAN-HEBERT_ANTT"/>
      <sheetName val="CPU_ANTT"/>
      <sheetName val="V-Graça_rev"/>
      <sheetName val="CPU_lum"/>
      <sheetName val="CPU_lum_(2)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itica"/>
      <sheetName val="Totais (Base)"/>
      <sheetName val="Totais (ABC)"/>
      <sheetName val="Faturamento"/>
      <sheetName val="Seguros"/>
      <sheetName val="BDI Etapa"/>
      <sheetName val="APOIO Impostos"/>
      <sheetName val="Tabela para análise de BDI"/>
      <sheetName val="MDO Civil"/>
      <sheetName val="LPU- GERAL"/>
      <sheetName val="Pessoal Permanente"/>
      <sheetName val="Salários Horistas"/>
      <sheetName val="Encargos Social + Impostos"/>
    </sheetNames>
    <sheetDataSet>
      <sheetData sheetId="0">
        <row r="3">
          <cell r="U3" t="str">
            <v>CIVIL</v>
          </cell>
          <cell r="V3">
            <v>1.3887229862475441</v>
          </cell>
        </row>
        <row r="4">
          <cell r="U4" t="str">
            <v>STEEL - AÇO</v>
          </cell>
          <cell r="V4">
            <v>1.5042829076620825</v>
          </cell>
        </row>
        <row r="5">
          <cell r="U5" t="str">
            <v>STEEL- PLAC/ASS</v>
          </cell>
          <cell r="V5">
            <v>1.5042829076620825</v>
          </cell>
        </row>
        <row r="6">
          <cell r="U6" t="str">
            <v>INSTALAÇÕES</v>
          </cell>
          <cell r="V6">
            <v>1.5042829076620825</v>
          </cell>
        </row>
        <row r="7">
          <cell r="U7" t="str">
            <v>ACABAMENTOS</v>
          </cell>
          <cell r="V7">
            <v>1.5042829076620827</v>
          </cell>
        </row>
        <row r="8">
          <cell r="U8" t="str">
            <v>EQUIPE TÉCNICA</v>
          </cell>
          <cell r="V8">
            <v>1.5042829076620825</v>
          </cell>
        </row>
        <row r="11">
          <cell r="L11">
            <v>6</v>
          </cell>
        </row>
      </sheetData>
      <sheetData sheetId="1"/>
      <sheetData sheetId="2"/>
      <sheetData sheetId="3"/>
      <sheetData sheetId="4"/>
      <sheetData sheetId="5">
        <row r="1">
          <cell r="D1" t="str">
            <v>FAT DIRETO</v>
          </cell>
          <cell r="E1" t="str">
            <v>FAT INDIRETO</v>
          </cell>
          <cell r="F1" t="str">
            <v>FAT INDIRETO</v>
          </cell>
          <cell r="G1" t="str">
            <v>FAT INDIRETO</v>
          </cell>
          <cell r="H1" t="str">
            <v>FAT INDIRETO</v>
          </cell>
          <cell r="I1" t="str">
            <v>FAT INDIRETO</v>
          </cell>
        </row>
        <row r="2">
          <cell r="D2" t="str">
            <v>CIVIL</v>
          </cell>
          <cell r="E2" t="str">
            <v>STEEL - AÇO</v>
          </cell>
          <cell r="F2" t="str">
            <v>STEEL- PLAC/ASS</v>
          </cell>
          <cell r="G2" t="str">
            <v>INSTALAÇÕES</v>
          </cell>
          <cell r="H2" t="str">
            <v>ACABAMENTOS</v>
          </cell>
          <cell r="I2" t="str">
            <v>EQUIPE TÉCNICA</v>
          </cell>
        </row>
        <row r="4">
          <cell r="D4">
            <v>2847402.4100893908</v>
          </cell>
          <cell r="E4">
            <v>2750</v>
          </cell>
          <cell r="F4">
            <v>5500</v>
          </cell>
          <cell r="G4">
            <v>899091.28649666673</v>
          </cell>
          <cell r="H4">
            <v>24637.147650004354</v>
          </cell>
          <cell r="I4">
            <v>41677.404999999999</v>
          </cell>
        </row>
        <row r="5">
          <cell r="D5">
            <v>2847402.4100893908</v>
          </cell>
          <cell r="E5">
            <v>2750</v>
          </cell>
          <cell r="F5">
            <v>5500</v>
          </cell>
          <cell r="G5">
            <v>899091.28649666673</v>
          </cell>
          <cell r="H5">
            <v>24637.147650004354</v>
          </cell>
          <cell r="I5">
            <v>41677.404999999999</v>
          </cell>
        </row>
        <row r="7">
          <cell r="E7">
            <v>0</v>
          </cell>
          <cell r="F7">
            <v>0</v>
          </cell>
          <cell r="H7">
            <v>0</v>
          </cell>
          <cell r="I7">
            <v>0</v>
          </cell>
        </row>
      </sheetData>
      <sheetData sheetId="6"/>
      <sheetData sheetId="7"/>
      <sheetData sheetId="8">
        <row r="4">
          <cell r="F4" t="str">
            <v>LOPES</v>
          </cell>
          <cell r="G4" t="str">
            <v>ELISMAR - REFERÊNCIA MG</v>
          </cell>
          <cell r="H4" t="str">
            <v>PORCINO</v>
          </cell>
          <cell r="I4" t="str">
            <v>JOTEX</v>
          </cell>
          <cell r="J4" t="str">
            <v>ALEX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control"/>
      <sheetName val="Bloomberg"/>
      <sheetName val="H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GT"/>
    </sheetNames>
    <definedNames>
      <definedName name="Bt_Cancel_Clique"/>
      <definedName name="Bt_Fechar_Clique"/>
      <definedName name="Mc_CGráfico"/>
    </defined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os Dados"/>
      <sheetName val="Intervalos Nomeados"/>
      <sheetName val="Resumo Dados"/>
      <sheetName val="Visão"/>
      <sheetName val="Melhore Analise de Seus Dados"/>
    </sheetNames>
    <sheetDataSet>
      <sheetData sheetId="0"/>
      <sheetData sheetId="1" refreshError="1"/>
      <sheetData sheetId="2"/>
      <sheetData sheetId="3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es."/>
      <sheetName val="CUSTO"/>
      <sheetName val="CPUs"/>
      <sheetName val="Indireto"/>
      <sheetName val="Equipe"/>
      <sheetName val="Equip."/>
      <sheetName val="Imp."/>
      <sheetName val="Encargos"/>
      <sheetName val="Encargo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MacroOff"/>
      <sheetName val="Requisições"/>
      <sheetName val="Alinhamento da Demanda"/>
      <sheetName val="Configuração "/>
      <sheetName val="aux"/>
      <sheetName val="aux_alinhamento"/>
      <sheetName val="Aux_Importac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"/>
    </sheetNames>
    <sheetDataSet>
      <sheetData sheetId="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_Contrato"/>
      <sheetName val="FRE"/>
      <sheetName val="Índice"/>
      <sheetName val="Penalidade &amp; Premiação"/>
      <sheetName val="Contr_Juros-Taxas"/>
      <sheetName val="Contr_Global"/>
      <sheetName val="Projecao"/>
      <sheetName val="Aux_Proj"/>
      <sheetName val="RD"/>
      <sheetName val="Sintético"/>
      <sheetName val="Discriminado"/>
      <sheetName val="Painel_Contr"/>
      <sheetName val="TabsAux"/>
      <sheetName val="Fluxo_Desemb"/>
      <sheetName val="AnotaçõesGerais"/>
      <sheetName val="Contr_Aportes"/>
      <sheetName val="Solic_Aportes_e-mail"/>
      <sheetName val="AVA"/>
      <sheetName val="ABC"/>
      <sheetName val="EAP_Agra_Gerenciadora"/>
      <sheetName val="Dicionário_EAP"/>
      <sheetName val="Formula_Proj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Iniciais"/>
      <sheetName val="pg1"/>
      <sheetName val="resumo1"/>
      <sheetName val="resumo2"/>
      <sheetName val="resumo3"/>
      <sheetName val="resumo4"/>
      <sheetName val="resumo5"/>
      <sheetName val="resumo6"/>
      <sheetName val="Plan1"/>
      <sheetName val="orcID nº1"/>
      <sheetName val="orc ID nº12"/>
      <sheetName val="orc ID nº13"/>
      <sheetName val="orc ID nº 14"/>
      <sheetName val="orc ID nº 15"/>
      <sheetName val="orc ID nº16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1ExecuçServiços"/>
      <sheetName val="Dados_Iniciais"/>
      <sheetName val="orcID_nº1"/>
      <sheetName val="orc_ID_nº12"/>
      <sheetName val="orc_ID_nº13"/>
      <sheetName val="orc_ID_nº_14"/>
      <sheetName val="orc_ID_nº_15"/>
      <sheetName val="orc_ID_nº16"/>
      <sheetName val="orc_ID_nº17"/>
      <sheetName val="orc_ID_nº_18"/>
      <sheetName val="orc_ID_nº19"/>
      <sheetName val="orc_ID_nº2_"/>
      <sheetName val="orc_ID_nº3"/>
      <sheetName val="orcID_nº4"/>
      <sheetName val="orcID_nº5"/>
      <sheetName val="orcID_nº6"/>
      <sheetName val="orcID_nº7"/>
      <sheetName val="orc_ID_nº8"/>
      <sheetName val="orc_ID_nº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 E DERSA TPU Mar09"/>
      <sheetName val="TPU Notas Técnicas Mar09"/>
      <sheetName val="Orçamento da Obra"/>
      <sheetName val="Quadro Resumo"/>
    </sheetNames>
    <sheetDataSet>
      <sheetData sheetId="0"/>
      <sheetData sheetId="1"/>
      <sheetData sheetId="2"/>
      <sheetData sheetId="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to"/>
      <sheetName val="orc_raso sp"/>
      <sheetName val="orc_R$"/>
      <sheetName val="talude"/>
      <sheetName val="Alterar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o"/>
      <sheetName val="Planilha"/>
      <sheetName val="CPU"/>
      <sheetName val="BANCO DE INSUMOS"/>
      <sheetName val="Curva &quot;S&quot;"/>
      <sheetName val="Considerações"/>
      <sheetName val="Cronograma Cliente"/>
      <sheetName val="Histograma de Obra"/>
      <sheetName val="conf.cronogr"/>
      <sheetName val="ABC DE INSUMOS"/>
      <sheetName val="ABC DE SERVIÇOS"/>
      <sheetName val="Lista Mestra"/>
      <sheetName val="Plan1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ORÇAMENTO"/>
      <sheetName val="Composições"/>
      <sheetName val="ITENS_EXCLUSOS"/>
      <sheetName val="LevantPlanej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bus"/>
      <sheetName val="Predios"/>
      <sheetName val="Área Comum -Planilha "/>
      <sheetName val="Comparativo"/>
      <sheetName val="Comparativo-c.alter.Elev.eM.Obr"/>
      <sheetName val="Planilha (2)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bus"/>
    </sheetNames>
    <sheetDataSet>
      <sheetData sheetId="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Relatórios"/>
      <sheetName val="EVCO-set-04"/>
      <sheetName val="Plan3"/>
      <sheetName val="Plan4"/>
      <sheetName val="EVCO_set_04"/>
      <sheetName val="Fluxo_Desemb"/>
      <sheetName val="DER janeiro98"/>
      <sheetName val="DER_janeiro98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s"/>
      <sheetName val="Subgrupos"/>
      <sheetName val="Unidades"/>
      <sheetName val="Insumos"/>
      <sheetName val="Compos_com_coef_insumo_total"/>
      <sheetName val="Lix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U"/>
      <sheetName val="RP-1 SB (3)"/>
      <sheetName val="RP-1 SB (4)"/>
      <sheetName val="RP-1 SB (5)"/>
      <sheetName val="RP-1 SB (6)"/>
      <sheetName val="RP-1 SC (3)"/>
      <sheetName val="RP-1 SC (4)"/>
      <sheetName val="RP-1 SC (5)"/>
      <sheetName val="RP-1 SC (T)"/>
      <sheetName val="RP-1 SF (T)"/>
      <sheetName val="RP-1 SF (4)"/>
      <sheetName val="RP-1 SF (5)"/>
      <sheetName val="RP-1 SF (6)"/>
      <sheetName val="RP-1 RB (4)"/>
      <sheetName val="RP-1 RB (5)"/>
      <sheetName val="RP-1 RB (6)"/>
      <sheetName val="RP-1 BG (6)"/>
      <sheetName val="RP-1 B (BG)"/>
      <sheetName val="RP-2 SB(2)"/>
      <sheetName val="RP-2 SC(2)"/>
      <sheetName val="RP-2 BG(2)"/>
      <sheetName val="RP-3 SB"/>
      <sheetName val="RP-3 SC "/>
      <sheetName val="RP-3 BG "/>
      <sheetName val="RP-4"/>
      <sheetName val="RP-5"/>
      <sheetName val="RR3 (REP+TSD)"/>
      <sheetName val="RR4 (REP+MICRO)"/>
      <sheetName val="RR5 (REP H3)"/>
      <sheetName val="RR6 (REP H4)"/>
      <sheetName val="RR6 RB (5)"/>
      <sheetName val="RR6 RB (4)"/>
      <sheetName val="RR6 RB (9)"/>
      <sheetName val="RD-1SAI"/>
      <sheetName val="RD-2SAR"/>
      <sheetName val="RD-3SLI"/>
      <sheetName val="RD-10BG"/>
      <sheetName val="RD-4SDI"/>
      <sheetName val="RD-11BRA"/>
      <sheetName val="RD-7 BUG"/>
      <sheetName val="RD-7 CXC"/>
      <sheetName val="RD-7 LBG"/>
      <sheetName val="RD-8EAA"/>
      <sheetName val="RD-8EAC"/>
      <sheetName val="RD-9RLE"/>
      <sheetName val="ROC-1"/>
      <sheetName val="ROC-2"/>
      <sheetName val="RD-13SIN"/>
      <sheetName val="CO-I"/>
      <sheetName val="CO-II"/>
      <sheetName val="CO-III"/>
      <sheetName val="RR1 ( TSD)"/>
      <sheetName val="RR2 (MICRO)"/>
      <sheetName val="RR6 (H5)"/>
      <sheetName val="RR6 (H6)"/>
      <sheetName val="RP-1 SAF"/>
      <sheetName val="RP-1 SC"/>
      <sheetName val="RP-1 SB"/>
      <sheetName val="RD-5SDE"/>
      <sheetName val="RD-6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Gráf2"/>
      <sheetName val="Gráf3"/>
      <sheetName val="Gráf4"/>
      <sheetName val="Viga Benkellman"/>
      <sheetName val="Estudo Estatístico"/>
      <sheetName val="Pro - 10 norma A"/>
      <sheetName val="Pró - 11 norma B"/>
      <sheetName val="Resumo subtrechos homgêneos"/>
      <sheetName val="Demonstrativo Dimensionamento"/>
      <sheetName val="Camadas Mat. Distintos"/>
      <sheetName val="PRO-08"/>
      <sheetName val="Viga_Benkellman"/>
      <sheetName val="Estudo_Estatístico"/>
      <sheetName val="Pro_-_10_norma_A"/>
      <sheetName val="Pró_-_11_norma_B"/>
      <sheetName val="Resumo_subtrechos_homgêneos"/>
      <sheetName val="Demonstrativo_Dimensionamento"/>
      <sheetName val="Camadas_Mat__Distintos"/>
      <sheetName val="ANALISES"/>
      <sheetName val="Custo do CM-30"/>
      <sheetName val="Relatório-1ª med."/>
      <sheetName val="Viga_Benkellman1"/>
      <sheetName val="Estudo_Estatístico1"/>
      <sheetName val="Pro_-_10_norma_A1"/>
      <sheetName val="Pró_-_11_norma_B1"/>
      <sheetName val="Resumo_subtrechos_homgêneos1"/>
      <sheetName val="Demonstrativo_Dimensionamento1"/>
      <sheetName val="Camadas_Mat__Distintos1"/>
      <sheetName val="Custo_do_CM-30"/>
      <sheetName val="Relatório-1ª_med_"/>
      <sheetName val="RESUMO_AUT1"/>
      <sheetName val="Proposta"/>
      <sheetName val="Cálculo"/>
      <sheetName val="Quadro + Gráfico"/>
      <sheetName val="memória de calculo_liquida"/>
      <sheetName val="Preços"/>
      <sheetName val="Desp. Apoio"/>
      <sheetName val="RELATA"/>
      <sheetName val="memória_de_calculo_liquida"/>
      <sheetName val="Quadro_+_Gráfico"/>
      <sheetName val="Desp__Apoio"/>
      <sheetName val="Carimbo de Nota"/>
      <sheetName val="RP-1 SB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ORÇAMENTO_Rev02"/>
      <sheetName val="ORÇAMENTO_Rev01"/>
      <sheetName val="Histórico_Rev01"/>
      <sheetName val="Resumo rev00xrev01"/>
      <sheetName val="Composições"/>
      <sheetName val="Curva ABC"/>
      <sheetName val="Planilha Descontos"/>
      <sheetName val="Índices"/>
      <sheetName val="ITENS_EXCLUS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O"/>
      <sheetName val="Gilberto - Dúvidas"/>
      <sheetName val="Calculo"/>
      <sheetName val="considerações"/>
      <sheetName val="Gilberto_-_Dúvida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U anexo IX"/>
      <sheetName val="Capa 1.1"/>
      <sheetName val="1.1"/>
      <sheetName val="Capa 2"/>
      <sheetName val="2n"/>
      <sheetName val="Serviços BombImplRetirada"/>
      <sheetName val="Serviços InstalRetirada Elet"/>
      <sheetName val="Capa 3"/>
      <sheetName val="3"/>
      <sheetName val="Capa 4 "/>
      <sheetName val="4.1m"/>
      <sheetName val="4.1mv"/>
      <sheetName val="4.2j"/>
      <sheetName val="4.2v"/>
      <sheetName val="Capa 5"/>
      <sheetName val="5"/>
      <sheetName val="1.1.1.7a"/>
      <sheetName val="1.1.1.7pu"/>
      <sheetName val="1.1.1.7b"/>
      <sheetName val="1.1.1.7c"/>
      <sheetName val="1.1.1.7d"/>
      <sheetName val="Fôrmas"/>
      <sheetName val="1.1.1.7f"/>
      <sheetName val="Resumo"/>
      <sheetName val="Capa 7"/>
      <sheetName val="7.1"/>
      <sheetName val="7.2"/>
      <sheetName val="1.1.1.6c"/>
      <sheetName val="1.1.1.6pu"/>
      <sheetName val="Mat Civil"/>
      <sheetName val="Mat Ind"/>
      <sheetName val="Jta"/>
      <sheetName val="ArComprimido"/>
      <sheetName val="Alt Prévio"/>
      <sheetName val="PM"/>
      <sheetName val="Bomb"/>
      <sheetName val="Anexo IX"/>
      <sheetName val="Cap Terc"/>
      <sheetName val="Convers"/>
      <sheetName val="Custo Recarga"/>
      <sheetName val="CC"/>
      <sheetName val="Custo"/>
      <sheetName val="Bomb (2)"/>
      <sheetName val="PU_anexo_IX"/>
      <sheetName val="Capa_1_1"/>
      <sheetName val="1_1"/>
      <sheetName val="Capa_2"/>
      <sheetName val="Serviços_BombImplRetirada"/>
      <sheetName val="Serviços_InstalRetirada_Elet"/>
      <sheetName val="Capa_3"/>
      <sheetName val="Capa_4_"/>
      <sheetName val="4_1m"/>
      <sheetName val="4_1mv"/>
      <sheetName val="4_2j"/>
      <sheetName val="4_2v"/>
      <sheetName val="Capa_5"/>
      <sheetName val="1_1_1_7a"/>
      <sheetName val="1_1_1_7pu"/>
      <sheetName val="1_1_1_7b"/>
      <sheetName val="1_1_1_7c"/>
      <sheetName val="1_1_1_7d"/>
      <sheetName val="1_1_1_7f"/>
      <sheetName val="Capa_7"/>
      <sheetName val="7_1"/>
      <sheetName val="7_2"/>
      <sheetName val="1_1_1_6c"/>
      <sheetName val="1_1_1_6pu"/>
      <sheetName val="Mat_Civil"/>
      <sheetName val="Mat_Ind"/>
      <sheetName val="Alt_Prévio"/>
      <sheetName val="Anexo_IX"/>
      <sheetName val="Cap_Terc"/>
      <sheetName val="Custo_Recarga"/>
      <sheetName val="Bomb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ORÇAMENTO_Rev01"/>
      <sheetName val="Histórico_Rev01"/>
      <sheetName val="Resumo rev00xrev01"/>
      <sheetName val="Composições"/>
      <sheetName val="Curva ABC"/>
      <sheetName val="Planilha Descontos"/>
      <sheetName val="Índices"/>
      <sheetName val="ITENS_EXCLU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o"/>
      <sheetName val="visual"/>
      <sheetName val="Alterar"/>
      <sheetName val="Novo"/>
      <sheetName val="Menu"/>
      <sheetName val="Controle"/>
      <sheetName val="SP"/>
      <sheetName val="Salarios"/>
      <sheetName val="Equipto"/>
      <sheetName val="Serviços"/>
      <sheetName val="Equipe"/>
      <sheetName val="Obra"/>
      <sheetName val="Estrutura"/>
      <sheetName val="Estrutura - Obra"/>
      <sheetName val="Pesquisa"/>
      <sheetName val="Inicial"/>
      <sheetName val="Módul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vel"/>
      <sheetName val="Santos"/>
      <sheetName val="Antigo"/>
      <sheetName val="Não Servível"/>
      <sheetName val="FUNC"/>
      <sheetName val="TermoDoc"/>
      <sheetName val="TermoEqpto"/>
      <sheetName val="QS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"/>
      <sheetName val="Investimentos"/>
      <sheetName val="Receitas"/>
      <sheetName val="MP+Insumos"/>
      <sheetName val="Diversas"/>
      <sheetName val="Energia"/>
      <sheetName val="MOD+MOI"/>
      <sheetName val="Impostos"/>
      <sheetName val="CustoAnual"/>
      <sheetName val="DepManSeg"/>
      <sheetName val="CapGiro"/>
      <sheetName val="JR+AMORT."/>
      <sheetName val="BNDES"/>
      <sheetName val="FUNRES"/>
      <sheetName val="Projeção"/>
      <sheetName val="FluxoCaixa"/>
      <sheetName val="TIR"/>
      <sheetName val="Indicadores"/>
      <sheetName val="Ind_Econ"/>
      <sheetName val="Ev_FluxoCaixa"/>
      <sheetName val="Quadro de Usos e Fontes"/>
      <sheetName val="Dados"/>
      <sheetName val="Cálculo"/>
      <sheetName val="Dias da Semana"/>
      <sheetName val="Vencimentos"/>
      <sheetName val="URTJLP"/>
      <sheetName val="Contrato 1098 - Banespa"/>
      <sheetName val="Contrato 1570 - Banespa"/>
      <sheetName val="Contrato 4766 - Banespa"/>
      <sheetName val="Contrato P803 P - Sudameris"/>
      <sheetName val="Contrato 5599 - Sudameris"/>
      <sheetName val="Contrato 970.405.901_00 - Itaú"/>
      <sheetName val="Contrato 40236-2 - BCN"/>
      <sheetName val="Contrato Gerador"/>
      <sheetName val="Simulação - Máquina FRO - Uniba"/>
      <sheetName val="Contrato Capital Giro"/>
      <sheetName val="Parcelamento INSS"/>
      <sheetName val="Parcelamento ICMS"/>
      <sheetName val="BNDES - Solesa"/>
      <sheetName val="Analítico"/>
      <sheetName val="Sintético"/>
      <sheetName val="MP_Insum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 RESUMO "/>
      <sheetName val="ORÇ GERAL"/>
      <sheetName val="1-SER. PREL."/>
      <sheetName val="BL1"/>
      <sheetName val="BL2 "/>
      <sheetName val="BL3-4"/>
      <sheetName val="BL5"/>
      <sheetName val="BL6"/>
      <sheetName val="BL7"/>
      <sheetName val="BL8"/>
      <sheetName val="PORTARIA"/>
      <sheetName val="SUBEST."/>
      <sheetName val="9-REUSO "/>
      <sheetName val="17-PAVIMENTAÇÃO"/>
      <sheetName val="18-DRENAGEM "/>
      <sheetName val="19-MURO DE ARRIMO"/>
      <sheetName val="20-PAISAGISMO"/>
      <sheetName val="21-SERV. COMP."/>
      <sheetName val="ADM LOC"/>
      <sheetName val="ELE ext"/>
      <sheetName val="HIDR rampa"/>
      <sheetName val="ESTACAS PRE"/>
      <sheetName val="Custos Unit. INFRA Jan 2010"/>
      <sheetName val="ORÇ GERAL (2)"/>
      <sheetName val="SER. PREL. (2)"/>
      <sheetName val="BL1 (2)"/>
      <sheetName val="BL2  (2)"/>
      <sheetName val="BL3-4 (2)"/>
      <sheetName val="BL5 (2)"/>
      <sheetName val="BL6 (2)"/>
      <sheetName val="BL7 (2)"/>
      <sheetName val="BL8 (2)"/>
      <sheetName val="PORTARIA (2)"/>
      <sheetName val="SUBEST. (2)"/>
      <sheetName val="HIDR rampa (2)"/>
      <sheetName val="ELE ext (2)"/>
      <sheetName val="MURO DE ARRIMO (2)"/>
      <sheetName val="DRENAGEM (2)"/>
      <sheetName val="PAVIMENTAÇÃO (2)"/>
      <sheetName val="PAISAGISMO (2)"/>
      <sheetName val="SERV. COMP. (2)"/>
      <sheetName val="ADM LOC (2)"/>
      <sheetName val="ESTACAS PRE (2)"/>
      <sheetName val="Custos Unit. INFRA Jan 2010 (2)"/>
      <sheetName val="CUS SINAP-FDE-ELE (2)"/>
      <sheetName val="Plan1"/>
      <sheetName val="ELE-FDE"/>
      <sheetName val="TESTE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DE MATERIAIS"/>
      <sheetName val="Plan1"/>
    </sheetNames>
    <sheetDataSet>
      <sheetData sheetId="0"/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QP"/>
      <sheetName val="IMPOSTOS"/>
      <sheetName val="CUSTO METÁLICA"/>
      <sheetName val="TELHA ZIPADA GALVANIZADA B 0,5"/>
      <sheetName val="TELHA TRAP GALVANIZADA B 0,5"/>
      <sheetName val="ARREMATES GALVANIZADO B 0,5"/>
      <sheetName val="CALHA e CX PRESSÃO GALVANIZADO"/>
      <sheetName val="PREÇOS"/>
      <sheetName val="          F I M        "/>
      <sheetName val="ISOLAMENTO"/>
      <sheetName val="TELHA ZIP GALV (COMPARAÇÃO)"/>
      <sheetName val="TELHA TRAP GALVALUME 0,5"/>
      <sheetName val="Domos 45,2cm "/>
      <sheetName val="VENTILADOR TIPO ALA"/>
      <sheetName val="TELHA TRAP GALVANIZADO B 0,65"/>
      <sheetName val="ARREMATES GALVALUME 0,5"/>
      <sheetName val="ARREMATES GALVANIZADO B 0,65"/>
      <sheetName val="Telha zipada Galv B 0,65  (2)"/>
      <sheetName val="Telha zipada galvalume 0,5 pin"/>
      <sheetName val="Domos 90,4cm"/>
      <sheetName val="Telha TRNASLÚCIDA"/>
      <sheetName val="TELHAS TRAP INF MBP ESP 0,5m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ordo de Verbas"/>
      <sheetName val="PQP"/>
      <sheetName val="Plan1"/>
      <sheetName val="Plan1 (2)"/>
      <sheetName val="EXTRA JUNDIAÍ"/>
      <sheetName val="RESUMO 3"/>
      <sheetName val="OS"/>
      <sheetName val="094001 - CURVA ICEC"/>
      <sheetName val="K03018 - CURVA MCS"/>
      <sheetName val="L03125 - CURVA SOLESA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 Estratégica da Categoria"/>
      <sheetName val="Estratégias Sugeridas"/>
      <sheetName val="Auxiliar"/>
    </sheetNames>
    <sheetDataSet>
      <sheetData sheetId="0" refreshError="1"/>
      <sheetData sheetId="1" refreshError="1"/>
      <sheetData sheetId="2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e"/>
      <sheetName val="CUSTO RESUMO"/>
      <sheetName val="CUSTO Supervisão e Adm"/>
      <sheetName val=" CUSTO Serviços Preliminares"/>
      <sheetName val=" CUSTO Despesas Gerais"/>
      <sheetName val=" HISTOGRAMA MOI"/>
      <sheetName val="Custo Equipe Real"/>
      <sheetName val="QTA com dissídio"/>
      <sheetName val="QTG "/>
      <sheetName val="Grua"/>
      <sheetName val="Cremalheira"/>
      <sheetName val="Mobiliário"/>
      <sheetName val="Canteiro"/>
      <sheetName val="Instalações provisórias"/>
      <sheetName val="Consumo"/>
      <sheetName val="Prote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Demonstrativo"/>
      <sheetName val="Relação"/>
      <sheetName val="TermoDoc"/>
      <sheetName val="TermoEqpto"/>
      <sheetName val="FU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. Geral"/>
      <sheetName val="Lev. Canais"/>
      <sheetName val="Escav. bueiros"/>
      <sheetName val="Genéricos"/>
      <sheetName val="Serviços"/>
      <sheetName val="SxG"/>
      <sheetName val="Drenagem (mai 2003)"/>
      <sheetName val="DER janeiro98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c_raso sp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c_raso sp"/>
      <sheetName val="Reaproveitamento_de_formas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_FIN"/>
      <sheetName val="GERAL_VANENG"/>
      <sheetName val="GERAL_GAFISA"/>
      <sheetName val="11 ao 19"/>
      <sheetName val="BLOCO A"/>
      <sheetName val="BLOCO B"/>
      <sheetName val="PILOTIS_SS"/>
      <sheetName val="talude"/>
      <sheetName val="PREÇO_11 ao 19"/>
      <sheetName val="PREÇO_BLOCO A"/>
      <sheetName val="PREÇO_BLOCO B"/>
      <sheetName val="PREÇO_PILOTIS_SS"/>
      <sheetName val="ORCAMENTO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Supervisão e Adm"/>
      <sheetName val="Serviços Preliminares"/>
      <sheetName val="Despesas Gerais"/>
      <sheetName val="Planilha"/>
      <sheetName val="HISTOGRAMA MOI"/>
      <sheetName val="Apoio a Lojistas"/>
      <sheetName val="Fechamento Provisório Lojistas"/>
      <sheetName val="Kit Obra - Mobilização"/>
      <sheetName val="QTG"/>
      <sheetName val="QTA"/>
      <sheetName val="Proteções"/>
      <sheetName val="Plan Moveis "/>
      <sheetName val="Plan Canteiros"/>
      <sheetName val="quadro de areas"/>
      <sheetName val="Plan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étrica"/>
      <sheetName val="Orçamento Global"/>
      <sheetName val="Hidrossanitário"/>
      <sheetName val="Genéricos"/>
      <sheetName val="Orçamento construbase"/>
      <sheetName val="Orçamento_Global"/>
      <sheetName val="Orçamento_construbase"/>
      <sheetName val="SBLO_PcP-AmpTPS_fora_CLP"/>
      <sheetName val="Percentuais Gera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ulo_Insu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U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Orçamento Global"/>
      <sheetName val="ABC"/>
      <sheetName val="Contr_Global"/>
      <sheetName val="Índice"/>
      <sheetName val="Projeca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O FINAL"/>
      <sheetName val="QUADRO DE ÁREAS"/>
      <sheetName val="ESTRUTURA CONCR"/>
      <sheetName val="ABC"/>
      <sheetName val="Resumo Geral "/>
      <sheetName val="Planilha Básica"/>
      <sheetName val="Composições Fibra"/>
      <sheetName val="Insumos Fi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_Contrato"/>
      <sheetName val="FRE"/>
      <sheetName val="Índice"/>
      <sheetName val="Penalidade &amp; Premiação"/>
      <sheetName val="Contr_Juros-Taxas"/>
      <sheetName val="Contr_Global"/>
      <sheetName val="Projecao"/>
      <sheetName val="Aux_Proj"/>
      <sheetName val="RD"/>
      <sheetName val="Sintético"/>
      <sheetName val="Discriminado"/>
      <sheetName val="Painel_Contr"/>
      <sheetName val="TabsAux"/>
      <sheetName val="Fluxo_Desemb"/>
      <sheetName val="AnotaçõesGerais"/>
      <sheetName val="Contr_Aportes"/>
      <sheetName val="Solic_Aportes_e-mail"/>
      <sheetName val="AVA"/>
      <sheetName val="ABC"/>
      <sheetName val="EAP_Agra_Gerenciadora"/>
      <sheetName val="Dicionário_EAP"/>
      <sheetName val="Formula_Proj"/>
      <sheetName val="Plan1"/>
      <sheetName val="Tabela"/>
      <sheetName val="Preços_BSTC"/>
      <sheetName val="Dados Inicia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 EQPTO  MEC CKS  "/>
      <sheetName val="B  CALDERARIA   MEC CKS "/>
      <sheetName val="C  E. METAL. CALD CKS "/>
      <sheetName val="D   EQPTO CARGA TRPTE  PREÇO"/>
      <sheetName val="E  EQPTO  ELETR  CARAJAS "/>
      <sheetName val="F MAT ELETR  CARAJAS "/>
      <sheetName val="I   CABOS E FIOS FORNEC CKS"/>
      <sheetName val="Ia  CAB E MT EL MOTAGEM R$ CKS "/>
      <sheetName val="I b   MONT CABOS  CKS "/>
      <sheetName val="G TUBOS FORNEC  CKS "/>
      <sheetName val="H TUBOS FORNEC OUTROS  R$  CKS "/>
      <sheetName val="k  MONT TUBOS  cks"/>
      <sheetName val="Ka  TUBOS  MONTAGEM R$   CKS "/>
      <sheetName val="J  MONT E DESM EQ MAT MEC CKS"/>
      <sheetName val="L DESM E. METAL. "/>
      <sheetName val="O  DESMONT MAT ELETR  "/>
      <sheetName val="M   MONTAGEM EQ  ELETR "/>
      <sheetName val="N   MONT MATER ELETR   "/>
      <sheetName val="P   CARGOS SAL CARAJAS "/>
      <sheetName val="Q   ENCARGOS SOCIAIS "/>
      <sheetName val="J  MONT E DESM EQ MAT MEC C (2)"/>
      <sheetName val="Plan1"/>
      <sheetName val="Painel_Contr"/>
      <sheetName val="TabsAux"/>
      <sheetName val="Contr_Global"/>
      <sheetName val="CPU ANTT"/>
      <sheetName val="A__EQPTO__MEC_CKS__"/>
      <sheetName val="B__CALDERARIA___MEC_CKS_"/>
      <sheetName val="C__E__METAL__CALD_CKS_"/>
      <sheetName val="D___EQPTO_CARGA_TRPTE__PREÇO"/>
      <sheetName val="E__EQPTO__ELETR__CARAJAS_"/>
      <sheetName val="F_MAT_ELETR__CARAJAS_"/>
      <sheetName val="I___CABOS_E_FIOS_FORNEC_CKS"/>
      <sheetName val="Ia__CAB_E_MT_EL_MOTAGEM_R$_CKS_"/>
      <sheetName val="I_b___MONT_CABOS__CKS_"/>
      <sheetName val="G_TUBOS_FORNEC__CKS_"/>
      <sheetName val="H_TUBOS_FORNEC_OUTROS__R$__CKS_"/>
      <sheetName val="k__MONT_TUBOS__cks"/>
      <sheetName val="Ka__TUBOS__MONTAGEM_R$___CKS_"/>
      <sheetName val="J__MONT_E_DESM_EQ_MAT_MEC_CKS"/>
      <sheetName val="L_DESM_E__METAL__"/>
      <sheetName val="O__DESMONT_MAT_ELETR__"/>
      <sheetName val="M___MONTAGEM_EQ__ELETR_"/>
      <sheetName val="N___MONT_MATER_ELETR___"/>
      <sheetName val="P___CARGOS_SAL_CARAJAS_"/>
      <sheetName val="Q___ENCARGOS_SOCIAIS_"/>
      <sheetName val="J__MONT_E_DESM_EQ_MAT_MEC_C_(2)"/>
      <sheetName val="CPU_ANT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PQP"/>
      <sheetName val="Pre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Orc_Pad_Edif_Anal�tico"/>
      <sheetName val="Orc_Compl_Anal�tico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Bomb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MP+Insumos"/>
      <sheetName val="9-Cron Financeiro"/>
      <sheetName val="8-Cron Fisico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VALIDAÇÃ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MO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FER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000000"/>
      <sheetName val="100000"/>
      <sheetName val="200000"/>
      <sheetName val="300000"/>
      <sheetName val="400000"/>
      <sheetName val="500000"/>
      <sheetName val="600000"/>
      <sheetName val="2000"/>
      <sheetName val="700000"/>
      <sheetName val="800000"/>
      <sheetName val="3000"/>
      <sheetName val="900000"/>
      <sheetName val="a00000"/>
      <sheetName val="b00000"/>
      <sheetName val="c00000"/>
      <sheetName val="d00000"/>
      <sheetName val="e00000"/>
      <sheetName val="f00000"/>
      <sheetName val="g00000"/>
      <sheetName val="0000000"/>
      <sheetName val="1000000"/>
      <sheetName val="2000000"/>
      <sheetName val="3000000"/>
      <sheetName val="4000000"/>
      <sheetName val="5000000"/>
      <sheetName val="6000000"/>
      <sheetName val="7000000"/>
      <sheetName val="8000000"/>
      <sheetName val="9000000"/>
      <sheetName val="a000000"/>
      <sheetName val="b000000"/>
      <sheetName val="c000000"/>
      <sheetName val="d000000"/>
      <sheetName val="e000000"/>
      <sheetName val="f000000"/>
      <sheetName val="g000000"/>
      <sheetName val="4000"/>
      <sheetName val="h00000"/>
      <sheetName val="i00000"/>
      <sheetName val="j00000"/>
      <sheetName val="k00000"/>
      <sheetName val="l00000"/>
      <sheetName val="m00000"/>
      <sheetName val="n00000"/>
      <sheetName val="o00000"/>
      <sheetName val="h000000"/>
      <sheetName val="i000000"/>
      <sheetName val="j000000"/>
      <sheetName val="k000000"/>
      <sheetName val="l000000"/>
      <sheetName val="m000000"/>
      <sheetName val="n000000"/>
      <sheetName val="o000000"/>
      <sheetName val="p000000"/>
      <sheetName val="q000000"/>
      <sheetName val="r000000"/>
      <sheetName val="s000000"/>
      <sheetName val="Dados"/>
      <sheetName val="Acabamentos"/>
      <sheetName val="Alvenaria"/>
      <sheetName val="Treliça"/>
      <sheetName val="Maciça"/>
      <sheetName val="Vigas"/>
      <sheetName val="Pilares"/>
      <sheetName val="Baldrames"/>
      <sheetName val="Blocos"/>
      <sheetName val="Sapatas"/>
      <sheetName val="Aço"/>
      <sheetName val="Planilha Resumo"/>
      <sheetName val="K's"/>
      <sheetName val="Materiais diversos"/>
      <sheetName val="Mats granel"/>
      <sheetName val="Materiais Específicos"/>
      <sheetName val="Mão de Obra Empreitada"/>
      <sheetName val="MDO Própria"/>
      <sheetName val="Materiais Tijolo,Aço,Madeira"/>
      <sheetName val="Equipamentos"/>
      <sheetName val="Serviços"/>
      <sheetName val="Item 23"/>
      <sheetName val="Item 24"/>
      <sheetName val="Item 26"/>
      <sheetName val="Item 31"/>
      <sheetName val="Item 32"/>
      <sheetName val="Item 35"/>
      <sheetName val="Item 41"/>
      <sheetName val="Item 42"/>
      <sheetName val="ítem 51"/>
      <sheetName val="Item 53"/>
      <sheetName val="Item 54"/>
      <sheetName val="ítem 58"/>
      <sheetName val="Item 59"/>
      <sheetName val="Item 61"/>
      <sheetName val="Item 62"/>
      <sheetName val="Item 63"/>
      <sheetName val="Item 64"/>
      <sheetName val="Programação mat"/>
      <sheetName val="Programação mdo"/>
      <sheetName val="Planilha Detalhada"/>
      <sheetName val="TESTE Consumo por Serviço"/>
      <sheetName val="TESTE Consumo Total"/>
      <sheetName val="M.O."/>
      <sheetName val="ABC"/>
      <sheetName val="Contr_Global"/>
      <sheetName val="Índice"/>
      <sheetName val="Projecao"/>
      <sheetName val="Planilha_Resumo"/>
      <sheetName val="Materiais_diversos"/>
      <sheetName val="Mats_granel"/>
      <sheetName val="Materiais_Específicos"/>
      <sheetName val="Mão_de_Obra_Empreitada"/>
      <sheetName val="MDO_Própria"/>
      <sheetName val="Materiais_Tijolo,Aço,Madeira"/>
      <sheetName val="Item_23"/>
      <sheetName val="Item_24"/>
      <sheetName val="Item_26"/>
      <sheetName val="Item_31"/>
      <sheetName val="Item_32"/>
      <sheetName val="Item_35"/>
      <sheetName val="Item_41"/>
      <sheetName val="Item_42"/>
      <sheetName val="ítem_51"/>
      <sheetName val="Item_53"/>
      <sheetName val="Item_54"/>
      <sheetName val="ítem_58"/>
      <sheetName val="Item_59"/>
      <sheetName val="Item_61"/>
      <sheetName val="Item_62"/>
      <sheetName val="Item_63"/>
      <sheetName val="Item_64"/>
      <sheetName val="Programação_mat"/>
      <sheetName val="Programação_mdo"/>
      <sheetName val="Planilha_Detalhada"/>
      <sheetName val="TESTE_Consumo_por_Serviço"/>
      <sheetName val="TESTE_Consumo_Total"/>
      <sheetName val="M_O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."/>
      <sheetName val="Resumo Lev."/>
      <sheetName val="Controle de Chapas"/>
      <sheetName val="Set - 08"/>
      <sheetName val="Out - 08"/>
      <sheetName val="Nov - 08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_Orc"/>
      <sheetName val="Orc"/>
      <sheetName val="Resumo Geral"/>
      <sheetName val="Resumo Fundação Profunda"/>
      <sheetName val="Fundação Profunda - Tubulão"/>
      <sheetName val="Fundação Profunda - Brocas"/>
      <sheetName val="Fundação Profunda - Estaca"/>
      <sheetName val="Resumo Fundação"/>
      <sheetName val="Fundação - Vigas"/>
      <sheetName val="Fundação - Blocos"/>
      <sheetName val="Fundação - Blocos para 3 estaca"/>
      <sheetName val="Fundação - Sapata corrida"/>
      <sheetName val="Fundação - Sapata Tronco cônica"/>
      <sheetName val="Resumo - Cortina"/>
      <sheetName val="Cortina"/>
      <sheetName val="Resumo - Muro Arrimo"/>
      <sheetName val="Muro Arrimo"/>
      <sheetName val="Resumo - Muro Divisa"/>
      <sheetName val="Fundação - Muro Divisa"/>
      <sheetName val="Alvenaria Muro Divisa"/>
      <sheetName val="Estrutura - Piso"/>
      <sheetName val="Resumo Estrutura"/>
      <sheetName val="Estrutura - Pilar"/>
      <sheetName val="Estrutura - Vigas"/>
      <sheetName val="Estrutura - Lajes"/>
      <sheetName val="Estrutura - Escadas"/>
      <sheetName val="Armaçao"/>
      <sheetName val="Alvenaria Armada"/>
      <sheetName val="Alvenaria"/>
      <sheetName val="Resumo das Esquadrias"/>
      <sheetName val="Esquadrias"/>
      <sheetName val="Resumo de Acabamento"/>
      <sheetName val="Acabamento"/>
      <sheetName val="Resumo de Louças"/>
      <sheetName val="Louças e Metais"/>
      <sheetName val="Impermeabiliz"/>
      <sheetName val="Piso"/>
      <sheetName val="Forro"/>
      <sheetName val="Paredes Internas"/>
      <sheetName val="Fachada"/>
      <sheetName val="Infra"/>
      <sheetName val="Quantitativo de Caixas"/>
      <sheetName val="Considerações"/>
      <sheetName val="Resumo_Geral"/>
      <sheetName val="Resumo_Fundação_Profunda"/>
      <sheetName val="Fundação_Profunda_-_Tubulão"/>
      <sheetName val="Fundação_Profunda_-_Brocas"/>
      <sheetName val="Fundação_Profunda_-_Estaca"/>
      <sheetName val="Resumo_Fundação"/>
      <sheetName val="Fundação_-_Vigas"/>
      <sheetName val="Fundação_-_Blocos"/>
      <sheetName val="Fundação_-_Blocos_para_3_estaca"/>
      <sheetName val="Fundação_-_Sapata_corrida"/>
      <sheetName val="Fundação_-_Sapata_Tronco_cônica"/>
      <sheetName val="Resumo_-_Cortina"/>
      <sheetName val="Resumo_-_Muro_Arrimo"/>
      <sheetName val="Muro_Arrimo"/>
      <sheetName val="Resumo_-_Muro_Divisa"/>
      <sheetName val="Fundação_-_Muro_Divisa"/>
      <sheetName val="Alvenaria_Muro_Divisa"/>
      <sheetName val="Estrutura_-_Piso"/>
      <sheetName val="Resumo_Estrutura"/>
      <sheetName val="Estrutura_-_Pilar"/>
      <sheetName val="Estrutura_-_Vigas"/>
      <sheetName val="Estrutura_-_Lajes"/>
      <sheetName val="Estrutura_-_Escadas"/>
      <sheetName val="Alvenaria_Armada"/>
      <sheetName val="Resumo_das_Esquadrias"/>
      <sheetName val="Resumo_de_Acabamento"/>
      <sheetName val="Resumo_de_Louças"/>
      <sheetName val="Louças_e_Metais"/>
      <sheetName val="Paredes_Internas"/>
      <sheetName val="Quantitativo_de_Caixas"/>
      <sheetName val="Preços_BSTC"/>
      <sheetName val="Regula"/>
      <sheetName val="Base"/>
      <sheetName val="CPU_ANTT"/>
      <sheetName val="Dados_Iniciais"/>
      <sheetName val="Genéricos"/>
      <sheetName val="Tabela"/>
      <sheetName val="Orçamento_Global"/>
      <sheetName val="Plan1"/>
      <sheetName val="P___CARGOS_SAL_CARAJAS_"/>
      <sheetName val="Sub-base"/>
      <sheetName val="Pavim-preços"/>
      <sheetName val="tabela_DER_julho97"/>
      <sheetName val="tabela_DER_janeiro98"/>
      <sheetName val="Terr-preços"/>
      <sheetName val="INCCTOT"/>
      <sheetName val="Resumo_Geral1"/>
      <sheetName val="Resumo_Fundação_Profunda1"/>
      <sheetName val="Fundação_Profunda_-_Tubulão1"/>
      <sheetName val="Fundação_Profunda_-_Brocas1"/>
      <sheetName val="Fundação_Profunda_-_Estaca1"/>
      <sheetName val="Resumo_Fundação1"/>
      <sheetName val="Fundação_-_Vigas1"/>
      <sheetName val="Fundação_-_Blocos1"/>
      <sheetName val="Fundação_-_Blocos_para_3_estac1"/>
      <sheetName val="Fundação_-_Sapata_corrida1"/>
      <sheetName val="Fundação_-_Sapata_Tronco_cônic1"/>
      <sheetName val="Resumo_-_Cortina1"/>
      <sheetName val="Resumo_-_Muro_Arrimo1"/>
      <sheetName val="Muro_Arrimo1"/>
      <sheetName val="Resumo_-_Muro_Divisa1"/>
      <sheetName val="Fundação_-_Muro_Divisa1"/>
      <sheetName val="Alvenaria_Muro_Divisa1"/>
      <sheetName val="Estrutura_-_Piso1"/>
      <sheetName val="Resumo_Estrutura1"/>
      <sheetName val="Estrutura_-_Pilar1"/>
      <sheetName val="Estrutura_-_Vigas1"/>
      <sheetName val="Estrutura_-_Lajes1"/>
      <sheetName val="Estrutura_-_Escadas1"/>
      <sheetName val="Alvenaria_Armada1"/>
      <sheetName val="Resumo_das_Esquadrias1"/>
      <sheetName val="Resumo_de_Acabamento1"/>
      <sheetName val="Resumo_de_Louças1"/>
      <sheetName val="Louças_e_Metais1"/>
      <sheetName val="Paredes_Internas1"/>
      <sheetName val="Quantitativo_de_Caixas1"/>
      <sheetName val="Auxili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OC"/>
      <sheetName val="INS"/>
      <sheetName val="CPU"/>
      <sheetName val="QTD"/>
      <sheetName val="EST"/>
      <sheetName val="PLA"/>
      <sheetName val="GRA"/>
      <sheetName val="ECO"/>
      <sheetName val="CMP"/>
      <sheetName val="FAQ"/>
      <sheetName val="CAP"/>
      <sheetName val="CF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AL"/>
      <sheetName val="S1"/>
      <sheetName val="S2"/>
      <sheetName val="S3"/>
      <sheetName val="S4"/>
      <sheetName val="Graficos"/>
      <sheetName val="Econ"/>
      <sheetName val="Graf. Econ."/>
      <sheetName val="CPU"/>
      <sheetName val="INS"/>
      <sheetName val="MRV"/>
      <sheetName val="Login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Supervisão e Adm"/>
      <sheetName val="Serviços Preliminares"/>
      <sheetName val="Despesas Gerais"/>
      <sheetName val="Apoio a Lojistas"/>
      <sheetName val="Fechamento Provisório Lojistas"/>
      <sheetName val="Planilha"/>
      <sheetName val="HISTOGRAMA MOI"/>
      <sheetName val="QTG-QTA"/>
      <sheetName val="QTG"/>
      <sheetName val="QTA"/>
      <sheetName val="Planilha de Cotação sanit quimi"/>
      <sheetName val="Planilha de Cotação moveis"/>
      <sheetName val="LABORATORIO"/>
      <sheetName val="Balancin (revisao cj 6)"/>
      <sheetName val="seguros"/>
      <sheetName val="canteiro de obras"/>
      <sheetName val="canteiro alternativa"/>
      <sheetName val="seg do trabalho"/>
      <sheetName val="CET"/>
      <sheetName val="HISTOGRAMA MOI (2)"/>
      <sheetName val="Planilha de Cotação G1"/>
      <sheetName val="Planilha de Cotação G2 "/>
      <sheetName val="Planilha de Cotação G3"/>
      <sheetName val="Planilha de Cotação G4"/>
      <sheetName val="gerador"/>
      <sheetName val="inst provisorias"/>
      <sheetName val="agua"/>
      <sheetName val="Hist Cons. Elét.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Dashboard"/>
      <sheetName val="Gráficos"/>
      <sheetName val="HISTOGRAMA"/>
      <sheetName val="Tarefas"/>
      <sheetName val="PPU"/>
      <sheetName val="Cronog. e Histog."/>
      <sheetName val="Curva S"/>
      <sheetName val="Equipamentos"/>
      <sheetName val="Salários"/>
      <sheetName val="Base Salarial"/>
      <sheetName val="Precificação"/>
      <sheetName val="Improdutividade"/>
      <sheetName val="Análise de Risco"/>
      <sheetName val="Fluxo de Caixa"/>
      <sheetName val="Calendário"/>
      <sheetName val="Tabela ICMS"/>
      <sheetName val="Check List de Orçamento"/>
      <sheetName val="CC"/>
      <sheetName val="CC_Bando de Dados"/>
      <sheetName val="Listas de apoio"/>
      <sheetName val="APOIO Impostos"/>
      <sheetName val="Resumo de Tributação"/>
      <sheetName val="Fechament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ódulo4"/>
      <sheetName val="Módulo3"/>
      <sheetName val="Módulo2"/>
      <sheetName val="Módulo1"/>
      <sheetName val="Dados"/>
      <sheetName val="CAPA MEMÓRIA"/>
      <sheetName val="Planilha"/>
      <sheetName val="Med Ruas"/>
      <sheetName val="Ruas"/>
      <sheetName val="Medição"/>
      <sheetName val="Contrato"/>
      <sheetName val="S P"/>
      <sheetName val="1.03"/>
      <sheetName val="1.08"/>
      <sheetName val="Pavimentação"/>
      <sheetName val="2.01"/>
      <sheetName val="2.02"/>
      <sheetName val="2.03"/>
      <sheetName val="2.04"/>
      <sheetName val="2.05"/>
      <sheetName val="2.06"/>
      <sheetName val="2.07"/>
      <sheetName val="2.09"/>
      <sheetName val="2.10"/>
      <sheetName val="2.12"/>
      <sheetName val="2.13"/>
      <sheetName val="2.14"/>
      <sheetName val="2.15"/>
      <sheetName val="2.16"/>
      <sheetName val="2.17"/>
      <sheetName val="2.18"/>
      <sheetName val="2.19"/>
      <sheetName val="2.22"/>
      <sheetName val="2.26"/>
      <sheetName val="2.27"/>
      <sheetName val="2.28"/>
      <sheetName val="2.29"/>
      <sheetName val="2.30"/>
      <sheetName val="2.31"/>
      <sheetName val="2.32"/>
      <sheetName val="2.33"/>
      <sheetName val="2.39"/>
      <sheetName val="2.55"/>
      <sheetName val="Canalização"/>
      <sheetName val="3.01"/>
      <sheetName val="3.02"/>
      <sheetName val="3.03"/>
      <sheetName val="3.04"/>
      <sheetName val="3.05"/>
      <sheetName val="3.06"/>
      <sheetName val="3.07"/>
      <sheetName val="3.09"/>
      <sheetName val="3.11"/>
      <sheetName val="3.14"/>
      <sheetName val="3.16"/>
      <sheetName val="3.21"/>
      <sheetName val="3.22"/>
      <sheetName val="3.23"/>
      <sheetName val="3.24"/>
      <sheetName val="3.25"/>
      <sheetName val="3.30"/>
      <sheetName val="3.31"/>
      <sheetName val="3.27"/>
      <sheetName val="3.28"/>
      <sheetName val="3.29"/>
      <sheetName val="8.50"/>
      <sheetName val="8.54"/>
      <sheetName val="Escadaria"/>
      <sheetName val="2.45"/>
      <sheetName val="2.49"/>
      <sheetName val="2.50"/>
      <sheetName val="2.51"/>
      <sheetName val="3.01 e"/>
      <sheetName val="3.03 e"/>
      <sheetName val="3.04 e"/>
      <sheetName val="3.06 e"/>
      <sheetName val="3.11 e"/>
      <sheetName val="3.13"/>
      <sheetName val="3.28 e"/>
      <sheetName val="3.29 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S"/>
      <sheetName val="DOC"/>
      <sheetName val="CSD"/>
      <sheetName val="INS"/>
      <sheetName val="CPU"/>
      <sheetName val="QTD"/>
      <sheetName val="PLA"/>
      <sheetName val="GRA"/>
      <sheetName val="ECO"/>
      <sheetName val="EST"/>
      <sheetName val="CMP"/>
      <sheetName val="RAS"/>
      <sheetName val="FAQ"/>
      <sheetName val="CAP"/>
      <sheetName val="CF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a 1"/>
      <sheetName val="Capa"/>
      <sheetName val="resumo"/>
      <sheetName val="Evolução Anual"/>
      <sheetName val="Gráficos"/>
      <sheetName val="2000"/>
      <sheetName val="GAP $ 2001 (3)"/>
      <sheetName val="Variações"/>
      <sheetName val="GAP $ 2001 (2)"/>
      <sheetName val="GAP % 2001"/>
      <sheetName val="2001"/>
      <sheetName val="2002"/>
      <sheetName val="Anotações"/>
      <sheetName val="Anotações1"/>
      <sheetName val="CapGiro"/>
      <sheetName val="CheqEspecial"/>
      <sheetName val="CheqEmpresa"/>
      <sheetName val="CP"/>
      <sheetName val="ChequeCash"/>
      <sheetName val="CredRural"/>
      <sheetName val="Leasing"/>
      <sheetName val="Financeira"/>
      <sheetName val="CredImob"/>
      <sheetName val="Reneg"/>
      <sheetName val="Repasses"/>
      <sheetName val="Res63"/>
      <sheetName val="Comex"/>
      <sheetName val="Fianca"/>
      <sheetName val="CDB"/>
      <sheetName val="Poupança"/>
      <sheetName val="PoupMax"/>
      <sheetName val="DepVista"/>
      <sheetName val="Float"/>
      <sheetName val="ContaIntel"/>
      <sheetName val="Fundos"/>
      <sheetName val="Ativos"/>
      <sheetName val="Passivos"/>
      <sheetName val="Captacoes"/>
      <sheetName val="Seguros"/>
      <sheetName val="Cartoes"/>
      <sheetName val="Tarifas"/>
      <sheetName val="Comisso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obilizado"/>
      <sheetName val="Cavalo"/>
      <sheetName val="Semi-Reboque"/>
      <sheetName val="Carroceria"/>
      <sheetName val="Saveiro"/>
      <sheetName val="Kombi"/>
      <sheetName val="Espagidor"/>
      <sheetName val="SA12"/>
      <sheetName val="CP274"/>
      <sheetName val="CB534"/>
      <sheetName val="Basculante"/>
      <sheetName val="W1000L"/>
      <sheetName val="MC90B"/>
      <sheetName val="EPI"/>
      <sheetName val="Encargos"/>
      <sheetName val="Patrulha"/>
      <sheetName val="Sinalização"/>
      <sheetName val="Mão de Obra"/>
      <sheetName val="DI"/>
      <sheetName val="Fecha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_JUL_07"/>
    </sheetNames>
    <sheetDataSet>
      <sheetData sheetId="0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idas de Cartão (2)"/>
      <sheetName val="PREVIDÊNCIA"/>
      <sheetName val="Introdução"/>
      <sheetName val="justificativa"/>
      <sheetName val="Intruções"/>
      <sheetName val="2001"/>
      <sheetName val="Orç. Custos e PDD"/>
      <sheetName val="Orç. Contas"/>
      <sheetName val="IPP_PJ_valor"/>
      <sheetName val="IPP_PF_valor"/>
      <sheetName val="HC RN"/>
      <sheetName val="HC RS"/>
      <sheetName val="Tabela Receita p Cliente"/>
      <sheetName val="Código"/>
      <sheetName val="Prod_Fora"/>
      <sheetName val="Orç. Comissões"/>
      <sheetName val="Seguro de Vida"/>
      <sheetName val="Base Vida PU"/>
      <sheetName val="Seguro de Auto"/>
      <sheetName val="Capitalização"/>
      <sheetName val="Demais Ramos"/>
      <sheetName val="Cartão"/>
      <sheetName val="CARTÃO_AGÊNCIAS"/>
      <sheetName val="Vida Partida"/>
      <sheetName val="Capitalização Partida"/>
      <sheetName val="Demais Ramos Parti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V"/>
      <sheetName val="Pavim-preços"/>
      <sheetName val="Custo-Pav-Marg."/>
      <sheetName val="R-T3-PAV-01"/>
      <sheetName val="R-T3-PAV-02"/>
      <sheetName val="R-T3-PAV-03"/>
      <sheetName val="R-T3-PAV-04"/>
      <sheetName val="R-T3-PAV-10"/>
      <sheetName val="R-T3-PAV-11"/>
      <sheetName val="R-T3-PAV-12"/>
      <sheetName val="R-T3-PAV-13"/>
      <sheetName val="R-T3-PAV-14"/>
      <sheetName val="R-T3-PAV-15"/>
      <sheetName val="R-T3-PAV-16"/>
      <sheetName val="R-T3-PAV-17"/>
      <sheetName val="R-T3-PAV-18"/>
      <sheetName val="R-T3-PAV-20"/>
      <sheetName val="R-T3-PAV-21"/>
      <sheetName val="R-T3-PAV-22"/>
      <sheetName val="P   CARGOS SAL CARAJAS "/>
      <sheetName val="Dados Iniciais"/>
      <sheetName val="Custo-Pav-Marg_"/>
      <sheetName val="P___CARGOS_SAL_CARAJAS_"/>
      <sheetName val="Dados_Inicia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2004 (Atual)"/>
      <sheetName val="Banco de Dados"/>
      <sheetName val="Dados Complementares"/>
      <sheetName val="Contatos"/>
      <sheetName val="Problema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enaria"/>
      <sheetName val="Mem_MAR_Frete"/>
      <sheetName val="MAR_FRETE"/>
      <sheetName val="Plan1"/>
      <sheetName val="Mem_MAR_base"/>
      <sheetName val="FORNECEDORES"/>
      <sheetName val="CODIFICAÇÃO"/>
      <sheetName val="MAR_FRET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-Implant(SOLESA)"/>
      <sheetName val="Orçamento-Implant(ICEC)"/>
      <sheetName val="CR-770022"/>
      <sheetName val="Orçamento-Implant(ICEC-1)"/>
      <sheetName val="Metálica"/>
      <sheetName val="Orçamento"/>
      <sheetName val="TD27"/>
      <sheetName val="ST-2000"/>
      <sheetName val="Sal-2000"/>
      <sheetName val="Civil"/>
      <sheetName val="Móveis"/>
      <sheetName val="Equipamentos"/>
      <sheetName val="Imposto_Frete"/>
      <sheetName val="Informática"/>
      <sheetName val="Investimentos"/>
      <sheetName val="Receitas"/>
      <sheetName val="MP+Insumos"/>
      <sheetName val="Impostos"/>
      <sheetName val="Diversas"/>
      <sheetName val="Energia"/>
      <sheetName val="MOD+MOI"/>
      <sheetName val="CustoAnual"/>
      <sheetName val="DepManSeg"/>
      <sheetName val="CapGiro"/>
      <sheetName val="JR+AMORT."/>
      <sheetName val="BNDES"/>
      <sheetName val="FUNRES"/>
      <sheetName val="Projeção"/>
      <sheetName val="FluxoCaixa"/>
      <sheetName val="TIR"/>
      <sheetName val="Indicadores"/>
      <sheetName val="Ind_Econ"/>
      <sheetName val="Ev_FluxoCaixa"/>
      <sheetName val="Dados"/>
      <sheetName val="Cálculo"/>
      <sheetName val="Dias da Semana"/>
      <sheetName val="Vencimentos"/>
      <sheetName val="URTJLP"/>
      <sheetName val="Contrato 1098 - Banespa"/>
      <sheetName val="Contrato 1570 - Banespa"/>
      <sheetName val="Contrato 4766 - Banespa"/>
      <sheetName val="Contrato P803 P - Sudameris"/>
      <sheetName val="Contrato 5599 - Sudameris"/>
      <sheetName val="Contrato 970.405.901_00 - Itaú"/>
      <sheetName val="Contrato 40236-2 - BCN"/>
      <sheetName val="Contrato Gerador"/>
      <sheetName val="Simulação - Máquina FRO - Uniba"/>
      <sheetName val="Contrato Capital Giro"/>
      <sheetName val="Parcelamento INSS"/>
      <sheetName val="Parcelamento ICMS"/>
      <sheetName val="BNDES - Solesa"/>
      <sheetName val="Analítico"/>
      <sheetName val="Sintético"/>
      <sheetName val="MP_Insumo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-Implant(SOLESA)"/>
      <sheetName val="Orçamento-Implant(ICEC)"/>
      <sheetName val="CR-770022"/>
      <sheetName val="Orçamento-Implant(ICEC-1)"/>
      <sheetName val="Metálica"/>
      <sheetName val="Orçamento"/>
      <sheetName val="TD27"/>
      <sheetName val="ST-2000"/>
      <sheetName val="Sal-2000"/>
      <sheetName val="Civil"/>
      <sheetName val="Móveis"/>
      <sheetName val="Equipamentos"/>
      <sheetName val="Imposto_Frete"/>
      <sheetName val="Informática"/>
      <sheetName val="Investimentos"/>
      <sheetName val="Receitas"/>
      <sheetName val="MP+Insumos"/>
      <sheetName val="Impostos"/>
      <sheetName val="Diversas"/>
      <sheetName val="Energia"/>
      <sheetName val="MOD+MOI"/>
      <sheetName val="CustoAnual"/>
      <sheetName val="DepManSeg"/>
      <sheetName val="CapGiro"/>
      <sheetName val="JR+AMORT."/>
      <sheetName val="BNDES"/>
      <sheetName val="FUNRES"/>
      <sheetName val="Projeção"/>
      <sheetName val="FluxoCaixa"/>
      <sheetName val="TIR"/>
      <sheetName val="Indicadores"/>
      <sheetName val="Ind_Econ"/>
      <sheetName val="Ev_FluxoCaixa"/>
      <sheetName val="Dados"/>
      <sheetName val="MP_Insumos"/>
      <sheetName val="Cálculo"/>
      <sheetName val="Dias da Semana"/>
      <sheetName val="Vencimentos"/>
      <sheetName val="URTJLP"/>
      <sheetName val="Contrato 1098 - Banespa"/>
      <sheetName val="Contrato 1570 - Banespa"/>
      <sheetName val="Contrato 4766 - Banespa"/>
      <sheetName val="Contrato P803 P - Sudameris"/>
      <sheetName val="Contrato 5599 - Sudameris"/>
      <sheetName val="Contrato 970.405.901_00 - Itaú"/>
      <sheetName val="Contrato 40236-2 - BCN"/>
      <sheetName val="Contrato Gerador"/>
      <sheetName val="Simulação - Máquina FRO - Uniba"/>
      <sheetName val="Contrato Capital Giro"/>
      <sheetName val="Parcelamento INSS"/>
      <sheetName val="Parcelamento ICMS"/>
      <sheetName val="BNDES - Solesa"/>
      <sheetName val="Analítico"/>
      <sheetName val="Sintét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.FIN."/>
      <sheetName val="EXTR.CRON."/>
      <sheetName val="REAJUSTE"/>
      <sheetName val="RES.FÍS."/>
      <sheetName val="MEDIÇÃO"/>
      <sheetName val="GRÁFICO"/>
      <sheetName val="CONT-FA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ÚST"/>
      <sheetName val="RM"/>
      <sheetName val="RESUMO"/>
      <sheetName val="PL GH"/>
      <sheetName val="PL CENOG"/>
      <sheetName val="PL SUBEST3"/>
      <sheetName val="ÁREA EXT"/>
      <sheetName val="PONTE A"/>
      <sheetName val="PONTE B"/>
      <sheetName val="PONTE C"/>
      <sheetName val="PONTE D"/>
      <sheetName val="PL PASSA 1"/>
      <sheetName val="PL PASSA 2"/>
      <sheetName val="PL PISC"/>
      <sheetName val="PL RAMPA C"/>
      <sheetName val="PL ESC DeF"/>
      <sheetName val="RES INST"/>
      <sheetName val="PL SUBEST1"/>
      <sheetName val="RM Prelim"/>
      <sheetName val="DT.7.22.001"/>
      <sheetName val="RES GH"/>
      <sheetName val="orc_raso 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_GERAL"/>
      <sheetName val="A_COND"/>
      <sheetName val="DIM_FOR"/>
      <sheetName val="H_MOT"/>
      <sheetName val="C_MOT"/>
      <sheetName val="Capa "/>
      <sheetName val="CONTR"/>
      <sheetName val="TAB_CARGA LOJAS"/>
      <sheetName val="TAB_CARGA_SUBESTA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_CARGA LOJAS"/>
    </sheetNames>
    <sheetDataSet>
      <sheetData sheetId="0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ados Cadastrais"/>
      <sheetName val="Dados Gerais"/>
      <sheetName val="Producao"/>
      <sheetName val="Relacionam Clientes"/>
      <sheetName val="Politica Reajuste"/>
      <sheetName val="Internet"/>
      <sheetName val="Sugesto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4"/>
      <sheetName val="Plan2"/>
      <sheetName val="Plan3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ulo_Insu"/>
    </sheetNames>
    <sheetDataSet>
      <sheetData sheetId="0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"/>
    </sheetNames>
    <sheetDataSet>
      <sheetData sheetId="0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33P2"/>
      <sheetName val="PADRÃO"/>
    </sheetNames>
    <sheetDataSet>
      <sheetData sheetId="0" refreshError="1"/>
      <sheetData sheetId="1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_JAN_07"/>
    </sheetNames>
    <sheetDataSet>
      <sheetData sheetId="0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Inters"/>
      <sheetName val="MODELO PARA ORÇAMENTO"/>
      <sheetName val="tabela DER julho97"/>
      <sheetName val="Pavim-preços"/>
      <sheetName val="Incendio"/>
      <sheetName val="considerações"/>
      <sheetName val="Modelo_Inters"/>
      <sheetName val="MODELO_PARA_ORÇAMENTO"/>
      <sheetName val="tabela_DER_julho97"/>
      <sheetName val="BD Licitações"/>
      <sheetName val="Dados Inicia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PARA ORÇAMENTO"/>
      <sheetName val="tabela DER janeiro98"/>
      <sheetName val="tabela DER julho97"/>
      <sheetName val="Genéricos"/>
      <sheetName val="MODELO_PARA_ORÇAMENTO"/>
      <sheetName val="tabela_DER_janeiro98"/>
      <sheetName val="tabela_DER_julho97"/>
      <sheetName val="Pavim-preços"/>
      <sheetName val="01-02-03-Julho"/>
      <sheetName val="Terraplenagem"/>
      <sheetName val="Valores Obra 1"/>
      <sheetName val="Dados Iniciais"/>
      <sheetName val="#REF!#REF! DER janeiro98"/>
      <sheetName val="P2_JAN_07"/>
      <sheetName val="Structure (1200TPH)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"/>
      <sheetName val="Terr-preços"/>
      <sheetName val="R-TER-01"/>
      <sheetName val="R-TER-02"/>
      <sheetName val="R-TER-02 (2)"/>
      <sheetName val="R-TER-03"/>
      <sheetName val="R-TER-04"/>
      <sheetName val="R-TER-10"/>
      <sheetName val="R-TER-11"/>
      <sheetName val="R-TER-12"/>
      <sheetName val="R-TER-13"/>
      <sheetName val="R-TER-14"/>
      <sheetName val="R-TER-15"/>
      <sheetName val="R-TER-16"/>
      <sheetName val="R-TER-17"/>
      <sheetName val="R-TER-18"/>
      <sheetName val="R-TER-19"/>
      <sheetName val="R-TER-20"/>
      <sheetName val="R-TER-21"/>
      <sheetName val="tabela DER janeiro98"/>
      <sheetName val="Plan1"/>
      <sheetName val="R-TER-02_(2)"/>
      <sheetName val="tabela_DER_janeiro98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ORÇAMENTO_Rev01"/>
      <sheetName val="Histórico_Rev01"/>
      <sheetName val="Resumo rev00xrev01"/>
      <sheetName val="Composições"/>
      <sheetName val="Curva ABC"/>
      <sheetName val="Planilha Descontos"/>
      <sheetName val="Índices"/>
      <sheetName val="ITENS_EXCLU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BR"/>
      <sheetName val="Folha de Rosto - 50"/>
      <sheetName val="Folha_de_Rosto_-_50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a 1"/>
      <sheetName val="Capa"/>
      <sheetName val="resumo"/>
      <sheetName val="Evolução Anual"/>
      <sheetName val="Gráficos"/>
      <sheetName val="2000"/>
      <sheetName val="2001"/>
      <sheetName val="2002"/>
      <sheetName val="Anotações"/>
      <sheetName val="Anotações1"/>
      <sheetName val="CapGiro"/>
      <sheetName val="CheqEmpresa"/>
      <sheetName val="ChequeCash"/>
      <sheetName val="CredRural"/>
      <sheetName val="Leasing"/>
      <sheetName val="CredImob"/>
      <sheetName val="Reneg"/>
      <sheetName val="Repasses"/>
      <sheetName val="Res63"/>
      <sheetName val="Comex"/>
      <sheetName val="Fianca"/>
      <sheetName val="CDB"/>
      <sheetName val="Poupança"/>
      <sheetName val="PoupMax"/>
      <sheetName val="DepVista"/>
      <sheetName val="Float"/>
      <sheetName val="ContaIntel"/>
      <sheetName val="Fundos"/>
      <sheetName val="Ativos"/>
      <sheetName val="Passivos"/>
      <sheetName val="Captacoes"/>
      <sheetName val="Seguros"/>
      <sheetName val="Tarifas"/>
      <sheetName val="Comisso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"/>
      <sheetName val="Jurídico"/>
      <sheetName val="Assin Contratada"/>
      <sheetName val="Terr-preços"/>
      <sheetName val="Assin_Contratada"/>
      <sheetName val="P   CARGOS SAL CARAJAS "/>
      <sheetName val="Assin_Contratada1"/>
      <sheetName val="P___CARGOS_SAL_CARAJAS_"/>
      <sheetName val="Unit"/>
      <sheetName val="Local"/>
      <sheetName val="tabela DER julho97"/>
      <sheetName val="Plan3"/>
      <sheetName val="AVALIAÇÃO_terreno"/>
      <sheetName val="INCCTOT"/>
      <sheetName val="tabela_DER_julho97"/>
      <sheetName val="0040"/>
      <sheetName val="Proctor BGS 2"/>
      <sheetName val="DADOS MENU"/>
      <sheetName val="Control"/>
      <sheetName val="scenario"/>
      <sheetName val="Proctor_BGS_2"/>
      <sheetName val="  Eco-marshall modelo "/>
      <sheetName val=" MODELO - Eco-marshall"/>
      <sheetName val=" MODELO- Eco-marshall"/>
      <sheetName val="modelo- 16-19mm - Eco-marshall"/>
      <sheetName val="modelo- Eco Marshall"/>
      <sheetName val="MATRIZ-ECO-MARSHALL"/>
      <sheetName val="Despesas"/>
      <sheetName val="Principal"/>
      <sheetName val="ABC"/>
      <sheetName val="Contr_Global"/>
      <sheetName val="Índice"/>
      <sheetName val="Projecao"/>
      <sheetName val="Banco de Dados - Placas"/>
      <sheetName val="RELATA VÉIO"/>
      <sheetName val="A.2- RESUMO"/>
      <sheetName val="XREF"/>
      <sheetName val="Planilha1"/>
      <sheetName val="Check Farol"/>
      <sheetName val="Dados"/>
      <sheetName val="OP079907"/>
      <sheetName val="Assin_Contratada2"/>
      <sheetName val="tabela_DER_julho971"/>
      <sheetName val="PLQ - Recuperação Base de Quant"/>
      <sheetName val="Métricas"/>
      <sheetName val="Recape Drenos"/>
      <sheetName val="BASE DE DADOS 1"/>
      <sheetName val="CBUQ MÊS"/>
      <sheetName val="GERAL"/>
      <sheetName val="Resumo"/>
      <sheetName val="Premissas"/>
      <sheetName val="Assin_Contratada3"/>
      <sheetName val="tabela_DER_julho972"/>
      <sheetName val="Proctor_BGS_21"/>
      <sheetName val="DADOS_MENU"/>
      <sheetName val="P___CARGOS_SAL_CARAJAS_1"/>
      <sheetName val="__Eco-marshall_modelo_"/>
      <sheetName val="_MODELO_-_Eco-marshall"/>
      <sheetName val="_MODELO-_Eco-marshall"/>
      <sheetName val="modelo-_16-19mm_-_Eco-marshall"/>
      <sheetName val="modelo-_Eco_Marshall"/>
      <sheetName val="Banco_de_Dados_-_Placas"/>
      <sheetName val="RELATA_VÉIO"/>
      <sheetName val="Check_Farol"/>
      <sheetName val="PLQ_-_Recuperação_Base_de_Quant"/>
      <sheetName val="Recape_Drenos"/>
      <sheetName val="BASE_DE_DADOS_1"/>
      <sheetName val="CBUQ_MÊS"/>
      <sheetName val="W_Z_Q0000_Z_RTIN_01_REC_0003"/>
      <sheetName val="M.O. - 01"/>
      <sheetName val="Plan1"/>
      <sheetName val="Resumo Taquaruçu 05-19"/>
      <sheetName val="Controle de Contratos atualizad"/>
      <sheetName val="RELATA ANTIGO"/>
      <sheetName val="Padrões Horizontal"/>
      <sheetName val="Trans Assump"/>
      <sheetName val="RELATA"/>
      <sheetName val="Rendimento Equipe"/>
      <sheetName val="Índice Chuva"/>
      <sheetName val="CONSSID12-96"/>
      <sheetName val="elétrica"/>
      <sheetName val="Preço dos Dispositivos"/>
      <sheetName val="resumo geral"/>
      <sheetName val="Evolução Realizado"/>
      <sheetName val="Cadastral Fonecedor"/>
      <sheetName val="Pavim-preços"/>
      <sheetName val="Anual"/>
      <sheetName val="A"/>
      <sheetName val="Parametros"/>
      <sheetName val="Banco de Dados - Segurança"/>
      <sheetName val="BR 376 Km 181,85"/>
      <sheetName val="M.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liana Alves da Silva Lima FIS" id="{11A92E26-C0C0-41C3-84E0-F1BD6EDB9C25}" userId="S::jlima@metodo.com.br::c8a4daa5-1088-4a33-b79e-d9736583b44c" providerId="AD"/>
</personList>
</file>

<file path=xl/theme/theme1.xml><?xml version="1.0" encoding="utf-8"?>
<a:theme xmlns:a="http://schemas.openxmlformats.org/drawingml/2006/main" name="Tema do Office 2013 - 2022">
  <a:themeElements>
    <a:clrScheme name="Personalizada 6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B4C6E7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7-03T16:54:47.43" personId="{11A92E26-C0C0-41C3-84E0-F1BD6EDB9C25}" id="{590AC081-88C9-437C-AC02-2B0B4B3DA87E}">
    <text>1- Bid - Vinculado aos serviços esporádicos orfertados e que não seguirá como contrato de gestão integrada (obra);
2-Obra -  Vinculado aos contratos de Gestão Integrada;
3-Serviços - Demais serviços exceto itens 1 e 2.</text>
  </threadedComment>
  <threadedComment ref="K2" dT="2024-07-05T12:47:36.97" personId="{11A92E26-C0C0-41C3-84E0-F1BD6EDB9C25}" id="{BAFD0B08-4896-47EC-8E89-62767B5795FF}">
    <text xml:space="preserve">Informar a Margem do Projeto </text>
  </threadedComment>
  <threadedComment ref="L2" dT="2024-07-05T13:21:49.44" personId="{11A92E26-C0C0-41C3-84E0-F1BD6EDB9C25}" id="{6974D438-008B-4A7F-814E-580410D4AB22}">
    <text>34% = Alíquota de 25% IRPJ e 9% CSLL</text>
  </threadedComment>
  <threadedComment ref="D5" dT="2024-07-05T14:11:16.44" personId="{11A92E26-C0C0-41C3-84E0-F1BD6EDB9C25}" id="{6949244B-0F40-4630-8410-05F5C583B0CE}">
    <text>Serviços de construção civil poderá ser por modalidades como por empreitada, por subempreitada e por administração</text>
  </threadedComment>
  <threadedComment ref="G5" dT="2024-07-03T18:51:30.97" personId="{11A92E26-C0C0-41C3-84E0-F1BD6EDB9C25}" id="{18740B21-26C0-46F8-8654-E677DC2B2CD5}">
    <text>ISS devido no local onde o serviço foi efetivamente prestado.</text>
  </threadedComment>
  <threadedComment ref="H5" dT="2024-07-03T18:51:30.97" personId="{11A92E26-C0C0-41C3-84E0-F1BD6EDB9C25}" id="{4B517B7A-2566-427E-BAD7-7E29849C2BE5}">
    <text>ISS devido no local onde o serviço foi efetivamente prestado.</text>
  </threadedComment>
  <threadedComment ref="D6" dT="2024-07-05T14:11:16.44" personId="{11A92E26-C0C0-41C3-84E0-F1BD6EDB9C25}" id="{9B110ED9-7F7D-47F5-AB9B-DDB9C498040E}">
    <text>Serviços de construção civil poderá ser por modalidades como por empreitada, por subempreitada e por administração</text>
  </threadedComment>
  <threadedComment ref="G6" dT="2024-07-03T18:51:30.97" personId="{11A92E26-C0C0-41C3-84E0-F1BD6EDB9C25}" id="{C7091D48-349D-4868-A7E4-F4E58E30806F}">
    <text>ISS devido no local onde o serviço foi efetivamente prestado.</text>
  </threadedComment>
  <threadedComment ref="H6" dT="2024-07-03T18:51:30.97" personId="{11A92E26-C0C0-41C3-84E0-F1BD6EDB9C25}" id="{15FE57D1-F945-49FF-BC5F-E612DEDC0C40}">
    <text>ISS devido no local onde o serviço foi efetivamente prestado.</text>
  </threadedComment>
  <threadedComment ref="D7" dT="2024-07-05T14:11:16.44" personId="{11A92E26-C0C0-41C3-84E0-F1BD6EDB9C25}" id="{455DDFAF-1FB8-46DD-921C-FE4AFF3F1F74}">
    <text>Serviços de construção civil poderá ser por modalidades como por empreitada, por subempreitada e por administração</text>
  </threadedComment>
  <threadedComment ref="G7" dT="2024-07-03T18:51:30.97" personId="{11A92E26-C0C0-41C3-84E0-F1BD6EDB9C25}" id="{DF53C013-E5A9-4291-9B66-EA83F25C277D}">
    <text>ISS devido no local onde o serviço foi efetivamente prestado.</text>
  </threadedComment>
  <threadedComment ref="H7" dT="2024-07-03T18:51:30.97" personId="{11A92E26-C0C0-41C3-84E0-F1BD6EDB9C25}" id="{FC24E441-9EE8-42CB-BA5C-BF1A980230E2}">
    <text>ISS devido no local onde o serviço foi efetivamente prestado.</text>
  </threadedComment>
  <threadedComment ref="D8" dT="2024-07-05T14:11:16.44" personId="{11A92E26-C0C0-41C3-84E0-F1BD6EDB9C25}" id="{A80D5134-AF7D-4773-9D2D-AA7891E1FD4A}">
    <text>Serviços de construção civil poderá ser por modalidades como por empreitada, por subempreitada e por administração</text>
  </threadedComment>
  <threadedComment ref="G8" dT="2024-07-03T18:51:30.97" personId="{11A92E26-C0C0-41C3-84E0-F1BD6EDB9C25}" id="{43EA1918-5E9C-473A-B8EB-AD16C5DB6FCA}">
    <text>ISS devido no local onde o serviço foi efetivamente prestado.</text>
  </threadedComment>
  <threadedComment ref="H8" dT="2024-07-03T18:51:30.97" personId="{11A92E26-C0C0-41C3-84E0-F1BD6EDB9C25}" id="{A2E67F41-2D0F-4E59-9FAB-EF38626D649E}">
    <text>ISS devido no local onde o serviço foi efetivamente prestado.</text>
  </threadedComment>
  <threadedComment ref="D9" dT="2024-07-05T14:11:16.44" personId="{11A92E26-C0C0-41C3-84E0-F1BD6EDB9C25}" id="{1D2F349B-D1D3-428E-90BD-A663B9381B70}">
    <text>Serviços de construção civil poderá ser por modalidades como por empreitada, por subempreitada e por administração</text>
  </threadedComment>
  <threadedComment ref="G9" dT="2024-07-03T18:51:30.97" personId="{11A92E26-C0C0-41C3-84E0-F1BD6EDB9C25}" id="{C7DD500E-A829-423F-BE2B-0EA7A38CA3B2}">
    <text>ISS devido no local onde o serviço foi efetivamente prestado.</text>
  </threadedComment>
  <threadedComment ref="H9" dT="2024-07-03T18:51:30.97" personId="{11A92E26-C0C0-41C3-84E0-F1BD6EDB9C25}" id="{5819002F-EE95-4EAF-82FB-B1D54474DD3E}">
    <text>ISS devido no local onde o serviço foi efetivamente prestado.</text>
  </threadedComment>
  <threadedComment ref="G14" dT="2024-07-03T18:51:30.97" personId="{11A92E26-C0C0-41C3-84E0-F1BD6EDB9C25}" id="{5E189371-0257-4713-830F-53965E07F9F1}">
    <text>ISS devido no local onde o serviço foi efetivamente prestado.</text>
  </threadedComment>
  <threadedComment ref="H14" dT="2024-07-03T18:51:40.63" personId="{11A92E26-C0C0-41C3-84E0-F1BD6EDB9C25}" id="{EE4E3825-6C27-44ED-B04B-D12456E6F508}">
    <text>ISS devido no local onde o serviço foi efetivamente prestado.</text>
  </threadedComment>
  <threadedComment ref="G15" dT="2024-07-03T18:51:30.97" personId="{11A92E26-C0C0-41C3-84E0-F1BD6EDB9C25}" id="{AE4AB32F-81B2-4A8C-B2E0-9A7EFB4DE3CA}">
    <text>ISS devido no local onde o serviço foi efetivamente prestado.</text>
  </threadedComment>
  <threadedComment ref="H15" dT="2024-07-03T18:51:40.63" personId="{11A92E26-C0C0-41C3-84E0-F1BD6EDB9C25}" id="{1B6620CD-7347-46F2-B843-BB64666435BE}">
    <text>ISS devido no local onde o serviço foi efetivamente prestado.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4668-061B-445E-855D-4213A78F7AFB}">
  <sheetPr codeName="Planilha1"/>
  <dimension ref="A1:AF63"/>
  <sheetViews>
    <sheetView showGridLines="0" zoomScale="55" zoomScaleNormal="55" workbookViewId="0">
      <selection activeCell="L16" sqref="L16"/>
    </sheetView>
  </sheetViews>
  <sheetFormatPr defaultColWidth="8.85546875" defaultRowHeight="12" customHeight="1"/>
  <cols>
    <col min="1" max="1" width="17.5703125" style="63" customWidth="1"/>
    <col min="2" max="2" width="4.85546875" style="63" customWidth="1"/>
    <col min="3" max="3" width="20.85546875" style="63" customWidth="1"/>
    <col min="4" max="5" width="8.85546875" style="63" customWidth="1"/>
    <col min="6" max="6" width="4.85546875" style="63" customWidth="1"/>
    <col min="7" max="8" width="0.85546875" style="63" customWidth="1"/>
    <col min="9" max="9" width="17.5703125" style="63" customWidth="1"/>
    <col min="10" max="10" width="4.85546875" style="63" customWidth="1"/>
    <col min="11" max="11" width="40.85546875" style="63" customWidth="1"/>
    <col min="12" max="12" width="14.85546875" style="63" customWidth="1"/>
    <col min="13" max="14" width="6.85546875" style="63" customWidth="1"/>
    <col min="15" max="16" width="0.85546875" style="63" customWidth="1"/>
    <col min="17" max="17" width="17.5703125" style="63" customWidth="1"/>
    <col min="18" max="18" width="4.85546875" style="63" customWidth="1"/>
    <col min="19" max="19" width="17.85546875" style="63" customWidth="1"/>
    <col min="20" max="20" width="14.85546875" style="63" customWidth="1"/>
    <col min="21" max="21" width="7.42578125" style="63" bestFit="1" customWidth="1"/>
    <col min="22" max="23" width="0.85546875" style="63" customWidth="1"/>
    <col min="24" max="24" width="17.5703125" style="63" customWidth="1"/>
    <col min="25" max="25" width="17.5703125" style="416" customWidth="1"/>
    <col min="26" max="26" width="19.140625" style="63" bestFit="1" customWidth="1"/>
    <col min="27" max="27" width="12.5703125" style="63" bestFit="1" customWidth="1"/>
    <col min="28" max="16384" width="8.85546875" style="63"/>
  </cols>
  <sheetData>
    <row r="1" spans="1:31" ht="6" customHeight="1" thickBot="1">
      <c r="L1" s="64"/>
    </row>
    <row r="2" spans="1:31" ht="18" customHeight="1" thickTop="1">
      <c r="A2" s="308"/>
      <c r="B2" s="539" t="s">
        <v>0</v>
      </c>
      <c r="C2" s="544" t="s">
        <v>1</v>
      </c>
      <c r="D2" s="561" t="s">
        <v>2</v>
      </c>
      <c r="E2" s="561"/>
      <c r="F2" s="562"/>
      <c r="I2" s="308"/>
      <c r="J2" s="524" t="s">
        <v>3</v>
      </c>
      <c r="K2" s="428" t="s">
        <v>4</v>
      </c>
      <c r="L2" s="428" t="s">
        <v>5</v>
      </c>
      <c r="M2" s="428" t="s">
        <v>6</v>
      </c>
      <c r="N2" s="429" t="s">
        <v>7</v>
      </c>
      <c r="Q2" s="308"/>
      <c r="R2" s="558" t="s">
        <v>8</v>
      </c>
      <c r="S2" s="550" t="s">
        <v>9</v>
      </c>
      <c r="T2" s="550"/>
      <c r="U2" s="551"/>
      <c r="X2" s="308"/>
      <c r="Y2" s="547" t="s">
        <v>10</v>
      </c>
      <c r="Z2" s="548"/>
      <c r="AA2" s="549"/>
    </row>
    <row r="3" spans="1:31" ht="18" customHeight="1">
      <c r="A3" s="309"/>
      <c r="B3" s="540"/>
      <c r="C3" s="538"/>
      <c r="D3" s="555"/>
      <c r="E3" s="555"/>
      <c r="F3" s="563"/>
      <c r="I3" s="309"/>
      <c r="J3" s="534"/>
      <c r="K3" s="458" t="s">
        <v>11</v>
      </c>
      <c r="L3" s="317">
        <f>Precificação!U4</f>
        <v>17160</v>
      </c>
      <c r="M3" s="431">
        <f>IFERROR(L3/$L$36,0)</f>
        <v>1.6341738980638128E-2</v>
      </c>
      <c r="N3" s="312"/>
      <c r="Q3" s="309"/>
      <c r="R3" s="559"/>
      <c r="S3" s="433" t="s">
        <v>12</v>
      </c>
      <c r="T3" s="434">
        <f>ROUND(L28*(1+D35),2)</f>
        <v>1278817.6200000001</v>
      </c>
      <c r="U3" s="435"/>
      <c r="X3" s="309"/>
      <c r="AA3" s="312"/>
    </row>
    <row r="4" spans="1:31" ht="18" customHeight="1">
      <c r="A4" s="309"/>
      <c r="B4" s="540"/>
      <c r="C4" s="538" t="s">
        <v>13</v>
      </c>
      <c r="D4" s="564" t="s">
        <v>14</v>
      </c>
      <c r="E4" s="555"/>
      <c r="F4" s="563"/>
      <c r="I4" s="309"/>
      <c r="J4" s="534"/>
      <c r="K4" s="458" t="s">
        <v>15</v>
      </c>
      <c r="L4" s="317">
        <f>Precificação!U91</f>
        <v>555080</v>
      </c>
      <c r="M4" s="431">
        <f t="shared" ref="M4:M33" si="0">IFERROR(L4/$L$36,0)</f>
        <v>0.52861144949723848</v>
      </c>
      <c r="N4" s="312"/>
      <c r="Q4" s="309"/>
      <c r="R4" s="559"/>
      <c r="S4" s="433" t="s">
        <v>16</v>
      </c>
      <c r="T4" s="434">
        <f>SUMIF(Tarefas!$AA$32:$AA$54,"Revenda",Tarefas!$AN$32:$AN$54)</f>
        <v>0</v>
      </c>
      <c r="U4" s="435"/>
      <c r="X4" s="505">
        <f>T9/X6-1</f>
        <v>-0.27785842292289575</v>
      </c>
      <c r="Y4" s="546" t="s">
        <v>17</v>
      </c>
      <c r="Z4" s="463" t="s">
        <v>18</v>
      </c>
      <c r="AA4" s="451">
        <f>IFERROR(T3/(SUMPRODUCT(Precificação!L6:L89,Precificação!M6:M89)+SUMPRODUCT(Precificação!L95:L587,Precificação!M95:M587)),0)</f>
        <v>29290.371507100321</v>
      </c>
    </row>
    <row r="5" spans="1:31" ht="18" customHeight="1">
      <c r="A5" s="309"/>
      <c r="B5" s="540"/>
      <c r="C5" s="538"/>
      <c r="D5" s="555"/>
      <c r="E5" s="555"/>
      <c r="F5" s="563"/>
      <c r="I5" s="309"/>
      <c r="J5" s="534"/>
      <c r="K5" s="458" t="s">
        <v>19</v>
      </c>
      <c r="L5" s="317">
        <f>Precificação!U535</f>
        <v>0</v>
      </c>
      <c r="M5" s="431">
        <f t="shared" si="0"/>
        <v>0</v>
      </c>
      <c r="N5" s="312"/>
      <c r="Q5" s="309"/>
      <c r="R5" s="559"/>
      <c r="S5" s="433" t="s">
        <v>20</v>
      </c>
      <c r="T5" s="434">
        <f>SUMIF(Tarefas!$AA$32:$AA$54,"Aplicação",Tarefas!$AN$32:$AN$54)</f>
        <v>0</v>
      </c>
      <c r="U5" s="435"/>
      <c r="X5" s="350">
        <f>X6-T9</f>
        <v>591128.24465252366</v>
      </c>
      <c r="Y5" s="546"/>
      <c r="Z5" s="463" t="s">
        <v>21</v>
      </c>
      <c r="AA5" s="451">
        <f>IFERROR(T3/AA14,0)</f>
        <v>154.69468180850444</v>
      </c>
    </row>
    <row r="6" spans="1:31" ht="18" customHeight="1">
      <c r="A6" s="309"/>
      <c r="B6" s="540"/>
      <c r="C6" s="538" t="s">
        <v>22</v>
      </c>
      <c r="D6" s="565" t="s">
        <v>23</v>
      </c>
      <c r="E6" s="566"/>
      <c r="F6" s="567"/>
      <c r="I6" s="309"/>
      <c r="J6" s="534"/>
      <c r="K6" s="458" t="s">
        <v>24</v>
      </c>
      <c r="L6" s="317">
        <f>Precificação!U589</f>
        <v>85085.2506332989</v>
      </c>
      <c r="M6" s="431">
        <f t="shared" si="0"/>
        <v>8.1028027794379107E-2</v>
      </c>
      <c r="N6" s="312"/>
      <c r="Q6" s="309"/>
      <c r="R6" s="559"/>
      <c r="S6" s="433" t="s">
        <v>25</v>
      </c>
      <c r="T6" s="434">
        <f>SUMIF(Tarefas!$AA$32:$AA$54,"FD",Tarefas!$AN$32:$AN$54)</f>
        <v>0</v>
      </c>
      <c r="U6" s="435"/>
      <c r="X6" s="350">
        <v>2127444.0358302854</v>
      </c>
      <c r="Y6" s="546"/>
      <c r="Z6" s="463" t="s">
        <v>26</v>
      </c>
      <c r="AA6" s="451">
        <f>IFERROR(T3/AA16,0)</f>
        <v>151.29324125568348</v>
      </c>
    </row>
    <row r="7" spans="1:31" ht="18" customHeight="1">
      <c r="A7" s="309"/>
      <c r="B7" s="540"/>
      <c r="C7" s="538"/>
      <c r="D7" s="568"/>
      <c r="E7" s="569"/>
      <c r="F7" s="570"/>
      <c r="I7" s="309"/>
      <c r="J7" s="534"/>
      <c r="K7" s="458" t="s">
        <v>27</v>
      </c>
      <c r="L7" s="317">
        <f>Precificação!U627</f>
        <v>0</v>
      </c>
      <c r="M7" s="431">
        <f t="shared" si="0"/>
        <v>0</v>
      </c>
      <c r="N7" s="312"/>
      <c r="Q7" s="309"/>
      <c r="R7" s="559"/>
      <c r="S7" s="433" t="s">
        <v>28</v>
      </c>
      <c r="T7" s="434">
        <f>SUMIF(Tarefas!$AA$32:$AA$54,"Serviço",Tarefas!$AN$32:$AN$54)</f>
        <v>257498.17117776151</v>
      </c>
      <c r="U7" s="435"/>
      <c r="X7" s="309"/>
      <c r="AA7" s="312"/>
    </row>
    <row r="8" spans="1:31" ht="18" customHeight="1">
      <c r="A8" s="309"/>
      <c r="B8" s="540"/>
      <c r="C8" s="538" t="s">
        <v>29</v>
      </c>
      <c r="D8" s="560" t="s">
        <v>30</v>
      </c>
      <c r="E8" s="560"/>
      <c r="F8" s="466" t="s">
        <v>31</v>
      </c>
      <c r="I8" s="309"/>
      <c r="J8" s="534"/>
      <c r="K8" s="458" t="s">
        <v>32</v>
      </c>
      <c r="L8" s="317">
        <f>Precificação!U665</f>
        <v>0</v>
      </c>
      <c r="M8" s="431">
        <f t="shared" si="0"/>
        <v>0</v>
      </c>
      <c r="N8" s="312"/>
      <c r="Q8" s="309"/>
      <c r="R8" s="559"/>
      <c r="S8" s="342"/>
      <c r="T8" s="342"/>
      <c r="U8" s="343"/>
      <c r="X8" s="309"/>
      <c r="Y8" s="524" t="s">
        <v>33</v>
      </c>
      <c r="Z8" s="463" t="s">
        <v>34</v>
      </c>
      <c r="AA8" s="452">
        <f>SUMPRODUCT(Precificação!$L$7:$L$89,Precificação!$M$7:$M$89)*Dashboard!$D$15</f>
        <v>185.85600000000002</v>
      </c>
    </row>
    <row r="9" spans="1:31" ht="18" customHeight="1">
      <c r="A9" s="309"/>
      <c r="B9" s="540"/>
      <c r="C9" s="538"/>
      <c r="D9" s="555" t="s">
        <v>23</v>
      </c>
      <c r="E9" s="555"/>
      <c r="F9" s="545" t="s">
        <v>35</v>
      </c>
      <c r="I9" s="309"/>
      <c r="J9" s="534"/>
      <c r="K9" s="458" t="s">
        <v>36</v>
      </c>
      <c r="L9" s="317">
        <f>Precificação!U683</f>
        <v>0</v>
      </c>
      <c r="M9" s="431">
        <f t="shared" si="0"/>
        <v>0</v>
      </c>
      <c r="N9" s="312"/>
      <c r="Q9" s="309"/>
      <c r="R9" s="559"/>
      <c r="S9" s="552" t="s">
        <v>9</v>
      </c>
      <c r="T9" s="553">
        <f>SUM(T3:T7)</f>
        <v>1536315.7911777617</v>
      </c>
      <c r="U9" s="554"/>
      <c r="X9" s="309"/>
      <c r="Y9" s="524"/>
      <c r="Z9" s="463" t="s">
        <v>37</v>
      </c>
      <c r="AA9" s="452">
        <f>SUMPRODUCT(Precificação!$L$7:$L$89,Precificação!$M$7:$M$89,Precificação!$BM$7:$BM$89)+SUMPRODUCT(Precificação!$L$7:$L$89,Precificação!$M$7:$M$89,Precificação!$BR$7:$BR$89)+SUMPRODUCT(Precificação!$L$7:$L$89,Precificação!$M$7:$M$89,Precificação!$BW$7:$BW$89)</f>
        <v>0</v>
      </c>
    </row>
    <row r="10" spans="1:31" ht="18" customHeight="1">
      <c r="A10" s="309"/>
      <c r="B10" s="540"/>
      <c r="C10" s="538"/>
      <c r="D10" s="555"/>
      <c r="E10" s="555"/>
      <c r="F10" s="545"/>
      <c r="I10" s="309"/>
      <c r="J10" s="534"/>
      <c r="K10" s="458" t="s">
        <v>38</v>
      </c>
      <c r="L10" s="317">
        <f>Precificação!U701</f>
        <v>0</v>
      </c>
      <c r="M10" s="431">
        <f t="shared" si="0"/>
        <v>0</v>
      </c>
      <c r="N10" s="312"/>
      <c r="Q10" s="350">
        <f>T9/D13</f>
        <v>153631.57911777619</v>
      </c>
      <c r="R10" s="559"/>
      <c r="S10" s="552"/>
      <c r="T10" s="553"/>
      <c r="U10" s="554"/>
      <c r="X10" s="309"/>
      <c r="Y10" s="524"/>
      <c r="Z10" s="430" t="s">
        <v>39</v>
      </c>
      <c r="AA10" s="450">
        <f>AA8+AA9</f>
        <v>185.85600000000002</v>
      </c>
    </row>
    <row r="11" spans="1:31" ht="18" customHeight="1" thickBot="1">
      <c r="A11" s="310"/>
      <c r="B11" s="541"/>
      <c r="C11" s="421" t="s">
        <v>40</v>
      </c>
      <c r="D11" s="542"/>
      <c r="E11" s="542"/>
      <c r="F11" s="543"/>
      <c r="I11" s="309"/>
      <c r="J11" s="534"/>
      <c r="K11" s="458" t="s">
        <v>41</v>
      </c>
      <c r="L11" s="317">
        <f>Precificação!U815</f>
        <v>62455.760000000009</v>
      </c>
      <c r="M11" s="431">
        <f t="shared" si="0"/>
        <v>5.9477606512667813E-2</v>
      </c>
      <c r="N11" s="312"/>
      <c r="Q11" s="350">
        <f>T9</f>
        <v>1536315.7911777617</v>
      </c>
      <c r="R11" s="559"/>
      <c r="S11" s="342"/>
      <c r="T11" s="344">
        <v>0</v>
      </c>
      <c r="U11" s="343"/>
      <c r="X11" s="309"/>
      <c r="Y11" s="524"/>
      <c r="Z11" s="348"/>
      <c r="AA11" s="349"/>
    </row>
    <row r="12" spans="1:31" ht="18" customHeight="1" thickTop="1" thickBot="1">
      <c r="I12" s="309"/>
      <c r="J12" s="534"/>
      <c r="K12" s="458" t="s">
        <v>42</v>
      </c>
      <c r="L12" s="317">
        <f>Precificação!U845</f>
        <v>3914.9999999999995</v>
      </c>
      <c r="M12" s="431">
        <f t="shared" si="0"/>
        <v>3.7283163233798522E-3</v>
      </c>
      <c r="N12" s="312"/>
      <c r="Q12" s="309"/>
      <c r="R12" s="559"/>
      <c r="S12" s="432" t="s">
        <v>43</v>
      </c>
      <c r="T12" s="434">
        <f>IFERROR(T9/$D$14,0)</f>
        <v>153631.57911777619</v>
      </c>
      <c r="U12" s="435"/>
      <c r="X12" s="309"/>
      <c r="Y12" s="524"/>
      <c r="Z12" s="463" t="s">
        <v>44</v>
      </c>
      <c r="AA12" s="452">
        <f>SUMPRODUCT(Precificação!$L$95:$L$587,Precificação!$M$95:$M$587)*Dashboard!$D$15</f>
        <v>8266.7200000000012</v>
      </c>
    </row>
    <row r="13" spans="1:31" ht="18" customHeight="1" thickTop="1">
      <c r="A13" s="308"/>
      <c r="B13" s="533" t="s">
        <v>45</v>
      </c>
      <c r="C13" s="459" t="s">
        <v>46</v>
      </c>
      <c r="D13" s="414">
        <v>10</v>
      </c>
      <c r="E13" s="460" t="s">
        <v>47</v>
      </c>
      <c r="F13" s="311"/>
      <c r="I13" s="309"/>
      <c r="J13" s="534"/>
      <c r="K13" s="458" t="s">
        <v>48</v>
      </c>
      <c r="L13" s="317">
        <f>Precificação!U857</f>
        <v>14142.383583333336</v>
      </c>
      <c r="M13" s="431">
        <f t="shared" si="0"/>
        <v>1.3468015214620927E-2</v>
      </c>
      <c r="N13" s="312"/>
      <c r="Q13" s="309"/>
      <c r="U13" s="312"/>
      <c r="X13" s="309"/>
      <c r="Y13" s="524"/>
      <c r="Z13" s="463" t="s">
        <v>49</v>
      </c>
      <c r="AA13" s="452">
        <f>SUMPRODUCT(Precificação!$L$95:$L$587,Precificação!$M$95:$M$587,Precificação!$BM$95:$BM$587)+SUMPRODUCT(Precificação!$L$95:$L$587,Precificação!$M$95:$M$587,Precificação!$BR$95:$BR$587)+SUMPRODUCT(Precificação!$L$95:$L$587,Precificação!$M$95:$M$587,Precificação!$BW$95:$BW$587)</f>
        <v>0</v>
      </c>
    </row>
    <row r="14" spans="1:31" ht="18" customHeight="1">
      <c r="A14" s="309"/>
      <c r="B14" s="534"/>
      <c r="C14" s="458" t="s">
        <v>50</v>
      </c>
      <c r="D14" s="415">
        <v>10</v>
      </c>
      <c r="E14" s="461" t="s">
        <v>47</v>
      </c>
      <c r="F14" s="312"/>
      <c r="I14" s="309"/>
      <c r="J14" s="534"/>
      <c r="K14" s="458" t="s">
        <v>51</v>
      </c>
      <c r="L14" s="317">
        <f>Precificação!U922</f>
        <v>2464.5833333333317</v>
      </c>
      <c r="M14" s="431">
        <f t="shared" si="0"/>
        <v>2.3470616275853354E-3</v>
      </c>
      <c r="N14" s="312"/>
      <c r="Q14" s="309"/>
      <c r="U14" s="312"/>
      <c r="X14" s="309"/>
      <c r="Y14" s="524"/>
      <c r="Z14" s="430" t="s">
        <v>52</v>
      </c>
      <c r="AA14" s="450">
        <f>AA12+AA13</f>
        <v>8266.7200000000012</v>
      </c>
      <c r="AE14" s="467"/>
    </row>
    <row r="15" spans="1:31" ht="18" customHeight="1">
      <c r="A15" s="309"/>
      <c r="B15" s="534"/>
      <c r="C15" s="458" t="s">
        <v>53</v>
      </c>
      <c r="D15" s="322">
        <f>D16*D17</f>
        <v>193.60000000000002</v>
      </c>
      <c r="E15" s="461" t="s">
        <v>54</v>
      </c>
      <c r="F15" s="312"/>
      <c r="I15" s="309"/>
      <c r="J15" s="534"/>
      <c r="K15" s="458" t="s">
        <v>55</v>
      </c>
      <c r="L15" s="317">
        <f>Precificação!U941</f>
        <v>0</v>
      </c>
      <c r="M15" s="431">
        <f t="shared" si="0"/>
        <v>0</v>
      </c>
      <c r="N15" s="312"/>
      <c r="Q15" s="309"/>
      <c r="U15" s="312"/>
      <c r="X15" s="309"/>
      <c r="Y15" s="524"/>
      <c r="Z15" s="348"/>
      <c r="AA15" s="349"/>
    </row>
    <row r="16" spans="1:31" ht="18" customHeight="1">
      <c r="A16" s="309"/>
      <c r="B16" s="534"/>
      <c r="C16" s="458" t="s">
        <v>56</v>
      </c>
      <c r="D16" s="322">
        <v>22</v>
      </c>
      <c r="E16" s="461" t="s">
        <v>57</v>
      </c>
      <c r="F16" s="312"/>
      <c r="I16" s="309"/>
      <c r="J16" s="534"/>
      <c r="K16" s="458" t="s">
        <v>58</v>
      </c>
      <c r="L16" s="317">
        <f>Precificação!U967</f>
        <v>87000</v>
      </c>
      <c r="M16" s="431">
        <f t="shared" si="0"/>
        <v>8.2851473852885618E-2</v>
      </c>
      <c r="N16" s="312"/>
      <c r="Q16" s="309"/>
      <c r="U16" s="312"/>
      <c r="X16" s="309"/>
      <c r="Y16" s="524"/>
      <c r="Z16" s="430" t="s">
        <v>59</v>
      </c>
      <c r="AA16" s="450">
        <f>AA10+AA14</f>
        <v>8452.5760000000009</v>
      </c>
    </row>
    <row r="17" spans="1:32" ht="18" customHeight="1" thickBot="1">
      <c r="A17" s="310"/>
      <c r="B17" s="535"/>
      <c r="C17" s="421" t="s">
        <v>60</v>
      </c>
      <c r="D17" s="323">
        <v>8.8000000000000007</v>
      </c>
      <c r="E17" s="462" t="s">
        <v>61</v>
      </c>
      <c r="F17" s="314"/>
      <c r="I17" s="309"/>
      <c r="J17" s="534"/>
      <c r="K17" s="458" t="s">
        <v>62</v>
      </c>
      <c r="L17" s="317">
        <f>Precificação!U986</f>
        <v>2000</v>
      </c>
      <c r="M17" s="431">
        <f t="shared" si="0"/>
        <v>1.9046315828249566E-3</v>
      </c>
      <c r="N17" s="312"/>
      <c r="Q17" s="309"/>
      <c r="U17" s="312"/>
      <c r="X17" s="309"/>
      <c r="AA17" s="312"/>
    </row>
    <row r="18" spans="1:32" ht="18" customHeight="1" thickTop="1" thickBot="1">
      <c r="A18" s="309"/>
      <c r="F18" s="312"/>
      <c r="I18" s="309"/>
      <c r="J18" s="534"/>
      <c r="K18" s="458" t="s">
        <v>63</v>
      </c>
      <c r="L18" s="317">
        <f>Precificação!U1191</f>
        <v>39989.467333333327</v>
      </c>
      <c r="M18" s="431">
        <f t="shared" si="0"/>
        <v>3.8082601231706772E-2</v>
      </c>
      <c r="N18" s="312"/>
      <c r="Q18" s="309"/>
      <c r="U18" s="312"/>
      <c r="X18" s="309"/>
      <c r="Y18" s="524" t="s">
        <v>64</v>
      </c>
      <c r="Z18" s="463" t="s">
        <v>65</v>
      </c>
      <c r="AA18" s="452">
        <f>'Cronog. e Histog.'!I851</f>
        <v>0.08</v>
      </c>
    </row>
    <row r="19" spans="1:32" ht="18" customHeight="1" thickTop="1">
      <c r="A19" s="308"/>
      <c r="B19" s="536" t="s">
        <v>66</v>
      </c>
      <c r="C19" s="459" t="s">
        <v>67</v>
      </c>
      <c r="D19" s="346">
        <v>0.5</v>
      </c>
      <c r="E19" s="460" t="s">
        <v>68</v>
      </c>
      <c r="F19" s="311"/>
      <c r="I19" s="309"/>
      <c r="J19" s="534"/>
      <c r="K19" s="458" t="s">
        <v>69</v>
      </c>
      <c r="L19" s="317">
        <f>Precificação!U1219</f>
        <v>0</v>
      </c>
      <c r="M19" s="431">
        <f t="shared" si="0"/>
        <v>0</v>
      </c>
      <c r="N19" s="312"/>
      <c r="Q19" s="309"/>
      <c r="U19" s="312"/>
      <c r="X19" s="309"/>
      <c r="Y19" s="524"/>
      <c r="Z19" s="463" t="s">
        <v>70</v>
      </c>
      <c r="AA19" s="452">
        <f>'Cronog. e Histog.'!I691+'Cronog. e Histog.'!I748</f>
        <v>4.2699999999999996</v>
      </c>
      <c r="AE19" s="467"/>
    </row>
    <row r="20" spans="1:32" ht="18" customHeight="1">
      <c r="A20" s="309"/>
      <c r="B20" s="524"/>
      <c r="C20" s="458" t="s">
        <v>71</v>
      </c>
      <c r="D20" s="347">
        <v>0.75</v>
      </c>
      <c r="E20" s="461" t="s">
        <v>68</v>
      </c>
      <c r="F20" s="312"/>
      <c r="I20" s="309"/>
      <c r="J20" s="534"/>
      <c r="K20" s="458" t="s">
        <v>72</v>
      </c>
      <c r="L20" s="317">
        <f>Precificação!U1246</f>
        <v>0</v>
      </c>
      <c r="M20" s="431">
        <f t="shared" si="0"/>
        <v>0</v>
      </c>
      <c r="N20" s="312"/>
      <c r="Q20" s="309"/>
      <c r="U20" s="312"/>
      <c r="X20" s="309"/>
      <c r="Y20" s="524"/>
      <c r="Z20" s="430" t="s">
        <v>73</v>
      </c>
      <c r="AA20" s="450">
        <f>AA18+AA19</f>
        <v>4.3499999999999996</v>
      </c>
    </row>
    <row r="21" spans="1:32" ht="18" customHeight="1">
      <c r="A21" s="309"/>
      <c r="B21" s="524"/>
      <c r="C21" s="458" t="s">
        <v>74</v>
      </c>
      <c r="D21" s="347">
        <v>1</v>
      </c>
      <c r="E21" s="461" t="s">
        <v>68</v>
      </c>
      <c r="F21" s="312"/>
      <c r="I21" s="309"/>
      <c r="J21" s="534"/>
      <c r="K21" s="458" t="s">
        <v>75</v>
      </c>
      <c r="L21" s="317">
        <f>Precificação!U1378</f>
        <v>0</v>
      </c>
      <c r="M21" s="431">
        <f t="shared" si="0"/>
        <v>0</v>
      </c>
      <c r="N21" s="312"/>
      <c r="Q21" s="309"/>
      <c r="U21" s="312"/>
      <c r="X21" s="309"/>
      <c r="Y21" s="524"/>
      <c r="Z21" s="348"/>
      <c r="AA21" s="349"/>
    </row>
    <row r="22" spans="1:32" ht="18" customHeight="1" thickBot="1">
      <c r="A22" s="309"/>
      <c r="B22" s="524"/>
      <c r="C22" s="458" t="s">
        <v>76</v>
      </c>
      <c r="D22" s="347">
        <v>0.06</v>
      </c>
      <c r="E22" s="461" t="s">
        <v>68</v>
      </c>
      <c r="F22" s="312"/>
      <c r="I22" s="309"/>
      <c r="J22" s="534"/>
      <c r="K22" s="458" t="s">
        <v>77</v>
      </c>
      <c r="L22" s="317">
        <f>Precificação!U1417</f>
        <v>0</v>
      </c>
      <c r="M22" s="431">
        <f t="shared" si="0"/>
        <v>0</v>
      </c>
      <c r="N22" s="312"/>
      <c r="Q22" s="310"/>
      <c r="R22" s="313"/>
      <c r="S22" s="313"/>
      <c r="T22" s="313"/>
      <c r="U22" s="314"/>
      <c r="X22" s="309"/>
      <c r="Y22" s="524"/>
      <c r="Z22" s="463" t="s">
        <v>78</v>
      </c>
      <c r="AA22" s="3">
        <f>IFERROR(AA18/$AA$20,0)</f>
        <v>1.8390804597701153E-2</v>
      </c>
      <c r="AC22" s="467"/>
    </row>
    <row r="23" spans="1:32" ht="18" customHeight="1" thickTop="1" thickBot="1">
      <c r="A23" s="310"/>
      <c r="B23" s="537"/>
      <c r="C23" s="421" t="s">
        <v>79</v>
      </c>
      <c r="D23" s="323">
        <v>220</v>
      </c>
      <c r="E23" s="462" t="s">
        <v>80</v>
      </c>
      <c r="F23" s="314"/>
      <c r="I23" s="309"/>
      <c r="J23" s="534"/>
      <c r="K23" s="458" t="s">
        <v>81</v>
      </c>
      <c r="L23" s="317">
        <f>Precificação!U1427</f>
        <v>3929.4000000000005</v>
      </c>
      <c r="M23" s="431">
        <f t="shared" si="0"/>
        <v>3.7420296707761929E-3</v>
      </c>
      <c r="N23" s="312"/>
      <c r="Q23" s="345"/>
      <c r="R23" s="345"/>
      <c r="S23" s="345"/>
      <c r="T23" s="345"/>
      <c r="U23" s="345"/>
      <c r="X23" s="309"/>
      <c r="Y23" s="524"/>
      <c r="Z23" s="463" t="s">
        <v>82</v>
      </c>
      <c r="AA23" s="3">
        <f>IFERROR(AA19/$AA$20,0)</f>
        <v>0.98160919540229885</v>
      </c>
    </row>
    <row r="24" spans="1:32" ht="18" customHeight="1" thickTop="1">
      <c r="A24" s="341" t="s">
        <v>83</v>
      </c>
      <c r="B24" s="426" t="s">
        <v>84</v>
      </c>
      <c r="C24" s="422"/>
      <c r="D24" s="424"/>
      <c r="E24" s="425"/>
      <c r="F24" s="312"/>
      <c r="I24" s="309"/>
      <c r="J24" s="534"/>
      <c r="K24" s="458" t="s">
        <v>85</v>
      </c>
      <c r="L24" s="317">
        <f>Precificação!U1460</f>
        <v>0</v>
      </c>
      <c r="M24" s="431">
        <f t="shared" si="0"/>
        <v>0</v>
      </c>
      <c r="N24" s="312"/>
      <c r="Q24" s="522" t="s">
        <v>84</v>
      </c>
      <c r="R24" s="442" t="s">
        <v>86</v>
      </c>
      <c r="S24" s="442"/>
      <c r="T24" s="442"/>
      <c r="U24" s="443" t="s">
        <v>68</v>
      </c>
      <c r="X24" s="309"/>
      <c r="Y24" s="524"/>
      <c r="Z24" s="348"/>
      <c r="AA24" s="349"/>
    </row>
    <row r="25" spans="1:32" ht="18" customHeight="1" thickBot="1">
      <c r="A25" s="309"/>
      <c r="B25" s="524" t="str">
        <f>IF(A24="Empreitada","Margem","Markup")</f>
        <v>Margem</v>
      </c>
      <c r="C25" s="458" t="str">
        <f>IF(A24="Empreitada","Lucro","Taxa de Administração")</f>
        <v>Lucro</v>
      </c>
      <c r="D25" s="457">
        <v>0.11</v>
      </c>
      <c r="E25" s="525">
        <f>SUM(D25:D28)</f>
        <v>0.23</v>
      </c>
      <c r="F25" s="312"/>
      <c r="I25" s="309"/>
      <c r="J25" s="534"/>
      <c r="K25" s="458" t="s">
        <v>87</v>
      </c>
      <c r="L25" s="317">
        <f>Precificação!U1474</f>
        <v>850</v>
      </c>
      <c r="M25" s="431">
        <f t="shared" si="0"/>
        <v>8.0946842270060654E-4</v>
      </c>
      <c r="N25" s="312"/>
      <c r="Q25" s="523"/>
      <c r="R25" s="524" t="s">
        <v>88</v>
      </c>
      <c r="S25" s="458" t="str">
        <f>IF(C25&gt;0,C25,"")</f>
        <v>Lucro</v>
      </c>
      <c r="T25" s="317">
        <f>IF(AND($Q$24=$B$24,$A$24="Empreitada"),D25*($T$9-$T$6),D25*(($T$9-$T$6)/(1+$D$35)))</f>
        <v>168994.7370295538</v>
      </c>
      <c r="U25" s="440">
        <f t="shared" ref="U25:U28" si="1">IFERROR(T25/($T$9-$T$6),0)</f>
        <v>0.11</v>
      </c>
      <c r="X25" s="310"/>
      <c r="Y25" s="537"/>
      <c r="Z25" s="464" t="s">
        <v>89</v>
      </c>
      <c r="AA25" s="453">
        <f>IFERROR(SUM('Cronog. e Histog.'!K860:BR860)/SUM('Cronog. e Histog.'!K858:BR859),0)</f>
        <v>2.2482435597189699E-2</v>
      </c>
    </row>
    <row r="26" spans="1:32" ht="18" customHeight="1" thickTop="1" thickBot="1">
      <c r="A26" s="309"/>
      <c r="B26" s="524"/>
      <c r="C26" s="458" t="s">
        <v>90</v>
      </c>
      <c r="D26" s="457">
        <v>0.1</v>
      </c>
      <c r="E26" s="526"/>
      <c r="F26" s="312"/>
      <c r="I26" s="350"/>
      <c r="J26" s="534"/>
      <c r="K26" s="458" t="s">
        <v>91</v>
      </c>
      <c r="L26" s="317">
        <f>Precificação!U1543</f>
        <v>0</v>
      </c>
      <c r="M26" s="431">
        <f t="shared" si="0"/>
        <v>0</v>
      </c>
      <c r="N26" s="436">
        <f>IFERROR(L26/$L$36,0)</f>
        <v>0</v>
      </c>
      <c r="Q26" s="523"/>
      <c r="R26" s="524"/>
      <c r="S26" s="458" t="str">
        <f>IF(C26&gt;0,C26,"")</f>
        <v>Overhead</v>
      </c>
      <c r="T26" s="317">
        <f t="shared" ref="T26:T28" si="2">IF(AND($Q$24=$B$24,$A$24="Empreitada"),D26*($T$9-$T$6),D26*(($T$9-$T$6)/(1+$D$35)))</f>
        <v>153631.57911777619</v>
      </c>
      <c r="U26" s="440">
        <f t="shared" si="1"/>
        <v>0.1</v>
      </c>
      <c r="AD26" s="467"/>
      <c r="AE26" s="467"/>
    </row>
    <row r="27" spans="1:32" ht="18" customHeight="1" thickTop="1">
      <c r="A27" s="309"/>
      <c r="B27" s="524"/>
      <c r="C27" s="458" t="s">
        <v>92</v>
      </c>
      <c r="D27" s="457">
        <v>0.02</v>
      </c>
      <c r="E27" s="526"/>
      <c r="F27" s="312"/>
      <c r="I27" s="309"/>
      <c r="J27" s="534"/>
      <c r="K27" s="458" t="s">
        <v>93</v>
      </c>
      <c r="L27" s="317">
        <f>Precificação!U1549</f>
        <v>0</v>
      </c>
      <c r="M27" s="431">
        <f t="shared" si="0"/>
        <v>0</v>
      </c>
      <c r="N27" s="312"/>
      <c r="Q27" s="523"/>
      <c r="R27" s="524"/>
      <c r="S27" s="458" t="str">
        <f>IF(C27&gt;0,C27,"")</f>
        <v>Taxa de negociação</v>
      </c>
      <c r="T27" s="317">
        <f t="shared" si="2"/>
        <v>30726.315823555236</v>
      </c>
      <c r="U27" s="440">
        <f t="shared" si="1"/>
        <v>0.02</v>
      </c>
      <c r="X27" s="308"/>
      <c r="Y27" s="417"/>
      <c r="Z27" s="351"/>
      <c r="AA27" s="311"/>
    </row>
    <row r="28" spans="1:32" ht="18" customHeight="1" thickBot="1">
      <c r="A28" s="309"/>
      <c r="B28" s="524"/>
      <c r="C28" s="458" t="s">
        <v>94</v>
      </c>
      <c r="D28" s="457">
        <v>0</v>
      </c>
      <c r="E28" s="526"/>
      <c r="F28" s="312"/>
      <c r="I28" s="310"/>
      <c r="J28" s="534"/>
      <c r="K28" s="430" t="s">
        <v>95</v>
      </c>
      <c r="L28" s="437">
        <f>SUM(L3:L27)</f>
        <v>874071.84488329897</v>
      </c>
      <c r="M28" s="431">
        <f>IFERROR(L28/$L$36,0)</f>
        <v>0.83239242071140385</v>
      </c>
      <c r="N28" s="314"/>
      <c r="Q28" s="523"/>
      <c r="R28" s="524"/>
      <c r="S28" s="458" t="str">
        <f>IF(C28&gt;0,C28,"")</f>
        <v>Custo Financeiro</v>
      </c>
      <c r="T28" s="317">
        <f t="shared" si="2"/>
        <v>0</v>
      </c>
      <c r="U28" s="440">
        <f t="shared" si="1"/>
        <v>0</v>
      </c>
      <c r="X28" s="309"/>
      <c r="AA28" s="312"/>
    </row>
    <row r="29" spans="1:32" ht="18" customHeight="1" thickTop="1" thickBot="1">
      <c r="A29" s="309"/>
      <c r="F29" s="312"/>
      <c r="L29" s="64"/>
      <c r="Q29" s="523"/>
      <c r="R29" s="444" t="s">
        <v>96</v>
      </c>
      <c r="S29" s="444"/>
      <c r="T29" s="441">
        <f>SUM(T25:T28)</f>
        <v>353352.63197088521</v>
      </c>
      <c r="U29" s="440">
        <f>SUM(U25:U28)</f>
        <v>0.23</v>
      </c>
      <c r="X29" s="309"/>
      <c r="AA29" s="312"/>
    </row>
    <row r="30" spans="1:32" ht="18" customHeight="1" thickTop="1">
      <c r="A30" s="309"/>
      <c r="B30" s="527" t="s">
        <v>97</v>
      </c>
      <c r="C30" s="458" t="s">
        <v>98</v>
      </c>
      <c r="D30" s="457">
        <v>6.4999999999999997E-3</v>
      </c>
      <c r="E30" s="525">
        <f>SUM(D30:D33)</f>
        <v>8.6499999999999994E-2</v>
      </c>
      <c r="F30" s="312"/>
      <c r="I30" s="308"/>
      <c r="J30" s="536" t="s">
        <v>99</v>
      </c>
      <c r="K30" s="459" t="s">
        <v>16</v>
      </c>
      <c r="L30" s="454">
        <f>SUMIF(Tarefas!$AA$32:$AA$54,"Revenda",Tarefas!$AC$32:$AC$54)</f>
        <v>0</v>
      </c>
      <c r="M30" s="439">
        <f t="shared" si="0"/>
        <v>0</v>
      </c>
      <c r="N30" s="311"/>
      <c r="Q30" s="309"/>
      <c r="U30" s="312"/>
      <c r="X30" s="309"/>
      <c r="AA30" s="312"/>
    </row>
    <row r="31" spans="1:32" ht="18" customHeight="1">
      <c r="A31" s="309"/>
      <c r="B31" s="527"/>
      <c r="C31" s="458" t="s">
        <v>100</v>
      </c>
      <c r="D31" s="457">
        <v>0.03</v>
      </c>
      <c r="E31" s="526"/>
      <c r="F31" s="312"/>
      <c r="I31" s="309"/>
      <c r="J31" s="534"/>
      <c r="K31" s="458" t="s">
        <v>20</v>
      </c>
      <c r="L31" s="317">
        <f>SUMIF(Tarefas!$AA$32:$AA$54,"Aplicação",Tarefas!$AC$32:$AC$54)</f>
        <v>0</v>
      </c>
      <c r="M31" s="431">
        <f t="shared" si="0"/>
        <v>0</v>
      </c>
      <c r="N31" s="312"/>
      <c r="Q31" s="309"/>
      <c r="R31" s="519" t="s">
        <v>97</v>
      </c>
      <c r="S31" s="458" t="str">
        <f>IF(C30&gt;0,C30,"")</f>
        <v>PIS</v>
      </c>
      <c r="T31" s="317">
        <f>D30*($T$9-$T$6-$T$7)</f>
        <v>8312.3145299999996</v>
      </c>
      <c r="U31" s="440">
        <f t="shared" ref="U31:U34" si="3">IFERROR(T31/$T$9,0)</f>
        <v>5.4105507329503264E-3</v>
      </c>
      <c r="X31" s="309"/>
      <c r="AA31" s="312"/>
      <c r="AF31" s="467"/>
    </row>
    <row r="32" spans="1:32" ht="18" customHeight="1">
      <c r="A32" s="309"/>
      <c r="B32" s="527"/>
      <c r="C32" s="458" t="s">
        <v>101</v>
      </c>
      <c r="D32" s="457">
        <f>VLOOKUP(D9,'APOIO Impostos'!L:O,2,0)</f>
        <v>0.05</v>
      </c>
      <c r="E32" s="526"/>
      <c r="F32" s="312"/>
      <c r="I32" s="309"/>
      <c r="J32" s="534"/>
      <c r="K32" s="458" t="s">
        <v>25</v>
      </c>
      <c r="L32" s="317">
        <f>SUMIF(Tarefas!$AA$32:$AA$54,"FD",Tarefas!$AC$32:$AC$54)</f>
        <v>0</v>
      </c>
      <c r="M32" s="431">
        <f t="shared" si="0"/>
        <v>0</v>
      </c>
      <c r="N32" s="312"/>
      <c r="Q32" s="309"/>
      <c r="R32" s="520"/>
      <c r="S32" s="458" t="str">
        <f>IF(C31&gt;0,C31,"")</f>
        <v>COFINS</v>
      </c>
      <c r="T32" s="317">
        <f t="shared" ref="T32:T34" si="4">D31*($T$9-$T$6-$T$7)</f>
        <v>38364.528600000005</v>
      </c>
      <c r="U32" s="440">
        <f t="shared" si="3"/>
        <v>2.4971772613616897E-2</v>
      </c>
      <c r="X32" s="309"/>
      <c r="AA32" s="312"/>
    </row>
    <row r="33" spans="1:27" ht="18" customHeight="1">
      <c r="A33" s="309"/>
      <c r="B33" s="527"/>
      <c r="C33" s="458" t="s">
        <v>102</v>
      </c>
      <c r="D33" s="457"/>
      <c r="E33" s="526"/>
      <c r="F33" s="312"/>
      <c r="I33" s="309"/>
      <c r="J33" s="534"/>
      <c r="K33" s="458" t="s">
        <v>28</v>
      </c>
      <c r="L33" s="317">
        <f>SUMIF(Tarefas!$AA$32:$AA$54,"Serviço",Tarefas!$AC$32:$AC$54)</f>
        <v>176000</v>
      </c>
      <c r="M33" s="431">
        <f t="shared" si="0"/>
        <v>0.16760757928859618</v>
      </c>
      <c r="N33" s="312"/>
      <c r="Q33" s="309"/>
      <c r="R33" s="520"/>
      <c r="S33" s="458" t="str">
        <f>IF(C32&gt;0,C32,"")</f>
        <v>ISSQN</v>
      </c>
      <c r="T33" s="317">
        <f t="shared" si="4"/>
        <v>63940.881000000008</v>
      </c>
      <c r="U33" s="440">
        <f t="shared" si="3"/>
        <v>4.1619621022694828E-2</v>
      </c>
      <c r="X33" s="309"/>
      <c r="AA33" s="312"/>
    </row>
    <row r="34" spans="1:27" ht="18" customHeight="1">
      <c r="A34" s="309"/>
      <c r="F34" s="312"/>
      <c r="I34" s="309"/>
      <c r="J34" s="534"/>
      <c r="K34" s="430" t="s">
        <v>103</v>
      </c>
      <c r="L34" s="437">
        <f>SUM(L30:L33)</f>
        <v>176000</v>
      </c>
      <c r="M34" s="431">
        <f>IFERROR(L34/$L$36,0)</f>
        <v>0.16760757928859618</v>
      </c>
      <c r="N34" s="312"/>
      <c r="Q34" s="309"/>
      <c r="R34" s="520"/>
      <c r="S34" s="458" t="str">
        <f>IF(C33&gt;0,C33,"")</f>
        <v>CPRB</v>
      </c>
      <c r="T34" s="317">
        <f t="shared" si="4"/>
        <v>0</v>
      </c>
      <c r="U34" s="440">
        <f t="shared" si="3"/>
        <v>0</v>
      </c>
      <c r="X34" s="309"/>
      <c r="AA34" s="312"/>
    </row>
    <row r="35" spans="1:27" ht="18" customHeight="1">
      <c r="A35" s="309"/>
      <c r="B35" s="528" t="s">
        <v>104</v>
      </c>
      <c r="C35" s="529"/>
      <c r="D35" s="531">
        <f>IF(A24="Empreitada",(1/(1-E25-E30))-1,(1*(1+E25)/(1-E30))-1)</f>
        <v>0.46305779078273601</v>
      </c>
      <c r="E35" s="531"/>
      <c r="F35" s="312"/>
      <c r="I35" s="309"/>
      <c r="L35" s="64"/>
      <c r="N35" s="312"/>
      <c r="Q35" s="309"/>
      <c r="R35" s="521"/>
      <c r="S35" s="458" t="s">
        <v>105</v>
      </c>
      <c r="T35" s="317">
        <f>E30*($T$7)</f>
        <v>22273.591806876368</v>
      </c>
      <c r="U35" s="440"/>
      <c r="X35" s="309"/>
      <c r="AA35" s="312"/>
    </row>
    <row r="36" spans="1:27" ht="18" customHeight="1" thickBot="1">
      <c r="A36" s="310"/>
      <c r="B36" s="530"/>
      <c r="C36" s="530"/>
      <c r="D36" s="532"/>
      <c r="E36" s="532"/>
      <c r="F36" s="314"/>
      <c r="I36" s="310"/>
      <c r="J36" s="557" t="s">
        <v>106</v>
      </c>
      <c r="K36" s="557"/>
      <c r="L36" s="438">
        <f>L28+L34</f>
        <v>1050071.844883299</v>
      </c>
      <c r="M36" s="313"/>
      <c r="N36" s="314"/>
      <c r="Q36" s="310"/>
      <c r="R36" s="445" t="s">
        <v>107</v>
      </c>
      <c r="S36" s="445"/>
      <c r="T36" s="438">
        <f>SUM(T31:T35)</f>
        <v>132891.31593687637</v>
      </c>
      <c r="U36" s="314"/>
      <c r="X36" s="309"/>
      <c r="AA36" s="312"/>
    </row>
    <row r="37" spans="1:27" ht="18" customHeight="1" thickTop="1">
      <c r="A37" s="324" t="s">
        <v>83</v>
      </c>
      <c r="B37" s="423" t="s">
        <v>25</v>
      </c>
      <c r="C37" s="423"/>
      <c r="D37" s="424"/>
      <c r="E37" s="425"/>
      <c r="F37" s="312"/>
      <c r="L37" s="64"/>
      <c r="Q37" s="522" t="s">
        <v>25</v>
      </c>
      <c r="R37" s="442" t="s">
        <v>86</v>
      </c>
      <c r="S37" s="442"/>
      <c r="T37" s="442"/>
      <c r="U37" s="443" t="s">
        <v>68</v>
      </c>
      <c r="X37" s="447" t="s">
        <v>108</v>
      </c>
      <c r="Y37" s="418" t="s">
        <v>109</v>
      </c>
      <c r="Z37" s="315">
        <f>T9</f>
        <v>1536315.7911777617</v>
      </c>
      <c r="AA37" s="316">
        <f>IFERROR(Z37/$Z$37,0)</f>
        <v>1</v>
      </c>
    </row>
    <row r="38" spans="1:27" ht="18" customHeight="1">
      <c r="A38" s="309"/>
      <c r="B38" s="524" t="str">
        <f>IF(A37="Empreitada","Margem","Markup")</f>
        <v>Margem</v>
      </c>
      <c r="C38" s="458" t="str">
        <f>IF(A37="Empreitada","Lucro","Taxa de Administração")</f>
        <v>Lucro</v>
      </c>
      <c r="D38" s="457">
        <f>D25</f>
        <v>0.11</v>
      </c>
      <c r="E38" s="525">
        <f>SUM(D38:D41)</f>
        <v>0.23</v>
      </c>
      <c r="F38" s="312"/>
      <c r="Q38" s="523"/>
      <c r="R38" s="524" t="s">
        <v>88</v>
      </c>
      <c r="S38" s="458" t="str">
        <f>IF(C38&gt;0,C38,"")</f>
        <v>Lucro</v>
      </c>
      <c r="T38" s="317">
        <f>IF(AND($Q$37=$B$37,$A$37="Empreitada"),(D38/(1-$E$43)*($T$6))*(1-$E$43),D38*(($T$6)/(1+$D$48)))</f>
        <v>0</v>
      </c>
      <c r="U38" s="440" t="e">
        <f>IF(AND($Q$37=$B$37,$A$37="Empreitada"),T38/($T$4),T38/(($T$4)/(1+$D$48)))</f>
        <v>#DIV/0!</v>
      </c>
      <c r="X38" s="448" t="s">
        <v>110</v>
      </c>
      <c r="Y38" s="465" t="s">
        <v>111</v>
      </c>
      <c r="Z38" s="317">
        <f>T31+T32+T33</f>
        <v>110617.72413000002</v>
      </c>
      <c r="AA38" s="556">
        <f>IFERROR(SUM(Z38:Z39)/$Z$37,0)</f>
        <v>8.6499999999999994E-2</v>
      </c>
    </row>
    <row r="39" spans="1:27" ht="18" customHeight="1">
      <c r="A39" s="309"/>
      <c r="B39" s="524"/>
      <c r="C39" s="458" t="s">
        <v>90</v>
      </c>
      <c r="D39" s="457">
        <f t="shared" ref="D39:D41" si="5">D26</f>
        <v>0.1</v>
      </c>
      <c r="E39" s="526"/>
      <c r="F39" s="312"/>
      <c r="Q39" s="523"/>
      <c r="R39" s="524"/>
      <c r="S39" s="458" t="str">
        <f>IF(C39&gt;0,C39,"")</f>
        <v>Overhead</v>
      </c>
      <c r="T39" s="317">
        <f t="shared" ref="T39:T41" si="6">IF(AND($Q$37=$B$37,$A$37="Empreitada"),(D39/(1-$E$43)*($T$6))*(1-$E$43),D39*(($T$6)/(1+$D$48)))</f>
        <v>0</v>
      </c>
      <c r="U39" s="440" t="e">
        <f t="shared" ref="U39:U41" si="7">IF(AND($Q$37=$B$37,$A$37="Empreitada"),T39/($T$4),T39/(($T$4)/(1+$D$48)))</f>
        <v>#DIV/0!</v>
      </c>
      <c r="X39" s="448" t="s">
        <v>112</v>
      </c>
      <c r="Y39" s="465" t="s">
        <v>113</v>
      </c>
      <c r="Z39" s="317">
        <f>T35+T49</f>
        <v>22273.591806876368</v>
      </c>
      <c r="AA39" s="556"/>
    </row>
    <row r="40" spans="1:27" ht="18" customHeight="1">
      <c r="A40" s="309"/>
      <c r="B40" s="524"/>
      <c r="C40" s="458" t="s">
        <v>92</v>
      </c>
      <c r="D40" s="457">
        <f>D27</f>
        <v>0.02</v>
      </c>
      <c r="E40" s="526"/>
      <c r="F40" s="312"/>
      <c r="Q40" s="523"/>
      <c r="R40" s="524"/>
      <c r="S40" s="458" t="str">
        <f>IF(C40&gt;0,C40,"")</f>
        <v>Taxa de negociação</v>
      </c>
      <c r="T40" s="317">
        <f t="shared" si="6"/>
        <v>0</v>
      </c>
      <c r="U40" s="440" t="e">
        <f t="shared" si="7"/>
        <v>#DIV/0!</v>
      </c>
      <c r="X40" s="448" t="s">
        <v>114</v>
      </c>
      <c r="Y40" s="465" t="s">
        <v>115</v>
      </c>
      <c r="Z40" s="317">
        <f>L28</f>
        <v>874071.84488329897</v>
      </c>
      <c r="AA40" s="556">
        <f>IFERROR(SUM(Z40:Z41)/$Z$37,0)</f>
        <v>0.68350000105010889</v>
      </c>
    </row>
    <row r="41" spans="1:27" ht="18" customHeight="1">
      <c r="A41" s="309"/>
      <c r="B41" s="524"/>
      <c r="C41" s="458" t="s">
        <v>94</v>
      </c>
      <c r="D41" s="457">
        <f t="shared" si="5"/>
        <v>0</v>
      </c>
      <c r="E41" s="526"/>
      <c r="F41" s="312"/>
      <c r="Q41" s="523"/>
      <c r="R41" s="524"/>
      <c r="S41" s="458" t="str">
        <f>IF(C41&gt;0,C41,"")</f>
        <v>Custo Financeiro</v>
      </c>
      <c r="T41" s="317">
        <f t="shared" si="6"/>
        <v>0</v>
      </c>
      <c r="U41" s="440" t="e">
        <f t="shared" si="7"/>
        <v>#DIV/0!</v>
      </c>
      <c r="X41" s="448" t="s">
        <v>116</v>
      </c>
      <c r="Y41" s="465" t="s">
        <v>117</v>
      </c>
      <c r="Z41" s="317">
        <f>Tarefas!AC28</f>
        <v>176000</v>
      </c>
      <c r="AA41" s="556"/>
    </row>
    <row r="42" spans="1:27" ht="18" customHeight="1">
      <c r="A42" s="309"/>
      <c r="F42" s="312"/>
      <c r="Q42" s="523"/>
      <c r="R42" s="444" t="s">
        <v>96</v>
      </c>
      <c r="S42" s="444"/>
      <c r="T42" s="441">
        <f>SUM(T38:T41)</f>
        <v>0</v>
      </c>
      <c r="U42" s="440" t="e">
        <f>SUM(U38:U41)</f>
        <v>#DIV/0!</v>
      </c>
      <c r="X42" s="448" t="s">
        <v>118</v>
      </c>
      <c r="Y42" s="419" t="s">
        <v>119</v>
      </c>
      <c r="Z42" s="318">
        <f>Z37-(Z38+Z39+Z40+Z41)</f>
        <v>353352.63035758631</v>
      </c>
      <c r="AA42" s="319">
        <f>IFERROR(Z42/$Z$37,0)</f>
        <v>0.22999999894989109</v>
      </c>
    </row>
    <row r="43" spans="1:27" ht="18" customHeight="1">
      <c r="A43" s="309"/>
      <c r="B43" s="527" t="s">
        <v>97</v>
      </c>
      <c r="C43" s="458" t="s">
        <v>98</v>
      </c>
      <c r="D43" s="457">
        <v>1.6500000000000001E-2</v>
      </c>
      <c r="E43" s="525">
        <f>SUM(D43:D46)</f>
        <v>0.14250000000000002</v>
      </c>
      <c r="F43" s="312"/>
      <c r="Q43" s="309"/>
      <c r="U43" s="312"/>
      <c r="X43" s="448" t="s">
        <v>120</v>
      </c>
      <c r="Y43" s="465" t="str">
        <f>S26</f>
        <v>Overhead</v>
      </c>
      <c r="Z43" s="317">
        <f>T26+T39</f>
        <v>153631.57911777619</v>
      </c>
      <c r="AA43" s="440">
        <f>IFERROR(Z43/$Z$37,0)</f>
        <v>0.1</v>
      </c>
    </row>
    <row r="44" spans="1:27" ht="18" customHeight="1">
      <c r="A44" s="309"/>
      <c r="B44" s="527"/>
      <c r="C44" s="458" t="s">
        <v>100</v>
      </c>
      <c r="D44" s="457">
        <v>7.5999999999999998E-2</v>
      </c>
      <c r="E44" s="526"/>
      <c r="F44" s="312"/>
      <c r="Q44" s="309"/>
      <c r="R44" s="519" t="s">
        <v>97</v>
      </c>
      <c r="S44" s="427" t="str">
        <f>IF(C43&gt;0,C43,"")</f>
        <v>PIS</v>
      </c>
      <c r="T44" s="317">
        <f>D43*($T$42/(1-$E$43))</f>
        <v>0</v>
      </c>
      <c r="U44" s="455">
        <f t="shared" ref="U44:U47" si="8">IFERROR(T44/$T$9,0)</f>
        <v>0</v>
      </c>
      <c r="X44" s="448" t="s">
        <v>121</v>
      </c>
      <c r="Y44" s="465" t="str">
        <f>S27</f>
        <v>Taxa de negociação</v>
      </c>
      <c r="Z44" s="317">
        <f>T27+T40</f>
        <v>30726.315823555236</v>
      </c>
      <c r="AA44" s="440">
        <f>IFERROR(Z44/$Z$37,0)</f>
        <v>0.02</v>
      </c>
    </row>
    <row r="45" spans="1:27" ht="18" customHeight="1">
      <c r="A45" s="309"/>
      <c r="B45" s="527"/>
      <c r="C45" s="458" t="s">
        <v>101</v>
      </c>
      <c r="D45" s="457">
        <f>VLOOKUP(D9,'APOIO Impostos'!L:O,2,0)</f>
        <v>0.05</v>
      </c>
      <c r="E45" s="526"/>
      <c r="F45" s="312"/>
      <c r="Q45" s="309"/>
      <c r="R45" s="520"/>
      <c r="S45" s="427" t="str">
        <f>IF(C44&gt;0,C44,"")</f>
        <v>COFINS</v>
      </c>
      <c r="T45" s="317">
        <f>D44*($T$42/(1-$E$43))</f>
        <v>0</v>
      </c>
      <c r="U45" s="455">
        <f t="shared" si="8"/>
        <v>0</v>
      </c>
      <c r="X45" s="448" t="s">
        <v>121</v>
      </c>
      <c r="Y45" s="465" t="str">
        <f>S28</f>
        <v>Custo Financeiro</v>
      </c>
      <c r="Z45" s="317">
        <f>T28+T41</f>
        <v>0</v>
      </c>
      <c r="AA45" s="440">
        <f>IFERROR(Z45/$Z$37,0)</f>
        <v>0</v>
      </c>
    </row>
    <row r="46" spans="1:27" ht="18" customHeight="1" thickBot="1">
      <c r="A46" s="309"/>
      <c r="B46" s="527"/>
      <c r="C46" s="458" t="s">
        <v>102</v>
      </c>
      <c r="D46" s="457"/>
      <c r="E46" s="526"/>
      <c r="F46" s="312"/>
      <c r="Q46" s="309"/>
      <c r="R46" s="520"/>
      <c r="S46" s="427" t="str">
        <f>IF(C45&gt;0,C45,"")</f>
        <v>ISSQN</v>
      </c>
      <c r="T46" s="317">
        <f>D45*($T$42/(1-$E$43))</f>
        <v>0</v>
      </c>
      <c r="U46" s="455">
        <f t="shared" si="8"/>
        <v>0</v>
      </c>
      <c r="X46" s="449" t="s">
        <v>122</v>
      </c>
      <c r="Y46" s="420" t="s">
        <v>123</v>
      </c>
      <c r="Z46" s="320">
        <f>Z42-SUM(Z43:Z45)</f>
        <v>168994.7354162549</v>
      </c>
      <c r="AA46" s="321">
        <f>IFERROR(Z46/$Z$37,0)</f>
        <v>0.1099999989498911</v>
      </c>
    </row>
    <row r="47" spans="1:27" ht="18" customHeight="1" thickTop="1">
      <c r="A47" s="309"/>
      <c r="F47" s="312"/>
      <c r="Q47" s="309"/>
      <c r="R47" s="520"/>
      <c r="S47" s="427" t="str">
        <f>IF(C46&gt;0,C46,"")</f>
        <v>CPRB</v>
      </c>
      <c r="T47" s="317">
        <f>D46*($T$42/(1-$E$43))</f>
        <v>0</v>
      </c>
      <c r="U47" s="455">
        <f t="shared" si="8"/>
        <v>0</v>
      </c>
    </row>
    <row r="48" spans="1:27" ht="18" customHeight="1">
      <c r="A48" s="309"/>
      <c r="B48" s="528" t="s">
        <v>104</v>
      </c>
      <c r="C48" s="529"/>
      <c r="D48" s="531">
        <f>IF(A37="Empreitada",(1/(1-(E38/(1-E43))))-1,(1*(1+(E38/(1-E43))))-1)</f>
        <v>0.36653386454183279</v>
      </c>
      <c r="E48" s="531"/>
      <c r="F48" s="312"/>
      <c r="Q48" s="309"/>
      <c r="R48" s="521"/>
      <c r="S48" s="427"/>
      <c r="T48" s="317"/>
      <c r="U48" s="455"/>
    </row>
    <row r="49" spans="1:21" ht="18" customHeight="1" thickBot="1">
      <c r="A49" s="310"/>
      <c r="B49" s="530"/>
      <c r="C49" s="530"/>
      <c r="D49" s="532"/>
      <c r="E49" s="532"/>
      <c r="F49" s="314"/>
      <c r="Q49" s="310"/>
      <c r="R49" s="446" t="s">
        <v>107</v>
      </c>
      <c r="S49" s="446"/>
      <c r="T49" s="456">
        <f>SUM(T44:T48)</f>
        <v>0</v>
      </c>
      <c r="U49" s="314"/>
    </row>
    <row r="50" spans="1:21" ht="15" customHeight="1" thickTop="1"/>
    <row r="51" spans="1:21" ht="15" customHeight="1"/>
    <row r="52" spans="1:21" ht="15" customHeight="1"/>
    <row r="53" spans="1:21" ht="15" customHeight="1"/>
    <row r="54" spans="1:21" ht="15" customHeight="1"/>
    <row r="55" spans="1:21" ht="15" customHeight="1"/>
    <row r="56" spans="1:21" ht="15" customHeight="1"/>
    <row r="57" spans="1:21" ht="15" customHeight="1"/>
    <row r="58" spans="1:21" ht="15" customHeight="1"/>
    <row r="59" spans="1:21" ht="15" customHeight="1"/>
    <row r="60" spans="1:21" ht="15" customHeight="1"/>
    <row r="61" spans="1:21" ht="15" customHeight="1"/>
    <row r="62" spans="1:21" ht="15" customHeight="1"/>
    <row r="63" spans="1:21" ht="15" customHeight="1"/>
  </sheetData>
  <mergeCells count="45">
    <mergeCell ref="Y18:Y25"/>
    <mergeCell ref="D9:E10"/>
    <mergeCell ref="R25:R28"/>
    <mergeCell ref="AA40:AA41"/>
    <mergeCell ref="AA38:AA39"/>
    <mergeCell ref="Y8:Y16"/>
    <mergeCell ref="J30:J34"/>
    <mergeCell ref="J36:K36"/>
    <mergeCell ref="R31:R35"/>
    <mergeCell ref="R38:R41"/>
    <mergeCell ref="R2:R12"/>
    <mergeCell ref="D8:E8"/>
    <mergeCell ref="D2:F3"/>
    <mergeCell ref="D4:F5"/>
    <mergeCell ref="D6:F7"/>
    <mergeCell ref="J2:J28"/>
    <mergeCell ref="Y4:Y6"/>
    <mergeCell ref="Y2:AA2"/>
    <mergeCell ref="S2:U2"/>
    <mergeCell ref="S9:S10"/>
    <mergeCell ref="T9:U10"/>
    <mergeCell ref="B13:B17"/>
    <mergeCell ref="B19:B23"/>
    <mergeCell ref="C8:C10"/>
    <mergeCell ref="B2:B11"/>
    <mergeCell ref="D11:F11"/>
    <mergeCell ref="C2:C3"/>
    <mergeCell ref="C4:C5"/>
    <mergeCell ref="C6:C7"/>
    <mergeCell ref="F9:F10"/>
    <mergeCell ref="R44:R48"/>
    <mergeCell ref="Q24:Q29"/>
    <mergeCell ref="Q37:Q42"/>
    <mergeCell ref="B38:B41"/>
    <mergeCell ref="E38:E41"/>
    <mergeCell ref="B43:B46"/>
    <mergeCell ref="E43:E46"/>
    <mergeCell ref="B48:C49"/>
    <mergeCell ref="D48:E49"/>
    <mergeCell ref="B25:B28"/>
    <mergeCell ref="B30:B33"/>
    <mergeCell ref="B35:C36"/>
    <mergeCell ref="E25:E28"/>
    <mergeCell ref="E30:E33"/>
    <mergeCell ref="D35:E36"/>
  </mergeCells>
  <dataValidations disablePrompts="1" count="1">
    <dataValidation type="list" allowBlank="1" showInputMessage="1" showErrorMessage="1" sqref="D9:E10" xr:uid="{11D60BBA-0FE2-435E-B5B0-279CBB8F560E}">
      <formula1>MUNICÍPIOS</formula1>
    </dataValidation>
  </dataValidations>
  <pageMargins left="0.511811024" right="0.511811024" top="0.78740157499999996" bottom="0.78740157499999996" header="0.31496062000000002" footer="0.31496062000000002"/>
  <pageSetup paperSize="9"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ErrorMessage="1" errorTitle="Erro de Preenchimento" error="Deve-se selecionar a sigla correspondente ao estado a receber os serviços a serem prestados através da lista suspensa." xr:uid="{CE5A1242-B5BE-40F8-8998-5F8A5BB9FE9D}">
          <x14:formula1>
            <xm:f>'Tabela ICMS'!$C$5:$C$32</xm:f>
          </x14:formula1>
          <xm:sqref>F9:F10</xm:sqref>
        </x14:dataValidation>
        <x14:dataValidation type="list" allowBlank="1" showInputMessage="1" showErrorMessage="1" xr:uid="{DB849F87-4F21-4E4D-B121-2C00394677FA}">
          <x14:formula1>
            <xm:f>'Listas de apoio'!$Z$2:$Z$3</xm:f>
          </x14:formula1>
          <xm:sqref>A24 A37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1D9A-F43E-4641-820C-C6094B48B916}">
  <sheetPr codeName="Planilha2">
    <outlinePr summaryBelow="0" summaryRight="0"/>
  </sheetPr>
  <dimension ref="B2:BN169"/>
  <sheetViews>
    <sheetView showGridLines="0" workbookViewId="0"/>
  </sheetViews>
  <sheetFormatPr defaultColWidth="3.85546875" defaultRowHeight="12" customHeight="1"/>
  <cols>
    <col min="1" max="1" width="1.85546875" style="4" customWidth="1"/>
    <col min="2" max="61" width="3.140625" style="4" customWidth="1"/>
    <col min="62" max="16384" width="3.85546875" style="4"/>
  </cols>
  <sheetData>
    <row r="2" spans="2:61" ht="24" customHeight="1" thickBot="1">
      <c r="B2" s="33" t="s">
        <v>124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</row>
    <row r="3" spans="2:61" ht="12" customHeight="1" thickTop="1"/>
    <row r="4" spans="2:61" ht="12" customHeight="1">
      <c r="B4" s="18" t="s">
        <v>125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</row>
    <row r="5" spans="2:61" ht="12" customHeight="1">
      <c r="B5" s="19">
        <v>1</v>
      </c>
      <c r="C5" s="19">
        <v>2</v>
      </c>
      <c r="D5" s="19">
        <v>3</v>
      </c>
      <c r="E5" s="19">
        <v>4</v>
      </c>
      <c r="F5" s="19">
        <v>5</v>
      </c>
      <c r="G5" s="19">
        <v>6</v>
      </c>
      <c r="H5" s="19">
        <v>7</v>
      </c>
      <c r="I5" s="19">
        <v>8</v>
      </c>
      <c r="J5" s="19">
        <v>9</v>
      </c>
      <c r="K5" s="19">
        <v>10</v>
      </c>
      <c r="L5" s="19">
        <v>11</v>
      </c>
      <c r="M5" s="19">
        <v>12</v>
      </c>
      <c r="N5" s="19">
        <v>13</v>
      </c>
      <c r="O5" s="19">
        <v>14</v>
      </c>
      <c r="P5" s="19">
        <v>15</v>
      </c>
      <c r="Q5" s="19">
        <v>16</v>
      </c>
      <c r="R5" s="19">
        <v>17</v>
      </c>
      <c r="S5" s="19">
        <v>18</v>
      </c>
      <c r="T5" s="19">
        <v>19</v>
      </c>
      <c r="U5" s="19">
        <v>20</v>
      </c>
      <c r="V5" s="19">
        <v>21</v>
      </c>
      <c r="W5" s="19">
        <v>22</v>
      </c>
      <c r="X5" s="19">
        <v>23</v>
      </c>
      <c r="Y5" s="19">
        <v>24</v>
      </c>
      <c r="Z5" s="19">
        <v>25</v>
      </c>
      <c r="AA5" s="19">
        <v>26</v>
      </c>
      <c r="AB5" s="19">
        <v>27</v>
      </c>
      <c r="AC5" s="19">
        <v>28</v>
      </c>
      <c r="AD5" s="19">
        <v>29</v>
      </c>
      <c r="AE5" s="19">
        <v>30</v>
      </c>
      <c r="AF5" s="19">
        <v>31</v>
      </c>
      <c r="AG5" s="19">
        <v>32</v>
      </c>
      <c r="AH5" s="19">
        <v>33</v>
      </c>
      <c r="AI5" s="19">
        <v>34</v>
      </c>
      <c r="AJ5" s="19">
        <v>35</v>
      </c>
      <c r="AK5" s="19">
        <v>36</v>
      </c>
      <c r="AL5" s="19">
        <v>37</v>
      </c>
      <c r="AM5" s="19">
        <v>38</v>
      </c>
      <c r="AN5" s="19">
        <v>39</v>
      </c>
      <c r="AO5" s="19">
        <v>40</v>
      </c>
      <c r="AP5" s="19">
        <v>41</v>
      </c>
      <c r="AQ5" s="19">
        <v>42</v>
      </c>
      <c r="AR5" s="19">
        <v>43</v>
      </c>
      <c r="AS5" s="19">
        <v>44</v>
      </c>
      <c r="AT5" s="19">
        <v>45</v>
      </c>
      <c r="AU5" s="19">
        <v>46</v>
      </c>
      <c r="AV5" s="19">
        <v>47</v>
      </c>
      <c r="AW5" s="19">
        <v>48</v>
      </c>
      <c r="AX5" s="19">
        <v>49</v>
      </c>
      <c r="AY5" s="19">
        <v>50</v>
      </c>
      <c r="AZ5" s="19">
        <v>51</v>
      </c>
      <c r="BA5" s="19">
        <v>52</v>
      </c>
      <c r="BB5" s="19">
        <v>53</v>
      </c>
      <c r="BC5" s="19">
        <v>54</v>
      </c>
      <c r="BD5" s="19">
        <v>55</v>
      </c>
      <c r="BE5" s="19">
        <v>56</v>
      </c>
      <c r="BF5" s="19">
        <v>57</v>
      </c>
      <c r="BG5" s="19">
        <v>58</v>
      </c>
      <c r="BH5" s="19">
        <v>59</v>
      </c>
      <c r="BI5" s="19">
        <v>60</v>
      </c>
    </row>
    <row r="6" spans="2:61" ht="12" customHeight="1">
      <c r="B6" s="20">
        <f>IF('Cronog. e Histog.'!K97&gt;0,'Cronog. e Histog.'!K97,#N/A)</f>
        <v>9.999999999999995E-2</v>
      </c>
      <c r="C6" s="20">
        <f>IF('Cronog. e Histog.'!L97&gt;0,'Cronog. e Histog.'!L97,#N/A)</f>
        <v>9.999999999999995E-2</v>
      </c>
      <c r="D6" s="20">
        <f>IF('Cronog. e Histog.'!M97&gt;0,'Cronog. e Histog.'!M97,#N/A)</f>
        <v>9.999999999999995E-2</v>
      </c>
      <c r="E6" s="20">
        <f>IF('Cronog. e Histog.'!N97&gt;0,'Cronog. e Histog.'!N97,#N/A)</f>
        <v>9.999999999999995E-2</v>
      </c>
      <c r="F6" s="20">
        <f>IF('Cronog. e Histog.'!O97&gt;0,'Cronog. e Histog.'!O97,#N/A)</f>
        <v>9.999999999999995E-2</v>
      </c>
      <c r="G6" s="20">
        <f>IF('Cronog. e Histog.'!P97&gt;0,'Cronog. e Histog.'!P97,#N/A)</f>
        <v>9.999999999999995E-2</v>
      </c>
      <c r="H6" s="20">
        <f>IF('Cronog. e Histog.'!Q97&gt;0,'Cronog. e Histog.'!Q97,#N/A)</f>
        <v>9.999999999999995E-2</v>
      </c>
      <c r="I6" s="20">
        <f>IF('Cronog. e Histog.'!R97&gt;0,'Cronog. e Histog.'!R97,#N/A)</f>
        <v>9.999999999999995E-2</v>
      </c>
      <c r="J6" s="20">
        <f>IF('Cronog. e Histog.'!S97&gt;0,'Cronog. e Histog.'!S97,#N/A)</f>
        <v>9.999999999999995E-2</v>
      </c>
      <c r="K6" s="20">
        <f>IF('Cronog. e Histog.'!T97&gt;0,'Cronog. e Histog.'!T97,#N/A)</f>
        <v>9.999999999999995E-2</v>
      </c>
      <c r="L6" s="20" t="e">
        <f>IF('Cronog. e Histog.'!U97&gt;0,'Cronog. e Histog.'!U97,#N/A)</f>
        <v>#N/A</v>
      </c>
      <c r="M6" s="20" t="e">
        <f>IF('Cronog. e Histog.'!V97&gt;0,'Cronog. e Histog.'!V97,#N/A)</f>
        <v>#N/A</v>
      </c>
      <c r="N6" s="20" t="e">
        <f>IF('Cronog. e Histog.'!W97&gt;0,'Cronog. e Histog.'!W97,#N/A)</f>
        <v>#N/A</v>
      </c>
      <c r="O6" s="20" t="e">
        <f>IF('Cronog. e Histog.'!X97&gt;0,'Cronog. e Histog.'!X97,#N/A)</f>
        <v>#N/A</v>
      </c>
      <c r="P6" s="20" t="e">
        <f>IF('Cronog. e Histog.'!Y97&gt;0,'Cronog. e Histog.'!Y97,#N/A)</f>
        <v>#N/A</v>
      </c>
      <c r="Q6" s="20" t="e">
        <f>IF('Cronog. e Histog.'!Z97&gt;0,'Cronog. e Histog.'!Z97,#N/A)</f>
        <v>#N/A</v>
      </c>
      <c r="R6" s="20" t="e">
        <f>IF('Cronog. e Histog.'!AA97&gt;0,'Cronog. e Histog.'!AA97,#N/A)</f>
        <v>#N/A</v>
      </c>
      <c r="S6" s="20" t="e">
        <f>IF('Cronog. e Histog.'!AB97&gt;0,'Cronog. e Histog.'!AB97,#N/A)</f>
        <v>#N/A</v>
      </c>
      <c r="T6" s="20" t="e">
        <f>IF('Cronog. e Histog.'!AC97&gt;0,'Cronog. e Histog.'!AC97,#N/A)</f>
        <v>#N/A</v>
      </c>
      <c r="U6" s="20" t="e">
        <f>IF('Cronog. e Histog.'!AD97&gt;0,'Cronog. e Histog.'!AD97,#N/A)</f>
        <v>#N/A</v>
      </c>
      <c r="V6" s="20" t="e">
        <f>IF('Cronog. e Histog.'!AE97&gt;0,'Cronog. e Histog.'!AE97,#N/A)</f>
        <v>#N/A</v>
      </c>
      <c r="W6" s="20" t="e">
        <f>IF('Cronog. e Histog.'!AF97&gt;0,'Cronog. e Histog.'!AF97,#N/A)</f>
        <v>#N/A</v>
      </c>
      <c r="X6" s="20" t="e">
        <f>IF('Cronog. e Histog.'!AG97&gt;0,'Cronog. e Histog.'!AG97,#N/A)</f>
        <v>#N/A</v>
      </c>
      <c r="Y6" s="20" t="e">
        <f>IF('Cronog. e Histog.'!AH97&gt;0,'Cronog. e Histog.'!AH97,#N/A)</f>
        <v>#N/A</v>
      </c>
      <c r="Z6" s="20" t="e">
        <f>IF('Cronog. e Histog.'!AI97&gt;0,'Cronog. e Histog.'!AI97,#N/A)</f>
        <v>#N/A</v>
      </c>
      <c r="AA6" s="20" t="e">
        <f>IF('Cronog. e Histog.'!AJ97&gt;0,'Cronog. e Histog.'!AJ97,#N/A)</f>
        <v>#N/A</v>
      </c>
      <c r="AB6" s="20" t="e">
        <f>IF('Cronog. e Histog.'!AK97&gt;0,'Cronog. e Histog.'!AK97,#N/A)</f>
        <v>#N/A</v>
      </c>
      <c r="AC6" s="20" t="e">
        <f>IF('Cronog. e Histog.'!AL97&gt;0,'Cronog. e Histog.'!AL97,#N/A)</f>
        <v>#N/A</v>
      </c>
      <c r="AD6" s="20" t="e">
        <f>IF('Cronog. e Histog.'!AM97&gt;0,'Cronog. e Histog.'!AM97,#N/A)</f>
        <v>#N/A</v>
      </c>
      <c r="AE6" s="20" t="e">
        <f>IF('Cronog. e Histog.'!AN97&gt;0,'Cronog. e Histog.'!AN97,#N/A)</f>
        <v>#N/A</v>
      </c>
      <c r="AF6" s="20" t="e">
        <f>IF('Cronog. e Histog.'!AO97&gt;0,'Cronog. e Histog.'!AO97,#N/A)</f>
        <v>#N/A</v>
      </c>
      <c r="AG6" s="20" t="e">
        <f>IF('Cronog. e Histog.'!AP97&gt;0,'Cronog. e Histog.'!AP97,#N/A)</f>
        <v>#N/A</v>
      </c>
      <c r="AH6" s="20" t="e">
        <f>IF('Cronog. e Histog.'!AQ97&gt;0,'Cronog. e Histog.'!AQ97,#N/A)</f>
        <v>#N/A</v>
      </c>
      <c r="AI6" s="20" t="e">
        <f>IF('Cronog. e Histog.'!AR97&gt;0,'Cronog. e Histog.'!AR97,#N/A)</f>
        <v>#N/A</v>
      </c>
      <c r="AJ6" s="20" t="e">
        <f>IF('Cronog. e Histog.'!AS97&gt;0,'Cronog. e Histog.'!AS97,#N/A)</f>
        <v>#N/A</v>
      </c>
      <c r="AK6" s="20" t="e">
        <f>IF('Cronog. e Histog.'!AT97&gt;0,'Cronog. e Histog.'!AT97,#N/A)</f>
        <v>#N/A</v>
      </c>
      <c r="AL6" s="20" t="e">
        <f>IF('Cronog. e Histog.'!AU97&gt;0,'Cronog. e Histog.'!AU97,#N/A)</f>
        <v>#N/A</v>
      </c>
      <c r="AM6" s="20" t="e">
        <f>IF('Cronog. e Histog.'!AV97&gt;0,'Cronog. e Histog.'!AV97,#N/A)</f>
        <v>#N/A</v>
      </c>
      <c r="AN6" s="20" t="e">
        <f>IF('Cronog. e Histog.'!AW97&gt;0,'Cronog. e Histog.'!AW97,#N/A)</f>
        <v>#N/A</v>
      </c>
      <c r="AO6" s="20" t="e">
        <f>IF('Cronog. e Histog.'!AX97&gt;0,'Cronog. e Histog.'!AX97,#N/A)</f>
        <v>#N/A</v>
      </c>
      <c r="AP6" s="20" t="e">
        <f>IF('Cronog. e Histog.'!AY97&gt;0,'Cronog. e Histog.'!AY97,#N/A)</f>
        <v>#N/A</v>
      </c>
      <c r="AQ6" s="20" t="e">
        <f>IF('Cronog. e Histog.'!AZ97&gt;0,'Cronog. e Histog.'!AZ97,#N/A)</f>
        <v>#N/A</v>
      </c>
      <c r="AR6" s="20" t="e">
        <f>IF('Cronog. e Histog.'!BA97&gt;0,'Cronog. e Histog.'!BA97,#N/A)</f>
        <v>#N/A</v>
      </c>
      <c r="AS6" s="20" t="e">
        <f>IF('Cronog. e Histog.'!BB97&gt;0,'Cronog. e Histog.'!BB97,#N/A)</f>
        <v>#N/A</v>
      </c>
      <c r="AT6" s="20" t="e">
        <f>IF('Cronog. e Histog.'!BC97&gt;0,'Cronog. e Histog.'!BC97,#N/A)</f>
        <v>#N/A</v>
      </c>
      <c r="AU6" s="20" t="e">
        <f>IF('Cronog. e Histog.'!BD97&gt;0,'Cronog. e Histog.'!BD97,#N/A)</f>
        <v>#N/A</v>
      </c>
      <c r="AV6" s="20" t="e">
        <f>IF('Cronog. e Histog.'!BE97&gt;0,'Cronog. e Histog.'!BE97,#N/A)</f>
        <v>#N/A</v>
      </c>
      <c r="AW6" s="20" t="e">
        <f>IF('Cronog. e Histog.'!BF97&gt;0,'Cronog. e Histog.'!BF97,#N/A)</f>
        <v>#N/A</v>
      </c>
      <c r="AX6" s="20" t="e">
        <f>IF('Cronog. e Histog.'!BG97&gt;0,'Cronog. e Histog.'!BG97,#N/A)</f>
        <v>#N/A</v>
      </c>
      <c r="AY6" s="20" t="e">
        <f>IF('Cronog. e Histog.'!BH97&gt;0,'Cronog. e Histog.'!BH97,#N/A)</f>
        <v>#N/A</v>
      </c>
      <c r="AZ6" s="20" t="e">
        <f>IF('Cronog. e Histog.'!BI97&gt;0,'Cronog. e Histog.'!BI97,#N/A)</f>
        <v>#N/A</v>
      </c>
      <c r="BA6" s="20" t="e">
        <f>IF('Cronog. e Histog.'!BJ97&gt;0,'Cronog. e Histog.'!BJ97,#N/A)</f>
        <v>#N/A</v>
      </c>
      <c r="BB6" s="20" t="e">
        <f>IF('Cronog. e Histog.'!BK97&gt;0,'Cronog. e Histog.'!BK97,#N/A)</f>
        <v>#N/A</v>
      </c>
      <c r="BC6" s="20" t="e">
        <f>IF('Cronog. e Histog.'!BL97&gt;0,'Cronog. e Histog.'!BL97,#N/A)</f>
        <v>#N/A</v>
      </c>
      <c r="BD6" s="20" t="e">
        <f>IF('Cronog. e Histog.'!BM97&gt;0,'Cronog. e Histog.'!BM97,#N/A)</f>
        <v>#N/A</v>
      </c>
      <c r="BE6" s="20" t="e">
        <f>IF('Cronog. e Histog.'!BN97&gt;0,'Cronog. e Histog.'!BN97,#N/A)</f>
        <v>#N/A</v>
      </c>
      <c r="BF6" s="20" t="e">
        <f>IF('Cronog. e Histog.'!BO97&gt;0,'Cronog. e Histog.'!BO97,#N/A)</f>
        <v>#N/A</v>
      </c>
      <c r="BG6" s="20" t="e">
        <f>IF('Cronog. e Histog.'!BP97&gt;0,'Cronog. e Histog.'!BP97,#N/A)</f>
        <v>#N/A</v>
      </c>
      <c r="BH6" s="20" t="e">
        <f>IF('Cronog. e Histog.'!BQ97&gt;0,'Cronog. e Histog.'!BQ97,#N/A)</f>
        <v>#N/A</v>
      </c>
      <c r="BI6" s="20" t="e">
        <f>IF('Cronog. e Histog.'!BR97&gt;0,'Cronog. e Histog.'!BR97,#N/A)</f>
        <v>#N/A</v>
      </c>
    </row>
    <row r="7" spans="2:61" ht="12" customHeight="1">
      <c r="B7" s="20">
        <f>IF('Cronog. e Histog.'!K98&gt;0,'Cronog. e Histog.'!K98,#N/A)</f>
        <v>9.999999999999995E-2</v>
      </c>
      <c r="C7" s="20">
        <f>IF('Cronog. e Histog.'!L98&gt;0,'Cronog. e Histog.'!L98,#N/A)</f>
        <v>0.1999999999999999</v>
      </c>
      <c r="D7" s="20">
        <f>IF('Cronog. e Histog.'!M98&gt;0,'Cronog. e Histog.'!M98,#N/A)</f>
        <v>0.29999999999999982</v>
      </c>
      <c r="E7" s="20">
        <f>IF('Cronog. e Histog.'!N98&gt;0,'Cronog. e Histog.'!N98,#N/A)</f>
        <v>0.3999999999999998</v>
      </c>
      <c r="F7" s="20">
        <f>IF('Cronog. e Histog.'!O98&gt;0,'Cronog. e Histog.'!O98,#N/A)</f>
        <v>0.49999999999999978</v>
      </c>
      <c r="G7" s="20">
        <f>IF('Cronog. e Histog.'!P98&gt;0,'Cronog. e Histog.'!P98,#N/A)</f>
        <v>0.59999999999999976</v>
      </c>
      <c r="H7" s="20">
        <f>IF('Cronog. e Histog.'!Q98&gt;0,'Cronog. e Histog.'!Q98,#N/A)</f>
        <v>0.69999999999999973</v>
      </c>
      <c r="I7" s="20">
        <f>IF('Cronog. e Histog.'!R98&gt;0,'Cronog. e Histog.'!R98,#N/A)</f>
        <v>0.79999999999999971</v>
      </c>
      <c r="J7" s="20">
        <f>IF('Cronog. e Histog.'!S98&gt;0,'Cronog. e Histog.'!S98,#N/A)</f>
        <v>0.89999999999999969</v>
      </c>
      <c r="K7" s="20">
        <f>IF('Cronog. e Histog.'!T98&gt;0,'Cronog. e Histog.'!T98,#N/A)</f>
        <v>0.99999999999999967</v>
      </c>
      <c r="L7" s="20" t="e">
        <f>IF('Cronog. e Histog.'!U98&gt;0,'Cronog. e Histog.'!U98,#N/A)</f>
        <v>#N/A</v>
      </c>
      <c r="M7" s="20" t="e">
        <f>IF('Cronog. e Histog.'!V98&gt;0,'Cronog. e Histog.'!V98,#N/A)</f>
        <v>#N/A</v>
      </c>
      <c r="N7" s="20" t="e">
        <f>IF('Cronog. e Histog.'!W98&gt;0,'Cronog. e Histog.'!W98,#N/A)</f>
        <v>#N/A</v>
      </c>
      <c r="O7" s="20" t="e">
        <f>IF('Cronog. e Histog.'!X98&gt;0,'Cronog. e Histog.'!X98,#N/A)</f>
        <v>#N/A</v>
      </c>
      <c r="P7" s="20" t="e">
        <f>IF('Cronog. e Histog.'!Y98&gt;0,'Cronog. e Histog.'!Y98,#N/A)</f>
        <v>#N/A</v>
      </c>
      <c r="Q7" s="20" t="e">
        <f>IF('Cronog. e Histog.'!Z98&gt;0,'Cronog. e Histog.'!Z98,#N/A)</f>
        <v>#N/A</v>
      </c>
      <c r="R7" s="20" t="e">
        <f>IF('Cronog. e Histog.'!AA98&gt;0,'Cronog. e Histog.'!AA98,#N/A)</f>
        <v>#N/A</v>
      </c>
      <c r="S7" s="20" t="e">
        <f>IF('Cronog. e Histog.'!AB98&gt;0,'Cronog. e Histog.'!AB98,#N/A)</f>
        <v>#N/A</v>
      </c>
      <c r="T7" s="20" t="e">
        <f>IF('Cronog. e Histog.'!AC98&gt;0,'Cronog. e Histog.'!AC98,#N/A)</f>
        <v>#N/A</v>
      </c>
      <c r="U7" s="20" t="e">
        <f>IF('Cronog. e Histog.'!AD98&gt;0,'Cronog. e Histog.'!AD98,#N/A)</f>
        <v>#N/A</v>
      </c>
      <c r="V7" s="20" t="e">
        <f>IF('Cronog. e Histog.'!AE98&gt;0,'Cronog. e Histog.'!AE98,#N/A)</f>
        <v>#N/A</v>
      </c>
      <c r="W7" s="20" t="e">
        <f>IF('Cronog. e Histog.'!AF98&gt;0,'Cronog. e Histog.'!AF98,#N/A)</f>
        <v>#N/A</v>
      </c>
      <c r="X7" s="20" t="e">
        <f>IF('Cronog. e Histog.'!AG98&gt;0,'Cronog. e Histog.'!AG98,#N/A)</f>
        <v>#N/A</v>
      </c>
      <c r="Y7" s="20" t="e">
        <f>IF('Cronog. e Histog.'!AH98&gt;0,'Cronog. e Histog.'!AH98,#N/A)</f>
        <v>#N/A</v>
      </c>
      <c r="Z7" s="20" t="e">
        <f>IF('Cronog. e Histog.'!AI98&gt;0,'Cronog. e Histog.'!AI98,#N/A)</f>
        <v>#N/A</v>
      </c>
      <c r="AA7" s="20" t="e">
        <f>IF('Cronog. e Histog.'!AJ98&gt;0,'Cronog. e Histog.'!AJ98,#N/A)</f>
        <v>#N/A</v>
      </c>
      <c r="AB7" s="20" t="e">
        <f>IF('Cronog. e Histog.'!AK98&gt;0,'Cronog. e Histog.'!AK98,#N/A)</f>
        <v>#N/A</v>
      </c>
      <c r="AC7" s="20" t="e">
        <f>IF('Cronog. e Histog.'!AL98&gt;0,'Cronog. e Histog.'!AL98,#N/A)</f>
        <v>#N/A</v>
      </c>
      <c r="AD7" s="20" t="e">
        <f>IF('Cronog. e Histog.'!AM98&gt;0,'Cronog. e Histog.'!AM98,#N/A)</f>
        <v>#N/A</v>
      </c>
      <c r="AE7" s="20" t="e">
        <f>IF('Cronog. e Histog.'!AN98&gt;0,'Cronog. e Histog.'!AN98,#N/A)</f>
        <v>#N/A</v>
      </c>
      <c r="AF7" s="20" t="e">
        <f>IF('Cronog. e Histog.'!AO98&gt;0,'Cronog. e Histog.'!AO98,#N/A)</f>
        <v>#N/A</v>
      </c>
      <c r="AG7" s="20" t="e">
        <f>IF('Cronog. e Histog.'!AP98&gt;0,'Cronog. e Histog.'!AP98,#N/A)</f>
        <v>#N/A</v>
      </c>
      <c r="AH7" s="20" t="e">
        <f>IF('Cronog. e Histog.'!AQ98&gt;0,'Cronog. e Histog.'!AQ98,#N/A)</f>
        <v>#N/A</v>
      </c>
      <c r="AI7" s="20" t="e">
        <f>IF('Cronog. e Histog.'!AR98&gt;0,'Cronog. e Histog.'!AR98,#N/A)</f>
        <v>#N/A</v>
      </c>
      <c r="AJ7" s="20" t="e">
        <f>IF('Cronog. e Histog.'!AS98&gt;0,'Cronog. e Histog.'!AS98,#N/A)</f>
        <v>#N/A</v>
      </c>
      <c r="AK7" s="20" t="e">
        <f>IF('Cronog. e Histog.'!AT98&gt;0,'Cronog. e Histog.'!AT98,#N/A)</f>
        <v>#N/A</v>
      </c>
      <c r="AL7" s="20" t="e">
        <f>IF('Cronog. e Histog.'!AU98&gt;0,'Cronog. e Histog.'!AU98,#N/A)</f>
        <v>#N/A</v>
      </c>
      <c r="AM7" s="20" t="e">
        <f>IF('Cronog. e Histog.'!AV98&gt;0,'Cronog. e Histog.'!AV98,#N/A)</f>
        <v>#N/A</v>
      </c>
      <c r="AN7" s="20" t="e">
        <f>IF('Cronog. e Histog.'!AW98&gt;0,'Cronog. e Histog.'!AW98,#N/A)</f>
        <v>#N/A</v>
      </c>
      <c r="AO7" s="20" t="e">
        <f>IF('Cronog. e Histog.'!AX98&gt;0,'Cronog. e Histog.'!AX98,#N/A)</f>
        <v>#N/A</v>
      </c>
      <c r="AP7" s="20" t="e">
        <f>IF('Cronog. e Histog.'!AY98&gt;0,'Cronog. e Histog.'!AY98,#N/A)</f>
        <v>#N/A</v>
      </c>
      <c r="AQ7" s="20" t="e">
        <f>IF('Cronog. e Histog.'!AZ98&gt;0,'Cronog. e Histog.'!AZ98,#N/A)</f>
        <v>#N/A</v>
      </c>
      <c r="AR7" s="20" t="e">
        <f>IF('Cronog. e Histog.'!BA98&gt;0,'Cronog. e Histog.'!BA98,#N/A)</f>
        <v>#N/A</v>
      </c>
      <c r="AS7" s="20" t="e">
        <f>IF('Cronog. e Histog.'!BB98&gt;0,'Cronog. e Histog.'!BB98,#N/A)</f>
        <v>#N/A</v>
      </c>
      <c r="AT7" s="20" t="e">
        <f>IF('Cronog. e Histog.'!BC98&gt;0,'Cronog. e Histog.'!BC98,#N/A)</f>
        <v>#N/A</v>
      </c>
      <c r="AU7" s="20" t="e">
        <f>IF('Cronog. e Histog.'!BD98&gt;0,'Cronog. e Histog.'!BD98,#N/A)</f>
        <v>#N/A</v>
      </c>
      <c r="AV7" s="20" t="e">
        <f>IF('Cronog. e Histog.'!BE98&gt;0,'Cronog. e Histog.'!BE98,#N/A)</f>
        <v>#N/A</v>
      </c>
      <c r="AW7" s="20" t="e">
        <f>IF('Cronog. e Histog.'!BF98&gt;0,'Cronog. e Histog.'!BF98,#N/A)</f>
        <v>#N/A</v>
      </c>
      <c r="AX7" s="20" t="e">
        <f>IF('Cronog. e Histog.'!BG98&gt;0,'Cronog. e Histog.'!BG98,#N/A)</f>
        <v>#N/A</v>
      </c>
      <c r="AY7" s="20" t="e">
        <f>IF('Cronog. e Histog.'!BH98&gt;0,'Cronog. e Histog.'!BH98,#N/A)</f>
        <v>#N/A</v>
      </c>
      <c r="AZ7" s="20" t="e">
        <f>IF('Cronog. e Histog.'!BI98&gt;0,'Cronog. e Histog.'!BI98,#N/A)</f>
        <v>#N/A</v>
      </c>
      <c r="BA7" s="20" t="e">
        <f>IF('Cronog. e Histog.'!BJ98&gt;0,'Cronog. e Histog.'!BJ98,#N/A)</f>
        <v>#N/A</v>
      </c>
      <c r="BB7" s="20" t="e">
        <f>IF('Cronog. e Histog.'!BK98&gt;0,'Cronog. e Histog.'!BK98,#N/A)</f>
        <v>#N/A</v>
      </c>
      <c r="BC7" s="20" t="e">
        <f>IF('Cronog. e Histog.'!BL98&gt;0,'Cronog. e Histog.'!BL98,#N/A)</f>
        <v>#N/A</v>
      </c>
      <c r="BD7" s="20" t="e">
        <f>IF('Cronog. e Histog.'!BM98&gt;0,'Cronog. e Histog.'!BM98,#N/A)</f>
        <v>#N/A</v>
      </c>
      <c r="BE7" s="20" t="e">
        <f>IF('Cronog. e Histog.'!BN98&gt;0,'Cronog. e Histog.'!BN98,#N/A)</f>
        <v>#N/A</v>
      </c>
      <c r="BF7" s="20" t="e">
        <f>IF('Cronog. e Histog.'!BO98&gt;0,'Cronog. e Histog.'!BO98,#N/A)</f>
        <v>#N/A</v>
      </c>
      <c r="BG7" s="20" t="e">
        <f>IF('Cronog. e Histog.'!BP98&gt;0,'Cronog. e Histog.'!BP98,#N/A)</f>
        <v>#N/A</v>
      </c>
      <c r="BH7" s="20" t="e">
        <f>IF('Cronog. e Histog.'!BQ98&gt;0,'Cronog. e Histog.'!BQ98,#N/A)</f>
        <v>#N/A</v>
      </c>
      <c r="BI7" s="20" t="e">
        <f>IF('Cronog. e Histog.'!BR98&gt;0,'Cronog. e Histog.'!BR98,#N/A)</f>
        <v>#N/A</v>
      </c>
    </row>
    <row r="25" spans="2:61" ht="12" customHeight="1">
      <c r="B25" s="18" t="s">
        <v>126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</row>
    <row r="26" spans="2:61" ht="12" customHeight="1">
      <c r="B26" s="19">
        <v>1</v>
      </c>
      <c r="C26" s="19">
        <v>2</v>
      </c>
      <c r="D26" s="19">
        <v>3</v>
      </c>
      <c r="E26" s="19">
        <v>4</v>
      </c>
      <c r="F26" s="19">
        <v>5</v>
      </c>
      <c r="G26" s="19">
        <v>6</v>
      </c>
      <c r="H26" s="19">
        <v>7</v>
      </c>
      <c r="I26" s="19">
        <v>8</v>
      </c>
      <c r="J26" s="19">
        <v>9</v>
      </c>
      <c r="K26" s="19">
        <v>10</v>
      </c>
      <c r="L26" s="19">
        <v>11</v>
      </c>
      <c r="M26" s="19">
        <v>12</v>
      </c>
      <c r="N26" s="19">
        <v>13</v>
      </c>
      <c r="O26" s="19">
        <v>14</v>
      </c>
      <c r="P26" s="19">
        <v>15</v>
      </c>
      <c r="Q26" s="19">
        <v>16</v>
      </c>
      <c r="R26" s="19">
        <v>17</v>
      </c>
      <c r="S26" s="19">
        <v>18</v>
      </c>
      <c r="T26" s="19">
        <v>19</v>
      </c>
      <c r="U26" s="19">
        <v>20</v>
      </c>
      <c r="V26" s="19">
        <v>21</v>
      </c>
      <c r="W26" s="19">
        <v>22</v>
      </c>
      <c r="X26" s="19">
        <v>23</v>
      </c>
      <c r="Y26" s="19">
        <v>24</v>
      </c>
      <c r="Z26" s="19">
        <v>25</v>
      </c>
      <c r="AA26" s="19">
        <v>26</v>
      </c>
      <c r="AB26" s="19">
        <v>27</v>
      </c>
      <c r="AC26" s="19">
        <v>28</v>
      </c>
      <c r="AD26" s="19">
        <v>29</v>
      </c>
      <c r="AE26" s="19">
        <v>30</v>
      </c>
      <c r="AF26" s="19">
        <v>31</v>
      </c>
      <c r="AG26" s="19">
        <v>32</v>
      </c>
      <c r="AH26" s="19">
        <v>33</v>
      </c>
      <c r="AI26" s="19">
        <v>34</v>
      </c>
      <c r="AJ26" s="19">
        <v>35</v>
      </c>
      <c r="AK26" s="19">
        <v>36</v>
      </c>
      <c r="AL26" s="19">
        <v>37</v>
      </c>
      <c r="AM26" s="19">
        <v>38</v>
      </c>
      <c r="AN26" s="19">
        <v>39</v>
      </c>
      <c r="AO26" s="19">
        <v>40</v>
      </c>
      <c r="AP26" s="19">
        <v>41</v>
      </c>
      <c r="AQ26" s="19">
        <v>42</v>
      </c>
      <c r="AR26" s="19">
        <v>43</v>
      </c>
      <c r="AS26" s="19">
        <v>44</v>
      </c>
      <c r="AT26" s="19">
        <v>45</v>
      </c>
      <c r="AU26" s="19">
        <v>46</v>
      </c>
      <c r="AV26" s="19">
        <v>47</v>
      </c>
      <c r="AW26" s="19">
        <v>48</v>
      </c>
      <c r="AX26" s="19">
        <v>49</v>
      </c>
      <c r="AY26" s="19">
        <v>50</v>
      </c>
      <c r="AZ26" s="19">
        <v>51</v>
      </c>
      <c r="BA26" s="19">
        <v>52</v>
      </c>
      <c r="BB26" s="19">
        <v>53</v>
      </c>
      <c r="BC26" s="19">
        <v>54</v>
      </c>
      <c r="BD26" s="19">
        <v>55</v>
      </c>
      <c r="BE26" s="19">
        <v>56</v>
      </c>
      <c r="BF26" s="19">
        <v>57</v>
      </c>
      <c r="BG26" s="19">
        <v>58</v>
      </c>
      <c r="BH26" s="19">
        <v>59</v>
      </c>
      <c r="BI26" s="19">
        <v>60</v>
      </c>
    </row>
    <row r="27" spans="2:61" ht="12" customHeight="1">
      <c r="B27" s="22">
        <f>B69</f>
        <v>8.5399999999999991</v>
      </c>
      <c r="C27" s="22">
        <f t="shared" ref="C27:BI27" si="0">C69</f>
        <v>8.5399999999999991</v>
      </c>
      <c r="D27" s="22">
        <f t="shared" si="0"/>
        <v>8.5399999999999991</v>
      </c>
      <c r="E27" s="22">
        <f t="shared" si="0"/>
        <v>8.5399999999999991</v>
      </c>
      <c r="F27" s="22">
        <f t="shared" si="0"/>
        <v>8.5399999999999991</v>
      </c>
      <c r="G27" s="22">
        <f t="shared" si="0"/>
        <v>8.5399999999999991</v>
      </c>
      <c r="H27" s="22">
        <f t="shared" si="0"/>
        <v>8.5399999999999991</v>
      </c>
      <c r="I27" s="22">
        <f t="shared" si="0"/>
        <v>8.5399999999999991</v>
      </c>
      <c r="J27" s="22">
        <f t="shared" si="0"/>
        <v>8.5399999999999991</v>
      </c>
      <c r="K27" s="22">
        <f t="shared" si="0"/>
        <v>8.5399999999999991</v>
      </c>
      <c r="L27" s="22" t="e">
        <f t="shared" si="0"/>
        <v>#N/A</v>
      </c>
      <c r="M27" s="22" t="e">
        <f t="shared" si="0"/>
        <v>#N/A</v>
      </c>
      <c r="N27" s="22" t="e">
        <f t="shared" si="0"/>
        <v>#N/A</v>
      </c>
      <c r="O27" s="22" t="e">
        <f t="shared" si="0"/>
        <v>#N/A</v>
      </c>
      <c r="P27" s="22" t="e">
        <f t="shared" si="0"/>
        <v>#N/A</v>
      </c>
      <c r="Q27" s="22" t="e">
        <f t="shared" si="0"/>
        <v>#N/A</v>
      </c>
      <c r="R27" s="22" t="e">
        <f t="shared" si="0"/>
        <v>#N/A</v>
      </c>
      <c r="S27" s="22" t="e">
        <f t="shared" si="0"/>
        <v>#N/A</v>
      </c>
      <c r="T27" s="22" t="e">
        <f t="shared" si="0"/>
        <v>#N/A</v>
      </c>
      <c r="U27" s="22" t="e">
        <f t="shared" si="0"/>
        <v>#N/A</v>
      </c>
      <c r="V27" s="22" t="e">
        <f t="shared" si="0"/>
        <v>#N/A</v>
      </c>
      <c r="W27" s="22" t="e">
        <f t="shared" si="0"/>
        <v>#N/A</v>
      </c>
      <c r="X27" s="22" t="e">
        <f t="shared" si="0"/>
        <v>#N/A</v>
      </c>
      <c r="Y27" s="22" t="e">
        <f t="shared" si="0"/>
        <v>#N/A</v>
      </c>
      <c r="Z27" s="22" t="e">
        <f t="shared" si="0"/>
        <v>#N/A</v>
      </c>
      <c r="AA27" s="22" t="e">
        <f t="shared" si="0"/>
        <v>#N/A</v>
      </c>
      <c r="AB27" s="22" t="e">
        <f t="shared" si="0"/>
        <v>#N/A</v>
      </c>
      <c r="AC27" s="22" t="e">
        <f t="shared" si="0"/>
        <v>#N/A</v>
      </c>
      <c r="AD27" s="22" t="e">
        <f t="shared" si="0"/>
        <v>#N/A</v>
      </c>
      <c r="AE27" s="22" t="e">
        <f t="shared" si="0"/>
        <v>#N/A</v>
      </c>
      <c r="AF27" s="22" t="e">
        <f t="shared" si="0"/>
        <v>#N/A</v>
      </c>
      <c r="AG27" s="22" t="e">
        <f t="shared" si="0"/>
        <v>#N/A</v>
      </c>
      <c r="AH27" s="22" t="e">
        <f t="shared" si="0"/>
        <v>#N/A</v>
      </c>
      <c r="AI27" s="22" t="e">
        <f t="shared" si="0"/>
        <v>#N/A</v>
      </c>
      <c r="AJ27" s="22" t="e">
        <f t="shared" si="0"/>
        <v>#N/A</v>
      </c>
      <c r="AK27" s="22" t="e">
        <f t="shared" si="0"/>
        <v>#N/A</v>
      </c>
      <c r="AL27" s="22" t="e">
        <f t="shared" si="0"/>
        <v>#N/A</v>
      </c>
      <c r="AM27" s="22" t="e">
        <f t="shared" si="0"/>
        <v>#N/A</v>
      </c>
      <c r="AN27" s="22" t="e">
        <f t="shared" si="0"/>
        <v>#N/A</v>
      </c>
      <c r="AO27" s="22" t="e">
        <f t="shared" si="0"/>
        <v>#N/A</v>
      </c>
      <c r="AP27" s="22" t="e">
        <f t="shared" si="0"/>
        <v>#N/A</v>
      </c>
      <c r="AQ27" s="22" t="e">
        <f t="shared" si="0"/>
        <v>#N/A</v>
      </c>
      <c r="AR27" s="22" t="e">
        <f t="shared" si="0"/>
        <v>#N/A</v>
      </c>
      <c r="AS27" s="22" t="e">
        <f t="shared" si="0"/>
        <v>#N/A</v>
      </c>
      <c r="AT27" s="22" t="e">
        <f t="shared" si="0"/>
        <v>#N/A</v>
      </c>
      <c r="AU27" s="22" t="e">
        <f t="shared" si="0"/>
        <v>#N/A</v>
      </c>
      <c r="AV27" s="22" t="e">
        <f t="shared" si="0"/>
        <v>#N/A</v>
      </c>
      <c r="AW27" s="22" t="e">
        <f t="shared" si="0"/>
        <v>#N/A</v>
      </c>
      <c r="AX27" s="22" t="e">
        <f t="shared" si="0"/>
        <v>#N/A</v>
      </c>
      <c r="AY27" s="22" t="e">
        <f t="shared" si="0"/>
        <v>#N/A</v>
      </c>
      <c r="AZ27" s="22" t="e">
        <f t="shared" si="0"/>
        <v>#N/A</v>
      </c>
      <c r="BA27" s="22" t="e">
        <f t="shared" si="0"/>
        <v>#N/A</v>
      </c>
      <c r="BB27" s="22" t="e">
        <f t="shared" si="0"/>
        <v>#N/A</v>
      </c>
      <c r="BC27" s="22" t="e">
        <f t="shared" si="0"/>
        <v>#N/A</v>
      </c>
      <c r="BD27" s="22" t="e">
        <f t="shared" si="0"/>
        <v>#N/A</v>
      </c>
      <c r="BE27" s="22" t="e">
        <f t="shared" si="0"/>
        <v>#N/A</v>
      </c>
      <c r="BF27" s="22" t="e">
        <f t="shared" si="0"/>
        <v>#N/A</v>
      </c>
      <c r="BG27" s="22" t="e">
        <f t="shared" si="0"/>
        <v>#N/A</v>
      </c>
      <c r="BH27" s="22" t="e">
        <f t="shared" si="0"/>
        <v>#N/A</v>
      </c>
      <c r="BI27" s="22" t="e">
        <f t="shared" si="0"/>
        <v>#N/A</v>
      </c>
    </row>
    <row r="46" spans="2:61" ht="12" customHeight="1">
      <c r="B46" s="18" t="s">
        <v>127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</row>
    <row r="47" spans="2:61" ht="12" customHeight="1">
      <c r="B47" s="19">
        <v>1</v>
      </c>
      <c r="C47" s="19">
        <v>2</v>
      </c>
      <c r="D47" s="19">
        <v>3</v>
      </c>
      <c r="E47" s="19">
        <v>4</v>
      </c>
      <c r="F47" s="19">
        <v>5</v>
      </c>
      <c r="G47" s="19">
        <v>6</v>
      </c>
      <c r="H47" s="19">
        <v>7</v>
      </c>
      <c r="I47" s="19">
        <v>8</v>
      </c>
      <c r="J47" s="19">
        <v>9</v>
      </c>
      <c r="K47" s="19">
        <v>10</v>
      </c>
      <c r="L47" s="19">
        <v>11</v>
      </c>
      <c r="M47" s="19">
        <v>12</v>
      </c>
      <c r="N47" s="19">
        <v>13</v>
      </c>
      <c r="O47" s="19">
        <v>14</v>
      </c>
      <c r="P47" s="19">
        <v>15</v>
      </c>
      <c r="Q47" s="19">
        <v>16</v>
      </c>
      <c r="R47" s="19">
        <v>17</v>
      </c>
      <c r="S47" s="19">
        <v>18</v>
      </c>
      <c r="T47" s="19">
        <v>19</v>
      </c>
      <c r="U47" s="19">
        <v>20</v>
      </c>
      <c r="V47" s="19">
        <v>21</v>
      </c>
      <c r="W47" s="19">
        <v>22</v>
      </c>
      <c r="X47" s="19">
        <v>23</v>
      </c>
      <c r="Y47" s="19">
        <v>24</v>
      </c>
      <c r="Z47" s="19">
        <v>25</v>
      </c>
      <c r="AA47" s="19">
        <v>26</v>
      </c>
      <c r="AB47" s="19">
        <v>27</v>
      </c>
      <c r="AC47" s="19">
        <v>28</v>
      </c>
      <c r="AD47" s="19">
        <v>29</v>
      </c>
      <c r="AE47" s="19">
        <v>30</v>
      </c>
      <c r="AF47" s="19">
        <v>31</v>
      </c>
      <c r="AG47" s="19">
        <v>32</v>
      </c>
      <c r="AH47" s="19">
        <v>33</v>
      </c>
      <c r="AI47" s="19">
        <v>34</v>
      </c>
      <c r="AJ47" s="19">
        <v>35</v>
      </c>
      <c r="AK47" s="19">
        <v>36</v>
      </c>
      <c r="AL47" s="19">
        <v>37</v>
      </c>
      <c r="AM47" s="19">
        <v>38</v>
      </c>
      <c r="AN47" s="19">
        <v>39</v>
      </c>
      <c r="AO47" s="19">
        <v>40</v>
      </c>
      <c r="AP47" s="19">
        <v>41</v>
      </c>
      <c r="AQ47" s="19">
        <v>42</v>
      </c>
      <c r="AR47" s="19">
        <v>43</v>
      </c>
      <c r="AS47" s="19">
        <v>44</v>
      </c>
      <c r="AT47" s="19">
        <v>45</v>
      </c>
      <c r="AU47" s="19">
        <v>46</v>
      </c>
      <c r="AV47" s="19">
        <v>47</v>
      </c>
      <c r="AW47" s="19">
        <v>48</v>
      </c>
      <c r="AX47" s="19">
        <v>49</v>
      </c>
      <c r="AY47" s="19">
        <v>50</v>
      </c>
      <c r="AZ47" s="19">
        <v>51</v>
      </c>
      <c r="BA47" s="19">
        <v>52</v>
      </c>
      <c r="BB47" s="19">
        <v>53</v>
      </c>
      <c r="BC47" s="19">
        <v>54</v>
      </c>
      <c r="BD47" s="19">
        <v>55</v>
      </c>
      <c r="BE47" s="19">
        <v>56</v>
      </c>
      <c r="BF47" s="19">
        <v>57</v>
      </c>
      <c r="BG47" s="19">
        <v>58</v>
      </c>
      <c r="BH47" s="19">
        <v>59</v>
      </c>
      <c r="BI47" s="19">
        <v>60</v>
      </c>
    </row>
    <row r="48" spans="2:61" ht="12" customHeight="1">
      <c r="B48" s="22">
        <f t="shared" ref="B48:BI48" si="1">B70</f>
        <v>0.08</v>
      </c>
      <c r="C48" s="22">
        <f t="shared" si="1"/>
        <v>0.08</v>
      </c>
      <c r="D48" s="22">
        <f t="shared" si="1"/>
        <v>0.08</v>
      </c>
      <c r="E48" s="22">
        <f t="shared" si="1"/>
        <v>0.08</v>
      </c>
      <c r="F48" s="22">
        <f t="shared" si="1"/>
        <v>0.08</v>
      </c>
      <c r="G48" s="22">
        <f t="shared" si="1"/>
        <v>0.08</v>
      </c>
      <c r="H48" s="22">
        <f t="shared" si="1"/>
        <v>0.08</v>
      </c>
      <c r="I48" s="22">
        <f t="shared" si="1"/>
        <v>0.08</v>
      </c>
      <c r="J48" s="22">
        <f t="shared" si="1"/>
        <v>0.08</v>
      </c>
      <c r="K48" s="22">
        <f t="shared" si="1"/>
        <v>0.08</v>
      </c>
      <c r="L48" s="22">
        <f t="shared" si="1"/>
        <v>0.08</v>
      </c>
      <c r="M48" s="22">
        <f t="shared" si="1"/>
        <v>0.08</v>
      </c>
      <c r="N48" s="22" t="e">
        <f t="shared" si="1"/>
        <v>#N/A</v>
      </c>
      <c r="O48" s="22" t="e">
        <f t="shared" si="1"/>
        <v>#N/A</v>
      </c>
      <c r="P48" s="22" t="e">
        <f t="shared" si="1"/>
        <v>#N/A</v>
      </c>
      <c r="Q48" s="22" t="e">
        <f t="shared" si="1"/>
        <v>#N/A</v>
      </c>
      <c r="R48" s="22" t="e">
        <f t="shared" si="1"/>
        <v>#N/A</v>
      </c>
      <c r="S48" s="22" t="e">
        <f t="shared" si="1"/>
        <v>#N/A</v>
      </c>
      <c r="T48" s="22" t="e">
        <f t="shared" si="1"/>
        <v>#N/A</v>
      </c>
      <c r="U48" s="22" t="e">
        <f t="shared" si="1"/>
        <v>#N/A</v>
      </c>
      <c r="V48" s="22" t="e">
        <f t="shared" si="1"/>
        <v>#N/A</v>
      </c>
      <c r="W48" s="22" t="e">
        <f t="shared" si="1"/>
        <v>#N/A</v>
      </c>
      <c r="X48" s="22" t="e">
        <f t="shared" si="1"/>
        <v>#N/A</v>
      </c>
      <c r="Y48" s="22" t="e">
        <f t="shared" si="1"/>
        <v>#N/A</v>
      </c>
      <c r="Z48" s="22" t="e">
        <f t="shared" si="1"/>
        <v>#N/A</v>
      </c>
      <c r="AA48" s="22" t="e">
        <f t="shared" si="1"/>
        <v>#N/A</v>
      </c>
      <c r="AB48" s="22" t="e">
        <f t="shared" si="1"/>
        <v>#N/A</v>
      </c>
      <c r="AC48" s="22" t="e">
        <f t="shared" si="1"/>
        <v>#N/A</v>
      </c>
      <c r="AD48" s="22" t="e">
        <f t="shared" si="1"/>
        <v>#N/A</v>
      </c>
      <c r="AE48" s="22" t="e">
        <f t="shared" si="1"/>
        <v>#N/A</v>
      </c>
      <c r="AF48" s="22" t="e">
        <f t="shared" si="1"/>
        <v>#N/A</v>
      </c>
      <c r="AG48" s="22" t="e">
        <f t="shared" si="1"/>
        <v>#N/A</v>
      </c>
      <c r="AH48" s="22" t="e">
        <f t="shared" si="1"/>
        <v>#N/A</v>
      </c>
      <c r="AI48" s="22" t="e">
        <f t="shared" si="1"/>
        <v>#N/A</v>
      </c>
      <c r="AJ48" s="22" t="e">
        <f t="shared" si="1"/>
        <v>#N/A</v>
      </c>
      <c r="AK48" s="22" t="e">
        <f t="shared" si="1"/>
        <v>#N/A</v>
      </c>
      <c r="AL48" s="22" t="e">
        <f t="shared" si="1"/>
        <v>#N/A</v>
      </c>
      <c r="AM48" s="22" t="e">
        <f t="shared" si="1"/>
        <v>#N/A</v>
      </c>
      <c r="AN48" s="22" t="e">
        <f t="shared" si="1"/>
        <v>#N/A</v>
      </c>
      <c r="AO48" s="22" t="e">
        <f t="shared" si="1"/>
        <v>#N/A</v>
      </c>
      <c r="AP48" s="22" t="e">
        <f t="shared" si="1"/>
        <v>#N/A</v>
      </c>
      <c r="AQ48" s="22" t="e">
        <f t="shared" si="1"/>
        <v>#N/A</v>
      </c>
      <c r="AR48" s="22" t="e">
        <f t="shared" si="1"/>
        <v>#N/A</v>
      </c>
      <c r="AS48" s="22" t="e">
        <f t="shared" si="1"/>
        <v>#N/A</v>
      </c>
      <c r="AT48" s="22" t="e">
        <f t="shared" si="1"/>
        <v>#N/A</v>
      </c>
      <c r="AU48" s="22" t="e">
        <f t="shared" si="1"/>
        <v>#N/A</v>
      </c>
      <c r="AV48" s="22" t="e">
        <f t="shared" si="1"/>
        <v>#N/A</v>
      </c>
      <c r="AW48" s="22" t="e">
        <f t="shared" si="1"/>
        <v>#N/A</v>
      </c>
      <c r="AX48" s="22" t="e">
        <f t="shared" si="1"/>
        <v>#N/A</v>
      </c>
      <c r="AY48" s="22" t="e">
        <f t="shared" si="1"/>
        <v>#N/A</v>
      </c>
      <c r="AZ48" s="22" t="e">
        <f t="shared" si="1"/>
        <v>#N/A</v>
      </c>
      <c r="BA48" s="22" t="e">
        <f t="shared" si="1"/>
        <v>#N/A</v>
      </c>
      <c r="BB48" s="22" t="e">
        <f t="shared" si="1"/>
        <v>#N/A</v>
      </c>
      <c r="BC48" s="22" t="e">
        <f t="shared" si="1"/>
        <v>#N/A</v>
      </c>
      <c r="BD48" s="22" t="e">
        <f t="shared" si="1"/>
        <v>#N/A</v>
      </c>
      <c r="BE48" s="22" t="e">
        <f t="shared" si="1"/>
        <v>#N/A</v>
      </c>
      <c r="BF48" s="22" t="e">
        <f t="shared" si="1"/>
        <v>#N/A</v>
      </c>
      <c r="BG48" s="22" t="e">
        <f t="shared" si="1"/>
        <v>#N/A</v>
      </c>
      <c r="BH48" s="22" t="e">
        <f t="shared" si="1"/>
        <v>#N/A</v>
      </c>
      <c r="BI48" s="22" t="e">
        <f t="shared" si="1"/>
        <v>#N/A</v>
      </c>
    </row>
    <row r="67" spans="2:61" ht="12" customHeight="1">
      <c r="B67" s="18" t="s">
        <v>128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</row>
    <row r="68" spans="2:61" ht="12" customHeight="1">
      <c r="B68" s="19">
        <v>1</v>
      </c>
      <c r="C68" s="19">
        <v>2</v>
      </c>
      <c r="D68" s="19">
        <v>3</v>
      </c>
      <c r="E68" s="19">
        <v>4</v>
      </c>
      <c r="F68" s="19">
        <v>5</v>
      </c>
      <c r="G68" s="19">
        <v>6</v>
      </c>
      <c r="H68" s="19">
        <v>7</v>
      </c>
      <c r="I68" s="19">
        <v>8</v>
      </c>
      <c r="J68" s="19">
        <v>9</v>
      </c>
      <c r="K68" s="19">
        <v>10</v>
      </c>
      <c r="L68" s="19">
        <v>11</v>
      </c>
      <c r="M68" s="19">
        <v>12</v>
      </c>
      <c r="N68" s="19">
        <v>13</v>
      </c>
      <c r="O68" s="19">
        <v>14</v>
      </c>
      <c r="P68" s="19">
        <v>15</v>
      </c>
      <c r="Q68" s="19">
        <v>16</v>
      </c>
      <c r="R68" s="19">
        <v>17</v>
      </c>
      <c r="S68" s="19">
        <v>18</v>
      </c>
      <c r="T68" s="19">
        <v>19</v>
      </c>
      <c r="U68" s="19">
        <v>20</v>
      </c>
      <c r="V68" s="19">
        <v>21</v>
      </c>
      <c r="W68" s="19">
        <v>22</v>
      </c>
      <c r="X68" s="19">
        <v>23</v>
      </c>
      <c r="Y68" s="19">
        <v>24</v>
      </c>
      <c r="Z68" s="19">
        <v>25</v>
      </c>
      <c r="AA68" s="19">
        <v>26</v>
      </c>
      <c r="AB68" s="19">
        <v>27</v>
      </c>
      <c r="AC68" s="19">
        <v>28</v>
      </c>
      <c r="AD68" s="19">
        <v>29</v>
      </c>
      <c r="AE68" s="19">
        <v>30</v>
      </c>
      <c r="AF68" s="19">
        <v>31</v>
      </c>
      <c r="AG68" s="19">
        <v>32</v>
      </c>
      <c r="AH68" s="19">
        <v>33</v>
      </c>
      <c r="AI68" s="19">
        <v>34</v>
      </c>
      <c r="AJ68" s="19">
        <v>35</v>
      </c>
      <c r="AK68" s="19">
        <v>36</v>
      </c>
      <c r="AL68" s="19">
        <v>37</v>
      </c>
      <c r="AM68" s="19">
        <v>38</v>
      </c>
      <c r="AN68" s="19">
        <v>39</v>
      </c>
      <c r="AO68" s="19">
        <v>40</v>
      </c>
      <c r="AP68" s="19">
        <v>41</v>
      </c>
      <c r="AQ68" s="19">
        <v>42</v>
      </c>
      <c r="AR68" s="19">
        <v>43</v>
      </c>
      <c r="AS68" s="19">
        <v>44</v>
      </c>
      <c r="AT68" s="19">
        <v>45</v>
      </c>
      <c r="AU68" s="19">
        <v>46</v>
      </c>
      <c r="AV68" s="19">
        <v>47</v>
      </c>
      <c r="AW68" s="19">
        <v>48</v>
      </c>
      <c r="AX68" s="19">
        <v>49</v>
      </c>
      <c r="AY68" s="19">
        <v>50</v>
      </c>
      <c r="AZ68" s="19">
        <v>51</v>
      </c>
      <c r="BA68" s="19">
        <v>52</v>
      </c>
      <c r="BB68" s="19">
        <v>53</v>
      </c>
      <c r="BC68" s="19">
        <v>54</v>
      </c>
      <c r="BD68" s="19">
        <v>55</v>
      </c>
      <c r="BE68" s="19">
        <v>56</v>
      </c>
      <c r="BF68" s="19">
        <v>57</v>
      </c>
      <c r="BG68" s="19">
        <v>58</v>
      </c>
      <c r="BH68" s="19">
        <v>59</v>
      </c>
      <c r="BI68" s="19">
        <v>60</v>
      </c>
    </row>
    <row r="69" spans="2:61" ht="12" customHeight="1">
      <c r="B69" s="21">
        <f>IF('Cronog. e Histog.'!K858+'Cronog. e Histog.'!K859&gt;0,'Cronog. e Histog.'!K858+'Cronog. e Histog.'!K858,#N/A)</f>
        <v>8.5399999999999991</v>
      </c>
      <c r="C69" s="21">
        <f>IF('Cronog. e Histog.'!L858+'Cronog. e Histog.'!L859&gt;0,'Cronog. e Histog.'!L858+'Cronog. e Histog.'!L858,#N/A)</f>
        <v>8.5399999999999991</v>
      </c>
      <c r="D69" s="21">
        <f>IF('Cronog. e Histog.'!M858+'Cronog. e Histog.'!M859&gt;0,'Cronog. e Histog.'!M858+'Cronog. e Histog.'!M858,#N/A)</f>
        <v>8.5399999999999991</v>
      </c>
      <c r="E69" s="21">
        <f>IF('Cronog. e Histog.'!N858+'Cronog. e Histog.'!N859&gt;0,'Cronog. e Histog.'!N858+'Cronog. e Histog.'!N858,#N/A)</f>
        <v>8.5399999999999991</v>
      </c>
      <c r="F69" s="21">
        <f>IF('Cronog. e Histog.'!O858+'Cronog. e Histog.'!O859&gt;0,'Cronog. e Histog.'!O858+'Cronog. e Histog.'!O858,#N/A)</f>
        <v>8.5399999999999991</v>
      </c>
      <c r="G69" s="21">
        <f>IF('Cronog. e Histog.'!P858+'Cronog. e Histog.'!P859&gt;0,'Cronog. e Histog.'!P858+'Cronog. e Histog.'!P858,#N/A)</f>
        <v>8.5399999999999991</v>
      </c>
      <c r="H69" s="21">
        <f>IF('Cronog. e Histog.'!Q858+'Cronog. e Histog.'!Q859&gt;0,'Cronog. e Histog.'!Q858+'Cronog. e Histog.'!Q858,#N/A)</f>
        <v>8.5399999999999991</v>
      </c>
      <c r="I69" s="21">
        <f>IF('Cronog. e Histog.'!R858+'Cronog. e Histog.'!R859&gt;0,'Cronog. e Histog.'!R858+'Cronog. e Histog.'!R858,#N/A)</f>
        <v>8.5399999999999991</v>
      </c>
      <c r="J69" s="21">
        <f>IF('Cronog. e Histog.'!S858+'Cronog. e Histog.'!S859&gt;0,'Cronog. e Histog.'!S858+'Cronog. e Histog.'!S858,#N/A)</f>
        <v>8.5399999999999991</v>
      </c>
      <c r="K69" s="21">
        <f>IF('Cronog. e Histog.'!T858+'Cronog. e Histog.'!T859&gt;0,'Cronog. e Histog.'!T858+'Cronog. e Histog.'!T858,#N/A)</f>
        <v>8.5399999999999991</v>
      </c>
      <c r="L69" s="21" t="e">
        <f>IF('Cronog. e Histog.'!U858+'Cronog. e Histog.'!U859&gt;0,'Cronog. e Histog.'!U858+'Cronog. e Histog.'!U858,#N/A)</f>
        <v>#N/A</v>
      </c>
      <c r="M69" s="21" t="e">
        <f>IF('Cronog. e Histog.'!V858+'Cronog. e Histog.'!V859&gt;0,'Cronog. e Histog.'!V858+'Cronog. e Histog.'!V858,#N/A)</f>
        <v>#N/A</v>
      </c>
      <c r="N69" s="21" t="e">
        <f>IF('Cronog. e Histog.'!W858+'Cronog. e Histog.'!W859&gt;0,'Cronog. e Histog.'!W858+'Cronog. e Histog.'!W858,#N/A)</f>
        <v>#N/A</v>
      </c>
      <c r="O69" s="21" t="e">
        <f>IF('Cronog. e Histog.'!X858+'Cronog. e Histog.'!X859&gt;0,'Cronog. e Histog.'!X858+'Cronog. e Histog.'!X858,#N/A)</f>
        <v>#N/A</v>
      </c>
      <c r="P69" s="21" t="e">
        <f>IF('Cronog. e Histog.'!Y858+'Cronog. e Histog.'!Y859&gt;0,'Cronog. e Histog.'!Y858+'Cronog. e Histog.'!Y858,#N/A)</f>
        <v>#N/A</v>
      </c>
      <c r="Q69" s="21" t="e">
        <f>IF('Cronog. e Histog.'!Z858+'Cronog. e Histog.'!Z859&gt;0,'Cronog. e Histog.'!Z858+'Cronog. e Histog.'!Z858,#N/A)</f>
        <v>#N/A</v>
      </c>
      <c r="R69" s="21" t="e">
        <f>IF('Cronog. e Histog.'!AA858+'Cronog. e Histog.'!AA859&gt;0,'Cronog. e Histog.'!AA858+'Cronog. e Histog.'!AA858,#N/A)</f>
        <v>#N/A</v>
      </c>
      <c r="S69" s="21" t="e">
        <f>IF('Cronog. e Histog.'!AB858+'Cronog. e Histog.'!AB859&gt;0,'Cronog. e Histog.'!AB858+'Cronog. e Histog.'!AB858,#N/A)</f>
        <v>#N/A</v>
      </c>
      <c r="T69" s="21" t="e">
        <f>IF('Cronog. e Histog.'!AC858+'Cronog. e Histog.'!AC859&gt;0,'Cronog. e Histog.'!AC858+'Cronog. e Histog.'!AC858,#N/A)</f>
        <v>#N/A</v>
      </c>
      <c r="U69" s="21" t="e">
        <f>IF('Cronog. e Histog.'!AD858+'Cronog. e Histog.'!AD859&gt;0,'Cronog. e Histog.'!AD858+'Cronog. e Histog.'!AD858,#N/A)</f>
        <v>#N/A</v>
      </c>
      <c r="V69" s="21" t="e">
        <f>IF('Cronog. e Histog.'!AE858+'Cronog. e Histog.'!AE859&gt;0,'Cronog. e Histog.'!AE858+'Cronog. e Histog.'!AE858,#N/A)</f>
        <v>#N/A</v>
      </c>
      <c r="W69" s="21" t="e">
        <f>IF('Cronog. e Histog.'!AF858+'Cronog. e Histog.'!AF859&gt;0,'Cronog. e Histog.'!AF858+'Cronog. e Histog.'!AF858,#N/A)</f>
        <v>#N/A</v>
      </c>
      <c r="X69" s="21" t="e">
        <f>IF('Cronog. e Histog.'!AG858+'Cronog. e Histog.'!AG859&gt;0,'Cronog. e Histog.'!AG858+'Cronog. e Histog.'!AG858,#N/A)</f>
        <v>#N/A</v>
      </c>
      <c r="Y69" s="21" t="e">
        <f>IF('Cronog. e Histog.'!AH858+'Cronog. e Histog.'!AH859&gt;0,'Cronog. e Histog.'!AH858+'Cronog. e Histog.'!AH858,#N/A)</f>
        <v>#N/A</v>
      </c>
      <c r="Z69" s="21" t="e">
        <f>IF('Cronog. e Histog.'!AI858+'Cronog. e Histog.'!AI859&gt;0,'Cronog. e Histog.'!AI858+'Cronog. e Histog.'!AI858,#N/A)</f>
        <v>#N/A</v>
      </c>
      <c r="AA69" s="21" t="e">
        <f>IF('Cronog. e Histog.'!AJ858+'Cronog. e Histog.'!AJ859&gt;0,'Cronog. e Histog.'!AJ858+'Cronog. e Histog.'!AJ858,#N/A)</f>
        <v>#N/A</v>
      </c>
      <c r="AB69" s="21" t="e">
        <f>IF('Cronog. e Histog.'!AK858+'Cronog. e Histog.'!AK859&gt;0,'Cronog. e Histog.'!AK858+'Cronog. e Histog.'!AK858,#N/A)</f>
        <v>#N/A</v>
      </c>
      <c r="AC69" s="21" t="e">
        <f>IF('Cronog. e Histog.'!AL858+'Cronog. e Histog.'!AL859&gt;0,'Cronog. e Histog.'!AL858+'Cronog. e Histog.'!AL858,#N/A)</f>
        <v>#N/A</v>
      </c>
      <c r="AD69" s="21" t="e">
        <f>IF('Cronog. e Histog.'!AM858+'Cronog. e Histog.'!AM859&gt;0,'Cronog. e Histog.'!AM858+'Cronog. e Histog.'!AM858,#N/A)</f>
        <v>#N/A</v>
      </c>
      <c r="AE69" s="21" t="e">
        <f>IF('Cronog. e Histog.'!AN858+'Cronog. e Histog.'!AN859&gt;0,'Cronog. e Histog.'!AN858+'Cronog. e Histog.'!AN858,#N/A)</f>
        <v>#N/A</v>
      </c>
      <c r="AF69" s="21" t="e">
        <f>IF('Cronog. e Histog.'!AO858+'Cronog. e Histog.'!AO859&gt;0,'Cronog. e Histog.'!AO858+'Cronog. e Histog.'!AO858,#N/A)</f>
        <v>#N/A</v>
      </c>
      <c r="AG69" s="21" t="e">
        <f>IF('Cronog. e Histog.'!AP858+'Cronog. e Histog.'!AP859&gt;0,'Cronog. e Histog.'!AP858+'Cronog. e Histog.'!AP858,#N/A)</f>
        <v>#N/A</v>
      </c>
      <c r="AH69" s="21" t="e">
        <f>IF('Cronog. e Histog.'!AQ858+'Cronog. e Histog.'!AQ859&gt;0,'Cronog. e Histog.'!AQ858+'Cronog. e Histog.'!AQ858,#N/A)</f>
        <v>#N/A</v>
      </c>
      <c r="AI69" s="21" t="e">
        <f>IF('Cronog. e Histog.'!AR858+'Cronog. e Histog.'!AR859&gt;0,'Cronog. e Histog.'!AR858+'Cronog. e Histog.'!AR858,#N/A)</f>
        <v>#N/A</v>
      </c>
      <c r="AJ69" s="21" t="e">
        <f>IF('Cronog. e Histog.'!AS858+'Cronog. e Histog.'!AS859&gt;0,'Cronog. e Histog.'!AS858+'Cronog. e Histog.'!AS858,#N/A)</f>
        <v>#N/A</v>
      </c>
      <c r="AK69" s="21" t="e">
        <f>IF('Cronog. e Histog.'!AT858+'Cronog. e Histog.'!AT859&gt;0,'Cronog. e Histog.'!AT858+'Cronog. e Histog.'!AT858,#N/A)</f>
        <v>#N/A</v>
      </c>
      <c r="AL69" s="21" t="e">
        <f>IF('Cronog. e Histog.'!AU858+'Cronog. e Histog.'!AU859&gt;0,'Cronog. e Histog.'!AU858+'Cronog. e Histog.'!AU858,#N/A)</f>
        <v>#N/A</v>
      </c>
      <c r="AM69" s="21" t="e">
        <f>IF('Cronog. e Histog.'!AV858+'Cronog. e Histog.'!AV859&gt;0,'Cronog. e Histog.'!AV858+'Cronog. e Histog.'!AV858,#N/A)</f>
        <v>#N/A</v>
      </c>
      <c r="AN69" s="21" t="e">
        <f>IF('Cronog. e Histog.'!AW858+'Cronog. e Histog.'!AW859&gt;0,'Cronog. e Histog.'!AW858+'Cronog. e Histog.'!AW858,#N/A)</f>
        <v>#N/A</v>
      </c>
      <c r="AO69" s="21" t="e">
        <f>IF('Cronog. e Histog.'!AX858+'Cronog. e Histog.'!AX859&gt;0,'Cronog. e Histog.'!AX858+'Cronog. e Histog.'!AX858,#N/A)</f>
        <v>#N/A</v>
      </c>
      <c r="AP69" s="21" t="e">
        <f>IF('Cronog. e Histog.'!AY858+'Cronog. e Histog.'!AY859&gt;0,'Cronog. e Histog.'!AY858+'Cronog. e Histog.'!AY858,#N/A)</f>
        <v>#N/A</v>
      </c>
      <c r="AQ69" s="21" t="e">
        <f>IF('Cronog. e Histog.'!AZ858+'Cronog. e Histog.'!AZ859&gt;0,'Cronog. e Histog.'!AZ858+'Cronog. e Histog.'!AZ858,#N/A)</f>
        <v>#N/A</v>
      </c>
      <c r="AR69" s="21" t="e">
        <f>IF('Cronog. e Histog.'!BA858+'Cronog. e Histog.'!BA859&gt;0,'Cronog. e Histog.'!BA858+'Cronog. e Histog.'!BA858,#N/A)</f>
        <v>#N/A</v>
      </c>
      <c r="AS69" s="21" t="e">
        <f>IF('Cronog. e Histog.'!BB858+'Cronog. e Histog.'!BB859&gt;0,'Cronog. e Histog.'!BB858+'Cronog. e Histog.'!BB858,#N/A)</f>
        <v>#N/A</v>
      </c>
      <c r="AT69" s="21" t="e">
        <f>IF('Cronog. e Histog.'!BC858+'Cronog. e Histog.'!BC859&gt;0,'Cronog. e Histog.'!BC858+'Cronog. e Histog.'!BC858,#N/A)</f>
        <v>#N/A</v>
      </c>
      <c r="AU69" s="21" t="e">
        <f>IF('Cronog. e Histog.'!BD858+'Cronog. e Histog.'!BD859&gt;0,'Cronog. e Histog.'!BD858+'Cronog. e Histog.'!BD858,#N/A)</f>
        <v>#N/A</v>
      </c>
      <c r="AV69" s="21" t="e">
        <f>IF('Cronog. e Histog.'!BE858+'Cronog. e Histog.'!BE859&gt;0,'Cronog. e Histog.'!BE858+'Cronog. e Histog.'!BE858,#N/A)</f>
        <v>#N/A</v>
      </c>
      <c r="AW69" s="21" t="e">
        <f>IF('Cronog. e Histog.'!BF858+'Cronog. e Histog.'!BF859&gt;0,'Cronog. e Histog.'!BF858+'Cronog. e Histog.'!BF858,#N/A)</f>
        <v>#N/A</v>
      </c>
      <c r="AX69" s="21" t="e">
        <f>IF('Cronog. e Histog.'!BG858+'Cronog. e Histog.'!BG859&gt;0,'Cronog. e Histog.'!BG858+'Cronog. e Histog.'!BG858,#N/A)</f>
        <v>#N/A</v>
      </c>
      <c r="AY69" s="21" t="e">
        <f>IF('Cronog. e Histog.'!BH858+'Cronog. e Histog.'!BH859&gt;0,'Cronog. e Histog.'!BH858+'Cronog. e Histog.'!BH858,#N/A)</f>
        <v>#N/A</v>
      </c>
      <c r="AZ69" s="21" t="e">
        <f>IF('Cronog. e Histog.'!BI858+'Cronog. e Histog.'!BI859&gt;0,'Cronog. e Histog.'!BI858+'Cronog. e Histog.'!BI858,#N/A)</f>
        <v>#N/A</v>
      </c>
      <c r="BA69" s="21" t="e">
        <f>IF('Cronog. e Histog.'!BJ858+'Cronog. e Histog.'!BJ859&gt;0,'Cronog. e Histog.'!BJ858+'Cronog. e Histog.'!BJ858,#N/A)</f>
        <v>#N/A</v>
      </c>
      <c r="BB69" s="21" t="e">
        <f>IF('Cronog. e Histog.'!BK858+'Cronog. e Histog.'!BK859&gt;0,'Cronog. e Histog.'!BK858+'Cronog. e Histog.'!BK858,#N/A)</f>
        <v>#N/A</v>
      </c>
      <c r="BC69" s="21" t="e">
        <f>IF('Cronog. e Histog.'!BL858+'Cronog. e Histog.'!BL859&gt;0,'Cronog. e Histog.'!BL858+'Cronog. e Histog.'!BL858,#N/A)</f>
        <v>#N/A</v>
      </c>
      <c r="BD69" s="21" t="e">
        <f>IF('Cronog. e Histog.'!BM858+'Cronog. e Histog.'!BM859&gt;0,'Cronog. e Histog.'!BM858+'Cronog. e Histog.'!BM858,#N/A)</f>
        <v>#N/A</v>
      </c>
      <c r="BE69" s="21" t="e">
        <f>IF('Cronog. e Histog.'!BN858+'Cronog. e Histog.'!BN859&gt;0,'Cronog. e Histog.'!BN858+'Cronog. e Histog.'!BN858,#N/A)</f>
        <v>#N/A</v>
      </c>
      <c r="BF69" s="21" t="e">
        <f>IF('Cronog. e Histog.'!BO858+'Cronog. e Histog.'!BO859&gt;0,'Cronog. e Histog.'!BO858+'Cronog. e Histog.'!BO858,#N/A)</f>
        <v>#N/A</v>
      </c>
      <c r="BG69" s="21" t="e">
        <f>IF('Cronog. e Histog.'!BP858+'Cronog. e Histog.'!BP859&gt;0,'Cronog. e Histog.'!BP858+'Cronog. e Histog.'!BP858,#N/A)</f>
        <v>#N/A</v>
      </c>
      <c r="BH69" s="21" t="e">
        <f>IF('Cronog. e Histog.'!BQ858+'Cronog. e Histog.'!BQ859&gt;0,'Cronog. e Histog.'!BQ858+'Cronog. e Histog.'!BQ858,#N/A)</f>
        <v>#N/A</v>
      </c>
      <c r="BI69" s="21" t="e">
        <f>IF('Cronog. e Histog.'!BR858+'Cronog. e Histog.'!BR859&gt;0,'Cronog. e Histog.'!BR858+'Cronog. e Histog.'!BR858,#N/A)</f>
        <v>#N/A</v>
      </c>
    </row>
    <row r="70" spans="2:61" ht="12" customHeight="1">
      <c r="B70" s="21">
        <f>IF('Cronog. e Histog.'!K860&gt;0,'Cronog. e Histog.'!K860,#N/A)</f>
        <v>0.08</v>
      </c>
      <c r="C70" s="21">
        <f>IF('Cronog. e Histog.'!L860&gt;0,'Cronog. e Histog.'!L860,#N/A)</f>
        <v>0.08</v>
      </c>
      <c r="D70" s="21">
        <f>IF('Cronog. e Histog.'!M860&gt;0,'Cronog. e Histog.'!M860,#N/A)</f>
        <v>0.08</v>
      </c>
      <c r="E70" s="21">
        <f>IF('Cronog. e Histog.'!N860&gt;0,'Cronog. e Histog.'!N860,#N/A)</f>
        <v>0.08</v>
      </c>
      <c r="F70" s="21">
        <f>IF('Cronog. e Histog.'!O860&gt;0,'Cronog. e Histog.'!O860,#N/A)</f>
        <v>0.08</v>
      </c>
      <c r="G70" s="21">
        <f>IF('Cronog. e Histog.'!P860&gt;0,'Cronog. e Histog.'!P860,#N/A)</f>
        <v>0.08</v>
      </c>
      <c r="H70" s="21">
        <f>IF('Cronog. e Histog.'!Q860&gt;0,'Cronog. e Histog.'!Q860,#N/A)</f>
        <v>0.08</v>
      </c>
      <c r="I70" s="21">
        <f>IF('Cronog. e Histog.'!R860&gt;0,'Cronog. e Histog.'!R860,#N/A)</f>
        <v>0.08</v>
      </c>
      <c r="J70" s="21">
        <f>IF('Cronog. e Histog.'!S860&gt;0,'Cronog. e Histog.'!S860,#N/A)</f>
        <v>0.08</v>
      </c>
      <c r="K70" s="21">
        <f>IF('Cronog. e Histog.'!T860&gt;0,'Cronog. e Histog.'!T860,#N/A)</f>
        <v>0.08</v>
      </c>
      <c r="L70" s="21">
        <f>IF('Cronog. e Histog.'!U860&gt;0,'Cronog. e Histog.'!U860,#N/A)</f>
        <v>0.08</v>
      </c>
      <c r="M70" s="21">
        <f>IF('Cronog. e Histog.'!V860&gt;0,'Cronog. e Histog.'!V860,#N/A)</f>
        <v>0.08</v>
      </c>
      <c r="N70" s="21" t="e">
        <f>IF('Cronog. e Histog.'!W860&gt;0,'Cronog. e Histog.'!W860,#N/A)</f>
        <v>#N/A</v>
      </c>
      <c r="O70" s="21" t="e">
        <f>IF('Cronog. e Histog.'!X860&gt;0,'Cronog. e Histog.'!X860,#N/A)</f>
        <v>#N/A</v>
      </c>
      <c r="P70" s="21" t="e">
        <f>IF('Cronog. e Histog.'!Y860&gt;0,'Cronog. e Histog.'!Y860,#N/A)</f>
        <v>#N/A</v>
      </c>
      <c r="Q70" s="21" t="e">
        <f>IF('Cronog. e Histog.'!Z860&gt;0,'Cronog. e Histog.'!Z860,#N/A)</f>
        <v>#N/A</v>
      </c>
      <c r="R70" s="21" t="e">
        <f>IF('Cronog. e Histog.'!AA860&gt;0,'Cronog. e Histog.'!AA860,#N/A)</f>
        <v>#N/A</v>
      </c>
      <c r="S70" s="21" t="e">
        <f>IF('Cronog. e Histog.'!AB860&gt;0,'Cronog. e Histog.'!AB860,#N/A)</f>
        <v>#N/A</v>
      </c>
      <c r="T70" s="21" t="e">
        <f>IF('Cronog. e Histog.'!AC860&gt;0,'Cronog. e Histog.'!AC860,#N/A)</f>
        <v>#N/A</v>
      </c>
      <c r="U70" s="21" t="e">
        <f>IF('Cronog. e Histog.'!AD860&gt;0,'Cronog. e Histog.'!AD860,#N/A)</f>
        <v>#N/A</v>
      </c>
      <c r="V70" s="21" t="e">
        <f>IF('Cronog. e Histog.'!AE860&gt;0,'Cronog. e Histog.'!AE860,#N/A)</f>
        <v>#N/A</v>
      </c>
      <c r="W70" s="21" t="e">
        <f>IF('Cronog. e Histog.'!AF860&gt;0,'Cronog. e Histog.'!AF860,#N/A)</f>
        <v>#N/A</v>
      </c>
      <c r="X70" s="21" t="e">
        <f>IF('Cronog. e Histog.'!AG860&gt;0,'Cronog. e Histog.'!AG860,#N/A)</f>
        <v>#N/A</v>
      </c>
      <c r="Y70" s="21" t="e">
        <f>IF('Cronog. e Histog.'!AH860&gt;0,'Cronog. e Histog.'!AH860,#N/A)</f>
        <v>#N/A</v>
      </c>
      <c r="Z70" s="21" t="e">
        <f>IF('Cronog. e Histog.'!AI860&gt;0,'Cronog. e Histog.'!AI860,#N/A)</f>
        <v>#N/A</v>
      </c>
      <c r="AA70" s="21" t="e">
        <f>IF('Cronog. e Histog.'!AJ860&gt;0,'Cronog. e Histog.'!AJ860,#N/A)</f>
        <v>#N/A</v>
      </c>
      <c r="AB70" s="21" t="e">
        <f>IF('Cronog. e Histog.'!AK860&gt;0,'Cronog. e Histog.'!AK860,#N/A)</f>
        <v>#N/A</v>
      </c>
      <c r="AC70" s="21" t="e">
        <f>IF('Cronog. e Histog.'!AL860&gt;0,'Cronog. e Histog.'!AL860,#N/A)</f>
        <v>#N/A</v>
      </c>
      <c r="AD70" s="21" t="e">
        <f>IF('Cronog. e Histog.'!AM860&gt;0,'Cronog. e Histog.'!AM860,#N/A)</f>
        <v>#N/A</v>
      </c>
      <c r="AE70" s="21" t="e">
        <f>IF('Cronog. e Histog.'!AN860&gt;0,'Cronog. e Histog.'!AN860,#N/A)</f>
        <v>#N/A</v>
      </c>
      <c r="AF70" s="21" t="e">
        <f>IF('Cronog. e Histog.'!AO860&gt;0,'Cronog. e Histog.'!AO860,#N/A)</f>
        <v>#N/A</v>
      </c>
      <c r="AG70" s="21" t="e">
        <f>IF('Cronog. e Histog.'!AP860&gt;0,'Cronog. e Histog.'!AP860,#N/A)</f>
        <v>#N/A</v>
      </c>
      <c r="AH70" s="21" t="e">
        <f>IF('Cronog. e Histog.'!AQ860&gt;0,'Cronog. e Histog.'!AQ860,#N/A)</f>
        <v>#N/A</v>
      </c>
      <c r="AI70" s="21" t="e">
        <f>IF('Cronog. e Histog.'!AR860&gt;0,'Cronog. e Histog.'!AR860,#N/A)</f>
        <v>#N/A</v>
      </c>
      <c r="AJ70" s="21" t="e">
        <f>IF('Cronog. e Histog.'!AS860&gt;0,'Cronog. e Histog.'!AS860,#N/A)</f>
        <v>#N/A</v>
      </c>
      <c r="AK70" s="21" t="e">
        <f>IF('Cronog. e Histog.'!AT860&gt;0,'Cronog. e Histog.'!AT860,#N/A)</f>
        <v>#N/A</v>
      </c>
      <c r="AL70" s="21" t="e">
        <f>IF('Cronog. e Histog.'!AU860&gt;0,'Cronog. e Histog.'!AU860,#N/A)</f>
        <v>#N/A</v>
      </c>
      <c r="AM70" s="21" t="e">
        <f>IF('Cronog. e Histog.'!AV860&gt;0,'Cronog. e Histog.'!AV860,#N/A)</f>
        <v>#N/A</v>
      </c>
      <c r="AN70" s="21" t="e">
        <f>IF('Cronog. e Histog.'!AW860&gt;0,'Cronog. e Histog.'!AW860,#N/A)</f>
        <v>#N/A</v>
      </c>
      <c r="AO70" s="21" t="e">
        <f>IF('Cronog. e Histog.'!AX860&gt;0,'Cronog. e Histog.'!AX860,#N/A)</f>
        <v>#N/A</v>
      </c>
      <c r="AP70" s="21" t="e">
        <f>IF('Cronog. e Histog.'!AY860&gt;0,'Cronog. e Histog.'!AY860,#N/A)</f>
        <v>#N/A</v>
      </c>
      <c r="AQ70" s="21" t="e">
        <f>IF('Cronog. e Histog.'!AZ860&gt;0,'Cronog. e Histog.'!AZ860,#N/A)</f>
        <v>#N/A</v>
      </c>
      <c r="AR70" s="21" t="e">
        <f>IF('Cronog. e Histog.'!BA860&gt;0,'Cronog. e Histog.'!BA860,#N/A)</f>
        <v>#N/A</v>
      </c>
      <c r="AS70" s="21" t="e">
        <f>IF('Cronog. e Histog.'!BB860&gt;0,'Cronog. e Histog.'!BB860,#N/A)</f>
        <v>#N/A</v>
      </c>
      <c r="AT70" s="21" t="e">
        <f>IF('Cronog. e Histog.'!BC860&gt;0,'Cronog. e Histog.'!BC860,#N/A)</f>
        <v>#N/A</v>
      </c>
      <c r="AU70" s="21" t="e">
        <f>IF('Cronog. e Histog.'!BD860&gt;0,'Cronog. e Histog.'!BD860,#N/A)</f>
        <v>#N/A</v>
      </c>
      <c r="AV70" s="21" t="e">
        <f>IF('Cronog. e Histog.'!BE860&gt;0,'Cronog. e Histog.'!BE860,#N/A)</f>
        <v>#N/A</v>
      </c>
      <c r="AW70" s="21" t="e">
        <f>IF('Cronog. e Histog.'!BF860&gt;0,'Cronog. e Histog.'!BF860,#N/A)</f>
        <v>#N/A</v>
      </c>
      <c r="AX70" s="21" t="e">
        <f>IF('Cronog. e Histog.'!BG860&gt;0,'Cronog. e Histog.'!BG860,#N/A)</f>
        <v>#N/A</v>
      </c>
      <c r="AY70" s="21" t="e">
        <f>IF('Cronog. e Histog.'!BH860&gt;0,'Cronog. e Histog.'!BH860,#N/A)</f>
        <v>#N/A</v>
      </c>
      <c r="AZ70" s="21" t="e">
        <f>IF('Cronog. e Histog.'!BI860&gt;0,'Cronog. e Histog.'!BI860,#N/A)</f>
        <v>#N/A</v>
      </c>
      <c r="BA70" s="21" t="e">
        <f>IF('Cronog. e Histog.'!BJ860&gt;0,'Cronog. e Histog.'!BJ860,#N/A)</f>
        <v>#N/A</v>
      </c>
      <c r="BB70" s="21" t="e">
        <f>IF('Cronog. e Histog.'!BK860&gt;0,'Cronog. e Histog.'!BK860,#N/A)</f>
        <v>#N/A</v>
      </c>
      <c r="BC70" s="21" t="e">
        <f>IF('Cronog. e Histog.'!BL860&gt;0,'Cronog. e Histog.'!BL860,#N/A)</f>
        <v>#N/A</v>
      </c>
      <c r="BD70" s="21" t="e">
        <f>IF('Cronog. e Histog.'!BM860&gt;0,'Cronog. e Histog.'!BM860,#N/A)</f>
        <v>#N/A</v>
      </c>
      <c r="BE70" s="21" t="e">
        <f>IF('Cronog. e Histog.'!BN860&gt;0,'Cronog. e Histog.'!BN860,#N/A)</f>
        <v>#N/A</v>
      </c>
      <c r="BF70" s="21" t="e">
        <f>IF('Cronog. e Histog.'!BO860&gt;0,'Cronog. e Histog.'!BO860,#N/A)</f>
        <v>#N/A</v>
      </c>
      <c r="BG70" s="21" t="e">
        <f>IF('Cronog. e Histog.'!BP860&gt;0,'Cronog. e Histog.'!BP860,#N/A)</f>
        <v>#N/A</v>
      </c>
      <c r="BH70" s="21" t="e">
        <f>IF('Cronog. e Histog.'!BQ860&gt;0,'Cronog. e Histog.'!BQ860,#N/A)</f>
        <v>#N/A</v>
      </c>
      <c r="BI70" s="21" t="e">
        <f>IF('Cronog. e Histog.'!BR860&gt;0,'Cronog. e Histog.'!BR860,#N/A)</f>
        <v>#N/A</v>
      </c>
    </row>
    <row r="71" spans="2:61" ht="12" customHeight="1">
      <c r="B71" s="22">
        <f>'Cronog. e Histog.'!K861</f>
        <v>4.3499999999999996</v>
      </c>
      <c r="C71" s="22">
        <f>'Cronog. e Histog.'!L861</f>
        <v>4.3499999999999996</v>
      </c>
      <c r="D71" s="22">
        <f>'Cronog. e Histog.'!M861</f>
        <v>4.3499999999999996</v>
      </c>
      <c r="E71" s="22">
        <f>'Cronog. e Histog.'!N861</f>
        <v>4.3499999999999996</v>
      </c>
      <c r="F71" s="22">
        <f>'Cronog. e Histog.'!O861</f>
        <v>4.3499999999999996</v>
      </c>
      <c r="G71" s="22">
        <f>'Cronog. e Histog.'!P861</f>
        <v>4.3499999999999996</v>
      </c>
      <c r="H71" s="22">
        <f>'Cronog. e Histog.'!Q861</f>
        <v>4.3499999999999996</v>
      </c>
      <c r="I71" s="22">
        <f>'Cronog. e Histog.'!R861</f>
        <v>4.3499999999999996</v>
      </c>
      <c r="J71" s="22">
        <f>'Cronog. e Histog.'!S861</f>
        <v>4.3499999999999996</v>
      </c>
      <c r="K71" s="22">
        <f>'Cronog. e Histog.'!T861</f>
        <v>4.3499999999999996</v>
      </c>
      <c r="L71" s="22">
        <f>'Cronog. e Histog.'!U861</f>
        <v>0.08</v>
      </c>
      <c r="M71" s="22">
        <f>'Cronog. e Histog.'!V861</f>
        <v>0.08</v>
      </c>
      <c r="N71" s="22">
        <f>'Cronog. e Histog.'!W861</f>
        <v>0</v>
      </c>
      <c r="O71" s="22">
        <f>'Cronog. e Histog.'!X861</f>
        <v>0</v>
      </c>
      <c r="P71" s="22">
        <f>'Cronog. e Histog.'!Y861</f>
        <v>0</v>
      </c>
      <c r="Q71" s="22">
        <f>'Cronog. e Histog.'!Z861</f>
        <v>0</v>
      </c>
      <c r="R71" s="22">
        <f>'Cronog. e Histog.'!AA861</f>
        <v>0</v>
      </c>
      <c r="S71" s="22">
        <f>'Cronog. e Histog.'!AB861</f>
        <v>0</v>
      </c>
      <c r="T71" s="22">
        <f>'Cronog. e Histog.'!AC861</f>
        <v>0</v>
      </c>
      <c r="U71" s="22">
        <f>'Cronog. e Histog.'!AD861</f>
        <v>0</v>
      </c>
      <c r="V71" s="22">
        <f>'Cronog. e Histog.'!AE861</f>
        <v>0</v>
      </c>
      <c r="W71" s="22">
        <f>'Cronog. e Histog.'!AF861</f>
        <v>0</v>
      </c>
      <c r="X71" s="22">
        <f>'Cronog. e Histog.'!AG861</f>
        <v>0</v>
      </c>
      <c r="Y71" s="22">
        <f>'Cronog. e Histog.'!AH861</f>
        <v>0</v>
      </c>
      <c r="Z71" s="22">
        <f>'Cronog. e Histog.'!AI861</f>
        <v>0</v>
      </c>
      <c r="AA71" s="22">
        <f>'Cronog. e Histog.'!AJ861</f>
        <v>0</v>
      </c>
      <c r="AB71" s="22">
        <f>'Cronog. e Histog.'!AK861</f>
        <v>0</v>
      </c>
      <c r="AC71" s="22">
        <f>'Cronog. e Histog.'!AL861</f>
        <v>0</v>
      </c>
      <c r="AD71" s="22">
        <f>'Cronog. e Histog.'!AM861</f>
        <v>0</v>
      </c>
      <c r="AE71" s="22">
        <f>'Cronog. e Histog.'!AN861</f>
        <v>0</v>
      </c>
      <c r="AF71" s="22">
        <f>'Cronog. e Histog.'!AO861</f>
        <v>0</v>
      </c>
      <c r="AG71" s="22">
        <f>'Cronog. e Histog.'!AP861</f>
        <v>0</v>
      </c>
      <c r="AH71" s="22">
        <f>'Cronog. e Histog.'!AQ861</f>
        <v>0</v>
      </c>
      <c r="AI71" s="22">
        <f>'Cronog. e Histog.'!AR861</f>
        <v>0</v>
      </c>
      <c r="AJ71" s="22">
        <f>'Cronog. e Histog.'!AS861</f>
        <v>0</v>
      </c>
      <c r="AK71" s="22">
        <f>'Cronog. e Histog.'!AT861</f>
        <v>0</v>
      </c>
      <c r="AL71" s="22">
        <f>'Cronog. e Histog.'!AU861</f>
        <v>0</v>
      </c>
      <c r="AM71" s="22">
        <f>'Cronog. e Histog.'!AV861</f>
        <v>0</v>
      </c>
      <c r="AN71" s="22">
        <f>'Cronog. e Histog.'!AW861</f>
        <v>0</v>
      </c>
      <c r="AO71" s="22">
        <f>'Cronog. e Histog.'!AX861</f>
        <v>0</v>
      </c>
      <c r="AP71" s="22">
        <f>'Cronog. e Histog.'!AY861</f>
        <v>0</v>
      </c>
      <c r="AQ71" s="22">
        <f>'Cronog. e Histog.'!AZ861</f>
        <v>0</v>
      </c>
      <c r="AR71" s="22">
        <f>'Cronog. e Histog.'!BA861</f>
        <v>0</v>
      </c>
      <c r="AS71" s="22">
        <f>'Cronog. e Histog.'!BB861</f>
        <v>0</v>
      </c>
      <c r="AT71" s="22">
        <f>'Cronog. e Histog.'!BC861</f>
        <v>0</v>
      </c>
      <c r="AU71" s="22">
        <f>'Cronog. e Histog.'!BD861</f>
        <v>0</v>
      </c>
      <c r="AV71" s="22">
        <f>'Cronog. e Histog.'!BE861</f>
        <v>0</v>
      </c>
      <c r="AW71" s="22">
        <f>'Cronog. e Histog.'!BF861</f>
        <v>0</v>
      </c>
      <c r="AX71" s="22">
        <f>'Cronog. e Histog.'!BG861</f>
        <v>0</v>
      </c>
      <c r="AY71" s="22">
        <f>'Cronog. e Histog.'!BH861</f>
        <v>0</v>
      </c>
      <c r="AZ71" s="22">
        <f>'Cronog. e Histog.'!BI861</f>
        <v>0</v>
      </c>
      <c r="BA71" s="22">
        <f>'Cronog. e Histog.'!BJ861</f>
        <v>0</v>
      </c>
      <c r="BB71" s="22">
        <f>'Cronog. e Histog.'!BK861</f>
        <v>0</v>
      </c>
      <c r="BC71" s="22">
        <f>'Cronog. e Histog.'!BL861</f>
        <v>0</v>
      </c>
      <c r="BD71" s="22">
        <f>'Cronog. e Histog.'!BM861</f>
        <v>0</v>
      </c>
      <c r="BE71" s="22">
        <f>'Cronog. e Histog.'!BN861</f>
        <v>0</v>
      </c>
      <c r="BF71" s="22">
        <f>'Cronog. e Histog.'!BO861</f>
        <v>0</v>
      </c>
      <c r="BG71" s="22">
        <f>'Cronog. e Histog.'!BP861</f>
        <v>0</v>
      </c>
      <c r="BH71" s="22">
        <f>'Cronog. e Histog.'!BQ861</f>
        <v>0</v>
      </c>
      <c r="BI71" s="22">
        <f>'Cronog. e Histog.'!BR861</f>
        <v>0</v>
      </c>
    </row>
    <row r="90" spans="2:3" ht="24" customHeight="1" thickBot="1">
      <c r="B90" s="33" t="s">
        <v>129</v>
      </c>
      <c r="C90" s="34"/>
    </row>
    <row r="91" spans="2:3" ht="12" customHeight="1" thickTop="1"/>
    <row r="92" spans="2:3" ht="12" customHeight="1">
      <c r="B92" s="18" t="s">
        <v>130</v>
      </c>
      <c r="C92" s="24"/>
    </row>
    <row r="93" spans="2:3" ht="12" customHeight="1">
      <c r="B93" s="23" t="str">
        <f>Dashboard!K3</f>
        <v>Mão de Obra Indireta</v>
      </c>
      <c r="C93" s="25">
        <f>IF(Dashboard!L3&gt;0,Dashboard!L3,#N/A)</f>
        <v>17160</v>
      </c>
    </row>
    <row r="94" spans="2:3" ht="12" customHeight="1">
      <c r="B94" s="23" t="str">
        <f>Dashboard!K5</f>
        <v>Mão de Obra Direta (rotina)</v>
      </c>
      <c r="C94" s="25" t="e">
        <f>IF(Dashboard!L5&gt;0,Dashboard!L5,#N/A)</f>
        <v>#N/A</v>
      </c>
    </row>
    <row r="95" spans="2:3" ht="12" customHeight="1">
      <c r="B95" s="23" t="str">
        <f>Dashboard!K7</f>
        <v>Encargos Sociais - Horistas</v>
      </c>
      <c r="C95" s="25" t="e">
        <f>IF(Dashboard!L7&gt;0,Dashboard!L7,#N/A)</f>
        <v>#N/A</v>
      </c>
    </row>
    <row r="96" spans="2:3" ht="12" customHeight="1">
      <c r="B96" s="23" t="str">
        <f>Dashboard!K8</f>
        <v>Mobilização/ Integração de Mão de Obra</v>
      </c>
      <c r="C96" s="25" t="e">
        <f>IF(Dashboard!L8&gt;0,Dashboard!L8,#N/A)</f>
        <v>#N/A</v>
      </c>
    </row>
    <row r="97" spans="2:3" ht="12" customHeight="1">
      <c r="B97" s="23" t="str">
        <f>Dashboard!K9</f>
        <v>Desmobilização de Mão de Obra</v>
      </c>
      <c r="C97" s="25" t="e">
        <f>IF(Dashboard!L9&gt;0,Dashboard!L9,#N/A)</f>
        <v>#N/A</v>
      </c>
    </row>
    <row r="98" spans="2:3" ht="12" customHeight="1">
      <c r="B98" s="23" t="str">
        <f>Dashboard!K10</f>
        <v>Canteiro de Obras, Infraestrutura de Apoio e Alojamento</v>
      </c>
      <c r="C98" s="25" t="e">
        <f>IF(Dashboard!L10&gt;0,Dashboard!L10,#N/A)</f>
        <v>#N/A</v>
      </c>
    </row>
    <row r="99" spans="2:3" ht="12" customHeight="1">
      <c r="B99" s="23" t="str">
        <f>Dashboard!K11</f>
        <v>Benefícios</v>
      </c>
      <c r="C99" s="25">
        <f>IF(Dashboard!L11&gt;0,Dashboard!L11,#N/A)</f>
        <v>62455.760000000009</v>
      </c>
    </row>
    <row r="100" spans="2:3" ht="12" customHeight="1">
      <c r="B100" s="23" t="str">
        <f>Dashboard!K12</f>
        <v>Exames Médicos e Gestão da Saúde Ocupacional</v>
      </c>
      <c r="C100" s="25">
        <f>IF(Dashboard!L12&gt;0,Dashboard!L12,#N/A)</f>
        <v>3914.9999999999995</v>
      </c>
    </row>
    <row r="101" spans="2:3" ht="12" customHeight="1">
      <c r="B101" s="23" t="str">
        <f>Dashboard!K13</f>
        <v>EPI's - Equipamentos de Proteção Individual</v>
      </c>
      <c r="C101" s="25">
        <f>IF(Dashboard!L13&gt;0,Dashboard!L13,#N/A)</f>
        <v>14142.383583333336</v>
      </c>
    </row>
    <row r="102" spans="2:3" ht="12" customHeight="1">
      <c r="B102" s="23" t="str">
        <f>Dashboard!K14</f>
        <v>EPC's - Equipamentos de Proteção Coletiva</v>
      </c>
      <c r="C102" s="25">
        <f>IF(Dashboard!L14&gt;0,Dashboard!L14,#N/A)</f>
        <v>2464.5833333333317</v>
      </c>
    </row>
    <row r="103" spans="2:3" ht="12" customHeight="1">
      <c r="B103" s="23" t="str">
        <f>Dashboard!K15</f>
        <v>Treinamentos</v>
      </c>
      <c r="C103" s="25" t="e">
        <f>IF(Dashboard!L15&gt;0,Dashboard!L15,#N/A)</f>
        <v>#N/A</v>
      </c>
    </row>
    <row r="104" spans="2:3" ht="12" customHeight="1">
      <c r="B104" s="23" t="str">
        <f>Dashboard!K16</f>
        <v>Viagens e Hospedagem</v>
      </c>
      <c r="C104" s="25">
        <f>IF(Dashboard!L16&gt;0,Dashboard!L16,#N/A)</f>
        <v>87000</v>
      </c>
    </row>
    <row r="105" spans="2:3" ht="12" customHeight="1">
      <c r="B105" s="23" t="str">
        <f>Dashboard!K17</f>
        <v>Equipamentos e Ferramentas</v>
      </c>
      <c r="C105" s="25">
        <f>IF(Dashboard!L17&gt;0,Dashboard!L17,#N/A)</f>
        <v>2000</v>
      </c>
    </row>
    <row r="106" spans="2:3" ht="12" customHeight="1">
      <c r="B106" s="23" t="str">
        <f>Dashboard!K18</f>
        <v>Equipamentos de Informática e Softwares</v>
      </c>
      <c r="C106" s="25">
        <f>IF(Dashboard!L18&gt;0,Dashboard!L18,#N/A)</f>
        <v>39989.467333333327</v>
      </c>
    </row>
    <row r="107" spans="2:3" ht="12" customHeight="1">
      <c r="B107" s="23" t="str">
        <f>Dashboard!K19</f>
        <v>Veículos leves e Fretamento</v>
      </c>
      <c r="C107" s="25" t="e">
        <f>IF(Dashboard!L19&gt;0,Dashboard!L19,#N/A)</f>
        <v>#N/A</v>
      </c>
    </row>
    <row r="108" spans="2:3" ht="12" customHeight="1">
      <c r="B108" s="23" t="str">
        <f>Dashboard!K21</f>
        <v>Materiais de Consumo</v>
      </c>
      <c r="C108" s="25" t="e">
        <f>IF(Dashboard!L21&gt;0,Dashboard!L21,#N/A)</f>
        <v>#N/A</v>
      </c>
    </row>
    <row r="109" spans="2:3" ht="12" customHeight="1">
      <c r="B109" s="23" t="str">
        <f>Dashboard!K22</f>
        <v>Materiais de Aplicação Gerais</v>
      </c>
      <c r="C109" s="25" t="e">
        <f>IF(Dashboard!L22&gt;0,Dashboard!L22,#N/A)</f>
        <v>#N/A</v>
      </c>
    </row>
    <row r="110" spans="2:3" ht="12" customHeight="1">
      <c r="B110" s="23" t="str">
        <f>Dashboard!K23</f>
        <v>Serviços Terceirizados</v>
      </c>
      <c r="C110" s="25">
        <f>IF(Dashboard!L23&gt;0,Dashboard!L23,#N/A)</f>
        <v>3929.4000000000005</v>
      </c>
    </row>
    <row r="111" spans="2:3" ht="12" customHeight="1">
      <c r="B111" s="23" t="str">
        <f>Dashboard!K24</f>
        <v>Locações</v>
      </c>
      <c r="C111" s="25" t="e">
        <f>IF(Dashboard!L24&gt;0,Dashboard!L24,#N/A)</f>
        <v>#N/A</v>
      </c>
    </row>
    <row r="112" spans="2:3" ht="12" customHeight="1">
      <c r="B112" s="23" t="str">
        <f>Dashboard!K25</f>
        <v>Mobilização e Desmobilização de Recursos</v>
      </c>
      <c r="C112" s="25">
        <f>IF(Dashboard!L25&gt;0,Dashboard!L25,#N/A)</f>
        <v>850</v>
      </c>
    </row>
    <row r="113" spans="2:39" ht="12" customHeight="1">
      <c r="B113" s="23" t="str">
        <f>Dashboard!K26</f>
        <v>Riscos e Contingências</v>
      </c>
      <c r="C113" s="25" t="e">
        <f>IF(Dashboard!L26&gt;0,Dashboard!L26,#N/A)</f>
        <v>#N/A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</row>
    <row r="114" spans="2:39" ht="12" customHeight="1">
      <c r="B114" s="23" t="str">
        <f>Dashboard!K27</f>
        <v>Outros Custos</v>
      </c>
      <c r="C114" s="25" t="e">
        <f>IF(Dashboard!L27&gt;0,Dashboard!L27,#N/A)</f>
        <v>#N/A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</row>
    <row r="115" spans="2:39" ht="12" customHeight="1">
      <c r="B115" s="24" t="s">
        <v>131</v>
      </c>
      <c r="C115" s="25" t="e">
        <f>IF(Dashboard!L32&gt;0,Dashboard!L32,#N/A)</f>
        <v>#N/A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</row>
    <row r="117" spans="2:39" ht="12" customHeight="1">
      <c r="B117" s="18" t="s">
        <v>132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T117" s="18" t="s">
        <v>133</v>
      </c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L117" s="18" t="s">
        <v>134</v>
      </c>
      <c r="AM117" s="19"/>
    </row>
    <row r="118" spans="2:39" ht="12" customHeight="1">
      <c r="B118" s="24" t="str">
        <f>Dashboard!S25</f>
        <v>Lucro</v>
      </c>
      <c r="C118" s="26">
        <f>IF(Dashboard!T25&gt;0,Dashboard!T25,#N/A)</f>
        <v>168994.7370295538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T118" s="24" t="str">
        <f>Dashboard!S3</f>
        <v>Serviços</v>
      </c>
      <c r="U118" s="27" t="e">
        <f>IF(Dashboard!L28&gt;0,Dashboard!L28/(Dashboard!#REF!),#N/A)</f>
        <v>#REF!</v>
      </c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L118" s="24" t="str">
        <f>Dashboard!S31</f>
        <v>PIS</v>
      </c>
      <c r="AM118" s="26">
        <f>IF(Dashboard!T31&gt;0,Dashboard!T31,#N/A)</f>
        <v>8312.3145299999996</v>
      </c>
    </row>
    <row r="119" spans="2:39" ht="12" customHeight="1">
      <c r="B119" s="24" t="str">
        <f>Dashboard!S26</f>
        <v>Overhead</v>
      </c>
      <c r="C119" s="26">
        <f>IF(Dashboard!T26&gt;0,Dashboard!T26,#N/A)</f>
        <v>153631.57911777619</v>
      </c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T119" s="24" t="str">
        <f>Dashboard!S4</f>
        <v>Materiais para revenda</v>
      </c>
      <c r="U119" s="27" t="e">
        <f>IF(Dashboard!L32&gt;0,Dashboard!L32/(Dashboard!#REF!),#N/A)</f>
        <v>#N/A</v>
      </c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L119" s="24" t="str">
        <f>Dashboard!S32</f>
        <v>COFINS</v>
      </c>
      <c r="AM119" s="26">
        <f>IF(Dashboard!T32&gt;0,Dashboard!T32,#N/A)</f>
        <v>38364.528600000005</v>
      </c>
    </row>
    <row r="120" spans="2:39" ht="12" customHeight="1">
      <c r="B120" s="24" t="str">
        <f>Dashboard!S27</f>
        <v>Taxa de negociação</v>
      </c>
      <c r="C120" s="26">
        <f>IF(Dashboard!T27&gt;0,Dashboard!T27,#N/A)</f>
        <v>30726.315823555236</v>
      </c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T120" s="24"/>
      <c r="U120" s="26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L120" s="24" t="str">
        <f>Dashboard!S33</f>
        <v>ISSQN</v>
      </c>
      <c r="AM120" s="26">
        <f>IF(Dashboard!T33&gt;0,Dashboard!T33,#N/A)</f>
        <v>63940.881000000008</v>
      </c>
    </row>
    <row r="121" spans="2:39" ht="12" customHeight="1">
      <c r="B121" s="24" t="str">
        <f>Dashboard!S28</f>
        <v>Custo Financeiro</v>
      </c>
      <c r="C121" s="26" t="e">
        <f>IF(Dashboard!T28&gt;0,Dashboard!T28,#N/A)</f>
        <v>#N/A</v>
      </c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T121" s="24"/>
      <c r="U121" s="26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L121" s="24" t="str">
        <f>Dashboard!S34</f>
        <v>CPRB</v>
      </c>
      <c r="AM121" s="26" t="e">
        <f>IF(Dashboard!T34&gt;0,Dashboard!T34,#N/A)</f>
        <v>#N/A</v>
      </c>
    </row>
    <row r="122" spans="2:39" ht="12" customHeight="1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L122" s="24" t="str">
        <f>Dashboard!S35</f>
        <v>Impostos sobre Materiais</v>
      </c>
      <c r="AM122" s="26">
        <f>IF(Dashboard!T35&gt;0,Dashboard!T35,#N/A)</f>
        <v>22273.591806876368</v>
      </c>
    </row>
    <row r="140" spans="2:66" ht="24" customHeight="1" thickBot="1">
      <c r="B140" s="33" t="s">
        <v>135</v>
      </c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</row>
    <row r="141" spans="2:66" ht="12" customHeight="1" thickTop="1"/>
    <row r="142" spans="2:66" ht="12" customHeight="1">
      <c r="B142" s="18" t="s">
        <v>136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</row>
    <row r="143" spans="2:66" ht="12" customHeight="1">
      <c r="B143" s="19"/>
      <c r="C143" s="19">
        <v>1</v>
      </c>
      <c r="D143" s="19">
        <v>2</v>
      </c>
      <c r="E143" s="19">
        <v>3</v>
      </c>
      <c r="F143" s="19">
        <v>4</v>
      </c>
      <c r="G143" s="19">
        <v>5</v>
      </c>
      <c r="H143" s="19">
        <v>6</v>
      </c>
      <c r="I143" s="19">
        <v>7</v>
      </c>
      <c r="J143" s="19">
        <v>8</v>
      </c>
      <c r="K143" s="19">
        <v>9</v>
      </c>
      <c r="L143" s="19">
        <v>10</v>
      </c>
      <c r="M143" s="19">
        <v>11</v>
      </c>
      <c r="N143" s="19">
        <v>12</v>
      </c>
      <c r="O143" s="19">
        <v>13</v>
      </c>
      <c r="P143" s="19">
        <v>14</v>
      </c>
      <c r="Q143" s="19">
        <v>15</v>
      </c>
      <c r="R143" s="19">
        <v>16</v>
      </c>
      <c r="S143" s="19">
        <v>17</v>
      </c>
      <c r="T143" s="19">
        <v>18</v>
      </c>
      <c r="U143" s="19">
        <v>19</v>
      </c>
      <c r="V143" s="19">
        <v>20</v>
      </c>
      <c r="W143" s="19">
        <v>21</v>
      </c>
      <c r="X143" s="19">
        <v>22</v>
      </c>
      <c r="Y143" s="19">
        <v>23</v>
      </c>
      <c r="Z143" s="19">
        <v>24</v>
      </c>
      <c r="AA143" s="19">
        <v>25</v>
      </c>
      <c r="AB143" s="19">
        <v>26</v>
      </c>
      <c r="AC143" s="19">
        <v>27</v>
      </c>
      <c r="AD143" s="19">
        <v>28</v>
      </c>
      <c r="AE143" s="19">
        <v>29</v>
      </c>
      <c r="AF143" s="19">
        <v>30</v>
      </c>
      <c r="AG143" s="19">
        <v>31</v>
      </c>
      <c r="AH143" s="19">
        <v>32</v>
      </c>
      <c r="AI143" s="19">
        <v>33</v>
      </c>
      <c r="AJ143" s="19">
        <v>34</v>
      </c>
      <c r="AK143" s="19">
        <v>35</v>
      </c>
      <c r="AL143" s="19">
        <v>36</v>
      </c>
      <c r="AM143" s="19">
        <v>37</v>
      </c>
      <c r="AN143" s="19">
        <v>38</v>
      </c>
      <c r="AO143" s="19">
        <v>39</v>
      </c>
      <c r="AP143" s="19">
        <v>40</v>
      </c>
      <c r="AQ143" s="19">
        <v>41</v>
      </c>
      <c r="AR143" s="19">
        <v>42</v>
      </c>
      <c r="AS143" s="19">
        <v>43</v>
      </c>
      <c r="AT143" s="19">
        <v>44</v>
      </c>
      <c r="AU143" s="19">
        <v>45</v>
      </c>
      <c r="AV143" s="19">
        <v>46</v>
      </c>
      <c r="AW143" s="19">
        <v>47</v>
      </c>
      <c r="AX143" s="19">
        <v>48</v>
      </c>
      <c r="AY143" s="19">
        <v>49</v>
      </c>
      <c r="AZ143" s="19">
        <v>50</v>
      </c>
      <c r="BA143" s="19">
        <v>51</v>
      </c>
      <c r="BB143" s="19">
        <v>52</v>
      </c>
      <c r="BC143" s="19">
        <v>53</v>
      </c>
      <c r="BD143" s="19">
        <v>54</v>
      </c>
      <c r="BE143" s="19">
        <v>55</v>
      </c>
      <c r="BF143" s="19">
        <v>56</v>
      </c>
      <c r="BG143" s="19">
        <v>57</v>
      </c>
      <c r="BH143" s="19">
        <v>58</v>
      </c>
      <c r="BI143" s="19">
        <v>59</v>
      </c>
      <c r="BJ143" s="19">
        <v>60</v>
      </c>
      <c r="BK143" s="19">
        <v>61</v>
      </c>
      <c r="BL143" s="19">
        <v>62</v>
      </c>
      <c r="BM143" s="19">
        <v>63</v>
      </c>
      <c r="BN143" s="19">
        <v>64</v>
      </c>
    </row>
    <row r="144" spans="2:66" ht="12" customHeight="1">
      <c r="B144" s="28" t="s">
        <v>137</v>
      </c>
      <c r="C144" s="21" t="e">
        <f>IF(#REF!&gt;0,#REF!,#N/A)/1000</f>
        <v>#REF!</v>
      </c>
      <c r="D144" s="21" t="e">
        <f>IF(#REF!&gt;0,#REF!,#N/A)/1000</f>
        <v>#REF!</v>
      </c>
      <c r="E144" s="21" t="e">
        <f>IF(#REF!&gt;0,#REF!,#N/A)/1000</f>
        <v>#REF!</v>
      </c>
      <c r="F144" s="21" t="e">
        <f>IF(#REF!&gt;0,#REF!,#N/A)/1000</f>
        <v>#REF!</v>
      </c>
      <c r="G144" s="21" t="e">
        <f>IF(#REF!&gt;0,#REF!,#N/A)/1000</f>
        <v>#REF!</v>
      </c>
      <c r="H144" s="21" t="e">
        <f>IF(#REF!&gt;0,#REF!,#N/A)/1000</f>
        <v>#REF!</v>
      </c>
      <c r="I144" s="21" t="e">
        <f>IF(#REF!&gt;0,#REF!,#N/A)/1000</f>
        <v>#REF!</v>
      </c>
      <c r="J144" s="21" t="e">
        <f>IF(#REF!&gt;0,#REF!,#N/A)/1000</f>
        <v>#REF!</v>
      </c>
      <c r="K144" s="21" t="e">
        <f>IF(#REF!&gt;0,#REF!,#N/A)/1000</f>
        <v>#REF!</v>
      </c>
      <c r="L144" s="21" t="e">
        <f>IF(#REF!&gt;0,#REF!,#N/A)/1000</f>
        <v>#REF!</v>
      </c>
      <c r="M144" s="21" t="e">
        <f>IF(#REF!&gt;0,#REF!,#N/A)/1000</f>
        <v>#REF!</v>
      </c>
      <c r="N144" s="21" t="e">
        <f>IF(#REF!&gt;0,#REF!,#N/A)/1000</f>
        <v>#REF!</v>
      </c>
      <c r="O144" s="21" t="e">
        <f>IF(#REF!&gt;0,#REF!,#N/A)/1000</f>
        <v>#REF!</v>
      </c>
      <c r="P144" s="21" t="e">
        <f>IF(#REF!&gt;0,#REF!,#N/A)/1000</f>
        <v>#REF!</v>
      </c>
      <c r="Q144" s="21" t="e">
        <f>IF(#REF!&gt;0,#REF!,#N/A)/1000</f>
        <v>#REF!</v>
      </c>
      <c r="R144" s="21" t="e">
        <f>IF(#REF!&gt;0,#REF!,#N/A)/1000</f>
        <v>#REF!</v>
      </c>
      <c r="S144" s="21" t="e">
        <f>IF(#REF!&gt;0,#REF!,#N/A)/1000</f>
        <v>#REF!</v>
      </c>
      <c r="T144" s="21" t="e">
        <f>IF(#REF!&gt;0,#REF!,#N/A)/1000</f>
        <v>#REF!</v>
      </c>
      <c r="U144" s="21" t="e">
        <f>IF(#REF!&gt;0,#REF!,#N/A)/1000</f>
        <v>#REF!</v>
      </c>
      <c r="V144" s="21" t="e">
        <f>IF(#REF!&gt;0,#REF!,#N/A)/1000</f>
        <v>#REF!</v>
      </c>
      <c r="W144" s="21" t="e">
        <f>IF(#REF!&gt;0,#REF!,#N/A)/1000</f>
        <v>#REF!</v>
      </c>
      <c r="X144" s="21" t="e">
        <f>IF(#REF!&gt;0,#REF!,#N/A)/1000</f>
        <v>#REF!</v>
      </c>
      <c r="Y144" s="21" t="e">
        <f>IF(#REF!&gt;0,#REF!,#N/A)/1000</f>
        <v>#REF!</v>
      </c>
      <c r="Z144" s="21" t="e">
        <f>IF(#REF!&gt;0,#REF!,#N/A)/1000</f>
        <v>#REF!</v>
      </c>
      <c r="AA144" s="21" t="e">
        <f>IF(#REF!&gt;0,#REF!,#N/A)/1000</f>
        <v>#REF!</v>
      </c>
      <c r="AB144" s="21" t="e">
        <f>IF(#REF!&gt;0,#REF!,#N/A)/1000</f>
        <v>#REF!</v>
      </c>
      <c r="AC144" s="21" t="e">
        <f>IF(#REF!&gt;0,#REF!,#N/A)/1000</f>
        <v>#REF!</v>
      </c>
      <c r="AD144" s="21" t="e">
        <f>IF(#REF!&gt;0,#REF!,#N/A)/1000</f>
        <v>#REF!</v>
      </c>
      <c r="AE144" s="21" t="e">
        <f>IF(#REF!&gt;0,#REF!,#N/A)/1000</f>
        <v>#REF!</v>
      </c>
      <c r="AF144" s="21" t="e">
        <f>IF(#REF!&gt;0,#REF!,#N/A)/1000</f>
        <v>#REF!</v>
      </c>
      <c r="AG144" s="21" t="e">
        <f>IF(#REF!&gt;0,#REF!,#N/A)/1000</f>
        <v>#REF!</v>
      </c>
      <c r="AH144" s="21" t="e">
        <f>IF(#REF!&gt;0,#REF!,#N/A)/1000</f>
        <v>#REF!</v>
      </c>
      <c r="AI144" s="21" t="e">
        <f>IF(#REF!&gt;0,#REF!,#N/A)/1000</f>
        <v>#REF!</v>
      </c>
      <c r="AJ144" s="21" t="e">
        <f>IF(#REF!&gt;0,#REF!,#N/A)/1000</f>
        <v>#REF!</v>
      </c>
      <c r="AK144" s="21" t="e">
        <f>IF(#REF!&gt;0,#REF!,#N/A)/1000</f>
        <v>#REF!</v>
      </c>
      <c r="AL144" s="21" t="e">
        <f>IF(#REF!&gt;0,#REF!,#N/A)/1000</f>
        <v>#REF!</v>
      </c>
      <c r="AM144" s="21" t="e">
        <f>IF(#REF!&gt;0,#REF!,#N/A)/1000</f>
        <v>#REF!</v>
      </c>
      <c r="AN144" s="21" t="e">
        <f>IF(#REF!&gt;0,#REF!,#N/A)/1000</f>
        <v>#REF!</v>
      </c>
      <c r="AO144" s="21" t="e">
        <f>IF(#REF!&gt;0,#REF!,#N/A)/1000</f>
        <v>#REF!</v>
      </c>
      <c r="AP144" s="21" t="e">
        <f>IF(#REF!&gt;0,#REF!,#N/A)/1000</f>
        <v>#REF!</v>
      </c>
      <c r="AQ144" s="21" t="e">
        <f>IF(#REF!&gt;0,#REF!,#N/A)/1000</f>
        <v>#REF!</v>
      </c>
      <c r="AR144" s="21" t="e">
        <f>IF(#REF!&gt;0,#REF!,#N/A)/1000</f>
        <v>#REF!</v>
      </c>
      <c r="AS144" s="21" t="e">
        <f>IF(#REF!&gt;0,#REF!,#N/A)/1000</f>
        <v>#REF!</v>
      </c>
      <c r="AT144" s="21" t="e">
        <f>IF(#REF!&gt;0,#REF!,#N/A)/1000</f>
        <v>#REF!</v>
      </c>
      <c r="AU144" s="21" t="e">
        <f>IF(#REF!&gt;0,#REF!,#N/A)/1000</f>
        <v>#REF!</v>
      </c>
      <c r="AV144" s="21" t="e">
        <f>IF(#REF!&gt;0,#REF!,#N/A)/1000</f>
        <v>#REF!</v>
      </c>
      <c r="AW144" s="21" t="e">
        <f>IF(#REF!&gt;0,#REF!,#N/A)/1000</f>
        <v>#REF!</v>
      </c>
      <c r="AX144" s="21" t="e">
        <f>IF(#REF!&gt;0,#REF!,#N/A)/1000</f>
        <v>#REF!</v>
      </c>
      <c r="AY144" s="21" t="e">
        <f>IF(#REF!&gt;0,#REF!,#N/A)/1000</f>
        <v>#REF!</v>
      </c>
      <c r="AZ144" s="21" t="e">
        <f>IF(#REF!&gt;0,#REF!,#N/A)/1000</f>
        <v>#REF!</v>
      </c>
      <c r="BA144" s="21" t="e">
        <f>IF(#REF!&gt;0,#REF!,#N/A)/1000</f>
        <v>#REF!</v>
      </c>
      <c r="BB144" s="21" t="e">
        <f>IF(#REF!&gt;0,#REF!,#N/A)/1000</f>
        <v>#REF!</v>
      </c>
      <c r="BC144" s="21" t="e">
        <f>IF(#REF!&gt;0,#REF!,#N/A)/1000</f>
        <v>#REF!</v>
      </c>
      <c r="BD144" s="21" t="e">
        <f>IF(#REF!&gt;0,#REF!,#N/A)/1000</f>
        <v>#REF!</v>
      </c>
      <c r="BE144" s="21" t="e">
        <f>IF(#REF!&gt;0,#REF!,#N/A)/1000</f>
        <v>#REF!</v>
      </c>
      <c r="BF144" s="21" t="e">
        <f>IF(#REF!&gt;0,#REF!,#N/A)/1000</f>
        <v>#REF!</v>
      </c>
      <c r="BG144" s="21" t="e">
        <f>IF(#REF!&gt;0,#REF!,#N/A)/1000</f>
        <v>#REF!</v>
      </c>
      <c r="BH144" s="21" t="e">
        <f>IF(#REF!&gt;0,#REF!,#N/A)/1000</f>
        <v>#REF!</v>
      </c>
      <c r="BI144" s="21" t="e">
        <f>IF(#REF!&gt;0,#REF!,#N/A)/1000</f>
        <v>#REF!</v>
      </c>
      <c r="BJ144" s="21" t="e">
        <f>IF(#REF!&gt;0,#REF!,#N/A)/1000</f>
        <v>#REF!</v>
      </c>
      <c r="BK144" s="21" t="e">
        <f>IF(#REF!&gt;0,#REF!,#N/A)/1000</f>
        <v>#REF!</v>
      </c>
      <c r="BL144" s="21" t="e">
        <f>IF(#REF!&gt;0,#REF!,#N/A)/1000</f>
        <v>#REF!</v>
      </c>
      <c r="BM144" s="21" t="e">
        <f>IF(#REF!&gt;0,#REF!,#N/A)/1000</f>
        <v>#REF!</v>
      </c>
      <c r="BN144" s="21" t="e">
        <f>IF(#REF!&gt;0,#REF!,#N/A)/1000</f>
        <v>#REF!</v>
      </c>
    </row>
    <row r="163" spans="2:66" ht="12" customHeight="1">
      <c r="B163" s="18" t="s">
        <v>138</v>
      </c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8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</row>
    <row r="164" spans="2:66" ht="12" customHeight="1">
      <c r="B164" s="19"/>
      <c r="C164" s="19">
        <v>1</v>
      </c>
      <c r="D164" s="19">
        <v>2</v>
      </c>
      <c r="E164" s="19">
        <v>3</v>
      </c>
      <c r="F164" s="19">
        <v>4</v>
      </c>
      <c r="G164" s="19">
        <v>5</v>
      </c>
      <c r="H164" s="19">
        <v>6</v>
      </c>
      <c r="I164" s="19">
        <v>7</v>
      </c>
      <c r="J164" s="19">
        <v>8</v>
      </c>
      <c r="K164" s="19">
        <v>9</v>
      </c>
      <c r="L164" s="19">
        <v>10</v>
      </c>
      <c r="M164" s="19">
        <v>11</v>
      </c>
      <c r="N164" s="19">
        <v>12</v>
      </c>
      <c r="O164" s="19">
        <v>13</v>
      </c>
      <c r="P164" s="19">
        <v>14</v>
      </c>
      <c r="Q164" s="19">
        <v>15</v>
      </c>
      <c r="R164" s="19">
        <v>16</v>
      </c>
      <c r="S164" s="19">
        <v>17</v>
      </c>
      <c r="T164" s="19">
        <v>18</v>
      </c>
      <c r="U164" s="19">
        <v>19</v>
      </c>
      <c r="V164" s="19">
        <v>20</v>
      </c>
      <c r="W164" s="19">
        <v>21</v>
      </c>
      <c r="X164" s="19">
        <v>22</v>
      </c>
      <c r="Y164" s="19">
        <v>23</v>
      </c>
      <c r="Z164" s="19">
        <v>24</v>
      </c>
      <c r="AA164" s="19">
        <v>25</v>
      </c>
      <c r="AB164" s="19">
        <v>26</v>
      </c>
      <c r="AC164" s="19">
        <v>27</v>
      </c>
      <c r="AD164" s="19">
        <v>28</v>
      </c>
      <c r="AE164" s="19">
        <v>29</v>
      </c>
      <c r="AF164" s="19">
        <v>30</v>
      </c>
      <c r="AG164" s="19">
        <v>31</v>
      </c>
      <c r="AH164" s="19">
        <v>32</v>
      </c>
      <c r="AI164" s="19">
        <v>33</v>
      </c>
      <c r="AJ164" s="19">
        <v>34</v>
      </c>
      <c r="AK164" s="19">
        <v>35</v>
      </c>
      <c r="AL164" s="19">
        <v>36</v>
      </c>
      <c r="AM164" s="19">
        <v>37</v>
      </c>
      <c r="AN164" s="19">
        <v>38</v>
      </c>
      <c r="AO164" s="19">
        <v>39</v>
      </c>
      <c r="AP164" s="19">
        <v>40</v>
      </c>
      <c r="AQ164" s="19">
        <v>41</v>
      </c>
      <c r="AR164" s="19">
        <v>42</v>
      </c>
      <c r="AS164" s="19">
        <v>43</v>
      </c>
      <c r="AT164" s="19">
        <v>44</v>
      </c>
      <c r="AU164" s="19">
        <v>45</v>
      </c>
      <c r="AV164" s="19">
        <v>46</v>
      </c>
      <c r="AW164" s="19">
        <v>47</v>
      </c>
      <c r="AX164" s="19">
        <v>48</v>
      </c>
      <c r="AY164" s="19">
        <v>49</v>
      </c>
      <c r="AZ164" s="19">
        <v>50</v>
      </c>
      <c r="BA164" s="19">
        <v>51</v>
      </c>
      <c r="BB164" s="19">
        <v>52</v>
      </c>
      <c r="BC164" s="19">
        <v>53</v>
      </c>
      <c r="BD164" s="19">
        <v>54</v>
      </c>
      <c r="BE164" s="19">
        <v>55</v>
      </c>
      <c r="BF164" s="19">
        <v>56</v>
      </c>
      <c r="BG164" s="19">
        <v>57</v>
      </c>
      <c r="BH164" s="19">
        <v>58</v>
      </c>
      <c r="BI164" s="19">
        <v>59</v>
      </c>
      <c r="BJ164" s="19">
        <v>60</v>
      </c>
      <c r="BK164" s="19">
        <v>61</v>
      </c>
      <c r="BL164" s="19">
        <v>62</v>
      </c>
      <c r="BM164" s="19">
        <v>63</v>
      </c>
      <c r="BN164" s="19">
        <v>64</v>
      </c>
    </row>
    <row r="165" spans="2:66" ht="12" customHeight="1">
      <c r="B165" s="28" t="s">
        <v>139</v>
      </c>
      <c r="C165" s="29" t="e">
        <f>IF(#REF!&gt;0,#REF!,#N/A)</f>
        <v>#REF!</v>
      </c>
      <c r="D165" s="29" t="e">
        <f>IF(#REF!&gt;0,#REF!,#N/A)</f>
        <v>#REF!</v>
      </c>
      <c r="E165" s="29" t="e">
        <f>IF(#REF!&gt;0,#REF!,#N/A)</f>
        <v>#REF!</v>
      </c>
      <c r="F165" s="29" t="e">
        <f>IF(#REF!&gt;0,#REF!,#N/A)</f>
        <v>#REF!</v>
      </c>
      <c r="G165" s="29" t="e">
        <f>IF(#REF!&gt;0,#REF!,#N/A)</f>
        <v>#REF!</v>
      </c>
      <c r="H165" s="29" t="e">
        <f>IF(#REF!&gt;0,#REF!,#N/A)</f>
        <v>#REF!</v>
      </c>
      <c r="I165" s="29" t="e">
        <f>IF(#REF!&gt;0,#REF!,#N/A)</f>
        <v>#REF!</v>
      </c>
      <c r="J165" s="29" t="e">
        <f>IF(#REF!&gt;0,#REF!,#N/A)</f>
        <v>#REF!</v>
      </c>
      <c r="K165" s="29" t="e">
        <f>IF(#REF!&gt;0,#REF!,#N/A)</f>
        <v>#REF!</v>
      </c>
      <c r="L165" s="29" t="e">
        <f>IF(#REF!&gt;0,#REF!,#N/A)</f>
        <v>#REF!</v>
      </c>
      <c r="M165" s="29" t="e">
        <f>IF(#REF!&gt;0,#REF!,#N/A)</f>
        <v>#REF!</v>
      </c>
      <c r="N165" s="29" t="e">
        <f>IF(#REF!&gt;0,#REF!,#N/A)</f>
        <v>#REF!</v>
      </c>
      <c r="O165" s="29" t="e">
        <f>IF(#REF!&gt;0,#REF!,#N/A)</f>
        <v>#REF!</v>
      </c>
      <c r="P165" s="29" t="e">
        <f>IF(#REF!&gt;0,#REF!,#N/A)</f>
        <v>#REF!</v>
      </c>
      <c r="Q165" s="29" t="e">
        <f>IF(#REF!&gt;0,#REF!,#N/A)</f>
        <v>#REF!</v>
      </c>
      <c r="R165" s="29" t="e">
        <f>IF(#REF!&gt;0,#REF!,#N/A)</f>
        <v>#REF!</v>
      </c>
      <c r="S165" s="29" t="e">
        <f>IF(#REF!&gt;0,#REF!,#N/A)</f>
        <v>#REF!</v>
      </c>
      <c r="T165" s="29" t="e">
        <f>IF(#REF!&gt;0,#REF!,#N/A)</f>
        <v>#REF!</v>
      </c>
      <c r="U165" s="29" t="e">
        <f>IF(#REF!&gt;0,#REF!,#N/A)</f>
        <v>#REF!</v>
      </c>
      <c r="V165" s="29" t="e">
        <f>IF(#REF!&gt;0,#REF!,#N/A)</f>
        <v>#REF!</v>
      </c>
      <c r="W165" s="29" t="e">
        <f>IF(#REF!&gt;0,#REF!,#N/A)</f>
        <v>#REF!</v>
      </c>
      <c r="X165" s="29" t="e">
        <f>IF(#REF!&gt;0,#REF!,#N/A)</f>
        <v>#REF!</v>
      </c>
      <c r="Y165" s="29" t="e">
        <f>IF(#REF!&gt;0,#REF!,#N/A)</f>
        <v>#REF!</v>
      </c>
      <c r="Z165" s="29" t="e">
        <f>IF(#REF!&gt;0,#REF!,#N/A)</f>
        <v>#REF!</v>
      </c>
      <c r="AA165" s="29" t="e">
        <f>IF(#REF!&gt;0,#REF!,#N/A)</f>
        <v>#REF!</v>
      </c>
      <c r="AB165" s="29" t="e">
        <f>IF(#REF!&gt;0,#REF!,#N/A)</f>
        <v>#REF!</v>
      </c>
      <c r="AC165" s="29" t="e">
        <f>IF(#REF!&gt;0,#REF!,#N/A)</f>
        <v>#REF!</v>
      </c>
      <c r="AD165" s="29" t="e">
        <f>IF(#REF!&gt;0,#REF!,#N/A)</f>
        <v>#REF!</v>
      </c>
      <c r="AE165" s="29" t="e">
        <f>IF(#REF!&gt;0,#REF!,#N/A)</f>
        <v>#REF!</v>
      </c>
      <c r="AF165" s="29" t="e">
        <f>IF(#REF!&gt;0,#REF!,#N/A)</f>
        <v>#REF!</v>
      </c>
      <c r="AG165" s="29" t="e">
        <f>IF(#REF!&gt;0,#REF!,#N/A)</f>
        <v>#REF!</v>
      </c>
      <c r="AH165" s="29" t="e">
        <f>IF(#REF!&gt;0,#REF!,#N/A)</f>
        <v>#REF!</v>
      </c>
      <c r="AI165" s="29" t="e">
        <f>IF(#REF!&gt;0,#REF!,#N/A)</f>
        <v>#REF!</v>
      </c>
      <c r="AJ165" s="29" t="e">
        <f>IF(#REF!&gt;0,#REF!,#N/A)</f>
        <v>#REF!</v>
      </c>
      <c r="AK165" s="29" t="e">
        <f>IF(#REF!&gt;0,#REF!,#N/A)</f>
        <v>#REF!</v>
      </c>
      <c r="AL165" s="29" t="e">
        <f>IF(#REF!&gt;0,#REF!,#N/A)</f>
        <v>#REF!</v>
      </c>
      <c r="AM165" s="29" t="e">
        <f>IF(#REF!&gt;0,#REF!,#N/A)</f>
        <v>#REF!</v>
      </c>
      <c r="AN165" s="29" t="e">
        <f>IF(#REF!&gt;0,#REF!,#N/A)</f>
        <v>#REF!</v>
      </c>
      <c r="AO165" s="29" t="e">
        <f>IF(#REF!&gt;0,#REF!,#N/A)</f>
        <v>#REF!</v>
      </c>
      <c r="AP165" s="29" t="e">
        <f>IF(#REF!&gt;0,#REF!,#N/A)</f>
        <v>#REF!</v>
      </c>
      <c r="AQ165" s="29" t="e">
        <f>IF(#REF!&gt;0,#REF!,#N/A)</f>
        <v>#REF!</v>
      </c>
      <c r="AR165" s="29" t="e">
        <f>IF(#REF!&gt;0,#REF!,#N/A)</f>
        <v>#REF!</v>
      </c>
      <c r="AS165" s="29" t="e">
        <f>IF(#REF!&gt;0,#REF!,#N/A)</f>
        <v>#REF!</v>
      </c>
      <c r="AT165" s="29" t="e">
        <f>IF(#REF!&gt;0,#REF!,#N/A)</f>
        <v>#REF!</v>
      </c>
      <c r="AU165" s="29" t="e">
        <f>IF(#REF!&gt;0,#REF!,#N/A)</f>
        <v>#REF!</v>
      </c>
      <c r="AV165" s="29" t="e">
        <f>IF(#REF!&gt;0,#REF!,#N/A)</f>
        <v>#REF!</v>
      </c>
      <c r="AW165" s="29" t="e">
        <f>IF(#REF!&gt;0,#REF!,#N/A)</f>
        <v>#REF!</v>
      </c>
      <c r="AX165" s="29" t="e">
        <f>IF(#REF!&gt;0,#REF!,#N/A)</f>
        <v>#REF!</v>
      </c>
      <c r="AY165" s="29" t="e">
        <f>IF(#REF!&gt;0,#REF!,#N/A)</f>
        <v>#REF!</v>
      </c>
      <c r="AZ165" s="29" t="e">
        <f>IF(#REF!&gt;0,#REF!,#N/A)</f>
        <v>#REF!</v>
      </c>
      <c r="BA165" s="29" t="e">
        <f>IF(#REF!&gt;0,#REF!,#N/A)</f>
        <v>#REF!</v>
      </c>
      <c r="BB165" s="29" t="e">
        <f>IF(#REF!&gt;0,#REF!,#N/A)</f>
        <v>#REF!</v>
      </c>
      <c r="BC165" s="29" t="e">
        <f>IF(#REF!&gt;0,#REF!,#N/A)</f>
        <v>#REF!</v>
      </c>
      <c r="BD165" s="29" t="e">
        <f>IF(#REF!&gt;0,#REF!,#N/A)</f>
        <v>#REF!</v>
      </c>
      <c r="BE165" s="29" t="e">
        <f>IF(#REF!&gt;0,#REF!,#N/A)</f>
        <v>#REF!</v>
      </c>
      <c r="BF165" s="29" t="e">
        <f>IF(#REF!&gt;0,#REF!,#N/A)</f>
        <v>#REF!</v>
      </c>
      <c r="BG165" s="29" t="e">
        <f>IF(#REF!&gt;0,#REF!,#N/A)</f>
        <v>#REF!</v>
      </c>
      <c r="BH165" s="29" t="e">
        <f>IF(#REF!&gt;0,#REF!,#N/A)</f>
        <v>#REF!</v>
      </c>
      <c r="BI165" s="29" t="e">
        <f>IF(#REF!&gt;0,#REF!,#N/A)</f>
        <v>#REF!</v>
      </c>
      <c r="BJ165" s="29" t="e">
        <f>IF(#REF!&gt;0,#REF!,#N/A)</f>
        <v>#REF!</v>
      </c>
      <c r="BK165" s="29" t="e">
        <f>IF(#REF!&gt;0,#REF!,#N/A)</f>
        <v>#REF!</v>
      </c>
      <c r="BL165" s="29" t="e">
        <f>IF(#REF!&gt;0,#REF!,#N/A)</f>
        <v>#REF!</v>
      </c>
      <c r="BM165" s="29" t="e">
        <f>IF(#REF!&gt;0,#REF!,#N/A)</f>
        <v>#REF!</v>
      </c>
      <c r="BN165" s="29" t="e">
        <f>IF(#REF!&gt;0,#REF!,#N/A)</f>
        <v>#REF!</v>
      </c>
    </row>
    <row r="166" spans="2:66" ht="12" customHeight="1">
      <c r="B166" s="28" t="s">
        <v>134</v>
      </c>
      <c r="C166" s="29" t="e">
        <f>IF(#REF!&gt;0,#REF!,#N/A)</f>
        <v>#REF!</v>
      </c>
      <c r="D166" s="29" t="e">
        <f>IF(#REF!&gt;0,#REF!,#N/A)</f>
        <v>#REF!</v>
      </c>
      <c r="E166" s="29" t="e">
        <f>IF(#REF!&gt;0,#REF!,#N/A)</f>
        <v>#REF!</v>
      </c>
      <c r="F166" s="29" t="e">
        <f>IF(#REF!&gt;0,#REF!,#N/A)</f>
        <v>#REF!</v>
      </c>
      <c r="G166" s="29" t="e">
        <f>IF(#REF!&gt;0,#REF!,#N/A)</f>
        <v>#REF!</v>
      </c>
      <c r="H166" s="29" t="e">
        <f>IF(#REF!&gt;0,#REF!,#N/A)</f>
        <v>#REF!</v>
      </c>
      <c r="I166" s="29" t="e">
        <f>IF(#REF!&gt;0,#REF!,#N/A)</f>
        <v>#REF!</v>
      </c>
      <c r="J166" s="29" t="e">
        <f>IF(#REF!&gt;0,#REF!,#N/A)</f>
        <v>#REF!</v>
      </c>
      <c r="K166" s="29" t="e">
        <f>IF(#REF!&gt;0,#REF!,#N/A)</f>
        <v>#REF!</v>
      </c>
      <c r="L166" s="29" t="e">
        <f>IF(#REF!&gt;0,#REF!,#N/A)</f>
        <v>#REF!</v>
      </c>
      <c r="M166" s="29" t="e">
        <f>IF(#REF!&gt;0,#REF!,#N/A)</f>
        <v>#REF!</v>
      </c>
      <c r="N166" s="29" t="e">
        <f>IF(#REF!&gt;0,#REF!,#N/A)</f>
        <v>#REF!</v>
      </c>
      <c r="O166" s="29" t="e">
        <f>IF(#REF!&gt;0,#REF!,#N/A)</f>
        <v>#REF!</v>
      </c>
      <c r="P166" s="29" t="e">
        <f>IF(#REF!&gt;0,#REF!,#N/A)</f>
        <v>#REF!</v>
      </c>
      <c r="Q166" s="29" t="e">
        <f>IF(#REF!&gt;0,#REF!,#N/A)</f>
        <v>#REF!</v>
      </c>
      <c r="R166" s="29" t="e">
        <f>IF(#REF!&gt;0,#REF!,#N/A)</f>
        <v>#REF!</v>
      </c>
      <c r="S166" s="29" t="e">
        <f>IF(#REF!&gt;0,#REF!,#N/A)</f>
        <v>#REF!</v>
      </c>
      <c r="T166" s="29" t="e">
        <f>IF(#REF!&gt;0,#REF!,#N/A)</f>
        <v>#REF!</v>
      </c>
      <c r="U166" s="29" t="e">
        <f>IF(#REF!&gt;0,#REF!,#N/A)</f>
        <v>#REF!</v>
      </c>
      <c r="V166" s="29" t="e">
        <f>IF(#REF!&gt;0,#REF!,#N/A)</f>
        <v>#REF!</v>
      </c>
      <c r="W166" s="29" t="e">
        <f>IF(#REF!&gt;0,#REF!,#N/A)</f>
        <v>#REF!</v>
      </c>
      <c r="X166" s="29" t="e">
        <f>IF(#REF!&gt;0,#REF!,#N/A)</f>
        <v>#REF!</v>
      </c>
      <c r="Y166" s="29" t="e">
        <f>IF(#REF!&gt;0,#REF!,#N/A)</f>
        <v>#REF!</v>
      </c>
      <c r="Z166" s="29" t="e">
        <f>IF(#REF!&gt;0,#REF!,#N/A)</f>
        <v>#REF!</v>
      </c>
      <c r="AA166" s="29" t="e">
        <f>IF(#REF!&gt;0,#REF!,#N/A)</f>
        <v>#REF!</v>
      </c>
      <c r="AB166" s="29" t="e">
        <f>IF(#REF!&gt;0,#REF!,#N/A)</f>
        <v>#REF!</v>
      </c>
      <c r="AC166" s="29" t="e">
        <f>IF(#REF!&gt;0,#REF!,#N/A)</f>
        <v>#REF!</v>
      </c>
      <c r="AD166" s="29" t="e">
        <f>IF(#REF!&gt;0,#REF!,#N/A)</f>
        <v>#REF!</v>
      </c>
      <c r="AE166" s="29" t="e">
        <f>IF(#REF!&gt;0,#REF!,#N/A)</f>
        <v>#REF!</v>
      </c>
      <c r="AF166" s="29" t="e">
        <f>IF(#REF!&gt;0,#REF!,#N/A)</f>
        <v>#REF!</v>
      </c>
      <c r="AG166" s="29" t="e">
        <f>IF(#REF!&gt;0,#REF!,#N/A)</f>
        <v>#REF!</v>
      </c>
      <c r="AH166" s="29" t="e">
        <f>IF(#REF!&gt;0,#REF!,#N/A)</f>
        <v>#REF!</v>
      </c>
      <c r="AI166" s="29" t="e">
        <f>IF(#REF!&gt;0,#REF!,#N/A)</f>
        <v>#REF!</v>
      </c>
      <c r="AJ166" s="29" t="e">
        <f>IF(#REF!&gt;0,#REF!,#N/A)</f>
        <v>#REF!</v>
      </c>
      <c r="AK166" s="29" t="e">
        <f>IF(#REF!&gt;0,#REF!,#N/A)</f>
        <v>#REF!</v>
      </c>
      <c r="AL166" s="29" t="e">
        <f>IF(#REF!&gt;0,#REF!,#N/A)</f>
        <v>#REF!</v>
      </c>
      <c r="AM166" s="29" t="e">
        <f>IF(#REF!&gt;0,#REF!,#N/A)</f>
        <v>#REF!</v>
      </c>
      <c r="AN166" s="29" t="e">
        <f>IF(#REF!&gt;0,#REF!,#N/A)</f>
        <v>#REF!</v>
      </c>
      <c r="AO166" s="29" t="e">
        <f>IF(#REF!&gt;0,#REF!,#N/A)</f>
        <v>#REF!</v>
      </c>
      <c r="AP166" s="29" t="e">
        <f>IF(#REF!&gt;0,#REF!,#N/A)</f>
        <v>#REF!</v>
      </c>
      <c r="AQ166" s="29" t="e">
        <f>IF(#REF!&gt;0,#REF!,#N/A)</f>
        <v>#REF!</v>
      </c>
      <c r="AR166" s="29" t="e">
        <f>IF(#REF!&gt;0,#REF!,#N/A)</f>
        <v>#REF!</v>
      </c>
      <c r="AS166" s="29" t="e">
        <f>IF(#REF!&gt;0,#REF!,#N/A)</f>
        <v>#REF!</v>
      </c>
      <c r="AT166" s="29" t="e">
        <f>IF(#REF!&gt;0,#REF!,#N/A)</f>
        <v>#REF!</v>
      </c>
      <c r="AU166" s="29" t="e">
        <f>IF(#REF!&gt;0,#REF!,#N/A)</f>
        <v>#REF!</v>
      </c>
      <c r="AV166" s="29" t="e">
        <f>IF(#REF!&gt;0,#REF!,#N/A)</f>
        <v>#REF!</v>
      </c>
      <c r="AW166" s="29" t="e">
        <f>IF(#REF!&gt;0,#REF!,#N/A)</f>
        <v>#REF!</v>
      </c>
      <c r="AX166" s="29" t="e">
        <f>IF(#REF!&gt;0,#REF!,#N/A)</f>
        <v>#REF!</v>
      </c>
      <c r="AY166" s="29" t="e">
        <f>IF(#REF!&gt;0,#REF!,#N/A)</f>
        <v>#REF!</v>
      </c>
      <c r="AZ166" s="29" t="e">
        <f>IF(#REF!&gt;0,#REF!,#N/A)</f>
        <v>#REF!</v>
      </c>
      <c r="BA166" s="29" t="e">
        <f>IF(#REF!&gt;0,#REF!,#N/A)</f>
        <v>#REF!</v>
      </c>
      <c r="BB166" s="29" t="e">
        <f>IF(#REF!&gt;0,#REF!,#N/A)</f>
        <v>#REF!</v>
      </c>
      <c r="BC166" s="29" t="e">
        <f>IF(#REF!&gt;0,#REF!,#N/A)</f>
        <v>#REF!</v>
      </c>
      <c r="BD166" s="29" t="e">
        <f>IF(#REF!&gt;0,#REF!,#N/A)</f>
        <v>#REF!</v>
      </c>
      <c r="BE166" s="29" t="e">
        <f>IF(#REF!&gt;0,#REF!,#N/A)</f>
        <v>#REF!</v>
      </c>
      <c r="BF166" s="29" t="e">
        <f>IF(#REF!&gt;0,#REF!,#N/A)</f>
        <v>#REF!</v>
      </c>
      <c r="BG166" s="29" t="e">
        <f>IF(#REF!&gt;0,#REF!,#N/A)</f>
        <v>#REF!</v>
      </c>
      <c r="BH166" s="29" t="e">
        <f>IF(#REF!&gt;0,#REF!,#N/A)</f>
        <v>#REF!</v>
      </c>
      <c r="BI166" s="29" t="e">
        <f>IF(#REF!&gt;0,#REF!,#N/A)</f>
        <v>#REF!</v>
      </c>
      <c r="BJ166" s="29" t="e">
        <f>IF(#REF!&gt;0,#REF!,#N/A)</f>
        <v>#REF!</v>
      </c>
      <c r="BK166" s="29" t="e">
        <f>IF(#REF!&gt;0,#REF!,#N/A)</f>
        <v>#REF!</v>
      </c>
      <c r="BL166" s="29" t="e">
        <f>IF(#REF!&gt;0,#REF!,#N/A)</f>
        <v>#REF!</v>
      </c>
      <c r="BM166" s="29" t="e">
        <f>IF(#REF!&gt;0,#REF!,#N/A)</f>
        <v>#REF!</v>
      </c>
      <c r="BN166" s="29" t="e">
        <f>IF(#REF!&gt;0,#REF!,#N/A)</f>
        <v>#REF!</v>
      </c>
    </row>
    <row r="167" spans="2:66" ht="12" customHeight="1">
      <c r="B167" s="28" t="s">
        <v>130</v>
      </c>
      <c r="C167" s="29" t="e">
        <f>IF(#REF!&gt;0,#REF!,#N/A)</f>
        <v>#REF!</v>
      </c>
      <c r="D167" s="29" t="e">
        <f>IF(#REF!&gt;0,#REF!,#N/A)</f>
        <v>#REF!</v>
      </c>
      <c r="E167" s="29" t="e">
        <f>IF(#REF!&gt;0,#REF!,#N/A)</f>
        <v>#REF!</v>
      </c>
      <c r="F167" s="29" t="e">
        <f>IF(#REF!&gt;0,#REF!,#N/A)</f>
        <v>#REF!</v>
      </c>
      <c r="G167" s="29" t="e">
        <f>IF(#REF!&gt;0,#REF!,#N/A)</f>
        <v>#REF!</v>
      </c>
      <c r="H167" s="29" t="e">
        <f>IF(#REF!&gt;0,#REF!,#N/A)</f>
        <v>#REF!</v>
      </c>
      <c r="I167" s="29" t="e">
        <f>IF(#REF!&gt;0,#REF!,#N/A)</f>
        <v>#REF!</v>
      </c>
      <c r="J167" s="29" t="e">
        <f>IF(#REF!&gt;0,#REF!,#N/A)</f>
        <v>#REF!</v>
      </c>
      <c r="K167" s="29" t="e">
        <f>IF(#REF!&gt;0,#REF!,#N/A)</f>
        <v>#REF!</v>
      </c>
      <c r="L167" s="29" t="e">
        <f>IF(#REF!&gt;0,#REF!,#N/A)</f>
        <v>#REF!</v>
      </c>
      <c r="M167" s="29" t="e">
        <f>IF(#REF!&gt;0,#REF!,#N/A)</f>
        <v>#REF!</v>
      </c>
      <c r="N167" s="29" t="e">
        <f>IF(#REF!&gt;0,#REF!,#N/A)</f>
        <v>#REF!</v>
      </c>
      <c r="O167" s="29" t="e">
        <f>IF(#REF!&gt;0,#REF!,#N/A)</f>
        <v>#REF!</v>
      </c>
      <c r="P167" s="29" t="e">
        <f>IF(#REF!&gt;0,#REF!,#N/A)</f>
        <v>#REF!</v>
      </c>
      <c r="Q167" s="29" t="e">
        <f>IF(#REF!&gt;0,#REF!,#N/A)</f>
        <v>#REF!</v>
      </c>
      <c r="R167" s="29" t="e">
        <f>IF(#REF!&gt;0,#REF!,#N/A)</f>
        <v>#REF!</v>
      </c>
      <c r="S167" s="29" t="e">
        <f>IF(#REF!&gt;0,#REF!,#N/A)</f>
        <v>#REF!</v>
      </c>
      <c r="T167" s="29" t="e">
        <f>IF(#REF!&gt;0,#REF!,#N/A)</f>
        <v>#REF!</v>
      </c>
      <c r="U167" s="29" t="e">
        <f>IF(#REF!&gt;0,#REF!,#N/A)</f>
        <v>#REF!</v>
      </c>
      <c r="V167" s="29" t="e">
        <f>IF(#REF!&gt;0,#REF!,#N/A)</f>
        <v>#REF!</v>
      </c>
      <c r="W167" s="29" t="e">
        <f>IF(#REF!&gt;0,#REF!,#N/A)</f>
        <v>#REF!</v>
      </c>
      <c r="X167" s="29" t="e">
        <f>IF(#REF!&gt;0,#REF!,#N/A)</f>
        <v>#REF!</v>
      </c>
      <c r="Y167" s="29" t="e">
        <f>IF(#REF!&gt;0,#REF!,#N/A)</f>
        <v>#REF!</v>
      </c>
      <c r="Z167" s="29" t="e">
        <f>IF(#REF!&gt;0,#REF!,#N/A)</f>
        <v>#REF!</v>
      </c>
      <c r="AA167" s="29" t="e">
        <f>IF(#REF!&gt;0,#REF!,#N/A)</f>
        <v>#REF!</v>
      </c>
      <c r="AB167" s="29" t="e">
        <f>IF(#REF!&gt;0,#REF!,#N/A)</f>
        <v>#REF!</v>
      </c>
      <c r="AC167" s="29" t="e">
        <f>IF(#REF!&gt;0,#REF!,#N/A)</f>
        <v>#REF!</v>
      </c>
      <c r="AD167" s="29" t="e">
        <f>IF(#REF!&gt;0,#REF!,#N/A)</f>
        <v>#REF!</v>
      </c>
      <c r="AE167" s="29" t="e">
        <f>IF(#REF!&gt;0,#REF!,#N/A)</f>
        <v>#REF!</v>
      </c>
      <c r="AF167" s="29" t="e">
        <f>IF(#REF!&gt;0,#REF!,#N/A)</f>
        <v>#REF!</v>
      </c>
      <c r="AG167" s="29" t="e">
        <f>IF(#REF!&gt;0,#REF!,#N/A)</f>
        <v>#REF!</v>
      </c>
      <c r="AH167" s="29" t="e">
        <f>IF(#REF!&gt;0,#REF!,#N/A)</f>
        <v>#REF!</v>
      </c>
      <c r="AI167" s="29" t="e">
        <f>IF(#REF!&gt;0,#REF!,#N/A)</f>
        <v>#REF!</v>
      </c>
      <c r="AJ167" s="29" t="e">
        <f>IF(#REF!&gt;0,#REF!,#N/A)</f>
        <v>#REF!</v>
      </c>
      <c r="AK167" s="29" t="e">
        <f>IF(#REF!&gt;0,#REF!,#N/A)</f>
        <v>#REF!</v>
      </c>
      <c r="AL167" s="29" t="e">
        <f>IF(#REF!&gt;0,#REF!,#N/A)</f>
        <v>#REF!</v>
      </c>
      <c r="AM167" s="29" t="e">
        <f>IF(#REF!&gt;0,#REF!,#N/A)</f>
        <v>#REF!</v>
      </c>
      <c r="AN167" s="29" t="e">
        <f>IF(#REF!&gt;0,#REF!,#N/A)</f>
        <v>#REF!</v>
      </c>
      <c r="AO167" s="29" t="e">
        <f>IF(#REF!&gt;0,#REF!,#N/A)</f>
        <v>#REF!</v>
      </c>
      <c r="AP167" s="29" t="e">
        <f>IF(#REF!&gt;0,#REF!,#N/A)</f>
        <v>#REF!</v>
      </c>
      <c r="AQ167" s="29" t="e">
        <f>IF(#REF!&gt;0,#REF!,#N/A)</f>
        <v>#REF!</v>
      </c>
      <c r="AR167" s="29" t="e">
        <f>IF(#REF!&gt;0,#REF!,#N/A)</f>
        <v>#REF!</v>
      </c>
      <c r="AS167" s="29" t="e">
        <f>IF(#REF!&gt;0,#REF!,#N/A)</f>
        <v>#REF!</v>
      </c>
      <c r="AT167" s="29" t="e">
        <f>IF(#REF!&gt;0,#REF!,#N/A)</f>
        <v>#REF!</v>
      </c>
      <c r="AU167" s="29" t="e">
        <f>IF(#REF!&gt;0,#REF!,#N/A)</f>
        <v>#REF!</v>
      </c>
      <c r="AV167" s="29" t="e">
        <f>IF(#REF!&gt;0,#REF!,#N/A)</f>
        <v>#REF!</v>
      </c>
      <c r="AW167" s="29" t="e">
        <f>IF(#REF!&gt;0,#REF!,#N/A)</f>
        <v>#REF!</v>
      </c>
      <c r="AX167" s="29" t="e">
        <f>IF(#REF!&gt;0,#REF!,#N/A)</f>
        <v>#REF!</v>
      </c>
      <c r="AY167" s="29" t="e">
        <f>IF(#REF!&gt;0,#REF!,#N/A)</f>
        <v>#REF!</v>
      </c>
      <c r="AZ167" s="29" t="e">
        <f>IF(#REF!&gt;0,#REF!,#N/A)</f>
        <v>#REF!</v>
      </c>
      <c r="BA167" s="29" t="e">
        <f>IF(#REF!&gt;0,#REF!,#N/A)</f>
        <v>#REF!</v>
      </c>
      <c r="BB167" s="29" t="e">
        <f>IF(#REF!&gt;0,#REF!,#N/A)</f>
        <v>#REF!</v>
      </c>
      <c r="BC167" s="29" t="e">
        <f>IF(#REF!&gt;0,#REF!,#N/A)</f>
        <v>#REF!</v>
      </c>
      <c r="BD167" s="29" t="e">
        <f>IF(#REF!&gt;0,#REF!,#N/A)</f>
        <v>#REF!</v>
      </c>
      <c r="BE167" s="29" t="e">
        <f>IF(#REF!&gt;0,#REF!,#N/A)</f>
        <v>#REF!</v>
      </c>
      <c r="BF167" s="29" t="e">
        <f>IF(#REF!&gt;0,#REF!,#N/A)</f>
        <v>#REF!</v>
      </c>
      <c r="BG167" s="29" t="e">
        <f>IF(#REF!&gt;0,#REF!,#N/A)</f>
        <v>#REF!</v>
      </c>
      <c r="BH167" s="29" t="e">
        <f>IF(#REF!&gt;0,#REF!,#N/A)</f>
        <v>#REF!</v>
      </c>
      <c r="BI167" s="29" t="e">
        <f>IF(#REF!&gt;0,#REF!,#N/A)</f>
        <v>#REF!</v>
      </c>
      <c r="BJ167" s="29" t="e">
        <f>IF(#REF!&gt;0,#REF!,#N/A)</f>
        <v>#REF!</v>
      </c>
      <c r="BK167" s="29" t="e">
        <f>IF(#REF!&gt;0,#REF!,#N/A)</f>
        <v>#REF!</v>
      </c>
      <c r="BL167" s="29" t="e">
        <f>IF(#REF!&gt;0,#REF!,#N/A)</f>
        <v>#REF!</v>
      </c>
      <c r="BM167" s="29" t="e">
        <f>IF(#REF!&gt;0,#REF!,#N/A)</f>
        <v>#REF!</v>
      </c>
      <c r="BN167" s="29" t="e">
        <f>IF(#REF!&gt;0,#REF!,#N/A)</f>
        <v>#REF!</v>
      </c>
    </row>
    <row r="168" spans="2:66" ht="12" customHeight="1">
      <c r="B168" s="28" t="s">
        <v>119</v>
      </c>
      <c r="C168" s="29" t="e">
        <f>IF(#REF!&gt;0,#REF!,#N/A)</f>
        <v>#REF!</v>
      </c>
      <c r="D168" s="29" t="e">
        <f>IF(#REF!&gt;0,#REF!,#N/A)</f>
        <v>#REF!</v>
      </c>
      <c r="E168" s="29" t="e">
        <f>IF(#REF!&gt;0,#REF!,#N/A)</f>
        <v>#REF!</v>
      </c>
      <c r="F168" s="29" t="e">
        <f>IF(#REF!&gt;0,#REF!,#N/A)</f>
        <v>#REF!</v>
      </c>
      <c r="G168" s="29" t="e">
        <f>IF(#REF!&gt;0,#REF!,#N/A)</f>
        <v>#REF!</v>
      </c>
      <c r="H168" s="29" t="e">
        <f>IF(#REF!&gt;0,#REF!,#N/A)</f>
        <v>#REF!</v>
      </c>
      <c r="I168" s="29" t="e">
        <f>IF(#REF!&gt;0,#REF!,#N/A)</f>
        <v>#REF!</v>
      </c>
      <c r="J168" s="29" t="e">
        <f>IF(#REF!&gt;0,#REF!,#N/A)</f>
        <v>#REF!</v>
      </c>
      <c r="K168" s="29" t="e">
        <f>IF(#REF!&gt;0,#REF!,#N/A)</f>
        <v>#REF!</v>
      </c>
      <c r="L168" s="29" t="e">
        <f>IF(#REF!&gt;0,#REF!,#N/A)</f>
        <v>#REF!</v>
      </c>
      <c r="M168" s="29" t="e">
        <f>IF(#REF!&gt;0,#REF!,#N/A)</f>
        <v>#REF!</v>
      </c>
      <c r="N168" s="29" t="e">
        <f>IF(#REF!&gt;0,#REF!,#N/A)</f>
        <v>#REF!</v>
      </c>
      <c r="O168" s="29" t="e">
        <f>IF(#REF!&gt;0,#REF!,#N/A)</f>
        <v>#REF!</v>
      </c>
      <c r="P168" s="29" t="e">
        <f>IF(#REF!&gt;0,#REF!,#N/A)</f>
        <v>#REF!</v>
      </c>
      <c r="Q168" s="29" t="e">
        <f>IF(#REF!&gt;0,#REF!,#N/A)</f>
        <v>#REF!</v>
      </c>
      <c r="R168" s="29" t="e">
        <f>IF(#REF!&gt;0,#REF!,#N/A)</f>
        <v>#REF!</v>
      </c>
      <c r="S168" s="29" t="e">
        <f>IF(#REF!&gt;0,#REF!,#N/A)</f>
        <v>#REF!</v>
      </c>
      <c r="T168" s="29" t="e">
        <f>IF(#REF!&gt;0,#REF!,#N/A)</f>
        <v>#REF!</v>
      </c>
      <c r="U168" s="29" t="e">
        <f>IF(#REF!&gt;0,#REF!,#N/A)</f>
        <v>#REF!</v>
      </c>
      <c r="V168" s="29" t="e">
        <f>IF(#REF!&gt;0,#REF!,#N/A)</f>
        <v>#REF!</v>
      </c>
      <c r="W168" s="29" t="e">
        <f>IF(#REF!&gt;0,#REF!,#N/A)</f>
        <v>#REF!</v>
      </c>
      <c r="X168" s="29" t="e">
        <f>IF(#REF!&gt;0,#REF!,#N/A)</f>
        <v>#REF!</v>
      </c>
      <c r="Y168" s="29" t="e">
        <f>IF(#REF!&gt;0,#REF!,#N/A)</f>
        <v>#REF!</v>
      </c>
      <c r="Z168" s="29" t="e">
        <f>IF(#REF!&gt;0,#REF!,#N/A)</f>
        <v>#REF!</v>
      </c>
      <c r="AA168" s="29" t="e">
        <f>IF(#REF!&gt;0,#REF!,#N/A)</f>
        <v>#REF!</v>
      </c>
      <c r="AB168" s="29" t="e">
        <f>IF(#REF!&gt;0,#REF!,#N/A)</f>
        <v>#REF!</v>
      </c>
      <c r="AC168" s="29" t="e">
        <f>IF(#REF!&gt;0,#REF!,#N/A)</f>
        <v>#REF!</v>
      </c>
      <c r="AD168" s="29" t="e">
        <f>IF(#REF!&gt;0,#REF!,#N/A)</f>
        <v>#REF!</v>
      </c>
      <c r="AE168" s="29" t="e">
        <f>IF(#REF!&gt;0,#REF!,#N/A)</f>
        <v>#REF!</v>
      </c>
      <c r="AF168" s="29" t="e">
        <f>IF(#REF!&gt;0,#REF!,#N/A)</f>
        <v>#REF!</v>
      </c>
      <c r="AG168" s="29" t="e">
        <f>IF(#REF!&gt;0,#REF!,#N/A)</f>
        <v>#REF!</v>
      </c>
      <c r="AH168" s="29" t="e">
        <f>IF(#REF!&gt;0,#REF!,#N/A)</f>
        <v>#REF!</v>
      </c>
      <c r="AI168" s="29" t="e">
        <f>IF(#REF!&gt;0,#REF!,#N/A)</f>
        <v>#REF!</v>
      </c>
      <c r="AJ168" s="29" t="e">
        <f>IF(#REF!&gt;0,#REF!,#N/A)</f>
        <v>#REF!</v>
      </c>
      <c r="AK168" s="29" t="e">
        <f>IF(#REF!&gt;0,#REF!,#N/A)</f>
        <v>#REF!</v>
      </c>
      <c r="AL168" s="29" t="e">
        <f>IF(#REF!&gt;0,#REF!,#N/A)</f>
        <v>#REF!</v>
      </c>
      <c r="AM168" s="29" t="e">
        <f>IF(#REF!&gt;0,#REF!,#N/A)</f>
        <v>#REF!</v>
      </c>
      <c r="AN168" s="29" t="e">
        <f>IF(#REF!&gt;0,#REF!,#N/A)</f>
        <v>#REF!</v>
      </c>
      <c r="AO168" s="29" t="e">
        <f>IF(#REF!&gt;0,#REF!,#N/A)</f>
        <v>#REF!</v>
      </c>
      <c r="AP168" s="29" t="e">
        <f>IF(#REF!&gt;0,#REF!,#N/A)</f>
        <v>#REF!</v>
      </c>
      <c r="AQ168" s="29" t="e">
        <f>IF(#REF!&gt;0,#REF!,#N/A)</f>
        <v>#REF!</v>
      </c>
      <c r="AR168" s="29" t="e">
        <f>IF(#REF!&gt;0,#REF!,#N/A)</f>
        <v>#REF!</v>
      </c>
      <c r="AS168" s="29" t="e">
        <f>IF(#REF!&gt;0,#REF!,#N/A)</f>
        <v>#REF!</v>
      </c>
      <c r="AT168" s="29" t="e">
        <f>IF(#REF!&gt;0,#REF!,#N/A)</f>
        <v>#REF!</v>
      </c>
      <c r="AU168" s="29" t="e">
        <f>IF(#REF!&gt;0,#REF!,#N/A)</f>
        <v>#REF!</v>
      </c>
      <c r="AV168" s="29" t="e">
        <f>IF(#REF!&gt;0,#REF!,#N/A)</f>
        <v>#REF!</v>
      </c>
      <c r="AW168" s="29" t="e">
        <f>IF(#REF!&gt;0,#REF!,#N/A)</f>
        <v>#REF!</v>
      </c>
      <c r="AX168" s="29" t="e">
        <f>IF(#REF!&gt;0,#REF!,#N/A)</f>
        <v>#REF!</v>
      </c>
      <c r="AY168" s="29" t="e">
        <f>IF(#REF!&gt;0,#REF!,#N/A)</f>
        <v>#REF!</v>
      </c>
      <c r="AZ168" s="29" t="e">
        <f>IF(#REF!&gt;0,#REF!,#N/A)</f>
        <v>#REF!</v>
      </c>
      <c r="BA168" s="29" t="e">
        <f>IF(#REF!&gt;0,#REF!,#N/A)</f>
        <v>#REF!</v>
      </c>
      <c r="BB168" s="29" t="e">
        <f>IF(#REF!&gt;0,#REF!,#N/A)</f>
        <v>#REF!</v>
      </c>
      <c r="BC168" s="29" t="e">
        <f>IF(#REF!&gt;0,#REF!,#N/A)</f>
        <v>#REF!</v>
      </c>
      <c r="BD168" s="29" t="e">
        <f>IF(#REF!&gt;0,#REF!,#N/A)</f>
        <v>#REF!</v>
      </c>
      <c r="BE168" s="29" t="e">
        <f>IF(#REF!&gt;0,#REF!,#N/A)</f>
        <v>#REF!</v>
      </c>
      <c r="BF168" s="29" t="e">
        <f>IF(#REF!&gt;0,#REF!,#N/A)</f>
        <v>#REF!</v>
      </c>
      <c r="BG168" s="29" t="e">
        <f>IF(#REF!&gt;0,#REF!,#N/A)</f>
        <v>#REF!</v>
      </c>
      <c r="BH168" s="29" t="e">
        <f>IF(#REF!&gt;0,#REF!,#N/A)</f>
        <v>#REF!</v>
      </c>
      <c r="BI168" s="29" t="e">
        <f>IF(#REF!&gt;0,#REF!,#N/A)</f>
        <v>#REF!</v>
      </c>
      <c r="BJ168" s="29" t="e">
        <f>IF(#REF!&gt;0,#REF!,#N/A)</f>
        <v>#REF!</v>
      </c>
      <c r="BK168" s="29" t="e">
        <f>IF(#REF!&gt;0,#REF!,#N/A)</f>
        <v>#REF!</v>
      </c>
      <c r="BL168" s="29" t="e">
        <f>IF(#REF!&gt;0,#REF!,#N/A)</f>
        <v>#REF!</v>
      </c>
      <c r="BM168" s="29" t="e">
        <f>IF(#REF!&gt;0,#REF!,#N/A)</f>
        <v>#REF!</v>
      </c>
      <c r="BN168" s="29" t="e">
        <f>IF(#REF!&gt;0,#REF!,#N/A)</f>
        <v>#REF!</v>
      </c>
    </row>
    <row r="169" spans="2:66" ht="12" customHeight="1">
      <c r="B169" s="28" t="s">
        <v>94</v>
      </c>
      <c r="C169" s="29" t="e">
        <f>IF(#REF!&gt;0,#REF!,#N/A)</f>
        <v>#REF!</v>
      </c>
      <c r="D169" s="29" t="e">
        <f>IF(#REF!&gt;0,#REF!,#N/A)</f>
        <v>#REF!</v>
      </c>
      <c r="E169" s="29" t="e">
        <f>IF(#REF!&gt;0,#REF!,#N/A)</f>
        <v>#REF!</v>
      </c>
      <c r="F169" s="29" t="e">
        <f>IF(#REF!&gt;0,#REF!,#N/A)</f>
        <v>#REF!</v>
      </c>
      <c r="G169" s="29" t="e">
        <f>IF(#REF!&gt;0,#REF!,#N/A)</f>
        <v>#REF!</v>
      </c>
      <c r="H169" s="29" t="e">
        <f>IF(#REF!&gt;0,#REF!,#N/A)</f>
        <v>#REF!</v>
      </c>
      <c r="I169" s="29" t="e">
        <f>IF(#REF!&gt;0,#REF!,#N/A)</f>
        <v>#REF!</v>
      </c>
      <c r="J169" s="29" t="e">
        <f>IF(#REF!&gt;0,#REF!,#N/A)</f>
        <v>#REF!</v>
      </c>
      <c r="K169" s="29" t="e">
        <f>IF(#REF!&gt;0,#REF!,#N/A)</f>
        <v>#REF!</v>
      </c>
      <c r="L169" s="29" t="e">
        <f>IF(#REF!&gt;0,#REF!,#N/A)</f>
        <v>#REF!</v>
      </c>
      <c r="M169" s="29" t="e">
        <f>IF(#REF!&gt;0,#REF!,#N/A)</f>
        <v>#REF!</v>
      </c>
      <c r="N169" s="29" t="e">
        <f>IF(#REF!&gt;0,#REF!,#N/A)</f>
        <v>#REF!</v>
      </c>
      <c r="O169" s="29" t="e">
        <f>IF(#REF!&gt;0,#REF!,#N/A)</f>
        <v>#REF!</v>
      </c>
      <c r="P169" s="29" t="e">
        <f>IF(#REF!&gt;0,#REF!,#N/A)</f>
        <v>#REF!</v>
      </c>
      <c r="Q169" s="29" t="e">
        <f>IF(#REF!&gt;0,#REF!,#N/A)</f>
        <v>#REF!</v>
      </c>
      <c r="R169" s="29" t="e">
        <f>IF(#REF!&gt;0,#REF!,#N/A)</f>
        <v>#REF!</v>
      </c>
      <c r="S169" s="29" t="e">
        <f>IF(#REF!&gt;0,#REF!,#N/A)</f>
        <v>#REF!</v>
      </c>
      <c r="T169" s="29" t="e">
        <f>IF(#REF!&gt;0,#REF!,#N/A)</f>
        <v>#REF!</v>
      </c>
      <c r="U169" s="29" t="e">
        <f>IF(#REF!&gt;0,#REF!,#N/A)</f>
        <v>#REF!</v>
      </c>
      <c r="V169" s="29" t="e">
        <f>IF(#REF!&gt;0,#REF!,#N/A)</f>
        <v>#REF!</v>
      </c>
      <c r="W169" s="29" t="e">
        <f>IF(#REF!&gt;0,#REF!,#N/A)</f>
        <v>#REF!</v>
      </c>
      <c r="X169" s="29" t="e">
        <f>IF(#REF!&gt;0,#REF!,#N/A)</f>
        <v>#REF!</v>
      </c>
      <c r="Y169" s="29" t="e">
        <f>IF(#REF!&gt;0,#REF!,#N/A)</f>
        <v>#REF!</v>
      </c>
      <c r="Z169" s="29" t="e">
        <f>IF(#REF!&gt;0,#REF!,#N/A)</f>
        <v>#REF!</v>
      </c>
      <c r="AA169" s="29" t="e">
        <f>IF(#REF!&gt;0,#REF!,#N/A)</f>
        <v>#REF!</v>
      </c>
      <c r="AB169" s="29" t="e">
        <f>IF(#REF!&gt;0,#REF!,#N/A)</f>
        <v>#REF!</v>
      </c>
      <c r="AC169" s="29" t="e">
        <f>IF(#REF!&gt;0,#REF!,#N/A)</f>
        <v>#REF!</v>
      </c>
      <c r="AD169" s="29" t="e">
        <f>IF(#REF!&gt;0,#REF!,#N/A)</f>
        <v>#REF!</v>
      </c>
      <c r="AE169" s="29" t="e">
        <f>IF(#REF!&gt;0,#REF!,#N/A)</f>
        <v>#REF!</v>
      </c>
      <c r="AF169" s="29" t="e">
        <f>IF(#REF!&gt;0,#REF!,#N/A)</f>
        <v>#REF!</v>
      </c>
      <c r="AG169" s="29" t="e">
        <f>IF(#REF!&gt;0,#REF!,#N/A)</f>
        <v>#REF!</v>
      </c>
      <c r="AH169" s="29" t="e">
        <f>IF(#REF!&gt;0,#REF!,#N/A)</f>
        <v>#REF!</v>
      </c>
      <c r="AI169" s="29" t="e">
        <f>IF(#REF!&gt;0,#REF!,#N/A)</f>
        <v>#REF!</v>
      </c>
      <c r="AJ169" s="29" t="e">
        <f>IF(#REF!&gt;0,#REF!,#N/A)</f>
        <v>#REF!</v>
      </c>
      <c r="AK169" s="29" t="e">
        <f>IF(#REF!&gt;0,#REF!,#N/A)</f>
        <v>#REF!</v>
      </c>
      <c r="AL169" s="29" t="e">
        <f>IF(#REF!&gt;0,#REF!,#N/A)</f>
        <v>#REF!</v>
      </c>
      <c r="AM169" s="29" t="e">
        <f>IF(#REF!&gt;0,#REF!,#N/A)</f>
        <v>#REF!</v>
      </c>
      <c r="AN169" s="29" t="e">
        <f>IF(#REF!&gt;0,#REF!,#N/A)</f>
        <v>#REF!</v>
      </c>
      <c r="AO169" s="29" t="e">
        <f>IF(#REF!&gt;0,#REF!,#N/A)</f>
        <v>#REF!</v>
      </c>
      <c r="AP169" s="29" t="e">
        <f>IF(#REF!&gt;0,#REF!,#N/A)</f>
        <v>#REF!</v>
      </c>
      <c r="AQ169" s="29" t="e">
        <f>IF(#REF!&gt;0,#REF!,#N/A)</f>
        <v>#REF!</v>
      </c>
      <c r="AR169" s="29" t="e">
        <f>IF(#REF!&gt;0,#REF!,#N/A)</f>
        <v>#REF!</v>
      </c>
      <c r="AS169" s="29" t="e">
        <f>IF(#REF!&gt;0,#REF!,#N/A)</f>
        <v>#REF!</v>
      </c>
      <c r="AT169" s="29" t="e">
        <f>IF(#REF!&gt;0,#REF!,#N/A)</f>
        <v>#REF!</v>
      </c>
      <c r="AU169" s="29" t="e">
        <f>IF(#REF!&gt;0,#REF!,#N/A)</f>
        <v>#REF!</v>
      </c>
      <c r="AV169" s="29" t="e">
        <f>IF(#REF!&gt;0,#REF!,#N/A)</f>
        <v>#REF!</v>
      </c>
      <c r="AW169" s="29" t="e">
        <f>IF(#REF!&gt;0,#REF!,#N/A)</f>
        <v>#REF!</v>
      </c>
      <c r="AX169" s="29" t="e">
        <f>IF(#REF!&gt;0,#REF!,#N/A)</f>
        <v>#REF!</v>
      </c>
      <c r="AY169" s="29" t="e">
        <f>IF(#REF!&gt;0,#REF!,#N/A)</f>
        <v>#REF!</v>
      </c>
      <c r="AZ169" s="29" t="e">
        <f>IF(#REF!&gt;0,#REF!,#N/A)</f>
        <v>#REF!</v>
      </c>
      <c r="BA169" s="29" t="e">
        <f>IF(#REF!&gt;0,#REF!,#N/A)</f>
        <v>#REF!</v>
      </c>
      <c r="BB169" s="29" t="e">
        <f>IF(#REF!&gt;0,#REF!,#N/A)</f>
        <v>#REF!</v>
      </c>
      <c r="BC169" s="29" t="e">
        <f>IF(#REF!&gt;0,#REF!,#N/A)</f>
        <v>#REF!</v>
      </c>
      <c r="BD169" s="29" t="e">
        <f>IF(#REF!&gt;0,#REF!,#N/A)</f>
        <v>#REF!</v>
      </c>
      <c r="BE169" s="29" t="e">
        <f>IF(#REF!&gt;0,#REF!,#N/A)</f>
        <v>#REF!</v>
      </c>
      <c r="BF169" s="29" t="e">
        <f>IF(#REF!&gt;0,#REF!,#N/A)</f>
        <v>#REF!</v>
      </c>
      <c r="BG169" s="29" t="e">
        <f>IF(#REF!&gt;0,#REF!,#N/A)</f>
        <v>#REF!</v>
      </c>
      <c r="BH169" s="29" t="e">
        <f>IF(#REF!&gt;0,#REF!,#N/A)</f>
        <v>#REF!</v>
      </c>
      <c r="BI169" s="29" t="e">
        <f>IF(#REF!&gt;0,#REF!,#N/A)</f>
        <v>#REF!</v>
      </c>
      <c r="BJ169" s="29" t="e">
        <f>IF(#REF!&gt;0,#REF!,#N/A)</f>
        <v>#REF!</v>
      </c>
      <c r="BK169" s="29" t="e">
        <f>IF(#REF!&gt;0,#REF!,#N/A)</f>
        <v>#REF!</v>
      </c>
      <c r="BL169" s="29" t="e">
        <f>IF(#REF!&gt;0,#REF!,#N/A)</f>
        <v>#REF!</v>
      </c>
      <c r="BM169" s="29" t="e">
        <f>IF(#REF!&gt;0,#REF!,#N/A)</f>
        <v>#REF!</v>
      </c>
      <c r="BN169" s="29" t="e">
        <f>IF(#REF!&gt;0,#REF!,#N/A)</f>
        <v>#REF!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7526-A7CF-4EC2-B842-C614282F1388}">
  <sheetPr>
    <tabColor rgb="FF002060"/>
  </sheetPr>
  <dimension ref="A2:T73"/>
  <sheetViews>
    <sheetView zoomScale="40" zoomScaleNormal="40" workbookViewId="0">
      <pane xSplit="2" ySplit="6" topLeftCell="C23" activePane="bottomRight" state="frozen"/>
      <selection pane="bottomRight" activeCell="D30" sqref="D30"/>
      <selection pane="bottomLeft" activeCell="A5" sqref="A5"/>
      <selection pane="topRight" activeCell="C1" sqref="C1"/>
    </sheetView>
  </sheetViews>
  <sheetFormatPr defaultColWidth="8.85546875" defaultRowHeight="15.6"/>
  <cols>
    <col min="1" max="1" width="15.42578125" style="492" customWidth="1"/>
    <col min="2" max="2" width="62.5703125" style="504" customWidth="1"/>
    <col min="3" max="3" width="33.140625" style="497" bestFit="1" customWidth="1"/>
    <col min="4" max="12" width="23.42578125" style="492" customWidth="1"/>
    <col min="13" max="13" width="23.140625" style="492" bestFit="1" customWidth="1"/>
    <col min="14" max="20" width="20.42578125" style="492" customWidth="1"/>
    <col min="21" max="16384" width="8.85546875" style="492"/>
  </cols>
  <sheetData>
    <row r="2" spans="1:20" s="484" customFormat="1">
      <c r="B2" s="500"/>
      <c r="D2" s="575" t="s">
        <v>140</v>
      </c>
      <c r="E2" s="576"/>
      <c r="F2" s="576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8"/>
    </row>
    <row r="3" spans="1:20" s="484" customFormat="1">
      <c r="B3" s="500"/>
      <c r="D3" s="581" t="s">
        <v>141</v>
      </c>
      <c r="E3" s="581"/>
      <c r="F3" s="581"/>
      <c r="G3" s="571" t="s">
        <v>142</v>
      </c>
      <c r="H3" s="571"/>
      <c r="I3" s="571"/>
      <c r="J3" s="571"/>
      <c r="K3" s="571"/>
      <c r="L3" s="571"/>
      <c r="M3" s="572"/>
      <c r="N3" s="508"/>
      <c r="O3" s="508"/>
      <c r="P3" s="508"/>
      <c r="Q3" s="508"/>
      <c r="R3" s="508"/>
      <c r="S3" s="508"/>
      <c r="T3" s="508"/>
    </row>
    <row r="4" spans="1:20" s="484" customFormat="1">
      <c r="B4" s="500"/>
      <c r="D4" s="579" t="s">
        <v>143</v>
      </c>
      <c r="E4" s="579"/>
      <c r="F4" s="510"/>
      <c r="G4" s="573"/>
      <c r="H4" s="573"/>
      <c r="I4" s="573"/>
      <c r="J4" s="573"/>
      <c r="K4" s="573"/>
      <c r="L4" s="573"/>
      <c r="M4" s="574"/>
      <c r="N4" s="508"/>
      <c r="O4" s="508"/>
      <c r="P4" s="508"/>
      <c r="Q4" s="508"/>
      <c r="R4" s="508"/>
      <c r="S4" s="508"/>
      <c r="T4" s="508"/>
    </row>
    <row r="5" spans="1:20" s="484" customFormat="1" hidden="1">
      <c r="B5" s="500"/>
      <c r="D5" s="486">
        <v>1</v>
      </c>
      <c r="E5" s="486">
        <v>2</v>
      </c>
      <c r="F5" s="486">
        <v>1</v>
      </c>
      <c r="G5" s="486">
        <v>2</v>
      </c>
      <c r="H5" s="486">
        <v>3</v>
      </c>
      <c r="I5" s="486">
        <v>4</v>
      </c>
      <c r="J5" s="486">
        <v>5</v>
      </c>
      <c r="K5" s="486">
        <v>6</v>
      </c>
      <c r="L5" s="486">
        <v>7</v>
      </c>
      <c r="M5" s="486">
        <v>11</v>
      </c>
      <c r="N5" s="486">
        <v>12</v>
      </c>
      <c r="O5" s="486">
        <v>13</v>
      </c>
      <c r="P5" s="486">
        <v>14</v>
      </c>
      <c r="Q5" s="486">
        <v>15</v>
      </c>
      <c r="R5" s="486">
        <v>16</v>
      </c>
      <c r="S5" s="486">
        <v>17</v>
      </c>
      <c r="T5" s="486">
        <v>18</v>
      </c>
    </row>
    <row r="6" spans="1:20" s="484" customFormat="1">
      <c r="B6" s="501" t="s">
        <v>144</v>
      </c>
      <c r="C6" s="487" t="s">
        <v>145</v>
      </c>
      <c r="D6" s="488" t="s">
        <v>146</v>
      </c>
      <c r="E6" s="488" t="s">
        <v>147</v>
      </c>
      <c r="F6" s="487" t="s">
        <v>148</v>
      </c>
      <c r="G6" s="487" t="s">
        <v>149</v>
      </c>
      <c r="H6" s="487" t="s">
        <v>150</v>
      </c>
      <c r="I6" s="487" t="s">
        <v>151</v>
      </c>
      <c r="J6" s="487" t="s">
        <v>152</v>
      </c>
      <c r="K6" s="487" t="s">
        <v>153</v>
      </c>
      <c r="L6" s="487" t="s">
        <v>154</v>
      </c>
      <c r="M6" s="487" t="s">
        <v>155</v>
      </c>
      <c r="N6" s="487" t="s">
        <v>156</v>
      </c>
      <c r="O6" s="487" t="s">
        <v>157</v>
      </c>
      <c r="P6" s="487" t="s">
        <v>158</v>
      </c>
      <c r="Q6" s="487" t="s">
        <v>159</v>
      </c>
      <c r="R6" s="487" t="s">
        <v>160</v>
      </c>
      <c r="S6" s="487" t="s">
        <v>161</v>
      </c>
      <c r="T6" s="487" t="s">
        <v>162</v>
      </c>
    </row>
    <row r="7" spans="1:20" s="484" customFormat="1">
      <c r="A7" s="484" t="s">
        <v>163</v>
      </c>
      <c r="B7" s="501" t="s">
        <v>164</v>
      </c>
      <c r="C7" s="487"/>
      <c r="D7" s="487"/>
      <c r="E7" s="487"/>
      <c r="F7" s="487"/>
      <c r="G7" s="487"/>
      <c r="H7" s="487"/>
      <c r="I7" s="487"/>
      <c r="J7" s="487"/>
      <c r="K7" s="487"/>
      <c r="L7" s="487"/>
      <c r="M7" s="487"/>
      <c r="N7" s="487"/>
      <c r="O7" s="487"/>
      <c r="P7" s="487"/>
      <c r="Q7" s="487"/>
      <c r="R7" s="487"/>
      <c r="S7" s="487"/>
      <c r="T7" s="487"/>
    </row>
    <row r="8" spans="1:20">
      <c r="A8" s="489" t="s">
        <v>165</v>
      </c>
      <c r="B8" s="502" t="str">
        <f>IFERROR(INDEX(Tarefas!F:F,MATCH(A8,Tarefas!N:N,0)),"")</f>
        <v>Coordenador de Obras - Full time 100%</v>
      </c>
      <c r="C8" s="490">
        <f t="shared" ref="C8:C24" si="0">COUNTA(D8:T8)</f>
        <v>10</v>
      </c>
      <c r="D8" s="509">
        <v>1</v>
      </c>
      <c r="E8" s="509">
        <v>1</v>
      </c>
      <c r="F8" s="499">
        <v>1</v>
      </c>
      <c r="G8" s="499">
        <v>1</v>
      </c>
      <c r="H8" s="499">
        <v>1</v>
      </c>
      <c r="I8" s="499">
        <v>1</v>
      </c>
      <c r="J8" s="499">
        <v>1</v>
      </c>
      <c r="K8" s="499">
        <v>1</v>
      </c>
      <c r="L8" s="499">
        <v>1</v>
      </c>
      <c r="M8" s="499">
        <v>1</v>
      </c>
      <c r="N8" s="491"/>
      <c r="O8" s="491"/>
      <c r="P8" s="491"/>
      <c r="Q8" s="491"/>
      <c r="R8" s="491"/>
      <c r="S8" s="491"/>
      <c r="T8" s="491"/>
    </row>
    <row r="9" spans="1:20" ht="30.95">
      <c r="A9" s="489" t="s">
        <v>166</v>
      </c>
      <c r="B9" s="502" t="str">
        <f>IFERROR(INDEX(Tarefas!F:F,MATCH(A9,Tarefas!N:N,0)),"")</f>
        <v>Engenheiro Pl. de Planejamento, Qualidade e Custos ( Supervisor) - Full time</v>
      </c>
      <c r="C9" s="490">
        <f t="shared" si="0"/>
        <v>7</v>
      </c>
      <c r="D9" s="509"/>
      <c r="E9" s="509"/>
      <c r="F9" s="509"/>
      <c r="G9" s="499">
        <v>1</v>
      </c>
      <c r="H9" s="499">
        <v>1</v>
      </c>
      <c r="I9" s="499">
        <v>1</v>
      </c>
      <c r="J9" s="499">
        <v>1</v>
      </c>
      <c r="K9" s="499">
        <v>1</v>
      </c>
      <c r="L9" s="499">
        <v>1</v>
      </c>
      <c r="M9" s="499">
        <v>1</v>
      </c>
      <c r="N9" s="491"/>
      <c r="O9" s="491"/>
      <c r="P9" s="491"/>
      <c r="Q9" s="491"/>
      <c r="R9" s="491"/>
      <c r="S9" s="491"/>
      <c r="T9" s="491"/>
    </row>
    <row r="10" spans="1:20" ht="30.95">
      <c r="A10" s="489" t="s">
        <v>167</v>
      </c>
      <c r="B10" s="502" t="str">
        <f>IFERROR(INDEX(Tarefas!F:F,MATCH(A10,Tarefas!N:N,0)),"")</f>
        <v>Engenheiro Pl. de Planejamento, Qualidade e Custos ( Supervisor) - Full time</v>
      </c>
      <c r="C10" s="490">
        <f t="shared" si="0"/>
        <v>3</v>
      </c>
      <c r="D10" s="509">
        <v>0.2</v>
      </c>
      <c r="E10" s="509">
        <v>0.2</v>
      </c>
      <c r="F10" s="509">
        <v>0.2</v>
      </c>
      <c r="G10" s="499"/>
      <c r="H10" s="499"/>
      <c r="I10" s="499"/>
      <c r="J10" s="499"/>
      <c r="K10" s="499"/>
      <c r="L10" s="499"/>
      <c r="M10" s="499"/>
      <c r="N10" s="491"/>
      <c r="O10" s="491"/>
      <c r="P10" s="491"/>
      <c r="Q10" s="491"/>
      <c r="R10" s="491"/>
      <c r="S10" s="491"/>
      <c r="T10" s="491"/>
    </row>
    <row r="11" spans="1:20">
      <c r="A11" s="489" t="s">
        <v>168</v>
      </c>
      <c r="B11" s="502" t="str">
        <f>IFERROR(INDEX(Tarefas!F:F,MATCH(A11,Tarefas!N:N,0)),"")</f>
        <v>Engenheiro Jr. Qualidade ( Supervisor) - Instalações 25%</v>
      </c>
      <c r="C11" s="490">
        <f t="shared" si="0"/>
        <v>5</v>
      </c>
      <c r="D11" s="491"/>
      <c r="E11" s="491"/>
      <c r="F11" s="491"/>
      <c r="G11" s="491"/>
      <c r="H11" s="491"/>
      <c r="I11" s="499">
        <v>0.25</v>
      </c>
      <c r="J11" s="499">
        <v>0.25</v>
      </c>
      <c r="K11" s="499">
        <v>0.25</v>
      </c>
      <c r="L11" s="499">
        <v>0.25</v>
      </c>
      <c r="M11" s="499">
        <v>0.25</v>
      </c>
      <c r="N11" s="491"/>
      <c r="O11" s="491"/>
      <c r="P11" s="491"/>
      <c r="Q11" s="491"/>
      <c r="R11" s="491"/>
      <c r="S11" s="491"/>
      <c r="T11" s="491"/>
    </row>
    <row r="12" spans="1:20">
      <c r="A12" s="489" t="s">
        <v>169</v>
      </c>
      <c r="B12" s="502" t="str">
        <f>IFERROR(INDEX(Tarefas!F:F,MATCH(A12,Tarefas!N:N,0)),"")</f>
        <v>Analista de Custos - An. Sr. 50%</v>
      </c>
      <c r="C12" s="490">
        <f t="shared" si="0"/>
        <v>6</v>
      </c>
      <c r="D12" s="491"/>
      <c r="E12" s="491"/>
      <c r="F12" s="491"/>
      <c r="G12" s="491"/>
      <c r="H12" s="499">
        <v>0.5</v>
      </c>
      <c r="I12" s="499">
        <v>0.5</v>
      </c>
      <c r="J12" s="499">
        <v>0.5</v>
      </c>
      <c r="K12" s="499">
        <v>0.5</v>
      </c>
      <c r="L12" s="499">
        <v>0.5</v>
      </c>
      <c r="M12" s="499">
        <v>0.5</v>
      </c>
      <c r="N12" s="491"/>
      <c r="O12" s="491"/>
      <c r="P12" s="491"/>
      <c r="Q12" s="491"/>
      <c r="R12" s="491"/>
      <c r="S12" s="491"/>
      <c r="T12" s="491"/>
    </row>
    <row r="13" spans="1:20" ht="30.95">
      <c r="A13" s="489" t="s">
        <v>170</v>
      </c>
      <c r="B13" s="502" t="str">
        <f>IFERROR(INDEX(Tarefas!F:F,MATCH(A13,Tarefas!N:N,0)),"")</f>
        <v>Arquiteto Pl. ( Gestão de projetos) - Remoto ( Supervisor) - 100%</v>
      </c>
      <c r="C13" s="490">
        <f t="shared" si="0"/>
        <v>6</v>
      </c>
      <c r="D13" s="491"/>
      <c r="E13" s="491"/>
      <c r="F13" s="499">
        <v>1</v>
      </c>
      <c r="G13" s="499">
        <v>1</v>
      </c>
      <c r="H13" s="499">
        <v>1</v>
      </c>
      <c r="I13" s="499">
        <v>1</v>
      </c>
      <c r="J13" s="499">
        <v>1</v>
      </c>
      <c r="K13" s="499">
        <v>1</v>
      </c>
      <c r="L13" s="499"/>
      <c r="M13" s="499"/>
      <c r="N13" s="491"/>
      <c r="O13" s="491"/>
      <c r="P13" s="491"/>
      <c r="Q13" s="491"/>
      <c r="R13" s="491"/>
      <c r="S13" s="491"/>
      <c r="T13" s="491"/>
    </row>
    <row r="14" spans="1:20" ht="30.95">
      <c r="A14" s="489" t="s">
        <v>171</v>
      </c>
      <c r="B14" s="502" t="str">
        <f>IFERROR(INDEX(Tarefas!F:F,MATCH(A14,Tarefas!N:N,0)),"")</f>
        <v>Arquiteto Pl. ( Gestão de projetos) - Remoto ( Supervisor) - 50%</v>
      </c>
      <c r="C14" s="490">
        <f t="shared" si="0"/>
        <v>2</v>
      </c>
      <c r="D14" s="491"/>
      <c r="E14" s="491"/>
      <c r="F14" s="499"/>
      <c r="G14" s="499"/>
      <c r="H14" s="499"/>
      <c r="I14" s="499"/>
      <c r="J14" s="499"/>
      <c r="K14" s="499"/>
      <c r="L14" s="499">
        <v>0.5</v>
      </c>
      <c r="M14" s="499">
        <v>0.5</v>
      </c>
      <c r="N14" s="491"/>
      <c r="O14" s="491"/>
      <c r="P14" s="491"/>
      <c r="Q14" s="491"/>
      <c r="R14" s="491"/>
      <c r="S14" s="491"/>
      <c r="T14" s="491"/>
    </row>
    <row r="15" spans="1:20">
      <c r="A15" s="489" t="s">
        <v>172</v>
      </c>
      <c r="B15" s="502" t="str">
        <f>IFERROR(INDEX(Tarefas!F:F,MATCH(A15,Tarefas!N:N,0)),"")</f>
        <v xml:space="preserve">Técnico de Segurança </v>
      </c>
      <c r="C15" s="490">
        <f t="shared" si="0"/>
        <v>10</v>
      </c>
      <c r="D15" s="509">
        <v>1</v>
      </c>
      <c r="E15" s="509">
        <v>1</v>
      </c>
      <c r="F15" s="509">
        <v>1</v>
      </c>
      <c r="G15" s="509">
        <v>1</v>
      </c>
      <c r="H15" s="509">
        <v>1</v>
      </c>
      <c r="I15" s="509">
        <v>1</v>
      </c>
      <c r="J15" s="509">
        <v>1</v>
      </c>
      <c r="K15" s="509">
        <v>1</v>
      </c>
      <c r="L15" s="509">
        <v>1</v>
      </c>
      <c r="M15" s="509">
        <v>1</v>
      </c>
      <c r="N15" s="491"/>
      <c r="O15" s="491"/>
      <c r="P15" s="491"/>
      <c r="Q15" s="491"/>
      <c r="R15" s="491"/>
      <c r="S15" s="491"/>
      <c r="T15" s="491"/>
    </row>
    <row r="16" spans="1:20" ht="30.95">
      <c r="A16" s="489" t="s">
        <v>173</v>
      </c>
      <c r="B16" s="502" t="str">
        <f>IFERROR(INDEX(Tarefas!F:F,MATCH(A16,Tarefas!N:N,0)),"")</f>
        <v>Gerrente de Obras - 5% - Considerado equipe diluida nas linhas com 10 meses</v>
      </c>
      <c r="C16" s="490">
        <f t="shared" si="0"/>
        <v>10</v>
      </c>
      <c r="D16" s="498">
        <f t="shared" ref="D16:E16" si="1">1*0</f>
        <v>0</v>
      </c>
      <c r="E16" s="498">
        <f t="shared" si="1"/>
        <v>0</v>
      </c>
      <c r="F16" s="498">
        <f>1*0</f>
        <v>0</v>
      </c>
      <c r="G16" s="498">
        <f t="shared" ref="G16:M17" si="2">1*0</f>
        <v>0</v>
      </c>
      <c r="H16" s="498">
        <f t="shared" si="2"/>
        <v>0</v>
      </c>
      <c r="I16" s="498">
        <f t="shared" si="2"/>
        <v>0</v>
      </c>
      <c r="J16" s="498">
        <f t="shared" si="2"/>
        <v>0</v>
      </c>
      <c r="K16" s="498">
        <f t="shared" si="2"/>
        <v>0</v>
      </c>
      <c r="L16" s="498">
        <f t="shared" si="2"/>
        <v>0</v>
      </c>
      <c r="M16" s="498">
        <f t="shared" si="2"/>
        <v>0</v>
      </c>
      <c r="N16" s="491"/>
      <c r="O16" s="491"/>
      <c r="P16" s="491"/>
      <c r="Q16" s="491"/>
      <c r="R16" s="491"/>
      <c r="S16" s="491"/>
      <c r="T16" s="491"/>
    </row>
    <row r="17" spans="1:20" ht="30.95">
      <c r="A17" s="489" t="s">
        <v>174</v>
      </c>
      <c r="B17" s="502" t="str">
        <f>IFERROR(INDEX(Tarefas!F:F,MATCH(A17,Tarefas!N:N,0)),"")</f>
        <v>Engenheiro de Segurança - 5% - Considerado equipe diluida nas linhas com 10 meses</v>
      </c>
      <c r="C17" s="490">
        <f t="shared" si="0"/>
        <v>10</v>
      </c>
      <c r="D17" s="498">
        <f t="shared" ref="D17:F17" si="3">1*0</f>
        <v>0</v>
      </c>
      <c r="E17" s="498">
        <f t="shared" si="3"/>
        <v>0</v>
      </c>
      <c r="F17" s="498">
        <f t="shared" si="3"/>
        <v>0</v>
      </c>
      <c r="G17" s="498">
        <f t="shared" si="2"/>
        <v>0</v>
      </c>
      <c r="H17" s="498">
        <f t="shared" si="2"/>
        <v>0</v>
      </c>
      <c r="I17" s="498">
        <f t="shared" si="2"/>
        <v>0</v>
      </c>
      <c r="J17" s="498">
        <f t="shared" si="2"/>
        <v>0</v>
      </c>
      <c r="K17" s="498">
        <f t="shared" si="2"/>
        <v>0</v>
      </c>
      <c r="L17" s="498">
        <f t="shared" si="2"/>
        <v>0</v>
      </c>
      <c r="M17" s="498">
        <f t="shared" si="2"/>
        <v>0</v>
      </c>
      <c r="N17" s="491"/>
      <c r="O17" s="491"/>
      <c r="P17" s="491"/>
      <c r="Q17" s="491"/>
      <c r="R17" s="491"/>
      <c r="S17" s="491"/>
      <c r="T17" s="491"/>
    </row>
    <row r="18" spans="1:20">
      <c r="A18" s="489" t="s">
        <v>175</v>
      </c>
      <c r="B18" s="502" t="str">
        <f>IFERROR(INDEX(Tarefas!F:F,MATCH(A18,Tarefas!N:N,0)),"")</f>
        <v>Coordenador de Arquitetura - Excluso</v>
      </c>
      <c r="C18" s="490">
        <f t="shared" si="0"/>
        <v>0</v>
      </c>
      <c r="D18" s="491"/>
      <c r="E18" s="491"/>
      <c r="F18" s="491"/>
      <c r="G18" s="491"/>
      <c r="H18" s="491"/>
      <c r="I18" s="491"/>
      <c r="J18" s="491"/>
      <c r="K18" s="491"/>
      <c r="L18" s="491"/>
      <c r="M18" s="491"/>
      <c r="N18" s="491"/>
      <c r="O18" s="491"/>
      <c r="P18" s="491"/>
      <c r="Q18" s="491"/>
      <c r="R18" s="491"/>
      <c r="S18" s="491"/>
      <c r="T18" s="491"/>
    </row>
    <row r="19" spans="1:20" ht="30.95">
      <c r="A19" s="489" t="s">
        <v>167</v>
      </c>
      <c r="B19" s="502" t="str">
        <f>IFERROR(INDEX(Tarefas!F:F,MATCH(A19,Tarefas!N:N,0)),"")</f>
        <v>Engenheiro Pl. de Planejamento, Qualidade e Custos ( Supervisor) - Full time</v>
      </c>
      <c r="C19" s="490">
        <f t="shared" si="0"/>
        <v>0</v>
      </c>
      <c r="D19" s="491"/>
      <c r="E19" s="491"/>
      <c r="F19" s="491"/>
      <c r="G19" s="491"/>
      <c r="H19" s="491"/>
      <c r="I19" s="491"/>
      <c r="J19" s="491"/>
      <c r="K19" s="491"/>
      <c r="L19" s="491"/>
      <c r="M19" s="491"/>
      <c r="N19" s="491"/>
      <c r="O19" s="491"/>
      <c r="P19" s="491"/>
      <c r="Q19" s="491"/>
      <c r="R19" s="491"/>
      <c r="S19" s="491"/>
      <c r="T19" s="491"/>
    </row>
    <row r="20" spans="1:20">
      <c r="A20" s="489" t="s">
        <v>176</v>
      </c>
      <c r="B20" s="502" t="str">
        <f>IFERROR(INDEX(Tarefas!F:F,MATCH(A20,Tarefas!N:N,0)),"")</f>
        <v>N/A</v>
      </c>
      <c r="C20" s="490">
        <f t="shared" si="0"/>
        <v>0</v>
      </c>
      <c r="D20" s="491"/>
      <c r="E20" s="491"/>
      <c r="F20" s="491"/>
      <c r="G20" s="491"/>
      <c r="H20" s="491"/>
      <c r="I20" s="491"/>
      <c r="J20" s="491"/>
      <c r="K20" s="491"/>
      <c r="L20" s="491"/>
      <c r="M20" s="491"/>
      <c r="N20" s="491"/>
      <c r="O20" s="491"/>
      <c r="P20" s="491"/>
      <c r="Q20" s="491"/>
      <c r="R20" s="491"/>
      <c r="S20" s="491"/>
      <c r="T20" s="491"/>
    </row>
    <row r="21" spans="1:20">
      <c r="A21" s="489" t="s">
        <v>177</v>
      </c>
      <c r="B21" s="502" t="str">
        <f>IFERROR(INDEX(Tarefas!F:F,MATCH(A21,Tarefas!N:N,0)),"")</f>
        <v>N/A</v>
      </c>
      <c r="C21" s="490">
        <f t="shared" si="0"/>
        <v>0</v>
      </c>
      <c r="D21" s="491"/>
      <c r="E21" s="491"/>
      <c r="F21" s="491"/>
      <c r="G21" s="491"/>
      <c r="H21" s="491"/>
      <c r="I21" s="491"/>
      <c r="J21" s="491"/>
      <c r="K21" s="491"/>
      <c r="L21" s="491"/>
      <c r="M21" s="491"/>
      <c r="N21" s="491"/>
      <c r="O21" s="491"/>
      <c r="P21" s="491"/>
      <c r="Q21" s="491"/>
      <c r="R21" s="491"/>
      <c r="S21" s="491"/>
      <c r="T21" s="491"/>
    </row>
    <row r="22" spans="1:20">
      <c r="A22" s="489" t="s">
        <v>178</v>
      </c>
      <c r="B22" s="502" t="str">
        <f>IFERROR(INDEX(Tarefas!F:F,MATCH(A22,Tarefas!N:N,0)),"")</f>
        <v>N/A</v>
      </c>
      <c r="C22" s="490">
        <f t="shared" si="0"/>
        <v>0</v>
      </c>
      <c r="D22" s="491"/>
      <c r="E22" s="491"/>
      <c r="F22" s="491"/>
      <c r="G22" s="491"/>
      <c r="H22" s="491"/>
      <c r="I22" s="491"/>
      <c r="J22" s="491"/>
      <c r="K22" s="491"/>
      <c r="L22" s="491"/>
      <c r="M22" s="491"/>
      <c r="N22" s="491"/>
      <c r="O22" s="491"/>
      <c r="P22" s="491"/>
      <c r="Q22" s="491"/>
      <c r="R22" s="491"/>
      <c r="S22" s="491"/>
      <c r="T22" s="491"/>
    </row>
    <row r="23" spans="1:20">
      <c r="A23" s="489" t="s">
        <v>179</v>
      </c>
      <c r="B23" s="502" t="str">
        <f>IFERROR(INDEX(Tarefas!F:F,MATCH(A23,Tarefas!N:N,0)),"")</f>
        <v>N/A</v>
      </c>
      <c r="C23" s="490">
        <f t="shared" si="0"/>
        <v>0</v>
      </c>
      <c r="D23" s="491"/>
      <c r="E23" s="491"/>
      <c r="F23" s="491"/>
      <c r="G23" s="491"/>
      <c r="H23" s="491"/>
      <c r="I23" s="491"/>
      <c r="J23" s="491"/>
      <c r="K23" s="491"/>
      <c r="L23" s="491"/>
      <c r="M23" s="491"/>
      <c r="N23" s="491"/>
      <c r="O23" s="491"/>
      <c r="P23" s="491"/>
      <c r="Q23" s="491"/>
      <c r="R23" s="491"/>
      <c r="S23" s="491"/>
      <c r="T23" s="491"/>
    </row>
    <row r="24" spans="1:20">
      <c r="A24" s="489" t="s">
        <v>180</v>
      </c>
      <c r="B24" s="502" t="str">
        <f>IFERROR(INDEX(Tarefas!F:F,MATCH(A24,Tarefas!N:N,0)),"")</f>
        <v>N/A</v>
      </c>
      <c r="C24" s="490">
        <f t="shared" si="0"/>
        <v>0</v>
      </c>
      <c r="D24" s="491"/>
      <c r="E24" s="491"/>
      <c r="F24" s="491"/>
      <c r="G24" s="491"/>
      <c r="H24" s="491"/>
      <c r="I24" s="491"/>
      <c r="J24" s="491"/>
      <c r="K24" s="491"/>
      <c r="L24" s="491"/>
      <c r="M24" s="491"/>
      <c r="N24" s="491"/>
      <c r="O24" s="491"/>
      <c r="P24" s="491"/>
      <c r="Q24" s="491"/>
      <c r="R24" s="491"/>
      <c r="S24" s="491"/>
      <c r="T24" s="491"/>
    </row>
    <row r="25" spans="1:20" s="484" customFormat="1" ht="30.95">
      <c r="A25" s="484" t="s">
        <v>163</v>
      </c>
      <c r="B25" s="501" t="s">
        <v>181</v>
      </c>
      <c r="C25" s="487"/>
      <c r="D25" s="487"/>
      <c r="E25" s="487"/>
      <c r="F25" s="487"/>
      <c r="G25" s="487"/>
      <c r="H25" s="487"/>
      <c r="I25" s="487"/>
      <c r="J25" s="487"/>
      <c r="K25" s="487"/>
      <c r="L25" s="487"/>
      <c r="M25" s="487"/>
      <c r="N25" s="487"/>
      <c r="O25" s="487"/>
      <c r="P25" s="487"/>
      <c r="Q25" s="487"/>
      <c r="R25" s="487"/>
      <c r="S25" s="487"/>
      <c r="T25" s="487"/>
    </row>
    <row r="26" spans="1:20">
      <c r="A26" s="492" t="s">
        <v>182</v>
      </c>
      <c r="B26" s="502" t="str">
        <f>IFERROR(INDEX(Tarefas!F:F,MATCH(A26,Tarefas!N:N,0)),"")</f>
        <v>Coordenador de Orçamentos - Part time - 50% mês</v>
      </c>
      <c r="C26" s="490">
        <f>COUNTA(D26:T26)</f>
        <v>2</v>
      </c>
      <c r="D26" s="499">
        <v>0.5</v>
      </c>
      <c r="E26" s="499">
        <v>0.5</v>
      </c>
      <c r="F26" s="491"/>
      <c r="G26" s="491"/>
      <c r="H26" s="491"/>
      <c r="I26" s="491"/>
      <c r="J26" s="491"/>
      <c r="K26" s="491"/>
      <c r="L26" s="491"/>
      <c r="M26" s="491"/>
      <c r="N26" s="491"/>
      <c r="O26" s="491"/>
      <c r="P26" s="491"/>
      <c r="Q26" s="491"/>
      <c r="R26" s="491"/>
      <c r="S26" s="491"/>
      <c r="T26" s="491"/>
    </row>
    <row r="27" spans="1:20" ht="30.95">
      <c r="A27" s="492" t="s">
        <v>183</v>
      </c>
      <c r="B27" s="502" t="str">
        <f>IFERROR(INDEX(Tarefas!F:F,MATCH(A27,Tarefas!N:N,0)),"")</f>
        <v>Arquiteto Pl. ( Gestão de projetos) - Remoto ( Supervisor) - 20% mês</v>
      </c>
      <c r="C27" s="490">
        <f>COUNTA(D27:T27)</f>
        <v>2</v>
      </c>
      <c r="D27" s="499">
        <v>0.2</v>
      </c>
      <c r="E27" s="499">
        <v>0.2</v>
      </c>
      <c r="F27" s="491"/>
      <c r="G27" s="491"/>
      <c r="H27" s="491"/>
      <c r="I27" s="491"/>
      <c r="J27" s="491"/>
      <c r="K27" s="491"/>
      <c r="L27" s="491"/>
      <c r="M27" s="491"/>
      <c r="N27" s="491"/>
      <c r="O27" s="491"/>
      <c r="P27" s="491"/>
      <c r="Q27" s="491"/>
      <c r="R27" s="491"/>
      <c r="S27" s="491"/>
      <c r="T27" s="491"/>
    </row>
    <row r="28" spans="1:20" ht="30.95">
      <c r="A28" s="492" t="s">
        <v>184</v>
      </c>
      <c r="B28" s="502" t="str">
        <f>IFERROR(INDEX(Tarefas!F:F,MATCH(A28,Tarefas!N:N,0)),"")</f>
        <v>Engenheiro Pl. de Planejamento, Qualidade e Custos ( Supervisor) - 10% - mês</v>
      </c>
      <c r="C28" s="490">
        <f>COUNTA(D28:T28)</f>
        <v>2</v>
      </c>
      <c r="D28" s="499">
        <v>0.1</v>
      </c>
      <c r="E28" s="499">
        <v>0.1</v>
      </c>
      <c r="F28" s="491"/>
      <c r="G28" s="491"/>
      <c r="H28" s="491"/>
      <c r="I28" s="491"/>
      <c r="J28" s="491"/>
      <c r="K28" s="491"/>
      <c r="L28" s="491"/>
      <c r="M28" s="491"/>
      <c r="N28" s="491"/>
      <c r="O28" s="491"/>
      <c r="P28" s="491"/>
      <c r="Q28" s="491"/>
      <c r="R28" s="491"/>
      <c r="S28" s="491"/>
      <c r="T28" s="491"/>
    </row>
    <row r="29" spans="1:20" ht="39.950000000000003" customHeight="1">
      <c r="A29" s="492" t="s">
        <v>185</v>
      </c>
      <c r="B29" s="502" t="str">
        <f>IFERROR(INDEX(Tarefas!F:F,MATCH(A29,Tarefas!N:N,0)),"")</f>
        <v>Analista de Financeiro - An. Sr. 50% ( Análise financeira das empresas)</v>
      </c>
      <c r="C29" s="490">
        <f>COUNTA(D29:T29)</f>
        <v>1</v>
      </c>
      <c r="D29" s="509">
        <v>0.5</v>
      </c>
      <c r="E29" s="509"/>
      <c r="F29" s="491"/>
      <c r="G29" s="491"/>
      <c r="H29" s="491"/>
      <c r="I29" s="491"/>
      <c r="J29" s="491"/>
      <c r="K29" s="491"/>
      <c r="L29" s="491"/>
      <c r="M29" s="491"/>
      <c r="N29" s="491"/>
      <c r="O29" s="491"/>
      <c r="P29" s="491"/>
      <c r="Q29" s="491"/>
      <c r="R29" s="491"/>
      <c r="S29" s="491"/>
      <c r="T29" s="491"/>
    </row>
    <row r="30" spans="1:20" ht="27.95" customHeight="1">
      <c r="B30" s="503" t="s">
        <v>186</v>
      </c>
      <c r="C30" s="493"/>
      <c r="D30" s="485">
        <f t="shared" ref="D30:T30" si="4">SUM(D8:D29)</f>
        <v>3.5000000000000004</v>
      </c>
      <c r="E30" s="485">
        <f t="shared" si="4"/>
        <v>3.0000000000000004</v>
      </c>
      <c r="F30" s="485">
        <f t="shared" si="4"/>
        <v>3.2</v>
      </c>
      <c r="G30" s="485">
        <f t="shared" si="4"/>
        <v>4</v>
      </c>
      <c r="H30" s="485">
        <f t="shared" si="4"/>
        <v>4.5</v>
      </c>
      <c r="I30" s="485">
        <f t="shared" si="4"/>
        <v>4.75</v>
      </c>
      <c r="J30" s="485">
        <f t="shared" si="4"/>
        <v>4.75</v>
      </c>
      <c r="K30" s="485">
        <f t="shared" si="4"/>
        <v>4.75</v>
      </c>
      <c r="L30" s="485">
        <f t="shared" si="4"/>
        <v>4.25</v>
      </c>
      <c r="M30" s="485">
        <f t="shared" si="4"/>
        <v>4.25</v>
      </c>
      <c r="N30" s="485">
        <f t="shared" si="4"/>
        <v>0</v>
      </c>
      <c r="O30" s="485">
        <f t="shared" si="4"/>
        <v>0</v>
      </c>
      <c r="P30" s="485">
        <f t="shared" si="4"/>
        <v>0</v>
      </c>
      <c r="Q30" s="485">
        <f t="shared" si="4"/>
        <v>0</v>
      </c>
      <c r="R30" s="485">
        <f t="shared" si="4"/>
        <v>0</v>
      </c>
      <c r="S30" s="485">
        <f t="shared" si="4"/>
        <v>0</v>
      </c>
      <c r="T30" s="485">
        <f t="shared" si="4"/>
        <v>0</v>
      </c>
    </row>
    <row r="31" spans="1:20" ht="335.45" customHeight="1"/>
    <row r="32" spans="1:20" s="484" customFormat="1">
      <c r="B32" s="500"/>
      <c r="D32" s="580" t="s">
        <v>187</v>
      </c>
      <c r="E32" s="577"/>
      <c r="F32" s="577"/>
      <c r="G32" s="577"/>
      <c r="H32" s="577"/>
      <c r="I32" s="577"/>
      <c r="J32" s="577"/>
      <c r="K32" s="577"/>
      <c r="L32" s="577"/>
      <c r="M32" s="577"/>
      <c r="N32" s="577"/>
      <c r="O32" s="577"/>
      <c r="P32" s="577"/>
      <c r="Q32" s="577"/>
      <c r="R32" s="577"/>
      <c r="S32" s="577"/>
      <c r="T32" s="578"/>
    </row>
    <row r="33" spans="1:20" s="484" customFormat="1">
      <c r="B33" s="500"/>
      <c r="D33" s="581" t="s">
        <v>141</v>
      </c>
      <c r="E33" s="581"/>
      <c r="F33" s="581"/>
      <c r="G33" s="571" t="s">
        <v>142</v>
      </c>
      <c r="H33" s="571"/>
      <c r="I33" s="571"/>
      <c r="J33" s="571"/>
      <c r="K33" s="571"/>
      <c r="L33" s="571"/>
      <c r="M33" s="572"/>
      <c r="N33" s="508"/>
      <c r="O33" s="508"/>
      <c r="P33" s="508"/>
      <c r="Q33" s="508"/>
      <c r="R33" s="508"/>
      <c r="S33" s="508"/>
      <c r="T33" s="508"/>
    </row>
    <row r="34" spans="1:20" s="484" customFormat="1">
      <c r="B34" s="500"/>
      <c r="D34" s="579" t="s">
        <v>143</v>
      </c>
      <c r="E34" s="579"/>
      <c r="F34" s="510"/>
      <c r="G34" s="573"/>
      <c r="H34" s="573"/>
      <c r="I34" s="573"/>
      <c r="J34" s="573"/>
      <c r="K34" s="573"/>
      <c r="L34" s="573"/>
      <c r="M34" s="574"/>
      <c r="N34" s="508"/>
      <c r="O34" s="508"/>
      <c r="P34" s="508"/>
      <c r="Q34" s="508"/>
      <c r="R34" s="508"/>
      <c r="S34" s="508"/>
      <c r="T34" s="508"/>
    </row>
    <row r="35" spans="1:20" s="484" customFormat="1" hidden="1">
      <c r="B35" s="500"/>
      <c r="D35" s="486">
        <v>-3</v>
      </c>
      <c r="E35" s="486">
        <v>-2</v>
      </c>
      <c r="F35" s="486">
        <v>1</v>
      </c>
      <c r="G35" s="486">
        <v>2</v>
      </c>
      <c r="H35" s="486">
        <v>3</v>
      </c>
      <c r="I35" s="486">
        <v>4</v>
      </c>
      <c r="J35" s="486">
        <v>5</v>
      </c>
      <c r="K35" s="486">
        <v>6</v>
      </c>
      <c r="L35" s="486">
        <v>7</v>
      </c>
      <c r="M35" s="486">
        <v>11</v>
      </c>
      <c r="N35" s="486">
        <v>12</v>
      </c>
      <c r="O35" s="486">
        <v>13</v>
      </c>
      <c r="P35" s="486">
        <v>14</v>
      </c>
      <c r="Q35" s="486">
        <v>12</v>
      </c>
      <c r="R35" s="486">
        <v>13</v>
      </c>
      <c r="S35" s="486">
        <v>14</v>
      </c>
      <c r="T35" s="486">
        <v>15</v>
      </c>
    </row>
    <row r="36" spans="1:20" s="484" customFormat="1">
      <c r="B36" s="501" t="s">
        <v>188</v>
      </c>
      <c r="C36" s="487" t="s">
        <v>189</v>
      </c>
      <c r="D36" s="488" t="s">
        <v>146</v>
      </c>
      <c r="E36" s="488" t="s">
        <v>147</v>
      </c>
      <c r="F36" s="487" t="s">
        <v>148</v>
      </c>
      <c r="G36" s="487" t="s">
        <v>149</v>
      </c>
      <c r="H36" s="487" t="s">
        <v>150</v>
      </c>
      <c r="I36" s="487" t="s">
        <v>151</v>
      </c>
      <c r="J36" s="487" t="s">
        <v>152</v>
      </c>
      <c r="K36" s="487" t="s">
        <v>153</v>
      </c>
      <c r="L36" s="487" t="s">
        <v>154</v>
      </c>
      <c r="M36" s="487" t="s">
        <v>155</v>
      </c>
      <c r="N36" s="487" t="s">
        <v>156</v>
      </c>
      <c r="O36" s="487" t="s">
        <v>157</v>
      </c>
      <c r="P36" s="487" t="s">
        <v>158</v>
      </c>
      <c r="Q36" s="487" t="s">
        <v>159</v>
      </c>
      <c r="R36" s="487" t="s">
        <v>160</v>
      </c>
      <c r="S36" s="487" t="s">
        <v>161</v>
      </c>
      <c r="T36" s="487" t="s">
        <v>162</v>
      </c>
    </row>
    <row r="37" spans="1:20" s="484" customFormat="1">
      <c r="A37" s="484" t="s">
        <v>163</v>
      </c>
      <c r="B37" s="501" t="s">
        <v>164</v>
      </c>
      <c r="C37" s="487"/>
      <c r="D37" s="487"/>
      <c r="E37" s="487"/>
      <c r="F37" s="487"/>
      <c r="G37" s="487"/>
      <c r="H37" s="487"/>
      <c r="I37" s="487"/>
      <c r="J37" s="487"/>
      <c r="K37" s="487"/>
      <c r="L37" s="487"/>
      <c r="M37" s="487"/>
      <c r="N37" s="487"/>
      <c r="O37" s="487"/>
      <c r="P37" s="487"/>
      <c r="Q37" s="487"/>
      <c r="R37" s="487"/>
      <c r="S37" s="487"/>
      <c r="T37" s="487"/>
    </row>
    <row r="38" spans="1:20">
      <c r="A38" s="489" t="s">
        <v>165</v>
      </c>
      <c r="B38" s="502" t="str">
        <f>IFERROR(INDEX(Tarefas!F:F,MATCH(A38,Tarefas!N:N,0)),"")</f>
        <v>Coordenador de Obras - Full time 100%</v>
      </c>
      <c r="C38" s="494">
        <f>ROUND(SUM(D38:T38),2)</f>
        <v>509614.9</v>
      </c>
      <c r="D38" s="494">
        <f>ROUND(IF(D8&gt;0,(INDEX(Tarefas!$AS:$AS,MATCH($A38,Tarefas!$N:$N,0))),0),2)</f>
        <v>50961.49</v>
      </c>
      <c r="E38" s="494">
        <f>ROUND(IF(E8&gt;0,(INDEX(Tarefas!$AS:$AS,MATCH($A38,Tarefas!$N:$N,0))),0),2)</f>
        <v>50961.49</v>
      </c>
      <c r="F38" s="494">
        <f>ROUND(IF(F8&gt;0,(INDEX(Tarefas!$AS:$AS,MATCH($A38,Tarefas!$N:$N,0))),0),2)</f>
        <v>50961.49</v>
      </c>
      <c r="G38" s="494">
        <f>ROUND(IF(G8&gt;0,(INDEX(Tarefas!$AS:$AS,MATCH($A38,Tarefas!$N:$N,0))),0),2)</f>
        <v>50961.49</v>
      </c>
      <c r="H38" s="494">
        <f>ROUND(IF(H8&gt;0,(INDEX(Tarefas!$AS:$AS,MATCH($A38,Tarefas!$N:$N,0))),0),2)</f>
        <v>50961.49</v>
      </c>
      <c r="I38" s="494">
        <f>ROUND(IF(I8&gt;0,(INDEX(Tarefas!$AS:$AS,MATCH($A38,Tarefas!$N:$N,0))),0),2)</f>
        <v>50961.49</v>
      </c>
      <c r="J38" s="494">
        <f>ROUND(IF(J8&gt;0,(INDEX(Tarefas!$AS:$AS,MATCH($A38,Tarefas!$N:$N,0))),0),2)</f>
        <v>50961.49</v>
      </c>
      <c r="K38" s="494">
        <f>ROUND(IF(K8&gt;0,(INDEX(Tarefas!$AS:$AS,MATCH($A38,Tarefas!$N:$N,0))),0),2)</f>
        <v>50961.49</v>
      </c>
      <c r="L38" s="494">
        <f>ROUND(IF(L8&gt;0,(INDEX(Tarefas!$AS:$AS,MATCH($A38,Tarefas!$N:$N,0))),0),2)</f>
        <v>50961.49</v>
      </c>
      <c r="M38" s="494">
        <f>ROUND(IF(M8&gt;0,(INDEX(Tarefas!$AS:$AS,MATCH($A38,Tarefas!$N:$N,0))),0),2)</f>
        <v>50961.49</v>
      </c>
      <c r="N38" s="494">
        <f>ROUND(IF(N8&gt;0,(INDEX(Tarefas!$AS:$AS,MATCH($A38,Tarefas!$N:$N,0))),0),2)</f>
        <v>0</v>
      </c>
      <c r="O38" s="494">
        <f>ROUND(IF(O8&gt;0,(INDEX(Tarefas!$AS:$AS,MATCH($A38,Tarefas!$N:$N,0))),0),2)</f>
        <v>0</v>
      </c>
      <c r="P38" s="494">
        <f>ROUND(IF(P8&gt;0,(INDEX(Tarefas!$AS:$AS,MATCH($A38,Tarefas!$N:$N,0))),0),2)</f>
        <v>0</v>
      </c>
      <c r="Q38" s="494">
        <f>ROUND(IF(Q8&gt;0,(INDEX(Tarefas!$AS:$AS,MATCH($A38,Tarefas!$N:$N,0))),0),2)</f>
        <v>0</v>
      </c>
      <c r="R38" s="494">
        <f>ROUND(IF(R8&gt;0,(INDEX(Tarefas!$AS:$AS,MATCH($A38,Tarefas!$N:$N,0))),0),2)</f>
        <v>0</v>
      </c>
      <c r="S38" s="494">
        <f>ROUND(IF(S8&gt;0,(INDEX(Tarefas!$AS:$AS,MATCH($A38,Tarefas!$N:$N,0))),0),2)</f>
        <v>0</v>
      </c>
      <c r="T38" s="494">
        <f>ROUND(IF(T8&gt;0,(INDEX(Tarefas!$AS:$AS,MATCH($A38,Tarefas!$N:$N,0))),0),2)</f>
        <v>0</v>
      </c>
    </row>
    <row r="39" spans="1:20" ht="30.95">
      <c r="A39" s="489" t="s">
        <v>166</v>
      </c>
      <c r="B39" s="502" t="str">
        <f>IFERROR(INDEX(Tarefas!F:F,MATCH(A39,Tarefas!N:N,0)),"")</f>
        <v>Engenheiro Pl. de Planejamento, Qualidade e Custos ( Supervisor) - Full time</v>
      </c>
      <c r="C39" s="494">
        <f t="shared" ref="C39:C54" si="5">SUM(D39:T39)</f>
        <v>278491.92</v>
      </c>
      <c r="D39" s="494">
        <f>ROUND(IF(D9&gt;0,(INDEX(Tarefas!$AS:$AS,MATCH($A39,Tarefas!$N:$N,0))),0),2)</f>
        <v>0</v>
      </c>
      <c r="E39" s="494">
        <f>ROUND(IF(E9&gt;0,(INDEX(Tarefas!$AS:$AS,MATCH($A39,Tarefas!$N:$N,0))),0),2)</f>
        <v>0</v>
      </c>
      <c r="F39" s="494">
        <f>ROUND(IF(F9&gt;0,(INDEX(Tarefas!$AS:$AS,MATCH($A39,Tarefas!$N:$N,0))),0),2)</f>
        <v>0</v>
      </c>
      <c r="G39" s="494">
        <f>ROUND(IF(G9&gt;0,(INDEX(Tarefas!$AS:$AS,MATCH($A39,Tarefas!$N:$N,0))),0),2)</f>
        <v>39784.559999999998</v>
      </c>
      <c r="H39" s="494">
        <f>ROUND(IF(H9&gt;0,(INDEX(Tarefas!$AS:$AS,MATCH($A39,Tarefas!$N:$N,0))),0),2)</f>
        <v>39784.559999999998</v>
      </c>
      <c r="I39" s="494">
        <f>ROUND(IF(I9&gt;0,(INDEX(Tarefas!$AS:$AS,MATCH($A39,Tarefas!$N:$N,0))),0),2)</f>
        <v>39784.559999999998</v>
      </c>
      <c r="J39" s="494">
        <f>ROUND(IF(J9&gt;0,(INDEX(Tarefas!$AS:$AS,MATCH($A39,Tarefas!$N:$N,0))),0),2)</f>
        <v>39784.559999999998</v>
      </c>
      <c r="K39" s="494">
        <f>ROUND(IF(K9&gt;0,(INDEX(Tarefas!$AS:$AS,MATCH($A39,Tarefas!$N:$N,0))),0),2)</f>
        <v>39784.559999999998</v>
      </c>
      <c r="L39" s="494">
        <f>ROUND(IF(L9&gt;0,(INDEX(Tarefas!$AS:$AS,MATCH($A39,Tarefas!$N:$N,0))),0),2)</f>
        <v>39784.559999999998</v>
      </c>
      <c r="M39" s="494">
        <f>ROUND(IF(M9&gt;0,(INDEX(Tarefas!$AS:$AS,MATCH($A39,Tarefas!$N:$N,0))),0),2)</f>
        <v>39784.559999999998</v>
      </c>
      <c r="N39" s="494">
        <f>ROUND(IF(N9&gt;0,(INDEX(Tarefas!$AS:$AS,MATCH($A39,Tarefas!$N:$N,0))),0),2)</f>
        <v>0</v>
      </c>
      <c r="O39" s="494">
        <f>ROUND(IF(O9&gt;0,(INDEX(Tarefas!$AS:$AS,MATCH($A39,Tarefas!$N:$N,0))),0),2)</f>
        <v>0</v>
      </c>
      <c r="P39" s="494">
        <f>ROUND(IF(P9&gt;0,(INDEX(Tarefas!$AS:$AS,MATCH($A39,Tarefas!$N:$N,0))),0),2)</f>
        <v>0</v>
      </c>
      <c r="Q39" s="494">
        <f>ROUND(IF(Q9&gt;0,(INDEX(Tarefas!$AS:$AS,MATCH($A39,Tarefas!$N:$N,0))),0),2)</f>
        <v>0</v>
      </c>
      <c r="R39" s="494">
        <f>ROUND(IF(R9&gt;0,(INDEX(Tarefas!$AS:$AS,MATCH($A39,Tarefas!$N:$N,0))),0),2)</f>
        <v>0</v>
      </c>
      <c r="S39" s="494">
        <f>ROUND(IF(S9&gt;0,(INDEX(Tarefas!$AS:$AS,MATCH($A39,Tarefas!$N:$N,0))),0),2)</f>
        <v>0</v>
      </c>
      <c r="T39" s="494">
        <f>ROUND(IF(T9&gt;0,(INDEX(Tarefas!$AS:$AS,MATCH($A39,Tarefas!$N:$N,0))),0),2)</f>
        <v>0</v>
      </c>
    </row>
    <row r="40" spans="1:20" ht="30.95">
      <c r="A40" s="489" t="s">
        <v>167</v>
      </c>
      <c r="B40" s="502" t="str">
        <f>IFERROR(INDEX(Tarefas!F:F,MATCH(A40,Tarefas!N:N,0)),"")</f>
        <v>Engenheiro Pl. de Planejamento, Qualidade e Custos ( Supervisor) - Full time</v>
      </c>
      <c r="C40" s="494">
        <f t="shared" si="5"/>
        <v>41747.040000000001</v>
      </c>
      <c r="D40" s="494">
        <f>ROUND(IF(D10&gt;0,(INDEX(Tarefas!$AS:$AS,MATCH($A40,Tarefas!$N:$N,0))),0),2)</f>
        <v>13915.68</v>
      </c>
      <c r="E40" s="494">
        <f>ROUND(IF(E10&gt;0,(INDEX(Tarefas!$AS:$AS,MATCH($A40,Tarefas!$N:$N,0))),0),2)</f>
        <v>13915.68</v>
      </c>
      <c r="F40" s="494">
        <f>ROUND(IF(F10&gt;0,(INDEX(Tarefas!$AS:$AS,MATCH($A40,Tarefas!$N:$N,0))),0),2)</f>
        <v>13915.68</v>
      </c>
      <c r="G40" s="494">
        <f>ROUND(IF(G10&gt;0,(INDEX(Tarefas!$AS:$AS,MATCH($A40,Tarefas!$N:$N,0))),0),2)</f>
        <v>0</v>
      </c>
      <c r="H40" s="494">
        <f>ROUND(IF(H10&gt;0,(INDEX(Tarefas!$AS:$AS,MATCH($A40,Tarefas!$N:$N,0))),0),2)</f>
        <v>0</v>
      </c>
      <c r="I40" s="494">
        <f>ROUND(IF(I10&gt;0,(INDEX(Tarefas!$AS:$AS,MATCH($A40,Tarefas!$N:$N,0))),0),2)</f>
        <v>0</v>
      </c>
      <c r="J40" s="494">
        <f>ROUND(IF(J10&gt;0,(INDEX(Tarefas!$AS:$AS,MATCH($A40,Tarefas!$N:$N,0))),0),2)</f>
        <v>0</v>
      </c>
      <c r="K40" s="494">
        <f>ROUND(IF(K10&gt;0,(INDEX(Tarefas!$AS:$AS,MATCH($A40,Tarefas!$N:$N,0))),0),2)</f>
        <v>0</v>
      </c>
      <c r="L40" s="494">
        <f>ROUND(IF(L10&gt;0,(INDEX(Tarefas!$AS:$AS,MATCH($A40,Tarefas!$N:$N,0))),0),2)</f>
        <v>0</v>
      </c>
      <c r="M40" s="494">
        <f>ROUND(IF(M10&gt;0,(INDEX(Tarefas!$AS:$AS,MATCH($A40,Tarefas!$N:$N,0))),0),2)</f>
        <v>0</v>
      </c>
      <c r="N40" s="494">
        <f>ROUND(IF(N10&gt;0,(INDEX(Tarefas!$AS:$AS,MATCH($A40,Tarefas!$N:$N,0))),0),2)</f>
        <v>0</v>
      </c>
      <c r="O40" s="494">
        <f>ROUND(IF(O10&gt;0,(INDEX(Tarefas!$AS:$AS,MATCH($A40,Tarefas!$N:$N,0))),0),2)</f>
        <v>0</v>
      </c>
      <c r="P40" s="494">
        <f>ROUND(IF(P10&gt;0,(INDEX(Tarefas!$AS:$AS,MATCH($A40,Tarefas!$N:$N,0))),0),2)</f>
        <v>0</v>
      </c>
      <c r="Q40" s="494">
        <f>ROUND(IF(Q10&gt;0,(INDEX(Tarefas!$AS:$AS,MATCH($A40,Tarefas!$N:$N,0))),0),2)</f>
        <v>0</v>
      </c>
      <c r="R40" s="494">
        <f>ROUND(IF(R10&gt;0,(INDEX(Tarefas!$AS:$AS,MATCH($A40,Tarefas!$N:$N,0))),0),2)</f>
        <v>0</v>
      </c>
      <c r="S40" s="494">
        <f>ROUND(IF(S10&gt;0,(INDEX(Tarefas!$AS:$AS,MATCH($A40,Tarefas!$N:$N,0))),0),2)</f>
        <v>0</v>
      </c>
      <c r="T40" s="494">
        <f>ROUND(IF(T10&gt;0,(INDEX(Tarefas!$AS:$AS,MATCH($A40,Tarefas!$N:$N,0))),0),2)</f>
        <v>0</v>
      </c>
    </row>
    <row r="41" spans="1:20">
      <c r="A41" s="489" t="s">
        <v>168</v>
      </c>
      <c r="B41" s="502" t="str">
        <f>IFERROR(INDEX(Tarefas!F:F,MATCH(A41,Tarefas!N:N,0)),"")</f>
        <v>Engenheiro Jr. Qualidade ( Supervisor) - Instalações 25%</v>
      </c>
      <c r="C41" s="494">
        <f t="shared" si="5"/>
        <v>63875.8</v>
      </c>
      <c r="D41" s="494">
        <f>ROUND(IF(D11&gt;0,(INDEX(Tarefas!$AS:$AS,MATCH($A41,Tarefas!$N:$N,0))),0),2)</f>
        <v>0</v>
      </c>
      <c r="E41" s="494">
        <f>ROUND(IF(E11&gt;0,(INDEX(Tarefas!$AS:$AS,MATCH($A41,Tarefas!$N:$N,0))),0),2)</f>
        <v>0</v>
      </c>
      <c r="F41" s="494">
        <f>ROUND(IF(F11&gt;0,(INDEX(Tarefas!$AS:$AS,MATCH($A41,Tarefas!$N:$N,0))),0),2)</f>
        <v>0</v>
      </c>
      <c r="G41" s="494">
        <f>ROUND(IF(G11&gt;0,(INDEX(Tarefas!$AS:$AS,MATCH($A41,Tarefas!$N:$N,0))),0),2)</f>
        <v>0</v>
      </c>
      <c r="H41" s="494">
        <f>ROUND(IF(H11&gt;0,(INDEX(Tarefas!$AS:$AS,MATCH($A41,Tarefas!$N:$N,0))),0),2)</f>
        <v>0</v>
      </c>
      <c r="I41" s="494">
        <f>ROUND(IF(I11&gt;0,(INDEX(Tarefas!$AS:$AS,MATCH($A41,Tarefas!$N:$N,0))),0),2)</f>
        <v>12775.16</v>
      </c>
      <c r="J41" s="494">
        <f>ROUND(IF(J11&gt;0,(INDEX(Tarefas!$AS:$AS,MATCH($A41,Tarefas!$N:$N,0))),0),2)</f>
        <v>12775.16</v>
      </c>
      <c r="K41" s="494">
        <f>ROUND(IF(K11&gt;0,(INDEX(Tarefas!$AS:$AS,MATCH($A41,Tarefas!$N:$N,0))),0),2)</f>
        <v>12775.16</v>
      </c>
      <c r="L41" s="494">
        <f>ROUND(IF(L11&gt;0,(INDEX(Tarefas!$AS:$AS,MATCH($A41,Tarefas!$N:$N,0))),0),2)</f>
        <v>12775.16</v>
      </c>
      <c r="M41" s="494">
        <f>ROUND(IF(M11&gt;0,(INDEX(Tarefas!$AS:$AS,MATCH($A41,Tarefas!$N:$N,0))),0),2)</f>
        <v>12775.16</v>
      </c>
      <c r="N41" s="494">
        <f>ROUND(IF(N11&gt;0,(INDEX(Tarefas!$AS:$AS,MATCH($A41,Tarefas!$N:$N,0))),0),2)</f>
        <v>0</v>
      </c>
      <c r="O41" s="494">
        <f>ROUND(IF(O11&gt;0,(INDEX(Tarefas!$AS:$AS,MATCH($A41,Tarefas!$N:$N,0))),0),2)</f>
        <v>0</v>
      </c>
      <c r="P41" s="494">
        <f>ROUND(IF(P11&gt;0,(INDEX(Tarefas!$AS:$AS,MATCH($A41,Tarefas!$N:$N,0))),0),2)</f>
        <v>0</v>
      </c>
      <c r="Q41" s="494">
        <f>ROUND(IF(Q11&gt;0,(INDEX(Tarefas!$AS:$AS,MATCH($A41,Tarefas!$N:$N,0))),0),2)</f>
        <v>0</v>
      </c>
      <c r="R41" s="494">
        <f>ROUND(IF(R11&gt;0,(INDEX(Tarefas!$AS:$AS,MATCH($A41,Tarefas!$N:$N,0))),0),2)</f>
        <v>0</v>
      </c>
      <c r="S41" s="494">
        <f>ROUND(IF(S11&gt;0,(INDEX(Tarefas!$AS:$AS,MATCH($A41,Tarefas!$N:$N,0))),0),2)</f>
        <v>0</v>
      </c>
      <c r="T41" s="494">
        <f>ROUND(IF(T11&gt;0,(INDEX(Tarefas!$AS:$AS,MATCH($A41,Tarefas!$N:$N,0))),0),2)</f>
        <v>0</v>
      </c>
    </row>
    <row r="42" spans="1:20">
      <c r="A42" s="489" t="s">
        <v>169</v>
      </c>
      <c r="B42" s="502" t="str">
        <f>IFERROR(INDEX(Tarefas!F:F,MATCH(A42,Tarefas!N:N,0)),"")</f>
        <v>Analista de Custos - An. Sr. 50%</v>
      </c>
      <c r="C42" s="494">
        <f t="shared" si="5"/>
        <v>73229.460000000006</v>
      </c>
      <c r="D42" s="494">
        <f>ROUND(IF(D12&gt;0,(INDEX(Tarefas!$AS:$AS,MATCH($A42,Tarefas!$N:$N,0))),0),2)</f>
        <v>0</v>
      </c>
      <c r="E42" s="494">
        <f>ROUND(IF(E12&gt;0,(INDEX(Tarefas!$AS:$AS,MATCH($A42,Tarefas!$N:$N,0))),0),2)</f>
        <v>0</v>
      </c>
      <c r="F42" s="494">
        <f>ROUND(IF(F12&gt;0,(INDEX(Tarefas!$AS:$AS,MATCH($A42,Tarefas!$N:$N,0))),0),2)</f>
        <v>0</v>
      </c>
      <c r="G42" s="494">
        <f>ROUND(IF(G12&gt;0,(INDEX(Tarefas!$AS:$AS,MATCH($A42,Tarefas!$N:$N,0))),0),2)</f>
        <v>0</v>
      </c>
      <c r="H42" s="494">
        <f>ROUND(IF(H12&gt;0,(INDEX(Tarefas!$AS:$AS,MATCH($A42,Tarefas!$N:$N,0))),0),2)</f>
        <v>12204.91</v>
      </c>
      <c r="I42" s="494">
        <f>ROUND(IF(I12&gt;0,(INDEX(Tarefas!$AS:$AS,MATCH($A42,Tarefas!$N:$N,0))),0),2)</f>
        <v>12204.91</v>
      </c>
      <c r="J42" s="494">
        <f>ROUND(IF(J12&gt;0,(INDEX(Tarefas!$AS:$AS,MATCH($A42,Tarefas!$N:$N,0))),0),2)</f>
        <v>12204.91</v>
      </c>
      <c r="K42" s="494">
        <f>ROUND(IF(K12&gt;0,(INDEX(Tarefas!$AS:$AS,MATCH($A42,Tarefas!$N:$N,0))),0),2)</f>
        <v>12204.91</v>
      </c>
      <c r="L42" s="494">
        <f>ROUND(IF(L12&gt;0,(INDEX(Tarefas!$AS:$AS,MATCH($A42,Tarefas!$N:$N,0))),0),2)</f>
        <v>12204.91</v>
      </c>
      <c r="M42" s="494">
        <f>ROUND(IF(M12&gt;0,(INDEX(Tarefas!$AS:$AS,MATCH($A42,Tarefas!$N:$N,0))),0),2)</f>
        <v>12204.91</v>
      </c>
      <c r="N42" s="494">
        <f>ROUND(IF(N12&gt;0,(INDEX(Tarefas!$AS:$AS,MATCH($A42,Tarefas!$N:$N,0))),0),2)</f>
        <v>0</v>
      </c>
      <c r="O42" s="494">
        <f>ROUND(IF(O12&gt;0,(INDEX(Tarefas!$AS:$AS,MATCH($A42,Tarefas!$N:$N,0))),0),2)</f>
        <v>0</v>
      </c>
      <c r="P42" s="494">
        <f>ROUND(IF(P12&gt;0,(INDEX(Tarefas!$AS:$AS,MATCH($A42,Tarefas!$N:$N,0))),0),2)</f>
        <v>0</v>
      </c>
      <c r="Q42" s="494">
        <f>ROUND(IF(Q12&gt;0,(INDEX(Tarefas!$AS:$AS,MATCH($A42,Tarefas!$N:$N,0))),0),2)</f>
        <v>0</v>
      </c>
      <c r="R42" s="494">
        <f>ROUND(IF(R12&gt;0,(INDEX(Tarefas!$AS:$AS,MATCH($A42,Tarefas!$N:$N,0))),0),2)</f>
        <v>0</v>
      </c>
      <c r="S42" s="494">
        <f>ROUND(IF(S12&gt;0,(INDEX(Tarefas!$AS:$AS,MATCH($A42,Tarefas!$N:$N,0))),0),2)</f>
        <v>0</v>
      </c>
      <c r="T42" s="494">
        <f>ROUND(IF(T12&gt;0,(INDEX(Tarefas!$AS:$AS,MATCH($A42,Tarefas!$N:$N,0))),0),2)</f>
        <v>0</v>
      </c>
    </row>
    <row r="43" spans="1:20" ht="30.95">
      <c r="A43" s="489" t="s">
        <v>170</v>
      </c>
      <c r="B43" s="502" t="str">
        <f>IFERROR(INDEX(Tarefas!F:F,MATCH(A43,Tarefas!N:N,0)),"")</f>
        <v>Arquiteto Pl. ( Gestão de projetos) - Remoto ( Supervisor) - 100%</v>
      </c>
      <c r="C43" s="494">
        <f t="shared" si="5"/>
        <v>232322.4</v>
      </c>
      <c r="D43" s="494">
        <f>ROUND(IF(D13&gt;0,(INDEX(Tarefas!$AS:$AS,MATCH($A43,Tarefas!$N:$N,0))),0),2)</f>
        <v>0</v>
      </c>
      <c r="E43" s="494">
        <f>ROUND(IF(E13&gt;0,(INDEX(Tarefas!$AS:$AS,MATCH($A43,Tarefas!$N:$N,0))),0),2)</f>
        <v>0</v>
      </c>
      <c r="F43" s="494">
        <f>ROUND(IF(F13&gt;0,(INDEX(Tarefas!$AS:$AS,MATCH($A43,Tarefas!$N:$N,0))),0),2)</f>
        <v>38720.400000000001</v>
      </c>
      <c r="G43" s="494">
        <f>ROUND(IF(G13&gt;0,(INDEX(Tarefas!$AS:$AS,MATCH($A43,Tarefas!$N:$N,0))),0),2)</f>
        <v>38720.400000000001</v>
      </c>
      <c r="H43" s="494">
        <f>ROUND(IF(H13&gt;0,(INDEX(Tarefas!$AS:$AS,MATCH($A43,Tarefas!$N:$N,0))),0),2)</f>
        <v>38720.400000000001</v>
      </c>
      <c r="I43" s="494">
        <f>ROUND(IF(I13&gt;0,(INDEX(Tarefas!$AS:$AS,MATCH($A43,Tarefas!$N:$N,0))),0),2)</f>
        <v>38720.400000000001</v>
      </c>
      <c r="J43" s="494">
        <f>ROUND(IF(J13&gt;0,(INDEX(Tarefas!$AS:$AS,MATCH($A43,Tarefas!$N:$N,0))),0),2)</f>
        <v>38720.400000000001</v>
      </c>
      <c r="K43" s="494">
        <f>ROUND(IF(K13&gt;0,(INDEX(Tarefas!$AS:$AS,MATCH($A43,Tarefas!$N:$N,0))),0),2)</f>
        <v>38720.400000000001</v>
      </c>
      <c r="L43" s="494">
        <f>ROUND(IF(L13&gt;0,(INDEX(Tarefas!$AS:$AS,MATCH($A43,Tarefas!$N:$N,0))),0),2)</f>
        <v>0</v>
      </c>
      <c r="M43" s="494">
        <f>ROUND(IF(M13&gt;0,(INDEX(Tarefas!$AS:$AS,MATCH($A43,Tarefas!$N:$N,0))),0),2)</f>
        <v>0</v>
      </c>
      <c r="N43" s="494">
        <f>ROUND(IF(N13&gt;0,(INDEX(Tarefas!$AS:$AS,MATCH($A43,Tarefas!$N:$N,0))),0),2)</f>
        <v>0</v>
      </c>
      <c r="O43" s="494">
        <f>ROUND(IF(O13&gt;0,(INDEX(Tarefas!$AS:$AS,MATCH($A43,Tarefas!$N:$N,0))),0),2)</f>
        <v>0</v>
      </c>
      <c r="P43" s="494">
        <f>ROUND(IF(P13&gt;0,(INDEX(Tarefas!$AS:$AS,MATCH($A43,Tarefas!$N:$N,0))),0),2)</f>
        <v>0</v>
      </c>
      <c r="Q43" s="494">
        <f>ROUND(IF(Q13&gt;0,(INDEX(Tarefas!$AS:$AS,MATCH($A43,Tarefas!$N:$N,0))),0),2)</f>
        <v>0</v>
      </c>
      <c r="R43" s="494">
        <f>ROUND(IF(R13&gt;0,(INDEX(Tarefas!$AS:$AS,MATCH($A43,Tarefas!$N:$N,0))),0),2)</f>
        <v>0</v>
      </c>
      <c r="S43" s="494">
        <f>ROUND(IF(S13&gt;0,(INDEX(Tarefas!$AS:$AS,MATCH($A43,Tarefas!$N:$N,0))),0),2)</f>
        <v>0</v>
      </c>
      <c r="T43" s="494">
        <f>ROUND(IF(T13&gt;0,(INDEX(Tarefas!$AS:$AS,MATCH($A43,Tarefas!$N:$N,0))),0),2)</f>
        <v>0</v>
      </c>
    </row>
    <row r="44" spans="1:20" ht="30.95">
      <c r="A44" s="489" t="s">
        <v>171</v>
      </c>
      <c r="B44" s="502" t="str">
        <f>IFERROR(INDEX(Tarefas!F:F,MATCH(A44,Tarefas!N:N,0)),"")</f>
        <v>Arquiteto Pl. ( Gestão de projetos) - Remoto ( Supervisor) - 50%</v>
      </c>
      <c r="C44" s="494">
        <f t="shared" si="5"/>
        <v>47183.66</v>
      </c>
      <c r="D44" s="494">
        <f>ROUND(IF(D14&gt;0,(INDEX(Tarefas!$AS:$AS,MATCH($A44,Tarefas!$N:$N,0))),0),2)</f>
        <v>0</v>
      </c>
      <c r="E44" s="494">
        <f>ROUND(IF(E14&gt;0,(INDEX(Tarefas!$AS:$AS,MATCH($A44,Tarefas!$N:$N,0))),0),2)</f>
        <v>0</v>
      </c>
      <c r="F44" s="494">
        <f>ROUND(IF(F14&gt;0,(INDEX(Tarefas!$AS:$AS,MATCH($A44,Tarefas!$N:$N,0))),0),2)</f>
        <v>0</v>
      </c>
      <c r="G44" s="494">
        <f>ROUND(IF(G14&gt;0,(INDEX(Tarefas!$AS:$AS,MATCH($A44,Tarefas!$N:$N,0))),0),2)</f>
        <v>0</v>
      </c>
      <c r="H44" s="494">
        <f>ROUND(IF(H14&gt;0,(INDEX(Tarefas!$AS:$AS,MATCH($A44,Tarefas!$N:$N,0))),0),2)</f>
        <v>0</v>
      </c>
      <c r="I44" s="494">
        <f>ROUND(IF(I14&gt;0,(INDEX(Tarefas!$AS:$AS,MATCH($A44,Tarefas!$N:$N,0))),0),2)</f>
        <v>0</v>
      </c>
      <c r="J44" s="494">
        <f>ROUND(IF(J14&gt;0,(INDEX(Tarefas!$AS:$AS,MATCH($A44,Tarefas!$N:$N,0))),0),2)</f>
        <v>0</v>
      </c>
      <c r="K44" s="494">
        <f>ROUND(IF(K14&gt;0,(INDEX(Tarefas!$AS:$AS,MATCH($A44,Tarefas!$N:$N,0))),0),2)</f>
        <v>0</v>
      </c>
      <c r="L44" s="494">
        <f>ROUND(IF(L14&gt;0,(INDEX(Tarefas!$AS:$AS,MATCH($A44,Tarefas!$N:$N,0))),0),2)</f>
        <v>23591.83</v>
      </c>
      <c r="M44" s="494">
        <f>ROUND(IF(M14&gt;0,(INDEX(Tarefas!$AS:$AS,MATCH($A44,Tarefas!$N:$N,0))),0),2)</f>
        <v>23591.83</v>
      </c>
      <c r="N44" s="494">
        <f>ROUND(IF(N14&gt;0,(INDEX(Tarefas!$AS:$AS,MATCH($A44,Tarefas!$N:$N,0))),0),2)</f>
        <v>0</v>
      </c>
      <c r="O44" s="494">
        <f>ROUND(IF(O14&gt;0,(INDEX(Tarefas!$AS:$AS,MATCH($A44,Tarefas!$N:$N,0))),0),2)</f>
        <v>0</v>
      </c>
      <c r="P44" s="494">
        <f>ROUND(IF(P14&gt;0,(INDEX(Tarefas!$AS:$AS,MATCH($A44,Tarefas!$N:$N,0))),0),2)</f>
        <v>0</v>
      </c>
      <c r="Q44" s="494">
        <f>ROUND(IF(Q14&gt;0,(INDEX(Tarefas!$AS:$AS,MATCH($A44,Tarefas!$N:$N,0))),0),2)</f>
        <v>0</v>
      </c>
      <c r="R44" s="494">
        <f>ROUND(IF(R14&gt;0,(INDEX(Tarefas!$AS:$AS,MATCH($A44,Tarefas!$N:$N,0))),0),2)</f>
        <v>0</v>
      </c>
      <c r="S44" s="494">
        <f>ROUND(IF(S14&gt;0,(INDEX(Tarefas!$AS:$AS,MATCH($A44,Tarefas!$N:$N,0))),0),2)</f>
        <v>0</v>
      </c>
      <c r="T44" s="494">
        <f>ROUND(IF(T14&gt;0,(INDEX(Tarefas!$AS:$AS,MATCH($A44,Tarefas!$N:$N,0))),0),2)</f>
        <v>0</v>
      </c>
    </row>
    <row r="45" spans="1:20">
      <c r="A45" s="489" t="s">
        <v>172</v>
      </c>
      <c r="B45" s="502" t="str">
        <f>IFERROR(INDEX(Tarefas!F:F,MATCH(A45,Tarefas!N:N,0)),"")</f>
        <v xml:space="preserve">Técnico de Segurança </v>
      </c>
      <c r="C45" s="494">
        <f t="shared" si="5"/>
        <v>212325.80000000005</v>
      </c>
      <c r="D45" s="494">
        <f>ROUND(IF(D15&gt;0,(INDEX(Tarefas!$AS:$AS,MATCH($A45,Tarefas!$N:$N,0))),0),2)</f>
        <v>21232.58</v>
      </c>
      <c r="E45" s="494">
        <f>ROUND(IF(E15&gt;0,(INDEX(Tarefas!$AS:$AS,MATCH($A45,Tarefas!$N:$N,0))),0),2)</f>
        <v>21232.58</v>
      </c>
      <c r="F45" s="494">
        <f>ROUND(IF(F15&gt;0,(INDEX(Tarefas!$AS:$AS,MATCH($A45,Tarefas!$N:$N,0))),0),2)</f>
        <v>21232.58</v>
      </c>
      <c r="G45" s="494">
        <f>ROUND(IF(G15&gt;0,(INDEX(Tarefas!$AS:$AS,MATCH($A45,Tarefas!$N:$N,0))),0),2)</f>
        <v>21232.58</v>
      </c>
      <c r="H45" s="494">
        <f>ROUND(IF(H15&gt;0,(INDEX(Tarefas!$AS:$AS,MATCH($A45,Tarefas!$N:$N,0))),0),2)</f>
        <v>21232.58</v>
      </c>
      <c r="I45" s="494">
        <f>ROUND(IF(I15&gt;0,(INDEX(Tarefas!$AS:$AS,MATCH($A45,Tarefas!$N:$N,0))),0),2)</f>
        <v>21232.58</v>
      </c>
      <c r="J45" s="494">
        <f>ROUND(IF(J15&gt;0,(INDEX(Tarefas!$AS:$AS,MATCH($A45,Tarefas!$N:$N,0))),0),2)</f>
        <v>21232.58</v>
      </c>
      <c r="K45" s="494">
        <f>ROUND(IF(K15&gt;0,(INDEX(Tarefas!$AS:$AS,MATCH($A45,Tarefas!$N:$N,0))),0),2)</f>
        <v>21232.58</v>
      </c>
      <c r="L45" s="494">
        <f>ROUND(IF(L15&gt;0,(INDEX(Tarefas!$AS:$AS,MATCH($A45,Tarefas!$N:$N,0))),0),2)</f>
        <v>21232.58</v>
      </c>
      <c r="M45" s="494">
        <f>ROUND(IF(M15&gt;0,(INDEX(Tarefas!$AS:$AS,MATCH($A45,Tarefas!$N:$N,0))),0),2)</f>
        <v>21232.58</v>
      </c>
      <c r="N45" s="494">
        <f>ROUND(IF(N15&gt;0,(INDEX(Tarefas!$AS:$AS,MATCH($A45,Tarefas!$N:$N,0))),0),2)</f>
        <v>0</v>
      </c>
      <c r="O45" s="494">
        <f>ROUND(IF(O15&gt;0,(INDEX(Tarefas!$AS:$AS,MATCH($A45,Tarefas!$N:$N,0))),0),2)</f>
        <v>0</v>
      </c>
      <c r="P45" s="494">
        <f>ROUND(IF(P15&gt;0,(INDEX(Tarefas!$AS:$AS,MATCH($A45,Tarefas!$N:$N,0))),0),2)</f>
        <v>0</v>
      </c>
      <c r="Q45" s="494">
        <f>ROUND(IF(Q15&gt;0,(INDEX(Tarefas!$AS:$AS,MATCH($A45,Tarefas!$N:$N,0))),0),2)</f>
        <v>0</v>
      </c>
      <c r="R45" s="494">
        <f>ROUND(IF(R15&gt;0,(INDEX(Tarefas!$AS:$AS,MATCH($A45,Tarefas!$N:$N,0))),0),2)</f>
        <v>0</v>
      </c>
      <c r="S45" s="494">
        <f>ROUND(IF(S15&gt;0,(INDEX(Tarefas!$AS:$AS,MATCH($A45,Tarefas!$N:$N,0))),0),2)</f>
        <v>0</v>
      </c>
      <c r="T45" s="494">
        <f>ROUND(IF(T15&gt;0,(INDEX(Tarefas!$AS:$AS,MATCH($A45,Tarefas!$N:$N,0))),0),2)</f>
        <v>0</v>
      </c>
    </row>
    <row r="46" spans="1:20" ht="30.95" hidden="1">
      <c r="A46" s="489" t="s">
        <v>173</v>
      </c>
      <c r="B46" s="502" t="str">
        <f>IFERROR(INDEX(Tarefas!F:F,MATCH(A46,Tarefas!N:N,0)),"")</f>
        <v>Gerrente de Obras - 5% - Considerado equipe diluida nas linhas com 10 meses</v>
      </c>
      <c r="C46" s="494">
        <f t="shared" si="5"/>
        <v>0</v>
      </c>
      <c r="D46" s="494">
        <f>ROUND(IF(D16&gt;0,(INDEX(Tarefas!$AS:$AS,MATCH($A46,Tarefas!$N:$N,0))),0),2)</f>
        <v>0</v>
      </c>
      <c r="E46" s="494">
        <f>ROUND(IF(E16&gt;0,(INDEX(Tarefas!$AS:$AS,MATCH($A46,Tarefas!$N:$N,0))),0),2)</f>
        <v>0</v>
      </c>
      <c r="F46" s="494">
        <f>ROUND(IF(F16&gt;0,(INDEX(Tarefas!$AS:$AS,MATCH($A46,Tarefas!$N:$N,0))),0),2)</f>
        <v>0</v>
      </c>
      <c r="G46" s="494">
        <f>ROUND(IF(G16&gt;0,(INDEX(Tarefas!$AS:$AS,MATCH($A46,Tarefas!$N:$N,0))),0),2)</f>
        <v>0</v>
      </c>
      <c r="H46" s="494">
        <f>ROUND(IF(H16&gt;0,(INDEX(Tarefas!$AS:$AS,MATCH($A46,Tarefas!$N:$N,0))),0),2)</f>
        <v>0</v>
      </c>
      <c r="I46" s="494">
        <f>ROUND(IF(I16&gt;0,(INDEX(Tarefas!$AS:$AS,MATCH($A46,Tarefas!$N:$N,0))),0),2)</f>
        <v>0</v>
      </c>
      <c r="J46" s="494">
        <f>ROUND(IF(J16&gt;0,(INDEX(Tarefas!$AS:$AS,MATCH($A46,Tarefas!$N:$N,0))),0),2)</f>
        <v>0</v>
      </c>
      <c r="K46" s="494">
        <f>ROUND(IF(K16&gt;0,(INDEX(Tarefas!$AS:$AS,MATCH($A46,Tarefas!$N:$N,0))),0),2)</f>
        <v>0</v>
      </c>
      <c r="L46" s="494">
        <f>ROUND(IF(L16&gt;0,(INDEX(Tarefas!$AS:$AS,MATCH($A46,Tarefas!$N:$N,0))),0),2)</f>
        <v>0</v>
      </c>
      <c r="M46" s="494">
        <f>ROUND(IF(M16&gt;0,(INDEX(Tarefas!$AS:$AS,MATCH($A46,Tarefas!$N:$N,0))),0),2)</f>
        <v>0</v>
      </c>
      <c r="N46" s="494">
        <f>ROUND(IF(N16&gt;0,(INDEX(Tarefas!$AS:$AS,MATCH($A46,Tarefas!$N:$N,0))),0),2)</f>
        <v>0</v>
      </c>
      <c r="O46" s="494">
        <f>ROUND(IF(O16&gt;0,(INDEX(Tarefas!$AS:$AS,MATCH($A46,Tarefas!$N:$N,0))),0),2)</f>
        <v>0</v>
      </c>
      <c r="P46" s="494">
        <f>ROUND(IF(P16&gt;0,(INDEX(Tarefas!$AS:$AS,MATCH($A46,Tarefas!$N:$N,0))),0),2)</f>
        <v>0</v>
      </c>
      <c r="Q46" s="494">
        <f>ROUND(IF(Q16&gt;0,(INDEX(Tarefas!$AS:$AS,MATCH($A46,Tarefas!$N:$N,0))),0),2)</f>
        <v>0</v>
      </c>
      <c r="R46" s="494">
        <f>ROUND(IF(R16&gt;0,(INDEX(Tarefas!$AS:$AS,MATCH($A46,Tarefas!$N:$N,0))),0),2)</f>
        <v>0</v>
      </c>
      <c r="S46" s="494">
        <f>ROUND(IF(S16&gt;0,(INDEX(Tarefas!$AS:$AS,MATCH($A46,Tarefas!$N:$N,0))),0),2)</f>
        <v>0</v>
      </c>
      <c r="T46" s="494">
        <f>ROUND(IF(T16&gt;0,(INDEX(Tarefas!$AS:$AS,MATCH($A46,Tarefas!$N:$N,0))),0),2)</f>
        <v>0</v>
      </c>
    </row>
    <row r="47" spans="1:20" ht="30.95" hidden="1">
      <c r="A47" s="489" t="s">
        <v>174</v>
      </c>
      <c r="B47" s="502" t="str">
        <f>IFERROR(INDEX(Tarefas!F:F,MATCH(A47,Tarefas!N:N,0)),"")</f>
        <v>Engenheiro de Segurança - 5% - Considerado equipe diluida nas linhas com 10 meses</v>
      </c>
      <c r="C47" s="494">
        <f t="shared" si="5"/>
        <v>0</v>
      </c>
      <c r="D47" s="494">
        <f>ROUND(IF(D17&gt;0,(INDEX(Tarefas!$AS:$AS,MATCH($A47,Tarefas!$N:$N,0))),0),2)</f>
        <v>0</v>
      </c>
      <c r="E47" s="494">
        <f>ROUND(IF(E17&gt;0,(INDEX(Tarefas!$AS:$AS,MATCH($A47,Tarefas!$N:$N,0))),0),2)</f>
        <v>0</v>
      </c>
      <c r="F47" s="494">
        <f>ROUND(IF(F17&gt;0,(INDEX(Tarefas!$AS:$AS,MATCH($A47,Tarefas!$N:$N,0))),0),2)</f>
        <v>0</v>
      </c>
      <c r="G47" s="494">
        <f>ROUND(IF(G17&gt;0,(INDEX(Tarefas!$AS:$AS,MATCH($A47,Tarefas!$N:$N,0))),0),2)</f>
        <v>0</v>
      </c>
      <c r="H47" s="494">
        <f>ROUND(IF(H17&gt;0,(INDEX(Tarefas!$AS:$AS,MATCH($A47,Tarefas!$N:$N,0))),0),2)</f>
        <v>0</v>
      </c>
      <c r="I47" s="494">
        <f>ROUND(IF(I17&gt;0,(INDEX(Tarefas!$AS:$AS,MATCH($A47,Tarefas!$N:$N,0))),0),2)</f>
        <v>0</v>
      </c>
      <c r="J47" s="494">
        <f>ROUND(IF(J17&gt;0,(INDEX(Tarefas!$AS:$AS,MATCH($A47,Tarefas!$N:$N,0))),0),2)</f>
        <v>0</v>
      </c>
      <c r="K47" s="494">
        <f>ROUND(IF(K17&gt;0,(INDEX(Tarefas!$AS:$AS,MATCH($A47,Tarefas!$N:$N,0))),0),2)</f>
        <v>0</v>
      </c>
      <c r="L47" s="494">
        <f>ROUND(IF(L17&gt;0,(INDEX(Tarefas!$AS:$AS,MATCH($A47,Tarefas!$N:$N,0))),0),2)</f>
        <v>0</v>
      </c>
      <c r="M47" s="494">
        <f>ROUND(IF(M17&gt;0,(INDEX(Tarefas!$AS:$AS,MATCH($A47,Tarefas!$N:$N,0))),0),2)</f>
        <v>0</v>
      </c>
      <c r="N47" s="494">
        <f>ROUND(IF(N17&gt;0,(INDEX(Tarefas!$AS:$AS,MATCH($A47,Tarefas!$N:$N,0))),0),2)</f>
        <v>0</v>
      </c>
      <c r="O47" s="494">
        <f>ROUND(IF(O17&gt;0,(INDEX(Tarefas!$AS:$AS,MATCH($A47,Tarefas!$N:$N,0))),0),2)</f>
        <v>0</v>
      </c>
      <c r="P47" s="494">
        <f>ROUND(IF(P17&gt;0,(INDEX(Tarefas!$AS:$AS,MATCH($A47,Tarefas!$N:$N,0))),0),2)</f>
        <v>0</v>
      </c>
      <c r="Q47" s="494">
        <f>ROUND(IF(Q17&gt;0,(INDEX(Tarefas!$AS:$AS,MATCH($A47,Tarefas!$N:$N,0))),0),2)</f>
        <v>0</v>
      </c>
      <c r="R47" s="494">
        <f>ROUND(IF(R17&gt;0,(INDEX(Tarefas!$AS:$AS,MATCH($A47,Tarefas!$N:$N,0))),0),2)</f>
        <v>0</v>
      </c>
      <c r="S47" s="494">
        <f>ROUND(IF(S17&gt;0,(INDEX(Tarefas!$AS:$AS,MATCH($A47,Tarefas!$N:$N,0))),0),2)</f>
        <v>0</v>
      </c>
      <c r="T47" s="494">
        <f>ROUND(IF(T17&gt;0,(INDEX(Tarefas!$AS:$AS,MATCH($A47,Tarefas!$N:$N,0))),0),2)</f>
        <v>0</v>
      </c>
    </row>
    <row r="48" spans="1:20" hidden="1">
      <c r="A48" s="489" t="s">
        <v>175</v>
      </c>
      <c r="B48" s="502" t="str">
        <f>IFERROR(INDEX(Tarefas!F:F,MATCH(A48,Tarefas!N:N,0)),"")</f>
        <v>Coordenador de Arquitetura - Excluso</v>
      </c>
      <c r="C48" s="494">
        <f t="shared" si="5"/>
        <v>0</v>
      </c>
      <c r="D48" s="494">
        <f>ROUND(IF(D18&gt;0,(INDEX(Tarefas!$AS:$AS,MATCH($A48,Tarefas!$N:$N,0))),0),2)</f>
        <v>0</v>
      </c>
      <c r="E48" s="494">
        <f>ROUND(IF(E18&gt;0,(INDEX(Tarefas!$AS:$AS,MATCH($A48,Tarefas!$N:$N,0))),0),2)</f>
        <v>0</v>
      </c>
      <c r="F48" s="494">
        <f>ROUND(IF(F18&gt;0,(INDEX(Tarefas!$AS:$AS,MATCH($A48,Tarefas!$N:$N,0))),0),2)</f>
        <v>0</v>
      </c>
      <c r="G48" s="494">
        <f>ROUND(IF(G18&gt;0,(INDEX(Tarefas!$AS:$AS,MATCH($A48,Tarefas!$N:$N,0))),0),2)</f>
        <v>0</v>
      </c>
      <c r="H48" s="494">
        <f>ROUND(IF(H18&gt;0,(INDEX(Tarefas!$AS:$AS,MATCH($A48,Tarefas!$N:$N,0))),0),2)</f>
        <v>0</v>
      </c>
      <c r="I48" s="494">
        <f>ROUND(IF(I18&gt;0,(INDEX(Tarefas!$AS:$AS,MATCH($A48,Tarefas!$N:$N,0))),0),2)</f>
        <v>0</v>
      </c>
      <c r="J48" s="494">
        <f>ROUND(IF(J18&gt;0,(INDEX(Tarefas!$AS:$AS,MATCH($A48,Tarefas!$N:$N,0))),0),2)</f>
        <v>0</v>
      </c>
      <c r="K48" s="494">
        <f>ROUND(IF(K18&gt;0,(INDEX(Tarefas!$AS:$AS,MATCH($A48,Tarefas!$N:$N,0))),0),2)</f>
        <v>0</v>
      </c>
      <c r="L48" s="494">
        <f>ROUND(IF(L18&gt;0,(INDEX(Tarefas!$AS:$AS,MATCH($A48,Tarefas!$N:$N,0))),0),2)</f>
        <v>0</v>
      </c>
      <c r="M48" s="494">
        <f>ROUND(IF(M18&gt;0,(INDEX(Tarefas!$AS:$AS,MATCH($A48,Tarefas!$N:$N,0))),0),2)</f>
        <v>0</v>
      </c>
      <c r="N48" s="494">
        <f>ROUND(IF(N18&gt;0,(INDEX(Tarefas!$AS:$AS,MATCH($A48,Tarefas!$N:$N,0))),0),2)</f>
        <v>0</v>
      </c>
      <c r="O48" s="494">
        <f>ROUND(IF(O18&gt;0,(INDEX(Tarefas!$AS:$AS,MATCH($A48,Tarefas!$N:$N,0))),0),2)</f>
        <v>0</v>
      </c>
      <c r="P48" s="494">
        <f>ROUND(IF(P18&gt;0,(INDEX(Tarefas!$AS:$AS,MATCH($A48,Tarefas!$N:$N,0))),0),2)</f>
        <v>0</v>
      </c>
      <c r="Q48" s="494">
        <f>ROUND(IF(Q18&gt;0,(INDEX(Tarefas!$AS:$AS,MATCH($A48,Tarefas!$N:$N,0))),0),2)</f>
        <v>0</v>
      </c>
      <c r="R48" s="494">
        <f>ROUND(IF(R18&gt;0,(INDEX(Tarefas!$AS:$AS,MATCH($A48,Tarefas!$N:$N,0))),0),2)</f>
        <v>0</v>
      </c>
      <c r="S48" s="494">
        <f>ROUND(IF(S18&gt;0,(INDEX(Tarefas!$AS:$AS,MATCH($A48,Tarefas!$N:$N,0))),0),2)</f>
        <v>0</v>
      </c>
      <c r="T48" s="494">
        <f>ROUND(IF(T18&gt;0,(INDEX(Tarefas!$AS:$AS,MATCH($A48,Tarefas!$N:$N,0))),0),2)</f>
        <v>0</v>
      </c>
    </row>
    <row r="49" spans="1:20" ht="30.95" hidden="1">
      <c r="A49" s="489" t="s">
        <v>167</v>
      </c>
      <c r="B49" s="502" t="str">
        <f>IFERROR(INDEX(Tarefas!F:F,MATCH(A49,Tarefas!N:N,0)),"")</f>
        <v>Engenheiro Pl. de Planejamento, Qualidade e Custos ( Supervisor) - Full time</v>
      </c>
      <c r="C49" s="494">
        <f t="shared" si="5"/>
        <v>0</v>
      </c>
      <c r="D49" s="494">
        <f>ROUND(IF(D19&gt;0,(INDEX(Tarefas!$AS:$AS,MATCH($A49,Tarefas!$N:$N,0))),0),2)</f>
        <v>0</v>
      </c>
      <c r="E49" s="494">
        <f>ROUND(IF(E19&gt;0,(INDEX(Tarefas!$AS:$AS,MATCH($A49,Tarefas!$N:$N,0))),0),2)</f>
        <v>0</v>
      </c>
      <c r="F49" s="494">
        <f>ROUND(IF(F19&gt;0,(INDEX(Tarefas!$AS:$AS,MATCH($A49,Tarefas!$N:$N,0))),0),2)</f>
        <v>0</v>
      </c>
      <c r="G49" s="494">
        <f>ROUND(IF(G19&gt;0,(INDEX(Tarefas!$AS:$AS,MATCH($A49,Tarefas!$N:$N,0))),0),2)</f>
        <v>0</v>
      </c>
      <c r="H49" s="494">
        <f>ROUND(IF(H19&gt;0,(INDEX(Tarefas!$AS:$AS,MATCH($A49,Tarefas!$N:$N,0))),0),2)</f>
        <v>0</v>
      </c>
      <c r="I49" s="494">
        <f>ROUND(IF(I19&gt;0,(INDEX(Tarefas!$AS:$AS,MATCH($A49,Tarefas!$N:$N,0))),0),2)</f>
        <v>0</v>
      </c>
      <c r="J49" s="494">
        <f>ROUND(IF(J19&gt;0,(INDEX(Tarefas!$AS:$AS,MATCH($A49,Tarefas!$N:$N,0))),0),2)</f>
        <v>0</v>
      </c>
      <c r="K49" s="494">
        <f>ROUND(IF(K19&gt;0,(INDEX(Tarefas!$AS:$AS,MATCH($A49,Tarefas!$N:$N,0))),0),2)</f>
        <v>0</v>
      </c>
      <c r="L49" s="494">
        <f>ROUND(IF(L19&gt;0,(INDEX(Tarefas!$AS:$AS,MATCH($A49,Tarefas!$N:$N,0))),0),2)</f>
        <v>0</v>
      </c>
      <c r="M49" s="494">
        <f>ROUND(IF(M19&gt;0,(INDEX(Tarefas!$AS:$AS,MATCH($A49,Tarefas!$N:$N,0))),0),2)</f>
        <v>0</v>
      </c>
      <c r="N49" s="494">
        <f>ROUND(IF(N19&gt;0,(INDEX(Tarefas!$AS:$AS,MATCH($A49,Tarefas!$N:$N,0))),0),2)</f>
        <v>0</v>
      </c>
      <c r="O49" s="494">
        <f>ROUND(IF(O19&gt;0,(INDEX(Tarefas!$AS:$AS,MATCH($A49,Tarefas!$N:$N,0))),0),2)</f>
        <v>0</v>
      </c>
      <c r="P49" s="494">
        <f>ROUND(IF(P19&gt;0,(INDEX(Tarefas!$AS:$AS,MATCH($A49,Tarefas!$N:$N,0))),0),2)</f>
        <v>0</v>
      </c>
      <c r="Q49" s="494">
        <f>ROUND(IF(Q19&gt;0,(INDEX(Tarefas!$AS:$AS,MATCH($A49,Tarefas!$N:$N,0))),0),2)</f>
        <v>0</v>
      </c>
      <c r="R49" s="494">
        <f>ROUND(IF(R19&gt;0,(INDEX(Tarefas!$AS:$AS,MATCH($A49,Tarefas!$N:$N,0))),0),2)</f>
        <v>0</v>
      </c>
      <c r="S49" s="494">
        <f>ROUND(IF(S19&gt;0,(INDEX(Tarefas!$AS:$AS,MATCH($A49,Tarefas!$N:$N,0))),0),2)</f>
        <v>0</v>
      </c>
      <c r="T49" s="494">
        <f>ROUND(IF(T19&gt;0,(INDEX(Tarefas!$AS:$AS,MATCH($A49,Tarefas!$N:$N,0))),0),2)</f>
        <v>0</v>
      </c>
    </row>
    <row r="50" spans="1:20" hidden="1">
      <c r="A50" s="489" t="s">
        <v>176</v>
      </c>
      <c r="B50" s="502" t="str">
        <f>IFERROR(INDEX(Tarefas!F:F,MATCH(A50,Tarefas!N:N,0)),"")</f>
        <v>N/A</v>
      </c>
      <c r="C50" s="494">
        <f t="shared" si="5"/>
        <v>0</v>
      </c>
      <c r="D50" s="494">
        <f>ROUND(IF(D20&gt;0,(INDEX(Tarefas!$AS:$AS,MATCH($A50,Tarefas!$N:$N,0))),0),2)</f>
        <v>0</v>
      </c>
      <c r="E50" s="494">
        <f>ROUND(IF(E20&gt;0,(INDEX(Tarefas!$AS:$AS,MATCH($A50,Tarefas!$N:$N,0))),0),2)</f>
        <v>0</v>
      </c>
      <c r="F50" s="494">
        <f>ROUND(IF(F20&gt;0,(INDEX(Tarefas!$AS:$AS,MATCH($A50,Tarefas!$N:$N,0))),0),2)</f>
        <v>0</v>
      </c>
      <c r="G50" s="494">
        <f>ROUND(IF(G20&gt;0,(INDEX(Tarefas!$AS:$AS,MATCH($A50,Tarefas!$N:$N,0))),0),2)</f>
        <v>0</v>
      </c>
      <c r="H50" s="494">
        <f>ROUND(IF(H20&gt;0,(INDEX(Tarefas!$AS:$AS,MATCH($A50,Tarefas!$N:$N,0))),0),2)</f>
        <v>0</v>
      </c>
      <c r="I50" s="494">
        <f>ROUND(IF(I20&gt;0,(INDEX(Tarefas!$AS:$AS,MATCH($A50,Tarefas!$N:$N,0))),0),2)</f>
        <v>0</v>
      </c>
      <c r="J50" s="494">
        <f>ROUND(IF(J20&gt;0,(INDEX(Tarefas!$AS:$AS,MATCH($A50,Tarefas!$N:$N,0))),0),2)</f>
        <v>0</v>
      </c>
      <c r="K50" s="494">
        <f>ROUND(IF(K20&gt;0,(INDEX(Tarefas!$AS:$AS,MATCH($A50,Tarefas!$N:$N,0))),0),2)</f>
        <v>0</v>
      </c>
      <c r="L50" s="494">
        <f>ROUND(IF(L20&gt;0,(INDEX(Tarefas!$AS:$AS,MATCH($A50,Tarefas!$N:$N,0))),0),2)</f>
        <v>0</v>
      </c>
      <c r="M50" s="494">
        <f>ROUND(IF(M20&gt;0,(INDEX(Tarefas!$AS:$AS,MATCH($A50,Tarefas!$N:$N,0))),0),2)</f>
        <v>0</v>
      </c>
      <c r="N50" s="494">
        <f>ROUND(IF(N20&gt;0,(INDEX(Tarefas!$AS:$AS,MATCH($A50,Tarefas!$N:$N,0))),0),2)</f>
        <v>0</v>
      </c>
      <c r="O50" s="494">
        <f>ROUND(IF(O20&gt;0,(INDEX(Tarefas!$AS:$AS,MATCH($A50,Tarefas!$N:$N,0))),0),2)</f>
        <v>0</v>
      </c>
      <c r="P50" s="494">
        <f>ROUND(IF(P20&gt;0,(INDEX(Tarefas!$AS:$AS,MATCH($A50,Tarefas!$N:$N,0))),0),2)</f>
        <v>0</v>
      </c>
      <c r="Q50" s="494">
        <f>ROUND(IF(Q20&gt;0,(INDEX(Tarefas!$AS:$AS,MATCH($A50,Tarefas!$N:$N,0))),0),2)</f>
        <v>0</v>
      </c>
      <c r="R50" s="494">
        <f>ROUND(IF(R20&gt;0,(INDEX(Tarefas!$AS:$AS,MATCH($A50,Tarefas!$N:$N,0))),0),2)</f>
        <v>0</v>
      </c>
      <c r="S50" s="494">
        <f>ROUND(IF(S20&gt;0,(INDEX(Tarefas!$AS:$AS,MATCH($A50,Tarefas!$N:$N,0))),0),2)</f>
        <v>0</v>
      </c>
      <c r="T50" s="494">
        <f>ROUND(IF(T20&gt;0,(INDEX(Tarefas!$AS:$AS,MATCH($A50,Tarefas!$N:$N,0))),0),2)</f>
        <v>0</v>
      </c>
    </row>
    <row r="51" spans="1:20" hidden="1">
      <c r="A51" s="489" t="s">
        <v>177</v>
      </c>
      <c r="B51" s="502" t="str">
        <f>IFERROR(INDEX(Tarefas!F:F,MATCH(A51,Tarefas!N:N,0)),"")</f>
        <v>N/A</v>
      </c>
      <c r="C51" s="494">
        <f t="shared" si="5"/>
        <v>0</v>
      </c>
      <c r="D51" s="494">
        <f>ROUND(IF(D21&gt;0,(INDEX(Tarefas!$AS:$AS,MATCH($A51,Tarefas!$N:$N,0))),0),2)</f>
        <v>0</v>
      </c>
      <c r="E51" s="494">
        <f>ROUND(IF(E21&gt;0,(INDEX(Tarefas!$AS:$AS,MATCH($A51,Tarefas!$N:$N,0))),0),2)</f>
        <v>0</v>
      </c>
      <c r="F51" s="494">
        <f>ROUND(IF(F21&gt;0,(INDEX(Tarefas!$AS:$AS,MATCH($A51,Tarefas!$N:$N,0))),0),2)</f>
        <v>0</v>
      </c>
      <c r="G51" s="494">
        <f>ROUND(IF(G21&gt;0,(INDEX(Tarefas!$AS:$AS,MATCH($A51,Tarefas!$N:$N,0))),0),2)</f>
        <v>0</v>
      </c>
      <c r="H51" s="494">
        <f>ROUND(IF(H21&gt;0,(INDEX(Tarefas!$AS:$AS,MATCH($A51,Tarefas!$N:$N,0))),0),2)</f>
        <v>0</v>
      </c>
      <c r="I51" s="494">
        <f>ROUND(IF(I21&gt;0,(INDEX(Tarefas!$AS:$AS,MATCH($A51,Tarefas!$N:$N,0))),0),2)</f>
        <v>0</v>
      </c>
      <c r="J51" s="494">
        <f>ROUND(IF(J21&gt;0,(INDEX(Tarefas!$AS:$AS,MATCH($A51,Tarefas!$N:$N,0))),0),2)</f>
        <v>0</v>
      </c>
      <c r="K51" s="494">
        <f>ROUND(IF(K21&gt;0,(INDEX(Tarefas!$AS:$AS,MATCH($A51,Tarefas!$N:$N,0))),0),2)</f>
        <v>0</v>
      </c>
      <c r="L51" s="494">
        <f>ROUND(IF(L21&gt;0,(INDEX(Tarefas!$AS:$AS,MATCH($A51,Tarefas!$N:$N,0))),0),2)</f>
        <v>0</v>
      </c>
      <c r="M51" s="494">
        <f>ROUND(IF(M21&gt;0,(INDEX(Tarefas!$AS:$AS,MATCH($A51,Tarefas!$N:$N,0))),0),2)</f>
        <v>0</v>
      </c>
      <c r="N51" s="494">
        <f>ROUND(IF(N21&gt;0,(INDEX(Tarefas!$AS:$AS,MATCH($A51,Tarefas!$N:$N,0))),0),2)</f>
        <v>0</v>
      </c>
      <c r="O51" s="494">
        <f>ROUND(IF(O21&gt;0,(INDEX(Tarefas!$AS:$AS,MATCH($A51,Tarefas!$N:$N,0))),0),2)</f>
        <v>0</v>
      </c>
      <c r="P51" s="494">
        <f>ROUND(IF(P21&gt;0,(INDEX(Tarefas!$AS:$AS,MATCH($A51,Tarefas!$N:$N,0))),0),2)</f>
        <v>0</v>
      </c>
      <c r="Q51" s="494">
        <f>ROUND(IF(Q21&gt;0,(INDEX(Tarefas!$AS:$AS,MATCH($A51,Tarefas!$N:$N,0))),0),2)</f>
        <v>0</v>
      </c>
      <c r="R51" s="494">
        <f>ROUND(IF(R21&gt;0,(INDEX(Tarefas!$AS:$AS,MATCH($A51,Tarefas!$N:$N,0))),0),2)</f>
        <v>0</v>
      </c>
      <c r="S51" s="494">
        <f>ROUND(IF(S21&gt;0,(INDEX(Tarefas!$AS:$AS,MATCH($A51,Tarefas!$N:$N,0))),0),2)</f>
        <v>0</v>
      </c>
      <c r="T51" s="494">
        <f>ROUND(IF(T21&gt;0,(INDEX(Tarefas!$AS:$AS,MATCH($A51,Tarefas!$N:$N,0))),0),2)</f>
        <v>0</v>
      </c>
    </row>
    <row r="52" spans="1:20" hidden="1">
      <c r="A52" s="489" t="s">
        <v>178</v>
      </c>
      <c r="B52" s="502" t="str">
        <f>IFERROR(INDEX(Tarefas!F:F,MATCH(A52,Tarefas!N:N,0)),"")</f>
        <v>N/A</v>
      </c>
      <c r="C52" s="494">
        <f t="shared" si="5"/>
        <v>0</v>
      </c>
      <c r="D52" s="494">
        <f>ROUND(IF(D22&gt;0,(INDEX(Tarefas!$AS:$AS,MATCH($A52,Tarefas!$N:$N,0))),0),2)</f>
        <v>0</v>
      </c>
      <c r="E52" s="494">
        <f>ROUND(IF(E22&gt;0,(INDEX(Tarefas!$AS:$AS,MATCH($A52,Tarefas!$N:$N,0))),0),2)</f>
        <v>0</v>
      </c>
      <c r="F52" s="494">
        <f>ROUND(IF(F22&gt;0,(INDEX(Tarefas!$AS:$AS,MATCH($A52,Tarefas!$N:$N,0))),0),2)</f>
        <v>0</v>
      </c>
      <c r="G52" s="494">
        <f>ROUND(IF(G22&gt;0,(INDEX(Tarefas!$AS:$AS,MATCH($A52,Tarefas!$N:$N,0))),0),2)</f>
        <v>0</v>
      </c>
      <c r="H52" s="494">
        <f>ROUND(IF(H22&gt;0,(INDEX(Tarefas!$AS:$AS,MATCH($A52,Tarefas!$N:$N,0))),0),2)</f>
        <v>0</v>
      </c>
      <c r="I52" s="494">
        <f>ROUND(IF(I22&gt;0,(INDEX(Tarefas!$AS:$AS,MATCH($A52,Tarefas!$N:$N,0))),0),2)</f>
        <v>0</v>
      </c>
      <c r="J52" s="494">
        <f>ROUND(IF(J22&gt;0,(INDEX(Tarefas!$AS:$AS,MATCH($A52,Tarefas!$N:$N,0))),0),2)</f>
        <v>0</v>
      </c>
      <c r="K52" s="494">
        <f>ROUND(IF(K22&gt;0,(INDEX(Tarefas!$AS:$AS,MATCH($A52,Tarefas!$N:$N,0))),0),2)</f>
        <v>0</v>
      </c>
      <c r="L52" s="494">
        <f>ROUND(IF(L22&gt;0,(INDEX(Tarefas!$AS:$AS,MATCH($A52,Tarefas!$N:$N,0))),0),2)</f>
        <v>0</v>
      </c>
      <c r="M52" s="494">
        <f>ROUND(IF(M22&gt;0,(INDEX(Tarefas!$AS:$AS,MATCH($A52,Tarefas!$N:$N,0))),0),2)</f>
        <v>0</v>
      </c>
      <c r="N52" s="494">
        <f>ROUND(IF(N22&gt;0,(INDEX(Tarefas!$AS:$AS,MATCH($A52,Tarefas!$N:$N,0))),0),2)</f>
        <v>0</v>
      </c>
      <c r="O52" s="494">
        <f>ROUND(IF(O22&gt;0,(INDEX(Tarefas!$AS:$AS,MATCH($A52,Tarefas!$N:$N,0))),0),2)</f>
        <v>0</v>
      </c>
      <c r="P52" s="494">
        <f>ROUND(IF(P22&gt;0,(INDEX(Tarefas!$AS:$AS,MATCH($A52,Tarefas!$N:$N,0))),0),2)</f>
        <v>0</v>
      </c>
      <c r="Q52" s="494">
        <f>ROUND(IF(Q22&gt;0,(INDEX(Tarefas!$AS:$AS,MATCH($A52,Tarefas!$N:$N,0))),0),2)</f>
        <v>0</v>
      </c>
      <c r="R52" s="494">
        <f>ROUND(IF(R22&gt;0,(INDEX(Tarefas!$AS:$AS,MATCH($A52,Tarefas!$N:$N,0))),0),2)</f>
        <v>0</v>
      </c>
      <c r="S52" s="494">
        <f>ROUND(IF(S22&gt;0,(INDEX(Tarefas!$AS:$AS,MATCH($A52,Tarefas!$N:$N,0))),0),2)</f>
        <v>0</v>
      </c>
      <c r="T52" s="494">
        <f>ROUND(IF(T22&gt;0,(INDEX(Tarefas!$AS:$AS,MATCH($A52,Tarefas!$N:$N,0))),0),2)</f>
        <v>0</v>
      </c>
    </row>
    <row r="53" spans="1:20" hidden="1">
      <c r="A53" s="489" t="s">
        <v>179</v>
      </c>
      <c r="B53" s="502" t="str">
        <f>IFERROR(INDEX(Tarefas!F:F,MATCH(A53,Tarefas!N:N,0)),"")</f>
        <v>N/A</v>
      </c>
      <c r="C53" s="494">
        <f t="shared" si="5"/>
        <v>0</v>
      </c>
      <c r="D53" s="494">
        <f>ROUND(IF(D23&gt;0,(INDEX(Tarefas!$AS:$AS,MATCH($A53,Tarefas!$N:$N,0))),0),2)</f>
        <v>0</v>
      </c>
      <c r="E53" s="494">
        <f>ROUND(IF(E23&gt;0,(INDEX(Tarefas!$AS:$AS,MATCH($A53,Tarefas!$N:$N,0))),0),2)</f>
        <v>0</v>
      </c>
      <c r="F53" s="494">
        <f>ROUND(IF(F23&gt;0,(INDEX(Tarefas!$AS:$AS,MATCH($A53,Tarefas!$N:$N,0))),0),2)</f>
        <v>0</v>
      </c>
      <c r="G53" s="494">
        <f>ROUND(IF(G23&gt;0,(INDEX(Tarefas!$AS:$AS,MATCH($A53,Tarefas!$N:$N,0))),0),2)</f>
        <v>0</v>
      </c>
      <c r="H53" s="494">
        <f>ROUND(IF(H23&gt;0,(INDEX(Tarefas!$AS:$AS,MATCH($A53,Tarefas!$N:$N,0))),0),2)</f>
        <v>0</v>
      </c>
      <c r="I53" s="494">
        <f>ROUND(IF(I23&gt;0,(INDEX(Tarefas!$AS:$AS,MATCH($A53,Tarefas!$N:$N,0))),0),2)</f>
        <v>0</v>
      </c>
      <c r="J53" s="494">
        <f>ROUND(IF(J23&gt;0,(INDEX(Tarefas!$AS:$AS,MATCH($A53,Tarefas!$N:$N,0))),0),2)</f>
        <v>0</v>
      </c>
      <c r="K53" s="494">
        <f>ROUND(IF(K23&gt;0,(INDEX(Tarefas!$AS:$AS,MATCH($A53,Tarefas!$N:$N,0))),0),2)</f>
        <v>0</v>
      </c>
      <c r="L53" s="494">
        <f>ROUND(IF(L23&gt;0,(INDEX(Tarefas!$AS:$AS,MATCH($A53,Tarefas!$N:$N,0))),0),2)</f>
        <v>0</v>
      </c>
      <c r="M53" s="494">
        <f>ROUND(IF(M23&gt;0,(INDEX(Tarefas!$AS:$AS,MATCH($A53,Tarefas!$N:$N,0))),0),2)</f>
        <v>0</v>
      </c>
      <c r="N53" s="494">
        <f>ROUND(IF(N23&gt;0,(INDEX(Tarefas!$AS:$AS,MATCH($A53,Tarefas!$N:$N,0))),0),2)</f>
        <v>0</v>
      </c>
      <c r="O53" s="494">
        <f>ROUND(IF(O23&gt;0,(INDEX(Tarefas!$AS:$AS,MATCH($A53,Tarefas!$N:$N,0))),0),2)</f>
        <v>0</v>
      </c>
      <c r="P53" s="494">
        <f>ROUND(IF(P23&gt;0,(INDEX(Tarefas!$AS:$AS,MATCH($A53,Tarefas!$N:$N,0))),0),2)</f>
        <v>0</v>
      </c>
      <c r="Q53" s="494">
        <f>ROUND(IF(Q23&gt;0,(INDEX(Tarefas!$AS:$AS,MATCH($A53,Tarefas!$N:$N,0))),0),2)</f>
        <v>0</v>
      </c>
      <c r="R53" s="494">
        <f>ROUND(IF(R23&gt;0,(INDEX(Tarefas!$AS:$AS,MATCH($A53,Tarefas!$N:$N,0))),0),2)</f>
        <v>0</v>
      </c>
      <c r="S53" s="494">
        <f>ROUND(IF(S23&gt;0,(INDEX(Tarefas!$AS:$AS,MATCH($A53,Tarefas!$N:$N,0))),0),2)</f>
        <v>0</v>
      </c>
      <c r="T53" s="494">
        <f>ROUND(IF(T23&gt;0,(INDEX(Tarefas!$AS:$AS,MATCH($A53,Tarefas!$N:$N,0))),0),2)</f>
        <v>0</v>
      </c>
    </row>
    <row r="54" spans="1:20" hidden="1">
      <c r="A54" s="489" t="s">
        <v>180</v>
      </c>
      <c r="B54" s="502" t="str">
        <f>IFERROR(INDEX(Tarefas!F:F,MATCH(A54,Tarefas!N:N,0)),"")</f>
        <v>N/A</v>
      </c>
      <c r="C54" s="494">
        <f t="shared" si="5"/>
        <v>0</v>
      </c>
      <c r="D54" s="494">
        <f>ROUND(IF(D24&gt;0,(INDEX(Tarefas!$AS:$AS,MATCH($A54,Tarefas!$N:$N,0))),0),2)</f>
        <v>0</v>
      </c>
      <c r="E54" s="494">
        <f>ROUND(IF(E24&gt;0,(INDEX(Tarefas!$AS:$AS,MATCH($A54,Tarefas!$N:$N,0))),0),2)</f>
        <v>0</v>
      </c>
      <c r="F54" s="494">
        <f>ROUND(IF(F24&gt;0,(INDEX(Tarefas!$AS:$AS,MATCH($A54,Tarefas!$N:$N,0))),0),2)</f>
        <v>0</v>
      </c>
      <c r="G54" s="494">
        <f>ROUND(IF(G24&gt;0,(INDEX(Tarefas!$AS:$AS,MATCH($A54,Tarefas!$N:$N,0))),0),2)</f>
        <v>0</v>
      </c>
      <c r="H54" s="494">
        <f>ROUND(IF(H24&gt;0,(INDEX(Tarefas!$AS:$AS,MATCH($A54,Tarefas!$N:$N,0))),0),2)</f>
        <v>0</v>
      </c>
      <c r="I54" s="494">
        <f>ROUND(IF(I24&gt;0,(INDEX(Tarefas!$AS:$AS,MATCH($A54,Tarefas!$N:$N,0))),0),2)</f>
        <v>0</v>
      </c>
      <c r="J54" s="494">
        <f>ROUND(IF(J24&gt;0,(INDEX(Tarefas!$AS:$AS,MATCH($A54,Tarefas!$N:$N,0))),0),2)</f>
        <v>0</v>
      </c>
      <c r="K54" s="494">
        <f>ROUND(IF(K24&gt;0,(INDEX(Tarefas!$AS:$AS,MATCH($A54,Tarefas!$N:$N,0))),0),2)</f>
        <v>0</v>
      </c>
      <c r="L54" s="494">
        <f>ROUND(IF(L24&gt;0,(INDEX(Tarefas!$AS:$AS,MATCH($A54,Tarefas!$N:$N,0))),0),2)</f>
        <v>0</v>
      </c>
      <c r="M54" s="494">
        <f>ROUND(IF(M24&gt;0,(INDEX(Tarefas!$AS:$AS,MATCH($A54,Tarefas!$N:$N,0))),0),2)</f>
        <v>0</v>
      </c>
      <c r="N54" s="494">
        <f>ROUND(IF(N24&gt;0,(INDEX(Tarefas!$AS:$AS,MATCH($A54,Tarefas!$N:$N,0))),0),2)</f>
        <v>0</v>
      </c>
      <c r="O54" s="494">
        <f>ROUND(IF(O24&gt;0,(INDEX(Tarefas!$AS:$AS,MATCH($A54,Tarefas!$N:$N,0))),0),2)</f>
        <v>0</v>
      </c>
      <c r="P54" s="494">
        <f>ROUND(IF(P24&gt;0,(INDEX(Tarefas!$AS:$AS,MATCH($A54,Tarefas!$N:$N,0))),0),2)</f>
        <v>0</v>
      </c>
      <c r="Q54" s="494">
        <f>ROUND(IF(Q24&gt;0,(INDEX(Tarefas!$AS:$AS,MATCH($A54,Tarefas!$N:$N,0))),0),2)</f>
        <v>0</v>
      </c>
      <c r="R54" s="494">
        <f>ROUND(IF(R24&gt;0,(INDEX(Tarefas!$AS:$AS,MATCH($A54,Tarefas!$N:$N,0))),0),2)</f>
        <v>0</v>
      </c>
      <c r="S54" s="494">
        <f>ROUND(IF(S24&gt;0,(INDEX(Tarefas!$AS:$AS,MATCH($A54,Tarefas!$N:$N,0))),0),2)</f>
        <v>0</v>
      </c>
      <c r="T54" s="494">
        <f>ROUND(IF(T24&gt;0,(INDEX(Tarefas!$AS:$AS,MATCH($A54,Tarefas!$N:$N,0))),0),2)</f>
        <v>0</v>
      </c>
    </row>
    <row r="55" spans="1:20" ht="27.95" customHeight="1">
      <c r="B55" s="503" t="s">
        <v>186</v>
      </c>
      <c r="C55" s="495">
        <f>SUM(C37:C54)</f>
        <v>1458790.98</v>
      </c>
      <c r="D55" s="495">
        <f>SUM(D37:D54)</f>
        <v>86109.75</v>
      </c>
      <c r="E55" s="495">
        <f t="shared" ref="E55:T55" si="6">SUM(E37:E54)</f>
        <v>86109.75</v>
      </c>
      <c r="F55" s="495">
        <f t="shared" si="6"/>
        <v>124830.15000000001</v>
      </c>
      <c r="G55" s="495">
        <f t="shared" si="6"/>
        <v>150699.02999999997</v>
      </c>
      <c r="H55" s="495">
        <f t="shared" si="6"/>
        <v>162903.94</v>
      </c>
      <c r="I55" s="495">
        <f t="shared" si="6"/>
        <v>175679.09999999998</v>
      </c>
      <c r="J55" s="495">
        <f t="shared" si="6"/>
        <v>175679.09999999998</v>
      </c>
      <c r="K55" s="495">
        <f t="shared" si="6"/>
        <v>175679.09999999998</v>
      </c>
      <c r="L55" s="495">
        <f t="shared" si="6"/>
        <v>160550.53000000003</v>
      </c>
      <c r="M55" s="495">
        <f t="shared" si="6"/>
        <v>160550.53000000003</v>
      </c>
      <c r="N55" s="495">
        <f t="shared" si="6"/>
        <v>0</v>
      </c>
      <c r="O55" s="495">
        <f t="shared" si="6"/>
        <v>0</v>
      </c>
      <c r="P55" s="495">
        <f t="shared" si="6"/>
        <v>0</v>
      </c>
      <c r="Q55" s="495">
        <f t="shared" si="6"/>
        <v>0</v>
      </c>
      <c r="R55" s="495">
        <f t="shared" si="6"/>
        <v>0</v>
      </c>
      <c r="S55" s="495">
        <f t="shared" si="6"/>
        <v>0</v>
      </c>
      <c r="T55" s="495">
        <f t="shared" si="6"/>
        <v>0</v>
      </c>
    </row>
    <row r="56" spans="1:20" s="484" customFormat="1" ht="30.95">
      <c r="A56" s="484" t="s">
        <v>163</v>
      </c>
      <c r="B56" s="501" t="s">
        <v>181</v>
      </c>
      <c r="C56" s="487"/>
      <c r="D56" s="487"/>
      <c r="E56" s="487"/>
      <c r="F56" s="487"/>
      <c r="G56" s="487"/>
      <c r="H56" s="487"/>
      <c r="I56" s="487"/>
      <c r="J56" s="487"/>
      <c r="K56" s="487"/>
      <c r="L56" s="487"/>
      <c r="M56" s="487"/>
      <c r="N56" s="487"/>
      <c r="O56" s="487"/>
      <c r="P56" s="487"/>
      <c r="Q56" s="487"/>
      <c r="R56" s="487"/>
      <c r="S56" s="487"/>
      <c r="T56" s="487"/>
    </row>
    <row r="57" spans="1:20">
      <c r="A57" s="492" t="s">
        <v>182</v>
      </c>
      <c r="B57" s="502" t="str">
        <f>IFERROR(INDEX(Tarefas!F:F,MATCH(A57,Tarefas!N:N,0)),"")</f>
        <v>Coordenador de Orçamentos - Part time - 50% mês</v>
      </c>
      <c r="C57" s="494">
        <f>SUM(D57:T57)</f>
        <v>46699.14</v>
      </c>
      <c r="D57" s="494">
        <f>ROUND(IF(D26&gt;0,(INDEX(Tarefas!$AS:$AS,MATCH($A57,Tarefas!$N:$N,0))),0),2)</f>
        <v>23349.57</v>
      </c>
      <c r="E57" s="494">
        <f>ROUND(IF(E26&gt;0,(INDEX(Tarefas!$AS:$AS,MATCH($A57,Tarefas!$N:$N,0))),0),2)</f>
        <v>23349.57</v>
      </c>
      <c r="F57" s="494">
        <f>ROUND(IF(F26&gt;0,(INDEX(Tarefas!$AS:$AS,MATCH($A57,Tarefas!$N:$N,0))),0),2)</f>
        <v>0</v>
      </c>
      <c r="G57" s="494">
        <f>ROUND(IF(G26&gt;0,(INDEX(Tarefas!$AS:$AS,MATCH($A57,Tarefas!$N:$N,0))),0),2)</f>
        <v>0</v>
      </c>
      <c r="H57" s="494">
        <f>ROUND(IF(H26&gt;0,(INDEX(Tarefas!$AS:$AS,MATCH($A57,Tarefas!$N:$N,0))),0),2)</f>
        <v>0</v>
      </c>
      <c r="I57" s="494">
        <f>ROUND(IF(I26&gt;0,(INDEX(Tarefas!$AS:$AS,MATCH($A57,Tarefas!$N:$N,0))),0),2)</f>
        <v>0</v>
      </c>
      <c r="J57" s="494">
        <f>ROUND(IF(J26&gt;0,(INDEX(Tarefas!$AS:$AS,MATCH($A57,Tarefas!$N:$N,0))),0),2)</f>
        <v>0</v>
      </c>
      <c r="K57" s="494">
        <f>ROUND(IF(K26&gt;0,(INDEX(Tarefas!$AS:$AS,MATCH($A57,Tarefas!$N:$N,0))),0),2)</f>
        <v>0</v>
      </c>
      <c r="L57" s="494">
        <f>ROUND(IF(L26&gt;0,(INDEX(Tarefas!$AS:$AS,MATCH($A57,Tarefas!$N:$N,0))),0),2)</f>
        <v>0</v>
      </c>
      <c r="M57" s="494">
        <f>ROUND(IF(M26&gt;0,(INDEX(Tarefas!$AS:$AS,MATCH($A57,Tarefas!$N:$N,0))),0),2)</f>
        <v>0</v>
      </c>
      <c r="N57" s="494">
        <f>ROUND(IF(N26&gt;0,(INDEX(Tarefas!$AS:$AS,MATCH($A57,Tarefas!$N:$N,0))),0),2)</f>
        <v>0</v>
      </c>
      <c r="O57" s="494">
        <f>ROUND(IF(O26&gt;0,(INDEX(Tarefas!$AS:$AS,MATCH($A57,Tarefas!$N:$N,0))),0),2)</f>
        <v>0</v>
      </c>
      <c r="P57" s="494">
        <f>ROUND(IF(P26&gt;0,(INDEX(Tarefas!$AS:$AS,MATCH($A57,Tarefas!$N:$N,0))),0),2)</f>
        <v>0</v>
      </c>
      <c r="Q57" s="494">
        <f>ROUND(IF(Q26&gt;0,(INDEX(Tarefas!$AS:$AS,MATCH($A57,Tarefas!$N:$N,0))),0),2)</f>
        <v>0</v>
      </c>
      <c r="R57" s="494">
        <f>ROUND(IF(R26&gt;0,(INDEX(Tarefas!$AS:$AS,MATCH($A57,Tarefas!$N:$N,0))),0),2)</f>
        <v>0</v>
      </c>
      <c r="S57" s="494">
        <f>ROUND(IF(S26&gt;0,(INDEX(Tarefas!$AS:$AS,MATCH($A57,Tarefas!$N:$N,0))),0),2)</f>
        <v>0</v>
      </c>
      <c r="T57" s="494">
        <f>ROUND(IF(T26&gt;0,(INDEX(Tarefas!$AS:$AS,MATCH($A57,Tarefas!$N:$N,0))),0),2)</f>
        <v>0</v>
      </c>
    </row>
    <row r="58" spans="1:20" ht="30.95">
      <c r="A58" s="492" t="s">
        <v>183</v>
      </c>
      <c r="B58" s="502" t="str">
        <f>IFERROR(INDEX(Tarefas!F:F,MATCH(A58,Tarefas!N:N,0)),"")</f>
        <v>Arquiteto Pl. ( Gestão de projetos) - Remoto ( Supervisor) - 20% mês</v>
      </c>
      <c r="C58" s="494">
        <f>SUM(D58:T58)</f>
        <v>12901.52</v>
      </c>
      <c r="D58" s="494">
        <f>ROUND(IF(D27&gt;0,(INDEX(Tarefas!$AS:$AS,MATCH($A58,Tarefas!$N:$N,0))),0),2)</f>
        <v>6450.76</v>
      </c>
      <c r="E58" s="494">
        <f>ROUND(IF(E27&gt;0,(INDEX(Tarefas!$AS:$AS,MATCH($A58,Tarefas!$N:$N,0))),0),2)</f>
        <v>6450.76</v>
      </c>
      <c r="F58" s="494">
        <f>ROUND(IF(F27&gt;0,(INDEX(Tarefas!$AS:$AS,MATCH($A58,Tarefas!$N:$N,0))),0),2)</f>
        <v>0</v>
      </c>
      <c r="G58" s="494">
        <f>ROUND(IF(G27&gt;0,(INDEX(Tarefas!$AS:$AS,MATCH($A58,Tarefas!$N:$N,0))),0),2)</f>
        <v>0</v>
      </c>
      <c r="H58" s="494">
        <f>ROUND(IF(H27&gt;0,(INDEX(Tarefas!$AS:$AS,MATCH($A58,Tarefas!$N:$N,0))),0),2)</f>
        <v>0</v>
      </c>
      <c r="I58" s="494">
        <f>ROUND(IF(I27&gt;0,(INDEX(Tarefas!$AS:$AS,MATCH($A58,Tarefas!$N:$N,0))),0),2)</f>
        <v>0</v>
      </c>
      <c r="J58" s="494">
        <f>ROUND(IF(J27&gt;0,(INDEX(Tarefas!$AS:$AS,MATCH($A58,Tarefas!$N:$N,0))),0),2)</f>
        <v>0</v>
      </c>
      <c r="K58" s="494">
        <f>ROUND(IF(K27&gt;0,(INDEX(Tarefas!$AS:$AS,MATCH($A58,Tarefas!$N:$N,0))),0),2)</f>
        <v>0</v>
      </c>
      <c r="L58" s="494">
        <f>ROUND(IF(L27&gt;0,(INDEX(Tarefas!$AS:$AS,MATCH($A58,Tarefas!$N:$N,0))),0),2)</f>
        <v>0</v>
      </c>
      <c r="M58" s="494">
        <f>ROUND(IF(M27&gt;0,(INDEX(Tarefas!$AS:$AS,MATCH($A58,Tarefas!$N:$N,0))),0),2)</f>
        <v>0</v>
      </c>
      <c r="N58" s="494">
        <f>ROUND(IF(N27&gt;0,(INDEX(Tarefas!$AS:$AS,MATCH($A58,Tarefas!$N:$N,0))),0),2)</f>
        <v>0</v>
      </c>
      <c r="O58" s="494">
        <f>ROUND(IF(O27&gt;0,(INDEX(Tarefas!$AS:$AS,MATCH($A58,Tarefas!$N:$N,0))),0),2)</f>
        <v>0</v>
      </c>
      <c r="P58" s="494">
        <f>ROUND(IF(P27&gt;0,(INDEX(Tarefas!$AS:$AS,MATCH($A58,Tarefas!$N:$N,0))),0),2)</f>
        <v>0</v>
      </c>
      <c r="Q58" s="494">
        <f>ROUND(IF(Q27&gt;0,(INDEX(Tarefas!$AS:$AS,MATCH($A58,Tarefas!$N:$N,0))),0),2)</f>
        <v>0</v>
      </c>
      <c r="R58" s="494">
        <f>ROUND(IF(R27&gt;0,(INDEX(Tarefas!$AS:$AS,MATCH($A58,Tarefas!$N:$N,0))),0),2)</f>
        <v>0</v>
      </c>
      <c r="S58" s="494">
        <f>ROUND(IF(S27&gt;0,(INDEX(Tarefas!$AS:$AS,MATCH($A58,Tarefas!$N:$N,0))),0),2)</f>
        <v>0</v>
      </c>
      <c r="T58" s="494">
        <f>ROUND(IF(T27&gt;0,(INDEX(Tarefas!$AS:$AS,MATCH($A58,Tarefas!$N:$N,0))),0),2)</f>
        <v>0</v>
      </c>
    </row>
    <row r="59" spans="1:20" ht="30.95">
      <c r="A59" s="492" t="s">
        <v>184</v>
      </c>
      <c r="B59" s="502" t="str">
        <f>IFERROR(INDEX(Tarefas!F:F,MATCH(A59,Tarefas!N:N,0)),"")</f>
        <v>Engenheiro Pl. de Planejamento, Qualidade e Custos ( Supervisor) - 10% - mês</v>
      </c>
      <c r="C59" s="494">
        <f>SUM(D59:T59)</f>
        <v>9376.8799999999992</v>
      </c>
      <c r="D59" s="494">
        <f>ROUND(IF(D28&gt;0,(INDEX(Tarefas!$AS:$AS,MATCH($A59,Tarefas!$N:$N,0))),0),2)</f>
        <v>4688.4399999999996</v>
      </c>
      <c r="E59" s="494">
        <f>ROUND(IF(E28&gt;0,(INDEX(Tarefas!$AS:$AS,MATCH($A59,Tarefas!$N:$N,0))),0),2)</f>
        <v>4688.4399999999996</v>
      </c>
      <c r="F59" s="494">
        <f>ROUND(IF(F28&gt;0,(INDEX(Tarefas!$AS:$AS,MATCH($A59,Tarefas!$N:$N,0))),0),2)</f>
        <v>0</v>
      </c>
      <c r="G59" s="494">
        <f>ROUND(IF(G28&gt;0,(INDEX(Tarefas!$AS:$AS,MATCH($A59,Tarefas!$N:$N,0))),0),2)</f>
        <v>0</v>
      </c>
      <c r="H59" s="494">
        <f>ROUND(IF(H28&gt;0,(INDEX(Tarefas!$AS:$AS,MATCH($A59,Tarefas!$N:$N,0))),0),2)</f>
        <v>0</v>
      </c>
      <c r="I59" s="494">
        <f>ROUND(IF(I28&gt;0,(INDEX(Tarefas!$AS:$AS,MATCH($A59,Tarefas!$N:$N,0))),0),2)</f>
        <v>0</v>
      </c>
      <c r="J59" s="494">
        <f>ROUND(IF(J28&gt;0,(INDEX(Tarefas!$AS:$AS,MATCH($A59,Tarefas!$N:$N,0))),0),2)</f>
        <v>0</v>
      </c>
      <c r="K59" s="494">
        <f>ROUND(IF(K28&gt;0,(INDEX(Tarefas!$AS:$AS,MATCH($A59,Tarefas!$N:$N,0))),0),2)</f>
        <v>0</v>
      </c>
      <c r="L59" s="494">
        <f>ROUND(IF(L28&gt;0,(INDEX(Tarefas!$AS:$AS,MATCH($A59,Tarefas!$N:$N,0))),0),2)</f>
        <v>0</v>
      </c>
      <c r="M59" s="494">
        <f>ROUND(IF(M28&gt;0,(INDEX(Tarefas!$AS:$AS,MATCH($A59,Tarefas!$N:$N,0))),0),2)</f>
        <v>0</v>
      </c>
      <c r="N59" s="494">
        <f>ROUND(IF(N28&gt;0,(INDEX(Tarefas!$AS:$AS,MATCH($A59,Tarefas!$N:$N,0))),0),2)</f>
        <v>0</v>
      </c>
      <c r="O59" s="494">
        <f>ROUND(IF(O28&gt;0,(INDEX(Tarefas!$AS:$AS,MATCH($A59,Tarefas!$N:$N,0))),0),2)</f>
        <v>0</v>
      </c>
      <c r="P59" s="494">
        <f>ROUND(IF(P28&gt;0,(INDEX(Tarefas!$AS:$AS,MATCH($A59,Tarefas!$N:$N,0))),0),2)</f>
        <v>0</v>
      </c>
      <c r="Q59" s="494">
        <f>ROUND(IF(Q28&gt;0,(INDEX(Tarefas!$AS:$AS,MATCH($A59,Tarefas!$N:$N,0))),0),2)</f>
        <v>0</v>
      </c>
      <c r="R59" s="494">
        <f>ROUND(IF(R28&gt;0,(INDEX(Tarefas!$AS:$AS,MATCH($A59,Tarefas!$N:$N,0))),0),2)</f>
        <v>0</v>
      </c>
      <c r="S59" s="494">
        <f>ROUND(IF(S28&gt;0,(INDEX(Tarefas!$AS:$AS,MATCH($A59,Tarefas!$N:$N,0))),0),2)</f>
        <v>0</v>
      </c>
      <c r="T59" s="494">
        <f>ROUND(IF(T28&gt;0,(INDEX(Tarefas!$AS:$AS,MATCH($A59,Tarefas!$N:$N,0))),0),2)</f>
        <v>0</v>
      </c>
    </row>
    <row r="60" spans="1:20" ht="30.95">
      <c r="A60" s="492" t="s">
        <v>185</v>
      </c>
      <c r="B60" s="502" t="str">
        <f>IFERROR(INDEX(Tarefas!F:F,MATCH(A60,Tarefas!N:N,0)),"")</f>
        <v>Analista de Financeiro - An. Sr. 50% ( Análise financeira das empresas)</v>
      </c>
      <c r="C60" s="494">
        <f>SUM(D60:T60)</f>
        <v>8547.26</v>
      </c>
      <c r="D60" s="494">
        <f>ROUND(IF(D29&gt;0,(INDEX(Tarefas!$AS:$AS,MATCH($A60,Tarefas!$N:$N,0))),0),2)</f>
        <v>8547.26</v>
      </c>
      <c r="E60" s="494">
        <f>ROUND(IF(E29&gt;0,(INDEX(Tarefas!$AS:$AS,MATCH($A60,Tarefas!$N:$N,0))),0),2)</f>
        <v>0</v>
      </c>
      <c r="F60" s="494">
        <f>ROUND(IF(F29&gt;0,(INDEX(Tarefas!$AS:$AS,MATCH($A60,Tarefas!$N:$N,0))),0),2)</f>
        <v>0</v>
      </c>
      <c r="G60" s="494">
        <f>ROUND(IF(G29&gt;0,(INDEX(Tarefas!$AS:$AS,MATCH($A60,Tarefas!$N:$N,0))),0),2)</f>
        <v>0</v>
      </c>
      <c r="H60" s="494">
        <f>ROUND(IF(H29&gt;0,(INDEX(Tarefas!$AS:$AS,MATCH($A60,Tarefas!$N:$N,0))),0),2)</f>
        <v>0</v>
      </c>
      <c r="I60" s="494">
        <f>ROUND(IF(I29&gt;0,(INDEX(Tarefas!$AS:$AS,MATCH($A60,Tarefas!$N:$N,0))),0),2)</f>
        <v>0</v>
      </c>
      <c r="J60" s="494">
        <f>ROUND(IF(J29&gt;0,(INDEX(Tarefas!$AS:$AS,MATCH($A60,Tarefas!$N:$N,0))),0),2)</f>
        <v>0</v>
      </c>
      <c r="K60" s="494">
        <f>ROUND(IF(K29&gt;0,(INDEX(Tarefas!$AS:$AS,MATCH($A60,Tarefas!$N:$N,0))),0),2)</f>
        <v>0</v>
      </c>
      <c r="L60" s="494">
        <f>ROUND(IF(L29&gt;0,(INDEX(Tarefas!$AS:$AS,MATCH($A60,Tarefas!$N:$N,0))),0),2)</f>
        <v>0</v>
      </c>
      <c r="M60" s="494">
        <f>ROUND(IF(M29&gt;0,(INDEX(Tarefas!$AS:$AS,MATCH($A60,Tarefas!$N:$N,0))),0),2)</f>
        <v>0</v>
      </c>
      <c r="N60" s="494">
        <f>ROUND(IF(N29&gt;0,(INDEX(Tarefas!$AS:$AS,MATCH($A60,Tarefas!$N:$N,0))),0),2)</f>
        <v>0</v>
      </c>
      <c r="O60" s="494">
        <f>ROUND(IF(O29&gt;0,(INDEX(Tarefas!$AS:$AS,MATCH($A60,Tarefas!$N:$N,0))),0),2)</f>
        <v>0</v>
      </c>
      <c r="P60" s="494">
        <f>ROUND(IF(P29&gt;0,(INDEX(Tarefas!$AS:$AS,MATCH($A60,Tarefas!$N:$N,0))),0),2)</f>
        <v>0</v>
      </c>
      <c r="Q60" s="494">
        <f>ROUND(IF(Q29&gt;0,(INDEX(Tarefas!$AS:$AS,MATCH($A60,Tarefas!$N:$N,0))),0),2)</f>
        <v>0</v>
      </c>
      <c r="R60" s="494">
        <f>ROUND(IF(R29&gt;0,(INDEX(Tarefas!$AS:$AS,MATCH($A60,Tarefas!$N:$N,0))),0),2)</f>
        <v>0</v>
      </c>
      <c r="S60" s="494">
        <f>ROUND(IF(S29&gt;0,(INDEX(Tarefas!$AS:$AS,MATCH($A60,Tarefas!$N:$N,0))),0),2)</f>
        <v>0</v>
      </c>
      <c r="T60" s="494">
        <f>ROUND(IF(T29&gt;0,(INDEX(Tarefas!$AS:$AS,MATCH($A60,Tarefas!$N:$N,0))),0),2)</f>
        <v>0</v>
      </c>
    </row>
    <row r="61" spans="1:20" ht="27.95" customHeight="1">
      <c r="B61" s="503" t="s">
        <v>186</v>
      </c>
      <c r="C61" s="495">
        <f>SUM(C56:C60)</f>
        <v>77524.800000000003</v>
      </c>
      <c r="D61" s="495">
        <f>SUM(D56:D60)</f>
        <v>43036.030000000006</v>
      </c>
      <c r="E61" s="495">
        <f t="shared" ref="E61:M61" si="7">SUM(E56:E60)</f>
        <v>34488.770000000004</v>
      </c>
      <c r="F61" s="495">
        <f t="shared" si="7"/>
        <v>0</v>
      </c>
      <c r="G61" s="495">
        <f t="shared" si="7"/>
        <v>0</v>
      </c>
      <c r="H61" s="495">
        <f t="shared" si="7"/>
        <v>0</v>
      </c>
      <c r="I61" s="495">
        <f t="shared" si="7"/>
        <v>0</v>
      </c>
      <c r="J61" s="495">
        <f t="shared" si="7"/>
        <v>0</v>
      </c>
      <c r="K61" s="495">
        <f t="shared" si="7"/>
        <v>0</v>
      </c>
      <c r="L61" s="495">
        <f t="shared" si="7"/>
        <v>0</v>
      </c>
      <c r="M61" s="495">
        <f t="shared" si="7"/>
        <v>0</v>
      </c>
      <c r="N61" s="495">
        <f t="shared" ref="N61:T61" si="8">SUM(N38:N60)</f>
        <v>0</v>
      </c>
      <c r="O61" s="495">
        <f t="shared" si="8"/>
        <v>0</v>
      </c>
      <c r="P61" s="495">
        <f t="shared" si="8"/>
        <v>0</v>
      </c>
      <c r="Q61" s="495">
        <f t="shared" si="8"/>
        <v>0</v>
      </c>
      <c r="R61" s="495">
        <f t="shared" si="8"/>
        <v>0</v>
      </c>
      <c r="S61" s="495">
        <f t="shared" si="8"/>
        <v>0</v>
      </c>
      <c r="T61" s="495">
        <f t="shared" si="8"/>
        <v>0</v>
      </c>
    </row>
    <row r="62" spans="1:20" ht="27.95" customHeight="1">
      <c r="B62" s="503" t="s">
        <v>190</v>
      </c>
      <c r="C62" s="495">
        <f>C61+C55</f>
        <v>1536315.78</v>
      </c>
      <c r="D62" s="495">
        <f>D61+D55</f>
        <v>129145.78</v>
      </c>
      <c r="E62" s="495">
        <f>D62+E61+E55</f>
        <v>249744.3</v>
      </c>
      <c r="F62" s="495">
        <f t="shared" ref="F62:T62" si="9">E62+F61+F55</f>
        <v>374574.45</v>
      </c>
      <c r="G62" s="495">
        <f t="shared" si="9"/>
        <v>525273.48</v>
      </c>
      <c r="H62" s="495">
        <f t="shared" si="9"/>
        <v>688177.41999999993</v>
      </c>
      <c r="I62" s="495">
        <f t="shared" si="9"/>
        <v>863856.5199999999</v>
      </c>
      <c r="J62" s="495">
        <f t="shared" si="9"/>
        <v>1039535.6199999999</v>
      </c>
      <c r="K62" s="495">
        <f t="shared" si="9"/>
        <v>1215214.7199999997</v>
      </c>
      <c r="L62" s="495">
        <f t="shared" si="9"/>
        <v>1375765.2499999998</v>
      </c>
      <c r="M62" s="495">
        <f t="shared" si="9"/>
        <v>1536315.7799999998</v>
      </c>
      <c r="N62" s="495">
        <f t="shared" si="9"/>
        <v>1536315.7799999998</v>
      </c>
      <c r="O62" s="495">
        <f t="shared" si="9"/>
        <v>1536315.7799999998</v>
      </c>
      <c r="P62" s="495">
        <f t="shared" si="9"/>
        <v>1536315.7799999998</v>
      </c>
      <c r="Q62" s="495">
        <f t="shared" si="9"/>
        <v>1536315.7799999998</v>
      </c>
      <c r="R62" s="495">
        <f t="shared" si="9"/>
        <v>1536315.7799999998</v>
      </c>
      <c r="S62" s="495">
        <f t="shared" si="9"/>
        <v>1536315.7799999998</v>
      </c>
      <c r="T62" s="495">
        <f t="shared" si="9"/>
        <v>1536315.7799999998</v>
      </c>
    </row>
    <row r="63" spans="1:20" ht="409.6" customHeight="1"/>
    <row r="64" spans="1:20">
      <c r="B64" s="503" t="s">
        <v>191</v>
      </c>
      <c r="C64" s="495">
        <f>150000000</f>
        <v>150000000</v>
      </c>
    </row>
    <row r="65" spans="2:3">
      <c r="B65" s="503" t="s">
        <v>68</v>
      </c>
      <c r="C65" s="496">
        <f>C61/C64</f>
        <v>5.1683200000000006E-4</v>
      </c>
    </row>
    <row r="70" spans="2:3">
      <c r="C70" s="492" t="s">
        <v>192</v>
      </c>
    </row>
    <row r="71" spans="2:3">
      <c r="C71" s="492" t="s">
        <v>193</v>
      </c>
    </row>
    <row r="72" spans="2:3">
      <c r="C72" s="492" t="s">
        <v>194</v>
      </c>
    </row>
    <row r="73" spans="2:3">
      <c r="C73" s="492" t="s">
        <v>195</v>
      </c>
    </row>
  </sheetData>
  <mergeCells count="8">
    <mergeCell ref="G33:M34"/>
    <mergeCell ref="D2:T2"/>
    <mergeCell ref="D4:E4"/>
    <mergeCell ref="D34:E34"/>
    <mergeCell ref="D32:T32"/>
    <mergeCell ref="D3:F3"/>
    <mergeCell ref="G3:M4"/>
    <mergeCell ref="D33:F33"/>
  </mergeCells>
  <phoneticPr fontId="8" type="noConversion"/>
  <conditionalFormatting sqref="D8:T24 D26:T29 D38:T54 D57:T60">
    <cfRule type="cellIs" dxfId="45" priority="8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71BE-31A7-4B37-8466-C775B04A842D}">
  <sheetPr codeName="Planilha3">
    <outlinePr summaryBelow="0" summaryRight="0"/>
  </sheetPr>
  <dimension ref="A1:FY55"/>
  <sheetViews>
    <sheetView showGridLines="0" topLeftCell="A31" zoomScale="85" zoomScaleNormal="85" workbookViewId="0">
      <pane xSplit="9" topLeftCell="AS1" activePane="topRight" state="frozen"/>
      <selection pane="topRight" activeCell="F39" sqref="F39"/>
      <selection activeCell="A12" sqref="A12"/>
    </sheetView>
  </sheetViews>
  <sheetFormatPr defaultColWidth="8.85546875" defaultRowHeight="12" customHeight="1" outlineLevelRow="1" outlineLevelCol="2"/>
  <cols>
    <col min="1" max="1" width="0.85546875" style="71" customWidth="1"/>
    <col min="2" max="3" width="4.85546875" style="71" customWidth="1"/>
    <col min="4" max="4" width="0.85546875" style="71" customWidth="1"/>
    <col min="5" max="5" width="6.85546875" style="123" customWidth="1"/>
    <col min="6" max="6" width="44.42578125" style="71" customWidth="1"/>
    <col min="7" max="7" width="8.85546875" style="71"/>
    <col min="8" max="8" width="8.85546875" style="71" customWidth="1"/>
    <col min="9" max="9" width="0.85546875" style="71" customWidth="1"/>
    <col min="10" max="10" width="3.85546875" style="71" customWidth="1"/>
    <col min="11" max="15" width="12.85546875" style="71" customWidth="1" outlineLevel="1"/>
    <col min="16" max="16" width="0.85546875" style="71" customWidth="1"/>
    <col min="17" max="17" width="3.85546875" style="71" customWidth="1"/>
    <col min="18" max="21" width="16.85546875" style="71" customWidth="1" outlineLevel="1"/>
    <col min="22" max="22" width="0.85546875" style="71" customWidth="1"/>
    <col min="23" max="23" width="3.85546875" style="71" customWidth="1" collapsed="1"/>
    <col min="24" max="24" width="12.85546875" style="71" hidden="1" customWidth="1" outlineLevel="1"/>
    <col min="25" max="25" width="5.85546875" style="124" hidden="1" customWidth="1" outlineLevel="1"/>
    <col min="26" max="26" width="14.85546875" style="125" hidden="1" customWidth="1" outlineLevel="1"/>
    <col min="27" max="27" width="12.85546875" style="125" hidden="1" customWidth="1" outlineLevel="1"/>
    <col min="28" max="29" width="16.85546875" style="71" hidden="1" customWidth="1" outlineLevel="1"/>
    <col min="30" max="30" width="0.85546875" style="71" hidden="1" customWidth="1" outlineLevel="1"/>
    <col min="31" max="37" width="10.85546875" style="71" hidden="1" customWidth="1" outlineLevel="1"/>
    <col min="38" max="38" width="0.85546875" style="71" hidden="1" customWidth="1" outlineLevel="1"/>
    <col min="39" max="40" width="16.85546875" style="71" hidden="1" customWidth="1" outlineLevel="1"/>
    <col min="41" max="41" width="0.85546875" style="71" customWidth="1"/>
    <col min="42" max="42" width="3.85546875" style="71" customWidth="1"/>
    <col min="43" max="44" width="16.85546875" style="71" hidden="1" customWidth="1" outlineLevel="1"/>
    <col min="45" max="46" width="16.85546875" style="71" customWidth="1" outlineLevel="1"/>
    <col min="47" max="47" width="6.85546875" style="71" customWidth="1" outlineLevel="1"/>
    <col min="48" max="50" width="0.85546875" style="71" customWidth="1"/>
    <col min="51" max="51" width="3.85546875" style="71" hidden="1" customWidth="1" collapsed="1"/>
    <col min="52" max="52" width="16.85546875" style="71" hidden="1" customWidth="1" outlineLevel="1"/>
    <col min="53" max="55" width="16.85546875" style="71" hidden="1" customWidth="1" outlineLevel="2"/>
    <col min="56" max="56" width="0.85546875" style="71" hidden="1" customWidth="1" outlineLevel="1"/>
    <col min="57" max="57" width="16.85546875" style="71" hidden="1" customWidth="1" outlineLevel="1"/>
    <col min="58" max="63" width="16.85546875" style="71" hidden="1" customWidth="1" outlineLevel="2"/>
    <col min="64" max="66" width="0.85546875" style="71" customWidth="1"/>
    <col min="67" max="67" width="3.85546875" style="71" customWidth="1"/>
    <col min="68" max="68" width="3.85546875" style="71" customWidth="1" outlineLevel="1"/>
    <col min="69" max="69" width="3.5703125" style="104" customWidth="1" outlineLevel="2"/>
    <col min="70" max="70" width="9.7109375" style="104" bestFit="1" customWidth="1" outlineLevel="2"/>
    <col min="71" max="71" width="3.5703125" style="104" customWidth="1" outlineLevel="2"/>
    <col min="72" max="72" width="17" style="104" customWidth="1" outlineLevel="2"/>
    <col min="73" max="73" width="3.5703125" style="104" customWidth="1" outlineLevel="2"/>
    <col min="74" max="74" width="4.140625" style="104" customWidth="1" outlineLevel="2"/>
    <col min="75" max="75" width="3.5703125" style="104" customWidth="1" outlineLevel="2"/>
    <col min="76" max="76" width="12.85546875" style="71" customWidth="1" outlineLevel="2"/>
    <col min="77" max="77" width="3.85546875" style="71" customWidth="1" outlineLevel="1" collapsed="1"/>
    <col min="78" max="78" width="3.5703125" style="104" hidden="1" customWidth="1" outlineLevel="2"/>
    <col min="79" max="79" width="4.140625" style="104" hidden="1" customWidth="1" outlineLevel="2"/>
    <col min="80" max="80" width="3.5703125" style="104" hidden="1" customWidth="1" outlineLevel="2"/>
    <col min="81" max="81" width="12.85546875" style="71" hidden="1" customWidth="1" outlineLevel="2"/>
    <col min="82" max="82" width="3.85546875" style="71" customWidth="1" outlineLevel="1"/>
    <col min="83" max="83" width="3.5703125" style="104" customWidth="1" outlineLevel="2"/>
    <col min="84" max="84" width="4.140625" style="104" customWidth="1" outlineLevel="2"/>
    <col min="85" max="85" width="3.5703125" style="104" customWidth="1" outlineLevel="2"/>
    <col min="86" max="86" width="12.85546875" style="71" customWidth="1" outlineLevel="2"/>
    <col min="87" max="87" width="3.5703125" style="104" customWidth="1" outlineLevel="2"/>
    <col min="88" max="88" width="4.140625" style="104" customWidth="1" outlineLevel="2"/>
    <col min="89" max="89" width="3.5703125" style="104" customWidth="1" outlineLevel="2"/>
    <col min="90" max="90" width="12.85546875" style="71" customWidth="1" outlineLevel="2"/>
    <col min="91" max="91" width="3.5703125" style="104" customWidth="1" outlineLevel="2"/>
    <col min="92" max="92" width="4.140625" style="104" customWidth="1" outlineLevel="2"/>
    <col min="93" max="93" width="3.5703125" style="104" customWidth="1" outlineLevel="2"/>
    <col min="94" max="94" width="12.85546875" style="71" customWidth="1" outlineLevel="2"/>
    <col min="95" max="95" width="3.85546875" style="71" customWidth="1" outlineLevel="1"/>
    <col min="96" max="96" width="3.5703125" style="104" customWidth="1" outlineLevel="2"/>
    <col min="97" max="97" width="4.140625" style="104" customWidth="1" outlineLevel="2"/>
    <col min="98" max="98" width="3.5703125" style="104" customWidth="1" outlineLevel="2"/>
    <col min="99" max="99" width="12.85546875" style="71" customWidth="1" outlineLevel="2"/>
    <col min="100" max="100" width="3.5703125" style="104" customWidth="1" outlineLevel="2"/>
    <col min="101" max="101" width="4.140625" style="104" customWidth="1" outlineLevel="2"/>
    <col min="102" max="102" width="3.5703125" style="104" customWidth="1" outlineLevel="2"/>
    <col min="103" max="103" width="12.85546875" style="71" customWidth="1" outlineLevel="2"/>
    <col min="104" max="104" width="3.5703125" style="104" customWidth="1" outlineLevel="2"/>
    <col min="105" max="105" width="4.140625" style="104" customWidth="1" outlineLevel="2"/>
    <col min="106" max="106" width="3.5703125" style="104" customWidth="1" outlineLevel="2"/>
    <col min="107" max="107" width="12.85546875" style="71" customWidth="1" outlineLevel="2"/>
    <col min="108" max="108" width="3.85546875" style="71" customWidth="1" outlineLevel="1"/>
    <col min="109" max="109" width="3.5703125" style="104" customWidth="1" outlineLevel="2"/>
    <col min="110" max="110" width="4.140625" style="104" customWidth="1" outlineLevel="2"/>
    <col min="111" max="111" width="3.5703125" style="104" customWidth="1" outlineLevel="2"/>
    <col min="112" max="112" width="12.85546875" style="71" customWidth="1" outlineLevel="2"/>
    <col min="113" max="113" width="3.5703125" style="104" customWidth="1" outlineLevel="2"/>
    <col min="114" max="114" width="4.140625" style="104" customWidth="1" outlineLevel="2"/>
    <col min="115" max="115" width="3.5703125" style="104" customWidth="1" outlineLevel="2"/>
    <col min="116" max="116" width="12.85546875" style="71" customWidth="1" outlineLevel="2"/>
    <col min="117" max="117" width="3.5703125" style="104" customWidth="1" outlineLevel="2"/>
    <col min="118" max="118" width="4.140625" style="104" customWidth="1" outlineLevel="2"/>
    <col min="119" max="119" width="3.5703125" style="104" customWidth="1" outlineLevel="2"/>
    <col min="120" max="120" width="12.85546875" style="71" customWidth="1" outlineLevel="2"/>
    <col min="121" max="121" width="3.85546875" style="71" customWidth="1" outlineLevel="1"/>
    <col min="122" max="122" width="3.5703125" style="104" customWidth="1" outlineLevel="2"/>
    <col min="123" max="123" width="4.140625" style="104" customWidth="1" outlineLevel="2"/>
    <col min="124" max="124" width="3.5703125" style="104" customWidth="1" outlineLevel="2"/>
    <col min="125" max="125" width="12.85546875" style="71" customWidth="1" outlineLevel="2"/>
    <col min="126" max="126" width="3.5703125" style="104" customWidth="1" outlineLevel="2"/>
    <col min="127" max="127" width="4.140625" style="104" customWidth="1" outlineLevel="2"/>
    <col min="128" max="128" width="3.5703125" style="104" customWidth="1" outlineLevel="2"/>
    <col min="129" max="129" width="12.85546875" style="71" customWidth="1" outlineLevel="2"/>
    <col min="130" max="130" width="3.5703125" style="104" customWidth="1" outlineLevel="2"/>
    <col min="131" max="131" width="4.140625" style="104" customWidth="1" outlineLevel="2"/>
    <col min="132" max="132" width="3.5703125" style="104" customWidth="1" outlineLevel="2"/>
    <col min="133" max="133" width="12.85546875" style="71" customWidth="1" outlineLevel="2"/>
    <col min="134" max="134" width="3.85546875" style="71" customWidth="1" outlineLevel="1" collapsed="1"/>
    <col min="135" max="135" width="3.5703125" style="104" hidden="1" customWidth="1" outlineLevel="2"/>
    <col min="136" max="136" width="4.140625" style="104" hidden="1" customWidth="1" outlineLevel="2"/>
    <col min="137" max="137" width="3.5703125" style="104" hidden="1" customWidth="1" outlineLevel="2"/>
    <col min="138" max="138" width="12.85546875" style="71" hidden="1" customWidth="1" outlineLevel="2"/>
    <col min="139" max="139" width="3.5703125" style="104" hidden="1" customWidth="1" outlineLevel="2"/>
    <col min="140" max="140" width="4.140625" style="104" hidden="1" customWidth="1" outlineLevel="2"/>
    <col min="141" max="141" width="3.5703125" style="104" hidden="1" customWidth="1" outlineLevel="2"/>
    <col min="142" max="142" width="12.85546875" style="71" hidden="1" customWidth="1" outlineLevel="2"/>
    <col min="143" max="143" width="3.5703125" style="104" hidden="1" customWidth="1" outlineLevel="2"/>
    <col min="144" max="144" width="4.140625" style="104" hidden="1" customWidth="1" outlineLevel="2"/>
    <col min="145" max="145" width="3.5703125" style="104" hidden="1" customWidth="1" outlineLevel="2"/>
    <col min="146" max="146" width="12.85546875" style="71" hidden="1" customWidth="1" outlineLevel="2"/>
    <col min="147" max="147" width="3.5703125" style="104" hidden="1" customWidth="1" outlineLevel="2"/>
    <col min="148" max="148" width="4.140625" style="104" hidden="1" customWidth="1" outlineLevel="2"/>
    <col min="149" max="149" width="3.5703125" style="104" hidden="1" customWidth="1" outlineLevel="2"/>
    <col min="150" max="150" width="12.85546875" style="71" hidden="1" customWidth="1" outlineLevel="2"/>
    <col min="151" max="151" width="3.5703125" style="104" hidden="1" customWidth="1" outlineLevel="2"/>
    <col min="152" max="152" width="4.140625" style="104" hidden="1" customWidth="1" outlineLevel="2"/>
    <col min="153" max="153" width="3.5703125" style="104" hidden="1" customWidth="1" outlineLevel="2"/>
    <col min="154" max="154" width="12.85546875" style="71" hidden="1" customWidth="1" outlineLevel="2"/>
    <col min="155" max="155" width="3.85546875" style="71" customWidth="1" outlineLevel="1"/>
    <col min="156" max="167" width="12.85546875" style="71" customWidth="1" outlineLevel="2"/>
    <col min="168" max="170" width="0.85546875" style="71" customWidth="1"/>
    <col min="171" max="171" width="3.85546875" style="71" customWidth="1"/>
    <col min="172" max="181" width="12.85546875" style="71" customWidth="1" outlineLevel="1"/>
    <col min="182" max="184" width="0.85546875" style="71" customWidth="1"/>
    <col min="185" max="16384" width="8.85546875" style="71"/>
  </cols>
  <sheetData>
    <row r="1" spans="1:155" ht="12" customHeight="1" collapsed="1">
      <c r="A1" s="65"/>
      <c r="B1" s="65"/>
      <c r="C1" s="65"/>
      <c r="D1" s="65"/>
      <c r="E1" s="66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7"/>
      <c r="Z1" s="68"/>
      <c r="AA1" s="68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9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9"/>
      <c r="BN1" s="65"/>
      <c r="BO1" s="65"/>
      <c r="BP1" s="65"/>
      <c r="BQ1" s="70"/>
      <c r="BR1" s="70"/>
      <c r="BS1" s="70"/>
      <c r="BT1" s="70"/>
      <c r="BU1" s="70"/>
      <c r="BY1" s="65"/>
      <c r="CD1" s="65"/>
      <c r="CQ1" s="65"/>
      <c r="DD1" s="65"/>
      <c r="DQ1" s="65"/>
      <c r="ED1" s="65"/>
      <c r="EY1" s="65"/>
    </row>
    <row r="2" spans="1:155" ht="24" hidden="1" customHeight="1" outlineLevel="1">
      <c r="A2" s="65"/>
      <c r="B2" s="65"/>
      <c r="C2" s="65"/>
      <c r="D2" s="65"/>
      <c r="E2" s="72" t="s">
        <v>196</v>
      </c>
      <c r="F2" s="72" t="s">
        <v>197</v>
      </c>
      <c r="G2" s="72" t="s">
        <v>198</v>
      </c>
      <c r="H2" s="72" t="s">
        <v>199</v>
      </c>
      <c r="I2" s="65"/>
      <c r="J2" s="65"/>
      <c r="K2" s="65"/>
      <c r="L2" s="73" t="s">
        <v>200</v>
      </c>
      <c r="M2" s="65"/>
      <c r="N2" s="65"/>
      <c r="O2" s="73" t="s">
        <v>201</v>
      </c>
      <c r="P2" s="65"/>
      <c r="Q2" s="65"/>
      <c r="R2" s="65"/>
      <c r="S2" s="73" t="s">
        <v>202</v>
      </c>
      <c r="T2" s="73" t="s">
        <v>203</v>
      </c>
      <c r="U2" s="65"/>
      <c r="V2" s="65"/>
      <c r="W2" s="65"/>
      <c r="X2" s="65"/>
      <c r="Y2" s="67"/>
      <c r="Z2" s="68"/>
      <c r="AA2" s="68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9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9"/>
      <c r="BN2" s="65"/>
      <c r="BO2" s="65"/>
      <c r="BP2" s="65"/>
      <c r="BQ2" s="70"/>
      <c r="BR2" s="70"/>
      <c r="BS2" s="70"/>
      <c r="BT2" s="74" t="str">
        <f>HYPERLINK("#GER",BU2)</f>
        <v>GER. (OBRA/PROJ)</v>
      </c>
      <c r="BU2" s="75" t="str">
        <f>'Base Salarial'!G5</f>
        <v>GER. (OBRA/PROJ)</v>
      </c>
      <c r="BY2" s="65"/>
      <c r="CD2" s="65"/>
      <c r="CQ2" s="65"/>
      <c r="DD2" s="65"/>
      <c r="DQ2" s="65"/>
      <c r="ED2" s="65"/>
      <c r="EY2" s="65"/>
    </row>
    <row r="3" spans="1:155" ht="26.45" hidden="1" customHeight="1" outlineLevel="1">
      <c r="A3" s="65"/>
      <c r="B3" s="65"/>
      <c r="C3" s="65"/>
      <c r="D3" s="65"/>
      <c r="E3" s="76">
        <v>1</v>
      </c>
      <c r="F3" s="77" t="s">
        <v>204</v>
      </c>
      <c r="G3" s="78" t="s">
        <v>165</v>
      </c>
      <c r="H3" s="78" t="s">
        <v>205</v>
      </c>
      <c r="I3" s="65"/>
      <c r="J3" s="65"/>
      <c r="K3" s="65"/>
      <c r="L3" s="79">
        <f>IFERROR(_xlfn.XLOOKUP(G3,Improdutividade!$R$1:$AK$1,Improdutividade!$R$17:$AK$17),0)</f>
        <v>0</v>
      </c>
      <c r="M3" s="65"/>
      <c r="N3" s="65"/>
      <c r="O3" s="80">
        <f t="shared" ref="O3:O22" si="0">SUMIF($N$32:$N$54,G3,$O$32:$O$54)</f>
        <v>1992.4666666666667</v>
      </c>
      <c r="P3" s="65"/>
      <c r="Q3" s="65"/>
      <c r="R3" s="65"/>
      <c r="S3" s="81">
        <f>IFERROR(SUM(Precificação!U96:U115)/SUM(Precificação!$U$96:$U$533)*Precificação!$U$2,0)</f>
        <v>308321.80447530077</v>
      </c>
      <c r="T3" s="81">
        <f>IFERROR(S3/O3,0)</f>
        <v>154.74377043963969</v>
      </c>
      <c r="U3" s="65"/>
      <c r="V3" s="65"/>
      <c r="W3" s="65"/>
      <c r="X3" s="65"/>
      <c r="Y3" s="67"/>
      <c r="Z3" s="68"/>
      <c r="AA3" s="68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9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9"/>
      <c r="BN3" s="65"/>
      <c r="BO3" s="65"/>
      <c r="BP3" s="65"/>
      <c r="BQ3" s="70"/>
      <c r="BR3" s="70"/>
      <c r="BS3" s="70"/>
      <c r="BT3" s="74" t="str">
        <f>HYPERLINK("#COORD.",BU3)</f>
        <v>COORD.</v>
      </c>
      <c r="BU3" s="75" t="str">
        <f>'Base Salarial'!G7</f>
        <v>COORD.</v>
      </c>
      <c r="BY3" s="65"/>
      <c r="CD3" s="65"/>
      <c r="CQ3" s="65"/>
      <c r="DD3" s="65"/>
      <c r="DQ3" s="65"/>
      <c r="ED3" s="65"/>
      <c r="EY3" s="65"/>
    </row>
    <row r="4" spans="1:155" ht="26.45" hidden="1" customHeight="1" outlineLevel="1">
      <c r="A4" s="65"/>
      <c r="B4" s="65"/>
      <c r="C4" s="65"/>
      <c r="D4" s="65"/>
      <c r="E4" s="76">
        <v>2</v>
      </c>
      <c r="F4" s="77" t="s">
        <v>206</v>
      </c>
      <c r="G4" s="78" t="s">
        <v>166</v>
      </c>
      <c r="H4" s="78" t="s">
        <v>207</v>
      </c>
      <c r="I4" s="65"/>
      <c r="J4" s="65"/>
      <c r="K4" s="65"/>
      <c r="L4" s="79">
        <f>IFERROR(_xlfn.XLOOKUP(G4,Improdutividade!$R$1:$AK$1,Improdutividade!$R$17:$AK$17),0)</f>
        <v>0</v>
      </c>
      <c r="M4" s="65"/>
      <c r="N4" s="65"/>
      <c r="O4" s="80">
        <f t="shared" si="0"/>
        <v>1394.7266666666669</v>
      </c>
      <c r="P4" s="65"/>
      <c r="Q4" s="65"/>
      <c r="R4" s="65"/>
      <c r="S4" s="81">
        <f>IFERROR(SUM(Precificação!U118:U137)/SUM(Precificação!$U$96:$U$533)*Precificação!$U$2,0)</f>
        <v>162349.22390910884</v>
      </c>
      <c r="T4" s="81">
        <f t="shared" ref="T4:T22" si="1">IFERROR(S4/O4,0)</f>
        <v>116.40217957337553</v>
      </c>
      <c r="U4" s="65"/>
      <c r="V4" s="65"/>
      <c r="W4" s="65"/>
      <c r="X4" s="65"/>
      <c r="Y4" s="67"/>
      <c r="Z4" s="68"/>
      <c r="AA4" s="68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9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9"/>
      <c r="BN4" s="65"/>
      <c r="BO4" s="65"/>
      <c r="BP4" s="65"/>
      <c r="BQ4" s="70"/>
      <c r="BR4" s="70"/>
      <c r="BS4" s="70"/>
      <c r="BT4" s="74" t="str">
        <f>HYPERLINK("#SUP.ESP",BU4)</f>
        <v>SUP.-ESP</v>
      </c>
      <c r="BU4" s="75" t="str">
        <f>'Base Salarial'!G8</f>
        <v>SUP.-ESP</v>
      </c>
      <c r="BY4" s="65"/>
      <c r="CD4" s="65"/>
      <c r="CQ4" s="65"/>
      <c r="DD4" s="65"/>
      <c r="DQ4" s="65"/>
      <c r="ED4" s="65"/>
      <c r="EY4" s="65"/>
    </row>
    <row r="5" spans="1:155" ht="26.45" hidden="1" customHeight="1" outlineLevel="1">
      <c r="A5" s="65"/>
      <c r="B5" s="65"/>
      <c r="C5" s="65"/>
      <c r="D5" s="65"/>
      <c r="E5" s="76">
        <v>3</v>
      </c>
      <c r="F5" s="77" t="s">
        <v>208</v>
      </c>
      <c r="G5" s="78" t="s">
        <v>168</v>
      </c>
      <c r="H5" s="78" t="s">
        <v>209</v>
      </c>
      <c r="I5" s="65"/>
      <c r="J5" s="65"/>
      <c r="K5" s="65"/>
      <c r="L5" s="79">
        <f>IFERROR(_xlfn.XLOOKUP(G5,Improdutividade!$R$1:$AK$1,Improdutividade!$R$17:$AK$17),0)</f>
        <v>0</v>
      </c>
      <c r="M5" s="65"/>
      <c r="N5" s="65"/>
      <c r="O5" s="80">
        <f t="shared" si="0"/>
        <v>242.00000000000003</v>
      </c>
      <c r="P5" s="65"/>
      <c r="Q5" s="65"/>
      <c r="R5" s="65"/>
      <c r="S5" s="81">
        <f>IFERROR(SUM(Precificação!U140:U159)/SUM(Precificação!$U$96:$U$533)*Precificação!$U$2,0)</f>
        <v>28659.125850104556</v>
      </c>
      <c r="T5" s="81">
        <f t="shared" si="1"/>
        <v>118.42613987646509</v>
      </c>
      <c r="U5" s="65"/>
      <c r="V5" s="65"/>
      <c r="W5" s="65"/>
      <c r="X5" s="65"/>
      <c r="Y5" s="67"/>
      <c r="Z5" s="68"/>
      <c r="AA5" s="68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9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9"/>
      <c r="BN5" s="65"/>
      <c r="BO5" s="65"/>
      <c r="BP5" s="65"/>
      <c r="BQ5" s="70"/>
      <c r="BR5" s="70"/>
      <c r="BS5" s="70"/>
      <c r="BT5" s="74" t="str">
        <f>HYPERLINK("#ENGARQSR",BU5)</f>
        <v>ENG/ARQ SR.</v>
      </c>
      <c r="BU5" s="75" t="str">
        <f>'Base Salarial'!G9</f>
        <v>ENG/ARQ SR.</v>
      </c>
      <c r="BY5" s="65"/>
      <c r="CD5" s="65"/>
      <c r="CQ5" s="65"/>
      <c r="DD5" s="65"/>
      <c r="DQ5" s="65"/>
      <c r="ED5" s="65"/>
      <c r="EY5" s="65"/>
    </row>
    <row r="6" spans="1:155" ht="26.45" hidden="1" customHeight="1" outlineLevel="1">
      <c r="A6" s="65"/>
      <c r="B6" s="65"/>
      <c r="C6" s="65"/>
      <c r="D6" s="65"/>
      <c r="E6" s="76">
        <v>4</v>
      </c>
      <c r="F6" s="77" t="s">
        <v>210</v>
      </c>
      <c r="G6" s="78" t="s">
        <v>169</v>
      </c>
      <c r="H6" s="78" t="s">
        <v>211</v>
      </c>
      <c r="I6" s="65"/>
      <c r="J6" s="65"/>
      <c r="K6" s="65"/>
      <c r="L6" s="79">
        <f>IFERROR(_xlfn.XLOOKUP(G6,Improdutividade!$R$1:$AK$1,Improdutividade!$R$17:$AK$17),0)</f>
        <v>0</v>
      </c>
      <c r="M6" s="65"/>
      <c r="N6" s="65"/>
      <c r="O6" s="80">
        <f t="shared" si="0"/>
        <v>580.80000000000007</v>
      </c>
      <c r="P6" s="65"/>
      <c r="Q6" s="65"/>
      <c r="R6" s="65"/>
      <c r="S6" s="81">
        <f>IFERROR(SUM(Precificação!U162:U181)/SUM(Precificação!$U$96:$U$533)*Precificação!$U$2,0)</f>
        <v>35052.315462820188</v>
      </c>
      <c r="T6" s="81">
        <f t="shared" si="1"/>
        <v>60.351782821660095</v>
      </c>
      <c r="U6" s="65"/>
      <c r="V6" s="65"/>
      <c r="W6" s="65"/>
      <c r="X6" s="65"/>
      <c r="Y6" s="67"/>
      <c r="Z6" s="68"/>
      <c r="AA6" s="68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9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9"/>
      <c r="BN6" s="65"/>
      <c r="BO6" s="65"/>
      <c r="BP6" s="65"/>
      <c r="BQ6" s="70"/>
      <c r="BR6" s="70"/>
      <c r="BS6" s="70"/>
      <c r="BT6" s="74" t="str">
        <f>HYPERLINK("#ENGARQPL",BU6)</f>
        <v>ENG/ARQ PL.</v>
      </c>
      <c r="BU6" s="75" t="str">
        <f>'Base Salarial'!G10</f>
        <v>ENG/ARQ PL.</v>
      </c>
      <c r="BY6" s="65"/>
      <c r="CD6" s="65"/>
      <c r="CQ6" s="65"/>
      <c r="DD6" s="65"/>
      <c r="DQ6" s="65"/>
      <c r="ED6" s="65"/>
      <c r="EY6" s="65"/>
    </row>
    <row r="7" spans="1:155" ht="26.45" hidden="1" customHeight="1" outlineLevel="1">
      <c r="A7" s="65"/>
      <c r="B7" s="65"/>
      <c r="C7" s="65"/>
      <c r="D7" s="65"/>
      <c r="E7" s="76">
        <v>5</v>
      </c>
      <c r="F7" s="77" t="s">
        <v>212</v>
      </c>
      <c r="G7" s="78" t="s">
        <v>170</v>
      </c>
      <c r="H7" s="78" t="s">
        <v>213</v>
      </c>
      <c r="I7" s="65"/>
      <c r="J7" s="65"/>
      <c r="K7" s="65"/>
      <c r="L7" s="79">
        <f>IFERROR(_xlfn.XLOOKUP(G7,Improdutividade!$R$1:$AK$1,Improdutividade!$R$17:$AK$17),0)</f>
        <v>0</v>
      </c>
      <c r="M7" s="65"/>
      <c r="N7" s="65"/>
      <c r="O7" s="80">
        <f t="shared" si="0"/>
        <v>1176.1200000000001</v>
      </c>
      <c r="P7" s="65"/>
      <c r="Q7" s="65"/>
      <c r="R7" s="65"/>
      <c r="S7" s="81">
        <f>IFERROR(SUM(Precificação!U184:U203)/SUM(Precificação!$U$96:$U$533)*Precificação!$U$2,0)</f>
        <v>134792.37213016205</v>
      </c>
      <c r="T7" s="81">
        <f t="shared" si="1"/>
        <v>114.60766939611777</v>
      </c>
      <c r="U7" s="65"/>
      <c r="V7" s="65"/>
      <c r="W7" s="65"/>
      <c r="X7" s="65"/>
      <c r="Y7" s="67"/>
      <c r="Z7" s="68"/>
      <c r="AA7" s="68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9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9"/>
      <c r="BN7" s="65"/>
      <c r="BO7" s="65"/>
      <c r="BP7" s="65"/>
      <c r="BQ7" s="70"/>
      <c r="BR7" s="70"/>
      <c r="BS7" s="70"/>
      <c r="BT7" s="74" t="str">
        <f>HYPERLINK("#ENGARQJR",BU7)</f>
        <v>ENG/ARQ JR.</v>
      </c>
      <c r="BU7" s="75" t="str">
        <f>'Base Salarial'!G11</f>
        <v>ENG/ARQ JR.</v>
      </c>
      <c r="BY7" s="65"/>
      <c r="CD7" s="65"/>
      <c r="CQ7" s="65"/>
      <c r="DD7" s="65"/>
      <c r="DQ7" s="65"/>
      <c r="ED7" s="65"/>
      <c r="EY7" s="65"/>
    </row>
    <row r="8" spans="1:155" ht="26.45" hidden="1" customHeight="1" outlineLevel="1">
      <c r="A8" s="65"/>
      <c r="B8" s="65"/>
      <c r="C8" s="65"/>
      <c r="D8" s="65"/>
      <c r="E8" s="76">
        <v>6</v>
      </c>
      <c r="F8" s="77" t="s">
        <v>214</v>
      </c>
      <c r="G8" s="78" t="s">
        <v>172</v>
      </c>
      <c r="H8" s="78"/>
      <c r="I8" s="65"/>
      <c r="J8" s="65"/>
      <c r="K8" s="65"/>
      <c r="L8" s="79">
        <f>IFERROR(_xlfn.XLOOKUP(G8,Improdutividade!$R$1:$AK$1,Improdutividade!$R$17:$AK$17),0)</f>
        <v>0</v>
      </c>
      <c r="M8" s="65"/>
      <c r="N8" s="65"/>
      <c r="O8" s="80">
        <f t="shared" si="0"/>
        <v>2089.2666666666669</v>
      </c>
      <c r="P8" s="65"/>
      <c r="Q8" s="65"/>
      <c r="R8" s="65"/>
      <c r="S8" s="81">
        <f>IFERROR(SUM(Precificação!U206:U225)/SUM(Precificação!$U$96:$U$533)*Precificação!$U$2,0)</f>
        <v>115124.65334621674</v>
      </c>
      <c r="T8" s="81">
        <f t="shared" si="1"/>
        <v>55.102900545430643</v>
      </c>
      <c r="U8" s="65"/>
      <c r="V8" s="65"/>
      <c r="W8" s="65"/>
      <c r="X8" s="65"/>
      <c r="Y8" s="67"/>
      <c r="Z8" s="68"/>
      <c r="AA8" s="68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9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9"/>
      <c r="BN8" s="65"/>
      <c r="BO8" s="65"/>
      <c r="BP8" s="65"/>
      <c r="BQ8" s="70"/>
      <c r="BR8" s="70"/>
      <c r="BS8" s="70"/>
      <c r="BT8" s="74" t="str">
        <f>HYPERLINK("#ANSR.ENGARQ",BU8)</f>
        <v>AN SR. ENG/ARQ</v>
      </c>
      <c r="BU8" s="75" t="str">
        <f>'Base Salarial'!G12</f>
        <v>AN SR. ENG/ARQ</v>
      </c>
      <c r="BY8" s="65"/>
      <c r="CD8" s="65"/>
      <c r="CQ8" s="65"/>
      <c r="DD8" s="65"/>
      <c r="DQ8" s="65"/>
      <c r="ED8" s="65"/>
      <c r="EY8" s="65"/>
    </row>
    <row r="9" spans="1:155" ht="26.45" hidden="1" customHeight="1" outlineLevel="1">
      <c r="A9" s="65"/>
      <c r="B9" s="65"/>
      <c r="C9" s="65"/>
      <c r="D9" s="65"/>
      <c r="E9" s="76">
        <v>7</v>
      </c>
      <c r="F9" s="77" t="s">
        <v>215</v>
      </c>
      <c r="G9" s="78" t="s">
        <v>173</v>
      </c>
      <c r="H9" s="78"/>
      <c r="I9" s="65"/>
      <c r="J9" s="65"/>
      <c r="K9" s="65"/>
      <c r="L9" s="79">
        <f>IFERROR(_xlfn.XLOOKUP(G9,Improdutividade!$R$1:$AK$1,Improdutividade!$R$17:$AK$17),0)</f>
        <v>0</v>
      </c>
      <c r="M9" s="65"/>
      <c r="N9" s="65"/>
      <c r="O9" s="80">
        <f t="shared" si="0"/>
        <v>0</v>
      </c>
      <c r="P9" s="65"/>
      <c r="Q9" s="65"/>
      <c r="R9" s="65"/>
      <c r="S9" s="81">
        <f>IFERROR(SUM(Precificação!U228:U247)/SUM(Precificação!$U$96:$U$533)*Precificação!$U$2,0)</f>
        <v>0</v>
      </c>
      <c r="T9" s="81">
        <f t="shared" si="1"/>
        <v>0</v>
      </c>
      <c r="U9" s="65"/>
      <c r="V9" s="65"/>
      <c r="W9" s="65"/>
      <c r="X9" s="65"/>
      <c r="Y9" s="67"/>
      <c r="Z9" s="68"/>
      <c r="AA9" s="68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9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9"/>
      <c r="BN9" s="65"/>
      <c r="BO9" s="65"/>
      <c r="BP9" s="65"/>
      <c r="BQ9" s="70"/>
      <c r="BR9" s="70"/>
      <c r="BS9" s="70"/>
      <c r="BT9" s="74" t="str">
        <f>HYPERLINK("#ANPL.ENGARQ",BU9)</f>
        <v>AN PL. ENG/ARQ</v>
      </c>
      <c r="BU9" s="75" t="str">
        <f>'Base Salarial'!G13</f>
        <v>AN PL. ENG/ARQ</v>
      </c>
      <c r="BY9" s="65"/>
      <c r="CD9" s="65"/>
      <c r="CQ9" s="65"/>
      <c r="DD9" s="65"/>
      <c r="DQ9" s="65"/>
      <c r="ED9" s="65"/>
      <c r="EY9" s="65"/>
    </row>
    <row r="10" spans="1:155" ht="26.45" hidden="1" customHeight="1" outlineLevel="1">
      <c r="A10" s="65"/>
      <c r="B10" s="65"/>
      <c r="C10" s="65"/>
      <c r="D10" s="65"/>
      <c r="E10" s="76">
        <v>8</v>
      </c>
      <c r="F10" s="77" t="s">
        <v>216</v>
      </c>
      <c r="G10" s="78" t="s">
        <v>174</v>
      </c>
      <c r="H10" s="78"/>
      <c r="I10" s="65"/>
      <c r="J10" s="65"/>
      <c r="K10" s="65"/>
      <c r="L10" s="79">
        <f>IFERROR(_xlfn.XLOOKUP(G10,Improdutividade!$R$1:$AK$1,Improdutividade!$R$17:$AK$17),0)</f>
        <v>0</v>
      </c>
      <c r="M10" s="65"/>
      <c r="N10" s="65"/>
      <c r="O10" s="80">
        <f t="shared" si="0"/>
        <v>0</v>
      </c>
      <c r="P10" s="65"/>
      <c r="Q10" s="65"/>
      <c r="R10" s="65"/>
      <c r="S10" s="81">
        <f>IFERROR(SUM(Precificação!U250:U269)/SUM(Precificação!$U$96:$U$533)*Precificação!$U$2,0)</f>
        <v>0</v>
      </c>
      <c r="T10" s="81">
        <f t="shared" si="1"/>
        <v>0</v>
      </c>
      <c r="U10" s="65"/>
      <c r="V10" s="65"/>
      <c r="W10" s="65"/>
      <c r="X10" s="65"/>
      <c r="Y10" s="67"/>
      <c r="Z10" s="68"/>
      <c r="AA10" s="68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9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9"/>
      <c r="BN10" s="65"/>
      <c r="BO10" s="65"/>
      <c r="BP10" s="65"/>
      <c r="BQ10" s="70"/>
      <c r="BR10" s="70"/>
      <c r="BS10" s="70"/>
      <c r="BT10" s="74" t="str">
        <f>HYPERLINK("#ANJR.ENGARQ",BU10)</f>
        <v>AN JR. ENG/ARQ</v>
      </c>
      <c r="BU10" s="75" t="str">
        <f>'Base Salarial'!G14</f>
        <v>AN JR. ENG/ARQ</v>
      </c>
      <c r="BY10" s="65"/>
      <c r="CD10" s="65"/>
      <c r="CQ10" s="65"/>
      <c r="DD10" s="65"/>
      <c r="DQ10" s="65"/>
      <c r="ED10" s="65"/>
      <c r="EY10" s="65"/>
    </row>
    <row r="11" spans="1:155" ht="26.45" hidden="1" customHeight="1" outlineLevel="1">
      <c r="A11" s="65"/>
      <c r="B11" s="65"/>
      <c r="C11" s="65"/>
      <c r="D11" s="65"/>
      <c r="E11" s="76">
        <v>9</v>
      </c>
      <c r="F11" s="77" t="s">
        <v>217</v>
      </c>
      <c r="G11" s="78" t="s">
        <v>175</v>
      </c>
      <c r="H11" s="78"/>
      <c r="I11" s="65"/>
      <c r="J11" s="65"/>
      <c r="K11" s="65"/>
      <c r="L11" s="79">
        <f>IFERROR(_xlfn.XLOOKUP(G11,Improdutividade!$R$1:$AK$1,Improdutividade!$R$17:$AK$17),0)</f>
        <v>0</v>
      </c>
      <c r="M11" s="65"/>
      <c r="N11" s="65"/>
      <c r="O11" s="80">
        <f t="shared" si="0"/>
        <v>0</v>
      </c>
      <c r="P11" s="65"/>
      <c r="Q11" s="65"/>
      <c r="R11" s="65"/>
      <c r="S11" s="81">
        <f>IFERROR(SUM(Precificação!U272:U291)/SUM(Precificação!$U$96:$U$533)*Precificação!$U$2,0)</f>
        <v>0</v>
      </c>
      <c r="T11" s="81">
        <f t="shared" si="1"/>
        <v>0</v>
      </c>
      <c r="U11" s="65"/>
      <c r="V11" s="65"/>
      <c r="W11" s="65"/>
      <c r="X11" s="65"/>
      <c r="Y11" s="67"/>
      <c r="Z11" s="68"/>
      <c r="AA11" s="68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9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9"/>
      <c r="BN11" s="65"/>
      <c r="BO11" s="65"/>
      <c r="BP11" s="65"/>
      <c r="BQ11" s="70"/>
      <c r="BR11" s="70"/>
      <c r="BS11" s="70"/>
      <c r="BT11" s="74" t="str">
        <f>HYPERLINK("#ANSR.ADMCRP",BU11)</f>
        <v>AN SR. ADM/CRP</v>
      </c>
      <c r="BU11" s="75" t="str">
        <f>'Base Salarial'!G15</f>
        <v>AN SR. ADM/CRP</v>
      </c>
      <c r="BY11" s="65"/>
      <c r="CD11" s="65"/>
      <c r="CQ11" s="65"/>
      <c r="DD11" s="65"/>
      <c r="DQ11" s="65"/>
      <c r="ED11" s="65"/>
      <c r="EY11" s="65"/>
    </row>
    <row r="12" spans="1:155" ht="26.45" hidden="1" customHeight="1" outlineLevel="1">
      <c r="A12" s="65"/>
      <c r="B12" s="65"/>
      <c r="C12" s="65"/>
      <c r="D12" s="65"/>
      <c r="E12" s="76">
        <v>10</v>
      </c>
      <c r="F12" s="77" t="s">
        <v>218</v>
      </c>
      <c r="G12" s="78" t="s">
        <v>167</v>
      </c>
      <c r="H12" s="78"/>
      <c r="I12" s="65"/>
      <c r="J12" s="65"/>
      <c r="K12" s="65"/>
      <c r="L12" s="79">
        <f>IFERROR(_xlfn.XLOOKUP(G12,Improdutividade!$R$1:$AK$1,Improdutividade!$R$17:$AK$17),0)</f>
        <v>0</v>
      </c>
      <c r="M12" s="65"/>
      <c r="N12" s="65"/>
      <c r="O12" s="80">
        <f t="shared" si="0"/>
        <v>133.10000000000002</v>
      </c>
      <c r="P12" s="65"/>
      <c r="Q12" s="65"/>
      <c r="R12" s="65"/>
      <c r="S12" s="81">
        <f>IFERROR(SUM(Precificação!U294:U313)/SUM(Precificação!$U$96:$U$533)*Precificação!$U$2,0)</f>
        <v>16534.11106736802</v>
      </c>
      <c r="T12" s="81">
        <f t="shared" si="1"/>
        <v>124.22322364664174</v>
      </c>
      <c r="U12" s="65"/>
      <c r="V12" s="65"/>
      <c r="W12" s="65"/>
      <c r="X12" s="65"/>
      <c r="Y12" s="67"/>
      <c r="Z12" s="68"/>
      <c r="AA12" s="68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9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9"/>
      <c r="BN12" s="65"/>
      <c r="BO12" s="65"/>
      <c r="BP12" s="65"/>
      <c r="BQ12" s="70"/>
      <c r="BR12" s="70"/>
      <c r="BS12" s="70"/>
      <c r="BT12" s="74" t="str">
        <f>HYPERLINK("#ANPL.ADMCRP",BU12)</f>
        <v>AN PL. ADM/CRP</v>
      </c>
      <c r="BU12" s="75" t="str">
        <f>'Base Salarial'!G16</f>
        <v>AN PL. ADM/CRP</v>
      </c>
      <c r="BY12" s="65"/>
      <c r="CD12" s="65"/>
      <c r="CQ12" s="65"/>
      <c r="DD12" s="65"/>
      <c r="DQ12" s="65"/>
      <c r="ED12" s="65"/>
      <c r="EY12" s="65"/>
    </row>
    <row r="13" spans="1:155" ht="26.45" hidden="1" customHeight="1" outlineLevel="1">
      <c r="A13" s="65"/>
      <c r="B13" s="65"/>
      <c r="C13" s="65"/>
      <c r="D13" s="65"/>
      <c r="E13" s="76">
        <v>11</v>
      </c>
      <c r="F13" s="77" t="s">
        <v>219</v>
      </c>
      <c r="G13" s="78" t="s">
        <v>176</v>
      </c>
      <c r="H13" s="78"/>
      <c r="I13" s="65"/>
      <c r="J13" s="65"/>
      <c r="K13" s="65"/>
      <c r="L13" s="79">
        <f>IFERROR(_xlfn.XLOOKUP(G13,Improdutividade!$R$1:$AK$1,Improdutividade!$R$17:$AK$17),0)</f>
        <v>0</v>
      </c>
      <c r="M13" s="65"/>
      <c r="N13" s="65"/>
      <c r="O13" s="80">
        <f t="shared" si="0"/>
        <v>0</v>
      </c>
      <c r="P13" s="65"/>
      <c r="Q13" s="65"/>
      <c r="R13" s="65"/>
      <c r="S13" s="81">
        <f>IFERROR(SUM(Precificação!U316:U335)/SUM(Precificação!$U$96:$U$533)*Precificação!$U$2,0)</f>
        <v>0</v>
      </c>
      <c r="T13" s="81">
        <f t="shared" si="1"/>
        <v>0</v>
      </c>
      <c r="U13" s="65"/>
      <c r="V13" s="65"/>
      <c r="W13" s="65"/>
      <c r="X13" s="65"/>
      <c r="Y13" s="67"/>
      <c r="Z13" s="68"/>
      <c r="AA13" s="68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9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9"/>
      <c r="BN13" s="65"/>
      <c r="BO13" s="65"/>
      <c r="BP13" s="65"/>
      <c r="BQ13" s="70"/>
      <c r="BR13" s="70"/>
      <c r="BS13" s="70"/>
      <c r="BT13" s="74" t="str">
        <f>HYPERLINK("#ANJR.ADMCRP",BU13)</f>
        <v>AN JR. ADM/CRP</v>
      </c>
      <c r="BU13" s="75" t="str">
        <f>'Base Salarial'!G17</f>
        <v>AN JR. ADM/CRP</v>
      </c>
      <c r="BY13" s="65"/>
      <c r="CD13" s="65"/>
      <c r="CQ13" s="65"/>
      <c r="DD13" s="65"/>
      <c r="DQ13" s="65"/>
      <c r="ED13" s="65"/>
      <c r="EY13" s="65"/>
    </row>
    <row r="14" spans="1:155" ht="26.45" hidden="1" customHeight="1" outlineLevel="1">
      <c r="A14" s="65"/>
      <c r="B14" s="65"/>
      <c r="C14" s="65"/>
      <c r="D14" s="65"/>
      <c r="E14" s="76">
        <v>12</v>
      </c>
      <c r="F14" s="77" t="s">
        <v>220</v>
      </c>
      <c r="G14" s="78" t="s">
        <v>177</v>
      </c>
      <c r="H14" s="78"/>
      <c r="I14" s="65"/>
      <c r="J14" s="65"/>
      <c r="K14" s="65"/>
      <c r="L14" s="79">
        <f>IFERROR(_xlfn.XLOOKUP(G14,Improdutividade!$R$1:$AK$1,Improdutividade!$R$17:$AK$17),0)</f>
        <v>0</v>
      </c>
      <c r="M14" s="65"/>
      <c r="N14" s="65"/>
      <c r="O14" s="80">
        <f t="shared" si="0"/>
        <v>0</v>
      </c>
      <c r="P14" s="65"/>
      <c r="Q14" s="65"/>
      <c r="R14" s="65"/>
      <c r="S14" s="81">
        <f>IFERROR(SUM(Precificação!U338:U357)/SUM(Precificação!$U$96:$U$533)*Precificação!$U$2,0)</f>
        <v>0</v>
      </c>
      <c r="T14" s="81">
        <f t="shared" si="1"/>
        <v>0</v>
      </c>
      <c r="U14" s="65"/>
      <c r="V14" s="65"/>
      <c r="W14" s="65"/>
      <c r="X14" s="65"/>
      <c r="Y14" s="67"/>
      <c r="Z14" s="68"/>
      <c r="AA14" s="68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9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9"/>
      <c r="BN14" s="65"/>
      <c r="BO14" s="65"/>
      <c r="BP14" s="65"/>
      <c r="BQ14" s="70"/>
      <c r="BR14" s="70"/>
      <c r="BS14" s="70"/>
      <c r="BT14" s="74" t="str">
        <f>HYPERLINK("#TECIII",BU14)</f>
        <v>TEC III</v>
      </c>
      <c r="BU14" s="75" t="str">
        <f>'Base Salarial'!G18</f>
        <v>TEC III</v>
      </c>
      <c r="BY14" s="65"/>
      <c r="CD14" s="65"/>
      <c r="CQ14" s="65"/>
      <c r="DD14" s="65"/>
      <c r="DQ14" s="65"/>
      <c r="ED14" s="65"/>
      <c r="EY14" s="65"/>
    </row>
    <row r="15" spans="1:155" ht="26.45" hidden="1" customHeight="1" outlineLevel="1">
      <c r="A15" s="65"/>
      <c r="B15" s="65"/>
      <c r="C15" s="65"/>
      <c r="D15" s="65"/>
      <c r="E15" s="76">
        <v>13</v>
      </c>
      <c r="F15" s="77" t="s">
        <v>221</v>
      </c>
      <c r="G15" s="78" t="s">
        <v>178</v>
      </c>
      <c r="H15" s="78"/>
      <c r="I15" s="65"/>
      <c r="J15" s="65"/>
      <c r="K15" s="65"/>
      <c r="L15" s="79">
        <f>IFERROR(_xlfn.XLOOKUP(G15,Improdutividade!$R$1:$AK$1,Improdutividade!$R$17:$AK$17),0)</f>
        <v>0</v>
      </c>
      <c r="M15" s="65"/>
      <c r="N15" s="65"/>
      <c r="O15" s="80">
        <f t="shared" si="0"/>
        <v>0</v>
      </c>
      <c r="P15" s="65"/>
      <c r="Q15" s="65"/>
      <c r="R15" s="65"/>
      <c r="S15" s="81">
        <f>IFERROR(SUM(Precificação!U360:U379)/SUM(Precificação!$U$96:$U$533)*Precificação!$U$2,0)</f>
        <v>0</v>
      </c>
      <c r="T15" s="81">
        <f t="shared" si="1"/>
        <v>0</v>
      </c>
      <c r="U15" s="65"/>
      <c r="V15" s="65"/>
      <c r="W15" s="65"/>
      <c r="X15" s="65"/>
      <c r="Y15" s="67"/>
      <c r="Z15" s="68"/>
      <c r="AA15" s="68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9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9"/>
      <c r="BN15" s="65"/>
      <c r="BO15" s="65"/>
      <c r="BP15" s="65"/>
      <c r="BQ15" s="70"/>
      <c r="BR15" s="70"/>
      <c r="BS15" s="70"/>
      <c r="BT15" s="74" t="str">
        <f>HYPERLINK("#TECII",BU15)</f>
        <v>TEC II</v>
      </c>
      <c r="BU15" s="75" t="str">
        <f>'Base Salarial'!G19</f>
        <v>TEC II</v>
      </c>
      <c r="BY15" s="65"/>
      <c r="CD15" s="65"/>
      <c r="CQ15" s="65"/>
      <c r="DD15" s="65"/>
      <c r="DQ15" s="65"/>
      <c r="ED15" s="65"/>
      <c r="EY15" s="65"/>
    </row>
    <row r="16" spans="1:155" ht="26.45" hidden="1" customHeight="1" outlineLevel="1">
      <c r="A16" s="65"/>
      <c r="B16" s="65"/>
      <c r="C16" s="65"/>
      <c r="D16" s="65"/>
      <c r="E16" s="76">
        <v>14</v>
      </c>
      <c r="F16" s="77" t="s">
        <v>222</v>
      </c>
      <c r="G16" s="78" t="s">
        <v>179</v>
      </c>
      <c r="H16" s="78"/>
      <c r="I16" s="65"/>
      <c r="J16" s="65"/>
      <c r="K16" s="65"/>
      <c r="L16" s="79">
        <f>IFERROR(_xlfn.XLOOKUP(G16,Improdutividade!$R$1:$AK$1,Improdutividade!$R$17:$AK$17),0)</f>
        <v>0</v>
      </c>
      <c r="M16" s="65"/>
      <c r="N16" s="65"/>
      <c r="O16" s="80">
        <f t="shared" si="0"/>
        <v>0</v>
      </c>
      <c r="P16" s="65"/>
      <c r="Q16" s="65"/>
      <c r="R16" s="65"/>
      <c r="S16" s="81">
        <f>IFERROR(SUM(Precificação!U382:U401)/SUM(Precificação!$U$96:$U$533)*Precificação!$U$2,0)</f>
        <v>0</v>
      </c>
      <c r="T16" s="81">
        <f t="shared" si="1"/>
        <v>0</v>
      </c>
      <c r="U16" s="65"/>
      <c r="V16" s="65"/>
      <c r="W16" s="65"/>
      <c r="X16" s="65"/>
      <c r="Y16" s="67"/>
      <c r="Z16" s="68"/>
      <c r="AA16" s="68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9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9"/>
      <c r="BN16" s="65"/>
      <c r="BO16" s="65"/>
      <c r="BP16" s="65"/>
      <c r="BQ16" s="70"/>
      <c r="BR16" s="70"/>
      <c r="BS16" s="70"/>
      <c r="BT16" s="74" t="str">
        <f>HYPERLINK("#TECI",BU16)</f>
        <v>TEC I</v>
      </c>
      <c r="BU16" s="75" t="str">
        <f>'Base Salarial'!G20</f>
        <v>TEC I</v>
      </c>
      <c r="BY16" s="65"/>
      <c r="CD16" s="65"/>
      <c r="CQ16" s="65"/>
      <c r="DD16" s="65"/>
      <c r="DQ16" s="65"/>
      <c r="ED16" s="65"/>
      <c r="EY16" s="65"/>
    </row>
    <row r="17" spans="1:181" ht="26.45" hidden="1" customHeight="1" outlineLevel="1">
      <c r="A17" s="65"/>
      <c r="B17" s="65"/>
      <c r="C17" s="65"/>
      <c r="D17" s="65"/>
      <c r="E17" s="76">
        <v>15</v>
      </c>
      <c r="F17" s="77" t="s">
        <v>223</v>
      </c>
      <c r="G17" s="78" t="s">
        <v>180</v>
      </c>
      <c r="H17" s="78"/>
      <c r="I17" s="65"/>
      <c r="J17" s="65"/>
      <c r="K17" s="65"/>
      <c r="L17" s="79">
        <f>IFERROR(_xlfn.XLOOKUP(G17,Improdutividade!$R$1:$AK$1,Improdutividade!$R$17:$AK$17),0)</f>
        <v>0</v>
      </c>
      <c r="M17" s="65"/>
      <c r="N17" s="65"/>
      <c r="O17" s="80">
        <f t="shared" si="0"/>
        <v>0</v>
      </c>
      <c r="P17" s="65"/>
      <c r="Q17" s="65"/>
      <c r="R17" s="65"/>
      <c r="S17" s="81">
        <f>IFERROR(SUM(Precificação!U404:U423)/SUM(Precificação!$U$96:$U$533)*Precificação!$U$2,0)</f>
        <v>0</v>
      </c>
      <c r="T17" s="81">
        <f t="shared" si="1"/>
        <v>0</v>
      </c>
      <c r="U17" s="65"/>
      <c r="V17" s="65"/>
      <c r="W17" s="65"/>
      <c r="X17" s="65"/>
      <c r="Y17" s="67"/>
      <c r="Z17" s="68"/>
      <c r="AA17" s="68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9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9"/>
      <c r="BN17" s="65"/>
      <c r="BO17" s="65"/>
      <c r="BP17" s="65"/>
      <c r="BQ17" s="70"/>
      <c r="BR17" s="70"/>
      <c r="BS17" s="70"/>
      <c r="BT17" s="74" t="str">
        <f>HYPERLINK("#AUXTEC",BU17)</f>
        <v>AUX TEC</v>
      </c>
      <c r="BU17" s="75" t="str">
        <f>'Base Salarial'!G21</f>
        <v>AUX TEC</v>
      </c>
      <c r="BV17" s="70"/>
      <c r="BW17" s="70"/>
      <c r="BX17" s="65"/>
      <c r="BY17" s="65"/>
      <c r="BZ17" s="70"/>
      <c r="CA17" s="70"/>
      <c r="CB17" s="70"/>
      <c r="CC17" s="65"/>
      <c r="CD17" s="65"/>
      <c r="CE17" s="70"/>
      <c r="CF17" s="70"/>
      <c r="CG17" s="70"/>
      <c r="CH17" s="65"/>
      <c r="CI17" s="65"/>
      <c r="CJ17" s="65"/>
      <c r="CK17" s="70"/>
      <c r="CL17" s="65"/>
      <c r="CM17" s="70"/>
      <c r="CN17" s="70"/>
      <c r="CO17" s="70"/>
      <c r="CP17" s="65"/>
      <c r="CQ17" s="65"/>
      <c r="CR17" s="70"/>
      <c r="CS17" s="70"/>
      <c r="CT17" s="70"/>
      <c r="CU17" s="65"/>
      <c r="CV17" s="70"/>
      <c r="CW17" s="70"/>
      <c r="CX17" s="70"/>
      <c r="CY17" s="65"/>
      <c r="CZ17" s="70"/>
      <c r="DA17" s="70"/>
      <c r="DB17" s="70"/>
      <c r="DC17" s="65"/>
      <c r="DD17" s="65"/>
      <c r="DE17" s="70"/>
      <c r="DF17" s="70"/>
      <c r="DG17" s="70"/>
      <c r="DH17" s="65"/>
      <c r="DI17" s="70"/>
      <c r="DJ17" s="70"/>
      <c r="DK17" s="70"/>
      <c r="DL17" s="65"/>
      <c r="DM17" s="70"/>
      <c r="DN17" s="70"/>
      <c r="DO17" s="70"/>
      <c r="DP17" s="65"/>
      <c r="DQ17" s="65"/>
      <c r="DR17" s="70"/>
      <c r="DS17" s="70"/>
      <c r="DT17" s="70"/>
      <c r="DU17" s="65"/>
      <c r="DV17" s="70"/>
      <c r="DW17" s="70"/>
      <c r="DX17" s="70"/>
      <c r="DY17" s="65"/>
      <c r="DZ17" s="70"/>
      <c r="EA17" s="70"/>
      <c r="EB17" s="70"/>
      <c r="EC17" s="65"/>
      <c r="ED17" s="65"/>
      <c r="EE17" s="70"/>
      <c r="EF17" s="70"/>
      <c r="EG17" s="70"/>
      <c r="EH17" s="65"/>
      <c r="EI17" s="70"/>
      <c r="EJ17" s="70"/>
      <c r="EK17" s="70"/>
      <c r="EL17" s="65"/>
      <c r="EM17" s="70"/>
      <c r="EN17" s="70"/>
      <c r="EO17" s="70"/>
      <c r="EP17" s="65"/>
      <c r="EQ17" s="70"/>
      <c r="ER17" s="70"/>
      <c r="ES17" s="70"/>
      <c r="ET17" s="65"/>
      <c r="EU17" s="70"/>
      <c r="EV17" s="70"/>
      <c r="EW17" s="70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65"/>
      <c r="FM17" s="69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</row>
    <row r="18" spans="1:181" ht="26.45" hidden="1" customHeight="1" outlineLevel="1">
      <c r="A18" s="65"/>
      <c r="B18" s="65"/>
      <c r="C18" s="65"/>
      <c r="D18" s="65"/>
      <c r="E18" s="76">
        <v>16</v>
      </c>
      <c r="F18" s="77" t="s">
        <v>224</v>
      </c>
      <c r="G18" s="78" t="s">
        <v>182</v>
      </c>
      <c r="H18" s="78"/>
      <c r="I18" s="65"/>
      <c r="J18" s="65"/>
      <c r="K18" s="65"/>
      <c r="L18" s="79">
        <f>IFERROR(_xlfn.XLOOKUP(G18,Improdutividade!$R$1:$AK$1,Improdutividade!$R$17:$AK$17),0)</f>
        <v>0</v>
      </c>
      <c r="M18" s="65"/>
      <c r="N18" s="65"/>
      <c r="O18" s="80">
        <f t="shared" si="0"/>
        <v>193.60000000000002</v>
      </c>
      <c r="P18" s="65"/>
      <c r="Q18" s="65"/>
      <c r="R18" s="65"/>
      <c r="S18" s="81">
        <f>IFERROR(SUM(Precificação!U426:U445)/SUM(Precificação!$U$96:$U$533)*Precificação!$U$2,0)</f>
        <v>29918.867645713548</v>
      </c>
      <c r="T18" s="81">
        <f t="shared" si="1"/>
        <v>154.53960560802452</v>
      </c>
      <c r="U18" s="65"/>
      <c r="V18" s="65"/>
      <c r="W18" s="65"/>
      <c r="X18" s="65"/>
      <c r="Y18" s="67"/>
      <c r="Z18" s="68"/>
      <c r="AA18" s="68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9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9"/>
      <c r="BN18" s="65"/>
      <c r="BO18" s="65"/>
      <c r="BP18" s="65"/>
      <c r="BQ18" s="70"/>
      <c r="BR18" s="70"/>
      <c r="BS18" s="70"/>
      <c r="BT18" s="74" t="str">
        <f>HYPERLINK("#AUXADM",BU18)</f>
        <v>AUX ADM</v>
      </c>
      <c r="BU18" s="75" t="str">
        <f>'Base Salarial'!G22</f>
        <v>AUX ADM</v>
      </c>
      <c r="BV18" s="70"/>
      <c r="BW18" s="70"/>
      <c r="BX18" s="65"/>
      <c r="BY18" s="65"/>
      <c r="BZ18" s="70"/>
      <c r="CA18" s="70"/>
      <c r="CB18" s="70"/>
      <c r="CC18" s="65"/>
      <c r="CD18" s="65"/>
      <c r="CE18" s="70"/>
      <c r="CF18" s="70"/>
      <c r="CG18" s="70"/>
      <c r="CH18" s="65"/>
      <c r="CI18" s="65"/>
      <c r="CJ18" s="65"/>
      <c r="CK18" s="70"/>
      <c r="CL18" s="65"/>
      <c r="CM18" s="70"/>
      <c r="CN18" s="70"/>
      <c r="CO18" s="70"/>
      <c r="CP18" s="65"/>
      <c r="CQ18" s="65"/>
      <c r="CR18" s="70"/>
      <c r="CS18" s="70"/>
      <c r="CT18" s="70"/>
      <c r="CU18" s="65"/>
      <c r="CV18" s="70"/>
      <c r="CW18" s="70"/>
      <c r="CX18" s="70"/>
      <c r="CY18" s="65"/>
      <c r="CZ18" s="70"/>
      <c r="DA18" s="70"/>
      <c r="DB18" s="70"/>
      <c r="DC18" s="65"/>
      <c r="DD18" s="65"/>
      <c r="DE18" s="70"/>
      <c r="DF18" s="70"/>
      <c r="DG18" s="70"/>
      <c r="DH18" s="65"/>
      <c r="DI18" s="70"/>
      <c r="DJ18" s="70"/>
      <c r="DK18" s="70"/>
      <c r="DL18" s="65"/>
      <c r="DM18" s="70"/>
      <c r="DN18" s="70"/>
      <c r="DO18" s="70"/>
      <c r="DP18" s="65"/>
      <c r="DQ18" s="65"/>
      <c r="DR18" s="70"/>
      <c r="DS18" s="70"/>
      <c r="DT18" s="70"/>
      <c r="DU18" s="65"/>
      <c r="DV18" s="70"/>
      <c r="DW18" s="70"/>
      <c r="DX18" s="70"/>
      <c r="DY18" s="65"/>
      <c r="DZ18" s="70"/>
      <c r="EA18" s="70"/>
      <c r="EB18" s="70"/>
      <c r="EC18" s="65"/>
      <c r="ED18" s="65"/>
      <c r="EE18" s="70"/>
      <c r="EF18" s="70"/>
      <c r="EG18" s="70"/>
      <c r="EH18" s="65"/>
      <c r="EI18" s="70"/>
      <c r="EJ18" s="70"/>
      <c r="EK18" s="70"/>
      <c r="EL18" s="65"/>
      <c r="EM18" s="70"/>
      <c r="EN18" s="70"/>
      <c r="EO18" s="70"/>
      <c r="EP18" s="65"/>
      <c r="EQ18" s="70"/>
      <c r="ER18" s="70"/>
      <c r="ES18" s="70"/>
      <c r="ET18" s="65"/>
      <c r="EU18" s="70"/>
      <c r="EV18" s="70"/>
      <c r="EW18" s="70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65"/>
      <c r="FM18" s="69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</row>
    <row r="19" spans="1:181" ht="26.45" hidden="1" customHeight="1" outlineLevel="1">
      <c r="A19" s="65"/>
      <c r="B19" s="65"/>
      <c r="C19" s="65"/>
      <c r="D19" s="65"/>
      <c r="E19" s="76">
        <v>17</v>
      </c>
      <c r="F19" s="77" t="s">
        <v>225</v>
      </c>
      <c r="G19" s="78" t="s">
        <v>183</v>
      </c>
      <c r="H19" s="78"/>
      <c r="I19" s="65"/>
      <c r="J19" s="65"/>
      <c r="K19" s="65"/>
      <c r="L19" s="79">
        <f>IFERROR(_xlfn.XLOOKUP(G19,Improdutividade!$R$1:$AK$1,Improdutividade!$R$17:$AK$17),0)</f>
        <v>0</v>
      </c>
      <c r="M19" s="65"/>
      <c r="N19" s="65"/>
      <c r="O19" s="80">
        <f t="shared" si="0"/>
        <v>77.440000000000012</v>
      </c>
      <c r="P19" s="65"/>
      <c r="Q19" s="65"/>
      <c r="R19" s="65"/>
      <c r="S19" s="81">
        <f>IFERROR(SUM(Precificação!U448:U467)/SUM(Precificação!$U$96:$U$533)*Precificação!$U$2,0)</f>
        <v>8818.1925692629411</v>
      </c>
      <c r="T19" s="81">
        <f t="shared" si="1"/>
        <v>113.87128834275491</v>
      </c>
      <c r="U19" s="65"/>
      <c r="V19" s="65"/>
      <c r="W19" s="65"/>
      <c r="X19" s="65"/>
      <c r="Y19" s="67"/>
      <c r="Z19" s="68"/>
      <c r="AA19" s="68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9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9"/>
      <c r="BN19" s="65"/>
      <c r="BO19" s="65"/>
      <c r="BP19" s="65"/>
      <c r="BQ19" s="70"/>
      <c r="BR19" s="70"/>
      <c r="BS19" s="70"/>
      <c r="BT19" s="74" t="str">
        <f>HYPERLINK("#EST",BU19)</f>
        <v>EST_III</v>
      </c>
      <c r="BU19" s="75" t="str">
        <f>'Base Salarial'!G25</f>
        <v>EST_III</v>
      </c>
      <c r="BV19" s="70"/>
      <c r="BW19" s="70"/>
      <c r="BX19" s="65"/>
      <c r="BY19" s="65"/>
      <c r="BZ19" s="70"/>
      <c r="CA19" s="70"/>
      <c r="CB19" s="70"/>
      <c r="CC19" s="65"/>
      <c r="CD19" s="65"/>
      <c r="CE19" s="70"/>
      <c r="CF19" s="70"/>
      <c r="CG19" s="70"/>
      <c r="CH19" s="65"/>
      <c r="CI19" s="65"/>
      <c r="CJ19" s="65"/>
      <c r="CK19" s="70"/>
      <c r="CL19" s="65"/>
      <c r="CM19" s="70"/>
      <c r="CN19" s="70"/>
      <c r="CO19" s="70"/>
      <c r="CP19" s="65"/>
      <c r="CQ19" s="65"/>
      <c r="CR19" s="70"/>
      <c r="CS19" s="70"/>
      <c r="CT19" s="70"/>
      <c r="CU19" s="65"/>
      <c r="CV19" s="70"/>
      <c r="CW19" s="70"/>
      <c r="CX19" s="70"/>
      <c r="CY19" s="65"/>
      <c r="CZ19" s="70"/>
      <c r="DA19" s="70"/>
      <c r="DB19" s="70"/>
      <c r="DC19" s="65"/>
      <c r="DD19" s="65"/>
      <c r="DE19" s="70"/>
      <c r="DF19" s="70"/>
      <c r="DG19" s="70"/>
      <c r="DH19" s="65"/>
      <c r="DI19" s="70"/>
      <c r="DJ19" s="70"/>
      <c r="DK19" s="70"/>
      <c r="DL19" s="65"/>
      <c r="DM19" s="70"/>
      <c r="DN19" s="70"/>
      <c r="DO19" s="70"/>
      <c r="DP19" s="65"/>
      <c r="DQ19" s="65"/>
      <c r="DR19" s="70"/>
      <c r="DS19" s="70"/>
      <c r="DT19" s="70"/>
      <c r="DU19" s="65"/>
      <c r="DV19" s="70"/>
      <c r="DW19" s="70"/>
      <c r="DX19" s="70"/>
      <c r="DY19" s="65"/>
      <c r="DZ19" s="70"/>
      <c r="EA19" s="70"/>
      <c r="EB19" s="70"/>
      <c r="EC19" s="65"/>
      <c r="ED19" s="65"/>
      <c r="EE19" s="70"/>
      <c r="EF19" s="70"/>
      <c r="EG19" s="70"/>
      <c r="EH19" s="65"/>
      <c r="EI19" s="70"/>
      <c r="EJ19" s="70"/>
      <c r="EK19" s="70"/>
      <c r="EL19" s="65"/>
      <c r="EM19" s="70"/>
      <c r="EN19" s="70"/>
      <c r="EO19" s="70"/>
      <c r="EP19" s="65"/>
      <c r="EQ19" s="70"/>
      <c r="ER19" s="70"/>
      <c r="ES19" s="70"/>
      <c r="ET19" s="65"/>
      <c r="EU19" s="70"/>
      <c r="EV19" s="70"/>
      <c r="EW19" s="70"/>
      <c r="EX19" s="65"/>
      <c r="EY19" s="65"/>
      <c r="EZ19" s="65"/>
      <c r="FA19" s="65"/>
      <c r="FB19" s="65"/>
      <c r="FC19" s="65"/>
      <c r="FD19" s="65"/>
      <c r="FE19" s="65"/>
      <c r="FF19" s="65"/>
      <c r="FG19" s="65"/>
      <c r="FH19" s="65"/>
      <c r="FI19" s="65"/>
      <c r="FJ19" s="65"/>
      <c r="FK19" s="65"/>
      <c r="FL19" s="65"/>
      <c r="FM19" s="69"/>
      <c r="FN19" s="65"/>
      <c r="FO19" s="65"/>
      <c r="FP19" s="65"/>
      <c r="FQ19" s="65"/>
      <c r="FR19" s="65"/>
      <c r="FS19" s="65"/>
      <c r="FT19" s="65"/>
      <c r="FU19" s="65"/>
      <c r="FV19" s="65"/>
      <c r="FW19" s="65"/>
      <c r="FX19" s="65"/>
      <c r="FY19" s="65"/>
    </row>
    <row r="20" spans="1:181" ht="20.100000000000001" hidden="1" customHeight="1" outlineLevel="1">
      <c r="A20" s="65"/>
      <c r="B20" s="65"/>
      <c r="C20" s="65"/>
      <c r="D20" s="65"/>
      <c r="E20" s="76">
        <v>18</v>
      </c>
      <c r="F20" s="77" t="s">
        <v>226</v>
      </c>
      <c r="G20" s="78" t="s">
        <v>184</v>
      </c>
      <c r="H20" s="78"/>
      <c r="I20" s="65"/>
      <c r="J20" s="65"/>
      <c r="K20" s="65"/>
      <c r="L20" s="79">
        <f>IFERROR(_xlfn.XLOOKUP(G20,Improdutividade!$R$1:$AK$1,Improdutividade!$R$17:$AK$17),0)</f>
        <v>0</v>
      </c>
      <c r="M20" s="65"/>
      <c r="N20" s="65"/>
      <c r="O20" s="80">
        <f t="shared" si="0"/>
        <v>38.720000000000006</v>
      </c>
      <c r="P20" s="65"/>
      <c r="Q20" s="65"/>
      <c r="R20" s="65"/>
      <c r="S20" s="81">
        <f>IFERROR(SUM(Precificação!U470:U489)/SUM(Precificação!$U$96:$U$533)*Precificação!$U$2,0)</f>
        <v>4409.0962846314706</v>
      </c>
      <c r="T20" s="81">
        <f t="shared" si="1"/>
        <v>113.87128834275491</v>
      </c>
      <c r="U20" s="65"/>
      <c r="V20" s="65"/>
      <c r="W20" s="65"/>
      <c r="X20" s="65"/>
      <c r="Y20" s="67"/>
      <c r="Z20" s="68"/>
      <c r="AA20" s="68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9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9"/>
      <c r="BN20" s="65"/>
      <c r="BO20" s="65"/>
      <c r="BP20" s="65"/>
      <c r="BQ20" s="70"/>
      <c r="BR20" s="70"/>
      <c r="BS20" s="70"/>
      <c r="BT20" s="70"/>
      <c r="BU20" s="70"/>
      <c r="BV20" s="70"/>
      <c r="BW20" s="70"/>
      <c r="BX20" s="65"/>
      <c r="BY20" s="65"/>
      <c r="BZ20" s="70"/>
      <c r="CA20" s="70"/>
      <c r="CB20" s="70"/>
      <c r="CC20" s="65"/>
      <c r="CD20" s="65"/>
      <c r="CE20" s="70"/>
      <c r="CF20" s="70"/>
      <c r="CG20" s="70"/>
      <c r="CH20" s="65"/>
      <c r="CI20" s="65"/>
      <c r="CJ20" s="65"/>
      <c r="CK20" s="70"/>
      <c r="CL20" s="65"/>
      <c r="CM20" s="70"/>
      <c r="CN20" s="70"/>
      <c r="CO20" s="70"/>
      <c r="CP20" s="65"/>
      <c r="CQ20" s="65"/>
      <c r="CR20" s="70"/>
      <c r="CS20" s="70"/>
      <c r="CT20" s="70"/>
      <c r="CU20" s="65"/>
      <c r="CV20" s="70"/>
      <c r="CW20" s="70"/>
      <c r="CX20" s="70"/>
      <c r="CY20" s="65"/>
      <c r="CZ20" s="70"/>
      <c r="DA20" s="70"/>
      <c r="DB20" s="70"/>
      <c r="DC20" s="65"/>
      <c r="DD20" s="65"/>
      <c r="DE20" s="70"/>
      <c r="DF20" s="70"/>
      <c r="DG20" s="70"/>
      <c r="DH20" s="65"/>
      <c r="DI20" s="70"/>
      <c r="DJ20" s="70"/>
      <c r="DK20" s="70"/>
      <c r="DL20" s="65"/>
      <c r="DM20" s="70"/>
      <c r="DN20" s="70"/>
      <c r="DO20" s="70"/>
      <c r="DP20" s="65"/>
      <c r="DQ20" s="65"/>
      <c r="DR20" s="70"/>
      <c r="DS20" s="70"/>
      <c r="DT20" s="70"/>
      <c r="DU20" s="65"/>
      <c r="DV20" s="70"/>
      <c r="DW20" s="70"/>
      <c r="DX20" s="70"/>
      <c r="DY20" s="65"/>
      <c r="DZ20" s="70"/>
      <c r="EA20" s="70"/>
      <c r="EB20" s="70"/>
      <c r="EC20" s="65"/>
      <c r="ED20" s="65"/>
      <c r="EE20" s="70"/>
      <c r="EF20" s="70"/>
      <c r="EG20" s="70"/>
      <c r="EH20" s="65"/>
      <c r="EI20" s="70"/>
      <c r="EJ20" s="70"/>
      <c r="EK20" s="70"/>
      <c r="EL20" s="65"/>
      <c r="EM20" s="70"/>
      <c r="EN20" s="70"/>
      <c r="EO20" s="70"/>
      <c r="EP20" s="65"/>
      <c r="EQ20" s="70"/>
      <c r="ER20" s="70"/>
      <c r="ES20" s="70"/>
      <c r="ET20" s="65"/>
      <c r="EU20" s="70"/>
      <c r="EV20" s="70"/>
      <c r="EW20" s="70"/>
      <c r="EX20" s="65"/>
      <c r="EY20" s="65"/>
      <c r="EZ20" s="65"/>
      <c r="FA20" s="65"/>
      <c r="FB20" s="65"/>
      <c r="FC20" s="65"/>
      <c r="FD20" s="65"/>
      <c r="FE20" s="65"/>
      <c r="FF20" s="65"/>
      <c r="FG20" s="65"/>
      <c r="FH20" s="65"/>
      <c r="FI20" s="65"/>
      <c r="FJ20" s="65"/>
      <c r="FK20" s="65"/>
      <c r="FL20" s="65"/>
      <c r="FM20" s="69"/>
      <c r="FN20" s="65"/>
      <c r="FO20" s="65"/>
      <c r="FP20" s="65"/>
      <c r="FQ20" s="65"/>
      <c r="FR20" s="65"/>
      <c r="FS20" s="65"/>
      <c r="FT20" s="65"/>
      <c r="FU20" s="65"/>
      <c r="FV20" s="65"/>
      <c r="FW20" s="65"/>
      <c r="FX20" s="65"/>
      <c r="FY20" s="65"/>
    </row>
    <row r="21" spans="1:181" ht="20.100000000000001" hidden="1" customHeight="1" outlineLevel="1">
      <c r="A21" s="65"/>
      <c r="B21" s="65"/>
      <c r="C21" s="65"/>
      <c r="D21" s="65"/>
      <c r="E21" s="76">
        <v>19</v>
      </c>
      <c r="F21" s="77" t="s">
        <v>227</v>
      </c>
      <c r="G21" s="78" t="s">
        <v>185</v>
      </c>
      <c r="H21" s="78"/>
      <c r="I21" s="65"/>
      <c r="J21" s="65"/>
      <c r="K21" s="65"/>
      <c r="L21" s="79">
        <f>IFERROR(_xlfn.XLOOKUP(G21,Improdutividade!$R$1:$AK$1,Improdutividade!$R$17:$AK$17),0)</f>
        <v>0</v>
      </c>
      <c r="M21" s="65"/>
      <c r="N21" s="65"/>
      <c r="O21" s="80">
        <f t="shared" si="0"/>
        <v>96.800000000000011</v>
      </c>
      <c r="P21" s="65"/>
      <c r="Q21" s="65"/>
      <c r="R21" s="65"/>
      <c r="S21" s="81">
        <f>IFERROR(SUM(Precificação!U492:U511)/SUM(Precificação!$U$96:$U$533)*Precificação!$U$2,0)</f>
        <v>5842.0525771366983</v>
      </c>
      <c r="T21" s="81">
        <f t="shared" si="1"/>
        <v>60.351782821660102</v>
      </c>
      <c r="U21" s="65"/>
      <c r="V21" s="65"/>
      <c r="W21" s="65"/>
      <c r="X21" s="65"/>
      <c r="Y21" s="67"/>
      <c r="Z21" s="68"/>
      <c r="AA21" s="68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9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9"/>
      <c r="BN21" s="65"/>
      <c r="BO21" s="65"/>
      <c r="BP21" s="65"/>
      <c r="BQ21" s="70"/>
      <c r="BR21" s="70"/>
      <c r="BS21" s="70"/>
      <c r="BT21" s="70"/>
      <c r="BU21" s="70"/>
      <c r="BV21" s="70"/>
      <c r="BW21" s="70"/>
      <c r="BX21" s="65"/>
      <c r="BY21" s="65"/>
      <c r="BZ21" s="70"/>
      <c r="CA21" s="70"/>
      <c r="CB21" s="70"/>
      <c r="CC21" s="65"/>
      <c r="CD21" s="65"/>
      <c r="CE21" s="70"/>
      <c r="CF21" s="70"/>
      <c r="CG21" s="70"/>
      <c r="CH21" s="65"/>
      <c r="CI21" s="70"/>
      <c r="CJ21" s="70"/>
      <c r="CK21" s="70"/>
      <c r="CL21" s="65"/>
      <c r="CM21" s="70"/>
      <c r="CN21" s="70"/>
      <c r="CO21" s="70"/>
      <c r="CP21" s="65"/>
      <c r="CQ21" s="65"/>
      <c r="CR21" s="70"/>
      <c r="CS21" s="70"/>
      <c r="CT21" s="70"/>
      <c r="CU21" s="65"/>
      <c r="CV21" s="70"/>
      <c r="CW21" s="70"/>
      <c r="CX21" s="70"/>
      <c r="CY21" s="65"/>
      <c r="CZ21" s="70"/>
      <c r="DA21" s="70"/>
      <c r="DB21" s="70"/>
      <c r="DC21" s="65"/>
      <c r="DD21" s="65"/>
      <c r="DE21" s="70"/>
      <c r="DF21" s="70"/>
      <c r="DG21" s="70"/>
      <c r="DH21" s="65"/>
      <c r="DI21" s="70"/>
      <c r="DJ21" s="70"/>
      <c r="DK21" s="70"/>
      <c r="DL21" s="65"/>
      <c r="DM21" s="70"/>
      <c r="DN21" s="70"/>
      <c r="DO21" s="70"/>
      <c r="DP21" s="65"/>
      <c r="DQ21" s="65"/>
      <c r="DR21" s="70"/>
      <c r="DS21" s="70"/>
      <c r="DT21" s="70"/>
      <c r="DU21" s="65"/>
      <c r="DV21" s="70"/>
      <c r="DW21" s="70"/>
      <c r="DX21" s="70"/>
      <c r="DY21" s="65"/>
      <c r="DZ21" s="70"/>
      <c r="EA21" s="70"/>
      <c r="EB21" s="70"/>
      <c r="EC21" s="65"/>
      <c r="ED21" s="65"/>
      <c r="EE21" s="70"/>
      <c r="EF21" s="70"/>
      <c r="EG21" s="70"/>
      <c r="EH21" s="65"/>
      <c r="EI21" s="70"/>
      <c r="EJ21" s="70"/>
      <c r="EK21" s="70"/>
      <c r="EL21" s="65"/>
      <c r="EM21" s="70"/>
      <c r="EN21" s="70"/>
      <c r="EO21" s="70"/>
      <c r="EP21" s="65"/>
      <c r="EQ21" s="70"/>
      <c r="ER21" s="70"/>
      <c r="ES21" s="70"/>
      <c r="ET21" s="65"/>
      <c r="EU21" s="70"/>
      <c r="EV21" s="70"/>
      <c r="EW21" s="70"/>
      <c r="EX21" s="65"/>
      <c r="EY21" s="65"/>
      <c r="EZ21" s="65"/>
      <c r="FA21" s="65"/>
      <c r="FB21" s="65"/>
      <c r="FC21" s="65"/>
      <c r="FD21" s="65"/>
      <c r="FE21" s="65"/>
      <c r="FF21" s="65"/>
      <c r="FG21" s="65"/>
      <c r="FH21" s="65"/>
      <c r="FI21" s="65"/>
      <c r="FJ21" s="65"/>
      <c r="FK21" s="65"/>
      <c r="FL21" s="65"/>
      <c r="FM21" s="69"/>
      <c r="FN21" s="65"/>
      <c r="FO21" s="65"/>
      <c r="FP21" s="65"/>
      <c r="FQ21" s="65"/>
      <c r="FR21" s="65"/>
      <c r="FS21" s="65"/>
      <c r="FT21" s="65"/>
      <c r="FU21" s="65"/>
      <c r="FV21" s="65"/>
      <c r="FW21" s="65"/>
      <c r="FX21" s="65"/>
      <c r="FY21" s="65"/>
    </row>
    <row r="22" spans="1:181" ht="20.100000000000001" hidden="1" customHeight="1" outlineLevel="1">
      <c r="A22" s="65"/>
      <c r="B22" s="65"/>
      <c r="C22" s="65"/>
      <c r="D22" s="65"/>
      <c r="E22" s="76">
        <v>20</v>
      </c>
      <c r="F22" s="77" t="s">
        <v>228</v>
      </c>
      <c r="G22" s="78" t="s">
        <v>171</v>
      </c>
      <c r="H22" s="78"/>
      <c r="I22" s="65"/>
      <c r="J22" s="65"/>
      <c r="K22" s="65"/>
      <c r="L22" s="79">
        <f>IFERROR(_xlfn.XLOOKUP(G22,Improdutividade!$R$1:$AK$1,Improdutividade!$R$17:$AK$17),0)</f>
        <v>0</v>
      </c>
      <c r="M22" s="65"/>
      <c r="N22" s="65"/>
      <c r="O22" s="80">
        <f t="shared" si="0"/>
        <v>198.44000000000003</v>
      </c>
      <c r="P22" s="65"/>
      <c r="Q22" s="65"/>
      <c r="R22" s="65"/>
      <c r="S22" s="81">
        <f>IFERROR(SUM(Precificação!U514:U533)/SUM(Precificação!$U$96:$U$533)*Precificação!$U$2,0)</f>
        <v>24250.029565473094</v>
      </c>
      <c r="T22" s="81">
        <f t="shared" si="1"/>
        <v>122.2033338312492</v>
      </c>
      <c r="U22" s="65"/>
      <c r="V22" s="65"/>
      <c r="W22" s="65"/>
      <c r="X22" s="65"/>
      <c r="Y22" s="67"/>
      <c r="Z22" s="68"/>
      <c r="AA22" s="68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9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9"/>
      <c r="BN22" s="65"/>
      <c r="BO22" s="65"/>
      <c r="BP22" s="65"/>
      <c r="BQ22" s="70"/>
      <c r="BR22" s="70"/>
      <c r="BS22" s="70"/>
      <c r="BT22" s="70"/>
      <c r="BU22" s="70"/>
      <c r="BV22" s="70"/>
      <c r="BW22" s="70"/>
      <c r="BX22" s="65"/>
      <c r="BY22" s="65"/>
      <c r="BZ22" s="70"/>
      <c r="CA22" s="70"/>
      <c r="CB22" s="70"/>
      <c r="CC22" s="65"/>
      <c r="CD22" s="65"/>
      <c r="CE22" s="70"/>
      <c r="CF22" s="70"/>
      <c r="CG22" s="70"/>
      <c r="CH22" s="65"/>
      <c r="CI22" s="70"/>
      <c r="CJ22" s="70"/>
      <c r="CK22" s="70"/>
      <c r="CL22" s="65"/>
      <c r="CM22" s="70"/>
      <c r="CN22" s="70"/>
      <c r="CO22" s="70"/>
      <c r="CP22" s="65"/>
      <c r="CQ22" s="65"/>
      <c r="CR22" s="70"/>
      <c r="CS22" s="70"/>
      <c r="CT22" s="70"/>
      <c r="CU22" s="65"/>
      <c r="CV22" s="70"/>
      <c r="CW22" s="70"/>
      <c r="CX22" s="70"/>
      <c r="CY22" s="65"/>
      <c r="CZ22" s="70"/>
      <c r="DA22" s="70"/>
      <c r="DB22" s="70"/>
      <c r="DC22" s="65"/>
      <c r="DD22" s="65"/>
      <c r="DE22" s="70"/>
      <c r="DF22" s="70"/>
      <c r="DG22" s="70"/>
      <c r="DH22" s="65"/>
      <c r="DI22" s="70"/>
      <c r="DJ22" s="70"/>
      <c r="DK22" s="70"/>
      <c r="DL22" s="65"/>
      <c r="DM22" s="70"/>
      <c r="DN22" s="70"/>
      <c r="DO22" s="70"/>
      <c r="DP22" s="65"/>
      <c r="DQ22" s="65"/>
      <c r="DR22" s="70"/>
      <c r="DS22" s="70"/>
      <c r="DT22" s="70"/>
      <c r="DU22" s="65"/>
      <c r="DV22" s="70"/>
      <c r="DW22" s="70"/>
      <c r="DX22" s="70"/>
      <c r="DY22" s="65"/>
      <c r="DZ22" s="70"/>
      <c r="EA22" s="70"/>
      <c r="EB22" s="70"/>
      <c r="EC22" s="65"/>
      <c r="ED22" s="65"/>
      <c r="EE22" s="70"/>
      <c r="EF22" s="70"/>
      <c r="EG22" s="70"/>
      <c r="EH22" s="65"/>
      <c r="EI22" s="70"/>
      <c r="EJ22" s="70"/>
      <c r="EK22" s="70"/>
      <c r="EL22" s="65"/>
      <c r="EM22" s="70"/>
      <c r="EN22" s="70"/>
      <c r="EO22" s="70"/>
      <c r="EP22" s="65"/>
      <c r="EQ22" s="70"/>
      <c r="ER22" s="70"/>
      <c r="ES22" s="70"/>
      <c r="ET22" s="65"/>
      <c r="EU22" s="70"/>
      <c r="EV22" s="70"/>
      <c r="EW22" s="70"/>
      <c r="EX22" s="65"/>
      <c r="EY22" s="65"/>
      <c r="EZ22" s="65"/>
      <c r="FA22" s="65"/>
      <c r="FB22" s="65"/>
      <c r="FC22" s="65"/>
      <c r="FD22" s="65"/>
      <c r="FE22" s="65"/>
      <c r="FF22" s="65"/>
      <c r="FG22" s="65"/>
      <c r="FH22" s="65"/>
      <c r="FI22" s="65"/>
      <c r="FJ22" s="65"/>
      <c r="FK22" s="65"/>
      <c r="FL22" s="65"/>
      <c r="FM22" s="69"/>
      <c r="FN22" s="65"/>
      <c r="FO22" s="65"/>
      <c r="FP22" s="65"/>
      <c r="FQ22" s="65"/>
      <c r="FR22" s="65"/>
      <c r="FS22" s="65"/>
      <c r="FT22" s="65"/>
      <c r="FU22" s="65"/>
      <c r="FV22" s="65"/>
      <c r="FW22" s="65"/>
      <c r="FX22" s="65"/>
      <c r="FY22" s="65"/>
    </row>
    <row r="23" spans="1:181" ht="6" hidden="1" customHeight="1" outlineLevel="1">
      <c r="A23" s="65"/>
      <c r="B23" s="65"/>
      <c r="C23" s="65"/>
      <c r="D23" s="65"/>
      <c r="E23" s="66"/>
      <c r="F23" s="65"/>
      <c r="G23" s="65"/>
      <c r="H23" s="65"/>
      <c r="I23" s="65"/>
      <c r="J23" s="65"/>
      <c r="K23" s="65"/>
      <c r="L23" s="65"/>
      <c r="M23" s="65"/>
      <c r="N23" s="65"/>
      <c r="O23" s="83">
        <f>SUM(O3:O22)</f>
        <v>8213.4800000000014</v>
      </c>
      <c r="P23" s="65"/>
      <c r="Q23" s="65"/>
      <c r="R23" s="65"/>
      <c r="S23" s="84">
        <f>SUM(S3:S22)</f>
        <v>874071.84488329897</v>
      </c>
      <c r="T23" s="84">
        <f t="shared" ref="T23" si="2">IFERROR(S23/O23,0)</f>
        <v>106.41918466755855</v>
      </c>
      <c r="U23" s="65"/>
      <c r="V23" s="65"/>
      <c r="W23" s="65"/>
      <c r="X23" s="65"/>
      <c r="Y23" s="67"/>
      <c r="Z23" s="68"/>
      <c r="AA23" s="68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9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9"/>
      <c r="BN23" s="65"/>
      <c r="BO23" s="65"/>
      <c r="BP23" s="65"/>
      <c r="BQ23" s="70"/>
      <c r="BR23" s="70"/>
      <c r="BS23" s="70"/>
      <c r="BT23" s="70"/>
      <c r="BU23" s="70"/>
      <c r="BV23" s="70"/>
      <c r="BW23" s="70"/>
      <c r="BX23" s="65"/>
      <c r="BY23" s="65"/>
      <c r="BZ23" s="70"/>
      <c r="CA23" s="70"/>
      <c r="CB23" s="70"/>
      <c r="CC23" s="65"/>
      <c r="CD23" s="65"/>
      <c r="CE23" s="70"/>
      <c r="CF23" s="70"/>
      <c r="CG23" s="70"/>
      <c r="CH23" s="65"/>
      <c r="CI23" s="70"/>
      <c r="CJ23" s="70"/>
      <c r="CK23" s="70"/>
      <c r="CL23" s="65"/>
      <c r="CM23" s="70"/>
      <c r="CN23" s="70"/>
      <c r="CO23" s="70"/>
      <c r="CP23" s="65"/>
      <c r="CQ23" s="65"/>
      <c r="CR23" s="70"/>
      <c r="CS23" s="70"/>
      <c r="CT23" s="70"/>
      <c r="CU23" s="65"/>
      <c r="CV23" s="70"/>
      <c r="CW23" s="70"/>
      <c r="CX23" s="70"/>
      <c r="CY23" s="65"/>
      <c r="CZ23" s="70"/>
      <c r="DA23" s="70"/>
      <c r="DB23" s="70"/>
      <c r="DC23" s="65"/>
      <c r="DD23" s="65"/>
      <c r="DE23" s="70"/>
      <c r="DF23" s="70"/>
      <c r="DG23" s="70"/>
      <c r="DH23" s="65"/>
      <c r="DI23" s="70"/>
      <c r="DJ23" s="70"/>
      <c r="DK23" s="70"/>
      <c r="DL23" s="65"/>
      <c r="DM23" s="70"/>
      <c r="DN23" s="70"/>
      <c r="DO23" s="70"/>
      <c r="DP23" s="65"/>
      <c r="DQ23" s="65"/>
      <c r="DR23" s="70"/>
      <c r="DS23" s="70"/>
      <c r="DT23" s="70"/>
      <c r="DU23" s="65"/>
      <c r="DV23" s="70"/>
      <c r="DW23" s="70"/>
      <c r="DX23" s="70"/>
      <c r="DY23" s="65"/>
      <c r="DZ23" s="70"/>
      <c r="EA23" s="70"/>
      <c r="EB23" s="70"/>
      <c r="EC23" s="65"/>
      <c r="ED23" s="65"/>
      <c r="EE23" s="70"/>
      <c r="EF23" s="70"/>
      <c r="EG23" s="70"/>
      <c r="EH23" s="65"/>
      <c r="EI23" s="70"/>
      <c r="EJ23" s="70"/>
      <c r="EK23" s="70"/>
      <c r="EL23" s="65"/>
      <c r="EM23" s="70"/>
      <c r="EN23" s="70"/>
      <c r="EO23" s="70"/>
      <c r="EP23" s="65"/>
      <c r="EQ23" s="70"/>
      <c r="ER23" s="70"/>
      <c r="ES23" s="70"/>
      <c r="ET23" s="65"/>
      <c r="EU23" s="70"/>
      <c r="EV23" s="70"/>
      <c r="EW23" s="70"/>
      <c r="EX23" s="65"/>
      <c r="EY23" s="65"/>
      <c r="EZ23" s="65"/>
      <c r="FA23" s="65"/>
      <c r="FB23" s="65"/>
      <c r="FC23" s="65"/>
      <c r="FD23" s="65"/>
      <c r="FE23" s="65"/>
      <c r="FF23" s="65"/>
      <c r="FG23" s="65"/>
      <c r="FH23" s="65"/>
      <c r="FI23" s="65"/>
      <c r="FJ23" s="65"/>
      <c r="FK23" s="65"/>
      <c r="FL23" s="65"/>
      <c r="FM23" s="69"/>
      <c r="FN23" s="65"/>
      <c r="FO23" s="65"/>
      <c r="FP23" s="65"/>
      <c r="FQ23" s="65"/>
      <c r="FR23" s="65"/>
      <c r="FS23" s="65"/>
      <c r="FT23" s="65"/>
      <c r="FU23" s="65"/>
      <c r="FV23" s="65"/>
      <c r="FW23" s="65"/>
      <c r="FX23" s="65"/>
      <c r="FY23" s="65"/>
    </row>
    <row r="24" spans="1:181" ht="12" customHeight="1">
      <c r="A24" s="65"/>
      <c r="B24" s="65"/>
      <c r="C24" s="65"/>
      <c r="D24" s="65"/>
      <c r="E24" s="66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7"/>
      <c r="Z24" s="68"/>
      <c r="AA24" s="68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9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9"/>
      <c r="BN24" s="65"/>
      <c r="BO24" s="65"/>
      <c r="BP24" s="65"/>
      <c r="BQ24" s="70"/>
      <c r="BR24" s="70"/>
      <c r="BS24" s="70"/>
      <c r="BT24" s="70"/>
      <c r="BU24" s="70"/>
      <c r="BV24" s="70"/>
      <c r="BW24" s="70"/>
      <c r="BX24" s="65"/>
      <c r="BY24" s="65"/>
      <c r="BZ24" s="70"/>
      <c r="CA24" s="70"/>
      <c r="CB24" s="70"/>
      <c r="CC24" s="65"/>
      <c r="CD24" s="65"/>
      <c r="CE24" s="70"/>
      <c r="CF24" s="70"/>
      <c r="CG24" s="70"/>
      <c r="CH24" s="65"/>
      <c r="CI24" s="70"/>
      <c r="CJ24" s="70"/>
      <c r="CK24" s="70"/>
      <c r="CL24" s="65"/>
      <c r="CM24" s="70"/>
      <c r="CN24" s="70"/>
      <c r="CO24" s="70"/>
      <c r="CP24" s="65"/>
      <c r="CQ24" s="65"/>
      <c r="CR24" s="70"/>
      <c r="CS24" s="70"/>
      <c r="CT24" s="70"/>
      <c r="CU24" s="65"/>
      <c r="CV24" s="70"/>
      <c r="CW24" s="70"/>
      <c r="CX24" s="70"/>
      <c r="CY24" s="65"/>
      <c r="CZ24" s="70"/>
      <c r="DA24" s="70"/>
      <c r="DB24" s="70"/>
      <c r="DC24" s="65"/>
      <c r="DD24" s="65"/>
      <c r="DE24" s="70"/>
      <c r="DF24" s="70"/>
      <c r="DG24" s="70"/>
      <c r="DH24" s="65"/>
      <c r="DI24" s="70"/>
      <c r="DJ24" s="70"/>
      <c r="DK24" s="70"/>
      <c r="DL24" s="65"/>
      <c r="DM24" s="70"/>
      <c r="DN24" s="70"/>
      <c r="DO24" s="70"/>
      <c r="DP24" s="65"/>
      <c r="DQ24" s="65"/>
      <c r="DR24" s="70"/>
      <c r="DS24" s="70"/>
      <c r="DT24" s="70"/>
      <c r="DU24" s="65"/>
      <c r="DV24" s="70"/>
      <c r="DW24" s="70"/>
      <c r="DX24" s="70"/>
      <c r="DY24" s="65"/>
      <c r="DZ24" s="70"/>
      <c r="EA24" s="70"/>
      <c r="EB24" s="70"/>
      <c r="EC24" s="65"/>
      <c r="ED24" s="65"/>
      <c r="EE24" s="70"/>
      <c r="EF24" s="70"/>
      <c r="EG24" s="70"/>
      <c r="EH24" s="65"/>
      <c r="EI24" s="70"/>
      <c r="EJ24" s="70"/>
      <c r="EK24" s="70"/>
      <c r="EL24" s="65"/>
      <c r="EM24" s="70"/>
      <c r="EN24" s="70"/>
      <c r="EO24" s="70"/>
      <c r="EP24" s="65"/>
      <c r="EQ24" s="70"/>
      <c r="ER24" s="70"/>
      <c r="ES24" s="70"/>
      <c r="ET24" s="65"/>
      <c r="EU24" s="70"/>
      <c r="EV24" s="70"/>
      <c r="EW24" s="70"/>
      <c r="EX24" s="65"/>
      <c r="EY24" s="65"/>
      <c r="EZ24" s="65"/>
      <c r="FA24" s="65"/>
      <c r="FB24" s="65"/>
      <c r="FC24" s="65"/>
      <c r="FD24" s="65"/>
      <c r="FE24" s="65"/>
      <c r="FF24" s="65"/>
      <c r="FG24" s="65"/>
      <c r="FH24" s="65"/>
      <c r="FI24" s="65"/>
      <c r="FJ24" s="65"/>
      <c r="FK24" s="65"/>
      <c r="FL24" s="65"/>
      <c r="FM24" s="69"/>
      <c r="FN24" s="65"/>
      <c r="FO24" s="65"/>
      <c r="FP24" s="65"/>
      <c r="FQ24" s="65"/>
      <c r="FR24" s="65"/>
      <c r="FS24" s="65"/>
      <c r="FT24" s="65"/>
      <c r="FU24" s="65"/>
      <c r="FV24" s="65"/>
      <c r="FW24" s="65"/>
      <c r="FX24" s="65"/>
      <c r="FY24" s="65"/>
    </row>
    <row r="25" spans="1:181" s="90" customFormat="1" ht="18" customHeight="1">
      <c r="A25" s="85"/>
      <c r="B25" s="85"/>
      <c r="C25" s="85"/>
      <c r="D25" s="85"/>
      <c r="E25" s="583" t="s">
        <v>229</v>
      </c>
      <c r="F25" s="583"/>
      <c r="G25" s="583"/>
      <c r="H25" s="583"/>
      <c r="I25" s="85"/>
      <c r="J25" s="584" t="s">
        <v>230</v>
      </c>
      <c r="K25" s="583" t="s">
        <v>230</v>
      </c>
      <c r="L25" s="583"/>
      <c r="M25" s="583"/>
      <c r="N25" s="583"/>
      <c r="O25" s="583"/>
      <c r="P25" s="85"/>
      <c r="Q25" s="584" t="s">
        <v>231</v>
      </c>
      <c r="R25" s="583" t="s">
        <v>232</v>
      </c>
      <c r="S25" s="583"/>
      <c r="T25" s="583"/>
      <c r="U25" s="583"/>
      <c r="V25" s="85"/>
      <c r="W25" s="584" t="s">
        <v>233</v>
      </c>
      <c r="X25" s="583" t="s">
        <v>234</v>
      </c>
      <c r="Y25" s="583"/>
      <c r="Z25" s="583"/>
      <c r="AA25" s="583"/>
      <c r="AB25" s="583"/>
      <c r="AC25" s="583"/>
      <c r="AD25" s="583"/>
      <c r="AE25" s="583"/>
      <c r="AF25" s="583"/>
      <c r="AG25" s="583"/>
      <c r="AH25" s="583"/>
      <c r="AI25" s="583"/>
      <c r="AJ25" s="583"/>
      <c r="AK25" s="583"/>
      <c r="AL25" s="583"/>
      <c r="AM25" s="583"/>
      <c r="AN25" s="583"/>
      <c r="AO25" s="85"/>
      <c r="AP25" s="584" t="s">
        <v>9</v>
      </c>
      <c r="AQ25" s="583" t="s">
        <v>9</v>
      </c>
      <c r="AR25" s="583"/>
      <c r="AS25" s="583"/>
      <c r="AT25" s="583"/>
      <c r="AU25" s="583"/>
      <c r="AV25" s="85"/>
      <c r="AW25" s="69"/>
      <c r="AX25" s="85"/>
      <c r="AY25" s="582" t="s">
        <v>134</v>
      </c>
      <c r="AZ25" s="590" t="s">
        <v>235</v>
      </c>
      <c r="BA25" s="590"/>
      <c r="BB25" s="590"/>
      <c r="BC25" s="590"/>
      <c r="BD25" s="590"/>
      <c r="BE25" s="590"/>
      <c r="BF25" s="590"/>
      <c r="BG25" s="590"/>
      <c r="BH25" s="590"/>
      <c r="BI25" s="590"/>
      <c r="BJ25" s="590"/>
      <c r="BK25" s="590"/>
      <c r="BL25" s="85"/>
      <c r="BM25" s="69"/>
      <c r="BN25" s="85"/>
      <c r="BO25" s="585" t="s">
        <v>236</v>
      </c>
      <c r="BP25" s="585" t="s">
        <v>237</v>
      </c>
      <c r="BQ25" s="88"/>
      <c r="BR25" s="88"/>
      <c r="BS25" s="88"/>
      <c r="BT25" s="88" t="str">
        <f>BO25</f>
        <v>Memória de Cálculo</v>
      </c>
      <c r="BU25" s="88"/>
      <c r="BV25" s="88"/>
      <c r="BW25" s="88"/>
      <c r="BX25" s="88"/>
      <c r="BY25" s="585" t="s">
        <v>238</v>
      </c>
      <c r="BZ25" s="88"/>
      <c r="CA25" s="88"/>
      <c r="CB25" s="88"/>
      <c r="CC25" s="88"/>
      <c r="CD25" s="585" t="s">
        <v>239</v>
      </c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585" t="s">
        <v>240</v>
      </c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585" t="s">
        <v>241</v>
      </c>
      <c r="DE25" s="88"/>
      <c r="DF25" s="88"/>
      <c r="DG25" s="88"/>
      <c r="DH25" s="88"/>
      <c r="DI25" s="88"/>
      <c r="DJ25" s="88"/>
      <c r="DK25" s="88"/>
      <c r="DL25" s="89"/>
      <c r="DM25" s="88"/>
      <c r="DN25" s="88"/>
      <c r="DO25" s="88"/>
      <c r="DP25" s="88"/>
      <c r="DQ25" s="585" t="s">
        <v>242</v>
      </c>
      <c r="DR25" s="88"/>
      <c r="DS25" s="88"/>
      <c r="DT25" s="88"/>
      <c r="DU25" s="88"/>
      <c r="DV25" s="88"/>
      <c r="DW25" s="88"/>
      <c r="DX25" s="88"/>
      <c r="DY25" s="88"/>
      <c r="DZ25" s="88"/>
      <c r="EA25" s="88"/>
      <c r="EB25" s="88"/>
      <c r="EC25" s="88"/>
      <c r="ED25" s="585" t="s">
        <v>243</v>
      </c>
      <c r="EE25" s="88"/>
      <c r="EF25" s="88"/>
      <c r="EG25" s="88"/>
      <c r="EH25" s="88"/>
      <c r="EI25" s="88"/>
      <c r="EJ25" s="88"/>
      <c r="EK25" s="88"/>
      <c r="EL25" s="88"/>
      <c r="EM25" s="88"/>
      <c r="EN25" s="88"/>
      <c r="EO25" s="88"/>
      <c r="EP25" s="88"/>
      <c r="EQ25" s="88"/>
      <c r="ER25" s="88"/>
      <c r="ES25" s="88"/>
      <c r="ET25" s="88"/>
      <c r="EU25" s="88"/>
      <c r="EV25" s="88"/>
      <c r="EW25" s="88"/>
      <c r="EX25" s="88"/>
      <c r="EY25" s="585" t="s">
        <v>244</v>
      </c>
      <c r="EZ25" s="88"/>
      <c r="FA25" s="88"/>
      <c r="FB25" s="88"/>
      <c r="FC25" s="88"/>
      <c r="FD25" s="88"/>
      <c r="FE25" s="88"/>
      <c r="FF25" s="88"/>
      <c r="FG25" s="88"/>
      <c r="FH25" s="88"/>
      <c r="FI25" s="88"/>
      <c r="FJ25" s="88"/>
      <c r="FK25" s="88"/>
      <c r="FL25" s="85"/>
      <c r="FM25" s="69"/>
      <c r="FN25" s="85"/>
      <c r="FO25" s="587" t="s">
        <v>245</v>
      </c>
      <c r="FP25" s="588" t="str">
        <f>FO25</f>
        <v>Memória de Cálculo - PPU</v>
      </c>
      <c r="FQ25" s="588"/>
      <c r="FR25" s="588"/>
      <c r="FS25" s="588"/>
      <c r="FT25" s="588"/>
      <c r="FU25" s="588"/>
      <c r="FV25" s="588"/>
      <c r="FW25" s="588"/>
      <c r="FX25" s="588"/>
      <c r="FY25" s="588"/>
    </row>
    <row r="26" spans="1:181" ht="12" customHeight="1">
      <c r="A26" s="65"/>
      <c r="B26" s="65"/>
      <c r="C26" s="65"/>
      <c r="D26" s="65"/>
      <c r="E26" s="66"/>
      <c r="F26" s="65"/>
      <c r="G26" s="65"/>
      <c r="H26" s="65"/>
      <c r="I26" s="65"/>
      <c r="J26" s="584"/>
      <c r="K26" s="65"/>
      <c r="L26" s="65"/>
      <c r="M26" s="65"/>
      <c r="N26" s="65"/>
      <c r="O26" s="65"/>
      <c r="P26" s="65"/>
      <c r="Q26" s="584"/>
      <c r="R26" s="65"/>
      <c r="S26" s="65"/>
      <c r="T26" s="65"/>
      <c r="U26" s="65"/>
      <c r="V26" s="65"/>
      <c r="W26" s="584"/>
      <c r="X26" s="65"/>
      <c r="Y26" s="67"/>
      <c r="Z26" s="68"/>
      <c r="AA26" s="68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584"/>
      <c r="AQ26" s="65"/>
      <c r="AR26" s="65"/>
      <c r="AS26" s="65"/>
      <c r="AT26" s="65"/>
      <c r="AU26" s="65"/>
      <c r="AV26" s="65"/>
      <c r="AW26" s="69"/>
      <c r="AX26" s="65"/>
      <c r="AY26" s="582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9"/>
      <c r="BN26" s="65"/>
      <c r="BO26" s="585"/>
      <c r="BP26" s="585"/>
      <c r="BQ26" s="70"/>
      <c r="BR26" s="70"/>
      <c r="BS26" s="70"/>
      <c r="BT26" s="70"/>
      <c r="BU26" s="70"/>
      <c r="BV26" s="70"/>
      <c r="BW26" s="70"/>
      <c r="BX26" s="65"/>
      <c r="BY26" s="585"/>
      <c r="BZ26" s="70"/>
      <c r="CA26" s="70"/>
      <c r="CB26" s="70"/>
      <c r="CC26" s="65"/>
      <c r="CD26" s="585"/>
      <c r="CE26" s="70"/>
      <c r="CF26" s="70"/>
      <c r="CG26" s="70"/>
      <c r="CH26" s="65"/>
      <c r="CI26" s="70"/>
      <c r="CJ26" s="70"/>
      <c r="CK26" s="70"/>
      <c r="CL26" s="65"/>
      <c r="CM26" s="70"/>
      <c r="CN26" s="70"/>
      <c r="CO26" s="70"/>
      <c r="CP26" s="65"/>
      <c r="CQ26" s="585"/>
      <c r="CR26" s="70"/>
      <c r="CS26" s="70"/>
      <c r="CT26" s="70"/>
      <c r="CU26" s="65"/>
      <c r="CV26" s="70"/>
      <c r="CW26" s="70"/>
      <c r="CX26" s="70"/>
      <c r="CY26" s="65"/>
      <c r="CZ26" s="70"/>
      <c r="DA26" s="70"/>
      <c r="DB26" s="70"/>
      <c r="DC26" s="65"/>
      <c r="DD26" s="585"/>
      <c r="DE26" s="70"/>
      <c r="DF26" s="70"/>
      <c r="DG26" s="70"/>
      <c r="DH26" s="65"/>
      <c r="DI26" s="70"/>
      <c r="DJ26" s="70"/>
      <c r="DK26" s="70"/>
      <c r="DL26" s="65"/>
      <c r="DM26" s="70"/>
      <c r="DN26" s="70"/>
      <c r="DO26" s="70"/>
      <c r="DP26" s="65"/>
      <c r="DQ26" s="585"/>
      <c r="DR26" s="70"/>
      <c r="DS26" s="70"/>
      <c r="DT26" s="70"/>
      <c r="DU26" s="65"/>
      <c r="DV26" s="70"/>
      <c r="DW26" s="70"/>
      <c r="DX26" s="70"/>
      <c r="DY26" s="65"/>
      <c r="DZ26" s="70"/>
      <c r="EA26" s="70"/>
      <c r="EB26" s="70"/>
      <c r="EC26" s="65"/>
      <c r="ED26" s="585"/>
      <c r="EE26" s="70"/>
      <c r="EF26" s="70"/>
      <c r="EG26" s="70"/>
      <c r="EH26" s="65"/>
      <c r="EI26" s="70"/>
      <c r="EJ26" s="70"/>
      <c r="EK26" s="70"/>
      <c r="EL26" s="65"/>
      <c r="EM26" s="70"/>
      <c r="EN26" s="70"/>
      <c r="EO26" s="70"/>
      <c r="EP26" s="65"/>
      <c r="EQ26" s="70"/>
      <c r="ER26" s="70"/>
      <c r="ES26" s="70"/>
      <c r="ET26" s="65"/>
      <c r="EU26" s="70"/>
      <c r="EV26" s="70"/>
      <c r="EW26" s="70"/>
      <c r="EX26" s="65"/>
      <c r="EY26" s="585"/>
      <c r="EZ26" s="65"/>
      <c r="FA26" s="65"/>
      <c r="FB26" s="65"/>
      <c r="FC26" s="65"/>
      <c r="FD26" s="65"/>
      <c r="FE26" s="65"/>
      <c r="FF26" s="65"/>
      <c r="FG26" s="65"/>
      <c r="FH26" s="65"/>
      <c r="FI26" s="65"/>
      <c r="FJ26" s="65"/>
      <c r="FK26" s="65"/>
      <c r="FL26" s="65"/>
      <c r="FM26" s="69"/>
      <c r="FN26" s="65"/>
      <c r="FO26" s="587"/>
      <c r="FP26" s="65"/>
      <c r="FQ26" s="65"/>
      <c r="FR26" s="65"/>
      <c r="FS26" s="65"/>
      <c r="FT26" s="65"/>
      <c r="FU26" s="65"/>
      <c r="FV26" s="65"/>
      <c r="FW26" s="65"/>
      <c r="FX26" s="65"/>
      <c r="FY26" s="65"/>
    </row>
    <row r="27" spans="1:181" ht="12" customHeight="1" thickBot="1">
      <c r="A27" s="65"/>
      <c r="B27" s="65"/>
      <c r="C27" s="65"/>
      <c r="D27" s="65"/>
      <c r="E27" s="66"/>
      <c r="F27" s="92">
        <f>F28*0.05</f>
        <v>12000000</v>
      </c>
      <c r="G27" s="65"/>
      <c r="H27" s="65"/>
      <c r="I27" s="65"/>
      <c r="J27" s="584"/>
      <c r="K27" s="65"/>
      <c r="L27" s="65"/>
      <c r="M27" s="65"/>
      <c r="N27" s="65"/>
      <c r="O27" s="72" t="s">
        <v>246</v>
      </c>
      <c r="P27" s="65"/>
      <c r="Q27" s="584"/>
      <c r="R27" s="65"/>
      <c r="S27" s="72" t="s">
        <v>106</v>
      </c>
      <c r="T27" s="65"/>
      <c r="U27" s="72" t="s">
        <v>247</v>
      </c>
      <c r="V27" s="65"/>
      <c r="W27" s="584"/>
      <c r="X27" s="65"/>
      <c r="Y27" s="67"/>
      <c r="Z27" s="68"/>
      <c r="AA27" s="68"/>
      <c r="AB27" s="65"/>
      <c r="AC27" s="72" t="s">
        <v>106</v>
      </c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72" t="s">
        <v>247</v>
      </c>
      <c r="AO27" s="65"/>
      <c r="AP27" s="584"/>
      <c r="AQ27" s="65"/>
      <c r="AR27" s="65"/>
      <c r="AS27" s="482">
        <f>AT28/F28</f>
        <v>6.4013158333333315E-3</v>
      </c>
      <c r="AT27" s="72" t="s">
        <v>247</v>
      </c>
      <c r="AU27" s="65"/>
      <c r="AV27" s="65"/>
      <c r="AW27" s="69"/>
      <c r="AX27" s="65"/>
      <c r="AY27" s="582"/>
      <c r="AZ27" s="589" t="s">
        <v>248</v>
      </c>
      <c r="BA27" s="589"/>
      <c r="BB27" s="589"/>
      <c r="BC27" s="589"/>
      <c r="BD27" s="65"/>
      <c r="BE27" s="589" t="s">
        <v>113</v>
      </c>
      <c r="BF27" s="589"/>
      <c r="BG27" s="589"/>
      <c r="BH27" s="589"/>
      <c r="BI27" s="589"/>
      <c r="BJ27" s="589"/>
      <c r="BK27" s="589"/>
      <c r="BL27" s="65"/>
      <c r="BM27" s="69"/>
      <c r="BN27" s="65"/>
      <c r="BO27" s="585"/>
      <c r="BP27" s="585"/>
      <c r="BQ27" s="70"/>
      <c r="BR27" s="511"/>
      <c r="BS27" s="70"/>
      <c r="BT27" s="70"/>
      <c r="BU27" s="70"/>
      <c r="BV27" s="70"/>
      <c r="BW27" s="70"/>
      <c r="BX27" s="65"/>
      <c r="BY27" s="585"/>
      <c r="BZ27" s="70"/>
      <c r="CA27" s="70"/>
      <c r="CB27" s="70"/>
      <c r="CC27" s="65"/>
      <c r="CD27" s="585"/>
      <c r="CE27" s="70"/>
      <c r="CF27" s="70"/>
      <c r="CG27" s="70"/>
      <c r="CH27" s="65"/>
      <c r="CI27" s="70"/>
      <c r="CJ27" s="70"/>
      <c r="CK27" s="70"/>
      <c r="CL27" s="65"/>
      <c r="CM27" s="70"/>
      <c r="CN27" s="70"/>
      <c r="CO27" s="70"/>
      <c r="CP27" s="65"/>
      <c r="CQ27" s="585"/>
      <c r="CR27" s="70"/>
      <c r="CS27" s="70"/>
      <c r="CT27" s="70"/>
      <c r="CU27" s="65"/>
      <c r="CV27" s="70"/>
      <c r="CW27" s="70"/>
      <c r="CX27" s="70"/>
      <c r="CY27" s="65"/>
      <c r="CZ27" s="70"/>
      <c r="DA27" s="70"/>
      <c r="DB27" s="70"/>
      <c r="DC27" s="65"/>
      <c r="DD27" s="585"/>
      <c r="DE27" s="70"/>
      <c r="DF27" s="70"/>
      <c r="DG27" s="70"/>
      <c r="DH27" s="65"/>
      <c r="DI27" s="70"/>
      <c r="DJ27" s="70"/>
      <c r="DK27" s="70"/>
      <c r="DL27" s="65"/>
      <c r="DM27" s="70"/>
      <c r="DN27" s="70"/>
      <c r="DO27" s="70"/>
      <c r="DP27" s="65"/>
      <c r="DQ27" s="585"/>
      <c r="DR27" s="70"/>
      <c r="DS27" s="70"/>
      <c r="DT27" s="70"/>
      <c r="DU27" s="65"/>
      <c r="DV27" s="70"/>
      <c r="DW27" s="70"/>
      <c r="DX27" s="70"/>
      <c r="DY27" s="65"/>
      <c r="DZ27" s="70"/>
      <c r="EA27" s="70"/>
      <c r="EB27" s="70"/>
      <c r="EC27" s="65"/>
      <c r="ED27" s="585"/>
      <c r="EE27" s="70"/>
      <c r="EF27" s="70"/>
      <c r="EG27" s="70"/>
      <c r="EH27" s="65"/>
      <c r="EI27" s="70"/>
      <c r="EJ27" s="70"/>
      <c r="EK27" s="70"/>
      <c r="EL27" s="65"/>
      <c r="EM27" s="70"/>
      <c r="EN27" s="70"/>
      <c r="EO27" s="70"/>
      <c r="EP27" s="65"/>
      <c r="EQ27" s="70"/>
      <c r="ER27" s="70"/>
      <c r="ES27" s="70"/>
      <c r="ET27" s="65"/>
      <c r="EU27" s="70"/>
      <c r="EV27" s="70"/>
      <c r="EW27" s="70"/>
      <c r="EX27" s="65"/>
      <c r="EY27" s="585"/>
      <c r="EZ27" s="65"/>
      <c r="FA27" s="65"/>
      <c r="FB27" s="65"/>
      <c r="FC27" s="65"/>
      <c r="FD27" s="65"/>
      <c r="FE27" s="65"/>
      <c r="FF27" s="65"/>
      <c r="FG27" s="65"/>
      <c r="FH27" s="65"/>
      <c r="FI27" s="65"/>
      <c r="FJ27" s="65"/>
      <c r="FK27" s="65"/>
      <c r="FL27" s="65"/>
      <c r="FM27" s="69"/>
      <c r="FN27" s="65"/>
      <c r="FO27" s="587"/>
      <c r="FP27" s="65"/>
      <c r="FQ27" s="65"/>
      <c r="FR27" s="65"/>
      <c r="FS27" s="65"/>
      <c r="FT27" s="65"/>
      <c r="FU27" s="65"/>
      <c r="FV27" s="65"/>
      <c r="FW27" s="65"/>
      <c r="FX27" s="65"/>
      <c r="FY27" s="65"/>
    </row>
    <row r="28" spans="1:181" ht="18" customHeight="1" thickTop="1">
      <c r="A28" s="65"/>
      <c r="B28" s="65"/>
      <c r="C28" s="65"/>
      <c r="D28" s="65"/>
      <c r="E28" s="66"/>
      <c r="F28" s="480">
        <f>60000*4000</f>
        <v>240000000</v>
      </c>
      <c r="G28" s="65"/>
      <c r="H28" s="65"/>
      <c r="I28" s="65"/>
      <c r="J28" s="584"/>
      <c r="K28" s="65"/>
      <c r="L28" s="65"/>
      <c r="M28" s="65"/>
      <c r="N28" s="65"/>
      <c r="O28" s="83">
        <f>SUM(O32:O54)</f>
        <v>8213.48</v>
      </c>
      <c r="P28" s="65"/>
      <c r="Q28" s="584"/>
      <c r="R28" s="65"/>
      <c r="S28" s="84">
        <f>SUM(S32:S54)</f>
        <v>874071.84488329885</v>
      </c>
      <c r="T28" s="65"/>
      <c r="U28" s="84">
        <f>SUM(U32:U54)</f>
        <v>1278817.6223603494</v>
      </c>
      <c r="V28" s="65"/>
      <c r="W28" s="584"/>
      <c r="X28" s="65"/>
      <c r="Y28" s="67"/>
      <c r="Z28" s="68"/>
      <c r="AA28" s="68"/>
      <c r="AB28" s="65"/>
      <c r="AC28" s="84">
        <f>SUM(AC32:AC54)</f>
        <v>176000</v>
      </c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84">
        <f>SUM(AN32:AN54)</f>
        <v>257498.17117776151</v>
      </c>
      <c r="AO28" s="65"/>
      <c r="AP28" s="584"/>
      <c r="AQ28" s="92"/>
      <c r="AR28" s="92"/>
      <c r="AS28" s="92">
        <f>AT28/Dashboard!D13</f>
        <v>153631.57999999996</v>
      </c>
      <c r="AT28" s="84">
        <f>SUM(AT32:AT54)</f>
        <v>1536315.7999999996</v>
      </c>
      <c r="AU28" s="65"/>
      <c r="AV28" s="65"/>
      <c r="AW28" s="69"/>
      <c r="AX28" s="65"/>
      <c r="AY28" s="582"/>
      <c r="AZ28" s="93">
        <f>SUM(AZ32:AZ54)</f>
        <v>110617.72433417023</v>
      </c>
      <c r="BA28" s="94">
        <f>SUM(BA32:BA54)</f>
        <v>46676.843216152753</v>
      </c>
      <c r="BB28" s="94">
        <f>SUM(BB32:BB54)</f>
        <v>0</v>
      </c>
      <c r="BC28" s="94">
        <f>SUM(BC32:BC54)</f>
        <v>63940.881118017482</v>
      </c>
      <c r="BD28" s="65"/>
      <c r="BE28" s="93">
        <f t="shared" ref="BE28:BK28" si="3">SUM(BE32:BE54)</f>
        <v>22273.591806876379</v>
      </c>
      <c r="BF28" s="94">
        <f t="shared" si="3"/>
        <v>0</v>
      </c>
      <c r="BG28" s="94">
        <f t="shared" si="3"/>
        <v>9398.683247988296</v>
      </c>
      <c r="BH28" s="94">
        <f t="shared" si="3"/>
        <v>0</v>
      </c>
      <c r="BI28" s="94">
        <f t="shared" si="3"/>
        <v>12874.908558888079</v>
      </c>
      <c r="BJ28" s="94">
        <f t="shared" si="3"/>
        <v>0</v>
      </c>
      <c r="BK28" s="94">
        <f t="shared" si="3"/>
        <v>0</v>
      </c>
      <c r="BL28" s="65"/>
      <c r="BM28" s="69"/>
      <c r="BN28" s="65"/>
      <c r="BO28" s="586"/>
      <c r="BP28" s="586"/>
      <c r="BQ28" s="70"/>
      <c r="BR28" s="70"/>
      <c r="BS28" s="70"/>
      <c r="BT28" s="95">
        <v>1</v>
      </c>
      <c r="BU28" s="70"/>
      <c r="BV28" s="70"/>
      <c r="BW28" s="70"/>
      <c r="BX28" s="95">
        <v>2</v>
      </c>
      <c r="BY28" s="586"/>
      <c r="BZ28" s="70"/>
      <c r="CA28" s="70"/>
      <c r="CB28" s="70"/>
      <c r="CC28" s="82">
        <v>3</v>
      </c>
      <c r="CD28" s="586"/>
      <c r="CE28" s="70"/>
      <c r="CF28" s="70"/>
      <c r="CG28" s="70"/>
      <c r="CH28" s="82">
        <v>4</v>
      </c>
      <c r="CI28" s="70"/>
      <c r="CJ28" s="70"/>
      <c r="CK28" s="70"/>
      <c r="CL28" s="82">
        <v>5</v>
      </c>
      <c r="CM28" s="70"/>
      <c r="CN28" s="70"/>
      <c r="CO28" s="70"/>
      <c r="CP28" s="82">
        <v>6</v>
      </c>
      <c r="CQ28" s="586"/>
      <c r="CR28" s="70"/>
      <c r="CS28" s="70"/>
      <c r="CT28" s="70"/>
      <c r="CU28" s="82">
        <v>7</v>
      </c>
      <c r="CV28" s="70"/>
      <c r="CW28" s="70"/>
      <c r="CX28" s="70"/>
      <c r="CY28" s="82">
        <v>8</v>
      </c>
      <c r="CZ28" s="70"/>
      <c r="DA28" s="70"/>
      <c r="DB28" s="70"/>
      <c r="DC28" s="82">
        <v>9</v>
      </c>
      <c r="DD28" s="586"/>
      <c r="DE28" s="70"/>
      <c r="DF28" s="70"/>
      <c r="DG28" s="70"/>
      <c r="DH28" s="82">
        <v>10</v>
      </c>
      <c r="DI28" s="70"/>
      <c r="DJ28" s="70"/>
      <c r="DK28" s="70"/>
      <c r="DL28" s="82">
        <v>11</v>
      </c>
      <c r="DM28" s="70"/>
      <c r="DN28" s="70"/>
      <c r="DO28" s="70"/>
      <c r="DP28" s="82">
        <v>12</v>
      </c>
      <c r="DQ28" s="586"/>
      <c r="DR28" s="70"/>
      <c r="DS28" s="70"/>
      <c r="DT28" s="70"/>
      <c r="DU28" s="82">
        <v>13</v>
      </c>
      <c r="DV28" s="70"/>
      <c r="DW28" s="70"/>
      <c r="DX28" s="70"/>
      <c r="DY28" s="82">
        <v>14</v>
      </c>
      <c r="DZ28" s="70"/>
      <c r="EA28" s="70"/>
      <c r="EB28" s="70"/>
      <c r="EC28" s="82">
        <v>15</v>
      </c>
      <c r="ED28" s="586"/>
      <c r="EE28" s="70"/>
      <c r="EF28" s="70"/>
      <c r="EG28" s="70"/>
      <c r="EH28" s="82">
        <v>16</v>
      </c>
      <c r="EI28" s="70"/>
      <c r="EJ28" s="70"/>
      <c r="EK28" s="70"/>
      <c r="EL28" s="82">
        <v>17</v>
      </c>
      <c r="EM28" s="70"/>
      <c r="EN28" s="70"/>
      <c r="EO28" s="70"/>
      <c r="EP28" s="82">
        <v>18</v>
      </c>
      <c r="EQ28" s="70"/>
      <c r="ER28" s="70"/>
      <c r="ES28" s="70"/>
      <c r="ET28" s="82">
        <v>19</v>
      </c>
      <c r="EU28" s="70"/>
      <c r="EV28" s="70"/>
      <c r="EW28" s="70"/>
      <c r="EX28" s="82">
        <v>20</v>
      </c>
      <c r="EY28" s="586"/>
      <c r="EZ28" s="82">
        <v>21</v>
      </c>
      <c r="FA28" s="82">
        <v>22</v>
      </c>
      <c r="FB28" s="82">
        <v>23</v>
      </c>
      <c r="FC28" s="82">
        <v>24</v>
      </c>
      <c r="FD28" s="82">
        <v>25</v>
      </c>
      <c r="FE28" s="82">
        <v>26</v>
      </c>
      <c r="FF28" s="82">
        <v>27</v>
      </c>
      <c r="FG28" s="82">
        <v>28</v>
      </c>
      <c r="FH28" s="82">
        <v>29</v>
      </c>
      <c r="FI28" s="82">
        <v>30</v>
      </c>
      <c r="FJ28" s="82">
        <v>31</v>
      </c>
      <c r="FK28" s="82">
        <v>32</v>
      </c>
      <c r="FL28" s="65"/>
      <c r="FM28" s="69"/>
      <c r="FN28" s="65"/>
      <c r="FO28" s="587"/>
      <c r="FP28" s="65"/>
      <c r="FQ28" s="65"/>
      <c r="FR28" s="65"/>
      <c r="FS28" s="65"/>
      <c r="FT28" s="65"/>
      <c r="FU28" s="65"/>
      <c r="FV28" s="65"/>
      <c r="FW28" s="65"/>
      <c r="FX28" s="65"/>
      <c r="FY28" s="65"/>
    </row>
    <row r="29" spans="1:181" ht="12" customHeight="1">
      <c r="A29" s="65"/>
      <c r="B29" s="65"/>
      <c r="C29" s="65"/>
      <c r="D29" s="65"/>
      <c r="E29" s="66"/>
      <c r="F29" s="65"/>
      <c r="G29" s="65"/>
      <c r="H29" s="65"/>
      <c r="I29" s="65"/>
      <c r="J29" s="584"/>
      <c r="K29" s="65"/>
      <c r="L29" s="65"/>
      <c r="M29" s="65"/>
      <c r="N29" s="65"/>
      <c r="O29" s="65"/>
      <c r="P29" s="65"/>
      <c r="Q29" s="584"/>
      <c r="R29" s="65"/>
      <c r="S29" s="65"/>
      <c r="T29" s="65"/>
      <c r="U29" s="65"/>
      <c r="V29" s="65"/>
      <c r="W29" s="584"/>
      <c r="X29" s="65"/>
      <c r="Y29" s="67"/>
      <c r="Z29" s="68"/>
      <c r="AA29" s="68"/>
      <c r="AB29" s="65"/>
      <c r="AC29" s="65"/>
      <c r="AD29" s="65"/>
      <c r="AE29" s="65"/>
      <c r="AF29" s="65"/>
      <c r="AG29" s="65"/>
      <c r="AH29" s="65"/>
      <c r="AI29" s="65"/>
      <c r="AJ29" s="92"/>
      <c r="AK29" s="92"/>
      <c r="AL29" s="65"/>
      <c r="AM29" s="65"/>
      <c r="AN29" s="65"/>
      <c r="AO29" s="65"/>
      <c r="AP29" s="584"/>
      <c r="AQ29" s="65"/>
      <c r="AR29" s="65"/>
      <c r="AS29" s="65"/>
      <c r="AT29" s="65"/>
      <c r="AU29" s="65"/>
      <c r="AV29" s="65"/>
      <c r="AW29" s="69"/>
      <c r="AX29" s="65"/>
      <c r="AY29" s="582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9"/>
      <c r="BN29" s="65"/>
      <c r="BO29" s="586"/>
      <c r="BP29" s="586"/>
      <c r="BQ29" s="70"/>
      <c r="BR29" s="70" t="e">
        <f>#REF!/#REF!</f>
        <v>#REF!</v>
      </c>
      <c r="BS29" s="70"/>
      <c r="BT29" s="96" t="s">
        <v>249</v>
      </c>
      <c r="BU29" s="70"/>
      <c r="BV29" s="70"/>
      <c r="BW29" s="70"/>
      <c r="BX29" s="96" t="s">
        <v>249</v>
      </c>
      <c r="BY29" s="586"/>
      <c r="BZ29" s="70"/>
      <c r="CA29" s="70"/>
      <c r="CB29" s="70"/>
      <c r="CC29" s="82" t="s">
        <v>250</v>
      </c>
      <c r="CD29" s="586"/>
      <c r="CE29" s="70"/>
      <c r="CF29" s="70"/>
      <c r="CG29" s="70"/>
      <c r="CH29" s="82" t="s">
        <v>249</v>
      </c>
      <c r="CI29" s="70"/>
      <c r="CJ29" s="70"/>
      <c r="CK29" s="70"/>
      <c r="CL29" s="82" t="s">
        <v>249</v>
      </c>
      <c r="CM29" s="70"/>
      <c r="CN29" s="70"/>
      <c r="CO29" s="70"/>
      <c r="CP29" s="82" t="s">
        <v>249</v>
      </c>
      <c r="CQ29" s="586"/>
      <c r="CR29" s="70"/>
      <c r="CS29" s="70"/>
      <c r="CT29" s="70"/>
      <c r="CU29" s="82" t="s">
        <v>250</v>
      </c>
      <c r="CV29" s="70"/>
      <c r="CW29" s="70"/>
      <c r="CX29" s="70"/>
      <c r="CY29" s="82" t="s">
        <v>250</v>
      </c>
      <c r="CZ29" s="70"/>
      <c r="DA29" s="70"/>
      <c r="DB29" s="70"/>
      <c r="DC29" s="82" t="s">
        <v>250</v>
      </c>
      <c r="DD29" s="586"/>
      <c r="DE29" s="70"/>
      <c r="DF29" s="70"/>
      <c r="DG29" s="70"/>
      <c r="DH29" s="82" t="s">
        <v>250</v>
      </c>
      <c r="DI29" s="70"/>
      <c r="DJ29" s="70"/>
      <c r="DK29" s="70"/>
      <c r="DL29" s="82" t="s">
        <v>250</v>
      </c>
      <c r="DM29" s="70"/>
      <c r="DN29" s="70"/>
      <c r="DO29" s="70"/>
      <c r="DP29" s="82" t="s">
        <v>250</v>
      </c>
      <c r="DQ29" s="586"/>
      <c r="DR29" s="70"/>
      <c r="DS29" s="70"/>
      <c r="DT29" s="70"/>
      <c r="DU29" s="82" t="s">
        <v>250</v>
      </c>
      <c r="DV29" s="70"/>
      <c r="DW29" s="70"/>
      <c r="DX29" s="70"/>
      <c r="DY29" s="82" t="s">
        <v>250</v>
      </c>
      <c r="DZ29" s="70"/>
      <c r="EA29" s="70"/>
      <c r="EB29" s="70"/>
      <c r="EC29" s="82" t="s">
        <v>250</v>
      </c>
      <c r="ED29" s="586"/>
      <c r="EE29" s="70"/>
      <c r="EF29" s="70"/>
      <c r="EG29" s="70"/>
      <c r="EH29" s="82" t="s">
        <v>250</v>
      </c>
      <c r="EI29" s="70"/>
      <c r="EJ29" s="70"/>
      <c r="EK29" s="70"/>
      <c r="EL29" s="82" t="s">
        <v>250</v>
      </c>
      <c r="EM29" s="70"/>
      <c r="EN29" s="70"/>
      <c r="EO29" s="70"/>
      <c r="EP29" s="82" t="s">
        <v>249</v>
      </c>
      <c r="EQ29" s="70"/>
      <c r="ER29" s="70"/>
      <c r="ES29" s="70"/>
      <c r="ET29" s="82" t="s">
        <v>249</v>
      </c>
      <c r="EU29" s="70"/>
      <c r="EV29" s="70"/>
      <c r="EW29" s="70"/>
      <c r="EX29" s="82" t="s">
        <v>249</v>
      </c>
      <c r="EY29" s="586"/>
      <c r="EZ29" s="82"/>
      <c r="FA29" s="82"/>
      <c r="FB29" s="82"/>
      <c r="FC29" s="82"/>
      <c r="FD29" s="82"/>
      <c r="FE29" s="82"/>
      <c r="FF29" s="82"/>
      <c r="FG29" s="82"/>
      <c r="FH29" s="82"/>
      <c r="FI29" s="82"/>
      <c r="FJ29" s="82"/>
      <c r="FK29" s="82"/>
      <c r="FL29" s="65"/>
      <c r="FM29" s="69"/>
      <c r="FN29" s="65"/>
      <c r="FO29" s="587"/>
      <c r="FP29" s="65"/>
      <c r="FQ29" s="65"/>
      <c r="FR29" s="65"/>
      <c r="FS29" s="65"/>
      <c r="FT29" s="65"/>
      <c r="FU29" s="65"/>
      <c r="FV29" s="65"/>
      <c r="FW29" s="65"/>
      <c r="FX29" s="65"/>
      <c r="FY29" s="65"/>
    </row>
    <row r="30" spans="1:181" s="104" customFormat="1" ht="42.6" customHeight="1">
      <c r="A30" s="70"/>
      <c r="B30" s="97" t="s">
        <v>251</v>
      </c>
      <c r="C30" s="97" t="s">
        <v>252</v>
      </c>
      <c r="D30" s="70"/>
      <c r="E30" s="73" t="s">
        <v>196</v>
      </c>
      <c r="F30" s="73" t="s">
        <v>253</v>
      </c>
      <c r="G30" s="73" t="s">
        <v>254</v>
      </c>
      <c r="H30" s="73" t="s">
        <v>255</v>
      </c>
      <c r="I30" s="70"/>
      <c r="J30" s="584"/>
      <c r="K30" s="73" t="s">
        <v>256</v>
      </c>
      <c r="L30" s="73" t="s">
        <v>257</v>
      </c>
      <c r="M30" s="73" t="s">
        <v>258</v>
      </c>
      <c r="N30" s="73" t="s">
        <v>259</v>
      </c>
      <c r="O30" s="73" t="s">
        <v>246</v>
      </c>
      <c r="P30" s="70"/>
      <c r="Q30" s="584"/>
      <c r="R30" s="73" t="s">
        <v>260</v>
      </c>
      <c r="S30" s="73" t="s">
        <v>106</v>
      </c>
      <c r="T30" s="73" t="s">
        <v>261</v>
      </c>
      <c r="U30" s="73" t="s">
        <v>247</v>
      </c>
      <c r="V30" s="70"/>
      <c r="W30" s="584"/>
      <c r="X30" s="73" t="s">
        <v>260</v>
      </c>
      <c r="Y30" s="98" t="s">
        <v>262</v>
      </c>
      <c r="Z30" s="99" t="s">
        <v>263</v>
      </c>
      <c r="AA30" s="99" t="s">
        <v>264</v>
      </c>
      <c r="AB30" s="73" t="s">
        <v>265</v>
      </c>
      <c r="AC30" s="73" t="s">
        <v>106</v>
      </c>
      <c r="AD30" s="70"/>
      <c r="AE30" s="73" t="s">
        <v>266</v>
      </c>
      <c r="AF30" s="73" t="s">
        <v>267</v>
      </c>
      <c r="AG30" s="73" t="s">
        <v>268</v>
      </c>
      <c r="AH30" s="73" t="s">
        <v>102</v>
      </c>
      <c r="AI30" s="73" t="s">
        <v>101</v>
      </c>
      <c r="AJ30" s="73" t="s">
        <v>269</v>
      </c>
      <c r="AK30" s="73" t="s">
        <v>270</v>
      </c>
      <c r="AL30" s="70"/>
      <c r="AM30" s="73" t="s">
        <v>261</v>
      </c>
      <c r="AN30" s="73" t="s">
        <v>247</v>
      </c>
      <c r="AO30" s="70"/>
      <c r="AP30" s="584"/>
      <c r="AQ30" s="73" t="s">
        <v>271</v>
      </c>
      <c r="AR30" s="73" t="s">
        <v>272</v>
      </c>
      <c r="AS30" s="73" t="s">
        <v>273</v>
      </c>
      <c r="AT30" s="73" t="s">
        <v>247</v>
      </c>
      <c r="AU30" s="73" t="s">
        <v>68</v>
      </c>
      <c r="AV30" s="70"/>
      <c r="AW30" s="100"/>
      <c r="AX30" s="70"/>
      <c r="AY30" s="582"/>
      <c r="AZ30" s="101" t="s">
        <v>248</v>
      </c>
      <c r="BA30" s="91" t="s">
        <v>274</v>
      </c>
      <c r="BB30" s="91" t="s">
        <v>102</v>
      </c>
      <c r="BC30" s="91" t="s">
        <v>101</v>
      </c>
      <c r="BD30" s="70"/>
      <c r="BE30" s="101" t="s">
        <v>275</v>
      </c>
      <c r="BF30" s="91" t="s">
        <v>276</v>
      </c>
      <c r="BG30" s="91" t="s">
        <v>274</v>
      </c>
      <c r="BH30" s="91" t="s">
        <v>102</v>
      </c>
      <c r="BI30" s="91" t="s">
        <v>101</v>
      </c>
      <c r="BJ30" s="91" t="s">
        <v>269</v>
      </c>
      <c r="BK30" s="101" t="s">
        <v>277</v>
      </c>
      <c r="BL30" s="70"/>
      <c r="BM30" s="100"/>
      <c r="BN30" s="70"/>
      <c r="BO30" s="586"/>
      <c r="BP30" s="586"/>
      <c r="BQ30" s="102" t="s">
        <v>278</v>
      </c>
      <c r="BR30" s="82" t="s">
        <v>279</v>
      </c>
      <c r="BS30" s="82" t="s">
        <v>280</v>
      </c>
      <c r="BT30" s="96" t="s">
        <v>281</v>
      </c>
      <c r="BU30" s="102" t="s">
        <v>278</v>
      </c>
      <c r="BV30" s="82" t="s">
        <v>279</v>
      </c>
      <c r="BW30" s="82" t="s">
        <v>282</v>
      </c>
      <c r="BX30" s="96" t="str">
        <f>INDEX('Base Salarial'!$G$5:$G$25,MATCH(BX28,'Base Salarial'!$A$5:$A$25,0))</f>
        <v>COORD.</v>
      </c>
      <c r="BY30" s="586"/>
      <c r="BZ30" s="102" t="s">
        <v>278</v>
      </c>
      <c r="CA30" s="82" t="s">
        <v>279</v>
      </c>
      <c r="CB30" s="82" t="s">
        <v>282</v>
      </c>
      <c r="CC30" s="82" t="str">
        <f>INDEX('Base Salarial'!$G$5:$G$25,MATCH(CC28,'Base Salarial'!$A$5:$A$25,0))</f>
        <v>SUP.-ESP</v>
      </c>
      <c r="CD30" s="586"/>
      <c r="CE30" s="102" t="s">
        <v>278</v>
      </c>
      <c r="CF30" s="82" t="s">
        <v>279</v>
      </c>
      <c r="CG30" s="82" t="s">
        <v>280</v>
      </c>
      <c r="CH30" s="82" t="s">
        <v>283</v>
      </c>
      <c r="CI30" s="102" t="s">
        <v>278</v>
      </c>
      <c r="CJ30" s="82" t="s">
        <v>279</v>
      </c>
      <c r="CK30" s="82" t="s">
        <v>280</v>
      </c>
      <c r="CL30" s="82" t="str">
        <f>INDEX('Base Salarial'!$G$5:$G$25,MATCH(CL28,'Base Salarial'!$A$5:$A$25,0))</f>
        <v>ENG/ARQ PL.</v>
      </c>
      <c r="CM30" s="102" t="s">
        <v>278</v>
      </c>
      <c r="CN30" s="82" t="s">
        <v>279</v>
      </c>
      <c r="CO30" s="82" t="s">
        <v>282</v>
      </c>
      <c r="CP30" s="82" t="str">
        <f>INDEX('Base Salarial'!$G$5:$G$25,MATCH(CP28,'Base Salarial'!$A$5:$A$25,0))</f>
        <v>ENG/ARQ JR.</v>
      </c>
      <c r="CQ30" s="586"/>
      <c r="CR30" s="102" t="s">
        <v>278</v>
      </c>
      <c r="CS30" s="82" t="s">
        <v>279</v>
      </c>
      <c r="CT30" s="82" t="s">
        <v>282</v>
      </c>
      <c r="CU30" s="82" t="str">
        <f>INDEX('Base Salarial'!$G$5:$G$25,MATCH(CU28,'Base Salarial'!$A$5:$A$25,0))</f>
        <v>AN SR. ENG/ARQ</v>
      </c>
      <c r="CV30" s="102" t="s">
        <v>278</v>
      </c>
      <c r="CW30" s="82" t="s">
        <v>279</v>
      </c>
      <c r="CX30" s="82" t="s">
        <v>282</v>
      </c>
      <c r="CY30" s="82" t="str">
        <f>INDEX('Base Salarial'!$G$5:$G$25,MATCH(CY28,'Base Salarial'!$A$5:$A$25,0))</f>
        <v>AN PL. ENG/ARQ</v>
      </c>
      <c r="CZ30" s="102" t="s">
        <v>278</v>
      </c>
      <c r="DA30" s="82" t="s">
        <v>279</v>
      </c>
      <c r="DB30" s="82" t="s">
        <v>282</v>
      </c>
      <c r="DC30" s="82" t="str">
        <f>INDEX('Base Salarial'!$G$5:$G$25,MATCH(DC28,'Base Salarial'!$A$5:$A$25,0))</f>
        <v>AN JR. ENG/ARQ</v>
      </c>
      <c r="DD30" s="586"/>
      <c r="DE30" s="102" t="s">
        <v>278</v>
      </c>
      <c r="DF30" s="82" t="s">
        <v>279</v>
      </c>
      <c r="DG30" s="82" t="s">
        <v>282</v>
      </c>
      <c r="DH30" s="82" t="str">
        <f>INDEX('Base Salarial'!$G$5:$G$25,MATCH(DH28,'Base Salarial'!$A$5:$A$25,0))</f>
        <v>AN SR. ADM/CRP</v>
      </c>
      <c r="DI30" s="102" t="s">
        <v>278</v>
      </c>
      <c r="DJ30" s="82" t="s">
        <v>279</v>
      </c>
      <c r="DK30" s="82" t="s">
        <v>282</v>
      </c>
      <c r="DL30" s="82" t="str">
        <f>INDEX('Base Salarial'!$G$5:$G$25,MATCH(DL28,'Base Salarial'!$A$5:$A$25,0))</f>
        <v>AN PL. ADM/CRP</v>
      </c>
      <c r="DM30" s="102" t="s">
        <v>278</v>
      </c>
      <c r="DN30" s="82" t="s">
        <v>279</v>
      </c>
      <c r="DO30" s="82" t="s">
        <v>282</v>
      </c>
      <c r="DP30" s="82" t="str">
        <f>INDEX('Base Salarial'!$G$5:$G$25,MATCH(DP28,'Base Salarial'!$A$5:$A$25,0))</f>
        <v>AN JR. ADM/CRP</v>
      </c>
      <c r="DQ30" s="586"/>
      <c r="DR30" s="102" t="s">
        <v>278</v>
      </c>
      <c r="DS30" s="82" t="s">
        <v>279</v>
      </c>
      <c r="DT30" s="82" t="s">
        <v>282</v>
      </c>
      <c r="DU30" s="82" t="str">
        <f>INDEX('Base Salarial'!$G$5:$G$25,MATCH(DU28,'Base Salarial'!$A$5:$A$25,0))</f>
        <v>TEC III</v>
      </c>
      <c r="DV30" s="102" t="s">
        <v>278</v>
      </c>
      <c r="DW30" s="82" t="s">
        <v>279</v>
      </c>
      <c r="DX30" s="82" t="s">
        <v>282</v>
      </c>
      <c r="DY30" s="82" t="str">
        <f>INDEX('Base Salarial'!$G$5:$G$25,MATCH(DY28,'Base Salarial'!$A$5:$A$25,0))</f>
        <v>TEC II</v>
      </c>
      <c r="DZ30" s="102" t="s">
        <v>278</v>
      </c>
      <c r="EA30" s="82" t="s">
        <v>279</v>
      </c>
      <c r="EB30" s="82" t="s">
        <v>282</v>
      </c>
      <c r="EC30" s="82" t="str">
        <f>INDEX('Base Salarial'!$G$5:$G$25,MATCH(EC28,'Base Salarial'!$A$5:$A$25,0))</f>
        <v>TEC I</v>
      </c>
      <c r="ED30" s="586"/>
      <c r="EE30" s="102" t="s">
        <v>278</v>
      </c>
      <c r="EF30" s="82" t="s">
        <v>279</v>
      </c>
      <c r="EG30" s="82" t="s">
        <v>282</v>
      </c>
      <c r="EH30" s="82" t="str">
        <f>INDEX('Base Salarial'!$G$5:$G$25,MATCH(EH28,'Base Salarial'!$A$5:$A$25,0))</f>
        <v>AUX TEC</v>
      </c>
      <c r="EI30" s="102" t="s">
        <v>278</v>
      </c>
      <c r="EJ30" s="82" t="s">
        <v>279</v>
      </c>
      <c r="EK30" s="82" t="s">
        <v>282</v>
      </c>
      <c r="EL30" s="82" t="str">
        <f>INDEX('Base Salarial'!$G$5:$G$25,MATCH(EL28,'Base Salarial'!$A$5:$A$25,0))</f>
        <v>AUX ADM</v>
      </c>
      <c r="EM30" s="102" t="s">
        <v>278</v>
      </c>
      <c r="EN30" s="82" t="s">
        <v>279</v>
      </c>
      <c r="EO30" s="82" t="s">
        <v>282</v>
      </c>
      <c r="EP30" s="82" t="str">
        <f>INDEX('Base Salarial'!$G$5:$G$25,MATCH(EP28,'Base Salarial'!$A$5:$A$25,0))</f>
        <v>EST</v>
      </c>
      <c r="EQ30" s="102" t="s">
        <v>278</v>
      </c>
      <c r="ER30" s="82" t="s">
        <v>279</v>
      </c>
      <c r="ES30" s="82" t="s">
        <v>282</v>
      </c>
      <c r="ET30" s="82" t="s">
        <v>284</v>
      </c>
      <c r="EU30" s="102" t="s">
        <v>278</v>
      </c>
      <c r="EV30" s="82" t="s">
        <v>279</v>
      </c>
      <c r="EW30" s="82" t="s">
        <v>282</v>
      </c>
      <c r="EX30" s="82" t="s">
        <v>285</v>
      </c>
      <c r="EY30" s="586"/>
      <c r="EZ30" s="82" t="s">
        <v>286</v>
      </c>
      <c r="FA30" s="82"/>
      <c r="FB30" s="82"/>
      <c r="FC30" s="82"/>
      <c r="FD30" s="82"/>
      <c r="FE30" s="82"/>
      <c r="FF30" s="82"/>
      <c r="FG30" s="82"/>
      <c r="FH30" s="82"/>
      <c r="FI30" s="82"/>
      <c r="FJ30" s="82"/>
      <c r="FK30" s="82"/>
      <c r="FL30" s="70"/>
      <c r="FM30" s="100"/>
      <c r="FN30" s="70"/>
      <c r="FO30" s="587"/>
      <c r="FP30" s="103"/>
      <c r="FQ30" s="103"/>
      <c r="FR30" s="103"/>
      <c r="FS30" s="103"/>
      <c r="FT30" s="103"/>
      <c r="FU30" s="103"/>
      <c r="FV30" s="103"/>
      <c r="FW30" s="103"/>
      <c r="FX30" s="103"/>
      <c r="FY30" s="103"/>
    </row>
    <row r="31" spans="1:181" s="104" customFormat="1" ht="18.95" customHeight="1">
      <c r="A31" s="70"/>
      <c r="B31" s="97"/>
      <c r="C31" s="97"/>
      <c r="D31" s="70"/>
      <c r="E31" s="73"/>
      <c r="F31" s="73" t="s">
        <v>164</v>
      </c>
      <c r="G31" s="73"/>
      <c r="H31" s="73"/>
      <c r="I31" s="70"/>
      <c r="J31" s="472"/>
      <c r="K31" s="73"/>
      <c r="L31" s="73"/>
      <c r="M31" s="73"/>
      <c r="N31" s="73"/>
      <c r="O31" s="73"/>
      <c r="P31" s="70"/>
      <c r="Q31" s="472"/>
      <c r="R31" s="73"/>
      <c r="S31" s="73"/>
      <c r="T31" s="73"/>
      <c r="U31" s="73"/>
      <c r="V31" s="70"/>
      <c r="W31" s="472"/>
      <c r="X31" s="73"/>
      <c r="Y31" s="98"/>
      <c r="Z31" s="99"/>
      <c r="AA31" s="99"/>
      <c r="AB31" s="73"/>
      <c r="AC31" s="73"/>
      <c r="AD31" s="70"/>
      <c r="AE31" s="73"/>
      <c r="AF31" s="73"/>
      <c r="AG31" s="73"/>
      <c r="AH31" s="73"/>
      <c r="AI31" s="73"/>
      <c r="AJ31" s="73"/>
      <c r="AK31" s="73"/>
      <c r="AL31" s="70"/>
      <c r="AM31" s="73"/>
      <c r="AN31" s="73"/>
      <c r="AO31" s="70"/>
      <c r="AP31" s="472"/>
      <c r="AQ31" s="73"/>
      <c r="AR31" s="73"/>
      <c r="AS31" s="73"/>
      <c r="AT31" s="73"/>
      <c r="AU31" s="73"/>
      <c r="AV31" s="70"/>
      <c r="AW31" s="100"/>
      <c r="AX31" s="70"/>
      <c r="AY31" s="474"/>
      <c r="AZ31" s="101"/>
      <c r="BA31" s="91"/>
      <c r="BB31" s="91"/>
      <c r="BC31" s="91"/>
      <c r="BD31" s="70"/>
      <c r="BE31" s="101"/>
      <c r="BF31" s="91"/>
      <c r="BG31" s="91"/>
      <c r="BH31" s="91"/>
      <c r="BI31" s="91"/>
      <c r="BJ31" s="91"/>
      <c r="BK31" s="101"/>
      <c r="BL31" s="70"/>
      <c r="BM31" s="100"/>
      <c r="BN31" s="70"/>
      <c r="BO31" s="473"/>
      <c r="BP31" s="473"/>
      <c r="BQ31" s="102"/>
      <c r="BR31" s="82"/>
      <c r="BS31" s="82"/>
      <c r="BT31" s="96"/>
      <c r="BU31" s="102"/>
      <c r="BV31" s="82"/>
      <c r="BW31" s="82"/>
      <c r="BX31" s="96"/>
      <c r="BY31" s="473"/>
      <c r="BZ31" s="102"/>
      <c r="CA31" s="82"/>
      <c r="CB31" s="82"/>
      <c r="CC31" s="475"/>
      <c r="CD31" s="473"/>
      <c r="CE31" s="102"/>
      <c r="CF31" s="82"/>
      <c r="CG31" s="82"/>
      <c r="CH31" s="475"/>
      <c r="CI31" s="102"/>
      <c r="CJ31" s="82"/>
      <c r="CK31" s="82"/>
      <c r="CL31" s="475"/>
      <c r="CM31" s="102"/>
      <c r="CN31" s="82"/>
      <c r="CO31" s="82"/>
      <c r="CP31" s="475"/>
      <c r="CQ31" s="473"/>
      <c r="CR31" s="102"/>
      <c r="CS31" s="82"/>
      <c r="CT31" s="82"/>
      <c r="CU31" s="475"/>
      <c r="CV31" s="102"/>
      <c r="CW31" s="82"/>
      <c r="CX31" s="82"/>
      <c r="CY31" s="475"/>
      <c r="CZ31" s="102"/>
      <c r="DA31" s="82"/>
      <c r="DB31" s="82"/>
      <c r="DC31" s="475"/>
      <c r="DD31" s="473"/>
      <c r="DE31" s="102"/>
      <c r="DF31" s="82"/>
      <c r="DG31" s="82"/>
      <c r="DH31" s="475"/>
      <c r="DI31" s="102"/>
      <c r="DJ31" s="82"/>
      <c r="DK31" s="82"/>
      <c r="DL31" s="475"/>
      <c r="DM31" s="102"/>
      <c r="DN31" s="82"/>
      <c r="DO31" s="82"/>
      <c r="DP31" s="475"/>
      <c r="DQ31" s="473"/>
      <c r="DR31" s="102"/>
      <c r="DS31" s="82"/>
      <c r="DT31" s="82"/>
      <c r="DU31" s="475"/>
      <c r="DV31" s="102"/>
      <c r="DW31" s="82"/>
      <c r="DX31" s="82"/>
      <c r="DY31" s="475"/>
      <c r="DZ31" s="102"/>
      <c r="EA31" s="82"/>
      <c r="EB31" s="82"/>
      <c r="EC31" s="475"/>
      <c r="ED31" s="473"/>
      <c r="EE31" s="102"/>
      <c r="EF31" s="82"/>
      <c r="EG31" s="82"/>
      <c r="EH31" s="475"/>
      <c r="EI31" s="102"/>
      <c r="EJ31" s="82"/>
      <c r="EK31" s="82"/>
      <c r="EL31" s="475"/>
      <c r="EM31" s="102"/>
      <c r="EN31" s="82"/>
      <c r="EO31" s="82"/>
      <c r="EP31" s="475"/>
      <c r="EQ31" s="102"/>
      <c r="ER31" s="82"/>
      <c r="ES31" s="82"/>
      <c r="ET31" s="475"/>
      <c r="EU31" s="102"/>
      <c r="EV31" s="82"/>
      <c r="EW31" s="82"/>
      <c r="EX31" s="475"/>
      <c r="EY31" s="473"/>
      <c r="EZ31" s="82"/>
      <c r="FA31" s="82"/>
      <c r="FB31" s="82"/>
      <c r="FC31" s="82"/>
      <c r="FD31" s="82"/>
      <c r="FE31" s="82"/>
      <c r="FF31" s="82"/>
      <c r="FG31" s="82"/>
      <c r="FH31" s="82"/>
      <c r="FI31" s="82"/>
      <c r="FJ31" s="82"/>
      <c r="FK31" s="82"/>
      <c r="FL31" s="70"/>
      <c r="FM31" s="100"/>
      <c r="FN31" s="70"/>
      <c r="FO31" s="476"/>
      <c r="FP31" s="103"/>
      <c r="FQ31" s="103"/>
      <c r="FR31" s="103"/>
      <c r="FS31" s="103"/>
      <c r="FT31" s="103"/>
      <c r="FU31" s="103"/>
      <c r="FV31" s="103"/>
      <c r="FW31" s="103"/>
      <c r="FX31" s="103"/>
      <c r="FY31" s="103"/>
    </row>
    <row r="32" spans="1:181" ht="12" customHeight="1">
      <c r="A32" s="65"/>
      <c r="B32" s="105" t="str">
        <f>IFERROR(VLOOKUP(AE32,'Tabela ICMS'!$C$5:$D$32,2,0),"")</f>
        <v/>
      </c>
      <c r="C32" s="105">
        <f>IFERROR(HLOOKUP(Dashboard!$F$9,'Tabela ICMS'!$E$3:$AF$4,2,0),"")</f>
        <v>25</v>
      </c>
      <c r="D32" s="65"/>
      <c r="E32" s="106">
        <v>1</v>
      </c>
      <c r="F32" s="481" t="s">
        <v>287</v>
      </c>
      <c r="G32" s="78" t="s">
        <v>288</v>
      </c>
      <c r="H32" s="107">
        <f>HISTOGRAMA!C8</f>
        <v>10</v>
      </c>
      <c r="I32" s="65"/>
      <c r="J32" s="65"/>
      <c r="K32" s="108">
        <f t="shared" ref="K32:K54" si="4">SUMIFS(BT32:FK32,$BT$28:$FK$28,"&gt;=1",$BT$28:$FK$28,"&lt;=18")</f>
        <v>199.24666666666667</v>
      </c>
      <c r="L32" s="79">
        <f t="shared" ref="L32:L54" si="5">IFERROR(_xlfn.XLOOKUP(N32,$G$3:$G$22,$L$3:$L$22),0)</f>
        <v>0</v>
      </c>
      <c r="M32" s="80">
        <f t="shared" ref="M32:M54" si="6">K32*(1+L32)</f>
        <v>199.24666666666667</v>
      </c>
      <c r="N32" s="78" t="s">
        <v>165</v>
      </c>
      <c r="O32" s="80">
        <f t="shared" ref="O32:O54" si="7">H32*M32</f>
        <v>1992.4666666666667</v>
      </c>
      <c r="P32" s="65"/>
      <c r="Q32" s="65"/>
      <c r="R32" s="109">
        <f>IFERROR(M32*VLOOKUP(N32,$G$3:$T$22,14,0),0)</f>
        <v>30832.180447530078</v>
      </c>
      <c r="S32" s="84">
        <f t="shared" ref="S32:S53" si="8">H32*R32</f>
        <v>308321.80447530077</v>
      </c>
      <c r="T32" s="109">
        <f>R32*(1+Dashboard!$D$35)</f>
        <v>45109.261810578028</v>
      </c>
      <c r="U32" s="84">
        <f t="shared" ref="U32:U53" si="9">H32*T32</f>
        <v>451092.61810578028</v>
      </c>
      <c r="V32" s="65"/>
      <c r="W32" s="65"/>
      <c r="X32" s="108">
        <f t="shared" ref="X32:X54" si="10">SUMIFS(EZ32:FK32,$EZ$28:$FK$28,"&gt;=19",$EZ$28:$FK$28,"&lt;=30")</f>
        <v>4000</v>
      </c>
      <c r="Y32" s="122"/>
      <c r="Z32" s="112"/>
      <c r="AA32" s="112" t="s">
        <v>289</v>
      </c>
      <c r="AB32" s="81">
        <f t="shared" ref="AB32:AB54" si="11">X32*(1-Y32)</f>
        <v>4000</v>
      </c>
      <c r="AC32" s="84">
        <f t="shared" ref="AC32:AC54" si="12">H32*AB32</f>
        <v>40000</v>
      </c>
      <c r="AD32" s="65"/>
      <c r="AE32" s="113"/>
      <c r="AF32" s="114" cm="1">
        <f t="array" ref="AF32">IFERROR(INDEX('Tabela ICMS'!$E$5:$AF$32,Tarefas!B32,Tarefas!C32),0)</f>
        <v>0</v>
      </c>
      <c r="AG32" s="115">
        <f>IF(AA32="FD",(Dashboard!$D$43+Dashboard!$D$44),(Dashboard!$D$30+Dashboard!$D$31))</f>
        <v>3.6499999999999998E-2</v>
      </c>
      <c r="AH32" s="115">
        <f>IF(AA32="FD",(Dashboard!$D$46),(Dashboard!$D$33))</f>
        <v>0</v>
      </c>
      <c r="AI32" s="115">
        <f>IF(AA32="FD",(Dashboard!$D$45),(Dashboard!$D$32))</f>
        <v>0.05</v>
      </c>
      <c r="AJ32" s="116"/>
      <c r="AK32" s="116"/>
      <c r="AL32" s="65"/>
      <c r="AM32" s="81">
        <f>IF(AA32="FD",AB32*(1+Dashboard!$D$48),AB32*(1+Dashboard!$D$35))</f>
        <v>5852.231163130944</v>
      </c>
      <c r="AN32" s="84">
        <f t="shared" ref="AN32:AN54" si="13">H32*AM32</f>
        <v>58522.311631309436</v>
      </c>
      <c r="AO32" s="65"/>
      <c r="AP32" s="65"/>
      <c r="AQ32" s="81">
        <f t="shared" ref="AQ32:AQ54" si="14">T32</f>
        <v>45109.261810578028</v>
      </c>
      <c r="AR32" s="81">
        <f t="shared" ref="AR32:AR54" si="15">AM32</f>
        <v>5852.231163130944</v>
      </c>
      <c r="AS32" s="117">
        <f t="shared" ref="AS32:AS54" si="16">ROUND(T32+AM32,2)</f>
        <v>50961.49</v>
      </c>
      <c r="AT32" s="84">
        <f t="shared" ref="AT32:AT54" si="17">ROUND(U32+AN32,2)</f>
        <v>509614.93</v>
      </c>
      <c r="AU32" s="114">
        <f t="shared" ref="AU32:AU54" si="18">IFERROR(AT32/$AT$28,0)</f>
        <v>0.33171235367103569</v>
      </c>
      <c r="AV32" s="65"/>
      <c r="AW32" s="69"/>
      <c r="AX32" s="65"/>
      <c r="AY32" s="65"/>
      <c r="AZ32" s="93">
        <f t="shared" ref="AZ32:AZ54" si="19">SUM(BA32:BC32)</f>
        <v>39019.511466149997</v>
      </c>
      <c r="BA32" s="94">
        <f>(Dashboard!$D$30+Dashboard!$D$31)*U32</f>
        <v>16464.88056086098</v>
      </c>
      <c r="BB32" s="94">
        <f>Dashboard!$D$33*U32</f>
        <v>0</v>
      </c>
      <c r="BC32" s="94">
        <f>Dashboard!$D$32*U32</f>
        <v>22554.630905289014</v>
      </c>
      <c r="BD32" s="65"/>
      <c r="BE32" s="93">
        <f t="shared" ref="BE32:BE54" si="20">SUM(BF32:BK32)</f>
        <v>5062.1799561082662</v>
      </c>
      <c r="BF32" s="94">
        <f t="shared" ref="BF32:BF54" si="21">AF32*$AN32</f>
        <v>0</v>
      </c>
      <c r="BG32" s="94">
        <f t="shared" ref="BG32:BG54" si="22">IF(AA32="FD",($AN32-$AC32)*AG32,AG32*$AN32)</f>
        <v>2136.0643745427942</v>
      </c>
      <c r="BH32" s="94">
        <f t="shared" ref="BH32:BH54" si="23">IF(AB32="FD",($AN32-$AC32)*AH32,AH32*$AN32)</f>
        <v>0</v>
      </c>
      <c r="BI32" s="94">
        <f t="shared" ref="BI32:BI54" si="24">IF(AC32="FD",($AN32-$AC32)*AI32,AI32*$AN32)</f>
        <v>2926.115581565472</v>
      </c>
      <c r="BJ32" s="94">
        <f t="shared" ref="BJ32:BJ54" si="25">IF(AD32="FD",($AN32-$AC32)*AJ32,AJ32*$AN32)</f>
        <v>0</v>
      </c>
      <c r="BK32" s="94">
        <f t="shared" ref="BK32:BK54" si="26">IF(AE32="FD",($AN32-$AC32)*AK32,AK32*$AN32)</f>
        <v>0</v>
      </c>
      <c r="BL32" s="65"/>
      <c r="BM32" s="69"/>
      <c r="BN32" s="65"/>
      <c r="BO32" s="65"/>
      <c r="BP32" s="65"/>
      <c r="BQ32" s="118">
        <v>1</v>
      </c>
      <c r="BR32" s="119">
        <f>22*0.05*1/3</f>
        <v>0.3666666666666667</v>
      </c>
      <c r="BS32" s="120">
        <v>8.8000000000000007</v>
      </c>
      <c r="BT32" s="121">
        <f t="shared" ref="BT32:BT54" si="27">BQ32*BR32*BS32</f>
        <v>3.226666666666667</v>
      </c>
      <c r="BU32" s="118">
        <v>1</v>
      </c>
      <c r="BV32" s="119">
        <v>22</v>
      </c>
      <c r="BW32" s="120">
        <v>8.8000000000000007</v>
      </c>
      <c r="BX32" s="121">
        <f t="shared" ref="BX32" si="28">BU32*BV32*BW32</f>
        <v>193.60000000000002</v>
      </c>
      <c r="BY32" s="65"/>
      <c r="BZ32" s="118">
        <v>0</v>
      </c>
      <c r="CA32" s="119">
        <v>22</v>
      </c>
      <c r="CB32" s="120">
        <v>8.8000000000000007</v>
      </c>
      <c r="CC32" s="121">
        <f t="shared" ref="CC32:CC54" si="29">BZ32*CA32*CB32</f>
        <v>0</v>
      </c>
      <c r="CD32" s="65"/>
      <c r="CE32" s="118">
        <v>1</v>
      </c>
      <c r="CF32" s="119">
        <f>0.05*22*1/4</f>
        <v>0.27500000000000002</v>
      </c>
      <c r="CG32" s="120">
        <v>8.8000000000000007</v>
      </c>
      <c r="CH32" s="121">
        <f t="shared" ref="CH32:CH54" si="30">CE32*CF32*CG32</f>
        <v>2.4200000000000004</v>
      </c>
      <c r="CI32" s="118">
        <v>0</v>
      </c>
      <c r="CJ32" s="119">
        <v>22</v>
      </c>
      <c r="CK32" s="120">
        <v>8.8000000000000007</v>
      </c>
      <c r="CL32" s="121">
        <f t="shared" ref="CL32:CL54" si="31">CI32*CJ32*CK32</f>
        <v>0</v>
      </c>
      <c r="CM32" s="118">
        <v>0</v>
      </c>
      <c r="CN32" s="119">
        <v>22</v>
      </c>
      <c r="CO32" s="120">
        <v>8.8000000000000007</v>
      </c>
      <c r="CP32" s="121">
        <f t="shared" ref="CP32:CP54" si="32">CM32*CN32*CO32</f>
        <v>0</v>
      </c>
      <c r="CQ32" s="65"/>
      <c r="CR32" s="118">
        <v>0</v>
      </c>
      <c r="CS32" s="119">
        <v>22</v>
      </c>
      <c r="CT32" s="120">
        <v>8.8000000000000007</v>
      </c>
      <c r="CU32" s="121">
        <f t="shared" ref="CU32:CU54" si="33">CR32*CS32*CT32</f>
        <v>0</v>
      </c>
      <c r="CV32" s="118">
        <v>0</v>
      </c>
      <c r="CW32" s="119">
        <v>22</v>
      </c>
      <c r="CX32" s="120">
        <v>8.8000000000000007</v>
      </c>
      <c r="CY32" s="121">
        <f t="shared" ref="CY32:CY54" si="34">CV32*CW32*CX32</f>
        <v>0</v>
      </c>
      <c r="CZ32" s="118">
        <v>0</v>
      </c>
      <c r="DA32" s="119">
        <v>22</v>
      </c>
      <c r="DB32" s="120">
        <v>8.8000000000000007</v>
      </c>
      <c r="DC32" s="121">
        <f t="shared" ref="DC32:DC54" si="35">CZ32*DA32*DB32</f>
        <v>0</v>
      </c>
      <c r="DD32" s="65"/>
      <c r="DE32" s="118">
        <v>0</v>
      </c>
      <c r="DF32" s="119">
        <v>22</v>
      </c>
      <c r="DG32" s="120">
        <v>8.8000000000000007</v>
      </c>
      <c r="DH32" s="121">
        <f t="shared" ref="DH32:DH53" si="36">DE32*DF32*DG32</f>
        <v>0</v>
      </c>
      <c r="DI32" s="118">
        <v>0</v>
      </c>
      <c r="DJ32" s="119">
        <v>22</v>
      </c>
      <c r="DK32" s="120">
        <v>8.8000000000000007</v>
      </c>
      <c r="DL32" s="121">
        <f t="shared" ref="DL32:DL54" si="37">DI32*DJ32*DK32</f>
        <v>0</v>
      </c>
      <c r="DM32" s="118">
        <v>0</v>
      </c>
      <c r="DN32" s="119">
        <v>22</v>
      </c>
      <c r="DO32" s="120">
        <v>8.8000000000000007</v>
      </c>
      <c r="DP32" s="121">
        <f t="shared" ref="DP32:DP54" si="38">DM32*DN32*DO32</f>
        <v>0</v>
      </c>
      <c r="DQ32" s="65"/>
      <c r="DR32" s="118">
        <v>0</v>
      </c>
      <c r="DS32" s="119">
        <v>22</v>
      </c>
      <c r="DT32" s="120">
        <v>8.8000000000000007</v>
      </c>
      <c r="DU32" s="121">
        <f t="shared" ref="DU32:DU54" si="39">DR32*DS32*DT32</f>
        <v>0</v>
      </c>
      <c r="DV32" s="118">
        <v>0</v>
      </c>
      <c r="DW32" s="119">
        <v>22</v>
      </c>
      <c r="DX32" s="120">
        <v>8.8000000000000007</v>
      </c>
      <c r="DY32" s="121">
        <f t="shared" ref="DY32:DY54" si="40">DV32*DW32*DX32</f>
        <v>0</v>
      </c>
      <c r="DZ32" s="118">
        <v>0</v>
      </c>
      <c r="EA32" s="119">
        <v>22</v>
      </c>
      <c r="EB32" s="120">
        <v>8.8000000000000007</v>
      </c>
      <c r="EC32" s="121">
        <f t="shared" ref="EC32:EC54" si="41">DZ32*EA32*EB32</f>
        <v>0</v>
      </c>
      <c r="ED32" s="65"/>
      <c r="EE32" s="118">
        <v>0</v>
      </c>
      <c r="EF32" s="119">
        <v>22</v>
      </c>
      <c r="EG32" s="120">
        <v>8.8000000000000007</v>
      </c>
      <c r="EH32" s="121">
        <f t="shared" ref="EH32:EH54" si="42">EE32*EF32*EG32</f>
        <v>0</v>
      </c>
      <c r="EI32" s="118">
        <v>0</v>
      </c>
      <c r="EJ32" s="119">
        <v>22</v>
      </c>
      <c r="EK32" s="120">
        <v>8.8000000000000007</v>
      </c>
      <c r="EL32" s="121">
        <f t="shared" ref="EL32:EL54" si="43">EI32*EJ32*EK32</f>
        <v>0</v>
      </c>
      <c r="EM32" s="118">
        <v>0</v>
      </c>
      <c r="EN32" s="119">
        <v>22</v>
      </c>
      <c r="EO32" s="120">
        <v>8.8000000000000007</v>
      </c>
      <c r="EP32" s="121">
        <f t="shared" ref="EP32:EP54" si="44">EM32*EN32*EO32</f>
        <v>0</v>
      </c>
      <c r="EQ32" s="118">
        <v>0</v>
      </c>
      <c r="ER32" s="119">
        <v>22</v>
      </c>
      <c r="ES32" s="120">
        <v>8.8000000000000007</v>
      </c>
      <c r="ET32" s="121">
        <f t="shared" ref="ET32:ET54" si="45">EQ32*ER32*ES32</f>
        <v>0</v>
      </c>
      <c r="EU32" s="118">
        <v>0</v>
      </c>
      <c r="EV32" s="119">
        <v>22</v>
      </c>
      <c r="EW32" s="120">
        <v>8.8000000000000007</v>
      </c>
      <c r="EX32" s="121">
        <f t="shared" ref="EX32:EX54" si="46">EU32*EV32*EW32</f>
        <v>0</v>
      </c>
      <c r="EY32" s="65"/>
      <c r="EZ32" s="78">
        <v>4000</v>
      </c>
      <c r="FA32" s="78"/>
      <c r="FB32" s="78"/>
      <c r="FC32" s="78"/>
      <c r="FD32" s="78"/>
      <c r="FE32" s="78"/>
      <c r="FF32" s="78"/>
      <c r="FG32" s="78"/>
      <c r="FH32" s="78"/>
      <c r="FI32" s="78"/>
      <c r="FJ32" s="78"/>
      <c r="FK32" s="78"/>
      <c r="FL32" s="65"/>
      <c r="FM32" s="69"/>
      <c r="FN32" s="65"/>
      <c r="FO32" s="65"/>
      <c r="FP32" s="78"/>
      <c r="FQ32" s="78"/>
      <c r="FR32" s="78"/>
      <c r="FS32" s="78"/>
      <c r="FT32" s="78"/>
      <c r="FU32" s="78"/>
      <c r="FV32" s="78"/>
      <c r="FW32" s="78"/>
      <c r="FX32" s="78"/>
      <c r="FY32" s="78"/>
    </row>
    <row r="33" spans="1:171" ht="12" customHeight="1">
      <c r="A33" s="65"/>
      <c r="B33" s="105" t="str">
        <f>IFERROR(VLOOKUP(AE33,'Tabela ICMS'!$C$5:$D$32,2,0),"")</f>
        <v/>
      </c>
      <c r="C33" s="105">
        <f>IFERROR(HLOOKUP(Dashboard!$F$9,'Tabela ICMS'!$E$3:$AF$4,2,0),"")</f>
        <v>25</v>
      </c>
      <c r="D33" s="65"/>
      <c r="E33" s="106">
        <v>2</v>
      </c>
      <c r="F33" s="481" t="s">
        <v>290</v>
      </c>
      <c r="G33" s="78" t="s">
        <v>288</v>
      </c>
      <c r="H33" s="107">
        <f>HISTOGRAMA!C9</f>
        <v>7</v>
      </c>
      <c r="I33" s="65"/>
      <c r="J33" s="65"/>
      <c r="K33" s="108">
        <f t="shared" si="4"/>
        <v>199.2466666666667</v>
      </c>
      <c r="L33" s="79">
        <f t="shared" si="5"/>
        <v>0</v>
      </c>
      <c r="M33" s="80">
        <f t="shared" si="6"/>
        <v>199.2466666666667</v>
      </c>
      <c r="N33" s="78" t="s">
        <v>166</v>
      </c>
      <c r="O33" s="80">
        <f t="shared" si="7"/>
        <v>1394.7266666666669</v>
      </c>
      <c r="P33" s="65"/>
      <c r="Q33" s="65"/>
      <c r="R33" s="109">
        <f t="shared" ref="R33:R54" si="47">IFERROR(M33*VLOOKUP(N33,$G$3:$T$22,14,0),0)</f>
        <v>23192.746272729833</v>
      </c>
      <c r="S33" s="84">
        <f t="shared" si="8"/>
        <v>162349.22390910884</v>
      </c>
      <c r="T33" s="109">
        <f>R33*(1+Dashboard!$D$35)</f>
        <v>33932.328123964646</v>
      </c>
      <c r="U33" s="84">
        <f t="shared" si="9"/>
        <v>237526.29686775251</v>
      </c>
      <c r="V33" s="65"/>
      <c r="W33" s="65"/>
      <c r="X33" s="108">
        <f t="shared" si="10"/>
        <v>4000</v>
      </c>
      <c r="Y33" s="122"/>
      <c r="Z33" s="112"/>
      <c r="AA33" s="112" t="s">
        <v>289</v>
      </c>
      <c r="AB33" s="81">
        <f t="shared" si="11"/>
        <v>4000</v>
      </c>
      <c r="AC33" s="84">
        <f t="shared" si="12"/>
        <v>28000</v>
      </c>
      <c r="AD33" s="65"/>
      <c r="AE33" s="113"/>
      <c r="AF33" s="114" cm="1">
        <f t="array" ref="AF33">IFERROR(INDEX('Tabela ICMS'!$E$5:$AF$32,Tarefas!B33,Tarefas!C33),0)</f>
        <v>0</v>
      </c>
      <c r="AG33" s="115">
        <f>IF(AA33="FD",(Dashboard!$D$43+Dashboard!$D$44),(Dashboard!$D$30+Dashboard!$D$31))</f>
        <v>3.6499999999999998E-2</v>
      </c>
      <c r="AH33" s="115">
        <f>IF(AA33="FD",(Dashboard!$D$46),(Dashboard!$D$33))</f>
        <v>0</v>
      </c>
      <c r="AI33" s="115">
        <f>IF(AA33="FD",(Dashboard!$D$45),(Dashboard!$D$32))</f>
        <v>0.05</v>
      </c>
      <c r="AJ33" s="116"/>
      <c r="AK33" s="116"/>
      <c r="AL33" s="65"/>
      <c r="AM33" s="81">
        <f>IF(AA33="FD",AB33*(1+Dashboard!$D$48),AB33*(1+Dashboard!$D$35))</f>
        <v>5852.231163130944</v>
      </c>
      <c r="AN33" s="84">
        <f t="shared" si="13"/>
        <v>40965.61814191661</v>
      </c>
      <c r="AO33" s="65"/>
      <c r="AP33" s="65"/>
      <c r="AQ33" s="81">
        <f t="shared" si="14"/>
        <v>33932.328123964646</v>
      </c>
      <c r="AR33" s="81">
        <f t="shared" si="15"/>
        <v>5852.231163130944</v>
      </c>
      <c r="AS33" s="117">
        <f t="shared" si="16"/>
        <v>39784.559999999998</v>
      </c>
      <c r="AT33" s="84">
        <f t="shared" si="17"/>
        <v>278491.92</v>
      </c>
      <c r="AU33" s="114">
        <f t="shared" si="18"/>
        <v>0.18127257429755006</v>
      </c>
      <c r="AV33" s="65"/>
      <c r="AW33" s="69"/>
      <c r="AX33" s="65"/>
      <c r="AY33" s="65"/>
      <c r="AZ33" s="93">
        <f t="shared" si="19"/>
        <v>20546.024679060592</v>
      </c>
      <c r="BA33" s="94">
        <f>(Dashboard!$D$30+Dashboard!$D$31)*U33</f>
        <v>8669.7098356729657</v>
      </c>
      <c r="BB33" s="94">
        <f>Dashboard!$D$33*U33</f>
        <v>0</v>
      </c>
      <c r="BC33" s="94">
        <f>Dashboard!$D$32*U33</f>
        <v>11876.314843387627</v>
      </c>
      <c r="BD33" s="65"/>
      <c r="BE33" s="93">
        <f t="shared" si="20"/>
        <v>3543.5259692757868</v>
      </c>
      <c r="BF33" s="94">
        <f t="shared" si="21"/>
        <v>0</v>
      </c>
      <c r="BG33" s="94">
        <f t="shared" si="22"/>
        <v>1495.2450621799562</v>
      </c>
      <c r="BH33" s="94">
        <f t="shared" si="23"/>
        <v>0</v>
      </c>
      <c r="BI33" s="94">
        <f t="shared" si="24"/>
        <v>2048.2809070958306</v>
      </c>
      <c r="BJ33" s="94">
        <f t="shared" si="25"/>
        <v>0</v>
      </c>
      <c r="BK33" s="94">
        <f t="shared" si="26"/>
        <v>0</v>
      </c>
      <c r="BL33" s="65"/>
      <c r="BM33" s="69"/>
      <c r="BN33" s="65"/>
      <c r="BO33" s="65"/>
      <c r="BP33" s="65"/>
      <c r="BQ33" s="118">
        <v>1</v>
      </c>
      <c r="BR33" s="119">
        <f>22*0.05*1/3</f>
        <v>0.3666666666666667</v>
      </c>
      <c r="BS33" s="120">
        <v>8.8000000000000007</v>
      </c>
      <c r="BT33" s="121">
        <f t="shared" si="27"/>
        <v>3.226666666666667</v>
      </c>
      <c r="BU33" s="118">
        <v>0</v>
      </c>
      <c r="BV33" s="119">
        <v>22</v>
      </c>
      <c r="BW33" s="120">
        <v>8.8000000000000007</v>
      </c>
      <c r="BX33" s="121">
        <f t="shared" ref="BX33:BX54" si="48">BU33*BV33*BW33</f>
        <v>0</v>
      </c>
      <c r="BY33" s="65"/>
      <c r="BZ33" s="118">
        <v>0</v>
      </c>
      <c r="CA33" s="119">
        <v>22</v>
      </c>
      <c r="CB33" s="120">
        <v>8.8000000000000007</v>
      </c>
      <c r="CC33" s="121">
        <f t="shared" si="29"/>
        <v>0</v>
      </c>
      <c r="CD33" s="65"/>
      <c r="CE33" s="118">
        <v>1</v>
      </c>
      <c r="CF33" s="119">
        <f>0.05*22*1/4</f>
        <v>0.27500000000000002</v>
      </c>
      <c r="CG33" s="120">
        <v>8.8000000000000007</v>
      </c>
      <c r="CH33" s="121">
        <f t="shared" si="30"/>
        <v>2.4200000000000004</v>
      </c>
      <c r="CI33" s="118">
        <v>1</v>
      </c>
      <c r="CJ33" s="119">
        <f>22</f>
        <v>22</v>
      </c>
      <c r="CK33" s="120">
        <v>8.8000000000000007</v>
      </c>
      <c r="CL33" s="121">
        <f t="shared" si="31"/>
        <v>193.60000000000002</v>
      </c>
      <c r="CM33" s="118">
        <v>0</v>
      </c>
      <c r="CN33" s="119">
        <v>22</v>
      </c>
      <c r="CO33" s="120">
        <v>8.8000000000000007</v>
      </c>
      <c r="CP33" s="121">
        <f t="shared" si="32"/>
        <v>0</v>
      </c>
      <c r="CQ33" s="65"/>
      <c r="CR33" s="118">
        <v>0</v>
      </c>
      <c r="CS33" s="119">
        <v>22</v>
      </c>
      <c r="CT33" s="120">
        <v>8.8000000000000007</v>
      </c>
      <c r="CU33" s="121">
        <f t="shared" si="33"/>
        <v>0</v>
      </c>
      <c r="CV33" s="118">
        <v>0</v>
      </c>
      <c r="CW33" s="119">
        <v>22</v>
      </c>
      <c r="CX33" s="120">
        <v>8.8000000000000007</v>
      </c>
      <c r="CY33" s="121">
        <f t="shared" si="34"/>
        <v>0</v>
      </c>
      <c r="CZ33" s="118">
        <v>0</v>
      </c>
      <c r="DA33" s="119">
        <v>22</v>
      </c>
      <c r="DB33" s="120">
        <v>8.8000000000000007</v>
      </c>
      <c r="DC33" s="121">
        <f t="shared" si="35"/>
        <v>0</v>
      </c>
      <c r="DD33" s="65"/>
      <c r="DE33" s="118">
        <v>0</v>
      </c>
      <c r="DF33" s="119">
        <v>22</v>
      </c>
      <c r="DG33" s="120">
        <v>8.8000000000000007</v>
      </c>
      <c r="DH33" s="121">
        <f t="shared" si="36"/>
        <v>0</v>
      </c>
      <c r="DI33" s="118">
        <v>0</v>
      </c>
      <c r="DJ33" s="119">
        <v>22</v>
      </c>
      <c r="DK33" s="120">
        <v>8.8000000000000007</v>
      </c>
      <c r="DL33" s="121">
        <f t="shared" si="37"/>
        <v>0</v>
      </c>
      <c r="DM33" s="118">
        <v>0</v>
      </c>
      <c r="DN33" s="119">
        <v>22</v>
      </c>
      <c r="DO33" s="120">
        <v>8.8000000000000007</v>
      </c>
      <c r="DP33" s="121">
        <f t="shared" si="38"/>
        <v>0</v>
      </c>
      <c r="DQ33" s="65"/>
      <c r="DR33" s="118">
        <v>0</v>
      </c>
      <c r="DS33" s="119">
        <v>22</v>
      </c>
      <c r="DT33" s="120">
        <v>8.8000000000000007</v>
      </c>
      <c r="DU33" s="121">
        <f t="shared" si="39"/>
        <v>0</v>
      </c>
      <c r="DV33" s="118">
        <v>0</v>
      </c>
      <c r="DW33" s="119">
        <v>22</v>
      </c>
      <c r="DX33" s="120">
        <v>8.8000000000000007</v>
      </c>
      <c r="DY33" s="121">
        <f t="shared" si="40"/>
        <v>0</v>
      </c>
      <c r="DZ33" s="118">
        <v>0</v>
      </c>
      <c r="EA33" s="119">
        <v>22</v>
      </c>
      <c r="EB33" s="120">
        <v>8.8000000000000007</v>
      </c>
      <c r="EC33" s="121">
        <f t="shared" si="41"/>
        <v>0</v>
      </c>
      <c r="ED33" s="65"/>
      <c r="EE33" s="118">
        <v>0</v>
      </c>
      <c r="EF33" s="119">
        <v>22</v>
      </c>
      <c r="EG33" s="120">
        <v>8.8000000000000007</v>
      </c>
      <c r="EH33" s="121">
        <f t="shared" si="42"/>
        <v>0</v>
      </c>
      <c r="EI33" s="118">
        <v>0</v>
      </c>
      <c r="EJ33" s="119">
        <v>22</v>
      </c>
      <c r="EK33" s="120">
        <v>8.8000000000000007</v>
      </c>
      <c r="EL33" s="121">
        <f t="shared" si="43"/>
        <v>0</v>
      </c>
      <c r="EM33" s="118">
        <v>0</v>
      </c>
      <c r="EN33" s="119">
        <v>22</v>
      </c>
      <c r="EO33" s="120">
        <v>8.8000000000000007</v>
      </c>
      <c r="EP33" s="121">
        <f t="shared" si="44"/>
        <v>0</v>
      </c>
      <c r="EQ33" s="118">
        <v>0</v>
      </c>
      <c r="ER33" s="119">
        <v>22</v>
      </c>
      <c r="ES33" s="120">
        <v>8.8000000000000007</v>
      </c>
      <c r="ET33" s="121">
        <f t="shared" si="45"/>
        <v>0</v>
      </c>
      <c r="EU33" s="118">
        <v>0</v>
      </c>
      <c r="EV33" s="119">
        <v>22</v>
      </c>
      <c r="EW33" s="120">
        <v>8.8000000000000007</v>
      </c>
      <c r="EX33" s="121">
        <f t="shared" si="46"/>
        <v>0</v>
      </c>
      <c r="EY33" s="65"/>
      <c r="EZ33" s="78">
        <v>4000</v>
      </c>
      <c r="FA33" s="78"/>
      <c r="FB33" s="78"/>
      <c r="FC33" s="78"/>
      <c r="FD33" s="78"/>
      <c r="FE33" s="78"/>
      <c r="FF33" s="78"/>
      <c r="FG33" s="78"/>
      <c r="FH33" s="78"/>
      <c r="FI33" s="78"/>
      <c r="FJ33" s="78"/>
      <c r="FK33" s="78"/>
      <c r="FL33" s="65"/>
      <c r="FM33" s="69"/>
      <c r="FN33" s="65"/>
      <c r="FO33" s="65"/>
    </row>
    <row r="34" spans="1:171" ht="12" customHeight="1">
      <c r="A34" s="65"/>
      <c r="B34" s="105" t="str">
        <f>IFERROR(VLOOKUP(AE34,'Tabela ICMS'!$C$5:$D$32,2,0),"")</f>
        <v/>
      </c>
      <c r="C34" s="105">
        <f>IFERROR(HLOOKUP(Dashboard!$F$9,'Tabela ICMS'!$E$3:$AF$4,2,0),"")</f>
        <v>25</v>
      </c>
      <c r="D34" s="65"/>
      <c r="E34" s="106">
        <v>3</v>
      </c>
      <c r="F34" s="481" t="s">
        <v>290</v>
      </c>
      <c r="G34" s="78" t="s">
        <v>288</v>
      </c>
      <c r="H34" s="107">
        <f>HISTOGRAMA!C10</f>
        <v>3</v>
      </c>
      <c r="I34" s="65"/>
      <c r="J34" s="65"/>
      <c r="K34" s="108">
        <f t="shared" ref="K34" si="49">SUMIFS(BT34:FK34,$BT$28:$FK$28,"&gt;=1",$BT$28:$FK$28,"&lt;=18")</f>
        <v>44.366666666666674</v>
      </c>
      <c r="L34" s="79">
        <f t="shared" ref="L34" si="50">IFERROR(_xlfn.XLOOKUP(N34,$G$3:$G$22,$L$3:$L$22),0)</f>
        <v>0</v>
      </c>
      <c r="M34" s="80">
        <f t="shared" ref="M34" si="51">K34*(1+L34)</f>
        <v>44.366666666666674</v>
      </c>
      <c r="N34" s="78" t="s">
        <v>167</v>
      </c>
      <c r="O34" s="80">
        <f t="shared" ref="O34" si="52">H34*M34</f>
        <v>133.10000000000002</v>
      </c>
      <c r="P34" s="65"/>
      <c r="Q34" s="65"/>
      <c r="R34" s="109">
        <f t="shared" ref="R34" si="53">IFERROR(M34*VLOOKUP(N34,$G$3:$T$22,14,0),0)</f>
        <v>5511.3703557893396</v>
      </c>
      <c r="S34" s="84">
        <f t="shared" ref="S34" si="54">H34*R34</f>
        <v>16534.11106736802</v>
      </c>
      <c r="T34" s="109">
        <f>R34*(1+Dashboard!$D$35)</f>
        <v>8063.4533369266128</v>
      </c>
      <c r="U34" s="84">
        <f t="shared" ref="U34" si="55">H34*T34</f>
        <v>24190.360010779837</v>
      </c>
      <c r="V34" s="65"/>
      <c r="W34" s="65"/>
      <c r="X34" s="108">
        <f t="shared" ref="X34" si="56">SUMIFS(EZ34:FK34,$EZ$28:$FK$28,"&gt;=19",$EZ$28:$FK$28,"&lt;=30")</f>
        <v>4000</v>
      </c>
      <c r="Y34" s="122"/>
      <c r="Z34" s="112"/>
      <c r="AA34" s="112" t="s">
        <v>289</v>
      </c>
      <c r="AB34" s="81">
        <f t="shared" ref="AB34" si="57">X34*(1-Y34)</f>
        <v>4000</v>
      </c>
      <c r="AC34" s="84">
        <f t="shared" ref="AC34" si="58">H34*AB34</f>
        <v>12000</v>
      </c>
      <c r="AD34" s="65"/>
      <c r="AE34" s="113"/>
      <c r="AF34" s="114" cm="1">
        <f t="array" ref="AF34">IFERROR(INDEX('Tabela ICMS'!$E$5:$AF$32,Tarefas!B34,Tarefas!C34),0)</f>
        <v>0</v>
      </c>
      <c r="AG34" s="115">
        <f>IF(AA34="FD",(Dashboard!$D$43+Dashboard!$D$44),(Dashboard!$D$30+Dashboard!$D$31))</f>
        <v>3.6499999999999998E-2</v>
      </c>
      <c r="AH34" s="115">
        <f>IF(AA34="FD",(Dashboard!$D$46),(Dashboard!$D$33))</f>
        <v>0</v>
      </c>
      <c r="AI34" s="115">
        <f>IF(AA34="FD",(Dashboard!$D$45),(Dashboard!$D$32))</f>
        <v>0.05</v>
      </c>
      <c r="AJ34" s="116"/>
      <c r="AK34" s="116"/>
      <c r="AL34" s="65"/>
      <c r="AM34" s="81">
        <f>IF(AA34="FD",AB34*(1+Dashboard!$D$48),AB34*(1+Dashboard!$D$35))</f>
        <v>5852.231163130944</v>
      </c>
      <c r="AN34" s="84">
        <f t="shared" ref="AN34" si="59">H34*AM34</f>
        <v>17556.693489392834</v>
      </c>
      <c r="AO34" s="65"/>
      <c r="AP34" s="65"/>
      <c r="AQ34" s="81">
        <f t="shared" ref="AQ34" si="60">T34</f>
        <v>8063.4533369266128</v>
      </c>
      <c r="AR34" s="81">
        <f t="shared" ref="AR34" si="61">AM34</f>
        <v>5852.231163130944</v>
      </c>
      <c r="AS34" s="117">
        <f t="shared" ref="AS34" si="62">ROUND(T34+AM34,2)</f>
        <v>13915.68</v>
      </c>
      <c r="AT34" s="84">
        <f t="shared" ref="AT34" si="63">ROUND(U34+AN34,2)</f>
        <v>41747.050000000003</v>
      </c>
      <c r="AU34" s="114">
        <f t="shared" ref="AU34" si="64">IFERROR(AT34/$AT$28,0)</f>
        <v>2.7173482170788073E-2</v>
      </c>
      <c r="AV34" s="65"/>
      <c r="AW34" s="69"/>
      <c r="AX34" s="65"/>
      <c r="AY34" s="65"/>
      <c r="AZ34" s="93">
        <f t="shared" ref="AZ34" si="65">SUM(BA34:BC34)</f>
        <v>2092.4661409324558</v>
      </c>
      <c r="BA34" s="94">
        <f>(Dashboard!$D$30+Dashboard!$D$31)*U34</f>
        <v>882.94814039346397</v>
      </c>
      <c r="BB34" s="94">
        <f>Dashboard!$D$33*U34</f>
        <v>0</v>
      </c>
      <c r="BC34" s="94">
        <f>Dashboard!$D$32*U34</f>
        <v>1209.5180005389918</v>
      </c>
      <c r="BD34" s="65"/>
      <c r="BE34" s="93">
        <f t="shared" ref="BE34" si="66">SUM(BF34:BK34)</f>
        <v>1518.6539868324803</v>
      </c>
      <c r="BF34" s="94">
        <f t="shared" ref="BF34" si="67">AF34*$AN34</f>
        <v>0</v>
      </c>
      <c r="BG34" s="94">
        <f t="shared" ref="BG34" si="68">IF(AA34="FD",($AN34-$AC34)*AG34,AG34*$AN34)</f>
        <v>640.81931236283845</v>
      </c>
      <c r="BH34" s="94">
        <f t="shared" ref="BH34" si="69">IF(AB34="FD",($AN34-$AC34)*AH34,AH34*$AN34)</f>
        <v>0</v>
      </c>
      <c r="BI34" s="94">
        <f t="shared" ref="BI34" si="70">IF(AC34="FD",($AN34-$AC34)*AI34,AI34*$AN34)</f>
        <v>877.83467446964175</v>
      </c>
      <c r="BJ34" s="94">
        <f t="shared" ref="BJ34" si="71">IF(AD34="FD",($AN34-$AC34)*AJ34,AJ34*$AN34)</f>
        <v>0</v>
      </c>
      <c r="BK34" s="94">
        <f t="shared" ref="BK34" si="72">IF(AE34="FD",($AN34-$AC34)*AK34,AK34*$AN34)</f>
        <v>0</v>
      </c>
      <c r="BL34" s="65"/>
      <c r="BM34" s="69"/>
      <c r="BN34" s="65"/>
      <c r="BO34" s="65"/>
      <c r="BP34" s="65"/>
      <c r="BQ34" s="118">
        <v>1</v>
      </c>
      <c r="BR34" s="119">
        <f>22*0.05*1/3</f>
        <v>0.3666666666666667</v>
      </c>
      <c r="BS34" s="120">
        <v>8.8000000000000007</v>
      </c>
      <c r="BT34" s="121">
        <f t="shared" ref="BT34" si="73">BQ34*BR34*BS34</f>
        <v>3.226666666666667</v>
      </c>
      <c r="BU34" s="118">
        <v>0</v>
      </c>
      <c r="BV34" s="119">
        <v>22</v>
      </c>
      <c r="BW34" s="120">
        <v>8.8000000000000007</v>
      </c>
      <c r="BX34" s="121">
        <f t="shared" ref="BX34" si="74">BU34*BV34*BW34</f>
        <v>0</v>
      </c>
      <c r="BY34" s="65"/>
      <c r="BZ34" s="118">
        <v>0</v>
      </c>
      <c r="CA34" s="119">
        <v>22</v>
      </c>
      <c r="CB34" s="120">
        <v>8.8000000000000007</v>
      </c>
      <c r="CC34" s="121">
        <f t="shared" ref="CC34" si="75">BZ34*CA34*CB34</f>
        <v>0</v>
      </c>
      <c r="CD34" s="65"/>
      <c r="CE34" s="118">
        <v>1</v>
      </c>
      <c r="CF34" s="119">
        <f>0.05*22*1/4</f>
        <v>0.27500000000000002</v>
      </c>
      <c r="CG34" s="120">
        <v>8.8000000000000007</v>
      </c>
      <c r="CH34" s="121">
        <f t="shared" ref="CH34" si="76">CE34*CF34*CG34</f>
        <v>2.4200000000000004</v>
      </c>
      <c r="CI34" s="118">
        <v>1</v>
      </c>
      <c r="CJ34" s="119">
        <f>20%*22</f>
        <v>4.4000000000000004</v>
      </c>
      <c r="CK34" s="120">
        <v>8.8000000000000007</v>
      </c>
      <c r="CL34" s="121">
        <f t="shared" ref="CL34" si="77">CI34*CJ34*CK34</f>
        <v>38.720000000000006</v>
      </c>
      <c r="CM34" s="118">
        <v>0</v>
      </c>
      <c r="CN34" s="119">
        <v>22</v>
      </c>
      <c r="CO34" s="120">
        <v>8.8000000000000007</v>
      </c>
      <c r="CP34" s="121">
        <f t="shared" ref="CP34" si="78">CM34*CN34*CO34</f>
        <v>0</v>
      </c>
      <c r="CQ34" s="65"/>
      <c r="CR34" s="118">
        <v>0</v>
      </c>
      <c r="CS34" s="119">
        <v>22</v>
      </c>
      <c r="CT34" s="120">
        <v>8.8000000000000007</v>
      </c>
      <c r="CU34" s="121">
        <f t="shared" ref="CU34" si="79">CR34*CS34*CT34</f>
        <v>0</v>
      </c>
      <c r="CV34" s="118">
        <v>0</v>
      </c>
      <c r="CW34" s="119">
        <v>22</v>
      </c>
      <c r="CX34" s="120">
        <v>8.8000000000000007</v>
      </c>
      <c r="CY34" s="121">
        <f t="shared" ref="CY34" si="80">CV34*CW34*CX34</f>
        <v>0</v>
      </c>
      <c r="CZ34" s="118">
        <v>0</v>
      </c>
      <c r="DA34" s="119">
        <v>22</v>
      </c>
      <c r="DB34" s="120">
        <v>8.8000000000000007</v>
      </c>
      <c r="DC34" s="121">
        <f t="shared" ref="DC34" si="81">CZ34*DA34*DB34</f>
        <v>0</v>
      </c>
      <c r="DD34" s="65"/>
      <c r="DE34" s="118">
        <v>0</v>
      </c>
      <c r="DF34" s="119">
        <v>22</v>
      </c>
      <c r="DG34" s="120">
        <v>8.8000000000000007</v>
      </c>
      <c r="DH34" s="121">
        <f t="shared" ref="DH34" si="82">DE34*DF34*DG34</f>
        <v>0</v>
      </c>
      <c r="DI34" s="118">
        <v>0</v>
      </c>
      <c r="DJ34" s="119">
        <v>22</v>
      </c>
      <c r="DK34" s="120">
        <v>8.8000000000000007</v>
      </c>
      <c r="DL34" s="121">
        <f t="shared" ref="DL34" si="83">DI34*DJ34*DK34</f>
        <v>0</v>
      </c>
      <c r="DM34" s="118">
        <v>0</v>
      </c>
      <c r="DN34" s="119">
        <v>22</v>
      </c>
      <c r="DO34" s="120">
        <v>8.8000000000000007</v>
      </c>
      <c r="DP34" s="121">
        <f t="shared" ref="DP34" si="84">DM34*DN34*DO34</f>
        <v>0</v>
      </c>
      <c r="DQ34" s="65"/>
      <c r="DR34" s="118">
        <v>0</v>
      </c>
      <c r="DS34" s="119">
        <v>22</v>
      </c>
      <c r="DT34" s="120">
        <v>8.8000000000000007</v>
      </c>
      <c r="DU34" s="121">
        <f t="shared" ref="DU34" si="85">DR34*DS34*DT34</f>
        <v>0</v>
      </c>
      <c r="DV34" s="118">
        <v>0</v>
      </c>
      <c r="DW34" s="119">
        <v>22</v>
      </c>
      <c r="DX34" s="120">
        <v>8.8000000000000007</v>
      </c>
      <c r="DY34" s="121">
        <f t="shared" ref="DY34" si="86">DV34*DW34*DX34</f>
        <v>0</v>
      </c>
      <c r="DZ34" s="118">
        <v>0</v>
      </c>
      <c r="EA34" s="119">
        <v>22</v>
      </c>
      <c r="EB34" s="120">
        <v>8.8000000000000007</v>
      </c>
      <c r="EC34" s="121">
        <f t="shared" ref="EC34" si="87">DZ34*EA34*EB34</f>
        <v>0</v>
      </c>
      <c r="ED34" s="65"/>
      <c r="EE34" s="118">
        <v>0</v>
      </c>
      <c r="EF34" s="119">
        <v>22</v>
      </c>
      <c r="EG34" s="120">
        <v>8.8000000000000007</v>
      </c>
      <c r="EH34" s="121">
        <f t="shared" ref="EH34" si="88">EE34*EF34*EG34</f>
        <v>0</v>
      </c>
      <c r="EI34" s="118">
        <v>0</v>
      </c>
      <c r="EJ34" s="119">
        <v>22</v>
      </c>
      <c r="EK34" s="120">
        <v>8.8000000000000007</v>
      </c>
      <c r="EL34" s="121">
        <f t="shared" ref="EL34" si="89">EI34*EJ34*EK34</f>
        <v>0</v>
      </c>
      <c r="EM34" s="118">
        <v>0</v>
      </c>
      <c r="EN34" s="119">
        <v>22</v>
      </c>
      <c r="EO34" s="120">
        <v>8.8000000000000007</v>
      </c>
      <c r="EP34" s="121">
        <f t="shared" ref="EP34" si="90">EM34*EN34*EO34</f>
        <v>0</v>
      </c>
      <c r="EQ34" s="118">
        <v>0</v>
      </c>
      <c r="ER34" s="119">
        <v>22</v>
      </c>
      <c r="ES34" s="120">
        <v>8.8000000000000007</v>
      </c>
      <c r="ET34" s="121">
        <f t="shared" ref="ET34" si="91">EQ34*ER34*ES34</f>
        <v>0</v>
      </c>
      <c r="EU34" s="118">
        <v>0</v>
      </c>
      <c r="EV34" s="119">
        <v>22</v>
      </c>
      <c r="EW34" s="120">
        <v>8.8000000000000007</v>
      </c>
      <c r="EX34" s="121">
        <f t="shared" ref="EX34" si="92">EU34*EV34*EW34</f>
        <v>0</v>
      </c>
      <c r="EY34" s="65"/>
      <c r="EZ34" s="78">
        <v>4000</v>
      </c>
      <c r="FA34" s="78"/>
      <c r="FB34" s="78"/>
      <c r="FC34" s="78"/>
      <c r="FD34" s="78"/>
      <c r="FE34" s="78"/>
      <c r="FF34" s="78"/>
      <c r="FG34" s="78"/>
      <c r="FH34" s="78"/>
      <c r="FI34" s="78"/>
      <c r="FJ34" s="78"/>
      <c r="FK34" s="78"/>
      <c r="FL34" s="65"/>
      <c r="FM34" s="69"/>
      <c r="FN34" s="65"/>
      <c r="FO34" s="65"/>
    </row>
    <row r="35" spans="1:171" ht="12" customHeight="1">
      <c r="A35" s="65"/>
      <c r="B35" s="105" t="str">
        <f>IFERROR(VLOOKUP(AE35,'Tabela ICMS'!$C$5:$D$32,2,0),"")</f>
        <v/>
      </c>
      <c r="C35" s="105">
        <f>IFERROR(HLOOKUP(Dashboard!$F$9,'Tabela ICMS'!$E$3:$AF$4,2,0),"")</f>
        <v>25</v>
      </c>
      <c r="D35" s="65"/>
      <c r="E35" s="106">
        <v>4</v>
      </c>
      <c r="F35" s="481" t="s">
        <v>291</v>
      </c>
      <c r="G35" s="78" t="s">
        <v>288</v>
      </c>
      <c r="H35" s="107">
        <f>HISTOGRAMA!C11</f>
        <v>5</v>
      </c>
      <c r="I35" s="65"/>
      <c r="J35" s="65"/>
      <c r="K35" s="108">
        <f t="shared" ref="K35" si="93">SUMIFS(BT35:FK35,$BT$28:$FK$28,"&gt;=1",$BT$28:$FK$28,"&lt;=18")</f>
        <v>48.400000000000006</v>
      </c>
      <c r="L35" s="79">
        <f t="shared" ref="L35" si="94">IFERROR(_xlfn.XLOOKUP(N35,$G$3:$G$22,$L$3:$L$22),0)</f>
        <v>0</v>
      </c>
      <c r="M35" s="80">
        <f t="shared" ref="M35" si="95">K35*(1+L35)</f>
        <v>48.400000000000006</v>
      </c>
      <c r="N35" s="78" t="s">
        <v>168</v>
      </c>
      <c r="O35" s="80">
        <f t="shared" ref="O35" si="96">H35*M35</f>
        <v>242.00000000000003</v>
      </c>
      <c r="P35" s="65"/>
      <c r="Q35" s="65"/>
      <c r="R35" s="109">
        <f t="shared" ref="R35" si="97">IFERROR(M35*VLOOKUP(N35,$G$3:$T$22,14,0),0)</f>
        <v>5731.8251700209112</v>
      </c>
      <c r="S35" s="84">
        <f t="shared" ref="S35" si="98">H35*R35</f>
        <v>28659.125850104556</v>
      </c>
      <c r="T35" s="109">
        <f>R35*(1+Dashboard!$D$35)</f>
        <v>8385.9914704036746</v>
      </c>
      <c r="U35" s="84">
        <f t="shared" ref="U35" si="99">H35*T35</f>
        <v>41929.957352018377</v>
      </c>
      <c r="V35" s="65"/>
      <c r="W35" s="65"/>
      <c r="X35" s="108">
        <f t="shared" ref="X35" si="100">SUMIFS(EZ35:FK35,$EZ$28:$FK$28,"&gt;=19",$EZ$28:$FK$28,"&lt;=30")</f>
        <v>3000</v>
      </c>
      <c r="Y35" s="122"/>
      <c r="Z35" s="112"/>
      <c r="AA35" s="112" t="s">
        <v>289</v>
      </c>
      <c r="AB35" s="81">
        <f t="shared" ref="AB35" si="101">X35*(1-Y35)</f>
        <v>3000</v>
      </c>
      <c r="AC35" s="84">
        <f t="shared" ref="AC35" si="102">H35*AB35</f>
        <v>15000</v>
      </c>
      <c r="AD35" s="65"/>
      <c r="AE35" s="113"/>
      <c r="AF35" s="114" cm="1">
        <f t="array" ref="AF35">IFERROR(INDEX('Tabela ICMS'!$E$5:$AF$32,Tarefas!B35,Tarefas!C35),0)</f>
        <v>0</v>
      </c>
      <c r="AG35" s="115">
        <f>IF(AA35="FD",(Dashboard!$D$43+Dashboard!$D$44),(Dashboard!$D$30+Dashboard!$D$31))</f>
        <v>3.6499999999999998E-2</v>
      </c>
      <c r="AH35" s="115">
        <f>IF(AA35="FD",(Dashboard!$D$46),(Dashboard!$D$33))</f>
        <v>0</v>
      </c>
      <c r="AI35" s="115">
        <f>IF(AA35="FD",(Dashboard!$D$45),(Dashboard!$D$32))</f>
        <v>0.05</v>
      </c>
      <c r="AJ35" s="116"/>
      <c r="AK35" s="116"/>
      <c r="AL35" s="65"/>
      <c r="AM35" s="81">
        <f>IF(AA35="FD",AB35*(1+Dashboard!$D$48),AB35*(1+Dashboard!$D$35))</f>
        <v>4389.1733723482084</v>
      </c>
      <c r="AN35" s="84">
        <f t="shared" ref="AN35" si="103">H35*AM35</f>
        <v>21945.866861741044</v>
      </c>
      <c r="AO35" s="65"/>
      <c r="AP35" s="65"/>
      <c r="AQ35" s="81">
        <f t="shared" ref="AQ35" si="104">T35</f>
        <v>8385.9914704036746</v>
      </c>
      <c r="AR35" s="81">
        <f t="shared" ref="AR35" si="105">AM35</f>
        <v>4389.1733723482084</v>
      </c>
      <c r="AS35" s="117">
        <f t="shared" ref="AS35" si="106">ROUND(T35+AM35,2)</f>
        <v>12775.16</v>
      </c>
      <c r="AT35" s="84">
        <f t="shared" ref="AT35" si="107">ROUND(U35+AN35,2)</f>
        <v>63875.82</v>
      </c>
      <c r="AU35" s="114">
        <f t="shared" ref="AU35" si="108">IFERROR(AT35/$AT$28,0)</f>
        <v>4.1577272068672351E-2</v>
      </c>
      <c r="AV35" s="65"/>
      <c r="AW35" s="69"/>
      <c r="AX35" s="65"/>
      <c r="AY35" s="65"/>
      <c r="AZ35" s="93">
        <f t="shared" ref="AZ35" si="109">SUM(BA35:BC35)</f>
        <v>3626.9413109495899</v>
      </c>
      <c r="BA35" s="94">
        <f>(Dashboard!$D$30+Dashboard!$D$31)*U35</f>
        <v>1530.4434433486706</v>
      </c>
      <c r="BB35" s="94">
        <f>Dashboard!$D$33*U35</f>
        <v>0</v>
      </c>
      <c r="BC35" s="94">
        <f>Dashboard!$D$32*U35</f>
        <v>2096.4978676009191</v>
      </c>
      <c r="BD35" s="65"/>
      <c r="BE35" s="93">
        <f t="shared" ref="BE35" si="110">SUM(BF35:BK35)</f>
        <v>1898.3174835406003</v>
      </c>
      <c r="BF35" s="94">
        <f t="shared" ref="BF35" si="111">AF35*$AN35</f>
        <v>0</v>
      </c>
      <c r="BG35" s="94">
        <f t="shared" ref="BG35" si="112">IF(AA35="FD",($AN35-$AC35)*AG35,AG35*$AN35)</f>
        <v>801.02414045354806</v>
      </c>
      <c r="BH35" s="94">
        <f t="shared" ref="BH35" si="113">IF(AB35="FD",($AN35-$AC35)*AH35,AH35*$AN35)</f>
        <v>0</v>
      </c>
      <c r="BI35" s="94">
        <f t="shared" ref="BI35" si="114">IF(AC35="FD",($AN35-$AC35)*AI35,AI35*$AN35)</f>
        <v>1097.2933430870523</v>
      </c>
      <c r="BJ35" s="94">
        <f t="shared" ref="BJ35" si="115">IF(AD35="FD",($AN35-$AC35)*AJ35,AJ35*$AN35)</f>
        <v>0</v>
      </c>
      <c r="BK35" s="94">
        <f t="shared" ref="BK35" si="116">IF(AE35="FD",($AN35-$AC35)*AK35,AK35*$AN35)</f>
        <v>0</v>
      </c>
      <c r="BL35" s="65"/>
      <c r="BM35" s="69"/>
      <c r="BN35" s="65"/>
      <c r="BO35" s="65"/>
      <c r="BP35" s="65"/>
      <c r="BQ35" s="118">
        <v>0</v>
      </c>
      <c r="BR35" s="119">
        <v>0</v>
      </c>
      <c r="BS35" s="120">
        <v>8.8000000000000007</v>
      </c>
      <c r="BT35" s="121">
        <f t="shared" ref="BT35" si="117">BQ35*BR35*BS35</f>
        <v>0</v>
      </c>
      <c r="BU35" s="118">
        <v>0</v>
      </c>
      <c r="BV35" s="119">
        <v>22</v>
      </c>
      <c r="BW35" s="120">
        <v>8.8000000000000007</v>
      </c>
      <c r="BX35" s="121">
        <f t="shared" ref="BX35" si="118">BU35*BV35*BW35</f>
        <v>0</v>
      </c>
      <c r="BY35" s="65"/>
      <c r="BZ35" s="118">
        <v>0</v>
      </c>
      <c r="CA35" s="119">
        <v>22</v>
      </c>
      <c r="CB35" s="120">
        <v>8.8000000000000007</v>
      </c>
      <c r="CC35" s="121">
        <f t="shared" ref="CC35" si="119">BZ35*CA35*CB35</f>
        <v>0</v>
      </c>
      <c r="CD35" s="65"/>
      <c r="CE35" s="118">
        <v>0</v>
      </c>
      <c r="CF35" s="119">
        <v>0</v>
      </c>
      <c r="CG35" s="120">
        <v>8.8000000000000007</v>
      </c>
      <c r="CH35" s="121">
        <f t="shared" ref="CH35" si="120">CE35*CF35*CG35</f>
        <v>0</v>
      </c>
      <c r="CI35" s="118">
        <v>0</v>
      </c>
      <c r="CJ35" s="119">
        <v>22</v>
      </c>
      <c r="CK35" s="120">
        <v>8.8000000000000007</v>
      </c>
      <c r="CL35" s="121">
        <f t="shared" ref="CL35" si="121">CI35*CJ35*CK35</f>
        <v>0</v>
      </c>
      <c r="CM35" s="118">
        <v>1</v>
      </c>
      <c r="CN35" s="119">
        <f>22*25%</f>
        <v>5.5</v>
      </c>
      <c r="CO35" s="120">
        <v>8.8000000000000007</v>
      </c>
      <c r="CP35" s="121">
        <f t="shared" ref="CP35" si="122">CM35*CN35*CO35</f>
        <v>48.400000000000006</v>
      </c>
      <c r="CQ35" s="65"/>
      <c r="CR35" s="118">
        <v>0</v>
      </c>
      <c r="CS35" s="119">
        <v>22</v>
      </c>
      <c r="CT35" s="120">
        <v>8.8000000000000007</v>
      </c>
      <c r="CU35" s="121">
        <f t="shared" ref="CU35" si="123">CR35*CS35*CT35</f>
        <v>0</v>
      </c>
      <c r="CV35" s="118">
        <v>0</v>
      </c>
      <c r="CW35" s="119">
        <v>22</v>
      </c>
      <c r="CX35" s="120">
        <v>8.8000000000000007</v>
      </c>
      <c r="CY35" s="121">
        <f t="shared" ref="CY35" si="124">CV35*CW35*CX35</f>
        <v>0</v>
      </c>
      <c r="CZ35" s="118">
        <v>0</v>
      </c>
      <c r="DA35" s="119">
        <v>22</v>
      </c>
      <c r="DB35" s="120">
        <v>8.8000000000000007</v>
      </c>
      <c r="DC35" s="121">
        <f t="shared" ref="DC35" si="125">CZ35*DA35*DB35</f>
        <v>0</v>
      </c>
      <c r="DD35" s="65"/>
      <c r="DE35" s="118">
        <v>0</v>
      </c>
      <c r="DF35" s="119">
        <v>22</v>
      </c>
      <c r="DG35" s="120">
        <v>8.8000000000000007</v>
      </c>
      <c r="DH35" s="121">
        <f t="shared" ref="DH35" si="126">DE35*DF35*DG35</f>
        <v>0</v>
      </c>
      <c r="DI35" s="118">
        <v>0</v>
      </c>
      <c r="DJ35" s="119">
        <v>22</v>
      </c>
      <c r="DK35" s="120">
        <v>8.8000000000000007</v>
      </c>
      <c r="DL35" s="121">
        <f t="shared" ref="DL35" si="127">DI35*DJ35*DK35</f>
        <v>0</v>
      </c>
      <c r="DM35" s="118">
        <v>0</v>
      </c>
      <c r="DN35" s="119">
        <v>22</v>
      </c>
      <c r="DO35" s="120">
        <v>8.8000000000000007</v>
      </c>
      <c r="DP35" s="121">
        <f t="shared" ref="DP35" si="128">DM35*DN35*DO35</f>
        <v>0</v>
      </c>
      <c r="DQ35" s="65"/>
      <c r="DR35" s="118">
        <v>0</v>
      </c>
      <c r="DS35" s="119">
        <v>22</v>
      </c>
      <c r="DT35" s="120">
        <v>8.8000000000000007</v>
      </c>
      <c r="DU35" s="121">
        <f t="shared" ref="DU35" si="129">DR35*DS35*DT35</f>
        <v>0</v>
      </c>
      <c r="DV35" s="118">
        <v>0</v>
      </c>
      <c r="DW35" s="119">
        <v>22</v>
      </c>
      <c r="DX35" s="120">
        <v>8.8000000000000007</v>
      </c>
      <c r="DY35" s="121">
        <f t="shared" ref="DY35" si="130">DV35*DW35*DX35</f>
        <v>0</v>
      </c>
      <c r="DZ35" s="118">
        <v>0</v>
      </c>
      <c r="EA35" s="119">
        <v>22</v>
      </c>
      <c r="EB35" s="120">
        <v>8.8000000000000007</v>
      </c>
      <c r="EC35" s="121">
        <f t="shared" ref="EC35" si="131">DZ35*EA35*EB35</f>
        <v>0</v>
      </c>
      <c r="ED35" s="65"/>
      <c r="EE35" s="118">
        <v>0</v>
      </c>
      <c r="EF35" s="119">
        <v>22</v>
      </c>
      <c r="EG35" s="120">
        <v>8.8000000000000007</v>
      </c>
      <c r="EH35" s="121">
        <f t="shared" ref="EH35" si="132">EE35*EF35*EG35</f>
        <v>0</v>
      </c>
      <c r="EI35" s="118">
        <v>0</v>
      </c>
      <c r="EJ35" s="119">
        <v>22</v>
      </c>
      <c r="EK35" s="120">
        <v>8.8000000000000007</v>
      </c>
      <c r="EL35" s="121">
        <f t="shared" ref="EL35" si="133">EI35*EJ35*EK35</f>
        <v>0</v>
      </c>
      <c r="EM35" s="118">
        <v>0</v>
      </c>
      <c r="EN35" s="119">
        <v>22</v>
      </c>
      <c r="EO35" s="120">
        <v>8.8000000000000007</v>
      </c>
      <c r="EP35" s="121">
        <f t="shared" ref="EP35" si="134">EM35*EN35*EO35</f>
        <v>0</v>
      </c>
      <c r="EQ35" s="118">
        <v>0</v>
      </c>
      <c r="ER35" s="119">
        <v>22</v>
      </c>
      <c r="ES35" s="120">
        <v>8.8000000000000007</v>
      </c>
      <c r="ET35" s="121">
        <f t="shared" ref="ET35" si="135">EQ35*ER35*ES35</f>
        <v>0</v>
      </c>
      <c r="EU35" s="118">
        <v>0</v>
      </c>
      <c r="EV35" s="119">
        <v>22</v>
      </c>
      <c r="EW35" s="120">
        <v>8.8000000000000007</v>
      </c>
      <c r="EX35" s="121">
        <f t="shared" ref="EX35" si="136">EU35*EV35*EW35</f>
        <v>0</v>
      </c>
      <c r="EY35" s="65"/>
      <c r="EZ35" s="78">
        <f>4000*0+3000</f>
        <v>3000</v>
      </c>
      <c r="FA35" s="78"/>
      <c r="FB35" s="78"/>
      <c r="FC35" s="78"/>
      <c r="FD35" s="78"/>
      <c r="FE35" s="78"/>
      <c r="FF35" s="78"/>
      <c r="FG35" s="78"/>
      <c r="FH35" s="78"/>
      <c r="FI35" s="78"/>
      <c r="FJ35" s="78"/>
      <c r="FK35" s="78"/>
      <c r="FL35" s="65"/>
      <c r="FM35" s="69"/>
      <c r="FN35" s="65"/>
      <c r="FO35" s="65"/>
    </row>
    <row r="36" spans="1:171" ht="12" customHeight="1">
      <c r="A36" s="65"/>
      <c r="B36" s="105" t="str">
        <f>IFERROR(VLOOKUP(AE36,'Tabela ICMS'!$C$5:$D$32,2,0),"")</f>
        <v/>
      </c>
      <c r="C36" s="105">
        <f>IFERROR(HLOOKUP(Dashboard!$F$9,'Tabela ICMS'!$E$3:$AF$4,2,0),"")</f>
        <v>25</v>
      </c>
      <c r="D36" s="65"/>
      <c r="E36" s="106">
        <v>5</v>
      </c>
      <c r="F36" s="481" t="s">
        <v>292</v>
      </c>
      <c r="G36" s="78" t="s">
        <v>288</v>
      </c>
      <c r="H36" s="107">
        <f>HISTOGRAMA!C12</f>
        <v>6</v>
      </c>
      <c r="I36" s="65"/>
      <c r="J36" s="65"/>
      <c r="K36" s="108">
        <f t="shared" si="4"/>
        <v>96.800000000000011</v>
      </c>
      <c r="L36" s="79">
        <f t="shared" si="5"/>
        <v>0</v>
      </c>
      <c r="M36" s="80">
        <f t="shared" si="6"/>
        <v>96.800000000000011</v>
      </c>
      <c r="N36" s="78" t="s">
        <v>169</v>
      </c>
      <c r="O36" s="80">
        <f t="shared" si="7"/>
        <v>580.80000000000007</v>
      </c>
      <c r="P36" s="65"/>
      <c r="Q36" s="65"/>
      <c r="R36" s="109">
        <f t="shared" si="47"/>
        <v>5842.0525771366974</v>
      </c>
      <c r="S36" s="84">
        <f t="shared" si="8"/>
        <v>35052.315462820188</v>
      </c>
      <c r="T36" s="109">
        <f>R36*(1+Dashboard!$D$35)</f>
        <v>8547.2605371422069</v>
      </c>
      <c r="U36" s="84">
        <f t="shared" si="9"/>
        <v>51283.563222853241</v>
      </c>
      <c r="V36" s="65"/>
      <c r="W36" s="65"/>
      <c r="X36" s="108">
        <f t="shared" si="10"/>
        <v>2500</v>
      </c>
      <c r="Y36" s="122"/>
      <c r="Z36" s="112"/>
      <c r="AA36" s="112" t="s">
        <v>289</v>
      </c>
      <c r="AB36" s="81">
        <f t="shared" si="11"/>
        <v>2500</v>
      </c>
      <c r="AC36" s="84">
        <f t="shared" si="12"/>
        <v>15000</v>
      </c>
      <c r="AD36" s="65"/>
      <c r="AE36" s="113"/>
      <c r="AF36" s="114" cm="1">
        <f t="array" ref="AF36">IFERROR(INDEX('Tabela ICMS'!$E$5:$AF$32,Tarefas!B36,Tarefas!C36),0)</f>
        <v>0</v>
      </c>
      <c r="AG36" s="115">
        <f>IF(AA36="FD",(Dashboard!$D$43+Dashboard!$D$44),(Dashboard!$D$30+Dashboard!$D$31))</f>
        <v>3.6499999999999998E-2</v>
      </c>
      <c r="AH36" s="115">
        <f>IF(AA36="FD",(Dashboard!$D$46),(Dashboard!$D$33))</f>
        <v>0</v>
      </c>
      <c r="AI36" s="115">
        <f>IF(AA36="FD",(Dashboard!$D$45),(Dashboard!$D$32))</f>
        <v>0.05</v>
      </c>
      <c r="AJ36" s="116"/>
      <c r="AK36" s="116"/>
      <c r="AL36" s="65"/>
      <c r="AM36" s="81">
        <f>IF(AA36="FD",AB36*(1+Dashboard!$D$48),AB36*(1+Dashboard!$D$35))</f>
        <v>3657.6444769568402</v>
      </c>
      <c r="AN36" s="84">
        <f t="shared" si="13"/>
        <v>21945.86686174104</v>
      </c>
      <c r="AO36" s="65"/>
      <c r="AP36" s="65"/>
      <c r="AQ36" s="81">
        <f t="shared" si="14"/>
        <v>8547.2605371422069</v>
      </c>
      <c r="AR36" s="81">
        <f t="shared" si="15"/>
        <v>3657.6444769568402</v>
      </c>
      <c r="AS36" s="117">
        <f t="shared" si="16"/>
        <v>12204.91</v>
      </c>
      <c r="AT36" s="84">
        <f t="shared" si="17"/>
        <v>73229.429999999993</v>
      </c>
      <c r="AU36" s="114">
        <f t="shared" si="18"/>
        <v>4.7665610156453521E-2</v>
      </c>
      <c r="AV36" s="65"/>
      <c r="AW36" s="69"/>
      <c r="AX36" s="65"/>
      <c r="AY36" s="65"/>
      <c r="AZ36" s="93">
        <f t="shared" si="19"/>
        <v>4436.0282187768053</v>
      </c>
      <c r="BA36" s="94">
        <f>(Dashboard!$D$30+Dashboard!$D$31)*U36</f>
        <v>1871.8500576341432</v>
      </c>
      <c r="BB36" s="94">
        <f>Dashboard!$D$33*U36</f>
        <v>0</v>
      </c>
      <c r="BC36" s="94">
        <f>Dashboard!$D$32*U36</f>
        <v>2564.1781611426622</v>
      </c>
      <c r="BD36" s="65"/>
      <c r="BE36" s="93">
        <f t="shared" si="20"/>
        <v>1898.3174835406001</v>
      </c>
      <c r="BF36" s="94">
        <f t="shared" si="21"/>
        <v>0</v>
      </c>
      <c r="BG36" s="94">
        <f t="shared" si="22"/>
        <v>801.02414045354794</v>
      </c>
      <c r="BH36" s="94">
        <f t="shared" si="23"/>
        <v>0</v>
      </c>
      <c r="BI36" s="94">
        <f t="shared" si="24"/>
        <v>1097.2933430870521</v>
      </c>
      <c r="BJ36" s="94">
        <f t="shared" si="25"/>
        <v>0</v>
      </c>
      <c r="BK36" s="94">
        <f t="shared" si="26"/>
        <v>0</v>
      </c>
      <c r="BL36" s="65"/>
      <c r="BM36" s="69"/>
      <c r="BN36" s="65"/>
      <c r="BO36" s="65"/>
      <c r="BP36" s="65"/>
      <c r="BQ36" s="118">
        <v>0</v>
      </c>
      <c r="BR36" s="119">
        <v>0</v>
      </c>
      <c r="BS36" s="120">
        <v>8.8000000000000007</v>
      </c>
      <c r="BT36" s="121">
        <f t="shared" si="27"/>
        <v>0</v>
      </c>
      <c r="BU36" s="118">
        <v>0</v>
      </c>
      <c r="BV36" s="119">
        <v>22</v>
      </c>
      <c r="BW36" s="120">
        <v>8.8000000000000007</v>
      </c>
      <c r="BX36" s="121">
        <f t="shared" si="48"/>
        <v>0</v>
      </c>
      <c r="BY36" s="65"/>
      <c r="BZ36" s="118">
        <v>0</v>
      </c>
      <c r="CA36" s="119">
        <v>22</v>
      </c>
      <c r="CB36" s="120">
        <v>8.8000000000000007</v>
      </c>
      <c r="CC36" s="121">
        <f t="shared" si="29"/>
        <v>0</v>
      </c>
      <c r="CD36" s="65"/>
      <c r="CE36" s="118">
        <v>0</v>
      </c>
      <c r="CF36" s="119">
        <v>0</v>
      </c>
      <c r="CG36" s="120">
        <v>8.8000000000000007</v>
      </c>
      <c r="CH36" s="121">
        <f t="shared" si="30"/>
        <v>0</v>
      </c>
      <c r="CI36" s="118">
        <v>0</v>
      </c>
      <c r="CJ36" s="119">
        <v>22</v>
      </c>
      <c r="CK36" s="120">
        <v>8.8000000000000007</v>
      </c>
      <c r="CL36" s="121">
        <f t="shared" si="31"/>
        <v>0</v>
      </c>
      <c r="CM36" s="118">
        <v>0</v>
      </c>
      <c r="CN36" s="119">
        <v>22</v>
      </c>
      <c r="CO36" s="120">
        <v>8.8000000000000007</v>
      </c>
      <c r="CP36" s="121">
        <f t="shared" si="32"/>
        <v>0</v>
      </c>
      <c r="CQ36" s="65"/>
      <c r="CR36" s="118">
        <v>0</v>
      </c>
      <c r="CS36" s="119">
        <v>22</v>
      </c>
      <c r="CT36" s="120">
        <v>8.8000000000000007</v>
      </c>
      <c r="CU36" s="121">
        <f t="shared" si="33"/>
        <v>0</v>
      </c>
      <c r="CV36" s="118">
        <v>0</v>
      </c>
      <c r="CW36" s="119">
        <v>22</v>
      </c>
      <c r="CX36" s="120">
        <v>8.8000000000000007</v>
      </c>
      <c r="CY36" s="121">
        <f t="shared" si="34"/>
        <v>0</v>
      </c>
      <c r="CZ36" s="118">
        <v>0</v>
      </c>
      <c r="DA36" s="119">
        <v>22</v>
      </c>
      <c r="DB36" s="120">
        <v>8.8000000000000007</v>
      </c>
      <c r="DC36" s="121">
        <f t="shared" si="35"/>
        <v>0</v>
      </c>
      <c r="DD36" s="65"/>
      <c r="DE36" s="118">
        <v>1</v>
      </c>
      <c r="DF36" s="119">
        <f>22/2</f>
        <v>11</v>
      </c>
      <c r="DG36" s="120">
        <v>8.8000000000000007</v>
      </c>
      <c r="DH36" s="121">
        <f t="shared" si="36"/>
        <v>96.800000000000011</v>
      </c>
      <c r="DI36" s="118">
        <v>0</v>
      </c>
      <c r="DJ36" s="119">
        <v>22</v>
      </c>
      <c r="DK36" s="120">
        <v>8.8000000000000007</v>
      </c>
      <c r="DL36" s="121">
        <f t="shared" si="37"/>
        <v>0</v>
      </c>
      <c r="DM36" s="118">
        <v>0</v>
      </c>
      <c r="DN36" s="119">
        <v>22</v>
      </c>
      <c r="DO36" s="120">
        <v>8.8000000000000007</v>
      </c>
      <c r="DP36" s="121">
        <f t="shared" si="38"/>
        <v>0</v>
      </c>
      <c r="DQ36" s="65"/>
      <c r="DR36" s="118">
        <v>0</v>
      </c>
      <c r="DS36" s="119">
        <v>22</v>
      </c>
      <c r="DT36" s="120">
        <v>8.8000000000000007</v>
      </c>
      <c r="DU36" s="121">
        <f t="shared" si="39"/>
        <v>0</v>
      </c>
      <c r="DV36" s="118">
        <v>0</v>
      </c>
      <c r="DW36" s="119">
        <v>22</v>
      </c>
      <c r="DX36" s="120">
        <v>8.8000000000000007</v>
      </c>
      <c r="DY36" s="121">
        <f t="shared" si="40"/>
        <v>0</v>
      </c>
      <c r="DZ36" s="118">
        <v>0</v>
      </c>
      <c r="EA36" s="119">
        <v>22</v>
      </c>
      <c r="EB36" s="120">
        <v>8.8000000000000007</v>
      </c>
      <c r="EC36" s="121">
        <f t="shared" si="41"/>
        <v>0</v>
      </c>
      <c r="ED36" s="65"/>
      <c r="EE36" s="118">
        <v>0</v>
      </c>
      <c r="EF36" s="119">
        <v>22</v>
      </c>
      <c r="EG36" s="120">
        <v>8.8000000000000007</v>
      </c>
      <c r="EH36" s="121">
        <f t="shared" si="42"/>
        <v>0</v>
      </c>
      <c r="EI36" s="118">
        <v>0</v>
      </c>
      <c r="EJ36" s="119">
        <v>22</v>
      </c>
      <c r="EK36" s="120">
        <v>8.8000000000000007</v>
      </c>
      <c r="EL36" s="121">
        <f t="shared" si="43"/>
        <v>0</v>
      </c>
      <c r="EM36" s="118">
        <v>0</v>
      </c>
      <c r="EN36" s="119">
        <v>22</v>
      </c>
      <c r="EO36" s="120">
        <v>8.8000000000000007</v>
      </c>
      <c r="EP36" s="121">
        <f t="shared" si="44"/>
        <v>0</v>
      </c>
      <c r="EQ36" s="118">
        <v>0</v>
      </c>
      <c r="ER36" s="119">
        <v>22</v>
      </c>
      <c r="ES36" s="120">
        <v>8.8000000000000007</v>
      </c>
      <c r="ET36" s="121">
        <f t="shared" si="45"/>
        <v>0</v>
      </c>
      <c r="EU36" s="118">
        <v>0</v>
      </c>
      <c r="EV36" s="119">
        <v>22</v>
      </c>
      <c r="EW36" s="120">
        <v>8.8000000000000007</v>
      </c>
      <c r="EX36" s="121">
        <f t="shared" si="46"/>
        <v>0</v>
      </c>
      <c r="EY36" s="65"/>
      <c r="EZ36" s="78">
        <v>2500</v>
      </c>
      <c r="FA36" s="78"/>
      <c r="FB36" s="78"/>
      <c r="FC36" s="78"/>
      <c r="FD36" s="78"/>
      <c r="FE36" s="78"/>
      <c r="FF36" s="78"/>
      <c r="FG36" s="78"/>
      <c r="FH36" s="78"/>
      <c r="FI36" s="78"/>
      <c r="FJ36" s="78"/>
      <c r="FK36" s="78"/>
      <c r="FL36" s="65"/>
      <c r="FM36" s="69"/>
      <c r="FN36" s="65"/>
      <c r="FO36" s="65"/>
    </row>
    <row r="37" spans="1:171" ht="12" customHeight="1">
      <c r="A37" s="65"/>
      <c r="B37" s="105" t="str">
        <f>IFERROR(VLOOKUP(AE37,'Tabela ICMS'!$C$5:$D$32,2,0),"")</f>
        <v/>
      </c>
      <c r="C37" s="105">
        <f>IFERROR(HLOOKUP(Dashboard!$F$9,'Tabela ICMS'!$E$3:$AF$4,2,0),"")</f>
        <v>25</v>
      </c>
      <c r="D37" s="65"/>
      <c r="E37" s="106">
        <v>6</v>
      </c>
      <c r="F37" s="481" t="s">
        <v>293</v>
      </c>
      <c r="G37" s="78" t="s">
        <v>288</v>
      </c>
      <c r="H37" s="107">
        <f>HISTOGRAMA!C13</f>
        <v>6</v>
      </c>
      <c r="I37" s="65"/>
      <c r="J37" s="65"/>
      <c r="K37" s="108">
        <f t="shared" si="4"/>
        <v>196.02</v>
      </c>
      <c r="L37" s="79">
        <f t="shared" si="5"/>
        <v>0</v>
      </c>
      <c r="M37" s="80">
        <f t="shared" si="6"/>
        <v>196.02</v>
      </c>
      <c r="N37" s="78" t="s">
        <v>170</v>
      </c>
      <c r="O37" s="80">
        <f t="shared" si="7"/>
        <v>1176.1200000000001</v>
      </c>
      <c r="P37" s="65"/>
      <c r="Q37" s="65"/>
      <c r="R37" s="109">
        <f t="shared" si="47"/>
        <v>22465.395355027005</v>
      </c>
      <c r="S37" s="84">
        <f t="shared" si="8"/>
        <v>134792.37213016202</v>
      </c>
      <c r="T37" s="109">
        <f>R37*(1+Dashboard!$D$35)</f>
        <v>32868.171697186546</v>
      </c>
      <c r="U37" s="84">
        <f t="shared" si="9"/>
        <v>197209.03018311929</v>
      </c>
      <c r="V37" s="65"/>
      <c r="W37" s="65"/>
      <c r="X37" s="108">
        <f t="shared" si="10"/>
        <v>4000</v>
      </c>
      <c r="Y37" s="122"/>
      <c r="Z37" s="112"/>
      <c r="AA37" s="112" t="s">
        <v>289</v>
      </c>
      <c r="AB37" s="81">
        <f t="shared" si="11"/>
        <v>4000</v>
      </c>
      <c r="AC37" s="84">
        <f t="shared" si="12"/>
        <v>24000</v>
      </c>
      <c r="AD37" s="65"/>
      <c r="AE37" s="113"/>
      <c r="AF37" s="114" cm="1">
        <f t="array" ref="AF37">IFERROR(INDEX('Tabela ICMS'!$E$5:$AF$32,Tarefas!B37,Tarefas!C37),0)</f>
        <v>0</v>
      </c>
      <c r="AG37" s="115">
        <f>IF(AA37="FD",(Dashboard!$D$43+Dashboard!$D$44),(Dashboard!$D$30+Dashboard!$D$31))</f>
        <v>3.6499999999999998E-2</v>
      </c>
      <c r="AH37" s="115">
        <f>IF(AA37="FD",(Dashboard!$D$46),(Dashboard!$D$33))</f>
        <v>0</v>
      </c>
      <c r="AI37" s="115">
        <f>IF(AA37="FD",(Dashboard!$D$45),(Dashboard!$D$32))</f>
        <v>0.05</v>
      </c>
      <c r="AJ37" s="116"/>
      <c r="AK37" s="116"/>
      <c r="AL37" s="65"/>
      <c r="AM37" s="81">
        <f>IF(AA37="FD",AB37*(1+Dashboard!$D$48),AB37*(1+Dashboard!$D$35))</f>
        <v>5852.231163130944</v>
      </c>
      <c r="AN37" s="84">
        <f t="shared" si="13"/>
        <v>35113.386978785667</v>
      </c>
      <c r="AO37" s="65"/>
      <c r="AP37" s="65"/>
      <c r="AQ37" s="81">
        <f t="shared" si="14"/>
        <v>32868.171697186546</v>
      </c>
      <c r="AR37" s="81">
        <f t="shared" si="15"/>
        <v>5852.231163130944</v>
      </c>
      <c r="AS37" s="117">
        <f t="shared" si="16"/>
        <v>38720.400000000001</v>
      </c>
      <c r="AT37" s="84">
        <f t="shared" si="17"/>
        <v>232322.42</v>
      </c>
      <c r="AU37" s="114">
        <f t="shared" si="18"/>
        <v>0.15122048474669081</v>
      </c>
      <c r="AV37" s="65"/>
      <c r="AW37" s="69"/>
      <c r="AX37" s="65"/>
      <c r="AY37" s="65"/>
      <c r="AZ37" s="93">
        <f t="shared" si="19"/>
        <v>17058.581110839819</v>
      </c>
      <c r="BA37" s="94">
        <f>(Dashboard!$D$30+Dashboard!$D$31)*U37</f>
        <v>7198.1296016838533</v>
      </c>
      <c r="BB37" s="94">
        <f>Dashboard!$D$33*U37</f>
        <v>0</v>
      </c>
      <c r="BC37" s="94">
        <f>Dashboard!$D$32*U37</f>
        <v>9860.4515091559661</v>
      </c>
      <c r="BD37" s="65"/>
      <c r="BE37" s="93">
        <f t="shared" si="20"/>
        <v>3037.3079736649606</v>
      </c>
      <c r="BF37" s="94">
        <f t="shared" si="21"/>
        <v>0</v>
      </c>
      <c r="BG37" s="94">
        <f t="shared" si="22"/>
        <v>1281.6386247256769</v>
      </c>
      <c r="BH37" s="94">
        <f t="shared" si="23"/>
        <v>0</v>
      </c>
      <c r="BI37" s="94">
        <f t="shared" si="24"/>
        <v>1755.6693489392835</v>
      </c>
      <c r="BJ37" s="94">
        <f t="shared" si="25"/>
        <v>0</v>
      </c>
      <c r="BK37" s="94">
        <f t="shared" si="26"/>
        <v>0</v>
      </c>
      <c r="BL37" s="65"/>
      <c r="BM37" s="69"/>
      <c r="BN37" s="65"/>
      <c r="BO37" s="65"/>
      <c r="BP37" s="65"/>
      <c r="BQ37" s="118">
        <v>0</v>
      </c>
      <c r="BR37" s="119">
        <f>22*0.05*1/4</f>
        <v>0.27500000000000002</v>
      </c>
      <c r="BS37" s="120">
        <v>8.8000000000000007</v>
      </c>
      <c r="BT37" s="121">
        <f t="shared" ref="BT37:BT39" si="137">BQ37*BR37*BS37</f>
        <v>0</v>
      </c>
      <c r="BU37" s="118">
        <v>0</v>
      </c>
      <c r="BV37" s="119">
        <f>0.15*22</f>
        <v>3.3</v>
      </c>
      <c r="BW37" s="120">
        <v>8.8000000000000007</v>
      </c>
      <c r="BX37" s="121">
        <f t="shared" ref="BX37" si="138">BU37*BV37*BW37</f>
        <v>0</v>
      </c>
      <c r="BY37" s="65"/>
      <c r="BZ37" s="118">
        <v>0</v>
      </c>
      <c r="CA37" s="119">
        <v>22</v>
      </c>
      <c r="CB37" s="120">
        <v>8.8000000000000007</v>
      </c>
      <c r="CC37" s="121">
        <f t="shared" si="29"/>
        <v>0</v>
      </c>
      <c r="CD37" s="65"/>
      <c r="CE37" s="118">
        <v>1</v>
      </c>
      <c r="CF37" s="119">
        <f>0.05*22*1/4</f>
        <v>0.27500000000000002</v>
      </c>
      <c r="CG37" s="120">
        <v>8.8000000000000007</v>
      </c>
      <c r="CH37" s="121">
        <f t="shared" si="30"/>
        <v>2.4200000000000004</v>
      </c>
      <c r="CI37" s="118">
        <v>1</v>
      </c>
      <c r="CJ37" s="119">
        <v>22</v>
      </c>
      <c r="CK37" s="120">
        <v>8.8000000000000007</v>
      </c>
      <c r="CL37" s="121">
        <f t="shared" si="31"/>
        <v>193.60000000000002</v>
      </c>
      <c r="CM37" s="118">
        <v>0</v>
      </c>
      <c r="CN37" s="119">
        <v>22</v>
      </c>
      <c r="CO37" s="120">
        <v>8.8000000000000007</v>
      </c>
      <c r="CP37" s="121">
        <f t="shared" si="32"/>
        <v>0</v>
      </c>
      <c r="CQ37" s="65"/>
      <c r="CR37" s="118">
        <v>0</v>
      </c>
      <c r="CS37" s="119">
        <v>22</v>
      </c>
      <c r="CT37" s="120">
        <v>8.8000000000000007</v>
      </c>
      <c r="CU37" s="121">
        <f t="shared" si="33"/>
        <v>0</v>
      </c>
      <c r="CV37" s="118">
        <v>0</v>
      </c>
      <c r="CW37" s="119">
        <v>22</v>
      </c>
      <c r="CX37" s="120">
        <v>8.8000000000000007</v>
      </c>
      <c r="CY37" s="121">
        <f t="shared" si="34"/>
        <v>0</v>
      </c>
      <c r="CZ37" s="118">
        <v>0</v>
      </c>
      <c r="DA37" s="119">
        <v>22</v>
      </c>
      <c r="DB37" s="120">
        <v>8.8000000000000007</v>
      </c>
      <c r="DC37" s="121">
        <f t="shared" si="35"/>
        <v>0</v>
      </c>
      <c r="DD37" s="65"/>
      <c r="DE37" s="118">
        <v>0</v>
      </c>
      <c r="DF37" s="119">
        <v>22</v>
      </c>
      <c r="DG37" s="120">
        <v>8.8000000000000007</v>
      </c>
      <c r="DH37" s="121">
        <f t="shared" si="36"/>
        <v>0</v>
      </c>
      <c r="DI37" s="118">
        <v>0</v>
      </c>
      <c r="DJ37" s="119">
        <v>22</v>
      </c>
      <c r="DK37" s="120">
        <v>8.8000000000000007</v>
      </c>
      <c r="DL37" s="121">
        <f t="shared" si="37"/>
        <v>0</v>
      </c>
      <c r="DM37" s="118">
        <v>0</v>
      </c>
      <c r="DN37" s="119">
        <v>22</v>
      </c>
      <c r="DO37" s="120">
        <v>8.8000000000000007</v>
      </c>
      <c r="DP37" s="121">
        <f t="shared" si="38"/>
        <v>0</v>
      </c>
      <c r="DQ37" s="65"/>
      <c r="DR37" s="118">
        <v>0</v>
      </c>
      <c r="DS37" s="119">
        <v>22</v>
      </c>
      <c r="DT37" s="120">
        <v>8.8000000000000007</v>
      </c>
      <c r="DU37" s="121">
        <f t="shared" si="39"/>
        <v>0</v>
      </c>
      <c r="DV37" s="118">
        <v>0</v>
      </c>
      <c r="DW37" s="119">
        <v>22</v>
      </c>
      <c r="DX37" s="120">
        <v>8.8000000000000007</v>
      </c>
      <c r="DY37" s="121">
        <f t="shared" si="40"/>
        <v>0</v>
      </c>
      <c r="DZ37" s="118">
        <v>0</v>
      </c>
      <c r="EA37" s="119">
        <v>22</v>
      </c>
      <c r="EB37" s="120">
        <v>8.8000000000000007</v>
      </c>
      <c r="EC37" s="121">
        <f t="shared" si="41"/>
        <v>0</v>
      </c>
      <c r="ED37" s="65"/>
      <c r="EE37" s="118">
        <v>0</v>
      </c>
      <c r="EF37" s="119">
        <v>22</v>
      </c>
      <c r="EG37" s="120">
        <v>8.8000000000000007</v>
      </c>
      <c r="EH37" s="121">
        <f t="shared" si="42"/>
        <v>0</v>
      </c>
      <c r="EI37" s="118">
        <v>0</v>
      </c>
      <c r="EJ37" s="119">
        <v>22</v>
      </c>
      <c r="EK37" s="120">
        <v>8.8000000000000007</v>
      </c>
      <c r="EL37" s="121">
        <f t="shared" si="43"/>
        <v>0</v>
      </c>
      <c r="EM37" s="118">
        <v>0</v>
      </c>
      <c r="EN37" s="119">
        <v>22</v>
      </c>
      <c r="EO37" s="120">
        <v>8.8000000000000007</v>
      </c>
      <c r="EP37" s="121">
        <f t="shared" si="44"/>
        <v>0</v>
      </c>
      <c r="EQ37" s="118">
        <v>0</v>
      </c>
      <c r="ER37" s="119">
        <v>22</v>
      </c>
      <c r="ES37" s="120">
        <v>8.8000000000000007</v>
      </c>
      <c r="ET37" s="121">
        <f t="shared" si="45"/>
        <v>0</v>
      </c>
      <c r="EU37" s="118">
        <v>0</v>
      </c>
      <c r="EV37" s="119">
        <v>22</v>
      </c>
      <c r="EW37" s="120">
        <v>8.8000000000000007</v>
      </c>
      <c r="EX37" s="121">
        <f t="shared" si="46"/>
        <v>0</v>
      </c>
      <c r="EY37" s="65"/>
      <c r="EZ37" s="78">
        <v>4000</v>
      </c>
      <c r="FA37" s="78"/>
      <c r="FB37" s="78"/>
      <c r="FC37" s="78"/>
      <c r="FD37" s="78"/>
      <c r="FE37" s="78"/>
      <c r="FF37" s="78"/>
      <c r="FG37" s="78"/>
      <c r="FH37" s="78"/>
      <c r="FI37" s="78"/>
      <c r="FJ37" s="78"/>
      <c r="FK37" s="78"/>
      <c r="FL37" s="65"/>
      <c r="FM37" s="69"/>
      <c r="FN37" s="65"/>
      <c r="FO37" s="65"/>
    </row>
    <row r="38" spans="1:171" ht="12" customHeight="1">
      <c r="A38" s="65"/>
      <c r="B38" s="105" t="str">
        <f>IFERROR(VLOOKUP(AE38,'Tabela ICMS'!$C$5:$D$32,2,0),"")</f>
        <v/>
      </c>
      <c r="C38" s="105">
        <f>IFERROR(HLOOKUP(Dashboard!$F$9,'Tabela ICMS'!$E$3:$AF$4,2,0),"")</f>
        <v>25</v>
      </c>
      <c r="D38" s="65"/>
      <c r="E38" s="106" t="s">
        <v>294</v>
      </c>
      <c r="F38" s="481" t="s">
        <v>295</v>
      </c>
      <c r="G38" s="78" t="s">
        <v>288</v>
      </c>
      <c r="H38" s="107">
        <f>HISTOGRAMA!C14</f>
        <v>2</v>
      </c>
      <c r="I38" s="65"/>
      <c r="J38" s="65"/>
      <c r="K38" s="108">
        <f t="shared" ref="K38" si="139">SUMIFS(BT38:FK38,$BT$28:$FK$28,"&gt;=1",$BT$28:$FK$28,"&lt;=18")</f>
        <v>99.220000000000013</v>
      </c>
      <c r="L38" s="79">
        <f t="shared" ref="L38" si="140">IFERROR(_xlfn.XLOOKUP(N38,$G$3:$G$22,$L$3:$L$22),0)</f>
        <v>0</v>
      </c>
      <c r="M38" s="80">
        <f t="shared" ref="M38" si="141">K38*(1+L38)</f>
        <v>99.220000000000013</v>
      </c>
      <c r="N38" s="78" t="s">
        <v>171</v>
      </c>
      <c r="O38" s="80">
        <f t="shared" ref="O38" si="142">H38*M38</f>
        <v>198.44000000000003</v>
      </c>
      <c r="P38" s="65"/>
      <c r="Q38" s="65"/>
      <c r="R38" s="109">
        <f t="shared" ref="R38" si="143">IFERROR(M38*VLOOKUP(N38,$G$3:$T$22,14,0),0)</f>
        <v>12125.014782736547</v>
      </c>
      <c r="S38" s="84">
        <f t="shared" ref="S38" si="144">H38*R38</f>
        <v>24250.029565473094</v>
      </c>
      <c r="T38" s="109">
        <f>R38*(1+Dashboard!$D$35)</f>
        <v>17739.59734123855</v>
      </c>
      <c r="U38" s="84">
        <f t="shared" ref="U38" si="145">H38*T38</f>
        <v>35479.1946824771</v>
      </c>
      <c r="V38" s="65"/>
      <c r="W38" s="65"/>
      <c r="X38" s="108">
        <f t="shared" ref="X38" si="146">SUMIFS(EZ38:FK38,$EZ$28:$FK$28,"&gt;=19",$EZ$28:$FK$28,"&lt;=30")</f>
        <v>4000</v>
      </c>
      <c r="Y38" s="122"/>
      <c r="Z38" s="112"/>
      <c r="AA38" s="112" t="s">
        <v>289</v>
      </c>
      <c r="AB38" s="81">
        <f t="shared" ref="AB38" si="147">X38*(1-Y38)</f>
        <v>4000</v>
      </c>
      <c r="AC38" s="84">
        <f t="shared" ref="AC38" si="148">H38*AB38</f>
        <v>8000</v>
      </c>
      <c r="AD38" s="65"/>
      <c r="AE38" s="113"/>
      <c r="AF38" s="114" cm="1">
        <f t="array" ref="AF38">IFERROR(INDEX('Tabela ICMS'!$E$5:$AF$32,Tarefas!B38,Tarefas!C38),0)</f>
        <v>0</v>
      </c>
      <c r="AG38" s="115">
        <f>IF(AA38="FD",(Dashboard!$D$43+Dashboard!$D$44),(Dashboard!$D$30+Dashboard!$D$31))</f>
        <v>3.6499999999999998E-2</v>
      </c>
      <c r="AH38" s="115">
        <f>IF(AA38="FD",(Dashboard!$D$46),(Dashboard!$D$33))</f>
        <v>0</v>
      </c>
      <c r="AI38" s="115">
        <f>IF(AA38="FD",(Dashboard!$D$45),(Dashboard!$D$32))</f>
        <v>0.05</v>
      </c>
      <c r="AJ38" s="116"/>
      <c r="AK38" s="116"/>
      <c r="AL38" s="65"/>
      <c r="AM38" s="81">
        <f>IF(AA38="FD",AB38*(1+Dashboard!$D$48),AB38*(1+Dashboard!$D$35))</f>
        <v>5852.231163130944</v>
      </c>
      <c r="AN38" s="84">
        <f t="shared" ref="AN38" si="149">H38*AM38</f>
        <v>11704.462326261888</v>
      </c>
      <c r="AO38" s="65"/>
      <c r="AP38" s="65"/>
      <c r="AQ38" s="81">
        <f t="shared" ref="AQ38" si="150">T38</f>
        <v>17739.59734123855</v>
      </c>
      <c r="AR38" s="81">
        <f t="shared" ref="AR38" si="151">AM38</f>
        <v>5852.231163130944</v>
      </c>
      <c r="AS38" s="117">
        <f t="shared" ref="AS38" si="152">ROUND(T38+AM38,2)</f>
        <v>23591.83</v>
      </c>
      <c r="AT38" s="84">
        <f t="shared" ref="AT38" si="153">ROUND(U38+AN38,2)</f>
        <v>47183.66</v>
      </c>
      <c r="AU38" s="114">
        <f t="shared" ref="AU38" si="154">IFERROR(AT38/$AT$28,0)</f>
        <v>3.0712214246576136E-2</v>
      </c>
      <c r="AV38" s="65"/>
      <c r="AW38" s="69"/>
      <c r="AX38" s="65"/>
      <c r="AY38" s="65"/>
      <c r="AZ38" s="93">
        <f t="shared" ref="AZ38" si="155">SUM(BA38:BC38)</f>
        <v>3068.9503400342692</v>
      </c>
      <c r="BA38" s="94">
        <f>(Dashboard!$D$30+Dashboard!$D$31)*U38</f>
        <v>1294.9906059104142</v>
      </c>
      <c r="BB38" s="94">
        <f>Dashboard!$D$33*U38</f>
        <v>0</v>
      </c>
      <c r="BC38" s="94">
        <f>Dashboard!$D$32*U38</f>
        <v>1773.959734123855</v>
      </c>
      <c r="BD38" s="65"/>
      <c r="BE38" s="93">
        <f t="shared" ref="BE38" si="156">SUM(BF38:BK38)</f>
        <v>1012.4359912216534</v>
      </c>
      <c r="BF38" s="94">
        <f t="shared" ref="BF38" si="157">AF38*$AN38</f>
        <v>0</v>
      </c>
      <c r="BG38" s="94">
        <f t="shared" ref="BG38" si="158">IF(AA38="FD",($AN38-$AC38)*AG38,AG38*$AN38)</f>
        <v>427.21287490855889</v>
      </c>
      <c r="BH38" s="94">
        <f t="shared" ref="BH38" si="159">IF(AB38="FD",($AN38-$AC38)*AH38,AH38*$AN38)</f>
        <v>0</v>
      </c>
      <c r="BI38" s="94">
        <f t="shared" ref="BI38" si="160">IF(AC38="FD",($AN38-$AC38)*AI38,AI38*$AN38)</f>
        <v>585.22311631309447</v>
      </c>
      <c r="BJ38" s="94">
        <f t="shared" ref="BJ38" si="161">IF(AD38="FD",($AN38-$AC38)*AJ38,AJ38*$AN38)</f>
        <v>0</v>
      </c>
      <c r="BK38" s="94">
        <f t="shared" ref="BK38" si="162">IF(AE38="FD",($AN38-$AC38)*AK38,AK38*$AN38)</f>
        <v>0</v>
      </c>
      <c r="BL38" s="65"/>
      <c r="BM38" s="69"/>
      <c r="BN38" s="65"/>
      <c r="BO38" s="65"/>
      <c r="BP38" s="65"/>
      <c r="BQ38" s="118">
        <v>0</v>
      </c>
      <c r="BR38" s="119">
        <f>22*0.05*1/4</f>
        <v>0.27500000000000002</v>
      </c>
      <c r="BS38" s="120">
        <v>8.8000000000000007</v>
      </c>
      <c r="BT38" s="121">
        <f t="shared" ref="BT38" si="163">BQ38*BR38*BS38</f>
        <v>0</v>
      </c>
      <c r="BU38" s="118">
        <v>0</v>
      </c>
      <c r="BV38" s="119">
        <f>0.15*22</f>
        <v>3.3</v>
      </c>
      <c r="BW38" s="120">
        <v>8.8000000000000007</v>
      </c>
      <c r="BX38" s="121">
        <f t="shared" ref="BX38" si="164">BU38*BV38*BW38</f>
        <v>0</v>
      </c>
      <c r="BY38" s="65"/>
      <c r="BZ38" s="118">
        <v>0</v>
      </c>
      <c r="CA38" s="119">
        <v>22</v>
      </c>
      <c r="CB38" s="120">
        <v>8.8000000000000007</v>
      </c>
      <c r="CC38" s="121">
        <f t="shared" ref="CC38" si="165">BZ38*CA38*CB38</f>
        <v>0</v>
      </c>
      <c r="CD38" s="65"/>
      <c r="CE38" s="118">
        <v>1</v>
      </c>
      <c r="CF38" s="119">
        <f>0.05*22*1/4</f>
        <v>0.27500000000000002</v>
      </c>
      <c r="CG38" s="120">
        <v>8.8000000000000007</v>
      </c>
      <c r="CH38" s="121">
        <f t="shared" ref="CH38" si="166">CE38*CF38*CG38</f>
        <v>2.4200000000000004</v>
      </c>
      <c r="CI38" s="118">
        <v>1</v>
      </c>
      <c r="CJ38" s="119">
        <f>50%*22</f>
        <v>11</v>
      </c>
      <c r="CK38" s="120">
        <v>8.8000000000000007</v>
      </c>
      <c r="CL38" s="121">
        <f t="shared" ref="CL38" si="167">CI38*CJ38*CK38</f>
        <v>96.800000000000011</v>
      </c>
      <c r="CM38" s="118">
        <v>0</v>
      </c>
      <c r="CN38" s="119">
        <v>22</v>
      </c>
      <c r="CO38" s="120">
        <v>8.8000000000000007</v>
      </c>
      <c r="CP38" s="121">
        <f t="shared" ref="CP38" si="168">CM38*CN38*CO38</f>
        <v>0</v>
      </c>
      <c r="CQ38" s="65"/>
      <c r="CR38" s="118">
        <v>0</v>
      </c>
      <c r="CS38" s="119">
        <v>22</v>
      </c>
      <c r="CT38" s="120">
        <v>8.8000000000000007</v>
      </c>
      <c r="CU38" s="121">
        <f t="shared" ref="CU38" si="169">CR38*CS38*CT38</f>
        <v>0</v>
      </c>
      <c r="CV38" s="118">
        <v>0</v>
      </c>
      <c r="CW38" s="119">
        <v>22</v>
      </c>
      <c r="CX38" s="120">
        <v>8.8000000000000007</v>
      </c>
      <c r="CY38" s="121">
        <f t="shared" ref="CY38" si="170">CV38*CW38*CX38</f>
        <v>0</v>
      </c>
      <c r="CZ38" s="118">
        <v>0</v>
      </c>
      <c r="DA38" s="119">
        <v>22</v>
      </c>
      <c r="DB38" s="120">
        <v>8.8000000000000007</v>
      </c>
      <c r="DC38" s="121">
        <f t="shared" ref="DC38" si="171">CZ38*DA38*DB38</f>
        <v>0</v>
      </c>
      <c r="DD38" s="65"/>
      <c r="DE38" s="118">
        <v>0</v>
      </c>
      <c r="DF38" s="119">
        <v>22</v>
      </c>
      <c r="DG38" s="120">
        <v>8.8000000000000007</v>
      </c>
      <c r="DH38" s="121">
        <f t="shared" ref="DH38" si="172">DE38*DF38*DG38</f>
        <v>0</v>
      </c>
      <c r="DI38" s="118">
        <v>0</v>
      </c>
      <c r="DJ38" s="119">
        <v>22</v>
      </c>
      <c r="DK38" s="120">
        <v>8.8000000000000007</v>
      </c>
      <c r="DL38" s="121">
        <f t="shared" ref="DL38" si="173">DI38*DJ38*DK38</f>
        <v>0</v>
      </c>
      <c r="DM38" s="118">
        <v>0</v>
      </c>
      <c r="DN38" s="119">
        <v>22</v>
      </c>
      <c r="DO38" s="120">
        <v>8.8000000000000007</v>
      </c>
      <c r="DP38" s="121">
        <f t="shared" ref="DP38" si="174">DM38*DN38*DO38</f>
        <v>0</v>
      </c>
      <c r="DQ38" s="65"/>
      <c r="DR38" s="118">
        <v>0</v>
      </c>
      <c r="DS38" s="119">
        <v>22</v>
      </c>
      <c r="DT38" s="120">
        <v>8.8000000000000007</v>
      </c>
      <c r="DU38" s="121">
        <f t="shared" ref="DU38" si="175">DR38*DS38*DT38</f>
        <v>0</v>
      </c>
      <c r="DV38" s="118">
        <v>0</v>
      </c>
      <c r="DW38" s="119">
        <v>22</v>
      </c>
      <c r="DX38" s="120">
        <v>8.8000000000000007</v>
      </c>
      <c r="DY38" s="121">
        <f t="shared" ref="DY38" si="176">DV38*DW38*DX38</f>
        <v>0</v>
      </c>
      <c r="DZ38" s="118">
        <v>0</v>
      </c>
      <c r="EA38" s="119">
        <v>22</v>
      </c>
      <c r="EB38" s="120">
        <v>8.8000000000000007</v>
      </c>
      <c r="EC38" s="121">
        <f t="shared" ref="EC38" si="177">DZ38*EA38*EB38</f>
        <v>0</v>
      </c>
      <c r="ED38" s="65"/>
      <c r="EE38" s="118">
        <v>0</v>
      </c>
      <c r="EF38" s="119">
        <v>22</v>
      </c>
      <c r="EG38" s="120">
        <v>8.8000000000000007</v>
      </c>
      <c r="EH38" s="121">
        <f t="shared" ref="EH38" si="178">EE38*EF38*EG38</f>
        <v>0</v>
      </c>
      <c r="EI38" s="118">
        <v>0</v>
      </c>
      <c r="EJ38" s="119">
        <v>22</v>
      </c>
      <c r="EK38" s="120">
        <v>8.8000000000000007</v>
      </c>
      <c r="EL38" s="121">
        <f t="shared" ref="EL38" si="179">EI38*EJ38*EK38</f>
        <v>0</v>
      </c>
      <c r="EM38" s="118">
        <v>0</v>
      </c>
      <c r="EN38" s="119">
        <v>22</v>
      </c>
      <c r="EO38" s="120">
        <v>8.8000000000000007</v>
      </c>
      <c r="EP38" s="121">
        <f t="shared" ref="EP38" si="180">EM38*EN38*EO38</f>
        <v>0</v>
      </c>
      <c r="EQ38" s="118">
        <v>0</v>
      </c>
      <c r="ER38" s="119">
        <v>22</v>
      </c>
      <c r="ES38" s="120">
        <v>8.8000000000000007</v>
      </c>
      <c r="ET38" s="121">
        <f t="shared" ref="ET38" si="181">EQ38*ER38*ES38</f>
        <v>0</v>
      </c>
      <c r="EU38" s="118">
        <v>0</v>
      </c>
      <c r="EV38" s="119">
        <v>22</v>
      </c>
      <c r="EW38" s="120">
        <v>8.8000000000000007</v>
      </c>
      <c r="EX38" s="121">
        <f t="shared" ref="EX38" si="182">EU38*EV38*EW38</f>
        <v>0</v>
      </c>
      <c r="EY38" s="65"/>
      <c r="EZ38" s="78">
        <v>4000</v>
      </c>
      <c r="FA38" s="78"/>
      <c r="FB38" s="78"/>
      <c r="FC38" s="78"/>
      <c r="FD38" s="78"/>
      <c r="FE38" s="78"/>
      <c r="FF38" s="78"/>
      <c r="FG38" s="78"/>
      <c r="FH38" s="78"/>
      <c r="FI38" s="78"/>
      <c r="FJ38" s="78"/>
      <c r="FK38" s="78"/>
      <c r="FL38" s="65"/>
      <c r="FM38" s="69"/>
      <c r="FN38" s="65"/>
      <c r="FO38" s="65"/>
    </row>
    <row r="39" spans="1:171" ht="12" customHeight="1">
      <c r="A39" s="65"/>
      <c r="B39" s="105" t="str">
        <f>IFERROR(VLOOKUP(AE39,'Tabela ICMS'!$C$5:$D$32,2,0),"")</f>
        <v/>
      </c>
      <c r="C39" s="105">
        <f>IFERROR(HLOOKUP(Dashboard!$F$9,'Tabela ICMS'!$E$3:$AF$4,2,0),"")</f>
        <v>25</v>
      </c>
      <c r="D39" s="65"/>
      <c r="E39" s="106">
        <v>7</v>
      </c>
      <c r="F39" s="481" t="s">
        <v>296</v>
      </c>
      <c r="G39" s="78" t="s">
        <v>288</v>
      </c>
      <c r="H39" s="107">
        <f>HISTOGRAMA!C15</f>
        <v>10</v>
      </c>
      <c r="I39" s="65"/>
      <c r="J39" s="65"/>
      <c r="K39" s="108">
        <f t="shared" si="4"/>
        <v>208.92666666666668</v>
      </c>
      <c r="L39" s="79">
        <f t="shared" si="5"/>
        <v>0</v>
      </c>
      <c r="M39" s="80">
        <f t="shared" si="6"/>
        <v>208.92666666666668</v>
      </c>
      <c r="N39" s="78" t="s">
        <v>172</v>
      </c>
      <c r="O39" s="80">
        <f t="shared" si="7"/>
        <v>2089.2666666666669</v>
      </c>
      <c r="P39" s="65"/>
      <c r="Q39" s="65"/>
      <c r="R39" s="109">
        <f t="shared" si="47"/>
        <v>11512.465334621673</v>
      </c>
      <c r="S39" s="84">
        <f t="shared" si="8"/>
        <v>115124.65334621673</v>
      </c>
      <c r="T39" s="109">
        <f>R39*(1+Dashboard!$D$35)</f>
        <v>16843.402098934417</v>
      </c>
      <c r="U39" s="84">
        <f t="shared" si="9"/>
        <v>168434.02098934416</v>
      </c>
      <c r="V39" s="65"/>
      <c r="W39" s="65"/>
      <c r="X39" s="108">
        <f t="shared" si="10"/>
        <v>3000</v>
      </c>
      <c r="Y39" s="122"/>
      <c r="Z39" s="112"/>
      <c r="AA39" s="112" t="s">
        <v>289</v>
      </c>
      <c r="AB39" s="81">
        <f t="shared" si="11"/>
        <v>3000</v>
      </c>
      <c r="AC39" s="84">
        <f t="shared" si="12"/>
        <v>30000</v>
      </c>
      <c r="AD39" s="65"/>
      <c r="AE39" s="113"/>
      <c r="AF39" s="114" cm="1">
        <f t="array" ref="AF39">IFERROR(INDEX('Tabela ICMS'!$E$5:$AF$32,Tarefas!B39,Tarefas!C39),0)</f>
        <v>0</v>
      </c>
      <c r="AG39" s="115">
        <f>IF(AA39="FD",(Dashboard!$D$43+Dashboard!$D$44),(Dashboard!$D$30+Dashboard!$D$31))</f>
        <v>3.6499999999999998E-2</v>
      </c>
      <c r="AH39" s="115">
        <f>IF(AA39="FD",(Dashboard!$D$46),(Dashboard!$D$33))</f>
        <v>0</v>
      </c>
      <c r="AI39" s="115">
        <f>IF(AA39="FD",(Dashboard!$D$45),(Dashboard!$D$32))</f>
        <v>0.05</v>
      </c>
      <c r="AJ39" s="116"/>
      <c r="AK39" s="116"/>
      <c r="AL39" s="65"/>
      <c r="AM39" s="81">
        <f>IF(AA39="FD",AB39*(1+Dashboard!$D$48),AB39*(1+Dashboard!$D$35))</f>
        <v>4389.1733723482084</v>
      </c>
      <c r="AN39" s="84">
        <f t="shared" si="13"/>
        <v>43891.733723482088</v>
      </c>
      <c r="AO39" s="65"/>
      <c r="AP39" s="65"/>
      <c r="AQ39" s="81">
        <f t="shared" si="14"/>
        <v>16843.402098934417</v>
      </c>
      <c r="AR39" s="81">
        <f t="shared" si="15"/>
        <v>4389.1733723482084</v>
      </c>
      <c r="AS39" s="117">
        <f t="shared" si="16"/>
        <v>21232.58</v>
      </c>
      <c r="AT39" s="84">
        <f t="shared" si="17"/>
        <v>212325.75</v>
      </c>
      <c r="AU39" s="114">
        <f t="shared" si="18"/>
        <v>0.13820449545594732</v>
      </c>
      <c r="AV39" s="65"/>
      <c r="AW39" s="69"/>
      <c r="AX39" s="65"/>
      <c r="AY39" s="65"/>
      <c r="AZ39" s="93">
        <f t="shared" si="19"/>
        <v>14569.54281557827</v>
      </c>
      <c r="BA39" s="94">
        <f>(Dashboard!$D$30+Dashboard!$D$31)*U39</f>
        <v>6147.8417661110616</v>
      </c>
      <c r="BB39" s="94">
        <f>Dashboard!$D$33*U39</f>
        <v>0</v>
      </c>
      <c r="BC39" s="94">
        <f>Dashboard!$D$32*U39</f>
        <v>8421.7010494672086</v>
      </c>
      <c r="BD39" s="65"/>
      <c r="BE39" s="93">
        <f t="shared" si="20"/>
        <v>3796.6349670812006</v>
      </c>
      <c r="BF39" s="94">
        <f t="shared" si="21"/>
        <v>0</v>
      </c>
      <c r="BG39" s="94">
        <f t="shared" si="22"/>
        <v>1602.0482809070961</v>
      </c>
      <c r="BH39" s="94">
        <f t="shared" si="23"/>
        <v>0</v>
      </c>
      <c r="BI39" s="94">
        <f t="shared" si="24"/>
        <v>2194.5866861741047</v>
      </c>
      <c r="BJ39" s="94">
        <f t="shared" si="25"/>
        <v>0</v>
      </c>
      <c r="BK39" s="94">
        <f t="shared" si="26"/>
        <v>0</v>
      </c>
      <c r="BL39" s="65"/>
      <c r="BM39" s="69"/>
      <c r="BN39" s="65"/>
      <c r="BO39" s="65"/>
      <c r="BP39" s="65"/>
      <c r="BQ39" s="118">
        <v>1</v>
      </c>
      <c r="BR39" s="119">
        <f>22*0.05*1/3</f>
        <v>0.3666666666666667</v>
      </c>
      <c r="BS39" s="120">
        <v>8.8000000000000007</v>
      </c>
      <c r="BT39" s="121">
        <f t="shared" si="137"/>
        <v>3.226666666666667</v>
      </c>
      <c r="BU39" s="118">
        <v>0</v>
      </c>
      <c r="BV39" s="119">
        <v>22</v>
      </c>
      <c r="BW39" s="120">
        <v>8.8000000000000007</v>
      </c>
      <c r="BX39" s="121">
        <f t="shared" si="48"/>
        <v>0</v>
      </c>
      <c r="BY39" s="65"/>
      <c r="BZ39" s="118">
        <v>0</v>
      </c>
      <c r="CA39" s="119">
        <v>22</v>
      </c>
      <c r="CB39" s="120">
        <v>8.8000000000000007</v>
      </c>
      <c r="CC39" s="121">
        <f t="shared" si="29"/>
        <v>0</v>
      </c>
      <c r="CD39" s="65"/>
      <c r="CE39" s="118">
        <v>1</v>
      </c>
      <c r="CF39" s="119">
        <f>0.05*22*1/4</f>
        <v>0.27500000000000002</v>
      </c>
      <c r="CG39" s="120">
        <v>8.8000000000000007</v>
      </c>
      <c r="CH39" s="121">
        <f t="shared" si="30"/>
        <v>2.4200000000000004</v>
      </c>
      <c r="CI39" s="118">
        <v>0</v>
      </c>
      <c r="CJ39" s="119">
        <f>0.15*22</f>
        <v>3.3</v>
      </c>
      <c r="CK39" s="120">
        <v>8.8000000000000007</v>
      </c>
      <c r="CL39" s="121">
        <f t="shared" si="31"/>
        <v>0</v>
      </c>
      <c r="CM39" s="118">
        <v>0</v>
      </c>
      <c r="CN39" s="119">
        <v>22</v>
      </c>
      <c r="CO39" s="120">
        <v>8.8000000000000007</v>
      </c>
      <c r="CP39" s="121">
        <f t="shared" si="32"/>
        <v>0</v>
      </c>
      <c r="CQ39" s="65"/>
      <c r="CR39" s="118">
        <v>0</v>
      </c>
      <c r="CS39" s="119">
        <v>22</v>
      </c>
      <c r="CT39" s="120">
        <v>8.8000000000000007</v>
      </c>
      <c r="CU39" s="121">
        <f t="shared" si="33"/>
        <v>0</v>
      </c>
      <c r="CV39" s="118">
        <v>0</v>
      </c>
      <c r="CW39" s="119">
        <v>22</v>
      </c>
      <c r="CX39" s="120">
        <v>8.8000000000000007</v>
      </c>
      <c r="CY39" s="121">
        <f t="shared" si="34"/>
        <v>0</v>
      </c>
      <c r="CZ39" s="118">
        <v>0</v>
      </c>
      <c r="DA39" s="119">
        <v>22</v>
      </c>
      <c r="DB39" s="120">
        <v>8.8000000000000007</v>
      </c>
      <c r="DC39" s="121">
        <f t="shared" si="35"/>
        <v>0</v>
      </c>
      <c r="DD39" s="65"/>
      <c r="DE39" s="118">
        <v>1</v>
      </c>
      <c r="DF39" s="119">
        <f>5%*22</f>
        <v>1.1000000000000001</v>
      </c>
      <c r="DG39" s="120">
        <v>8.8000000000000007</v>
      </c>
      <c r="DH39" s="121">
        <f t="shared" si="36"/>
        <v>9.6800000000000015</v>
      </c>
      <c r="DI39" s="118">
        <v>0</v>
      </c>
      <c r="DJ39" s="119">
        <v>22</v>
      </c>
      <c r="DK39" s="120">
        <v>8.8000000000000007</v>
      </c>
      <c r="DL39" s="121">
        <f t="shared" si="37"/>
        <v>0</v>
      </c>
      <c r="DM39" s="118">
        <v>0</v>
      </c>
      <c r="DN39" s="119">
        <v>22</v>
      </c>
      <c r="DO39" s="120">
        <v>8.8000000000000007</v>
      </c>
      <c r="DP39" s="121">
        <f t="shared" si="38"/>
        <v>0</v>
      </c>
      <c r="DQ39" s="65"/>
      <c r="DR39" s="118">
        <v>1</v>
      </c>
      <c r="DS39" s="119">
        <v>22</v>
      </c>
      <c r="DT39" s="120">
        <v>8.8000000000000007</v>
      </c>
      <c r="DU39" s="121">
        <f t="shared" si="39"/>
        <v>193.60000000000002</v>
      </c>
      <c r="DV39" s="118">
        <v>0</v>
      </c>
      <c r="DW39" s="119">
        <v>22</v>
      </c>
      <c r="DX39" s="120">
        <v>8.8000000000000007</v>
      </c>
      <c r="DY39" s="121">
        <f t="shared" si="40"/>
        <v>0</v>
      </c>
      <c r="DZ39" s="118">
        <v>0</v>
      </c>
      <c r="EA39" s="119">
        <v>22</v>
      </c>
      <c r="EB39" s="120">
        <v>8.8000000000000007</v>
      </c>
      <c r="EC39" s="121">
        <f t="shared" si="41"/>
        <v>0</v>
      </c>
      <c r="ED39" s="65"/>
      <c r="EE39" s="118">
        <v>0</v>
      </c>
      <c r="EF39" s="119">
        <v>22</v>
      </c>
      <c r="EG39" s="120">
        <v>8.8000000000000007</v>
      </c>
      <c r="EH39" s="121">
        <f t="shared" si="42"/>
        <v>0</v>
      </c>
      <c r="EI39" s="118">
        <v>0</v>
      </c>
      <c r="EJ39" s="119">
        <v>22</v>
      </c>
      <c r="EK39" s="120">
        <v>8.8000000000000007</v>
      </c>
      <c r="EL39" s="121">
        <f t="shared" si="43"/>
        <v>0</v>
      </c>
      <c r="EM39" s="118">
        <v>0</v>
      </c>
      <c r="EN39" s="119">
        <v>22</v>
      </c>
      <c r="EO39" s="120">
        <v>8.8000000000000007</v>
      </c>
      <c r="EP39" s="121">
        <f t="shared" si="44"/>
        <v>0</v>
      </c>
      <c r="EQ39" s="118">
        <v>0</v>
      </c>
      <c r="ER39" s="119">
        <v>22</v>
      </c>
      <c r="ES39" s="120">
        <v>8.8000000000000007</v>
      </c>
      <c r="ET39" s="121">
        <f t="shared" si="45"/>
        <v>0</v>
      </c>
      <c r="EU39" s="118">
        <v>0</v>
      </c>
      <c r="EV39" s="119">
        <v>22</v>
      </c>
      <c r="EW39" s="120">
        <v>8.8000000000000007</v>
      </c>
      <c r="EX39" s="121">
        <f t="shared" si="46"/>
        <v>0</v>
      </c>
      <c r="EY39" s="65"/>
      <c r="EZ39" s="78">
        <f>3000</f>
        <v>3000</v>
      </c>
      <c r="FA39" s="78"/>
      <c r="FB39" s="78"/>
      <c r="FC39" s="78"/>
      <c r="FD39" s="78"/>
      <c r="FE39" s="78"/>
      <c r="FF39" s="78"/>
      <c r="FG39" s="78"/>
      <c r="FH39" s="78"/>
      <c r="FI39" s="78"/>
      <c r="FJ39" s="78"/>
      <c r="FK39" s="78"/>
      <c r="FL39" s="65"/>
      <c r="FM39" s="69"/>
      <c r="FN39" s="65"/>
      <c r="FO39" s="65"/>
    </row>
    <row r="40" spans="1:171" ht="12" customHeight="1">
      <c r="A40" s="65"/>
      <c r="B40" s="105" t="str">
        <f>IFERROR(VLOOKUP(AE40,'Tabela ICMS'!$C$5:$D$32,2,0),"")</f>
        <v/>
      </c>
      <c r="C40" s="105">
        <f>IFERROR(HLOOKUP(Dashboard!$F$9,'Tabela ICMS'!$E$3:$AF$4,2,0),"")</f>
        <v>25</v>
      </c>
      <c r="D40" s="65"/>
      <c r="E40" s="106">
        <v>8</v>
      </c>
      <c r="F40" s="77" t="s">
        <v>297</v>
      </c>
      <c r="G40" s="78" t="s">
        <v>288</v>
      </c>
      <c r="H40" s="107">
        <f>HISTOGRAMA!C16</f>
        <v>10</v>
      </c>
      <c r="I40" s="65"/>
      <c r="J40" s="65"/>
      <c r="K40" s="108">
        <f t="shared" si="4"/>
        <v>0</v>
      </c>
      <c r="L40" s="79">
        <f t="shared" si="5"/>
        <v>0</v>
      </c>
      <c r="M40" s="80">
        <f t="shared" ref="M40:M46" si="183">K40*(1+L40)</f>
        <v>0</v>
      </c>
      <c r="N40" s="78" t="s">
        <v>173</v>
      </c>
      <c r="O40" s="80">
        <f t="shared" ref="O40:O46" si="184">H40*M40</f>
        <v>0</v>
      </c>
      <c r="P40" s="65"/>
      <c r="Q40" s="65"/>
      <c r="R40" s="109">
        <f t="shared" ref="R40:R46" si="185">IFERROR(M40*VLOOKUP(N40,$G$3:$T$22,14,0),0)</f>
        <v>0</v>
      </c>
      <c r="S40" s="84">
        <f t="shared" ref="S40:S46" si="186">H40*R40</f>
        <v>0</v>
      </c>
      <c r="T40" s="109">
        <f>R40*(1+Dashboard!$D$35)</f>
        <v>0</v>
      </c>
      <c r="U40" s="84">
        <f t="shared" ref="U40:U46" si="187">H40*T40</f>
        <v>0</v>
      </c>
      <c r="V40" s="65"/>
      <c r="W40" s="65"/>
      <c r="X40" s="108">
        <f t="shared" si="10"/>
        <v>0</v>
      </c>
      <c r="Y40" s="122"/>
      <c r="Z40" s="112"/>
      <c r="AA40" s="112" t="s">
        <v>289</v>
      </c>
      <c r="AB40" s="81">
        <f t="shared" si="11"/>
        <v>0</v>
      </c>
      <c r="AC40" s="84">
        <f t="shared" si="12"/>
        <v>0</v>
      </c>
      <c r="AD40" s="65"/>
      <c r="AE40" s="113"/>
      <c r="AF40" s="114" cm="1">
        <f t="array" ref="AF40">IFERROR(INDEX('Tabela ICMS'!$E$5:$AF$32,Tarefas!B40,Tarefas!C40),0)</f>
        <v>0</v>
      </c>
      <c r="AG40" s="115">
        <f>IF(AA40="FD",(Dashboard!$D$43+Dashboard!$D$44),(Dashboard!$D$30+Dashboard!$D$31))</f>
        <v>3.6499999999999998E-2</v>
      </c>
      <c r="AH40" s="115">
        <f>IF(AA40="FD",(Dashboard!$D$46),(Dashboard!$D$33))</f>
        <v>0</v>
      </c>
      <c r="AI40" s="115">
        <f>IF(AA40="FD",(Dashboard!$D$45),(Dashboard!$D$32))</f>
        <v>0.05</v>
      </c>
      <c r="AJ40" s="116"/>
      <c r="AK40" s="116"/>
      <c r="AL40" s="65"/>
      <c r="AM40" s="81">
        <f>IF(AA40="FD",AB40*(1+Dashboard!$D$48),AB40*(1+Dashboard!$D$35))</f>
        <v>0</v>
      </c>
      <c r="AN40" s="84">
        <f t="shared" si="13"/>
        <v>0</v>
      </c>
      <c r="AO40" s="65"/>
      <c r="AP40" s="65"/>
      <c r="AQ40" s="81">
        <f t="shared" si="14"/>
        <v>0</v>
      </c>
      <c r="AR40" s="81">
        <f t="shared" si="15"/>
        <v>0</v>
      </c>
      <c r="AS40" s="117">
        <f t="shared" si="16"/>
        <v>0</v>
      </c>
      <c r="AT40" s="84">
        <f t="shared" si="17"/>
        <v>0</v>
      </c>
      <c r="AU40" s="114">
        <f t="shared" si="18"/>
        <v>0</v>
      </c>
      <c r="AV40" s="65"/>
      <c r="AW40" s="69"/>
      <c r="AX40" s="65"/>
      <c r="AY40" s="65"/>
      <c r="AZ40" s="93">
        <f t="shared" si="19"/>
        <v>0</v>
      </c>
      <c r="BA40" s="94">
        <f>(Dashboard!$D$30+Dashboard!$D$31)*U40</f>
        <v>0</v>
      </c>
      <c r="BB40" s="94">
        <f>Dashboard!$D$33*U40</f>
        <v>0</v>
      </c>
      <c r="BC40" s="94">
        <f>Dashboard!$D$32*U40</f>
        <v>0</v>
      </c>
      <c r="BD40" s="65"/>
      <c r="BE40" s="93">
        <f t="shared" si="20"/>
        <v>0</v>
      </c>
      <c r="BF40" s="94">
        <f t="shared" si="21"/>
        <v>0</v>
      </c>
      <c r="BG40" s="94">
        <f t="shared" si="22"/>
        <v>0</v>
      </c>
      <c r="BH40" s="94">
        <f t="shared" si="23"/>
        <v>0</v>
      </c>
      <c r="BI40" s="94">
        <f t="shared" si="24"/>
        <v>0</v>
      </c>
      <c r="BJ40" s="94">
        <f t="shared" si="25"/>
        <v>0</v>
      </c>
      <c r="BK40" s="94">
        <f t="shared" si="26"/>
        <v>0</v>
      </c>
      <c r="BL40" s="65"/>
      <c r="BM40" s="69"/>
      <c r="BN40" s="65"/>
      <c r="BO40" s="65"/>
      <c r="BP40" s="65"/>
      <c r="BQ40" s="118">
        <v>0</v>
      </c>
      <c r="BR40" s="119">
        <f>22*0.05</f>
        <v>1.1000000000000001</v>
      </c>
      <c r="BS40" s="120">
        <v>8.8000000000000007</v>
      </c>
      <c r="BT40" s="121">
        <f t="shared" si="27"/>
        <v>0</v>
      </c>
      <c r="BU40" s="118">
        <v>0</v>
      </c>
      <c r="BV40" s="119">
        <v>22</v>
      </c>
      <c r="BW40" s="120">
        <v>8.8000000000000007</v>
      </c>
      <c r="BX40" s="121">
        <f t="shared" si="48"/>
        <v>0</v>
      </c>
      <c r="BY40" s="65"/>
      <c r="BZ40" s="118">
        <v>0</v>
      </c>
      <c r="CA40" s="119">
        <v>22</v>
      </c>
      <c r="CB40" s="120">
        <v>8.8000000000000007</v>
      </c>
      <c r="CC40" s="121">
        <f t="shared" si="29"/>
        <v>0</v>
      </c>
      <c r="CD40" s="65"/>
      <c r="CE40" s="118">
        <v>0</v>
      </c>
      <c r="CF40" s="119">
        <v>22</v>
      </c>
      <c r="CG40" s="120">
        <v>8.8000000000000007</v>
      </c>
      <c r="CH40" s="121">
        <f t="shared" si="30"/>
        <v>0</v>
      </c>
      <c r="CI40" s="118">
        <v>0</v>
      </c>
      <c r="CJ40" s="119">
        <v>22</v>
      </c>
      <c r="CK40" s="120">
        <v>8.8000000000000007</v>
      </c>
      <c r="CL40" s="121">
        <f t="shared" si="31"/>
        <v>0</v>
      </c>
      <c r="CM40" s="118">
        <v>0</v>
      </c>
      <c r="CN40" s="119">
        <v>22</v>
      </c>
      <c r="CO40" s="120">
        <v>8.8000000000000007</v>
      </c>
      <c r="CP40" s="121">
        <f t="shared" si="32"/>
        <v>0</v>
      </c>
      <c r="CQ40" s="65"/>
      <c r="CR40" s="118">
        <v>0</v>
      </c>
      <c r="CS40" s="119">
        <v>22</v>
      </c>
      <c r="CT40" s="120">
        <v>8.8000000000000007</v>
      </c>
      <c r="CU40" s="121">
        <f t="shared" si="33"/>
        <v>0</v>
      </c>
      <c r="CV40" s="118">
        <v>0</v>
      </c>
      <c r="CW40" s="119">
        <v>22</v>
      </c>
      <c r="CX40" s="120">
        <v>8.8000000000000007</v>
      </c>
      <c r="CY40" s="121">
        <f t="shared" si="34"/>
        <v>0</v>
      </c>
      <c r="CZ40" s="118">
        <v>0</v>
      </c>
      <c r="DA40" s="119">
        <v>22</v>
      </c>
      <c r="DB40" s="120">
        <v>8.8000000000000007</v>
      </c>
      <c r="DC40" s="121">
        <f t="shared" si="35"/>
        <v>0</v>
      </c>
      <c r="DD40" s="65"/>
      <c r="DE40" s="118">
        <v>0</v>
      </c>
      <c r="DF40" s="119">
        <v>22</v>
      </c>
      <c r="DG40" s="120">
        <v>8.8000000000000007</v>
      </c>
      <c r="DH40" s="121">
        <f t="shared" si="36"/>
        <v>0</v>
      </c>
      <c r="DI40" s="118">
        <v>0</v>
      </c>
      <c r="DJ40" s="119">
        <v>22</v>
      </c>
      <c r="DK40" s="120">
        <v>8.8000000000000007</v>
      </c>
      <c r="DL40" s="121">
        <f t="shared" si="37"/>
        <v>0</v>
      </c>
      <c r="DM40" s="118">
        <v>0</v>
      </c>
      <c r="DN40" s="119">
        <v>22</v>
      </c>
      <c r="DO40" s="120">
        <v>8.8000000000000007</v>
      </c>
      <c r="DP40" s="121">
        <f t="shared" si="38"/>
        <v>0</v>
      </c>
      <c r="DQ40" s="65"/>
      <c r="DR40" s="118">
        <v>0</v>
      </c>
      <c r="DS40" s="119">
        <v>22</v>
      </c>
      <c r="DT40" s="120">
        <v>8.8000000000000007</v>
      </c>
      <c r="DU40" s="121">
        <f t="shared" si="39"/>
        <v>0</v>
      </c>
      <c r="DV40" s="118">
        <v>0</v>
      </c>
      <c r="DW40" s="119">
        <v>22</v>
      </c>
      <c r="DX40" s="120">
        <v>8.8000000000000007</v>
      </c>
      <c r="DY40" s="121">
        <f t="shared" si="40"/>
        <v>0</v>
      </c>
      <c r="DZ40" s="118">
        <v>0</v>
      </c>
      <c r="EA40" s="119">
        <v>22</v>
      </c>
      <c r="EB40" s="120">
        <v>8.8000000000000007</v>
      </c>
      <c r="EC40" s="121">
        <f t="shared" si="41"/>
        <v>0</v>
      </c>
      <c r="ED40" s="65"/>
      <c r="EE40" s="118">
        <v>0</v>
      </c>
      <c r="EF40" s="119">
        <v>22</v>
      </c>
      <c r="EG40" s="120">
        <v>8.8000000000000007</v>
      </c>
      <c r="EH40" s="121">
        <f t="shared" si="42"/>
        <v>0</v>
      </c>
      <c r="EI40" s="118">
        <v>0</v>
      </c>
      <c r="EJ40" s="119">
        <v>22</v>
      </c>
      <c r="EK40" s="120">
        <v>8.8000000000000007</v>
      </c>
      <c r="EL40" s="121">
        <f t="shared" si="43"/>
        <v>0</v>
      </c>
      <c r="EM40" s="118">
        <v>0</v>
      </c>
      <c r="EN40" s="119">
        <v>22</v>
      </c>
      <c r="EO40" s="120">
        <v>8.8000000000000007</v>
      </c>
      <c r="EP40" s="121">
        <f t="shared" si="44"/>
        <v>0</v>
      </c>
      <c r="EQ40" s="118">
        <v>0</v>
      </c>
      <c r="ER40" s="119">
        <v>22</v>
      </c>
      <c r="ES40" s="120">
        <v>8.8000000000000007</v>
      </c>
      <c r="ET40" s="121">
        <f t="shared" si="45"/>
        <v>0</v>
      </c>
      <c r="EU40" s="118">
        <v>0</v>
      </c>
      <c r="EV40" s="119">
        <v>22</v>
      </c>
      <c r="EW40" s="120">
        <v>8.8000000000000007</v>
      </c>
      <c r="EX40" s="121">
        <f t="shared" si="46"/>
        <v>0</v>
      </c>
      <c r="EY40" s="65"/>
      <c r="EZ40" s="78">
        <v>0</v>
      </c>
      <c r="FA40" s="78"/>
      <c r="FB40" s="78"/>
      <c r="FC40" s="78"/>
      <c r="FD40" s="78"/>
      <c r="FE40" s="78"/>
      <c r="FF40" s="78"/>
      <c r="FG40" s="78"/>
      <c r="FH40" s="78"/>
      <c r="FI40" s="78"/>
      <c r="FJ40" s="78"/>
      <c r="FK40" s="78"/>
      <c r="FL40" s="65"/>
      <c r="FM40" s="69"/>
      <c r="FN40" s="65"/>
      <c r="FO40" s="65"/>
    </row>
    <row r="41" spans="1:171" ht="12" customHeight="1">
      <c r="A41" s="65"/>
      <c r="B41" s="105" t="str">
        <f>IFERROR(VLOOKUP(AE41,'Tabela ICMS'!$C$5:$D$32,2,0),"")</f>
        <v/>
      </c>
      <c r="C41" s="105">
        <f>IFERROR(HLOOKUP(Dashboard!$F$9,'Tabela ICMS'!$E$3:$AF$4,2,0),"")</f>
        <v>25</v>
      </c>
      <c r="D41" s="65"/>
      <c r="E41" s="106">
        <v>9</v>
      </c>
      <c r="F41" s="77" t="s">
        <v>298</v>
      </c>
      <c r="G41" s="78" t="s">
        <v>288</v>
      </c>
      <c r="H41" s="107">
        <f>HISTOGRAMA!C17</f>
        <v>10</v>
      </c>
      <c r="I41" s="65"/>
      <c r="J41" s="65"/>
      <c r="K41" s="108">
        <f t="shared" si="4"/>
        <v>0</v>
      </c>
      <c r="L41" s="79">
        <f t="shared" si="5"/>
        <v>0</v>
      </c>
      <c r="M41" s="80">
        <f t="shared" si="183"/>
        <v>0</v>
      </c>
      <c r="N41" s="78" t="s">
        <v>174</v>
      </c>
      <c r="O41" s="80">
        <f t="shared" si="184"/>
        <v>0</v>
      </c>
      <c r="P41" s="65"/>
      <c r="Q41" s="65"/>
      <c r="R41" s="109">
        <f t="shared" si="185"/>
        <v>0</v>
      </c>
      <c r="S41" s="84">
        <f t="shared" si="186"/>
        <v>0</v>
      </c>
      <c r="T41" s="109">
        <f>R41*(1+Dashboard!$D$35)</f>
        <v>0</v>
      </c>
      <c r="U41" s="84">
        <f t="shared" si="187"/>
        <v>0</v>
      </c>
      <c r="V41" s="65"/>
      <c r="W41" s="65"/>
      <c r="X41" s="108">
        <f t="shared" si="10"/>
        <v>0</v>
      </c>
      <c r="Y41" s="122"/>
      <c r="Z41" s="112"/>
      <c r="AA41" s="112" t="s">
        <v>289</v>
      </c>
      <c r="AB41" s="81">
        <f t="shared" si="11"/>
        <v>0</v>
      </c>
      <c r="AC41" s="84">
        <f t="shared" si="12"/>
        <v>0</v>
      </c>
      <c r="AD41" s="65"/>
      <c r="AE41" s="113"/>
      <c r="AF41" s="114" cm="1">
        <f t="array" ref="AF41">IFERROR(INDEX('Tabela ICMS'!$E$5:$AF$32,Tarefas!B41,Tarefas!C41),0)</f>
        <v>0</v>
      </c>
      <c r="AG41" s="115">
        <f>IF(AA41="FD",(Dashboard!$D$43+Dashboard!$D$44),(Dashboard!$D$30+Dashboard!$D$31))</f>
        <v>3.6499999999999998E-2</v>
      </c>
      <c r="AH41" s="115">
        <f>IF(AA41="FD",(Dashboard!$D$46),(Dashboard!$D$33))</f>
        <v>0</v>
      </c>
      <c r="AI41" s="115">
        <f>IF(AA41="FD",(Dashboard!$D$45),(Dashboard!$D$32))</f>
        <v>0.05</v>
      </c>
      <c r="AJ41" s="116"/>
      <c r="AK41" s="116"/>
      <c r="AL41" s="65"/>
      <c r="AM41" s="81">
        <f>IF(AA41="FD",AB41*(1+Dashboard!$D$48),AB41*(1+Dashboard!$D$35))</f>
        <v>0</v>
      </c>
      <c r="AN41" s="84">
        <f t="shared" si="13"/>
        <v>0</v>
      </c>
      <c r="AO41" s="65"/>
      <c r="AP41" s="65"/>
      <c r="AQ41" s="81">
        <f t="shared" si="14"/>
        <v>0</v>
      </c>
      <c r="AR41" s="81">
        <f t="shared" si="15"/>
        <v>0</v>
      </c>
      <c r="AS41" s="117">
        <f t="shared" si="16"/>
        <v>0</v>
      </c>
      <c r="AT41" s="84">
        <f t="shared" si="17"/>
        <v>0</v>
      </c>
      <c r="AU41" s="114">
        <f t="shared" si="18"/>
        <v>0</v>
      </c>
      <c r="AV41" s="65"/>
      <c r="AW41" s="69"/>
      <c r="AX41" s="65"/>
      <c r="AY41" s="65"/>
      <c r="AZ41" s="93">
        <f t="shared" si="19"/>
        <v>0</v>
      </c>
      <c r="BA41" s="94">
        <f>(Dashboard!$D$30+Dashboard!$D$31)*U41</f>
        <v>0</v>
      </c>
      <c r="BB41" s="94">
        <f>Dashboard!$D$33*U41</f>
        <v>0</v>
      </c>
      <c r="BC41" s="94">
        <f>Dashboard!$D$32*U41</f>
        <v>0</v>
      </c>
      <c r="BD41" s="65"/>
      <c r="BE41" s="93">
        <f t="shared" si="20"/>
        <v>0</v>
      </c>
      <c r="BF41" s="94">
        <f t="shared" si="21"/>
        <v>0</v>
      </c>
      <c r="BG41" s="94">
        <f t="shared" si="22"/>
        <v>0</v>
      </c>
      <c r="BH41" s="94">
        <f t="shared" si="23"/>
        <v>0</v>
      </c>
      <c r="BI41" s="94">
        <f t="shared" si="24"/>
        <v>0</v>
      </c>
      <c r="BJ41" s="94">
        <f t="shared" si="25"/>
        <v>0</v>
      </c>
      <c r="BK41" s="94">
        <f t="shared" si="26"/>
        <v>0</v>
      </c>
      <c r="BL41" s="65"/>
      <c r="BM41" s="69"/>
      <c r="BN41" s="65"/>
      <c r="BO41" s="65"/>
      <c r="BP41" s="65"/>
      <c r="BQ41" s="118">
        <v>0</v>
      </c>
      <c r="BR41" s="119">
        <v>22</v>
      </c>
      <c r="BS41" s="120">
        <v>8.8000000000000007</v>
      </c>
      <c r="BT41" s="121">
        <f t="shared" si="27"/>
        <v>0</v>
      </c>
      <c r="BU41" s="118">
        <v>0</v>
      </c>
      <c r="BV41" s="119">
        <v>22</v>
      </c>
      <c r="BW41" s="120">
        <v>8.8000000000000007</v>
      </c>
      <c r="BX41" s="121">
        <f t="shared" si="48"/>
        <v>0</v>
      </c>
      <c r="BY41" s="65"/>
      <c r="BZ41" s="118">
        <v>0</v>
      </c>
      <c r="CA41" s="119">
        <v>22</v>
      </c>
      <c r="CB41" s="120">
        <v>8.8000000000000007</v>
      </c>
      <c r="CC41" s="121">
        <f t="shared" si="29"/>
        <v>0</v>
      </c>
      <c r="CD41" s="65"/>
      <c r="CE41" s="118">
        <v>0</v>
      </c>
      <c r="CF41" s="119">
        <v>22</v>
      </c>
      <c r="CG41" s="120">
        <v>8.8000000000000007</v>
      </c>
      <c r="CH41" s="121">
        <f t="shared" si="30"/>
        <v>0</v>
      </c>
      <c r="CI41" s="118">
        <v>0</v>
      </c>
      <c r="CJ41" s="119">
        <f>0.05*22</f>
        <v>1.1000000000000001</v>
      </c>
      <c r="CK41" s="120">
        <v>8.8000000000000007</v>
      </c>
      <c r="CL41" s="121">
        <f t="shared" si="31"/>
        <v>0</v>
      </c>
      <c r="CM41" s="118">
        <v>0</v>
      </c>
      <c r="CN41" s="119">
        <v>22</v>
      </c>
      <c r="CO41" s="120">
        <v>8.8000000000000007</v>
      </c>
      <c r="CP41" s="121">
        <f t="shared" si="32"/>
        <v>0</v>
      </c>
      <c r="CQ41" s="65"/>
      <c r="CR41" s="118">
        <v>0</v>
      </c>
      <c r="CS41" s="119">
        <v>22</v>
      </c>
      <c r="CT41" s="120">
        <v>8.8000000000000007</v>
      </c>
      <c r="CU41" s="121">
        <f t="shared" si="33"/>
        <v>0</v>
      </c>
      <c r="CV41" s="118">
        <v>0</v>
      </c>
      <c r="CW41" s="119">
        <v>22</v>
      </c>
      <c r="CX41" s="120">
        <v>8.8000000000000007</v>
      </c>
      <c r="CY41" s="121">
        <f t="shared" si="34"/>
        <v>0</v>
      </c>
      <c r="CZ41" s="118">
        <v>0</v>
      </c>
      <c r="DA41" s="119">
        <v>22</v>
      </c>
      <c r="DB41" s="120">
        <v>8.8000000000000007</v>
      </c>
      <c r="DC41" s="121">
        <f t="shared" si="35"/>
        <v>0</v>
      </c>
      <c r="DD41" s="65"/>
      <c r="DE41" s="118">
        <v>0</v>
      </c>
      <c r="DF41" s="119">
        <v>22</v>
      </c>
      <c r="DG41" s="120">
        <v>8.8000000000000007</v>
      </c>
      <c r="DH41" s="121">
        <f t="shared" si="36"/>
        <v>0</v>
      </c>
      <c r="DI41" s="118">
        <v>0</v>
      </c>
      <c r="DJ41" s="119">
        <v>22</v>
      </c>
      <c r="DK41" s="120">
        <v>8.8000000000000007</v>
      </c>
      <c r="DL41" s="121">
        <f t="shared" si="37"/>
        <v>0</v>
      </c>
      <c r="DM41" s="118">
        <v>0</v>
      </c>
      <c r="DN41" s="119">
        <v>22</v>
      </c>
      <c r="DO41" s="120">
        <v>8.8000000000000007</v>
      </c>
      <c r="DP41" s="121">
        <f t="shared" si="38"/>
        <v>0</v>
      </c>
      <c r="DQ41" s="65"/>
      <c r="DR41" s="118">
        <v>0</v>
      </c>
      <c r="DS41" s="119">
        <v>22</v>
      </c>
      <c r="DT41" s="120">
        <v>8.8000000000000007</v>
      </c>
      <c r="DU41" s="121">
        <f t="shared" si="39"/>
        <v>0</v>
      </c>
      <c r="DV41" s="118">
        <v>0</v>
      </c>
      <c r="DW41" s="119">
        <v>22</v>
      </c>
      <c r="DX41" s="120">
        <v>8.8000000000000007</v>
      </c>
      <c r="DY41" s="121">
        <f t="shared" si="40"/>
        <v>0</v>
      </c>
      <c r="DZ41" s="118">
        <v>0</v>
      </c>
      <c r="EA41" s="119">
        <v>22</v>
      </c>
      <c r="EB41" s="120">
        <v>8.8000000000000007</v>
      </c>
      <c r="EC41" s="121">
        <f t="shared" si="41"/>
        <v>0</v>
      </c>
      <c r="ED41" s="65"/>
      <c r="EE41" s="118">
        <v>0</v>
      </c>
      <c r="EF41" s="119">
        <v>22</v>
      </c>
      <c r="EG41" s="120">
        <v>8.8000000000000007</v>
      </c>
      <c r="EH41" s="121">
        <f t="shared" si="42"/>
        <v>0</v>
      </c>
      <c r="EI41" s="118">
        <v>0</v>
      </c>
      <c r="EJ41" s="119">
        <v>22</v>
      </c>
      <c r="EK41" s="120">
        <v>8.8000000000000007</v>
      </c>
      <c r="EL41" s="121">
        <f t="shared" si="43"/>
        <v>0</v>
      </c>
      <c r="EM41" s="118">
        <v>0</v>
      </c>
      <c r="EN41" s="119">
        <v>22</v>
      </c>
      <c r="EO41" s="120">
        <v>8.8000000000000007</v>
      </c>
      <c r="EP41" s="121">
        <f t="shared" si="44"/>
        <v>0</v>
      </c>
      <c r="EQ41" s="118">
        <v>0</v>
      </c>
      <c r="ER41" s="119">
        <v>22</v>
      </c>
      <c r="ES41" s="120">
        <v>8.8000000000000007</v>
      </c>
      <c r="ET41" s="121">
        <f t="shared" si="45"/>
        <v>0</v>
      </c>
      <c r="EU41" s="118">
        <v>0</v>
      </c>
      <c r="EV41" s="119">
        <v>22</v>
      </c>
      <c r="EW41" s="120">
        <v>8.8000000000000007</v>
      </c>
      <c r="EX41" s="121">
        <f t="shared" si="46"/>
        <v>0</v>
      </c>
      <c r="EY41" s="65"/>
      <c r="EZ41" s="78">
        <v>0</v>
      </c>
      <c r="FA41" s="78"/>
      <c r="FB41" s="78"/>
      <c r="FC41" s="78"/>
      <c r="FD41" s="78"/>
      <c r="FE41" s="78"/>
      <c r="FF41" s="78"/>
      <c r="FG41" s="78"/>
      <c r="FH41" s="78"/>
      <c r="FI41" s="78"/>
      <c r="FJ41" s="78"/>
      <c r="FK41" s="78"/>
      <c r="FL41" s="65"/>
      <c r="FM41" s="69"/>
      <c r="FN41" s="65"/>
      <c r="FO41" s="65"/>
    </row>
    <row r="42" spans="1:171" ht="12" customHeight="1">
      <c r="A42" s="65"/>
      <c r="B42" s="105" t="str">
        <f>IFERROR(VLOOKUP(AE42,'Tabela ICMS'!$C$5:$D$32,2,0),"")</f>
        <v/>
      </c>
      <c r="C42" s="105">
        <f>IFERROR(HLOOKUP(Dashboard!$F$9,'Tabela ICMS'!$E$3:$AF$4,2,0),"")</f>
        <v>25</v>
      </c>
      <c r="D42" s="65"/>
      <c r="E42" s="106">
        <v>10</v>
      </c>
      <c r="F42" s="77" t="s">
        <v>299</v>
      </c>
      <c r="G42" s="78" t="s">
        <v>288</v>
      </c>
      <c r="H42" s="107">
        <f>HISTOGRAMA!C18</f>
        <v>0</v>
      </c>
      <c r="I42" s="65"/>
      <c r="J42" s="65"/>
      <c r="K42" s="108">
        <f t="shared" si="4"/>
        <v>29.04</v>
      </c>
      <c r="L42" s="79">
        <f t="shared" si="5"/>
        <v>0</v>
      </c>
      <c r="M42" s="80">
        <f t="shared" si="183"/>
        <v>29.04</v>
      </c>
      <c r="N42" s="78" t="s">
        <v>175</v>
      </c>
      <c r="O42" s="80">
        <f t="shared" si="184"/>
        <v>0</v>
      </c>
      <c r="P42" s="65"/>
      <c r="Q42" s="65"/>
      <c r="R42" s="109">
        <f t="shared" si="185"/>
        <v>0</v>
      </c>
      <c r="S42" s="84">
        <f t="shared" si="186"/>
        <v>0</v>
      </c>
      <c r="T42" s="109">
        <f>R42*(1+Dashboard!$D$35)</f>
        <v>0</v>
      </c>
      <c r="U42" s="84">
        <f t="shared" si="187"/>
        <v>0</v>
      </c>
      <c r="V42" s="65"/>
      <c r="W42" s="65"/>
      <c r="X42" s="108">
        <f t="shared" si="10"/>
        <v>0</v>
      </c>
      <c r="Y42" s="122"/>
      <c r="Z42" s="112"/>
      <c r="AA42" s="112" t="s">
        <v>289</v>
      </c>
      <c r="AB42" s="81">
        <f t="shared" si="11"/>
        <v>0</v>
      </c>
      <c r="AC42" s="84">
        <f t="shared" si="12"/>
        <v>0</v>
      </c>
      <c r="AD42" s="65"/>
      <c r="AE42" s="113"/>
      <c r="AF42" s="114" cm="1">
        <f t="array" ref="AF42">IFERROR(INDEX('Tabela ICMS'!$E$5:$AF$32,Tarefas!B42,Tarefas!C42),0)</f>
        <v>0</v>
      </c>
      <c r="AG42" s="115">
        <f>IF(AA42="FD",(Dashboard!$D$43+Dashboard!$D$44),(Dashboard!$D$30+Dashboard!$D$31))</f>
        <v>3.6499999999999998E-2</v>
      </c>
      <c r="AH42" s="115">
        <f>IF(AA42="FD",(Dashboard!$D$46),(Dashboard!$D$33))</f>
        <v>0</v>
      </c>
      <c r="AI42" s="115">
        <f>IF(AA42="FD",(Dashboard!$D$45),(Dashboard!$D$32))</f>
        <v>0.05</v>
      </c>
      <c r="AJ42" s="116"/>
      <c r="AK42" s="116"/>
      <c r="AL42" s="65"/>
      <c r="AM42" s="81">
        <f>IF(AA42="FD",AB42*(1+Dashboard!$D$48),AB42*(1+Dashboard!$D$35))</f>
        <v>0</v>
      </c>
      <c r="AN42" s="84">
        <f t="shared" si="13"/>
        <v>0</v>
      </c>
      <c r="AO42" s="65"/>
      <c r="AP42" s="65"/>
      <c r="AQ42" s="81">
        <f t="shared" si="14"/>
        <v>0</v>
      </c>
      <c r="AR42" s="81">
        <f t="shared" si="15"/>
        <v>0</v>
      </c>
      <c r="AS42" s="117">
        <f t="shared" si="16"/>
        <v>0</v>
      </c>
      <c r="AT42" s="84">
        <f t="shared" si="17"/>
        <v>0</v>
      </c>
      <c r="AU42" s="114">
        <f t="shared" si="18"/>
        <v>0</v>
      </c>
      <c r="AV42" s="65"/>
      <c r="AW42" s="69"/>
      <c r="AX42" s="65"/>
      <c r="AY42" s="65"/>
      <c r="AZ42" s="93">
        <f t="shared" si="19"/>
        <v>0</v>
      </c>
      <c r="BA42" s="94">
        <f>(Dashboard!$D$30+Dashboard!$D$31)*U42</f>
        <v>0</v>
      </c>
      <c r="BB42" s="94">
        <f>Dashboard!$D$33*U42</f>
        <v>0</v>
      </c>
      <c r="BC42" s="94">
        <f>Dashboard!$D$32*U42</f>
        <v>0</v>
      </c>
      <c r="BD42" s="65"/>
      <c r="BE42" s="93">
        <f t="shared" si="20"/>
        <v>0</v>
      </c>
      <c r="BF42" s="94">
        <f t="shared" si="21"/>
        <v>0</v>
      </c>
      <c r="BG42" s="94">
        <f t="shared" si="22"/>
        <v>0</v>
      </c>
      <c r="BH42" s="94">
        <f t="shared" si="23"/>
        <v>0</v>
      </c>
      <c r="BI42" s="94">
        <f t="shared" si="24"/>
        <v>0</v>
      </c>
      <c r="BJ42" s="94">
        <f t="shared" si="25"/>
        <v>0</v>
      </c>
      <c r="BK42" s="94">
        <f t="shared" si="26"/>
        <v>0</v>
      </c>
      <c r="BL42" s="65"/>
      <c r="BM42" s="69"/>
      <c r="BN42" s="65"/>
      <c r="BO42" s="65"/>
      <c r="BP42" s="65"/>
      <c r="BQ42" s="118">
        <v>0</v>
      </c>
      <c r="BR42" s="119">
        <v>22</v>
      </c>
      <c r="BS42" s="120">
        <v>8.8000000000000007</v>
      </c>
      <c r="BT42" s="121">
        <f t="shared" si="27"/>
        <v>0</v>
      </c>
      <c r="BU42" s="118">
        <v>1</v>
      </c>
      <c r="BV42" s="119">
        <f>0.15*22</f>
        <v>3.3</v>
      </c>
      <c r="BW42" s="120">
        <v>8.8000000000000007</v>
      </c>
      <c r="BX42" s="121">
        <f t="shared" si="48"/>
        <v>29.04</v>
      </c>
      <c r="BY42" s="65"/>
      <c r="BZ42" s="118">
        <v>0</v>
      </c>
      <c r="CA42" s="119">
        <v>22</v>
      </c>
      <c r="CB42" s="120">
        <v>8.8000000000000007</v>
      </c>
      <c r="CC42" s="121">
        <f t="shared" si="29"/>
        <v>0</v>
      </c>
      <c r="CD42" s="65"/>
      <c r="CE42" s="118">
        <v>0</v>
      </c>
      <c r="CF42" s="119">
        <v>22</v>
      </c>
      <c r="CG42" s="120">
        <v>8.8000000000000007</v>
      </c>
      <c r="CH42" s="121">
        <f t="shared" si="30"/>
        <v>0</v>
      </c>
      <c r="CI42" s="118">
        <v>0</v>
      </c>
      <c r="CJ42" s="119">
        <v>22</v>
      </c>
      <c r="CK42" s="120">
        <v>8.8000000000000007</v>
      </c>
      <c r="CL42" s="121">
        <f t="shared" si="31"/>
        <v>0</v>
      </c>
      <c r="CM42" s="118">
        <v>0</v>
      </c>
      <c r="CN42" s="119">
        <v>22</v>
      </c>
      <c r="CO42" s="120">
        <v>8.8000000000000007</v>
      </c>
      <c r="CP42" s="121">
        <f t="shared" si="32"/>
        <v>0</v>
      </c>
      <c r="CQ42" s="65"/>
      <c r="CR42" s="118">
        <v>0</v>
      </c>
      <c r="CS42" s="119">
        <v>22</v>
      </c>
      <c r="CT42" s="120">
        <v>8.8000000000000007</v>
      </c>
      <c r="CU42" s="121">
        <f t="shared" si="33"/>
        <v>0</v>
      </c>
      <c r="CV42" s="118">
        <v>0</v>
      </c>
      <c r="CW42" s="119">
        <v>22</v>
      </c>
      <c r="CX42" s="120">
        <v>8.8000000000000007</v>
      </c>
      <c r="CY42" s="121">
        <f t="shared" si="34"/>
        <v>0</v>
      </c>
      <c r="CZ42" s="118">
        <v>0</v>
      </c>
      <c r="DA42" s="119">
        <v>22</v>
      </c>
      <c r="DB42" s="120">
        <v>8.8000000000000007</v>
      </c>
      <c r="DC42" s="121">
        <f t="shared" si="35"/>
        <v>0</v>
      </c>
      <c r="DD42" s="65"/>
      <c r="DE42" s="118">
        <v>0</v>
      </c>
      <c r="DF42" s="119">
        <v>22</v>
      </c>
      <c r="DG42" s="120">
        <v>8.8000000000000007</v>
      </c>
      <c r="DH42" s="121">
        <f t="shared" si="36"/>
        <v>0</v>
      </c>
      <c r="DI42" s="118">
        <v>0</v>
      </c>
      <c r="DJ42" s="119">
        <v>22</v>
      </c>
      <c r="DK42" s="120">
        <v>8.8000000000000007</v>
      </c>
      <c r="DL42" s="121">
        <f t="shared" si="37"/>
        <v>0</v>
      </c>
      <c r="DM42" s="118">
        <v>0</v>
      </c>
      <c r="DN42" s="119">
        <v>22</v>
      </c>
      <c r="DO42" s="120">
        <v>8.8000000000000007</v>
      </c>
      <c r="DP42" s="121">
        <f t="shared" si="38"/>
        <v>0</v>
      </c>
      <c r="DQ42" s="65"/>
      <c r="DR42" s="118">
        <v>0</v>
      </c>
      <c r="DS42" s="119">
        <v>22</v>
      </c>
      <c r="DT42" s="120">
        <v>8.8000000000000007</v>
      </c>
      <c r="DU42" s="121">
        <f t="shared" si="39"/>
        <v>0</v>
      </c>
      <c r="DV42" s="118">
        <v>0</v>
      </c>
      <c r="DW42" s="119">
        <v>22</v>
      </c>
      <c r="DX42" s="120">
        <v>8.8000000000000007</v>
      </c>
      <c r="DY42" s="121">
        <f t="shared" si="40"/>
        <v>0</v>
      </c>
      <c r="DZ42" s="118">
        <v>0</v>
      </c>
      <c r="EA42" s="119">
        <v>22</v>
      </c>
      <c r="EB42" s="120">
        <v>8.8000000000000007</v>
      </c>
      <c r="EC42" s="121">
        <f t="shared" si="41"/>
        <v>0</v>
      </c>
      <c r="ED42" s="65"/>
      <c r="EE42" s="118">
        <v>0</v>
      </c>
      <c r="EF42" s="119">
        <v>22</v>
      </c>
      <c r="EG42" s="120">
        <v>8.8000000000000007</v>
      </c>
      <c r="EH42" s="121">
        <f t="shared" si="42"/>
        <v>0</v>
      </c>
      <c r="EI42" s="118">
        <v>0</v>
      </c>
      <c r="EJ42" s="119">
        <v>22</v>
      </c>
      <c r="EK42" s="120">
        <v>8.8000000000000007</v>
      </c>
      <c r="EL42" s="121">
        <f t="shared" si="43"/>
        <v>0</v>
      </c>
      <c r="EM42" s="118">
        <v>0</v>
      </c>
      <c r="EN42" s="119">
        <v>22</v>
      </c>
      <c r="EO42" s="120">
        <v>8.8000000000000007</v>
      </c>
      <c r="EP42" s="121">
        <f t="shared" si="44"/>
        <v>0</v>
      </c>
      <c r="EQ42" s="118">
        <v>0</v>
      </c>
      <c r="ER42" s="119">
        <v>22</v>
      </c>
      <c r="ES42" s="120">
        <v>8.8000000000000007</v>
      </c>
      <c r="ET42" s="121">
        <f t="shared" si="45"/>
        <v>0</v>
      </c>
      <c r="EU42" s="118">
        <v>0</v>
      </c>
      <c r="EV42" s="119">
        <v>22</v>
      </c>
      <c r="EW42" s="120">
        <v>8.8000000000000007</v>
      </c>
      <c r="EX42" s="121">
        <f t="shared" si="46"/>
        <v>0</v>
      </c>
      <c r="EY42" s="65"/>
      <c r="EZ42" s="78">
        <v>0</v>
      </c>
      <c r="FA42" s="78"/>
      <c r="FB42" s="78"/>
      <c r="FC42" s="78"/>
      <c r="FD42" s="78"/>
      <c r="FE42" s="78"/>
      <c r="FF42" s="78"/>
      <c r="FG42" s="78"/>
      <c r="FH42" s="78"/>
      <c r="FI42" s="78"/>
      <c r="FJ42" s="78"/>
      <c r="FK42" s="78"/>
      <c r="FL42" s="65"/>
      <c r="FM42" s="69"/>
      <c r="FN42" s="65"/>
      <c r="FO42" s="65"/>
    </row>
    <row r="43" spans="1:171" ht="12" customHeight="1">
      <c r="A43" s="65"/>
      <c r="B43" s="105" t="str">
        <f>IFERROR(VLOOKUP(AE43,'Tabela ICMS'!$C$5:$D$32,2,0),"")</f>
        <v/>
      </c>
      <c r="C43" s="105">
        <f>IFERROR(HLOOKUP(Dashboard!$F$9,'Tabela ICMS'!$E$3:$AF$4,2,0),"")</f>
        <v>25</v>
      </c>
      <c r="D43" s="65"/>
      <c r="E43" s="106">
        <v>11</v>
      </c>
      <c r="F43" s="77" t="s">
        <v>300</v>
      </c>
      <c r="G43" s="78" t="s">
        <v>288</v>
      </c>
      <c r="H43" s="107">
        <f>HISTOGRAMA!C19</f>
        <v>0</v>
      </c>
      <c r="I43" s="65"/>
      <c r="J43" s="65"/>
      <c r="K43" s="108">
        <f t="shared" si="4"/>
        <v>0</v>
      </c>
      <c r="L43" s="79">
        <f t="shared" si="5"/>
        <v>0</v>
      </c>
      <c r="M43" s="80">
        <f t="shared" si="183"/>
        <v>0</v>
      </c>
      <c r="N43" s="78" t="s">
        <v>167</v>
      </c>
      <c r="O43" s="80">
        <f t="shared" si="184"/>
        <v>0</v>
      </c>
      <c r="P43" s="65"/>
      <c r="Q43" s="65"/>
      <c r="R43" s="109">
        <f t="shared" si="185"/>
        <v>0</v>
      </c>
      <c r="S43" s="84">
        <f t="shared" si="186"/>
        <v>0</v>
      </c>
      <c r="T43" s="109">
        <f>R43*(1+Dashboard!$D$35)</f>
        <v>0</v>
      </c>
      <c r="U43" s="84">
        <f t="shared" si="187"/>
        <v>0</v>
      </c>
      <c r="V43" s="65"/>
      <c r="W43" s="65"/>
      <c r="X43" s="108">
        <f t="shared" si="10"/>
        <v>0</v>
      </c>
      <c r="Y43" s="122"/>
      <c r="Z43" s="112"/>
      <c r="AA43" s="112" t="s">
        <v>289</v>
      </c>
      <c r="AB43" s="81">
        <f t="shared" si="11"/>
        <v>0</v>
      </c>
      <c r="AC43" s="84">
        <f t="shared" si="12"/>
        <v>0</v>
      </c>
      <c r="AD43" s="65"/>
      <c r="AE43" s="113"/>
      <c r="AF43" s="114" cm="1">
        <f t="array" ref="AF43">IFERROR(INDEX('Tabela ICMS'!$E$5:$AF$32,Tarefas!B43,Tarefas!C43),0)</f>
        <v>0</v>
      </c>
      <c r="AG43" s="115">
        <f>IF(AA43="FD",(Dashboard!$D$43+Dashboard!$D$44),(Dashboard!$D$30+Dashboard!$D$31))</f>
        <v>3.6499999999999998E-2</v>
      </c>
      <c r="AH43" s="115">
        <f>IF(AA43="FD",(Dashboard!$D$46),(Dashboard!$D$33))</f>
        <v>0</v>
      </c>
      <c r="AI43" s="115">
        <f>IF(AA43="FD",(Dashboard!$D$45),(Dashboard!$D$32))</f>
        <v>0.05</v>
      </c>
      <c r="AJ43" s="116"/>
      <c r="AK43" s="116"/>
      <c r="AL43" s="65"/>
      <c r="AM43" s="81">
        <f>IF(AA43="FD",AB43*(1+Dashboard!$D$48),AB43*(1+Dashboard!$D$35))</f>
        <v>0</v>
      </c>
      <c r="AN43" s="84">
        <f t="shared" si="13"/>
        <v>0</v>
      </c>
      <c r="AO43" s="65"/>
      <c r="AP43" s="65"/>
      <c r="AQ43" s="81">
        <f t="shared" si="14"/>
        <v>0</v>
      </c>
      <c r="AR43" s="81">
        <f t="shared" si="15"/>
        <v>0</v>
      </c>
      <c r="AS43" s="117">
        <f t="shared" si="16"/>
        <v>0</v>
      </c>
      <c r="AT43" s="84">
        <f t="shared" si="17"/>
        <v>0</v>
      </c>
      <c r="AU43" s="114">
        <f t="shared" si="18"/>
        <v>0</v>
      </c>
      <c r="AV43" s="65"/>
      <c r="AW43" s="69"/>
      <c r="AX43" s="65"/>
      <c r="AY43" s="65"/>
      <c r="AZ43" s="93">
        <f t="shared" si="19"/>
        <v>0</v>
      </c>
      <c r="BA43" s="94">
        <f>(Dashboard!$D$30+Dashboard!$D$31)*U43</f>
        <v>0</v>
      </c>
      <c r="BB43" s="94">
        <f>Dashboard!$D$33*U43</f>
        <v>0</v>
      </c>
      <c r="BC43" s="94">
        <f>Dashboard!$D$32*U43</f>
        <v>0</v>
      </c>
      <c r="BD43" s="65"/>
      <c r="BE43" s="93">
        <f t="shared" si="20"/>
        <v>0</v>
      </c>
      <c r="BF43" s="94">
        <f t="shared" si="21"/>
        <v>0</v>
      </c>
      <c r="BG43" s="94">
        <f t="shared" si="22"/>
        <v>0</v>
      </c>
      <c r="BH43" s="94">
        <f t="shared" si="23"/>
        <v>0</v>
      </c>
      <c r="BI43" s="94">
        <f t="shared" si="24"/>
        <v>0</v>
      </c>
      <c r="BJ43" s="94">
        <f t="shared" si="25"/>
        <v>0</v>
      </c>
      <c r="BK43" s="94">
        <f t="shared" si="26"/>
        <v>0</v>
      </c>
      <c r="BL43" s="65"/>
      <c r="BM43" s="69"/>
      <c r="BN43" s="65"/>
      <c r="BO43" s="65"/>
      <c r="BP43" s="65"/>
      <c r="BQ43" s="118">
        <v>0</v>
      </c>
      <c r="BR43" s="119">
        <v>22</v>
      </c>
      <c r="BS43" s="120">
        <v>8.8000000000000007</v>
      </c>
      <c r="BT43" s="121">
        <f t="shared" si="27"/>
        <v>0</v>
      </c>
      <c r="BU43" s="118">
        <v>0</v>
      </c>
      <c r="BV43" s="119">
        <v>22</v>
      </c>
      <c r="BW43" s="120">
        <v>8.8000000000000007</v>
      </c>
      <c r="BX43" s="121">
        <f t="shared" si="48"/>
        <v>0</v>
      </c>
      <c r="BY43" s="65"/>
      <c r="BZ43" s="118">
        <v>0</v>
      </c>
      <c r="CA43" s="119">
        <v>22</v>
      </c>
      <c r="CB43" s="120">
        <v>8.8000000000000007</v>
      </c>
      <c r="CC43" s="121">
        <f t="shared" si="29"/>
        <v>0</v>
      </c>
      <c r="CD43" s="65"/>
      <c r="CE43" s="118">
        <v>0</v>
      </c>
      <c r="CF43" s="119">
        <v>22</v>
      </c>
      <c r="CG43" s="120">
        <v>8.8000000000000007</v>
      </c>
      <c r="CH43" s="121">
        <f t="shared" si="30"/>
        <v>0</v>
      </c>
      <c r="CI43" s="118">
        <v>0</v>
      </c>
      <c r="CJ43" s="119">
        <v>22</v>
      </c>
      <c r="CK43" s="120">
        <v>8.8000000000000007</v>
      </c>
      <c r="CL43" s="121">
        <f t="shared" si="31"/>
        <v>0</v>
      </c>
      <c r="CM43" s="118">
        <v>0</v>
      </c>
      <c r="CN43" s="119">
        <v>22</v>
      </c>
      <c r="CO43" s="120">
        <v>8.8000000000000007</v>
      </c>
      <c r="CP43" s="121">
        <f t="shared" si="32"/>
        <v>0</v>
      </c>
      <c r="CQ43" s="65"/>
      <c r="CR43" s="118">
        <v>0</v>
      </c>
      <c r="CS43" s="119">
        <v>22</v>
      </c>
      <c r="CT43" s="120">
        <v>8.8000000000000007</v>
      </c>
      <c r="CU43" s="121">
        <f t="shared" si="33"/>
        <v>0</v>
      </c>
      <c r="CV43" s="118">
        <v>0</v>
      </c>
      <c r="CW43" s="119">
        <v>22</v>
      </c>
      <c r="CX43" s="120">
        <v>8.8000000000000007</v>
      </c>
      <c r="CY43" s="121">
        <f t="shared" si="34"/>
        <v>0</v>
      </c>
      <c r="CZ43" s="118">
        <v>0</v>
      </c>
      <c r="DA43" s="119">
        <v>22</v>
      </c>
      <c r="DB43" s="120">
        <v>8.8000000000000007</v>
      </c>
      <c r="DC43" s="121">
        <f t="shared" si="35"/>
        <v>0</v>
      </c>
      <c r="DD43" s="65"/>
      <c r="DE43" s="118">
        <v>0</v>
      </c>
      <c r="DF43" s="119">
        <v>22</v>
      </c>
      <c r="DG43" s="120">
        <v>8.8000000000000007</v>
      </c>
      <c r="DH43" s="121">
        <f t="shared" si="36"/>
        <v>0</v>
      </c>
      <c r="DI43" s="118">
        <v>0</v>
      </c>
      <c r="DJ43" s="119">
        <v>22</v>
      </c>
      <c r="DK43" s="120">
        <v>8.8000000000000007</v>
      </c>
      <c r="DL43" s="121">
        <f t="shared" si="37"/>
        <v>0</v>
      </c>
      <c r="DM43" s="118">
        <v>0</v>
      </c>
      <c r="DN43" s="119">
        <v>22</v>
      </c>
      <c r="DO43" s="120">
        <v>8.8000000000000007</v>
      </c>
      <c r="DP43" s="121">
        <f t="shared" si="38"/>
        <v>0</v>
      </c>
      <c r="DQ43" s="65"/>
      <c r="DR43" s="118">
        <v>0</v>
      </c>
      <c r="DS43" s="119">
        <v>22</v>
      </c>
      <c r="DT43" s="120">
        <v>8.8000000000000007</v>
      </c>
      <c r="DU43" s="121">
        <f t="shared" si="39"/>
        <v>0</v>
      </c>
      <c r="DV43" s="118">
        <v>0</v>
      </c>
      <c r="DW43" s="119">
        <v>22</v>
      </c>
      <c r="DX43" s="120">
        <v>8.8000000000000007</v>
      </c>
      <c r="DY43" s="121">
        <f t="shared" si="40"/>
        <v>0</v>
      </c>
      <c r="DZ43" s="118">
        <v>0</v>
      </c>
      <c r="EA43" s="119">
        <v>22</v>
      </c>
      <c r="EB43" s="120">
        <v>8.8000000000000007</v>
      </c>
      <c r="EC43" s="121">
        <f t="shared" si="41"/>
        <v>0</v>
      </c>
      <c r="ED43" s="65"/>
      <c r="EE43" s="118">
        <v>0</v>
      </c>
      <c r="EF43" s="119">
        <v>22</v>
      </c>
      <c r="EG43" s="120">
        <v>8.8000000000000007</v>
      </c>
      <c r="EH43" s="121">
        <f t="shared" si="42"/>
        <v>0</v>
      </c>
      <c r="EI43" s="118">
        <v>0</v>
      </c>
      <c r="EJ43" s="119">
        <v>22</v>
      </c>
      <c r="EK43" s="120">
        <v>8.8000000000000007</v>
      </c>
      <c r="EL43" s="121">
        <f t="shared" si="43"/>
        <v>0</v>
      </c>
      <c r="EM43" s="118">
        <v>0</v>
      </c>
      <c r="EN43" s="119">
        <v>22</v>
      </c>
      <c r="EO43" s="120">
        <v>8.8000000000000007</v>
      </c>
      <c r="EP43" s="121">
        <f t="shared" si="44"/>
        <v>0</v>
      </c>
      <c r="EQ43" s="118">
        <v>0</v>
      </c>
      <c r="ER43" s="119">
        <v>22</v>
      </c>
      <c r="ES43" s="120">
        <v>8.8000000000000007</v>
      </c>
      <c r="ET43" s="121">
        <f t="shared" si="45"/>
        <v>0</v>
      </c>
      <c r="EU43" s="118">
        <v>0</v>
      </c>
      <c r="EV43" s="119">
        <v>22</v>
      </c>
      <c r="EW43" s="120">
        <v>8.8000000000000007</v>
      </c>
      <c r="EX43" s="121">
        <f t="shared" si="46"/>
        <v>0</v>
      </c>
      <c r="EY43" s="65"/>
      <c r="EZ43" s="78"/>
      <c r="FA43" s="78"/>
      <c r="FB43" s="78"/>
      <c r="FC43" s="78"/>
      <c r="FD43" s="78"/>
      <c r="FE43" s="78"/>
      <c r="FF43" s="78"/>
      <c r="FG43" s="78"/>
      <c r="FH43" s="78"/>
      <c r="FI43" s="78"/>
      <c r="FJ43" s="78"/>
      <c r="FK43" s="78"/>
      <c r="FL43" s="65"/>
      <c r="FM43" s="69"/>
      <c r="FN43" s="65"/>
      <c r="FO43" s="65"/>
    </row>
    <row r="44" spans="1:171" ht="12" customHeight="1">
      <c r="A44" s="65"/>
      <c r="B44" s="105" t="str">
        <f>IFERROR(VLOOKUP(AE44,'Tabela ICMS'!$C$5:$D$32,2,0),"")</f>
        <v/>
      </c>
      <c r="C44" s="105">
        <f>IFERROR(HLOOKUP(Dashboard!$F$9,'Tabela ICMS'!$E$3:$AF$4,2,0),"")</f>
        <v>25</v>
      </c>
      <c r="D44" s="65"/>
      <c r="E44" s="106">
        <v>12</v>
      </c>
      <c r="F44" s="77" t="s">
        <v>300</v>
      </c>
      <c r="G44" s="78" t="s">
        <v>288</v>
      </c>
      <c r="H44" s="107">
        <f>HISTOGRAMA!C20</f>
        <v>0</v>
      </c>
      <c r="I44" s="65"/>
      <c r="J44" s="65"/>
      <c r="K44" s="108">
        <f t="shared" si="4"/>
        <v>0</v>
      </c>
      <c r="L44" s="79">
        <f t="shared" si="5"/>
        <v>0</v>
      </c>
      <c r="M44" s="80">
        <f t="shared" si="183"/>
        <v>0</v>
      </c>
      <c r="N44" s="78" t="s">
        <v>176</v>
      </c>
      <c r="O44" s="80">
        <f t="shared" si="184"/>
        <v>0</v>
      </c>
      <c r="P44" s="65"/>
      <c r="Q44" s="65"/>
      <c r="R44" s="109">
        <f t="shared" si="185"/>
        <v>0</v>
      </c>
      <c r="S44" s="84">
        <f t="shared" si="186"/>
        <v>0</v>
      </c>
      <c r="T44" s="109">
        <f>R44*(1+Dashboard!$D$35)</f>
        <v>0</v>
      </c>
      <c r="U44" s="84">
        <f t="shared" si="187"/>
        <v>0</v>
      </c>
      <c r="V44" s="65"/>
      <c r="W44" s="65"/>
      <c r="X44" s="108">
        <f t="shared" si="10"/>
        <v>0</v>
      </c>
      <c r="Y44" s="122"/>
      <c r="Z44" s="112"/>
      <c r="AA44" s="112" t="s">
        <v>289</v>
      </c>
      <c r="AB44" s="81">
        <f t="shared" si="11"/>
        <v>0</v>
      </c>
      <c r="AC44" s="84">
        <f t="shared" si="12"/>
        <v>0</v>
      </c>
      <c r="AD44" s="65"/>
      <c r="AE44" s="113"/>
      <c r="AF44" s="114" cm="1">
        <f t="array" ref="AF44">IFERROR(INDEX('Tabela ICMS'!$E$5:$AF$32,Tarefas!B44,Tarefas!C44),0)</f>
        <v>0</v>
      </c>
      <c r="AG44" s="115">
        <f>IF(AA44="FD",(Dashboard!$D$43+Dashboard!$D$44),(Dashboard!$D$30+Dashboard!$D$31))</f>
        <v>3.6499999999999998E-2</v>
      </c>
      <c r="AH44" s="115">
        <f>IF(AA44="FD",(Dashboard!$D$46),(Dashboard!$D$33))</f>
        <v>0</v>
      </c>
      <c r="AI44" s="115">
        <f>IF(AA44="FD",(Dashboard!$D$45),(Dashboard!$D$32))</f>
        <v>0.05</v>
      </c>
      <c r="AJ44" s="116"/>
      <c r="AK44" s="116"/>
      <c r="AL44" s="65"/>
      <c r="AM44" s="81">
        <f>IF(AA44="FD",AB44*(1+Dashboard!$D$48),AB44*(1+Dashboard!$D$35))</f>
        <v>0</v>
      </c>
      <c r="AN44" s="84">
        <f t="shared" si="13"/>
        <v>0</v>
      </c>
      <c r="AO44" s="65"/>
      <c r="AP44" s="65"/>
      <c r="AQ44" s="81">
        <f t="shared" si="14"/>
        <v>0</v>
      </c>
      <c r="AR44" s="81">
        <f t="shared" si="15"/>
        <v>0</v>
      </c>
      <c r="AS44" s="117">
        <f t="shared" si="16"/>
        <v>0</v>
      </c>
      <c r="AT44" s="84">
        <f t="shared" si="17"/>
        <v>0</v>
      </c>
      <c r="AU44" s="114">
        <f t="shared" si="18"/>
        <v>0</v>
      </c>
      <c r="AV44" s="65"/>
      <c r="AW44" s="69"/>
      <c r="AX44" s="65"/>
      <c r="AY44" s="65"/>
      <c r="AZ44" s="93">
        <f t="shared" si="19"/>
        <v>0</v>
      </c>
      <c r="BA44" s="94">
        <f>(Dashboard!$D$30+Dashboard!$D$31)*U44</f>
        <v>0</v>
      </c>
      <c r="BB44" s="94">
        <f>Dashboard!$D$33*U44</f>
        <v>0</v>
      </c>
      <c r="BC44" s="94">
        <f>Dashboard!$D$32*U44</f>
        <v>0</v>
      </c>
      <c r="BD44" s="65"/>
      <c r="BE44" s="93">
        <f t="shared" si="20"/>
        <v>0</v>
      </c>
      <c r="BF44" s="94">
        <f t="shared" si="21"/>
        <v>0</v>
      </c>
      <c r="BG44" s="94">
        <f t="shared" si="22"/>
        <v>0</v>
      </c>
      <c r="BH44" s="94">
        <f t="shared" si="23"/>
        <v>0</v>
      </c>
      <c r="BI44" s="94">
        <f t="shared" si="24"/>
        <v>0</v>
      </c>
      <c r="BJ44" s="94">
        <f t="shared" si="25"/>
        <v>0</v>
      </c>
      <c r="BK44" s="94">
        <f t="shared" si="26"/>
        <v>0</v>
      </c>
      <c r="BL44" s="65"/>
      <c r="BM44" s="69"/>
      <c r="BN44" s="65"/>
      <c r="BO44" s="65"/>
      <c r="BP44" s="65"/>
      <c r="BQ44" s="118">
        <v>0</v>
      </c>
      <c r="BR44" s="119">
        <v>22</v>
      </c>
      <c r="BS44" s="120">
        <v>8.8000000000000007</v>
      </c>
      <c r="BT44" s="121">
        <f t="shared" si="27"/>
        <v>0</v>
      </c>
      <c r="BU44" s="118">
        <v>0</v>
      </c>
      <c r="BV44" s="119">
        <v>22</v>
      </c>
      <c r="BW44" s="120">
        <v>8.8000000000000007</v>
      </c>
      <c r="BX44" s="121">
        <f t="shared" si="48"/>
        <v>0</v>
      </c>
      <c r="BY44" s="65"/>
      <c r="BZ44" s="118">
        <v>0</v>
      </c>
      <c r="CA44" s="119">
        <v>22</v>
      </c>
      <c r="CB44" s="120">
        <v>8.8000000000000007</v>
      </c>
      <c r="CC44" s="121">
        <f t="shared" si="29"/>
        <v>0</v>
      </c>
      <c r="CD44" s="65"/>
      <c r="CE44" s="118">
        <v>0</v>
      </c>
      <c r="CF44" s="119">
        <v>22</v>
      </c>
      <c r="CG44" s="120">
        <v>8.8000000000000007</v>
      </c>
      <c r="CH44" s="121">
        <f t="shared" si="30"/>
        <v>0</v>
      </c>
      <c r="CI44" s="118">
        <v>0</v>
      </c>
      <c r="CJ44" s="119">
        <v>22</v>
      </c>
      <c r="CK44" s="120">
        <v>8.8000000000000007</v>
      </c>
      <c r="CL44" s="121">
        <f t="shared" si="31"/>
        <v>0</v>
      </c>
      <c r="CM44" s="118">
        <v>0</v>
      </c>
      <c r="CN44" s="119">
        <v>22</v>
      </c>
      <c r="CO44" s="120">
        <v>8.8000000000000007</v>
      </c>
      <c r="CP44" s="121">
        <f t="shared" si="32"/>
        <v>0</v>
      </c>
      <c r="CQ44" s="65"/>
      <c r="CR44" s="118">
        <v>0</v>
      </c>
      <c r="CS44" s="119">
        <v>22</v>
      </c>
      <c r="CT44" s="120">
        <v>8.8000000000000007</v>
      </c>
      <c r="CU44" s="121">
        <f t="shared" si="33"/>
        <v>0</v>
      </c>
      <c r="CV44" s="118">
        <v>0</v>
      </c>
      <c r="CW44" s="119">
        <v>22</v>
      </c>
      <c r="CX44" s="120">
        <v>8.8000000000000007</v>
      </c>
      <c r="CY44" s="121">
        <f t="shared" si="34"/>
        <v>0</v>
      </c>
      <c r="CZ44" s="118">
        <v>0</v>
      </c>
      <c r="DA44" s="119">
        <v>22</v>
      </c>
      <c r="DB44" s="120">
        <v>8.8000000000000007</v>
      </c>
      <c r="DC44" s="121">
        <f t="shared" si="35"/>
        <v>0</v>
      </c>
      <c r="DD44" s="65"/>
      <c r="DE44" s="118">
        <v>0</v>
      </c>
      <c r="DF44" s="119">
        <v>22</v>
      </c>
      <c r="DG44" s="120">
        <v>8.8000000000000007</v>
      </c>
      <c r="DH44" s="121">
        <f t="shared" si="36"/>
        <v>0</v>
      </c>
      <c r="DI44" s="118">
        <v>0</v>
      </c>
      <c r="DJ44" s="119">
        <v>22</v>
      </c>
      <c r="DK44" s="120">
        <v>8.8000000000000007</v>
      </c>
      <c r="DL44" s="121">
        <f t="shared" si="37"/>
        <v>0</v>
      </c>
      <c r="DM44" s="118">
        <v>0</v>
      </c>
      <c r="DN44" s="119">
        <v>22</v>
      </c>
      <c r="DO44" s="120">
        <v>8.8000000000000007</v>
      </c>
      <c r="DP44" s="121">
        <f t="shared" si="38"/>
        <v>0</v>
      </c>
      <c r="DQ44" s="65"/>
      <c r="DR44" s="118">
        <v>0</v>
      </c>
      <c r="DS44" s="119">
        <v>22</v>
      </c>
      <c r="DT44" s="120">
        <v>8.8000000000000007</v>
      </c>
      <c r="DU44" s="121">
        <f t="shared" si="39"/>
        <v>0</v>
      </c>
      <c r="DV44" s="118">
        <v>0</v>
      </c>
      <c r="DW44" s="119">
        <v>22</v>
      </c>
      <c r="DX44" s="120">
        <v>8.8000000000000007</v>
      </c>
      <c r="DY44" s="121">
        <f t="shared" si="40"/>
        <v>0</v>
      </c>
      <c r="DZ44" s="118">
        <v>0</v>
      </c>
      <c r="EA44" s="119">
        <v>22</v>
      </c>
      <c r="EB44" s="120">
        <v>8.8000000000000007</v>
      </c>
      <c r="EC44" s="121">
        <f t="shared" si="41"/>
        <v>0</v>
      </c>
      <c r="ED44" s="65"/>
      <c r="EE44" s="118">
        <v>0</v>
      </c>
      <c r="EF44" s="119">
        <v>22</v>
      </c>
      <c r="EG44" s="120">
        <v>8.8000000000000007</v>
      </c>
      <c r="EH44" s="121">
        <f t="shared" si="42"/>
        <v>0</v>
      </c>
      <c r="EI44" s="118">
        <v>0</v>
      </c>
      <c r="EJ44" s="119">
        <v>22</v>
      </c>
      <c r="EK44" s="120">
        <v>8.8000000000000007</v>
      </c>
      <c r="EL44" s="121">
        <f t="shared" si="43"/>
        <v>0</v>
      </c>
      <c r="EM44" s="118">
        <v>0</v>
      </c>
      <c r="EN44" s="119">
        <v>22</v>
      </c>
      <c r="EO44" s="120">
        <v>8.8000000000000007</v>
      </c>
      <c r="EP44" s="121">
        <f t="shared" si="44"/>
        <v>0</v>
      </c>
      <c r="EQ44" s="118">
        <v>0</v>
      </c>
      <c r="ER44" s="119">
        <v>22</v>
      </c>
      <c r="ES44" s="120">
        <v>8.8000000000000007</v>
      </c>
      <c r="ET44" s="121">
        <f t="shared" si="45"/>
        <v>0</v>
      </c>
      <c r="EU44" s="118">
        <v>0</v>
      </c>
      <c r="EV44" s="119">
        <v>22</v>
      </c>
      <c r="EW44" s="120">
        <v>8.8000000000000007</v>
      </c>
      <c r="EX44" s="121">
        <f t="shared" si="46"/>
        <v>0</v>
      </c>
      <c r="EY44" s="65"/>
      <c r="EZ44" s="78"/>
      <c r="FA44" s="78"/>
      <c r="FB44" s="78"/>
      <c r="FC44" s="78"/>
      <c r="FD44" s="78"/>
      <c r="FE44" s="78"/>
      <c r="FF44" s="78"/>
      <c r="FG44" s="78"/>
      <c r="FH44" s="78"/>
      <c r="FI44" s="78"/>
      <c r="FJ44" s="78"/>
      <c r="FK44" s="78"/>
      <c r="FL44" s="65"/>
      <c r="FM44" s="69"/>
      <c r="FN44" s="65"/>
      <c r="FO44" s="65"/>
    </row>
    <row r="45" spans="1:171" ht="12" customHeight="1">
      <c r="A45" s="65"/>
      <c r="B45" s="105" t="str">
        <f>IFERROR(VLOOKUP(AE45,'Tabela ICMS'!$C$5:$D$32,2,0),"")</f>
        <v/>
      </c>
      <c r="C45" s="105">
        <f>IFERROR(HLOOKUP(Dashboard!$F$9,'Tabela ICMS'!$E$3:$AF$4,2,0),"")</f>
        <v>25</v>
      </c>
      <c r="D45" s="65"/>
      <c r="E45" s="106">
        <v>13</v>
      </c>
      <c r="F45" s="77" t="s">
        <v>300</v>
      </c>
      <c r="G45" s="78" t="s">
        <v>288</v>
      </c>
      <c r="H45" s="107">
        <f>HISTOGRAMA!C21</f>
        <v>0</v>
      </c>
      <c r="I45" s="65"/>
      <c r="J45" s="65"/>
      <c r="K45" s="108">
        <f t="shared" si="4"/>
        <v>0</v>
      </c>
      <c r="L45" s="79">
        <f t="shared" si="5"/>
        <v>0</v>
      </c>
      <c r="M45" s="80">
        <f t="shared" si="183"/>
        <v>0</v>
      </c>
      <c r="N45" s="78" t="s">
        <v>177</v>
      </c>
      <c r="O45" s="80">
        <f t="shared" si="184"/>
        <v>0</v>
      </c>
      <c r="P45" s="65"/>
      <c r="Q45" s="65"/>
      <c r="R45" s="109">
        <f t="shared" si="185"/>
        <v>0</v>
      </c>
      <c r="S45" s="84">
        <f t="shared" si="186"/>
        <v>0</v>
      </c>
      <c r="T45" s="109">
        <f>R45*(1+Dashboard!$D$35)</f>
        <v>0</v>
      </c>
      <c r="U45" s="84">
        <f t="shared" si="187"/>
        <v>0</v>
      </c>
      <c r="V45" s="65"/>
      <c r="W45" s="65"/>
      <c r="X45" s="108">
        <f t="shared" si="10"/>
        <v>0</v>
      </c>
      <c r="Y45" s="122"/>
      <c r="Z45" s="112"/>
      <c r="AA45" s="112" t="s">
        <v>289</v>
      </c>
      <c r="AB45" s="81">
        <f t="shared" si="11"/>
        <v>0</v>
      </c>
      <c r="AC45" s="84">
        <f t="shared" si="12"/>
        <v>0</v>
      </c>
      <c r="AD45" s="65"/>
      <c r="AE45" s="113"/>
      <c r="AF45" s="114" cm="1">
        <f t="array" ref="AF45">IFERROR(INDEX('Tabela ICMS'!$E$5:$AF$32,Tarefas!B45,Tarefas!C45),0)</f>
        <v>0</v>
      </c>
      <c r="AG45" s="115">
        <f>IF(AA45="FD",(Dashboard!$D$43+Dashboard!$D$44),(Dashboard!$D$30+Dashboard!$D$31))</f>
        <v>3.6499999999999998E-2</v>
      </c>
      <c r="AH45" s="115">
        <f>IF(AA45="FD",(Dashboard!$D$46),(Dashboard!$D$33))</f>
        <v>0</v>
      </c>
      <c r="AI45" s="115">
        <f>IF(AA45="FD",(Dashboard!$D$45),(Dashboard!$D$32))</f>
        <v>0.05</v>
      </c>
      <c r="AJ45" s="116"/>
      <c r="AK45" s="116"/>
      <c r="AL45" s="65"/>
      <c r="AM45" s="81">
        <f>IF(AA45="FD",AB45*(1+Dashboard!$D$48),AB45*(1+Dashboard!$D$35))</f>
        <v>0</v>
      </c>
      <c r="AN45" s="84">
        <f t="shared" si="13"/>
        <v>0</v>
      </c>
      <c r="AO45" s="65"/>
      <c r="AP45" s="65"/>
      <c r="AQ45" s="81">
        <f t="shared" si="14"/>
        <v>0</v>
      </c>
      <c r="AR45" s="81">
        <f t="shared" si="15"/>
        <v>0</v>
      </c>
      <c r="AS45" s="117">
        <f t="shared" si="16"/>
        <v>0</v>
      </c>
      <c r="AT45" s="84">
        <f t="shared" si="17"/>
        <v>0</v>
      </c>
      <c r="AU45" s="114">
        <f t="shared" si="18"/>
        <v>0</v>
      </c>
      <c r="AV45" s="65"/>
      <c r="AW45" s="69"/>
      <c r="AX45" s="65"/>
      <c r="AY45" s="65"/>
      <c r="AZ45" s="93">
        <f t="shared" si="19"/>
        <v>0</v>
      </c>
      <c r="BA45" s="94">
        <f>(Dashboard!$D$30+Dashboard!$D$31)*U45</f>
        <v>0</v>
      </c>
      <c r="BB45" s="94">
        <f>Dashboard!$D$33*U45</f>
        <v>0</v>
      </c>
      <c r="BC45" s="94">
        <f>Dashboard!$D$32*U45</f>
        <v>0</v>
      </c>
      <c r="BD45" s="65"/>
      <c r="BE45" s="93">
        <f t="shared" si="20"/>
        <v>0</v>
      </c>
      <c r="BF45" s="94">
        <f t="shared" si="21"/>
        <v>0</v>
      </c>
      <c r="BG45" s="94">
        <f t="shared" si="22"/>
        <v>0</v>
      </c>
      <c r="BH45" s="94">
        <f t="shared" si="23"/>
        <v>0</v>
      </c>
      <c r="BI45" s="94">
        <f t="shared" si="24"/>
        <v>0</v>
      </c>
      <c r="BJ45" s="94">
        <f t="shared" si="25"/>
        <v>0</v>
      </c>
      <c r="BK45" s="94">
        <f t="shared" si="26"/>
        <v>0</v>
      </c>
      <c r="BL45" s="65"/>
      <c r="BM45" s="69"/>
      <c r="BN45" s="65"/>
      <c r="BO45" s="65"/>
      <c r="BP45" s="65"/>
      <c r="BQ45" s="118">
        <v>0</v>
      </c>
      <c r="BR45" s="119">
        <v>22</v>
      </c>
      <c r="BS45" s="120">
        <v>8.8000000000000007</v>
      </c>
      <c r="BT45" s="121">
        <f t="shared" si="27"/>
        <v>0</v>
      </c>
      <c r="BU45" s="118">
        <v>0</v>
      </c>
      <c r="BV45" s="119">
        <v>22</v>
      </c>
      <c r="BW45" s="120">
        <v>8.8000000000000007</v>
      </c>
      <c r="BX45" s="121">
        <f t="shared" si="48"/>
        <v>0</v>
      </c>
      <c r="BY45" s="65"/>
      <c r="BZ45" s="118">
        <v>0</v>
      </c>
      <c r="CA45" s="119">
        <v>22</v>
      </c>
      <c r="CB45" s="120">
        <v>8.8000000000000007</v>
      </c>
      <c r="CC45" s="121">
        <f t="shared" si="29"/>
        <v>0</v>
      </c>
      <c r="CD45" s="65"/>
      <c r="CE45" s="118">
        <v>0</v>
      </c>
      <c r="CF45" s="119">
        <v>22</v>
      </c>
      <c r="CG45" s="120">
        <v>8.8000000000000007</v>
      </c>
      <c r="CH45" s="121">
        <f t="shared" si="30"/>
        <v>0</v>
      </c>
      <c r="CI45" s="118">
        <v>0</v>
      </c>
      <c r="CJ45" s="119">
        <v>22</v>
      </c>
      <c r="CK45" s="120">
        <v>8.8000000000000007</v>
      </c>
      <c r="CL45" s="121">
        <f t="shared" si="31"/>
        <v>0</v>
      </c>
      <c r="CM45" s="118">
        <v>0</v>
      </c>
      <c r="CN45" s="119">
        <v>22</v>
      </c>
      <c r="CO45" s="120">
        <v>8.8000000000000007</v>
      </c>
      <c r="CP45" s="121">
        <f t="shared" si="32"/>
        <v>0</v>
      </c>
      <c r="CQ45" s="65"/>
      <c r="CR45" s="118">
        <v>0</v>
      </c>
      <c r="CS45" s="119">
        <v>22</v>
      </c>
      <c r="CT45" s="120">
        <v>8.8000000000000007</v>
      </c>
      <c r="CU45" s="121">
        <f t="shared" si="33"/>
        <v>0</v>
      </c>
      <c r="CV45" s="118">
        <v>0</v>
      </c>
      <c r="CW45" s="119">
        <v>22</v>
      </c>
      <c r="CX45" s="120">
        <v>8.8000000000000007</v>
      </c>
      <c r="CY45" s="121">
        <f t="shared" si="34"/>
        <v>0</v>
      </c>
      <c r="CZ45" s="118">
        <v>0</v>
      </c>
      <c r="DA45" s="119">
        <v>22</v>
      </c>
      <c r="DB45" s="120">
        <v>8.8000000000000007</v>
      </c>
      <c r="DC45" s="121">
        <f t="shared" si="35"/>
        <v>0</v>
      </c>
      <c r="DD45" s="65"/>
      <c r="DE45" s="118">
        <v>0</v>
      </c>
      <c r="DF45" s="119">
        <v>22</v>
      </c>
      <c r="DG45" s="120">
        <v>8.8000000000000007</v>
      </c>
      <c r="DH45" s="121">
        <f t="shared" si="36"/>
        <v>0</v>
      </c>
      <c r="DI45" s="118">
        <v>0</v>
      </c>
      <c r="DJ45" s="119">
        <v>22</v>
      </c>
      <c r="DK45" s="120">
        <v>8.8000000000000007</v>
      </c>
      <c r="DL45" s="121">
        <f t="shared" si="37"/>
        <v>0</v>
      </c>
      <c r="DM45" s="118">
        <v>0</v>
      </c>
      <c r="DN45" s="119">
        <v>22</v>
      </c>
      <c r="DO45" s="120">
        <v>8.8000000000000007</v>
      </c>
      <c r="DP45" s="121">
        <f t="shared" si="38"/>
        <v>0</v>
      </c>
      <c r="DQ45" s="65"/>
      <c r="DR45" s="118">
        <v>0</v>
      </c>
      <c r="DS45" s="119">
        <v>22</v>
      </c>
      <c r="DT45" s="120">
        <v>8.8000000000000007</v>
      </c>
      <c r="DU45" s="121">
        <f t="shared" si="39"/>
        <v>0</v>
      </c>
      <c r="DV45" s="118">
        <v>0</v>
      </c>
      <c r="DW45" s="119">
        <v>22</v>
      </c>
      <c r="DX45" s="120">
        <v>8.8000000000000007</v>
      </c>
      <c r="DY45" s="121">
        <f t="shared" si="40"/>
        <v>0</v>
      </c>
      <c r="DZ45" s="118">
        <v>0</v>
      </c>
      <c r="EA45" s="119">
        <v>22</v>
      </c>
      <c r="EB45" s="120">
        <v>8.8000000000000007</v>
      </c>
      <c r="EC45" s="121">
        <f t="shared" si="41"/>
        <v>0</v>
      </c>
      <c r="ED45" s="65"/>
      <c r="EE45" s="118">
        <v>0</v>
      </c>
      <c r="EF45" s="119">
        <v>22</v>
      </c>
      <c r="EG45" s="120">
        <v>8.8000000000000007</v>
      </c>
      <c r="EH45" s="121">
        <f t="shared" si="42"/>
        <v>0</v>
      </c>
      <c r="EI45" s="118">
        <v>0</v>
      </c>
      <c r="EJ45" s="119">
        <v>22</v>
      </c>
      <c r="EK45" s="120">
        <v>8.8000000000000007</v>
      </c>
      <c r="EL45" s="121">
        <f t="shared" si="43"/>
        <v>0</v>
      </c>
      <c r="EM45" s="118">
        <v>0</v>
      </c>
      <c r="EN45" s="119">
        <v>22</v>
      </c>
      <c r="EO45" s="120">
        <v>8.8000000000000007</v>
      </c>
      <c r="EP45" s="121">
        <f t="shared" si="44"/>
        <v>0</v>
      </c>
      <c r="EQ45" s="118">
        <v>0</v>
      </c>
      <c r="ER45" s="119">
        <v>22</v>
      </c>
      <c r="ES45" s="120">
        <v>8.8000000000000007</v>
      </c>
      <c r="ET45" s="121">
        <f t="shared" si="45"/>
        <v>0</v>
      </c>
      <c r="EU45" s="118">
        <v>0</v>
      </c>
      <c r="EV45" s="119">
        <v>22</v>
      </c>
      <c r="EW45" s="120">
        <v>8.8000000000000007</v>
      </c>
      <c r="EX45" s="121">
        <f t="shared" si="46"/>
        <v>0</v>
      </c>
      <c r="EY45" s="65"/>
      <c r="EZ45" s="78"/>
      <c r="FA45" s="78"/>
      <c r="FB45" s="78"/>
      <c r="FC45" s="78"/>
      <c r="FD45" s="78"/>
      <c r="FE45" s="78"/>
      <c r="FF45" s="78"/>
      <c r="FG45" s="78"/>
      <c r="FH45" s="78"/>
      <c r="FI45" s="78"/>
      <c r="FJ45" s="78"/>
      <c r="FK45" s="78"/>
      <c r="FL45" s="65"/>
      <c r="FM45" s="69"/>
      <c r="FN45" s="65"/>
      <c r="FO45" s="65"/>
    </row>
    <row r="46" spans="1:171" ht="12" customHeight="1">
      <c r="A46" s="65"/>
      <c r="B46" s="105" t="str">
        <f>IFERROR(VLOOKUP(AE46,'Tabela ICMS'!$C$5:$D$32,2,0),"")</f>
        <v/>
      </c>
      <c r="C46" s="105">
        <f>IFERROR(HLOOKUP(Dashboard!$F$9,'Tabela ICMS'!$E$3:$AF$4,2,0),"")</f>
        <v>25</v>
      </c>
      <c r="D46" s="65"/>
      <c r="E46" s="106">
        <v>14</v>
      </c>
      <c r="F46" s="77" t="s">
        <v>300</v>
      </c>
      <c r="G46" s="78" t="s">
        <v>288</v>
      </c>
      <c r="H46" s="107">
        <f>HISTOGRAMA!C22</f>
        <v>0</v>
      </c>
      <c r="I46" s="65"/>
      <c r="J46" s="65"/>
      <c r="K46" s="108">
        <f t="shared" si="4"/>
        <v>0</v>
      </c>
      <c r="L46" s="79">
        <f t="shared" si="5"/>
        <v>0</v>
      </c>
      <c r="M46" s="80">
        <f t="shared" si="183"/>
        <v>0</v>
      </c>
      <c r="N46" s="78" t="s">
        <v>178</v>
      </c>
      <c r="O46" s="80">
        <f t="shared" si="184"/>
        <v>0</v>
      </c>
      <c r="P46" s="65"/>
      <c r="Q46" s="65"/>
      <c r="R46" s="109">
        <f t="shared" si="185"/>
        <v>0</v>
      </c>
      <c r="S46" s="84">
        <f t="shared" si="186"/>
        <v>0</v>
      </c>
      <c r="T46" s="109">
        <f>R46*(1+Dashboard!$D$35)</f>
        <v>0</v>
      </c>
      <c r="U46" s="84">
        <f t="shared" si="187"/>
        <v>0</v>
      </c>
      <c r="V46" s="65"/>
      <c r="W46" s="65"/>
      <c r="X46" s="108">
        <f t="shared" si="10"/>
        <v>0</v>
      </c>
      <c r="Y46" s="122"/>
      <c r="Z46" s="112"/>
      <c r="AA46" s="112" t="s">
        <v>289</v>
      </c>
      <c r="AB46" s="81">
        <f t="shared" si="11"/>
        <v>0</v>
      </c>
      <c r="AC46" s="84">
        <f t="shared" si="12"/>
        <v>0</v>
      </c>
      <c r="AD46" s="65"/>
      <c r="AE46" s="113"/>
      <c r="AF46" s="114" cm="1">
        <f t="array" ref="AF46">IFERROR(INDEX('Tabela ICMS'!$E$5:$AF$32,Tarefas!B46,Tarefas!C46),0)</f>
        <v>0</v>
      </c>
      <c r="AG46" s="115">
        <f>IF(AA46="FD",(Dashboard!$D$43+Dashboard!$D$44),(Dashboard!$D$30+Dashboard!$D$31))</f>
        <v>3.6499999999999998E-2</v>
      </c>
      <c r="AH46" s="115">
        <f>IF(AA46="FD",(Dashboard!$D$46),(Dashboard!$D$33))</f>
        <v>0</v>
      </c>
      <c r="AI46" s="115">
        <f>IF(AA46="FD",(Dashboard!$D$45),(Dashboard!$D$32))</f>
        <v>0.05</v>
      </c>
      <c r="AJ46" s="116"/>
      <c r="AK46" s="116"/>
      <c r="AL46" s="65"/>
      <c r="AM46" s="81">
        <f>IF(AA46="FD",AB46*(1+Dashboard!$D$48),AB46*(1+Dashboard!$D$35))</f>
        <v>0</v>
      </c>
      <c r="AN46" s="84">
        <f t="shared" si="13"/>
        <v>0</v>
      </c>
      <c r="AO46" s="65"/>
      <c r="AP46" s="65"/>
      <c r="AQ46" s="81">
        <f t="shared" si="14"/>
        <v>0</v>
      </c>
      <c r="AR46" s="81">
        <f t="shared" si="15"/>
        <v>0</v>
      </c>
      <c r="AS46" s="117">
        <f t="shared" si="16"/>
        <v>0</v>
      </c>
      <c r="AT46" s="84">
        <f t="shared" si="17"/>
        <v>0</v>
      </c>
      <c r="AU46" s="114">
        <f t="shared" si="18"/>
        <v>0</v>
      </c>
      <c r="AV46" s="65"/>
      <c r="AW46" s="69"/>
      <c r="AX46" s="65"/>
      <c r="AY46" s="65"/>
      <c r="AZ46" s="93">
        <f t="shared" si="19"/>
        <v>0</v>
      </c>
      <c r="BA46" s="94">
        <f>(Dashboard!$D$30+Dashboard!$D$31)*U46</f>
        <v>0</v>
      </c>
      <c r="BB46" s="94">
        <f>Dashboard!$D$33*U46</f>
        <v>0</v>
      </c>
      <c r="BC46" s="94">
        <f>Dashboard!$D$32*U46</f>
        <v>0</v>
      </c>
      <c r="BD46" s="65"/>
      <c r="BE46" s="93">
        <f t="shared" si="20"/>
        <v>0</v>
      </c>
      <c r="BF46" s="94">
        <f t="shared" si="21"/>
        <v>0</v>
      </c>
      <c r="BG46" s="94">
        <f t="shared" si="22"/>
        <v>0</v>
      </c>
      <c r="BH46" s="94">
        <f t="shared" si="23"/>
        <v>0</v>
      </c>
      <c r="BI46" s="94">
        <f t="shared" si="24"/>
        <v>0</v>
      </c>
      <c r="BJ46" s="94">
        <f t="shared" si="25"/>
        <v>0</v>
      </c>
      <c r="BK46" s="94">
        <f t="shared" si="26"/>
        <v>0</v>
      </c>
      <c r="BL46" s="65"/>
      <c r="BM46" s="69"/>
      <c r="BN46" s="65"/>
      <c r="BO46" s="65"/>
      <c r="BP46" s="65"/>
      <c r="BQ46" s="118">
        <v>0</v>
      </c>
      <c r="BR46" s="119">
        <v>22</v>
      </c>
      <c r="BS46" s="120">
        <v>8.8000000000000007</v>
      </c>
      <c r="BT46" s="121">
        <f t="shared" si="27"/>
        <v>0</v>
      </c>
      <c r="BU46" s="118">
        <v>0</v>
      </c>
      <c r="BV46" s="119">
        <v>22</v>
      </c>
      <c r="BW46" s="120">
        <v>8.8000000000000007</v>
      </c>
      <c r="BX46" s="121">
        <f t="shared" si="48"/>
        <v>0</v>
      </c>
      <c r="BY46" s="65"/>
      <c r="BZ46" s="118">
        <v>0</v>
      </c>
      <c r="CA46" s="119">
        <v>22</v>
      </c>
      <c r="CB46" s="120">
        <v>8.8000000000000007</v>
      </c>
      <c r="CC46" s="121">
        <f t="shared" si="29"/>
        <v>0</v>
      </c>
      <c r="CD46" s="65"/>
      <c r="CE46" s="118">
        <v>0</v>
      </c>
      <c r="CF46" s="119">
        <v>22</v>
      </c>
      <c r="CG46" s="120">
        <v>8.8000000000000007</v>
      </c>
      <c r="CH46" s="121">
        <f t="shared" si="30"/>
        <v>0</v>
      </c>
      <c r="CI46" s="118">
        <v>0</v>
      </c>
      <c r="CJ46" s="119">
        <v>22</v>
      </c>
      <c r="CK46" s="120">
        <v>8.8000000000000007</v>
      </c>
      <c r="CL46" s="121">
        <f t="shared" si="31"/>
        <v>0</v>
      </c>
      <c r="CM46" s="118">
        <v>0</v>
      </c>
      <c r="CN46" s="119">
        <v>22</v>
      </c>
      <c r="CO46" s="120">
        <v>8.8000000000000007</v>
      </c>
      <c r="CP46" s="121">
        <f t="shared" si="32"/>
        <v>0</v>
      </c>
      <c r="CQ46" s="65"/>
      <c r="CR46" s="118">
        <v>0</v>
      </c>
      <c r="CS46" s="119">
        <v>22</v>
      </c>
      <c r="CT46" s="120">
        <v>8.8000000000000007</v>
      </c>
      <c r="CU46" s="121">
        <f t="shared" si="33"/>
        <v>0</v>
      </c>
      <c r="CV46" s="118">
        <v>0</v>
      </c>
      <c r="CW46" s="119">
        <v>22</v>
      </c>
      <c r="CX46" s="120">
        <v>8.8000000000000007</v>
      </c>
      <c r="CY46" s="121">
        <f t="shared" si="34"/>
        <v>0</v>
      </c>
      <c r="CZ46" s="118">
        <v>0</v>
      </c>
      <c r="DA46" s="119">
        <v>22</v>
      </c>
      <c r="DB46" s="120">
        <v>8.8000000000000007</v>
      </c>
      <c r="DC46" s="121">
        <f t="shared" si="35"/>
        <v>0</v>
      </c>
      <c r="DD46" s="65"/>
      <c r="DE46" s="118">
        <v>0</v>
      </c>
      <c r="DF46" s="119">
        <v>22</v>
      </c>
      <c r="DG46" s="120">
        <v>8.8000000000000007</v>
      </c>
      <c r="DH46" s="121">
        <f t="shared" si="36"/>
        <v>0</v>
      </c>
      <c r="DI46" s="118">
        <v>0</v>
      </c>
      <c r="DJ46" s="119">
        <v>22</v>
      </c>
      <c r="DK46" s="120">
        <v>8.8000000000000007</v>
      </c>
      <c r="DL46" s="121">
        <f t="shared" si="37"/>
        <v>0</v>
      </c>
      <c r="DM46" s="118">
        <v>0</v>
      </c>
      <c r="DN46" s="119">
        <v>22</v>
      </c>
      <c r="DO46" s="120">
        <v>8.8000000000000007</v>
      </c>
      <c r="DP46" s="121">
        <f t="shared" si="38"/>
        <v>0</v>
      </c>
      <c r="DQ46" s="65"/>
      <c r="DR46" s="118">
        <v>0</v>
      </c>
      <c r="DS46" s="119">
        <v>22</v>
      </c>
      <c r="DT46" s="120">
        <v>8.8000000000000007</v>
      </c>
      <c r="DU46" s="121">
        <f t="shared" si="39"/>
        <v>0</v>
      </c>
      <c r="DV46" s="118">
        <v>0</v>
      </c>
      <c r="DW46" s="119">
        <v>22</v>
      </c>
      <c r="DX46" s="120">
        <v>8.8000000000000007</v>
      </c>
      <c r="DY46" s="121">
        <f t="shared" si="40"/>
        <v>0</v>
      </c>
      <c r="DZ46" s="118">
        <v>0</v>
      </c>
      <c r="EA46" s="119">
        <v>22</v>
      </c>
      <c r="EB46" s="120">
        <v>8.8000000000000007</v>
      </c>
      <c r="EC46" s="121">
        <f t="shared" si="41"/>
        <v>0</v>
      </c>
      <c r="ED46" s="65"/>
      <c r="EE46" s="118">
        <v>0</v>
      </c>
      <c r="EF46" s="119">
        <v>22</v>
      </c>
      <c r="EG46" s="120">
        <v>8.8000000000000007</v>
      </c>
      <c r="EH46" s="121">
        <f t="shared" si="42"/>
        <v>0</v>
      </c>
      <c r="EI46" s="118">
        <v>0</v>
      </c>
      <c r="EJ46" s="119">
        <v>22</v>
      </c>
      <c r="EK46" s="120">
        <v>8.8000000000000007</v>
      </c>
      <c r="EL46" s="121">
        <f t="shared" si="43"/>
        <v>0</v>
      </c>
      <c r="EM46" s="118">
        <v>0</v>
      </c>
      <c r="EN46" s="119">
        <v>22</v>
      </c>
      <c r="EO46" s="120">
        <v>8.8000000000000007</v>
      </c>
      <c r="EP46" s="121">
        <f t="shared" si="44"/>
        <v>0</v>
      </c>
      <c r="EQ46" s="118">
        <v>0</v>
      </c>
      <c r="ER46" s="119">
        <v>22</v>
      </c>
      <c r="ES46" s="120">
        <v>8.8000000000000007</v>
      </c>
      <c r="ET46" s="121">
        <f t="shared" si="45"/>
        <v>0</v>
      </c>
      <c r="EU46" s="118">
        <v>0</v>
      </c>
      <c r="EV46" s="119">
        <v>22</v>
      </c>
      <c r="EW46" s="120">
        <v>8.8000000000000007</v>
      </c>
      <c r="EX46" s="121">
        <f t="shared" si="46"/>
        <v>0</v>
      </c>
      <c r="EY46" s="65"/>
      <c r="EZ46" s="78"/>
      <c r="FA46" s="78"/>
      <c r="FB46" s="78"/>
      <c r="FC46" s="78"/>
      <c r="FD46" s="78"/>
      <c r="FE46" s="78"/>
      <c r="FF46" s="78"/>
      <c r="FG46" s="78"/>
      <c r="FH46" s="78"/>
      <c r="FI46" s="78"/>
      <c r="FJ46" s="78"/>
      <c r="FK46" s="78"/>
      <c r="FL46" s="65"/>
      <c r="FM46" s="69"/>
      <c r="FN46" s="65"/>
      <c r="FO46" s="65"/>
    </row>
    <row r="47" spans="1:171" ht="12" customHeight="1">
      <c r="A47" s="65"/>
      <c r="B47" s="105" t="str">
        <f>IFERROR(VLOOKUP(AE47,'Tabela ICMS'!$C$5:$D$32,2,0),"")</f>
        <v/>
      </c>
      <c r="C47" s="105">
        <f>IFERROR(HLOOKUP(Dashboard!$F$9,'Tabela ICMS'!$E$3:$AF$4,2,0),"")</f>
        <v>25</v>
      </c>
      <c r="D47" s="65"/>
      <c r="E47" s="106">
        <v>15</v>
      </c>
      <c r="F47" s="77" t="s">
        <v>300</v>
      </c>
      <c r="G47" s="78" t="s">
        <v>288</v>
      </c>
      <c r="H47" s="107">
        <f>HISTOGRAMA!C24</f>
        <v>0</v>
      </c>
      <c r="I47" s="65"/>
      <c r="J47" s="65"/>
      <c r="K47" s="108">
        <f t="shared" si="4"/>
        <v>0</v>
      </c>
      <c r="L47" s="79">
        <f t="shared" si="5"/>
        <v>0</v>
      </c>
      <c r="M47" s="80">
        <f t="shared" si="6"/>
        <v>0</v>
      </c>
      <c r="N47" s="78" t="s">
        <v>179</v>
      </c>
      <c r="O47" s="80">
        <f t="shared" si="7"/>
        <v>0</v>
      </c>
      <c r="P47" s="65"/>
      <c r="Q47" s="65"/>
      <c r="R47" s="109">
        <f t="shared" si="47"/>
        <v>0</v>
      </c>
      <c r="S47" s="84">
        <f t="shared" si="8"/>
        <v>0</v>
      </c>
      <c r="T47" s="109">
        <f>R47*(1+Dashboard!$D$35)</f>
        <v>0</v>
      </c>
      <c r="U47" s="84">
        <f t="shared" si="9"/>
        <v>0</v>
      </c>
      <c r="V47" s="65"/>
      <c r="W47" s="65"/>
      <c r="X47" s="108">
        <f t="shared" si="10"/>
        <v>0</v>
      </c>
      <c r="Y47" s="122"/>
      <c r="Z47" s="112"/>
      <c r="AA47" s="112" t="s">
        <v>289</v>
      </c>
      <c r="AB47" s="81">
        <f t="shared" si="11"/>
        <v>0</v>
      </c>
      <c r="AC47" s="84">
        <f t="shared" si="12"/>
        <v>0</v>
      </c>
      <c r="AD47" s="65"/>
      <c r="AE47" s="113"/>
      <c r="AF47" s="114" cm="1">
        <f t="array" ref="AF47">IFERROR(INDEX('Tabela ICMS'!$E$5:$AF$32,Tarefas!B47,Tarefas!C47),0)</f>
        <v>0</v>
      </c>
      <c r="AG47" s="115">
        <f>IF(AA47="FD",(Dashboard!$D$43+Dashboard!$D$44),(Dashboard!$D$30+Dashboard!$D$31))</f>
        <v>3.6499999999999998E-2</v>
      </c>
      <c r="AH47" s="115">
        <f>IF(AA47="FD",(Dashboard!$D$46),(Dashboard!$D$33))</f>
        <v>0</v>
      </c>
      <c r="AI47" s="115">
        <f>IF(AA47="FD",(Dashboard!$D$45),(Dashboard!$D$32))</f>
        <v>0.05</v>
      </c>
      <c r="AJ47" s="116"/>
      <c r="AK47" s="116"/>
      <c r="AL47" s="65"/>
      <c r="AM47" s="81">
        <f>IF(AA47="FD",AB47*(1+Dashboard!$D$48),AB47*(1+Dashboard!$D$35))</f>
        <v>0</v>
      </c>
      <c r="AN47" s="84">
        <f t="shared" si="13"/>
        <v>0</v>
      </c>
      <c r="AO47" s="65"/>
      <c r="AP47" s="65"/>
      <c r="AQ47" s="81">
        <f t="shared" si="14"/>
        <v>0</v>
      </c>
      <c r="AR47" s="81">
        <f t="shared" si="15"/>
        <v>0</v>
      </c>
      <c r="AS47" s="117">
        <f t="shared" si="16"/>
        <v>0</v>
      </c>
      <c r="AT47" s="84">
        <f t="shared" si="17"/>
        <v>0</v>
      </c>
      <c r="AU47" s="114">
        <f t="shared" si="18"/>
        <v>0</v>
      </c>
      <c r="AV47" s="65"/>
      <c r="AW47" s="69"/>
      <c r="AX47" s="65"/>
      <c r="AY47" s="65"/>
      <c r="AZ47" s="93">
        <f t="shared" si="19"/>
        <v>0</v>
      </c>
      <c r="BA47" s="94">
        <f>(Dashboard!$D$30+Dashboard!$D$31)*U47</f>
        <v>0</v>
      </c>
      <c r="BB47" s="94">
        <f>Dashboard!$D$33*U47</f>
        <v>0</v>
      </c>
      <c r="BC47" s="94">
        <f>Dashboard!$D$32*U47</f>
        <v>0</v>
      </c>
      <c r="BD47" s="65"/>
      <c r="BE47" s="93">
        <f t="shared" si="20"/>
        <v>0</v>
      </c>
      <c r="BF47" s="94">
        <f t="shared" si="21"/>
        <v>0</v>
      </c>
      <c r="BG47" s="94">
        <f t="shared" si="22"/>
        <v>0</v>
      </c>
      <c r="BH47" s="94">
        <f t="shared" si="23"/>
        <v>0</v>
      </c>
      <c r="BI47" s="94">
        <f t="shared" si="24"/>
        <v>0</v>
      </c>
      <c r="BJ47" s="94">
        <f t="shared" si="25"/>
        <v>0</v>
      </c>
      <c r="BK47" s="94">
        <f t="shared" si="26"/>
        <v>0</v>
      </c>
      <c r="BL47" s="65"/>
      <c r="BM47" s="69"/>
      <c r="BN47" s="65"/>
      <c r="BO47" s="65"/>
      <c r="BP47" s="65"/>
      <c r="BQ47" s="118">
        <v>0</v>
      </c>
      <c r="BR47" s="119">
        <v>22</v>
      </c>
      <c r="BS47" s="120">
        <v>8.8000000000000007</v>
      </c>
      <c r="BT47" s="121">
        <f t="shared" si="27"/>
        <v>0</v>
      </c>
      <c r="BU47" s="118">
        <v>0</v>
      </c>
      <c r="BV47" s="119">
        <v>22</v>
      </c>
      <c r="BW47" s="120">
        <v>8.8000000000000007</v>
      </c>
      <c r="BX47" s="121">
        <f t="shared" si="48"/>
        <v>0</v>
      </c>
      <c r="BY47" s="65"/>
      <c r="BZ47" s="118">
        <v>0</v>
      </c>
      <c r="CA47" s="119">
        <v>22</v>
      </c>
      <c r="CB47" s="120">
        <v>8.8000000000000007</v>
      </c>
      <c r="CC47" s="121">
        <f t="shared" si="29"/>
        <v>0</v>
      </c>
      <c r="CD47" s="65"/>
      <c r="CE47" s="118">
        <v>0</v>
      </c>
      <c r="CF47" s="119">
        <v>22</v>
      </c>
      <c r="CG47" s="120">
        <v>8.8000000000000007</v>
      </c>
      <c r="CH47" s="121">
        <f t="shared" si="30"/>
        <v>0</v>
      </c>
      <c r="CI47" s="118">
        <v>0</v>
      </c>
      <c r="CJ47" s="119">
        <v>22</v>
      </c>
      <c r="CK47" s="120">
        <v>8.8000000000000007</v>
      </c>
      <c r="CL47" s="121">
        <f t="shared" si="31"/>
        <v>0</v>
      </c>
      <c r="CM47" s="118">
        <v>0</v>
      </c>
      <c r="CN47" s="119">
        <v>22</v>
      </c>
      <c r="CO47" s="120">
        <v>8.8000000000000007</v>
      </c>
      <c r="CP47" s="121">
        <f t="shared" si="32"/>
        <v>0</v>
      </c>
      <c r="CQ47" s="65"/>
      <c r="CR47" s="118">
        <v>0</v>
      </c>
      <c r="CS47" s="119">
        <v>22</v>
      </c>
      <c r="CT47" s="120">
        <v>8.8000000000000007</v>
      </c>
      <c r="CU47" s="121">
        <f t="shared" si="33"/>
        <v>0</v>
      </c>
      <c r="CV47" s="118">
        <v>0</v>
      </c>
      <c r="CW47" s="119">
        <v>22</v>
      </c>
      <c r="CX47" s="120">
        <v>8.8000000000000007</v>
      </c>
      <c r="CY47" s="121">
        <f t="shared" si="34"/>
        <v>0</v>
      </c>
      <c r="CZ47" s="118">
        <v>0</v>
      </c>
      <c r="DA47" s="119">
        <v>22</v>
      </c>
      <c r="DB47" s="120">
        <v>8.8000000000000007</v>
      </c>
      <c r="DC47" s="121">
        <f t="shared" si="35"/>
        <v>0</v>
      </c>
      <c r="DD47" s="65"/>
      <c r="DE47" s="118">
        <v>0</v>
      </c>
      <c r="DF47" s="119">
        <v>22</v>
      </c>
      <c r="DG47" s="120">
        <v>8.8000000000000007</v>
      </c>
      <c r="DH47" s="121">
        <f t="shared" si="36"/>
        <v>0</v>
      </c>
      <c r="DI47" s="118">
        <v>0</v>
      </c>
      <c r="DJ47" s="119">
        <v>22</v>
      </c>
      <c r="DK47" s="120">
        <v>8.8000000000000007</v>
      </c>
      <c r="DL47" s="121">
        <f t="shared" si="37"/>
        <v>0</v>
      </c>
      <c r="DM47" s="118">
        <v>0</v>
      </c>
      <c r="DN47" s="119">
        <v>22</v>
      </c>
      <c r="DO47" s="120">
        <v>8.8000000000000007</v>
      </c>
      <c r="DP47" s="121">
        <f t="shared" si="38"/>
        <v>0</v>
      </c>
      <c r="DQ47" s="65"/>
      <c r="DR47" s="118">
        <v>0</v>
      </c>
      <c r="DS47" s="119">
        <v>22</v>
      </c>
      <c r="DT47" s="120">
        <v>8.8000000000000007</v>
      </c>
      <c r="DU47" s="121">
        <f t="shared" si="39"/>
        <v>0</v>
      </c>
      <c r="DV47" s="118">
        <v>0</v>
      </c>
      <c r="DW47" s="119">
        <v>22</v>
      </c>
      <c r="DX47" s="120">
        <v>8.8000000000000007</v>
      </c>
      <c r="DY47" s="121">
        <f t="shared" si="40"/>
        <v>0</v>
      </c>
      <c r="DZ47" s="118">
        <v>0</v>
      </c>
      <c r="EA47" s="119">
        <v>22</v>
      </c>
      <c r="EB47" s="120">
        <v>8.8000000000000007</v>
      </c>
      <c r="EC47" s="121">
        <f t="shared" si="41"/>
        <v>0</v>
      </c>
      <c r="ED47" s="65"/>
      <c r="EE47" s="118">
        <v>0</v>
      </c>
      <c r="EF47" s="119">
        <v>22</v>
      </c>
      <c r="EG47" s="120">
        <v>8.8000000000000007</v>
      </c>
      <c r="EH47" s="121">
        <f t="shared" si="42"/>
        <v>0</v>
      </c>
      <c r="EI47" s="118">
        <v>0</v>
      </c>
      <c r="EJ47" s="119">
        <v>22</v>
      </c>
      <c r="EK47" s="120">
        <v>8.8000000000000007</v>
      </c>
      <c r="EL47" s="121">
        <f t="shared" si="43"/>
        <v>0</v>
      </c>
      <c r="EM47" s="118">
        <v>0</v>
      </c>
      <c r="EN47" s="119">
        <v>22</v>
      </c>
      <c r="EO47" s="120">
        <v>8.8000000000000007</v>
      </c>
      <c r="EP47" s="121">
        <f t="shared" si="44"/>
        <v>0</v>
      </c>
      <c r="EQ47" s="118">
        <v>0</v>
      </c>
      <c r="ER47" s="119">
        <v>22</v>
      </c>
      <c r="ES47" s="120">
        <v>8.8000000000000007</v>
      </c>
      <c r="ET47" s="121">
        <f t="shared" si="45"/>
        <v>0</v>
      </c>
      <c r="EU47" s="118">
        <v>0</v>
      </c>
      <c r="EV47" s="119">
        <v>22</v>
      </c>
      <c r="EW47" s="120">
        <v>8.8000000000000007</v>
      </c>
      <c r="EX47" s="121">
        <f t="shared" si="46"/>
        <v>0</v>
      </c>
      <c r="EY47" s="65"/>
      <c r="EZ47" s="78"/>
      <c r="FA47" s="78"/>
      <c r="FB47" s="78"/>
      <c r="FC47" s="78"/>
      <c r="FD47" s="78"/>
      <c r="FE47" s="78"/>
      <c r="FF47" s="78"/>
      <c r="FG47" s="78"/>
      <c r="FH47" s="78"/>
      <c r="FI47" s="78"/>
      <c r="FJ47" s="78"/>
      <c r="FK47" s="78"/>
      <c r="FL47" s="65"/>
      <c r="FM47" s="69"/>
      <c r="FN47" s="65"/>
      <c r="FO47" s="65"/>
    </row>
    <row r="48" spans="1:171" ht="12" customHeight="1">
      <c r="A48" s="65"/>
      <c r="B48" s="105" t="str">
        <f>IFERROR(VLOOKUP(AE48,'Tabela ICMS'!$C$5:$D$32,2,0),"")</f>
        <v/>
      </c>
      <c r="C48" s="105">
        <f>IFERROR(HLOOKUP(Dashboard!$F$9,'Tabela ICMS'!$E$3:$AF$4,2,0),"")</f>
        <v>25</v>
      </c>
      <c r="D48" s="65"/>
      <c r="E48" s="106">
        <v>16</v>
      </c>
      <c r="F48" s="77" t="s">
        <v>300</v>
      </c>
      <c r="G48" s="78" t="s">
        <v>288</v>
      </c>
      <c r="H48" s="107">
        <f>HISTOGRAMA!C25</f>
        <v>0</v>
      </c>
      <c r="I48" s="65"/>
      <c r="J48" s="65"/>
      <c r="K48" s="108">
        <f t="shared" si="4"/>
        <v>0</v>
      </c>
      <c r="L48" s="79">
        <f t="shared" si="5"/>
        <v>0</v>
      </c>
      <c r="M48" s="80">
        <f t="shared" si="6"/>
        <v>0</v>
      </c>
      <c r="N48" s="78" t="s">
        <v>180</v>
      </c>
      <c r="O48" s="80">
        <f t="shared" si="7"/>
        <v>0</v>
      </c>
      <c r="P48" s="65"/>
      <c r="Q48" s="65"/>
      <c r="R48" s="109">
        <f t="shared" si="47"/>
        <v>0</v>
      </c>
      <c r="S48" s="84">
        <f t="shared" si="8"/>
        <v>0</v>
      </c>
      <c r="T48" s="109">
        <f>R48*(1+Dashboard!$D$35)</f>
        <v>0</v>
      </c>
      <c r="U48" s="84">
        <f t="shared" si="9"/>
        <v>0</v>
      </c>
      <c r="V48" s="65"/>
      <c r="W48" s="65"/>
      <c r="X48" s="108">
        <f t="shared" si="10"/>
        <v>0</v>
      </c>
      <c r="Y48" s="122"/>
      <c r="Z48" s="112"/>
      <c r="AA48" s="112" t="s">
        <v>289</v>
      </c>
      <c r="AB48" s="81">
        <f t="shared" si="11"/>
        <v>0</v>
      </c>
      <c r="AC48" s="84">
        <f t="shared" si="12"/>
        <v>0</v>
      </c>
      <c r="AD48" s="65"/>
      <c r="AE48" s="113"/>
      <c r="AF48" s="114" cm="1">
        <f t="array" ref="AF48">IFERROR(INDEX('Tabela ICMS'!$E$5:$AF$32,Tarefas!B48,Tarefas!C48),0)</f>
        <v>0</v>
      </c>
      <c r="AG48" s="115">
        <f>IF(AA48="FD",(Dashboard!$D$43+Dashboard!$D$44),(Dashboard!$D$30+Dashboard!$D$31))</f>
        <v>3.6499999999999998E-2</v>
      </c>
      <c r="AH48" s="115">
        <f>IF(AA48="FD",(Dashboard!$D$46),(Dashboard!$D$33))</f>
        <v>0</v>
      </c>
      <c r="AI48" s="115">
        <f>IF(AA48="FD",(Dashboard!$D$45),(Dashboard!$D$32))</f>
        <v>0.05</v>
      </c>
      <c r="AJ48" s="116"/>
      <c r="AK48" s="116"/>
      <c r="AL48" s="65"/>
      <c r="AM48" s="81">
        <f>IF(AA48="FD",AB48*(1+Dashboard!$D$48),AB48*(1+Dashboard!$D$35))</f>
        <v>0</v>
      </c>
      <c r="AN48" s="84">
        <f t="shared" si="13"/>
        <v>0</v>
      </c>
      <c r="AO48" s="65"/>
      <c r="AP48" s="65"/>
      <c r="AQ48" s="81">
        <f t="shared" si="14"/>
        <v>0</v>
      </c>
      <c r="AR48" s="81">
        <f t="shared" si="15"/>
        <v>0</v>
      </c>
      <c r="AS48" s="117">
        <f t="shared" si="16"/>
        <v>0</v>
      </c>
      <c r="AT48" s="84">
        <f t="shared" si="17"/>
        <v>0</v>
      </c>
      <c r="AU48" s="114">
        <f t="shared" si="18"/>
        <v>0</v>
      </c>
      <c r="AV48" s="65"/>
      <c r="AW48" s="69"/>
      <c r="AX48" s="65"/>
      <c r="AY48" s="65"/>
      <c r="AZ48" s="93">
        <f t="shared" si="19"/>
        <v>0</v>
      </c>
      <c r="BA48" s="94">
        <f>(Dashboard!$D$30+Dashboard!$D$31)*U48</f>
        <v>0</v>
      </c>
      <c r="BB48" s="94">
        <f>Dashboard!$D$33*U48</f>
        <v>0</v>
      </c>
      <c r="BC48" s="94">
        <f>Dashboard!$D$32*U48</f>
        <v>0</v>
      </c>
      <c r="BD48" s="65"/>
      <c r="BE48" s="93">
        <f t="shared" si="20"/>
        <v>0</v>
      </c>
      <c r="BF48" s="94">
        <f t="shared" si="21"/>
        <v>0</v>
      </c>
      <c r="BG48" s="94">
        <f t="shared" si="22"/>
        <v>0</v>
      </c>
      <c r="BH48" s="94">
        <f t="shared" si="23"/>
        <v>0</v>
      </c>
      <c r="BI48" s="94">
        <f t="shared" si="24"/>
        <v>0</v>
      </c>
      <c r="BJ48" s="94">
        <f t="shared" si="25"/>
        <v>0</v>
      </c>
      <c r="BK48" s="94">
        <f t="shared" si="26"/>
        <v>0</v>
      </c>
      <c r="BL48" s="65"/>
      <c r="BM48" s="69"/>
      <c r="BN48" s="65"/>
      <c r="BO48" s="65"/>
      <c r="BP48" s="65"/>
      <c r="BQ48" s="118">
        <v>0</v>
      </c>
      <c r="BR48" s="119">
        <v>22</v>
      </c>
      <c r="BS48" s="120">
        <v>8.8000000000000007</v>
      </c>
      <c r="BT48" s="121">
        <f t="shared" si="27"/>
        <v>0</v>
      </c>
      <c r="BU48" s="118">
        <v>0</v>
      </c>
      <c r="BV48" s="119">
        <v>22</v>
      </c>
      <c r="BW48" s="120">
        <v>8.8000000000000007</v>
      </c>
      <c r="BX48" s="121">
        <f t="shared" si="48"/>
        <v>0</v>
      </c>
      <c r="BY48" s="65"/>
      <c r="BZ48" s="118">
        <v>0</v>
      </c>
      <c r="CA48" s="119">
        <v>22</v>
      </c>
      <c r="CB48" s="120">
        <v>8.8000000000000007</v>
      </c>
      <c r="CC48" s="121">
        <f t="shared" si="29"/>
        <v>0</v>
      </c>
      <c r="CD48" s="65"/>
      <c r="CE48" s="118">
        <v>0</v>
      </c>
      <c r="CF48" s="119">
        <v>22</v>
      </c>
      <c r="CG48" s="120">
        <v>8.8000000000000007</v>
      </c>
      <c r="CH48" s="121">
        <f t="shared" si="30"/>
        <v>0</v>
      </c>
      <c r="CI48" s="118">
        <v>0</v>
      </c>
      <c r="CJ48" s="119">
        <v>22</v>
      </c>
      <c r="CK48" s="120">
        <v>8.8000000000000007</v>
      </c>
      <c r="CL48" s="121">
        <f t="shared" si="31"/>
        <v>0</v>
      </c>
      <c r="CM48" s="118">
        <v>0</v>
      </c>
      <c r="CN48" s="119">
        <v>22</v>
      </c>
      <c r="CO48" s="120">
        <v>8.8000000000000007</v>
      </c>
      <c r="CP48" s="121">
        <f t="shared" si="32"/>
        <v>0</v>
      </c>
      <c r="CQ48" s="65"/>
      <c r="CR48" s="118">
        <v>0</v>
      </c>
      <c r="CS48" s="119">
        <v>22</v>
      </c>
      <c r="CT48" s="120">
        <v>8.8000000000000007</v>
      </c>
      <c r="CU48" s="121">
        <f t="shared" si="33"/>
        <v>0</v>
      </c>
      <c r="CV48" s="118">
        <v>0</v>
      </c>
      <c r="CW48" s="119">
        <v>22</v>
      </c>
      <c r="CX48" s="120">
        <v>8.8000000000000007</v>
      </c>
      <c r="CY48" s="121">
        <f t="shared" si="34"/>
        <v>0</v>
      </c>
      <c r="CZ48" s="118">
        <v>0</v>
      </c>
      <c r="DA48" s="119">
        <v>22</v>
      </c>
      <c r="DB48" s="120">
        <v>8.8000000000000007</v>
      </c>
      <c r="DC48" s="121">
        <f t="shared" si="35"/>
        <v>0</v>
      </c>
      <c r="DD48" s="65"/>
      <c r="DE48" s="118">
        <v>0</v>
      </c>
      <c r="DF48" s="119">
        <v>22</v>
      </c>
      <c r="DG48" s="120">
        <v>8.8000000000000007</v>
      </c>
      <c r="DH48" s="121">
        <f t="shared" si="36"/>
        <v>0</v>
      </c>
      <c r="DI48" s="118">
        <v>0</v>
      </c>
      <c r="DJ48" s="119">
        <v>22</v>
      </c>
      <c r="DK48" s="120">
        <v>8.8000000000000007</v>
      </c>
      <c r="DL48" s="121">
        <f t="shared" si="37"/>
        <v>0</v>
      </c>
      <c r="DM48" s="118">
        <v>0</v>
      </c>
      <c r="DN48" s="119">
        <v>22</v>
      </c>
      <c r="DO48" s="120">
        <v>8.8000000000000007</v>
      </c>
      <c r="DP48" s="121">
        <f t="shared" si="38"/>
        <v>0</v>
      </c>
      <c r="DQ48" s="65"/>
      <c r="DR48" s="118">
        <v>0</v>
      </c>
      <c r="DS48" s="119">
        <v>22</v>
      </c>
      <c r="DT48" s="120">
        <v>8.8000000000000007</v>
      </c>
      <c r="DU48" s="121">
        <f t="shared" si="39"/>
        <v>0</v>
      </c>
      <c r="DV48" s="118">
        <v>0</v>
      </c>
      <c r="DW48" s="119">
        <v>22</v>
      </c>
      <c r="DX48" s="120">
        <v>8.8000000000000007</v>
      </c>
      <c r="DY48" s="121">
        <f t="shared" si="40"/>
        <v>0</v>
      </c>
      <c r="DZ48" s="118">
        <v>0</v>
      </c>
      <c r="EA48" s="119">
        <v>22</v>
      </c>
      <c r="EB48" s="120">
        <v>8.8000000000000007</v>
      </c>
      <c r="EC48" s="121">
        <f t="shared" si="41"/>
        <v>0</v>
      </c>
      <c r="ED48" s="65"/>
      <c r="EE48" s="118">
        <v>0</v>
      </c>
      <c r="EF48" s="119">
        <v>22</v>
      </c>
      <c r="EG48" s="120">
        <v>8.8000000000000007</v>
      </c>
      <c r="EH48" s="121">
        <f t="shared" si="42"/>
        <v>0</v>
      </c>
      <c r="EI48" s="118">
        <v>0</v>
      </c>
      <c r="EJ48" s="119">
        <v>22</v>
      </c>
      <c r="EK48" s="120">
        <v>8.8000000000000007</v>
      </c>
      <c r="EL48" s="121">
        <f t="shared" si="43"/>
        <v>0</v>
      </c>
      <c r="EM48" s="118">
        <v>0</v>
      </c>
      <c r="EN48" s="119">
        <v>22</v>
      </c>
      <c r="EO48" s="120">
        <v>8.8000000000000007</v>
      </c>
      <c r="EP48" s="121">
        <f t="shared" si="44"/>
        <v>0</v>
      </c>
      <c r="EQ48" s="118">
        <v>0</v>
      </c>
      <c r="ER48" s="119">
        <v>22</v>
      </c>
      <c r="ES48" s="120">
        <v>8.8000000000000007</v>
      </c>
      <c r="ET48" s="121">
        <f t="shared" si="45"/>
        <v>0</v>
      </c>
      <c r="EU48" s="118">
        <v>0</v>
      </c>
      <c r="EV48" s="119">
        <v>22</v>
      </c>
      <c r="EW48" s="120">
        <v>8.8000000000000007</v>
      </c>
      <c r="EX48" s="121">
        <f t="shared" si="46"/>
        <v>0</v>
      </c>
      <c r="EY48" s="65"/>
      <c r="EZ48" s="78"/>
      <c r="FA48" s="78"/>
      <c r="FB48" s="78"/>
      <c r="FC48" s="78"/>
      <c r="FD48" s="78"/>
      <c r="FE48" s="78"/>
      <c r="FF48" s="78"/>
      <c r="FG48" s="78"/>
      <c r="FH48" s="78"/>
      <c r="FI48" s="78"/>
      <c r="FJ48" s="78"/>
      <c r="FK48" s="78"/>
      <c r="FL48" s="65"/>
      <c r="FM48" s="69"/>
      <c r="FN48" s="65"/>
      <c r="FO48" s="65"/>
    </row>
    <row r="49" spans="1:181" s="104" customFormat="1" ht="18.95" customHeight="1">
      <c r="A49" s="70"/>
      <c r="B49" s="97"/>
      <c r="C49" s="97"/>
      <c r="D49" s="70"/>
      <c r="E49" s="73"/>
      <c r="F49" s="73" t="s">
        <v>143</v>
      </c>
      <c r="G49" s="73"/>
      <c r="H49" s="73"/>
      <c r="I49" s="70"/>
      <c r="J49" s="472"/>
      <c r="K49" s="73"/>
      <c r="L49" s="73"/>
      <c r="M49" s="73"/>
      <c r="N49" s="73"/>
      <c r="O49" s="73"/>
      <c r="P49" s="70"/>
      <c r="Q49" s="472"/>
      <c r="R49" s="73"/>
      <c r="S49" s="73"/>
      <c r="T49" s="73"/>
      <c r="U49" s="73"/>
      <c r="V49" s="70"/>
      <c r="W49" s="472"/>
      <c r="X49" s="73"/>
      <c r="Y49" s="98"/>
      <c r="Z49" s="99"/>
      <c r="AA49" s="99"/>
      <c r="AB49" s="73"/>
      <c r="AC49" s="73"/>
      <c r="AD49" s="70"/>
      <c r="AE49" s="73"/>
      <c r="AF49" s="73"/>
      <c r="AG49" s="73"/>
      <c r="AH49" s="73"/>
      <c r="AI49" s="73"/>
      <c r="AJ49" s="73"/>
      <c r="AK49" s="73"/>
      <c r="AL49" s="70"/>
      <c r="AM49" s="73"/>
      <c r="AN49" s="73"/>
      <c r="AO49" s="70"/>
      <c r="AP49" s="472"/>
      <c r="AQ49" s="73"/>
      <c r="AR49" s="73"/>
      <c r="AS49" s="73"/>
      <c r="AT49" s="73"/>
      <c r="AU49" s="73"/>
      <c r="AV49" s="70"/>
      <c r="AW49" s="100"/>
      <c r="AX49" s="70"/>
      <c r="AY49" s="474"/>
      <c r="AZ49" s="101"/>
      <c r="BA49" s="91"/>
      <c r="BB49" s="91"/>
      <c r="BC49" s="91"/>
      <c r="BD49" s="70"/>
      <c r="BE49" s="101"/>
      <c r="BF49" s="91"/>
      <c r="BG49" s="91"/>
      <c r="BH49" s="91"/>
      <c r="BI49" s="91"/>
      <c r="BJ49" s="91"/>
      <c r="BK49" s="101"/>
      <c r="BL49" s="70"/>
      <c r="BM49" s="100"/>
      <c r="BN49" s="70"/>
      <c r="BO49" s="473"/>
      <c r="BP49" s="473"/>
      <c r="BQ49" s="102"/>
      <c r="BR49" s="82"/>
      <c r="BS49" s="82"/>
      <c r="BT49" s="96"/>
      <c r="BU49" s="102"/>
      <c r="BV49" s="82"/>
      <c r="BW49" s="82"/>
      <c r="BX49" s="96"/>
      <c r="BY49" s="473"/>
      <c r="BZ49" s="102"/>
      <c r="CA49" s="82"/>
      <c r="CB49" s="82"/>
      <c r="CC49" s="475"/>
      <c r="CD49" s="473"/>
      <c r="CE49" s="102"/>
      <c r="CF49" s="82"/>
      <c r="CG49" s="82"/>
      <c r="CH49" s="475"/>
      <c r="CI49" s="102"/>
      <c r="CJ49" s="82"/>
      <c r="CK49" s="82"/>
      <c r="CL49" s="475"/>
      <c r="CM49" s="102"/>
      <c r="CN49" s="82"/>
      <c r="CO49" s="82"/>
      <c r="CP49" s="475"/>
      <c r="CQ49" s="473"/>
      <c r="CR49" s="102"/>
      <c r="CS49" s="82"/>
      <c r="CT49" s="82"/>
      <c r="CU49" s="475"/>
      <c r="CV49" s="102"/>
      <c r="CW49" s="82"/>
      <c r="CX49" s="82"/>
      <c r="CY49" s="475"/>
      <c r="CZ49" s="102"/>
      <c r="DA49" s="82"/>
      <c r="DB49" s="82"/>
      <c r="DC49" s="475"/>
      <c r="DD49" s="473"/>
      <c r="DE49" s="102"/>
      <c r="DF49" s="82"/>
      <c r="DG49" s="82"/>
      <c r="DH49" s="475"/>
      <c r="DI49" s="102"/>
      <c r="DJ49" s="82"/>
      <c r="DK49" s="82"/>
      <c r="DL49" s="475"/>
      <c r="DM49" s="102"/>
      <c r="DN49" s="82"/>
      <c r="DO49" s="82"/>
      <c r="DP49" s="475"/>
      <c r="DQ49" s="473"/>
      <c r="DR49" s="102"/>
      <c r="DS49" s="82"/>
      <c r="DT49" s="82"/>
      <c r="DU49" s="475"/>
      <c r="DV49" s="102"/>
      <c r="DW49" s="82"/>
      <c r="DX49" s="82"/>
      <c r="DY49" s="475"/>
      <c r="DZ49" s="102"/>
      <c r="EA49" s="82"/>
      <c r="EB49" s="82"/>
      <c r="EC49" s="475"/>
      <c r="ED49" s="473"/>
      <c r="EE49" s="102"/>
      <c r="EF49" s="82"/>
      <c r="EG49" s="82"/>
      <c r="EH49" s="475"/>
      <c r="EI49" s="102"/>
      <c r="EJ49" s="82"/>
      <c r="EK49" s="82"/>
      <c r="EL49" s="475"/>
      <c r="EM49" s="102"/>
      <c r="EN49" s="82"/>
      <c r="EO49" s="82"/>
      <c r="EP49" s="475"/>
      <c r="EQ49" s="102"/>
      <c r="ER49" s="82"/>
      <c r="ES49" s="82"/>
      <c r="ET49" s="475"/>
      <c r="EU49" s="102"/>
      <c r="EV49" s="82"/>
      <c r="EW49" s="82"/>
      <c r="EX49" s="475"/>
      <c r="EY49" s="473"/>
      <c r="EZ49" s="82"/>
      <c r="FA49" s="82"/>
      <c r="FB49" s="82"/>
      <c r="FC49" s="82"/>
      <c r="FD49" s="82"/>
      <c r="FE49" s="82"/>
      <c r="FF49" s="82"/>
      <c r="FG49" s="82"/>
      <c r="FH49" s="82"/>
      <c r="FI49" s="82"/>
      <c r="FJ49" s="82"/>
      <c r="FK49" s="82"/>
      <c r="FL49" s="70"/>
      <c r="FM49" s="100"/>
      <c r="FN49" s="70"/>
      <c r="FO49" s="476"/>
      <c r="FP49" s="103"/>
      <c r="FQ49" s="103"/>
      <c r="FR49" s="103"/>
      <c r="FS49" s="103"/>
      <c r="FT49" s="103"/>
      <c r="FU49" s="103"/>
      <c r="FV49" s="103"/>
      <c r="FW49" s="103"/>
      <c r="FX49" s="103"/>
      <c r="FY49" s="103"/>
    </row>
    <row r="50" spans="1:181" ht="12" customHeight="1">
      <c r="A50" s="65"/>
      <c r="B50" s="105" t="str">
        <f>IFERROR(VLOOKUP(AE50,'Tabela ICMS'!$C$5:$D$32,2,0),"")</f>
        <v/>
      </c>
      <c r="C50" s="105">
        <f>IFERROR(HLOOKUP(Dashboard!$F$9,'Tabela ICMS'!$E$3:$AF$4,2,0),"")</f>
        <v>25</v>
      </c>
      <c r="D50" s="65"/>
      <c r="E50" s="106">
        <v>16</v>
      </c>
      <c r="F50" s="77" t="s">
        <v>301</v>
      </c>
      <c r="G50" s="78" t="s">
        <v>288</v>
      </c>
      <c r="H50" s="107">
        <f>HISTOGRAMA!C26</f>
        <v>2</v>
      </c>
      <c r="I50" s="65"/>
      <c r="J50" s="65"/>
      <c r="K50" s="108">
        <f t="shared" si="4"/>
        <v>96.800000000000011</v>
      </c>
      <c r="L50" s="79">
        <f t="shared" si="5"/>
        <v>0</v>
      </c>
      <c r="M50" s="80">
        <f t="shared" si="6"/>
        <v>96.800000000000011</v>
      </c>
      <c r="N50" s="78" t="s">
        <v>182</v>
      </c>
      <c r="O50" s="80">
        <f t="shared" si="7"/>
        <v>193.60000000000002</v>
      </c>
      <c r="P50" s="65"/>
      <c r="Q50" s="65"/>
      <c r="R50" s="109">
        <f t="shared" si="47"/>
        <v>14959.433822856776</v>
      </c>
      <c r="S50" s="84">
        <f t="shared" si="8"/>
        <v>29918.867645713552</v>
      </c>
      <c r="T50" s="109">
        <f>R50*(1+Dashboard!$D$35)</f>
        <v>21886.516200229373</v>
      </c>
      <c r="U50" s="84">
        <f t="shared" si="9"/>
        <v>43773.032400458746</v>
      </c>
      <c r="V50" s="65"/>
      <c r="W50" s="65"/>
      <c r="X50" s="108">
        <f t="shared" si="10"/>
        <v>1000</v>
      </c>
      <c r="Y50" s="122"/>
      <c r="Z50" s="112"/>
      <c r="AA50" s="112" t="s">
        <v>289</v>
      </c>
      <c r="AB50" s="81">
        <f t="shared" si="11"/>
        <v>1000</v>
      </c>
      <c r="AC50" s="84">
        <f t="shared" si="12"/>
        <v>2000</v>
      </c>
      <c r="AD50" s="65"/>
      <c r="AE50" s="113"/>
      <c r="AF50" s="114" cm="1">
        <f t="array" ref="AF50">IFERROR(INDEX('Tabela ICMS'!$E$5:$AF$32,Tarefas!B50,Tarefas!C50),0)</f>
        <v>0</v>
      </c>
      <c r="AG50" s="115">
        <f>IF(AA50="FD",(Dashboard!$D$43+Dashboard!$D$44),(Dashboard!$D$30+Dashboard!$D$31))</f>
        <v>3.6499999999999998E-2</v>
      </c>
      <c r="AH50" s="115">
        <f>IF(AA50="FD",(Dashboard!$D$46),(Dashboard!$D$33))</f>
        <v>0</v>
      </c>
      <c r="AI50" s="115">
        <f>IF(AA50="FD",(Dashboard!$D$45),(Dashboard!$D$32))</f>
        <v>0.05</v>
      </c>
      <c r="AJ50" s="116"/>
      <c r="AK50" s="116"/>
      <c r="AL50" s="65"/>
      <c r="AM50" s="81">
        <f>IF(AA50="FD",AB50*(1+Dashboard!$D$48),AB50*(1+Dashboard!$D$35))</f>
        <v>1463.057790782736</v>
      </c>
      <c r="AN50" s="84">
        <f t="shared" si="13"/>
        <v>2926.115581565472</v>
      </c>
      <c r="AO50" s="65"/>
      <c r="AP50" s="65"/>
      <c r="AQ50" s="81">
        <f t="shared" si="14"/>
        <v>21886.516200229373</v>
      </c>
      <c r="AR50" s="81">
        <f t="shared" si="15"/>
        <v>1463.057790782736</v>
      </c>
      <c r="AS50" s="117">
        <f t="shared" si="16"/>
        <v>23349.57</v>
      </c>
      <c r="AT50" s="84">
        <f t="shared" si="17"/>
        <v>46699.15</v>
      </c>
      <c r="AU50" s="114">
        <f t="shared" si="18"/>
        <v>3.0396842888682142E-2</v>
      </c>
      <c r="AV50" s="65"/>
      <c r="AW50" s="69"/>
      <c r="AX50" s="65"/>
      <c r="AY50" s="65"/>
      <c r="AZ50" s="93">
        <f t="shared" si="19"/>
        <v>3786.3673026396818</v>
      </c>
      <c r="BA50" s="94">
        <f>(Dashboard!$D$30+Dashboard!$D$31)*U50</f>
        <v>1597.7156826167441</v>
      </c>
      <c r="BB50" s="94">
        <f>Dashboard!$D$33*U50</f>
        <v>0</v>
      </c>
      <c r="BC50" s="94">
        <f>Dashboard!$D$32*U50</f>
        <v>2188.6516200229375</v>
      </c>
      <c r="BD50" s="65"/>
      <c r="BE50" s="93">
        <f t="shared" si="20"/>
        <v>253.10899780541334</v>
      </c>
      <c r="BF50" s="94">
        <f t="shared" si="21"/>
        <v>0</v>
      </c>
      <c r="BG50" s="94">
        <f t="shared" si="22"/>
        <v>106.80321872713972</v>
      </c>
      <c r="BH50" s="94">
        <f t="shared" si="23"/>
        <v>0</v>
      </c>
      <c r="BI50" s="94">
        <f t="shared" si="24"/>
        <v>146.30577907827362</v>
      </c>
      <c r="BJ50" s="94">
        <f t="shared" si="25"/>
        <v>0</v>
      </c>
      <c r="BK50" s="94">
        <f t="shared" si="26"/>
        <v>0</v>
      </c>
      <c r="BL50" s="65"/>
      <c r="BM50" s="69"/>
      <c r="BN50" s="65"/>
      <c r="BO50" s="65"/>
      <c r="BP50" s="65"/>
      <c r="BQ50" s="118">
        <v>0</v>
      </c>
      <c r="BR50" s="119">
        <v>22</v>
      </c>
      <c r="BS50" s="120">
        <v>8.8000000000000007</v>
      </c>
      <c r="BT50" s="121">
        <f t="shared" si="27"/>
        <v>0</v>
      </c>
      <c r="BU50" s="118">
        <v>1</v>
      </c>
      <c r="BV50" s="119">
        <f>50%*22</f>
        <v>11</v>
      </c>
      <c r="BW50" s="120">
        <v>8.8000000000000007</v>
      </c>
      <c r="BX50" s="121">
        <f t="shared" si="48"/>
        <v>96.800000000000011</v>
      </c>
      <c r="BY50" s="65"/>
      <c r="BZ50" s="118">
        <v>0</v>
      </c>
      <c r="CA50" s="119">
        <v>22</v>
      </c>
      <c r="CB50" s="120">
        <v>8.8000000000000007</v>
      </c>
      <c r="CC50" s="121">
        <f t="shared" si="29"/>
        <v>0</v>
      </c>
      <c r="CD50" s="65"/>
      <c r="CE50" s="118">
        <v>0</v>
      </c>
      <c r="CF50" s="119">
        <v>22</v>
      </c>
      <c r="CG50" s="120">
        <v>8.8000000000000007</v>
      </c>
      <c r="CH50" s="121">
        <f t="shared" si="30"/>
        <v>0</v>
      </c>
      <c r="CI50" s="118">
        <v>0</v>
      </c>
      <c r="CJ50" s="119">
        <v>22</v>
      </c>
      <c r="CK50" s="120">
        <v>8.8000000000000007</v>
      </c>
      <c r="CL50" s="121">
        <f t="shared" si="31"/>
        <v>0</v>
      </c>
      <c r="CM50" s="118">
        <v>0</v>
      </c>
      <c r="CN50" s="119">
        <v>22</v>
      </c>
      <c r="CO50" s="120">
        <v>8.8000000000000007</v>
      </c>
      <c r="CP50" s="121">
        <f t="shared" si="32"/>
        <v>0</v>
      </c>
      <c r="CQ50" s="65"/>
      <c r="CR50" s="118">
        <v>0</v>
      </c>
      <c r="CS50" s="119">
        <v>22</v>
      </c>
      <c r="CT50" s="120">
        <v>8.8000000000000007</v>
      </c>
      <c r="CU50" s="121">
        <f t="shared" si="33"/>
        <v>0</v>
      </c>
      <c r="CV50" s="118">
        <v>0</v>
      </c>
      <c r="CW50" s="119">
        <v>22</v>
      </c>
      <c r="CX50" s="120">
        <v>8.8000000000000007</v>
      </c>
      <c r="CY50" s="121">
        <f t="shared" si="34"/>
        <v>0</v>
      </c>
      <c r="CZ50" s="118">
        <v>0</v>
      </c>
      <c r="DA50" s="119">
        <v>22</v>
      </c>
      <c r="DB50" s="120">
        <v>8.8000000000000007</v>
      </c>
      <c r="DC50" s="121">
        <f t="shared" si="35"/>
        <v>0</v>
      </c>
      <c r="DD50" s="65"/>
      <c r="DE50" s="118">
        <v>0</v>
      </c>
      <c r="DF50" s="119">
        <v>22</v>
      </c>
      <c r="DG50" s="120">
        <v>8.8000000000000007</v>
      </c>
      <c r="DH50" s="121">
        <f t="shared" si="36"/>
        <v>0</v>
      </c>
      <c r="DI50" s="118">
        <v>0</v>
      </c>
      <c r="DJ50" s="119">
        <v>22</v>
      </c>
      <c r="DK50" s="120">
        <v>8.8000000000000007</v>
      </c>
      <c r="DL50" s="121">
        <f t="shared" si="37"/>
        <v>0</v>
      </c>
      <c r="DM50" s="118">
        <v>0</v>
      </c>
      <c r="DN50" s="119">
        <v>22</v>
      </c>
      <c r="DO50" s="120">
        <v>8.8000000000000007</v>
      </c>
      <c r="DP50" s="121">
        <f t="shared" si="38"/>
        <v>0</v>
      </c>
      <c r="DQ50" s="65"/>
      <c r="DR50" s="118">
        <v>0</v>
      </c>
      <c r="DS50" s="119">
        <v>22</v>
      </c>
      <c r="DT50" s="120">
        <v>8.8000000000000007</v>
      </c>
      <c r="DU50" s="121">
        <f t="shared" si="39"/>
        <v>0</v>
      </c>
      <c r="DV50" s="118">
        <v>0</v>
      </c>
      <c r="DW50" s="119">
        <v>22</v>
      </c>
      <c r="DX50" s="120">
        <v>8.8000000000000007</v>
      </c>
      <c r="DY50" s="121">
        <f t="shared" si="40"/>
        <v>0</v>
      </c>
      <c r="DZ50" s="118">
        <v>0</v>
      </c>
      <c r="EA50" s="119">
        <v>22</v>
      </c>
      <c r="EB50" s="120">
        <v>8.8000000000000007</v>
      </c>
      <c r="EC50" s="121">
        <f t="shared" si="41"/>
        <v>0</v>
      </c>
      <c r="ED50" s="65"/>
      <c r="EE50" s="118">
        <v>0</v>
      </c>
      <c r="EF50" s="119">
        <v>22</v>
      </c>
      <c r="EG50" s="120">
        <v>8.8000000000000007</v>
      </c>
      <c r="EH50" s="121">
        <f t="shared" si="42"/>
        <v>0</v>
      </c>
      <c r="EI50" s="118">
        <v>0</v>
      </c>
      <c r="EJ50" s="119">
        <v>22</v>
      </c>
      <c r="EK50" s="120">
        <v>8.8000000000000007</v>
      </c>
      <c r="EL50" s="121">
        <f t="shared" si="43"/>
        <v>0</v>
      </c>
      <c r="EM50" s="118">
        <v>0</v>
      </c>
      <c r="EN50" s="119">
        <v>22</v>
      </c>
      <c r="EO50" s="120">
        <v>8.8000000000000007</v>
      </c>
      <c r="EP50" s="121">
        <f t="shared" si="44"/>
        <v>0</v>
      </c>
      <c r="EQ50" s="118">
        <v>0</v>
      </c>
      <c r="ER50" s="119">
        <v>22</v>
      </c>
      <c r="ES50" s="120">
        <v>8.8000000000000007</v>
      </c>
      <c r="ET50" s="121">
        <f t="shared" si="45"/>
        <v>0</v>
      </c>
      <c r="EU50" s="118">
        <v>0</v>
      </c>
      <c r="EV50" s="119">
        <v>22</v>
      </c>
      <c r="EW50" s="120">
        <v>8.8000000000000007</v>
      </c>
      <c r="EX50" s="121">
        <f t="shared" si="46"/>
        <v>0</v>
      </c>
      <c r="EY50" s="65"/>
      <c r="EZ50" s="78">
        <v>1000</v>
      </c>
      <c r="FA50" s="78"/>
      <c r="FB50" s="78"/>
      <c r="FC50" s="78"/>
      <c r="FD50" s="78"/>
      <c r="FE50" s="78"/>
      <c r="FF50" s="78"/>
      <c r="FG50" s="78"/>
      <c r="FH50" s="78"/>
      <c r="FI50" s="78"/>
      <c r="FJ50" s="78"/>
      <c r="FK50" s="78"/>
      <c r="FL50" s="65"/>
      <c r="FM50" s="69"/>
      <c r="FN50" s="65"/>
      <c r="FO50" s="65"/>
    </row>
    <row r="51" spans="1:181" ht="12" customHeight="1">
      <c r="A51" s="65"/>
      <c r="B51" s="105" t="str">
        <f>IFERROR(VLOOKUP(AE51,'Tabela ICMS'!$C$5:$D$32,2,0),"")</f>
        <v/>
      </c>
      <c r="C51" s="105">
        <f>IFERROR(HLOOKUP(Dashboard!$F$9,'Tabela ICMS'!$E$3:$AF$4,2,0),"")</f>
        <v>25</v>
      </c>
      <c r="D51" s="65"/>
      <c r="E51" s="106">
        <v>17</v>
      </c>
      <c r="F51" s="77" t="s">
        <v>302</v>
      </c>
      <c r="G51" s="78" t="s">
        <v>288</v>
      </c>
      <c r="H51" s="107">
        <f>HISTOGRAMA!C27</f>
        <v>2</v>
      </c>
      <c r="I51" s="65"/>
      <c r="J51" s="65"/>
      <c r="K51" s="108">
        <f t="shared" si="4"/>
        <v>38.720000000000006</v>
      </c>
      <c r="L51" s="79">
        <f t="shared" si="5"/>
        <v>0</v>
      </c>
      <c r="M51" s="80">
        <f t="shared" si="6"/>
        <v>38.720000000000006</v>
      </c>
      <c r="N51" s="78" t="s">
        <v>183</v>
      </c>
      <c r="O51" s="80">
        <f t="shared" si="7"/>
        <v>77.440000000000012</v>
      </c>
      <c r="P51" s="65"/>
      <c r="Q51" s="65"/>
      <c r="R51" s="109">
        <f t="shared" si="47"/>
        <v>4409.0962846314706</v>
      </c>
      <c r="S51" s="84">
        <f t="shared" si="8"/>
        <v>8818.1925692629411</v>
      </c>
      <c r="T51" s="109">
        <f>R51*(1+Dashboard!$D$35)</f>
        <v>6450.7626695412891</v>
      </c>
      <c r="U51" s="84">
        <f t="shared" si="9"/>
        <v>12901.525339082578</v>
      </c>
      <c r="V51" s="65"/>
      <c r="W51" s="65"/>
      <c r="X51" s="108">
        <f t="shared" si="10"/>
        <v>0</v>
      </c>
      <c r="Y51" s="122"/>
      <c r="Z51" s="112"/>
      <c r="AA51" s="112" t="s">
        <v>289</v>
      </c>
      <c r="AB51" s="81">
        <f t="shared" si="11"/>
        <v>0</v>
      </c>
      <c r="AC51" s="84">
        <f t="shared" si="12"/>
        <v>0</v>
      </c>
      <c r="AD51" s="65"/>
      <c r="AE51" s="113"/>
      <c r="AF51" s="114" cm="1">
        <f t="array" ref="AF51">IFERROR(INDEX('Tabela ICMS'!$E$5:$AF$32,Tarefas!B51,Tarefas!C51),0)</f>
        <v>0</v>
      </c>
      <c r="AG51" s="115">
        <f>IF(AA51="FD",(Dashboard!$D$43+Dashboard!$D$44),(Dashboard!$D$30+Dashboard!$D$31))</f>
        <v>3.6499999999999998E-2</v>
      </c>
      <c r="AH51" s="115">
        <f>IF(AA51="FD",(Dashboard!$D$46),(Dashboard!$D$33))</f>
        <v>0</v>
      </c>
      <c r="AI51" s="115">
        <f>IF(AA51="FD",(Dashboard!$D$45),(Dashboard!$D$32))</f>
        <v>0.05</v>
      </c>
      <c r="AJ51" s="116"/>
      <c r="AK51" s="116"/>
      <c r="AL51" s="65"/>
      <c r="AM51" s="81">
        <f>IF(AA51="FD",AB51*(1+Dashboard!$D$48),AB51*(1+Dashboard!$D$35))</f>
        <v>0</v>
      </c>
      <c r="AN51" s="84">
        <f t="shared" si="13"/>
        <v>0</v>
      </c>
      <c r="AO51" s="65"/>
      <c r="AP51" s="65"/>
      <c r="AQ51" s="81">
        <f t="shared" si="14"/>
        <v>6450.7626695412891</v>
      </c>
      <c r="AR51" s="81">
        <f t="shared" si="15"/>
        <v>0</v>
      </c>
      <c r="AS51" s="117">
        <f t="shared" si="16"/>
        <v>6450.76</v>
      </c>
      <c r="AT51" s="84">
        <f t="shared" si="17"/>
        <v>12901.53</v>
      </c>
      <c r="AU51" s="114">
        <f t="shared" si="18"/>
        <v>8.3977070339314383E-3</v>
      </c>
      <c r="AV51" s="65"/>
      <c r="AW51" s="69"/>
      <c r="AX51" s="65"/>
      <c r="AY51" s="65"/>
      <c r="AZ51" s="93">
        <f t="shared" si="19"/>
        <v>1115.9819418306431</v>
      </c>
      <c r="BA51" s="94">
        <f>(Dashboard!$D$30+Dashboard!$D$31)*U51</f>
        <v>470.90567487651407</v>
      </c>
      <c r="BB51" s="94">
        <f>Dashboard!$D$33*U51</f>
        <v>0</v>
      </c>
      <c r="BC51" s="94">
        <f>Dashboard!$D$32*U51</f>
        <v>645.07626695412898</v>
      </c>
      <c r="BD51" s="65"/>
      <c r="BE51" s="93">
        <f t="shared" si="20"/>
        <v>0</v>
      </c>
      <c r="BF51" s="94">
        <f t="shared" si="21"/>
        <v>0</v>
      </c>
      <c r="BG51" s="94">
        <f t="shared" si="22"/>
        <v>0</v>
      </c>
      <c r="BH51" s="94">
        <f t="shared" si="23"/>
        <v>0</v>
      </c>
      <c r="BI51" s="94">
        <f t="shared" si="24"/>
        <v>0</v>
      </c>
      <c r="BJ51" s="94">
        <f t="shared" si="25"/>
        <v>0</v>
      </c>
      <c r="BK51" s="94">
        <f t="shared" si="26"/>
        <v>0</v>
      </c>
      <c r="BL51" s="65"/>
      <c r="BM51" s="69"/>
      <c r="BN51" s="65"/>
      <c r="BO51" s="65"/>
      <c r="BP51" s="65"/>
      <c r="BQ51" s="118">
        <v>0</v>
      </c>
      <c r="BR51" s="119">
        <v>22</v>
      </c>
      <c r="BS51" s="120">
        <v>8.8000000000000007</v>
      </c>
      <c r="BT51" s="121">
        <f t="shared" si="27"/>
        <v>0</v>
      </c>
      <c r="BU51" s="118">
        <v>0</v>
      </c>
      <c r="BV51" s="119">
        <v>22</v>
      </c>
      <c r="BW51" s="120">
        <v>8.8000000000000007</v>
      </c>
      <c r="BX51" s="121">
        <f t="shared" si="48"/>
        <v>0</v>
      </c>
      <c r="BY51" s="65"/>
      <c r="BZ51" s="118">
        <v>0</v>
      </c>
      <c r="CA51" s="119">
        <v>22</v>
      </c>
      <c r="CB51" s="120">
        <v>8.8000000000000007</v>
      </c>
      <c r="CC51" s="121">
        <f t="shared" si="29"/>
        <v>0</v>
      </c>
      <c r="CD51" s="65"/>
      <c r="CE51" s="118">
        <v>0</v>
      </c>
      <c r="CF51" s="119">
        <v>22</v>
      </c>
      <c r="CG51" s="120">
        <v>8.8000000000000007</v>
      </c>
      <c r="CH51" s="121">
        <f t="shared" si="30"/>
        <v>0</v>
      </c>
      <c r="CI51" s="118">
        <v>1</v>
      </c>
      <c r="CJ51" s="119">
        <f>20%*22</f>
        <v>4.4000000000000004</v>
      </c>
      <c r="CK51" s="120">
        <v>8.8000000000000007</v>
      </c>
      <c r="CL51" s="121">
        <f t="shared" ref="CL51:CL52" si="188">CI51*CJ51*CK51</f>
        <v>38.720000000000006</v>
      </c>
      <c r="CM51" s="118">
        <v>0</v>
      </c>
      <c r="CN51" s="119">
        <v>22</v>
      </c>
      <c r="CO51" s="120">
        <v>8.8000000000000007</v>
      </c>
      <c r="CP51" s="121">
        <f t="shared" si="32"/>
        <v>0</v>
      </c>
      <c r="CQ51" s="65"/>
      <c r="CR51" s="118">
        <v>0</v>
      </c>
      <c r="CS51" s="119">
        <v>22</v>
      </c>
      <c r="CT51" s="120">
        <v>8.8000000000000007</v>
      </c>
      <c r="CU51" s="121">
        <f t="shared" si="33"/>
        <v>0</v>
      </c>
      <c r="CV51" s="118">
        <v>0</v>
      </c>
      <c r="CW51" s="119">
        <v>22</v>
      </c>
      <c r="CX51" s="120">
        <v>8.8000000000000007</v>
      </c>
      <c r="CY51" s="121">
        <f t="shared" si="34"/>
        <v>0</v>
      </c>
      <c r="CZ51" s="118">
        <v>0</v>
      </c>
      <c r="DA51" s="119">
        <v>22</v>
      </c>
      <c r="DB51" s="120">
        <v>8.8000000000000007</v>
      </c>
      <c r="DC51" s="121">
        <f t="shared" si="35"/>
        <v>0</v>
      </c>
      <c r="DD51" s="65"/>
      <c r="DE51" s="118">
        <v>0</v>
      </c>
      <c r="DF51" s="119">
        <v>22</v>
      </c>
      <c r="DG51" s="120">
        <v>8.8000000000000007</v>
      </c>
      <c r="DH51" s="121">
        <f t="shared" si="36"/>
        <v>0</v>
      </c>
      <c r="DI51" s="118">
        <v>0</v>
      </c>
      <c r="DJ51" s="119">
        <v>22</v>
      </c>
      <c r="DK51" s="120">
        <v>8.8000000000000007</v>
      </c>
      <c r="DL51" s="121">
        <f t="shared" si="37"/>
        <v>0</v>
      </c>
      <c r="DM51" s="118">
        <v>0</v>
      </c>
      <c r="DN51" s="119">
        <v>22</v>
      </c>
      <c r="DO51" s="120">
        <v>8.8000000000000007</v>
      </c>
      <c r="DP51" s="121">
        <f t="shared" si="38"/>
        <v>0</v>
      </c>
      <c r="DQ51" s="65"/>
      <c r="DR51" s="118">
        <v>0</v>
      </c>
      <c r="DS51" s="119">
        <v>22</v>
      </c>
      <c r="DT51" s="120">
        <v>8.8000000000000007</v>
      </c>
      <c r="DU51" s="121">
        <f t="shared" si="39"/>
        <v>0</v>
      </c>
      <c r="DV51" s="118">
        <v>0</v>
      </c>
      <c r="DW51" s="119">
        <v>22</v>
      </c>
      <c r="DX51" s="120">
        <v>8.8000000000000007</v>
      </c>
      <c r="DY51" s="121">
        <f t="shared" si="40"/>
        <v>0</v>
      </c>
      <c r="DZ51" s="118">
        <v>0</v>
      </c>
      <c r="EA51" s="119">
        <v>22</v>
      </c>
      <c r="EB51" s="120">
        <v>8.8000000000000007</v>
      </c>
      <c r="EC51" s="121">
        <f t="shared" si="41"/>
        <v>0</v>
      </c>
      <c r="ED51" s="65"/>
      <c r="EE51" s="118">
        <v>0</v>
      </c>
      <c r="EF51" s="119">
        <v>22</v>
      </c>
      <c r="EG51" s="120">
        <v>8.8000000000000007</v>
      </c>
      <c r="EH51" s="121">
        <f t="shared" si="42"/>
        <v>0</v>
      </c>
      <c r="EI51" s="118">
        <v>0</v>
      </c>
      <c r="EJ51" s="119">
        <v>22</v>
      </c>
      <c r="EK51" s="120">
        <v>8.8000000000000007</v>
      </c>
      <c r="EL51" s="121">
        <f t="shared" si="43"/>
        <v>0</v>
      </c>
      <c r="EM51" s="118">
        <v>0</v>
      </c>
      <c r="EN51" s="119">
        <v>22</v>
      </c>
      <c r="EO51" s="120">
        <v>8.8000000000000007</v>
      </c>
      <c r="EP51" s="121">
        <f t="shared" si="44"/>
        <v>0</v>
      </c>
      <c r="EQ51" s="118">
        <v>0</v>
      </c>
      <c r="ER51" s="119">
        <v>22</v>
      </c>
      <c r="ES51" s="120">
        <v>8.8000000000000007</v>
      </c>
      <c r="ET51" s="121">
        <f t="shared" si="45"/>
        <v>0</v>
      </c>
      <c r="EU51" s="118">
        <v>0</v>
      </c>
      <c r="EV51" s="119">
        <v>22</v>
      </c>
      <c r="EW51" s="120">
        <v>8.8000000000000007</v>
      </c>
      <c r="EX51" s="121">
        <f t="shared" si="46"/>
        <v>0</v>
      </c>
      <c r="EY51" s="65"/>
      <c r="EZ51" s="78"/>
      <c r="FA51" s="78"/>
      <c r="FB51" s="78"/>
      <c r="FC51" s="78"/>
      <c r="FD51" s="78"/>
      <c r="FE51" s="78"/>
      <c r="FF51" s="78"/>
      <c r="FG51" s="78"/>
      <c r="FH51" s="78"/>
      <c r="FI51" s="78"/>
      <c r="FJ51" s="78"/>
      <c r="FK51" s="78"/>
      <c r="FL51" s="65"/>
      <c r="FM51" s="69"/>
      <c r="FN51" s="65"/>
      <c r="FO51" s="65"/>
    </row>
    <row r="52" spans="1:181" ht="12" customHeight="1">
      <c r="A52" s="65"/>
      <c r="B52" s="105" t="str">
        <f>IFERROR(VLOOKUP(AE52,'Tabela ICMS'!$C$5:$D$32,2,0),"")</f>
        <v/>
      </c>
      <c r="C52" s="105">
        <f>IFERROR(HLOOKUP(Dashboard!$F$9,'Tabela ICMS'!$E$3:$AF$4,2,0),"")</f>
        <v>25</v>
      </c>
      <c r="D52" s="65"/>
      <c r="E52" s="106">
        <v>18</v>
      </c>
      <c r="F52" s="77" t="s">
        <v>303</v>
      </c>
      <c r="G52" s="78" t="s">
        <v>288</v>
      </c>
      <c r="H52" s="107">
        <f>HISTOGRAMA!C28</f>
        <v>2</v>
      </c>
      <c r="I52" s="65"/>
      <c r="J52" s="65"/>
      <c r="K52" s="108">
        <f t="shared" si="4"/>
        <v>19.360000000000003</v>
      </c>
      <c r="L52" s="79">
        <f t="shared" si="5"/>
        <v>0</v>
      </c>
      <c r="M52" s="80">
        <f t="shared" si="6"/>
        <v>19.360000000000003</v>
      </c>
      <c r="N52" s="78" t="s">
        <v>184</v>
      </c>
      <c r="O52" s="80">
        <f t="shared" si="7"/>
        <v>38.720000000000006</v>
      </c>
      <c r="P52" s="65"/>
      <c r="Q52" s="65"/>
      <c r="R52" s="109">
        <f t="shared" si="47"/>
        <v>2204.5481423157353</v>
      </c>
      <c r="S52" s="84">
        <f t="shared" si="8"/>
        <v>4409.0962846314706</v>
      </c>
      <c r="T52" s="109">
        <f>R52*(1+Dashboard!$D$35)</f>
        <v>3225.3813347706446</v>
      </c>
      <c r="U52" s="84">
        <f t="shared" si="9"/>
        <v>6450.7626695412891</v>
      </c>
      <c r="V52" s="65"/>
      <c r="W52" s="65"/>
      <c r="X52" s="108">
        <f t="shared" si="10"/>
        <v>1000</v>
      </c>
      <c r="Y52" s="122"/>
      <c r="Z52" s="112"/>
      <c r="AA52" s="112" t="s">
        <v>289</v>
      </c>
      <c r="AB52" s="81">
        <f t="shared" si="11"/>
        <v>1000</v>
      </c>
      <c r="AC52" s="84">
        <f t="shared" si="12"/>
        <v>2000</v>
      </c>
      <c r="AD52" s="65"/>
      <c r="AE52" s="113"/>
      <c r="AF52" s="114" cm="1">
        <f t="array" ref="AF52">IFERROR(INDEX('Tabela ICMS'!$E$5:$AF$32,Tarefas!B52,Tarefas!C52),0)</f>
        <v>0</v>
      </c>
      <c r="AG52" s="115">
        <f>IF(AA52="FD",(Dashboard!$D$43+Dashboard!$D$44),(Dashboard!$D$30+Dashboard!$D$31))</f>
        <v>3.6499999999999998E-2</v>
      </c>
      <c r="AH52" s="115">
        <f>IF(AA52="FD",(Dashboard!$D$46),(Dashboard!$D$33))</f>
        <v>0</v>
      </c>
      <c r="AI52" s="115">
        <f>IF(AA52="FD",(Dashboard!$D$45),(Dashboard!$D$32))</f>
        <v>0.05</v>
      </c>
      <c r="AJ52" s="116"/>
      <c r="AK52" s="116"/>
      <c r="AL52" s="65"/>
      <c r="AM52" s="81">
        <f>IF(AA52="FD",AB52*(1+Dashboard!$D$48),AB52*(1+Dashboard!$D$35))</f>
        <v>1463.057790782736</v>
      </c>
      <c r="AN52" s="84">
        <f t="shared" si="13"/>
        <v>2926.115581565472</v>
      </c>
      <c r="AO52" s="65"/>
      <c r="AP52" s="65"/>
      <c r="AQ52" s="81">
        <f t="shared" si="14"/>
        <v>3225.3813347706446</v>
      </c>
      <c r="AR52" s="81">
        <f t="shared" si="15"/>
        <v>1463.057790782736</v>
      </c>
      <c r="AS52" s="117">
        <f t="shared" si="16"/>
        <v>4688.4399999999996</v>
      </c>
      <c r="AT52" s="84">
        <f t="shared" si="17"/>
        <v>9376.8799999999992</v>
      </c>
      <c r="AU52" s="114">
        <f t="shared" si="18"/>
        <v>6.10348471323409E-3</v>
      </c>
      <c r="AV52" s="65"/>
      <c r="AW52" s="69"/>
      <c r="AX52" s="65"/>
      <c r="AY52" s="65"/>
      <c r="AZ52" s="93">
        <f t="shared" si="19"/>
        <v>557.99097091532155</v>
      </c>
      <c r="BA52" s="94">
        <f>(Dashboard!$D$30+Dashboard!$D$31)*U52</f>
        <v>235.45283743825703</v>
      </c>
      <c r="BB52" s="94">
        <f>Dashboard!$D$33*U52</f>
        <v>0</v>
      </c>
      <c r="BC52" s="94">
        <f>Dashboard!$D$32*U52</f>
        <v>322.53813347706449</v>
      </c>
      <c r="BD52" s="65"/>
      <c r="BE52" s="93">
        <f t="shared" si="20"/>
        <v>253.10899780541334</v>
      </c>
      <c r="BF52" s="94">
        <f t="shared" si="21"/>
        <v>0</v>
      </c>
      <c r="BG52" s="94">
        <f t="shared" si="22"/>
        <v>106.80321872713972</v>
      </c>
      <c r="BH52" s="94">
        <f t="shared" si="23"/>
        <v>0</v>
      </c>
      <c r="BI52" s="94">
        <f t="shared" si="24"/>
        <v>146.30577907827362</v>
      </c>
      <c r="BJ52" s="94">
        <f t="shared" si="25"/>
        <v>0</v>
      </c>
      <c r="BK52" s="94">
        <f t="shared" si="26"/>
        <v>0</v>
      </c>
      <c r="BL52" s="65"/>
      <c r="BM52" s="69"/>
      <c r="BN52" s="65"/>
      <c r="BO52" s="65"/>
      <c r="BP52" s="65"/>
      <c r="BQ52" s="118">
        <v>0</v>
      </c>
      <c r="BR52" s="119">
        <v>22</v>
      </c>
      <c r="BS52" s="120">
        <v>8.8000000000000007</v>
      </c>
      <c r="BT52" s="121">
        <f t="shared" si="27"/>
        <v>0</v>
      </c>
      <c r="BU52" s="118">
        <v>0</v>
      </c>
      <c r="BV52" s="119">
        <v>22</v>
      </c>
      <c r="BW52" s="120">
        <v>8.8000000000000007</v>
      </c>
      <c r="BX52" s="121">
        <f t="shared" si="48"/>
        <v>0</v>
      </c>
      <c r="BY52" s="65"/>
      <c r="BZ52" s="118">
        <v>0</v>
      </c>
      <c r="CA52" s="119">
        <v>22</v>
      </c>
      <c r="CB52" s="120">
        <v>8.8000000000000007</v>
      </c>
      <c r="CC52" s="121">
        <f t="shared" si="29"/>
        <v>0</v>
      </c>
      <c r="CD52" s="65"/>
      <c r="CE52" s="118">
        <v>0</v>
      </c>
      <c r="CF52" s="119">
        <v>22</v>
      </c>
      <c r="CG52" s="120">
        <v>8.8000000000000007</v>
      </c>
      <c r="CH52" s="121">
        <f t="shared" si="30"/>
        <v>0</v>
      </c>
      <c r="CI52" s="118">
        <v>1</v>
      </c>
      <c r="CJ52" s="119">
        <f>10%*22</f>
        <v>2.2000000000000002</v>
      </c>
      <c r="CK52" s="120">
        <v>8.8000000000000007</v>
      </c>
      <c r="CL52" s="121">
        <f t="shared" si="188"/>
        <v>19.360000000000003</v>
      </c>
      <c r="CM52" s="118">
        <v>0</v>
      </c>
      <c r="CN52" s="119">
        <v>22</v>
      </c>
      <c r="CO52" s="120">
        <v>8.8000000000000007</v>
      </c>
      <c r="CP52" s="121">
        <f t="shared" si="32"/>
        <v>0</v>
      </c>
      <c r="CQ52" s="65"/>
      <c r="CR52" s="118">
        <v>0</v>
      </c>
      <c r="CS52" s="119">
        <v>22</v>
      </c>
      <c r="CT52" s="120">
        <v>8.8000000000000007</v>
      </c>
      <c r="CU52" s="121">
        <f t="shared" si="33"/>
        <v>0</v>
      </c>
      <c r="CV52" s="118">
        <v>0</v>
      </c>
      <c r="CW52" s="119">
        <v>22</v>
      </c>
      <c r="CX52" s="120">
        <v>8.8000000000000007</v>
      </c>
      <c r="CY52" s="121">
        <f t="shared" si="34"/>
        <v>0</v>
      </c>
      <c r="CZ52" s="118">
        <v>0</v>
      </c>
      <c r="DA52" s="119">
        <v>22</v>
      </c>
      <c r="DB52" s="120">
        <v>8.8000000000000007</v>
      </c>
      <c r="DC52" s="121">
        <f t="shared" si="35"/>
        <v>0</v>
      </c>
      <c r="DD52" s="65"/>
      <c r="DE52" s="118">
        <v>0</v>
      </c>
      <c r="DF52" s="119">
        <v>22</v>
      </c>
      <c r="DG52" s="120">
        <v>8.8000000000000007</v>
      </c>
      <c r="DH52" s="121">
        <f t="shared" si="36"/>
        <v>0</v>
      </c>
      <c r="DI52" s="118">
        <v>0</v>
      </c>
      <c r="DJ52" s="119">
        <v>22</v>
      </c>
      <c r="DK52" s="120">
        <v>8.8000000000000007</v>
      </c>
      <c r="DL52" s="121">
        <f t="shared" si="37"/>
        <v>0</v>
      </c>
      <c r="DM52" s="118">
        <v>0</v>
      </c>
      <c r="DN52" s="119">
        <v>22</v>
      </c>
      <c r="DO52" s="120">
        <v>8.8000000000000007</v>
      </c>
      <c r="DP52" s="121">
        <f t="shared" si="38"/>
        <v>0</v>
      </c>
      <c r="DQ52" s="65"/>
      <c r="DR52" s="118">
        <v>0</v>
      </c>
      <c r="DS52" s="119">
        <v>22</v>
      </c>
      <c r="DT52" s="120">
        <v>8.8000000000000007</v>
      </c>
      <c r="DU52" s="121">
        <f t="shared" si="39"/>
        <v>0</v>
      </c>
      <c r="DV52" s="118">
        <v>0</v>
      </c>
      <c r="DW52" s="119">
        <v>22</v>
      </c>
      <c r="DX52" s="120">
        <v>8.8000000000000007</v>
      </c>
      <c r="DY52" s="121">
        <f t="shared" si="40"/>
        <v>0</v>
      </c>
      <c r="DZ52" s="118">
        <v>0</v>
      </c>
      <c r="EA52" s="119">
        <v>22</v>
      </c>
      <c r="EB52" s="120">
        <v>8.8000000000000007</v>
      </c>
      <c r="EC52" s="121">
        <f t="shared" si="41"/>
        <v>0</v>
      </c>
      <c r="ED52" s="65"/>
      <c r="EE52" s="118">
        <v>0</v>
      </c>
      <c r="EF52" s="119">
        <v>22</v>
      </c>
      <c r="EG52" s="120">
        <v>8.8000000000000007</v>
      </c>
      <c r="EH52" s="121">
        <f t="shared" si="42"/>
        <v>0</v>
      </c>
      <c r="EI52" s="118">
        <v>0</v>
      </c>
      <c r="EJ52" s="119">
        <v>22</v>
      </c>
      <c r="EK52" s="120">
        <v>8.8000000000000007</v>
      </c>
      <c r="EL52" s="121">
        <f t="shared" si="43"/>
        <v>0</v>
      </c>
      <c r="EM52" s="118">
        <v>0</v>
      </c>
      <c r="EN52" s="119">
        <v>22</v>
      </c>
      <c r="EO52" s="120">
        <v>8.8000000000000007</v>
      </c>
      <c r="EP52" s="121">
        <f t="shared" si="44"/>
        <v>0</v>
      </c>
      <c r="EQ52" s="118">
        <v>0</v>
      </c>
      <c r="ER52" s="119">
        <v>22</v>
      </c>
      <c r="ES52" s="120">
        <v>8.8000000000000007</v>
      </c>
      <c r="ET52" s="121">
        <f t="shared" si="45"/>
        <v>0</v>
      </c>
      <c r="EU52" s="118">
        <v>0</v>
      </c>
      <c r="EV52" s="119">
        <v>22</v>
      </c>
      <c r="EW52" s="120">
        <v>8.8000000000000007</v>
      </c>
      <c r="EX52" s="121">
        <f t="shared" si="46"/>
        <v>0</v>
      </c>
      <c r="EY52" s="65"/>
      <c r="EZ52" s="78">
        <v>1000</v>
      </c>
      <c r="FA52" s="78"/>
      <c r="FB52" s="78"/>
      <c r="FC52" s="78"/>
      <c r="FD52" s="78"/>
      <c r="FE52" s="78"/>
      <c r="FF52" s="78"/>
      <c r="FG52" s="78"/>
      <c r="FH52" s="78"/>
      <c r="FI52" s="78"/>
      <c r="FJ52" s="78"/>
      <c r="FK52" s="78"/>
      <c r="FL52" s="65"/>
      <c r="FM52" s="69"/>
      <c r="FN52" s="65"/>
      <c r="FO52" s="65"/>
    </row>
    <row r="53" spans="1:181" ht="12" customHeight="1">
      <c r="A53" s="65"/>
      <c r="B53" s="105" t="str">
        <f>IFERROR(VLOOKUP(AE53,'Tabela ICMS'!$C$5:$D$32,2,0),"")</f>
        <v/>
      </c>
      <c r="C53" s="105">
        <f>IFERROR(HLOOKUP(Dashboard!$F$9,'Tabela ICMS'!$E$3:$AF$4,2,0),"")</f>
        <v>25</v>
      </c>
      <c r="D53" s="65"/>
      <c r="E53" s="106">
        <v>19</v>
      </c>
      <c r="F53" s="77" t="s">
        <v>304</v>
      </c>
      <c r="G53" s="78" t="s">
        <v>288</v>
      </c>
      <c r="H53" s="107">
        <f>HISTOGRAMA!C29</f>
        <v>1</v>
      </c>
      <c r="I53" s="65"/>
      <c r="J53" s="65"/>
      <c r="K53" s="108">
        <f t="shared" si="4"/>
        <v>96.800000000000011</v>
      </c>
      <c r="L53" s="79">
        <f t="shared" si="5"/>
        <v>0</v>
      </c>
      <c r="M53" s="80">
        <f t="shared" si="6"/>
        <v>96.800000000000011</v>
      </c>
      <c r="N53" s="78" t="s">
        <v>185</v>
      </c>
      <c r="O53" s="80">
        <f t="shared" si="7"/>
        <v>96.800000000000011</v>
      </c>
      <c r="P53" s="65"/>
      <c r="Q53" s="65"/>
      <c r="R53" s="109">
        <f t="shared" si="47"/>
        <v>5842.0525771366983</v>
      </c>
      <c r="S53" s="84">
        <f t="shared" si="8"/>
        <v>5842.0525771366983</v>
      </c>
      <c r="T53" s="109">
        <f>R53*(1+Dashboard!$D$35)</f>
        <v>8547.2605371422069</v>
      </c>
      <c r="U53" s="84">
        <f t="shared" si="9"/>
        <v>8547.2605371422069</v>
      </c>
      <c r="V53" s="65"/>
      <c r="W53" s="65"/>
      <c r="X53" s="108">
        <f t="shared" si="10"/>
        <v>0</v>
      </c>
      <c r="Y53" s="122"/>
      <c r="Z53" s="112"/>
      <c r="AA53" s="112" t="s">
        <v>289</v>
      </c>
      <c r="AB53" s="81">
        <f t="shared" si="11"/>
        <v>0</v>
      </c>
      <c r="AC53" s="84">
        <f t="shared" si="12"/>
        <v>0</v>
      </c>
      <c r="AD53" s="65"/>
      <c r="AE53" s="113"/>
      <c r="AF53" s="114" cm="1">
        <f t="array" ref="AF53">IFERROR(INDEX('Tabela ICMS'!$E$5:$AF$32,Tarefas!B53,Tarefas!C53),0)</f>
        <v>0</v>
      </c>
      <c r="AG53" s="115">
        <f>IF(AA53="FD",(Dashboard!$D$43+Dashboard!$D$44),(Dashboard!$D$30+Dashboard!$D$31))</f>
        <v>3.6499999999999998E-2</v>
      </c>
      <c r="AH53" s="115">
        <f>IF(AA53="FD",(Dashboard!$D$46),(Dashboard!$D$33))</f>
        <v>0</v>
      </c>
      <c r="AI53" s="115">
        <f>IF(AA53="FD",(Dashboard!$D$45),(Dashboard!$D$32))</f>
        <v>0.05</v>
      </c>
      <c r="AJ53" s="116"/>
      <c r="AK53" s="116"/>
      <c r="AL53" s="65"/>
      <c r="AM53" s="81">
        <f>IF(AA53="FD",AB53*(1+Dashboard!$D$48),AB53*(1+Dashboard!$D$35))</f>
        <v>0</v>
      </c>
      <c r="AN53" s="84">
        <f t="shared" si="13"/>
        <v>0</v>
      </c>
      <c r="AO53" s="65"/>
      <c r="AP53" s="65"/>
      <c r="AQ53" s="81">
        <f t="shared" si="14"/>
        <v>8547.2605371422069</v>
      </c>
      <c r="AR53" s="81">
        <f t="shared" si="15"/>
        <v>0</v>
      </c>
      <c r="AS53" s="117">
        <f t="shared" si="16"/>
        <v>8547.26</v>
      </c>
      <c r="AT53" s="84">
        <f t="shared" si="17"/>
        <v>8547.26</v>
      </c>
      <c r="AU53" s="114">
        <f t="shared" si="18"/>
        <v>5.5634785504386549E-3</v>
      </c>
      <c r="AV53" s="65"/>
      <c r="AW53" s="69"/>
      <c r="AX53" s="65"/>
      <c r="AY53" s="65"/>
      <c r="AZ53" s="93">
        <f t="shared" si="19"/>
        <v>739.33803646280091</v>
      </c>
      <c r="BA53" s="94">
        <f>(Dashboard!$D$30+Dashboard!$D$31)*U53</f>
        <v>311.97500960569056</v>
      </c>
      <c r="BB53" s="94">
        <f>Dashboard!$D$33*U53</f>
        <v>0</v>
      </c>
      <c r="BC53" s="94">
        <f>Dashboard!$D$32*U53</f>
        <v>427.36302685711036</v>
      </c>
      <c r="BD53" s="65"/>
      <c r="BE53" s="93">
        <f t="shared" si="20"/>
        <v>0</v>
      </c>
      <c r="BF53" s="94">
        <f t="shared" si="21"/>
        <v>0</v>
      </c>
      <c r="BG53" s="94">
        <f t="shared" si="22"/>
        <v>0</v>
      </c>
      <c r="BH53" s="94">
        <f t="shared" si="23"/>
        <v>0</v>
      </c>
      <c r="BI53" s="94">
        <f t="shared" si="24"/>
        <v>0</v>
      </c>
      <c r="BJ53" s="94">
        <f t="shared" si="25"/>
        <v>0</v>
      </c>
      <c r="BK53" s="94">
        <f t="shared" si="26"/>
        <v>0</v>
      </c>
      <c r="BL53" s="65"/>
      <c r="BM53" s="69"/>
      <c r="BN53" s="65"/>
      <c r="BO53" s="65"/>
      <c r="BP53" s="65"/>
      <c r="BQ53" s="118">
        <v>0</v>
      </c>
      <c r="BR53" s="119">
        <v>22</v>
      </c>
      <c r="BS53" s="120">
        <v>8.8000000000000007</v>
      </c>
      <c r="BT53" s="121">
        <f t="shared" si="27"/>
        <v>0</v>
      </c>
      <c r="BU53" s="118">
        <v>0</v>
      </c>
      <c r="BV53" s="119">
        <v>22</v>
      </c>
      <c r="BW53" s="120">
        <v>8.8000000000000007</v>
      </c>
      <c r="BX53" s="121">
        <f t="shared" si="48"/>
        <v>0</v>
      </c>
      <c r="BY53" s="65"/>
      <c r="BZ53" s="118">
        <v>0</v>
      </c>
      <c r="CA53" s="119">
        <v>22</v>
      </c>
      <c r="CB53" s="120">
        <v>8.8000000000000007</v>
      </c>
      <c r="CC53" s="121">
        <f t="shared" si="29"/>
        <v>0</v>
      </c>
      <c r="CD53" s="65"/>
      <c r="CE53" s="118">
        <v>0</v>
      </c>
      <c r="CF53" s="119">
        <v>22</v>
      </c>
      <c r="CG53" s="120">
        <v>8.8000000000000007</v>
      </c>
      <c r="CH53" s="121">
        <f t="shared" si="30"/>
        <v>0</v>
      </c>
      <c r="CI53" s="118">
        <v>0</v>
      </c>
      <c r="CJ53" s="119">
        <v>22</v>
      </c>
      <c r="CK53" s="120">
        <v>8.8000000000000007</v>
      </c>
      <c r="CL53" s="121">
        <f t="shared" si="31"/>
        <v>0</v>
      </c>
      <c r="CM53" s="118">
        <v>0</v>
      </c>
      <c r="CN53" s="119">
        <v>22</v>
      </c>
      <c r="CO53" s="120">
        <v>8.8000000000000007</v>
      </c>
      <c r="CP53" s="121">
        <f t="shared" si="32"/>
        <v>0</v>
      </c>
      <c r="CQ53" s="65"/>
      <c r="CR53" s="118">
        <v>0</v>
      </c>
      <c r="CS53" s="119">
        <v>22</v>
      </c>
      <c r="CT53" s="120">
        <v>8.8000000000000007</v>
      </c>
      <c r="CU53" s="121">
        <f t="shared" si="33"/>
        <v>0</v>
      </c>
      <c r="CV53" s="118">
        <v>0</v>
      </c>
      <c r="CW53" s="119">
        <v>22</v>
      </c>
      <c r="CX53" s="120">
        <v>8.8000000000000007</v>
      </c>
      <c r="CY53" s="121">
        <f t="shared" si="34"/>
        <v>0</v>
      </c>
      <c r="CZ53" s="118">
        <v>0</v>
      </c>
      <c r="DA53" s="119">
        <v>22</v>
      </c>
      <c r="DB53" s="120">
        <v>8.8000000000000007</v>
      </c>
      <c r="DC53" s="121">
        <f t="shared" si="35"/>
        <v>0</v>
      </c>
      <c r="DD53" s="65"/>
      <c r="DE53" s="118">
        <v>1</v>
      </c>
      <c r="DF53" s="119">
        <f>22/2</f>
        <v>11</v>
      </c>
      <c r="DG53" s="120">
        <v>8.8000000000000007</v>
      </c>
      <c r="DH53" s="121">
        <f t="shared" si="36"/>
        <v>96.800000000000011</v>
      </c>
      <c r="DI53" s="118">
        <v>0</v>
      </c>
      <c r="DJ53" s="119">
        <v>22</v>
      </c>
      <c r="DK53" s="120">
        <v>8.8000000000000007</v>
      </c>
      <c r="DL53" s="121">
        <f t="shared" si="37"/>
        <v>0</v>
      </c>
      <c r="DM53" s="118">
        <v>0</v>
      </c>
      <c r="DN53" s="119">
        <v>22</v>
      </c>
      <c r="DO53" s="120">
        <v>8.8000000000000007</v>
      </c>
      <c r="DP53" s="121">
        <f t="shared" si="38"/>
        <v>0</v>
      </c>
      <c r="DQ53" s="65"/>
      <c r="DR53" s="118">
        <v>0</v>
      </c>
      <c r="DS53" s="119">
        <v>22</v>
      </c>
      <c r="DT53" s="120">
        <v>8.8000000000000007</v>
      </c>
      <c r="DU53" s="121">
        <f t="shared" si="39"/>
        <v>0</v>
      </c>
      <c r="DV53" s="118">
        <v>0</v>
      </c>
      <c r="DW53" s="119">
        <v>22</v>
      </c>
      <c r="DX53" s="120">
        <v>8.8000000000000007</v>
      </c>
      <c r="DY53" s="121">
        <f t="shared" si="40"/>
        <v>0</v>
      </c>
      <c r="DZ53" s="118">
        <v>0</v>
      </c>
      <c r="EA53" s="119">
        <v>22</v>
      </c>
      <c r="EB53" s="120">
        <v>8.8000000000000007</v>
      </c>
      <c r="EC53" s="121">
        <f t="shared" si="41"/>
        <v>0</v>
      </c>
      <c r="ED53" s="65"/>
      <c r="EE53" s="118">
        <v>0</v>
      </c>
      <c r="EF53" s="119">
        <v>22</v>
      </c>
      <c r="EG53" s="120">
        <v>8.8000000000000007</v>
      </c>
      <c r="EH53" s="121">
        <f t="shared" si="42"/>
        <v>0</v>
      </c>
      <c r="EI53" s="118">
        <v>0</v>
      </c>
      <c r="EJ53" s="119">
        <v>22</v>
      </c>
      <c r="EK53" s="120">
        <v>8.8000000000000007</v>
      </c>
      <c r="EL53" s="121">
        <f t="shared" si="43"/>
        <v>0</v>
      </c>
      <c r="EM53" s="118">
        <v>0</v>
      </c>
      <c r="EN53" s="119">
        <v>22</v>
      </c>
      <c r="EO53" s="120">
        <v>8.8000000000000007</v>
      </c>
      <c r="EP53" s="121">
        <f t="shared" si="44"/>
        <v>0</v>
      </c>
      <c r="EQ53" s="118">
        <v>0</v>
      </c>
      <c r="ER53" s="119">
        <v>22</v>
      </c>
      <c r="ES53" s="120">
        <v>8.8000000000000007</v>
      </c>
      <c r="ET53" s="121">
        <f t="shared" si="45"/>
        <v>0</v>
      </c>
      <c r="EU53" s="118">
        <v>0</v>
      </c>
      <c r="EV53" s="119">
        <v>22</v>
      </c>
      <c r="EW53" s="120">
        <v>8.8000000000000007</v>
      </c>
      <c r="EX53" s="121">
        <f t="shared" si="46"/>
        <v>0</v>
      </c>
      <c r="EY53" s="65"/>
      <c r="EZ53" s="78"/>
      <c r="FA53" s="78"/>
      <c r="FB53" s="78"/>
      <c r="FC53" s="78"/>
      <c r="FD53" s="78"/>
      <c r="FE53" s="78"/>
      <c r="FF53" s="78"/>
      <c r="FG53" s="78"/>
      <c r="FH53" s="78"/>
      <c r="FI53" s="78"/>
      <c r="FJ53" s="78"/>
      <c r="FK53" s="78"/>
      <c r="FL53" s="65"/>
      <c r="FM53" s="69"/>
      <c r="FN53" s="65"/>
      <c r="FO53" s="65"/>
    </row>
    <row r="54" spans="1:181" ht="12" customHeight="1">
      <c r="A54" s="65"/>
      <c r="B54" s="105" t="str">
        <f>IFERROR(VLOOKUP(AE54,'Tabela ICMS'!$C$5:$D$32,2,0),"")</f>
        <v/>
      </c>
      <c r="C54" s="105">
        <f>IFERROR(HLOOKUP(Dashboard!$F$9,'Tabela ICMS'!$E$3:$AF$4,2,0),"")</f>
        <v>25</v>
      </c>
      <c r="D54" s="65"/>
      <c r="E54" s="106">
        <v>20</v>
      </c>
      <c r="F54" s="77"/>
      <c r="G54" s="78" t="s">
        <v>288</v>
      </c>
      <c r="H54" s="107">
        <f>HISTOGRAMA!C30</f>
        <v>0</v>
      </c>
      <c r="I54" s="65"/>
      <c r="J54" s="65"/>
      <c r="K54" s="108">
        <f t="shared" si="4"/>
        <v>0</v>
      </c>
      <c r="L54" s="79">
        <f t="shared" si="5"/>
        <v>0</v>
      </c>
      <c r="M54" s="80">
        <f t="shared" si="6"/>
        <v>0</v>
      </c>
      <c r="N54" s="78"/>
      <c r="O54" s="80">
        <f t="shared" si="7"/>
        <v>0</v>
      </c>
      <c r="P54" s="65"/>
      <c r="Q54" s="65"/>
      <c r="R54" s="109">
        <f t="shared" si="47"/>
        <v>0</v>
      </c>
      <c r="S54" s="84">
        <f t="shared" ref="S54" si="189">H54*R54</f>
        <v>0</v>
      </c>
      <c r="T54" s="109">
        <f>R54*(1+Dashboard!$D$35)</f>
        <v>0</v>
      </c>
      <c r="U54" s="84">
        <f t="shared" ref="U54" si="190">H54*T54</f>
        <v>0</v>
      </c>
      <c r="V54" s="65"/>
      <c r="W54" s="65"/>
      <c r="X54" s="108">
        <f t="shared" si="10"/>
        <v>0</v>
      </c>
      <c r="Y54" s="122"/>
      <c r="Z54" s="112"/>
      <c r="AA54" s="112" t="s">
        <v>289</v>
      </c>
      <c r="AB54" s="81">
        <f t="shared" si="11"/>
        <v>0</v>
      </c>
      <c r="AC54" s="84">
        <f t="shared" si="12"/>
        <v>0</v>
      </c>
      <c r="AD54" s="65"/>
      <c r="AE54" s="113"/>
      <c r="AF54" s="114" cm="1">
        <f t="array" ref="AF54">IFERROR(INDEX('Tabela ICMS'!$E$5:$AF$32,Tarefas!B54,Tarefas!C54),0)</f>
        <v>0</v>
      </c>
      <c r="AG54" s="115">
        <f>IF(AA54="FD",(Dashboard!$D$43+Dashboard!$D$44),(Dashboard!$D$30+Dashboard!$D$31))</f>
        <v>3.6499999999999998E-2</v>
      </c>
      <c r="AH54" s="115">
        <f>IF(AA54="FD",(Dashboard!$D$46),(Dashboard!$D$33))</f>
        <v>0</v>
      </c>
      <c r="AI54" s="115">
        <f>IF(AA54="FD",(Dashboard!$D$45),(Dashboard!$D$32))</f>
        <v>0.05</v>
      </c>
      <c r="AJ54" s="116"/>
      <c r="AK54" s="116"/>
      <c r="AL54" s="65"/>
      <c r="AM54" s="81">
        <f>IF(AA54="FD",AB54*(1+Dashboard!$D$48),AB54*(1+Dashboard!$D$35))</f>
        <v>0</v>
      </c>
      <c r="AN54" s="84">
        <f t="shared" si="13"/>
        <v>0</v>
      </c>
      <c r="AO54" s="65"/>
      <c r="AP54" s="65"/>
      <c r="AQ54" s="81">
        <f t="shared" si="14"/>
        <v>0</v>
      </c>
      <c r="AR54" s="81">
        <f t="shared" si="15"/>
        <v>0</v>
      </c>
      <c r="AS54" s="117">
        <f t="shared" si="16"/>
        <v>0</v>
      </c>
      <c r="AT54" s="84">
        <f t="shared" si="17"/>
        <v>0</v>
      </c>
      <c r="AU54" s="114">
        <f t="shared" si="18"/>
        <v>0</v>
      </c>
      <c r="AV54" s="65"/>
      <c r="AW54" s="69"/>
      <c r="AX54" s="65"/>
      <c r="AY54" s="65"/>
      <c r="AZ54" s="93">
        <f t="shared" si="19"/>
        <v>0</v>
      </c>
      <c r="BA54" s="94">
        <f>(Dashboard!$D$30+Dashboard!$D$31)*U54</f>
        <v>0</v>
      </c>
      <c r="BB54" s="94">
        <f>Dashboard!$D$33*U54</f>
        <v>0</v>
      </c>
      <c r="BC54" s="94">
        <f>Dashboard!$D$32*U54</f>
        <v>0</v>
      </c>
      <c r="BD54" s="65"/>
      <c r="BE54" s="93">
        <f t="shared" si="20"/>
        <v>0</v>
      </c>
      <c r="BF54" s="94">
        <f t="shared" si="21"/>
        <v>0</v>
      </c>
      <c r="BG54" s="94">
        <f t="shared" si="22"/>
        <v>0</v>
      </c>
      <c r="BH54" s="94">
        <f t="shared" si="23"/>
        <v>0</v>
      </c>
      <c r="BI54" s="94">
        <f t="shared" si="24"/>
        <v>0</v>
      </c>
      <c r="BJ54" s="94">
        <f t="shared" si="25"/>
        <v>0</v>
      </c>
      <c r="BK54" s="94">
        <f t="shared" si="26"/>
        <v>0</v>
      </c>
      <c r="BL54" s="65"/>
      <c r="BM54" s="69"/>
      <c r="BN54" s="65"/>
      <c r="BO54" s="65"/>
      <c r="BP54" s="65"/>
      <c r="BQ54" s="118">
        <v>0</v>
      </c>
      <c r="BR54" s="119">
        <v>22</v>
      </c>
      <c r="BS54" s="120">
        <v>8.8000000000000007</v>
      </c>
      <c r="BT54" s="121">
        <f t="shared" si="27"/>
        <v>0</v>
      </c>
      <c r="BU54" s="118">
        <v>0</v>
      </c>
      <c r="BV54" s="119">
        <v>22</v>
      </c>
      <c r="BW54" s="120">
        <v>8.8000000000000007</v>
      </c>
      <c r="BX54" s="121">
        <f t="shared" si="48"/>
        <v>0</v>
      </c>
      <c r="BY54" s="65"/>
      <c r="BZ54" s="118">
        <v>0</v>
      </c>
      <c r="CA54" s="119">
        <v>22</v>
      </c>
      <c r="CB54" s="120">
        <v>8.8000000000000007</v>
      </c>
      <c r="CC54" s="121">
        <f t="shared" si="29"/>
        <v>0</v>
      </c>
      <c r="CD54" s="65"/>
      <c r="CE54" s="118">
        <v>0</v>
      </c>
      <c r="CF54" s="119">
        <v>22</v>
      </c>
      <c r="CG54" s="120">
        <v>8.8000000000000007</v>
      </c>
      <c r="CH54" s="121">
        <f t="shared" si="30"/>
        <v>0</v>
      </c>
      <c r="CI54" s="118">
        <v>0</v>
      </c>
      <c r="CJ54" s="119">
        <v>22</v>
      </c>
      <c r="CK54" s="120">
        <v>8.8000000000000007</v>
      </c>
      <c r="CL54" s="121">
        <f t="shared" si="31"/>
        <v>0</v>
      </c>
      <c r="CM54" s="118">
        <v>0</v>
      </c>
      <c r="CN54" s="119">
        <v>22</v>
      </c>
      <c r="CO54" s="120">
        <v>8.8000000000000007</v>
      </c>
      <c r="CP54" s="121">
        <f t="shared" si="32"/>
        <v>0</v>
      </c>
      <c r="CQ54" s="65"/>
      <c r="CR54" s="118">
        <v>0</v>
      </c>
      <c r="CS54" s="119">
        <v>22</v>
      </c>
      <c r="CT54" s="120">
        <v>8.8000000000000007</v>
      </c>
      <c r="CU54" s="121">
        <f t="shared" si="33"/>
        <v>0</v>
      </c>
      <c r="CV54" s="118">
        <v>0</v>
      </c>
      <c r="CW54" s="119">
        <v>22</v>
      </c>
      <c r="CX54" s="120">
        <v>8.8000000000000007</v>
      </c>
      <c r="CY54" s="121">
        <f t="shared" si="34"/>
        <v>0</v>
      </c>
      <c r="CZ54" s="118">
        <v>0</v>
      </c>
      <c r="DA54" s="119">
        <v>22</v>
      </c>
      <c r="DB54" s="120">
        <v>8.8000000000000007</v>
      </c>
      <c r="DC54" s="121">
        <f t="shared" si="35"/>
        <v>0</v>
      </c>
      <c r="DD54" s="65"/>
      <c r="DE54" s="118">
        <v>0</v>
      </c>
      <c r="DF54" s="119">
        <f>22/2</f>
        <v>11</v>
      </c>
      <c r="DG54" s="120">
        <v>8.8000000000000007</v>
      </c>
      <c r="DH54" s="121">
        <f t="shared" ref="DH54" si="191">DE54*DF54*DG54</f>
        <v>0</v>
      </c>
      <c r="DI54" s="118">
        <v>0</v>
      </c>
      <c r="DJ54" s="119">
        <v>22</v>
      </c>
      <c r="DK54" s="120">
        <v>8.8000000000000007</v>
      </c>
      <c r="DL54" s="121">
        <f t="shared" si="37"/>
        <v>0</v>
      </c>
      <c r="DM54" s="118">
        <v>0</v>
      </c>
      <c r="DN54" s="119">
        <v>22</v>
      </c>
      <c r="DO54" s="120">
        <v>8.8000000000000007</v>
      </c>
      <c r="DP54" s="121">
        <f t="shared" si="38"/>
        <v>0</v>
      </c>
      <c r="DQ54" s="65"/>
      <c r="DR54" s="118">
        <v>0</v>
      </c>
      <c r="DS54" s="119">
        <v>22</v>
      </c>
      <c r="DT54" s="120">
        <v>8.8000000000000007</v>
      </c>
      <c r="DU54" s="121">
        <f t="shared" si="39"/>
        <v>0</v>
      </c>
      <c r="DV54" s="118">
        <v>0</v>
      </c>
      <c r="DW54" s="119">
        <v>22</v>
      </c>
      <c r="DX54" s="120">
        <v>8.8000000000000007</v>
      </c>
      <c r="DY54" s="121">
        <f t="shared" si="40"/>
        <v>0</v>
      </c>
      <c r="DZ54" s="118">
        <v>0</v>
      </c>
      <c r="EA54" s="119">
        <v>22</v>
      </c>
      <c r="EB54" s="120">
        <v>8.8000000000000007</v>
      </c>
      <c r="EC54" s="121">
        <f t="shared" si="41"/>
        <v>0</v>
      </c>
      <c r="ED54" s="65"/>
      <c r="EE54" s="118">
        <v>0</v>
      </c>
      <c r="EF54" s="119">
        <v>22</v>
      </c>
      <c r="EG54" s="120">
        <v>8.8000000000000007</v>
      </c>
      <c r="EH54" s="121">
        <f t="shared" si="42"/>
        <v>0</v>
      </c>
      <c r="EI54" s="118">
        <v>0</v>
      </c>
      <c r="EJ54" s="119">
        <v>22</v>
      </c>
      <c r="EK54" s="120">
        <v>8.8000000000000007</v>
      </c>
      <c r="EL54" s="121">
        <f t="shared" si="43"/>
        <v>0</v>
      </c>
      <c r="EM54" s="118">
        <v>0</v>
      </c>
      <c r="EN54" s="119">
        <v>22</v>
      </c>
      <c r="EO54" s="120">
        <v>8.8000000000000007</v>
      </c>
      <c r="EP54" s="121">
        <f t="shared" si="44"/>
        <v>0</v>
      </c>
      <c r="EQ54" s="118">
        <v>0</v>
      </c>
      <c r="ER54" s="119">
        <v>22</v>
      </c>
      <c r="ES54" s="120">
        <v>8.8000000000000007</v>
      </c>
      <c r="ET54" s="121">
        <f t="shared" si="45"/>
        <v>0</v>
      </c>
      <c r="EU54" s="118">
        <v>0</v>
      </c>
      <c r="EV54" s="119">
        <v>22</v>
      </c>
      <c r="EW54" s="120">
        <v>8.8000000000000007</v>
      </c>
      <c r="EX54" s="121">
        <f t="shared" si="46"/>
        <v>0</v>
      </c>
      <c r="EY54" s="65"/>
      <c r="EZ54" s="78"/>
      <c r="FA54" s="78"/>
      <c r="FB54" s="78"/>
      <c r="FC54" s="78"/>
      <c r="FD54" s="78"/>
      <c r="FE54" s="78"/>
      <c r="FF54" s="78"/>
      <c r="FG54" s="78"/>
      <c r="FH54" s="78"/>
      <c r="FI54" s="78"/>
      <c r="FJ54" s="78"/>
      <c r="FK54" s="78"/>
      <c r="FL54" s="65"/>
      <c r="FM54" s="69"/>
      <c r="FN54" s="65"/>
      <c r="FO54" s="65"/>
    </row>
    <row r="55" spans="1:181" ht="12" customHeight="1">
      <c r="A55" s="65"/>
      <c r="B55" s="65"/>
      <c r="C55" s="65"/>
      <c r="D55" s="65"/>
      <c r="E55" s="66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 t="s">
        <v>305</v>
      </c>
      <c r="X55" s="65"/>
      <c r="Y55" s="67"/>
      <c r="Z55" s="68"/>
      <c r="AA55" s="68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9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9"/>
      <c r="BN55" s="65"/>
      <c r="BO55" s="65"/>
      <c r="BP55" s="65"/>
      <c r="BQ55" s="118">
        <v>0</v>
      </c>
      <c r="BR55" s="119">
        <v>22</v>
      </c>
      <c r="BS55" s="120">
        <v>8.8000000000000007</v>
      </c>
      <c r="BT55" s="121">
        <f t="shared" ref="BT55" si="192">BQ55*BR55*BS55</f>
        <v>0</v>
      </c>
      <c r="BU55" s="118">
        <v>0</v>
      </c>
      <c r="BV55" s="119">
        <v>22</v>
      </c>
      <c r="BW55" s="120">
        <v>8.8000000000000007</v>
      </c>
      <c r="BX55" s="121">
        <f t="shared" ref="BX55" si="193">BU55*BV55*BW55</f>
        <v>0</v>
      </c>
      <c r="BY55" s="65"/>
      <c r="BZ55" s="118">
        <v>0</v>
      </c>
      <c r="CA55" s="119">
        <v>22</v>
      </c>
      <c r="CB55" s="120">
        <v>8.8000000000000007</v>
      </c>
      <c r="CC55" s="121">
        <f t="shared" ref="CC55" si="194">BZ55*CA55*CB55</f>
        <v>0</v>
      </c>
      <c r="CD55" s="65"/>
      <c r="CE55" s="118">
        <v>0</v>
      </c>
      <c r="CF55" s="119">
        <v>22</v>
      </c>
      <c r="CG55" s="120">
        <v>8.8000000000000007</v>
      </c>
      <c r="CH55" s="121">
        <f t="shared" ref="CH55" si="195">CE55*CF55*CG55</f>
        <v>0</v>
      </c>
      <c r="CI55" s="118">
        <v>0</v>
      </c>
      <c r="CJ55" s="119">
        <v>22</v>
      </c>
      <c r="CK55" s="120">
        <v>8.8000000000000007</v>
      </c>
      <c r="CL55" s="121">
        <f t="shared" ref="CL55" si="196">CI55*CJ55*CK55</f>
        <v>0</v>
      </c>
      <c r="CM55" s="118">
        <v>0</v>
      </c>
      <c r="CN55" s="119">
        <v>22</v>
      </c>
      <c r="CO55" s="120">
        <v>8.8000000000000007</v>
      </c>
      <c r="CP55" s="121">
        <f t="shared" ref="CP55" si="197">CM55*CN55*CO55</f>
        <v>0</v>
      </c>
      <c r="CQ55" s="65"/>
      <c r="CR55" s="118">
        <v>0</v>
      </c>
      <c r="CS55" s="119">
        <v>22</v>
      </c>
      <c r="CT55" s="120">
        <v>8.8000000000000007</v>
      </c>
      <c r="CU55" s="121">
        <f t="shared" ref="CU55" si="198">CR55*CS55*CT55</f>
        <v>0</v>
      </c>
      <c r="CV55" s="118">
        <v>0</v>
      </c>
      <c r="CW55" s="119">
        <v>22</v>
      </c>
      <c r="CX55" s="120">
        <v>8.8000000000000007</v>
      </c>
      <c r="CY55" s="121">
        <f t="shared" ref="CY55" si="199">CV55*CW55*CX55</f>
        <v>0</v>
      </c>
      <c r="CZ55" s="118">
        <v>0</v>
      </c>
      <c r="DA55" s="119">
        <v>22</v>
      </c>
      <c r="DB55" s="120">
        <v>8.8000000000000007</v>
      </c>
      <c r="DC55" s="121">
        <f t="shared" ref="DC55" si="200">CZ55*DA55*DB55</f>
        <v>0</v>
      </c>
      <c r="DD55" s="65"/>
      <c r="DE55" s="118">
        <v>0</v>
      </c>
      <c r="DF55" s="119">
        <v>22</v>
      </c>
      <c r="DG55" s="120">
        <v>8.8000000000000007</v>
      </c>
      <c r="DH55" s="121">
        <f t="shared" ref="DH55" si="201">DE55*DF55*DG55</f>
        <v>0</v>
      </c>
      <c r="DI55" s="118">
        <v>0</v>
      </c>
      <c r="DJ55" s="119">
        <v>22</v>
      </c>
      <c r="DK55" s="120">
        <v>8.8000000000000007</v>
      </c>
      <c r="DL55" s="121">
        <f t="shared" ref="DL55" si="202">DI55*DJ55*DK55</f>
        <v>0</v>
      </c>
      <c r="DM55" s="118">
        <v>0</v>
      </c>
      <c r="DN55" s="119">
        <v>22</v>
      </c>
      <c r="DO55" s="120">
        <v>8.8000000000000007</v>
      </c>
      <c r="DP55" s="121">
        <f t="shared" ref="DP55" si="203">DM55*DN55*DO55</f>
        <v>0</v>
      </c>
      <c r="DQ55" s="65"/>
      <c r="DR55" s="118">
        <v>0</v>
      </c>
      <c r="DS55" s="119">
        <v>22</v>
      </c>
      <c r="DT55" s="120">
        <v>8.8000000000000007</v>
      </c>
      <c r="DU55" s="121">
        <f t="shared" ref="DU55" si="204">DR55*DS55*DT55</f>
        <v>0</v>
      </c>
      <c r="DV55" s="118">
        <v>0</v>
      </c>
      <c r="DW55" s="119">
        <v>22</v>
      </c>
      <c r="DX55" s="120">
        <v>8.8000000000000007</v>
      </c>
      <c r="DY55" s="121">
        <f t="shared" ref="DY55" si="205">DV55*DW55*DX55</f>
        <v>0</v>
      </c>
      <c r="DZ55" s="118">
        <v>0</v>
      </c>
      <c r="EA55" s="119">
        <v>22</v>
      </c>
      <c r="EB55" s="120">
        <v>8.8000000000000007</v>
      </c>
      <c r="EC55" s="121">
        <f t="shared" ref="EC55" si="206">DZ55*EA55*EB55</f>
        <v>0</v>
      </c>
      <c r="ED55" s="65"/>
      <c r="EE55" s="118">
        <v>0</v>
      </c>
      <c r="EF55" s="119">
        <v>22</v>
      </c>
      <c r="EG55" s="120">
        <v>8.8000000000000007</v>
      </c>
      <c r="EH55" s="121">
        <f t="shared" ref="EH55" si="207">EE55*EF55*EG55</f>
        <v>0</v>
      </c>
      <c r="EI55" s="118">
        <v>0</v>
      </c>
      <c r="EJ55" s="119">
        <v>22</v>
      </c>
      <c r="EK55" s="120">
        <v>8.8000000000000007</v>
      </c>
      <c r="EL55" s="121">
        <f t="shared" ref="EL55" si="208">EI55*EJ55*EK55</f>
        <v>0</v>
      </c>
      <c r="EM55" s="118">
        <v>0</v>
      </c>
      <c r="EN55" s="119">
        <v>22</v>
      </c>
      <c r="EO55" s="120">
        <v>8.8000000000000007</v>
      </c>
      <c r="EP55" s="121">
        <f t="shared" ref="EP55" si="209">EM55*EN55*EO55</f>
        <v>0</v>
      </c>
      <c r="EQ55" s="118">
        <v>0</v>
      </c>
      <c r="ER55" s="119">
        <v>22</v>
      </c>
      <c r="ES55" s="120">
        <v>8.8000000000000007</v>
      </c>
      <c r="ET55" s="121">
        <f t="shared" ref="ET55" si="210">EQ55*ER55*ES55</f>
        <v>0</v>
      </c>
      <c r="EU55" s="118">
        <v>0</v>
      </c>
      <c r="EV55" s="119">
        <v>22</v>
      </c>
      <c r="EW55" s="120">
        <v>8.8000000000000007</v>
      </c>
      <c r="EX55" s="121">
        <f t="shared" ref="EX55" si="211">EU55*EV55*EW55</f>
        <v>0</v>
      </c>
      <c r="EY55" s="65"/>
      <c r="EZ55" s="78"/>
      <c r="FA55" s="78"/>
      <c r="FB55" s="78"/>
      <c r="FC55" s="78"/>
      <c r="FD55" s="78"/>
      <c r="FE55" s="78"/>
      <c r="FF55" s="78"/>
      <c r="FG55" s="78"/>
      <c r="FH55" s="78"/>
      <c r="FI55" s="78"/>
      <c r="FJ55" s="78"/>
      <c r="FK55" s="78"/>
      <c r="FL55" s="65"/>
      <c r="FM55" s="69"/>
      <c r="FN55" s="65"/>
      <c r="FO55" s="65"/>
    </row>
  </sheetData>
  <mergeCells count="24">
    <mergeCell ref="BO25:BO30"/>
    <mergeCell ref="FO25:FO30"/>
    <mergeCell ref="FP25:FY25"/>
    <mergeCell ref="BE27:BK27"/>
    <mergeCell ref="AZ25:BK25"/>
    <mergeCell ref="AZ27:BC27"/>
    <mergeCell ref="BP25:BP30"/>
    <mergeCell ref="BY25:BY30"/>
    <mergeCell ref="CD25:CD30"/>
    <mergeCell ref="CQ25:CQ30"/>
    <mergeCell ref="DD25:DD30"/>
    <mergeCell ref="DQ25:DQ30"/>
    <mergeCell ref="ED25:ED30"/>
    <mergeCell ref="EY25:EY30"/>
    <mergeCell ref="AY25:AY30"/>
    <mergeCell ref="R25:U25"/>
    <mergeCell ref="K25:O25"/>
    <mergeCell ref="E25:H25"/>
    <mergeCell ref="X25:AN25"/>
    <mergeCell ref="J25:J30"/>
    <mergeCell ref="Q25:Q30"/>
    <mergeCell ref="W25:W30"/>
    <mergeCell ref="AP25:AP30"/>
    <mergeCell ref="AQ25:AU25"/>
  </mergeCells>
  <phoneticPr fontId="8" type="noConversion"/>
  <conditionalFormatting sqref="L32:L48 L50:L54">
    <cfRule type="cellIs" dxfId="44" priority="25" operator="lessThan">
      <formula>0</formula>
    </cfRule>
    <cfRule type="cellIs" dxfId="43" priority="26" operator="greaterThan">
      <formula>0</formula>
    </cfRule>
  </conditionalFormatting>
  <conditionalFormatting sqref="BT32:BT48 BX32:BX48 CC32:CC48 CH32:CH48 CL32:CL48 CP32:CP48 CU32:CU48 CY32:CY48 DC32:DC48 DH32:DH48 DL32:DL48 DP32:DP48 DU32:DU48 DY32:DY48 EC32:EC48 EH32:EH48 EL32:EL48 EP32:EP48 ET32:ET48 EX32:EX48 BT50:BT55 BX50:BX55 CC50:CC55 CH50:CH55 CL50:CL55 CP50:CP55 CU50:CU55 CY50:CY55 DC50:DC55 DH50:DH55 DL50:DL55 DP50:DP55 DU50:DU55 DY50:DY55 EC50:EC55 EH50:EH55 EL50:EL55 EP50:EP55 ET50:ET55 EX50:EX55">
    <cfRule type="cellIs" dxfId="42" priority="20" operator="greaterThan">
      <formula>0</formula>
    </cfRule>
  </conditionalFormatting>
  <dataValidations disablePrompts="1" count="1">
    <dataValidation type="list" allowBlank="1" sqref="N50:N54 N32:N48" xr:uid="{85D5351B-61E4-46B5-99B5-BDBBF343BC65}">
      <formula1>$G$3:$G$22</formula1>
    </dataValidation>
  </dataValidations>
  <pageMargins left="0.511811024" right="0.511811024" top="0.78740157499999996" bottom="0.78740157499999996" header="0.31496062000000002" footer="0.31496062000000002"/>
  <pageSetup paperSize="9" scale="37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2B9B3B25-96CD-44BB-9E36-F9414EF27CF1}">
          <x14:formula1>
            <xm:f>'Listas de apoio'!$G$2:$G$4</xm:f>
          </x14:formula1>
          <xm:sqref>BT29 BX29:BY29 CC29:CD29 CH29 CL29 CP29:CQ29 CU29 CY29 DC29:DD29 DH29 DL29 DP29:DQ29 DU29 DY29 EC29:ED29 EH29 EZ29:FK29 EX29 ET29 EL29 EP29</xm:sqref>
        </x14:dataValidation>
        <x14:dataValidation type="list" allowBlank="1" showInputMessage="1" showErrorMessage="1" errorTitle="Erro de Preenchimento" error="Selecionar o estado de origem do material através da lista suspensa." xr:uid="{1C1AEF08-5A3A-41D6-B08E-D567DDB47BE8}">
          <x14:formula1>
            <xm:f>'Tabela ICMS'!$C$5:$C$32</xm:f>
          </x14:formula1>
          <xm:sqref>AE50:AE54 AE32:AE48</xm:sqref>
        </x14:dataValidation>
        <x14:dataValidation type="list" allowBlank="1" showErrorMessage="1" errorTitle="Erro de preenchimento" error="Deve-se selecionar o tipo de fornecimento através da lista suspensa." xr:uid="{B95F8DCD-1E75-4EB9-BEA4-2535FD2F460A}">
          <x14:formula1>
            <xm:f>'Listas de apoio'!$C$2:$C$6</xm:f>
          </x14:formula1>
          <xm:sqref>AA50:AA54 AA32:AA48</xm:sqref>
        </x14:dataValidation>
        <x14:dataValidation type="list" allowBlank="1" showInputMessage="1" showErrorMessage="1" xr:uid="{FAAD71F2-5B70-4F02-8165-B102D8D9688C}">
          <x14:formula1>
            <xm:f>'Base Salarial'!$G$5:$G42</xm:f>
          </x14:formula1>
          <xm:sqref>EX49 EP49 EL49 DU49 DY49 DC49 CU49 CY49 CC49 BX49 BT49 CP49 CH49 CL49 DP49 DH49 DL49 EH49 EC49 ET49</xm:sqref>
        </x14:dataValidation>
        <x14:dataValidation type="list" allowBlank="1" showInputMessage="1" showErrorMessage="1" xr:uid="{827B9661-32DE-442D-AD15-8AA7C009BFA1}">
          <x14:formula1>
            <xm:f>'Base Salarial'!$G$5:$G25</xm:f>
          </x14:formula1>
          <xm:sqref>EX30:EX31 EP30:EP31 EL30:EL31 DU30:DU31 DY30:DY31 DC30:DC31 CU30:CU31 CY30:CY31 CC30:CC31 BX30:BX31 BT30:BT31 CP30:CP31 CH30:CH31 CL30:CL31 DP30:DP31 DH30:DH31 DL30:DL31 EH30:EH31 EC30:EC31 ET30:ET31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108A-E32A-4351-9A0B-FD5AEACFD5FF}">
  <sheetPr>
    <tabColor rgb="FFFFFF00"/>
  </sheetPr>
  <dimension ref="B2:G14"/>
  <sheetViews>
    <sheetView showGridLines="0" workbookViewId="0">
      <selection activeCell="C8" sqref="C8"/>
    </sheetView>
  </sheetViews>
  <sheetFormatPr defaultColWidth="9.140625" defaultRowHeight="12.6"/>
  <cols>
    <col min="1" max="1" width="0.85546875" style="126" customWidth="1"/>
    <col min="2" max="2" width="6.85546875" style="126" customWidth="1"/>
    <col min="3" max="3" width="50.85546875" style="126" customWidth="1"/>
    <col min="4" max="4" width="10.85546875" style="126" customWidth="1"/>
    <col min="5" max="5" width="10.85546875" style="127" customWidth="1"/>
    <col min="6" max="7" width="18.85546875" style="128" customWidth="1"/>
    <col min="8" max="16384" width="9.140625" style="126"/>
  </cols>
  <sheetData>
    <row r="2" spans="2:7" ht="30" customHeight="1">
      <c r="B2" s="86" t="s">
        <v>196</v>
      </c>
      <c r="C2" s="86" t="s">
        <v>253</v>
      </c>
      <c r="D2" s="86" t="s">
        <v>22</v>
      </c>
      <c r="E2" s="129" t="s">
        <v>255</v>
      </c>
      <c r="F2" s="130" t="s">
        <v>306</v>
      </c>
      <c r="G2" s="130" t="s">
        <v>307</v>
      </c>
    </row>
    <row r="3" spans="2:7" ht="12.95">
      <c r="B3" s="131">
        <v>1</v>
      </c>
      <c r="C3" s="132" t="str">
        <f>INDEX(Tarefas!F32:F54,MATCH(B3,Tarefas!E32:E54,0))</f>
        <v>Coordenador de Obras - Full time 100%</v>
      </c>
      <c r="D3" s="132" t="str">
        <f>INDEX(Tarefas!G32:G54,MATCH(B3,Tarefas!E32:E54,0))</f>
        <v>mês</v>
      </c>
      <c r="E3" s="133">
        <f>INDEX(Tarefas!H32:H54,MATCH(B3,Tarefas!E32:E54,0))</f>
        <v>10</v>
      </c>
      <c r="F3" s="134">
        <f>INDEX(Tarefas!AS32:AS54,MATCH(B3,Tarefas!E32:E54,0))</f>
        <v>50961.49</v>
      </c>
      <c r="G3" s="135">
        <f>E3*F3</f>
        <v>509614.89999999997</v>
      </c>
    </row>
    <row r="4" spans="2:7" ht="12.95">
      <c r="B4" s="131">
        <v>2</v>
      </c>
      <c r="C4" s="132" t="str">
        <f>INDEX(Tarefas!F33:F55,MATCH(B4,Tarefas!E33:E55,0))</f>
        <v>Engenheiro Pl. de Planejamento, Qualidade e Custos ( Supervisor) - Full time</v>
      </c>
      <c r="D4" s="132" t="str">
        <f>INDEX(Tarefas!G33:G55,MATCH(B4,Tarefas!E33:E55,0))</f>
        <v>mês</v>
      </c>
      <c r="E4" s="133">
        <f>INDEX(Tarefas!H33:H55,MATCH(B4,Tarefas!E33:E55,0))</f>
        <v>7</v>
      </c>
      <c r="F4" s="134">
        <f>INDEX(Tarefas!AS33:AS55,MATCH(B4,Tarefas!E33:E55,0))</f>
        <v>39784.559999999998</v>
      </c>
      <c r="G4" s="135">
        <f t="shared" ref="G4:G12" si="0">E4*F4</f>
        <v>278491.92</v>
      </c>
    </row>
    <row r="5" spans="2:7" ht="12.95">
      <c r="B5" s="131">
        <v>3</v>
      </c>
      <c r="C5" s="132" t="e">
        <f>INDEX(Tarefas!F35:F56,MATCH(B5,Tarefas!E35:E56,0))</f>
        <v>#N/A</v>
      </c>
      <c r="D5" s="132" t="e">
        <f>INDEX(Tarefas!G35:G56,MATCH(B5,Tarefas!E35:E56,0))</f>
        <v>#N/A</v>
      </c>
      <c r="E5" s="133" t="e">
        <f>INDEX(Tarefas!H35:H56,MATCH(B5,Tarefas!E35:E56,0))</f>
        <v>#N/A</v>
      </c>
      <c r="F5" s="134" t="e">
        <f>INDEX(Tarefas!AS35:AS56,MATCH(B5,Tarefas!E35:E56,0))</f>
        <v>#N/A</v>
      </c>
      <c r="G5" s="135" t="e">
        <f t="shared" si="0"/>
        <v>#N/A</v>
      </c>
    </row>
    <row r="6" spans="2:7" ht="12.95">
      <c r="B6" s="131">
        <v>4</v>
      </c>
      <c r="C6" s="132" t="e">
        <f>INDEX(Tarefas!F36:F57,MATCH(B6,Tarefas!E36:E57,0))</f>
        <v>#N/A</v>
      </c>
      <c r="D6" s="132" t="e">
        <f>INDEX(Tarefas!G36:G57,MATCH(B6,Tarefas!E36:E57,0))</f>
        <v>#N/A</v>
      </c>
      <c r="E6" s="133" t="e">
        <f>INDEX(Tarefas!H36:H57,MATCH(B6,Tarefas!E36:E57,0))</f>
        <v>#N/A</v>
      </c>
      <c r="F6" s="134" t="e">
        <f>INDEX(Tarefas!AS36:AS57,MATCH(B6,Tarefas!E36:E57,0))</f>
        <v>#N/A</v>
      </c>
      <c r="G6" s="135" t="e">
        <f t="shared" si="0"/>
        <v>#N/A</v>
      </c>
    </row>
    <row r="7" spans="2:7" ht="12.95">
      <c r="B7" s="131">
        <v>5</v>
      </c>
      <c r="C7" s="132" t="e">
        <f>INDEX(Tarefas!F37:F58,MATCH(B7,Tarefas!E37:E58,0))</f>
        <v>#N/A</v>
      </c>
      <c r="D7" s="132" t="e">
        <f>INDEX(Tarefas!G37:G58,MATCH(B7,Tarefas!E37:E58,0))</f>
        <v>#N/A</v>
      </c>
      <c r="E7" s="133" t="e">
        <f>INDEX(Tarefas!H37:H58,MATCH(B7,Tarefas!E37:E58,0))</f>
        <v>#N/A</v>
      </c>
      <c r="F7" s="134" t="e">
        <f>INDEX(Tarefas!AS37:AS58,MATCH(B7,Tarefas!E37:E58,0))</f>
        <v>#N/A</v>
      </c>
      <c r="G7" s="135" t="e">
        <f t="shared" si="0"/>
        <v>#N/A</v>
      </c>
    </row>
    <row r="8" spans="2:7" ht="12.95">
      <c r="B8" s="131">
        <v>6</v>
      </c>
      <c r="C8" s="132" t="e">
        <f>INDEX(Tarefas!F39:F59,MATCH(B8,Tarefas!E39:E59,0))</f>
        <v>#N/A</v>
      </c>
      <c r="D8" s="132" t="e">
        <f>INDEX(Tarefas!G39:G59,MATCH(B8,Tarefas!E39:E59,0))</f>
        <v>#N/A</v>
      </c>
      <c r="E8" s="133" t="e">
        <f>INDEX(Tarefas!H39:H59,MATCH(B8,Tarefas!E39:E59,0))</f>
        <v>#N/A</v>
      </c>
      <c r="F8" s="134" t="e">
        <f>INDEX(Tarefas!AS39:AS59,MATCH(B8,Tarefas!E39:E59,0))</f>
        <v>#N/A</v>
      </c>
      <c r="G8" s="135" t="e">
        <f t="shared" si="0"/>
        <v>#N/A</v>
      </c>
    </row>
    <row r="9" spans="2:7" ht="12.95">
      <c r="B9" s="131">
        <v>7</v>
      </c>
      <c r="C9" s="132" t="e">
        <f>INDEX(Tarefas!F40:F60,MATCH(B9,Tarefas!E40:E60,0))</f>
        <v>#N/A</v>
      </c>
      <c r="D9" s="132" t="e">
        <f>INDEX(Tarefas!G40:G60,MATCH(B9,Tarefas!E40:E60,0))</f>
        <v>#N/A</v>
      </c>
      <c r="E9" s="133" t="e">
        <f>INDEX(Tarefas!H40:H60,MATCH(B9,Tarefas!E40:E60,0))</f>
        <v>#N/A</v>
      </c>
      <c r="F9" s="134" t="e">
        <f>INDEX(Tarefas!AS40:AS60,MATCH(B9,Tarefas!E40:E60,0))</f>
        <v>#N/A</v>
      </c>
      <c r="G9" s="135" t="e">
        <f t="shared" si="0"/>
        <v>#N/A</v>
      </c>
    </row>
    <row r="10" spans="2:7" ht="12.95">
      <c r="B10" s="131">
        <v>8</v>
      </c>
      <c r="C10" s="132" t="e">
        <f>INDEX(Tarefas!F41:F61,MATCH(B10,Tarefas!E41:E61,0))</f>
        <v>#N/A</v>
      </c>
      <c r="D10" s="132" t="e">
        <f>INDEX(Tarefas!G41:G61,MATCH(B10,Tarefas!E41:E61,0))</f>
        <v>#N/A</v>
      </c>
      <c r="E10" s="133" t="e">
        <f>INDEX(Tarefas!H41:H61,MATCH(B10,Tarefas!E41:E61,0))</f>
        <v>#N/A</v>
      </c>
      <c r="F10" s="134" t="e">
        <f>INDEX(Tarefas!AS41:AS61,MATCH(B10,Tarefas!E41:E61,0))</f>
        <v>#N/A</v>
      </c>
      <c r="G10" s="135" t="e">
        <f t="shared" si="0"/>
        <v>#N/A</v>
      </c>
    </row>
    <row r="11" spans="2:7" ht="12.95">
      <c r="B11" s="131">
        <v>9</v>
      </c>
      <c r="C11" s="132" t="e">
        <f>INDEX(Tarefas!F42:F62,MATCH(B11,Tarefas!E42:E62,0))</f>
        <v>#N/A</v>
      </c>
      <c r="D11" s="132" t="e">
        <f>INDEX(Tarefas!G42:G62,MATCH(B11,Tarefas!E42:E62,0))</f>
        <v>#N/A</v>
      </c>
      <c r="E11" s="133" t="e">
        <f>INDEX(Tarefas!H42:H62,MATCH(B11,Tarefas!E42:E62,0))</f>
        <v>#N/A</v>
      </c>
      <c r="F11" s="134" t="e">
        <f>INDEX(Tarefas!AS42:AS62,MATCH(B11,Tarefas!E42:E62,0))</f>
        <v>#N/A</v>
      </c>
      <c r="G11" s="135" t="e">
        <f t="shared" si="0"/>
        <v>#N/A</v>
      </c>
    </row>
    <row r="12" spans="2:7" ht="12.95">
      <c r="B12" s="131">
        <v>10</v>
      </c>
      <c r="C12" s="132" t="e">
        <f>INDEX(Tarefas!F43:F63,MATCH(B12,Tarefas!E43:E63,0))</f>
        <v>#N/A</v>
      </c>
      <c r="D12" s="132" t="e">
        <f>INDEX(Tarefas!G43:G63,MATCH(B12,Tarefas!E43:E63,0))</f>
        <v>#N/A</v>
      </c>
      <c r="E12" s="133" t="e">
        <f>INDEX(Tarefas!H43:H63,MATCH(B12,Tarefas!E43:E63,0))</f>
        <v>#N/A</v>
      </c>
      <c r="F12" s="134" t="e">
        <f>INDEX(Tarefas!AS43:AS63,MATCH(B12,Tarefas!E43:E63,0))</f>
        <v>#N/A</v>
      </c>
      <c r="G12" s="135" t="e">
        <f t="shared" si="0"/>
        <v>#N/A</v>
      </c>
    </row>
    <row r="13" spans="2:7" ht="5.0999999999999996" customHeight="1"/>
    <row r="14" spans="2:7" ht="30" customHeight="1">
      <c r="F14" s="130" t="s">
        <v>308</v>
      </c>
      <c r="G14" s="135" t="e">
        <f>SUM(G3:G12)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BB38-0D90-4880-9172-3BE110B55CFE}">
  <sheetPr codeName="Planilha4">
    <outlinePr summaryBelow="0"/>
  </sheetPr>
  <dimension ref="A1:EM862"/>
  <sheetViews>
    <sheetView showGridLines="0" topLeftCell="G748" zoomScaleNormal="100" workbookViewId="0">
      <selection activeCell="K757" sqref="K757"/>
    </sheetView>
  </sheetViews>
  <sheetFormatPr defaultColWidth="8.85546875" defaultRowHeight="12" customHeight="1" outlineLevelRow="2"/>
  <cols>
    <col min="1" max="1" width="2.42578125" style="71" customWidth="1"/>
    <col min="2" max="2" width="10.85546875" style="71" customWidth="1"/>
    <col min="3" max="3" width="0.85546875" style="71" customWidth="1"/>
    <col min="4" max="4" width="14.85546875" style="71" customWidth="1"/>
    <col min="5" max="5" width="0.85546875" style="71" customWidth="1"/>
    <col min="6" max="6" width="8.85546875" style="71" customWidth="1"/>
    <col min="7" max="7" width="14.85546875" style="71" customWidth="1"/>
    <col min="8" max="8" width="10.85546875" style="71" customWidth="1"/>
    <col min="9" max="9" width="6.85546875" style="71" customWidth="1"/>
    <col min="10" max="10" width="0.85546875" style="71" customWidth="1"/>
    <col min="11" max="70" width="6.85546875" style="71" customWidth="1"/>
    <col min="71" max="71" width="0.85546875" style="71" customWidth="1"/>
    <col min="72" max="73" width="6.85546875" style="71" customWidth="1"/>
    <col min="74" max="76" width="0.85546875" style="71" customWidth="1"/>
    <col min="77" max="79" width="10.85546875" style="71" customWidth="1"/>
    <col min="80" max="139" width="4.5703125" style="71" bestFit="1" customWidth="1"/>
    <col min="140" max="140" width="0.85546875" style="71" customWidth="1"/>
    <col min="141" max="143" width="10.85546875" style="71" customWidth="1"/>
    <col min="144" max="16384" width="8.85546875" style="71"/>
  </cols>
  <sheetData>
    <row r="1" spans="11:70" ht="12" customHeight="1" collapsed="1"/>
    <row r="2" spans="11:70" ht="24" hidden="1" customHeight="1" outlineLevel="1">
      <c r="K2" s="136" t="s">
        <v>146</v>
      </c>
      <c r="L2" s="136" t="s">
        <v>147</v>
      </c>
      <c r="M2" s="136" t="s">
        <v>148</v>
      </c>
      <c r="N2" s="136" t="s">
        <v>149</v>
      </c>
      <c r="O2" s="136" t="s">
        <v>150</v>
      </c>
      <c r="P2" s="136" t="s">
        <v>151</v>
      </c>
      <c r="Q2" s="136" t="s">
        <v>152</v>
      </c>
      <c r="R2" s="136" t="s">
        <v>153</v>
      </c>
      <c r="S2" s="136" t="s">
        <v>154</v>
      </c>
      <c r="T2" s="136" t="s">
        <v>155</v>
      </c>
      <c r="U2" s="136" t="s">
        <v>156</v>
      </c>
      <c r="V2" s="136" t="s">
        <v>157</v>
      </c>
      <c r="W2" s="136" t="s">
        <v>158</v>
      </c>
      <c r="X2" s="136" t="s">
        <v>159</v>
      </c>
      <c r="Y2" s="136" t="s">
        <v>160</v>
      </c>
      <c r="Z2" s="136" t="s">
        <v>161</v>
      </c>
      <c r="AA2" s="136" t="s">
        <v>162</v>
      </c>
      <c r="AB2" s="136" t="s">
        <v>309</v>
      </c>
      <c r="AC2" s="136" t="s">
        <v>310</v>
      </c>
      <c r="AD2" s="136" t="s">
        <v>311</v>
      </c>
      <c r="AE2" s="136" t="s">
        <v>312</v>
      </c>
      <c r="AF2" s="136" t="s">
        <v>313</v>
      </c>
      <c r="AG2" s="136" t="s">
        <v>314</v>
      </c>
      <c r="AH2" s="136" t="s">
        <v>315</v>
      </c>
      <c r="AI2" s="136" t="s">
        <v>316</v>
      </c>
      <c r="AJ2" s="136" t="s">
        <v>317</v>
      </c>
      <c r="AK2" s="136" t="s">
        <v>318</v>
      </c>
      <c r="AL2" s="136" t="s">
        <v>319</v>
      </c>
      <c r="AM2" s="136" t="s">
        <v>320</v>
      </c>
      <c r="AN2" s="136" t="s">
        <v>321</v>
      </c>
      <c r="AO2" s="136" t="s">
        <v>322</v>
      </c>
      <c r="AP2" s="136" t="s">
        <v>323</v>
      </c>
      <c r="AQ2" s="136" t="s">
        <v>324</v>
      </c>
      <c r="AR2" s="136" t="s">
        <v>325</v>
      </c>
      <c r="AS2" s="136" t="s">
        <v>326</v>
      </c>
      <c r="AT2" s="136" t="s">
        <v>327</v>
      </c>
      <c r="AU2" s="136" t="s">
        <v>328</v>
      </c>
      <c r="AV2" s="136" t="s">
        <v>329</v>
      </c>
      <c r="AW2" s="136" t="s">
        <v>330</v>
      </c>
      <c r="AX2" s="136" t="s">
        <v>331</v>
      </c>
      <c r="AY2" s="136" t="s">
        <v>332</v>
      </c>
      <c r="AZ2" s="136" t="s">
        <v>333</v>
      </c>
      <c r="BA2" s="136" t="s">
        <v>334</v>
      </c>
      <c r="BB2" s="136" t="s">
        <v>335</v>
      </c>
      <c r="BC2" s="136" t="s">
        <v>336</v>
      </c>
      <c r="BD2" s="136" t="s">
        <v>337</v>
      </c>
      <c r="BE2" s="136" t="s">
        <v>338</v>
      </c>
      <c r="BF2" s="136" t="s">
        <v>339</v>
      </c>
      <c r="BG2" s="136" t="s">
        <v>340</v>
      </c>
      <c r="BH2" s="136" t="s">
        <v>341</v>
      </c>
      <c r="BI2" s="136" t="s">
        <v>342</v>
      </c>
      <c r="BJ2" s="136" t="s">
        <v>343</v>
      </c>
      <c r="BK2" s="136" t="s">
        <v>344</v>
      </c>
      <c r="BL2" s="136" t="s">
        <v>345</v>
      </c>
      <c r="BM2" s="136" t="s">
        <v>346</v>
      </c>
      <c r="BN2" s="136" t="s">
        <v>347</v>
      </c>
      <c r="BO2" s="136" t="s">
        <v>348</v>
      </c>
      <c r="BP2" s="136" t="s">
        <v>349</v>
      </c>
      <c r="BQ2" s="136" t="s">
        <v>350</v>
      </c>
      <c r="BR2" s="136" t="s">
        <v>351</v>
      </c>
    </row>
    <row r="3" spans="11:70" ht="11.85" hidden="1" customHeight="1" outlineLevel="1">
      <c r="K3" s="137">
        <f>IF(K51="x",1,0)</f>
        <v>1</v>
      </c>
      <c r="L3" s="137">
        <f t="shared" ref="L3:AB3" si="0">IF(L51="x",1,0)</f>
        <v>1</v>
      </c>
      <c r="M3" s="137">
        <f t="shared" si="0"/>
        <v>1</v>
      </c>
      <c r="N3" s="137">
        <f t="shared" si="0"/>
        <v>1</v>
      </c>
      <c r="O3" s="137">
        <f t="shared" si="0"/>
        <v>1</v>
      </c>
      <c r="P3" s="137">
        <f t="shared" si="0"/>
        <v>1</v>
      </c>
      <c r="Q3" s="137">
        <f t="shared" si="0"/>
        <v>1</v>
      </c>
      <c r="R3" s="137">
        <f t="shared" si="0"/>
        <v>1</v>
      </c>
      <c r="S3" s="137">
        <f t="shared" si="0"/>
        <v>1</v>
      </c>
      <c r="T3" s="137">
        <f t="shared" si="0"/>
        <v>1</v>
      </c>
      <c r="U3" s="137">
        <f t="shared" si="0"/>
        <v>0</v>
      </c>
      <c r="V3" s="137">
        <f t="shared" si="0"/>
        <v>0</v>
      </c>
      <c r="W3" s="137">
        <f t="shared" si="0"/>
        <v>0</v>
      </c>
      <c r="X3" s="137">
        <f t="shared" si="0"/>
        <v>0</v>
      </c>
      <c r="Y3" s="137">
        <f t="shared" si="0"/>
        <v>0</v>
      </c>
      <c r="Z3" s="137">
        <f t="shared" si="0"/>
        <v>0</v>
      </c>
      <c r="AA3" s="137">
        <f t="shared" si="0"/>
        <v>0</v>
      </c>
      <c r="AB3" s="137">
        <f t="shared" si="0"/>
        <v>0</v>
      </c>
      <c r="AC3" s="137">
        <f t="shared" ref="AC3:AS3" si="1">IF(AC51="x",1,0)</f>
        <v>0</v>
      </c>
      <c r="AD3" s="137">
        <f t="shared" si="1"/>
        <v>0</v>
      </c>
      <c r="AE3" s="137">
        <f t="shared" si="1"/>
        <v>0</v>
      </c>
      <c r="AF3" s="137">
        <f t="shared" si="1"/>
        <v>0</v>
      </c>
      <c r="AG3" s="137">
        <f t="shared" si="1"/>
        <v>0</v>
      </c>
      <c r="AH3" s="137">
        <f t="shared" si="1"/>
        <v>0</v>
      </c>
      <c r="AI3" s="137">
        <f t="shared" si="1"/>
        <v>0</v>
      </c>
      <c r="AJ3" s="137">
        <f t="shared" si="1"/>
        <v>0</v>
      </c>
      <c r="AK3" s="137">
        <f t="shared" si="1"/>
        <v>0</v>
      </c>
      <c r="AL3" s="137">
        <f t="shared" si="1"/>
        <v>0</v>
      </c>
      <c r="AM3" s="137">
        <f t="shared" si="1"/>
        <v>0</v>
      </c>
      <c r="AN3" s="137">
        <f t="shared" si="1"/>
        <v>0</v>
      </c>
      <c r="AO3" s="137">
        <f t="shared" si="1"/>
        <v>0</v>
      </c>
      <c r="AP3" s="137">
        <f t="shared" si="1"/>
        <v>0</v>
      </c>
      <c r="AQ3" s="137">
        <f t="shared" si="1"/>
        <v>0</v>
      </c>
      <c r="AR3" s="137">
        <f t="shared" si="1"/>
        <v>0</v>
      </c>
      <c r="AS3" s="137">
        <f t="shared" si="1"/>
        <v>0</v>
      </c>
      <c r="AT3" s="137">
        <f t="shared" ref="AT3:BR3" si="2">IF(AT51="x",1,0)</f>
        <v>0</v>
      </c>
      <c r="AU3" s="137">
        <f t="shared" si="2"/>
        <v>0</v>
      </c>
      <c r="AV3" s="137">
        <f t="shared" si="2"/>
        <v>0</v>
      </c>
      <c r="AW3" s="137">
        <f t="shared" si="2"/>
        <v>0</v>
      </c>
      <c r="AX3" s="137">
        <f t="shared" si="2"/>
        <v>0</v>
      </c>
      <c r="AY3" s="137">
        <f t="shared" si="2"/>
        <v>0</v>
      </c>
      <c r="AZ3" s="137">
        <f t="shared" si="2"/>
        <v>0</v>
      </c>
      <c r="BA3" s="137">
        <f t="shared" si="2"/>
        <v>0</v>
      </c>
      <c r="BB3" s="137">
        <f t="shared" si="2"/>
        <v>0</v>
      </c>
      <c r="BC3" s="137">
        <f t="shared" si="2"/>
        <v>0</v>
      </c>
      <c r="BD3" s="137">
        <f t="shared" si="2"/>
        <v>0</v>
      </c>
      <c r="BE3" s="137">
        <f t="shared" si="2"/>
        <v>0</v>
      </c>
      <c r="BF3" s="137">
        <f t="shared" si="2"/>
        <v>0</v>
      </c>
      <c r="BG3" s="137">
        <f t="shared" si="2"/>
        <v>0</v>
      </c>
      <c r="BH3" s="137">
        <f t="shared" si="2"/>
        <v>0</v>
      </c>
      <c r="BI3" s="137">
        <f t="shared" si="2"/>
        <v>0</v>
      </c>
      <c r="BJ3" s="137">
        <f t="shared" si="2"/>
        <v>0</v>
      </c>
      <c r="BK3" s="137">
        <f t="shared" si="2"/>
        <v>0</v>
      </c>
      <c r="BL3" s="137">
        <f t="shared" si="2"/>
        <v>0</v>
      </c>
      <c r="BM3" s="137">
        <f t="shared" si="2"/>
        <v>0</v>
      </c>
      <c r="BN3" s="137">
        <f t="shared" si="2"/>
        <v>0</v>
      </c>
      <c r="BO3" s="137">
        <f t="shared" si="2"/>
        <v>0</v>
      </c>
      <c r="BP3" s="137">
        <f t="shared" si="2"/>
        <v>0</v>
      </c>
      <c r="BQ3" s="137">
        <f t="shared" si="2"/>
        <v>0</v>
      </c>
      <c r="BR3" s="137">
        <f t="shared" si="2"/>
        <v>0</v>
      </c>
    </row>
    <row r="4" spans="11:70" ht="11.85" hidden="1" customHeight="1" outlineLevel="1">
      <c r="K4" s="137">
        <f t="shared" ref="K4:AB4" si="3">IF(K52="x",1,0)</f>
        <v>1</v>
      </c>
      <c r="L4" s="137">
        <f t="shared" si="3"/>
        <v>1</v>
      </c>
      <c r="M4" s="137">
        <f t="shared" si="3"/>
        <v>1</v>
      </c>
      <c r="N4" s="137">
        <f t="shared" si="3"/>
        <v>1</v>
      </c>
      <c r="O4" s="137">
        <f t="shared" si="3"/>
        <v>1</v>
      </c>
      <c r="P4" s="137">
        <f t="shared" si="3"/>
        <v>1</v>
      </c>
      <c r="Q4" s="137">
        <f t="shared" si="3"/>
        <v>1</v>
      </c>
      <c r="R4" s="137">
        <f t="shared" si="3"/>
        <v>1</v>
      </c>
      <c r="S4" s="137">
        <f t="shared" si="3"/>
        <v>1</v>
      </c>
      <c r="T4" s="137">
        <f t="shared" si="3"/>
        <v>1</v>
      </c>
      <c r="U4" s="137">
        <f t="shared" si="3"/>
        <v>0</v>
      </c>
      <c r="V4" s="137">
        <f t="shared" si="3"/>
        <v>0</v>
      </c>
      <c r="W4" s="137">
        <f t="shared" si="3"/>
        <v>0</v>
      </c>
      <c r="X4" s="137">
        <f t="shared" si="3"/>
        <v>0</v>
      </c>
      <c r="Y4" s="137">
        <f t="shared" si="3"/>
        <v>0</v>
      </c>
      <c r="Z4" s="137">
        <f t="shared" si="3"/>
        <v>0</v>
      </c>
      <c r="AA4" s="137">
        <f t="shared" si="3"/>
        <v>0</v>
      </c>
      <c r="AB4" s="137">
        <f t="shared" si="3"/>
        <v>0</v>
      </c>
      <c r="AC4" s="137">
        <f t="shared" ref="AC4:AS4" si="4">IF(AC52="x",1,0)</f>
        <v>0</v>
      </c>
      <c r="AD4" s="137">
        <f t="shared" si="4"/>
        <v>0</v>
      </c>
      <c r="AE4" s="137">
        <f t="shared" si="4"/>
        <v>0</v>
      </c>
      <c r="AF4" s="137">
        <f t="shared" si="4"/>
        <v>0</v>
      </c>
      <c r="AG4" s="137">
        <f t="shared" si="4"/>
        <v>0</v>
      </c>
      <c r="AH4" s="137">
        <f t="shared" si="4"/>
        <v>0</v>
      </c>
      <c r="AI4" s="137">
        <f t="shared" si="4"/>
        <v>0</v>
      </c>
      <c r="AJ4" s="137">
        <f t="shared" si="4"/>
        <v>0</v>
      </c>
      <c r="AK4" s="137">
        <f t="shared" si="4"/>
        <v>0</v>
      </c>
      <c r="AL4" s="137">
        <f t="shared" si="4"/>
        <v>0</v>
      </c>
      <c r="AM4" s="137">
        <f t="shared" si="4"/>
        <v>0</v>
      </c>
      <c r="AN4" s="137">
        <f t="shared" si="4"/>
        <v>0</v>
      </c>
      <c r="AO4" s="137">
        <f t="shared" si="4"/>
        <v>0</v>
      </c>
      <c r="AP4" s="137">
        <f t="shared" si="4"/>
        <v>0</v>
      </c>
      <c r="AQ4" s="137">
        <f t="shared" si="4"/>
        <v>0</v>
      </c>
      <c r="AR4" s="137">
        <f t="shared" si="4"/>
        <v>0</v>
      </c>
      <c r="AS4" s="137">
        <f t="shared" si="4"/>
        <v>0</v>
      </c>
      <c r="AT4" s="137">
        <f t="shared" ref="AT4:BR4" si="5">IF(AT52="x",1,0)</f>
        <v>0</v>
      </c>
      <c r="AU4" s="137">
        <f t="shared" si="5"/>
        <v>0</v>
      </c>
      <c r="AV4" s="137">
        <f t="shared" si="5"/>
        <v>0</v>
      </c>
      <c r="AW4" s="137">
        <f t="shared" si="5"/>
        <v>0</v>
      </c>
      <c r="AX4" s="137">
        <f t="shared" si="5"/>
        <v>0</v>
      </c>
      <c r="AY4" s="137">
        <f t="shared" si="5"/>
        <v>0</v>
      </c>
      <c r="AZ4" s="137">
        <f t="shared" si="5"/>
        <v>0</v>
      </c>
      <c r="BA4" s="137">
        <f t="shared" si="5"/>
        <v>0</v>
      </c>
      <c r="BB4" s="137">
        <f t="shared" si="5"/>
        <v>0</v>
      </c>
      <c r="BC4" s="137">
        <f t="shared" si="5"/>
        <v>0</v>
      </c>
      <c r="BD4" s="137">
        <f t="shared" si="5"/>
        <v>0</v>
      </c>
      <c r="BE4" s="137">
        <f t="shared" si="5"/>
        <v>0</v>
      </c>
      <c r="BF4" s="137">
        <f t="shared" si="5"/>
        <v>0</v>
      </c>
      <c r="BG4" s="137">
        <f t="shared" si="5"/>
        <v>0</v>
      </c>
      <c r="BH4" s="137">
        <f t="shared" si="5"/>
        <v>0</v>
      </c>
      <c r="BI4" s="137">
        <f t="shared" si="5"/>
        <v>0</v>
      </c>
      <c r="BJ4" s="137">
        <f t="shared" si="5"/>
        <v>0</v>
      </c>
      <c r="BK4" s="137">
        <f t="shared" si="5"/>
        <v>0</v>
      </c>
      <c r="BL4" s="137">
        <f t="shared" si="5"/>
        <v>0</v>
      </c>
      <c r="BM4" s="137">
        <f t="shared" si="5"/>
        <v>0</v>
      </c>
      <c r="BN4" s="137">
        <f t="shared" si="5"/>
        <v>0</v>
      </c>
      <c r="BO4" s="137">
        <f t="shared" si="5"/>
        <v>0</v>
      </c>
      <c r="BP4" s="137">
        <f t="shared" si="5"/>
        <v>0</v>
      </c>
      <c r="BQ4" s="137">
        <f t="shared" si="5"/>
        <v>0</v>
      </c>
      <c r="BR4" s="137">
        <f t="shared" si="5"/>
        <v>0</v>
      </c>
    </row>
    <row r="5" spans="11:70" ht="11.85" hidden="1" customHeight="1" outlineLevel="1">
      <c r="K5" s="137">
        <f t="shared" ref="K5:AB5" si="6">IF(K53="x",1,0)</f>
        <v>1</v>
      </c>
      <c r="L5" s="137">
        <f t="shared" si="6"/>
        <v>1</v>
      </c>
      <c r="M5" s="137">
        <f t="shared" si="6"/>
        <v>1</v>
      </c>
      <c r="N5" s="137">
        <f t="shared" si="6"/>
        <v>1</v>
      </c>
      <c r="O5" s="137">
        <f t="shared" si="6"/>
        <v>1</v>
      </c>
      <c r="P5" s="137">
        <f t="shared" si="6"/>
        <v>1</v>
      </c>
      <c r="Q5" s="137">
        <f t="shared" si="6"/>
        <v>1</v>
      </c>
      <c r="R5" s="137">
        <f t="shared" si="6"/>
        <v>1</v>
      </c>
      <c r="S5" s="137">
        <f t="shared" si="6"/>
        <v>1</v>
      </c>
      <c r="T5" s="137">
        <f t="shared" si="6"/>
        <v>1</v>
      </c>
      <c r="U5" s="137">
        <f t="shared" si="6"/>
        <v>0</v>
      </c>
      <c r="V5" s="137">
        <f t="shared" si="6"/>
        <v>0</v>
      </c>
      <c r="W5" s="137">
        <f t="shared" si="6"/>
        <v>0</v>
      </c>
      <c r="X5" s="137">
        <f t="shared" si="6"/>
        <v>0</v>
      </c>
      <c r="Y5" s="137">
        <f t="shared" si="6"/>
        <v>0</v>
      </c>
      <c r="Z5" s="137">
        <f t="shared" si="6"/>
        <v>0</v>
      </c>
      <c r="AA5" s="137">
        <f t="shared" si="6"/>
        <v>0</v>
      </c>
      <c r="AB5" s="137">
        <f t="shared" si="6"/>
        <v>0</v>
      </c>
      <c r="AC5" s="137">
        <f t="shared" ref="AC5:AS5" si="7">IF(AC53="x",1,0)</f>
        <v>0</v>
      </c>
      <c r="AD5" s="137">
        <f t="shared" si="7"/>
        <v>0</v>
      </c>
      <c r="AE5" s="137">
        <f t="shared" si="7"/>
        <v>0</v>
      </c>
      <c r="AF5" s="137">
        <f t="shared" si="7"/>
        <v>0</v>
      </c>
      <c r="AG5" s="137">
        <f t="shared" si="7"/>
        <v>0</v>
      </c>
      <c r="AH5" s="137">
        <f t="shared" si="7"/>
        <v>0</v>
      </c>
      <c r="AI5" s="137">
        <f t="shared" si="7"/>
        <v>0</v>
      </c>
      <c r="AJ5" s="137">
        <f t="shared" si="7"/>
        <v>0</v>
      </c>
      <c r="AK5" s="137">
        <f t="shared" si="7"/>
        <v>0</v>
      </c>
      <c r="AL5" s="137">
        <f t="shared" si="7"/>
        <v>0</v>
      </c>
      <c r="AM5" s="137">
        <f t="shared" si="7"/>
        <v>0</v>
      </c>
      <c r="AN5" s="137">
        <f t="shared" si="7"/>
        <v>0</v>
      </c>
      <c r="AO5" s="137">
        <f t="shared" si="7"/>
        <v>0</v>
      </c>
      <c r="AP5" s="137">
        <f t="shared" si="7"/>
        <v>0</v>
      </c>
      <c r="AQ5" s="137">
        <f t="shared" si="7"/>
        <v>0</v>
      </c>
      <c r="AR5" s="137">
        <f t="shared" si="7"/>
        <v>0</v>
      </c>
      <c r="AS5" s="137">
        <f t="shared" si="7"/>
        <v>0</v>
      </c>
      <c r="AT5" s="137">
        <f t="shared" ref="AT5:BR5" si="8">IF(AT53="x",1,0)</f>
        <v>0</v>
      </c>
      <c r="AU5" s="137">
        <f t="shared" si="8"/>
        <v>0</v>
      </c>
      <c r="AV5" s="137">
        <f t="shared" si="8"/>
        <v>0</v>
      </c>
      <c r="AW5" s="137">
        <f t="shared" si="8"/>
        <v>0</v>
      </c>
      <c r="AX5" s="137">
        <f t="shared" si="8"/>
        <v>0</v>
      </c>
      <c r="AY5" s="137">
        <f t="shared" si="8"/>
        <v>0</v>
      </c>
      <c r="AZ5" s="137">
        <f t="shared" si="8"/>
        <v>0</v>
      </c>
      <c r="BA5" s="137">
        <f t="shared" si="8"/>
        <v>0</v>
      </c>
      <c r="BB5" s="137">
        <f t="shared" si="8"/>
        <v>0</v>
      </c>
      <c r="BC5" s="137">
        <f t="shared" si="8"/>
        <v>0</v>
      </c>
      <c r="BD5" s="137">
        <f t="shared" si="8"/>
        <v>0</v>
      </c>
      <c r="BE5" s="137">
        <f t="shared" si="8"/>
        <v>0</v>
      </c>
      <c r="BF5" s="137">
        <f t="shared" si="8"/>
        <v>0</v>
      </c>
      <c r="BG5" s="137">
        <f t="shared" si="8"/>
        <v>0</v>
      </c>
      <c r="BH5" s="137">
        <f t="shared" si="8"/>
        <v>0</v>
      </c>
      <c r="BI5" s="137">
        <f t="shared" si="8"/>
        <v>0</v>
      </c>
      <c r="BJ5" s="137">
        <f t="shared" si="8"/>
        <v>0</v>
      </c>
      <c r="BK5" s="137">
        <f t="shared" si="8"/>
        <v>0</v>
      </c>
      <c r="BL5" s="137">
        <f t="shared" si="8"/>
        <v>0</v>
      </c>
      <c r="BM5" s="137">
        <f t="shared" si="8"/>
        <v>0</v>
      </c>
      <c r="BN5" s="137">
        <f t="shared" si="8"/>
        <v>0</v>
      </c>
      <c r="BO5" s="137">
        <f t="shared" si="8"/>
        <v>0</v>
      </c>
      <c r="BP5" s="137">
        <f t="shared" si="8"/>
        <v>0</v>
      </c>
      <c r="BQ5" s="137">
        <f t="shared" si="8"/>
        <v>0</v>
      </c>
      <c r="BR5" s="137">
        <f t="shared" si="8"/>
        <v>0</v>
      </c>
    </row>
    <row r="6" spans="11:70" ht="11.85" hidden="1" customHeight="1" outlineLevel="1">
      <c r="K6" s="137">
        <f t="shared" ref="K6:AB6" si="9">IF(K54="x",1,0)</f>
        <v>1</v>
      </c>
      <c r="L6" s="137">
        <f t="shared" si="9"/>
        <v>1</v>
      </c>
      <c r="M6" s="137">
        <f t="shared" si="9"/>
        <v>1</v>
      </c>
      <c r="N6" s="137">
        <f t="shared" si="9"/>
        <v>1</v>
      </c>
      <c r="O6" s="137">
        <f t="shared" si="9"/>
        <v>1</v>
      </c>
      <c r="P6" s="137">
        <f t="shared" si="9"/>
        <v>1</v>
      </c>
      <c r="Q6" s="137">
        <f t="shared" si="9"/>
        <v>1</v>
      </c>
      <c r="R6" s="137">
        <f t="shared" si="9"/>
        <v>1</v>
      </c>
      <c r="S6" s="137">
        <f t="shared" si="9"/>
        <v>1</v>
      </c>
      <c r="T6" s="137">
        <f t="shared" si="9"/>
        <v>1</v>
      </c>
      <c r="U6" s="137">
        <f t="shared" si="9"/>
        <v>0</v>
      </c>
      <c r="V6" s="137">
        <f t="shared" si="9"/>
        <v>0</v>
      </c>
      <c r="W6" s="137">
        <f t="shared" si="9"/>
        <v>0</v>
      </c>
      <c r="X6" s="137">
        <f t="shared" si="9"/>
        <v>0</v>
      </c>
      <c r="Y6" s="137">
        <f t="shared" si="9"/>
        <v>0</v>
      </c>
      <c r="Z6" s="137">
        <f t="shared" si="9"/>
        <v>0</v>
      </c>
      <c r="AA6" s="137">
        <f t="shared" si="9"/>
        <v>0</v>
      </c>
      <c r="AB6" s="137">
        <f t="shared" si="9"/>
        <v>0</v>
      </c>
      <c r="AC6" s="137">
        <f t="shared" ref="AC6:AS6" si="10">IF(AC54="x",1,0)</f>
        <v>0</v>
      </c>
      <c r="AD6" s="137">
        <f t="shared" si="10"/>
        <v>0</v>
      </c>
      <c r="AE6" s="137">
        <f t="shared" si="10"/>
        <v>0</v>
      </c>
      <c r="AF6" s="137">
        <f t="shared" si="10"/>
        <v>0</v>
      </c>
      <c r="AG6" s="137">
        <f t="shared" si="10"/>
        <v>0</v>
      </c>
      <c r="AH6" s="137">
        <f t="shared" si="10"/>
        <v>0</v>
      </c>
      <c r="AI6" s="137">
        <f t="shared" si="10"/>
        <v>0</v>
      </c>
      <c r="AJ6" s="137">
        <f t="shared" si="10"/>
        <v>0</v>
      </c>
      <c r="AK6" s="137">
        <f t="shared" si="10"/>
        <v>0</v>
      </c>
      <c r="AL6" s="137">
        <f t="shared" si="10"/>
        <v>0</v>
      </c>
      <c r="AM6" s="137">
        <f t="shared" si="10"/>
        <v>0</v>
      </c>
      <c r="AN6" s="137">
        <f t="shared" si="10"/>
        <v>0</v>
      </c>
      <c r="AO6" s="137">
        <f t="shared" si="10"/>
        <v>0</v>
      </c>
      <c r="AP6" s="137">
        <f t="shared" si="10"/>
        <v>0</v>
      </c>
      <c r="AQ6" s="137">
        <f t="shared" si="10"/>
        <v>0</v>
      </c>
      <c r="AR6" s="137">
        <f t="shared" si="10"/>
        <v>0</v>
      </c>
      <c r="AS6" s="137">
        <f t="shared" si="10"/>
        <v>0</v>
      </c>
      <c r="AT6" s="137">
        <f t="shared" ref="AT6:BR6" si="11">IF(AT54="x",1,0)</f>
        <v>0</v>
      </c>
      <c r="AU6" s="137">
        <f t="shared" si="11"/>
        <v>0</v>
      </c>
      <c r="AV6" s="137">
        <f t="shared" si="11"/>
        <v>0</v>
      </c>
      <c r="AW6" s="137">
        <f t="shared" si="11"/>
        <v>0</v>
      </c>
      <c r="AX6" s="137">
        <f t="shared" si="11"/>
        <v>0</v>
      </c>
      <c r="AY6" s="137">
        <f t="shared" si="11"/>
        <v>0</v>
      </c>
      <c r="AZ6" s="137">
        <f t="shared" si="11"/>
        <v>0</v>
      </c>
      <c r="BA6" s="137">
        <f t="shared" si="11"/>
        <v>0</v>
      </c>
      <c r="BB6" s="137">
        <f t="shared" si="11"/>
        <v>0</v>
      </c>
      <c r="BC6" s="137">
        <f t="shared" si="11"/>
        <v>0</v>
      </c>
      <c r="BD6" s="137">
        <f t="shared" si="11"/>
        <v>0</v>
      </c>
      <c r="BE6" s="137">
        <f t="shared" si="11"/>
        <v>0</v>
      </c>
      <c r="BF6" s="137">
        <f t="shared" si="11"/>
        <v>0</v>
      </c>
      <c r="BG6" s="137">
        <f t="shared" si="11"/>
        <v>0</v>
      </c>
      <c r="BH6" s="137">
        <f t="shared" si="11"/>
        <v>0</v>
      </c>
      <c r="BI6" s="137">
        <f t="shared" si="11"/>
        <v>0</v>
      </c>
      <c r="BJ6" s="137">
        <f t="shared" si="11"/>
        <v>0</v>
      </c>
      <c r="BK6" s="137">
        <f t="shared" si="11"/>
        <v>0</v>
      </c>
      <c r="BL6" s="137">
        <f t="shared" si="11"/>
        <v>0</v>
      </c>
      <c r="BM6" s="137">
        <f t="shared" si="11"/>
        <v>0</v>
      </c>
      <c r="BN6" s="137">
        <f t="shared" si="11"/>
        <v>0</v>
      </c>
      <c r="BO6" s="137">
        <f t="shared" si="11"/>
        <v>0</v>
      </c>
      <c r="BP6" s="137">
        <f t="shared" si="11"/>
        <v>0</v>
      </c>
      <c r="BQ6" s="137">
        <f t="shared" si="11"/>
        <v>0</v>
      </c>
      <c r="BR6" s="137">
        <f t="shared" si="11"/>
        <v>0</v>
      </c>
    </row>
    <row r="7" spans="11:70" ht="11.85" hidden="1" customHeight="1" outlineLevel="1">
      <c r="K7" s="137">
        <f t="shared" ref="K7:AB7" si="12">IF(K55="x",1,0)</f>
        <v>1</v>
      </c>
      <c r="L7" s="137">
        <f t="shared" si="12"/>
        <v>1</v>
      </c>
      <c r="M7" s="137">
        <f t="shared" si="12"/>
        <v>1</v>
      </c>
      <c r="N7" s="137">
        <f t="shared" si="12"/>
        <v>1</v>
      </c>
      <c r="O7" s="137">
        <f t="shared" si="12"/>
        <v>1</v>
      </c>
      <c r="P7" s="137">
        <f t="shared" si="12"/>
        <v>1</v>
      </c>
      <c r="Q7" s="137">
        <f t="shared" si="12"/>
        <v>1</v>
      </c>
      <c r="R7" s="137">
        <f t="shared" si="12"/>
        <v>1</v>
      </c>
      <c r="S7" s="137">
        <f t="shared" si="12"/>
        <v>1</v>
      </c>
      <c r="T7" s="137">
        <f t="shared" si="12"/>
        <v>1</v>
      </c>
      <c r="U7" s="137">
        <f t="shared" si="12"/>
        <v>0</v>
      </c>
      <c r="V7" s="137">
        <f t="shared" si="12"/>
        <v>0</v>
      </c>
      <c r="W7" s="137">
        <f t="shared" si="12"/>
        <v>0</v>
      </c>
      <c r="X7" s="137">
        <f t="shared" si="12"/>
        <v>0</v>
      </c>
      <c r="Y7" s="137">
        <f t="shared" si="12"/>
        <v>0</v>
      </c>
      <c r="Z7" s="137">
        <f t="shared" si="12"/>
        <v>0</v>
      </c>
      <c r="AA7" s="137">
        <f t="shared" si="12"/>
        <v>0</v>
      </c>
      <c r="AB7" s="137">
        <f t="shared" si="12"/>
        <v>0</v>
      </c>
      <c r="AC7" s="137">
        <f t="shared" ref="AC7:AS7" si="13">IF(AC55="x",1,0)</f>
        <v>0</v>
      </c>
      <c r="AD7" s="137">
        <f t="shared" si="13"/>
        <v>0</v>
      </c>
      <c r="AE7" s="137">
        <f t="shared" si="13"/>
        <v>0</v>
      </c>
      <c r="AF7" s="137">
        <f t="shared" si="13"/>
        <v>0</v>
      </c>
      <c r="AG7" s="137">
        <f t="shared" si="13"/>
        <v>0</v>
      </c>
      <c r="AH7" s="137">
        <f t="shared" si="13"/>
        <v>0</v>
      </c>
      <c r="AI7" s="137">
        <f t="shared" si="13"/>
        <v>0</v>
      </c>
      <c r="AJ7" s="137">
        <f t="shared" si="13"/>
        <v>0</v>
      </c>
      <c r="AK7" s="137">
        <f t="shared" si="13"/>
        <v>0</v>
      </c>
      <c r="AL7" s="137">
        <f t="shared" si="13"/>
        <v>0</v>
      </c>
      <c r="AM7" s="137">
        <f t="shared" si="13"/>
        <v>0</v>
      </c>
      <c r="AN7" s="137">
        <f t="shared" si="13"/>
        <v>0</v>
      </c>
      <c r="AO7" s="137">
        <f t="shared" si="13"/>
        <v>0</v>
      </c>
      <c r="AP7" s="137">
        <f t="shared" si="13"/>
        <v>0</v>
      </c>
      <c r="AQ7" s="137">
        <f t="shared" si="13"/>
        <v>0</v>
      </c>
      <c r="AR7" s="137">
        <f t="shared" si="13"/>
        <v>0</v>
      </c>
      <c r="AS7" s="137">
        <f t="shared" si="13"/>
        <v>0</v>
      </c>
      <c r="AT7" s="137">
        <f t="shared" ref="AT7:BR7" si="14">IF(AT55="x",1,0)</f>
        <v>0</v>
      </c>
      <c r="AU7" s="137">
        <f t="shared" si="14"/>
        <v>0</v>
      </c>
      <c r="AV7" s="137">
        <f t="shared" si="14"/>
        <v>0</v>
      </c>
      <c r="AW7" s="137">
        <f t="shared" si="14"/>
        <v>0</v>
      </c>
      <c r="AX7" s="137">
        <f t="shared" si="14"/>
        <v>0</v>
      </c>
      <c r="AY7" s="137">
        <f t="shared" si="14"/>
        <v>0</v>
      </c>
      <c r="AZ7" s="137">
        <f t="shared" si="14"/>
        <v>0</v>
      </c>
      <c r="BA7" s="137">
        <f t="shared" si="14"/>
        <v>0</v>
      </c>
      <c r="BB7" s="137">
        <f t="shared" si="14"/>
        <v>0</v>
      </c>
      <c r="BC7" s="137">
        <f t="shared" si="14"/>
        <v>0</v>
      </c>
      <c r="BD7" s="137">
        <f t="shared" si="14"/>
        <v>0</v>
      </c>
      <c r="BE7" s="137">
        <f t="shared" si="14"/>
        <v>0</v>
      </c>
      <c r="BF7" s="137">
        <f t="shared" si="14"/>
        <v>0</v>
      </c>
      <c r="BG7" s="137">
        <f t="shared" si="14"/>
        <v>0</v>
      </c>
      <c r="BH7" s="137">
        <f t="shared" si="14"/>
        <v>0</v>
      </c>
      <c r="BI7" s="137">
        <f t="shared" si="14"/>
        <v>0</v>
      </c>
      <c r="BJ7" s="137">
        <f t="shared" si="14"/>
        <v>0</v>
      </c>
      <c r="BK7" s="137">
        <f t="shared" si="14"/>
        <v>0</v>
      </c>
      <c r="BL7" s="137">
        <f t="shared" si="14"/>
        <v>0</v>
      </c>
      <c r="BM7" s="137">
        <f t="shared" si="14"/>
        <v>0</v>
      </c>
      <c r="BN7" s="137">
        <f t="shared" si="14"/>
        <v>0</v>
      </c>
      <c r="BO7" s="137">
        <f t="shared" si="14"/>
        <v>0</v>
      </c>
      <c r="BP7" s="137">
        <f t="shared" si="14"/>
        <v>0</v>
      </c>
      <c r="BQ7" s="137">
        <f t="shared" si="14"/>
        <v>0</v>
      </c>
      <c r="BR7" s="137">
        <f t="shared" si="14"/>
        <v>0</v>
      </c>
    </row>
    <row r="8" spans="11:70" ht="11.85" hidden="1" customHeight="1" outlineLevel="1">
      <c r="K8" s="137">
        <f t="shared" ref="K8:AB8" si="15">IF(K56="x",1,0)</f>
        <v>1</v>
      </c>
      <c r="L8" s="137">
        <f t="shared" si="15"/>
        <v>1</v>
      </c>
      <c r="M8" s="137">
        <f t="shared" si="15"/>
        <v>1</v>
      </c>
      <c r="N8" s="137">
        <f t="shared" si="15"/>
        <v>1</v>
      </c>
      <c r="O8" s="137">
        <f t="shared" si="15"/>
        <v>1</v>
      </c>
      <c r="P8" s="137">
        <f t="shared" si="15"/>
        <v>1</v>
      </c>
      <c r="Q8" s="137">
        <f t="shared" si="15"/>
        <v>1</v>
      </c>
      <c r="R8" s="137">
        <f t="shared" si="15"/>
        <v>1</v>
      </c>
      <c r="S8" s="137">
        <f t="shared" si="15"/>
        <v>1</v>
      </c>
      <c r="T8" s="137">
        <f t="shared" si="15"/>
        <v>1</v>
      </c>
      <c r="U8" s="137">
        <f t="shared" si="15"/>
        <v>0</v>
      </c>
      <c r="V8" s="137">
        <f t="shared" si="15"/>
        <v>0</v>
      </c>
      <c r="W8" s="137">
        <f t="shared" si="15"/>
        <v>0</v>
      </c>
      <c r="X8" s="137">
        <f t="shared" si="15"/>
        <v>0</v>
      </c>
      <c r="Y8" s="137">
        <f t="shared" si="15"/>
        <v>0</v>
      </c>
      <c r="Z8" s="137">
        <f t="shared" si="15"/>
        <v>0</v>
      </c>
      <c r="AA8" s="137">
        <f t="shared" si="15"/>
        <v>0</v>
      </c>
      <c r="AB8" s="137">
        <f t="shared" si="15"/>
        <v>0</v>
      </c>
      <c r="AC8" s="137">
        <f t="shared" ref="AC8:AS8" si="16">IF(AC56="x",1,0)</f>
        <v>0</v>
      </c>
      <c r="AD8" s="137">
        <f t="shared" si="16"/>
        <v>0</v>
      </c>
      <c r="AE8" s="137">
        <f t="shared" si="16"/>
        <v>0</v>
      </c>
      <c r="AF8" s="137">
        <f t="shared" si="16"/>
        <v>0</v>
      </c>
      <c r="AG8" s="137">
        <f t="shared" si="16"/>
        <v>0</v>
      </c>
      <c r="AH8" s="137">
        <f t="shared" si="16"/>
        <v>0</v>
      </c>
      <c r="AI8" s="137">
        <f t="shared" si="16"/>
        <v>0</v>
      </c>
      <c r="AJ8" s="137">
        <f t="shared" si="16"/>
        <v>0</v>
      </c>
      <c r="AK8" s="137">
        <f t="shared" si="16"/>
        <v>0</v>
      </c>
      <c r="AL8" s="137">
        <f t="shared" si="16"/>
        <v>0</v>
      </c>
      <c r="AM8" s="137">
        <f t="shared" si="16"/>
        <v>0</v>
      </c>
      <c r="AN8" s="137">
        <f t="shared" si="16"/>
        <v>0</v>
      </c>
      <c r="AO8" s="137">
        <f t="shared" si="16"/>
        <v>0</v>
      </c>
      <c r="AP8" s="137">
        <f t="shared" si="16"/>
        <v>0</v>
      </c>
      <c r="AQ8" s="137">
        <f t="shared" si="16"/>
        <v>0</v>
      </c>
      <c r="AR8" s="137">
        <f t="shared" si="16"/>
        <v>0</v>
      </c>
      <c r="AS8" s="137">
        <f t="shared" si="16"/>
        <v>0</v>
      </c>
      <c r="AT8" s="137">
        <f t="shared" ref="AT8:BR8" si="17">IF(AT56="x",1,0)</f>
        <v>0</v>
      </c>
      <c r="AU8" s="137">
        <f t="shared" si="17"/>
        <v>0</v>
      </c>
      <c r="AV8" s="137">
        <f t="shared" si="17"/>
        <v>0</v>
      </c>
      <c r="AW8" s="137">
        <f t="shared" si="17"/>
        <v>0</v>
      </c>
      <c r="AX8" s="137">
        <f t="shared" si="17"/>
        <v>0</v>
      </c>
      <c r="AY8" s="137">
        <f t="shared" si="17"/>
        <v>0</v>
      </c>
      <c r="AZ8" s="137">
        <f t="shared" si="17"/>
        <v>0</v>
      </c>
      <c r="BA8" s="137">
        <f t="shared" si="17"/>
        <v>0</v>
      </c>
      <c r="BB8" s="137">
        <f t="shared" si="17"/>
        <v>0</v>
      </c>
      <c r="BC8" s="137">
        <f t="shared" si="17"/>
        <v>0</v>
      </c>
      <c r="BD8" s="137">
        <f t="shared" si="17"/>
        <v>0</v>
      </c>
      <c r="BE8" s="137">
        <f t="shared" si="17"/>
        <v>0</v>
      </c>
      <c r="BF8" s="137">
        <f t="shared" si="17"/>
        <v>0</v>
      </c>
      <c r="BG8" s="137">
        <f t="shared" si="17"/>
        <v>0</v>
      </c>
      <c r="BH8" s="137">
        <f t="shared" si="17"/>
        <v>0</v>
      </c>
      <c r="BI8" s="137">
        <f t="shared" si="17"/>
        <v>0</v>
      </c>
      <c r="BJ8" s="137">
        <f t="shared" si="17"/>
        <v>0</v>
      </c>
      <c r="BK8" s="137">
        <f t="shared" si="17"/>
        <v>0</v>
      </c>
      <c r="BL8" s="137">
        <f t="shared" si="17"/>
        <v>0</v>
      </c>
      <c r="BM8" s="137">
        <f t="shared" si="17"/>
        <v>0</v>
      </c>
      <c r="BN8" s="137">
        <f t="shared" si="17"/>
        <v>0</v>
      </c>
      <c r="BO8" s="137">
        <f t="shared" si="17"/>
        <v>0</v>
      </c>
      <c r="BP8" s="137">
        <f t="shared" si="17"/>
        <v>0</v>
      </c>
      <c r="BQ8" s="137">
        <f t="shared" si="17"/>
        <v>0</v>
      </c>
      <c r="BR8" s="137">
        <f t="shared" si="17"/>
        <v>0</v>
      </c>
    </row>
    <row r="9" spans="11:70" ht="11.85" hidden="1" customHeight="1" outlineLevel="1">
      <c r="K9" s="137">
        <f t="shared" ref="K9:AB9" si="18">IF(K57="x",1,0)</f>
        <v>1</v>
      </c>
      <c r="L9" s="137">
        <f t="shared" si="18"/>
        <v>1</v>
      </c>
      <c r="M9" s="137">
        <f t="shared" si="18"/>
        <v>1</v>
      </c>
      <c r="N9" s="137">
        <f t="shared" si="18"/>
        <v>1</v>
      </c>
      <c r="O9" s="137">
        <f t="shared" si="18"/>
        <v>1</v>
      </c>
      <c r="P9" s="137">
        <f t="shared" si="18"/>
        <v>1</v>
      </c>
      <c r="Q9" s="137">
        <f t="shared" si="18"/>
        <v>1</v>
      </c>
      <c r="R9" s="137">
        <f t="shared" si="18"/>
        <v>1</v>
      </c>
      <c r="S9" s="137">
        <f t="shared" si="18"/>
        <v>1</v>
      </c>
      <c r="T9" s="137">
        <f t="shared" si="18"/>
        <v>1</v>
      </c>
      <c r="U9" s="137">
        <f t="shared" si="18"/>
        <v>0</v>
      </c>
      <c r="V9" s="137">
        <f t="shared" si="18"/>
        <v>0</v>
      </c>
      <c r="W9" s="137">
        <f t="shared" si="18"/>
        <v>0</v>
      </c>
      <c r="X9" s="137">
        <f t="shared" si="18"/>
        <v>0</v>
      </c>
      <c r="Y9" s="137">
        <f t="shared" si="18"/>
        <v>0</v>
      </c>
      <c r="Z9" s="137">
        <f t="shared" si="18"/>
        <v>0</v>
      </c>
      <c r="AA9" s="137">
        <f t="shared" si="18"/>
        <v>0</v>
      </c>
      <c r="AB9" s="137">
        <f t="shared" si="18"/>
        <v>0</v>
      </c>
      <c r="AC9" s="137">
        <f t="shared" ref="AC9:AS9" si="19">IF(AC57="x",1,0)</f>
        <v>0</v>
      </c>
      <c r="AD9" s="137">
        <f t="shared" si="19"/>
        <v>0</v>
      </c>
      <c r="AE9" s="137">
        <f t="shared" si="19"/>
        <v>0</v>
      </c>
      <c r="AF9" s="137">
        <f t="shared" si="19"/>
        <v>0</v>
      </c>
      <c r="AG9" s="137">
        <f t="shared" si="19"/>
        <v>0</v>
      </c>
      <c r="AH9" s="137">
        <f t="shared" si="19"/>
        <v>0</v>
      </c>
      <c r="AI9" s="137">
        <f t="shared" si="19"/>
        <v>0</v>
      </c>
      <c r="AJ9" s="137">
        <f t="shared" si="19"/>
        <v>0</v>
      </c>
      <c r="AK9" s="137">
        <f t="shared" si="19"/>
        <v>0</v>
      </c>
      <c r="AL9" s="137">
        <f t="shared" si="19"/>
        <v>0</v>
      </c>
      <c r="AM9" s="137">
        <f t="shared" si="19"/>
        <v>0</v>
      </c>
      <c r="AN9" s="137">
        <f t="shared" si="19"/>
        <v>0</v>
      </c>
      <c r="AO9" s="137">
        <f t="shared" si="19"/>
        <v>0</v>
      </c>
      <c r="AP9" s="137">
        <f t="shared" si="19"/>
        <v>0</v>
      </c>
      <c r="AQ9" s="137">
        <f t="shared" si="19"/>
        <v>0</v>
      </c>
      <c r="AR9" s="137">
        <f t="shared" si="19"/>
        <v>0</v>
      </c>
      <c r="AS9" s="137">
        <f t="shared" si="19"/>
        <v>0</v>
      </c>
      <c r="AT9" s="137">
        <f t="shared" ref="AT9:BR9" si="20">IF(AT57="x",1,0)</f>
        <v>0</v>
      </c>
      <c r="AU9" s="137">
        <f t="shared" si="20"/>
        <v>0</v>
      </c>
      <c r="AV9" s="137">
        <f t="shared" si="20"/>
        <v>0</v>
      </c>
      <c r="AW9" s="137">
        <f t="shared" si="20"/>
        <v>0</v>
      </c>
      <c r="AX9" s="137">
        <f t="shared" si="20"/>
        <v>0</v>
      </c>
      <c r="AY9" s="137">
        <f t="shared" si="20"/>
        <v>0</v>
      </c>
      <c r="AZ9" s="137">
        <f t="shared" si="20"/>
        <v>0</v>
      </c>
      <c r="BA9" s="137">
        <f t="shared" si="20"/>
        <v>0</v>
      </c>
      <c r="BB9" s="137">
        <f t="shared" si="20"/>
        <v>0</v>
      </c>
      <c r="BC9" s="137">
        <f t="shared" si="20"/>
        <v>0</v>
      </c>
      <c r="BD9" s="137">
        <f t="shared" si="20"/>
        <v>0</v>
      </c>
      <c r="BE9" s="137">
        <f t="shared" si="20"/>
        <v>0</v>
      </c>
      <c r="BF9" s="137">
        <f t="shared" si="20"/>
        <v>0</v>
      </c>
      <c r="BG9" s="137">
        <f t="shared" si="20"/>
        <v>0</v>
      </c>
      <c r="BH9" s="137">
        <f t="shared" si="20"/>
        <v>0</v>
      </c>
      <c r="BI9" s="137">
        <f t="shared" si="20"/>
        <v>0</v>
      </c>
      <c r="BJ9" s="137">
        <f t="shared" si="20"/>
        <v>0</v>
      </c>
      <c r="BK9" s="137">
        <f t="shared" si="20"/>
        <v>0</v>
      </c>
      <c r="BL9" s="137">
        <f t="shared" si="20"/>
        <v>0</v>
      </c>
      <c r="BM9" s="137">
        <f t="shared" si="20"/>
        <v>0</v>
      </c>
      <c r="BN9" s="137">
        <f t="shared" si="20"/>
        <v>0</v>
      </c>
      <c r="BO9" s="137">
        <f t="shared" si="20"/>
        <v>0</v>
      </c>
      <c r="BP9" s="137">
        <f t="shared" si="20"/>
        <v>0</v>
      </c>
      <c r="BQ9" s="137">
        <f t="shared" si="20"/>
        <v>0</v>
      </c>
      <c r="BR9" s="137">
        <f t="shared" si="20"/>
        <v>0</v>
      </c>
    </row>
    <row r="10" spans="11:70" ht="11.85" hidden="1" customHeight="1" outlineLevel="1">
      <c r="K10" s="137">
        <f t="shared" ref="K10:AB10" si="21">IF(K58="x",1,0)</f>
        <v>1</v>
      </c>
      <c r="L10" s="137">
        <f t="shared" si="21"/>
        <v>1</v>
      </c>
      <c r="M10" s="137">
        <f t="shared" si="21"/>
        <v>1</v>
      </c>
      <c r="N10" s="137">
        <f t="shared" si="21"/>
        <v>1</v>
      </c>
      <c r="O10" s="137">
        <f t="shared" si="21"/>
        <v>1</v>
      </c>
      <c r="P10" s="137">
        <f t="shared" si="21"/>
        <v>1</v>
      </c>
      <c r="Q10" s="137">
        <f t="shared" si="21"/>
        <v>1</v>
      </c>
      <c r="R10" s="137">
        <f t="shared" si="21"/>
        <v>1</v>
      </c>
      <c r="S10" s="137">
        <f t="shared" si="21"/>
        <v>1</v>
      </c>
      <c r="T10" s="137">
        <f t="shared" si="21"/>
        <v>1</v>
      </c>
      <c r="U10" s="137">
        <f t="shared" si="21"/>
        <v>0</v>
      </c>
      <c r="V10" s="137">
        <f t="shared" si="21"/>
        <v>0</v>
      </c>
      <c r="W10" s="137">
        <f t="shared" si="21"/>
        <v>0</v>
      </c>
      <c r="X10" s="137">
        <f t="shared" si="21"/>
        <v>0</v>
      </c>
      <c r="Y10" s="137">
        <f t="shared" si="21"/>
        <v>0</v>
      </c>
      <c r="Z10" s="137">
        <f t="shared" si="21"/>
        <v>0</v>
      </c>
      <c r="AA10" s="137">
        <f t="shared" si="21"/>
        <v>0</v>
      </c>
      <c r="AB10" s="137">
        <f t="shared" si="21"/>
        <v>0</v>
      </c>
      <c r="AC10" s="137">
        <f t="shared" ref="AC10:AS10" si="22">IF(AC58="x",1,0)</f>
        <v>0</v>
      </c>
      <c r="AD10" s="137">
        <f t="shared" si="22"/>
        <v>0</v>
      </c>
      <c r="AE10" s="137">
        <f t="shared" si="22"/>
        <v>0</v>
      </c>
      <c r="AF10" s="137">
        <f t="shared" si="22"/>
        <v>0</v>
      </c>
      <c r="AG10" s="137">
        <f t="shared" si="22"/>
        <v>0</v>
      </c>
      <c r="AH10" s="137">
        <f t="shared" si="22"/>
        <v>0</v>
      </c>
      <c r="AI10" s="137">
        <f t="shared" si="22"/>
        <v>0</v>
      </c>
      <c r="AJ10" s="137">
        <f t="shared" si="22"/>
        <v>0</v>
      </c>
      <c r="AK10" s="137">
        <f t="shared" si="22"/>
        <v>0</v>
      </c>
      <c r="AL10" s="137">
        <f t="shared" si="22"/>
        <v>0</v>
      </c>
      <c r="AM10" s="137">
        <f t="shared" si="22"/>
        <v>0</v>
      </c>
      <c r="AN10" s="137">
        <f t="shared" si="22"/>
        <v>0</v>
      </c>
      <c r="AO10" s="137">
        <f t="shared" si="22"/>
        <v>0</v>
      </c>
      <c r="AP10" s="137">
        <f t="shared" si="22"/>
        <v>0</v>
      </c>
      <c r="AQ10" s="137">
        <f t="shared" si="22"/>
        <v>0</v>
      </c>
      <c r="AR10" s="137">
        <f t="shared" si="22"/>
        <v>0</v>
      </c>
      <c r="AS10" s="137">
        <f t="shared" si="22"/>
        <v>0</v>
      </c>
      <c r="AT10" s="137">
        <f t="shared" ref="AT10:BR10" si="23">IF(AT58="x",1,0)</f>
        <v>0</v>
      </c>
      <c r="AU10" s="137">
        <f t="shared" si="23"/>
        <v>0</v>
      </c>
      <c r="AV10" s="137">
        <f t="shared" si="23"/>
        <v>0</v>
      </c>
      <c r="AW10" s="137">
        <f t="shared" si="23"/>
        <v>0</v>
      </c>
      <c r="AX10" s="137">
        <f t="shared" si="23"/>
        <v>0</v>
      </c>
      <c r="AY10" s="137">
        <f t="shared" si="23"/>
        <v>0</v>
      </c>
      <c r="AZ10" s="137">
        <f t="shared" si="23"/>
        <v>0</v>
      </c>
      <c r="BA10" s="137">
        <f t="shared" si="23"/>
        <v>0</v>
      </c>
      <c r="BB10" s="137">
        <f t="shared" si="23"/>
        <v>0</v>
      </c>
      <c r="BC10" s="137">
        <f t="shared" si="23"/>
        <v>0</v>
      </c>
      <c r="BD10" s="137">
        <f t="shared" si="23"/>
        <v>0</v>
      </c>
      <c r="BE10" s="137">
        <f t="shared" si="23"/>
        <v>0</v>
      </c>
      <c r="BF10" s="137">
        <f t="shared" si="23"/>
        <v>0</v>
      </c>
      <c r="BG10" s="137">
        <f t="shared" si="23"/>
        <v>0</v>
      </c>
      <c r="BH10" s="137">
        <f t="shared" si="23"/>
        <v>0</v>
      </c>
      <c r="BI10" s="137">
        <f t="shared" si="23"/>
        <v>0</v>
      </c>
      <c r="BJ10" s="137">
        <f t="shared" si="23"/>
        <v>0</v>
      </c>
      <c r="BK10" s="137">
        <f t="shared" si="23"/>
        <v>0</v>
      </c>
      <c r="BL10" s="137">
        <f t="shared" si="23"/>
        <v>0</v>
      </c>
      <c r="BM10" s="137">
        <f t="shared" si="23"/>
        <v>0</v>
      </c>
      <c r="BN10" s="137">
        <f t="shared" si="23"/>
        <v>0</v>
      </c>
      <c r="BO10" s="137">
        <f t="shared" si="23"/>
        <v>0</v>
      </c>
      <c r="BP10" s="137">
        <f t="shared" si="23"/>
        <v>0</v>
      </c>
      <c r="BQ10" s="137">
        <f t="shared" si="23"/>
        <v>0</v>
      </c>
      <c r="BR10" s="137">
        <f t="shared" si="23"/>
        <v>0</v>
      </c>
    </row>
    <row r="11" spans="11:70" ht="11.85" hidden="1" customHeight="1" outlineLevel="1">
      <c r="K11" s="137">
        <f t="shared" ref="K11:AB11" si="24">IF(K59="x",1,0)</f>
        <v>1</v>
      </c>
      <c r="L11" s="137">
        <f t="shared" si="24"/>
        <v>1</v>
      </c>
      <c r="M11" s="137">
        <f t="shared" si="24"/>
        <v>1</v>
      </c>
      <c r="N11" s="137">
        <f t="shared" si="24"/>
        <v>1</v>
      </c>
      <c r="O11" s="137">
        <f t="shared" si="24"/>
        <v>1</v>
      </c>
      <c r="P11" s="137">
        <f t="shared" si="24"/>
        <v>1</v>
      </c>
      <c r="Q11" s="137">
        <f t="shared" si="24"/>
        <v>1</v>
      </c>
      <c r="R11" s="137">
        <f t="shared" si="24"/>
        <v>1</v>
      </c>
      <c r="S11" s="137">
        <f t="shared" si="24"/>
        <v>1</v>
      </c>
      <c r="T11" s="137">
        <f t="shared" si="24"/>
        <v>1</v>
      </c>
      <c r="U11" s="137">
        <f t="shared" si="24"/>
        <v>0</v>
      </c>
      <c r="V11" s="137">
        <f t="shared" si="24"/>
        <v>0</v>
      </c>
      <c r="W11" s="137">
        <f t="shared" si="24"/>
        <v>0</v>
      </c>
      <c r="X11" s="137">
        <f t="shared" si="24"/>
        <v>0</v>
      </c>
      <c r="Y11" s="137">
        <f t="shared" si="24"/>
        <v>0</v>
      </c>
      <c r="Z11" s="137">
        <f t="shared" si="24"/>
        <v>0</v>
      </c>
      <c r="AA11" s="137">
        <f t="shared" si="24"/>
        <v>0</v>
      </c>
      <c r="AB11" s="137">
        <f t="shared" si="24"/>
        <v>0</v>
      </c>
      <c r="AC11" s="137">
        <f t="shared" ref="AC11:AS11" si="25">IF(AC59="x",1,0)</f>
        <v>0</v>
      </c>
      <c r="AD11" s="137">
        <f t="shared" si="25"/>
        <v>0</v>
      </c>
      <c r="AE11" s="137">
        <f t="shared" si="25"/>
        <v>0</v>
      </c>
      <c r="AF11" s="137">
        <f t="shared" si="25"/>
        <v>0</v>
      </c>
      <c r="AG11" s="137">
        <f t="shared" si="25"/>
        <v>0</v>
      </c>
      <c r="AH11" s="137">
        <f t="shared" si="25"/>
        <v>0</v>
      </c>
      <c r="AI11" s="137">
        <f t="shared" si="25"/>
        <v>0</v>
      </c>
      <c r="AJ11" s="137">
        <f t="shared" si="25"/>
        <v>0</v>
      </c>
      <c r="AK11" s="137">
        <f t="shared" si="25"/>
        <v>0</v>
      </c>
      <c r="AL11" s="137">
        <f t="shared" si="25"/>
        <v>0</v>
      </c>
      <c r="AM11" s="137">
        <f t="shared" si="25"/>
        <v>0</v>
      </c>
      <c r="AN11" s="137">
        <f t="shared" si="25"/>
        <v>0</v>
      </c>
      <c r="AO11" s="137">
        <f t="shared" si="25"/>
        <v>0</v>
      </c>
      <c r="AP11" s="137">
        <f t="shared" si="25"/>
        <v>0</v>
      </c>
      <c r="AQ11" s="137">
        <f t="shared" si="25"/>
        <v>0</v>
      </c>
      <c r="AR11" s="137">
        <f t="shared" si="25"/>
        <v>0</v>
      </c>
      <c r="AS11" s="137">
        <f t="shared" si="25"/>
        <v>0</v>
      </c>
      <c r="AT11" s="137">
        <f t="shared" ref="AT11:BR11" si="26">IF(AT59="x",1,0)</f>
        <v>0</v>
      </c>
      <c r="AU11" s="137">
        <f t="shared" si="26"/>
        <v>0</v>
      </c>
      <c r="AV11" s="137">
        <f t="shared" si="26"/>
        <v>0</v>
      </c>
      <c r="AW11" s="137">
        <f t="shared" si="26"/>
        <v>0</v>
      </c>
      <c r="AX11" s="137">
        <f t="shared" si="26"/>
        <v>0</v>
      </c>
      <c r="AY11" s="137">
        <f t="shared" si="26"/>
        <v>0</v>
      </c>
      <c r="AZ11" s="137">
        <f t="shared" si="26"/>
        <v>0</v>
      </c>
      <c r="BA11" s="137">
        <f t="shared" si="26"/>
        <v>0</v>
      </c>
      <c r="BB11" s="137">
        <f t="shared" si="26"/>
        <v>0</v>
      </c>
      <c r="BC11" s="137">
        <f t="shared" si="26"/>
        <v>0</v>
      </c>
      <c r="BD11" s="137">
        <f t="shared" si="26"/>
        <v>0</v>
      </c>
      <c r="BE11" s="137">
        <f t="shared" si="26"/>
        <v>0</v>
      </c>
      <c r="BF11" s="137">
        <f t="shared" si="26"/>
        <v>0</v>
      </c>
      <c r="BG11" s="137">
        <f t="shared" si="26"/>
        <v>0</v>
      </c>
      <c r="BH11" s="137">
        <f t="shared" si="26"/>
        <v>0</v>
      </c>
      <c r="BI11" s="137">
        <f t="shared" si="26"/>
        <v>0</v>
      </c>
      <c r="BJ11" s="137">
        <f t="shared" si="26"/>
        <v>0</v>
      </c>
      <c r="BK11" s="137">
        <f t="shared" si="26"/>
        <v>0</v>
      </c>
      <c r="BL11" s="137">
        <f t="shared" si="26"/>
        <v>0</v>
      </c>
      <c r="BM11" s="137">
        <f t="shared" si="26"/>
        <v>0</v>
      </c>
      <c r="BN11" s="137">
        <f t="shared" si="26"/>
        <v>0</v>
      </c>
      <c r="BO11" s="137">
        <f t="shared" si="26"/>
        <v>0</v>
      </c>
      <c r="BP11" s="137">
        <f t="shared" si="26"/>
        <v>0</v>
      </c>
      <c r="BQ11" s="137">
        <f t="shared" si="26"/>
        <v>0</v>
      </c>
      <c r="BR11" s="137">
        <f t="shared" si="26"/>
        <v>0</v>
      </c>
    </row>
    <row r="12" spans="11:70" ht="11.85" hidden="1" customHeight="1" outlineLevel="1">
      <c r="K12" s="137">
        <f t="shared" ref="K12:AB12" si="27">IF(K60="x",1,0)</f>
        <v>1</v>
      </c>
      <c r="L12" s="137">
        <f t="shared" si="27"/>
        <v>1</v>
      </c>
      <c r="M12" s="137">
        <f t="shared" si="27"/>
        <v>1</v>
      </c>
      <c r="N12" s="137">
        <f t="shared" si="27"/>
        <v>1</v>
      </c>
      <c r="O12" s="137">
        <f t="shared" si="27"/>
        <v>1</v>
      </c>
      <c r="P12" s="137">
        <f t="shared" si="27"/>
        <v>1</v>
      </c>
      <c r="Q12" s="137">
        <f t="shared" si="27"/>
        <v>1</v>
      </c>
      <c r="R12" s="137">
        <f t="shared" si="27"/>
        <v>1</v>
      </c>
      <c r="S12" s="137">
        <f t="shared" si="27"/>
        <v>1</v>
      </c>
      <c r="T12" s="137">
        <f t="shared" si="27"/>
        <v>1</v>
      </c>
      <c r="U12" s="137">
        <f t="shared" si="27"/>
        <v>0</v>
      </c>
      <c r="V12" s="137">
        <f t="shared" si="27"/>
        <v>0</v>
      </c>
      <c r="W12" s="137">
        <f t="shared" si="27"/>
        <v>0</v>
      </c>
      <c r="X12" s="137">
        <f t="shared" si="27"/>
        <v>0</v>
      </c>
      <c r="Y12" s="137">
        <f t="shared" si="27"/>
        <v>0</v>
      </c>
      <c r="Z12" s="137">
        <f t="shared" si="27"/>
        <v>0</v>
      </c>
      <c r="AA12" s="137">
        <f t="shared" si="27"/>
        <v>0</v>
      </c>
      <c r="AB12" s="137">
        <f t="shared" si="27"/>
        <v>0</v>
      </c>
      <c r="AC12" s="137">
        <f t="shared" ref="AC12:AS12" si="28">IF(AC60="x",1,0)</f>
        <v>0</v>
      </c>
      <c r="AD12" s="137">
        <f t="shared" si="28"/>
        <v>0</v>
      </c>
      <c r="AE12" s="137">
        <f t="shared" si="28"/>
        <v>0</v>
      </c>
      <c r="AF12" s="137">
        <f t="shared" si="28"/>
        <v>0</v>
      </c>
      <c r="AG12" s="137">
        <f t="shared" si="28"/>
        <v>0</v>
      </c>
      <c r="AH12" s="137">
        <f t="shared" si="28"/>
        <v>0</v>
      </c>
      <c r="AI12" s="137">
        <f t="shared" si="28"/>
        <v>0</v>
      </c>
      <c r="AJ12" s="137">
        <f t="shared" si="28"/>
        <v>0</v>
      </c>
      <c r="AK12" s="137">
        <f t="shared" si="28"/>
        <v>0</v>
      </c>
      <c r="AL12" s="137">
        <f t="shared" si="28"/>
        <v>0</v>
      </c>
      <c r="AM12" s="137">
        <f t="shared" si="28"/>
        <v>0</v>
      </c>
      <c r="AN12" s="137">
        <f t="shared" si="28"/>
        <v>0</v>
      </c>
      <c r="AO12" s="137">
        <f t="shared" si="28"/>
        <v>0</v>
      </c>
      <c r="AP12" s="137">
        <f t="shared" si="28"/>
        <v>0</v>
      </c>
      <c r="AQ12" s="137">
        <f t="shared" si="28"/>
        <v>0</v>
      </c>
      <c r="AR12" s="137">
        <f t="shared" si="28"/>
        <v>0</v>
      </c>
      <c r="AS12" s="137">
        <f t="shared" si="28"/>
        <v>0</v>
      </c>
      <c r="AT12" s="137">
        <f t="shared" ref="AT12:BR12" si="29">IF(AT60="x",1,0)</f>
        <v>0</v>
      </c>
      <c r="AU12" s="137">
        <f t="shared" si="29"/>
        <v>0</v>
      </c>
      <c r="AV12" s="137">
        <f t="shared" si="29"/>
        <v>0</v>
      </c>
      <c r="AW12" s="137">
        <f t="shared" si="29"/>
        <v>0</v>
      </c>
      <c r="AX12" s="137">
        <f t="shared" si="29"/>
        <v>0</v>
      </c>
      <c r="AY12" s="137">
        <f t="shared" si="29"/>
        <v>0</v>
      </c>
      <c r="AZ12" s="137">
        <f t="shared" si="29"/>
        <v>0</v>
      </c>
      <c r="BA12" s="137">
        <f t="shared" si="29"/>
        <v>0</v>
      </c>
      <c r="BB12" s="137">
        <f t="shared" si="29"/>
        <v>0</v>
      </c>
      <c r="BC12" s="137">
        <f t="shared" si="29"/>
        <v>0</v>
      </c>
      <c r="BD12" s="137">
        <f t="shared" si="29"/>
        <v>0</v>
      </c>
      <c r="BE12" s="137">
        <f t="shared" si="29"/>
        <v>0</v>
      </c>
      <c r="BF12" s="137">
        <f t="shared" si="29"/>
        <v>0</v>
      </c>
      <c r="BG12" s="137">
        <f t="shared" si="29"/>
        <v>0</v>
      </c>
      <c r="BH12" s="137">
        <f t="shared" si="29"/>
        <v>0</v>
      </c>
      <c r="BI12" s="137">
        <f t="shared" si="29"/>
        <v>0</v>
      </c>
      <c r="BJ12" s="137">
        <f t="shared" si="29"/>
        <v>0</v>
      </c>
      <c r="BK12" s="137">
        <f t="shared" si="29"/>
        <v>0</v>
      </c>
      <c r="BL12" s="137">
        <f t="shared" si="29"/>
        <v>0</v>
      </c>
      <c r="BM12" s="137">
        <f t="shared" si="29"/>
        <v>0</v>
      </c>
      <c r="BN12" s="137">
        <f t="shared" si="29"/>
        <v>0</v>
      </c>
      <c r="BO12" s="137">
        <f t="shared" si="29"/>
        <v>0</v>
      </c>
      <c r="BP12" s="137">
        <f t="shared" si="29"/>
        <v>0</v>
      </c>
      <c r="BQ12" s="137">
        <f t="shared" si="29"/>
        <v>0</v>
      </c>
      <c r="BR12" s="137">
        <f t="shared" si="29"/>
        <v>0</v>
      </c>
    </row>
    <row r="13" spans="11:70" ht="11.85" hidden="1" customHeight="1" outlineLevel="1">
      <c r="K13" s="137">
        <f t="shared" ref="K13:AB13" si="30">IF(K61="x",1,0)</f>
        <v>1</v>
      </c>
      <c r="L13" s="137">
        <f t="shared" si="30"/>
        <v>1</v>
      </c>
      <c r="M13" s="137">
        <f t="shared" si="30"/>
        <v>1</v>
      </c>
      <c r="N13" s="137">
        <f t="shared" si="30"/>
        <v>1</v>
      </c>
      <c r="O13" s="137">
        <f t="shared" si="30"/>
        <v>1</v>
      </c>
      <c r="P13" s="137">
        <f t="shared" si="30"/>
        <v>1</v>
      </c>
      <c r="Q13" s="137">
        <f t="shared" si="30"/>
        <v>1</v>
      </c>
      <c r="R13" s="137">
        <f t="shared" si="30"/>
        <v>1</v>
      </c>
      <c r="S13" s="137">
        <f t="shared" si="30"/>
        <v>1</v>
      </c>
      <c r="T13" s="137">
        <f t="shared" si="30"/>
        <v>1</v>
      </c>
      <c r="U13" s="137">
        <f t="shared" si="30"/>
        <v>0</v>
      </c>
      <c r="V13" s="137">
        <f t="shared" si="30"/>
        <v>0</v>
      </c>
      <c r="W13" s="137">
        <f t="shared" si="30"/>
        <v>0</v>
      </c>
      <c r="X13" s="137">
        <f t="shared" si="30"/>
        <v>0</v>
      </c>
      <c r="Y13" s="137">
        <f t="shared" si="30"/>
        <v>0</v>
      </c>
      <c r="Z13" s="137">
        <f t="shared" si="30"/>
        <v>0</v>
      </c>
      <c r="AA13" s="137">
        <f t="shared" si="30"/>
        <v>0</v>
      </c>
      <c r="AB13" s="137">
        <f t="shared" si="30"/>
        <v>0</v>
      </c>
      <c r="AC13" s="137">
        <f t="shared" ref="AC13:AS13" si="31">IF(AC61="x",1,0)</f>
        <v>0</v>
      </c>
      <c r="AD13" s="137">
        <f t="shared" si="31"/>
        <v>0</v>
      </c>
      <c r="AE13" s="137">
        <f t="shared" si="31"/>
        <v>0</v>
      </c>
      <c r="AF13" s="137">
        <f t="shared" si="31"/>
        <v>0</v>
      </c>
      <c r="AG13" s="137">
        <f t="shared" si="31"/>
        <v>0</v>
      </c>
      <c r="AH13" s="137">
        <f t="shared" si="31"/>
        <v>0</v>
      </c>
      <c r="AI13" s="137">
        <f t="shared" si="31"/>
        <v>0</v>
      </c>
      <c r="AJ13" s="137">
        <f t="shared" si="31"/>
        <v>0</v>
      </c>
      <c r="AK13" s="137">
        <f t="shared" si="31"/>
        <v>0</v>
      </c>
      <c r="AL13" s="137">
        <f t="shared" si="31"/>
        <v>0</v>
      </c>
      <c r="AM13" s="137">
        <f t="shared" si="31"/>
        <v>0</v>
      </c>
      <c r="AN13" s="137">
        <f t="shared" si="31"/>
        <v>0</v>
      </c>
      <c r="AO13" s="137">
        <f t="shared" si="31"/>
        <v>0</v>
      </c>
      <c r="AP13" s="137">
        <f t="shared" si="31"/>
        <v>0</v>
      </c>
      <c r="AQ13" s="137">
        <f t="shared" si="31"/>
        <v>0</v>
      </c>
      <c r="AR13" s="137">
        <f t="shared" si="31"/>
        <v>0</v>
      </c>
      <c r="AS13" s="137">
        <f t="shared" si="31"/>
        <v>0</v>
      </c>
      <c r="AT13" s="137">
        <f t="shared" ref="AT13:BR13" si="32">IF(AT61="x",1,0)</f>
        <v>0</v>
      </c>
      <c r="AU13" s="137">
        <f t="shared" si="32"/>
        <v>0</v>
      </c>
      <c r="AV13" s="137">
        <f t="shared" si="32"/>
        <v>0</v>
      </c>
      <c r="AW13" s="137">
        <f t="shared" si="32"/>
        <v>0</v>
      </c>
      <c r="AX13" s="137">
        <f t="shared" si="32"/>
        <v>0</v>
      </c>
      <c r="AY13" s="137">
        <f t="shared" si="32"/>
        <v>0</v>
      </c>
      <c r="AZ13" s="137">
        <f t="shared" si="32"/>
        <v>0</v>
      </c>
      <c r="BA13" s="137">
        <f t="shared" si="32"/>
        <v>0</v>
      </c>
      <c r="BB13" s="137">
        <f t="shared" si="32"/>
        <v>0</v>
      </c>
      <c r="BC13" s="137">
        <f t="shared" si="32"/>
        <v>0</v>
      </c>
      <c r="BD13" s="137">
        <f t="shared" si="32"/>
        <v>0</v>
      </c>
      <c r="BE13" s="137">
        <f t="shared" si="32"/>
        <v>0</v>
      </c>
      <c r="BF13" s="137">
        <f t="shared" si="32"/>
        <v>0</v>
      </c>
      <c r="BG13" s="137">
        <f t="shared" si="32"/>
        <v>0</v>
      </c>
      <c r="BH13" s="137">
        <f t="shared" si="32"/>
        <v>0</v>
      </c>
      <c r="BI13" s="137">
        <f t="shared" si="32"/>
        <v>0</v>
      </c>
      <c r="BJ13" s="137">
        <f t="shared" si="32"/>
        <v>0</v>
      </c>
      <c r="BK13" s="137">
        <f t="shared" si="32"/>
        <v>0</v>
      </c>
      <c r="BL13" s="137">
        <f t="shared" si="32"/>
        <v>0</v>
      </c>
      <c r="BM13" s="137">
        <f t="shared" si="32"/>
        <v>0</v>
      </c>
      <c r="BN13" s="137">
        <f t="shared" si="32"/>
        <v>0</v>
      </c>
      <c r="BO13" s="137">
        <f t="shared" si="32"/>
        <v>0</v>
      </c>
      <c r="BP13" s="137">
        <f t="shared" si="32"/>
        <v>0</v>
      </c>
      <c r="BQ13" s="137">
        <f t="shared" si="32"/>
        <v>0</v>
      </c>
      <c r="BR13" s="137">
        <f t="shared" si="32"/>
        <v>0</v>
      </c>
    </row>
    <row r="14" spans="11:70" ht="11.85" hidden="1" customHeight="1" outlineLevel="1">
      <c r="K14" s="137">
        <f t="shared" ref="K14:AB14" si="33">IF(K62="x",1,0)</f>
        <v>1</v>
      </c>
      <c r="L14" s="137">
        <f t="shared" si="33"/>
        <v>1</v>
      </c>
      <c r="M14" s="137">
        <f t="shared" si="33"/>
        <v>1</v>
      </c>
      <c r="N14" s="137">
        <f t="shared" si="33"/>
        <v>1</v>
      </c>
      <c r="O14" s="137">
        <f t="shared" si="33"/>
        <v>1</v>
      </c>
      <c r="P14" s="137">
        <f t="shared" si="33"/>
        <v>1</v>
      </c>
      <c r="Q14" s="137">
        <f t="shared" si="33"/>
        <v>1</v>
      </c>
      <c r="R14" s="137">
        <f t="shared" si="33"/>
        <v>1</v>
      </c>
      <c r="S14" s="137">
        <f t="shared" si="33"/>
        <v>1</v>
      </c>
      <c r="T14" s="137">
        <f t="shared" si="33"/>
        <v>1</v>
      </c>
      <c r="U14" s="137">
        <f t="shared" si="33"/>
        <v>0</v>
      </c>
      <c r="V14" s="137">
        <f t="shared" si="33"/>
        <v>0</v>
      </c>
      <c r="W14" s="137">
        <f t="shared" si="33"/>
        <v>0</v>
      </c>
      <c r="X14" s="137">
        <f t="shared" si="33"/>
        <v>0</v>
      </c>
      <c r="Y14" s="137">
        <f t="shared" si="33"/>
        <v>0</v>
      </c>
      <c r="Z14" s="137">
        <f t="shared" si="33"/>
        <v>0</v>
      </c>
      <c r="AA14" s="137">
        <f t="shared" si="33"/>
        <v>0</v>
      </c>
      <c r="AB14" s="137">
        <f t="shared" si="33"/>
        <v>0</v>
      </c>
      <c r="AC14" s="137">
        <f t="shared" ref="AC14:AS14" si="34">IF(AC62="x",1,0)</f>
        <v>0</v>
      </c>
      <c r="AD14" s="137">
        <f t="shared" si="34"/>
        <v>0</v>
      </c>
      <c r="AE14" s="137">
        <f t="shared" si="34"/>
        <v>0</v>
      </c>
      <c r="AF14" s="137">
        <f t="shared" si="34"/>
        <v>0</v>
      </c>
      <c r="AG14" s="137">
        <f t="shared" si="34"/>
        <v>0</v>
      </c>
      <c r="AH14" s="137">
        <f t="shared" si="34"/>
        <v>0</v>
      </c>
      <c r="AI14" s="137">
        <f t="shared" si="34"/>
        <v>0</v>
      </c>
      <c r="AJ14" s="137">
        <f t="shared" si="34"/>
        <v>0</v>
      </c>
      <c r="AK14" s="137">
        <f t="shared" si="34"/>
        <v>0</v>
      </c>
      <c r="AL14" s="137">
        <f t="shared" si="34"/>
        <v>0</v>
      </c>
      <c r="AM14" s="137">
        <f t="shared" si="34"/>
        <v>0</v>
      </c>
      <c r="AN14" s="137">
        <f t="shared" si="34"/>
        <v>0</v>
      </c>
      <c r="AO14" s="137">
        <f t="shared" si="34"/>
        <v>0</v>
      </c>
      <c r="AP14" s="137">
        <f t="shared" si="34"/>
        <v>0</v>
      </c>
      <c r="AQ14" s="137">
        <f t="shared" si="34"/>
        <v>0</v>
      </c>
      <c r="AR14" s="137">
        <f t="shared" si="34"/>
        <v>0</v>
      </c>
      <c r="AS14" s="137">
        <f t="shared" si="34"/>
        <v>0</v>
      </c>
      <c r="AT14" s="137">
        <f t="shared" ref="AT14:BR14" si="35">IF(AT62="x",1,0)</f>
        <v>0</v>
      </c>
      <c r="AU14" s="137">
        <f t="shared" si="35"/>
        <v>0</v>
      </c>
      <c r="AV14" s="137">
        <f t="shared" si="35"/>
        <v>0</v>
      </c>
      <c r="AW14" s="137">
        <f t="shared" si="35"/>
        <v>0</v>
      </c>
      <c r="AX14" s="137">
        <f t="shared" si="35"/>
        <v>0</v>
      </c>
      <c r="AY14" s="137">
        <f t="shared" si="35"/>
        <v>0</v>
      </c>
      <c r="AZ14" s="137">
        <f t="shared" si="35"/>
        <v>0</v>
      </c>
      <c r="BA14" s="137">
        <f t="shared" si="35"/>
        <v>0</v>
      </c>
      <c r="BB14" s="137">
        <f t="shared" si="35"/>
        <v>0</v>
      </c>
      <c r="BC14" s="137">
        <f t="shared" si="35"/>
        <v>0</v>
      </c>
      <c r="BD14" s="137">
        <f t="shared" si="35"/>
        <v>0</v>
      </c>
      <c r="BE14" s="137">
        <f t="shared" si="35"/>
        <v>0</v>
      </c>
      <c r="BF14" s="137">
        <f t="shared" si="35"/>
        <v>0</v>
      </c>
      <c r="BG14" s="137">
        <f t="shared" si="35"/>
        <v>0</v>
      </c>
      <c r="BH14" s="137">
        <f t="shared" si="35"/>
        <v>0</v>
      </c>
      <c r="BI14" s="137">
        <f t="shared" si="35"/>
        <v>0</v>
      </c>
      <c r="BJ14" s="137">
        <f t="shared" si="35"/>
        <v>0</v>
      </c>
      <c r="BK14" s="137">
        <f t="shared" si="35"/>
        <v>0</v>
      </c>
      <c r="BL14" s="137">
        <f t="shared" si="35"/>
        <v>0</v>
      </c>
      <c r="BM14" s="137">
        <f t="shared" si="35"/>
        <v>0</v>
      </c>
      <c r="BN14" s="137">
        <f t="shared" si="35"/>
        <v>0</v>
      </c>
      <c r="BO14" s="137">
        <f t="shared" si="35"/>
        <v>0</v>
      </c>
      <c r="BP14" s="137">
        <f t="shared" si="35"/>
        <v>0</v>
      </c>
      <c r="BQ14" s="137">
        <f t="shared" si="35"/>
        <v>0</v>
      </c>
      <c r="BR14" s="137">
        <f t="shared" si="35"/>
        <v>0</v>
      </c>
    </row>
    <row r="15" spans="11:70" ht="11.85" hidden="1" customHeight="1" outlineLevel="1">
      <c r="K15" s="137">
        <f t="shared" ref="K15:AB15" si="36">IF(K63="x",1,0)</f>
        <v>1</v>
      </c>
      <c r="L15" s="137">
        <f t="shared" si="36"/>
        <v>1</v>
      </c>
      <c r="M15" s="137">
        <f t="shared" si="36"/>
        <v>1</v>
      </c>
      <c r="N15" s="137">
        <f t="shared" si="36"/>
        <v>1</v>
      </c>
      <c r="O15" s="137">
        <f t="shared" si="36"/>
        <v>1</v>
      </c>
      <c r="P15" s="137">
        <f t="shared" si="36"/>
        <v>1</v>
      </c>
      <c r="Q15" s="137">
        <f t="shared" si="36"/>
        <v>1</v>
      </c>
      <c r="R15" s="137">
        <f t="shared" si="36"/>
        <v>1</v>
      </c>
      <c r="S15" s="137">
        <f t="shared" si="36"/>
        <v>1</v>
      </c>
      <c r="T15" s="137">
        <f t="shared" si="36"/>
        <v>1</v>
      </c>
      <c r="U15" s="137">
        <f t="shared" si="36"/>
        <v>0</v>
      </c>
      <c r="V15" s="137">
        <f t="shared" si="36"/>
        <v>0</v>
      </c>
      <c r="W15" s="137">
        <f t="shared" si="36"/>
        <v>0</v>
      </c>
      <c r="X15" s="137">
        <f t="shared" si="36"/>
        <v>0</v>
      </c>
      <c r="Y15" s="137">
        <f t="shared" si="36"/>
        <v>0</v>
      </c>
      <c r="Z15" s="137">
        <f t="shared" si="36"/>
        <v>0</v>
      </c>
      <c r="AA15" s="137">
        <f t="shared" si="36"/>
        <v>0</v>
      </c>
      <c r="AB15" s="137">
        <f t="shared" si="36"/>
        <v>0</v>
      </c>
      <c r="AC15" s="137">
        <f t="shared" ref="AC15:AS15" si="37">IF(AC63="x",1,0)</f>
        <v>0</v>
      </c>
      <c r="AD15" s="137">
        <f t="shared" si="37"/>
        <v>0</v>
      </c>
      <c r="AE15" s="137">
        <f t="shared" si="37"/>
        <v>0</v>
      </c>
      <c r="AF15" s="137">
        <f t="shared" si="37"/>
        <v>0</v>
      </c>
      <c r="AG15" s="137">
        <f t="shared" si="37"/>
        <v>0</v>
      </c>
      <c r="AH15" s="137">
        <f t="shared" si="37"/>
        <v>0</v>
      </c>
      <c r="AI15" s="137">
        <f t="shared" si="37"/>
        <v>0</v>
      </c>
      <c r="AJ15" s="137">
        <f t="shared" si="37"/>
        <v>0</v>
      </c>
      <c r="AK15" s="137">
        <f t="shared" si="37"/>
        <v>0</v>
      </c>
      <c r="AL15" s="137">
        <f t="shared" si="37"/>
        <v>0</v>
      </c>
      <c r="AM15" s="137">
        <f t="shared" si="37"/>
        <v>0</v>
      </c>
      <c r="AN15" s="137">
        <f t="shared" si="37"/>
        <v>0</v>
      </c>
      <c r="AO15" s="137">
        <f t="shared" si="37"/>
        <v>0</v>
      </c>
      <c r="AP15" s="137">
        <f t="shared" si="37"/>
        <v>0</v>
      </c>
      <c r="AQ15" s="137">
        <f t="shared" si="37"/>
        <v>0</v>
      </c>
      <c r="AR15" s="137">
        <f t="shared" si="37"/>
        <v>0</v>
      </c>
      <c r="AS15" s="137">
        <f t="shared" si="37"/>
        <v>0</v>
      </c>
      <c r="AT15" s="137">
        <f t="shared" ref="AT15:BR15" si="38">IF(AT63="x",1,0)</f>
        <v>0</v>
      </c>
      <c r="AU15" s="137">
        <f t="shared" si="38"/>
        <v>0</v>
      </c>
      <c r="AV15" s="137">
        <f t="shared" si="38"/>
        <v>0</v>
      </c>
      <c r="AW15" s="137">
        <f t="shared" si="38"/>
        <v>0</v>
      </c>
      <c r="AX15" s="137">
        <f t="shared" si="38"/>
        <v>0</v>
      </c>
      <c r="AY15" s="137">
        <f t="shared" si="38"/>
        <v>0</v>
      </c>
      <c r="AZ15" s="137">
        <f t="shared" si="38"/>
        <v>0</v>
      </c>
      <c r="BA15" s="137">
        <f t="shared" si="38"/>
        <v>0</v>
      </c>
      <c r="BB15" s="137">
        <f t="shared" si="38"/>
        <v>0</v>
      </c>
      <c r="BC15" s="137">
        <f t="shared" si="38"/>
        <v>0</v>
      </c>
      <c r="BD15" s="137">
        <f t="shared" si="38"/>
        <v>0</v>
      </c>
      <c r="BE15" s="137">
        <f t="shared" si="38"/>
        <v>0</v>
      </c>
      <c r="BF15" s="137">
        <f t="shared" si="38"/>
        <v>0</v>
      </c>
      <c r="BG15" s="137">
        <f t="shared" si="38"/>
        <v>0</v>
      </c>
      <c r="BH15" s="137">
        <f t="shared" si="38"/>
        <v>0</v>
      </c>
      <c r="BI15" s="137">
        <f t="shared" si="38"/>
        <v>0</v>
      </c>
      <c r="BJ15" s="137">
        <f t="shared" si="38"/>
        <v>0</v>
      </c>
      <c r="BK15" s="137">
        <f t="shared" si="38"/>
        <v>0</v>
      </c>
      <c r="BL15" s="137">
        <f t="shared" si="38"/>
        <v>0</v>
      </c>
      <c r="BM15" s="137">
        <f t="shared" si="38"/>
        <v>0</v>
      </c>
      <c r="BN15" s="137">
        <f t="shared" si="38"/>
        <v>0</v>
      </c>
      <c r="BO15" s="137">
        <f t="shared" si="38"/>
        <v>0</v>
      </c>
      <c r="BP15" s="137">
        <f t="shared" si="38"/>
        <v>0</v>
      </c>
      <c r="BQ15" s="137">
        <f t="shared" si="38"/>
        <v>0</v>
      </c>
      <c r="BR15" s="137">
        <f t="shared" si="38"/>
        <v>0</v>
      </c>
    </row>
    <row r="16" spans="11:70" ht="11.85" hidden="1" customHeight="1" outlineLevel="1">
      <c r="K16" s="137">
        <f t="shared" ref="K16:AB16" si="39">IF(K64="x",1,0)</f>
        <v>1</v>
      </c>
      <c r="L16" s="137">
        <f t="shared" si="39"/>
        <v>1</v>
      </c>
      <c r="M16" s="137">
        <f t="shared" si="39"/>
        <v>1</v>
      </c>
      <c r="N16" s="137">
        <f t="shared" si="39"/>
        <v>1</v>
      </c>
      <c r="O16" s="137">
        <f t="shared" si="39"/>
        <v>1</v>
      </c>
      <c r="P16" s="137">
        <f t="shared" si="39"/>
        <v>1</v>
      </c>
      <c r="Q16" s="137">
        <f t="shared" si="39"/>
        <v>1</v>
      </c>
      <c r="R16" s="137">
        <f t="shared" si="39"/>
        <v>1</v>
      </c>
      <c r="S16" s="137">
        <f t="shared" si="39"/>
        <v>1</v>
      </c>
      <c r="T16" s="137">
        <f t="shared" si="39"/>
        <v>1</v>
      </c>
      <c r="U16" s="137">
        <f t="shared" si="39"/>
        <v>0</v>
      </c>
      <c r="V16" s="137">
        <f t="shared" si="39"/>
        <v>0</v>
      </c>
      <c r="W16" s="137">
        <f t="shared" si="39"/>
        <v>0</v>
      </c>
      <c r="X16" s="137">
        <f t="shared" si="39"/>
        <v>0</v>
      </c>
      <c r="Y16" s="137">
        <f t="shared" si="39"/>
        <v>0</v>
      </c>
      <c r="Z16" s="137">
        <f t="shared" si="39"/>
        <v>0</v>
      </c>
      <c r="AA16" s="137">
        <f t="shared" si="39"/>
        <v>0</v>
      </c>
      <c r="AB16" s="137">
        <f t="shared" si="39"/>
        <v>0</v>
      </c>
      <c r="AC16" s="137">
        <f t="shared" ref="AC16:AS16" si="40">IF(AC64="x",1,0)</f>
        <v>0</v>
      </c>
      <c r="AD16" s="137">
        <f t="shared" si="40"/>
        <v>0</v>
      </c>
      <c r="AE16" s="137">
        <f t="shared" si="40"/>
        <v>0</v>
      </c>
      <c r="AF16" s="137">
        <f t="shared" si="40"/>
        <v>0</v>
      </c>
      <c r="AG16" s="137">
        <f t="shared" si="40"/>
        <v>0</v>
      </c>
      <c r="AH16" s="137">
        <f t="shared" si="40"/>
        <v>0</v>
      </c>
      <c r="AI16" s="137">
        <f t="shared" si="40"/>
        <v>0</v>
      </c>
      <c r="AJ16" s="137">
        <f t="shared" si="40"/>
        <v>0</v>
      </c>
      <c r="AK16" s="137">
        <f t="shared" si="40"/>
        <v>0</v>
      </c>
      <c r="AL16" s="137">
        <f t="shared" si="40"/>
        <v>0</v>
      </c>
      <c r="AM16" s="137">
        <f t="shared" si="40"/>
        <v>0</v>
      </c>
      <c r="AN16" s="137">
        <f t="shared" si="40"/>
        <v>0</v>
      </c>
      <c r="AO16" s="137">
        <f t="shared" si="40"/>
        <v>0</v>
      </c>
      <c r="AP16" s="137">
        <f t="shared" si="40"/>
        <v>0</v>
      </c>
      <c r="AQ16" s="137">
        <f t="shared" si="40"/>
        <v>0</v>
      </c>
      <c r="AR16" s="137">
        <f t="shared" si="40"/>
        <v>0</v>
      </c>
      <c r="AS16" s="137">
        <f t="shared" si="40"/>
        <v>0</v>
      </c>
      <c r="AT16" s="137">
        <f t="shared" ref="AT16:BR16" si="41">IF(AT64="x",1,0)</f>
        <v>0</v>
      </c>
      <c r="AU16" s="137">
        <f t="shared" si="41"/>
        <v>0</v>
      </c>
      <c r="AV16" s="137">
        <f t="shared" si="41"/>
        <v>0</v>
      </c>
      <c r="AW16" s="137">
        <f t="shared" si="41"/>
        <v>0</v>
      </c>
      <c r="AX16" s="137">
        <f t="shared" si="41"/>
        <v>0</v>
      </c>
      <c r="AY16" s="137">
        <f t="shared" si="41"/>
        <v>0</v>
      </c>
      <c r="AZ16" s="137">
        <f t="shared" si="41"/>
        <v>0</v>
      </c>
      <c r="BA16" s="137">
        <f t="shared" si="41"/>
        <v>0</v>
      </c>
      <c r="BB16" s="137">
        <f t="shared" si="41"/>
        <v>0</v>
      </c>
      <c r="BC16" s="137">
        <f t="shared" si="41"/>
        <v>0</v>
      </c>
      <c r="BD16" s="137">
        <f t="shared" si="41"/>
        <v>0</v>
      </c>
      <c r="BE16" s="137">
        <f t="shared" si="41"/>
        <v>0</v>
      </c>
      <c r="BF16" s="137">
        <f t="shared" si="41"/>
        <v>0</v>
      </c>
      <c r="BG16" s="137">
        <f t="shared" si="41"/>
        <v>0</v>
      </c>
      <c r="BH16" s="137">
        <f t="shared" si="41"/>
        <v>0</v>
      </c>
      <c r="BI16" s="137">
        <f t="shared" si="41"/>
        <v>0</v>
      </c>
      <c r="BJ16" s="137">
        <f t="shared" si="41"/>
        <v>0</v>
      </c>
      <c r="BK16" s="137">
        <f t="shared" si="41"/>
        <v>0</v>
      </c>
      <c r="BL16" s="137">
        <f t="shared" si="41"/>
        <v>0</v>
      </c>
      <c r="BM16" s="137">
        <f t="shared" si="41"/>
        <v>0</v>
      </c>
      <c r="BN16" s="137">
        <f t="shared" si="41"/>
        <v>0</v>
      </c>
      <c r="BO16" s="137">
        <f t="shared" si="41"/>
        <v>0</v>
      </c>
      <c r="BP16" s="137">
        <f t="shared" si="41"/>
        <v>0</v>
      </c>
      <c r="BQ16" s="137">
        <f t="shared" si="41"/>
        <v>0</v>
      </c>
      <c r="BR16" s="137">
        <f t="shared" si="41"/>
        <v>0</v>
      </c>
    </row>
    <row r="17" spans="8:70" ht="11.85" hidden="1" customHeight="1" outlineLevel="1">
      <c r="H17" s="65"/>
      <c r="I17" s="65"/>
      <c r="J17" s="65"/>
      <c r="K17" s="137">
        <f t="shared" ref="K17:AB17" si="42">IF(K65="x",1,0)</f>
        <v>1</v>
      </c>
      <c r="L17" s="137">
        <f t="shared" si="42"/>
        <v>1</v>
      </c>
      <c r="M17" s="137">
        <f t="shared" si="42"/>
        <v>1</v>
      </c>
      <c r="N17" s="137">
        <f t="shared" si="42"/>
        <v>1</v>
      </c>
      <c r="O17" s="137">
        <f t="shared" si="42"/>
        <v>1</v>
      </c>
      <c r="P17" s="137">
        <f t="shared" si="42"/>
        <v>1</v>
      </c>
      <c r="Q17" s="137">
        <f t="shared" si="42"/>
        <v>1</v>
      </c>
      <c r="R17" s="137">
        <f t="shared" si="42"/>
        <v>1</v>
      </c>
      <c r="S17" s="137">
        <f t="shared" si="42"/>
        <v>1</v>
      </c>
      <c r="T17" s="137">
        <f t="shared" si="42"/>
        <v>1</v>
      </c>
      <c r="U17" s="137">
        <f t="shared" si="42"/>
        <v>0</v>
      </c>
      <c r="V17" s="137">
        <f t="shared" si="42"/>
        <v>0</v>
      </c>
      <c r="W17" s="137">
        <f t="shared" si="42"/>
        <v>0</v>
      </c>
      <c r="X17" s="137">
        <f t="shared" si="42"/>
        <v>0</v>
      </c>
      <c r="Y17" s="137">
        <f t="shared" si="42"/>
        <v>0</v>
      </c>
      <c r="Z17" s="137">
        <f t="shared" si="42"/>
        <v>0</v>
      </c>
      <c r="AA17" s="137">
        <f t="shared" si="42"/>
        <v>0</v>
      </c>
      <c r="AB17" s="137">
        <f t="shared" si="42"/>
        <v>0</v>
      </c>
      <c r="AC17" s="137">
        <f t="shared" ref="AC17:AS17" si="43">IF(AC65="x",1,0)</f>
        <v>0</v>
      </c>
      <c r="AD17" s="137">
        <f t="shared" si="43"/>
        <v>0</v>
      </c>
      <c r="AE17" s="137">
        <f t="shared" si="43"/>
        <v>0</v>
      </c>
      <c r="AF17" s="137">
        <f t="shared" si="43"/>
        <v>0</v>
      </c>
      <c r="AG17" s="137">
        <f t="shared" si="43"/>
        <v>0</v>
      </c>
      <c r="AH17" s="137">
        <f t="shared" si="43"/>
        <v>0</v>
      </c>
      <c r="AI17" s="137">
        <f t="shared" si="43"/>
        <v>0</v>
      </c>
      <c r="AJ17" s="137">
        <f t="shared" si="43"/>
        <v>0</v>
      </c>
      <c r="AK17" s="137">
        <f t="shared" si="43"/>
        <v>0</v>
      </c>
      <c r="AL17" s="137">
        <f t="shared" si="43"/>
        <v>0</v>
      </c>
      <c r="AM17" s="137">
        <f t="shared" si="43"/>
        <v>0</v>
      </c>
      <c r="AN17" s="137">
        <f t="shared" si="43"/>
        <v>0</v>
      </c>
      <c r="AO17" s="137">
        <f t="shared" si="43"/>
        <v>0</v>
      </c>
      <c r="AP17" s="137">
        <f t="shared" si="43"/>
        <v>0</v>
      </c>
      <c r="AQ17" s="137">
        <f t="shared" si="43"/>
        <v>0</v>
      </c>
      <c r="AR17" s="137">
        <f t="shared" si="43"/>
        <v>0</v>
      </c>
      <c r="AS17" s="137">
        <f t="shared" si="43"/>
        <v>0</v>
      </c>
      <c r="AT17" s="137">
        <f t="shared" ref="AT17:BR17" si="44">IF(AT65="x",1,0)</f>
        <v>0</v>
      </c>
      <c r="AU17" s="137">
        <f t="shared" si="44"/>
        <v>0</v>
      </c>
      <c r="AV17" s="137">
        <f t="shared" si="44"/>
        <v>0</v>
      </c>
      <c r="AW17" s="137">
        <f t="shared" si="44"/>
        <v>0</v>
      </c>
      <c r="AX17" s="137">
        <f t="shared" si="44"/>
        <v>0</v>
      </c>
      <c r="AY17" s="137">
        <f t="shared" si="44"/>
        <v>0</v>
      </c>
      <c r="AZ17" s="137">
        <f t="shared" si="44"/>
        <v>0</v>
      </c>
      <c r="BA17" s="137">
        <f t="shared" si="44"/>
        <v>0</v>
      </c>
      <c r="BB17" s="137">
        <f t="shared" si="44"/>
        <v>0</v>
      </c>
      <c r="BC17" s="137">
        <f t="shared" si="44"/>
        <v>0</v>
      </c>
      <c r="BD17" s="137">
        <f t="shared" si="44"/>
        <v>0</v>
      </c>
      <c r="BE17" s="137">
        <f t="shared" si="44"/>
        <v>0</v>
      </c>
      <c r="BF17" s="137">
        <f t="shared" si="44"/>
        <v>0</v>
      </c>
      <c r="BG17" s="137">
        <f t="shared" si="44"/>
        <v>0</v>
      </c>
      <c r="BH17" s="137">
        <f t="shared" si="44"/>
        <v>0</v>
      </c>
      <c r="BI17" s="137">
        <f t="shared" si="44"/>
        <v>0</v>
      </c>
      <c r="BJ17" s="137">
        <f t="shared" si="44"/>
        <v>0</v>
      </c>
      <c r="BK17" s="137">
        <f t="shared" si="44"/>
        <v>0</v>
      </c>
      <c r="BL17" s="137">
        <f t="shared" si="44"/>
        <v>0</v>
      </c>
      <c r="BM17" s="137">
        <f t="shared" si="44"/>
        <v>0</v>
      </c>
      <c r="BN17" s="137">
        <f t="shared" si="44"/>
        <v>0</v>
      </c>
      <c r="BO17" s="137">
        <f t="shared" si="44"/>
        <v>0</v>
      </c>
      <c r="BP17" s="137">
        <f t="shared" si="44"/>
        <v>0</v>
      </c>
      <c r="BQ17" s="137">
        <f t="shared" si="44"/>
        <v>0</v>
      </c>
      <c r="BR17" s="137">
        <f t="shared" si="44"/>
        <v>0</v>
      </c>
    </row>
    <row r="18" spans="8:70" ht="11.85" hidden="1" customHeight="1" outlineLevel="1">
      <c r="H18" s="65"/>
      <c r="I18" s="65"/>
      <c r="J18" s="65"/>
      <c r="K18" s="137">
        <f t="shared" ref="K18:AB18" si="45">IF(K66="x",1,0)</f>
        <v>1</v>
      </c>
      <c r="L18" s="137">
        <f t="shared" si="45"/>
        <v>1</v>
      </c>
      <c r="M18" s="137">
        <f t="shared" si="45"/>
        <v>1</v>
      </c>
      <c r="N18" s="137">
        <f t="shared" si="45"/>
        <v>1</v>
      </c>
      <c r="O18" s="137">
        <f t="shared" si="45"/>
        <v>1</v>
      </c>
      <c r="P18" s="137">
        <f t="shared" si="45"/>
        <v>1</v>
      </c>
      <c r="Q18" s="137">
        <f t="shared" si="45"/>
        <v>1</v>
      </c>
      <c r="R18" s="137">
        <f t="shared" si="45"/>
        <v>1</v>
      </c>
      <c r="S18" s="137">
        <f t="shared" si="45"/>
        <v>1</v>
      </c>
      <c r="T18" s="137">
        <f t="shared" si="45"/>
        <v>1</v>
      </c>
      <c r="U18" s="137">
        <f t="shared" si="45"/>
        <v>0</v>
      </c>
      <c r="V18" s="137">
        <f t="shared" si="45"/>
        <v>0</v>
      </c>
      <c r="W18" s="137">
        <f t="shared" si="45"/>
        <v>0</v>
      </c>
      <c r="X18" s="137">
        <f t="shared" si="45"/>
        <v>0</v>
      </c>
      <c r="Y18" s="137">
        <f t="shared" si="45"/>
        <v>0</v>
      </c>
      <c r="Z18" s="137">
        <f t="shared" si="45"/>
        <v>0</v>
      </c>
      <c r="AA18" s="137">
        <f t="shared" si="45"/>
        <v>0</v>
      </c>
      <c r="AB18" s="137">
        <f t="shared" si="45"/>
        <v>0</v>
      </c>
      <c r="AC18" s="137">
        <f t="shared" ref="AC18:AS18" si="46">IF(AC66="x",1,0)</f>
        <v>0</v>
      </c>
      <c r="AD18" s="137">
        <f t="shared" si="46"/>
        <v>0</v>
      </c>
      <c r="AE18" s="137">
        <f t="shared" si="46"/>
        <v>0</v>
      </c>
      <c r="AF18" s="137">
        <f t="shared" si="46"/>
        <v>0</v>
      </c>
      <c r="AG18" s="137">
        <f t="shared" si="46"/>
        <v>0</v>
      </c>
      <c r="AH18" s="137">
        <f t="shared" si="46"/>
        <v>0</v>
      </c>
      <c r="AI18" s="137">
        <f t="shared" si="46"/>
        <v>0</v>
      </c>
      <c r="AJ18" s="137">
        <f t="shared" si="46"/>
        <v>0</v>
      </c>
      <c r="AK18" s="137">
        <f t="shared" si="46"/>
        <v>0</v>
      </c>
      <c r="AL18" s="137">
        <f t="shared" si="46"/>
        <v>0</v>
      </c>
      <c r="AM18" s="137">
        <f t="shared" si="46"/>
        <v>0</v>
      </c>
      <c r="AN18" s="137">
        <f t="shared" si="46"/>
        <v>0</v>
      </c>
      <c r="AO18" s="137">
        <f t="shared" si="46"/>
        <v>0</v>
      </c>
      <c r="AP18" s="137">
        <f t="shared" si="46"/>
        <v>0</v>
      </c>
      <c r="AQ18" s="137">
        <f t="shared" si="46"/>
        <v>0</v>
      </c>
      <c r="AR18" s="137">
        <f t="shared" si="46"/>
        <v>0</v>
      </c>
      <c r="AS18" s="137">
        <f t="shared" si="46"/>
        <v>0</v>
      </c>
      <c r="AT18" s="137">
        <f t="shared" ref="AT18:BR18" si="47">IF(AT66="x",1,0)</f>
        <v>0</v>
      </c>
      <c r="AU18" s="137">
        <f t="shared" si="47"/>
        <v>0</v>
      </c>
      <c r="AV18" s="137">
        <f t="shared" si="47"/>
        <v>0</v>
      </c>
      <c r="AW18" s="137">
        <f t="shared" si="47"/>
        <v>0</v>
      </c>
      <c r="AX18" s="137">
        <f t="shared" si="47"/>
        <v>0</v>
      </c>
      <c r="AY18" s="137">
        <f t="shared" si="47"/>
        <v>0</v>
      </c>
      <c r="AZ18" s="137">
        <f t="shared" si="47"/>
        <v>0</v>
      </c>
      <c r="BA18" s="137">
        <f t="shared" si="47"/>
        <v>0</v>
      </c>
      <c r="BB18" s="137">
        <f t="shared" si="47"/>
        <v>0</v>
      </c>
      <c r="BC18" s="137">
        <f t="shared" si="47"/>
        <v>0</v>
      </c>
      <c r="BD18" s="137">
        <f t="shared" si="47"/>
        <v>0</v>
      </c>
      <c r="BE18" s="137">
        <f t="shared" si="47"/>
        <v>0</v>
      </c>
      <c r="BF18" s="137">
        <f t="shared" si="47"/>
        <v>0</v>
      </c>
      <c r="BG18" s="137">
        <f t="shared" si="47"/>
        <v>0</v>
      </c>
      <c r="BH18" s="137">
        <f t="shared" si="47"/>
        <v>0</v>
      </c>
      <c r="BI18" s="137">
        <f t="shared" si="47"/>
        <v>0</v>
      </c>
      <c r="BJ18" s="137">
        <f t="shared" si="47"/>
        <v>0</v>
      </c>
      <c r="BK18" s="137">
        <f t="shared" si="47"/>
        <v>0</v>
      </c>
      <c r="BL18" s="137">
        <f t="shared" si="47"/>
        <v>0</v>
      </c>
      <c r="BM18" s="137">
        <f t="shared" si="47"/>
        <v>0</v>
      </c>
      <c r="BN18" s="137">
        <f t="shared" si="47"/>
        <v>0</v>
      </c>
      <c r="BO18" s="137">
        <f t="shared" si="47"/>
        <v>0</v>
      </c>
      <c r="BP18" s="137">
        <f t="shared" si="47"/>
        <v>0</v>
      </c>
      <c r="BQ18" s="137">
        <f t="shared" si="47"/>
        <v>0</v>
      </c>
      <c r="BR18" s="137">
        <f t="shared" si="47"/>
        <v>0</v>
      </c>
    </row>
    <row r="19" spans="8:70" ht="11.85" hidden="1" customHeight="1" outlineLevel="1">
      <c r="H19" s="65"/>
      <c r="I19" s="65"/>
      <c r="J19" s="65"/>
      <c r="K19" s="137">
        <f t="shared" ref="K19:AB19" si="48">IF(K67="x",1,0)</f>
        <v>1</v>
      </c>
      <c r="L19" s="137">
        <f t="shared" si="48"/>
        <v>1</v>
      </c>
      <c r="M19" s="137">
        <f t="shared" si="48"/>
        <v>1</v>
      </c>
      <c r="N19" s="137">
        <f t="shared" si="48"/>
        <v>1</v>
      </c>
      <c r="O19" s="137">
        <f t="shared" si="48"/>
        <v>1</v>
      </c>
      <c r="P19" s="137">
        <f t="shared" si="48"/>
        <v>1</v>
      </c>
      <c r="Q19" s="137">
        <f t="shared" si="48"/>
        <v>1</v>
      </c>
      <c r="R19" s="137">
        <f t="shared" si="48"/>
        <v>1</v>
      </c>
      <c r="S19" s="137">
        <f t="shared" si="48"/>
        <v>1</v>
      </c>
      <c r="T19" s="137">
        <f t="shared" si="48"/>
        <v>1</v>
      </c>
      <c r="U19" s="137">
        <f t="shared" si="48"/>
        <v>0</v>
      </c>
      <c r="V19" s="137">
        <f t="shared" si="48"/>
        <v>0</v>
      </c>
      <c r="W19" s="137">
        <f t="shared" si="48"/>
        <v>0</v>
      </c>
      <c r="X19" s="137">
        <f t="shared" si="48"/>
        <v>0</v>
      </c>
      <c r="Y19" s="137">
        <f t="shared" si="48"/>
        <v>0</v>
      </c>
      <c r="Z19" s="137">
        <f t="shared" si="48"/>
        <v>0</v>
      </c>
      <c r="AA19" s="137">
        <f t="shared" si="48"/>
        <v>0</v>
      </c>
      <c r="AB19" s="137">
        <f t="shared" si="48"/>
        <v>0</v>
      </c>
      <c r="AC19" s="137">
        <f t="shared" ref="AC19:AS19" si="49">IF(AC67="x",1,0)</f>
        <v>0</v>
      </c>
      <c r="AD19" s="137">
        <f t="shared" si="49"/>
        <v>0</v>
      </c>
      <c r="AE19" s="137">
        <f t="shared" si="49"/>
        <v>0</v>
      </c>
      <c r="AF19" s="137">
        <f t="shared" si="49"/>
        <v>0</v>
      </c>
      <c r="AG19" s="137">
        <f t="shared" si="49"/>
        <v>0</v>
      </c>
      <c r="AH19" s="137">
        <f t="shared" si="49"/>
        <v>0</v>
      </c>
      <c r="AI19" s="137">
        <f t="shared" si="49"/>
        <v>0</v>
      </c>
      <c r="AJ19" s="137">
        <f t="shared" si="49"/>
        <v>0</v>
      </c>
      <c r="AK19" s="137">
        <f t="shared" si="49"/>
        <v>0</v>
      </c>
      <c r="AL19" s="137">
        <f t="shared" si="49"/>
        <v>0</v>
      </c>
      <c r="AM19" s="137">
        <f t="shared" si="49"/>
        <v>0</v>
      </c>
      <c r="AN19" s="137">
        <f t="shared" si="49"/>
        <v>0</v>
      </c>
      <c r="AO19" s="137">
        <f t="shared" si="49"/>
        <v>0</v>
      </c>
      <c r="AP19" s="137">
        <f t="shared" si="49"/>
        <v>0</v>
      </c>
      <c r="AQ19" s="137">
        <f t="shared" si="49"/>
        <v>0</v>
      </c>
      <c r="AR19" s="137">
        <f t="shared" si="49"/>
        <v>0</v>
      </c>
      <c r="AS19" s="137">
        <f t="shared" si="49"/>
        <v>0</v>
      </c>
      <c r="AT19" s="137">
        <f t="shared" ref="AT19:BR19" si="50">IF(AT67="x",1,0)</f>
        <v>0</v>
      </c>
      <c r="AU19" s="137">
        <f t="shared" si="50"/>
        <v>0</v>
      </c>
      <c r="AV19" s="137">
        <f t="shared" si="50"/>
        <v>0</v>
      </c>
      <c r="AW19" s="137">
        <f t="shared" si="50"/>
        <v>0</v>
      </c>
      <c r="AX19" s="137">
        <f t="shared" si="50"/>
        <v>0</v>
      </c>
      <c r="AY19" s="137">
        <f t="shared" si="50"/>
        <v>0</v>
      </c>
      <c r="AZ19" s="137">
        <f t="shared" si="50"/>
        <v>0</v>
      </c>
      <c r="BA19" s="137">
        <f t="shared" si="50"/>
        <v>0</v>
      </c>
      <c r="BB19" s="137">
        <f t="shared" si="50"/>
        <v>0</v>
      </c>
      <c r="BC19" s="137">
        <f t="shared" si="50"/>
        <v>0</v>
      </c>
      <c r="BD19" s="137">
        <f t="shared" si="50"/>
        <v>0</v>
      </c>
      <c r="BE19" s="137">
        <f t="shared" si="50"/>
        <v>0</v>
      </c>
      <c r="BF19" s="137">
        <f t="shared" si="50"/>
        <v>0</v>
      </c>
      <c r="BG19" s="137">
        <f t="shared" si="50"/>
        <v>0</v>
      </c>
      <c r="BH19" s="137">
        <f t="shared" si="50"/>
        <v>0</v>
      </c>
      <c r="BI19" s="137">
        <f t="shared" si="50"/>
        <v>0</v>
      </c>
      <c r="BJ19" s="137">
        <f t="shared" si="50"/>
        <v>0</v>
      </c>
      <c r="BK19" s="137">
        <f t="shared" si="50"/>
        <v>0</v>
      </c>
      <c r="BL19" s="137">
        <f t="shared" si="50"/>
        <v>0</v>
      </c>
      <c r="BM19" s="137">
        <f t="shared" si="50"/>
        <v>0</v>
      </c>
      <c r="BN19" s="137">
        <f t="shared" si="50"/>
        <v>0</v>
      </c>
      <c r="BO19" s="137">
        <f t="shared" si="50"/>
        <v>0</v>
      </c>
      <c r="BP19" s="137">
        <f t="shared" si="50"/>
        <v>0</v>
      </c>
      <c r="BQ19" s="137">
        <f t="shared" si="50"/>
        <v>0</v>
      </c>
      <c r="BR19" s="137">
        <f t="shared" si="50"/>
        <v>0</v>
      </c>
    </row>
    <row r="20" spans="8:70" ht="11.85" hidden="1" customHeight="1" outlineLevel="1">
      <c r="H20" s="65"/>
      <c r="I20" s="65"/>
      <c r="J20" s="65"/>
      <c r="K20" s="137">
        <f t="shared" ref="K20:AB20" si="51">IF(K68="x",1,0)</f>
        <v>1</v>
      </c>
      <c r="L20" s="137">
        <f t="shared" si="51"/>
        <v>1</v>
      </c>
      <c r="M20" s="137">
        <f t="shared" si="51"/>
        <v>1</v>
      </c>
      <c r="N20" s="137">
        <f t="shared" si="51"/>
        <v>1</v>
      </c>
      <c r="O20" s="137">
        <f t="shared" si="51"/>
        <v>1</v>
      </c>
      <c r="P20" s="137">
        <f t="shared" si="51"/>
        <v>1</v>
      </c>
      <c r="Q20" s="137">
        <f t="shared" si="51"/>
        <v>1</v>
      </c>
      <c r="R20" s="137">
        <f t="shared" si="51"/>
        <v>1</v>
      </c>
      <c r="S20" s="137">
        <f t="shared" si="51"/>
        <v>1</v>
      </c>
      <c r="T20" s="137">
        <f t="shared" si="51"/>
        <v>1</v>
      </c>
      <c r="U20" s="137">
        <f t="shared" si="51"/>
        <v>0</v>
      </c>
      <c r="V20" s="137">
        <f t="shared" si="51"/>
        <v>0</v>
      </c>
      <c r="W20" s="137">
        <f t="shared" si="51"/>
        <v>0</v>
      </c>
      <c r="X20" s="137">
        <f t="shared" si="51"/>
        <v>0</v>
      </c>
      <c r="Y20" s="137">
        <f t="shared" si="51"/>
        <v>0</v>
      </c>
      <c r="Z20" s="137">
        <f t="shared" si="51"/>
        <v>0</v>
      </c>
      <c r="AA20" s="137">
        <f t="shared" si="51"/>
        <v>0</v>
      </c>
      <c r="AB20" s="137">
        <f t="shared" si="51"/>
        <v>0</v>
      </c>
      <c r="AC20" s="137">
        <f t="shared" ref="AC20:AS20" si="52">IF(AC68="x",1,0)</f>
        <v>0</v>
      </c>
      <c r="AD20" s="137">
        <f t="shared" si="52"/>
        <v>0</v>
      </c>
      <c r="AE20" s="137">
        <f t="shared" si="52"/>
        <v>0</v>
      </c>
      <c r="AF20" s="137">
        <f t="shared" si="52"/>
        <v>0</v>
      </c>
      <c r="AG20" s="137">
        <f t="shared" si="52"/>
        <v>0</v>
      </c>
      <c r="AH20" s="137">
        <f t="shared" si="52"/>
        <v>0</v>
      </c>
      <c r="AI20" s="137">
        <f t="shared" si="52"/>
        <v>0</v>
      </c>
      <c r="AJ20" s="137">
        <f t="shared" si="52"/>
        <v>0</v>
      </c>
      <c r="AK20" s="137">
        <f t="shared" si="52"/>
        <v>0</v>
      </c>
      <c r="AL20" s="137">
        <f t="shared" si="52"/>
        <v>0</v>
      </c>
      <c r="AM20" s="137">
        <f t="shared" si="52"/>
        <v>0</v>
      </c>
      <c r="AN20" s="137">
        <f t="shared" si="52"/>
        <v>0</v>
      </c>
      <c r="AO20" s="137">
        <f t="shared" si="52"/>
        <v>0</v>
      </c>
      <c r="AP20" s="137">
        <f t="shared" si="52"/>
        <v>0</v>
      </c>
      <c r="AQ20" s="137">
        <f t="shared" si="52"/>
        <v>0</v>
      </c>
      <c r="AR20" s="137">
        <f t="shared" si="52"/>
        <v>0</v>
      </c>
      <c r="AS20" s="137">
        <f t="shared" si="52"/>
        <v>0</v>
      </c>
      <c r="AT20" s="137">
        <f t="shared" ref="AT20:BR20" si="53">IF(AT68="x",1,0)</f>
        <v>0</v>
      </c>
      <c r="AU20" s="137">
        <f t="shared" si="53"/>
        <v>0</v>
      </c>
      <c r="AV20" s="137">
        <f t="shared" si="53"/>
        <v>0</v>
      </c>
      <c r="AW20" s="137">
        <f t="shared" si="53"/>
        <v>0</v>
      </c>
      <c r="AX20" s="137">
        <f t="shared" si="53"/>
        <v>0</v>
      </c>
      <c r="AY20" s="137">
        <f t="shared" si="53"/>
        <v>0</v>
      </c>
      <c r="AZ20" s="137">
        <f t="shared" si="53"/>
        <v>0</v>
      </c>
      <c r="BA20" s="137">
        <f t="shared" si="53"/>
        <v>0</v>
      </c>
      <c r="BB20" s="137">
        <f t="shared" si="53"/>
        <v>0</v>
      </c>
      <c r="BC20" s="137">
        <f t="shared" si="53"/>
        <v>0</v>
      </c>
      <c r="BD20" s="137">
        <f t="shared" si="53"/>
        <v>0</v>
      </c>
      <c r="BE20" s="137">
        <f t="shared" si="53"/>
        <v>0</v>
      </c>
      <c r="BF20" s="137">
        <f t="shared" si="53"/>
        <v>0</v>
      </c>
      <c r="BG20" s="137">
        <f t="shared" si="53"/>
        <v>0</v>
      </c>
      <c r="BH20" s="137">
        <f t="shared" si="53"/>
        <v>0</v>
      </c>
      <c r="BI20" s="137">
        <f t="shared" si="53"/>
        <v>0</v>
      </c>
      <c r="BJ20" s="137">
        <f t="shared" si="53"/>
        <v>0</v>
      </c>
      <c r="BK20" s="137">
        <f t="shared" si="53"/>
        <v>0</v>
      </c>
      <c r="BL20" s="137">
        <f t="shared" si="53"/>
        <v>0</v>
      </c>
      <c r="BM20" s="137">
        <f t="shared" si="53"/>
        <v>0</v>
      </c>
      <c r="BN20" s="137">
        <f t="shared" si="53"/>
        <v>0</v>
      </c>
      <c r="BO20" s="137">
        <f t="shared" si="53"/>
        <v>0</v>
      </c>
      <c r="BP20" s="137">
        <f t="shared" si="53"/>
        <v>0</v>
      </c>
      <c r="BQ20" s="137">
        <f t="shared" si="53"/>
        <v>0</v>
      </c>
      <c r="BR20" s="137">
        <f t="shared" si="53"/>
        <v>0</v>
      </c>
    </row>
    <row r="21" spans="8:70" ht="11.85" hidden="1" customHeight="1" outlineLevel="1">
      <c r="H21" s="65"/>
      <c r="I21" s="65"/>
      <c r="J21" s="65"/>
      <c r="K21" s="137">
        <f t="shared" ref="K21:AB21" si="54">IF(K69="x",1,0)</f>
        <v>1</v>
      </c>
      <c r="L21" s="137">
        <f t="shared" si="54"/>
        <v>1</v>
      </c>
      <c r="M21" s="137">
        <f t="shared" si="54"/>
        <v>1</v>
      </c>
      <c r="N21" s="137">
        <f t="shared" si="54"/>
        <v>1</v>
      </c>
      <c r="O21" s="137">
        <f t="shared" si="54"/>
        <v>1</v>
      </c>
      <c r="P21" s="137">
        <f t="shared" si="54"/>
        <v>1</v>
      </c>
      <c r="Q21" s="137">
        <f t="shared" si="54"/>
        <v>1</v>
      </c>
      <c r="R21" s="137">
        <f t="shared" si="54"/>
        <v>1</v>
      </c>
      <c r="S21" s="137">
        <f t="shared" si="54"/>
        <v>1</v>
      </c>
      <c r="T21" s="137">
        <f t="shared" si="54"/>
        <v>1</v>
      </c>
      <c r="U21" s="137">
        <f t="shared" si="54"/>
        <v>0</v>
      </c>
      <c r="V21" s="137">
        <f t="shared" si="54"/>
        <v>0</v>
      </c>
      <c r="W21" s="137">
        <f t="shared" si="54"/>
        <v>0</v>
      </c>
      <c r="X21" s="137">
        <f t="shared" si="54"/>
        <v>0</v>
      </c>
      <c r="Y21" s="137">
        <f t="shared" si="54"/>
        <v>0</v>
      </c>
      <c r="Z21" s="137">
        <f t="shared" si="54"/>
        <v>0</v>
      </c>
      <c r="AA21" s="137">
        <f t="shared" si="54"/>
        <v>0</v>
      </c>
      <c r="AB21" s="137">
        <f t="shared" si="54"/>
        <v>0</v>
      </c>
      <c r="AC21" s="137">
        <f t="shared" ref="AC21:AS21" si="55">IF(AC69="x",1,0)</f>
        <v>0</v>
      </c>
      <c r="AD21" s="137">
        <f t="shared" si="55"/>
        <v>0</v>
      </c>
      <c r="AE21" s="137">
        <f t="shared" si="55"/>
        <v>0</v>
      </c>
      <c r="AF21" s="137">
        <f t="shared" si="55"/>
        <v>0</v>
      </c>
      <c r="AG21" s="137">
        <f t="shared" si="55"/>
        <v>0</v>
      </c>
      <c r="AH21" s="137">
        <f t="shared" si="55"/>
        <v>0</v>
      </c>
      <c r="AI21" s="137">
        <f t="shared" si="55"/>
        <v>0</v>
      </c>
      <c r="AJ21" s="137">
        <f t="shared" si="55"/>
        <v>0</v>
      </c>
      <c r="AK21" s="137">
        <f t="shared" si="55"/>
        <v>0</v>
      </c>
      <c r="AL21" s="137">
        <f t="shared" si="55"/>
        <v>0</v>
      </c>
      <c r="AM21" s="137">
        <f t="shared" si="55"/>
        <v>0</v>
      </c>
      <c r="AN21" s="137">
        <f t="shared" si="55"/>
        <v>0</v>
      </c>
      <c r="AO21" s="137">
        <f t="shared" si="55"/>
        <v>0</v>
      </c>
      <c r="AP21" s="137">
        <f t="shared" si="55"/>
        <v>0</v>
      </c>
      <c r="AQ21" s="137">
        <f t="shared" si="55"/>
        <v>0</v>
      </c>
      <c r="AR21" s="137">
        <f t="shared" si="55"/>
        <v>0</v>
      </c>
      <c r="AS21" s="137">
        <f t="shared" si="55"/>
        <v>0</v>
      </c>
      <c r="AT21" s="137">
        <f t="shared" ref="AT21:BR21" si="56">IF(AT69="x",1,0)</f>
        <v>0</v>
      </c>
      <c r="AU21" s="137">
        <f t="shared" si="56"/>
        <v>0</v>
      </c>
      <c r="AV21" s="137">
        <f t="shared" si="56"/>
        <v>0</v>
      </c>
      <c r="AW21" s="137">
        <f t="shared" si="56"/>
        <v>0</v>
      </c>
      <c r="AX21" s="137">
        <f t="shared" si="56"/>
        <v>0</v>
      </c>
      <c r="AY21" s="137">
        <f t="shared" si="56"/>
        <v>0</v>
      </c>
      <c r="AZ21" s="137">
        <f t="shared" si="56"/>
        <v>0</v>
      </c>
      <c r="BA21" s="137">
        <f t="shared" si="56"/>
        <v>0</v>
      </c>
      <c r="BB21" s="137">
        <f t="shared" si="56"/>
        <v>0</v>
      </c>
      <c r="BC21" s="137">
        <f t="shared" si="56"/>
        <v>0</v>
      </c>
      <c r="BD21" s="137">
        <f t="shared" si="56"/>
        <v>0</v>
      </c>
      <c r="BE21" s="137">
        <f t="shared" si="56"/>
        <v>0</v>
      </c>
      <c r="BF21" s="137">
        <f t="shared" si="56"/>
        <v>0</v>
      </c>
      <c r="BG21" s="137">
        <f t="shared" si="56"/>
        <v>0</v>
      </c>
      <c r="BH21" s="137">
        <f t="shared" si="56"/>
        <v>0</v>
      </c>
      <c r="BI21" s="137">
        <f t="shared" si="56"/>
        <v>0</v>
      </c>
      <c r="BJ21" s="137">
        <f t="shared" si="56"/>
        <v>0</v>
      </c>
      <c r="BK21" s="137">
        <f t="shared" si="56"/>
        <v>0</v>
      </c>
      <c r="BL21" s="137">
        <f t="shared" si="56"/>
        <v>0</v>
      </c>
      <c r="BM21" s="137">
        <f t="shared" si="56"/>
        <v>0</v>
      </c>
      <c r="BN21" s="137">
        <f t="shared" si="56"/>
        <v>0</v>
      </c>
      <c r="BO21" s="137">
        <f t="shared" si="56"/>
        <v>0</v>
      </c>
      <c r="BP21" s="137">
        <f t="shared" si="56"/>
        <v>0</v>
      </c>
      <c r="BQ21" s="137">
        <f t="shared" si="56"/>
        <v>0</v>
      </c>
      <c r="BR21" s="137">
        <f t="shared" si="56"/>
        <v>0</v>
      </c>
    </row>
    <row r="22" spans="8:70" ht="11.85" hidden="1" customHeight="1" outlineLevel="1">
      <c r="H22" s="65"/>
      <c r="I22" s="65"/>
      <c r="J22" s="65"/>
      <c r="K22" s="137">
        <f t="shared" ref="K22:AB22" si="57">IF(K70="x",1,0)</f>
        <v>1</v>
      </c>
      <c r="L22" s="137">
        <f t="shared" si="57"/>
        <v>1</v>
      </c>
      <c r="M22" s="137">
        <f t="shared" si="57"/>
        <v>1</v>
      </c>
      <c r="N22" s="137">
        <f t="shared" si="57"/>
        <v>1</v>
      </c>
      <c r="O22" s="137">
        <f t="shared" si="57"/>
        <v>1</v>
      </c>
      <c r="P22" s="137">
        <f t="shared" si="57"/>
        <v>1</v>
      </c>
      <c r="Q22" s="137">
        <f t="shared" si="57"/>
        <v>1</v>
      </c>
      <c r="R22" s="137">
        <f t="shared" si="57"/>
        <v>1</v>
      </c>
      <c r="S22" s="137">
        <f t="shared" si="57"/>
        <v>1</v>
      </c>
      <c r="T22" s="137">
        <f t="shared" si="57"/>
        <v>1</v>
      </c>
      <c r="U22" s="137">
        <f t="shared" si="57"/>
        <v>0</v>
      </c>
      <c r="V22" s="137">
        <f t="shared" si="57"/>
        <v>0</v>
      </c>
      <c r="W22" s="137">
        <f t="shared" si="57"/>
        <v>0</v>
      </c>
      <c r="X22" s="137">
        <f t="shared" si="57"/>
        <v>0</v>
      </c>
      <c r="Y22" s="137">
        <f t="shared" si="57"/>
        <v>0</v>
      </c>
      <c r="Z22" s="137">
        <f t="shared" si="57"/>
        <v>0</v>
      </c>
      <c r="AA22" s="137">
        <f t="shared" si="57"/>
        <v>0</v>
      </c>
      <c r="AB22" s="137">
        <f t="shared" si="57"/>
        <v>0</v>
      </c>
      <c r="AC22" s="137">
        <f t="shared" ref="AC22:AS22" si="58">IF(AC70="x",1,0)</f>
        <v>0</v>
      </c>
      <c r="AD22" s="137">
        <f t="shared" si="58"/>
        <v>0</v>
      </c>
      <c r="AE22" s="137">
        <f t="shared" si="58"/>
        <v>0</v>
      </c>
      <c r="AF22" s="137">
        <f t="shared" si="58"/>
        <v>0</v>
      </c>
      <c r="AG22" s="137">
        <f t="shared" si="58"/>
        <v>0</v>
      </c>
      <c r="AH22" s="137">
        <f t="shared" si="58"/>
        <v>0</v>
      </c>
      <c r="AI22" s="137">
        <f t="shared" si="58"/>
        <v>0</v>
      </c>
      <c r="AJ22" s="137">
        <f t="shared" si="58"/>
        <v>0</v>
      </c>
      <c r="AK22" s="137">
        <f t="shared" si="58"/>
        <v>0</v>
      </c>
      <c r="AL22" s="137">
        <f t="shared" si="58"/>
        <v>0</v>
      </c>
      <c r="AM22" s="137">
        <f t="shared" si="58"/>
        <v>0</v>
      </c>
      <c r="AN22" s="137">
        <f t="shared" si="58"/>
        <v>0</v>
      </c>
      <c r="AO22" s="137">
        <f t="shared" si="58"/>
        <v>0</v>
      </c>
      <c r="AP22" s="137">
        <f t="shared" si="58"/>
        <v>0</v>
      </c>
      <c r="AQ22" s="137">
        <f t="shared" si="58"/>
        <v>0</v>
      </c>
      <c r="AR22" s="137">
        <f t="shared" si="58"/>
        <v>0</v>
      </c>
      <c r="AS22" s="137">
        <f t="shared" si="58"/>
        <v>0</v>
      </c>
      <c r="AT22" s="137">
        <f t="shared" ref="AT22:BR22" si="59">IF(AT70="x",1,0)</f>
        <v>0</v>
      </c>
      <c r="AU22" s="137">
        <f t="shared" si="59"/>
        <v>0</v>
      </c>
      <c r="AV22" s="137">
        <f t="shared" si="59"/>
        <v>0</v>
      </c>
      <c r="AW22" s="137">
        <f t="shared" si="59"/>
        <v>0</v>
      </c>
      <c r="AX22" s="137">
        <f t="shared" si="59"/>
        <v>0</v>
      </c>
      <c r="AY22" s="137">
        <f t="shared" si="59"/>
        <v>0</v>
      </c>
      <c r="AZ22" s="137">
        <f t="shared" si="59"/>
        <v>0</v>
      </c>
      <c r="BA22" s="137">
        <f t="shared" si="59"/>
        <v>0</v>
      </c>
      <c r="BB22" s="137">
        <f t="shared" si="59"/>
        <v>0</v>
      </c>
      <c r="BC22" s="137">
        <f t="shared" si="59"/>
        <v>0</v>
      </c>
      <c r="BD22" s="137">
        <f t="shared" si="59"/>
        <v>0</v>
      </c>
      <c r="BE22" s="137">
        <f t="shared" si="59"/>
        <v>0</v>
      </c>
      <c r="BF22" s="137">
        <f t="shared" si="59"/>
        <v>0</v>
      </c>
      <c r="BG22" s="137">
        <f t="shared" si="59"/>
        <v>0</v>
      </c>
      <c r="BH22" s="137">
        <f t="shared" si="59"/>
        <v>0</v>
      </c>
      <c r="BI22" s="137">
        <f t="shared" si="59"/>
        <v>0</v>
      </c>
      <c r="BJ22" s="137">
        <f t="shared" si="59"/>
        <v>0</v>
      </c>
      <c r="BK22" s="137">
        <f t="shared" si="59"/>
        <v>0</v>
      </c>
      <c r="BL22" s="137">
        <f t="shared" si="59"/>
        <v>0</v>
      </c>
      <c r="BM22" s="137">
        <f t="shared" si="59"/>
        <v>0</v>
      </c>
      <c r="BN22" s="137">
        <f t="shared" si="59"/>
        <v>0</v>
      </c>
      <c r="BO22" s="137">
        <f t="shared" si="59"/>
        <v>0</v>
      </c>
      <c r="BP22" s="137">
        <f t="shared" si="59"/>
        <v>0</v>
      </c>
      <c r="BQ22" s="137">
        <f t="shared" si="59"/>
        <v>0</v>
      </c>
      <c r="BR22" s="137">
        <f t="shared" si="59"/>
        <v>0</v>
      </c>
    </row>
    <row r="23" spans="8:70" ht="11.85" hidden="1" customHeight="1" outlineLevel="1"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</row>
    <row r="24" spans="8:70" ht="24" hidden="1" customHeight="1" outlineLevel="1">
      <c r="H24" s="138" t="s">
        <v>352</v>
      </c>
      <c r="I24" s="138" t="s">
        <v>353</v>
      </c>
      <c r="J24" s="65"/>
      <c r="K24" s="136" t="s">
        <v>146</v>
      </c>
      <c r="L24" s="136" t="s">
        <v>147</v>
      </c>
      <c r="M24" s="136" t="s">
        <v>148</v>
      </c>
      <c r="N24" s="136" t="s">
        <v>149</v>
      </c>
      <c r="O24" s="136" t="s">
        <v>150</v>
      </c>
      <c r="P24" s="136" t="s">
        <v>151</v>
      </c>
      <c r="Q24" s="136" t="s">
        <v>152</v>
      </c>
      <c r="R24" s="136" t="s">
        <v>153</v>
      </c>
      <c r="S24" s="136" t="s">
        <v>154</v>
      </c>
      <c r="T24" s="136" t="s">
        <v>155</v>
      </c>
      <c r="U24" s="136" t="s">
        <v>156</v>
      </c>
      <c r="V24" s="136" t="s">
        <v>157</v>
      </c>
      <c r="W24" s="136" t="s">
        <v>158</v>
      </c>
      <c r="X24" s="136" t="s">
        <v>159</v>
      </c>
      <c r="Y24" s="136" t="s">
        <v>160</v>
      </c>
      <c r="Z24" s="136" t="s">
        <v>161</v>
      </c>
      <c r="AA24" s="136" t="s">
        <v>162</v>
      </c>
      <c r="AB24" s="136" t="s">
        <v>309</v>
      </c>
      <c r="AC24" s="136" t="s">
        <v>310</v>
      </c>
      <c r="AD24" s="136" t="s">
        <v>311</v>
      </c>
      <c r="AE24" s="136" t="s">
        <v>312</v>
      </c>
      <c r="AF24" s="136" t="s">
        <v>313</v>
      </c>
      <c r="AG24" s="136" t="s">
        <v>314</v>
      </c>
      <c r="AH24" s="136" t="s">
        <v>315</v>
      </c>
      <c r="AI24" s="136" t="s">
        <v>316</v>
      </c>
      <c r="AJ24" s="136" t="s">
        <v>317</v>
      </c>
      <c r="AK24" s="136" t="s">
        <v>318</v>
      </c>
      <c r="AL24" s="136" t="s">
        <v>319</v>
      </c>
      <c r="AM24" s="136" t="s">
        <v>320</v>
      </c>
      <c r="AN24" s="136" t="s">
        <v>321</v>
      </c>
      <c r="AO24" s="136" t="s">
        <v>322</v>
      </c>
      <c r="AP24" s="136" t="s">
        <v>323</v>
      </c>
      <c r="AQ24" s="136" t="s">
        <v>324</v>
      </c>
      <c r="AR24" s="136" t="s">
        <v>325</v>
      </c>
      <c r="AS24" s="136" t="s">
        <v>326</v>
      </c>
      <c r="AT24" s="136" t="s">
        <v>327</v>
      </c>
      <c r="AU24" s="136" t="s">
        <v>328</v>
      </c>
      <c r="AV24" s="136" t="s">
        <v>329</v>
      </c>
      <c r="AW24" s="136" t="s">
        <v>330</v>
      </c>
      <c r="AX24" s="136" t="s">
        <v>331</v>
      </c>
      <c r="AY24" s="136" t="s">
        <v>332</v>
      </c>
      <c r="AZ24" s="136" t="s">
        <v>333</v>
      </c>
      <c r="BA24" s="136" t="s">
        <v>334</v>
      </c>
      <c r="BB24" s="136" t="s">
        <v>335</v>
      </c>
      <c r="BC24" s="136" t="s">
        <v>336</v>
      </c>
      <c r="BD24" s="136" t="s">
        <v>337</v>
      </c>
      <c r="BE24" s="136" t="s">
        <v>338</v>
      </c>
      <c r="BF24" s="136" t="s">
        <v>339</v>
      </c>
      <c r="BG24" s="136" t="s">
        <v>340</v>
      </c>
      <c r="BH24" s="136" t="s">
        <v>341</v>
      </c>
      <c r="BI24" s="136" t="s">
        <v>342</v>
      </c>
      <c r="BJ24" s="136" t="s">
        <v>343</v>
      </c>
      <c r="BK24" s="136" t="s">
        <v>344</v>
      </c>
      <c r="BL24" s="136" t="s">
        <v>345</v>
      </c>
      <c r="BM24" s="136" t="s">
        <v>346</v>
      </c>
      <c r="BN24" s="136" t="s">
        <v>347</v>
      </c>
      <c r="BO24" s="136" t="s">
        <v>348</v>
      </c>
      <c r="BP24" s="136" t="s">
        <v>349</v>
      </c>
      <c r="BQ24" s="136" t="s">
        <v>350</v>
      </c>
      <c r="BR24" s="136" t="s">
        <v>351</v>
      </c>
    </row>
    <row r="25" spans="8:70" ht="11.85" hidden="1" customHeight="1" outlineLevel="1">
      <c r="H25" s="139">
        <f t="shared" ref="H25:H44" si="60">MAX(K25:BR25)</f>
        <v>10</v>
      </c>
      <c r="I25" s="139">
        <f>IFERROR(VLOOKUP(CONCATENATE(I77,".",H25),'Curva S'!$A$2:$B$301,2,0),0)</f>
        <v>250</v>
      </c>
      <c r="J25" s="65"/>
      <c r="K25" s="137">
        <f>IF(K3&gt;0,SUM($K3:K3),0)</f>
        <v>1</v>
      </c>
      <c r="L25" s="137">
        <f>IF(L3&gt;0,SUM($K3:L3),0)</f>
        <v>2</v>
      </c>
      <c r="M25" s="137">
        <f>IF(M3&gt;0,SUM($K3:M3),0)</f>
        <v>3</v>
      </c>
      <c r="N25" s="137">
        <f>IF(N3&gt;0,SUM($K3:N3),0)</f>
        <v>4</v>
      </c>
      <c r="O25" s="137">
        <f>IF(O3&gt;0,SUM($K3:O3),0)</f>
        <v>5</v>
      </c>
      <c r="P25" s="137">
        <f>IF(P3&gt;0,SUM($K3:P3),0)</f>
        <v>6</v>
      </c>
      <c r="Q25" s="137">
        <f>IF(Q3&gt;0,SUM($K3:Q3),0)</f>
        <v>7</v>
      </c>
      <c r="R25" s="137">
        <f>IF(R3&gt;0,SUM($K3:R3),0)</f>
        <v>8</v>
      </c>
      <c r="S25" s="137">
        <f>IF(S3&gt;0,SUM($K3:S3),0)</f>
        <v>9</v>
      </c>
      <c r="T25" s="137">
        <f>IF(T3&gt;0,SUM($K3:T3),0)</f>
        <v>10</v>
      </c>
      <c r="U25" s="137">
        <f>IF(U3&gt;0,SUM($K3:U3),0)</f>
        <v>0</v>
      </c>
      <c r="V25" s="137">
        <f>IF(V3&gt;0,SUM($K3:V3),0)</f>
        <v>0</v>
      </c>
      <c r="W25" s="137">
        <f>IF(W3&gt;0,SUM($K3:W3),0)</f>
        <v>0</v>
      </c>
      <c r="X25" s="137">
        <f>IF(X3&gt;0,SUM($K3:X3),0)</f>
        <v>0</v>
      </c>
      <c r="Y25" s="137">
        <f>IF(Y3&gt;0,SUM($K3:Y3),0)</f>
        <v>0</v>
      </c>
      <c r="Z25" s="137">
        <f>IF(Z3&gt;0,SUM($K3:Z3),0)</f>
        <v>0</v>
      </c>
      <c r="AA25" s="137">
        <f>IF(AA3&gt;0,SUM($K3:AA3),0)</f>
        <v>0</v>
      </c>
      <c r="AB25" s="137">
        <f>IF(AB3&gt;0,SUM($K3:AB3),0)</f>
        <v>0</v>
      </c>
      <c r="AC25" s="137">
        <f>IF(AC3&gt;0,SUM($K3:AC3),0)</f>
        <v>0</v>
      </c>
      <c r="AD25" s="137">
        <f>IF(AD3&gt;0,SUM($K3:AD3),0)</f>
        <v>0</v>
      </c>
      <c r="AE25" s="137">
        <f>IF(AE3&gt;0,SUM($K3:AE3),0)</f>
        <v>0</v>
      </c>
      <c r="AF25" s="137">
        <f>IF(AF3&gt;0,SUM($K3:AF3),0)</f>
        <v>0</v>
      </c>
      <c r="AG25" s="137">
        <f>IF(AG3&gt;0,SUM($K3:AG3),0)</f>
        <v>0</v>
      </c>
      <c r="AH25" s="137">
        <f>IF(AH3&gt;0,SUM($K3:AH3),0)</f>
        <v>0</v>
      </c>
      <c r="AI25" s="137">
        <f>IF(AI3&gt;0,SUM($K3:AI3),0)</f>
        <v>0</v>
      </c>
      <c r="AJ25" s="137">
        <f>IF(AJ3&gt;0,SUM($K3:AJ3),0)</f>
        <v>0</v>
      </c>
      <c r="AK25" s="137">
        <f>IF(AK3&gt;0,SUM($K3:AK3),0)</f>
        <v>0</v>
      </c>
      <c r="AL25" s="137">
        <f>IF(AL3&gt;0,SUM($K3:AL3),0)</f>
        <v>0</v>
      </c>
      <c r="AM25" s="137">
        <f>IF(AM3&gt;0,SUM($K3:AM3),0)</f>
        <v>0</v>
      </c>
      <c r="AN25" s="137">
        <f>IF(AN3&gt;0,SUM($K3:AN3),0)</f>
        <v>0</v>
      </c>
      <c r="AO25" s="137">
        <f>IF(AO3&gt;0,SUM($K3:AO3),0)</f>
        <v>0</v>
      </c>
      <c r="AP25" s="137">
        <f>IF(AP3&gt;0,SUM($K3:AP3),0)</f>
        <v>0</v>
      </c>
      <c r="AQ25" s="137">
        <f>IF(AQ3&gt;0,SUM($K3:AQ3),0)</f>
        <v>0</v>
      </c>
      <c r="AR25" s="137">
        <f>IF(AR3&gt;0,SUM($K3:AR3),0)</f>
        <v>0</v>
      </c>
      <c r="AS25" s="137">
        <f>IF(AS3&gt;0,SUM($K3:AS3),0)</f>
        <v>0</v>
      </c>
      <c r="AT25" s="137">
        <f>IF(AT3&gt;0,SUM($K3:AT3),0)</f>
        <v>0</v>
      </c>
      <c r="AU25" s="137">
        <f>IF(AU3&gt;0,SUM($K3:AU3),0)</f>
        <v>0</v>
      </c>
      <c r="AV25" s="137">
        <f>IF(AV3&gt;0,SUM($K3:AV3),0)</f>
        <v>0</v>
      </c>
      <c r="AW25" s="137">
        <f>IF(AW3&gt;0,SUM($K3:AW3),0)</f>
        <v>0</v>
      </c>
      <c r="AX25" s="137">
        <f>IF(AX3&gt;0,SUM($K3:AX3),0)</f>
        <v>0</v>
      </c>
      <c r="AY25" s="137">
        <f>IF(AY3&gt;0,SUM($K3:AY3),0)</f>
        <v>0</v>
      </c>
      <c r="AZ25" s="137">
        <f>IF(AZ3&gt;0,SUM($K3:AZ3),0)</f>
        <v>0</v>
      </c>
      <c r="BA25" s="137">
        <f>IF(BA3&gt;0,SUM($K3:BA3),0)</f>
        <v>0</v>
      </c>
      <c r="BB25" s="137">
        <f>IF(BB3&gt;0,SUM($K3:BB3),0)</f>
        <v>0</v>
      </c>
      <c r="BC25" s="137">
        <f>IF(BC3&gt;0,SUM($K3:BC3),0)</f>
        <v>0</v>
      </c>
      <c r="BD25" s="137">
        <f>IF(BD3&gt;0,SUM($K3:BD3),0)</f>
        <v>0</v>
      </c>
      <c r="BE25" s="137">
        <f>IF(BE3&gt;0,SUM($K3:BE3),0)</f>
        <v>0</v>
      </c>
      <c r="BF25" s="137">
        <f>IF(BF3&gt;0,SUM($K3:BF3),0)</f>
        <v>0</v>
      </c>
      <c r="BG25" s="137">
        <f>IF(BG3&gt;0,SUM($K3:BG3),0)</f>
        <v>0</v>
      </c>
      <c r="BH25" s="137">
        <f>IF(BH3&gt;0,SUM($K3:BH3),0)</f>
        <v>0</v>
      </c>
      <c r="BI25" s="137">
        <f>IF(BI3&gt;0,SUM($K3:BI3),0)</f>
        <v>0</v>
      </c>
      <c r="BJ25" s="137">
        <f>IF(BJ3&gt;0,SUM($K3:BJ3),0)</f>
        <v>0</v>
      </c>
      <c r="BK25" s="137">
        <f>IF(BK3&gt;0,SUM($K3:BK3),0)</f>
        <v>0</v>
      </c>
      <c r="BL25" s="137">
        <f>IF(BL3&gt;0,SUM($K3:BL3),0)</f>
        <v>0</v>
      </c>
      <c r="BM25" s="137">
        <f>IF(BM3&gt;0,SUM($K3:BM3),0)</f>
        <v>0</v>
      </c>
      <c r="BN25" s="137">
        <f>IF(BN3&gt;0,SUM($K3:BN3),0)</f>
        <v>0</v>
      </c>
      <c r="BO25" s="137">
        <f>IF(BO3&gt;0,SUM($K3:BO3),0)</f>
        <v>0</v>
      </c>
      <c r="BP25" s="137">
        <f>IF(BP3&gt;0,SUM($K3:BP3),0)</f>
        <v>0</v>
      </c>
      <c r="BQ25" s="137">
        <f>IF(BQ3&gt;0,SUM($K3:BQ3),0)</f>
        <v>0</v>
      </c>
      <c r="BR25" s="137">
        <f>IF(BR3&gt;0,SUM($K3:BR3),0)</f>
        <v>0</v>
      </c>
    </row>
    <row r="26" spans="8:70" ht="11.85" hidden="1" customHeight="1" outlineLevel="1">
      <c r="H26" s="139">
        <f t="shared" si="60"/>
        <v>10</v>
      </c>
      <c r="I26" s="139">
        <f>IFERROR(VLOOKUP(CONCATENATE(I78,".",H26),'Curva S'!$A$2:$B$301,2,0),0)</f>
        <v>250</v>
      </c>
      <c r="J26" s="65"/>
      <c r="K26" s="137">
        <f>IF(K4&gt;0,SUM($K4:K4),0)</f>
        <v>1</v>
      </c>
      <c r="L26" s="137">
        <f>IF(L4&gt;0,SUM($K4:L4),0)</f>
        <v>2</v>
      </c>
      <c r="M26" s="137">
        <f>IF(M4&gt;0,SUM($K4:M4),0)</f>
        <v>3</v>
      </c>
      <c r="N26" s="137">
        <f>IF(N4&gt;0,SUM($K4:N4),0)</f>
        <v>4</v>
      </c>
      <c r="O26" s="137">
        <f>IF(O4&gt;0,SUM($K4:O4),0)</f>
        <v>5</v>
      </c>
      <c r="P26" s="137">
        <f>IF(P4&gt;0,SUM($K4:P4),0)</f>
        <v>6</v>
      </c>
      <c r="Q26" s="137">
        <f>IF(Q4&gt;0,SUM($K4:Q4),0)</f>
        <v>7</v>
      </c>
      <c r="R26" s="137">
        <f>IF(R4&gt;0,SUM($K4:R4),0)</f>
        <v>8</v>
      </c>
      <c r="S26" s="137">
        <f>IF(S4&gt;0,SUM($K4:S4),0)</f>
        <v>9</v>
      </c>
      <c r="T26" s="137">
        <f>IF(T4&gt;0,SUM($K4:T4),0)</f>
        <v>10</v>
      </c>
      <c r="U26" s="137">
        <f>IF(U4&gt;0,SUM($K4:U4),0)</f>
        <v>0</v>
      </c>
      <c r="V26" s="137">
        <f>IF(V4&gt;0,SUM($K4:V4),0)</f>
        <v>0</v>
      </c>
      <c r="W26" s="137">
        <f>IF(W4&gt;0,SUM($K4:W4),0)</f>
        <v>0</v>
      </c>
      <c r="X26" s="137">
        <f>IF(X4&gt;0,SUM($K4:X4),0)</f>
        <v>0</v>
      </c>
      <c r="Y26" s="137">
        <f>IF(Y4&gt;0,SUM($K4:Y4),0)</f>
        <v>0</v>
      </c>
      <c r="Z26" s="137">
        <f>IF(Z4&gt;0,SUM($K4:Z4),0)</f>
        <v>0</v>
      </c>
      <c r="AA26" s="137">
        <f>IF(AA4&gt;0,SUM($K4:AA4),0)</f>
        <v>0</v>
      </c>
      <c r="AB26" s="137">
        <f>IF(AB4&gt;0,SUM($K4:AB4),0)</f>
        <v>0</v>
      </c>
      <c r="AC26" s="137">
        <f>IF(AC4&gt;0,SUM($K4:AC4),0)</f>
        <v>0</v>
      </c>
      <c r="AD26" s="137">
        <f>IF(AD4&gt;0,SUM($K4:AD4),0)</f>
        <v>0</v>
      </c>
      <c r="AE26" s="137">
        <f>IF(AE4&gt;0,SUM($K4:AE4),0)</f>
        <v>0</v>
      </c>
      <c r="AF26" s="137">
        <f>IF(AF4&gt;0,SUM($K4:AF4),0)</f>
        <v>0</v>
      </c>
      <c r="AG26" s="137">
        <f>IF(AG4&gt;0,SUM($K4:AG4),0)</f>
        <v>0</v>
      </c>
      <c r="AH26" s="137">
        <f>IF(AH4&gt;0,SUM($K4:AH4),0)</f>
        <v>0</v>
      </c>
      <c r="AI26" s="137">
        <f>IF(AI4&gt;0,SUM($K4:AI4),0)</f>
        <v>0</v>
      </c>
      <c r="AJ26" s="137">
        <f>IF(AJ4&gt;0,SUM($K4:AJ4),0)</f>
        <v>0</v>
      </c>
      <c r="AK26" s="137">
        <f>IF(AK4&gt;0,SUM($K4:AK4),0)</f>
        <v>0</v>
      </c>
      <c r="AL26" s="137">
        <f>IF(AL4&gt;0,SUM($K4:AL4),0)</f>
        <v>0</v>
      </c>
      <c r="AM26" s="137">
        <f>IF(AM4&gt;0,SUM($K4:AM4),0)</f>
        <v>0</v>
      </c>
      <c r="AN26" s="137">
        <f>IF(AN4&gt;0,SUM($K4:AN4),0)</f>
        <v>0</v>
      </c>
      <c r="AO26" s="137">
        <f>IF(AO4&gt;0,SUM($K4:AO4),0)</f>
        <v>0</v>
      </c>
      <c r="AP26" s="137">
        <f>IF(AP4&gt;0,SUM($K4:AP4),0)</f>
        <v>0</v>
      </c>
      <c r="AQ26" s="137">
        <f>IF(AQ4&gt;0,SUM($K4:AQ4),0)</f>
        <v>0</v>
      </c>
      <c r="AR26" s="137">
        <f>IF(AR4&gt;0,SUM($K4:AR4),0)</f>
        <v>0</v>
      </c>
      <c r="AS26" s="137">
        <f>IF(AS4&gt;0,SUM($K4:AS4),0)</f>
        <v>0</v>
      </c>
      <c r="AT26" s="137">
        <f>IF(AT4&gt;0,SUM($K4:AT4),0)</f>
        <v>0</v>
      </c>
      <c r="AU26" s="137">
        <f>IF(AU4&gt;0,SUM($K4:AU4),0)</f>
        <v>0</v>
      </c>
      <c r="AV26" s="137">
        <f>IF(AV4&gt;0,SUM($K4:AV4),0)</f>
        <v>0</v>
      </c>
      <c r="AW26" s="137">
        <f>IF(AW4&gt;0,SUM($K4:AW4),0)</f>
        <v>0</v>
      </c>
      <c r="AX26" s="137">
        <f>IF(AX4&gt;0,SUM($K4:AX4),0)</f>
        <v>0</v>
      </c>
      <c r="AY26" s="137">
        <f>IF(AY4&gt;0,SUM($K4:AY4),0)</f>
        <v>0</v>
      </c>
      <c r="AZ26" s="137">
        <f>IF(AZ4&gt;0,SUM($K4:AZ4),0)</f>
        <v>0</v>
      </c>
      <c r="BA26" s="137">
        <f>IF(BA4&gt;0,SUM($K4:BA4),0)</f>
        <v>0</v>
      </c>
      <c r="BB26" s="137">
        <f>IF(BB4&gt;0,SUM($K4:BB4),0)</f>
        <v>0</v>
      </c>
      <c r="BC26" s="137">
        <f>IF(BC4&gt;0,SUM($K4:BC4),0)</f>
        <v>0</v>
      </c>
      <c r="BD26" s="137">
        <f>IF(BD4&gt;0,SUM($K4:BD4),0)</f>
        <v>0</v>
      </c>
      <c r="BE26" s="137">
        <f>IF(BE4&gt;0,SUM($K4:BE4),0)</f>
        <v>0</v>
      </c>
      <c r="BF26" s="137">
        <f>IF(BF4&gt;0,SUM($K4:BF4),0)</f>
        <v>0</v>
      </c>
      <c r="BG26" s="137">
        <f>IF(BG4&gt;0,SUM($K4:BG4),0)</f>
        <v>0</v>
      </c>
      <c r="BH26" s="137">
        <f>IF(BH4&gt;0,SUM($K4:BH4),0)</f>
        <v>0</v>
      </c>
      <c r="BI26" s="137">
        <f>IF(BI4&gt;0,SUM($K4:BI4),0)</f>
        <v>0</v>
      </c>
      <c r="BJ26" s="137">
        <f>IF(BJ4&gt;0,SUM($K4:BJ4),0)</f>
        <v>0</v>
      </c>
      <c r="BK26" s="137">
        <f>IF(BK4&gt;0,SUM($K4:BK4),0)</f>
        <v>0</v>
      </c>
      <c r="BL26" s="137">
        <f>IF(BL4&gt;0,SUM($K4:BL4),0)</f>
        <v>0</v>
      </c>
      <c r="BM26" s="137">
        <f>IF(BM4&gt;0,SUM($K4:BM4),0)</f>
        <v>0</v>
      </c>
      <c r="BN26" s="137">
        <f>IF(BN4&gt;0,SUM($K4:BN4),0)</f>
        <v>0</v>
      </c>
      <c r="BO26" s="137">
        <f>IF(BO4&gt;0,SUM($K4:BO4),0)</f>
        <v>0</v>
      </c>
      <c r="BP26" s="137">
        <f>IF(BP4&gt;0,SUM($K4:BP4),0)</f>
        <v>0</v>
      </c>
      <c r="BQ26" s="137">
        <f>IF(BQ4&gt;0,SUM($K4:BQ4),0)</f>
        <v>0</v>
      </c>
      <c r="BR26" s="137">
        <f>IF(BR4&gt;0,SUM($K4:BR4),0)</f>
        <v>0</v>
      </c>
    </row>
    <row r="27" spans="8:70" ht="11.85" hidden="1" customHeight="1" outlineLevel="1">
      <c r="H27" s="139">
        <f t="shared" si="60"/>
        <v>10</v>
      </c>
      <c r="I27" s="139">
        <f>IFERROR(VLOOKUP(CONCATENATE(I79,".",H27),'Curva S'!$A$2:$B$301,2,0),0)</f>
        <v>250</v>
      </c>
      <c r="J27" s="65"/>
      <c r="K27" s="137">
        <f>IF(K5&gt;0,SUM($K5:K5),0)</f>
        <v>1</v>
      </c>
      <c r="L27" s="137">
        <f>IF(L5&gt;0,SUM($K5:L5),0)</f>
        <v>2</v>
      </c>
      <c r="M27" s="137">
        <f>IF(M5&gt;0,SUM($K5:M5),0)</f>
        <v>3</v>
      </c>
      <c r="N27" s="137">
        <f>IF(N5&gt;0,SUM($K5:N5),0)</f>
        <v>4</v>
      </c>
      <c r="O27" s="137">
        <f>IF(O5&gt;0,SUM($K5:O5),0)</f>
        <v>5</v>
      </c>
      <c r="P27" s="137">
        <f>IF(P5&gt;0,SUM($K5:P5),0)</f>
        <v>6</v>
      </c>
      <c r="Q27" s="137">
        <f>IF(Q5&gt;0,SUM($K5:Q5),0)</f>
        <v>7</v>
      </c>
      <c r="R27" s="137">
        <f>IF(R5&gt;0,SUM($K5:R5),0)</f>
        <v>8</v>
      </c>
      <c r="S27" s="137">
        <f>IF(S5&gt;0,SUM($K5:S5),0)</f>
        <v>9</v>
      </c>
      <c r="T27" s="137">
        <f>IF(T5&gt;0,SUM($K5:T5),0)</f>
        <v>10</v>
      </c>
      <c r="U27" s="137">
        <f>IF(U5&gt;0,SUM($K5:U5),0)</f>
        <v>0</v>
      </c>
      <c r="V27" s="137">
        <f>IF(V5&gt;0,SUM($K5:V5),0)</f>
        <v>0</v>
      </c>
      <c r="W27" s="137">
        <f>IF(W5&gt;0,SUM($K5:W5),0)</f>
        <v>0</v>
      </c>
      <c r="X27" s="137">
        <f>IF(X5&gt;0,SUM($K5:X5),0)</f>
        <v>0</v>
      </c>
      <c r="Y27" s="137">
        <f>IF(Y5&gt;0,SUM($K5:Y5),0)</f>
        <v>0</v>
      </c>
      <c r="Z27" s="137">
        <f>IF(Z5&gt;0,SUM($K5:Z5),0)</f>
        <v>0</v>
      </c>
      <c r="AA27" s="137">
        <f>IF(AA5&gt;0,SUM($K5:AA5),0)</f>
        <v>0</v>
      </c>
      <c r="AB27" s="137">
        <f>IF(AB5&gt;0,SUM($K5:AB5),0)</f>
        <v>0</v>
      </c>
      <c r="AC27" s="137">
        <f>IF(AC5&gt;0,SUM($K5:AC5),0)</f>
        <v>0</v>
      </c>
      <c r="AD27" s="137">
        <f>IF(AD5&gt;0,SUM($K5:AD5),0)</f>
        <v>0</v>
      </c>
      <c r="AE27" s="137">
        <f>IF(AE5&gt;0,SUM($K5:AE5),0)</f>
        <v>0</v>
      </c>
      <c r="AF27" s="137">
        <f>IF(AF5&gt;0,SUM($K5:AF5),0)</f>
        <v>0</v>
      </c>
      <c r="AG27" s="137">
        <f>IF(AG5&gt;0,SUM($K5:AG5),0)</f>
        <v>0</v>
      </c>
      <c r="AH27" s="137">
        <f>IF(AH5&gt;0,SUM($K5:AH5),0)</f>
        <v>0</v>
      </c>
      <c r="AI27" s="137">
        <f>IF(AI5&gt;0,SUM($K5:AI5),0)</f>
        <v>0</v>
      </c>
      <c r="AJ27" s="137">
        <f>IF(AJ5&gt;0,SUM($K5:AJ5),0)</f>
        <v>0</v>
      </c>
      <c r="AK27" s="137">
        <f>IF(AK5&gt;0,SUM($K5:AK5),0)</f>
        <v>0</v>
      </c>
      <c r="AL27" s="137">
        <f>IF(AL5&gt;0,SUM($K5:AL5),0)</f>
        <v>0</v>
      </c>
      <c r="AM27" s="137">
        <f>IF(AM5&gt;0,SUM($K5:AM5),0)</f>
        <v>0</v>
      </c>
      <c r="AN27" s="137">
        <f>IF(AN5&gt;0,SUM($K5:AN5),0)</f>
        <v>0</v>
      </c>
      <c r="AO27" s="137">
        <f>IF(AO5&gt;0,SUM($K5:AO5),0)</f>
        <v>0</v>
      </c>
      <c r="AP27" s="137">
        <f>IF(AP5&gt;0,SUM($K5:AP5),0)</f>
        <v>0</v>
      </c>
      <c r="AQ27" s="137">
        <f>IF(AQ5&gt;0,SUM($K5:AQ5),0)</f>
        <v>0</v>
      </c>
      <c r="AR27" s="137">
        <f>IF(AR5&gt;0,SUM($K5:AR5),0)</f>
        <v>0</v>
      </c>
      <c r="AS27" s="137">
        <f>IF(AS5&gt;0,SUM($K5:AS5),0)</f>
        <v>0</v>
      </c>
      <c r="AT27" s="137">
        <f>IF(AT5&gt;0,SUM($K5:AT5),0)</f>
        <v>0</v>
      </c>
      <c r="AU27" s="137">
        <f>IF(AU5&gt;0,SUM($K5:AU5),0)</f>
        <v>0</v>
      </c>
      <c r="AV27" s="137">
        <f>IF(AV5&gt;0,SUM($K5:AV5),0)</f>
        <v>0</v>
      </c>
      <c r="AW27" s="137">
        <f>IF(AW5&gt;0,SUM($K5:AW5),0)</f>
        <v>0</v>
      </c>
      <c r="AX27" s="137">
        <f>IF(AX5&gt;0,SUM($K5:AX5),0)</f>
        <v>0</v>
      </c>
      <c r="AY27" s="137">
        <f>IF(AY5&gt;0,SUM($K5:AY5),0)</f>
        <v>0</v>
      </c>
      <c r="AZ27" s="137">
        <f>IF(AZ5&gt;0,SUM($K5:AZ5),0)</f>
        <v>0</v>
      </c>
      <c r="BA27" s="137">
        <f>IF(BA5&gt;0,SUM($K5:BA5),0)</f>
        <v>0</v>
      </c>
      <c r="BB27" s="137">
        <f>IF(BB5&gt;0,SUM($K5:BB5),0)</f>
        <v>0</v>
      </c>
      <c r="BC27" s="137">
        <f>IF(BC5&gt;0,SUM($K5:BC5),0)</f>
        <v>0</v>
      </c>
      <c r="BD27" s="137">
        <f>IF(BD5&gt;0,SUM($K5:BD5),0)</f>
        <v>0</v>
      </c>
      <c r="BE27" s="137">
        <f>IF(BE5&gt;0,SUM($K5:BE5),0)</f>
        <v>0</v>
      </c>
      <c r="BF27" s="137">
        <f>IF(BF5&gt;0,SUM($K5:BF5),0)</f>
        <v>0</v>
      </c>
      <c r="BG27" s="137">
        <f>IF(BG5&gt;0,SUM($K5:BG5),0)</f>
        <v>0</v>
      </c>
      <c r="BH27" s="137">
        <f>IF(BH5&gt;0,SUM($K5:BH5),0)</f>
        <v>0</v>
      </c>
      <c r="BI27" s="137">
        <f>IF(BI5&gt;0,SUM($K5:BI5),0)</f>
        <v>0</v>
      </c>
      <c r="BJ27" s="137">
        <f>IF(BJ5&gt;0,SUM($K5:BJ5),0)</f>
        <v>0</v>
      </c>
      <c r="BK27" s="137">
        <f>IF(BK5&gt;0,SUM($K5:BK5),0)</f>
        <v>0</v>
      </c>
      <c r="BL27" s="137">
        <f>IF(BL5&gt;0,SUM($K5:BL5),0)</f>
        <v>0</v>
      </c>
      <c r="BM27" s="137">
        <f>IF(BM5&gt;0,SUM($K5:BM5),0)</f>
        <v>0</v>
      </c>
      <c r="BN27" s="137">
        <f>IF(BN5&gt;0,SUM($K5:BN5),0)</f>
        <v>0</v>
      </c>
      <c r="BO27" s="137">
        <f>IF(BO5&gt;0,SUM($K5:BO5),0)</f>
        <v>0</v>
      </c>
      <c r="BP27" s="137">
        <f>IF(BP5&gt;0,SUM($K5:BP5),0)</f>
        <v>0</v>
      </c>
      <c r="BQ27" s="137">
        <f>IF(BQ5&gt;0,SUM($K5:BQ5),0)</f>
        <v>0</v>
      </c>
      <c r="BR27" s="137">
        <f>IF(BR5&gt;0,SUM($K5:BR5),0)</f>
        <v>0</v>
      </c>
    </row>
    <row r="28" spans="8:70" ht="11.85" hidden="1" customHeight="1" outlineLevel="1">
      <c r="H28" s="139">
        <f t="shared" si="60"/>
        <v>10</v>
      </c>
      <c r="I28" s="139">
        <f>IFERROR(VLOOKUP(CONCATENATE(I80,".",H28),'Curva S'!$A$2:$B$301,2,0),0)</f>
        <v>250</v>
      </c>
      <c r="J28" s="65"/>
      <c r="K28" s="137">
        <f>IF(K6&gt;0,SUM($K6:K6),0)</f>
        <v>1</v>
      </c>
      <c r="L28" s="137">
        <f>IF(L6&gt;0,SUM($K6:L6),0)</f>
        <v>2</v>
      </c>
      <c r="M28" s="137">
        <f>IF(M6&gt;0,SUM($K6:M6),0)</f>
        <v>3</v>
      </c>
      <c r="N28" s="137">
        <f>IF(N6&gt;0,SUM($K6:N6),0)</f>
        <v>4</v>
      </c>
      <c r="O28" s="137">
        <f>IF(O6&gt;0,SUM($K6:O6),0)</f>
        <v>5</v>
      </c>
      <c r="P28" s="137">
        <f>IF(P6&gt;0,SUM($K6:P6),0)</f>
        <v>6</v>
      </c>
      <c r="Q28" s="137">
        <f>IF(Q6&gt;0,SUM($K6:Q6),0)</f>
        <v>7</v>
      </c>
      <c r="R28" s="137">
        <f>IF(R6&gt;0,SUM($K6:R6),0)</f>
        <v>8</v>
      </c>
      <c r="S28" s="137">
        <f>IF(S6&gt;0,SUM($K6:S6),0)</f>
        <v>9</v>
      </c>
      <c r="T28" s="137">
        <f>IF(T6&gt;0,SUM($K6:T6),0)</f>
        <v>10</v>
      </c>
      <c r="U28" s="137">
        <f>IF(U6&gt;0,SUM($K6:U6),0)</f>
        <v>0</v>
      </c>
      <c r="V28" s="137">
        <f>IF(V6&gt;0,SUM($K6:V6),0)</f>
        <v>0</v>
      </c>
      <c r="W28" s="137">
        <f>IF(W6&gt;0,SUM($K6:W6),0)</f>
        <v>0</v>
      </c>
      <c r="X28" s="137">
        <f>IF(X6&gt;0,SUM($K6:X6),0)</f>
        <v>0</v>
      </c>
      <c r="Y28" s="137">
        <f>IF(Y6&gt;0,SUM($K6:Y6),0)</f>
        <v>0</v>
      </c>
      <c r="Z28" s="137">
        <f>IF(Z6&gt;0,SUM($K6:Z6),0)</f>
        <v>0</v>
      </c>
      <c r="AA28" s="137">
        <f>IF(AA6&gt;0,SUM($K6:AA6),0)</f>
        <v>0</v>
      </c>
      <c r="AB28" s="137">
        <f>IF(AB6&gt;0,SUM($K6:AB6),0)</f>
        <v>0</v>
      </c>
      <c r="AC28" s="137">
        <f>IF(AC6&gt;0,SUM($K6:AC6),0)</f>
        <v>0</v>
      </c>
      <c r="AD28" s="137">
        <f>IF(AD6&gt;0,SUM($K6:AD6),0)</f>
        <v>0</v>
      </c>
      <c r="AE28" s="137">
        <f>IF(AE6&gt;0,SUM($K6:AE6),0)</f>
        <v>0</v>
      </c>
      <c r="AF28" s="137">
        <f>IF(AF6&gt;0,SUM($K6:AF6),0)</f>
        <v>0</v>
      </c>
      <c r="AG28" s="137">
        <f>IF(AG6&gt;0,SUM($K6:AG6),0)</f>
        <v>0</v>
      </c>
      <c r="AH28" s="137">
        <f>IF(AH6&gt;0,SUM($K6:AH6),0)</f>
        <v>0</v>
      </c>
      <c r="AI28" s="137">
        <f>IF(AI6&gt;0,SUM($K6:AI6),0)</f>
        <v>0</v>
      </c>
      <c r="AJ28" s="137">
        <f>IF(AJ6&gt;0,SUM($K6:AJ6),0)</f>
        <v>0</v>
      </c>
      <c r="AK28" s="137">
        <f>IF(AK6&gt;0,SUM($K6:AK6),0)</f>
        <v>0</v>
      </c>
      <c r="AL28" s="137">
        <f>IF(AL6&gt;0,SUM($K6:AL6),0)</f>
        <v>0</v>
      </c>
      <c r="AM28" s="137">
        <f>IF(AM6&gt;0,SUM($K6:AM6),0)</f>
        <v>0</v>
      </c>
      <c r="AN28" s="137">
        <f>IF(AN6&gt;0,SUM($K6:AN6),0)</f>
        <v>0</v>
      </c>
      <c r="AO28" s="137">
        <f>IF(AO6&gt;0,SUM($K6:AO6),0)</f>
        <v>0</v>
      </c>
      <c r="AP28" s="137">
        <f>IF(AP6&gt;0,SUM($K6:AP6),0)</f>
        <v>0</v>
      </c>
      <c r="AQ28" s="137">
        <f>IF(AQ6&gt;0,SUM($K6:AQ6),0)</f>
        <v>0</v>
      </c>
      <c r="AR28" s="137">
        <f>IF(AR6&gt;0,SUM($K6:AR6),0)</f>
        <v>0</v>
      </c>
      <c r="AS28" s="137">
        <f>IF(AS6&gt;0,SUM($K6:AS6),0)</f>
        <v>0</v>
      </c>
      <c r="AT28" s="137">
        <f>IF(AT6&gt;0,SUM($K6:AT6),0)</f>
        <v>0</v>
      </c>
      <c r="AU28" s="137">
        <f>IF(AU6&gt;0,SUM($K6:AU6),0)</f>
        <v>0</v>
      </c>
      <c r="AV28" s="137">
        <f>IF(AV6&gt;0,SUM($K6:AV6),0)</f>
        <v>0</v>
      </c>
      <c r="AW28" s="137">
        <f>IF(AW6&gt;0,SUM($K6:AW6),0)</f>
        <v>0</v>
      </c>
      <c r="AX28" s="137">
        <f>IF(AX6&gt;0,SUM($K6:AX6),0)</f>
        <v>0</v>
      </c>
      <c r="AY28" s="137">
        <f>IF(AY6&gt;0,SUM($K6:AY6),0)</f>
        <v>0</v>
      </c>
      <c r="AZ28" s="137">
        <f>IF(AZ6&gt;0,SUM($K6:AZ6),0)</f>
        <v>0</v>
      </c>
      <c r="BA28" s="137">
        <f>IF(BA6&gt;0,SUM($K6:BA6),0)</f>
        <v>0</v>
      </c>
      <c r="BB28" s="137">
        <f>IF(BB6&gt;0,SUM($K6:BB6),0)</f>
        <v>0</v>
      </c>
      <c r="BC28" s="137">
        <f>IF(BC6&gt;0,SUM($K6:BC6),0)</f>
        <v>0</v>
      </c>
      <c r="BD28" s="137">
        <f>IF(BD6&gt;0,SUM($K6:BD6),0)</f>
        <v>0</v>
      </c>
      <c r="BE28" s="137">
        <f>IF(BE6&gt;0,SUM($K6:BE6),0)</f>
        <v>0</v>
      </c>
      <c r="BF28" s="137">
        <f>IF(BF6&gt;0,SUM($K6:BF6),0)</f>
        <v>0</v>
      </c>
      <c r="BG28" s="137">
        <f>IF(BG6&gt;0,SUM($K6:BG6),0)</f>
        <v>0</v>
      </c>
      <c r="BH28" s="137">
        <f>IF(BH6&gt;0,SUM($K6:BH6),0)</f>
        <v>0</v>
      </c>
      <c r="BI28" s="137">
        <f>IF(BI6&gt;0,SUM($K6:BI6),0)</f>
        <v>0</v>
      </c>
      <c r="BJ28" s="137">
        <f>IF(BJ6&gt;0,SUM($K6:BJ6),0)</f>
        <v>0</v>
      </c>
      <c r="BK28" s="137">
        <f>IF(BK6&gt;0,SUM($K6:BK6),0)</f>
        <v>0</v>
      </c>
      <c r="BL28" s="137">
        <f>IF(BL6&gt;0,SUM($K6:BL6),0)</f>
        <v>0</v>
      </c>
      <c r="BM28" s="137">
        <f>IF(BM6&gt;0,SUM($K6:BM6),0)</f>
        <v>0</v>
      </c>
      <c r="BN28" s="137">
        <f>IF(BN6&gt;0,SUM($K6:BN6),0)</f>
        <v>0</v>
      </c>
      <c r="BO28" s="137">
        <f>IF(BO6&gt;0,SUM($K6:BO6),0)</f>
        <v>0</v>
      </c>
      <c r="BP28" s="137">
        <f>IF(BP6&gt;0,SUM($K6:BP6),0)</f>
        <v>0</v>
      </c>
      <c r="BQ28" s="137">
        <f>IF(BQ6&gt;0,SUM($K6:BQ6),0)</f>
        <v>0</v>
      </c>
      <c r="BR28" s="137">
        <f>IF(BR6&gt;0,SUM($K6:BR6),0)</f>
        <v>0</v>
      </c>
    </row>
    <row r="29" spans="8:70" ht="11.85" hidden="1" customHeight="1" outlineLevel="1">
      <c r="H29" s="139">
        <f t="shared" si="60"/>
        <v>10</v>
      </c>
      <c r="I29" s="139">
        <f>IFERROR(VLOOKUP(CONCATENATE(I81,".",H29),'Curva S'!$A$2:$B$301,2,0),0)</f>
        <v>250</v>
      </c>
      <c r="J29" s="65"/>
      <c r="K29" s="137">
        <f>IF(K7&gt;0,SUM($K7:K7),0)</f>
        <v>1</v>
      </c>
      <c r="L29" s="137">
        <f>IF(L7&gt;0,SUM($K7:L7),0)</f>
        <v>2</v>
      </c>
      <c r="M29" s="137">
        <f>IF(M7&gt;0,SUM($K7:M7),0)</f>
        <v>3</v>
      </c>
      <c r="N29" s="137">
        <f>IF(N7&gt;0,SUM($K7:N7),0)</f>
        <v>4</v>
      </c>
      <c r="O29" s="137">
        <f>IF(O7&gt;0,SUM($K7:O7),0)</f>
        <v>5</v>
      </c>
      <c r="P29" s="137">
        <f>IF(P7&gt;0,SUM($K7:P7),0)</f>
        <v>6</v>
      </c>
      <c r="Q29" s="137">
        <f>IF(Q7&gt;0,SUM($K7:Q7),0)</f>
        <v>7</v>
      </c>
      <c r="R29" s="137">
        <f>IF(R7&gt;0,SUM($K7:R7),0)</f>
        <v>8</v>
      </c>
      <c r="S29" s="137">
        <f>IF(S7&gt;0,SUM($K7:S7),0)</f>
        <v>9</v>
      </c>
      <c r="T29" s="137">
        <f>IF(T7&gt;0,SUM($K7:T7),0)</f>
        <v>10</v>
      </c>
      <c r="U29" s="137">
        <f>IF(U7&gt;0,SUM($K7:U7),0)</f>
        <v>0</v>
      </c>
      <c r="V29" s="137">
        <f>IF(V7&gt;0,SUM($K7:V7),0)</f>
        <v>0</v>
      </c>
      <c r="W29" s="137">
        <f>IF(W7&gt;0,SUM($K7:W7),0)</f>
        <v>0</v>
      </c>
      <c r="X29" s="137">
        <f>IF(X7&gt;0,SUM($K7:X7),0)</f>
        <v>0</v>
      </c>
      <c r="Y29" s="137">
        <f>IF(Y7&gt;0,SUM($K7:Y7),0)</f>
        <v>0</v>
      </c>
      <c r="Z29" s="137">
        <f>IF(Z7&gt;0,SUM($K7:Z7),0)</f>
        <v>0</v>
      </c>
      <c r="AA29" s="137">
        <f>IF(AA7&gt;0,SUM($K7:AA7),0)</f>
        <v>0</v>
      </c>
      <c r="AB29" s="137">
        <f>IF(AB7&gt;0,SUM($K7:AB7),0)</f>
        <v>0</v>
      </c>
      <c r="AC29" s="137">
        <f>IF(AC7&gt;0,SUM($K7:AC7),0)</f>
        <v>0</v>
      </c>
      <c r="AD29" s="137">
        <f>IF(AD7&gt;0,SUM($K7:AD7),0)</f>
        <v>0</v>
      </c>
      <c r="AE29" s="137">
        <f>IF(AE7&gt;0,SUM($K7:AE7),0)</f>
        <v>0</v>
      </c>
      <c r="AF29" s="137">
        <f>IF(AF7&gt;0,SUM($K7:AF7),0)</f>
        <v>0</v>
      </c>
      <c r="AG29" s="137">
        <f>IF(AG7&gt;0,SUM($K7:AG7),0)</f>
        <v>0</v>
      </c>
      <c r="AH29" s="137">
        <f>IF(AH7&gt;0,SUM($K7:AH7),0)</f>
        <v>0</v>
      </c>
      <c r="AI29" s="137">
        <f>IF(AI7&gt;0,SUM($K7:AI7),0)</f>
        <v>0</v>
      </c>
      <c r="AJ29" s="137">
        <f>IF(AJ7&gt;0,SUM($K7:AJ7),0)</f>
        <v>0</v>
      </c>
      <c r="AK29" s="137">
        <f>IF(AK7&gt;0,SUM($K7:AK7),0)</f>
        <v>0</v>
      </c>
      <c r="AL29" s="137">
        <f>IF(AL7&gt;0,SUM($K7:AL7),0)</f>
        <v>0</v>
      </c>
      <c r="AM29" s="137">
        <f>IF(AM7&gt;0,SUM($K7:AM7),0)</f>
        <v>0</v>
      </c>
      <c r="AN29" s="137">
        <f>IF(AN7&gt;0,SUM($K7:AN7),0)</f>
        <v>0</v>
      </c>
      <c r="AO29" s="137">
        <f>IF(AO7&gt;0,SUM($K7:AO7),0)</f>
        <v>0</v>
      </c>
      <c r="AP29" s="137">
        <f>IF(AP7&gt;0,SUM($K7:AP7),0)</f>
        <v>0</v>
      </c>
      <c r="AQ29" s="137">
        <f>IF(AQ7&gt;0,SUM($K7:AQ7),0)</f>
        <v>0</v>
      </c>
      <c r="AR29" s="137">
        <f>IF(AR7&gt;0,SUM($K7:AR7),0)</f>
        <v>0</v>
      </c>
      <c r="AS29" s="137">
        <f>IF(AS7&gt;0,SUM($K7:AS7),0)</f>
        <v>0</v>
      </c>
      <c r="AT29" s="137">
        <f>IF(AT7&gt;0,SUM($K7:AT7),0)</f>
        <v>0</v>
      </c>
      <c r="AU29" s="137">
        <f>IF(AU7&gt;0,SUM($K7:AU7),0)</f>
        <v>0</v>
      </c>
      <c r="AV29" s="137">
        <f>IF(AV7&gt;0,SUM($K7:AV7),0)</f>
        <v>0</v>
      </c>
      <c r="AW29" s="137">
        <f>IF(AW7&gt;0,SUM($K7:AW7),0)</f>
        <v>0</v>
      </c>
      <c r="AX29" s="137">
        <f>IF(AX7&gt;0,SUM($K7:AX7),0)</f>
        <v>0</v>
      </c>
      <c r="AY29" s="137">
        <f>IF(AY7&gt;0,SUM($K7:AY7),0)</f>
        <v>0</v>
      </c>
      <c r="AZ29" s="137">
        <f>IF(AZ7&gt;0,SUM($K7:AZ7),0)</f>
        <v>0</v>
      </c>
      <c r="BA29" s="137">
        <f>IF(BA7&gt;0,SUM($K7:BA7),0)</f>
        <v>0</v>
      </c>
      <c r="BB29" s="137">
        <f>IF(BB7&gt;0,SUM($K7:BB7),0)</f>
        <v>0</v>
      </c>
      <c r="BC29" s="137">
        <f>IF(BC7&gt;0,SUM($K7:BC7),0)</f>
        <v>0</v>
      </c>
      <c r="BD29" s="137">
        <f>IF(BD7&gt;0,SUM($K7:BD7),0)</f>
        <v>0</v>
      </c>
      <c r="BE29" s="137">
        <f>IF(BE7&gt;0,SUM($K7:BE7),0)</f>
        <v>0</v>
      </c>
      <c r="BF29" s="137">
        <f>IF(BF7&gt;0,SUM($K7:BF7),0)</f>
        <v>0</v>
      </c>
      <c r="BG29" s="137">
        <f>IF(BG7&gt;0,SUM($K7:BG7),0)</f>
        <v>0</v>
      </c>
      <c r="BH29" s="137">
        <f>IF(BH7&gt;0,SUM($K7:BH7),0)</f>
        <v>0</v>
      </c>
      <c r="BI29" s="137">
        <f>IF(BI7&gt;0,SUM($K7:BI7),0)</f>
        <v>0</v>
      </c>
      <c r="BJ29" s="137">
        <f>IF(BJ7&gt;0,SUM($K7:BJ7),0)</f>
        <v>0</v>
      </c>
      <c r="BK29" s="137">
        <f>IF(BK7&gt;0,SUM($K7:BK7),0)</f>
        <v>0</v>
      </c>
      <c r="BL29" s="137">
        <f>IF(BL7&gt;0,SUM($K7:BL7),0)</f>
        <v>0</v>
      </c>
      <c r="BM29" s="137">
        <f>IF(BM7&gt;0,SUM($K7:BM7),0)</f>
        <v>0</v>
      </c>
      <c r="BN29" s="137">
        <f>IF(BN7&gt;0,SUM($K7:BN7),0)</f>
        <v>0</v>
      </c>
      <c r="BO29" s="137">
        <f>IF(BO7&gt;0,SUM($K7:BO7),0)</f>
        <v>0</v>
      </c>
      <c r="BP29" s="137">
        <f>IF(BP7&gt;0,SUM($K7:BP7),0)</f>
        <v>0</v>
      </c>
      <c r="BQ29" s="137">
        <f>IF(BQ7&gt;0,SUM($K7:BQ7),0)</f>
        <v>0</v>
      </c>
      <c r="BR29" s="137">
        <f>IF(BR7&gt;0,SUM($K7:BR7),0)</f>
        <v>0</v>
      </c>
    </row>
    <row r="30" spans="8:70" ht="11.85" hidden="1" customHeight="1" outlineLevel="1">
      <c r="H30" s="139">
        <f t="shared" si="60"/>
        <v>10</v>
      </c>
      <c r="I30" s="139">
        <f>IFERROR(VLOOKUP(CONCATENATE(I82,".",H30),'Curva S'!$A$2:$B$301,2,0),0)</f>
        <v>250</v>
      </c>
      <c r="J30" s="65"/>
      <c r="K30" s="137">
        <f>IF(K8&gt;0,SUM($K8:K8),0)</f>
        <v>1</v>
      </c>
      <c r="L30" s="137">
        <f>IF(L8&gt;0,SUM($K8:L8),0)</f>
        <v>2</v>
      </c>
      <c r="M30" s="137">
        <f>IF(M8&gt;0,SUM($K8:M8),0)</f>
        <v>3</v>
      </c>
      <c r="N30" s="137">
        <f>IF(N8&gt;0,SUM($K8:N8),0)</f>
        <v>4</v>
      </c>
      <c r="O30" s="137">
        <f>IF(O8&gt;0,SUM($K8:O8),0)</f>
        <v>5</v>
      </c>
      <c r="P30" s="137">
        <f>IF(P8&gt;0,SUM($K8:P8),0)</f>
        <v>6</v>
      </c>
      <c r="Q30" s="137">
        <f>IF(Q8&gt;0,SUM($K8:Q8),0)</f>
        <v>7</v>
      </c>
      <c r="R30" s="137">
        <f>IF(R8&gt;0,SUM($K8:R8),0)</f>
        <v>8</v>
      </c>
      <c r="S30" s="137">
        <f>IF(S8&gt;0,SUM($K8:S8),0)</f>
        <v>9</v>
      </c>
      <c r="T30" s="137">
        <f>IF(T8&gt;0,SUM($K8:T8),0)</f>
        <v>10</v>
      </c>
      <c r="U30" s="137">
        <f>IF(U8&gt;0,SUM($K8:U8),0)</f>
        <v>0</v>
      </c>
      <c r="V30" s="137">
        <f>IF(V8&gt;0,SUM($K8:V8),0)</f>
        <v>0</v>
      </c>
      <c r="W30" s="137">
        <f>IF(W8&gt;0,SUM($K8:W8),0)</f>
        <v>0</v>
      </c>
      <c r="X30" s="137">
        <f>IF(X8&gt;0,SUM($K8:X8),0)</f>
        <v>0</v>
      </c>
      <c r="Y30" s="137">
        <f>IF(Y8&gt;0,SUM($K8:Y8),0)</f>
        <v>0</v>
      </c>
      <c r="Z30" s="137">
        <f>IF(Z8&gt;0,SUM($K8:Z8),0)</f>
        <v>0</v>
      </c>
      <c r="AA30" s="137">
        <f>IF(AA8&gt;0,SUM($K8:AA8),0)</f>
        <v>0</v>
      </c>
      <c r="AB30" s="137">
        <f>IF(AB8&gt;0,SUM($K8:AB8),0)</f>
        <v>0</v>
      </c>
      <c r="AC30" s="137">
        <f>IF(AC8&gt;0,SUM($K8:AC8),0)</f>
        <v>0</v>
      </c>
      <c r="AD30" s="137">
        <f>IF(AD8&gt;0,SUM($K8:AD8),0)</f>
        <v>0</v>
      </c>
      <c r="AE30" s="137">
        <f>IF(AE8&gt;0,SUM($K8:AE8),0)</f>
        <v>0</v>
      </c>
      <c r="AF30" s="137">
        <f>IF(AF8&gt;0,SUM($K8:AF8),0)</f>
        <v>0</v>
      </c>
      <c r="AG30" s="137">
        <f>IF(AG8&gt;0,SUM($K8:AG8),0)</f>
        <v>0</v>
      </c>
      <c r="AH30" s="137">
        <f>IF(AH8&gt;0,SUM($K8:AH8),0)</f>
        <v>0</v>
      </c>
      <c r="AI30" s="137">
        <f>IF(AI8&gt;0,SUM($K8:AI8),0)</f>
        <v>0</v>
      </c>
      <c r="AJ30" s="137">
        <f>IF(AJ8&gt;0,SUM($K8:AJ8),0)</f>
        <v>0</v>
      </c>
      <c r="AK30" s="137">
        <f>IF(AK8&gt;0,SUM($K8:AK8),0)</f>
        <v>0</v>
      </c>
      <c r="AL30" s="137">
        <f>IF(AL8&gt;0,SUM($K8:AL8),0)</f>
        <v>0</v>
      </c>
      <c r="AM30" s="137">
        <f>IF(AM8&gt;0,SUM($K8:AM8),0)</f>
        <v>0</v>
      </c>
      <c r="AN30" s="137">
        <f>IF(AN8&gt;0,SUM($K8:AN8),0)</f>
        <v>0</v>
      </c>
      <c r="AO30" s="137">
        <f>IF(AO8&gt;0,SUM($K8:AO8),0)</f>
        <v>0</v>
      </c>
      <c r="AP30" s="137">
        <f>IF(AP8&gt;0,SUM($K8:AP8),0)</f>
        <v>0</v>
      </c>
      <c r="AQ30" s="137">
        <f>IF(AQ8&gt;0,SUM($K8:AQ8),0)</f>
        <v>0</v>
      </c>
      <c r="AR30" s="137">
        <f>IF(AR8&gt;0,SUM($K8:AR8),0)</f>
        <v>0</v>
      </c>
      <c r="AS30" s="137">
        <f>IF(AS8&gt;0,SUM($K8:AS8),0)</f>
        <v>0</v>
      </c>
      <c r="AT30" s="137">
        <f>IF(AT8&gt;0,SUM($K8:AT8),0)</f>
        <v>0</v>
      </c>
      <c r="AU30" s="137">
        <f>IF(AU8&gt;0,SUM($K8:AU8),0)</f>
        <v>0</v>
      </c>
      <c r="AV30" s="137">
        <f>IF(AV8&gt;0,SUM($K8:AV8),0)</f>
        <v>0</v>
      </c>
      <c r="AW30" s="137">
        <f>IF(AW8&gt;0,SUM($K8:AW8),0)</f>
        <v>0</v>
      </c>
      <c r="AX30" s="137">
        <f>IF(AX8&gt;0,SUM($K8:AX8),0)</f>
        <v>0</v>
      </c>
      <c r="AY30" s="137">
        <f>IF(AY8&gt;0,SUM($K8:AY8),0)</f>
        <v>0</v>
      </c>
      <c r="AZ30" s="137">
        <f>IF(AZ8&gt;0,SUM($K8:AZ8),0)</f>
        <v>0</v>
      </c>
      <c r="BA30" s="137">
        <f>IF(BA8&gt;0,SUM($K8:BA8),0)</f>
        <v>0</v>
      </c>
      <c r="BB30" s="137">
        <f>IF(BB8&gt;0,SUM($K8:BB8),0)</f>
        <v>0</v>
      </c>
      <c r="BC30" s="137">
        <f>IF(BC8&gt;0,SUM($K8:BC8),0)</f>
        <v>0</v>
      </c>
      <c r="BD30" s="137">
        <f>IF(BD8&gt;0,SUM($K8:BD8),0)</f>
        <v>0</v>
      </c>
      <c r="BE30" s="137">
        <f>IF(BE8&gt;0,SUM($K8:BE8),0)</f>
        <v>0</v>
      </c>
      <c r="BF30" s="137">
        <f>IF(BF8&gt;0,SUM($K8:BF8),0)</f>
        <v>0</v>
      </c>
      <c r="BG30" s="137">
        <f>IF(BG8&gt;0,SUM($K8:BG8),0)</f>
        <v>0</v>
      </c>
      <c r="BH30" s="137">
        <f>IF(BH8&gt;0,SUM($K8:BH8),0)</f>
        <v>0</v>
      </c>
      <c r="BI30" s="137">
        <f>IF(BI8&gt;0,SUM($K8:BI8),0)</f>
        <v>0</v>
      </c>
      <c r="BJ30" s="137">
        <f>IF(BJ8&gt;0,SUM($K8:BJ8),0)</f>
        <v>0</v>
      </c>
      <c r="BK30" s="137">
        <f>IF(BK8&gt;0,SUM($K8:BK8),0)</f>
        <v>0</v>
      </c>
      <c r="BL30" s="137">
        <f>IF(BL8&gt;0,SUM($K8:BL8),0)</f>
        <v>0</v>
      </c>
      <c r="BM30" s="137">
        <f>IF(BM8&gt;0,SUM($K8:BM8),0)</f>
        <v>0</v>
      </c>
      <c r="BN30" s="137">
        <f>IF(BN8&gt;0,SUM($K8:BN8),0)</f>
        <v>0</v>
      </c>
      <c r="BO30" s="137">
        <f>IF(BO8&gt;0,SUM($K8:BO8),0)</f>
        <v>0</v>
      </c>
      <c r="BP30" s="137">
        <f>IF(BP8&gt;0,SUM($K8:BP8),0)</f>
        <v>0</v>
      </c>
      <c r="BQ30" s="137">
        <f>IF(BQ8&gt;0,SUM($K8:BQ8),0)</f>
        <v>0</v>
      </c>
      <c r="BR30" s="137">
        <f>IF(BR8&gt;0,SUM($K8:BR8),0)</f>
        <v>0</v>
      </c>
    </row>
    <row r="31" spans="8:70" ht="11.85" hidden="1" customHeight="1" outlineLevel="1">
      <c r="H31" s="139">
        <f t="shared" si="60"/>
        <v>10</v>
      </c>
      <c r="I31" s="139">
        <f>IFERROR(VLOOKUP(CONCATENATE(I83,".",H31),'Curva S'!$A$2:$B$301,2,0),0)</f>
        <v>250</v>
      </c>
      <c r="J31" s="65"/>
      <c r="K31" s="137">
        <f>IF(K9&gt;0,SUM($K9:K9),0)</f>
        <v>1</v>
      </c>
      <c r="L31" s="137">
        <f>IF(L9&gt;0,SUM($K9:L9),0)</f>
        <v>2</v>
      </c>
      <c r="M31" s="137">
        <f>IF(M9&gt;0,SUM($K9:M9),0)</f>
        <v>3</v>
      </c>
      <c r="N31" s="137">
        <f>IF(N9&gt;0,SUM($K9:N9),0)</f>
        <v>4</v>
      </c>
      <c r="O31" s="137">
        <f>IF(O9&gt;0,SUM($K9:O9),0)</f>
        <v>5</v>
      </c>
      <c r="P31" s="137">
        <f>IF(P9&gt;0,SUM($K9:P9),0)</f>
        <v>6</v>
      </c>
      <c r="Q31" s="137">
        <f>IF(Q9&gt;0,SUM($K9:Q9),0)</f>
        <v>7</v>
      </c>
      <c r="R31" s="137">
        <f>IF(R9&gt;0,SUM($K9:R9),0)</f>
        <v>8</v>
      </c>
      <c r="S31" s="137">
        <f>IF(S9&gt;0,SUM($K9:S9),0)</f>
        <v>9</v>
      </c>
      <c r="T31" s="137">
        <f>IF(T9&gt;0,SUM($K9:T9),0)</f>
        <v>10</v>
      </c>
      <c r="U31" s="137">
        <f>IF(U9&gt;0,SUM($K9:U9),0)</f>
        <v>0</v>
      </c>
      <c r="V31" s="137">
        <f>IF(V9&gt;0,SUM($K9:V9),0)</f>
        <v>0</v>
      </c>
      <c r="W31" s="137">
        <f>IF(W9&gt;0,SUM($K9:W9),0)</f>
        <v>0</v>
      </c>
      <c r="X31" s="137">
        <f>IF(X9&gt;0,SUM($K9:X9),0)</f>
        <v>0</v>
      </c>
      <c r="Y31" s="137">
        <f>IF(Y9&gt;0,SUM($K9:Y9),0)</f>
        <v>0</v>
      </c>
      <c r="Z31" s="137">
        <f>IF(Z9&gt;0,SUM($K9:Z9),0)</f>
        <v>0</v>
      </c>
      <c r="AA31" s="137">
        <f>IF(AA9&gt;0,SUM($K9:AA9),0)</f>
        <v>0</v>
      </c>
      <c r="AB31" s="137">
        <f>IF(AB9&gt;0,SUM($K9:AB9),0)</f>
        <v>0</v>
      </c>
      <c r="AC31" s="137">
        <f>IF(AC9&gt;0,SUM($K9:AC9),0)</f>
        <v>0</v>
      </c>
      <c r="AD31" s="137">
        <f>IF(AD9&gt;0,SUM($K9:AD9),0)</f>
        <v>0</v>
      </c>
      <c r="AE31" s="137">
        <f>IF(AE9&gt;0,SUM($K9:AE9),0)</f>
        <v>0</v>
      </c>
      <c r="AF31" s="137">
        <f>IF(AF9&gt;0,SUM($K9:AF9),0)</f>
        <v>0</v>
      </c>
      <c r="AG31" s="137">
        <f>IF(AG9&gt;0,SUM($K9:AG9),0)</f>
        <v>0</v>
      </c>
      <c r="AH31" s="137">
        <f>IF(AH9&gt;0,SUM($K9:AH9),0)</f>
        <v>0</v>
      </c>
      <c r="AI31" s="137">
        <f>IF(AI9&gt;0,SUM($K9:AI9),0)</f>
        <v>0</v>
      </c>
      <c r="AJ31" s="137">
        <f>IF(AJ9&gt;0,SUM($K9:AJ9),0)</f>
        <v>0</v>
      </c>
      <c r="AK31" s="137">
        <f>IF(AK9&gt;0,SUM($K9:AK9),0)</f>
        <v>0</v>
      </c>
      <c r="AL31" s="137">
        <f>IF(AL9&gt;0,SUM($K9:AL9),0)</f>
        <v>0</v>
      </c>
      <c r="AM31" s="137">
        <f>IF(AM9&gt;0,SUM($K9:AM9),0)</f>
        <v>0</v>
      </c>
      <c r="AN31" s="137">
        <f>IF(AN9&gt;0,SUM($K9:AN9),0)</f>
        <v>0</v>
      </c>
      <c r="AO31" s="137">
        <f>IF(AO9&gt;0,SUM($K9:AO9),0)</f>
        <v>0</v>
      </c>
      <c r="AP31" s="137">
        <f>IF(AP9&gt;0,SUM($K9:AP9),0)</f>
        <v>0</v>
      </c>
      <c r="AQ31" s="137">
        <f>IF(AQ9&gt;0,SUM($K9:AQ9),0)</f>
        <v>0</v>
      </c>
      <c r="AR31" s="137">
        <f>IF(AR9&gt;0,SUM($K9:AR9),0)</f>
        <v>0</v>
      </c>
      <c r="AS31" s="137">
        <f>IF(AS9&gt;0,SUM($K9:AS9),0)</f>
        <v>0</v>
      </c>
      <c r="AT31" s="137">
        <f>IF(AT9&gt;0,SUM($K9:AT9),0)</f>
        <v>0</v>
      </c>
      <c r="AU31" s="137">
        <f>IF(AU9&gt;0,SUM($K9:AU9),0)</f>
        <v>0</v>
      </c>
      <c r="AV31" s="137">
        <f>IF(AV9&gt;0,SUM($K9:AV9),0)</f>
        <v>0</v>
      </c>
      <c r="AW31" s="137">
        <f>IF(AW9&gt;0,SUM($K9:AW9),0)</f>
        <v>0</v>
      </c>
      <c r="AX31" s="137">
        <f>IF(AX9&gt;0,SUM($K9:AX9),0)</f>
        <v>0</v>
      </c>
      <c r="AY31" s="137">
        <f>IF(AY9&gt;0,SUM($K9:AY9),0)</f>
        <v>0</v>
      </c>
      <c r="AZ31" s="137">
        <f>IF(AZ9&gt;0,SUM($K9:AZ9),0)</f>
        <v>0</v>
      </c>
      <c r="BA31" s="137">
        <f>IF(BA9&gt;0,SUM($K9:BA9),0)</f>
        <v>0</v>
      </c>
      <c r="BB31" s="137">
        <f>IF(BB9&gt;0,SUM($K9:BB9),0)</f>
        <v>0</v>
      </c>
      <c r="BC31" s="137">
        <f>IF(BC9&gt;0,SUM($K9:BC9),0)</f>
        <v>0</v>
      </c>
      <c r="BD31" s="137">
        <f>IF(BD9&gt;0,SUM($K9:BD9),0)</f>
        <v>0</v>
      </c>
      <c r="BE31" s="137">
        <f>IF(BE9&gt;0,SUM($K9:BE9),0)</f>
        <v>0</v>
      </c>
      <c r="BF31" s="137">
        <f>IF(BF9&gt;0,SUM($K9:BF9),0)</f>
        <v>0</v>
      </c>
      <c r="BG31" s="137">
        <f>IF(BG9&gt;0,SUM($K9:BG9),0)</f>
        <v>0</v>
      </c>
      <c r="BH31" s="137">
        <f>IF(BH9&gt;0,SUM($K9:BH9),0)</f>
        <v>0</v>
      </c>
      <c r="BI31" s="137">
        <f>IF(BI9&gt;0,SUM($K9:BI9),0)</f>
        <v>0</v>
      </c>
      <c r="BJ31" s="137">
        <f>IF(BJ9&gt;0,SUM($K9:BJ9),0)</f>
        <v>0</v>
      </c>
      <c r="BK31" s="137">
        <f>IF(BK9&gt;0,SUM($K9:BK9),0)</f>
        <v>0</v>
      </c>
      <c r="BL31" s="137">
        <f>IF(BL9&gt;0,SUM($K9:BL9),0)</f>
        <v>0</v>
      </c>
      <c r="BM31" s="137">
        <f>IF(BM9&gt;0,SUM($K9:BM9),0)</f>
        <v>0</v>
      </c>
      <c r="BN31" s="137">
        <f>IF(BN9&gt;0,SUM($K9:BN9),0)</f>
        <v>0</v>
      </c>
      <c r="BO31" s="137">
        <f>IF(BO9&gt;0,SUM($K9:BO9),0)</f>
        <v>0</v>
      </c>
      <c r="BP31" s="137">
        <f>IF(BP9&gt;0,SUM($K9:BP9),0)</f>
        <v>0</v>
      </c>
      <c r="BQ31" s="137">
        <f>IF(BQ9&gt;0,SUM($K9:BQ9),0)</f>
        <v>0</v>
      </c>
      <c r="BR31" s="137">
        <f>IF(BR9&gt;0,SUM($K9:BR9),0)</f>
        <v>0</v>
      </c>
    </row>
    <row r="32" spans="8:70" ht="11.85" hidden="1" customHeight="1" outlineLevel="1">
      <c r="H32" s="139">
        <f t="shared" si="60"/>
        <v>10</v>
      </c>
      <c r="I32" s="139">
        <f>IFERROR(VLOOKUP(CONCATENATE(I84,".",H32),'Curva S'!$A$2:$B$301,2,0),0)</f>
        <v>250</v>
      </c>
      <c r="J32" s="65"/>
      <c r="K32" s="137">
        <f>IF(K10&gt;0,SUM($K10:K10),0)</f>
        <v>1</v>
      </c>
      <c r="L32" s="137">
        <f>IF(L10&gt;0,SUM($K10:L10),0)</f>
        <v>2</v>
      </c>
      <c r="M32" s="137">
        <f>IF(M10&gt;0,SUM($K10:M10),0)</f>
        <v>3</v>
      </c>
      <c r="N32" s="137">
        <f>IF(N10&gt;0,SUM($K10:N10),0)</f>
        <v>4</v>
      </c>
      <c r="O32" s="137">
        <f>IF(O10&gt;0,SUM($K10:O10),0)</f>
        <v>5</v>
      </c>
      <c r="P32" s="137">
        <f>IF(P10&gt;0,SUM($K10:P10),0)</f>
        <v>6</v>
      </c>
      <c r="Q32" s="137">
        <f>IF(Q10&gt;0,SUM($K10:Q10),0)</f>
        <v>7</v>
      </c>
      <c r="R32" s="137">
        <f>IF(R10&gt;0,SUM($K10:R10),0)</f>
        <v>8</v>
      </c>
      <c r="S32" s="137">
        <f>IF(S10&gt;0,SUM($K10:S10),0)</f>
        <v>9</v>
      </c>
      <c r="T32" s="137">
        <f>IF(T10&gt;0,SUM($K10:T10),0)</f>
        <v>10</v>
      </c>
      <c r="U32" s="137">
        <f>IF(U10&gt;0,SUM($K10:U10),0)</f>
        <v>0</v>
      </c>
      <c r="V32" s="137">
        <f>IF(V10&gt;0,SUM($K10:V10),0)</f>
        <v>0</v>
      </c>
      <c r="W32" s="137">
        <f>IF(W10&gt;0,SUM($K10:W10),0)</f>
        <v>0</v>
      </c>
      <c r="X32" s="137">
        <f>IF(X10&gt;0,SUM($K10:X10),0)</f>
        <v>0</v>
      </c>
      <c r="Y32" s="137">
        <f>IF(Y10&gt;0,SUM($K10:Y10),0)</f>
        <v>0</v>
      </c>
      <c r="Z32" s="137">
        <f>IF(Z10&gt;0,SUM($K10:Z10),0)</f>
        <v>0</v>
      </c>
      <c r="AA32" s="137">
        <f>IF(AA10&gt;0,SUM($K10:AA10),0)</f>
        <v>0</v>
      </c>
      <c r="AB32" s="137">
        <f>IF(AB10&gt;0,SUM($K10:AB10),0)</f>
        <v>0</v>
      </c>
      <c r="AC32" s="137">
        <f>IF(AC10&gt;0,SUM($K10:AC10),0)</f>
        <v>0</v>
      </c>
      <c r="AD32" s="137">
        <f>IF(AD10&gt;0,SUM($K10:AD10),0)</f>
        <v>0</v>
      </c>
      <c r="AE32" s="137">
        <f>IF(AE10&gt;0,SUM($K10:AE10),0)</f>
        <v>0</v>
      </c>
      <c r="AF32" s="137">
        <f>IF(AF10&gt;0,SUM($K10:AF10),0)</f>
        <v>0</v>
      </c>
      <c r="AG32" s="137">
        <f>IF(AG10&gt;0,SUM($K10:AG10),0)</f>
        <v>0</v>
      </c>
      <c r="AH32" s="137">
        <f>IF(AH10&gt;0,SUM($K10:AH10),0)</f>
        <v>0</v>
      </c>
      <c r="AI32" s="137">
        <f>IF(AI10&gt;0,SUM($K10:AI10),0)</f>
        <v>0</v>
      </c>
      <c r="AJ32" s="137">
        <f>IF(AJ10&gt;0,SUM($K10:AJ10),0)</f>
        <v>0</v>
      </c>
      <c r="AK32" s="137">
        <f>IF(AK10&gt;0,SUM($K10:AK10),0)</f>
        <v>0</v>
      </c>
      <c r="AL32" s="137">
        <f>IF(AL10&gt;0,SUM($K10:AL10),0)</f>
        <v>0</v>
      </c>
      <c r="AM32" s="137">
        <f>IF(AM10&gt;0,SUM($K10:AM10),0)</f>
        <v>0</v>
      </c>
      <c r="AN32" s="137">
        <f>IF(AN10&gt;0,SUM($K10:AN10),0)</f>
        <v>0</v>
      </c>
      <c r="AO32" s="137">
        <f>IF(AO10&gt;0,SUM($K10:AO10),0)</f>
        <v>0</v>
      </c>
      <c r="AP32" s="137">
        <f>IF(AP10&gt;0,SUM($K10:AP10),0)</f>
        <v>0</v>
      </c>
      <c r="AQ32" s="137">
        <f>IF(AQ10&gt;0,SUM($K10:AQ10),0)</f>
        <v>0</v>
      </c>
      <c r="AR32" s="137">
        <f>IF(AR10&gt;0,SUM($K10:AR10),0)</f>
        <v>0</v>
      </c>
      <c r="AS32" s="137">
        <f>IF(AS10&gt;0,SUM($K10:AS10),0)</f>
        <v>0</v>
      </c>
      <c r="AT32" s="137">
        <f>IF(AT10&gt;0,SUM($K10:AT10),0)</f>
        <v>0</v>
      </c>
      <c r="AU32" s="137">
        <f>IF(AU10&gt;0,SUM($K10:AU10),0)</f>
        <v>0</v>
      </c>
      <c r="AV32" s="137">
        <f>IF(AV10&gt;0,SUM($K10:AV10),0)</f>
        <v>0</v>
      </c>
      <c r="AW32" s="137">
        <f>IF(AW10&gt;0,SUM($K10:AW10),0)</f>
        <v>0</v>
      </c>
      <c r="AX32" s="137">
        <f>IF(AX10&gt;0,SUM($K10:AX10),0)</f>
        <v>0</v>
      </c>
      <c r="AY32" s="137">
        <f>IF(AY10&gt;0,SUM($K10:AY10),0)</f>
        <v>0</v>
      </c>
      <c r="AZ32" s="137">
        <f>IF(AZ10&gt;0,SUM($K10:AZ10),0)</f>
        <v>0</v>
      </c>
      <c r="BA32" s="137">
        <f>IF(BA10&gt;0,SUM($K10:BA10),0)</f>
        <v>0</v>
      </c>
      <c r="BB32" s="137">
        <f>IF(BB10&gt;0,SUM($K10:BB10),0)</f>
        <v>0</v>
      </c>
      <c r="BC32" s="137">
        <f>IF(BC10&gt;0,SUM($K10:BC10),0)</f>
        <v>0</v>
      </c>
      <c r="BD32" s="137">
        <f>IF(BD10&gt;0,SUM($K10:BD10),0)</f>
        <v>0</v>
      </c>
      <c r="BE32" s="137">
        <f>IF(BE10&gt;0,SUM($K10:BE10),0)</f>
        <v>0</v>
      </c>
      <c r="BF32" s="137">
        <f>IF(BF10&gt;0,SUM($K10:BF10),0)</f>
        <v>0</v>
      </c>
      <c r="BG32" s="137">
        <f>IF(BG10&gt;0,SUM($K10:BG10),0)</f>
        <v>0</v>
      </c>
      <c r="BH32" s="137">
        <f>IF(BH10&gt;0,SUM($K10:BH10),0)</f>
        <v>0</v>
      </c>
      <c r="BI32" s="137">
        <f>IF(BI10&gt;0,SUM($K10:BI10),0)</f>
        <v>0</v>
      </c>
      <c r="BJ32" s="137">
        <f>IF(BJ10&gt;0,SUM($K10:BJ10),0)</f>
        <v>0</v>
      </c>
      <c r="BK32" s="137">
        <f>IF(BK10&gt;0,SUM($K10:BK10),0)</f>
        <v>0</v>
      </c>
      <c r="BL32" s="137">
        <f>IF(BL10&gt;0,SUM($K10:BL10),0)</f>
        <v>0</v>
      </c>
      <c r="BM32" s="137">
        <f>IF(BM10&gt;0,SUM($K10:BM10),0)</f>
        <v>0</v>
      </c>
      <c r="BN32" s="137">
        <f>IF(BN10&gt;0,SUM($K10:BN10),0)</f>
        <v>0</v>
      </c>
      <c r="BO32" s="137">
        <f>IF(BO10&gt;0,SUM($K10:BO10),0)</f>
        <v>0</v>
      </c>
      <c r="BP32" s="137">
        <f>IF(BP10&gt;0,SUM($K10:BP10),0)</f>
        <v>0</v>
      </c>
      <c r="BQ32" s="137">
        <f>IF(BQ10&gt;0,SUM($K10:BQ10),0)</f>
        <v>0</v>
      </c>
      <c r="BR32" s="137">
        <f>IF(BR10&gt;0,SUM($K10:BR10),0)</f>
        <v>0</v>
      </c>
    </row>
    <row r="33" spans="4:70" ht="11.85" hidden="1" customHeight="1" outlineLevel="1">
      <c r="D33" s="65"/>
      <c r="E33" s="65"/>
      <c r="F33" s="65"/>
      <c r="G33" s="65"/>
      <c r="H33" s="139">
        <f t="shared" si="60"/>
        <v>10</v>
      </c>
      <c r="I33" s="139">
        <f>IFERROR(VLOOKUP(CONCATENATE(I85,".",H33),'Curva S'!$A$2:$B$301,2,0),0)</f>
        <v>250</v>
      </c>
      <c r="J33" s="65"/>
      <c r="K33" s="137">
        <f>IF(K11&gt;0,SUM($K11:K11),0)</f>
        <v>1</v>
      </c>
      <c r="L33" s="137">
        <f>IF(L11&gt;0,SUM($K11:L11),0)</f>
        <v>2</v>
      </c>
      <c r="M33" s="137">
        <f>IF(M11&gt;0,SUM($K11:M11),0)</f>
        <v>3</v>
      </c>
      <c r="N33" s="137">
        <f>IF(N11&gt;0,SUM($K11:N11),0)</f>
        <v>4</v>
      </c>
      <c r="O33" s="137">
        <f>IF(O11&gt;0,SUM($K11:O11),0)</f>
        <v>5</v>
      </c>
      <c r="P33" s="137">
        <f>IF(P11&gt;0,SUM($K11:P11),0)</f>
        <v>6</v>
      </c>
      <c r="Q33" s="137">
        <f>IF(Q11&gt;0,SUM($K11:Q11),0)</f>
        <v>7</v>
      </c>
      <c r="R33" s="137">
        <f>IF(R11&gt;0,SUM($K11:R11),0)</f>
        <v>8</v>
      </c>
      <c r="S33" s="137">
        <f>IF(S11&gt;0,SUM($K11:S11),0)</f>
        <v>9</v>
      </c>
      <c r="T33" s="137">
        <f>IF(T11&gt;0,SUM($K11:T11),0)</f>
        <v>10</v>
      </c>
      <c r="U33" s="137">
        <f>IF(U11&gt;0,SUM($K11:U11),0)</f>
        <v>0</v>
      </c>
      <c r="V33" s="137">
        <f>IF(V11&gt;0,SUM($K11:V11),0)</f>
        <v>0</v>
      </c>
      <c r="W33" s="137">
        <f>IF(W11&gt;0,SUM($K11:W11),0)</f>
        <v>0</v>
      </c>
      <c r="X33" s="137">
        <f>IF(X11&gt;0,SUM($K11:X11),0)</f>
        <v>0</v>
      </c>
      <c r="Y33" s="137">
        <f>IF(Y11&gt;0,SUM($K11:Y11),0)</f>
        <v>0</v>
      </c>
      <c r="Z33" s="137">
        <f>IF(Z11&gt;0,SUM($K11:Z11),0)</f>
        <v>0</v>
      </c>
      <c r="AA33" s="137">
        <f>IF(AA11&gt;0,SUM($K11:AA11),0)</f>
        <v>0</v>
      </c>
      <c r="AB33" s="137">
        <f>IF(AB11&gt;0,SUM($K11:AB11),0)</f>
        <v>0</v>
      </c>
      <c r="AC33" s="137">
        <f>IF(AC11&gt;0,SUM($K11:AC11),0)</f>
        <v>0</v>
      </c>
      <c r="AD33" s="137">
        <f>IF(AD11&gt;0,SUM($K11:AD11),0)</f>
        <v>0</v>
      </c>
      <c r="AE33" s="137">
        <f>IF(AE11&gt;0,SUM($K11:AE11),0)</f>
        <v>0</v>
      </c>
      <c r="AF33" s="137">
        <f>IF(AF11&gt;0,SUM($K11:AF11),0)</f>
        <v>0</v>
      </c>
      <c r="AG33" s="137">
        <f>IF(AG11&gt;0,SUM($K11:AG11),0)</f>
        <v>0</v>
      </c>
      <c r="AH33" s="137">
        <f>IF(AH11&gt;0,SUM($K11:AH11),0)</f>
        <v>0</v>
      </c>
      <c r="AI33" s="137">
        <f>IF(AI11&gt;0,SUM($K11:AI11),0)</f>
        <v>0</v>
      </c>
      <c r="AJ33" s="137">
        <f>IF(AJ11&gt;0,SUM($K11:AJ11),0)</f>
        <v>0</v>
      </c>
      <c r="AK33" s="137">
        <f>IF(AK11&gt;0,SUM($K11:AK11),0)</f>
        <v>0</v>
      </c>
      <c r="AL33" s="137">
        <f>IF(AL11&gt;0,SUM($K11:AL11),0)</f>
        <v>0</v>
      </c>
      <c r="AM33" s="137">
        <f>IF(AM11&gt;0,SUM($K11:AM11),0)</f>
        <v>0</v>
      </c>
      <c r="AN33" s="137">
        <f>IF(AN11&gt;0,SUM($K11:AN11),0)</f>
        <v>0</v>
      </c>
      <c r="AO33" s="137">
        <f>IF(AO11&gt;0,SUM($K11:AO11),0)</f>
        <v>0</v>
      </c>
      <c r="AP33" s="137">
        <f>IF(AP11&gt;0,SUM($K11:AP11),0)</f>
        <v>0</v>
      </c>
      <c r="AQ33" s="137">
        <f>IF(AQ11&gt;0,SUM($K11:AQ11),0)</f>
        <v>0</v>
      </c>
      <c r="AR33" s="137">
        <f>IF(AR11&gt;0,SUM($K11:AR11),0)</f>
        <v>0</v>
      </c>
      <c r="AS33" s="137">
        <f>IF(AS11&gt;0,SUM($K11:AS11),0)</f>
        <v>0</v>
      </c>
      <c r="AT33" s="137">
        <f>IF(AT11&gt;0,SUM($K11:AT11),0)</f>
        <v>0</v>
      </c>
      <c r="AU33" s="137">
        <f>IF(AU11&gt;0,SUM($K11:AU11),0)</f>
        <v>0</v>
      </c>
      <c r="AV33" s="137">
        <f>IF(AV11&gt;0,SUM($K11:AV11),0)</f>
        <v>0</v>
      </c>
      <c r="AW33" s="137">
        <f>IF(AW11&gt;0,SUM($K11:AW11),0)</f>
        <v>0</v>
      </c>
      <c r="AX33" s="137">
        <f>IF(AX11&gt;0,SUM($K11:AX11),0)</f>
        <v>0</v>
      </c>
      <c r="AY33" s="137">
        <f>IF(AY11&gt;0,SUM($K11:AY11),0)</f>
        <v>0</v>
      </c>
      <c r="AZ33" s="137">
        <f>IF(AZ11&gt;0,SUM($K11:AZ11),0)</f>
        <v>0</v>
      </c>
      <c r="BA33" s="137">
        <f>IF(BA11&gt;0,SUM($K11:BA11),0)</f>
        <v>0</v>
      </c>
      <c r="BB33" s="137">
        <f>IF(BB11&gt;0,SUM($K11:BB11),0)</f>
        <v>0</v>
      </c>
      <c r="BC33" s="137">
        <f>IF(BC11&gt;0,SUM($K11:BC11),0)</f>
        <v>0</v>
      </c>
      <c r="BD33" s="137">
        <f>IF(BD11&gt;0,SUM($K11:BD11),0)</f>
        <v>0</v>
      </c>
      <c r="BE33" s="137">
        <f>IF(BE11&gt;0,SUM($K11:BE11),0)</f>
        <v>0</v>
      </c>
      <c r="BF33" s="137">
        <f>IF(BF11&gt;0,SUM($K11:BF11),0)</f>
        <v>0</v>
      </c>
      <c r="BG33" s="137">
        <f>IF(BG11&gt;0,SUM($K11:BG11),0)</f>
        <v>0</v>
      </c>
      <c r="BH33" s="137">
        <f>IF(BH11&gt;0,SUM($K11:BH11),0)</f>
        <v>0</v>
      </c>
      <c r="BI33" s="137">
        <f>IF(BI11&gt;0,SUM($K11:BI11),0)</f>
        <v>0</v>
      </c>
      <c r="BJ33" s="137">
        <f>IF(BJ11&gt;0,SUM($K11:BJ11),0)</f>
        <v>0</v>
      </c>
      <c r="BK33" s="137">
        <f>IF(BK11&gt;0,SUM($K11:BK11),0)</f>
        <v>0</v>
      </c>
      <c r="BL33" s="137">
        <f>IF(BL11&gt;0,SUM($K11:BL11),0)</f>
        <v>0</v>
      </c>
      <c r="BM33" s="137">
        <f>IF(BM11&gt;0,SUM($K11:BM11),0)</f>
        <v>0</v>
      </c>
      <c r="BN33" s="137">
        <f>IF(BN11&gt;0,SUM($K11:BN11),0)</f>
        <v>0</v>
      </c>
      <c r="BO33" s="137">
        <f>IF(BO11&gt;0,SUM($K11:BO11),0)</f>
        <v>0</v>
      </c>
      <c r="BP33" s="137">
        <f>IF(BP11&gt;0,SUM($K11:BP11),0)</f>
        <v>0</v>
      </c>
      <c r="BQ33" s="137">
        <f>IF(BQ11&gt;0,SUM($K11:BQ11),0)</f>
        <v>0</v>
      </c>
      <c r="BR33" s="137">
        <f>IF(BR11&gt;0,SUM($K11:BR11),0)</f>
        <v>0</v>
      </c>
    </row>
    <row r="34" spans="4:70" ht="11.85" hidden="1" customHeight="1" outlineLevel="1">
      <c r="D34" s="65"/>
      <c r="E34" s="65"/>
      <c r="F34" s="65"/>
      <c r="G34" s="65"/>
      <c r="H34" s="139">
        <f t="shared" si="60"/>
        <v>10</v>
      </c>
      <c r="I34" s="139">
        <f>IFERROR(VLOOKUP(CONCATENATE(I86,".",H34),'Curva S'!$A$2:$B$301,2,0),0)</f>
        <v>250</v>
      </c>
      <c r="J34" s="65"/>
      <c r="K34" s="137">
        <f>IF(K12&gt;0,SUM($K12:K12),0)</f>
        <v>1</v>
      </c>
      <c r="L34" s="137">
        <f>IF(L12&gt;0,SUM($K12:L12),0)</f>
        <v>2</v>
      </c>
      <c r="M34" s="137">
        <f>IF(M12&gt;0,SUM($K12:M12),0)</f>
        <v>3</v>
      </c>
      <c r="N34" s="137">
        <f>IF(N12&gt;0,SUM($K12:N12),0)</f>
        <v>4</v>
      </c>
      <c r="O34" s="137">
        <f>IF(O12&gt;0,SUM($K12:O12),0)</f>
        <v>5</v>
      </c>
      <c r="P34" s="137">
        <f>IF(P12&gt;0,SUM($K12:P12),0)</f>
        <v>6</v>
      </c>
      <c r="Q34" s="137">
        <f>IF(Q12&gt;0,SUM($K12:Q12),0)</f>
        <v>7</v>
      </c>
      <c r="R34" s="137">
        <f>IF(R12&gt;0,SUM($K12:R12),0)</f>
        <v>8</v>
      </c>
      <c r="S34" s="137">
        <f>IF(S12&gt;0,SUM($K12:S12),0)</f>
        <v>9</v>
      </c>
      <c r="T34" s="137">
        <f>IF(T12&gt;0,SUM($K12:T12),0)</f>
        <v>10</v>
      </c>
      <c r="U34" s="137">
        <f>IF(U12&gt;0,SUM($K12:U12),0)</f>
        <v>0</v>
      </c>
      <c r="V34" s="137">
        <f>IF(V12&gt;0,SUM($K12:V12),0)</f>
        <v>0</v>
      </c>
      <c r="W34" s="137">
        <f>IF(W12&gt;0,SUM($K12:W12),0)</f>
        <v>0</v>
      </c>
      <c r="X34" s="137">
        <f>IF(X12&gt;0,SUM($K12:X12),0)</f>
        <v>0</v>
      </c>
      <c r="Y34" s="137">
        <f>IF(Y12&gt;0,SUM($K12:Y12),0)</f>
        <v>0</v>
      </c>
      <c r="Z34" s="137">
        <f>IF(Z12&gt;0,SUM($K12:Z12),0)</f>
        <v>0</v>
      </c>
      <c r="AA34" s="137">
        <f>IF(AA12&gt;0,SUM($K12:AA12),0)</f>
        <v>0</v>
      </c>
      <c r="AB34" s="137">
        <f>IF(AB12&gt;0,SUM($K12:AB12),0)</f>
        <v>0</v>
      </c>
      <c r="AC34" s="137">
        <f>IF(AC12&gt;0,SUM($K12:AC12),0)</f>
        <v>0</v>
      </c>
      <c r="AD34" s="137">
        <f>IF(AD12&gt;0,SUM($K12:AD12),0)</f>
        <v>0</v>
      </c>
      <c r="AE34" s="137">
        <f>IF(AE12&gt;0,SUM($K12:AE12),0)</f>
        <v>0</v>
      </c>
      <c r="AF34" s="137">
        <f>IF(AF12&gt;0,SUM($K12:AF12),0)</f>
        <v>0</v>
      </c>
      <c r="AG34" s="137">
        <f>IF(AG12&gt;0,SUM($K12:AG12),0)</f>
        <v>0</v>
      </c>
      <c r="AH34" s="137">
        <f>IF(AH12&gt;0,SUM($K12:AH12),0)</f>
        <v>0</v>
      </c>
      <c r="AI34" s="137">
        <f>IF(AI12&gt;0,SUM($K12:AI12),0)</f>
        <v>0</v>
      </c>
      <c r="AJ34" s="137">
        <f>IF(AJ12&gt;0,SUM($K12:AJ12),0)</f>
        <v>0</v>
      </c>
      <c r="AK34" s="137">
        <f>IF(AK12&gt;0,SUM($K12:AK12),0)</f>
        <v>0</v>
      </c>
      <c r="AL34" s="137">
        <f>IF(AL12&gt;0,SUM($K12:AL12),0)</f>
        <v>0</v>
      </c>
      <c r="AM34" s="137">
        <f>IF(AM12&gt;0,SUM($K12:AM12),0)</f>
        <v>0</v>
      </c>
      <c r="AN34" s="137">
        <f>IF(AN12&gt;0,SUM($K12:AN12),0)</f>
        <v>0</v>
      </c>
      <c r="AO34" s="137">
        <f>IF(AO12&gt;0,SUM($K12:AO12),0)</f>
        <v>0</v>
      </c>
      <c r="AP34" s="137">
        <f>IF(AP12&gt;0,SUM($K12:AP12),0)</f>
        <v>0</v>
      </c>
      <c r="AQ34" s="137">
        <f>IF(AQ12&gt;0,SUM($K12:AQ12),0)</f>
        <v>0</v>
      </c>
      <c r="AR34" s="137">
        <f>IF(AR12&gt;0,SUM($K12:AR12),0)</f>
        <v>0</v>
      </c>
      <c r="AS34" s="137">
        <f>IF(AS12&gt;0,SUM($K12:AS12),0)</f>
        <v>0</v>
      </c>
      <c r="AT34" s="137">
        <f>IF(AT12&gt;0,SUM($K12:AT12),0)</f>
        <v>0</v>
      </c>
      <c r="AU34" s="137">
        <f>IF(AU12&gt;0,SUM($K12:AU12),0)</f>
        <v>0</v>
      </c>
      <c r="AV34" s="137">
        <f>IF(AV12&gt;0,SUM($K12:AV12),0)</f>
        <v>0</v>
      </c>
      <c r="AW34" s="137">
        <f>IF(AW12&gt;0,SUM($K12:AW12),0)</f>
        <v>0</v>
      </c>
      <c r="AX34" s="137">
        <f>IF(AX12&gt;0,SUM($K12:AX12),0)</f>
        <v>0</v>
      </c>
      <c r="AY34" s="137">
        <f>IF(AY12&gt;0,SUM($K12:AY12),0)</f>
        <v>0</v>
      </c>
      <c r="AZ34" s="137">
        <f>IF(AZ12&gt;0,SUM($K12:AZ12),0)</f>
        <v>0</v>
      </c>
      <c r="BA34" s="137">
        <f>IF(BA12&gt;0,SUM($K12:BA12),0)</f>
        <v>0</v>
      </c>
      <c r="BB34" s="137">
        <f>IF(BB12&gt;0,SUM($K12:BB12),0)</f>
        <v>0</v>
      </c>
      <c r="BC34" s="137">
        <f>IF(BC12&gt;0,SUM($K12:BC12),0)</f>
        <v>0</v>
      </c>
      <c r="BD34" s="137">
        <f>IF(BD12&gt;0,SUM($K12:BD12),0)</f>
        <v>0</v>
      </c>
      <c r="BE34" s="137">
        <f>IF(BE12&gt;0,SUM($K12:BE12),0)</f>
        <v>0</v>
      </c>
      <c r="BF34" s="137">
        <f>IF(BF12&gt;0,SUM($K12:BF12),0)</f>
        <v>0</v>
      </c>
      <c r="BG34" s="137">
        <f>IF(BG12&gt;0,SUM($K12:BG12),0)</f>
        <v>0</v>
      </c>
      <c r="BH34" s="137">
        <f>IF(BH12&gt;0,SUM($K12:BH12),0)</f>
        <v>0</v>
      </c>
      <c r="BI34" s="137">
        <f>IF(BI12&gt;0,SUM($K12:BI12),0)</f>
        <v>0</v>
      </c>
      <c r="BJ34" s="137">
        <f>IF(BJ12&gt;0,SUM($K12:BJ12),0)</f>
        <v>0</v>
      </c>
      <c r="BK34" s="137">
        <f>IF(BK12&gt;0,SUM($K12:BK12),0)</f>
        <v>0</v>
      </c>
      <c r="BL34" s="137">
        <f>IF(BL12&gt;0,SUM($K12:BL12),0)</f>
        <v>0</v>
      </c>
      <c r="BM34" s="137">
        <f>IF(BM12&gt;0,SUM($K12:BM12),0)</f>
        <v>0</v>
      </c>
      <c r="BN34" s="137">
        <f>IF(BN12&gt;0,SUM($K12:BN12),0)</f>
        <v>0</v>
      </c>
      <c r="BO34" s="137">
        <f>IF(BO12&gt;0,SUM($K12:BO12),0)</f>
        <v>0</v>
      </c>
      <c r="BP34" s="137">
        <f>IF(BP12&gt;0,SUM($K12:BP12),0)</f>
        <v>0</v>
      </c>
      <c r="BQ34" s="137">
        <f>IF(BQ12&gt;0,SUM($K12:BQ12),0)</f>
        <v>0</v>
      </c>
      <c r="BR34" s="137">
        <f>IF(BR12&gt;0,SUM($K12:BR12),0)</f>
        <v>0</v>
      </c>
    </row>
    <row r="35" spans="4:70" ht="11.85" hidden="1" customHeight="1" outlineLevel="1">
      <c r="D35" s="65"/>
      <c r="E35" s="65"/>
      <c r="F35" s="65"/>
      <c r="G35" s="65"/>
      <c r="H35" s="139">
        <f t="shared" si="60"/>
        <v>10</v>
      </c>
      <c r="I35" s="139">
        <f>IFERROR(VLOOKUP(CONCATENATE(I87,".",H35),'Curva S'!$A$2:$B$301,2,0),0)</f>
        <v>250</v>
      </c>
      <c r="J35" s="65"/>
      <c r="K35" s="137">
        <f>IF(K13&gt;0,SUM($K13:K13),0)</f>
        <v>1</v>
      </c>
      <c r="L35" s="137">
        <f>IF(L13&gt;0,SUM($K13:L13),0)</f>
        <v>2</v>
      </c>
      <c r="M35" s="137">
        <f>IF(M13&gt;0,SUM($K13:M13),0)</f>
        <v>3</v>
      </c>
      <c r="N35" s="137">
        <f>IF(N13&gt;0,SUM($K13:N13),0)</f>
        <v>4</v>
      </c>
      <c r="O35" s="137">
        <f>IF(O13&gt;0,SUM($K13:O13),0)</f>
        <v>5</v>
      </c>
      <c r="P35" s="137">
        <f>IF(P13&gt;0,SUM($K13:P13),0)</f>
        <v>6</v>
      </c>
      <c r="Q35" s="137">
        <f>IF(Q13&gt;0,SUM($K13:Q13),0)</f>
        <v>7</v>
      </c>
      <c r="R35" s="137">
        <f>IF(R13&gt;0,SUM($K13:R13),0)</f>
        <v>8</v>
      </c>
      <c r="S35" s="137">
        <f>IF(S13&gt;0,SUM($K13:S13),0)</f>
        <v>9</v>
      </c>
      <c r="T35" s="137">
        <f>IF(T13&gt;0,SUM($K13:T13),0)</f>
        <v>10</v>
      </c>
      <c r="U35" s="137">
        <f>IF(U13&gt;0,SUM($K13:U13),0)</f>
        <v>0</v>
      </c>
      <c r="V35" s="137">
        <f>IF(V13&gt;0,SUM($K13:V13),0)</f>
        <v>0</v>
      </c>
      <c r="W35" s="137">
        <f>IF(W13&gt;0,SUM($K13:W13),0)</f>
        <v>0</v>
      </c>
      <c r="X35" s="137">
        <f>IF(X13&gt;0,SUM($K13:X13),0)</f>
        <v>0</v>
      </c>
      <c r="Y35" s="137">
        <f>IF(Y13&gt;0,SUM($K13:Y13),0)</f>
        <v>0</v>
      </c>
      <c r="Z35" s="137">
        <f>IF(Z13&gt;0,SUM($K13:Z13),0)</f>
        <v>0</v>
      </c>
      <c r="AA35" s="137">
        <f>IF(AA13&gt;0,SUM($K13:AA13),0)</f>
        <v>0</v>
      </c>
      <c r="AB35" s="137">
        <f>IF(AB13&gt;0,SUM($K13:AB13),0)</f>
        <v>0</v>
      </c>
      <c r="AC35" s="137">
        <f>IF(AC13&gt;0,SUM($K13:AC13),0)</f>
        <v>0</v>
      </c>
      <c r="AD35" s="137">
        <f>IF(AD13&gt;0,SUM($K13:AD13),0)</f>
        <v>0</v>
      </c>
      <c r="AE35" s="137">
        <f>IF(AE13&gt;0,SUM($K13:AE13),0)</f>
        <v>0</v>
      </c>
      <c r="AF35" s="137">
        <f>IF(AF13&gt;0,SUM($K13:AF13),0)</f>
        <v>0</v>
      </c>
      <c r="AG35" s="137">
        <f>IF(AG13&gt;0,SUM($K13:AG13),0)</f>
        <v>0</v>
      </c>
      <c r="AH35" s="137">
        <f>IF(AH13&gt;0,SUM($K13:AH13),0)</f>
        <v>0</v>
      </c>
      <c r="AI35" s="137">
        <f>IF(AI13&gt;0,SUM($K13:AI13),0)</f>
        <v>0</v>
      </c>
      <c r="AJ35" s="137">
        <f>IF(AJ13&gt;0,SUM($K13:AJ13),0)</f>
        <v>0</v>
      </c>
      <c r="AK35" s="137">
        <f>IF(AK13&gt;0,SUM($K13:AK13),0)</f>
        <v>0</v>
      </c>
      <c r="AL35" s="137">
        <f>IF(AL13&gt;0,SUM($K13:AL13),0)</f>
        <v>0</v>
      </c>
      <c r="AM35" s="137">
        <f>IF(AM13&gt;0,SUM($K13:AM13),0)</f>
        <v>0</v>
      </c>
      <c r="AN35" s="137">
        <f>IF(AN13&gt;0,SUM($K13:AN13),0)</f>
        <v>0</v>
      </c>
      <c r="AO35" s="137">
        <f>IF(AO13&gt;0,SUM($K13:AO13),0)</f>
        <v>0</v>
      </c>
      <c r="AP35" s="137">
        <f>IF(AP13&gt;0,SUM($K13:AP13),0)</f>
        <v>0</v>
      </c>
      <c r="AQ35" s="137">
        <f>IF(AQ13&gt;0,SUM($K13:AQ13),0)</f>
        <v>0</v>
      </c>
      <c r="AR35" s="137">
        <f>IF(AR13&gt;0,SUM($K13:AR13),0)</f>
        <v>0</v>
      </c>
      <c r="AS35" s="137">
        <f>IF(AS13&gt;0,SUM($K13:AS13),0)</f>
        <v>0</v>
      </c>
      <c r="AT35" s="137">
        <f>IF(AT13&gt;0,SUM($K13:AT13),0)</f>
        <v>0</v>
      </c>
      <c r="AU35" s="137">
        <f>IF(AU13&gt;0,SUM($K13:AU13),0)</f>
        <v>0</v>
      </c>
      <c r="AV35" s="137">
        <f>IF(AV13&gt;0,SUM($K13:AV13),0)</f>
        <v>0</v>
      </c>
      <c r="AW35" s="137">
        <f>IF(AW13&gt;0,SUM($K13:AW13),0)</f>
        <v>0</v>
      </c>
      <c r="AX35" s="137">
        <f>IF(AX13&gt;0,SUM($K13:AX13),0)</f>
        <v>0</v>
      </c>
      <c r="AY35" s="137">
        <f>IF(AY13&gt;0,SUM($K13:AY13),0)</f>
        <v>0</v>
      </c>
      <c r="AZ35" s="137">
        <f>IF(AZ13&gt;0,SUM($K13:AZ13),0)</f>
        <v>0</v>
      </c>
      <c r="BA35" s="137">
        <f>IF(BA13&gt;0,SUM($K13:BA13),0)</f>
        <v>0</v>
      </c>
      <c r="BB35" s="137">
        <f>IF(BB13&gt;0,SUM($K13:BB13),0)</f>
        <v>0</v>
      </c>
      <c r="BC35" s="137">
        <f>IF(BC13&gt;0,SUM($K13:BC13),0)</f>
        <v>0</v>
      </c>
      <c r="BD35" s="137">
        <f>IF(BD13&gt;0,SUM($K13:BD13),0)</f>
        <v>0</v>
      </c>
      <c r="BE35" s="137">
        <f>IF(BE13&gt;0,SUM($K13:BE13),0)</f>
        <v>0</v>
      </c>
      <c r="BF35" s="137">
        <f>IF(BF13&gt;0,SUM($K13:BF13),0)</f>
        <v>0</v>
      </c>
      <c r="BG35" s="137">
        <f>IF(BG13&gt;0,SUM($K13:BG13),0)</f>
        <v>0</v>
      </c>
      <c r="BH35" s="137">
        <f>IF(BH13&gt;0,SUM($K13:BH13),0)</f>
        <v>0</v>
      </c>
      <c r="BI35" s="137">
        <f>IF(BI13&gt;0,SUM($K13:BI13),0)</f>
        <v>0</v>
      </c>
      <c r="BJ35" s="137">
        <f>IF(BJ13&gt;0,SUM($K13:BJ13),0)</f>
        <v>0</v>
      </c>
      <c r="BK35" s="137">
        <f>IF(BK13&gt;0,SUM($K13:BK13),0)</f>
        <v>0</v>
      </c>
      <c r="BL35" s="137">
        <f>IF(BL13&gt;0,SUM($K13:BL13),0)</f>
        <v>0</v>
      </c>
      <c r="BM35" s="137">
        <f>IF(BM13&gt;0,SUM($K13:BM13),0)</f>
        <v>0</v>
      </c>
      <c r="BN35" s="137">
        <f>IF(BN13&gt;0,SUM($K13:BN13),0)</f>
        <v>0</v>
      </c>
      <c r="BO35" s="137">
        <f>IF(BO13&gt;0,SUM($K13:BO13),0)</f>
        <v>0</v>
      </c>
      <c r="BP35" s="137">
        <f>IF(BP13&gt;0,SUM($K13:BP13),0)</f>
        <v>0</v>
      </c>
      <c r="BQ35" s="137">
        <f>IF(BQ13&gt;0,SUM($K13:BQ13),0)</f>
        <v>0</v>
      </c>
      <c r="BR35" s="137">
        <f>IF(BR13&gt;0,SUM($K13:BR13),0)</f>
        <v>0</v>
      </c>
    </row>
    <row r="36" spans="4:70" ht="11.85" hidden="1" customHeight="1" outlineLevel="1">
      <c r="D36" s="65"/>
      <c r="E36" s="65"/>
      <c r="F36" s="65"/>
      <c r="G36" s="65"/>
      <c r="H36" s="139">
        <f t="shared" si="60"/>
        <v>10</v>
      </c>
      <c r="I36" s="139">
        <f>IFERROR(VLOOKUP(CONCATENATE(I88,".",H36),'Curva S'!$A$2:$B$301,2,0),0)</f>
        <v>250</v>
      </c>
      <c r="J36" s="65"/>
      <c r="K36" s="137">
        <f>IF(K14&gt;0,SUM($K14:K14),0)</f>
        <v>1</v>
      </c>
      <c r="L36" s="137">
        <f>IF(L14&gt;0,SUM($K14:L14),0)</f>
        <v>2</v>
      </c>
      <c r="M36" s="137">
        <f>IF(M14&gt;0,SUM($K14:M14),0)</f>
        <v>3</v>
      </c>
      <c r="N36" s="137">
        <f>IF(N14&gt;0,SUM($K14:N14),0)</f>
        <v>4</v>
      </c>
      <c r="O36" s="137">
        <f>IF(O14&gt;0,SUM($K14:O14),0)</f>
        <v>5</v>
      </c>
      <c r="P36" s="137">
        <f>IF(P14&gt;0,SUM($K14:P14),0)</f>
        <v>6</v>
      </c>
      <c r="Q36" s="137">
        <f>IF(Q14&gt;0,SUM($K14:Q14),0)</f>
        <v>7</v>
      </c>
      <c r="R36" s="137">
        <f>IF(R14&gt;0,SUM($K14:R14),0)</f>
        <v>8</v>
      </c>
      <c r="S36" s="137">
        <f>IF(S14&gt;0,SUM($K14:S14),0)</f>
        <v>9</v>
      </c>
      <c r="T36" s="137">
        <f>IF(T14&gt;0,SUM($K14:T14),0)</f>
        <v>10</v>
      </c>
      <c r="U36" s="137">
        <f>IF(U14&gt;0,SUM($K14:U14),0)</f>
        <v>0</v>
      </c>
      <c r="V36" s="137">
        <f>IF(V14&gt;0,SUM($K14:V14),0)</f>
        <v>0</v>
      </c>
      <c r="W36" s="137">
        <f>IF(W14&gt;0,SUM($K14:W14),0)</f>
        <v>0</v>
      </c>
      <c r="X36" s="137">
        <f>IF(X14&gt;0,SUM($K14:X14),0)</f>
        <v>0</v>
      </c>
      <c r="Y36" s="137">
        <f>IF(Y14&gt;0,SUM($K14:Y14),0)</f>
        <v>0</v>
      </c>
      <c r="Z36" s="137">
        <f>IF(Z14&gt;0,SUM($K14:Z14),0)</f>
        <v>0</v>
      </c>
      <c r="AA36" s="137">
        <f>IF(AA14&gt;0,SUM($K14:AA14),0)</f>
        <v>0</v>
      </c>
      <c r="AB36" s="137">
        <f>IF(AB14&gt;0,SUM($K14:AB14),0)</f>
        <v>0</v>
      </c>
      <c r="AC36" s="137">
        <f>IF(AC14&gt;0,SUM($K14:AC14),0)</f>
        <v>0</v>
      </c>
      <c r="AD36" s="137">
        <f>IF(AD14&gt;0,SUM($K14:AD14),0)</f>
        <v>0</v>
      </c>
      <c r="AE36" s="137">
        <f>IF(AE14&gt;0,SUM($K14:AE14),0)</f>
        <v>0</v>
      </c>
      <c r="AF36" s="137">
        <f>IF(AF14&gt;0,SUM($K14:AF14),0)</f>
        <v>0</v>
      </c>
      <c r="AG36" s="137">
        <f>IF(AG14&gt;0,SUM($K14:AG14),0)</f>
        <v>0</v>
      </c>
      <c r="AH36" s="137">
        <f>IF(AH14&gt;0,SUM($K14:AH14),0)</f>
        <v>0</v>
      </c>
      <c r="AI36" s="137">
        <f>IF(AI14&gt;0,SUM($K14:AI14),0)</f>
        <v>0</v>
      </c>
      <c r="AJ36" s="137">
        <f>IF(AJ14&gt;0,SUM($K14:AJ14),0)</f>
        <v>0</v>
      </c>
      <c r="AK36" s="137">
        <f>IF(AK14&gt;0,SUM($K14:AK14),0)</f>
        <v>0</v>
      </c>
      <c r="AL36" s="137">
        <f>IF(AL14&gt;0,SUM($K14:AL14),0)</f>
        <v>0</v>
      </c>
      <c r="AM36" s="137">
        <f>IF(AM14&gt;0,SUM($K14:AM14),0)</f>
        <v>0</v>
      </c>
      <c r="AN36" s="137">
        <f>IF(AN14&gt;0,SUM($K14:AN14),0)</f>
        <v>0</v>
      </c>
      <c r="AO36" s="137">
        <f>IF(AO14&gt;0,SUM($K14:AO14),0)</f>
        <v>0</v>
      </c>
      <c r="AP36" s="137">
        <f>IF(AP14&gt;0,SUM($K14:AP14),0)</f>
        <v>0</v>
      </c>
      <c r="AQ36" s="137">
        <f>IF(AQ14&gt;0,SUM($K14:AQ14),0)</f>
        <v>0</v>
      </c>
      <c r="AR36" s="137">
        <f>IF(AR14&gt;0,SUM($K14:AR14),0)</f>
        <v>0</v>
      </c>
      <c r="AS36" s="137">
        <f>IF(AS14&gt;0,SUM($K14:AS14),0)</f>
        <v>0</v>
      </c>
      <c r="AT36" s="137">
        <f>IF(AT14&gt;0,SUM($K14:AT14),0)</f>
        <v>0</v>
      </c>
      <c r="AU36" s="137">
        <f>IF(AU14&gt;0,SUM($K14:AU14),0)</f>
        <v>0</v>
      </c>
      <c r="AV36" s="137">
        <f>IF(AV14&gt;0,SUM($K14:AV14),0)</f>
        <v>0</v>
      </c>
      <c r="AW36" s="137">
        <f>IF(AW14&gt;0,SUM($K14:AW14),0)</f>
        <v>0</v>
      </c>
      <c r="AX36" s="137">
        <f>IF(AX14&gt;0,SUM($K14:AX14),0)</f>
        <v>0</v>
      </c>
      <c r="AY36" s="137">
        <f>IF(AY14&gt;0,SUM($K14:AY14),0)</f>
        <v>0</v>
      </c>
      <c r="AZ36" s="137">
        <f>IF(AZ14&gt;0,SUM($K14:AZ14),0)</f>
        <v>0</v>
      </c>
      <c r="BA36" s="137">
        <f>IF(BA14&gt;0,SUM($K14:BA14),0)</f>
        <v>0</v>
      </c>
      <c r="BB36" s="137">
        <f>IF(BB14&gt;0,SUM($K14:BB14),0)</f>
        <v>0</v>
      </c>
      <c r="BC36" s="137">
        <f>IF(BC14&gt;0,SUM($K14:BC14),0)</f>
        <v>0</v>
      </c>
      <c r="BD36" s="137">
        <f>IF(BD14&gt;0,SUM($K14:BD14),0)</f>
        <v>0</v>
      </c>
      <c r="BE36" s="137">
        <f>IF(BE14&gt;0,SUM($K14:BE14),0)</f>
        <v>0</v>
      </c>
      <c r="BF36" s="137">
        <f>IF(BF14&gt;0,SUM($K14:BF14),0)</f>
        <v>0</v>
      </c>
      <c r="BG36" s="137">
        <f>IF(BG14&gt;0,SUM($K14:BG14),0)</f>
        <v>0</v>
      </c>
      <c r="BH36" s="137">
        <f>IF(BH14&gt;0,SUM($K14:BH14),0)</f>
        <v>0</v>
      </c>
      <c r="BI36" s="137">
        <f>IF(BI14&gt;0,SUM($K14:BI14),0)</f>
        <v>0</v>
      </c>
      <c r="BJ36" s="137">
        <f>IF(BJ14&gt;0,SUM($K14:BJ14),0)</f>
        <v>0</v>
      </c>
      <c r="BK36" s="137">
        <f>IF(BK14&gt;0,SUM($K14:BK14),0)</f>
        <v>0</v>
      </c>
      <c r="BL36" s="137">
        <f>IF(BL14&gt;0,SUM($K14:BL14),0)</f>
        <v>0</v>
      </c>
      <c r="BM36" s="137">
        <f>IF(BM14&gt;0,SUM($K14:BM14),0)</f>
        <v>0</v>
      </c>
      <c r="BN36" s="137">
        <f>IF(BN14&gt;0,SUM($K14:BN14),0)</f>
        <v>0</v>
      </c>
      <c r="BO36" s="137">
        <f>IF(BO14&gt;0,SUM($K14:BO14),0)</f>
        <v>0</v>
      </c>
      <c r="BP36" s="137">
        <f>IF(BP14&gt;0,SUM($K14:BP14),0)</f>
        <v>0</v>
      </c>
      <c r="BQ36" s="137">
        <f>IF(BQ14&gt;0,SUM($K14:BQ14),0)</f>
        <v>0</v>
      </c>
      <c r="BR36" s="137">
        <f>IF(BR14&gt;0,SUM($K14:BR14),0)</f>
        <v>0</v>
      </c>
    </row>
    <row r="37" spans="4:70" ht="11.85" hidden="1" customHeight="1" outlineLevel="1">
      <c r="D37" s="65"/>
      <c r="E37" s="65"/>
      <c r="F37" s="65"/>
      <c r="G37" s="65"/>
      <c r="H37" s="139">
        <f t="shared" si="60"/>
        <v>10</v>
      </c>
      <c r="I37" s="139">
        <f>IFERROR(VLOOKUP(CONCATENATE(I89,".",H37),'Curva S'!$A$2:$B$301,2,0),0)</f>
        <v>250</v>
      </c>
      <c r="J37" s="65"/>
      <c r="K37" s="137">
        <f>IF(K15&gt;0,SUM($K15:K15),0)</f>
        <v>1</v>
      </c>
      <c r="L37" s="137">
        <f>IF(L15&gt;0,SUM($K15:L15),0)</f>
        <v>2</v>
      </c>
      <c r="M37" s="137">
        <f>IF(M15&gt;0,SUM($K15:M15),0)</f>
        <v>3</v>
      </c>
      <c r="N37" s="137">
        <f>IF(N15&gt;0,SUM($K15:N15),0)</f>
        <v>4</v>
      </c>
      <c r="O37" s="137">
        <f>IF(O15&gt;0,SUM($K15:O15),0)</f>
        <v>5</v>
      </c>
      <c r="P37" s="137">
        <f>IF(P15&gt;0,SUM($K15:P15),0)</f>
        <v>6</v>
      </c>
      <c r="Q37" s="137">
        <f>IF(Q15&gt;0,SUM($K15:Q15),0)</f>
        <v>7</v>
      </c>
      <c r="R37" s="137">
        <f>IF(R15&gt;0,SUM($K15:R15),0)</f>
        <v>8</v>
      </c>
      <c r="S37" s="137">
        <f>IF(S15&gt;0,SUM($K15:S15),0)</f>
        <v>9</v>
      </c>
      <c r="T37" s="137">
        <f>IF(T15&gt;0,SUM($K15:T15),0)</f>
        <v>10</v>
      </c>
      <c r="U37" s="137">
        <f>IF(U15&gt;0,SUM($K15:U15),0)</f>
        <v>0</v>
      </c>
      <c r="V37" s="137">
        <f>IF(V15&gt;0,SUM($K15:V15),0)</f>
        <v>0</v>
      </c>
      <c r="W37" s="137">
        <f>IF(W15&gt;0,SUM($K15:W15),0)</f>
        <v>0</v>
      </c>
      <c r="X37" s="137">
        <f>IF(X15&gt;0,SUM($K15:X15),0)</f>
        <v>0</v>
      </c>
      <c r="Y37" s="137">
        <f>IF(Y15&gt;0,SUM($K15:Y15),0)</f>
        <v>0</v>
      </c>
      <c r="Z37" s="137">
        <f>IF(Z15&gt;0,SUM($K15:Z15),0)</f>
        <v>0</v>
      </c>
      <c r="AA37" s="137">
        <f>IF(AA15&gt;0,SUM($K15:AA15),0)</f>
        <v>0</v>
      </c>
      <c r="AB37" s="137">
        <f>IF(AB15&gt;0,SUM($K15:AB15),0)</f>
        <v>0</v>
      </c>
      <c r="AC37" s="137">
        <f>IF(AC15&gt;0,SUM($K15:AC15),0)</f>
        <v>0</v>
      </c>
      <c r="AD37" s="137">
        <f>IF(AD15&gt;0,SUM($K15:AD15),0)</f>
        <v>0</v>
      </c>
      <c r="AE37" s="137">
        <f>IF(AE15&gt;0,SUM($K15:AE15),0)</f>
        <v>0</v>
      </c>
      <c r="AF37" s="137">
        <f>IF(AF15&gt;0,SUM($K15:AF15),0)</f>
        <v>0</v>
      </c>
      <c r="AG37" s="137">
        <f>IF(AG15&gt;0,SUM($K15:AG15),0)</f>
        <v>0</v>
      </c>
      <c r="AH37" s="137">
        <f>IF(AH15&gt;0,SUM($K15:AH15),0)</f>
        <v>0</v>
      </c>
      <c r="AI37" s="137">
        <f>IF(AI15&gt;0,SUM($K15:AI15),0)</f>
        <v>0</v>
      </c>
      <c r="AJ37" s="137">
        <f>IF(AJ15&gt;0,SUM($K15:AJ15),0)</f>
        <v>0</v>
      </c>
      <c r="AK37" s="137">
        <f>IF(AK15&gt;0,SUM($K15:AK15),0)</f>
        <v>0</v>
      </c>
      <c r="AL37" s="137">
        <f>IF(AL15&gt;0,SUM($K15:AL15),0)</f>
        <v>0</v>
      </c>
      <c r="AM37" s="137">
        <f>IF(AM15&gt;0,SUM($K15:AM15),0)</f>
        <v>0</v>
      </c>
      <c r="AN37" s="137">
        <f>IF(AN15&gt;0,SUM($K15:AN15),0)</f>
        <v>0</v>
      </c>
      <c r="AO37" s="137">
        <f>IF(AO15&gt;0,SUM($K15:AO15),0)</f>
        <v>0</v>
      </c>
      <c r="AP37" s="137">
        <f>IF(AP15&gt;0,SUM($K15:AP15),0)</f>
        <v>0</v>
      </c>
      <c r="AQ37" s="137">
        <f>IF(AQ15&gt;0,SUM($K15:AQ15),0)</f>
        <v>0</v>
      </c>
      <c r="AR37" s="137">
        <f>IF(AR15&gt;0,SUM($K15:AR15),0)</f>
        <v>0</v>
      </c>
      <c r="AS37" s="137">
        <f>IF(AS15&gt;0,SUM($K15:AS15),0)</f>
        <v>0</v>
      </c>
      <c r="AT37" s="137">
        <f>IF(AT15&gt;0,SUM($K15:AT15),0)</f>
        <v>0</v>
      </c>
      <c r="AU37" s="137">
        <f>IF(AU15&gt;0,SUM($K15:AU15),0)</f>
        <v>0</v>
      </c>
      <c r="AV37" s="137">
        <f>IF(AV15&gt;0,SUM($K15:AV15),0)</f>
        <v>0</v>
      </c>
      <c r="AW37" s="137">
        <f>IF(AW15&gt;0,SUM($K15:AW15),0)</f>
        <v>0</v>
      </c>
      <c r="AX37" s="137">
        <f>IF(AX15&gt;0,SUM($K15:AX15),0)</f>
        <v>0</v>
      </c>
      <c r="AY37" s="137">
        <f>IF(AY15&gt;0,SUM($K15:AY15),0)</f>
        <v>0</v>
      </c>
      <c r="AZ37" s="137">
        <f>IF(AZ15&gt;0,SUM($K15:AZ15),0)</f>
        <v>0</v>
      </c>
      <c r="BA37" s="137">
        <f>IF(BA15&gt;0,SUM($K15:BA15),0)</f>
        <v>0</v>
      </c>
      <c r="BB37" s="137">
        <f>IF(BB15&gt;0,SUM($K15:BB15),0)</f>
        <v>0</v>
      </c>
      <c r="BC37" s="137">
        <f>IF(BC15&gt;0,SUM($K15:BC15),0)</f>
        <v>0</v>
      </c>
      <c r="BD37" s="137">
        <f>IF(BD15&gt;0,SUM($K15:BD15),0)</f>
        <v>0</v>
      </c>
      <c r="BE37" s="137">
        <f>IF(BE15&gt;0,SUM($K15:BE15),0)</f>
        <v>0</v>
      </c>
      <c r="BF37" s="137">
        <f>IF(BF15&gt;0,SUM($K15:BF15),0)</f>
        <v>0</v>
      </c>
      <c r="BG37" s="137">
        <f>IF(BG15&gt;0,SUM($K15:BG15),0)</f>
        <v>0</v>
      </c>
      <c r="BH37" s="137">
        <f>IF(BH15&gt;0,SUM($K15:BH15),0)</f>
        <v>0</v>
      </c>
      <c r="BI37" s="137">
        <f>IF(BI15&gt;0,SUM($K15:BI15),0)</f>
        <v>0</v>
      </c>
      <c r="BJ37" s="137">
        <f>IF(BJ15&gt;0,SUM($K15:BJ15),0)</f>
        <v>0</v>
      </c>
      <c r="BK37" s="137">
        <f>IF(BK15&gt;0,SUM($K15:BK15),0)</f>
        <v>0</v>
      </c>
      <c r="BL37" s="137">
        <f>IF(BL15&gt;0,SUM($K15:BL15),0)</f>
        <v>0</v>
      </c>
      <c r="BM37" s="137">
        <f>IF(BM15&gt;0,SUM($K15:BM15),0)</f>
        <v>0</v>
      </c>
      <c r="BN37" s="137">
        <f>IF(BN15&gt;0,SUM($K15:BN15),0)</f>
        <v>0</v>
      </c>
      <c r="BO37" s="137">
        <f>IF(BO15&gt;0,SUM($K15:BO15),0)</f>
        <v>0</v>
      </c>
      <c r="BP37" s="137">
        <f>IF(BP15&gt;0,SUM($K15:BP15),0)</f>
        <v>0</v>
      </c>
      <c r="BQ37" s="137">
        <f>IF(BQ15&gt;0,SUM($K15:BQ15),0)</f>
        <v>0</v>
      </c>
      <c r="BR37" s="137">
        <f>IF(BR15&gt;0,SUM($K15:BR15),0)</f>
        <v>0</v>
      </c>
    </row>
    <row r="38" spans="4:70" ht="11.85" hidden="1" customHeight="1" outlineLevel="1">
      <c r="D38" s="65"/>
      <c r="E38" s="65"/>
      <c r="F38" s="65"/>
      <c r="G38" s="65"/>
      <c r="H38" s="139">
        <f t="shared" si="60"/>
        <v>10</v>
      </c>
      <c r="I38" s="139">
        <f>IFERROR(VLOOKUP(CONCATENATE(I90,".",H38),'Curva S'!$A$2:$B$301,2,0),0)</f>
        <v>250</v>
      </c>
      <c r="J38" s="65"/>
      <c r="K38" s="137">
        <f>IF(K16&gt;0,SUM($K16:K16),0)</f>
        <v>1</v>
      </c>
      <c r="L38" s="137">
        <f>IF(L16&gt;0,SUM($K16:L16),0)</f>
        <v>2</v>
      </c>
      <c r="M38" s="137">
        <f>IF(M16&gt;0,SUM($K16:M16),0)</f>
        <v>3</v>
      </c>
      <c r="N38" s="137">
        <f>IF(N16&gt;0,SUM($K16:N16),0)</f>
        <v>4</v>
      </c>
      <c r="O38" s="137">
        <f>IF(O16&gt;0,SUM($K16:O16),0)</f>
        <v>5</v>
      </c>
      <c r="P38" s="137">
        <f>IF(P16&gt;0,SUM($K16:P16),0)</f>
        <v>6</v>
      </c>
      <c r="Q38" s="137">
        <f>IF(Q16&gt;0,SUM($K16:Q16),0)</f>
        <v>7</v>
      </c>
      <c r="R38" s="137">
        <f>IF(R16&gt;0,SUM($K16:R16),0)</f>
        <v>8</v>
      </c>
      <c r="S38" s="137">
        <f>IF(S16&gt;0,SUM($K16:S16),0)</f>
        <v>9</v>
      </c>
      <c r="T38" s="137">
        <f>IF(T16&gt;0,SUM($K16:T16),0)</f>
        <v>10</v>
      </c>
      <c r="U38" s="137">
        <f>IF(U16&gt;0,SUM($K16:U16),0)</f>
        <v>0</v>
      </c>
      <c r="V38" s="137">
        <f>IF(V16&gt;0,SUM($K16:V16),0)</f>
        <v>0</v>
      </c>
      <c r="W38" s="137">
        <f>IF(W16&gt;0,SUM($K16:W16),0)</f>
        <v>0</v>
      </c>
      <c r="X38" s="137">
        <f>IF(X16&gt;0,SUM($K16:X16),0)</f>
        <v>0</v>
      </c>
      <c r="Y38" s="137">
        <f>IF(Y16&gt;0,SUM($K16:Y16),0)</f>
        <v>0</v>
      </c>
      <c r="Z38" s="137">
        <f>IF(Z16&gt;0,SUM($K16:Z16),0)</f>
        <v>0</v>
      </c>
      <c r="AA38" s="137">
        <f>IF(AA16&gt;0,SUM($K16:AA16),0)</f>
        <v>0</v>
      </c>
      <c r="AB38" s="137">
        <f>IF(AB16&gt;0,SUM($K16:AB16),0)</f>
        <v>0</v>
      </c>
      <c r="AC38" s="137">
        <f>IF(AC16&gt;0,SUM($K16:AC16),0)</f>
        <v>0</v>
      </c>
      <c r="AD38" s="137">
        <f>IF(AD16&gt;0,SUM($K16:AD16),0)</f>
        <v>0</v>
      </c>
      <c r="AE38" s="137">
        <f>IF(AE16&gt;0,SUM($K16:AE16),0)</f>
        <v>0</v>
      </c>
      <c r="AF38" s="137">
        <f>IF(AF16&gt;0,SUM($K16:AF16),0)</f>
        <v>0</v>
      </c>
      <c r="AG38" s="137">
        <f>IF(AG16&gt;0,SUM($K16:AG16),0)</f>
        <v>0</v>
      </c>
      <c r="AH38" s="137">
        <f>IF(AH16&gt;0,SUM($K16:AH16),0)</f>
        <v>0</v>
      </c>
      <c r="AI38" s="137">
        <f>IF(AI16&gt;0,SUM($K16:AI16),0)</f>
        <v>0</v>
      </c>
      <c r="AJ38" s="137">
        <f>IF(AJ16&gt;0,SUM($K16:AJ16),0)</f>
        <v>0</v>
      </c>
      <c r="AK38" s="137">
        <f>IF(AK16&gt;0,SUM($K16:AK16),0)</f>
        <v>0</v>
      </c>
      <c r="AL38" s="137">
        <f>IF(AL16&gt;0,SUM($K16:AL16),0)</f>
        <v>0</v>
      </c>
      <c r="AM38" s="137">
        <f>IF(AM16&gt;0,SUM($K16:AM16),0)</f>
        <v>0</v>
      </c>
      <c r="AN38" s="137">
        <f>IF(AN16&gt;0,SUM($K16:AN16),0)</f>
        <v>0</v>
      </c>
      <c r="AO38" s="137">
        <f>IF(AO16&gt;0,SUM($K16:AO16),0)</f>
        <v>0</v>
      </c>
      <c r="AP38" s="137">
        <f>IF(AP16&gt;0,SUM($K16:AP16),0)</f>
        <v>0</v>
      </c>
      <c r="AQ38" s="137">
        <f>IF(AQ16&gt;0,SUM($K16:AQ16),0)</f>
        <v>0</v>
      </c>
      <c r="AR38" s="137">
        <f>IF(AR16&gt;0,SUM($K16:AR16),0)</f>
        <v>0</v>
      </c>
      <c r="AS38" s="137">
        <f>IF(AS16&gt;0,SUM($K16:AS16),0)</f>
        <v>0</v>
      </c>
      <c r="AT38" s="137">
        <f>IF(AT16&gt;0,SUM($K16:AT16),0)</f>
        <v>0</v>
      </c>
      <c r="AU38" s="137">
        <f>IF(AU16&gt;0,SUM($K16:AU16),0)</f>
        <v>0</v>
      </c>
      <c r="AV38" s="137">
        <f>IF(AV16&gt;0,SUM($K16:AV16),0)</f>
        <v>0</v>
      </c>
      <c r="AW38" s="137">
        <f>IF(AW16&gt;0,SUM($K16:AW16),0)</f>
        <v>0</v>
      </c>
      <c r="AX38" s="137">
        <f>IF(AX16&gt;0,SUM($K16:AX16),0)</f>
        <v>0</v>
      </c>
      <c r="AY38" s="137">
        <f>IF(AY16&gt;0,SUM($K16:AY16),0)</f>
        <v>0</v>
      </c>
      <c r="AZ38" s="137">
        <f>IF(AZ16&gt;0,SUM($K16:AZ16),0)</f>
        <v>0</v>
      </c>
      <c r="BA38" s="137">
        <f>IF(BA16&gt;0,SUM($K16:BA16),0)</f>
        <v>0</v>
      </c>
      <c r="BB38" s="137">
        <f>IF(BB16&gt;0,SUM($K16:BB16),0)</f>
        <v>0</v>
      </c>
      <c r="BC38" s="137">
        <f>IF(BC16&gt;0,SUM($K16:BC16),0)</f>
        <v>0</v>
      </c>
      <c r="BD38" s="137">
        <f>IF(BD16&gt;0,SUM($K16:BD16),0)</f>
        <v>0</v>
      </c>
      <c r="BE38" s="137">
        <f>IF(BE16&gt;0,SUM($K16:BE16),0)</f>
        <v>0</v>
      </c>
      <c r="BF38" s="137">
        <f>IF(BF16&gt;0,SUM($K16:BF16),0)</f>
        <v>0</v>
      </c>
      <c r="BG38" s="137">
        <f>IF(BG16&gt;0,SUM($K16:BG16),0)</f>
        <v>0</v>
      </c>
      <c r="BH38" s="137">
        <f>IF(BH16&gt;0,SUM($K16:BH16),0)</f>
        <v>0</v>
      </c>
      <c r="BI38" s="137">
        <f>IF(BI16&gt;0,SUM($K16:BI16),0)</f>
        <v>0</v>
      </c>
      <c r="BJ38" s="137">
        <f>IF(BJ16&gt;0,SUM($K16:BJ16),0)</f>
        <v>0</v>
      </c>
      <c r="BK38" s="137">
        <f>IF(BK16&gt;0,SUM($K16:BK16),0)</f>
        <v>0</v>
      </c>
      <c r="BL38" s="137">
        <f>IF(BL16&gt;0,SUM($K16:BL16),0)</f>
        <v>0</v>
      </c>
      <c r="BM38" s="137">
        <f>IF(BM16&gt;0,SUM($K16:BM16),0)</f>
        <v>0</v>
      </c>
      <c r="BN38" s="137">
        <f>IF(BN16&gt;0,SUM($K16:BN16),0)</f>
        <v>0</v>
      </c>
      <c r="BO38" s="137">
        <f>IF(BO16&gt;0,SUM($K16:BO16),0)</f>
        <v>0</v>
      </c>
      <c r="BP38" s="137">
        <f>IF(BP16&gt;0,SUM($K16:BP16),0)</f>
        <v>0</v>
      </c>
      <c r="BQ38" s="137">
        <f>IF(BQ16&gt;0,SUM($K16:BQ16),0)</f>
        <v>0</v>
      </c>
      <c r="BR38" s="137">
        <f>IF(BR16&gt;0,SUM($K16:BR16),0)</f>
        <v>0</v>
      </c>
    </row>
    <row r="39" spans="4:70" ht="11.85" hidden="1" customHeight="1" outlineLevel="1">
      <c r="D39" s="65"/>
      <c r="E39" s="65"/>
      <c r="F39" s="65"/>
      <c r="G39" s="65"/>
      <c r="H39" s="139">
        <f t="shared" si="60"/>
        <v>10</v>
      </c>
      <c r="I39" s="139">
        <f>IFERROR(VLOOKUP(CONCATENATE(I91,".",H39),'Curva S'!$A$2:$B$301,2,0),0)</f>
        <v>250</v>
      </c>
      <c r="J39" s="65"/>
      <c r="K39" s="137">
        <f>IF(K17&gt;0,SUM($K17:K17),0)</f>
        <v>1</v>
      </c>
      <c r="L39" s="137">
        <f>IF(L17&gt;0,SUM($K17:L17),0)</f>
        <v>2</v>
      </c>
      <c r="M39" s="137">
        <f>IF(M17&gt;0,SUM($K17:M17),0)</f>
        <v>3</v>
      </c>
      <c r="N39" s="137">
        <f>IF(N17&gt;0,SUM($K17:N17),0)</f>
        <v>4</v>
      </c>
      <c r="O39" s="137">
        <f>IF(O17&gt;0,SUM($K17:O17),0)</f>
        <v>5</v>
      </c>
      <c r="P39" s="137">
        <f>IF(P17&gt;0,SUM($K17:P17),0)</f>
        <v>6</v>
      </c>
      <c r="Q39" s="137">
        <f>IF(Q17&gt;0,SUM($K17:Q17),0)</f>
        <v>7</v>
      </c>
      <c r="R39" s="137">
        <f>IF(R17&gt;0,SUM($K17:R17),0)</f>
        <v>8</v>
      </c>
      <c r="S39" s="137">
        <f>IF(S17&gt;0,SUM($K17:S17),0)</f>
        <v>9</v>
      </c>
      <c r="T39" s="137">
        <f>IF(T17&gt;0,SUM($K17:T17),0)</f>
        <v>10</v>
      </c>
      <c r="U39" s="137">
        <f>IF(U17&gt;0,SUM($K17:U17),0)</f>
        <v>0</v>
      </c>
      <c r="V39" s="137">
        <f>IF(V17&gt;0,SUM($K17:V17),0)</f>
        <v>0</v>
      </c>
      <c r="W39" s="137">
        <f>IF(W17&gt;0,SUM($K17:W17),0)</f>
        <v>0</v>
      </c>
      <c r="X39" s="137">
        <f>IF(X17&gt;0,SUM($K17:X17),0)</f>
        <v>0</v>
      </c>
      <c r="Y39" s="137">
        <f>IF(Y17&gt;0,SUM($K17:Y17),0)</f>
        <v>0</v>
      </c>
      <c r="Z39" s="137">
        <f>IF(Z17&gt;0,SUM($K17:Z17),0)</f>
        <v>0</v>
      </c>
      <c r="AA39" s="137">
        <f>IF(AA17&gt;0,SUM($K17:AA17),0)</f>
        <v>0</v>
      </c>
      <c r="AB39" s="137">
        <f>IF(AB17&gt;0,SUM($K17:AB17),0)</f>
        <v>0</v>
      </c>
      <c r="AC39" s="137">
        <f>IF(AC17&gt;0,SUM($K17:AC17),0)</f>
        <v>0</v>
      </c>
      <c r="AD39" s="137">
        <f>IF(AD17&gt;0,SUM($K17:AD17),0)</f>
        <v>0</v>
      </c>
      <c r="AE39" s="137">
        <f>IF(AE17&gt;0,SUM($K17:AE17),0)</f>
        <v>0</v>
      </c>
      <c r="AF39" s="137">
        <f>IF(AF17&gt;0,SUM($K17:AF17),0)</f>
        <v>0</v>
      </c>
      <c r="AG39" s="137">
        <f>IF(AG17&gt;0,SUM($K17:AG17),0)</f>
        <v>0</v>
      </c>
      <c r="AH39" s="137">
        <f>IF(AH17&gt;0,SUM($K17:AH17),0)</f>
        <v>0</v>
      </c>
      <c r="AI39" s="137">
        <f>IF(AI17&gt;0,SUM($K17:AI17),0)</f>
        <v>0</v>
      </c>
      <c r="AJ39" s="137">
        <f>IF(AJ17&gt;0,SUM($K17:AJ17),0)</f>
        <v>0</v>
      </c>
      <c r="AK39" s="137">
        <f>IF(AK17&gt;0,SUM($K17:AK17),0)</f>
        <v>0</v>
      </c>
      <c r="AL39" s="137">
        <f>IF(AL17&gt;0,SUM($K17:AL17),0)</f>
        <v>0</v>
      </c>
      <c r="AM39" s="137">
        <f>IF(AM17&gt;0,SUM($K17:AM17),0)</f>
        <v>0</v>
      </c>
      <c r="AN39" s="137">
        <f>IF(AN17&gt;0,SUM($K17:AN17),0)</f>
        <v>0</v>
      </c>
      <c r="AO39" s="137">
        <f>IF(AO17&gt;0,SUM($K17:AO17),0)</f>
        <v>0</v>
      </c>
      <c r="AP39" s="137">
        <f>IF(AP17&gt;0,SUM($K17:AP17),0)</f>
        <v>0</v>
      </c>
      <c r="AQ39" s="137">
        <f>IF(AQ17&gt;0,SUM($K17:AQ17),0)</f>
        <v>0</v>
      </c>
      <c r="AR39" s="137">
        <f>IF(AR17&gt;0,SUM($K17:AR17),0)</f>
        <v>0</v>
      </c>
      <c r="AS39" s="137">
        <f>IF(AS17&gt;0,SUM($K17:AS17),0)</f>
        <v>0</v>
      </c>
      <c r="AT39" s="137">
        <f>IF(AT17&gt;0,SUM($K17:AT17),0)</f>
        <v>0</v>
      </c>
      <c r="AU39" s="137">
        <f>IF(AU17&gt;0,SUM($K17:AU17),0)</f>
        <v>0</v>
      </c>
      <c r="AV39" s="137">
        <f>IF(AV17&gt;0,SUM($K17:AV17),0)</f>
        <v>0</v>
      </c>
      <c r="AW39" s="137">
        <f>IF(AW17&gt;0,SUM($K17:AW17),0)</f>
        <v>0</v>
      </c>
      <c r="AX39" s="137">
        <f>IF(AX17&gt;0,SUM($K17:AX17),0)</f>
        <v>0</v>
      </c>
      <c r="AY39" s="137">
        <f>IF(AY17&gt;0,SUM($K17:AY17),0)</f>
        <v>0</v>
      </c>
      <c r="AZ39" s="137">
        <f>IF(AZ17&gt;0,SUM($K17:AZ17),0)</f>
        <v>0</v>
      </c>
      <c r="BA39" s="137">
        <f>IF(BA17&gt;0,SUM($K17:BA17),0)</f>
        <v>0</v>
      </c>
      <c r="BB39" s="137">
        <f>IF(BB17&gt;0,SUM($K17:BB17),0)</f>
        <v>0</v>
      </c>
      <c r="BC39" s="137">
        <f>IF(BC17&gt;0,SUM($K17:BC17),0)</f>
        <v>0</v>
      </c>
      <c r="BD39" s="137">
        <f>IF(BD17&gt;0,SUM($K17:BD17),0)</f>
        <v>0</v>
      </c>
      <c r="BE39" s="137">
        <f>IF(BE17&gt;0,SUM($K17:BE17),0)</f>
        <v>0</v>
      </c>
      <c r="BF39" s="137">
        <f>IF(BF17&gt;0,SUM($K17:BF17),0)</f>
        <v>0</v>
      </c>
      <c r="BG39" s="137">
        <f>IF(BG17&gt;0,SUM($K17:BG17),0)</f>
        <v>0</v>
      </c>
      <c r="BH39" s="137">
        <f>IF(BH17&gt;0,SUM($K17:BH17),0)</f>
        <v>0</v>
      </c>
      <c r="BI39" s="137">
        <f>IF(BI17&gt;0,SUM($K17:BI17),0)</f>
        <v>0</v>
      </c>
      <c r="BJ39" s="137">
        <f>IF(BJ17&gt;0,SUM($K17:BJ17),0)</f>
        <v>0</v>
      </c>
      <c r="BK39" s="137">
        <f>IF(BK17&gt;0,SUM($K17:BK17),0)</f>
        <v>0</v>
      </c>
      <c r="BL39" s="137">
        <f>IF(BL17&gt;0,SUM($K17:BL17),0)</f>
        <v>0</v>
      </c>
      <c r="BM39" s="137">
        <f>IF(BM17&gt;0,SUM($K17:BM17),0)</f>
        <v>0</v>
      </c>
      <c r="BN39" s="137">
        <f>IF(BN17&gt;0,SUM($K17:BN17),0)</f>
        <v>0</v>
      </c>
      <c r="BO39" s="137">
        <f>IF(BO17&gt;0,SUM($K17:BO17),0)</f>
        <v>0</v>
      </c>
      <c r="BP39" s="137">
        <f>IF(BP17&gt;0,SUM($K17:BP17),0)</f>
        <v>0</v>
      </c>
      <c r="BQ39" s="137">
        <f>IF(BQ17&gt;0,SUM($K17:BQ17),0)</f>
        <v>0</v>
      </c>
      <c r="BR39" s="137">
        <f>IF(BR17&gt;0,SUM($K17:BR17),0)</f>
        <v>0</v>
      </c>
    </row>
    <row r="40" spans="4:70" ht="11.85" hidden="1" customHeight="1" outlineLevel="1">
      <c r="D40" s="65"/>
      <c r="E40" s="65"/>
      <c r="F40" s="65"/>
      <c r="G40" s="65"/>
      <c r="H40" s="139">
        <f t="shared" si="60"/>
        <v>10</v>
      </c>
      <c r="I40" s="139">
        <f>IFERROR(VLOOKUP(CONCATENATE(I92,".",H40),'Curva S'!$A$2:$B$301,2,0),0)</f>
        <v>250</v>
      </c>
      <c r="J40" s="65"/>
      <c r="K40" s="137">
        <f>IF(K18&gt;0,SUM($K18:K18),0)</f>
        <v>1</v>
      </c>
      <c r="L40" s="137">
        <f>IF(L18&gt;0,SUM($K18:L18),0)</f>
        <v>2</v>
      </c>
      <c r="M40" s="137">
        <f>IF(M18&gt;0,SUM($K18:M18),0)</f>
        <v>3</v>
      </c>
      <c r="N40" s="137">
        <f>IF(N18&gt;0,SUM($K18:N18),0)</f>
        <v>4</v>
      </c>
      <c r="O40" s="137">
        <f>IF(O18&gt;0,SUM($K18:O18),0)</f>
        <v>5</v>
      </c>
      <c r="P40" s="137">
        <f>IF(P18&gt;0,SUM($K18:P18),0)</f>
        <v>6</v>
      </c>
      <c r="Q40" s="137">
        <f>IF(Q18&gt;0,SUM($K18:Q18),0)</f>
        <v>7</v>
      </c>
      <c r="R40" s="137">
        <f>IF(R18&gt;0,SUM($K18:R18),0)</f>
        <v>8</v>
      </c>
      <c r="S40" s="137">
        <f>IF(S18&gt;0,SUM($K18:S18),0)</f>
        <v>9</v>
      </c>
      <c r="T40" s="137">
        <f>IF(T18&gt;0,SUM($K18:T18),0)</f>
        <v>10</v>
      </c>
      <c r="U40" s="137">
        <f>IF(U18&gt;0,SUM($K18:U18),0)</f>
        <v>0</v>
      </c>
      <c r="V40" s="137">
        <f>IF(V18&gt;0,SUM($K18:V18),0)</f>
        <v>0</v>
      </c>
      <c r="W40" s="137">
        <f>IF(W18&gt;0,SUM($K18:W18),0)</f>
        <v>0</v>
      </c>
      <c r="X40" s="137">
        <f>IF(X18&gt;0,SUM($K18:X18),0)</f>
        <v>0</v>
      </c>
      <c r="Y40" s="137">
        <f>IF(Y18&gt;0,SUM($K18:Y18),0)</f>
        <v>0</v>
      </c>
      <c r="Z40" s="137">
        <f>IF(Z18&gt;0,SUM($K18:Z18),0)</f>
        <v>0</v>
      </c>
      <c r="AA40" s="137">
        <f>IF(AA18&gt;0,SUM($K18:AA18),0)</f>
        <v>0</v>
      </c>
      <c r="AB40" s="137">
        <f>IF(AB18&gt;0,SUM($K18:AB18),0)</f>
        <v>0</v>
      </c>
      <c r="AC40" s="137">
        <f>IF(AC18&gt;0,SUM($K18:AC18),0)</f>
        <v>0</v>
      </c>
      <c r="AD40" s="137">
        <f>IF(AD18&gt;0,SUM($K18:AD18),0)</f>
        <v>0</v>
      </c>
      <c r="AE40" s="137">
        <f>IF(AE18&gt;0,SUM($K18:AE18),0)</f>
        <v>0</v>
      </c>
      <c r="AF40" s="137">
        <f>IF(AF18&gt;0,SUM($K18:AF18),0)</f>
        <v>0</v>
      </c>
      <c r="AG40" s="137">
        <f>IF(AG18&gt;0,SUM($K18:AG18),0)</f>
        <v>0</v>
      </c>
      <c r="AH40" s="137">
        <f>IF(AH18&gt;0,SUM($K18:AH18),0)</f>
        <v>0</v>
      </c>
      <c r="AI40" s="137">
        <f>IF(AI18&gt;0,SUM($K18:AI18),0)</f>
        <v>0</v>
      </c>
      <c r="AJ40" s="137">
        <f>IF(AJ18&gt;0,SUM($K18:AJ18),0)</f>
        <v>0</v>
      </c>
      <c r="AK40" s="137">
        <f>IF(AK18&gt;0,SUM($K18:AK18),0)</f>
        <v>0</v>
      </c>
      <c r="AL40" s="137">
        <f>IF(AL18&gt;0,SUM($K18:AL18),0)</f>
        <v>0</v>
      </c>
      <c r="AM40" s="137">
        <f>IF(AM18&gt;0,SUM($K18:AM18),0)</f>
        <v>0</v>
      </c>
      <c r="AN40" s="137">
        <f>IF(AN18&gt;0,SUM($K18:AN18),0)</f>
        <v>0</v>
      </c>
      <c r="AO40" s="137">
        <f>IF(AO18&gt;0,SUM($K18:AO18),0)</f>
        <v>0</v>
      </c>
      <c r="AP40" s="137">
        <f>IF(AP18&gt;0,SUM($K18:AP18),0)</f>
        <v>0</v>
      </c>
      <c r="AQ40" s="137">
        <f>IF(AQ18&gt;0,SUM($K18:AQ18),0)</f>
        <v>0</v>
      </c>
      <c r="AR40" s="137">
        <f>IF(AR18&gt;0,SUM($K18:AR18),0)</f>
        <v>0</v>
      </c>
      <c r="AS40" s="137">
        <f>IF(AS18&gt;0,SUM($K18:AS18),0)</f>
        <v>0</v>
      </c>
      <c r="AT40" s="137">
        <f>IF(AT18&gt;0,SUM($K18:AT18),0)</f>
        <v>0</v>
      </c>
      <c r="AU40" s="137">
        <f>IF(AU18&gt;0,SUM($K18:AU18),0)</f>
        <v>0</v>
      </c>
      <c r="AV40" s="137">
        <f>IF(AV18&gt;0,SUM($K18:AV18),0)</f>
        <v>0</v>
      </c>
      <c r="AW40" s="137">
        <f>IF(AW18&gt;0,SUM($K18:AW18),0)</f>
        <v>0</v>
      </c>
      <c r="AX40" s="137">
        <f>IF(AX18&gt;0,SUM($K18:AX18),0)</f>
        <v>0</v>
      </c>
      <c r="AY40" s="137">
        <f>IF(AY18&gt;0,SUM($K18:AY18),0)</f>
        <v>0</v>
      </c>
      <c r="AZ40" s="137">
        <f>IF(AZ18&gt;0,SUM($K18:AZ18),0)</f>
        <v>0</v>
      </c>
      <c r="BA40" s="137">
        <f>IF(BA18&gt;0,SUM($K18:BA18),0)</f>
        <v>0</v>
      </c>
      <c r="BB40" s="137">
        <f>IF(BB18&gt;0,SUM($K18:BB18),0)</f>
        <v>0</v>
      </c>
      <c r="BC40" s="137">
        <f>IF(BC18&gt;0,SUM($K18:BC18),0)</f>
        <v>0</v>
      </c>
      <c r="BD40" s="137">
        <f>IF(BD18&gt;0,SUM($K18:BD18),0)</f>
        <v>0</v>
      </c>
      <c r="BE40" s="137">
        <f>IF(BE18&gt;0,SUM($K18:BE18),0)</f>
        <v>0</v>
      </c>
      <c r="BF40" s="137">
        <f>IF(BF18&gt;0,SUM($K18:BF18),0)</f>
        <v>0</v>
      </c>
      <c r="BG40" s="137">
        <f>IF(BG18&gt;0,SUM($K18:BG18),0)</f>
        <v>0</v>
      </c>
      <c r="BH40" s="137">
        <f>IF(BH18&gt;0,SUM($K18:BH18),0)</f>
        <v>0</v>
      </c>
      <c r="BI40" s="137">
        <f>IF(BI18&gt;0,SUM($K18:BI18),0)</f>
        <v>0</v>
      </c>
      <c r="BJ40" s="137">
        <f>IF(BJ18&gt;0,SUM($K18:BJ18),0)</f>
        <v>0</v>
      </c>
      <c r="BK40" s="137">
        <f>IF(BK18&gt;0,SUM($K18:BK18),0)</f>
        <v>0</v>
      </c>
      <c r="BL40" s="137">
        <f>IF(BL18&gt;0,SUM($K18:BL18),0)</f>
        <v>0</v>
      </c>
      <c r="BM40" s="137">
        <f>IF(BM18&gt;0,SUM($K18:BM18),0)</f>
        <v>0</v>
      </c>
      <c r="BN40" s="137">
        <f>IF(BN18&gt;0,SUM($K18:BN18),0)</f>
        <v>0</v>
      </c>
      <c r="BO40" s="137">
        <f>IF(BO18&gt;0,SUM($K18:BO18),0)</f>
        <v>0</v>
      </c>
      <c r="BP40" s="137">
        <f>IF(BP18&gt;0,SUM($K18:BP18),0)</f>
        <v>0</v>
      </c>
      <c r="BQ40" s="137">
        <f>IF(BQ18&gt;0,SUM($K18:BQ18),0)</f>
        <v>0</v>
      </c>
      <c r="BR40" s="137">
        <f>IF(BR18&gt;0,SUM($K18:BR18),0)</f>
        <v>0</v>
      </c>
    </row>
    <row r="41" spans="4:70" ht="11.85" hidden="1" customHeight="1" outlineLevel="1">
      <c r="D41" s="65"/>
      <c r="E41" s="65"/>
      <c r="F41" s="65"/>
      <c r="G41" s="65"/>
      <c r="H41" s="139">
        <f t="shared" si="60"/>
        <v>10</v>
      </c>
      <c r="I41" s="139">
        <f>IFERROR(VLOOKUP(CONCATENATE(I93,".",H41),'Curva S'!$A$2:$B$301,2,0),0)</f>
        <v>250</v>
      </c>
      <c r="J41" s="65"/>
      <c r="K41" s="137">
        <f>IF(K19&gt;0,SUM($K19:K19),0)</f>
        <v>1</v>
      </c>
      <c r="L41" s="137">
        <f>IF(L19&gt;0,SUM($K19:L19),0)</f>
        <v>2</v>
      </c>
      <c r="M41" s="137">
        <f>IF(M19&gt;0,SUM($K19:M19),0)</f>
        <v>3</v>
      </c>
      <c r="N41" s="137">
        <f>IF(N19&gt;0,SUM($K19:N19),0)</f>
        <v>4</v>
      </c>
      <c r="O41" s="137">
        <f>IF(O19&gt;0,SUM($K19:O19),0)</f>
        <v>5</v>
      </c>
      <c r="P41" s="137">
        <f>IF(P19&gt;0,SUM($K19:P19),0)</f>
        <v>6</v>
      </c>
      <c r="Q41" s="137">
        <f>IF(Q19&gt;0,SUM($K19:Q19),0)</f>
        <v>7</v>
      </c>
      <c r="R41" s="137">
        <f>IF(R19&gt;0,SUM($K19:R19),0)</f>
        <v>8</v>
      </c>
      <c r="S41" s="137">
        <f>IF(S19&gt;0,SUM($K19:S19),0)</f>
        <v>9</v>
      </c>
      <c r="T41" s="137">
        <f>IF(T19&gt;0,SUM($K19:T19),0)</f>
        <v>10</v>
      </c>
      <c r="U41" s="137">
        <f>IF(U19&gt;0,SUM($K19:U19),0)</f>
        <v>0</v>
      </c>
      <c r="V41" s="137">
        <f>IF(V19&gt;0,SUM($K19:V19),0)</f>
        <v>0</v>
      </c>
      <c r="W41" s="137">
        <f>IF(W19&gt;0,SUM($K19:W19),0)</f>
        <v>0</v>
      </c>
      <c r="X41" s="137">
        <f>IF(X19&gt;0,SUM($K19:X19),0)</f>
        <v>0</v>
      </c>
      <c r="Y41" s="137">
        <f>IF(Y19&gt;0,SUM($K19:Y19),0)</f>
        <v>0</v>
      </c>
      <c r="Z41" s="137">
        <f>IF(Z19&gt;0,SUM($K19:Z19),0)</f>
        <v>0</v>
      </c>
      <c r="AA41" s="137">
        <f>IF(AA19&gt;0,SUM($K19:AA19),0)</f>
        <v>0</v>
      </c>
      <c r="AB41" s="137">
        <f>IF(AB19&gt;0,SUM($K19:AB19),0)</f>
        <v>0</v>
      </c>
      <c r="AC41" s="137">
        <f>IF(AC19&gt;0,SUM($K19:AC19),0)</f>
        <v>0</v>
      </c>
      <c r="AD41" s="137">
        <f>IF(AD19&gt;0,SUM($K19:AD19),0)</f>
        <v>0</v>
      </c>
      <c r="AE41" s="137">
        <f>IF(AE19&gt;0,SUM($K19:AE19),0)</f>
        <v>0</v>
      </c>
      <c r="AF41" s="137">
        <f>IF(AF19&gt;0,SUM($K19:AF19),0)</f>
        <v>0</v>
      </c>
      <c r="AG41" s="137">
        <f>IF(AG19&gt;0,SUM($K19:AG19),0)</f>
        <v>0</v>
      </c>
      <c r="AH41" s="137">
        <f>IF(AH19&gt;0,SUM($K19:AH19),0)</f>
        <v>0</v>
      </c>
      <c r="AI41" s="137">
        <f>IF(AI19&gt;0,SUM($K19:AI19),0)</f>
        <v>0</v>
      </c>
      <c r="AJ41" s="137">
        <f>IF(AJ19&gt;0,SUM($K19:AJ19),0)</f>
        <v>0</v>
      </c>
      <c r="AK41" s="137">
        <f>IF(AK19&gt;0,SUM($K19:AK19),0)</f>
        <v>0</v>
      </c>
      <c r="AL41" s="137">
        <f>IF(AL19&gt;0,SUM($K19:AL19),0)</f>
        <v>0</v>
      </c>
      <c r="AM41" s="137">
        <f>IF(AM19&gt;0,SUM($K19:AM19),0)</f>
        <v>0</v>
      </c>
      <c r="AN41" s="137">
        <f>IF(AN19&gt;0,SUM($K19:AN19),0)</f>
        <v>0</v>
      </c>
      <c r="AO41" s="137">
        <f>IF(AO19&gt;0,SUM($K19:AO19),0)</f>
        <v>0</v>
      </c>
      <c r="AP41" s="137">
        <f>IF(AP19&gt;0,SUM($K19:AP19),0)</f>
        <v>0</v>
      </c>
      <c r="AQ41" s="137">
        <f>IF(AQ19&gt;0,SUM($K19:AQ19),0)</f>
        <v>0</v>
      </c>
      <c r="AR41" s="137">
        <f>IF(AR19&gt;0,SUM($K19:AR19),0)</f>
        <v>0</v>
      </c>
      <c r="AS41" s="137">
        <f>IF(AS19&gt;0,SUM($K19:AS19),0)</f>
        <v>0</v>
      </c>
      <c r="AT41" s="137">
        <f>IF(AT19&gt;0,SUM($K19:AT19),0)</f>
        <v>0</v>
      </c>
      <c r="AU41" s="137">
        <f>IF(AU19&gt;0,SUM($K19:AU19),0)</f>
        <v>0</v>
      </c>
      <c r="AV41" s="137">
        <f>IF(AV19&gt;0,SUM($K19:AV19),0)</f>
        <v>0</v>
      </c>
      <c r="AW41" s="137">
        <f>IF(AW19&gt;0,SUM($K19:AW19),0)</f>
        <v>0</v>
      </c>
      <c r="AX41" s="137">
        <f>IF(AX19&gt;0,SUM($K19:AX19),0)</f>
        <v>0</v>
      </c>
      <c r="AY41" s="137">
        <f>IF(AY19&gt;0,SUM($K19:AY19),0)</f>
        <v>0</v>
      </c>
      <c r="AZ41" s="137">
        <f>IF(AZ19&gt;0,SUM($K19:AZ19),0)</f>
        <v>0</v>
      </c>
      <c r="BA41" s="137">
        <f>IF(BA19&gt;0,SUM($K19:BA19),0)</f>
        <v>0</v>
      </c>
      <c r="BB41" s="137">
        <f>IF(BB19&gt;0,SUM($K19:BB19),0)</f>
        <v>0</v>
      </c>
      <c r="BC41" s="137">
        <f>IF(BC19&gt;0,SUM($K19:BC19),0)</f>
        <v>0</v>
      </c>
      <c r="BD41" s="137">
        <f>IF(BD19&gt;0,SUM($K19:BD19),0)</f>
        <v>0</v>
      </c>
      <c r="BE41" s="137">
        <f>IF(BE19&gt;0,SUM($K19:BE19),0)</f>
        <v>0</v>
      </c>
      <c r="BF41" s="137">
        <f>IF(BF19&gt;0,SUM($K19:BF19),0)</f>
        <v>0</v>
      </c>
      <c r="BG41" s="137">
        <f>IF(BG19&gt;0,SUM($K19:BG19),0)</f>
        <v>0</v>
      </c>
      <c r="BH41" s="137">
        <f>IF(BH19&gt;0,SUM($K19:BH19),0)</f>
        <v>0</v>
      </c>
      <c r="BI41" s="137">
        <f>IF(BI19&gt;0,SUM($K19:BI19),0)</f>
        <v>0</v>
      </c>
      <c r="BJ41" s="137">
        <f>IF(BJ19&gt;0,SUM($K19:BJ19),0)</f>
        <v>0</v>
      </c>
      <c r="BK41" s="137">
        <f>IF(BK19&gt;0,SUM($K19:BK19),0)</f>
        <v>0</v>
      </c>
      <c r="BL41" s="137">
        <f>IF(BL19&gt;0,SUM($K19:BL19),0)</f>
        <v>0</v>
      </c>
      <c r="BM41" s="137">
        <f>IF(BM19&gt;0,SUM($K19:BM19),0)</f>
        <v>0</v>
      </c>
      <c r="BN41" s="137">
        <f>IF(BN19&gt;0,SUM($K19:BN19),0)</f>
        <v>0</v>
      </c>
      <c r="BO41" s="137">
        <f>IF(BO19&gt;0,SUM($K19:BO19),0)</f>
        <v>0</v>
      </c>
      <c r="BP41" s="137">
        <f>IF(BP19&gt;0,SUM($K19:BP19),0)</f>
        <v>0</v>
      </c>
      <c r="BQ41" s="137">
        <f>IF(BQ19&gt;0,SUM($K19:BQ19),0)</f>
        <v>0</v>
      </c>
      <c r="BR41" s="137">
        <f>IF(BR19&gt;0,SUM($K19:BR19),0)</f>
        <v>0</v>
      </c>
    </row>
    <row r="42" spans="4:70" ht="11.85" hidden="1" customHeight="1" outlineLevel="1">
      <c r="D42" s="65"/>
      <c r="E42" s="65"/>
      <c r="F42" s="65"/>
      <c r="G42" s="65"/>
      <c r="H42" s="139">
        <f t="shared" si="60"/>
        <v>10</v>
      </c>
      <c r="I42" s="139">
        <f>IFERROR(VLOOKUP(CONCATENATE(I94,".",H42),'Curva S'!$A$2:$B$301,2,0),0)</f>
        <v>250</v>
      </c>
      <c r="J42" s="65"/>
      <c r="K42" s="137">
        <f>IF(K20&gt;0,SUM($K20:K20),0)</f>
        <v>1</v>
      </c>
      <c r="L42" s="137">
        <f>IF(L20&gt;0,SUM($K20:L20),0)</f>
        <v>2</v>
      </c>
      <c r="M42" s="137">
        <f>IF(M20&gt;0,SUM($K20:M20),0)</f>
        <v>3</v>
      </c>
      <c r="N42" s="137">
        <f>IF(N20&gt;0,SUM($K20:N20),0)</f>
        <v>4</v>
      </c>
      <c r="O42" s="137">
        <f>IF(O20&gt;0,SUM($K20:O20),0)</f>
        <v>5</v>
      </c>
      <c r="P42" s="137">
        <f>IF(P20&gt;0,SUM($K20:P20),0)</f>
        <v>6</v>
      </c>
      <c r="Q42" s="137">
        <f>IF(Q20&gt;0,SUM($K20:Q20),0)</f>
        <v>7</v>
      </c>
      <c r="R42" s="137">
        <f>IF(R20&gt;0,SUM($K20:R20),0)</f>
        <v>8</v>
      </c>
      <c r="S42" s="137">
        <f>IF(S20&gt;0,SUM($K20:S20),0)</f>
        <v>9</v>
      </c>
      <c r="T42" s="137">
        <f>IF(T20&gt;0,SUM($K20:T20),0)</f>
        <v>10</v>
      </c>
      <c r="U42" s="137">
        <f>IF(U20&gt;0,SUM($K20:U20),0)</f>
        <v>0</v>
      </c>
      <c r="V42" s="137">
        <f>IF(V20&gt;0,SUM($K20:V20),0)</f>
        <v>0</v>
      </c>
      <c r="W42" s="137">
        <f>IF(W20&gt;0,SUM($K20:W20),0)</f>
        <v>0</v>
      </c>
      <c r="X42" s="137">
        <f>IF(X20&gt;0,SUM($K20:X20),0)</f>
        <v>0</v>
      </c>
      <c r="Y42" s="137">
        <f>IF(Y20&gt;0,SUM($K20:Y20),0)</f>
        <v>0</v>
      </c>
      <c r="Z42" s="137">
        <f>IF(Z20&gt;0,SUM($K20:Z20),0)</f>
        <v>0</v>
      </c>
      <c r="AA42" s="137">
        <f>IF(AA20&gt;0,SUM($K20:AA20),0)</f>
        <v>0</v>
      </c>
      <c r="AB42" s="137">
        <f>IF(AB20&gt;0,SUM($K20:AB20),0)</f>
        <v>0</v>
      </c>
      <c r="AC42" s="137">
        <f>IF(AC20&gt;0,SUM($K20:AC20),0)</f>
        <v>0</v>
      </c>
      <c r="AD42" s="137">
        <f>IF(AD20&gt;0,SUM($K20:AD20),0)</f>
        <v>0</v>
      </c>
      <c r="AE42" s="137">
        <f>IF(AE20&gt;0,SUM($K20:AE20),0)</f>
        <v>0</v>
      </c>
      <c r="AF42" s="137">
        <f>IF(AF20&gt;0,SUM($K20:AF20),0)</f>
        <v>0</v>
      </c>
      <c r="AG42" s="137">
        <f>IF(AG20&gt;0,SUM($K20:AG20),0)</f>
        <v>0</v>
      </c>
      <c r="AH42" s="137">
        <f>IF(AH20&gt;0,SUM($K20:AH20),0)</f>
        <v>0</v>
      </c>
      <c r="AI42" s="137">
        <f>IF(AI20&gt;0,SUM($K20:AI20),0)</f>
        <v>0</v>
      </c>
      <c r="AJ42" s="137">
        <f>IF(AJ20&gt;0,SUM($K20:AJ20),0)</f>
        <v>0</v>
      </c>
      <c r="AK42" s="137">
        <f>IF(AK20&gt;0,SUM($K20:AK20),0)</f>
        <v>0</v>
      </c>
      <c r="AL42" s="137">
        <f>IF(AL20&gt;0,SUM($K20:AL20),0)</f>
        <v>0</v>
      </c>
      <c r="AM42" s="137">
        <f>IF(AM20&gt;0,SUM($K20:AM20),0)</f>
        <v>0</v>
      </c>
      <c r="AN42" s="137">
        <f>IF(AN20&gt;0,SUM($K20:AN20),0)</f>
        <v>0</v>
      </c>
      <c r="AO42" s="137">
        <f>IF(AO20&gt;0,SUM($K20:AO20),0)</f>
        <v>0</v>
      </c>
      <c r="AP42" s="137">
        <f>IF(AP20&gt;0,SUM($K20:AP20),0)</f>
        <v>0</v>
      </c>
      <c r="AQ42" s="137">
        <f>IF(AQ20&gt;0,SUM($K20:AQ20),0)</f>
        <v>0</v>
      </c>
      <c r="AR42" s="137">
        <f>IF(AR20&gt;0,SUM($K20:AR20),0)</f>
        <v>0</v>
      </c>
      <c r="AS42" s="137">
        <f>IF(AS20&gt;0,SUM($K20:AS20),0)</f>
        <v>0</v>
      </c>
      <c r="AT42" s="137">
        <f>IF(AT20&gt;0,SUM($K20:AT20),0)</f>
        <v>0</v>
      </c>
      <c r="AU42" s="137">
        <f>IF(AU20&gt;0,SUM($K20:AU20),0)</f>
        <v>0</v>
      </c>
      <c r="AV42" s="137">
        <f>IF(AV20&gt;0,SUM($K20:AV20),0)</f>
        <v>0</v>
      </c>
      <c r="AW42" s="137">
        <f>IF(AW20&gt;0,SUM($K20:AW20),0)</f>
        <v>0</v>
      </c>
      <c r="AX42" s="137">
        <f>IF(AX20&gt;0,SUM($K20:AX20),0)</f>
        <v>0</v>
      </c>
      <c r="AY42" s="137">
        <f>IF(AY20&gt;0,SUM($K20:AY20),0)</f>
        <v>0</v>
      </c>
      <c r="AZ42" s="137">
        <f>IF(AZ20&gt;0,SUM($K20:AZ20),0)</f>
        <v>0</v>
      </c>
      <c r="BA42" s="137">
        <f>IF(BA20&gt;0,SUM($K20:BA20),0)</f>
        <v>0</v>
      </c>
      <c r="BB42" s="137">
        <f>IF(BB20&gt;0,SUM($K20:BB20),0)</f>
        <v>0</v>
      </c>
      <c r="BC42" s="137">
        <f>IF(BC20&gt;0,SUM($K20:BC20),0)</f>
        <v>0</v>
      </c>
      <c r="BD42" s="137">
        <f>IF(BD20&gt;0,SUM($K20:BD20),0)</f>
        <v>0</v>
      </c>
      <c r="BE42" s="137">
        <f>IF(BE20&gt;0,SUM($K20:BE20),0)</f>
        <v>0</v>
      </c>
      <c r="BF42" s="137">
        <f>IF(BF20&gt;0,SUM($K20:BF20),0)</f>
        <v>0</v>
      </c>
      <c r="BG42" s="137">
        <f>IF(BG20&gt;0,SUM($K20:BG20),0)</f>
        <v>0</v>
      </c>
      <c r="BH42" s="137">
        <f>IF(BH20&gt;0,SUM($K20:BH20),0)</f>
        <v>0</v>
      </c>
      <c r="BI42" s="137">
        <f>IF(BI20&gt;0,SUM($K20:BI20),0)</f>
        <v>0</v>
      </c>
      <c r="BJ42" s="137">
        <f>IF(BJ20&gt;0,SUM($K20:BJ20),0)</f>
        <v>0</v>
      </c>
      <c r="BK42" s="137">
        <f>IF(BK20&gt;0,SUM($K20:BK20),0)</f>
        <v>0</v>
      </c>
      <c r="BL42" s="137">
        <f>IF(BL20&gt;0,SUM($K20:BL20),0)</f>
        <v>0</v>
      </c>
      <c r="BM42" s="137">
        <f>IF(BM20&gt;0,SUM($K20:BM20),0)</f>
        <v>0</v>
      </c>
      <c r="BN42" s="137">
        <f>IF(BN20&gt;0,SUM($K20:BN20),0)</f>
        <v>0</v>
      </c>
      <c r="BO42" s="137">
        <f>IF(BO20&gt;0,SUM($K20:BO20),0)</f>
        <v>0</v>
      </c>
      <c r="BP42" s="137">
        <f>IF(BP20&gt;0,SUM($K20:BP20),0)</f>
        <v>0</v>
      </c>
      <c r="BQ42" s="137">
        <f>IF(BQ20&gt;0,SUM($K20:BQ20),0)</f>
        <v>0</v>
      </c>
      <c r="BR42" s="137">
        <f>IF(BR20&gt;0,SUM($K20:BR20),0)</f>
        <v>0</v>
      </c>
    </row>
    <row r="43" spans="4:70" ht="11.85" hidden="1" customHeight="1" outlineLevel="1">
      <c r="D43" s="65"/>
      <c r="E43" s="65"/>
      <c r="F43" s="65"/>
      <c r="G43" s="65"/>
      <c r="H43" s="139">
        <f t="shared" si="60"/>
        <v>10</v>
      </c>
      <c r="I43" s="139">
        <f>IFERROR(VLOOKUP(CONCATENATE(I95,".",H43),'Curva S'!$A$2:$B$301,2,0),0)</f>
        <v>250</v>
      </c>
      <c r="J43" s="65"/>
      <c r="K43" s="137">
        <f>IF(K21&gt;0,SUM($K21:K21),0)</f>
        <v>1</v>
      </c>
      <c r="L43" s="137">
        <f>IF(L21&gt;0,SUM($K21:L21),0)</f>
        <v>2</v>
      </c>
      <c r="M43" s="137">
        <f>IF(M21&gt;0,SUM($K21:M21),0)</f>
        <v>3</v>
      </c>
      <c r="N43" s="137">
        <f>IF(N21&gt;0,SUM($K21:N21),0)</f>
        <v>4</v>
      </c>
      <c r="O43" s="137">
        <f>IF(O21&gt;0,SUM($K21:O21),0)</f>
        <v>5</v>
      </c>
      <c r="P43" s="137">
        <f>IF(P21&gt;0,SUM($K21:P21),0)</f>
        <v>6</v>
      </c>
      <c r="Q43" s="137">
        <f>IF(Q21&gt;0,SUM($K21:Q21),0)</f>
        <v>7</v>
      </c>
      <c r="R43" s="137">
        <f>IF(R21&gt;0,SUM($K21:R21),0)</f>
        <v>8</v>
      </c>
      <c r="S43" s="137">
        <f>IF(S21&gt;0,SUM($K21:S21),0)</f>
        <v>9</v>
      </c>
      <c r="T43" s="137">
        <f>IF(T21&gt;0,SUM($K21:T21),0)</f>
        <v>10</v>
      </c>
      <c r="U43" s="137">
        <f>IF(U21&gt;0,SUM($K21:U21),0)</f>
        <v>0</v>
      </c>
      <c r="V43" s="137">
        <f>IF(V21&gt;0,SUM($K21:V21),0)</f>
        <v>0</v>
      </c>
      <c r="W43" s="137">
        <f>IF(W21&gt;0,SUM($K21:W21),0)</f>
        <v>0</v>
      </c>
      <c r="X43" s="137">
        <f>IF(X21&gt;0,SUM($K21:X21),0)</f>
        <v>0</v>
      </c>
      <c r="Y43" s="137">
        <f>IF(Y21&gt;0,SUM($K21:Y21),0)</f>
        <v>0</v>
      </c>
      <c r="Z43" s="137">
        <f>IF(Z21&gt;0,SUM($K21:Z21),0)</f>
        <v>0</v>
      </c>
      <c r="AA43" s="137">
        <f>IF(AA21&gt;0,SUM($K21:AA21),0)</f>
        <v>0</v>
      </c>
      <c r="AB43" s="137">
        <f>IF(AB21&gt;0,SUM($K21:AB21),0)</f>
        <v>0</v>
      </c>
      <c r="AC43" s="137">
        <f>IF(AC21&gt;0,SUM($K21:AC21),0)</f>
        <v>0</v>
      </c>
      <c r="AD43" s="137">
        <f>IF(AD21&gt;0,SUM($K21:AD21),0)</f>
        <v>0</v>
      </c>
      <c r="AE43" s="137">
        <f>IF(AE21&gt;0,SUM($K21:AE21),0)</f>
        <v>0</v>
      </c>
      <c r="AF43" s="137">
        <f>IF(AF21&gt;0,SUM($K21:AF21),0)</f>
        <v>0</v>
      </c>
      <c r="AG43" s="137">
        <f>IF(AG21&gt;0,SUM($K21:AG21),0)</f>
        <v>0</v>
      </c>
      <c r="AH43" s="137">
        <f>IF(AH21&gt;0,SUM($K21:AH21),0)</f>
        <v>0</v>
      </c>
      <c r="AI43" s="137">
        <f>IF(AI21&gt;0,SUM($K21:AI21),0)</f>
        <v>0</v>
      </c>
      <c r="AJ43" s="137">
        <f>IF(AJ21&gt;0,SUM($K21:AJ21),0)</f>
        <v>0</v>
      </c>
      <c r="AK43" s="137">
        <f>IF(AK21&gt;0,SUM($K21:AK21),0)</f>
        <v>0</v>
      </c>
      <c r="AL43" s="137">
        <f>IF(AL21&gt;0,SUM($K21:AL21),0)</f>
        <v>0</v>
      </c>
      <c r="AM43" s="137">
        <f>IF(AM21&gt;0,SUM($K21:AM21),0)</f>
        <v>0</v>
      </c>
      <c r="AN43" s="137">
        <f>IF(AN21&gt;0,SUM($K21:AN21),0)</f>
        <v>0</v>
      </c>
      <c r="AO43" s="137">
        <f>IF(AO21&gt;0,SUM($K21:AO21),0)</f>
        <v>0</v>
      </c>
      <c r="AP43" s="137">
        <f>IF(AP21&gt;0,SUM($K21:AP21),0)</f>
        <v>0</v>
      </c>
      <c r="AQ43" s="137">
        <f>IF(AQ21&gt;0,SUM($K21:AQ21),0)</f>
        <v>0</v>
      </c>
      <c r="AR43" s="137">
        <f>IF(AR21&gt;0,SUM($K21:AR21),0)</f>
        <v>0</v>
      </c>
      <c r="AS43" s="137">
        <f>IF(AS21&gt;0,SUM($K21:AS21),0)</f>
        <v>0</v>
      </c>
      <c r="AT43" s="137">
        <f>IF(AT21&gt;0,SUM($K21:AT21),0)</f>
        <v>0</v>
      </c>
      <c r="AU43" s="137">
        <f>IF(AU21&gt;0,SUM($K21:AU21),0)</f>
        <v>0</v>
      </c>
      <c r="AV43" s="137">
        <f>IF(AV21&gt;0,SUM($K21:AV21),0)</f>
        <v>0</v>
      </c>
      <c r="AW43" s="137">
        <f>IF(AW21&gt;0,SUM($K21:AW21),0)</f>
        <v>0</v>
      </c>
      <c r="AX43" s="137">
        <f>IF(AX21&gt;0,SUM($K21:AX21),0)</f>
        <v>0</v>
      </c>
      <c r="AY43" s="137">
        <f>IF(AY21&gt;0,SUM($K21:AY21),0)</f>
        <v>0</v>
      </c>
      <c r="AZ43" s="137">
        <f>IF(AZ21&gt;0,SUM($K21:AZ21),0)</f>
        <v>0</v>
      </c>
      <c r="BA43" s="137">
        <f>IF(BA21&gt;0,SUM($K21:BA21),0)</f>
        <v>0</v>
      </c>
      <c r="BB43" s="137">
        <f>IF(BB21&gt;0,SUM($K21:BB21),0)</f>
        <v>0</v>
      </c>
      <c r="BC43" s="137">
        <f>IF(BC21&gt;0,SUM($K21:BC21),0)</f>
        <v>0</v>
      </c>
      <c r="BD43" s="137">
        <f>IF(BD21&gt;0,SUM($K21:BD21),0)</f>
        <v>0</v>
      </c>
      <c r="BE43" s="137">
        <f>IF(BE21&gt;0,SUM($K21:BE21),0)</f>
        <v>0</v>
      </c>
      <c r="BF43" s="137">
        <f>IF(BF21&gt;0,SUM($K21:BF21),0)</f>
        <v>0</v>
      </c>
      <c r="BG43" s="137">
        <f>IF(BG21&gt;0,SUM($K21:BG21),0)</f>
        <v>0</v>
      </c>
      <c r="BH43" s="137">
        <f>IF(BH21&gt;0,SUM($K21:BH21),0)</f>
        <v>0</v>
      </c>
      <c r="BI43" s="137">
        <f>IF(BI21&gt;0,SUM($K21:BI21),0)</f>
        <v>0</v>
      </c>
      <c r="BJ43" s="137">
        <f>IF(BJ21&gt;0,SUM($K21:BJ21),0)</f>
        <v>0</v>
      </c>
      <c r="BK43" s="137">
        <f>IF(BK21&gt;0,SUM($K21:BK21),0)</f>
        <v>0</v>
      </c>
      <c r="BL43" s="137">
        <f>IF(BL21&gt;0,SUM($K21:BL21),0)</f>
        <v>0</v>
      </c>
      <c r="BM43" s="137">
        <f>IF(BM21&gt;0,SUM($K21:BM21),0)</f>
        <v>0</v>
      </c>
      <c r="BN43" s="137">
        <f>IF(BN21&gt;0,SUM($K21:BN21),0)</f>
        <v>0</v>
      </c>
      <c r="BO43" s="137">
        <f>IF(BO21&gt;0,SUM($K21:BO21),0)</f>
        <v>0</v>
      </c>
      <c r="BP43" s="137">
        <f>IF(BP21&gt;0,SUM($K21:BP21),0)</f>
        <v>0</v>
      </c>
      <c r="BQ43" s="137">
        <f>IF(BQ21&gt;0,SUM($K21:BQ21),0)</f>
        <v>0</v>
      </c>
      <c r="BR43" s="137">
        <f>IF(BR21&gt;0,SUM($K21:BR21),0)</f>
        <v>0</v>
      </c>
    </row>
    <row r="44" spans="4:70" ht="11.85" hidden="1" customHeight="1" outlineLevel="1">
      <c r="D44" s="65"/>
      <c r="E44" s="65"/>
      <c r="F44" s="65"/>
      <c r="G44" s="65"/>
      <c r="H44" s="139">
        <f t="shared" si="60"/>
        <v>10</v>
      </c>
      <c r="I44" s="139">
        <f>IFERROR(VLOOKUP(CONCATENATE(I96,".",H44),'Curva S'!$A$2:$B$301,2,0),0)</f>
        <v>250</v>
      </c>
      <c r="J44" s="65"/>
      <c r="K44" s="137">
        <f>IF(K22&gt;0,SUM($K22:K22),0)</f>
        <v>1</v>
      </c>
      <c r="L44" s="137">
        <f>IF(L22&gt;0,SUM($K22:L22),0)</f>
        <v>2</v>
      </c>
      <c r="M44" s="137">
        <f>IF(M22&gt;0,SUM($K22:M22),0)</f>
        <v>3</v>
      </c>
      <c r="N44" s="137">
        <f>IF(N22&gt;0,SUM($K22:N22),0)</f>
        <v>4</v>
      </c>
      <c r="O44" s="137">
        <f>IF(O22&gt;0,SUM($K22:O22),0)</f>
        <v>5</v>
      </c>
      <c r="P44" s="137">
        <f>IF(P22&gt;0,SUM($K22:P22),0)</f>
        <v>6</v>
      </c>
      <c r="Q44" s="137">
        <f>IF(Q22&gt;0,SUM($K22:Q22),0)</f>
        <v>7</v>
      </c>
      <c r="R44" s="137">
        <f>IF(R22&gt;0,SUM($K22:R22),0)</f>
        <v>8</v>
      </c>
      <c r="S44" s="137">
        <f>IF(S22&gt;0,SUM($K22:S22),0)</f>
        <v>9</v>
      </c>
      <c r="T44" s="137">
        <f>IF(T22&gt;0,SUM($K22:T22),0)</f>
        <v>10</v>
      </c>
      <c r="U44" s="137">
        <f>IF(U22&gt;0,SUM($K22:U22),0)</f>
        <v>0</v>
      </c>
      <c r="V44" s="137">
        <f>IF(V22&gt;0,SUM($K22:V22),0)</f>
        <v>0</v>
      </c>
      <c r="W44" s="137">
        <f>IF(W22&gt;0,SUM($K22:W22),0)</f>
        <v>0</v>
      </c>
      <c r="X44" s="137">
        <f>IF(X22&gt;0,SUM($K22:X22),0)</f>
        <v>0</v>
      </c>
      <c r="Y44" s="137">
        <f>IF(Y22&gt;0,SUM($K22:Y22),0)</f>
        <v>0</v>
      </c>
      <c r="Z44" s="137">
        <f>IF(Z22&gt;0,SUM($K22:Z22),0)</f>
        <v>0</v>
      </c>
      <c r="AA44" s="137">
        <f>IF(AA22&gt;0,SUM($K22:AA22),0)</f>
        <v>0</v>
      </c>
      <c r="AB44" s="137">
        <f>IF(AB22&gt;0,SUM($K22:AB22),0)</f>
        <v>0</v>
      </c>
      <c r="AC44" s="137">
        <f>IF(AC22&gt;0,SUM($K22:AC22),0)</f>
        <v>0</v>
      </c>
      <c r="AD44" s="137">
        <f>IF(AD22&gt;0,SUM($K22:AD22),0)</f>
        <v>0</v>
      </c>
      <c r="AE44" s="137">
        <f>IF(AE22&gt;0,SUM($K22:AE22),0)</f>
        <v>0</v>
      </c>
      <c r="AF44" s="137">
        <f>IF(AF22&gt;0,SUM($K22:AF22),0)</f>
        <v>0</v>
      </c>
      <c r="AG44" s="137">
        <f>IF(AG22&gt;0,SUM($K22:AG22),0)</f>
        <v>0</v>
      </c>
      <c r="AH44" s="137">
        <f>IF(AH22&gt;0,SUM($K22:AH22),0)</f>
        <v>0</v>
      </c>
      <c r="AI44" s="137">
        <f>IF(AI22&gt;0,SUM($K22:AI22),0)</f>
        <v>0</v>
      </c>
      <c r="AJ44" s="137">
        <f>IF(AJ22&gt;0,SUM($K22:AJ22),0)</f>
        <v>0</v>
      </c>
      <c r="AK44" s="137">
        <f>IF(AK22&gt;0,SUM($K22:AK22),0)</f>
        <v>0</v>
      </c>
      <c r="AL44" s="137">
        <f>IF(AL22&gt;0,SUM($K22:AL22),0)</f>
        <v>0</v>
      </c>
      <c r="AM44" s="137">
        <f>IF(AM22&gt;0,SUM($K22:AM22),0)</f>
        <v>0</v>
      </c>
      <c r="AN44" s="137">
        <f>IF(AN22&gt;0,SUM($K22:AN22),0)</f>
        <v>0</v>
      </c>
      <c r="AO44" s="137">
        <f>IF(AO22&gt;0,SUM($K22:AO22),0)</f>
        <v>0</v>
      </c>
      <c r="AP44" s="137">
        <f>IF(AP22&gt;0,SUM($K22:AP22),0)</f>
        <v>0</v>
      </c>
      <c r="AQ44" s="137">
        <f>IF(AQ22&gt;0,SUM($K22:AQ22),0)</f>
        <v>0</v>
      </c>
      <c r="AR44" s="137">
        <f>IF(AR22&gt;0,SUM($K22:AR22),0)</f>
        <v>0</v>
      </c>
      <c r="AS44" s="137">
        <f>IF(AS22&gt;0,SUM($K22:AS22),0)</f>
        <v>0</v>
      </c>
      <c r="AT44" s="137">
        <f>IF(AT22&gt;0,SUM($K22:AT22),0)</f>
        <v>0</v>
      </c>
      <c r="AU44" s="137">
        <f>IF(AU22&gt;0,SUM($K22:AU22),0)</f>
        <v>0</v>
      </c>
      <c r="AV44" s="137">
        <f>IF(AV22&gt;0,SUM($K22:AV22),0)</f>
        <v>0</v>
      </c>
      <c r="AW44" s="137">
        <f>IF(AW22&gt;0,SUM($K22:AW22),0)</f>
        <v>0</v>
      </c>
      <c r="AX44" s="137">
        <f>IF(AX22&gt;0,SUM($K22:AX22),0)</f>
        <v>0</v>
      </c>
      <c r="AY44" s="137">
        <f>IF(AY22&gt;0,SUM($K22:AY22),0)</f>
        <v>0</v>
      </c>
      <c r="AZ44" s="137">
        <f>IF(AZ22&gt;0,SUM($K22:AZ22),0)</f>
        <v>0</v>
      </c>
      <c r="BA44" s="137">
        <f>IF(BA22&gt;0,SUM($K22:BA22),0)</f>
        <v>0</v>
      </c>
      <c r="BB44" s="137">
        <f>IF(BB22&gt;0,SUM($K22:BB22),0)</f>
        <v>0</v>
      </c>
      <c r="BC44" s="137">
        <f>IF(BC22&gt;0,SUM($K22:BC22),0)</f>
        <v>0</v>
      </c>
      <c r="BD44" s="137">
        <f>IF(BD22&gt;0,SUM($K22:BD22),0)</f>
        <v>0</v>
      </c>
      <c r="BE44" s="137">
        <f>IF(BE22&gt;0,SUM($K22:BE22),0)</f>
        <v>0</v>
      </c>
      <c r="BF44" s="137">
        <f>IF(BF22&gt;0,SUM($K22:BF22),0)</f>
        <v>0</v>
      </c>
      <c r="BG44" s="137">
        <f>IF(BG22&gt;0,SUM($K22:BG22),0)</f>
        <v>0</v>
      </c>
      <c r="BH44" s="137">
        <f>IF(BH22&gt;0,SUM($K22:BH22),0)</f>
        <v>0</v>
      </c>
      <c r="BI44" s="137">
        <f>IF(BI22&gt;0,SUM($K22:BI22),0)</f>
        <v>0</v>
      </c>
      <c r="BJ44" s="137">
        <f>IF(BJ22&gt;0,SUM($K22:BJ22),0)</f>
        <v>0</v>
      </c>
      <c r="BK44" s="137">
        <f>IF(BK22&gt;0,SUM($K22:BK22),0)</f>
        <v>0</v>
      </c>
      <c r="BL44" s="137">
        <f>IF(BL22&gt;0,SUM($K22:BL22),0)</f>
        <v>0</v>
      </c>
      <c r="BM44" s="137">
        <f>IF(BM22&gt;0,SUM($K22:BM22),0)</f>
        <v>0</v>
      </c>
      <c r="BN44" s="137">
        <f>IF(BN22&gt;0,SUM($K22:BN22),0)</f>
        <v>0</v>
      </c>
      <c r="BO44" s="137">
        <f>IF(BO22&gt;0,SUM($K22:BO22),0)</f>
        <v>0</v>
      </c>
      <c r="BP44" s="137">
        <f>IF(BP22&gt;0,SUM($K22:BP22),0)</f>
        <v>0</v>
      </c>
      <c r="BQ44" s="137">
        <f>IF(BQ22&gt;0,SUM($K22:BQ22),0)</f>
        <v>0</v>
      </c>
      <c r="BR44" s="137">
        <f>IF(BR22&gt;0,SUM($K22:BR22),0)</f>
        <v>0</v>
      </c>
    </row>
    <row r="45" spans="4:70" ht="12" customHeight="1"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</row>
    <row r="46" spans="4:70" ht="24" customHeight="1">
      <c r="D46" s="591" t="s">
        <v>354</v>
      </c>
      <c r="E46" s="591"/>
      <c r="F46" s="591"/>
      <c r="G46" s="591"/>
      <c r="H46" s="591"/>
      <c r="I46" s="591"/>
      <c r="J46" s="65"/>
      <c r="K46" s="141" t="s">
        <v>355</v>
      </c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 t="s">
        <v>356</v>
      </c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 t="s">
        <v>357</v>
      </c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 t="s">
        <v>358</v>
      </c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 t="s">
        <v>359</v>
      </c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</row>
    <row r="47" spans="4:70" ht="24" customHeight="1">
      <c r="D47" s="591"/>
      <c r="E47" s="591"/>
      <c r="F47" s="591"/>
      <c r="G47" s="591"/>
      <c r="H47" s="591"/>
      <c r="I47" s="591"/>
      <c r="J47" s="65"/>
      <c r="K47" s="142">
        <v>1</v>
      </c>
      <c r="L47" s="142">
        <v>2</v>
      </c>
      <c r="M47" s="142">
        <v>3</v>
      </c>
      <c r="N47" s="142">
        <v>4</v>
      </c>
      <c r="O47" s="142">
        <v>5</v>
      </c>
      <c r="P47" s="142">
        <v>6</v>
      </c>
      <c r="Q47" s="142">
        <v>7</v>
      </c>
      <c r="R47" s="142">
        <v>8</v>
      </c>
      <c r="S47" s="142">
        <v>9</v>
      </c>
      <c r="T47" s="142">
        <v>10</v>
      </c>
      <c r="U47" s="142">
        <v>11</v>
      </c>
      <c r="V47" s="142">
        <v>12</v>
      </c>
      <c r="W47" s="142">
        <v>13</v>
      </c>
      <c r="X47" s="142">
        <v>14</v>
      </c>
      <c r="Y47" s="142">
        <v>15</v>
      </c>
      <c r="Z47" s="142">
        <v>16</v>
      </c>
      <c r="AA47" s="142">
        <v>17</v>
      </c>
      <c r="AB47" s="142">
        <v>18</v>
      </c>
      <c r="AC47" s="142">
        <v>19</v>
      </c>
      <c r="AD47" s="142">
        <v>20</v>
      </c>
      <c r="AE47" s="142">
        <v>21</v>
      </c>
      <c r="AF47" s="142">
        <v>22</v>
      </c>
      <c r="AG47" s="142">
        <v>23</v>
      </c>
      <c r="AH47" s="142">
        <v>24</v>
      </c>
      <c r="AI47" s="142">
        <v>25</v>
      </c>
      <c r="AJ47" s="142">
        <v>26</v>
      </c>
      <c r="AK47" s="142">
        <v>27</v>
      </c>
      <c r="AL47" s="142">
        <v>28</v>
      </c>
      <c r="AM47" s="142">
        <v>29</v>
      </c>
      <c r="AN47" s="142">
        <v>30</v>
      </c>
      <c r="AO47" s="142">
        <v>31</v>
      </c>
      <c r="AP47" s="142">
        <v>32</v>
      </c>
      <c r="AQ47" s="142">
        <v>33</v>
      </c>
      <c r="AR47" s="142">
        <v>34</v>
      </c>
      <c r="AS47" s="142">
        <v>35</v>
      </c>
      <c r="AT47" s="142">
        <v>36</v>
      </c>
      <c r="AU47" s="142">
        <v>37</v>
      </c>
      <c r="AV47" s="142">
        <v>38</v>
      </c>
      <c r="AW47" s="142">
        <v>39</v>
      </c>
      <c r="AX47" s="142">
        <v>40</v>
      </c>
      <c r="AY47" s="142">
        <v>41</v>
      </c>
      <c r="AZ47" s="142">
        <v>42</v>
      </c>
      <c r="BA47" s="142">
        <v>43</v>
      </c>
      <c r="BB47" s="142">
        <v>44</v>
      </c>
      <c r="BC47" s="142">
        <v>45</v>
      </c>
      <c r="BD47" s="142">
        <v>46</v>
      </c>
      <c r="BE47" s="142">
        <v>47</v>
      </c>
      <c r="BF47" s="142">
        <v>48</v>
      </c>
      <c r="BG47" s="142">
        <v>49</v>
      </c>
      <c r="BH47" s="142">
        <v>50</v>
      </c>
      <c r="BI47" s="142">
        <v>51</v>
      </c>
      <c r="BJ47" s="142">
        <v>52</v>
      </c>
      <c r="BK47" s="142">
        <v>53</v>
      </c>
      <c r="BL47" s="142">
        <v>54</v>
      </c>
      <c r="BM47" s="142">
        <v>55</v>
      </c>
      <c r="BN47" s="142">
        <v>56</v>
      </c>
      <c r="BO47" s="142">
        <v>57</v>
      </c>
      <c r="BP47" s="142">
        <v>58</v>
      </c>
      <c r="BQ47" s="142">
        <v>59</v>
      </c>
      <c r="BR47" s="142">
        <v>60</v>
      </c>
    </row>
    <row r="49" spans="4:70" ht="24" customHeight="1">
      <c r="D49" s="140" t="s">
        <v>360</v>
      </c>
      <c r="E49" s="65"/>
      <c r="F49" s="613" t="s">
        <v>361</v>
      </c>
      <c r="G49" s="613"/>
      <c r="H49" s="613"/>
      <c r="I49" s="613"/>
      <c r="J49" s="65"/>
      <c r="K49" s="65"/>
    </row>
    <row r="50" spans="4:70" ht="24" customHeight="1" collapsed="1">
      <c r="D50" s="65"/>
      <c r="E50" s="65"/>
      <c r="F50" s="142" t="s">
        <v>198</v>
      </c>
      <c r="G50" s="142" t="s">
        <v>259</v>
      </c>
      <c r="H50" s="142" t="s">
        <v>362</v>
      </c>
      <c r="I50" s="142" t="s">
        <v>363</v>
      </c>
      <c r="J50" s="65"/>
      <c r="K50" s="65"/>
    </row>
    <row r="51" spans="4:70" ht="12" hidden="1" customHeight="1" outlineLevel="1">
      <c r="D51" s="620" t="s">
        <v>364</v>
      </c>
      <c r="E51" s="65"/>
      <c r="F51" s="143" t="str">
        <f>Tarefas!G3</f>
        <v>Equipe_01</v>
      </c>
      <c r="G51" s="143" t="str">
        <f>Tarefas!F3</f>
        <v>Equipe01</v>
      </c>
      <c r="H51" s="144">
        <f>Tarefas!O3</f>
        <v>1992.4666666666667</v>
      </c>
      <c r="I51" s="144">
        <f t="shared" ref="I51:I71" si="61">COUNTIF(K51:BR51,"X")</f>
        <v>10</v>
      </c>
      <c r="J51" s="65"/>
      <c r="K51" s="145" t="str">
        <f>IF(COLUMN()-COLUMN($K51)+1&lt;=Dashboard!$D$14,"X","")</f>
        <v>X</v>
      </c>
      <c r="L51" s="145" t="str">
        <f>IF(COLUMN()-COLUMN($K51)+1&lt;=Dashboard!$D$14,"X","")</f>
        <v>X</v>
      </c>
      <c r="M51" s="145" t="str">
        <f>IF(COLUMN()-COLUMN($K51)+1&lt;=Dashboard!$D$14,"X","")</f>
        <v>X</v>
      </c>
      <c r="N51" s="145" t="str">
        <f>IF(COLUMN()-COLUMN($K51)+1&lt;=Dashboard!$D$14,"X","")</f>
        <v>X</v>
      </c>
      <c r="O51" s="145" t="str">
        <f>IF(COLUMN()-COLUMN($K51)+1&lt;=Dashboard!$D$14,"X","")</f>
        <v>X</v>
      </c>
      <c r="P51" s="145" t="str">
        <f>IF(COLUMN()-COLUMN($K51)+1&lt;=Dashboard!$D$14,"X","")</f>
        <v>X</v>
      </c>
      <c r="Q51" s="145" t="str">
        <f>IF(COLUMN()-COLUMN($K51)+1&lt;=Dashboard!$D$14,"X","")</f>
        <v>X</v>
      </c>
      <c r="R51" s="145" t="str">
        <f>IF(COLUMN()-COLUMN($K51)+1&lt;=Dashboard!$D$14,"X","")</f>
        <v>X</v>
      </c>
      <c r="S51" s="145" t="str">
        <f>IF(COLUMN()-COLUMN($K51)+1&lt;=Dashboard!$D$14,"X","")</f>
        <v>X</v>
      </c>
      <c r="T51" s="145" t="str">
        <f>IF(COLUMN()-COLUMN($K51)+1&lt;=Dashboard!$D$14,"X","")</f>
        <v>X</v>
      </c>
      <c r="U51" s="145" t="str">
        <f>IF(COLUMN()-COLUMN($K51)+1&lt;=Dashboard!$D$14,"X","")</f>
        <v/>
      </c>
      <c r="V51" s="145" t="str">
        <f>IF(COLUMN()-COLUMN($K51)+1&lt;=Dashboard!$D$14,"X","")</f>
        <v/>
      </c>
      <c r="W51" s="145" t="str">
        <f>IF(COLUMN()-COLUMN($K51)+1&lt;=Dashboard!$D$14,"X","")</f>
        <v/>
      </c>
      <c r="X51" s="145" t="str">
        <f>IF(COLUMN()-COLUMN($K51)+1&lt;=Dashboard!$D$14,"X","")</f>
        <v/>
      </c>
      <c r="Y51" s="145" t="str">
        <f>IF(COLUMN()-COLUMN($K51)+1&lt;=Dashboard!$D$14,"X","")</f>
        <v/>
      </c>
      <c r="Z51" s="145" t="str">
        <f>IF(COLUMN()-COLUMN($K51)+1&lt;=Dashboard!$D$14,"X","")</f>
        <v/>
      </c>
      <c r="AA51" s="145" t="str">
        <f>IF(COLUMN()-COLUMN($K51)+1&lt;=Dashboard!$D$14,"X","")</f>
        <v/>
      </c>
      <c r="AB51" s="145" t="str">
        <f>IF(COLUMN()-COLUMN($K51)+1&lt;=Dashboard!$D$14,"X","")</f>
        <v/>
      </c>
      <c r="AC51" s="145" t="str">
        <f>IF(COLUMN()-COLUMN($K51)+1&lt;=Dashboard!$D$14,"X","")</f>
        <v/>
      </c>
      <c r="AD51" s="145" t="str">
        <f>IF(COLUMN()-COLUMN($K51)+1&lt;=Dashboard!$D$14,"X","")</f>
        <v/>
      </c>
      <c r="AE51" s="145" t="str">
        <f>IF(COLUMN()-COLUMN($K51)+1&lt;=Dashboard!$D$14,"X","")</f>
        <v/>
      </c>
      <c r="AF51" s="145" t="str">
        <f>IF(COLUMN()-COLUMN($K51)+1&lt;=Dashboard!$D$14,"X","")</f>
        <v/>
      </c>
      <c r="AG51" s="145" t="str">
        <f>IF(COLUMN()-COLUMN($K51)+1&lt;=Dashboard!$D$14,"X","")</f>
        <v/>
      </c>
      <c r="AH51" s="145" t="str">
        <f>IF(COLUMN()-COLUMN($K51)+1&lt;=Dashboard!$D$14,"X","")</f>
        <v/>
      </c>
      <c r="AI51" s="145" t="str">
        <f>IF(COLUMN()-COLUMN($K51)+1&lt;=Dashboard!$D$14,"X","")</f>
        <v/>
      </c>
      <c r="AJ51" s="145" t="str">
        <f>IF(COLUMN()-COLUMN($K51)+1&lt;=Dashboard!$D$14,"X","")</f>
        <v/>
      </c>
      <c r="AK51" s="145" t="str">
        <f>IF(COLUMN()-COLUMN($K51)+1&lt;=Dashboard!$D$14,"X","")</f>
        <v/>
      </c>
      <c r="AL51" s="145" t="str">
        <f>IF(COLUMN()-COLUMN($K51)+1&lt;=Dashboard!$D$14,"X","")</f>
        <v/>
      </c>
      <c r="AM51" s="145" t="str">
        <f>IF(COLUMN()-COLUMN($K51)+1&lt;=Dashboard!$D$14,"X","")</f>
        <v/>
      </c>
      <c r="AN51" s="145" t="str">
        <f>IF(COLUMN()-COLUMN($K51)+1&lt;=Dashboard!$D$14,"X","")</f>
        <v/>
      </c>
      <c r="AO51" s="145" t="str">
        <f>IF(COLUMN()-COLUMN($K51)+1&lt;=Dashboard!$D$14,"X","")</f>
        <v/>
      </c>
      <c r="AP51" s="145" t="str">
        <f>IF(COLUMN()-COLUMN($K51)+1&lt;=Dashboard!$D$14,"X","")</f>
        <v/>
      </c>
      <c r="AQ51" s="145" t="str">
        <f>IF(COLUMN()-COLUMN($K51)+1&lt;=Dashboard!$D$14,"X","")</f>
        <v/>
      </c>
      <c r="AR51" s="145" t="str">
        <f>IF(COLUMN()-COLUMN($K51)+1&lt;=Dashboard!$D$14,"X","")</f>
        <v/>
      </c>
      <c r="AS51" s="145" t="str">
        <f>IF(COLUMN()-COLUMN($K51)+1&lt;=Dashboard!$D$14,"X","")</f>
        <v/>
      </c>
      <c r="AT51" s="145" t="str">
        <f>IF(COLUMN()-COLUMN($K51)+1&lt;=Dashboard!$D$14,"X","")</f>
        <v/>
      </c>
      <c r="AU51" s="145" t="str">
        <f>IF(COLUMN()-COLUMN($K51)+1&lt;=Dashboard!$D$14,"X","")</f>
        <v/>
      </c>
      <c r="AV51" s="145" t="str">
        <f>IF(COLUMN()-COLUMN($K51)+1&lt;=Dashboard!$D$14,"X","")</f>
        <v/>
      </c>
      <c r="AW51" s="145" t="str">
        <f>IF(COLUMN()-COLUMN($K51)+1&lt;=Dashboard!$D$14,"X","")</f>
        <v/>
      </c>
      <c r="AX51" s="145" t="str">
        <f>IF(COLUMN()-COLUMN($K51)+1&lt;=Dashboard!$D$14,"X","")</f>
        <v/>
      </c>
      <c r="AY51" s="145" t="str">
        <f>IF(COLUMN()-COLUMN($K51)+1&lt;=Dashboard!$D$14,"X","")</f>
        <v/>
      </c>
      <c r="AZ51" s="145" t="str">
        <f>IF(COLUMN()-COLUMN($K51)+1&lt;=Dashboard!$D$14,"X","")</f>
        <v/>
      </c>
      <c r="BA51" s="145" t="str">
        <f>IF(COLUMN()-COLUMN($K51)+1&lt;=Dashboard!$D$14,"X","")</f>
        <v/>
      </c>
      <c r="BB51" s="145" t="str">
        <f>IF(COLUMN()-COLUMN($K51)+1&lt;=Dashboard!$D$14,"X","")</f>
        <v/>
      </c>
      <c r="BC51" s="145" t="str">
        <f>IF(COLUMN()-COLUMN($K51)+1&lt;=Dashboard!$D$14,"X","")</f>
        <v/>
      </c>
      <c r="BD51" s="145" t="str">
        <f>IF(COLUMN()-COLUMN($K51)+1&lt;=Dashboard!$D$14,"X","")</f>
        <v/>
      </c>
      <c r="BE51" s="145" t="str">
        <f>IF(COLUMN()-COLUMN($K51)+1&lt;=Dashboard!$D$14,"X","")</f>
        <v/>
      </c>
      <c r="BF51" s="145" t="str">
        <f>IF(COLUMN()-COLUMN($K51)+1&lt;=Dashboard!$D$14,"X","")</f>
        <v/>
      </c>
      <c r="BG51" s="145" t="str">
        <f>IF(COLUMN()-COLUMN($K51)+1&lt;=Dashboard!$D$14,"X","")</f>
        <v/>
      </c>
      <c r="BH51" s="145" t="str">
        <f>IF(COLUMN()-COLUMN($K51)+1&lt;=Dashboard!$D$14,"X","")</f>
        <v/>
      </c>
      <c r="BI51" s="145" t="str">
        <f>IF(COLUMN()-COLUMN($K51)+1&lt;=Dashboard!$D$14,"X","")</f>
        <v/>
      </c>
      <c r="BJ51" s="145" t="str">
        <f>IF(COLUMN()-COLUMN($K51)+1&lt;=Dashboard!$D$14,"X","")</f>
        <v/>
      </c>
      <c r="BK51" s="145" t="str">
        <f>IF(COLUMN()-COLUMN($K51)+1&lt;=Dashboard!$D$14,"X","")</f>
        <v/>
      </c>
      <c r="BL51" s="145" t="str">
        <f>IF(COLUMN()-COLUMN($K51)+1&lt;=Dashboard!$D$14,"X","")</f>
        <v/>
      </c>
      <c r="BM51" s="145" t="str">
        <f>IF(COLUMN()-COLUMN($K51)+1&lt;=Dashboard!$D$14,"X","")</f>
        <v/>
      </c>
      <c r="BN51" s="145" t="str">
        <f>IF(COLUMN()-COLUMN($K51)+1&lt;=Dashboard!$D$14,"X","")</f>
        <v/>
      </c>
      <c r="BO51" s="145" t="str">
        <f>IF(COLUMN()-COLUMN($K51)+1&lt;=Dashboard!$D$14,"X","")</f>
        <v/>
      </c>
      <c r="BP51" s="145" t="str">
        <f>IF(COLUMN()-COLUMN($K51)+1&lt;=Dashboard!$D$14,"X","")</f>
        <v/>
      </c>
      <c r="BQ51" s="145" t="str">
        <f>IF(COLUMN()-COLUMN($K51)+1&lt;=Dashboard!$D$14,"X","")</f>
        <v/>
      </c>
      <c r="BR51" s="145" t="str">
        <f>IF(COLUMN()-COLUMN($K51)+1&lt;=Dashboard!$D$14,"X","")</f>
        <v/>
      </c>
    </row>
    <row r="52" spans="4:70" ht="12" hidden="1" customHeight="1" outlineLevel="1">
      <c r="D52" s="621"/>
      <c r="E52" s="65"/>
      <c r="F52" s="143" t="str">
        <f>Tarefas!G4</f>
        <v>Equipe_02</v>
      </c>
      <c r="G52" s="143" t="str">
        <f>Tarefas!F4</f>
        <v>Equipe02</v>
      </c>
      <c r="H52" s="144">
        <f>Tarefas!O4</f>
        <v>1394.7266666666669</v>
      </c>
      <c r="I52" s="144">
        <f t="shared" si="61"/>
        <v>10</v>
      </c>
      <c r="J52" s="65"/>
      <c r="K52" s="145" t="str">
        <f>IF(COLUMN()-COLUMN($K52)+1&lt;=Dashboard!$D$14,"X","")</f>
        <v>X</v>
      </c>
      <c r="L52" s="145" t="str">
        <f>IF(COLUMN()-COLUMN($K52)+1&lt;=Dashboard!$D$14,"X","")</f>
        <v>X</v>
      </c>
      <c r="M52" s="145" t="str">
        <f>IF(COLUMN()-COLUMN($K52)+1&lt;=Dashboard!$D$14,"X","")</f>
        <v>X</v>
      </c>
      <c r="N52" s="145" t="str">
        <f>IF(COLUMN()-COLUMN($K52)+1&lt;=Dashboard!$D$14,"X","")</f>
        <v>X</v>
      </c>
      <c r="O52" s="145" t="str">
        <f>IF(COLUMN()-COLUMN($K52)+1&lt;=Dashboard!$D$14,"X","")</f>
        <v>X</v>
      </c>
      <c r="P52" s="145" t="str">
        <f>IF(COLUMN()-COLUMN($K52)+1&lt;=Dashboard!$D$14,"X","")</f>
        <v>X</v>
      </c>
      <c r="Q52" s="145" t="str">
        <f>IF(COLUMN()-COLUMN($K52)+1&lt;=Dashboard!$D$14,"X","")</f>
        <v>X</v>
      </c>
      <c r="R52" s="145" t="str">
        <f>IF(COLUMN()-COLUMN($K52)+1&lt;=Dashboard!$D$14,"X","")</f>
        <v>X</v>
      </c>
      <c r="S52" s="145" t="str">
        <f>IF(COLUMN()-COLUMN($K52)+1&lt;=Dashboard!$D$14,"X","")</f>
        <v>X</v>
      </c>
      <c r="T52" s="145" t="str">
        <f>IF(COLUMN()-COLUMN($K52)+1&lt;=Dashboard!$D$14,"X","")</f>
        <v>X</v>
      </c>
      <c r="U52" s="145" t="str">
        <f>IF(COLUMN()-COLUMN($K52)+1&lt;=Dashboard!$D$14,"X","")</f>
        <v/>
      </c>
      <c r="V52" s="145" t="str">
        <f>IF(COLUMN()-COLUMN($K52)+1&lt;=Dashboard!$D$14,"X","")</f>
        <v/>
      </c>
      <c r="W52" s="145" t="str">
        <f>IF(COLUMN()-COLUMN($K52)+1&lt;=Dashboard!$D$14,"X","")</f>
        <v/>
      </c>
      <c r="X52" s="145" t="str">
        <f>IF(COLUMN()-COLUMN($K52)+1&lt;=Dashboard!$D$14,"X","")</f>
        <v/>
      </c>
      <c r="Y52" s="145" t="str">
        <f>IF(COLUMN()-COLUMN($K52)+1&lt;=Dashboard!$D$14,"X","")</f>
        <v/>
      </c>
      <c r="Z52" s="145" t="str">
        <f>IF(COLUMN()-COLUMN($K52)+1&lt;=Dashboard!$D$14,"X","")</f>
        <v/>
      </c>
      <c r="AA52" s="145" t="str">
        <f>IF(COLUMN()-COLUMN($K52)+1&lt;=Dashboard!$D$14,"X","")</f>
        <v/>
      </c>
      <c r="AB52" s="145" t="str">
        <f>IF(COLUMN()-COLUMN($K52)+1&lt;=Dashboard!$D$14,"X","")</f>
        <v/>
      </c>
      <c r="AC52" s="145" t="str">
        <f>IF(COLUMN()-COLUMN($K52)+1&lt;=Dashboard!$D$14,"X","")</f>
        <v/>
      </c>
      <c r="AD52" s="145" t="str">
        <f>IF(COLUMN()-COLUMN($K52)+1&lt;=Dashboard!$D$14,"X","")</f>
        <v/>
      </c>
      <c r="AE52" s="145" t="str">
        <f>IF(COLUMN()-COLUMN($K52)+1&lt;=Dashboard!$D$14,"X","")</f>
        <v/>
      </c>
      <c r="AF52" s="145" t="str">
        <f>IF(COLUMN()-COLUMN($K52)+1&lt;=Dashboard!$D$14,"X","")</f>
        <v/>
      </c>
      <c r="AG52" s="145" t="str">
        <f>IF(COLUMN()-COLUMN($K52)+1&lt;=Dashboard!$D$14,"X","")</f>
        <v/>
      </c>
      <c r="AH52" s="145" t="str">
        <f>IF(COLUMN()-COLUMN($K52)+1&lt;=Dashboard!$D$14,"X","")</f>
        <v/>
      </c>
      <c r="AI52" s="145" t="str">
        <f>IF(COLUMN()-COLUMN($K52)+1&lt;=Dashboard!$D$14,"X","")</f>
        <v/>
      </c>
      <c r="AJ52" s="145" t="str">
        <f>IF(COLUMN()-COLUMN($K52)+1&lt;=Dashboard!$D$14,"X","")</f>
        <v/>
      </c>
      <c r="AK52" s="145" t="str">
        <f>IF(COLUMN()-COLUMN($K52)+1&lt;=Dashboard!$D$14,"X","")</f>
        <v/>
      </c>
      <c r="AL52" s="145" t="str">
        <f>IF(COLUMN()-COLUMN($K52)+1&lt;=Dashboard!$D$14,"X","")</f>
        <v/>
      </c>
      <c r="AM52" s="145" t="str">
        <f>IF(COLUMN()-COLUMN($K52)+1&lt;=Dashboard!$D$14,"X","")</f>
        <v/>
      </c>
      <c r="AN52" s="145" t="str">
        <f>IF(COLUMN()-COLUMN($K52)+1&lt;=Dashboard!$D$14,"X","")</f>
        <v/>
      </c>
      <c r="AO52" s="145" t="str">
        <f>IF(COLUMN()-COLUMN($K52)+1&lt;=Dashboard!$D$14,"X","")</f>
        <v/>
      </c>
      <c r="AP52" s="145" t="str">
        <f>IF(COLUMN()-COLUMN($K52)+1&lt;=Dashboard!$D$14,"X","")</f>
        <v/>
      </c>
      <c r="AQ52" s="145" t="str">
        <f>IF(COLUMN()-COLUMN($K52)+1&lt;=Dashboard!$D$14,"X","")</f>
        <v/>
      </c>
      <c r="AR52" s="145" t="str">
        <f>IF(COLUMN()-COLUMN($K52)+1&lt;=Dashboard!$D$14,"X","")</f>
        <v/>
      </c>
      <c r="AS52" s="145" t="str">
        <f>IF(COLUMN()-COLUMN($K52)+1&lt;=Dashboard!$D$14,"X","")</f>
        <v/>
      </c>
      <c r="AT52" s="145" t="str">
        <f>IF(COLUMN()-COLUMN($K52)+1&lt;=Dashboard!$D$14,"X","")</f>
        <v/>
      </c>
      <c r="AU52" s="145" t="str">
        <f>IF(COLUMN()-COLUMN($K52)+1&lt;=Dashboard!$D$14,"X","")</f>
        <v/>
      </c>
      <c r="AV52" s="145" t="str">
        <f>IF(COLUMN()-COLUMN($K52)+1&lt;=Dashboard!$D$14,"X","")</f>
        <v/>
      </c>
      <c r="AW52" s="145" t="str">
        <f>IF(COLUMN()-COLUMN($K52)+1&lt;=Dashboard!$D$14,"X","")</f>
        <v/>
      </c>
      <c r="AX52" s="145" t="str">
        <f>IF(COLUMN()-COLUMN($K52)+1&lt;=Dashboard!$D$14,"X","")</f>
        <v/>
      </c>
      <c r="AY52" s="145" t="str">
        <f>IF(COLUMN()-COLUMN($K52)+1&lt;=Dashboard!$D$14,"X","")</f>
        <v/>
      </c>
      <c r="AZ52" s="145" t="str">
        <f>IF(COLUMN()-COLUMN($K52)+1&lt;=Dashboard!$D$14,"X","")</f>
        <v/>
      </c>
      <c r="BA52" s="145" t="str">
        <f>IF(COLUMN()-COLUMN($K52)+1&lt;=Dashboard!$D$14,"X","")</f>
        <v/>
      </c>
      <c r="BB52" s="145" t="str">
        <f>IF(COLUMN()-COLUMN($K52)+1&lt;=Dashboard!$D$14,"X","")</f>
        <v/>
      </c>
      <c r="BC52" s="145" t="str">
        <f>IF(COLUMN()-COLUMN($K52)+1&lt;=Dashboard!$D$14,"X","")</f>
        <v/>
      </c>
      <c r="BD52" s="145" t="str">
        <f>IF(COLUMN()-COLUMN($K52)+1&lt;=Dashboard!$D$14,"X","")</f>
        <v/>
      </c>
      <c r="BE52" s="145" t="str">
        <f>IF(COLUMN()-COLUMN($K52)+1&lt;=Dashboard!$D$14,"X","")</f>
        <v/>
      </c>
      <c r="BF52" s="145" t="str">
        <f>IF(COLUMN()-COLUMN($K52)+1&lt;=Dashboard!$D$14,"X","")</f>
        <v/>
      </c>
      <c r="BG52" s="145" t="str">
        <f>IF(COLUMN()-COLUMN($K52)+1&lt;=Dashboard!$D$14,"X","")</f>
        <v/>
      </c>
      <c r="BH52" s="145" t="str">
        <f>IF(COLUMN()-COLUMN($K52)+1&lt;=Dashboard!$D$14,"X","")</f>
        <v/>
      </c>
      <c r="BI52" s="145" t="str">
        <f>IF(COLUMN()-COLUMN($K52)+1&lt;=Dashboard!$D$14,"X","")</f>
        <v/>
      </c>
      <c r="BJ52" s="145" t="str">
        <f>IF(COLUMN()-COLUMN($K52)+1&lt;=Dashboard!$D$14,"X","")</f>
        <v/>
      </c>
      <c r="BK52" s="145" t="str">
        <f>IF(COLUMN()-COLUMN($K52)+1&lt;=Dashboard!$D$14,"X","")</f>
        <v/>
      </c>
      <c r="BL52" s="145" t="str">
        <f>IF(COLUMN()-COLUMN($K52)+1&lt;=Dashboard!$D$14,"X","")</f>
        <v/>
      </c>
      <c r="BM52" s="145" t="str">
        <f>IF(COLUMN()-COLUMN($K52)+1&lt;=Dashboard!$D$14,"X","")</f>
        <v/>
      </c>
      <c r="BN52" s="145" t="str">
        <f>IF(COLUMN()-COLUMN($K52)+1&lt;=Dashboard!$D$14,"X","")</f>
        <v/>
      </c>
      <c r="BO52" s="145" t="str">
        <f>IF(COLUMN()-COLUMN($K52)+1&lt;=Dashboard!$D$14,"X","")</f>
        <v/>
      </c>
      <c r="BP52" s="145" t="str">
        <f>IF(COLUMN()-COLUMN($K52)+1&lt;=Dashboard!$D$14,"X","")</f>
        <v/>
      </c>
      <c r="BQ52" s="145" t="str">
        <f>IF(COLUMN()-COLUMN($K52)+1&lt;=Dashboard!$D$14,"X","")</f>
        <v/>
      </c>
      <c r="BR52" s="145" t="str">
        <f>IF(COLUMN()-COLUMN($K52)+1&lt;=Dashboard!$D$14,"X","")</f>
        <v/>
      </c>
    </row>
    <row r="53" spans="4:70" ht="12" hidden="1" customHeight="1" outlineLevel="1">
      <c r="D53" s="621"/>
      <c r="E53" s="65"/>
      <c r="F53" s="143" t="str">
        <f>Tarefas!G5</f>
        <v>Equipe_03</v>
      </c>
      <c r="G53" s="143" t="str">
        <f>Tarefas!F5</f>
        <v>Equipe03</v>
      </c>
      <c r="H53" s="144">
        <f>Tarefas!O5</f>
        <v>242.00000000000003</v>
      </c>
      <c r="I53" s="144">
        <f t="shared" si="61"/>
        <v>10</v>
      </c>
      <c r="J53" s="65"/>
      <c r="K53" s="145" t="str">
        <f>IF(COLUMN()-COLUMN($K53)+1&lt;=Dashboard!$D$14,"X","")</f>
        <v>X</v>
      </c>
      <c r="L53" s="145" t="str">
        <f>IF(COLUMN()-COLUMN($K53)+1&lt;=Dashboard!$D$14,"X","")</f>
        <v>X</v>
      </c>
      <c r="M53" s="145" t="str">
        <f>IF(COLUMN()-COLUMN($K53)+1&lt;=Dashboard!$D$14,"X","")</f>
        <v>X</v>
      </c>
      <c r="N53" s="145" t="str">
        <f>IF(COLUMN()-COLUMN($K53)+1&lt;=Dashboard!$D$14,"X","")</f>
        <v>X</v>
      </c>
      <c r="O53" s="145" t="str">
        <f>IF(COLUMN()-COLUMN($K53)+1&lt;=Dashboard!$D$14,"X","")</f>
        <v>X</v>
      </c>
      <c r="P53" s="145" t="str">
        <f>IF(COLUMN()-COLUMN($K53)+1&lt;=Dashboard!$D$14,"X","")</f>
        <v>X</v>
      </c>
      <c r="Q53" s="145" t="str">
        <f>IF(COLUMN()-COLUMN($K53)+1&lt;=Dashboard!$D$14,"X","")</f>
        <v>X</v>
      </c>
      <c r="R53" s="145" t="str">
        <f>IF(COLUMN()-COLUMN($K53)+1&lt;=Dashboard!$D$14,"X","")</f>
        <v>X</v>
      </c>
      <c r="S53" s="145" t="str">
        <f>IF(COLUMN()-COLUMN($K53)+1&lt;=Dashboard!$D$14,"X","")</f>
        <v>X</v>
      </c>
      <c r="T53" s="145" t="str">
        <f>IF(COLUMN()-COLUMN($K53)+1&lt;=Dashboard!$D$14,"X","")</f>
        <v>X</v>
      </c>
      <c r="U53" s="145" t="str">
        <f>IF(COLUMN()-COLUMN($K53)+1&lt;=Dashboard!$D$14,"X","")</f>
        <v/>
      </c>
      <c r="V53" s="145" t="str">
        <f>IF(COLUMN()-COLUMN($K53)+1&lt;=Dashboard!$D$14,"X","")</f>
        <v/>
      </c>
      <c r="W53" s="145" t="str">
        <f>IF(COLUMN()-COLUMN($K53)+1&lt;=Dashboard!$D$14,"X","")</f>
        <v/>
      </c>
      <c r="X53" s="145" t="str">
        <f>IF(COLUMN()-COLUMN($K53)+1&lt;=Dashboard!$D$14,"X","")</f>
        <v/>
      </c>
      <c r="Y53" s="145" t="str">
        <f>IF(COLUMN()-COLUMN($K53)+1&lt;=Dashboard!$D$14,"X","")</f>
        <v/>
      </c>
      <c r="Z53" s="145" t="str">
        <f>IF(COLUMN()-COLUMN($K53)+1&lt;=Dashboard!$D$14,"X","")</f>
        <v/>
      </c>
      <c r="AA53" s="145" t="str">
        <f>IF(COLUMN()-COLUMN($K53)+1&lt;=Dashboard!$D$14,"X","")</f>
        <v/>
      </c>
      <c r="AB53" s="145" t="str">
        <f>IF(COLUMN()-COLUMN($K53)+1&lt;=Dashboard!$D$14,"X","")</f>
        <v/>
      </c>
      <c r="AC53" s="145" t="str">
        <f>IF(COLUMN()-COLUMN($K53)+1&lt;=Dashboard!$D$14,"X","")</f>
        <v/>
      </c>
      <c r="AD53" s="145" t="str">
        <f>IF(COLUMN()-COLUMN($K53)+1&lt;=Dashboard!$D$14,"X","")</f>
        <v/>
      </c>
      <c r="AE53" s="145" t="str">
        <f>IF(COLUMN()-COLUMN($K53)+1&lt;=Dashboard!$D$14,"X","")</f>
        <v/>
      </c>
      <c r="AF53" s="145" t="str">
        <f>IF(COLUMN()-COLUMN($K53)+1&lt;=Dashboard!$D$14,"X","")</f>
        <v/>
      </c>
      <c r="AG53" s="145" t="str">
        <f>IF(COLUMN()-COLUMN($K53)+1&lt;=Dashboard!$D$14,"X","")</f>
        <v/>
      </c>
      <c r="AH53" s="145" t="str">
        <f>IF(COLUMN()-COLUMN($K53)+1&lt;=Dashboard!$D$14,"X","")</f>
        <v/>
      </c>
      <c r="AI53" s="145" t="str">
        <f>IF(COLUMN()-COLUMN($K53)+1&lt;=Dashboard!$D$14,"X","")</f>
        <v/>
      </c>
      <c r="AJ53" s="145" t="str">
        <f>IF(COLUMN()-COLUMN($K53)+1&lt;=Dashboard!$D$14,"X","")</f>
        <v/>
      </c>
      <c r="AK53" s="145" t="str">
        <f>IF(COLUMN()-COLUMN($K53)+1&lt;=Dashboard!$D$14,"X","")</f>
        <v/>
      </c>
      <c r="AL53" s="145" t="str">
        <f>IF(COLUMN()-COLUMN($K53)+1&lt;=Dashboard!$D$14,"X","")</f>
        <v/>
      </c>
      <c r="AM53" s="145" t="str">
        <f>IF(COLUMN()-COLUMN($K53)+1&lt;=Dashboard!$D$14,"X","")</f>
        <v/>
      </c>
      <c r="AN53" s="145" t="str">
        <f>IF(COLUMN()-COLUMN($K53)+1&lt;=Dashboard!$D$14,"X","")</f>
        <v/>
      </c>
      <c r="AO53" s="145" t="str">
        <f>IF(COLUMN()-COLUMN($K53)+1&lt;=Dashboard!$D$14,"X","")</f>
        <v/>
      </c>
      <c r="AP53" s="145" t="str">
        <f>IF(COLUMN()-COLUMN($K53)+1&lt;=Dashboard!$D$14,"X","")</f>
        <v/>
      </c>
      <c r="AQ53" s="145" t="str">
        <f>IF(COLUMN()-COLUMN($K53)+1&lt;=Dashboard!$D$14,"X","")</f>
        <v/>
      </c>
      <c r="AR53" s="145" t="str">
        <f>IF(COLUMN()-COLUMN($K53)+1&lt;=Dashboard!$D$14,"X","")</f>
        <v/>
      </c>
      <c r="AS53" s="145" t="str">
        <f>IF(COLUMN()-COLUMN($K53)+1&lt;=Dashboard!$D$14,"X","")</f>
        <v/>
      </c>
      <c r="AT53" s="145" t="str">
        <f>IF(COLUMN()-COLUMN($K53)+1&lt;=Dashboard!$D$14,"X","")</f>
        <v/>
      </c>
      <c r="AU53" s="145" t="str">
        <f>IF(COLUMN()-COLUMN($K53)+1&lt;=Dashboard!$D$14,"X","")</f>
        <v/>
      </c>
      <c r="AV53" s="145" t="str">
        <f>IF(COLUMN()-COLUMN($K53)+1&lt;=Dashboard!$D$14,"X","")</f>
        <v/>
      </c>
      <c r="AW53" s="145" t="str">
        <f>IF(COLUMN()-COLUMN($K53)+1&lt;=Dashboard!$D$14,"X","")</f>
        <v/>
      </c>
      <c r="AX53" s="145" t="str">
        <f>IF(COLUMN()-COLUMN($K53)+1&lt;=Dashboard!$D$14,"X","")</f>
        <v/>
      </c>
      <c r="AY53" s="145" t="str">
        <f>IF(COLUMN()-COLUMN($K53)+1&lt;=Dashboard!$D$14,"X","")</f>
        <v/>
      </c>
      <c r="AZ53" s="145" t="str">
        <f>IF(COLUMN()-COLUMN($K53)+1&lt;=Dashboard!$D$14,"X","")</f>
        <v/>
      </c>
      <c r="BA53" s="145" t="str">
        <f>IF(COLUMN()-COLUMN($K53)+1&lt;=Dashboard!$D$14,"X","")</f>
        <v/>
      </c>
      <c r="BB53" s="145" t="str">
        <f>IF(COLUMN()-COLUMN($K53)+1&lt;=Dashboard!$D$14,"X","")</f>
        <v/>
      </c>
      <c r="BC53" s="145" t="str">
        <f>IF(COLUMN()-COLUMN($K53)+1&lt;=Dashboard!$D$14,"X","")</f>
        <v/>
      </c>
      <c r="BD53" s="145" t="str">
        <f>IF(COLUMN()-COLUMN($K53)+1&lt;=Dashboard!$D$14,"X","")</f>
        <v/>
      </c>
      <c r="BE53" s="145" t="str">
        <f>IF(COLUMN()-COLUMN($K53)+1&lt;=Dashboard!$D$14,"X","")</f>
        <v/>
      </c>
      <c r="BF53" s="145" t="str">
        <f>IF(COLUMN()-COLUMN($K53)+1&lt;=Dashboard!$D$14,"X","")</f>
        <v/>
      </c>
      <c r="BG53" s="145" t="str">
        <f>IF(COLUMN()-COLUMN($K53)+1&lt;=Dashboard!$D$14,"X","")</f>
        <v/>
      </c>
      <c r="BH53" s="145" t="str">
        <f>IF(COLUMN()-COLUMN($K53)+1&lt;=Dashboard!$D$14,"X","")</f>
        <v/>
      </c>
      <c r="BI53" s="145" t="str">
        <f>IF(COLUMN()-COLUMN($K53)+1&lt;=Dashboard!$D$14,"X","")</f>
        <v/>
      </c>
      <c r="BJ53" s="145" t="str">
        <f>IF(COLUMN()-COLUMN($K53)+1&lt;=Dashboard!$D$14,"X","")</f>
        <v/>
      </c>
      <c r="BK53" s="145" t="str">
        <f>IF(COLUMN()-COLUMN($K53)+1&lt;=Dashboard!$D$14,"X","")</f>
        <v/>
      </c>
      <c r="BL53" s="145" t="str">
        <f>IF(COLUMN()-COLUMN($K53)+1&lt;=Dashboard!$D$14,"X","")</f>
        <v/>
      </c>
      <c r="BM53" s="145" t="str">
        <f>IF(COLUMN()-COLUMN($K53)+1&lt;=Dashboard!$D$14,"X","")</f>
        <v/>
      </c>
      <c r="BN53" s="145" t="str">
        <f>IF(COLUMN()-COLUMN($K53)+1&lt;=Dashboard!$D$14,"X","")</f>
        <v/>
      </c>
      <c r="BO53" s="145" t="str">
        <f>IF(COLUMN()-COLUMN($K53)+1&lt;=Dashboard!$D$14,"X","")</f>
        <v/>
      </c>
      <c r="BP53" s="145" t="str">
        <f>IF(COLUMN()-COLUMN($K53)+1&lt;=Dashboard!$D$14,"X","")</f>
        <v/>
      </c>
      <c r="BQ53" s="145" t="str">
        <f>IF(COLUMN()-COLUMN($K53)+1&lt;=Dashboard!$D$14,"X","")</f>
        <v/>
      </c>
      <c r="BR53" s="145" t="str">
        <f>IF(COLUMN()-COLUMN($K53)+1&lt;=Dashboard!$D$14,"X","")</f>
        <v/>
      </c>
    </row>
    <row r="54" spans="4:70" ht="12" hidden="1" customHeight="1" outlineLevel="1">
      <c r="D54" s="621"/>
      <c r="E54" s="65"/>
      <c r="F54" s="143" t="str">
        <f>Tarefas!G6</f>
        <v>Equipe_04</v>
      </c>
      <c r="G54" s="143" t="str">
        <f>Tarefas!F6</f>
        <v>Equipe04</v>
      </c>
      <c r="H54" s="144">
        <f>Tarefas!O6</f>
        <v>580.80000000000007</v>
      </c>
      <c r="I54" s="144">
        <f t="shared" si="61"/>
        <v>10</v>
      </c>
      <c r="J54" s="65"/>
      <c r="K54" s="145" t="str">
        <f>IF(COLUMN()-COLUMN($K54)+1&lt;=Dashboard!$D$14,"X","")</f>
        <v>X</v>
      </c>
      <c r="L54" s="145" t="str">
        <f>IF(COLUMN()-COLUMN($K54)+1&lt;=Dashboard!$D$14,"X","")</f>
        <v>X</v>
      </c>
      <c r="M54" s="145" t="str">
        <f>IF(COLUMN()-COLUMN($K54)+1&lt;=Dashboard!$D$14,"X","")</f>
        <v>X</v>
      </c>
      <c r="N54" s="145" t="str">
        <f>IF(COLUMN()-COLUMN($K54)+1&lt;=Dashboard!$D$14,"X","")</f>
        <v>X</v>
      </c>
      <c r="O54" s="145" t="str">
        <f>IF(COLUMN()-COLUMN($K54)+1&lt;=Dashboard!$D$14,"X","")</f>
        <v>X</v>
      </c>
      <c r="P54" s="145" t="str">
        <f>IF(COLUMN()-COLUMN($K54)+1&lt;=Dashboard!$D$14,"X","")</f>
        <v>X</v>
      </c>
      <c r="Q54" s="145" t="str">
        <f>IF(COLUMN()-COLUMN($K54)+1&lt;=Dashboard!$D$14,"X","")</f>
        <v>X</v>
      </c>
      <c r="R54" s="145" t="str">
        <f>IF(COLUMN()-COLUMN($K54)+1&lt;=Dashboard!$D$14,"X","")</f>
        <v>X</v>
      </c>
      <c r="S54" s="145" t="str">
        <f>IF(COLUMN()-COLUMN($K54)+1&lt;=Dashboard!$D$14,"X","")</f>
        <v>X</v>
      </c>
      <c r="T54" s="145" t="str">
        <f>IF(COLUMN()-COLUMN($K54)+1&lt;=Dashboard!$D$14,"X","")</f>
        <v>X</v>
      </c>
      <c r="U54" s="145" t="str">
        <f>IF(COLUMN()-COLUMN($K54)+1&lt;=Dashboard!$D$14,"X","")</f>
        <v/>
      </c>
      <c r="V54" s="145" t="str">
        <f>IF(COLUMN()-COLUMN($K54)+1&lt;=Dashboard!$D$14,"X","")</f>
        <v/>
      </c>
      <c r="W54" s="145" t="str">
        <f>IF(COLUMN()-COLUMN($K54)+1&lt;=Dashboard!$D$14,"X","")</f>
        <v/>
      </c>
      <c r="X54" s="145" t="str">
        <f>IF(COLUMN()-COLUMN($K54)+1&lt;=Dashboard!$D$14,"X","")</f>
        <v/>
      </c>
      <c r="Y54" s="145" t="str">
        <f>IF(COLUMN()-COLUMN($K54)+1&lt;=Dashboard!$D$14,"X","")</f>
        <v/>
      </c>
      <c r="Z54" s="145" t="str">
        <f>IF(COLUMN()-COLUMN($K54)+1&lt;=Dashboard!$D$14,"X","")</f>
        <v/>
      </c>
      <c r="AA54" s="145" t="str">
        <f>IF(COLUMN()-COLUMN($K54)+1&lt;=Dashboard!$D$14,"X","")</f>
        <v/>
      </c>
      <c r="AB54" s="145" t="str">
        <f>IF(COLUMN()-COLUMN($K54)+1&lt;=Dashboard!$D$14,"X","")</f>
        <v/>
      </c>
      <c r="AC54" s="145" t="str">
        <f>IF(COLUMN()-COLUMN($K54)+1&lt;=Dashboard!$D$14,"X","")</f>
        <v/>
      </c>
      <c r="AD54" s="145" t="str">
        <f>IF(COLUMN()-COLUMN($K54)+1&lt;=Dashboard!$D$14,"X","")</f>
        <v/>
      </c>
      <c r="AE54" s="145" t="str">
        <f>IF(COLUMN()-COLUMN($K54)+1&lt;=Dashboard!$D$14,"X","")</f>
        <v/>
      </c>
      <c r="AF54" s="145" t="str">
        <f>IF(COLUMN()-COLUMN($K54)+1&lt;=Dashboard!$D$14,"X","")</f>
        <v/>
      </c>
      <c r="AG54" s="145" t="str">
        <f>IF(COLUMN()-COLUMN($K54)+1&lt;=Dashboard!$D$14,"X","")</f>
        <v/>
      </c>
      <c r="AH54" s="145" t="str">
        <f>IF(COLUMN()-COLUMN($K54)+1&lt;=Dashboard!$D$14,"X","")</f>
        <v/>
      </c>
      <c r="AI54" s="145" t="str">
        <f>IF(COLUMN()-COLUMN($K54)+1&lt;=Dashboard!$D$14,"X","")</f>
        <v/>
      </c>
      <c r="AJ54" s="145" t="str">
        <f>IF(COLUMN()-COLUMN($K54)+1&lt;=Dashboard!$D$14,"X","")</f>
        <v/>
      </c>
      <c r="AK54" s="145" t="str">
        <f>IF(COLUMN()-COLUMN($K54)+1&lt;=Dashboard!$D$14,"X","")</f>
        <v/>
      </c>
      <c r="AL54" s="145" t="str">
        <f>IF(COLUMN()-COLUMN($K54)+1&lt;=Dashboard!$D$14,"X","")</f>
        <v/>
      </c>
      <c r="AM54" s="145" t="str">
        <f>IF(COLUMN()-COLUMN($K54)+1&lt;=Dashboard!$D$14,"X","")</f>
        <v/>
      </c>
      <c r="AN54" s="145" t="str">
        <f>IF(COLUMN()-COLUMN($K54)+1&lt;=Dashboard!$D$14,"X","")</f>
        <v/>
      </c>
      <c r="AO54" s="145" t="str">
        <f>IF(COLUMN()-COLUMN($K54)+1&lt;=Dashboard!$D$14,"X","")</f>
        <v/>
      </c>
      <c r="AP54" s="145" t="str">
        <f>IF(COLUMN()-COLUMN($K54)+1&lt;=Dashboard!$D$14,"X","")</f>
        <v/>
      </c>
      <c r="AQ54" s="145" t="str">
        <f>IF(COLUMN()-COLUMN($K54)+1&lt;=Dashboard!$D$14,"X","")</f>
        <v/>
      </c>
      <c r="AR54" s="145" t="str">
        <f>IF(COLUMN()-COLUMN($K54)+1&lt;=Dashboard!$D$14,"X","")</f>
        <v/>
      </c>
      <c r="AS54" s="145" t="str">
        <f>IF(COLUMN()-COLUMN($K54)+1&lt;=Dashboard!$D$14,"X","")</f>
        <v/>
      </c>
      <c r="AT54" s="145" t="str">
        <f>IF(COLUMN()-COLUMN($K54)+1&lt;=Dashboard!$D$14,"X","")</f>
        <v/>
      </c>
      <c r="AU54" s="145" t="str">
        <f>IF(COLUMN()-COLUMN($K54)+1&lt;=Dashboard!$D$14,"X","")</f>
        <v/>
      </c>
      <c r="AV54" s="145" t="str">
        <f>IF(COLUMN()-COLUMN($K54)+1&lt;=Dashboard!$D$14,"X","")</f>
        <v/>
      </c>
      <c r="AW54" s="145" t="str">
        <f>IF(COLUMN()-COLUMN($K54)+1&lt;=Dashboard!$D$14,"X","")</f>
        <v/>
      </c>
      <c r="AX54" s="145" t="str">
        <f>IF(COLUMN()-COLUMN($K54)+1&lt;=Dashboard!$D$14,"X","")</f>
        <v/>
      </c>
      <c r="AY54" s="145" t="str">
        <f>IF(COLUMN()-COLUMN($K54)+1&lt;=Dashboard!$D$14,"X","")</f>
        <v/>
      </c>
      <c r="AZ54" s="145" t="str">
        <f>IF(COLUMN()-COLUMN($K54)+1&lt;=Dashboard!$D$14,"X","")</f>
        <v/>
      </c>
      <c r="BA54" s="145" t="str">
        <f>IF(COLUMN()-COLUMN($K54)+1&lt;=Dashboard!$D$14,"X","")</f>
        <v/>
      </c>
      <c r="BB54" s="145" t="str">
        <f>IF(COLUMN()-COLUMN($K54)+1&lt;=Dashboard!$D$14,"X","")</f>
        <v/>
      </c>
      <c r="BC54" s="145" t="str">
        <f>IF(COLUMN()-COLUMN($K54)+1&lt;=Dashboard!$D$14,"X","")</f>
        <v/>
      </c>
      <c r="BD54" s="145" t="str">
        <f>IF(COLUMN()-COLUMN($K54)+1&lt;=Dashboard!$D$14,"X","")</f>
        <v/>
      </c>
      <c r="BE54" s="145" t="str">
        <f>IF(COLUMN()-COLUMN($K54)+1&lt;=Dashboard!$D$14,"X","")</f>
        <v/>
      </c>
      <c r="BF54" s="145" t="str">
        <f>IF(COLUMN()-COLUMN($K54)+1&lt;=Dashboard!$D$14,"X","")</f>
        <v/>
      </c>
      <c r="BG54" s="145" t="str">
        <f>IF(COLUMN()-COLUMN($K54)+1&lt;=Dashboard!$D$14,"X","")</f>
        <v/>
      </c>
      <c r="BH54" s="145" t="str">
        <f>IF(COLUMN()-COLUMN($K54)+1&lt;=Dashboard!$D$14,"X","")</f>
        <v/>
      </c>
      <c r="BI54" s="145" t="str">
        <f>IF(COLUMN()-COLUMN($K54)+1&lt;=Dashboard!$D$14,"X","")</f>
        <v/>
      </c>
      <c r="BJ54" s="145" t="str">
        <f>IF(COLUMN()-COLUMN($K54)+1&lt;=Dashboard!$D$14,"X","")</f>
        <v/>
      </c>
      <c r="BK54" s="145" t="str">
        <f>IF(COLUMN()-COLUMN($K54)+1&lt;=Dashboard!$D$14,"X","")</f>
        <v/>
      </c>
      <c r="BL54" s="145" t="str">
        <f>IF(COLUMN()-COLUMN($K54)+1&lt;=Dashboard!$D$14,"X","")</f>
        <v/>
      </c>
      <c r="BM54" s="145" t="str">
        <f>IF(COLUMN()-COLUMN($K54)+1&lt;=Dashboard!$D$14,"X","")</f>
        <v/>
      </c>
      <c r="BN54" s="145" t="str">
        <f>IF(COLUMN()-COLUMN($K54)+1&lt;=Dashboard!$D$14,"X","")</f>
        <v/>
      </c>
      <c r="BO54" s="145" t="str">
        <f>IF(COLUMN()-COLUMN($K54)+1&lt;=Dashboard!$D$14,"X","")</f>
        <v/>
      </c>
      <c r="BP54" s="145" t="str">
        <f>IF(COLUMN()-COLUMN($K54)+1&lt;=Dashboard!$D$14,"X","")</f>
        <v/>
      </c>
      <c r="BQ54" s="145" t="str">
        <f>IF(COLUMN()-COLUMN($K54)+1&lt;=Dashboard!$D$14,"X","")</f>
        <v/>
      </c>
      <c r="BR54" s="145" t="str">
        <f>IF(COLUMN()-COLUMN($K54)+1&lt;=Dashboard!$D$14,"X","")</f>
        <v/>
      </c>
    </row>
    <row r="55" spans="4:70" ht="12" hidden="1" customHeight="1" outlineLevel="1">
      <c r="D55" s="621"/>
      <c r="E55" s="65"/>
      <c r="F55" s="143" t="str">
        <f>Tarefas!G7</f>
        <v>Equipe_05</v>
      </c>
      <c r="G55" s="143" t="str">
        <f>Tarefas!F7</f>
        <v>Equipe05</v>
      </c>
      <c r="H55" s="144">
        <f>Tarefas!O7</f>
        <v>1176.1200000000001</v>
      </c>
      <c r="I55" s="144">
        <f t="shared" si="61"/>
        <v>10</v>
      </c>
      <c r="J55" s="65"/>
      <c r="K55" s="145" t="str">
        <f>IF(COLUMN()-COLUMN($K55)+1&lt;=Dashboard!$D$14,"X","")</f>
        <v>X</v>
      </c>
      <c r="L55" s="145" t="str">
        <f>IF(COLUMN()-COLUMN($K55)+1&lt;=Dashboard!$D$14,"X","")</f>
        <v>X</v>
      </c>
      <c r="M55" s="145" t="str">
        <f>IF(COLUMN()-COLUMN($K55)+1&lt;=Dashboard!$D$14,"X","")</f>
        <v>X</v>
      </c>
      <c r="N55" s="145" t="str">
        <f>IF(COLUMN()-COLUMN($K55)+1&lt;=Dashboard!$D$14,"X","")</f>
        <v>X</v>
      </c>
      <c r="O55" s="145" t="str">
        <f>IF(COLUMN()-COLUMN($K55)+1&lt;=Dashboard!$D$14,"X","")</f>
        <v>X</v>
      </c>
      <c r="P55" s="145" t="str">
        <f>IF(COLUMN()-COLUMN($K55)+1&lt;=Dashboard!$D$14,"X","")</f>
        <v>X</v>
      </c>
      <c r="Q55" s="145" t="str">
        <f>IF(COLUMN()-COLUMN($K55)+1&lt;=Dashboard!$D$14,"X","")</f>
        <v>X</v>
      </c>
      <c r="R55" s="145" t="str">
        <f>IF(COLUMN()-COLUMN($K55)+1&lt;=Dashboard!$D$14,"X","")</f>
        <v>X</v>
      </c>
      <c r="S55" s="145" t="str">
        <f>IF(COLUMN()-COLUMN($K55)+1&lt;=Dashboard!$D$14,"X","")</f>
        <v>X</v>
      </c>
      <c r="T55" s="145" t="str">
        <f>IF(COLUMN()-COLUMN($K55)+1&lt;=Dashboard!$D$14,"X","")</f>
        <v>X</v>
      </c>
      <c r="U55" s="145" t="str">
        <f>IF(COLUMN()-COLUMN($K55)+1&lt;=Dashboard!$D$14,"X","")</f>
        <v/>
      </c>
      <c r="V55" s="145" t="str">
        <f>IF(COLUMN()-COLUMN($K55)+1&lt;=Dashboard!$D$14,"X","")</f>
        <v/>
      </c>
      <c r="W55" s="145" t="str">
        <f>IF(COLUMN()-COLUMN($K55)+1&lt;=Dashboard!$D$14,"X","")</f>
        <v/>
      </c>
      <c r="X55" s="145" t="str">
        <f>IF(COLUMN()-COLUMN($K55)+1&lt;=Dashboard!$D$14,"X","")</f>
        <v/>
      </c>
      <c r="Y55" s="145" t="str">
        <f>IF(COLUMN()-COLUMN($K55)+1&lt;=Dashboard!$D$14,"X","")</f>
        <v/>
      </c>
      <c r="Z55" s="145" t="str">
        <f>IF(COLUMN()-COLUMN($K55)+1&lt;=Dashboard!$D$14,"X","")</f>
        <v/>
      </c>
      <c r="AA55" s="145" t="str">
        <f>IF(COLUMN()-COLUMN($K55)+1&lt;=Dashboard!$D$14,"X","")</f>
        <v/>
      </c>
      <c r="AB55" s="145" t="str">
        <f>IF(COLUMN()-COLUMN($K55)+1&lt;=Dashboard!$D$14,"X","")</f>
        <v/>
      </c>
      <c r="AC55" s="145" t="str">
        <f>IF(COLUMN()-COLUMN($K55)+1&lt;=Dashboard!$D$14,"X","")</f>
        <v/>
      </c>
      <c r="AD55" s="145" t="str">
        <f>IF(COLUMN()-COLUMN($K55)+1&lt;=Dashboard!$D$14,"X","")</f>
        <v/>
      </c>
      <c r="AE55" s="145" t="str">
        <f>IF(COLUMN()-COLUMN($K55)+1&lt;=Dashboard!$D$14,"X","")</f>
        <v/>
      </c>
      <c r="AF55" s="145" t="str">
        <f>IF(COLUMN()-COLUMN($K55)+1&lt;=Dashboard!$D$14,"X","")</f>
        <v/>
      </c>
      <c r="AG55" s="145" t="str">
        <f>IF(COLUMN()-COLUMN($K55)+1&lt;=Dashboard!$D$14,"X","")</f>
        <v/>
      </c>
      <c r="AH55" s="145" t="str">
        <f>IF(COLUMN()-COLUMN($K55)+1&lt;=Dashboard!$D$14,"X","")</f>
        <v/>
      </c>
      <c r="AI55" s="145" t="str">
        <f>IF(COLUMN()-COLUMN($K55)+1&lt;=Dashboard!$D$14,"X","")</f>
        <v/>
      </c>
      <c r="AJ55" s="145" t="str">
        <f>IF(COLUMN()-COLUMN($K55)+1&lt;=Dashboard!$D$14,"X","")</f>
        <v/>
      </c>
      <c r="AK55" s="145" t="str">
        <f>IF(COLUMN()-COLUMN($K55)+1&lt;=Dashboard!$D$14,"X","")</f>
        <v/>
      </c>
      <c r="AL55" s="145" t="str">
        <f>IF(COLUMN()-COLUMN($K55)+1&lt;=Dashboard!$D$14,"X","")</f>
        <v/>
      </c>
      <c r="AM55" s="145" t="str">
        <f>IF(COLUMN()-COLUMN($K55)+1&lt;=Dashboard!$D$14,"X","")</f>
        <v/>
      </c>
      <c r="AN55" s="145" t="str">
        <f>IF(COLUMN()-COLUMN($K55)+1&lt;=Dashboard!$D$14,"X","")</f>
        <v/>
      </c>
      <c r="AO55" s="145" t="str">
        <f>IF(COLUMN()-COLUMN($K55)+1&lt;=Dashboard!$D$14,"X","")</f>
        <v/>
      </c>
      <c r="AP55" s="145" t="str">
        <f>IF(COLUMN()-COLUMN($K55)+1&lt;=Dashboard!$D$14,"X","")</f>
        <v/>
      </c>
      <c r="AQ55" s="145" t="str">
        <f>IF(COLUMN()-COLUMN($K55)+1&lt;=Dashboard!$D$14,"X","")</f>
        <v/>
      </c>
      <c r="AR55" s="145" t="str">
        <f>IF(COLUMN()-COLUMN($K55)+1&lt;=Dashboard!$D$14,"X","")</f>
        <v/>
      </c>
      <c r="AS55" s="145" t="str">
        <f>IF(COLUMN()-COLUMN($K55)+1&lt;=Dashboard!$D$14,"X","")</f>
        <v/>
      </c>
      <c r="AT55" s="145" t="str">
        <f>IF(COLUMN()-COLUMN($K55)+1&lt;=Dashboard!$D$14,"X","")</f>
        <v/>
      </c>
      <c r="AU55" s="145" t="str">
        <f>IF(COLUMN()-COLUMN($K55)+1&lt;=Dashboard!$D$14,"X","")</f>
        <v/>
      </c>
      <c r="AV55" s="145" t="str">
        <f>IF(COLUMN()-COLUMN($K55)+1&lt;=Dashboard!$D$14,"X","")</f>
        <v/>
      </c>
      <c r="AW55" s="145" t="str">
        <f>IF(COLUMN()-COLUMN($K55)+1&lt;=Dashboard!$D$14,"X","")</f>
        <v/>
      </c>
      <c r="AX55" s="145" t="str">
        <f>IF(COLUMN()-COLUMN($K55)+1&lt;=Dashboard!$D$14,"X","")</f>
        <v/>
      </c>
      <c r="AY55" s="145" t="str">
        <f>IF(COLUMN()-COLUMN($K55)+1&lt;=Dashboard!$D$14,"X","")</f>
        <v/>
      </c>
      <c r="AZ55" s="145" t="str">
        <f>IF(COLUMN()-COLUMN($K55)+1&lt;=Dashboard!$D$14,"X","")</f>
        <v/>
      </c>
      <c r="BA55" s="145" t="str">
        <f>IF(COLUMN()-COLUMN($K55)+1&lt;=Dashboard!$D$14,"X","")</f>
        <v/>
      </c>
      <c r="BB55" s="145" t="str">
        <f>IF(COLUMN()-COLUMN($K55)+1&lt;=Dashboard!$D$14,"X","")</f>
        <v/>
      </c>
      <c r="BC55" s="145" t="str">
        <f>IF(COLUMN()-COLUMN($K55)+1&lt;=Dashboard!$D$14,"X","")</f>
        <v/>
      </c>
      <c r="BD55" s="145" t="str">
        <f>IF(COLUMN()-COLUMN($K55)+1&lt;=Dashboard!$D$14,"X","")</f>
        <v/>
      </c>
      <c r="BE55" s="145" t="str">
        <f>IF(COLUMN()-COLUMN($K55)+1&lt;=Dashboard!$D$14,"X","")</f>
        <v/>
      </c>
      <c r="BF55" s="145" t="str">
        <f>IF(COLUMN()-COLUMN($K55)+1&lt;=Dashboard!$D$14,"X","")</f>
        <v/>
      </c>
      <c r="BG55" s="145" t="str">
        <f>IF(COLUMN()-COLUMN($K55)+1&lt;=Dashboard!$D$14,"X","")</f>
        <v/>
      </c>
      <c r="BH55" s="145" t="str">
        <f>IF(COLUMN()-COLUMN($K55)+1&lt;=Dashboard!$D$14,"X","")</f>
        <v/>
      </c>
      <c r="BI55" s="145" t="str">
        <f>IF(COLUMN()-COLUMN($K55)+1&lt;=Dashboard!$D$14,"X","")</f>
        <v/>
      </c>
      <c r="BJ55" s="145" t="str">
        <f>IF(COLUMN()-COLUMN($K55)+1&lt;=Dashboard!$D$14,"X","")</f>
        <v/>
      </c>
      <c r="BK55" s="145" t="str">
        <f>IF(COLUMN()-COLUMN($K55)+1&lt;=Dashboard!$D$14,"X","")</f>
        <v/>
      </c>
      <c r="BL55" s="145" t="str">
        <f>IF(COLUMN()-COLUMN($K55)+1&lt;=Dashboard!$D$14,"X","")</f>
        <v/>
      </c>
      <c r="BM55" s="145" t="str">
        <f>IF(COLUMN()-COLUMN($K55)+1&lt;=Dashboard!$D$14,"X","")</f>
        <v/>
      </c>
      <c r="BN55" s="145" t="str">
        <f>IF(COLUMN()-COLUMN($K55)+1&lt;=Dashboard!$D$14,"X","")</f>
        <v/>
      </c>
      <c r="BO55" s="145" t="str">
        <f>IF(COLUMN()-COLUMN($K55)+1&lt;=Dashboard!$D$14,"X","")</f>
        <v/>
      </c>
      <c r="BP55" s="145" t="str">
        <f>IF(COLUMN()-COLUMN($K55)+1&lt;=Dashboard!$D$14,"X","")</f>
        <v/>
      </c>
      <c r="BQ55" s="145" t="str">
        <f>IF(COLUMN()-COLUMN($K55)+1&lt;=Dashboard!$D$14,"X","")</f>
        <v/>
      </c>
      <c r="BR55" s="145" t="str">
        <f>IF(COLUMN()-COLUMN($K55)+1&lt;=Dashboard!$D$14,"X","")</f>
        <v/>
      </c>
    </row>
    <row r="56" spans="4:70" ht="12" hidden="1" customHeight="1" outlineLevel="1">
      <c r="D56" s="621"/>
      <c r="E56" s="65"/>
      <c r="F56" s="143" t="str">
        <f>Tarefas!G8</f>
        <v>Equipe_06</v>
      </c>
      <c r="G56" s="143" t="str">
        <f>Tarefas!F8</f>
        <v>Equipe06</v>
      </c>
      <c r="H56" s="144">
        <f>Tarefas!O8</f>
        <v>2089.2666666666669</v>
      </c>
      <c r="I56" s="144">
        <f t="shared" si="61"/>
        <v>10</v>
      </c>
      <c r="J56" s="65"/>
      <c r="K56" s="145" t="str">
        <f>IF(COLUMN()-COLUMN($K56)+1&lt;=Dashboard!$D$14,"X","")</f>
        <v>X</v>
      </c>
      <c r="L56" s="145" t="str">
        <f>IF(COLUMN()-COLUMN($K56)+1&lt;=Dashboard!$D$14,"X","")</f>
        <v>X</v>
      </c>
      <c r="M56" s="145" t="str">
        <f>IF(COLUMN()-COLUMN($K56)+1&lt;=Dashboard!$D$14,"X","")</f>
        <v>X</v>
      </c>
      <c r="N56" s="145" t="str">
        <f>IF(COLUMN()-COLUMN($K56)+1&lt;=Dashboard!$D$14,"X","")</f>
        <v>X</v>
      </c>
      <c r="O56" s="145" t="str">
        <f>IF(COLUMN()-COLUMN($K56)+1&lt;=Dashboard!$D$14,"X","")</f>
        <v>X</v>
      </c>
      <c r="P56" s="145" t="str">
        <f>IF(COLUMN()-COLUMN($K56)+1&lt;=Dashboard!$D$14,"X","")</f>
        <v>X</v>
      </c>
      <c r="Q56" s="145" t="str">
        <f>IF(COLUMN()-COLUMN($K56)+1&lt;=Dashboard!$D$14,"X","")</f>
        <v>X</v>
      </c>
      <c r="R56" s="145" t="str">
        <f>IF(COLUMN()-COLUMN($K56)+1&lt;=Dashboard!$D$14,"X","")</f>
        <v>X</v>
      </c>
      <c r="S56" s="145" t="str">
        <f>IF(COLUMN()-COLUMN($K56)+1&lt;=Dashboard!$D$14,"X","")</f>
        <v>X</v>
      </c>
      <c r="T56" s="145" t="str">
        <f>IF(COLUMN()-COLUMN($K56)+1&lt;=Dashboard!$D$14,"X","")</f>
        <v>X</v>
      </c>
      <c r="U56" s="145" t="str">
        <f>IF(COLUMN()-COLUMN($K56)+1&lt;=Dashboard!$D$14,"X","")</f>
        <v/>
      </c>
      <c r="V56" s="145" t="str">
        <f>IF(COLUMN()-COLUMN($K56)+1&lt;=Dashboard!$D$14,"X","")</f>
        <v/>
      </c>
      <c r="W56" s="145" t="str">
        <f>IF(COLUMN()-COLUMN($K56)+1&lt;=Dashboard!$D$14,"X","")</f>
        <v/>
      </c>
      <c r="X56" s="145" t="str">
        <f>IF(COLUMN()-COLUMN($K56)+1&lt;=Dashboard!$D$14,"X","")</f>
        <v/>
      </c>
      <c r="Y56" s="145" t="str">
        <f>IF(COLUMN()-COLUMN($K56)+1&lt;=Dashboard!$D$14,"X","")</f>
        <v/>
      </c>
      <c r="Z56" s="145" t="str">
        <f>IF(COLUMN()-COLUMN($K56)+1&lt;=Dashboard!$D$14,"X","")</f>
        <v/>
      </c>
      <c r="AA56" s="145" t="str">
        <f>IF(COLUMN()-COLUMN($K56)+1&lt;=Dashboard!$D$14,"X","")</f>
        <v/>
      </c>
      <c r="AB56" s="145" t="str">
        <f>IF(COLUMN()-COLUMN($K56)+1&lt;=Dashboard!$D$14,"X","")</f>
        <v/>
      </c>
      <c r="AC56" s="145" t="str">
        <f>IF(COLUMN()-COLUMN($K56)+1&lt;=Dashboard!$D$14,"X","")</f>
        <v/>
      </c>
      <c r="AD56" s="145" t="str">
        <f>IF(COLUMN()-COLUMN($K56)+1&lt;=Dashboard!$D$14,"X","")</f>
        <v/>
      </c>
      <c r="AE56" s="145" t="str">
        <f>IF(COLUMN()-COLUMN($K56)+1&lt;=Dashboard!$D$14,"X","")</f>
        <v/>
      </c>
      <c r="AF56" s="145" t="str">
        <f>IF(COLUMN()-COLUMN($K56)+1&lt;=Dashboard!$D$14,"X","")</f>
        <v/>
      </c>
      <c r="AG56" s="145" t="str">
        <f>IF(COLUMN()-COLUMN($K56)+1&lt;=Dashboard!$D$14,"X","")</f>
        <v/>
      </c>
      <c r="AH56" s="145" t="str">
        <f>IF(COLUMN()-COLUMN($K56)+1&lt;=Dashboard!$D$14,"X","")</f>
        <v/>
      </c>
      <c r="AI56" s="145" t="str">
        <f>IF(COLUMN()-COLUMN($K56)+1&lt;=Dashboard!$D$14,"X","")</f>
        <v/>
      </c>
      <c r="AJ56" s="145" t="str">
        <f>IF(COLUMN()-COLUMN($K56)+1&lt;=Dashboard!$D$14,"X","")</f>
        <v/>
      </c>
      <c r="AK56" s="145" t="str">
        <f>IF(COLUMN()-COLUMN($K56)+1&lt;=Dashboard!$D$14,"X","")</f>
        <v/>
      </c>
      <c r="AL56" s="145" t="str">
        <f>IF(COLUMN()-COLUMN($K56)+1&lt;=Dashboard!$D$14,"X","")</f>
        <v/>
      </c>
      <c r="AM56" s="145" t="str">
        <f>IF(COLUMN()-COLUMN($K56)+1&lt;=Dashboard!$D$14,"X","")</f>
        <v/>
      </c>
      <c r="AN56" s="145" t="str">
        <f>IF(COLUMN()-COLUMN($K56)+1&lt;=Dashboard!$D$14,"X","")</f>
        <v/>
      </c>
      <c r="AO56" s="145" t="str">
        <f>IF(COLUMN()-COLUMN($K56)+1&lt;=Dashboard!$D$14,"X","")</f>
        <v/>
      </c>
      <c r="AP56" s="145" t="str">
        <f>IF(COLUMN()-COLUMN($K56)+1&lt;=Dashboard!$D$14,"X","")</f>
        <v/>
      </c>
      <c r="AQ56" s="145" t="str">
        <f>IF(COLUMN()-COLUMN($K56)+1&lt;=Dashboard!$D$14,"X","")</f>
        <v/>
      </c>
      <c r="AR56" s="145" t="str">
        <f>IF(COLUMN()-COLUMN($K56)+1&lt;=Dashboard!$D$14,"X","")</f>
        <v/>
      </c>
      <c r="AS56" s="145" t="str">
        <f>IF(COLUMN()-COLUMN($K56)+1&lt;=Dashboard!$D$14,"X","")</f>
        <v/>
      </c>
      <c r="AT56" s="145" t="str">
        <f>IF(COLUMN()-COLUMN($K56)+1&lt;=Dashboard!$D$14,"X","")</f>
        <v/>
      </c>
      <c r="AU56" s="145" t="str">
        <f>IF(COLUMN()-COLUMN($K56)+1&lt;=Dashboard!$D$14,"X","")</f>
        <v/>
      </c>
      <c r="AV56" s="145" t="str">
        <f>IF(COLUMN()-COLUMN($K56)+1&lt;=Dashboard!$D$14,"X","")</f>
        <v/>
      </c>
      <c r="AW56" s="145" t="str">
        <f>IF(COLUMN()-COLUMN($K56)+1&lt;=Dashboard!$D$14,"X","")</f>
        <v/>
      </c>
      <c r="AX56" s="145" t="str">
        <f>IF(COLUMN()-COLUMN($K56)+1&lt;=Dashboard!$D$14,"X","")</f>
        <v/>
      </c>
      <c r="AY56" s="145" t="str">
        <f>IF(COLUMN()-COLUMN($K56)+1&lt;=Dashboard!$D$14,"X","")</f>
        <v/>
      </c>
      <c r="AZ56" s="145" t="str">
        <f>IF(COLUMN()-COLUMN($K56)+1&lt;=Dashboard!$D$14,"X","")</f>
        <v/>
      </c>
      <c r="BA56" s="145" t="str">
        <f>IF(COLUMN()-COLUMN($K56)+1&lt;=Dashboard!$D$14,"X","")</f>
        <v/>
      </c>
      <c r="BB56" s="145" t="str">
        <f>IF(COLUMN()-COLUMN($K56)+1&lt;=Dashboard!$D$14,"X","")</f>
        <v/>
      </c>
      <c r="BC56" s="145" t="str">
        <f>IF(COLUMN()-COLUMN($K56)+1&lt;=Dashboard!$D$14,"X","")</f>
        <v/>
      </c>
      <c r="BD56" s="145" t="str">
        <f>IF(COLUMN()-COLUMN($K56)+1&lt;=Dashboard!$D$14,"X","")</f>
        <v/>
      </c>
      <c r="BE56" s="145" t="str">
        <f>IF(COLUMN()-COLUMN($K56)+1&lt;=Dashboard!$D$14,"X","")</f>
        <v/>
      </c>
      <c r="BF56" s="145" t="str">
        <f>IF(COLUMN()-COLUMN($K56)+1&lt;=Dashboard!$D$14,"X","")</f>
        <v/>
      </c>
      <c r="BG56" s="145" t="str">
        <f>IF(COLUMN()-COLUMN($K56)+1&lt;=Dashboard!$D$14,"X","")</f>
        <v/>
      </c>
      <c r="BH56" s="145" t="str">
        <f>IF(COLUMN()-COLUMN($K56)+1&lt;=Dashboard!$D$14,"X","")</f>
        <v/>
      </c>
      <c r="BI56" s="145" t="str">
        <f>IF(COLUMN()-COLUMN($K56)+1&lt;=Dashboard!$D$14,"X","")</f>
        <v/>
      </c>
      <c r="BJ56" s="145" t="str">
        <f>IF(COLUMN()-COLUMN($K56)+1&lt;=Dashboard!$D$14,"X","")</f>
        <v/>
      </c>
      <c r="BK56" s="145" t="str">
        <f>IF(COLUMN()-COLUMN($K56)+1&lt;=Dashboard!$D$14,"X","")</f>
        <v/>
      </c>
      <c r="BL56" s="145" t="str">
        <f>IF(COLUMN()-COLUMN($K56)+1&lt;=Dashboard!$D$14,"X","")</f>
        <v/>
      </c>
      <c r="BM56" s="145" t="str">
        <f>IF(COLUMN()-COLUMN($K56)+1&lt;=Dashboard!$D$14,"X","")</f>
        <v/>
      </c>
      <c r="BN56" s="145" t="str">
        <f>IF(COLUMN()-COLUMN($K56)+1&lt;=Dashboard!$D$14,"X","")</f>
        <v/>
      </c>
      <c r="BO56" s="145" t="str">
        <f>IF(COLUMN()-COLUMN($K56)+1&lt;=Dashboard!$D$14,"X","")</f>
        <v/>
      </c>
      <c r="BP56" s="145" t="str">
        <f>IF(COLUMN()-COLUMN($K56)+1&lt;=Dashboard!$D$14,"X","")</f>
        <v/>
      </c>
      <c r="BQ56" s="145" t="str">
        <f>IF(COLUMN()-COLUMN($K56)+1&lt;=Dashboard!$D$14,"X","")</f>
        <v/>
      </c>
      <c r="BR56" s="145" t="str">
        <f>IF(COLUMN()-COLUMN($K56)+1&lt;=Dashboard!$D$14,"X","")</f>
        <v/>
      </c>
    </row>
    <row r="57" spans="4:70" ht="12" hidden="1" customHeight="1" outlineLevel="1">
      <c r="D57" s="621"/>
      <c r="E57" s="65"/>
      <c r="F57" s="143" t="str">
        <f>Tarefas!G9</f>
        <v>Equipe_07</v>
      </c>
      <c r="G57" s="143" t="str">
        <f>Tarefas!F9</f>
        <v>Equipe07</v>
      </c>
      <c r="H57" s="144">
        <f>Tarefas!O9</f>
        <v>0</v>
      </c>
      <c r="I57" s="144">
        <f t="shared" si="61"/>
        <v>10</v>
      </c>
      <c r="J57" s="65"/>
      <c r="K57" s="145" t="str">
        <f>IF(COLUMN()-COLUMN($K57)+1&lt;=Dashboard!$D$14,"X","")</f>
        <v>X</v>
      </c>
      <c r="L57" s="145" t="str">
        <f>IF(COLUMN()-COLUMN($K57)+1&lt;=Dashboard!$D$14,"X","")</f>
        <v>X</v>
      </c>
      <c r="M57" s="145" t="str">
        <f>IF(COLUMN()-COLUMN($K57)+1&lt;=Dashboard!$D$14,"X","")</f>
        <v>X</v>
      </c>
      <c r="N57" s="145" t="str">
        <f>IF(COLUMN()-COLUMN($K57)+1&lt;=Dashboard!$D$14,"X","")</f>
        <v>X</v>
      </c>
      <c r="O57" s="145" t="str">
        <f>IF(COLUMN()-COLUMN($K57)+1&lt;=Dashboard!$D$14,"X","")</f>
        <v>X</v>
      </c>
      <c r="P57" s="145" t="str">
        <f>IF(COLUMN()-COLUMN($K57)+1&lt;=Dashboard!$D$14,"X","")</f>
        <v>X</v>
      </c>
      <c r="Q57" s="145" t="str">
        <f>IF(COLUMN()-COLUMN($K57)+1&lt;=Dashboard!$D$14,"X","")</f>
        <v>X</v>
      </c>
      <c r="R57" s="145" t="str">
        <f>IF(COLUMN()-COLUMN($K57)+1&lt;=Dashboard!$D$14,"X","")</f>
        <v>X</v>
      </c>
      <c r="S57" s="145" t="str">
        <f>IF(COLUMN()-COLUMN($K57)+1&lt;=Dashboard!$D$14,"X","")</f>
        <v>X</v>
      </c>
      <c r="T57" s="145" t="str">
        <f>IF(COLUMN()-COLUMN($K57)+1&lt;=Dashboard!$D$14,"X","")</f>
        <v>X</v>
      </c>
      <c r="U57" s="145" t="str">
        <f>IF(COLUMN()-COLUMN($K57)+1&lt;=Dashboard!$D$14,"X","")</f>
        <v/>
      </c>
      <c r="V57" s="145" t="str">
        <f>IF(COLUMN()-COLUMN($K57)+1&lt;=Dashboard!$D$14,"X","")</f>
        <v/>
      </c>
      <c r="W57" s="145" t="str">
        <f>IF(COLUMN()-COLUMN($K57)+1&lt;=Dashboard!$D$14,"X","")</f>
        <v/>
      </c>
      <c r="X57" s="145" t="str">
        <f>IF(COLUMN()-COLUMN($K57)+1&lt;=Dashboard!$D$14,"X","")</f>
        <v/>
      </c>
      <c r="Y57" s="145" t="str">
        <f>IF(COLUMN()-COLUMN($K57)+1&lt;=Dashboard!$D$14,"X","")</f>
        <v/>
      </c>
      <c r="Z57" s="145" t="str">
        <f>IF(COLUMN()-COLUMN($K57)+1&lt;=Dashboard!$D$14,"X","")</f>
        <v/>
      </c>
      <c r="AA57" s="145" t="str">
        <f>IF(COLUMN()-COLUMN($K57)+1&lt;=Dashboard!$D$14,"X","")</f>
        <v/>
      </c>
      <c r="AB57" s="145" t="str">
        <f>IF(COLUMN()-COLUMN($K57)+1&lt;=Dashboard!$D$14,"X","")</f>
        <v/>
      </c>
      <c r="AC57" s="145" t="str">
        <f>IF(COLUMN()-COLUMN($K57)+1&lt;=Dashboard!$D$14,"X","")</f>
        <v/>
      </c>
      <c r="AD57" s="145" t="str">
        <f>IF(COLUMN()-COLUMN($K57)+1&lt;=Dashboard!$D$14,"X","")</f>
        <v/>
      </c>
      <c r="AE57" s="145" t="str">
        <f>IF(COLUMN()-COLUMN($K57)+1&lt;=Dashboard!$D$14,"X","")</f>
        <v/>
      </c>
      <c r="AF57" s="145" t="str">
        <f>IF(COLUMN()-COLUMN($K57)+1&lt;=Dashboard!$D$14,"X","")</f>
        <v/>
      </c>
      <c r="AG57" s="145" t="str">
        <f>IF(COLUMN()-COLUMN($K57)+1&lt;=Dashboard!$D$14,"X","")</f>
        <v/>
      </c>
      <c r="AH57" s="145" t="str">
        <f>IF(COLUMN()-COLUMN($K57)+1&lt;=Dashboard!$D$14,"X","")</f>
        <v/>
      </c>
      <c r="AI57" s="145" t="str">
        <f>IF(COLUMN()-COLUMN($K57)+1&lt;=Dashboard!$D$14,"X","")</f>
        <v/>
      </c>
      <c r="AJ57" s="145" t="str">
        <f>IF(COLUMN()-COLUMN($K57)+1&lt;=Dashboard!$D$14,"X","")</f>
        <v/>
      </c>
      <c r="AK57" s="145" t="str">
        <f>IF(COLUMN()-COLUMN($K57)+1&lt;=Dashboard!$D$14,"X","")</f>
        <v/>
      </c>
      <c r="AL57" s="145" t="str">
        <f>IF(COLUMN()-COLUMN($K57)+1&lt;=Dashboard!$D$14,"X","")</f>
        <v/>
      </c>
      <c r="AM57" s="145" t="str">
        <f>IF(COLUMN()-COLUMN($K57)+1&lt;=Dashboard!$D$14,"X","")</f>
        <v/>
      </c>
      <c r="AN57" s="145" t="str">
        <f>IF(COLUMN()-COLUMN($K57)+1&lt;=Dashboard!$D$14,"X","")</f>
        <v/>
      </c>
      <c r="AO57" s="145" t="str">
        <f>IF(COLUMN()-COLUMN($K57)+1&lt;=Dashboard!$D$14,"X","")</f>
        <v/>
      </c>
      <c r="AP57" s="145" t="str">
        <f>IF(COLUMN()-COLUMN($K57)+1&lt;=Dashboard!$D$14,"X","")</f>
        <v/>
      </c>
      <c r="AQ57" s="145" t="str">
        <f>IF(COLUMN()-COLUMN($K57)+1&lt;=Dashboard!$D$14,"X","")</f>
        <v/>
      </c>
      <c r="AR57" s="145" t="str">
        <f>IF(COLUMN()-COLUMN($K57)+1&lt;=Dashboard!$D$14,"X","")</f>
        <v/>
      </c>
      <c r="AS57" s="145" t="str">
        <f>IF(COLUMN()-COLUMN($K57)+1&lt;=Dashboard!$D$14,"X","")</f>
        <v/>
      </c>
      <c r="AT57" s="145" t="str">
        <f>IF(COLUMN()-COLUMN($K57)+1&lt;=Dashboard!$D$14,"X","")</f>
        <v/>
      </c>
      <c r="AU57" s="145" t="str">
        <f>IF(COLUMN()-COLUMN($K57)+1&lt;=Dashboard!$D$14,"X","")</f>
        <v/>
      </c>
      <c r="AV57" s="145" t="str">
        <f>IF(COLUMN()-COLUMN($K57)+1&lt;=Dashboard!$D$14,"X","")</f>
        <v/>
      </c>
      <c r="AW57" s="145" t="str">
        <f>IF(COLUMN()-COLUMN($K57)+1&lt;=Dashboard!$D$14,"X","")</f>
        <v/>
      </c>
      <c r="AX57" s="145" t="str">
        <f>IF(COLUMN()-COLUMN($K57)+1&lt;=Dashboard!$D$14,"X","")</f>
        <v/>
      </c>
      <c r="AY57" s="145" t="str">
        <f>IF(COLUMN()-COLUMN($K57)+1&lt;=Dashboard!$D$14,"X","")</f>
        <v/>
      </c>
      <c r="AZ57" s="145" t="str">
        <f>IF(COLUMN()-COLUMN($K57)+1&lt;=Dashboard!$D$14,"X","")</f>
        <v/>
      </c>
      <c r="BA57" s="145" t="str">
        <f>IF(COLUMN()-COLUMN($K57)+1&lt;=Dashboard!$D$14,"X","")</f>
        <v/>
      </c>
      <c r="BB57" s="145" t="str">
        <f>IF(COLUMN()-COLUMN($K57)+1&lt;=Dashboard!$D$14,"X","")</f>
        <v/>
      </c>
      <c r="BC57" s="145" t="str">
        <f>IF(COLUMN()-COLUMN($K57)+1&lt;=Dashboard!$D$14,"X","")</f>
        <v/>
      </c>
      <c r="BD57" s="145" t="str">
        <f>IF(COLUMN()-COLUMN($K57)+1&lt;=Dashboard!$D$14,"X","")</f>
        <v/>
      </c>
      <c r="BE57" s="145" t="str">
        <f>IF(COLUMN()-COLUMN($K57)+1&lt;=Dashboard!$D$14,"X","")</f>
        <v/>
      </c>
      <c r="BF57" s="145" t="str">
        <f>IF(COLUMN()-COLUMN($K57)+1&lt;=Dashboard!$D$14,"X","")</f>
        <v/>
      </c>
      <c r="BG57" s="145" t="str">
        <f>IF(COLUMN()-COLUMN($K57)+1&lt;=Dashboard!$D$14,"X","")</f>
        <v/>
      </c>
      <c r="BH57" s="145" t="str">
        <f>IF(COLUMN()-COLUMN($K57)+1&lt;=Dashboard!$D$14,"X","")</f>
        <v/>
      </c>
      <c r="BI57" s="145" t="str">
        <f>IF(COLUMN()-COLUMN($K57)+1&lt;=Dashboard!$D$14,"X","")</f>
        <v/>
      </c>
      <c r="BJ57" s="145" t="str">
        <f>IF(COLUMN()-COLUMN($K57)+1&lt;=Dashboard!$D$14,"X","")</f>
        <v/>
      </c>
      <c r="BK57" s="145" t="str">
        <f>IF(COLUMN()-COLUMN($K57)+1&lt;=Dashboard!$D$14,"X","")</f>
        <v/>
      </c>
      <c r="BL57" s="145" t="str">
        <f>IF(COLUMN()-COLUMN($K57)+1&lt;=Dashboard!$D$14,"X","")</f>
        <v/>
      </c>
      <c r="BM57" s="145" t="str">
        <f>IF(COLUMN()-COLUMN($K57)+1&lt;=Dashboard!$D$14,"X","")</f>
        <v/>
      </c>
      <c r="BN57" s="145" t="str">
        <f>IF(COLUMN()-COLUMN($K57)+1&lt;=Dashboard!$D$14,"X","")</f>
        <v/>
      </c>
      <c r="BO57" s="145" t="str">
        <f>IF(COLUMN()-COLUMN($K57)+1&lt;=Dashboard!$D$14,"X","")</f>
        <v/>
      </c>
      <c r="BP57" s="145" t="str">
        <f>IF(COLUMN()-COLUMN($K57)+1&lt;=Dashboard!$D$14,"X","")</f>
        <v/>
      </c>
      <c r="BQ57" s="145" t="str">
        <f>IF(COLUMN()-COLUMN($K57)+1&lt;=Dashboard!$D$14,"X","")</f>
        <v/>
      </c>
      <c r="BR57" s="145" t="str">
        <f>IF(COLUMN()-COLUMN($K57)+1&lt;=Dashboard!$D$14,"X","")</f>
        <v/>
      </c>
    </row>
    <row r="58" spans="4:70" ht="12" hidden="1" customHeight="1" outlineLevel="1">
      <c r="D58" s="621"/>
      <c r="E58" s="65"/>
      <c r="F58" s="143" t="str">
        <f>Tarefas!G10</f>
        <v>Equipe_08</v>
      </c>
      <c r="G58" s="143" t="str">
        <f>Tarefas!F10</f>
        <v>Equipe08</v>
      </c>
      <c r="H58" s="144">
        <f>Tarefas!O10</f>
        <v>0</v>
      </c>
      <c r="I58" s="144">
        <f t="shared" si="61"/>
        <v>10</v>
      </c>
      <c r="J58" s="65"/>
      <c r="K58" s="145" t="str">
        <f>IF(COLUMN()-COLUMN($K58)+1&lt;=Dashboard!$D$14,"X","")</f>
        <v>X</v>
      </c>
      <c r="L58" s="145" t="str">
        <f>IF(COLUMN()-COLUMN($K58)+1&lt;=Dashboard!$D$14,"X","")</f>
        <v>X</v>
      </c>
      <c r="M58" s="145" t="str">
        <f>IF(COLUMN()-COLUMN($K58)+1&lt;=Dashboard!$D$14,"X","")</f>
        <v>X</v>
      </c>
      <c r="N58" s="145" t="str">
        <f>IF(COLUMN()-COLUMN($K58)+1&lt;=Dashboard!$D$14,"X","")</f>
        <v>X</v>
      </c>
      <c r="O58" s="145" t="str">
        <f>IF(COLUMN()-COLUMN($K58)+1&lt;=Dashboard!$D$14,"X","")</f>
        <v>X</v>
      </c>
      <c r="P58" s="145" t="str">
        <f>IF(COLUMN()-COLUMN($K58)+1&lt;=Dashboard!$D$14,"X","")</f>
        <v>X</v>
      </c>
      <c r="Q58" s="145" t="str">
        <f>IF(COLUMN()-COLUMN($K58)+1&lt;=Dashboard!$D$14,"X","")</f>
        <v>X</v>
      </c>
      <c r="R58" s="145" t="str">
        <f>IF(COLUMN()-COLUMN($K58)+1&lt;=Dashboard!$D$14,"X","")</f>
        <v>X</v>
      </c>
      <c r="S58" s="145" t="str">
        <f>IF(COLUMN()-COLUMN($K58)+1&lt;=Dashboard!$D$14,"X","")</f>
        <v>X</v>
      </c>
      <c r="T58" s="145" t="str">
        <f>IF(COLUMN()-COLUMN($K58)+1&lt;=Dashboard!$D$14,"X","")</f>
        <v>X</v>
      </c>
      <c r="U58" s="145" t="str">
        <f>IF(COLUMN()-COLUMN($K58)+1&lt;=Dashboard!$D$14,"X","")</f>
        <v/>
      </c>
      <c r="V58" s="145" t="str">
        <f>IF(COLUMN()-COLUMN($K58)+1&lt;=Dashboard!$D$14,"X","")</f>
        <v/>
      </c>
      <c r="W58" s="145" t="str">
        <f>IF(COLUMN()-COLUMN($K58)+1&lt;=Dashboard!$D$14,"X","")</f>
        <v/>
      </c>
      <c r="X58" s="145" t="str">
        <f>IF(COLUMN()-COLUMN($K58)+1&lt;=Dashboard!$D$14,"X","")</f>
        <v/>
      </c>
      <c r="Y58" s="145" t="str">
        <f>IF(COLUMN()-COLUMN($K58)+1&lt;=Dashboard!$D$14,"X","")</f>
        <v/>
      </c>
      <c r="Z58" s="145" t="str">
        <f>IF(COLUMN()-COLUMN($K58)+1&lt;=Dashboard!$D$14,"X","")</f>
        <v/>
      </c>
      <c r="AA58" s="145" t="str">
        <f>IF(COLUMN()-COLUMN($K58)+1&lt;=Dashboard!$D$14,"X","")</f>
        <v/>
      </c>
      <c r="AB58" s="145" t="str">
        <f>IF(COLUMN()-COLUMN($K58)+1&lt;=Dashboard!$D$14,"X","")</f>
        <v/>
      </c>
      <c r="AC58" s="145" t="str">
        <f>IF(COLUMN()-COLUMN($K58)+1&lt;=Dashboard!$D$14,"X","")</f>
        <v/>
      </c>
      <c r="AD58" s="145" t="str">
        <f>IF(COLUMN()-COLUMN($K58)+1&lt;=Dashboard!$D$14,"X","")</f>
        <v/>
      </c>
      <c r="AE58" s="145" t="str">
        <f>IF(COLUMN()-COLUMN($K58)+1&lt;=Dashboard!$D$14,"X","")</f>
        <v/>
      </c>
      <c r="AF58" s="145" t="str">
        <f>IF(COLUMN()-COLUMN($K58)+1&lt;=Dashboard!$D$14,"X","")</f>
        <v/>
      </c>
      <c r="AG58" s="145" t="str">
        <f>IF(COLUMN()-COLUMN($K58)+1&lt;=Dashboard!$D$14,"X","")</f>
        <v/>
      </c>
      <c r="AH58" s="145" t="str">
        <f>IF(COLUMN()-COLUMN($K58)+1&lt;=Dashboard!$D$14,"X","")</f>
        <v/>
      </c>
      <c r="AI58" s="145" t="str">
        <f>IF(COLUMN()-COLUMN($K58)+1&lt;=Dashboard!$D$14,"X","")</f>
        <v/>
      </c>
      <c r="AJ58" s="145" t="str">
        <f>IF(COLUMN()-COLUMN($K58)+1&lt;=Dashboard!$D$14,"X","")</f>
        <v/>
      </c>
      <c r="AK58" s="145" t="str">
        <f>IF(COLUMN()-COLUMN($K58)+1&lt;=Dashboard!$D$14,"X","")</f>
        <v/>
      </c>
      <c r="AL58" s="145" t="str">
        <f>IF(COLUMN()-COLUMN($K58)+1&lt;=Dashboard!$D$14,"X","")</f>
        <v/>
      </c>
      <c r="AM58" s="145" t="str">
        <f>IF(COLUMN()-COLUMN($K58)+1&lt;=Dashboard!$D$14,"X","")</f>
        <v/>
      </c>
      <c r="AN58" s="145" t="str">
        <f>IF(COLUMN()-COLUMN($K58)+1&lt;=Dashboard!$D$14,"X","")</f>
        <v/>
      </c>
      <c r="AO58" s="145" t="str">
        <f>IF(COLUMN()-COLUMN($K58)+1&lt;=Dashboard!$D$14,"X","")</f>
        <v/>
      </c>
      <c r="AP58" s="145" t="str">
        <f>IF(COLUMN()-COLUMN($K58)+1&lt;=Dashboard!$D$14,"X","")</f>
        <v/>
      </c>
      <c r="AQ58" s="145" t="str">
        <f>IF(COLUMN()-COLUMN($K58)+1&lt;=Dashboard!$D$14,"X","")</f>
        <v/>
      </c>
      <c r="AR58" s="145" t="str">
        <f>IF(COLUMN()-COLUMN($K58)+1&lt;=Dashboard!$D$14,"X","")</f>
        <v/>
      </c>
      <c r="AS58" s="145" t="str">
        <f>IF(COLUMN()-COLUMN($K58)+1&lt;=Dashboard!$D$14,"X","")</f>
        <v/>
      </c>
      <c r="AT58" s="145" t="str">
        <f>IF(COLUMN()-COLUMN($K58)+1&lt;=Dashboard!$D$14,"X","")</f>
        <v/>
      </c>
      <c r="AU58" s="145" t="str">
        <f>IF(COLUMN()-COLUMN($K58)+1&lt;=Dashboard!$D$14,"X","")</f>
        <v/>
      </c>
      <c r="AV58" s="145" t="str">
        <f>IF(COLUMN()-COLUMN($K58)+1&lt;=Dashboard!$D$14,"X","")</f>
        <v/>
      </c>
      <c r="AW58" s="145" t="str">
        <f>IF(COLUMN()-COLUMN($K58)+1&lt;=Dashboard!$D$14,"X","")</f>
        <v/>
      </c>
      <c r="AX58" s="145" t="str">
        <f>IF(COLUMN()-COLUMN($K58)+1&lt;=Dashboard!$D$14,"X","")</f>
        <v/>
      </c>
      <c r="AY58" s="145" t="str">
        <f>IF(COLUMN()-COLUMN($K58)+1&lt;=Dashboard!$D$14,"X","")</f>
        <v/>
      </c>
      <c r="AZ58" s="145" t="str">
        <f>IF(COLUMN()-COLUMN($K58)+1&lt;=Dashboard!$D$14,"X","")</f>
        <v/>
      </c>
      <c r="BA58" s="145" t="str">
        <f>IF(COLUMN()-COLUMN($K58)+1&lt;=Dashboard!$D$14,"X","")</f>
        <v/>
      </c>
      <c r="BB58" s="145" t="str">
        <f>IF(COLUMN()-COLUMN($K58)+1&lt;=Dashboard!$D$14,"X","")</f>
        <v/>
      </c>
      <c r="BC58" s="145" t="str">
        <f>IF(COLUMN()-COLUMN($K58)+1&lt;=Dashboard!$D$14,"X","")</f>
        <v/>
      </c>
      <c r="BD58" s="145" t="str">
        <f>IF(COLUMN()-COLUMN($K58)+1&lt;=Dashboard!$D$14,"X","")</f>
        <v/>
      </c>
      <c r="BE58" s="145" t="str">
        <f>IF(COLUMN()-COLUMN($K58)+1&lt;=Dashboard!$D$14,"X","")</f>
        <v/>
      </c>
      <c r="BF58" s="145" t="str">
        <f>IF(COLUMN()-COLUMN($K58)+1&lt;=Dashboard!$D$14,"X","")</f>
        <v/>
      </c>
      <c r="BG58" s="145" t="str">
        <f>IF(COLUMN()-COLUMN($K58)+1&lt;=Dashboard!$D$14,"X","")</f>
        <v/>
      </c>
      <c r="BH58" s="145" t="str">
        <f>IF(COLUMN()-COLUMN($K58)+1&lt;=Dashboard!$D$14,"X","")</f>
        <v/>
      </c>
      <c r="BI58" s="145" t="str">
        <f>IF(COLUMN()-COLUMN($K58)+1&lt;=Dashboard!$D$14,"X","")</f>
        <v/>
      </c>
      <c r="BJ58" s="145" t="str">
        <f>IF(COLUMN()-COLUMN($K58)+1&lt;=Dashboard!$D$14,"X","")</f>
        <v/>
      </c>
      <c r="BK58" s="145" t="str">
        <f>IF(COLUMN()-COLUMN($K58)+1&lt;=Dashboard!$D$14,"X","")</f>
        <v/>
      </c>
      <c r="BL58" s="145" t="str">
        <f>IF(COLUMN()-COLUMN($K58)+1&lt;=Dashboard!$D$14,"X","")</f>
        <v/>
      </c>
      <c r="BM58" s="145" t="str">
        <f>IF(COLUMN()-COLUMN($K58)+1&lt;=Dashboard!$D$14,"X","")</f>
        <v/>
      </c>
      <c r="BN58" s="145" t="str">
        <f>IF(COLUMN()-COLUMN($K58)+1&lt;=Dashboard!$D$14,"X","")</f>
        <v/>
      </c>
      <c r="BO58" s="145" t="str">
        <f>IF(COLUMN()-COLUMN($K58)+1&lt;=Dashboard!$D$14,"X","")</f>
        <v/>
      </c>
      <c r="BP58" s="145" t="str">
        <f>IF(COLUMN()-COLUMN($K58)+1&lt;=Dashboard!$D$14,"X","")</f>
        <v/>
      </c>
      <c r="BQ58" s="145" t="str">
        <f>IF(COLUMN()-COLUMN($K58)+1&lt;=Dashboard!$D$14,"X","")</f>
        <v/>
      </c>
      <c r="BR58" s="145" t="str">
        <f>IF(COLUMN()-COLUMN($K58)+1&lt;=Dashboard!$D$14,"X","")</f>
        <v/>
      </c>
    </row>
    <row r="59" spans="4:70" ht="12" hidden="1" customHeight="1" outlineLevel="1">
      <c r="D59" s="621"/>
      <c r="E59" s="65"/>
      <c r="F59" s="143" t="str">
        <f>Tarefas!G11</f>
        <v>Equipe_09</v>
      </c>
      <c r="G59" s="143" t="str">
        <f>Tarefas!F11</f>
        <v>Equipe09</v>
      </c>
      <c r="H59" s="144">
        <f>Tarefas!O11</f>
        <v>0</v>
      </c>
      <c r="I59" s="144">
        <f t="shared" si="61"/>
        <v>10</v>
      </c>
      <c r="J59" s="65"/>
      <c r="K59" s="145" t="str">
        <f>IF(COLUMN()-COLUMN($K59)+1&lt;=Dashboard!$D$14,"X","")</f>
        <v>X</v>
      </c>
      <c r="L59" s="145" t="str">
        <f>IF(COLUMN()-COLUMN($K59)+1&lt;=Dashboard!$D$14,"X","")</f>
        <v>X</v>
      </c>
      <c r="M59" s="145" t="str">
        <f>IF(COLUMN()-COLUMN($K59)+1&lt;=Dashboard!$D$14,"X","")</f>
        <v>X</v>
      </c>
      <c r="N59" s="145" t="str">
        <f>IF(COLUMN()-COLUMN($K59)+1&lt;=Dashboard!$D$14,"X","")</f>
        <v>X</v>
      </c>
      <c r="O59" s="145" t="str">
        <f>IF(COLUMN()-COLUMN($K59)+1&lt;=Dashboard!$D$14,"X","")</f>
        <v>X</v>
      </c>
      <c r="P59" s="145" t="str">
        <f>IF(COLUMN()-COLUMN($K59)+1&lt;=Dashboard!$D$14,"X","")</f>
        <v>X</v>
      </c>
      <c r="Q59" s="145" t="str">
        <f>IF(COLUMN()-COLUMN($K59)+1&lt;=Dashboard!$D$14,"X","")</f>
        <v>X</v>
      </c>
      <c r="R59" s="145" t="str">
        <f>IF(COLUMN()-COLUMN($K59)+1&lt;=Dashboard!$D$14,"X","")</f>
        <v>X</v>
      </c>
      <c r="S59" s="145" t="str">
        <f>IF(COLUMN()-COLUMN($K59)+1&lt;=Dashboard!$D$14,"X","")</f>
        <v>X</v>
      </c>
      <c r="T59" s="145" t="str">
        <f>IF(COLUMN()-COLUMN($K59)+1&lt;=Dashboard!$D$14,"X","")</f>
        <v>X</v>
      </c>
      <c r="U59" s="145" t="str">
        <f>IF(COLUMN()-COLUMN($K59)+1&lt;=Dashboard!$D$14,"X","")</f>
        <v/>
      </c>
      <c r="V59" s="145" t="str">
        <f>IF(COLUMN()-COLUMN($K59)+1&lt;=Dashboard!$D$14,"X","")</f>
        <v/>
      </c>
      <c r="W59" s="145" t="str">
        <f>IF(COLUMN()-COLUMN($K59)+1&lt;=Dashboard!$D$14,"X","")</f>
        <v/>
      </c>
      <c r="X59" s="145" t="str">
        <f>IF(COLUMN()-COLUMN($K59)+1&lt;=Dashboard!$D$14,"X","")</f>
        <v/>
      </c>
      <c r="Y59" s="145" t="str">
        <f>IF(COLUMN()-COLUMN($K59)+1&lt;=Dashboard!$D$14,"X","")</f>
        <v/>
      </c>
      <c r="Z59" s="145" t="str">
        <f>IF(COLUMN()-COLUMN($K59)+1&lt;=Dashboard!$D$14,"X","")</f>
        <v/>
      </c>
      <c r="AA59" s="145" t="str">
        <f>IF(COLUMN()-COLUMN($K59)+1&lt;=Dashboard!$D$14,"X","")</f>
        <v/>
      </c>
      <c r="AB59" s="145" t="str">
        <f>IF(COLUMN()-COLUMN($K59)+1&lt;=Dashboard!$D$14,"X","")</f>
        <v/>
      </c>
      <c r="AC59" s="145" t="str">
        <f>IF(COLUMN()-COLUMN($K59)+1&lt;=Dashboard!$D$14,"X","")</f>
        <v/>
      </c>
      <c r="AD59" s="145" t="str">
        <f>IF(COLUMN()-COLUMN($K59)+1&lt;=Dashboard!$D$14,"X","")</f>
        <v/>
      </c>
      <c r="AE59" s="145" t="str">
        <f>IF(COLUMN()-COLUMN($K59)+1&lt;=Dashboard!$D$14,"X","")</f>
        <v/>
      </c>
      <c r="AF59" s="145" t="str">
        <f>IF(COLUMN()-COLUMN($K59)+1&lt;=Dashboard!$D$14,"X","")</f>
        <v/>
      </c>
      <c r="AG59" s="145" t="str">
        <f>IF(COLUMN()-COLUMN($K59)+1&lt;=Dashboard!$D$14,"X","")</f>
        <v/>
      </c>
      <c r="AH59" s="145" t="str">
        <f>IF(COLUMN()-COLUMN($K59)+1&lt;=Dashboard!$D$14,"X","")</f>
        <v/>
      </c>
      <c r="AI59" s="145" t="str">
        <f>IF(COLUMN()-COLUMN($K59)+1&lt;=Dashboard!$D$14,"X","")</f>
        <v/>
      </c>
      <c r="AJ59" s="145" t="str">
        <f>IF(COLUMN()-COLUMN($K59)+1&lt;=Dashboard!$D$14,"X","")</f>
        <v/>
      </c>
      <c r="AK59" s="145" t="str">
        <f>IF(COLUMN()-COLUMN($K59)+1&lt;=Dashboard!$D$14,"X","")</f>
        <v/>
      </c>
      <c r="AL59" s="145" t="str">
        <f>IF(COLUMN()-COLUMN($K59)+1&lt;=Dashboard!$D$14,"X","")</f>
        <v/>
      </c>
      <c r="AM59" s="145" t="str">
        <f>IF(COLUMN()-COLUMN($K59)+1&lt;=Dashboard!$D$14,"X","")</f>
        <v/>
      </c>
      <c r="AN59" s="145" t="str">
        <f>IF(COLUMN()-COLUMN($K59)+1&lt;=Dashboard!$D$14,"X","")</f>
        <v/>
      </c>
      <c r="AO59" s="145" t="str">
        <f>IF(COLUMN()-COLUMN($K59)+1&lt;=Dashboard!$D$14,"X","")</f>
        <v/>
      </c>
      <c r="AP59" s="145" t="str">
        <f>IF(COLUMN()-COLUMN($K59)+1&lt;=Dashboard!$D$14,"X","")</f>
        <v/>
      </c>
      <c r="AQ59" s="145" t="str">
        <f>IF(COLUMN()-COLUMN($K59)+1&lt;=Dashboard!$D$14,"X","")</f>
        <v/>
      </c>
      <c r="AR59" s="145" t="str">
        <f>IF(COLUMN()-COLUMN($K59)+1&lt;=Dashboard!$D$14,"X","")</f>
        <v/>
      </c>
      <c r="AS59" s="145" t="str">
        <f>IF(COLUMN()-COLUMN($K59)+1&lt;=Dashboard!$D$14,"X","")</f>
        <v/>
      </c>
      <c r="AT59" s="145" t="str">
        <f>IF(COLUMN()-COLUMN($K59)+1&lt;=Dashboard!$D$14,"X","")</f>
        <v/>
      </c>
      <c r="AU59" s="145" t="str">
        <f>IF(COLUMN()-COLUMN($K59)+1&lt;=Dashboard!$D$14,"X","")</f>
        <v/>
      </c>
      <c r="AV59" s="145" t="str">
        <f>IF(COLUMN()-COLUMN($K59)+1&lt;=Dashboard!$D$14,"X","")</f>
        <v/>
      </c>
      <c r="AW59" s="145" t="str">
        <f>IF(COLUMN()-COLUMN($K59)+1&lt;=Dashboard!$D$14,"X","")</f>
        <v/>
      </c>
      <c r="AX59" s="145" t="str">
        <f>IF(COLUMN()-COLUMN($K59)+1&lt;=Dashboard!$D$14,"X","")</f>
        <v/>
      </c>
      <c r="AY59" s="145" t="str">
        <f>IF(COLUMN()-COLUMN($K59)+1&lt;=Dashboard!$D$14,"X","")</f>
        <v/>
      </c>
      <c r="AZ59" s="145" t="str">
        <f>IF(COLUMN()-COLUMN($K59)+1&lt;=Dashboard!$D$14,"X","")</f>
        <v/>
      </c>
      <c r="BA59" s="145" t="str">
        <f>IF(COLUMN()-COLUMN($K59)+1&lt;=Dashboard!$D$14,"X","")</f>
        <v/>
      </c>
      <c r="BB59" s="145" t="str">
        <f>IF(COLUMN()-COLUMN($K59)+1&lt;=Dashboard!$D$14,"X","")</f>
        <v/>
      </c>
      <c r="BC59" s="145" t="str">
        <f>IF(COLUMN()-COLUMN($K59)+1&lt;=Dashboard!$D$14,"X","")</f>
        <v/>
      </c>
      <c r="BD59" s="145" t="str">
        <f>IF(COLUMN()-COLUMN($K59)+1&lt;=Dashboard!$D$14,"X","")</f>
        <v/>
      </c>
      <c r="BE59" s="145" t="str">
        <f>IF(COLUMN()-COLUMN($K59)+1&lt;=Dashboard!$D$14,"X","")</f>
        <v/>
      </c>
      <c r="BF59" s="145" t="str">
        <f>IF(COLUMN()-COLUMN($K59)+1&lt;=Dashboard!$D$14,"X","")</f>
        <v/>
      </c>
      <c r="BG59" s="145" t="str">
        <f>IF(COLUMN()-COLUMN($K59)+1&lt;=Dashboard!$D$14,"X","")</f>
        <v/>
      </c>
      <c r="BH59" s="145" t="str">
        <f>IF(COLUMN()-COLUMN($K59)+1&lt;=Dashboard!$D$14,"X","")</f>
        <v/>
      </c>
      <c r="BI59" s="145" t="str">
        <f>IF(COLUMN()-COLUMN($K59)+1&lt;=Dashboard!$D$14,"X","")</f>
        <v/>
      </c>
      <c r="BJ59" s="145" t="str">
        <f>IF(COLUMN()-COLUMN($K59)+1&lt;=Dashboard!$D$14,"X","")</f>
        <v/>
      </c>
      <c r="BK59" s="145" t="str">
        <f>IF(COLUMN()-COLUMN($K59)+1&lt;=Dashboard!$D$14,"X","")</f>
        <v/>
      </c>
      <c r="BL59" s="145" t="str">
        <f>IF(COLUMN()-COLUMN($K59)+1&lt;=Dashboard!$D$14,"X","")</f>
        <v/>
      </c>
      <c r="BM59" s="145" t="str">
        <f>IF(COLUMN()-COLUMN($K59)+1&lt;=Dashboard!$D$14,"X","")</f>
        <v/>
      </c>
      <c r="BN59" s="145" t="str">
        <f>IF(COLUMN()-COLUMN($K59)+1&lt;=Dashboard!$D$14,"X","")</f>
        <v/>
      </c>
      <c r="BO59" s="145" t="str">
        <f>IF(COLUMN()-COLUMN($K59)+1&lt;=Dashboard!$D$14,"X","")</f>
        <v/>
      </c>
      <c r="BP59" s="145" t="str">
        <f>IF(COLUMN()-COLUMN($K59)+1&lt;=Dashboard!$D$14,"X","")</f>
        <v/>
      </c>
      <c r="BQ59" s="145" t="str">
        <f>IF(COLUMN()-COLUMN($K59)+1&lt;=Dashboard!$D$14,"X","")</f>
        <v/>
      </c>
      <c r="BR59" s="145" t="str">
        <f>IF(COLUMN()-COLUMN($K59)+1&lt;=Dashboard!$D$14,"X","")</f>
        <v/>
      </c>
    </row>
    <row r="60" spans="4:70" ht="12" hidden="1" customHeight="1" outlineLevel="1">
      <c r="D60" s="621"/>
      <c r="E60" s="65"/>
      <c r="F60" s="143" t="str">
        <f>Tarefas!G12</f>
        <v>Equipe_10</v>
      </c>
      <c r="G60" s="143" t="str">
        <f>Tarefas!F12</f>
        <v>Equipe10</v>
      </c>
      <c r="H60" s="144">
        <f>Tarefas!O12</f>
        <v>133.10000000000002</v>
      </c>
      <c r="I60" s="144">
        <f t="shared" si="61"/>
        <v>10</v>
      </c>
      <c r="J60" s="65"/>
      <c r="K60" s="145" t="str">
        <f>IF(COLUMN()-COLUMN($K60)+1&lt;=Dashboard!$D$14,"X","")</f>
        <v>X</v>
      </c>
      <c r="L60" s="145" t="str">
        <f>IF(COLUMN()-COLUMN($K60)+1&lt;=Dashboard!$D$14,"X","")</f>
        <v>X</v>
      </c>
      <c r="M60" s="145" t="str">
        <f>IF(COLUMN()-COLUMN($K60)+1&lt;=Dashboard!$D$14,"X","")</f>
        <v>X</v>
      </c>
      <c r="N60" s="145" t="str">
        <f>IF(COLUMN()-COLUMN($K60)+1&lt;=Dashboard!$D$14,"X","")</f>
        <v>X</v>
      </c>
      <c r="O60" s="145" t="str">
        <f>IF(COLUMN()-COLUMN($K60)+1&lt;=Dashboard!$D$14,"X","")</f>
        <v>X</v>
      </c>
      <c r="P60" s="145" t="str">
        <f>IF(COLUMN()-COLUMN($K60)+1&lt;=Dashboard!$D$14,"X","")</f>
        <v>X</v>
      </c>
      <c r="Q60" s="145" t="str">
        <f>IF(COLUMN()-COLUMN($K60)+1&lt;=Dashboard!$D$14,"X","")</f>
        <v>X</v>
      </c>
      <c r="R60" s="145" t="str">
        <f>IF(COLUMN()-COLUMN($K60)+1&lt;=Dashboard!$D$14,"X","")</f>
        <v>X</v>
      </c>
      <c r="S60" s="145" t="str">
        <f>IF(COLUMN()-COLUMN($K60)+1&lt;=Dashboard!$D$14,"X","")</f>
        <v>X</v>
      </c>
      <c r="T60" s="145" t="str">
        <f>IF(COLUMN()-COLUMN($K60)+1&lt;=Dashboard!$D$14,"X","")</f>
        <v>X</v>
      </c>
      <c r="U60" s="145" t="str">
        <f>IF(COLUMN()-COLUMN($K60)+1&lt;=Dashboard!$D$14,"X","")</f>
        <v/>
      </c>
      <c r="V60" s="145" t="str">
        <f>IF(COLUMN()-COLUMN($K60)+1&lt;=Dashboard!$D$14,"X","")</f>
        <v/>
      </c>
      <c r="W60" s="145" t="str">
        <f>IF(COLUMN()-COLUMN($K60)+1&lt;=Dashboard!$D$14,"X","")</f>
        <v/>
      </c>
      <c r="X60" s="145" t="str">
        <f>IF(COLUMN()-COLUMN($K60)+1&lt;=Dashboard!$D$14,"X","")</f>
        <v/>
      </c>
      <c r="Y60" s="145" t="str">
        <f>IF(COLUMN()-COLUMN($K60)+1&lt;=Dashboard!$D$14,"X","")</f>
        <v/>
      </c>
      <c r="Z60" s="145" t="str">
        <f>IF(COLUMN()-COLUMN($K60)+1&lt;=Dashboard!$D$14,"X","")</f>
        <v/>
      </c>
      <c r="AA60" s="145" t="str">
        <f>IF(COLUMN()-COLUMN($K60)+1&lt;=Dashboard!$D$14,"X","")</f>
        <v/>
      </c>
      <c r="AB60" s="145" t="str">
        <f>IF(COLUMN()-COLUMN($K60)+1&lt;=Dashboard!$D$14,"X","")</f>
        <v/>
      </c>
      <c r="AC60" s="145" t="str">
        <f>IF(COLUMN()-COLUMN($K60)+1&lt;=Dashboard!$D$14,"X","")</f>
        <v/>
      </c>
      <c r="AD60" s="145" t="str">
        <f>IF(COLUMN()-COLUMN($K60)+1&lt;=Dashboard!$D$14,"X","")</f>
        <v/>
      </c>
      <c r="AE60" s="145" t="str">
        <f>IF(COLUMN()-COLUMN($K60)+1&lt;=Dashboard!$D$14,"X","")</f>
        <v/>
      </c>
      <c r="AF60" s="145" t="str">
        <f>IF(COLUMN()-COLUMN($K60)+1&lt;=Dashboard!$D$14,"X","")</f>
        <v/>
      </c>
      <c r="AG60" s="145" t="str">
        <f>IF(COLUMN()-COLUMN($K60)+1&lt;=Dashboard!$D$14,"X","")</f>
        <v/>
      </c>
      <c r="AH60" s="145" t="str">
        <f>IF(COLUMN()-COLUMN($K60)+1&lt;=Dashboard!$D$14,"X","")</f>
        <v/>
      </c>
      <c r="AI60" s="145" t="str">
        <f>IF(COLUMN()-COLUMN($K60)+1&lt;=Dashboard!$D$14,"X","")</f>
        <v/>
      </c>
      <c r="AJ60" s="145" t="str">
        <f>IF(COLUMN()-COLUMN($K60)+1&lt;=Dashboard!$D$14,"X","")</f>
        <v/>
      </c>
      <c r="AK60" s="145" t="str">
        <f>IF(COLUMN()-COLUMN($K60)+1&lt;=Dashboard!$D$14,"X","")</f>
        <v/>
      </c>
      <c r="AL60" s="145" t="str">
        <f>IF(COLUMN()-COLUMN($K60)+1&lt;=Dashboard!$D$14,"X","")</f>
        <v/>
      </c>
      <c r="AM60" s="145" t="str">
        <f>IF(COLUMN()-COLUMN($K60)+1&lt;=Dashboard!$D$14,"X","")</f>
        <v/>
      </c>
      <c r="AN60" s="145" t="str">
        <f>IF(COLUMN()-COLUMN($K60)+1&lt;=Dashboard!$D$14,"X","")</f>
        <v/>
      </c>
      <c r="AO60" s="145" t="str">
        <f>IF(COLUMN()-COLUMN($K60)+1&lt;=Dashboard!$D$14,"X","")</f>
        <v/>
      </c>
      <c r="AP60" s="145" t="str">
        <f>IF(COLUMN()-COLUMN($K60)+1&lt;=Dashboard!$D$14,"X","")</f>
        <v/>
      </c>
      <c r="AQ60" s="145" t="str">
        <f>IF(COLUMN()-COLUMN($K60)+1&lt;=Dashboard!$D$14,"X","")</f>
        <v/>
      </c>
      <c r="AR60" s="145" t="str">
        <f>IF(COLUMN()-COLUMN($K60)+1&lt;=Dashboard!$D$14,"X","")</f>
        <v/>
      </c>
      <c r="AS60" s="145" t="str">
        <f>IF(COLUMN()-COLUMN($K60)+1&lt;=Dashboard!$D$14,"X","")</f>
        <v/>
      </c>
      <c r="AT60" s="145" t="str">
        <f>IF(COLUMN()-COLUMN($K60)+1&lt;=Dashboard!$D$14,"X","")</f>
        <v/>
      </c>
      <c r="AU60" s="145" t="str">
        <f>IF(COLUMN()-COLUMN($K60)+1&lt;=Dashboard!$D$14,"X","")</f>
        <v/>
      </c>
      <c r="AV60" s="145" t="str">
        <f>IF(COLUMN()-COLUMN($K60)+1&lt;=Dashboard!$D$14,"X","")</f>
        <v/>
      </c>
      <c r="AW60" s="145" t="str">
        <f>IF(COLUMN()-COLUMN($K60)+1&lt;=Dashboard!$D$14,"X","")</f>
        <v/>
      </c>
      <c r="AX60" s="145" t="str">
        <f>IF(COLUMN()-COLUMN($K60)+1&lt;=Dashboard!$D$14,"X","")</f>
        <v/>
      </c>
      <c r="AY60" s="145" t="str">
        <f>IF(COLUMN()-COLUMN($K60)+1&lt;=Dashboard!$D$14,"X","")</f>
        <v/>
      </c>
      <c r="AZ60" s="145" t="str">
        <f>IF(COLUMN()-COLUMN($K60)+1&lt;=Dashboard!$D$14,"X","")</f>
        <v/>
      </c>
      <c r="BA60" s="145" t="str">
        <f>IF(COLUMN()-COLUMN($K60)+1&lt;=Dashboard!$D$14,"X","")</f>
        <v/>
      </c>
      <c r="BB60" s="145" t="str">
        <f>IF(COLUMN()-COLUMN($K60)+1&lt;=Dashboard!$D$14,"X","")</f>
        <v/>
      </c>
      <c r="BC60" s="145" t="str">
        <f>IF(COLUMN()-COLUMN($K60)+1&lt;=Dashboard!$D$14,"X","")</f>
        <v/>
      </c>
      <c r="BD60" s="145" t="str">
        <f>IF(COLUMN()-COLUMN($K60)+1&lt;=Dashboard!$D$14,"X","")</f>
        <v/>
      </c>
      <c r="BE60" s="145" t="str">
        <f>IF(COLUMN()-COLUMN($K60)+1&lt;=Dashboard!$D$14,"X","")</f>
        <v/>
      </c>
      <c r="BF60" s="145" t="str">
        <f>IF(COLUMN()-COLUMN($K60)+1&lt;=Dashboard!$D$14,"X","")</f>
        <v/>
      </c>
      <c r="BG60" s="145" t="str">
        <f>IF(COLUMN()-COLUMN($K60)+1&lt;=Dashboard!$D$14,"X","")</f>
        <v/>
      </c>
      <c r="BH60" s="145" t="str">
        <f>IF(COLUMN()-COLUMN($K60)+1&lt;=Dashboard!$D$14,"X","")</f>
        <v/>
      </c>
      <c r="BI60" s="145" t="str">
        <f>IF(COLUMN()-COLUMN($K60)+1&lt;=Dashboard!$D$14,"X","")</f>
        <v/>
      </c>
      <c r="BJ60" s="145" t="str">
        <f>IF(COLUMN()-COLUMN($K60)+1&lt;=Dashboard!$D$14,"X","")</f>
        <v/>
      </c>
      <c r="BK60" s="145" t="str">
        <f>IF(COLUMN()-COLUMN($K60)+1&lt;=Dashboard!$D$14,"X","")</f>
        <v/>
      </c>
      <c r="BL60" s="145" t="str">
        <f>IF(COLUMN()-COLUMN($K60)+1&lt;=Dashboard!$D$14,"X","")</f>
        <v/>
      </c>
      <c r="BM60" s="145" t="str">
        <f>IF(COLUMN()-COLUMN($K60)+1&lt;=Dashboard!$D$14,"X","")</f>
        <v/>
      </c>
      <c r="BN60" s="145" t="str">
        <f>IF(COLUMN()-COLUMN($K60)+1&lt;=Dashboard!$D$14,"X","")</f>
        <v/>
      </c>
      <c r="BO60" s="145" t="str">
        <f>IF(COLUMN()-COLUMN($K60)+1&lt;=Dashboard!$D$14,"X","")</f>
        <v/>
      </c>
      <c r="BP60" s="145" t="str">
        <f>IF(COLUMN()-COLUMN($K60)+1&lt;=Dashboard!$D$14,"X","")</f>
        <v/>
      </c>
      <c r="BQ60" s="145" t="str">
        <f>IF(COLUMN()-COLUMN($K60)+1&lt;=Dashboard!$D$14,"X","")</f>
        <v/>
      </c>
      <c r="BR60" s="145" t="str">
        <f>IF(COLUMN()-COLUMN($K60)+1&lt;=Dashboard!$D$14,"X","")</f>
        <v/>
      </c>
    </row>
    <row r="61" spans="4:70" ht="12" hidden="1" customHeight="1" outlineLevel="1">
      <c r="D61" s="621"/>
      <c r="E61" s="65"/>
      <c r="F61" s="143" t="str">
        <f>Tarefas!G13</f>
        <v>Equipe_11</v>
      </c>
      <c r="G61" s="143" t="str">
        <f>Tarefas!F13</f>
        <v>Equipe11</v>
      </c>
      <c r="H61" s="144">
        <f>Tarefas!O13</f>
        <v>0</v>
      </c>
      <c r="I61" s="144">
        <f t="shared" si="61"/>
        <v>10</v>
      </c>
      <c r="J61" s="65"/>
      <c r="K61" s="145" t="str">
        <f>IF(COLUMN()-COLUMN($K61)+1&lt;=Dashboard!$D$14,"X","")</f>
        <v>X</v>
      </c>
      <c r="L61" s="145" t="str">
        <f>IF(COLUMN()-COLUMN($K61)+1&lt;=Dashboard!$D$14,"X","")</f>
        <v>X</v>
      </c>
      <c r="M61" s="145" t="str">
        <f>IF(COLUMN()-COLUMN($K61)+1&lt;=Dashboard!$D$14,"X","")</f>
        <v>X</v>
      </c>
      <c r="N61" s="145" t="str">
        <f>IF(COLUMN()-COLUMN($K61)+1&lt;=Dashboard!$D$14,"X","")</f>
        <v>X</v>
      </c>
      <c r="O61" s="145" t="str">
        <f>IF(COLUMN()-COLUMN($K61)+1&lt;=Dashboard!$D$14,"X","")</f>
        <v>X</v>
      </c>
      <c r="P61" s="145" t="str">
        <f>IF(COLUMN()-COLUMN($K61)+1&lt;=Dashboard!$D$14,"X","")</f>
        <v>X</v>
      </c>
      <c r="Q61" s="145" t="str">
        <f>IF(COLUMN()-COLUMN($K61)+1&lt;=Dashboard!$D$14,"X","")</f>
        <v>X</v>
      </c>
      <c r="R61" s="145" t="str">
        <f>IF(COLUMN()-COLUMN($K61)+1&lt;=Dashboard!$D$14,"X","")</f>
        <v>X</v>
      </c>
      <c r="S61" s="145" t="str">
        <f>IF(COLUMN()-COLUMN($K61)+1&lt;=Dashboard!$D$14,"X","")</f>
        <v>X</v>
      </c>
      <c r="T61" s="145" t="str">
        <f>IF(COLUMN()-COLUMN($K61)+1&lt;=Dashboard!$D$14,"X","")</f>
        <v>X</v>
      </c>
      <c r="U61" s="145" t="str">
        <f>IF(COLUMN()-COLUMN($K61)+1&lt;=Dashboard!$D$14,"X","")</f>
        <v/>
      </c>
      <c r="V61" s="145" t="str">
        <f>IF(COLUMN()-COLUMN($K61)+1&lt;=Dashboard!$D$14,"X","")</f>
        <v/>
      </c>
      <c r="W61" s="145" t="str">
        <f>IF(COLUMN()-COLUMN($K61)+1&lt;=Dashboard!$D$14,"X","")</f>
        <v/>
      </c>
      <c r="X61" s="145" t="str">
        <f>IF(COLUMN()-COLUMN($K61)+1&lt;=Dashboard!$D$14,"X","")</f>
        <v/>
      </c>
      <c r="Y61" s="145" t="str">
        <f>IF(COLUMN()-COLUMN($K61)+1&lt;=Dashboard!$D$14,"X","")</f>
        <v/>
      </c>
      <c r="Z61" s="145" t="str">
        <f>IF(COLUMN()-COLUMN($K61)+1&lt;=Dashboard!$D$14,"X","")</f>
        <v/>
      </c>
      <c r="AA61" s="145" t="str">
        <f>IF(COLUMN()-COLUMN($K61)+1&lt;=Dashboard!$D$14,"X","")</f>
        <v/>
      </c>
      <c r="AB61" s="145" t="str">
        <f>IF(COLUMN()-COLUMN($K61)+1&lt;=Dashboard!$D$14,"X","")</f>
        <v/>
      </c>
      <c r="AC61" s="145" t="str">
        <f>IF(COLUMN()-COLUMN($K61)+1&lt;=Dashboard!$D$14,"X","")</f>
        <v/>
      </c>
      <c r="AD61" s="145" t="str">
        <f>IF(COLUMN()-COLUMN($K61)+1&lt;=Dashboard!$D$14,"X","")</f>
        <v/>
      </c>
      <c r="AE61" s="145" t="str">
        <f>IF(COLUMN()-COLUMN($K61)+1&lt;=Dashboard!$D$14,"X","")</f>
        <v/>
      </c>
      <c r="AF61" s="145" t="str">
        <f>IF(COLUMN()-COLUMN($K61)+1&lt;=Dashboard!$D$14,"X","")</f>
        <v/>
      </c>
      <c r="AG61" s="145" t="str">
        <f>IF(COLUMN()-COLUMN($K61)+1&lt;=Dashboard!$D$14,"X","")</f>
        <v/>
      </c>
      <c r="AH61" s="145" t="str">
        <f>IF(COLUMN()-COLUMN($K61)+1&lt;=Dashboard!$D$14,"X","")</f>
        <v/>
      </c>
      <c r="AI61" s="145" t="str">
        <f>IF(COLUMN()-COLUMN($K61)+1&lt;=Dashboard!$D$14,"X","")</f>
        <v/>
      </c>
      <c r="AJ61" s="145" t="str">
        <f>IF(COLUMN()-COLUMN($K61)+1&lt;=Dashboard!$D$14,"X","")</f>
        <v/>
      </c>
      <c r="AK61" s="145" t="str">
        <f>IF(COLUMN()-COLUMN($K61)+1&lt;=Dashboard!$D$14,"X","")</f>
        <v/>
      </c>
      <c r="AL61" s="145" t="str">
        <f>IF(COLUMN()-COLUMN($K61)+1&lt;=Dashboard!$D$14,"X","")</f>
        <v/>
      </c>
      <c r="AM61" s="145" t="str">
        <f>IF(COLUMN()-COLUMN($K61)+1&lt;=Dashboard!$D$14,"X","")</f>
        <v/>
      </c>
      <c r="AN61" s="145" t="str">
        <f>IF(COLUMN()-COLUMN($K61)+1&lt;=Dashboard!$D$14,"X","")</f>
        <v/>
      </c>
      <c r="AO61" s="145" t="str">
        <f>IF(COLUMN()-COLUMN($K61)+1&lt;=Dashboard!$D$14,"X","")</f>
        <v/>
      </c>
      <c r="AP61" s="145" t="str">
        <f>IF(COLUMN()-COLUMN($K61)+1&lt;=Dashboard!$D$14,"X","")</f>
        <v/>
      </c>
      <c r="AQ61" s="145" t="str">
        <f>IF(COLUMN()-COLUMN($K61)+1&lt;=Dashboard!$D$14,"X","")</f>
        <v/>
      </c>
      <c r="AR61" s="145" t="str">
        <f>IF(COLUMN()-COLUMN($K61)+1&lt;=Dashboard!$D$14,"X","")</f>
        <v/>
      </c>
      <c r="AS61" s="145" t="str">
        <f>IF(COLUMN()-COLUMN($K61)+1&lt;=Dashboard!$D$14,"X","")</f>
        <v/>
      </c>
      <c r="AT61" s="145" t="str">
        <f>IF(COLUMN()-COLUMN($K61)+1&lt;=Dashboard!$D$14,"X","")</f>
        <v/>
      </c>
      <c r="AU61" s="145" t="str">
        <f>IF(COLUMN()-COLUMN($K61)+1&lt;=Dashboard!$D$14,"X","")</f>
        <v/>
      </c>
      <c r="AV61" s="145" t="str">
        <f>IF(COLUMN()-COLUMN($K61)+1&lt;=Dashboard!$D$14,"X","")</f>
        <v/>
      </c>
      <c r="AW61" s="145" t="str">
        <f>IF(COLUMN()-COLUMN($K61)+1&lt;=Dashboard!$D$14,"X","")</f>
        <v/>
      </c>
      <c r="AX61" s="145" t="str">
        <f>IF(COLUMN()-COLUMN($K61)+1&lt;=Dashboard!$D$14,"X","")</f>
        <v/>
      </c>
      <c r="AY61" s="145" t="str">
        <f>IF(COLUMN()-COLUMN($K61)+1&lt;=Dashboard!$D$14,"X","")</f>
        <v/>
      </c>
      <c r="AZ61" s="145" t="str">
        <f>IF(COLUMN()-COLUMN($K61)+1&lt;=Dashboard!$D$14,"X","")</f>
        <v/>
      </c>
      <c r="BA61" s="145" t="str">
        <f>IF(COLUMN()-COLUMN($K61)+1&lt;=Dashboard!$D$14,"X","")</f>
        <v/>
      </c>
      <c r="BB61" s="145" t="str">
        <f>IF(COLUMN()-COLUMN($K61)+1&lt;=Dashboard!$D$14,"X","")</f>
        <v/>
      </c>
      <c r="BC61" s="145" t="str">
        <f>IF(COLUMN()-COLUMN($K61)+1&lt;=Dashboard!$D$14,"X","")</f>
        <v/>
      </c>
      <c r="BD61" s="145" t="str">
        <f>IF(COLUMN()-COLUMN($K61)+1&lt;=Dashboard!$D$14,"X","")</f>
        <v/>
      </c>
      <c r="BE61" s="145" t="str">
        <f>IF(COLUMN()-COLUMN($K61)+1&lt;=Dashboard!$D$14,"X","")</f>
        <v/>
      </c>
      <c r="BF61" s="145" t="str">
        <f>IF(COLUMN()-COLUMN($K61)+1&lt;=Dashboard!$D$14,"X","")</f>
        <v/>
      </c>
      <c r="BG61" s="145" t="str">
        <f>IF(COLUMN()-COLUMN($K61)+1&lt;=Dashboard!$D$14,"X","")</f>
        <v/>
      </c>
      <c r="BH61" s="145" t="str">
        <f>IF(COLUMN()-COLUMN($K61)+1&lt;=Dashboard!$D$14,"X","")</f>
        <v/>
      </c>
      <c r="BI61" s="145" t="str">
        <f>IF(COLUMN()-COLUMN($K61)+1&lt;=Dashboard!$D$14,"X","")</f>
        <v/>
      </c>
      <c r="BJ61" s="145" t="str">
        <f>IF(COLUMN()-COLUMN($K61)+1&lt;=Dashboard!$D$14,"X","")</f>
        <v/>
      </c>
      <c r="BK61" s="145" t="str">
        <f>IF(COLUMN()-COLUMN($K61)+1&lt;=Dashboard!$D$14,"X","")</f>
        <v/>
      </c>
      <c r="BL61" s="145" t="str">
        <f>IF(COLUMN()-COLUMN($K61)+1&lt;=Dashboard!$D$14,"X","")</f>
        <v/>
      </c>
      <c r="BM61" s="145" t="str">
        <f>IF(COLUMN()-COLUMN($K61)+1&lt;=Dashboard!$D$14,"X","")</f>
        <v/>
      </c>
      <c r="BN61" s="145" t="str">
        <f>IF(COLUMN()-COLUMN($K61)+1&lt;=Dashboard!$D$14,"X","")</f>
        <v/>
      </c>
      <c r="BO61" s="145" t="str">
        <f>IF(COLUMN()-COLUMN($K61)+1&lt;=Dashboard!$D$14,"X","")</f>
        <v/>
      </c>
      <c r="BP61" s="145" t="str">
        <f>IF(COLUMN()-COLUMN($K61)+1&lt;=Dashboard!$D$14,"X","")</f>
        <v/>
      </c>
      <c r="BQ61" s="145" t="str">
        <f>IF(COLUMN()-COLUMN($K61)+1&lt;=Dashboard!$D$14,"X","")</f>
        <v/>
      </c>
      <c r="BR61" s="145" t="str">
        <f>IF(COLUMN()-COLUMN($K61)+1&lt;=Dashboard!$D$14,"X","")</f>
        <v/>
      </c>
    </row>
    <row r="62" spans="4:70" ht="12" hidden="1" customHeight="1" outlineLevel="1">
      <c r="D62" s="621"/>
      <c r="E62" s="65"/>
      <c r="F62" s="143" t="str">
        <f>Tarefas!G14</f>
        <v>Equipe_12</v>
      </c>
      <c r="G62" s="143" t="str">
        <f>Tarefas!F14</f>
        <v>Equipe12</v>
      </c>
      <c r="H62" s="144">
        <f>Tarefas!O14</f>
        <v>0</v>
      </c>
      <c r="I62" s="144">
        <f t="shared" si="61"/>
        <v>10</v>
      </c>
      <c r="J62" s="65"/>
      <c r="K62" s="145" t="str">
        <f>IF(COLUMN()-COLUMN($K62)+1&lt;=Dashboard!$D$14,"X","")</f>
        <v>X</v>
      </c>
      <c r="L62" s="145" t="str">
        <f>IF(COLUMN()-COLUMN($K62)+1&lt;=Dashboard!$D$14,"X","")</f>
        <v>X</v>
      </c>
      <c r="M62" s="145" t="str">
        <f>IF(COLUMN()-COLUMN($K62)+1&lt;=Dashboard!$D$14,"X","")</f>
        <v>X</v>
      </c>
      <c r="N62" s="145" t="str">
        <f>IF(COLUMN()-COLUMN($K62)+1&lt;=Dashboard!$D$14,"X","")</f>
        <v>X</v>
      </c>
      <c r="O62" s="145" t="str">
        <f>IF(COLUMN()-COLUMN($K62)+1&lt;=Dashboard!$D$14,"X","")</f>
        <v>X</v>
      </c>
      <c r="P62" s="145" t="str">
        <f>IF(COLUMN()-COLUMN($K62)+1&lt;=Dashboard!$D$14,"X","")</f>
        <v>X</v>
      </c>
      <c r="Q62" s="145" t="str">
        <f>IF(COLUMN()-COLUMN($K62)+1&lt;=Dashboard!$D$14,"X","")</f>
        <v>X</v>
      </c>
      <c r="R62" s="145" t="str">
        <f>IF(COLUMN()-COLUMN($K62)+1&lt;=Dashboard!$D$14,"X","")</f>
        <v>X</v>
      </c>
      <c r="S62" s="145" t="str">
        <f>IF(COLUMN()-COLUMN($K62)+1&lt;=Dashboard!$D$14,"X","")</f>
        <v>X</v>
      </c>
      <c r="T62" s="145" t="str">
        <f>IF(COLUMN()-COLUMN($K62)+1&lt;=Dashboard!$D$14,"X","")</f>
        <v>X</v>
      </c>
      <c r="U62" s="145" t="str">
        <f>IF(COLUMN()-COLUMN($K62)+1&lt;=Dashboard!$D$14,"X","")</f>
        <v/>
      </c>
      <c r="V62" s="145" t="str">
        <f>IF(COLUMN()-COLUMN($K62)+1&lt;=Dashboard!$D$14,"X","")</f>
        <v/>
      </c>
      <c r="W62" s="145" t="str">
        <f>IF(COLUMN()-COLUMN($K62)+1&lt;=Dashboard!$D$14,"X","")</f>
        <v/>
      </c>
      <c r="X62" s="145" t="str">
        <f>IF(COLUMN()-COLUMN($K62)+1&lt;=Dashboard!$D$14,"X","")</f>
        <v/>
      </c>
      <c r="Y62" s="145" t="str">
        <f>IF(COLUMN()-COLUMN($K62)+1&lt;=Dashboard!$D$14,"X","")</f>
        <v/>
      </c>
      <c r="Z62" s="145" t="str">
        <f>IF(COLUMN()-COLUMN($K62)+1&lt;=Dashboard!$D$14,"X","")</f>
        <v/>
      </c>
      <c r="AA62" s="145" t="str">
        <f>IF(COLUMN()-COLUMN($K62)+1&lt;=Dashboard!$D$14,"X","")</f>
        <v/>
      </c>
      <c r="AB62" s="145" t="str">
        <f>IF(COLUMN()-COLUMN($K62)+1&lt;=Dashboard!$D$14,"X","")</f>
        <v/>
      </c>
      <c r="AC62" s="145" t="str">
        <f>IF(COLUMN()-COLUMN($K62)+1&lt;=Dashboard!$D$14,"X","")</f>
        <v/>
      </c>
      <c r="AD62" s="145" t="str">
        <f>IF(COLUMN()-COLUMN($K62)+1&lt;=Dashboard!$D$14,"X","")</f>
        <v/>
      </c>
      <c r="AE62" s="145" t="str">
        <f>IF(COLUMN()-COLUMN($K62)+1&lt;=Dashboard!$D$14,"X","")</f>
        <v/>
      </c>
      <c r="AF62" s="145" t="str">
        <f>IF(COLUMN()-COLUMN($K62)+1&lt;=Dashboard!$D$14,"X","")</f>
        <v/>
      </c>
      <c r="AG62" s="145" t="str">
        <f>IF(COLUMN()-COLUMN($K62)+1&lt;=Dashboard!$D$14,"X","")</f>
        <v/>
      </c>
      <c r="AH62" s="145" t="str">
        <f>IF(COLUMN()-COLUMN($K62)+1&lt;=Dashboard!$D$14,"X","")</f>
        <v/>
      </c>
      <c r="AI62" s="145" t="str">
        <f>IF(COLUMN()-COLUMN($K62)+1&lt;=Dashboard!$D$14,"X","")</f>
        <v/>
      </c>
      <c r="AJ62" s="145" t="str">
        <f>IF(COLUMN()-COLUMN($K62)+1&lt;=Dashboard!$D$14,"X","")</f>
        <v/>
      </c>
      <c r="AK62" s="145" t="str">
        <f>IF(COLUMN()-COLUMN($K62)+1&lt;=Dashboard!$D$14,"X","")</f>
        <v/>
      </c>
      <c r="AL62" s="145" t="str">
        <f>IF(COLUMN()-COLUMN($K62)+1&lt;=Dashboard!$D$14,"X","")</f>
        <v/>
      </c>
      <c r="AM62" s="145" t="str">
        <f>IF(COLUMN()-COLUMN($K62)+1&lt;=Dashboard!$D$14,"X","")</f>
        <v/>
      </c>
      <c r="AN62" s="145" t="str">
        <f>IF(COLUMN()-COLUMN($K62)+1&lt;=Dashboard!$D$14,"X","")</f>
        <v/>
      </c>
      <c r="AO62" s="145" t="str">
        <f>IF(COLUMN()-COLUMN($K62)+1&lt;=Dashboard!$D$14,"X","")</f>
        <v/>
      </c>
      <c r="AP62" s="145" t="str">
        <f>IF(COLUMN()-COLUMN($K62)+1&lt;=Dashboard!$D$14,"X","")</f>
        <v/>
      </c>
      <c r="AQ62" s="145" t="str">
        <f>IF(COLUMN()-COLUMN($K62)+1&lt;=Dashboard!$D$14,"X","")</f>
        <v/>
      </c>
      <c r="AR62" s="145" t="str">
        <f>IF(COLUMN()-COLUMN($K62)+1&lt;=Dashboard!$D$14,"X","")</f>
        <v/>
      </c>
      <c r="AS62" s="145" t="str">
        <f>IF(COLUMN()-COLUMN($K62)+1&lt;=Dashboard!$D$14,"X","")</f>
        <v/>
      </c>
      <c r="AT62" s="145" t="str">
        <f>IF(COLUMN()-COLUMN($K62)+1&lt;=Dashboard!$D$14,"X","")</f>
        <v/>
      </c>
      <c r="AU62" s="145" t="str">
        <f>IF(COLUMN()-COLUMN($K62)+1&lt;=Dashboard!$D$14,"X","")</f>
        <v/>
      </c>
      <c r="AV62" s="145" t="str">
        <f>IF(COLUMN()-COLUMN($K62)+1&lt;=Dashboard!$D$14,"X","")</f>
        <v/>
      </c>
      <c r="AW62" s="145" t="str">
        <f>IF(COLUMN()-COLUMN($K62)+1&lt;=Dashboard!$D$14,"X","")</f>
        <v/>
      </c>
      <c r="AX62" s="145" t="str">
        <f>IF(COLUMN()-COLUMN($K62)+1&lt;=Dashboard!$D$14,"X","")</f>
        <v/>
      </c>
      <c r="AY62" s="145" t="str">
        <f>IF(COLUMN()-COLUMN($K62)+1&lt;=Dashboard!$D$14,"X","")</f>
        <v/>
      </c>
      <c r="AZ62" s="145" t="str">
        <f>IF(COLUMN()-COLUMN($K62)+1&lt;=Dashboard!$D$14,"X","")</f>
        <v/>
      </c>
      <c r="BA62" s="145" t="str">
        <f>IF(COLUMN()-COLUMN($K62)+1&lt;=Dashboard!$D$14,"X","")</f>
        <v/>
      </c>
      <c r="BB62" s="145" t="str">
        <f>IF(COLUMN()-COLUMN($K62)+1&lt;=Dashboard!$D$14,"X","")</f>
        <v/>
      </c>
      <c r="BC62" s="145" t="str">
        <f>IF(COLUMN()-COLUMN($K62)+1&lt;=Dashboard!$D$14,"X","")</f>
        <v/>
      </c>
      <c r="BD62" s="145" t="str">
        <f>IF(COLUMN()-COLUMN($K62)+1&lt;=Dashboard!$D$14,"X","")</f>
        <v/>
      </c>
      <c r="BE62" s="145" t="str">
        <f>IF(COLUMN()-COLUMN($K62)+1&lt;=Dashboard!$D$14,"X","")</f>
        <v/>
      </c>
      <c r="BF62" s="145" t="str">
        <f>IF(COLUMN()-COLUMN($K62)+1&lt;=Dashboard!$D$14,"X","")</f>
        <v/>
      </c>
      <c r="BG62" s="145" t="str">
        <f>IF(COLUMN()-COLUMN($K62)+1&lt;=Dashboard!$D$14,"X","")</f>
        <v/>
      </c>
      <c r="BH62" s="145" t="str">
        <f>IF(COLUMN()-COLUMN($K62)+1&lt;=Dashboard!$D$14,"X","")</f>
        <v/>
      </c>
      <c r="BI62" s="145" t="str">
        <f>IF(COLUMN()-COLUMN($K62)+1&lt;=Dashboard!$D$14,"X","")</f>
        <v/>
      </c>
      <c r="BJ62" s="145" t="str">
        <f>IF(COLUMN()-COLUMN($K62)+1&lt;=Dashboard!$D$14,"X","")</f>
        <v/>
      </c>
      <c r="BK62" s="145" t="str">
        <f>IF(COLUMN()-COLUMN($K62)+1&lt;=Dashboard!$D$14,"X","")</f>
        <v/>
      </c>
      <c r="BL62" s="145" t="str">
        <f>IF(COLUMN()-COLUMN($K62)+1&lt;=Dashboard!$D$14,"X","")</f>
        <v/>
      </c>
      <c r="BM62" s="145" t="str">
        <f>IF(COLUMN()-COLUMN($K62)+1&lt;=Dashboard!$D$14,"X","")</f>
        <v/>
      </c>
      <c r="BN62" s="145" t="str">
        <f>IF(COLUMN()-COLUMN($K62)+1&lt;=Dashboard!$D$14,"X","")</f>
        <v/>
      </c>
      <c r="BO62" s="145" t="str">
        <f>IF(COLUMN()-COLUMN($K62)+1&lt;=Dashboard!$D$14,"X","")</f>
        <v/>
      </c>
      <c r="BP62" s="145" t="str">
        <f>IF(COLUMN()-COLUMN($K62)+1&lt;=Dashboard!$D$14,"X","")</f>
        <v/>
      </c>
      <c r="BQ62" s="145" t="str">
        <f>IF(COLUMN()-COLUMN($K62)+1&lt;=Dashboard!$D$14,"X","")</f>
        <v/>
      </c>
      <c r="BR62" s="145" t="str">
        <f>IF(COLUMN()-COLUMN($K62)+1&lt;=Dashboard!$D$14,"X","")</f>
        <v/>
      </c>
    </row>
    <row r="63" spans="4:70" ht="12" hidden="1" customHeight="1" outlineLevel="1">
      <c r="D63" s="621"/>
      <c r="E63" s="65"/>
      <c r="F63" s="143" t="str">
        <f>Tarefas!G15</f>
        <v>Equipe_13</v>
      </c>
      <c r="G63" s="143" t="str">
        <f>Tarefas!F15</f>
        <v>Equipe13</v>
      </c>
      <c r="H63" s="144">
        <f>Tarefas!O15</f>
        <v>0</v>
      </c>
      <c r="I63" s="144">
        <f t="shared" si="61"/>
        <v>10</v>
      </c>
      <c r="J63" s="65"/>
      <c r="K63" s="145" t="str">
        <f>IF(COLUMN()-COLUMN($K63)+1&lt;=Dashboard!$D$14,"X","")</f>
        <v>X</v>
      </c>
      <c r="L63" s="145" t="str">
        <f>IF(COLUMN()-COLUMN($K63)+1&lt;=Dashboard!$D$14,"X","")</f>
        <v>X</v>
      </c>
      <c r="M63" s="145" t="str">
        <f>IF(COLUMN()-COLUMN($K63)+1&lt;=Dashboard!$D$14,"X","")</f>
        <v>X</v>
      </c>
      <c r="N63" s="145" t="str">
        <f>IF(COLUMN()-COLUMN($K63)+1&lt;=Dashboard!$D$14,"X","")</f>
        <v>X</v>
      </c>
      <c r="O63" s="145" t="str">
        <f>IF(COLUMN()-COLUMN($K63)+1&lt;=Dashboard!$D$14,"X","")</f>
        <v>X</v>
      </c>
      <c r="P63" s="145" t="str">
        <f>IF(COLUMN()-COLUMN($K63)+1&lt;=Dashboard!$D$14,"X","")</f>
        <v>X</v>
      </c>
      <c r="Q63" s="145" t="str">
        <f>IF(COLUMN()-COLUMN($K63)+1&lt;=Dashboard!$D$14,"X","")</f>
        <v>X</v>
      </c>
      <c r="R63" s="145" t="str">
        <f>IF(COLUMN()-COLUMN($K63)+1&lt;=Dashboard!$D$14,"X","")</f>
        <v>X</v>
      </c>
      <c r="S63" s="145" t="str">
        <f>IF(COLUMN()-COLUMN($K63)+1&lt;=Dashboard!$D$14,"X","")</f>
        <v>X</v>
      </c>
      <c r="T63" s="145" t="str">
        <f>IF(COLUMN()-COLUMN($K63)+1&lt;=Dashboard!$D$14,"X","")</f>
        <v>X</v>
      </c>
      <c r="U63" s="145" t="str">
        <f>IF(COLUMN()-COLUMN($K63)+1&lt;=Dashboard!$D$14,"X","")</f>
        <v/>
      </c>
      <c r="V63" s="145" t="str">
        <f>IF(COLUMN()-COLUMN($K63)+1&lt;=Dashboard!$D$14,"X","")</f>
        <v/>
      </c>
      <c r="W63" s="145" t="str">
        <f>IF(COLUMN()-COLUMN($K63)+1&lt;=Dashboard!$D$14,"X","")</f>
        <v/>
      </c>
      <c r="X63" s="145" t="str">
        <f>IF(COLUMN()-COLUMN($K63)+1&lt;=Dashboard!$D$14,"X","")</f>
        <v/>
      </c>
      <c r="Y63" s="145" t="str">
        <f>IF(COLUMN()-COLUMN($K63)+1&lt;=Dashboard!$D$14,"X","")</f>
        <v/>
      </c>
      <c r="Z63" s="145" t="str">
        <f>IF(COLUMN()-COLUMN($K63)+1&lt;=Dashboard!$D$14,"X","")</f>
        <v/>
      </c>
      <c r="AA63" s="145" t="str">
        <f>IF(COLUMN()-COLUMN($K63)+1&lt;=Dashboard!$D$14,"X","")</f>
        <v/>
      </c>
      <c r="AB63" s="145" t="str">
        <f>IF(COLUMN()-COLUMN($K63)+1&lt;=Dashboard!$D$14,"X","")</f>
        <v/>
      </c>
      <c r="AC63" s="145" t="str">
        <f>IF(COLUMN()-COLUMN($K63)+1&lt;=Dashboard!$D$14,"X","")</f>
        <v/>
      </c>
      <c r="AD63" s="145" t="str">
        <f>IF(COLUMN()-COLUMN($K63)+1&lt;=Dashboard!$D$14,"X","")</f>
        <v/>
      </c>
      <c r="AE63" s="145" t="str">
        <f>IF(COLUMN()-COLUMN($K63)+1&lt;=Dashboard!$D$14,"X","")</f>
        <v/>
      </c>
      <c r="AF63" s="145" t="str">
        <f>IF(COLUMN()-COLUMN($K63)+1&lt;=Dashboard!$D$14,"X","")</f>
        <v/>
      </c>
      <c r="AG63" s="145" t="str">
        <f>IF(COLUMN()-COLUMN($K63)+1&lt;=Dashboard!$D$14,"X","")</f>
        <v/>
      </c>
      <c r="AH63" s="145" t="str">
        <f>IF(COLUMN()-COLUMN($K63)+1&lt;=Dashboard!$D$14,"X","")</f>
        <v/>
      </c>
      <c r="AI63" s="145" t="str">
        <f>IF(COLUMN()-COLUMN($K63)+1&lt;=Dashboard!$D$14,"X","")</f>
        <v/>
      </c>
      <c r="AJ63" s="145" t="str">
        <f>IF(COLUMN()-COLUMN($K63)+1&lt;=Dashboard!$D$14,"X","")</f>
        <v/>
      </c>
      <c r="AK63" s="145" t="str">
        <f>IF(COLUMN()-COLUMN($K63)+1&lt;=Dashboard!$D$14,"X","")</f>
        <v/>
      </c>
      <c r="AL63" s="145" t="str">
        <f>IF(COLUMN()-COLUMN($K63)+1&lt;=Dashboard!$D$14,"X","")</f>
        <v/>
      </c>
      <c r="AM63" s="145" t="str">
        <f>IF(COLUMN()-COLUMN($K63)+1&lt;=Dashboard!$D$14,"X","")</f>
        <v/>
      </c>
      <c r="AN63" s="145" t="str">
        <f>IF(COLUMN()-COLUMN($K63)+1&lt;=Dashboard!$D$14,"X","")</f>
        <v/>
      </c>
      <c r="AO63" s="145" t="str">
        <f>IF(COLUMN()-COLUMN($K63)+1&lt;=Dashboard!$D$14,"X","")</f>
        <v/>
      </c>
      <c r="AP63" s="145" t="str">
        <f>IF(COLUMN()-COLUMN($K63)+1&lt;=Dashboard!$D$14,"X","")</f>
        <v/>
      </c>
      <c r="AQ63" s="145" t="str">
        <f>IF(COLUMN()-COLUMN($K63)+1&lt;=Dashboard!$D$14,"X","")</f>
        <v/>
      </c>
      <c r="AR63" s="145" t="str">
        <f>IF(COLUMN()-COLUMN($K63)+1&lt;=Dashboard!$D$14,"X","")</f>
        <v/>
      </c>
      <c r="AS63" s="145" t="str">
        <f>IF(COLUMN()-COLUMN($K63)+1&lt;=Dashboard!$D$14,"X","")</f>
        <v/>
      </c>
      <c r="AT63" s="145" t="str">
        <f>IF(COLUMN()-COLUMN($K63)+1&lt;=Dashboard!$D$14,"X","")</f>
        <v/>
      </c>
      <c r="AU63" s="145" t="str">
        <f>IF(COLUMN()-COLUMN($K63)+1&lt;=Dashboard!$D$14,"X","")</f>
        <v/>
      </c>
      <c r="AV63" s="145" t="str">
        <f>IF(COLUMN()-COLUMN($K63)+1&lt;=Dashboard!$D$14,"X","")</f>
        <v/>
      </c>
      <c r="AW63" s="145" t="str">
        <f>IF(COLUMN()-COLUMN($K63)+1&lt;=Dashboard!$D$14,"X","")</f>
        <v/>
      </c>
      <c r="AX63" s="145" t="str">
        <f>IF(COLUMN()-COLUMN($K63)+1&lt;=Dashboard!$D$14,"X","")</f>
        <v/>
      </c>
      <c r="AY63" s="145" t="str">
        <f>IF(COLUMN()-COLUMN($K63)+1&lt;=Dashboard!$D$14,"X","")</f>
        <v/>
      </c>
      <c r="AZ63" s="145" t="str">
        <f>IF(COLUMN()-COLUMN($K63)+1&lt;=Dashboard!$D$14,"X","")</f>
        <v/>
      </c>
      <c r="BA63" s="145" t="str">
        <f>IF(COLUMN()-COLUMN($K63)+1&lt;=Dashboard!$D$14,"X","")</f>
        <v/>
      </c>
      <c r="BB63" s="145" t="str">
        <f>IF(COLUMN()-COLUMN($K63)+1&lt;=Dashboard!$D$14,"X","")</f>
        <v/>
      </c>
      <c r="BC63" s="145" t="str">
        <f>IF(COLUMN()-COLUMN($K63)+1&lt;=Dashboard!$D$14,"X","")</f>
        <v/>
      </c>
      <c r="BD63" s="145" t="str">
        <f>IF(COLUMN()-COLUMN($K63)+1&lt;=Dashboard!$D$14,"X","")</f>
        <v/>
      </c>
      <c r="BE63" s="145" t="str">
        <f>IF(COLUMN()-COLUMN($K63)+1&lt;=Dashboard!$D$14,"X","")</f>
        <v/>
      </c>
      <c r="BF63" s="145" t="str">
        <f>IF(COLUMN()-COLUMN($K63)+1&lt;=Dashboard!$D$14,"X","")</f>
        <v/>
      </c>
      <c r="BG63" s="145" t="str">
        <f>IF(COLUMN()-COLUMN($K63)+1&lt;=Dashboard!$D$14,"X","")</f>
        <v/>
      </c>
      <c r="BH63" s="145" t="str">
        <f>IF(COLUMN()-COLUMN($K63)+1&lt;=Dashboard!$D$14,"X","")</f>
        <v/>
      </c>
      <c r="BI63" s="145" t="str">
        <f>IF(COLUMN()-COLUMN($K63)+1&lt;=Dashboard!$D$14,"X","")</f>
        <v/>
      </c>
      <c r="BJ63" s="145" t="str">
        <f>IF(COLUMN()-COLUMN($K63)+1&lt;=Dashboard!$D$14,"X","")</f>
        <v/>
      </c>
      <c r="BK63" s="145" t="str">
        <f>IF(COLUMN()-COLUMN($K63)+1&lt;=Dashboard!$D$14,"X","")</f>
        <v/>
      </c>
      <c r="BL63" s="145" t="str">
        <f>IF(COLUMN()-COLUMN($K63)+1&lt;=Dashboard!$D$14,"X","")</f>
        <v/>
      </c>
      <c r="BM63" s="145" t="str">
        <f>IF(COLUMN()-COLUMN($K63)+1&lt;=Dashboard!$D$14,"X","")</f>
        <v/>
      </c>
      <c r="BN63" s="145" t="str">
        <f>IF(COLUMN()-COLUMN($K63)+1&lt;=Dashboard!$D$14,"X","")</f>
        <v/>
      </c>
      <c r="BO63" s="145" t="str">
        <f>IF(COLUMN()-COLUMN($K63)+1&lt;=Dashboard!$D$14,"X","")</f>
        <v/>
      </c>
      <c r="BP63" s="145" t="str">
        <f>IF(COLUMN()-COLUMN($K63)+1&lt;=Dashboard!$D$14,"X","")</f>
        <v/>
      </c>
      <c r="BQ63" s="145" t="str">
        <f>IF(COLUMN()-COLUMN($K63)+1&lt;=Dashboard!$D$14,"X","")</f>
        <v/>
      </c>
      <c r="BR63" s="145" t="str">
        <f>IF(COLUMN()-COLUMN($K63)+1&lt;=Dashboard!$D$14,"X","")</f>
        <v/>
      </c>
    </row>
    <row r="64" spans="4:70" ht="12" hidden="1" customHeight="1" outlineLevel="1">
      <c r="D64" s="621"/>
      <c r="E64" s="65"/>
      <c r="F64" s="143" t="str">
        <f>Tarefas!G16</f>
        <v>Equipe_14</v>
      </c>
      <c r="G64" s="143" t="str">
        <f>Tarefas!F16</f>
        <v>Equipe14</v>
      </c>
      <c r="H64" s="144">
        <f>Tarefas!O16</f>
        <v>0</v>
      </c>
      <c r="I64" s="144">
        <f t="shared" si="61"/>
        <v>10</v>
      </c>
      <c r="J64" s="65"/>
      <c r="K64" s="145" t="str">
        <f>IF(COLUMN()-COLUMN($K64)+1&lt;=Dashboard!$D$14,"X","")</f>
        <v>X</v>
      </c>
      <c r="L64" s="145" t="str">
        <f>IF(COLUMN()-COLUMN($K64)+1&lt;=Dashboard!$D$14,"X","")</f>
        <v>X</v>
      </c>
      <c r="M64" s="145" t="str">
        <f>IF(COLUMN()-COLUMN($K64)+1&lt;=Dashboard!$D$14,"X","")</f>
        <v>X</v>
      </c>
      <c r="N64" s="145" t="str">
        <f>IF(COLUMN()-COLUMN($K64)+1&lt;=Dashboard!$D$14,"X","")</f>
        <v>X</v>
      </c>
      <c r="O64" s="145" t="str">
        <f>IF(COLUMN()-COLUMN($K64)+1&lt;=Dashboard!$D$14,"X","")</f>
        <v>X</v>
      </c>
      <c r="P64" s="145" t="str">
        <f>IF(COLUMN()-COLUMN($K64)+1&lt;=Dashboard!$D$14,"X","")</f>
        <v>X</v>
      </c>
      <c r="Q64" s="145" t="str">
        <f>IF(COLUMN()-COLUMN($K64)+1&lt;=Dashboard!$D$14,"X","")</f>
        <v>X</v>
      </c>
      <c r="R64" s="145" t="str">
        <f>IF(COLUMN()-COLUMN($K64)+1&lt;=Dashboard!$D$14,"X","")</f>
        <v>X</v>
      </c>
      <c r="S64" s="145" t="str">
        <f>IF(COLUMN()-COLUMN($K64)+1&lt;=Dashboard!$D$14,"X","")</f>
        <v>X</v>
      </c>
      <c r="T64" s="145" t="str">
        <f>IF(COLUMN()-COLUMN($K64)+1&lt;=Dashboard!$D$14,"X","")</f>
        <v>X</v>
      </c>
      <c r="U64" s="145" t="str">
        <f>IF(COLUMN()-COLUMN($K64)+1&lt;=Dashboard!$D$14,"X","")</f>
        <v/>
      </c>
      <c r="V64" s="145" t="str">
        <f>IF(COLUMN()-COLUMN($K64)+1&lt;=Dashboard!$D$14,"X","")</f>
        <v/>
      </c>
      <c r="W64" s="145" t="str">
        <f>IF(COLUMN()-COLUMN($K64)+1&lt;=Dashboard!$D$14,"X","")</f>
        <v/>
      </c>
      <c r="X64" s="145" t="str">
        <f>IF(COLUMN()-COLUMN($K64)+1&lt;=Dashboard!$D$14,"X","")</f>
        <v/>
      </c>
      <c r="Y64" s="145" t="str">
        <f>IF(COLUMN()-COLUMN($K64)+1&lt;=Dashboard!$D$14,"X","")</f>
        <v/>
      </c>
      <c r="Z64" s="145" t="str">
        <f>IF(COLUMN()-COLUMN($K64)+1&lt;=Dashboard!$D$14,"X","")</f>
        <v/>
      </c>
      <c r="AA64" s="145" t="str">
        <f>IF(COLUMN()-COLUMN($K64)+1&lt;=Dashboard!$D$14,"X","")</f>
        <v/>
      </c>
      <c r="AB64" s="145" t="str">
        <f>IF(COLUMN()-COLUMN($K64)+1&lt;=Dashboard!$D$14,"X","")</f>
        <v/>
      </c>
      <c r="AC64" s="145" t="str">
        <f>IF(COLUMN()-COLUMN($K64)+1&lt;=Dashboard!$D$14,"X","")</f>
        <v/>
      </c>
      <c r="AD64" s="145" t="str">
        <f>IF(COLUMN()-COLUMN($K64)+1&lt;=Dashboard!$D$14,"X","")</f>
        <v/>
      </c>
      <c r="AE64" s="145" t="str">
        <f>IF(COLUMN()-COLUMN($K64)+1&lt;=Dashboard!$D$14,"X","")</f>
        <v/>
      </c>
      <c r="AF64" s="145" t="str">
        <f>IF(COLUMN()-COLUMN($K64)+1&lt;=Dashboard!$D$14,"X","")</f>
        <v/>
      </c>
      <c r="AG64" s="145" t="str">
        <f>IF(COLUMN()-COLUMN($K64)+1&lt;=Dashboard!$D$14,"X","")</f>
        <v/>
      </c>
      <c r="AH64" s="145" t="str">
        <f>IF(COLUMN()-COLUMN($K64)+1&lt;=Dashboard!$D$14,"X","")</f>
        <v/>
      </c>
      <c r="AI64" s="145" t="str">
        <f>IF(COLUMN()-COLUMN($K64)+1&lt;=Dashboard!$D$14,"X","")</f>
        <v/>
      </c>
      <c r="AJ64" s="145" t="str">
        <f>IF(COLUMN()-COLUMN($K64)+1&lt;=Dashboard!$D$14,"X","")</f>
        <v/>
      </c>
      <c r="AK64" s="145" t="str">
        <f>IF(COLUMN()-COLUMN($K64)+1&lt;=Dashboard!$D$14,"X","")</f>
        <v/>
      </c>
      <c r="AL64" s="145" t="str">
        <f>IF(COLUMN()-COLUMN($K64)+1&lt;=Dashboard!$D$14,"X","")</f>
        <v/>
      </c>
      <c r="AM64" s="145" t="str">
        <f>IF(COLUMN()-COLUMN($K64)+1&lt;=Dashboard!$D$14,"X","")</f>
        <v/>
      </c>
      <c r="AN64" s="145" t="str">
        <f>IF(COLUMN()-COLUMN($K64)+1&lt;=Dashboard!$D$14,"X","")</f>
        <v/>
      </c>
      <c r="AO64" s="145" t="str">
        <f>IF(COLUMN()-COLUMN($K64)+1&lt;=Dashboard!$D$14,"X","")</f>
        <v/>
      </c>
      <c r="AP64" s="145" t="str">
        <f>IF(COLUMN()-COLUMN($K64)+1&lt;=Dashboard!$D$14,"X","")</f>
        <v/>
      </c>
      <c r="AQ64" s="145" t="str">
        <f>IF(COLUMN()-COLUMN($K64)+1&lt;=Dashboard!$D$14,"X","")</f>
        <v/>
      </c>
      <c r="AR64" s="145" t="str">
        <f>IF(COLUMN()-COLUMN($K64)+1&lt;=Dashboard!$D$14,"X","")</f>
        <v/>
      </c>
      <c r="AS64" s="145" t="str">
        <f>IF(COLUMN()-COLUMN($K64)+1&lt;=Dashboard!$D$14,"X","")</f>
        <v/>
      </c>
      <c r="AT64" s="145" t="str">
        <f>IF(COLUMN()-COLUMN($K64)+1&lt;=Dashboard!$D$14,"X","")</f>
        <v/>
      </c>
      <c r="AU64" s="145" t="str">
        <f>IF(COLUMN()-COLUMN($K64)+1&lt;=Dashboard!$D$14,"X","")</f>
        <v/>
      </c>
      <c r="AV64" s="145" t="str">
        <f>IF(COLUMN()-COLUMN($K64)+1&lt;=Dashboard!$D$14,"X","")</f>
        <v/>
      </c>
      <c r="AW64" s="145" t="str">
        <f>IF(COLUMN()-COLUMN($K64)+1&lt;=Dashboard!$D$14,"X","")</f>
        <v/>
      </c>
      <c r="AX64" s="145" t="str">
        <f>IF(COLUMN()-COLUMN($K64)+1&lt;=Dashboard!$D$14,"X","")</f>
        <v/>
      </c>
      <c r="AY64" s="145" t="str">
        <f>IF(COLUMN()-COLUMN($K64)+1&lt;=Dashboard!$D$14,"X","")</f>
        <v/>
      </c>
      <c r="AZ64" s="145" t="str">
        <f>IF(COLUMN()-COLUMN($K64)+1&lt;=Dashboard!$D$14,"X","")</f>
        <v/>
      </c>
      <c r="BA64" s="145" t="str">
        <f>IF(COLUMN()-COLUMN($K64)+1&lt;=Dashboard!$D$14,"X","")</f>
        <v/>
      </c>
      <c r="BB64" s="145" t="str">
        <f>IF(COLUMN()-COLUMN($K64)+1&lt;=Dashboard!$D$14,"X","")</f>
        <v/>
      </c>
      <c r="BC64" s="145" t="str">
        <f>IF(COLUMN()-COLUMN($K64)+1&lt;=Dashboard!$D$14,"X","")</f>
        <v/>
      </c>
      <c r="BD64" s="145" t="str">
        <f>IF(COLUMN()-COLUMN($K64)+1&lt;=Dashboard!$D$14,"X","")</f>
        <v/>
      </c>
      <c r="BE64" s="145" t="str">
        <f>IF(COLUMN()-COLUMN($K64)+1&lt;=Dashboard!$D$14,"X","")</f>
        <v/>
      </c>
      <c r="BF64" s="145" t="str">
        <f>IF(COLUMN()-COLUMN($K64)+1&lt;=Dashboard!$D$14,"X","")</f>
        <v/>
      </c>
      <c r="BG64" s="145" t="str">
        <f>IF(COLUMN()-COLUMN($K64)+1&lt;=Dashboard!$D$14,"X","")</f>
        <v/>
      </c>
      <c r="BH64" s="145" t="str">
        <f>IF(COLUMN()-COLUMN($K64)+1&lt;=Dashboard!$D$14,"X","")</f>
        <v/>
      </c>
      <c r="BI64" s="145" t="str">
        <f>IF(COLUMN()-COLUMN($K64)+1&lt;=Dashboard!$D$14,"X","")</f>
        <v/>
      </c>
      <c r="BJ64" s="145" t="str">
        <f>IF(COLUMN()-COLUMN($K64)+1&lt;=Dashboard!$D$14,"X","")</f>
        <v/>
      </c>
      <c r="BK64" s="145" t="str">
        <f>IF(COLUMN()-COLUMN($K64)+1&lt;=Dashboard!$D$14,"X","")</f>
        <v/>
      </c>
      <c r="BL64" s="145" t="str">
        <f>IF(COLUMN()-COLUMN($K64)+1&lt;=Dashboard!$D$14,"X","")</f>
        <v/>
      </c>
      <c r="BM64" s="145" t="str">
        <f>IF(COLUMN()-COLUMN($K64)+1&lt;=Dashboard!$D$14,"X","")</f>
        <v/>
      </c>
      <c r="BN64" s="145" t="str">
        <f>IF(COLUMN()-COLUMN($K64)+1&lt;=Dashboard!$D$14,"X","")</f>
        <v/>
      </c>
      <c r="BO64" s="145" t="str">
        <f>IF(COLUMN()-COLUMN($K64)+1&lt;=Dashboard!$D$14,"X","")</f>
        <v/>
      </c>
      <c r="BP64" s="145" t="str">
        <f>IF(COLUMN()-COLUMN($K64)+1&lt;=Dashboard!$D$14,"X","")</f>
        <v/>
      </c>
      <c r="BQ64" s="145" t="str">
        <f>IF(COLUMN()-COLUMN($K64)+1&lt;=Dashboard!$D$14,"X","")</f>
        <v/>
      </c>
      <c r="BR64" s="145" t="str">
        <f>IF(COLUMN()-COLUMN($K64)+1&lt;=Dashboard!$D$14,"X","")</f>
        <v/>
      </c>
    </row>
    <row r="65" spans="4:70" ht="12" hidden="1" customHeight="1" outlineLevel="1">
      <c r="D65" s="621"/>
      <c r="E65" s="65"/>
      <c r="F65" s="143" t="str">
        <f>Tarefas!G17</f>
        <v>Equipe_15</v>
      </c>
      <c r="G65" s="143" t="str">
        <f>Tarefas!F17</f>
        <v>Equipe15</v>
      </c>
      <c r="H65" s="144">
        <f>Tarefas!O17</f>
        <v>0</v>
      </c>
      <c r="I65" s="144">
        <f t="shared" si="61"/>
        <v>10</v>
      </c>
      <c r="J65" s="65"/>
      <c r="K65" s="145" t="str">
        <f>IF(COLUMN()-COLUMN($K65)+1&lt;=Dashboard!$D$14,"X","")</f>
        <v>X</v>
      </c>
      <c r="L65" s="145" t="str">
        <f>IF(COLUMN()-COLUMN($K65)+1&lt;=Dashboard!$D$14,"X","")</f>
        <v>X</v>
      </c>
      <c r="M65" s="145" t="str">
        <f>IF(COLUMN()-COLUMN($K65)+1&lt;=Dashboard!$D$14,"X","")</f>
        <v>X</v>
      </c>
      <c r="N65" s="145" t="str">
        <f>IF(COLUMN()-COLUMN($K65)+1&lt;=Dashboard!$D$14,"X","")</f>
        <v>X</v>
      </c>
      <c r="O65" s="145" t="str">
        <f>IF(COLUMN()-COLUMN($K65)+1&lt;=Dashboard!$D$14,"X","")</f>
        <v>X</v>
      </c>
      <c r="P65" s="145" t="str">
        <f>IF(COLUMN()-COLUMN($K65)+1&lt;=Dashboard!$D$14,"X","")</f>
        <v>X</v>
      </c>
      <c r="Q65" s="145" t="str">
        <f>IF(COLUMN()-COLUMN($K65)+1&lt;=Dashboard!$D$14,"X","")</f>
        <v>X</v>
      </c>
      <c r="R65" s="145" t="str">
        <f>IF(COLUMN()-COLUMN($K65)+1&lt;=Dashboard!$D$14,"X","")</f>
        <v>X</v>
      </c>
      <c r="S65" s="145" t="str">
        <f>IF(COLUMN()-COLUMN($K65)+1&lt;=Dashboard!$D$14,"X","")</f>
        <v>X</v>
      </c>
      <c r="T65" s="145" t="str">
        <f>IF(COLUMN()-COLUMN($K65)+1&lt;=Dashboard!$D$14,"X","")</f>
        <v>X</v>
      </c>
      <c r="U65" s="145" t="str">
        <f>IF(COLUMN()-COLUMN($K65)+1&lt;=Dashboard!$D$14,"X","")</f>
        <v/>
      </c>
      <c r="V65" s="145" t="str">
        <f>IF(COLUMN()-COLUMN($K65)+1&lt;=Dashboard!$D$14,"X","")</f>
        <v/>
      </c>
      <c r="W65" s="145" t="str">
        <f>IF(COLUMN()-COLUMN($K65)+1&lt;=Dashboard!$D$14,"X","")</f>
        <v/>
      </c>
      <c r="X65" s="145" t="str">
        <f>IF(COLUMN()-COLUMN($K65)+1&lt;=Dashboard!$D$14,"X","")</f>
        <v/>
      </c>
      <c r="Y65" s="145" t="str">
        <f>IF(COLUMN()-COLUMN($K65)+1&lt;=Dashboard!$D$14,"X","")</f>
        <v/>
      </c>
      <c r="Z65" s="145" t="str">
        <f>IF(COLUMN()-COLUMN($K65)+1&lt;=Dashboard!$D$14,"X","")</f>
        <v/>
      </c>
      <c r="AA65" s="145" t="str">
        <f>IF(COLUMN()-COLUMN($K65)+1&lt;=Dashboard!$D$14,"X","")</f>
        <v/>
      </c>
      <c r="AB65" s="145" t="str">
        <f>IF(COLUMN()-COLUMN($K65)+1&lt;=Dashboard!$D$14,"X","")</f>
        <v/>
      </c>
      <c r="AC65" s="145" t="str">
        <f>IF(COLUMN()-COLUMN($K65)+1&lt;=Dashboard!$D$14,"X","")</f>
        <v/>
      </c>
      <c r="AD65" s="145" t="str">
        <f>IF(COLUMN()-COLUMN($K65)+1&lt;=Dashboard!$D$14,"X","")</f>
        <v/>
      </c>
      <c r="AE65" s="145" t="str">
        <f>IF(COLUMN()-COLUMN($K65)+1&lt;=Dashboard!$D$14,"X","")</f>
        <v/>
      </c>
      <c r="AF65" s="145" t="str">
        <f>IF(COLUMN()-COLUMN($K65)+1&lt;=Dashboard!$D$14,"X","")</f>
        <v/>
      </c>
      <c r="AG65" s="145" t="str">
        <f>IF(COLUMN()-COLUMN($K65)+1&lt;=Dashboard!$D$14,"X","")</f>
        <v/>
      </c>
      <c r="AH65" s="145" t="str">
        <f>IF(COLUMN()-COLUMN($K65)+1&lt;=Dashboard!$D$14,"X","")</f>
        <v/>
      </c>
      <c r="AI65" s="145" t="str">
        <f>IF(COLUMN()-COLUMN($K65)+1&lt;=Dashboard!$D$14,"X","")</f>
        <v/>
      </c>
      <c r="AJ65" s="145" t="str">
        <f>IF(COLUMN()-COLUMN($K65)+1&lt;=Dashboard!$D$14,"X","")</f>
        <v/>
      </c>
      <c r="AK65" s="145" t="str">
        <f>IF(COLUMN()-COLUMN($K65)+1&lt;=Dashboard!$D$14,"X","")</f>
        <v/>
      </c>
      <c r="AL65" s="145" t="str">
        <f>IF(COLUMN()-COLUMN($K65)+1&lt;=Dashboard!$D$14,"X","")</f>
        <v/>
      </c>
      <c r="AM65" s="145" t="str">
        <f>IF(COLUMN()-COLUMN($K65)+1&lt;=Dashboard!$D$14,"X","")</f>
        <v/>
      </c>
      <c r="AN65" s="145" t="str">
        <f>IF(COLUMN()-COLUMN($K65)+1&lt;=Dashboard!$D$14,"X","")</f>
        <v/>
      </c>
      <c r="AO65" s="145" t="str">
        <f>IF(COLUMN()-COLUMN($K65)+1&lt;=Dashboard!$D$14,"X","")</f>
        <v/>
      </c>
      <c r="AP65" s="145" t="str">
        <f>IF(COLUMN()-COLUMN($K65)+1&lt;=Dashboard!$D$14,"X","")</f>
        <v/>
      </c>
      <c r="AQ65" s="145" t="str">
        <f>IF(COLUMN()-COLUMN($K65)+1&lt;=Dashboard!$D$14,"X","")</f>
        <v/>
      </c>
      <c r="AR65" s="145" t="str">
        <f>IF(COLUMN()-COLUMN($K65)+1&lt;=Dashboard!$D$14,"X","")</f>
        <v/>
      </c>
      <c r="AS65" s="145" t="str">
        <f>IF(COLUMN()-COLUMN($K65)+1&lt;=Dashboard!$D$14,"X","")</f>
        <v/>
      </c>
      <c r="AT65" s="145" t="str">
        <f>IF(COLUMN()-COLUMN($K65)+1&lt;=Dashboard!$D$14,"X","")</f>
        <v/>
      </c>
      <c r="AU65" s="145" t="str">
        <f>IF(COLUMN()-COLUMN($K65)+1&lt;=Dashboard!$D$14,"X","")</f>
        <v/>
      </c>
      <c r="AV65" s="145" t="str">
        <f>IF(COLUMN()-COLUMN($K65)+1&lt;=Dashboard!$D$14,"X","")</f>
        <v/>
      </c>
      <c r="AW65" s="145" t="str">
        <f>IF(COLUMN()-COLUMN($K65)+1&lt;=Dashboard!$D$14,"X","")</f>
        <v/>
      </c>
      <c r="AX65" s="145" t="str">
        <f>IF(COLUMN()-COLUMN($K65)+1&lt;=Dashboard!$D$14,"X","")</f>
        <v/>
      </c>
      <c r="AY65" s="145" t="str">
        <f>IF(COLUMN()-COLUMN($K65)+1&lt;=Dashboard!$D$14,"X","")</f>
        <v/>
      </c>
      <c r="AZ65" s="145" t="str">
        <f>IF(COLUMN()-COLUMN($K65)+1&lt;=Dashboard!$D$14,"X","")</f>
        <v/>
      </c>
      <c r="BA65" s="145" t="str">
        <f>IF(COLUMN()-COLUMN($K65)+1&lt;=Dashboard!$D$14,"X","")</f>
        <v/>
      </c>
      <c r="BB65" s="145" t="str">
        <f>IF(COLUMN()-COLUMN($K65)+1&lt;=Dashboard!$D$14,"X","")</f>
        <v/>
      </c>
      <c r="BC65" s="145" t="str">
        <f>IF(COLUMN()-COLUMN($K65)+1&lt;=Dashboard!$D$14,"X","")</f>
        <v/>
      </c>
      <c r="BD65" s="145" t="str">
        <f>IF(COLUMN()-COLUMN($K65)+1&lt;=Dashboard!$D$14,"X","")</f>
        <v/>
      </c>
      <c r="BE65" s="145" t="str">
        <f>IF(COLUMN()-COLUMN($K65)+1&lt;=Dashboard!$D$14,"X","")</f>
        <v/>
      </c>
      <c r="BF65" s="145" t="str">
        <f>IF(COLUMN()-COLUMN($K65)+1&lt;=Dashboard!$D$14,"X","")</f>
        <v/>
      </c>
      <c r="BG65" s="145" t="str">
        <f>IF(COLUMN()-COLUMN($K65)+1&lt;=Dashboard!$D$14,"X","")</f>
        <v/>
      </c>
      <c r="BH65" s="145" t="str">
        <f>IF(COLUMN()-COLUMN($K65)+1&lt;=Dashboard!$D$14,"X","")</f>
        <v/>
      </c>
      <c r="BI65" s="145" t="str">
        <f>IF(COLUMN()-COLUMN($K65)+1&lt;=Dashboard!$D$14,"X","")</f>
        <v/>
      </c>
      <c r="BJ65" s="145" t="str">
        <f>IF(COLUMN()-COLUMN($K65)+1&lt;=Dashboard!$D$14,"X","")</f>
        <v/>
      </c>
      <c r="BK65" s="145" t="str">
        <f>IF(COLUMN()-COLUMN($K65)+1&lt;=Dashboard!$D$14,"X","")</f>
        <v/>
      </c>
      <c r="BL65" s="145" t="str">
        <f>IF(COLUMN()-COLUMN($K65)+1&lt;=Dashboard!$D$14,"X","")</f>
        <v/>
      </c>
      <c r="BM65" s="145" t="str">
        <f>IF(COLUMN()-COLUMN($K65)+1&lt;=Dashboard!$D$14,"X","")</f>
        <v/>
      </c>
      <c r="BN65" s="145" t="str">
        <f>IF(COLUMN()-COLUMN($K65)+1&lt;=Dashboard!$D$14,"X","")</f>
        <v/>
      </c>
      <c r="BO65" s="145" t="str">
        <f>IF(COLUMN()-COLUMN($K65)+1&lt;=Dashboard!$D$14,"X","")</f>
        <v/>
      </c>
      <c r="BP65" s="145" t="str">
        <f>IF(COLUMN()-COLUMN($K65)+1&lt;=Dashboard!$D$14,"X","")</f>
        <v/>
      </c>
      <c r="BQ65" s="145" t="str">
        <f>IF(COLUMN()-COLUMN($K65)+1&lt;=Dashboard!$D$14,"X","")</f>
        <v/>
      </c>
      <c r="BR65" s="145" t="str">
        <f>IF(COLUMN()-COLUMN($K65)+1&lt;=Dashboard!$D$14,"X","")</f>
        <v/>
      </c>
    </row>
    <row r="66" spans="4:70" ht="12" hidden="1" customHeight="1" outlineLevel="1">
      <c r="D66" s="621"/>
      <c r="E66" s="65"/>
      <c r="F66" s="143" t="str">
        <f>Tarefas!G18</f>
        <v>Equipe_16</v>
      </c>
      <c r="G66" s="143" t="str">
        <f>Tarefas!F18</f>
        <v>Equipe16</v>
      </c>
      <c r="H66" s="144">
        <f>Tarefas!O18</f>
        <v>193.60000000000002</v>
      </c>
      <c r="I66" s="144">
        <f t="shared" si="61"/>
        <v>10</v>
      </c>
      <c r="J66" s="65"/>
      <c r="K66" s="145" t="str">
        <f>IF(COLUMN()-COLUMN($K66)+1&lt;=Dashboard!$D$14,"X","")</f>
        <v>X</v>
      </c>
      <c r="L66" s="145" t="str">
        <f>IF(COLUMN()-COLUMN($K66)+1&lt;=Dashboard!$D$14,"X","")</f>
        <v>X</v>
      </c>
      <c r="M66" s="145" t="str">
        <f>IF(COLUMN()-COLUMN($K66)+1&lt;=Dashboard!$D$14,"X","")</f>
        <v>X</v>
      </c>
      <c r="N66" s="145" t="str">
        <f>IF(COLUMN()-COLUMN($K66)+1&lt;=Dashboard!$D$14,"X","")</f>
        <v>X</v>
      </c>
      <c r="O66" s="145" t="str">
        <f>IF(COLUMN()-COLUMN($K66)+1&lt;=Dashboard!$D$14,"X","")</f>
        <v>X</v>
      </c>
      <c r="P66" s="145" t="str">
        <f>IF(COLUMN()-COLUMN($K66)+1&lt;=Dashboard!$D$14,"X","")</f>
        <v>X</v>
      </c>
      <c r="Q66" s="145" t="str">
        <f>IF(COLUMN()-COLUMN($K66)+1&lt;=Dashboard!$D$14,"X","")</f>
        <v>X</v>
      </c>
      <c r="R66" s="145" t="str">
        <f>IF(COLUMN()-COLUMN($K66)+1&lt;=Dashboard!$D$14,"X","")</f>
        <v>X</v>
      </c>
      <c r="S66" s="145" t="str">
        <f>IF(COLUMN()-COLUMN($K66)+1&lt;=Dashboard!$D$14,"X","")</f>
        <v>X</v>
      </c>
      <c r="T66" s="145" t="str">
        <f>IF(COLUMN()-COLUMN($K66)+1&lt;=Dashboard!$D$14,"X","")</f>
        <v>X</v>
      </c>
      <c r="U66" s="145" t="str">
        <f>IF(COLUMN()-COLUMN($K66)+1&lt;=Dashboard!$D$14,"X","")</f>
        <v/>
      </c>
      <c r="V66" s="145" t="str">
        <f>IF(COLUMN()-COLUMN($K66)+1&lt;=Dashboard!$D$14,"X","")</f>
        <v/>
      </c>
      <c r="W66" s="145" t="str">
        <f>IF(COLUMN()-COLUMN($K66)+1&lt;=Dashboard!$D$14,"X","")</f>
        <v/>
      </c>
      <c r="X66" s="145" t="str">
        <f>IF(COLUMN()-COLUMN($K66)+1&lt;=Dashboard!$D$14,"X","")</f>
        <v/>
      </c>
      <c r="Y66" s="145" t="str">
        <f>IF(COLUMN()-COLUMN($K66)+1&lt;=Dashboard!$D$14,"X","")</f>
        <v/>
      </c>
      <c r="Z66" s="145" t="str">
        <f>IF(COLUMN()-COLUMN($K66)+1&lt;=Dashboard!$D$14,"X","")</f>
        <v/>
      </c>
      <c r="AA66" s="145" t="str">
        <f>IF(COLUMN()-COLUMN($K66)+1&lt;=Dashboard!$D$14,"X","")</f>
        <v/>
      </c>
      <c r="AB66" s="145" t="str">
        <f>IF(COLUMN()-COLUMN($K66)+1&lt;=Dashboard!$D$14,"X","")</f>
        <v/>
      </c>
      <c r="AC66" s="145" t="str">
        <f>IF(COLUMN()-COLUMN($K66)+1&lt;=Dashboard!$D$14,"X","")</f>
        <v/>
      </c>
      <c r="AD66" s="145" t="str">
        <f>IF(COLUMN()-COLUMN($K66)+1&lt;=Dashboard!$D$14,"X","")</f>
        <v/>
      </c>
      <c r="AE66" s="145" t="str">
        <f>IF(COLUMN()-COLUMN($K66)+1&lt;=Dashboard!$D$14,"X","")</f>
        <v/>
      </c>
      <c r="AF66" s="145" t="str">
        <f>IF(COLUMN()-COLUMN($K66)+1&lt;=Dashboard!$D$14,"X","")</f>
        <v/>
      </c>
      <c r="AG66" s="145" t="str">
        <f>IF(COLUMN()-COLUMN($K66)+1&lt;=Dashboard!$D$14,"X","")</f>
        <v/>
      </c>
      <c r="AH66" s="145" t="str">
        <f>IF(COLUMN()-COLUMN($K66)+1&lt;=Dashboard!$D$14,"X","")</f>
        <v/>
      </c>
      <c r="AI66" s="145" t="str">
        <f>IF(COLUMN()-COLUMN($K66)+1&lt;=Dashboard!$D$14,"X","")</f>
        <v/>
      </c>
      <c r="AJ66" s="145" t="str">
        <f>IF(COLUMN()-COLUMN($K66)+1&lt;=Dashboard!$D$14,"X","")</f>
        <v/>
      </c>
      <c r="AK66" s="145" t="str">
        <f>IF(COLUMN()-COLUMN($K66)+1&lt;=Dashboard!$D$14,"X","")</f>
        <v/>
      </c>
      <c r="AL66" s="145" t="str">
        <f>IF(COLUMN()-COLUMN($K66)+1&lt;=Dashboard!$D$14,"X","")</f>
        <v/>
      </c>
      <c r="AM66" s="145" t="str">
        <f>IF(COLUMN()-COLUMN($K66)+1&lt;=Dashboard!$D$14,"X","")</f>
        <v/>
      </c>
      <c r="AN66" s="145" t="str">
        <f>IF(COLUMN()-COLUMN($K66)+1&lt;=Dashboard!$D$14,"X","")</f>
        <v/>
      </c>
      <c r="AO66" s="145" t="str">
        <f>IF(COLUMN()-COLUMN($K66)+1&lt;=Dashboard!$D$14,"X","")</f>
        <v/>
      </c>
      <c r="AP66" s="145" t="str">
        <f>IF(COLUMN()-COLUMN($K66)+1&lt;=Dashboard!$D$14,"X","")</f>
        <v/>
      </c>
      <c r="AQ66" s="145" t="str">
        <f>IF(COLUMN()-COLUMN($K66)+1&lt;=Dashboard!$D$14,"X","")</f>
        <v/>
      </c>
      <c r="AR66" s="145" t="str">
        <f>IF(COLUMN()-COLUMN($K66)+1&lt;=Dashboard!$D$14,"X","")</f>
        <v/>
      </c>
      <c r="AS66" s="145" t="str">
        <f>IF(COLUMN()-COLUMN($K66)+1&lt;=Dashboard!$D$14,"X","")</f>
        <v/>
      </c>
      <c r="AT66" s="145" t="str">
        <f>IF(COLUMN()-COLUMN($K66)+1&lt;=Dashboard!$D$14,"X","")</f>
        <v/>
      </c>
      <c r="AU66" s="145" t="str">
        <f>IF(COLUMN()-COLUMN($K66)+1&lt;=Dashboard!$D$14,"X","")</f>
        <v/>
      </c>
      <c r="AV66" s="145" t="str">
        <f>IF(COLUMN()-COLUMN($K66)+1&lt;=Dashboard!$D$14,"X","")</f>
        <v/>
      </c>
      <c r="AW66" s="145" t="str">
        <f>IF(COLUMN()-COLUMN($K66)+1&lt;=Dashboard!$D$14,"X","")</f>
        <v/>
      </c>
      <c r="AX66" s="145" t="str">
        <f>IF(COLUMN()-COLUMN($K66)+1&lt;=Dashboard!$D$14,"X","")</f>
        <v/>
      </c>
      <c r="AY66" s="145" t="str">
        <f>IF(COLUMN()-COLUMN($K66)+1&lt;=Dashboard!$D$14,"X","")</f>
        <v/>
      </c>
      <c r="AZ66" s="145" t="str">
        <f>IF(COLUMN()-COLUMN($K66)+1&lt;=Dashboard!$D$14,"X","")</f>
        <v/>
      </c>
      <c r="BA66" s="145" t="str">
        <f>IF(COLUMN()-COLUMN($K66)+1&lt;=Dashboard!$D$14,"X","")</f>
        <v/>
      </c>
      <c r="BB66" s="145" t="str">
        <f>IF(COLUMN()-COLUMN($K66)+1&lt;=Dashboard!$D$14,"X","")</f>
        <v/>
      </c>
      <c r="BC66" s="145" t="str">
        <f>IF(COLUMN()-COLUMN($K66)+1&lt;=Dashboard!$D$14,"X","")</f>
        <v/>
      </c>
      <c r="BD66" s="145" t="str">
        <f>IF(COLUMN()-COLUMN($K66)+1&lt;=Dashboard!$D$14,"X","")</f>
        <v/>
      </c>
      <c r="BE66" s="145" t="str">
        <f>IF(COLUMN()-COLUMN($K66)+1&lt;=Dashboard!$D$14,"X","")</f>
        <v/>
      </c>
      <c r="BF66" s="145" t="str">
        <f>IF(COLUMN()-COLUMN($K66)+1&lt;=Dashboard!$D$14,"X","")</f>
        <v/>
      </c>
      <c r="BG66" s="145" t="str">
        <f>IF(COLUMN()-COLUMN($K66)+1&lt;=Dashboard!$D$14,"X","")</f>
        <v/>
      </c>
      <c r="BH66" s="145" t="str">
        <f>IF(COLUMN()-COLUMN($K66)+1&lt;=Dashboard!$D$14,"X","")</f>
        <v/>
      </c>
      <c r="BI66" s="145" t="str">
        <f>IF(COLUMN()-COLUMN($K66)+1&lt;=Dashboard!$D$14,"X","")</f>
        <v/>
      </c>
      <c r="BJ66" s="145" t="str">
        <f>IF(COLUMN()-COLUMN($K66)+1&lt;=Dashboard!$D$14,"X","")</f>
        <v/>
      </c>
      <c r="BK66" s="145" t="str">
        <f>IF(COLUMN()-COLUMN($K66)+1&lt;=Dashboard!$D$14,"X","")</f>
        <v/>
      </c>
      <c r="BL66" s="145" t="str">
        <f>IF(COLUMN()-COLUMN($K66)+1&lt;=Dashboard!$D$14,"X","")</f>
        <v/>
      </c>
      <c r="BM66" s="145" t="str">
        <f>IF(COLUMN()-COLUMN($K66)+1&lt;=Dashboard!$D$14,"X","")</f>
        <v/>
      </c>
      <c r="BN66" s="145" t="str">
        <f>IF(COLUMN()-COLUMN($K66)+1&lt;=Dashboard!$D$14,"X","")</f>
        <v/>
      </c>
      <c r="BO66" s="145" t="str">
        <f>IF(COLUMN()-COLUMN($K66)+1&lt;=Dashboard!$D$14,"X","")</f>
        <v/>
      </c>
      <c r="BP66" s="145" t="str">
        <f>IF(COLUMN()-COLUMN($K66)+1&lt;=Dashboard!$D$14,"X","")</f>
        <v/>
      </c>
      <c r="BQ66" s="145" t="str">
        <f>IF(COLUMN()-COLUMN($K66)+1&lt;=Dashboard!$D$14,"X","")</f>
        <v/>
      </c>
      <c r="BR66" s="145" t="str">
        <f>IF(COLUMN()-COLUMN($K66)+1&lt;=Dashboard!$D$14,"X","")</f>
        <v/>
      </c>
    </row>
    <row r="67" spans="4:70" ht="12" hidden="1" customHeight="1" outlineLevel="1">
      <c r="D67" s="621"/>
      <c r="E67" s="65"/>
      <c r="F67" s="143" t="str">
        <f>Tarefas!G19</f>
        <v>Equipe_17</v>
      </c>
      <c r="G67" s="143" t="str">
        <f>Tarefas!F19</f>
        <v>Equipe17</v>
      </c>
      <c r="H67" s="144">
        <f>Tarefas!O19</f>
        <v>77.440000000000012</v>
      </c>
      <c r="I67" s="144">
        <f t="shared" si="61"/>
        <v>10</v>
      </c>
      <c r="J67" s="65"/>
      <c r="K67" s="145" t="str">
        <f>IF(COLUMN()-COLUMN($K67)+1&lt;=Dashboard!$D$14,"X","")</f>
        <v>X</v>
      </c>
      <c r="L67" s="145" t="str">
        <f>IF(COLUMN()-COLUMN($K67)+1&lt;=Dashboard!$D$14,"X","")</f>
        <v>X</v>
      </c>
      <c r="M67" s="145" t="str">
        <f>IF(COLUMN()-COLUMN($K67)+1&lt;=Dashboard!$D$14,"X","")</f>
        <v>X</v>
      </c>
      <c r="N67" s="145" t="str">
        <f>IF(COLUMN()-COLUMN($K67)+1&lt;=Dashboard!$D$14,"X","")</f>
        <v>X</v>
      </c>
      <c r="O67" s="145" t="str">
        <f>IF(COLUMN()-COLUMN($K67)+1&lt;=Dashboard!$D$14,"X","")</f>
        <v>X</v>
      </c>
      <c r="P67" s="145" t="str">
        <f>IF(COLUMN()-COLUMN($K67)+1&lt;=Dashboard!$D$14,"X","")</f>
        <v>X</v>
      </c>
      <c r="Q67" s="145" t="str">
        <f>IF(COLUMN()-COLUMN($K67)+1&lt;=Dashboard!$D$14,"X","")</f>
        <v>X</v>
      </c>
      <c r="R67" s="145" t="str">
        <f>IF(COLUMN()-COLUMN($K67)+1&lt;=Dashboard!$D$14,"X","")</f>
        <v>X</v>
      </c>
      <c r="S67" s="145" t="str">
        <f>IF(COLUMN()-COLUMN($K67)+1&lt;=Dashboard!$D$14,"X","")</f>
        <v>X</v>
      </c>
      <c r="T67" s="145" t="str">
        <f>IF(COLUMN()-COLUMN($K67)+1&lt;=Dashboard!$D$14,"X","")</f>
        <v>X</v>
      </c>
      <c r="U67" s="145" t="str">
        <f>IF(COLUMN()-COLUMN($K67)+1&lt;=Dashboard!$D$14,"X","")</f>
        <v/>
      </c>
      <c r="V67" s="145" t="str">
        <f>IF(COLUMN()-COLUMN($K67)+1&lt;=Dashboard!$D$14,"X","")</f>
        <v/>
      </c>
      <c r="W67" s="145" t="str">
        <f>IF(COLUMN()-COLUMN($K67)+1&lt;=Dashboard!$D$14,"X","")</f>
        <v/>
      </c>
      <c r="X67" s="145" t="str">
        <f>IF(COLUMN()-COLUMN($K67)+1&lt;=Dashboard!$D$14,"X","")</f>
        <v/>
      </c>
      <c r="Y67" s="145" t="str">
        <f>IF(COLUMN()-COLUMN($K67)+1&lt;=Dashboard!$D$14,"X","")</f>
        <v/>
      </c>
      <c r="Z67" s="145" t="str">
        <f>IF(COLUMN()-COLUMN($K67)+1&lt;=Dashboard!$D$14,"X","")</f>
        <v/>
      </c>
      <c r="AA67" s="145" t="str">
        <f>IF(COLUMN()-COLUMN($K67)+1&lt;=Dashboard!$D$14,"X","")</f>
        <v/>
      </c>
      <c r="AB67" s="145" t="str">
        <f>IF(COLUMN()-COLUMN($K67)+1&lt;=Dashboard!$D$14,"X","")</f>
        <v/>
      </c>
      <c r="AC67" s="145" t="str">
        <f>IF(COLUMN()-COLUMN($K67)+1&lt;=Dashboard!$D$14,"X","")</f>
        <v/>
      </c>
      <c r="AD67" s="145" t="str">
        <f>IF(COLUMN()-COLUMN($K67)+1&lt;=Dashboard!$D$14,"X","")</f>
        <v/>
      </c>
      <c r="AE67" s="145" t="str">
        <f>IF(COLUMN()-COLUMN($K67)+1&lt;=Dashboard!$D$14,"X","")</f>
        <v/>
      </c>
      <c r="AF67" s="145" t="str">
        <f>IF(COLUMN()-COLUMN($K67)+1&lt;=Dashboard!$D$14,"X","")</f>
        <v/>
      </c>
      <c r="AG67" s="145" t="str">
        <f>IF(COLUMN()-COLUMN($K67)+1&lt;=Dashboard!$D$14,"X","")</f>
        <v/>
      </c>
      <c r="AH67" s="145" t="str">
        <f>IF(COLUMN()-COLUMN($K67)+1&lt;=Dashboard!$D$14,"X","")</f>
        <v/>
      </c>
      <c r="AI67" s="145" t="str">
        <f>IF(COLUMN()-COLUMN($K67)+1&lt;=Dashboard!$D$14,"X","")</f>
        <v/>
      </c>
      <c r="AJ67" s="145" t="str">
        <f>IF(COLUMN()-COLUMN($K67)+1&lt;=Dashboard!$D$14,"X","")</f>
        <v/>
      </c>
      <c r="AK67" s="145" t="str">
        <f>IF(COLUMN()-COLUMN($K67)+1&lt;=Dashboard!$D$14,"X","")</f>
        <v/>
      </c>
      <c r="AL67" s="145" t="str">
        <f>IF(COLUMN()-COLUMN($K67)+1&lt;=Dashboard!$D$14,"X","")</f>
        <v/>
      </c>
      <c r="AM67" s="145" t="str">
        <f>IF(COLUMN()-COLUMN($K67)+1&lt;=Dashboard!$D$14,"X","")</f>
        <v/>
      </c>
      <c r="AN67" s="145" t="str">
        <f>IF(COLUMN()-COLUMN($K67)+1&lt;=Dashboard!$D$14,"X","")</f>
        <v/>
      </c>
      <c r="AO67" s="145" t="str">
        <f>IF(COLUMN()-COLUMN($K67)+1&lt;=Dashboard!$D$14,"X","")</f>
        <v/>
      </c>
      <c r="AP67" s="145" t="str">
        <f>IF(COLUMN()-COLUMN($K67)+1&lt;=Dashboard!$D$14,"X","")</f>
        <v/>
      </c>
      <c r="AQ67" s="145" t="str">
        <f>IF(COLUMN()-COLUMN($K67)+1&lt;=Dashboard!$D$14,"X","")</f>
        <v/>
      </c>
      <c r="AR67" s="145" t="str">
        <f>IF(COLUMN()-COLUMN($K67)+1&lt;=Dashboard!$D$14,"X","")</f>
        <v/>
      </c>
      <c r="AS67" s="145" t="str">
        <f>IF(COLUMN()-COLUMN($K67)+1&lt;=Dashboard!$D$14,"X","")</f>
        <v/>
      </c>
      <c r="AT67" s="145" t="str">
        <f>IF(COLUMN()-COLUMN($K67)+1&lt;=Dashboard!$D$14,"X","")</f>
        <v/>
      </c>
      <c r="AU67" s="145" t="str">
        <f>IF(COLUMN()-COLUMN($K67)+1&lt;=Dashboard!$D$14,"X","")</f>
        <v/>
      </c>
      <c r="AV67" s="145" t="str">
        <f>IF(COLUMN()-COLUMN($K67)+1&lt;=Dashboard!$D$14,"X","")</f>
        <v/>
      </c>
      <c r="AW67" s="145" t="str">
        <f>IF(COLUMN()-COLUMN($K67)+1&lt;=Dashboard!$D$14,"X","")</f>
        <v/>
      </c>
      <c r="AX67" s="145" t="str">
        <f>IF(COLUMN()-COLUMN($K67)+1&lt;=Dashboard!$D$14,"X","")</f>
        <v/>
      </c>
      <c r="AY67" s="145" t="str">
        <f>IF(COLUMN()-COLUMN($K67)+1&lt;=Dashboard!$D$14,"X","")</f>
        <v/>
      </c>
      <c r="AZ67" s="145" t="str">
        <f>IF(COLUMN()-COLUMN($K67)+1&lt;=Dashboard!$D$14,"X","")</f>
        <v/>
      </c>
      <c r="BA67" s="145" t="str">
        <f>IF(COLUMN()-COLUMN($K67)+1&lt;=Dashboard!$D$14,"X","")</f>
        <v/>
      </c>
      <c r="BB67" s="145" t="str">
        <f>IF(COLUMN()-COLUMN($K67)+1&lt;=Dashboard!$D$14,"X","")</f>
        <v/>
      </c>
      <c r="BC67" s="145" t="str">
        <f>IF(COLUMN()-COLUMN($K67)+1&lt;=Dashboard!$D$14,"X","")</f>
        <v/>
      </c>
      <c r="BD67" s="145" t="str">
        <f>IF(COLUMN()-COLUMN($K67)+1&lt;=Dashboard!$D$14,"X","")</f>
        <v/>
      </c>
      <c r="BE67" s="145" t="str">
        <f>IF(COLUMN()-COLUMN($K67)+1&lt;=Dashboard!$D$14,"X","")</f>
        <v/>
      </c>
      <c r="BF67" s="145" t="str">
        <f>IF(COLUMN()-COLUMN($K67)+1&lt;=Dashboard!$D$14,"X","")</f>
        <v/>
      </c>
      <c r="BG67" s="145" t="str">
        <f>IF(COLUMN()-COLUMN($K67)+1&lt;=Dashboard!$D$14,"X","")</f>
        <v/>
      </c>
      <c r="BH67" s="145" t="str">
        <f>IF(COLUMN()-COLUMN($K67)+1&lt;=Dashboard!$D$14,"X","")</f>
        <v/>
      </c>
      <c r="BI67" s="145" t="str">
        <f>IF(COLUMN()-COLUMN($K67)+1&lt;=Dashboard!$D$14,"X","")</f>
        <v/>
      </c>
      <c r="BJ67" s="145" t="str">
        <f>IF(COLUMN()-COLUMN($K67)+1&lt;=Dashboard!$D$14,"X","")</f>
        <v/>
      </c>
      <c r="BK67" s="145" t="str">
        <f>IF(COLUMN()-COLUMN($K67)+1&lt;=Dashboard!$D$14,"X","")</f>
        <v/>
      </c>
      <c r="BL67" s="145" t="str">
        <f>IF(COLUMN()-COLUMN($K67)+1&lt;=Dashboard!$D$14,"X","")</f>
        <v/>
      </c>
      <c r="BM67" s="145" t="str">
        <f>IF(COLUMN()-COLUMN($K67)+1&lt;=Dashboard!$D$14,"X","")</f>
        <v/>
      </c>
      <c r="BN67" s="145" t="str">
        <f>IF(COLUMN()-COLUMN($K67)+1&lt;=Dashboard!$D$14,"X","")</f>
        <v/>
      </c>
      <c r="BO67" s="145" t="str">
        <f>IF(COLUMN()-COLUMN($K67)+1&lt;=Dashboard!$D$14,"X","")</f>
        <v/>
      </c>
      <c r="BP67" s="145" t="str">
        <f>IF(COLUMN()-COLUMN($K67)+1&lt;=Dashboard!$D$14,"X","")</f>
        <v/>
      </c>
      <c r="BQ67" s="145" t="str">
        <f>IF(COLUMN()-COLUMN($K67)+1&lt;=Dashboard!$D$14,"X","")</f>
        <v/>
      </c>
      <c r="BR67" s="145" t="str">
        <f>IF(COLUMN()-COLUMN($K67)+1&lt;=Dashboard!$D$14,"X","")</f>
        <v/>
      </c>
    </row>
    <row r="68" spans="4:70" ht="12" hidden="1" customHeight="1" outlineLevel="1">
      <c r="D68" s="621"/>
      <c r="E68" s="65"/>
      <c r="F68" s="143" t="str">
        <f>Tarefas!G20</f>
        <v>Equipe_18</v>
      </c>
      <c r="G68" s="143" t="str">
        <f>Tarefas!F20</f>
        <v>Equipe18</v>
      </c>
      <c r="H68" s="144">
        <f>Tarefas!O20</f>
        <v>38.720000000000006</v>
      </c>
      <c r="I68" s="144">
        <f t="shared" si="61"/>
        <v>10</v>
      </c>
      <c r="J68" s="65"/>
      <c r="K68" s="145" t="str">
        <f>IF(COLUMN()-COLUMN($K68)+1&lt;=Dashboard!$D$14,"X","")</f>
        <v>X</v>
      </c>
      <c r="L68" s="145" t="str">
        <f>IF(COLUMN()-COLUMN($K68)+1&lt;=Dashboard!$D$14,"X","")</f>
        <v>X</v>
      </c>
      <c r="M68" s="145" t="str">
        <f>IF(COLUMN()-COLUMN($K68)+1&lt;=Dashboard!$D$14,"X","")</f>
        <v>X</v>
      </c>
      <c r="N68" s="145" t="str">
        <f>IF(COLUMN()-COLUMN($K68)+1&lt;=Dashboard!$D$14,"X","")</f>
        <v>X</v>
      </c>
      <c r="O68" s="145" t="str">
        <f>IF(COLUMN()-COLUMN($K68)+1&lt;=Dashboard!$D$14,"X","")</f>
        <v>X</v>
      </c>
      <c r="P68" s="145" t="str">
        <f>IF(COLUMN()-COLUMN($K68)+1&lt;=Dashboard!$D$14,"X","")</f>
        <v>X</v>
      </c>
      <c r="Q68" s="145" t="str">
        <f>IF(COLUMN()-COLUMN($K68)+1&lt;=Dashboard!$D$14,"X","")</f>
        <v>X</v>
      </c>
      <c r="R68" s="145" t="str">
        <f>IF(COLUMN()-COLUMN($K68)+1&lt;=Dashboard!$D$14,"X","")</f>
        <v>X</v>
      </c>
      <c r="S68" s="145" t="str">
        <f>IF(COLUMN()-COLUMN($K68)+1&lt;=Dashboard!$D$14,"X","")</f>
        <v>X</v>
      </c>
      <c r="T68" s="145" t="str">
        <f>IF(COLUMN()-COLUMN($K68)+1&lt;=Dashboard!$D$14,"X","")</f>
        <v>X</v>
      </c>
      <c r="U68" s="145" t="str">
        <f>IF(COLUMN()-COLUMN($K68)+1&lt;=Dashboard!$D$14,"X","")</f>
        <v/>
      </c>
      <c r="V68" s="145" t="str">
        <f>IF(COLUMN()-COLUMN($K68)+1&lt;=Dashboard!$D$14,"X","")</f>
        <v/>
      </c>
      <c r="W68" s="145" t="str">
        <f>IF(COLUMN()-COLUMN($K68)+1&lt;=Dashboard!$D$14,"X","")</f>
        <v/>
      </c>
      <c r="X68" s="145" t="str">
        <f>IF(COLUMN()-COLUMN($K68)+1&lt;=Dashboard!$D$14,"X","")</f>
        <v/>
      </c>
      <c r="Y68" s="145" t="str">
        <f>IF(COLUMN()-COLUMN($K68)+1&lt;=Dashboard!$D$14,"X","")</f>
        <v/>
      </c>
      <c r="Z68" s="145" t="str">
        <f>IF(COLUMN()-COLUMN($K68)+1&lt;=Dashboard!$D$14,"X","")</f>
        <v/>
      </c>
      <c r="AA68" s="145" t="str">
        <f>IF(COLUMN()-COLUMN($K68)+1&lt;=Dashboard!$D$14,"X","")</f>
        <v/>
      </c>
      <c r="AB68" s="145" t="str">
        <f>IF(COLUMN()-COLUMN($K68)+1&lt;=Dashboard!$D$14,"X","")</f>
        <v/>
      </c>
      <c r="AC68" s="145" t="str">
        <f>IF(COLUMN()-COLUMN($K68)+1&lt;=Dashboard!$D$14,"X","")</f>
        <v/>
      </c>
      <c r="AD68" s="145" t="str">
        <f>IF(COLUMN()-COLUMN($K68)+1&lt;=Dashboard!$D$14,"X","")</f>
        <v/>
      </c>
      <c r="AE68" s="145" t="str">
        <f>IF(COLUMN()-COLUMN($K68)+1&lt;=Dashboard!$D$14,"X","")</f>
        <v/>
      </c>
      <c r="AF68" s="145" t="str">
        <f>IF(COLUMN()-COLUMN($K68)+1&lt;=Dashboard!$D$14,"X","")</f>
        <v/>
      </c>
      <c r="AG68" s="145" t="str">
        <f>IF(COLUMN()-COLUMN($K68)+1&lt;=Dashboard!$D$14,"X","")</f>
        <v/>
      </c>
      <c r="AH68" s="145" t="str">
        <f>IF(COLUMN()-COLUMN($K68)+1&lt;=Dashboard!$D$14,"X","")</f>
        <v/>
      </c>
      <c r="AI68" s="145" t="str">
        <f>IF(COLUMN()-COLUMN($K68)+1&lt;=Dashboard!$D$14,"X","")</f>
        <v/>
      </c>
      <c r="AJ68" s="145" t="str">
        <f>IF(COLUMN()-COLUMN($K68)+1&lt;=Dashboard!$D$14,"X","")</f>
        <v/>
      </c>
      <c r="AK68" s="145" t="str">
        <f>IF(COLUMN()-COLUMN($K68)+1&lt;=Dashboard!$D$14,"X","")</f>
        <v/>
      </c>
      <c r="AL68" s="145" t="str">
        <f>IF(COLUMN()-COLUMN($K68)+1&lt;=Dashboard!$D$14,"X","")</f>
        <v/>
      </c>
      <c r="AM68" s="145" t="str">
        <f>IF(COLUMN()-COLUMN($K68)+1&lt;=Dashboard!$D$14,"X","")</f>
        <v/>
      </c>
      <c r="AN68" s="145" t="str">
        <f>IF(COLUMN()-COLUMN($K68)+1&lt;=Dashboard!$D$14,"X","")</f>
        <v/>
      </c>
      <c r="AO68" s="145" t="str">
        <f>IF(COLUMN()-COLUMN($K68)+1&lt;=Dashboard!$D$14,"X","")</f>
        <v/>
      </c>
      <c r="AP68" s="145" t="str">
        <f>IF(COLUMN()-COLUMN($K68)+1&lt;=Dashboard!$D$14,"X","")</f>
        <v/>
      </c>
      <c r="AQ68" s="145" t="str">
        <f>IF(COLUMN()-COLUMN($K68)+1&lt;=Dashboard!$D$14,"X","")</f>
        <v/>
      </c>
      <c r="AR68" s="145" t="str">
        <f>IF(COLUMN()-COLUMN($K68)+1&lt;=Dashboard!$D$14,"X","")</f>
        <v/>
      </c>
      <c r="AS68" s="145" t="str">
        <f>IF(COLUMN()-COLUMN($K68)+1&lt;=Dashboard!$D$14,"X","")</f>
        <v/>
      </c>
      <c r="AT68" s="145" t="str">
        <f>IF(COLUMN()-COLUMN($K68)+1&lt;=Dashboard!$D$14,"X","")</f>
        <v/>
      </c>
      <c r="AU68" s="145" t="str">
        <f>IF(COLUMN()-COLUMN($K68)+1&lt;=Dashboard!$D$14,"X","")</f>
        <v/>
      </c>
      <c r="AV68" s="145" t="str">
        <f>IF(COLUMN()-COLUMN($K68)+1&lt;=Dashboard!$D$14,"X","")</f>
        <v/>
      </c>
      <c r="AW68" s="145" t="str">
        <f>IF(COLUMN()-COLUMN($K68)+1&lt;=Dashboard!$D$14,"X","")</f>
        <v/>
      </c>
      <c r="AX68" s="145" t="str">
        <f>IF(COLUMN()-COLUMN($K68)+1&lt;=Dashboard!$D$14,"X","")</f>
        <v/>
      </c>
      <c r="AY68" s="145" t="str">
        <f>IF(COLUMN()-COLUMN($K68)+1&lt;=Dashboard!$D$14,"X","")</f>
        <v/>
      </c>
      <c r="AZ68" s="145" t="str">
        <f>IF(COLUMN()-COLUMN($K68)+1&lt;=Dashboard!$D$14,"X","")</f>
        <v/>
      </c>
      <c r="BA68" s="145" t="str">
        <f>IF(COLUMN()-COLUMN($K68)+1&lt;=Dashboard!$D$14,"X","")</f>
        <v/>
      </c>
      <c r="BB68" s="145" t="str">
        <f>IF(COLUMN()-COLUMN($K68)+1&lt;=Dashboard!$D$14,"X","")</f>
        <v/>
      </c>
      <c r="BC68" s="145" t="str">
        <f>IF(COLUMN()-COLUMN($K68)+1&lt;=Dashboard!$D$14,"X","")</f>
        <v/>
      </c>
      <c r="BD68" s="145" t="str">
        <f>IF(COLUMN()-COLUMN($K68)+1&lt;=Dashboard!$D$14,"X","")</f>
        <v/>
      </c>
      <c r="BE68" s="145" t="str">
        <f>IF(COLUMN()-COLUMN($K68)+1&lt;=Dashboard!$D$14,"X","")</f>
        <v/>
      </c>
      <c r="BF68" s="145" t="str">
        <f>IF(COLUMN()-COLUMN($K68)+1&lt;=Dashboard!$D$14,"X","")</f>
        <v/>
      </c>
      <c r="BG68" s="145" t="str">
        <f>IF(COLUMN()-COLUMN($K68)+1&lt;=Dashboard!$D$14,"X","")</f>
        <v/>
      </c>
      <c r="BH68" s="145" t="str">
        <f>IF(COLUMN()-COLUMN($K68)+1&lt;=Dashboard!$D$14,"X","")</f>
        <v/>
      </c>
      <c r="BI68" s="145" t="str">
        <f>IF(COLUMN()-COLUMN($K68)+1&lt;=Dashboard!$D$14,"X","")</f>
        <v/>
      </c>
      <c r="BJ68" s="145" t="str">
        <f>IF(COLUMN()-COLUMN($K68)+1&lt;=Dashboard!$D$14,"X","")</f>
        <v/>
      </c>
      <c r="BK68" s="145" t="str">
        <f>IF(COLUMN()-COLUMN($K68)+1&lt;=Dashboard!$D$14,"X","")</f>
        <v/>
      </c>
      <c r="BL68" s="145" t="str">
        <f>IF(COLUMN()-COLUMN($K68)+1&lt;=Dashboard!$D$14,"X","")</f>
        <v/>
      </c>
      <c r="BM68" s="145" t="str">
        <f>IF(COLUMN()-COLUMN($K68)+1&lt;=Dashboard!$D$14,"X","")</f>
        <v/>
      </c>
      <c r="BN68" s="145" t="str">
        <f>IF(COLUMN()-COLUMN($K68)+1&lt;=Dashboard!$D$14,"X","")</f>
        <v/>
      </c>
      <c r="BO68" s="145" t="str">
        <f>IF(COLUMN()-COLUMN($K68)+1&lt;=Dashboard!$D$14,"X","")</f>
        <v/>
      </c>
      <c r="BP68" s="145" t="str">
        <f>IF(COLUMN()-COLUMN($K68)+1&lt;=Dashboard!$D$14,"X","")</f>
        <v/>
      </c>
      <c r="BQ68" s="145" t="str">
        <f>IF(COLUMN()-COLUMN($K68)+1&lt;=Dashboard!$D$14,"X","")</f>
        <v/>
      </c>
      <c r="BR68" s="145" t="str">
        <f>IF(COLUMN()-COLUMN($K68)+1&lt;=Dashboard!$D$14,"X","")</f>
        <v/>
      </c>
    </row>
    <row r="69" spans="4:70" ht="12" hidden="1" customHeight="1" outlineLevel="1">
      <c r="D69" s="621"/>
      <c r="E69" s="65"/>
      <c r="F69" s="143" t="str">
        <f>Tarefas!G21</f>
        <v>Equipe_19</v>
      </c>
      <c r="G69" s="143" t="str">
        <f>Tarefas!F21</f>
        <v>Equipe19</v>
      </c>
      <c r="H69" s="144">
        <f>Tarefas!O21</f>
        <v>96.800000000000011</v>
      </c>
      <c r="I69" s="144">
        <f t="shared" si="61"/>
        <v>10</v>
      </c>
      <c r="J69" s="65"/>
      <c r="K69" s="145" t="str">
        <f>IF(COLUMN()-COLUMN($K69)+1&lt;=Dashboard!$D$14,"X","")</f>
        <v>X</v>
      </c>
      <c r="L69" s="145" t="str">
        <f>IF(COLUMN()-COLUMN($K69)+1&lt;=Dashboard!$D$14,"X","")</f>
        <v>X</v>
      </c>
      <c r="M69" s="145" t="str">
        <f>IF(COLUMN()-COLUMN($K69)+1&lt;=Dashboard!$D$14,"X","")</f>
        <v>X</v>
      </c>
      <c r="N69" s="145" t="str">
        <f>IF(COLUMN()-COLUMN($K69)+1&lt;=Dashboard!$D$14,"X","")</f>
        <v>X</v>
      </c>
      <c r="O69" s="145" t="str">
        <f>IF(COLUMN()-COLUMN($K69)+1&lt;=Dashboard!$D$14,"X","")</f>
        <v>X</v>
      </c>
      <c r="P69" s="145" t="str">
        <f>IF(COLUMN()-COLUMN($K69)+1&lt;=Dashboard!$D$14,"X","")</f>
        <v>X</v>
      </c>
      <c r="Q69" s="145" t="str">
        <f>IF(COLUMN()-COLUMN($K69)+1&lt;=Dashboard!$D$14,"X","")</f>
        <v>X</v>
      </c>
      <c r="R69" s="145" t="str">
        <f>IF(COLUMN()-COLUMN($K69)+1&lt;=Dashboard!$D$14,"X","")</f>
        <v>X</v>
      </c>
      <c r="S69" s="145" t="str">
        <f>IF(COLUMN()-COLUMN($K69)+1&lt;=Dashboard!$D$14,"X","")</f>
        <v>X</v>
      </c>
      <c r="T69" s="145" t="str">
        <f>IF(COLUMN()-COLUMN($K69)+1&lt;=Dashboard!$D$14,"X","")</f>
        <v>X</v>
      </c>
      <c r="U69" s="145" t="str">
        <f>IF(COLUMN()-COLUMN($K69)+1&lt;=Dashboard!$D$14,"X","")</f>
        <v/>
      </c>
      <c r="V69" s="145" t="str">
        <f>IF(COLUMN()-COLUMN($K69)+1&lt;=Dashboard!$D$14,"X","")</f>
        <v/>
      </c>
      <c r="W69" s="145" t="str">
        <f>IF(COLUMN()-COLUMN($K69)+1&lt;=Dashboard!$D$14,"X","")</f>
        <v/>
      </c>
      <c r="X69" s="145" t="str">
        <f>IF(COLUMN()-COLUMN($K69)+1&lt;=Dashboard!$D$14,"X","")</f>
        <v/>
      </c>
      <c r="Y69" s="145" t="str">
        <f>IF(COLUMN()-COLUMN($K69)+1&lt;=Dashboard!$D$14,"X","")</f>
        <v/>
      </c>
      <c r="Z69" s="145" t="str">
        <f>IF(COLUMN()-COLUMN($K69)+1&lt;=Dashboard!$D$14,"X","")</f>
        <v/>
      </c>
      <c r="AA69" s="145" t="str">
        <f>IF(COLUMN()-COLUMN($K69)+1&lt;=Dashboard!$D$14,"X","")</f>
        <v/>
      </c>
      <c r="AB69" s="145" t="str">
        <f>IF(COLUMN()-COLUMN($K69)+1&lt;=Dashboard!$D$14,"X","")</f>
        <v/>
      </c>
      <c r="AC69" s="145" t="str">
        <f>IF(COLUMN()-COLUMN($K69)+1&lt;=Dashboard!$D$14,"X","")</f>
        <v/>
      </c>
      <c r="AD69" s="145" t="str">
        <f>IF(COLUMN()-COLUMN($K69)+1&lt;=Dashboard!$D$14,"X","")</f>
        <v/>
      </c>
      <c r="AE69" s="145" t="str">
        <f>IF(COLUMN()-COLUMN($K69)+1&lt;=Dashboard!$D$14,"X","")</f>
        <v/>
      </c>
      <c r="AF69" s="145" t="str">
        <f>IF(COLUMN()-COLUMN($K69)+1&lt;=Dashboard!$D$14,"X","")</f>
        <v/>
      </c>
      <c r="AG69" s="145" t="str">
        <f>IF(COLUMN()-COLUMN($K69)+1&lt;=Dashboard!$D$14,"X","")</f>
        <v/>
      </c>
      <c r="AH69" s="145" t="str">
        <f>IF(COLUMN()-COLUMN($K69)+1&lt;=Dashboard!$D$14,"X","")</f>
        <v/>
      </c>
      <c r="AI69" s="145" t="str">
        <f>IF(COLUMN()-COLUMN($K69)+1&lt;=Dashboard!$D$14,"X","")</f>
        <v/>
      </c>
      <c r="AJ69" s="145" t="str">
        <f>IF(COLUMN()-COLUMN($K69)+1&lt;=Dashboard!$D$14,"X","")</f>
        <v/>
      </c>
      <c r="AK69" s="145" t="str">
        <f>IF(COLUMN()-COLUMN($K69)+1&lt;=Dashboard!$D$14,"X","")</f>
        <v/>
      </c>
      <c r="AL69" s="145" t="str">
        <f>IF(COLUMN()-COLUMN($K69)+1&lt;=Dashboard!$D$14,"X","")</f>
        <v/>
      </c>
      <c r="AM69" s="145" t="str">
        <f>IF(COLUMN()-COLUMN($K69)+1&lt;=Dashboard!$D$14,"X","")</f>
        <v/>
      </c>
      <c r="AN69" s="145" t="str">
        <f>IF(COLUMN()-COLUMN($K69)+1&lt;=Dashboard!$D$14,"X","")</f>
        <v/>
      </c>
      <c r="AO69" s="145" t="str">
        <f>IF(COLUMN()-COLUMN($K69)+1&lt;=Dashboard!$D$14,"X","")</f>
        <v/>
      </c>
      <c r="AP69" s="145" t="str">
        <f>IF(COLUMN()-COLUMN($K69)+1&lt;=Dashboard!$D$14,"X","")</f>
        <v/>
      </c>
      <c r="AQ69" s="145" t="str">
        <f>IF(COLUMN()-COLUMN($K69)+1&lt;=Dashboard!$D$14,"X","")</f>
        <v/>
      </c>
      <c r="AR69" s="145" t="str">
        <f>IF(COLUMN()-COLUMN($K69)+1&lt;=Dashboard!$D$14,"X","")</f>
        <v/>
      </c>
      <c r="AS69" s="145" t="str">
        <f>IF(COLUMN()-COLUMN($K69)+1&lt;=Dashboard!$D$14,"X","")</f>
        <v/>
      </c>
      <c r="AT69" s="145" t="str">
        <f>IF(COLUMN()-COLUMN($K69)+1&lt;=Dashboard!$D$14,"X","")</f>
        <v/>
      </c>
      <c r="AU69" s="145" t="str">
        <f>IF(COLUMN()-COLUMN($K69)+1&lt;=Dashboard!$D$14,"X","")</f>
        <v/>
      </c>
      <c r="AV69" s="145" t="str">
        <f>IF(COLUMN()-COLUMN($K69)+1&lt;=Dashboard!$D$14,"X","")</f>
        <v/>
      </c>
      <c r="AW69" s="145" t="str">
        <f>IF(COLUMN()-COLUMN($K69)+1&lt;=Dashboard!$D$14,"X","")</f>
        <v/>
      </c>
      <c r="AX69" s="145" t="str">
        <f>IF(COLUMN()-COLUMN($K69)+1&lt;=Dashboard!$D$14,"X","")</f>
        <v/>
      </c>
      <c r="AY69" s="145" t="str">
        <f>IF(COLUMN()-COLUMN($K69)+1&lt;=Dashboard!$D$14,"X","")</f>
        <v/>
      </c>
      <c r="AZ69" s="145" t="str">
        <f>IF(COLUMN()-COLUMN($K69)+1&lt;=Dashboard!$D$14,"X","")</f>
        <v/>
      </c>
      <c r="BA69" s="145" t="str">
        <f>IF(COLUMN()-COLUMN($K69)+1&lt;=Dashboard!$D$14,"X","")</f>
        <v/>
      </c>
      <c r="BB69" s="145" t="str">
        <f>IF(COLUMN()-COLUMN($K69)+1&lt;=Dashboard!$D$14,"X","")</f>
        <v/>
      </c>
      <c r="BC69" s="145" t="str">
        <f>IF(COLUMN()-COLUMN($K69)+1&lt;=Dashboard!$D$14,"X","")</f>
        <v/>
      </c>
      <c r="BD69" s="145" t="str">
        <f>IF(COLUMN()-COLUMN($K69)+1&lt;=Dashboard!$D$14,"X","")</f>
        <v/>
      </c>
      <c r="BE69" s="145" t="str">
        <f>IF(COLUMN()-COLUMN($K69)+1&lt;=Dashboard!$D$14,"X","")</f>
        <v/>
      </c>
      <c r="BF69" s="145" t="str">
        <f>IF(COLUMN()-COLUMN($K69)+1&lt;=Dashboard!$D$14,"X","")</f>
        <v/>
      </c>
      <c r="BG69" s="145" t="str">
        <f>IF(COLUMN()-COLUMN($K69)+1&lt;=Dashboard!$D$14,"X","")</f>
        <v/>
      </c>
      <c r="BH69" s="145" t="str">
        <f>IF(COLUMN()-COLUMN($K69)+1&lt;=Dashboard!$D$14,"X","")</f>
        <v/>
      </c>
      <c r="BI69" s="145" t="str">
        <f>IF(COLUMN()-COLUMN($K69)+1&lt;=Dashboard!$D$14,"X","")</f>
        <v/>
      </c>
      <c r="BJ69" s="145" t="str">
        <f>IF(COLUMN()-COLUMN($K69)+1&lt;=Dashboard!$D$14,"X","")</f>
        <v/>
      </c>
      <c r="BK69" s="145" t="str">
        <f>IF(COLUMN()-COLUMN($K69)+1&lt;=Dashboard!$D$14,"X","")</f>
        <v/>
      </c>
      <c r="BL69" s="145" t="str">
        <f>IF(COLUMN()-COLUMN($K69)+1&lt;=Dashboard!$D$14,"X","")</f>
        <v/>
      </c>
      <c r="BM69" s="145" t="str">
        <f>IF(COLUMN()-COLUMN($K69)+1&lt;=Dashboard!$D$14,"X","")</f>
        <v/>
      </c>
      <c r="BN69" s="145" t="str">
        <f>IF(COLUMN()-COLUMN($K69)+1&lt;=Dashboard!$D$14,"X","")</f>
        <v/>
      </c>
      <c r="BO69" s="145" t="str">
        <f>IF(COLUMN()-COLUMN($K69)+1&lt;=Dashboard!$D$14,"X","")</f>
        <v/>
      </c>
      <c r="BP69" s="145" t="str">
        <f>IF(COLUMN()-COLUMN($K69)+1&lt;=Dashboard!$D$14,"X","")</f>
        <v/>
      </c>
      <c r="BQ69" s="145" t="str">
        <f>IF(COLUMN()-COLUMN($K69)+1&lt;=Dashboard!$D$14,"X","")</f>
        <v/>
      </c>
      <c r="BR69" s="145" t="str">
        <f>IF(COLUMN()-COLUMN($K69)+1&lt;=Dashboard!$D$14,"X","")</f>
        <v/>
      </c>
    </row>
    <row r="70" spans="4:70" ht="12" hidden="1" customHeight="1" outlineLevel="1">
      <c r="D70" s="624"/>
      <c r="E70" s="65"/>
      <c r="F70" s="143" t="str">
        <f>Tarefas!G22</f>
        <v>Equipe_20</v>
      </c>
      <c r="G70" s="143" t="str">
        <f>Tarefas!F22</f>
        <v>Equipe20</v>
      </c>
      <c r="H70" s="144">
        <f>Tarefas!O22</f>
        <v>198.44000000000003</v>
      </c>
      <c r="I70" s="144">
        <f t="shared" si="61"/>
        <v>10</v>
      </c>
      <c r="J70" s="65"/>
      <c r="K70" s="145" t="str">
        <f>IF(COLUMN()-COLUMN($K70)+1&lt;=Dashboard!$D$14,"X","")</f>
        <v>X</v>
      </c>
      <c r="L70" s="145" t="str">
        <f>IF(COLUMN()-COLUMN($K70)+1&lt;=Dashboard!$D$14,"X","")</f>
        <v>X</v>
      </c>
      <c r="M70" s="145" t="str">
        <f>IF(COLUMN()-COLUMN($K70)+1&lt;=Dashboard!$D$14,"X","")</f>
        <v>X</v>
      </c>
      <c r="N70" s="145" t="str">
        <f>IF(COLUMN()-COLUMN($K70)+1&lt;=Dashboard!$D$14,"X","")</f>
        <v>X</v>
      </c>
      <c r="O70" s="145" t="str">
        <f>IF(COLUMN()-COLUMN($K70)+1&lt;=Dashboard!$D$14,"X","")</f>
        <v>X</v>
      </c>
      <c r="P70" s="145" t="str">
        <f>IF(COLUMN()-COLUMN($K70)+1&lt;=Dashboard!$D$14,"X","")</f>
        <v>X</v>
      </c>
      <c r="Q70" s="145" t="str">
        <f>IF(COLUMN()-COLUMN($K70)+1&lt;=Dashboard!$D$14,"X","")</f>
        <v>X</v>
      </c>
      <c r="R70" s="145" t="str">
        <f>IF(COLUMN()-COLUMN($K70)+1&lt;=Dashboard!$D$14,"X","")</f>
        <v>X</v>
      </c>
      <c r="S70" s="145" t="str">
        <f>IF(COLUMN()-COLUMN($K70)+1&lt;=Dashboard!$D$14,"X","")</f>
        <v>X</v>
      </c>
      <c r="T70" s="145" t="str">
        <f>IF(COLUMN()-COLUMN($K70)+1&lt;=Dashboard!$D$14,"X","")</f>
        <v>X</v>
      </c>
      <c r="U70" s="145" t="str">
        <f>IF(COLUMN()-COLUMN($K70)+1&lt;=Dashboard!$D$14,"X","")</f>
        <v/>
      </c>
      <c r="V70" s="145" t="str">
        <f>IF(COLUMN()-COLUMN($K70)+1&lt;=Dashboard!$D$14,"X","")</f>
        <v/>
      </c>
      <c r="W70" s="145" t="str">
        <f>IF(COLUMN()-COLUMN($K70)+1&lt;=Dashboard!$D$14,"X","")</f>
        <v/>
      </c>
      <c r="X70" s="145" t="str">
        <f>IF(COLUMN()-COLUMN($K70)+1&lt;=Dashboard!$D$14,"X","")</f>
        <v/>
      </c>
      <c r="Y70" s="145" t="str">
        <f>IF(COLUMN()-COLUMN($K70)+1&lt;=Dashboard!$D$14,"X","")</f>
        <v/>
      </c>
      <c r="Z70" s="145" t="str">
        <f>IF(COLUMN()-COLUMN($K70)+1&lt;=Dashboard!$D$14,"X","")</f>
        <v/>
      </c>
      <c r="AA70" s="145" t="str">
        <f>IF(COLUMN()-COLUMN($K70)+1&lt;=Dashboard!$D$14,"X","")</f>
        <v/>
      </c>
      <c r="AB70" s="145" t="str">
        <f>IF(COLUMN()-COLUMN($K70)+1&lt;=Dashboard!$D$14,"X","")</f>
        <v/>
      </c>
      <c r="AC70" s="145" t="str">
        <f>IF(COLUMN()-COLUMN($K70)+1&lt;=Dashboard!$D$14,"X","")</f>
        <v/>
      </c>
      <c r="AD70" s="145" t="str">
        <f>IF(COLUMN()-COLUMN($K70)+1&lt;=Dashboard!$D$14,"X","")</f>
        <v/>
      </c>
      <c r="AE70" s="145" t="str">
        <f>IF(COLUMN()-COLUMN($K70)+1&lt;=Dashboard!$D$14,"X","")</f>
        <v/>
      </c>
      <c r="AF70" s="145" t="str">
        <f>IF(COLUMN()-COLUMN($K70)+1&lt;=Dashboard!$D$14,"X","")</f>
        <v/>
      </c>
      <c r="AG70" s="145" t="str">
        <f>IF(COLUMN()-COLUMN($K70)+1&lt;=Dashboard!$D$14,"X","")</f>
        <v/>
      </c>
      <c r="AH70" s="145" t="str">
        <f>IF(COLUMN()-COLUMN($K70)+1&lt;=Dashboard!$D$14,"X","")</f>
        <v/>
      </c>
      <c r="AI70" s="145" t="str">
        <f>IF(COLUMN()-COLUMN($K70)+1&lt;=Dashboard!$D$14,"X","")</f>
        <v/>
      </c>
      <c r="AJ70" s="145" t="str">
        <f>IF(COLUMN()-COLUMN($K70)+1&lt;=Dashboard!$D$14,"X","")</f>
        <v/>
      </c>
      <c r="AK70" s="145" t="str">
        <f>IF(COLUMN()-COLUMN($K70)+1&lt;=Dashboard!$D$14,"X","")</f>
        <v/>
      </c>
      <c r="AL70" s="145" t="str">
        <f>IF(COLUMN()-COLUMN($K70)+1&lt;=Dashboard!$D$14,"X","")</f>
        <v/>
      </c>
      <c r="AM70" s="145" t="str">
        <f>IF(COLUMN()-COLUMN($K70)+1&lt;=Dashboard!$D$14,"X","")</f>
        <v/>
      </c>
      <c r="AN70" s="145" t="str">
        <f>IF(COLUMN()-COLUMN($K70)+1&lt;=Dashboard!$D$14,"X","")</f>
        <v/>
      </c>
      <c r="AO70" s="145" t="str">
        <f>IF(COLUMN()-COLUMN($K70)+1&lt;=Dashboard!$D$14,"X","")</f>
        <v/>
      </c>
      <c r="AP70" s="145" t="str">
        <f>IF(COLUMN()-COLUMN($K70)+1&lt;=Dashboard!$D$14,"X","")</f>
        <v/>
      </c>
      <c r="AQ70" s="145" t="str">
        <f>IF(COLUMN()-COLUMN($K70)+1&lt;=Dashboard!$D$14,"X","")</f>
        <v/>
      </c>
      <c r="AR70" s="145" t="str">
        <f>IF(COLUMN()-COLUMN($K70)+1&lt;=Dashboard!$D$14,"X","")</f>
        <v/>
      </c>
      <c r="AS70" s="145" t="str">
        <f>IF(COLUMN()-COLUMN($K70)+1&lt;=Dashboard!$D$14,"X","")</f>
        <v/>
      </c>
      <c r="AT70" s="145" t="str">
        <f>IF(COLUMN()-COLUMN($K70)+1&lt;=Dashboard!$D$14,"X","")</f>
        <v/>
      </c>
      <c r="AU70" s="145" t="str">
        <f>IF(COLUMN()-COLUMN($K70)+1&lt;=Dashboard!$D$14,"X","")</f>
        <v/>
      </c>
      <c r="AV70" s="145" t="str">
        <f>IF(COLUMN()-COLUMN($K70)+1&lt;=Dashboard!$D$14,"X","")</f>
        <v/>
      </c>
      <c r="AW70" s="145" t="str">
        <f>IF(COLUMN()-COLUMN($K70)+1&lt;=Dashboard!$D$14,"X","")</f>
        <v/>
      </c>
      <c r="AX70" s="145" t="str">
        <f>IF(COLUMN()-COLUMN($K70)+1&lt;=Dashboard!$D$14,"X","")</f>
        <v/>
      </c>
      <c r="AY70" s="145" t="str">
        <f>IF(COLUMN()-COLUMN($K70)+1&lt;=Dashboard!$D$14,"X","")</f>
        <v/>
      </c>
      <c r="AZ70" s="145" t="str">
        <f>IF(COLUMN()-COLUMN($K70)+1&lt;=Dashboard!$D$14,"X","")</f>
        <v/>
      </c>
      <c r="BA70" s="145" t="str">
        <f>IF(COLUMN()-COLUMN($K70)+1&lt;=Dashboard!$D$14,"X","")</f>
        <v/>
      </c>
      <c r="BB70" s="145" t="str">
        <f>IF(COLUMN()-COLUMN($K70)+1&lt;=Dashboard!$D$14,"X","")</f>
        <v/>
      </c>
      <c r="BC70" s="145" t="str">
        <f>IF(COLUMN()-COLUMN($K70)+1&lt;=Dashboard!$D$14,"X","")</f>
        <v/>
      </c>
      <c r="BD70" s="145" t="str">
        <f>IF(COLUMN()-COLUMN($K70)+1&lt;=Dashboard!$D$14,"X","")</f>
        <v/>
      </c>
      <c r="BE70" s="145" t="str">
        <f>IF(COLUMN()-COLUMN($K70)+1&lt;=Dashboard!$D$14,"X","")</f>
        <v/>
      </c>
      <c r="BF70" s="145" t="str">
        <f>IF(COLUMN()-COLUMN($K70)+1&lt;=Dashboard!$D$14,"X","")</f>
        <v/>
      </c>
      <c r="BG70" s="145" t="str">
        <f>IF(COLUMN()-COLUMN($K70)+1&lt;=Dashboard!$D$14,"X","")</f>
        <v/>
      </c>
      <c r="BH70" s="145" t="str">
        <f>IF(COLUMN()-COLUMN($K70)+1&lt;=Dashboard!$D$14,"X","")</f>
        <v/>
      </c>
      <c r="BI70" s="145" t="str">
        <f>IF(COLUMN()-COLUMN($K70)+1&lt;=Dashboard!$D$14,"X","")</f>
        <v/>
      </c>
      <c r="BJ70" s="145" t="str">
        <f>IF(COLUMN()-COLUMN($K70)+1&lt;=Dashboard!$D$14,"X","")</f>
        <v/>
      </c>
      <c r="BK70" s="145" t="str">
        <f>IF(COLUMN()-COLUMN($K70)+1&lt;=Dashboard!$D$14,"X","")</f>
        <v/>
      </c>
      <c r="BL70" s="145" t="str">
        <f>IF(COLUMN()-COLUMN($K70)+1&lt;=Dashboard!$D$14,"X","")</f>
        <v/>
      </c>
      <c r="BM70" s="145" t="str">
        <f>IF(COLUMN()-COLUMN($K70)+1&lt;=Dashboard!$D$14,"X","")</f>
        <v/>
      </c>
      <c r="BN70" s="145" t="str">
        <f>IF(COLUMN()-COLUMN($K70)+1&lt;=Dashboard!$D$14,"X","")</f>
        <v/>
      </c>
      <c r="BO70" s="145" t="str">
        <f>IF(COLUMN()-COLUMN($K70)+1&lt;=Dashboard!$D$14,"X","")</f>
        <v/>
      </c>
      <c r="BP70" s="145" t="str">
        <f>IF(COLUMN()-COLUMN($K70)+1&lt;=Dashboard!$D$14,"X","")</f>
        <v/>
      </c>
      <c r="BQ70" s="145" t="str">
        <f>IF(COLUMN()-COLUMN($K70)+1&lt;=Dashboard!$D$14,"X","")</f>
        <v/>
      </c>
      <c r="BR70" s="145" t="str">
        <f>IF(COLUMN()-COLUMN($K70)+1&lt;=Dashboard!$D$14,"X","")</f>
        <v/>
      </c>
    </row>
    <row r="71" spans="4:70" ht="24" customHeight="1">
      <c r="D71" s="65"/>
      <c r="E71" s="65"/>
      <c r="F71" s="614" t="s">
        <v>365</v>
      </c>
      <c r="G71" s="614"/>
      <c r="H71" s="614"/>
      <c r="I71" s="146">
        <f t="shared" si="61"/>
        <v>10</v>
      </c>
      <c r="J71" s="65"/>
      <c r="K71" s="147" t="str">
        <f t="shared" ref="K71:AP71" si="62">IF(SUM(K3:K22)&gt;0,"x","")</f>
        <v>x</v>
      </c>
      <c r="L71" s="147" t="str">
        <f t="shared" si="62"/>
        <v>x</v>
      </c>
      <c r="M71" s="147" t="str">
        <f t="shared" si="62"/>
        <v>x</v>
      </c>
      <c r="N71" s="147" t="str">
        <f t="shared" si="62"/>
        <v>x</v>
      </c>
      <c r="O71" s="147" t="str">
        <f t="shared" si="62"/>
        <v>x</v>
      </c>
      <c r="P71" s="147" t="str">
        <f t="shared" si="62"/>
        <v>x</v>
      </c>
      <c r="Q71" s="147" t="str">
        <f t="shared" si="62"/>
        <v>x</v>
      </c>
      <c r="R71" s="147" t="str">
        <f t="shared" si="62"/>
        <v>x</v>
      </c>
      <c r="S71" s="147" t="str">
        <f t="shared" si="62"/>
        <v>x</v>
      </c>
      <c r="T71" s="147" t="str">
        <f t="shared" si="62"/>
        <v>x</v>
      </c>
      <c r="U71" s="147" t="str">
        <f t="shared" si="62"/>
        <v/>
      </c>
      <c r="V71" s="147" t="str">
        <f t="shared" si="62"/>
        <v/>
      </c>
      <c r="W71" s="147" t="str">
        <f t="shared" si="62"/>
        <v/>
      </c>
      <c r="X71" s="147" t="str">
        <f t="shared" si="62"/>
        <v/>
      </c>
      <c r="Y71" s="147" t="str">
        <f t="shared" si="62"/>
        <v/>
      </c>
      <c r="Z71" s="147" t="str">
        <f t="shared" si="62"/>
        <v/>
      </c>
      <c r="AA71" s="147" t="str">
        <f t="shared" si="62"/>
        <v/>
      </c>
      <c r="AB71" s="147" t="str">
        <f t="shared" si="62"/>
        <v/>
      </c>
      <c r="AC71" s="147" t="str">
        <f t="shared" si="62"/>
        <v/>
      </c>
      <c r="AD71" s="147" t="str">
        <f t="shared" si="62"/>
        <v/>
      </c>
      <c r="AE71" s="147" t="str">
        <f t="shared" si="62"/>
        <v/>
      </c>
      <c r="AF71" s="147" t="str">
        <f t="shared" si="62"/>
        <v/>
      </c>
      <c r="AG71" s="147" t="str">
        <f t="shared" si="62"/>
        <v/>
      </c>
      <c r="AH71" s="147" t="str">
        <f t="shared" si="62"/>
        <v/>
      </c>
      <c r="AI71" s="147" t="str">
        <f t="shared" si="62"/>
        <v/>
      </c>
      <c r="AJ71" s="147" t="str">
        <f t="shared" si="62"/>
        <v/>
      </c>
      <c r="AK71" s="147" t="str">
        <f t="shared" si="62"/>
        <v/>
      </c>
      <c r="AL71" s="147" t="str">
        <f t="shared" si="62"/>
        <v/>
      </c>
      <c r="AM71" s="147" t="str">
        <f t="shared" si="62"/>
        <v/>
      </c>
      <c r="AN71" s="147" t="str">
        <f t="shared" si="62"/>
        <v/>
      </c>
      <c r="AO71" s="147" t="str">
        <f t="shared" si="62"/>
        <v/>
      </c>
      <c r="AP71" s="147" t="str">
        <f t="shared" si="62"/>
        <v/>
      </c>
      <c r="AQ71" s="147" t="str">
        <f t="shared" ref="AQ71:BR71" si="63">IF(SUM(AQ3:AQ22)&gt;0,"x","")</f>
        <v/>
      </c>
      <c r="AR71" s="147" t="str">
        <f t="shared" si="63"/>
        <v/>
      </c>
      <c r="AS71" s="147" t="str">
        <f t="shared" si="63"/>
        <v/>
      </c>
      <c r="AT71" s="147" t="str">
        <f t="shared" si="63"/>
        <v/>
      </c>
      <c r="AU71" s="147" t="str">
        <f t="shared" si="63"/>
        <v/>
      </c>
      <c r="AV71" s="147" t="str">
        <f t="shared" si="63"/>
        <v/>
      </c>
      <c r="AW71" s="147" t="str">
        <f t="shared" si="63"/>
        <v/>
      </c>
      <c r="AX71" s="147" t="str">
        <f t="shared" si="63"/>
        <v/>
      </c>
      <c r="AY71" s="147" t="str">
        <f t="shared" si="63"/>
        <v/>
      </c>
      <c r="AZ71" s="147" t="str">
        <f t="shared" si="63"/>
        <v/>
      </c>
      <c r="BA71" s="147" t="str">
        <f t="shared" si="63"/>
        <v/>
      </c>
      <c r="BB71" s="147" t="str">
        <f t="shared" si="63"/>
        <v/>
      </c>
      <c r="BC71" s="147" t="str">
        <f t="shared" si="63"/>
        <v/>
      </c>
      <c r="BD71" s="147" t="str">
        <f t="shared" si="63"/>
        <v/>
      </c>
      <c r="BE71" s="147" t="str">
        <f t="shared" si="63"/>
        <v/>
      </c>
      <c r="BF71" s="147" t="str">
        <f t="shared" si="63"/>
        <v/>
      </c>
      <c r="BG71" s="147" t="str">
        <f t="shared" si="63"/>
        <v/>
      </c>
      <c r="BH71" s="147" t="str">
        <f t="shared" si="63"/>
        <v/>
      </c>
      <c r="BI71" s="147" t="str">
        <f t="shared" si="63"/>
        <v/>
      </c>
      <c r="BJ71" s="147" t="str">
        <f t="shared" si="63"/>
        <v/>
      </c>
      <c r="BK71" s="147" t="str">
        <f t="shared" si="63"/>
        <v/>
      </c>
      <c r="BL71" s="147" t="str">
        <f t="shared" si="63"/>
        <v/>
      </c>
      <c r="BM71" s="147" t="str">
        <f t="shared" si="63"/>
        <v/>
      </c>
      <c r="BN71" s="147" t="str">
        <f t="shared" si="63"/>
        <v/>
      </c>
      <c r="BO71" s="147" t="str">
        <f t="shared" si="63"/>
        <v/>
      </c>
      <c r="BP71" s="147" t="str">
        <f t="shared" si="63"/>
        <v/>
      </c>
      <c r="BQ71" s="147" t="str">
        <f t="shared" si="63"/>
        <v/>
      </c>
      <c r="BR71" s="147" t="str">
        <f t="shared" si="63"/>
        <v/>
      </c>
    </row>
    <row r="72" spans="4:70" ht="12" customHeight="1"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</row>
    <row r="73" spans="4:70" ht="5.0999999999999996" customHeight="1"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</row>
    <row r="74" spans="4:70" ht="12" customHeight="1"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</row>
    <row r="75" spans="4:70" ht="24" customHeight="1">
      <c r="D75" s="140" t="s">
        <v>366</v>
      </c>
      <c r="E75" s="65"/>
      <c r="F75" s="613" t="s">
        <v>367</v>
      </c>
      <c r="G75" s="613"/>
      <c r="H75" s="613"/>
      <c r="I75" s="613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</row>
    <row r="76" spans="4:70" ht="24" customHeight="1" collapsed="1">
      <c r="D76" s="65"/>
      <c r="E76" s="65"/>
      <c r="F76" s="142" t="s">
        <v>198</v>
      </c>
      <c r="G76" s="142" t="s">
        <v>259</v>
      </c>
      <c r="H76" s="142" t="s">
        <v>368</v>
      </c>
      <c r="I76" s="142" t="s">
        <v>369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</row>
    <row r="77" spans="4:70" ht="12" hidden="1" customHeight="1" outlineLevel="1">
      <c r="D77" s="620" t="s">
        <v>370</v>
      </c>
      <c r="E77" s="65"/>
      <c r="F77" s="143" t="str">
        <f>F51</f>
        <v>Equipe_01</v>
      </c>
      <c r="G77" s="143" t="str">
        <f>G51</f>
        <v>Equipe01</v>
      </c>
      <c r="H77" s="79">
        <f t="shared" ref="H77:H96" si="64">SUM(K77:BR77)</f>
        <v>0.99999999999999989</v>
      </c>
      <c r="I77" s="107" t="s">
        <v>371</v>
      </c>
      <c r="J77" s="65"/>
      <c r="K77" s="79" cm="1">
        <f t="array" ref="K77">IFERROR(IF(K3=1,INDEX('Curva S'!$C$2:$BJ$301,$I25,K25),0),0)</f>
        <v>0.1</v>
      </c>
      <c r="L77" s="79" cm="1">
        <f t="array" ref="L77">IFERROR(IF(L3=1,INDEX('Curva S'!$C$2:$BJ$301,$I25,L25),0),0)</f>
        <v>0.1</v>
      </c>
      <c r="M77" s="79" cm="1">
        <f t="array" ref="M77">IFERROR(IF(M3=1,INDEX('Curva S'!$C$2:$BJ$301,$I25,M25),0),0)</f>
        <v>0.1</v>
      </c>
      <c r="N77" s="79" cm="1">
        <f t="array" ref="N77">IFERROR(IF(N3=1,INDEX('Curva S'!$C$2:$BJ$301,$I25,N25),0),0)</f>
        <v>0.1</v>
      </c>
      <c r="O77" s="79" cm="1">
        <f t="array" ref="O77">IFERROR(IF(O3=1,INDEX('Curva S'!$C$2:$BJ$301,$I25,O25),0),0)</f>
        <v>0.1</v>
      </c>
      <c r="P77" s="79" cm="1">
        <f t="array" ref="P77">IFERROR(IF(P3=1,INDEX('Curva S'!$C$2:$BJ$301,$I25,P25),0),0)</f>
        <v>0.1</v>
      </c>
      <c r="Q77" s="79" cm="1">
        <f t="array" ref="Q77">IFERROR(IF(Q3=1,INDEX('Curva S'!$C$2:$BJ$301,$I25,Q25),0),0)</f>
        <v>0.1</v>
      </c>
      <c r="R77" s="79" cm="1">
        <f t="array" ref="R77">IFERROR(IF(R3=1,INDEX('Curva S'!$C$2:$BJ$301,$I25,R25),0),0)</f>
        <v>0.1</v>
      </c>
      <c r="S77" s="79" cm="1">
        <f t="array" ref="S77">IFERROR(IF(S3=1,INDEX('Curva S'!$C$2:$BJ$301,$I25,S25),0),0)</f>
        <v>0.1</v>
      </c>
      <c r="T77" s="79" cm="1">
        <f t="array" ref="T77">IFERROR(IF(T3=1,INDEX('Curva S'!$C$2:$BJ$301,$I25,T25),0),0)</f>
        <v>0.1</v>
      </c>
      <c r="U77" s="79" cm="1">
        <f t="array" ref="U77">IFERROR(IF(U3=1,INDEX('Curva S'!$C$2:$BJ$301,$I25,U25),0),0)</f>
        <v>0</v>
      </c>
      <c r="V77" s="79" cm="1">
        <f t="array" ref="V77">IFERROR(IF(V3=1,INDEX('Curva S'!$C$2:$BJ$301,$I25,V25),0),0)</f>
        <v>0</v>
      </c>
      <c r="W77" s="79" cm="1">
        <f t="array" ref="W77">IFERROR(IF(W3=1,INDEX('Curva S'!$C$2:$BJ$301,$I25,W25),0),0)</f>
        <v>0</v>
      </c>
      <c r="X77" s="79" cm="1">
        <f t="array" ref="X77">IFERROR(IF(X3=1,INDEX('Curva S'!$C$2:$BJ$301,$I25,X25),0),0)</f>
        <v>0</v>
      </c>
      <c r="Y77" s="79" cm="1">
        <f t="array" ref="Y77">IFERROR(IF(Y3=1,INDEX('Curva S'!$C$2:$BJ$301,$I25,Y25),0),0)</f>
        <v>0</v>
      </c>
      <c r="Z77" s="79" cm="1">
        <f t="array" ref="Z77">IFERROR(IF(Z3=1,INDEX('Curva S'!$C$2:$BJ$301,$I25,Z25),0),0)</f>
        <v>0</v>
      </c>
      <c r="AA77" s="79" cm="1">
        <f t="array" ref="AA77">IFERROR(IF(AA3=1,INDEX('Curva S'!$C$2:$BJ$301,$I25,AA25),0),0)</f>
        <v>0</v>
      </c>
      <c r="AB77" s="79" cm="1">
        <f t="array" ref="AB77">IFERROR(IF(AB3=1,INDEX('Curva S'!$C$2:$BJ$301,$I25,AB25),0),0)</f>
        <v>0</v>
      </c>
      <c r="AC77" s="79" cm="1">
        <f t="array" ref="AC77">IFERROR(IF(AC3=1,INDEX('Curva S'!$C$2:$BJ$301,$I25,AC25),0),0)</f>
        <v>0</v>
      </c>
      <c r="AD77" s="79" cm="1">
        <f t="array" ref="AD77">IFERROR(IF(AD3=1,INDEX('Curva S'!$C$2:$BJ$301,$I25,AD25),0),0)</f>
        <v>0</v>
      </c>
      <c r="AE77" s="79" cm="1">
        <f t="array" ref="AE77">IFERROR(IF(AE3=1,INDEX('Curva S'!$C$2:$BJ$301,$I25,AE25),0),0)</f>
        <v>0</v>
      </c>
      <c r="AF77" s="79" cm="1">
        <f t="array" ref="AF77">IFERROR(IF(AF3=1,INDEX('Curva S'!$C$2:$BJ$301,$I25,AF25),0),0)</f>
        <v>0</v>
      </c>
      <c r="AG77" s="79" cm="1">
        <f t="array" ref="AG77">IFERROR(IF(AG3=1,INDEX('Curva S'!$C$2:$BJ$301,$I25,AG25),0),0)</f>
        <v>0</v>
      </c>
      <c r="AH77" s="79" cm="1">
        <f t="array" ref="AH77">IFERROR(IF(AH3=1,INDEX('Curva S'!$C$2:$BJ$301,$I25,AH25),0),0)</f>
        <v>0</v>
      </c>
      <c r="AI77" s="79" cm="1">
        <f t="array" ref="AI77">IFERROR(IF(AI3=1,INDEX('Curva S'!$C$2:$BJ$301,$I25,AI25),0),0)</f>
        <v>0</v>
      </c>
      <c r="AJ77" s="79" cm="1">
        <f t="array" ref="AJ77">IFERROR(IF(AJ3=1,INDEX('Curva S'!$C$2:$BJ$301,$I25,AJ25),0),0)</f>
        <v>0</v>
      </c>
      <c r="AK77" s="79" cm="1">
        <f t="array" ref="AK77">IFERROR(IF(AK3=1,INDEX('Curva S'!$C$2:$BJ$301,$I25,AK25),0),0)</f>
        <v>0</v>
      </c>
      <c r="AL77" s="79" cm="1">
        <f t="array" ref="AL77">IFERROR(IF(AL3=1,INDEX('Curva S'!$C$2:$BJ$301,$I25,AL25),0),0)</f>
        <v>0</v>
      </c>
      <c r="AM77" s="79" cm="1">
        <f t="array" ref="AM77">IFERROR(IF(AM3=1,INDEX('Curva S'!$C$2:$BJ$301,$I25,AM25),0),0)</f>
        <v>0</v>
      </c>
      <c r="AN77" s="79" cm="1">
        <f t="array" ref="AN77">IFERROR(IF(AN3=1,INDEX('Curva S'!$C$2:$BJ$301,$I25,AN25),0),0)</f>
        <v>0</v>
      </c>
      <c r="AO77" s="79" cm="1">
        <f t="array" ref="AO77">IFERROR(IF(AO3=1,INDEX('Curva S'!$C$2:$BJ$301,$I25,AO25),0),0)</f>
        <v>0</v>
      </c>
      <c r="AP77" s="79" cm="1">
        <f t="array" ref="AP77">IFERROR(IF(AP3=1,INDEX('Curva S'!$C$2:$BJ$301,$I25,AP25),0),0)</f>
        <v>0</v>
      </c>
      <c r="AQ77" s="79" cm="1">
        <f t="array" ref="AQ77">IFERROR(IF(AQ3=1,INDEX('Curva S'!$C$2:$BJ$301,$I25,AQ25),0),0)</f>
        <v>0</v>
      </c>
      <c r="AR77" s="79" cm="1">
        <f t="array" ref="AR77">IFERROR(IF(AR3=1,INDEX('Curva S'!$C$2:$BJ$301,$I25,AR25),0),0)</f>
        <v>0</v>
      </c>
      <c r="AS77" s="79" cm="1">
        <f t="array" ref="AS77">IFERROR(IF(AS3=1,INDEX('Curva S'!$C$2:$BJ$301,$I25,AS25),0),0)</f>
        <v>0</v>
      </c>
      <c r="AT77" s="79" cm="1">
        <f t="array" ref="AT77">IFERROR(IF(AT3=1,INDEX('Curva S'!$C$2:$BJ$301,$I25,AT25),0),0)</f>
        <v>0</v>
      </c>
      <c r="AU77" s="79" cm="1">
        <f t="array" ref="AU77">IFERROR(IF(AU3=1,INDEX('Curva S'!$C$2:$BJ$301,$I25,AU25),0),0)</f>
        <v>0</v>
      </c>
      <c r="AV77" s="79" cm="1">
        <f t="array" ref="AV77">IFERROR(IF(AV3=1,INDEX('Curva S'!$C$2:$BJ$301,$I25,AV25),0),0)</f>
        <v>0</v>
      </c>
      <c r="AW77" s="79" cm="1">
        <f t="array" ref="AW77">IFERROR(IF(AW3=1,INDEX('Curva S'!$C$2:$BJ$301,$I25,AW25),0),0)</f>
        <v>0</v>
      </c>
      <c r="AX77" s="79" cm="1">
        <f t="array" ref="AX77">IFERROR(IF(AX3=1,INDEX('Curva S'!$C$2:$BJ$301,$I25,AX25),0),0)</f>
        <v>0</v>
      </c>
      <c r="AY77" s="79" cm="1">
        <f t="array" ref="AY77">IFERROR(IF(AY3=1,INDEX('Curva S'!$C$2:$BJ$301,$I25,AY25),0),0)</f>
        <v>0</v>
      </c>
      <c r="AZ77" s="79" cm="1">
        <f t="array" ref="AZ77">IFERROR(IF(AZ3=1,INDEX('Curva S'!$C$2:$BJ$301,$I25,AZ25),0),0)</f>
        <v>0</v>
      </c>
      <c r="BA77" s="79" cm="1">
        <f t="array" ref="BA77">IFERROR(IF(BA3=1,INDEX('Curva S'!$C$2:$BJ$301,$I25,BA25),0),0)</f>
        <v>0</v>
      </c>
      <c r="BB77" s="79" cm="1">
        <f t="array" ref="BB77">IFERROR(IF(BB3=1,INDEX('Curva S'!$C$2:$BJ$301,$I25,BB25),0),0)</f>
        <v>0</v>
      </c>
      <c r="BC77" s="79" cm="1">
        <f t="array" ref="BC77">IFERROR(IF(BC3=1,INDEX('Curva S'!$C$2:$BJ$301,$I25,BC25),0),0)</f>
        <v>0</v>
      </c>
      <c r="BD77" s="79" cm="1">
        <f t="array" ref="BD77">IFERROR(IF(BD3=1,INDEX('Curva S'!$C$2:$BJ$301,$I25,BD25),0),0)</f>
        <v>0</v>
      </c>
      <c r="BE77" s="79" cm="1">
        <f t="array" ref="BE77">IFERROR(IF(BE3=1,INDEX('Curva S'!$C$2:$BJ$301,$I25,BE25),0),0)</f>
        <v>0</v>
      </c>
      <c r="BF77" s="79" cm="1">
        <f t="array" ref="BF77">IFERROR(IF(BF3=1,INDEX('Curva S'!$C$2:$BJ$301,$I25,BF25),0),0)</f>
        <v>0</v>
      </c>
      <c r="BG77" s="79" cm="1">
        <f t="array" ref="BG77">IFERROR(IF(BG3=1,INDEX('Curva S'!$C$2:$BJ$301,$I25,BG25),0),0)</f>
        <v>0</v>
      </c>
      <c r="BH77" s="79" cm="1">
        <f t="array" ref="BH77">IFERROR(IF(BH3=1,INDEX('Curva S'!$C$2:$BJ$301,$I25,BH25),0),0)</f>
        <v>0</v>
      </c>
      <c r="BI77" s="79" cm="1">
        <f t="array" ref="BI77">IFERROR(IF(BI3=1,INDEX('Curva S'!$C$2:$BJ$301,$I25,BI25),0),0)</f>
        <v>0</v>
      </c>
      <c r="BJ77" s="79" cm="1">
        <f t="array" ref="BJ77">IFERROR(IF(BJ3=1,INDEX('Curva S'!$C$2:$BJ$301,$I25,BJ25),0),0)</f>
        <v>0</v>
      </c>
      <c r="BK77" s="79" cm="1">
        <f t="array" ref="BK77">IFERROR(IF(BK3=1,INDEX('Curva S'!$C$2:$BJ$301,$I25,BK25),0),0)</f>
        <v>0</v>
      </c>
      <c r="BL77" s="79" cm="1">
        <f t="array" ref="BL77">IFERROR(IF(BL3=1,INDEX('Curva S'!$C$2:$BJ$301,$I25,BL25),0),0)</f>
        <v>0</v>
      </c>
      <c r="BM77" s="79" cm="1">
        <f t="array" ref="BM77">IFERROR(IF(BM3=1,INDEX('Curva S'!$C$2:$BJ$301,$I25,BM25),0),0)</f>
        <v>0</v>
      </c>
      <c r="BN77" s="79" cm="1">
        <f t="array" ref="BN77">IFERROR(IF(BN3=1,INDEX('Curva S'!$C$2:$BJ$301,$I25,BN25),0),0)</f>
        <v>0</v>
      </c>
      <c r="BO77" s="79" cm="1">
        <f t="array" ref="BO77">IFERROR(IF(BO3=1,INDEX('Curva S'!$C$2:$BJ$301,$I25,BO25),0),0)</f>
        <v>0</v>
      </c>
      <c r="BP77" s="79" cm="1">
        <f t="array" ref="BP77">IFERROR(IF(BP3=1,INDEX('Curva S'!$C$2:$BJ$301,$I25,BP25),0),0)</f>
        <v>0</v>
      </c>
      <c r="BQ77" s="79" cm="1">
        <f t="array" ref="BQ77">IFERROR(IF(BQ3=1,INDEX('Curva S'!$C$2:$BJ$301,$I25,BQ25),0),0)</f>
        <v>0</v>
      </c>
      <c r="BR77" s="79" cm="1">
        <f t="array" ref="BR77">IFERROR(IF(BR3=1,INDEX('Curva S'!$C$2:$BJ$301,$I25,BR25),0),0)</f>
        <v>0</v>
      </c>
    </row>
    <row r="78" spans="4:70" ht="12" hidden="1" customHeight="1" outlineLevel="1">
      <c r="D78" s="621"/>
      <c r="E78" s="65"/>
      <c r="F78" s="143" t="str">
        <f>F52</f>
        <v>Equipe_02</v>
      </c>
      <c r="G78" s="143" t="str">
        <f t="shared" ref="G78:G96" si="65">G52</f>
        <v>Equipe02</v>
      </c>
      <c r="H78" s="79">
        <f t="shared" si="64"/>
        <v>0.99999999999999989</v>
      </c>
      <c r="I78" s="107" t="s">
        <v>371</v>
      </c>
      <c r="J78" s="65"/>
      <c r="K78" s="79" cm="1">
        <f t="array" ref="K78">IFERROR(IF(K4=1,INDEX('Curva S'!$C$2:$BJ$301,$I26,K26),0),0)</f>
        <v>0.1</v>
      </c>
      <c r="L78" s="79" cm="1">
        <f t="array" ref="L78">IFERROR(IF(L4=1,INDEX('Curva S'!$C$2:$BJ$301,$I26,L26),0),0)</f>
        <v>0.1</v>
      </c>
      <c r="M78" s="79" cm="1">
        <f t="array" ref="M78">IFERROR(IF(M4=1,INDEX('Curva S'!$C$2:$BJ$301,$I26,M26),0),0)</f>
        <v>0.1</v>
      </c>
      <c r="N78" s="79" cm="1">
        <f t="array" ref="N78">IFERROR(IF(N4=1,INDEX('Curva S'!$C$2:$BJ$301,$I26,N26),0),0)</f>
        <v>0.1</v>
      </c>
      <c r="O78" s="79" cm="1">
        <f t="array" ref="O78">IFERROR(IF(O4=1,INDEX('Curva S'!$C$2:$BJ$301,$I26,O26),0),0)</f>
        <v>0.1</v>
      </c>
      <c r="P78" s="79" cm="1">
        <f t="array" ref="P78">IFERROR(IF(P4=1,INDEX('Curva S'!$C$2:$BJ$301,$I26,P26),0),0)</f>
        <v>0.1</v>
      </c>
      <c r="Q78" s="79" cm="1">
        <f t="array" ref="Q78">IFERROR(IF(Q4=1,INDEX('Curva S'!$C$2:$BJ$301,$I26,Q26),0),0)</f>
        <v>0.1</v>
      </c>
      <c r="R78" s="79" cm="1">
        <f t="array" ref="R78">IFERROR(IF(R4=1,INDEX('Curva S'!$C$2:$BJ$301,$I26,R26),0),0)</f>
        <v>0.1</v>
      </c>
      <c r="S78" s="79" cm="1">
        <f t="array" ref="S78">IFERROR(IF(S4=1,INDEX('Curva S'!$C$2:$BJ$301,$I26,S26),0),0)</f>
        <v>0.1</v>
      </c>
      <c r="T78" s="79" cm="1">
        <f t="array" ref="T78">IFERROR(IF(T4=1,INDEX('Curva S'!$C$2:$BJ$301,$I26,T26),0),0)</f>
        <v>0.1</v>
      </c>
      <c r="U78" s="79" cm="1">
        <f t="array" ref="U78">IFERROR(IF(U4=1,INDEX('Curva S'!$C$2:$BJ$301,$I26,U26),0),0)</f>
        <v>0</v>
      </c>
      <c r="V78" s="79" cm="1">
        <f t="array" ref="V78">IFERROR(IF(V4=1,INDEX('Curva S'!$C$2:$BJ$301,$I26,V26),0),0)</f>
        <v>0</v>
      </c>
      <c r="W78" s="79" cm="1">
        <f t="array" ref="W78">IFERROR(IF(W4=1,INDEX('Curva S'!$C$2:$BJ$301,$I26,W26),0),0)</f>
        <v>0</v>
      </c>
      <c r="X78" s="79" cm="1">
        <f t="array" ref="X78">IFERROR(IF(X4=1,INDEX('Curva S'!$C$2:$BJ$301,$I26,X26),0),0)</f>
        <v>0</v>
      </c>
      <c r="Y78" s="79" cm="1">
        <f t="array" ref="Y78">IFERROR(IF(Y4=1,INDEX('Curva S'!$C$2:$BJ$301,$I26,Y26),0),0)</f>
        <v>0</v>
      </c>
      <c r="Z78" s="79" cm="1">
        <f t="array" ref="Z78">IFERROR(IF(Z4=1,INDEX('Curva S'!$C$2:$BJ$301,$I26,Z26),0),0)</f>
        <v>0</v>
      </c>
      <c r="AA78" s="79" cm="1">
        <f t="array" ref="AA78">IFERROR(IF(AA4=1,INDEX('Curva S'!$C$2:$BJ$301,$I26,AA26),0),0)</f>
        <v>0</v>
      </c>
      <c r="AB78" s="79" cm="1">
        <f t="array" ref="AB78">IFERROR(IF(AB4=1,INDEX('Curva S'!$C$2:$BJ$301,$I26,AB26),0),0)</f>
        <v>0</v>
      </c>
      <c r="AC78" s="79" cm="1">
        <f t="array" ref="AC78">IFERROR(IF(AC4=1,INDEX('Curva S'!$C$2:$BJ$301,$I26,AC26),0),0)</f>
        <v>0</v>
      </c>
      <c r="AD78" s="79" cm="1">
        <f t="array" ref="AD78">IFERROR(IF(AD4=1,INDEX('Curva S'!$C$2:$BJ$301,$I26,AD26),0),0)</f>
        <v>0</v>
      </c>
      <c r="AE78" s="79" cm="1">
        <f t="array" ref="AE78">IFERROR(IF(AE4=1,INDEX('Curva S'!$C$2:$BJ$301,$I26,AE26),0),0)</f>
        <v>0</v>
      </c>
      <c r="AF78" s="79" cm="1">
        <f t="array" ref="AF78">IFERROR(IF(AF4=1,INDEX('Curva S'!$C$2:$BJ$301,$I26,AF26),0),0)</f>
        <v>0</v>
      </c>
      <c r="AG78" s="79" cm="1">
        <f t="array" ref="AG78">IFERROR(IF(AG4=1,INDEX('Curva S'!$C$2:$BJ$301,$I26,AG26),0),0)</f>
        <v>0</v>
      </c>
      <c r="AH78" s="79" cm="1">
        <f t="array" ref="AH78">IFERROR(IF(AH4=1,INDEX('Curva S'!$C$2:$BJ$301,$I26,AH26),0),0)</f>
        <v>0</v>
      </c>
      <c r="AI78" s="79" cm="1">
        <f t="array" ref="AI78">IFERROR(IF(AI4=1,INDEX('Curva S'!$C$2:$BJ$301,$I26,AI26),0),0)</f>
        <v>0</v>
      </c>
      <c r="AJ78" s="79" cm="1">
        <f t="array" ref="AJ78">IFERROR(IF(AJ4=1,INDEX('Curva S'!$C$2:$BJ$301,$I26,AJ26),0),0)</f>
        <v>0</v>
      </c>
      <c r="AK78" s="79" cm="1">
        <f t="array" ref="AK78">IFERROR(IF(AK4=1,INDEX('Curva S'!$C$2:$BJ$301,$I26,AK26),0),0)</f>
        <v>0</v>
      </c>
      <c r="AL78" s="79" cm="1">
        <f t="array" ref="AL78">IFERROR(IF(AL4=1,INDEX('Curva S'!$C$2:$BJ$301,$I26,AL26),0),0)</f>
        <v>0</v>
      </c>
      <c r="AM78" s="79" cm="1">
        <f t="array" ref="AM78">IFERROR(IF(AM4=1,INDEX('Curva S'!$C$2:$BJ$301,$I26,AM26),0),0)</f>
        <v>0</v>
      </c>
      <c r="AN78" s="79" cm="1">
        <f t="array" ref="AN78">IFERROR(IF(AN4=1,INDEX('Curva S'!$C$2:$BJ$301,$I26,AN26),0),0)</f>
        <v>0</v>
      </c>
      <c r="AO78" s="79" cm="1">
        <f t="array" ref="AO78">IFERROR(IF(AO4=1,INDEX('Curva S'!$C$2:$BJ$301,$I26,AO26),0),0)</f>
        <v>0</v>
      </c>
      <c r="AP78" s="79" cm="1">
        <f t="array" ref="AP78">IFERROR(IF(AP4=1,INDEX('Curva S'!$C$2:$BJ$301,$I26,AP26),0),0)</f>
        <v>0</v>
      </c>
      <c r="AQ78" s="79" cm="1">
        <f t="array" ref="AQ78">IFERROR(IF(AQ4=1,INDEX('Curva S'!$C$2:$BJ$301,$I26,AQ26),0),0)</f>
        <v>0</v>
      </c>
      <c r="AR78" s="79" cm="1">
        <f t="array" ref="AR78">IFERROR(IF(AR4=1,INDEX('Curva S'!$C$2:$BJ$301,$I26,AR26),0),0)</f>
        <v>0</v>
      </c>
      <c r="AS78" s="79" cm="1">
        <f t="array" ref="AS78">IFERROR(IF(AS4=1,INDEX('Curva S'!$C$2:$BJ$301,$I26,AS26),0),0)</f>
        <v>0</v>
      </c>
      <c r="AT78" s="79" cm="1">
        <f t="array" ref="AT78">IFERROR(IF(AT4=1,INDEX('Curva S'!$C$2:$BJ$301,$I26,AT26),0),0)</f>
        <v>0</v>
      </c>
      <c r="AU78" s="79" cm="1">
        <f t="array" ref="AU78">IFERROR(IF(AU4=1,INDEX('Curva S'!$C$2:$BJ$301,$I26,AU26),0),0)</f>
        <v>0</v>
      </c>
      <c r="AV78" s="79" cm="1">
        <f t="array" ref="AV78">IFERROR(IF(AV4=1,INDEX('Curva S'!$C$2:$BJ$301,$I26,AV26),0),0)</f>
        <v>0</v>
      </c>
      <c r="AW78" s="79" cm="1">
        <f t="array" ref="AW78">IFERROR(IF(AW4=1,INDEX('Curva S'!$C$2:$BJ$301,$I26,AW26),0),0)</f>
        <v>0</v>
      </c>
      <c r="AX78" s="79" cm="1">
        <f t="array" ref="AX78">IFERROR(IF(AX4=1,INDEX('Curva S'!$C$2:$BJ$301,$I26,AX26),0),0)</f>
        <v>0</v>
      </c>
      <c r="AY78" s="79" cm="1">
        <f t="array" ref="AY78">IFERROR(IF(AY4=1,INDEX('Curva S'!$C$2:$BJ$301,$I26,AY26),0),0)</f>
        <v>0</v>
      </c>
      <c r="AZ78" s="79" cm="1">
        <f t="array" ref="AZ78">IFERROR(IF(AZ4=1,INDEX('Curva S'!$C$2:$BJ$301,$I26,AZ26),0),0)</f>
        <v>0</v>
      </c>
      <c r="BA78" s="79" cm="1">
        <f t="array" ref="BA78">IFERROR(IF(BA4=1,INDEX('Curva S'!$C$2:$BJ$301,$I26,BA26),0),0)</f>
        <v>0</v>
      </c>
      <c r="BB78" s="79" cm="1">
        <f t="array" ref="BB78">IFERROR(IF(BB4=1,INDEX('Curva S'!$C$2:$BJ$301,$I26,BB26),0),0)</f>
        <v>0</v>
      </c>
      <c r="BC78" s="79" cm="1">
        <f t="array" ref="BC78">IFERROR(IF(BC4=1,INDEX('Curva S'!$C$2:$BJ$301,$I26,BC26),0),0)</f>
        <v>0</v>
      </c>
      <c r="BD78" s="79" cm="1">
        <f t="array" ref="BD78">IFERROR(IF(BD4=1,INDEX('Curva S'!$C$2:$BJ$301,$I26,BD26),0),0)</f>
        <v>0</v>
      </c>
      <c r="BE78" s="79" cm="1">
        <f t="array" ref="BE78">IFERROR(IF(BE4=1,INDEX('Curva S'!$C$2:$BJ$301,$I26,BE26),0),0)</f>
        <v>0</v>
      </c>
      <c r="BF78" s="79" cm="1">
        <f t="array" ref="BF78">IFERROR(IF(BF4=1,INDEX('Curva S'!$C$2:$BJ$301,$I26,BF26),0),0)</f>
        <v>0</v>
      </c>
      <c r="BG78" s="79" cm="1">
        <f t="array" ref="BG78">IFERROR(IF(BG4=1,INDEX('Curva S'!$C$2:$BJ$301,$I26,BG26),0),0)</f>
        <v>0</v>
      </c>
      <c r="BH78" s="79" cm="1">
        <f t="array" ref="BH78">IFERROR(IF(BH4=1,INDEX('Curva S'!$C$2:$BJ$301,$I26,BH26),0),0)</f>
        <v>0</v>
      </c>
      <c r="BI78" s="79" cm="1">
        <f t="array" ref="BI78">IFERROR(IF(BI4=1,INDEX('Curva S'!$C$2:$BJ$301,$I26,BI26),0),0)</f>
        <v>0</v>
      </c>
      <c r="BJ78" s="79" cm="1">
        <f t="array" ref="BJ78">IFERROR(IF(BJ4=1,INDEX('Curva S'!$C$2:$BJ$301,$I26,BJ26),0),0)</f>
        <v>0</v>
      </c>
      <c r="BK78" s="79" cm="1">
        <f t="array" ref="BK78">IFERROR(IF(BK4=1,INDEX('Curva S'!$C$2:$BJ$301,$I26,BK26),0),0)</f>
        <v>0</v>
      </c>
      <c r="BL78" s="79" cm="1">
        <f t="array" ref="BL78">IFERROR(IF(BL4=1,INDEX('Curva S'!$C$2:$BJ$301,$I26,BL26),0),0)</f>
        <v>0</v>
      </c>
      <c r="BM78" s="79" cm="1">
        <f t="array" ref="BM78">IFERROR(IF(BM4=1,INDEX('Curva S'!$C$2:$BJ$301,$I26,BM26),0),0)</f>
        <v>0</v>
      </c>
      <c r="BN78" s="79" cm="1">
        <f t="array" ref="BN78">IFERROR(IF(BN4=1,INDEX('Curva S'!$C$2:$BJ$301,$I26,BN26),0),0)</f>
        <v>0</v>
      </c>
      <c r="BO78" s="79" cm="1">
        <f t="array" ref="BO78">IFERROR(IF(BO4=1,INDEX('Curva S'!$C$2:$BJ$301,$I26,BO26),0),0)</f>
        <v>0</v>
      </c>
      <c r="BP78" s="79" cm="1">
        <f t="array" ref="BP78">IFERROR(IF(BP4=1,INDEX('Curva S'!$C$2:$BJ$301,$I26,BP26),0),0)</f>
        <v>0</v>
      </c>
      <c r="BQ78" s="79" cm="1">
        <f t="array" ref="BQ78">IFERROR(IF(BQ4=1,INDEX('Curva S'!$C$2:$BJ$301,$I26,BQ26),0),0)</f>
        <v>0</v>
      </c>
      <c r="BR78" s="79" cm="1">
        <f t="array" ref="BR78">IFERROR(IF(BR4=1,INDEX('Curva S'!$C$2:$BJ$301,$I26,BR26),0),0)</f>
        <v>0</v>
      </c>
    </row>
    <row r="79" spans="4:70" ht="12" hidden="1" customHeight="1" outlineLevel="1">
      <c r="D79" s="621"/>
      <c r="E79" s="65"/>
      <c r="F79" s="143" t="str">
        <f>F53</f>
        <v>Equipe_03</v>
      </c>
      <c r="G79" s="143" t="str">
        <f t="shared" si="65"/>
        <v>Equipe03</v>
      </c>
      <c r="H79" s="79">
        <f t="shared" si="64"/>
        <v>0.99999999999999989</v>
      </c>
      <c r="I79" s="107" t="s">
        <v>371</v>
      </c>
      <c r="J79" s="65"/>
      <c r="K79" s="79" cm="1">
        <f t="array" ref="K79">IFERROR(IF(K5=1,INDEX('Curva S'!$C$2:$BJ$301,$I27,K27),0),0)</f>
        <v>0.1</v>
      </c>
      <c r="L79" s="79" cm="1">
        <f t="array" ref="L79">IFERROR(IF(L5=1,INDEX('Curva S'!$C$2:$BJ$301,$I27,L27),0),0)</f>
        <v>0.1</v>
      </c>
      <c r="M79" s="79" cm="1">
        <f t="array" ref="M79">IFERROR(IF(M5=1,INDEX('Curva S'!$C$2:$BJ$301,$I27,M27),0),0)</f>
        <v>0.1</v>
      </c>
      <c r="N79" s="79" cm="1">
        <f t="array" ref="N79">IFERROR(IF(N5=1,INDEX('Curva S'!$C$2:$BJ$301,$I27,N27),0),0)</f>
        <v>0.1</v>
      </c>
      <c r="O79" s="79" cm="1">
        <f t="array" ref="O79">IFERROR(IF(O5=1,INDEX('Curva S'!$C$2:$BJ$301,$I27,O27),0),0)</f>
        <v>0.1</v>
      </c>
      <c r="P79" s="79" cm="1">
        <f t="array" ref="P79">IFERROR(IF(P5=1,INDEX('Curva S'!$C$2:$BJ$301,$I27,P27),0),0)</f>
        <v>0.1</v>
      </c>
      <c r="Q79" s="79" cm="1">
        <f t="array" ref="Q79">IFERROR(IF(Q5=1,INDEX('Curva S'!$C$2:$BJ$301,$I27,Q27),0),0)</f>
        <v>0.1</v>
      </c>
      <c r="R79" s="79" cm="1">
        <f t="array" ref="R79">IFERROR(IF(R5=1,INDEX('Curva S'!$C$2:$BJ$301,$I27,R27),0),0)</f>
        <v>0.1</v>
      </c>
      <c r="S79" s="79" cm="1">
        <f t="array" ref="S79">IFERROR(IF(S5=1,INDEX('Curva S'!$C$2:$BJ$301,$I27,S27),0),0)</f>
        <v>0.1</v>
      </c>
      <c r="T79" s="79" cm="1">
        <f t="array" ref="T79">IFERROR(IF(T5=1,INDEX('Curva S'!$C$2:$BJ$301,$I27,T27),0),0)</f>
        <v>0.1</v>
      </c>
      <c r="U79" s="79" cm="1">
        <f t="array" ref="U79">IFERROR(IF(U5=1,INDEX('Curva S'!$C$2:$BJ$301,$I27,U27),0),0)</f>
        <v>0</v>
      </c>
      <c r="V79" s="79" cm="1">
        <f t="array" ref="V79">IFERROR(IF(V5=1,INDEX('Curva S'!$C$2:$BJ$301,$I27,V27),0),0)</f>
        <v>0</v>
      </c>
      <c r="W79" s="79" cm="1">
        <f t="array" ref="W79">IFERROR(IF(W5=1,INDEX('Curva S'!$C$2:$BJ$301,$I27,W27),0),0)</f>
        <v>0</v>
      </c>
      <c r="X79" s="79" cm="1">
        <f t="array" ref="X79">IFERROR(IF(X5=1,INDEX('Curva S'!$C$2:$BJ$301,$I27,X27),0),0)</f>
        <v>0</v>
      </c>
      <c r="Y79" s="79" cm="1">
        <f t="array" ref="Y79">IFERROR(IF(Y5=1,INDEX('Curva S'!$C$2:$BJ$301,$I27,Y27),0),0)</f>
        <v>0</v>
      </c>
      <c r="Z79" s="79" cm="1">
        <f t="array" ref="Z79">IFERROR(IF(Z5=1,INDEX('Curva S'!$C$2:$BJ$301,$I27,Z27),0),0)</f>
        <v>0</v>
      </c>
      <c r="AA79" s="79" cm="1">
        <f t="array" ref="AA79">IFERROR(IF(AA5=1,INDEX('Curva S'!$C$2:$BJ$301,$I27,AA27),0),0)</f>
        <v>0</v>
      </c>
      <c r="AB79" s="79" cm="1">
        <f t="array" ref="AB79">IFERROR(IF(AB5=1,INDEX('Curva S'!$C$2:$BJ$301,$I27,AB27),0),0)</f>
        <v>0</v>
      </c>
      <c r="AC79" s="79" cm="1">
        <f t="array" ref="AC79">IFERROR(IF(AC5=1,INDEX('Curva S'!$C$2:$BJ$301,$I27,AC27),0),0)</f>
        <v>0</v>
      </c>
      <c r="AD79" s="79" cm="1">
        <f t="array" ref="AD79">IFERROR(IF(AD5=1,INDEX('Curva S'!$C$2:$BJ$301,$I27,AD27),0),0)</f>
        <v>0</v>
      </c>
      <c r="AE79" s="79" cm="1">
        <f t="array" ref="AE79">IFERROR(IF(AE5=1,INDEX('Curva S'!$C$2:$BJ$301,$I27,AE27),0),0)</f>
        <v>0</v>
      </c>
      <c r="AF79" s="79" cm="1">
        <f t="array" ref="AF79">IFERROR(IF(AF5=1,INDEX('Curva S'!$C$2:$BJ$301,$I27,AF27),0),0)</f>
        <v>0</v>
      </c>
      <c r="AG79" s="79" cm="1">
        <f t="array" ref="AG79">IFERROR(IF(AG5=1,INDEX('Curva S'!$C$2:$BJ$301,$I27,AG27),0),0)</f>
        <v>0</v>
      </c>
      <c r="AH79" s="79" cm="1">
        <f t="array" ref="AH79">IFERROR(IF(AH5=1,INDEX('Curva S'!$C$2:$BJ$301,$I27,AH27),0),0)</f>
        <v>0</v>
      </c>
      <c r="AI79" s="79" cm="1">
        <f t="array" ref="AI79">IFERROR(IF(AI5=1,INDEX('Curva S'!$C$2:$BJ$301,$I27,AI27),0),0)</f>
        <v>0</v>
      </c>
      <c r="AJ79" s="79" cm="1">
        <f t="array" ref="AJ79">IFERROR(IF(AJ5=1,INDEX('Curva S'!$C$2:$BJ$301,$I27,AJ27),0),0)</f>
        <v>0</v>
      </c>
      <c r="AK79" s="79" cm="1">
        <f t="array" ref="AK79">IFERROR(IF(AK5=1,INDEX('Curva S'!$C$2:$BJ$301,$I27,AK27),0),0)</f>
        <v>0</v>
      </c>
      <c r="AL79" s="79" cm="1">
        <f t="array" ref="AL79">IFERROR(IF(AL5=1,INDEX('Curva S'!$C$2:$BJ$301,$I27,AL27),0),0)</f>
        <v>0</v>
      </c>
      <c r="AM79" s="79" cm="1">
        <f t="array" ref="AM79">IFERROR(IF(AM5=1,INDEX('Curva S'!$C$2:$BJ$301,$I27,AM27),0),0)</f>
        <v>0</v>
      </c>
      <c r="AN79" s="79" cm="1">
        <f t="array" ref="AN79">IFERROR(IF(AN5=1,INDEX('Curva S'!$C$2:$BJ$301,$I27,AN27),0),0)</f>
        <v>0</v>
      </c>
      <c r="AO79" s="79" cm="1">
        <f t="array" ref="AO79">IFERROR(IF(AO5=1,INDEX('Curva S'!$C$2:$BJ$301,$I27,AO27),0),0)</f>
        <v>0</v>
      </c>
      <c r="AP79" s="79" cm="1">
        <f t="array" ref="AP79">IFERROR(IF(AP5=1,INDEX('Curva S'!$C$2:$BJ$301,$I27,AP27),0),0)</f>
        <v>0</v>
      </c>
      <c r="AQ79" s="79" cm="1">
        <f t="array" ref="AQ79">IFERROR(IF(AQ5=1,INDEX('Curva S'!$C$2:$BJ$301,$I27,AQ27),0),0)</f>
        <v>0</v>
      </c>
      <c r="AR79" s="79" cm="1">
        <f t="array" ref="AR79">IFERROR(IF(AR5=1,INDEX('Curva S'!$C$2:$BJ$301,$I27,AR27),0),0)</f>
        <v>0</v>
      </c>
      <c r="AS79" s="79" cm="1">
        <f t="array" ref="AS79">IFERROR(IF(AS5=1,INDEX('Curva S'!$C$2:$BJ$301,$I27,AS27),0),0)</f>
        <v>0</v>
      </c>
      <c r="AT79" s="79" cm="1">
        <f t="array" ref="AT79">IFERROR(IF(AT5=1,INDEX('Curva S'!$C$2:$BJ$301,$I27,AT27),0),0)</f>
        <v>0</v>
      </c>
      <c r="AU79" s="79" cm="1">
        <f t="array" ref="AU79">IFERROR(IF(AU5=1,INDEX('Curva S'!$C$2:$BJ$301,$I27,AU27),0),0)</f>
        <v>0</v>
      </c>
      <c r="AV79" s="79" cm="1">
        <f t="array" ref="AV79">IFERROR(IF(AV5=1,INDEX('Curva S'!$C$2:$BJ$301,$I27,AV27),0),0)</f>
        <v>0</v>
      </c>
      <c r="AW79" s="79" cm="1">
        <f t="array" ref="AW79">IFERROR(IF(AW5=1,INDEX('Curva S'!$C$2:$BJ$301,$I27,AW27),0),0)</f>
        <v>0</v>
      </c>
      <c r="AX79" s="79" cm="1">
        <f t="array" ref="AX79">IFERROR(IF(AX5=1,INDEX('Curva S'!$C$2:$BJ$301,$I27,AX27),0),0)</f>
        <v>0</v>
      </c>
      <c r="AY79" s="79" cm="1">
        <f t="array" ref="AY79">IFERROR(IF(AY5=1,INDEX('Curva S'!$C$2:$BJ$301,$I27,AY27),0),0)</f>
        <v>0</v>
      </c>
      <c r="AZ79" s="79" cm="1">
        <f t="array" ref="AZ79">IFERROR(IF(AZ5=1,INDEX('Curva S'!$C$2:$BJ$301,$I27,AZ27),0),0)</f>
        <v>0</v>
      </c>
      <c r="BA79" s="79" cm="1">
        <f t="array" ref="BA79">IFERROR(IF(BA5=1,INDEX('Curva S'!$C$2:$BJ$301,$I27,BA27),0),0)</f>
        <v>0</v>
      </c>
      <c r="BB79" s="79" cm="1">
        <f t="array" ref="BB79">IFERROR(IF(BB5=1,INDEX('Curva S'!$C$2:$BJ$301,$I27,BB27),0),0)</f>
        <v>0</v>
      </c>
      <c r="BC79" s="79" cm="1">
        <f t="array" ref="BC79">IFERROR(IF(BC5=1,INDEX('Curva S'!$C$2:$BJ$301,$I27,BC27),0),0)</f>
        <v>0</v>
      </c>
      <c r="BD79" s="79" cm="1">
        <f t="array" ref="BD79">IFERROR(IF(BD5=1,INDEX('Curva S'!$C$2:$BJ$301,$I27,BD27),0),0)</f>
        <v>0</v>
      </c>
      <c r="BE79" s="79" cm="1">
        <f t="array" ref="BE79">IFERROR(IF(BE5=1,INDEX('Curva S'!$C$2:$BJ$301,$I27,BE27),0),0)</f>
        <v>0</v>
      </c>
      <c r="BF79" s="79" cm="1">
        <f t="array" ref="BF79">IFERROR(IF(BF5=1,INDEX('Curva S'!$C$2:$BJ$301,$I27,BF27),0),0)</f>
        <v>0</v>
      </c>
      <c r="BG79" s="79" cm="1">
        <f t="array" ref="BG79">IFERROR(IF(BG5=1,INDEX('Curva S'!$C$2:$BJ$301,$I27,BG27),0),0)</f>
        <v>0</v>
      </c>
      <c r="BH79" s="79" cm="1">
        <f t="array" ref="BH79">IFERROR(IF(BH5=1,INDEX('Curva S'!$C$2:$BJ$301,$I27,BH27),0),0)</f>
        <v>0</v>
      </c>
      <c r="BI79" s="79" cm="1">
        <f t="array" ref="BI79">IFERROR(IF(BI5=1,INDEX('Curva S'!$C$2:$BJ$301,$I27,BI27),0),0)</f>
        <v>0</v>
      </c>
      <c r="BJ79" s="79" cm="1">
        <f t="array" ref="BJ79">IFERROR(IF(BJ5=1,INDEX('Curva S'!$C$2:$BJ$301,$I27,BJ27),0),0)</f>
        <v>0</v>
      </c>
      <c r="BK79" s="79" cm="1">
        <f t="array" ref="BK79">IFERROR(IF(BK5=1,INDEX('Curva S'!$C$2:$BJ$301,$I27,BK27),0),0)</f>
        <v>0</v>
      </c>
      <c r="BL79" s="79" cm="1">
        <f t="array" ref="BL79">IFERROR(IF(BL5=1,INDEX('Curva S'!$C$2:$BJ$301,$I27,BL27),0),0)</f>
        <v>0</v>
      </c>
      <c r="BM79" s="79" cm="1">
        <f t="array" ref="BM79">IFERROR(IF(BM5=1,INDEX('Curva S'!$C$2:$BJ$301,$I27,BM27),0),0)</f>
        <v>0</v>
      </c>
      <c r="BN79" s="79" cm="1">
        <f t="array" ref="BN79">IFERROR(IF(BN5=1,INDEX('Curva S'!$C$2:$BJ$301,$I27,BN27),0),0)</f>
        <v>0</v>
      </c>
      <c r="BO79" s="79" cm="1">
        <f t="array" ref="BO79">IFERROR(IF(BO5=1,INDEX('Curva S'!$C$2:$BJ$301,$I27,BO27),0),0)</f>
        <v>0</v>
      </c>
      <c r="BP79" s="79" cm="1">
        <f t="array" ref="BP79">IFERROR(IF(BP5=1,INDEX('Curva S'!$C$2:$BJ$301,$I27,BP27),0),0)</f>
        <v>0</v>
      </c>
      <c r="BQ79" s="79" cm="1">
        <f t="array" ref="BQ79">IFERROR(IF(BQ5=1,INDEX('Curva S'!$C$2:$BJ$301,$I27,BQ27),0),0)</f>
        <v>0</v>
      </c>
      <c r="BR79" s="79" cm="1">
        <f t="array" ref="BR79">IFERROR(IF(BR5=1,INDEX('Curva S'!$C$2:$BJ$301,$I27,BR27),0),0)</f>
        <v>0</v>
      </c>
    </row>
    <row r="80" spans="4:70" ht="12" hidden="1" customHeight="1" outlineLevel="1">
      <c r="D80" s="621"/>
      <c r="E80" s="65"/>
      <c r="F80" s="143" t="str">
        <f t="shared" ref="F80:F96" si="66">F54</f>
        <v>Equipe_04</v>
      </c>
      <c r="G80" s="143" t="str">
        <f t="shared" si="65"/>
        <v>Equipe04</v>
      </c>
      <c r="H80" s="79">
        <f t="shared" si="64"/>
        <v>0.99999999999999989</v>
      </c>
      <c r="I80" s="107" t="s">
        <v>371</v>
      </c>
      <c r="J80" s="65"/>
      <c r="K80" s="79" cm="1">
        <f t="array" ref="K80">IFERROR(IF(K6=1,INDEX('Curva S'!$C$2:$BJ$301,$I28,K28),0),0)</f>
        <v>0.1</v>
      </c>
      <c r="L80" s="79" cm="1">
        <f t="array" ref="L80">IFERROR(IF(L6=1,INDEX('Curva S'!$C$2:$BJ$301,$I28,L28),0),0)</f>
        <v>0.1</v>
      </c>
      <c r="M80" s="79" cm="1">
        <f t="array" ref="M80">IFERROR(IF(M6=1,INDEX('Curva S'!$C$2:$BJ$301,$I28,M28),0),0)</f>
        <v>0.1</v>
      </c>
      <c r="N80" s="79" cm="1">
        <f t="array" ref="N80">IFERROR(IF(N6=1,INDEX('Curva S'!$C$2:$BJ$301,$I28,N28),0),0)</f>
        <v>0.1</v>
      </c>
      <c r="O80" s="79" cm="1">
        <f t="array" ref="O80">IFERROR(IF(O6=1,INDEX('Curva S'!$C$2:$BJ$301,$I28,O28),0),0)</f>
        <v>0.1</v>
      </c>
      <c r="P80" s="79" cm="1">
        <f t="array" ref="P80">IFERROR(IF(P6=1,INDEX('Curva S'!$C$2:$BJ$301,$I28,P28),0),0)</f>
        <v>0.1</v>
      </c>
      <c r="Q80" s="79" cm="1">
        <f t="array" ref="Q80">IFERROR(IF(Q6=1,INDEX('Curva S'!$C$2:$BJ$301,$I28,Q28),0),0)</f>
        <v>0.1</v>
      </c>
      <c r="R80" s="79" cm="1">
        <f t="array" ref="R80">IFERROR(IF(R6=1,INDEX('Curva S'!$C$2:$BJ$301,$I28,R28),0),0)</f>
        <v>0.1</v>
      </c>
      <c r="S80" s="79" cm="1">
        <f t="array" ref="S80">IFERROR(IF(S6=1,INDEX('Curva S'!$C$2:$BJ$301,$I28,S28),0),0)</f>
        <v>0.1</v>
      </c>
      <c r="T80" s="79" cm="1">
        <f t="array" ref="T80">IFERROR(IF(T6=1,INDEX('Curva S'!$C$2:$BJ$301,$I28,T28),0),0)</f>
        <v>0.1</v>
      </c>
      <c r="U80" s="79" cm="1">
        <f t="array" ref="U80">IFERROR(IF(U6=1,INDEX('Curva S'!$C$2:$BJ$301,$I28,U28),0),0)</f>
        <v>0</v>
      </c>
      <c r="V80" s="79" cm="1">
        <f t="array" ref="V80">IFERROR(IF(V6=1,INDEX('Curva S'!$C$2:$BJ$301,$I28,V28),0),0)</f>
        <v>0</v>
      </c>
      <c r="W80" s="79" cm="1">
        <f t="array" ref="W80">IFERROR(IF(W6=1,INDEX('Curva S'!$C$2:$BJ$301,$I28,W28),0),0)</f>
        <v>0</v>
      </c>
      <c r="X80" s="79" cm="1">
        <f t="array" ref="X80">IFERROR(IF(X6=1,INDEX('Curva S'!$C$2:$BJ$301,$I28,X28),0),0)</f>
        <v>0</v>
      </c>
      <c r="Y80" s="79" cm="1">
        <f t="array" ref="Y80">IFERROR(IF(Y6=1,INDEX('Curva S'!$C$2:$BJ$301,$I28,Y28),0),0)</f>
        <v>0</v>
      </c>
      <c r="Z80" s="79" cm="1">
        <f t="array" ref="Z80">IFERROR(IF(Z6=1,INDEX('Curva S'!$C$2:$BJ$301,$I28,Z28),0),0)</f>
        <v>0</v>
      </c>
      <c r="AA80" s="79" cm="1">
        <f t="array" ref="AA80">IFERROR(IF(AA6=1,INDEX('Curva S'!$C$2:$BJ$301,$I28,AA28),0),0)</f>
        <v>0</v>
      </c>
      <c r="AB80" s="79" cm="1">
        <f t="array" ref="AB80">IFERROR(IF(AB6=1,INDEX('Curva S'!$C$2:$BJ$301,$I28,AB28),0),0)</f>
        <v>0</v>
      </c>
      <c r="AC80" s="79" cm="1">
        <f t="array" ref="AC80">IFERROR(IF(AC6=1,INDEX('Curva S'!$C$2:$BJ$301,$I28,AC28),0),0)</f>
        <v>0</v>
      </c>
      <c r="AD80" s="79" cm="1">
        <f t="array" ref="AD80">IFERROR(IF(AD6=1,INDEX('Curva S'!$C$2:$BJ$301,$I28,AD28),0),0)</f>
        <v>0</v>
      </c>
      <c r="AE80" s="79" cm="1">
        <f t="array" ref="AE80">IFERROR(IF(AE6=1,INDEX('Curva S'!$C$2:$BJ$301,$I28,AE28),0),0)</f>
        <v>0</v>
      </c>
      <c r="AF80" s="79" cm="1">
        <f t="array" ref="AF80">IFERROR(IF(AF6=1,INDEX('Curva S'!$C$2:$BJ$301,$I28,AF28),0),0)</f>
        <v>0</v>
      </c>
      <c r="AG80" s="79" cm="1">
        <f t="array" ref="AG80">IFERROR(IF(AG6=1,INDEX('Curva S'!$C$2:$BJ$301,$I28,AG28),0),0)</f>
        <v>0</v>
      </c>
      <c r="AH80" s="79" cm="1">
        <f t="array" ref="AH80">IFERROR(IF(AH6=1,INDEX('Curva S'!$C$2:$BJ$301,$I28,AH28),0),0)</f>
        <v>0</v>
      </c>
      <c r="AI80" s="79" cm="1">
        <f t="array" ref="AI80">IFERROR(IF(AI6=1,INDEX('Curva S'!$C$2:$BJ$301,$I28,AI28),0),0)</f>
        <v>0</v>
      </c>
      <c r="AJ80" s="79" cm="1">
        <f t="array" ref="AJ80">IFERROR(IF(AJ6=1,INDEX('Curva S'!$C$2:$BJ$301,$I28,AJ28),0),0)</f>
        <v>0</v>
      </c>
      <c r="AK80" s="79" cm="1">
        <f t="array" ref="AK80">IFERROR(IF(AK6=1,INDEX('Curva S'!$C$2:$BJ$301,$I28,AK28),0),0)</f>
        <v>0</v>
      </c>
      <c r="AL80" s="79" cm="1">
        <f t="array" ref="AL80">IFERROR(IF(AL6=1,INDEX('Curva S'!$C$2:$BJ$301,$I28,AL28),0),0)</f>
        <v>0</v>
      </c>
      <c r="AM80" s="79" cm="1">
        <f t="array" ref="AM80">IFERROR(IF(AM6=1,INDEX('Curva S'!$C$2:$BJ$301,$I28,AM28),0),0)</f>
        <v>0</v>
      </c>
      <c r="AN80" s="79" cm="1">
        <f t="array" ref="AN80">IFERROR(IF(AN6=1,INDEX('Curva S'!$C$2:$BJ$301,$I28,AN28),0),0)</f>
        <v>0</v>
      </c>
      <c r="AO80" s="79" cm="1">
        <f t="array" ref="AO80">IFERROR(IF(AO6=1,INDEX('Curva S'!$C$2:$BJ$301,$I28,AO28),0),0)</f>
        <v>0</v>
      </c>
      <c r="AP80" s="79" cm="1">
        <f t="array" ref="AP80">IFERROR(IF(AP6=1,INDEX('Curva S'!$C$2:$BJ$301,$I28,AP28),0),0)</f>
        <v>0</v>
      </c>
      <c r="AQ80" s="79" cm="1">
        <f t="array" ref="AQ80">IFERROR(IF(AQ6=1,INDEX('Curva S'!$C$2:$BJ$301,$I28,AQ28),0),0)</f>
        <v>0</v>
      </c>
      <c r="AR80" s="79" cm="1">
        <f t="array" ref="AR80">IFERROR(IF(AR6=1,INDEX('Curva S'!$C$2:$BJ$301,$I28,AR28),0),0)</f>
        <v>0</v>
      </c>
      <c r="AS80" s="79" cm="1">
        <f t="array" ref="AS80">IFERROR(IF(AS6=1,INDEX('Curva S'!$C$2:$BJ$301,$I28,AS28),0),0)</f>
        <v>0</v>
      </c>
      <c r="AT80" s="79" cm="1">
        <f t="array" ref="AT80">IFERROR(IF(AT6=1,INDEX('Curva S'!$C$2:$BJ$301,$I28,AT28),0),0)</f>
        <v>0</v>
      </c>
      <c r="AU80" s="79" cm="1">
        <f t="array" ref="AU80">IFERROR(IF(AU6=1,INDEX('Curva S'!$C$2:$BJ$301,$I28,AU28),0),0)</f>
        <v>0</v>
      </c>
      <c r="AV80" s="79" cm="1">
        <f t="array" ref="AV80">IFERROR(IF(AV6=1,INDEX('Curva S'!$C$2:$BJ$301,$I28,AV28),0),0)</f>
        <v>0</v>
      </c>
      <c r="AW80" s="79" cm="1">
        <f t="array" ref="AW80">IFERROR(IF(AW6=1,INDEX('Curva S'!$C$2:$BJ$301,$I28,AW28),0),0)</f>
        <v>0</v>
      </c>
      <c r="AX80" s="79" cm="1">
        <f t="array" ref="AX80">IFERROR(IF(AX6=1,INDEX('Curva S'!$C$2:$BJ$301,$I28,AX28),0),0)</f>
        <v>0</v>
      </c>
      <c r="AY80" s="79" cm="1">
        <f t="array" ref="AY80">IFERROR(IF(AY6=1,INDEX('Curva S'!$C$2:$BJ$301,$I28,AY28),0),0)</f>
        <v>0</v>
      </c>
      <c r="AZ80" s="79" cm="1">
        <f t="array" ref="AZ80">IFERROR(IF(AZ6=1,INDEX('Curva S'!$C$2:$BJ$301,$I28,AZ28),0),0)</f>
        <v>0</v>
      </c>
      <c r="BA80" s="79" cm="1">
        <f t="array" ref="BA80">IFERROR(IF(BA6=1,INDEX('Curva S'!$C$2:$BJ$301,$I28,BA28),0),0)</f>
        <v>0</v>
      </c>
      <c r="BB80" s="79" cm="1">
        <f t="array" ref="BB80">IFERROR(IF(BB6=1,INDEX('Curva S'!$C$2:$BJ$301,$I28,BB28),0),0)</f>
        <v>0</v>
      </c>
      <c r="BC80" s="79" cm="1">
        <f t="array" ref="BC80">IFERROR(IF(BC6=1,INDEX('Curva S'!$C$2:$BJ$301,$I28,BC28),0),0)</f>
        <v>0</v>
      </c>
      <c r="BD80" s="79" cm="1">
        <f t="array" ref="BD80">IFERROR(IF(BD6=1,INDEX('Curva S'!$C$2:$BJ$301,$I28,BD28),0),0)</f>
        <v>0</v>
      </c>
      <c r="BE80" s="79" cm="1">
        <f t="array" ref="BE80">IFERROR(IF(BE6=1,INDEX('Curva S'!$C$2:$BJ$301,$I28,BE28),0),0)</f>
        <v>0</v>
      </c>
      <c r="BF80" s="79" cm="1">
        <f t="array" ref="BF80">IFERROR(IF(BF6=1,INDEX('Curva S'!$C$2:$BJ$301,$I28,BF28),0),0)</f>
        <v>0</v>
      </c>
      <c r="BG80" s="79" cm="1">
        <f t="array" ref="BG80">IFERROR(IF(BG6=1,INDEX('Curva S'!$C$2:$BJ$301,$I28,BG28),0),0)</f>
        <v>0</v>
      </c>
      <c r="BH80" s="79" cm="1">
        <f t="array" ref="BH80">IFERROR(IF(BH6=1,INDEX('Curva S'!$C$2:$BJ$301,$I28,BH28),0),0)</f>
        <v>0</v>
      </c>
      <c r="BI80" s="79" cm="1">
        <f t="array" ref="BI80">IFERROR(IF(BI6=1,INDEX('Curva S'!$C$2:$BJ$301,$I28,BI28),0),0)</f>
        <v>0</v>
      </c>
      <c r="BJ80" s="79" cm="1">
        <f t="array" ref="BJ80">IFERROR(IF(BJ6=1,INDEX('Curva S'!$C$2:$BJ$301,$I28,BJ28),0),0)</f>
        <v>0</v>
      </c>
      <c r="BK80" s="79" cm="1">
        <f t="array" ref="BK80">IFERROR(IF(BK6=1,INDEX('Curva S'!$C$2:$BJ$301,$I28,BK28),0),0)</f>
        <v>0</v>
      </c>
      <c r="BL80" s="79" cm="1">
        <f t="array" ref="BL80">IFERROR(IF(BL6=1,INDEX('Curva S'!$C$2:$BJ$301,$I28,BL28),0),0)</f>
        <v>0</v>
      </c>
      <c r="BM80" s="79" cm="1">
        <f t="array" ref="BM80">IFERROR(IF(BM6=1,INDEX('Curva S'!$C$2:$BJ$301,$I28,BM28),0),0)</f>
        <v>0</v>
      </c>
      <c r="BN80" s="79" cm="1">
        <f t="array" ref="BN80">IFERROR(IF(BN6=1,INDEX('Curva S'!$C$2:$BJ$301,$I28,BN28),0),0)</f>
        <v>0</v>
      </c>
      <c r="BO80" s="79" cm="1">
        <f t="array" ref="BO80">IFERROR(IF(BO6=1,INDEX('Curva S'!$C$2:$BJ$301,$I28,BO28),0),0)</f>
        <v>0</v>
      </c>
      <c r="BP80" s="79" cm="1">
        <f t="array" ref="BP80">IFERROR(IF(BP6=1,INDEX('Curva S'!$C$2:$BJ$301,$I28,BP28),0),0)</f>
        <v>0</v>
      </c>
      <c r="BQ80" s="79" cm="1">
        <f t="array" ref="BQ80">IFERROR(IF(BQ6=1,INDEX('Curva S'!$C$2:$BJ$301,$I28,BQ28),0),0)</f>
        <v>0</v>
      </c>
      <c r="BR80" s="79" cm="1">
        <f t="array" ref="BR80">IFERROR(IF(BR6=1,INDEX('Curva S'!$C$2:$BJ$301,$I28,BR28),0),0)</f>
        <v>0</v>
      </c>
    </row>
    <row r="81" spans="4:70" ht="12" hidden="1" customHeight="1" outlineLevel="1">
      <c r="D81" s="621"/>
      <c r="E81" s="65"/>
      <c r="F81" s="143" t="str">
        <f t="shared" si="66"/>
        <v>Equipe_05</v>
      </c>
      <c r="G81" s="143" t="str">
        <f t="shared" si="65"/>
        <v>Equipe05</v>
      </c>
      <c r="H81" s="79">
        <f t="shared" si="64"/>
        <v>0.99999999999999989</v>
      </c>
      <c r="I81" s="107" t="s">
        <v>371</v>
      </c>
      <c r="J81" s="65"/>
      <c r="K81" s="79" cm="1">
        <f t="array" ref="K81">IFERROR(IF(K7=1,INDEX('Curva S'!$C$2:$BJ$301,$I29,K29),0),0)</f>
        <v>0.1</v>
      </c>
      <c r="L81" s="79" cm="1">
        <f t="array" ref="L81">IFERROR(IF(L7=1,INDEX('Curva S'!$C$2:$BJ$301,$I29,L29),0),0)</f>
        <v>0.1</v>
      </c>
      <c r="M81" s="79" cm="1">
        <f t="array" ref="M81">IFERROR(IF(M7=1,INDEX('Curva S'!$C$2:$BJ$301,$I29,M29),0),0)</f>
        <v>0.1</v>
      </c>
      <c r="N81" s="79" cm="1">
        <f t="array" ref="N81">IFERROR(IF(N7=1,INDEX('Curva S'!$C$2:$BJ$301,$I29,N29),0),0)</f>
        <v>0.1</v>
      </c>
      <c r="O81" s="79" cm="1">
        <f t="array" ref="O81">IFERROR(IF(O7=1,INDEX('Curva S'!$C$2:$BJ$301,$I29,O29),0),0)</f>
        <v>0.1</v>
      </c>
      <c r="P81" s="79" cm="1">
        <f t="array" ref="P81">IFERROR(IF(P7=1,INDEX('Curva S'!$C$2:$BJ$301,$I29,P29),0),0)</f>
        <v>0.1</v>
      </c>
      <c r="Q81" s="79" cm="1">
        <f t="array" ref="Q81">IFERROR(IF(Q7=1,INDEX('Curva S'!$C$2:$BJ$301,$I29,Q29),0),0)</f>
        <v>0.1</v>
      </c>
      <c r="R81" s="79" cm="1">
        <f t="array" ref="R81">IFERROR(IF(R7=1,INDEX('Curva S'!$C$2:$BJ$301,$I29,R29),0),0)</f>
        <v>0.1</v>
      </c>
      <c r="S81" s="79" cm="1">
        <f t="array" ref="S81">IFERROR(IF(S7=1,INDEX('Curva S'!$C$2:$BJ$301,$I29,S29),0),0)</f>
        <v>0.1</v>
      </c>
      <c r="T81" s="79" cm="1">
        <f t="array" ref="T81">IFERROR(IF(T7=1,INDEX('Curva S'!$C$2:$BJ$301,$I29,T29),0),0)</f>
        <v>0.1</v>
      </c>
      <c r="U81" s="79" cm="1">
        <f t="array" ref="U81">IFERROR(IF(U7=1,INDEX('Curva S'!$C$2:$BJ$301,$I29,U29),0),0)</f>
        <v>0</v>
      </c>
      <c r="V81" s="79" cm="1">
        <f t="array" ref="V81">IFERROR(IF(V7=1,INDEX('Curva S'!$C$2:$BJ$301,$I29,V29),0),0)</f>
        <v>0</v>
      </c>
      <c r="W81" s="79" cm="1">
        <f t="array" ref="W81">IFERROR(IF(W7=1,INDEX('Curva S'!$C$2:$BJ$301,$I29,W29),0),0)</f>
        <v>0</v>
      </c>
      <c r="X81" s="79" cm="1">
        <f t="array" ref="X81">IFERROR(IF(X7=1,INDEX('Curva S'!$C$2:$BJ$301,$I29,X29),0),0)</f>
        <v>0</v>
      </c>
      <c r="Y81" s="79" cm="1">
        <f t="array" ref="Y81">IFERROR(IF(Y7=1,INDEX('Curva S'!$C$2:$BJ$301,$I29,Y29),0),0)</f>
        <v>0</v>
      </c>
      <c r="Z81" s="79" cm="1">
        <f t="array" ref="Z81">IFERROR(IF(Z7=1,INDEX('Curva S'!$C$2:$BJ$301,$I29,Z29),0),0)</f>
        <v>0</v>
      </c>
      <c r="AA81" s="79" cm="1">
        <f t="array" ref="AA81">IFERROR(IF(AA7=1,INDEX('Curva S'!$C$2:$BJ$301,$I29,AA29),0),0)</f>
        <v>0</v>
      </c>
      <c r="AB81" s="79" cm="1">
        <f t="array" ref="AB81">IFERROR(IF(AB7=1,INDEX('Curva S'!$C$2:$BJ$301,$I29,AB29),0),0)</f>
        <v>0</v>
      </c>
      <c r="AC81" s="79" cm="1">
        <f t="array" ref="AC81">IFERROR(IF(AC7=1,INDEX('Curva S'!$C$2:$BJ$301,$I29,AC29),0),0)</f>
        <v>0</v>
      </c>
      <c r="AD81" s="79" cm="1">
        <f t="array" ref="AD81">IFERROR(IF(AD7=1,INDEX('Curva S'!$C$2:$BJ$301,$I29,AD29),0),0)</f>
        <v>0</v>
      </c>
      <c r="AE81" s="79" cm="1">
        <f t="array" ref="AE81">IFERROR(IF(AE7=1,INDEX('Curva S'!$C$2:$BJ$301,$I29,AE29),0),0)</f>
        <v>0</v>
      </c>
      <c r="AF81" s="79" cm="1">
        <f t="array" ref="AF81">IFERROR(IF(AF7=1,INDEX('Curva S'!$C$2:$BJ$301,$I29,AF29),0),0)</f>
        <v>0</v>
      </c>
      <c r="AG81" s="79" cm="1">
        <f t="array" ref="AG81">IFERROR(IF(AG7=1,INDEX('Curva S'!$C$2:$BJ$301,$I29,AG29),0),0)</f>
        <v>0</v>
      </c>
      <c r="AH81" s="79" cm="1">
        <f t="array" ref="AH81">IFERROR(IF(AH7=1,INDEX('Curva S'!$C$2:$BJ$301,$I29,AH29),0),0)</f>
        <v>0</v>
      </c>
      <c r="AI81" s="79" cm="1">
        <f t="array" ref="AI81">IFERROR(IF(AI7=1,INDEX('Curva S'!$C$2:$BJ$301,$I29,AI29),0),0)</f>
        <v>0</v>
      </c>
      <c r="AJ81" s="79" cm="1">
        <f t="array" ref="AJ81">IFERROR(IF(AJ7=1,INDEX('Curva S'!$C$2:$BJ$301,$I29,AJ29),0),0)</f>
        <v>0</v>
      </c>
      <c r="AK81" s="79" cm="1">
        <f t="array" ref="AK81">IFERROR(IF(AK7=1,INDEX('Curva S'!$C$2:$BJ$301,$I29,AK29),0),0)</f>
        <v>0</v>
      </c>
      <c r="AL81" s="79" cm="1">
        <f t="array" ref="AL81">IFERROR(IF(AL7=1,INDEX('Curva S'!$C$2:$BJ$301,$I29,AL29),0),0)</f>
        <v>0</v>
      </c>
      <c r="AM81" s="79" cm="1">
        <f t="array" ref="AM81">IFERROR(IF(AM7=1,INDEX('Curva S'!$C$2:$BJ$301,$I29,AM29),0),0)</f>
        <v>0</v>
      </c>
      <c r="AN81" s="79" cm="1">
        <f t="array" ref="AN81">IFERROR(IF(AN7=1,INDEX('Curva S'!$C$2:$BJ$301,$I29,AN29),0),0)</f>
        <v>0</v>
      </c>
      <c r="AO81" s="79" cm="1">
        <f t="array" ref="AO81">IFERROR(IF(AO7=1,INDEX('Curva S'!$C$2:$BJ$301,$I29,AO29),0),0)</f>
        <v>0</v>
      </c>
      <c r="AP81" s="79" cm="1">
        <f t="array" ref="AP81">IFERROR(IF(AP7=1,INDEX('Curva S'!$C$2:$BJ$301,$I29,AP29),0),0)</f>
        <v>0</v>
      </c>
      <c r="AQ81" s="79" cm="1">
        <f t="array" ref="AQ81">IFERROR(IF(AQ7=1,INDEX('Curva S'!$C$2:$BJ$301,$I29,AQ29),0),0)</f>
        <v>0</v>
      </c>
      <c r="AR81" s="79" cm="1">
        <f t="array" ref="AR81">IFERROR(IF(AR7=1,INDEX('Curva S'!$C$2:$BJ$301,$I29,AR29),0),0)</f>
        <v>0</v>
      </c>
      <c r="AS81" s="79" cm="1">
        <f t="array" ref="AS81">IFERROR(IF(AS7=1,INDEX('Curva S'!$C$2:$BJ$301,$I29,AS29),0),0)</f>
        <v>0</v>
      </c>
      <c r="AT81" s="79" cm="1">
        <f t="array" ref="AT81">IFERROR(IF(AT7=1,INDEX('Curva S'!$C$2:$BJ$301,$I29,AT29),0),0)</f>
        <v>0</v>
      </c>
      <c r="AU81" s="79" cm="1">
        <f t="array" ref="AU81">IFERROR(IF(AU7=1,INDEX('Curva S'!$C$2:$BJ$301,$I29,AU29),0),0)</f>
        <v>0</v>
      </c>
      <c r="AV81" s="79" cm="1">
        <f t="array" ref="AV81">IFERROR(IF(AV7=1,INDEX('Curva S'!$C$2:$BJ$301,$I29,AV29),0),0)</f>
        <v>0</v>
      </c>
      <c r="AW81" s="79" cm="1">
        <f t="array" ref="AW81">IFERROR(IF(AW7=1,INDEX('Curva S'!$C$2:$BJ$301,$I29,AW29),0),0)</f>
        <v>0</v>
      </c>
      <c r="AX81" s="79" cm="1">
        <f t="array" ref="AX81">IFERROR(IF(AX7=1,INDEX('Curva S'!$C$2:$BJ$301,$I29,AX29),0),0)</f>
        <v>0</v>
      </c>
      <c r="AY81" s="79" cm="1">
        <f t="array" ref="AY81">IFERROR(IF(AY7=1,INDEX('Curva S'!$C$2:$BJ$301,$I29,AY29),0),0)</f>
        <v>0</v>
      </c>
      <c r="AZ81" s="79" cm="1">
        <f t="array" ref="AZ81">IFERROR(IF(AZ7=1,INDEX('Curva S'!$C$2:$BJ$301,$I29,AZ29),0),0)</f>
        <v>0</v>
      </c>
      <c r="BA81" s="79" cm="1">
        <f t="array" ref="BA81">IFERROR(IF(BA7=1,INDEX('Curva S'!$C$2:$BJ$301,$I29,BA29),0),0)</f>
        <v>0</v>
      </c>
      <c r="BB81" s="79" cm="1">
        <f t="array" ref="BB81">IFERROR(IF(BB7=1,INDEX('Curva S'!$C$2:$BJ$301,$I29,BB29),0),0)</f>
        <v>0</v>
      </c>
      <c r="BC81" s="79" cm="1">
        <f t="array" ref="BC81">IFERROR(IF(BC7=1,INDEX('Curva S'!$C$2:$BJ$301,$I29,BC29),0),0)</f>
        <v>0</v>
      </c>
      <c r="BD81" s="79" cm="1">
        <f t="array" ref="BD81">IFERROR(IF(BD7=1,INDEX('Curva S'!$C$2:$BJ$301,$I29,BD29),0),0)</f>
        <v>0</v>
      </c>
      <c r="BE81" s="79" cm="1">
        <f t="array" ref="BE81">IFERROR(IF(BE7=1,INDEX('Curva S'!$C$2:$BJ$301,$I29,BE29),0),0)</f>
        <v>0</v>
      </c>
      <c r="BF81" s="79" cm="1">
        <f t="array" ref="BF81">IFERROR(IF(BF7=1,INDEX('Curva S'!$C$2:$BJ$301,$I29,BF29),0),0)</f>
        <v>0</v>
      </c>
      <c r="BG81" s="79" cm="1">
        <f t="array" ref="BG81">IFERROR(IF(BG7=1,INDEX('Curva S'!$C$2:$BJ$301,$I29,BG29),0),0)</f>
        <v>0</v>
      </c>
      <c r="BH81" s="79" cm="1">
        <f t="array" ref="BH81">IFERROR(IF(BH7=1,INDEX('Curva S'!$C$2:$BJ$301,$I29,BH29),0),0)</f>
        <v>0</v>
      </c>
      <c r="BI81" s="79" cm="1">
        <f t="array" ref="BI81">IFERROR(IF(BI7=1,INDEX('Curva S'!$C$2:$BJ$301,$I29,BI29),0),0)</f>
        <v>0</v>
      </c>
      <c r="BJ81" s="79" cm="1">
        <f t="array" ref="BJ81">IFERROR(IF(BJ7=1,INDEX('Curva S'!$C$2:$BJ$301,$I29,BJ29),0),0)</f>
        <v>0</v>
      </c>
      <c r="BK81" s="79" cm="1">
        <f t="array" ref="BK81">IFERROR(IF(BK7=1,INDEX('Curva S'!$C$2:$BJ$301,$I29,BK29),0),0)</f>
        <v>0</v>
      </c>
      <c r="BL81" s="79" cm="1">
        <f t="array" ref="BL81">IFERROR(IF(BL7=1,INDEX('Curva S'!$C$2:$BJ$301,$I29,BL29),0),0)</f>
        <v>0</v>
      </c>
      <c r="BM81" s="79" cm="1">
        <f t="array" ref="BM81">IFERROR(IF(BM7=1,INDEX('Curva S'!$C$2:$BJ$301,$I29,BM29),0),0)</f>
        <v>0</v>
      </c>
      <c r="BN81" s="79" cm="1">
        <f t="array" ref="BN81">IFERROR(IF(BN7=1,INDEX('Curva S'!$C$2:$BJ$301,$I29,BN29),0),0)</f>
        <v>0</v>
      </c>
      <c r="BO81" s="79" cm="1">
        <f t="array" ref="BO81">IFERROR(IF(BO7=1,INDEX('Curva S'!$C$2:$BJ$301,$I29,BO29),0),0)</f>
        <v>0</v>
      </c>
      <c r="BP81" s="79" cm="1">
        <f t="array" ref="BP81">IFERROR(IF(BP7=1,INDEX('Curva S'!$C$2:$BJ$301,$I29,BP29),0),0)</f>
        <v>0</v>
      </c>
      <c r="BQ81" s="79" cm="1">
        <f t="array" ref="BQ81">IFERROR(IF(BQ7=1,INDEX('Curva S'!$C$2:$BJ$301,$I29,BQ29),0),0)</f>
        <v>0</v>
      </c>
      <c r="BR81" s="79" cm="1">
        <f t="array" ref="BR81">IFERROR(IF(BR7=1,INDEX('Curva S'!$C$2:$BJ$301,$I29,BR29),0),0)</f>
        <v>0</v>
      </c>
    </row>
    <row r="82" spans="4:70" ht="12" hidden="1" customHeight="1" outlineLevel="1">
      <c r="D82" s="621"/>
      <c r="E82" s="65"/>
      <c r="F82" s="143" t="str">
        <f t="shared" si="66"/>
        <v>Equipe_06</v>
      </c>
      <c r="G82" s="143" t="str">
        <f t="shared" si="65"/>
        <v>Equipe06</v>
      </c>
      <c r="H82" s="79">
        <f t="shared" si="64"/>
        <v>0.99999999999999989</v>
      </c>
      <c r="I82" s="107" t="s">
        <v>371</v>
      </c>
      <c r="J82" s="65"/>
      <c r="K82" s="79" cm="1">
        <f t="array" ref="K82">IFERROR(IF(K8=1,INDEX('Curva S'!$C$2:$BJ$301,$I30,K30),0),0)</f>
        <v>0.1</v>
      </c>
      <c r="L82" s="79" cm="1">
        <f t="array" ref="L82">IFERROR(IF(L8=1,INDEX('Curva S'!$C$2:$BJ$301,$I30,L30),0),0)</f>
        <v>0.1</v>
      </c>
      <c r="M82" s="79" cm="1">
        <f t="array" ref="M82">IFERROR(IF(M8=1,INDEX('Curva S'!$C$2:$BJ$301,$I30,M30),0),0)</f>
        <v>0.1</v>
      </c>
      <c r="N82" s="79" cm="1">
        <f t="array" ref="N82">IFERROR(IF(N8=1,INDEX('Curva S'!$C$2:$BJ$301,$I30,N30),0),0)</f>
        <v>0.1</v>
      </c>
      <c r="O82" s="79" cm="1">
        <f t="array" ref="O82">IFERROR(IF(O8=1,INDEX('Curva S'!$C$2:$BJ$301,$I30,O30),0),0)</f>
        <v>0.1</v>
      </c>
      <c r="P82" s="79" cm="1">
        <f t="array" ref="P82">IFERROR(IF(P8=1,INDEX('Curva S'!$C$2:$BJ$301,$I30,P30),0),0)</f>
        <v>0.1</v>
      </c>
      <c r="Q82" s="79" cm="1">
        <f t="array" ref="Q82">IFERROR(IF(Q8=1,INDEX('Curva S'!$C$2:$BJ$301,$I30,Q30),0),0)</f>
        <v>0.1</v>
      </c>
      <c r="R82" s="79" cm="1">
        <f t="array" ref="R82">IFERROR(IF(R8=1,INDEX('Curva S'!$C$2:$BJ$301,$I30,R30),0),0)</f>
        <v>0.1</v>
      </c>
      <c r="S82" s="79" cm="1">
        <f t="array" ref="S82">IFERROR(IF(S8=1,INDEX('Curva S'!$C$2:$BJ$301,$I30,S30),0),0)</f>
        <v>0.1</v>
      </c>
      <c r="T82" s="79" cm="1">
        <f t="array" ref="T82">IFERROR(IF(T8=1,INDEX('Curva S'!$C$2:$BJ$301,$I30,T30),0),0)</f>
        <v>0.1</v>
      </c>
      <c r="U82" s="79" cm="1">
        <f t="array" ref="U82">IFERROR(IF(U8=1,INDEX('Curva S'!$C$2:$BJ$301,$I30,U30),0),0)</f>
        <v>0</v>
      </c>
      <c r="V82" s="79" cm="1">
        <f t="array" ref="V82">IFERROR(IF(V8=1,INDEX('Curva S'!$C$2:$BJ$301,$I30,V30),0),0)</f>
        <v>0</v>
      </c>
      <c r="W82" s="79" cm="1">
        <f t="array" ref="W82">IFERROR(IF(W8=1,INDEX('Curva S'!$C$2:$BJ$301,$I30,W30),0),0)</f>
        <v>0</v>
      </c>
      <c r="X82" s="79" cm="1">
        <f t="array" ref="X82">IFERROR(IF(X8=1,INDEX('Curva S'!$C$2:$BJ$301,$I30,X30),0),0)</f>
        <v>0</v>
      </c>
      <c r="Y82" s="79" cm="1">
        <f t="array" ref="Y82">IFERROR(IF(Y8=1,INDEX('Curva S'!$C$2:$BJ$301,$I30,Y30),0),0)</f>
        <v>0</v>
      </c>
      <c r="Z82" s="79" cm="1">
        <f t="array" ref="Z82">IFERROR(IF(Z8=1,INDEX('Curva S'!$C$2:$BJ$301,$I30,Z30),0),0)</f>
        <v>0</v>
      </c>
      <c r="AA82" s="79" cm="1">
        <f t="array" ref="AA82">IFERROR(IF(AA8=1,INDEX('Curva S'!$C$2:$BJ$301,$I30,AA30),0),0)</f>
        <v>0</v>
      </c>
      <c r="AB82" s="79" cm="1">
        <f t="array" ref="AB82">IFERROR(IF(AB8=1,INDEX('Curva S'!$C$2:$BJ$301,$I30,AB30),0),0)</f>
        <v>0</v>
      </c>
      <c r="AC82" s="79" cm="1">
        <f t="array" ref="AC82">IFERROR(IF(AC8=1,INDEX('Curva S'!$C$2:$BJ$301,$I30,AC30),0),0)</f>
        <v>0</v>
      </c>
      <c r="AD82" s="79" cm="1">
        <f t="array" ref="AD82">IFERROR(IF(AD8=1,INDEX('Curva S'!$C$2:$BJ$301,$I30,AD30),0),0)</f>
        <v>0</v>
      </c>
      <c r="AE82" s="79" cm="1">
        <f t="array" ref="AE82">IFERROR(IF(AE8=1,INDEX('Curva S'!$C$2:$BJ$301,$I30,AE30),0),0)</f>
        <v>0</v>
      </c>
      <c r="AF82" s="79" cm="1">
        <f t="array" ref="AF82">IFERROR(IF(AF8=1,INDEX('Curva S'!$C$2:$BJ$301,$I30,AF30),0),0)</f>
        <v>0</v>
      </c>
      <c r="AG82" s="79" cm="1">
        <f t="array" ref="AG82">IFERROR(IF(AG8=1,INDEX('Curva S'!$C$2:$BJ$301,$I30,AG30),0),0)</f>
        <v>0</v>
      </c>
      <c r="AH82" s="79" cm="1">
        <f t="array" ref="AH82">IFERROR(IF(AH8=1,INDEX('Curva S'!$C$2:$BJ$301,$I30,AH30),0),0)</f>
        <v>0</v>
      </c>
      <c r="AI82" s="79" cm="1">
        <f t="array" ref="AI82">IFERROR(IF(AI8=1,INDEX('Curva S'!$C$2:$BJ$301,$I30,AI30),0),0)</f>
        <v>0</v>
      </c>
      <c r="AJ82" s="79" cm="1">
        <f t="array" ref="AJ82">IFERROR(IF(AJ8=1,INDEX('Curva S'!$C$2:$BJ$301,$I30,AJ30),0),0)</f>
        <v>0</v>
      </c>
      <c r="AK82" s="79" cm="1">
        <f t="array" ref="AK82">IFERROR(IF(AK8=1,INDEX('Curva S'!$C$2:$BJ$301,$I30,AK30),0),0)</f>
        <v>0</v>
      </c>
      <c r="AL82" s="79" cm="1">
        <f t="array" ref="AL82">IFERROR(IF(AL8=1,INDEX('Curva S'!$C$2:$BJ$301,$I30,AL30),0),0)</f>
        <v>0</v>
      </c>
      <c r="AM82" s="79" cm="1">
        <f t="array" ref="AM82">IFERROR(IF(AM8=1,INDEX('Curva S'!$C$2:$BJ$301,$I30,AM30),0),0)</f>
        <v>0</v>
      </c>
      <c r="AN82" s="79" cm="1">
        <f t="array" ref="AN82">IFERROR(IF(AN8=1,INDEX('Curva S'!$C$2:$BJ$301,$I30,AN30),0),0)</f>
        <v>0</v>
      </c>
      <c r="AO82" s="79" cm="1">
        <f t="array" ref="AO82">IFERROR(IF(AO8=1,INDEX('Curva S'!$C$2:$BJ$301,$I30,AO30),0),0)</f>
        <v>0</v>
      </c>
      <c r="AP82" s="79" cm="1">
        <f t="array" ref="AP82">IFERROR(IF(AP8=1,INDEX('Curva S'!$C$2:$BJ$301,$I30,AP30),0),0)</f>
        <v>0</v>
      </c>
      <c r="AQ82" s="79" cm="1">
        <f t="array" ref="AQ82">IFERROR(IF(AQ8=1,INDEX('Curva S'!$C$2:$BJ$301,$I30,AQ30),0),0)</f>
        <v>0</v>
      </c>
      <c r="AR82" s="79" cm="1">
        <f t="array" ref="AR82">IFERROR(IF(AR8=1,INDEX('Curva S'!$C$2:$BJ$301,$I30,AR30),0),0)</f>
        <v>0</v>
      </c>
      <c r="AS82" s="79" cm="1">
        <f t="array" ref="AS82">IFERROR(IF(AS8=1,INDEX('Curva S'!$C$2:$BJ$301,$I30,AS30),0),0)</f>
        <v>0</v>
      </c>
      <c r="AT82" s="79" cm="1">
        <f t="array" ref="AT82">IFERROR(IF(AT8=1,INDEX('Curva S'!$C$2:$BJ$301,$I30,AT30),0),0)</f>
        <v>0</v>
      </c>
      <c r="AU82" s="79" cm="1">
        <f t="array" ref="AU82">IFERROR(IF(AU8=1,INDEX('Curva S'!$C$2:$BJ$301,$I30,AU30),0),0)</f>
        <v>0</v>
      </c>
      <c r="AV82" s="79" cm="1">
        <f t="array" ref="AV82">IFERROR(IF(AV8=1,INDEX('Curva S'!$C$2:$BJ$301,$I30,AV30),0),0)</f>
        <v>0</v>
      </c>
      <c r="AW82" s="79" cm="1">
        <f t="array" ref="AW82">IFERROR(IF(AW8=1,INDEX('Curva S'!$C$2:$BJ$301,$I30,AW30),0),0)</f>
        <v>0</v>
      </c>
      <c r="AX82" s="79" cm="1">
        <f t="array" ref="AX82">IFERROR(IF(AX8=1,INDEX('Curva S'!$C$2:$BJ$301,$I30,AX30),0),0)</f>
        <v>0</v>
      </c>
      <c r="AY82" s="79" cm="1">
        <f t="array" ref="AY82">IFERROR(IF(AY8=1,INDEX('Curva S'!$C$2:$BJ$301,$I30,AY30),0),0)</f>
        <v>0</v>
      </c>
      <c r="AZ82" s="79" cm="1">
        <f t="array" ref="AZ82">IFERROR(IF(AZ8=1,INDEX('Curva S'!$C$2:$BJ$301,$I30,AZ30),0),0)</f>
        <v>0</v>
      </c>
      <c r="BA82" s="79" cm="1">
        <f t="array" ref="BA82">IFERROR(IF(BA8=1,INDEX('Curva S'!$C$2:$BJ$301,$I30,BA30),0),0)</f>
        <v>0</v>
      </c>
      <c r="BB82" s="79" cm="1">
        <f t="array" ref="BB82">IFERROR(IF(BB8=1,INDEX('Curva S'!$C$2:$BJ$301,$I30,BB30),0),0)</f>
        <v>0</v>
      </c>
      <c r="BC82" s="79" cm="1">
        <f t="array" ref="BC82">IFERROR(IF(BC8=1,INDEX('Curva S'!$C$2:$BJ$301,$I30,BC30),0),0)</f>
        <v>0</v>
      </c>
      <c r="BD82" s="79" cm="1">
        <f t="array" ref="BD82">IFERROR(IF(BD8=1,INDEX('Curva S'!$C$2:$BJ$301,$I30,BD30),0),0)</f>
        <v>0</v>
      </c>
      <c r="BE82" s="79" cm="1">
        <f t="array" ref="BE82">IFERROR(IF(BE8=1,INDEX('Curva S'!$C$2:$BJ$301,$I30,BE30),0),0)</f>
        <v>0</v>
      </c>
      <c r="BF82" s="79" cm="1">
        <f t="array" ref="BF82">IFERROR(IF(BF8=1,INDEX('Curva S'!$C$2:$BJ$301,$I30,BF30),0),0)</f>
        <v>0</v>
      </c>
      <c r="BG82" s="79" cm="1">
        <f t="array" ref="BG82">IFERROR(IF(BG8=1,INDEX('Curva S'!$C$2:$BJ$301,$I30,BG30),0),0)</f>
        <v>0</v>
      </c>
      <c r="BH82" s="79" cm="1">
        <f t="array" ref="BH82">IFERROR(IF(BH8=1,INDEX('Curva S'!$C$2:$BJ$301,$I30,BH30),0),0)</f>
        <v>0</v>
      </c>
      <c r="BI82" s="79" cm="1">
        <f t="array" ref="BI82">IFERROR(IF(BI8=1,INDEX('Curva S'!$C$2:$BJ$301,$I30,BI30),0),0)</f>
        <v>0</v>
      </c>
      <c r="BJ82" s="79" cm="1">
        <f t="array" ref="BJ82">IFERROR(IF(BJ8=1,INDEX('Curva S'!$C$2:$BJ$301,$I30,BJ30),0),0)</f>
        <v>0</v>
      </c>
      <c r="BK82" s="79" cm="1">
        <f t="array" ref="BK82">IFERROR(IF(BK8=1,INDEX('Curva S'!$C$2:$BJ$301,$I30,BK30),0),0)</f>
        <v>0</v>
      </c>
      <c r="BL82" s="79" cm="1">
        <f t="array" ref="BL82">IFERROR(IF(BL8=1,INDEX('Curva S'!$C$2:$BJ$301,$I30,BL30),0),0)</f>
        <v>0</v>
      </c>
      <c r="BM82" s="79" cm="1">
        <f t="array" ref="BM82">IFERROR(IF(BM8=1,INDEX('Curva S'!$C$2:$BJ$301,$I30,BM30),0),0)</f>
        <v>0</v>
      </c>
      <c r="BN82" s="79" cm="1">
        <f t="array" ref="BN82">IFERROR(IF(BN8=1,INDEX('Curva S'!$C$2:$BJ$301,$I30,BN30),0),0)</f>
        <v>0</v>
      </c>
      <c r="BO82" s="79" cm="1">
        <f t="array" ref="BO82">IFERROR(IF(BO8=1,INDEX('Curva S'!$C$2:$BJ$301,$I30,BO30),0),0)</f>
        <v>0</v>
      </c>
      <c r="BP82" s="79" cm="1">
        <f t="array" ref="BP82">IFERROR(IF(BP8=1,INDEX('Curva S'!$C$2:$BJ$301,$I30,BP30),0),0)</f>
        <v>0</v>
      </c>
      <c r="BQ82" s="79" cm="1">
        <f t="array" ref="BQ82">IFERROR(IF(BQ8=1,INDEX('Curva S'!$C$2:$BJ$301,$I30,BQ30),0),0)</f>
        <v>0</v>
      </c>
      <c r="BR82" s="79" cm="1">
        <f t="array" ref="BR82">IFERROR(IF(BR8=1,INDEX('Curva S'!$C$2:$BJ$301,$I30,BR30),0),0)</f>
        <v>0</v>
      </c>
    </row>
    <row r="83" spans="4:70" ht="12" hidden="1" customHeight="1" outlineLevel="1">
      <c r="D83" s="621"/>
      <c r="E83" s="65"/>
      <c r="F83" s="143" t="str">
        <f t="shared" si="66"/>
        <v>Equipe_07</v>
      </c>
      <c r="G83" s="143" t="str">
        <f t="shared" si="65"/>
        <v>Equipe07</v>
      </c>
      <c r="H83" s="79">
        <f t="shared" si="64"/>
        <v>0.99999999999999989</v>
      </c>
      <c r="I83" s="107" t="s">
        <v>371</v>
      </c>
      <c r="J83" s="65"/>
      <c r="K83" s="79" cm="1">
        <f t="array" ref="K83">IFERROR(IF(K9=1,INDEX('Curva S'!$C$2:$BJ$301,$I31,K31),0),0)</f>
        <v>0.1</v>
      </c>
      <c r="L83" s="79" cm="1">
        <f t="array" ref="L83">IFERROR(IF(L9=1,INDEX('Curva S'!$C$2:$BJ$301,$I31,L31),0),0)</f>
        <v>0.1</v>
      </c>
      <c r="M83" s="79" cm="1">
        <f t="array" ref="M83">IFERROR(IF(M9=1,INDEX('Curva S'!$C$2:$BJ$301,$I31,M31),0),0)</f>
        <v>0.1</v>
      </c>
      <c r="N83" s="79" cm="1">
        <f t="array" ref="N83">IFERROR(IF(N9=1,INDEX('Curva S'!$C$2:$BJ$301,$I31,N31),0),0)</f>
        <v>0.1</v>
      </c>
      <c r="O83" s="79" cm="1">
        <f t="array" ref="O83">IFERROR(IF(O9=1,INDEX('Curva S'!$C$2:$BJ$301,$I31,O31),0),0)</f>
        <v>0.1</v>
      </c>
      <c r="P83" s="79" cm="1">
        <f t="array" ref="P83">IFERROR(IF(P9=1,INDEX('Curva S'!$C$2:$BJ$301,$I31,P31),0),0)</f>
        <v>0.1</v>
      </c>
      <c r="Q83" s="79" cm="1">
        <f t="array" ref="Q83">IFERROR(IF(Q9=1,INDEX('Curva S'!$C$2:$BJ$301,$I31,Q31),0),0)</f>
        <v>0.1</v>
      </c>
      <c r="R83" s="79" cm="1">
        <f t="array" ref="R83">IFERROR(IF(R9=1,INDEX('Curva S'!$C$2:$BJ$301,$I31,R31),0),0)</f>
        <v>0.1</v>
      </c>
      <c r="S83" s="79" cm="1">
        <f t="array" ref="S83">IFERROR(IF(S9=1,INDEX('Curva S'!$C$2:$BJ$301,$I31,S31),0),0)</f>
        <v>0.1</v>
      </c>
      <c r="T83" s="79" cm="1">
        <f t="array" ref="T83">IFERROR(IF(T9=1,INDEX('Curva S'!$C$2:$BJ$301,$I31,T31),0),0)</f>
        <v>0.1</v>
      </c>
      <c r="U83" s="79" cm="1">
        <f t="array" ref="U83">IFERROR(IF(U9=1,INDEX('Curva S'!$C$2:$BJ$301,$I31,U31),0),0)</f>
        <v>0</v>
      </c>
      <c r="V83" s="79" cm="1">
        <f t="array" ref="V83">IFERROR(IF(V9=1,INDEX('Curva S'!$C$2:$BJ$301,$I31,V31),0),0)</f>
        <v>0</v>
      </c>
      <c r="W83" s="79" cm="1">
        <f t="array" ref="W83">IFERROR(IF(W9=1,INDEX('Curva S'!$C$2:$BJ$301,$I31,W31),0),0)</f>
        <v>0</v>
      </c>
      <c r="X83" s="79" cm="1">
        <f t="array" ref="X83">IFERROR(IF(X9=1,INDEX('Curva S'!$C$2:$BJ$301,$I31,X31),0),0)</f>
        <v>0</v>
      </c>
      <c r="Y83" s="79" cm="1">
        <f t="array" ref="Y83">IFERROR(IF(Y9=1,INDEX('Curva S'!$C$2:$BJ$301,$I31,Y31),0),0)</f>
        <v>0</v>
      </c>
      <c r="Z83" s="79" cm="1">
        <f t="array" ref="Z83">IFERROR(IF(Z9=1,INDEX('Curva S'!$C$2:$BJ$301,$I31,Z31),0),0)</f>
        <v>0</v>
      </c>
      <c r="AA83" s="79" cm="1">
        <f t="array" ref="AA83">IFERROR(IF(AA9=1,INDEX('Curva S'!$C$2:$BJ$301,$I31,AA31),0),0)</f>
        <v>0</v>
      </c>
      <c r="AB83" s="79" cm="1">
        <f t="array" ref="AB83">IFERROR(IF(AB9=1,INDEX('Curva S'!$C$2:$BJ$301,$I31,AB31),0),0)</f>
        <v>0</v>
      </c>
      <c r="AC83" s="79" cm="1">
        <f t="array" ref="AC83">IFERROR(IF(AC9=1,INDEX('Curva S'!$C$2:$BJ$301,$I31,AC31),0),0)</f>
        <v>0</v>
      </c>
      <c r="AD83" s="79" cm="1">
        <f t="array" ref="AD83">IFERROR(IF(AD9=1,INDEX('Curva S'!$C$2:$BJ$301,$I31,AD31),0),0)</f>
        <v>0</v>
      </c>
      <c r="AE83" s="79" cm="1">
        <f t="array" ref="AE83">IFERROR(IF(AE9=1,INDEX('Curva S'!$C$2:$BJ$301,$I31,AE31),0),0)</f>
        <v>0</v>
      </c>
      <c r="AF83" s="79" cm="1">
        <f t="array" ref="AF83">IFERROR(IF(AF9=1,INDEX('Curva S'!$C$2:$BJ$301,$I31,AF31),0),0)</f>
        <v>0</v>
      </c>
      <c r="AG83" s="79" cm="1">
        <f t="array" ref="AG83">IFERROR(IF(AG9=1,INDEX('Curva S'!$C$2:$BJ$301,$I31,AG31),0),0)</f>
        <v>0</v>
      </c>
      <c r="AH83" s="79" cm="1">
        <f t="array" ref="AH83">IFERROR(IF(AH9=1,INDEX('Curva S'!$C$2:$BJ$301,$I31,AH31),0),0)</f>
        <v>0</v>
      </c>
      <c r="AI83" s="79" cm="1">
        <f t="array" ref="AI83">IFERROR(IF(AI9=1,INDEX('Curva S'!$C$2:$BJ$301,$I31,AI31),0),0)</f>
        <v>0</v>
      </c>
      <c r="AJ83" s="79" cm="1">
        <f t="array" ref="AJ83">IFERROR(IF(AJ9=1,INDEX('Curva S'!$C$2:$BJ$301,$I31,AJ31),0),0)</f>
        <v>0</v>
      </c>
      <c r="AK83" s="79" cm="1">
        <f t="array" ref="AK83">IFERROR(IF(AK9=1,INDEX('Curva S'!$C$2:$BJ$301,$I31,AK31),0),0)</f>
        <v>0</v>
      </c>
      <c r="AL83" s="79" cm="1">
        <f t="array" ref="AL83">IFERROR(IF(AL9=1,INDEX('Curva S'!$C$2:$BJ$301,$I31,AL31),0),0)</f>
        <v>0</v>
      </c>
      <c r="AM83" s="79" cm="1">
        <f t="array" ref="AM83">IFERROR(IF(AM9=1,INDEX('Curva S'!$C$2:$BJ$301,$I31,AM31),0),0)</f>
        <v>0</v>
      </c>
      <c r="AN83" s="79" cm="1">
        <f t="array" ref="AN83">IFERROR(IF(AN9=1,INDEX('Curva S'!$C$2:$BJ$301,$I31,AN31),0),0)</f>
        <v>0</v>
      </c>
      <c r="AO83" s="79" cm="1">
        <f t="array" ref="AO83">IFERROR(IF(AO9=1,INDEX('Curva S'!$C$2:$BJ$301,$I31,AO31),0),0)</f>
        <v>0</v>
      </c>
      <c r="AP83" s="79" cm="1">
        <f t="array" ref="AP83">IFERROR(IF(AP9=1,INDEX('Curva S'!$C$2:$BJ$301,$I31,AP31),0),0)</f>
        <v>0</v>
      </c>
      <c r="AQ83" s="79" cm="1">
        <f t="array" ref="AQ83">IFERROR(IF(AQ9=1,INDEX('Curva S'!$C$2:$BJ$301,$I31,AQ31),0),0)</f>
        <v>0</v>
      </c>
      <c r="AR83" s="79" cm="1">
        <f t="array" ref="AR83">IFERROR(IF(AR9=1,INDEX('Curva S'!$C$2:$BJ$301,$I31,AR31),0),0)</f>
        <v>0</v>
      </c>
      <c r="AS83" s="79" cm="1">
        <f t="array" ref="AS83">IFERROR(IF(AS9=1,INDEX('Curva S'!$C$2:$BJ$301,$I31,AS31),0),0)</f>
        <v>0</v>
      </c>
      <c r="AT83" s="79" cm="1">
        <f t="array" ref="AT83">IFERROR(IF(AT9=1,INDEX('Curva S'!$C$2:$BJ$301,$I31,AT31),0),0)</f>
        <v>0</v>
      </c>
      <c r="AU83" s="79" cm="1">
        <f t="array" ref="AU83">IFERROR(IF(AU9=1,INDEX('Curva S'!$C$2:$BJ$301,$I31,AU31),0),0)</f>
        <v>0</v>
      </c>
      <c r="AV83" s="79" cm="1">
        <f t="array" ref="AV83">IFERROR(IF(AV9=1,INDEX('Curva S'!$C$2:$BJ$301,$I31,AV31),0),0)</f>
        <v>0</v>
      </c>
      <c r="AW83" s="79" cm="1">
        <f t="array" ref="AW83">IFERROR(IF(AW9=1,INDEX('Curva S'!$C$2:$BJ$301,$I31,AW31),0),0)</f>
        <v>0</v>
      </c>
      <c r="AX83" s="79" cm="1">
        <f t="array" ref="AX83">IFERROR(IF(AX9=1,INDEX('Curva S'!$C$2:$BJ$301,$I31,AX31),0),0)</f>
        <v>0</v>
      </c>
      <c r="AY83" s="79" cm="1">
        <f t="array" ref="AY83">IFERROR(IF(AY9=1,INDEX('Curva S'!$C$2:$BJ$301,$I31,AY31),0),0)</f>
        <v>0</v>
      </c>
      <c r="AZ83" s="79" cm="1">
        <f t="array" ref="AZ83">IFERROR(IF(AZ9=1,INDEX('Curva S'!$C$2:$BJ$301,$I31,AZ31),0),0)</f>
        <v>0</v>
      </c>
      <c r="BA83" s="79" cm="1">
        <f t="array" ref="BA83">IFERROR(IF(BA9=1,INDEX('Curva S'!$C$2:$BJ$301,$I31,BA31),0),0)</f>
        <v>0</v>
      </c>
      <c r="BB83" s="79" cm="1">
        <f t="array" ref="BB83">IFERROR(IF(BB9=1,INDEX('Curva S'!$C$2:$BJ$301,$I31,BB31),0),0)</f>
        <v>0</v>
      </c>
      <c r="BC83" s="79" cm="1">
        <f t="array" ref="BC83">IFERROR(IF(BC9=1,INDEX('Curva S'!$C$2:$BJ$301,$I31,BC31),0),0)</f>
        <v>0</v>
      </c>
      <c r="BD83" s="79" cm="1">
        <f t="array" ref="BD83">IFERROR(IF(BD9=1,INDEX('Curva S'!$C$2:$BJ$301,$I31,BD31),0),0)</f>
        <v>0</v>
      </c>
      <c r="BE83" s="79" cm="1">
        <f t="array" ref="BE83">IFERROR(IF(BE9=1,INDEX('Curva S'!$C$2:$BJ$301,$I31,BE31),0),0)</f>
        <v>0</v>
      </c>
      <c r="BF83" s="79" cm="1">
        <f t="array" ref="BF83">IFERROR(IF(BF9=1,INDEX('Curva S'!$C$2:$BJ$301,$I31,BF31),0),0)</f>
        <v>0</v>
      </c>
      <c r="BG83" s="79" cm="1">
        <f t="array" ref="BG83">IFERROR(IF(BG9=1,INDEX('Curva S'!$C$2:$BJ$301,$I31,BG31),0),0)</f>
        <v>0</v>
      </c>
      <c r="BH83" s="79" cm="1">
        <f t="array" ref="BH83">IFERROR(IF(BH9=1,INDEX('Curva S'!$C$2:$BJ$301,$I31,BH31),0),0)</f>
        <v>0</v>
      </c>
      <c r="BI83" s="79" cm="1">
        <f t="array" ref="BI83">IFERROR(IF(BI9=1,INDEX('Curva S'!$C$2:$BJ$301,$I31,BI31),0),0)</f>
        <v>0</v>
      </c>
      <c r="BJ83" s="79" cm="1">
        <f t="array" ref="BJ83">IFERROR(IF(BJ9=1,INDEX('Curva S'!$C$2:$BJ$301,$I31,BJ31),0),0)</f>
        <v>0</v>
      </c>
      <c r="BK83" s="79" cm="1">
        <f t="array" ref="BK83">IFERROR(IF(BK9=1,INDEX('Curva S'!$C$2:$BJ$301,$I31,BK31),0),0)</f>
        <v>0</v>
      </c>
      <c r="BL83" s="79" cm="1">
        <f t="array" ref="BL83">IFERROR(IF(BL9=1,INDEX('Curva S'!$C$2:$BJ$301,$I31,BL31),0),0)</f>
        <v>0</v>
      </c>
      <c r="BM83" s="79" cm="1">
        <f t="array" ref="BM83">IFERROR(IF(BM9=1,INDEX('Curva S'!$C$2:$BJ$301,$I31,BM31),0),0)</f>
        <v>0</v>
      </c>
      <c r="BN83" s="79" cm="1">
        <f t="array" ref="BN83">IFERROR(IF(BN9=1,INDEX('Curva S'!$C$2:$BJ$301,$I31,BN31),0),0)</f>
        <v>0</v>
      </c>
      <c r="BO83" s="79" cm="1">
        <f t="array" ref="BO83">IFERROR(IF(BO9=1,INDEX('Curva S'!$C$2:$BJ$301,$I31,BO31),0),0)</f>
        <v>0</v>
      </c>
      <c r="BP83" s="79" cm="1">
        <f t="array" ref="BP83">IFERROR(IF(BP9=1,INDEX('Curva S'!$C$2:$BJ$301,$I31,BP31),0),0)</f>
        <v>0</v>
      </c>
      <c r="BQ83" s="79" cm="1">
        <f t="array" ref="BQ83">IFERROR(IF(BQ9=1,INDEX('Curva S'!$C$2:$BJ$301,$I31,BQ31),0),0)</f>
        <v>0</v>
      </c>
      <c r="BR83" s="79" cm="1">
        <f t="array" ref="BR83">IFERROR(IF(BR9=1,INDEX('Curva S'!$C$2:$BJ$301,$I31,BR31),0),0)</f>
        <v>0</v>
      </c>
    </row>
    <row r="84" spans="4:70" ht="12" hidden="1" customHeight="1" outlineLevel="1">
      <c r="D84" s="621"/>
      <c r="E84" s="65"/>
      <c r="F84" s="143" t="str">
        <f t="shared" si="66"/>
        <v>Equipe_08</v>
      </c>
      <c r="G84" s="143" t="str">
        <f t="shared" si="65"/>
        <v>Equipe08</v>
      </c>
      <c r="H84" s="79">
        <f t="shared" si="64"/>
        <v>0.99999999999999989</v>
      </c>
      <c r="I84" s="107" t="s">
        <v>371</v>
      </c>
      <c r="J84" s="65"/>
      <c r="K84" s="79" cm="1">
        <f t="array" ref="K84">IFERROR(IF(K10=1,INDEX('Curva S'!$C$2:$BJ$301,$I32,K32),0),0)</f>
        <v>0.1</v>
      </c>
      <c r="L84" s="79" cm="1">
        <f t="array" ref="L84">IFERROR(IF(L10=1,INDEX('Curva S'!$C$2:$BJ$301,$I32,L32),0),0)</f>
        <v>0.1</v>
      </c>
      <c r="M84" s="79" cm="1">
        <f t="array" ref="M84">IFERROR(IF(M10=1,INDEX('Curva S'!$C$2:$BJ$301,$I32,M32),0),0)</f>
        <v>0.1</v>
      </c>
      <c r="N84" s="79" cm="1">
        <f t="array" ref="N84">IFERROR(IF(N10=1,INDEX('Curva S'!$C$2:$BJ$301,$I32,N32),0),0)</f>
        <v>0.1</v>
      </c>
      <c r="O84" s="79" cm="1">
        <f t="array" ref="O84">IFERROR(IF(O10=1,INDEX('Curva S'!$C$2:$BJ$301,$I32,O32),0),0)</f>
        <v>0.1</v>
      </c>
      <c r="P84" s="79" cm="1">
        <f t="array" ref="P84">IFERROR(IF(P10=1,INDEX('Curva S'!$C$2:$BJ$301,$I32,P32),0),0)</f>
        <v>0.1</v>
      </c>
      <c r="Q84" s="79" cm="1">
        <f t="array" ref="Q84">IFERROR(IF(Q10=1,INDEX('Curva S'!$C$2:$BJ$301,$I32,Q32),0),0)</f>
        <v>0.1</v>
      </c>
      <c r="R84" s="79" cm="1">
        <f t="array" ref="R84">IFERROR(IF(R10=1,INDEX('Curva S'!$C$2:$BJ$301,$I32,R32),0),0)</f>
        <v>0.1</v>
      </c>
      <c r="S84" s="79" cm="1">
        <f t="array" ref="S84">IFERROR(IF(S10=1,INDEX('Curva S'!$C$2:$BJ$301,$I32,S32),0),0)</f>
        <v>0.1</v>
      </c>
      <c r="T84" s="79" cm="1">
        <f t="array" ref="T84">IFERROR(IF(T10=1,INDEX('Curva S'!$C$2:$BJ$301,$I32,T32),0),0)</f>
        <v>0.1</v>
      </c>
      <c r="U84" s="79" cm="1">
        <f t="array" ref="U84">IFERROR(IF(U10=1,INDEX('Curva S'!$C$2:$BJ$301,$I32,U32),0),0)</f>
        <v>0</v>
      </c>
      <c r="V84" s="79" cm="1">
        <f t="array" ref="V84">IFERROR(IF(V10=1,INDEX('Curva S'!$C$2:$BJ$301,$I32,V32),0),0)</f>
        <v>0</v>
      </c>
      <c r="W84" s="79" cm="1">
        <f t="array" ref="W84">IFERROR(IF(W10=1,INDEX('Curva S'!$C$2:$BJ$301,$I32,W32),0),0)</f>
        <v>0</v>
      </c>
      <c r="X84" s="79" cm="1">
        <f t="array" ref="X84">IFERROR(IF(X10=1,INDEX('Curva S'!$C$2:$BJ$301,$I32,X32),0),0)</f>
        <v>0</v>
      </c>
      <c r="Y84" s="79" cm="1">
        <f t="array" ref="Y84">IFERROR(IF(Y10=1,INDEX('Curva S'!$C$2:$BJ$301,$I32,Y32),0),0)</f>
        <v>0</v>
      </c>
      <c r="Z84" s="79" cm="1">
        <f t="array" ref="Z84">IFERROR(IF(Z10=1,INDEX('Curva S'!$C$2:$BJ$301,$I32,Z32),0),0)</f>
        <v>0</v>
      </c>
      <c r="AA84" s="79" cm="1">
        <f t="array" ref="AA84">IFERROR(IF(AA10=1,INDEX('Curva S'!$C$2:$BJ$301,$I32,AA32),0),0)</f>
        <v>0</v>
      </c>
      <c r="AB84" s="79" cm="1">
        <f t="array" ref="AB84">IFERROR(IF(AB10=1,INDEX('Curva S'!$C$2:$BJ$301,$I32,AB32),0),0)</f>
        <v>0</v>
      </c>
      <c r="AC84" s="79" cm="1">
        <f t="array" ref="AC84">IFERROR(IF(AC10=1,INDEX('Curva S'!$C$2:$BJ$301,$I32,AC32),0),0)</f>
        <v>0</v>
      </c>
      <c r="AD84" s="79" cm="1">
        <f t="array" ref="AD84">IFERROR(IF(AD10=1,INDEX('Curva S'!$C$2:$BJ$301,$I32,AD32),0),0)</f>
        <v>0</v>
      </c>
      <c r="AE84" s="79" cm="1">
        <f t="array" ref="AE84">IFERROR(IF(AE10=1,INDEX('Curva S'!$C$2:$BJ$301,$I32,AE32),0),0)</f>
        <v>0</v>
      </c>
      <c r="AF84" s="79" cm="1">
        <f t="array" ref="AF84">IFERROR(IF(AF10=1,INDEX('Curva S'!$C$2:$BJ$301,$I32,AF32),0),0)</f>
        <v>0</v>
      </c>
      <c r="AG84" s="79" cm="1">
        <f t="array" ref="AG84">IFERROR(IF(AG10=1,INDEX('Curva S'!$C$2:$BJ$301,$I32,AG32),0),0)</f>
        <v>0</v>
      </c>
      <c r="AH84" s="79" cm="1">
        <f t="array" ref="AH84">IFERROR(IF(AH10=1,INDEX('Curva S'!$C$2:$BJ$301,$I32,AH32),0),0)</f>
        <v>0</v>
      </c>
      <c r="AI84" s="79" cm="1">
        <f t="array" ref="AI84">IFERROR(IF(AI10=1,INDEX('Curva S'!$C$2:$BJ$301,$I32,AI32),0),0)</f>
        <v>0</v>
      </c>
      <c r="AJ84" s="79" cm="1">
        <f t="array" ref="AJ84">IFERROR(IF(AJ10=1,INDEX('Curva S'!$C$2:$BJ$301,$I32,AJ32),0),0)</f>
        <v>0</v>
      </c>
      <c r="AK84" s="79" cm="1">
        <f t="array" ref="AK84">IFERROR(IF(AK10=1,INDEX('Curva S'!$C$2:$BJ$301,$I32,AK32),0),0)</f>
        <v>0</v>
      </c>
      <c r="AL84" s="79" cm="1">
        <f t="array" ref="AL84">IFERROR(IF(AL10=1,INDEX('Curva S'!$C$2:$BJ$301,$I32,AL32),0),0)</f>
        <v>0</v>
      </c>
      <c r="AM84" s="79" cm="1">
        <f t="array" ref="AM84">IFERROR(IF(AM10=1,INDEX('Curva S'!$C$2:$BJ$301,$I32,AM32),0),0)</f>
        <v>0</v>
      </c>
      <c r="AN84" s="79" cm="1">
        <f t="array" ref="AN84">IFERROR(IF(AN10=1,INDEX('Curva S'!$C$2:$BJ$301,$I32,AN32),0),0)</f>
        <v>0</v>
      </c>
      <c r="AO84" s="79" cm="1">
        <f t="array" ref="AO84">IFERROR(IF(AO10=1,INDEX('Curva S'!$C$2:$BJ$301,$I32,AO32),0),0)</f>
        <v>0</v>
      </c>
      <c r="AP84" s="79" cm="1">
        <f t="array" ref="AP84">IFERROR(IF(AP10=1,INDEX('Curva S'!$C$2:$BJ$301,$I32,AP32),0),0)</f>
        <v>0</v>
      </c>
      <c r="AQ84" s="79" cm="1">
        <f t="array" ref="AQ84">IFERROR(IF(AQ10=1,INDEX('Curva S'!$C$2:$BJ$301,$I32,AQ32),0),0)</f>
        <v>0</v>
      </c>
      <c r="AR84" s="79" cm="1">
        <f t="array" ref="AR84">IFERROR(IF(AR10=1,INDEX('Curva S'!$C$2:$BJ$301,$I32,AR32),0),0)</f>
        <v>0</v>
      </c>
      <c r="AS84" s="79" cm="1">
        <f t="array" ref="AS84">IFERROR(IF(AS10=1,INDEX('Curva S'!$C$2:$BJ$301,$I32,AS32),0),0)</f>
        <v>0</v>
      </c>
      <c r="AT84" s="79" cm="1">
        <f t="array" ref="AT84">IFERROR(IF(AT10=1,INDEX('Curva S'!$C$2:$BJ$301,$I32,AT32),0),0)</f>
        <v>0</v>
      </c>
      <c r="AU84" s="79" cm="1">
        <f t="array" ref="AU84">IFERROR(IF(AU10=1,INDEX('Curva S'!$C$2:$BJ$301,$I32,AU32),0),0)</f>
        <v>0</v>
      </c>
      <c r="AV84" s="79" cm="1">
        <f t="array" ref="AV84">IFERROR(IF(AV10=1,INDEX('Curva S'!$C$2:$BJ$301,$I32,AV32),0),0)</f>
        <v>0</v>
      </c>
      <c r="AW84" s="79" cm="1">
        <f t="array" ref="AW84">IFERROR(IF(AW10=1,INDEX('Curva S'!$C$2:$BJ$301,$I32,AW32),0),0)</f>
        <v>0</v>
      </c>
      <c r="AX84" s="79" cm="1">
        <f t="array" ref="AX84">IFERROR(IF(AX10=1,INDEX('Curva S'!$C$2:$BJ$301,$I32,AX32),0),0)</f>
        <v>0</v>
      </c>
      <c r="AY84" s="79" cm="1">
        <f t="array" ref="AY84">IFERROR(IF(AY10=1,INDEX('Curva S'!$C$2:$BJ$301,$I32,AY32),0),0)</f>
        <v>0</v>
      </c>
      <c r="AZ84" s="79" cm="1">
        <f t="array" ref="AZ84">IFERROR(IF(AZ10=1,INDEX('Curva S'!$C$2:$BJ$301,$I32,AZ32),0),0)</f>
        <v>0</v>
      </c>
      <c r="BA84" s="79" cm="1">
        <f t="array" ref="BA84">IFERROR(IF(BA10=1,INDEX('Curva S'!$C$2:$BJ$301,$I32,BA32),0),0)</f>
        <v>0</v>
      </c>
      <c r="BB84" s="79" cm="1">
        <f t="array" ref="BB84">IFERROR(IF(BB10=1,INDEX('Curva S'!$C$2:$BJ$301,$I32,BB32),0),0)</f>
        <v>0</v>
      </c>
      <c r="BC84" s="79" cm="1">
        <f t="array" ref="BC84">IFERROR(IF(BC10=1,INDEX('Curva S'!$C$2:$BJ$301,$I32,BC32),0),0)</f>
        <v>0</v>
      </c>
      <c r="BD84" s="79" cm="1">
        <f t="array" ref="BD84">IFERROR(IF(BD10=1,INDEX('Curva S'!$C$2:$BJ$301,$I32,BD32),0),0)</f>
        <v>0</v>
      </c>
      <c r="BE84" s="79" cm="1">
        <f t="array" ref="BE84">IFERROR(IF(BE10=1,INDEX('Curva S'!$C$2:$BJ$301,$I32,BE32),0),0)</f>
        <v>0</v>
      </c>
      <c r="BF84" s="79" cm="1">
        <f t="array" ref="BF84">IFERROR(IF(BF10=1,INDEX('Curva S'!$C$2:$BJ$301,$I32,BF32),0),0)</f>
        <v>0</v>
      </c>
      <c r="BG84" s="79" cm="1">
        <f t="array" ref="BG84">IFERROR(IF(BG10=1,INDEX('Curva S'!$C$2:$BJ$301,$I32,BG32),0),0)</f>
        <v>0</v>
      </c>
      <c r="BH84" s="79" cm="1">
        <f t="array" ref="BH84">IFERROR(IF(BH10=1,INDEX('Curva S'!$C$2:$BJ$301,$I32,BH32),0),0)</f>
        <v>0</v>
      </c>
      <c r="BI84" s="79" cm="1">
        <f t="array" ref="BI84">IFERROR(IF(BI10=1,INDEX('Curva S'!$C$2:$BJ$301,$I32,BI32),0),0)</f>
        <v>0</v>
      </c>
      <c r="BJ84" s="79" cm="1">
        <f t="array" ref="BJ84">IFERROR(IF(BJ10=1,INDEX('Curva S'!$C$2:$BJ$301,$I32,BJ32),0),0)</f>
        <v>0</v>
      </c>
      <c r="BK84" s="79" cm="1">
        <f t="array" ref="BK84">IFERROR(IF(BK10=1,INDEX('Curva S'!$C$2:$BJ$301,$I32,BK32),0),0)</f>
        <v>0</v>
      </c>
      <c r="BL84" s="79" cm="1">
        <f t="array" ref="BL84">IFERROR(IF(BL10=1,INDEX('Curva S'!$C$2:$BJ$301,$I32,BL32),0),0)</f>
        <v>0</v>
      </c>
      <c r="BM84" s="79" cm="1">
        <f t="array" ref="BM84">IFERROR(IF(BM10=1,INDEX('Curva S'!$C$2:$BJ$301,$I32,BM32),0),0)</f>
        <v>0</v>
      </c>
      <c r="BN84" s="79" cm="1">
        <f t="array" ref="BN84">IFERROR(IF(BN10=1,INDEX('Curva S'!$C$2:$BJ$301,$I32,BN32),0),0)</f>
        <v>0</v>
      </c>
      <c r="BO84" s="79" cm="1">
        <f t="array" ref="BO84">IFERROR(IF(BO10=1,INDEX('Curva S'!$C$2:$BJ$301,$I32,BO32),0),0)</f>
        <v>0</v>
      </c>
      <c r="BP84" s="79" cm="1">
        <f t="array" ref="BP84">IFERROR(IF(BP10=1,INDEX('Curva S'!$C$2:$BJ$301,$I32,BP32),0),0)</f>
        <v>0</v>
      </c>
      <c r="BQ84" s="79" cm="1">
        <f t="array" ref="BQ84">IFERROR(IF(BQ10=1,INDEX('Curva S'!$C$2:$BJ$301,$I32,BQ32),0),0)</f>
        <v>0</v>
      </c>
      <c r="BR84" s="79" cm="1">
        <f t="array" ref="BR84">IFERROR(IF(BR10=1,INDEX('Curva S'!$C$2:$BJ$301,$I32,BR32),0),0)</f>
        <v>0</v>
      </c>
    </row>
    <row r="85" spans="4:70" ht="12" hidden="1" customHeight="1" outlineLevel="1">
      <c r="D85" s="621"/>
      <c r="E85" s="65"/>
      <c r="F85" s="143" t="str">
        <f t="shared" si="66"/>
        <v>Equipe_09</v>
      </c>
      <c r="G85" s="143" t="str">
        <f t="shared" si="65"/>
        <v>Equipe09</v>
      </c>
      <c r="H85" s="79">
        <f t="shared" si="64"/>
        <v>0.99999999999999989</v>
      </c>
      <c r="I85" s="107" t="s">
        <v>371</v>
      </c>
      <c r="J85" s="65"/>
      <c r="K85" s="79" cm="1">
        <f t="array" ref="K85">IFERROR(IF(K11=1,INDEX('Curva S'!$C$2:$BJ$301,$I33,K33),0),0)</f>
        <v>0.1</v>
      </c>
      <c r="L85" s="79" cm="1">
        <f t="array" ref="L85">IFERROR(IF(L11=1,INDEX('Curva S'!$C$2:$BJ$301,$I33,L33),0),0)</f>
        <v>0.1</v>
      </c>
      <c r="M85" s="79" cm="1">
        <f t="array" ref="M85">IFERROR(IF(M11=1,INDEX('Curva S'!$C$2:$BJ$301,$I33,M33),0),0)</f>
        <v>0.1</v>
      </c>
      <c r="N85" s="79" cm="1">
        <f t="array" ref="N85">IFERROR(IF(N11=1,INDEX('Curva S'!$C$2:$BJ$301,$I33,N33),0),0)</f>
        <v>0.1</v>
      </c>
      <c r="O85" s="79" cm="1">
        <f t="array" ref="O85">IFERROR(IF(O11=1,INDEX('Curva S'!$C$2:$BJ$301,$I33,O33),0),0)</f>
        <v>0.1</v>
      </c>
      <c r="P85" s="79" cm="1">
        <f t="array" ref="P85">IFERROR(IF(P11=1,INDEX('Curva S'!$C$2:$BJ$301,$I33,P33),0),0)</f>
        <v>0.1</v>
      </c>
      <c r="Q85" s="79" cm="1">
        <f t="array" ref="Q85">IFERROR(IF(Q11=1,INDEX('Curva S'!$C$2:$BJ$301,$I33,Q33),0),0)</f>
        <v>0.1</v>
      </c>
      <c r="R85" s="79" cm="1">
        <f t="array" ref="R85">IFERROR(IF(R11=1,INDEX('Curva S'!$C$2:$BJ$301,$I33,R33),0),0)</f>
        <v>0.1</v>
      </c>
      <c r="S85" s="79" cm="1">
        <f t="array" ref="S85">IFERROR(IF(S11=1,INDEX('Curva S'!$C$2:$BJ$301,$I33,S33),0),0)</f>
        <v>0.1</v>
      </c>
      <c r="T85" s="79" cm="1">
        <f t="array" ref="T85">IFERROR(IF(T11=1,INDEX('Curva S'!$C$2:$BJ$301,$I33,T33),0),0)</f>
        <v>0.1</v>
      </c>
      <c r="U85" s="79" cm="1">
        <f t="array" ref="U85">IFERROR(IF(U11=1,INDEX('Curva S'!$C$2:$BJ$301,$I33,U33),0),0)</f>
        <v>0</v>
      </c>
      <c r="V85" s="79" cm="1">
        <f t="array" ref="V85">IFERROR(IF(V11=1,INDEX('Curva S'!$C$2:$BJ$301,$I33,V33),0),0)</f>
        <v>0</v>
      </c>
      <c r="W85" s="79" cm="1">
        <f t="array" ref="W85">IFERROR(IF(W11=1,INDEX('Curva S'!$C$2:$BJ$301,$I33,W33),0),0)</f>
        <v>0</v>
      </c>
      <c r="X85" s="79" cm="1">
        <f t="array" ref="X85">IFERROR(IF(X11=1,INDEX('Curva S'!$C$2:$BJ$301,$I33,X33),0),0)</f>
        <v>0</v>
      </c>
      <c r="Y85" s="79" cm="1">
        <f t="array" ref="Y85">IFERROR(IF(Y11=1,INDEX('Curva S'!$C$2:$BJ$301,$I33,Y33),0),0)</f>
        <v>0</v>
      </c>
      <c r="Z85" s="79" cm="1">
        <f t="array" ref="Z85">IFERROR(IF(Z11=1,INDEX('Curva S'!$C$2:$BJ$301,$I33,Z33),0),0)</f>
        <v>0</v>
      </c>
      <c r="AA85" s="79" cm="1">
        <f t="array" ref="AA85">IFERROR(IF(AA11=1,INDEX('Curva S'!$C$2:$BJ$301,$I33,AA33),0),0)</f>
        <v>0</v>
      </c>
      <c r="AB85" s="79" cm="1">
        <f t="array" ref="AB85">IFERROR(IF(AB11=1,INDEX('Curva S'!$C$2:$BJ$301,$I33,AB33),0),0)</f>
        <v>0</v>
      </c>
      <c r="AC85" s="79" cm="1">
        <f t="array" ref="AC85">IFERROR(IF(AC11=1,INDEX('Curva S'!$C$2:$BJ$301,$I33,AC33),0),0)</f>
        <v>0</v>
      </c>
      <c r="AD85" s="79" cm="1">
        <f t="array" ref="AD85">IFERROR(IF(AD11=1,INDEX('Curva S'!$C$2:$BJ$301,$I33,AD33),0),0)</f>
        <v>0</v>
      </c>
      <c r="AE85" s="79" cm="1">
        <f t="array" ref="AE85">IFERROR(IF(AE11=1,INDEX('Curva S'!$C$2:$BJ$301,$I33,AE33),0),0)</f>
        <v>0</v>
      </c>
      <c r="AF85" s="79" cm="1">
        <f t="array" ref="AF85">IFERROR(IF(AF11=1,INDEX('Curva S'!$C$2:$BJ$301,$I33,AF33),0),0)</f>
        <v>0</v>
      </c>
      <c r="AG85" s="79" cm="1">
        <f t="array" ref="AG85">IFERROR(IF(AG11=1,INDEX('Curva S'!$C$2:$BJ$301,$I33,AG33),0),0)</f>
        <v>0</v>
      </c>
      <c r="AH85" s="79" cm="1">
        <f t="array" ref="AH85">IFERROR(IF(AH11=1,INDEX('Curva S'!$C$2:$BJ$301,$I33,AH33),0),0)</f>
        <v>0</v>
      </c>
      <c r="AI85" s="79" cm="1">
        <f t="array" ref="AI85">IFERROR(IF(AI11=1,INDEX('Curva S'!$C$2:$BJ$301,$I33,AI33),0),0)</f>
        <v>0</v>
      </c>
      <c r="AJ85" s="79" cm="1">
        <f t="array" ref="AJ85">IFERROR(IF(AJ11=1,INDEX('Curva S'!$C$2:$BJ$301,$I33,AJ33),0),0)</f>
        <v>0</v>
      </c>
      <c r="AK85" s="79" cm="1">
        <f t="array" ref="AK85">IFERROR(IF(AK11=1,INDEX('Curva S'!$C$2:$BJ$301,$I33,AK33),0),0)</f>
        <v>0</v>
      </c>
      <c r="AL85" s="79" cm="1">
        <f t="array" ref="AL85">IFERROR(IF(AL11=1,INDEX('Curva S'!$C$2:$BJ$301,$I33,AL33),0),0)</f>
        <v>0</v>
      </c>
      <c r="AM85" s="79" cm="1">
        <f t="array" ref="AM85">IFERROR(IF(AM11=1,INDEX('Curva S'!$C$2:$BJ$301,$I33,AM33),0),0)</f>
        <v>0</v>
      </c>
      <c r="AN85" s="79" cm="1">
        <f t="array" ref="AN85">IFERROR(IF(AN11=1,INDEX('Curva S'!$C$2:$BJ$301,$I33,AN33),0),0)</f>
        <v>0</v>
      </c>
      <c r="AO85" s="79" cm="1">
        <f t="array" ref="AO85">IFERROR(IF(AO11=1,INDEX('Curva S'!$C$2:$BJ$301,$I33,AO33),0),0)</f>
        <v>0</v>
      </c>
      <c r="AP85" s="79" cm="1">
        <f t="array" ref="AP85">IFERROR(IF(AP11=1,INDEX('Curva S'!$C$2:$BJ$301,$I33,AP33),0),0)</f>
        <v>0</v>
      </c>
      <c r="AQ85" s="79" cm="1">
        <f t="array" ref="AQ85">IFERROR(IF(AQ11=1,INDEX('Curva S'!$C$2:$BJ$301,$I33,AQ33),0),0)</f>
        <v>0</v>
      </c>
      <c r="AR85" s="79" cm="1">
        <f t="array" ref="AR85">IFERROR(IF(AR11=1,INDEX('Curva S'!$C$2:$BJ$301,$I33,AR33),0),0)</f>
        <v>0</v>
      </c>
      <c r="AS85" s="79" cm="1">
        <f t="array" ref="AS85">IFERROR(IF(AS11=1,INDEX('Curva S'!$C$2:$BJ$301,$I33,AS33),0),0)</f>
        <v>0</v>
      </c>
      <c r="AT85" s="79" cm="1">
        <f t="array" ref="AT85">IFERROR(IF(AT11=1,INDEX('Curva S'!$C$2:$BJ$301,$I33,AT33),0),0)</f>
        <v>0</v>
      </c>
      <c r="AU85" s="79" cm="1">
        <f t="array" ref="AU85">IFERROR(IF(AU11=1,INDEX('Curva S'!$C$2:$BJ$301,$I33,AU33),0),0)</f>
        <v>0</v>
      </c>
      <c r="AV85" s="79" cm="1">
        <f t="array" ref="AV85">IFERROR(IF(AV11=1,INDEX('Curva S'!$C$2:$BJ$301,$I33,AV33),0),0)</f>
        <v>0</v>
      </c>
      <c r="AW85" s="79" cm="1">
        <f t="array" ref="AW85">IFERROR(IF(AW11=1,INDEX('Curva S'!$C$2:$BJ$301,$I33,AW33),0),0)</f>
        <v>0</v>
      </c>
      <c r="AX85" s="79" cm="1">
        <f t="array" ref="AX85">IFERROR(IF(AX11=1,INDEX('Curva S'!$C$2:$BJ$301,$I33,AX33),0),0)</f>
        <v>0</v>
      </c>
      <c r="AY85" s="79" cm="1">
        <f t="array" ref="AY85">IFERROR(IF(AY11=1,INDEX('Curva S'!$C$2:$BJ$301,$I33,AY33),0),0)</f>
        <v>0</v>
      </c>
      <c r="AZ85" s="79" cm="1">
        <f t="array" ref="AZ85">IFERROR(IF(AZ11=1,INDEX('Curva S'!$C$2:$BJ$301,$I33,AZ33),0),0)</f>
        <v>0</v>
      </c>
      <c r="BA85" s="79" cm="1">
        <f t="array" ref="BA85">IFERROR(IF(BA11=1,INDEX('Curva S'!$C$2:$BJ$301,$I33,BA33),0),0)</f>
        <v>0</v>
      </c>
      <c r="BB85" s="79" cm="1">
        <f t="array" ref="BB85">IFERROR(IF(BB11=1,INDEX('Curva S'!$C$2:$BJ$301,$I33,BB33),0),0)</f>
        <v>0</v>
      </c>
      <c r="BC85" s="79" cm="1">
        <f t="array" ref="BC85">IFERROR(IF(BC11=1,INDEX('Curva S'!$C$2:$BJ$301,$I33,BC33),0),0)</f>
        <v>0</v>
      </c>
      <c r="BD85" s="79" cm="1">
        <f t="array" ref="BD85">IFERROR(IF(BD11=1,INDEX('Curva S'!$C$2:$BJ$301,$I33,BD33),0),0)</f>
        <v>0</v>
      </c>
      <c r="BE85" s="79" cm="1">
        <f t="array" ref="BE85">IFERROR(IF(BE11=1,INDEX('Curva S'!$C$2:$BJ$301,$I33,BE33),0),0)</f>
        <v>0</v>
      </c>
      <c r="BF85" s="79" cm="1">
        <f t="array" ref="BF85">IFERROR(IF(BF11=1,INDEX('Curva S'!$C$2:$BJ$301,$I33,BF33),0),0)</f>
        <v>0</v>
      </c>
      <c r="BG85" s="79" cm="1">
        <f t="array" ref="BG85">IFERROR(IF(BG11=1,INDEX('Curva S'!$C$2:$BJ$301,$I33,BG33),0),0)</f>
        <v>0</v>
      </c>
      <c r="BH85" s="79" cm="1">
        <f t="array" ref="BH85">IFERROR(IF(BH11=1,INDEX('Curva S'!$C$2:$BJ$301,$I33,BH33),0),0)</f>
        <v>0</v>
      </c>
      <c r="BI85" s="79" cm="1">
        <f t="array" ref="BI85">IFERROR(IF(BI11=1,INDEX('Curva S'!$C$2:$BJ$301,$I33,BI33),0),0)</f>
        <v>0</v>
      </c>
      <c r="BJ85" s="79" cm="1">
        <f t="array" ref="BJ85">IFERROR(IF(BJ11=1,INDEX('Curva S'!$C$2:$BJ$301,$I33,BJ33),0),0)</f>
        <v>0</v>
      </c>
      <c r="BK85" s="79" cm="1">
        <f t="array" ref="BK85">IFERROR(IF(BK11=1,INDEX('Curva S'!$C$2:$BJ$301,$I33,BK33),0),0)</f>
        <v>0</v>
      </c>
      <c r="BL85" s="79" cm="1">
        <f t="array" ref="BL85">IFERROR(IF(BL11=1,INDEX('Curva S'!$C$2:$BJ$301,$I33,BL33),0),0)</f>
        <v>0</v>
      </c>
      <c r="BM85" s="79" cm="1">
        <f t="array" ref="BM85">IFERROR(IF(BM11=1,INDEX('Curva S'!$C$2:$BJ$301,$I33,BM33),0),0)</f>
        <v>0</v>
      </c>
      <c r="BN85" s="79" cm="1">
        <f t="array" ref="BN85">IFERROR(IF(BN11=1,INDEX('Curva S'!$C$2:$BJ$301,$I33,BN33),0),0)</f>
        <v>0</v>
      </c>
      <c r="BO85" s="79" cm="1">
        <f t="array" ref="BO85">IFERROR(IF(BO11=1,INDEX('Curva S'!$C$2:$BJ$301,$I33,BO33),0),0)</f>
        <v>0</v>
      </c>
      <c r="BP85" s="79" cm="1">
        <f t="array" ref="BP85">IFERROR(IF(BP11=1,INDEX('Curva S'!$C$2:$BJ$301,$I33,BP33),0),0)</f>
        <v>0</v>
      </c>
      <c r="BQ85" s="79" cm="1">
        <f t="array" ref="BQ85">IFERROR(IF(BQ11=1,INDEX('Curva S'!$C$2:$BJ$301,$I33,BQ33),0),0)</f>
        <v>0</v>
      </c>
      <c r="BR85" s="79" cm="1">
        <f t="array" ref="BR85">IFERROR(IF(BR11=1,INDEX('Curva S'!$C$2:$BJ$301,$I33,BR33),0),0)</f>
        <v>0</v>
      </c>
    </row>
    <row r="86" spans="4:70" ht="12" hidden="1" customHeight="1" outlineLevel="1">
      <c r="D86" s="621"/>
      <c r="E86" s="65"/>
      <c r="F86" s="143" t="str">
        <f t="shared" si="66"/>
        <v>Equipe_10</v>
      </c>
      <c r="G86" s="143" t="str">
        <f t="shared" si="65"/>
        <v>Equipe10</v>
      </c>
      <c r="H86" s="79">
        <f t="shared" si="64"/>
        <v>0.99999999999999989</v>
      </c>
      <c r="I86" s="107" t="s">
        <v>371</v>
      </c>
      <c r="J86" s="65"/>
      <c r="K86" s="79" cm="1">
        <f t="array" ref="K86">IFERROR(IF(K12=1,INDEX('Curva S'!$C$2:$BJ$301,$I34,K34),0),0)</f>
        <v>0.1</v>
      </c>
      <c r="L86" s="79" cm="1">
        <f t="array" ref="L86">IFERROR(IF(L12=1,INDEX('Curva S'!$C$2:$BJ$301,$I34,L34),0),0)</f>
        <v>0.1</v>
      </c>
      <c r="M86" s="79" cm="1">
        <f t="array" ref="M86">IFERROR(IF(M12=1,INDEX('Curva S'!$C$2:$BJ$301,$I34,M34),0),0)</f>
        <v>0.1</v>
      </c>
      <c r="N86" s="79" cm="1">
        <f t="array" ref="N86">IFERROR(IF(N12=1,INDEX('Curva S'!$C$2:$BJ$301,$I34,N34),0),0)</f>
        <v>0.1</v>
      </c>
      <c r="O86" s="79" cm="1">
        <f t="array" ref="O86">IFERROR(IF(O12=1,INDEX('Curva S'!$C$2:$BJ$301,$I34,O34),0),0)</f>
        <v>0.1</v>
      </c>
      <c r="P86" s="79" cm="1">
        <f t="array" ref="P86">IFERROR(IF(P12=1,INDEX('Curva S'!$C$2:$BJ$301,$I34,P34),0),0)</f>
        <v>0.1</v>
      </c>
      <c r="Q86" s="79" cm="1">
        <f t="array" ref="Q86">IFERROR(IF(Q12=1,INDEX('Curva S'!$C$2:$BJ$301,$I34,Q34),0),0)</f>
        <v>0.1</v>
      </c>
      <c r="R86" s="79" cm="1">
        <f t="array" ref="R86">IFERROR(IF(R12=1,INDEX('Curva S'!$C$2:$BJ$301,$I34,R34),0),0)</f>
        <v>0.1</v>
      </c>
      <c r="S86" s="79" cm="1">
        <f t="array" ref="S86">IFERROR(IF(S12=1,INDEX('Curva S'!$C$2:$BJ$301,$I34,S34),0),0)</f>
        <v>0.1</v>
      </c>
      <c r="T86" s="79" cm="1">
        <f t="array" ref="T86">IFERROR(IF(T12=1,INDEX('Curva S'!$C$2:$BJ$301,$I34,T34),0),0)</f>
        <v>0.1</v>
      </c>
      <c r="U86" s="79" cm="1">
        <f t="array" ref="U86">IFERROR(IF(U12=1,INDEX('Curva S'!$C$2:$BJ$301,$I34,U34),0),0)</f>
        <v>0</v>
      </c>
      <c r="V86" s="79" cm="1">
        <f t="array" ref="V86">IFERROR(IF(V12=1,INDEX('Curva S'!$C$2:$BJ$301,$I34,V34),0),0)</f>
        <v>0</v>
      </c>
      <c r="W86" s="79" cm="1">
        <f t="array" ref="W86">IFERROR(IF(W12=1,INDEX('Curva S'!$C$2:$BJ$301,$I34,W34),0),0)</f>
        <v>0</v>
      </c>
      <c r="X86" s="79" cm="1">
        <f t="array" ref="X86">IFERROR(IF(X12=1,INDEX('Curva S'!$C$2:$BJ$301,$I34,X34),0),0)</f>
        <v>0</v>
      </c>
      <c r="Y86" s="79" cm="1">
        <f t="array" ref="Y86">IFERROR(IF(Y12=1,INDEX('Curva S'!$C$2:$BJ$301,$I34,Y34),0),0)</f>
        <v>0</v>
      </c>
      <c r="Z86" s="79" cm="1">
        <f t="array" ref="Z86">IFERROR(IF(Z12=1,INDEX('Curva S'!$C$2:$BJ$301,$I34,Z34),0),0)</f>
        <v>0</v>
      </c>
      <c r="AA86" s="79" cm="1">
        <f t="array" ref="AA86">IFERROR(IF(AA12=1,INDEX('Curva S'!$C$2:$BJ$301,$I34,AA34),0),0)</f>
        <v>0</v>
      </c>
      <c r="AB86" s="79" cm="1">
        <f t="array" ref="AB86">IFERROR(IF(AB12=1,INDEX('Curva S'!$C$2:$BJ$301,$I34,AB34),0),0)</f>
        <v>0</v>
      </c>
      <c r="AC86" s="79" cm="1">
        <f t="array" ref="AC86">IFERROR(IF(AC12=1,INDEX('Curva S'!$C$2:$BJ$301,$I34,AC34),0),0)</f>
        <v>0</v>
      </c>
      <c r="AD86" s="79" cm="1">
        <f t="array" ref="AD86">IFERROR(IF(AD12=1,INDEX('Curva S'!$C$2:$BJ$301,$I34,AD34),0),0)</f>
        <v>0</v>
      </c>
      <c r="AE86" s="79" cm="1">
        <f t="array" ref="AE86">IFERROR(IF(AE12=1,INDEX('Curva S'!$C$2:$BJ$301,$I34,AE34),0),0)</f>
        <v>0</v>
      </c>
      <c r="AF86" s="79" cm="1">
        <f t="array" ref="AF86">IFERROR(IF(AF12=1,INDEX('Curva S'!$C$2:$BJ$301,$I34,AF34),0),0)</f>
        <v>0</v>
      </c>
      <c r="AG86" s="79" cm="1">
        <f t="array" ref="AG86">IFERROR(IF(AG12=1,INDEX('Curva S'!$C$2:$BJ$301,$I34,AG34),0),0)</f>
        <v>0</v>
      </c>
      <c r="AH86" s="79" cm="1">
        <f t="array" ref="AH86">IFERROR(IF(AH12=1,INDEX('Curva S'!$C$2:$BJ$301,$I34,AH34),0),0)</f>
        <v>0</v>
      </c>
      <c r="AI86" s="79" cm="1">
        <f t="array" ref="AI86">IFERROR(IF(AI12=1,INDEX('Curva S'!$C$2:$BJ$301,$I34,AI34),0),0)</f>
        <v>0</v>
      </c>
      <c r="AJ86" s="79" cm="1">
        <f t="array" ref="AJ86">IFERROR(IF(AJ12=1,INDEX('Curva S'!$C$2:$BJ$301,$I34,AJ34),0),0)</f>
        <v>0</v>
      </c>
      <c r="AK86" s="79" cm="1">
        <f t="array" ref="AK86">IFERROR(IF(AK12=1,INDEX('Curva S'!$C$2:$BJ$301,$I34,AK34),0),0)</f>
        <v>0</v>
      </c>
      <c r="AL86" s="79" cm="1">
        <f t="array" ref="AL86">IFERROR(IF(AL12=1,INDEX('Curva S'!$C$2:$BJ$301,$I34,AL34),0),0)</f>
        <v>0</v>
      </c>
      <c r="AM86" s="79" cm="1">
        <f t="array" ref="AM86">IFERROR(IF(AM12=1,INDEX('Curva S'!$C$2:$BJ$301,$I34,AM34),0),0)</f>
        <v>0</v>
      </c>
      <c r="AN86" s="79" cm="1">
        <f t="array" ref="AN86">IFERROR(IF(AN12=1,INDEX('Curva S'!$C$2:$BJ$301,$I34,AN34),0),0)</f>
        <v>0</v>
      </c>
      <c r="AO86" s="79" cm="1">
        <f t="array" ref="AO86">IFERROR(IF(AO12=1,INDEX('Curva S'!$C$2:$BJ$301,$I34,AO34),0),0)</f>
        <v>0</v>
      </c>
      <c r="AP86" s="79" cm="1">
        <f t="array" ref="AP86">IFERROR(IF(AP12=1,INDEX('Curva S'!$C$2:$BJ$301,$I34,AP34),0),0)</f>
        <v>0</v>
      </c>
      <c r="AQ86" s="79" cm="1">
        <f t="array" ref="AQ86">IFERROR(IF(AQ12=1,INDEX('Curva S'!$C$2:$BJ$301,$I34,AQ34),0),0)</f>
        <v>0</v>
      </c>
      <c r="AR86" s="79" cm="1">
        <f t="array" ref="AR86">IFERROR(IF(AR12=1,INDEX('Curva S'!$C$2:$BJ$301,$I34,AR34),0),0)</f>
        <v>0</v>
      </c>
      <c r="AS86" s="79" cm="1">
        <f t="array" ref="AS86">IFERROR(IF(AS12=1,INDEX('Curva S'!$C$2:$BJ$301,$I34,AS34),0),0)</f>
        <v>0</v>
      </c>
      <c r="AT86" s="79" cm="1">
        <f t="array" ref="AT86">IFERROR(IF(AT12=1,INDEX('Curva S'!$C$2:$BJ$301,$I34,AT34),0),0)</f>
        <v>0</v>
      </c>
      <c r="AU86" s="79" cm="1">
        <f t="array" ref="AU86">IFERROR(IF(AU12=1,INDEX('Curva S'!$C$2:$BJ$301,$I34,AU34),0),0)</f>
        <v>0</v>
      </c>
      <c r="AV86" s="79" cm="1">
        <f t="array" ref="AV86">IFERROR(IF(AV12=1,INDEX('Curva S'!$C$2:$BJ$301,$I34,AV34),0),0)</f>
        <v>0</v>
      </c>
      <c r="AW86" s="79" cm="1">
        <f t="array" ref="AW86">IFERROR(IF(AW12=1,INDEX('Curva S'!$C$2:$BJ$301,$I34,AW34),0),0)</f>
        <v>0</v>
      </c>
      <c r="AX86" s="79" cm="1">
        <f t="array" ref="AX86">IFERROR(IF(AX12=1,INDEX('Curva S'!$C$2:$BJ$301,$I34,AX34),0),0)</f>
        <v>0</v>
      </c>
      <c r="AY86" s="79" cm="1">
        <f t="array" ref="AY86">IFERROR(IF(AY12=1,INDEX('Curva S'!$C$2:$BJ$301,$I34,AY34),0),0)</f>
        <v>0</v>
      </c>
      <c r="AZ86" s="79" cm="1">
        <f t="array" ref="AZ86">IFERROR(IF(AZ12=1,INDEX('Curva S'!$C$2:$BJ$301,$I34,AZ34),0),0)</f>
        <v>0</v>
      </c>
      <c r="BA86" s="79" cm="1">
        <f t="array" ref="BA86">IFERROR(IF(BA12=1,INDEX('Curva S'!$C$2:$BJ$301,$I34,BA34),0),0)</f>
        <v>0</v>
      </c>
      <c r="BB86" s="79" cm="1">
        <f t="array" ref="BB86">IFERROR(IF(BB12=1,INDEX('Curva S'!$C$2:$BJ$301,$I34,BB34),0),0)</f>
        <v>0</v>
      </c>
      <c r="BC86" s="79" cm="1">
        <f t="array" ref="BC86">IFERROR(IF(BC12=1,INDEX('Curva S'!$C$2:$BJ$301,$I34,BC34),0),0)</f>
        <v>0</v>
      </c>
      <c r="BD86" s="79" cm="1">
        <f t="array" ref="BD86">IFERROR(IF(BD12=1,INDEX('Curva S'!$C$2:$BJ$301,$I34,BD34),0),0)</f>
        <v>0</v>
      </c>
      <c r="BE86" s="79" cm="1">
        <f t="array" ref="BE86">IFERROR(IF(BE12=1,INDEX('Curva S'!$C$2:$BJ$301,$I34,BE34),0),0)</f>
        <v>0</v>
      </c>
      <c r="BF86" s="79" cm="1">
        <f t="array" ref="BF86">IFERROR(IF(BF12=1,INDEX('Curva S'!$C$2:$BJ$301,$I34,BF34),0),0)</f>
        <v>0</v>
      </c>
      <c r="BG86" s="79" cm="1">
        <f t="array" ref="BG86">IFERROR(IF(BG12=1,INDEX('Curva S'!$C$2:$BJ$301,$I34,BG34),0),0)</f>
        <v>0</v>
      </c>
      <c r="BH86" s="79" cm="1">
        <f t="array" ref="BH86">IFERROR(IF(BH12=1,INDEX('Curva S'!$C$2:$BJ$301,$I34,BH34),0),0)</f>
        <v>0</v>
      </c>
      <c r="BI86" s="79" cm="1">
        <f t="array" ref="BI86">IFERROR(IF(BI12=1,INDEX('Curva S'!$C$2:$BJ$301,$I34,BI34),0),0)</f>
        <v>0</v>
      </c>
      <c r="BJ86" s="79" cm="1">
        <f t="array" ref="BJ86">IFERROR(IF(BJ12=1,INDEX('Curva S'!$C$2:$BJ$301,$I34,BJ34),0),0)</f>
        <v>0</v>
      </c>
      <c r="BK86" s="79" cm="1">
        <f t="array" ref="BK86">IFERROR(IF(BK12=1,INDEX('Curva S'!$C$2:$BJ$301,$I34,BK34),0),0)</f>
        <v>0</v>
      </c>
      <c r="BL86" s="79" cm="1">
        <f t="array" ref="BL86">IFERROR(IF(BL12=1,INDEX('Curva S'!$C$2:$BJ$301,$I34,BL34),0),0)</f>
        <v>0</v>
      </c>
      <c r="BM86" s="79" cm="1">
        <f t="array" ref="BM86">IFERROR(IF(BM12=1,INDEX('Curva S'!$C$2:$BJ$301,$I34,BM34),0),0)</f>
        <v>0</v>
      </c>
      <c r="BN86" s="79" cm="1">
        <f t="array" ref="BN86">IFERROR(IF(BN12=1,INDEX('Curva S'!$C$2:$BJ$301,$I34,BN34),0),0)</f>
        <v>0</v>
      </c>
      <c r="BO86" s="79" cm="1">
        <f t="array" ref="BO86">IFERROR(IF(BO12=1,INDEX('Curva S'!$C$2:$BJ$301,$I34,BO34),0),0)</f>
        <v>0</v>
      </c>
      <c r="BP86" s="79" cm="1">
        <f t="array" ref="BP86">IFERROR(IF(BP12=1,INDEX('Curva S'!$C$2:$BJ$301,$I34,BP34),0),0)</f>
        <v>0</v>
      </c>
      <c r="BQ86" s="79" cm="1">
        <f t="array" ref="BQ86">IFERROR(IF(BQ12=1,INDEX('Curva S'!$C$2:$BJ$301,$I34,BQ34),0),0)</f>
        <v>0</v>
      </c>
      <c r="BR86" s="79" cm="1">
        <f t="array" ref="BR86">IFERROR(IF(BR12=1,INDEX('Curva S'!$C$2:$BJ$301,$I34,BR34),0),0)</f>
        <v>0</v>
      </c>
    </row>
    <row r="87" spans="4:70" ht="12" hidden="1" customHeight="1" outlineLevel="1">
      <c r="D87" s="621"/>
      <c r="E87" s="65"/>
      <c r="F87" s="143" t="str">
        <f t="shared" si="66"/>
        <v>Equipe_11</v>
      </c>
      <c r="G87" s="143" t="str">
        <f t="shared" si="65"/>
        <v>Equipe11</v>
      </c>
      <c r="H87" s="79">
        <f t="shared" si="64"/>
        <v>0.99999999999999989</v>
      </c>
      <c r="I87" s="107" t="s">
        <v>371</v>
      </c>
      <c r="J87" s="65"/>
      <c r="K87" s="79" cm="1">
        <f t="array" ref="K87">IFERROR(IF(K13=1,INDEX('Curva S'!$C$2:$BJ$301,$I35,K35),0),0)</f>
        <v>0.1</v>
      </c>
      <c r="L87" s="79" cm="1">
        <f t="array" ref="L87">IFERROR(IF(L13=1,INDEX('Curva S'!$C$2:$BJ$301,$I35,L35),0),0)</f>
        <v>0.1</v>
      </c>
      <c r="M87" s="79" cm="1">
        <f t="array" ref="M87">IFERROR(IF(M13=1,INDEX('Curva S'!$C$2:$BJ$301,$I35,M35),0),0)</f>
        <v>0.1</v>
      </c>
      <c r="N87" s="79" cm="1">
        <f t="array" ref="N87">IFERROR(IF(N13=1,INDEX('Curva S'!$C$2:$BJ$301,$I35,N35),0),0)</f>
        <v>0.1</v>
      </c>
      <c r="O87" s="79" cm="1">
        <f t="array" ref="O87">IFERROR(IF(O13=1,INDEX('Curva S'!$C$2:$BJ$301,$I35,O35),0),0)</f>
        <v>0.1</v>
      </c>
      <c r="P87" s="79" cm="1">
        <f t="array" ref="P87">IFERROR(IF(P13=1,INDEX('Curva S'!$C$2:$BJ$301,$I35,P35),0),0)</f>
        <v>0.1</v>
      </c>
      <c r="Q87" s="79" cm="1">
        <f t="array" ref="Q87">IFERROR(IF(Q13=1,INDEX('Curva S'!$C$2:$BJ$301,$I35,Q35),0),0)</f>
        <v>0.1</v>
      </c>
      <c r="R87" s="79" cm="1">
        <f t="array" ref="R87">IFERROR(IF(R13=1,INDEX('Curva S'!$C$2:$BJ$301,$I35,R35),0),0)</f>
        <v>0.1</v>
      </c>
      <c r="S87" s="79" cm="1">
        <f t="array" ref="S87">IFERROR(IF(S13=1,INDEX('Curva S'!$C$2:$BJ$301,$I35,S35),0),0)</f>
        <v>0.1</v>
      </c>
      <c r="T87" s="79" cm="1">
        <f t="array" ref="T87">IFERROR(IF(T13=1,INDEX('Curva S'!$C$2:$BJ$301,$I35,T35),0),0)</f>
        <v>0.1</v>
      </c>
      <c r="U87" s="79" cm="1">
        <f t="array" ref="U87">IFERROR(IF(U13=1,INDEX('Curva S'!$C$2:$BJ$301,$I35,U35),0),0)</f>
        <v>0</v>
      </c>
      <c r="V87" s="79" cm="1">
        <f t="array" ref="V87">IFERROR(IF(V13=1,INDEX('Curva S'!$C$2:$BJ$301,$I35,V35),0),0)</f>
        <v>0</v>
      </c>
      <c r="W87" s="79" cm="1">
        <f t="array" ref="W87">IFERROR(IF(W13=1,INDEX('Curva S'!$C$2:$BJ$301,$I35,W35),0),0)</f>
        <v>0</v>
      </c>
      <c r="X87" s="79" cm="1">
        <f t="array" ref="X87">IFERROR(IF(X13=1,INDEX('Curva S'!$C$2:$BJ$301,$I35,X35),0),0)</f>
        <v>0</v>
      </c>
      <c r="Y87" s="79" cm="1">
        <f t="array" ref="Y87">IFERROR(IF(Y13=1,INDEX('Curva S'!$C$2:$BJ$301,$I35,Y35),0),0)</f>
        <v>0</v>
      </c>
      <c r="Z87" s="79" cm="1">
        <f t="array" ref="Z87">IFERROR(IF(Z13=1,INDEX('Curva S'!$C$2:$BJ$301,$I35,Z35),0),0)</f>
        <v>0</v>
      </c>
      <c r="AA87" s="79" cm="1">
        <f t="array" ref="AA87">IFERROR(IF(AA13=1,INDEX('Curva S'!$C$2:$BJ$301,$I35,AA35),0),0)</f>
        <v>0</v>
      </c>
      <c r="AB87" s="79" cm="1">
        <f t="array" ref="AB87">IFERROR(IF(AB13=1,INDEX('Curva S'!$C$2:$BJ$301,$I35,AB35),0),0)</f>
        <v>0</v>
      </c>
      <c r="AC87" s="79" cm="1">
        <f t="array" ref="AC87">IFERROR(IF(AC13=1,INDEX('Curva S'!$C$2:$BJ$301,$I35,AC35),0),0)</f>
        <v>0</v>
      </c>
      <c r="AD87" s="79" cm="1">
        <f t="array" ref="AD87">IFERROR(IF(AD13=1,INDEX('Curva S'!$C$2:$BJ$301,$I35,AD35),0),0)</f>
        <v>0</v>
      </c>
      <c r="AE87" s="79" cm="1">
        <f t="array" ref="AE87">IFERROR(IF(AE13=1,INDEX('Curva S'!$C$2:$BJ$301,$I35,AE35),0),0)</f>
        <v>0</v>
      </c>
      <c r="AF87" s="79" cm="1">
        <f t="array" ref="AF87">IFERROR(IF(AF13=1,INDEX('Curva S'!$C$2:$BJ$301,$I35,AF35),0),0)</f>
        <v>0</v>
      </c>
      <c r="AG87" s="79" cm="1">
        <f t="array" ref="AG87">IFERROR(IF(AG13=1,INDEX('Curva S'!$C$2:$BJ$301,$I35,AG35),0),0)</f>
        <v>0</v>
      </c>
      <c r="AH87" s="79" cm="1">
        <f t="array" ref="AH87">IFERROR(IF(AH13=1,INDEX('Curva S'!$C$2:$BJ$301,$I35,AH35),0),0)</f>
        <v>0</v>
      </c>
      <c r="AI87" s="79" cm="1">
        <f t="array" ref="AI87">IFERROR(IF(AI13=1,INDEX('Curva S'!$C$2:$BJ$301,$I35,AI35),0),0)</f>
        <v>0</v>
      </c>
      <c r="AJ87" s="79" cm="1">
        <f t="array" ref="AJ87">IFERROR(IF(AJ13=1,INDEX('Curva S'!$C$2:$BJ$301,$I35,AJ35),0),0)</f>
        <v>0</v>
      </c>
      <c r="AK87" s="79" cm="1">
        <f t="array" ref="AK87">IFERROR(IF(AK13=1,INDEX('Curva S'!$C$2:$BJ$301,$I35,AK35),0),0)</f>
        <v>0</v>
      </c>
      <c r="AL87" s="79" cm="1">
        <f t="array" ref="AL87">IFERROR(IF(AL13=1,INDEX('Curva S'!$C$2:$BJ$301,$I35,AL35),0),0)</f>
        <v>0</v>
      </c>
      <c r="AM87" s="79" cm="1">
        <f t="array" ref="AM87">IFERROR(IF(AM13=1,INDEX('Curva S'!$C$2:$BJ$301,$I35,AM35),0),0)</f>
        <v>0</v>
      </c>
      <c r="AN87" s="79" cm="1">
        <f t="array" ref="AN87">IFERROR(IF(AN13=1,INDEX('Curva S'!$C$2:$BJ$301,$I35,AN35),0),0)</f>
        <v>0</v>
      </c>
      <c r="AO87" s="79" cm="1">
        <f t="array" ref="AO87">IFERROR(IF(AO13=1,INDEX('Curva S'!$C$2:$BJ$301,$I35,AO35),0),0)</f>
        <v>0</v>
      </c>
      <c r="AP87" s="79" cm="1">
        <f t="array" ref="AP87">IFERROR(IF(AP13=1,INDEX('Curva S'!$C$2:$BJ$301,$I35,AP35),0),0)</f>
        <v>0</v>
      </c>
      <c r="AQ87" s="79" cm="1">
        <f t="array" ref="AQ87">IFERROR(IF(AQ13=1,INDEX('Curva S'!$C$2:$BJ$301,$I35,AQ35),0),0)</f>
        <v>0</v>
      </c>
      <c r="AR87" s="79" cm="1">
        <f t="array" ref="AR87">IFERROR(IF(AR13=1,INDEX('Curva S'!$C$2:$BJ$301,$I35,AR35),0),0)</f>
        <v>0</v>
      </c>
      <c r="AS87" s="79" cm="1">
        <f t="array" ref="AS87">IFERROR(IF(AS13=1,INDEX('Curva S'!$C$2:$BJ$301,$I35,AS35),0),0)</f>
        <v>0</v>
      </c>
      <c r="AT87" s="79" cm="1">
        <f t="array" ref="AT87">IFERROR(IF(AT13=1,INDEX('Curva S'!$C$2:$BJ$301,$I35,AT35),0),0)</f>
        <v>0</v>
      </c>
      <c r="AU87" s="79" cm="1">
        <f t="array" ref="AU87">IFERROR(IF(AU13=1,INDEX('Curva S'!$C$2:$BJ$301,$I35,AU35),0),0)</f>
        <v>0</v>
      </c>
      <c r="AV87" s="79" cm="1">
        <f t="array" ref="AV87">IFERROR(IF(AV13=1,INDEX('Curva S'!$C$2:$BJ$301,$I35,AV35),0),0)</f>
        <v>0</v>
      </c>
      <c r="AW87" s="79" cm="1">
        <f t="array" ref="AW87">IFERROR(IF(AW13=1,INDEX('Curva S'!$C$2:$BJ$301,$I35,AW35),0),0)</f>
        <v>0</v>
      </c>
      <c r="AX87" s="79" cm="1">
        <f t="array" ref="AX87">IFERROR(IF(AX13=1,INDEX('Curva S'!$C$2:$BJ$301,$I35,AX35),0),0)</f>
        <v>0</v>
      </c>
      <c r="AY87" s="79" cm="1">
        <f t="array" ref="AY87">IFERROR(IF(AY13=1,INDEX('Curva S'!$C$2:$BJ$301,$I35,AY35),0),0)</f>
        <v>0</v>
      </c>
      <c r="AZ87" s="79" cm="1">
        <f t="array" ref="AZ87">IFERROR(IF(AZ13=1,INDEX('Curva S'!$C$2:$BJ$301,$I35,AZ35),0),0)</f>
        <v>0</v>
      </c>
      <c r="BA87" s="79" cm="1">
        <f t="array" ref="BA87">IFERROR(IF(BA13=1,INDEX('Curva S'!$C$2:$BJ$301,$I35,BA35),0),0)</f>
        <v>0</v>
      </c>
      <c r="BB87" s="79" cm="1">
        <f t="array" ref="BB87">IFERROR(IF(BB13=1,INDEX('Curva S'!$C$2:$BJ$301,$I35,BB35),0),0)</f>
        <v>0</v>
      </c>
      <c r="BC87" s="79" cm="1">
        <f t="array" ref="BC87">IFERROR(IF(BC13=1,INDEX('Curva S'!$C$2:$BJ$301,$I35,BC35),0),0)</f>
        <v>0</v>
      </c>
      <c r="BD87" s="79" cm="1">
        <f t="array" ref="BD87">IFERROR(IF(BD13=1,INDEX('Curva S'!$C$2:$BJ$301,$I35,BD35),0),0)</f>
        <v>0</v>
      </c>
      <c r="BE87" s="79" cm="1">
        <f t="array" ref="BE87">IFERROR(IF(BE13=1,INDEX('Curva S'!$C$2:$BJ$301,$I35,BE35),0),0)</f>
        <v>0</v>
      </c>
      <c r="BF87" s="79" cm="1">
        <f t="array" ref="BF87">IFERROR(IF(BF13=1,INDEX('Curva S'!$C$2:$BJ$301,$I35,BF35),0),0)</f>
        <v>0</v>
      </c>
      <c r="BG87" s="79" cm="1">
        <f t="array" ref="BG87">IFERROR(IF(BG13=1,INDEX('Curva S'!$C$2:$BJ$301,$I35,BG35),0),0)</f>
        <v>0</v>
      </c>
      <c r="BH87" s="79" cm="1">
        <f t="array" ref="BH87">IFERROR(IF(BH13=1,INDEX('Curva S'!$C$2:$BJ$301,$I35,BH35),0),0)</f>
        <v>0</v>
      </c>
      <c r="BI87" s="79" cm="1">
        <f t="array" ref="BI87">IFERROR(IF(BI13=1,INDEX('Curva S'!$C$2:$BJ$301,$I35,BI35),0),0)</f>
        <v>0</v>
      </c>
      <c r="BJ87" s="79" cm="1">
        <f t="array" ref="BJ87">IFERROR(IF(BJ13=1,INDEX('Curva S'!$C$2:$BJ$301,$I35,BJ35),0),0)</f>
        <v>0</v>
      </c>
      <c r="BK87" s="79" cm="1">
        <f t="array" ref="BK87">IFERROR(IF(BK13=1,INDEX('Curva S'!$C$2:$BJ$301,$I35,BK35),0),0)</f>
        <v>0</v>
      </c>
      <c r="BL87" s="79" cm="1">
        <f t="array" ref="BL87">IFERROR(IF(BL13=1,INDEX('Curva S'!$C$2:$BJ$301,$I35,BL35),0),0)</f>
        <v>0</v>
      </c>
      <c r="BM87" s="79" cm="1">
        <f t="array" ref="BM87">IFERROR(IF(BM13=1,INDEX('Curva S'!$C$2:$BJ$301,$I35,BM35),0),0)</f>
        <v>0</v>
      </c>
      <c r="BN87" s="79" cm="1">
        <f t="array" ref="BN87">IFERROR(IF(BN13=1,INDEX('Curva S'!$C$2:$BJ$301,$I35,BN35),0),0)</f>
        <v>0</v>
      </c>
      <c r="BO87" s="79" cm="1">
        <f t="array" ref="BO87">IFERROR(IF(BO13=1,INDEX('Curva S'!$C$2:$BJ$301,$I35,BO35),0),0)</f>
        <v>0</v>
      </c>
      <c r="BP87" s="79" cm="1">
        <f t="array" ref="BP87">IFERROR(IF(BP13=1,INDEX('Curva S'!$C$2:$BJ$301,$I35,BP35),0),0)</f>
        <v>0</v>
      </c>
      <c r="BQ87" s="79" cm="1">
        <f t="array" ref="BQ87">IFERROR(IF(BQ13=1,INDEX('Curva S'!$C$2:$BJ$301,$I35,BQ35),0),0)</f>
        <v>0</v>
      </c>
      <c r="BR87" s="79" cm="1">
        <f t="array" ref="BR87">IFERROR(IF(BR13=1,INDEX('Curva S'!$C$2:$BJ$301,$I35,BR35),0),0)</f>
        <v>0</v>
      </c>
    </row>
    <row r="88" spans="4:70" ht="12" hidden="1" customHeight="1" outlineLevel="1">
      <c r="D88" s="621"/>
      <c r="E88" s="65"/>
      <c r="F88" s="143" t="str">
        <f t="shared" si="66"/>
        <v>Equipe_12</v>
      </c>
      <c r="G88" s="143" t="str">
        <f t="shared" si="65"/>
        <v>Equipe12</v>
      </c>
      <c r="H88" s="79">
        <f t="shared" si="64"/>
        <v>0.99999999999999989</v>
      </c>
      <c r="I88" s="107" t="s">
        <v>371</v>
      </c>
      <c r="J88" s="65"/>
      <c r="K88" s="79" cm="1">
        <f t="array" ref="K88">IFERROR(IF(K14=1,INDEX('Curva S'!$C$2:$BJ$301,$I36,K36),0),0)</f>
        <v>0.1</v>
      </c>
      <c r="L88" s="79" cm="1">
        <f t="array" ref="L88">IFERROR(IF(L14=1,INDEX('Curva S'!$C$2:$BJ$301,$I36,L36),0),0)</f>
        <v>0.1</v>
      </c>
      <c r="M88" s="79" cm="1">
        <f t="array" ref="M88">IFERROR(IF(M14=1,INDEX('Curva S'!$C$2:$BJ$301,$I36,M36),0),0)</f>
        <v>0.1</v>
      </c>
      <c r="N88" s="79" cm="1">
        <f t="array" ref="N88">IFERROR(IF(N14=1,INDEX('Curva S'!$C$2:$BJ$301,$I36,N36),0),0)</f>
        <v>0.1</v>
      </c>
      <c r="O88" s="79" cm="1">
        <f t="array" ref="O88">IFERROR(IF(O14=1,INDEX('Curva S'!$C$2:$BJ$301,$I36,O36),0),0)</f>
        <v>0.1</v>
      </c>
      <c r="P88" s="79" cm="1">
        <f t="array" ref="P88">IFERROR(IF(P14=1,INDEX('Curva S'!$C$2:$BJ$301,$I36,P36),0),0)</f>
        <v>0.1</v>
      </c>
      <c r="Q88" s="79" cm="1">
        <f t="array" ref="Q88">IFERROR(IF(Q14=1,INDEX('Curva S'!$C$2:$BJ$301,$I36,Q36),0),0)</f>
        <v>0.1</v>
      </c>
      <c r="R88" s="79" cm="1">
        <f t="array" ref="R88">IFERROR(IF(R14=1,INDEX('Curva S'!$C$2:$BJ$301,$I36,R36),0),0)</f>
        <v>0.1</v>
      </c>
      <c r="S88" s="79" cm="1">
        <f t="array" ref="S88">IFERROR(IF(S14=1,INDEX('Curva S'!$C$2:$BJ$301,$I36,S36),0),0)</f>
        <v>0.1</v>
      </c>
      <c r="T88" s="79" cm="1">
        <f t="array" ref="T88">IFERROR(IF(T14=1,INDEX('Curva S'!$C$2:$BJ$301,$I36,T36),0),0)</f>
        <v>0.1</v>
      </c>
      <c r="U88" s="79" cm="1">
        <f t="array" ref="U88">IFERROR(IF(U14=1,INDEX('Curva S'!$C$2:$BJ$301,$I36,U36),0),0)</f>
        <v>0</v>
      </c>
      <c r="V88" s="79" cm="1">
        <f t="array" ref="V88">IFERROR(IF(V14=1,INDEX('Curva S'!$C$2:$BJ$301,$I36,V36),0),0)</f>
        <v>0</v>
      </c>
      <c r="W88" s="79" cm="1">
        <f t="array" ref="W88">IFERROR(IF(W14=1,INDEX('Curva S'!$C$2:$BJ$301,$I36,W36),0),0)</f>
        <v>0</v>
      </c>
      <c r="X88" s="79" cm="1">
        <f t="array" ref="X88">IFERROR(IF(X14=1,INDEX('Curva S'!$C$2:$BJ$301,$I36,X36),0),0)</f>
        <v>0</v>
      </c>
      <c r="Y88" s="79" cm="1">
        <f t="array" ref="Y88">IFERROR(IF(Y14=1,INDEX('Curva S'!$C$2:$BJ$301,$I36,Y36),0),0)</f>
        <v>0</v>
      </c>
      <c r="Z88" s="79" cm="1">
        <f t="array" ref="Z88">IFERROR(IF(Z14=1,INDEX('Curva S'!$C$2:$BJ$301,$I36,Z36),0),0)</f>
        <v>0</v>
      </c>
      <c r="AA88" s="79" cm="1">
        <f t="array" ref="AA88">IFERROR(IF(AA14=1,INDEX('Curva S'!$C$2:$BJ$301,$I36,AA36),0),0)</f>
        <v>0</v>
      </c>
      <c r="AB88" s="79" cm="1">
        <f t="array" ref="AB88">IFERROR(IF(AB14=1,INDEX('Curva S'!$C$2:$BJ$301,$I36,AB36),0),0)</f>
        <v>0</v>
      </c>
      <c r="AC88" s="79" cm="1">
        <f t="array" ref="AC88">IFERROR(IF(AC14=1,INDEX('Curva S'!$C$2:$BJ$301,$I36,AC36),0),0)</f>
        <v>0</v>
      </c>
      <c r="AD88" s="79" cm="1">
        <f t="array" ref="AD88">IFERROR(IF(AD14=1,INDEX('Curva S'!$C$2:$BJ$301,$I36,AD36),0),0)</f>
        <v>0</v>
      </c>
      <c r="AE88" s="79" cm="1">
        <f t="array" ref="AE88">IFERROR(IF(AE14=1,INDEX('Curva S'!$C$2:$BJ$301,$I36,AE36),0),0)</f>
        <v>0</v>
      </c>
      <c r="AF88" s="79" cm="1">
        <f t="array" ref="AF88">IFERROR(IF(AF14=1,INDEX('Curva S'!$C$2:$BJ$301,$I36,AF36),0),0)</f>
        <v>0</v>
      </c>
      <c r="AG88" s="79" cm="1">
        <f t="array" ref="AG88">IFERROR(IF(AG14=1,INDEX('Curva S'!$C$2:$BJ$301,$I36,AG36),0),0)</f>
        <v>0</v>
      </c>
      <c r="AH88" s="79" cm="1">
        <f t="array" ref="AH88">IFERROR(IF(AH14=1,INDEX('Curva S'!$C$2:$BJ$301,$I36,AH36),0),0)</f>
        <v>0</v>
      </c>
      <c r="AI88" s="79" cm="1">
        <f t="array" ref="AI88">IFERROR(IF(AI14=1,INDEX('Curva S'!$C$2:$BJ$301,$I36,AI36),0),0)</f>
        <v>0</v>
      </c>
      <c r="AJ88" s="79" cm="1">
        <f t="array" ref="AJ88">IFERROR(IF(AJ14=1,INDEX('Curva S'!$C$2:$BJ$301,$I36,AJ36),0),0)</f>
        <v>0</v>
      </c>
      <c r="AK88" s="79" cm="1">
        <f t="array" ref="AK88">IFERROR(IF(AK14=1,INDEX('Curva S'!$C$2:$BJ$301,$I36,AK36),0),0)</f>
        <v>0</v>
      </c>
      <c r="AL88" s="79" cm="1">
        <f t="array" ref="AL88">IFERROR(IF(AL14=1,INDEX('Curva S'!$C$2:$BJ$301,$I36,AL36),0),0)</f>
        <v>0</v>
      </c>
      <c r="AM88" s="79" cm="1">
        <f t="array" ref="AM88">IFERROR(IF(AM14=1,INDEX('Curva S'!$C$2:$BJ$301,$I36,AM36),0),0)</f>
        <v>0</v>
      </c>
      <c r="AN88" s="79" cm="1">
        <f t="array" ref="AN88">IFERROR(IF(AN14=1,INDEX('Curva S'!$C$2:$BJ$301,$I36,AN36),0),0)</f>
        <v>0</v>
      </c>
      <c r="AO88" s="79" cm="1">
        <f t="array" ref="AO88">IFERROR(IF(AO14=1,INDEX('Curva S'!$C$2:$BJ$301,$I36,AO36),0),0)</f>
        <v>0</v>
      </c>
      <c r="AP88" s="79" cm="1">
        <f t="array" ref="AP88">IFERROR(IF(AP14=1,INDEX('Curva S'!$C$2:$BJ$301,$I36,AP36),0),0)</f>
        <v>0</v>
      </c>
      <c r="AQ88" s="79" cm="1">
        <f t="array" ref="AQ88">IFERROR(IF(AQ14=1,INDEX('Curva S'!$C$2:$BJ$301,$I36,AQ36),0),0)</f>
        <v>0</v>
      </c>
      <c r="AR88" s="79" cm="1">
        <f t="array" ref="AR88">IFERROR(IF(AR14=1,INDEX('Curva S'!$C$2:$BJ$301,$I36,AR36),0),0)</f>
        <v>0</v>
      </c>
      <c r="AS88" s="79" cm="1">
        <f t="array" ref="AS88">IFERROR(IF(AS14=1,INDEX('Curva S'!$C$2:$BJ$301,$I36,AS36),0),0)</f>
        <v>0</v>
      </c>
      <c r="AT88" s="79" cm="1">
        <f t="array" ref="AT88">IFERROR(IF(AT14=1,INDEX('Curva S'!$C$2:$BJ$301,$I36,AT36),0),0)</f>
        <v>0</v>
      </c>
      <c r="AU88" s="79" cm="1">
        <f t="array" ref="AU88">IFERROR(IF(AU14=1,INDEX('Curva S'!$C$2:$BJ$301,$I36,AU36),0),0)</f>
        <v>0</v>
      </c>
      <c r="AV88" s="79" cm="1">
        <f t="array" ref="AV88">IFERROR(IF(AV14=1,INDEX('Curva S'!$C$2:$BJ$301,$I36,AV36),0),0)</f>
        <v>0</v>
      </c>
      <c r="AW88" s="79" cm="1">
        <f t="array" ref="AW88">IFERROR(IF(AW14=1,INDEX('Curva S'!$C$2:$BJ$301,$I36,AW36),0),0)</f>
        <v>0</v>
      </c>
      <c r="AX88" s="79" cm="1">
        <f t="array" ref="AX88">IFERROR(IF(AX14=1,INDEX('Curva S'!$C$2:$BJ$301,$I36,AX36),0),0)</f>
        <v>0</v>
      </c>
      <c r="AY88" s="79" cm="1">
        <f t="array" ref="AY88">IFERROR(IF(AY14=1,INDEX('Curva S'!$C$2:$BJ$301,$I36,AY36),0),0)</f>
        <v>0</v>
      </c>
      <c r="AZ88" s="79" cm="1">
        <f t="array" ref="AZ88">IFERROR(IF(AZ14=1,INDEX('Curva S'!$C$2:$BJ$301,$I36,AZ36),0),0)</f>
        <v>0</v>
      </c>
      <c r="BA88" s="79" cm="1">
        <f t="array" ref="BA88">IFERROR(IF(BA14=1,INDEX('Curva S'!$C$2:$BJ$301,$I36,BA36),0),0)</f>
        <v>0</v>
      </c>
      <c r="BB88" s="79" cm="1">
        <f t="array" ref="BB88">IFERROR(IF(BB14=1,INDEX('Curva S'!$C$2:$BJ$301,$I36,BB36),0),0)</f>
        <v>0</v>
      </c>
      <c r="BC88" s="79" cm="1">
        <f t="array" ref="BC88">IFERROR(IF(BC14=1,INDEX('Curva S'!$C$2:$BJ$301,$I36,BC36),0),0)</f>
        <v>0</v>
      </c>
      <c r="BD88" s="79" cm="1">
        <f t="array" ref="BD88">IFERROR(IF(BD14=1,INDEX('Curva S'!$C$2:$BJ$301,$I36,BD36),0),0)</f>
        <v>0</v>
      </c>
      <c r="BE88" s="79" cm="1">
        <f t="array" ref="BE88">IFERROR(IF(BE14=1,INDEX('Curva S'!$C$2:$BJ$301,$I36,BE36),0),0)</f>
        <v>0</v>
      </c>
      <c r="BF88" s="79" cm="1">
        <f t="array" ref="BF88">IFERROR(IF(BF14=1,INDEX('Curva S'!$C$2:$BJ$301,$I36,BF36),0),0)</f>
        <v>0</v>
      </c>
      <c r="BG88" s="79" cm="1">
        <f t="array" ref="BG88">IFERROR(IF(BG14=1,INDEX('Curva S'!$C$2:$BJ$301,$I36,BG36),0),0)</f>
        <v>0</v>
      </c>
      <c r="BH88" s="79" cm="1">
        <f t="array" ref="BH88">IFERROR(IF(BH14=1,INDEX('Curva S'!$C$2:$BJ$301,$I36,BH36),0),0)</f>
        <v>0</v>
      </c>
      <c r="BI88" s="79" cm="1">
        <f t="array" ref="BI88">IFERROR(IF(BI14=1,INDEX('Curva S'!$C$2:$BJ$301,$I36,BI36),0),0)</f>
        <v>0</v>
      </c>
      <c r="BJ88" s="79" cm="1">
        <f t="array" ref="BJ88">IFERROR(IF(BJ14=1,INDEX('Curva S'!$C$2:$BJ$301,$I36,BJ36),0),0)</f>
        <v>0</v>
      </c>
      <c r="BK88" s="79" cm="1">
        <f t="array" ref="BK88">IFERROR(IF(BK14=1,INDEX('Curva S'!$C$2:$BJ$301,$I36,BK36),0),0)</f>
        <v>0</v>
      </c>
      <c r="BL88" s="79" cm="1">
        <f t="array" ref="BL88">IFERROR(IF(BL14=1,INDEX('Curva S'!$C$2:$BJ$301,$I36,BL36),0),0)</f>
        <v>0</v>
      </c>
      <c r="BM88" s="79" cm="1">
        <f t="array" ref="BM88">IFERROR(IF(BM14=1,INDEX('Curva S'!$C$2:$BJ$301,$I36,BM36),0),0)</f>
        <v>0</v>
      </c>
      <c r="BN88" s="79" cm="1">
        <f t="array" ref="BN88">IFERROR(IF(BN14=1,INDEX('Curva S'!$C$2:$BJ$301,$I36,BN36),0),0)</f>
        <v>0</v>
      </c>
      <c r="BO88" s="79" cm="1">
        <f t="array" ref="BO88">IFERROR(IF(BO14=1,INDEX('Curva S'!$C$2:$BJ$301,$I36,BO36),0),0)</f>
        <v>0</v>
      </c>
      <c r="BP88" s="79" cm="1">
        <f t="array" ref="BP88">IFERROR(IF(BP14=1,INDEX('Curva S'!$C$2:$BJ$301,$I36,BP36),0),0)</f>
        <v>0</v>
      </c>
      <c r="BQ88" s="79" cm="1">
        <f t="array" ref="BQ88">IFERROR(IF(BQ14=1,INDEX('Curva S'!$C$2:$BJ$301,$I36,BQ36),0),0)</f>
        <v>0</v>
      </c>
      <c r="BR88" s="79" cm="1">
        <f t="array" ref="BR88">IFERROR(IF(BR14=1,INDEX('Curva S'!$C$2:$BJ$301,$I36,BR36),0),0)</f>
        <v>0</v>
      </c>
    </row>
    <row r="89" spans="4:70" ht="12" hidden="1" customHeight="1" outlineLevel="1">
      <c r="D89" s="621"/>
      <c r="E89" s="65"/>
      <c r="F89" s="143" t="str">
        <f t="shared" si="66"/>
        <v>Equipe_13</v>
      </c>
      <c r="G89" s="143" t="str">
        <f t="shared" si="65"/>
        <v>Equipe13</v>
      </c>
      <c r="H89" s="79">
        <f t="shared" si="64"/>
        <v>0.99999999999999989</v>
      </c>
      <c r="I89" s="107" t="s">
        <v>371</v>
      </c>
      <c r="J89" s="65"/>
      <c r="K89" s="79" cm="1">
        <f t="array" ref="K89">IFERROR(IF(K15=1,INDEX('Curva S'!$C$2:$BJ$301,$I37,K37),0),0)</f>
        <v>0.1</v>
      </c>
      <c r="L89" s="79" cm="1">
        <f t="array" ref="L89">IFERROR(IF(L15=1,INDEX('Curva S'!$C$2:$BJ$301,$I37,L37),0),0)</f>
        <v>0.1</v>
      </c>
      <c r="M89" s="79" cm="1">
        <f t="array" ref="M89">IFERROR(IF(M15=1,INDEX('Curva S'!$C$2:$BJ$301,$I37,M37),0),0)</f>
        <v>0.1</v>
      </c>
      <c r="N89" s="79" cm="1">
        <f t="array" ref="N89">IFERROR(IF(N15=1,INDEX('Curva S'!$C$2:$BJ$301,$I37,N37),0),0)</f>
        <v>0.1</v>
      </c>
      <c r="O89" s="79" cm="1">
        <f t="array" ref="O89">IFERROR(IF(O15=1,INDEX('Curva S'!$C$2:$BJ$301,$I37,O37),0),0)</f>
        <v>0.1</v>
      </c>
      <c r="P89" s="79" cm="1">
        <f t="array" ref="P89">IFERROR(IF(P15=1,INDEX('Curva S'!$C$2:$BJ$301,$I37,P37),0),0)</f>
        <v>0.1</v>
      </c>
      <c r="Q89" s="79" cm="1">
        <f t="array" ref="Q89">IFERROR(IF(Q15=1,INDEX('Curva S'!$C$2:$BJ$301,$I37,Q37),0),0)</f>
        <v>0.1</v>
      </c>
      <c r="R89" s="79" cm="1">
        <f t="array" ref="R89">IFERROR(IF(R15=1,INDEX('Curva S'!$C$2:$BJ$301,$I37,R37),0),0)</f>
        <v>0.1</v>
      </c>
      <c r="S89" s="79" cm="1">
        <f t="array" ref="S89">IFERROR(IF(S15=1,INDEX('Curva S'!$C$2:$BJ$301,$I37,S37),0),0)</f>
        <v>0.1</v>
      </c>
      <c r="T89" s="79" cm="1">
        <f t="array" ref="T89">IFERROR(IF(T15=1,INDEX('Curva S'!$C$2:$BJ$301,$I37,T37),0),0)</f>
        <v>0.1</v>
      </c>
      <c r="U89" s="79" cm="1">
        <f t="array" ref="U89">IFERROR(IF(U15=1,INDEX('Curva S'!$C$2:$BJ$301,$I37,U37),0),0)</f>
        <v>0</v>
      </c>
      <c r="V89" s="79" cm="1">
        <f t="array" ref="V89">IFERROR(IF(V15=1,INDEX('Curva S'!$C$2:$BJ$301,$I37,V37),0),0)</f>
        <v>0</v>
      </c>
      <c r="W89" s="79" cm="1">
        <f t="array" ref="W89">IFERROR(IF(W15=1,INDEX('Curva S'!$C$2:$BJ$301,$I37,W37),0),0)</f>
        <v>0</v>
      </c>
      <c r="X89" s="79" cm="1">
        <f t="array" ref="X89">IFERROR(IF(X15=1,INDEX('Curva S'!$C$2:$BJ$301,$I37,X37),0),0)</f>
        <v>0</v>
      </c>
      <c r="Y89" s="79" cm="1">
        <f t="array" ref="Y89">IFERROR(IF(Y15=1,INDEX('Curva S'!$C$2:$BJ$301,$I37,Y37),0),0)</f>
        <v>0</v>
      </c>
      <c r="Z89" s="79" cm="1">
        <f t="array" ref="Z89">IFERROR(IF(Z15=1,INDEX('Curva S'!$C$2:$BJ$301,$I37,Z37),0),0)</f>
        <v>0</v>
      </c>
      <c r="AA89" s="79" cm="1">
        <f t="array" ref="AA89">IFERROR(IF(AA15=1,INDEX('Curva S'!$C$2:$BJ$301,$I37,AA37),0),0)</f>
        <v>0</v>
      </c>
      <c r="AB89" s="79" cm="1">
        <f t="array" ref="AB89">IFERROR(IF(AB15=1,INDEX('Curva S'!$C$2:$BJ$301,$I37,AB37),0),0)</f>
        <v>0</v>
      </c>
      <c r="AC89" s="79" cm="1">
        <f t="array" ref="AC89">IFERROR(IF(AC15=1,INDEX('Curva S'!$C$2:$BJ$301,$I37,AC37),0),0)</f>
        <v>0</v>
      </c>
      <c r="AD89" s="79" cm="1">
        <f t="array" ref="AD89">IFERROR(IF(AD15=1,INDEX('Curva S'!$C$2:$BJ$301,$I37,AD37),0),0)</f>
        <v>0</v>
      </c>
      <c r="AE89" s="79" cm="1">
        <f t="array" ref="AE89">IFERROR(IF(AE15=1,INDEX('Curva S'!$C$2:$BJ$301,$I37,AE37),0),0)</f>
        <v>0</v>
      </c>
      <c r="AF89" s="79" cm="1">
        <f t="array" ref="AF89">IFERROR(IF(AF15=1,INDEX('Curva S'!$C$2:$BJ$301,$I37,AF37),0),0)</f>
        <v>0</v>
      </c>
      <c r="AG89" s="79" cm="1">
        <f t="array" ref="AG89">IFERROR(IF(AG15=1,INDEX('Curva S'!$C$2:$BJ$301,$I37,AG37),0),0)</f>
        <v>0</v>
      </c>
      <c r="AH89" s="79" cm="1">
        <f t="array" ref="AH89">IFERROR(IF(AH15=1,INDEX('Curva S'!$C$2:$BJ$301,$I37,AH37),0),0)</f>
        <v>0</v>
      </c>
      <c r="AI89" s="79" cm="1">
        <f t="array" ref="AI89">IFERROR(IF(AI15=1,INDEX('Curva S'!$C$2:$BJ$301,$I37,AI37),0),0)</f>
        <v>0</v>
      </c>
      <c r="AJ89" s="79" cm="1">
        <f t="array" ref="AJ89">IFERROR(IF(AJ15=1,INDEX('Curva S'!$C$2:$BJ$301,$I37,AJ37),0),0)</f>
        <v>0</v>
      </c>
      <c r="AK89" s="79" cm="1">
        <f t="array" ref="AK89">IFERROR(IF(AK15=1,INDEX('Curva S'!$C$2:$BJ$301,$I37,AK37),0),0)</f>
        <v>0</v>
      </c>
      <c r="AL89" s="79" cm="1">
        <f t="array" ref="AL89">IFERROR(IF(AL15=1,INDEX('Curva S'!$C$2:$BJ$301,$I37,AL37),0),0)</f>
        <v>0</v>
      </c>
      <c r="AM89" s="79" cm="1">
        <f t="array" ref="AM89">IFERROR(IF(AM15=1,INDEX('Curva S'!$C$2:$BJ$301,$I37,AM37),0),0)</f>
        <v>0</v>
      </c>
      <c r="AN89" s="79" cm="1">
        <f t="array" ref="AN89">IFERROR(IF(AN15=1,INDEX('Curva S'!$C$2:$BJ$301,$I37,AN37),0),0)</f>
        <v>0</v>
      </c>
      <c r="AO89" s="79" cm="1">
        <f t="array" ref="AO89">IFERROR(IF(AO15=1,INDEX('Curva S'!$C$2:$BJ$301,$I37,AO37),0),0)</f>
        <v>0</v>
      </c>
      <c r="AP89" s="79" cm="1">
        <f t="array" ref="AP89">IFERROR(IF(AP15=1,INDEX('Curva S'!$C$2:$BJ$301,$I37,AP37),0),0)</f>
        <v>0</v>
      </c>
      <c r="AQ89" s="79" cm="1">
        <f t="array" ref="AQ89">IFERROR(IF(AQ15=1,INDEX('Curva S'!$C$2:$BJ$301,$I37,AQ37),0),0)</f>
        <v>0</v>
      </c>
      <c r="AR89" s="79" cm="1">
        <f t="array" ref="AR89">IFERROR(IF(AR15=1,INDEX('Curva S'!$C$2:$BJ$301,$I37,AR37),0),0)</f>
        <v>0</v>
      </c>
      <c r="AS89" s="79" cm="1">
        <f t="array" ref="AS89">IFERROR(IF(AS15=1,INDEX('Curva S'!$C$2:$BJ$301,$I37,AS37),0),0)</f>
        <v>0</v>
      </c>
      <c r="AT89" s="79" cm="1">
        <f t="array" ref="AT89">IFERROR(IF(AT15=1,INDEX('Curva S'!$C$2:$BJ$301,$I37,AT37),0),0)</f>
        <v>0</v>
      </c>
      <c r="AU89" s="79" cm="1">
        <f t="array" ref="AU89">IFERROR(IF(AU15=1,INDEX('Curva S'!$C$2:$BJ$301,$I37,AU37),0),0)</f>
        <v>0</v>
      </c>
      <c r="AV89" s="79" cm="1">
        <f t="array" ref="AV89">IFERROR(IF(AV15=1,INDEX('Curva S'!$C$2:$BJ$301,$I37,AV37),0),0)</f>
        <v>0</v>
      </c>
      <c r="AW89" s="79" cm="1">
        <f t="array" ref="AW89">IFERROR(IF(AW15=1,INDEX('Curva S'!$C$2:$BJ$301,$I37,AW37),0),0)</f>
        <v>0</v>
      </c>
      <c r="AX89" s="79" cm="1">
        <f t="array" ref="AX89">IFERROR(IF(AX15=1,INDEX('Curva S'!$C$2:$BJ$301,$I37,AX37),0),0)</f>
        <v>0</v>
      </c>
      <c r="AY89" s="79" cm="1">
        <f t="array" ref="AY89">IFERROR(IF(AY15=1,INDEX('Curva S'!$C$2:$BJ$301,$I37,AY37),0),0)</f>
        <v>0</v>
      </c>
      <c r="AZ89" s="79" cm="1">
        <f t="array" ref="AZ89">IFERROR(IF(AZ15=1,INDEX('Curva S'!$C$2:$BJ$301,$I37,AZ37),0),0)</f>
        <v>0</v>
      </c>
      <c r="BA89" s="79" cm="1">
        <f t="array" ref="BA89">IFERROR(IF(BA15=1,INDEX('Curva S'!$C$2:$BJ$301,$I37,BA37),0),0)</f>
        <v>0</v>
      </c>
      <c r="BB89" s="79" cm="1">
        <f t="array" ref="BB89">IFERROR(IF(BB15=1,INDEX('Curva S'!$C$2:$BJ$301,$I37,BB37),0),0)</f>
        <v>0</v>
      </c>
      <c r="BC89" s="79" cm="1">
        <f t="array" ref="BC89">IFERROR(IF(BC15=1,INDEX('Curva S'!$C$2:$BJ$301,$I37,BC37),0),0)</f>
        <v>0</v>
      </c>
      <c r="BD89" s="79" cm="1">
        <f t="array" ref="BD89">IFERROR(IF(BD15=1,INDEX('Curva S'!$C$2:$BJ$301,$I37,BD37),0),0)</f>
        <v>0</v>
      </c>
      <c r="BE89" s="79" cm="1">
        <f t="array" ref="BE89">IFERROR(IF(BE15=1,INDEX('Curva S'!$C$2:$BJ$301,$I37,BE37),0),0)</f>
        <v>0</v>
      </c>
      <c r="BF89" s="79" cm="1">
        <f t="array" ref="BF89">IFERROR(IF(BF15=1,INDEX('Curva S'!$C$2:$BJ$301,$I37,BF37),0),0)</f>
        <v>0</v>
      </c>
      <c r="BG89" s="79" cm="1">
        <f t="array" ref="BG89">IFERROR(IF(BG15=1,INDEX('Curva S'!$C$2:$BJ$301,$I37,BG37),0),0)</f>
        <v>0</v>
      </c>
      <c r="BH89" s="79" cm="1">
        <f t="array" ref="BH89">IFERROR(IF(BH15=1,INDEX('Curva S'!$C$2:$BJ$301,$I37,BH37),0),0)</f>
        <v>0</v>
      </c>
      <c r="BI89" s="79" cm="1">
        <f t="array" ref="BI89">IFERROR(IF(BI15=1,INDEX('Curva S'!$C$2:$BJ$301,$I37,BI37),0),0)</f>
        <v>0</v>
      </c>
      <c r="BJ89" s="79" cm="1">
        <f t="array" ref="BJ89">IFERROR(IF(BJ15=1,INDEX('Curva S'!$C$2:$BJ$301,$I37,BJ37),0),0)</f>
        <v>0</v>
      </c>
      <c r="BK89" s="79" cm="1">
        <f t="array" ref="BK89">IFERROR(IF(BK15=1,INDEX('Curva S'!$C$2:$BJ$301,$I37,BK37),0),0)</f>
        <v>0</v>
      </c>
      <c r="BL89" s="79" cm="1">
        <f t="array" ref="BL89">IFERROR(IF(BL15=1,INDEX('Curva S'!$C$2:$BJ$301,$I37,BL37),0),0)</f>
        <v>0</v>
      </c>
      <c r="BM89" s="79" cm="1">
        <f t="array" ref="BM89">IFERROR(IF(BM15=1,INDEX('Curva S'!$C$2:$BJ$301,$I37,BM37),0),0)</f>
        <v>0</v>
      </c>
      <c r="BN89" s="79" cm="1">
        <f t="array" ref="BN89">IFERROR(IF(BN15=1,INDEX('Curva S'!$C$2:$BJ$301,$I37,BN37),0),0)</f>
        <v>0</v>
      </c>
      <c r="BO89" s="79" cm="1">
        <f t="array" ref="BO89">IFERROR(IF(BO15=1,INDEX('Curva S'!$C$2:$BJ$301,$I37,BO37),0),0)</f>
        <v>0</v>
      </c>
      <c r="BP89" s="79" cm="1">
        <f t="array" ref="BP89">IFERROR(IF(BP15=1,INDEX('Curva S'!$C$2:$BJ$301,$I37,BP37),0),0)</f>
        <v>0</v>
      </c>
      <c r="BQ89" s="79" cm="1">
        <f t="array" ref="BQ89">IFERROR(IF(BQ15=1,INDEX('Curva S'!$C$2:$BJ$301,$I37,BQ37),0),0)</f>
        <v>0</v>
      </c>
      <c r="BR89" s="79" cm="1">
        <f t="array" ref="BR89">IFERROR(IF(BR15=1,INDEX('Curva S'!$C$2:$BJ$301,$I37,BR37),0),0)</f>
        <v>0</v>
      </c>
    </row>
    <row r="90" spans="4:70" ht="12" hidden="1" customHeight="1" outlineLevel="1">
      <c r="D90" s="621"/>
      <c r="E90" s="65"/>
      <c r="F90" s="143" t="str">
        <f t="shared" si="66"/>
        <v>Equipe_14</v>
      </c>
      <c r="G90" s="143" t="str">
        <f t="shared" si="65"/>
        <v>Equipe14</v>
      </c>
      <c r="H90" s="79">
        <f t="shared" si="64"/>
        <v>0.99999999999999989</v>
      </c>
      <c r="I90" s="107" t="s">
        <v>371</v>
      </c>
      <c r="J90" s="65"/>
      <c r="K90" s="79" cm="1">
        <f t="array" ref="K90">IFERROR(IF(K16=1,INDEX('Curva S'!$C$2:$BJ$301,$I38,K38),0),0)</f>
        <v>0.1</v>
      </c>
      <c r="L90" s="79" cm="1">
        <f t="array" ref="L90">IFERROR(IF(L16=1,INDEX('Curva S'!$C$2:$BJ$301,$I38,L38),0),0)</f>
        <v>0.1</v>
      </c>
      <c r="M90" s="79" cm="1">
        <f t="array" ref="M90">IFERROR(IF(M16=1,INDEX('Curva S'!$C$2:$BJ$301,$I38,M38),0),0)</f>
        <v>0.1</v>
      </c>
      <c r="N90" s="79" cm="1">
        <f t="array" ref="N90">IFERROR(IF(N16=1,INDEX('Curva S'!$C$2:$BJ$301,$I38,N38),0),0)</f>
        <v>0.1</v>
      </c>
      <c r="O90" s="79" cm="1">
        <f t="array" ref="O90">IFERROR(IF(O16=1,INDEX('Curva S'!$C$2:$BJ$301,$I38,O38),0),0)</f>
        <v>0.1</v>
      </c>
      <c r="P90" s="79" cm="1">
        <f t="array" ref="P90">IFERROR(IF(P16=1,INDEX('Curva S'!$C$2:$BJ$301,$I38,P38),0),0)</f>
        <v>0.1</v>
      </c>
      <c r="Q90" s="79" cm="1">
        <f t="array" ref="Q90">IFERROR(IF(Q16=1,INDEX('Curva S'!$C$2:$BJ$301,$I38,Q38),0),0)</f>
        <v>0.1</v>
      </c>
      <c r="R90" s="79" cm="1">
        <f t="array" ref="R90">IFERROR(IF(R16=1,INDEX('Curva S'!$C$2:$BJ$301,$I38,R38),0),0)</f>
        <v>0.1</v>
      </c>
      <c r="S90" s="79" cm="1">
        <f t="array" ref="S90">IFERROR(IF(S16=1,INDEX('Curva S'!$C$2:$BJ$301,$I38,S38),0),0)</f>
        <v>0.1</v>
      </c>
      <c r="T90" s="79" cm="1">
        <f t="array" ref="T90">IFERROR(IF(T16=1,INDEX('Curva S'!$C$2:$BJ$301,$I38,T38),0),0)</f>
        <v>0.1</v>
      </c>
      <c r="U90" s="79" cm="1">
        <f t="array" ref="U90">IFERROR(IF(U16=1,INDEX('Curva S'!$C$2:$BJ$301,$I38,U38),0),0)</f>
        <v>0</v>
      </c>
      <c r="V90" s="79" cm="1">
        <f t="array" ref="V90">IFERROR(IF(V16=1,INDEX('Curva S'!$C$2:$BJ$301,$I38,V38),0),0)</f>
        <v>0</v>
      </c>
      <c r="W90" s="79" cm="1">
        <f t="array" ref="W90">IFERROR(IF(W16=1,INDEX('Curva S'!$C$2:$BJ$301,$I38,W38),0),0)</f>
        <v>0</v>
      </c>
      <c r="X90" s="79" cm="1">
        <f t="array" ref="X90">IFERROR(IF(X16=1,INDEX('Curva S'!$C$2:$BJ$301,$I38,X38),0),0)</f>
        <v>0</v>
      </c>
      <c r="Y90" s="79" cm="1">
        <f t="array" ref="Y90">IFERROR(IF(Y16=1,INDEX('Curva S'!$C$2:$BJ$301,$I38,Y38),0),0)</f>
        <v>0</v>
      </c>
      <c r="Z90" s="79" cm="1">
        <f t="array" ref="Z90">IFERROR(IF(Z16=1,INDEX('Curva S'!$C$2:$BJ$301,$I38,Z38),0),0)</f>
        <v>0</v>
      </c>
      <c r="AA90" s="79" cm="1">
        <f t="array" ref="AA90">IFERROR(IF(AA16=1,INDEX('Curva S'!$C$2:$BJ$301,$I38,AA38),0),0)</f>
        <v>0</v>
      </c>
      <c r="AB90" s="79" cm="1">
        <f t="array" ref="AB90">IFERROR(IF(AB16=1,INDEX('Curva S'!$C$2:$BJ$301,$I38,AB38),0),0)</f>
        <v>0</v>
      </c>
      <c r="AC90" s="79" cm="1">
        <f t="array" ref="AC90">IFERROR(IF(AC16=1,INDEX('Curva S'!$C$2:$BJ$301,$I38,AC38),0),0)</f>
        <v>0</v>
      </c>
      <c r="AD90" s="79" cm="1">
        <f t="array" ref="AD90">IFERROR(IF(AD16=1,INDEX('Curva S'!$C$2:$BJ$301,$I38,AD38),0),0)</f>
        <v>0</v>
      </c>
      <c r="AE90" s="79" cm="1">
        <f t="array" ref="AE90">IFERROR(IF(AE16=1,INDEX('Curva S'!$C$2:$BJ$301,$I38,AE38),0),0)</f>
        <v>0</v>
      </c>
      <c r="AF90" s="79" cm="1">
        <f t="array" ref="AF90">IFERROR(IF(AF16=1,INDEX('Curva S'!$C$2:$BJ$301,$I38,AF38),0),0)</f>
        <v>0</v>
      </c>
      <c r="AG90" s="79" cm="1">
        <f t="array" ref="AG90">IFERROR(IF(AG16=1,INDEX('Curva S'!$C$2:$BJ$301,$I38,AG38),0),0)</f>
        <v>0</v>
      </c>
      <c r="AH90" s="79" cm="1">
        <f t="array" ref="AH90">IFERROR(IF(AH16=1,INDEX('Curva S'!$C$2:$BJ$301,$I38,AH38),0),0)</f>
        <v>0</v>
      </c>
      <c r="AI90" s="79" cm="1">
        <f t="array" ref="AI90">IFERROR(IF(AI16=1,INDEX('Curva S'!$C$2:$BJ$301,$I38,AI38),0),0)</f>
        <v>0</v>
      </c>
      <c r="AJ90" s="79" cm="1">
        <f t="array" ref="AJ90">IFERROR(IF(AJ16=1,INDEX('Curva S'!$C$2:$BJ$301,$I38,AJ38),0),0)</f>
        <v>0</v>
      </c>
      <c r="AK90" s="79" cm="1">
        <f t="array" ref="AK90">IFERROR(IF(AK16=1,INDEX('Curva S'!$C$2:$BJ$301,$I38,AK38),0),0)</f>
        <v>0</v>
      </c>
      <c r="AL90" s="79" cm="1">
        <f t="array" ref="AL90">IFERROR(IF(AL16=1,INDEX('Curva S'!$C$2:$BJ$301,$I38,AL38),0),0)</f>
        <v>0</v>
      </c>
      <c r="AM90" s="79" cm="1">
        <f t="array" ref="AM90">IFERROR(IF(AM16=1,INDEX('Curva S'!$C$2:$BJ$301,$I38,AM38),0),0)</f>
        <v>0</v>
      </c>
      <c r="AN90" s="79" cm="1">
        <f t="array" ref="AN90">IFERROR(IF(AN16=1,INDEX('Curva S'!$C$2:$BJ$301,$I38,AN38),0),0)</f>
        <v>0</v>
      </c>
      <c r="AO90" s="79" cm="1">
        <f t="array" ref="AO90">IFERROR(IF(AO16=1,INDEX('Curva S'!$C$2:$BJ$301,$I38,AO38),0),0)</f>
        <v>0</v>
      </c>
      <c r="AP90" s="79" cm="1">
        <f t="array" ref="AP90">IFERROR(IF(AP16=1,INDEX('Curva S'!$C$2:$BJ$301,$I38,AP38),0),0)</f>
        <v>0</v>
      </c>
      <c r="AQ90" s="79" cm="1">
        <f t="array" ref="AQ90">IFERROR(IF(AQ16=1,INDEX('Curva S'!$C$2:$BJ$301,$I38,AQ38),0),0)</f>
        <v>0</v>
      </c>
      <c r="AR90" s="79" cm="1">
        <f t="array" ref="AR90">IFERROR(IF(AR16=1,INDEX('Curva S'!$C$2:$BJ$301,$I38,AR38),0),0)</f>
        <v>0</v>
      </c>
      <c r="AS90" s="79" cm="1">
        <f t="array" ref="AS90">IFERROR(IF(AS16=1,INDEX('Curva S'!$C$2:$BJ$301,$I38,AS38),0),0)</f>
        <v>0</v>
      </c>
      <c r="AT90" s="79" cm="1">
        <f t="array" ref="AT90">IFERROR(IF(AT16=1,INDEX('Curva S'!$C$2:$BJ$301,$I38,AT38),0),0)</f>
        <v>0</v>
      </c>
      <c r="AU90" s="79" cm="1">
        <f t="array" ref="AU90">IFERROR(IF(AU16=1,INDEX('Curva S'!$C$2:$BJ$301,$I38,AU38),0),0)</f>
        <v>0</v>
      </c>
      <c r="AV90" s="79" cm="1">
        <f t="array" ref="AV90">IFERROR(IF(AV16=1,INDEX('Curva S'!$C$2:$BJ$301,$I38,AV38),0),0)</f>
        <v>0</v>
      </c>
      <c r="AW90" s="79" cm="1">
        <f t="array" ref="AW90">IFERROR(IF(AW16=1,INDEX('Curva S'!$C$2:$BJ$301,$I38,AW38),0),0)</f>
        <v>0</v>
      </c>
      <c r="AX90" s="79" cm="1">
        <f t="array" ref="AX90">IFERROR(IF(AX16=1,INDEX('Curva S'!$C$2:$BJ$301,$I38,AX38),0),0)</f>
        <v>0</v>
      </c>
      <c r="AY90" s="79" cm="1">
        <f t="array" ref="AY90">IFERROR(IF(AY16=1,INDEX('Curva S'!$C$2:$BJ$301,$I38,AY38),0),0)</f>
        <v>0</v>
      </c>
      <c r="AZ90" s="79" cm="1">
        <f t="array" ref="AZ90">IFERROR(IF(AZ16=1,INDEX('Curva S'!$C$2:$BJ$301,$I38,AZ38),0),0)</f>
        <v>0</v>
      </c>
      <c r="BA90" s="79" cm="1">
        <f t="array" ref="BA90">IFERROR(IF(BA16=1,INDEX('Curva S'!$C$2:$BJ$301,$I38,BA38),0),0)</f>
        <v>0</v>
      </c>
      <c r="BB90" s="79" cm="1">
        <f t="array" ref="BB90">IFERROR(IF(BB16=1,INDEX('Curva S'!$C$2:$BJ$301,$I38,BB38),0),0)</f>
        <v>0</v>
      </c>
      <c r="BC90" s="79" cm="1">
        <f t="array" ref="BC90">IFERROR(IF(BC16=1,INDEX('Curva S'!$C$2:$BJ$301,$I38,BC38),0),0)</f>
        <v>0</v>
      </c>
      <c r="BD90" s="79" cm="1">
        <f t="array" ref="BD90">IFERROR(IF(BD16=1,INDEX('Curva S'!$C$2:$BJ$301,$I38,BD38),0),0)</f>
        <v>0</v>
      </c>
      <c r="BE90" s="79" cm="1">
        <f t="array" ref="BE90">IFERROR(IF(BE16=1,INDEX('Curva S'!$C$2:$BJ$301,$I38,BE38),0),0)</f>
        <v>0</v>
      </c>
      <c r="BF90" s="79" cm="1">
        <f t="array" ref="BF90">IFERROR(IF(BF16=1,INDEX('Curva S'!$C$2:$BJ$301,$I38,BF38),0),0)</f>
        <v>0</v>
      </c>
      <c r="BG90" s="79" cm="1">
        <f t="array" ref="BG90">IFERROR(IF(BG16=1,INDEX('Curva S'!$C$2:$BJ$301,$I38,BG38),0),0)</f>
        <v>0</v>
      </c>
      <c r="BH90" s="79" cm="1">
        <f t="array" ref="BH90">IFERROR(IF(BH16=1,INDEX('Curva S'!$C$2:$BJ$301,$I38,BH38),0),0)</f>
        <v>0</v>
      </c>
      <c r="BI90" s="79" cm="1">
        <f t="array" ref="BI90">IFERROR(IF(BI16=1,INDEX('Curva S'!$C$2:$BJ$301,$I38,BI38),0),0)</f>
        <v>0</v>
      </c>
      <c r="BJ90" s="79" cm="1">
        <f t="array" ref="BJ90">IFERROR(IF(BJ16=1,INDEX('Curva S'!$C$2:$BJ$301,$I38,BJ38),0),0)</f>
        <v>0</v>
      </c>
      <c r="BK90" s="79" cm="1">
        <f t="array" ref="BK90">IFERROR(IF(BK16=1,INDEX('Curva S'!$C$2:$BJ$301,$I38,BK38),0),0)</f>
        <v>0</v>
      </c>
      <c r="BL90" s="79" cm="1">
        <f t="array" ref="BL90">IFERROR(IF(BL16=1,INDEX('Curva S'!$C$2:$BJ$301,$I38,BL38),0),0)</f>
        <v>0</v>
      </c>
      <c r="BM90" s="79" cm="1">
        <f t="array" ref="BM90">IFERROR(IF(BM16=1,INDEX('Curva S'!$C$2:$BJ$301,$I38,BM38),0),0)</f>
        <v>0</v>
      </c>
      <c r="BN90" s="79" cm="1">
        <f t="array" ref="BN90">IFERROR(IF(BN16=1,INDEX('Curva S'!$C$2:$BJ$301,$I38,BN38),0),0)</f>
        <v>0</v>
      </c>
      <c r="BO90" s="79" cm="1">
        <f t="array" ref="BO90">IFERROR(IF(BO16=1,INDEX('Curva S'!$C$2:$BJ$301,$I38,BO38),0),0)</f>
        <v>0</v>
      </c>
      <c r="BP90" s="79" cm="1">
        <f t="array" ref="BP90">IFERROR(IF(BP16=1,INDEX('Curva S'!$C$2:$BJ$301,$I38,BP38),0),0)</f>
        <v>0</v>
      </c>
      <c r="BQ90" s="79" cm="1">
        <f t="array" ref="BQ90">IFERROR(IF(BQ16=1,INDEX('Curva S'!$C$2:$BJ$301,$I38,BQ38),0),0)</f>
        <v>0</v>
      </c>
      <c r="BR90" s="79" cm="1">
        <f t="array" ref="BR90">IFERROR(IF(BR16=1,INDEX('Curva S'!$C$2:$BJ$301,$I38,BR38),0),0)</f>
        <v>0</v>
      </c>
    </row>
    <row r="91" spans="4:70" ht="12" hidden="1" customHeight="1" outlineLevel="1">
      <c r="D91" s="621"/>
      <c r="E91" s="65"/>
      <c r="F91" s="143" t="str">
        <f t="shared" si="66"/>
        <v>Equipe_15</v>
      </c>
      <c r="G91" s="143" t="str">
        <f t="shared" si="65"/>
        <v>Equipe15</v>
      </c>
      <c r="H91" s="79">
        <f t="shared" si="64"/>
        <v>0.99999999999999989</v>
      </c>
      <c r="I91" s="107" t="s">
        <v>371</v>
      </c>
      <c r="J91" s="65"/>
      <c r="K91" s="79" cm="1">
        <f t="array" ref="K91">IFERROR(IF(K17=1,INDEX('Curva S'!$C$2:$BJ$301,$I39,K39),0),0)</f>
        <v>0.1</v>
      </c>
      <c r="L91" s="79" cm="1">
        <f t="array" ref="L91">IFERROR(IF(L17=1,INDEX('Curva S'!$C$2:$BJ$301,$I39,L39),0),0)</f>
        <v>0.1</v>
      </c>
      <c r="M91" s="79" cm="1">
        <f t="array" ref="M91">IFERROR(IF(M17=1,INDEX('Curva S'!$C$2:$BJ$301,$I39,M39),0),0)</f>
        <v>0.1</v>
      </c>
      <c r="N91" s="79" cm="1">
        <f t="array" ref="N91">IFERROR(IF(N17=1,INDEX('Curva S'!$C$2:$BJ$301,$I39,N39),0),0)</f>
        <v>0.1</v>
      </c>
      <c r="O91" s="79" cm="1">
        <f t="array" ref="O91">IFERROR(IF(O17=1,INDEX('Curva S'!$C$2:$BJ$301,$I39,O39),0),0)</f>
        <v>0.1</v>
      </c>
      <c r="P91" s="79" cm="1">
        <f t="array" ref="P91">IFERROR(IF(P17=1,INDEX('Curva S'!$C$2:$BJ$301,$I39,P39),0),0)</f>
        <v>0.1</v>
      </c>
      <c r="Q91" s="79" cm="1">
        <f t="array" ref="Q91">IFERROR(IF(Q17=1,INDEX('Curva S'!$C$2:$BJ$301,$I39,Q39),0),0)</f>
        <v>0.1</v>
      </c>
      <c r="R91" s="79" cm="1">
        <f t="array" ref="R91">IFERROR(IF(R17=1,INDEX('Curva S'!$C$2:$BJ$301,$I39,R39),0),0)</f>
        <v>0.1</v>
      </c>
      <c r="S91" s="79" cm="1">
        <f t="array" ref="S91">IFERROR(IF(S17=1,INDEX('Curva S'!$C$2:$BJ$301,$I39,S39),0),0)</f>
        <v>0.1</v>
      </c>
      <c r="T91" s="79" cm="1">
        <f t="array" ref="T91">IFERROR(IF(T17=1,INDEX('Curva S'!$C$2:$BJ$301,$I39,T39),0),0)</f>
        <v>0.1</v>
      </c>
      <c r="U91" s="79" cm="1">
        <f t="array" ref="U91">IFERROR(IF(U17=1,INDEX('Curva S'!$C$2:$BJ$301,$I39,U39),0),0)</f>
        <v>0</v>
      </c>
      <c r="V91" s="79" cm="1">
        <f t="array" ref="V91">IFERROR(IF(V17=1,INDEX('Curva S'!$C$2:$BJ$301,$I39,V39),0),0)</f>
        <v>0</v>
      </c>
      <c r="W91" s="79" cm="1">
        <f t="array" ref="W91">IFERROR(IF(W17=1,INDEX('Curva S'!$C$2:$BJ$301,$I39,W39),0),0)</f>
        <v>0</v>
      </c>
      <c r="X91" s="79" cm="1">
        <f t="array" ref="X91">IFERROR(IF(X17=1,INDEX('Curva S'!$C$2:$BJ$301,$I39,X39),0),0)</f>
        <v>0</v>
      </c>
      <c r="Y91" s="79" cm="1">
        <f t="array" ref="Y91">IFERROR(IF(Y17=1,INDEX('Curva S'!$C$2:$BJ$301,$I39,Y39),0),0)</f>
        <v>0</v>
      </c>
      <c r="Z91" s="79" cm="1">
        <f t="array" ref="Z91">IFERROR(IF(Z17=1,INDEX('Curva S'!$C$2:$BJ$301,$I39,Z39),0),0)</f>
        <v>0</v>
      </c>
      <c r="AA91" s="79" cm="1">
        <f t="array" ref="AA91">IFERROR(IF(AA17=1,INDEX('Curva S'!$C$2:$BJ$301,$I39,AA39),0),0)</f>
        <v>0</v>
      </c>
      <c r="AB91" s="79" cm="1">
        <f t="array" ref="AB91">IFERROR(IF(AB17=1,INDEX('Curva S'!$C$2:$BJ$301,$I39,AB39),0),0)</f>
        <v>0</v>
      </c>
      <c r="AC91" s="79" cm="1">
        <f t="array" ref="AC91">IFERROR(IF(AC17=1,INDEX('Curva S'!$C$2:$BJ$301,$I39,AC39),0),0)</f>
        <v>0</v>
      </c>
      <c r="AD91" s="79" cm="1">
        <f t="array" ref="AD91">IFERROR(IF(AD17=1,INDEX('Curva S'!$C$2:$BJ$301,$I39,AD39),0),0)</f>
        <v>0</v>
      </c>
      <c r="AE91" s="79" cm="1">
        <f t="array" ref="AE91">IFERROR(IF(AE17=1,INDEX('Curva S'!$C$2:$BJ$301,$I39,AE39),0),0)</f>
        <v>0</v>
      </c>
      <c r="AF91" s="79" cm="1">
        <f t="array" ref="AF91">IFERROR(IF(AF17=1,INDEX('Curva S'!$C$2:$BJ$301,$I39,AF39),0),0)</f>
        <v>0</v>
      </c>
      <c r="AG91" s="79" cm="1">
        <f t="array" ref="AG91">IFERROR(IF(AG17=1,INDEX('Curva S'!$C$2:$BJ$301,$I39,AG39),0),0)</f>
        <v>0</v>
      </c>
      <c r="AH91" s="79" cm="1">
        <f t="array" ref="AH91">IFERROR(IF(AH17=1,INDEX('Curva S'!$C$2:$BJ$301,$I39,AH39),0),0)</f>
        <v>0</v>
      </c>
      <c r="AI91" s="79" cm="1">
        <f t="array" ref="AI91">IFERROR(IF(AI17=1,INDEX('Curva S'!$C$2:$BJ$301,$I39,AI39),0),0)</f>
        <v>0</v>
      </c>
      <c r="AJ91" s="79" cm="1">
        <f t="array" ref="AJ91">IFERROR(IF(AJ17=1,INDEX('Curva S'!$C$2:$BJ$301,$I39,AJ39),0),0)</f>
        <v>0</v>
      </c>
      <c r="AK91" s="79" cm="1">
        <f t="array" ref="AK91">IFERROR(IF(AK17=1,INDEX('Curva S'!$C$2:$BJ$301,$I39,AK39),0),0)</f>
        <v>0</v>
      </c>
      <c r="AL91" s="79" cm="1">
        <f t="array" ref="AL91">IFERROR(IF(AL17=1,INDEX('Curva S'!$C$2:$BJ$301,$I39,AL39),0),0)</f>
        <v>0</v>
      </c>
      <c r="AM91" s="79" cm="1">
        <f t="array" ref="AM91">IFERROR(IF(AM17=1,INDEX('Curva S'!$C$2:$BJ$301,$I39,AM39),0),0)</f>
        <v>0</v>
      </c>
      <c r="AN91" s="79" cm="1">
        <f t="array" ref="AN91">IFERROR(IF(AN17=1,INDEX('Curva S'!$C$2:$BJ$301,$I39,AN39),0),0)</f>
        <v>0</v>
      </c>
      <c r="AO91" s="79" cm="1">
        <f t="array" ref="AO91">IFERROR(IF(AO17=1,INDEX('Curva S'!$C$2:$BJ$301,$I39,AO39),0),0)</f>
        <v>0</v>
      </c>
      <c r="AP91" s="79" cm="1">
        <f t="array" ref="AP91">IFERROR(IF(AP17=1,INDEX('Curva S'!$C$2:$BJ$301,$I39,AP39),0),0)</f>
        <v>0</v>
      </c>
      <c r="AQ91" s="79" cm="1">
        <f t="array" ref="AQ91">IFERROR(IF(AQ17=1,INDEX('Curva S'!$C$2:$BJ$301,$I39,AQ39),0),0)</f>
        <v>0</v>
      </c>
      <c r="AR91" s="79" cm="1">
        <f t="array" ref="AR91">IFERROR(IF(AR17=1,INDEX('Curva S'!$C$2:$BJ$301,$I39,AR39),0),0)</f>
        <v>0</v>
      </c>
      <c r="AS91" s="79" cm="1">
        <f t="array" ref="AS91">IFERROR(IF(AS17=1,INDEX('Curva S'!$C$2:$BJ$301,$I39,AS39),0),0)</f>
        <v>0</v>
      </c>
      <c r="AT91" s="79" cm="1">
        <f t="array" ref="AT91">IFERROR(IF(AT17=1,INDEX('Curva S'!$C$2:$BJ$301,$I39,AT39),0),0)</f>
        <v>0</v>
      </c>
      <c r="AU91" s="79" cm="1">
        <f t="array" ref="AU91">IFERROR(IF(AU17=1,INDEX('Curva S'!$C$2:$BJ$301,$I39,AU39),0),0)</f>
        <v>0</v>
      </c>
      <c r="AV91" s="79" cm="1">
        <f t="array" ref="AV91">IFERROR(IF(AV17=1,INDEX('Curva S'!$C$2:$BJ$301,$I39,AV39),0),0)</f>
        <v>0</v>
      </c>
      <c r="AW91" s="79" cm="1">
        <f t="array" ref="AW91">IFERROR(IF(AW17=1,INDEX('Curva S'!$C$2:$BJ$301,$I39,AW39),0),0)</f>
        <v>0</v>
      </c>
      <c r="AX91" s="79" cm="1">
        <f t="array" ref="AX91">IFERROR(IF(AX17=1,INDEX('Curva S'!$C$2:$BJ$301,$I39,AX39),0),0)</f>
        <v>0</v>
      </c>
      <c r="AY91" s="79" cm="1">
        <f t="array" ref="AY91">IFERROR(IF(AY17=1,INDEX('Curva S'!$C$2:$BJ$301,$I39,AY39),0),0)</f>
        <v>0</v>
      </c>
      <c r="AZ91" s="79" cm="1">
        <f t="array" ref="AZ91">IFERROR(IF(AZ17=1,INDEX('Curva S'!$C$2:$BJ$301,$I39,AZ39),0),0)</f>
        <v>0</v>
      </c>
      <c r="BA91" s="79" cm="1">
        <f t="array" ref="BA91">IFERROR(IF(BA17=1,INDEX('Curva S'!$C$2:$BJ$301,$I39,BA39),0),0)</f>
        <v>0</v>
      </c>
      <c r="BB91" s="79" cm="1">
        <f t="array" ref="BB91">IFERROR(IF(BB17=1,INDEX('Curva S'!$C$2:$BJ$301,$I39,BB39),0),0)</f>
        <v>0</v>
      </c>
      <c r="BC91" s="79" cm="1">
        <f t="array" ref="BC91">IFERROR(IF(BC17=1,INDEX('Curva S'!$C$2:$BJ$301,$I39,BC39),0),0)</f>
        <v>0</v>
      </c>
      <c r="BD91" s="79" cm="1">
        <f t="array" ref="BD91">IFERROR(IF(BD17=1,INDEX('Curva S'!$C$2:$BJ$301,$I39,BD39),0),0)</f>
        <v>0</v>
      </c>
      <c r="BE91" s="79" cm="1">
        <f t="array" ref="BE91">IFERROR(IF(BE17=1,INDEX('Curva S'!$C$2:$BJ$301,$I39,BE39),0),0)</f>
        <v>0</v>
      </c>
      <c r="BF91" s="79" cm="1">
        <f t="array" ref="BF91">IFERROR(IF(BF17=1,INDEX('Curva S'!$C$2:$BJ$301,$I39,BF39),0),0)</f>
        <v>0</v>
      </c>
      <c r="BG91" s="79" cm="1">
        <f t="array" ref="BG91">IFERROR(IF(BG17=1,INDEX('Curva S'!$C$2:$BJ$301,$I39,BG39),0),0)</f>
        <v>0</v>
      </c>
      <c r="BH91" s="79" cm="1">
        <f t="array" ref="BH91">IFERROR(IF(BH17=1,INDEX('Curva S'!$C$2:$BJ$301,$I39,BH39),0),0)</f>
        <v>0</v>
      </c>
      <c r="BI91" s="79" cm="1">
        <f t="array" ref="BI91">IFERROR(IF(BI17=1,INDEX('Curva S'!$C$2:$BJ$301,$I39,BI39),0),0)</f>
        <v>0</v>
      </c>
      <c r="BJ91" s="79" cm="1">
        <f t="array" ref="BJ91">IFERROR(IF(BJ17=1,INDEX('Curva S'!$C$2:$BJ$301,$I39,BJ39),0),0)</f>
        <v>0</v>
      </c>
      <c r="BK91" s="79" cm="1">
        <f t="array" ref="BK91">IFERROR(IF(BK17=1,INDEX('Curva S'!$C$2:$BJ$301,$I39,BK39),0),0)</f>
        <v>0</v>
      </c>
      <c r="BL91" s="79" cm="1">
        <f t="array" ref="BL91">IFERROR(IF(BL17=1,INDEX('Curva S'!$C$2:$BJ$301,$I39,BL39),0),0)</f>
        <v>0</v>
      </c>
      <c r="BM91" s="79" cm="1">
        <f t="array" ref="BM91">IFERROR(IF(BM17=1,INDEX('Curva S'!$C$2:$BJ$301,$I39,BM39),0),0)</f>
        <v>0</v>
      </c>
      <c r="BN91" s="79" cm="1">
        <f t="array" ref="BN91">IFERROR(IF(BN17=1,INDEX('Curva S'!$C$2:$BJ$301,$I39,BN39),0),0)</f>
        <v>0</v>
      </c>
      <c r="BO91" s="79" cm="1">
        <f t="array" ref="BO91">IFERROR(IF(BO17=1,INDEX('Curva S'!$C$2:$BJ$301,$I39,BO39),0),0)</f>
        <v>0</v>
      </c>
      <c r="BP91" s="79" cm="1">
        <f t="array" ref="BP91">IFERROR(IF(BP17=1,INDEX('Curva S'!$C$2:$BJ$301,$I39,BP39),0),0)</f>
        <v>0</v>
      </c>
      <c r="BQ91" s="79" cm="1">
        <f t="array" ref="BQ91">IFERROR(IF(BQ17=1,INDEX('Curva S'!$C$2:$BJ$301,$I39,BQ39),0),0)</f>
        <v>0</v>
      </c>
      <c r="BR91" s="79" cm="1">
        <f t="array" ref="BR91">IFERROR(IF(BR17=1,INDEX('Curva S'!$C$2:$BJ$301,$I39,BR39),0),0)</f>
        <v>0</v>
      </c>
    </row>
    <row r="92" spans="4:70" ht="12" hidden="1" customHeight="1" outlineLevel="1">
      <c r="D92" s="621"/>
      <c r="E92" s="65"/>
      <c r="F92" s="143" t="str">
        <f t="shared" si="66"/>
        <v>Equipe_16</v>
      </c>
      <c r="G92" s="143" t="str">
        <f t="shared" si="65"/>
        <v>Equipe16</v>
      </c>
      <c r="H92" s="79">
        <f t="shared" si="64"/>
        <v>0.99999999999999989</v>
      </c>
      <c r="I92" s="107" t="s">
        <v>371</v>
      </c>
      <c r="J92" s="65"/>
      <c r="K92" s="79" cm="1">
        <f t="array" ref="K92">IFERROR(IF(K18=1,INDEX('Curva S'!$C$2:$BJ$301,$I40,K40),0),0)</f>
        <v>0.1</v>
      </c>
      <c r="L92" s="79" cm="1">
        <f t="array" ref="L92">IFERROR(IF(L18=1,INDEX('Curva S'!$C$2:$BJ$301,$I40,L40),0),0)</f>
        <v>0.1</v>
      </c>
      <c r="M92" s="79" cm="1">
        <f t="array" ref="M92">IFERROR(IF(M18=1,INDEX('Curva S'!$C$2:$BJ$301,$I40,M40),0),0)</f>
        <v>0.1</v>
      </c>
      <c r="N92" s="79" cm="1">
        <f t="array" ref="N92">IFERROR(IF(N18=1,INDEX('Curva S'!$C$2:$BJ$301,$I40,N40),0),0)</f>
        <v>0.1</v>
      </c>
      <c r="O92" s="79" cm="1">
        <f t="array" ref="O92">IFERROR(IF(O18=1,INDEX('Curva S'!$C$2:$BJ$301,$I40,O40),0),0)</f>
        <v>0.1</v>
      </c>
      <c r="P92" s="79" cm="1">
        <f t="array" ref="P92">IFERROR(IF(P18=1,INDEX('Curva S'!$C$2:$BJ$301,$I40,P40),0),0)</f>
        <v>0.1</v>
      </c>
      <c r="Q92" s="79" cm="1">
        <f t="array" ref="Q92">IFERROR(IF(Q18=1,INDEX('Curva S'!$C$2:$BJ$301,$I40,Q40),0),0)</f>
        <v>0.1</v>
      </c>
      <c r="R92" s="79" cm="1">
        <f t="array" ref="R92">IFERROR(IF(R18=1,INDEX('Curva S'!$C$2:$BJ$301,$I40,R40),0),0)</f>
        <v>0.1</v>
      </c>
      <c r="S92" s="79" cm="1">
        <f t="array" ref="S92">IFERROR(IF(S18=1,INDEX('Curva S'!$C$2:$BJ$301,$I40,S40),0),0)</f>
        <v>0.1</v>
      </c>
      <c r="T92" s="79" cm="1">
        <f t="array" ref="T92">IFERROR(IF(T18=1,INDEX('Curva S'!$C$2:$BJ$301,$I40,T40),0),0)</f>
        <v>0.1</v>
      </c>
      <c r="U92" s="79" cm="1">
        <f t="array" ref="U92">IFERROR(IF(U18=1,INDEX('Curva S'!$C$2:$BJ$301,$I40,U40),0),0)</f>
        <v>0</v>
      </c>
      <c r="V92" s="79" cm="1">
        <f t="array" ref="V92">IFERROR(IF(V18=1,INDEX('Curva S'!$C$2:$BJ$301,$I40,V40),0),0)</f>
        <v>0</v>
      </c>
      <c r="W92" s="79" cm="1">
        <f t="array" ref="W92">IFERROR(IF(W18=1,INDEX('Curva S'!$C$2:$BJ$301,$I40,W40),0),0)</f>
        <v>0</v>
      </c>
      <c r="X92" s="79" cm="1">
        <f t="array" ref="X92">IFERROR(IF(X18=1,INDEX('Curva S'!$C$2:$BJ$301,$I40,X40),0),0)</f>
        <v>0</v>
      </c>
      <c r="Y92" s="79" cm="1">
        <f t="array" ref="Y92">IFERROR(IF(Y18=1,INDEX('Curva S'!$C$2:$BJ$301,$I40,Y40),0),0)</f>
        <v>0</v>
      </c>
      <c r="Z92" s="79" cm="1">
        <f t="array" ref="Z92">IFERROR(IF(Z18=1,INDEX('Curva S'!$C$2:$BJ$301,$I40,Z40),0),0)</f>
        <v>0</v>
      </c>
      <c r="AA92" s="79" cm="1">
        <f t="array" ref="AA92">IFERROR(IF(AA18=1,INDEX('Curva S'!$C$2:$BJ$301,$I40,AA40),0),0)</f>
        <v>0</v>
      </c>
      <c r="AB92" s="79" cm="1">
        <f t="array" ref="AB92">IFERROR(IF(AB18=1,INDEX('Curva S'!$C$2:$BJ$301,$I40,AB40),0),0)</f>
        <v>0</v>
      </c>
      <c r="AC92" s="79" cm="1">
        <f t="array" ref="AC92">IFERROR(IF(AC18=1,INDEX('Curva S'!$C$2:$BJ$301,$I40,AC40),0),0)</f>
        <v>0</v>
      </c>
      <c r="AD92" s="79" cm="1">
        <f t="array" ref="AD92">IFERROR(IF(AD18=1,INDEX('Curva S'!$C$2:$BJ$301,$I40,AD40),0),0)</f>
        <v>0</v>
      </c>
      <c r="AE92" s="79" cm="1">
        <f t="array" ref="AE92">IFERROR(IF(AE18=1,INDEX('Curva S'!$C$2:$BJ$301,$I40,AE40),0),0)</f>
        <v>0</v>
      </c>
      <c r="AF92" s="79" cm="1">
        <f t="array" ref="AF92">IFERROR(IF(AF18=1,INDEX('Curva S'!$C$2:$BJ$301,$I40,AF40),0),0)</f>
        <v>0</v>
      </c>
      <c r="AG92" s="79" cm="1">
        <f t="array" ref="AG92">IFERROR(IF(AG18=1,INDEX('Curva S'!$C$2:$BJ$301,$I40,AG40),0),0)</f>
        <v>0</v>
      </c>
      <c r="AH92" s="79" cm="1">
        <f t="array" ref="AH92">IFERROR(IF(AH18=1,INDEX('Curva S'!$C$2:$BJ$301,$I40,AH40),0),0)</f>
        <v>0</v>
      </c>
      <c r="AI92" s="79" cm="1">
        <f t="array" ref="AI92">IFERROR(IF(AI18=1,INDEX('Curva S'!$C$2:$BJ$301,$I40,AI40),0),0)</f>
        <v>0</v>
      </c>
      <c r="AJ92" s="79" cm="1">
        <f t="array" ref="AJ92">IFERROR(IF(AJ18=1,INDEX('Curva S'!$C$2:$BJ$301,$I40,AJ40),0),0)</f>
        <v>0</v>
      </c>
      <c r="AK92" s="79" cm="1">
        <f t="array" ref="AK92">IFERROR(IF(AK18=1,INDEX('Curva S'!$C$2:$BJ$301,$I40,AK40),0),0)</f>
        <v>0</v>
      </c>
      <c r="AL92" s="79" cm="1">
        <f t="array" ref="AL92">IFERROR(IF(AL18=1,INDEX('Curva S'!$C$2:$BJ$301,$I40,AL40),0),0)</f>
        <v>0</v>
      </c>
      <c r="AM92" s="79" cm="1">
        <f t="array" ref="AM92">IFERROR(IF(AM18=1,INDEX('Curva S'!$C$2:$BJ$301,$I40,AM40),0),0)</f>
        <v>0</v>
      </c>
      <c r="AN92" s="79" cm="1">
        <f t="array" ref="AN92">IFERROR(IF(AN18=1,INDEX('Curva S'!$C$2:$BJ$301,$I40,AN40),0),0)</f>
        <v>0</v>
      </c>
      <c r="AO92" s="79" cm="1">
        <f t="array" ref="AO92">IFERROR(IF(AO18=1,INDEX('Curva S'!$C$2:$BJ$301,$I40,AO40),0),0)</f>
        <v>0</v>
      </c>
      <c r="AP92" s="79" cm="1">
        <f t="array" ref="AP92">IFERROR(IF(AP18=1,INDEX('Curva S'!$C$2:$BJ$301,$I40,AP40),0),0)</f>
        <v>0</v>
      </c>
      <c r="AQ92" s="79" cm="1">
        <f t="array" ref="AQ92">IFERROR(IF(AQ18=1,INDEX('Curva S'!$C$2:$BJ$301,$I40,AQ40),0),0)</f>
        <v>0</v>
      </c>
      <c r="AR92" s="79" cm="1">
        <f t="array" ref="AR92">IFERROR(IF(AR18=1,INDEX('Curva S'!$C$2:$BJ$301,$I40,AR40),0),0)</f>
        <v>0</v>
      </c>
      <c r="AS92" s="79" cm="1">
        <f t="array" ref="AS92">IFERROR(IF(AS18=1,INDEX('Curva S'!$C$2:$BJ$301,$I40,AS40),0),0)</f>
        <v>0</v>
      </c>
      <c r="AT92" s="79" cm="1">
        <f t="array" ref="AT92">IFERROR(IF(AT18=1,INDEX('Curva S'!$C$2:$BJ$301,$I40,AT40),0),0)</f>
        <v>0</v>
      </c>
      <c r="AU92" s="79" cm="1">
        <f t="array" ref="AU92">IFERROR(IF(AU18=1,INDEX('Curva S'!$C$2:$BJ$301,$I40,AU40),0),0)</f>
        <v>0</v>
      </c>
      <c r="AV92" s="79" cm="1">
        <f t="array" ref="AV92">IFERROR(IF(AV18=1,INDEX('Curva S'!$C$2:$BJ$301,$I40,AV40),0),0)</f>
        <v>0</v>
      </c>
      <c r="AW92" s="79" cm="1">
        <f t="array" ref="AW92">IFERROR(IF(AW18=1,INDEX('Curva S'!$C$2:$BJ$301,$I40,AW40),0),0)</f>
        <v>0</v>
      </c>
      <c r="AX92" s="79" cm="1">
        <f t="array" ref="AX92">IFERROR(IF(AX18=1,INDEX('Curva S'!$C$2:$BJ$301,$I40,AX40),0),0)</f>
        <v>0</v>
      </c>
      <c r="AY92" s="79" cm="1">
        <f t="array" ref="AY92">IFERROR(IF(AY18=1,INDEX('Curva S'!$C$2:$BJ$301,$I40,AY40),0),0)</f>
        <v>0</v>
      </c>
      <c r="AZ92" s="79" cm="1">
        <f t="array" ref="AZ92">IFERROR(IF(AZ18=1,INDEX('Curva S'!$C$2:$BJ$301,$I40,AZ40),0),0)</f>
        <v>0</v>
      </c>
      <c r="BA92" s="79" cm="1">
        <f t="array" ref="BA92">IFERROR(IF(BA18=1,INDEX('Curva S'!$C$2:$BJ$301,$I40,BA40),0),0)</f>
        <v>0</v>
      </c>
      <c r="BB92" s="79" cm="1">
        <f t="array" ref="BB92">IFERROR(IF(BB18=1,INDEX('Curva S'!$C$2:$BJ$301,$I40,BB40),0),0)</f>
        <v>0</v>
      </c>
      <c r="BC92" s="79" cm="1">
        <f t="array" ref="BC92">IFERROR(IF(BC18=1,INDEX('Curva S'!$C$2:$BJ$301,$I40,BC40),0),0)</f>
        <v>0</v>
      </c>
      <c r="BD92" s="79" cm="1">
        <f t="array" ref="BD92">IFERROR(IF(BD18=1,INDEX('Curva S'!$C$2:$BJ$301,$I40,BD40),0),0)</f>
        <v>0</v>
      </c>
      <c r="BE92" s="79" cm="1">
        <f t="array" ref="BE92">IFERROR(IF(BE18=1,INDEX('Curva S'!$C$2:$BJ$301,$I40,BE40),0),0)</f>
        <v>0</v>
      </c>
      <c r="BF92" s="79" cm="1">
        <f t="array" ref="BF92">IFERROR(IF(BF18=1,INDEX('Curva S'!$C$2:$BJ$301,$I40,BF40),0),0)</f>
        <v>0</v>
      </c>
      <c r="BG92" s="79" cm="1">
        <f t="array" ref="BG92">IFERROR(IF(BG18=1,INDEX('Curva S'!$C$2:$BJ$301,$I40,BG40),0),0)</f>
        <v>0</v>
      </c>
      <c r="BH92" s="79" cm="1">
        <f t="array" ref="BH92">IFERROR(IF(BH18=1,INDEX('Curva S'!$C$2:$BJ$301,$I40,BH40),0),0)</f>
        <v>0</v>
      </c>
      <c r="BI92" s="79" cm="1">
        <f t="array" ref="BI92">IFERROR(IF(BI18=1,INDEX('Curva S'!$C$2:$BJ$301,$I40,BI40),0),0)</f>
        <v>0</v>
      </c>
      <c r="BJ92" s="79" cm="1">
        <f t="array" ref="BJ92">IFERROR(IF(BJ18=1,INDEX('Curva S'!$C$2:$BJ$301,$I40,BJ40),0),0)</f>
        <v>0</v>
      </c>
      <c r="BK92" s="79" cm="1">
        <f t="array" ref="BK92">IFERROR(IF(BK18=1,INDEX('Curva S'!$C$2:$BJ$301,$I40,BK40),0),0)</f>
        <v>0</v>
      </c>
      <c r="BL92" s="79" cm="1">
        <f t="array" ref="BL92">IFERROR(IF(BL18=1,INDEX('Curva S'!$C$2:$BJ$301,$I40,BL40),0),0)</f>
        <v>0</v>
      </c>
      <c r="BM92" s="79" cm="1">
        <f t="array" ref="BM92">IFERROR(IF(BM18=1,INDEX('Curva S'!$C$2:$BJ$301,$I40,BM40),0),0)</f>
        <v>0</v>
      </c>
      <c r="BN92" s="79" cm="1">
        <f t="array" ref="BN92">IFERROR(IF(BN18=1,INDEX('Curva S'!$C$2:$BJ$301,$I40,BN40),0),0)</f>
        <v>0</v>
      </c>
      <c r="BO92" s="79" cm="1">
        <f t="array" ref="BO92">IFERROR(IF(BO18=1,INDEX('Curva S'!$C$2:$BJ$301,$I40,BO40),0),0)</f>
        <v>0</v>
      </c>
      <c r="BP92" s="79" cm="1">
        <f t="array" ref="BP92">IFERROR(IF(BP18=1,INDEX('Curva S'!$C$2:$BJ$301,$I40,BP40),0),0)</f>
        <v>0</v>
      </c>
      <c r="BQ92" s="79" cm="1">
        <f t="array" ref="BQ92">IFERROR(IF(BQ18=1,INDEX('Curva S'!$C$2:$BJ$301,$I40,BQ40),0),0)</f>
        <v>0</v>
      </c>
      <c r="BR92" s="79" cm="1">
        <f t="array" ref="BR92">IFERROR(IF(BR18=1,INDEX('Curva S'!$C$2:$BJ$301,$I40,BR40),0),0)</f>
        <v>0</v>
      </c>
    </row>
    <row r="93" spans="4:70" ht="12" hidden="1" customHeight="1" outlineLevel="1">
      <c r="D93" s="621"/>
      <c r="E93" s="65"/>
      <c r="F93" s="143" t="str">
        <f t="shared" si="66"/>
        <v>Equipe_17</v>
      </c>
      <c r="G93" s="143" t="str">
        <f t="shared" si="65"/>
        <v>Equipe17</v>
      </c>
      <c r="H93" s="79">
        <f t="shared" si="64"/>
        <v>0.99999999999999989</v>
      </c>
      <c r="I93" s="107" t="s">
        <v>371</v>
      </c>
      <c r="J93" s="65"/>
      <c r="K93" s="79" cm="1">
        <f t="array" ref="K93">IFERROR(IF(K19=1,INDEX('Curva S'!$C$2:$BJ$301,$I41,K41),0),0)</f>
        <v>0.1</v>
      </c>
      <c r="L93" s="79" cm="1">
        <f t="array" ref="L93">IFERROR(IF(L19=1,INDEX('Curva S'!$C$2:$BJ$301,$I41,L41),0),0)</f>
        <v>0.1</v>
      </c>
      <c r="M93" s="79" cm="1">
        <f t="array" ref="M93">IFERROR(IF(M19=1,INDEX('Curva S'!$C$2:$BJ$301,$I41,M41),0),0)</f>
        <v>0.1</v>
      </c>
      <c r="N93" s="79" cm="1">
        <f t="array" ref="N93">IFERROR(IF(N19=1,INDEX('Curva S'!$C$2:$BJ$301,$I41,N41),0),0)</f>
        <v>0.1</v>
      </c>
      <c r="O93" s="79" cm="1">
        <f t="array" ref="O93">IFERROR(IF(O19=1,INDEX('Curva S'!$C$2:$BJ$301,$I41,O41),0),0)</f>
        <v>0.1</v>
      </c>
      <c r="P93" s="79" cm="1">
        <f t="array" ref="P93">IFERROR(IF(P19=1,INDEX('Curva S'!$C$2:$BJ$301,$I41,P41),0),0)</f>
        <v>0.1</v>
      </c>
      <c r="Q93" s="79" cm="1">
        <f t="array" ref="Q93">IFERROR(IF(Q19=1,INDEX('Curva S'!$C$2:$BJ$301,$I41,Q41),0),0)</f>
        <v>0.1</v>
      </c>
      <c r="R93" s="79" cm="1">
        <f t="array" ref="R93">IFERROR(IF(R19=1,INDEX('Curva S'!$C$2:$BJ$301,$I41,R41),0),0)</f>
        <v>0.1</v>
      </c>
      <c r="S93" s="79" cm="1">
        <f t="array" ref="S93">IFERROR(IF(S19=1,INDEX('Curva S'!$C$2:$BJ$301,$I41,S41),0),0)</f>
        <v>0.1</v>
      </c>
      <c r="T93" s="79" cm="1">
        <f t="array" ref="T93">IFERROR(IF(T19=1,INDEX('Curva S'!$C$2:$BJ$301,$I41,T41),0),0)</f>
        <v>0.1</v>
      </c>
      <c r="U93" s="79" cm="1">
        <f t="array" ref="U93">IFERROR(IF(U19=1,INDEX('Curva S'!$C$2:$BJ$301,$I41,U41),0),0)</f>
        <v>0</v>
      </c>
      <c r="V93" s="79" cm="1">
        <f t="array" ref="V93">IFERROR(IF(V19=1,INDEX('Curva S'!$C$2:$BJ$301,$I41,V41),0),0)</f>
        <v>0</v>
      </c>
      <c r="W93" s="79" cm="1">
        <f t="array" ref="W93">IFERROR(IF(W19=1,INDEX('Curva S'!$C$2:$BJ$301,$I41,W41),0),0)</f>
        <v>0</v>
      </c>
      <c r="X93" s="79" cm="1">
        <f t="array" ref="X93">IFERROR(IF(X19=1,INDEX('Curva S'!$C$2:$BJ$301,$I41,X41),0),0)</f>
        <v>0</v>
      </c>
      <c r="Y93" s="79" cm="1">
        <f t="array" ref="Y93">IFERROR(IF(Y19=1,INDEX('Curva S'!$C$2:$BJ$301,$I41,Y41),0),0)</f>
        <v>0</v>
      </c>
      <c r="Z93" s="79" cm="1">
        <f t="array" ref="Z93">IFERROR(IF(Z19=1,INDEX('Curva S'!$C$2:$BJ$301,$I41,Z41),0),0)</f>
        <v>0</v>
      </c>
      <c r="AA93" s="79" cm="1">
        <f t="array" ref="AA93">IFERROR(IF(AA19=1,INDEX('Curva S'!$C$2:$BJ$301,$I41,AA41),0),0)</f>
        <v>0</v>
      </c>
      <c r="AB93" s="79" cm="1">
        <f t="array" ref="AB93">IFERROR(IF(AB19=1,INDEX('Curva S'!$C$2:$BJ$301,$I41,AB41),0),0)</f>
        <v>0</v>
      </c>
      <c r="AC93" s="79" cm="1">
        <f t="array" ref="AC93">IFERROR(IF(AC19=1,INDEX('Curva S'!$C$2:$BJ$301,$I41,AC41),0),0)</f>
        <v>0</v>
      </c>
      <c r="AD93" s="79" cm="1">
        <f t="array" ref="AD93">IFERROR(IF(AD19=1,INDEX('Curva S'!$C$2:$BJ$301,$I41,AD41),0),0)</f>
        <v>0</v>
      </c>
      <c r="AE93" s="79" cm="1">
        <f t="array" ref="AE93">IFERROR(IF(AE19=1,INDEX('Curva S'!$C$2:$BJ$301,$I41,AE41),0),0)</f>
        <v>0</v>
      </c>
      <c r="AF93" s="79" cm="1">
        <f t="array" ref="AF93">IFERROR(IF(AF19=1,INDEX('Curva S'!$C$2:$BJ$301,$I41,AF41),0),0)</f>
        <v>0</v>
      </c>
      <c r="AG93" s="79" cm="1">
        <f t="array" ref="AG93">IFERROR(IF(AG19=1,INDEX('Curva S'!$C$2:$BJ$301,$I41,AG41),0),0)</f>
        <v>0</v>
      </c>
      <c r="AH93" s="79" cm="1">
        <f t="array" ref="AH93">IFERROR(IF(AH19=1,INDEX('Curva S'!$C$2:$BJ$301,$I41,AH41),0),0)</f>
        <v>0</v>
      </c>
      <c r="AI93" s="79" cm="1">
        <f t="array" ref="AI93">IFERROR(IF(AI19=1,INDEX('Curva S'!$C$2:$BJ$301,$I41,AI41),0),0)</f>
        <v>0</v>
      </c>
      <c r="AJ93" s="79" cm="1">
        <f t="array" ref="AJ93">IFERROR(IF(AJ19=1,INDEX('Curva S'!$C$2:$BJ$301,$I41,AJ41),0),0)</f>
        <v>0</v>
      </c>
      <c r="AK93" s="79" cm="1">
        <f t="array" ref="AK93">IFERROR(IF(AK19=1,INDEX('Curva S'!$C$2:$BJ$301,$I41,AK41),0),0)</f>
        <v>0</v>
      </c>
      <c r="AL93" s="79" cm="1">
        <f t="array" ref="AL93">IFERROR(IF(AL19=1,INDEX('Curva S'!$C$2:$BJ$301,$I41,AL41),0),0)</f>
        <v>0</v>
      </c>
      <c r="AM93" s="79" cm="1">
        <f t="array" ref="AM93">IFERROR(IF(AM19=1,INDEX('Curva S'!$C$2:$BJ$301,$I41,AM41),0),0)</f>
        <v>0</v>
      </c>
      <c r="AN93" s="79" cm="1">
        <f t="array" ref="AN93">IFERROR(IF(AN19=1,INDEX('Curva S'!$C$2:$BJ$301,$I41,AN41),0),0)</f>
        <v>0</v>
      </c>
      <c r="AO93" s="79" cm="1">
        <f t="array" ref="AO93">IFERROR(IF(AO19=1,INDEX('Curva S'!$C$2:$BJ$301,$I41,AO41),0),0)</f>
        <v>0</v>
      </c>
      <c r="AP93" s="79" cm="1">
        <f t="array" ref="AP93">IFERROR(IF(AP19=1,INDEX('Curva S'!$C$2:$BJ$301,$I41,AP41),0),0)</f>
        <v>0</v>
      </c>
      <c r="AQ93" s="79" cm="1">
        <f t="array" ref="AQ93">IFERROR(IF(AQ19=1,INDEX('Curva S'!$C$2:$BJ$301,$I41,AQ41),0),0)</f>
        <v>0</v>
      </c>
      <c r="AR93" s="79" cm="1">
        <f t="array" ref="AR93">IFERROR(IF(AR19=1,INDEX('Curva S'!$C$2:$BJ$301,$I41,AR41),0),0)</f>
        <v>0</v>
      </c>
      <c r="AS93" s="79" cm="1">
        <f t="array" ref="AS93">IFERROR(IF(AS19=1,INDEX('Curva S'!$C$2:$BJ$301,$I41,AS41),0),0)</f>
        <v>0</v>
      </c>
      <c r="AT93" s="79" cm="1">
        <f t="array" ref="AT93">IFERROR(IF(AT19=1,INDEX('Curva S'!$C$2:$BJ$301,$I41,AT41),0),0)</f>
        <v>0</v>
      </c>
      <c r="AU93" s="79" cm="1">
        <f t="array" ref="AU93">IFERROR(IF(AU19=1,INDEX('Curva S'!$C$2:$BJ$301,$I41,AU41),0),0)</f>
        <v>0</v>
      </c>
      <c r="AV93" s="79" cm="1">
        <f t="array" ref="AV93">IFERROR(IF(AV19=1,INDEX('Curva S'!$C$2:$BJ$301,$I41,AV41),0),0)</f>
        <v>0</v>
      </c>
      <c r="AW93" s="79" cm="1">
        <f t="array" ref="AW93">IFERROR(IF(AW19=1,INDEX('Curva S'!$C$2:$BJ$301,$I41,AW41),0),0)</f>
        <v>0</v>
      </c>
      <c r="AX93" s="79" cm="1">
        <f t="array" ref="AX93">IFERROR(IF(AX19=1,INDEX('Curva S'!$C$2:$BJ$301,$I41,AX41),0),0)</f>
        <v>0</v>
      </c>
      <c r="AY93" s="79" cm="1">
        <f t="array" ref="AY93">IFERROR(IF(AY19=1,INDEX('Curva S'!$C$2:$BJ$301,$I41,AY41),0),0)</f>
        <v>0</v>
      </c>
      <c r="AZ93" s="79" cm="1">
        <f t="array" ref="AZ93">IFERROR(IF(AZ19=1,INDEX('Curva S'!$C$2:$BJ$301,$I41,AZ41),0),0)</f>
        <v>0</v>
      </c>
      <c r="BA93" s="79" cm="1">
        <f t="array" ref="BA93">IFERROR(IF(BA19=1,INDEX('Curva S'!$C$2:$BJ$301,$I41,BA41),0),0)</f>
        <v>0</v>
      </c>
      <c r="BB93" s="79" cm="1">
        <f t="array" ref="BB93">IFERROR(IF(BB19=1,INDEX('Curva S'!$C$2:$BJ$301,$I41,BB41),0),0)</f>
        <v>0</v>
      </c>
      <c r="BC93" s="79" cm="1">
        <f t="array" ref="BC93">IFERROR(IF(BC19=1,INDEX('Curva S'!$C$2:$BJ$301,$I41,BC41),0),0)</f>
        <v>0</v>
      </c>
      <c r="BD93" s="79" cm="1">
        <f t="array" ref="BD93">IFERROR(IF(BD19=1,INDEX('Curva S'!$C$2:$BJ$301,$I41,BD41),0),0)</f>
        <v>0</v>
      </c>
      <c r="BE93" s="79" cm="1">
        <f t="array" ref="BE93">IFERROR(IF(BE19=1,INDEX('Curva S'!$C$2:$BJ$301,$I41,BE41),0),0)</f>
        <v>0</v>
      </c>
      <c r="BF93" s="79" cm="1">
        <f t="array" ref="BF93">IFERROR(IF(BF19=1,INDEX('Curva S'!$C$2:$BJ$301,$I41,BF41),0),0)</f>
        <v>0</v>
      </c>
      <c r="BG93" s="79" cm="1">
        <f t="array" ref="BG93">IFERROR(IF(BG19=1,INDEX('Curva S'!$C$2:$BJ$301,$I41,BG41),0),0)</f>
        <v>0</v>
      </c>
      <c r="BH93" s="79" cm="1">
        <f t="array" ref="BH93">IFERROR(IF(BH19=1,INDEX('Curva S'!$C$2:$BJ$301,$I41,BH41),0),0)</f>
        <v>0</v>
      </c>
      <c r="BI93" s="79" cm="1">
        <f t="array" ref="BI93">IFERROR(IF(BI19=1,INDEX('Curva S'!$C$2:$BJ$301,$I41,BI41),0),0)</f>
        <v>0</v>
      </c>
      <c r="BJ93" s="79" cm="1">
        <f t="array" ref="BJ93">IFERROR(IF(BJ19=1,INDEX('Curva S'!$C$2:$BJ$301,$I41,BJ41),0),0)</f>
        <v>0</v>
      </c>
      <c r="BK93" s="79" cm="1">
        <f t="array" ref="BK93">IFERROR(IF(BK19=1,INDEX('Curva S'!$C$2:$BJ$301,$I41,BK41),0),0)</f>
        <v>0</v>
      </c>
      <c r="BL93" s="79" cm="1">
        <f t="array" ref="BL93">IFERROR(IF(BL19=1,INDEX('Curva S'!$C$2:$BJ$301,$I41,BL41),0),0)</f>
        <v>0</v>
      </c>
      <c r="BM93" s="79" cm="1">
        <f t="array" ref="BM93">IFERROR(IF(BM19=1,INDEX('Curva S'!$C$2:$BJ$301,$I41,BM41),0),0)</f>
        <v>0</v>
      </c>
      <c r="BN93" s="79" cm="1">
        <f t="array" ref="BN93">IFERROR(IF(BN19=1,INDEX('Curva S'!$C$2:$BJ$301,$I41,BN41),0),0)</f>
        <v>0</v>
      </c>
      <c r="BO93" s="79" cm="1">
        <f t="array" ref="BO93">IFERROR(IF(BO19=1,INDEX('Curva S'!$C$2:$BJ$301,$I41,BO41),0),0)</f>
        <v>0</v>
      </c>
      <c r="BP93" s="79" cm="1">
        <f t="array" ref="BP93">IFERROR(IF(BP19=1,INDEX('Curva S'!$C$2:$BJ$301,$I41,BP41),0),0)</f>
        <v>0</v>
      </c>
      <c r="BQ93" s="79" cm="1">
        <f t="array" ref="BQ93">IFERROR(IF(BQ19=1,INDEX('Curva S'!$C$2:$BJ$301,$I41,BQ41),0),0)</f>
        <v>0</v>
      </c>
      <c r="BR93" s="79" cm="1">
        <f t="array" ref="BR93">IFERROR(IF(BR19=1,INDEX('Curva S'!$C$2:$BJ$301,$I41,BR41),0),0)</f>
        <v>0</v>
      </c>
    </row>
    <row r="94" spans="4:70" ht="12" hidden="1" customHeight="1" outlineLevel="1">
      <c r="D94" s="621"/>
      <c r="E94" s="65"/>
      <c r="F94" s="143" t="str">
        <f t="shared" si="66"/>
        <v>Equipe_18</v>
      </c>
      <c r="G94" s="143" t="str">
        <f t="shared" si="65"/>
        <v>Equipe18</v>
      </c>
      <c r="H94" s="79">
        <f t="shared" si="64"/>
        <v>0.99999999999999989</v>
      </c>
      <c r="I94" s="107" t="s">
        <v>371</v>
      </c>
      <c r="J94" s="65"/>
      <c r="K94" s="79" cm="1">
        <f t="array" ref="K94">IFERROR(IF(K20=1,INDEX('Curva S'!$C$2:$BJ$301,$I42,K42),0),0)</f>
        <v>0.1</v>
      </c>
      <c r="L94" s="79" cm="1">
        <f t="array" ref="L94">IFERROR(IF(L20=1,INDEX('Curva S'!$C$2:$BJ$301,$I42,L42),0),0)</f>
        <v>0.1</v>
      </c>
      <c r="M94" s="79" cm="1">
        <f t="array" ref="M94">IFERROR(IF(M20=1,INDEX('Curva S'!$C$2:$BJ$301,$I42,M42),0),0)</f>
        <v>0.1</v>
      </c>
      <c r="N94" s="79" cm="1">
        <f t="array" ref="N94">IFERROR(IF(N20=1,INDEX('Curva S'!$C$2:$BJ$301,$I42,N42),0),0)</f>
        <v>0.1</v>
      </c>
      <c r="O94" s="79" cm="1">
        <f t="array" ref="O94">IFERROR(IF(O20=1,INDEX('Curva S'!$C$2:$BJ$301,$I42,O42),0),0)</f>
        <v>0.1</v>
      </c>
      <c r="P94" s="79" cm="1">
        <f t="array" ref="P94">IFERROR(IF(P20=1,INDEX('Curva S'!$C$2:$BJ$301,$I42,P42),0),0)</f>
        <v>0.1</v>
      </c>
      <c r="Q94" s="79" cm="1">
        <f t="array" ref="Q94">IFERROR(IF(Q20=1,INDEX('Curva S'!$C$2:$BJ$301,$I42,Q42),0),0)</f>
        <v>0.1</v>
      </c>
      <c r="R94" s="79" cm="1">
        <f t="array" ref="R94">IFERROR(IF(R20=1,INDEX('Curva S'!$C$2:$BJ$301,$I42,R42),0),0)</f>
        <v>0.1</v>
      </c>
      <c r="S94" s="79" cm="1">
        <f t="array" ref="S94">IFERROR(IF(S20=1,INDEX('Curva S'!$C$2:$BJ$301,$I42,S42),0),0)</f>
        <v>0.1</v>
      </c>
      <c r="T94" s="79" cm="1">
        <f t="array" ref="T94">IFERROR(IF(T20=1,INDEX('Curva S'!$C$2:$BJ$301,$I42,T42),0),0)</f>
        <v>0.1</v>
      </c>
      <c r="U94" s="79" cm="1">
        <f t="array" ref="U94">IFERROR(IF(U20=1,INDEX('Curva S'!$C$2:$BJ$301,$I42,U42),0),0)</f>
        <v>0</v>
      </c>
      <c r="V94" s="79" cm="1">
        <f t="array" ref="V94">IFERROR(IF(V20=1,INDEX('Curva S'!$C$2:$BJ$301,$I42,V42),0),0)</f>
        <v>0</v>
      </c>
      <c r="W94" s="79" cm="1">
        <f t="array" ref="W94">IFERROR(IF(W20=1,INDEX('Curva S'!$C$2:$BJ$301,$I42,W42),0),0)</f>
        <v>0</v>
      </c>
      <c r="X94" s="79" cm="1">
        <f t="array" ref="X94">IFERROR(IF(X20=1,INDEX('Curva S'!$C$2:$BJ$301,$I42,X42),0),0)</f>
        <v>0</v>
      </c>
      <c r="Y94" s="79" cm="1">
        <f t="array" ref="Y94">IFERROR(IF(Y20=1,INDEX('Curva S'!$C$2:$BJ$301,$I42,Y42),0),0)</f>
        <v>0</v>
      </c>
      <c r="Z94" s="79" cm="1">
        <f t="array" ref="Z94">IFERROR(IF(Z20=1,INDEX('Curva S'!$C$2:$BJ$301,$I42,Z42),0),0)</f>
        <v>0</v>
      </c>
      <c r="AA94" s="79" cm="1">
        <f t="array" ref="AA94">IFERROR(IF(AA20=1,INDEX('Curva S'!$C$2:$BJ$301,$I42,AA42),0),0)</f>
        <v>0</v>
      </c>
      <c r="AB94" s="79" cm="1">
        <f t="array" ref="AB94">IFERROR(IF(AB20=1,INDEX('Curva S'!$C$2:$BJ$301,$I42,AB42),0),0)</f>
        <v>0</v>
      </c>
      <c r="AC94" s="79" cm="1">
        <f t="array" ref="AC94">IFERROR(IF(AC20=1,INDEX('Curva S'!$C$2:$BJ$301,$I42,AC42),0),0)</f>
        <v>0</v>
      </c>
      <c r="AD94" s="79" cm="1">
        <f t="array" ref="AD94">IFERROR(IF(AD20=1,INDEX('Curva S'!$C$2:$BJ$301,$I42,AD42),0),0)</f>
        <v>0</v>
      </c>
      <c r="AE94" s="79" cm="1">
        <f t="array" ref="AE94">IFERROR(IF(AE20=1,INDEX('Curva S'!$C$2:$BJ$301,$I42,AE42),0),0)</f>
        <v>0</v>
      </c>
      <c r="AF94" s="79" cm="1">
        <f t="array" ref="AF94">IFERROR(IF(AF20=1,INDEX('Curva S'!$C$2:$BJ$301,$I42,AF42),0),0)</f>
        <v>0</v>
      </c>
      <c r="AG94" s="79" cm="1">
        <f t="array" ref="AG94">IFERROR(IF(AG20=1,INDEX('Curva S'!$C$2:$BJ$301,$I42,AG42),0),0)</f>
        <v>0</v>
      </c>
      <c r="AH94" s="79" cm="1">
        <f t="array" ref="AH94">IFERROR(IF(AH20=1,INDEX('Curva S'!$C$2:$BJ$301,$I42,AH42),0),0)</f>
        <v>0</v>
      </c>
      <c r="AI94" s="79" cm="1">
        <f t="array" ref="AI94">IFERROR(IF(AI20=1,INDEX('Curva S'!$C$2:$BJ$301,$I42,AI42),0),0)</f>
        <v>0</v>
      </c>
      <c r="AJ94" s="79" cm="1">
        <f t="array" ref="AJ94">IFERROR(IF(AJ20=1,INDEX('Curva S'!$C$2:$BJ$301,$I42,AJ42),0),0)</f>
        <v>0</v>
      </c>
      <c r="AK94" s="79" cm="1">
        <f t="array" ref="AK94">IFERROR(IF(AK20=1,INDEX('Curva S'!$C$2:$BJ$301,$I42,AK42),0),0)</f>
        <v>0</v>
      </c>
      <c r="AL94" s="79" cm="1">
        <f t="array" ref="AL94">IFERROR(IF(AL20=1,INDEX('Curva S'!$C$2:$BJ$301,$I42,AL42),0),0)</f>
        <v>0</v>
      </c>
      <c r="AM94" s="79" cm="1">
        <f t="array" ref="AM94">IFERROR(IF(AM20=1,INDEX('Curva S'!$C$2:$BJ$301,$I42,AM42),0),0)</f>
        <v>0</v>
      </c>
      <c r="AN94" s="79" cm="1">
        <f t="array" ref="AN94">IFERROR(IF(AN20=1,INDEX('Curva S'!$C$2:$BJ$301,$I42,AN42),0),0)</f>
        <v>0</v>
      </c>
      <c r="AO94" s="79" cm="1">
        <f t="array" ref="AO94">IFERROR(IF(AO20=1,INDEX('Curva S'!$C$2:$BJ$301,$I42,AO42),0),0)</f>
        <v>0</v>
      </c>
      <c r="AP94" s="79" cm="1">
        <f t="array" ref="AP94">IFERROR(IF(AP20=1,INDEX('Curva S'!$C$2:$BJ$301,$I42,AP42),0),0)</f>
        <v>0</v>
      </c>
      <c r="AQ94" s="79" cm="1">
        <f t="array" ref="AQ94">IFERROR(IF(AQ20=1,INDEX('Curva S'!$C$2:$BJ$301,$I42,AQ42),0),0)</f>
        <v>0</v>
      </c>
      <c r="AR94" s="79" cm="1">
        <f t="array" ref="AR94">IFERROR(IF(AR20=1,INDEX('Curva S'!$C$2:$BJ$301,$I42,AR42),0),0)</f>
        <v>0</v>
      </c>
      <c r="AS94" s="79" cm="1">
        <f t="array" ref="AS94">IFERROR(IF(AS20=1,INDEX('Curva S'!$C$2:$BJ$301,$I42,AS42),0),0)</f>
        <v>0</v>
      </c>
      <c r="AT94" s="79" cm="1">
        <f t="array" ref="AT94">IFERROR(IF(AT20=1,INDEX('Curva S'!$C$2:$BJ$301,$I42,AT42),0),0)</f>
        <v>0</v>
      </c>
      <c r="AU94" s="79" cm="1">
        <f t="array" ref="AU94">IFERROR(IF(AU20=1,INDEX('Curva S'!$C$2:$BJ$301,$I42,AU42),0),0)</f>
        <v>0</v>
      </c>
      <c r="AV94" s="79" cm="1">
        <f t="array" ref="AV94">IFERROR(IF(AV20=1,INDEX('Curva S'!$C$2:$BJ$301,$I42,AV42),0),0)</f>
        <v>0</v>
      </c>
      <c r="AW94" s="79" cm="1">
        <f t="array" ref="AW94">IFERROR(IF(AW20=1,INDEX('Curva S'!$C$2:$BJ$301,$I42,AW42),0),0)</f>
        <v>0</v>
      </c>
      <c r="AX94" s="79" cm="1">
        <f t="array" ref="AX94">IFERROR(IF(AX20=1,INDEX('Curva S'!$C$2:$BJ$301,$I42,AX42),0),0)</f>
        <v>0</v>
      </c>
      <c r="AY94" s="79" cm="1">
        <f t="array" ref="AY94">IFERROR(IF(AY20=1,INDEX('Curva S'!$C$2:$BJ$301,$I42,AY42),0),0)</f>
        <v>0</v>
      </c>
      <c r="AZ94" s="79" cm="1">
        <f t="array" ref="AZ94">IFERROR(IF(AZ20=1,INDEX('Curva S'!$C$2:$BJ$301,$I42,AZ42),0),0)</f>
        <v>0</v>
      </c>
      <c r="BA94" s="79" cm="1">
        <f t="array" ref="BA94">IFERROR(IF(BA20=1,INDEX('Curva S'!$C$2:$BJ$301,$I42,BA42),0),0)</f>
        <v>0</v>
      </c>
      <c r="BB94" s="79" cm="1">
        <f t="array" ref="BB94">IFERROR(IF(BB20=1,INDEX('Curva S'!$C$2:$BJ$301,$I42,BB42),0),0)</f>
        <v>0</v>
      </c>
      <c r="BC94" s="79" cm="1">
        <f t="array" ref="BC94">IFERROR(IF(BC20=1,INDEX('Curva S'!$C$2:$BJ$301,$I42,BC42),0),0)</f>
        <v>0</v>
      </c>
      <c r="BD94" s="79" cm="1">
        <f t="array" ref="BD94">IFERROR(IF(BD20=1,INDEX('Curva S'!$C$2:$BJ$301,$I42,BD42),0),0)</f>
        <v>0</v>
      </c>
      <c r="BE94" s="79" cm="1">
        <f t="array" ref="BE94">IFERROR(IF(BE20=1,INDEX('Curva S'!$C$2:$BJ$301,$I42,BE42),0),0)</f>
        <v>0</v>
      </c>
      <c r="BF94" s="79" cm="1">
        <f t="array" ref="BF94">IFERROR(IF(BF20=1,INDEX('Curva S'!$C$2:$BJ$301,$I42,BF42),0),0)</f>
        <v>0</v>
      </c>
      <c r="BG94" s="79" cm="1">
        <f t="array" ref="BG94">IFERROR(IF(BG20=1,INDEX('Curva S'!$C$2:$BJ$301,$I42,BG42),0),0)</f>
        <v>0</v>
      </c>
      <c r="BH94" s="79" cm="1">
        <f t="array" ref="BH94">IFERROR(IF(BH20=1,INDEX('Curva S'!$C$2:$BJ$301,$I42,BH42),0),0)</f>
        <v>0</v>
      </c>
      <c r="BI94" s="79" cm="1">
        <f t="array" ref="BI94">IFERROR(IF(BI20=1,INDEX('Curva S'!$C$2:$BJ$301,$I42,BI42),0),0)</f>
        <v>0</v>
      </c>
      <c r="BJ94" s="79" cm="1">
        <f t="array" ref="BJ94">IFERROR(IF(BJ20=1,INDEX('Curva S'!$C$2:$BJ$301,$I42,BJ42),0),0)</f>
        <v>0</v>
      </c>
      <c r="BK94" s="79" cm="1">
        <f t="array" ref="BK94">IFERROR(IF(BK20=1,INDEX('Curva S'!$C$2:$BJ$301,$I42,BK42),0),0)</f>
        <v>0</v>
      </c>
      <c r="BL94" s="79" cm="1">
        <f t="array" ref="BL94">IFERROR(IF(BL20=1,INDEX('Curva S'!$C$2:$BJ$301,$I42,BL42),0),0)</f>
        <v>0</v>
      </c>
      <c r="BM94" s="79" cm="1">
        <f t="array" ref="BM94">IFERROR(IF(BM20=1,INDEX('Curva S'!$C$2:$BJ$301,$I42,BM42),0),0)</f>
        <v>0</v>
      </c>
      <c r="BN94" s="79" cm="1">
        <f t="array" ref="BN94">IFERROR(IF(BN20=1,INDEX('Curva S'!$C$2:$BJ$301,$I42,BN42),0),0)</f>
        <v>0</v>
      </c>
      <c r="BO94" s="79" cm="1">
        <f t="array" ref="BO94">IFERROR(IF(BO20=1,INDEX('Curva S'!$C$2:$BJ$301,$I42,BO42),0),0)</f>
        <v>0</v>
      </c>
      <c r="BP94" s="79" cm="1">
        <f t="array" ref="BP94">IFERROR(IF(BP20=1,INDEX('Curva S'!$C$2:$BJ$301,$I42,BP42),0),0)</f>
        <v>0</v>
      </c>
      <c r="BQ94" s="79" cm="1">
        <f t="array" ref="BQ94">IFERROR(IF(BQ20=1,INDEX('Curva S'!$C$2:$BJ$301,$I42,BQ42),0),0)</f>
        <v>0</v>
      </c>
      <c r="BR94" s="79" cm="1">
        <f t="array" ref="BR94">IFERROR(IF(BR20=1,INDEX('Curva S'!$C$2:$BJ$301,$I42,BR42),0),0)</f>
        <v>0</v>
      </c>
    </row>
    <row r="95" spans="4:70" ht="12" hidden="1" customHeight="1" outlineLevel="1">
      <c r="D95" s="621"/>
      <c r="E95" s="65"/>
      <c r="F95" s="143" t="str">
        <f t="shared" si="66"/>
        <v>Equipe_19</v>
      </c>
      <c r="G95" s="143" t="str">
        <f t="shared" si="65"/>
        <v>Equipe19</v>
      </c>
      <c r="H95" s="79">
        <f t="shared" si="64"/>
        <v>0.99999999999999989</v>
      </c>
      <c r="I95" s="107" t="s">
        <v>371</v>
      </c>
      <c r="J95" s="65"/>
      <c r="K95" s="79" cm="1">
        <f t="array" ref="K95">IFERROR(IF(K21=1,INDEX('Curva S'!$C$2:$BJ$301,$I43,K43),0),0)</f>
        <v>0.1</v>
      </c>
      <c r="L95" s="79" cm="1">
        <f t="array" ref="L95">IFERROR(IF(L21=1,INDEX('Curva S'!$C$2:$BJ$301,$I43,L43),0),0)</f>
        <v>0.1</v>
      </c>
      <c r="M95" s="79" cm="1">
        <f t="array" ref="M95">IFERROR(IF(M21=1,INDEX('Curva S'!$C$2:$BJ$301,$I43,M43),0),0)</f>
        <v>0.1</v>
      </c>
      <c r="N95" s="79" cm="1">
        <f t="array" ref="N95">IFERROR(IF(N21=1,INDEX('Curva S'!$C$2:$BJ$301,$I43,N43),0),0)</f>
        <v>0.1</v>
      </c>
      <c r="O95" s="79" cm="1">
        <f t="array" ref="O95">IFERROR(IF(O21=1,INDEX('Curva S'!$C$2:$BJ$301,$I43,O43),0),0)</f>
        <v>0.1</v>
      </c>
      <c r="P95" s="79" cm="1">
        <f t="array" ref="P95">IFERROR(IF(P21=1,INDEX('Curva S'!$C$2:$BJ$301,$I43,P43),0),0)</f>
        <v>0.1</v>
      </c>
      <c r="Q95" s="79" cm="1">
        <f t="array" ref="Q95">IFERROR(IF(Q21=1,INDEX('Curva S'!$C$2:$BJ$301,$I43,Q43),0),0)</f>
        <v>0.1</v>
      </c>
      <c r="R95" s="79" cm="1">
        <f t="array" ref="R95">IFERROR(IF(R21=1,INDEX('Curva S'!$C$2:$BJ$301,$I43,R43),0),0)</f>
        <v>0.1</v>
      </c>
      <c r="S95" s="79" cm="1">
        <f t="array" ref="S95">IFERROR(IF(S21=1,INDEX('Curva S'!$C$2:$BJ$301,$I43,S43),0),0)</f>
        <v>0.1</v>
      </c>
      <c r="T95" s="79" cm="1">
        <f t="array" ref="T95">IFERROR(IF(T21=1,INDEX('Curva S'!$C$2:$BJ$301,$I43,T43),0),0)</f>
        <v>0.1</v>
      </c>
      <c r="U95" s="79" cm="1">
        <f t="array" ref="U95">IFERROR(IF(U21=1,INDEX('Curva S'!$C$2:$BJ$301,$I43,U43),0),0)</f>
        <v>0</v>
      </c>
      <c r="V95" s="79" cm="1">
        <f t="array" ref="V95">IFERROR(IF(V21=1,INDEX('Curva S'!$C$2:$BJ$301,$I43,V43),0),0)</f>
        <v>0</v>
      </c>
      <c r="W95" s="79" cm="1">
        <f t="array" ref="W95">IFERROR(IF(W21=1,INDEX('Curva S'!$C$2:$BJ$301,$I43,W43),0),0)</f>
        <v>0</v>
      </c>
      <c r="X95" s="79" cm="1">
        <f t="array" ref="X95">IFERROR(IF(X21=1,INDEX('Curva S'!$C$2:$BJ$301,$I43,X43),0),0)</f>
        <v>0</v>
      </c>
      <c r="Y95" s="79" cm="1">
        <f t="array" ref="Y95">IFERROR(IF(Y21=1,INDEX('Curva S'!$C$2:$BJ$301,$I43,Y43),0),0)</f>
        <v>0</v>
      </c>
      <c r="Z95" s="79" cm="1">
        <f t="array" ref="Z95">IFERROR(IF(Z21=1,INDEX('Curva S'!$C$2:$BJ$301,$I43,Z43),0),0)</f>
        <v>0</v>
      </c>
      <c r="AA95" s="79" cm="1">
        <f t="array" ref="AA95">IFERROR(IF(AA21=1,INDEX('Curva S'!$C$2:$BJ$301,$I43,AA43),0),0)</f>
        <v>0</v>
      </c>
      <c r="AB95" s="79" cm="1">
        <f t="array" ref="AB95">IFERROR(IF(AB21=1,INDEX('Curva S'!$C$2:$BJ$301,$I43,AB43),0),0)</f>
        <v>0</v>
      </c>
      <c r="AC95" s="79" cm="1">
        <f t="array" ref="AC95">IFERROR(IF(AC21=1,INDEX('Curva S'!$C$2:$BJ$301,$I43,AC43),0),0)</f>
        <v>0</v>
      </c>
      <c r="AD95" s="79" cm="1">
        <f t="array" ref="AD95">IFERROR(IF(AD21=1,INDEX('Curva S'!$C$2:$BJ$301,$I43,AD43),0),0)</f>
        <v>0</v>
      </c>
      <c r="AE95" s="79" cm="1">
        <f t="array" ref="AE95">IFERROR(IF(AE21=1,INDEX('Curva S'!$C$2:$BJ$301,$I43,AE43),0),0)</f>
        <v>0</v>
      </c>
      <c r="AF95" s="79" cm="1">
        <f t="array" ref="AF95">IFERROR(IF(AF21=1,INDEX('Curva S'!$C$2:$BJ$301,$I43,AF43),0),0)</f>
        <v>0</v>
      </c>
      <c r="AG95" s="79" cm="1">
        <f t="array" ref="AG95">IFERROR(IF(AG21=1,INDEX('Curva S'!$C$2:$BJ$301,$I43,AG43),0),0)</f>
        <v>0</v>
      </c>
      <c r="AH95" s="79" cm="1">
        <f t="array" ref="AH95">IFERROR(IF(AH21=1,INDEX('Curva S'!$C$2:$BJ$301,$I43,AH43),0),0)</f>
        <v>0</v>
      </c>
      <c r="AI95" s="79" cm="1">
        <f t="array" ref="AI95">IFERROR(IF(AI21=1,INDEX('Curva S'!$C$2:$BJ$301,$I43,AI43),0),0)</f>
        <v>0</v>
      </c>
      <c r="AJ95" s="79" cm="1">
        <f t="array" ref="AJ95">IFERROR(IF(AJ21=1,INDEX('Curva S'!$C$2:$BJ$301,$I43,AJ43),0),0)</f>
        <v>0</v>
      </c>
      <c r="AK95" s="79" cm="1">
        <f t="array" ref="AK95">IFERROR(IF(AK21=1,INDEX('Curva S'!$C$2:$BJ$301,$I43,AK43),0),0)</f>
        <v>0</v>
      </c>
      <c r="AL95" s="79" cm="1">
        <f t="array" ref="AL95">IFERROR(IF(AL21=1,INDEX('Curva S'!$C$2:$BJ$301,$I43,AL43),0),0)</f>
        <v>0</v>
      </c>
      <c r="AM95" s="79" cm="1">
        <f t="array" ref="AM95">IFERROR(IF(AM21=1,INDEX('Curva S'!$C$2:$BJ$301,$I43,AM43),0),0)</f>
        <v>0</v>
      </c>
      <c r="AN95" s="79" cm="1">
        <f t="array" ref="AN95">IFERROR(IF(AN21=1,INDEX('Curva S'!$C$2:$BJ$301,$I43,AN43),0),0)</f>
        <v>0</v>
      </c>
      <c r="AO95" s="79" cm="1">
        <f t="array" ref="AO95">IFERROR(IF(AO21=1,INDEX('Curva S'!$C$2:$BJ$301,$I43,AO43),0),0)</f>
        <v>0</v>
      </c>
      <c r="AP95" s="79" cm="1">
        <f t="array" ref="AP95">IFERROR(IF(AP21=1,INDEX('Curva S'!$C$2:$BJ$301,$I43,AP43),0),0)</f>
        <v>0</v>
      </c>
      <c r="AQ95" s="79" cm="1">
        <f t="array" ref="AQ95">IFERROR(IF(AQ21=1,INDEX('Curva S'!$C$2:$BJ$301,$I43,AQ43),0),0)</f>
        <v>0</v>
      </c>
      <c r="AR95" s="79" cm="1">
        <f t="array" ref="AR95">IFERROR(IF(AR21=1,INDEX('Curva S'!$C$2:$BJ$301,$I43,AR43),0),0)</f>
        <v>0</v>
      </c>
      <c r="AS95" s="79" cm="1">
        <f t="array" ref="AS95">IFERROR(IF(AS21=1,INDEX('Curva S'!$C$2:$BJ$301,$I43,AS43),0),0)</f>
        <v>0</v>
      </c>
      <c r="AT95" s="79" cm="1">
        <f t="array" ref="AT95">IFERROR(IF(AT21=1,INDEX('Curva S'!$C$2:$BJ$301,$I43,AT43),0),0)</f>
        <v>0</v>
      </c>
      <c r="AU95" s="79" cm="1">
        <f t="array" ref="AU95">IFERROR(IF(AU21=1,INDEX('Curva S'!$C$2:$BJ$301,$I43,AU43),0),0)</f>
        <v>0</v>
      </c>
      <c r="AV95" s="79" cm="1">
        <f t="array" ref="AV95">IFERROR(IF(AV21=1,INDEX('Curva S'!$C$2:$BJ$301,$I43,AV43),0),0)</f>
        <v>0</v>
      </c>
      <c r="AW95" s="79" cm="1">
        <f t="array" ref="AW95">IFERROR(IF(AW21=1,INDEX('Curva S'!$C$2:$BJ$301,$I43,AW43),0),0)</f>
        <v>0</v>
      </c>
      <c r="AX95" s="79" cm="1">
        <f t="array" ref="AX95">IFERROR(IF(AX21=1,INDEX('Curva S'!$C$2:$BJ$301,$I43,AX43),0),0)</f>
        <v>0</v>
      </c>
      <c r="AY95" s="79" cm="1">
        <f t="array" ref="AY95">IFERROR(IF(AY21=1,INDEX('Curva S'!$C$2:$BJ$301,$I43,AY43),0),0)</f>
        <v>0</v>
      </c>
      <c r="AZ95" s="79" cm="1">
        <f t="array" ref="AZ95">IFERROR(IF(AZ21=1,INDEX('Curva S'!$C$2:$BJ$301,$I43,AZ43),0),0)</f>
        <v>0</v>
      </c>
      <c r="BA95" s="79" cm="1">
        <f t="array" ref="BA95">IFERROR(IF(BA21=1,INDEX('Curva S'!$C$2:$BJ$301,$I43,BA43),0),0)</f>
        <v>0</v>
      </c>
      <c r="BB95" s="79" cm="1">
        <f t="array" ref="BB95">IFERROR(IF(BB21=1,INDEX('Curva S'!$C$2:$BJ$301,$I43,BB43),0),0)</f>
        <v>0</v>
      </c>
      <c r="BC95" s="79" cm="1">
        <f t="array" ref="BC95">IFERROR(IF(BC21=1,INDEX('Curva S'!$C$2:$BJ$301,$I43,BC43),0),0)</f>
        <v>0</v>
      </c>
      <c r="BD95" s="79" cm="1">
        <f t="array" ref="BD95">IFERROR(IF(BD21=1,INDEX('Curva S'!$C$2:$BJ$301,$I43,BD43),0),0)</f>
        <v>0</v>
      </c>
      <c r="BE95" s="79" cm="1">
        <f t="array" ref="BE95">IFERROR(IF(BE21=1,INDEX('Curva S'!$C$2:$BJ$301,$I43,BE43),0),0)</f>
        <v>0</v>
      </c>
      <c r="BF95" s="79" cm="1">
        <f t="array" ref="BF95">IFERROR(IF(BF21=1,INDEX('Curva S'!$C$2:$BJ$301,$I43,BF43),0),0)</f>
        <v>0</v>
      </c>
      <c r="BG95" s="79" cm="1">
        <f t="array" ref="BG95">IFERROR(IF(BG21=1,INDEX('Curva S'!$C$2:$BJ$301,$I43,BG43),0),0)</f>
        <v>0</v>
      </c>
      <c r="BH95" s="79" cm="1">
        <f t="array" ref="BH95">IFERROR(IF(BH21=1,INDEX('Curva S'!$C$2:$BJ$301,$I43,BH43),0),0)</f>
        <v>0</v>
      </c>
      <c r="BI95" s="79" cm="1">
        <f t="array" ref="BI95">IFERROR(IF(BI21=1,INDEX('Curva S'!$C$2:$BJ$301,$I43,BI43),0),0)</f>
        <v>0</v>
      </c>
      <c r="BJ95" s="79" cm="1">
        <f t="array" ref="BJ95">IFERROR(IF(BJ21=1,INDEX('Curva S'!$C$2:$BJ$301,$I43,BJ43),0),0)</f>
        <v>0</v>
      </c>
      <c r="BK95" s="79" cm="1">
        <f t="array" ref="BK95">IFERROR(IF(BK21=1,INDEX('Curva S'!$C$2:$BJ$301,$I43,BK43),0),0)</f>
        <v>0</v>
      </c>
      <c r="BL95" s="79" cm="1">
        <f t="array" ref="BL95">IFERROR(IF(BL21=1,INDEX('Curva S'!$C$2:$BJ$301,$I43,BL43),0),0)</f>
        <v>0</v>
      </c>
      <c r="BM95" s="79" cm="1">
        <f t="array" ref="BM95">IFERROR(IF(BM21=1,INDEX('Curva S'!$C$2:$BJ$301,$I43,BM43),0),0)</f>
        <v>0</v>
      </c>
      <c r="BN95" s="79" cm="1">
        <f t="array" ref="BN95">IFERROR(IF(BN21=1,INDEX('Curva S'!$C$2:$BJ$301,$I43,BN43),0),0)</f>
        <v>0</v>
      </c>
      <c r="BO95" s="79" cm="1">
        <f t="array" ref="BO95">IFERROR(IF(BO21=1,INDEX('Curva S'!$C$2:$BJ$301,$I43,BO43),0),0)</f>
        <v>0</v>
      </c>
      <c r="BP95" s="79" cm="1">
        <f t="array" ref="BP95">IFERROR(IF(BP21=1,INDEX('Curva S'!$C$2:$BJ$301,$I43,BP43),0),0)</f>
        <v>0</v>
      </c>
      <c r="BQ95" s="79" cm="1">
        <f t="array" ref="BQ95">IFERROR(IF(BQ21=1,INDEX('Curva S'!$C$2:$BJ$301,$I43,BQ43),0),0)</f>
        <v>0</v>
      </c>
      <c r="BR95" s="79" cm="1">
        <f t="array" ref="BR95">IFERROR(IF(BR21=1,INDEX('Curva S'!$C$2:$BJ$301,$I43,BR43),0),0)</f>
        <v>0</v>
      </c>
    </row>
    <row r="96" spans="4:70" ht="12" hidden="1" customHeight="1" outlineLevel="1">
      <c r="D96" s="624"/>
      <c r="E96" s="65"/>
      <c r="F96" s="143" t="str">
        <f t="shared" si="66"/>
        <v>Equipe_20</v>
      </c>
      <c r="G96" s="143" t="str">
        <f t="shared" si="65"/>
        <v>Equipe20</v>
      </c>
      <c r="H96" s="79">
        <f t="shared" si="64"/>
        <v>0.99999999999999989</v>
      </c>
      <c r="I96" s="107" t="s">
        <v>371</v>
      </c>
      <c r="J96" s="65"/>
      <c r="K96" s="79" cm="1">
        <f t="array" ref="K96">IFERROR(IF(K22=1,INDEX('Curva S'!$C$2:$BJ$301,$I44,K44),0),0)</f>
        <v>0.1</v>
      </c>
      <c r="L96" s="79" cm="1">
        <f t="array" ref="L96">IFERROR(IF(L22=1,INDEX('Curva S'!$C$2:$BJ$301,$I44,L44),0),0)</f>
        <v>0.1</v>
      </c>
      <c r="M96" s="79" cm="1">
        <f t="array" ref="M96">IFERROR(IF(M22=1,INDEX('Curva S'!$C$2:$BJ$301,$I44,M44),0),0)</f>
        <v>0.1</v>
      </c>
      <c r="N96" s="79" cm="1">
        <f t="array" ref="N96">IFERROR(IF(N22=1,INDEX('Curva S'!$C$2:$BJ$301,$I44,N44),0),0)</f>
        <v>0.1</v>
      </c>
      <c r="O96" s="79" cm="1">
        <f t="array" ref="O96">IFERROR(IF(O22=1,INDEX('Curva S'!$C$2:$BJ$301,$I44,O44),0),0)</f>
        <v>0.1</v>
      </c>
      <c r="P96" s="79" cm="1">
        <f t="array" ref="P96">IFERROR(IF(P22=1,INDEX('Curva S'!$C$2:$BJ$301,$I44,P44),0),0)</f>
        <v>0.1</v>
      </c>
      <c r="Q96" s="79" cm="1">
        <f t="array" ref="Q96">IFERROR(IF(Q22=1,INDEX('Curva S'!$C$2:$BJ$301,$I44,Q44),0),0)</f>
        <v>0.1</v>
      </c>
      <c r="R96" s="79" cm="1">
        <f t="array" ref="R96">IFERROR(IF(R22=1,INDEX('Curva S'!$C$2:$BJ$301,$I44,R44),0),0)</f>
        <v>0.1</v>
      </c>
      <c r="S96" s="79" cm="1">
        <f t="array" ref="S96">IFERROR(IF(S22=1,INDEX('Curva S'!$C$2:$BJ$301,$I44,S44),0),0)</f>
        <v>0.1</v>
      </c>
      <c r="T96" s="79" cm="1">
        <f t="array" ref="T96">IFERROR(IF(T22=1,INDEX('Curva S'!$C$2:$BJ$301,$I44,T44),0),0)</f>
        <v>0.1</v>
      </c>
      <c r="U96" s="79" cm="1">
        <f t="array" ref="U96">IFERROR(IF(U22=1,INDEX('Curva S'!$C$2:$BJ$301,$I44,U44),0),0)</f>
        <v>0</v>
      </c>
      <c r="V96" s="79" cm="1">
        <f t="array" ref="V96">IFERROR(IF(V22=1,INDEX('Curva S'!$C$2:$BJ$301,$I44,V44),0),0)</f>
        <v>0</v>
      </c>
      <c r="W96" s="79" cm="1">
        <f t="array" ref="W96">IFERROR(IF(W22=1,INDEX('Curva S'!$C$2:$BJ$301,$I44,W44),0),0)</f>
        <v>0</v>
      </c>
      <c r="X96" s="79" cm="1">
        <f t="array" ref="X96">IFERROR(IF(X22=1,INDEX('Curva S'!$C$2:$BJ$301,$I44,X44),0),0)</f>
        <v>0</v>
      </c>
      <c r="Y96" s="79" cm="1">
        <f t="array" ref="Y96">IFERROR(IF(Y22=1,INDEX('Curva S'!$C$2:$BJ$301,$I44,Y44),0),0)</f>
        <v>0</v>
      </c>
      <c r="Z96" s="79" cm="1">
        <f t="array" ref="Z96">IFERROR(IF(Z22=1,INDEX('Curva S'!$C$2:$BJ$301,$I44,Z44),0),0)</f>
        <v>0</v>
      </c>
      <c r="AA96" s="79" cm="1">
        <f t="array" ref="AA96">IFERROR(IF(AA22=1,INDEX('Curva S'!$C$2:$BJ$301,$I44,AA44),0),0)</f>
        <v>0</v>
      </c>
      <c r="AB96" s="79" cm="1">
        <f t="array" ref="AB96">IFERROR(IF(AB22=1,INDEX('Curva S'!$C$2:$BJ$301,$I44,AB44),0),0)</f>
        <v>0</v>
      </c>
      <c r="AC96" s="79" cm="1">
        <f t="array" ref="AC96">IFERROR(IF(AC22=1,INDEX('Curva S'!$C$2:$BJ$301,$I44,AC44),0),0)</f>
        <v>0</v>
      </c>
      <c r="AD96" s="79" cm="1">
        <f t="array" ref="AD96">IFERROR(IF(AD22=1,INDEX('Curva S'!$C$2:$BJ$301,$I44,AD44),0),0)</f>
        <v>0</v>
      </c>
      <c r="AE96" s="79" cm="1">
        <f t="array" ref="AE96">IFERROR(IF(AE22=1,INDEX('Curva S'!$C$2:$BJ$301,$I44,AE44),0),0)</f>
        <v>0</v>
      </c>
      <c r="AF96" s="79" cm="1">
        <f t="array" ref="AF96">IFERROR(IF(AF22=1,INDEX('Curva S'!$C$2:$BJ$301,$I44,AF44),0),0)</f>
        <v>0</v>
      </c>
      <c r="AG96" s="79" cm="1">
        <f t="array" ref="AG96">IFERROR(IF(AG22=1,INDEX('Curva S'!$C$2:$BJ$301,$I44,AG44),0),0)</f>
        <v>0</v>
      </c>
      <c r="AH96" s="79" cm="1">
        <f t="array" ref="AH96">IFERROR(IF(AH22=1,INDEX('Curva S'!$C$2:$BJ$301,$I44,AH44),0),0)</f>
        <v>0</v>
      </c>
      <c r="AI96" s="79" cm="1">
        <f t="array" ref="AI96">IFERROR(IF(AI22=1,INDEX('Curva S'!$C$2:$BJ$301,$I44,AI44),0),0)</f>
        <v>0</v>
      </c>
      <c r="AJ96" s="79" cm="1">
        <f t="array" ref="AJ96">IFERROR(IF(AJ22=1,INDEX('Curva S'!$C$2:$BJ$301,$I44,AJ44),0),0)</f>
        <v>0</v>
      </c>
      <c r="AK96" s="79" cm="1">
        <f t="array" ref="AK96">IFERROR(IF(AK22=1,INDEX('Curva S'!$C$2:$BJ$301,$I44,AK44),0),0)</f>
        <v>0</v>
      </c>
      <c r="AL96" s="79" cm="1">
        <f t="array" ref="AL96">IFERROR(IF(AL22=1,INDEX('Curva S'!$C$2:$BJ$301,$I44,AL44),0),0)</f>
        <v>0</v>
      </c>
      <c r="AM96" s="79" cm="1">
        <f t="array" ref="AM96">IFERROR(IF(AM22=1,INDEX('Curva S'!$C$2:$BJ$301,$I44,AM44),0),0)</f>
        <v>0</v>
      </c>
      <c r="AN96" s="79" cm="1">
        <f t="array" ref="AN96">IFERROR(IF(AN22=1,INDEX('Curva S'!$C$2:$BJ$301,$I44,AN44),0),0)</f>
        <v>0</v>
      </c>
      <c r="AO96" s="79" cm="1">
        <f t="array" ref="AO96">IFERROR(IF(AO22=1,INDEX('Curva S'!$C$2:$BJ$301,$I44,AO44),0),0)</f>
        <v>0</v>
      </c>
      <c r="AP96" s="79" cm="1">
        <f t="array" ref="AP96">IFERROR(IF(AP22=1,INDEX('Curva S'!$C$2:$BJ$301,$I44,AP44),0),0)</f>
        <v>0</v>
      </c>
      <c r="AQ96" s="79" cm="1">
        <f t="array" ref="AQ96">IFERROR(IF(AQ22=1,INDEX('Curva S'!$C$2:$BJ$301,$I44,AQ44),0),0)</f>
        <v>0</v>
      </c>
      <c r="AR96" s="79" cm="1">
        <f t="array" ref="AR96">IFERROR(IF(AR22=1,INDEX('Curva S'!$C$2:$BJ$301,$I44,AR44),0),0)</f>
        <v>0</v>
      </c>
      <c r="AS96" s="79" cm="1">
        <f t="array" ref="AS96">IFERROR(IF(AS22=1,INDEX('Curva S'!$C$2:$BJ$301,$I44,AS44),0),0)</f>
        <v>0</v>
      </c>
      <c r="AT96" s="79" cm="1">
        <f t="array" ref="AT96">IFERROR(IF(AT22=1,INDEX('Curva S'!$C$2:$BJ$301,$I44,AT44),0),0)</f>
        <v>0</v>
      </c>
      <c r="AU96" s="79" cm="1">
        <f t="array" ref="AU96">IFERROR(IF(AU22=1,INDEX('Curva S'!$C$2:$BJ$301,$I44,AU44),0),0)</f>
        <v>0</v>
      </c>
      <c r="AV96" s="79" cm="1">
        <f t="array" ref="AV96">IFERROR(IF(AV22=1,INDEX('Curva S'!$C$2:$BJ$301,$I44,AV44),0),0)</f>
        <v>0</v>
      </c>
      <c r="AW96" s="79" cm="1">
        <f t="array" ref="AW96">IFERROR(IF(AW22=1,INDEX('Curva S'!$C$2:$BJ$301,$I44,AW44),0),0)</f>
        <v>0</v>
      </c>
      <c r="AX96" s="79" cm="1">
        <f t="array" ref="AX96">IFERROR(IF(AX22=1,INDEX('Curva S'!$C$2:$BJ$301,$I44,AX44),0),0)</f>
        <v>0</v>
      </c>
      <c r="AY96" s="79" cm="1">
        <f t="array" ref="AY96">IFERROR(IF(AY22=1,INDEX('Curva S'!$C$2:$BJ$301,$I44,AY44),0),0)</f>
        <v>0</v>
      </c>
      <c r="AZ96" s="79" cm="1">
        <f t="array" ref="AZ96">IFERROR(IF(AZ22=1,INDEX('Curva S'!$C$2:$BJ$301,$I44,AZ44),0),0)</f>
        <v>0</v>
      </c>
      <c r="BA96" s="79" cm="1">
        <f t="array" ref="BA96">IFERROR(IF(BA22=1,INDEX('Curva S'!$C$2:$BJ$301,$I44,BA44),0),0)</f>
        <v>0</v>
      </c>
      <c r="BB96" s="79" cm="1">
        <f t="array" ref="BB96">IFERROR(IF(BB22=1,INDEX('Curva S'!$C$2:$BJ$301,$I44,BB44),0),0)</f>
        <v>0</v>
      </c>
      <c r="BC96" s="79" cm="1">
        <f t="array" ref="BC96">IFERROR(IF(BC22=1,INDEX('Curva S'!$C$2:$BJ$301,$I44,BC44),0),0)</f>
        <v>0</v>
      </c>
      <c r="BD96" s="79" cm="1">
        <f t="array" ref="BD96">IFERROR(IF(BD22=1,INDEX('Curva S'!$C$2:$BJ$301,$I44,BD44),0),0)</f>
        <v>0</v>
      </c>
      <c r="BE96" s="79" cm="1">
        <f t="array" ref="BE96">IFERROR(IF(BE22=1,INDEX('Curva S'!$C$2:$BJ$301,$I44,BE44),0),0)</f>
        <v>0</v>
      </c>
      <c r="BF96" s="79" cm="1">
        <f t="array" ref="BF96">IFERROR(IF(BF22=1,INDEX('Curva S'!$C$2:$BJ$301,$I44,BF44),0),0)</f>
        <v>0</v>
      </c>
      <c r="BG96" s="79" cm="1">
        <f t="array" ref="BG96">IFERROR(IF(BG22=1,INDEX('Curva S'!$C$2:$BJ$301,$I44,BG44),0),0)</f>
        <v>0</v>
      </c>
      <c r="BH96" s="79" cm="1">
        <f t="array" ref="BH96">IFERROR(IF(BH22=1,INDEX('Curva S'!$C$2:$BJ$301,$I44,BH44),0),0)</f>
        <v>0</v>
      </c>
      <c r="BI96" s="79" cm="1">
        <f t="array" ref="BI96">IFERROR(IF(BI22=1,INDEX('Curva S'!$C$2:$BJ$301,$I44,BI44),0),0)</f>
        <v>0</v>
      </c>
      <c r="BJ96" s="79" cm="1">
        <f t="array" ref="BJ96">IFERROR(IF(BJ22=1,INDEX('Curva S'!$C$2:$BJ$301,$I44,BJ44),0),0)</f>
        <v>0</v>
      </c>
      <c r="BK96" s="79" cm="1">
        <f t="array" ref="BK96">IFERROR(IF(BK22=1,INDEX('Curva S'!$C$2:$BJ$301,$I44,BK44),0),0)</f>
        <v>0</v>
      </c>
      <c r="BL96" s="79" cm="1">
        <f t="array" ref="BL96">IFERROR(IF(BL22=1,INDEX('Curva S'!$C$2:$BJ$301,$I44,BL44),0),0)</f>
        <v>0</v>
      </c>
      <c r="BM96" s="79" cm="1">
        <f t="array" ref="BM96">IFERROR(IF(BM22=1,INDEX('Curva S'!$C$2:$BJ$301,$I44,BM44),0),0)</f>
        <v>0</v>
      </c>
      <c r="BN96" s="79" cm="1">
        <f t="array" ref="BN96">IFERROR(IF(BN22=1,INDEX('Curva S'!$C$2:$BJ$301,$I44,BN44),0),0)</f>
        <v>0</v>
      </c>
      <c r="BO96" s="79" cm="1">
        <f t="array" ref="BO96">IFERROR(IF(BO22=1,INDEX('Curva S'!$C$2:$BJ$301,$I44,BO44),0),0)</f>
        <v>0</v>
      </c>
      <c r="BP96" s="79" cm="1">
        <f t="array" ref="BP96">IFERROR(IF(BP22=1,INDEX('Curva S'!$C$2:$BJ$301,$I44,BP44),0),0)</f>
        <v>0</v>
      </c>
      <c r="BQ96" s="79" cm="1">
        <f t="array" ref="BQ96">IFERROR(IF(BQ22=1,INDEX('Curva S'!$C$2:$BJ$301,$I44,BQ44),0),0)</f>
        <v>0</v>
      </c>
      <c r="BR96" s="79" cm="1">
        <f t="array" ref="BR96">IFERROR(IF(BR22=1,INDEX('Curva S'!$C$2:$BJ$301,$I44,BR44),0),0)</f>
        <v>0</v>
      </c>
    </row>
    <row r="97" spans="4:70" ht="24" customHeight="1">
      <c r="D97" s="65"/>
      <c r="E97" s="65"/>
      <c r="F97" s="610" t="s">
        <v>372</v>
      </c>
      <c r="G97" s="611"/>
      <c r="H97" s="611"/>
      <c r="I97" s="612"/>
      <c r="J97" s="65"/>
      <c r="K97" s="148">
        <f t="shared" ref="K97:AS97" si="67">IFERROR(SUM(K77:K96)/SUM($K$77:$BR$96),0)</f>
        <v>9.999999999999995E-2</v>
      </c>
      <c r="L97" s="148">
        <f t="shared" si="67"/>
        <v>9.999999999999995E-2</v>
      </c>
      <c r="M97" s="148">
        <f t="shared" si="67"/>
        <v>9.999999999999995E-2</v>
      </c>
      <c r="N97" s="148">
        <f t="shared" si="67"/>
        <v>9.999999999999995E-2</v>
      </c>
      <c r="O97" s="148">
        <f t="shared" si="67"/>
        <v>9.999999999999995E-2</v>
      </c>
      <c r="P97" s="148">
        <f t="shared" si="67"/>
        <v>9.999999999999995E-2</v>
      </c>
      <c r="Q97" s="148">
        <f t="shared" si="67"/>
        <v>9.999999999999995E-2</v>
      </c>
      <c r="R97" s="148">
        <f t="shared" si="67"/>
        <v>9.999999999999995E-2</v>
      </c>
      <c r="S97" s="148">
        <f t="shared" si="67"/>
        <v>9.999999999999995E-2</v>
      </c>
      <c r="T97" s="148">
        <f t="shared" si="67"/>
        <v>9.999999999999995E-2</v>
      </c>
      <c r="U97" s="148">
        <f t="shared" si="67"/>
        <v>0</v>
      </c>
      <c r="V97" s="148">
        <f t="shared" si="67"/>
        <v>0</v>
      </c>
      <c r="W97" s="148">
        <f t="shared" si="67"/>
        <v>0</v>
      </c>
      <c r="X97" s="148">
        <f t="shared" si="67"/>
        <v>0</v>
      </c>
      <c r="Y97" s="148">
        <f t="shared" si="67"/>
        <v>0</v>
      </c>
      <c r="Z97" s="148">
        <f t="shared" si="67"/>
        <v>0</v>
      </c>
      <c r="AA97" s="148">
        <f t="shared" si="67"/>
        <v>0</v>
      </c>
      <c r="AB97" s="148">
        <f t="shared" si="67"/>
        <v>0</v>
      </c>
      <c r="AC97" s="148">
        <f t="shared" si="67"/>
        <v>0</v>
      </c>
      <c r="AD97" s="148">
        <f t="shared" si="67"/>
        <v>0</v>
      </c>
      <c r="AE97" s="148">
        <f t="shared" si="67"/>
        <v>0</v>
      </c>
      <c r="AF97" s="148">
        <f t="shared" si="67"/>
        <v>0</v>
      </c>
      <c r="AG97" s="148">
        <f t="shared" si="67"/>
        <v>0</v>
      </c>
      <c r="AH97" s="148">
        <f t="shared" si="67"/>
        <v>0</v>
      </c>
      <c r="AI97" s="148">
        <f t="shared" si="67"/>
        <v>0</v>
      </c>
      <c r="AJ97" s="148">
        <f t="shared" si="67"/>
        <v>0</v>
      </c>
      <c r="AK97" s="148">
        <f t="shared" si="67"/>
        <v>0</v>
      </c>
      <c r="AL97" s="148">
        <f t="shared" si="67"/>
        <v>0</v>
      </c>
      <c r="AM97" s="148">
        <f t="shared" si="67"/>
        <v>0</v>
      </c>
      <c r="AN97" s="148">
        <f t="shared" si="67"/>
        <v>0</v>
      </c>
      <c r="AO97" s="148">
        <f t="shared" si="67"/>
        <v>0</v>
      </c>
      <c r="AP97" s="148">
        <f t="shared" si="67"/>
        <v>0</v>
      </c>
      <c r="AQ97" s="148">
        <f t="shared" si="67"/>
        <v>0</v>
      </c>
      <c r="AR97" s="148">
        <f t="shared" si="67"/>
        <v>0</v>
      </c>
      <c r="AS97" s="148">
        <f t="shared" si="67"/>
        <v>0</v>
      </c>
      <c r="AT97" s="148">
        <f t="shared" ref="AT97:BR97" si="68">IFERROR(SUM(AT77:AT96)/SUM($K$77:$BR$96),0)</f>
        <v>0</v>
      </c>
      <c r="AU97" s="148">
        <f t="shared" si="68"/>
        <v>0</v>
      </c>
      <c r="AV97" s="148">
        <f t="shared" si="68"/>
        <v>0</v>
      </c>
      <c r="AW97" s="148">
        <f t="shared" si="68"/>
        <v>0</v>
      </c>
      <c r="AX97" s="148">
        <f t="shared" si="68"/>
        <v>0</v>
      </c>
      <c r="AY97" s="148">
        <f t="shared" si="68"/>
        <v>0</v>
      </c>
      <c r="AZ97" s="148">
        <f t="shared" si="68"/>
        <v>0</v>
      </c>
      <c r="BA97" s="148">
        <f t="shared" si="68"/>
        <v>0</v>
      </c>
      <c r="BB97" s="148">
        <f t="shared" si="68"/>
        <v>0</v>
      </c>
      <c r="BC97" s="148">
        <f t="shared" si="68"/>
        <v>0</v>
      </c>
      <c r="BD97" s="148">
        <f t="shared" si="68"/>
        <v>0</v>
      </c>
      <c r="BE97" s="148">
        <f t="shared" si="68"/>
        <v>0</v>
      </c>
      <c r="BF97" s="148">
        <f t="shared" si="68"/>
        <v>0</v>
      </c>
      <c r="BG97" s="148">
        <f t="shared" si="68"/>
        <v>0</v>
      </c>
      <c r="BH97" s="148">
        <f t="shared" si="68"/>
        <v>0</v>
      </c>
      <c r="BI97" s="148">
        <f t="shared" si="68"/>
        <v>0</v>
      </c>
      <c r="BJ97" s="148">
        <f t="shared" si="68"/>
        <v>0</v>
      </c>
      <c r="BK97" s="148">
        <f t="shared" si="68"/>
        <v>0</v>
      </c>
      <c r="BL97" s="148">
        <f t="shared" si="68"/>
        <v>0</v>
      </c>
      <c r="BM97" s="148">
        <f t="shared" si="68"/>
        <v>0</v>
      </c>
      <c r="BN97" s="148">
        <f t="shared" si="68"/>
        <v>0</v>
      </c>
      <c r="BO97" s="148">
        <f t="shared" si="68"/>
        <v>0</v>
      </c>
      <c r="BP97" s="148">
        <f t="shared" si="68"/>
        <v>0</v>
      </c>
      <c r="BQ97" s="148">
        <f t="shared" si="68"/>
        <v>0</v>
      </c>
      <c r="BR97" s="148">
        <f t="shared" si="68"/>
        <v>0</v>
      </c>
    </row>
    <row r="98" spans="4:70" ht="24" customHeight="1">
      <c r="D98" s="65"/>
      <c r="E98" s="65"/>
      <c r="F98" s="610" t="s">
        <v>373</v>
      </c>
      <c r="G98" s="611"/>
      <c r="H98" s="611"/>
      <c r="I98" s="612"/>
      <c r="J98" s="65"/>
      <c r="K98" s="148">
        <f>K97</f>
        <v>9.999999999999995E-2</v>
      </c>
      <c r="L98" s="148">
        <f>IF(L97&gt;0,L97+LARGE($K98:K98,1),0)</f>
        <v>0.1999999999999999</v>
      </c>
      <c r="M98" s="148">
        <f>IF(M97&gt;0,M97+LARGE($K98:L98,1),0)</f>
        <v>0.29999999999999982</v>
      </c>
      <c r="N98" s="148">
        <f>IF(N97&gt;0,N97+LARGE($K98:M98,1),0)</f>
        <v>0.3999999999999998</v>
      </c>
      <c r="O98" s="148">
        <f>IF(O97&gt;0,O97+LARGE($K98:N98,1),0)</f>
        <v>0.49999999999999978</v>
      </c>
      <c r="P98" s="148">
        <f>IF(P97&gt;0,P97+LARGE($K98:O98,1),0)</f>
        <v>0.59999999999999976</v>
      </c>
      <c r="Q98" s="148">
        <f>IF(Q97&gt;0,Q97+LARGE($K98:P98,1),0)</f>
        <v>0.69999999999999973</v>
      </c>
      <c r="R98" s="148">
        <f>IF(R97&gt;0,R97+LARGE($K98:Q98,1),0)</f>
        <v>0.79999999999999971</v>
      </c>
      <c r="S98" s="148">
        <f>IF(S97&gt;0,S97+LARGE($K98:R98,1),0)</f>
        <v>0.89999999999999969</v>
      </c>
      <c r="T98" s="148">
        <f>IF(T97&gt;0,T97+LARGE($K98:S98,1),0)</f>
        <v>0.99999999999999967</v>
      </c>
      <c r="U98" s="148">
        <f>IF(U97&gt;0,U97+LARGE($K98:T98,1),0)</f>
        <v>0</v>
      </c>
      <c r="V98" s="148">
        <f>IF(V97&gt;0,V97+LARGE($K98:U98,1),0)</f>
        <v>0</v>
      </c>
      <c r="W98" s="148">
        <f>IF(W97&gt;0,W97+LARGE($K98:V98,1),0)</f>
        <v>0</v>
      </c>
      <c r="X98" s="148">
        <f>IF(X97&gt;0,X97+LARGE($K98:W98,1),0)</f>
        <v>0</v>
      </c>
      <c r="Y98" s="148">
        <f>IF(Y97&gt;0,Y97+LARGE($K98:X98,1),0)</f>
        <v>0</v>
      </c>
      <c r="Z98" s="148">
        <f>IF(Z97&gt;0,Z97+LARGE($K98:Y98,1),0)</f>
        <v>0</v>
      </c>
      <c r="AA98" s="148">
        <f>IF(AA97&gt;0,AA97+LARGE($K98:Z98,1),0)</f>
        <v>0</v>
      </c>
      <c r="AB98" s="148">
        <f>IF(AB97&gt;0,AB97+LARGE($K98:AA98,1),0)</f>
        <v>0</v>
      </c>
      <c r="AC98" s="148">
        <f>IF(AC97&gt;0,AC97+LARGE($K98:AB98,1),0)</f>
        <v>0</v>
      </c>
      <c r="AD98" s="148">
        <f>IF(AD97&gt;0,AD97+LARGE($K98:AC98,1),0)</f>
        <v>0</v>
      </c>
      <c r="AE98" s="148">
        <f>IF(AE97&gt;0,AE97+LARGE($K98:AD98,1),0)</f>
        <v>0</v>
      </c>
      <c r="AF98" s="148">
        <f>IF(AF97&gt;0,AF97+LARGE($K98:AE98,1),0)</f>
        <v>0</v>
      </c>
      <c r="AG98" s="148">
        <f>IF(AG97&gt;0,AG97+LARGE($K98:AF98,1),0)</f>
        <v>0</v>
      </c>
      <c r="AH98" s="148">
        <f>IF(AH97&gt;0,AH97+LARGE($K98:AG98,1),0)</f>
        <v>0</v>
      </c>
      <c r="AI98" s="148">
        <f>IF(AI97&gt;0,AI97+LARGE($K98:AH98,1),0)</f>
        <v>0</v>
      </c>
      <c r="AJ98" s="148">
        <f>IF(AJ97&gt;0,AJ97+LARGE($K98:AI98,1),0)</f>
        <v>0</v>
      </c>
      <c r="AK98" s="148">
        <f>IF(AK97&gt;0,AK97+LARGE($K98:AJ98,1),0)</f>
        <v>0</v>
      </c>
      <c r="AL98" s="148">
        <f>IF(AL97&gt;0,AL97+LARGE($K98:AK98,1),0)</f>
        <v>0</v>
      </c>
      <c r="AM98" s="148">
        <f>IF(AM97&gt;0,AM97+LARGE($K98:AL98,1),0)</f>
        <v>0</v>
      </c>
      <c r="AN98" s="148">
        <f>IF(AN97&gt;0,AN97+LARGE($K98:AM98,1),0)</f>
        <v>0</v>
      </c>
      <c r="AO98" s="148">
        <f>IF(AO97&gt;0,AO97+LARGE($K98:AN98,1),0)</f>
        <v>0</v>
      </c>
      <c r="AP98" s="148">
        <f>IF(AP97&gt;0,AP97+LARGE($K98:AO98,1),0)</f>
        <v>0</v>
      </c>
      <c r="AQ98" s="148">
        <f>IF(AQ97&gt;0,AQ97+LARGE($K98:AP98,1),0)</f>
        <v>0</v>
      </c>
      <c r="AR98" s="148">
        <f>IF(AR97&gt;0,AR97+LARGE($K98:AQ98,1),0)</f>
        <v>0</v>
      </c>
      <c r="AS98" s="148">
        <f>IF(AS97&gt;0,AS97+LARGE($K98:AR98,1),0)</f>
        <v>0</v>
      </c>
      <c r="AT98" s="148">
        <f>IF(AT97&gt;0,AT97+LARGE($K98:AS98,1),0)</f>
        <v>0</v>
      </c>
      <c r="AU98" s="148">
        <f>IF(AU97&gt;0,AU97+LARGE($K98:AT98,1),0)</f>
        <v>0</v>
      </c>
      <c r="AV98" s="148">
        <f>IF(AV97&gt;0,AV97+LARGE($K98:AU98,1),0)</f>
        <v>0</v>
      </c>
      <c r="AW98" s="148">
        <f>IF(AW97&gt;0,AW97+LARGE($K98:AV98,1),0)</f>
        <v>0</v>
      </c>
      <c r="AX98" s="148">
        <f>IF(AX97&gt;0,AX97+LARGE($K98:AW98,1),0)</f>
        <v>0</v>
      </c>
      <c r="AY98" s="148">
        <f>IF(AY97&gt;0,AY97+LARGE($K98:AX98,1),0)</f>
        <v>0</v>
      </c>
      <c r="AZ98" s="148">
        <f>IF(AZ97&gt;0,AZ97+LARGE($K98:AY98,1),0)</f>
        <v>0</v>
      </c>
      <c r="BA98" s="148">
        <f>IF(BA97&gt;0,BA97+LARGE($K98:AZ98,1),0)</f>
        <v>0</v>
      </c>
      <c r="BB98" s="148">
        <f>IF(BB97&gt;0,BB97+LARGE($K98:BA98,1),0)</f>
        <v>0</v>
      </c>
      <c r="BC98" s="148">
        <f>IF(BC97&gt;0,BC97+LARGE($K98:BB98,1),0)</f>
        <v>0</v>
      </c>
      <c r="BD98" s="148">
        <f>IF(BD97&gt;0,BD97+LARGE($K98:BC98,1),0)</f>
        <v>0</v>
      </c>
      <c r="BE98" s="148">
        <f>IF(BE97&gt;0,BE97+LARGE($K98:BD98,1),0)</f>
        <v>0</v>
      </c>
      <c r="BF98" s="148">
        <f>IF(BF97&gt;0,BF97+LARGE($K98:BE98,1),0)</f>
        <v>0</v>
      </c>
      <c r="BG98" s="148">
        <f>IF(BG97&gt;0,BG97+LARGE($K98:BF98,1),0)</f>
        <v>0</v>
      </c>
      <c r="BH98" s="148">
        <f>IF(BH97&gt;0,BH97+LARGE($K98:BG98,1),0)</f>
        <v>0</v>
      </c>
      <c r="BI98" s="148">
        <f>IF(BI97&gt;0,BI97+LARGE($K98:BH98,1),0)</f>
        <v>0</v>
      </c>
      <c r="BJ98" s="148">
        <f>IF(BJ97&gt;0,BJ97+LARGE($K98:BI98,1),0)</f>
        <v>0</v>
      </c>
      <c r="BK98" s="148">
        <f>IF(BK97&gt;0,BK97+LARGE($K98:BJ98,1),0)</f>
        <v>0</v>
      </c>
      <c r="BL98" s="148">
        <f>IF(BL97&gt;0,BL97+LARGE($K98:BK98,1),0)</f>
        <v>0</v>
      </c>
      <c r="BM98" s="148">
        <f>IF(BM97&gt;0,BM97+LARGE($K98:BL98,1),0)</f>
        <v>0</v>
      </c>
      <c r="BN98" s="148">
        <f>IF(BN97&gt;0,BN97+LARGE($K98:BM98,1),0)</f>
        <v>0</v>
      </c>
      <c r="BO98" s="148">
        <f>IF(BO97&gt;0,BO97+LARGE($K98:BN98,1),0)</f>
        <v>0</v>
      </c>
      <c r="BP98" s="148">
        <f>IF(BP97&gt;0,BP97+LARGE($K98:BO98,1),0)</f>
        <v>0</v>
      </c>
      <c r="BQ98" s="148">
        <f>IF(BQ97&gt;0,BQ97+LARGE($K98:BP98,1),0)</f>
        <v>0</v>
      </c>
      <c r="BR98" s="148">
        <f>IF(BR97&gt;0,BR97+LARGE($K98:BQ98,1),0)</f>
        <v>0</v>
      </c>
    </row>
    <row r="99" spans="4:70" ht="12" customHeight="1"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</row>
    <row r="100" spans="4:70" ht="5.0999999999999996" customHeight="1"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</row>
    <row r="101" spans="4:70" ht="12" customHeight="1"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</row>
    <row r="102" spans="4:70" ht="24" customHeight="1" collapsed="1">
      <c r="D102" s="140" t="s">
        <v>374</v>
      </c>
      <c r="E102" s="65"/>
      <c r="F102" s="613" t="s">
        <v>375</v>
      </c>
      <c r="G102" s="613"/>
      <c r="H102" s="613"/>
      <c r="I102" s="613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</row>
    <row r="103" spans="4:70" ht="12" hidden="1" customHeight="1" outlineLevel="1"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</row>
    <row r="104" spans="4:70" ht="24" hidden="1" customHeight="1" outlineLevel="1">
      <c r="D104" s="65"/>
      <c r="E104" s="65"/>
      <c r="F104" s="149" t="s">
        <v>376</v>
      </c>
      <c r="G104" s="149"/>
      <c r="H104" s="149"/>
      <c r="I104" s="149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</row>
    <row r="105" spans="4:70" ht="24" hidden="1" customHeight="1" outlineLevel="1" collapsed="1">
      <c r="D105" s="65"/>
      <c r="E105" s="65"/>
      <c r="F105" s="142" t="s">
        <v>198</v>
      </c>
      <c r="G105" s="142" t="s">
        <v>259</v>
      </c>
      <c r="H105" s="142" t="s">
        <v>377</v>
      </c>
      <c r="I105" s="142" t="s">
        <v>378</v>
      </c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</row>
    <row r="106" spans="4:70" ht="12" hidden="1" customHeight="1" outlineLevel="2">
      <c r="D106" s="620" t="s">
        <v>379</v>
      </c>
      <c r="E106" s="65"/>
      <c r="F106" s="143" t="str">
        <f>F51</f>
        <v>Equipe_01</v>
      </c>
      <c r="G106" s="143" t="str">
        <f>G51</f>
        <v>Equipe01</v>
      </c>
      <c r="H106" s="144">
        <f>SUM(K106:BR106)</f>
        <v>0</v>
      </c>
      <c r="I106" s="144">
        <f>IFERROR(SUM(K106:BR106)/COUNTIF(K106:BR106,"&gt;0"),0)</f>
        <v>0</v>
      </c>
      <c r="J106" s="65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  <c r="AU106" s="107"/>
      <c r="AV106" s="107"/>
      <c r="AW106" s="107"/>
      <c r="AX106" s="107"/>
      <c r="AY106" s="107"/>
      <c r="AZ106" s="107"/>
      <c r="BA106" s="107"/>
      <c r="BB106" s="107"/>
      <c r="BC106" s="107"/>
      <c r="BD106" s="107"/>
      <c r="BE106" s="107"/>
      <c r="BF106" s="107"/>
      <c r="BG106" s="107"/>
      <c r="BH106" s="107"/>
      <c r="BI106" s="107"/>
      <c r="BJ106" s="107"/>
      <c r="BK106" s="107"/>
      <c r="BL106" s="107"/>
      <c r="BM106" s="107"/>
      <c r="BN106" s="107"/>
      <c r="BO106" s="107"/>
      <c r="BP106" s="107"/>
      <c r="BQ106" s="107"/>
      <c r="BR106" s="107"/>
    </row>
    <row r="107" spans="4:70" ht="12" hidden="1" customHeight="1" outlineLevel="2">
      <c r="D107" s="621"/>
      <c r="E107" s="65"/>
      <c r="F107" s="143" t="str">
        <f t="shared" ref="F107:G107" si="69">F52</f>
        <v>Equipe_02</v>
      </c>
      <c r="G107" s="143" t="str">
        <f t="shared" si="69"/>
        <v>Equipe02</v>
      </c>
      <c r="H107" s="144">
        <f t="shared" ref="H107:H125" si="70">SUM(K107:BR107)</f>
        <v>0</v>
      </c>
      <c r="I107" s="144">
        <f t="shared" ref="I107:I126" si="71">IFERROR(SUM(K107:BR107)/COUNTIF(K107:BR107,"&gt;0"),0)</f>
        <v>0</v>
      </c>
      <c r="J107" s="65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7"/>
      <c r="BC107" s="107"/>
      <c r="BD107" s="107"/>
      <c r="BE107" s="107"/>
      <c r="BF107" s="107"/>
      <c r="BG107" s="107"/>
      <c r="BH107" s="107"/>
      <c r="BI107" s="107"/>
      <c r="BJ107" s="107"/>
      <c r="BK107" s="107"/>
      <c r="BL107" s="107"/>
      <c r="BM107" s="107"/>
      <c r="BN107" s="107"/>
      <c r="BO107" s="107"/>
      <c r="BP107" s="107"/>
      <c r="BQ107" s="107"/>
      <c r="BR107" s="107"/>
    </row>
    <row r="108" spans="4:70" ht="12" hidden="1" customHeight="1" outlineLevel="2">
      <c r="D108" s="621"/>
      <c r="E108" s="65"/>
      <c r="F108" s="143" t="str">
        <f t="shared" ref="F108:G108" si="72">F53</f>
        <v>Equipe_03</v>
      </c>
      <c r="G108" s="143" t="str">
        <f t="shared" si="72"/>
        <v>Equipe03</v>
      </c>
      <c r="H108" s="144">
        <f t="shared" si="70"/>
        <v>0</v>
      </c>
      <c r="I108" s="144">
        <f t="shared" si="71"/>
        <v>0</v>
      </c>
      <c r="J108" s="65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  <c r="BE108" s="107"/>
      <c r="BF108" s="107"/>
      <c r="BG108" s="107"/>
      <c r="BH108" s="107"/>
      <c r="BI108" s="107"/>
      <c r="BJ108" s="107"/>
      <c r="BK108" s="107"/>
      <c r="BL108" s="107"/>
      <c r="BM108" s="107"/>
      <c r="BN108" s="107"/>
      <c r="BO108" s="107"/>
      <c r="BP108" s="107"/>
      <c r="BQ108" s="107"/>
      <c r="BR108" s="107"/>
    </row>
    <row r="109" spans="4:70" ht="12" hidden="1" customHeight="1" outlineLevel="2">
      <c r="D109" s="621"/>
      <c r="E109" s="65"/>
      <c r="F109" s="143" t="str">
        <f t="shared" ref="F109:G109" si="73">F54</f>
        <v>Equipe_04</v>
      </c>
      <c r="G109" s="143" t="str">
        <f t="shared" si="73"/>
        <v>Equipe04</v>
      </c>
      <c r="H109" s="144">
        <f t="shared" si="70"/>
        <v>0</v>
      </c>
      <c r="I109" s="144">
        <f t="shared" si="71"/>
        <v>0</v>
      </c>
      <c r="J109" s="65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7"/>
      <c r="BC109" s="107"/>
      <c r="BD109" s="107"/>
      <c r="BE109" s="107"/>
      <c r="BF109" s="107"/>
      <c r="BG109" s="107"/>
      <c r="BH109" s="107"/>
      <c r="BI109" s="107"/>
      <c r="BJ109" s="107"/>
      <c r="BK109" s="107"/>
      <c r="BL109" s="107"/>
      <c r="BM109" s="107"/>
      <c r="BN109" s="107"/>
      <c r="BO109" s="107"/>
      <c r="BP109" s="107"/>
      <c r="BQ109" s="107"/>
      <c r="BR109" s="107"/>
    </row>
    <row r="110" spans="4:70" ht="12" hidden="1" customHeight="1" outlineLevel="2">
      <c r="D110" s="621"/>
      <c r="E110" s="65"/>
      <c r="F110" s="143" t="str">
        <f t="shared" ref="F110:G110" si="74">F55</f>
        <v>Equipe_05</v>
      </c>
      <c r="G110" s="143" t="str">
        <f t="shared" si="74"/>
        <v>Equipe05</v>
      </c>
      <c r="H110" s="144">
        <f t="shared" si="70"/>
        <v>0</v>
      </c>
      <c r="I110" s="144">
        <f t="shared" si="71"/>
        <v>0</v>
      </c>
      <c r="J110" s="65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7"/>
      <c r="AP110" s="107"/>
      <c r="AQ110" s="107"/>
      <c r="AR110" s="107"/>
      <c r="AS110" s="107"/>
      <c r="AT110" s="107"/>
      <c r="AU110" s="107"/>
      <c r="AV110" s="107"/>
      <c r="AW110" s="107"/>
      <c r="AX110" s="107"/>
      <c r="AY110" s="107"/>
      <c r="AZ110" s="107"/>
      <c r="BA110" s="107"/>
      <c r="BB110" s="107"/>
      <c r="BC110" s="107"/>
      <c r="BD110" s="107"/>
      <c r="BE110" s="107"/>
      <c r="BF110" s="107"/>
      <c r="BG110" s="107"/>
      <c r="BH110" s="107"/>
      <c r="BI110" s="107"/>
      <c r="BJ110" s="107"/>
      <c r="BK110" s="107"/>
      <c r="BL110" s="107"/>
      <c r="BM110" s="107"/>
      <c r="BN110" s="107"/>
      <c r="BO110" s="107"/>
      <c r="BP110" s="107"/>
      <c r="BQ110" s="107"/>
      <c r="BR110" s="107"/>
    </row>
    <row r="111" spans="4:70" ht="12" hidden="1" customHeight="1" outlineLevel="2">
      <c r="D111" s="621"/>
      <c r="E111" s="65"/>
      <c r="F111" s="143" t="str">
        <f t="shared" ref="F111:G111" si="75">F56</f>
        <v>Equipe_06</v>
      </c>
      <c r="G111" s="143" t="str">
        <f t="shared" si="75"/>
        <v>Equipe06</v>
      </c>
      <c r="H111" s="144">
        <f t="shared" si="70"/>
        <v>0</v>
      </c>
      <c r="I111" s="144">
        <f t="shared" si="71"/>
        <v>0</v>
      </c>
      <c r="J111" s="65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  <c r="AN111" s="107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  <c r="BE111" s="107"/>
      <c r="BF111" s="107"/>
      <c r="BG111" s="107"/>
      <c r="BH111" s="107"/>
      <c r="BI111" s="107"/>
      <c r="BJ111" s="107"/>
      <c r="BK111" s="107"/>
      <c r="BL111" s="107"/>
      <c r="BM111" s="107"/>
      <c r="BN111" s="107"/>
      <c r="BO111" s="107"/>
      <c r="BP111" s="107"/>
      <c r="BQ111" s="107"/>
      <c r="BR111" s="107"/>
    </row>
    <row r="112" spans="4:70" ht="12" hidden="1" customHeight="1" outlineLevel="2">
      <c r="D112" s="621"/>
      <c r="E112" s="65"/>
      <c r="F112" s="143" t="str">
        <f t="shared" ref="F112:G112" si="76">F57</f>
        <v>Equipe_07</v>
      </c>
      <c r="G112" s="143" t="str">
        <f t="shared" si="76"/>
        <v>Equipe07</v>
      </c>
      <c r="H112" s="144">
        <f t="shared" si="70"/>
        <v>0</v>
      </c>
      <c r="I112" s="144">
        <f t="shared" si="71"/>
        <v>0</v>
      </c>
      <c r="J112" s="65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/>
      <c r="AL112" s="107"/>
      <c r="AM112" s="107"/>
      <c r="AN112" s="107"/>
      <c r="AO112" s="107"/>
      <c r="AP112" s="107"/>
      <c r="AQ112" s="107"/>
      <c r="AR112" s="107"/>
      <c r="AS112" s="107"/>
      <c r="AT112" s="107"/>
      <c r="AU112" s="107"/>
      <c r="AV112" s="107"/>
      <c r="AW112" s="107"/>
      <c r="AX112" s="107"/>
      <c r="AY112" s="107"/>
      <c r="AZ112" s="107"/>
      <c r="BA112" s="107"/>
      <c r="BB112" s="107"/>
      <c r="BC112" s="107"/>
      <c r="BD112" s="107"/>
      <c r="BE112" s="107"/>
      <c r="BF112" s="107"/>
      <c r="BG112" s="107"/>
      <c r="BH112" s="107"/>
      <c r="BI112" s="107"/>
      <c r="BJ112" s="107"/>
      <c r="BK112" s="107"/>
      <c r="BL112" s="107"/>
      <c r="BM112" s="107"/>
      <c r="BN112" s="107"/>
      <c r="BO112" s="107"/>
      <c r="BP112" s="107"/>
      <c r="BQ112" s="107"/>
      <c r="BR112" s="107"/>
    </row>
    <row r="113" spans="4:72" ht="12" hidden="1" customHeight="1" outlineLevel="2">
      <c r="D113" s="621"/>
      <c r="E113" s="65"/>
      <c r="F113" s="143" t="str">
        <f t="shared" ref="F113:G113" si="77">F58</f>
        <v>Equipe_08</v>
      </c>
      <c r="G113" s="143" t="str">
        <f t="shared" si="77"/>
        <v>Equipe08</v>
      </c>
      <c r="H113" s="144">
        <f t="shared" si="70"/>
        <v>0</v>
      </c>
      <c r="I113" s="144">
        <f t="shared" si="71"/>
        <v>0</v>
      </c>
      <c r="J113" s="65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/>
      <c r="AL113" s="107"/>
      <c r="AM113" s="107"/>
      <c r="AN113" s="107"/>
      <c r="AO113" s="107"/>
      <c r="AP113" s="107"/>
      <c r="AQ113" s="107"/>
      <c r="AR113" s="107"/>
      <c r="AS113" s="107"/>
      <c r="AT113" s="107"/>
      <c r="AU113" s="107"/>
      <c r="AV113" s="107"/>
      <c r="AW113" s="107"/>
      <c r="AX113" s="107"/>
      <c r="AY113" s="107"/>
      <c r="AZ113" s="107"/>
      <c r="BA113" s="107"/>
      <c r="BB113" s="107"/>
      <c r="BC113" s="107"/>
      <c r="BD113" s="107"/>
      <c r="BE113" s="107"/>
      <c r="BF113" s="107"/>
      <c r="BG113" s="107"/>
      <c r="BH113" s="107"/>
      <c r="BI113" s="107"/>
      <c r="BJ113" s="107"/>
      <c r="BK113" s="107"/>
      <c r="BL113" s="107"/>
      <c r="BM113" s="107"/>
      <c r="BN113" s="107"/>
      <c r="BO113" s="107"/>
      <c r="BP113" s="107"/>
      <c r="BQ113" s="107"/>
      <c r="BR113" s="107"/>
      <c r="BS113" s="65"/>
      <c r="BT113" s="65"/>
    </row>
    <row r="114" spans="4:72" ht="12" hidden="1" customHeight="1" outlineLevel="2">
      <c r="D114" s="621"/>
      <c r="E114" s="65"/>
      <c r="F114" s="143" t="str">
        <f t="shared" ref="F114:G114" si="78">F59</f>
        <v>Equipe_09</v>
      </c>
      <c r="G114" s="143" t="str">
        <f t="shared" si="78"/>
        <v>Equipe09</v>
      </c>
      <c r="H114" s="144">
        <f t="shared" si="70"/>
        <v>0</v>
      </c>
      <c r="I114" s="144">
        <f t="shared" si="71"/>
        <v>0</v>
      </c>
      <c r="J114" s="65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  <c r="BE114" s="107"/>
      <c r="BF114" s="107"/>
      <c r="BG114" s="107"/>
      <c r="BH114" s="107"/>
      <c r="BI114" s="107"/>
      <c r="BJ114" s="107"/>
      <c r="BK114" s="107"/>
      <c r="BL114" s="107"/>
      <c r="BM114" s="107"/>
      <c r="BN114" s="107"/>
      <c r="BO114" s="107"/>
      <c r="BP114" s="107"/>
      <c r="BQ114" s="107"/>
      <c r="BR114" s="107"/>
      <c r="BS114" s="65"/>
      <c r="BT114" s="65"/>
    </row>
    <row r="115" spans="4:72" ht="12" hidden="1" customHeight="1" outlineLevel="2">
      <c r="D115" s="621"/>
      <c r="E115" s="65"/>
      <c r="F115" s="143" t="str">
        <f t="shared" ref="F115:G115" si="79">F60</f>
        <v>Equipe_10</v>
      </c>
      <c r="G115" s="143" t="str">
        <f t="shared" si="79"/>
        <v>Equipe10</v>
      </c>
      <c r="H115" s="144">
        <f t="shared" si="70"/>
        <v>0</v>
      </c>
      <c r="I115" s="144">
        <f t="shared" si="71"/>
        <v>0</v>
      </c>
      <c r="J115" s="65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7"/>
      <c r="AM115" s="107"/>
      <c r="AN115" s="107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  <c r="BE115" s="107"/>
      <c r="BF115" s="107"/>
      <c r="BG115" s="107"/>
      <c r="BH115" s="107"/>
      <c r="BI115" s="107"/>
      <c r="BJ115" s="107"/>
      <c r="BK115" s="107"/>
      <c r="BL115" s="107"/>
      <c r="BM115" s="107"/>
      <c r="BN115" s="107"/>
      <c r="BO115" s="107"/>
      <c r="BP115" s="107"/>
      <c r="BQ115" s="107"/>
      <c r="BR115" s="107"/>
      <c r="BS115" s="65"/>
      <c r="BT115" s="65"/>
    </row>
    <row r="116" spans="4:72" ht="12" hidden="1" customHeight="1" outlineLevel="2">
      <c r="D116" s="621"/>
      <c r="E116" s="65"/>
      <c r="F116" s="143" t="str">
        <f t="shared" ref="F116:G116" si="80">F61</f>
        <v>Equipe_11</v>
      </c>
      <c r="G116" s="143" t="str">
        <f t="shared" si="80"/>
        <v>Equipe11</v>
      </c>
      <c r="H116" s="144">
        <f t="shared" si="70"/>
        <v>0</v>
      </c>
      <c r="I116" s="144">
        <f t="shared" si="71"/>
        <v>0</v>
      </c>
      <c r="J116" s="65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7"/>
      <c r="AP116" s="107"/>
      <c r="AQ116" s="107"/>
      <c r="AR116" s="107"/>
      <c r="AS116" s="107"/>
      <c r="AT116" s="107"/>
      <c r="AU116" s="107"/>
      <c r="AV116" s="107"/>
      <c r="AW116" s="107"/>
      <c r="AX116" s="107"/>
      <c r="AY116" s="107"/>
      <c r="AZ116" s="107"/>
      <c r="BA116" s="107"/>
      <c r="BB116" s="107"/>
      <c r="BC116" s="107"/>
      <c r="BD116" s="107"/>
      <c r="BE116" s="107"/>
      <c r="BF116" s="107"/>
      <c r="BG116" s="107"/>
      <c r="BH116" s="107"/>
      <c r="BI116" s="107"/>
      <c r="BJ116" s="107"/>
      <c r="BK116" s="107"/>
      <c r="BL116" s="107"/>
      <c r="BM116" s="107"/>
      <c r="BN116" s="107"/>
      <c r="BO116" s="107"/>
      <c r="BP116" s="107"/>
      <c r="BQ116" s="107"/>
      <c r="BR116" s="107"/>
      <c r="BS116" s="65"/>
      <c r="BT116" s="65"/>
    </row>
    <row r="117" spans="4:72" ht="12" hidden="1" customHeight="1" outlineLevel="2">
      <c r="D117" s="621"/>
      <c r="E117" s="65"/>
      <c r="F117" s="143" t="str">
        <f t="shared" ref="F117:G117" si="81">F62</f>
        <v>Equipe_12</v>
      </c>
      <c r="G117" s="143" t="str">
        <f t="shared" si="81"/>
        <v>Equipe12</v>
      </c>
      <c r="H117" s="144">
        <f t="shared" si="70"/>
        <v>0</v>
      </c>
      <c r="I117" s="144">
        <f t="shared" si="71"/>
        <v>0</v>
      </c>
      <c r="J117" s="65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7"/>
      <c r="AP117" s="107"/>
      <c r="AQ117" s="107"/>
      <c r="AR117" s="107"/>
      <c r="AS117" s="107"/>
      <c r="AT117" s="107"/>
      <c r="AU117" s="107"/>
      <c r="AV117" s="107"/>
      <c r="AW117" s="107"/>
      <c r="AX117" s="107"/>
      <c r="AY117" s="107"/>
      <c r="AZ117" s="107"/>
      <c r="BA117" s="107"/>
      <c r="BB117" s="107"/>
      <c r="BC117" s="107"/>
      <c r="BD117" s="107"/>
      <c r="BE117" s="107"/>
      <c r="BF117" s="107"/>
      <c r="BG117" s="107"/>
      <c r="BH117" s="107"/>
      <c r="BI117" s="107"/>
      <c r="BJ117" s="107"/>
      <c r="BK117" s="107"/>
      <c r="BL117" s="107"/>
      <c r="BM117" s="107"/>
      <c r="BN117" s="107"/>
      <c r="BO117" s="107"/>
      <c r="BP117" s="107"/>
      <c r="BQ117" s="107"/>
      <c r="BR117" s="107"/>
      <c r="BS117" s="65"/>
      <c r="BT117" s="65"/>
    </row>
    <row r="118" spans="4:72" ht="12" hidden="1" customHeight="1" outlineLevel="2">
      <c r="D118" s="621"/>
      <c r="E118" s="65"/>
      <c r="F118" s="143" t="str">
        <f t="shared" ref="F118:G118" si="82">F63</f>
        <v>Equipe_13</v>
      </c>
      <c r="G118" s="143" t="str">
        <f t="shared" si="82"/>
        <v>Equipe13</v>
      </c>
      <c r="H118" s="144">
        <f t="shared" si="70"/>
        <v>0</v>
      </c>
      <c r="I118" s="144">
        <f t="shared" si="71"/>
        <v>0</v>
      </c>
      <c r="J118" s="65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7"/>
      <c r="AP118" s="107"/>
      <c r="AQ118" s="107"/>
      <c r="AR118" s="107"/>
      <c r="AS118" s="107"/>
      <c r="AT118" s="107"/>
      <c r="AU118" s="107"/>
      <c r="AV118" s="107"/>
      <c r="AW118" s="107"/>
      <c r="AX118" s="107"/>
      <c r="AY118" s="107"/>
      <c r="AZ118" s="107"/>
      <c r="BA118" s="107"/>
      <c r="BB118" s="107"/>
      <c r="BC118" s="107"/>
      <c r="BD118" s="107"/>
      <c r="BE118" s="107"/>
      <c r="BF118" s="107"/>
      <c r="BG118" s="107"/>
      <c r="BH118" s="107"/>
      <c r="BI118" s="107"/>
      <c r="BJ118" s="107"/>
      <c r="BK118" s="107"/>
      <c r="BL118" s="107"/>
      <c r="BM118" s="107"/>
      <c r="BN118" s="107"/>
      <c r="BO118" s="107"/>
      <c r="BP118" s="107"/>
      <c r="BQ118" s="107"/>
      <c r="BR118" s="107"/>
      <c r="BS118" s="65"/>
      <c r="BT118" s="65"/>
    </row>
    <row r="119" spans="4:72" ht="12" hidden="1" customHeight="1" outlineLevel="2">
      <c r="D119" s="621"/>
      <c r="E119" s="65"/>
      <c r="F119" s="143" t="str">
        <f t="shared" ref="F119:G119" si="83">F64</f>
        <v>Equipe_14</v>
      </c>
      <c r="G119" s="143" t="str">
        <f t="shared" si="83"/>
        <v>Equipe14</v>
      </c>
      <c r="H119" s="144">
        <f t="shared" si="70"/>
        <v>0</v>
      </c>
      <c r="I119" s="144">
        <f t="shared" si="71"/>
        <v>0</v>
      </c>
      <c r="J119" s="65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/>
      <c r="AO119" s="107"/>
      <c r="AP119" s="107"/>
      <c r="AQ119" s="107"/>
      <c r="AR119" s="107"/>
      <c r="AS119" s="107"/>
      <c r="AT119" s="107"/>
      <c r="AU119" s="107"/>
      <c r="AV119" s="107"/>
      <c r="AW119" s="107"/>
      <c r="AX119" s="107"/>
      <c r="AY119" s="107"/>
      <c r="AZ119" s="107"/>
      <c r="BA119" s="107"/>
      <c r="BB119" s="107"/>
      <c r="BC119" s="107"/>
      <c r="BD119" s="107"/>
      <c r="BE119" s="107"/>
      <c r="BF119" s="107"/>
      <c r="BG119" s="107"/>
      <c r="BH119" s="107"/>
      <c r="BI119" s="107"/>
      <c r="BJ119" s="107"/>
      <c r="BK119" s="107"/>
      <c r="BL119" s="107"/>
      <c r="BM119" s="107"/>
      <c r="BN119" s="107"/>
      <c r="BO119" s="107"/>
      <c r="BP119" s="107"/>
      <c r="BQ119" s="107"/>
      <c r="BR119" s="107"/>
      <c r="BS119" s="65"/>
      <c r="BT119" s="65"/>
    </row>
    <row r="120" spans="4:72" ht="12" hidden="1" customHeight="1" outlineLevel="2">
      <c r="D120" s="621"/>
      <c r="E120" s="65"/>
      <c r="F120" s="143" t="str">
        <f t="shared" ref="F120:G120" si="84">F65</f>
        <v>Equipe_15</v>
      </c>
      <c r="G120" s="143" t="str">
        <f t="shared" si="84"/>
        <v>Equipe15</v>
      </c>
      <c r="H120" s="144">
        <f t="shared" si="70"/>
        <v>0</v>
      </c>
      <c r="I120" s="144">
        <f t="shared" si="71"/>
        <v>0</v>
      </c>
      <c r="J120" s="65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/>
      <c r="AO120" s="107"/>
      <c r="AP120" s="107"/>
      <c r="AQ120" s="107"/>
      <c r="AR120" s="107"/>
      <c r="AS120" s="107"/>
      <c r="AT120" s="107"/>
      <c r="AU120" s="107"/>
      <c r="AV120" s="107"/>
      <c r="AW120" s="107"/>
      <c r="AX120" s="107"/>
      <c r="AY120" s="107"/>
      <c r="AZ120" s="107"/>
      <c r="BA120" s="107"/>
      <c r="BB120" s="107"/>
      <c r="BC120" s="107"/>
      <c r="BD120" s="107"/>
      <c r="BE120" s="107"/>
      <c r="BF120" s="107"/>
      <c r="BG120" s="107"/>
      <c r="BH120" s="107"/>
      <c r="BI120" s="107"/>
      <c r="BJ120" s="107"/>
      <c r="BK120" s="107"/>
      <c r="BL120" s="107"/>
      <c r="BM120" s="107"/>
      <c r="BN120" s="107"/>
      <c r="BO120" s="107"/>
      <c r="BP120" s="107"/>
      <c r="BQ120" s="107"/>
      <c r="BR120" s="107"/>
      <c r="BS120" s="65"/>
      <c r="BT120" s="65"/>
    </row>
    <row r="121" spans="4:72" ht="12" hidden="1" customHeight="1" outlineLevel="2">
      <c r="D121" s="621"/>
      <c r="E121" s="65"/>
      <c r="F121" s="143" t="str">
        <f t="shared" ref="F121:G121" si="85">F66</f>
        <v>Equipe_16</v>
      </c>
      <c r="G121" s="143" t="str">
        <f t="shared" si="85"/>
        <v>Equipe16</v>
      </c>
      <c r="H121" s="144">
        <f t="shared" si="70"/>
        <v>0</v>
      </c>
      <c r="I121" s="144">
        <f t="shared" si="71"/>
        <v>0</v>
      </c>
      <c r="J121" s="65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/>
      <c r="AN121" s="107"/>
      <c r="AO121" s="107"/>
      <c r="AP121" s="107"/>
      <c r="AQ121" s="107"/>
      <c r="AR121" s="107"/>
      <c r="AS121" s="107"/>
      <c r="AT121" s="107"/>
      <c r="AU121" s="107"/>
      <c r="AV121" s="107"/>
      <c r="AW121" s="107"/>
      <c r="AX121" s="107"/>
      <c r="AY121" s="107"/>
      <c r="AZ121" s="107"/>
      <c r="BA121" s="107"/>
      <c r="BB121" s="107"/>
      <c r="BC121" s="107"/>
      <c r="BD121" s="107"/>
      <c r="BE121" s="107"/>
      <c r="BF121" s="107"/>
      <c r="BG121" s="107"/>
      <c r="BH121" s="107"/>
      <c r="BI121" s="107"/>
      <c r="BJ121" s="107"/>
      <c r="BK121" s="107"/>
      <c r="BL121" s="107"/>
      <c r="BM121" s="107"/>
      <c r="BN121" s="107"/>
      <c r="BO121" s="107"/>
      <c r="BP121" s="107"/>
      <c r="BQ121" s="107"/>
      <c r="BR121" s="107"/>
      <c r="BS121" s="65"/>
      <c r="BT121" s="65"/>
    </row>
    <row r="122" spans="4:72" ht="12" hidden="1" customHeight="1" outlineLevel="2">
      <c r="D122" s="621"/>
      <c r="E122" s="65"/>
      <c r="F122" s="143" t="str">
        <f t="shared" ref="F122:G122" si="86">F67</f>
        <v>Equipe_17</v>
      </c>
      <c r="G122" s="143" t="str">
        <f t="shared" si="86"/>
        <v>Equipe17</v>
      </c>
      <c r="H122" s="144">
        <f t="shared" si="70"/>
        <v>0</v>
      </c>
      <c r="I122" s="144">
        <f t="shared" si="71"/>
        <v>0</v>
      </c>
      <c r="J122" s="65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/>
      <c r="AO122" s="107"/>
      <c r="AP122" s="107"/>
      <c r="AQ122" s="107"/>
      <c r="AR122" s="107"/>
      <c r="AS122" s="107"/>
      <c r="AT122" s="107"/>
      <c r="AU122" s="107"/>
      <c r="AV122" s="107"/>
      <c r="AW122" s="107"/>
      <c r="AX122" s="107"/>
      <c r="AY122" s="107"/>
      <c r="AZ122" s="107"/>
      <c r="BA122" s="107"/>
      <c r="BB122" s="107"/>
      <c r="BC122" s="107"/>
      <c r="BD122" s="107"/>
      <c r="BE122" s="107"/>
      <c r="BF122" s="107"/>
      <c r="BG122" s="107"/>
      <c r="BH122" s="107"/>
      <c r="BI122" s="107"/>
      <c r="BJ122" s="107"/>
      <c r="BK122" s="107"/>
      <c r="BL122" s="107"/>
      <c r="BM122" s="107"/>
      <c r="BN122" s="107"/>
      <c r="BO122" s="107"/>
      <c r="BP122" s="107"/>
      <c r="BQ122" s="107"/>
      <c r="BR122" s="107"/>
      <c r="BS122" s="65"/>
      <c r="BT122" s="65"/>
    </row>
    <row r="123" spans="4:72" ht="12" hidden="1" customHeight="1" outlineLevel="2">
      <c r="D123" s="621"/>
      <c r="E123" s="65"/>
      <c r="F123" s="143" t="str">
        <f t="shared" ref="F123:G123" si="87">F68</f>
        <v>Equipe_18</v>
      </c>
      <c r="G123" s="143" t="str">
        <f t="shared" si="87"/>
        <v>Equipe18</v>
      </c>
      <c r="H123" s="144">
        <f t="shared" si="70"/>
        <v>0</v>
      </c>
      <c r="I123" s="144">
        <f t="shared" si="71"/>
        <v>0</v>
      </c>
      <c r="J123" s="65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G123" s="107"/>
      <c r="BH123" s="107"/>
      <c r="BI123" s="107"/>
      <c r="BJ123" s="107"/>
      <c r="BK123" s="107"/>
      <c r="BL123" s="107"/>
      <c r="BM123" s="107"/>
      <c r="BN123" s="107"/>
      <c r="BO123" s="107"/>
      <c r="BP123" s="107"/>
      <c r="BQ123" s="107"/>
      <c r="BR123" s="107"/>
      <c r="BS123" s="65"/>
      <c r="BT123" s="65"/>
    </row>
    <row r="124" spans="4:72" ht="12" hidden="1" customHeight="1" outlineLevel="2">
      <c r="D124" s="621"/>
      <c r="E124" s="65"/>
      <c r="F124" s="143" t="str">
        <f t="shared" ref="F124:G124" si="88">F69</f>
        <v>Equipe_19</v>
      </c>
      <c r="G124" s="143" t="str">
        <f t="shared" si="88"/>
        <v>Equipe19</v>
      </c>
      <c r="H124" s="144">
        <f t="shared" si="70"/>
        <v>0</v>
      </c>
      <c r="I124" s="144">
        <f t="shared" si="71"/>
        <v>0</v>
      </c>
      <c r="J124" s="65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7"/>
      <c r="AP124" s="107"/>
      <c r="AQ124" s="107"/>
      <c r="AR124" s="107"/>
      <c r="AS124" s="107"/>
      <c r="AT124" s="107"/>
      <c r="AU124" s="107"/>
      <c r="AV124" s="107"/>
      <c r="AW124" s="107"/>
      <c r="AX124" s="107"/>
      <c r="AY124" s="107"/>
      <c r="AZ124" s="107"/>
      <c r="BA124" s="107"/>
      <c r="BB124" s="107"/>
      <c r="BC124" s="107"/>
      <c r="BD124" s="107"/>
      <c r="BE124" s="107"/>
      <c r="BF124" s="107"/>
      <c r="BG124" s="107"/>
      <c r="BH124" s="107"/>
      <c r="BI124" s="107"/>
      <c r="BJ124" s="107"/>
      <c r="BK124" s="107"/>
      <c r="BL124" s="107"/>
      <c r="BM124" s="107"/>
      <c r="BN124" s="107"/>
      <c r="BO124" s="107"/>
      <c r="BP124" s="107"/>
      <c r="BQ124" s="107"/>
      <c r="BR124" s="107"/>
      <c r="BS124" s="65"/>
      <c r="BT124" s="65"/>
    </row>
    <row r="125" spans="4:72" ht="12" hidden="1" customHeight="1" outlineLevel="2">
      <c r="D125" s="624"/>
      <c r="E125" s="65"/>
      <c r="F125" s="143" t="str">
        <f t="shared" ref="F125:G125" si="89">F70</f>
        <v>Equipe_20</v>
      </c>
      <c r="G125" s="143" t="str">
        <f t="shared" si="89"/>
        <v>Equipe20</v>
      </c>
      <c r="H125" s="144">
        <f t="shared" si="70"/>
        <v>0</v>
      </c>
      <c r="I125" s="144">
        <f t="shared" si="71"/>
        <v>0</v>
      </c>
      <c r="J125" s="65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/>
      <c r="AO125" s="107"/>
      <c r="AP125" s="107"/>
      <c r="AQ125" s="107"/>
      <c r="AR125" s="107"/>
      <c r="AS125" s="107"/>
      <c r="AT125" s="107"/>
      <c r="AU125" s="107"/>
      <c r="AV125" s="107"/>
      <c r="AW125" s="107"/>
      <c r="AX125" s="107"/>
      <c r="AY125" s="107"/>
      <c r="AZ125" s="107"/>
      <c r="BA125" s="107"/>
      <c r="BB125" s="107"/>
      <c r="BC125" s="107"/>
      <c r="BD125" s="107"/>
      <c r="BE125" s="107"/>
      <c r="BF125" s="107"/>
      <c r="BG125" s="107"/>
      <c r="BH125" s="107"/>
      <c r="BI125" s="107"/>
      <c r="BJ125" s="107"/>
      <c r="BK125" s="107"/>
      <c r="BL125" s="107"/>
      <c r="BM125" s="107"/>
      <c r="BN125" s="107"/>
      <c r="BO125" s="107"/>
      <c r="BP125" s="107"/>
      <c r="BQ125" s="107"/>
      <c r="BR125" s="107"/>
      <c r="BS125" s="65"/>
      <c r="BT125" s="65"/>
    </row>
    <row r="126" spans="4:72" ht="12" hidden="1" customHeight="1" outlineLevel="1">
      <c r="D126" s="65"/>
      <c r="E126" s="65"/>
      <c r="F126" s="617" t="s">
        <v>380</v>
      </c>
      <c r="G126" s="617"/>
      <c r="H126" s="146">
        <f>SUM(H106:H125)</f>
        <v>0</v>
      </c>
      <c r="I126" s="146">
        <f t="shared" si="71"/>
        <v>0</v>
      </c>
      <c r="J126" s="65"/>
      <c r="K126" s="146">
        <f>SUM(K106:K125)</f>
        <v>0</v>
      </c>
      <c r="L126" s="146">
        <f t="shared" ref="L126:BR126" si="90">SUM(L106:L125)</f>
        <v>0</v>
      </c>
      <c r="M126" s="146">
        <f t="shared" si="90"/>
        <v>0</v>
      </c>
      <c r="N126" s="146">
        <f t="shared" si="90"/>
        <v>0</v>
      </c>
      <c r="O126" s="146">
        <f t="shared" si="90"/>
        <v>0</v>
      </c>
      <c r="P126" s="146">
        <f t="shared" si="90"/>
        <v>0</v>
      </c>
      <c r="Q126" s="146">
        <f t="shared" si="90"/>
        <v>0</v>
      </c>
      <c r="R126" s="146">
        <f t="shared" si="90"/>
        <v>0</v>
      </c>
      <c r="S126" s="146">
        <f t="shared" si="90"/>
        <v>0</v>
      </c>
      <c r="T126" s="146">
        <f t="shared" si="90"/>
        <v>0</v>
      </c>
      <c r="U126" s="146">
        <f t="shared" si="90"/>
        <v>0</v>
      </c>
      <c r="V126" s="146">
        <f t="shared" si="90"/>
        <v>0</v>
      </c>
      <c r="W126" s="146">
        <f t="shared" si="90"/>
        <v>0</v>
      </c>
      <c r="X126" s="146">
        <f t="shared" si="90"/>
        <v>0</v>
      </c>
      <c r="Y126" s="146">
        <f t="shared" si="90"/>
        <v>0</v>
      </c>
      <c r="Z126" s="146">
        <f t="shared" si="90"/>
        <v>0</v>
      </c>
      <c r="AA126" s="146">
        <f t="shared" si="90"/>
        <v>0</v>
      </c>
      <c r="AB126" s="146">
        <f t="shared" si="90"/>
        <v>0</v>
      </c>
      <c r="AC126" s="146">
        <f t="shared" si="90"/>
        <v>0</v>
      </c>
      <c r="AD126" s="146">
        <f t="shared" si="90"/>
        <v>0</v>
      </c>
      <c r="AE126" s="146">
        <f t="shared" si="90"/>
        <v>0</v>
      </c>
      <c r="AF126" s="146">
        <f t="shared" si="90"/>
        <v>0</v>
      </c>
      <c r="AG126" s="146">
        <f t="shared" si="90"/>
        <v>0</v>
      </c>
      <c r="AH126" s="146">
        <f t="shared" si="90"/>
        <v>0</v>
      </c>
      <c r="AI126" s="146">
        <f t="shared" si="90"/>
        <v>0</v>
      </c>
      <c r="AJ126" s="146">
        <f t="shared" si="90"/>
        <v>0</v>
      </c>
      <c r="AK126" s="146">
        <f t="shared" si="90"/>
        <v>0</v>
      </c>
      <c r="AL126" s="146">
        <f t="shared" si="90"/>
        <v>0</v>
      </c>
      <c r="AM126" s="146">
        <f t="shared" si="90"/>
        <v>0</v>
      </c>
      <c r="AN126" s="146">
        <f t="shared" si="90"/>
        <v>0</v>
      </c>
      <c r="AO126" s="146">
        <f t="shared" si="90"/>
        <v>0</v>
      </c>
      <c r="AP126" s="146">
        <f t="shared" si="90"/>
        <v>0</v>
      </c>
      <c r="AQ126" s="146">
        <f t="shared" si="90"/>
        <v>0</v>
      </c>
      <c r="AR126" s="146">
        <f t="shared" si="90"/>
        <v>0</v>
      </c>
      <c r="AS126" s="146">
        <f t="shared" si="90"/>
        <v>0</v>
      </c>
      <c r="AT126" s="146">
        <f t="shared" si="90"/>
        <v>0</v>
      </c>
      <c r="AU126" s="146">
        <f t="shared" si="90"/>
        <v>0</v>
      </c>
      <c r="AV126" s="146">
        <f t="shared" si="90"/>
        <v>0</v>
      </c>
      <c r="AW126" s="146">
        <f t="shared" si="90"/>
        <v>0</v>
      </c>
      <c r="AX126" s="146">
        <f t="shared" si="90"/>
        <v>0</v>
      </c>
      <c r="AY126" s="146">
        <f t="shared" si="90"/>
        <v>0</v>
      </c>
      <c r="AZ126" s="146">
        <f t="shared" si="90"/>
        <v>0</v>
      </c>
      <c r="BA126" s="146">
        <f t="shared" si="90"/>
        <v>0</v>
      </c>
      <c r="BB126" s="146">
        <f t="shared" si="90"/>
        <v>0</v>
      </c>
      <c r="BC126" s="146">
        <f t="shared" si="90"/>
        <v>0</v>
      </c>
      <c r="BD126" s="146">
        <f t="shared" si="90"/>
        <v>0</v>
      </c>
      <c r="BE126" s="146">
        <f t="shared" si="90"/>
        <v>0</v>
      </c>
      <c r="BF126" s="146">
        <f t="shared" si="90"/>
        <v>0</v>
      </c>
      <c r="BG126" s="146">
        <f t="shared" si="90"/>
        <v>0</v>
      </c>
      <c r="BH126" s="146">
        <f t="shared" si="90"/>
        <v>0</v>
      </c>
      <c r="BI126" s="146">
        <f t="shared" si="90"/>
        <v>0</v>
      </c>
      <c r="BJ126" s="146">
        <f t="shared" si="90"/>
        <v>0</v>
      </c>
      <c r="BK126" s="146">
        <f t="shared" si="90"/>
        <v>0</v>
      </c>
      <c r="BL126" s="146">
        <f t="shared" si="90"/>
        <v>0</v>
      </c>
      <c r="BM126" s="146">
        <f t="shared" si="90"/>
        <v>0</v>
      </c>
      <c r="BN126" s="146">
        <f t="shared" si="90"/>
        <v>0</v>
      </c>
      <c r="BO126" s="146">
        <f t="shared" si="90"/>
        <v>0</v>
      </c>
      <c r="BP126" s="146">
        <f t="shared" si="90"/>
        <v>0</v>
      </c>
      <c r="BQ126" s="146">
        <f t="shared" si="90"/>
        <v>0</v>
      </c>
      <c r="BR126" s="146">
        <f t="shared" si="90"/>
        <v>0</v>
      </c>
      <c r="BS126" s="65"/>
      <c r="BT126" s="146">
        <f t="shared" ref="BT126" si="91">SUM(BT116:BT125)</f>
        <v>0</v>
      </c>
    </row>
    <row r="127" spans="4:72" ht="12" hidden="1" customHeight="1" outlineLevel="1"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</row>
    <row r="128" spans="4:72" ht="24" hidden="1" customHeight="1" outlineLevel="1">
      <c r="D128" s="65"/>
      <c r="E128" s="65"/>
      <c r="F128" s="149" t="s">
        <v>381</v>
      </c>
      <c r="G128" s="149"/>
      <c r="H128" s="149"/>
      <c r="I128" s="149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</row>
    <row r="129" spans="4:70" ht="24" hidden="1" customHeight="1" outlineLevel="1" collapsed="1">
      <c r="D129" s="65"/>
      <c r="E129" s="65"/>
      <c r="F129" s="142" t="s">
        <v>198</v>
      </c>
      <c r="G129" s="142" t="s">
        <v>259</v>
      </c>
      <c r="H129" s="142" t="s">
        <v>377</v>
      </c>
      <c r="I129" s="142" t="s">
        <v>378</v>
      </c>
    </row>
    <row r="130" spans="4:70" ht="12" hidden="1" customHeight="1" outlineLevel="2">
      <c r="D130" s="620" t="s">
        <v>382</v>
      </c>
      <c r="E130" s="65"/>
      <c r="F130" s="143" t="str">
        <f>F51</f>
        <v>Equipe_01</v>
      </c>
      <c r="G130" s="151" t="str">
        <f>G51</f>
        <v>Equipe01</v>
      </c>
      <c r="H130" s="144">
        <f>SUM(K130:BR130)</f>
        <v>0</v>
      </c>
      <c r="I130" s="144">
        <f>IFERROR(SUM(K130:BR130)/COUNTIF(K130:BR130,"&gt;0"),0)</f>
        <v>0</v>
      </c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7"/>
      <c r="AP130" s="107"/>
      <c r="AQ130" s="107"/>
      <c r="AR130" s="107"/>
      <c r="AS130" s="107"/>
      <c r="AT130" s="107"/>
      <c r="AU130" s="107"/>
      <c r="AV130" s="107"/>
      <c r="AW130" s="107"/>
      <c r="AX130" s="107"/>
      <c r="AY130" s="107"/>
      <c r="AZ130" s="107"/>
      <c r="BA130" s="107"/>
      <c r="BB130" s="107"/>
      <c r="BC130" s="107"/>
      <c r="BD130" s="107"/>
      <c r="BE130" s="107"/>
      <c r="BF130" s="107"/>
      <c r="BG130" s="107"/>
      <c r="BH130" s="107"/>
      <c r="BI130" s="107"/>
      <c r="BJ130" s="107"/>
      <c r="BK130" s="107"/>
      <c r="BL130" s="107"/>
      <c r="BM130" s="107"/>
      <c r="BN130" s="107"/>
      <c r="BO130" s="107"/>
      <c r="BP130" s="107"/>
      <c r="BQ130" s="107"/>
      <c r="BR130" s="107"/>
    </row>
    <row r="131" spans="4:70" ht="12" hidden="1" customHeight="1" outlineLevel="2">
      <c r="D131" s="621"/>
      <c r="E131" s="65"/>
      <c r="F131" s="143" t="str">
        <f t="shared" ref="F131:G131" si="92">F52</f>
        <v>Equipe_02</v>
      </c>
      <c r="G131" s="151" t="str">
        <f t="shared" si="92"/>
        <v>Equipe02</v>
      </c>
      <c r="H131" s="144">
        <f t="shared" ref="H131:H149" si="93">SUM(K131:BR131)</f>
        <v>0</v>
      </c>
      <c r="I131" s="144">
        <f t="shared" ref="I131:I150" si="94">IFERROR(SUM(K131:BR131)/COUNTIF(K131:BR131,"&gt;0"),0)</f>
        <v>0</v>
      </c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  <c r="AQ131" s="107"/>
      <c r="AR131" s="107"/>
      <c r="AS131" s="107"/>
      <c r="AT131" s="107"/>
      <c r="AU131" s="107"/>
      <c r="AV131" s="107"/>
      <c r="AW131" s="107"/>
      <c r="AX131" s="107"/>
      <c r="AY131" s="107"/>
      <c r="AZ131" s="107"/>
      <c r="BA131" s="107"/>
      <c r="BB131" s="107"/>
      <c r="BC131" s="107"/>
      <c r="BD131" s="107"/>
      <c r="BE131" s="107"/>
      <c r="BF131" s="107"/>
      <c r="BG131" s="107"/>
      <c r="BH131" s="107"/>
      <c r="BI131" s="107"/>
      <c r="BJ131" s="107"/>
      <c r="BK131" s="107"/>
      <c r="BL131" s="107"/>
      <c r="BM131" s="107"/>
      <c r="BN131" s="107"/>
      <c r="BO131" s="107"/>
      <c r="BP131" s="107"/>
      <c r="BQ131" s="107"/>
      <c r="BR131" s="107"/>
    </row>
    <row r="132" spans="4:70" ht="12" hidden="1" customHeight="1" outlineLevel="2">
      <c r="D132" s="621"/>
      <c r="E132" s="65"/>
      <c r="F132" s="143" t="str">
        <f t="shared" ref="F132:G132" si="95">F53</f>
        <v>Equipe_03</v>
      </c>
      <c r="G132" s="151" t="str">
        <f t="shared" si="95"/>
        <v>Equipe03</v>
      </c>
      <c r="H132" s="144">
        <f t="shared" si="93"/>
        <v>0</v>
      </c>
      <c r="I132" s="144">
        <f t="shared" si="94"/>
        <v>0</v>
      </c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  <c r="AQ132" s="107"/>
      <c r="AR132" s="107"/>
      <c r="AS132" s="107"/>
      <c r="AT132" s="107"/>
      <c r="AU132" s="107"/>
      <c r="AV132" s="107"/>
      <c r="AW132" s="107"/>
      <c r="AX132" s="107"/>
      <c r="AY132" s="107"/>
      <c r="AZ132" s="107"/>
      <c r="BA132" s="107"/>
      <c r="BB132" s="107"/>
      <c r="BC132" s="107"/>
      <c r="BD132" s="107"/>
      <c r="BE132" s="107"/>
      <c r="BF132" s="107"/>
      <c r="BG132" s="107"/>
      <c r="BH132" s="107"/>
      <c r="BI132" s="107"/>
      <c r="BJ132" s="107"/>
      <c r="BK132" s="107"/>
      <c r="BL132" s="107"/>
      <c r="BM132" s="107"/>
      <c r="BN132" s="107"/>
      <c r="BO132" s="107"/>
      <c r="BP132" s="107"/>
      <c r="BQ132" s="107"/>
      <c r="BR132" s="107"/>
    </row>
    <row r="133" spans="4:70" ht="12" hidden="1" customHeight="1" outlineLevel="2">
      <c r="D133" s="621"/>
      <c r="E133" s="65"/>
      <c r="F133" s="143" t="str">
        <f t="shared" ref="F133:G133" si="96">F54</f>
        <v>Equipe_04</v>
      </c>
      <c r="G133" s="151" t="str">
        <f t="shared" si="96"/>
        <v>Equipe04</v>
      </c>
      <c r="H133" s="144">
        <f t="shared" si="93"/>
        <v>0</v>
      </c>
      <c r="I133" s="144">
        <f t="shared" si="94"/>
        <v>0</v>
      </c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  <c r="AS133" s="107"/>
      <c r="AT133" s="107"/>
      <c r="AU133" s="107"/>
      <c r="AV133" s="107"/>
      <c r="AW133" s="107"/>
      <c r="AX133" s="107"/>
      <c r="AY133" s="107"/>
      <c r="AZ133" s="107"/>
      <c r="BA133" s="107"/>
      <c r="BB133" s="107"/>
      <c r="BC133" s="107"/>
      <c r="BD133" s="107"/>
      <c r="BE133" s="107"/>
      <c r="BF133" s="107"/>
      <c r="BG133" s="107"/>
      <c r="BH133" s="107"/>
      <c r="BI133" s="107"/>
      <c r="BJ133" s="107"/>
      <c r="BK133" s="107"/>
      <c r="BL133" s="107"/>
      <c r="BM133" s="107"/>
      <c r="BN133" s="107"/>
      <c r="BO133" s="107"/>
      <c r="BP133" s="107"/>
      <c r="BQ133" s="107"/>
      <c r="BR133" s="107"/>
    </row>
    <row r="134" spans="4:70" ht="12" hidden="1" customHeight="1" outlineLevel="2">
      <c r="D134" s="621"/>
      <c r="E134" s="65"/>
      <c r="F134" s="143" t="str">
        <f t="shared" ref="F134:G134" si="97">F55</f>
        <v>Equipe_05</v>
      </c>
      <c r="G134" s="151" t="str">
        <f t="shared" si="97"/>
        <v>Equipe05</v>
      </c>
      <c r="H134" s="144">
        <f t="shared" si="93"/>
        <v>0</v>
      </c>
      <c r="I134" s="144">
        <f t="shared" si="94"/>
        <v>0</v>
      </c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7"/>
      <c r="AP134" s="107"/>
      <c r="AQ134" s="107"/>
      <c r="AR134" s="107"/>
      <c r="AS134" s="107"/>
      <c r="AT134" s="107"/>
      <c r="AU134" s="107"/>
      <c r="AV134" s="107"/>
      <c r="AW134" s="107"/>
      <c r="AX134" s="107"/>
      <c r="AY134" s="107"/>
      <c r="AZ134" s="107"/>
      <c r="BA134" s="107"/>
      <c r="BB134" s="107"/>
      <c r="BC134" s="107"/>
      <c r="BD134" s="107"/>
      <c r="BE134" s="107"/>
      <c r="BF134" s="107"/>
      <c r="BG134" s="107"/>
      <c r="BH134" s="107"/>
      <c r="BI134" s="107"/>
      <c r="BJ134" s="107"/>
      <c r="BK134" s="107"/>
      <c r="BL134" s="107"/>
      <c r="BM134" s="107"/>
      <c r="BN134" s="107"/>
      <c r="BO134" s="107"/>
      <c r="BP134" s="107"/>
      <c r="BQ134" s="107"/>
      <c r="BR134" s="107"/>
    </row>
    <row r="135" spans="4:70" ht="12" hidden="1" customHeight="1" outlineLevel="2">
      <c r="D135" s="621"/>
      <c r="E135" s="65"/>
      <c r="F135" s="143" t="str">
        <f t="shared" ref="F135:G135" si="98">F56</f>
        <v>Equipe_06</v>
      </c>
      <c r="G135" s="151" t="str">
        <f t="shared" si="98"/>
        <v>Equipe06</v>
      </c>
      <c r="H135" s="144">
        <f t="shared" si="93"/>
        <v>0</v>
      </c>
      <c r="I135" s="144">
        <f t="shared" si="94"/>
        <v>0</v>
      </c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  <c r="AN135" s="107"/>
      <c r="AO135" s="107"/>
      <c r="AP135" s="107"/>
      <c r="AQ135" s="107"/>
      <c r="AR135" s="107"/>
      <c r="AS135" s="107"/>
      <c r="AT135" s="107"/>
      <c r="AU135" s="107"/>
      <c r="AV135" s="107"/>
      <c r="AW135" s="107"/>
      <c r="AX135" s="107"/>
      <c r="AY135" s="107"/>
      <c r="AZ135" s="107"/>
      <c r="BA135" s="107"/>
      <c r="BB135" s="107"/>
      <c r="BC135" s="107"/>
      <c r="BD135" s="107"/>
      <c r="BE135" s="107"/>
      <c r="BF135" s="107"/>
      <c r="BG135" s="107"/>
      <c r="BH135" s="107"/>
      <c r="BI135" s="107"/>
      <c r="BJ135" s="107"/>
      <c r="BK135" s="107"/>
      <c r="BL135" s="107"/>
      <c r="BM135" s="107"/>
      <c r="BN135" s="107"/>
      <c r="BO135" s="107"/>
      <c r="BP135" s="107"/>
      <c r="BQ135" s="107"/>
      <c r="BR135" s="107"/>
    </row>
    <row r="136" spans="4:70" ht="12" hidden="1" customHeight="1" outlineLevel="2">
      <c r="D136" s="621"/>
      <c r="E136" s="65"/>
      <c r="F136" s="143" t="str">
        <f t="shared" ref="F136:G136" si="99">F57</f>
        <v>Equipe_07</v>
      </c>
      <c r="G136" s="151" t="str">
        <f t="shared" si="99"/>
        <v>Equipe07</v>
      </c>
      <c r="H136" s="144">
        <f t="shared" si="93"/>
        <v>0</v>
      </c>
      <c r="I136" s="144">
        <f t="shared" si="94"/>
        <v>0</v>
      </c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  <c r="AS136" s="107"/>
      <c r="AT136" s="107"/>
      <c r="AU136" s="107"/>
      <c r="AV136" s="107"/>
      <c r="AW136" s="107"/>
      <c r="AX136" s="107"/>
      <c r="AY136" s="107"/>
      <c r="AZ136" s="107"/>
      <c r="BA136" s="107"/>
      <c r="BB136" s="107"/>
      <c r="BC136" s="107"/>
      <c r="BD136" s="107"/>
      <c r="BE136" s="107"/>
      <c r="BF136" s="107"/>
      <c r="BG136" s="107"/>
      <c r="BH136" s="107"/>
      <c r="BI136" s="107"/>
      <c r="BJ136" s="107"/>
      <c r="BK136" s="107"/>
      <c r="BL136" s="107"/>
      <c r="BM136" s="107"/>
      <c r="BN136" s="107"/>
      <c r="BO136" s="107"/>
      <c r="BP136" s="107"/>
      <c r="BQ136" s="107"/>
      <c r="BR136" s="107"/>
    </row>
    <row r="137" spans="4:70" ht="12" hidden="1" customHeight="1" outlineLevel="2">
      <c r="D137" s="621"/>
      <c r="E137" s="65"/>
      <c r="F137" s="143" t="str">
        <f t="shared" ref="F137:G137" si="100">F58</f>
        <v>Equipe_08</v>
      </c>
      <c r="G137" s="151" t="str">
        <f t="shared" si="100"/>
        <v>Equipe08</v>
      </c>
      <c r="H137" s="144">
        <f t="shared" si="93"/>
        <v>0</v>
      </c>
      <c r="I137" s="144">
        <f t="shared" si="94"/>
        <v>0</v>
      </c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  <c r="AS137" s="107"/>
      <c r="AT137" s="107"/>
      <c r="AU137" s="107"/>
      <c r="AV137" s="107"/>
      <c r="AW137" s="107"/>
      <c r="AX137" s="107"/>
      <c r="AY137" s="107"/>
      <c r="AZ137" s="107"/>
      <c r="BA137" s="107"/>
      <c r="BB137" s="107"/>
      <c r="BC137" s="107"/>
      <c r="BD137" s="107"/>
      <c r="BE137" s="107"/>
      <c r="BF137" s="107"/>
      <c r="BG137" s="107"/>
      <c r="BH137" s="107"/>
      <c r="BI137" s="107"/>
      <c r="BJ137" s="107"/>
      <c r="BK137" s="107"/>
      <c r="BL137" s="107"/>
      <c r="BM137" s="107"/>
      <c r="BN137" s="107"/>
      <c r="BO137" s="107"/>
      <c r="BP137" s="107"/>
      <c r="BQ137" s="107"/>
      <c r="BR137" s="107"/>
    </row>
    <row r="138" spans="4:70" ht="12" hidden="1" customHeight="1" outlineLevel="2">
      <c r="D138" s="621"/>
      <c r="E138" s="65"/>
      <c r="F138" s="143" t="str">
        <f t="shared" ref="F138:G138" si="101">F59</f>
        <v>Equipe_09</v>
      </c>
      <c r="G138" s="151" t="str">
        <f t="shared" si="101"/>
        <v>Equipe09</v>
      </c>
      <c r="H138" s="144">
        <f t="shared" si="93"/>
        <v>0</v>
      </c>
      <c r="I138" s="144">
        <f t="shared" si="94"/>
        <v>0</v>
      </c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7"/>
      <c r="AP138" s="107"/>
      <c r="AQ138" s="107"/>
      <c r="AR138" s="107"/>
      <c r="AS138" s="107"/>
      <c r="AT138" s="107"/>
      <c r="AU138" s="107"/>
      <c r="AV138" s="107"/>
      <c r="AW138" s="107"/>
      <c r="AX138" s="107"/>
      <c r="AY138" s="107"/>
      <c r="AZ138" s="107"/>
      <c r="BA138" s="107"/>
      <c r="BB138" s="107"/>
      <c r="BC138" s="107"/>
      <c r="BD138" s="107"/>
      <c r="BE138" s="107"/>
      <c r="BF138" s="107"/>
      <c r="BG138" s="107"/>
      <c r="BH138" s="107"/>
      <c r="BI138" s="107"/>
      <c r="BJ138" s="107"/>
      <c r="BK138" s="107"/>
      <c r="BL138" s="107"/>
      <c r="BM138" s="107"/>
      <c r="BN138" s="107"/>
      <c r="BO138" s="107"/>
      <c r="BP138" s="107"/>
      <c r="BQ138" s="107"/>
      <c r="BR138" s="107"/>
    </row>
    <row r="139" spans="4:70" ht="12" hidden="1" customHeight="1" outlineLevel="2">
      <c r="D139" s="621"/>
      <c r="E139" s="65"/>
      <c r="F139" s="143" t="str">
        <f t="shared" ref="F139:G139" si="102">F60</f>
        <v>Equipe_10</v>
      </c>
      <c r="G139" s="151" t="str">
        <f t="shared" si="102"/>
        <v>Equipe10</v>
      </c>
      <c r="H139" s="144">
        <f t="shared" si="93"/>
        <v>0</v>
      </c>
      <c r="I139" s="144">
        <f t="shared" si="94"/>
        <v>0</v>
      </c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7"/>
      <c r="AP139" s="107"/>
      <c r="AQ139" s="107"/>
      <c r="AR139" s="107"/>
      <c r="AS139" s="107"/>
      <c r="AT139" s="107"/>
      <c r="AU139" s="107"/>
      <c r="AV139" s="107"/>
      <c r="AW139" s="107"/>
      <c r="AX139" s="107"/>
      <c r="AY139" s="107"/>
      <c r="AZ139" s="107"/>
      <c r="BA139" s="107"/>
      <c r="BB139" s="107"/>
      <c r="BC139" s="107"/>
      <c r="BD139" s="107"/>
      <c r="BE139" s="107"/>
      <c r="BF139" s="107"/>
      <c r="BG139" s="107"/>
      <c r="BH139" s="107"/>
      <c r="BI139" s="107"/>
      <c r="BJ139" s="107"/>
      <c r="BK139" s="107"/>
      <c r="BL139" s="107"/>
      <c r="BM139" s="107"/>
      <c r="BN139" s="107"/>
      <c r="BO139" s="107"/>
      <c r="BP139" s="107"/>
      <c r="BQ139" s="107"/>
      <c r="BR139" s="107"/>
    </row>
    <row r="140" spans="4:70" ht="12" hidden="1" customHeight="1" outlineLevel="2">
      <c r="D140" s="621"/>
      <c r="E140" s="65"/>
      <c r="F140" s="143" t="str">
        <f t="shared" ref="F140:G140" si="103">F61</f>
        <v>Equipe_11</v>
      </c>
      <c r="G140" s="151" t="str">
        <f t="shared" si="103"/>
        <v>Equipe11</v>
      </c>
      <c r="H140" s="144">
        <f t="shared" si="93"/>
        <v>0</v>
      </c>
      <c r="I140" s="144">
        <f t="shared" si="94"/>
        <v>0</v>
      </c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  <c r="AQ140" s="107"/>
      <c r="AR140" s="107"/>
      <c r="AS140" s="107"/>
      <c r="AT140" s="107"/>
      <c r="AU140" s="107"/>
      <c r="AV140" s="107"/>
      <c r="AW140" s="107"/>
      <c r="AX140" s="107"/>
      <c r="AY140" s="107"/>
      <c r="AZ140" s="107"/>
      <c r="BA140" s="107"/>
      <c r="BB140" s="107"/>
      <c r="BC140" s="107"/>
      <c r="BD140" s="107"/>
      <c r="BE140" s="107"/>
      <c r="BF140" s="107"/>
      <c r="BG140" s="107"/>
      <c r="BH140" s="107"/>
      <c r="BI140" s="107"/>
      <c r="BJ140" s="107"/>
      <c r="BK140" s="107"/>
      <c r="BL140" s="107"/>
      <c r="BM140" s="107"/>
      <c r="BN140" s="107"/>
      <c r="BO140" s="107"/>
      <c r="BP140" s="107"/>
      <c r="BQ140" s="107"/>
      <c r="BR140" s="107"/>
    </row>
    <row r="141" spans="4:70" ht="12" hidden="1" customHeight="1" outlineLevel="2">
      <c r="D141" s="621"/>
      <c r="E141" s="65"/>
      <c r="F141" s="143" t="str">
        <f t="shared" ref="F141:G141" si="104">F62</f>
        <v>Equipe_12</v>
      </c>
      <c r="G141" s="151" t="str">
        <f t="shared" si="104"/>
        <v>Equipe12</v>
      </c>
      <c r="H141" s="144">
        <f t="shared" si="93"/>
        <v>0</v>
      </c>
      <c r="I141" s="144">
        <f t="shared" si="94"/>
        <v>0</v>
      </c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/>
      <c r="AN141" s="107"/>
      <c r="AO141" s="107"/>
      <c r="AP141" s="107"/>
      <c r="AQ141" s="107"/>
      <c r="AR141" s="107"/>
      <c r="AS141" s="107"/>
      <c r="AT141" s="107"/>
      <c r="AU141" s="107"/>
      <c r="AV141" s="107"/>
      <c r="AW141" s="107"/>
      <c r="AX141" s="107"/>
      <c r="AY141" s="107"/>
      <c r="AZ141" s="107"/>
      <c r="BA141" s="107"/>
      <c r="BB141" s="107"/>
      <c r="BC141" s="107"/>
      <c r="BD141" s="107"/>
      <c r="BE141" s="107"/>
      <c r="BF141" s="107"/>
      <c r="BG141" s="107"/>
      <c r="BH141" s="107"/>
      <c r="BI141" s="107"/>
      <c r="BJ141" s="107"/>
      <c r="BK141" s="107"/>
      <c r="BL141" s="107"/>
      <c r="BM141" s="107"/>
      <c r="BN141" s="107"/>
      <c r="BO141" s="107"/>
      <c r="BP141" s="107"/>
      <c r="BQ141" s="107"/>
      <c r="BR141" s="107"/>
    </row>
    <row r="142" spans="4:70" ht="12" hidden="1" customHeight="1" outlineLevel="2">
      <c r="D142" s="621"/>
      <c r="E142" s="65"/>
      <c r="F142" s="143" t="str">
        <f t="shared" ref="F142:G142" si="105">F63</f>
        <v>Equipe_13</v>
      </c>
      <c r="G142" s="151" t="str">
        <f t="shared" si="105"/>
        <v>Equipe13</v>
      </c>
      <c r="H142" s="144">
        <f t="shared" si="93"/>
        <v>0</v>
      </c>
      <c r="I142" s="144">
        <f t="shared" si="94"/>
        <v>0</v>
      </c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/>
      <c r="AN142" s="107"/>
      <c r="AO142" s="107"/>
      <c r="AP142" s="107"/>
      <c r="AQ142" s="107"/>
      <c r="AR142" s="107"/>
      <c r="AS142" s="107"/>
      <c r="AT142" s="107"/>
      <c r="AU142" s="107"/>
      <c r="AV142" s="107"/>
      <c r="AW142" s="107"/>
      <c r="AX142" s="107"/>
      <c r="AY142" s="107"/>
      <c r="AZ142" s="107"/>
      <c r="BA142" s="107"/>
      <c r="BB142" s="107"/>
      <c r="BC142" s="107"/>
      <c r="BD142" s="107"/>
      <c r="BE142" s="107"/>
      <c r="BF142" s="107"/>
      <c r="BG142" s="107"/>
      <c r="BH142" s="107"/>
      <c r="BI142" s="107"/>
      <c r="BJ142" s="107"/>
      <c r="BK142" s="107"/>
      <c r="BL142" s="107"/>
      <c r="BM142" s="107"/>
      <c r="BN142" s="107"/>
      <c r="BO142" s="107"/>
      <c r="BP142" s="107"/>
      <c r="BQ142" s="107"/>
      <c r="BR142" s="107"/>
    </row>
    <row r="143" spans="4:70" ht="12" hidden="1" customHeight="1" outlineLevel="2">
      <c r="D143" s="621"/>
      <c r="E143" s="65"/>
      <c r="F143" s="143" t="str">
        <f t="shared" ref="F143:G143" si="106">F64</f>
        <v>Equipe_14</v>
      </c>
      <c r="G143" s="151" t="str">
        <f t="shared" si="106"/>
        <v>Equipe14</v>
      </c>
      <c r="H143" s="144">
        <f t="shared" si="93"/>
        <v>0</v>
      </c>
      <c r="I143" s="144">
        <f t="shared" si="94"/>
        <v>0</v>
      </c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  <c r="AQ143" s="107"/>
      <c r="AR143" s="107"/>
      <c r="AS143" s="107"/>
      <c r="AT143" s="107"/>
      <c r="AU143" s="107"/>
      <c r="AV143" s="107"/>
      <c r="AW143" s="107"/>
      <c r="AX143" s="107"/>
      <c r="AY143" s="107"/>
      <c r="AZ143" s="107"/>
      <c r="BA143" s="107"/>
      <c r="BB143" s="107"/>
      <c r="BC143" s="107"/>
      <c r="BD143" s="107"/>
      <c r="BE143" s="107"/>
      <c r="BF143" s="107"/>
      <c r="BG143" s="107"/>
      <c r="BH143" s="107"/>
      <c r="BI143" s="107"/>
      <c r="BJ143" s="107"/>
      <c r="BK143" s="107"/>
      <c r="BL143" s="107"/>
      <c r="BM143" s="107"/>
      <c r="BN143" s="107"/>
      <c r="BO143" s="107"/>
      <c r="BP143" s="107"/>
      <c r="BQ143" s="107"/>
      <c r="BR143" s="107"/>
    </row>
    <row r="144" spans="4:70" ht="12" hidden="1" customHeight="1" outlineLevel="2">
      <c r="D144" s="621"/>
      <c r="E144" s="65"/>
      <c r="F144" s="143" t="str">
        <f t="shared" ref="F144:G144" si="107">F65</f>
        <v>Equipe_15</v>
      </c>
      <c r="G144" s="151" t="str">
        <f t="shared" si="107"/>
        <v>Equipe15</v>
      </c>
      <c r="H144" s="144">
        <f t="shared" si="93"/>
        <v>0</v>
      </c>
      <c r="I144" s="144">
        <f t="shared" si="94"/>
        <v>0</v>
      </c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7"/>
      <c r="AM144" s="107"/>
      <c r="AN144" s="107"/>
      <c r="AO144" s="107"/>
      <c r="AP144" s="107"/>
      <c r="AQ144" s="107"/>
      <c r="AR144" s="107"/>
      <c r="AS144" s="107"/>
      <c r="AT144" s="107"/>
      <c r="AU144" s="107"/>
      <c r="AV144" s="107"/>
      <c r="AW144" s="107"/>
      <c r="AX144" s="107"/>
      <c r="AY144" s="107"/>
      <c r="AZ144" s="107"/>
      <c r="BA144" s="107"/>
      <c r="BB144" s="107"/>
      <c r="BC144" s="107"/>
      <c r="BD144" s="107"/>
      <c r="BE144" s="107"/>
      <c r="BF144" s="107"/>
      <c r="BG144" s="107"/>
      <c r="BH144" s="107"/>
      <c r="BI144" s="107"/>
      <c r="BJ144" s="107"/>
      <c r="BK144" s="107"/>
      <c r="BL144" s="107"/>
      <c r="BM144" s="107"/>
      <c r="BN144" s="107"/>
      <c r="BO144" s="107"/>
      <c r="BP144" s="107"/>
      <c r="BQ144" s="107"/>
      <c r="BR144" s="107"/>
    </row>
    <row r="145" spans="4:72" ht="12" hidden="1" customHeight="1" outlineLevel="2">
      <c r="D145" s="621"/>
      <c r="E145" s="65"/>
      <c r="F145" s="143" t="str">
        <f t="shared" ref="F145:G145" si="108">F66</f>
        <v>Equipe_16</v>
      </c>
      <c r="G145" s="151" t="str">
        <f t="shared" si="108"/>
        <v>Equipe16</v>
      </c>
      <c r="H145" s="144">
        <f t="shared" si="93"/>
        <v>0</v>
      </c>
      <c r="I145" s="144">
        <f t="shared" si="94"/>
        <v>0</v>
      </c>
      <c r="J145" s="65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7"/>
      <c r="AP145" s="107"/>
      <c r="AQ145" s="107"/>
      <c r="AR145" s="107"/>
      <c r="AS145" s="107"/>
      <c r="AT145" s="107"/>
      <c r="AU145" s="107"/>
      <c r="AV145" s="107"/>
      <c r="AW145" s="107"/>
      <c r="AX145" s="107"/>
      <c r="AY145" s="107"/>
      <c r="AZ145" s="107"/>
      <c r="BA145" s="107"/>
      <c r="BB145" s="107"/>
      <c r="BC145" s="107"/>
      <c r="BD145" s="107"/>
      <c r="BE145" s="107"/>
      <c r="BF145" s="107"/>
      <c r="BG145" s="107"/>
      <c r="BH145" s="107"/>
      <c r="BI145" s="107"/>
      <c r="BJ145" s="107"/>
      <c r="BK145" s="107"/>
      <c r="BL145" s="107"/>
      <c r="BM145" s="107"/>
      <c r="BN145" s="107"/>
      <c r="BO145" s="107"/>
      <c r="BP145" s="107"/>
      <c r="BQ145" s="107"/>
      <c r="BR145" s="107"/>
      <c r="BS145" s="65"/>
      <c r="BT145" s="65"/>
    </row>
    <row r="146" spans="4:72" ht="12" hidden="1" customHeight="1" outlineLevel="2">
      <c r="D146" s="621"/>
      <c r="E146" s="65"/>
      <c r="F146" s="143" t="str">
        <f t="shared" ref="F146:G146" si="109">F67</f>
        <v>Equipe_17</v>
      </c>
      <c r="G146" s="151" t="str">
        <f t="shared" si="109"/>
        <v>Equipe17</v>
      </c>
      <c r="H146" s="144">
        <f t="shared" si="93"/>
        <v>0</v>
      </c>
      <c r="I146" s="144">
        <f t="shared" si="94"/>
        <v>0</v>
      </c>
      <c r="J146" s="65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7"/>
      <c r="AP146" s="107"/>
      <c r="AQ146" s="107"/>
      <c r="AR146" s="107"/>
      <c r="AS146" s="107"/>
      <c r="AT146" s="107"/>
      <c r="AU146" s="107"/>
      <c r="AV146" s="107"/>
      <c r="AW146" s="107"/>
      <c r="AX146" s="107"/>
      <c r="AY146" s="107"/>
      <c r="AZ146" s="107"/>
      <c r="BA146" s="107"/>
      <c r="BB146" s="107"/>
      <c r="BC146" s="107"/>
      <c r="BD146" s="107"/>
      <c r="BE146" s="107"/>
      <c r="BF146" s="107"/>
      <c r="BG146" s="107"/>
      <c r="BH146" s="107"/>
      <c r="BI146" s="107"/>
      <c r="BJ146" s="107"/>
      <c r="BK146" s="107"/>
      <c r="BL146" s="107"/>
      <c r="BM146" s="107"/>
      <c r="BN146" s="107"/>
      <c r="BO146" s="107"/>
      <c r="BP146" s="107"/>
      <c r="BQ146" s="107"/>
      <c r="BR146" s="107"/>
      <c r="BS146" s="65"/>
      <c r="BT146" s="65"/>
    </row>
    <row r="147" spans="4:72" ht="12" hidden="1" customHeight="1" outlineLevel="2">
      <c r="D147" s="621"/>
      <c r="E147" s="65"/>
      <c r="F147" s="143" t="str">
        <f t="shared" ref="F147:G147" si="110">F68</f>
        <v>Equipe_18</v>
      </c>
      <c r="G147" s="151" t="str">
        <f t="shared" si="110"/>
        <v>Equipe18</v>
      </c>
      <c r="H147" s="144">
        <f t="shared" si="93"/>
        <v>0</v>
      </c>
      <c r="I147" s="144">
        <f t="shared" si="94"/>
        <v>0</v>
      </c>
      <c r="J147" s="65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7"/>
      <c r="AP147" s="107"/>
      <c r="AQ147" s="107"/>
      <c r="AR147" s="107"/>
      <c r="AS147" s="107"/>
      <c r="AT147" s="107"/>
      <c r="AU147" s="107"/>
      <c r="AV147" s="107"/>
      <c r="AW147" s="107"/>
      <c r="AX147" s="107"/>
      <c r="AY147" s="107"/>
      <c r="AZ147" s="107"/>
      <c r="BA147" s="107"/>
      <c r="BB147" s="107"/>
      <c r="BC147" s="107"/>
      <c r="BD147" s="107"/>
      <c r="BE147" s="107"/>
      <c r="BF147" s="107"/>
      <c r="BG147" s="107"/>
      <c r="BH147" s="107"/>
      <c r="BI147" s="107"/>
      <c r="BJ147" s="107"/>
      <c r="BK147" s="107"/>
      <c r="BL147" s="107"/>
      <c r="BM147" s="107"/>
      <c r="BN147" s="107"/>
      <c r="BO147" s="107"/>
      <c r="BP147" s="107"/>
      <c r="BQ147" s="107"/>
      <c r="BR147" s="107"/>
      <c r="BS147" s="65"/>
      <c r="BT147" s="65"/>
    </row>
    <row r="148" spans="4:72" ht="12" hidden="1" customHeight="1" outlineLevel="2">
      <c r="D148" s="621"/>
      <c r="E148" s="65"/>
      <c r="F148" s="143" t="str">
        <f t="shared" ref="F148:G148" si="111">F69</f>
        <v>Equipe_19</v>
      </c>
      <c r="G148" s="151" t="str">
        <f t="shared" si="111"/>
        <v>Equipe19</v>
      </c>
      <c r="H148" s="144">
        <f t="shared" si="93"/>
        <v>0</v>
      </c>
      <c r="I148" s="144">
        <f t="shared" si="94"/>
        <v>0</v>
      </c>
      <c r="J148" s="65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7"/>
      <c r="AP148" s="107"/>
      <c r="AQ148" s="107"/>
      <c r="AR148" s="107"/>
      <c r="AS148" s="107"/>
      <c r="AT148" s="107"/>
      <c r="AU148" s="107"/>
      <c r="AV148" s="107"/>
      <c r="AW148" s="107"/>
      <c r="AX148" s="107"/>
      <c r="AY148" s="107"/>
      <c r="AZ148" s="107"/>
      <c r="BA148" s="107"/>
      <c r="BB148" s="107"/>
      <c r="BC148" s="107"/>
      <c r="BD148" s="107"/>
      <c r="BE148" s="107"/>
      <c r="BF148" s="107"/>
      <c r="BG148" s="107"/>
      <c r="BH148" s="107"/>
      <c r="BI148" s="107"/>
      <c r="BJ148" s="107"/>
      <c r="BK148" s="107"/>
      <c r="BL148" s="107"/>
      <c r="BM148" s="107"/>
      <c r="BN148" s="107"/>
      <c r="BO148" s="107"/>
      <c r="BP148" s="107"/>
      <c r="BQ148" s="107"/>
      <c r="BR148" s="107"/>
      <c r="BS148" s="65"/>
      <c r="BT148" s="65"/>
    </row>
    <row r="149" spans="4:72" ht="12" hidden="1" customHeight="1" outlineLevel="2">
      <c r="D149" s="624"/>
      <c r="E149" s="65"/>
      <c r="F149" s="143" t="str">
        <f t="shared" ref="F149:G149" si="112">F70</f>
        <v>Equipe_20</v>
      </c>
      <c r="G149" s="151" t="str">
        <f t="shared" si="112"/>
        <v>Equipe20</v>
      </c>
      <c r="H149" s="144">
        <f t="shared" si="93"/>
        <v>0</v>
      </c>
      <c r="I149" s="144">
        <f t="shared" si="94"/>
        <v>0</v>
      </c>
      <c r="J149" s="65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7"/>
      <c r="AQ149" s="107"/>
      <c r="AR149" s="107"/>
      <c r="AS149" s="107"/>
      <c r="AT149" s="107"/>
      <c r="AU149" s="107"/>
      <c r="AV149" s="107"/>
      <c r="AW149" s="107"/>
      <c r="AX149" s="107"/>
      <c r="AY149" s="107"/>
      <c r="AZ149" s="107"/>
      <c r="BA149" s="107"/>
      <c r="BB149" s="107"/>
      <c r="BC149" s="107"/>
      <c r="BD149" s="107"/>
      <c r="BE149" s="107"/>
      <c r="BF149" s="107"/>
      <c r="BG149" s="107"/>
      <c r="BH149" s="107"/>
      <c r="BI149" s="107"/>
      <c r="BJ149" s="107"/>
      <c r="BK149" s="107"/>
      <c r="BL149" s="107"/>
      <c r="BM149" s="107"/>
      <c r="BN149" s="107"/>
      <c r="BO149" s="107"/>
      <c r="BP149" s="107"/>
      <c r="BQ149" s="107"/>
      <c r="BR149" s="107"/>
      <c r="BS149" s="65"/>
      <c r="BT149" s="65"/>
    </row>
    <row r="150" spans="4:72" ht="12" hidden="1" customHeight="1" outlineLevel="1">
      <c r="D150" s="65"/>
      <c r="E150" s="65"/>
      <c r="F150" s="617" t="s">
        <v>380</v>
      </c>
      <c r="G150" s="617"/>
      <c r="H150" s="146">
        <f>SUM(H130:H149)</f>
        <v>0</v>
      </c>
      <c r="I150" s="146">
        <f t="shared" si="94"/>
        <v>0</v>
      </c>
      <c r="J150" s="65"/>
      <c r="K150" s="146">
        <f>SUM(K130:K149)</f>
        <v>0</v>
      </c>
      <c r="L150" s="146">
        <f t="shared" ref="L150" si="113">SUM(L130:L149)</f>
        <v>0</v>
      </c>
      <c r="M150" s="146">
        <f t="shared" ref="M150" si="114">SUM(M130:M149)</f>
        <v>0</v>
      </c>
      <c r="N150" s="146">
        <f t="shared" ref="N150" si="115">SUM(N130:N149)</f>
        <v>0</v>
      </c>
      <c r="O150" s="146">
        <f t="shared" ref="O150" si="116">SUM(O130:O149)</f>
        <v>0</v>
      </c>
      <c r="P150" s="146">
        <f t="shared" ref="P150" si="117">SUM(P130:P149)</f>
        <v>0</v>
      </c>
      <c r="Q150" s="146">
        <f t="shared" ref="Q150" si="118">SUM(Q130:Q149)</f>
        <v>0</v>
      </c>
      <c r="R150" s="146">
        <f t="shared" ref="R150" si="119">SUM(R130:R149)</f>
        <v>0</v>
      </c>
      <c r="S150" s="146">
        <f t="shared" ref="S150" si="120">SUM(S130:S149)</f>
        <v>0</v>
      </c>
      <c r="T150" s="146">
        <f t="shared" ref="T150" si="121">SUM(T130:T149)</f>
        <v>0</v>
      </c>
      <c r="U150" s="146">
        <f t="shared" ref="U150" si="122">SUM(U130:U149)</f>
        <v>0</v>
      </c>
      <c r="V150" s="146">
        <f t="shared" ref="V150" si="123">SUM(V130:V149)</f>
        <v>0</v>
      </c>
      <c r="W150" s="146">
        <f t="shared" ref="W150" si="124">SUM(W130:W149)</f>
        <v>0</v>
      </c>
      <c r="X150" s="146">
        <f t="shared" ref="X150" si="125">SUM(X130:X149)</f>
        <v>0</v>
      </c>
      <c r="Y150" s="146">
        <f t="shared" ref="Y150" si="126">SUM(Y130:Y149)</f>
        <v>0</v>
      </c>
      <c r="Z150" s="146">
        <f t="shared" ref="Z150" si="127">SUM(Z130:Z149)</f>
        <v>0</v>
      </c>
      <c r="AA150" s="146">
        <f t="shared" ref="AA150" si="128">SUM(AA130:AA149)</f>
        <v>0</v>
      </c>
      <c r="AB150" s="146">
        <f t="shared" ref="AB150" si="129">SUM(AB130:AB149)</f>
        <v>0</v>
      </c>
      <c r="AC150" s="146">
        <f t="shared" ref="AC150" si="130">SUM(AC130:AC149)</f>
        <v>0</v>
      </c>
      <c r="AD150" s="146">
        <f t="shared" ref="AD150" si="131">SUM(AD130:AD149)</f>
        <v>0</v>
      </c>
      <c r="AE150" s="146">
        <f t="shared" ref="AE150" si="132">SUM(AE130:AE149)</f>
        <v>0</v>
      </c>
      <c r="AF150" s="146">
        <f t="shared" ref="AF150" si="133">SUM(AF130:AF149)</f>
        <v>0</v>
      </c>
      <c r="AG150" s="146">
        <f t="shared" ref="AG150" si="134">SUM(AG130:AG149)</f>
        <v>0</v>
      </c>
      <c r="AH150" s="146">
        <f t="shared" ref="AH150" si="135">SUM(AH130:AH149)</f>
        <v>0</v>
      </c>
      <c r="AI150" s="146">
        <f t="shared" ref="AI150" si="136">SUM(AI130:AI149)</f>
        <v>0</v>
      </c>
      <c r="AJ150" s="146">
        <f t="shared" ref="AJ150" si="137">SUM(AJ130:AJ149)</f>
        <v>0</v>
      </c>
      <c r="AK150" s="146">
        <f t="shared" ref="AK150" si="138">SUM(AK130:AK149)</f>
        <v>0</v>
      </c>
      <c r="AL150" s="146">
        <f t="shared" ref="AL150" si="139">SUM(AL130:AL149)</f>
        <v>0</v>
      </c>
      <c r="AM150" s="146">
        <f t="shared" ref="AM150" si="140">SUM(AM130:AM149)</f>
        <v>0</v>
      </c>
      <c r="AN150" s="146">
        <f t="shared" ref="AN150" si="141">SUM(AN130:AN149)</f>
        <v>0</v>
      </c>
      <c r="AO150" s="146">
        <f t="shared" ref="AO150" si="142">SUM(AO130:AO149)</f>
        <v>0</v>
      </c>
      <c r="AP150" s="146">
        <f t="shared" ref="AP150" si="143">SUM(AP130:AP149)</f>
        <v>0</v>
      </c>
      <c r="AQ150" s="146">
        <f t="shared" ref="AQ150" si="144">SUM(AQ130:AQ149)</f>
        <v>0</v>
      </c>
      <c r="AR150" s="146">
        <f t="shared" ref="AR150" si="145">SUM(AR130:AR149)</f>
        <v>0</v>
      </c>
      <c r="AS150" s="146">
        <f t="shared" ref="AS150" si="146">SUM(AS130:AS149)</f>
        <v>0</v>
      </c>
      <c r="AT150" s="146">
        <f t="shared" ref="AT150" si="147">SUM(AT130:AT149)</f>
        <v>0</v>
      </c>
      <c r="AU150" s="146">
        <f t="shared" ref="AU150" si="148">SUM(AU130:AU149)</f>
        <v>0</v>
      </c>
      <c r="AV150" s="146">
        <f t="shared" ref="AV150" si="149">SUM(AV130:AV149)</f>
        <v>0</v>
      </c>
      <c r="AW150" s="146">
        <f t="shared" ref="AW150" si="150">SUM(AW130:AW149)</f>
        <v>0</v>
      </c>
      <c r="AX150" s="146">
        <f t="shared" ref="AX150" si="151">SUM(AX130:AX149)</f>
        <v>0</v>
      </c>
      <c r="AY150" s="146">
        <f t="shared" ref="AY150" si="152">SUM(AY130:AY149)</f>
        <v>0</v>
      </c>
      <c r="AZ150" s="146">
        <f t="shared" ref="AZ150" si="153">SUM(AZ130:AZ149)</f>
        <v>0</v>
      </c>
      <c r="BA150" s="146">
        <f t="shared" ref="BA150" si="154">SUM(BA130:BA149)</f>
        <v>0</v>
      </c>
      <c r="BB150" s="146">
        <f t="shared" ref="BB150" si="155">SUM(BB130:BB149)</f>
        <v>0</v>
      </c>
      <c r="BC150" s="146">
        <f t="shared" ref="BC150" si="156">SUM(BC130:BC149)</f>
        <v>0</v>
      </c>
      <c r="BD150" s="146">
        <f t="shared" ref="BD150" si="157">SUM(BD130:BD149)</f>
        <v>0</v>
      </c>
      <c r="BE150" s="146">
        <f t="shared" ref="BE150" si="158">SUM(BE130:BE149)</f>
        <v>0</v>
      </c>
      <c r="BF150" s="146">
        <f t="shared" ref="BF150" si="159">SUM(BF130:BF149)</f>
        <v>0</v>
      </c>
      <c r="BG150" s="146">
        <f t="shared" ref="BG150" si="160">SUM(BG130:BG149)</f>
        <v>0</v>
      </c>
      <c r="BH150" s="146">
        <f t="shared" ref="BH150" si="161">SUM(BH130:BH149)</f>
        <v>0</v>
      </c>
      <c r="BI150" s="146">
        <f t="shared" ref="BI150" si="162">SUM(BI130:BI149)</f>
        <v>0</v>
      </c>
      <c r="BJ150" s="146">
        <f t="shared" ref="BJ150" si="163">SUM(BJ130:BJ149)</f>
        <v>0</v>
      </c>
      <c r="BK150" s="146">
        <f t="shared" ref="BK150" si="164">SUM(BK130:BK149)</f>
        <v>0</v>
      </c>
      <c r="BL150" s="146">
        <f t="shared" ref="BL150" si="165">SUM(BL130:BL149)</f>
        <v>0</v>
      </c>
      <c r="BM150" s="146">
        <f t="shared" ref="BM150" si="166">SUM(BM130:BM149)</f>
        <v>0</v>
      </c>
      <c r="BN150" s="146">
        <f t="shared" ref="BN150" si="167">SUM(BN130:BN149)</f>
        <v>0</v>
      </c>
      <c r="BO150" s="146">
        <f t="shared" ref="BO150" si="168">SUM(BO130:BO149)</f>
        <v>0</v>
      </c>
      <c r="BP150" s="146">
        <f t="shared" ref="BP150" si="169">SUM(BP130:BP149)</f>
        <v>0</v>
      </c>
      <c r="BQ150" s="146">
        <f t="shared" ref="BQ150" si="170">SUM(BQ130:BQ149)</f>
        <v>0</v>
      </c>
      <c r="BR150" s="146">
        <f t="shared" ref="BR150" si="171">SUM(BR130:BR149)</f>
        <v>0</v>
      </c>
      <c r="BS150" s="65"/>
      <c r="BT150" s="146">
        <f t="shared" ref="BT150" si="172">SUM(BT140:BT149)</f>
        <v>0</v>
      </c>
    </row>
    <row r="151" spans="4:72" ht="12" hidden="1" customHeight="1" outlineLevel="1"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</row>
    <row r="152" spans="4:72" ht="24" hidden="1" customHeight="1" outlineLevel="1">
      <c r="D152" s="65"/>
      <c r="E152" s="65"/>
      <c r="F152" s="149" t="s">
        <v>383</v>
      </c>
      <c r="G152" s="149"/>
      <c r="H152" s="149"/>
      <c r="I152" s="149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</row>
    <row r="153" spans="4:72" ht="24" hidden="1" customHeight="1" outlineLevel="1" collapsed="1">
      <c r="D153" s="65"/>
      <c r="E153" s="65"/>
      <c r="F153" s="142" t="s">
        <v>198</v>
      </c>
      <c r="G153" s="142" t="s">
        <v>259</v>
      </c>
      <c r="H153" s="142" t="s">
        <v>377</v>
      </c>
      <c r="I153" s="142" t="s">
        <v>378</v>
      </c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</row>
    <row r="154" spans="4:72" ht="12" hidden="1" customHeight="1" outlineLevel="2">
      <c r="D154" s="620" t="s">
        <v>384</v>
      </c>
      <c r="E154" s="65"/>
      <c r="F154" s="143" t="str">
        <f>F51</f>
        <v>Equipe_01</v>
      </c>
      <c r="G154" s="151" t="str">
        <f>G51</f>
        <v>Equipe01</v>
      </c>
      <c r="H154" s="144">
        <f>SUM(K154:BR154)</f>
        <v>0</v>
      </c>
      <c r="I154" s="144">
        <f>IFERROR(SUM(K154:BR154)/COUNTIF(K154:BR154,"&gt;0"),0)</f>
        <v>0</v>
      </c>
      <c r="J154" s="65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7"/>
      <c r="AP154" s="107"/>
      <c r="AQ154" s="107"/>
      <c r="AR154" s="107"/>
      <c r="AS154" s="107"/>
      <c r="AT154" s="107"/>
      <c r="AU154" s="107"/>
      <c r="AV154" s="107"/>
      <c r="AW154" s="107"/>
      <c r="AX154" s="107"/>
      <c r="AY154" s="107"/>
      <c r="AZ154" s="107"/>
      <c r="BA154" s="107"/>
      <c r="BB154" s="107"/>
      <c r="BC154" s="107"/>
      <c r="BD154" s="107"/>
      <c r="BE154" s="107"/>
      <c r="BF154" s="107"/>
      <c r="BG154" s="107"/>
      <c r="BH154" s="107"/>
      <c r="BI154" s="107"/>
      <c r="BJ154" s="107"/>
      <c r="BK154" s="107"/>
      <c r="BL154" s="107"/>
      <c r="BM154" s="107"/>
      <c r="BN154" s="107"/>
      <c r="BO154" s="107"/>
      <c r="BP154" s="107"/>
      <c r="BQ154" s="107"/>
      <c r="BR154" s="107"/>
      <c r="BS154" s="65"/>
      <c r="BT154" s="65"/>
    </row>
    <row r="155" spans="4:72" ht="12" hidden="1" customHeight="1" outlineLevel="2">
      <c r="D155" s="621"/>
      <c r="E155" s="65"/>
      <c r="F155" s="143" t="str">
        <f t="shared" ref="F155:G155" si="173">F52</f>
        <v>Equipe_02</v>
      </c>
      <c r="G155" s="151" t="str">
        <f t="shared" si="173"/>
        <v>Equipe02</v>
      </c>
      <c r="H155" s="144">
        <f t="shared" ref="H155:H173" si="174">SUM(K155:BR155)</f>
        <v>0</v>
      </c>
      <c r="I155" s="144">
        <f t="shared" ref="I155:I174" si="175">IFERROR(SUM(K155:BR155)/COUNTIF(K155:BR155,"&gt;0"),0)</f>
        <v>0</v>
      </c>
      <c r="J155" s="65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7"/>
      <c r="AM155" s="107"/>
      <c r="AN155" s="107"/>
      <c r="AO155" s="107"/>
      <c r="AP155" s="107"/>
      <c r="AQ155" s="107"/>
      <c r="AR155" s="107"/>
      <c r="AS155" s="107"/>
      <c r="AT155" s="107"/>
      <c r="AU155" s="107"/>
      <c r="AV155" s="107"/>
      <c r="AW155" s="107"/>
      <c r="AX155" s="107"/>
      <c r="AY155" s="107"/>
      <c r="AZ155" s="107"/>
      <c r="BA155" s="107"/>
      <c r="BB155" s="107"/>
      <c r="BC155" s="107"/>
      <c r="BD155" s="107"/>
      <c r="BE155" s="107"/>
      <c r="BF155" s="107"/>
      <c r="BG155" s="107"/>
      <c r="BH155" s="107"/>
      <c r="BI155" s="107"/>
      <c r="BJ155" s="107"/>
      <c r="BK155" s="107"/>
      <c r="BL155" s="107"/>
      <c r="BM155" s="107"/>
      <c r="BN155" s="107"/>
      <c r="BO155" s="107"/>
      <c r="BP155" s="107"/>
      <c r="BQ155" s="107"/>
      <c r="BR155" s="107"/>
      <c r="BS155" s="65"/>
      <c r="BT155" s="65"/>
    </row>
    <row r="156" spans="4:72" ht="12" hidden="1" customHeight="1" outlineLevel="2">
      <c r="D156" s="621"/>
      <c r="E156" s="65"/>
      <c r="F156" s="143" t="str">
        <f t="shared" ref="F156:G156" si="176">F53</f>
        <v>Equipe_03</v>
      </c>
      <c r="G156" s="151" t="str">
        <f t="shared" si="176"/>
        <v>Equipe03</v>
      </c>
      <c r="H156" s="144">
        <f t="shared" si="174"/>
        <v>0</v>
      </c>
      <c r="I156" s="144">
        <f t="shared" si="175"/>
        <v>0</v>
      </c>
      <c r="J156" s="65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7"/>
      <c r="AM156" s="107"/>
      <c r="AN156" s="107"/>
      <c r="AO156" s="107"/>
      <c r="AP156" s="107"/>
      <c r="AQ156" s="107"/>
      <c r="AR156" s="107"/>
      <c r="AS156" s="107"/>
      <c r="AT156" s="107"/>
      <c r="AU156" s="107"/>
      <c r="AV156" s="107"/>
      <c r="AW156" s="107"/>
      <c r="AX156" s="107"/>
      <c r="AY156" s="107"/>
      <c r="AZ156" s="107"/>
      <c r="BA156" s="107"/>
      <c r="BB156" s="107"/>
      <c r="BC156" s="107"/>
      <c r="BD156" s="107"/>
      <c r="BE156" s="107"/>
      <c r="BF156" s="107"/>
      <c r="BG156" s="107"/>
      <c r="BH156" s="107"/>
      <c r="BI156" s="107"/>
      <c r="BJ156" s="107"/>
      <c r="BK156" s="107"/>
      <c r="BL156" s="107"/>
      <c r="BM156" s="107"/>
      <c r="BN156" s="107"/>
      <c r="BO156" s="107"/>
      <c r="BP156" s="107"/>
      <c r="BQ156" s="107"/>
      <c r="BR156" s="107"/>
      <c r="BS156" s="65"/>
      <c r="BT156" s="65"/>
    </row>
    <row r="157" spans="4:72" ht="12" hidden="1" customHeight="1" outlineLevel="2">
      <c r="D157" s="621"/>
      <c r="E157" s="65"/>
      <c r="F157" s="143" t="str">
        <f t="shared" ref="F157:G157" si="177">F54</f>
        <v>Equipe_04</v>
      </c>
      <c r="G157" s="151" t="str">
        <f t="shared" si="177"/>
        <v>Equipe04</v>
      </c>
      <c r="H157" s="144">
        <f t="shared" si="174"/>
        <v>0</v>
      </c>
      <c r="I157" s="144">
        <f t="shared" si="175"/>
        <v>0</v>
      </c>
      <c r="J157" s="65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7"/>
      <c r="AM157" s="107"/>
      <c r="AN157" s="107"/>
      <c r="AO157" s="107"/>
      <c r="AP157" s="107"/>
      <c r="AQ157" s="107"/>
      <c r="AR157" s="107"/>
      <c r="AS157" s="107"/>
      <c r="AT157" s="107"/>
      <c r="AU157" s="107"/>
      <c r="AV157" s="107"/>
      <c r="AW157" s="107"/>
      <c r="AX157" s="107"/>
      <c r="AY157" s="107"/>
      <c r="AZ157" s="107"/>
      <c r="BA157" s="107"/>
      <c r="BB157" s="107"/>
      <c r="BC157" s="107"/>
      <c r="BD157" s="107"/>
      <c r="BE157" s="107"/>
      <c r="BF157" s="107"/>
      <c r="BG157" s="107"/>
      <c r="BH157" s="107"/>
      <c r="BI157" s="107"/>
      <c r="BJ157" s="107"/>
      <c r="BK157" s="107"/>
      <c r="BL157" s="107"/>
      <c r="BM157" s="107"/>
      <c r="BN157" s="107"/>
      <c r="BO157" s="107"/>
      <c r="BP157" s="107"/>
      <c r="BQ157" s="107"/>
      <c r="BR157" s="107"/>
      <c r="BS157" s="65"/>
      <c r="BT157" s="65"/>
    </row>
    <row r="158" spans="4:72" ht="12" hidden="1" customHeight="1" outlineLevel="2">
      <c r="D158" s="621"/>
      <c r="E158" s="65"/>
      <c r="F158" s="143" t="str">
        <f t="shared" ref="F158:G158" si="178">F55</f>
        <v>Equipe_05</v>
      </c>
      <c r="G158" s="151" t="str">
        <f t="shared" si="178"/>
        <v>Equipe05</v>
      </c>
      <c r="H158" s="144">
        <f t="shared" si="174"/>
        <v>0</v>
      </c>
      <c r="I158" s="144">
        <f t="shared" si="175"/>
        <v>0</v>
      </c>
      <c r="J158" s="65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7"/>
      <c r="AM158" s="107"/>
      <c r="AN158" s="107"/>
      <c r="AO158" s="107"/>
      <c r="AP158" s="107"/>
      <c r="AQ158" s="107"/>
      <c r="AR158" s="107"/>
      <c r="AS158" s="107"/>
      <c r="AT158" s="107"/>
      <c r="AU158" s="107"/>
      <c r="AV158" s="107"/>
      <c r="AW158" s="107"/>
      <c r="AX158" s="107"/>
      <c r="AY158" s="107"/>
      <c r="AZ158" s="107"/>
      <c r="BA158" s="107"/>
      <c r="BB158" s="107"/>
      <c r="BC158" s="107"/>
      <c r="BD158" s="107"/>
      <c r="BE158" s="107"/>
      <c r="BF158" s="107"/>
      <c r="BG158" s="107"/>
      <c r="BH158" s="107"/>
      <c r="BI158" s="107"/>
      <c r="BJ158" s="107"/>
      <c r="BK158" s="107"/>
      <c r="BL158" s="107"/>
      <c r="BM158" s="107"/>
      <c r="BN158" s="107"/>
      <c r="BO158" s="107"/>
      <c r="BP158" s="107"/>
      <c r="BQ158" s="107"/>
      <c r="BR158" s="107"/>
      <c r="BS158" s="65"/>
      <c r="BT158" s="65"/>
    </row>
    <row r="159" spans="4:72" ht="12" hidden="1" customHeight="1" outlineLevel="2">
      <c r="D159" s="621"/>
      <c r="E159" s="65"/>
      <c r="F159" s="143" t="str">
        <f t="shared" ref="F159:G159" si="179">F56</f>
        <v>Equipe_06</v>
      </c>
      <c r="G159" s="151" t="str">
        <f t="shared" si="179"/>
        <v>Equipe06</v>
      </c>
      <c r="H159" s="144">
        <f t="shared" si="174"/>
        <v>0</v>
      </c>
      <c r="I159" s="144">
        <f t="shared" si="175"/>
        <v>0</v>
      </c>
      <c r="J159" s="65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07"/>
      <c r="AM159" s="107"/>
      <c r="AN159" s="107"/>
      <c r="AO159" s="107"/>
      <c r="AP159" s="107"/>
      <c r="AQ159" s="107"/>
      <c r="AR159" s="107"/>
      <c r="AS159" s="107"/>
      <c r="AT159" s="107"/>
      <c r="AU159" s="107"/>
      <c r="AV159" s="107"/>
      <c r="AW159" s="107"/>
      <c r="AX159" s="107"/>
      <c r="AY159" s="107"/>
      <c r="AZ159" s="107"/>
      <c r="BA159" s="107"/>
      <c r="BB159" s="107"/>
      <c r="BC159" s="107"/>
      <c r="BD159" s="107"/>
      <c r="BE159" s="107"/>
      <c r="BF159" s="107"/>
      <c r="BG159" s="107"/>
      <c r="BH159" s="107"/>
      <c r="BI159" s="107"/>
      <c r="BJ159" s="107"/>
      <c r="BK159" s="107"/>
      <c r="BL159" s="107"/>
      <c r="BM159" s="107"/>
      <c r="BN159" s="107"/>
      <c r="BO159" s="107"/>
      <c r="BP159" s="107"/>
      <c r="BQ159" s="107"/>
      <c r="BR159" s="107"/>
      <c r="BS159" s="65"/>
      <c r="BT159" s="65"/>
    </row>
    <row r="160" spans="4:72" ht="12" hidden="1" customHeight="1" outlineLevel="2">
      <c r="D160" s="621"/>
      <c r="E160" s="65"/>
      <c r="F160" s="143" t="str">
        <f t="shared" ref="F160:G160" si="180">F57</f>
        <v>Equipe_07</v>
      </c>
      <c r="G160" s="151" t="str">
        <f t="shared" si="180"/>
        <v>Equipe07</v>
      </c>
      <c r="H160" s="144">
        <f t="shared" si="174"/>
        <v>0</v>
      </c>
      <c r="I160" s="144">
        <f t="shared" si="175"/>
        <v>0</v>
      </c>
      <c r="J160" s="65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  <c r="AN160" s="107"/>
      <c r="AO160" s="107"/>
      <c r="AP160" s="107"/>
      <c r="AQ160" s="107"/>
      <c r="AR160" s="107"/>
      <c r="AS160" s="107"/>
      <c r="AT160" s="107"/>
      <c r="AU160" s="107"/>
      <c r="AV160" s="107"/>
      <c r="AW160" s="107"/>
      <c r="AX160" s="107"/>
      <c r="AY160" s="107"/>
      <c r="AZ160" s="107"/>
      <c r="BA160" s="107"/>
      <c r="BB160" s="107"/>
      <c r="BC160" s="107"/>
      <c r="BD160" s="107"/>
      <c r="BE160" s="107"/>
      <c r="BF160" s="107"/>
      <c r="BG160" s="107"/>
      <c r="BH160" s="107"/>
      <c r="BI160" s="107"/>
      <c r="BJ160" s="107"/>
      <c r="BK160" s="107"/>
      <c r="BL160" s="107"/>
      <c r="BM160" s="107"/>
      <c r="BN160" s="107"/>
      <c r="BO160" s="107"/>
      <c r="BP160" s="107"/>
      <c r="BQ160" s="107"/>
      <c r="BR160" s="107"/>
      <c r="BS160" s="65"/>
      <c r="BT160" s="65"/>
    </row>
    <row r="161" spans="4:72" ht="12" hidden="1" customHeight="1" outlineLevel="2">
      <c r="D161" s="621"/>
      <c r="E161" s="65"/>
      <c r="F161" s="143" t="str">
        <f t="shared" ref="F161:G161" si="181">F58</f>
        <v>Equipe_08</v>
      </c>
      <c r="G161" s="151" t="str">
        <f t="shared" si="181"/>
        <v>Equipe08</v>
      </c>
      <c r="H161" s="144">
        <f t="shared" si="174"/>
        <v>0</v>
      </c>
      <c r="I161" s="144">
        <f t="shared" si="175"/>
        <v>0</v>
      </c>
      <c r="J161" s="65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7"/>
      <c r="AM161" s="107"/>
      <c r="AN161" s="107"/>
      <c r="AO161" s="107"/>
      <c r="AP161" s="107"/>
      <c r="AQ161" s="107"/>
      <c r="AR161" s="107"/>
      <c r="AS161" s="107"/>
      <c r="AT161" s="107"/>
      <c r="AU161" s="107"/>
      <c r="AV161" s="107"/>
      <c r="AW161" s="107"/>
      <c r="AX161" s="107"/>
      <c r="AY161" s="107"/>
      <c r="AZ161" s="107"/>
      <c r="BA161" s="107"/>
      <c r="BB161" s="107"/>
      <c r="BC161" s="107"/>
      <c r="BD161" s="107"/>
      <c r="BE161" s="107"/>
      <c r="BF161" s="107"/>
      <c r="BG161" s="107"/>
      <c r="BH161" s="107"/>
      <c r="BI161" s="107"/>
      <c r="BJ161" s="107"/>
      <c r="BK161" s="107"/>
      <c r="BL161" s="107"/>
      <c r="BM161" s="107"/>
      <c r="BN161" s="107"/>
      <c r="BO161" s="107"/>
      <c r="BP161" s="107"/>
      <c r="BQ161" s="107"/>
      <c r="BR161" s="107"/>
      <c r="BS161" s="65"/>
      <c r="BT161" s="65"/>
    </row>
    <row r="162" spans="4:72" ht="12" hidden="1" customHeight="1" outlineLevel="2">
      <c r="D162" s="621"/>
      <c r="E162" s="65"/>
      <c r="F162" s="143" t="str">
        <f t="shared" ref="F162:G162" si="182">F59</f>
        <v>Equipe_09</v>
      </c>
      <c r="G162" s="151" t="str">
        <f t="shared" si="182"/>
        <v>Equipe09</v>
      </c>
      <c r="H162" s="144">
        <f t="shared" si="174"/>
        <v>0</v>
      </c>
      <c r="I162" s="144">
        <f t="shared" si="175"/>
        <v>0</v>
      </c>
      <c r="J162" s="65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7"/>
      <c r="AP162" s="107"/>
      <c r="AQ162" s="107"/>
      <c r="AR162" s="107"/>
      <c r="AS162" s="107"/>
      <c r="AT162" s="107"/>
      <c r="AU162" s="107"/>
      <c r="AV162" s="107"/>
      <c r="AW162" s="107"/>
      <c r="AX162" s="107"/>
      <c r="AY162" s="107"/>
      <c r="AZ162" s="107"/>
      <c r="BA162" s="107"/>
      <c r="BB162" s="107"/>
      <c r="BC162" s="107"/>
      <c r="BD162" s="107"/>
      <c r="BE162" s="107"/>
      <c r="BF162" s="107"/>
      <c r="BG162" s="107"/>
      <c r="BH162" s="107"/>
      <c r="BI162" s="107"/>
      <c r="BJ162" s="107"/>
      <c r="BK162" s="107"/>
      <c r="BL162" s="107"/>
      <c r="BM162" s="107"/>
      <c r="BN162" s="107"/>
      <c r="BO162" s="107"/>
      <c r="BP162" s="107"/>
      <c r="BQ162" s="107"/>
      <c r="BR162" s="107"/>
      <c r="BS162" s="65"/>
      <c r="BT162" s="65"/>
    </row>
    <row r="163" spans="4:72" ht="12" hidden="1" customHeight="1" outlineLevel="2">
      <c r="D163" s="621"/>
      <c r="E163" s="65"/>
      <c r="F163" s="143" t="str">
        <f t="shared" ref="F163:G163" si="183">F60</f>
        <v>Equipe_10</v>
      </c>
      <c r="G163" s="151" t="str">
        <f t="shared" si="183"/>
        <v>Equipe10</v>
      </c>
      <c r="H163" s="144">
        <f t="shared" si="174"/>
        <v>0</v>
      </c>
      <c r="I163" s="144">
        <f t="shared" si="175"/>
        <v>0</v>
      </c>
      <c r="J163" s="65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G163" s="107"/>
      <c r="BH163" s="107"/>
      <c r="BI163" s="107"/>
      <c r="BJ163" s="107"/>
      <c r="BK163" s="107"/>
      <c r="BL163" s="107"/>
      <c r="BM163" s="107"/>
      <c r="BN163" s="107"/>
      <c r="BO163" s="107"/>
      <c r="BP163" s="107"/>
      <c r="BQ163" s="107"/>
      <c r="BR163" s="107"/>
      <c r="BS163" s="65"/>
      <c r="BT163" s="65"/>
    </row>
    <row r="164" spans="4:72" ht="12" hidden="1" customHeight="1" outlineLevel="2">
      <c r="D164" s="621"/>
      <c r="E164" s="65"/>
      <c r="F164" s="143" t="str">
        <f t="shared" ref="F164:G164" si="184">F61</f>
        <v>Equipe_11</v>
      </c>
      <c r="G164" s="151" t="str">
        <f t="shared" si="184"/>
        <v>Equipe11</v>
      </c>
      <c r="H164" s="144">
        <f t="shared" si="174"/>
        <v>0</v>
      </c>
      <c r="I164" s="144">
        <f t="shared" si="175"/>
        <v>0</v>
      </c>
      <c r="J164" s="65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  <c r="AS164" s="107"/>
      <c r="AT164" s="107"/>
      <c r="AU164" s="107"/>
      <c r="AV164" s="107"/>
      <c r="AW164" s="107"/>
      <c r="AX164" s="107"/>
      <c r="AY164" s="107"/>
      <c r="AZ164" s="107"/>
      <c r="BA164" s="107"/>
      <c r="BB164" s="107"/>
      <c r="BC164" s="107"/>
      <c r="BD164" s="107"/>
      <c r="BE164" s="107"/>
      <c r="BF164" s="107"/>
      <c r="BG164" s="107"/>
      <c r="BH164" s="107"/>
      <c r="BI164" s="107"/>
      <c r="BJ164" s="107"/>
      <c r="BK164" s="107"/>
      <c r="BL164" s="107"/>
      <c r="BM164" s="107"/>
      <c r="BN164" s="107"/>
      <c r="BO164" s="107"/>
      <c r="BP164" s="107"/>
      <c r="BQ164" s="107"/>
      <c r="BR164" s="107"/>
      <c r="BS164" s="65"/>
      <c r="BT164" s="65"/>
    </row>
    <row r="165" spans="4:72" ht="12" hidden="1" customHeight="1" outlineLevel="2">
      <c r="D165" s="621"/>
      <c r="E165" s="65"/>
      <c r="F165" s="143" t="str">
        <f t="shared" ref="F165:G165" si="185">F62</f>
        <v>Equipe_12</v>
      </c>
      <c r="G165" s="151" t="str">
        <f t="shared" si="185"/>
        <v>Equipe12</v>
      </c>
      <c r="H165" s="144">
        <f t="shared" si="174"/>
        <v>0</v>
      </c>
      <c r="I165" s="144">
        <f t="shared" si="175"/>
        <v>0</v>
      </c>
      <c r="J165" s="65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  <c r="AN165" s="107"/>
      <c r="AO165" s="107"/>
      <c r="AP165" s="107"/>
      <c r="AQ165" s="107"/>
      <c r="AR165" s="107"/>
      <c r="AS165" s="107"/>
      <c r="AT165" s="107"/>
      <c r="AU165" s="107"/>
      <c r="AV165" s="107"/>
      <c r="AW165" s="107"/>
      <c r="AX165" s="107"/>
      <c r="AY165" s="107"/>
      <c r="AZ165" s="107"/>
      <c r="BA165" s="107"/>
      <c r="BB165" s="107"/>
      <c r="BC165" s="107"/>
      <c r="BD165" s="107"/>
      <c r="BE165" s="107"/>
      <c r="BF165" s="107"/>
      <c r="BG165" s="107"/>
      <c r="BH165" s="107"/>
      <c r="BI165" s="107"/>
      <c r="BJ165" s="107"/>
      <c r="BK165" s="107"/>
      <c r="BL165" s="107"/>
      <c r="BM165" s="107"/>
      <c r="BN165" s="107"/>
      <c r="BO165" s="107"/>
      <c r="BP165" s="107"/>
      <c r="BQ165" s="107"/>
      <c r="BR165" s="107"/>
      <c r="BS165" s="65"/>
      <c r="BT165" s="65"/>
    </row>
    <row r="166" spans="4:72" ht="12" hidden="1" customHeight="1" outlineLevel="2">
      <c r="D166" s="621"/>
      <c r="E166" s="65"/>
      <c r="F166" s="143" t="str">
        <f t="shared" ref="F166:G166" si="186">F63</f>
        <v>Equipe_13</v>
      </c>
      <c r="G166" s="151" t="str">
        <f t="shared" si="186"/>
        <v>Equipe13</v>
      </c>
      <c r="H166" s="144">
        <f t="shared" si="174"/>
        <v>0</v>
      </c>
      <c r="I166" s="144">
        <f t="shared" si="175"/>
        <v>0</v>
      </c>
      <c r="J166" s="65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7"/>
      <c r="AO166" s="107"/>
      <c r="AP166" s="107"/>
      <c r="AQ166" s="107"/>
      <c r="AR166" s="107"/>
      <c r="AS166" s="107"/>
      <c r="AT166" s="107"/>
      <c r="AU166" s="107"/>
      <c r="AV166" s="107"/>
      <c r="AW166" s="107"/>
      <c r="AX166" s="107"/>
      <c r="AY166" s="107"/>
      <c r="AZ166" s="107"/>
      <c r="BA166" s="107"/>
      <c r="BB166" s="107"/>
      <c r="BC166" s="107"/>
      <c r="BD166" s="107"/>
      <c r="BE166" s="107"/>
      <c r="BF166" s="107"/>
      <c r="BG166" s="107"/>
      <c r="BH166" s="107"/>
      <c r="BI166" s="107"/>
      <c r="BJ166" s="107"/>
      <c r="BK166" s="107"/>
      <c r="BL166" s="107"/>
      <c r="BM166" s="107"/>
      <c r="BN166" s="107"/>
      <c r="BO166" s="107"/>
      <c r="BP166" s="107"/>
      <c r="BQ166" s="107"/>
      <c r="BR166" s="107"/>
      <c r="BS166" s="65"/>
      <c r="BT166" s="65"/>
    </row>
    <row r="167" spans="4:72" ht="12" hidden="1" customHeight="1" outlineLevel="2">
      <c r="D167" s="621"/>
      <c r="E167" s="65"/>
      <c r="F167" s="143" t="str">
        <f t="shared" ref="F167:G167" si="187">F64</f>
        <v>Equipe_14</v>
      </c>
      <c r="G167" s="151" t="str">
        <f t="shared" si="187"/>
        <v>Equipe14</v>
      </c>
      <c r="H167" s="144">
        <f t="shared" si="174"/>
        <v>0</v>
      </c>
      <c r="I167" s="144">
        <f t="shared" si="175"/>
        <v>0</v>
      </c>
      <c r="J167" s="65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107"/>
      <c r="AN167" s="107"/>
      <c r="AO167" s="107"/>
      <c r="AP167" s="107"/>
      <c r="AQ167" s="107"/>
      <c r="AR167" s="107"/>
      <c r="AS167" s="107"/>
      <c r="AT167" s="107"/>
      <c r="AU167" s="107"/>
      <c r="AV167" s="107"/>
      <c r="AW167" s="107"/>
      <c r="AX167" s="107"/>
      <c r="AY167" s="107"/>
      <c r="AZ167" s="107"/>
      <c r="BA167" s="107"/>
      <c r="BB167" s="107"/>
      <c r="BC167" s="107"/>
      <c r="BD167" s="107"/>
      <c r="BE167" s="107"/>
      <c r="BF167" s="107"/>
      <c r="BG167" s="107"/>
      <c r="BH167" s="107"/>
      <c r="BI167" s="107"/>
      <c r="BJ167" s="107"/>
      <c r="BK167" s="107"/>
      <c r="BL167" s="107"/>
      <c r="BM167" s="107"/>
      <c r="BN167" s="107"/>
      <c r="BO167" s="107"/>
      <c r="BP167" s="107"/>
      <c r="BQ167" s="107"/>
      <c r="BR167" s="107"/>
      <c r="BS167" s="65"/>
      <c r="BT167" s="65"/>
    </row>
    <row r="168" spans="4:72" ht="12" hidden="1" customHeight="1" outlineLevel="2">
      <c r="D168" s="621"/>
      <c r="E168" s="65"/>
      <c r="F168" s="143" t="str">
        <f t="shared" ref="F168:G168" si="188">F65</f>
        <v>Equipe_15</v>
      </c>
      <c r="G168" s="151" t="str">
        <f t="shared" si="188"/>
        <v>Equipe15</v>
      </c>
      <c r="H168" s="144">
        <f t="shared" si="174"/>
        <v>0</v>
      </c>
      <c r="I168" s="144">
        <f t="shared" si="175"/>
        <v>0</v>
      </c>
      <c r="J168" s="65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7"/>
      <c r="AM168" s="107"/>
      <c r="AN168" s="107"/>
      <c r="AO168" s="107"/>
      <c r="AP168" s="107"/>
      <c r="AQ168" s="107"/>
      <c r="AR168" s="107"/>
      <c r="AS168" s="107"/>
      <c r="AT168" s="107"/>
      <c r="AU168" s="107"/>
      <c r="AV168" s="107"/>
      <c r="AW168" s="107"/>
      <c r="AX168" s="107"/>
      <c r="AY168" s="107"/>
      <c r="AZ168" s="107"/>
      <c r="BA168" s="107"/>
      <c r="BB168" s="107"/>
      <c r="BC168" s="107"/>
      <c r="BD168" s="107"/>
      <c r="BE168" s="107"/>
      <c r="BF168" s="107"/>
      <c r="BG168" s="107"/>
      <c r="BH168" s="107"/>
      <c r="BI168" s="107"/>
      <c r="BJ168" s="107"/>
      <c r="BK168" s="107"/>
      <c r="BL168" s="107"/>
      <c r="BM168" s="107"/>
      <c r="BN168" s="107"/>
      <c r="BO168" s="107"/>
      <c r="BP168" s="107"/>
      <c r="BQ168" s="107"/>
      <c r="BR168" s="107"/>
      <c r="BS168" s="65"/>
      <c r="BT168" s="65"/>
    </row>
    <row r="169" spans="4:72" ht="12" hidden="1" customHeight="1" outlineLevel="2">
      <c r="D169" s="621"/>
      <c r="E169" s="65"/>
      <c r="F169" s="143" t="str">
        <f t="shared" ref="F169:G169" si="189">F66</f>
        <v>Equipe_16</v>
      </c>
      <c r="G169" s="151" t="str">
        <f t="shared" si="189"/>
        <v>Equipe16</v>
      </c>
      <c r="H169" s="144">
        <f t="shared" si="174"/>
        <v>0</v>
      </c>
      <c r="I169" s="144">
        <f t="shared" si="175"/>
        <v>0</v>
      </c>
      <c r="J169" s="65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7"/>
      <c r="AQ169" s="107"/>
      <c r="AR169" s="107"/>
      <c r="AS169" s="107"/>
      <c r="AT169" s="107"/>
      <c r="AU169" s="107"/>
      <c r="AV169" s="107"/>
      <c r="AW169" s="107"/>
      <c r="AX169" s="107"/>
      <c r="AY169" s="107"/>
      <c r="AZ169" s="107"/>
      <c r="BA169" s="107"/>
      <c r="BB169" s="107"/>
      <c r="BC169" s="107"/>
      <c r="BD169" s="107"/>
      <c r="BE169" s="107"/>
      <c r="BF169" s="107"/>
      <c r="BG169" s="107"/>
      <c r="BH169" s="107"/>
      <c r="BI169" s="107"/>
      <c r="BJ169" s="107"/>
      <c r="BK169" s="107"/>
      <c r="BL169" s="107"/>
      <c r="BM169" s="107"/>
      <c r="BN169" s="107"/>
      <c r="BO169" s="107"/>
      <c r="BP169" s="107"/>
      <c r="BQ169" s="107"/>
      <c r="BR169" s="107"/>
      <c r="BS169" s="65"/>
      <c r="BT169" s="65"/>
    </row>
    <row r="170" spans="4:72" ht="12" hidden="1" customHeight="1" outlineLevel="2">
      <c r="D170" s="621"/>
      <c r="E170" s="65"/>
      <c r="F170" s="143" t="str">
        <f t="shared" ref="F170:G170" si="190">F67</f>
        <v>Equipe_17</v>
      </c>
      <c r="G170" s="151" t="str">
        <f t="shared" si="190"/>
        <v>Equipe17</v>
      </c>
      <c r="H170" s="144">
        <f t="shared" si="174"/>
        <v>0</v>
      </c>
      <c r="I170" s="144">
        <f t="shared" si="175"/>
        <v>0</v>
      </c>
      <c r="J170" s="65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  <c r="AN170" s="107"/>
      <c r="AO170" s="107"/>
      <c r="AP170" s="107"/>
      <c r="AQ170" s="107"/>
      <c r="AR170" s="107"/>
      <c r="AS170" s="107"/>
      <c r="AT170" s="107"/>
      <c r="AU170" s="107"/>
      <c r="AV170" s="107"/>
      <c r="AW170" s="107"/>
      <c r="AX170" s="107"/>
      <c r="AY170" s="107"/>
      <c r="AZ170" s="107"/>
      <c r="BA170" s="107"/>
      <c r="BB170" s="107"/>
      <c r="BC170" s="107"/>
      <c r="BD170" s="107"/>
      <c r="BE170" s="107"/>
      <c r="BF170" s="107"/>
      <c r="BG170" s="107"/>
      <c r="BH170" s="107"/>
      <c r="BI170" s="107"/>
      <c r="BJ170" s="107"/>
      <c r="BK170" s="107"/>
      <c r="BL170" s="107"/>
      <c r="BM170" s="107"/>
      <c r="BN170" s="107"/>
      <c r="BO170" s="107"/>
      <c r="BP170" s="107"/>
      <c r="BQ170" s="107"/>
      <c r="BR170" s="107"/>
      <c r="BS170" s="65"/>
      <c r="BT170" s="65"/>
    </row>
    <row r="171" spans="4:72" ht="12" hidden="1" customHeight="1" outlineLevel="2">
      <c r="D171" s="621"/>
      <c r="E171" s="65"/>
      <c r="F171" s="143" t="str">
        <f t="shared" ref="F171:G171" si="191">F68</f>
        <v>Equipe_18</v>
      </c>
      <c r="G171" s="151" t="str">
        <f t="shared" si="191"/>
        <v>Equipe18</v>
      </c>
      <c r="H171" s="144">
        <f t="shared" si="174"/>
        <v>0</v>
      </c>
      <c r="I171" s="144">
        <f t="shared" si="175"/>
        <v>0</v>
      </c>
      <c r="J171" s="65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  <c r="AQ171" s="107"/>
      <c r="AR171" s="107"/>
      <c r="AS171" s="107"/>
      <c r="AT171" s="107"/>
      <c r="AU171" s="107"/>
      <c r="AV171" s="107"/>
      <c r="AW171" s="107"/>
      <c r="AX171" s="107"/>
      <c r="AY171" s="107"/>
      <c r="AZ171" s="107"/>
      <c r="BA171" s="107"/>
      <c r="BB171" s="107"/>
      <c r="BC171" s="107"/>
      <c r="BD171" s="107"/>
      <c r="BE171" s="107"/>
      <c r="BF171" s="107"/>
      <c r="BG171" s="107"/>
      <c r="BH171" s="107"/>
      <c r="BI171" s="107"/>
      <c r="BJ171" s="107"/>
      <c r="BK171" s="107"/>
      <c r="BL171" s="107"/>
      <c r="BM171" s="107"/>
      <c r="BN171" s="107"/>
      <c r="BO171" s="107"/>
      <c r="BP171" s="107"/>
      <c r="BQ171" s="107"/>
      <c r="BR171" s="107"/>
      <c r="BS171" s="65"/>
      <c r="BT171" s="65"/>
    </row>
    <row r="172" spans="4:72" ht="12" hidden="1" customHeight="1" outlineLevel="2">
      <c r="D172" s="621"/>
      <c r="E172" s="65"/>
      <c r="F172" s="143" t="str">
        <f t="shared" ref="F172:G172" si="192">F69</f>
        <v>Equipe_19</v>
      </c>
      <c r="G172" s="151" t="str">
        <f t="shared" si="192"/>
        <v>Equipe19</v>
      </c>
      <c r="H172" s="144">
        <f t="shared" si="174"/>
        <v>0</v>
      </c>
      <c r="I172" s="144">
        <f t="shared" si="175"/>
        <v>0</v>
      </c>
      <c r="J172" s="65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  <c r="AN172" s="107"/>
      <c r="AO172" s="107"/>
      <c r="AP172" s="107"/>
      <c r="AQ172" s="107"/>
      <c r="AR172" s="107"/>
      <c r="AS172" s="107"/>
      <c r="AT172" s="107"/>
      <c r="AU172" s="107"/>
      <c r="AV172" s="107"/>
      <c r="AW172" s="107"/>
      <c r="AX172" s="107"/>
      <c r="AY172" s="107"/>
      <c r="AZ172" s="107"/>
      <c r="BA172" s="107"/>
      <c r="BB172" s="107"/>
      <c r="BC172" s="107"/>
      <c r="BD172" s="107"/>
      <c r="BE172" s="107"/>
      <c r="BF172" s="107"/>
      <c r="BG172" s="107"/>
      <c r="BH172" s="107"/>
      <c r="BI172" s="107"/>
      <c r="BJ172" s="107"/>
      <c r="BK172" s="107"/>
      <c r="BL172" s="107"/>
      <c r="BM172" s="107"/>
      <c r="BN172" s="107"/>
      <c r="BO172" s="107"/>
      <c r="BP172" s="107"/>
      <c r="BQ172" s="107"/>
      <c r="BR172" s="107"/>
      <c r="BS172" s="65"/>
      <c r="BT172" s="65"/>
    </row>
    <row r="173" spans="4:72" ht="12" hidden="1" customHeight="1" outlineLevel="2">
      <c r="D173" s="624"/>
      <c r="E173" s="65"/>
      <c r="F173" s="143" t="str">
        <f t="shared" ref="F173:G173" si="193">F70</f>
        <v>Equipe_20</v>
      </c>
      <c r="G173" s="151" t="str">
        <f t="shared" si="193"/>
        <v>Equipe20</v>
      </c>
      <c r="H173" s="144">
        <f t="shared" si="174"/>
        <v>0</v>
      </c>
      <c r="I173" s="144">
        <f t="shared" si="175"/>
        <v>0</v>
      </c>
      <c r="J173" s="65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  <c r="AN173" s="107"/>
      <c r="AO173" s="107"/>
      <c r="AP173" s="107"/>
      <c r="AQ173" s="107"/>
      <c r="AR173" s="107"/>
      <c r="AS173" s="107"/>
      <c r="AT173" s="107"/>
      <c r="AU173" s="107"/>
      <c r="AV173" s="107"/>
      <c r="AW173" s="107"/>
      <c r="AX173" s="107"/>
      <c r="AY173" s="107"/>
      <c r="AZ173" s="107"/>
      <c r="BA173" s="107"/>
      <c r="BB173" s="107"/>
      <c r="BC173" s="107"/>
      <c r="BD173" s="107"/>
      <c r="BE173" s="107"/>
      <c r="BF173" s="107"/>
      <c r="BG173" s="107"/>
      <c r="BH173" s="107"/>
      <c r="BI173" s="107"/>
      <c r="BJ173" s="107"/>
      <c r="BK173" s="107"/>
      <c r="BL173" s="107"/>
      <c r="BM173" s="107"/>
      <c r="BN173" s="107"/>
      <c r="BO173" s="107"/>
      <c r="BP173" s="107"/>
      <c r="BQ173" s="107"/>
      <c r="BR173" s="107"/>
      <c r="BS173" s="65"/>
      <c r="BT173" s="65"/>
    </row>
    <row r="174" spans="4:72" ht="12" hidden="1" customHeight="1" outlineLevel="1">
      <c r="D174" s="65"/>
      <c r="E174" s="65"/>
      <c r="F174" s="615" t="s">
        <v>380</v>
      </c>
      <c r="G174" s="616"/>
      <c r="H174" s="146">
        <f>SUM(H154:H173)</f>
        <v>0</v>
      </c>
      <c r="I174" s="146">
        <f t="shared" si="175"/>
        <v>0</v>
      </c>
      <c r="J174" s="65"/>
      <c r="K174" s="146">
        <f>SUM(K154:K173)</f>
        <v>0</v>
      </c>
      <c r="L174" s="146">
        <f t="shared" ref="L174" si="194">SUM(L154:L173)</f>
        <v>0</v>
      </c>
      <c r="M174" s="146">
        <f t="shared" ref="M174" si="195">SUM(M154:M173)</f>
        <v>0</v>
      </c>
      <c r="N174" s="146">
        <f t="shared" ref="N174" si="196">SUM(N154:N173)</f>
        <v>0</v>
      </c>
      <c r="O174" s="146">
        <f t="shared" ref="O174" si="197">SUM(O154:O173)</f>
        <v>0</v>
      </c>
      <c r="P174" s="146">
        <f t="shared" ref="P174" si="198">SUM(P154:P173)</f>
        <v>0</v>
      </c>
      <c r="Q174" s="146">
        <f t="shared" ref="Q174" si="199">SUM(Q154:Q173)</f>
        <v>0</v>
      </c>
      <c r="R174" s="146">
        <f t="shared" ref="R174" si="200">SUM(R154:R173)</f>
        <v>0</v>
      </c>
      <c r="S174" s="146">
        <f t="shared" ref="S174" si="201">SUM(S154:S173)</f>
        <v>0</v>
      </c>
      <c r="T174" s="146">
        <f t="shared" ref="T174" si="202">SUM(T154:T173)</f>
        <v>0</v>
      </c>
      <c r="U174" s="146">
        <f t="shared" ref="U174" si="203">SUM(U154:U173)</f>
        <v>0</v>
      </c>
      <c r="V174" s="146">
        <f t="shared" ref="V174" si="204">SUM(V154:V173)</f>
        <v>0</v>
      </c>
      <c r="W174" s="146">
        <f t="shared" ref="W174" si="205">SUM(W154:W173)</f>
        <v>0</v>
      </c>
      <c r="X174" s="146">
        <f t="shared" ref="X174" si="206">SUM(X154:X173)</f>
        <v>0</v>
      </c>
      <c r="Y174" s="146">
        <f t="shared" ref="Y174" si="207">SUM(Y154:Y173)</f>
        <v>0</v>
      </c>
      <c r="Z174" s="146">
        <f t="shared" ref="Z174" si="208">SUM(Z154:Z173)</f>
        <v>0</v>
      </c>
      <c r="AA174" s="146">
        <f t="shared" ref="AA174" si="209">SUM(AA154:AA173)</f>
        <v>0</v>
      </c>
      <c r="AB174" s="146">
        <f t="shared" ref="AB174" si="210">SUM(AB154:AB173)</f>
        <v>0</v>
      </c>
      <c r="AC174" s="146">
        <f t="shared" ref="AC174" si="211">SUM(AC154:AC173)</f>
        <v>0</v>
      </c>
      <c r="AD174" s="146">
        <f t="shared" ref="AD174" si="212">SUM(AD154:AD173)</f>
        <v>0</v>
      </c>
      <c r="AE174" s="146">
        <f t="shared" ref="AE174" si="213">SUM(AE154:AE173)</f>
        <v>0</v>
      </c>
      <c r="AF174" s="146">
        <f t="shared" ref="AF174" si="214">SUM(AF154:AF173)</f>
        <v>0</v>
      </c>
      <c r="AG174" s="146">
        <f t="shared" ref="AG174" si="215">SUM(AG154:AG173)</f>
        <v>0</v>
      </c>
      <c r="AH174" s="146">
        <f t="shared" ref="AH174" si="216">SUM(AH154:AH173)</f>
        <v>0</v>
      </c>
      <c r="AI174" s="146">
        <f t="shared" ref="AI174" si="217">SUM(AI154:AI173)</f>
        <v>0</v>
      </c>
      <c r="AJ174" s="146">
        <f t="shared" ref="AJ174" si="218">SUM(AJ154:AJ173)</f>
        <v>0</v>
      </c>
      <c r="AK174" s="146">
        <f t="shared" ref="AK174" si="219">SUM(AK154:AK173)</f>
        <v>0</v>
      </c>
      <c r="AL174" s="146">
        <f t="shared" ref="AL174" si="220">SUM(AL154:AL173)</f>
        <v>0</v>
      </c>
      <c r="AM174" s="146">
        <f t="shared" ref="AM174" si="221">SUM(AM154:AM173)</f>
        <v>0</v>
      </c>
      <c r="AN174" s="146">
        <f t="shared" ref="AN174" si="222">SUM(AN154:AN173)</f>
        <v>0</v>
      </c>
      <c r="AO174" s="146">
        <f t="shared" ref="AO174" si="223">SUM(AO154:AO173)</f>
        <v>0</v>
      </c>
      <c r="AP174" s="146">
        <f t="shared" ref="AP174" si="224">SUM(AP154:AP173)</f>
        <v>0</v>
      </c>
      <c r="AQ174" s="146">
        <f t="shared" ref="AQ174" si="225">SUM(AQ154:AQ173)</f>
        <v>0</v>
      </c>
      <c r="AR174" s="146">
        <f t="shared" ref="AR174" si="226">SUM(AR154:AR173)</f>
        <v>0</v>
      </c>
      <c r="AS174" s="146">
        <f t="shared" ref="AS174" si="227">SUM(AS154:AS173)</f>
        <v>0</v>
      </c>
      <c r="AT174" s="146">
        <f t="shared" ref="AT174" si="228">SUM(AT154:AT173)</f>
        <v>0</v>
      </c>
      <c r="AU174" s="146">
        <f t="shared" ref="AU174" si="229">SUM(AU154:AU173)</f>
        <v>0</v>
      </c>
      <c r="AV174" s="146">
        <f t="shared" ref="AV174" si="230">SUM(AV154:AV173)</f>
        <v>0</v>
      </c>
      <c r="AW174" s="146">
        <f t="shared" ref="AW174" si="231">SUM(AW154:AW173)</f>
        <v>0</v>
      </c>
      <c r="AX174" s="146">
        <f t="shared" ref="AX174" si="232">SUM(AX154:AX173)</f>
        <v>0</v>
      </c>
      <c r="AY174" s="146">
        <f t="shared" ref="AY174" si="233">SUM(AY154:AY173)</f>
        <v>0</v>
      </c>
      <c r="AZ174" s="146">
        <f t="shared" ref="AZ174" si="234">SUM(AZ154:AZ173)</f>
        <v>0</v>
      </c>
      <c r="BA174" s="146">
        <f t="shared" ref="BA174" si="235">SUM(BA154:BA173)</f>
        <v>0</v>
      </c>
      <c r="BB174" s="146">
        <f t="shared" ref="BB174" si="236">SUM(BB154:BB173)</f>
        <v>0</v>
      </c>
      <c r="BC174" s="146">
        <f t="shared" ref="BC174" si="237">SUM(BC154:BC173)</f>
        <v>0</v>
      </c>
      <c r="BD174" s="146">
        <f t="shared" ref="BD174" si="238">SUM(BD154:BD173)</f>
        <v>0</v>
      </c>
      <c r="BE174" s="146">
        <f t="shared" ref="BE174" si="239">SUM(BE154:BE173)</f>
        <v>0</v>
      </c>
      <c r="BF174" s="146">
        <f t="shared" ref="BF174" si="240">SUM(BF154:BF173)</f>
        <v>0</v>
      </c>
      <c r="BG174" s="146">
        <f t="shared" ref="BG174" si="241">SUM(BG154:BG173)</f>
        <v>0</v>
      </c>
      <c r="BH174" s="146">
        <f t="shared" ref="BH174" si="242">SUM(BH154:BH173)</f>
        <v>0</v>
      </c>
      <c r="BI174" s="146">
        <f t="shared" ref="BI174" si="243">SUM(BI154:BI173)</f>
        <v>0</v>
      </c>
      <c r="BJ174" s="146">
        <f t="shared" ref="BJ174" si="244">SUM(BJ154:BJ173)</f>
        <v>0</v>
      </c>
      <c r="BK174" s="146">
        <f t="shared" ref="BK174" si="245">SUM(BK154:BK173)</f>
        <v>0</v>
      </c>
      <c r="BL174" s="146">
        <f t="shared" ref="BL174" si="246">SUM(BL154:BL173)</f>
        <v>0</v>
      </c>
      <c r="BM174" s="146">
        <f t="shared" ref="BM174" si="247">SUM(BM154:BM173)</f>
        <v>0</v>
      </c>
      <c r="BN174" s="146">
        <f t="shared" ref="BN174" si="248">SUM(BN154:BN173)</f>
        <v>0</v>
      </c>
      <c r="BO174" s="146">
        <f t="shared" ref="BO174" si="249">SUM(BO154:BO173)</f>
        <v>0</v>
      </c>
      <c r="BP174" s="146">
        <f t="shared" ref="BP174" si="250">SUM(BP154:BP173)</f>
        <v>0</v>
      </c>
      <c r="BQ174" s="146">
        <f t="shared" ref="BQ174" si="251">SUM(BQ154:BQ173)</f>
        <v>0</v>
      </c>
      <c r="BR174" s="146">
        <f t="shared" ref="BR174" si="252">SUM(BR154:BR173)</f>
        <v>0</v>
      </c>
      <c r="BS174" s="65"/>
      <c r="BT174" s="146">
        <f t="shared" ref="BT174" si="253">SUM(BT164:BT173)</f>
        <v>0</v>
      </c>
    </row>
    <row r="175" spans="4:72" ht="12" hidden="1" customHeight="1" outlineLevel="1"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</row>
    <row r="176" spans="4:72" ht="24" customHeight="1">
      <c r="D176" s="65"/>
      <c r="E176" s="65"/>
      <c r="F176" s="614" t="s">
        <v>385</v>
      </c>
      <c r="G176" s="614"/>
      <c r="H176" s="146">
        <f>H126+H150+H174</f>
        <v>0</v>
      </c>
      <c r="I176" s="146">
        <f t="shared" ref="I176" si="254">IFERROR(SUM(K176:BR176)/COUNTIF(K176:BR176,"&gt;0"),0)</f>
        <v>0</v>
      </c>
      <c r="J176" s="65"/>
      <c r="K176" s="146">
        <f>K126+K150+K174</f>
        <v>0</v>
      </c>
      <c r="L176" s="146">
        <f t="shared" ref="L176:BR176" si="255">L126+L150+L174</f>
        <v>0</v>
      </c>
      <c r="M176" s="146">
        <f t="shared" si="255"/>
        <v>0</v>
      </c>
      <c r="N176" s="146">
        <f t="shared" si="255"/>
        <v>0</v>
      </c>
      <c r="O176" s="146">
        <f t="shared" si="255"/>
        <v>0</v>
      </c>
      <c r="P176" s="146">
        <f t="shared" si="255"/>
        <v>0</v>
      </c>
      <c r="Q176" s="146">
        <f t="shared" si="255"/>
        <v>0</v>
      </c>
      <c r="R176" s="146">
        <f t="shared" si="255"/>
        <v>0</v>
      </c>
      <c r="S176" s="146">
        <f t="shared" si="255"/>
        <v>0</v>
      </c>
      <c r="T176" s="146">
        <f t="shared" si="255"/>
        <v>0</v>
      </c>
      <c r="U176" s="146">
        <f t="shared" si="255"/>
        <v>0</v>
      </c>
      <c r="V176" s="146">
        <f t="shared" si="255"/>
        <v>0</v>
      </c>
      <c r="W176" s="146">
        <f t="shared" si="255"/>
        <v>0</v>
      </c>
      <c r="X176" s="146">
        <f t="shared" si="255"/>
        <v>0</v>
      </c>
      <c r="Y176" s="146">
        <f t="shared" si="255"/>
        <v>0</v>
      </c>
      <c r="Z176" s="146">
        <f t="shared" si="255"/>
        <v>0</v>
      </c>
      <c r="AA176" s="146">
        <f t="shared" si="255"/>
        <v>0</v>
      </c>
      <c r="AB176" s="146">
        <f t="shared" si="255"/>
        <v>0</v>
      </c>
      <c r="AC176" s="146">
        <f t="shared" si="255"/>
        <v>0</v>
      </c>
      <c r="AD176" s="146">
        <f t="shared" si="255"/>
        <v>0</v>
      </c>
      <c r="AE176" s="146">
        <f t="shared" si="255"/>
        <v>0</v>
      </c>
      <c r="AF176" s="146">
        <f t="shared" si="255"/>
        <v>0</v>
      </c>
      <c r="AG176" s="146">
        <f t="shared" si="255"/>
        <v>0</v>
      </c>
      <c r="AH176" s="146">
        <f t="shared" si="255"/>
        <v>0</v>
      </c>
      <c r="AI176" s="146">
        <f t="shared" si="255"/>
        <v>0</v>
      </c>
      <c r="AJ176" s="146">
        <f t="shared" si="255"/>
        <v>0</v>
      </c>
      <c r="AK176" s="146">
        <f t="shared" si="255"/>
        <v>0</v>
      </c>
      <c r="AL176" s="146">
        <f t="shared" si="255"/>
        <v>0</v>
      </c>
      <c r="AM176" s="146">
        <f t="shared" si="255"/>
        <v>0</v>
      </c>
      <c r="AN176" s="146">
        <f t="shared" si="255"/>
        <v>0</v>
      </c>
      <c r="AO176" s="146">
        <f t="shared" si="255"/>
        <v>0</v>
      </c>
      <c r="AP176" s="146">
        <f t="shared" si="255"/>
        <v>0</v>
      </c>
      <c r="AQ176" s="146">
        <f t="shared" si="255"/>
        <v>0</v>
      </c>
      <c r="AR176" s="146">
        <f t="shared" si="255"/>
        <v>0</v>
      </c>
      <c r="AS176" s="146">
        <f t="shared" si="255"/>
        <v>0</v>
      </c>
      <c r="AT176" s="146">
        <f t="shared" si="255"/>
        <v>0</v>
      </c>
      <c r="AU176" s="146">
        <f t="shared" si="255"/>
        <v>0</v>
      </c>
      <c r="AV176" s="146">
        <f t="shared" si="255"/>
        <v>0</v>
      </c>
      <c r="AW176" s="146">
        <f t="shared" si="255"/>
        <v>0</v>
      </c>
      <c r="AX176" s="146">
        <f t="shared" si="255"/>
        <v>0</v>
      </c>
      <c r="AY176" s="146">
        <f t="shared" si="255"/>
        <v>0</v>
      </c>
      <c r="AZ176" s="146">
        <f t="shared" si="255"/>
        <v>0</v>
      </c>
      <c r="BA176" s="146">
        <f t="shared" si="255"/>
        <v>0</v>
      </c>
      <c r="BB176" s="146">
        <f t="shared" si="255"/>
        <v>0</v>
      </c>
      <c r="BC176" s="146">
        <f t="shared" si="255"/>
        <v>0</v>
      </c>
      <c r="BD176" s="146">
        <f t="shared" si="255"/>
        <v>0</v>
      </c>
      <c r="BE176" s="146">
        <f t="shared" si="255"/>
        <v>0</v>
      </c>
      <c r="BF176" s="146">
        <f t="shared" si="255"/>
        <v>0</v>
      </c>
      <c r="BG176" s="146">
        <f t="shared" si="255"/>
        <v>0</v>
      </c>
      <c r="BH176" s="146">
        <f t="shared" si="255"/>
        <v>0</v>
      </c>
      <c r="BI176" s="146">
        <f t="shared" si="255"/>
        <v>0</v>
      </c>
      <c r="BJ176" s="146">
        <f t="shared" si="255"/>
        <v>0</v>
      </c>
      <c r="BK176" s="146">
        <f t="shared" si="255"/>
        <v>0</v>
      </c>
      <c r="BL176" s="146">
        <f t="shared" si="255"/>
        <v>0</v>
      </c>
      <c r="BM176" s="146">
        <f t="shared" si="255"/>
        <v>0</v>
      </c>
      <c r="BN176" s="146">
        <f t="shared" si="255"/>
        <v>0</v>
      </c>
      <c r="BO176" s="146">
        <f t="shared" si="255"/>
        <v>0</v>
      </c>
      <c r="BP176" s="146">
        <f t="shared" si="255"/>
        <v>0</v>
      </c>
      <c r="BQ176" s="146">
        <f t="shared" si="255"/>
        <v>0</v>
      </c>
      <c r="BR176" s="146">
        <f t="shared" si="255"/>
        <v>0</v>
      </c>
      <c r="BS176" s="65"/>
      <c r="BT176" s="65"/>
    </row>
    <row r="177" spans="4:70" ht="24" customHeight="1">
      <c r="D177" s="65"/>
      <c r="E177" s="65"/>
      <c r="F177" s="610" t="s">
        <v>386</v>
      </c>
      <c r="G177" s="611"/>
      <c r="H177" s="611"/>
      <c r="I177" s="612"/>
      <c r="J177" s="65"/>
      <c r="K177" s="146">
        <f>K176</f>
        <v>0</v>
      </c>
      <c r="L177" s="146">
        <f>IF(L176&gt;0,L176+LARGE($K177:K177,1),0)</f>
        <v>0</v>
      </c>
      <c r="M177" s="146">
        <f>IF(M176&gt;0,M176+LARGE($K177:L177,1),0)</f>
        <v>0</v>
      </c>
      <c r="N177" s="146">
        <f>IF(N176&gt;0,N176+LARGE($K177:M177,1),0)</f>
        <v>0</v>
      </c>
      <c r="O177" s="146">
        <f>IF(O176&gt;0,O176+LARGE($K177:N177,1),0)</f>
        <v>0</v>
      </c>
      <c r="P177" s="146">
        <f>IF(P176&gt;0,P176+LARGE($K177:O177,1),0)</f>
        <v>0</v>
      </c>
      <c r="Q177" s="146">
        <f>IF(Q176&gt;0,Q176+LARGE($K177:P177,1),0)</f>
        <v>0</v>
      </c>
      <c r="R177" s="146">
        <f>IF(R176&gt;0,R176+LARGE($K177:Q177,1),0)</f>
        <v>0</v>
      </c>
      <c r="S177" s="146">
        <f>IF(S176&gt;0,S176+LARGE($K177:R177,1),0)</f>
        <v>0</v>
      </c>
      <c r="T177" s="146">
        <f>IF(T176&gt;0,T176+LARGE($K177:S177,1),0)</f>
        <v>0</v>
      </c>
      <c r="U177" s="146">
        <f>IF(U176&gt;0,U176+LARGE($K177:T177,1),0)</f>
        <v>0</v>
      </c>
      <c r="V177" s="146">
        <f>IF(V176&gt;0,V176+LARGE($K177:U177,1),0)</f>
        <v>0</v>
      </c>
      <c r="W177" s="146">
        <f>IF(W176&gt;0,W176+LARGE($K177:V177,1),0)</f>
        <v>0</v>
      </c>
      <c r="X177" s="146">
        <f>IF(X176&gt;0,X176+LARGE($K177:W177,1),0)</f>
        <v>0</v>
      </c>
      <c r="Y177" s="146">
        <f>IF(Y176&gt;0,Y176+LARGE($K177:X177,1),0)</f>
        <v>0</v>
      </c>
      <c r="Z177" s="146">
        <f>IF(Z176&gt;0,Z176+LARGE($K177:Y177,1),0)</f>
        <v>0</v>
      </c>
      <c r="AA177" s="146">
        <f>IF(AA176&gt;0,AA176+LARGE($K177:Z177,1),0)</f>
        <v>0</v>
      </c>
      <c r="AB177" s="146">
        <f>IF(AB176&gt;0,AB176+LARGE($K177:AA177,1),0)</f>
        <v>0</v>
      </c>
      <c r="AC177" s="146">
        <f>IF(AC176&gt;0,AC176+LARGE($K177:AB177,1),0)</f>
        <v>0</v>
      </c>
      <c r="AD177" s="146">
        <f>IF(AD176&gt;0,AD176+LARGE($K177:AC177,1),0)</f>
        <v>0</v>
      </c>
      <c r="AE177" s="146">
        <f>IF(AE176&gt;0,AE176+LARGE($K177:AD177,1),0)</f>
        <v>0</v>
      </c>
      <c r="AF177" s="146">
        <f>IF(AF176&gt;0,AF176+LARGE($K177:AE177,1),0)</f>
        <v>0</v>
      </c>
      <c r="AG177" s="146">
        <f>IF(AG176&gt;0,AG176+LARGE($K177:AF177,1),0)</f>
        <v>0</v>
      </c>
      <c r="AH177" s="146">
        <f>IF(AH176&gt;0,AH176+LARGE($K177:AG177,1),0)</f>
        <v>0</v>
      </c>
      <c r="AI177" s="146">
        <f>IF(AI176&gt;0,AI176+LARGE($K177:AH177,1),0)</f>
        <v>0</v>
      </c>
      <c r="AJ177" s="146">
        <f>IF(AJ176&gt;0,AJ176+LARGE($K177:AI177,1),0)</f>
        <v>0</v>
      </c>
      <c r="AK177" s="146">
        <f>IF(AK176&gt;0,AK176+LARGE($K177:AJ177,1),0)</f>
        <v>0</v>
      </c>
      <c r="AL177" s="146">
        <f>IF(AL176&gt;0,AL176+LARGE($K177:AK177,1),0)</f>
        <v>0</v>
      </c>
      <c r="AM177" s="146">
        <f>IF(AM176&gt;0,AM176+LARGE($K177:AL177,1),0)</f>
        <v>0</v>
      </c>
      <c r="AN177" s="146">
        <f>IF(AN176&gt;0,AN176+LARGE($K177:AM177,1),0)</f>
        <v>0</v>
      </c>
      <c r="AO177" s="146">
        <f>IF(AO176&gt;0,AO176+LARGE($K177:AN177,1),0)</f>
        <v>0</v>
      </c>
      <c r="AP177" s="146">
        <f>IF(AP176&gt;0,AP176+LARGE($K177:AO177,1),0)</f>
        <v>0</v>
      </c>
      <c r="AQ177" s="146">
        <f>IF(AQ176&gt;0,AQ176+LARGE($K177:AP177,1),0)</f>
        <v>0</v>
      </c>
      <c r="AR177" s="146">
        <f>IF(AR176&gt;0,AR176+LARGE($K177:AQ177,1),0)</f>
        <v>0</v>
      </c>
      <c r="AS177" s="146">
        <f>IF(AS176&gt;0,AS176+LARGE($K177:AR177,1),0)</f>
        <v>0</v>
      </c>
      <c r="AT177" s="146">
        <f>IF(AT176&gt;0,AT176+LARGE($K177:AS177,1),0)</f>
        <v>0</v>
      </c>
      <c r="AU177" s="146">
        <f>IF(AU176&gt;0,AU176+LARGE($K177:AT177,1),0)</f>
        <v>0</v>
      </c>
      <c r="AV177" s="146">
        <f>IF(AV176&gt;0,AV176+LARGE($K177:AU177,1),0)</f>
        <v>0</v>
      </c>
      <c r="AW177" s="146">
        <f>IF(AW176&gt;0,AW176+LARGE($K177:AV177,1),0)</f>
        <v>0</v>
      </c>
      <c r="AX177" s="146">
        <f>IF(AX176&gt;0,AX176+LARGE($K177:AW177,1),0)</f>
        <v>0</v>
      </c>
      <c r="AY177" s="146">
        <f>IF(AY176&gt;0,AY176+LARGE($K177:AX177,1),0)</f>
        <v>0</v>
      </c>
      <c r="AZ177" s="146">
        <f>IF(AZ176&gt;0,AZ176+LARGE($K177:AY177,1),0)</f>
        <v>0</v>
      </c>
      <c r="BA177" s="146">
        <f>IF(BA176&gt;0,BA176+LARGE($K177:AZ177,1),0)</f>
        <v>0</v>
      </c>
      <c r="BB177" s="146">
        <f>IF(BB176&gt;0,BB176+LARGE($K177:BA177,1),0)</f>
        <v>0</v>
      </c>
      <c r="BC177" s="146">
        <f>IF(BC176&gt;0,BC176+LARGE($K177:BB177,1),0)</f>
        <v>0</v>
      </c>
      <c r="BD177" s="146">
        <f>IF(BD176&gt;0,BD176+LARGE($K177:BC177,1),0)</f>
        <v>0</v>
      </c>
      <c r="BE177" s="146">
        <f>IF(BE176&gt;0,BE176+LARGE($K177:BD177,1),0)</f>
        <v>0</v>
      </c>
      <c r="BF177" s="146">
        <f>IF(BF176&gt;0,BF176+LARGE($K177:BE177,1),0)</f>
        <v>0</v>
      </c>
      <c r="BG177" s="146">
        <f>IF(BG176&gt;0,BG176+LARGE($K177:BF177,1),0)</f>
        <v>0</v>
      </c>
      <c r="BH177" s="146">
        <f>IF(BH176&gt;0,BH176+LARGE($K177:BG177,1),0)</f>
        <v>0</v>
      </c>
      <c r="BI177" s="146">
        <f>IF(BI176&gt;0,BI176+LARGE($K177:BH177,1),0)</f>
        <v>0</v>
      </c>
      <c r="BJ177" s="146">
        <f>IF(BJ176&gt;0,BJ176+LARGE($K177:BI177,1),0)</f>
        <v>0</v>
      </c>
      <c r="BK177" s="146">
        <f>IF(BK176&gt;0,BK176+LARGE($K177:BJ177,1),0)</f>
        <v>0</v>
      </c>
      <c r="BL177" s="146">
        <f>IF(BL176&gt;0,BL176+LARGE($K177:BK177,1),0)</f>
        <v>0</v>
      </c>
      <c r="BM177" s="146">
        <f>IF(BM176&gt;0,BM176+LARGE($K177:BL177,1),0)</f>
        <v>0</v>
      </c>
      <c r="BN177" s="146">
        <f>IF(BN176&gt;0,BN176+LARGE($K177:BM177,1),0)</f>
        <v>0</v>
      </c>
      <c r="BO177" s="146">
        <f>IF(BO176&gt;0,BO176+LARGE($K177:BN177,1),0)</f>
        <v>0</v>
      </c>
      <c r="BP177" s="146">
        <f>IF(BP176&gt;0,BP176+LARGE($K177:BO177,1),0)</f>
        <v>0</v>
      </c>
      <c r="BQ177" s="146">
        <f>IF(BQ176&gt;0,BQ176+LARGE($K177:BP177,1),0)</f>
        <v>0</v>
      </c>
      <c r="BR177" s="146">
        <f>IF(BR176&gt;0,BR176+LARGE($K177:BQ177,1),0)</f>
        <v>0</v>
      </c>
    </row>
    <row r="178" spans="4:70" ht="12" customHeight="1">
      <c r="D178" s="65"/>
      <c r="E178" s="65"/>
      <c r="F178" s="65"/>
      <c r="G178" s="65"/>
      <c r="H178" s="65"/>
      <c r="I178" s="65"/>
      <c r="J178" s="65"/>
      <c r="K178" s="152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65"/>
      <c r="BO178" s="65"/>
      <c r="BP178" s="65"/>
      <c r="BQ178" s="65"/>
      <c r="BR178" s="65"/>
    </row>
    <row r="179" spans="4:70" ht="5.0999999999999996" customHeight="1"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  <c r="BM179" s="69"/>
      <c r="BN179" s="69"/>
      <c r="BO179" s="69"/>
      <c r="BP179" s="69"/>
      <c r="BQ179" s="69"/>
      <c r="BR179" s="69"/>
    </row>
    <row r="180" spans="4:70" ht="12" customHeight="1"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65"/>
    </row>
    <row r="181" spans="4:70" ht="24" customHeight="1">
      <c r="D181" s="627" t="s">
        <v>387</v>
      </c>
      <c r="E181" s="65"/>
      <c r="F181" s="613" t="s">
        <v>388</v>
      </c>
      <c r="G181" s="613"/>
      <c r="H181" s="613"/>
      <c r="I181" s="613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  <c r="BM181" s="65"/>
      <c r="BN181" s="65"/>
      <c r="BO181" s="65"/>
      <c r="BP181" s="65"/>
      <c r="BQ181" s="65"/>
      <c r="BR181" s="65"/>
    </row>
    <row r="182" spans="4:70" ht="24" customHeight="1" collapsed="1">
      <c r="D182" s="627"/>
      <c r="E182" s="65"/>
      <c r="F182" s="142" t="s">
        <v>198</v>
      </c>
      <c r="G182" s="153" t="s">
        <v>259</v>
      </c>
      <c r="H182" s="154"/>
      <c r="I182" s="142" t="s">
        <v>389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65"/>
      <c r="BO182" s="65"/>
      <c r="BP182" s="65"/>
      <c r="BQ182" s="65"/>
      <c r="BR182" s="65"/>
    </row>
    <row r="183" spans="4:70" ht="12" hidden="1" customHeight="1" outlineLevel="1">
      <c r="D183" s="620" t="s">
        <v>390</v>
      </c>
      <c r="E183" s="65"/>
      <c r="F183" s="143" t="str">
        <f t="shared" ref="F183:G202" si="256">F51</f>
        <v>Equipe_01</v>
      </c>
      <c r="G183" s="151" t="str">
        <f t="shared" si="256"/>
        <v>Equipe01</v>
      </c>
      <c r="H183" s="155"/>
      <c r="I183" s="146">
        <f t="shared" ref="I183:I203" si="257">MAX(K183:BR183)</f>
        <v>1.03</v>
      </c>
      <c r="J183" s="65"/>
      <c r="K183" s="156">
        <f>ROUNDUP(K77*($H51/(Dashboard!$D$15+K106+K130+K154)),2)</f>
        <v>1.03</v>
      </c>
      <c r="L183" s="156">
        <f>ROUNDUP(L77*($H51/(Dashboard!$D$15+L106+L130+L154)),2)</f>
        <v>1.03</v>
      </c>
      <c r="M183" s="156">
        <f>ROUNDUP(M77*($H51/(Dashboard!$D$15+M106+M130+M154)),2)</f>
        <v>1.03</v>
      </c>
      <c r="N183" s="156">
        <f>ROUNDUP(N77*($H51/(Dashboard!$D$15+N106+N130+N154)),2)</f>
        <v>1.03</v>
      </c>
      <c r="O183" s="156">
        <f>ROUNDUP(O77*($H51/(Dashboard!$D$15+O106+O130+O154)),2)</f>
        <v>1.03</v>
      </c>
      <c r="P183" s="156">
        <f>ROUNDUP(P77*($H51/(Dashboard!$D$15+P106+P130+P154)),2)</f>
        <v>1.03</v>
      </c>
      <c r="Q183" s="156">
        <f>ROUNDUP(Q77*($H51/(Dashboard!$D$15+Q106+Q130+Q154)),2)</f>
        <v>1.03</v>
      </c>
      <c r="R183" s="156">
        <f>ROUNDUP(R77*($H51/(Dashboard!$D$15+R106+R130+R154)),2)</f>
        <v>1.03</v>
      </c>
      <c r="S183" s="156">
        <f>ROUNDUP(S77*($H51/(Dashboard!$D$15+S106+S130+S154)),2)</f>
        <v>1.03</v>
      </c>
      <c r="T183" s="156">
        <f>ROUNDUP(T77*($H51/(Dashboard!$D$15+T106+T130+T154)),2)</f>
        <v>1.03</v>
      </c>
      <c r="U183" s="156">
        <f>ROUNDUP(U77*($H51/(Dashboard!$D$15+U106+U130+U154)),2)</f>
        <v>0</v>
      </c>
      <c r="V183" s="156">
        <f>ROUNDUP(V77*($H51/(Dashboard!$D$15+V106+V130+V154)),2)</f>
        <v>0</v>
      </c>
      <c r="W183" s="156">
        <f>ROUNDUP(W77*($H51/(Dashboard!$D$15+W106+W130+W154)),2)</f>
        <v>0</v>
      </c>
      <c r="X183" s="156">
        <f>ROUNDUP(X77*($H51/(Dashboard!$D$15+X106+X130+X154)),2)</f>
        <v>0</v>
      </c>
      <c r="Y183" s="156">
        <f>ROUNDUP(Y77*($H51/(Dashboard!$D$15+Y106+Y130+Y154)),2)</f>
        <v>0</v>
      </c>
      <c r="Z183" s="156">
        <f>ROUNDUP(Z77*($H51/(Dashboard!$D$15+Z106+Z130+Z154)),2)</f>
        <v>0</v>
      </c>
      <c r="AA183" s="156">
        <f>ROUNDUP(AA77*($H51/(Dashboard!$D$15+AA106+AA130+AA154)),2)</f>
        <v>0</v>
      </c>
      <c r="AB183" s="156">
        <f>ROUNDUP(AB77*($H51/(Dashboard!$D$15+AB106+AB130+AB154)),2)</f>
        <v>0</v>
      </c>
      <c r="AC183" s="156">
        <f>ROUNDUP(AC77*($H51/(Dashboard!$D$15+AC106+AC130+AC154)),2)</f>
        <v>0</v>
      </c>
      <c r="AD183" s="156">
        <f>ROUNDUP(AD77*($H51/(Dashboard!$D$15+AD106+AD130+AD154)),2)</f>
        <v>0</v>
      </c>
      <c r="AE183" s="156">
        <f>ROUNDUP(AE77*($H51/(Dashboard!$D$15+AE106+AE130+AE154)),2)</f>
        <v>0</v>
      </c>
      <c r="AF183" s="156">
        <f>ROUNDUP(AF77*($H51/(Dashboard!$D$15+AF106+AF130+AF154)),2)</f>
        <v>0</v>
      </c>
      <c r="AG183" s="156">
        <f>ROUNDUP(AG77*($H51/(Dashboard!$D$15+AG106+AG130+AG154)),2)</f>
        <v>0</v>
      </c>
      <c r="AH183" s="156">
        <f>ROUNDUP(AH77*($H51/(Dashboard!$D$15+AH106+AH130+AH154)),2)</f>
        <v>0</v>
      </c>
      <c r="AI183" s="156">
        <f>ROUNDUP(AI77*($H51/(Dashboard!$D$15+AI106+AI130+AI154)),2)</f>
        <v>0</v>
      </c>
      <c r="AJ183" s="156">
        <f>ROUNDUP(AJ77*($H51/(Dashboard!$D$15+AJ106+AJ130+AJ154)),2)</f>
        <v>0</v>
      </c>
      <c r="AK183" s="156">
        <f>ROUNDUP(AK77*($H51/(Dashboard!$D$15+AK106+AK130+AK154)),2)</f>
        <v>0</v>
      </c>
      <c r="AL183" s="156">
        <f>ROUNDUP(AL77*($H51/(Dashboard!$D$15+AL106+AL130+AL154)),2)</f>
        <v>0</v>
      </c>
      <c r="AM183" s="156">
        <f>ROUNDUP(AM77*($H51/(Dashboard!$D$15+AM106+AM130+AM154)),2)</f>
        <v>0</v>
      </c>
      <c r="AN183" s="156">
        <f>ROUNDUP(AN77*($H51/(Dashboard!$D$15+AN106+AN130+AN154)),2)</f>
        <v>0</v>
      </c>
      <c r="AO183" s="156">
        <f>ROUNDUP(AO77*($H51/(Dashboard!$D$15+AO106+AO130+AO154)),2)</f>
        <v>0</v>
      </c>
      <c r="AP183" s="156">
        <f>ROUNDUP(AP77*($H51/(Dashboard!$D$15+AP106+AP130+AP154)),2)</f>
        <v>0</v>
      </c>
      <c r="AQ183" s="156">
        <f>ROUNDUP(AQ77*($H51/(Dashboard!$D$15+AQ106+AQ130+AQ154)),2)</f>
        <v>0</v>
      </c>
      <c r="AR183" s="156">
        <f>ROUNDUP(AR77*($H51/(Dashboard!$D$15+AR106+AR130+AR154)),2)</f>
        <v>0</v>
      </c>
      <c r="AS183" s="156">
        <f>ROUNDUP(AS77*($H51/(Dashboard!$D$15+AS106+AS130+AS154)),2)</f>
        <v>0</v>
      </c>
      <c r="AT183" s="156">
        <f>ROUNDUP(AT77*($H51/(Dashboard!$D$15+AT106+AT130+AT154)),2)</f>
        <v>0</v>
      </c>
      <c r="AU183" s="156">
        <f>ROUNDUP(AU77*($H51/(Dashboard!$D$15+AU106+AU130+AU154)),2)</f>
        <v>0</v>
      </c>
      <c r="AV183" s="156">
        <f>ROUNDUP(AV77*($H51/(Dashboard!$D$15+AV106+AV130+AV154)),2)</f>
        <v>0</v>
      </c>
      <c r="AW183" s="156">
        <f>ROUNDUP(AW77*($H51/(Dashboard!$D$15+AW106+AW130+AW154)),2)</f>
        <v>0</v>
      </c>
      <c r="AX183" s="156">
        <f>ROUNDUP(AX77*($H51/(Dashboard!$D$15+AX106+AX130+AX154)),2)</f>
        <v>0</v>
      </c>
      <c r="AY183" s="156">
        <f>ROUNDUP(AY77*($H51/(Dashboard!$D$15+AY106+AY130+AY154)),2)</f>
        <v>0</v>
      </c>
      <c r="AZ183" s="156">
        <f>ROUNDUP(AZ77*($H51/(Dashboard!$D$15+AZ106+AZ130+AZ154)),2)</f>
        <v>0</v>
      </c>
      <c r="BA183" s="156">
        <f>ROUNDUP(BA77*($H51/(Dashboard!$D$15+BA106+BA130+BA154)),2)</f>
        <v>0</v>
      </c>
      <c r="BB183" s="156">
        <f>ROUNDUP(BB77*($H51/(Dashboard!$D$15+BB106+BB130+BB154)),2)</f>
        <v>0</v>
      </c>
      <c r="BC183" s="156">
        <f>ROUNDUP(BC77*($H51/(Dashboard!$D$15+BC106+BC130+BC154)),2)</f>
        <v>0</v>
      </c>
      <c r="BD183" s="156">
        <f>ROUNDUP(BD77*($H51/(Dashboard!$D$15+BD106+BD130+BD154)),2)</f>
        <v>0</v>
      </c>
      <c r="BE183" s="156">
        <f>ROUNDUP(BE77*($H51/(Dashboard!$D$15+BE106+BE130+BE154)),2)</f>
        <v>0</v>
      </c>
      <c r="BF183" s="156">
        <f>ROUNDUP(BF77*($H51/(Dashboard!$D$15+BF106+BF130+BF154)),2)</f>
        <v>0</v>
      </c>
      <c r="BG183" s="156">
        <f>ROUNDUP(BG77*($H51/(Dashboard!$D$15+BG106+BG130+BG154)),2)</f>
        <v>0</v>
      </c>
      <c r="BH183" s="156">
        <f>ROUNDUP(BH77*($H51/(Dashboard!$D$15+BH106+BH130+BH154)),2)</f>
        <v>0</v>
      </c>
      <c r="BI183" s="156">
        <f>ROUNDUP(BI77*($H51/(Dashboard!$D$15+BI106+BI130+BI154)),2)</f>
        <v>0</v>
      </c>
      <c r="BJ183" s="156">
        <f>ROUNDUP(BJ77*($H51/(Dashboard!$D$15+BJ106+BJ130+BJ154)),2)</f>
        <v>0</v>
      </c>
      <c r="BK183" s="156">
        <f>ROUNDUP(BK77*($H51/(Dashboard!$D$15+BK106+BK130+BK154)),2)</f>
        <v>0</v>
      </c>
      <c r="BL183" s="156">
        <f>ROUNDUP(BL77*($H51/(Dashboard!$D$15+BL106+BL130+BL154)),2)</f>
        <v>0</v>
      </c>
      <c r="BM183" s="156">
        <f>ROUNDUP(BM77*($H51/(Dashboard!$D$15+BM106+BM130+BM154)),2)</f>
        <v>0</v>
      </c>
      <c r="BN183" s="156">
        <f>ROUNDUP(BN77*($H51/(Dashboard!$D$15+BN106+BN130+BN154)),2)</f>
        <v>0</v>
      </c>
      <c r="BO183" s="156">
        <f>ROUNDUP(BO77*($H51/(Dashboard!$D$15+BO106+BO130+BO154)),2)</f>
        <v>0</v>
      </c>
      <c r="BP183" s="156">
        <f>ROUNDUP(BP77*($H51/(Dashboard!$D$15+BP106+BP130+BP154)),2)</f>
        <v>0</v>
      </c>
      <c r="BQ183" s="156">
        <f>ROUNDUP(BQ77*($H51/(Dashboard!$D$15+BQ106+BQ130+BQ154)),2)</f>
        <v>0</v>
      </c>
      <c r="BR183" s="156">
        <f>ROUNDUP(BR77*($H51/(Dashboard!$D$15+BR106+BR130+BR154)),2)</f>
        <v>0</v>
      </c>
    </row>
    <row r="184" spans="4:70" ht="12" hidden="1" customHeight="1" outlineLevel="1">
      <c r="D184" s="621"/>
      <c r="E184" s="65"/>
      <c r="F184" s="143" t="str">
        <f t="shared" si="256"/>
        <v>Equipe_02</v>
      </c>
      <c r="G184" s="151" t="str">
        <f t="shared" si="256"/>
        <v>Equipe02</v>
      </c>
      <c r="H184" s="155"/>
      <c r="I184" s="146">
        <f t="shared" si="257"/>
        <v>0.73</v>
      </c>
      <c r="J184" s="65"/>
      <c r="K184" s="156">
        <f>ROUNDUP(K78*($H52/(Dashboard!$D$15+K107+K131+K155)),2)</f>
        <v>0.73</v>
      </c>
      <c r="L184" s="156">
        <f>ROUNDUP(L78*($H52/(Dashboard!$D$15+L107+L131+L155)),2)</f>
        <v>0.73</v>
      </c>
      <c r="M184" s="156">
        <f>ROUNDUP(M78*($H52/(Dashboard!$D$15+M107+M131+M155)),2)</f>
        <v>0.73</v>
      </c>
      <c r="N184" s="156">
        <f>ROUNDUP(N78*($H52/(Dashboard!$D$15+N107+N131+N155)),2)</f>
        <v>0.73</v>
      </c>
      <c r="O184" s="156">
        <f>ROUNDUP(O78*($H52/(Dashboard!$D$15+O107+O131+O155)),2)</f>
        <v>0.73</v>
      </c>
      <c r="P184" s="156">
        <f>ROUNDUP(P78*($H52/(Dashboard!$D$15+P107+P131+P155)),2)</f>
        <v>0.73</v>
      </c>
      <c r="Q184" s="156">
        <f>ROUNDUP(Q78*($H52/(Dashboard!$D$15+Q107+Q131+Q155)),2)</f>
        <v>0.73</v>
      </c>
      <c r="R184" s="156">
        <f>ROUNDUP(R78*($H52/(Dashboard!$D$15+R107+R131+R155)),2)</f>
        <v>0.73</v>
      </c>
      <c r="S184" s="156">
        <f>ROUNDUP(S78*($H52/(Dashboard!$D$15+S107+S131+S155)),2)</f>
        <v>0.73</v>
      </c>
      <c r="T184" s="156">
        <f>ROUNDUP(T78*($H52/(Dashboard!$D$15+T107+T131+T155)),2)</f>
        <v>0.73</v>
      </c>
      <c r="U184" s="156">
        <f>ROUNDUP(U78*($H52/(Dashboard!$D$15+U107+U131+U155)),2)</f>
        <v>0</v>
      </c>
      <c r="V184" s="156">
        <f>ROUNDUP(V78*($H52/(Dashboard!$D$15+V107+V131+V155)),2)</f>
        <v>0</v>
      </c>
      <c r="W184" s="156">
        <f>ROUNDUP(W78*($H52/(Dashboard!$D$15+W107+W131+W155)),2)</f>
        <v>0</v>
      </c>
      <c r="X184" s="156">
        <f>ROUNDUP(X78*($H52/(Dashboard!$D$15+X107+X131+X155)),2)</f>
        <v>0</v>
      </c>
      <c r="Y184" s="156">
        <f>ROUNDUP(Y78*($H52/(Dashboard!$D$15+Y107+Y131+Y155)),2)</f>
        <v>0</v>
      </c>
      <c r="Z184" s="156">
        <f>ROUNDUP(Z78*($H52/(Dashboard!$D$15+Z107+Z131+Z155)),2)</f>
        <v>0</v>
      </c>
      <c r="AA184" s="156">
        <f>ROUNDUP(AA78*($H52/(Dashboard!$D$15+AA107+AA131+AA155)),2)</f>
        <v>0</v>
      </c>
      <c r="AB184" s="156">
        <f>ROUNDUP(AB78*($H52/(Dashboard!$D$15+AB107+AB131+AB155)),2)</f>
        <v>0</v>
      </c>
      <c r="AC184" s="156">
        <f>ROUNDUP(AC78*($H52/(Dashboard!$D$15+AC107+AC131+AC155)),2)</f>
        <v>0</v>
      </c>
      <c r="AD184" s="156">
        <f>ROUNDUP(AD78*($H52/(Dashboard!$D$15+AD107+AD131+AD155)),2)</f>
        <v>0</v>
      </c>
      <c r="AE184" s="156">
        <f>ROUNDUP(AE78*($H52/(Dashboard!$D$15+AE107+AE131+AE155)),2)</f>
        <v>0</v>
      </c>
      <c r="AF184" s="156">
        <f>ROUNDUP(AF78*($H52/(Dashboard!$D$15+AF107+AF131+AF155)),2)</f>
        <v>0</v>
      </c>
      <c r="AG184" s="156">
        <f>ROUNDUP(AG78*($H52/(Dashboard!$D$15+AG107+AG131+AG155)),2)</f>
        <v>0</v>
      </c>
      <c r="AH184" s="156">
        <f>ROUNDUP(AH78*($H52/(Dashboard!$D$15+AH107+AH131+AH155)),2)</f>
        <v>0</v>
      </c>
      <c r="AI184" s="156">
        <f>ROUNDUP(AI78*($H52/(Dashboard!$D$15+AI107+AI131+AI155)),2)</f>
        <v>0</v>
      </c>
      <c r="AJ184" s="156">
        <f>ROUNDUP(AJ78*($H52/(Dashboard!$D$15+AJ107+AJ131+AJ155)),2)</f>
        <v>0</v>
      </c>
      <c r="AK184" s="156">
        <f>ROUNDUP(AK78*($H52/(Dashboard!$D$15+AK107+AK131+AK155)),2)</f>
        <v>0</v>
      </c>
      <c r="AL184" s="156">
        <f>ROUNDUP(AL78*($H52/(Dashboard!$D$15+AL107+AL131+AL155)),2)</f>
        <v>0</v>
      </c>
      <c r="AM184" s="156">
        <f>ROUNDUP(AM78*($H52/(Dashboard!$D$15+AM107+AM131+AM155)),2)</f>
        <v>0</v>
      </c>
      <c r="AN184" s="156">
        <f>ROUNDUP(AN78*($H52/(Dashboard!$D$15+AN107+AN131+AN155)),2)</f>
        <v>0</v>
      </c>
      <c r="AO184" s="156">
        <f>ROUNDUP(AO78*($H52/(Dashboard!$D$15+AO107+AO131+AO155)),2)</f>
        <v>0</v>
      </c>
      <c r="AP184" s="156">
        <f>ROUNDUP(AP78*($H52/(Dashboard!$D$15+AP107+AP131+AP155)),2)</f>
        <v>0</v>
      </c>
      <c r="AQ184" s="156">
        <f>ROUNDUP(AQ78*($H52/(Dashboard!$D$15+AQ107+AQ131+AQ155)),2)</f>
        <v>0</v>
      </c>
      <c r="AR184" s="156">
        <f>ROUNDUP(AR78*($H52/(Dashboard!$D$15+AR107+AR131+AR155)),2)</f>
        <v>0</v>
      </c>
      <c r="AS184" s="156">
        <f>ROUNDUP(AS78*($H52/(Dashboard!$D$15+AS107+AS131+AS155)),2)</f>
        <v>0</v>
      </c>
      <c r="AT184" s="156">
        <f>ROUNDUP(AT78*($H52/(Dashboard!$D$15+AT107+AT131+AT155)),2)</f>
        <v>0</v>
      </c>
      <c r="AU184" s="156">
        <f>ROUNDUP(AU78*($H52/(Dashboard!$D$15+AU107+AU131+AU155)),2)</f>
        <v>0</v>
      </c>
      <c r="AV184" s="156">
        <f>ROUNDUP(AV78*($H52/(Dashboard!$D$15+AV107+AV131+AV155)),2)</f>
        <v>0</v>
      </c>
      <c r="AW184" s="156">
        <f>ROUNDUP(AW78*($H52/(Dashboard!$D$15+AW107+AW131+AW155)),2)</f>
        <v>0</v>
      </c>
      <c r="AX184" s="156">
        <f>ROUNDUP(AX78*($H52/(Dashboard!$D$15+AX107+AX131+AX155)),2)</f>
        <v>0</v>
      </c>
      <c r="AY184" s="156">
        <f>ROUNDUP(AY78*($H52/(Dashboard!$D$15+AY107+AY131+AY155)),2)</f>
        <v>0</v>
      </c>
      <c r="AZ184" s="156">
        <f>ROUNDUP(AZ78*($H52/(Dashboard!$D$15+AZ107+AZ131+AZ155)),2)</f>
        <v>0</v>
      </c>
      <c r="BA184" s="156">
        <f>ROUNDUP(BA78*($H52/(Dashboard!$D$15+BA107+BA131+BA155)),2)</f>
        <v>0</v>
      </c>
      <c r="BB184" s="156">
        <f>ROUNDUP(BB78*($H52/(Dashboard!$D$15+BB107+BB131+BB155)),2)</f>
        <v>0</v>
      </c>
      <c r="BC184" s="156">
        <f>ROUNDUP(BC78*($H52/(Dashboard!$D$15+BC107+BC131+BC155)),2)</f>
        <v>0</v>
      </c>
      <c r="BD184" s="156">
        <f>ROUNDUP(BD78*($H52/(Dashboard!$D$15+BD107+BD131+BD155)),2)</f>
        <v>0</v>
      </c>
      <c r="BE184" s="156">
        <f>ROUNDUP(BE78*($H52/(Dashboard!$D$15+BE107+BE131+BE155)),2)</f>
        <v>0</v>
      </c>
      <c r="BF184" s="156">
        <f>ROUNDUP(BF78*($H52/(Dashboard!$D$15+BF107+BF131+BF155)),2)</f>
        <v>0</v>
      </c>
      <c r="BG184" s="156">
        <f>ROUNDUP(BG78*($H52/(Dashboard!$D$15+BG107+BG131+BG155)),2)</f>
        <v>0</v>
      </c>
      <c r="BH184" s="156">
        <f>ROUNDUP(BH78*($H52/(Dashboard!$D$15+BH107+BH131+BH155)),2)</f>
        <v>0</v>
      </c>
      <c r="BI184" s="156">
        <f>ROUNDUP(BI78*($H52/(Dashboard!$D$15+BI107+BI131+BI155)),2)</f>
        <v>0</v>
      </c>
      <c r="BJ184" s="156">
        <f>ROUNDUP(BJ78*($H52/(Dashboard!$D$15+BJ107+BJ131+BJ155)),2)</f>
        <v>0</v>
      </c>
      <c r="BK184" s="156">
        <f>ROUNDUP(BK78*($H52/(Dashboard!$D$15+BK107+BK131+BK155)),2)</f>
        <v>0</v>
      </c>
      <c r="BL184" s="156">
        <f>ROUNDUP(BL78*($H52/(Dashboard!$D$15+BL107+BL131+BL155)),2)</f>
        <v>0</v>
      </c>
      <c r="BM184" s="156">
        <f>ROUNDUP(BM78*($H52/(Dashboard!$D$15+BM107+BM131+BM155)),2)</f>
        <v>0</v>
      </c>
      <c r="BN184" s="156">
        <f>ROUNDUP(BN78*($H52/(Dashboard!$D$15+BN107+BN131+BN155)),2)</f>
        <v>0</v>
      </c>
      <c r="BO184" s="156">
        <f>ROUNDUP(BO78*($H52/(Dashboard!$D$15+BO107+BO131+BO155)),2)</f>
        <v>0</v>
      </c>
      <c r="BP184" s="156">
        <f>ROUNDUP(BP78*($H52/(Dashboard!$D$15+BP107+BP131+BP155)),2)</f>
        <v>0</v>
      </c>
      <c r="BQ184" s="156">
        <f>ROUNDUP(BQ78*($H52/(Dashboard!$D$15+BQ107+BQ131+BQ155)),2)</f>
        <v>0</v>
      </c>
      <c r="BR184" s="156">
        <f>ROUNDUP(BR78*($H52/(Dashboard!$D$15+BR107+BR131+BR155)),2)</f>
        <v>0</v>
      </c>
    </row>
    <row r="185" spans="4:70" ht="12" hidden="1" customHeight="1" outlineLevel="1">
      <c r="D185" s="621"/>
      <c r="E185" s="65"/>
      <c r="F185" s="143" t="str">
        <f t="shared" si="256"/>
        <v>Equipe_03</v>
      </c>
      <c r="G185" s="151" t="str">
        <f t="shared" si="256"/>
        <v>Equipe03</v>
      </c>
      <c r="H185" s="155"/>
      <c r="I185" s="146">
        <f t="shared" si="257"/>
        <v>0.13</v>
      </c>
      <c r="J185" s="65"/>
      <c r="K185" s="156">
        <f>ROUNDUP(K79*($H53/(Dashboard!$D$15+K108+K132+K156)),2)</f>
        <v>0.13</v>
      </c>
      <c r="L185" s="156">
        <f>ROUNDUP(L79*($H53/(Dashboard!$D$15+L108+L132+L156)),2)</f>
        <v>0.13</v>
      </c>
      <c r="M185" s="156">
        <f>ROUNDUP(M79*($H53/(Dashboard!$D$15+M108+M132+M156)),2)</f>
        <v>0.13</v>
      </c>
      <c r="N185" s="156">
        <f>ROUNDUP(N79*($H53/(Dashboard!$D$15+N108+N132+N156)),2)</f>
        <v>0.13</v>
      </c>
      <c r="O185" s="156">
        <f>ROUNDUP(O79*($H53/(Dashboard!$D$15+O108+O132+O156)),2)</f>
        <v>0.13</v>
      </c>
      <c r="P185" s="156">
        <f>ROUNDUP(P79*($H53/(Dashboard!$D$15+P108+P132+P156)),2)</f>
        <v>0.13</v>
      </c>
      <c r="Q185" s="156">
        <f>ROUNDUP(Q79*($H53/(Dashboard!$D$15+Q108+Q132+Q156)),2)</f>
        <v>0.13</v>
      </c>
      <c r="R185" s="156">
        <f>ROUNDUP(R79*($H53/(Dashboard!$D$15+R108+R132+R156)),2)</f>
        <v>0.13</v>
      </c>
      <c r="S185" s="156">
        <f>ROUNDUP(S79*($H53/(Dashboard!$D$15+S108+S132+S156)),2)</f>
        <v>0.13</v>
      </c>
      <c r="T185" s="156">
        <f>ROUNDUP(T79*($H53/(Dashboard!$D$15+T108+T132+T156)),2)</f>
        <v>0.13</v>
      </c>
      <c r="U185" s="156">
        <f>ROUNDUP(U79*($H53/(Dashboard!$D$15+U108+U132+U156)),2)</f>
        <v>0</v>
      </c>
      <c r="V185" s="156">
        <f>ROUNDUP(V79*($H53/(Dashboard!$D$15+V108+V132+V156)),2)</f>
        <v>0</v>
      </c>
      <c r="W185" s="156">
        <f>ROUNDUP(W79*($H53/(Dashboard!$D$15+W108+W132+W156)),2)</f>
        <v>0</v>
      </c>
      <c r="X185" s="156">
        <f>ROUNDUP(X79*($H53/(Dashboard!$D$15+X108+X132+X156)),2)</f>
        <v>0</v>
      </c>
      <c r="Y185" s="156">
        <f>ROUNDUP(Y79*($H53/(Dashboard!$D$15+Y108+Y132+Y156)),2)</f>
        <v>0</v>
      </c>
      <c r="Z185" s="156">
        <f>ROUNDUP(Z79*($H53/(Dashboard!$D$15+Z108+Z132+Z156)),2)</f>
        <v>0</v>
      </c>
      <c r="AA185" s="156">
        <f>ROUNDUP(AA79*($H53/(Dashboard!$D$15+AA108+AA132+AA156)),2)</f>
        <v>0</v>
      </c>
      <c r="AB185" s="156">
        <f>ROUNDUP(AB79*($H53/(Dashboard!$D$15+AB108+AB132+AB156)),2)</f>
        <v>0</v>
      </c>
      <c r="AC185" s="156">
        <f>ROUNDUP(AC79*($H53/(Dashboard!$D$15+AC108+AC132+AC156)),2)</f>
        <v>0</v>
      </c>
      <c r="AD185" s="156">
        <f>ROUNDUP(AD79*($H53/(Dashboard!$D$15+AD108+AD132+AD156)),2)</f>
        <v>0</v>
      </c>
      <c r="AE185" s="156">
        <f>ROUNDUP(AE79*($H53/(Dashboard!$D$15+AE108+AE132+AE156)),2)</f>
        <v>0</v>
      </c>
      <c r="AF185" s="156">
        <f>ROUNDUP(AF79*($H53/(Dashboard!$D$15+AF108+AF132+AF156)),2)</f>
        <v>0</v>
      </c>
      <c r="AG185" s="156">
        <f>ROUNDUP(AG79*($H53/(Dashboard!$D$15+AG108+AG132+AG156)),2)</f>
        <v>0</v>
      </c>
      <c r="AH185" s="156">
        <f>ROUNDUP(AH79*($H53/(Dashboard!$D$15+AH108+AH132+AH156)),2)</f>
        <v>0</v>
      </c>
      <c r="AI185" s="156">
        <f>ROUNDUP(AI79*($H53/(Dashboard!$D$15+AI108+AI132+AI156)),2)</f>
        <v>0</v>
      </c>
      <c r="AJ185" s="156">
        <f>ROUNDUP(AJ79*($H53/(Dashboard!$D$15+AJ108+AJ132+AJ156)),2)</f>
        <v>0</v>
      </c>
      <c r="AK185" s="156">
        <f>ROUNDUP(AK79*($H53/(Dashboard!$D$15+AK108+AK132+AK156)),2)</f>
        <v>0</v>
      </c>
      <c r="AL185" s="156">
        <f>ROUNDUP(AL79*($H53/(Dashboard!$D$15+AL108+AL132+AL156)),2)</f>
        <v>0</v>
      </c>
      <c r="AM185" s="156">
        <f>ROUNDUP(AM79*($H53/(Dashboard!$D$15+AM108+AM132+AM156)),2)</f>
        <v>0</v>
      </c>
      <c r="AN185" s="156">
        <f>ROUNDUP(AN79*($H53/(Dashboard!$D$15+AN108+AN132+AN156)),2)</f>
        <v>0</v>
      </c>
      <c r="AO185" s="156">
        <f>ROUNDUP(AO79*($H53/(Dashboard!$D$15+AO108+AO132+AO156)),2)</f>
        <v>0</v>
      </c>
      <c r="AP185" s="156">
        <f>ROUNDUP(AP79*($H53/(Dashboard!$D$15+AP108+AP132+AP156)),2)</f>
        <v>0</v>
      </c>
      <c r="AQ185" s="156">
        <f>ROUNDUP(AQ79*($H53/(Dashboard!$D$15+AQ108+AQ132+AQ156)),2)</f>
        <v>0</v>
      </c>
      <c r="AR185" s="156">
        <f>ROUNDUP(AR79*($H53/(Dashboard!$D$15+AR108+AR132+AR156)),2)</f>
        <v>0</v>
      </c>
      <c r="AS185" s="156">
        <f>ROUNDUP(AS79*($H53/(Dashboard!$D$15+AS108+AS132+AS156)),2)</f>
        <v>0</v>
      </c>
      <c r="AT185" s="156">
        <f>ROUNDUP(AT79*($H53/(Dashboard!$D$15+AT108+AT132+AT156)),2)</f>
        <v>0</v>
      </c>
      <c r="AU185" s="156">
        <f>ROUNDUP(AU79*($H53/(Dashboard!$D$15+AU108+AU132+AU156)),2)</f>
        <v>0</v>
      </c>
      <c r="AV185" s="156">
        <f>ROUNDUP(AV79*($H53/(Dashboard!$D$15+AV108+AV132+AV156)),2)</f>
        <v>0</v>
      </c>
      <c r="AW185" s="156">
        <f>ROUNDUP(AW79*($H53/(Dashboard!$D$15+AW108+AW132+AW156)),2)</f>
        <v>0</v>
      </c>
      <c r="AX185" s="156">
        <f>ROUNDUP(AX79*($H53/(Dashboard!$D$15+AX108+AX132+AX156)),2)</f>
        <v>0</v>
      </c>
      <c r="AY185" s="156">
        <f>ROUNDUP(AY79*($H53/(Dashboard!$D$15+AY108+AY132+AY156)),2)</f>
        <v>0</v>
      </c>
      <c r="AZ185" s="156">
        <f>ROUNDUP(AZ79*($H53/(Dashboard!$D$15+AZ108+AZ132+AZ156)),2)</f>
        <v>0</v>
      </c>
      <c r="BA185" s="156">
        <f>ROUNDUP(BA79*($H53/(Dashboard!$D$15+BA108+BA132+BA156)),2)</f>
        <v>0</v>
      </c>
      <c r="BB185" s="156">
        <f>ROUNDUP(BB79*($H53/(Dashboard!$D$15+BB108+BB132+BB156)),2)</f>
        <v>0</v>
      </c>
      <c r="BC185" s="156">
        <f>ROUNDUP(BC79*($H53/(Dashboard!$D$15+BC108+BC132+BC156)),2)</f>
        <v>0</v>
      </c>
      <c r="BD185" s="156">
        <f>ROUNDUP(BD79*($H53/(Dashboard!$D$15+BD108+BD132+BD156)),2)</f>
        <v>0</v>
      </c>
      <c r="BE185" s="156">
        <f>ROUNDUP(BE79*($H53/(Dashboard!$D$15+BE108+BE132+BE156)),2)</f>
        <v>0</v>
      </c>
      <c r="BF185" s="156">
        <f>ROUNDUP(BF79*($H53/(Dashboard!$D$15+BF108+BF132+BF156)),2)</f>
        <v>0</v>
      </c>
      <c r="BG185" s="156">
        <f>ROUNDUP(BG79*($H53/(Dashboard!$D$15+BG108+BG132+BG156)),2)</f>
        <v>0</v>
      </c>
      <c r="BH185" s="156">
        <f>ROUNDUP(BH79*($H53/(Dashboard!$D$15+BH108+BH132+BH156)),2)</f>
        <v>0</v>
      </c>
      <c r="BI185" s="156">
        <f>ROUNDUP(BI79*($H53/(Dashboard!$D$15+BI108+BI132+BI156)),2)</f>
        <v>0</v>
      </c>
      <c r="BJ185" s="156">
        <f>ROUNDUP(BJ79*($H53/(Dashboard!$D$15+BJ108+BJ132+BJ156)),2)</f>
        <v>0</v>
      </c>
      <c r="BK185" s="156">
        <f>ROUNDUP(BK79*($H53/(Dashboard!$D$15+BK108+BK132+BK156)),2)</f>
        <v>0</v>
      </c>
      <c r="BL185" s="156">
        <f>ROUNDUP(BL79*($H53/(Dashboard!$D$15+BL108+BL132+BL156)),2)</f>
        <v>0</v>
      </c>
      <c r="BM185" s="156">
        <f>ROUNDUP(BM79*($H53/(Dashboard!$D$15+BM108+BM132+BM156)),2)</f>
        <v>0</v>
      </c>
      <c r="BN185" s="156">
        <f>ROUNDUP(BN79*($H53/(Dashboard!$D$15+BN108+BN132+BN156)),2)</f>
        <v>0</v>
      </c>
      <c r="BO185" s="156">
        <f>ROUNDUP(BO79*($H53/(Dashboard!$D$15+BO108+BO132+BO156)),2)</f>
        <v>0</v>
      </c>
      <c r="BP185" s="156">
        <f>ROUNDUP(BP79*($H53/(Dashboard!$D$15+BP108+BP132+BP156)),2)</f>
        <v>0</v>
      </c>
      <c r="BQ185" s="156">
        <f>ROUNDUP(BQ79*($H53/(Dashboard!$D$15+BQ108+BQ132+BQ156)),2)</f>
        <v>0</v>
      </c>
      <c r="BR185" s="156">
        <f>ROUNDUP(BR79*($H53/(Dashboard!$D$15+BR108+BR132+BR156)),2)</f>
        <v>0</v>
      </c>
    </row>
    <row r="186" spans="4:70" ht="12" hidden="1" customHeight="1" outlineLevel="1">
      <c r="D186" s="621"/>
      <c r="E186" s="65"/>
      <c r="F186" s="143" t="str">
        <f t="shared" si="256"/>
        <v>Equipe_04</v>
      </c>
      <c r="G186" s="151" t="str">
        <f t="shared" si="256"/>
        <v>Equipe04</v>
      </c>
      <c r="H186" s="155"/>
      <c r="I186" s="146">
        <f t="shared" si="257"/>
        <v>0.3</v>
      </c>
      <c r="J186" s="65"/>
      <c r="K186" s="156">
        <f>ROUNDUP(K80*($H54/(Dashboard!$D$15+K109+K133+K157)),2)</f>
        <v>0.3</v>
      </c>
      <c r="L186" s="156">
        <f>ROUNDUP(L80*($H54/(Dashboard!$D$15+L109+L133+L157)),2)</f>
        <v>0.3</v>
      </c>
      <c r="M186" s="156">
        <f>ROUNDUP(M80*($H54/(Dashboard!$D$15+M109+M133+M157)),2)</f>
        <v>0.3</v>
      </c>
      <c r="N186" s="156">
        <f>ROUNDUP(N80*($H54/(Dashboard!$D$15+N109+N133+N157)),2)</f>
        <v>0.3</v>
      </c>
      <c r="O186" s="156">
        <f>ROUNDUP(O80*($H54/(Dashboard!$D$15+O109+O133+O157)),2)</f>
        <v>0.3</v>
      </c>
      <c r="P186" s="156">
        <f>ROUNDUP(P80*($H54/(Dashboard!$D$15+P109+P133+P157)),2)</f>
        <v>0.3</v>
      </c>
      <c r="Q186" s="156">
        <f>ROUNDUP(Q80*($H54/(Dashboard!$D$15+Q109+Q133+Q157)),2)</f>
        <v>0.3</v>
      </c>
      <c r="R186" s="156">
        <f>ROUNDUP(R80*($H54/(Dashboard!$D$15+R109+R133+R157)),2)</f>
        <v>0.3</v>
      </c>
      <c r="S186" s="156">
        <f>ROUNDUP(S80*($H54/(Dashboard!$D$15+S109+S133+S157)),2)</f>
        <v>0.3</v>
      </c>
      <c r="T186" s="156">
        <f>ROUNDUP(T80*($H54/(Dashboard!$D$15+T109+T133+T157)),2)</f>
        <v>0.3</v>
      </c>
      <c r="U186" s="156">
        <f>ROUNDUP(U80*($H54/(Dashboard!$D$15+U109+U133+U157)),2)</f>
        <v>0</v>
      </c>
      <c r="V186" s="156">
        <f>ROUNDUP(V80*($H54/(Dashboard!$D$15+V109+V133+V157)),2)</f>
        <v>0</v>
      </c>
      <c r="W186" s="156">
        <f>ROUNDUP(W80*($H54/(Dashboard!$D$15+W109+W133+W157)),2)</f>
        <v>0</v>
      </c>
      <c r="X186" s="156">
        <f>ROUNDUP(X80*($H54/(Dashboard!$D$15+X109+X133+X157)),2)</f>
        <v>0</v>
      </c>
      <c r="Y186" s="156">
        <f>ROUNDUP(Y80*($H54/(Dashboard!$D$15+Y109+Y133+Y157)),2)</f>
        <v>0</v>
      </c>
      <c r="Z186" s="156">
        <f>ROUNDUP(Z80*($H54/(Dashboard!$D$15+Z109+Z133+Z157)),2)</f>
        <v>0</v>
      </c>
      <c r="AA186" s="156">
        <f>ROUNDUP(AA80*($H54/(Dashboard!$D$15+AA109+AA133+AA157)),2)</f>
        <v>0</v>
      </c>
      <c r="AB186" s="156">
        <f>ROUNDUP(AB80*($H54/(Dashboard!$D$15+AB109+AB133+AB157)),2)</f>
        <v>0</v>
      </c>
      <c r="AC186" s="156">
        <f>ROUNDUP(AC80*($H54/(Dashboard!$D$15+AC109+AC133+AC157)),2)</f>
        <v>0</v>
      </c>
      <c r="AD186" s="156">
        <f>ROUNDUP(AD80*($H54/(Dashboard!$D$15+AD109+AD133+AD157)),2)</f>
        <v>0</v>
      </c>
      <c r="AE186" s="156">
        <f>ROUNDUP(AE80*($H54/(Dashboard!$D$15+AE109+AE133+AE157)),2)</f>
        <v>0</v>
      </c>
      <c r="AF186" s="156">
        <f>ROUNDUP(AF80*($H54/(Dashboard!$D$15+AF109+AF133+AF157)),2)</f>
        <v>0</v>
      </c>
      <c r="AG186" s="156">
        <f>ROUNDUP(AG80*($H54/(Dashboard!$D$15+AG109+AG133+AG157)),2)</f>
        <v>0</v>
      </c>
      <c r="AH186" s="156">
        <f>ROUNDUP(AH80*($H54/(Dashboard!$D$15+AH109+AH133+AH157)),2)</f>
        <v>0</v>
      </c>
      <c r="AI186" s="156">
        <f>ROUNDUP(AI80*($H54/(Dashboard!$D$15+AI109+AI133+AI157)),2)</f>
        <v>0</v>
      </c>
      <c r="AJ186" s="156">
        <f>ROUNDUP(AJ80*($H54/(Dashboard!$D$15+AJ109+AJ133+AJ157)),2)</f>
        <v>0</v>
      </c>
      <c r="AK186" s="156">
        <f>ROUNDUP(AK80*($H54/(Dashboard!$D$15+AK109+AK133+AK157)),2)</f>
        <v>0</v>
      </c>
      <c r="AL186" s="156">
        <f>ROUNDUP(AL80*($H54/(Dashboard!$D$15+AL109+AL133+AL157)),2)</f>
        <v>0</v>
      </c>
      <c r="AM186" s="156">
        <f>ROUNDUP(AM80*($H54/(Dashboard!$D$15+AM109+AM133+AM157)),2)</f>
        <v>0</v>
      </c>
      <c r="AN186" s="156">
        <f>ROUNDUP(AN80*($H54/(Dashboard!$D$15+AN109+AN133+AN157)),2)</f>
        <v>0</v>
      </c>
      <c r="AO186" s="156">
        <f>ROUNDUP(AO80*($H54/(Dashboard!$D$15+AO109+AO133+AO157)),2)</f>
        <v>0</v>
      </c>
      <c r="AP186" s="156">
        <f>ROUNDUP(AP80*($H54/(Dashboard!$D$15+AP109+AP133+AP157)),2)</f>
        <v>0</v>
      </c>
      <c r="AQ186" s="156">
        <f>ROUNDUP(AQ80*($H54/(Dashboard!$D$15+AQ109+AQ133+AQ157)),2)</f>
        <v>0</v>
      </c>
      <c r="AR186" s="156">
        <f>ROUNDUP(AR80*($H54/(Dashboard!$D$15+AR109+AR133+AR157)),2)</f>
        <v>0</v>
      </c>
      <c r="AS186" s="156">
        <f>ROUNDUP(AS80*($H54/(Dashboard!$D$15+AS109+AS133+AS157)),2)</f>
        <v>0</v>
      </c>
      <c r="AT186" s="156">
        <f>ROUNDUP(AT80*($H54/(Dashboard!$D$15+AT109+AT133+AT157)),2)</f>
        <v>0</v>
      </c>
      <c r="AU186" s="156">
        <f>ROUNDUP(AU80*($H54/(Dashboard!$D$15+AU109+AU133+AU157)),2)</f>
        <v>0</v>
      </c>
      <c r="AV186" s="156">
        <f>ROUNDUP(AV80*($H54/(Dashboard!$D$15+AV109+AV133+AV157)),2)</f>
        <v>0</v>
      </c>
      <c r="AW186" s="156">
        <f>ROUNDUP(AW80*($H54/(Dashboard!$D$15+AW109+AW133+AW157)),2)</f>
        <v>0</v>
      </c>
      <c r="AX186" s="156">
        <f>ROUNDUP(AX80*($H54/(Dashboard!$D$15+AX109+AX133+AX157)),2)</f>
        <v>0</v>
      </c>
      <c r="AY186" s="156">
        <f>ROUNDUP(AY80*($H54/(Dashboard!$D$15+AY109+AY133+AY157)),2)</f>
        <v>0</v>
      </c>
      <c r="AZ186" s="156">
        <f>ROUNDUP(AZ80*($H54/(Dashboard!$D$15+AZ109+AZ133+AZ157)),2)</f>
        <v>0</v>
      </c>
      <c r="BA186" s="156">
        <f>ROUNDUP(BA80*($H54/(Dashboard!$D$15+BA109+BA133+BA157)),2)</f>
        <v>0</v>
      </c>
      <c r="BB186" s="156">
        <f>ROUNDUP(BB80*($H54/(Dashboard!$D$15+BB109+BB133+BB157)),2)</f>
        <v>0</v>
      </c>
      <c r="BC186" s="156">
        <f>ROUNDUP(BC80*($H54/(Dashboard!$D$15+BC109+BC133+BC157)),2)</f>
        <v>0</v>
      </c>
      <c r="BD186" s="156">
        <f>ROUNDUP(BD80*($H54/(Dashboard!$D$15+BD109+BD133+BD157)),2)</f>
        <v>0</v>
      </c>
      <c r="BE186" s="156">
        <f>ROUNDUP(BE80*($H54/(Dashboard!$D$15+BE109+BE133+BE157)),2)</f>
        <v>0</v>
      </c>
      <c r="BF186" s="156">
        <f>ROUNDUP(BF80*($H54/(Dashboard!$D$15+BF109+BF133+BF157)),2)</f>
        <v>0</v>
      </c>
      <c r="BG186" s="156">
        <f>ROUNDUP(BG80*($H54/(Dashboard!$D$15+BG109+BG133+BG157)),2)</f>
        <v>0</v>
      </c>
      <c r="BH186" s="156">
        <f>ROUNDUP(BH80*($H54/(Dashboard!$D$15+BH109+BH133+BH157)),2)</f>
        <v>0</v>
      </c>
      <c r="BI186" s="156">
        <f>ROUNDUP(BI80*($H54/(Dashboard!$D$15+BI109+BI133+BI157)),2)</f>
        <v>0</v>
      </c>
      <c r="BJ186" s="156">
        <f>ROUNDUP(BJ80*($H54/(Dashboard!$D$15+BJ109+BJ133+BJ157)),2)</f>
        <v>0</v>
      </c>
      <c r="BK186" s="156">
        <f>ROUNDUP(BK80*($H54/(Dashboard!$D$15+BK109+BK133+BK157)),2)</f>
        <v>0</v>
      </c>
      <c r="BL186" s="156">
        <f>ROUNDUP(BL80*($H54/(Dashboard!$D$15+BL109+BL133+BL157)),2)</f>
        <v>0</v>
      </c>
      <c r="BM186" s="156">
        <f>ROUNDUP(BM80*($H54/(Dashboard!$D$15+BM109+BM133+BM157)),2)</f>
        <v>0</v>
      </c>
      <c r="BN186" s="156">
        <f>ROUNDUP(BN80*($H54/(Dashboard!$D$15+BN109+BN133+BN157)),2)</f>
        <v>0</v>
      </c>
      <c r="BO186" s="156">
        <f>ROUNDUP(BO80*($H54/(Dashboard!$D$15+BO109+BO133+BO157)),2)</f>
        <v>0</v>
      </c>
      <c r="BP186" s="156">
        <f>ROUNDUP(BP80*($H54/(Dashboard!$D$15+BP109+BP133+BP157)),2)</f>
        <v>0</v>
      </c>
      <c r="BQ186" s="156">
        <f>ROUNDUP(BQ80*($H54/(Dashboard!$D$15+BQ109+BQ133+BQ157)),2)</f>
        <v>0</v>
      </c>
      <c r="BR186" s="156">
        <f>ROUNDUP(BR80*($H54/(Dashboard!$D$15+BR109+BR133+BR157)),2)</f>
        <v>0</v>
      </c>
    </row>
    <row r="187" spans="4:70" ht="12" hidden="1" customHeight="1" outlineLevel="1">
      <c r="D187" s="621"/>
      <c r="E187" s="65"/>
      <c r="F187" s="143" t="str">
        <f t="shared" si="256"/>
        <v>Equipe_05</v>
      </c>
      <c r="G187" s="151" t="str">
        <f t="shared" si="256"/>
        <v>Equipe05</v>
      </c>
      <c r="H187" s="155"/>
      <c r="I187" s="146">
        <f t="shared" si="257"/>
        <v>0.61</v>
      </c>
      <c r="J187" s="65"/>
      <c r="K187" s="156">
        <f>ROUNDUP(K81*($H55/(Dashboard!$D$15+K110+K134+K158)),2)</f>
        <v>0.61</v>
      </c>
      <c r="L187" s="156">
        <f>ROUNDUP(L81*($H55/(Dashboard!$D$15+L110+L134+L158)),2)</f>
        <v>0.61</v>
      </c>
      <c r="M187" s="156">
        <f>ROUNDUP(M81*($H55/(Dashboard!$D$15+M110+M134+M158)),2)</f>
        <v>0.61</v>
      </c>
      <c r="N187" s="156">
        <f>ROUNDUP(N81*($H55/(Dashboard!$D$15+N110+N134+N158)),2)</f>
        <v>0.61</v>
      </c>
      <c r="O187" s="156">
        <f>ROUNDUP(O81*($H55/(Dashboard!$D$15+O110+O134+O158)),2)</f>
        <v>0.61</v>
      </c>
      <c r="P187" s="156">
        <f>ROUNDUP(P81*($H55/(Dashboard!$D$15+P110+P134+P158)),2)</f>
        <v>0.61</v>
      </c>
      <c r="Q187" s="156">
        <f>ROUNDUP(Q81*($H55/(Dashboard!$D$15+Q110+Q134+Q158)),2)</f>
        <v>0.61</v>
      </c>
      <c r="R187" s="156">
        <f>ROUNDUP(R81*($H55/(Dashboard!$D$15+R110+R134+R158)),2)</f>
        <v>0.61</v>
      </c>
      <c r="S187" s="156">
        <f>ROUNDUP(S81*($H55/(Dashboard!$D$15+S110+S134+S158)),2)</f>
        <v>0.61</v>
      </c>
      <c r="T187" s="156">
        <f>ROUNDUP(T81*($H55/(Dashboard!$D$15+T110+T134+T158)),2)</f>
        <v>0.61</v>
      </c>
      <c r="U187" s="156">
        <f>ROUNDUP(U81*($H55/(Dashboard!$D$15+U110+U134+U158)),2)</f>
        <v>0</v>
      </c>
      <c r="V187" s="156">
        <f>ROUNDUP(V81*($H55/(Dashboard!$D$15+V110+V134+V158)),2)</f>
        <v>0</v>
      </c>
      <c r="W187" s="156">
        <f>ROUNDUP(W81*($H55/(Dashboard!$D$15+W110+W134+W158)),2)</f>
        <v>0</v>
      </c>
      <c r="X187" s="156">
        <f>ROUNDUP(X81*($H55/(Dashboard!$D$15+X110+X134+X158)),2)</f>
        <v>0</v>
      </c>
      <c r="Y187" s="156">
        <f>ROUNDUP(Y81*($H55/(Dashboard!$D$15+Y110+Y134+Y158)),2)</f>
        <v>0</v>
      </c>
      <c r="Z187" s="156">
        <f>ROUNDUP(Z81*($H55/(Dashboard!$D$15+Z110+Z134+Z158)),2)</f>
        <v>0</v>
      </c>
      <c r="AA187" s="156">
        <f>ROUNDUP(AA81*($H55/(Dashboard!$D$15+AA110+AA134+AA158)),2)</f>
        <v>0</v>
      </c>
      <c r="AB187" s="156">
        <f>ROUNDUP(AB81*($H55/(Dashboard!$D$15+AB110+AB134+AB158)),2)</f>
        <v>0</v>
      </c>
      <c r="AC187" s="156">
        <f>ROUNDUP(AC81*($H55/(Dashboard!$D$15+AC110+AC134+AC158)),2)</f>
        <v>0</v>
      </c>
      <c r="AD187" s="156">
        <f>ROUNDUP(AD81*($H55/(Dashboard!$D$15+AD110+AD134+AD158)),2)</f>
        <v>0</v>
      </c>
      <c r="AE187" s="156">
        <f>ROUNDUP(AE81*($H55/(Dashboard!$D$15+AE110+AE134+AE158)),2)</f>
        <v>0</v>
      </c>
      <c r="AF187" s="156">
        <f>ROUNDUP(AF81*($H55/(Dashboard!$D$15+AF110+AF134+AF158)),2)</f>
        <v>0</v>
      </c>
      <c r="AG187" s="156">
        <f>ROUNDUP(AG81*($H55/(Dashboard!$D$15+AG110+AG134+AG158)),2)</f>
        <v>0</v>
      </c>
      <c r="AH187" s="156">
        <f>ROUNDUP(AH81*($H55/(Dashboard!$D$15+AH110+AH134+AH158)),2)</f>
        <v>0</v>
      </c>
      <c r="AI187" s="156">
        <f>ROUNDUP(AI81*($H55/(Dashboard!$D$15+AI110+AI134+AI158)),2)</f>
        <v>0</v>
      </c>
      <c r="AJ187" s="156">
        <f>ROUNDUP(AJ81*($H55/(Dashboard!$D$15+AJ110+AJ134+AJ158)),2)</f>
        <v>0</v>
      </c>
      <c r="AK187" s="156">
        <f>ROUNDUP(AK81*($H55/(Dashboard!$D$15+AK110+AK134+AK158)),2)</f>
        <v>0</v>
      </c>
      <c r="AL187" s="156">
        <f>ROUNDUP(AL81*($H55/(Dashboard!$D$15+AL110+AL134+AL158)),2)</f>
        <v>0</v>
      </c>
      <c r="AM187" s="156">
        <f>ROUNDUP(AM81*($H55/(Dashboard!$D$15+AM110+AM134+AM158)),2)</f>
        <v>0</v>
      </c>
      <c r="AN187" s="156">
        <f>ROUNDUP(AN81*($H55/(Dashboard!$D$15+AN110+AN134+AN158)),2)</f>
        <v>0</v>
      </c>
      <c r="AO187" s="156">
        <f>ROUNDUP(AO81*($H55/(Dashboard!$D$15+AO110+AO134+AO158)),2)</f>
        <v>0</v>
      </c>
      <c r="AP187" s="156">
        <f>ROUNDUP(AP81*($H55/(Dashboard!$D$15+AP110+AP134+AP158)),2)</f>
        <v>0</v>
      </c>
      <c r="AQ187" s="156">
        <f>ROUNDUP(AQ81*($H55/(Dashboard!$D$15+AQ110+AQ134+AQ158)),2)</f>
        <v>0</v>
      </c>
      <c r="AR187" s="156">
        <f>ROUNDUP(AR81*($H55/(Dashboard!$D$15+AR110+AR134+AR158)),2)</f>
        <v>0</v>
      </c>
      <c r="AS187" s="156">
        <f>ROUNDUP(AS81*($H55/(Dashboard!$D$15+AS110+AS134+AS158)),2)</f>
        <v>0</v>
      </c>
      <c r="AT187" s="156">
        <f>ROUNDUP(AT81*($H55/(Dashboard!$D$15+AT110+AT134+AT158)),2)</f>
        <v>0</v>
      </c>
      <c r="AU187" s="156">
        <f>ROUNDUP(AU81*($H55/(Dashboard!$D$15+AU110+AU134+AU158)),2)</f>
        <v>0</v>
      </c>
      <c r="AV187" s="156">
        <f>ROUNDUP(AV81*($H55/(Dashboard!$D$15+AV110+AV134+AV158)),2)</f>
        <v>0</v>
      </c>
      <c r="AW187" s="156">
        <f>ROUNDUP(AW81*($H55/(Dashboard!$D$15+AW110+AW134+AW158)),2)</f>
        <v>0</v>
      </c>
      <c r="AX187" s="156">
        <f>ROUNDUP(AX81*($H55/(Dashboard!$D$15+AX110+AX134+AX158)),2)</f>
        <v>0</v>
      </c>
      <c r="AY187" s="156">
        <f>ROUNDUP(AY81*($H55/(Dashboard!$D$15+AY110+AY134+AY158)),2)</f>
        <v>0</v>
      </c>
      <c r="AZ187" s="156">
        <f>ROUNDUP(AZ81*($H55/(Dashboard!$D$15+AZ110+AZ134+AZ158)),2)</f>
        <v>0</v>
      </c>
      <c r="BA187" s="156">
        <f>ROUNDUP(BA81*($H55/(Dashboard!$D$15+BA110+BA134+BA158)),2)</f>
        <v>0</v>
      </c>
      <c r="BB187" s="156">
        <f>ROUNDUP(BB81*($H55/(Dashboard!$D$15+BB110+BB134+BB158)),2)</f>
        <v>0</v>
      </c>
      <c r="BC187" s="156">
        <f>ROUNDUP(BC81*($H55/(Dashboard!$D$15+BC110+BC134+BC158)),2)</f>
        <v>0</v>
      </c>
      <c r="BD187" s="156">
        <f>ROUNDUP(BD81*($H55/(Dashboard!$D$15+BD110+BD134+BD158)),2)</f>
        <v>0</v>
      </c>
      <c r="BE187" s="156">
        <f>ROUNDUP(BE81*($H55/(Dashboard!$D$15+BE110+BE134+BE158)),2)</f>
        <v>0</v>
      </c>
      <c r="BF187" s="156">
        <f>ROUNDUP(BF81*($H55/(Dashboard!$D$15+BF110+BF134+BF158)),2)</f>
        <v>0</v>
      </c>
      <c r="BG187" s="156">
        <f>ROUNDUP(BG81*($H55/(Dashboard!$D$15+BG110+BG134+BG158)),2)</f>
        <v>0</v>
      </c>
      <c r="BH187" s="156">
        <f>ROUNDUP(BH81*($H55/(Dashboard!$D$15+BH110+BH134+BH158)),2)</f>
        <v>0</v>
      </c>
      <c r="BI187" s="156">
        <f>ROUNDUP(BI81*($H55/(Dashboard!$D$15+BI110+BI134+BI158)),2)</f>
        <v>0</v>
      </c>
      <c r="BJ187" s="156">
        <f>ROUNDUP(BJ81*($H55/(Dashboard!$D$15+BJ110+BJ134+BJ158)),2)</f>
        <v>0</v>
      </c>
      <c r="BK187" s="156">
        <f>ROUNDUP(BK81*($H55/(Dashboard!$D$15+BK110+BK134+BK158)),2)</f>
        <v>0</v>
      </c>
      <c r="BL187" s="156">
        <f>ROUNDUP(BL81*($H55/(Dashboard!$D$15+BL110+BL134+BL158)),2)</f>
        <v>0</v>
      </c>
      <c r="BM187" s="156">
        <f>ROUNDUP(BM81*($H55/(Dashboard!$D$15+BM110+BM134+BM158)),2)</f>
        <v>0</v>
      </c>
      <c r="BN187" s="156">
        <f>ROUNDUP(BN81*($H55/(Dashboard!$D$15+BN110+BN134+BN158)),2)</f>
        <v>0</v>
      </c>
      <c r="BO187" s="156">
        <f>ROUNDUP(BO81*($H55/(Dashboard!$D$15+BO110+BO134+BO158)),2)</f>
        <v>0</v>
      </c>
      <c r="BP187" s="156">
        <f>ROUNDUP(BP81*($H55/(Dashboard!$D$15+BP110+BP134+BP158)),2)</f>
        <v>0</v>
      </c>
      <c r="BQ187" s="156">
        <f>ROUNDUP(BQ81*($H55/(Dashboard!$D$15+BQ110+BQ134+BQ158)),2)</f>
        <v>0</v>
      </c>
      <c r="BR187" s="156">
        <f>ROUNDUP(BR81*($H55/(Dashboard!$D$15+BR110+BR134+BR158)),2)</f>
        <v>0</v>
      </c>
    </row>
    <row r="188" spans="4:70" ht="12" hidden="1" customHeight="1" outlineLevel="1">
      <c r="D188" s="621"/>
      <c r="E188" s="65"/>
      <c r="F188" s="143" t="str">
        <f t="shared" si="256"/>
        <v>Equipe_06</v>
      </c>
      <c r="G188" s="151" t="str">
        <f t="shared" si="256"/>
        <v>Equipe06</v>
      </c>
      <c r="H188" s="155"/>
      <c r="I188" s="146">
        <f t="shared" si="257"/>
        <v>1.08</v>
      </c>
      <c r="J188" s="65"/>
      <c r="K188" s="156">
        <f>ROUNDUP(K82*($H56/(Dashboard!$D$15+K111+K135+K159)),2)</f>
        <v>1.08</v>
      </c>
      <c r="L188" s="156">
        <f>ROUNDUP(L82*($H56/(Dashboard!$D$15+L111+L135+L159)),2)</f>
        <v>1.08</v>
      </c>
      <c r="M188" s="156">
        <f>ROUNDUP(M82*($H56/(Dashboard!$D$15+M111+M135+M159)),2)</f>
        <v>1.08</v>
      </c>
      <c r="N188" s="156">
        <f>ROUNDUP(N82*($H56/(Dashboard!$D$15+N111+N135+N159)),2)</f>
        <v>1.08</v>
      </c>
      <c r="O188" s="156">
        <f>ROUNDUP(O82*($H56/(Dashboard!$D$15+O111+O135+O159)),2)</f>
        <v>1.08</v>
      </c>
      <c r="P188" s="156">
        <f>ROUNDUP(P82*($H56/(Dashboard!$D$15+P111+P135+P159)),2)</f>
        <v>1.08</v>
      </c>
      <c r="Q188" s="156">
        <f>ROUNDUP(Q82*($H56/(Dashboard!$D$15+Q111+Q135+Q159)),2)</f>
        <v>1.08</v>
      </c>
      <c r="R188" s="156">
        <f>ROUNDUP(R82*($H56/(Dashboard!$D$15+R111+R135+R159)),2)</f>
        <v>1.08</v>
      </c>
      <c r="S188" s="156">
        <f>ROUNDUP(S82*($H56/(Dashboard!$D$15+S111+S135+S159)),2)</f>
        <v>1.08</v>
      </c>
      <c r="T188" s="156">
        <f>ROUNDUP(T82*($H56/(Dashboard!$D$15+T111+T135+T159)),2)</f>
        <v>1.08</v>
      </c>
      <c r="U188" s="156">
        <f>ROUNDUP(U82*($H56/(Dashboard!$D$15+U111+U135+U159)),2)</f>
        <v>0</v>
      </c>
      <c r="V188" s="156">
        <f>ROUNDUP(V82*($H56/(Dashboard!$D$15+V111+V135+V159)),2)</f>
        <v>0</v>
      </c>
      <c r="W188" s="156">
        <f>ROUNDUP(W82*($H56/(Dashboard!$D$15+W111+W135+W159)),2)</f>
        <v>0</v>
      </c>
      <c r="X188" s="156">
        <f>ROUNDUP(X82*($H56/(Dashboard!$D$15+X111+X135+X159)),2)</f>
        <v>0</v>
      </c>
      <c r="Y188" s="156">
        <f>ROUNDUP(Y82*($H56/(Dashboard!$D$15+Y111+Y135+Y159)),2)</f>
        <v>0</v>
      </c>
      <c r="Z188" s="156">
        <f>ROUNDUP(Z82*($H56/(Dashboard!$D$15+Z111+Z135+Z159)),2)</f>
        <v>0</v>
      </c>
      <c r="AA188" s="156">
        <f>ROUNDUP(AA82*($H56/(Dashboard!$D$15+AA111+AA135+AA159)),2)</f>
        <v>0</v>
      </c>
      <c r="AB188" s="156">
        <f>ROUNDUP(AB82*($H56/(Dashboard!$D$15+AB111+AB135+AB159)),2)</f>
        <v>0</v>
      </c>
      <c r="AC188" s="156">
        <f>ROUNDUP(AC82*($H56/(Dashboard!$D$15+AC111+AC135+AC159)),2)</f>
        <v>0</v>
      </c>
      <c r="AD188" s="156">
        <f>ROUNDUP(AD82*($H56/(Dashboard!$D$15+AD111+AD135+AD159)),2)</f>
        <v>0</v>
      </c>
      <c r="AE188" s="156">
        <f>ROUNDUP(AE82*($H56/(Dashboard!$D$15+AE111+AE135+AE159)),2)</f>
        <v>0</v>
      </c>
      <c r="AF188" s="156">
        <f>ROUNDUP(AF82*($H56/(Dashboard!$D$15+AF111+AF135+AF159)),2)</f>
        <v>0</v>
      </c>
      <c r="AG188" s="156">
        <f>ROUNDUP(AG82*($H56/(Dashboard!$D$15+AG111+AG135+AG159)),2)</f>
        <v>0</v>
      </c>
      <c r="AH188" s="156">
        <f>ROUNDUP(AH82*($H56/(Dashboard!$D$15+AH111+AH135+AH159)),2)</f>
        <v>0</v>
      </c>
      <c r="AI188" s="156">
        <f>ROUNDUP(AI82*($H56/(Dashboard!$D$15+AI111+AI135+AI159)),2)</f>
        <v>0</v>
      </c>
      <c r="AJ188" s="156">
        <f>ROUNDUP(AJ82*($H56/(Dashboard!$D$15+AJ111+AJ135+AJ159)),2)</f>
        <v>0</v>
      </c>
      <c r="AK188" s="156">
        <f>ROUNDUP(AK82*($H56/(Dashboard!$D$15+AK111+AK135+AK159)),2)</f>
        <v>0</v>
      </c>
      <c r="AL188" s="156">
        <f>ROUNDUP(AL82*($H56/(Dashboard!$D$15+AL111+AL135+AL159)),2)</f>
        <v>0</v>
      </c>
      <c r="AM188" s="156">
        <f>ROUNDUP(AM82*($H56/(Dashboard!$D$15+AM111+AM135+AM159)),2)</f>
        <v>0</v>
      </c>
      <c r="AN188" s="156">
        <f>ROUNDUP(AN82*($H56/(Dashboard!$D$15+AN111+AN135+AN159)),2)</f>
        <v>0</v>
      </c>
      <c r="AO188" s="156">
        <f>ROUNDUP(AO82*($H56/(Dashboard!$D$15+AO111+AO135+AO159)),2)</f>
        <v>0</v>
      </c>
      <c r="AP188" s="156">
        <f>ROUNDUP(AP82*($H56/(Dashboard!$D$15+AP111+AP135+AP159)),2)</f>
        <v>0</v>
      </c>
      <c r="AQ188" s="156">
        <f>ROUNDUP(AQ82*($H56/(Dashboard!$D$15+AQ111+AQ135+AQ159)),2)</f>
        <v>0</v>
      </c>
      <c r="AR188" s="156">
        <f>ROUNDUP(AR82*($H56/(Dashboard!$D$15+AR111+AR135+AR159)),2)</f>
        <v>0</v>
      </c>
      <c r="AS188" s="156">
        <f>ROUNDUP(AS82*($H56/(Dashboard!$D$15+AS111+AS135+AS159)),2)</f>
        <v>0</v>
      </c>
      <c r="AT188" s="156">
        <f>ROUNDUP(AT82*($H56/(Dashboard!$D$15+AT111+AT135+AT159)),2)</f>
        <v>0</v>
      </c>
      <c r="AU188" s="156">
        <f>ROUNDUP(AU82*($H56/(Dashboard!$D$15+AU111+AU135+AU159)),2)</f>
        <v>0</v>
      </c>
      <c r="AV188" s="156">
        <f>ROUNDUP(AV82*($H56/(Dashboard!$D$15+AV111+AV135+AV159)),2)</f>
        <v>0</v>
      </c>
      <c r="AW188" s="156">
        <f>ROUNDUP(AW82*($H56/(Dashboard!$D$15+AW111+AW135+AW159)),2)</f>
        <v>0</v>
      </c>
      <c r="AX188" s="156">
        <f>ROUNDUP(AX82*($H56/(Dashboard!$D$15+AX111+AX135+AX159)),2)</f>
        <v>0</v>
      </c>
      <c r="AY188" s="156">
        <f>ROUNDUP(AY82*($H56/(Dashboard!$D$15+AY111+AY135+AY159)),2)</f>
        <v>0</v>
      </c>
      <c r="AZ188" s="156">
        <f>ROUNDUP(AZ82*($H56/(Dashboard!$D$15+AZ111+AZ135+AZ159)),2)</f>
        <v>0</v>
      </c>
      <c r="BA188" s="156">
        <f>ROUNDUP(BA82*($H56/(Dashboard!$D$15+BA111+BA135+BA159)),2)</f>
        <v>0</v>
      </c>
      <c r="BB188" s="156">
        <f>ROUNDUP(BB82*($H56/(Dashboard!$D$15+BB111+BB135+BB159)),2)</f>
        <v>0</v>
      </c>
      <c r="BC188" s="156">
        <f>ROUNDUP(BC82*($H56/(Dashboard!$D$15+BC111+BC135+BC159)),2)</f>
        <v>0</v>
      </c>
      <c r="BD188" s="156">
        <f>ROUNDUP(BD82*($H56/(Dashboard!$D$15+BD111+BD135+BD159)),2)</f>
        <v>0</v>
      </c>
      <c r="BE188" s="156">
        <f>ROUNDUP(BE82*($H56/(Dashboard!$D$15+BE111+BE135+BE159)),2)</f>
        <v>0</v>
      </c>
      <c r="BF188" s="156">
        <f>ROUNDUP(BF82*($H56/(Dashboard!$D$15+BF111+BF135+BF159)),2)</f>
        <v>0</v>
      </c>
      <c r="BG188" s="156">
        <f>ROUNDUP(BG82*($H56/(Dashboard!$D$15+BG111+BG135+BG159)),2)</f>
        <v>0</v>
      </c>
      <c r="BH188" s="156">
        <f>ROUNDUP(BH82*($H56/(Dashboard!$D$15+BH111+BH135+BH159)),2)</f>
        <v>0</v>
      </c>
      <c r="BI188" s="156">
        <f>ROUNDUP(BI82*($H56/(Dashboard!$D$15+BI111+BI135+BI159)),2)</f>
        <v>0</v>
      </c>
      <c r="BJ188" s="156">
        <f>ROUNDUP(BJ82*($H56/(Dashboard!$D$15+BJ111+BJ135+BJ159)),2)</f>
        <v>0</v>
      </c>
      <c r="BK188" s="156">
        <f>ROUNDUP(BK82*($H56/(Dashboard!$D$15+BK111+BK135+BK159)),2)</f>
        <v>0</v>
      </c>
      <c r="BL188" s="156">
        <f>ROUNDUP(BL82*($H56/(Dashboard!$D$15+BL111+BL135+BL159)),2)</f>
        <v>0</v>
      </c>
      <c r="BM188" s="156">
        <f>ROUNDUP(BM82*($H56/(Dashboard!$D$15+BM111+BM135+BM159)),2)</f>
        <v>0</v>
      </c>
      <c r="BN188" s="156">
        <f>ROUNDUP(BN82*($H56/(Dashboard!$D$15+BN111+BN135+BN159)),2)</f>
        <v>0</v>
      </c>
      <c r="BO188" s="156">
        <f>ROUNDUP(BO82*($H56/(Dashboard!$D$15+BO111+BO135+BO159)),2)</f>
        <v>0</v>
      </c>
      <c r="BP188" s="156">
        <f>ROUNDUP(BP82*($H56/(Dashboard!$D$15+BP111+BP135+BP159)),2)</f>
        <v>0</v>
      </c>
      <c r="BQ188" s="156">
        <f>ROUNDUP(BQ82*($H56/(Dashboard!$D$15+BQ111+BQ135+BQ159)),2)</f>
        <v>0</v>
      </c>
      <c r="BR188" s="156">
        <f>ROUNDUP(BR82*($H56/(Dashboard!$D$15+BR111+BR135+BR159)),2)</f>
        <v>0</v>
      </c>
    </row>
    <row r="189" spans="4:70" ht="12" hidden="1" customHeight="1" outlineLevel="1">
      <c r="D189" s="621"/>
      <c r="E189" s="65"/>
      <c r="F189" s="143" t="str">
        <f t="shared" si="256"/>
        <v>Equipe_07</v>
      </c>
      <c r="G189" s="151" t="str">
        <f t="shared" si="256"/>
        <v>Equipe07</v>
      </c>
      <c r="H189" s="155"/>
      <c r="I189" s="146">
        <f t="shared" si="257"/>
        <v>0</v>
      </c>
      <c r="J189" s="65"/>
      <c r="K189" s="156">
        <f>ROUNDUP(K83*($H57/(Dashboard!$D$15+K112+K136+K160)),2)</f>
        <v>0</v>
      </c>
      <c r="L189" s="156">
        <f>ROUNDUP(L83*($H57/(Dashboard!$D$15+L112+L136+L160)),2)</f>
        <v>0</v>
      </c>
      <c r="M189" s="156">
        <f>ROUNDUP(M83*($H57/(Dashboard!$D$15+M112+M136+M160)),2)</f>
        <v>0</v>
      </c>
      <c r="N189" s="156">
        <f>ROUNDUP(N83*($H57/(Dashboard!$D$15+N112+N136+N160)),2)</f>
        <v>0</v>
      </c>
      <c r="O189" s="156">
        <f>ROUNDUP(O83*($H57/(Dashboard!$D$15+O112+O136+O160)),2)</f>
        <v>0</v>
      </c>
      <c r="P189" s="156">
        <f>ROUNDUP(P83*($H57/(Dashboard!$D$15+P112+P136+P160)),2)</f>
        <v>0</v>
      </c>
      <c r="Q189" s="156">
        <f>ROUNDUP(Q83*($H57/(Dashboard!$D$15+Q112+Q136+Q160)),2)</f>
        <v>0</v>
      </c>
      <c r="R189" s="156">
        <f>ROUNDUP(R83*($H57/(Dashboard!$D$15+R112+R136+R160)),2)</f>
        <v>0</v>
      </c>
      <c r="S189" s="156">
        <f>ROUNDUP(S83*($H57/(Dashboard!$D$15+S112+S136+S160)),2)</f>
        <v>0</v>
      </c>
      <c r="T189" s="156">
        <f>ROUNDUP(T83*($H57/(Dashboard!$D$15+T112+T136+T160)),2)</f>
        <v>0</v>
      </c>
      <c r="U189" s="156">
        <f>ROUNDUP(U83*($H57/(Dashboard!$D$15+U112+U136+U160)),2)</f>
        <v>0</v>
      </c>
      <c r="V189" s="156">
        <f>ROUNDUP(V83*($H57/(Dashboard!$D$15+V112+V136+V160)),2)</f>
        <v>0</v>
      </c>
      <c r="W189" s="156">
        <f>ROUNDUP(W83*($H57/(Dashboard!$D$15+W112+W136+W160)),2)</f>
        <v>0</v>
      </c>
      <c r="X189" s="156">
        <f>ROUNDUP(X83*($H57/(Dashboard!$D$15+X112+X136+X160)),2)</f>
        <v>0</v>
      </c>
      <c r="Y189" s="156">
        <f>ROUNDUP(Y83*($H57/(Dashboard!$D$15+Y112+Y136+Y160)),2)</f>
        <v>0</v>
      </c>
      <c r="Z189" s="156">
        <f>ROUNDUP(Z83*($H57/(Dashboard!$D$15+Z112+Z136+Z160)),2)</f>
        <v>0</v>
      </c>
      <c r="AA189" s="156">
        <f>ROUNDUP(AA83*($H57/(Dashboard!$D$15+AA112+AA136+AA160)),2)</f>
        <v>0</v>
      </c>
      <c r="AB189" s="156">
        <f>ROUNDUP(AB83*($H57/(Dashboard!$D$15+AB112+AB136+AB160)),2)</f>
        <v>0</v>
      </c>
      <c r="AC189" s="156">
        <f>ROUNDUP(AC83*($H57/(Dashboard!$D$15+AC112+AC136+AC160)),2)</f>
        <v>0</v>
      </c>
      <c r="AD189" s="156">
        <f>ROUNDUP(AD83*($H57/(Dashboard!$D$15+AD112+AD136+AD160)),2)</f>
        <v>0</v>
      </c>
      <c r="AE189" s="156">
        <f>ROUNDUP(AE83*($H57/(Dashboard!$D$15+AE112+AE136+AE160)),2)</f>
        <v>0</v>
      </c>
      <c r="AF189" s="156">
        <f>ROUNDUP(AF83*($H57/(Dashboard!$D$15+AF112+AF136+AF160)),2)</f>
        <v>0</v>
      </c>
      <c r="AG189" s="156">
        <f>ROUNDUP(AG83*($H57/(Dashboard!$D$15+AG112+AG136+AG160)),2)</f>
        <v>0</v>
      </c>
      <c r="AH189" s="156">
        <f>ROUNDUP(AH83*($H57/(Dashboard!$D$15+AH112+AH136+AH160)),2)</f>
        <v>0</v>
      </c>
      <c r="AI189" s="156">
        <f>ROUNDUP(AI83*($H57/(Dashboard!$D$15+AI112+AI136+AI160)),2)</f>
        <v>0</v>
      </c>
      <c r="AJ189" s="156">
        <f>ROUNDUP(AJ83*($H57/(Dashboard!$D$15+AJ112+AJ136+AJ160)),2)</f>
        <v>0</v>
      </c>
      <c r="AK189" s="156">
        <f>ROUNDUP(AK83*($H57/(Dashboard!$D$15+AK112+AK136+AK160)),2)</f>
        <v>0</v>
      </c>
      <c r="AL189" s="156">
        <f>ROUNDUP(AL83*($H57/(Dashboard!$D$15+AL112+AL136+AL160)),2)</f>
        <v>0</v>
      </c>
      <c r="AM189" s="156">
        <f>ROUNDUP(AM83*($H57/(Dashboard!$D$15+AM112+AM136+AM160)),2)</f>
        <v>0</v>
      </c>
      <c r="AN189" s="156">
        <f>ROUNDUP(AN83*($H57/(Dashboard!$D$15+AN112+AN136+AN160)),2)</f>
        <v>0</v>
      </c>
      <c r="AO189" s="156">
        <f>ROUNDUP(AO83*($H57/(Dashboard!$D$15+AO112+AO136+AO160)),2)</f>
        <v>0</v>
      </c>
      <c r="AP189" s="156">
        <f>ROUNDUP(AP83*($H57/(Dashboard!$D$15+AP112+AP136+AP160)),2)</f>
        <v>0</v>
      </c>
      <c r="AQ189" s="156">
        <f>ROUNDUP(AQ83*($H57/(Dashboard!$D$15+AQ112+AQ136+AQ160)),2)</f>
        <v>0</v>
      </c>
      <c r="AR189" s="156">
        <f>ROUNDUP(AR83*($H57/(Dashboard!$D$15+AR112+AR136+AR160)),2)</f>
        <v>0</v>
      </c>
      <c r="AS189" s="156">
        <f>ROUNDUP(AS83*($H57/(Dashboard!$D$15+AS112+AS136+AS160)),2)</f>
        <v>0</v>
      </c>
      <c r="AT189" s="156">
        <f>ROUNDUP(AT83*($H57/(Dashboard!$D$15+AT112+AT136+AT160)),2)</f>
        <v>0</v>
      </c>
      <c r="AU189" s="156">
        <f>ROUNDUP(AU83*($H57/(Dashboard!$D$15+AU112+AU136+AU160)),2)</f>
        <v>0</v>
      </c>
      <c r="AV189" s="156">
        <f>ROUNDUP(AV83*($H57/(Dashboard!$D$15+AV112+AV136+AV160)),2)</f>
        <v>0</v>
      </c>
      <c r="AW189" s="156">
        <f>ROUNDUP(AW83*($H57/(Dashboard!$D$15+AW112+AW136+AW160)),2)</f>
        <v>0</v>
      </c>
      <c r="AX189" s="156">
        <f>ROUNDUP(AX83*($H57/(Dashboard!$D$15+AX112+AX136+AX160)),2)</f>
        <v>0</v>
      </c>
      <c r="AY189" s="156">
        <f>ROUNDUP(AY83*($H57/(Dashboard!$D$15+AY112+AY136+AY160)),2)</f>
        <v>0</v>
      </c>
      <c r="AZ189" s="156">
        <f>ROUNDUP(AZ83*($H57/(Dashboard!$D$15+AZ112+AZ136+AZ160)),2)</f>
        <v>0</v>
      </c>
      <c r="BA189" s="156">
        <f>ROUNDUP(BA83*($H57/(Dashboard!$D$15+BA112+BA136+BA160)),2)</f>
        <v>0</v>
      </c>
      <c r="BB189" s="156">
        <f>ROUNDUP(BB83*($H57/(Dashboard!$D$15+BB112+BB136+BB160)),2)</f>
        <v>0</v>
      </c>
      <c r="BC189" s="156">
        <f>ROUNDUP(BC83*($H57/(Dashboard!$D$15+BC112+BC136+BC160)),2)</f>
        <v>0</v>
      </c>
      <c r="BD189" s="156">
        <f>ROUNDUP(BD83*($H57/(Dashboard!$D$15+BD112+BD136+BD160)),2)</f>
        <v>0</v>
      </c>
      <c r="BE189" s="156">
        <f>ROUNDUP(BE83*($H57/(Dashboard!$D$15+BE112+BE136+BE160)),2)</f>
        <v>0</v>
      </c>
      <c r="BF189" s="156">
        <f>ROUNDUP(BF83*($H57/(Dashboard!$D$15+BF112+BF136+BF160)),2)</f>
        <v>0</v>
      </c>
      <c r="BG189" s="156">
        <f>ROUNDUP(BG83*($H57/(Dashboard!$D$15+BG112+BG136+BG160)),2)</f>
        <v>0</v>
      </c>
      <c r="BH189" s="156">
        <f>ROUNDUP(BH83*($H57/(Dashboard!$D$15+BH112+BH136+BH160)),2)</f>
        <v>0</v>
      </c>
      <c r="BI189" s="156">
        <f>ROUNDUP(BI83*($H57/(Dashboard!$D$15+BI112+BI136+BI160)),2)</f>
        <v>0</v>
      </c>
      <c r="BJ189" s="156">
        <f>ROUNDUP(BJ83*($H57/(Dashboard!$D$15+BJ112+BJ136+BJ160)),2)</f>
        <v>0</v>
      </c>
      <c r="BK189" s="156">
        <f>ROUNDUP(BK83*($H57/(Dashboard!$D$15+BK112+BK136+BK160)),2)</f>
        <v>0</v>
      </c>
      <c r="BL189" s="156">
        <f>ROUNDUP(BL83*($H57/(Dashboard!$D$15+BL112+BL136+BL160)),2)</f>
        <v>0</v>
      </c>
      <c r="BM189" s="156">
        <f>ROUNDUP(BM83*($H57/(Dashboard!$D$15+BM112+BM136+BM160)),2)</f>
        <v>0</v>
      </c>
      <c r="BN189" s="156">
        <f>ROUNDUP(BN83*($H57/(Dashboard!$D$15+BN112+BN136+BN160)),2)</f>
        <v>0</v>
      </c>
      <c r="BO189" s="156">
        <f>ROUNDUP(BO83*($H57/(Dashboard!$D$15+BO112+BO136+BO160)),2)</f>
        <v>0</v>
      </c>
      <c r="BP189" s="156">
        <f>ROUNDUP(BP83*($H57/(Dashboard!$D$15+BP112+BP136+BP160)),2)</f>
        <v>0</v>
      </c>
      <c r="BQ189" s="156">
        <f>ROUNDUP(BQ83*($H57/(Dashboard!$D$15+BQ112+BQ136+BQ160)),2)</f>
        <v>0</v>
      </c>
      <c r="BR189" s="156">
        <f>ROUNDUP(BR83*($H57/(Dashboard!$D$15+BR112+BR136+BR160)),2)</f>
        <v>0</v>
      </c>
    </row>
    <row r="190" spans="4:70" ht="12" hidden="1" customHeight="1" outlineLevel="1">
      <c r="D190" s="621"/>
      <c r="E190" s="65"/>
      <c r="F190" s="143" t="str">
        <f t="shared" si="256"/>
        <v>Equipe_08</v>
      </c>
      <c r="G190" s="151" t="str">
        <f t="shared" si="256"/>
        <v>Equipe08</v>
      </c>
      <c r="H190" s="155"/>
      <c r="I190" s="146">
        <f t="shared" si="257"/>
        <v>0</v>
      </c>
      <c r="J190" s="65"/>
      <c r="K190" s="156">
        <f>ROUNDUP(K84*($H58/(Dashboard!$D$15+K113+K137+K161)),2)</f>
        <v>0</v>
      </c>
      <c r="L190" s="156">
        <f>ROUNDUP(L84*($H58/(Dashboard!$D$15+L113+L137+L161)),2)</f>
        <v>0</v>
      </c>
      <c r="M190" s="156">
        <f>ROUNDUP(M84*($H58/(Dashboard!$D$15+M113+M137+M161)),2)</f>
        <v>0</v>
      </c>
      <c r="N190" s="156">
        <f>ROUNDUP(N84*($H58/(Dashboard!$D$15+N113+N137+N161)),2)</f>
        <v>0</v>
      </c>
      <c r="O190" s="156">
        <f>ROUNDUP(O84*($H58/(Dashboard!$D$15+O113+O137+O161)),2)</f>
        <v>0</v>
      </c>
      <c r="P190" s="156">
        <f>ROUNDUP(P84*($H58/(Dashboard!$D$15+P113+P137+P161)),2)</f>
        <v>0</v>
      </c>
      <c r="Q190" s="156">
        <f>ROUNDUP(Q84*($H58/(Dashboard!$D$15+Q113+Q137+Q161)),2)</f>
        <v>0</v>
      </c>
      <c r="R190" s="156">
        <f>ROUNDUP(R84*($H58/(Dashboard!$D$15+R113+R137+R161)),2)</f>
        <v>0</v>
      </c>
      <c r="S190" s="156">
        <f>ROUNDUP(S84*($H58/(Dashboard!$D$15+S113+S137+S161)),2)</f>
        <v>0</v>
      </c>
      <c r="T190" s="156">
        <f>ROUNDUP(T84*($H58/(Dashboard!$D$15+T113+T137+T161)),2)</f>
        <v>0</v>
      </c>
      <c r="U190" s="156">
        <f>ROUNDUP(U84*($H58/(Dashboard!$D$15+U113+U137+U161)),2)</f>
        <v>0</v>
      </c>
      <c r="V190" s="156">
        <f>ROUNDUP(V84*($H58/(Dashboard!$D$15+V113+V137+V161)),2)</f>
        <v>0</v>
      </c>
      <c r="W190" s="156">
        <f>ROUNDUP(W84*($H58/(Dashboard!$D$15+W113+W137+W161)),2)</f>
        <v>0</v>
      </c>
      <c r="X190" s="156">
        <f>ROUNDUP(X84*($H58/(Dashboard!$D$15+X113+X137+X161)),2)</f>
        <v>0</v>
      </c>
      <c r="Y190" s="156">
        <f>ROUNDUP(Y84*($H58/(Dashboard!$D$15+Y113+Y137+Y161)),2)</f>
        <v>0</v>
      </c>
      <c r="Z190" s="156">
        <f>ROUNDUP(Z84*($H58/(Dashboard!$D$15+Z113+Z137+Z161)),2)</f>
        <v>0</v>
      </c>
      <c r="AA190" s="156">
        <f>ROUNDUP(AA84*($H58/(Dashboard!$D$15+AA113+AA137+AA161)),2)</f>
        <v>0</v>
      </c>
      <c r="AB190" s="156">
        <f>ROUNDUP(AB84*($H58/(Dashboard!$D$15+AB113+AB137+AB161)),2)</f>
        <v>0</v>
      </c>
      <c r="AC190" s="156">
        <f>ROUNDUP(AC84*($H58/(Dashboard!$D$15+AC113+AC137+AC161)),2)</f>
        <v>0</v>
      </c>
      <c r="AD190" s="156">
        <f>ROUNDUP(AD84*($H58/(Dashboard!$D$15+AD113+AD137+AD161)),2)</f>
        <v>0</v>
      </c>
      <c r="AE190" s="156">
        <f>ROUNDUP(AE84*($H58/(Dashboard!$D$15+AE113+AE137+AE161)),2)</f>
        <v>0</v>
      </c>
      <c r="AF190" s="156">
        <f>ROUNDUP(AF84*($H58/(Dashboard!$D$15+AF113+AF137+AF161)),2)</f>
        <v>0</v>
      </c>
      <c r="AG190" s="156">
        <f>ROUNDUP(AG84*($H58/(Dashboard!$D$15+AG113+AG137+AG161)),2)</f>
        <v>0</v>
      </c>
      <c r="AH190" s="156">
        <f>ROUNDUP(AH84*($H58/(Dashboard!$D$15+AH113+AH137+AH161)),2)</f>
        <v>0</v>
      </c>
      <c r="AI190" s="156">
        <f>ROUNDUP(AI84*($H58/(Dashboard!$D$15+AI113+AI137+AI161)),2)</f>
        <v>0</v>
      </c>
      <c r="AJ190" s="156">
        <f>ROUNDUP(AJ84*($H58/(Dashboard!$D$15+AJ113+AJ137+AJ161)),2)</f>
        <v>0</v>
      </c>
      <c r="AK190" s="156">
        <f>ROUNDUP(AK84*($H58/(Dashboard!$D$15+AK113+AK137+AK161)),2)</f>
        <v>0</v>
      </c>
      <c r="AL190" s="156">
        <f>ROUNDUP(AL84*($H58/(Dashboard!$D$15+AL113+AL137+AL161)),2)</f>
        <v>0</v>
      </c>
      <c r="AM190" s="156">
        <f>ROUNDUP(AM84*($H58/(Dashboard!$D$15+AM113+AM137+AM161)),2)</f>
        <v>0</v>
      </c>
      <c r="AN190" s="156">
        <f>ROUNDUP(AN84*($H58/(Dashboard!$D$15+AN113+AN137+AN161)),2)</f>
        <v>0</v>
      </c>
      <c r="AO190" s="156">
        <f>ROUNDUP(AO84*($H58/(Dashboard!$D$15+AO113+AO137+AO161)),2)</f>
        <v>0</v>
      </c>
      <c r="AP190" s="156">
        <f>ROUNDUP(AP84*($H58/(Dashboard!$D$15+AP113+AP137+AP161)),2)</f>
        <v>0</v>
      </c>
      <c r="AQ190" s="156">
        <f>ROUNDUP(AQ84*($H58/(Dashboard!$D$15+AQ113+AQ137+AQ161)),2)</f>
        <v>0</v>
      </c>
      <c r="AR190" s="156">
        <f>ROUNDUP(AR84*($H58/(Dashboard!$D$15+AR113+AR137+AR161)),2)</f>
        <v>0</v>
      </c>
      <c r="AS190" s="156">
        <f>ROUNDUP(AS84*($H58/(Dashboard!$D$15+AS113+AS137+AS161)),2)</f>
        <v>0</v>
      </c>
      <c r="AT190" s="156">
        <f>ROUNDUP(AT84*($H58/(Dashboard!$D$15+AT113+AT137+AT161)),2)</f>
        <v>0</v>
      </c>
      <c r="AU190" s="156">
        <f>ROUNDUP(AU84*($H58/(Dashboard!$D$15+AU113+AU137+AU161)),2)</f>
        <v>0</v>
      </c>
      <c r="AV190" s="156">
        <f>ROUNDUP(AV84*($H58/(Dashboard!$D$15+AV113+AV137+AV161)),2)</f>
        <v>0</v>
      </c>
      <c r="AW190" s="156">
        <f>ROUNDUP(AW84*($H58/(Dashboard!$D$15+AW113+AW137+AW161)),2)</f>
        <v>0</v>
      </c>
      <c r="AX190" s="156">
        <f>ROUNDUP(AX84*($H58/(Dashboard!$D$15+AX113+AX137+AX161)),2)</f>
        <v>0</v>
      </c>
      <c r="AY190" s="156">
        <f>ROUNDUP(AY84*($H58/(Dashboard!$D$15+AY113+AY137+AY161)),2)</f>
        <v>0</v>
      </c>
      <c r="AZ190" s="156">
        <f>ROUNDUP(AZ84*($H58/(Dashboard!$D$15+AZ113+AZ137+AZ161)),2)</f>
        <v>0</v>
      </c>
      <c r="BA190" s="156">
        <f>ROUNDUP(BA84*($H58/(Dashboard!$D$15+BA113+BA137+BA161)),2)</f>
        <v>0</v>
      </c>
      <c r="BB190" s="156">
        <f>ROUNDUP(BB84*($H58/(Dashboard!$D$15+BB113+BB137+BB161)),2)</f>
        <v>0</v>
      </c>
      <c r="BC190" s="156">
        <f>ROUNDUP(BC84*($H58/(Dashboard!$D$15+BC113+BC137+BC161)),2)</f>
        <v>0</v>
      </c>
      <c r="BD190" s="156">
        <f>ROUNDUP(BD84*($H58/(Dashboard!$D$15+BD113+BD137+BD161)),2)</f>
        <v>0</v>
      </c>
      <c r="BE190" s="156">
        <f>ROUNDUP(BE84*($H58/(Dashboard!$D$15+BE113+BE137+BE161)),2)</f>
        <v>0</v>
      </c>
      <c r="BF190" s="156">
        <f>ROUNDUP(BF84*($H58/(Dashboard!$D$15+BF113+BF137+BF161)),2)</f>
        <v>0</v>
      </c>
      <c r="BG190" s="156">
        <f>ROUNDUP(BG84*($H58/(Dashboard!$D$15+BG113+BG137+BG161)),2)</f>
        <v>0</v>
      </c>
      <c r="BH190" s="156">
        <f>ROUNDUP(BH84*($H58/(Dashboard!$D$15+BH113+BH137+BH161)),2)</f>
        <v>0</v>
      </c>
      <c r="BI190" s="156">
        <f>ROUNDUP(BI84*($H58/(Dashboard!$D$15+BI113+BI137+BI161)),2)</f>
        <v>0</v>
      </c>
      <c r="BJ190" s="156">
        <f>ROUNDUP(BJ84*($H58/(Dashboard!$D$15+BJ113+BJ137+BJ161)),2)</f>
        <v>0</v>
      </c>
      <c r="BK190" s="156">
        <f>ROUNDUP(BK84*($H58/(Dashboard!$D$15+BK113+BK137+BK161)),2)</f>
        <v>0</v>
      </c>
      <c r="BL190" s="156">
        <f>ROUNDUP(BL84*($H58/(Dashboard!$D$15+BL113+BL137+BL161)),2)</f>
        <v>0</v>
      </c>
      <c r="BM190" s="156">
        <f>ROUNDUP(BM84*($H58/(Dashboard!$D$15+BM113+BM137+BM161)),2)</f>
        <v>0</v>
      </c>
      <c r="BN190" s="156">
        <f>ROUNDUP(BN84*($H58/(Dashboard!$D$15+BN113+BN137+BN161)),2)</f>
        <v>0</v>
      </c>
      <c r="BO190" s="156">
        <f>ROUNDUP(BO84*($H58/(Dashboard!$D$15+BO113+BO137+BO161)),2)</f>
        <v>0</v>
      </c>
      <c r="BP190" s="156">
        <f>ROUNDUP(BP84*($H58/(Dashboard!$D$15+BP113+BP137+BP161)),2)</f>
        <v>0</v>
      </c>
      <c r="BQ190" s="156">
        <f>ROUNDUP(BQ84*($H58/(Dashboard!$D$15+BQ113+BQ137+BQ161)),2)</f>
        <v>0</v>
      </c>
      <c r="BR190" s="156">
        <f>ROUNDUP(BR84*($H58/(Dashboard!$D$15+BR113+BR137+BR161)),2)</f>
        <v>0</v>
      </c>
    </row>
    <row r="191" spans="4:70" ht="12" hidden="1" customHeight="1" outlineLevel="1">
      <c r="D191" s="621"/>
      <c r="E191" s="65"/>
      <c r="F191" s="143" t="str">
        <f t="shared" si="256"/>
        <v>Equipe_09</v>
      </c>
      <c r="G191" s="151" t="str">
        <f t="shared" si="256"/>
        <v>Equipe09</v>
      </c>
      <c r="H191" s="155"/>
      <c r="I191" s="146">
        <f t="shared" si="257"/>
        <v>0</v>
      </c>
      <c r="J191" s="65"/>
      <c r="K191" s="156">
        <f>ROUNDUP(K85*($H59/(Dashboard!$D$15+K114+K138+K162)),2)</f>
        <v>0</v>
      </c>
      <c r="L191" s="156">
        <f>ROUNDUP(L85*($H59/(Dashboard!$D$15+L114+L138+L162)),2)</f>
        <v>0</v>
      </c>
      <c r="M191" s="156">
        <f>ROUNDUP(M85*($H59/(Dashboard!$D$15+M114+M138+M162)),2)</f>
        <v>0</v>
      </c>
      <c r="N191" s="156">
        <f>ROUNDUP(N85*($H59/(Dashboard!$D$15+N114+N138+N162)),2)</f>
        <v>0</v>
      </c>
      <c r="O191" s="156">
        <f>ROUNDUP(O85*($H59/(Dashboard!$D$15+O114+O138+O162)),2)</f>
        <v>0</v>
      </c>
      <c r="P191" s="156">
        <f>ROUNDUP(P85*($H59/(Dashboard!$D$15+P114+P138+P162)),2)</f>
        <v>0</v>
      </c>
      <c r="Q191" s="156">
        <f>ROUNDUP(Q85*($H59/(Dashboard!$D$15+Q114+Q138+Q162)),2)</f>
        <v>0</v>
      </c>
      <c r="R191" s="156">
        <f>ROUNDUP(R85*($H59/(Dashboard!$D$15+R114+R138+R162)),2)</f>
        <v>0</v>
      </c>
      <c r="S191" s="156">
        <f>ROUNDUP(S85*($H59/(Dashboard!$D$15+S114+S138+S162)),2)</f>
        <v>0</v>
      </c>
      <c r="T191" s="156">
        <f>ROUNDUP(T85*($H59/(Dashboard!$D$15+T114+T138+T162)),2)</f>
        <v>0</v>
      </c>
      <c r="U191" s="156">
        <f>ROUNDUP(U85*($H59/(Dashboard!$D$15+U114+U138+U162)),2)</f>
        <v>0</v>
      </c>
      <c r="V191" s="156">
        <f>ROUNDUP(V85*($H59/(Dashboard!$D$15+V114+V138+V162)),2)</f>
        <v>0</v>
      </c>
      <c r="W191" s="156">
        <f>ROUNDUP(W85*($H59/(Dashboard!$D$15+W114+W138+W162)),2)</f>
        <v>0</v>
      </c>
      <c r="X191" s="156">
        <f>ROUNDUP(X85*($H59/(Dashboard!$D$15+X114+X138+X162)),2)</f>
        <v>0</v>
      </c>
      <c r="Y191" s="156">
        <f>ROUNDUP(Y85*($H59/(Dashboard!$D$15+Y114+Y138+Y162)),2)</f>
        <v>0</v>
      </c>
      <c r="Z191" s="156">
        <f>ROUNDUP(Z85*($H59/(Dashboard!$D$15+Z114+Z138+Z162)),2)</f>
        <v>0</v>
      </c>
      <c r="AA191" s="156">
        <f>ROUNDUP(AA85*($H59/(Dashboard!$D$15+AA114+AA138+AA162)),2)</f>
        <v>0</v>
      </c>
      <c r="AB191" s="156">
        <f>ROUNDUP(AB85*($H59/(Dashboard!$D$15+AB114+AB138+AB162)),2)</f>
        <v>0</v>
      </c>
      <c r="AC191" s="156">
        <f>ROUNDUP(AC85*($H59/(Dashboard!$D$15+AC114+AC138+AC162)),2)</f>
        <v>0</v>
      </c>
      <c r="AD191" s="156">
        <f>ROUNDUP(AD85*($H59/(Dashboard!$D$15+AD114+AD138+AD162)),2)</f>
        <v>0</v>
      </c>
      <c r="AE191" s="156">
        <f>ROUNDUP(AE85*($H59/(Dashboard!$D$15+AE114+AE138+AE162)),2)</f>
        <v>0</v>
      </c>
      <c r="AF191" s="156">
        <f>ROUNDUP(AF85*($H59/(Dashboard!$D$15+AF114+AF138+AF162)),2)</f>
        <v>0</v>
      </c>
      <c r="AG191" s="156">
        <f>ROUNDUP(AG85*($H59/(Dashboard!$D$15+AG114+AG138+AG162)),2)</f>
        <v>0</v>
      </c>
      <c r="AH191" s="156">
        <f>ROUNDUP(AH85*($H59/(Dashboard!$D$15+AH114+AH138+AH162)),2)</f>
        <v>0</v>
      </c>
      <c r="AI191" s="156">
        <f>ROUNDUP(AI85*($H59/(Dashboard!$D$15+AI114+AI138+AI162)),2)</f>
        <v>0</v>
      </c>
      <c r="AJ191" s="156">
        <f>ROUNDUP(AJ85*($H59/(Dashboard!$D$15+AJ114+AJ138+AJ162)),2)</f>
        <v>0</v>
      </c>
      <c r="AK191" s="156">
        <f>ROUNDUP(AK85*($H59/(Dashboard!$D$15+AK114+AK138+AK162)),2)</f>
        <v>0</v>
      </c>
      <c r="AL191" s="156">
        <f>ROUNDUP(AL85*($H59/(Dashboard!$D$15+AL114+AL138+AL162)),2)</f>
        <v>0</v>
      </c>
      <c r="AM191" s="156">
        <f>ROUNDUP(AM85*($H59/(Dashboard!$D$15+AM114+AM138+AM162)),2)</f>
        <v>0</v>
      </c>
      <c r="AN191" s="156">
        <f>ROUNDUP(AN85*($H59/(Dashboard!$D$15+AN114+AN138+AN162)),2)</f>
        <v>0</v>
      </c>
      <c r="AO191" s="156">
        <f>ROUNDUP(AO85*($H59/(Dashboard!$D$15+AO114+AO138+AO162)),2)</f>
        <v>0</v>
      </c>
      <c r="AP191" s="156">
        <f>ROUNDUP(AP85*($H59/(Dashboard!$D$15+AP114+AP138+AP162)),2)</f>
        <v>0</v>
      </c>
      <c r="AQ191" s="156">
        <f>ROUNDUP(AQ85*($H59/(Dashboard!$D$15+AQ114+AQ138+AQ162)),2)</f>
        <v>0</v>
      </c>
      <c r="AR191" s="156">
        <f>ROUNDUP(AR85*($H59/(Dashboard!$D$15+AR114+AR138+AR162)),2)</f>
        <v>0</v>
      </c>
      <c r="AS191" s="156">
        <f>ROUNDUP(AS85*($H59/(Dashboard!$D$15+AS114+AS138+AS162)),2)</f>
        <v>0</v>
      </c>
      <c r="AT191" s="156">
        <f>ROUNDUP(AT85*($H59/(Dashboard!$D$15+AT114+AT138+AT162)),2)</f>
        <v>0</v>
      </c>
      <c r="AU191" s="156">
        <f>ROUNDUP(AU85*($H59/(Dashboard!$D$15+AU114+AU138+AU162)),2)</f>
        <v>0</v>
      </c>
      <c r="AV191" s="156">
        <f>ROUNDUP(AV85*($H59/(Dashboard!$D$15+AV114+AV138+AV162)),2)</f>
        <v>0</v>
      </c>
      <c r="AW191" s="156">
        <f>ROUNDUP(AW85*($H59/(Dashboard!$D$15+AW114+AW138+AW162)),2)</f>
        <v>0</v>
      </c>
      <c r="AX191" s="156">
        <f>ROUNDUP(AX85*($H59/(Dashboard!$D$15+AX114+AX138+AX162)),2)</f>
        <v>0</v>
      </c>
      <c r="AY191" s="156">
        <f>ROUNDUP(AY85*($H59/(Dashboard!$D$15+AY114+AY138+AY162)),2)</f>
        <v>0</v>
      </c>
      <c r="AZ191" s="156">
        <f>ROUNDUP(AZ85*($H59/(Dashboard!$D$15+AZ114+AZ138+AZ162)),2)</f>
        <v>0</v>
      </c>
      <c r="BA191" s="156">
        <f>ROUNDUP(BA85*($H59/(Dashboard!$D$15+BA114+BA138+BA162)),2)</f>
        <v>0</v>
      </c>
      <c r="BB191" s="156">
        <f>ROUNDUP(BB85*($H59/(Dashboard!$D$15+BB114+BB138+BB162)),2)</f>
        <v>0</v>
      </c>
      <c r="BC191" s="156">
        <f>ROUNDUP(BC85*($H59/(Dashboard!$D$15+BC114+BC138+BC162)),2)</f>
        <v>0</v>
      </c>
      <c r="BD191" s="156">
        <f>ROUNDUP(BD85*($H59/(Dashboard!$D$15+BD114+BD138+BD162)),2)</f>
        <v>0</v>
      </c>
      <c r="BE191" s="156">
        <f>ROUNDUP(BE85*($H59/(Dashboard!$D$15+BE114+BE138+BE162)),2)</f>
        <v>0</v>
      </c>
      <c r="BF191" s="156">
        <f>ROUNDUP(BF85*($H59/(Dashboard!$D$15+BF114+BF138+BF162)),2)</f>
        <v>0</v>
      </c>
      <c r="BG191" s="156">
        <f>ROUNDUP(BG85*($H59/(Dashboard!$D$15+BG114+BG138+BG162)),2)</f>
        <v>0</v>
      </c>
      <c r="BH191" s="156">
        <f>ROUNDUP(BH85*($H59/(Dashboard!$D$15+BH114+BH138+BH162)),2)</f>
        <v>0</v>
      </c>
      <c r="BI191" s="156">
        <f>ROUNDUP(BI85*($H59/(Dashboard!$D$15+BI114+BI138+BI162)),2)</f>
        <v>0</v>
      </c>
      <c r="BJ191" s="156">
        <f>ROUNDUP(BJ85*($H59/(Dashboard!$D$15+BJ114+BJ138+BJ162)),2)</f>
        <v>0</v>
      </c>
      <c r="BK191" s="156">
        <f>ROUNDUP(BK85*($H59/(Dashboard!$D$15+BK114+BK138+BK162)),2)</f>
        <v>0</v>
      </c>
      <c r="BL191" s="156">
        <f>ROUNDUP(BL85*($H59/(Dashboard!$D$15+BL114+BL138+BL162)),2)</f>
        <v>0</v>
      </c>
      <c r="BM191" s="156">
        <f>ROUNDUP(BM85*($H59/(Dashboard!$D$15+BM114+BM138+BM162)),2)</f>
        <v>0</v>
      </c>
      <c r="BN191" s="156">
        <f>ROUNDUP(BN85*($H59/(Dashboard!$D$15+BN114+BN138+BN162)),2)</f>
        <v>0</v>
      </c>
      <c r="BO191" s="156">
        <f>ROUNDUP(BO85*($H59/(Dashboard!$D$15+BO114+BO138+BO162)),2)</f>
        <v>0</v>
      </c>
      <c r="BP191" s="156">
        <f>ROUNDUP(BP85*($H59/(Dashboard!$D$15+BP114+BP138+BP162)),2)</f>
        <v>0</v>
      </c>
      <c r="BQ191" s="156">
        <f>ROUNDUP(BQ85*($H59/(Dashboard!$D$15+BQ114+BQ138+BQ162)),2)</f>
        <v>0</v>
      </c>
      <c r="BR191" s="156">
        <f>ROUNDUP(BR85*($H59/(Dashboard!$D$15+BR114+BR138+BR162)),2)</f>
        <v>0</v>
      </c>
    </row>
    <row r="192" spans="4:70" ht="12" hidden="1" customHeight="1" outlineLevel="1">
      <c r="D192" s="621"/>
      <c r="E192" s="65"/>
      <c r="F192" s="143" t="str">
        <f t="shared" si="256"/>
        <v>Equipe_10</v>
      </c>
      <c r="G192" s="151" t="str">
        <f t="shared" si="256"/>
        <v>Equipe10</v>
      </c>
      <c r="H192" s="155"/>
      <c r="I192" s="146">
        <f t="shared" si="257"/>
        <v>6.9999999999999993E-2</v>
      </c>
      <c r="J192" s="65"/>
      <c r="K192" s="156">
        <f>ROUNDUP(K86*($H60/(Dashboard!$D$15+K115+K139+K163)),2)</f>
        <v>6.9999999999999993E-2</v>
      </c>
      <c r="L192" s="156">
        <f>ROUNDUP(L86*($H60/(Dashboard!$D$15+L115+L139+L163)),2)</f>
        <v>6.9999999999999993E-2</v>
      </c>
      <c r="M192" s="156">
        <f>ROUNDUP(M86*($H60/(Dashboard!$D$15+M115+M139+M163)),2)</f>
        <v>6.9999999999999993E-2</v>
      </c>
      <c r="N192" s="156">
        <f>ROUNDUP(N86*($H60/(Dashboard!$D$15+N115+N139+N163)),2)</f>
        <v>6.9999999999999993E-2</v>
      </c>
      <c r="O192" s="156">
        <f>ROUNDUP(O86*($H60/(Dashboard!$D$15+O115+O139+O163)),2)</f>
        <v>6.9999999999999993E-2</v>
      </c>
      <c r="P192" s="156">
        <f>ROUNDUP(P86*($H60/(Dashboard!$D$15+P115+P139+P163)),2)</f>
        <v>6.9999999999999993E-2</v>
      </c>
      <c r="Q192" s="156">
        <f>ROUNDUP(Q86*($H60/(Dashboard!$D$15+Q115+Q139+Q163)),2)</f>
        <v>6.9999999999999993E-2</v>
      </c>
      <c r="R192" s="156">
        <f>ROUNDUP(R86*($H60/(Dashboard!$D$15+R115+R139+R163)),2)</f>
        <v>6.9999999999999993E-2</v>
      </c>
      <c r="S192" s="156">
        <f>ROUNDUP(S86*($H60/(Dashboard!$D$15+S115+S139+S163)),2)</f>
        <v>6.9999999999999993E-2</v>
      </c>
      <c r="T192" s="156">
        <f>ROUNDUP(T86*($H60/(Dashboard!$D$15+T115+T139+T163)),2)</f>
        <v>6.9999999999999993E-2</v>
      </c>
      <c r="U192" s="156">
        <f>ROUNDUP(U86*($H60/(Dashboard!$D$15+U115+U139+U163)),2)</f>
        <v>0</v>
      </c>
      <c r="V192" s="156">
        <f>ROUNDUP(V86*($H60/(Dashboard!$D$15+V115+V139+V163)),2)</f>
        <v>0</v>
      </c>
      <c r="W192" s="156">
        <f>ROUNDUP(W86*($H60/(Dashboard!$D$15+W115+W139+W163)),2)</f>
        <v>0</v>
      </c>
      <c r="X192" s="156">
        <f>ROUNDUP(X86*($H60/(Dashboard!$D$15+X115+X139+X163)),2)</f>
        <v>0</v>
      </c>
      <c r="Y192" s="156">
        <f>ROUNDUP(Y86*($H60/(Dashboard!$D$15+Y115+Y139+Y163)),2)</f>
        <v>0</v>
      </c>
      <c r="Z192" s="156">
        <f>ROUNDUP(Z86*($H60/(Dashboard!$D$15+Z115+Z139+Z163)),2)</f>
        <v>0</v>
      </c>
      <c r="AA192" s="156">
        <f>ROUNDUP(AA86*($H60/(Dashboard!$D$15+AA115+AA139+AA163)),2)</f>
        <v>0</v>
      </c>
      <c r="AB192" s="156">
        <f>ROUNDUP(AB86*($H60/(Dashboard!$D$15+AB115+AB139+AB163)),2)</f>
        <v>0</v>
      </c>
      <c r="AC192" s="156">
        <f>ROUNDUP(AC86*($H60/(Dashboard!$D$15+AC115+AC139+AC163)),2)</f>
        <v>0</v>
      </c>
      <c r="AD192" s="156">
        <f>ROUNDUP(AD86*($H60/(Dashboard!$D$15+AD115+AD139+AD163)),2)</f>
        <v>0</v>
      </c>
      <c r="AE192" s="156">
        <f>ROUNDUP(AE86*($H60/(Dashboard!$D$15+AE115+AE139+AE163)),2)</f>
        <v>0</v>
      </c>
      <c r="AF192" s="156">
        <f>ROUNDUP(AF86*($H60/(Dashboard!$D$15+AF115+AF139+AF163)),2)</f>
        <v>0</v>
      </c>
      <c r="AG192" s="156">
        <f>ROUNDUP(AG86*($H60/(Dashboard!$D$15+AG115+AG139+AG163)),2)</f>
        <v>0</v>
      </c>
      <c r="AH192" s="156">
        <f>ROUNDUP(AH86*($H60/(Dashboard!$D$15+AH115+AH139+AH163)),2)</f>
        <v>0</v>
      </c>
      <c r="AI192" s="156">
        <f>ROUNDUP(AI86*($H60/(Dashboard!$D$15+AI115+AI139+AI163)),2)</f>
        <v>0</v>
      </c>
      <c r="AJ192" s="156">
        <f>ROUNDUP(AJ86*($H60/(Dashboard!$D$15+AJ115+AJ139+AJ163)),2)</f>
        <v>0</v>
      </c>
      <c r="AK192" s="156">
        <f>ROUNDUP(AK86*($H60/(Dashboard!$D$15+AK115+AK139+AK163)),2)</f>
        <v>0</v>
      </c>
      <c r="AL192" s="156">
        <f>ROUNDUP(AL86*($H60/(Dashboard!$D$15+AL115+AL139+AL163)),2)</f>
        <v>0</v>
      </c>
      <c r="AM192" s="156">
        <f>ROUNDUP(AM86*($H60/(Dashboard!$D$15+AM115+AM139+AM163)),2)</f>
        <v>0</v>
      </c>
      <c r="AN192" s="156">
        <f>ROUNDUP(AN86*($H60/(Dashboard!$D$15+AN115+AN139+AN163)),2)</f>
        <v>0</v>
      </c>
      <c r="AO192" s="156">
        <f>ROUNDUP(AO86*($H60/(Dashboard!$D$15+AO115+AO139+AO163)),2)</f>
        <v>0</v>
      </c>
      <c r="AP192" s="156">
        <f>ROUNDUP(AP86*($H60/(Dashboard!$D$15+AP115+AP139+AP163)),2)</f>
        <v>0</v>
      </c>
      <c r="AQ192" s="156">
        <f>ROUNDUP(AQ86*($H60/(Dashboard!$D$15+AQ115+AQ139+AQ163)),2)</f>
        <v>0</v>
      </c>
      <c r="AR192" s="156">
        <f>ROUNDUP(AR86*($H60/(Dashboard!$D$15+AR115+AR139+AR163)),2)</f>
        <v>0</v>
      </c>
      <c r="AS192" s="156">
        <f>ROUNDUP(AS86*($H60/(Dashboard!$D$15+AS115+AS139+AS163)),2)</f>
        <v>0</v>
      </c>
      <c r="AT192" s="156">
        <f>ROUNDUP(AT86*($H60/(Dashboard!$D$15+AT115+AT139+AT163)),2)</f>
        <v>0</v>
      </c>
      <c r="AU192" s="156">
        <f>ROUNDUP(AU86*($H60/(Dashboard!$D$15+AU115+AU139+AU163)),2)</f>
        <v>0</v>
      </c>
      <c r="AV192" s="156">
        <f>ROUNDUP(AV86*($H60/(Dashboard!$D$15+AV115+AV139+AV163)),2)</f>
        <v>0</v>
      </c>
      <c r="AW192" s="156">
        <f>ROUNDUP(AW86*($H60/(Dashboard!$D$15+AW115+AW139+AW163)),2)</f>
        <v>0</v>
      </c>
      <c r="AX192" s="156">
        <f>ROUNDUP(AX86*($H60/(Dashboard!$D$15+AX115+AX139+AX163)),2)</f>
        <v>0</v>
      </c>
      <c r="AY192" s="156">
        <f>ROUNDUP(AY86*($H60/(Dashboard!$D$15+AY115+AY139+AY163)),2)</f>
        <v>0</v>
      </c>
      <c r="AZ192" s="156">
        <f>ROUNDUP(AZ86*($H60/(Dashboard!$D$15+AZ115+AZ139+AZ163)),2)</f>
        <v>0</v>
      </c>
      <c r="BA192" s="156">
        <f>ROUNDUP(BA86*($H60/(Dashboard!$D$15+BA115+BA139+BA163)),2)</f>
        <v>0</v>
      </c>
      <c r="BB192" s="156">
        <f>ROUNDUP(BB86*($H60/(Dashboard!$D$15+BB115+BB139+BB163)),2)</f>
        <v>0</v>
      </c>
      <c r="BC192" s="156">
        <f>ROUNDUP(BC86*($H60/(Dashboard!$D$15+BC115+BC139+BC163)),2)</f>
        <v>0</v>
      </c>
      <c r="BD192" s="156">
        <f>ROUNDUP(BD86*($H60/(Dashboard!$D$15+BD115+BD139+BD163)),2)</f>
        <v>0</v>
      </c>
      <c r="BE192" s="156">
        <f>ROUNDUP(BE86*($H60/(Dashboard!$D$15+BE115+BE139+BE163)),2)</f>
        <v>0</v>
      </c>
      <c r="BF192" s="156">
        <f>ROUNDUP(BF86*($H60/(Dashboard!$D$15+BF115+BF139+BF163)),2)</f>
        <v>0</v>
      </c>
      <c r="BG192" s="156">
        <f>ROUNDUP(BG86*($H60/(Dashboard!$D$15+BG115+BG139+BG163)),2)</f>
        <v>0</v>
      </c>
      <c r="BH192" s="156">
        <f>ROUNDUP(BH86*($H60/(Dashboard!$D$15+BH115+BH139+BH163)),2)</f>
        <v>0</v>
      </c>
      <c r="BI192" s="156">
        <f>ROUNDUP(BI86*($H60/(Dashboard!$D$15+BI115+BI139+BI163)),2)</f>
        <v>0</v>
      </c>
      <c r="BJ192" s="156">
        <f>ROUNDUP(BJ86*($H60/(Dashboard!$D$15+BJ115+BJ139+BJ163)),2)</f>
        <v>0</v>
      </c>
      <c r="BK192" s="156">
        <f>ROUNDUP(BK86*($H60/(Dashboard!$D$15+BK115+BK139+BK163)),2)</f>
        <v>0</v>
      </c>
      <c r="BL192" s="156">
        <f>ROUNDUP(BL86*($H60/(Dashboard!$D$15+BL115+BL139+BL163)),2)</f>
        <v>0</v>
      </c>
      <c r="BM192" s="156">
        <f>ROUNDUP(BM86*($H60/(Dashboard!$D$15+BM115+BM139+BM163)),2)</f>
        <v>0</v>
      </c>
      <c r="BN192" s="156">
        <f>ROUNDUP(BN86*($H60/(Dashboard!$D$15+BN115+BN139+BN163)),2)</f>
        <v>0</v>
      </c>
      <c r="BO192" s="156">
        <f>ROUNDUP(BO86*($H60/(Dashboard!$D$15+BO115+BO139+BO163)),2)</f>
        <v>0</v>
      </c>
      <c r="BP192" s="156">
        <f>ROUNDUP(BP86*($H60/(Dashboard!$D$15+BP115+BP139+BP163)),2)</f>
        <v>0</v>
      </c>
      <c r="BQ192" s="156">
        <f>ROUNDUP(BQ86*($H60/(Dashboard!$D$15+BQ115+BQ139+BQ163)),2)</f>
        <v>0</v>
      </c>
      <c r="BR192" s="156">
        <f>ROUNDUP(BR86*($H60/(Dashboard!$D$15+BR115+BR139+BR163)),2)</f>
        <v>0</v>
      </c>
    </row>
    <row r="193" spans="4:70" ht="12" hidden="1" customHeight="1" outlineLevel="1">
      <c r="D193" s="621"/>
      <c r="E193" s="65"/>
      <c r="F193" s="143" t="str">
        <f t="shared" si="256"/>
        <v>Equipe_11</v>
      </c>
      <c r="G193" s="151" t="str">
        <f t="shared" si="256"/>
        <v>Equipe11</v>
      </c>
      <c r="H193" s="155"/>
      <c r="I193" s="146">
        <f t="shared" si="257"/>
        <v>0</v>
      </c>
      <c r="J193" s="65"/>
      <c r="K193" s="156">
        <f>ROUNDUP(K87*($H61/(Dashboard!$D$15+K116+K140+K164)),2)</f>
        <v>0</v>
      </c>
      <c r="L193" s="156">
        <f>ROUNDUP(L87*($H61/(Dashboard!$D$15+L116+L140+L164)),2)</f>
        <v>0</v>
      </c>
      <c r="M193" s="156">
        <f>ROUNDUP(M87*($H61/(Dashboard!$D$15+M116+M140+M164)),2)</f>
        <v>0</v>
      </c>
      <c r="N193" s="156">
        <f>ROUNDUP(N87*($H61/(Dashboard!$D$15+N116+N140+N164)),2)</f>
        <v>0</v>
      </c>
      <c r="O193" s="156">
        <f>ROUNDUP(O87*($H61/(Dashboard!$D$15+O116+O140+O164)),2)</f>
        <v>0</v>
      </c>
      <c r="P193" s="156">
        <f>ROUNDUP(P87*($H61/(Dashboard!$D$15+P116+P140+P164)),2)</f>
        <v>0</v>
      </c>
      <c r="Q193" s="156">
        <f>ROUNDUP(Q87*($H61/(Dashboard!$D$15+Q116+Q140+Q164)),2)</f>
        <v>0</v>
      </c>
      <c r="R193" s="156">
        <f>ROUNDUP(R87*($H61/(Dashboard!$D$15+R116+R140+R164)),2)</f>
        <v>0</v>
      </c>
      <c r="S193" s="156">
        <f>ROUNDUP(S87*($H61/(Dashboard!$D$15+S116+S140+S164)),2)</f>
        <v>0</v>
      </c>
      <c r="T193" s="156">
        <f>ROUNDUP(T87*($H61/(Dashboard!$D$15+T116+T140+T164)),2)</f>
        <v>0</v>
      </c>
      <c r="U193" s="156">
        <f>ROUNDUP(U87*($H61/(Dashboard!$D$15+U116+U140+U164)),2)</f>
        <v>0</v>
      </c>
      <c r="V193" s="156">
        <f>ROUNDUP(V87*($H61/(Dashboard!$D$15+V116+V140+V164)),2)</f>
        <v>0</v>
      </c>
      <c r="W193" s="156">
        <f>ROUNDUP(W87*($H61/(Dashboard!$D$15+W116+W140+W164)),2)</f>
        <v>0</v>
      </c>
      <c r="X193" s="156">
        <f>ROUNDUP(X87*($H61/(Dashboard!$D$15+X116+X140+X164)),2)</f>
        <v>0</v>
      </c>
      <c r="Y193" s="156">
        <f>ROUNDUP(Y87*($H61/(Dashboard!$D$15+Y116+Y140+Y164)),2)</f>
        <v>0</v>
      </c>
      <c r="Z193" s="156">
        <f>ROUNDUP(Z87*($H61/(Dashboard!$D$15+Z116+Z140+Z164)),2)</f>
        <v>0</v>
      </c>
      <c r="AA193" s="156">
        <f>ROUNDUP(AA87*($H61/(Dashboard!$D$15+AA116+AA140+AA164)),2)</f>
        <v>0</v>
      </c>
      <c r="AB193" s="156">
        <f>ROUNDUP(AB87*($H61/(Dashboard!$D$15+AB116+AB140+AB164)),2)</f>
        <v>0</v>
      </c>
      <c r="AC193" s="156">
        <f>ROUNDUP(AC87*($H61/(Dashboard!$D$15+AC116+AC140+AC164)),2)</f>
        <v>0</v>
      </c>
      <c r="AD193" s="156">
        <f>ROUNDUP(AD87*($H61/(Dashboard!$D$15+AD116+AD140+AD164)),2)</f>
        <v>0</v>
      </c>
      <c r="AE193" s="156">
        <f>ROUNDUP(AE87*($H61/(Dashboard!$D$15+AE116+AE140+AE164)),2)</f>
        <v>0</v>
      </c>
      <c r="AF193" s="156">
        <f>ROUNDUP(AF87*($H61/(Dashboard!$D$15+AF116+AF140+AF164)),2)</f>
        <v>0</v>
      </c>
      <c r="AG193" s="156">
        <f>ROUNDUP(AG87*($H61/(Dashboard!$D$15+AG116+AG140+AG164)),2)</f>
        <v>0</v>
      </c>
      <c r="AH193" s="156">
        <f>ROUNDUP(AH87*($H61/(Dashboard!$D$15+AH116+AH140+AH164)),2)</f>
        <v>0</v>
      </c>
      <c r="AI193" s="156">
        <f>ROUNDUP(AI87*($H61/(Dashboard!$D$15+AI116+AI140+AI164)),2)</f>
        <v>0</v>
      </c>
      <c r="AJ193" s="156">
        <f>ROUNDUP(AJ87*($H61/(Dashboard!$D$15+AJ116+AJ140+AJ164)),2)</f>
        <v>0</v>
      </c>
      <c r="AK193" s="156">
        <f>ROUNDUP(AK87*($H61/(Dashboard!$D$15+AK116+AK140+AK164)),2)</f>
        <v>0</v>
      </c>
      <c r="AL193" s="156">
        <f>ROUNDUP(AL87*($H61/(Dashboard!$D$15+AL116+AL140+AL164)),2)</f>
        <v>0</v>
      </c>
      <c r="AM193" s="156">
        <f>ROUNDUP(AM87*($H61/(Dashboard!$D$15+AM116+AM140+AM164)),2)</f>
        <v>0</v>
      </c>
      <c r="AN193" s="156">
        <f>ROUNDUP(AN87*($H61/(Dashboard!$D$15+AN116+AN140+AN164)),2)</f>
        <v>0</v>
      </c>
      <c r="AO193" s="156">
        <f>ROUNDUP(AO87*($H61/(Dashboard!$D$15+AO116+AO140+AO164)),2)</f>
        <v>0</v>
      </c>
      <c r="AP193" s="156">
        <f>ROUNDUP(AP87*($H61/(Dashboard!$D$15+AP116+AP140+AP164)),2)</f>
        <v>0</v>
      </c>
      <c r="AQ193" s="156">
        <f>ROUNDUP(AQ87*($H61/(Dashboard!$D$15+AQ116+AQ140+AQ164)),2)</f>
        <v>0</v>
      </c>
      <c r="AR193" s="156">
        <f>ROUNDUP(AR87*($H61/(Dashboard!$D$15+AR116+AR140+AR164)),2)</f>
        <v>0</v>
      </c>
      <c r="AS193" s="156">
        <f>ROUNDUP(AS87*($H61/(Dashboard!$D$15+AS116+AS140+AS164)),2)</f>
        <v>0</v>
      </c>
      <c r="AT193" s="156">
        <f>ROUNDUP(AT87*($H61/(Dashboard!$D$15+AT116+AT140+AT164)),2)</f>
        <v>0</v>
      </c>
      <c r="AU193" s="156">
        <f>ROUNDUP(AU87*($H61/(Dashboard!$D$15+AU116+AU140+AU164)),2)</f>
        <v>0</v>
      </c>
      <c r="AV193" s="156">
        <f>ROUNDUP(AV87*($H61/(Dashboard!$D$15+AV116+AV140+AV164)),2)</f>
        <v>0</v>
      </c>
      <c r="AW193" s="156">
        <f>ROUNDUP(AW87*($H61/(Dashboard!$D$15+AW116+AW140+AW164)),2)</f>
        <v>0</v>
      </c>
      <c r="AX193" s="156">
        <f>ROUNDUP(AX87*($H61/(Dashboard!$D$15+AX116+AX140+AX164)),2)</f>
        <v>0</v>
      </c>
      <c r="AY193" s="156">
        <f>ROUNDUP(AY87*($H61/(Dashboard!$D$15+AY116+AY140+AY164)),2)</f>
        <v>0</v>
      </c>
      <c r="AZ193" s="156">
        <f>ROUNDUP(AZ87*($H61/(Dashboard!$D$15+AZ116+AZ140+AZ164)),2)</f>
        <v>0</v>
      </c>
      <c r="BA193" s="156">
        <f>ROUNDUP(BA87*($H61/(Dashboard!$D$15+BA116+BA140+BA164)),2)</f>
        <v>0</v>
      </c>
      <c r="BB193" s="156">
        <f>ROUNDUP(BB87*($H61/(Dashboard!$D$15+BB116+BB140+BB164)),2)</f>
        <v>0</v>
      </c>
      <c r="BC193" s="156">
        <f>ROUNDUP(BC87*($H61/(Dashboard!$D$15+BC116+BC140+BC164)),2)</f>
        <v>0</v>
      </c>
      <c r="BD193" s="156">
        <f>ROUNDUP(BD87*($H61/(Dashboard!$D$15+BD116+BD140+BD164)),2)</f>
        <v>0</v>
      </c>
      <c r="BE193" s="156">
        <f>ROUNDUP(BE87*($H61/(Dashboard!$D$15+BE116+BE140+BE164)),2)</f>
        <v>0</v>
      </c>
      <c r="BF193" s="156">
        <f>ROUNDUP(BF87*($H61/(Dashboard!$D$15+BF116+BF140+BF164)),2)</f>
        <v>0</v>
      </c>
      <c r="BG193" s="156">
        <f>ROUNDUP(BG87*($H61/(Dashboard!$D$15+BG116+BG140+BG164)),2)</f>
        <v>0</v>
      </c>
      <c r="BH193" s="156">
        <f>ROUNDUP(BH87*($H61/(Dashboard!$D$15+BH116+BH140+BH164)),2)</f>
        <v>0</v>
      </c>
      <c r="BI193" s="156">
        <f>ROUNDUP(BI87*($H61/(Dashboard!$D$15+BI116+BI140+BI164)),2)</f>
        <v>0</v>
      </c>
      <c r="BJ193" s="156">
        <f>ROUNDUP(BJ87*($H61/(Dashboard!$D$15+BJ116+BJ140+BJ164)),2)</f>
        <v>0</v>
      </c>
      <c r="BK193" s="156">
        <f>ROUNDUP(BK87*($H61/(Dashboard!$D$15+BK116+BK140+BK164)),2)</f>
        <v>0</v>
      </c>
      <c r="BL193" s="156">
        <f>ROUNDUP(BL87*($H61/(Dashboard!$D$15+BL116+BL140+BL164)),2)</f>
        <v>0</v>
      </c>
      <c r="BM193" s="156">
        <f>ROUNDUP(BM87*($H61/(Dashboard!$D$15+BM116+BM140+BM164)),2)</f>
        <v>0</v>
      </c>
      <c r="BN193" s="156">
        <f>ROUNDUP(BN87*($H61/(Dashboard!$D$15+BN116+BN140+BN164)),2)</f>
        <v>0</v>
      </c>
      <c r="BO193" s="156">
        <f>ROUNDUP(BO87*($H61/(Dashboard!$D$15+BO116+BO140+BO164)),2)</f>
        <v>0</v>
      </c>
      <c r="BP193" s="156">
        <f>ROUNDUP(BP87*($H61/(Dashboard!$D$15+BP116+BP140+BP164)),2)</f>
        <v>0</v>
      </c>
      <c r="BQ193" s="156">
        <f>ROUNDUP(BQ87*($H61/(Dashboard!$D$15+BQ116+BQ140+BQ164)),2)</f>
        <v>0</v>
      </c>
      <c r="BR193" s="156">
        <f>ROUNDUP(BR87*($H61/(Dashboard!$D$15+BR116+BR140+BR164)),2)</f>
        <v>0</v>
      </c>
    </row>
    <row r="194" spans="4:70" ht="12" hidden="1" customHeight="1" outlineLevel="1">
      <c r="D194" s="621"/>
      <c r="E194" s="65"/>
      <c r="F194" s="143" t="str">
        <f t="shared" si="256"/>
        <v>Equipe_12</v>
      </c>
      <c r="G194" s="151" t="str">
        <f t="shared" si="256"/>
        <v>Equipe12</v>
      </c>
      <c r="H194" s="155"/>
      <c r="I194" s="146">
        <f t="shared" si="257"/>
        <v>0</v>
      </c>
      <c r="J194" s="65"/>
      <c r="K194" s="156">
        <f>ROUNDUP(K88*($H62/(Dashboard!$D$15+K117+K141+K165)),2)</f>
        <v>0</v>
      </c>
      <c r="L194" s="156">
        <f>ROUNDUP(L88*($H62/(Dashboard!$D$15+L117+L141+L165)),2)</f>
        <v>0</v>
      </c>
      <c r="M194" s="156">
        <f>ROUNDUP(M88*($H62/(Dashboard!$D$15+M117+M141+M165)),2)</f>
        <v>0</v>
      </c>
      <c r="N194" s="156">
        <f>ROUNDUP(N88*($H62/(Dashboard!$D$15+N117+N141+N165)),2)</f>
        <v>0</v>
      </c>
      <c r="O194" s="156">
        <f>ROUNDUP(O88*($H62/(Dashboard!$D$15+O117+O141+O165)),2)</f>
        <v>0</v>
      </c>
      <c r="P194" s="156">
        <f>ROUNDUP(P88*($H62/(Dashboard!$D$15+P117+P141+P165)),2)</f>
        <v>0</v>
      </c>
      <c r="Q194" s="156">
        <f>ROUNDUP(Q88*($H62/(Dashboard!$D$15+Q117+Q141+Q165)),2)</f>
        <v>0</v>
      </c>
      <c r="R194" s="156">
        <f>ROUNDUP(R88*($H62/(Dashboard!$D$15+R117+R141+R165)),2)</f>
        <v>0</v>
      </c>
      <c r="S194" s="156">
        <f>ROUNDUP(S88*($H62/(Dashboard!$D$15+S117+S141+S165)),2)</f>
        <v>0</v>
      </c>
      <c r="T194" s="156">
        <f>ROUNDUP(T88*($H62/(Dashboard!$D$15+T117+T141+T165)),2)</f>
        <v>0</v>
      </c>
      <c r="U194" s="156">
        <f>ROUNDUP(U88*($H62/(Dashboard!$D$15+U117+U141+U165)),2)</f>
        <v>0</v>
      </c>
      <c r="V194" s="156">
        <f>ROUNDUP(V88*($H62/(Dashboard!$D$15+V117+V141+V165)),2)</f>
        <v>0</v>
      </c>
      <c r="W194" s="156">
        <f>ROUNDUP(W88*($H62/(Dashboard!$D$15+W117+W141+W165)),2)</f>
        <v>0</v>
      </c>
      <c r="X194" s="156">
        <f>ROUNDUP(X88*($H62/(Dashboard!$D$15+X117+X141+X165)),2)</f>
        <v>0</v>
      </c>
      <c r="Y194" s="156">
        <f>ROUNDUP(Y88*($H62/(Dashboard!$D$15+Y117+Y141+Y165)),2)</f>
        <v>0</v>
      </c>
      <c r="Z194" s="156">
        <f>ROUNDUP(Z88*($H62/(Dashboard!$D$15+Z117+Z141+Z165)),2)</f>
        <v>0</v>
      </c>
      <c r="AA194" s="156">
        <f>ROUNDUP(AA88*($H62/(Dashboard!$D$15+AA117+AA141+AA165)),2)</f>
        <v>0</v>
      </c>
      <c r="AB194" s="156">
        <f>ROUNDUP(AB88*($H62/(Dashboard!$D$15+AB117+AB141+AB165)),2)</f>
        <v>0</v>
      </c>
      <c r="AC194" s="156">
        <f>ROUNDUP(AC88*($H62/(Dashboard!$D$15+AC117+AC141+AC165)),2)</f>
        <v>0</v>
      </c>
      <c r="AD194" s="156">
        <f>ROUNDUP(AD88*($H62/(Dashboard!$D$15+AD117+AD141+AD165)),2)</f>
        <v>0</v>
      </c>
      <c r="AE194" s="156">
        <f>ROUNDUP(AE88*($H62/(Dashboard!$D$15+AE117+AE141+AE165)),2)</f>
        <v>0</v>
      </c>
      <c r="AF194" s="156">
        <f>ROUNDUP(AF88*($H62/(Dashboard!$D$15+AF117+AF141+AF165)),2)</f>
        <v>0</v>
      </c>
      <c r="AG194" s="156">
        <f>ROUNDUP(AG88*($H62/(Dashboard!$D$15+AG117+AG141+AG165)),2)</f>
        <v>0</v>
      </c>
      <c r="AH194" s="156">
        <f>ROUNDUP(AH88*($H62/(Dashboard!$D$15+AH117+AH141+AH165)),2)</f>
        <v>0</v>
      </c>
      <c r="AI194" s="156">
        <f>ROUNDUP(AI88*($H62/(Dashboard!$D$15+AI117+AI141+AI165)),2)</f>
        <v>0</v>
      </c>
      <c r="AJ194" s="156">
        <f>ROUNDUP(AJ88*($H62/(Dashboard!$D$15+AJ117+AJ141+AJ165)),2)</f>
        <v>0</v>
      </c>
      <c r="AK194" s="156">
        <f>ROUNDUP(AK88*($H62/(Dashboard!$D$15+AK117+AK141+AK165)),2)</f>
        <v>0</v>
      </c>
      <c r="AL194" s="156">
        <f>ROUNDUP(AL88*($H62/(Dashboard!$D$15+AL117+AL141+AL165)),2)</f>
        <v>0</v>
      </c>
      <c r="AM194" s="156">
        <f>ROUNDUP(AM88*($H62/(Dashboard!$D$15+AM117+AM141+AM165)),2)</f>
        <v>0</v>
      </c>
      <c r="AN194" s="156">
        <f>ROUNDUP(AN88*($H62/(Dashboard!$D$15+AN117+AN141+AN165)),2)</f>
        <v>0</v>
      </c>
      <c r="AO194" s="156">
        <f>ROUNDUP(AO88*($H62/(Dashboard!$D$15+AO117+AO141+AO165)),2)</f>
        <v>0</v>
      </c>
      <c r="AP194" s="156">
        <f>ROUNDUP(AP88*($H62/(Dashboard!$D$15+AP117+AP141+AP165)),2)</f>
        <v>0</v>
      </c>
      <c r="AQ194" s="156">
        <f>ROUNDUP(AQ88*($H62/(Dashboard!$D$15+AQ117+AQ141+AQ165)),2)</f>
        <v>0</v>
      </c>
      <c r="AR194" s="156">
        <f>ROUNDUP(AR88*($H62/(Dashboard!$D$15+AR117+AR141+AR165)),2)</f>
        <v>0</v>
      </c>
      <c r="AS194" s="156">
        <f>ROUNDUP(AS88*($H62/(Dashboard!$D$15+AS117+AS141+AS165)),2)</f>
        <v>0</v>
      </c>
      <c r="AT194" s="156">
        <f>ROUNDUP(AT88*($H62/(Dashboard!$D$15+AT117+AT141+AT165)),2)</f>
        <v>0</v>
      </c>
      <c r="AU194" s="156">
        <f>ROUNDUP(AU88*($H62/(Dashboard!$D$15+AU117+AU141+AU165)),2)</f>
        <v>0</v>
      </c>
      <c r="AV194" s="156">
        <f>ROUNDUP(AV88*($H62/(Dashboard!$D$15+AV117+AV141+AV165)),2)</f>
        <v>0</v>
      </c>
      <c r="AW194" s="156">
        <f>ROUNDUP(AW88*($H62/(Dashboard!$D$15+AW117+AW141+AW165)),2)</f>
        <v>0</v>
      </c>
      <c r="AX194" s="156">
        <f>ROUNDUP(AX88*($H62/(Dashboard!$D$15+AX117+AX141+AX165)),2)</f>
        <v>0</v>
      </c>
      <c r="AY194" s="156">
        <f>ROUNDUP(AY88*($H62/(Dashboard!$D$15+AY117+AY141+AY165)),2)</f>
        <v>0</v>
      </c>
      <c r="AZ194" s="156">
        <f>ROUNDUP(AZ88*($H62/(Dashboard!$D$15+AZ117+AZ141+AZ165)),2)</f>
        <v>0</v>
      </c>
      <c r="BA194" s="156">
        <f>ROUNDUP(BA88*($H62/(Dashboard!$D$15+BA117+BA141+BA165)),2)</f>
        <v>0</v>
      </c>
      <c r="BB194" s="156">
        <f>ROUNDUP(BB88*($H62/(Dashboard!$D$15+BB117+BB141+BB165)),2)</f>
        <v>0</v>
      </c>
      <c r="BC194" s="156">
        <f>ROUNDUP(BC88*($H62/(Dashboard!$D$15+BC117+BC141+BC165)),2)</f>
        <v>0</v>
      </c>
      <c r="BD194" s="156">
        <f>ROUNDUP(BD88*($H62/(Dashboard!$D$15+BD117+BD141+BD165)),2)</f>
        <v>0</v>
      </c>
      <c r="BE194" s="156">
        <f>ROUNDUP(BE88*($H62/(Dashboard!$D$15+BE117+BE141+BE165)),2)</f>
        <v>0</v>
      </c>
      <c r="BF194" s="156">
        <f>ROUNDUP(BF88*($H62/(Dashboard!$D$15+BF117+BF141+BF165)),2)</f>
        <v>0</v>
      </c>
      <c r="BG194" s="156">
        <f>ROUNDUP(BG88*($H62/(Dashboard!$D$15+BG117+BG141+BG165)),2)</f>
        <v>0</v>
      </c>
      <c r="BH194" s="156">
        <f>ROUNDUP(BH88*($H62/(Dashboard!$D$15+BH117+BH141+BH165)),2)</f>
        <v>0</v>
      </c>
      <c r="BI194" s="156">
        <f>ROUNDUP(BI88*($H62/(Dashboard!$D$15+BI117+BI141+BI165)),2)</f>
        <v>0</v>
      </c>
      <c r="BJ194" s="156">
        <f>ROUNDUP(BJ88*($H62/(Dashboard!$D$15+BJ117+BJ141+BJ165)),2)</f>
        <v>0</v>
      </c>
      <c r="BK194" s="156">
        <f>ROUNDUP(BK88*($H62/(Dashboard!$D$15+BK117+BK141+BK165)),2)</f>
        <v>0</v>
      </c>
      <c r="BL194" s="156">
        <f>ROUNDUP(BL88*($H62/(Dashboard!$D$15+BL117+BL141+BL165)),2)</f>
        <v>0</v>
      </c>
      <c r="BM194" s="156">
        <f>ROUNDUP(BM88*($H62/(Dashboard!$D$15+BM117+BM141+BM165)),2)</f>
        <v>0</v>
      </c>
      <c r="BN194" s="156">
        <f>ROUNDUP(BN88*($H62/(Dashboard!$D$15+BN117+BN141+BN165)),2)</f>
        <v>0</v>
      </c>
      <c r="BO194" s="156">
        <f>ROUNDUP(BO88*($H62/(Dashboard!$D$15+BO117+BO141+BO165)),2)</f>
        <v>0</v>
      </c>
      <c r="BP194" s="156">
        <f>ROUNDUP(BP88*($H62/(Dashboard!$D$15+BP117+BP141+BP165)),2)</f>
        <v>0</v>
      </c>
      <c r="BQ194" s="156">
        <f>ROUNDUP(BQ88*($H62/(Dashboard!$D$15+BQ117+BQ141+BQ165)),2)</f>
        <v>0</v>
      </c>
      <c r="BR194" s="156">
        <f>ROUNDUP(BR88*($H62/(Dashboard!$D$15+BR117+BR141+BR165)),2)</f>
        <v>0</v>
      </c>
    </row>
    <row r="195" spans="4:70" ht="12" hidden="1" customHeight="1" outlineLevel="1">
      <c r="D195" s="621"/>
      <c r="E195" s="65"/>
      <c r="F195" s="143" t="str">
        <f t="shared" si="256"/>
        <v>Equipe_13</v>
      </c>
      <c r="G195" s="151" t="str">
        <f t="shared" si="256"/>
        <v>Equipe13</v>
      </c>
      <c r="H195" s="155"/>
      <c r="I195" s="146">
        <f t="shared" si="257"/>
        <v>0</v>
      </c>
      <c r="J195" s="65"/>
      <c r="K195" s="156">
        <f>ROUNDUP(K89*($H63/(Dashboard!$D$15+K118+K142+K166)),2)</f>
        <v>0</v>
      </c>
      <c r="L195" s="156">
        <f>ROUNDUP(L89*($H63/(Dashboard!$D$15+L118+L142+L166)),2)</f>
        <v>0</v>
      </c>
      <c r="M195" s="156">
        <f>ROUNDUP(M89*($H63/(Dashboard!$D$15+M118+M142+M166)),2)</f>
        <v>0</v>
      </c>
      <c r="N195" s="156">
        <f>ROUNDUP(N89*($H63/(Dashboard!$D$15+N118+N142+N166)),2)</f>
        <v>0</v>
      </c>
      <c r="O195" s="156">
        <f>ROUNDUP(O89*($H63/(Dashboard!$D$15+O118+O142+O166)),2)</f>
        <v>0</v>
      </c>
      <c r="P195" s="156">
        <f>ROUNDUP(P89*($H63/(Dashboard!$D$15+P118+P142+P166)),2)</f>
        <v>0</v>
      </c>
      <c r="Q195" s="156">
        <f>ROUNDUP(Q89*($H63/(Dashboard!$D$15+Q118+Q142+Q166)),2)</f>
        <v>0</v>
      </c>
      <c r="R195" s="156">
        <f>ROUNDUP(R89*($H63/(Dashboard!$D$15+R118+R142+R166)),2)</f>
        <v>0</v>
      </c>
      <c r="S195" s="156">
        <f>ROUNDUP(S89*($H63/(Dashboard!$D$15+S118+S142+S166)),2)</f>
        <v>0</v>
      </c>
      <c r="T195" s="156">
        <f>ROUNDUP(T89*($H63/(Dashboard!$D$15+T118+T142+T166)),2)</f>
        <v>0</v>
      </c>
      <c r="U195" s="156">
        <f>ROUNDUP(U89*($H63/(Dashboard!$D$15+U118+U142+U166)),2)</f>
        <v>0</v>
      </c>
      <c r="V195" s="156">
        <f>ROUNDUP(V89*($H63/(Dashboard!$D$15+V118+V142+V166)),2)</f>
        <v>0</v>
      </c>
      <c r="W195" s="156">
        <f>ROUNDUP(W89*($H63/(Dashboard!$D$15+W118+W142+W166)),2)</f>
        <v>0</v>
      </c>
      <c r="X195" s="156">
        <f>ROUNDUP(X89*($H63/(Dashboard!$D$15+X118+X142+X166)),2)</f>
        <v>0</v>
      </c>
      <c r="Y195" s="156">
        <f>ROUNDUP(Y89*($H63/(Dashboard!$D$15+Y118+Y142+Y166)),2)</f>
        <v>0</v>
      </c>
      <c r="Z195" s="156">
        <f>ROUNDUP(Z89*($H63/(Dashboard!$D$15+Z118+Z142+Z166)),2)</f>
        <v>0</v>
      </c>
      <c r="AA195" s="156">
        <f>ROUNDUP(AA89*($H63/(Dashboard!$D$15+AA118+AA142+AA166)),2)</f>
        <v>0</v>
      </c>
      <c r="AB195" s="156">
        <f>ROUNDUP(AB89*($H63/(Dashboard!$D$15+AB118+AB142+AB166)),2)</f>
        <v>0</v>
      </c>
      <c r="AC195" s="156">
        <f>ROUNDUP(AC89*($H63/(Dashboard!$D$15+AC118+AC142+AC166)),2)</f>
        <v>0</v>
      </c>
      <c r="AD195" s="156">
        <f>ROUNDUP(AD89*($H63/(Dashboard!$D$15+AD118+AD142+AD166)),2)</f>
        <v>0</v>
      </c>
      <c r="AE195" s="156">
        <f>ROUNDUP(AE89*($H63/(Dashboard!$D$15+AE118+AE142+AE166)),2)</f>
        <v>0</v>
      </c>
      <c r="AF195" s="156">
        <f>ROUNDUP(AF89*($H63/(Dashboard!$D$15+AF118+AF142+AF166)),2)</f>
        <v>0</v>
      </c>
      <c r="AG195" s="156">
        <f>ROUNDUP(AG89*($H63/(Dashboard!$D$15+AG118+AG142+AG166)),2)</f>
        <v>0</v>
      </c>
      <c r="AH195" s="156">
        <f>ROUNDUP(AH89*($H63/(Dashboard!$D$15+AH118+AH142+AH166)),2)</f>
        <v>0</v>
      </c>
      <c r="AI195" s="156">
        <f>ROUNDUP(AI89*($H63/(Dashboard!$D$15+AI118+AI142+AI166)),2)</f>
        <v>0</v>
      </c>
      <c r="AJ195" s="156">
        <f>ROUNDUP(AJ89*($H63/(Dashboard!$D$15+AJ118+AJ142+AJ166)),2)</f>
        <v>0</v>
      </c>
      <c r="AK195" s="156">
        <f>ROUNDUP(AK89*($H63/(Dashboard!$D$15+AK118+AK142+AK166)),2)</f>
        <v>0</v>
      </c>
      <c r="AL195" s="156">
        <f>ROUNDUP(AL89*($H63/(Dashboard!$D$15+AL118+AL142+AL166)),2)</f>
        <v>0</v>
      </c>
      <c r="AM195" s="156">
        <f>ROUNDUP(AM89*($H63/(Dashboard!$D$15+AM118+AM142+AM166)),2)</f>
        <v>0</v>
      </c>
      <c r="AN195" s="156">
        <f>ROUNDUP(AN89*($H63/(Dashboard!$D$15+AN118+AN142+AN166)),2)</f>
        <v>0</v>
      </c>
      <c r="AO195" s="156">
        <f>ROUNDUP(AO89*($H63/(Dashboard!$D$15+AO118+AO142+AO166)),2)</f>
        <v>0</v>
      </c>
      <c r="AP195" s="156">
        <f>ROUNDUP(AP89*($H63/(Dashboard!$D$15+AP118+AP142+AP166)),2)</f>
        <v>0</v>
      </c>
      <c r="AQ195" s="156">
        <f>ROUNDUP(AQ89*($H63/(Dashboard!$D$15+AQ118+AQ142+AQ166)),2)</f>
        <v>0</v>
      </c>
      <c r="AR195" s="156">
        <f>ROUNDUP(AR89*($H63/(Dashboard!$D$15+AR118+AR142+AR166)),2)</f>
        <v>0</v>
      </c>
      <c r="AS195" s="156">
        <f>ROUNDUP(AS89*($H63/(Dashboard!$D$15+AS118+AS142+AS166)),2)</f>
        <v>0</v>
      </c>
      <c r="AT195" s="156">
        <f>ROUNDUP(AT89*($H63/(Dashboard!$D$15+AT118+AT142+AT166)),2)</f>
        <v>0</v>
      </c>
      <c r="AU195" s="156">
        <f>ROUNDUP(AU89*($H63/(Dashboard!$D$15+AU118+AU142+AU166)),2)</f>
        <v>0</v>
      </c>
      <c r="AV195" s="156">
        <f>ROUNDUP(AV89*($H63/(Dashboard!$D$15+AV118+AV142+AV166)),2)</f>
        <v>0</v>
      </c>
      <c r="AW195" s="156">
        <f>ROUNDUP(AW89*($H63/(Dashboard!$D$15+AW118+AW142+AW166)),2)</f>
        <v>0</v>
      </c>
      <c r="AX195" s="156">
        <f>ROUNDUP(AX89*($H63/(Dashboard!$D$15+AX118+AX142+AX166)),2)</f>
        <v>0</v>
      </c>
      <c r="AY195" s="156">
        <f>ROUNDUP(AY89*($H63/(Dashboard!$D$15+AY118+AY142+AY166)),2)</f>
        <v>0</v>
      </c>
      <c r="AZ195" s="156">
        <f>ROUNDUP(AZ89*($H63/(Dashboard!$D$15+AZ118+AZ142+AZ166)),2)</f>
        <v>0</v>
      </c>
      <c r="BA195" s="156">
        <f>ROUNDUP(BA89*($H63/(Dashboard!$D$15+BA118+BA142+BA166)),2)</f>
        <v>0</v>
      </c>
      <c r="BB195" s="156">
        <f>ROUNDUP(BB89*($H63/(Dashboard!$D$15+BB118+BB142+BB166)),2)</f>
        <v>0</v>
      </c>
      <c r="BC195" s="156">
        <f>ROUNDUP(BC89*($H63/(Dashboard!$D$15+BC118+BC142+BC166)),2)</f>
        <v>0</v>
      </c>
      <c r="BD195" s="156">
        <f>ROUNDUP(BD89*($H63/(Dashboard!$D$15+BD118+BD142+BD166)),2)</f>
        <v>0</v>
      </c>
      <c r="BE195" s="156">
        <f>ROUNDUP(BE89*($H63/(Dashboard!$D$15+BE118+BE142+BE166)),2)</f>
        <v>0</v>
      </c>
      <c r="BF195" s="156">
        <f>ROUNDUP(BF89*($H63/(Dashboard!$D$15+BF118+BF142+BF166)),2)</f>
        <v>0</v>
      </c>
      <c r="BG195" s="156">
        <f>ROUNDUP(BG89*($H63/(Dashboard!$D$15+BG118+BG142+BG166)),2)</f>
        <v>0</v>
      </c>
      <c r="BH195" s="156">
        <f>ROUNDUP(BH89*($H63/(Dashboard!$D$15+BH118+BH142+BH166)),2)</f>
        <v>0</v>
      </c>
      <c r="BI195" s="156">
        <f>ROUNDUP(BI89*($H63/(Dashboard!$D$15+BI118+BI142+BI166)),2)</f>
        <v>0</v>
      </c>
      <c r="BJ195" s="156">
        <f>ROUNDUP(BJ89*($H63/(Dashboard!$D$15+BJ118+BJ142+BJ166)),2)</f>
        <v>0</v>
      </c>
      <c r="BK195" s="156">
        <f>ROUNDUP(BK89*($H63/(Dashboard!$D$15+BK118+BK142+BK166)),2)</f>
        <v>0</v>
      </c>
      <c r="BL195" s="156">
        <f>ROUNDUP(BL89*($H63/(Dashboard!$D$15+BL118+BL142+BL166)),2)</f>
        <v>0</v>
      </c>
      <c r="BM195" s="156">
        <f>ROUNDUP(BM89*($H63/(Dashboard!$D$15+BM118+BM142+BM166)),2)</f>
        <v>0</v>
      </c>
      <c r="BN195" s="156">
        <f>ROUNDUP(BN89*($H63/(Dashboard!$D$15+BN118+BN142+BN166)),2)</f>
        <v>0</v>
      </c>
      <c r="BO195" s="156">
        <f>ROUNDUP(BO89*($H63/(Dashboard!$D$15+BO118+BO142+BO166)),2)</f>
        <v>0</v>
      </c>
      <c r="BP195" s="156">
        <f>ROUNDUP(BP89*($H63/(Dashboard!$D$15+BP118+BP142+BP166)),2)</f>
        <v>0</v>
      </c>
      <c r="BQ195" s="156">
        <f>ROUNDUP(BQ89*($H63/(Dashboard!$D$15+BQ118+BQ142+BQ166)),2)</f>
        <v>0</v>
      </c>
      <c r="BR195" s="156">
        <f>ROUNDUP(BR89*($H63/(Dashboard!$D$15+BR118+BR142+BR166)),2)</f>
        <v>0</v>
      </c>
    </row>
    <row r="196" spans="4:70" ht="12" hidden="1" customHeight="1" outlineLevel="1">
      <c r="D196" s="621"/>
      <c r="E196" s="65"/>
      <c r="F196" s="143" t="str">
        <f t="shared" si="256"/>
        <v>Equipe_14</v>
      </c>
      <c r="G196" s="151" t="str">
        <f t="shared" si="256"/>
        <v>Equipe14</v>
      </c>
      <c r="H196" s="155"/>
      <c r="I196" s="146">
        <f t="shared" si="257"/>
        <v>0</v>
      </c>
      <c r="J196" s="65"/>
      <c r="K196" s="156">
        <f>ROUNDUP(K90*($H64/(Dashboard!$D$15+K119+K143+K167)),2)</f>
        <v>0</v>
      </c>
      <c r="L196" s="156">
        <f>ROUNDUP(L90*($H64/(Dashboard!$D$15+L119+L143+L167)),2)</f>
        <v>0</v>
      </c>
      <c r="M196" s="156">
        <f>ROUNDUP(M90*($H64/(Dashboard!$D$15+M119+M143+M167)),2)</f>
        <v>0</v>
      </c>
      <c r="N196" s="156">
        <f>ROUNDUP(N90*($H64/(Dashboard!$D$15+N119+N143+N167)),2)</f>
        <v>0</v>
      </c>
      <c r="O196" s="156">
        <f>ROUNDUP(O90*($H64/(Dashboard!$D$15+O119+O143+O167)),2)</f>
        <v>0</v>
      </c>
      <c r="P196" s="156">
        <f>ROUNDUP(P90*($H64/(Dashboard!$D$15+P119+P143+P167)),2)</f>
        <v>0</v>
      </c>
      <c r="Q196" s="156">
        <f>ROUNDUP(Q90*($H64/(Dashboard!$D$15+Q119+Q143+Q167)),2)</f>
        <v>0</v>
      </c>
      <c r="R196" s="156">
        <f>ROUNDUP(R90*($H64/(Dashboard!$D$15+R119+R143+R167)),2)</f>
        <v>0</v>
      </c>
      <c r="S196" s="156">
        <f>ROUNDUP(S90*($H64/(Dashboard!$D$15+S119+S143+S167)),2)</f>
        <v>0</v>
      </c>
      <c r="T196" s="156">
        <f>ROUNDUP(T90*($H64/(Dashboard!$D$15+T119+T143+T167)),2)</f>
        <v>0</v>
      </c>
      <c r="U196" s="156">
        <f>ROUNDUP(U90*($H64/(Dashboard!$D$15+U119+U143+U167)),2)</f>
        <v>0</v>
      </c>
      <c r="V196" s="156">
        <f>ROUNDUP(V90*($H64/(Dashboard!$D$15+V119+V143+V167)),2)</f>
        <v>0</v>
      </c>
      <c r="W196" s="156">
        <f>ROUNDUP(W90*($H64/(Dashboard!$D$15+W119+W143+W167)),2)</f>
        <v>0</v>
      </c>
      <c r="X196" s="156">
        <f>ROUNDUP(X90*($H64/(Dashboard!$D$15+X119+X143+X167)),2)</f>
        <v>0</v>
      </c>
      <c r="Y196" s="156">
        <f>ROUNDUP(Y90*($H64/(Dashboard!$D$15+Y119+Y143+Y167)),2)</f>
        <v>0</v>
      </c>
      <c r="Z196" s="156">
        <f>ROUNDUP(Z90*($H64/(Dashboard!$D$15+Z119+Z143+Z167)),2)</f>
        <v>0</v>
      </c>
      <c r="AA196" s="156">
        <f>ROUNDUP(AA90*($H64/(Dashboard!$D$15+AA119+AA143+AA167)),2)</f>
        <v>0</v>
      </c>
      <c r="AB196" s="156">
        <f>ROUNDUP(AB90*($H64/(Dashboard!$D$15+AB119+AB143+AB167)),2)</f>
        <v>0</v>
      </c>
      <c r="AC196" s="156">
        <f>ROUNDUP(AC90*($H64/(Dashboard!$D$15+AC119+AC143+AC167)),2)</f>
        <v>0</v>
      </c>
      <c r="AD196" s="156">
        <f>ROUNDUP(AD90*($H64/(Dashboard!$D$15+AD119+AD143+AD167)),2)</f>
        <v>0</v>
      </c>
      <c r="AE196" s="156">
        <f>ROUNDUP(AE90*($H64/(Dashboard!$D$15+AE119+AE143+AE167)),2)</f>
        <v>0</v>
      </c>
      <c r="AF196" s="156">
        <f>ROUNDUP(AF90*($H64/(Dashboard!$D$15+AF119+AF143+AF167)),2)</f>
        <v>0</v>
      </c>
      <c r="AG196" s="156">
        <f>ROUNDUP(AG90*($H64/(Dashboard!$D$15+AG119+AG143+AG167)),2)</f>
        <v>0</v>
      </c>
      <c r="AH196" s="156">
        <f>ROUNDUP(AH90*($H64/(Dashboard!$D$15+AH119+AH143+AH167)),2)</f>
        <v>0</v>
      </c>
      <c r="AI196" s="156">
        <f>ROUNDUP(AI90*($H64/(Dashboard!$D$15+AI119+AI143+AI167)),2)</f>
        <v>0</v>
      </c>
      <c r="AJ196" s="156">
        <f>ROUNDUP(AJ90*($H64/(Dashboard!$D$15+AJ119+AJ143+AJ167)),2)</f>
        <v>0</v>
      </c>
      <c r="AK196" s="156">
        <f>ROUNDUP(AK90*($H64/(Dashboard!$D$15+AK119+AK143+AK167)),2)</f>
        <v>0</v>
      </c>
      <c r="AL196" s="156">
        <f>ROUNDUP(AL90*($H64/(Dashboard!$D$15+AL119+AL143+AL167)),2)</f>
        <v>0</v>
      </c>
      <c r="AM196" s="156">
        <f>ROUNDUP(AM90*($H64/(Dashboard!$D$15+AM119+AM143+AM167)),2)</f>
        <v>0</v>
      </c>
      <c r="AN196" s="156">
        <f>ROUNDUP(AN90*($H64/(Dashboard!$D$15+AN119+AN143+AN167)),2)</f>
        <v>0</v>
      </c>
      <c r="AO196" s="156">
        <f>ROUNDUP(AO90*($H64/(Dashboard!$D$15+AO119+AO143+AO167)),2)</f>
        <v>0</v>
      </c>
      <c r="AP196" s="156">
        <f>ROUNDUP(AP90*($H64/(Dashboard!$D$15+AP119+AP143+AP167)),2)</f>
        <v>0</v>
      </c>
      <c r="AQ196" s="156">
        <f>ROUNDUP(AQ90*($H64/(Dashboard!$D$15+AQ119+AQ143+AQ167)),2)</f>
        <v>0</v>
      </c>
      <c r="AR196" s="156">
        <f>ROUNDUP(AR90*($H64/(Dashboard!$D$15+AR119+AR143+AR167)),2)</f>
        <v>0</v>
      </c>
      <c r="AS196" s="156">
        <f>ROUNDUP(AS90*($H64/(Dashboard!$D$15+AS119+AS143+AS167)),2)</f>
        <v>0</v>
      </c>
      <c r="AT196" s="156">
        <f>ROUNDUP(AT90*($H64/(Dashboard!$D$15+AT119+AT143+AT167)),2)</f>
        <v>0</v>
      </c>
      <c r="AU196" s="156">
        <f>ROUNDUP(AU90*($H64/(Dashboard!$D$15+AU119+AU143+AU167)),2)</f>
        <v>0</v>
      </c>
      <c r="AV196" s="156">
        <f>ROUNDUP(AV90*($H64/(Dashboard!$D$15+AV119+AV143+AV167)),2)</f>
        <v>0</v>
      </c>
      <c r="AW196" s="156">
        <f>ROUNDUP(AW90*($H64/(Dashboard!$D$15+AW119+AW143+AW167)),2)</f>
        <v>0</v>
      </c>
      <c r="AX196" s="156">
        <f>ROUNDUP(AX90*($H64/(Dashboard!$D$15+AX119+AX143+AX167)),2)</f>
        <v>0</v>
      </c>
      <c r="AY196" s="156">
        <f>ROUNDUP(AY90*($H64/(Dashboard!$D$15+AY119+AY143+AY167)),2)</f>
        <v>0</v>
      </c>
      <c r="AZ196" s="156">
        <f>ROUNDUP(AZ90*($H64/(Dashboard!$D$15+AZ119+AZ143+AZ167)),2)</f>
        <v>0</v>
      </c>
      <c r="BA196" s="156">
        <f>ROUNDUP(BA90*($H64/(Dashboard!$D$15+BA119+BA143+BA167)),2)</f>
        <v>0</v>
      </c>
      <c r="BB196" s="156">
        <f>ROUNDUP(BB90*($H64/(Dashboard!$D$15+BB119+BB143+BB167)),2)</f>
        <v>0</v>
      </c>
      <c r="BC196" s="156">
        <f>ROUNDUP(BC90*($H64/(Dashboard!$D$15+BC119+BC143+BC167)),2)</f>
        <v>0</v>
      </c>
      <c r="BD196" s="156">
        <f>ROUNDUP(BD90*($H64/(Dashboard!$D$15+BD119+BD143+BD167)),2)</f>
        <v>0</v>
      </c>
      <c r="BE196" s="156">
        <f>ROUNDUP(BE90*($H64/(Dashboard!$D$15+BE119+BE143+BE167)),2)</f>
        <v>0</v>
      </c>
      <c r="BF196" s="156">
        <f>ROUNDUP(BF90*($H64/(Dashboard!$D$15+BF119+BF143+BF167)),2)</f>
        <v>0</v>
      </c>
      <c r="BG196" s="156">
        <f>ROUNDUP(BG90*($H64/(Dashboard!$D$15+BG119+BG143+BG167)),2)</f>
        <v>0</v>
      </c>
      <c r="BH196" s="156">
        <f>ROUNDUP(BH90*($H64/(Dashboard!$D$15+BH119+BH143+BH167)),2)</f>
        <v>0</v>
      </c>
      <c r="BI196" s="156">
        <f>ROUNDUP(BI90*($H64/(Dashboard!$D$15+BI119+BI143+BI167)),2)</f>
        <v>0</v>
      </c>
      <c r="BJ196" s="156">
        <f>ROUNDUP(BJ90*($H64/(Dashboard!$D$15+BJ119+BJ143+BJ167)),2)</f>
        <v>0</v>
      </c>
      <c r="BK196" s="156">
        <f>ROUNDUP(BK90*($H64/(Dashboard!$D$15+BK119+BK143+BK167)),2)</f>
        <v>0</v>
      </c>
      <c r="BL196" s="156">
        <f>ROUNDUP(BL90*($H64/(Dashboard!$D$15+BL119+BL143+BL167)),2)</f>
        <v>0</v>
      </c>
      <c r="BM196" s="156">
        <f>ROUNDUP(BM90*($H64/(Dashboard!$D$15+BM119+BM143+BM167)),2)</f>
        <v>0</v>
      </c>
      <c r="BN196" s="156">
        <f>ROUNDUP(BN90*($H64/(Dashboard!$D$15+BN119+BN143+BN167)),2)</f>
        <v>0</v>
      </c>
      <c r="BO196" s="156">
        <f>ROUNDUP(BO90*($H64/(Dashboard!$D$15+BO119+BO143+BO167)),2)</f>
        <v>0</v>
      </c>
      <c r="BP196" s="156">
        <f>ROUNDUP(BP90*($H64/(Dashboard!$D$15+BP119+BP143+BP167)),2)</f>
        <v>0</v>
      </c>
      <c r="BQ196" s="156">
        <f>ROUNDUP(BQ90*($H64/(Dashboard!$D$15+BQ119+BQ143+BQ167)),2)</f>
        <v>0</v>
      </c>
      <c r="BR196" s="156">
        <f>ROUNDUP(BR90*($H64/(Dashboard!$D$15+BR119+BR143+BR167)),2)</f>
        <v>0</v>
      </c>
    </row>
    <row r="197" spans="4:70" ht="12" hidden="1" customHeight="1" outlineLevel="1">
      <c r="D197" s="621"/>
      <c r="E197" s="65"/>
      <c r="F197" s="143" t="str">
        <f t="shared" si="256"/>
        <v>Equipe_15</v>
      </c>
      <c r="G197" s="151" t="str">
        <f t="shared" si="256"/>
        <v>Equipe15</v>
      </c>
      <c r="H197" s="155"/>
      <c r="I197" s="146">
        <f t="shared" si="257"/>
        <v>0</v>
      </c>
      <c r="J197" s="65"/>
      <c r="K197" s="156">
        <f>ROUNDUP(K91*($H65/(Dashboard!$D$15+K120+K144+K168)),2)</f>
        <v>0</v>
      </c>
      <c r="L197" s="156">
        <f>ROUNDUP(L91*($H65/(Dashboard!$D$15+L120+L144+L168)),2)</f>
        <v>0</v>
      </c>
      <c r="M197" s="156">
        <f>ROUNDUP(M91*($H65/(Dashboard!$D$15+M120+M144+M168)),2)</f>
        <v>0</v>
      </c>
      <c r="N197" s="156">
        <f>ROUNDUP(N91*($H65/(Dashboard!$D$15+N120+N144+N168)),2)</f>
        <v>0</v>
      </c>
      <c r="O197" s="156">
        <f>ROUNDUP(O91*($H65/(Dashboard!$D$15+O120+O144+O168)),2)</f>
        <v>0</v>
      </c>
      <c r="P197" s="156">
        <f>ROUNDUP(P91*($H65/(Dashboard!$D$15+P120+P144+P168)),2)</f>
        <v>0</v>
      </c>
      <c r="Q197" s="156">
        <f>ROUNDUP(Q91*($H65/(Dashboard!$D$15+Q120+Q144+Q168)),2)</f>
        <v>0</v>
      </c>
      <c r="R197" s="156">
        <f>ROUNDUP(R91*($H65/(Dashboard!$D$15+R120+R144+R168)),2)</f>
        <v>0</v>
      </c>
      <c r="S197" s="156">
        <f>ROUNDUP(S91*($H65/(Dashboard!$D$15+S120+S144+S168)),2)</f>
        <v>0</v>
      </c>
      <c r="T197" s="156">
        <f>ROUNDUP(T91*($H65/(Dashboard!$D$15+T120+T144+T168)),2)</f>
        <v>0</v>
      </c>
      <c r="U197" s="156">
        <f>ROUNDUP(U91*($H65/(Dashboard!$D$15+U120+U144+U168)),2)</f>
        <v>0</v>
      </c>
      <c r="V197" s="156">
        <f>ROUNDUP(V91*($H65/(Dashboard!$D$15+V120+V144+V168)),2)</f>
        <v>0</v>
      </c>
      <c r="W197" s="156">
        <f>ROUNDUP(W91*($H65/(Dashboard!$D$15+W120+W144+W168)),2)</f>
        <v>0</v>
      </c>
      <c r="X197" s="156">
        <f>ROUNDUP(X91*($H65/(Dashboard!$D$15+X120+X144+X168)),2)</f>
        <v>0</v>
      </c>
      <c r="Y197" s="156">
        <f>ROUNDUP(Y91*($H65/(Dashboard!$D$15+Y120+Y144+Y168)),2)</f>
        <v>0</v>
      </c>
      <c r="Z197" s="156">
        <f>ROUNDUP(Z91*($H65/(Dashboard!$D$15+Z120+Z144+Z168)),2)</f>
        <v>0</v>
      </c>
      <c r="AA197" s="156">
        <f>ROUNDUP(AA91*($H65/(Dashboard!$D$15+AA120+AA144+AA168)),2)</f>
        <v>0</v>
      </c>
      <c r="AB197" s="156">
        <f>ROUNDUP(AB91*($H65/(Dashboard!$D$15+AB120+AB144+AB168)),2)</f>
        <v>0</v>
      </c>
      <c r="AC197" s="156">
        <f>ROUNDUP(AC91*($H65/(Dashboard!$D$15+AC120+AC144+AC168)),2)</f>
        <v>0</v>
      </c>
      <c r="AD197" s="156">
        <f>ROUNDUP(AD91*($H65/(Dashboard!$D$15+AD120+AD144+AD168)),2)</f>
        <v>0</v>
      </c>
      <c r="AE197" s="156">
        <f>ROUNDUP(AE91*($H65/(Dashboard!$D$15+AE120+AE144+AE168)),2)</f>
        <v>0</v>
      </c>
      <c r="AF197" s="156">
        <f>ROUNDUP(AF91*($H65/(Dashboard!$D$15+AF120+AF144+AF168)),2)</f>
        <v>0</v>
      </c>
      <c r="AG197" s="156">
        <f>ROUNDUP(AG91*($H65/(Dashboard!$D$15+AG120+AG144+AG168)),2)</f>
        <v>0</v>
      </c>
      <c r="AH197" s="156">
        <f>ROUNDUP(AH91*($H65/(Dashboard!$D$15+AH120+AH144+AH168)),2)</f>
        <v>0</v>
      </c>
      <c r="AI197" s="156">
        <f>ROUNDUP(AI91*($H65/(Dashboard!$D$15+AI120+AI144+AI168)),2)</f>
        <v>0</v>
      </c>
      <c r="AJ197" s="156">
        <f>ROUNDUP(AJ91*($H65/(Dashboard!$D$15+AJ120+AJ144+AJ168)),2)</f>
        <v>0</v>
      </c>
      <c r="AK197" s="156">
        <f>ROUNDUP(AK91*($H65/(Dashboard!$D$15+AK120+AK144+AK168)),2)</f>
        <v>0</v>
      </c>
      <c r="AL197" s="156">
        <f>ROUNDUP(AL91*($H65/(Dashboard!$D$15+AL120+AL144+AL168)),2)</f>
        <v>0</v>
      </c>
      <c r="AM197" s="156">
        <f>ROUNDUP(AM91*($H65/(Dashboard!$D$15+AM120+AM144+AM168)),2)</f>
        <v>0</v>
      </c>
      <c r="AN197" s="156">
        <f>ROUNDUP(AN91*($H65/(Dashboard!$D$15+AN120+AN144+AN168)),2)</f>
        <v>0</v>
      </c>
      <c r="AO197" s="156">
        <f>ROUNDUP(AO91*($H65/(Dashboard!$D$15+AO120+AO144+AO168)),2)</f>
        <v>0</v>
      </c>
      <c r="AP197" s="156">
        <f>ROUNDUP(AP91*($H65/(Dashboard!$D$15+AP120+AP144+AP168)),2)</f>
        <v>0</v>
      </c>
      <c r="AQ197" s="156">
        <f>ROUNDUP(AQ91*($H65/(Dashboard!$D$15+AQ120+AQ144+AQ168)),2)</f>
        <v>0</v>
      </c>
      <c r="AR197" s="156">
        <f>ROUNDUP(AR91*($H65/(Dashboard!$D$15+AR120+AR144+AR168)),2)</f>
        <v>0</v>
      </c>
      <c r="AS197" s="156">
        <f>ROUNDUP(AS91*($H65/(Dashboard!$D$15+AS120+AS144+AS168)),2)</f>
        <v>0</v>
      </c>
      <c r="AT197" s="156">
        <f>ROUNDUP(AT91*($H65/(Dashboard!$D$15+AT120+AT144+AT168)),2)</f>
        <v>0</v>
      </c>
      <c r="AU197" s="156">
        <f>ROUNDUP(AU91*($H65/(Dashboard!$D$15+AU120+AU144+AU168)),2)</f>
        <v>0</v>
      </c>
      <c r="AV197" s="156">
        <f>ROUNDUP(AV91*($H65/(Dashboard!$D$15+AV120+AV144+AV168)),2)</f>
        <v>0</v>
      </c>
      <c r="AW197" s="156">
        <f>ROUNDUP(AW91*($H65/(Dashboard!$D$15+AW120+AW144+AW168)),2)</f>
        <v>0</v>
      </c>
      <c r="AX197" s="156">
        <f>ROUNDUP(AX91*($H65/(Dashboard!$D$15+AX120+AX144+AX168)),2)</f>
        <v>0</v>
      </c>
      <c r="AY197" s="156">
        <f>ROUNDUP(AY91*($H65/(Dashboard!$D$15+AY120+AY144+AY168)),2)</f>
        <v>0</v>
      </c>
      <c r="AZ197" s="156">
        <f>ROUNDUP(AZ91*($H65/(Dashboard!$D$15+AZ120+AZ144+AZ168)),2)</f>
        <v>0</v>
      </c>
      <c r="BA197" s="156">
        <f>ROUNDUP(BA91*($H65/(Dashboard!$D$15+BA120+BA144+BA168)),2)</f>
        <v>0</v>
      </c>
      <c r="BB197" s="156">
        <f>ROUNDUP(BB91*($H65/(Dashboard!$D$15+BB120+BB144+BB168)),2)</f>
        <v>0</v>
      </c>
      <c r="BC197" s="156">
        <f>ROUNDUP(BC91*($H65/(Dashboard!$D$15+BC120+BC144+BC168)),2)</f>
        <v>0</v>
      </c>
      <c r="BD197" s="156">
        <f>ROUNDUP(BD91*($H65/(Dashboard!$D$15+BD120+BD144+BD168)),2)</f>
        <v>0</v>
      </c>
      <c r="BE197" s="156">
        <f>ROUNDUP(BE91*($H65/(Dashboard!$D$15+BE120+BE144+BE168)),2)</f>
        <v>0</v>
      </c>
      <c r="BF197" s="156">
        <f>ROUNDUP(BF91*($H65/(Dashboard!$D$15+BF120+BF144+BF168)),2)</f>
        <v>0</v>
      </c>
      <c r="BG197" s="156">
        <f>ROUNDUP(BG91*($H65/(Dashboard!$D$15+BG120+BG144+BG168)),2)</f>
        <v>0</v>
      </c>
      <c r="BH197" s="156">
        <f>ROUNDUP(BH91*($H65/(Dashboard!$D$15+BH120+BH144+BH168)),2)</f>
        <v>0</v>
      </c>
      <c r="BI197" s="156">
        <f>ROUNDUP(BI91*($H65/(Dashboard!$D$15+BI120+BI144+BI168)),2)</f>
        <v>0</v>
      </c>
      <c r="BJ197" s="156">
        <f>ROUNDUP(BJ91*($H65/(Dashboard!$D$15+BJ120+BJ144+BJ168)),2)</f>
        <v>0</v>
      </c>
      <c r="BK197" s="156">
        <f>ROUNDUP(BK91*($H65/(Dashboard!$D$15+BK120+BK144+BK168)),2)</f>
        <v>0</v>
      </c>
      <c r="BL197" s="156">
        <f>ROUNDUP(BL91*($H65/(Dashboard!$D$15+BL120+BL144+BL168)),2)</f>
        <v>0</v>
      </c>
      <c r="BM197" s="156">
        <f>ROUNDUP(BM91*($H65/(Dashboard!$D$15+BM120+BM144+BM168)),2)</f>
        <v>0</v>
      </c>
      <c r="BN197" s="156">
        <f>ROUNDUP(BN91*($H65/(Dashboard!$D$15+BN120+BN144+BN168)),2)</f>
        <v>0</v>
      </c>
      <c r="BO197" s="156">
        <f>ROUNDUP(BO91*($H65/(Dashboard!$D$15+BO120+BO144+BO168)),2)</f>
        <v>0</v>
      </c>
      <c r="BP197" s="156">
        <f>ROUNDUP(BP91*($H65/(Dashboard!$D$15+BP120+BP144+BP168)),2)</f>
        <v>0</v>
      </c>
      <c r="BQ197" s="156">
        <f>ROUNDUP(BQ91*($H65/(Dashboard!$D$15+BQ120+BQ144+BQ168)),2)</f>
        <v>0</v>
      </c>
      <c r="BR197" s="156">
        <f>ROUNDUP(BR91*($H65/(Dashboard!$D$15+BR120+BR144+BR168)),2)</f>
        <v>0</v>
      </c>
    </row>
    <row r="198" spans="4:70" ht="12" hidden="1" customHeight="1" outlineLevel="1">
      <c r="D198" s="621"/>
      <c r="E198" s="65"/>
      <c r="F198" s="143" t="str">
        <f t="shared" si="256"/>
        <v>Equipe_16</v>
      </c>
      <c r="G198" s="151" t="str">
        <f t="shared" si="256"/>
        <v>Equipe16</v>
      </c>
      <c r="H198" s="155"/>
      <c r="I198" s="146">
        <f t="shared" si="257"/>
        <v>0.1</v>
      </c>
      <c r="J198" s="65"/>
      <c r="K198" s="156">
        <f>ROUNDUP(K92*($H66/(Dashboard!$D$15+K121+K145+K169)),2)</f>
        <v>0.1</v>
      </c>
      <c r="L198" s="156">
        <f>ROUNDUP(L92*($H66/(Dashboard!$D$15+L121+L145+L169)),2)</f>
        <v>0.1</v>
      </c>
      <c r="M198" s="156">
        <f>ROUNDUP(M92*($H66/(Dashboard!$D$15+M121+M145+M169)),2)</f>
        <v>0.1</v>
      </c>
      <c r="N198" s="156">
        <f>ROUNDUP(N92*($H66/(Dashboard!$D$15+N121+N145+N169)),2)</f>
        <v>0.1</v>
      </c>
      <c r="O198" s="156">
        <f>ROUNDUP(O92*($H66/(Dashboard!$D$15+O121+O145+O169)),2)</f>
        <v>0.1</v>
      </c>
      <c r="P198" s="156">
        <f>ROUNDUP(P92*($H66/(Dashboard!$D$15+P121+P145+P169)),2)</f>
        <v>0.1</v>
      </c>
      <c r="Q198" s="156">
        <f>ROUNDUP(Q92*($H66/(Dashboard!$D$15+Q121+Q145+Q169)),2)</f>
        <v>0.1</v>
      </c>
      <c r="R198" s="156">
        <f>ROUNDUP(R92*($H66/(Dashboard!$D$15+R121+R145+R169)),2)</f>
        <v>0.1</v>
      </c>
      <c r="S198" s="156">
        <f>ROUNDUP(S92*($H66/(Dashboard!$D$15+S121+S145+S169)),2)</f>
        <v>0.1</v>
      </c>
      <c r="T198" s="156">
        <f>ROUNDUP(T92*($H66/(Dashboard!$D$15+T121+T145+T169)),2)</f>
        <v>0.1</v>
      </c>
      <c r="U198" s="156">
        <f>ROUNDUP(U92*($H66/(Dashboard!$D$15+U121+U145+U169)),2)</f>
        <v>0</v>
      </c>
      <c r="V198" s="156">
        <f>ROUNDUP(V92*($H66/(Dashboard!$D$15+V121+V145+V169)),2)</f>
        <v>0</v>
      </c>
      <c r="W198" s="156">
        <f>ROUNDUP(W92*($H66/(Dashboard!$D$15+W121+W145+W169)),2)</f>
        <v>0</v>
      </c>
      <c r="X198" s="156">
        <f>ROUNDUP(X92*($H66/(Dashboard!$D$15+X121+X145+X169)),2)</f>
        <v>0</v>
      </c>
      <c r="Y198" s="156">
        <f>ROUNDUP(Y92*($H66/(Dashboard!$D$15+Y121+Y145+Y169)),2)</f>
        <v>0</v>
      </c>
      <c r="Z198" s="156">
        <f>ROUNDUP(Z92*($H66/(Dashboard!$D$15+Z121+Z145+Z169)),2)</f>
        <v>0</v>
      </c>
      <c r="AA198" s="156">
        <f>ROUNDUP(AA92*($H66/(Dashboard!$D$15+AA121+AA145+AA169)),2)</f>
        <v>0</v>
      </c>
      <c r="AB198" s="156">
        <f>ROUNDUP(AB92*($H66/(Dashboard!$D$15+AB121+AB145+AB169)),2)</f>
        <v>0</v>
      </c>
      <c r="AC198" s="156">
        <f>ROUNDUP(AC92*($H66/(Dashboard!$D$15+AC121+AC145+AC169)),2)</f>
        <v>0</v>
      </c>
      <c r="AD198" s="156">
        <f>ROUNDUP(AD92*($H66/(Dashboard!$D$15+AD121+AD145+AD169)),2)</f>
        <v>0</v>
      </c>
      <c r="AE198" s="156">
        <f>ROUNDUP(AE92*($H66/(Dashboard!$D$15+AE121+AE145+AE169)),2)</f>
        <v>0</v>
      </c>
      <c r="AF198" s="156">
        <f>ROUNDUP(AF92*($H66/(Dashboard!$D$15+AF121+AF145+AF169)),2)</f>
        <v>0</v>
      </c>
      <c r="AG198" s="156">
        <f>ROUNDUP(AG92*($H66/(Dashboard!$D$15+AG121+AG145+AG169)),2)</f>
        <v>0</v>
      </c>
      <c r="AH198" s="156">
        <f>ROUNDUP(AH92*($H66/(Dashboard!$D$15+AH121+AH145+AH169)),2)</f>
        <v>0</v>
      </c>
      <c r="AI198" s="156">
        <f>ROUNDUP(AI92*($H66/(Dashboard!$D$15+AI121+AI145+AI169)),2)</f>
        <v>0</v>
      </c>
      <c r="AJ198" s="156">
        <f>ROUNDUP(AJ92*($H66/(Dashboard!$D$15+AJ121+AJ145+AJ169)),2)</f>
        <v>0</v>
      </c>
      <c r="AK198" s="156">
        <f>ROUNDUP(AK92*($H66/(Dashboard!$D$15+AK121+AK145+AK169)),2)</f>
        <v>0</v>
      </c>
      <c r="AL198" s="156">
        <f>ROUNDUP(AL92*($H66/(Dashboard!$D$15+AL121+AL145+AL169)),2)</f>
        <v>0</v>
      </c>
      <c r="AM198" s="156">
        <f>ROUNDUP(AM92*($H66/(Dashboard!$D$15+AM121+AM145+AM169)),2)</f>
        <v>0</v>
      </c>
      <c r="AN198" s="156">
        <f>ROUNDUP(AN92*($H66/(Dashboard!$D$15+AN121+AN145+AN169)),2)</f>
        <v>0</v>
      </c>
      <c r="AO198" s="156">
        <f>ROUNDUP(AO92*($H66/(Dashboard!$D$15+AO121+AO145+AO169)),2)</f>
        <v>0</v>
      </c>
      <c r="AP198" s="156">
        <f>ROUNDUP(AP92*($H66/(Dashboard!$D$15+AP121+AP145+AP169)),2)</f>
        <v>0</v>
      </c>
      <c r="AQ198" s="156">
        <f>ROUNDUP(AQ92*($H66/(Dashboard!$D$15+AQ121+AQ145+AQ169)),2)</f>
        <v>0</v>
      </c>
      <c r="AR198" s="156">
        <f>ROUNDUP(AR92*($H66/(Dashboard!$D$15+AR121+AR145+AR169)),2)</f>
        <v>0</v>
      </c>
      <c r="AS198" s="156">
        <f>ROUNDUP(AS92*($H66/(Dashboard!$D$15+AS121+AS145+AS169)),2)</f>
        <v>0</v>
      </c>
      <c r="AT198" s="156">
        <f>ROUNDUP(AT92*($H66/(Dashboard!$D$15+AT121+AT145+AT169)),2)</f>
        <v>0</v>
      </c>
      <c r="AU198" s="156">
        <f>ROUNDUP(AU92*($H66/(Dashboard!$D$15+AU121+AU145+AU169)),2)</f>
        <v>0</v>
      </c>
      <c r="AV198" s="156">
        <f>ROUNDUP(AV92*($H66/(Dashboard!$D$15+AV121+AV145+AV169)),2)</f>
        <v>0</v>
      </c>
      <c r="AW198" s="156">
        <f>ROUNDUP(AW92*($H66/(Dashboard!$D$15+AW121+AW145+AW169)),2)</f>
        <v>0</v>
      </c>
      <c r="AX198" s="156">
        <f>ROUNDUP(AX92*($H66/(Dashboard!$D$15+AX121+AX145+AX169)),2)</f>
        <v>0</v>
      </c>
      <c r="AY198" s="156">
        <f>ROUNDUP(AY92*($H66/(Dashboard!$D$15+AY121+AY145+AY169)),2)</f>
        <v>0</v>
      </c>
      <c r="AZ198" s="156">
        <f>ROUNDUP(AZ92*($H66/(Dashboard!$D$15+AZ121+AZ145+AZ169)),2)</f>
        <v>0</v>
      </c>
      <c r="BA198" s="156">
        <f>ROUNDUP(BA92*($H66/(Dashboard!$D$15+BA121+BA145+BA169)),2)</f>
        <v>0</v>
      </c>
      <c r="BB198" s="156">
        <f>ROUNDUP(BB92*($H66/(Dashboard!$D$15+BB121+BB145+BB169)),2)</f>
        <v>0</v>
      </c>
      <c r="BC198" s="156">
        <f>ROUNDUP(BC92*($H66/(Dashboard!$D$15+BC121+BC145+BC169)),2)</f>
        <v>0</v>
      </c>
      <c r="BD198" s="156">
        <f>ROUNDUP(BD92*($H66/(Dashboard!$D$15+BD121+BD145+BD169)),2)</f>
        <v>0</v>
      </c>
      <c r="BE198" s="156">
        <f>ROUNDUP(BE92*($H66/(Dashboard!$D$15+BE121+BE145+BE169)),2)</f>
        <v>0</v>
      </c>
      <c r="BF198" s="156">
        <f>ROUNDUP(BF92*($H66/(Dashboard!$D$15+BF121+BF145+BF169)),2)</f>
        <v>0</v>
      </c>
      <c r="BG198" s="156">
        <f>ROUNDUP(BG92*($H66/(Dashboard!$D$15+BG121+BG145+BG169)),2)</f>
        <v>0</v>
      </c>
      <c r="BH198" s="156">
        <f>ROUNDUP(BH92*($H66/(Dashboard!$D$15+BH121+BH145+BH169)),2)</f>
        <v>0</v>
      </c>
      <c r="BI198" s="156">
        <f>ROUNDUP(BI92*($H66/(Dashboard!$D$15+BI121+BI145+BI169)),2)</f>
        <v>0</v>
      </c>
      <c r="BJ198" s="156">
        <f>ROUNDUP(BJ92*($H66/(Dashboard!$D$15+BJ121+BJ145+BJ169)),2)</f>
        <v>0</v>
      </c>
      <c r="BK198" s="156">
        <f>ROUNDUP(BK92*($H66/(Dashboard!$D$15+BK121+BK145+BK169)),2)</f>
        <v>0</v>
      </c>
      <c r="BL198" s="156">
        <f>ROUNDUP(BL92*($H66/(Dashboard!$D$15+BL121+BL145+BL169)),2)</f>
        <v>0</v>
      </c>
      <c r="BM198" s="156">
        <f>ROUNDUP(BM92*($H66/(Dashboard!$D$15+BM121+BM145+BM169)),2)</f>
        <v>0</v>
      </c>
      <c r="BN198" s="156">
        <f>ROUNDUP(BN92*($H66/(Dashboard!$D$15+BN121+BN145+BN169)),2)</f>
        <v>0</v>
      </c>
      <c r="BO198" s="156">
        <f>ROUNDUP(BO92*($H66/(Dashboard!$D$15+BO121+BO145+BO169)),2)</f>
        <v>0</v>
      </c>
      <c r="BP198" s="156">
        <f>ROUNDUP(BP92*($H66/(Dashboard!$D$15+BP121+BP145+BP169)),2)</f>
        <v>0</v>
      </c>
      <c r="BQ198" s="156">
        <f>ROUNDUP(BQ92*($H66/(Dashboard!$D$15+BQ121+BQ145+BQ169)),2)</f>
        <v>0</v>
      </c>
      <c r="BR198" s="156">
        <f>ROUNDUP(BR92*($H66/(Dashboard!$D$15+BR121+BR145+BR169)),2)</f>
        <v>0</v>
      </c>
    </row>
    <row r="199" spans="4:70" ht="12" hidden="1" customHeight="1" outlineLevel="1">
      <c r="D199" s="621"/>
      <c r="E199" s="65"/>
      <c r="F199" s="143" t="str">
        <f t="shared" si="256"/>
        <v>Equipe_17</v>
      </c>
      <c r="G199" s="151" t="str">
        <f t="shared" si="256"/>
        <v>Equipe17</v>
      </c>
      <c r="H199" s="155"/>
      <c r="I199" s="146">
        <f t="shared" si="257"/>
        <v>0.04</v>
      </c>
      <c r="J199" s="65"/>
      <c r="K199" s="156">
        <f>ROUNDUP(K93*($H67/(Dashboard!$D$15+K122+K146+K170)),2)</f>
        <v>0.04</v>
      </c>
      <c r="L199" s="156">
        <f>ROUNDUP(L93*($H67/(Dashboard!$D$15+L122+L146+L170)),2)</f>
        <v>0.04</v>
      </c>
      <c r="M199" s="156">
        <f>ROUNDUP(M93*($H67/(Dashboard!$D$15+M122+M146+M170)),2)</f>
        <v>0.04</v>
      </c>
      <c r="N199" s="156">
        <f>ROUNDUP(N93*($H67/(Dashboard!$D$15+N122+N146+N170)),2)</f>
        <v>0.04</v>
      </c>
      <c r="O199" s="156">
        <f>ROUNDUP(O93*($H67/(Dashboard!$D$15+O122+O146+O170)),2)</f>
        <v>0.04</v>
      </c>
      <c r="P199" s="156">
        <f>ROUNDUP(P93*($H67/(Dashboard!$D$15+P122+P146+P170)),2)</f>
        <v>0.04</v>
      </c>
      <c r="Q199" s="156">
        <f>ROUNDUP(Q93*($H67/(Dashboard!$D$15+Q122+Q146+Q170)),2)</f>
        <v>0.04</v>
      </c>
      <c r="R199" s="156">
        <f>ROUNDUP(R93*($H67/(Dashboard!$D$15+R122+R146+R170)),2)</f>
        <v>0.04</v>
      </c>
      <c r="S199" s="156">
        <f>ROUNDUP(S93*($H67/(Dashboard!$D$15+S122+S146+S170)),2)</f>
        <v>0.04</v>
      </c>
      <c r="T199" s="156">
        <f>ROUNDUP(T93*($H67/(Dashboard!$D$15+T122+T146+T170)),2)</f>
        <v>0.04</v>
      </c>
      <c r="U199" s="156">
        <f>ROUNDUP(U93*($H67/(Dashboard!$D$15+U122+U146+U170)),2)</f>
        <v>0</v>
      </c>
      <c r="V199" s="156">
        <f>ROUNDUP(V93*($H67/(Dashboard!$D$15+V122+V146+V170)),2)</f>
        <v>0</v>
      </c>
      <c r="W199" s="156">
        <f>ROUNDUP(W93*($H67/(Dashboard!$D$15+W122+W146+W170)),2)</f>
        <v>0</v>
      </c>
      <c r="X199" s="156">
        <f>ROUNDUP(X93*($H67/(Dashboard!$D$15+X122+X146+X170)),2)</f>
        <v>0</v>
      </c>
      <c r="Y199" s="156">
        <f>ROUNDUP(Y93*($H67/(Dashboard!$D$15+Y122+Y146+Y170)),2)</f>
        <v>0</v>
      </c>
      <c r="Z199" s="156">
        <f>ROUNDUP(Z93*($H67/(Dashboard!$D$15+Z122+Z146+Z170)),2)</f>
        <v>0</v>
      </c>
      <c r="AA199" s="156">
        <f>ROUNDUP(AA93*($H67/(Dashboard!$D$15+AA122+AA146+AA170)),2)</f>
        <v>0</v>
      </c>
      <c r="AB199" s="156">
        <f>ROUNDUP(AB93*($H67/(Dashboard!$D$15+AB122+AB146+AB170)),2)</f>
        <v>0</v>
      </c>
      <c r="AC199" s="156">
        <f>ROUNDUP(AC93*($H67/(Dashboard!$D$15+AC122+AC146+AC170)),2)</f>
        <v>0</v>
      </c>
      <c r="AD199" s="156">
        <f>ROUNDUP(AD93*($H67/(Dashboard!$D$15+AD122+AD146+AD170)),2)</f>
        <v>0</v>
      </c>
      <c r="AE199" s="156">
        <f>ROUNDUP(AE93*($H67/(Dashboard!$D$15+AE122+AE146+AE170)),2)</f>
        <v>0</v>
      </c>
      <c r="AF199" s="156">
        <f>ROUNDUP(AF93*($H67/(Dashboard!$D$15+AF122+AF146+AF170)),2)</f>
        <v>0</v>
      </c>
      <c r="AG199" s="156">
        <f>ROUNDUP(AG93*($H67/(Dashboard!$D$15+AG122+AG146+AG170)),2)</f>
        <v>0</v>
      </c>
      <c r="AH199" s="156">
        <f>ROUNDUP(AH93*($H67/(Dashboard!$D$15+AH122+AH146+AH170)),2)</f>
        <v>0</v>
      </c>
      <c r="AI199" s="156">
        <f>ROUNDUP(AI93*($H67/(Dashboard!$D$15+AI122+AI146+AI170)),2)</f>
        <v>0</v>
      </c>
      <c r="AJ199" s="156">
        <f>ROUNDUP(AJ93*($H67/(Dashboard!$D$15+AJ122+AJ146+AJ170)),2)</f>
        <v>0</v>
      </c>
      <c r="AK199" s="156">
        <f>ROUNDUP(AK93*($H67/(Dashboard!$D$15+AK122+AK146+AK170)),2)</f>
        <v>0</v>
      </c>
      <c r="AL199" s="156">
        <f>ROUNDUP(AL93*($H67/(Dashboard!$D$15+AL122+AL146+AL170)),2)</f>
        <v>0</v>
      </c>
      <c r="AM199" s="156">
        <f>ROUNDUP(AM93*($H67/(Dashboard!$D$15+AM122+AM146+AM170)),2)</f>
        <v>0</v>
      </c>
      <c r="AN199" s="156">
        <f>ROUNDUP(AN93*($H67/(Dashboard!$D$15+AN122+AN146+AN170)),2)</f>
        <v>0</v>
      </c>
      <c r="AO199" s="156">
        <f>ROUNDUP(AO93*($H67/(Dashboard!$D$15+AO122+AO146+AO170)),2)</f>
        <v>0</v>
      </c>
      <c r="AP199" s="156">
        <f>ROUNDUP(AP93*($H67/(Dashboard!$D$15+AP122+AP146+AP170)),2)</f>
        <v>0</v>
      </c>
      <c r="AQ199" s="156">
        <f>ROUNDUP(AQ93*($H67/(Dashboard!$D$15+AQ122+AQ146+AQ170)),2)</f>
        <v>0</v>
      </c>
      <c r="AR199" s="156">
        <f>ROUNDUP(AR93*($H67/(Dashboard!$D$15+AR122+AR146+AR170)),2)</f>
        <v>0</v>
      </c>
      <c r="AS199" s="156">
        <f>ROUNDUP(AS93*($H67/(Dashboard!$D$15+AS122+AS146+AS170)),2)</f>
        <v>0</v>
      </c>
      <c r="AT199" s="156">
        <f>ROUNDUP(AT93*($H67/(Dashboard!$D$15+AT122+AT146+AT170)),2)</f>
        <v>0</v>
      </c>
      <c r="AU199" s="156">
        <f>ROUNDUP(AU93*($H67/(Dashboard!$D$15+AU122+AU146+AU170)),2)</f>
        <v>0</v>
      </c>
      <c r="AV199" s="156">
        <f>ROUNDUP(AV93*($H67/(Dashboard!$D$15+AV122+AV146+AV170)),2)</f>
        <v>0</v>
      </c>
      <c r="AW199" s="156">
        <f>ROUNDUP(AW93*($H67/(Dashboard!$D$15+AW122+AW146+AW170)),2)</f>
        <v>0</v>
      </c>
      <c r="AX199" s="156">
        <f>ROUNDUP(AX93*($H67/(Dashboard!$D$15+AX122+AX146+AX170)),2)</f>
        <v>0</v>
      </c>
      <c r="AY199" s="156">
        <f>ROUNDUP(AY93*($H67/(Dashboard!$D$15+AY122+AY146+AY170)),2)</f>
        <v>0</v>
      </c>
      <c r="AZ199" s="156">
        <f>ROUNDUP(AZ93*($H67/(Dashboard!$D$15+AZ122+AZ146+AZ170)),2)</f>
        <v>0</v>
      </c>
      <c r="BA199" s="156">
        <f>ROUNDUP(BA93*($H67/(Dashboard!$D$15+BA122+BA146+BA170)),2)</f>
        <v>0</v>
      </c>
      <c r="BB199" s="156">
        <f>ROUNDUP(BB93*($H67/(Dashboard!$D$15+BB122+BB146+BB170)),2)</f>
        <v>0</v>
      </c>
      <c r="BC199" s="156">
        <f>ROUNDUP(BC93*($H67/(Dashboard!$D$15+BC122+BC146+BC170)),2)</f>
        <v>0</v>
      </c>
      <c r="BD199" s="156">
        <f>ROUNDUP(BD93*($H67/(Dashboard!$D$15+BD122+BD146+BD170)),2)</f>
        <v>0</v>
      </c>
      <c r="BE199" s="156">
        <f>ROUNDUP(BE93*($H67/(Dashboard!$D$15+BE122+BE146+BE170)),2)</f>
        <v>0</v>
      </c>
      <c r="BF199" s="156">
        <f>ROUNDUP(BF93*($H67/(Dashboard!$D$15+BF122+BF146+BF170)),2)</f>
        <v>0</v>
      </c>
      <c r="BG199" s="156">
        <f>ROUNDUP(BG93*($H67/(Dashboard!$D$15+BG122+BG146+BG170)),2)</f>
        <v>0</v>
      </c>
      <c r="BH199" s="156">
        <f>ROUNDUP(BH93*($H67/(Dashboard!$D$15+BH122+BH146+BH170)),2)</f>
        <v>0</v>
      </c>
      <c r="BI199" s="156">
        <f>ROUNDUP(BI93*($H67/(Dashboard!$D$15+BI122+BI146+BI170)),2)</f>
        <v>0</v>
      </c>
      <c r="BJ199" s="156">
        <f>ROUNDUP(BJ93*($H67/(Dashboard!$D$15+BJ122+BJ146+BJ170)),2)</f>
        <v>0</v>
      </c>
      <c r="BK199" s="156">
        <f>ROUNDUP(BK93*($H67/(Dashboard!$D$15+BK122+BK146+BK170)),2)</f>
        <v>0</v>
      </c>
      <c r="BL199" s="156">
        <f>ROUNDUP(BL93*($H67/(Dashboard!$D$15+BL122+BL146+BL170)),2)</f>
        <v>0</v>
      </c>
      <c r="BM199" s="156">
        <f>ROUNDUP(BM93*($H67/(Dashboard!$D$15+BM122+BM146+BM170)),2)</f>
        <v>0</v>
      </c>
      <c r="BN199" s="156">
        <f>ROUNDUP(BN93*($H67/(Dashboard!$D$15+BN122+BN146+BN170)),2)</f>
        <v>0</v>
      </c>
      <c r="BO199" s="156">
        <f>ROUNDUP(BO93*($H67/(Dashboard!$D$15+BO122+BO146+BO170)),2)</f>
        <v>0</v>
      </c>
      <c r="BP199" s="156">
        <f>ROUNDUP(BP93*($H67/(Dashboard!$D$15+BP122+BP146+BP170)),2)</f>
        <v>0</v>
      </c>
      <c r="BQ199" s="156">
        <f>ROUNDUP(BQ93*($H67/(Dashboard!$D$15+BQ122+BQ146+BQ170)),2)</f>
        <v>0</v>
      </c>
      <c r="BR199" s="156">
        <f>ROUNDUP(BR93*($H67/(Dashboard!$D$15+BR122+BR146+BR170)),2)</f>
        <v>0</v>
      </c>
    </row>
    <row r="200" spans="4:70" ht="12" hidden="1" customHeight="1" outlineLevel="1">
      <c r="D200" s="621"/>
      <c r="E200" s="65"/>
      <c r="F200" s="143" t="str">
        <f t="shared" si="256"/>
        <v>Equipe_18</v>
      </c>
      <c r="G200" s="151" t="str">
        <f t="shared" si="256"/>
        <v>Equipe18</v>
      </c>
      <c r="H200" s="155"/>
      <c r="I200" s="146">
        <f t="shared" si="257"/>
        <v>0.02</v>
      </c>
      <c r="J200" s="65"/>
      <c r="K200" s="156">
        <f>ROUNDUP(K94*($H68/(Dashboard!$D$15+K123+K147+K171)),2)</f>
        <v>0.02</v>
      </c>
      <c r="L200" s="156">
        <f>ROUNDUP(L94*($H68/(Dashboard!$D$15+L123+L147+L171)),2)</f>
        <v>0.02</v>
      </c>
      <c r="M200" s="156">
        <f>ROUNDUP(M94*($H68/(Dashboard!$D$15+M123+M147+M171)),2)</f>
        <v>0.02</v>
      </c>
      <c r="N200" s="156">
        <f>ROUNDUP(N94*($H68/(Dashboard!$D$15+N123+N147+N171)),2)</f>
        <v>0.02</v>
      </c>
      <c r="O200" s="156">
        <f>ROUNDUP(O94*($H68/(Dashboard!$D$15+O123+O147+O171)),2)</f>
        <v>0.02</v>
      </c>
      <c r="P200" s="156">
        <f>ROUNDUP(P94*($H68/(Dashboard!$D$15+P123+P147+P171)),2)</f>
        <v>0.02</v>
      </c>
      <c r="Q200" s="156">
        <f>ROUNDUP(Q94*($H68/(Dashboard!$D$15+Q123+Q147+Q171)),2)</f>
        <v>0.02</v>
      </c>
      <c r="R200" s="156">
        <f>ROUNDUP(R94*($H68/(Dashboard!$D$15+R123+R147+R171)),2)</f>
        <v>0.02</v>
      </c>
      <c r="S200" s="156">
        <f>ROUNDUP(S94*($H68/(Dashboard!$D$15+S123+S147+S171)),2)</f>
        <v>0.02</v>
      </c>
      <c r="T200" s="156">
        <f>ROUNDUP(T94*($H68/(Dashboard!$D$15+T123+T147+T171)),2)</f>
        <v>0.02</v>
      </c>
      <c r="U200" s="156">
        <f>ROUNDUP(U94*($H68/(Dashboard!$D$15+U123+U147+U171)),2)</f>
        <v>0</v>
      </c>
      <c r="V200" s="156">
        <f>ROUNDUP(V94*($H68/(Dashboard!$D$15+V123+V147+V171)),2)</f>
        <v>0</v>
      </c>
      <c r="W200" s="156">
        <f>ROUNDUP(W94*($H68/(Dashboard!$D$15+W123+W147+W171)),2)</f>
        <v>0</v>
      </c>
      <c r="X200" s="156">
        <f>ROUNDUP(X94*($H68/(Dashboard!$D$15+X123+X147+X171)),2)</f>
        <v>0</v>
      </c>
      <c r="Y200" s="156">
        <f>ROUNDUP(Y94*($H68/(Dashboard!$D$15+Y123+Y147+Y171)),2)</f>
        <v>0</v>
      </c>
      <c r="Z200" s="156">
        <f>ROUNDUP(Z94*($H68/(Dashboard!$D$15+Z123+Z147+Z171)),2)</f>
        <v>0</v>
      </c>
      <c r="AA200" s="156">
        <f>ROUNDUP(AA94*($H68/(Dashboard!$D$15+AA123+AA147+AA171)),2)</f>
        <v>0</v>
      </c>
      <c r="AB200" s="156">
        <f>ROUNDUP(AB94*($H68/(Dashboard!$D$15+AB123+AB147+AB171)),2)</f>
        <v>0</v>
      </c>
      <c r="AC200" s="156">
        <f>ROUNDUP(AC94*($H68/(Dashboard!$D$15+AC123+AC147+AC171)),2)</f>
        <v>0</v>
      </c>
      <c r="AD200" s="156">
        <f>ROUNDUP(AD94*($H68/(Dashboard!$D$15+AD123+AD147+AD171)),2)</f>
        <v>0</v>
      </c>
      <c r="AE200" s="156">
        <f>ROUNDUP(AE94*($H68/(Dashboard!$D$15+AE123+AE147+AE171)),2)</f>
        <v>0</v>
      </c>
      <c r="AF200" s="156">
        <f>ROUNDUP(AF94*($H68/(Dashboard!$D$15+AF123+AF147+AF171)),2)</f>
        <v>0</v>
      </c>
      <c r="AG200" s="156">
        <f>ROUNDUP(AG94*($H68/(Dashboard!$D$15+AG123+AG147+AG171)),2)</f>
        <v>0</v>
      </c>
      <c r="AH200" s="156">
        <f>ROUNDUP(AH94*($H68/(Dashboard!$D$15+AH123+AH147+AH171)),2)</f>
        <v>0</v>
      </c>
      <c r="AI200" s="156">
        <f>ROUNDUP(AI94*($H68/(Dashboard!$D$15+AI123+AI147+AI171)),2)</f>
        <v>0</v>
      </c>
      <c r="AJ200" s="156">
        <f>ROUNDUP(AJ94*($H68/(Dashboard!$D$15+AJ123+AJ147+AJ171)),2)</f>
        <v>0</v>
      </c>
      <c r="AK200" s="156">
        <f>ROUNDUP(AK94*($H68/(Dashboard!$D$15+AK123+AK147+AK171)),2)</f>
        <v>0</v>
      </c>
      <c r="AL200" s="156">
        <f>ROUNDUP(AL94*($H68/(Dashboard!$D$15+AL123+AL147+AL171)),2)</f>
        <v>0</v>
      </c>
      <c r="AM200" s="156">
        <f>ROUNDUP(AM94*($H68/(Dashboard!$D$15+AM123+AM147+AM171)),2)</f>
        <v>0</v>
      </c>
      <c r="AN200" s="156">
        <f>ROUNDUP(AN94*($H68/(Dashboard!$D$15+AN123+AN147+AN171)),2)</f>
        <v>0</v>
      </c>
      <c r="AO200" s="156">
        <f>ROUNDUP(AO94*($H68/(Dashboard!$D$15+AO123+AO147+AO171)),2)</f>
        <v>0</v>
      </c>
      <c r="AP200" s="156">
        <f>ROUNDUP(AP94*($H68/(Dashboard!$D$15+AP123+AP147+AP171)),2)</f>
        <v>0</v>
      </c>
      <c r="AQ200" s="156">
        <f>ROUNDUP(AQ94*($H68/(Dashboard!$D$15+AQ123+AQ147+AQ171)),2)</f>
        <v>0</v>
      </c>
      <c r="AR200" s="156">
        <f>ROUNDUP(AR94*($H68/(Dashboard!$D$15+AR123+AR147+AR171)),2)</f>
        <v>0</v>
      </c>
      <c r="AS200" s="156">
        <f>ROUNDUP(AS94*($H68/(Dashboard!$D$15+AS123+AS147+AS171)),2)</f>
        <v>0</v>
      </c>
      <c r="AT200" s="156">
        <f>ROUNDUP(AT94*($H68/(Dashboard!$D$15+AT123+AT147+AT171)),2)</f>
        <v>0</v>
      </c>
      <c r="AU200" s="156">
        <f>ROUNDUP(AU94*($H68/(Dashboard!$D$15+AU123+AU147+AU171)),2)</f>
        <v>0</v>
      </c>
      <c r="AV200" s="156">
        <f>ROUNDUP(AV94*($H68/(Dashboard!$D$15+AV123+AV147+AV171)),2)</f>
        <v>0</v>
      </c>
      <c r="AW200" s="156">
        <f>ROUNDUP(AW94*($H68/(Dashboard!$D$15+AW123+AW147+AW171)),2)</f>
        <v>0</v>
      </c>
      <c r="AX200" s="156">
        <f>ROUNDUP(AX94*($H68/(Dashboard!$D$15+AX123+AX147+AX171)),2)</f>
        <v>0</v>
      </c>
      <c r="AY200" s="156">
        <f>ROUNDUP(AY94*($H68/(Dashboard!$D$15+AY123+AY147+AY171)),2)</f>
        <v>0</v>
      </c>
      <c r="AZ200" s="156">
        <f>ROUNDUP(AZ94*($H68/(Dashboard!$D$15+AZ123+AZ147+AZ171)),2)</f>
        <v>0</v>
      </c>
      <c r="BA200" s="156">
        <f>ROUNDUP(BA94*($H68/(Dashboard!$D$15+BA123+BA147+BA171)),2)</f>
        <v>0</v>
      </c>
      <c r="BB200" s="156">
        <f>ROUNDUP(BB94*($H68/(Dashboard!$D$15+BB123+BB147+BB171)),2)</f>
        <v>0</v>
      </c>
      <c r="BC200" s="156">
        <f>ROUNDUP(BC94*($H68/(Dashboard!$D$15+BC123+BC147+BC171)),2)</f>
        <v>0</v>
      </c>
      <c r="BD200" s="156">
        <f>ROUNDUP(BD94*($H68/(Dashboard!$D$15+BD123+BD147+BD171)),2)</f>
        <v>0</v>
      </c>
      <c r="BE200" s="156">
        <f>ROUNDUP(BE94*($H68/(Dashboard!$D$15+BE123+BE147+BE171)),2)</f>
        <v>0</v>
      </c>
      <c r="BF200" s="156">
        <f>ROUNDUP(BF94*($H68/(Dashboard!$D$15+BF123+BF147+BF171)),2)</f>
        <v>0</v>
      </c>
      <c r="BG200" s="156">
        <f>ROUNDUP(BG94*($H68/(Dashboard!$D$15+BG123+BG147+BG171)),2)</f>
        <v>0</v>
      </c>
      <c r="BH200" s="156">
        <f>ROUNDUP(BH94*($H68/(Dashboard!$D$15+BH123+BH147+BH171)),2)</f>
        <v>0</v>
      </c>
      <c r="BI200" s="156">
        <f>ROUNDUP(BI94*($H68/(Dashboard!$D$15+BI123+BI147+BI171)),2)</f>
        <v>0</v>
      </c>
      <c r="BJ200" s="156">
        <f>ROUNDUP(BJ94*($H68/(Dashboard!$D$15+BJ123+BJ147+BJ171)),2)</f>
        <v>0</v>
      </c>
      <c r="BK200" s="156">
        <f>ROUNDUP(BK94*($H68/(Dashboard!$D$15+BK123+BK147+BK171)),2)</f>
        <v>0</v>
      </c>
      <c r="BL200" s="156">
        <f>ROUNDUP(BL94*($H68/(Dashboard!$D$15+BL123+BL147+BL171)),2)</f>
        <v>0</v>
      </c>
      <c r="BM200" s="156">
        <f>ROUNDUP(BM94*($H68/(Dashboard!$D$15+BM123+BM147+BM171)),2)</f>
        <v>0</v>
      </c>
      <c r="BN200" s="156">
        <f>ROUNDUP(BN94*($H68/(Dashboard!$D$15+BN123+BN147+BN171)),2)</f>
        <v>0</v>
      </c>
      <c r="BO200" s="156">
        <f>ROUNDUP(BO94*($H68/(Dashboard!$D$15+BO123+BO147+BO171)),2)</f>
        <v>0</v>
      </c>
      <c r="BP200" s="156">
        <f>ROUNDUP(BP94*($H68/(Dashboard!$D$15+BP123+BP147+BP171)),2)</f>
        <v>0</v>
      </c>
      <c r="BQ200" s="156">
        <f>ROUNDUP(BQ94*($H68/(Dashboard!$D$15+BQ123+BQ147+BQ171)),2)</f>
        <v>0</v>
      </c>
      <c r="BR200" s="156">
        <f>ROUNDUP(BR94*($H68/(Dashboard!$D$15+BR123+BR147+BR171)),2)</f>
        <v>0</v>
      </c>
    </row>
    <row r="201" spans="4:70" ht="12" hidden="1" customHeight="1" outlineLevel="1">
      <c r="D201" s="621"/>
      <c r="E201" s="65"/>
      <c r="F201" s="143" t="str">
        <f t="shared" si="256"/>
        <v>Equipe_19</v>
      </c>
      <c r="G201" s="151" t="str">
        <f t="shared" si="256"/>
        <v>Equipe19</v>
      </c>
      <c r="H201" s="155"/>
      <c r="I201" s="146">
        <f t="shared" si="257"/>
        <v>0.05</v>
      </c>
      <c r="J201" s="65"/>
      <c r="K201" s="156">
        <f>ROUNDUP(K95*($H69/(Dashboard!$D$15+K124+K148+K172)),2)</f>
        <v>0.05</v>
      </c>
      <c r="L201" s="156">
        <f>ROUNDUP(L95*($H69/(Dashboard!$D$15+L124+L148+L172)),2)</f>
        <v>0.05</v>
      </c>
      <c r="M201" s="156">
        <f>ROUNDUP(M95*($H69/(Dashboard!$D$15+M124+M148+M172)),2)</f>
        <v>0.05</v>
      </c>
      <c r="N201" s="156">
        <f>ROUNDUP(N95*($H69/(Dashboard!$D$15+N124+N148+N172)),2)</f>
        <v>0.05</v>
      </c>
      <c r="O201" s="156">
        <f>ROUNDUP(O95*($H69/(Dashboard!$D$15+O124+O148+O172)),2)</f>
        <v>0.05</v>
      </c>
      <c r="P201" s="156">
        <f>ROUNDUP(P95*($H69/(Dashboard!$D$15+P124+P148+P172)),2)</f>
        <v>0.05</v>
      </c>
      <c r="Q201" s="156">
        <f>ROUNDUP(Q95*($H69/(Dashboard!$D$15+Q124+Q148+Q172)),2)</f>
        <v>0.05</v>
      </c>
      <c r="R201" s="156">
        <f>ROUNDUP(R95*($H69/(Dashboard!$D$15+R124+R148+R172)),2)</f>
        <v>0.05</v>
      </c>
      <c r="S201" s="156">
        <f>ROUNDUP(S95*($H69/(Dashboard!$D$15+S124+S148+S172)),2)</f>
        <v>0.05</v>
      </c>
      <c r="T201" s="156">
        <f>ROUNDUP(T95*($H69/(Dashboard!$D$15+T124+T148+T172)),2)</f>
        <v>0.05</v>
      </c>
      <c r="U201" s="156">
        <f>ROUNDUP(U95*($H69/(Dashboard!$D$15+U124+U148+U172)),2)</f>
        <v>0</v>
      </c>
      <c r="V201" s="156">
        <f>ROUNDUP(V95*($H69/(Dashboard!$D$15+V124+V148+V172)),2)</f>
        <v>0</v>
      </c>
      <c r="W201" s="156">
        <f>ROUNDUP(W95*($H69/(Dashboard!$D$15+W124+W148+W172)),2)</f>
        <v>0</v>
      </c>
      <c r="X201" s="156">
        <f>ROUNDUP(X95*($H69/(Dashboard!$D$15+X124+X148+X172)),2)</f>
        <v>0</v>
      </c>
      <c r="Y201" s="156">
        <f>ROUNDUP(Y95*($H69/(Dashboard!$D$15+Y124+Y148+Y172)),2)</f>
        <v>0</v>
      </c>
      <c r="Z201" s="156">
        <f>ROUNDUP(Z95*($H69/(Dashboard!$D$15+Z124+Z148+Z172)),2)</f>
        <v>0</v>
      </c>
      <c r="AA201" s="156">
        <f>ROUNDUP(AA95*($H69/(Dashboard!$D$15+AA124+AA148+AA172)),2)</f>
        <v>0</v>
      </c>
      <c r="AB201" s="156">
        <f>ROUNDUP(AB95*($H69/(Dashboard!$D$15+AB124+AB148+AB172)),2)</f>
        <v>0</v>
      </c>
      <c r="AC201" s="156">
        <f>ROUNDUP(AC95*($H69/(Dashboard!$D$15+AC124+AC148+AC172)),2)</f>
        <v>0</v>
      </c>
      <c r="AD201" s="156">
        <f>ROUNDUP(AD95*($H69/(Dashboard!$D$15+AD124+AD148+AD172)),2)</f>
        <v>0</v>
      </c>
      <c r="AE201" s="156">
        <f>ROUNDUP(AE95*($H69/(Dashboard!$D$15+AE124+AE148+AE172)),2)</f>
        <v>0</v>
      </c>
      <c r="AF201" s="156">
        <f>ROUNDUP(AF95*($H69/(Dashboard!$D$15+AF124+AF148+AF172)),2)</f>
        <v>0</v>
      </c>
      <c r="AG201" s="156">
        <f>ROUNDUP(AG95*($H69/(Dashboard!$D$15+AG124+AG148+AG172)),2)</f>
        <v>0</v>
      </c>
      <c r="AH201" s="156">
        <f>ROUNDUP(AH95*($H69/(Dashboard!$D$15+AH124+AH148+AH172)),2)</f>
        <v>0</v>
      </c>
      <c r="AI201" s="156">
        <f>ROUNDUP(AI95*($H69/(Dashboard!$D$15+AI124+AI148+AI172)),2)</f>
        <v>0</v>
      </c>
      <c r="AJ201" s="156">
        <f>ROUNDUP(AJ95*($H69/(Dashboard!$D$15+AJ124+AJ148+AJ172)),2)</f>
        <v>0</v>
      </c>
      <c r="AK201" s="156">
        <f>ROUNDUP(AK95*($H69/(Dashboard!$D$15+AK124+AK148+AK172)),2)</f>
        <v>0</v>
      </c>
      <c r="AL201" s="156">
        <f>ROUNDUP(AL95*($H69/(Dashboard!$D$15+AL124+AL148+AL172)),2)</f>
        <v>0</v>
      </c>
      <c r="AM201" s="156">
        <f>ROUNDUP(AM95*($H69/(Dashboard!$D$15+AM124+AM148+AM172)),2)</f>
        <v>0</v>
      </c>
      <c r="AN201" s="156">
        <f>ROUNDUP(AN95*($H69/(Dashboard!$D$15+AN124+AN148+AN172)),2)</f>
        <v>0</v>
      </c>
      <c r="AO201" s="156">
        <f>ROUNDUP(AO95*($H69/(Dashboard!$D$15+AO124+AO148+AO172)),2)</f>
        <v>0</v>
      </c>
      <c r="AP201" s="156">
        <f>ROUNDUP(AP95*($H69/(Dashboard!$D$15+AP124+AP148+AP172)),2)</f>
        <v>0</v>
      </c>
      <c r="AQ201" s="156">
        <f>ROUNDUP(AQ95*($H69/(Dashboard!$D$15+AQ124+AQ148+AQ172)),2)</f>
        <v>0</v>
      </c>
      <c r="AR201" s="156">
        <f>ROUNDUP(AR95*($H69/(Dashboard!$D$15+AR124+AR148+AR172)),2)</f>
        <v>0</v>
      </c>
      <c r="AS201" s="156">
        <f>ROUNDUP(AS95*($H69/(Dashboard!$D$15+AS124+AS148+AS172)),2)</f>
        <v>0</v>
      </c>
      <c r="AT201" s="156">
        <f>ROUNDUP(AT95*($H69/(Dashboard!$D$15+AT124+AT148+AT172)),2)</f>
        <v>0</v>
      </c>
      <c r="AU201" s="156">
        <f>ROUNDUP(AU95*($H69/(Dashboard!$D$15+AU124+AU148+AU172)),2)</f>
        <v>0</v>
      </c>
      <c r="AV201" s="156">
        <f>ROUNDUP(AV95*($H69/(Dashboard!$D$15+AV124+AV148+AV172)),2)</f>
        <v>0</v>
      </c>
      <c r="AW201" s="156">
        <f>ROUNDUP(AW95*($H69/(Dashboard!$D$15+AW124+AW148+AW172)),2)</f>
        <v>0</v>
      </c>
      <c r="AX201" s="156">
        <f>ROUNDUP(AX95*($H69/(Dashboard!$D$15+AX124+AX148+AX172)),2)</f>
        <v>0</v>
      </c>
      <c r="AY201" s="156">
        <f>ROUNDUP(AY95*($H69/(Dashboard!$D$15+AY124+AY148+AY172)),2)</f>
        <v>0</v>
      </c>
      <c r="AZ201" s="156">
        <f>ROUNDUP(AZ95*($H69/(Dashboard!$D$15+AZ124+AZ148+AZ172)),2)</f>
        <v>0</v>
      </c>
      <c r="BA201" s="156">
        <f>ROUNDUP(BA95*($H69/(Dashboard!$D$15+BA124+BA148+BA172)),2)</f>
        <v>0</v>
      </c>
      <c r="BB201" s="156">
        <f>ROUNDUP(BB95*($H69/(Dashboard!$D$15+BB124+BB148+BB172)),2)</f>
        <v>0</v>
      </c>
      <c r="BC201" s="156">
        <f>ROUNDUP(BC95*($H69/(Dashboard!$D$15+BC124+BC148+BC172)),2)</f>
        <v>0</v>
      </c>
      <c r="BD201" s="156">
        <f>ROUNDUP(BD95*($H69/(Dashboard!$D$15+BD124+BD148+BD172)),2)</f>
        <v>0</v>
      </c>
      <c r="BE201" s="156">
        <f>ROUNDUP(BE95*($H69/(Dashboard!$D$15+BE124+BE148+BE172)),2)</f>
        <v>0</v>
      </c>
      <c r="BF201" s="156">
        <f>ROUNDUP(BF95*($H69/(Dashboard!$D$15+BF124+BF148+BF172)),2)</f>
        <v>0</v>
      </c>
      <c r="BG201" s="156">
        <f>ROUNDUP(BG95*($H69/(Dashboard!$D$15+BG124+BG148+BG172)),2)</f>
        <v>0</v>
      </c>
      <c r="BH201" s="156">
        <f>ROUNDUP(BH95*($H69/(Dashboard!$D$15+BH124+BH148+BH172)),2)</f>
        <v>0</v>
      </c>
      <c r="BI201" s="156">
        <f>ROUNDUP(BI95*($H69/(Dashboard!$D$15+BI124+BI148+BI172)),2)</f>
        <v>0</v>
      </c>
      <c r="BJ201" s="156">
        <f>ROUNDUP(BJ95*($H69/(Dashboard!$D$15+BJ124+BJ148+BJ172)),2)</f>
        <v>0</v>
      </c>
      <c r="BK201" s="156">
        <f>ROUNDUP(BK95*($H69/(Dashboard!$D$15+BK124+BK148+BK172)),2)</f>
        <v>0</v>
      </c>
      <c r="BL201" s="156">
        <f>ROUNDUP(BL95*($H69/(Dashboard!$D$15+BL124+BL148+BL172)),2)</f>
        <v>0</v>
      </c>
      <c r="BM201" s="156">
        <f>ROUNDUP(BM95*($H69/(Dashboard!$D$15+BM124+BM148+BM172)),2)</f>
        <v>0</v>
      </c>
      <c r="BN201" s="156">
        <f>ROUNDUP(BN95*($H69/(Dashboard!$D$15+BN124+BN148+BN172)),2)</f>
        <v>0</v>
      </c>
      <c r="BO201" s="156">
        <f>ROUNDUP(BO95*($H69/(Dashboard!$D$15+BO124+BO148+BO172)),2)</f>
        <v>0</v>
      </c>
      <c r="BP201" s="156">
        <f>ROUNDUP(BP95*($H69/(Dashboard!$D$15+BP124+BP148+BP172)),2)</f>
        <v>0</v>
      </c>
      <c r="BQ201" s="156">
        <f>ROUNDUP(BQ95*($H69/(Dashboard!$D$15+BQ124+BQ148+BQ172)),2)</f>
        <v>0</v>
      </c>
      <c r="BR201" s="156">
        <f>ROUNDUP(BR95*($H69/(Dashboard!$D$15+BR124+BR148+BR172)),2)</f>
        <v>0</v>
      </c>
    </row>
    <row r="202" spans="4:70" ht="12" hidden="1" customHeight="1" outlineLevel="1">
      <c r="D202" s="624"/>
      <c r="E202" s="65"/>
      <c r="F202" s="143" t="str">
        <f t="shared" si="256"/>
        <v>Equipe_20</v>
      </c>
      <c r="G202" s="151" t="str">
        <f t="shared" si="256"/>
        <v>Equipe20</v>
      </c>
      <c r="H202" s="155"/>
      <c r="I202" s="146">
        <f t="shared" si="257"/>
        <v>0.11</v>
      </c>
      <c r="J202" s="65"/>
      <c r="K202" s="156">
        <f>ROUNDUP(K96*($H70/(Dashboard!$D$15+K125+K149+K173)),2)</f>
        <v>0.11</v>
      </c>
      <c r="L202" s="156">
        <f>ROUNDUP(L96*($H70/(Dashboard!$D$15+L125+L149+L173)),2)</f>
        <v>0.11</v>
      </c>
      <c r="M202" s="156">
        <f>ROUNDUP(M96*($H70/(Dashboard!$D$15+M125+M149+M173)),2)</f>
        <v>0.11</v>
      </c>
      <c r="N202" s="156">
        <f>ROUNDUP(N96*($H70/(Dashboard!$D$15+N125+N149+N173)),2)</f>
        <v>0.11</v>
      </c>
      <c r="O202" s="156">
        <f>ROUNDUP(O96*($H70/(Dashboard!$D$15+O125+O149+O173)),2)</f>
        <v>0.11</v>
      </c>
      <c r="P202" s="156">
        <f>ROUNDUP(P96*($H70/(Dashboard!$D$15+P125+P149+P173)),2)</f>
        <v>0.11</v>
      </c>
      <c r="Q202" s="156">
        <f>ROUNDUP(Q96*($H70/(Dashboard!$D$15+Q125+Q149+Q173)),2)</f>
        <v>0.11</v>
      </c>
      <c r="R202" s="156">
        <f>ROUNDUP(R96*($H70/(Dashboard!$D$15+R125+R149+R173)),2)</f>
        <v>0.11</v>
      </c>
      <c r="S202" s="156">
        <f>ROUNDUP(S96*($H70/(Dashboard!$D$15+S125+S149+S173)),2)</f>
        <v>0.11</v>
      </c>
      <c r="T202" s="156">
        <f>ROUNDUP(T96*($H70/(Dashboard!$D$15+T125+T149+T173)),2)</f>
        <v>0.11</v>
      </c>
      <c r="U202" s="156">
        <f>ROUNDUP(U96*($H70/(Dashboard!$D$15+U125+U149+U173)),2)</f>
        <v>0</v>
      </c>
      <c r="V202" s="156">
        <f>ROUNDUP(V96*($H70/(Dashboard!$D$15+V125+V149+V173)),2)</f>
        <v>0</v>
      </c>
      <c r="W202" s="156">
        <f>ROUNDUP(W96*($H70/(Dashboard!$D$15+W125+W149+W173)),2)</f>
        <v>0</v>
      </c>
      <c r="X202" s="156">
        <f>ROUNDUP(X96*($H70/(Dashboard!$D$15+X125+X149+X173)),2)</f>
        <v>0</v>
      </c>
      <c r="Y202" s="156">
        <f>ROUNDUP(Y96*($H70/(Dashboard!$D$15+Y125+Y149+Y173)),2)</f>
        <v>0</v>
      </c>
      <c r="Z202" s="156">
        <f>ROUNDUP(Z96*($H70/(Dashboard!$D$15+Z125+Z149+Z173)),2)</f>
        <v>0</v>
      </c>
      <c r="AA202" s="156">
        <f>ROUNDUP(AA96*($H70/(Dashboard!$D$15+AA125+AA149+AA173)),2)</f>
        <v>0</v>
      </c>
      <c r="AB202" s="156">
        <f>ROUNDUP(AB96*($H70/(Dashboard!$D$15+AB125+AB149+AB173)),2)</f>
        <v>0</v>
      </c>
      <c r="AC202" s="156">
        <f>ROUNDUP(AC96*($H70/(Dashboard!$D$15+AC125+AC149+AC173)),2)</f>
        <v>0</v>
      </c>
      <c r="AD202" s="156">
        <f>ROUNDUP(AD96*($H70/(Dashboard!$D$15+AD125+AD149+AD173)),2)</f>
        <v>0</v>
      </c>
      <c r="AE202" s="156">
        <f>ROUNDUP(AE96*($H70/(Dashboard!$D$15+AE125+AE149+AE173)),2)</f>
        <v>0</v>
      </c>
      <c r="AF202" s="156">
        <f>ROUNDUP(AF96*($H70/(Dashboard!$D$15+AF125+AF149+AF173)),2)</f>
        <v>0</v>
      </c>
      <c r="AG202" s="156">
        <f>ROUNDUP(AG96*($H70/(Dashboard!$D$15+AG125+AG149+AG173)),2)</f>
        <v>0</v>
      </c>
      <c r="AH202" s="156">
        <f>ROUNDUP(AH96*($H70/(Dashboard!$D$15+AH125+AH149+AH173)),2)</f>
        <v>0</v>
      </c>
      <c r="AI202" s="156">
        <f>ROUNDUP(AI96*($H70/(Dashboard!$D$15+AI125+AI149+AI173)),2)</f>
        <v>0</v>
      </c>
      <c r="AJ202" s="156">
        <f>ROUNDUP(AJ96*($H70/(Dashboard!$D$15+AJ125+AJ149+AJ173)),2)</f>
        <v>0</v>
      </c>
      <c r="AK202" s="156">
        <f>ROUNDUP(AK96*($H70/(Dashboard!$D$15+AK125+AK149+AK173)),2)</f>
        <v>0</v>
      </c>
      <c r="AL202" s="156">
        <f>ROUNDUP(AL96*($H70/(Dashboard!$D$15+AL125+AL149+AL173)),2)</f>
        <v>0</v>
      </c>
      <c r="AM202" s="156">
        <f>ROUNDUP(AM96*($H70/(Dashboard!$D$15+AM125+AM149+AM173)),2)</f>
        <v>0</v>
      </c>
      <c r="AN202" s="156">
        <f>ROUNDUP(AN96*($H70/(Dashboard!$D$15+AN125+AN149+AN173)),2)</f>
        <v>0</v>
      </c>
      <c r="AO202" s="156">
        <f>ROUNDUP(AO96*($H70/(Dashboard!$D$15+AO125+AO149+AO173)),2)</f>
        <v>0</v>
      </c>
      <c r="AP202" s="156">
        <f>ROUNDUP(AP96*($H70/(Dashboard!$D$15+AP125+AP149+AP173)),2)</f>
        <v>0</v>
      </c>
      <c r="AQ202" s="156">
        <f>ROUNDUP(AQ96*($H70/(Dashboard!$D$15+AQ125+AQ149+AQ173)),2)</f>
        <v>0</v>
      </c>
      <c r="AR202" s="156">
        <f>ROUNDUP(AR96*($H70/(Dashboard!$D$15+AR125+AR149+AR173)),2)</f>
        <v>0</v>
      </c>
      <c r="AS202" s="156">
        <f>ROUNDUP(AS96*($H70/(Dashboard!$D$15+AS125+AS149+AS173)),2)</f>
        <v>0</v>
      </c>
      <c r="AT202" s="156">
        <f>ROUNDUP(AT96*($H70/(Dashboard!$D$15+AT125+AT149+AT173)),2)</f>
        <v>0</v>
      </c>
      <c r="AU202" s="156">
        <f>ROUNDUP(AU96*($H70/(Dashboard!$D$15+AU125+AU149+AU173)),2)</f>
        <v>0</v>
      </c>
      <c r="AV202" s="156">
        <f>ROUNDUP(AV96*($H70/(Dashboard!$D$15+AV125+AV149+AV173)),2)</f>
        <v>0</v>
      </c>
      <c r="AW202" s="156">
        <f>ROUNDUP(AW96*($H70/(Dashboard!$D$15+AW125+AW149+AW173)),2)</f>
        <v>0</v>
      </c>
      <c r="AX202" s="156">
        <f>ROUNDUP(AX96*($H70/(Dashboard!$D$15+AX125+AX149+AX173)),2)</f>
        <v>0</v>
      </c>
      <c r="AY202" s="156">
        <f>ROUNDUP(AY96*($H70/(Dashboard!$D$15+AY125+AY149+AY173)),2)</f>
        <v>0</v>
      </c>
      <c r="AZ202" s="156">
        <f>ROUNDUP(AZ96*($H70/(Dashboard!$D$15+AZ125+AZ149+AZ173)),2)</f>
        <v>0</v>
      </c>
      <c r="BA202" s="156">
        <f>ROUNDUP(BA96*($H70/(Dashboard!$D$15+BA125+BA149+BA173)),2)</f>
        <v>0</v>
      </c>
      <c r="BB202" s="156">
        <f>ROUNDUP(BB96*($H70/(Dashboard!$D$15+BB125+BB149+BB173)),2)</f>
        <v>0</v>
      </c>
      <c r="BC202" s="156">
        <f>ROUNDUP(BC96*($H70/(Dashboard!$D$15+BC125+BC149+BC173)),2)</f>
        <v>0</v>
      </c>
      <c r="BD202" s="156">
        <f>ROUNDUP(BD96*($H70/(Dashboard!$D$15+BD125+BD149+BD173)),2)</f>
        <v>0</v>
      </c>
      <c r="BE202" s="156">
        <f>ROUNDUP(BE96*($H70/(Dashboard!$D$15+BE125+BE149+BE173)),2)</f>
        <v>0</v>
      </c>
      <c r="BF202" s="156">
        <f>ROUNDUP(BF96*($H70/(Dashboard!$D$15+BF125+BF149+BF173)),2)</f>
        <v>0</v>
      </c>
      <c r="BG202" s="156">
        <f>ROUNDUP(BG96*($H70/(Dashboard!$D$15+BG125+BG149+BG173)),2)</f>
        <v>0</v>
      </c>
      <c r="BH202" s="156">
        <f>ROUNDUP(BH96*($H70/(Dashboard!$D$15+BH125+BH149+BH173)),2)</f>
        <v>0</v>
      </c>
      <c r="BI202" s="156">
        <f>ROUNDUP(BI96*($H70/(Dashboard!$D$15+BI125+BI149+BI173)),2)</f>
        <v>0</v>
      </c>
      <c r="BJ202" s="156">
        <f>ROUNDUP(BJ96*($H70/(Dashboard!$D$15+BJ125+BJ149+BJ173)),2)</f>
        <v>0</v>
      </c>
      <c r="BK202" s="156">
        <f>ROUNDUP(BK96*($H70/(Dashboard!$D$15+BK125+BK149+BK173)),2)</f>
        <v>0</v>
      </c>
      <c r="BL202" s="156">
        <f>ROUNDUP(BL96*($H70/(Dashboard!$D$15+BL125+BL149+BL173)),2)</f>
        <v>0</v>
      </c>
      <c r="BM202" s="156">
        <f>ROUNDUP(BM96*($H70/(Dashboard!$D$15+BM125+BM149+BM173)),2)</f>
        <v>0</v>
      </c>
      <c r="BN202" s="156">
        <f>ROUNDUP(BN96*($H70/(Dashboard!$D$15+BN125+BN149+BN173)),2)</f>
        <v>0</v>
      </c>
      <c r="BO202" s="156">
        <f>ROUNDUP(BO96*($H70/(Dashboard!$D$15+BO125+BO149+BO173)),2)</f>
        <v>0</v>
      </c>
      <c r="BP202" s="156">
        <f>ROUNDUP(BP96*($H70/(Dashboard!$D$15+BP125+BP149+BP173)),2)</f>
        <v>0</v>
      </c>
      <c r="BQ202" s="156">
        <f>ROUNDUP(BQ96*($H70/(Dashboard!$D$15+BQ125+BQ149+BQ173)),2)</f>
        <v>0</v>
      </c>
      <c r="BR202" s="156">
        <f>ROUNDUP(BR96*($H70/(Dashboard!$D$15+BR125+BR149+BR173)),2)</f>
        <v>0</v>
      </c>
    </row>
    <row r="203" spans="4:70" ht="24" customHeight="1">
      <c r="D203" s="65"/>
      <c r="E203" s="65"/>
      <c r="F203" s="614" t="s">
        <v>391</v>
      </c>
      <c r="G203" s="614"/>
      <c r="H203" s="614"/>
      <c r="I203" s="146">
        <f t="shared" si="257"/>
        <v>4.2699999999999996</v>
      </c>
      <c r="J203" s="65"/>
      <c r="K203" s="146">
        <f t="shared" ref="K203:AB203" si="258">SUM(K183:K202)</f>
        <v>4.2699999999999996</v>
      </c>
      <c r="L203" s="146">
        <f t="shared" si="258"/>
        <v>4.2699999999999996</v>
      </c>
      <c r="M203" s="146">
        <f t="shared" si="258"/>
        <v>4.2699999999999996</v>
      </c>
      <c r="N203" s="146">
        <f t="shared" si="258"/>
        <v>4.2699999999999996</v>
      </c>
      <c r="O203" s="146">
        <f t="shared" si="258"/>
        <v>4.2699999999999996</v>
      </c>
      <c r="P203" s="146">
        <f t="shared" si="258"/>
        <v>4.2699999999999996</v>
      </c>
      <c r="Q203" s="146">
        <f t="shared" si="258"/>
        <v>4.2699999999999996</v>
      </c>
      <c r="R203" s="146">
        <f t="shared" si="258"/>
        <v>4.2699999999999996</v>
      </c>
      <c r="S203" s="146">
        <f t="shared" si="258"/>
        <v>4.2699999999999996</v>
      </c>
      <c r="T203" s="146">
        <f t="shared" si="258"/>
        <v>4.2699999999999996</v>
      </c>
      <c r="U203" s="146">
        <f t="shared" si="258"/>
        <v>0</v>
      </c>
      <c r="V203" s="146">
        <f t="shared" si="258"/>
        <v>0</v>
      </c>
      <c r="W203" s="146">
        <f t="shared" si="258"/>
        <v>0</v>
      </c>
      <c r="X203" s="146">
        <f t="shared" si="258"/>
        <v>0</v>
      </c>
      <c r="Y203" s="146">
        <f t="shared" si="258"/>
        <v>0</v>
      </c>
      <c r="Z203" s="146">
        <f t="shared" si="258"/>
        <v>0</v>
      </c>
      <c r="AA203" s="146">
        <f t="shared" si="258"/>
        <v>0</v>
      </c>
      <c r="AB203" s="146">
        <f t="shared" si="258"/>
        <v>0</v>
      </c>
      <c r="AC203" s="146">
        <f t="shared" ref="AC203:AS203" si="259">SUM(AC183:AC202)</f>
        <v>0</v>
      </c>
      <c r="AD203" s="146">
        <f t="shared" si="259"/>
        <v>0</v>
      </c>
      <c r="AE203" s="146">
        <f t="shared" si="259"/>
        <v>0</v>
      </c>
      <c r="AF203" s="146">
        <f t="shared" si="259"/>
        <v>0</v>
      </c>
      <c r="AG203" s="146">
        <f t="shared" si="259"/>
        <v>0</v>
      </c>
      <c r="AH203" s="146">
        <f t="shared" si="259"/>
        <v>0</v>
      </c>
      <c r="AI203" s="146">
        <f t="shared" si="259"/>
        <v>0</v>
      </c>
      <c r="AJ203" s="146">
        <f t="shared" si="259"/>
        <v>0</v>
      </c>
      <c r="AK203" s="146">
        <f t="shared" si="259"/>
        <v>0</v>
      </c>
      <c r="AL203" s="146">
        <f t="shared" si="259"/>
        <v>0</v>
      </c>
      <c r="AM203" s="146">
        <f t="shared" si="259"/>
        <v>0</v>
      </c>
      <c r="AN203" s="146">
        <f t="shared" si="259"/>
        <v>0</v>
      </c>
      <c r="AO203" s="146">
        <f t="shared" si="259"/>
        <v>0</v>
      </c>
      <c r="AP203" s="146">
        <f t="shared" si="259"/>
        <v>0</v>
      </c>
      <c r="AQ203" s="146">
        <f t="shared" si="259"/>
        <v>0</v>
      </c>
      <c r="AR203" s="146">
        <f t="shared" si="259"/>
        <v>0</v>
      </c>
      <c r="AS203" s="146">
        <f t="shared" si="259"/>
        <v>0</v>
      </c>
      <c r="AT203" s="146">
        <f t="shared" ref="AT203:BR203" si="260">SUM(AT183:AT202)</f>
        <v>0</v>
      </c>
      <c r="AU203" s="146">
        <f t="shared" si="260"/>
        <v>0</v>
      </c>
      <c r="AV203" s="146">
        <f t="shared" si="260"/>
        <v>0</v>
      </c>
      <c r="AW203" s="146">
        <f t="shared" si="260"/>
        <v>0</v>
      </c>
      <c r="AX203" s="146">
        <f t="shared" si="260"/>
        <v>0</v>
      </c>
      <c r="AY203" s="146">
        <f t="shared" si="260"/>
        <v>0</v>
      </c>
      <c r="AZ203" s="146">
        <f t="shared" si="260"/>
        <v>0</v>
      </c>
      <c r="BA203" s="146">
        <f t="shared" si="260"/>
        <v>0</v>
      </c>
      <c r="BB203" s="146">
        <f t="shared" si="260"/>
        <v>0</v>
      </c>
      <c r="BC203" s="146">
        <f t="shared" si="260"/>
        <v>0</v>
      </c>
      <c r="BD203" s="146">
        <f t="shared" si="260"/>
        <v>0</v>
      </c>
      <c r="BE203" s="146">
        <f t="shared" si="260"/>
        <v>0</v>
      </c>
      <c r="BF203" s="146">
        <f t="shared" si="260"/>
        <v>0</v>
      </c>
      <c r="BG203" s="146">
        <f t="shared" si="260"/>
        <v>0</v>
      </c>
      <c r="BH203" s="146">
        <f t="shared" si="260"/>
        <v>0</v>
      </c>
      <c r="BI203" s="146">
        <f t="shared" si="260"/>
        <v>0</v>
      </c>
      <c r="BJ203" s="146">
        <f t="shared" si="260"/>
        <v>0</v>
      </c>
      <c r="BK203" s="146">
        <f t="shared" si="260"/>
        <v>0</v>
      </c>
      <c r="BL203" s="146">
        <f t="shared" si="260"/>
        <v>0</v>
      </c>
      <c r="BM203" s="146">
        <f t="shared" si="260"/>
        <v>0</v>
      </c>
      <c r="BN203" s="146">
        <f t="shared" si="260"/>
        <v>0</v>
      </c>
      <c r="BO203" s="146">
        <f t="shared" si="260"/>
        <v>0</v>
      </c>
      <c r="BP203" s="146">
        <f t="shared" si="260"/>
        <v>0</v>
      </c>
      <c r="BQ203" s="146">
        <f t="shared" si="260"/>
        <v>0</v>
      </c>
      <c r="BR203" s="146">
        <f t="shared" si="260"/>
        <v>0</v>
      </c>
    </row>
    <row r="204" spans="4:70" ht="24" customHeight="1">
      <c r="D204" s="65"/>
      <c r="E204" s="65"/>
      <c r="F204" s="610" t="s">
        <v>392</v>
      </c>
      <c r="G204" s="611"/>
      <c r="H204" s="611"/>
      <c r="I204" s="612"/>
      <c r="J204" s="65"/>
      <c r="K204" s="146">
        <f>K203</f>
        <v>4.2699999999999996</v>
      </c>
      <c r="L204" s="146">
        <f>IF(L203&gt;0,L203+LARGE($K204:K204,1),0)</f>
        <v>8.5399999999999991</v>
      </c>
      <c r="M204" s="146">
        <f>IF(M203&gt;0,M203+LARGE($K204:L204,1),0)</f>
        <v>12.809999999999999</v>
      </c>
      <c r="N204" s="146">
        <f>IF(N203&gt;0,N203+LARGE($K204:M204,1),0)</f>
        <v>17.079999999999998</v>
      </c>
      <c r="O204" s="146">
        <f>IF(O203&gt;0,O203+LARGE($K204:N204,1),0)</f>
        <v>21.349999999999998</v>
      </c>
      <c r="P204" s="146">
        <f>IF(P203&gt;0,P203+LARGE($K204:O204,1),0)</f>
        <v>25.619999999999997</v>
      </c>
      <c r="Q204" s="146">
        <f>IF(Q203&gt;0,Q203+LARGE($K204:P204,1),0)</f>
        <v>29.889999999999997</v>
      </c>
      <c r="R204" s="146">
        <f>IF(R203&gt;0,R203+LARGE($K204:Q204,1),0)</f>
        <v>34.159999999999997</v>
      </c>
      <c r="S204" s="146">
        <f>IF(S203&gt;0,S203+LARGE($K204:R204,1),0)</f>
        <v>38.429999999999993</v>
      </c>
      <c r="T204" s="146">
        <f>IF(T203&gt;0,T203+LARGE($K204:S204,1),0)</f>
        <v>42.699999999999989</v>
      </c>
      <c r="U204" s="146">
        <f>IF(U203&gt;0,U203+LARGE($K204:T204,1),0)</f>
        <v>0</v>
      </c>
      <c r="V204" s="146">
        <f>IF(V203&gt;0,V203+LARGE($K204:U204,1),0)</f>
        <v>0</v>
      </c>
      <c r="W204" s="146">
        <f>IF(W203&gt;0,W203+LARGE($K204:V204,1),0)</f>
        <v>0</v>
      </c>
      <c r="X204" s="146">
        <f>IF(X203&gt;0,X203+LARGE($K204:W204,1),0)</f>
        <v>0</v>
      </c>
      <c r="Y204" s="146">
        <f>IF(Y203&gt;0,Y203+LARGE($K204:X204,1),0)</f>
        <v>0</v>
      </c>
      <c r="Z204" s="146">
        <f>IF(Z203&gt;0,Z203+LARGE($K204:Y204,1),0)</f>
        <v>0</v>
      </c>
      <c r="AA204" s="146">
        <f>IF(AA203&gt;0,AA203+LARGE($K204:Z204,1),0)</f>
        <v>0</v>
      </c>
      <c r="AB204" s="146">
        <f>IF(AB203&gt;0,AB203+LARGE($K204:AA204,1),0)</f>
        <v>0</v>
      </c>
      <c r="AC204" s="146">
        <f>IF(AC203&gt;0,AC203+LARGE($K204:AB204,1),0)</f>
        <v>0</v>
      </c>
      <c r="AD204" s="146">
        <f>IF(AD203&gt;0,AD203+LARGE($K204:AC204,1),0)</f>
        <v>0</v>
      </c>
      <c r="AE204" s="146">
        <f>IF(AE203&gt;0,AE203+LARGE($K204:AD204,1),0)</f>
        <v>0</v>
      </c>
      <c r="AF204" s="146">
        <f>IF(AF203&gt;0,AF203+LARGE($K204:AE204,1),0)</f>
        <v>0</v>
      </c>
      <c r="AG204" s="146">
        <f>IF(AG203&gt;0,AG203+LARGE($K204:AF204,1),0)</f>
        <v>0</v>
      </c>
      <c r="AH204" s="146">
        <f>IF(AH203&gt;0,AH203+LARGE($K204:AG204,1),0)</f>
        <v>0</v>
      </c>
      <c r="AI204" s="146">
        <f>IF(AI203&gt;0,AI203+LARGE($K204:AH204,1),0)</f>
        <v>0</v>
      </c>
      <c r="AJ204" s="146">
        <f>IF(AJ203&gt;0,AJ203+LARGE($K204:AI204,1),0)</f>
        <v>0</v>
      </c>
      <c r="AK204" s="146">
        <f>IF(AK203&gt;0,AK203+LARGE($K204:AJ204,1),0)</f>
        <v>0</v>
      </c>
      <c r="AL204" s="146">
        <f>IF(AL203&gt;0,AL203+LARGE($K204:AK204,1),0)</f>
        <v>0</v>
      </c>
      <c r="AM204" s="146">
        <f>IF(AM203&gt;0,AM203+LARGE($K204:AL204,1),0)</f>
        <v>0</v>
      </c>
      <c r="AN204" s="146">
        <f>IF(AN203&gt;0,AN203+LARGE($K204:AM204,1),0)</f>
        <v>0</v>
      </c>
      <c r="AO204" s="146">
        <f>IF(AO203&gt;0,AO203+LARGE($K204:AN204,1),0)</f>
        <v>0</v>
      </c>
      <c r="AP204" s="146">
        <f>IF(AP203&gt;0,AP203+LARGE($K204:AO204,1),0)</f>
        <v>0</v>
      </c>
      <c r="AQ204" s="146">
        <f>IF(AQ203&gt;0,AQ203+LARGE($K204:AP204,1),0)</f>
        <v>0</v>
      </c>
      <c r="AR204" s="146">
        <f>IF(AR203&gt;0,AR203+LARGE($K204:AQ204,1),0)</f>
        <v>0</v>
      </c>
      <c r="AS204" s="146">
        <f>IF(AS203&gt;0,AS203+LARGE($K204:AR204,1),0)</f>
        <v>0</v>
      </c>
      <c r="AT204" s="146">
        <f>IF(AT203&gt;0,AT203+LARGE($K204:AS204,1),0)</f>
        <v>0</v>
      </c>
      <c r="AU204" s="146">
        <f>IF(AU203&gt;0,AU203+LARGE($K204:AT204,1),0)</f>
        <v>0</v>
      </c>
      <c r="AV204" s="146">
        <f>IF(AV203&gt;0,AV203+LARGE($K204:AU204,1),0)</f>
        <v>0</v>
      </c>
      <c r="AW204" s="146">
        <f>IF(AW203&gt;0,AW203+LARGE($K204:AV204,1),0)</f>
        <v>0</v>
      </c>
      <c r="AX204" s="146">
        <f>IF(AX203&gt;0,AX203+LARGE($K204:AW204,1),0)</f>
        <v>0</v>
      </c>
      <c r="AY204" s="146">
        <f>IF(AY203&gt;0,AY203+LARGE($K204:AX204,1),0)</f>
        <v>0</v>
      </c>
      <c r="AZ204" s="146">
        <f>IF(AZ203&gt;0,AZ203+LARGE($K204:AY204,1),0)</f>
        <v>0</v>
      </c>
      <c r="BA204" s="146">
        <f>IF(BA203&gt;0,BA203+LARGE($K204:AZ204,1),0)</f>
        <v>0</v>
      </c>
      <c r="BB204" s="146">
        <f>IF(BB203&gt;0,BB203+LARGE($K204:BA204,1),0)</f>
        <v>0</v>
      </c>
      <c r="BC204" s="146">
        <f>IF(BC203&gt;0,BC203+LARGE($K204:BB204,1),0)</f>
        <v>0</v>
      </c>
      <c r="BD204" s="146">
        <f>IF(BD203&gt;0,BD203+LARGE($K204:BC204,1),0)</f>
        <v>0</v>
      </c>
      <c r="BE204" s="146">
        <f>IF(BE203&gt;0,BE203+LARGE($K204:BD204,1),0)</f>
        <v>0</v>
      </c>
      <c r="BF204" s="146">
        <f>IF(BF203&gt;0,BF203+LARGE($K204:BE204,1),0)</f>
        <v>0</v>
      </c>
      <c r="BG204" s="146">
        <f>IF(BG203&gt;0,BG203+LARGE($K204:BF204,1),0)</f>
        <v>0</v>
      </c>
      <c r="BH204" s="146">
        <f>IF(BH203&gt;0,BH203+LARGE($K204:BG204,1),0)</f>
        <v>0</v>
      </c>
      <c r="BI204" s="146">
        <f>IF(BI203&gt;0,BI203+LARGE($K204:BH204,1),0)</f>
        <v>0</v>
      </c>
      <c r="BJ204" s="146">
        <f>IF(BJ203&gt;0,BJ203+LARGE($K204:BI204,1),0)</f>
        <v>0</v>
      </c>
      <c r="BK204" s="146">
        <f>IF(BK203&gt;0,BK203+LARGE($K204:BJ204,1),0)</f>
        <v>0</v>
      </c>
      <c r="BL204" s="146">
        <f>IF(BL203&gt;0,BL203+LARGE($K204:BK204,1),0)</f>
        <v>0</v>
      </c>
      <c r="BM204" s="146">
        <f>IF(BM203&gt;0,BM203+LARGE($K204:BL204,1),0)</f>
        <v>0</v>
      </c>
      <c r="BN204" s="146">
        <f>IF(BN203&gt;0,BN203+LARGE($K204:BM204,1),0)</f>
        <v>0</v>
      </c>
      <c r="BO204" s="146">
        <f>IF(BO203&gt;0,BO203+LARGE($K204:BN204,1),0)</f>
        <v>0</v>
      </c>
      <c r="BP204" s="146">
        <f>IF(BP203&gt;0,BP203+LARGE($K204:BO204,1),0)</f>
        <v>0</v>
      </c>
      <c r="BQ204" s="146">
        <f>IF(BQ203&gt;0,BQ203+LARGE($K204:BP204,1),0)</f>
        <v>0</v>
      </c>
      <c r="BR204" s="146">
        <f>IF(BR203&gt;0,BR203+LARGE($K204:BQ204,1),0)</f>
        <v>0</v>
      </c>
    </row>
    <row r="205" spans="4:70" ht="12" customHeight="1"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  <c r="BJ205" s="65"/>
      <c r="BK205" s="65"/>
      <c r="BL205" s="65"/>
      <c r="BM205" s="65"/>
      <c r="BN205" s="65"/>
      <c r="BO205" s="65"/>
      <c r="BP205" s="65"/>
      <c r="BQ205" s="65"/>
      <c r="BR205" s="65"/>
    </row>
    <row r="206" spans="4:70" ht="5.0999999999999996" customHeight="1"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  <c r="BP206" s="69"/>
      <c r="BQ206" s="69"/>
      <c r="BR206" s="69"/>
    </row>
    <row r="207" spans="4:70" ht="12" customHeight="1"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  <c r="BM207" s="65"/>
      <c r="BN207" s="65"/>
      <c r="BO207" s="65"/>
      <c r="BP207" s="65"/>
      <c r="BQ207" s="65"/>
      <c r="BR207" s="65"/>
    </row>
    <row r="208" spans="4:70" ht="24" customHeight="1">
      <c r="D208" s="625" t="s">
        <v>393</v>
      </c>
      <c r="E208" s="65"/>
      <c r="F208" s="613" t="s">
        <v>394</v>
      </c>
      <c r="G208" s="613"/>
      <c r="H208" s="613"/>
      <c r="I208" s="613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  <c r="BM208" s="65"/>
      <c r="BN208" s="65"/>
      <c r="BO208" s="65"/>
      <c r="BP208" s="65"/>
      <c r="BQ208" s="65"/>
      <c r="BR208" s="65"/>
    </row>
    <row r="209" spans="1:143" ht="24" customHeight="1" collapsed="1">
      <c r="A209" s="65"/>
      <c r="B209" s="65"/>
      <c r="C209" s="65"/>
      <c r="D209" s="626"/>
      <c r="E209" s="65"/>
      <c r="F209" s="613"/>
      <c r="G209" s="613"/>
      <c r="H209" s="613"/>
      <c r="I209" s="613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  <c r="BM209" s="65"/>
      <c r="BN209" s="65"/>
      <c r="BO209" s="65"/>
      <c r="BP209" s="65"/>
      <c r="BQ209" s="65"/>
      <c r="BR209" s="65"/>
      <c r="BS209" s="65"/>
      <c r="BT209" s="65"/>
      <c r="BU209" s="65"/>
      <c r="BV209" s="65"/>
      <c r="BW209" s="69"/>
      <c r="BX209" s="65"/>
      <c r="BY209" s="65"/>
      <c r="BZ209" s="65"/>
      <c r="CA209" s="65"/>
      <c r="CB209" s="65"/>
      <c r="CC209" s="65"/>
      <c r="CD209" s="65"/>
      <c r="CE209" s="65"/>
      <c r="CF209" s="65"/>
      <c r="CG209" s="65"/>
      <c r="CH209" s="65"/>
      <c r="CI209" s="65"/>
      <c r="CJ209" s="65"/>
      <c r="CK209" s="65"/>
      <c r="CL209" s="65"/>
      <c r="CM209" s="65"/>
      <c r="CN209" s="65"/>
      <c r="CO209" s="65"/>
      <c r="CP209" s="65"/>
      <c r="CQ209" s="65"/>
      <c r="CR209" s="65"/>
      <c r="CS209" s="65"/>
      <c r="CT209" s="65"/>
      <c r="CU209" s="65"/>
      <c r="CV209" s="65"/>
      <c r="CW209" s="65"/>
      <c r="CX209" s="65"/>
      <c r="CY209" s="65"/>
      <c r="CZ209" s="65"/>
      <c r="DA209" s="65"/>
      <c r="DB209" s="65"/>
      <c r="DC209" s="65"/>
      <c r="DD209" s="65"/>
      <c r="DE209" s="65"/>
      <c r="DF209" s="65"/>
      <c r="DG209" s="65"/>
      <c r="DH209" s="65"/>
      <c r="DI209" s="65"/>
      <c r="DJ209" s="65"/>
      <c r="DK209" s="65"/>
      <c r="DL209" s="65"/>
      <c r="DM209" s="65"/>
      <c r="DN209" s="65"/>
      <c r="DO209" s="65"/>
      <c r="DP209" s="65"/>
      <c r="DQ209" s="65"/>
      <c r="DR209" s="65"/>
      <c r="DS209" s="65"/>
      <c r="DT209" s="65"/>
      <c r="DU209" s="65"/>
      <c r="DV209" s="65"/>
      <c r="DW209" s="65"/>
      <c r="DX209" s="65"/>
      <c r="DY209" s="65"/>
      <c r="DZ209" s="65"/>
      <c r="EA209" s="65"/>
      <c r="EB209" s="65"/>
      <c r="EC209" s="65"/>
      <c r="ED209" s="65"/>
      <c r="EE209" s="65"/>
      <c r="EF209" s="65"/>
      <c r="EG209" s="65"/>
      <c r="EH209" s="65"/>
      <c r="EI209" s="65"/>
      <c r="EJ209" s="65"/>
      <c r="EK209" s="65"/>
      <c r="EL209" s="65"/>
      <c r="EM209" s="65"/>
    </row>
    <row r="210" spans="1:143" ht="12" hidden="1" customHeight="1" outlineLevel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  <c r="BM210" s="65"/>
      <c r="BN210" s="65"/>
      <c r="BO210" s="65"/>
      <c r="BP210" s="65"/>
      <c r="BQ210" s="65"/>
      <c r="BR210" s="65"/>
      <c r="BS210" s="65"/>
      <c r="BT210" s="65"/>
      <c r="BU210" s="65"/>
      <c r="BV210" s="65"/>
      <c r="BW210" s="69"/>
      <c r="BX210" s="65"/>
      <c r="BY210" s="65"/>
      <c r="BZ210" s="65"/>
      <c r="CA210" s="65"/>
      <c r="CB210" s="65"/>
      <c r="CC210" s="65"/>
      <c r="CD210" s="65"/>
      <c r="CE210" s="65"/>
      <c r="CF210" s="65"/>
      <c r="CG210" s="65"/>
      <c r="CH210" s="65"/>
      <c r="CI210" s="65"/>
      <c r="CJ210" s="65"/>
      <c r="CK210" s="65"/>
      <c r="CL210" s="65"/>
      <c r="CM210" s="65"/>
      <c r="CN210" s="65"/>
      <c r="CO210" s="65"/>
      <c r="CP210" s="65"/>
      <c r="CQ210" s="65"/>
      <c r="CR210" s="65"/>
      <c r="CS210" s="65"/>
      <c r="CT210" s="65"/>
      <c r="CU210" s="65"/>
      <c r="CV210" s="65"/>
      <c r="CW210" s="65"/>
      <c r="CX210" s="65"/>
      <c r="CY210" s="65"/>
      <c r="CZ210" s="65"/>
      <c r="DA210" s="65"/>
      <c r="DB210" s="65"/>
      <c r="DC210" s="65"/>
      <c r="DD210" s="65"/>
      <c r="DE210" s="65"/>
      <c r="DF210" s="65"/>
      <c r="DG210" s="65"/>
      <c r="DH210" s="65"/>
      <c r="DI210" s="65"/>
      <c r="DJ210" s="65"/>
      <c r="DK210" s="65"/>
      <c r="DL210" s="65"/>
      <c r="DM210" s="65"/>
      <c r="DN210" s="65"/>
      <c r="DO210" s="65"/>
      <c r="DP210" s="65"/>
      <c r="DQ210" s="65"/>
      <c r="DR210" s="65"/>
      <c r="DS210" s="65"/>
      <c r="DT210" s="65"/>
      <c r="DU210" s="65"/>
      <c r="DV210" s="65"/>
      <c r="DW210" s="65"/>
      <c r="DX210" s="65"/>
      <c r="DY210" s="65"/>
      <c r="DZ210" s="65"/>
      <c r="EA210" s="65"/>
      <c r="EB210" s="65"/>
      <c r="EC210" s="65"/>
      <c r="ED210" s="65"/>
      <c r="EE210" s="65"/>
      <c r="EF210" s="65"/>
      <c r="EG210" s="65"/>
      <c r="EH210" s="65"/>
      <c r="EI210" s="65"/>
      <c r="EJ210" s="65"/>
      <c r="EK210" s="65"/>
      <c r="EL210" s="65"/>
      <c r="EM210" s="65"/>
    </row>
    <row r="211" spans="1:143" ht="24" hidden="1" customHeight="1" outlineLevel="1">
      <c r="A211" s="65"/>
      <c r="B211" s="593" t="s">
        <v>395</v>
      </c>
      <c r="C211" s="65"/>
      <c r="D211" s="65"/>
      <c r="E211" s="65"/>
      <c r="F211" s="149" t="str">
        <f>IF($G$51&gt;0,$G$51,"")</f>
        <v>Equipe01</v>
      </c>
      <c r="G211" s="149"/>
      <c r="H211" s="149"/>
      <c r="I211" s="149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5"/>
      <c r="BK211" s="65"/>
      <c r="BL211" s="65"/>
      <c r="BM211" s="65"/>
      <c r="BN211" s="65"/>
      <c r="BO211" s="65"/>
      <c r="BP211" s="65"/>
      <c r="BQ211" s="65"/>
      <c r="BR211" s="65"/>
      <c r="BS211" s="65"/>
      <c r="BT211" s="601" t="s">
        <v>396</v>
      </c>
      <c r="BU211" s="601" t="s">
        <v>397</v>
      </c>
      <c r="BV211" s="65"/>
      <c r="BW211" s="69"/>
      <c r="BX211" s="65"/>
      <c r="BY211" s="593" t="s">
        <v>398</v>
      </c>
      <c r="BZ211" s="593" t="s">
        <v>399</v>
      </c>
      <c r="CA211" s="593" t="s">
        <v>400</v>
      </c>
      <c r="CB211" s="592" t="s">
        <v>401</v>
      </c>
      <c r="CC211" s="592" t="s">
        <v>402</v>
      </c>
      <c r="CD211" s="592" t="s">
        <v>403</v>
      </c>
      <c r="CE211" s="592" t="s">
        <v>404</v>
      </c>
      <c r="CF211" s="592" t="s">
        <v>405</v>
      </c>
      <c r="CG211" s="592" t="s">
        <v>406</v>
      </c>
      <c r="CH211" s="592" t="s">
        <v>407</v>
      </c>
      <c r="CI211" s="592" t="s">
        <v>408</v>
      </c>
      <c r="CJ211" s="592" t="s">
        <v>409</v>
      </c>
      <c r="CK211" s="592" t="s">
        <v>410</v>
      </c>
      <c r="CL211" s="592" t="s">
        <v>411</v>
      </c>
      <c r="CM211" s="592" t="s">
        <v>412</v>
      </c>
      <c r="CN211" s="592" t="s">
        <v>413</v>
      </c>
      <c r="CO211" s="592" t="s">
        <v>414</v>
      </c>
      <c r="CP211" s="592" t="s">
        <v>415</v>
      </c>
      <c r="CQ211" s="592" t="s">
        <v>416</v>
      </c>
      <c r="CR211" s="592" t="s">
        <v>417</v>
      </c>
      <c r="CS211" s="592" t="s">
        <v>418</v>
      </c>
      <c r="CT211" s="592" t="s">
        <v>419</v>
      </c>
      <c r="CU211" s="592" t="s">
        <v>420</v>
      </c>
      <c r="CV211" s="592" t="s">
        <v>421</v>
      </c>
      <c r="CW211" s="592" t="s">
        <v>422</v>
      </c>
      <c r="CX211" s="592" t="s">
        <v>423</v>
      </c>
      <c r="CY211" s="592" t="s">
        <v>424</v>
      </c>
      <c r="CZ211" s="592" t="s">
        <v>425</v>
      </c>
      <c r="DA211" s="592" t="s">
        <v>426</v>
      </c>
      <c r="DB211" s="592" t="s">
        <v>427</v>
      </c>
      <c r="DC211" s="592" t="s">
        <v>428</v>
      </c>
      <c r="DD211" s="592" t="s">
        <v>429</v>
      </c>
      <c r="DE211" s="592" t="s">
        <v>430</v>
      </c>
      <c r="DF211" s="592" t="s">
        <v>431</v>
      </c>
      <c r="DG211" s="592" t="s">
        <v>432</v>
      </c>
      <c r="DH211" s="592" t="s">
        <v>433</v>
      </c>
      <c r="DI211" s="592" t="s">
        <v>434</v>
      </c>
      <c r="DJ211" s="592" t="s">
        <v>435</v>
      </c>
      <c r="DK211" s="592" t="s">
        <v>436</v>
      </c>
      <c r="DL211" s="592" t="s">
        <v>437</v>
      </c>
      <c r="DM211" s="592" t="s">
        <v>438</v>
      </c>
      <c r="DN211" s="592" t="s">
        <v>439</v>
      </c>
      <c r="DO211" s="592" t="s">
        <v>440</v>
      </c>
      <c r="DP211" s="592" t="s">
        <v>441</v>
      </c>
      <c r="DQ211" s="592" t="s">
        <v>442</v>
      </c>
      <c r="DR211" s="592" t="s">
        <v>443</v>
      </c>
      <c r="DS211" s="592" t="s">
        <v>444</v>
      </c>
      <c r="DT211" s="592" t="s">
        <v>445</v>
      </c>
      <c r="DU211" s="592" t="s">
        <v>446</v>
      </c>
      <c r="DV211" s="592" t="s">
        <v>447</v>
      </c>
      <c r="DW211" s="592" t="s">
        <v>448</v>
      </c>
      <c r="DX211" s="592" t="s">
        <v>449</v>
      </c>
      <c r="DY211" s="592" t="s">
        <v>450</v>
      </c>
      <c r="DZ211" s="592" t="s">
        <v>451</v>
      </c>
      <c r="EA211" s="592" t="s">
        <v>452</v>
      </c>
      <c r="EB211" s="592" t="s">
        <v>453</v>
      </c>
      <c r="EC211" s="592" t="s">
        <v>454</v>
      </c>
      <c r="ED211" s="592" t="s">
        <v>455</v>
      </c>
      <c r="EE211" s="592" t="s">
        <v>456</v>
      </c>
      <c r="EF211" s="592" t="s">
        <v>457</v>
      </c>
      <c r="EG211" s="592" t="s">
        <v>458</v>
      </c>
      <c r="EH211" s="592" t="s">
        <v>459</v>
      </c>
      <c r="EI211" s="592" t="s">
        <v>460</v>
      </c>
      <c r="EJ211" s="65"/>
      <c r="EK211" s="157" t="s">
        <v>376</v>
      </c>
      <c r="EL211" s="157" t="s">
        <v>461</v>
      </c>
      <c r="EM211" s="157" t="s">
        <v>383</v>
      </c>
    </row>
    <row r="212" spans="1:143" ht="12" hidden="1" customHeight="1" outlineLevel="1">
      <c r="A212" s="65"/>
      <c r="B212" s="593"/>
      <c r="C212" s="65"/>
      <c r="D212" s="65"/>
      <c r="E212" s="65"/>
      <c r="F212" s="158" t="s">
        <v>198</v>
      </c>
      <c r="G212" s="158" t="s">
        <v>462</v>
      </c>
      <c r="H212" s="158" t="s">
        <v>255</v>
      </c>
      <c r="I212" s="158" t="s">
        <v>68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  <c r="BM212" s="65"/>
      <c r="BN212" s="65"/>
      <c r="BO212" s="65"/>
      <c r="BP212" s="65"/>
      <c r="BQ212" s="65"/>
      <c r="BR212" s="65"/>
      <c r="BS212" s="65"/>
      <c r="BT212" s="602"/>
      <c r="BU212" s="602"/>
      <c r="BV212" s="65"/>
      <c r="BW212" s="69"/>
      <c r="BX212" s="65"/>
      <c r="BY212" s="593"/>
      <c r="BZ212" s="593"/>
      <c r="CA212" s="593"/>
      <c r="CB212" s="592"/>
      <c r="CC212" s="592"/>
      <c r="CD212" s="592"/>
      <c r="CE212" s="592"/>
      <c r="CF212" s="592"/>
      <c r="CG212" s="592"/>
      <c r="CH212" s="592"/>
      <c r="CI212" s="592"/>
      <c r="CJ212" s="592"/>
      <c r="CK212" s="592"/>
      <c r="CL212" s="592"/>
      <c r="CM212" s="592"/>
      <c r="CN212" s="592"/>
      <c r="CO212" s="592"/>
      <c r="CP212" s="592"/>
      <c r="CQ212" s="592"/>
      <c r="CR212" s="592"/>
      <c r="CS212" s="592"/>
      <c r="CT212" s="592"/>
      <c r="CU212" s="592"/>
      <c r="CV212" s="592"/>
      <c r="CW212" s="592"/>
      <c r="CX212" s="592"/>
      <c r="CY212" s="592"/>
      <c r="CZ212" s="592"/>
      <c r="DA212" s="592"/>
      <c r="DB212" s="592"/>
      <c r="DC212" s="592"/>
      <c r="DD212" s="592"/>
      <c r="DE212" s="592"/>
      <c r="DF212" s="592"/>
      <c r="DG212" s="592"/>
      <c r="DH212" s="592"/>
      <c r="DI212" s="592"/>
      <c r="DJ212" s="592"/>
      <c r="DK212" s="592"/>
      <c r="DL212" s="592"/>
      <c r="DM212" s="592"/>
      <c r="DN212" s="592"/>
      <c r="DO212" s="592"/>
      <c r="DP212" s="592"/>
      <c r="DQ212" s="592"/>
      <c r="DR212" s="592"/>
      <c r="DS212" s="592"/>
      <c r="DT212" s="592"/>
      <c r="DU212" s="592"/>
      <c r="DV212" s="592"/>
      <c r="DW212" s="592"/>
      <c r="DX212" s="592"/>
      <c r="DY212" s="592"/>
      <c r="DZ212" s="592"/>
      <c r="EA212" s="592"/>
      <c r="EB212" s="592"/>
      <c r="EC212" s="592"/>
      <c r="ED212" s="592"/>
      <c r="EE212" s="592"/>
      <c r="EF212" s="592"/>
      <c r="EG212" s="592"/>
      <c r="EH212" s="592"/>
      <c r="EI212" s="592"/>
      <c r="EJ212" s="65"/>
      <c r="EK212" s="159">
        <f>IFERROR(ROUNDUP(SUMPRODUCT($K233:$BR233,$K$106:$BR$106)/SUM($K233:$BR233),2),0)</f>
        <v>0</v>
      </c>
      <c r="EL212" s="159">
        <f>IFERROR(ROUNDUP(SUMPRODUCT($K233:$BR233,$K$130:$BR$130)/SUM($K233:$BR233),2),0)</f>
        <v>0</v>
      </c>
      <c r="EM212" s="159">
        <f>IFERROR(ROUNDUP(SUMPRODUCT($K233:$BR233,$K$154:$BR$154)/SUM($K233:$BR233),2),0)</f>
        <v>0</v>
      </c>
    </row>
    <row r="213" spans="1:143" ht="12" hidden="1" customHeight="1" outlineLevel="2">
      <c r="A213" s="77">
        <v>1</v>
      </c>
      <c r="B213" s="137" t="str">
        <f>IF(G213&gt;0,G213&amp;" - "&amp;$F$213,"")</f>
        <v>GER. (OBRA/PROJ) - Equipe_01</v>
      </c>
      <c r="C213" s="65"/>
      <c r="D213" s="620" t="s">
        <v>463</v>
      </c>
      <c r="E213" s="65"/>
      <c r="F213" s="584" t="str">
        <f>IFERROR(VLOOKUP(F211,Tarefas!$F$3:$G$22,2,0),"")</f>
        <v>Equipe_01</v>
      </c>
      <c r="G213" s="77" t="str">
        <f>IF(INDEX(Tarefas!$BT$30:$FK$30,MATCH(A213,Tarefas!$BT$28:$FK$28,0))=0,"",INDEX(Tarefas!$BT$30:$FK$30,MATCH(A213,Tarefas!$BT$28:$FK$28,0)))</f>
        <v>GER. (OBRA/PROJ)</v>
      </c>
      <c r="H213" s="107" cm="1">
        <f t="array" ref="H213">IFERROR((SUMPRODUCT((Tarefas!$N$32:$N$54='Cronog. e Histog.'!$F$213)*(Tarefas!$BQ$30:$FK$30='Cronog. e Histog.'!$G213)*(Tarefas!$BQ$32:$FK$54)))/SUMIF(Tarefas!$N$32:$N$54,'Cronog. e Histog.'!$F$213,Tarefas!$K$32:$K$54),0)</f>
        <v>1.6194331983805668E-2</v>
      </c>
      <c r="I213" s="79">
        <f>IFERROR(H213/$H$233,0)</f>
        <v>1.6194331983805668E-2</v>
      </c>
      <c r="J213" s="65"/>
      <c r="K213" s="160">
        <f>ROUND($I213*K$183,2)</f>
        <v>0.02</v>
      </c>
      <c r="L213" s="160">
        <f t="shared" ref="L213:BR217" si="261">ROUND($I213*L$183,2)</f>
        <v>0.02</v>
      </c>
      <c r="M213" s="160">
        <f t="shared" si="261"/>
        <v>0.02</v>
      </c>
      <c r="N213" s="160">
        <f t="shared" si="261"/>
        <v>0.02</v>
      </c>
      <c r="O213" s="160">
        <f t="shared" si="261"/>
        <v>0.02</v>
      </c>
      <c r="P213" s="160">
        <f t="shared" si="261"/>
        <v>0.02</v>
      </c>
      <c r="Q213" s="160">
        <f t="shared" si="261"/>
        <v>0.02</v>
      </c>
      <c r="R213" s="160">
        <f t="shared" si="261"/>
        <v>0.02</v>
      </c>
      <c r="S213" s="160">
        <f t="shared" si="261"/>
        <v>0.02</v>
      </c>
      <c r="T213" s="160">
        <f t="shared" si="261"/>
        <v>0.02</v>
      </c>
      <c r="U213" s="160">
        <f t="shared" si="261"/>
        <v>0</v>
      </c>
      <c r="V213" s="160">
        <f t="shared" si="261"/>
        <v>0</v>
      </c>
      <c r="W213" s="160">
        <f t="shared" si="261"/>
        <v>0</v>
      </c>
      <c r="X213" s="160">
        <f t="shared" si="261"/>
        <v>0</v>
      </c>
      <c r="Y213" s="160">
        <f t="shared" si="261"/>
        <v>0</v>
      </c>
      <c r="Z213" s="160">
        <f t="shared" si="261"/>
        <v>0</v>
      </c>
      <c r="AA213" s="160">
        <f t="shared" si="261"/>
        <v>0</v>
      </c>
      <c r="AB213" s="160">
        <f t="shared" si="261"/>
        <v>0</v>
      </c>
      <c r="AC213" s="160">
        <f t="shared" si="261"/>
        <v>0</v>
      </c>
      <c r="AD213" s="160">
        <f t="shared" si="261"/>
        <v>0</v>
      </c>
      <c r="AE213" s="160">
        <f t="shared" si="261"/>
        <v>0</v>
      </c>
      <c r="AF213" s="160">
        <f t="shared" si="261"/>
        <v>0</v>
      </c>
      <c r="AG213" s="160">
        <f t="shared" si="261"/>
        <v>0</v>
      </c>
      <c r="AH213" s="160">
        <f t="shared" si="261"/>
        <v>0</v>
      </c>
      <c r="AI213" s="160">
        <f t="shared" si="261"/>
        <v>0</v>
      </c>
      <c r="AJ213" s="160">
        <f t="shared" si="261"/>
        <v>0</v>
      </c>
      <c r="AK213" s="160">
        <f t="shared" si="261"/>
        <v>0</v>
      </c>
      <c r="AL213" s="160">
        <f t="shared" si="261"/>
        <v>0</v>
      </c>
      <c r="AM213" s="160">
        <f t="shared" si="261"/>
        <v>0</v>
      </c>
      <c r="AN213" s="160">
        <f t="shared" si="261"/>
        <v>0</v>
      </c>
      <c r="AO213" s="160">
        <f t="shared" si="261"/>
        <v>0</v>
      </c>
      <c r="AP213" s="160">
        <f t="shared" si="261"/>
        <v>0</v>
      </c>
      <c r="AQ213" s="160">
        <f t="shared" si="261"/>
        <v>0</v>
      </c>
      <c r="AR213" s="160">
        <f t="shared" si="261"/>
        <v>0</v>
      </c>
      <c r="AS213" s="160">
        <f t="shared" si="261"/>
        <v>0</v>
      </c>
      <c r="AT213" s="160">
        <f t="shared" si="261"/>
        <v>0</v>
      </c>
      <c r="AU213" s="160">
        <f t="shared" si="261"/>
        <v>0</v>
      </c>
      <c r="AV213" s="160">
        <f t="shared" si="261"/>
        <v>0</v>
      </c>
      <c r="AW213" s="160">
        <f t="shared" si="261"/>
        <v>0</v>
      </c>
      <c r="AX213" s="160">
        <f t="shared" si="261"/>
        <v>0</v>
      </c>
      <c r="AY213" s="160">
        <f t="shared" si="261"/>
        <v>0</v>
      </c>
      <c r="AZ213" s="160">
        <f t="shared" si="261"/>
        <v>0</v>
      </c>
      <c r="BA213" s="160">
        <f t="shared" si="261"/>
        <v>0</v>
      </c>
      <c r="BB213" s="160">
        <f t="shared" si="261"/>
        <v>0</v>
      </c>
      <c r="BC213" s="160">
        <f t="shared" si="261"/>
        <v>0</v>
      </c>
      <c r="BD213" s="160">
        <f t="shared" si="261"/>
        <v>0</v>
      </c>
      <c r="BE213" s="160">
        <f t="shared" si="261"/>
        <v>0</v>
      </c>
      <c r="BF213" s="160">
        <f t="shared" si="261"/>
        <v>0</v>
      </c>
      <c r="BG213" s="160">
        <f t="shared" si="261"/>
        <v>0</v>
      </c>
      <c r="BH213" s="160">
        <f t="shared" si="261"/>
        <v>0</v>
      </c>
      <c r="BI213" s="160">
        <f t="shared" si="261"/>
        <v>0</v>
      </c>
      <c r="BJ213" s="160">
        <f t="shared" si="261"/>
        <v>0</v>
      </c>
      <c r="BK213" s="160">
        <f t="shared" si="261"/>
        <v>0</v>
      </c>
      <c r="BL213" s="160">
        <f t="shared" si="261"/>
        <v>0</v>
      </c>
      <c r="BM213" s="160">
        <f t="shared" si="261"/>
        <v>0</v>
      </c>
      <c r="BN213" s="160">
        <f t="shared" si="261"/>
        <v>0</v>
      </c>
      <c r="BO213" s="160">
        <f t="shared" si="261"/>
        <v>0</v>
      </c>
      <c r="BP213" s="160">
        <f t="shared" si="261"/>
        <v>0</v>
      </c>
      <c r="BQ213" s="160">
        <f t="shared" si="261"/>
        <v>0</v>
      </c>
      <c r="BR213" s="160">
        <f t="shared" si="261"/>
        <v>0</v>
      </c>
      <c r="BS213" s="65"/>
      <c r="BT213" s="160">
        <f t="shared" ref="BT213:BT232" si="262">IFERROR(SUM(K213:BR213)/COUNTIF(K213:BR213,"&gt;0"),0)</f>
        <v>1.9999999999999997E-2</v>
      </c>
      <c r="BU213" s="160">
        <f t="shared" ref="BU213:BU232" si="263">COUNTIF(K213:BR213,"&gt;0")</f>
        <v>10</v>
      </c>
      <c r="BV213" s="65"/>
      <c r="BW213" s="69"/>
      <c r="BX213" s="65"/>
      <c r="BY213" s="137">
        <f t="shared" ref="BY213:BY232" si="264">IF(G213&gt;0,1,0)</f>
        <v>1</v>
      </c>
      <c r="BZ213" s="137">
        <f>BY213</f>
        <v>1</v>
      </c>
      <c r="CA213" s="137" t="str">
        <f t="shared" ref="CA213:CA232" si="265">G213</f>
        <v>GER. (OBRA/PROJ)</v>
      </c>
      <c r="CB213" s="161">
        <f t="shared" ref="CB213:CB232" si="266">K213</f>
        <v>0.02</v>
      </c>
      <c r="CC213" s="161">
        <f t="shared" ref="CC213:CC232" si="267">L213</f>
        <v>0.02</v>
      </c>
      <c r="CD213" s="161">
        <f t="shared" ref="CD213:CD232" si="268">M213</f>
        <v>0.02</v>
      </c>
      <c r="CE213" s="161">
        <f t="shared" ref="CE213:CE232" si="269">N213</f>
        <v>0.02</v>
      </c>
      <c r="CF213" s="161">
        <f t="shared" ref="CF213:CF232" si="270">O213</f>
        <v>0.02</v>
      </c>
      <c r="CG213" s="161">
        <f t="shared" ref="CG213:CG232" si="271">P213</f>
        <v>0.02</v>
      </c>
      <c r="CH213" s="161">
        <f t="shared" ref="CH213:CH232" si="272">Q213</f>
        <v>0.02</v>
      </c>
      <c r="CI213" s="161">
        <f t="shared" ref="CI213:CI232" si="273">R213</f>
        <v>0.02</v>
      </c>
      <c r="CJ213" s="161">
        <f t="shared" ref="CJ213:CJ232" si="274">S213</f>
        <v>0.02</v>
      </c>
      <c r="CK213" s="161">
        <f t="shared" ref="CK213:CK232" si="275">T213</f>
        <v>0.02</v>
      </c>
      <c r="CL213" s="161">
        <f t="shared" ref="CL213:CL232" si="276">U213</f>
        <v>0</v>
      </c>
      <c r="CM213" s="161">
        <f t="shared" ref="CM213:CM232" si="277">V213</f>
        <v>0</v>
      </c>
      <c r="CN213" s="161">
        <f t="shared" ref="CN213:CN232" si="278">W213</f>
        <v>0</v>
      </c>
      <c r="CO213" s="161">
        <f t="shared" ref="CO213:CO232" si="279">X213</f>
        <v>0</v>
      </c>
      <c r="CP213" s="161">
        <f t="shared" ref="CP213:CP232" si="280">Y213</f>
        <v>0</v>
      </c>
      <c r="CQ213" s="161">
        <f t="shared" ref="CQ213:CQ232" si="281">Z213</f>
        <v>0</v>
      </c>
      <c r="CR213" s="161">
        <f t="shared" ref="CR213:CR232" si="282">AA213</f>
        <v>0</v>
      </c>
      <c r="CS213" s="161">
        <f t="shared" ref="CS213:CS232" si="283">AB213</f>
        <v>0</v>
      </c>
      <c r="CT213" s="161">
        <f t="shared" ref="CT213:CT232" si="284">AC213</f>
        <v>0</v>
      </c>
      <c r="CU213" s="161">
        <f t="shared" ref="CU213:CU232" si="285">AD213</f>
        <v>0</v>
      </c>
      <c r="CV213" s="161">
        <f t="shared" ref="CV213:CV232" si="286">AE213</f>
        <v>0</v>
      </c>
      <c r="CW213" s="161">
        <f t="shared" ref="CW213:CW232" si="287">AF213</f>
        <v>0</v>
      </c>
      <c r="CX213" s="161">
        <f t="shared" ref="CX213:CX232" si="288">AG213</f>
        <v>0</v>
      </c>
      <c r="CY213" s="161">
        <f t="shared" ref="CY213:CY232" si="289">AH213</f>
        <v>0</v>
      </c>
      <c r="CZ213" s="161">
        <f t="shared" ref="CZ213:CZ232" si="290">AI213</f>
        <v>0</v>
      </c>
      <c r="DA213" s="161">
        <f t="shared" ref="DA213:DA232" si="291">AJ213</f>
        <v>0</v>
      </c>
      <c r="DB213" s="161">
        <f t="shared" ref="DB213:DB232" si="292">AK213</f>
        <v>0</v>
      </c>
      <c r="DC213" s="161">
        <f t="shared" ref="DC213:DC232" si="293">AL213</f>
        <v>0</v>
      </c>
      <c r="DD213" s="161">
        <f t="shared" ref="DD213:DD232" si="294">AM213</f>
        <v>0</v>
      </c>
      <c r="DE213" s="161">
        <f t="shared" ref="DE213:DE232" si="295">AN213</f>
        <v>0</v>
      </c>
      <c r="DF213" s="161">
        <f t="shared" ref="DF213:DF232" si="296">AO213</f>
        <v>0</v>
      </c>
      <c r="DG213" s="161">
        <f t="shared" ref="DG213:DG232" si="297">AP213</f>
        <v>0</v>
      </c>
      <c r="DH213" s="161">
        <f t="shared" ref="DH213:DH232" si="298">AQ213</f>
        <v>0</v>
      </c>
      <c r="DI213" s="161">
        <f t="shared" ref="DI213:DI232" si="299">AR213</f>
        <v>0</v>
      </c>
      <c r="DJ213" s="161">
        <f t="shared" ref="DJ213:DJ232" si="300">AS213</f>
        <v>0</v>
      </c>
      <c r="DK213" s="161">
        <f t="shared" ref="DK213:EI232" si="301">AT213</f>
        <v>0</v>
      </c>
      <c r="DL213" s="161">
        <f t="shared" si="301"/>
        <v>0</v>
      </c>
      <c r="DM213" s="161">
        <f t="shared" si="301"/>
        <v>0</v>
      </c>
      <c r="DN213" s="161">
        <f t="shared" si="301"/>
        <v>0</v>
      </c>
      <c r="DO213" s="161">
        <f t="shared" si="301"/>
        <v>0</v>
      </c>
      <c r="DP213" s="161">
        <f t="shared" si="301"/>
        <v>0</v>
      </c>
      <c r="DQ213" s="161">
        <f t="shared" si="301"/>
        <v>0</v>
      </c>
      <c r="DR213" s="161">
        <f t="shared" si="301"/>
        <v>0</v>
      </c>
      <c r="DS213" s="161">
        <f t="shared" si="301"/>
        <v>0</v>
      </c>
      <c r="DT213" s="161">
        <f t="shared" si="301"/>
        <v>0</v>
      </c>
      <c r="DU213" s="161">
        <f t="shared" si="301"/>
        <v>0</v>
      </c>
      <c r="DV213" s="161">
        <f t="shared" si="301"/>
        <v>0</v>
      </c>
      <c r="DW213" s="161">
        <f t="shared" si="301"/>
        <v>0</v>
      </c>
      <c r="DX213" s="161">
        <f t="shared" si="301"/>
        <v>0</v>
      </c>
      <c r="DY213" s="161">
        <f t="shared" si="301"/>
        <v>0</v>
      </c>
      <c r="DZ213" s="161">
        <f t="shared" si="301"/>
        <v>0</v>
      </c>
      <c r="EA213" s="161">
        <f t="shared" si="301"/>
        <v>0</v>
      </c>
      <c r="EB213" s="161">
        <f t="shared" si="301"/>
        <v>0</v>
      </c>
      <c r="EC213" s="161">
        <f t="shared" si="301"/>
        <v>0</v>
      </c>
      <c r="ED213" s="161">
        <f t="shared" si="301"/>
        <v>0</v>
      </c>
      <c r="EE213" s="161">
        <f t="shared" si="301"/>
        <v>0</v>
      </c>
      <c r="EF213" s="161">
        <f t="shared" si="301"/>
        <v>0</v>
      </c>
      <c r="EG213" s="161">
        <f t="shared" si="301"/>
        <v>0</v>
      </c>
      <c r="EH213" s="161">
        <f t="shared" si="301"/>
        <v>0</v>
      </c>
      <c r="EI213" s="161">
        <f t="shared" si="301"/>
        <v>0</v>
      </c>
      <c r="EJ213" s="65"/>
      <c r="EK213" s="161">
        <f>$EK$212</f>
        <v>0</v>
      </c>
      <c r="EL213" s="161">
        <f>$EL$212</f>
        <v>0</v>
      </c>
      <c r="EM213" s="161">
        <f>$EM$212</f>
        <v>0</v>
      </c>
    </row>
    <row r="214" spans="1:143" ht="12" hidden="1" customHeight="1" outlineLevel="2">
      <c r="A214" s="77">
        <v>2</v>
      </c>
      <c r="B214" s="137" t="str">
        <f t="shared" ref="B214:B232" si="302">IF(G214&gt;0,G214&amp;" - "&amp;$F$213,"")</f>
        <v>COORD. - Equipe_01</v>
      </c>
      <c r="C214" s="65"/>
      <c r="D214" s="622"/>
      <c r="E214" s="65"/>
      <c r="F214" s="584"/>
      <c r="G214" s="77" t="str">
        <f>IF(INDEX(Tarefas!$BT$30:$FK$30,MATCH(A214,Tarefas!$BT$28:$FK$28,0))=0,"",INDEX(Tarefas!$BT$30:$FK$30,MATCH(A214,Tarefas!$BT$28:$FK$28,0)))</f>
        <v>COORD.</v>
      </c>
      <c r="H214" s="107" cm="1">
        <f t="array" ref="H214">IFERROR((SUMPRODUCT((Tarefas!$N$32:$N$54='Cronog. e Histog.'!$F$213)*(Tarefas!$BQ$30:$FK$30='Cronog. e Histog.'!$G214)*(Tarefas!$BQ$32:$FK$54)))/SUMIF(Tarefas!$N$32:$N$54,'Cronog. e Histog.'!$F$213,Tarefas!$K$32:$K$54),0)</f>
        <v>0.97165991902834015</v>
      </c>
      <c r="I214" s="79">
        <f t="shared" ref="I214:I232" si="303">IFERROR(H214/$H$233,0)</f>
        <v>0.97165991902834015</v>
      </c>
      <c r="J214" s="65"/>
      <c r="K214" s="160">
        <f>ROUND($I214*K$183,2)</f>
        <v>1</v>
      </c>
      <c r="L214" s="160">
        <f t="shared" si="261"/>
        <v>1</v>
      </c>
      <c r="M214" s="160">
        <f t="shared" si="261"/>
        <v>1</v>
      </c>
      <c r="N214" s="160">
        <f t="shared" si="261"/>
        <v>1</v>
      </c>
      <c r="O214" s="160">
        <f t="shared" si="261"/>
        <v>1</v>
      </c>
      <c r="P214" s="160">
        <f t="shared" si="261"/>
        <v>1</v>
      </c>
      <c r="Q214" s="160">
        <f t="shared" si="261"/>
        <v>1</v>
      </c>
      <c r="R214" s="160">
        <f t="shared" si="261"/>
        <v>1</v>
      </c>
      <c r="S214" s="160">
        <f t="shared" si="261"/>
        <v>1</v>
      </c>
      <c r="T214" s="160">
        <f t="shared" si="261"/>
        <v>1</v>
      </c>
      <c r="U214" s="160">
        <f t="shared" si="261"/>
        <v>0</v>
      </c>
      <c r="V214" s="160">
        <f t="shared" si="261"/>
        <v>0</v>
      </c>
      <c r="W214" s="160">
        <f t="shared" si="261"/>
        <v>0</v>
      </c>
      <c r="X214" s="160">
        <f t="shared" si="261"/>
        <v>0</v>
      </c>
      <c r="Y214" s="160">
        <f t="shared" si="261"/>
        <v>0</v>
      </c>
      <c r="Z214" s="160">
        <f t="shared" si="261"/>
        <v>0</v>
      </c>
      <c r="AA214" s="160">
        <f t="shared" si="261"/>
        <v>0</v>
      </c>
      <c r="AB214" s="160">
        <f t="shared" si="261"/>
        <v>0</v>
      </c>
      <c r="AC214" s="160">
        <f t="shared" si="261"/>
        <v>0</v>
      </c>
      <c r="AD214" s="160">
        <f t="shared" si="261"/>
        <v>0</v>
      </c>
      <c r="AE214" s="160">
        <f t="shared" si="261"/>
        <v>0</v>
      </c>
      <c r="AF214" s="160">
        <f t="shared" si="261"/>
        <v>0</v>
      </c>
      <c r="AG214" s="160">
        <f t="shared" si="261"/>
        <v>0</v>
      </c>
      <c r="AH214" s="160">
        <f t="shared" si="261"/>
        <v>0</v>
      </c>
      <c r="AI214" s="160">
        <f t="shared" si="261"/>
        <v>0</v>
      </c>
      <c r="AJ214" s="160">
        <f t="shared" si="261"/>
        <v>0</v>
      </c>
      <c r="AK214" s="160">
        <f t="shared" si="261"/>
        <v>0</v>
      </c>
      <c r="AL214" s="160">
        <f t="shared" si="261"/>
        <v>0</v>
      </c>
      <c r="AM214" s="160">
        <f t="shared" si="261"/>
        <v>0</v>
      </c>
      <c r="AN214" s="160">
        <f t="shared" si="261"/>
        <v>0</v>
      </c>
      <c r="AO214" s="160">
        <f t="shared" si="261"/>
        <v>0</v>
      </c>
      <c r="AP214" s="160">
        <f t="shared" si="261"/>
        <v>0</v>
      </c>
      <c r="AQ214" s="160">
        <f t="shared" si="261"/>
        <v>0</v>
      </c>
      <c r="AR214" s="160">
        <f t="shared" si="261"/>
        <v>0</v>
      </c>
      <c r="AS214" s="160">
        <f t="shared" si="261"/>
        <v>0</v>
      </c>
      <c r="AT214" s="160">
        <f t="shared" si="261"/>
        <v>0</v>
      </c>
      <c r="AU214" s="160">
        <f t="shared" si="261"/>
        <v>0</v>
      </c>
      <c r="AV214" s="160">
        <f t="shared" si="261"/>
        <v>0</v>
      </c>
      <c r="AW214" s="160">
        <f t="shared" si="261"/>
        <v>0</v>
      </c>
      <c r="AX214" s="160">
        <f t="shared" si="261"/>
        <v>0</v>
      </c>
      <c r="AY214" s="160">
        <f t="shared" si="261"/>
        <v>0</v>
      </c>
      <c r="AZ214" s="160">
        <f t="shared" si="261"/>
        <v>0</v>
      </c>
      <c r="BA214" s="160">
        <f t="shared" si="261"/>
        <v>0</v>
      </c>
      <c r="BB214" s="160">
        <f t="shared" si="261"/>
        <v>0</v>
      </c>
      <c r="BC214" s="160">
        <f t="shared" si="261"/>
        <v>0</v>
      </c>
      <c r="BD214" s="160">
        <f t="shared" si="261"/>
        <v>0</v>
      </c>
      <c r="BE214" s="160">
        <f t="shared" si="261"/>
        <v>0</v>
      </c>
      <c r="BF214" s="160">
        <f t="shared" si="261"/>
        <v>0</v>
      </c>
      <c r="BG214" s="160">
        <f t="shared" si="261"/>
        <v>0</v>
      </c>
      <c r="BH214" s="160">
        <f t="shared" si="261"/>
        <v>0</v>
      </c>
      <c r="BI214" s="160">
        <f t="shared" si="261"/>
        <v>0</v>
      </c>
      <c r="BJ214" s="160">
        <f t="shared" si="261"/>
        <v>0</v>
      </c>
      <c r="BK214" s="160">
        <f t="shared" si="261"/>
        <v>0</v>
      </c>
      <c r="BL214" s="160">
        <f t="shared" si="261"/>
        <v>0</v>
      </c>
      <c r="BM214" s="160">
        <f t="shared" si="261"/>
        <v>0</v>
      </c>
      <c r="BN214" s="160">
        <f t="shared" si="261"/>
        <v>0</v>
      </c>
      <c r="BO214" s="160">
        <f t="shared" si="261"/>
        <v>0</v>
      </c>
      <c r="BP214" s="160">
        <f t="shared" si="261"/>
        <v>0</v>
      </c>
      <c r="BQ214" s="160">
        <f t="shared" si="261"/>
        <v>0</v>
      </c>
      <c r="BR214" s="160">
        <f t="shared" si="261"/>
        <v>0</v>
      </c>
      <c r="BS214" s="65"/>
      <c r="BT214" s="160">
        <f t="shared" si="262"/>
        <v>1</v>
      </c>
      <c r="BU214" s="160">
        <f t="shared" si="263"/>
        <v>10</v>
      </c>
      <c r="BV214" s="65"/>
      <c r="BW214" s="69"/>
      <c r="BX214" s="65"/>
      <c r="BY214" s="137">
        <f t="shared" si="264"/>
        <v>1</v>
      </c>
      <c r="BZ214" s="137">
        <f>IF(BY214&gt;0,BY214+LARGE($BZ$213:BZ213,1),0)</f>
        <v>2</v>
      </c>
      <c r="CA214" s="137" t="str">
        <f t="shared" si="265"/>
        <v>COORD.</v>
      </c>
      <c r="CB214" s="161">
        <f t="shared" si="266"/>
        <v>1</v>
      </c>
      <c r="CC214" s="161">
        <f t="shared" si="267"/>
        <v>1</v>
      </c>
      <c r="CD214" s="161">
        <f t="shared" si="268"/>
        <v>1</v>
      </c>
      <c r="CE214" s="161">
        <f t="shared" si="269"/>
        <v>1</v>
      </c>
      <c r="CF214" s="161">
        <f t="shared" si="270"/>
        <v>1</v>
      </c>
      <c r="CG214" s="161">
        <f t="shared" si="271"/>
        <v>1</v>
      </c>
      <c r="CH214" s="161">
        <f t="shared" si="272"/>
        <v>1</v>
      </c>
      <c r="CI214" s="161">
        <f t="shared" si="273"/>
        <v>1</v>
      </c>
      <c r="CJ214" s="161">
        <f t="shared" si="274"/>
        <v>1</v>
      </c>
      <c r="CK214" s="161">
        <f t="shared" si="275"/>
        <v>1</v>
      </c>
      <c r="CL214" s="161">
        <f t="shared" si="276"/>
        <v>0</v>
      </c>
      <c r="CM214" s="161">
        <f t="shared" si="277"/>
        <v>0</v>
      </c>
      <c r="CN214" s="161">
        <f t="shared" si="278"/>
        <v>0</v>
      </c>
      <c r="CO214" s="161">
        <f t="shared" si="279"/>
        <v>0</v>
      </c>
      <c r="CP214" s="161">
        <f t="shared" si="280"/>
        <v>0</v>
      </c>
      <c r="CQ214" s="161">
        <f t="shared" si="281"/>
        <v>0</v>
      </c>
      <c r="CR214" s="161">
        <f t="shared" si="282"/>
        <v>0</v>
      </c>
      <c r="CS214" s="161">
        <f t="shared" si="283"/>
        <v>0</v>
      </c>
      <c r="CT214" s="161">
        <f t="shared" si="284"/>
        <v>0</v>
      </c>
      <c r="CU214" s="161">
        <f t="shared" si="285"/>
        <v>0</v>
      </c>
      <c r="CV214" s="161">
        <f t="shared" si="286"/>
        <v>0</v>
      </c>
      <c r="CW214" s="161">
        <f t="shared" si="287"/>
        <v>0</v>
      </c>
      <c r="CX214" s="161">
        <f t="shared" si="288"/>
        <v>0</v>
      </c>
      <c r="CY214" s="161">
        <f t="shared" si="289"/>
        <v>0</v>
      </c>
      <c r="CZ214" s="161">
        <f t="shared" si="290"/>
        <v>0</v>
      </c>
      <c r="DA214" s="161">
        <f t="shared" si="291"/>
        <v>0</v>
      </c>
      <c r="DB214" s="161">
        <f t="shared" si="292"/>
        <v>0</v>
      </c>
      <c r="DC214" s="161">
        <f t="shared" si="293"/>
        <v>0</v>
      </c>
      <c r="DD214" s="161">
        <f t="shared" si="294"/>
        <v>0</v>
      </c>
      <c r="DE214" s="161">
        <f t="shared" si="295"/>
        <v>0</v>
      </c>
      <c r="DF214" s="161">
        <f t="shared" si="296"/>
        <v>0</v>
      </c>
      <c r="DG214" s="161">
        <f t="shared" si="297"/>
        <v>0</v>
      </c>
      <c r="DH214" s="161">
        <f t="shared" si="298"/>
        <v>0</v>
      </c>
      <c r="DI214" s="161">
        <f t="shared" si="299"/>
        <v>0</v>
      </c>
      <c r="DJ214" s="161">
        <f t="shared" si="300"/>
        <v>0</v>
      </c>
      <c r="DK214" s="161">
        <f t="shared" si="301"/>
        <v>0</v>
      </c>
      <c r="DL214" s="161">
        <f t="shared" si="301"/>
        <v>0</v>
      </c>
      <c r="DM214" s="161">
        <f t="shared" si="301"/>
        <v>0</v>
      </c>
      <c r="DN214" s="161">
        <f t="shared" si="301"/>
        <v>0</v>
      </c>
      <c r="DO214" s="161">
        <f t="shared" si="301"/>
        <v>0</v>
      </c>
      <c r="DP214" s="161">
        <f t="shared" si="301"/>
        <v>0</v>
      </c>
      <c r="DQ214" s="161">
        <f t="shared" si="301"/>
        <v>0</v>
      </c>
      <c r="DR214" s="161">
        <f t="shared" si="301"/>
        <v>0</v>
      </c>
      <c r="DS214" s="161">
        <f t="shared" si="301"/>
        <v>0</v>
      </c>
      <c r="DT214" s="161">
        <f t="shared" si="301"/>
        <v>0</v>
      </c>
      <c r="DU214" s="161">
        <f t="shared" si="301"/>
        <v>0</v>
      </c>
      <c r="DV214" s="161">
        <f t="shared" si="301"/>
        <v>0</v>
      </c>
      <c r="DW214" s="161">
        <f t="shared" si="301"/>
        <v>0</v>
      </c>
      <c r="DX214" s="161">
        <f t="shared" si="301"/>
        <v>0</v>
      </c>
      <c r="DY214" s="161">
        <f t="shared" si="301"/>
        <v>0</v>
      </c>
      <c r="DZ214" s="161">
        <f t="shared" si="301"/>
        <v>0</v>
      </c>
      <c r="EA214" s="161">
        <f t="shared" si="301"/>
        <v>0</v>
      </c>
      <c r="EB214" s="161">
        <f t="shared" si="301"/>
        <v>0</v>
      </c>
      <c r="EC214" s="161">
        <f t="shared" si="301"/>
        <v>0</v>
      </c>
      <c r="ED214" s="161">
        <f t="shared" si="301"/>
        <v>0</v>
      </c>
      <c r="EE214" s="161">
        <f t="shared" si="301"/>
        <v>0</v>
      </c>
      <c r="EF214" s="161">
        <f t="shared" si="301"/>
        <v>0</v>
      </c>
      <c r="EG214" s="161">
        <f t="shared" si="301"/>
        <v>0</v>
      </c>
      <c r="EH214" s="161">
        <f t="shared" si="301"/>
        <v>0</v>
      </c>
      <c r="EI214" s="161">
        <f t="shared" si="301"/>
        <v>0</v>
      </c>
      <c r="EJ214" s="65"/>
      <c r="EK214" s="161">
        <f t="shared" ref="EK214:EK232" si="304">$EK$212</f>
        <v>0</v>
      </c>
      <c r="EL214" s="161">
        <f t="shared" ref="EL214:EL232" si="305">$EL$212</f>
        <v>0</v>
      </c>
      <c r="EM214" s="161">
        <f t="shared" ref="EM214:EM232" si="306">$EM$212</f>
        <v>0</v>
      </c>
    </row>
    <row r="215" spans="1:143" ht="12" hidden="1" customHeight="1" outlineLevel="2">
      <c r="A215" s="77">
        <v>3</v>
      </c>
      <c r="B215" s="137" t="str">
        <f t="shared" si="302"/>
        <v>SUP.-ESP - Equipe_01</v>
      </c>
      <c r="C215" s="65"/>
      <c r="D215" s="622"/>
      <c r="E215" s="65"/>
      <c r="F215" s="584"/>
      <c r="G215" s="77" t="str">
        <f>IF(INDEX(Tarefas!$BT$30:$FK$30,MATCH(A215,Tarefas!$BT$28:$FK$28,0))=0,"",INDEX(Tarefas!$BT$30:$FK$30,MATCH(A215,Tarefas!$BT$28:$FK$28,0)))</f>
        <v>SUP.-ESP</v>
      </c>
      <c r="H215" s="107" cm="1">
        <f t="array" ref="H215">IFERROR((SUMPRODUCT((Tarefas!$N$32:$N$54='Cronog. e Histog.'!$F$213)*(Tarefas!$BQ$30:$FK$30='Cronog. e Histog.'!$G215)*(Tarefas!$BQ$32:$FK$54)))/SUMIF(Tarefas!$N$32:$N$54,'Cronog. e Histog.'!$F$213,Tarefas!$K$32:$K$54),0)</f>
        <v>0</v>
      </c>
      <c r="I215" s="79">
        <f t="shared" si="303"/>
        <v>0</v>
      </c>
      <c r="J215" s="65"/>
      <c r="K215" s="160">
        <f t="shared" ref="K215:Z232" si="307">ROUND($I215*K$183,2)</f>
        <v>0</v>
      </c>
      <c r="L215" s="160">
        <f t="shared" si="307"/>
        <v>0</v>
      </c>
      <c r="M215" s="160">
        <f t="shared" si="307"/>
        <v>0</v>
      </c>
      <c r="N215" s="160">
        <f t="shared" si="307"/>
        <v>0</v>
      </c>
      <c r="O215" s="160">
        <f t="shared" si="307"/>
        <v>0</v>
      </c>
      <c r="P215" s="160">
        <f t="shared" si="307"/>
        <v>0</v>
      </c>
      <c r="Q215" s="160">
        <f t="shared" si="307"/>
        <v>0</v>
      </c>
      <c r="R215" s="160">
        <f t="shared" si="307"/>
        <v>0</v>
      </c>
      <c r="S215" s="160">
        <f t="shared" si="307"/>
        <v>0</v>
      </c>
      <c r="T215" s="160">
        <f t="shared" si="307"/>
        <v>0</v>
      </c>
      <c r="U215" s="160">
        <f t="shared" si="307"/>
        <v>0</v>
      </c>
      <c r="V215" s="160">
        <f t="shared" si="307"/>
        <v>0</v>
      </c>
      <c r="W215" s="160">
        <f t="shared" si="307"/>
        <v>0</v>
      </c>
      <c r="X215" s="160">
        <f t="shared" si="307"/>
        <v>0</v>
      </c>
      <c r="Y215" s="160">
        <f t="shared" si="307"/>
        <v>0</v>
      </c>
      <c r="Z215" s="160">
        <f t="shared" si="307"/>
        <v>0</v>
      </c>
      <c r="AA215" s="160">
        <f t="shared" si="261"/>
        <v>0</v>
      </c>
      <c r="AB215" s="160">
        <f t="shared" si="261"/>
        <v>0</v>
      </c>
      <c r="AC215" s="160">
        <f t="shared" si="261"/>
        <v>0</v>
      </c>
      <c r="AD215" s="160">
        <f t="shared" si="261"/>
        <v>0</v>
      </c>
      <c r="AE215" s="160">
        <f t="shared" si="261"/>
        <v>0</v>
      </c>
      <c r="AF215" s="160">
        <f t="shared" si="261"/>
        <v>0</v>
      </c>
      <c r="AG215" s="160">
        <f t="shared" si="261"/>
        <v>0</v>
      </c>
      <c r="AH215" s="160">
        <f t="shared" si="261"/>
        <v>0</v>
      </c>
      <c r="AI215" s="160">
        <f t="shared" si="261"/>
        <v>0</v>
      </c>
      <c r="AJ215" s="160">
        <f t="shared" si="261"/>
        <v>0</v>
      </c>
      <c r="AK215" s="160">
        <f t="shared" si="261"/>
        <v>0</v>
      </c>
      <c r="AL215" s="160">
        <f t="shared" si="261"/>
        <v>0</v>
      </c>
      <c r="AM215" s="160">
        <f t="shared" si="261"/>
        <v>0</v>
      </c>
      <c r="AN215" s="160">
        <f t="shared" si="261"/>
        <v>0</v>
      </c>
      <c r="AO215" s="160">
        <f t="shared" si="261"/>
        <v>0</v>
      </c>
      <c r="AP215" s="160">
        <f t="shared" si="261"/>
        <v>0</v>
      </c>
      <c r="AQ215" s="160">
        <f t="shared" si="261"/>
        <v>0</v>
      </c>
      <c r="AR215" s="160">
        <f t="shared" si="261"/>
        <v>0</v>
      </c>
      <c r="AS215" s="160">
        <f t="shared" si="261"/>
        <v>0</v>
      </c>
      <c r="AT215" s="160">
        <f t="shared" si="261"/>
        <v>0</v>
      </c>
      <c r="AU215" s="160">
        <f t="shared" si="261"/>
        <v>0</v>
      </c>
      <c r="AV215" s="160">
        <f t="shared" si="261"/>
        <v>0</v>
      </c>
      <c r="AW215" s="160">
        <f t="shared" si="261"/>
        <v>0</v>
      </c>
      <c r="AX215" s="160">
        <f t="shared" si="261"/>
        <v>0</v>
      </c>
      <c r="AY215" s="160">
        <f t="shared" si="261"/>
        <v>0</v>
      </c>
      <c r="AZ215" s="160">
        <f t="shared" si="261"/>
        <v>0</v>
      </c>
      <c r="BA215" s="160">
        <f t="shared" si="261"/>
        <v>0</v>
      </c>
      <c r="BB215" s="160">
        <f t="shared" si="261"/>
        <v>0</v>
      </c>
      <c r="BC215" s="160">
        <f t="shared" si="261"/>
        <v>0</v>
      </c>
      <c r="BD215" s="160">
        <f t="shared" si="261"/>
        <v>0</v>
      </c>
      <c r="BE215" s="160">
        <f t="shared" si="261"/>
        <v>0</v>
      </c>
      <c r="BF215" s="160">
        <f t="shared" si="261"/>
        <v>0</v>
      </c>
      <c r="BG215" s="160">
        <f t="shared" si="261"/>
        <v>0</v>
      </c>
      <c r="BH215" s="160">
        <f t="shared" si="261"/>
        <v>0</v>
      </c>
      <c r="BI215" s="160">
        <f t="shared" si="261"/>
        <v>0</v>
      </c>
      <c r="BJ215" s="160">
        <f t="shared" si="261"/>
        <v>0</v>
      </c>
      <c r="BK215" s="160">
        <f t="shared" si="261"/>
        <v>0</v>
      </c>
      <c r="BL215" s="160">
        <f t="shared" si="261"/>
        <v>0</v>
      </c>
      <c r="BM215" s="160">
        <f t="shared" si="261"/>
        <v>0</v>
      </c>
      <c r="BN215" s="160">
        <f t="shared" si="261"/>
        <v>0</v>
      </c>
      <c r="BO215" s="160">
        <f t="shared" si="261"/>
        <v>0</v>
      </c>
      <c r="BP215" s="160">
        <f t="shared" si="261"/>
        <v>0</v>
      </c>
      <c r="BQ215" s="160">
        <f t="shared" si="261"/>
        <v>0</v>
      </c>
      <c r="BR215" s="160">
        <f t="shared" si="261"/>
        <v>0</v>
      </c>
      <c r="BS215" s="65"/>
      <c r="BT215" s="160">
        <f t="shared" si="262"/>
        <v>0</v>
      </c>
      <c r="BU215" s="160">
        <f t="shared" si="263"/>
        <v>0</v>
      </c>
      <c r="BV215" s="65"/>
      <c r="BW215" s="69"/>
      <c r="BX215" s="65"/>
      <c r="BY215" s="137">
        <f t="shared" si="264"/>
        <v>1</v>
      </c>
      <c r="BZ215" s="137">
        <f>IF(BY215&gt;0,BY215+LARGE($BZ$213:BZ214,1),0)</f>
        <v>3</v>
      </c>
      <c r="CA215" s="137" t="str">
        <f t="shared" si="265"/>
        <v>SUP.-ESP</v>
      </c>
      <c r="CB215" s="161">
        <f t="shared" si="266"/>
        <v>0</v>
      </c>
      <c r="CC215" s="161">
        <f t="shared" si="267"/>
        <v>0</v>
      </c>
      <c r="CD215" s="161">
        <f t="shared" si="268"/>
        <v>0</v>
      </c>
      <c r="CE215" s="161">
        <f t="shared" si="269"/>
        <v>0</v>
      </c>
      <c r="CF215" s="161">
        <f t="shared" si="270"/>
        <v>0</v>
      </c>
      <c r="CG215" s="161">
        <f t="shared" si="271"/>
        <v>0</v>
      </c>
      <c r="CH215" s="161">
        <f t="shared" si="272"/>
        <v>0</v>
      </c>
      <c r="CI215" s="161">
        <f t="shared" si="273"/>
        <v>0</v>
      </c>
      <c r="CJ215" s="161">
        <f t="shared" si="274"/>
        <v>0</v>
      </c>
      <c r="CK215" s="161">
        <f t="shared" si="275"/>
        <v>0</v>
      </c>
      <c r="CL215" s="161">
        <f t="shared" si="276"/>
        <v>0</v>
      </c>
      <c r="CM215" s="161">
        <f t="shared" si="277"/>
        <v>0</v>
      </c>
      <c r="CN215" s="161">
        <f t="shared" si="278"/>
        <v>0</v>
      </c>
      <c r="CO215" s="161">
        <f t="shared" si="279"/>
        <v>0</v>
      </c>
      <c r="CP215" s="161">
        <f t="shared" si="280"/>
        <v>0</v>
      </c>
      <c r="CQ215" s="161">
        <f t="shared" si="281"/>
        <v>0</v>
      </c>
      <c r="CR215" s="161">
        <f t="shared" si="282"/>
        <v>0</v>
      </c>
      <c r="CS215" s="161">
        <f t="shared" si="283"/>
        <v>0</v>
      </c>
      <c r="CT215" s="161">
        <f t="shared" si="284"/>
        <v>0</v>
      </c>
      <c r="CU215" s="161">
        <f t="shared" si="285"/>
        <v>0</v>
      </c>
      <c r="CV215" s="161">
        <f t="shared" si="286"/>
        <v>0</v>
      </c>
      <c r="CW215" s="161">
        <f t="shared" si="287"/>
        <v>0</v>
      </c>
      <c r="CX215" s="161">
        <f t="shared" si="288"/>
        <v>0</v>
      </c>
      <c r="CY215" s="161">
        <f t="shared" si="289"/>
        <v>0</v>
      </c>
      <c r="CZ215" s="161">
        <f t="shared" si="290"/>
        <v>0</v>
      </c>
      <c r="DA215" s="161">
        <f t="shared" si="291"/>
        <v>0</v>
      </c>
      <c r="DB215" s="161">
        <f t="shared" si="292"/>
        <v>0</v>
      </c>
      <c r="DC215" s="161">
        <f t="shared" si="293"/>
        <v>0</v>
      </c>
      <c r="DD215" s="161">
        <f t="shared" si="294"/>
        <v>0</v>
      </c>
      <c r="DE215" s="161">
        <f t="shared" si="295"/>
        <v>0</v>
      </c>
      <c r="DF215" s="161">
        <f t="shared" si="296"/>
        <v>0</v>
      </c>
      <c r="DG215" s="161">
        <f t="shared" si="297"/>
        <v>0</v>
      </c>
      <c r="DH215" s="161">
        <f t="shared" si="298"/>
        <v>0</v>
      </c>
      <c r="DI215" s="161">
        <f t="shared" si="299"/>
        <v>0</v>
      </c>
      <c r="DJ215" s="161">
        <f t="shared" si="300"/>
        <v>0</v>
      </c>
      <c r="DK215" s="161">
        <f t="shared" si="301"/>
        <v>0</v>
      </c>
      <c r="DL215" s="161">
        <f t="shared" si="301"/>
        <v>0</v>
      </c>
      <c r="DM215" s="161">
        <f t="shared" si="301"/>
        <v>0</v>
      </c>
      <c r="DN215" s="161">
        <f t="shared" si="301"/>
        <v>0</v>
      </c>
      <c r="DO215" s="161">
        <f t="shared" si="301"/>
        <v>0</v>
      </c>
      <c r="DP215" s="161">
        <f t="shared" si="301"/>
        <v>0</v>
      </c>
      <c r="DQ215" s="161">
        <f t="shared" si="301"/>
        <v>0</v>
      </c>
      <c r="DR215" s="161">
        <f t="shared" si="301"/>
        <v>0</v>
      </c>
      <c r="DS215" s="161">
        <f t="shared" si="301"/>
        <v>0</v>
      </c>
      <c r="DT215" s="161">
        <f t="shared" si="301"/>
        <v>0</v>
      </c>
      <c r="DU215" s="161">
        <f t="shared" si="301"/>
        <v>0</v>
      </c>
      <c r="DV215" s="161">
        <f t="shared" si="301"/>
        <v>0</v>
      </c>
      <c r="DW215" s="161">
        <f t="shared" si="301"/>
        <v>0</v>
      </c>
      <c r="DX215" s="161">
        <f t="shared" si="301"/>
        <v>0</v>
      </c>
      <c r="DY215" s="161">
        <f t="shared" si="301"/>
        <v>0</v>
      </c>
      <c r="DZ215" s="161">
        <f t="shared" si="301"/>
        <v>0</v>
      </c>
      <c r="EA215" s="161">
        <f t="shared" si="301"/>
        <v>0</v>
      </c>
      <c r="EB215" s="161">
        <f t="shared" si="301"/>
        <v>0</v>
      </c>
      <c r="EC215" s="161">
        <f t="shared" si="301"/>
        <v>0</v>
      </c>
      <c r="ED215" s="161">
        <f t="shared" si="301"/>
        <v>0</v>
      </c>
      <c r="EE215" s="161">
        <f t="shared" si="301"/>
        <v>0</v>
      </c>
      <c r="EF215" s="161">
        <f t="shared" si="301"/>
        <v>0</v>
      </c>
      <c r="EG215" s="161">
        <f t="shared" si="301"/>
        <v>0</v>
      </c>
      <c r="EH215" s="161">
        <f t="shared" si="301"/>
        <v>0</v>
      </c>
      <c r="EI215" s="161">
        <f t="shared" si="301"/>
        <v>0</v>
      </c>
      <c r="EJ215" s="65"/>
      <c r="EK215" s="161">
        <f t="shared" si="304"/>
        <v>0</v>
      </c>
      <c r="EL215" s="161">
        <f t="shared" si="305"/>
        <v>0</v>
      </c>
      <c r="EM215" s="161">
        <f t="shared" si="306"/>
        <v>0</v>
      </c>
    </row>
    <row r="216" spans="1:143" ht="12" hidden="1" customHeight="1" outlineLevel="2">
      <c r="A216" s="77">
        <v>4</v>
      </c>
      <c r="B216" s="137" t="str">
        <f t="shared" si="302"/>
        <v>ENG/ARQ SR. - Equipe_01</v>
      </c>
      <c r="C216" s="65"/>
      <c r="D216" s="622"/>
      <c r="E216" s="65"/>
      <c r="F216" s="584"/>
      <c r="G216" s="77" t="str">
        <f>IF(INDEX(Tarefas!$BT$30:$FK$30,MATCH(A216,Tarefas!$BT$28:$FK$28,0))=0,"",INDEX(Tarefas!$BT$30:$FK$30,MATCH(A216,Tarefas!$BT$28:$FK$28,0)))</f>
        <v>ENG/ARQ SR.</v>
      </c>
      <c r="H216" s="107" cm="1">
        <f t="array" ref="H216">IFERROR((SUMPRODUCT((Tarefas!$N$32:$N$54='Cronog. e Histog.'!$F$213)*(Tarefas!$BQ$30:$FK$30='Cronog. e Histog.'!$G216)*(Tarefas!$BQ$32:$FK$54)))/SUMIF(Tarefas!$N$32:$N$54,'Cronog. e Histog.'!$F$213,Tarefas!$K$32:$K$54),0)</f>
        <v>1.2145748987854253E-2</v>
      </c>
      <c r="I216" s="79">
        <f t="shared" si="303"/>
        <v>1.2145748987854253E-2</v>
      </c>
      <c r="J216" s="65"/>
      <c r="K216" s="160">
        <f t="shared" si="307"/>
        <v>0.01</v>
      </c>
      <c r="L216" s="160">
        <f t="shared" si="261"/>
        <v>0.01</v>
      </c>
      <c r="M216" s="160">
        <f t="shared" si="261"/>
        <v>0.01</v>
      </c>
      <c r="N216" s="160">
        <f t="shared" si="261"/>
        <v>0.01</v>
      </c>
      <c r="O216" s="160">
        <f t="shared" si="261"/>
        <v>0.01</v>
      </c>
      <c r="P216" s="160">
        <f t="shared" si="261"/>
        <v>0.01</v>
      </c>
      <c r="Q216" s="160">
        <f t="shared" si="261"/>
        <v>0.01</v>
      </c>
      <c r="R216" s="160">
        <f t="shared" si="261"/>
        <v>0.01</v>
      </c>
      <c r="S216" s="160">
        <f t="shared" si="261"/>
        <v>0.01</v>
      </c>
      <c r="T216" s="160">
        <f t="shared" si="261"/>
        <v>0.01</v>
      </c>
      <c r="U216" s="160">
        <f t="shared" si="261"/>
        <v>0</v>
      </c>
      <c r="V216" s="160">
        <f t="shared" si="261"/>
        <v>0</v>
      </c>
      <c r="W216" s="160">
        <f t="shared" si="261"/>
        <v>0</v>
      </c>
      <c r="X216" s="160">
        <f t="shared" si="261"/>
        <v>0</v>
      </c>
      <c r="Y216" s="160">
        <f t="shared" si="261"/>
        <v>0</v>
      </c>
      <c r="Z216" s="160">
        <f t="shared" si="261"/>
        <v>0</v>
      </c>
      <c r="AA216" s="160">
        <f t="shared" si="261"/>
        <v>0</v>
      </c>
      <c r="AB216" s="160">
        <f t="shared" si="261"/>
        <v>0</v>
      </c>
      <c r="AC216" s="160">
        <f t="shared" si="261"/>
        <v>0</v>
      </c>
      <c r="AD216" s="160">
        <f t="shared" si="261"/>
        <v>0</v>
      </c>
      <c r="AE216" s="160">
        <f t="shared" si="261"/>
        <v>0</v>
      </c>
      <c r="AF216" s="160">
        <f t="shared" si="261"/>
        <v>0</v>
      </c>
      <c r="AG216" s="160">
        <f t="shared" si="261"/>
        <v>0</v>
      </c>
      <c r="AH216" s="160">
        <f t="shared" si="261"/>
        <v>0</v>
      </c>
      <c r="AI216" s="160">
        <f t="shared" si="261"/>
        <v>0</v>
      </c>
      <c r="AJ216" s="160">
        <f t="shared" si="261"/>
        <v>0</v>
      </c>
      <c r="AK216" s="160">
        <f t="shared" si="261"/>
        <v>0</v>
      </c>
      <c r="AL216" s="160">
        <f t="shared" si="261"/>
        <v>0</v>
      </c>
      <c r="AM216" s="160">
        <f t="shared" si="261"/>
        <v>0</v>
      </c>
      <c r="AN216" s="160">
        <f t="shared" si="261"/>
        <v>0</v>
      </c>
      <c r="AO216" s="160">
        <f t="shared" si="261"/>
        <v>0</v>
      </c>
      <c r="AP216" s="160">
        <f t="shared" si="261"/>
        <v>0</v>
      </c>
      <c r="AQ216" s="160">
        <f t="shared" si="261"/>
        <v>0</v>
      </c>
      <c r="AR216" s="160">
        <f t="shared" si="261"/>
        <v>0</v>
      </c>
      <c r="AS216" s="160">
        <f t="shared" si="261"/>
        <v>0</v>
      </c>
      <c r="AT216" s="160">
        <f t="shared" si="261"/>
        <v>0</v>
      </c>
      <c r="AU216" s="160">
        <f t="shared" si="261"/>
        <v>0</v>
      </c>
      <c r="AV216" s="160">
        <f t="shared" si="261"/>
        <v>0</v>
      </c>
      <c r="AW216" s="160">
        <f t="shared" si="261"/>
        <v>0</v>
      </c>
      <c r="AX216" s="160">
        <f t="shared" si="261"/>
        <v>0</v>
      </c>
      <c r="AY216" s="160">
        <f t="shared" si="261"/>
        <v>0</v>
      </c>
      <c r="AZ216" s="160">
        <f t="shared" si="261"/>
        <v>0</v>
      </c>
      <c r="BA216" s="160">
        <f t="shared" si="261"/>
        <v>0</v>
      </c>
      <c r="BB216" s="160">
        <f t="shared" si="261"/>
        <v>0</v>
      </c>
      <c r="BC216" s="160">
        <f t="shared" si="261"/>
        <v>0</v>
      </c>
      <c r="BD216" s="160">
        <f t="shared" si="261"/>
        <v>0</v>
      </c>
      <c r="BE216" s="160">
        <f t="shared" si="261"/>
        <v>0</v>
      </c>
      <c r="BF216" s="160">
        <f t="shared" si="261"/>
        <v>0</v>
      </c>
      <c r="BG216" s="160">
        <f t="shared" si="261"/>
        <v>0</v>
      </c>
      <c r="BH216" s="160">
        <f t="shared" si="261"/>
        <v>0</v>
      </c>
      <c r="BI216" s="160">
        <f t="shared" si="261"/>
        <v>0</v>
      </c>
      <c r="BJ216" s="160">
        <f t="shared" si="261"/>
        <v>0</v>
      </c>
      <c r="BK216" s="160">
        <f t="shared" si="261"/>
        <v>0</v>
      </c>
      <c r="BL216" s="160">
        <f t="shared" si="261"/>
        <v>0</v>
      </c>
      <c r="BM216" s="160">
        <f t="shared" si="261"/>
        <v>0</v>
      </c>
      <c r="BN216" s="160">
        <f t="shared" si="261"/>
        <v>0</v>
      </c>
      <c r="BO216" s="160">
        <f t="shared" si="261"/>
        <v>0</v>
      </c>
      <c r="BP216" s="160">
        <f t="shared" si="261"/>
        <v>0</v>
      </c>
      <c r="BQ216" s="160">
        <f t="shared" si="261"/>
        <v>0</v>
      </c>
      <c r="BR216" s="160">
        <f t="shared" si="261"/>
        <v>0</v>
      </c>
      <c r="BS216" s="65"/>
      <c r="BT216" s="160">
        <f t="shared" si="262"/>
        <v>9.9999999999999985E-3</v>
      </c>
      <c r="BU216" s="160">
        <f t="shared" si="263"/>
        <v>10</v>
      </c>
      <c r="BV216" s="65"/>
      <c r="BW216" s="69"/>
      <c r="BX216" s="65"/>
      <c r="BY216" s="137">
        <f t="shared" si="264"/>
        <v>1</v>
      </c>
      <c r="BZ216" s="137">
        <f>IF(BY216&gt;0,BY216+LARGE($BZ$213:BZ215,1),0)</f>
        <v>4</v>
      </c>
      <c r="CA216" s="137" t="str">
        <f t="shared" si="265"/>
        <v>ENG/ARQ SR.</v>
      </c>
      <c r="CB216" s="161">
        <f t="shared" si="266"/>
        <v>0.01</v>
      </c>
      <c r="CC216" s="161">
        <f t="shared" si="267"/>
        <v>0.01</v>
      </c>
      <c r="CD216" s="161">
        <f t="shared" si="268"/>
        <v>0.01</v>
      </c>
      <c r="CE216" s="161">
        <f t="shared" si="269"/>
        <v>0.01</v>
      </c>
      <c r="CF216" s="161">
        <f t="shared" si="270"/>
        <v>0.01</v>
      </c>
      <c r="CG216" s="161">
        <f t="shared" si="271"/>
        <v>0.01</v>
      </c>
      <c r="CH216" s="161">
        <f t="shared" si="272"/>
        <v>0.01</v>
      </c>
      <c r="CI216" s="161">
        <f t="shared" si="273"/>
        <v>0.01</v>
      </c>
      <c r="CJ216" s="161">
        <f t="shared" si="274"/>
        <v>0.01</v>
      </c>
      <c r="CK216" s="161">
        <f t="shared" si="275"/>
        <v>0.01</v>
      </c>
      <c r="CL216" s="161">
        <f t="shared" si="276"/>
        <v>0</v>
      </c>
      <c r="CM216" s="161">
        <f t="shared" si="277"/>
        <v>0</v>
      </c>
      <c r="CN216" s="161">
        <f t="shared" si="278"/>
        <v>0</v>
      </c>
      <c r="CO216" s="161">
        <f t="shared" si="279"/>
        <v>0</v>
      </c>
      <c r="CP216" s="161">
        <f t="shared" si="280"/>
        <v>0</v>
      </c>
      <c r="CQ216" s="161">
        <f t="shared" si="281"/>
        <v>0</v>
      </c>
      <c r="CR216" s="161">
        <f t="shared" si="282"/>
        <v>0</v>
      </c>
      <c r="CS216" s="161">
        <f t="shared" si="283"/>
        <v>0</v>
      </c>
      <c r="CT216" s="161">
        <f t="shared" si="284"/>
        <v>0</v>
      </c>
      <c r="CU216" s="161">
        <f t="shared" si="285"/>
        <v>0</v>
      </c>
      <c r="CV216" s="161">
        <f t="shared" si="286"/>
        <v>0</v>
      </c>
      <c r="CW216" s="161">
        <f t="shared" si="287"/>
        <v>0</v>
      </c>
      <c r="CX216" s="161">
        <f t="shared" si="288"/>
        <v>0</v>
      </c>
      <c r="CY216" s="161">
        <f t="shared" si="289"/>
        <v>0</v>
      </c>
      <c r="CZ216" s="161">
        <f t="shared" si="290"/>
        <v>0</v>
      </c>
      <c r="DA216" s="161">
        <f t="shared" si="291"/>
        <v>0</v>
      </c>
      <c r="DB216" s="161">
        <f t="shared" si="292"/>
        <v>0</v>
      </c>
      <c r="DC216" s="161">
        <f t="shared" si="293"/>
        <v>0</v>
      </c>
      <c r="DD216" s="161">
        <f t="shared" si="294"/>
        <v>0</v>
      </c>
      <c r="DE216" s="161">
        <f t="shared" si="295"/>
        <v>0</v>
      </c>
      <c r="DF216" s="161">
        <f t="shared" si="296"/>
        <v>0</v>
      </c>
      <c r="DG216" s="161">
        <f t="shared" si="297"/>
        <v>0</v>
      </c>
      <c r="DH216" s="161">
        <f t="shared" si="298"/>
        <v>0</v>
      </c>
      <c r="DI216" s="161">
        <f t="shared" si="299"/>
        <v>0</v>
      </c>
      <c r="DJ216" s="161">
        <f t="shared" si="300"/>
        <v>0</v>
      </c>
      <c r="DK216" s="161">
        <f t="shared" si="301"/>
        <v>0</v>
      </c>
      <c r="DL216" s="161">
        <f t="shared" si="301"/>
        <v>0</v>
      </c>
      <c r="DM216" s="161">
        <f t="shared" si="301"/>
        <v>0</v>
      </c>
      <c r="DN216" s="161">
        <f t="shared" si="301"/>
        <v>0</v>
      </c>
      <c r="DO216" s="161">
        <f t="shared" si="301"/>
        <v>0</v>
      </c>
      <c r="DP216" s="161">
        <f t="shared" si="301"/>
        <v>0</v>
      </c>
      <c r="DQ216" s="161">
        <f t="shared" si="301"/>
        <v>0</v>
      </c>
      <c r="DR216" s="161">
        <f t="shared" si="301"/>
        <v>0</v>
      </c>
      <c r="DS216" s="161">
        <f t="shared" si="301"/>
        <v>0</v>
      </c>
      <c r="DT216" s="161">
        <f t="shared" si="301"/>
        <v>0</v>
      </c>
      <c r="DU216" s="161">
        <f t="shared" si="301"/>
        <v>0</v>
      </c>
      <c r="DV216" s="161">
        <f t="shared" si="301"/>
        <v>0</v>
      </c>
      <c r="DW216" s="161">
        <f t="shared" si="301"/>
        <v>0</v>
      </c>
      <c r="DX216" s="161">
        <f t="shared" si="301"/>
        <v>0</v>
      </c>
      <c r="DY216" s="161">
        <f t="shared" si="301"/>
        <v>0</v>
      </c>
      <c r="DZ216" s="161">
        <f t="shared" si="301"/>
        <v>0</v>
      </c>
      <c r="EA216" s="161">
        <f t="shared" si="301"/>
        <v>0</v>
      </c>
      <c r="EB216" s="161">
        <f t="shared" si="301"/>
        <v>0</v>
      </c>
      <c r="EC216" s="161">
        <f t="shared" si="301"/>
        <v>0</v>
      </c>
      <c r="ED216" s="161">
        <f t="shared" si="301"/>
        <v>0</v>
      </c>
      <c r="EE216" s="161">
        <f t="shared" si="301"/>
        <v>0</v>
      </c>
      <c r="EF216" s="161">
        <f t="shared" si="301"/>
        <v>0</v>
      </c>
      <c r="EG216" s="161">
        <f t="shared" si="301"/>
        <v>0</v>
      </c>
      <c r="EH216" s="161">
        <f t="shared" si="301"/>
        <v>0</v>
      </c>
      <c r="EI216" s="161">
        <f t="shared" si="301"/>
        <v>0</v>
      </c>
      <c r="EJ216" s="65"/>
      <c r="EK216" s="161">
        <f t="shared" si="304"/>
        <v>0</v>
      </c>
      <c r="EL216" s="161">
        <f t="shared" si="305"/>
        <v>0</v>
      </c>
      <c r="EM216" s="161">
        <f>$EM$212</f>
        <v>0</v>
      </c>
    </row>
    <row r="217" spans="1:143" ht="12" hidden="1" customHeight="1" outlineLevel="2">
      <c r="A217" s="77">
        <v>5</v>
      </c>
      <c r="B217" s="137" t="str">
        <f t="shared" si="302"/>
        <v>ENG/ARQ PL. - Equipe_01</v>
      </c>
      <c r="C217" s="65"/>
      <c r="D217" s="622"/>
      <c r="E217" s="65"/>
      <c r="F217" s="584"/>
      <c r="G217" s="77" t="str">
        <f>IF(INDEX(Tarefas!$BT$30:$FK$30,MATCH(A217,Tarefas!$BT$28:$FK$28,0))=0,"",INDEX(Tarefas!$BT$30:$FK$30,MATCH(A217,Tarefas!$BT$28:$FK$28,0)))</f>
        <v>ENG/ARQ PL.</v>
      </c>
      <c r="H217" s="107" cm="1">
        <f t="array" ref="H217">IFERROR((SUMPRODUCT((Tarefas!$N$32:$N$54='Cronog. e Histog.'!$F$213)*(Tarefas!$BQ$30:$FK$30='Cronog. e Histog.'!$G217)*(Tarefas!$BQ$32:$FK$54)))/SUMIF(Tarefas!$N$32:$N$54,'Cronog. e Histog.'!$F$213,Tarefas!$K$32:$K$54),0)</f>
        <v>0</v>
      </c>
      <c r="I217" s="79">
        <f t="shared" si="303"/>
        <v>0</v>
      </c>
      <c r="J217" s="65"/>
      <c r="K217" s="160">
        <f t="shared" si="307"/>
        <v>0</v>
      </c>
      <c r="L217" s="160">
        <f t="shared" si="261"/>
        <v>0</v>
      </c>
      <c r="M217" s="160">
        <f t="shared" si="261"/>
        <v>0</v>
      </c>
      <c r="N217" s="160">
        <f t="shared" si="261"/>
        <v>0</v>
      </c>
      <c r="O217" s="160">
        <f t="shared" si="261"/>
        <v>0</v>
      </c>
      <c r="P217" s="160">
        <f t="shared" si="261"/>
        <v>0</v>
      </c>
      <c r="Q217" s="160">
        <f t="shared" si="261"/>
        <v>0</v>
      </c>
      <c r="R217" s="160">
        <f t="shared" si="261"/>
        <v>0</v>
      </c>
      <c r="S217" s="160">
        <f t="shared" si="261"/>
        <v>0</v>
      </c>
      <c r="T217" s="160">
        <f t="shared" si="261"/>
        <v>0</v>
      </c>
      <c r="U217" s="160">
        <f t="shared" si="261"/>
        <v>0</v>
      </c>
      <c r="V217" s="160">
        <f t="shared" si="261"/>
        <v>0</v>
      </c>
      <c r="W217" s="160">
        <f t="shared" si="261"/>
        <v>0</v>
      </c>
      <c r="X217" s="160">
        <f t="shared" si="261"/>
        <v>0</v>
      </c>
      <c r="Y217" s="160">
        <f t="shared" si="261"/>
        <v>0</v>
      </c>
      <c r="Z217" s="160">
        <f t="shared" si="261"/>
        <v>0</v>
      </c>
      <c r="AA217" s="160">
        <f t="shared" si="261"/>
        <v>0</v>
      </c>
      <c r="AB217" s="160">
        <f t="shared" si="261"/>
        <v>0</v>
      </c>
      <c r="AC217" s="160">
        <f t="shared" si="261"/>
        <v>0</v>
      </c>
      <c r="AD217" s="160">
        <f t="shared" si="261"/>
        <v>0</v>
      </c>
      <c r="AE217" s="160">
        <f t="shared" si="261"/>
        <v>0</v>
      </c>
      <c r="AF217" s="160">
        <f t="shared" si="261"/>
        <v>0</v>
      </c>
      <c r="AG217" s="160">
        <f t="shared" si="261"/>
        <v>0</v>
      </c>
      <c r="AH217" s="160">
        <f t="shared" si="261"/>
        <v>0</v>
      </c>
      <c r="AI217" s="160">
        <f t="shared" si="261"/>
        <v>0</v>
      </c>
      <c r="AJ217" s="160">
        <f t="shared" si="261"/>
        <v>0</v>
      </c>
      <c r="AK217" s="160">
        <f t="shared" si="261"/>
        <v>0</v>
      </c>
      <c r="AL217" s="160">
        <f t="shared" si="261"/>
        <v>0</v>
      </c>
      <c r="AM217" s="160">
        <f t="shared" si="261"/>
        <v>0</v>
      </c>
      <c r="AN217" s="160">
        <f t="shared" si="261"/>
        <v>0</v>
      </c>
      <c r="AO217" s="160">
        <f t="shared" si="261"/>
        <v>0</v>
      </c>
      <c r="AP217" s="160">
        <f t="shared" si="261"/>
        <v>0</v>
      </c>
      <c r="AQ217" s="160">
        <f t="shared" si="261"/>
        <v>0</v>
      </c>
      <c r="AR217" s="160">
        <f t="shared" si="261"/>
        <v>0</v>
      </c>
      <c r="AS217" s="160">
        <f t="shared" si="261"/>
        <v>0</v>
      </c>
      <c r="AT217" s="160">
        <f t="shared" ref="L217:BR231" si="308">ROUND($I217*AT$183,2)</f>
        <v>0</v>
      </c>
      <c r="AU217" s="160">
        <f t="shared" si="308"/>
        <v>0</v>
      </c>
      <c r="AV217" s="160">
        <f t="shared" si="308"/>
        <v>0</v>
      </c>
      <c r="AW217" s="160">
        <f t="shared" si="308"/>
        <v>0</v>
      </c>
      <c r="AX217" s="160">
        <f t="shared" si="308"/>
        <v>0</v>
      </c>
      <c r="AY217" s="160">
        <f t="shared" si="308"/>
        <v>0</v>
      </c>
      <c r="AZ217" s="160">
        <f t="shared" si="308"/>
        <v>0</v>
      </c>
      <c r="BA217" s="160">
        <f t="shared" si="308"/>
        <v>0</v>
      </c>
      <c r="BB217" s="160">
        <f t="shared" si="308"/>
        <v>0</v>
      </c>
      <c r="BC217" s="160">
        <f t="shared" si="308"/>
        <v>0</v>
      </c>
      <c r="BD217" s="160">
        <f t="shared" si="308"/>
        <v>0</v>
      </c>
      <c r="BE217" s="160">
        <f t="shared" si="308"/>
        <v>0</v>
      </c>
      <c r="BF217" s="160">
        <f t="shared" si="308"/>
        <v>0</v>
      </c>
      <c r="BG217" s="160">
        <f t="shared" si="308"/>
        <v>0</v>
      </c>
      <c r="BH217" s="160">
        <f t="shared" si="308"/>
        <v>0</v>
      </c>
      <c r="BI217" s="160">
        <f t="shared" si="308"/>
        <v>0</v>
      </c>
      <c r="BJ217" s="160">
        <f t="shared" si="308"/>
        <v>0</v>
      </c>
      <c r="BK217" s="160">
        <f t="shared" si="308"/>
        <v>0</v>
      </c>
      <c r="BL217" s="160">
        <f t="shared" si="308"/>
        <v>0</v>
      </c>
      <c r="BM217" s="160">
        <f t="shared" si="308"/>
        <v>0</v>
      </c>
      <c r="BN217" s="160">
        <f t="shared" si="308"/>
        <v>0</v>
      </c>
      <c r="BO217" s="160">
        <f t="shared" si="308"/>
        <v>0</v>
      </c>
      <c r="BP217" s="160">
        <f t="shared" si="308"/>
        <v>0</v>
      </c>
      <c r="BQ217" s="160">
        <f t="shared" si="308"/>
        <v>0</v>
      </c>
      <c r="BR217" s="160">
        <f t="shared" si="308"/>
        <v>0</v>
      </c>
      <c r="BS217" s="65"/>
      <c r="BT217" s="160">
        <f t="shared" si="262"/>
        <v>0</v>
      </c>
      <c r="BU217" s="160">
        <f t="shared" si="263"/>
        <v>0</v>
      </c>
      <c r="BV217" s="65"/>
      <c r="BW217" s="69"/>
      <c r="BX217" s="65"/>
      <c r="BY217" s="137">
        <f t="shared" si="264"/>
        <v>1</v>
      </c>
      <c r="BZ217" s="137">
        <f>IF(BY217&gt;0,BY217+LARGE($BZ$213:BZ216,1),0)</f>
        <v>5</v>
      </c>
      <c r="CA217" s="137" t="str">
        <f t="shared" si="265"/>
        <v>ENG/ARQ PL.</v>
      </c>
      <c r="CB217" s="161">
        <f t="shared" si="266"/>
        <v>0</v>
      </c>
      <c r="CC217" s="161">
        <f t="shared" si="267"/>
        <v>0</v>
      </c>
      <c r="CD217" s="161">
        <f t="shared" si="268"/>
        <v>0</v>
      </c>
      <c r="CE217" s="161">
        <f t="shared" si="269"/>
        <v>0</v>
      </c>
      <c r="CF217" s="161">
        <f t="shared" si="270"/>
        <v>0</v>
      </c>
      <c r="CG217" s="161">
        <f t="shared" si="271"/>
        <v>0</v>
      </c>
      <c r="CH217" s="161">
        <f t="shared" si="272"/>
        <v>0</v>
      </c>
      <c r="CI217" s="161">
        <f t="shared" si="273"/>
        <v>0</v>
      </c>
      <c r="CJ217" s="161">
        <f t="shared" si="274"/>
        <v>0</v>
      </c>
      <c r="CK217" s="161">
        <f t="shared" si="275"/>
        <v>0</v>
      </c>
      <c r="CL217" s="161">
        <f t="shared" si="276"/>
        <v>0</v>
      </c>
      <c r="CM217" s="161">
        <f t="shared" si="277"/>
        <v>0</v>
      </c>
      <c r="CN217" s="161">
        <f t="shared" si="278"/>
        <v>0</v>
      </c>
      <c r="CO217" s="161">
        <f t="shared" si="279"/>
        <v>0</v>
      </c>
      <c r="CP217" s="161">
        <f t="shared" si="280"/>
        <v>0</v>
      </c>
      <c r="CQ217" s="161">
        <f t="shared" si="281"/>
        <v>0</v>
      </c>
      <c r="CR217" s="161">
        <f t="shared" si="282"/>
        <v>0</v>
      </c>
      <c r="CS217" s="161">
        <f t="shared" si="283"/>
        <v>0</v>
      </c>
      <c r="CT217" s="161">
        <f t="shared" si="284"/>
        <v>0</v>
      </c>
      <c r="CU217" s="161">
        <f t="shared" si="285"/>
        <v>0</v>
      </c>
      <c r="CV217" s="161">
        <f t="shared" si="286"/>
        <v>0</v>
      </c>
      <c r="CW217" s="161">
        <f t="shared" si="287"/>
        <v>0</v>
      </c>
      <c r="CX217" s="161">
        <f t="shared" si="288"/>
        <v>0</v>
      </c>
      <c r="CY217" s="161">
        <f t="shared" si="289"/>
        <v>0</v>
      </c>
      <c r="CZ217" s="161">
        <f t="shared" si="290"/>
        <v>0</v>
      </c>
      <c r="DA217" s="161">
        <f t="shared" si="291"/>
        <v>0</v>
      </c>
      <c r="DB217" s="161">
        <f t="shared" si="292"/>
        <v>0</v>
      </c>
      <c r="DC217" s="161">
        <f t="shared" si="293"/>
        <v>0</v>
      </c>
      <c r="DD217" s="161">
        <f t="shared" si="294"/>
        <v>0</v>
      </c>
      <c r="DE217" s="161">
        <f t="shared" si="295"/>
        <v>0</v>
      </c>
      <c r="DF217" s="161">
        <f t="shared" si="296"/>
        <v>0</v>
      </c>
      <c r="DG217" s="161">
        <f t="shared" si="297"/>
        <v>0</v>
      </c>
      <c r="DH217" s="161">
        <f t="shared" si="298"/>
        <v>0</v>
      </c>
      <c r="DI217" s="161">
        <f t="shared" si="299"/>
        <v>0</v>
      </c>
      <c r="DJ217" s="161">
        <f t="shared" si="300"/>
        <v>0</v>
      </c>
      <c r="DK217" s="161">
        <f t="shared" si="301"/>
        <v>0</v>
      </c>
      <c r="DL217" s="161">
        <f t="shared" si="301"/>
        <v>0</v>
      </c>
      <c r="DM217" s="161">
        <f t="shared" si="301"/>
        <v>0</v>
      </c>
      <c r="DN217" s="161">
        <f t="shared" si="301"/>
        <v>0</v>
      </c>
      <c r="DO217" s="161">
        <f t="shared" si="301"/>
        <v>0</v>
      </c>
      <c r="DP217" s="161">
        <f t="shared" si="301"/>
        <v>0</v>
      </c>
      <c r="DQ217" s="161">
        <f t="shared" si="301"/>
        <v>0</v>
      </c>
      <c r="DR217" s="161">
        <f t="shared" si="301"/>
        <v>0</v>
      </c>
      <c r="DS217" s="161">
        <f t="shared" si="301"/>
        <v>0</v>
      </c>
      <c r="DT217" s="161">
        <f t="shared" si="301"/>
        <v>0</v>
      </c>
      <c r="DU217" s="161">
        <f t="shared" si="301"/>
        <v>0</v>
      </c>
      <c r="DV217" s="161">
        <f t="shared" si="301"/>
        <v>0</v>
      </c>
      <c r="DW217" s="161">
        <f t="shared" si="301"/>
        <v>0</v>
      </c>
      <c r="DX217" s="161">
        <f t="shared" si="301"/>
        <v>0</v>
      </c>
      <c r="DY217" s="161">
        <f t="shared" si="301"/>
        <v>0</v>
      </c>
      <c r="DZ217" s="161">
        <f t="shared" si="301"/>
        <v>0</v>
      </c>
      <c r="EA217" s="161">
        <f t="shared" si="301"/>
        <v>0</v>
      </c>
      <c r="EB217" s="161">
        <f t="shared" si="301"/>
        <v>0</v>
      </c>
      <c r="EC217" s="161">
        <f t="shared" si="301"/>
        <v>0</v>
      </c>
      <c r="ED217" s="161">
        <f t="shared" si="301"/>
        <v>0</v>
      </c>
      <c r="EE217" s="161">
        <f t="shared" si="301"/>
        <v>0</v>
      </c>
      <c r="EF217" s="161">
        <f t="shared" si="301"/>
        <v>0</v>
      </c>
      <c r="EG217" s="161">
        <f t="shared" si="301"/>
        <v>0</v>
      </c>
      <c r="EH217" s="161">
        <f t="shared" si="301"/>
        <v>0</v>
      </c>
      <c r="EI217" s="161">
        <f t="shared" si="301"/>
        <v>0</v>
      </c>
      <c r="EJ217" s="65"/>
      <c r="EK217" s="161">
        <f t="shared" si="304"/>
        <v>0</v>
      </c>
      <c r="EL217" s="161">
        <f t="shared" si="305"/>
        <v>0</v>
      </c>
      <c r="EM217" s="161">
        <f t="shared" si="306"/>
        <v>0</v>
      </c>
    </row>
    <row r="218" spans="1:143" ht="12" hidden="1" customHeight="1" outlineLevel="2">
      <c r="A218" s="77">
        <v>6</v>
      </c>
      <c r="B218" s="137" t="str">
        <f t="shared" si="302"/>
        <v>ENG/ARQ JR. - Equipe_01</v>
      </c>
      <c r="C218" s="65"/>
      <c r="D218" s="622"/>
      <c r="E218" s="65"/>
      <c r="F218" s="584"/>
      <c r="G218" s="77" t="str">
        <f>IF(INDEX(Tarefas!$BT$30:$FK$30,MATCH(A218,Tarefas!$BT$28:$FK$28,0))=0,"",INDEX(Tarefas!$BT$30:$FK$30,MATCH(A218,Tarefas!$BT$28:$FK$28,0)))</f>
        <v>ENG/ARQ JR.</v>
      </c>
      <c r="H218" s="107" cm="1">
        <f t="array" ref="H218">IFERROR((SUMPRODUCT((Tarefas!$N$32:$N$54='Cronog. e Histog.'!$F$213)*(Tarefas!$BQ$30:$FK$30='Cronog. e Histog.'!$G218)*(Tarefas!$BQ$32:$FK$54)))/SUMIF(Tarefas!$N$32:$N$54,'Cronog. e Histog.'!$F$213,Tarefas!$K$32:$K$54),0)</f>
        <v>0</v>
      </c>
      <c r="I218" s="79">
        <f t="shared" si="303"/>
        <v>0</v>
      </c>
      <c r="J218" s="65"/>
      <c r="K218" s="160">
        <f t="shared" si="307"/>
        <v>0</v>
      </c>
      <c r="L218" s="160">
        <f t="shared" si="307"/>
        <v>0</v>
      </c>
      <c r="M218" s="160">
        <f t="shared" si="307"/>
        <v>0</v>
      </c>
      <c r="N218" s="160">
        <f t="shared" si="307"/>
        <v>0</v>
      </c>
      <c r="O218" s="160">
        <f t="shared" si="307"/>
        <v>0</v>
      </c>
      <c r="P218" s="160">
        <f t="shared" si="307"/>
        <v>0</v>
      </c>
      <c r="Q218" s="160">
        <f t="shared" si="307"/>
        <v>0</v>
      </c>
      <c r="R218" s="160">
        <f t="shared" si="307"/>
        <v>0</v>
      </c>
      <c r="S218" s="160">
        <f t="shared" si="307"/>
        <v>0</v>
      </c>
      <c r="T218" s="160">
        <f t="shared" si="307"/>
        <v>0</v>
      </c>
      <c r="U218" s="160">
        <f t="shared" si="307"/>
        <v>0</v>
      </c>
      <c r="V218" s="160">
        <f t="shared" si="307"/>
        <v>0</v>
      </c>
      <c r="W218" s="160">
        <f t="shared" si="307"/>
        <v>0</v>
      </c>
      <c r="X218" s="160">
        <f t="shared" si="307"/>
        <v>0</v>
      </c>
      <c r="Y218" s="160">
        <f t="shared" si="307"/>
        <v>0</v>
      </c>
      <c r="Z218" s="160">
        <f t="shared" si="307"/>
        <v>0</v>
      </c>
      <c r="AA218" s="160">
        <f t="shared" ref="AA218:AP227" si="309">ROUND($I218*AA$183,2)</f>
        <v>0</v>
      </c>
      <c r="AB218" s="160">
        <f t="shared" si="309"/>
        <v>0</v>
      </c>
      <c r="AC218" s="160">
        <f t="shared" si="309"/>
        <v>0</v>
      </c>
      <c r="AD218" s="160">
        <f t="shared" si="309"/>
        <v>0</v>
      </c>
      <c r="AE218" s="160">
        <f t="shared" si="309"/>
        <v>0</v>
      </c>
      <c r="AF218" s="160">
        <f t="shared" si="309"/>
        <v>0</v>
      </c>
      <c r="AG218" s="160">
        <f t="shared" si="309"/>
        <v>0</v>
      </c>
      <c r="AH218" s="160">
        <f t="shared" si="309"/>
        <v>0</v>
      </c>
      <c r="AI218" s="160">
        <f t="shared" si="309"/>
        <v>0</v>
      </c>
      <c r="AJ218" s="160">
        <f t="shared" si="309"/>
        <v>0</v>
      </c>
      <c r="AK218" s="160">
        <f t="shared" si="309"/>
        <v>0</v>
      </c>
      <c r="AL218" s="160">
        <f t="shared" si="309"/>
        <v>0</v>
      </c>
      <c r="AM218" s="160">
        <f t="shared" si="309"/>
        <v>0</v>
      </c>
      <c r="AN218" s="160">
        <f t="shared" si="309"/>
        <v>0</v>
      </c>
      <c r="AO218" s="160">
        <f t="shared" si="309"/>
        <v>0</v>
      </c>
      <c r="AP218" s="160">
        <f t="shared" si="309"/>
        <v>0</v>
      </c>
      <c r="AQ218" s="160">
        <f t="shared" ref="AQ218:BF227" si="310">ROUND($I218*AQ$183,2)</f>
        <v>0</v>
      </c>
      <c r="AR218" s="160">
        <f t="shared" si="310"/>
        <v>0</v>
      </c>
      <c r="AS218" s="160">
        <f t="shared" si="310"/>
        <v>0</v>
      </c>
      <c r="AT218" s="160">
        <f t="shared" si="310"/>
        <v>0</v>
      </c>
      <c r="AU218" s="160">
        <f t="shared" si="310"/>
        <v>0</v>
      </c>
      <c r="AV218" s="160">
        <f t="shared" si="310"/>
        <v>0</v>
      </c>
      <c r="AW218" s="160">
        <f t="shared" si="310"/>
        <v>0</v>
      </c>
      <c r="AX218" s="160">
        <f t="shared" si="310"/>
        <v>0</v>
      </c>
      <c r="AY218" s="160">
        <f t="shared" si="310"/>
        <v>0</v>
      </c>
      <c r="AZ218" s="160">
        <f t="shared" si="310"/>
        <v>0</v>
      </c>
      <c r="BA218" s="160">
        <f t="shared" si="310"/>
        <v>0</v>
      </c>
      <c r="BB218" s="160">
        <f t="shared" si="310"/>
        <v>0</v>
      </c>
      <c r="BC218" s="160">
        <f t="shared" si="310"/>
        <v>0</v>
      </c>
      <c r="BD218" s="160">
        <f t="shared" si="310"/>
        <v>0</v>
      </c>
      <c r="BE218" s="160">
        <f t="shared" si="310"/>
        <v>0</v>
      </c>
      <c r="BF218" s="160">
        <f t="shared" si="310"/>
        <v>0</v>
      </c>
      <c r="BG218" s="160">
        <f t="shared" ref="BG218:BR227" si="311">ROUND($I218*BG$183,2)</f>
        <v>0</v>
      </c>
      <c r="BH218" s="160">
        <f t="shared" si="311"/>
        <v>0</v>
      </c>
      <c r="BI218" s="160">
        <f t="shared" si="311"/>
        <v>0</v>
      </c>
      <c r="BJ218" s="160">
        <f t="shared" si="311"/>
        <v>0</v>
      </c>
      <c r="BK218" s="160">
        <f t="shared" si="311"/>
        <v>0</v>
      </c>
      <c r="BL218" s="160">
        <f t="shared" si="311"/>
        <v>0</v>
      </c>
      <c r="BM218" s="160">
        <f t="shared" si="311"/>
        <v>0</v>
      </c>
      <c r="BN218" s="160">
        <f t="shared" si="311"/>
        <v>0</v>
      </c>
      <c r="BO218" s="160">
        <f t="shared" si="311"/>
        <v>0</v>
      </c>
      <c r="BP218" s="160">
        <f t="shared" si="311"/>
        <v>0</v>
      </c>
      <c r="BQ218" s="160">
        <f t="shared" si="311"/>
        <v>0</v>
      </c>
      <c r="BR218" s="160">
        <f t="shared" si="311"/>
        <v>0</v>
      </c>
      <c r="BS218" s="65"/>
      <c r="BT218" s="160">
        <f t="shared" ref="BT218:BT227" si="312">IFERROR(SUM(K218:BR218)/COUNTIF(K218:BR218,"&gt;0"),0)</f>
        <v>0</v>
      </c>
      <c r="BU218" s="160">
        <f t="shared" ref="BU218:BU227" si="313">COUNTIF(K218:BR218,"&gt;0")</f>
        <v>0</v>
      </c>
      <c r="BV218" s="65"/>
      <c r="BW218" s="69"/>
      <c r="BX218" s="65"/>
      <c r="BY218" s="137">
        <f t="shared" ref="BY218:BY227" si="314">IF(G218&gt;0,1,0)</f>
        <v>1</v>
      </c>
      <c r="BZ218" s="137">
        <f>IF(BY218&gt;0,BY218+LARGE($BZ$213:BZ217,1),0)</f>
        <v>6</v>
      </c>
      <c r="CA218" s="137" t="str">
        <f t="shared" ref="CA218:CA227" si="315">G218</f>
        <v>ENG/ARQ JR.</v>
      </c>
      <c r="CB218" s="161">
        <f t="shared" ref="CB218:CB227" si="316">K218</f>
        <v>0</v>
      </c>
      <c r="CC218" s="161">
        <f t="shared" ref="CC218:CC227" si="317">L218</f>
        <v>0</v>
      </c>
      <c r="CD218" s="161">
        <f t="shared" ref="CD218:CD227" si="318">M218</f>
        <v>0</v>
      </c>
      <c r="CE218" s="161">
        <f t="shared" ref="CE218:CE227" si="319">N218</f>
        <v>0</v>
      </c>
      <c r="CF218" s="161">
        <f t="shared" ref="CF218:CF227" si="320">O218</f>
        <v>0</v>
      </c>
      <c r="CG218" s="161">
        <f t="shared" ref="CG218:CG227" si="321">P218</f>
        <v>0</v>
      </c>
      <c r="CH218" s="161">
        <f t="shared" ref="CH218:CH227" si="322">Q218</f>
        <v>0</v>
      </c>
      <c r="CI218" s="161">
        <f t="shared" ref="CI218:CI227" si="323">R218</f>
        <v>0</v>
      </c>
      <c r="CJ218" s="161">
        <f t="shared" ref="CJ218:CJ227" si="324">S218</f>
        <v>0</v>
      </c>
      <c r="CK218" s="161">
        <f t="shared" ref="CK218:CK227" si="325">T218</f>
        <v>0</v>
      </c>
      <c r="CL218" s="161">
        <f t="shared" ref="CL218:CL227" si="326">U218</f>
        <v>0</v>
      </c>
      <c r="CM218" s="161">
        <f t="shared" ref="CM218:CM227" si="327">V218</f>
        <v>0</v>
      </c>
      <c r="CN218" s="161">
        <f t="shared" ref="CN218:CN227" si="328">W218</f>
        <v>0</v>
      </c>
      <c r="CO218" s="161">
        <f t="shared" ref="CO218:CO227" si="329">X218</f>
        <v>0</v>
      </c>
      <c r="CP218" s="161">
        <f t="shared" ref="CP218:CP227" si="330">Y218</f>
        <v>0</v>
      </c>
      <c r="CQ218" s="161">
        <f t="shared" ref="CQ218:CQ227" si="331">Z218</f>
        <v>0</v>
      </c>
      <c r="CR218" s="161">
        <f t="shared" ref="CR218:CR227" si="332">AA218</f>
        <v>0</v>
      </c>
      <c r="CS218" s="161">
        <f t="shared" ref="CS218:CS227" si="333">AB218</f>
        <v>0</v>
      </c>
      <c r="CT218" s="161">
        <f t="shared" ref="CT218:CT227" si="334">AC218</f>
        <v>0</v>
      </c>
      <c r="CU218" s="161">
        <f t="shared" ref="CU218:CU227" si="335">AD218</f>
        <v>0</v>
      </c>
      <c r="CV218" s="161">
        <f t="shared" ref="CV218:CV227" si="336">AE218</f>
        <v>0</v>
      </c>
      <c r="CW218" s="161">
        <f t="shared" ref="CW218:CW227" si="337">AF218</f>
        <v>0</v>
      </c>
      <c r="CX218" s="161">
        <f t="shared" ref="CX218:CX227" si="338">AG218</f>
        <v>0</v>
      </c>
      <c r="CY218" s="161">
        <f t="shared" ref="CY218:CY227" si="339">AH218</f>
        <v>0</v>
      </c>
      <c r="CZ218" s="161">
        <f t="shared" ref="CZ218:CZ227" si="340">AI218</f>
        <v>0</v>
      </c>
      <c r="DA218" s="161">
        <f t="shared" ref="DA218:DA227" si="341">AJ218</f>
        <v>0</v>
      </c>
      <c r="DB218" s="161">
        <f t="shared" ref="DB218:DB227" si="342">AK218</f>
        <v>0</v>
      </c>
      <c r="DC218" s="161">
        <f t="shared" ref="DC218:DC227" si="343">AL218</f>
        <v>0</v>
      </c>
      <c r="DD218" s="161">
        <f t="shared" ref="DD218:DD227" si="344">AM218</f>
        <v>0</v>
      </c>
      <c r="DE218" s="161">
        <f t="shared" ref="DE218:DE227" si="345">AN218</f>
        <v>0</v>
      </c>
      <c r="DF218" s="161">
        <f t="shared" ref="DF218:DF227" si="346">AO218</f>
        <v>0</v>
      </c>
      <c r="DG218" s="161">
        <f t="shared" ref="DG218:DG227" si="347">AP218</f>
        <v>0</v>
      </c>
      <c r="DH218" s="161">
        <f t="shared" ref="DH218:DH227" si="348">AQ218</f>
        <v>0</v>
      </c>
      <c r="DI218" s="161">
        <f t="shared" ref="DI218:DI227" si="349">AR218</f>
        <v>0</v>
      </c>
      <c r="DJ218" s="161">
        <f t="shared" ref="DJ218:DJ227" si="350">AS218</f>
        <v>0</v>
      </c>
      <c r="DK218" s="161">
        <f t="shared" ref="DK218:DK227" si="351">AT218</f>
        <v>0</v>
      </c>
      <c r="DL218" s="161">
        <f t="shared" ref="DL218:DL227" si="352">AU218</f>
        <v>0</v>
      </c>
      <c r="DM218" s="161">
        <f t="shared" ref="DM218:DM227" si="353">AV218</f>
        <v>0</v>
      </c>
      <c r="DN218" s="161">
        <f t="shared" ref="DN218:DN227" si="354">AW218</f>
        <v>0</v>
      </c>
      <c r="DO218" s="161">
        <f t="shared" ref="DO218:DO227" si="355">AX218</f>
        <v>0</v>
      </c>
      <c r="DP218" s="161">
        <f t="shared" ref="DP218:DP227" si="356">AY218</f>
        <v>0</v>
      </c>
      <c r="DQ218" s="161">
        <f t="shared" ref="DQ218:DQ227" si="357">AZ218</f>
        <v>0</v>
      </c>
      <c r="DR218" s="161">
        <f t="shared" ref="DR218:DR227" si="358">BA218</f>
        <v>0</v>
      </c>
      <c r="DS218" s="161">
        <f t="shared" ref="DS218:DS227" si="359">BB218</f>
        <v>0</v>
      </c>
      <c r="DT218" s="161">
        <f t="shared" ref="DT218:DT227" si="360">BC218</f>
        <v>0</v>
      </c>
      <c r="DU218" s="161">
        <f t="shared" ref="DU218:DU227" si="361">BD218</f>
        <v>0</v>
      </c>
      <c r="DV218" s="161">
        <f t="shared" ref="DV218:DV227" si="362">BE218</f>
        <v>0</v>
      </c>
      <c r="DW218" s="161">
        <f t="shared" ref="DW218:DW227" si="363">BF218</f>
        <v>0</v>
      </c>
      <c r="DX218" s="161">
        <f t="shared" ref="DX218:DX227" si="364">BG218</f>
        <v>0</v>
      </c>
      <c r="DY218" s="161">
        <f t="shared" ref="DY218:DY227" si="365">BH218</f>
        <v>0</v>
      </c>
      <c r="DZ218" s="161">
        <f t="shared" ref="DZ218:DZ227" si="366">BI218</f>
        <v>0</v>
      </c>
      <c r="EA218" s="161">
        <f t="shared" ref="EA218:EA227" si="367">BJ218</f>
        <v>0</v>
      </c>
      <c r="EB218" s="161">
        <f t="shared" ref="EB218:EB227" si="368">BK218</f>
        <v>0</v>
      </c>
      <c r="EC218" s="161">
        <f t="shared" ref="EC218:EC227" si="369">BL218</f>
        <v>0</v>
      </c>
      <c r="ED218" s="161">
        <f t="shared" ref="ED218:ED227" si="370">BM218</f>
        <v>0</v>
      </c>
      <c r="EE218" s="161">
        <f t="shared" ref="EE218:EE227" si="371">BN218</f>
        <v>0</v>
      </c>
      <c r="EF218" s="161">
        <f t="shared" ref="EF218:EF227" si="372">BO218</f>
        <v>0</v>
      </c>
      <c r="EG218" s="161">
        <f t="shared" ref="EG218:EG227" si="373">BP218</f>
        <v>0</v>
      </c>
      <c r="EH218" s="161">
        <f t="shared" ref="EH218:EH227" si="374">BQ218</f>
        <v>0</v>
      </c>
      <c r="EI218" s="161">
        <f t="shared" ref="EI218:EI227" si="375">BR218</f>
        <v>0</v>
      </c>
      <c r="EJ218" s="65"/>
      <c r="EK218" s="161">
        <f t="shared" si="304"/>
        <v>0</v>
      </c>
      <c r="EL218" s="161">
        <f t="shared" si="305"/>
        <v>0</v>
      </c>
      <c r="EM218" s="161">
        <f t="shared" si="306"/>
        <v>0</v>
      </c>
    </row>
    <row r="219" spans="1:143" ht="12" hidden="1" customHeight="1" outlineLevel="2">
      <c r="A219" s="77">
        <v>7</v>
      </c>
      <c r="B219" s="137" t="str">
        <f t="shared" si="302"/>
        <v>AN SR. ENG/ARQ - Equipe_01</v>
      </c>
      <c r="C219" s="65"/>
      <c r="D219" s="622"/>
      <c r="E219" s="65"/>
      <c r="F219" s="584"/>
      <c r="G219" s="77" t="str">
        <f>IF(INDEX(Tarefas!$BT$30:$FK$30,MATCH(A219,Tarefas!$BT$28:$FK$28,0))=0,"",INDEX(Tarefas!$BT$30:$FK$30,MATCH(A219,Tarefas!$BT$28:$FK$28,0)))</f>
        <v>AN SR. ENG/ARQ</v>
      </c>
      <c r="H219" s="107" cm="1">
        <f t="array" ref="H219">IFERROR((SUMPRODUCT((Tarefas!$N$32:$N$54='Cronog. e Histog.'!$F$213)*(Tarefas!$BQ$30:$FK$30='Cronog. e Histog.'!$G219)*(Tarefas!$BQ$32:$FK$54)))/SUMIF(Tarefas!$N$32:$N$54,'Cronog. e Histog.'!$F$213,Tarefas!$K$32:$K$54),0)</f>
        <v>0</v>
      </c>
      <c r="I219" s="79">
        <f t="shared" si="303"/>
        <v>0</v>
      </c>
      <c r="J219" s="65"/>
      <c r="K219" s="160">
        <f t="shared" si="307"/>
        <v>0</v>
      </c>
      <c r="L219" s="160">
        <f t="shared" si="307"/>
        <v>0</v>
      </c>
      <c r="M219" s="160">
        <f t="shared" si="307"/>
        <v>0</v>
      </c>
      <c r="N219" s="160">
        <f t="shared" si="307"/>
        <v>0</v>
      </c>
      <c r="O219" s="160">
        <f t="shared" si="307"/>
        <v>0</v>
      </c>
      <c r="P219" s="160">
        <f t="shared" si="307"/>
        <v>0</v>
      </c>
      <c r="Q219" s="160">
        <f t="shared" si="307"/>
        <v>0</v>
      </c>
      <c r="R219" s="160">
        <f t="shared" si="307"/>
        <v>0</v>
      </c>
      <c r="S219" s="160">
        <f t="shared" si="307"/>
        <v>0</v>
      </c>
      <c r="T219" s="160">
        <f t="shared" si="307"/>
        <v>0</v>
      </c>
      <c r="U219" s="160">
        <f t="shared" si="307"/>
        <v>0</v>
      </c>
      <c r="V219" s="160">
        <f t="shared" si="307"/>
        <v>0</v>
      </c>
      <c r="W219" s="160">
        <f t="shared" si="307"/>
        <v>0</v>
      </c>
      <c r="X219" s="160">
        <f t="shared" si="307"/>
        <v>0</v>
      </c>
      <c r="Y219" s="160">
        <f t="shared" si="307"/>
        <v>0</v>
      </c>
      <c r="Z219" s="160">
        <f t="shared" si="307"/>
        <v>0</v>
      </c>
      <c r="AA219" s="160">
        <f t="shared" si="309"/>
        <v>0</v>
      </c>
      <c r="AB219" s="160">
        <f t="shared" si="309"/>
        <v>0</v>
      </c>
      <c r="AC219" s="160">
        <f t="shared" si="309"/>
        <v>0</v>
      </c>
      <c r="AD219" s="160">
        <f t="shared" si="309"/>
        <v>0</v>
      </c>
      <c r="AE219" s="160">
        <f t="shared" si="309"/>
        <v>0</v>
      </c>
      <c r="AF219" s="160">
        <f t="shared" si="309"/>
        <v>0</v>
      </c>
      <c r="AG219" s="160">
        <f t="shared" si="309"/>
        <v>0</v>
      </c>
      <c r="AH219" s="160">
        <f t="shared" si="309"/>
        <v>0</v>
      </c>
      <c r="AI219" s="160">
        <f t="shared" si="309"/>
        <v>0</v>
      </c>
      <c r="AJ219" s="160">
        <f t="shared" si="309"/>
        <v>0</v>
      </c>
      <c r="AK219" s="160">
        <f t="shared" si="309"/>
        <v>0</v>
      </c>
      <c r="AL219" s="160">
        <f t="shared" si="309"/>
        <v>0</v>
      </c>
      <c r="AM219" s="160">
        <f t="shared" si="309"/>
        <v>0</v>
      </c>
      <c r="AN219" s="160">
        <f t="shared" si="309"/>
        <v>0</v>
      </c>
      <c r="AO219" s="160">
        <f t="shared" si="309"/>
        <v>0</v>
      </c>
      <c r="AP219" s="160">
        <f t="shared" si="309"/>
        <v>0</v>
      </c>
      <c r="AQ219" s="160">
        <f t="shared" si="310"/>
        <v>0</v>
      </c>
      <c r="AR219" s="160">
        <f t="shared" si="310"/>
        <v>0</v>
      </c>
      <c r="AS219" s="160">
        <f t="shared" si="310"/>
        <v>0</v>
      </c>
      <c r="AT219" s="160">
        <f t="shared" si="310"/>
        <v>0</v>
      </c>
      <c r="AU219" s="160">
        <f t="shared" si="310"/>
        <v>0</v>
      </c>
      <c r="AV219" s="160">
        <f t="shared" si="310"/>
        <v>0</v>
      </c>
      <c r="AW219" s="160">
        <f t="shared" si="310"/>
        <v>0</v>
      </c>
      <c r="AX219" s="160">
        <f t="shared" si="310"/>
        <v>0</v>
      </c>
      <c r="AY219" s="160">
        <f t="shared" si="310"/>
        <v>0</v>
      </c>
      <c r="AZ219" s="160">
        <f t="shared" si="310"/>
        <v>0</v>
      </c>
      <c r="BA219" s="160">
        <f t="shared" si="310"/>
        <v>0</v>
      </c>
      <c r="BB219" s="160">
        <f t="shared" si="310"/>
        <v>0</v>
      </c>
      <c r="BC219" s="160">
        <f t="shared" si="310"/>
        <v>0</v>
      </c>
      <c r="BD219" s="160">
        <f t="shared" si="310"/>
        <v>0</v>
      </c>
      <c r="BE219" s="160">
        <f t="shared" si="310"/>
        <v>0</v>
      </c>
      <c r="BF219" s="160">
        <f t="shared" si="310"/>
        <v>0</v>
      </c>
      <c r="BG219" s="160">
        <f t="shared" si="311"/>
        <v>0</v>
      </c>
      <c r="BH219" s="160">
        <f t="shared" si="311"/>
        <v>0</v>
      </c>
      <c r="BI219" s="160">
        <f t="shared" si="311"/>
        <v>0</v>
      </c>
      <c r="BJ219" s="160">
        <f t="shared" si="311"/>
        <v>0</v>
      </c>
      <c r="BK219" s="160">
        <f t="shared" si="311"/>
        <v>0</v>
      </c>
      <c r="BL219" s="160">
        <f t="shared" si="311"/>
        <v>0</v>
      </c>
      <c r="BM219" s="160">
        <f t="shared" si="311"/>
        <v>0</v>
      </c>
      <c r="BN219" s="160">
        <f t="shared" si="311"/>
        <v>0</v>
      </c>
      <c r="BO219" s="160">
        <f t="shared" si="311"/>
        <v>0</v>
      </c>
      <c r="BP219" s="160">
        <f t="shared" si="311"/>
        <v>0</v>
      </c>
      <c r="BQ219" s="160">
        <f t="shared" si="311"/>
        <v>0</v>
      </c>
      <c r="BR219" s="160">
        <f t="shared" si="311"/>
        <v>0</v>
      </c>
      <c r="BS219" s="65"/>
      <c r="BT219" s="160">
        <f t="shared" si="312"/>
        <v>0</v>
      </c>
      <c r="BU219" s="160">
        <f t="shared" si="313"/>
        <v>0</v>
      </c>
      <c r="BV219" s="65"/>
      <c r="BW219" s="69"/>
      <c r="BX219" s="65"/>
      <c r="BY219" s="137">
        <f t="shared" si="314"/>
        <v>1</v>
      </c>
      <c r="BZ219" s="137">
        <f>IF(BY219&gt;0,BY219+LARGE($BZ$213:BZ218,1),0)</f>
        <v>7</v>
      </c>
      <c r="CA219" s="137" t="str">
        <f t="shared" si="315"/>
        <v>AN SR. ENG/ARQ</v>
      </c>
      <c r="CB219" s="161">
        <f t="shared" si="316"/>
        <v>0</v>
      </c>
      <c r="CC219" s="161">
        <f t="shared" si="317"/>
        <v>0</v>
      </c>
      <c r="CD219" s="161">
        <f t="shared" si="318"/>
        <v>0</v>
      </c>
      <c r="CE219" s="161">
        <f t="shared" si="319"/>
        <v>0</v>
      </c>
      <c r="CF219" s="161">
        <f t="shared" si="320"/>
        <v>0</v>
      </c>
      <c r="CG219" s="161">
        <f t="shared" si="321"/>
        <v>0</v>
      </c>
      <c r="CH219" s="161">
        <f t="shared" si="322"/>
        <v>0</v>
      </c>
      <c r="CI219" s="161">
        <f t="shared" si="323"/>
        <v>0</v>
      </c>
      <c r="CJ219" s="161">
        <f t="shared" si="324"/>
        <v>0</v>
      </c>
      <c r="CK219" s="161">
        <f t="shared" si="325"/>
        <v>0</v>
      </c>
      <c r="CL219" s="161">
        <f t="shared" si="326"/>
        <v>0</v>
      </c>
      <c r="CM219" s="161">
        <f t="shared" si="327"/>
        <v>0</v>
      </c>
      <c r="CN219" s="161">
        <f t="shared" si="328"/>
        <v>0</v>
      </c>
      <c r="CO219" s="161">
        <f t="shared" si="329"/>
        <v>0</v>
      </c>
      <c r="CP219" s="161">
        <f t="shared" si="330"/>
        <v>0</v>
      </c>
      <c r="CQ219" s="161">
        <f t="shared" si="331"/>
        <v>0</v>
      </c>
      <c r="CR219" s="161">
        <f t="shared" si="332"/>
        <v>0</v>
      </c>
      <c r="CS219" s="161">
        <f t="shared" si="333"/>
        <v>0</v>
      </c>
      <c r="CT219" s="161">
        <f t="shared" si="334"/>
        <v>0</v>
      </c>
      <c r="CU219" s="161">
        <f t="shared" si="335"/>
        <v>0</v>
      </c>
      <c r="CV219" s="161">
        <f t="shared" si="336"/>
        <v>0</v>
      </c>
      <c r="CW219" s="161">
        <f t="shared" si="337"/>
        <v>0</v>
      </c>
      <c r="CX219" s="161">
        <f t="shared" si="338"/>
        <v>0</v>
      </c>
      <c r="CY219" s="161">
        <f t="shared" si="339"/>
        <v>0</v>
      </c>
      <c r="CZ219" s="161">
        <f t="shared" si="340"/>
        <v>0</v>
      </c>
      <c r="DA219" s="161">
        <f t="shared" si="341"/>
        <v>0</v>
      </c>
      <c r="DB219" s="161">
        <f t="shared" si="342"/>
        <v>0</v>
      </c>
      <c r="DC219" s="161">
        <f t="shared" si="343"/>
        <v>0</v>
      </c>
      <c r="DD219" s="161">
        <f t="shared" si="344"/>
        <v>0</v>
      </c>
      <c r="DE219" s="161">
        <f t="shared" si="345"/>
        <v>0</v>
      </c>
      <c r="DF219" s="161">
        <f t="shared" si="346"/>
        <v>0</v>
      </c>
      <c r="DG219" s="161">
        <f t="shared" si="347"/>
        <v>0</v>
      </c>
      <c r="DH219" s="161">
        <f t="shared" si="348"/>
        <v>0</v>
      </c>
      <c r="DI219" s="161">
        <f t="shared" si="349"/>
        <v>0</v>
      </c>
      <c r="DJ219" s="161">
        <f t="shared" si="350"/>
        <v>0</v>
      </c>
      <c r="DK219" s="161">
        <f t="shared" si="351"/>
        <v>0</v>
      </c>
      <c r="DL219" s="161">
        <f t="shared" si="352"/>
        <v>0</v>
      </c>
      <c r="DM219" s="161">
        <f t="shared" si="353"/>
        <v>0</v>
      </c>
      <c r="DN219" s="161">
        <f t="shared" si="354"/>
        <v>0</v>
      </c>
      <c r="DO219" s="161">
        <f t="shared" si="355"/>
        <v>0</v>
      </c>
      <c r="DP219" s="161">
        <f t="shared" si="356"/>
        <v>0</v>
      </c>
      <c r="DQ219" s="161">
        <f t="shared" si="357"/>
        <v>0</v>
      </c>
      <c r="DR219" s="161">
        <f t="shared" si="358"/>
        <v>0</v>
      </c>
      <c r="DS219" s="161">
        <f t="shared" si="359"/>
        <v>0</v>
      </c>
      <c r="DT219" s="161">
        <f t="shared" si="360"/>
        <v>0</v>
      </c>
      <c r="DU219" s="161">
        <f t="shared" si="361"/>
        <v>0</v>
      </c>
      <c r="DV219" s="161">
        <f t="shared" si="362"/>
        <v>0</v>
      </c>
      <c r="DW219" s="161">
        <f t="shared" si="363"/>
        <v>0</v>
      </c>
      <c r="DX219" s="161">
        <f t="shared" si="364"/>
        <v>0</v>
      </c>
      <c r="DY219" s="161">
        <f t="shared" si="365"/>
        <v>0</v>
      </c>
      <c r="DZ219" s="161">
        <f t="shared" si="366"/>
        <v>0</v>
      </c>
      <c r="EA219" s="161">
        <f t="shared" si="367"/>
        <v>0</v>
      </c>
      <c r="EB219" s="161">
        <f t="shared" si="368"/>
        <v>0</v>
      </c>
      <c r="EC219" s="161">
        <f t="shared" si="369"/>
        <v>0</v>
      </c>
      <c r="ED219" s="161">
        <f t="shared" si="370"/>
        <v>0</v>
      </c>
      <c r="EE219" s="161">
        <f t="shared" si="371"/>
        <v>0</v>
      </c>
      <c r="EF219" s="161">
        <f t="shared" si="372"/>
        <v>0</v>
      </c>
      <c r="EG219" s="161">
        <f t="shared" si="373"/>
        <v>0</v>
      </c>
      <c r="EH219" s="161">
        <f t="shared" si="374"/>
        <v>0</v>
      </c>
      <c r="EI219" s="161">
        <f t="shared" si="375"/>
        <v>0</v>
      </c>
      <c r="EJ219" s="65"/>
      <c r="EK219" s="161">
        <f t="shared" si="304"/>
        <v>0</v>
      </c>
      <c r="EL219" s="161">
        <f t="shared" si="305"/>
        <v>0</v>
      </c>
      <c r="EM219" s="161">
        <f t="shared" si="306"/>
        <v>0</v>
      </c>
    </row>
    <row r="220" spans="1:143" ht="12" hidden="1" customHeight="1" outlineLevel="2">
      <c r="A220" s="77">
        <v>8</v>
      </c>
      <c r="B220" s="137" t="str">
        <f t="shared" si="302"/>
        <v>AN PL. ENG/ARQ - Equipe_01</v>
      </c>
      <c r="C220" s="65"/>
      <c r="D220" s="622"/>
      <c r="E220" s="65"/>
      <c r="F220" s="584"/>
      <c r="G220" s="77" t="str">
        <f>IF(INDEX(Tarefas!$BT$30:$FK$30,MATCH(A220,Tarefas!$BT$28:$FK$28,0))=0,"",INDEX(Tarefas!$BT$30:$FK$30,MATCH(A220,Tarefas!$BT$28:$FK$28,0)))</f>
        <v>AN PL. ENG/ARQ</v>
      </c>
      <c r="H220" s="107" cm="1">
        <f t="array" ref="H220">IFERROR((SUMPRODUCT((Tarefas!$N$32:$N$54='Cronog. e Histog.'!$F$213)*(Tarefas!$BQ$30:$FK$30='Cronog. e Histog.'!$G220)*(Tarefas!$BQ$32:$FK$54)))/SUMIF(Tarefas!$N$32:$N$54,'Cronog. e Histog.'!$F$213,Tarefas!$K$32:$K$54),0)</f>
        <v>0</v>
      </c>
      <c r="I220" s="79">
        <f t="shared" si="303"/>
        <v>0</v>
      </c>
      <c r="J220" s="65"/>
      <c r="K220" s="160">
        <f t="shared" si="307"/>
        <v>0</v>
      </c>
      <c r="L220" s="160">
        <f t="shared" si="307"/>
        <v>0</v>
      </c>
      <c r="M220" s="160">
        <f t="shared" si="307"/>
        <v>0</v>
      </c>
      <c r="N220" s="160">
        <f t="shared" si="307"/>
        <v>0</v>
      </c>
      <c r="O220" s="160">
        <f t="shared" si="307"/>
        <v>0</v>
      </c>
      <c r="P220" s="160">
        <f t="shared" si="307"/>
        <v>0</v>
      </c>
      <c r="Q220" s="160">
        <f t="shared" si="307"/>
        <v>0</v>
      </c>
      <c r="R220" s="160">
        <f t="shared" si="307"/>
        <v>0</v>
      </c>
      <c r="S220" s="160">
        <f t="shared" si="307"/>
        <v>0</v>
      </c>
      <c r="T220" s="160">
        <f t="shared" si="307"/>
        <v>0</v>
      </c>
      <c r="U220" s="160">
        <f t="shared" si="307"/>
        <v>0</v>
      </c>
      <c r="V220" s="160">
        <f t="shared" si="307"/>
        <v>0</v>
      </c>
      <c r="W220" s="160">
        <f t="shared" si="307"/>
        <v>0</v>
      </c>
      <c r="X220" s="160">
        <f t="shared" si="307"/>
        <v>0</v>
      </c>
      <c r="Y220" s="160">
        <f t="shared" si="307"/>
        <v>0</v>
      </c>
      <c r="Z220" s="160">
        <f t="shared" si="307"/>
        <v>0</v>
      </c>
      <c r="AA220" s="160">
        <f t="shared" si="309"/>
        <v>0</v>
      </c>
      <c r="AB220" s="160">
        <f t="shared" si="309"/>
        <v>0</v>
      </c>
      <c r="AC220" s="160">
        <f t="shared" si="309"/>
        <v>0</v>
      </c>
      <c r="AD220" s="160">
        <f t="shared" si="309"/>
        <v>0</v>
      </c>
      <c r="AE220" s="160">
        <f t="shared" si="309"/>
        <v>0</v>
      </c>
      <c r="AF220" s="160">
        <f t="shared" si="309"/>
        <v>0</v>
      </c>
      <c r="AG220" s="160">
        <f t="shared" si="309"/>
        <v>0</v>
      </c>
      <c r="AH220" s="160">
        <f t="shared" si="309"/>
        <v>0</v>
      </c>
      <c r="AI220" s="160">
        <f t="shared" si="309"/>
        <v>0</v>
      </c>
      <c r="AJ220" s="160">
        <f t="shared" si="309"/>
        <v>0</v>
      </c>
      <c r="AK220" s="160">
        <f t="shared" si="309"/>
        <v>0</v>
      </c>
      <c r="AL220" s="160">
        <f t="shared" si="309"/>
        <v>0</v>
      </c>
      <c r="AM220" s="160">
        <f t="shared" si="309"/>
        <v>0</v>
      </c>
      <c r="AN220" s="160">
        <f t="shared" si="309"/>
        <v>0</v>
      </c>
      <c r="AO220" s="160">
        <f t="shared" si="309"/>
        <v>0</v>
      </c>
      <c r="AP220" s="160">
        <f t="shared" si="309"/>
        <v>0</v>
      </c>
      <c r="AQ220" s="160">
        <f t="shared" si="310"/>
        <v>0</v>
      </c>
      <c r="AR220" s="160">
        <f t="shared" si="310"/>
        <v>0</v>
      </c>
      <c r="AS220" s="160">
        <f t="shared" si="310"/>
        <v>0</v>
      </c>
      <c r="AT220" s="160">
        <f t="shared" si="310"/>
        <v>0</v>
      </c>
      <c r="AU220" s="160">
        <f t="shared" si="310"/>
        <v>0</v>
      </c>
      <c r="AV220" s="160">
        <f t="shared" si="310"/>
        <v>0</v>
      </c>
      <c r="AW220" s="160">
        <f t="shared" si="310"/>
        <v>0</v>
      </c>
      <c r="AX220" s="160">
        <f t="shared" si="310"/>
        <v>0</v>
      </c>
      <c r="AY220" s="160">
        <f t="shared" si="310"/>
        <v>0</v>
      </c>
      <c r="AZ220" s="160">
        <f t="shared" si="310"/>
        <v>0</v>
      </c>
      <c r="BA220" s="160">
        <f t="shared" si="310"/>
        <v>0</v>
      </c>
      <c r="BB220" s="160">
        <f t="shared" si="310"/>
        <v>0</v>
      </c>
      <c r="BC220" s="160">
        <f t="shared" si="310"/>
        <v>0</v>
      </c>
      <c r="BD220" s="160">
        <f t="shared" si="310"/>
        <v>0</v>
      </c>
      <c r="BE220" s="160">
        <f t="shared" si="310"/>
        <v>0</v>
      </c>
      <c r="BF220" s="160">
        <f t="shared" si="310"/>
        <v>0</v>
      </c>
      <c r="BG220" s="160">
        <f t="shared" si="311"/>
        <v>0</v>
      </c>
      <c r="BH220" s="160">
        <f t="shared" si="311"/>
        <v>0</v>
      </c>
      <c r="BI220" s="160">
        <f t="shared" si="311"/>
        <v>0</v>
      </c>
      <c r="BJ220" s="160">
        <f t="shared" si="311"/>
        <v>0</v>
      </c>
      <c r="BK220" s="160">
        <f t="shared" si="311"/>
        <v>0</v>
      </c>
      <c r="BL220" s="160">
        <f t="shared" si="311"/>
        <v>0</v>
      </c>
      <c r="BM220" s="160">
        <f t="shared" si="311"/>
        <v>0</v>
      </c>
      <c r="BN220" s="160">
        <f t="shared" si="311"/>
        <v>0</v>
      </c>
      <c r="BO220" s="160">
        <f t="shared" si="311"/>
        <v>0</v>
      </c>
      <c r="BP220" s="160">
        <f t="shared" si="311"/>
        <v>0</v>
      </c>
      <c r="BQ220" s="160">
        <f t="shared" si="311"/>
        <v>0</v>
      </c>
      <c r="BR220" s="160">
        <f t="shared" si="311"/>
        <v>0</v>
      </c>
      <c r="BS220" s="65"/>
      <c r="BT220" s="160">
        <f t="shared" si="312"/>
        <v>0</v>
      </c>
      <c r="BU220" s="160">
        <f t="shared" si="313"/>
        <v>0</v>
      </c>
      <c r="BV220" s="65"/>
      <c r="BW220" s="69"/>
      <c r="BX220" s="65"/>
      <c r="BY220" s="137">
        <f t="shared" si="314"/>
        <v>1</v>
      </c>
      <c r="BZ220" s="137">
        <f>IF(BY220&gt;0,BY220+LARGE($BZ$213:BZ219,1),0)</f>
        <v>8</v>
      </c>
      <c r="CA220" s="137" t="str">
        <f t="shared" si="315"/>
        <v>AN PL. ENG/ARQ</v>
      </c>
      <c r="CB220" s="161">
        <f t="shared" si="316"/>
        <v>0</v>
      </c>
      <c r="CC220" s="161">
        <f t="shared" si="317"/>
        <v>0</v>
      </c>
      <c r="CD220" s="161">
        <f t="shared" si="318"/>
        <v>0</v>
      </c>
      <c r="CE220" s="161">
        <f t="shared" si="319"/>
        <v>0</v>
      </c>
      <c r="CF220" s="161">
        <f t="shared" si="320"/>
        <v>0</v>
      </c>
      <c r="CG220" s="161">
        <f t="shared" si="321"/>
        <v>0</v>
      </c>
      <c r="CH220" s="161">
        <f t="shared" si="322"/>
        <v>0</v>
      </c>
      <c r="CI220" s="161">
        <f t="shared" si="323"/>
        <v>0</v>
      </c>
      <c r="CJ220" s="161">
        <f t="shared" si="324"/>
        <v>0</v>
      </c>
      <c r="CK220" s="161">
        <f t="shared" si="325"/>
        <v>0</v>
      </c>
      <c r="CL220" s="161">
        <f t="shared" si="326"/>
        <v>0</v>
      </c>
      <c r="CM220" s="161">
        <f t="shared" si="327"/>
        <v>0</v>
      </c>
      <c r="CN220" s="161">
        <f t="shared" si="328"/>
        <v>0</v>
      </c>
      <c r="CO220" s="161">
        <f t="shared" si="329"/>
        <v>0</v>
      </c>
      <c r="CP220" s="161">
        <f t="shared" si="330"/>
        <v>0</v>
      </c>
      <c r="CQ220" s="161">
        <f t="shared" si="331"/>
        <v>0</v>
      </c>
      <c r="CR220" s="161">
        <f t="shared" si="332"/>
        <v>0</v>
      </c>
      <c r="CS220" s="161">
        <f t="shared" si="333"/>
        <v>0</v>
      </c>
      <c r="CT220" s="161">
        <f t="shared" si="334"/>
        <v>0</v>
      </c>
      <c r="CU220" s="161">
        <f t="shared" si="335"/>
        <v>0</v>
      </c>
      <c r="CV220" s="161">
        <f t="shared" si="336"/>
        <v>0</v>
      </c>
      <c r="CW220" s="161">
        <f t="shared" si="337"/>
        <v>0</v>
      </c>
      <c r="CX220" s="161">
        <f t="shared" si="338"/>
        <v>0</v>
      </c>
      <c r="CY220" s="161">
        <f t="shared" si="339"/>
        <v>0</v>
      </c>
      <c r="CZ220" s="161">
        <f t="shared" si="340"/>
        <v>0</v>
      </c>
      <c r="DA220" s="161">
        <f t="shared" si="341"/>
        <v>0</v>
      </c>
      <c r="DB220" s="161">
        <f t="shared" si="342"/>
        <v>0</v>
      </c>
      <c r="DC220" s="161">
        <f t="shared" si="343"/>
        <v>0</v>
      </c>
      <c r="DD220" s="161">
        <f t="shared" si="344"/>
        <v>0</v>
      </c>
      <c r="DE220" s="161">
        <f t="shared" si="345"/>
        <v>0</v>
      </c>
      <c r="DF220" s="161">
        <f t="shared" si="346"/>
        <v>0</v>
      </c>
      <c r="DG220" s="161">
        <f t="shared" si="347"/>
        <v>0</v>
      </c>
      <c r="DH220" s="161">
        <f t="shared" si="348"/>
        <v>0</v>
      </c>
      <c r="DI220" s="161">
        <f t="shared" si="349"/>
        <v>0</v>
      </c>
      <c r="DJ220" s="161">
        <f t="shared" si="350"/>
        <v>0</v>
      </c>
      <c r="DK220" s="161">
        <f t="shared" si="351"/>
        <v>0</v>
      </c>
      <c r="DL220" s="161">
        <f t="shared" si="352"/>
        <v>0</v>
      </c>
      <c r="DM220" s="161">
        <f t="shared" si="353"/>
        <v>0</v>
      </c>
      <c r="DN220" s="161">
        <f t="shared" si="354"/>
        <v>0</v>
      </c>
      <c r="DO220" s="161">
        <f t="shared" si="355"/>
        <v>0</v>
      </c>
      <c r="DP220" s="161">
        <f t="shared" si="356"/>
        <v>0</v>
      </c>
      <c r="DQ220" s="161">
        <f t="shared" si="357"/>
        <v>0</v>
      </c>
      <c r="DR220" s="161">
        <f t="shared" si="358"/>
        <v>0</v>
      </c>
      <c r="DS220" s="161">
        <f t="shared" si="359"/>
        <v>0</v>
      </c>
      <c r="DT220" s="161">
        <f t="shared" si="360"/>
        <v>0</v>
      </c>
      <c r="DU220" s="161">
        <f t="shared" si="361"/>
        <v>0</v>
      </c>
      <c r="DV220" s="161">
        <f t="shared" si="362"/>
        <v>0</v>
      </c>
      <c r="DW220" s="161">
        <f t="shared" si="363"/>
        <v>0</v>
      </c>
      <c r="DX220" s="161">
        <f t="shared" si="364"/>
        <v>0</v>
      </c>
      <c r="DY220" s="161">
        <f t="shared" si="365"/>
        <v>0</v>
      </c>
      <c r="DZ220" s="161">
        <f t="shared" si="366"/>
        <v>0</v>
      </c>
      <c r="EA220" s="161">
        <f t="shared" si="367"/>
        <v>0</v>
      </c>
      <c r="EB220" s="161">
        <f t="shared" si="368"/>
        <v>0</v>
      </c>
      <c r="EC220" s="161">
        <f t="shared" si="369"/>
        <v>0</v>
      </c>
      <c r="ED220" s="161">
        <f t="shared" si="370"/>
        <v>0</v>
      </c>
      <c r="EE220" s="161">
        <f t="shared" si="371"/>
        <v>0</v>
      </c>
      <c r="EF220" s="161">
        <f t="shared" si="372"/>
        <v>0</v>
      </c>
      <c r="EG220" s="161">
        <f t="shared" si="373"/>
        <v>0</v>
      </c>
      <c r="EH220" s="161">
        <f t="shared" si="374"/>
        <v>0</v>
      </c>
      <c r="EI220" s="161">
        <f t="shared" si="375"/>
        <v>0</v>
      </c>
      <c r="EJ220" s="65"/>
      <c r="EK220" s="161">
        <f t="shared" si="304"/>
        <v>0</v>
      </c>
      <c r="EL220" s="161">
        <f t="shared" si="305"/>
        <v>0</v>
      </c>
      <c r="EM220" s="161">
        <f t="shared" si="306"/>
        <v>0</v>
      </c>
    </row>
    <row r="221" spans="1:143" ht="12" hidden="1" customHeight="1" outlineLevel="2">
      <c r="A221" s="77">
        <v>9</v>
      </c>
      <c r="B221" s="137" t="str">
        <f t="shared" si="302"/>
        <v>AN JR. ENG/ARQ - Equipe_01</v>
      </c>
      <c r="C221" s="65"/>
      <c r="D221" s="622"/>
      <c r="E221" s="65"/>
      <c r="F221" s="584"/>
      <c r="G221" s="77" t="str">
        <f>IF(INDEX(Tarefas!$BT$30:$FK$30,MATCH(A221,Tarefas!$BT$28:$FK$28,0))=0,"",INDEX(Tarefas!$BT$30:$FK$30,MATCH(A221,Tarefas!$BT$28:$FK$28,0)))</f>
        <v>AN JR. ENG/ARQ</v>
      </c>
      <c r="H221" s="107" cm="1">
        <f t="array" ref="H221">IFERROR((SUMPRODUCT((Tarefas!$N$32:$N$54='Cronog. e Histog.'!$F$213)*(Tarefas!$BQ$30:$FK$30='Cronog. e Histog.'!$G221)*(Tarefas!$BQ$32:$FK$54)))/SUMIF(Tarefas!$N$32:$N$54,'Cronog. e Histog.'!$F$213,Tarefas!$K$32:$K$54),0)</f>
        <v>0</v>
      </c>
      <c r="I221" s="79">
        <f t="shared" si="303"/>
        <v>0</v>
      </c>
      <c r="J221" s="65"/>
      <c r="K221" s="160">
        <f t="shared" si="307"/>
        <v>0</v>
      </c>
      <c r="L221" s="160">
        <f t="shared" si="307"/>
        <v>0</v>
      </c>
      <c r="M221" s="160">
        <f t="shared" si="307"/>
        <v>0</v>
      </c>
      <c r="N221" s="160">
        <f t="shared" si="307"/>
        <v>0</v>
      </c>
      <c r="O221" s="160">
        <f t="shared" si="307"/>
        <v>0</v>
      </c>
      <c r="P221" s="160">
        <f t="shared" si="307"/>
        <v>0</v>
      </c>
      <c r="Q221" s="160">
        <f t="shared" si="307"/>
        <v>0</v>
      </c>
      <c r="R221" s="160">
        <f t="shared" si="307"/>
        <v>0</v>
      </c>
      <c r="S221" s="160">
        <f t="shared" si="307"/>
        <v>0</v>
      </c>
      <c r="T221" s="160">
        <f t="shared" si="307"/>
        <v>0</v>
      </c>
      <c r="U221" s="160">
        <f t="shared" si="307"/>
        <v>0</v>
      </c>
      <c r="V221" s="160">
        <f t="shared" si="307"/>
        <v>0</v>
      </c>
      <c r="W221" s="160">
        <f t="shared" si="307"/>
        <v>0</v>
      </c>
      <c r="X221" s="160">
        <f t="shared" si="307"/>
        <v>0</v>
      </c>
      <c r="Y221" s="160">
        <f t="shared" si="307"/>
        <v>0</v>
      </c>
      <c r="Z221" s="160">
        <f t="shared" si="307"/>
        <v>0</v>
      </c>
      <c r="AA221" s="160">
        <f t="shared" si="309"/>
        <v>0</v>
      </c>
      <c r="AB221" s="160">
        <f t="shared" si="309"/>
        <v>0</v>
      </c>
      <c r="AC221" s="160">
        <f t="shared" si="309"/>
        <v>0</v>
      </c>
      <c r="AD221" s="160">
        <f t="shared" si="309"/>
        <v>0</v>
      </c>
      <c r="AE221" s="160">
        <f t="shared" si="309"/>
        <v>0</v>
      </c>
      <c r="AF221" s="160">
        <f t="shared" si="309"/>
        <v>0</v>
      </c>
      <c r="AG221" s="160">
        <f t="shared" si="309"/>
        <v>0</v>
      </c>
      <c r="AH221" s="160">
        <f t="shared" si="309"/>
        <v>0</v>
      </c>
      <c r="AI221" s="160">
        <f t="shared" si="309"/>
        <v>0</v>
      </c>
      <c r="AJ221" s="160">
        <f t="shared" si="309"/>
        <v>0</v>
      </c>
      <c r="AK221" s="160">
        <f t="shared" si="309"/>
        <v>0</v>
      </c>
      <c r="AL221" s="160">
        <f t="shared" si="309"/>
        <v>0</v>
      </c>
      <c r="AM221" s="160">
        <f t="shared" si="309"/>
        <v>0</v>
      </c>
      <c r="AN221" s="160">
        <f t="shared" si="309"/>
        <v>0</v>
      </c>
      <c r="AO221" s="160">
        <f t="shared" si="309"/>
        <v>0</v>
      </c>
      <c r="AP221" s="160">
        <f t="shared" si="309"/>
        <v>0</v>
      </c>
      <c r="AQ221" s="160">
        <f t="shared" si="310"/>
        <v>0</v>
      </c>
      <c r="AR221" s="160">
        <f t="shared" si="310"/>
        <v>0</v>
      </c>
      <c r="AS221" s="160">
        <f t="shared" si="310"/>
        <v>0</v>
      </c>
      <c r="AT221" s="160">
        <f t="shared" si="310"/>
        <v>0</v>
      </c>
      <c r="AU221" s="160">
        <f t="shared" si="310"/>
        <v>0</v>
      </c>
      <c r="AV221" s="160">
        <f t="shared" si="310"/>
        <v>0</v>
      </c>
      <c r="AW221" s="160">
        <f t="shared" si="310"/>
        <v>0</v>
      </c>
      <c r="AX221" s="160">
        <f t="shared" si="310"/>
        <v>0</v>
      </c>
      <c r="AY221" s="160">
        <f t="shared" si="310"/>
        <v>0</v>
      </c>
      <c r="AZ221" s="160">
        <f t="shared" si="310"/>
        <v>0</v>
      </c>
      <c r="BA221" s="160">
        <f t="shared" si="310"/>
        <v>0</v>
      </c>
      <c r="BB221" s="160">
        <f t="shared" si="310"/>
        <v>0</v>
      </c>
      <c r="BC221" s="160">
        <f t="shared" si="310"/>
        <v>0</v>
      </c>
      <c r="BD221" s="160">
        <f t="shared" si="310"/>
        <v>0</v>
      </c>
      <c r="BE221" s="160">
        <f t="shared" si="310"/>
        <v>0</v>
      </c>
      <c r="BF221" s="160">
        <f t="shared" si="310"/>
        <v>0</v>
      </c>
      <c r="BG221" s="160">
        <f t="shared" si="311"/>
        <v>0</v>
      </c>
      <c r="BH221" s="160">
        <f t="shared" si="311"/>
        <v>0</v>
      </c>
      <c r="BI221" s="160">
        <f t="shared" si="311"/>
        <v>0</v>
      </c>
      <c r="BJ221" s="160">
        <f t="shared" si="311"/>
        <v>0</v>
      </c>
      <c r="BK221" s="160">
        <f t="shared" si="311"/>
        <v>0</v>
      </c>
      <c r="BL221" s="160">
        <f t="shared" si="311"/>
        <v>0</v>
      </c>
      <c r="BM221" s="160">
        <f t="shared" si="311"/>
        <v>0</v>
      </c>
      <c r="BN221" s="160">
        <f t="shared" si="311"/>
        <v>0</v>
      </c>
      <c r="BO221" s="160">
        <f t="shared" si="311"/>
        <v>0</v>
      </c>
      <c r="BP221" s="160">
        <f t="shared" si="311"/>
        <v>0</v>
      </c>
      <c r="BQ221" s="160">
        <f t="shared" si="311"/>
        <v>0</v>
      </c>
      <c r="BR221" s="160">
        <f t="shared" si="311"/>
        <v>0</v>
      </c>
      <c r="BS221" s="65"/>
      <c r="BT221" s="160">
        <f t="shared" si="312"/>
        <v>0</v>
      </c>
      <c r="BU221" s="160">
        <f t="shared" si="313"/>
        <v>0</v>
      </c>
      <c r="BV221" s="65"/>
      <c r="BW221" s="69"/>
      <c r="BX221" s="65"/>
      <c r="BY221" s="137">
        <f t="shared" si="314"/>
        <v>1</v>
      </c>
      <c r="BZ221" s="137">
        <f>IF(BY221&gt;0,BY221+LARGE($BZ$213:BZ220,1),0)</f>
        <v>9</v>
      </c>
      <c r="CA221" s="137" t="str">
        <f t="shared" si="315"/>
        <v>AN JR. ENG/ARQ</v>
      </c>
      <c r="CB221" s="161">
        <f t="shared" si="316"/>
        <v>0</v>
      </c>
      <c r="CC221" s="161">
        <f t="shared" si="317"/>
        <v>0</v>
      </c>
      <c r="CD221" s="161">
        <f t="shared" si="318"/>
        <v>0</v>
      </c>
      <c r="CE221" s="161">
        <f t="shared" si="319"/>
        <v>0</v>
      </c>
      <c r="CF221" s="161">
        <f t="shared" si="320"/>
        <v>0</v>
      </c>
      <c r="CG221" s="161">
        <f t="shared" si="321"/>
        <v>0</v>
      </c>
      <c r="CH221" s="161">
        <f t="shared" si="322"/>
        <v>0</v>
      </c>
      <c r="CI221" s="161">
        <f t="shared" si="323"/>
        <v>0</v>
      </c>
      <c r="CJ221" s="161">
        <f t="shared" si="324"/>
        <v>0</v>
      </c>
      <c r="CK221" s="161">
        <f t="shared" si="325"/>
        <v>0</v>
      </c>
      <c r="CL221" s="161">
        <f t="shared" si="326"/>
        <v>0</v>
      </c>
      <c r="CM221" s="161">
        <f t="shared" si="327"/>
        <v>0</v>
      </c>
      <c r="CN221" s="161">
        <f t="shared" si="328"/>
        <v>0</v>
      </c>
      <c r="CO221" s="161">
        <f t="shared" si="329"/>
        <v>0</v>
      </c>
      <c r="CP221" s="161">
        <f t="shared" si="330"/>
        <v>0</v>
      </c>
      <c r="CQ221" s="161">
        <f t="shared" si="331"/>
        <v>0</v>
      </c>
      <c r="CR221" s="161">
        <f t="shared" si="332"/>
        <v>0</v>
      </c>
      <c r="CS221" s="161">
        <f t="shared" si="333"/>
        <v>0</v>
      </c>
      <c r="CT221" s="161">
        <f t="shared" si="334"/>
        <v>0</v>
      </c>
      <c r="CU221" s="161">
        <f t="shared" si="335"/>
        <v>0</v>
      </c>
      <c r="CV221" s="161">
        <f t="shared" si="336"/>
        <v>0</v>
      </c>
      <c r="CW221" s="161">
        <f t="shared" si="337"/>
        <v>0</v>
      </c>
      <c r="CX221" s="161">
        <f t="shared" si="338"/>
        <v>0</v>
      </c>
      <c r="CY221" s="161">
        <f t="shared" si="339"/>
        <v>0</v>
      </c>
      <c r="CZ221" s="161">
        <f t="shared" si="340"/>
        <v>0</v>
      </c>
      <c r="DA221" s="161">
        <f t="shared" si="341"/>
        <v>0</v>
      </c>
      <c r="DB221" s="161">
        <f t="shared" si="342"/>
        <v>0</v>
      </c>
      <c r="DC221" s="161">
        <f t="shared" si="343"/>
        <v>0</v>
      </c>
      <c r="DD221" s="161">
        <f t="shared" si="344"/>
        <v>0</v>
      </c>
      <c r="DE221" s="161">
        <f t="shared" si="345"/>
        <v>0</v>
      </c>
      <c r="DF221" s="161">
        <f t="shared" si="346"/>
        <v>0</v>
      </c>
      <c r="DG221" s="161">
        <f t="shared" si="347"/>
        <v>0</v>
      </c>
      <c r="DH221" s="161">
        <f t="shared" si="348"/>
        <v>0</v>
      </c>
      <c r="DI221" s="161">
        <f t="shared" si="349"/>
        <v>0</v>
      </c>
      <c r="DJ221" s="161">
        <f t="shared" si="350"/>
        <v>0</v>
      </c>
      <c r="DK221" s="161">
        <f t="shared" si="351"/>
        <v>0</v>
      </c>
      <c r="DL221" s="161">
        <f t="shared" si="352"/>
        <v>0</v>
      </c>
      <c r="DM221" s="161">
        <f t="shared" si="353"/>
        <v>0</v>
      </c>
      <c r="DN221" s="161">
        <f t="shared" si="354"/>
        <v>0</v>
      </c>
      <c r="DO221" s="161">
        <f t="shared" si="355"/>
        <v>0</v>
      </c>
      <c r="DP221" s="161">
        <f t="shared" si="356"/>
        <v>0</v>
      </c>
      <c r="DQ221" s="161">
        <f t="shared" si="357"/>
        <v>0</v>
      </c>
      <c r="DR221" s="161">
        <f t="shared" si="358"/>
        <v>0</v>
      </c>
      <c r="DS221" s="161">
        <f t="shared" si="359"/>
        <v>0</v>
      </c>
      <c r="DT221" s="161">
        <f t="shared" si="360"/>
        <v>0</v>
      </c>
      <c r="DU221" s="161">
        <f t="shared" si="361"/>
        <v>0</v>
      </c>
      <c r="DV221" s="161">
        <f t="shared" si="362"/>
        <v>0</v>
      </c>
      <c r="DW221" s="161">
        <f t="shared" si="363"/>
        <v>0</v>
      </c>
      <c r="DX221" s="161">
        <f t="shared" si="364"/>
        <v>0</v>
      </c>
      <c r="DY221" s="161">
        <f t="shared" si="365"/>
        <v>0</v>
      </c>
      <c r="DZ221" s="161">
        <f t="shared" si="366"/>
        <v>0</v>
      </c>
      <c r="EA221" s="161">
        <f t="shared" si="367"/>
        <v>0</v>
      </c>
      <c r="EB221" s="161">
        <f t="shared" si="368"/>
        <v>0</v>
      </c>
      <c r="EC221" s="161">
        <f t="shared" si="369"/>
        <v>0</v>
      </c>
      <c r="ED221" s="161">
        <f t="shared" si="370"/>
        <v>0</v>
      </c>
      <c r="EE221" s="161">
        <f t="shared" si="371"/>
        <v>0</v>
      </c>
      <c r="EF221" s="161">
        <f t="shared" si="372"/>
        <v>0</v>
      </c>
      <c r="EG221" s="161">
        <f t="shared" si="373"/>
        <v>0</v>
      </c>
      <c r="EH221" s="161">
        <f t="shared" si="374"/>
        <v>0</v>
      </c>
      <c r="EI221" s="161">
        <f t="shared" si="375"/>
        <v>0</v>
      </c>
      <c r="EJ221" s="65"/>
      <c r="EK221" s="161">
        <f t="shared" si="304"/>
        <v>0</v>
      </c>
      <c r="EL221" s="161">
        <f t="shared" si="305"/>
        <v>0</v>
      </c>
      <c r="EM221" s="161">
        <f t="shared" si="306"/>
        <v>0</v>
      </c>
    </row>
    <row r="222" spans="1:143" ht="12" hidden="1" customHeight="1" outlineLevel="2">
      <c r="A222" s="77">
        <v>10</v>
      </c>
      <c r="B222" s="137" t="str">
        <f t="shared" si="302"/>
        <v>AN SR. ADM/CRP - Equipe_01</v>
      </c>
      <c r="C222" s="65"/>
      <c r="D222" s="622"/>
      <c r="E222" s="65"/>
      <c r="F222" s="584"/>
      <c r="G222" s="77" t="str">
        <f>IF(INDEX(Tarefas!$BT$30:$FK$30,MATCH(A222,Tarefas!$BT$28:$FK$28,0))=0,"",INDEX(Tarefas!$BT$30:$FK$30,MATCH(A222,Tarefas!$BT$28:$FK$28,0)))</f>
        <v>AN SR. ADM/CRP</v>
      </c>
      <c r="H222" s="107" cm="1">
        <f t="array" ref="H222">IFERROR((SUMPRODUCT((Tarefas!$N$32:$N$54='Cronog. e Histog.'!$F$213)*(Tarefas!$BQ$30:$FK$30='Cronog. e Histog.'!$G222)*(Tarefas!$BQ$32:$FK$54)))/SUMIF(Tarefas!$N$32:$N$54,'Cronog. e Histog.'!$F$213,Tarefas!$K$32:$K$54),0)</f>
        <v>0</v>
      </c>
      <c r="I222" s="79">
        <f t="shared" si="303"/>
        <v>0</v>
      </c>
      <c r="J222" s="65"/>
      <c r="K222" s="160">
        <f t="shared" si="307"/>
        <v>0</v>
      </c>
      <c r="L222" s="160">
        <f t="shared" si="307"/>
        <v>0</v>
      </c>
      <c r="M222" s="160">
        <f t="shared" si="307"/>
        <v>0</v>
      </c>
      <c r="N222" s="160">
        <f t="shared" si="307"/>
        <v>0</v>
      </c>
      <c r="O222" s="160">
        <f t="shared" si="307"/>
        <v>0</v>
      </c>
      <c r="P222" s="160">
        <f t="shared" si="307"/>
        <v>0</v>
      </c>
      <c r="Q222" s="160">
        <f t="shared" si="307"/>
        <v>0</v>
      </c>
      <c r="R222" s="160">
        <f t="shared" si="307"/>
        <v>0</v>
      </c>
      <c r="S222" s="160">
        <f t="shared" si="307"/>
        <v>0</v>
      </c>
      <c r="T222" s="160">
        <f t="shared" si="307"/>
        <v>0</v>
      </c>
      <c r="U222" s="160">
        <f t="shared" si="307"/>
        <v>0</v>
      </c>
      <c r="V222" s="160">
        <f t="shared" si="307"/>
        <v>0</v>
      </c>
      <c r="W222" s="160">
        <f t="shared" si="307"/>
        <v>0</v>
      </c>
      <c r="X222" s="160">
        <f t="shared" si="307"/>
        <v>0</v>
      </c>
      <c r="Y222" s="160">
        <f t="shared" si="307"/>
        <v>0</v>
      </c>
      <c r="Z222" s="160">
        <f t="shared" si="307"/>
        <v>0</v>
      </c>
      <c r="AA222" s="160">
        <f t="shared" si="309"/>
        <v>0</v>
      </c>
      <c r="AB222" s="160">
        <f t="shared" si="309"/>
        <v>0</v>
      </c>
      <c r="AC222" s="160">
        <f t="shared" si="309"/>
        <v>0</v>
      </c>
      <c r="AD222" s="160">
        <f t="shared" si="309"/>
        <v>0</v>
      </c>
      <c r="AE222" s="160">
        <f t="shared" si="309"/>
        <v>0</v>
      </c>
      <c r="AF222" s="160">
        <f t="shared" si="309"/>
        <v>0</v>
      </c>
      <c r="AG222" s="160">
        <f t="shared" si="309"/>
        <v>0</v>
      </c>
      <c r="AH222" s="160">
        <f t="shared" si="309"/>
        <v>0</v>
      </c>
      <c r="AI222" s="160">
        <f t="shared" si="309"/>
        <v>0</v>
      </c>
      <c r="AJ222" s="160">
        <f t="shared" si="309"/>
        <v>0</v>
      </c>
      <c r="AK222" s="160">
        <f t="shared" si="309"/>
        <v>0</v>
      </c>
      <c r="AL222" s="160">
        <f t="shared" si="309"/>
        <v>0</v>
      </c>
      <c r="AM222" s="160">
        <f t="shared" si="309"/>
        <v>0</v>
      </c>
      <c r="AN222" s="160">
        <f t="shared" si="309"/>
        <v>0</v>
      </c>
      <c r="AO222" s="160">
        <f t="shared" si="309"/>
        <v>0</v>
      </c>
      <c r="AP222" s="160">
        <f t="shared" si="309"/>
        <v>0</v>
      </c>
      <c r="AQ222" s="160">
        <f t="shared" si="310"/>
        <v>0</v>
      </c>
      <c r="AR222" s="160">
        <f t="shared" si="310"/>
        <v>0</v>
      </c>
      <c r="AS222" s="160">
        <f t="shared" si="310"/>
        <v>0</v>
      </c>
      <c r="AT222" s="160">
        <f t="shared" si="310"/>
        <v>0</v>
      </c>
      <c r="AU222" s="160">
        <f t="shared" si="310"/>
        <v>0</v>
      </c>
      <c r="AV222" s="160">
        <f t="shared" si="310"/>
        <v>0</v>
      </c>
      <c r="AW222" s="160">
        <f t="shared" si="310"/>
        <v>0</v>
      </c>
      <c r="AX222" s="160">
        <f t="shared" si="310"/>
        <v>0</v>
      </c>
      <c r="AY222" s="160">
        <f t="shared" si="310"/>
        <v>0</v>
      </c>
      <c r="AZ222" s="160">
        <f t="shared" si="310"/>
        <v>0</v>
      </c>
      <c r="BA222" s="160">
        <f t="shared" si="310"/>
        <v>0</v>
      </c>
      <c r="BB222" s="160">
        <f t="shared" si="310"/>
        <v>0</v>
      </c>
      <c r="BC222" s="160">
        <f t="shared" si="310"/>
        <v>0</v>
      </c>
      <c r="BD222" s="160">
        <f t="shared" si="310"/>
        <v>0</v>
      </c>
      <c r="BE222" s="160">
        <f t="shared" si="310"/>
        <v>0</v>
      </c>
      <c r="BF222" s="160">
        <f t="shared" si="310"/>
        <v>0</v>
      </c>
      <c r="BG222" s="160">
        <f t="shared" si="311"/>
        <v>0</v>
      </c>
      <c r="BH222" s="160">
        <f t="shared" si="311"/>
        <v>0</v>
      </c>
      <c r="BI222" s="160">
        <f t="shared" si="311"/>
        <v>0</v>
      </c>
      <c r="BJ222" s="160">
        <f t="shared" si="311"/>
        <v>0</v>
      </c>
      <c r="BK222" s="160">
        <f t="shared" si="311"/>
        <v>0</v>
      </c>
      <c r="BL222" s="160">
        <f t="shared" si="311"/>
        <v>0</v>
      </c>
      <c r="BM222" s="160">
        <f t="shared" si="311"/>
        <v>0</v>
      </c>
      <c r="BN222" s="160">
        <f t="shared" si="311"/>
        <v>0</v>
      </c>
      <c r="BO222" s="160">
        <f t="shared" si="311"/>
        <v>0</v>
      </c>
      <c r="BP222" s="160">
        <f t="shared" si="311"/>
        <v>0</v>
      </c>
      <c r="BQ222" s="160">
        <f t="shared" si="311"/>
        <v>0</v>
      </c>
      <c r="BR222" s="160">
        <f t="shared" si="311"/>
        <v>0</v>
      </c>
      <c r="BS222" s="65"/>
      <c r="BT222" s="160">
        <f t="shared" si="312"/>
        <v>0</v>
      </c>
      <c r="BU222" s="160">
        <f t="shared" si="313"/>
        <v>0</v>
      </c>
      <c r="BV222" s="65"/>
      <c r="BW222" s="69"/>
      <c r="BX222" s="65"/>
      <c r="BY222" s="137">
        <f t="shared" si="314"/>
        <v>1</v>
      </c>
      <c r="BZ222" s="137">
        <f>IF(BY222&gt;0,BY222+LARGE($BZ$213:BZ221,1),0)</f>
        <v>10</v>
      </c>
      <c r="CA222" s="137" t="str">
        <f t="shared" si="315"/>
        <v>AN SR. ADM/CRP</v>
      </c>
      <c r="CB222" s="161">
        <f t="shared" si="316"/>
        <v>0</v>
      </c>
      <c r="CC222" s="161">
        <f t="shared" si="317"/>
        <v>0</v>
      </c>
      <c r="CD222" s="161">
        <f t="shared" si="318"/>
        <v>0</v>
      </c>
      <c r="CE222" s="161">
        <f t="shared" si="319"/>
        <v>0</v>
      </c>
      <c r="CF222" s="161">
        <f t="shared" si="320"/>
        <v>0</v>
      </c>
      <c r="CG222" s="161">
        <f t="shared" si="321"/>
        <v>0</v>
      </c>
      <c r="CH222" s="161">
        <f t="shared" si="322"/>
        <v>0</v>
      </c>
      <c r="CI222" s="161">
        <f t="shared" si="323"/>
        <v>0</v>
      </c>
      <c r="CJ222" s="161">
        <f t="shared" si="324"/>
        <v>0</v>
      </c>
      <c r="CK222" s="161">
        <f t="shared" si="325"/>
        <v>0</v>
      </c>
      <c r="CL222" s="161">
        <f t="shared" si="326"/>
        <v>0</v>
      </c>
      <c r="CM222" s="161">
        <f t="shared" si="327"/>
        <v>0</v>
      </c>
      <c r="CN222" s="161">
        <f t="shared" si="328"/>
        <v>0</v>
      </c>
      <c r="CO222" s="161">
        <f t="shared" si="329"/>
        <v>0</v>
      </c>
      <c r="CP222" s="161">
        <f t="shared" si="330"/>
        <v>0</v>
      </c>
      <c r="CQ222" s="161">
        <f t="shared" si="331"/>
        <v>0</v>
      </c>
      <c r="CR222" s="161">
        <f t="shared" si="332"/>
        <v>0</v>
      </c>
      <c r="CS222" s="161">
        <f t="shared" si="333"/>
        <v>0</v>
      </c>
      <c r="CT222" s="161">
        <f t="shared" si="334"/>
        <v>0</v>
      </c>
      <c r="CU222" s="161">
        <f t="shared" si="335"/>
        <v>0</v>
      </c>
      <c r="CV222" s="161">
        <f t="shared" si="336"/>
        <v>0</v>
      </c>
      <c r="CW222" s="161">
        <f t="shared" si="337"/>
        <v>0</v>
      </c>
      <c r="CX222" s="161">
        <f t="shared" si="338"/>
        <v>0</v>
      </c>
      <c r="CY222" s="161">
        <f t="shared" si="339"/>
        <v>0</v>
      </c>
      <c r="CZ222" s="161">
        <f t="shared" si="340"/>
        <v>0</v>
      </c>
      <c r="DA222" s="161">
        <f t="shared" si="341"/>
        <v>0</v>
      </c>
      <c r="DB222" s="161">
        <f t="shared" si="342"/>
        <v>0</v>
      </c>
      <c r="DC222" s="161">
        <f t="shared" si="343"/>
        <v>0</v>
      </c>
      <c r="DD222" s="161">
        <f t="shared" si="344"/>
        <v>0</v>
      </c>
      <c r="DE222" s="161">
        <f t="shared" si="345"/>
        <v>0</v>
      </c>
      <c r="DF222" s="161">
        <f t="shared" si="346"/>
        <v>0</v>
      </c>
      <c r="DG222" s="161">
        <f t="shared" si="347"/>
        <v>0</v>
      </c>
      <c r="DH222" s="161">
        <f t="shared" si="348"/>
        <v>0</v>
      </c>
      <c r="DI222" s="161">
        <f t="shared" si="349"/>
        <v>0</v>
      </c>
      <c r="DJ222" s="161">
        <f t="shared" si="350"/>
        <v>0</v>
      </c>
      <c r="DK222" s="161">
        <f t="shared" si="351"/>
        <v>0</v>
      </c>
      <c r="DL222" s="161">
        <f t="shared" si="352"/>
        <v>0</v>
      </c>
      <c r="DM222" s="161">
        <f t="shared" si="353"/>
        <v>0</v>
      </c>
      <c r="DN222" s="161">
        <f t="shared" si="354"/>
        <v>0</v>
      </c>
      <c r="DO222" s="161">
        <f t="shared" si="355"/>
        <v>0</v>
      </c>
      <c r="DP222" s="161">
        <f t="shared" si="356"/>
        <v>0</v>
      </c>
      <c r="DQ222" s="161">
        <f t="shared" si="357"/>
        <v>0</v>
      </c>
      <c r="DR222" s="161">
        <f t="shared" si="358"/>
        <v>0</v>
      </c>
      <c r="DS222" s="161">
        <f t="shared" si="359"/>
        <v>0</v>
      </c>
      <c r="DT222" s="161">
        <f t="shared" si="360"/>
        <v>0</v>
      </c>
      <c r="DU222" s="161">
        <f t="shared" si="361"/>
        <v>0</v>
      </c>
      <c r="DV222" s="161">
        <f t="shared" si="362"/>
        <v>0</v>
      </c>
      <c r="DW222" s="161">
        <f t="shared" si="363"/>
        <v>0</v>
      </c>
      <c r="DX222" s="161">
        <f t="shared" si="364"/>
        <v>0</v>
      </c>
      <c r="DY222" s="161">
        <f t="shared" si="365"/>
        <v>0</v>
      </c>
      <c r="DZ222" s="161">
        <f t="shared" si="366"/>
        <v>0</v>
      </c>
      <c r="EA222" s="161">
        <f t="shared" si="367"/>
        <v>0</v>
      </c>
      <c r="EB222" s="161">
        <f t="shared" si="368"/>
        <v>0</v>
      </c>
      <c r="EC222" s="161">
        <f t="shared" si="369"/>
        <v>0</v>
      </c>
      <c r="ED222" s="161">
        <f t="shared" si="370"/>
        <v>0</v>
      </c>
      <c r="EE222" s="161">
        <f t="shared" si="371"/>
        <v>0</v>
      </c>
      <c r="EF222" s="161">
        <f t="shared" si="372"/>
        <v>0</v>
      </c>
      <c r="EG222" s="161">
        <f t="shared" si="373"/>
        <v>0</v>
      </c>
      <c r="EH222" s="161">
        <f t="shared" si="374"/>
        <v>0</v>
      </c>
      <c r="EI222" s="161">
        <f t="shared" si="375"/>
        <v>0</v>
      </c>
      <c r="EJ222" s="65"/>
      <c r="EK222" s="161">
        <f t="shared" si="304"/>
        <v>0</v>
      </c>
      <c r="EL222" s="161">
        <f t="shared" si="305"/>
        <v>0</v>
      </c>
      <c r="EM222" s="161">
        <f t="shared" si="306"/>
        <v>0</v>
      </c>
    </row>
    <row r="223" spans="1:143" ht="12" hidden="1" customHeight="1" outlineLevel="2">
      <c r="A223" s="77">
        <v>11</v>
      </c>
      <c r="B223" s="137" t="str">
        <f t="shared" si="302"/>
        <v>AN PL. ADM/CRP - Equipe_01</v>
      </c>
      <c r="C223" s="65"/>
      <c r="D223" s="622"/>
      <c r="E223" s="65"/>
      <c r="F223" s="584"/>
      <c r="G223" s="77" t="str">
        <f>IF(INDEX(Tarefas!$BT$30:$FK$30,MATCH(A223,Tarefas!$BT$28:$FK$28,0))=0,"",INDEX(Tarefas!$BT$30:$FK$30,MATCH(A223,Tarefas!$BT$28:$FK$28,0)))</f>
        <v>AN PL. ADM/CRP</v>
      </c>
      <c r="H223" s="107" cm="1">
        <f t="array" ref="H223">IFERROR((SUMPRODUCT((Tarefas!$N$32:$N$54='Cronog. e Histog.'!$F$213)*(Tarefas!$BQ$30:$FK$30='Cronog. e Histog.'!$G223)*(Tarefas!$BQ$32:$FK$54)))/SUMIF(Tarefas!$N$32:$N$54,'Cronog. e Histog.'!$F$213,Tarefas!$K$32:$K$54),0)</f>
        <v>0</v>
      </c>
      <c r="I223" s="79">
        <f t="shared" si="303"/>
        <v>0</v>
      </c>
      <c r="J223" s="65"/>
      <c r="K223" s="160">
        <f t="shared" si="307"/>
        <v>0</v>
      </c>
      <c r="L223" s="160">
        <f t="shared" si="307"/>
        <v>0</v>
      </c>
      <c r="M223" s="160">
        <f t="shared" si="307"/>
        <v>0</v>
      </c>
      <c r="N223" s="160">
        <f t="shared" si="307"/>
        <v>0</v>
      </c>
      <c r="O223" s="160">
        <f t="shared" si="307"/>
        <v>0</v>
      </c>
      <c r="P223" s="160">
        <f t="shared" si="307"/>
        <v>0</v>
      </c>
      <c r="Q223" s="160">
        <f t="shared" si="307"/>
        <v>0</v>
      </c>
      <c r="R223" s="160">
        <f t="shared" si="307"/>
        <v>0</v>
      </c>
      <c r="S223" s="160">
        <f t="shared" si="307"/>
        <v>0</v>
      </c>
      <c r="T223" s="160">
        <f t="shared" si="307"/>
        <v>0</v>
      </c>
      <c r="U223" s="160">
        <f t="shared" si="307"/>
        <v>0</v>
      </c>
      <c r="V223" s="160">
        <f t="shared" si="307"/>
        <v>0</v>
      </c>
      <c r="W223" s="160">
        <f t="shared" si="307"/>
        <v>0</v>
      </c>
      <c r="X223" s="160">
        <f t="shared" si="307"/>
        <v>0</v>
      </c>
      <c r="Y223" s="160">
        <f t="shared" si="307"/>
        <v>0</v>
      </c>
      <c r="Z223" s="160">
        <f t="shared" si="307"/>
        <v>0</v>
      </c>
      <c r="AA223" s="160">
        <f t="shared" si="309"/>
        <v>0</v>
      </c>
      <c r="AB223" s="160">
        <f t="shared" si="309"/>
        <v>0</v>
      </c>
      <c r="AC223" s="160">
        <f t="shared" si="309"/>
        <v>0</v>
      </c>
      <c r="AD223" s="160">
        <f t="shared" si="309"/>
        <v>0</v>
      </c>
      <c r="AE223" s="160">
        <f t="shared" si="309"/>
        <v>0</v>
      </c>
      <c r="AF223" s="160">
        <f t="shared" si="309"/>
        <v>0</v>
      </c>
      <c r="AG223" s="160">
        <f t="shared" si="309"/>
        <v>0</v>
      </c>
      <c r="AH223" s="160">
        <f t="shared" si="309"/>
        <v>0</v>
      </c>
      <c r="AI223" s="160">
        <f t="shared" si="309"/>
        <v>0</v>
      </c>
      <c r="AJ223" s="160">
        <f t="shared" si="309"/>
        <v>0</v>
      </c>
      <c r="AK223" s="160">
        <f t="shared" si="309"/>
        <v>0</v>
      </c>
      <c r="AL223" s="160">
        <f t="shared" si="309"/>
        <v>0</v>
      </c>
      <c r="AM223" s="160">
        <f t="shared" si="309"/>
        <v>0</v>
      </c>
      <c r="AN223" s="160">
        <f t="shared" si="309"/>
        <v>0</v>
      </c>
      <c r="AO223" s="160">
        <f t="shared" si="309"/>
        <v>0</v>
      </c>
      <c r="AP223" s="160">
        <f t="shared" si="309"/>
        <v>0</v>
      </c>
      <c r="AQ223" s="160">
        <f t="shared" si="310"/>
        <v>0</v>
      </c>
      <c r="AR223" s="160">
        <f t="shared" si="310"/>
        <v>0</v>
      </c>
      <c r="AS223" s="160">
        <f t="shared" si="310"/>
        <v>0</v>
      </c>
      <c r="AT223" s="160">
        <f t="shared" si="310"/>
        <v>0</v>
      </c>
      <c r="AU223" s="160">
        <f t="shared" si="310"/>
        <v>0</v>
      </c>
      <c r="AV223" s="160">
        <f t="shared" si="310"/>
        <v>0</v>
      </c>
      <c r="AW223" s="160">
        <f t="shared" si="310"/>
        <v>0</v>
      </c>
      <c r="AX223" s="160">
        <f t="shared" si="310"/>
        <v>0</v>
      </c>
      <c r="AY223" s="160">
        <f t="shared" si="310"/>
        <v>0</v>
      </c>
      <c r="AZ223" s="160">
        <f t="shared" si="310"/>
        <v>0</v>
      </c>
      <c r="BA223" s="160">
        <f t="shared" si="310"/>
        <v>0</v>
      </c>
      <c r="BB223" s="160">
        <f t="shared" si="310"/>
        <v>0</v>
      </c>
      <c r="BC223" s="160">
        <f t="shared" si="310"/>
        <v>0</v>
      </c>
      <c r="BD223" s="160">
        <f t="shared" si="310"/>
        <v>0</v>
      </c>
      <c r="BE223" s="160">
        <f t="shared" si="310"/>
        <v>0</v>
      </c>
      <c r="BF223" s="160">
        <f t="shared" si="310"/>
        <v>0</v>
      </c>
      <c r="BG223" s="160">
        <f t="shared" si="311"/>
        <v>0</v>
      </c>
      <c r="BH223" s="160">
        <f t="shared" si="311"/>
        <v>0</v>
      </c>
      <c r="BI223" s="160">
        <f t="shared" si="311"/>
        <v>0</v>
      </c>
      <c r="BJ223" s="160">
        <f t="shared" si="311"/>
        <v>0</v>
      </c>
      <c r="BK223" s="160">
        <f t="shared" si="311"/>
        <v>0</v>
      </c>
      <c r="BL223" s="160">
        <f t="shared" si="311"/>
        <v>0</v>
      </c>
      <c r="BM223" s="160">
        <f t="shared" si="311"/>
        <v>0</v>
      </c>
      <c r="BN223" s="160">
        <f t="shared" si="311"/>
        <v>0</v>
      </c>
      <c r="BO223" s="160">
        <f t="shared" si="311"/>
        <v>0</v>
      </c>
      <c r="BP223" s="160">
        <f t="shared" si="311"/>
        <v>0</v>
      </c>
      <c r="BQ223" s="160">
        <f t="shared" si="311"/>
        <v>0</v>
      </c>
      <c r="BR223" s="160">
        <f t="shared" si="311"/>
        <v>0</v>
      </c>
      <c r="BS223" s="65"/>
      <c r="BT223" s="160">
        <f t="shared" si="312"/>
        <v>0</v>
      </c>
      <c r="BU223" s="160">
        <f t="shared" si="313"/>
        <v>0</v>
      </c>
      <c r="BV223" s="65"/>
      <c r="BW223" s="69"/>
      <c r="BX223" s="65"/>
      <c r="BY223" s="137">
        <f t="shared" si="314"/>
        <v>1</v>
      </c>
      <c r="BZ223" s="137">
        <f>IF(BY223&gt;0,BY223+LARGE($BZ$213:BZ222,1),0)</f>
        <v>11</v>
      </c>
      <c r="CA223" s="137" t="str">
        <f t="shared" si="315"/>
        <v>AN PL. ADM/CRP</v>
      </c>
      <c r="CB223" s="161">
        <f t="shared" si="316"/>
        <v>0</v>
      </c>
      <c r="CC223" s="161">
        <f t="shared" si="317"/>
        <v>0</v>
      </c>
      <c r="CD223" s="161">
        <f t="shared" si="318"/>
        <v>0</v>
      </c>
      <c r="CE223" s="161">
        <f t="shared" si="319"/>
        <v>0</v>
      </c>
      <c r="CF223" s="161">
        <f t="shared" si="320"/>
        <v>0</v>
      </c>
      <c r="CG223" s="161">
        <f t="shared" si="321"/>
        <v>0</v>
      </c>
      <c r="CH223" s="161">
        <f t="shared" si="322"/>
        <v>0</v>
      </c>
      <c r="CI223" s="161">
        <f t="shared" si="323"/>
        <v>0</v>
      </c>
      <c r="CJ223" s="161">
        <f t="shared" si="324"/>
        <v>0</v>
      </c>
      <c r="CK223" s="161">
        <f t="shared" si="325"/>
        <v>0</v>
      </c>
      <c r="CL223" s="161">
        <f t="shared" si="326"/>
        <v>0</v>
      </c>
      <c r="CM223" s="161">
        <f t="shared" si="327"/>
        <v>0</v>
      </c>
      <c r="CN223" s="161">
        <f t="shared" si="328"/>
        <v>0</v>
      </c>
      <c r="CO223" s="161">
        <f t="shared" si="329"/>
        <v>0</v>
      </c>
      <c r="CP223" s="161">
        <f t="shared" si="330"/>
        <v>0</v>
      </c>
      <c r="CQ223" s="161">
        <f t="shared" si="331"/>
        <v>0</v>
      </c>
      <c r="CR223" s="161">
        <f t="shared" si="332"/>
        <v>0</v>
      </c>
      <c r="CS223" s="161">
        <f t="shared" si="333"/>
        <v>0</v>
      </c>
      <c r="CT223" s="161">
        <f t="shared" si="334"/>
        <v>0</v>
      </c>
      <c r="CU223" s="161">
        <f t="shared" si="335"/>
        <v>0</v>
      </c>
      <c r="CV223" s="161">
        <f t="shared" si="336"/>
        <v>0</v>
      </c>
      <c r="CW223" s="161">
        <f t="shared" si="337"/>
        <v>0</v>
      </c>
      <c r="CX223" s="161">
        <f t="shared" si="338"/>
        <v>0</v>
      </c>
      <c r="CY223" s="161">
        <f t="shared" si="339"/>
        <v>0</v>
      </c>
      <c r="CZ223" s="161">
        <f t="shared" si="340"/>
        <v>0</v>
      </c>
      <c r="DA223" s="161">
        <f t="shared" si="341"/>
        <v>0</v>
      </c>
      <c r="DB223" s="161">
        <f t="shared" si="342"/>
        <v>0</v>
      </c>
      <c r="DC223" s="161">
        <f t="shared" si="343"/>
        <v>0</v>
      </c>
      <c r="DD223" s="161">
        <f t="shared" si="344"/>
        <v>0</v>
      </c>
      <c r="DE223" s="161">
        <f t="shared" si="345"/>
        <v>0</v>
      </c>
      <c r="DF223" s="161">
        <f t="shared" si="346"/>
        <v>0</v>
      </c>
      <c r="DG223" s="161">
        <f t="shared" si="347"/>
        <v>0</v>
      </c>
      <c r="DH223" s="161">
        <f t="shared" si="348"/>
        <v>0</v>
      </c>
      <c r="DI223" s="161">
        <f t="shared" si="349"/>
        <v>0</v>
      </c>
      <c r="DJ223" s="161">
        <f t="shared" si="350"/>
        <v>0</v>
      </c>
      <c r="DK223" s="161">
        <f t="shared" si="351"/>
        <v>0</v>
      </c>
      <c r="DL223" s="161">
        <f t="shared" si="352"/>
        <v>0</v>
      </c>
      <c r="DM223" s="161">
        <f t="shared" si="353"/>
        <v>0</v>
      </c>
      <c r="DN223" s="161">
        <f t="shared" si="354"/>
        <v>0</v>
      </c>
      <c r="DO223" s="161">
        <f t="shared" si="355"/>
        <v>0</v>
      </c>
      <c r="DP223" s="161">
        <f t="shared" si="356"/>
        <v>0</v>
      </c>
      <c r="DQ223" s="161">
        <f t="shared" si="357"/>
        <v>0</v>
      </c>
      <c r="DR223" s="161">
        <f t="shared" si="358"/>
        <v>0</v>
      </c>
      <c r="DS223" s="161">
        <f t="shared" si="359"/>
        <v>0</v>
      </c>
      <c r="DT223" s="161">
        <f t="shared" si="360"/>
        <v>0</v>
      </c>
      <c r="DU223" s="161">
        <f t="shared" si="361"/>
        <v>0</v>
      </c>
      <c r="DV223" s="161">
        <f t="shared" si="362"/>
        <v>0</v>
      </c>
      <c r="DW223" s="161">
        <f t="shared" si="363"/>
        <v>0</v>
      </c>
      <c r="DX223" s="161">
        <f t="shared" si="364"/>
        <v>0</v>
      </c>
      <c r="DY223" s="161">
        <f t="shared" si="365"/>
        <v>0</v>
      </c>
      <c r="DZ223" s="161">
        <f t="shared" si="366"/>
        <v>0</v>
      </c>
      <c r="EA223" s="161">
        <f t="shared" si="367"/>
        <v>0</v>
      </c>
      <c r="EB223" s="161">
        <f t="shared" si="368"/>
        <v>0</v>
      </c>
      <c r="EC223" s="161">
        <f t="shared" si="369"/>
        <v>0</v>
      </c>
      <c r="ED223" s="161">
        <f t="shared" si="370"/>
        <v>0</v>
      </c>
      <c r="EE223" s="161">
        <f t="shared" si="371"/>
        <v>0</v>
      </c>
      <c r="EF223" s="161">
        <f t="shared" si="372"/>
        <v>0</v>
      </c>
      <c r="EG223" s="161">
        <f t="shared" si="373"/>
        <v>0</v>
      </c>
      <c r="EH223" s="161">
        <f t="shared" si="374"/>
        <v>0</v>
      </c>
      <c r="EI223" s="161">
        <f t="shared" si="375"/>
        <v>0</v>
      </c>
      <c r="EJ223" s="65"/>
      <c r="EK223" s="161">
        <f t="shared" si="304"/>
        <v>0</v>
      </c>
      <c r="EL223" s="161">
        <f t="shared" si="305"/>
        <v>0</v>
      </c>
      <c r="EM223" s="161">
        <f t="shared" si="306"/>
        <v>0</v>
      </c>
    </row>
    <row r="224" spans="1:143" ht="12" hidden="1" customHeight="1" outlineLevel="2">
      <c r="A224" s="77">
        <v>12</v>
      </c>
      <c r="B224" s="137" t="str">
        <f t="shared" si="302"/>
        <v>AN JR. ADM/CRP - Equipe_01</v>
      </c>
      <c r="C224" s="65"/>
      <c r="D224" s="622"/>
      <c r="E224" s="65"/>
      <c r="F224" s="584"/>
      <c r="G224" s="77" t="str">
        <f>IF(INDEX(Tarefas!$BT$30:$FK$30,MATCH(A224,Tarefas!$BT$28:$FK$28,0))=0,"",INDEX(Tarefas!$BT$30:$FK$30,MATCH(A224,Tarefas!$BT$28:$FK$28,0)))</f>
        <v>AN JR. ADM/CRP</v>
      </c>
      <c r="H224" s="107" cm="1">
        <f t="array" ref="H224">IFERROR((SUMPRODUCT((Tarefas!$N$32:$N$54='Cronog. e Histog.'!$F$213)*(Tarefas!$BQ$30:$FK$30='Cronog. e Histog.'!$G224)*(Tarefas!$BQ$32:$FK$54)))/SUMIF(Tarefas!$N$32:$N$54,'Cronog. e Histog.'!$F$213,Tarefas!$K$32:$K$54),0)</f>
        <v>0</v>
      </c>
      <c r="I224" s="79">
        <f t="shared" si="303"/>
        <v>0</v>
      </c>
      <c r="J224" s="65"/>
      <c r="K224" s="160">
        <f t="shared" si="307"/>
        <v>0</v>
      </c>
      <c r="L224" s="160">
        <f t="shared" si="307"/>
        <v>0</v>
      </c>
      <c r="M224" s="160">
        <f t="shared" si="307"/>
        <v>0</v>
      </c>
      <c r="N224" s="160">
        <f t="shared" si="307"/>
        <v>0</v>
      </c>
      <c r="O224" s="160">
        <f t="shared" si="307"/>
        <v>0</v>
      </c>
      <c r="P224" s="160">
        <f t="shared" si="307"/>
        <v>0</v>
      </c>
      <c r="Q224" s="160">
        <f t="shared" si="307"/>
        <v>0</v>
      </c>
      <c r="R224" s="160">
        <f t="shared" si="307"/>
        <v>0</v>
      </c>
      <c r="S224" s="160">
        <f t="shared" si="307"/>
        <v>0</v>
      </c>
      <c r="T224" s="160">
        <f t="shared" si="307"/>
        <v>0</v>
      </c>
      <c r="U224" s="160">
        <f t="shared" si="307"/>
        <v>0</v>
      </c>
      <c r="V224" s="160">
        <f t="shared" si="307"/>
        <v>0</v>
      </c>
      <c r="W224" s="160">
        <f t="shared" si="307"/>
        <v>0</v>
      </c>
      <c r="X224" s="160">
        <f t="shared" si="307"/>
        <v>0</v>
      </c>
      <c r="Y224" s="160">
        <f t="shared" si="307"/>
        <v>0</v>
      </c>
      <c r="Z224" s="160">
        <f t="shared" si="307"/>
        <v>0</v>
      </c>
      <c r="AA224" s="160">
        <f t="shared" si="309"/>
        <v>0</v>
      </c>
      <c r="AB224" s="160">
        <f t="shared" si="309"/>
        <v>0</v>
      </c>
      <c r="AC224" s="160">
        <f t="shared" si="309"/>
        <v>0</v>
      </c>
      <c r="AD224" s="160">
        <f t="shared" si="309"/>
        <v>0</v>
      </c>
      <c r="AE224" s="160">
        <f t="shared" si="309"/>
        <v>0</v>
      </c>
      <c r="AF224" s="160">
        <f t="shared" si="309"/>
        <v>0</v>
      </c>
      <c r="AG224" s="160">
        <f t="shared" si="309"/>
        <v>0</v>
      </c>
      <c r="AH224" s="160">
        <f t="shared" si="309"/>
        <v>0</v>
      </c>
      <c r="AI224" s="160">
        <f t="shared" si="309"/>
        <v>0</v>
      </c>
      <c r="AJ224" s="160">
        <f t="shared" si="309"/>
        <v>0</v>
      </c>
      <c r="AK224" s="160">
        <f t="shared" si="309"/>
        <v>0</v>
      </c>
      <c r="AL224" s="160">
        <f t="shared" si="309"/>
        <v>0</v>
      </c>
      <c r="AM224" s="160">
        <f t="shared" si="309"/>
        <v>0</v>
      </c>
      <c r="AN224" s="160">
        <f t="shared" si="309"/>
        <v>0</v>
      </c>
      <c r="AO224" s="160">
        <f t="shared" si="309"/>
        <v>0</v>
      </c>
      <c r="AP224" s="160">
        <f t="shared" si="309"/>
        <v>0</v>
      </c>
      <c r="AQ224" s="160">
        <f t="shared" si="310"/>
        <v>0</v>
      </c>
      <c r="AR224" s="160">
        <f t="shared" si="310"/>
        <v>0</v>
      </c>
      <c r="AS224" s="160">
        <f t="shared" si="310"/>
        <v>0</v>
      </c>
      <c r="AT224" s="160">
        <f t="shared" si="310"/>
        <v>0</v>
      </c>
      <c r="AU224" s="160">
        <f t="shared" si="310"/>
        <v>0</v>
      </c>
      <c r="AV224" s="160">
        <f t="shared" si="310"/>
        <v>0</v>
      </c>
      <c r="AW224" s="160">
        <f t="shared" si="310"/>
        <v>0</v>
      </c>
      <c r="AX224" s="160">
        <f t="shared" si="310"/>
        <v>0</v>
      </c>
      <c r="AY224" s="160">
        <f t="shared" si="310"/>
        <v>0</v>
      </c>
      <c r="AZ224" s="160">
        <f t="shared" si="310"/>
        <v>0</v>
      </c>
      <c r="BA224" s="160">
        <f t="shared" si="310"/>
        <v>0</v>
      </c>
      <c r="BB224" s="160">
        <f t="shared" si="310"/>
        <v>0</v>
      </c>
      <c r="BC224" s="160">
        <f t="shared" si="310"/>
        <v>0</v>
      </c>
      <c r="BD224" s="160">
        <f t="shared" si="310"/>
        <v>0</v>
      </c>
      <c r="BE224" s="160">
        <f t="shared" si="310"/>
        <v>0</v>
      </c>
      <c r="BF224" s="160">
        <f t="shared" si="310"/>
        <v>0</v>
      </c>
      <c r="BG224" s="160">
        <f t="shared" si="311"/>
        <v>0</v>
      </c>
      <c r="BH224" s="160">
        <f t="shared" si="311"/>
        <v>0</v>
      </c>
      <c r="BI224" s="160">
        <f t="shared" si="311"/>
        <v>0</v>
      </c>
      <c r="BJ224" s="160">
        <f t="shared" si="311"/>
        <v>0</v>
      </c>
      <c r="BK224" s="160">
        <f t="shared" si="311"/>
        <v>0</v>
      </c>
      <c r="BL224" s="160">
        <f t="shared" si="311"/>
        <v>0</v>
      </c>
      <c r="BM224" s="160">
        <f t="shared" si="311"/>
        <v>0</v>
      </c>
      <c r="BN224" s="160">
        <f t="shared" si="311"/>
        <v>0</v>
      </c>
      <c r="BO224" s="160">
        <f t="shared" si="311"/>
        <v>0</v>
      </c>
      <c r="BP224" s="160">
        <f t="shared" si="311"/>
        <v>0</v>
      </c>
      <c r="BQ224" s="160">
        <f t="shared" si="311"/>
        <v>0</v>
      </c>
      <c r="BR224" s="160">
        <f t="shared" si="311"/>
        <v>0</v>
      </c>
      <c r="BS224" s="65"/>
      <c r="BT224" s="160">
        <f t="shared" si="312"/>
        <v>0</v>
      </c>
      <c r="BU224" s="160">
        <f t="shared" si="313"/>
        <v>0</v>
      </c>
      <c r="BV224" s="65"/>
      <c r="BW224" s="69"/>
      <c r="BX224" s="65"/>
      <c r="BY224" s="137">
        <f t="shared" si="314"/>
        <v>1</v>
      </c>
      <c r="BZ224" s="137">
        <f>IF(BY224&gt;0,BY224+LARGE($BZ$213:BZ223,1),0)</f>
        <v>12</v>
      </c>
      <c r="CA224" s="137" t="str">
        <f t="shared" si="315"/>
        <v>AN JR. ADM/CRP</v>
      </c>
      <c r="CB224" s="161">
        <f t="shared" si="316"/>
        <v>0</v>
      </c>
      <c r="CC224" s="161">
        <f t="shared" si="317"/>
        <v>0</v>
      </c>
      <c r="CD224" s="161">
        <f t="shared" si="318"/>
        <v>0</v>
      </c>
      <c r="CE224" s="161">
        <f t="shared" si="319"/>
        <v>0</v>
      </c>
      <c r="CF224" s="161">
        <f t="shared" si="320"/>
        <v>0</v>
      </c>
      <c r="CG224" s="161">
        <f t="shared" si="321"/>
        <v>0</v>
      </c>
      <c r="CH224" s="161">
        <f t="shared" si="322"/>
        <v>0</v>
      </c>
      <c r="CI224" s="161">
        <f t="shared" si="323"/>
        <v>0</v>
      </c>
      <c r="CJ224" s="161">
        <f t="shared" si="324"/>
        <v>0</v>
      </c>
      <c r="CK224" s="161">
        <f t="shared" si="325"/>
        <v>0</v>
      </c>
      <c r="CL224" s="161">
        <f t="shared" si="326"/>
        <v>0</v>
      </c>
      <c r="CM224" s="161">
        <f t="shared" si="327"/>
        <v>0</v>
      </c>
      <c r="CN224" s="161">
        <f t="shared" si="328"/>
        <v>0</v>
      </c>
      <c r="CO224" s="161">
        <f t="shared" si="329"/>
        <v>0</v>
      </c>
      <c r="CP224" s="161">
        <f t="shared" si="330"/>
        <v>0</v>
      </c>
      <c r="CQ224" s="161">
        <f t="shared" si="331"/>
        <v>0</v>
      </c>
      <c r="CR224" s="161">
        <f t="shared" si="332"/>
        <v>0</v>
      </c>
      <c r="CS224" s="161">
        <f t="shared" si="333"/>
        <v>0</v>
      </c>
      <c r="CT224" s="161">
        <f t="shared" si="334"/>
        <v>0</v>
      </c>
      <c r="CU224" s="161">
        <f t="shared" si="335"/>
        <v>0</v>
      </c>
      <c r="CV224" s="161">
        <f t="shared" si="336"/>
        <v>0</v>
      </c>
      <c r="CW224" s="161">
        <f t="shared" si="337"/>
        <v>0</v>
      </c>
      <c r="CX224" s="161">
        <f t="shared" si="338"/>
        <v>0</v>
      </c>
      <c r="CY224" s="161">
        <f t="shared" si="339"/>
        <v>0</v>
      </c>
      <c r="CZ224" s="161">
        <f t="shared" si="340"/>
        <v>0</v>
      </c>
      <c r="DA224" s="161">
        <f t="shared" si="341"/>
        <v>0</v>
      </c>
      <c r="DB224" s="161">
        <f t="shared" si="342"/>
        <v>0</v>
      </c>
      <c r="DC224" s="161">
        <f t="shared" si="343"/>
        <v>0</v>
      </c>
      <c r="DD224" s="161">
        <f t="shared" si="344"/>
        <v>0</v>
      </c>
      <c r="DE224" s="161">
        <f t="shared" si="345"/>
        <v>0</v>
      </c>
      <c r="DF224" s="161">
        <f t="shared" si="346"/>
        <v>0</v>
      </c>
      <c r="DG224" s="161">
        <f t="shared" si="347"/>
        <v>0</v>
      </c>
      <c r="DH224" s="161">
        <f t="shared" si="348"/>
        <v>0</v>
      </c>
      <c r="DI224" s="161">
        <f t="shared" si="349"/>
        <v>0</v>
      </c>
      <c r="DJ224" s="161">
        <f t="shared" si="350"/>
        <v>0</v>
      </c>
      <c r="DK224" s="161">
        <f t="shared" si="351"/>
        <v>0</v>
      </c>
      <c r="DL224" s="161">
        <f t="shared" si="352"/>
        <v>0</v>
      </c>
      <c r="DM224" s="161">
        <f t="shared" si="353"/>
        <v>0</v>
      </c>
      <c r="DN224" s="161">
        <f t="shared" si="354"/>
        <v>0</v>
      </c>
      <c r="DO224" s="161">
        <f t="shared" si="355"/>
        <v>0</v>
      </c>
      <c r="DP224" s="161">
        <f t="shared" si="356"/>
        <v>0</v>
      </c>
      <c r="DQ224" s="161">
        <f t="shared" si="357"/>
        <v>0</v>
      </c>
      <c r="DR224" s="161">
        <f t="shared" si="358"/>
        <v>0</v>
      </c>
      <c r="DS224" s="161">
        <f t="shared" si="359"/>
        <v>0</v>
      </c>
      <c r="DT224" s="161">
        <f t="shared" si="360"/>
        <v>0</v>
      </c>
      <c r="DU224" s="161">
        <f t="shared" si="361"/>
        <v>0</v>
      </c>
      <c r="DV224" s="161">
        <f t="shared" si="362"/>
        <v>0</v>
      </c>
      <c r="DW224" s="161">
        <f t="shared" si="363"/>
        <v>0</v>
      </c>
      <c r="DX224" s="161">
        <f t="shared" si="364"/>
        <v>0</v>
      </c>
      <c r="DY224" s="161">
        <f t="shared" si="365"/>
        <v>0</v>
      </c>
      <c r="DZ224" s="161">
        <f t="shared" si="366"/>
        <v>0</v>
      </c>
      <c r="EA224" s="161">
        <f t="shared" si="367"/>
        <v>0</v>
      </c>
      <c r="EB224" s="161">
        <f t="shared" si="368"/>
        <v>0</v>
      </c>
      <c r="EC224" s="161">
        <f t="shared" si="369"/>
        <v>0</v>
      </c>
      <c r="ED224" s="161">
        <f t="shared" si="370"/>
        <v>0</v>
      </c>
      <c r="EE224" s="161">
        <f t="shared" si="371"/>
        <v>0</v>
      </c>
      <c r="EF224" s="161">
        <f t="shared" si="372"/>
        <v>0</v>
      </c>
      <c r="EG224" s="161">
        <f t="shared" si="373"/>
        <v>0</v>
      </c>
      <c r="EH224" s="161">
        <f t="shared" si="374"/>
        <v>0</v>
      </c>
      <c r="EI224" s="161">
        <f t="shared" si="375"/>
        <v>0</v>
      </c>
      <c r="EJ224" s="65"/>
      <c r="EK224" s="161">
        <f t="shared" si="304"/>
        <v>0</v>
      </c>
      <c r="EL224" s="161">
        <f t="shared" si="305"/>
        <v>0</v>
      </c>
      <c r="EM224" s="161">
        <f t="shared" si="306"/>
        <v>0</v>
      </c>
    </row>
    <row r="225" spans="1:143" ht="12" hidden="1" customHeight="1" outlineLevel="2">
      <c r="A225" s="77">
        <v>13</v>
      </c>
      <c r="B225" s="137" t="str">
        <f t="shared" si="302"/>
        <v>TEC III - Equipe_01</v>
      </c>
      <c r="C225" s="65"/>
      <c r="D225" s="622"/>
      <c r="E225" s="65"/>
      <c r="F225" s="584"/>
      <c r="G225" s="77" t="str">
        <f>IF(INDEX(Tarefas!$BT$30:$FK$30,MATCH(A225,Tarefas!$BT$28:$FK$28,0))=0,"",INDEX(Tarefas!$BT$30:$FK$30,MATCH(A225,Tarefas!$BT$28:$FK$28,0)))</f>
        <v>TEC III</v>
      </c>
      <c r="H225" s="107" cm="1">
        <f t="array" ref="H225">IFERROR((SUMPRODUCT((Tarefas!$N$32:$N$54='Cronog. e Histog.'!$F$213)*(Tarefas!$BQ$30:$FK$30='Cronog. e Histog.'!$G225)*(Tarefas!$BQ$32:$FK$54)))/SUMIF(Tarefas!$N$32:$N$54,'Cronog. e Histog.'!$F$213,Tarefas!$K$32:$K$54),0)</f>
        <v>0</v>
      </c>
      <c r="I225" s="79">
        <f t="shared" si="303"/>
        <v>0</v>
      </c>
      <c r="J225" s="65"/>
      <c r="K225" s="160">
        <f t="shared" si="307"/>
        <v>0</v>
      </c>
      <c r="L225" s="160">
        <f t="shared" si="307"/>
        <v>0</v>
      </c>
      <c r="M225" s="160">
        <f t="shared" si="307"/>
        <v>0</v>
      </c>
      <c r="N225" s="160">
        <f t="shared" si="307"/>
        <v>0</v>
      </c>
      <c r="O225" s="160">
        <f t="shared" si="307"/>
        <v>0</v>
      </c>
      <c r="P225" s="160">
        <f t="shared" si="307"/>
        <v>0</v>
      </c>
      <c r="Q225" s="160">
        <f t="shared" si="307"/>
        <v>0</v>
      </c>
      <c r="R225" s="160">
        <f t="shared" si="307"/>
        <v>0</v>
      </c>
      <c r="S225" s="160">
        <f t="shared" si="307"/>
        <v>0</v>
      </c>
      <c r="T225" s="160">
        <f t="shared" si="307"/>
        <v>0</v>
      </c>
      <c r="U225" s="160">
        <f t="shared" si="307"/>
        <v>0</v>
      </c>
      <c r="V225" s="160">
        <f t="shared" si="307"/>
        <v>0</v>
      </c>
      <c r="W225" s="160">
        <f t="shared" si="307"/>
        <v>0</v>
      </c>
      <c r="X225" s="160">
        <f t="shared" si="307"/>
        <v>0</v>
      </c>
      <c r="Y225" s="160">
        <f t="shared" si="307"/>
        <v>0</v>
      </c>
      <c r="Z225" s="160">
        <f t="shared" si="307"/>
        <v>0</v>
      </c>
      <c r="AA225" s="160">
        <f t="shared" si="309"/>
        <v>0</v>
      </c>
      <c r="AB225" s="160">
        <f t="shared" si="309"/>
        <v>0</v>
      </c>
      <c r="AC225" s="160">
        <f t="shared" si="309"/>
        <v>0</v>
      </c>
      <c r="AD225" s="160">
        <f t="shared" si="309"/>
        <v>0</v>
      </c>
      <c r="AE225" s="160">
        <f t="shared" si="309"/>
        <v>0</v>
      </c>
      <c r="AF225" s="160">
        <f t="shared" si="309"/>
        <v>0</v>
      </c>
      <c r="AG225" s="160">
        <f t="shared" si="309"/>
        <v>0</v>
      </c>
      <c r="AH225" s="160">
        <f t="shared" si="309"/>
        <v>0</v>
      </c>
      <c r="AI225" s="160">
        <f t="shared" si="309"/>
        <v>0</v>
      </c>
      <c r="AJ225" s="160">
        <f t="shared" si="309"/>
        <v>0</v>
      </c>
      <c r="AK225" s="160">
        <f t="shared" si="309"/>
        <v>0</v>
      </c>
      <c r="AL225" s="160">
        <f t="shared" si="309"/>
        <v>0</v>
      </c>
      <c r="AM225" s="160">
        <f t="shared" si="309"/>
        <v>0</v>
      </c>
      <c r="AN225" s="160">
        <f t="shared" si="309"/>
        <v>0</v>
      </c>
      <c r="AO225" s="160">
        <f t="shared" si="309"/>
        <v>0</v>
      </c>
      <c r="AP225" s="160">
        <f t="shared" si="309"/>
        <v>0</v>
      </c>
      <c r="AQ225" s="160">
        <f t="shared" si="310"/>
        <v>0</v>
      </c>
      <c r="AR225" s="160">
        <f t="shared" si="310"/>
        <v>0</v>
      </c>
      <c r="AS225" s="160">
        <f t="shared" si="310"/>
        <v>0</v>
      </c>
      <c r="AT225" s="160">
        <f t="shared" si="310"/>
        <v>0</v>
      </c>
      <c r="AU225" s="160">
        <f t="shared" si="310"/>
        <v>0</v>
      </c>
      <c r="AV225" s="160">
        <f t="shared" si="310"/>
        <v>0</v>
      </c>
      <c r="AW225" s="160">
        <f t="shared" si="310"/>
        <v>0</v>
      </c>
      <c r="AX225" s="160">
        <f t="shared" si="310"/>
        <v>0</v>
      </c>
      <c r="AY225" s="160">
        <f t="shared" si="310"/>
        <v>0</v>
      </c>
      <c r="AZ225" s="160">
        <f t="shared" si="310"/>
        <v>0</v>
      </c>
      <c r="BA225" s="160">
        <f t="shared" si="310"/>
        <v>0</v>
      </c>
      <c r="BB225" s="160">
        <f t="shared" si="310"/>
        <v>0</v>
      </c>
      <c r="BC225" s="160">
        <f t="shared" si="310"/>
        <v>0</v>
      </c>
      <c r="BD225" s="160">
        <f t="shared" si="310"/>
        <v>0</v>
      </c>
      <c r="BE225" s="160">
        <f t="shared" si="310"/>
        <v>0</v>
      </c>
      <c r="BF225" s="160">
        <f t="shared" si="310"/>
        <v>0</v>
      </c>
      <c r="BG225" s="160">
        <f t="shared" si="311"/>
        <v>0</v>
      </c>
      <c r="BH225" s="160">
        <f t="shared" si="311"/>
        <v>0</v>
      </c>
      <c r="BI225" s="160">
        <f t="shared" si="311"/>
        <v>0</v>
      </c>
      <c r="BJ225" s="160">
        <f t="shared" si="311"/>
        <v>0</v>
      </c>
      <c r="BK225" s="160">
        <f t="shared" si="311"/>
        <v>0</v>
      </c>
      <c r="BL225" s="160">
        <f t="shared" si="311"/>
        <v>0</v>
      </c>
      <c r="BM225" s="160">
        <f t="shared" si="311"/>
        <v>0</v>
      </c>
      <c r="BN225" s="160">
        <f t="shared" si="311"/>
        <v>0</v>
      </c>
      <c r="BO225" s="160">
        <f t="shared" si="311"/>
        <v>0</v>
      </c>
      <c r="BP225" s="160">
        <f t="shared" si="311"/>
        <v>0</v>
      </c>
      <c r="BQ225" s="160">
        <f t="shared" si="311"/>
        <v>0</v>
      </c>
      <c r="BR225" s="160">
        <f t="shared" si="311"/>
        <v>0</v>
      </c>
      <c r="BS225" s="65"/>
      <c r="BT225" s="160">
        <f t="shared" si="312"/>
        <v>0</v>
      </c>
      <c r="BU225" s="160">
        <f t="shared" si="313"/>
        <v>0</v>
      </c>
      <c r="BV225" s="65"/>
      <c r="BW225" s="69"/>
      <c r="BX225" s="65"/>
      <c r="BY225" s="137">
        <f t="shared" si="314"/>
        <v>1</v>
      </c>
      <c r="BZ225" s="137">
        <f>IF(BY225&gt;0,BY225+LARGE($BZ$213:BZ224,1),0)</f>
        <v>13</v>
      </c>
      <c r="CA225" s="137" t="str">
        <f t="shared" si="315"/>
        <v>TEC III</v>
      </c>
      <c r="CB225" s="161">
        <f t="shared" si="316"/>
        <v>0</v>
      </c>
      <c r="CC225" s="161">
        <f t="shared" si="317"/>
        <v>0</v>
      </c>
      <c r="CD225" s="161">
        <f t="shared" si="318"/>
        <v>0</v>
      </c>
      <c r="CE225" s="161">
        <f t="shared" si="319"/>
        <v>0</v>
      </c>
      <c r="CF225" s="161">
        <f t="shared" si="320"/>
        <v>0</v>
      </c>
      <c r="CG225" s="161">
        <f t="shared" si="321"/>
        <v>0</v>
      </c>
      <c r="CH225" s="161">
        <f t="shared" si="322"/>
        <v>0</v>
      </c>
      <c r="CI225" s="161">
        <f t="shared" si="323"/>
        <v>0</v>
      </c>
      <c r="CJ225" s="161">
        <f t="shared" si="324"/>
        <v>0</v>
      </c>
      <c r="CK225" s="161">
        <f t="shared" si="325"/>
        <v>0</v>
      </c>
      <c r="CL225" s="161">
        <f t="shared" si="326"/>
        <v>0</v>
      </c>
      <c r="CM225" s="161">
        <f t="shared" si="327"/>
        <v>0</v>
      </c>
      <c r="CN225" s="161">
        <f t="shared" si="328"/>
        <v>0</v>
      </c>
      <c r="CO225" s="161">
        <f t="shared" si="329"/>
        <v>0</v>
      </c>
      <c r="CP225" s="161">
        <f t="shared" si="330"/>
        <v>0</v>
      </c>
      <c r="CQ225" s="161">
        <f t="shared" si="331"/>
        <v>0</v>
      </c>
      <c r="CR225" s="161">
        <f t="shared" si="332"/>
        <v>0</v>
      </c>
      <c r="CS225" s="161">
        <f t="shared" si="333"/>
        <v>0</v>
      </c>
      <c r="CT225" s="161">
        <f t="shared" si="334"/>
        <v>0</v>
      </c>
      <c r="CU225" s="161">
        <f t="shared" si="335"/>
        <v>0</v>
      </c>
      <c r="CV225" s="161">
        <f t="shared" si="336"/>
        <v>0</v>
      </c>
      <c r="CW225" s="161">
        <f t="shared" si="337"/>
        <v>0</v>
      </c>
      <c r="CX225" s="161">
        <f t="shared" si="338"/>
        <v>0</v>
      </c>
      <c r="CY225" s="161">
        <f t="shared" si="339"/>
        <v>0</v>
      </c>
      <c r="CZ225" s="161">
        <f t="shared" si="340"/>
        <v>0</v>
      </c>
      <c r="DA225" s="161">
        <f t="shared" si="341"/>
        <v>0</v>
      </c>
      <c r="DB225" s="161">
        <f t="shared" si="342"/>
        <v>0</v>
      </c>
      <c r="DC225" s="161">
        <f t="shared" si="343"/>
        <v>0</v>
      </c>
      <c r="DD225" s="161">
        <f t="shared" si="344"/>
        <v>0</v>
      </c>
      <c r="DE225" s="161">
        <f t="shared" si="345"/>
        <v>0</v>
      </c>
      <c r="DF225" s="161">
        <f t="shared" si="346"/>
        <v>0</v>
      </c>
      <c r="DG225" s="161">
        <f t="shared" si="347"/>
        <v>0</v>
      </c>
      <c r="DH225" s="161">
        <f t="shared" si="348"/>
        <v>0</v>
      </c>
      <c r="DI225" s="161">
        <f t="shared" si="349"/>
        <v>0</v>
      </c>
      <c r="DJ225" s="161">
        <f t="shared" si="350"/>
        <v>0</v>
      </c>
      <c r="DK225" s="161">
        <f t="shared" si="351"/>
        <v>0</v>
      </c>
      <c r="DL225" s="161">
        <f t="shared" si="352"/>
        <v>0</v>
      </c>
      <c r="DM225" s="161">
        <f t="shared" si="353"/>
        <v>0</v>
      </c>
      <c r="DN225" s="161">
        <f t="shared" si="354"/>
        <v>0</v>
      </c>
      <c r="DO225" s="161">
        <f t="shared" si="355"/>
        <v>0</v>
      </c>
      <c r="DP225" s="161">
        <f t="shared" si="356"/>
        <v>0</v>
      </c>
      <c r="DQ225" s="161">
        <f t="shared" si="357"/>
        <v>0</v>
      </c>
      <c r="DR225" s="161">
        <f t="shared" si="358"/>
        <v>0</v>
      </c>
      <c r="DS225" s="161">
        <f t="shared" si="359"/>
        <v>0</v>
      </c>
      <c r="DT225" s="161">
        <f t="shared" si="360"/>
        <v>0</v>
      </c>
      <c r="DU225" s="161">
        <f t="shared" si="361"/>
        <v>0</v>
      </c>
      <c r="DV225" s="161">
        <f t="shared" si="362"/>
        <v>0</v>
      </c>
      <c r="DW225" s="161">
        <f t="shared" si="363"/>
        <v>0</v>
      </c>
      <c r="DX225" s="161">
        <f t="shared" si="364"/>
        <v>0</v>
      </c>
      <c r="DY225" s="161">
        <f t="shared" si="365"/>
        <v>0</v>
      </c>
      <c r="DZ225" s="161">
        <f t="shared" si="366"/>
        <v>0</v>
      </c>
      <c r="EA225" s="161">
        <f t="shared" si="367"/>
        <v>0</v>
      </c>
      <c r="EB225" s="161">
        <f t="shared" si="368"/>
        <v>0</v>
      </c>
      <c r="EC225" s="161">
        <f t="shared" si="369"/>
        <v>0</v>
      </c>
      <c r="ED225" s="161">
        <f t="shared" si="370"/>
        <v>0</v>
      </c>
      <c r="EE225" s="161">
        <f t="shared" si="371"/>
        <v>0</v>
      </c>
      <c r="EF225" s="161">
        <f t="shared" si="372"/>
        <v>0</v>
      </c>
      <c r="EG225" s="161">
        <f t="shared" si="373"/>
        <v>0</v>
      </c>
      <c r="EH225" s="161">
        <f t="shared" si="374"/>
        <v>0</v>
      </c>
      <c r="EI225" s="161">
        <f t="shared" si="375"/>
        <v>0</v>
      </c>
      <c r="EJ225" s="65"/>
      <c r="EK225" s="161">
        <f t="shared" si="304"/>
        <v>0</v>
      </c>
      <c r="EL225" s="161">
        <f t="shared" si="305"/>
        <v>0</v>
      </c>
      <c r="EM225" s="161">
        <f t="shared" si="306"/>
        <v>0</v>
      </c>
    </row>
    <row r="226" spans="1:143" ht="12" hidden="1" customHeight="1" outlineLevel="2">
      <c r="A226" s="77">
        <v>14</v>
      </c>
      <c r="B226" s="137" t="str">
        <f t="shared" si="302"/>
        <v>TEC II - Equipe_01</v>
      </c>
      <c r="C226" s="65"/>
      <c r="D226" s="622"/>
      <c r="E226" s="65"/>
      <c r="F226" s="584"/>
      <c r="G226" s="77" t="str">
        <f>IF(INDEX(Tarefas!$BT$30:$FK$30,MATCH(A226,Tarefas!$BT$28:$FK$28,0))=0,"",INDEX(Tarefas!$BT$30:$FK$30,MATCH(A226,Tarefas!$BT$28:$FK$28,0)))</f>
        <v>TEC II</v>
      </c>
      <c r="H226" s="107" cm="1">
        <f t="array" ref="H226">IFERROR((SUMPRODUCT((Tarefas!$N$32:$N$54='Cronog. e Histog.'!$F$213)*(Tarefas!$BQ$30:$FK$30='Cronog. e Histog.'!$G226)*(Tarefas!$BQ$32:$FK$54)))/SUMIF(Tarefas!$N$32:$N$54,'Cronog. e Histog.'!$F$213,Tarefas!$K$32:$K$54),0)</f>
        <v>0</v>
      </c>
      <c r="I226" s="79">
        <f t="shared" si="303"/>
        <v>0</v>
      </c>
      <c r="J226" s="65"/>
      <c r="K226" s="160">
        <f t="shared" si="307"/>
        <v>0</v>
      </c>
      <c r="L226" s="160">
        <f t="shared" si="307"/>
        <v>0</v>
      </c>
      <c r="M226" s="160">
        <f t="shared" si="307"/>
        <v>0</v>
      </c>
      <c r="N226" s="160">
        <f t="shared" si="307"/>
        <v>0</v>
      </c>
      <c r="O226" s="160">
        <f t="shared" si="307"/>
        <v>0</v>
      </c>
      <c r="P226" s="160">
        <f t="shared" si="307"/>
        <v>0</v>
      </c>
      <c r="Q226" s="160">
        <f t="shared" si="307"/>
        <v>0</v>
      </c>
      <c r="R226" s="160">
        <f t="shared" si="307"/>
        <v>0</v>
      </c>
      <c r="S226" s="160">
        <f t="shared" si="307"/>
        <v>0</v>
      </c>
      <c r="T226" s="160">
        <f t="shared" si="307"/>
        <v>0</v>
      </c>
      <c r="U226" s="160">
        <f t="shared" si="307"/>
        <v>0</v>
      </c>
      <c r="V226" s="160">
        <f t="shared" si="307"/>
        <v>0</v>
      </c>
      <c r="W226" s="160">
        <f t="shared" si="307"/>
        <v>0</v>
      </c>
      <c r="X226" s="160">
        <f t="shared" si="307"/>
        <v>0</v>
      </c>
      <c r="Y226" s="160">
        <f t="shared" si="307"/>
        <v>0</v>
      </c>
      <c r="Z226" s="160">
        <f t="shared" si="307"/>
        <v>0</v>
      </c>
      <c r="AA226" s="160">
        <f t="shared" si="309"/>
        <v>0</v>
      </c>
      <c r="AB226" s="160">
        <f t="shared" si="309"/>
        <v>0</v>
      </c>
      <c r="AC226" s="160">
        <f t="shared" si="309"/>
        <v>0</v>
      </c>
      <c r="AD226" s="160">
        <f t="shared" si="309"/>
        <v>0</v>
      </c>
      <c r="AE226" s="160">
        <f t="shared" si="309"/>
        <v>0</v>
      </c>
      <c r="AF226" s="160">
        <f t="shared" si="309"/>
        <v>0</v>
      </c>
      <c r="AG226" s="160">
        <f t="shared" si="309"/>
        <v>0</v>
      </c>
      <c r="AH226" s="160">
        <f t="shared" si="309"/>
        <v>0</v>
      </c>
      <c r="AI226" s="160">
        <f t="shared" si="309"/>
        <v>0</v>
      </c>
      <c r="AJ226" s="160">
        <f t="shared" si="309"/>
        <v>0</v>
      </c>
      <c r="AK226" s="160">
        <f t="shared" si="309"/>
        <v>0</v>
      </c>
      <c r="AL226" s="160">
        <f t="shared" si="309"/>
        <v>0</v>
      </c>
      <c r="AM226" s="160">
        <f t="shared" si="309"/>
        <v>0</v>
      </c>
      <c r="AN226" s="160">
        <f t="shared" si="309"/>
        <v>0</v>
      </c>
      <c r="AO226" s="160">
        <f t="shared" si="309"/>
        <v>0</v>
      </c>
      <c r="AP226" s="160">
        <f t="shared" si="309"/>
        <v>0</v>
      </c>
      <c r="AQ226" s="160">
        <f t="shared" si="310"/>
        <v>0</v>
      </c>
      <c r="AR226" s="160">
        <f t="shared" si="310"/>
        <v>0</v>
      </c>
      <c r="AS226" s="160">
        <f t="shared" si="310"/>
        <v>0</v>
      </c>
      <c r="AT226" s="160">
        <f t="shared" si="310"/>
        <v>0</v>
      </c>
      <c r="AU226" s="160">
        <f t="shared" si="310"/>
        <v>0</v>
      </c>
      <c r="AV226" s="160">
        <f t="shared" si="310"/>
        <v>0</v>
      </c>
      <c r="AW226" s="160">
        <f t="shared" si="310"/>
        <v>0</v>
      </c>
      <c r="AX226" s="160">
        <f t="shared" si="310"/>
        <v>0</v>
      </c>
      <c r="AY226" s="160">
        <f t="shared" si="310"/>
        <v>0</v>
      </c>
      <c r="AZ226" s="160">
        <f t="shared" si="310"/>
        <v>0</v>
      </c>
      <c r="BA226" s="160">
        <f t="shared" si="310"/>
        <v>0</v>
      </c>
      <c r="BB226" s="160">
        <f t="shared" si="310"/>
        <v>0</v>
      </c>
      <c r="BC226" s="160">
        <f t="shared" si="310"/>
        <v>0</v>
      </c>
      <c r="BD226" s="160">
        <f t="shared" si="310"/>
        <v>0</v>
      </c>
      <c r="BE226" s="160">
        <f t="shared" si="310"/>
        <v>0</v>
      </c>
      <c r="BF226" s="160">
        <f t="shared" si="310"/>
        <v>0</v>
      </c>
      <c r="BG226" s="160">
        <f t="shared" si="311"/>
        <v>0</v>
      </c>
      <c r="BH226" s="160">
        <f t="shared" si="311"/>
        <v>0</v>
      </c>
      <c r="BI226" s="160">
        <f t="shared" si="311"/>
        <v>0</v>
      </c>
      <c r="BJ226" s="160">
        <f t="shared" si="311"/>
        <v>0</v>
      </c>
      <c r="BK226" s="160">
        <f t="shared" si="311"/>
        <v>0</v>
      </c>
      <c r="BL226" s="160">
        <f t="shared" si="311"/>
        <v>0</v>
      </c>
      <c r="BM226" s="160">
        <f t="shared" si="311"/>
        <v>0</v>
      </c>
      <c r="BN226" s="160">
        <f t="shared" si="311"/>
        <v>0</v>
      </c>
      <c r="BO226" s="160">
        <f t="shared" si="311"/>
        <v>0</v>
      </c>
      <c r="BP226" s="160">
        <f t="shared" si="311"/>
        <v>0</v>
      </c>
      <c r="BQ226" s="160">
        <f t="shared" si="311"/>
        <v>0</v>
      </c>
      <c r="BR226" s="160">
        <f t="shared" si="311"/>
        <v>0</v>
      </c>
      <c r="BS226" s="65"/>
      <c r="BT226" s="160">
        <f t="shared" si="312"/>
        <v>0</v>
      </c>
      <c r="BU226" s="160">
        <f t="shared" si="313"/>
        <v>0</v>
      </c>
      <c r="BV226" s="65"/>
      <c r="BW226" s="69"/>
      <c r="BX226" s="65"/>
      <c r="BY226" s="137">
        <f t="shared" si="314"/>
        <v>1</v>
      </c>
      <c r="BZ226" s="137">
        <f>IF(BY226&gt;0,BY226+LARGE($BZ$213:BZ225,1),0)</f>
        <v>14</v>
      </c>
      <c r="CA226" s="137" t="str">
        <f t="shared" si="315"/>
        <v>TEC II</v>
      </c>
      <c r="CB226" s="161">
        <f t="shared" si="316"/>
        <v>0</v>
      </c>
      <c r="CC226" s="161">
        <f t="shared" si="317"/>
        <v>0</v>
      </c>
      <c r="CD226" s="161">
        <f t="shared" si="318"/>
        <v>0</v>
      </c>
      <c r="CE226" s="161">
        <f t="shared" si="319"/>
        <v>0</v>
      </c>
      <c r="CF226" s="161">
        <f t="shared" si="320"/>
        <v>0</v>
      </c>
      <c r="CG226" s="161">
        <f t="shared" si="321"/>
        <v>0</v>
      </c>
      <c r="CH226" s="161">
        <f t="shared" si="322"/>
        <v>0</v>
      </c>
      <c r="CI226" s="161">
        <f t="shared" si="323"/>
        <v>0</v>
      </c>
      <c r="CJ226" s="161">
        <f t="shared" si="324"/>
        <v>0</v>
      </c>
      <c r="CK226" s="161">
        <f t="shared" si="325"/>
        <v>0</v>
      </c>
      <c r="CL226" s="161">
        <f t="shared" si="326"/>
        <v>0</v>
      </c>
      <c r="CM226" s="161">
        <f t="shared" si="327"/>
        <v>0</v>
      </c>
      <c r="CN226" s="161">
        <f t="shared" si="328"/>
        <v>0</v>
      </c>
      <c r="CO226" s="161">
        <f t="shared" si="329"/>
        <v>0</v>
      </c>
      <c r="CP226" s="161">
        <f t="shared" si="330"/>
        <v>0</v>
      </c>
      <c r="CQ226" s="161">
        <f t="shared" si="331"/>
        <v>0</v>
      </c>
      <c r="CR226" s="161">
        <f t="shared" si="332"/>
        <v>0</v>
      </c>
      <c r="CS226" s="161">
        <f t="shared" si="333"/>
        <v>0</v>
      </c>
      <c r="CT226" s="161">
        <f t="shared" si="334"/>
        <v>0</v>
      </c>
      <c r="CU226" s="161">
        <f t="shared" si="335"/>
        <v>0</v>
      </c>
      <c r="CV226" s="161">
        <f t="shared" si="336"/>
        <v>0</v>
      </c>
      <c r="CW226" s="161">
        <f t="shared" si="337"/>
        <v>0</v>
      </c>
      <c r="CX226" s="161">
        <f t="shared" si="338"/>
        <v>0</v>
      </c>
      <c r="CY226" s="161">
        <f t="shared" si="339"/>
        <v>0</v>
      </c>
      <c r="CZ226" s="161">
        <f t="shared" si="340"/>
        <v>0</v>
      </c>
      <c r="DA226" s="161">
        <f t="shared" si="341"/>
        <v>0</v>
      </c>
      <c r="DB226" s="161">
        <f t="shared" si="342"/>
        <v>0</v>
      </c>
      <c r="DC226" s="161">
        <f t="shared" si="343"/>
        <v>0</v>
      </c>
      <c r="DD226" s="161">
        <f t="shared" si="344"/>
        <v>0</v>
      </c>
      <c r="DE226" s="161">
        <f t="shared" si="345"/>
        <v>0</v>
      </c>
      <c r="DF226" s="161">
        <f t="shared" si="346"/>
        <v>0</v>
      </c>
      <c r="DG226" s="161">
        <f t="shared" si="347"/>
        <v>0</v>
      </c>
      <c r="DH226" s="161">
        <f t="shared" si="348"/>
        <v>0</v>
      </c>
      <c r="DI226" s="161">
        <f t="shared" si="349"/>
        <v>0</v>
      </c>
      <c r="DJ226" s="161">
        <f t="shared" si="350"/>
        <v>0</v>
      </c>
      <c r="DK226" s="161">
        <f t="shared" si="351"/>
        <v>0</v>
      </c>
      <c r="DL226" s="161">
        <f t="shared" si="352"/>
        <v>0</v>
      </c>
      <c r="DM226" s="161">
        <f t="shared" si="353"/>
        <v>0</v>
      </c>
      <c r="DN226" s="161">
        <f t="shared" si="354"/>
        <v>0</v>
      </c>
      <c r="DO226" s="161">
        <f t="shared" si="355"/>
        <v>0</v>
      </c>
      <c r="DP226" s="161">
        <f t="shared" si="356"/>
        <v>0</v>
      </c>
      <c r="DQ226" s="161">
        <f t="shared" si="357"/>
        <v>0</v>
      </c>
      <c r="DR226" s="161">
        <f t="shared" si="358"/>
        <v>0</v>
      </c>
      <c r="DS226" s="161">
        <f t="shared" si="359"/>
        <v>0</v>
      </c>
      <c r="DT226" s="161">
        <f t="shared" si="360"/>
        <v>0</v>
      </c>
      <c r="DU226" s="161">
        <f t="shared" si="361"/>
        <v>0</v>
      </c>
      <c r="DV226" s="161">
        <f t="shared" si="362"/>
        <v>0</v>
      </c>
      <c r="DW226" s="161">
        <f t="shared" si="363"/>
        <v>0</v>
      </c>
      <c r="DX226" s="161">
        <f t="shared" si="364"/>
        <v>0</v>
      </c>
      <c r="DY226" s="161">
        <f t="shared" si="365"/>
        <v>0</v>
      </c>
      <c r="DZ226" s="161">
        <f t="shared" si="366"/>
        <v>0</v>
      </c>
      <c r="EA226" s="161">
        <f t="shared" si="367"/>
        <v>0</v>
      </c>
      <c r="EB226" s="161">
        <f t="shared" si="368"/>
        <v>0</v>
      </c>
      <c r="EC226" s="161">
        <f t="shared" si="369"/>
        <v>0</v>
      </c>
      <c r="ED226" s="161">
        <f t="shared" si="370"/>
        <v>0</v>
      </c>
      <c r="EE226" s="161">
        <f t="shared" si="371"/>
        <v>0</v>
      </c>
      <c r="EF226" s="161">
        <f t="shared" si="372"/>
        <v>0</v>
      </c>
      <c r="EG226" s="161">
        <f t="shared" si="373"/>
        <v>0</v>
      </c>
      <c r="EH226" s="161">
        <f t="shared" si="374"/>
        <v>0</v>
      </c>
      <c r="EI226" s="161">
        <f t="shared" si="375"/>
        <v>0</v>
      </c>
      <c r="EJ226" s="65"/>
      <c r="EK226" s="161">
        <f t="shared" si="304"/>
        <v>0</v>
      </c>
      <c r="EL226" s="161">
        <f t="shared" si="305"/>
        <v>0</v>
      </c>
      <c r="EM226" s="161">
        <f t="shared" si="306"/>
        <v>0</v>
      </c>
    </row>
    <row r="227" spans="1:143" ht="12" hidden="1" customHeight="1" outlineLevel="2">
      <c r="A227" s="77">
        <v>15</v>
      </c>
      <c r="B227" s="137" t="str">
        <f t="shared" si="302"/>
        <v>TEC I - Equipe_01</v>
      </c>
      <c r="C227" s="65"/>
      <c r="D227" s="622"/>
      <c r="E227" s="65"/>
      <c r="F227" s="584"/>
      <c r="G227" s="77" t="str">
        <f>IF(INDEX(Tarefas!$BT$30:$FK$30,MATCH(A227,Tarefas!$BT$28:$FK$28,0))=0,"",INDEX(Tarefas!$BT$30:$FK$30,MATCH(A227,Tarefas!$BT$28:$FK$28,0)))</f>
        <v>TEC I</v>
      </c>
      <c r="H227" s="107" cm="1">
        <f t="array" ref="H227">IFERROR((SUMPRODUCT((Tarefas!$N$32:$N$54='Cronog. e Histog.'!$F$213)*(Tarefas!$BQ$30:$FK$30='Cronog. e Histog.'!$G227)*(Tarefas!$BQ$32:$FK$54)))/SUMIF(Tarefas!$N$32:$N$54,'Cronog. e Histog.'!$F$213,Tarefas!$K$32:$K$54),0)</f>
        <v>0</v>
      </c>
      <c r="I227" s="79">
        <f t="shared" si="303"/>
        <v>0</v>
      </c>
      <c r="J227" s="65"/>
      <c r="K227" s="160">
        <f t="shared" si="307"/>
        <v>0</v>
      </c>
      <c r="L227" s="160">
        <f t="shared" si="307"/>
        <v>0</v>
      </c>
      <c r="M227" s="160">
        <f t="shared" si="307"/>
        <v>0</v>
      </c>
      <c r="N227" s="160">
        <f t="shared" si="307"/>
        <v>0</v>
      </c>
      <c r="O227" s="160">
        <f t="shared" si="307"/>
        <v>0</v>
      </c>
      <c r="P227" s="160">
        <f t="shared" si="307"/>
        <v>0</v>
      </c>
      <c r="Q227" s="160">
        <f t="shared" si="307"/>
        <v>0</v>
      </c>
      <c r="R227" s="160">
        <f t="shared" si="307"/>
        <v>0</v>
      </c>
      <c r="S227" s="160">
        <f t="shared" si="307"/>
        <v>0</v>
      </c>
      <c r="T227" s="160">
        <f t="shared" si="307"/>
        <v>0</v>
      </c>
      <c r="U227" s="160">
        <f t="shared" si="307"/>
        <v>0</v>
      </c>
      <c r="V227" s="160">
        <f t="shared" si="307"/>
        <v>0</v>
      </c>
      <c r="W227" s="160">
        <f t="shared" si="307"/>
        <v>0</v>
      </c>
      <c r="X227" s="160">
        <f t="shared" si="307"/>
        <v>0</v>
      </c>
      <c r="Y227" s="160">
        <f t="shared" si="307"/>
        <v>0</v>
      </c>
      <c r="Z227" s="160">
        <f t="shared" si="307"/>
        <v>0</v>
      </c>
      <c r="AA227" s="160">
        <f t="shared" si="309"/>
        <v>0</v>
      </c>
      <c r="AB227" s="160">
        <f t="shared" si="309"/>
        <v>0</v>
      </c>
      <c r="AC227" s="160">
        <f t="shared" si="309"/>
        <v>0</v>
      </c>
      <c r="AD227" s="160">
        <f t="shared" si="309"/>
        <v>0</v>
      </c>
      <c r="AE227" s="160">
        <f t="shared" si="309"/>
        <v>0</v>
      </c>
      <c r="AF227" s="160">
        <f t="shared" si="309"/>
        <v>0</v>
      </c>
      <c r="AG227" s="160">
        <f t="shared" si="309"/>
        <v>0</v>
      </c>
      <c r="AH227" s="160">
        <f t="shared" si="309"/>
        <v>0</v>
      </c>
      <c r="AI227" s="160">
        <f t="shared" si="309"/>
        <v>0</v>
      </c>
      <c r="AJ227" s="160">
        <f t="shared" si="309"/>
        <v>0</v>
      </c>
      <c r="AK227" s="160">
        <f t="shared" si="309"/>
        <v>0</v>
      </c>
      <c r="AL227" s="160">
        <f t="shared" si="309"/>
        <v>0</v>
      </c>
      <c r="AM227" s="160">
        <f t="shared" si="309"/>
        <v>0</v>
      </c>
      <c r="AN227" s="160">
        <f t="shared" si="309"/>
        <v>0</v>
      </c>
      <c r="AO227" s="160">
        <f t="shared" si="309"/>
        <v>0</v>
      </c>
      <c r="AP227" s="160">
        <f t="shared" si="309"/>
        <v>0</v>
      </c>
      <c r="AQ227" s="160">
        <f t="shared" si="310"/>
        <v>0</v>
      </c>
      <c r="AR227" s="160">
        <f t="shared" si="310"/>
        <v>0</v>
      </c>
      <c r="AS227" s="160">
        <f t="shared" si="310"/>
        <v>0</v>
      </c>
      <c r="AT227" s="160">
        <f t="shared" si="310"/>
        <v>0</v>
      </c>
      <c r="AU227" s="160">
        <f t="shared" si="310"/>
        <v>0</v>
      </c>
      <c r="AV227" s="160">
        <f t="shared" si="310"/>
        <v>0</v>
      </c>
      <c r="AW227" s="160">
        <f t="shared" si="310"/>
        <v>0</v>
      </c>
      <c r="AX227" s="160">
        <f t="shared" si="310"/>
        <v>0</v>
      </c>
      <c r="AY227" s="160">
        <f t="shared" si="310"/>
        <v>0</v>
      </c>
      <c r="AZ227" s="160">
        <f t="shared" si="310"/>
        <v>0</v>
      </c>
      <c r="BA227" s="160">
        <f t="shared" si="310"/>
        <v>0</v>
      </c>
      <c r="BB227" s="160">
        <f t="shared" si="310"/>
        <v>0</v>
      </c>
      <c r="BC227" s="160">
        <f t="shared" si="310"/>
        <v>0</v>
      </c>
      <c r="BD227" s="160">
        <f t="shared" si="310"/>
        <v>0</v>
      </c>
      <c r="BE227" s="160">
        <f t="shared" si="310"/>
        <v>0</v>
      </c>
      <c r="BF227" s="160">
        <f t="shared" si="310"/>
        <v>0</v>
      </c>
      <c r="BG227" s="160">
        <f t="shared" si="311"/>
        <v>0</v>
      </c>
      <c r="BH227" s="160">
        <f t="shared" si="311"/>
        <v>0</v>
      </c>
      <c r="BI227" s="160">
        <f t="shared" si="311"/>
        <v>0</v>
      </c>
      <c r="BJ227" s="160">
        <f t="shared" si="311"/>
        <v>0</v>
      </c>
      <c r="BK227" s="160">
        <f t="shared" si="311"/>
        <v>0</v>
      </c>
      <c r="BL227" s="160">
        <f t="shared" si="311"/>
        <v>0</v>
      </c>
      <c r="BM227" s="160">
        <f t="shared" si="311"/>
        <v>0</v>
      </c>
      <c r="BN227" s="160">
        <f t="shared" si="311"/>
        <v>0</v>
      </c>
      <c r="BO227" s="160">
        <f t="shared" si="311"/>
        <v>0</v>
      </c>
      <c r="BP227" s="160">
        <f t="shared" si="311"/>
        <v>0</v>
      </c>
      <c r="BQ227" s="160">
        <f t="shared" si="311"/>
        <v>0</v>
      </c>
      <c r="BR227" s="160">
        <f t="shared" si="311"/>
        <v>0</v>
      </c>
      <c r="BS227" s="65"/>
      <c r="BT227" s="160">
        <f t="shared" si="312"/>
        <v>0</v>
      </c>
      <c r="BU227" s="160">
        <f t="shared" si="313"/>
        <v>0</v>
      </c>
      <c r="BV227" s="65"/>
      <c r="BW227" s="69"/>
      <c r="BX227" s="65"/>
      <c r="BY227" s="137">
        <f t="shared" si="314"/>
        <v>1</v>
      </c>
      <c r="BZ227" s="137">
        <f>IF(BY227&gt;0,BY227+LARGE($BZ$213:BZ226,1),0)</f>
        <v>15</v>
      </c>
      <c r="CA227" s="137" t="str">
        <f t="shared" si="315"/>
        <v>TEC I</v>
      </c>
      <c r="CB227" s="161">
        <f t="shared" si="316"/>
        <v>0</v>
      </c>
      <c r="CC227" s="161">
        <f t="shared" si="317"/>
        <v>0</v>
      </c>
      <c r="CD227" s="161">
        <f t="shared" si="318"/>
        <v>0</v>
      </c>
      <c r="CE227" s="161">
        <f t="shared" si="319"/>
        <v>0</v>
      </c>
      <c r="CF227" s="161">
        <f t="shared" si="320"/>
        <v>0</v>
      </c>
      <c r="CG227" s="161">
        <f t="shared" si="321"/>
        <v>0</v>
      </c>
      <c r="CH227" s="161">
        <f t="shared" si="322"/>
        <v>0</v>
      </c>
      <c r="CI227" s="161">
        <f t="shared" si="323"/>
        <v>0</v>
      </c>
      <c r="CJ227" s="161">
        <f t="shared" si="324"/>
        <v>0</v>
      </c>
      <c r="CK227" s="161">
        <f t="shared" si="325"/>
        <v>0</v>
      </c>
      <c r="CL227" s="161">
        <f t="shared" si="326"/>
        <v>0</v>
      </c>
      <c r="CM227" s="161">
        <f t="shared" si="327"/>
        <v>0</v>
      </c>
      <c r="CN227" s="161">
        <f t="shared" si="328"/>
        <v>0</v>
      </c>
      <c r="CO227" s="161">
        <f t="shared" si="329"/>
        <v>0</v>
      </c>
      <c r="CP227" s="161">
        <f t="shared" si="330"/>
        <v>0</v>
      </c>
      <c r="CQ227" s="161">
        <f t="shared" si="331"/>
        <v>0</v>
      </c>
      <c r="CR227" s="161">
        <f t="shared" si="332"/>
        <v>0</v>
      </c>
      <c r="CS227" s="161">
        <f t="shared" si="333"/>
        <v>0</v>
      </c>
      <c r="CT227" s="161">
        <f t="shared" si="334"/>
        <v>0</v>
      </c>
      <c r="CU227" s="161">
        <f t="shared" si="335"/>
        <v>0</v>
      </c>
      <c r="CV227" s="161">
        <f t="shared" si="336"/>
        <v>0</v>
      </c>
      <c r="CW227" s="161">
        <f t="shared" si="337"/>
        <v>0</v>
      </c>
      <c r="CX227" s="161">
        <f t="shared" si="338"/>
        <v>0</v>
      </c>
      <c r="CY227" s="161">
        <f t="shared" si="339"/>
        <v>0</v>
      </c>
      <c r="CZ227" s="161">
        <f t="shared" si="340"/>
        <v>0</v>
      </c>
      <c r="DA227" s="161">
        <f t="shared" si="341"/>
        <v>0</v>
      </c>
      <c r="DB227" s="161">
        <f t="shared" si="342"/>
        <v>0</v>
      </c>
      <c r="DC227" s="161">
        <f t="shared" si="343"/>
        <v>0</v>
      </c>
      <c r="DD227" s="161">
        <f t="shared" si="344"/>
        <v>0</v>
      </c>
      <c r="DE227" s="161">
        <f t="shared" si="345"/>
        <v>0</v>
      </c>
      <c r="DF227" s="161">
        <f t="shared" si="346"/>
        <v>0</v>
      </c>
      <c r="DG227" s="161">
        <f t="shared" si="347"/>
        <v>0</v>
      </c>
      <c r="DH227" s="161">
        <f t="shared" si="348"/>
        <v>0</v>
      </c>
      <c r="DI227" s="161">
        <f t="shared" si="349"/>
        <v>0</v>
      </c>
      <c r="DJ227" s="161">
        <f t="shared" si="350"/>
        <v>0</v>
      </c>
      <c r="DK227" s="161">
        <f t="shared" si="351"/>
        <v>0</v>
      </c>
      <c r="DL227" s="161">
        <f t="shared" si="352"/>
        <v>0</v>
      </c>
      <c r="DM227" s="161">
        <f t="shared" si="353"/>
        <v>0</v>
      </c>
      <c r="DN227" s="161">
        <f t="shared" si="354"/>
        <v>0</v>
      </c>
      <c r="DO227" s="161">
        <f t="shared" si="355"/>
        <v>0</v>
      </c>
      <c r="DP227" s="161">
        <f t="shared" si="356"/>
        <v>0</v>
      </c>
      <c r="DQ227" s="161">
        <f t="shared" si="357"/>
        <v>0</v>
      </c>
      <c r="DR227" s="161">
        <f t="shared" si="358"/>
        <v>0</v>
      </c>
      <c r="DS227" s="161">
        <f t="shared" si="359"/>
        <v>0</v>
      </c>
      <c r="DT227" s="161">
        <f t="shared" si="360"/>
        <v>0</v>
      </c>
      <c r="DU227" s="161">
        <f t="shared" si="361"/>
        <v>0</v>
      </c>
      <c r="DV227" s="161">
        <f t="shared" si="362"/>
        <v>0</v>
      </c>
      <c r="DW227" s="161">
        <f t="shared" si="363"/>
        <v>0</v>
      </c>
      <c r="DX227" s="161">
        <f t="shared" si="364"/>
        <v>0</v>
      </c>
      <c r="DY227" s="161">
        <f t="shared" si="365"/>
        <v>0</v>
      </c>
      <c r="DZ227" s="161">
        <f t="shared" si="366"/>
        <v>0</v>
      </c>
      <c r="EA227" s="161">
        <f t="shared" si="367"/>
        <v>0</v>
      </c>
      <c r="EB227" s="161">
        <f t="shared" si="368"/>
        <v>0</v>
      </c>
      <c r="EC227" s="161">
        <f t="shared" si="369"/>
        <v>0</v>
      </c>
      <c r="ED227" s="161">
        <f t="shared" si="370"/>
        <v>0</v>
      </c>
      <c r="EE227" s="161">
        <f t="shared" si="371"/>
        <v>0</v>
      </c>
      <c r="EF227" s="161">
        <f t="shared" si="372"/>
        <v>0</v>
      </c>
      <c r="EG227" s="161">
        <f t="shared" si="373"/>
        <v>0</v>
      </c>
      <c r="EH227" s="161">
        <f t="shared" si="374"/>
        <v>0</v>
      </c>
      <c r="EI227" s="161">
        <f t="shared" si="375"/>
        <v>0</v>
      </c>
      <c r="EJ227" s="65"/>
      <c r="EK227" s="161">
        <f t="shared" si="304"/>
        <v>0</v>
      </c>
      <c r="EL227" s="161">
        <f t="shared" si="305"/>
        <v>0</v>
      </c>
      <c r="EM227" s="161">
        <f t="shared" si="306"/>
        <v>0</v>
      </c>
    </row>
    <row r="228" spans="1:143" ht="12" hidden="1" customHeight="1" outlineLevel="2">
      <c r="A228" s="77">
        <v>16</v>
      </c>
      <c r="B228" s="137" t="str">
        <f t="shared" si="302"/>
        <v>AUX TEC - Equipe_01</v>
      </c>
      <c r="C228" s="65"/>
      <c r="D228" s="622"/>
      <c r="E228" s="65"/>
      <c r="F228" s="584"/>
      <c r="G228" s="77" t="str">
        <f>IF(INDEX(Tarefas!$BT$30:$FK$30,MATCH(A228,Tarefas!$BT$28:$FK$28,0))=0,"",INDEX(Tarefas!$BT$30:$FK$30,MATCH(A228,Tarefas!$BT$28:$FK$28,0)))</f>
        <v>AUX TEC</v>
      </c>
      <c r="H228" s="107" cm="1">
        <f t="array" ref="H228">IFERROR((SUMPRODUCT((Tarefas!$N$32:$N$54='Cronog. e Histog.'!$F$213)*(Tarefas!$BQ$30:$FK$30='Cronog. e Histog.'!$G228)*(Tarefas!$BQ$32:$FK$54)))/SUMIF(Tarefas!$N$32:$N$54,'Cronog. e Histog.'!$F$213,Tarefas!$K$32:$K$54),0)</f>
        <v>0</v>
      </c>
      <c r="I228" s="79">
        <f t="shared" si="303"/>
        <v>0</v>
      </c>
      <c r="J228" s="65"/>
      <c r="K228" s="160">
        <f t="shared" si="307"/>
        <v>0</v>
      </c>
      <c r="L228" s="160">
        <f t="shared" si="308"/>
        <v>0</v>
      </c>
      <c r="M228" s="160">
        <f t="shared" si="308"/>
        <v>0</v>
      </c>
      <c r="N228" s="160">
        <f t="shared" si="308"/>
        <v>0</v>
      </c>
      <c r="O228" s="160">
        <f t="shared" si="308"/>
        <v>0</v>
      </c>
      <c r="P228" s="160">
        <f t="shared" si="308"/>
        <v>0</v>
      </c>
      <c r="Q228" s="160">
        <f t="shared" si="308"/>
        <v>0</v>
      </c>
      <c r="R228" s="160">
        <f t="shared" si="308"/>
        <v>0</v>
      </c>
      <c r="S228" s="160">
        <f t="shared" si="308"/>
        <v>0</v>
      </c>
      <c r="T228" s="160">
        <f t="shared" si="308"/>
        <v>0</v>
      </c>
      <c r="U228" s="160">
        <f t="shared" si="308"/>
        <v>0</v>
      </c>
      <c r="V228" s="160">
        <f t="shared" si="308"/>
        <v>0</v>
      </c>
      <c r="W228" s="160">
        <f t="shared" si="308"/>
        <v>0</v>
      </c>
      <c r="X228" s="160">
        <f t="shared" si="308"/>
        <v>0</v>
      </c>
      <c r="Y228" s="160">
        <f t="shared" si="308"/>
        <v>0</v>
      </c>
      <c r="Z228" s="160">
        <f t="shared" si="308"/>
        <v>0</v>
      </c>
      <c r="AA228" s="160">
        <f t="shared" si="308"/>
        <v>0</v>
      </c>
      <c r="AB228" s="160">
        <f t="shared" si="308"/>
        <v>0</v>
      </c>
      <c r="AC228" s="160">
        <f t="shared" si="308"/>
        <v>0</v>
      </c>
      <c r="AD228" s="160">
        <f t="shared" si="308"/>
        <v>0</v>
      </c>
      <c r="AE228" s="160">
        <f t="shared" si="308"/>
        <v>0</v>
      </c>
      <c r="AF228" s="160">
        <f t="shared" si="308"/>
        <v>0</v>
      </c>
      <c r="AG228" s="160">
        <f t="shared" si="308"/>
        <v>0</v>
      </c>
      <c r="AH228" s="160">
        <f t="shared" si="308"/>
        <v>0</v>
      </c>
      <c r="AI228" s="160">
        <f t="shared" si="308"/>
        <v>0</v>
      </c>
      <c r="AJ228" s="160">
        <f t="shared" si="308"/>
        <v>0</v>
      </c>
      <c r="AK228" s="160">
        <f t="shared" si="308"/>
        <v>0</v>
      </c>
      <c r="AL228" s="160">
        <f t="shared" si="308"/>
        <v>0</v>
      </c>
      <c r="AM228" s="160">
        <f t="shared" si="308"/>
        <v>0</v>
      </c>
      <c r="AN228" s="160">
        <f t="shared" si="308"/>
        <v>0</v>
      </c>
      <c r="AO228" s="160">
        <f t="shared" si="308"/>
        <v>0</v>
      </c>
      <c r="AP228" s="160">
        <f t="shared" si="308"/>
        <v>0</v>
      </c>
      <c r="AQ228" s="160">
        <f t="shared" si="308"/>
        <v>0</v>
      </c>
      <c r="AR228" s="160">
        <f t="shared" si="308"/>
        <v>0</v>
      </c>
      <c r="AS228" s="160">
        <f t="shared" si="308"/>
        <v>0</v>
      </c>
      <c r="AT228" s="160">
        <f t="shared" si="308"/>
        <v>0</v>
      </c>
      <c r="AU228" s="160">
        <f t="shared" si="308"/>
        <v>0</v>
      </c>
      <c r="AV228" s="160">
        <f t="shared" si="308"/>
        <v>0</v>
      </c>
      <c r="AW228" s="160">
        <f t="shared" si="308"/>
        <v>0</v>
      </c>
      <c r="AX228" s="160">
        <f t="shared" si="308"/>
        <v>0</v>
      </c>
      <c r="AY228" s="160">
        <f t="shared" si="308"/>
        <v>0</v>
      </c>
      <c r="AZ228" s="160">
        <f t="shared" si="308"/>
        <v>0</v>
      </c>
      <c r="BA228" s="160">
        <f t="shared" si="308"/>
        <v>0</v>
      </c>
      <c r="BB228" s="160">
        <f t="shared" si="308"/>
        <v>0</v>
      </c>
      <c r="BC228" s="160">
        <f t="shared" si="308"/>
        <v>0</v>
      </c>
      <c r="BD228" s="160">
        <f t="shared" si="308"/>
        <v>0</v>
      </c>
      <c r="BE228" s="160">
        <f t="shared" si="308"/>
        <v>0</v>
      </c>
      <c r="BF228" s="160">
        <f t="shared" si="308"/>
        <v>0</v>
      </c>
      <c r="BG228" s="160">
        <f t="shared" si="308"/>
        <v>0</v>
      </c>
      <c r="BH228" s="160">
        <f t="shared" si="308"/>
        <v>0</v>
      </c>
      <c r="BI228" s="160">
        <f t="shared" si="308"/>
        <v>0</v>
      </c>
      <c r="BJ228" s="160">
        <f t="shared" si="308"/>
        <v>0</v>
      </c>
      <c r="BK228" s="160">
        <f t="shared" si="308"/>
        <v>0</v>
      </c>
      <c r="BL228" s="160">
        <f t="shared" si="308"/>
        <v>0</v>
      </c>
      <c r="BM228" s="160">
        <f t="shared" si="308"/>
        <v>0</v>
      </c>
      <c r="BN228" s="160">
        <f t="shared" si="308"/>
        <v>0</v>
      </c>
      <c r="BO228" s="160">
        <f t="shared" si="308"/>
        <v>0</v>
      </c>
      <c r="BP228" s="160">
        <f t="shared" si="308"/>
        <v>0</v>
      </c>
      <c r="BQ228" s="160">
        <f t="shared" si="308"/>
        <v>0</v>
      </c>
      <c r="BR228" s="160">
        <f t="shared" si="308"/>
        <v>0</v>
      </c>
      <c r="BS228" s="65"/>
      <c r="BT228" s="160">
        <f t="shared" si="262"/>
        <v>0</v>
      </c>
      <c r="BU228" s="160">
        <f t="shared" si="263"/>
        <v>0</v>
      </c>
      <c r="BV228" s="65"/>
      <c r="BW228" s="69"/>
      <c r="BX228" s="65"/>
      <c r="BY228" s="137">
        <f t="shared" si="264"/>
        <v>1</v>
      </c>
      <c r="BZ228" s="137">
        <f>IF(BY228&gt;0,BY228+LARGE($BZ$213:BZ227,1),0)</f>
        <v>16</v>
      </c>
      <c r="CA228" s="137" t="str">
        <f t="shared" si="265"/>
        <v>AUX TEC</v>
      </c>
      <c r="CB228" s="161">
        <f t="shared" si="266"/>
        <v>0</v>
      </c>
      <c r="CC228" s="161">
        <f t="shared" si="267"/>
        <v>0</v>
      </c>
      <c r="CD228" s="161">
        <f t="shared" si="268"/>
        <v>0</v>
      </c>
      <c r="CE228" s="161">
        <f t="shared" si="269"/>
        <v>0</v>
      </c>
      <c r="CF228" s="161">
        <f t="shared" si="270"/>
        <v>0</v>
      </c>
      <c r="CG228" s="161">
        <f t="shared" si="271"/>
        <v>0</v>
      </c>
      <c r="CH228" s="161">
        <f t="shared" si="272"/>
        <v>0</v>
      </c>
      <c r="CI228" s="161">
        <f t="shared" si="273"/>
        <v>0</v>
      </c>
      <c r="CJ228" s="161">
        <f t="shared" si="274"/>
        <v>0</v>
      </c>
      <c r="CK228" s="161">
        <f t="shared" si="275"/>
        <v>0</v>
      </c>
      <c r="CL228" s="161">
        <f t="shared" si="276"/>
        <v>0</v>
      </c>
      <c r="CM228" s="161">
        <f t="shared" si="277"/>
        <v>0</v>
      </c>
      <c r="CN228" s="161">
        <f t="shared" si="278"/>
        <v>0</v>
      </c>
      <c r="CO228" s="161">
        <f t="shared" si="279"/>
        <v>0</v>
      </c>
      <c r="CP228" s="161">
        <f t="shared" si="280"/>
        <v>0</v>
      </c>
      <c r="CQ228" s="161">
        <f t="shared" si="281"/>
        <v>0</v>
      </c>
      <c r="CR228" s="161">
        <f t="shared" si="282"/>
        <v>0</v>
      </c>
      <c r="CS228" s="161">
        <f t="shared" si="283"/>
        <v>0</v>
      </c>
      <c r="CT228" s="161">
        <f t="shared" si="284"/>
        <v>0</v>
      </c>
      <c r="CU228" s="161">
        <f t="shared" si="285"/>
        <v>0</v>
      </c>
      <c r="CV228" s="161">
        <f t="shared" si="286"/>
        <v>0</v>
      </c>
      <c r="CW228" s="161">
        <f t="shared" si="287"/>
        <v>0</v>
      </c>
      <c r="CX228" s="161">
        <f t="shared" si="288"/>
        <v>0</v>
      </c>
      <c r="CY228" s="161">
        <f t="shared" si="289"/>
        <v>0</v>
      </c>
      <c r="CZ228" s="161">
        <f t="shared" si="290"/>
        <v>0</v>
      </c>
      <c r="DA228" s="161">
        <f t="shared" si="291"/>
        <v>0</v>
      </c>
      <c r="DB228" s="161">
        <f t="shared" si="292"/>
        <v>0</v>
      </c>
      <c r="DC228" s="161">
        <f t="shared" si="293"/>
        <v>0</v>
      </c>
      <c r="DD228" s="161">
        <f t="shared" si="294"/>
        <v>0</v>
      </c>
      <c r="DE228" s="161">
        <f t="shared" si="295"/>
        <v>0</v>
      </c>
      <c r="DF228" s="161">
        <f t="shared" si="296"/>
        <v>0</v>
      </c>
      <c r="DG228" s="161">
        <f t="shared" si="297"/>
        <v>0</v>
      </c>
      <c r="DH228" s="161">
        <f t="shared" si="298"/>
        <v>0</v>
      </c>
      <c r="DI228" s="161">
        <f t="shared" si="299"/>
        <v>0</v>
      </c>
      <c r="DJ228" s="161">
        <f t="shared" si="300"/>
        <v>0</v>
      </c>
      <c r="DK228" s="161">
        <f t="shared" si="301"/>
        <v>0</v>
      </c>
      <c r="DL228" s="161">
        <f t="shared" si="301"/>
        <v>0</v>
      </c>
      <c r="DM228" s="161">
        <f t="shared" si="301"/>
        <v>0</v>
      </c>
      <c r="DN228" s="161">
        <f t="shared" si="301"/>
        <v>0</v>
      </c>
      <c r="DO228" s="161">
        <f t="shared" si="301"/>
        <v>0</v>
      </c>
      <c r="DP228" s="161">
        <f t="shared" si="301"/>
        <v>0</v>
      </c>
      <c r="DQ228" s="161">
        <f t="shared" si="301"/>
        <v>0</v>
      </c>
      <c r="DR228" s="161">
        <f t="shared" si="301"/>
        <v>0</v>
      </c>
      <c r="DS228" s="161">
        <f t="shared" si="301"/>
        <v>0</v>
      </c>
      <c r="DT228" s="161">
        <f t="shared" si="301"/>
        <v>0</v>
      </c>
      <c r="DU228" s="161">
        <f t="shared" si="301"/>
        <v>0</v>
      </c>
      <c r="DV228" s="161">
        <f t="shared" si="301"/>
        <v>0</v>
      </c>
      <c r="DW228" s="161">
        <f t="shared" si="301"/>
        <v>0</v>
      </c>
      <c r="DX228" s="161">
        <f t="shared" si="301"/>
        <v>0</v>
      </c>
      <c r="DY228" s="161">
        <f t="shared" si="301"/>
        <v>0</v>
      </c>
      <c r="DZ228" s="161">
        <f t="shared" si="301"/>
        <v>0</v>
      </c>
      <c r="EA228" s="161">
        <f t="shared" si="301"/>
        <v>0</v>
      </c>
      <c r="EB228" s="161">
        <f t="shared" si="301"/>
        <v>0</v>
      </c>
      <c r="EC228" s="161">
        <f t="shared" si="301"/>
        <v>0</v>
      </c>
      <c r="ED228" s="161">
        <f t="shared" si="301"/>
        <v>0</v>
      </c>
      <c r="EE228" s="161">
        <f t="shared" si="301"/>
        <v>0</v>
      </c>
      <c r="EF228" s="161">
        <f t="shared" si="301"/>
        <v>0</v>
      </c>
      <c r="EG228" s="161">
        <f t="shared" si="301"/>
        <v>0</v>
      </c>
      <c r="EH228" s="161">
        <f t="shared" si="301"/>
        <v>0</v>
      </c>
      <c r="EI228" s="161">
        <f t="shared" si="301"/>
        <v>0</v>
      </c>
      <c r="EJ228" s="65"/>
      <c r="EK228" s="161">
        <f t="shared" si="304"/>
        <v>0</v>
      </c>
      <c r="EL228" s="161">
        <f t="shared" si="305"/>
        <v>0</v>
      </c>
      <c r="EM228" s="161">
        <f t="shared" si="306"/>
        <v>0</v>
      </c>
    </row>
    <row r="229" spans="1:143" ht="12" hidden="1" customHeight="1" outlineLevel="2">
      <c r="A229" s="77">
        <v>17</v>
      </c>
      <c r="B229" s="137" t="str">
        <f t="shared" si="302"/>
        <v>AUX ADM - Equipe_01</v>
      </c>
      <c r="C229" s="65"/>
      <c r="D229" s="622"/>
      <c r="E229" s="65"/>
      <c r="F229" s="584"/>
      <c r="G229" s="77" t="str">
        <f>IF(INDEX(Tarefas!$BT$30:$FK$30,MATCH(A229,Tarefas!$BT$28:$FK$28,0))=0,"",INDEX(Tarefas!$BT$30:$FK$30,MATCH(A229,Tarefas!$BT$28:$FK$28,0)))</f>
        <v>AUX ADM</v>
      </c>
      <c r="H229" s="107" cm="1">
        <f t="array" ref="H229">IFERROR((SUMPRODUCT((Tarefas!$N$32:$N$54='Cronog. e Histog.'!$F$213)*(Tarefas!$BQ$30:$FK$30='Cronog. e Histog.'!$G229)*(Tarefas!$BQ$32:$FK$54)))/SUMIF(Tarefas!$N$32:$N$54,'Cronog. e Histog.'!$F$213,Tarefas!$K$32:$K$54),0)</f>
        <v>0</v>
      </c>
      <c r="I229" s="79">
        <f t="shared" si="303"/>
        <v>0</v>
      </c>
      <c r="J229" s="65"/>
      <c r="K229" s="160">
        <f t="shared" si="307"/>
        <v>0</v>
      </c>
      <c r="L229" s="160">
        <f t="shared" si="308"/>
        <v>0</v>
      </c>
      <c r="M229" s="160">
        <f t="shared" si="308"/>
        <v>0</v>
      </c>
      <c r="N229" s="160">
        <f t="shared" si="308"/>
        <v>0</v>
      </c>
      <c r="O229" s="160">
        <f t="shared" si="308"/>
        <v>0</v>
      </c>
      <c r="P229" s="160">
        <f t="shared" si="308"/>
        <v>0</v>
      </c>
      <c r="Q229" s="160">
        <f t="shared" si="308"/>
        <v>0</v>
      </c>
      <c r="R229" s="160">
        <f t="shared" si="308"/>
        <v>0</v>
      </c>
      <c r="S229" s="160">
        <f t="shared" si="308"/>
        <v>0</v>
      </c>
      <c r="T229" s="160">
        <f t="shared" si="308"/>
        <v>0</v>
      </c>
      <c r="U229" s="160">
        <f t="shared" si="308"/>
        <v>0</v>
      </c>
      <c r="V229" s="160">
        <f t="shared" si="308"/>
        <v>0</v>
      </c>
      <c r="W229" s="160">
        <f t="shared" si="308"/>
        <v>0</v>
      </c>
      <c r="X229" s="160">
        <f t="shared" si="308"/>
        <v>0</v>
      </c>
      <c r="Y229" s="160">
        <f t="shared" si="308"/>
        <v>0</v>
      </c>
      <c r="Z229" s="160">
        <f t="shared" si="308"/>
        <v>0</v>
      </c>
      <c r="AA229" s="160">
        <f t="shared" si="308"/>
        <v>0</v>
      </c>
      <c r="AB229" s="160">
        <f t="shared" si="308"/>
        <v>0</v>
      </c>
      <c r="AC229" s="160">
        <f t="shared" si="308"/>
        <v>0</v>
      </c>
      <c r="AD229" s="160">
        <f t="shared" si="308"/>
        <v>0</v>
      </c>
      <c r="AE229" s="160">
        <f t="shared" si="308"/>
        <v>0</v>
      </c>
      <c r="AF229" s="160">
        <f t="shared" si="308"/>
        <v>0</v>
      </c>
      <c r="AG229" s="160">
        <f t="shared" si="308"/>
        <v>0</v>
      </c>
      <c r="AH229" s="160">
        <f t="shared" si="308"/>
        <v>0</v>
      </c>
      <c r="AI229" s="160">
        <f t="shared" si="308"/>
        <v>0</v>
      </c>
      <c r="AJ229" s="160">
        <f t="shared" si="308"/>
        <v>0</v>
      </c>
      <c r="AK229" s="160">
        <f t="shared" si="308"/>
        <v>0</v>
      </c>
      <c r="AL229" s="160">
        <f t="shared" si="308"/>
        <v>0</v>
      </c>
      <c r="AM229" s="160">
        <f t="shared" si="308"/>
        <v>0</v>
      </c>
      <c r="AN229" s="160">
        <f t="shared" si="308"/>
        <v>0</v>
      </c>
      <c r="AO229" s="160">
        <f t="shared" si="308"/>
        <v>0</v>
      </c>
      <c r="AP229" s="160">
        <f t="shared" si="308"/>
        <v>0</v>
      </c>
      <c r="AQ229" s="160">
        <f t="shared" si="308"/>
        <v>0</v>
      </c>
      <c r="AR229" s="160">
        <f t="shared" si="308"/>
        <v>0</v>
      </c>
      <c r="AS229" s="160">
        <f t="shared" si="308"/>
        <v>0</v>
      </c>
      <c r="AT229" s="160">
        <f t="shared" si="308"/>
        <v>0</v>
      </c>
      <c r="AU229" s="160">
        <f t="shared" si="308"/>
        <v>0</v>
      </c>
      <c r="AV229" s="160">
        <f t="shared" si="308"/>
        <v>0</v>
      </c>
      <c r="AW229" s="160">
        <f t="shared" si="308"/>
        <v>0</v>
      </c>
      <c r="AX229" s="160">
        <f t="shared" si="308"/>
        <v>0</v>
      </c>
      <c r="AY229" s="160">
        <f t="shared" si="308"/>
        <v>0</v>
      </c>
      <c r="AZ229" s="160">
        <f t="shared" si="308"/>
        <v>0</v>
      </c>
      <c r="BA229" s="160">
        <f t="shared" si="308"/>
        <v>0</v>
      </c>
      <c r="BB229" s="160">
        <f t="shared" si="308"/>
        <v>0</v>
      </c>
      <c r="BC229" s="160">
        <f t="shared" si="308"/>
        <v>0</v>
      </c>
      <c r="BD229" s="160">
        <f t="shared" si="308"/>
        <v>0</v>
      </c>
      <c r="BE229" s="160">
        <f t="shared" si="308"/>
        <v>0</v>
      </c>
      <c r="BF229" s="160">
        <f t="shared" si="308"/>
        <v>0</v>
      </c>
      <c r="BG229" s="160">
        <f t="shared" si="308"/>
        <v>0</v>
      </c>
      <c r="BH229" s="160">
        <f t="shared" si="308"/>
        <v>0</v>
      </c>
      <c r="BI229" s="160">
        <f t="shared" si="308"/>
        <v>0</v>
      </c>
      <c r="BJ229" s="160">
        <f t="shared" si="308"/>
        <v>0</v>
      </c>
      <c r="BK229" s="160">
        <f t="shared" si="308"/>
        <v>0</v>
      </c>
      <c r="BL229" s="160">
        <f t="shared" si="308"/>
        <v>0</v>
      </c>
      <c r="BM229" s="160">
        <f t="shared" si="308"/>
        <v>0</v>
      </c>
      <c r="BN229" s="160">
        <f t="shared" si="308"/>
        <v>0</v>
      </c>
      <c r="BO229" s="160">
        <f t="shared" si="308"/>
        <v>0</v>
      </c>
      <c r="BP229" s="160">
        <f t="shared" si="308"/>
        <v>0</v>
      </c>
      <c r="BQ229" s="160">
        <f t="shared" si="308"/>
        <v>0</v>
      </c>
      <c r="BR229" s="160">
        <f t="shared" si="308"/>
        <v>0</v>
      </c>
      <c r="BS229" s="65"/>
      <c r="BT229" s="160">
        <f t="shared" si="262"/>
        <v>0</v>
      </c>
      <c r="BU229" s="160">
        <f t="shared" si="263"/>
        <v>0</v>
      </c>
      <c r="BV229" s="65"/>
      <c r="BW229" s="69"/>
      <c r="BX229" s="65"/>
      <c r="BY229" s="137">
        <f t="shared" si="264"/>
        <v>1</v>
      </c>
      <c r="BZ229" s="137">
        <f>IF(BY229&gt;0,BY229+LARGE($BZ$213:BZ228,1),0)</f>
        <v>17</v>
      </c>
      <c r="CA229" s="137" t="str">
        <f t="shared" si="265"/>
        <v>AUX ADM</v>
      </c>
      <c r="CB229" s="161">
        <f t="shared" si="266"/>
        <v>0</v>
      </c>
      <c r="CC229" s="161">
        <f t="shared" si="267"/>
        <v>0</v>
      </c>
      <c r="CD229" s="161">
        <f t="shared" si="268"/>
        <v>0</v>
      </c>
      <c r="CE229" s="161">
        <f t="shared" si="269"/>
        <v>0</v>
      </c>
      <c r="CF229" s="161">
        <f t="shared" si="270"/>
        <v>0</v>
      </c>
      <c r="CG229" s="161">
        <f t="shared" si="271"/>
        <v>0</v>
      </c>
      <c r="CH229" s="161">
        <f t="shared" si="272"/>
        <v>0</v>
      </c>
      <c r="CI229" s="161">
        <f t="shared" si="273"/>
        <v>0</v>
      </c>
      <c r="CJ229" s="161">
        <f t="shared" si="274"/>
        <v>0</v>
      </c>
      <c r="CK229" s="161">
        <f t="shared" si="275"/>
        <v>0</v>
      </c>
      <c r="CL229" s="161">
        <f t="shared" si="276"/>
        <v>0</v>
      </c>
      <c r="CM229" s="161">
        <f t="shared" si="277"/>
        <v>0</v>
      </c>
      <c r="CN229" s="161">
        <f t="shared" si="278"/>
        <v>0</v>
      </c>
      <c r="CO229" s="161">
        <f t="shared" si="279"/>
        <v>0</v>
      </c>
      <c r="CP229" s="161">
        <f t="shared" si="280"/>
        <v>0</v>
      </c>
      <c r="CQ229" s="161">
        <f t="shared" si="281"/>
        <v>0</v>
      </c>
      <c r="CR229" s="161">
        <f t="shared" si="282"/>
        <v>0</v>
      </c>
      <c r="CS229" s="161">
        <f t="shared" si="283"/>
        <v>0</v>
      </c>
      <c r="CT229" s="161">
        <f t="shared" si="284"/>
        <v>0</v>
      </c>
      <c r="CU229" s="161">
        <f t="shared" si="285"/>
        <v>0</v>
      </c>
      <c r="CV229" s="161">
        <f t="shared" si="286"/>
        <v>0</v>
      </c>
      <c r="CW229" s="161">
        <f t="shared" si="287"/>
        <v>0</v>
      </c>
      <c r="CX229" s="161">
        <f t="shared" si="288"/>
        <v>0</v>
      </c>
      <c r="CY229" s="161">
        <f t="shared" si="289"/>
        <v>0</v>
      </c>
      <c r="CZ229" s="161">
        <f t="shared" si="290"/>
        <v>0</v>
      </c>
      <c r="DA229" s="161">
        <f t="shared" si="291"/>
        <v>0</v>
      </c>
      <c r="DB229" s="161">
        <f t="shared" si="292"/>
        <v>0</v>
      </c>
      <c r="DC229" s="161">
        <f t="shared" si="293"/>
        <v>0</v>
      </c>
      <c r="DD229" s="161">
        <f t="shared" si="294"/>
        <v>0</v>
      </c>
      <c r="DE229" s="161">
        <f t="shared" si="295"/>
        <v>0</v>
      </c>
      <c r="DF229" s="161">
        <f t="shared" si="296"/>
        <v>0</v>
      </c>
      <c r="DG229" s="161">
        <f t="shared" si="297"/>
        <v>0</v>
      </c>
      <c r="DH229" s="161">
        <f t="shared" si="298"/>
        <v>0</v>
      </c>
      <c r="DI229" s="161">
        <f t="shared" si="299"/>
        <v>0</v>
      </c>
      <c r="DJ229" s="161">
        <f t="shared" si="300"/>
        <v>0</v>
      </c>
      <c r="DK229" s="161">
        <f t="shared" si="301"/>
        <v>0</v>
      </c>
      <c r="DL229" s="161">
        <f t="shared" si="301"/>
        <v>0</v>
      </c>
      <c r="DM229" s="161">
        <f t="shared" si="301"/>
        <v>0</v>
      </c>
      <c r="DN229" s="161">
        <f t="shared" si="301"/>
        <v>0</v>
      </c>
      <c r="DO229" s="161">
        <f t="shared" si="301"/>
        <v>0</v>
      </c>
      <c r="DP229" s="161">
        <f t="shared" si="301"/>
        <v>0</v>
      </c>
      <c r="DQ229" s="161">
        <f t="shared" si="301"/>
        <v>0</v>
      </c>
      <c r="DR229" s="161">
        <f t="shared" si="301"/>
        <v>0</v>
      </c>
      <c r="DS229" s="161">
        <f t="shared" si="301"/>
        <v>0</v>
      </c>
      <c r="DT229" s="161">
        <f t="shared" si="301"/>
        <v>0</v>
      </c>
      <c r="DU229" s="161">
        <f t="shared" si="301"/>
        <v>0</v>
      </c>
      <c r="DV229" s="161">
        <f t="shared" si="301"/>
        <v>0</v>
      </c>
      <c r="DW229" s="161">
        <f t="shared" si="301"/>
        <v>0</v>
      </c>
      <c r="DX229" s="161">
        <f t="shared" si="301"/>
        <v>0</v>
      </c>
      <c r="DY229" s="161">
        <f t="shared" si="301"/>
        <v>0</v>
      </c>
      <c r="DZ229" s="161">
        <f t="shared" si="301"/>
        <v>0</v>
      </c>
      <c r="EA229" s="161">
        <f t="shared" si="301"/>
        <v>0</v>
      </c>
      <c r="EB229" s="161">
        <f t="shared" si="301"/>
        <v>0</v>
      </c>
      <c r="EC229" s="161">
        <f t="shared" si="301"/>
        <v>0</v>
      </c>
      <c r="ED229" s="161">
        <f t="shared" si="301"/>
        <v>0</v>
      </c>
      <c r="EE229" s="161">
        <f t="shared" si="301"/>
        <v>0</v>
      </c>
      <c r="EF229" s="161">
        <f t="shared" si="301"/>
        <v>0</v>
      </c>
      <c r="EG229" s="161">
        <f t="shared" si="301"/>
        <v>0</v>
      </c>
      <c r="EH229" s="161">
        <f t="shared" si="301"/>
        <v>0</v>
      </c>
      <c r="EI229" s="161">
        <f t="shared" si="301"/>
        <v>0</v>
      </c>
      <c r="EJ229" s="65"/>
      <c r="EK229" s="161">
        <f t="shared" si="304"/>
        <v>0</v>
      </c>
      <c r="EL229" s="161">
        <f t="shared" si="305"/>
        <v>0</v>
      </c>
      <c r="EM229" s="161">
        <f t="shared" si="306"/>
        <v>0</v>
      </c>
    </row>
    <row r="230" spans="1:143" ht="12" hidden="1" customHeight="1" outlineLevel="2">
      <c r="A230" s="77">
        <v>18</v>
      </c>
      <c r="B230" s="137" t="str">
        <f t="shared" si="302"/>
        <v>EST - Equipe_01</v>
      </c>
      <c r="C230" s="65"/>
      <c r="D230" s="622"/>
      <c r="E230" s="65"/>
      <c r="F230" s="584"/>
      <c r="G230" s="77" t="str">
        <f>IF(INDEX(Tarefas!$BT$30:$FK$30,MATCH(A230,Tarefas!$BT$28:$FK$28,0))=0,"",INDEX(Tarefas!$BT$30:$FK$30,MATCH(A230,Tarefas!$BT$28:$FK$28,0)))</f>
        <v>EST</v>
      </c>
      <c r="H230" s="107" cm="1">
        <f t="array" ref="H230">IFERROR((SUMPRODUCT((Tarefas!$N$32:$N$54='Cronog. e Histog.'!$F$213)*(Tarefas!$BQ$30:$FK$30='Cronog. e Histog.'!$G230)*(Tarefas!$BQ$32:$FK$54)))/SUMIF(Tarefas!$N$32:$N$54,'Cronog. e Histog.'!$F$213,Tarefas!$K$32:$K$54),0)</f>
        <v>0</v>
      </c>
      <c r="I230" s="79">
        <f t="shared" si="303"/>
        <v>0</v>
      </c>
      <c r="J230" s="65"/>
      <c r="K230" s="160">
        <f t="shared" si="307"/>
        <v>0</v>
      </c>
      <c r="L230" s="160">
        <f t="shared" si="308"/>
        <v>0</v>
      </c>
      <c r="M230" s="160">
        <f t="shared" si="308"/>
        <v>0</v>
      </c>
      <c r="N230" s="160">
        <f t="shared" si="308"/>
        <v>0</v>
      </c>
      <c r="O230" s="160">
        <f t="shared" si="308"/>
        <v>0</v>
      </c>
      <c r="P230" s="160">
        <f t="shared" si="308"/>
        <v>0</v>
      </c>
      <c r="Q230" s="160">
        <f t="shared" si="308"/>
        <v>0</v>
      </c>
      <c r="R230" s="160">
        <f t="shared" si="308"/>
        <v>0</v>
      </c>
      <c r="S230" s="160">
        <f t="shared" si="308"/>
        <v>0</v>
      </c>
      <c r="T230" s="160">
        <f t="shared" si="308"/>
        <v>0</v>
      </c>
      <c r="U230" s="160">
        <f t="shared" si="308"/>
        <v>0</v>
      </c>
      <c r="V230" s="160">
        <f t="shared" si="308"/>
        <v>0</v>
      </c>
      <c r="W230" s="160">
        <f t="shared" si="308"/>
        <v>0</v>
      </c>
      <c r="X230" s="160">
        <f t="shared" si="308"/>
        <v>0</v>
      </c>
      <c r="Y230" s="160">
        <f t="shared" si="308"/>
        <v>0</v>
      </c>
      <c r="Z230" s="160">
        <f t="shared" si="308"/>
        <v>0</v>
      </c>
      <c r="AA230" s="160">
        <f t="shared" si="308"/>
        <v>0</v>
      </c>
      <c r="AB230" s="160">
        <f t="shared" si="308"/>
        <v>0</v>
      </c>
      <c r="AC230" s="160">
        <f t="shared" si="308"/>
        <v>0</v>
      </c>
      <c r="AD230" s="160">
        <f t="shared" si="308"/>
        <v>0</v>
      </c>
      <c r="AE230" s="160">
        <f t="shared" si="308"/>
        <v>0</v>
      </c>
      <c r="AF230" s="160">
        <f t="shared" si="308"/>
        <v>0</v>
      </c>
      <c r="AG230" s="160">
        <f t="shared" si="308"/>
        <v>0</v>
      </c>
      <c r="AH230" s="160">
        <f t="shared" si="308"/>
        <v>0</v>
      </c>
      <c r="AI230" s="160">
        <f t="shared" si="308"/>
        <v>0</v>
      </c>
      <c r="AJ230" s="160">
        <f t="shared" si="308"/>
        <v>0</v>
      </c>
      <c r="AK230" s="160">
        <f t="shared" si="308"/>
        <v>0</v>
      </c>
      <c r="AL230" s="160">
        <f t="shared" si="308"/>
        <v>0</v>
      </c>
      <c r="AM230" s="160">
        <f t="shared" si="308"/>
        <v>0</v>
      </c>
      <c r="AN230" s="160">
        <f t="shared" si="308"/>
        <v>0</v>
      </c>
      <c r="AO230" s="160">
        <f t="shared" si="308"/>
        <v>0</v>
      </c>
      <c r="AP230" s="160">
        <f t="shared" si="308"/>
        <v>0</v>
      </c>
      <c r="AQ230" s="160">
        <f t="shared" si="308"/>
        <v>0</v>
      </c>
      <c r="AR230" s="160">
        <f t="shared" si="308"/>
        <v>0</v>
      </c>
      <c r="AS230" s="160">
        <f t="shared" si="308"/>
        <v>0</v>
      </c>
      <c r="AT230" s="160">
        <f t="shared" si="308"/>
        <v>0</v>
      </c>
      <c r="AU230" s="160">
        <f t="shared" si="308"/>
        <v>0</v>
      </c>
      <c r="AV230" s="160">
        <f t="shared" si="308"/>
        <v>0</v>
      </c>
      <c r="AW230" s="160">
        <f t="shared" si="308"/>
        <v>0</v>
      </c>
      <c r="AX230" s="160">
        <f t="shared" si="308"/>
        <v>0</v>
      </c>
      <c r="AY230" s="160">
        <f t="shared" si="308"/>
        <v>0</v>
      </c>
      <c r="AZ230" s="160">
        <f t="shared" si="308"/>
        <v>0</v>
      </c>
      <c r="BA230" s="160">
        <f t="shared" si="308"/>
        <v>0</v>
      </c>
      <c r="BB230" s="160">
        <f t="shared" si="308"/>
        <v>0</v>
      </c>
      <c r="BC230" s="160">
        <f t="shared" si="308"/>
        <v>0</v>
      </c>
      <c r="BD230" s="160">
        <f t="shared" si="308"/>
        <v>0</v>
      </c>
      <c r="BE230" s="160">
        <f t="shared" si="308"/>
        <v>0</v>
      </c>
      <c r="BF230" s="160">
        <f t="shared" si="308"/>
        <v>0</v>
      </c>
      <c r="BG230" s="160">
        <f t="shared" si="308"/>
        <v>0</v>
      </c>
      <c r="BH230" s="160">
        <f t="shared" si="308"/>
        <v>0</v>
      </c>
      <c r="BI230" s="160">
        <f t="shared" si="308"/>
        <v>0</v>
      </c>
      <c r="BJ230" s="160">
        <f t="shared" si="308"/>
        <v>0</v>
      </c>
      <c r="BK230" s="160">
        <f t="shared" si="308"/>
        <v>0</v>
      </c>
      <c r="BL230" s="160">
        <f t="shared" si="308"/>
        <v>0</v>
      </c>
      <c r="BM230" s="160">
        <f t="shared" si="308"/>
        <v>0</v>
      </c>
      <c r="BN230" s="160">
        <f t="shared" si="308"/>
        <v>0</v>
      </c>
      <c r="BO230" s="160">
        <f t="shared" si="308"/>
        <v>0</v>
      </c>
      <c r="BP230" s="160">
        <f t="shared" si="308"/>
        <v>0</v>
      </c>
      <c r="BQ230" s="160">
        <f t="shared" si="308"/>
        <v>0</v>
      </c>
      <c r="BR230" s="160">
        <f t="shared" si="308"/>
        <v>0</v>
      </c>
      <c r="BS230" s="65"/>
      <c r="BT230" s="160">
        <f t="shared" si="262"/>
        <v>0</v>
      </c>
      <c r="BU230" s="160">
        <f t="shared" si="263"/>
        <v>0</v>
      </c>
      <c r="BV230" s="65"/>
      <c r="BW230" s="69"/>
      <c r="BX230" s="65"/>
      <c r="BY230" s="137">
        <f t="shared" si="264"/>
        <v>1</v>
      </c>
      <c r="BZ230" s="137">
        <f>IF(BY230&gt;0,BY230+LARGE($BZ$213:BZ229,1),0)</f>
        <v>18</v>
      </c>
      <c r="CA230" s="137" t="str">
        <f t="shared" si="265"/>
        <v>EST</v>
      </c>
      <c r="CB230" s="161">
        <f t="shared" si="266"/>
        <v>0</v>
      </c>
      <c r="CC230" s="161">
        <f t="shared" si="267"/>
        <v>0</v>
      </c>
      <c r="CD230" s="161">
        <f t="shared" si="268"/>
        <v>0</v>
      </c>
      <c r="CE230" s="161">
        <f t="shared" si="269"/>
        <v>0</v>
      </c>
      <c r="CF230" s="161">
        <f t="shared" si="270"/>
        <v>0</v>
      </c>
      <c r="CG230" s="161">
        <f t="shared" si="271"/>
        <v>0</v>
      </c>
      <c r="CH230" s="161">
        <f t="shared" si="272"/>
        <v>0</v>
      </c>
      <c r="CI230" s="161">
        <f t="shared" si="273"/>
        <v>0</v>
      </c>
      <c r="CJ230" s="161">
        <f t="shared" si="274"/>
        <v>0</v>
      </c>
      <c r="CK230" s="161">
        <f t="shared" si="275"/>
        <v>0</v>
      </c>
      <c r="CL230" s="161">
        <f t="shared" si="276"/>
        <v>0</v>
      </c>
      <c r="CM230" s="161">
        <f t="shared" si="277"/>
        <v>0</v>
      </c>
      <c r="CN230" s="161">
        <f t="shared" si="278"/>
        <v>0</v>
      </c>
      <c r="CO230" s="161">
        <f t="shared" si="279"/>
        <v>0</v>
      </c>
      <c r="CP230" s="161">
        <f t="shared" si="280"/>
        <v>0</v>
      </c>
      <c r="CQ230" s="161">
        <f t="shared" si="281"/>
        <v>0</v>
      </c>
      <c r="CR230" s="161">
        <f t="shared" si="282"/>
        <v>0</v>
      </c>
      <c r="CS230" s="161">
        <f t="shared" si="283"/>
        <v>0</v>
      </c>
      <c r="CT230" s="161">
        <f t="shared" si="284"/>
        <v>0</v>
      </c>
      <c r="CU230" s="161">
        <f t="shared" si="285"/>
        <v>0</v>
      </c>
      <c r="CV230" s="161">
        <f t="shared" si="286"/>
        <v>0</v>
      </c>
      <c r="CW230" s="161">
        <f t="shared" si="287"/>
        <v>0</v>
      </c>
      <c r="CX230" s="161">
        <f t="shared" si="288"/>
        <v>0</v>
      </c>
      <c r="CY230" s="161">
        <f t="shared" si="289"/>
        <v>0</v>
      </c>
      <c r="CZ230" s="161">
        <f t="shared" si="290"/>
        <v>0</v>
      </c>
      <c r="DA230" s="161">
        <f t="shared" si="291"/>
        <v>0</v>
      </c>
      <c r="DB230" s="161">
        <f t="shared" si="292"/>
        <v>0</v>
      </c>
      <c r="DC230" s="161">
        <f t="shared" si="293"/>
        <v>0</v>
      </c>
      <c r="DD230" s="161">
        <f t="shared" si="294"/>
        <v>0</v>
      </c>
      <c r="DE230" s="161">
        <f t="shared" si="295"/>
        <v>0</v>
      </c>
      <c r="DF230" s="161">
        <f t="shared" si="296"/>
        <v>0</v>
      </c>
      <c r="DG230" s="161">
        <f t="shared" si="297"/>
        <v>0</v>
      </c>
      <c r="DH230" s="161">
        <f t="shared" si="298"/>
        <v>0</v>
      </c>
      <c r="DI230" s="161">
        <f t="shared" si="299"/>
        <v>0</v>
      </c>
      <c r="DJ230" s="161">
        <f t="shared" si="300"/>
        <v>0</v>
      </c>
      <c r="DK230" s="161">
        <f t="shared" si="301"/>
        <v>0</v>
      </c>
      <c r="DL230" s="161">
        <f t="shared" si="301"/>
        <v>0</v>
      </c>
      <c r="DM230" s="161">
        <f t="shared" si="301"/>
        <v>0</v>
      </c>
      <c r="DN230" s="161">
        <f t="shared" si="301"/>
        <v>0</v>
      </c>
      <c r="DO230" s="161">
        <f t="shared" si="301"/>
        <v>0</v>
      </c>
      <c r="DP230" s="161">
        <f t="shared" si="301"/>
        <v>0</v>
      </c>
      <c r="DQ230" s="161">
        <f t="shared" si="301"/>
        <v>0</v>
      </c>
      <c r="DR230" s="161">
        <f t="shared" si="301"/>
        <v>0</v>
      </c>
      <c r="DS230" s="161">
        <f t="shared" si="301"/>
        <v>0</v>
      </c>
      <c r="DT230" s="161">
        <f t="shared" si="301"/>
        <v>0</v>
      </c>
      <c r="DU230" s="161">
        <f t="shared" si="301"/>
        <v>0</v>
      </c>
      <c r="DV230" s="161">
        <f t="shared" si="301"/>
        <v>0</v>
      </c>
      <c r="DW230" s="161">
        <f t="shared" si="301"/>
        <v>0</v>
      </c>
      <c r="DX230" s="161">
        <f t="shared" si="301"/>
        <v>0</v>
      </c>
      <c r="DY230" s="161">
        <f t="shared" si="301"/>
        <v>0</v>
      </c>
      <c r="DZ230" s="161">
        <f t="shared" si="301"/>
        <v>0</v>
      </c>
      <c r="EA230" s="161">
        <f t="shared" si="301"/>
        <v>0</v>
      </c>
      <c r="EB230" s="161">
        <f t="shared" si="301"/>
        <v>0</v>
      </c>
      <c r="EC230" s="161">
        <f t="shared" si="301"/>
        <v>0</v>
      </c>
      <c r="ED230" s="161">
        <f t="shared" si="301"/>
        <v>0</v>
      </c>
      <c r="EE230" s="161">
        <f t="shared" si="301"/>
        <v>0</v>
      </c>
      <c r="EF230" s="161">
        <f t="shared" si="301"/>
        <v>0</v>
      </c>
      <c r="EG230" s="161">
        <f t="shared" si="301"/>
        <v>0</v>
      </c>
      <c r="EH230" s="161">
        <f t="shared" si="301"/>
        <v>0</v>
      </c>
      <c r="EI230" s="161">
        <f t="shared" si="301"/>
        <v>0</v>
      </c>
      <c r="EJ230" s="65"/>
      <c r="EK230" s="161">
        <f t="shared" si="304"/>
        <v>0</v>
      </c>
      <c r="EL230" s="161">
        <f t="shared" si="305"/>
        <v>0</v>
      </c>
      <c r="EM230" s="161">
        <f t="shared" si="306"/>
        <v>0</v>
      </c>
    </row>
    <row r="231" spans="1:143" ht="12" hidden="1" customHeight="1" outlineLevel="2">
      <c r="A231" s="77">
        <v>19</v>
      </c>
      <c r="B231" s="137" t="str">
        <f t="shared" si="302"/>
        <v>EST_II - Equipe_01</v>
      </c>
      <c r="C231" s="65"/>
      <c r="D231" s="622"/>
      <c r="E231" s="65"/>
      <c r="F231" s="584"/>
      <c r="G231" s="77" t="str">
        <f>IF(INDEX(Tarefas!$BT$30:$FK$30,MATCH(A231,Tarefas!$BT$28:$FK$28,0))=0,"",INDEX(Tarefas!$BT$30:$FK$30,MATCH(A231,Tarefas!$BT$28:$FK$28,0)))</f>
        <v>EST_II</v>
      </c>
      <c r="H231" s="107" cm="1">
        <f t="array" ref="H231">IFERROR((SUMPRODUCT((Tarefas!$N$32:$N$54='Cronog. e Histog.'!$F$213)*(Tarefas!$BQ$30:$FK$30='Cronog. e Histog.'!$G231)*(Tarefas!$BQ$32:$FK$54)))/SUMIF(Tarefas!$N$32:$N$54,'Cronog. e Histog.'!$F$213,Tarefas!$K$32:$K$54),0)</f>
        <v>0</v>
      </c>
      <c r="I231" s="79">
        <f t="shared" si="303"/>
        <v>0</v>
      </c>
      <c r="J231" s="65"/>
      <c r="K231" s="160">
        <f t="shared" si="307"/>
        <v>0</v>
      </c>
      <c r="L231" s="160">
        <f t="shared" si="308"/>
        <v>0</v>
      </c>
      <c r="M231" s="160">
        <f t="shared" si="308"/>
        <v>0</v>
      </c>
      <c r="N231" s="160">
        <f t="shared" si="308"/>
        <v>0</v>
      </c>
      <c r="O231" s="160">
        <f t="shared" si="308"/>
        <v>0</v>
      </c>
      <c r="P231" s="160">
        <f t="shared" si="308"/>
        <v>0</v>
      </c>
      <c r="Q231" s="160">
        <f t="shared" si="308"/>
        <v>0</v>
      </c>
      <c r="R231" s="160">
        <f t="shared" si="308"/>
        <v>0</v>
      </c>
      <c r="S231" s="160">
        <f t="shared" si="308"/>
        <v>0</v>
      </c>
      <c r="T231" s="160">
        <f t="shared" si="308"/>
        <v>0</v>
      </c>
      <c r="U231" s="160">
        <f t="shared" si="308"/>
        <v>0</v>
      </c>
      <c r="V231" s="160">
        <f t="shared" si="308"/>
        <v>0</v>
      </c>
      <c r="W231" s="160">
        <f t="shared" si="308"/>
        <v>0</v>
      </c>
      <c r="X231" s="160">
        <f t="shared" si="308"/>
        <v>0</v>
      </c>
      <c r="Y231" s="160">
        <f t="shared" si="308"/>
        <v>0</v>
      </c>
      <c r="Z231" s="160">
        <f t="shared" si="308"/>
        <v>0</v>
      </c>
      <c r="AA231" s="160">
        <f t="shared" si="308"/>
        <v>0</v>
      </c>
      <c r="AB231" s="160">
        <f t="shared" si="308"/>
        <v>0</v>
      </c>
      <c r="AC231" s="160">
        <f t="shared" si="308"/>
        <v>0</v>
      </c>
      <c r="AD231" s="160">
        <f t="shared" si="308"/>
        <v>0</v>
      </c>
      <c r="AE231" s="160">
        <f t="shared" si="308"/>
        <v>0</v>
      </c>
      <c r="AF231" s="160">
        <f t="shared" si="308"/>
        <v>0</v>
      </c>
      <c r="AG231" s="160">
        <f t="shared" si="308"/>
        <v>0</v>
      </c>
      <c r="AH231" s="160">
        <f t="shared" si="308"/>
        <v>0</v>
      </c>
      <c r="AI231" s="160">
        <f t="shared" si="308"/>
        <v>0</v>
      </c>
      <c r="AJ231" s="160">
        <f t="shared" si="308"/>
        <v>0</v>
      </c>
      <c r="AK231" s="160">
        <f t="shared" si="308"/>
        <v>0</v>
      </c>
      <c r="AL231" s="160">
        <f t="shared" si="308"/>
        <v>0</v>
      </c>
      <c r="AM231" s="160">
        <f t="shared" si="308"/>
        <v>0</v>
      </c>
      <c r="AN231" s="160">
        <f t="shared" si="308"/>
        <v>0</v>
      </c>
      <c r="AO231" s="160">
        <f t="shared" si="308"/>
        <v>0</v>
      </c>
      <c r="AP231" s="160">
        <f t="shared" si="308"/>
        <v>0</v>
      </c>
      <c r="AQ231" s="160">
        <f t="shared" si="308"/>
        <v>0</v>
      </c>
      <c r="AR231" s="160">
        <f t="shared" si="308"/>
        <v>0</v>
      </c>
      <c r="AS231" s="160">
        <f t="shared" si="308"/>
        <v>0</v>
      </c>
      <c r="AT231" s="160">
        <f t="shared" si="308"/>
        <v>0</v>
      </c>
      <c r="AU231" s="160">
        <f t="shared" si="308"/>
        <v>0</v>
      </c>
      <c r="AV231" s="160">
        <f t="shared" si="308"/>
        <v>0</v>
      </c>
      <c r="AW231" s="160">
        <f t="shared" si="308"/>
        <v>0</v>
      </c>
      <c r="AX231" s="160">
        <f t="shared" si="308"/>
        <v>0</v>
      </c>
      <c r="AY231" s="160">
        <f t="shared" si="308"/>
        <v>0</v>
      </c>
      <c r="AZ231" s="160">
        <f t="shared" si="308"/>
        <v>0</v>
      </c>
      <c r="BA231" s="160">
        <f t="shared" si="308"/>
        <v>0</v>
      </c>
      <c r="BB231" s="160">
        <f t="shared" si="308"/>
        <v>0</v>
      </c>
      <c r="BC231" s="160">
        <f t="shared" si="308"/>
        <v>0</v>
      </c>
      <c r="BD231" s="160">
        <f t="shared" si="308"/>
        <v>0</v>
      </c>
      <c r="BE231" s="160">
        <f t="shared" si="308"/>
        <v>0</v>
      </c>
      <c r="BF231" s="160">
        <f t="shared" si="308"/>
        <v>0</v>
      </c>
      <c r="BG231" s="160">
        <f t="shared" si="308"/>
        <v>0</v>
      </c>
      <c r="BH231" s="160">
        <f t="shared" si="308"/>
        <v>0</v>
      </c>
      <c r="BI231" s="160">
        <f t="shared" si="308"/>
        <v>0</v>
      </c>
      <c r="BJ231" s="160">
        <f t="shared" si="308"/>
        <v>0</v>
      </c>
      <c r="BK231" s="160">
        <f t="shared" si="308"/>
        <v>0</v>
      </c>
      <c r="BL231" s="160">
        <f t="shared" si="308"/>
        <v>0</v>
      </c>
      <c r="BM231" s="160">
        <f t="shared" ref="L231:BR232" si="376">ROUND($I231*BM$183,2)</f>
        <v>0</v>
      </c>
      <c r="BN231" s="160">
        <f t="shared" si="376"/>
        <v>0</v>
      </c>
      <c r="BO231" s="160">
        <f t="shared" si="376"/>
        <v>0</v>
      </c>
      <c r="BP231" s="160">
        <f t="shared" si="376"/>
        <v>0</v>
      </c>
      <c r="BQ231" s="160">
        <f t="shared" si="376"/>
        <v>0</v>
      </c>
      <c r="BR231" s="160">
        <f t="shared" si="376"/>
        <v>0</v>
      </c>
      <c r="BS231" s="65"/>
      <c r="BT231" s="160">
        <f t="shared" si="262"/>
        <v>0</v>
      </c>
      <c r="BU231" s="160">
        <f t="shared" si="263"/>
        <v>0</v>
      </c>
      <c r="BV231" s="65"/>
      <c r="BW231" s="69"/>
      <c r="BX231" s="65"/>
      <c r="BY231" s="137">
        <f t="shared" si="264"/>
        <v>1</v>
      </c>
      <c r="BZ231" s="137">
        <f>IF(BY231&gt;0,BY231+LARGE($BZ$213:BZ230,1),0)</f>
        <v>19</v>
      </c>
      <c r="CA231" s="137" t="str">
        <f t="shared" si="265"/>
        <v>EST_II</v>
      </c>
      <c r="CB231" s="161">
        <f t="shared" si="266"/>
        <v>0</v>
      </c>
      <c r="CC231" s="161">
        <f t="shared" si="267"/>
        <v>0</v>
      </c>
      <c r="CD231" s="161">
        <f t="shared" si="268"/>
        <v>0</v>
      </c>
      <c r="CE231" s="161">
        <f t="shared" si="269"/>
        <v>0</v>
      </c>
      <c r="CF231" s="161">
        <f t="shared" si="270"/>
        <v>0</v>
      </c>
      <c r="CG231" s="161">
        <f t="shared" si="271"/>
        <v>0</v>
      </c>
      <c r="CH231" s="161">
        <f t="shared" si="272"/>
        <v>0</v>
      </c>
      <c r="CI231" s="161">
        <f t="shared" si="273"/>
        <v>0</v>
      </c>
      <c r="CJ231" s="161">
        <f t="shared" si="274"/>
        <v>0</v>
      </c>
      <c r="CK231" s="161">
        <f t="shared" si="275"/>
        <v>0</v>
      </c>
      <c r="CL231" s="161">
        <f t="shared" si="276"/>
        <v>0</v>
      </c>
      <c r="CM231" s="161">
        <f t="shared" si="277"/>
        <v>0</v>
      </c>
      <c r="CN231" s="161">
        <f t="shared" si="278"/>
        <v>0</v>
      </c>
      <c r="CO231" s="161">
        <f t="shared" si="279"/>
        <v>0</v>
      </c>
      <c r="CP231" s="161">
        <f t="shared" si="280"/>
        <v>0</v>
      </c>
      <c r="CQ231" s="161">
        <f t="shared" si="281"/>
        <v>0</v>
      </c>
      <c r="CR231" s="161">
        <f t="shared" si="282"/>
        <v>0</v>
      </c>
      <c r="CS231" s="161">
        <f t="shared" si="283"/>
        <v>0</v>
      </c>
      <c r="CT231" s="161">
        <f t="shared" si="284"/>
        <v>0</v>
      </c>
      <c r="CU231" s="161">
        <f t="shared" si="285"/>
        <v>0</v>
      </c>
      <c r="CV231" s="161">
        <f t="shared" si="286"/>
        <v>0</v>
      </c>
      <c r="CW231" s="161">
        <f t="shared" si="287"/>
        <v>0</v>
      </c>
      <c r="CX231" s="161">
        <f t="shared" si="288"/>
        <v>0</v>
      </c>
      <c r="CY231" s="161">
        <f t="shared" si="289"/>
        <v>0</v>
      </c>
      <c r="CZ231" s="161">
        <f t="shared" si="290"/>
        <v>0</v>
      </c>
      <c r="DA231" s="161">
        <f t="shared" si="291"/>
        <v>0</v>
      </c>
      <c r="DB231" s="161">
        <f t="shared" si="292"/>
        <v>0</v>
      </c>
      <c r="DC231" s="161">
        <f t="shared" si="293"/>
        <v>0</v>
      </c>
      <c r="DD231" s="161">
        <f t="shared" si="294"/>
        <v>0</v>
      </c>
      <c r="DE231" s="161">
        <f t="shared" si="295"/>
        <v>0</v>
      </c>
      <c r="DF231" s="161">
        <f t="shared" si="296"/>
        <v>0</v>
      </c>
      <c r="DG231" s="161">
        <f t="shared" si="297"/>
        <v>0</v>
      </c>
      <c r="DH231" s="161">
        <f t="shared" si="298"/>
        <v>0</v>
      </c>
      <c r="DI231" s="161">
        <f t="shared" si="299"/>
        <v>0</v>
      </c>
      <c r="DJ231" s="161">
        <f t="shared" si="300"/>
        <v>0</v>
      </c>
      <c r="DK231" s="161">
        <f t="shared" si="301"/>
        <v>0</v>
      </c>
      <c r="DL231" s="161">
        <f t="shared" si="301"/>
        <v>0</v>
      </c>
      <c r="DM231" s="161">
        <f t="shared" si="301"/>
        <v>0</v>
      </c>
      <c r="DN231" s="161">
        <f t="shared" si="301"/>
        <v>0</v>
      </c>
      <c r="DO231" s="161">
        <f t="shared" si="301"/>
        <v>0</v>
      </c>
      <c r="DP231" s="161">
        <f t="shared" si="301"/>
        <v>0</v>
      </c>
      <c r="DQ231" s="161">
        <f t="shared" si="301"/>
        <v>0</v>
      </c>
      <c r="DR231" s="161">
        <f t="shared" si="301"/>
        <v>0</v>
      </c>
      <c r="DS231" s="161">
        <f t="shared" si="301"/>
        <v>0</v>
      </c>
      <c r="DT231" s="161">
        <f t="shared" si="301"/>
        <v>0</v>
      </c>
      <c r="DU231" s="161">
        <f t="shared" si="301"/>
        <v>0</v>
      </c>
      <c r="DV231" s="161">
        <f t="shared" si="301"/>
        <v>0</v>
      </c>
      <c r="DW231" s="161">
        <f t="shared" si="301"/>
        <v>0</v>
      </c>
      <c r="DX231" s="161">
        <f t="shared" si="301"/>
        <v>0</v>
      </c>
      <c r="DY231" s="161">
        <f t="shared" si="301"/>
        <v>0</v>
      </c>
      <c r="DZ231" s="161">
        <f t="shared" si="301"/>
        <v>0</v>
      </c>
      <c r="EA231" s="161">
        <f t="shared" si="301"/>
        <v>0</v>
      </c>
      <c r="EB231" s="161">
        <f t="shared" si="301"/>
        <v>0</v>
      </c>
      <c r="EC231" s="161">
        <f t="shared" si="301"/>
        <v>0</v>
      </c>
      <c r="ED231" s="161">
        <f t="shared" si="301"/>
        <v>0</v>
      </c>
      <c r="EE231" s="161">
        <f t="shared" si="301"/>
        <v>0</v>
      </c>
      <c r="EF231" s="161">
        <f t="shared" si="301"/>
        <v>0</v>
      </c>
      <c r="EG231" s="161">
        <f t="shared" si="301"/>
        <v>0</v>
      </c>
      <c r="EH231" s="161">
        <f t="shared" si="301"/>
        <v>0</v>
      </c>
      <c r="EI231" s="161">
        <f t="shared" si="301"/>
        <v>0</v>
      </c>
      <c r="EJ231" s="65"/>
      <c r="EK231" s="161">
        <f t="shared" si="304"/>
        <v>0</v>
      </c>
      <c r="EL231" s="161">
        <f t="shared" si="305"/>
        <v>0</v>
      </c>
      <c r="EM231" s="161">
        <f t="shared" si="306"/>
        <v>0</v>
      </c>
    </row>
    <row r="232" spans="1:143" ht="12" hidden="1" customHeight="1" outlineLevel="2">
      <c r="A232" s="77">
        <v>20</v>
      </c>
      <c r="B232" s="137" t="str">
        <f t="shared" si="302"/>
        <v>EST_III - Equipe_01</v>
      </c>
      <c r="C232" s="65"/>
      <c r="D232" s="623"/>
      <c r="E232" s="65"/>
      <c r="F232" s="584"/>
      <c r="G232" s="77" t="str">
        <f>IF(INDEX(Tarefas!$BT$30:$FK$30,MATCH(A232,Tarefas!$BT$28:$FK$28,0))=0,"",INDEX(Tarefas!$BT$30:$FK$30,MATCH(A232,Tarefas!$BT$28:$FK$28,0)))</f>
        <v>EST_III</v>
      </c>
      <c r="H232" s="107" cm="1">
        <f t="array" ref="H232">IFERROR((SUMPRODUCT((Tarefas!$N$32:$N$54='Cronog. e Histog.'!$F$213)*(Tarefas!$BQ$30:$FK$30='Cronog. e Histog.'!$G232)*(Tarefas!$BQ$32:$FK$54)))/SUMIF(Tarefas!$N$32:$N$54,'Cronog. e Histog.'!$F$213,Tarefas!$K$32:$K$54),0)</f>
        <v>0</v>
      </c>
      <c r="I232" s="79">
        <f t="shared" si="303"/>
        <v>0</v>
      </c>
      <c r="J232" s="65"/>
      <c r="K232" s="160">
        <f t="shared" si="307"/>
        <v>0</v>
      </c>
      <c r="L232" s="160">
        <f t="shared" si="376"/>
        <v>0</v>
      </c>
      <c r="M232" s="160">
        <f t="shared" si="376"/>
        <v>0</v>
      </c>
      <c r="N232" s="160">
        <f t="shared" si="376"/>
        <v>0</v>
      </c>
      <c r="O232" s="160">
        <f t="shared" si="376"/>
        <v>0</v>
      </c>
      <c r="P232" s="160">
        <f t="shared" si="376"/>
        <v>0</v>
      </c>
      <c r="Q232" s="160">
        <f t="shared" si="376"/>
        <v>0</v>
      </c>
      <c r="R232" s="160">
        <f t="shared" si="376"/>
        <v>0</v>
      </c>
      <c r="S232" s="160">
        <f t="shared" si="376"/>
        <v>0</v>
      </c>
      <c r="T232" s="160">
        <f t="shared" si="376"/>
        <v>0</v>
      </c>
      <c r="U232" s="160">
        <f t="shared" si="376"/>
        <v>0</v>
      </c>
      <c r="V232" s="160">
        <f t="shared" si="376"/>
        <v>0</v>
      </c>
      <c r="W232" s="160">
        <f t="shared" si="376"/>
        <v>0</v>
      </c>
      <c r="X232" s="160">
        <f t="shared" si="376"/>
        <v>0</v>
      </c>
      <c r="Y232" s="160">
        <f t="shared" si="376"/>
        <v>0</v>
      </c>
      <c r="Z232" s="160">
        <f t="shared" si="376"/>
        <v>0</v>
      </c>
      <c r="AA232" s="160">
        <f t="shared" si="376"/>
        <v>0</v>
      </c>
      <c r="AB232" s="160">
        <f t="shared" si="376"/>
        <v>0</v>
      </c>
      <c r="AC232" s="160">
        <f t="shared" si="376"/>
        <v>0</v>
      </c>
      <c r="AD232" s="160">
        <f t="shared" si="376"/>
        <v>0</v>
      </c>
      <c r="AE232" s="160">
        <f t="shared" si="376"/>
        <v>0</v>
      </c>
      <c r="AF232" s="160">
        <f t="shared" si="376"/>
        <v>0</v>
      </c>
      <c r="AG232" s="160">
        <f t="shared" si="376"/>
        <v>0</v>
      </c>
      <c r="AH232" s="160">
        <f t="shared" si="376"/>
        <v>0</v>
      </c>
      <c r="AI232" s="160">
        <f t="shared" si="376"/>
        <v>0</v>
      </c>
      <c r="AJ232" s="160">
        <f t="shared" si="376"/>
        <v>0</v>
      </c>
      <c r="AK232" s="160">
        <f t="shared" si="376"/>
        <v>0</v>
      </c>
      <c r="AL232" s="160">
        <f t="shared" si="376"/>
        <v>0</v>
      </c>
      <c r="AM232" s="160">
        <f t="shared" si="376"/>
        <v>0</v>
      </c>
      <c r="AN232" s="160">
        <f t="shared" si="376"/>
        <v>0</v>
      </c>
      <c r="AO232" s="160">
        <f t="shared" si="376"/>
        <v>0</v>
      </c>
      <c r="AP232" s="160">
        <f t="shared" si="376"/>
        <v>0</v>
      </c>
      <c r="AQ232" s="160">
        <f t="shared" si="376"/>
        <v>0</v>
      </c>
      <c r="AR232" s="160">
        <f t="shared" si="376"/>
        <v>0</v>
      </c>
      <c r="AS232" s="160">
        <f t="shared" si="376"/>
        <v>0</v>
      </c>
      <c r="AT232" s="160">
        <f t="shared" si="376"/>
        <v>0</v>
      </c>
      <c r="AU232" s="160">
        <f t="shared" si="376"/>
        <v>0</v>
      </c>
      <c r="AV232" s="160">
        <f t="shared" si="376"/>
        <v>0</v>
      </c>
      <c r="AW232" s="160">
        <f t="shared" si="376"/>
        <v>0</v>
      </c>
      <c r="AX232" s="160">
        <f t="shared" si="376"/>
        <v>0</v>
      </c>
      <c r="AY232" s="160">
        <f t="shared" si="376"/>
        <v>0</v>
      </c>
      <c r="AZ232" s="160">
        <f t="shared" si="376"/>
        <v>0</v>
      </c>
      <c r="BA232" s="160">
        <f t="shared" si="376"/>
        <v>0</v>
      </c>
      <c r="BB232" s="160">
        <f t="shared" si="376"/>
        <v>0</v>
      </c>
      <c r="BC232" s="160">
        <f t="shared" si="376"/>
        <v>0</v>
      </c>
      <c r="BD232" s="160">
        <f t="shared" si="376"/>
        <v>0</v>
      </c>
      <c r="BE232" s="160">
        <f t="shared" si="376"/>
        <v>0</v>
      </c>
      <c r="BF232" s="160">
        <f t="shared" si="376"/>
        <v>0</v>
      </c>
      <c r="BG232" s="160">
        <f t="shared" si="376"/>
        <v>0</v>
      </c>
      <c r="BH232" s="160">
        <f t="shared" si="376"/>
        <v>0</v>
      </c>
      <c r="BI232" s="160">
        <f t="shared" si="376"/>
        <v>0</v>
      </c>
      <c r="BJ232" s="160">
        <f t="shared" si="376"/>
        <v>0</v>
      </c>
      <c r="BK232" s="160">
        <f t="shared" si="376"/>
        <v>0</v>
      </c>
      <c r="BL232" s="160">
        <f t="shared" si="376"/>
        <v>0</v>
      </c>
      <c r="BM232" s="160">
        <f t="shared" si="376"/>
        <v>0</v>
      </c>
      <c r="BN232" s="160">
        <f t="shared" si="376"/>
        <v>0</v>
      </c>
      <c r="BO232" s="160">
        <f t="shared" si="376"/>
        <v>0</v>
      </c>
      <c r="BP232" s="160">
        <f t="shared" si="376"/>
        <v>0</v>
      </c>
      <c r="BQ232" s="160">
        <f t="shared" si="376"/>
        <v>0</v>
      </c>
      <c r="BR232" s="160">
        <f t="shared" si="376"/>
        <v>0</v>
      </c>
      <c r="BS232" s="65"/>
      <c r="BT232" s="160">
        <f t="shared" si="262"/>
        <v>0</v>
      </c>
      <c r="BU232" s="160">
        <f t="shared" si="263"/>
        <v>0</v>
      </c>
      <c r="BV232" s="65"/>
      <c r="BW232" s="69"/>
      <c r="BX232" s="65"/>
      <c r="BY232" s="137">
        <f t="shared" si="264"/>
        <v>1</v>
      </c>
      <c r="BZ232" s="137">
        <f>IF(BY232&gt;0,BY232+LARGE($BZ$213:BZ231,1),0)</f>
        <v>20</v>
      </c>
      <c r="CA232" s="137" t="str">
        <f t="shared" si="265"/>
        <v>EST_III</v>
      </c>
      <c r="CB232" s="161">
        <f t="shared" si="266"/>
        <v>0</v>
      </c>
      <c r="CC232" s="161">
        <f t="shared" si="267"/>
        <v>0</v>
      </c>
      <c r="CD232" s="161">
        <f t="shared" si="268"/>
        <v>0</v>
      </c>
      <c r="CE232" s="161">
        <f t="shared" si="269"/>
        <v>0</v>
      </c>
      <c r="CF232" s="161">
        <f t="shared" si="270"/>
        <v>0</v>
      </c>
      <c r="CG232" s="161">
        <f t="shared" si="271"/>
        <v>0</v>
      </c>
      <c r="CH232" s="161">
        <f t="shared" si="272"/>
        <v>0</v>
      </c>
      <c r="CI232" s="161">
        <f t="shared" si="273"/>
        <v>0</v>
      </c>
      <c r="CJ232" s="161">
        <f t="shared" si="274"/>
        <v>0</v>
      </c>
      <c r="CK232" s="161">
        <f t="shared" si="275"/>
        <v>0</v>
      </c>
      <c r="CL232" s="161">
        <f t="shared" si="276"/>
        <v>0</v>
      </c>
      <c r="CM232" s="161">
        <f t="shared" si="277"/>
        <v>0</v>
      </c>
      <c r="CN232" s="161">
        <f t="shared" si="278"/>
        <v>0</v>
      </c>
      <c r="CO232" s="161">
        <f t="shared" si="279"/>
        <v>0</v>
      </c>
      <c r="CP232" s="161">
        <f t="shared" si="280"/>
        <v>0</v>
      </c>
      <c r="CQ232" s="161">
        <f t="shared" si="281"/>
        <v>0</v>
      </c>
      <c r="CR232" s="161">
        <f t="shared" si="282"/>
        <v>0</v>
      </c>
      <c r="CS232" s="161">
        <f t="shared" si="283"/>
        <v>0</v>
      </c>
      <c r="CT232" s="161">
        <f t="shared" si="284"/>
        <v>0</v>
      </c>
      <c r="CU232" s="161">
        <f t="shared" si="285"/>
        <v>0</v>
      </c>
      <c r="CV232" s="161">
        <f t="shared" si="286"/>
        <v>0</v>
      </c>
      <c r="CW232" s="161">
        <f t="shared" si="287"/>
        <v>0</v>
      </c>
      <c r="CX232" s="161">
        <f t="shared" si="288"/>
        <v>0</v>
      </c>
      <c r="CY232" s="161">
        <f t="shared" si="289"/>
        <v>0</v>
      </c>
      <c r="CZ232" s="161">
        <f t="shared" si="290"/>
        <v>0</v>
      </c>
      <c r="DA232" s="161">
        <f t="shared" si="291"/>
        <v>0</v>
      </c>
      <c r="DB232" s="161">
        <f t="shared" si="292"/>
        <v>0</v>
      </c>
      <c r="DC232" s="161">
        <f t="shared" si="293"/>
        <v>0</v>
      </c>
      <c r="DD232" s="161">
        <f t="shared" si="294"/>
        <v>0</v>
      </c>
      <c r="DE232" s="161">
        <f t="shared" si="295"/>
        <v>0</v>
      </c>
      <c r="DF232" s="161">
        <f t="shared" si="296"/>
        <v>0</v>
      </c>
      <c r="DG232" s="161">
        <f t="shared" si="297"/>
        <v>0</v>
      </c>
      <c r="DH232" s="161">
        <f t="shared" si="298"/>
        <v>0</v>
      </c>
      <c r="DI232" s="161">
        <f t="shared" si="299"/>
        <v>0</v>
      </c>
      <c r="DJ232" s="161">
        <f t="shared" si="300"/>
        <v>0</v>
      </c>
      <c r="DK232" s="161">
        <f t="shared" si="301"/>
        <v>0</v>
      </c>
      <c r="DL232" s="161">
        <f t="shared" si="301"/>
        <v>0</v>
      </c>
      <c r="DM232" s="161">
        <f t="shared" si="301"/>
        <v>0</v>
      </c>
      <c r="DN232" s="161">
        <f t="shared" si="301"/>
        <v>0</v>
      </c>
      <c r="DO232" s="161">
        <f t="shared" si="301"/>
        <v>0</v>
      </c>
      <c r="DP232" s="161">
        <f t="shared" si="301"/>
        <v>0</v>
      </c>
      <c r="DQ232" s="161">
        <f t="shared" si="301"/>
        <v>0</v>
      </c>
      <c r="DR232" s="161">
        <f t="shared" si="301"/>
        <v>0</v>
      </c>
      <c r="DS232" s="161">
        <f t="shared" si="301"/>
        <v>0</v>
      </c>
      <c r="DT232" s="161">
        <f t="shared" si="301"/>
        <v>0</v>
      </c>
      <c r="DU232" s="161">
        <f t="shared" si="301"/>
        <v>0</v>
      </c>
      <c r="DV232" s="161">
        <f t="shared" si="301"/>
        <v>0</v>
      </c>
      <c r="DW232" s="161">
        <f t="shared" si="301"/>
        <v>0</v>
      </c>
      <c r="DX232" s="161">
        <f t="shared" si="301"/>
        <v>0</v>
      </c>
      <c r="DY232" s="161">
        <f t="shared" si="301"/>
        <v>0</v>
      </c>
      <c r="DZ232" s="161">
        <f t="shared" si="301"/>
        <v>0</v>
      </c>
      <c r="EA232" s="161">
        <f t="shared" si="301"/>
        <v>0</v>
      </c>
      <c r="EB232" s="161">
        <f t="shared" si="301"/>
        <v>0</v>
      </c>
      <c r="EC232" s="161">
        <f t="shared" si="301"/>
        <v>0</v>
      </c>
      <c r="ED232" s="161">
        <f t="shared" si="301"/>
        <v>0</v>
      </c>
      <c r="EE232" s="161">
        <f t="shared" si="301"/>
        <v>0</v>
      </c>
      <c r="EF232" s="161">
        <f t="shared" si="301"/>
        <v>0</v>
      </c>
      <c r="EG232" s="161">
        <f t="shared" si="301"/>
        <v>0</v>
      </c>
      <c r="EH232" s="161">
        <f t="shared" si="301"/>
        <v>0</v>
      </c>
      <c r="EI232" s="161">
        <f t="shared" si="301"/>
        <v>0</v>
      </c>
      <c r="EJ232" s="65"/>
      <c r="EK232" s="161">
        <f t="shared" si="304"/>
        <v>0</v>
      </c>
      <c r="EL232" s="161">
        <f t="shared" si="305"/>
        <v>0</v>
      </c>
      <c r="EM232" s="161">
        <f t="shared" si="306"/>
        <v>0</v>
      </c>
    </row>
    <row r="233" spans="1:143" ht="12" hidden="1" customHeight="1" outlineLevel="1">
      <c r="A233" s="65"/>
      <c r="B233" s="65"/>
      <c r="C233" s="65"/>
      <c r="D233" s="65"/>
      <c r="E233" s="65"/>
      <c r="F233" s="73" t="s">
        <v>380</v>
      </c>
      <c r="G233" s="162" t="str">
        <f>"Pico = "&amp;MAX(K233:BR233)</f>
        <v>Pico = 1,03</v>
      </c>
      <c r="H233" s="163">
        <f>SUM(H213:H232)</f>
        <v>1</v>
      </c>
      <c r="I233" s="148">
        <f>SUM(I213:I232)</f>
        <v>1</v>
      </c>
      <c r="J233" s="65"/>
      <c r="K233" s="146">
        <f>SUM(K213:K232)</f>
        <v>1.03</v>
      </c>
      <c r="L233" s="146">
        <f t="shared" ref="L233:BR233" si="377">SUM(L213:L232)</f>
        <v>1.03</v>
      </c>
      <c r="M233" s="146">
        <f t="shared" si="377"/>
        <v>1.03</v>
      </c>
      <c r="N233" s="146">
        <f t="shared" si="377"/>
        <v>1.03</v>
      </c>
      <c r="O233" s="146">
        <f t="shared" si="377"/>
        <v>1.03</v>
      </c>
      <c r="P233" s="146">
        <f t="shared" si="377"/>
        <v>1.03</v>
      </c>
      <c r="Q233" s="146">
        <f t="shared" si="377"/>
        <v>1.03</v>
      </c>
      <c r="R233" s="146">
        <f t="shared" si="377"/>
        <v>1.03</v>
      </c>
      <c r="S233" s="146">
        <f t="shared" si="377"/>
        <v>1.03</v>
      </c>
      <c r="T233" s="146">
        <f t="shared" si="377"/>
        <v>1.03</v>
      </c>
      <c r="U233" s="146">
        <f t="shared" si="377"/>
        <v>0</v>
      </c>
      <c r="V233" s="146">
        <f t="shared" si="377"/>
        <v>0</v>
      </c>
      <c r="W233" s="146">
        <f t="shared" si="377"/>
        <v>0</v>
      </c>
      <c r="X233" s="146">
        <f t="shared" si="377"/>
        <v>0</v>
      </c>
      <c r="Y233" s="146">
        <f t="shared" si="377"/>
        <v>0</v>
      </c>
      <c r="Z233" s="146">
        <f t="shared" si="377"/>
        <v>0</v>
      </c>
      <c r="AA233" s="146">
        <f t="shared" si="377"/>
        <v>0</v>
      </c>
      <c r="AB233" s="146">
        <f t="shared" si="377"/>
        <v>0</v>
      </c>
      <c r="AC233" s="146">
        <f t="shared" si="377"/>
        <v>0</v>
      </c>
      <c r="AD233" s="146">
        <f t="shared" si="377"/>
        <v>0</v>
      </c>
      <c r="AE233" s="146">
        <f t="shared" si="377"/>
        <v>0</v>
      </c>
      <c r="AF233" s="146">
        <f t="shared" si="377"/>
        <v>0</v>
      </c>
      <c r="AG233" s="146">
        <f t="shared" si="377"/>
        <v>0</v>
      </c>
      <c r="AH233" s="146">
        <f t="shared" si="377"/>
        <v>0</v>
      </c>
      <c r="AI233" s="146">
        <f t="shared" si="377"/>
        <v>0</v>
      </c>
      <c r="AJ233" s="146">
        <f t="shared" si="377"/>
        <v>0</v>
      </c>
      <c r="AK233" s="146">
        <f t="shared" si="377"/>
        <v>0</v>
      </c>
      <c r="AL233" s="146">
        <f t="shared" si="377"/>
        <v>0</v>
      </c>
      <c r="AM233" s="146">
        <f t="shared" si="377"/>
        <v>0</v>
      </c>
      <c r="AN233" s="146">
        <f t="shared" si="377"/>
        <v>0</v>
      </c>
      <c r="AO233" s="146">
        <f t="shared" si="377"/>
        <v>0</v>
      </c>
      <c r="AP233" s="146">
        <f t="shared" si="377"/>
        <v>0</v>
      </c>
      <c r="AQ233" s="146">
        <f t="shared" si="377"/>
        <v>0</v>
      </c>
      <c r="AR233" s="146">
        <f t="shared" si="377"/>
        <v>0</v>
      </c>
      <c r="AS233" s="146">
        <f t="shared" si="377"/>
        <v>0</v>
      </c>
      <c r="AT233" s="146">
        <f t="shared" si="377"/>
        <v>0</v>
      </c>
      <c r="AU233" s="146">
        <f t="shared" si="377"/>
        <v>0</v>
      </c>
      <c r="AV233" s="146">
        <f t="shared" si="377"/>
        <v>0</v>
      </c>
      <c r="AW233" s="146">
        <f t="shared" si="377"/>
        <v>0</v>
      </c>
      <c r="AX233" s="146">
        <f t="shared" si="377"/>
        <v>0</v>
      </c>
      <c r="AY233" s="146">
        <f t="shared" si="377"/>
        <v>0</v>
      </c>
      <c r="AZ233" s="146">
        <f t="shared" si="377"/>
        <v>0</v>
      </c>
      <c r="BA233" s="146">
        <f t="shared" si="377"/>
        <v>0</v>
      </c>
      <c r="BB233" s="146">
        <f t="shared" si="377"/>
        <v>0</v>
      </c>
      <c r="BC233" s="146">
        <f t="shared" si="377"/>
        <v>0</v>
      </c>
      <c r="BD233" s="146">
        <f t="shared" si="377"/>
        <v>0</v>
      </c>
      <c r="BE233" s="146">
        <f t="shared" si="377"/>
        <v>0</v>
      </c>
      <c r="BF233" s="146">
        <f t="shared" si="377"/>
        <v>0</v>
      </c>
      <c r="BG233" s="146">
        <f t="shared" si="377"/>
        <v>0</v>
      </c>
      <c r="BH233" s="146">
        <f t="shared" si="377"/>
        <v>0</v>
      </c>
      <c r="BI233" s="146">
        <f t="shared" si="377"/>
        <v>0</v>
      </c>
      <c r="BJ233" s="146">
        <f t="shared" si="377"/>
        <v>0</v>
      </c>
      <c r="BK233" s="146">
        <f t="shared" si="377"/>
        <v>0</v>
      </c>
      <c r="BL233" s="146">
        <f t="shared" si="377"/>
        <v>0</v>
      </c>
      <c r="BM233" s="146">
        <f t="shared" si="377"/>
        <v>0</v>
      </c>
      <c r="BN233" s="146">
        <f t="shared" si="377"/>
        <v>0</v>
      </c>
      <c r="BO233" s="146">
        <f t="shared" si="377"/>
        <v>0</v>
      </c>
      <c r="BP233" s="146">
        <f t="shared" si="377"/>
        <v>0</v>
      </c>
      <c r="BQ233" s="146">
        <f t="shared" si="377"/>
        <v>0</v>
      </c>
      <c r="BR233" s="146">
        <f t="shared" si="377"/>
        <v>0</v>
      </c>
      <c r="BS233" s="65"/>
      <c r="BT233" s="146">
        <f t="shared" ref="BT233" si="378">SUM(BT213:BT232)</f>
        <v>1.03</v>
      </c>
      <c r="BU233" s="65"/>
      <c r="BV233" s="65"/>
      <c r="BW233" s="69"/>
      <c r="BX233" s="65"/>
      <c r="BY233" s="65"/>
      <c r="BZ233" s="65"/>
      <c r="CA233" s="65"/>
      <c r="CB233" s="65"/>
      <c r="CC233" s="65"/>
      <c r="CD233" s="65"/>
      <c r="CE233" s="65"/>
      <c r="CF233" s="65"/>
      <c r="CG233" s="65"/>
      <c r="CH233" s="65"/>
      <c r="CI233" s="65"/>
      <c r="CJ233" s="65"/>
      <c r="CK233" s="65"/>
      <c r="CL233" s="65"/>
      <c r="CM233" s="65"/>
      <c r="CN233" s="65"/>
      <c r="CO233" s="65"/>
      <c r="CP233" s="65"/>
      <c r="CQ233" s="65"/>
      <c r="CR233" s="65"/>
      <c r="CS233" s="65"/>
      <c r="CT233" s="65"/>
      <c r="CU233" s="65"/>
      <c r="CV233" s="65"/>
      <c r="CW233" s="65"/>
      <c r="CX233" s="65"/>
      <c r="CY233" s="65"/>
      <c r="CZ233" s="65"/>
      <c r="DA233" s="65"/>
      <c r="DB233" s="65"/>
      <c r="DC233" s="65"/>
      <c r="DD233" s="65"/>
      <c r="DE233" s="65"/>
      <c r="DF233" s="65"/>
      <c r="DG233" s="65"/>
      <c r="DH233" s="65"/>
      <c r="DI233" s="65"/>
      <c r="DJ233" s="65"/>
      <c r="DK233" s="65"/>
      <c r="DL233" s="65"/>
      <c r="DM233" s="65"/>
      <c r="DN233" s="65"/>
      <c r="DO233" s="65"/>
      <c r="DP233" s="65"/>
      <c r="DQ233" s="65"/>
      <c r="DR233" s="65"/>
      <c r="DS233" s="65"/>
      <c r="DT233" s="65"/>
      <c r="DU233" s="65"/>
      <c r="DV233" s="65"/>
      <c r="DW233" s="65"/>
      <c r="DX233" s="65"/>
      <c r="DY233" s="65"/>
      <c r="DZ233" s="65"/>
      <c r="EA233" s="65"/>
      <c r="EB233" s="65"/>
      <c r="EC233" s="65"/>
      <c r="ED233" s="65"/>
      <c r="EE233" s="65"/>
      <c r="EF233" s="65"/>
      <c r="EG233" s="65"/>
      <c r="EH233" s="65"/>
      <c r="EI233" s="65"/>
      <c r="EJ233" s="65"/>
      <c r="EK233" s="65"/>
      <c r="EL233" s="65"/>
      <c r="EM233" s="65"/>
    </row>
    <row r="234" spans="1:143" ht="12" hidden="1" customHeight="1" outlineLevel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  <c r="BM234" s="65"/>
      <c r="BN234" s="65"/>
      <c r="BO234" s="65"/>
      <c r="BP234" s="65"/>
      <c r="BQ234" s="65"/>
      <c r="BR234" s="65"/>
      <c r="BS234" s="65"/>
      <c r="BT234" s="65"/>
      <c r="BU234" s="65"/>
      <c r="BV234" s="65"/>
      <c r="BW234" s="69"/>
      <c r="BX234" s="65"/>
      <c r="BY234" s="65"/>
      <c r="BZ234" s="65"/>
      <c r="CA234" s="65"/>
      <c r="CB234" s="65"/>
      <c r="CC234" s="65"/>
      <c r="CD234" s="65"/>
      <c r="CE234" s="65"/>
      <c r="CF234" s="65"/>
      <c r="CG234" s="65"/>
      <c r="CH234" s="65"/>
      <c r="CI234" s="65"/>
      <c r="CJ234" s="65"/>
      <c r="CK234" s="65"/>
      <c r="CL234" s="65"/>
      <c r="CM234" s="65"/>
      <c r="CN234" s="65"/>
      <c r="CO234" s="65"/>
      <c r="CP234" s="65"/>
      <c r="CQ234" s="65"/>
      <c r="CR234" s="65"/>
      <c r="CS234" s="65"/>
      <c r="CT234" s="65"/>
      <c r="CU234" s="65"/>
      <c r="CV234" s="65"/>
      <c r="CW234" s="65"/>
      <c r="CX234" s="65"/>
      <c r="CY234" s="65"/>
      <c r="CZ234" s="65"/>
      <c r="DA234" s="65"/>
      <c r="DB234" s="65"/>
      <c r="DC234" s="65"/>
      <c r="DD234" s="65"/>
      <c r="DE234" s="65"/>
      <c r="DF234" s="65"/>
      <c r="DG234" s="65"/>
      <c r="DH234" s="65"/>
      <c r="DI234" s="65"/>
      <c r="DJ234" s="65"/>
      <c r="DK234" s="65"/>
      <c r="DL234" s="65"/>
      <c r="DM234" s="65"/>
      <c r="DN234" s="65"/>
      <c r="DO234" s="65"/>
      <c r="DP234" s="65"/>
      <c r="DQ234" s="65"/>
      <c r="DR234" s="65"/>
      <c r="DS234" s="65"/>
      <c r="DT234" s="65"/>
      <c r="DU234" s="65"/>
      <c r="DV234" s="65"/>
      <c r="DW234" s="65"/>
      <c r="DX234" s="65"/>
      <c r="DY234" s="65"/>
      <c r="DZ234" s="65"/>
      <c r="EA234" s="65"/>
      <c r="EB234" s="65"/>
      <c r="EC234" s="65"/>
      <c r="ED234" s="65"/>
      <c r="EE234" s="65"/>
      <c r="EF234" s="65"/>
      <c r="EG234" s="65"/>
      <c r="EH234" s="65"/>
      <c r="EI234" s="65"/>
      <c r="EJ234" s="65"/>
      <c r="EK234" s="65"/>
      <c r="EL234" s="65"/>
      <c r="EM234" s="65"/>
    </row>
    <row r="235" spans="1:143" ht="24" hidden="1" customHeight="1" outlineLevel="1">
      <c r="A235" s="65"/>
      <c r="B235" s="593" t="s">
        <v>395</v>
      </c>
      <c r="C235" s="65"/>
      <c r="D235" s="65"/>
      <c r="E235" s="65"/>
      <c r="F235" s="149" t="str">
        <f>IF($G$52&gt;0,$G$52,"")</f>
        <v>Equipe02</v>
      </c>
      <c r="G235" s="149"/>
      <c r="H235" s="149"/>
      <c r="I235" s="149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  <c r="BM235" s="65"/>
      <c r="BN235" s="65"/>
      <c r="BO235" s="65"/>
      <c r="BP235" s="65"/>
      <c r="BQ235" s="65"/>
      <c r="BR235" s="65"/>
      <c r="BS235" s="65"/>
      <c r="BT235" s="601" t="s">
        <v>396</v>
      </c>
      <c r="BU235" s="601" t="s">
        <v>397</v>
      </c>
      <c r="BV235" s="65"/>
      <c r="BW235" s="69"/>
      <c r="BX235" s="65"/>
      <c r="BY235" s="593" t="s">
        <v>398</v>
      </c>
      <c r="BZ235" s="593" t="s">
        <v>399</v>
      </c>
      <c r="CA235" s="593" t="s">
        <v>400</v>
      </c>
      <c r="CB235" s="592" t="s">
        <v>401</v>
      </c>
      <c r="CC235" s="592" t="s">
        <v>402</v>
      </c>
      <c r="CD235" s="592" t="s">
        <v>403</v>
      </c>
      <c r="CE235" s="592" t="s">
        <v>404</v>
      </c>
      <c r="CF235" s="592" t="s">
        <v>405</v>
      </c>
      <c r="CG235" s="592" t="s">
        <v>406</v>
      </c>
      <c r="CH235" s="592" t="s">
        <v>407</v>
      </c>
      <c r="CI235" s="592" t="s">
        <v>408</v>
      </c>
      <c r="CJ235" s="592" t="s">
        <v>409</v>
      </c>
      <c r="CK235" s="592" t="s">
        <v>410</v>
      </c>
      <c r="CL235" s="592" t="s">
        <v>411</v>
      </c>
      <c r="CM235" s="592" t="s">
        <v>412</v>
      </c>
      <c r="CN235" s="592" t="s">
        <v>413</v>
      </c>
      <c r="CO235" s="592" t="s">
        <v>414</v>
      </c>
      <c r="CP235" s="592" t="s">
        <v>415</v>
      </c>
      <c r="CQ235" s="592" t="s">
        <v>416</v>
      </c>
      <c r="CR235" s="592" t="s">
        <v>417</v>
      </c>
      <c r="CS235" s="592" t="s">
        <v>418</v>
      </c>
      <c r="CT235" s="592" t="s">
        <v>419</v>
      </c>
      <c r="CU235" s="592" t="s">
        <v>420</v>
      </c>
      <c r="CV235" s="592" t="s">
        <v>421</v>
      </c>
      <c r="CW235" s="592" t="s">
        <v>422</v>
      </c>
      <c r="CX235" s="592" t="s">
        <v>423</v>
      </c>
      <c r="CY235" s="592" t="s">
        <v>424</v>
      </c>
      <c r="CZ235" s="592" t="s">
        <v>425</v>
      </c>
      <c r="DA235" s="592" t="s">
        <v>426</v>
      </c>
      <c r="DB235" s="592" t="s">
        <v>427</v>
      </c>
      <c r="DC235" s="592" t="s">
        <v>428</v>
      </c>
      <c r="DD235" s="592" t="s">
        <v>429</v>
      </c>
      <c r="DE235" s="592" t="s">
        <v>430</v>
      </c>
      <c r="DF235" s="592" t="s">
        <v>431</v>
      </c>
      <c r="DG235" s="592" t="s">
        <v>432</v>
      </c>
      <c r="DH235" s="592" t="s">
        <v>433</v>
      </c>
      <c r="DI235" s="592" t="s">
        <v>434</v>
      </c>
      <c r="DJ235" s="592" t="s">
        <v>435</v>
      </c>
      <c r="DK235" s="592" t="s">
        <v>436</v>
      </c>
      <c r="DL235" s="592" t="s">
        <v>437</v>
      </c>
      <c r="DM235" s="592" t="s">
        <v>438</v>
      </c>
      <c r="DN235" s="592" t="s">
        <v>439</v>
      </c>
      <c r="DO235" s="592" t="s">
        <v>440</v>
      </c>
      <c r="DP235" s="592" t="s">
        <v>441</v>
      </c>
      <c r="DQ235" s="592" t="s">
        <v>442</v>
      </c>
      <c r="DR235" s="592" t="s">
        <v>443</v>
      </c>
      <c r="DS235" s="592" t="s">
        <v>444</v>
      </c>
      <c r="DT235" s="592" t="s">
        <v>445</v>
      </c>
      <c r="DU235" s="592" t="s">
        <v>446</v>
      </c>
      <c r="DV235" s="592" t="s">
        <v>447</v>
      </c>
      <c r="DW235" s="592" t="s">
        <v>448</v>
      </c>
      <c r="DX235" s="592" t="s">
        <v>449</v>
      </c>
      <c r="DY235" s="592" t="s">
        <v>450</v>
      </c>
      <c r="DZ235" s="592" t="s">
        <v>451</v>
      </c>
      <c r="EA235" s="592" t="s">
        <v>452</v>
      </c>
      <c r="EB235" s="592" t="s">
        <v>453</v>
      </c>
      <c r="EC235" s="592" t="s">
        <v>454</v>
      </c>
      <c r="ED235" s="592" t="s">
        <v>455</v>
      </c>
      <c r="EE235" s="592" t="s">
        <v>456</v>
      </c>
      <c r="EF235" s="592" t="s">
        <v>457</v>
      </c>
      <c r="EG235" s="592" t="s">
        <v>458</v>
      </c>
      <c r="EH235" s="592" t="s">
        <v>459</v>
      </c>
      <c r="EI235" s="592" t="s">
        <v>460</v>
      </c>
      <c r="EJ235" s="65"/>
      <c r="EK235" s="157" t="s">
        <v>376</v>
      </c>
      <c r="EL235" s="157" t="s">
        <v>461</v>
      </c>
      <c r="EM235" s="157" t="s">
        <v>383</v>
      </c>
    </row>
    <row r="236" spans="1:143" ht="12" hidden="1" customHeight="1" outlineLevel="1" collapsed="1">
      <c r="A236" s="65"/>
      <c r="B236" s="593"/>
      <c r="C236" s="65"/>
      <c r="D236" s="65"/>
      <c r="E236" s="65"/>
      <c r="F236" s="158" t="s">
        <v>198</v>
      </c>
      <c r="G236" s="158" t="s">
        <v>462</v>
      </c>
      <c r="H236" s="158" t="s">
        <v>255</v>
      </c>
      <c r="I236" s="158" t="s">
        <v>68</v>
      </c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  <c r="BM236" s="65"/>
      <c r="BN236" s="65"/>
      <c r="BO236" s="65"/>
      <c r="BP236" s="65"/>
      <c r="BQ236" s="65"/>
      <c r="BR236" s="65"/>
      <c r="BS236" s="65"/>
      <c r="BT236" s="602"/>
      <c r="BU236" s="602"/>
      <c r="BV236" s="65"/>
      <c r="BW236" s="69"/>
      <c r="BX236" s="65"/>
      <c r="BY236" s="593"/>
      <c r="BZ236" s="593"/>
      <c r="CA236" s="593"/>
      <c r="CB236" s="592"/>
      <c r="CC236" s="592"/>
      <c r="CD236" s="592"/>
      <c r="CE236" s="592"/>
      <c r="CF236" s="592"/>
      <c r="CG236" s="592"/>
      <c r="CH236" s="592"/>
      <c r="CI236" s="592"/>
      <c r="CJ236" s="592"/>
      <c r="CK236" s="592"/>
      <c r="CL236" s="592"/>
      <c r="CM236" s="592"/>
      <c r="CN236" s="592"/>
      <c r="CO236" s="592"/>
      <c r="CP236" s="592"/>
      <c r="CQ236" s="592"/>
      <c r="CR236" s="592"/>
      <c r="CS236" s="592"/>
      <c r="CT236" s="592"/>
      <c r="CU236" s="592"/>
      <c r="CV236" s="592"/>
      <c r="CW236" s="592"/>
      <c r="CX236" s="592"/>
      <c r="CY236" s="592"/>
      <c r="CZ236" s="592"/>
      <c r="DA236" s="592"/>
      <c r="DB236" s="592"/>
      <c r="DC236" s="592"/>
      <c r="DD236" s="592"/>
      <c r="DE236" s="592"/>
      <c r="DF236" s="592"/>
      <c r="DG236" s="592"/>
      <c r="DH236" s="592"/>
      <c r="DI236" s="592"/>
      <c r="DJ236" s="592"/>
      <c r="DK236" s="592"/>
      <c r="DL236" s="592"/>
      <c r="DM236" s="592"/>
      <c r="DN236" s="592"/>
      <c r="DO236" s="592"/>
      <c r="DP236" s="592"/>
      <c r="DQ236" s="592"/>
      <c r="DR236" s="592"/>
      <c r="DS236" s="592"/>
      <c r="DT236" s="592"/>
      <c r="DU236" s="592"/>
      <c r="DV236" s="592"/>
      <c r="DW236" s="592"/>
      <c r="DX236" s="592"/>
      <c r="DY236" s="592"/>
      <c r="DZ236" s="592"/>
      <c r="EA236" s="592"/>
      <c r="EB236" s="592"/>
      <c r="EC236" s="592"/>
      <c r="ED236" s="592"/>
      <c r="EE236" s="592"/>
      <c r="EF236" s="592"/>
      <c r="EG236" s="592"/>
      <c r="EH236" s="592"/>
      <c r="EI236" s="592"/>
      <c r="EJ236" s="65"/>
      <c r="EK236" s="159">
        <f>IFERROR(ROUNDUP(SUMPRODUCT($K257:$BR257,$K$107:$BR$107)/SUM($K257:$BR257),2),0)</f>
        <v>0</v>
      </c>
      <c r="EL236" s="159">
        <f>IFERROR(ROUNDUP(SUMPRODUCT($K257:$BR257,$K$131:$BR$131)/SUM($K257:$BR257),2),0)</f>
        <v>0</v>
      </c>
      <c r="EM236" s="159">
        <f>IFERROR(ROUNDUP(SUMPRODUCT($K257:$BR257,$K$155:$BR$155)/SUM($K257:$BR257),2),0)</f>
        <v>0</v>
      </c>
    </row>
    <row r="237" spans="1:143" ht="12" hidden="1" customHeight="1" outlineLevel="2">
      <c r="A237" s="77">
        <v>1</v>
      </c>
      <c r="B237" s="137" t="str">
        <f>IF(G237&gt;0,G237&amp;" - "&amp;$F$213,"")</f>
        <v>GER. (OBRA/PROJ) - Equipe_01</v>
      </c>
      <c r="C237" s="65"/>
      <c r="D237" s="620" t="s">
        <v>463</v>
      </c>
      <c r="E237" s="65"/>
      <c r="F237" s="584" t="str">
        <f>IFERROR(VLOOKUP(F235,Tarefas!$F$3:$G$22,2,0),"")</f>
        <v>Equipe_02</v>
      </c>
      <c r="G237" s="77" t="str">
        <f>IF(INDEX(Tarefas!$BT$30:$FK$30,MATCH(A237,Tarefas!$BT$28:$FK$28,0))=0,"",INDEX(Tarefas!$BT$30:$FK$30,MATCH(A237,Tarefas!$BT$28:$FK$28,0)))</f>
        <v>GER. (OBRA/PROJ)</v>
      </c>
      <c r="H237" s="107" cm="1">
        <f t="array" ref="H237">IFERROR((SUMPRODUCT((Tarefas!$N$32:$N$54='Cronog. e Histog.'!$F$237)*(Tarefas!$BQ$30:$FK$30='Cronog. e Histog.'!$G237)*(Tarefas!$BQ$32:$FK$54)))/SUMIF(Tarefas!$N$32:$N$54,'Cronog. e Histog.'!$F$237,Tarefas!$K$32:$K$54),0)</f>
        <v>1.6194331983805668E-2</v>
      </c>
      <c r="I237" s="79">
        <f>IFERROR(H237/$H$257,0)</f>
        <v>1.6194331983805668E-2</v>
      </c>
      <c r="J237" s="65"/>
      <c r="K237" s="160">
        <f>ROUND($I237*K$184,2)</f>
        <v>0.01</v>
      </c>
      <c r="L237" s="160">
        <f t="shared" ref="L237:AS254" si="379">ROUND($I237*L$184,2)</f>
        <v>0.01</v>
      </c>
      <c r="M237" s="160">
        <f t="shared" si="379"/>
        <v>0.01</v>
      </c>
      <c r="N237" s="160">
        <f t="shared" si="379"/>
        <v>0.01</v>
      </c>
      <c r="O237" s="160">
        <f t="shared" si="379"/>
        <v>0.01</v>
      </c>
      <c r="P237" s="160">
        <f t="shared" si="379"/>
        <v>0.01</v>
      </c>
      <c r="Q237" s="160">
        <f t="shared" si="379"/>
        <v>0.01</v>
      </c>
      <c r="R237" s="160">
        <f t="shared" si="379"/>
        <v>0.01</v>
      </c>
      <c r="S237" s="160">
        <f t="shared" si="379"/>
        <v>0.01</v>
      </c>
      <c r="T237" s="160">
        <f t="shared" si="379"/>
        <v>0.01</v>
      </c>
      <c r="U237" s="160">
        <f t="shared" si="379"/>
        <v>0</v>
      </c>
      <c r="V237" s="160">
        <f t="shared" si="379"/>
        <v>0</v>
      </c>
      <c r="W237" s="160">
        <f t="shared" si="379"/>
        <v>0</v>
      </c>
      <c r="X237" s="160">
        <f t="shared" si="379"/>
        <v>0</v>
      </c>
      <c r="Y237" s="160">
        <f t="shared" si="379"/>
        <v>0</v>
      </c>
      <c r="Z237" s="160">
        <f t="shared" si="379"/>
        <v>0</v>
      </c>
      <c r="AA237" s="160">
        <f t="shared" si="379"/>
        <v>0</v>
      </c>
      <c r="AB237" s="160">
        <f t="shared" si="379"/>
        <v>0</v>
      </c>
      <c r="AC237" s="160">
        <f t="shared" si="379"/>
        <v>0</v>
      </c>
      <c r="AD237" s="160">
        <f t="shared" si="379"/>
        <v>0</v>
      </c>
      <c r="AE237" s="160">
        <f t="shared" si="379"/>
        <v>0</v>
      </c>
      <c r="AF237" s="160">
        <f t="shared" si="379"/>
        <v>0</v>
      </c>
      <c r="AG237" s="160">
        <f t="shared" si="379"/>
        <v>0</v>
      </c>
      <c r="AH237" s="160">
        <f t="shared" si="379"/>
        <v>0</v>
      </c>
      <c r="AI237" s="160">
        <f t="shared" si="379"/>
        <v>0</v>
      </c>
      <c r="AJ237" s="160">
        <f t="shared" si="379"/>
        <v>0</v>
      </c>
      <c r="AK237" s="160">
        <f t="shared" si="379"/>
        <v>0</v>
      </c>
      <c r="AL237" s="160">
        <f t="shared" si="379"/>
        <v>0</v>
      </c>
      <c r="AM237" s="160">
        <f t="shared" si="379"/>
        <v>0</v>
      </c>
      <c r="AN237" s="160">
        <f t="shared" si="379"/>
        <v>0</v>
      </c>
      <c r="AO237" s="160">
        <f t="shared" si="379"/>
        <v>0</v>
      </c>
      <c r="AP237" s="160">
        <f t="shared" si="379"/>
        <v>0</v>
      </c>
      <c r="AQ237" s="160">
        <f t="shared" si="379"/>
        <v>0</v>
      </c>
      <c r="AR237" s="160">
        <f t="shared" si="379"/>
        <v>0</v>
      </c>
      <c r="AS237" s="160">
        <f t="shared" si="379"/>
        <v>0</v>
      </c>
      <c r="AT237" s="160">
        <f t="shared" ref="AT237:BR256" si="380">ROUND($I237*AT$184,2)</f>
        <v>0</v>
      </c>
      <c r="AU237" s="160">
        <f t="shared" si="380"/>
        <v>0</v>
      </c>
      <c r="AV237" s="160">
        <f t="shared" si="380"/>
        <v>0</v>
      </c>
      <c r="AW237" s="160">
        <f t="shared" si="380"/>
        <v>0</v>
      </c>
      <c r="AX237" s="160">
        <f t="shared" si="380"/>
        <v>0</v>
      </c>
      <c r="AY237" s="160">
        <f t="shared" si="380"/>
        <v>0</v>
      </c>
      <c r="AZ237" s="160">
        <f t="shared" si="380"/>
        <v>0</v>
      </c>
      <c r="BA237" s="160">
        <f t="shared" si="380"/>
        <v>0</v>
      </c>
      <c r="BB237" s="160">
        <f t="shared" si="380"/>
        <v>0</v>
      </c>
      <c r="BC237" s="160">
        <f t="shared" si="380"/>
        <v>0</v>
      </c>
      <c r="BD237" s="160">
        <f t="shared" si="380"/>
        <v>0</v>
      </c>
      <c r="BE237" s="160">
        <f t="shared" si="380"/>
        <v>0</v>
      </c>
      <c r="BF237" s="160">
        <f t="shared" si="380"/>
        <v>0</v>
      </c>
      <c r="BG237" s="160">
        <f t="shared" si="380"/>
        <v>0</v>
      </c>
      <c r="BH237" s="160">
        <f t="shared" si="380"/>
        <v>0</v>
      </c>
      <c r="BI237" s="160">
        <f t="shared" si="380"/>
        <v>0</v>
      </c>
      <c r="BJ237" s="160">
        <f t="shared" si="380"/>
        <v>0</v>
      </c>
      <c r="BK237" s="160">
        <f t="shared" si="380"/>
        <v>0</v>
      </c>
      <c r="BL237" s="160">
        <f t="shared" si="380"/>
        <v>0</v>
      </c>
      <c r="BM237" s="160">
        <f t="shared" si="380"/>
        <v>0</v>
      </c>
      <c r="BN237" s="160">
        <f t="shared" si="380"/>
        <v>0</v>
      </c>
      <c r="BO237" s="160">
        <f t="shared" si="380"/>
        <v>0</v>
      </c>
      <c r="BP237" s="160">
        <f t="shared" si="380"/>
        <v>0</v>
      </c>
      <c r="BQ237" s="160">
        <f t="shared" si="380"/>
        <v>0</v>
      </c>
      <c r="BR237" s="160">
        <f t="shared" si="380"/>
        <v>0</v>
      </c>
      <c r="BS237" s="65"/>
      <c r="BT237" s="160">
        <f t="shared" ref="BT237:BT256" si="381">IFERROR(SUM(K237:BR237)/COUNTIF(K237:BR237,"&gt;0"),0)</f>
        <v>9.9999999999999985E-3</v>
      </c>
      <c r="BU237" s="160">
        <f t="shared" ref="BU237:BU256" si="382">COUNTIF(K237:BR237,"&gt;0")</f>
        <v>10</v>
      </c>
      <c r="BV237" s="65"/>
      <c r="BW237" s="69"/>
      <c r="BX237" s="65"/>
      <c r="BY237" s="137">
        <f t="shared" ref="BY237:BY256" si="383">IF(G237&gt;0,1,0)</f>
        <v>1</v>
      </c>
      <c r="BZ237" s="137">
        <f>IF(BY237&gt;0,BY237+LARGE($BZ$213:BZ236,1),0)</f>
        <v>21</v>
      </c>
      <c r="CA237" s="137" t="str">
        <f t="shared" ref="CA237:CA256" si="384">G237</f>
        <v>GER. (OBRA/PROJ)</v>
      </c>
      <c r="CB237" s="161">
        <f t="shared" ref="CB237:CB256" si="385">K237</f>
        <v>0.01</v>
      </c>
      <c r="CC237" s="161">
        <f t="shared" ref="CC237:EI241" si="386">L237</f>
        <v>0.01</v>
      </c>
      <c r="CD237" s="161">
        <f t="shared" si="386"/>
        <v>0.01</v>
      </c>
      <c r="CE237" s="161">
        <f t="shared" si="386"/>
        <v>0.01</v>
      </c>
      <c r="CF237" s="161">
        <f t="shared" si="386"/>
        <v>0.01</v>
      </c>
      <c r="CG237" s="161">
        <f t="shared" si="386"/>
        <v>0.01</v>
      </c>
      <c r="CH237" s="161">
        <f t="shared" si="386"/>
        <v>0.01</v>
      </c>
      <c r="CI237" s="161">
        <f t="shared" si="386"/>
        <v>0.01</v>
      </c>
      <c r="CJ237" s="161">
        <f t="shared" si="386"/>
        <v>0.01</v>
      </c>
      <c r="CK237" s="161">
        <f t="shared" si="386"/>
        <v>0.01</v>
      </c>
      <c r="CL237" s="161">
        <f t="shared" si="386"/>
        <v>0</v>
      </c>
      <c r="CM237" s="161">
        <f t="shared" si="386"/>
        <v>0</v>
      </c>
      <c r="CN237" s="161">
        <f t="shared" si="386"/>
        <v>0</v>
      </c>
      <c r="CO237" s="161">
        <f t="shared" si="386"/>
        <v>0</v>
      </c>
      <c r="CP237" s="161">
        <f t="shared" si="386"/>
        <v>0</v>
      </c>
      <c r="CQ237" s="161">
        <f t="shared" si="386"/>
        <v>0</v>
      </c>
      <c r="CR237" s="161">
        <f t="shared" si="386"/>
        <v>0</v>
      </c>
      <c r="CS237" s="161">
        <f t="shared" si="386"/>
        <v>0</v>
      </c>
      <c r="CT237" s="161">
        <f t="shared" si="386"/>
        <v>0</v>
      </c>
      <c r="CU237" s="161">
        <f t="shared" si="386"/>
        <v>0</v>
      </c>
      <c r="CV237" s="161">
        <f t="shared" si="386"/>
        <v>0</v>
      </c>
      <c r="CW237" s="161">
        <f t="shared" si="386"/>
        <v>0</v>
      </c>
      <c r="CX237" s="161">
        <f t="shared" si="386"/>
        <v>0</v>
      </c>
      <c r="CY237" s="161">
        <f t="shared" si="386"/>
        <v>0</v>
      </c>
      <c r="CZ237" s="161">
        <f t="shared" si="386"/>
        <v>0</v>
      </c>
      <c r="DA237" s="161">
        <f t="shared" si="386"/>
        <v>0</v>
      </c>
      <c r="DB237" s="161">
        <f t="shared" si="386"/>
        <v>0</v>
      </c>
      <c r="DC237" s="161">
        <f t="shared" si="386"/>
        <v>0</v>
      </c>
      <c r="DD237" s="161">
        <f t="shared" si="386"/>
        <v>0</v>
      </c>
      <c r="DE237" s="161">
        <f t="shared" si="386"/>
        <v>0</v>
      </c>
      <c r="DF237" s="161">
        <f t="shared" si="386"/>
        <v>0</v>
      </c>
      <c r="DG237" s="161">
        <f t="shared" si="386"/>
        <v>0</v>
      </c>
      <c r="DH237" s="161">
        <f t="shared" si="386"/>
        <v>0</v>
      </c>
      <c r="DI237" s="161">
        <f t="shared" si="386"/>
        <v>0</v>
      </c>
      <c r="DJ237" s="161">
        <f t="shared" si="386"/>
        <v>0</v>
      </c>
      <c r="DK237" s="161">
        <f t="shared" si="386"/>
        <v>0</v>
      </c>
      <c r="DL237" s="161">
        <f t="shared" si="386"/>
        <v>0</v>
      </c>
      <c r="DM237" s="161">
        <f t="shared" si="386"/>
        <v>0</v>
      </c>
      <c r="DN237" s="161">
        <f t="shared" si="386"/>
        <v>0</v>
      </c>
      <c r="DO237" s="161">
        <f t="shared" si="386"/>
        <v>0</v>
      </c>
      <c r="DP237" s="161">
        <f t="shared" si="386"/>
        <v>0</v>
      </c>
      <c r="DQ237" s="161">
        <f t="shared" si="386"/>
        <v>0</v>
      </c>
      <c r="DR237" s="161">
        <f t="shared" si="386"/>
        <v>0</v>
      </c>
      <c r="DS237" s="161">
        <f t="shared" si="386"/>
        <v>0</v>
      </c>
      <c r="DT237" s="161">
        <f t="shared" si="386"/>
        <v>0</v>
      </c>
      <c r="DU237" s="161">
        <f t="shared" si="386"/>
        <v>0</v>
      </c>
      <c r="DV237" s="161">
        <f t="shared" si="386"/>
        <v>0</v>
      </c>
      <c r="DW237" s="161">
        <f t="shared" si="386"/>
        <v>0</v>
      </c>
      <c r="DX237" s="161">
        <f t="shared" si="386"/>
        <v>0</v>
      </c>
      <c r="DY237" s="161">
        <f t="shared" si="386"/>
        <v>0</v>
      </c>
      <c r="DZ237" s="161">
        <f t="shared" si="386"/>
        <v>0</v>
      </c>
      <c r="EA237" s="161">
        <f t="shared" si="386"/>
        <v>0</v>
      </c>
      <c r="EB237" s="161">
        <f t="shared" si="386"/>
        <v>0</v>
      </c>
      <c r="EC237" s="161">
        <f t="shared" si="386"/>
        <v>0</v>
      </c>
      <c r="ED237" s="161">
        <f t="shared" si="386"/>
        <v>0</v>
      </c>
      <c r="EE237" s="161">
        <f t="shared" si="386"/>
        <v>0</v>
      </c>
      <c r="EF237" s="161">
        <f t="shared" si="386"/>
        <v>0</v>
      </c>
      <c r="EG237" s="161">
        <f t="shared" si="386"/>
        <v>0</v>
      </c>
      <c r="EH237" s="161">
        <f t="shared" si="386"/>
        <v>0</v>
      </c>
      <c r="EI237" s="161">
        <f t="shared" si="386"/>
        <v>0</v>
      </c>
      <c r="EJ237" s="65"/>
      <c r="EK237" s="161">
        <f>$EK$236</f>
        <v>0</v>
      </c>
      <c r="EL237" s="161">
        <f>$EL$236</f>
        <v>0</v>
      </c>
      <c r="EM237" s="161">
        <f>$EM$236</f>
        <v>0</v>
      </c>
    </row>
    <row r="238" spans="1:143" ht="12" hidden="1" customHeight="1" outlineLevel="2">
      <c r="A238" s="77">
        <v>2</v>
      </c>
      <c r="B238" s="137" t="str">
        <f t="shared" ref="B238:B256" si="387">IF(G238&gt;0,G238&amp;" - "&amp;$F$213,"")</f>
        <v>COORD. - Equipe_01</v>
      </c>
      <c r="C238" s="65"/>
      <c r="D238" s="622"/>
      <c r="E238" s="65"/>
      <c r="F238" s="584"/>
      <c r="G238" s="77" t="str">
        <f>IF(INDEX(Tarefas!$BT$30:$FK$30,MATCH(A238,Tarefas!$BT$28:$FK$28,0))=0,"",INDEX(Tarefas!$BT$30:$FK$30,MATCH(A238,Tarefas!$BT$28:$FK$28,0)))</f>
        <v>COORD.</v>
      </c>
      <c r="H238" s="107" cm="1">
        <f t="array" ref="H238">IFERROR((SUMPRODUCT((Tarefas!$N$32:$N$54='Cronog. e Histog.'!$F$237)*(Tarefas!$BQ$30:$FK$30='Cronog. e Histog.'!$G238)*(Tarefas!$BQ$32:$FK$54)))/SUMIF(Tarefas!$N$32:$N$54,'Cronog. e Histog.'!$F$237,Tarefas!$K$32:$K$54),0)</f>
        <v>0</v>
      </c>
      <c r="I238" s="79">
        <f t="shared" ref="I238:I256" si="388">IFERROR(H238/$H$257,0)</f>
        <v>0</v>
      </c>
      <c r="J238" s="65"/>
      <c r="K238" s="160">
        <f t="shared" ref="K238:Z256" si="389">ROUND($I238*K$184,2)</f>
        <v>0</v>
      </c>
      <c r="L238" s="160">
        <f t="shared" si="389"/>
        <v>0</v>
      </c>
      <c r="M238" s="160">
        <f t="shared" si="389"/>
        <v>0</v>
      </c>
      <c r="N238" s="160">
        <f t="shared" si="389"/>
        <v>0</v>
      </c>
      <c r="O238" s="160">
        <f t="shared" si="389"/>
        <v>0</v>
      </c>
      <c r="P238" s="160">
        <f t="shared" si="389"/>
        <v>0</v>
      </c>
      <c r="Q238" s="160">
        <f t="shared" si="389"/>
        <v>0</v>
      </c>
      <c r="R238" s="160">
        <f t="shared" si="389"/>
        <v>0</v>
      </c>
      <c r="S238" s="160">
        <f t="shared" si="389"/>
        <v>0</v>
      </c>
      <c r="T238" s="160">
        <f t="shared" si="389"/>
        <v>0</v>
      </c>
      <c r="U238" s="160">
        <f t="shared" si="389"/>
        <v>0</v>
      </c>
      <c r="V238" s="160">
        <f t="shared" si="389"/>
        <v>0</v>
      </c>
      <c r="W238" s="160">
        <f t="shared" si="389"/>
        <v>0</v>
      </c>
      <c r="X238" s="160">
        <f t="shared" si="389"/>
        <v>0</v>
      </c>
      <c r="Y238" s="160">
        <f t="shared" si="389"/>
        <v>0</v>
      </c>
      <c r="Z238" s="160">
        <f t="shared" si="389"/>
        <v>0</v>
      </c>
      <c r="AA238" s="160">
        <f t="shared" si="379"/>
        <v>0</v>
      </c>
      <c r="AB238" s="160">
        <f t="shared" si="379"/>
        <v>0</v>
      </c>
      <c r="AC238" s="160">
        <f t="shared" si="379"/>
        <v>0</v>
      </c>
      <c r="AD238" s="160">
        <f t="shared" si="379"/>
        <v>0</v>
      </c>
      <c r="AE238" s="160">
        <f t="shared" si="379"/>
        <v>0</v>
      </c>
      <c r="AF238" s="160">
        <f t="shared" si="379"/>
        <v>0</v>
      </c>
      <c r="AG238" s="160">
        <f t="shared" si="379"/>
        <v>0</v>
      </c>
      <c r="AH238" s="160">
        <f t="shared" si="379"/>
        <v>0</v>
      </c>
      <c r="AI238" s="160">
        <f t="shared" si="379"/>
        <v>0</v>
      </c>
      <c r="AJ238" s="160">
        <f t="shared" si="379"/>
        <v>0</v>
      </c>
      <c r="AK238" s="160">
        <f t="shared" si="379"/>
        <v>0</v>
      </c>
      <c r="AL238" s="160">
        <f t="shared" si="379"/>
        <v>0</v>
      </c>
      <c r="AM238" s="160">
        <f t="shared" si="379"/>
        <v>0</v>
      </c>
      <c r="AN238" s="160">
        <f t="shared" si="379"/>
        <v>0</v>
      </c>
      <c r="AO238" s="160">
        <f t="shared" si="379"/>
        <v>0</v>
      </c>
      <c r="AP238" s="160">
        <f t="shared" si="379"/>
        <v>0</v>
      </c>
      <c r="AQ238" s="160">
        <f t="shared" si="379"/>
        <v>0</v>
      </c>
      <c r="AR238" s="160">
        <f t="shared" si="379"/>
        <v>0</v>
      </c>
      <c r="AS238" s="160">
        <f t="shared" si="379"/>
        <v>0</v>
      </c>
      <c r="AT238" s="160">
        <f t="shared" si="380"/>
        <v>0</v>
      </c>
      <c r="AU238" s="160">
        <f t="shared" si="380"/>
        <v>0</v>
      </c>
      <c r="AV238" s="160">
        <f t="shared" si="380"/>
        <v>0</v>
      </c>
      <c r="AW238" s="160">
        <f t="shared" si="380"/>
        <v>0</v>
      </c>
      <c r="AX238" s="160">
        <f t="shared" si="380"/>
        <v>0</v>
      </c>
      <c r="AY238" s="160">
        <f t="shared" si="380"/>
        <v>0</v>
      </c>
      <c r="AZ238" s="160">
        <f t="shared" si="380"/>
        <v>0</v>
      </c>
      <c r="BA238" s="160">
        <f t="shared" si="380"/>
        <v>0</v>
      </c>
      <c r="BB238" s="160">
        <f t="shared" si="380"/>
        <v>0</v>
      </c>
      <c r="BC238" s="160">
        <f t="shared" si="380"/>
        <v>0</v>
      </c>
      <c r="BD238" s="160">
        <f t="shared" si="380"/>
        <v>0</v>
      </c>
      <c r="BE238" s="160">
        <f t="shared" si="380"/>
        <v>0</v>
      </c>
      <c r="BF238" s="160">
        <f t="shared" si="380"/>
        <v>0</v>
      </c>
      <c r="BG238" s="160">
        <f t="shared" si="380"/>
        <v>0</v>
      </c>
      <c r="BH238" s="160">
        <f t="shared" si="380"/>
        <v>0</v>
      </c>
      <c r="BI238" s="160">
        <f t="shared" si="380"/>
        <v>0</v>
      </c>
      <c r="BJ238" s="160">
        <f t="shared" si="380"/>
        <v>0</v>
      </c>
      <c r="BK238" s="160">
        <f t="shared" si="380"/>
        <v>0</v>
      </c>
      <c r="BL238" s="160">
        <f t="shared" si="380"/>
        <v>0</v>
      </c>
      <c r="BM238" s="160">
        <f t="shared" si="380"/>
        <v>0</v>
      </c>
      <c r="BN238" s="160">
        <f t="shared" si="380"/>
        <v>0</v>
      </c>
      <c r="BO238" s="160">
        <f t="shared" si="380"/>
        <v>0</v>
      </c>
      <c r="BP238" s="160">
        <f t="shared" si="380"/>
        <v>0</v>
      </c>
      <c r="BQ238" s="160">
        <f t="shared" si="380"/>
        <v>0</v>
      </c>
      <c r="BR238" s="160">
        <f t="shared" si="380"/>
        <v>0</v>
      </c>
      <c r="BS238" s="65"/>
      <c r="BT238" s="160">
        <f t="shared" si="381"/>
        <v>0</v>
      </c>
      <c r="BU238" s="160">
        <f t="shared" si="382"/>
        <v>0</v>
      </c>
      <c r="BV238" s="65"/>
      <c r="BW238" s="69"/>
      <c r="BX238" s="65"/>
      <c r="BY238" s="137">
        <f t="shared" si="383"/>
        <v>1</v>
      </c>
      <c r="BZ238" s="137">
        <f>IF(BY238&gt;0,BY238+LARGE($BZ$213:BZ237,1),0)</f>
        <v>22</v>
      </c>
      <c r="CA238" s="137" t="str">
        <f t="shared" si="384"/>
        <v>COORD.</v>
      </c>
      <c r="CB238" s="161">
        <f t="shared" si="385"/>
        <v>0</v>
      </c>
      <c r="CC238" s="161">
        <f t="shared" si="386"/>
        <v>0</v>
      </c>
      <c r="CD238" s="161">
        <f t="shared" si="386"/>
        <v>0</v>
      </c>
      <c r="CE238" s="161">
        <f t="shared" si="386"/>
        <v>0</v>
      </c>
      <c r="CF238" s="161">
        <f t="shared" si="386"/>
        <v>0</v>
      </c>
      <c r="CG238" s="161">
        <f t="shared" si="386"/>
        <v>0</v>
      </c>
      <c r="CH238" s="161">
        <f t="shared" si="386"/>
        <v>0</v>
      </c>
      <c r="CI238" s="161">
        <f t="shared" si="386"/>
        <v>0</v>
      </c>
      <c r="CJ238" s="161">
        <f t="shared" si="386"/>
        <v>0</v>
      </c>
      <c r="CK238" s="161">
        <f t="shared" si="386"/>
        <v>0</v>
      </c>
      <c r="CL238" s="161">
        <f t="shared" si="386"/>
        <v>0</v>
      </c>
      <c r="CM238" s="161">
        <f t="shared" si="386"/>
        <v>0</v>
      </c>
      <c r="CN238" s="161">
        <f t="shared" si="386"/>
        <v>0</v>
      </c>
      <c r="CO238" s="161">
        <f t="shared" si="386"/>
        <v>0</v>
      </c>
      <c r="CP238" s="161">
        <f t="shared" si="386"/>
        <v>0</v>
      </c>
      <c r="CQ238" s="161">
        <f t="shared" si="386"/>
        <v>0</v>
      </c>
      <c r="CR238" s="161">
        <f t="shared" si="386"/>
        <v>0</v>
      </c>
      <c r="CS238" s="161">
        <f t="shared" si="386"/>
        <v>0</v>
      </c>
      <c r="CT238" s="161">
        <f t="shared" si="386"/>
        <v>0</v>
      </c>
      <c r="CU238" s="161">
        <f t="shared" si="386"/>
        <v>0</v>
      </c>
      <c r="CV238" s="161">
        <f t="shared" si="386"/>
        <v>0</v>
      </c>
      <c r="CW238" s="161">
        <f t="shared" si="386"/>
        <v>0</v>
      </c>
      <c r="CX238" s="161">
        <f t="shared" si="386"/>
        <v>0</v>
      </c>
      <c r="CY238" s="161">
        <f t="shared" si="386"/>
        <v>0</v>
      </c>
      <c r="CZ238" s="161">
        <f t="shared" si="386"/>
        <v>0</v>
      </c>
      <c r="DA238" s="161">
        <f t="shared" si="386"/>
        <v>0</v>
      </c>
      <c r="DB238" s="161">
        <f t="shared" si="386"/>
        <v>0</v>
      </c>
      <c r="DC238" s="161">
        <f t="shared" si="386"/>
        <v>0</v>
      </c>
      <c r="DD238" s="161">
        <f t="shared" si="386"/>
        <v>0</v>
      </c>
      <c r="DE238" s="161">
        <f t="shared" si="386"/>
        <v>0</v>
      </c>
      <c r="DF238" s="161">
        <f t="shared" si="386"/>
        <v>0</v>
      </c>
      <c r="DG238" s="161">
        <f t="shared" si="386"/>
        <v>0</v>
      </c>
      <c r="DH238" s="161">
        <f t="shared" si="386"/>
        <v>0</v>
      </c>
      <c r="DI238" s="161">
        <f t="shared" si="386"/>
        <v>0</v>
      </c>
      <c r="DJ238" s="161">
        <f t="shared" si="386"/>
        <v>0</v>
      </c>
      <c r="DK238" s="161">
        <f t="shared" si="386"/>
        <v>0</v>
      </c>
      <c r="DL238" s="161">
        <f t="shared" si="386"/>
        <v>0</v>
      </c>
      <c r="DM238" s="161">
        <f t="shared" si="386"/>
        <v>0</v>
      </c>
      <c r="DN238" s="161">
        <f t="shared" si="386"/>
        <v>0</v>
      </c>
      <c r="DO238" s="161">
        <f t="shared" si="386"/>
        <v>0</v>
      </c>
      <c r="DP238" s="161">
        <f t="shared" si="386"/>
        <v>0</v>
      </c>
      <c r="DQ238" s="161">
        <f t="shared" si="386"/>
        <v>0</v>
      </c>
      <c r="DR238" s="161">
        <f t="shared" si="386"/>
        <v>0</v>
      </c>
      <c r="DS238" s="161">
        <f t="shared" si="386"/>
        <v>0</v>
      </c>
      <c r="DT238" s="161">
        <f t="shared" si="386"/>
        <v>0</v>
      </c>
      <c r="DU238" s="161">
        <f t="shared" si="386"/>
        <v>0</v>
      </c>
      <c r="DV238" s="161">
        <f t="shared" si="386"/>
        <v>0</v>
      </c>
      <c r="DW238" s="161">
        <f t="shared" si="386"/>
        <v>0</v>
      </c>
      <c r="DX238" s="161">
        <f t="shared" si="386"/>
        <v>0</v>
      </c>
      <c r="DY238" s="161">
        <f t="shared" si="386"/>
        <v>0</v>
      </c>
      <c r="DZ238" s="161">
        <f t="shared" si="386"/>
        <v>0</v>
      </c>
      <c r="EA238" s="161">
        <f t="shared" si="386"/>
        <v>0</v>
      </c>
      <c r="EB238" s="161">
        <f t="shared" si="386"/>
        <v>0</v>
      </c>
      <c r="EC238" s="161">
        <f t="shared" si="386"/>
        <v>0</v>
      </c>
      <c r="ED238" s="161">
        <f t="shared" si="386"/>
        <v>0</v>
      </c>
      <c r="EE238" s="161">
        <f t="shared" si="386"/>
        <v>0</v>
      </c>
      <c r="EF238" s="161">
        <f t="shared" si="386"/>
        <v>0</v>
      </c>
      <c r="EG238" s="161">
        <f t="shared" si="386"/>
        <v>0</v>
      </c>
      <c r="EH238" s="161">
        <f t="shared" si="386"/>
        <v>0</v>
      </c>
      <c r="EI238" s="161">
        <f t="shared" si="386"/>
        <v>0</v>
      </c>
      <c r="EJ238" s="65"/>
      <c r="EK238" s="161">
        <f t="shared" ref="EK238:EK256" si="390">$EK$236</f>
        <v>0</v>
      </c>
      <c r="EL238" s="161">
        <f t="shared" ref="EL238:EL256" si="391">$EL$236</f>
        <v>0</v>
      </c>
      <c r="EM238" s="161">
        <f t="shared" ref="EM238:EM256" si="392">$EM$236</f>
        <v>0</v>
      </c>
    </row>
    <row r="239" spans="1:143" ht="12" hidden="1" customHeight="1" outlineLevel="2">
      <c r="A239" s="77">
        <v>3</v>
      </c>
      <c r="B239" s="137" t="str">
        <f t="shared" si="387"/>
        <v>SUP.-ESP - Equipe_01</v>
      </c>
      <c r="C239" s="65"/>
      <c r="D239" s="622"/>
      <c r="E239" s="65"/>
      <c r="F239" s="584"/>
      <c r="G239" s="77" t="str">
        <f>IF(INDEX(Tarefas!$BT$30:$FK$30,MATCH(A239,Tarefas!$BT$28:$FK$28,0))=0,"",INDEX(Tarefas!$BT$30:$FK$30,MATCH(A239,Tarefas!$BT$28:$FK$28,0)))</f>
        <v>SUP.-ESP</v>
      </c>
      <c r="H239" s="107" cm="1">
        <f t="array" ref="H239">IFERROR((SUMPRODUCT((Tarefas!$N$32:$N$54='Cronog. e Histog.'!$F$237)*(Tarefas!$BQ$30:$FK$30='Cronog. e Histog.'!$G239)*(Tarefas!$BQ$32:$FK$54)))/SUMIF(Tarefas!$N$32:$N$54,'Cronog. e Histog.'!$F$237,Tarefas!$K$32:$K$54),0)</f>
        <v>0</v>
      </c>
      <c r="I239" s="79">
        <f t="shared" si="388"/>
        <v>0</v>
      </c>
      <c r="J239" s="65"/>
      <c r="K239" s="160">
        <f t="shared" si="389"/>
        <v>0</v>
      </c>
      <c r="L239" s="160">
        <f t="shared" si="379"/>
        <v>0</v>
      </c>
      <c r="M239" s="160">
        <f t="shared" si="379"/>
        <v>0</v>
      </c>
      <c r="N239" s="160">
        <f t="shared" si="379"/>
        <v>0</v>
      </c>
      <c r="O239" s="160">
        <f t="shared" si="379"/>
        <v>0</v>
      </c>
      <c r="P239" s="160">
        <f t="shared" si="379"/>
        <v>0</v>
      </c>
      <c r="Q239" s="160">
        <f t="shared" si="379"/>
        <v>0</v>
      </c>
      <c r="R239" s="160">
        <f t="shared" si="379"/>
        <v>0</v>
      </c>
      <c r="S239" s="160">
        <f t="shared" si="379"/>
        <v>0</v>
      </c>
      <c r="T239" s="160">
        <f t="shared" si="379"/>
        <v>0</v>
      </c>
      <c r="U239" s="160">
        <f t="shared" si="379"/>
        <v>0</v>
      </c>
      <c r="V239" s="160">
        <f t="shared" si="379"/>
        <v>0</v>
      </c>
      <c r="W239" s="160">
        <f t="shared" si="379"/>
        <v>0</v>
      </c>
      <c r="X239" s="160">
        <f t="shared" si="379"/>
        <v>0</v>
      </c>
      <c r="Y239" s="160">
        <f t="shared" si="379"/>
        <v>0</v>
      </c>
      <c r="Z239" s="160">
        <f t="shared" si="379"/>
        <v>0</v>
      </c>
      <c r="AA239" s="160">
        <f t="shared" si="379"/>
        <v>0</v>
      </c>
      <c r="AB239" s="160">
        <f t="shared" si="379"/>
        <v>0</v>
      </c>
      <c r="AC239" s="160">
        <f t="shared" si="379"/>
        <v>0</v>
      </c>
      <c r="AD239" s="160">
        <f t="shared" si="379"/>
        <v>0</v>
      </c>
      <c r="AE239" s="160">
        <f t="shared" si="379"/>
        <v>0</v>
      </c>
      <c r="AF239" s="160">
        <f t="shared" si="379"/>
        <v>0</v>
      </c>
      <c r="AG239" s="160">
        <f t="shared" si="379"/>
        <v>0</v>
      </c>
      <c r="AH239" s="160">
        <f t="shared" si="379"/>
        <v>0</v>
      </c>
      <c r="AI239" s="160">
        <f t="shared" si="379"/>
        <v>0</v>
      </c>
      <c r="AJ239" s="160">
        <f t="shared" si="379"/>
        <v>0</v>
      </c>
      <c r="AK239" s="160">
        <f t="shared" si="379"/>
        <v>0</v>
      </c>
      <c r="AL239" s="160">
        <f t="shared" si="379"/>
        <v>0</v>
      </c>
      <c r="AM239" s="160">
        <f t="shared" si="379"/>
        <v>0</v>
      </c>
      <c r="AN239" s="160">
        <f t="shared" si="379"/>
        <v>0</v>
      </c>
      <c r="AO239" s="160">
        <f t="shared" si="379"/>
        <v>0</v>
      </c>
      <c r="AP239" s="160">
        <f t="shared" si="379"/>
        <v>0</v>
      </c>
      <c r="AQ239" s="160">
        <f t="shared" si="379"/>
        <v>0</v>
      </c>
      <c r="AR239" s="160">
        <f t="shared" si="379"/>
        <v>0</v>
      </c>
      <c r="AS239" s="160">
        <f t="shared" si="379"/>
        <v>0</v>
      </c>
      <c r="AT239" s="160">
        <f t="shared" si="380"/>
        <v>0</v>
      </c>
      <c r="AU239" s="160">
        <f t="shared" si="380"/>
        <v>0</v>
      </c>
      <c r="AV239" s="160">
        <f t="shared" si="380"/>
        <v>0</v>
      </c>
      <c r="AW239" s="160">
        <f t="shared" si="380"/>
        <v>0</v>
      </c>
      <c r="AX239" s="160">
        <f t="shared" si="380"/>
        <v>0</v>
      </c>
      <c r="AY239" s="160">
        <f t="shared" si="380"/>
        <v>0</v>
      </c>
      <c r="AZ239" s="160">
        <f t="shared" si="380"/>
        <v>0</v>
      </c>
      <c r="BA239" s="160">
        <f t="shared" si="380"/>
        <v>0</v>
      </c>
      <c r="BB239" s="160">
        <f t="shared" si="380"/>
        <v>0</v>
      </c>
      <c r="BC239" s="160">
        <f t="shared" si="380"/>
        <v>0</v>
      </c>
      <c r="BD239" s="160">
        <f t="shared" si="380"/>
        <v>0</v>
      </c>
      <c r="BE239" s="160">
        <f t="shared" si="380"/>
        <v>0</v>
      </c>
      <c r="BF239" s="160">
        <f t="shared" si="380"/>
        <v>0</v>
      </c>
      <c r="BG239" s="160">
        <f t="shared" si="380"/>
        <v>0</v>
      </c>
      <c r="BH239" s="160">
        <f t="shared" si="380"/>
        <v>0</v>
      </c>
      <c r="BI239" s="160">
        <f t="shared" si="380"/>
        <v>0</v>
      </c>
      <c r="BJ239" s="160">
        <f t="shared" si="380"/>
        <v>0</v>
      </c>
      <c r="BK239" s="160">
        <f t="shared" si="380"/>
        <v>0</v>
      </c>
      <c r="BL239" s="160">
        <f t="shared" si="380"/>
        <v>0</v>
      </c>
      <c r="BM239" s="160">
        <f t="shared" si="380"/>
        <v>0</v>
      </c>
      <c r="BN239" s="160">
        <f t="shared" si="380"/>
        <v>0</v>
      </c>
      <c r="BO239" s="160">
        <f t="shared" si="380"/>
        <v>0</v>
      </c>
      <c r="BP239" s="160">
        <f t="shared" si="380"/>
        <v>0</v>
      </c>
      <c r="BQ239" s="160">
        <f t="shared" si="380"/>
        <v>0</v>
      </c>
      <c r="BR239" s="160">
        <f t="shared" si="380"/>
        <v>0</v>
      </c>
      <c r="BS239" s="65"/>
      <c r="BT239" s="160">
        <f t="shared" si="381"/>
        <v>0</v>
      </c>
      <c r="BU239" s="160">
        <f t="shared" si="382"/>
        <v>0</v>
      </c>
      <c r="BV239" s="65"/>
      <c r="BW239" s="69"/>
      <c r="BX239" s="65"/>
      <c r="BY239" s="137">
        <f t="shared" si="383"/>
        <v>1</v>
      </c>
      <c r="BZ239" s="137">
        <f>IF(BY239&gt;0,BY239+LARGE($BZ$213:BZ238,1),0)</f>
        <v>23</v>
      </c>
      <c r="CA239" s="137" t="str">
        <f t="shared" si="384"/>
        <v>SUP.-ESP</v>
      </c>
      <c r="CB239" s="161">
        <f t="shared" si="385"/>
        <v>0</v>
      </c>
      <c r="CC239" s="161">
        <f t="shared" si="386"/>
        <v>0</v>
      </c>
      <c r="CD239" s="161">
        <f t="shared" si="386"/>
        <v>0</v>
      </c>
      <c r="CE239" s="161">
        <f t="shared" si="386"/>
        <v>0</v>
      </c>
      <c r="CF239" s="161">
        <f t="shared" si="386"/>
        <v>0</v>
      </c>
      <c r="CG239" s="161">
        <f t="shared" si="386"/>
        <v>0</v>
      </c>
      <c r="CH239" s="161">
        <f t="shared" si="386"/>
        <v>0</v>
      </c>
      <c r="CI239" s="161">
        <f t="shared" si="386"/>
        <v>0</v>
      </c>
      <c r="CJ239" s="161">
        <f t="shared" si="386"/>
        <v>0</v>
      </c>
      <c r="CK239" s="161">
        <f t="shared" si="386"/>
        <v>0</v>
      </c>
      <c r="CL239" s="161">
        <f t="shared" si="386"/>
        <v>0</v>
      </c>
      <c r="CM239" s="161">
        <f t="shared" si="386"/>
        <v>0</v>
      </c>
      <c r="CN239" s="161">
        <f t="shared" si="386"/>
        <v>0</v>
      </c>
      <c r="CO239" s="161">
        <f t="shared" si="386"/>
        <v>0</v>
      </c>
      <c r="CP239" s="161">
        <f t="shared" si="386"/>
        <v>0</v>
      </c>
      <c r="CQ239" s="161">
        <f t="shared" si="386"/>
        <v>0</v>
      </c>
      <c r="CR239" s="161">
        <f t="shared" si="386"/>
        <v>0</v>
      </c>
      <c r="CS239" s="161">
        <f t="shared" si="386"/>
        <v>0</v>
      </c>
      <c r="CT239" s="161">
        <f t="shared" si="386"/>
        <v>0</v>
      </c>
      <c r="CU239" s="161">
        <f t="shared" si="386"/>
        <v>0</v>
      </c>
      <c r="CV239" s="161">
        <f t="shared" si="386"/>
        <v>0</v>
      </c>
      <c r="CW239" s="161">
        <f t="shared" si="386"/>
        <v>0</v>
      </c>
      <c r="CX239" s="161">
        <f t="shared" si="386"/>
        <v>0</v>
      </c>
      <c r="CY239" s="161">
        <f t="shared" si="386"/>
        <v>0</v>
      </c>
      <c r="CZ239" s="161">
        <f t="shared" si="386"/>
        <v>0</v>
      </c>
      <c r="DA239" s="161">
        <f t="shared" si="386"/>
        <v>0</v>
      </c>
      <c r="DB239" s="161">
        <f t="shared" si="386"/>
        <v>0</v>
      </c>
      <c r="DC239" s="161">
        <f t="shared" si="386"/>
        <v>0</v>
      </c>
      <c r="DD239" s="161">
        <f t="shared" si="386"/>
        <v>0</v>
      </c>
      <c r="DE239" s="161">
        <f t="shared" si="386"/>
        <v>0</v>
      </c>
      <c r="DF239" s="161">
        <f t="shared" si="386"/>
        <v>0</v>
      </c>
      <c r="DG239" s="161">
        <f t="shared" si="386"/>
        <v>0</v>
      </c>
      <c r="DH239" s="161">
        <f t="shared" si="386"/>
        <v>0</v>
      </c>
      <c r="DI239" s="161">
        <f t="shared" si="386"/>
        <v>0</v>
      </c>
      <c r="DJ239" s="161">
        <f t="shared" si="386"/>
        <v>0</v>
      </c>
      <c r="DK239" s="161">
        <f t="shared" si="386"/>
        <v>0</v>
      </c>
      <c r="DL239" s="161">
        <f t="shared" si="386"/>
        <v>0</v>
      </c>
      <c r="DM239" s="161">
        <f t="shared" si="386"/>
        <v>0</v>
      </c>
      <c r="DN239" s="161">
        <f t="shared" si="386"/>
        <v>0</v>
      </c>
      <c r="DO239" s="161">
        <f t="shared" si="386"/>
        <v>0</v>
      </c>
      <c r="DP239" s="161">
        <f t="shared" si="386"/>
        <v>0</v>
      </c>
      <c r="DQ239" s="161">
        <f t="shared" si="386"/>
        <v>0</v>
      </c>
      <c r="DR239" s="161">
        <f t="shared" si="386"/>
        <v>0</v>
      </c>
      <c r="DS239" s="161">
        <f t="shared" si="386"/>
        <v>0</v>
      </c>
      <c r="DT239" s="161">
        <f t="shared" si="386"/>
        <v>0</v>
      </c>
      <c r="DU239" s="161">
        <f t="shared" si="386"/>
        <v>0</v>
      </c>
      <c r="DV239" s="161">
        <f t="shared" si="386"/>
        <v>0</v>
      </c>
      <c r="DW239" s="161">
        <f t="shared" si="386"/>
        <v>0</v>
      </c>
      <c r="DX239" s="161">
        <f t="shared" si="386"/>
        <v>0</v>
      </c>
      <c r="DY239" s="161">
        <f t="shared" si="386"/>
        <v>0</v>
      </c>
      <c r="DZ239" s="161">
        <f t="shared" si="386"/>
        <v>0</v>
      </c>
      <c r="EA239" s="161">
        <f t="shared" si="386"/>
        <v>0</v>
      </c>
      <c r="EB239" s="161">
        <f t="shared" si="386"/>
        <v>0</v>
      </c>
      <c r="EC239" s="161">
        <f t="shared" si="386"/>
        <v>0</v>
      </c>
      <c r="ED239" s="161">
        <f t="shared" si="386"/>
        <v>0</v>
      </c>
      <c r="EE239" s="161">
        <f t="shared" si="386"/>
        <v>0</v>
      </c>
      <c r="EF239" s="161">
        <f t="shared" si="386"/>
        <v>0</v>
      </c>
      <c r="EG239" s="161">
        <f t="shared" si="386"/>
        <v>0</v>
      </c>
      <c r="EH239" s="161">
        <f t="shared" si="386"/>
        <v>0</v>
      </c>
      <c r="EI239" s="161">
        <f t="shared" si="386"/>
        <v>0</v>
      </c>
      <c r="EJ239" s="65"/>
      <c r="EK239" s="161">
        <f t="shared" si="390"/>
        <v>0</v>
      </c>
      <c r="EL239" s="161">
        <f t="shared" si="391"/>
        <v>0</v>
      </c>
      <c r="EM239" s="161">
        <f t="shared" si="392"/>
        <v>0</v>
      </c>
    </row>
    <row r="240" spans="1:143" ht="12" hidden="1" customHeight="1" outlineLevel="2">
      <c r="A240" s="77">
        <v>4</v>
      </c>
      <c r="B240" s="137" t="str">
        <f t="shared" si="387"/>
        <v>ENG/ARQ SR. - Equipe_01</v>
      </c>
      <c r="C240" s="65"/>
      <c r="D240" s="622"/>
      <c r="E240" s="65"/>
      <c r="F240" s="584"/>
      <c r="G240" s="77" t="str">
        <f>IF(INDEX(Tarefas!$BT$30:$FK$30,MATCH(A240,Tarefas!$BT$28:$FK$28,0))=0,"",INDEX(Tarefas!$BT$30:$FK$30,MATCH(A240,Tarefas!$BT$28:$FK$28,0)))</f>
        <v>ENG/ARQ SR.</v>
      </c>
      <c r="H240" s="107" cm="1">
        <f t="array" ref="H240">IFERROR((SUMPRODUCT((Tarefas!$N$32:$N$54='Cronog. e Histog.'!$F$237)*(Tarefas!$BQ$30:$FK$30='Cronog. e Histog.'!$G240)*(Tarefas!$BQ$32:$FK$54)))/SUMIF(Tarefas!$N$32:$N$54,'Cronog. e Histog.'!$F$237,Tarefas!$K$32:$K$54),0)</f>
        <v>1.2145748987854251E-2</v>
      </c>
      <c r="I240" s="79">
        <f t="shared" si="388"/>
        <v>1.2145748987854251E-2</v>
      </c>
      <c r="J240" s="65"/>
      <c r="K240" s="160">
        <f t="shared" si="389"/>
        <v>0.01</v>
      </c>
      <c r="L240" s="160">
        <f t="shared" si="379"/>
        <v>0.01</v>
      </c>
      <c r="M240" s="160">
        <f t="shared" si="379"/>
        <v>0.01</v>
      </c>
      <c r="N240" s="160">
        <f t="shared" si="379"/>
        <v>0.01</v>
      </c>
      <c r="O240" s="160">
        <f t="shared" si="379"/>
        <v>0.01</v>
      </c>
      <c r="P240" s="160">
        <f t="shared" si="379"/>
        <v>0.01</v>
      </c>
      <c r="Q240" s="160">
        <f t="shared" si="379"/>
        <v>0.01</v>
      </c>
      <c r="R240" s="160">
        <f t="shared" si="379"/>
        <v>0.01</v>
      </c>
      <c r="S240" s="160">
        <f t="shared" si="379"/>
        <v>0.01</v>
      </c>
      <c r="T240" s="160">
        <f t="shared" si="379"/>
        <v>0.01</v>
      </c>
      <c r="U240" s="160">
        <f t="shared" si="379"/>
        <v>0</v>
      </c>
      <c r="V240" s="160">
        <f t="shared" si="379"/>
        <v>0</v>
      </c>
      <c r="W240" s="160">
        <f t="shared" si="379"/>
        <v>0</v>
      </c>
      <c r="X240" s="160">
        <f t="shared" si="379"/>
        <v>0</v>
      </c>
      <c r="Y240" s="160">
        <f t="shared" si="379"/>
        <v>0</v>
      </c>
      <c r="Z240" s="160">
        <f t="shared" si="379"/>
        <v>0</v>
      </c>
      <c r="AA240" s="160">
        <f t="shared" si="379"/>
        <v>0</v>
      </c>
      <c r="AB240" s="160">
        <f t="shared" si="379"/>
        <v>0</v>
      </c>
      <c r="AC240" s="160">
        <f t="shared" si="379"/>
        <v>0</v>
      </c>
      <c r="AD240" s="160">
        <f t="shared" si="379"/>
        <v>0</v>
      </c>
      <c r="AE240" s="160">
        <f t="shared" si="379"/>
        <v>0</v>
      </c>
      <c r="AF240" s="160">
        <f t="shared" si="379"/>
        <v>0</v>
      </c>
      <c r="AG240" s="160">
        <f t="shared" si="379"/>
        <v>0</v>
      </c>
      <c r="AH240" s="160">
        <f t="shared" si="379"/>
        <v>0</v>
      </c>
      <c r="AI240" s="160">
        <f t="shared" si="379"/>
        <v>0</v>
      </c>
      <c r="AJ240" s="160">
        <f t="shared" si="379"/>
        <v>0</v>
      </c>
      <c r="AK240" s="160">
        <f t="shared" si="379"/>
        <v>0</v>
      </c>
      <c r="AL240" s="160">
        <f t="shared" si="379"/>
        <v>0</v>
      </c>
      <c r="AM240" s="160">
        <f t="shared" si="379"/>
        <v>0</v>
      </c>
      <c r="AN240" s="160">
        <f t="shared" si="379"/>
        <v>0</v>
      </c>
      <c r="AO240" s="160">
        <f t="shared" si="379"/>
        <v>0</v>
      </c>
      <c r="AP240" s="160">
        <f t="shared" si="379"/>
        <v>0</v>
      </c>
      <c r="AQ240" s="160">
        <f t="shared" si="379"/>
        <v>0</v>
      </c>
      <c r="AR240" s="160">
        <f t="shared" si="379"/>
        <v>0</v>
      </c>
      <c r="AS240" s="160">
        <f t="shared" si="379"/>
        <v>0</v>
      </c>
      <c r="AT240" s="160">
        <f t="shared" si="380"/>
        <v>0</v>
      </c>
      <c r="AU240" s="160">
        <f t="shared" si="380"/>
        <v>0</v>
      </c>
      <c r="AV240" s="160">
        <f t="shared" si="380"/>
        <v>0</v>
      </c>
      <c r="AW240" s="160">
        <f t="shared" si="380"/>
        <v>0</v>
      </c>
      <c r="AX240" s="160">
        <f t="shared" si="380"/>
        <v>0</v>
      </c>
      <c r="AY240" s="160">
        <f t="shared" si="380"/>
        <v>0</v>
      </c>
      <c r="AZ240" s="160">
        <f t="shared" si="380"/>
        <v>0</v>
      </c>
      <c r="BA240" s="160">
        <f t="shared" si="380"/>
        <v>0</v>
      </c>
      <c r="BB240" s="160">
        <f t="shared" si="380"/>
        <v>0</v>
      </c>
      <c r="BC240" s="160">
        <f t="shared" si="380"/>
        <v>0</v>
      </c>
      <c r="BD240" s="160">
        <f t="shared" si="380"/>
        <v>0</v>
      </c>
      <c r="BE240" s="160">
        <f t="shared" si="380"/>
        <v>0</v>
      </c>
      <c r="BF240" s="160">
        <f t="shared" si="380"/>
        <v>0</v>
      </c>
      <c r="BG240" s="160">
        <f t="shared" si="380"/>
        <v>0</v>
      </c>
      <c r="BH240" s="160">
        <f t="shared" si="380"/>
        <v>0</v>
      </c>
      <c r="BI240" s="160">
        <f t="shared" si="380"/>
        <v>0</v>
      </c>
      <c r="BJ240" s="160">
        <f t="shared" si="380"/>
        <v>0</v>
      </c>
      <c r="BK240" s="160">
        <f t="shared" si="380"/>
        <v>0</v>
      </c>
      <c r="BL240" s="160">
        <f t="shared" si="380"/>
        <v>0</v>
      </c>
      <c r="BM240" s="160">
        <f t="shared" si="380"/>
        <v>0</v>
      </c>
      <c r="BN240" s="160">
        <f t="shared" si="380"/>
        <v>0</v>
      </c>
      <c r="BO240" s="160">
        <f t="shared" si="380"/>
        <v>0</v>
      </c>
      <c r="BP240" s="160">
        <f t="shared" si="380"/>
        <v>0</v>
      </c>
      <c r="BQ240" s="160">
        <f t="shared" si="380"/>
        <v>0</v>
      </c>
      <c r="BR240" s="160">
        <f t="shared" si="380"/>
        <v>0</v>
      </c>
      <c r="BS240" s="65"/>
      <c r="BT240" s="160">
        <f t="shared" si="381"/>
        <v>9.9999999999999985E-3</v>
      </c>
      <c r="BU240" s="160">
        <f t="shared" si="382"/>
        <v>10</v>
      </c>
      <c r="BV240" s="65"/>
      <c r="BW240" s="69"/>
      <c r="BX240" s="65"/>
      <c r="BY240" s="137">
        <f t="shared" si="383"/>
        <v>1</v>
      </c>
      <c r="BZ240" s="137">
        <f>IF(BY240&gt;0,BY240+LARGE($BZ$213:BZ239,1),0)</f>
        <v>24</v>
      </c>
      <c r="CA240" s="137" t="str">
        <f t="shared" si="384"/>
        <v>ENG/ARQ SR.</v>
      </c>
      <c r="CB240" s="161">
        <f t="shared" si="385"/>
        <v>0.01</v>
      </c>
      <c r="CC240" s="161">
        <f t="shared" si="386"/>
        <v>0.01</v>
      </c>
      <c r="CD240" s="161">
        <f t="shared" si="386"/>
        <v>0.01</v>
      </c>
      <c r="CE240" s="161">
        <f t="shared" si="386"/>
        <v>0.01</v>
      </c>
      <c r="CF240" s="161">
        <f t="shared" si="386"/>
        <v>0.01</v>
      </c>
      <c r="CG240" s="161">
        <f t="shared" si="386"/>
        <v>0.01</v>
      </c>
      <c r="CH240" s="161">
        <f t="shared" si="386"/>
        <v>0.01</v>
      </c>
      <c r="CI240" s="161">
        <f t="shared" si="386"/>
        <v>0.01</v>
      </c>
      <c r="CJ240" s="161">
        <f t="shared" si="386"/>
        <v>0.01</v>
      </c>
      <c r="CK240" s="161">
        <f t="shared" si="386"/>
        <v>0.01</v>
      </c>
      <c r="CL240" s="161">
        <f t="shared" si="386"/>
        <v>0</v>
      </c>
      <c r="CM240" s="161">
        <f t="shared" si="386"/>
        <v>0</v>
      </c>
      <c r="CN240" s="161">
        <f t="shared" si="386"/>
        <v>0</v>
      </c>
      <c r="CO240" s="161">
        <f t="shared" si="386"/>
        <v>0</v>
      </c>
      <c r="CP240" s="161">
        <f t="shared" si="386"/>
        <v>0</v>
      </c>
      <c r="CQ240" s="161">
        <f t="shared" si="386"/>
        <v>0</v>
      </c>
      <c r="CR240" s="161">
        <f t="shared" si="386"/>
        <v>0</v>
      </c>
      <c r="CS240" s="161">
        <f t="shared" si="386"/>
        <v>0</v>
      </c>
      <c r="CT240" s="161">
        <f t="shared" si="386"/>
        <v>0</v>
      </c>
      <c r="CU240" s="161">
        <f t="shared" si="386"/>
        <v>0</v>
      </c>
      <c r="CV240" s="161">
        <f t="shared" si="386"/>
        <v>0</v>
      </c>
      <c r="CW240" s="161">
        <f t="shared" si="386"/>
        <v>0</v>
      </c>
      <c r="CX240" s="161">
        <f t="shared" si="386"/>
        <v>0</v>
      </c>
      <c r="CY240" s="161">
        <f t="shared" si="386"/>
        <v>0</v>
      </c>
      <c r="CZ240" s="161">
        <f t="shared" si="386"/>
        <v>0</v>
      </c>
      <c r="DA240" s="161">
        <f t="shared" si="386"/>
        <v>0</v>
      </c>
      <c r="DB240" s="161">
        <f t="shared" si="386"/>
        <v>0</v>
      </c>
      <c r="DC240" s="161">
        <f t="shared" si="386"/>
        <v>0</v>
      </c>
      <c r="DD240" s="161">
        <f t="shared" si="386"/>
        <v>0</v>
      </c>
      <c r="DE240" s="161">
        <f t="shared" si="386"/>
        <v>0</v>
      </c>
      <c r="DF240" s="161">
        <f t="shared" si="386"/>
        <v>0</v>
      </c>
      <c r="DG240" s="161">
        <f t="shared" si="386"/>
        <v>0</v>
      </c>
      <c r="DH240" s="161">
        <f t="shared" si="386"/>
        <v>0</v>
      </c>
      <c r="DI240" s="161">
        <f t="shared" si="386"/>
        <v>0</v>
      </c>
      <c r="DJ240" s="161">
        <f t="shared" si="386"/>
        <v>0</v>
      </c>
      <c r="DK240" s="161">
        <f t="shared" si="386"/>
        <v>0</v>
      </c>
      <c r="DL240" s="161">
        <f t="shared" si="386"/>
        <v>0</v>
      </c>
      <c r="DM240" s="161">
        <f t="shared" si="386"/>
        <v>0</v>
      </c>
      <c r="DN240" s="161">
        <f t="shared" si="386"/>
        <v>0</v>
      </c>
      <c r="DO240" s="161">
        <f t="shared" si="386"/>
        <v>0</v>
      </c>
      <c r="DP240" s="161">
        <f t="shared" si="386"/>
        <v>0</v>
      </c>
      <c r="DQ240" s="161">
        <f t="shared" si="386"/>
        <v>0</v>
      </c>
      <c r="DR240" s="161">
        <f t="shared" si="386"/>
        <v>0</v>
      </c>
      <c r="DS240" s="161">
        <f t="shared" si="386"/>
        <v>0</v>
      </c>
      <c r="DT240" s="161">
        <f t="shared" si="386"/>
        <v>0</v>
      </c>
      <c r="DU240" s="161">
        <f t="shared" si="386"/>
        <v>0</v>
      </c>
      <c r="DV240" s="161">
        <f t="shared" si="386"/>
        <v>0</v>
      </c>
      <c r="DW240" s="161">
        <f t="shared" si="386"/>
        <v>0</v>
      </c>
      <c r="DX240" s="161">
        <f t="shared" si="386"/>
        <v>0</v>
      </c>
      <c r="DY240" s="161">
        <f t="shared" si="386"/>
        <v>0</v>
      </c>
      <c r="DZ240" s="161">
        <f t="shared" si="386"/>
        <v>0</v>
      </c>
      <c r="EA240" s="161">
        <f t="shared" si="386"/>
        <v>0</v>
      </c>
      <c r="EB240" s="161">
        <f t="shared" si="386"/>
        <v>0</v>
      </c>
      <c r="EC240" s="161">
        <f t="shared" si="386"/>
        <v>0</v>
      </c>
      <c r="ED240" s="161">
        <f t="shared" si="386"/>
        <v>0</v>
      </c>
      <c r="EE240" s="161">
        <f t="shared" si="386"/>
        <v>0</v>
      </c>
      <c r="EF240" s="161">
        <f t="shared" si="386"/>
        <v>0</v>
      </c>
      <c r="EG240" s="161">
        <f t="shared" si="386"/>
        <v>0</v>
      </c>
      <c r="EH240" s="161">
        <f t="shared" si="386"/>
        <v>0</v>
      </c>
      <c r="EI240" s="161">
        <f t="shared" si="386"/>
        <v>0</v>
      </c>
      <c r="EJ240" s="65"/>
      <c r="EK240" s="161">
        <f t="shared" si="390"/>
        <v>0</v>
      </c>
      <c r="EL240" s="161">
        <f t="shared" si="391"/>
        <v>0</v>
      </c>
      <c r="EM240" s="161">
        <f t="shared" si="392"/>
        <v>0</v>
      </c>
    </row>
    <row r="241" spans="1:143" ht="12" hidden="1" customHeight="1" outlineLevel="2">
      <c r="A241" s="77">
        <v>5</v>
      </c>
      <c r="B241" s="137" t="str">
        <f t="shared" si="387"/>
        <v>ENG/ARQ PL. - Equipe_01</v>
      </c>
      <c r="C241" s="65"/>
      <c r="D241" s="622"/>
      <c r="E241" s="65"/>
      <c r="F241" s="584"/>
      <c r="G241" s="77" t="str">
        <f>IF(INDEX(Tarefas!$BT$30:$FK$30,MATCH(A241,Tarefas!$BT$28:$FK$28,0))=0,"",INDEX(Tarefas!$BT$30:$FK$30,MATCH(A241,Tarefas!$BT$28:$FK$28,0)))</f>
        <v>ENG/ARQ PL.</v>
      </c>
      <c r="H241" s="107" cm="1">
        <f t="array" ref="H241">IFERROR((SUMPRODUCT((Tarefas!$N$32:$N$54='Cronog. e Histog.'!$F$237)*(Tarefas!$BQ$30:$FK$30='Cronog. e Histog.'!$G241)*(Tarefas!$BQ$32:$FK$54)))/SUMIF(Tarefas!$N$32:$N$54,'Cronog. e Histog.'!$F$237,Tarefas!$K$32:$K$54),0)</f>
        <v>0.97165991902834004</v>
      </c>
      <c r="I241" s="79">
        <f t="shared" si="388"/>
        <v>0.97165991902834004</v>
      </c>
      <c r="J241" s="65"/>
      <c r="K241" s="160">
        <f t="shared" si="389"/>
        <v>0.71</v>
      </c>
      <c r="L241" s="160">
        <f t="shared" si="379"/>
        <v>0.71</v>
      </c>
      <c r="M241" s="160">
        <f t="shared" si="379"/>
        <v>0.71</v>
      </c>
      <c r="N241" s="160">
        <f t="shared" si="379"/>
        <v>0.71</v>
      </c>
      <c r="O241" s="160">
        <f t="shared" si="379"/>
        <v>0.71</v>
      </c>
      <c r="P241" s="160">
        <f t="shared" si="379"/>
        <v>0.71</v>
      </c>
      <c r="Q241" s="160">
        <f t="shared" si="379"/>
        <v>0.71</v>
      </c>
      <c r="R241" s="160">
        <f t="shared" si="379"/>
        <v>0.71</v>
      </c>
      <c r="S241" s="160">
        <f t="shared" si="379"/>
        <v>0.71</v>
      </c>
      <c r="T241" s="160">
        <f t="shared" si="379"/>
        <v>0.71</v>
      </c>
      <c r="U241" s="160">
        <f t="shared" si="379"/>
        <v>0</v>
      </c>
      <c r="V241" s="160">
        <f t="shared" si="379"/>
        <v>0</v>
      </c>
      <c r="W241" s="160">
        <f t="shared" si="379"/>
        <v>0</v>
      </c>
      <c r="X241" s="160">
        <f t="shared" si="379"/>
        <v>0</v>
      </c>
      <c r="Y241" s="160">
        <f t="shared" si="379"/>
        <v>0</v>
      </c>
      <c r="Z241" s="160">
        <f t="shared" si="379"/>
        <v>0</v>
      </c>
      <c r="AA241" s="160">
        <f t="shared" si="379"/>
        <v>0</v>
      </c>
      <c r="AB241" s="160">
        <f t="shared" si="379"/>
        <v>0</v>
      </c>
      <c r="AC241" s="160">
        <f t="shared" si="379"/>
        <v>0</v>
      </c>
      <c r="AD241" s="160">
        <f t="shared" si="379"/>
        <v>0</v>
      </c>
      <c r="AE241" s="160">
        <f t="shared" si="379"/>
        <v>0</v>
      </c>
      <c r="AF241" s="160">
        <f t="shared" si="379"/>
        <v>0</v>
      </c>
      <c r="AG241" s="160">
        <f t="shared" si="379"/>
        <v>0</v>
      </c>
      <c r="AH241" s="160">
        <f t="shared" si="379"/>
        <v>0</v>
      </c>
      <c r="AI241" s="160">
        <f t="shared" si="379"/>
        <v>0</v>
      </c>
      <c r="AJ241" s="160">
        <f t="shared" si="379"/>
        <v>0</v>
      </c>
      <c r="AK241" s="160">
        <f t="shared" si="379"/>
        <v>0</v>
      </c>
      <c r="AL241" s="160">
        <f t="shared" si="379"/>
        <v>0</v>
      </c>
      <c r="AM241" s="160">
        <f t="shared" si="379"/>
        <v>0</v>
      </c>
      <c r="AN241" s="160">
        <f t="shared" si="379"/>
        <v>0</v>
      </c>
      <c r="AO241" s="160">
        <f t="shared" si="379"/>
        <v>0</v>
      </c>
      <c r="AP241" s="160">
        <f t="shared" si="379"/>
        <v>0</v>
      </c>
      <c r="AQ241" s="160">
        <f t="shared" si="379"/>
        <v>0</v>
      </c>
      <c r="AR241" s="160">
        <f t="shared" si="379"/>
        <v>0</v>
      </c>
      <c r="AS241" s="160">
        <f t="shared" si="379"/>
        <v>0</v>
      </c>
      <c r="AT241" s="160">
        <f t="shared" si="380"/>
        <v>0</v>
      </c>
      <c r="AU241" s="160">
        <f t="shared" si="380"/>
        <v>0</v>
      </c>
      <c r="AV241" s="160">
        <f t="shared" si="380"/>
        <v>0</v>
      </c>
      <c r="AW241" s="160">
        <f t="shared" si="380"/>
        <v>0</v>
      </c>
      <c r="AX241" s="160">
        <f t="shared" si="380"/>
        <v>0</v>
      </c>
      <c r="AY241" s="160">
        <f t="shared" si="380"/>
        <v>0</v>
      </c>
      <c r="AZ241" s="160">
        <f t="shared" si="380"/>
        <v>0</v>
      </c>
      <c r="BA241" s="160">
        <f t="shared" si="380"/>
        <v>0</v>
      </c>
      <c r="BB241" s="160">
        <f t="shared" si="380"/>
        <v>0</v>
      </c>
      <c r="BC241" s="160">
        <f t="shared" si="380"/>
        <v>0</v>
      </c>
      <c r="BD241" s="160">
        <f t="shared" si="380"/>
        <v>0</v>
      </c>
      <c r="BE241" s="160">
        <f t="shared" si="380"/>
        <v>0</v>
      </c>
      <c r="BF241" s="160">
        <f t="shared" si="380"/>
        <v>0</v>
      </c>
      <c r="BG241" s="160">
        <f t="shared" si="380"/>
        <v>0</v>
      </c>
      <c r="BH241" s="160">
        <f t="shared" si="380"/>
        <v>0</v>
      </c>
      <c r="BI241" s="160">
        <f t="shared" si="380"/>
        <v>0</v>
      </c>
      <c r="BJ241" s="160">
        <f t="shared" si="380"/>
        <v>0</v>
      </c>
      <c r="BK241" s="160">
        <f t="shared" si="380"/>
        <v>0</v>
      </c>
      <c r="BL241" s="160">
        <f t="shared" si="380"/>
        <v>0</v>
      </c>
      <c r="BM241" s="160">
        <f t="shared" si="380"/>
        <v>0</v>
      </c>
      <c r="BN241" s="160">
        <f t="shared" si="380"/>
        <v>0</v>
      </c>
      <c r="BO241" s="160">
        <f t="shared" si="380"/>
        <v>0</v>
      </c>
      <c r="BP241" s="160">
        <f t="shared" si="380"/>
        <v>0</v>
      </c>
      <c r="BQ241" s="160">
        <f t="shared" si="380"/>
        <v>0</v>
      </c>
      <c r="BR241" s="160">
        <f t="shared" si="380"/>
        <v>0</v>
      </c>
      <c r="BS241" s="65"/>
      <c r="BT241" s="160">
        <f t="shared" si="381"/>
        <v>0.71</v>
      </c>
      <c r="BU241" s="160">
        <f t="shared" si="382"/>
        <v>10</v>
      </c>
      <c r="BV241" s="65"/>
      <c r="BW241" s="69"/>
      <c r="BX241" s="65"/>
      <c r="BY241" s="137">
        <f t="shared" si="383"/>
        <v>1</v>
      </c>
      <c r="BZ241" s="137">
        <f>IF(BY241&gt;0,BY241+LARGE($BZ$213:BZ240,1),0)</f>
        <v>25</v>
      </c>
      <c r="CA241" s="137" t="str">
        <f t="shared" si="384"/>
        <v>ENG/ARQ PL.</v>
      </c>
      <c r="CB241" s="161">
        <f t="shared" si="385"/>
        <v>0.71</v>
      </c>
      <c r="CC241" s="161">
        <f t="shared" si="386"/>
        <v>0.71</v>
      </c>
      <c r="CD241" s="161">
        <f t="shared" si="386"/>
        <v>0.71</v>
      </c>
      <c r="CE241" s="161">
        <f t="shared" si="386"/>
        <v>0.71</v>
      </c>
      <c r="CF241" s="161">
        <f t="shared" si="386"/>
        <v>0.71</v>
      </c>
      <c r="CG241" s="161">
        <f t="shared" si="386"/>
        <v>0.71</v>
      </c>
      <c r="CH241" s="161">
        <f t="shared" si="386"/>
        <v>0.71</v>
      </c>
      <c r="CI241" s="161">
        <f t="shared" si="386"/>
        <v>0.71</v>
      </c>
      <c r="CJ241" s="161">
        <f t="shared" si="386"/>
        <v>0.71</v>
      </c>
      <c r="CK241" s="161">
        <f t="shared" si="386"/>
        <v>0.71</v>
      </c>
      <c r="CL241" s="161">
        <f t="shared" si="386"/>
        <v>0</v>
      </c>
      <c r="CM241" s="161">
        <f t="shared" si="386"/>
        <v>0</v>
      </c>
      <c r="CN241" s="161">
        <f t="shared" si="386"/>
        <v>0</v>
      </c>
      <c r="CO241" s="161">
        <f t="shared" si="386"/>
        <v>0</v>
      </c>
      <c r="CP241" s="161">
        <f t="shared" si="386"/>
        <v>0</v>
      </c>
      <c r="CQ241" s="161">
        <f t="shared" si="386"/>
        <v>0</v>
      </c>
      <c r="CR241" s="161">
        <f t="shared" si="386"/>
        <v>0</v>
      </c>
      <c r="CS241" s="161">
        <f t="shared" si="386"/>
        <v>0</v>
      </c>
      <c r="CT241" s="161">
        <f t="shared" si="386"/>
        <v>0</v>
      </c>
      <c r="CU241" s="161">
        <f t="shared" si="386"/>
        <v>0</v>
      </c>
      <c r="CV241" s="161">
        <f t="shared" ref="CV241:EI256" si="393">AE241</f>
        <v>0</v>
      </c>
      <c r="CW241" s="161">
        <f t="shared" si="393"/>
        <v>0</v>
      </c>
      <c r="CX241" s="161">
        <f t="shared" si="393"/>
        <v>0</v>
      </c>
      <c r="CY241" s="161">
        <f t="shared" si="393"/>
        <v>0</v>
      </c>
      <c r="CZ241" s="161">
        <f t="shared" si="393"/>
        <v>0</v>
      </c>
      <c r="DA241" s="161">
        <f t="shared" si="393"/>
        <v>0</v>
      </c>
      <c r="DB241" s="161">
        <f t="shared" si="393"/>
        <v>0</v>
      </c>
      <c r="DC241" s="161">
        <f t="shared" si="393"/>
        <v>0</v>
      </c>
      <c r="DD241" s="161">
        <f t="shared" si="393"/>
        <v>0</v>
      </c>
      <c r="DE241" s="161">
        <f t="shared" si="393"/>
        <v>0</v>
      </c>
      <c r="DF241" s="161">
        <f t="shared" si="393"/>
        <v>0</v>
      </c>
      <c r="DG241" s="161">
        <f t="shared" si="393"/>
        <v>0</v>
      </c>
      <c r="DH241" s="161">
        <f t="shared" si="393"/>
        <v>0</v>
      </c>
      <c r="DI241" s="161">
        <f t="shared" si="393"/>
        <v>0</v>
      </c>
      <c r="DJ241" s="161">
        <f t="shared" si="393"/>
        <v>0</v>
      </c>
      <c r="DK241" s="161">
        <f t="shared" si="393"/>
        <v>0</v>
      </c>
      <c r="DL241" s="161">
        <f t="shared" si="393"/>
        <v>0</v>
      </c>
      <c r="DM241" s="161">
        <f t="shared" si="393"/>
        <v>0</v>
      </c>
      <c r="DN241" s="161">
        <f t="shared" si="393"/>
        <v>0</v>
      </c>
      <c r="DO241" s="161">
        <f t="shared" si="393"/>
        <v>0</v>
      </c>
      <c r="DP241" s="161">
        <f t="shared" si="393"/>
        <v>0</v>
      </c>
      <c r="DQ241" s="161">
        <f t="shared" si="393"/>
        <v>0</v>
      </c>
      <c r="DR241" s="161">
        <f t="shared" si="393"/>
        <v>0</v>
      </c>
      <c r="DS241" s="161">
        <f t="shared" si="393"/>
        <v>0</v>
      </c>
      <c r="DT241" s="161">
        <f t="shared" si="393"/>
        <v>0</v>
      </c>
      <c r="DU241" s="161">
        <f t="shared" si="393"/>
        <v>0</v>
      </c>
      <c r="DV241" s="161">
        <f t="shared" si="393"/>
        <v>0</v>
      </c>
      <c r="DW241" s="161">
        <f t="shared" si="393"/>
        <v>0</v>
      </c>
      <c r="DX241" s="161">
        <f t="shared" si="393"/>
        <v>0</v>
      </c>
      <c r="DY241" s="161">
        <f t="shared" si="393"/>
        <v>0</v>
      </c>
      <c r="DZ241" s="161">
        <f t="shared" si="393"/>
        <v>0</v>
      </c>
      <c r="EA241" s="161">
        <f t="shared" si="393"/>
        <v>0</v>
      </c>
      <c r="EB241" s="161">
        <f t="shared" si="393"/>
        <v>0</v>
      </c>
      <c r="EC241" s="161">
        <f t="shared" si="393"/>
        <v>0</v>
      </c>
      <c r="ED241" s="161">
        <f t="shared" si="393"/>
        <v>0</v>
      </c>
      <c r="EE241" s="161">
        <f t="shared" si="393"/>
        <v>0</v>
      </c>
      <c r="EF241" s="161">
        <f t="shared" si="393"/>
        <v>0</v>
      </c>
      <c r="EG241" s="161">
        <f t="shared" si="393"/>
        <v>0</v>
      </c>
      <c r="EH241" s="161">
        <f t="shared" si="393"/>
        <v>0</v>
      </c>
      <c r="EI241" s="161">
        <f t="shared" si="393"/>
        <v>0</v>
      </c>
      <c r="EJ241" s="65"/>
      <c r="EK241" s="161">
        <f t="shared" si="390"/>
        <v>0</v>
      </c>
      <c r="EL241" s="161">
        <f t="shared" si="391"/>
        <v>0</v>
      </c>
      <c r="EM241" s="161">
        <f t="shared" si="392"/>
        <v>0</v>
      </c>
    </row>
    <row r="242" spans="1:143" ht="12" hidden="1" customHeight="1" outlineLevel="2">
      <c r="A242" s="77">
        <v>6</v>
      </c>
      <c r="B242" s="137" t="str">
        <f t="shared" si="387"/>
        <v>ENG/ARQ JR. - Equipe_01</v>
      </c>
      <c r="C242" s="65"/>
      <c r="D242" s="622"/>
      <c r="E242" s="65"/>
      <c r="F242" s="584"/>
      <c r="G242" s="77" t="str">
        <f>IF(INDEX(Tarefas!$BT$30:$FK$30,MATCH(A242,Tarefas!$BT$28:$FK$28,0))=0,"",INDEX(Tarefas!$BT$30:$FK$30,MATCH(A242,Tarefas!$BT$28:$FK$28,0)))</f>
        <v>ENG/ARQ JR.</v>
      </c>
      <c r="H242" s="107" cm="1">
        <f t="array" ref="H242">IFERROR((SUMPRODUCT((Tarefas!$N$32:$N$54='Cronog. e Histog.'!$F$237)*(Tarefas!$BQ$30:$FK$30='Cronog. e Histog.'!$G242)*(Tarefas!$BQ$32:$FK$54)))/SUMIF(Tarefas!$N$32:$N$54,'Cronog. e Histog.'!$F$237,Tarefas!$K$32:$K$54),0)</f>
        <v>0</v>
      </c>
      <c r="I242" s="79">
        <f t="shared" si="388"/>
        <v>0</v>
      </c>
      <c r="J242" s="65"/>
      <c r="K242" s="160">
        <f t="shared" si="389"/>
        <v>0</v>
      </c>
      <c r="L242" s="160">
        <f t="shared" si="389"/>
        <v>0</v>
      </c>
      <c r="M242" s="160">
        <f t="shared" si="389"/>
        <v>0</v>
      </c>
      <c r="N242" s="160">
        <f t="shared" si="389"/>
        <v>0</v>
      </c>
      <c r="O242" s="160">
        <f t="shared" si="389"/>
        <v>0</v>
      </c>
      <c r="P242" s="160">
        <f t="shared" si="389"/>
        <v>0</v>
      </c>
      <c r="Q242" s="160">
        <f t="shared" si="389"/>
        <v>0</v>
      </c>
      <c r="R242" s="160">
        <f t="shared" si="389"/>
        <v>0</v>
      </c>
      <c r="S242" s="160">
        <f t="shared" si="389"/>
        <v>0</v>
      </c>
      <c r="T242" s="160">
        <f t="shared" si="389"/>
        <v>0</v>
      </c>
      <c r="U242" s="160">
        <f t="shared" si="389"/>
        <v>0</v>
      </c>
      <c r="V242" s="160">
        <f t="shared" si="389"/>
        <v>0</v>
      </c>
      <c r="W242" s="160">
        <f t="shared" si="389"/>
        <v>0</v>
      </c>
      <c r="X242" s="160">
        <f t="shared" si="389"/>
        <v>0</v>
      </c>
      <c r="Y242" s="160">
        <f t="shared" si="389"/>
        <v>0</v>
      </c>
      <c r="Z242" s="160">
        <f t="shared" si="389"/>
        <v>0</v>
      </c>
      <c r="AA242" s="160">
        <f t="shared" ref="AA242:AP251" si="394">ROUND($I242*AA$184,2)</f>
        <v>0</v>
      </c>
      <c r="AB242" s="160">
        <f t="shared" si="394"/>
        <v>0</v>
      </c>
      <c r="AC242" s="160">
        <f t="shared" si="394"/>
        <v>0</v>
      </c>
      <c r="AD242" s="160">
        <f t="shared" si="394"/>
        <v>0</v>
      </c>
      <c r="AE242" s="160">
        <f t="shared" si="394"/>
        <v>0</v>
      </c>
      <c r="AF242" s="160">
        <f t="shared" si="394"/>
        <v>0</v>
      </c>
      <c r="AG242" s="160">
        <f t="shared" si="394"/>
        <v>0</v>
      </c>
      <c r="AH242" s="160">
        <f t="shared" si="394"/>
        <v>0</v>
      </c>
      <c r="AI242" s="160">
        <f t="shared" si="394"/>
        <v>0</v>
      </c>
      <c r="AJ242" s="160">
        <f t="shared" si="394"/>
        <v>0</v>
      </c>
      <c r="AK242" s="160">
        <f t="shared" si="394"/>
        <v>0</v>
      </c>
      <c r="AL242" s="160">
        <f t="shared" si="394"/>
        <v>0</v>
      </c>
      <c r="AM242" s="160">
        <f t="shared" si="394"/>
        <v>0</v>
      </c>
      <c r="AN242" s="160">
        <f t="shared" si="394"/>
        <v>0</v>
      </c>
      <c r="AO242" s="160">
        <f t="shared" si="394"/>
        <v>0</v>
      </c>
      <c r="AP242" s="160">
        <f t="shared" si="394"/>
        <v>0</v>
      </c>
      <c r="AQ242" s="160">
        <f t="shared" ref="AQ242:BF251" si="395">ROUND($I242*AQ$184,2)</f>
        <v>0</v>
      </c>
      <c r="AR242" s="160">
        <f t="shared" si="395"/>
        <v>0</v>
      </c>
      <c r="AS242" s="160">
        <f t="shared" si="395"/>
        <v>0</v>
      </c>
      <c r="AT242" s="160">
        <f t="shared" si="380"/>
        <v>0</v>
      </c>
      <c r="AU242" s="160">
        <f t="shared" si="380"/>
        <v>0</v>
      </c>
      <c r="AV242" s="160">
        <f t="shared" si="380"/>
        <v>0</v>
      </c>
      <c r="AW242" s="160">
        <f t="shared" si="380"/>
        <v>0</v>
      </c>
      <c r="AX242" s="160">
        <f t="shared" si="380"/>
        <v>0</v>
      </c>
      <c r="AY242" s="160">
        <f t="shared" si="380"/>
        <v>0</v>
      </c>
      <c r="AZ242" s="160">
        <f t="shared" ref="AZ242:BO251" si="396">ROUND($I242*AZ$184,2)</f>
        <v>0</v>
      </c>
      <c r="BA242" s="160">
        <f t="shared" si="396"/>
        <v>0</v>
      </c>
      <c r="BB242" s="160">
        <f t="shared" si="396"/>
        <v>0</v>
      </c>
      <c r="BC242" s="160">
        <f t="shared" si="396"/>
        <v>0</v>
      </c>
      <c r="BD242" s="160">
        <f t="shared" si="396"/>
        <v>0</v>
      </c>
      <c r="BE242" s="160">
        <f t="shared" si="396"/>
        <v>0</v>
      </c>
      <c r="BF242" s="160">
        <f t="shared" si="396"/>
        <v>0</v>
      </c>
      <c r="BG242" s="160">
        <f t="shared" si="396"/>
        <v>0</v>
      </c>
      <c r="BH242" s="160">
        <f t="shared" si="396"/>
        <v>0</v>
      </c>
      <c r="BI242" s="160">
        <f t="shared" si="396"/>
        <v>0</v>
      </c>
      <c r="BJ242" s="160">
        <f t="shared" si="396"/>
        <v>0</v>
      </c>
      <c r="BK242" s="160">
        <f t="shared" si="396"/>
        <v>0</v>
      </c>
      <c r="BL242" s="160">
        <f t="shared" si="396"/>
        <v>0</v>
      </c>
      <c r="BM242" s="160">
        <f t="shared" si="396"/>
        <v>0</v>
      </c>
      <c r="BN242" s="160">
        <f t="shared" si="396"/>
        <v>0</v>
      </c>
      <c r="BO242" s="160">
        <f t="shared" si="396"/>
        <v>0</v>
      </c>
      <c r="BP242" s="160">
        <f t="shared" ref="BP242:BR251" si="397">ROUND($I242*BP$184,2)</f>
        <v>0</v>
      </c>
      <c r="BQ242" s="160">
        <f t="shared" si="397"/>
        <v>0</v>
      </c>
      <c r="BR242" s="160">
        <f t="shared" si="397"/>
        <v>0</v>
      </c>
      <c r="BS242" s="65"/>
      <c r="BT242" s="160">
        <f t="shared" ref="BT242:BT251" si="398">IFERROR(SUM(K242:BR242)/COUNTIF(K242:BR242,"&gt;0"),0)</f>
        <v>0</v>
      </c>
      <c r="BU242" s="160">
        <f t="shared" ref="BU242:BU251" si="399">COUNTIF(K242:BR242,"&gt;0")</f>
        <v>0</v>
      </c>
      <c r="BV242" s="65"/>
      <c r="BW242" s="69"/>
      <c r="BX242" s="65"/>
      <c r="BY242" s="137">
        <f t="shared" ref="BY242:BY251" si="400">IF(G242&gt;0,1,0)</f>
        <v>1</v>
      </c>
      <c r="BZ242" s="137">
        <f>IF(BY242&gt;0,BY242+LARGE($BZ$213:BZ241,1),0)</f>
        <v>26</v>
      </c>
      <c r="CA242" s="137" t="str">
        <f t="shared" ref="CA242:CA251" si="401">G242</f>
        <v>ENG/ARQ JR.</v>
      </c>
      <c r="CB242" s="161">
        <f t="shared" ref="CB242:CB251" si="402">K242</f>
        <v>0</v>
      </c>
      <c r="CC242" s="161">
        <f t="shared" ref="CC242:CC251" si="403">L242</f>
        <v>0</v>
      </c>
      <c r="CD242" s="161">
        <f t="shared" ref="CD242:CD251" si="404">M242</f>
        <v>0</v>
      </c>
      <c r="CE242" s="161">
        <f t="shared" ref="CE242:CE251" si="405">N242</f>
        <v>0</v>
      </c>
      <c r="CF242" s="161">
        <f t="shared" ref="CF242:CF251" si="406">O242</f>
        <v>0</v>
      </c>
      <c r="CG242" s="161">
        <f t="shared" ref="CG242:CG251" si="407">P242</f>
        <v>0</v>
      </c>
      <c r="CH242" s="161">
        <f t="shared" ref="CH242:CH251" si="408">Q242</f>
        <v>0</v>
      </c>
      <c r="CI242" s="161">
        <f t="shared" ref="CI242:CI251" si="409">R242</f>
        <v>0</v>
      </c>
      <c r="CJ242" s="161">
        <f t="shared" ref="CJ242:CJ251" si="410">S242</f>
        <v>0</v>
      </c>
      <c r="CK242" s="161">
        <f t="shared" ref="CK242:CK251" si="411">T242</f>
        <v>0</v>
      </c>
      <c r="CL242" s="161">
        <f t="shared" ref="CL242:CL251" si="412">U242</f>
        <v>0</v>
      </c>
      <c r="CM242" s="161">
        <f t="shared" ref="CM242:CM251" si="413">V242</f>
        <v>0</v>
      </c>
      <c r="CN242" s="161">
        <f t="shared" ref="CN242:CN251" si="414">W242</f>
        <v>0</v>
      </c>
      <c r="CO242" s="161">
        <f t="shared" ref="CO242:CO251" si="415">X242</f>
        <v>0</v>
      </c>
      <c r="CP242" s="161">
        <f t="shared" ref="CP242:CP251" si="416">Y242</f>
        <v>0</v>
      </c>
      <c r="CQ242" s="161">
        <f t="shared" ref="CQ242:CQ251" si="417">Z242</f>
        <v>0</v>
      </c>
      <c r="CR242" s="161">
        <f t="shared" ref="CR242:CR251" si="418">AA242</f>
        <v>0</v>
      </c>
      <c r="CS242" s="161">
        <f t="shared" ref="CS242:CS251" si="419">AB242</f>
        <v>0</v>
      </c>
      <c r="CT242" s="161">
        <f t="shared" ref="CT242:CT251" si="420">AC242</f>
        <v>0</v>
      </c>
      <c r="CU242" s="161">
        <f t="shared" ref="CU242:CU251" si="421">AD242</f>
        <v>0</v>
      </c>
      <c r="CV242" s="161">
        <f t="shared" ref="CV242:CV251" si="422">AE242</f>
        <v>0</v>
      </c>
      <c r="CW242" s="161">
        <f t="shared" ref="CW242:CW251" si="423">AF242</f>
        <v>0</v>
      </c>
      <c r="CX242" s="161">
        <f t="shared" ref="CX242:CX251" si="424">AG242</f>
        <v>0</v>
      </c>
      <c r="CY242" s="161">
        <f t="shared" ref="CY242:CY251" si="425">AH242</f>
        <v>0</v>
      </c>
      <c r="CZ242" s="161">
        <f t="shared" ref="CZ242:CZ251" si="426">AI242</f>
        <v>0</v>
      </c>
      <c r="DA242" s="161">
        <f t="shared" ref="DA242:DA251" si="427">AJ242</f>
        <v>0</v>
      </c>
      <c r="DB242" s="161">
        <f t="shared" ref="DB242:DB251" si="428">AK242</f>
        <v>0</v>
      </c>
      <c r="DC242" s="161">
        <f t="shared" ref="DC242:DC251" si="429">AL242</f>
        <v>0</v>
      </c>
      <c r="DD242" s="161">
        <f t="shared" ref="DD242:DD251" si="430">AM242</f>
        <v>0</v>
      </c>
      <c r="DE242" s="161">
        <f t="shared" ref="DE242:DE251" si="431">AN242</f>
        <v>0</v>
      </c>
      <c r="DF242" s="161">
        <f t="shared" ref="DF242:DF251" si="432">AO242</f>
        <v>0</v>
      </c>
      <c r="DG242" s="161">
        <f t="shared" ref="DG242:DG251" si="433">AP242</f>
        <v>0</v>
      </c>
      <c r="DH242" s="161">
        <f t="shared" ref="DH242:DH251" si="434">AQ242</f>
        <v>0</v>
      </c>
      <c r="DI242" s="161">
        <f t="shared" ref="DI242:DI251" si="435">AR242</f>
        <v>0</v>
      </c>
      <c r="DJ242" s="161">
        <f t="shared" ref="DJ242:DJ251" si="436">AS242</f>
        <v>0</v>
      </c>
      <c r="DK242" s="161">
        <f t="shared" ref="DK242:DK251" si="437">AT242</f>
        <v>0</v>
      </c>
      <c r="DL242" s="161">
        <f t="shared" ref="DL242:DL251" si="438">AU242</f>
        <v>0</v>
      </c>
      <c r="DM242" s="161">
        <f t="shared" ref="DM242:DM251" si="439">AV242</f>
        <v>0</v>
      </c>
      <c r="DN242" s="161">
        <f t="shared" ref="DN242:DN251" si="440">AW242</f>
        <v>0</v>
      </c>
      <c r="DO242" s="161">
        <f t="shared" ref="DO242:DO251" si="441">AX242</f>
        <v>0</v>
      </c>
      <c r="DP242" s="161">
        <f t="shared" ref="DP242:DP251" si="442">AY242</f>
        <v>0</v>
      </c>
      <c r="DQ242" s="161">
        <f t="shared" ref="DQ242:DQ251" si="443">AZ242</f>
        <v>0</v>
      </c>
      <c r="DR242" s="161">
        <f t="shared" ref="DR242:DR251" si="444">BA242</f>
        <v>0</v>
      </c>
      <c r="DS242" s="161">
        <f t="shared" ref="DS242:DS251" si="445">BB242</f>
        <v>0</v>
      </c>
      <c r="DT242" s="161">
        <f t="shared" ref="DT242:DT251" si="446">BC242</f>
        <v>0</v>
      </c>
      <c r="DU242" s="161">
        <f t="shared" ref="DU242:DU251" si="447">BD242</f>
        <v>0</v>
      </c>
      <c r="DV242" s="161">
        <f t="shared" ref="DV242:DV251" si="448">BE242</f>
        <v>0</v>
      </c>
      <c r="DW242" s="161">
        <f t="shared" ref="DW242:DW251" si="449">BF242</f>
        <v>0</v>
      </c>
      <c r="DX242" s="161">
        <f t="shared" ref="DX242:DX251" si="450">BG242</f>
        <v>0</v>
      </c>
      <c r="DY242" s="161">
        <f t="shared" ref="DY242:DY251" si="451">BH242</f>
        <v>0</v>
      </c>
      <c r="DZ242" s="161">
        <f t="shared" ref="DZ242:DZ251" si="452">BI242</f>
        <v>0</v>
      </c>
      <c r="EA242" s="161">
        <f t="shared" ref="EA242:EA251" si="453">BJ242</f>
        <v>0</v>
      </c>
      <c r="EB242" s="161">
        <f t="shared" ref="EB242:EB251" si="454">BK242</f>
        <v>0</v>
      </c>
      <c r="EC242" s="161">
        <f t="shared" ref="EC242:EC251" si="455">BL242</f>
        <v>0</v>
      </c>
      <c r="ED242" s="161">
        <f t="shared" ref="ED242:ED251" si="456">BM242</f>
        <v>0</v>
      </c>
      <c r="EE242" s="161">
        <f t="shared" ref="EE242:EE251" si="457">BN242</f>
        <v>0</v>
      </c>
      <c r="EF242" s="161">
        <f t="shared" ref="EF242:EF251" si="458">BO242</f>
        <v>0</v>
      </c>
      <c r="EG242" s="161">
        <f t="shared" ref="EG242:EG251" si="459">BP242</f>
        <v>0</v>
      </c>
      <c r="EH242" s="161">
        <f t="shared" ref="EH242:EH251" si="460">BQ242</f>
        <v>0</v>
      </c>
      <c r="EI242" s="161">
        <f t="shared" ref="EI242:EI251" si="461">BR242</f>
        <v>0</v>
      </c>
      <c r="EJ242" s="65"/>
      <c r="EK242" s="161">
        <f t="shared" si="390"/>
        <v>0</v>
      </c>
      <c r="EL242" s="161">
        <f t="shared" si="391"/>
        <v>0</v>
      </c>
      <c r="EM242" s="161">
        <f t="shared" si="392"/>
        <v>0</v>
      </c>
    </row>
    <row r="243" spans="1:143" ht="12" hidden="1" customHeight="1" outlineLevel="2">
      <c r="A243" s="77">
        <v>7</v>
      </c>
      <c r="B243" s="137" t="str">
        <f t="shared" si="387"/>
        <v>AN SR. ENG/ARQ - Equipe_01</v>
      </c>
      <c r="C243" s="65"/>
      <c r="D243" s="622"/>
      <c r="E243" s="65"/>
      <c r="F243" s="584"/>
      <c r="G243" s="77" t="str">
        <f>IF(INDEX(Tarefas!$BT$30:$FK$30,MATCH(A243,Tarefas!$BT$28:$FK$28,0))=0,"",INDEX(Tarefas!$BT$30:$FK$30,MATCH(A243,Tarefas!$BT$28:$FK$28,0)))</f>
        <v>AN SR. ENG/ARQ</v>
      </c>
      <c r="H243" s="107" cm="1">
        <f t="array" ref="H243">IFERROR((SUMPRODUCT((Tarefas!$N$32:$N$54='Cronog. e Histog.'!$F$237)*(Tarefas!$BQ$30:$FK$30='Cronog. e Histog.'!$G243)*(Tarefas!$BQ$32:$FK$54)))/SUMIF(Tarefas!$N$32:$N$54,'Cronog. e Histog.'!$F$237,Tarefas!$K$32:$K$54),0)</f>
        <v>0</v>
      </c>
      <c r="I243" s="79">
        <f t="shared" si="388"/>
        <v>0</v>
      </c>
      <c r="J243" s="65"/>
      <c r="K243" s="160">
        <f t="shared" si="389"/>
        <v>0</v>
      </c>
      <c r="L243" s="160">
        <f t="shared" si="389"/>
        <v>0</v>
      </c>
      <c r="M243" s="160">
        <f t="shared" si="389"/>
        <v>0</v>
      </c>
      <c r="N243" s="160">
        <f t="shared" si="389"/>
        <v>0</v>
      </c>
      <c r="O243" s="160">
        <f t="shared" si="389"/>
        <v>0</v>
      </c>
      <c r="P243" s="160">
        <f t="shared" si="389"/>
        <v>0</v>
      </c>
      <c r="Q243" s="160">
        <f t="shared" si="389"/>
        <v>0</v>
      </c>
      <c r="R243" s="160">
        <f t="shared" si="389"/>
        <v>0</v>
      </c>
      <c r="S243" s="160">
        <f t="shared" si="389"/>
        <v>0</v>
      </c>
      <c r="T243" s="160">
        <f t="shared" si="389"/>
        <v>0</v>
      </c>
      <c r="U243" s="160">
        <f t="shared" si="389"/>
        <v>0</v>
      </c>
      <c r="V243" s="160">
        <f t="shared" si="389"/>
        <v>0</v>
      </c>
      <c r="W243" s="160">
        <f t="shared" si="389"/>
        <v>0</v>
      </c>
      <c r="X243" s="160">
        <f t="shared" si="389"/>
        <v>0</v>
      </c>
      <c r="Y243" s="160">
        <f t="shared" si="389"/>
        <v>0</v>
      </c>
      <c r="Z243" s="160">
        <f t="shared" si="389"/>
        <v>0</v>
      </c>
      <c r="AA243" s="160">
        <f t="shared" si="394"/>
        <v>0</v>
      </c>
      <c r="AB243" s="160">
        <f t="shared" si="394"/>
        <v>0</v>
      </c>
      <c r="AC243" s="160">
        <f t="shared" si="394"/>
        <v>0</v>
      </c>
      <c r="AD243" s="160">
        <f t="shared" si="394"/>
        <v>0</v>
      </c>
      <c r="AE243" s="160">
        <f t="shared" si="394"/>
        <v>0</v>
      </c>
      <c r="AF243" s="160">
        <f t="shared" si="394"/>
        <v>0</v>
      </c>
      <c r="AG243" s="160">
        <f t="shared" si="394"/>
        <v>0</v>
      </c>
      <c r="AH243" s="160">
        <f t="shared" si="394"/>
        <v>0</v>
      </c>
      <c r="AI243" s="160">
        <f t="shared" si="394"/>
        <v>0</v>
      </c>
      <c r="AJ243" s="160">
        <f t="shared" si="394"/>
        <v>0</v>
      </c>
      <c r="AK243" s="160">
        <f t="shared" si="394"/>
        <v>0</v>
      </c>
      <c r="AL243" s="160">
        <f t="shared" si="394"/>
        <v>0</v>
      </c>
      <c r="AM243" s="160">
        <f t="shared" si="394"/>
        <v>0</v>
      </c>
      <c r="AN243" s="160">
        <f t="shared" si="394"/>
        <v>0</v>
      </c>
      <c r="AO243" s="160">
        <f t="shared" si="394"/>
        <v>0</v>
      </c>
      <c r="AP243" s="160">
        <f t="shared" si="394"/>
        <v>0</v>
      </c>
      <c r="AQ243" s="160">
        <f t="shared" si="395"/>
        <v>0</v>
      </c>
      <c r="AR243" s="160">
        <f t="shared" si="395"/>
        <v>0</v>
      </c>
      <c r="AS243" s="160">
        <f t="shared" si="395"/>
        <v>0</v>
      </c>
      <c r="AT243" s="160">
        <f t="shared" si="395"/>
        <v>0</v>
      </c>
      <c r="AU243" s="160">
        <f t="shared" si="395"/>
        <v>0</v>
      </c>
      <c r="AV243" s="160">
        <f t="shared" si="395"/>
        <v>0</v>
      </c>
      <c r="AW243" s="160">
        <f t="shared" si="395"/>
        <v>0</v>
      </c>
      <c r="AX243" s="160">
        <f t="shared" si="395"/>
        <v>0</v>
      </c>
      <c r="AY243" s="160">
        <f t="shared" si="395"/>
        <v>0</v>
      </c>
      <c r="AZ243" s="160">
        <f t="shared" si="395"/>
        <v>0</v>
      </c>
      <c r="BA243" s="160">
        <f t="shared" si="395"/>
        <v>0</v>
      </c>
      <c r="BB243" s="160">
        <f t="shared" si="395"/>
        <v>0</v>
      </c>
      <c r="BC243" s="160">
        <f t="shared" si="395"/>
        <v>0</v>
      </c>
      <c r="BD243" s="160">
        <f t="shared" si="395"/>
        <v>0</v>
      </c>
      <c r="BE243" s="160">
        <f t="shared" si="395"/>
        <v>0</v>
      </c>
      <c r="BF243" s="160">
        <f t="shared" si="395"/>
        <v>0</v>
      </c>
      <c r="BG243" s="160">
        <f t="shared" si="396"/>
        <v>0</v>
      </c>
      <c r="BH243" s="160">
        <f t="shared" si="396"/>
        <v>0</v>
      </c>
      <c r="BI243" s="160">
        <f t="shared" si="396"/>
        <v>0</v>
      </c>
      <c r="BJ243" s="160">
        <f t="shared" si="396"/>
        <v>0</v>
      </c>
      <c r="BK243" s="160">
        <f t="shared" si="396"/>
        <v>0</v>
      </c>
      <c r="BL243" s="160">
        <f t="shared" si="396"/>
        <v>0</v>
      </c>
      <c r="BM243" s="160">
        <f t="shared" si="396"/>
        <v>0</v>
      </c>
      <c r="BN243" s="160">
        <f t="shared" si="396"/>
        <v>0</v>
      </c>
      <c r="BO243" s="160">
        <f t="shared" si="396"/>
        <v>0</v>
      </c>
      <c r="BP243" s="160">
        <f t="shared" si="397"/>
        <v>0</v>
      </c>
      <c r="BQ243" s="160">
        <f t="shared" si="397"/>
        <v>0</v>
      </c>
      <c r="BR243" s="160">
        <f t="shared" si="397"/>
        <v>0</v>
      </c>
      <c r="BS243" s="65"/>
      <c r="BT243" s="160">
        <f t="shared" si="398"/>
        <v>0</v>
      </c>
      <c r="BU243" s="160">
        <f t="shared" si="399"/>
        <v>0</v>
      </c>
      <c r="BV243" s="65"/>
      <c r="BW243" s="69"/>
      <c r="BX243" s="65"/>
      <c r="BY243" s="137">
        <f t="shared" si="400"/>
        <v>1</v>
      </c>
      <c r="BZ243" s="137">
        <f>IF(BY243&gt;0,BY243+LARGE($BZ$213:BZ242,1),0)</f>
        <v>27</v>
      </c>
      <c r="CA243" s="137" t="str">
        <f t="shared" si="401"/>
        <v>AN SR. ENG/ARQ</v>
      </c>
      <c r="CB243" s="161">
        <f t="shared" si="402"/>
        <v>0</v>
      </c>
      <c r="CC243" s="161">
        <f t="shared" si="403"/>
        <v>0</v>
      </c>
      <c r="CD243" s="161">
        <f t="shared" si="404"/>
        <v>0</v>
      </c>
      <c r="CE243" s="161">
        <f t="shared" si="405"/>
        <v>0</v>
      </c>
      <c r="CF243" s="161">
        <f t="shared" si="406"/>
        <v>0</v>
      </c>
      <c r="CG243" s="161">
        <f t="shared" si="407"/>
        <v>0</v>
      </c>
      <c r="CH243" s="161">
        <f t="shared" si="408"/>
        <v>0</v>
      </c>
      <c r="CI243" s="161">
        <f t="shared" si="409"/>
        <v>0</v>
      </c>
      <c r="CJ243" s="161">
        <f t="shared" si="410"/>
        <v>0</v>
      </c>
      <c r="CK243" s="161">
        <f t="shared" si="411"/>
        <v>0</v>
      </c>
      <c r="CL243" s="161">
        <f t="shared" si="412"/>
        <v>0</v>
      </c>
      <c r="CM243" s="161">
        <f t="shared" si="413"/>
        <v>0</v>
      </c>
      <c r="CN243" s="161">
        <f t="shared" si="414"/>
        <v>0</v>
      </c>
      <c r="CO243" s="161">
        <f t="shared" si="415"/>
        <v>0</v>
      </c>
      <c r="CP243" s="161">
        <f t="shared" si="416"/>
        <v>0</v>
      </c>
      <c r="CQ243" s="161">
        <f t="shared" si="417"/>
        <v>0</v>
      </c>
      <c r="CR243" s="161">
        <f t="shared" si="418"/>
        <v>0</v>
      </c>
      <c r="CS243" s="161">
        <f t="shared" si="419"/>
        <v>0</v>
      </c>
      <c r="CT243" s="161">
        <f t="shared" si="420"/>
        <v>0</v>
      </c>
      <c r="CU243" s="161">
        <f t="shared" si="421"/>
        <v>0</v>
      </c>
      <c r="CV243" s="161">
        <f t="shared" si="422"/>
        <v>0</v>
      </c>
      <c r="CW243" s="161">
        <f t="shared" si="423"/>
        <v>0</v>
      </c>
      <c r="CX243" s="161">
        <f t="shared" si="424"/>
        <v>0</v>
      </c>
      <c r="CY243" s="161">
        <f t="shared" si="425"/>
        <v>0</v>
      </c>
      <c r="CZ243" s="161">
        <f t="shared" si="426"/>
        <v>0</v>
      </c>
      <c r="DA243" s="161">
        <f t="shared" si="427"/>
        <v>0</v>
      </c>
      <c r="DB243" s="161">
        <f t="shared" si="428"/>
        <v>0</v>
      </c>
      <c r="DC243" s="161">
        <f t="shared" si="429"/>
        <v>0</v>
      </c>
      <c r="DD243" s="161">
        <f t="shared" si="430"/>
        <v>0</v>
      </c>
      <c r="DE243" s="161">
        <f t="shared" si="431"/>
        <v>0</v>
      </c>
      <c r="DF243" s="161">
        <f t="shared" si="432"/>
        <v>0</v>
      </c>
      <c r="DG243" s="161">
        <f t="shared" si="433"/>
        <v>0</v>
      </c>
      <c r="DH243" s="161">
        <f t="shared" si="434"/>
        <v>0</v>
      </c>
      <c r="DI243" s="161">
        <f t="shared" si="435"/>
        <v>0</v>
      </c>
      <c r="DJ243" s="161">
        <f t="shared" si="436"/>
        <v>0</v>
      </c>
      <c r="DK243" s="161">
        <f t="shared" si="437"/>
        <v>0</v>
      </c>
      <c r="DL243" s="161">
        <f t="shared" si="438"/>
        <v>0</v>
      </c>
      <c r="DM243" s="161">
        <f t="shared" si="439"/>
        <v>0</v>
      </c>
      <c r="DN243" s="161">
        <f t="shared" si="440"/>
        <v>0</v>
      </c>
      <c r="DO243" s="161">
        <f t="shared" si="441"/>
        <v>0</v>
      </c>
      <c r="DP243" s="161">
        <f t="shared" si="442"/>
        <v>0</v>
      </c>
      <c r="DQ243" s="161">
        <f t="shared" si="443"/>
        <v>0</v>
      </c>
      <c r="DR243" s="161">
        <f t="shared" si="444"/>
        <v>0</v>
      </c>
      <c r="DS243" s="161">
        <f t="shared" si="445"/>
        <v>0</v>
      </c>
      <c r="DT243" s="161">
        <f t="shared" si="446"/>
        <v>0</v>
      </c>
      <c r="DU243" s="161">
        <f t="shared" si="447"/>
        <v>0</v>
      </c>
      <c r="DV243" s="161">
        <f t="shared" si="448"/>
        <v>0</v>
      </c>
      <c r="DW243" s="161">
        <f t="shared" si="449"/>
        <v>0</v>
      </c>
      <c r="DX243" s="161">
        <f t="shared" si="450"/>
        <v>0</v>
      </c>
      <c r="DY243" s="161">
        <f t="shared" si="451"/>
        <v>0</v>
      </c>
      <c r="DZ243" s="161">
        <f t="shared" si="452"/>
        <v>0</v>
      </c>
      <c r="EA243" s="161">
        <f t="shared" si="453"/>
        <v>0</v>
      </c>
      <c r="EB243" s="161">
        <f t="shared" si="454"/>
        <v>0</v>
      </c>
      <c r="EC243" s="161">
        <f t="shared" si="455"/>
        <v>0</v>
      </c>
      <c r="ED243" s="161">
        <f t="shared" si="456"/>
        <v>0</v>
      </c>
      <c r="EE243" s="161">
        <f t="shared" si="457"/>
        <v>0</v>
      </c>
      <c r="EF243" s="161">
        <f t="shared" si="458"/>
        <v>0</v>
      </c>
      <c r="EG243" s="161">
        <f t="shared" si="459"/>
        <v>0</v>
      </c>
      <c r="EH243" s="161">
        <f t="shared" si="460"/>
        <v>0</v>
      </c>
      <c r="EI243" s="161">
        <f t="shared" si="461"/>
        <v>0</v>
      </c>
      <c r="EJ243" s="65"/>
      <c r="EK243" s="161">
        <f t="shared" si="390"/>
        <v>0</v>
      </c>
      <c r="EL243" s="161">
        <f t="shared" si="391"/>
        <v>0</v>
      </c>
      <c r="EM243" s="161">
        <f t="shared" si="392"/>
        <v>0</v>
      </c>
    </row>
    <row r="244" spans="1:143" ht="12" hidden="1" customHeight="1" outlineLevel="2">
      <c r="A244" s="77">
        <v>8</v>
      </c>
      <c r="B244" s="137" t="str">
        <f t="shared" si="387"/>
        <v>AN PL. ENG/ARQ - Equipe_01</v>
      </c>
      <c r="C244" s="65"/>
      <c r="D244" s="622"/>
      <c r="E244" s="65"/>
      <c r="F244" s="584"/>
      <c r="G244" s="77" t="str">
        <f>IF(INDEX(Tarefas!$BT$30:$FK$30,MATCH(A244,Tarefas!$BT$28:$FK$28,0))=0,"",INDEX(Tarefas!$BT$30:$FK$30,MATCH(A244,Tarefas!$BT$28:$FK$28,0)))</f>
        <v>AN PL. ENG/ARQ</v>
      </c>
      <c r="H244" s="107" cm="1">
        <f t="array" ref="H244">IFERROR((SUMPRODUCT((Tarefas!$N$32:$N$54='Cronog. e Histog.'!$F$237)*(Tarefas!$BQ$30:$FK$30='Cronog. e Histog.'!$G244)*(Tarefas!$BQ$32:$FK$54)))/SUMIF(Tarefas!$N$32:$N$54,'Cronog. e Histog.'!$F$237,Tarefas!$K$32:$K$54),0)</f>
        <v>0</v>
      </c>
      <c r="I244" s="79">
        <f t="shared" si="388"/>
        <v>0</v>
      </c>
      <c r="J244" s="65"/>
      <c r="K244" s="160">
        <f t="shared" si="389"/>
        <v>0</v>
      </c>
      <c r="L244" s="160">
        <f t="shared" si="389"/>
        <v>0</v>
      </c>
      <c r="M244" s="160">
        <f t="shared" si="389"/>
        <v>0</v>
      </c>
      <c r="N244" s="160">
        <f t="shared" si="389"/>
        <v>0</v>
      </c>
      <c r="O244" s="160">
        <f t="shared" si="389"/>
        <v>0</v>
      </c>
      <c r="P244" s="160">
        <f t="shared" si="389"/>
        <v>0</v>
      </c>
      <c r="Q244" s="160">
        <f t="shared" si="389"/>
        <v>0</v>
      </c>
      <c r="R244" s="160">
        <f t="shared" si="389"/>
        <v>0</v>
      </c>
      <c r="S244" s="160">
        <f t="shared" si="389"/>
        <v>0</v>
      </c>
      <c r="T244" s="160">
        <f t="shared" si="389"/>
        <v>0</v>
      </c>
      <c r="U244" s="160">
        <f t="shared" si="389"/>
        <v>0</v>
      </c>
      <c r="V244" s="160">
        <f t="shared" si="389"/>
        <v>0</v>
      </c>
      <c r="W244" s="160">
        <f t="shared" si="389"/>
        <v>0</v>
      </c>
      <c r="X244" s="160">
        <f t="shared" si="389"/>
        <v>0</v>
      </c>
      <c r="Y244" s="160">
        <f t="shared" si="389"/>
        <v>0</v>
      </c>
      <c r="Z244" s="160">
        <f t="shared" si="389"/>
        <v>0</v>
      </c>
      <c r="AA244" s="160">
        <f t="shared" si="394"/>
        <v>0</v>
      </c>
      <c r="AB244" s="160">
        <f t="shared" si="394"/>
        <v>0</v>
      </c>
      <c r="AC244" s="160">
        <f t="shared" si="394"/>
        <v>0</v>
      </c>
      <c r="AD244" s="160">
        <f t="shared" si="394"/>
        <v>0</v>
      </c>
      <c r="AE244" s="160">
        <f t="shared" si="394"/>
        <v>0</v>
      </c>
      <c r="AF244" s="160">
        <f t="shared" si="394"/>
        <v>0</v>
      </c>
      <c r="AG244" s="160">
        <f t="shared" si="394"/>
        <v>0</v>
      </c>
      <c r="AH244" s="160">
        <f t="shared" si="394"/>
        <v>0</v>
      </c>
      <c r="AI244" s="160">
        <f t="shared" si="394"/>
        <v>0</v>
      </c>
      <c r="AJ244" s="160">
        <f t="shared" si="394"/>
        <v>0</v>
      </c>
      <c r="AK244" s="160">
        <f t="shared" si="394"/>
        <v>0</v>
      </c>
      <c r="AL244" s="160">
        <f t="shared" si="394"/>
        <v>0</v>
      </c>
      <c r="AM244" s="160">
        <f t="shared" si="394"/>
        <v>0</v>
      </c>
      <c r="AN244" s="160">
        <f t="shared" si="394"/>
        <v>0</v>
      </c>
      <c r="AO244" s="160">
        <f t="shared" si="394"/>
        <v>0</v>
      </c>
      <c r="AP244" s="160">
        <f t="shared" si="394"/>
        <v>0</v>
      </c>
      <c r="AQ244" s="160">
        <f t="shared" si="395"/>
        <v>0</v>
      </c>
      <c r="AR244" s="160">
        <f t="shared" si="395"/>
        <v>0</v>
      </c>
      <c r="AS244" s="160">
        <f t="shared" si="395"/>
        <v>0</v>
      </c>
      <c r="AT244" s="160">
        <f t="shared" si="395"/>
        <v>0</v>
      </c>
      <c r="AU244" s="160">
        <f t="shared" si="395"/>
        <v>0</v>
      </c>
      <c r="AV244" s="160">
        <f t="shared" si="395"/>
        <v>0</v>
      </c>
      <c r="AW244" s="160">
        <f t="shared" si="395"/>
        <v>0</v>
      </c>
      <c r="AX244" s="160">
        <f t="shared" si="395"/>
        <v>0</v>
      </c>
      <c r="AY244" s="160">
        <f t="shared" si="395"/>
        <v>0</v>
      </c>
      <c r="AZ244" s="160">
        <f t="shared" si="395"/>
        <v>0</v>
      </c>
      <c r="BA244" s="160">
        <f t="shared" si="395"/>
        <v>0</v>
      </c>
      <c r="BB244" s="160">
        <f t="shared" si="395"/>
        <v>0</v>
      </c>
      <c r="BC244" s="160">
        <f t="shared" si="395"/>
        <v>0</v>
      </c>
      <c r="BD244" s="160">
        <f t="shared" si="395"/>
        <v>0</v>
      </c>
      <c r="BE244" s="160">
        <f t="shared" si="395"/>
        <v>0</v>
      </c>
      <c r="BF244" s="160">
        <f t="shared" si="395"/>
        <v>0</v>
      </c>
      <c r="BG244" s="160">
        <f t="shared" si="396"/>
        <v>0</v>
      </c>
      <c r="BH244" s="160">
        <f t="shared" si="396"/>
        <v>0</v>
      </c>
      <c r="BI244" s="160">
        <f t="shared" si="396"/>
        <v>0</v>
      </c>
      <c r="BJ244" s="160">
        <f t="shared" si="396"/>
        <v>0</v>
      </c>
      <c r="BK244" s="160">
        <f t="shared" si="396"/>
        <v>0</v>
      </c>
      <c r="BL244" s="160">
        <f t="shared" si="396"/>
        <v>0</v>
      </c>
      <c r="BM244" s="160">
        <f t="shared" si="396"/>
        <v>0</v>
      </c>
      <c r="BN244" s="160">
        <f t="shared" si="396"/>
        <v>0</v>
      </c>
      <c r="BO244" s="160">
        <f t="shared" si="396"/>
        <v>0</v>
      </c>
      <c r="BP244" s="160">
        <f t="shared" si="397"/>
        <v>0</v>
      </c>
      <c r="BQ244" s="160">
        <f t="shared" si="397"/>
        <v>0</v>
      </c>
      <c r="BR244" s="160">
        <f t="shared" si="397"/>
        <v>0</v>
      </c>
      <c r="BS244" s="65"/>
      <c r="BT244" s="160">
        <f t="shared" si="398"/>
        <v>0</v>
      </c>
      <c r="BU244" s="160">
        <f t="shared" si="399"/>
        <v>0</v>
      </c>
      <c r="BV244" s="65"/>
      <c r="BW244" s="69"/>
      <c r="BX244" s="65"/>
      <c r="BY244" s="137">
        <f t="shared" si="400"/>
        <v>1</v>
      </c>
      <c r="BZ244" s="137">
        <f>IF(BY244&gt;0,BY244+LARGE($BZ$213:BZ243,1),0)</f>
        <v>28</v>
      </c>
      <c r="CA244" s="137" t="str">
        <f t="shared" si="401"/>
        <v>AN PL. ENG/ARQ</v>
      </c>
      <c r="CB244" s="161">
        <f t="shared" si="402"/>
        <v>0</v>
      </c>
      <c r="CC244" s="161">
        <f t="shared" si="403"/>
        <v>0</v>
      </c>
      <c r="CD244" s="161">
        <f t="shared" si="404"/>
        <v>0</v>
      </c>
      <c r="CE244" s="161">
        <f t="shared" si="405"/>
        <v>0</v>
      </c>
      <c r="CF244" s="161">
        <f t="shared" si="406"/>
        <v>0</v>
      </c>
      <c r="CG244" s="161">
        <f t="shared" si="407"/>
        <v>0</v>
      </c>
      <c r="CH244" s="161">
        <f t="shared" si="408"/>
        <v>0</v>
      </c>
      <c r="CI244" s="161">
        <f t="shared" si="409"/>
        <v>0</v>
      </c>
      <c r="CJ244" s="161">
        <f t="shared" si="410"/>
        <v>0</v>
      </c>
      <c r="CK244" s="161">
        <f t="shared" si="411"/>
        <v>0</v>
      </c>
      <c r="CL244" s="161">
        <f t="shared" si="412"/>
        <v>0</v>
      </c>
      <c r="CM244" s="161">
        <f t="shared" si="413"/>
        <v>0</v>
      </c>
      <c r="CN244" s="161">
        <f t="shared" si="414"/>
        <v>0</v>
      </c>
      <c r="CO244" s="161">
        <f t="shared" si="415"/>
        <v>0</v>
      </c>
      <c r="CP244" s="161">
        <f t="shared" si="416"/>
        <v>0</v>
      </c>
      <c r="CQ244" s="161">
        <f t="shared" si="417"/>
        <v>0</v>
      </c>
      <c r="CR244" s="161">
        <f t="shared" si="418"/>
        <v>0</v>
      </c>
      <c r="CS244" s="161">
        <f t="shared" si="419"/>
        <v>0</v>
      </c>
      <c r="CT244" s="161">
        <f t="shared" si="420"/>
        <v>0</v>
      </c>
      <c r="CU244" s="161">
        <f t="shared" si="421"/>
        <v>0</v>
      </c>
      <c r="CV244" s="161">
        <f t="shared" si="422"/>
        <v>0</v>
      </c>
      <c r="CW244" s="161">
        <f t="shared" si="423"/>
        <v>0</v>
      </c>
      <c r="CX244" s="161">
        <f t="shared" si="424"/>
        <v>0</v>
      </c>
      <c r="CY244" s="161">
        <f t="shared" si="425"/>
        <v>0</v>
      </c>
      <c r="CZ244" s="161">
        <f t="shared" si="426"/>
        <v>0</v>
      </c>
      <c r="DA244" s="161">
        <f t="shared" si="427"/>
        <v>0</v>
      </c>
      <c r="DB244" s="161">
        <f t="shared" si="428"/>
        <v>0</v>
      </c>
      <c r="DC244" s="161">
        <f t="shared" si="429"/>
        <v>0</v>
      </c>
      <c r="DD244" s="161">
        <f t="shared" si="430"/>
        <v>0</v>
      </c>
      <c r="DE244" s="161">
        <f t="shared" si="431"/>
        <v>0</v>
      </c>
      <c r="DF244" s="161">
        <f t="shared" si="432"/>
        <v>0</v>
      </c>
      <c r="DG244" s="161">
        <f t="shared" si="433"/>
        <v>0</v>
      </c>
      <c r="DH244" s="161">
        <f t="shared" si="434"/>
        <v>0</v>
      </c>
      <c r="DI244" s="161">
        <f t="shared" si="435"/>
        <v>0</v>
      </c>
      <c r="DJ244" s="161">
        <f t="shared" si="436"/>
        <v>0</v>
      </c>
      <c r="DK244" s="161">
        <f t="shared" si="437"/>
        <v>0</v>
      </c>
      <c r="DL244" s="161">
        <f t="shared" si="438"/>
        <v>0</v>
      </c>
      <c r="DM244" s="161">
        <f t="shared" si="439"/>
        <v>0</v>
      </c>
      <c r="DN244" s="161">
        <f t="shared" si="440"/>
        <v>0</v>
      </c>
      <c r="DO244" s="161">
        <f t="shared" si="441"/>
        <v>0</v>
      </c>
      <c r="DP244" s="161">
        <f t="shared" si="442"/>
        <v>0</v>
      </c>
      <c r="DQ244" s="161">
        <f t="shared" si="443"/>
        <v>0</v>
      </c>
      <c r="DR244" s="161">
        <f t="shared" si="444"/>
        <v>0</v>
      </c>
      <c r="DS244" s="161">
        <f t="shared" si="445"/>
        <v>0</v>
      </c>
      <c r="DT244" s="161">
        <f t="shared" si="446"/>
        <v>0</v>
      </c>
      <c r="DU244" s="161">
        <f t="shared" si="447"/>
        <v>0</v>
      </c>
      <c r="DV244" s="161">
        <f t="shared" si="448"/>
        <v>0</v>
      </c>
      <c r="DW244" s="161">
        <f t="shared" si="449"/>
        <v>0</v>
      </c>
      <c r="DX244" s="161">
        <f t="shared" si="450"/>
        <v>0</v>
      </c>
      <c r="DY244" s="161">
        <f t="shared" si="451"/>
        <v>0</v>
      </c>
      <c r="DZ244" s="161">
        <f t="shared" si="452"/>
        <v>0</v>
      </c>
      <c r="EA244" s="161">
        <f t="shared" si="453"/>
        <v>0</v>
      </c>
      <c r="EB244" s="161">
        <f t="shared" si="454"/>
        <v>0</v>
      </c>
      <c r="EC244" s="161">
        <f t="shared" si="455"/>
        <v>0</v>
      </c>
      <c r="ED244" s="161">
        <f t="shared" si="456"/>
        <v>0</v>
      </c>
      <c r="EE244" s="161">
        <f t="shared" si="457"/>
        <v>0</v>
      </c>
      <c r="EF244" s="161">
        <f t="shared" si="458"/>
        <v>0</v>
      </c>
      <c r="EG244" s="161">
        <f t="shared" si="459"/>
        <v>0</v>
      </c>
      <c r="EH244" s="161">
        <f t="shared" si="460"/>
        <v>0</v>
      </c>
      <c r="EI244" s="161">
        <f t="shared" si="461"/>
        <v>0</v>
      </c>
      <c r="EJ244" s="65"/>
      <c r="EK244" s="161">
        <f t="shared" si="390"/>
        <v>0</v>
      </c>
      <c r="EL244" s="161">
        <f t="shared" si="391"/>
        <v>0</v>
      </c>
      <c r="EM244" s="161">
        <f t="shared" si="392"/>
        <v>0</v>
      </c>
    </row>
    <row r="245" spans="1:143" ht="12" hidden="1" customHeight="1" outlineLevel="2">
      <c r="A245" s="77">
        <v>9</v>
      </c>
      <c r="B245" s="137" t="str">
        <f t="shared" si="387"/>
        <v>AN JR. ENG/ARQ - Equipe_01</v>
      </c>
      <c r="C245" s="65"/>
      <c r="D245" s="622"/>
      <c r="E245" s="65"/>
      <c r="F245" s="584"/>
      <c r="G245" s="77" t="str">
        <f>IF(INDEX(Tarefas!$BT$30:$FK$30,MATCH(A245,Tarefas!$BT$28:$FK$28,0))=0,"",INDEX(Tarefas!$BT$30:$FK$30,MATCH(A245,Tarefas!$BT$28:$FK$28,0)))</f>
        <v>AN JR. ENG/ARQ</v>
      </c>
      <c r="H245" s="107" cm="1">
        <f t="array" ref="H245">IFERROR((SUMPRODUCT((Tarefas!$N$32:$N$54='Cronog. e Histog.'!$F$237)*(Tarefas!$BQ$30:$FK$30='Cronog. e Histog.'!$G245)*(Tarefas!$BQ$32:$FK$54)))/SUMIF(Tarefas!$N$32:$N$54,'Cronog. e Histog.'!$F$237,Tarefas!$K$32:$K$54),0)</f>
        <v>0</v>
      </c>
      <c r="I245" s="79">
        <f t="shared" si="388"/>
        <v>0</v>
      </c>
      <c r="J245" s="65"/>
      <c r="K245" s="160">
        <f t="shared" si="389"/>
        <v>0</v>
      </c>
      <c r="L245" s="160">
        <f t="shared" si="389"/>
        <v>0</v>
      </c>
      <c r="M245" s="160">
        <f t="shared" si="389"/>
        <v>0</v>
      </c>
      <c r="N245" s="160">
        <f t="shared" si="389"/>
        <v>0</v>
      </c>
      <c r="O245" s="160">
        <f t="shared" si="389"/>
        <v>0</v>
      </c>
      <c r="P245" s="160">
        <f t="shared" si="389"/>
        <v>0</v>
      </c>
      <c r="Q245" s="160">
        <f t="shared" si="389"/>
        <v>0</v>
      </c>
      <c r="R245" s="160">
        <f t="shared" si="389"/>
        <v>0</v>
      </c>
      <c r="S245" s="160">
        <f t="shared" si="389"/>
        <v>0</v>
      </c>
      <c r="T245" s="160">
        <f t="shared" si="389"/>
        <v>0</v>
      </c>
      <c r="U245" s="160">
        <f t="shared" si="389"/>
        <v>0</v>
      </c>
      <c r="V245" s="160">
        <f t="shared" si="389"/>
        <v>0</v>
      </c>
      <c r="W245" s="160">
        <f t="shared" si="389"/>
        <v>0</v>
      </c>
      <c r="X245" s="160">
        <f t="shared" si="389"/>
        <v>0</v>
      </c>
      <c r="Y245" s="160">
        <f t="shared" si="389"/>
        <v>0</v>
      </c>
      <c r="Z245" s="160">
        <f t="shared" si="389"/>
        <v>0</v>
      </c>
      <c r="AA245" s="160">
        <f t="shared" si="394"/>
        <v>0</v>
      </c>
      <c r="AB245" s="160">
        <f t="shared" si="394"/>
        <v>0</v>
      </c>
      <c r="AC245" s="160">
        <f t="shared" si="394"/>
        <v>0</v>
      </c>
      <c r="AD245" s="160">
        <f t="shared" si="394"/>
        <v>0</v>
      </c>
      <c r="AE245" s="160">
        <f t="shared" si="394"/>
        <v>0</v>
      </c>
      <c r="AF245" s="160">
        <f t="shared" si="394"/>
        <v>0</v>
      </c>
      <c r="AG245" s="160">
        <f t="shared" si="394"/>
        <v>0</v>
      </c>
      <c r="AH245" s="160">
        <f t="shared" si="394"/>
        <v>0</v>
      </c>
      <c r="AI245" s="160">
        <f t="shared" si="394"/>
        <v>0</v>
      </c>
      <c r="AJ245" s="160">
        <f t="shared" si="394"/>
        <v>0</v>
      </c>
      <c r="AK245" s="160">
        <f t="shared" si="394"/>
        <v>0</v>
      </c>
      <c r="AL245" s="160">
        <f t="shared" si="394"/>
        <v>0</v>
      </c>
      <c r="AM245" s="160">
        <f t="shared" si="394"/>
        <v>0</v>
      </c>
      <c r="AN245" s="160">
        <f t="shared" si="394"/>
        <v>0</v>
      </c>
      <c r="AO245" s="160">
        <f t="shared" si="394"/>
        <v>0</v>
      </c>
      <c r="AP245" s="160">
        <f t="shared" si="394"/>
        <v>0</v>
      </c>
      <c r="AQ245" s="160">
        <f t="shared" si="395"/>
        <v>0</v>
      </c>
      <c r="AR245" s="160">
        <f t="shared" si="395"/>
        <v>0</v>
      </c>
      <c r="AS245" s="160">
        <f t="shared" si="395"/>
        <v>0</v>
      </c>
      <c r="AT245" s="160">
        <f t="shared" si="395"/>
        <v>0</v>
      </c>
      <c r="AU245" s="160">
        <f t="shared" si="395"/>
        <v>0</v>
      </c>
      <c r="AV245" s="160">
        <f t="shared" si="395"/>
        <v>0</v>
      </c>
      <c r="AW245" s="160">
        <f t="shared" si="395"/>
        <v>0</v>
      </c>
      <c r="AX245" s="160">
        <f t="shared" si="395"/>
        <v>0</v>
      </c>
      <c r="AY245" s="160">
        <f t="shared" si="395"/>
        <v>0</v>
      </c>
      <c r="AZ245" s="160">
        <f t="shared" si="395"/>
        <v>0</v>
      </c>
      <c r="BA245" s="160">
        <f t="shared" si="395"/>
        <v>0</v>
      </c>
      <c r="BB245" s="160">
        <f t="shared" si="395"/>
        <v>0</v>
      </c>
      <c r="BC245" s="160">
        <f t="shared" si="395"/>
        <v>0</v>
      </c>
      <c r="BD245" s="160">
        <f t="shared" si="395"/>
        <v>0</v>
      </c>
      <c r="BE245" s="160">
        <f t="shared" si="395"/>
        <v>0</v>
      </c>
      <c r="BF245" s="160">
        <f t="shared" si="395"/>
        <v>0</v>
      </c>
      <c r="BG245" s="160">
        <f t="shared" si="396"/>
        <v>0</v>
      </c>
      <c r="BH245" s="160">
        <f t="shared" si="396"/>
        <v>0</v>
      </c>
      <c r="BI245" s="160">
        <f t="shared" si="396"/>
        <v>0</v>
      </c>
      <c r="BJ245" s="160">
        <f t="shared" si="396"/>
        <v>0</v>
      </c>
      <c r="BK245" s="160">
        <f t="shared" si="396"/>
        <v>0</v>
      </c>
      <c r="BL245" s="160">
        <f t="shared" si="396"/>
        <v>0</v>
      </c>
      <c r="BM245" s="160">
        <f t="shared" si="396"/>
        <v>0</v>
      </c>
      <c r="BN245" s="160">
        <f t="shared" si="396"/>
        <v>0</v>
      </c>
      <c r="BO245" s="160">
        <f t="shared" si="396"/>
        <v>0</v>
      </c>
      <c r="BP245" s="160">
        <f t="shared" si="397"/>
        <v>0</v>
      </c>
      <c r="BQ245" s="160">
        <f t="shared" si="397"/>
        <v>0</v>
      </c>
      <c r="BR245" s="160">
        <f t="shared" si="397"/>
        <v>0</v>
      </c>
      <c r="BS245" s="65"/>
      <c r="BT245" s="160">
        <f t="shared" si="398"/>
        <v>0</v>
      </c>
      <c r="BU245" s="160">
        <f t="shared" si="399"/>
        <v>0</v>
      </c>
      <c r="BV245" s="65"/>
      <c r="BW245" s="69"/>
      <c r="BX245" s="65"/>
      <c r="BY245" s="137">
        <f t="shared" si="400"/>
        <v>1</v>
      </c>
      <c r="BZ245" s="137">
        <f>IF(BY245&gt;0,BY245+LARGE($BZ$213:BZ244,1),0)</f>
        <v>29</v>
      </c>
      <c r="CA245" s="137" t="str">
        <f t="shared" si="401"/>
        <v>AN JR. ENG/ARQ</v>
      </c>
      <c r="CB245" s="161">
        <f t="shared" si="402"/>
        <v>0</v>
      </c>
      <c r="CC245" s="161">
        <f t="shared" si="403"/>
        <v>0</v>
      </c>
      <c r="CD245" s="161">
        <f t="shared" si="404"/>
        <v>0</v>
      </c>
      <c r="CE245" s="161">
        <f t="shared" si="405"/>
        <v>0</v>
      </c>
      <c r="CF245" s="161">
        <f t="shared" si="406"/>
        <v>0</v>
      </c>
      <c r="CG245" s="161">
        <f t="shared" si="407"/>
        <v>0</v>
      </c>
      <c r="CH245" s="161">
        <f t="shared" si="408"/>
        <v>0</v>
      </c>
      <c r="CI245" s="161">
        <f t="shared" si="409"/>
        <v>0</v>
      </c>
      <c r="CJ245" s="161">
        <f t="shared" si="410"/>
        <v>0</v>
      </c>
      <c r="CK245" s="161">
        <f t="shared" si="411"/>
        <v>0</v>
      </c>
      <c r="CL245" s="161">
        <f t="shared" si="412"/>
        <v>0</v>
      </c>
      <c r="CM245" s="161">
        <f t="shared" si="413"/>
        <v>0</v>
      </c>
      <c r="CN245" s="161">
        <f t="shared" si="414"/>
        <v>0</v>
      </c>
      <c r="CO245" s="161">
        <f t="shared" si="415"/>
        <v>0</v>
      </c>
      <c r="CP245" s="161">
        <f t="shared" si="416"/>
        <v>0</v>
      </c>
      <c r="CQ245" s="161">
        <f t="shared" si="417"/>
        <v>0</v>
      </c>
      <c r="CR245" s="161">
        <f t="shared" si="418"/>
        <v>0</v>
      </c>
      <c r="CS245" s="161">
        <f t="shared" si="419"/>
        <v>0</v>
      </c>
      <c r="CT245" s="161">
        <f t="shared" si="420"/>
        <v>0</v>
      </c>
      <c r="CU245" s="161">
        <f t="shared" si="421"/>
        <v>0</v>
      </c>
      <c r="CV245" s="161">
        <f t="shared" si="422"/>
        <v>0</v>
      </c>
      <c r="CW245" s="161">
        <f t="shared" si="423"/>
        <v>0</v>
      </c>
      <c r="CX245" s="161">
        <f t="shared" si="424"/>
        <v>0</v>
      </c>
      <c r="CY245" s="161">
        <f t="shared" si="425"/>
        <v>0</v>
      </c>
      <c r="CZ245" s="161">
        <f t="shared" si="426"/>
        <v>0</v>
      </c>
      <c r="DA245" s="161">
        <f t="shared" si="427"/>
        <v>0</v>
      </c>
      <c r="DB245" s="161">
        <f t="shared" si="428"/>
        <v>0</v>
      </c>
      <c r="DC245" s="161">
        <f t="shared" si="429"/>
        <v>0</v>
      </c>
      <c r="DD245" s="161">
        <f t="shared" si="430"/>
        <v>0</v>
      </c>
      <c r="DE245" s="161">
        <f t="shared" si="431"/>
        <v>0</v>
      </c>
      <c r="DF245" s="161">
        <f t="shared" si="432"/>
        <v>0</v>
      </c>
      <c r="DG245" s="161">
        <f t="shared" si="433"/>
        <v>0</v>
      </c>
      <c r="DH245" s="161">
        <f t="shared" si="434"/>
        <v>0</v>
      </c>
      <c r="DI245" s="161">
        <f t="shared" si="435"/>
        <v>0</v>
      </c>
      <c r="DJ245" s="161">
        <f t="shared" si="436"/>
        <v>0</v>
      </c>
      <c r="DK245" s="161">
        <f t="shared" si="437"/>
        <v>0</v>
      </c>
      <c r="DL245" s="161">
        <f t="shared" si="438"/>
        <v>0</v>
      </c>
      <c r="DM245" s="161">
        <f t="shared" si="439"/>
        <v>0</v>
      </c>
      <c r="DN245" s="161">
        <f t="shared" si="440"/>
        <v>0</v>
      </c>
      <c r="DO245" s="161">
        <f t="shared" si="441"/>
        <v>0</v>
      </c>
      <c r="DP245" s="161">
        <f t="shared" si="442"/>
        <v>0</v>
      </c>
      <c r="DQ245" s="161">
        <f t="shared" si="443"/>
        <v>0</v>
      </c>
      <c r="DR245" s="161">
        <f t="shared" si="444"/>
        <v>0</v>
      </c>
      <c r="DS245" s="161">
        <f t="shared" si="445"/>
        <v>0</v>
      </c>
      <c r="DT245" s="161">
        <f t="shared" si="446"/>
        <v>0</v>
      </c>
      <c r="DU245" s="161">
        <f t="shared" si="447"/>
        <v>0</v>
      </c>
      <c r="DV245" s="161">
        <f t="shared" si="448"/>
        <v>0</v>
      </c>
      <c r="DW245" s="161">
        <f t="shared" si="449"/>
        <v>0</v>
      </c>
      <c r="DX245" s="161">
        <f t="shared" si="450"/>
        <v>0</v>
      </c>
      <c r="DY245" s="161">
        <f t="shared" si="451"/>
        <v>0</v>
      </c>
      <c r="DZ245" s="161">
        <f t="shared" si="452"/>
        <v>0</v>
      </c>
      <c r="EA245" s="161">
        <f t="shared" si="453"/>
        <v>0</v>
      </c>
      <c r="EB245" s="161">
        <f t="shared" si="454"/>
        <v>0</v>
      </c>
      <c r="EC245" s="161">
        <f t="shared" si="455"/>
        <v>0</v>
      </c>
      <c r="ED245" s="161">
        <f t="shared" si="456"/>
        <v>0</v>
      </c>
      <c r="EE245" s="161">
        <f t="shared" si="457"/>
        <v>0</v>
      </c>
      <c r="EF245" s="161">
        <f t="shared" si="458"/>
        <v>0</v>
      </c>
      <c r="EG245" s="161">
        <f t="shared" si="459"/>
        <v>0</v>
      </c>
      <c r="EH245" s="161">
        <f t="shared" si="460"/>
        <v>0</v>
      </c>
      <c r="EI245" s="161">
        <f t="shared" si="461"/>
        <v>0</v>
      </c>
      <c r="EJ245" s="65"/>
      <c r="EK245" s="161">
        <f t="shared" si="390"/>
        <v>0</v>
      </c>
      <c r="EL245" s="161">
        <f t="shared" si="391"/>
        <v>0</v>
      </c>
      <c r="EM245" s="161">
        <f t="shared" si="392"/>
        <v>0</v>
      </c>
    </row>
    <row r="246" spans="1:143" ht="12" hidden="1" customHeight="1" outlineLevel="2">
      <c r="A246" s="77">
        <v>10</v>
      </c>
      <c r="B246" s="137" t="str">
        <f t="shared" si="387"/>
        <v>AN SR. ADM/CRP - Equipe_01</v>
      </c>
      <c r="C246" s="65"/>
      <c r="D246" s="622"/>
      <c r="E246" s="65"/>
      <c r="F246" s="584"/>
      <c r="G246" s="77" t="str">
        <f>IF(INDEX(Tarefas!$BT$30:$FK$30,MATCH(A246,Tarefas!$BT$28:$FK$28,0))=0,"",INDEX(Tarefas!$BT$30:$FK$30,MATCH(A246,Tarefas!$BT$28:$FK$28,0)))</f>
        <v>AN SR. ADM/CRP</v>
      </c>
      <c r="H246" s="107" cm="1">
        <f t="array" ref="H246">IFERROR((SUMPRODUCT((Tarefas!$N$32:$N$54='Cronog. e Histog.'!$F$237)*(Tarefas!$BQ$30:$FK$30='Cronog. e Histog.'!$G246)*(Tarefas!$BQ$32:$FK$54)))/SUMIF(Tarefas!$N$32:$N$54,'Cronog. e Histog.'!$F$237,Tarefas!$K$32:$K$54),0)</f>
        <v>0</v>
      </c>
      <c r="I246" s="79">
        <f t="shared" si="388"/>
        <v>0</v>
      </c>
      <c r="J246" s="65"/>
      <c r="K246" s="160">
        <f t="shared" si="389"/>
        <v>0</v>
      </c>
      <c r="L246" s="160">
        <f t="shared" si="389"/>
        <v>0</v>
      </c>
      <c r="M246" s="160">
        <f t="shared" si="389"/>
        <v>0</v>
      </c>
      <c r="N246" s="160">
        <f t="shared" si="389"/>
        <v>0</v>
      </c>
      <c r="O246" s="160">
        <f t="shared" si="389"/>
        <v>0</v>
      </c>
      <c r="P246" s="160">
        <f t="shared" si="389"/>
        <v>0</v>
      </c>
      <c r="Q246" s="160">
        <f t="shared" si="389"/>
        <v>0</v>
      </c>
      <c r="R246" s="160">
        <f t="shared" si="389"/>
        <v>0</v>
      </c>
      <c r="S246" s="160">
        <f t="shared" si="389"/>
        <v>0</v>
      </c>
      <c r="T246" s="160">
        <f t="shared" si="389"/>
        <v>0</v>
      </c>
      <c r="U246" s="160">
        <f t="shared" si="389"/>
        <v>0</v>
      </c>
      <c r="V246" s="160">
        <f t="shared" si="389"/>
        <v>0</v>
      </c>
      <c r="W246" s="160">
        <f t="shared" si="389"/>
        <v>0</v>
      </c>
      <c r="X246" s="160">
        <f t="shared" si="389"/>
        <v>0</v>
      </c>
      <c r="Y246" s="160">
        <f t="shared" si="389"/>
        <v>0</v>
      </c>
      <c r="Z246" s="160">
        <f t="shared" si="389"/>
        <v>0</v>
      </c>
      <c r="AA246" s="160">
        <f t="shared" si="394"/>
        <v>0</v>
      </c>
      <c r="AB246" s="160">
        <f t="shared" si="394"/>
        <v>0</v>
      </c>
      <c r="AC246" s="160">
        <f t="shared" si="394"/>
        <v>0</v>
      </c>
      <c r="AD246" s="160">
        <f t="shared" si="394"/>
        <v>0</v>
      </c>
      <c r="AE246" s="160">
        <f t="shared" si="394"/>
        <v>0</v>
      </c>
      <c r="AF246" s="160">
        <f t="shared" si="394"/>
        <v>0</v>
      </c>
      <c r="AG246" s="160">
        <f t="shared" si="394"/>
        <v>0</v>
      </c>
      <c r="AH246" s="160">
        <f t="shared" si="394"/>
        <v>0</v>
      </c>
      <c r="AI246" s="160">
        <f t="shared" si="394"/>
        <v>0</v>
      </c>
      <c r="AJ246" s="160">
        <f t="shared" si="394"/>
        <v>0</v>
      </c>
      <c r="AK246" s="160">
        <f t="shared" si="394"/>
        <v>0</v>
      </c>
      <c r="AL246" s="160">
        <f t="shared" si="394"/>
        <v>0</v>
      </c>
      <c r="AM246" s="160">
        <f t="shared" si="394"/>
        <v>0</v>
      </c>
      <c r="AN246" s="160">
        <f t="shared" si="394"/>
        <v>0</v>
      </c>
      <c r="AO246" s="160">
        <f t="shared" si="394"/>
        <v>0</v>
      </c>
      <c r="AP246" s="160">
        <f t="shared" si="394"/>
        <v>0</v>
      </c>
      <c r="AQ246" s="160">
        <f t="shared" si="395"/>
        <v>0</v>
      </c>
      <c r="AR246" s="160">
        <f t="shared" si="395"/>
        <v>0</v>
      </c>
      <c r="AS246" s="160">
        <f t="shared" si="395"/>
        <v>0</v>
      </c>
      <c r="AT246" s="160">
        <f t="shared" si="395"/>
        <v>0</v>
      </c>
      <c r="AU246" s="160">
        <f t="shared" si="395"/>
        <v>0</v>
      </c>
      <c r="AV246" s="160">
        <f t="shared" si="395"/>
        <v>0</v>
      </c>
      <c r="AW246" s="160">
        <f t="shared" si="395"/>
        <v>0</v>
      </c>
      <c r="AX246" s="160">
        <f t="shared" si="395"/>
        <v>0</v>
      </c>
      <c r="AY246" s="160">
        <f t="shared" si="395"/>
        <v>0</v>
      </c>
      <c r="AZ246" s="160">
        <f t="shared" si="395"/>
        <v>0</v>
      </c>
      <c r="BA246" s="160">
        <f t="shared" si="395"/>
        <v>0</v>
      </c>
      <c r="BB246" s="160">
        <f t="shared" si="395"/>
        <v>0</v>
      </c>
      <c r="BC246" s="160">
        <f t="shared" si="395"/>
        <v>0</v>
      </c>
      <c r="BD246" s="160">
        <f t="shared" si="395"/>
        <v>0</v>
      </c>
      <c r="BE246" s="160">
        <f t="shared" si="395"/>
        <v>0</v>
      </c>
      <c r="BF246" s="160">
        <f t="shared" si="395"/>
        <v>0</v>
      </c>
      <c r="BG246" s="160">
        <f t="shared" si="396"/>
        <v>0</v>
      </c>
      <c r="BH246" s="160">
        <f t="shared" si="396"/>
        <v>0</v>
      </c>
      <c r="BI246" s="160">
        <f t="shared" si="396"/>
        <v>0</v>
      </c>
      <c r="BJ246" s="160">
        <f t="shared" si="396"/>
        <v>0</v>
      </c>
      <c r="BK246" s="160">
        <f t="shared" si="396"/>
        <v>0</v>
      </c>
      <c r="BL246" s="160">
        <f t="shared" si="396"/>
        <v>0</v>
      </c>
      <c r="BM246" s="160">
        <f t="shared" si="396"/>
        <v>0</v>
      </c>
      <c r="BN246" s="160">
        <f t="shared" si="396"/>
        <v>0</v>
      </c>
      <c r="BO246" s="160">
        <f t="shared" si="396"/>
        <v>0</v>
      </c>
      <c r="BP246" s="160">
        <f t="shared" si="397"/>
        <v>0</v>
      </c>
      <c r="BQ246" s="160">
        <f t="shared" si="397"/>
        <v>0</v>
      </c>
      <c r="BR246" s="160">
        <f t="shared" si="397"/>
        <v>0</v>
      </c>
      <c r="BS246" s="65"/>
      <c r="BT246" s="160">
        <f t="shared" si="398"/>
        <v>0</v>
      </c>
      <c r="BU246" s="160">
        <f t="shared" si="399"/>
        <v>0</v>
      </c>
      <c r="BV246" s="65"/>
      <c r="BW246" s="69"/>
      <c r="BX246" s="65"/>
      <c r="BY246" s="137">
        <f t="shared" si="400"/>
        <v>1</v>
      </c>
      <c r="BZ246" s="137">
        <f>IF(BY246&gt;0,BY246+LARGE($BZ$213:BZ245,1),0)</f>
        <v>30</v>
      </c>
      <c r="CA246" s="137" t="str">
        <f t="shared" si="401"/>
        <v>AN SR. ADM/CRP</v>
      </c>
      <c r="CB246" s="161">
        <f t="shared" si="402"/>
        <v>0</v>
      </c>
      <c r="CC246" s="161">
        <f t="shared" si="403"/>
        <v>0</v>
      </c>
      <c r="CD246" s="161">
        <f t="shared" si="404"/>
        <v>0</v>
      </c>
      <c r="CE246" s="161">
        <f t="shared" si="405"/>
        <v>0</v>
      </c>
      <c r="CF246" s="161">
        <f t="shared" si="406"/>
        <v>0</v>
      </c>
      <c r="CG246" s="161">
        <f t="shared" si="407"/>
        <v>0</v>
      </c>
      <c r="CH246" s="161">
        <f t="shared" si="408"/>
        <v>0</v>
      </c>
      <c r="CI246" s="161">
        <f t="shared" si="409"/>
        <v>0</v>
      </c>
      <c r="CJ246" s="161">
        <f t="shared" si="410"/>
        <v>0</v>
      </c>
      <c r="CK246" s="161">
        <f t="shared" si="411"/>
        <v>0</v>
      </c>
      <c r="CL246" s="161">
        <f t="shared" si="412"/>
        <v>0</v>
      </c>
      <c r="CM246" s="161">
        <f t="shared" si="413"/>
        <v>0</v>
      </c>
      <c r="CN246" s="161">
        <f t="shared" si="414"/>
        <v>0</v>
      </c>
      <c r="CO246" s="161">
        <f t="shared" si="415"/>
        <v>0</v>
      </c>
      <c r="CP246" s="161">
        <f t="shared" si="416"/>
        <v>0</v>
      </c>
      <c r="CQ246" s="161">
        <f t="shared" si="417"/>
        <v>0</v>
      </c>
      <c r="CR246" s="161">
        <f t="shared" si="418"/>
        <v>0</v>
      </c>
      <c r="CS246" s="161">
        <f t="shared" si="419"/>
        <v>0</v>
      </c>
      <c r="CT246" s="161">
        <f t="shared" si="420"/>
        <v>0</v>
      </c>
      <c r="CU246" s="161">
        <f t="shared" si="421"/>
        <v>0</v>
      </c>
      <c r="CV246" s="161">
        <f t="shared" si="422"/>
        <v>0</v>
      </c>
      <c r="CW246" s="161">
        <f t="shared" si="423"/>
        <v>0</v>
      </c>
      <c r="CX246" s="161">
        <f t="shared" si="424"/>
        <v>0</v>
      </c>
      <c r="CY246" s="161">
        <f t="shared" si="425"/>
        <v>0</v>
      </c>
      <c r="CZ246" s="161">
        <f t="shared" si="426"/>
        <v>0</v>
      </c>
      <c r="DA246" s="161">
        <f t="shared" si="427"/>
        <v>0</v>
      </c>
      <c r="DB246" s="161">
        <f t="shared" si="428"/>
        <v>0</v>
      </c>
      <c r="DC246" s="161">
        <f t="shared" si="429"/>
        <v>0</v>
      </c>
      <c r="DD246" s="161">
        <f t="shared" si="430"/>
        <v>0</v>
      </c>
      <c r="DE246" s="161">
        <f t="shared" si="431"/>
        <v>0</v>
      </c>
      <c r="DF246" s="161">
        <f t="shared" si="432"/>
        <v>0</v>
      </c>
      <c r="DG246" s="161">
        <f t="shared" si="433"/>
        <v>0</v>
      </c>
      <c r="DH246" s="161">
        <f t="shared" si="434"/>
        <v>0</v>
      </c>
      <c r="DI246" s="161">
        <f t="shared" si="435"/>
        <v>0</v>
      </c>
      <c r="DJ246" s="161">
        <f t="shared" si="436"/>
        <v>0</v>
      </c>
      <c r="DK246" s="161">
        <f t="shared" si="437"/>
        <v>0</v>
      </c>
      <c r="DL246" s="161">
        <f t="shared" si="438"/>
        <v>0</v>
      </c>
      <c r="DM246" s="161">
        <f t="shared" si="439"/>
        <v>0</v>
      </c>
      <c r="DN246" s="161">
        <f t="shared" si="440"/>
        <v>0</v>
      </c>
      <c r="DO246" s="161">
        <f t="shared" si="441"/>
        <v>0</v>
      </c>
      <c r="DP246" s="161">
        <f t="shared" si="442"/>
        <v>0</v>
      </c>
      <c r="DQ246" s="161">
        <f t="shared" si="443"/>
        <v>0</v>
      </c>
      <c r="DR246" s="161">
        <f t="shared" si="444"/>
        <v>0</v>
      </c>
      <c r="DS246" s="161">
        <f t="shared" si="445"/>
        <v>0</v>
      </c>
      <c r="DT246" s="161">
        <f t="shared" si="446"/>
        <v>0</v>
      </c>
      <c r="DU246" s="161">
        <f t="shared" si="447"/>
        <v>0</v>
      </c>
      <c r="DV246" s="161">
        <f t="shared" si="448"/>
        <v>0</v>
      </c>
      <c r="DW246" s="161">
        <f t="shared" si="449"/>
        <v>0</v>
      </c>
      <c r="DX246" s="161">
        <f t="shared" si="450"/>
        <v>0</v>
      </c>
      <c r="DY246" s="161">
        <f t="shared" si="451"/>
        <v>0</v>
      </c>
      <c r="DZ246" s="161">
        <f t="shared" si="452"/>
        <v>0</v>
      </c>
      <c r="EA246" s="161">
        <f t="shared" si="453"/>
        <v>0</v>
      </c>
      <c r="EB246" s="161">
        <f t="shared" si="454"/>
        <v>0</v>
      </c>
      <c r="EC246" s="161">
        <f t="shared" si="455"/>
        <v>0</v>
      </c>
      <c r="ED246" s="161">
        <f t="shared" si="456"/>
        <v>0</v>
      </c>
      <c r="EE246" s="161">
        <f t="shared" si="457"/>
        <v>0</v>
      </c>
      <c r="EF246" s="161">
        <f t="shared" si="458"/>
        <v>0</v>
      </c>
      <c r="EG246" s="161">
        <f t="shared" si="459"/>
        <v>0</v>
      </c>
      <c r="EH246" s="161">
        <f t="shared" si="460"/>
        <v>0</v>
      </c>
      <c r="EI246" s="161">
        <f t="shared" si="461"/>
        <v>0</v>
      </c>
      <c r="EJ246" s="65"/>
      <c r="EK246" s="161">
        <f t="shared" si="390"/>
        <v>0</v>
      </c>
      <c r="EL246" s="161">
        <f t="shared" si="391"/>
        <v>0</v>
      </c>
      <c r="EM246" s="161">
        <f t="shared" si="392"/>
        <v>0</v>
      </c>
    </row>
    <row r="247" spans="1:143" ht="12" hidden="1" customHeight="1" outlineLevel="2">
      <c r="A247" s="77">
        <v>11</v>
      </c>
      <c r="B247" s="137" t="str">
        <f t="shared" si="387"/>
        <v>AN PL. ADM/CRP - Equipe_01</v>
      </c>
      <c r="C247" s="65"/>
      <c r="D247" s="622"/>
      <c r="E247" s="65"/>
      <c r="F247" s="584"/>
      <c r="G247" s="77" t="str">
        <f>IF(INDEX(Tarefas!$BT$30:$FK$30,MATCH(A247,Tarefas!$BT$28:$FK$28,0))=0,"",INDEX(Tarefas!$BT$30:$FK$30,MATCH(A247,Tarefas!$BT$28:$FK$28,0)))</f>
        <v>AN PL. ADM/CRP</v>
      </c>
      <c r="H247" s="107" cm="1">
        <f t="array" ref="H247">IFERROR((SUMPRODUCT((Tarefas!$N$32:$N$54='Cronog. e Histog.'!$F$237)*(Tarefas!$BQ$30:$FK$30='Cronog. e Histog.'!$G247)*(Tarefas!$BQ$32:$FK$54)))/SUMIF(Tarefas!$N$32:$N$54,'Cronog. e Histog.'!$F$237,Tarefas!$K$32:$K$54),0)</f>
        <v>0</v>
      </c>
      <c r="I247" s="79">
        <f t="shared" si="388"/>
        <v>0</v>
      </c>
      <c r="J247" s="65"/>
      <c r="K247" s="160">
        <f t="shared" si="389"/>
        <v>0</v>
      </c>
      <c r="L247" s="160">
        <f t="shared" si="389"/>
        <v>0</v>
      </c>
      <c r="M247" s="160">
        <f t="shared" si="389"/>
        <v>0</v>
      </c>
      <c r="N247" s="160">
        <f t="shared" si="389"/>
        <v>0</v>
      </c>
      <c r="O247" s="160">
        <f t="shared" si="389"/>
        <v>0</v>
      </c>
      <c r="P247" s="160">
        <f t="shared" si="389"/>
        <v>0</v>
      </c>
      <c r="Q247" s="160">
        <f t="shared" si="389"/>
        <v>0</v>
      </c>
      <c r="R247" s="160">
        <f t="shared" si="389"/>
        <v>0</v>
      </c>
      <c r="S247" s="160">
        <f t="shared" si="389"/>
        <v>0</v>
      </c>
      <c r="T247" s="160">
        <f t="shared" si="389"/>
        <v>0</v>
      </c>
      <c r="U247" s="160">
        <f t="shared" si="389"/>
        <v>0</v>
      </c>
      <c r="V247" s="160">
        <f t="shared" si="389"/>
        <v>0</v>
      </c>
      <c r="W247" s="160">
        <f t="shared" si="389"/>
        <v>0</v>
      </c>
      <c r="X247" s="160">
        <f t="shared" si="389"/>
        <v>0</v>
      </c>
      <c r="Y247" s="160">
        <f t="shared" si="389"/>
        <v>0</v>
      </c>
      <c r="Z247" s="160">
        <f t="shared" si="389"/>
        <v>0</v>
      </c>
      <c r="AA247" s="160">
        <f t="shared" si="394"/>
        <v>0</v>
      </c>
      <c r="AB247" s="160">
        <f t="shared" si="394"/>
        <v>0</v>
      </c>
      <c r="AC247" s="160">
        <f t="shared" si="394"/>
        <v>0</v>
      </c>
      <c r="AD247" s="160">
        <f t="shared" si="394"/>
        <v>0</v>
      </c>
      <c r="AE247" s="160">
        <f t="shared" si="394"/>
        <v>0</v>
      </c>
      <c r="AF247" s="160">
        <f t="shared" si="394"/>
        <v>0</v>
      </c>
      <c r="AG247" s="160">
        <f t="shared" si="394"/>
        <v>0</v>
      </c>
      <c r="AH247" s="160">
        <f t="shared" si="394"/>
        <v>0</v>
      </c>
      <c r="AI247" s="160">
        <f t="shared" si="394"/>
        <v>0</v>
      </c>
      <c r="AJ247" s="160">
        <f t="shared" si="394"/>
        <v>0</v>
      </c>
      <c r="AK247" s="160">
        <f t="shared" si="394"/>
        <v>0</v>
      </c>
      <c r="AL247" s="160">
        <f t="shared" si="394"/>
        <v>0</v>
      </c>
      <c r="AM247" s="160">
        <f t="shared" si="394"/>
        <v>0</v>
      </c>
      <c r="AN247" s="160">
        <f t="shared" si="394"/>
        <v>0</v>
      </c>
      <c r="AO247" s="160">
        <f t="shared" si="394"/>
        <v>0</v>
      </c>
      <c r="AP247" s="160">
        <f t="shared" si="394"/>
        <v>0</v>
      </c>
      <c r="AQ247" s="160">
        <f t="shared" si="395"/>
        <v>0</v>
      </c>
      <c r="AR247" s="160">
        <f t="shared" si="395"/>
        <v>0</v>
      </c>
      <c r="AS247" s="160">
        <f t="shared" si="395"/>
        <v>0</v>
      </c>
      <c r="AT247" s="160">
        <f t="shared" si="395"/>
        <v>0</v>
      </c>
      <c r="AU247" s="160">
        <f t="shared" si="395"/>
        <v>0</v>
      </c>
      <c r="AV247" s="160">
        <f t="shared" si="395"/>
        <v>0</v>
      </c>
      <c r="AW247" s="160">
        <f t="shared" si="395"/>
        <v>0</v>
      </c>
      <c r="AX247" s="160">
        <f t="shared" si="395"/>
        <v>0</v>
      </c>
      <c r="AY247" s="160">
        <f t="shared" si="395"/>
        <v>0</v>
      </c>
      <c r="AZ247" s="160">
        <f t="shared" si="395"/>
        <v>0</v>
      </c>
      <c r="BA247" s="160">
        <f t="shared" si="395"/>
        <v>0</v>
      </c>
      <c r="BB247" s="160">
        <f t="shared" si="395"/>
        <v>0</v>
      </c>
      <c r="BC247" s="160">
        <f t="shared" si="395"/>
        <v>0</v>
      </c>
      <c r="BD247" s="160">
        <f t="shared" si="395"/>
        <v>0</v>
      </c>
      <c r="BE247" s="160">
        <f t="shared" si="395"/>
        <v>0</v>
      </c>
      <c r="BF247" s="160">
        <f t="shared" si="395"/>
        <v>0</v>
      </c>
      <c r="BG247" s="160">
        <f t="shared" si="396"/>
        <v>0</v>
      </c>
      <c r="BH247" s="160">
        <f t="shared" si="396"/>
        <v>0</v>
      </c>
      <c r="BI247" s="160">
        <f t="shared" si="396"/>
        <v>0</v>
      </c>
      <c r="BJ247" s="160">
        <f t="shared" si="396"/>
        <v>0</v>
      </c>
      <c r="BK247" s="160">
        <f t="shared" si="396"/>
        <v>0</v>
      </c>
      <c r="BL247" s="160">
        <f t="shared" si="396"/>
        <v>0</v>
      </c>
      <c r="BM247" s="160">
        <f t="shared" si="396"/>
        <v>0</v>
      </c>
      <c r="BN247" s="160">
        <f t="shared" si="396"/>
        <v>0</v>
      </c>
      <c r="BO247" s="160">
        <f t="shared" si="396"/>
        <v>0</v>
      </c>
      <c r="BP247" s="160">
        <f t="shared" si="397"/>
        <v>0</v>
      </c>
      <c r="BQ247" s="160">
        <f t="shared" si="397"/>
        <v>0</v>
      </c>
      <c r="BR247" s="160">
        <f t="shared" si="397"/>
        <v>0</v>
      </c>
      <c r="BS247" s="65"/>
      <c r="BT247" s="160">
        <f t="shared" si="398"/>
        <v>0</v>
      </c>
      <c r="BU247" s="160">
        <f t="shared" si="399"/>
        <v>0</v>
      </c>
      <c r="BV247" s="65"/>
      <c r="BW247" s="69"/>
      <c r="BX247" s="65"/>
      <c r="BY247" s="137">
        <f t="shared" si="400"/>
        <v>1</v>
      </c>
      <c r="BZ247" s="137">
        <f>IF(BY247&gt;0,BY247+LARGE($BZ$213:BZ246,1),0)</f>
        <v>31</v>
      </c>
      <c r="CA247" s="137" t="str">
        <f t="shared" si="401"/>
        <v>AN PL. ADM/CRP</v>
      </c>
      <c r="CB247" s="161">
        <f t="shared" si="402"/>
        <v>0</v>
      </c>
      <c r="CC247" s="161">
        <f t="shared" si="403"/>
        <v>0</v>
      </c>
      <c r="CD247" s="161">
        <f t="shared" si="404"/>
        <v>0</v>
      </c>
      <c r="CE247" s="161">
        <f t="shared" si="405"/>
        <v>0</v>
      </c>
      <c r="CF247" s="161">
        <f t="shared" si="406"/>
        <v>0</v>
      </c>
      <c r="CG247" s="161">
        <f t="shared" si="407"/>
        <v>0</v>
      </c>
      <c r="CH247" s="161">
        <f t="shared" si="408"/>
        <v>0</v>
      </c>
      <c r="CI247" s="161">
        <f t="shared" si="409"/>
        <v>0</v>
      </c>
      <c r="CJ247" s="161">
        <f t="shared" si="410"/>
        <v>0</v>
      </c>
      <c r="CK247" s="161">
        <f t="shared" si="411"/>
        <v>0</v>
      </c>
      <c r="CL247" s="161">
        <f t="shared" si="412"/>
        <v>0</v>
      </c>
      <c r="CM247" s="161">
        <f t="shared" si="413"/>
        <v>0</v>
      </c>
      <c r="CN247" s="161">
        <f t="shared" si="414"/>
        <v>0</v>
      </c>
      <c r="CO247" s="161">
        <f t="shared" si="415"/>
        <v>0</v>
      </c>
      <c r="CP247" s="161">
        <f t="shared" si="416"/>
        <v>0</v>
      </c>
      <c r="CQ247" s="161">
        <f t="shared" si="417"/>
        <v>0</v>
      </c>
      <c r="CR247" s="161">
        <f t="shared" si="418"/>
        <v>0</v>
      </c>
      <c r="CS247" s="161">
        <f t="shared" si="419"/>
        <v>0</v>
      </c>
      <c r="CT247" s="161">
        <f t="shared" si="420"/>
        <v>0</v>
      </c>
      <c r="CU247" s="161">
        <f t="shared" si="421"/>
        <v>0</v>
      </c>
      <c r="CV247" s="161">
        <f t="shared" si="422"/>
        <v>0</v>
      </c>
      <c r="CW247" s="161">
        <f t="shared" si="423"/>
        <v>0</v>
      </c>
      <c r="CX247" s="161">
        <f t="shared" si="424"/>
        <v>0</v>
      </c>
      <c r="CY247" s="161">
        <f t="shared" si="425"/>
        <v>0</v>
      </c>
      <c r="CZ247" s="161">
        <f t="shared" si="426"/>
        <v>0</v>
      </c>
      <c r="DA247" s="161">
        <f t="shared" si="427"/>
        <v>0</v>
      </c>
      <c r="DB247" s="161">
        <f t="shared" si="428"/>
        <v>0</v>
      </c>
      <c r="DC247" s="161">
        <f t="shared" si="429"/>
        <v>0</v>
      </c>
      <c r="DD247" s="161">
        <f t="shared" si="430"/>
        <v>0</v>
      </c>
      <c r="DE247" s="161">
        <f t="shared" si="431"/>
        <v>0</v>
      </c>
      <c r="DF247" s="161">
        <f t="shared" si="432"/>
        <v>0</v>
      </c>
      <c r="DG247" s="161">
        <f t="shared" si="433"/>
        <v>0</v>
      </c>
      <c r="DH247" s="161">
        <f t="shared" si="434"/>
        <v>0</v>
      </c>
      <c r="DI247" s="161">
        <f t="shared" si="435"/>
        <v>0</v>
      </c>
      <c r="DJ247" s="161">
        <f t="shared" si="436"/>
        <v>0</v>
      </c>
      <c r="DK247" s="161">
        <f t="shared" si="437"/>
        <v>0</v>
      </c>
      <c r="DL247" s="161">
        <f t="shared" si="438"/>
        <v>0</v>
      </c>
      <c r="DM247" s="161">
        <f t="shared" si="439"/>
        <v>0</v>
      </c>
      <c r="DN247" s="161">
        <f t="shared" si="440"/>
        <v>0</v>
      </c>
      <c r="DO247" s="161">
        <f t="shared" si="441"/>
        <v>0</v>
      </c>
      <c r="DP247" s="161">
        <f t="shared" si="442"/>
        <v>0</v>
      </c>
      <c r="DQ247" s="161">
        <f t="shared" si="443"/>
        <v>0</v>
      </c>
      <c r="DR247" s="161">
        <f t="shared" si="444"/>
        <v>0</v>
      </c>
      <c r="DS247" s="161">
        <f t="shared" si="445"/>
        <v>0</v>
      </c>
      <c r="DT247" s="161">
        <f t="shared" si="446"/>
        <v>0</v>
      </c>
      <c r="DU247" s="161">
        <f t="shared" si="447"/>
        <v>0</v>
      </c>
      <c r="DV247" s="161">
        <f t="shared" si="448"/>
        <v>0</v>
      </c>
      <c r="DW247" s="161">
        <f t="shared" si="449"/>
        <v>0</v>
      </c>
      <c r="DX247" s="161">
        <f t="shared" si="450"/>
        <v>0</v>
      </c>
      <c r="DY247" s="161">
        <f t="shared" si="451"/>
        <v>0</v>
      </c>
      <c r="DZ247" s="161">
        <f t="shared" si="452"/>
        <v>0</v>
      </c>
      <c r="EA247" s="161">
        <f t="shared" si="453"/>
        <v>0</v>
      </c>
      <c r="EB247" s="161">
        <f t="shared" si="454"/>
        <v>0</v>
      </c>
      <c r="EC247" s="161">
        <f t="shared" si="455"/>
        <v>0</v>
      </c>
      <c r="ED247" s="161">
        <f t="shared" si="456"/>
        <v>0</v>
      </c>
      <c r="EE247" s="161">
        <f t="shared" si="457"/>
        <v>0</v>
      </c>
      <c r="EF247" s="161">
        <f t="shared" si="458"/>
        <v>0</v>
      </c>
      <c r="EG247" s="161">
        <f t="shared" si="459"/>
        <v>0</v>
      </c>
      <c r="EH247" s="161">
        <f t="shared" si="460"/>
        <v>0</v>
      </c>
      <c r="EI247" s="161">
        <f t="shared" si="461"/>
        <v>0</v>
      </c>
      <c r="EJ247" s="65"/>
      <c r="EK247" s="161">
        <f t="shared" si="390"/>
        <v>0</v>
      </c>
      <c r="EL247" s="161">
        <f t="shared" si="391"/>
        <v>0</v>
      </c>
      <c r="EM247" s="161">
        <f t="shared" si="392"/>
        <v>0</v>
      </c>
    </row>
    <row r="248" spans="1:143" ht="12" hidden="1" customHeight="1" outlineLevel="2">
      <c r="A248" s="77">
        <v>12</v>
      </c>
      <c r="B248" s="137" t="str">
        <f t="shared" si="387"/>
        <v>AN JR. ADM/CRP - Equipe_01</v>
      </c>
      <c r="C248" s="65"/>
      <c r="D248" s="622"/>
      <c r="E248" s="65"/>
      <c r="F248" s="584"/>
      <c r="G248" s="77" t="str">
        <f>IF(INDEX(Tarefas!$BT$30:$FK$30,MATCH(A248,Tarefas!$BT$28:$FK$28,0))=0,"",INDEX(Tarefas!$BT$30:$FK$30,MATCH(A248,Tarefas!$BT$28:$FK$28,0)))</f>
        <v>AN JR. ADM/CRP</v>
      </c>
      <c r="H248" s="107" cm="1">
        <f t="array" ref="H248">IFERROR((SUMPRODUCT((Tarefas!$N$32:$N$54='Cronog. e Histog.'!$F$237)*(Tarefas!$BQ$30:$FK$30='Cronog. e Histog.'!$G248)*(Tarefas!$BQ$32:$FK$54)))/SUMIF(Tarefas!$N$32:$N$54,'Cronog. e Histog.'!$F$237,Tarefas!$K$32:$K$54),0)</f>
        <v>0</v>
      </c>
      <c r="I248" s="79">
        <f t="shared" si="388"/>
        <v>0</v>
      </c>
      <c r="J248" s="65"/>
      <c r="K248" s="160">
        <f t="shared" si="389"/>
        <v>0</v>
      </c>
      <c r="L248" s="160">
        <f t="shared" si="389"/>
        <v>0</v>
      </c>
      <c r="M248" s="160">
        <f t="shared" si="389"/>
        <v>0</v>
      </c>
      <c r="N248" s="160">
        <f t="shared" si="389"/>
        <v>0</v>
      </c>
      <c r="O248" s="160">
        <f t="shared" si="389"/>
        <v>0</v>
      </c>
      <c r="P248" s="160">
        <f t="shared" si="389"/>
        <v>0</v>
      </c>
      <c r="Q248" s="160">
        <f t="shared" si="389"/>
        <v>0</v>
      </c>
      <c r="R248" s="160">
        <f t="shared" si="389"/>
        <v>0</v>
      </c>
      <c r="S248" s="160">
        <f t="shared" si="389"/>
        <v>0</v>
      </c>
      <c r="T248" s="160">
        <f t="shared" si="389"/>
        <v>0</v>
      </c>
      <c r="U248" s="160">
        <f t="shared" si="389"/>
        <v>0</v>
      </c>
      <c r="V248" s="160">
        <f t="shared" si="389"/>
        <v>0</v>
      </c>
      <c r="W248" s="160">
        <f t="shared" si="389"/>
        <v>0</v>
      </c>
      <c r="X248" s="160">
        <f t="shared" si="389"/>
        <v>0</v>
      </c>
      <c r="Y248" s="160">
        <f t="shared" si="389"/>
        <v>0</v>
      </c>
      <c r="Z248" s="160">
        <f t="shared" si="389"/>
        <v>0</v>
      </c>
      <c r="AA248" s="160">
        <f t="shared" si="394"/>
        <v>0</v>
      </c>
      <c r="AB248" s="160">
        <f t="shared" si="394"/>
        <v>0</v>
      </c>
      <c r="AC248" s="160">
        <f t="shared" si="394"/>
        <v>0</v>
      </c>
      <c r="AD248" s="160">
        <f t="shared" si="394"/>
        <v>0</v>
      </c>
      <c r="AE248" s="160">
        <f t="shared" si="394"/>
        <v>0</v>
      </c>
      <c r="AF248" s="160">
        <f t="shared" si="394"/>
        <v>0</v>
      </c>
      <c r="AG248" s="160">
        <f t="shared" si="394"/>
        <v>0</v>
      </c>
      <c r="AH248" s="160">
        <f t="shared" si="394"/>
        <v>0</v>
      </c>
      <c r="AI248" s="160">
        <f t="shared" si="394"/>
        <v>0</v>
      </c>
      <c r="AJ248" s="160">
        <f t="shared" si="394"/>
        <v>0</v>
      </c>
      <c r="AK248" s="160">
        <f t="shared" si="394"/>
        <v>0</v>
      </c>
      <c r="AL248" s="160">
        <f t="shared" si="394"/>
        <v>0</v>
      </c>
      <c r="AM248" s="160">
        <f t="shared" si="394"/>
        <v>0</v>
      </c>
      <c r="AN248" s="160">
        <f t="shared" si="394"/>
        <v>0</v>
      </c>
      <c r="AO248" s="160">
        <f t="shared" si="394"/>
        <v>0</v>
      </c>
      <c r="AP248" s="160">
        <f t="shared" si="394"/>
        <v>0</v>
      </c>
      <c r="AQ248" s="160">
        <f t="shared" si="395"/>
        <v>0</v>
      </c>
      <c r="AR248" s="160">
        <f t="shared" si="395"/>
        <v>0</v>
      </c>
      <c r="AS248" s="160">
        <f t="shared" si="395"/>
        <v>0</v>
      </c>
      <c r="AT248" s="160">
        <f t="shared" si="395"/>
        <v>0</v>
      </c>
      <c r="AU248" s="160">
        <f t="shared" si="395"/>
        <v>0</v>
      </c>
      <c r="AV248" s="160">
        <f t="shared" si="395"/>
        <v>0</v>
      </c>
      <c r="AW248" s="160">
        <f t="shared" si="395"/>
        <v>0</v>
      </c>
      <c r="AX248" s="160">
        <f t="shared" si="395"/>
        <v>0</v>
      </c>
      <c r="AY248" s="160">
        <f t="shared" si="395"/>
        <v>0</v>
      </c>
      <c r="AZ248" s="160">
        <f t="shared" si="395"/>
        <v>0</v>
      </c>
      <c r="BA248" s="160">
        <f t="shared" si="395"/>
        <v>0</v>
      </c>
      <c r="BB248" s="160">
        <f t="shared" si="395"/>
        <v>0</v>
      </c>
      <c r="BC248" s="160">
        <f t="shared" si="395"/>
        <v>0</v>
      </c>
      <c r="BD248" s="160">
        <f t="shared" si="395"/>
        <v>0</v>
      </c>
      <c r="BE248" s="160">
        <f t="shared" si="395"/>
        <v>0</v>
      </c>
      <c r="BF248" s="160">
        <f t="shared" si="395"/>
        <v>0</v>
      </c>
      <c r="BG248" s="160">
        <f t="shared" si="396"/>
        <v>0</v>
      </c>
      <c r="BH248" s="160">
        <f t="shared" si="396"/>
        <v>0</v>
      </c>
      <c r="BI248" s="160">
        <f t="shared" si="396"/>
        <v>0</v>
      </c>
      <c r="BJ248" s="160">
        <f t="shared" si="396"/>
        <v>0</v>
      </c>
      <c r="BK248" s="160">
        <f t="shared" si="396"/>
        <v>0</v>
      </c>
      <c r="BL248" s="160">
        <f t="shared" si="396"/>
        <v>0</v>
      </c>
      <c r="BM248" s="160">
        <f t="shared" si="396"/>
        <v>0</v>
      </c>
      <c r="BN248" s="160">
        <f t="shared" si="396"/>
        <v>0</v>
      </c>
      <c r="BO248" s="160">
        <f t="shared" si="396"/>
        <v>0</v>
      </c>
      <c r="BP248" s="160">
        <f t="shared" si="397"/>
        <v>0</v>
      </c>
      <c r="BQ248" s="160">
        <f t="shared" si="397"/>
        <v>0</v>
      </c>
      <c r="BR248" s="160">
        <f t="shared" si="397"/>
        <v>0</v>
      </c>
      <c r="BS248" s="65"/>
      <c r="BT248" s="160">
        <f t="shared" si="398"/>
        <v>0</v>
      </c>
      <c r="BU248" s="160">
        <f t="shared" si="399"/>
        <v>0</v>
      </c>
      <c r="BV248" s="65"/>
      <c r="BW248" s="69"/>
      <c r="BX248" s="65"/>
      <c r="BY248" s="137">
        <f t="shared" si="400"/>
        <v>1</v>
      </c>
      <c r="BZ248" s="137">
        <f>IF(BY248&gt;0,BY248+LARGE($BZ$213:BZ247,1),0)</f>
        <v>32</v>
      </c>
      <c r="CA248" s="137" t="str">
        <f t="shared" si="401"/>
        <v>AN JR. ADM/CRP</v>
      </c>
      <c r="CB248" s="161">
        <f t="shared" si="402"/>
        <v>0</v>
      </c>
      <c r="CC248" s="161">
        <f t="shared" si="403"/>
        <v>0</v>
      </c>
      <c r="CD248" s="161">
        <f t="shared" si="404"/>
        <v>0</v>
      </c>
      <c r="CE248" s="161">
        <f t="shared" si="405"/>
        <v>0</v>
      </c>
      <c r="CF248" s="161">
        <f t="shared" si="406"/>
        <v>0</v>
      </c>
      <c r="CG248" s="161">
        <f t="shared" si="407"/>
        <v>0</v>
      </c>
      <c r="CH248" s="161">
        <f t="shared" si="408"/>
        <v>0</v>
      </c>
      <c r="CI248" s="161">
        <f t="shared" si="409"/>
        <v>0</v>
      </c>
      <c r="CJ248" s="161">
        <f t="shared" si="410"/>
        <v>0</v>
      </c>
      <c r="CK248" s="161">
        <f t="shared" si="411"/>
        <v>0</v>
      </c>
      <c r="CL248" s="161">
        <f t="shared" si="412"/>
        <v>0</v>
      </c>
      <c r="CM248" s="161">
        <f t="shared" si="413"/>
        <v>0</v>
      </c>
      <c r="CN248" s="161">
        <f t="shared" si="414"/>
        <v>0</v>
      </c>
      <c r="CO248" s="161">
        <f t="shared" si="415"/>
        <v>0</v>
      </c>
      <c r="CP248" s="161">
        <f t="shared" si="416"/>
        <v>0</v>
      </c>
      <c r="CQ248" s="161">
        <f t="shared" si="417"/>
        <v>0</v>
      </c>
      <c r="CR248" s="161">
        <f t="shared" si="418"/>
        <v>0</v>
      </c>
      <c r="CS248" s="161">
        <f t="shared" si="419"/>
        <v>0</v>
      </c>
      <c r="CT248" s="161">
        <f t="shared" si="420"/>
        <v>0</v>
      </c>
      <c r="CU248" s="161">
        <f t="shared" si="421"/>
        <v>0</v>
      </c>
      <c r="CV248" s="161">
        <f t="shared" si="422"/>
        <v>0</v>
      </c>
      <c r="CW248" s="161">
        <f t="shared" si="423"/>
        <v>0</v>
      </c>
      <c r="CX248" s="161">
        <f t="shared" si="424"/>
        <v>0</v>
      </c>
      <c r="CY248" s="161">
        <f t="shared" si="425"/>
        <v>0</v>
      </c>
      <c r="CZ248" s="161">
        <f t="shared" si="426"/>
        <v>0</v>
      </c>
      <c r="DA248" s="161">
        <f t="shared" si="427"/>
        <v>0</v>
      </c>
      <c r="DB248" s="161">
        <f t="shared" si="428"/>
        <v>0</v>
      </c>
      <c r="DC248" s="161">
        <f t="shared" si="429"/>
        <v>0</v>
      </c>
      <c r="DD248" s="161">
        <f t="shared" si="430"/>
        <v>0</v>
      </c>
      <c r="DE248" s="161">
        <f t="shared" si="431"/>
        <v>0</v>
      </c>
      <c r="DF248" s="161">
        <f t="shared" si="432"/>
        <v>0</v>
      </c>
      <c r="DG248" s="161">
        <f t="shared" si="433"/>
        <v>0</v>
      </c>
      <c r="DH248" s="161">
        <f t="shared" si="434"/>
        <v>0</v>
      </c>
      <c r="DI248" s="161">
        <f t="shared" si="435"/>
        <v>0</v>
      </c>
      <c r="DJ248" s="161">
        <f t="shared" si="436"/>
        <v>0</v>
      </c>
      <c r="DK248" s="161">
        <f t="shared" si="437"/>
        <v>0</v>
      </c>
      <c r="DL248" s="161">
        <f t="shared" si="438"/>
        <v>0</v>
      </c>
      <c r="DM248" s="161">
        <f t="shared" si="439"/>
        <v>0</v>
      </c>
      <c r="DN248" s="161">
        <f t="shared" si="440"/>
        <v>0</v>
      </c>
      <c r="DO248" s="161">
        <f t="shared" si="441"/>
        <v>0</v>
      </c>
      <c r="DP248" s="161">
        <f t="shared" si="442"/>
        <v>0</v>
      </c>
      <c r="DQ248" s="161">
        <f t="shared" si="443"/>
        <v>0</v>
      </c>
      <c r="DR248" s="161">
        <f t="shared" si="444"/>
        <v>0</v>
      </c>
      <c r="DS248" s="161">
        <f t="shared" si="445"/>
        <v>0</v>
      </c>
      <c r="DT248" s="161">
        <f t="shared" si="446"/>
        <v>0</v>
      </c>
      <c r="DU248" s="161">
        <f t="shared" si="447"/>
        <v>0</v>
      </c>
      <c r="DV248" s="161">
        <f t="shared" si="448"/>
        <v>0</v>
      </c>
      <c r="DW248" s="161">
        <f t="shared" si="449"/>
        <v>0</v>
      </c>
      <c r="DX248" s="161">
        <f t="shared" si="450"/>
        <v>0</v>
      </c>
      <c r="DY248" s="161">
        <f t="shared" si="451"/>
        <v>0</v>
      </c>
      <c r="DZ248" s="161">
        <f t="shared" si="452"/>
        <v>0</v>
      </c>
      <c r="EA248" s="161">
        <f t="shared" si="453"/>
        <v>0</v>
      </c>
      <c r="EB248" s="161">
        <f t="shared" si="454"/>
        <v>0</v>
      </c>
      <c r="EC248" s="161">
        <f t="shared" si="455"/>
        <v>0</v>
      </c>
      <c r="ED248" s="161">
        <f t="shared" si="456"/>
        <v>0</v>
      </c>
      <c r="EE248" s="161">
        <f t="shared" si="457"/>
        <v>0</v>
      </c>
      <c r="EF248" s="161">
        <f t="shared" si="458"/>
        <v>0</v>
      </c>
      <c r="EG248" s="161">
        <f t="shared" si="459"/>
        <v>0</v>
      </c>
      <c r="EH248" s="161">
        <f t="shared" si="460"/>
        <v>0</v>
      </c>
      <c r="EI248" s="161">
        <f t="shared" si="461"/>
        <v>0</v>
      </c>
      <c r="EJ248" s="65"/>
      <c r="EK248" s="161">
        <f t="shared" si="390"/>
        <v>0</v>
      </c>
      <c r="EL248" s="161">
        <f t="shared" si="391"/>
        <v>0</v>
      </c>
      <c r="EM248" s="161">
        <f t="shared" si="392"/>
        <v>0</v>
      </c>
    </row>
    <row r="249" spans="1:143" ht="12" hidden="1" customHeight="1" outlineLevel="2">
      <c r="A249" s="77">
        <v>13</v>
      </c>
      <c r="B249" s="137" t="str">
        <f t="shared" si="387"/>
        <v>TEC III - Equipe_01</v>
      </c>
      <c r="C249" s="65"/>
      <c r="D249" s="622"/>
      <c r="E249" s="65"/>
      <c r="F249" s="584"/>
      <c r="G249" s="77" t="str">
        <f>IF(INDEX(Tarefas!$BT$30:$FK$30,MATCH(A249,Tarefas!$BT$28:$FK$28,0))=0,"",INDEX(Tarefas!$BT$30:$FK$30,MATCH(A249,Tarefas!$BT$28:$FK$28,0)))</f>
        <v>TEC III</v>
      </c>
      <c r="H249" s="107" cm="1">
        <f t="array" ref="H249">IFERROR((SUMPRODUCT((Tarefas!$N$32:$N$54='Cronog. e Histog.'!$F$237)*(Tarefas!$BQ$30:$FK$30='Cronog. e Histog.'!$G249)*(Tarefas!$BQ$32:$FK$54)))/SUMIF(Tarefas!$N$32:$N$54,'Cronog. e Histog.'!$F$237,Tarefas!$K$32:$K$54),0)</f>
        <v>0</v>
      </c>
      <c r="I249" s="79">
        <f t="shared" si="388"/>
        <v>0</v>
      </c>
      <c r="J249" s="65"/>
      <c r="K249" s="160">
        <f t="shared" si="389"/>
        <v>0</v>
      </c>
      <c r="L249" s="160">
        <f t="shared" si="389"/>
        <v>0</v>
      </c>
      <c r="M249" s="160">
        <f t="shared" si="389"/>
        <v>0</v>
      </c>
      <c r="N249" s="160">
        <f t="shared" si="389"/>
        <v>0</v>
      </c>
      <c r="O249" s="160">
        <f t="shared" si="389"/>
        <v>0</v>
      </c>
      <c r="P249" s="160">
        <f t="shared" si="389"/>
        <v>0</v>
      </c>
      <c r="Q249" s="160">
        <f t="shared" si="389"/>
        <v>0</v>
      </c>
      <c r="R249" s="160">
        <f t="shared" si="389"/>
        <v>0</v>
      </c>
      <c r="S249" s="160">
        <f t="shared" si="389"/>
        <v>0</v>
      </c>
      <c r="T249" s="160">
        <f t="shared" si="389"/>
        <v>0</v>
      </c>
      <c r="U249" s="160">
        <f t="shared" si="389"/>
        <v>0</v>
      </c>
      <c r="V249" s="160">
        <f t="shared" si="389"/>
        <v>0</v>
      </c>
      <c r="W249" s="160">
        <f t="shared" si="389"/>
        <v>0</v>
      </c>
      <c r="X249" s="160">
        <f t="shared" si="389"/>
        <v>0</v>
      </c>
      <c r="Y249" s="160">
        <f t="shared" si="389"/>
        <v>0</v>
      </c>
      <c r="Z249" s="160">
        <f t="shared" si="389"/>
        <v>0</v>
      </c>
      <c r="AA249" s="160">
        <f t="shared" si="394"/>
        <v>0</v>
      </c>
      <c r="AB249" s="160">
        <f t="shared" si="394"/>
        <v>0</v>
      </c>
      <c r="AC249" s="160">
        <f t="shared" si="394"/>
        <v>0</v>
      </c>
      <c r="AD249" s="160">
        <f t="shared" si="394"/>
        <v>0</v>
      </c>
      <c r="AE249" s="160">
        <f t="shared" si="394"/>
        <v>0</v>
      </c>
      <c r="AF249" s="160">
        <f t="shared" si="394"/>
        <v>0</v>
      </c>
      <c r="AG249" s="160">
        <f t="shared" si="394"/>
        <v>0</v>
      </c>
      <c r="AH249" s="160">
        <f t="shared" si="394"/>
        <v>0</v>
      </c>
      <c r="AI249" s="160">
        <f t="shared" si="394"/>
        <v>0</v>
      </c>
      <c r="AJ249" s="160">
        <f t="shared" si="394"/>
        <v>0</v>
      </c>
      <c r="AK249" s="160">
        <f t="shared" si="394"/>
        <v>0</v>
      </c>
      <c r="AL249" s="160">
        <f t="shared" si="394"/>
        <v>0</v>
      </c>
      <c r="AM249" s="160">
        <f t="shared" si="394"/>
        <v>0</v>
      </c>
      <c r="AN249" s="160">
        <f t="shared" si="394"/>
        <v>0</v>
      </c>
      <c r="AO249" s="160">
        <f t="shared" si="394"/>
        <v>0</v>
      </c>
      <c r="AP249" s="160">
        <f t="shared" si="394"/>
        <v>0</v>
      </c>
      <c r="AQ249" s="160">
        <f t="shared" si="395"/>
        <v>0</v>
      </c>
      <c r="AR249" s="160">
        <f t="shared" si="395"/>
        <v>0</v>
      </c>
      <c r="AS249" s="160">
        <f t="shared" si="395"/>
        <v>0</v>
      </c>
      <c r="AT249" s="160">
        <f t="shared" si="395"/>
        <v>0</v>
      </c>
      <c r="AU249" s="160">
        <f t="shared" si="395"/>
        <v>0</v>
      </c>
      <c r="AV249" s="160">
        <f t="shared" si="395"/>
        <v>0</v>
      </c>
      <c r="AW249" s="160">
        <f t="shared" si="395"/>
        <v>0</v>
      </c>
      <c r="AX249" s="160">
        <f t="shared" si="395"/>
        <v>0</v>
      </c>
      <c r="AY249" s="160">
        <f t="shared" si="395"/>
        <v>0</v>
      </c>
      <c r="AZ249" s="160">
        <f t="shared" si="395"/>
        <v>0</v>
      </c>
      <c r="BA249" s="160">
        <f t="shared" si="395"/>
        <v>0</v>
      </c>
      <c r="BB249" s="160">
        <f t="shared" si="395"/>
        <v>0</v>
      </c>
      <c r="BC249" s="160">
        <f t="shared" si="395"/>
        <v>0</v>
      </c>
      <c r="BD249" s="160">
        <f t="shared" si="395"/>
        <v>0</v>
      </c>
      <c r="BE249" s="160">
        <f t="shared" si="395"/>
        <v>0</v>
      </c>
      <c r="BF249" s="160">
        <f t="shared" si="395"/>
        <v>0</v>
      </c>
      <c r="BG249" s="160">
        <f t="shared" si="396"/>
        <v>0</v>
      </c>
      <c r="BH249" s="160">
        <f t="shared" si="396"/>
        <v>0</v>
      </c>
      <c r="BI249" s="160">
        <f t="shared" si="396"/>
        <v>0</v>
      </c>
      <c r="BJ249" s="160">
        <f t="shared" si="396"/>
        <v>0</v>
      </c>
      <c r="BK249" s="160">
        <f t="shared" si="396"/>
        <v>0</v>
      </c>
      <c r="BL249" s="160">
        <f t="shared" si="396"/>
        <v>0</v>
      </c>
      <c r="BM249" s="160">
        <f t="shared" si="396"/>
        <v>0</v>
      </c>
      <c r="BN249" s="160">
        <f t="shared" si="396"/>
        <v>0</v>
      </c>
      <c r="BO249" s="160">
        <f t="shared" si="396"/>
        <v>0</v>
      </c>
      <c r="BP249" s="160">
        <f t="shared" si="397"/>
        <v>0</v>
      </c>
      <c r="BQ249" s="160">
        <f t="shared" si="397"/>
        <v>0</v>
      </c>
      <c r="BR249" s="160">
        <f t="shared" si="397"/>
        <v>0</v>
      </c>
      <c r="BS249" s="65"/>
      <c r="BT249" s="160">
        <f t="shared" si="398"/>
        <v>0</v>
      </c>
      <c r="BU249" s="160">
        <f t="shared" si="399"/>
        <v>0</v>
      </c>
      <c r="BV249" s="65"/>
      <c r="BW249" s="69"/>
      <c r="BX249" s="65"/>
      <c r="BY249" s="137">
        <f t="shared" si="400"/>
        <v>1</v>
      </c>
      <c r="BZ249" s="137">
        <f>IF(BY249&gt;0,BY249+LARGE($BZ$213:BZ248,1),0)</f>
        <v>33</v>
      </c>
      <c r="CA249" s="137" t="str">
        <f t="shared" si="401"/>
        <v>TEC III</v>
      </c>
      <c r="CB249" s="161">
        <f t="shared" si="402"/>
        <v>0</v>
      </c>
      <c r="CC249" s="161">
        <f t="shared" si="403"/>
        <v>0</v>
      </c>
      <c r="CD249" s="161">
        <f t="shared" si="404"/>
        <v>0</v>
      </c>
      <c r="CE249" s="161">
        <f t="shared" si="405"/>
        <v>0</v>
      </c>
      <c r="CF249" s="161">
        <f t="shared" si="406"/>
        <v>0</v>
      </c>
      <c r="CG249" s="161">
        <f t="shared" si="407"/>
        <v>0</v>
      </c>
      <c r="CH249" s="161">
        <f t="shared" si="408"/>
        <v>0</v>
      </c>
      <c r="CI249" s="161">
        <f t="shared" si="409"/>
        <v>0</v>
      </c>
      <c r="CJ249" s="161">
        <f t="shared" si="410"/>
        <v>0</v>
      </c>
      <c r="CK249" s="161">
        <f t="shared" si="411"/>
        <v>0</v>
      </c>
      <c r="CL249" s="161">
        <f t="shared" si="412"/>
        <v>0</v>
      </c>
      <c r="CM249" s="161">
        <f t="shared" si="413"/>
        <v>0</v>
      </c>
      <c r="CN249" s="161">
        <f t="shared" si="414"/>
        <v>0</v>
      </c>
      <c r="CO249" s="161">
        <f t="shared" si="415"/>
        <v>0</v>
      </c>
      <c r="CP249" s="161">
        <f t="shared" si="416"/>
        <v>0</v>
      </c>
      <c r="CQ249" s="161">
        <f t="shared" si="417"/>
        <v>0</v>
      </c>
      <c r="CR249" s="161">
        <f t="shared" si="418"/>
        <v>0</v>
      </c>
      <c r="CS249" s="161">
        <f t="shared" si="419"/>
        <v>0</v>
      </c>
      <c r="CT249" s="161">
        <f t="shared" si="420"/>
        <v>0</v>
      </c>
      <c r="CU249" s="161">
        <f t="shared" si="421"/>
        <v>0</v>
      </c>
      <c r="CV249" s="161">
        <f t="shared" si="422"/>
        <v>0</v>
      </c>
      <c r="CW249" s="161">
        <f t="shared" si="423"/>
        <v>0</v>
      </c>
      <c r="CX249" s="161">
        <f t="shared" si="424"/>
        <v>0</v>
      </c>
      <c r="CY249" s="161">
        <f t="shared" si="425"/>
        <v>0</v>
      </c>
      <c r="CZ249" s="161">
        <f t="shared" si="426"/>
        <v>0</v>
      </c>
      <c r="DA249" s="161">
        <f t="shared" si="427"/>
        <v>0</v>
      </c>
      <c r="DB249" s="161">
        <f t="shared" si="428"/>
        <v>0</v>
      </c>
      <c r="DC249" s="161">
        <f t="shared" si="429"/>
        <v>0</v>
      </c>
      <c r="DD249" s="161">
        <f t="shared" si="430"/>
        <v>0</v>
      </c>
      <c r="DE249" s="161">
        <f t="shared" si="431"/>
        <v>0</v>
      </c>
      <c r="DF249" s="161">
        <f t="shared" si="432"/>
        <v>0</v>
      </c>
      <c r="DG249" s="161">
        <f t="shared" si="433"/>
        <v>0</v>
      </c>
      <c r="DH249" s="161">
        <f t="shared" si="434"/>
        <v>0</v>
      </c>
      <c r="DI249" s="161">
        <f t="shared" si="435"/>
        <v>0</v>
      </c>
      <c r="DJ249" s="161">
        <f t="shared" si="436"/>
        <v>0</v>
      </c>
      <c r="DK249" s="161">
        <f t="shared" si="437"/>
        <v>0</v>
      </c>
      <c r="DL249" s="161">
        <f t="shared" si="438"/>
        <v>0</v>
      </c>
      <c r="DM249" s="161">
        <f t="shared" si="439"/>
        <v>0</v>
      </c>
      <c r="DN249" s="161">
        <f t="shared" si="440"/>
        <v>0</v>
      </c>
      <c r="DO249" s="161">
        <f t="shared" si="441"/>
        <v>0</v>
      </c>
      <c r="DP249" s="161">
        <f t="shared" si="442"/>
        <v>0</v>
      </c>
      <c r="DQ249" s="161">
        <f t="shared" si="443"/>
        <v>0</v>
      </c>
      <c r="DR249" s="161">
        <f t="shared" si="444"/>
        <v>0</v>
      </c>
      <c r="DS249" s="161">
        <f t="shared" si="445"/>
        <v>0</v>
      </c>
      <c r="DT249" s="161">
        <f t="shared" si="446"/>
        <v>0</v>
      </c>
      <c r="DU249" s="161">
        <f t="shared" si="447"/>
        <v>0</v>
      </c>
      <c r="DV249" s="161">
        <f t="shared" si="448"/>
        <v>0</v>
      </c>
      <c r="DW249" s="161">
        <f t="shared" si="449"/>
        <v>0</v>
      </c>
      <c r="DX249" s="161">
        <f t="shared" si="450"/>
        <v>0</v>
      </c>
      <c r="DY249" s="161">
        <f t="shared" si="451"/>
        <v>0</v>
      </c>
      <c r="DZ249" s="161">
        <f t="shared" si="452"/>
        <v>0</v>
      </c>
      <c r="EA249" s="161">
        <f t="shared" si="453"/>
        <v>0</v>
      </c>
      <c r="EB249" s="161">
        <f t="shared" si="454"/>
        <v>0</v>
      </c>
      <c r="EC249" s="161">
        <f t="shared" si="455"/>
        <v>0</v>
      </c>
      <c r="ED249" s="161">
        <f t="shared" si="456"/>
        <v>0</v>
      </c>
      <c r="EE249" s="161">
        <f t="shared" si="457"/>
        <v>0</v>
      </c>
      <c r="EF249" s="161">
        <f t="shared" si="458"/>
        <v>0</v>
      </c>
      <c r="EG249" s="161">
        <f t="shared" si="459"/>
        <v>0</v>
      </c>
      <c r="EH249" s="161">
        <f t="shared" si="460"/>
        <v>0</v>
      </c>
      <c r="EI249" s="161">
        <f t="shared" si="461"/>
        <v>0</v>
      </c>
      <c r="EJ249" s="65"/>
      <c r="EK249" s="161">
        <f t="shared" si="390"/>
        <v>0</v>
      </c>
      <c r="EL249" s="161">
        <f t="shared" si="391"/>
        <v>0</v>
      </c>
      <c r="EM249" s="161">
        <f t="shared" si="392"/>
        <v>0</v>
      </c>
    </row>
    <row r="250" spans="1:143" ht="12" hidden="1" customHeight="1" outlineLevel="2">
      <c r="A250" s="77">
        <v>14</v>
      </c>
      <c r="B250" s="137" t="str">
        <f t="shared" si="387"/>
        <v>TEC II - Equipe_01</v>
      </c>
      <c r="C250" s="65"/>
      <c r="D250" s="622"/>
      <c r="E250" s="65"/>
      <c r="F250" s="584"/>
      <c r="G250" s="77" t="str">
        <f>IF(INDEX(Tarefas!$BT$30:$FK$30,MATCH(A250,Tarefas!$BT$28:$FK$28,0))=0,"",INDEX(Tarefas!$BT$30:$FK$30,MATCH(A250,Tarefas!$BT$28:$FK$28,0)))</f>
        <v>TEC II</v>
      </c>
      <c r="H250" s="107" cm="1">
        <f t="array" ref="H250">IFERROR((SUMPRODUCT((Tarefas!$N$32:$N$54='Cronog. e Histog.'!$F$237)*(Tarefas!$BQ$30:$FK$30='Cronog. e Histog.'!$G250)*(Tarefas!$BQ$32:$FK$54)))/SUMIF(Tarefas!$N$32:$N$54,'Cronog. e Histog.'!$F$237,Tarefas!$K$32:$K$54),0)</f>
        <v>0</v>
      </c>
      <c r="I250" s="79">
        <f t="shared" si="388"/>
        <v>0</v>
      </c>
      <c r="J250" s="65"/>
      <c r="K250" s="160">
        <f t="shared" si="389"/>
        <v>0</v>
      </c>
      <c r="L250" s="160">
        <f t="shared" si="389"/>
        <v>0</v>
      </c>
      <c r="M250" s="160">
        <f t="shared" si="389"/>
        <v>0</v>
      </c>
      <c r="N250" s="160">
        <f t="shared" si="389"/>
        <v>0</v>
      </c>
      <c r="O250" s="160">
        <f t="shared" si="389"/>
        <v>0</v>
      </c>
      <c r="P250" s="160">
        <f t="shared" si="389"/>
        <v>0</v>
      </c>
      <c r="Q250" s="160">
        <f t="shared" si="389"/>
        <v>0</v>
      </c>
      <c r="R250" s="160">
        <f t="shared" si="389"/>
        <v>0</v>
      </c>
      <c r="S250" s="160">
        <f t="shared" si="389"/>
        <v>0</v>
      </c>
      <c r="T250" s="160">
        <f t="shared" si="389"/>
        <v>0</v>
      </c>
      <c r="U250" s="160">
        <f t="shared" si="389"/>
        <v>0</v>
      </c>
      <c r="V250" s="160">
        <f t="shared" si="389"/>
        <v>0</v>
      </c>
      <c r="W250" s="160">
        <f t="shared" si="389"/>
        <v>0</v>
      </c>
      <c r="X250" s="160">
        <f t="shared" si="389"/>
        <v>0</v>
      </c>
      <c r="Y250" s="160">
        <f t="shared" si="389"/>
        <v>0</v>
      </c>
      <c r="Z250" s="160">
        <f t="shared" si="389"/>
        <v>0</v>
      </c>
      <c r="AA250" s="160">
        <f t="shared" si="394"/>
        <v>0</v>
      </c>
      <c r="AB250" s="160">
        <f t="shared" si="394"/>
        <v>0</v>
      </c>
      <c r="AC250" s="160">
        <f t="shared" si="394"/>
        <v>0</v>
      </c>
      <c r="AD250" s="160">
        <f t="shared" si="394"/>
        <v>0</v>
      </c>
      <c r="AE250" s="160">
        <f t="shared" si="394"/>
        <v>0</v>
      </c>
      <c r="AF250" s="160">
        <f t="shared" si="394"/>
        <v>0</v>
      </c>
      <c r="AG250" s="160">
        <f t="shared" si="394"/>
        <v>0</v>
      </c>
      <c r="AH250" s="160">
        <f t="shared" si="394"/>
        <v>0</v>
      </c>
      <c r="AI250" s="160">
        <f t="shared" si="394"/>
        <v>0</v>
      </c>
      <c r="AJ250" s="160">
        <f t="shared" si="394"/>
        <v>0</v>
      </c>
      <c r="AK250" s="160">
        <f t="shared" si="394"/>
        <v>0</v>
      </c>
      <c r="AL250" s="160">
        <f t="shared" si="394"/>
        <v>0</v>
      </c>
      <c r="AM250" s="160">
        <f t="shared" si="394"/>
        <v>0</v>
      </c>
      <c r="AN250" s="160">
        <f t="shared" si="394"/>
        <v>0</v>
      </c>
      <c r="AO250" s="160">
        <f t="shared" si="394"/>
        <v>0</v>
      </c>
      <c r="AP250" s="160">
        <f t="shared" si="394"/>
        <v>0</v>
      </c>
      <c r="AQ250" s="160">
        <f t="shared" si="395"/>
        <v>0</v>
      </c>
      <c r="AR250" s="160">
        <f t="shared" si="395"/>
        <v>0</v>
      </c>
      <c r="AS250" s="160">
        <f t="shared" si="395"/>
        <v>0</v>
      </c>
      <c r="AT250" s="160">
        <f t="shared" si="395"/>
        <v>0</v>
      </c>
      <c r="AU250" s="160">
        <f t="shared" si="395"/>
        <v>0</v>
      </c>
      <c r="AV250" s="160">
        <f t="shared" si="395"/>
        <v>0</v>
      </c>
      <c r="AW250" s="160">
        <f t="shared" si="395"/>
        <v>0</v>
      </c>
      <c r="AX250" s="160">
        <f t="shared" si="395"/>
        <v>0</v>
      </c>
      <c r="AY250" s="160">
        <f t="shared" si="395"/>
        <v>0</v>
      </c>
      <c r="AZ250" s="160">
        <f t="shared" si="395"/>
        <v>0</v>
      </c>
      <c r="BA250" s="160">
        <f t="shared" si="395"/>
        <v>0</v>
      </c>
      <c r="BB250" s="160">
        <f t="shared" si="395"/>
        <v>0</v>
      </c>
      <c r="BC250" s="160">
        <f t="shared" si="395"/>
        <v>0</v>
      </c>
      <c r="BD250" s="160">
        <f t="shared" si="395"/>
        <v>0</v>
      </c>
      <c r="BE250" s="160">
        <f t="shared" si="395"/>
        <v>0</v>
      </c>
      <c r="BF250" s="160">
        <f t="shared" si="395"/>
        <v>0</v>
      </c>
      <c r="BG250" s="160">
        <f t="shared" si="396"/>
        <v>0</v>
      </c>
      <c r="BH250" s="160">
        <f t="shared" si="396"/>
        <v>0</v>
      </c>
      <c r="BI250" s="160">
        <f t="shared" si="396"/>
        <v>0</v>
      </c>
      <c r="BJ250" s="160">
        <f t="shared" si="396"/>
        <v>0</v>
      </c>
      <c r="BK250" s="160">
        <f t="shared" si="396"/>
        <v>0</v>
      </c>
      <c r="BL250" s="160">
        <f t="shared" si="396"/>
        <v>0</v>
      </c>
      <c r="BM250" s="160">
        <f t="shared" si="396"/>
        <v>0</v>
      </c>
      <c r="BN250" s="160">
        <f t="shared" si="396"/>
        <v>0</v>
      </c>
      <c r="BO250" s="160">
        <f t="shared" si="396"/>
        <v>0</v>
      </c>
      <c r="BP250" s="160">
        <f t="shared" si="397"/>
        <v>0</v>
      </c>
      <c r="BQ250" s="160">
        <f t="shared" si="397"/>
        <v>0</v>
      </c>
      <c r="BR250" s="160">
        <f t="shared" si="397"/>
        <v>0</v>
      </c>
      <c r="BS250" s="65"/>
      <c r="BT250" s="160">
        <f t="shared" si="398"/>
        <v>0</v>
      </c>
      <c r="BU250" s="160">
        <f t="shared" si="399"/>
        <v>0</v>
      </c>
      <c r="BV250" s="65"/>
      <c r="BW250" s="69"/>
      <c r="BX250" s="65"/>
      <c r="BY250" s="137">
        <f t="shared" si="400"/>
        <v>1</v>
      </c>
      <c r="BZ250" s="137">
        <f>IF(BY250&gt;0,BY250+LARGE($BZ$213:BZ249,1),0)</f>
        <v>34</v>
      </c>
      <c r="CA250" s="137" t="str">
        <f t="shared" si="401"/>
        <v>TEC II</v>
      </c>
      <c r="CB250" s="161">
        <f t="shared" si="402"/>
        <v>0</v>
      </c>
      <c r="CC250" s="161">
        <f t="shared" si="403"/>
        <v>0</v>
      </c>
      <c r="CD250" s="161">
        <f t="shared" si="404"/>
        <v>0</v>
      </c>
      <c r="CE250" s="161">
        <f t="shared" si="405"/>
        <v>0</v>
      </c>
      <c r="CF250" s="161">
        <f t="shared" si="406"/>
        <v>0</v>
      </c>
      <c r="CG250" s="161">
        <f t="shared" si="407"/>
        <v>0</v>
      </c>
      <c r="CH250" s="161">
        <f t="shared" si="408"/>
        <v>0</v>
      </c>
      <c r="CI250" s="161">
        <f t="shared" si="409"/>
        <v>0</v>
      </c>
      <c r="CJ250" s="161">
        <f t="shared" si="410"/>
        <v>0</v>
      </c>
      <c r="CK250" s="161">
        <f t="shared" si="411"/>
        <v>0</v>
      </c>
      <c r="CL250" s="161">
        <f t="shared" si="412"/>
        <v>0</v>
      </c>
      <c r="CM250" s="161">
        <f t="shared" si="413"/>
        <v>0</v>
      </c>
      <c r="CN250" s="161">
        <f t="shared" si="414"/>
        <v>0</v>
      </c>
      <c r="CO250" s="161">
        <f t="shared" si="415"/>
        <v>0</v>
      </c>
      <c r="CP250" s="161">
        <f t="shared" si="416"/>
        <v>0</v>
      </c>
      <c r="CQ250" s="161">
        <f t="shared" si="417"/>
        <v>0</v>
      </c>
      <c r="CR250" s="161">
        <f t="shared" si="418"/>
        <v>0</v>
      </c>
      <c r="CS250" s="161">
        <f t="shared" si="419"/>
        <v>0</v>
      </c>
      <c r="CT250" s="161">
        <f t="shared" si="420"/>
        <v>0</v>
      </c>
      <c r="CU250" s="161">
        <f t="shared" si="421"/>
        <v>0</v>
      </c>
      <c r="CV250" s="161">
        <f t="shared" si="422"/>
        <v>0</v>
      </c>
      <c r="CW250" s="161">
        <f t="shared" si="423"/>
        <v>0</v>
      </c>
      <c r="CX250" s="161">
        <f t="shared" si="424"/>
        <v>0</v>
      </c>
      <c r="CY250" s="161">
        <f t="shared" si="425"/>
        <v>0</v>
      </c>
      <c r="CZ250" s="161">
        <f t="shared" si="426"/>
        <v>0</v>
      </c>
      <c r="DA250" s="161">
        <f t="shared" si="427"/>
        <v>0</v>
      </c>
      <c r="DB250" s="161">
        <f t="shared" si="428"/>
        <v>0</v>
      </c>
      <c r="DC250" s="161">
        <f t="shared" si="429"/>
        <v>0</v>
      </c>
      <c r="DD250" s="161">
        <f t="shared" si="430"/>
        <v>0</v>
      </c>
      <c r="DE250" s="161">
        <f t="shared" si="431"/>
        <v>0</v>
      </c>
      <c r="DF250" s="161">
        <f t="shared" si="432"/>
        <v>0</v>
      </c>
      <c r="DG250" s="161">
        <f t="shared" si="433"/>
        <v>0</v>
      </c>
      <c r="DH250" s="161">
        <f t="shared" si="434"/>
        <v>0</v>
      </c>
      <c r="DI250" s="161">
        <f t="shared" si="435"/>
        <v>0</v>
      </c>
      <c r="DJ250" s="161">
        <f t="shared" si="436"/>
        <v>0</v>
      </c>
      <c r="DK250" s="161">
        <f t="shared" si="437"/>
        <v>0</v>
      </c>
      <c r="DL250" s="161">
        <f t="shared" si="438"/>
        <v>0</v>
      </c>
      <c r="DM250" s="161">
        <f t="shared" si="439"/>
        <v>0</v>
      </c>
      <c r="DN250" s="161">
        <f t="shared" si="440"/>
        <v>0</v>
      </c>
      <c r="DO250" s="161">
        <f t="shared" si="441"/>
        <v>0</v>
      </c>
      <c r="DP250" s="161">
        <f t="shared" si="442"/>
        <v>0</v>
      </c>
      <c r="DQ250" s="161">
        <f t="shared" si="443"/>
        <v>0</v>
      </c>
      <c r="DR250" s="161">
        <f t="shared" si="444"/>
        <v>0</v>
      </c>
      <c r="DS250" s="161">
        <f t="shared" si="445"/>
        <v>0</v>
      </c>
      <c r="DT250" s="161">
        <f t="shared" si="446"/>
        <v>0</v>
      </c>
      <c r="DU250" s="161">
        <f t="shared" si="447"/>
        <v>0</v>
      </c>
      <c r="DV250" s="161">
        <f t="shared" si="448"/>
        <v>0</v>
      </c>
      <c r="DW250" s="161">
        <f t="shared" si="449"/>
        <v>0</v>
      </c>
      <c r="DX250" s="161">
        <f t="shared" si="450"/>
        <v>0</v>
      </c>
      <c r="DY250" s="161">
        <f t="shared" si="451"/>
        <v>0</v>
      </c>
      <c r="DZ250" s="161">
        <f t="shared" si="452"/>
        <v>0</v>
      </c>
      <c r="EA250" s="161">
        <f t="shared" si="453"/>
        <v>0</v>
      </c>
      <c r="EB250" s="161">
        <f t="shared" si="454"/>
        <v>0</v>
      </c>
      <c r="EC250" s="161">
        <f t="shared" si="455"/>
        <v>0</v>
      </c>
      <c r="ED250" s="161">
        <f t="shared" si="456"/>
        <v>0</v>
      </c>
      <c r="EE250" s="161">
        <f t="shared" si="457"/>
        <v>0</v>
      </c>
      <c r="EF250" s="161">
        <f t="shared" si="458"/>
        <v>0</v>
      </c>
      <c r="EG250" s="161">
        <f t="shared" si="459"/>
        <v>0</v>
      </c>
      <c r="EH250" s="161">
        <f t="shared" si="460"/>
        <v>0</v>
      </c>
      <c r="EI250" s="161">
        <f t="shared" si="461"/>
        <v>0</v>
      </c>
      <c r="EJ250" s="65"/>
      <c r="EK250" s="161">
        <f t="shared" si="390"/>
        <v>0</v>
      </c>
      <c r="EL250" s="161">
        <f t="shared" si="391"/>
        <v>0</v>
      </c>
      <c r="EM250" s="161">
        <f t="shared" si="392"/>
        <v>0</v>
      </c>
    </row>
    <row r="251" spans="1:143" ht="12" hidden="1" customHeight="1" outlineLevel="2">
      <c r="A251" s="77">
        <v>15</v>
      </c>
      <c r="B251" s="137" t="str">
        <f t="shared" si="387"/>
        <v>TEC I - Equipe_01</v>
      </c>
      <c r="C251" s="65"/>
      <c r="D251" s="622"/>
      <c r="E251" s="65"/>
      <c r="F251" s="584"/>
      <c r="G251" s="77" t="str">
        <f>IF(INDEX(Tarefas!$BT$30:$FK$30,MATCH(A251,Tarefas!$BT$28:$FK$28,0))=0,"",INDEX(Tarefas!$BT$30:$FK$30,MATCH(A251,Tarefas!$BT$28:$FK$28,0)))</f>
        <v>TEC I</v>
      </c>
      <c r="H251" s="107" cm="1">
        <f t="array" ref="H251">IFERROR((SUMPRODUCT((Tarefas!$N$32:$N$54='Cronog. e Histog.'!$F$237)*(Tarefas!$BQ$30:$FK$30='Cronog. e Histog.'!$G251)*(Tarefas!$BQ$32:$FK$54)))/SUMIF(Tarefas!$N$32:$N$54,'Cronog. e Histog.'!$F$237,Tarefas!$K$32:$K$54),0)</f>
        <v>0</v>
      </c>
      <c r="I251" s="79">
        <f t="shared" si="388"/>
        <v>0</v>
      </c>
      <c r="J251" s="65"/>
      <c r="K251" s="160">
        <f t="shared" si="389"/>
        <v>0</v>
      </c>
      <c r="L251" s="160">
        <f t="shared" si="389"/>
        <v>0</v>
      </c>
      <c r="M251" s="160">
        <f t="shared" si="389"/>
        <v>0</v>
      </c>
      <c r="N251" s="160">
        <f t="shared" si="389"/>
        <v>0</v>
      </c>
      <c r="O251" s="160">
        <f t="shared" si="389"/>
        <v>0</v>
      </c>
      <c r="P251" s="160">
        <f t="shared" si="389"/>
        <v>0</v>
      </c>
      <c r="Q251" s="160">
        <f t="shared" si="389"/>
        <v>0</v>
      </c>
      <c r="R251" s="160">
        <f t="shared" si="389"/>
        <v>0</v>
      </c>
      <c r="S251" s="160">
        <f t="shared" si="389"/>
        <v>0</v>
      </c>
      <c r="T251" s="160">
        <f t="shared" si="389"/>
        <v>0</v>
      </c>
      <c r="U251" s="160">
        <f t="shared" si="389"/>
        <v>0</v>
      </c>
      <c r="V251" s="160">
        <f t="shared" si="389"/>
        <v>0</v>
      </c>
      <c r="W251" s="160">
        <f t="shared" si="389"/>
        <v>0</v>
      </c>
      <c r="X251" s="160">
        <f t="shared" si="389"/>
        <v>0</v>
      </c>
      <c r="Y251" s="160">
        <f t="shared" si="389"/>
        <v>0</v>
      </c>
      <c r="Z251" s="160">
        <f t="shared" si="389"/>
        <v>0</v>
      </c>
      <c r="AA251" s="160">
        <f t="shared" si="394"/>
        <v>0</v>
      </c>
      <c r="AB251" s="160">
        <f t="shared" si="394"/>
        <v>0</v>
      </c>
      <c r="AC251" s="160">
        <f t="shared" si="394"/>
        <v>0</v>
      </c>
      <c r="AD251" s="160">
        <f t="shared" si="394"/>
        <v>0</v>
      </c>
      <c r="AE251" s="160">
        <f t="shared" si="394"/>
        <v>0</v>
      </c>
      <c r="AF251" s="160">
        <f t="shared" si="394"/>
        <v>0</v>
      </c>
      <c r="AG251" s="160">
        <f t="shared" si="394"/>
        <v>0</v>
      </c>
      <c r="AH251" s="160">
        <f t="shared" si="394"/>
        <v>0</v>
      </c>
      <c r="AI251" s="160">
        <f t="shared" si="394"/>
        <v>0</v>
      </c>
      <c r="AJ251" s="160">
        <f t="shared" si="394"/>
        <v>0</v>
      </c>
      <c r="AK251" s="160">
        <f t="shared" si="394"/>
        <v>0</v>
      </c>
      <c r="AL251" s="160">
        <f t="shared" si="394"/>
        <v>0</v>
      </c>
      <c r="AM251" s="160">
        <f t="shared" si="394"/>
        <v>0</v>
      </c>
      <c r="AN251" s="160">
        <f t="shared" si="394"/>
        <v>0</v>
      </c>
      <c r="AO251" s="160">
        <f t="shared" si="394"/>
        <v>0</v>
      </c>
      <c r="AP251" s="160">
        <f t="shared" si="394"/>
        <v>0</v>
      </c>
      <c r="AQ251" s="160">
        <f t="shared" si="395"/>
        <v>0</v>
      </c>
      <c r="AR251" s="160">
        <f t="shared" si="395"/>
        <v>0</v>
      </c>
      <c r="AS251" s="160">
        <f t="shared" si="395"/>
        <v>0</v>
      </c>
      <c r="AT251" s="160">
        <f t="shared" si="395"/>
        <v>0</v>
      </c>
      <c r="AU251" s="160">
        <f t="shared" si="395"/>
        <v>0</v>
      </c>
      <c r="AV251" s="160">
        <f t="shared" si="395"/>
        <v>0</v>
      </c>
      <c r="AW251" s="160">
        <f t="shared" si="395"/>
        <v>0</v>
      </c>
      <c r="AX251" s="160">
        <f t="shared" si="395"/>
        <v>0</v>
      </c>
      <c r="AY251" s="160">
        <f t="shared" si="395"/>
        <v>0</v>
      </c>
      <c r="AZ251" s="160">
        <f t="shared" si="395"/>
        <v>0</v>
      </c>
      <c r="BA251" s="160">
        <f t="shared" si="395"/>
        <v>0</v>
      </c>
      <c r="BB251" s="160">
        <f t="shared" si="395"/>
        <v>0</v>
      </c>
      <c r="BC251" s="160">
        <f t="shared" si="395"/>
        <v>0</v>
      </c>
      <c r="BD251" s="160">
        <f t="shared" si="395"/>
        <v>0</v>
      </c>
      <c r="BE251" s="160">
        <f t="shared" si="395"/>
        <v>0</v>
      </c>
      <c r="BF251" s="160">
        <f t="shared" si="395"/>
        <v>0</v>
      </c>
      <c r="BG251" s="160">
        <f t="shared" si="396"/>
        <v>0</v>
      </c>
      <c r="BH251" s="160">
        <f t="shared" si="396"/>
        <v>0</v>
      </c>
      <c r="BI251" s="160">
        <f t="shared" si="396"/>
        <v>0</v>
      </c>
      <c r="BJ251" s="160">
        <f t="shared" si="396"/>
        <v>0</v>
      </c>
      <c r="BK251" s="160">
        <f t="shared" si="396"/>
        <v>0</v>
      </c>
      <c r="BL251" s="160">
        <f t="shared" si="396"/>
        <v>0</v>
      </c>
      <c r="BM251" s="160">
        <f t="shared" si="396"/>
        <v>0</v>
      </c>
      <c r="BN251" s="160">
        <f t="shared" si="396"/>
        <v>0</v>
      </c>
      <c r="BO251" s="160">
        <f t="shared" si="396"/>
        <v>0</v>
      </c>
      <c r="BP251" s="160">
        <f t="shared" si="397"/>
        <v>0</v>
      </c>
      <c r="BQ251" s="160">
        <f t="shared" si="397"/>
        <v>0</v>
      </c>
      <c r="BR251" s="160">
        <f t="shared" si="397"/>
        <v>0</v>
      </c>
      <c r="BS251" s="65"/>
      <c r="BT251" s="160">
        <f t="shared" si="398"/>
        <v>0</v>
      </c>
      <c r="BU251" s="160">
        <f t="shared" si="399"/>
        <v>0</v>
      </c>
      <c r="BV251" s="65"/>
      <c r="BW251" s="69"/>
      <c r="BX251" s="65"/>
      <c r="BY251" s="137">
        <f t="shared" si="400"/>
        <v>1</v>
      </c>
      <c r="BZ251" s="137">
        <f>IF(BY251&gt;0,BY251+LARGE($BZ$213:BZ250,1),0)</f>
        <v>35</v>
      </c>
      <c r="CA251" s="137" t="str">
        <f t="shared" si="401"/>
        <v>TEC I</v>
      </c>
      <c r="CB251" s="161">
        <f t="shared" si="402"/>
        <v>0</v>
      </c>
      <c r="CC251" s="161">
        <f t="shared" si="403"/>
        <v>0</v>
      </c>
      <c r="CD251" s="161">
        <f t="shared" si="404"/>
        <v>0</v>
      </c>
      <c r="CE251" s="161">
        <f t="shared" si="405"/>
        <v>0</v>
      </c>
      <c r="CF251" s="161">
        <f t="shared" si="406"/>
        <v>0</v>
      </c>
      <c r="CG251" s="161">
        <f t="shared" si="407"/>
        <v>0</v>
      </c>
      <c r="CH251" s="161">
        <f t="shared" si="408"/>
        <v>0</v>
      </c>
      <c r="CI251" s="161">
        <f t="shared" si="409"/>
        <v>0</v>
      </c>
      <c r="CJ251" s="161">
        <f t="shared" si="410"/>
        <v>0</v>
      </c>
      <c r="CK251" s="161">
        <f t="shared" si="411"/>
        <v>0</v>
      </c>
      <c r="CL251" s="161">
        <f t="shared" si="412"/>
        <v>0</v>
      </c>
      <c r="CM251" s="161">
        <f t="shared" si="413"/>
        <v>0</v>
      </c>
      <c r="CN251" s="161">
        <f t="shared" si="414"/>
        <v>0</v>
      </c>
      <c r="CO251" s="161">
        <f t="shared" si="415"/>
        <v>0</v>
      </c>
      <c r="CP251" s="161">
        <f t="shared" si="416"/>
        <v>0</v>
      </c>
      <c r="CQ251" s="161">
        <f t="shared" si="417"/>
        <v>0</v>
      </c>
      <c r="CR251" s="161">
        <f t="shared" si="418"/>
        <v>0</v>
      </c>
      <c r="CS251" s="161">
        <f t="shared" si="419"/>
        <v>0</v>
      </c>
      <c r="CT251" s="161">
        <f t="shared" si="420"/>
        <v>0</v>
      </c>
      <c r="CU251" s="161">
        <f t="shared" si="421"/>
        <v>0</v>
      </c>
      <c r="CV251" s="161">
        <f t="shared" si="422"/>
        <v>0</v>
      </c>
      <c r="CW251" s="161">
        <f t="shared" si="423"/>
        <v>0</v>
      </c>
      <c r="CX251" s="161">
        <f t="shared" si="424"/>
        <v>0</v>
      </c>
      <c r="CY251" s="161">
        <f t="shared" si="425"/>
        <v>0</v>
      </c>
      <c r="CZ251" s="161">
        <f t="shared" si="426"/>
        <v>0</v>
      </c>
      <c r="DA251" s="161">
        <f t="shared" si="427"/>
        <v>0</v>
      </c>
      <c r="DB251" s="161">
        <f t="shared" si="428"/>
        <v>0</v>
      </c>
      <c r="DC251" s="161">
        <f t="shared" si="429"/>
        <v>0</v>
      </c>
      <c r="DD251" s="161">
        <f t="shared" si="430"/>
        <v>0</v>
      </c>
      <c r="DE251" s="161">
        <f t="shared" si="431"/>
        <v>0</v>
      </c>
      <c r="DF251" s="161">
        <f t="shared" si="432"/>
        <v>0</v>
      </c>
      <c r="DG251" s="161">
        <f t="shared" si="433"/>
        <v>0</v>
      </c>
      <c r="DH251" s="161">
        <f t="shared" si="434"/>
        <v>0</v>
      </c>
      <c r="DI251" s="161">
        <f t="shared" si="435"/>
        <v>0</v>
      </c>
      <c r="DJ251" s="161">
        <f t="shared" si="436"/>
        <v>0</v>
      </c>
      <c r="DK251" s="161">
        <f t="shared" si="437"/>
        <v>0</v>
      </c>
      <c r="DL251" s="161">
        <f t="shared" si="438"/>
        <v>0</v>
      </c>
      <c r="DM251" s="161">
        <f t="shared" si="439"/>
        <v>0</v>
      </c>
      <c r="DN251" s="161">
        <f t="shared" si="440"/>
        <v>0</v>
      </c>
      <c r="DO251" s="161">
        <f t="shared" si="441"/>
        <v>0</v>
      </c>
      <c r="DP251" s="161">
        <f t="shared" si="442"/>
        <v>0</v>
      </c>
      <c r="DQ251" s="161">
        <f t="shared" si="443"/>
        <v>0</v>
      </c>
      <c r="DR251" s="161">
        <f t="shared" si="444"/>
        <v>0</v>
      </c>
      <c r="DS251" s="161">
        <f t="shared" si="445"/>
        <v>0</v>
      </c>
      <c r="DT251" s="161">
        <f t="shared" si="446"/>
        <v>0</v>
      </c>
      <c r="DU251" s="161">
        <f t="shared" si="447"/>
        <v>0</v>
      </c>
      <c r="DV251" s="161">
        <f t="shared" si="448"/>
        <v>0</v>
      </c>
      <c r="DW251" s="161">
        <f t="shared" si="449"/>
        <v>0</v>
      </c>
      <c r="DX251" s="161">
        <f t="shared" si="450"/>
        <v>0</v>
      </c>
      <c r="DY251" s="161">
        <f t="shared" si="451"/>
        <v>0</v>
      </c>
      <c r="DZ251" s="161">
        <f t="shared" si="452"/>
        <v>0</v>
      </c>
      <c r="EA251" s="161">
        <f t="shared" si="453"/>
        <v>0</v>
      </c>
      <c r="EB251" s="161">
        <f t="shared" si="454"/>
        <v>0</v>
      </c>
      <c r="EC251" s="161">
        <f t="shared" si="455"/>
        <v>0</v>
      </c>
      <c r="ED251" s="161">
        <f t="shared" si="456"/>
        <v>0</v>
      </c>
      <c r="EE251" s="161">
        <f t="shared" si="457"/>
        <v>0</v>
      </c>
      <c r="EF251" s="161">
        <f t="shared" si="458"/>
        <v>0</v>
      </c>
      <c r="EG251" s="161">
        <f t="shared" si="459"/>
        <v>0</v>
      </c>
      <c r="EH251" s="161">
        <f t="shared" si="460"/>
        <v>0</v>
      </c>
      <c r="EI251" s="161">
        <f t="shared" si="461"/>
        <v>0</v>
      </c>
      <c r="EJ251" s="65"/>
      <c r="EK251" s="161">
        <f t="shared" si="390"/>
        <v>0</v>
      </c>
      <c r="EL251" s="161">
        <f t="shared" si="391"/>
        <v>0</v>
      </c>
      <c r="EM251" s="161">
        <f t="shared" si="392"/>
        <v>0</v>
      </c>
    </row>
    <row r="252" spans="1:143" ht="12" hidden="1" customHeight="1" outlineLevel="2">
      <c r="A252" s="77">
        <v>16</v>
      </c>
      <c r="B252" s="137" t="str">
        <f t="shared" si="387"/>
        <v>AUX TEC - Equipe_01</v>
      </c>
      <c r="C252" s="65"/>
      <c r="D252" s="622"/>
      <c r="E252" s="65"/>
      <c r="F252" s="584"/>
      <c r="G252" s="77" t="str">
        <f>IF(INDEX(Tarefas!$BT$30:$FK$30,MATCH(A252,Tarefas!$BT$28:$FK$28,0))=0,"",INDEX(Tarefas!$BT$30:$FK$30,MATCH(A252,Tarefas!$BT$28:$FK$28,0)))</f>
        <v>AUX TEC</v>
      </c>
      <c r="H252" s="107" cm="1">
        <f t="array" ref="H252">IFERROR((SUMPRODUCT((Tarefas!$N$32:$N$54='Cronog. e Histog.'!$F$237)*(Tarefas!$BQ$30:$FK$30='Cronog. e Histog.'!$G252)*(Tarefas!$BQ$32:$FK$54)))/SUMIF(Tarefas!$N$32:$N$54,'Cronog. e Histog.'!$F$237,Tarefas!$K$32:$K$54),0)</f>
        <v>0</v>
      </c>
      <c r="I252" s="79">
        <f t="shared" si="388"/>
        <v>0</v>
      </c>
      <c r="J252" s="65"/>
      <c r="K252" s="160">
        <f t="shared" si="389"/>
        <v>0</v>
      </c>
      <c r="L252" s="160">
        <f t="shared" si="379"/>
        <v>0</v>
      </c>
      <c r="M252" s="160">
        <f t="shared" si="379"/>
        <v>0</v>
      </c>
      <c r="N252" s="160">
        <f t="shared" si="379"/>
        <v>0</v>
      </c>
      <c r="O252" s="160">
        <f t="shared" si="379"/>
        <v>0</v>
      </c>
      <c r="P252" s="160">
        <f t="shared" si="379"/>
        <v>0</v>
      </c>
      <c r="Q252" s="160">
        <f t="shared" si="379"/>
        <v>0</v>
      </c>
      <c r="R252" s="160">
        <f t="shared" si="379"/>
        <v>0</v>
      </c>
      <c r="S252" s="160">
        <f t="shared" si="379"/>
        <v>0</v>
      </c>
      <c r="T252" s="160">
        <f t="shared" si="379"/>
        <v>0</v>
      </c>
      <c r="U252" s="160">
        <f t="shared" si="379"/>
        <v>0</v>
      </c>
      <c r="V252" s="160">
        <f t="shared" si="379"/>
        <v>0</v>
      </c>
      <c r="W252" s="160">
        <f t="shared" si="379"/>
        <v>0</v>
      </c>
      <c r="X252" s="160">
        <f t="shared" si="379"/>
        <v>0</v>
      </c>
      <c r="Y252" s="160">
        <f t="shared" si="379"/>
        <v>0</v>
      </c>
      <c r="Z252" s="160">
        <f t="shared" si="379"/>
        <v>0</v>
      </c>
      <c r="AA252" s="160">
        <f t="shared" si="379"/>
        <v>0</v>
      </c>
      <c r="AB252" s="160">
        <f t="shared" si="379"/>
        <v>0</v>
      </c>
      <c r="AC252" s="160">
        <f t="shared" si="379"/>
        <v>0</v>
      </c>
      <c r="AD252" s="160">
        <f t="shared" si="379"/>
        <v>0</v>
      </c>
      <c r="AE252" s="160">
        <f t="shared" si="379"/>
        <v>0</v>
      </c>
      <c r="AF252" s="160">
        <f t="shared" si="379"/>
        <v>0</v>
      </c>
      <c r="AG252" s="160">
        <f t="shared" si="379"/>
        <v>0</v>
      </c>
      <c r="AH252" s="160">
        <f t="shared" si="379"/>
        <v>0</v>
      </c>
      <c r="AI252" s="160">
        <f t="shared" si="379"/>
        <v>0</v>
      </c>
      <c r="AJ252" s="160">
        <f t="shared" si="379"/>
        <v>0</v>
      </c>
      <c r="AK252" s="160">
        <f t="shared" si="379"/>
        <v>0</v>
      </c>
      <c r="AL252" s="160">
        <f t="shared" si="379"/>
        <v>0</v>
      </c>
      <c r="AM252" s="160">
        <f t="shared" si="379"/>
        <v>0</v>
      </c>
      <c r="AN252" s="160">
        <f t="shared" si="379"/>
        <v>0</v>
      </c>
      <c r="AO252" s="160">
        <f t="shared" si="379"/>
        <v>0</v>
      </c>
      <c r="AP252" s="160">
        <f t="shared" si="379"/>
        <v>0</v>
      </c>
      <c r="AQ252" s="160">
        <f t="shared" si="379"/>
        <v>0</v>
      </c>
      <c r="AR252" s="160">
        <f t="shared" si="379"/>
        <v>0</v>
      </c>
      <c r="AS252" s="160">
        <f t="shared" si="379"/>
        <v>0</v>
      </c>
      <c r="AT252" s="160">
        <f t="shared" si="380"/>
        <v>0</v>
      </c>
      <c r="AU252" s="160">
        <f t="shared" si="380"/>
        <v>0</v>
      </c>
      <c r="AV252" s="160">
        <f t="shared" si="380"/>
        <v>0</v>
      </c>
      <c r="AW252" s="160">
        <f t="shared" si="380"/>
        <v>0</v>
      </c>
      <c r="AX252" s="160">
        <f t="shared" si="380"/>
        <v>0</v>
      </c>
      <c r="AY252" s="160">
        <f t="shared" si="380"/>
        <v>0</v>
      </c>
      <c r="AZ252" s="160">
        <f t="shared" si="380"/>
        <v>0</v>
      </c>
      <c r="BA252" s="160">
        <f t="shared" si="380"/>
        <v>0</v>
      </c>
      <c r="BB252" s="160">
        <f t="shared" si="380"/>
        <v>0</v>
      </c>
      <c r="BC252" s="160">
        <f t="shared" si="380"/>
        <v>0</v>
      </c>
      <c r="BD252" s="160">
        <f t="shared" si="380"/>
        <v>0</v>
      </c>
      <c r="BE252" s="160">
        <f t="shared" si="380"/>
        <v>0</v>
      </c>
      <c r="BF252" s="160">
        <f t="shared" si="380"/>
        <v>0</v>
      </c>
      <c r="BG252" s="160">
        <f t="shared" si="380"/>
        <v>0</v>
      </c>
      <c r="BH252" s="160">
        <f t="shared" si="380"/>
        <v>0</v>
      </c>
      <c r="BI252" s="160">
        <f t="shared" si="380"/>
        <v>0</v>
      </c>
      <c r="BJ252" s="160">
        <f t="shared" si="380"/>
        <v>0</v>
      </c>
      <c r="BK252" s="160">
        <f t="shared" si="380"/>
        <v>0</v>
      </c>
      <c r="BL252" s="160">
        <f t="shared" si="380"/>
        <v>0</v>
      </c>
      <c r="BM252" s="160">
        <f t="shared" si="380"/>
        <v>0</v>
      </c>
      <c r="BN252" s="160">
        <f t="shared" si="380"/>
        <v>0</v>
      </c>
      <c r="BO252" s="160">
        <f t="shared" si="380"/>
        <v>0</v>
      </c>
      <c r="BP252" s="160">
        <f t="shared" si="380"/>
        <v>0</v>
      </c>
      <c r="BQ252" s="160">
        <f t="shared" si="380"/>
        <v>0</v>
      </c>
      <c r="BR252" s="160">
        <f t="shared" si="380"/>
        <v>0</v>
      </c>
      <c r="BS252" s="65"/>
      <c r="BT252" s="160">
        <f t="shared" si="381"/>
        <v>0</v>
      </c>
      <c r="BU252" s="160">
        <f t="shared" si="382"/>
        <v>0</v>
      </c>
      <c r="BV252" s="65"/>
      <c r="BW252" s="69"/>
      <c r="BX252" s="65"/>
      <c r="BY252" s="137">
        <f t="shared" si="383"/>
        <v>1</v>
      </c>
      <c r="BZ252" s="137">
        <f>IF(BY252&gt;0,BY252+LARGE($BZ$213:BZ251,1),0)</f>
        <v>36</v>
      </c>
      <c r="CA252" s="137" t="str">
        <f t="shared" si="384"/>
        <v>AUX TEC</v>
      </c>
      <c r="CB252" s="161">
        <f t="shared" si="385"/>
        <v>0</v>
      </c>
      <c r="CC252" s="161">
        <f t="shared" ref="CC252:CU256" si="462">L252</f>
        <v>0</v>
      </c>
      <c r="CD252" s="161">
        <f t="shared" si="462"/>
        <v>0</v>
      </c>
      <c r="CE252" s="161">
        <f t="shared" si="462"/>
        <v>0</v>
      </c>
      <c r="CF252" s="161">
        <f t="shared" si="462"/>
        <v>0</v>
      </c>
      <c r="CG252" s="161">
        <f t="shared" si="462"/>
        <v>0</v>
      </c>
      <c r="CH252" s="161">
        <f t="shared" si="462"/>
        <v>0</v>
      </c>
      <c r="CI252" s="161">
        <f t="shared" si="462"/>
        <v>0</v>
      </c>
      <c r="CJ252" s="161">
        <f t="shared" si="462"/>
        <v>0</v>
      </c>
      <c r="CK252" s="161">
        <f t="shared" si="462"/>
        <v>0</v>
      </c>
      <c r="CL252" s="161">
        <f t="shared" si="462"/>
        <v>0</v>
      </c>
      <c r="CM252" s="161">
        <f t="shared" si="462"/>
        <v>0</v>
      </c>
      <c r="CN252" s="161">
        <f t="shared" si="462"/>
        <v>0</v>
      </c>
      <c r="CO252" s="161">
        <f t="shared" si="462"/>
        <v>0</v>
      </c>
      <c r="CP252" s="161">
        <f t="shared" si="462"/>
        <v>0</v>
      </c>
      <c r="CQ252" s="161">
        <f t="shared" si="462"/>
        <v>0</v>
      </c>
      <c r="CR252" s="161">
        <f t="shared" si="462"/>
        <v>0</v>
      </c>
      <c r="CS252" s="161">
        <f t="shared" si="462"/>
        <v>0</v>
      </c>
      <c r="CT252" s="161">
        <f t="shared" si="462"/>
        <v>0</v>
      </c>
      <c r="CU252" s="161">
        <f t="shared" si="462"/>
        <v>0</v>
      </c>
      <c r="CV252" s="161">
        <f t="shared" si="393"/>
        <v>0</v>
      </c>
      <c r="CW252" s="161">
        <f t="shared" si="393"/>
        <v>0</v>
      </c>
      <c r="CX252" s="161">
        <f t="shared" si="393"/>
        <v>0</v>
      </c>
      <c r="CY252" s="161">
        <f t="shared" si="393"/>
        <v>0</v>
      </c>
      <c r="CZ252" s="161">
        <f t="shared" si="393"/>
        <v>0</v>
      </c>
      <c r="DA252" s="161">
        <f t="shared" si="393"/>
        <v>0</v>
      </c>
      <c r="DB252" s="161">
        <f t="shared" si="393"/>
        <v>0</v>
      </c>
      <c r="DC252" s="161">
        <f t="shared" si="393"/>
        <v>0</v>
      </c>
      <c r="DD252" s="161">
        <f t="shared" si="393"/>
        <v>0</v>
      </c>
      <c r="DE252" s="161">
        <f t="shared" si="393"/>
        <v>0</v>
      </c>
      <c r="DF252" s="161">
        <f t="shared" si="393"/>
        <v>0</v>
      </c>
      <c r="DG252" s="161">
        <f t="shared" si="393"/>
        <v>0</v>
      </c>
      <c r="DH252" s="161">
        <f t="shared" si="393"/>
        <v>0</v>
      </c>
      <c r="DI252" s="161">
        <f t="shared" si="393"/>
        <v>0</v>
      </c>
      <c r="DJ252" s="161">
        <f t="shared" si="393"/>
        <v>0</v>
      </c>
      <c r="DK252" s="161">
        <f t="shared" si="393"/>
        <v>0</v>
      </c>
      <c r="DL252" s="161">
        <f t="shared" si="393"/>
        <v>0</v>
      </c>
      <c r="DM252" s="161">
        <f t="shared" si="393"/>
        <v>0</v>
      </c>
      <c r="DN252" s="161">
        <f t="shared" si="393"/>
        <v>0</v>
      </c>
      <c r="DO252" s="161">
        <f t="shared" si="393"/>
        <v>0</v>
      </c>
      <c r="DP252" s="161">
        <f t="shared" si="393"/>
        <v>0</v>
      </c>
      <c r="DQ252" s="161">
        <f t="shared" si="393"/>
        <v>0</v>
      </c>
      <c r="DR252" s="161">
        <f t="shared" si="393"/>
        <v>0</v>
      </c>
      <c r="DS252" s="161">
        <f t="shared" si="393"/>
        <v>0</v>
      </c>
      <c r="DT252" s="161">
        <f t="shared" si="393"/>
        <v>0</v>
      </c>
      <c r="DU252" s="161">
        <f t="shared" si="393"/>
        <v>0</v>
      </c>
      <c r="DV252" s="161">
        <f t="shared" si="393"/>
        <v>0</v>
      </c>
      <c r="DW252" s="161">
        <f t="shared" si="393"/>
        <v>0</v>
      </c>
      <c r="DX252" s="161">
        <f t="shared" si="393"/>
        <v>0</v>
      </c>
      <c r="DY252" s="161">
        <f t="shared" si="393"/>
        <v>0</v>
      </c>
      <c r="DZ252" s="161">
        <f t="shared" si="393"/>
        <v>0</v>
      </c>
      <c r="EA252" s="161">
        <f t="shared" si="393"/>
        <v>0</v>
      </c>
      <c r="EB252" s="161">
        <f t="shared" si="393"/>
        <v>0</v>
      </c>
      <c r="EC252" s="161">
        <f t="shared" si="393"/>
        <v>0</v>
      </c>
      <c r="ED252" s="161">
        <f t="shared" si="393"/>
        <v>0</v>
      </c>
      <c r="EE252" s="161">
        <f t="shared" si="393"/>
        <v>0</v>
      </c>
      <c r="EF252" s="161">
        <f t="shared" si="393"/>
        <v>0</v>
      </c>
      <c r="EG252" s="161">
        <f t="shared" si="393"/>
        <v>0</v>
      </c>
      <c r="EH252" s="161">
        <f t="shared" si="393"/>
        <v>0</v>
      </c>
      <c r="EI252" s="161">
        <f t="shared" si="393"/>
        <v>0</v>
      </c>
      <c r="EJ252" s="65"/>
      <c r="EK252" s="161">
        <f t="shared" si="390"/>
        <v>0</v>
      </c>
      <c r="EL252" s="161">
        <f t="shared" si="391"/>
        <v>0</v>
      </c>
      <c r="EM252" s="161">
        <f t="shared" si="392"/>
        <v>0</v>
      </c>
    </row>
    <row r="253" spans="1:143" ht="12" hidden="1" customHeight="1" outlineLevel="2">
      <c r="A253" s="77">
        <v>17</v>
      </c>
      <c r="B253" s="137" t="str">
        <f t="shared" si="387"/>
        <v>AUX ADM - Equipe_01</v>
      </c>
      <c r="C253" s="65"/>
      <c r="D253" s="622"/>
      <c r="E253" s="65"/>
      <c r="F253" s="584"/>
      <c r="G253" s="77" t="str">
        <f>IF(INDEX(Tarefas!$BT$30:$FK$30,MATCH(A253,Tarefas!$BT$28:$FK$28,0))=0,"",INDEX(Tarefas!$BT$30:$FK$30,MATCH(A253,Tarefas!$BT$28:$FK$28,0)))</f>
        <v>AUX ADM</v>
      </c>
      <c r="H253" s="107" cm="1">
        <f t="array" ref="H253">IFERROR((SUMPRODUCT((Tarefas!$N$32:$N$54='Cronog. e Histog.'!$F$237)*(Tarefas!$BQ$30:$FK$30='Cronog. e Histog.'!$G253)*(Tarefas!$BQ$32:$FK$54)))/SUMIF(Tarefas!$N$32:$N$54,'Cronog. e Histog.'!$F$237,Tarefas!$K$32:$K$54),0)</f>
        <v>0</v>
      </c>
      <c r="I253" s="79">
        <f t="shared" si="388"/>
        <v>0</v>
      </c>
      <c r="J253" s="65"/>
      <c r="K253" s="160">
        <f t="shared" si="389"/>
        <v>0</v>
      </c>
      <c r="L253" s="160">
        <f t="shared" si="379"/>
        <v>0</v>
      </c>
      <c r="M253" s="160">
        <f t="shared" si="379"/>
        <v>0</v>
      </c>
      <c r="N253" s="160">
        <f t="shared" si="379"/>
        <v>0</v>
      </c>
      <c r="O253" s="160">
        <f t="shared" si="379"/>
        <v>0</v>
      </c>
      <c r="P253" s="160">
        <f t="shared" si="379"/>
        <v>0</v>
      </c>
      <c r="Q253" s="160">
        <f t="shared" si="379"/>
        <v>0</v>
      </c>
      <c r="R253" s="160">
        <f t="shared" si="379"/>
        <v>0</v>
      </c>
      <c r="S253" s="160">
        <f t="shared" si="379"/>
        <v>0</v>
      </c>
      <c r="T253" s="160">
        <f t="shared" si="379"/>
        <v>0</v>
      </c>
      <c r="U253" s="160">
        <f t="shared" si="379"/>
        <v>0</v>
      </c>
      <c r="V253" s="160">
        <f t="shared" si="379"/>
        <v>0</v>
      </c>
      <c r="W253" s="160">
        <f t="shared" si="379"/>
        <v>0</v>
      </c>
      <c r="X253" s="160">
        <f t="shared" si="379"/>
        <v>0</v>
      </c>
      <c r="Y253" s="160">
        <f t="shared" si="379"/>
        <v>0</v>
      </c>
      <c r="Z253" s="160">
        <f t="shared" si="379"/>
        <v>0</v>
      </c>
      <c r="AA253" s="160">
        <f t="shared" si="379"/>
        <v>0</v>
      </c>
      <c r="AB253" s="160">
        <f t="shared" si="379"/>
        <v>0</v>
      </c>
      <c r="AC253" s="160">
        <f t="shared" si="379"/>
        <v>0</v>
      </c>
      <c r="AD253" s="160">
        <f t="shared" si="379"/>
        <v>0</v>
      </c>
      <c r="AE253" s="160">
        <f t="shared" si="379"/>
        <v>0</v>
      </c>
      <c r="AF253" s="160">
        <f t="shared" si="379"/>
        <v>0</v>
      </c>
      <c r="AG253" s="160">
        <f t="shared" si="379"/>
        <v>0</v>
      </c>
      <c r="AH253" s="160">
        <f t="shared" si="379"/>
        <v>0</v>
      </c>
      <c r="AI253" s="160">
        <f t="shared" si="379"/>
        <v>0</v>
      </c>
      <c r="AJ253" s="160">
        <f t="shared" si="379"/>
        <v>0</v>
      </c>
      <c r="AK253" s="160">
        <f t="shared" si="379"/>
        <v>0</v>
      </c>
      <c r="AL253" s="160">
        <f t="shared" si="379"/>
        <v>0</v>
      </c>
      <c r="AM253" s="160">
        <f t="shared" si="379"/>
        <v>0</v>
      </c>
      <c r="AN253" s="160">
        <f t="shared" si="379"/>
        <v>0</v>
      </c>
      <c r="AO253" s="160">
        <f t="shared" si="379"/>
        <v>0</v>
      </c>
      <c r="AP253" s="160">
        <f t="shared" si="379"/>
        <v>0</v>
      </c>
      <c r="AQ253" s="160">
        <f t="shared" si="379"/>
        <v>0</v>
      </c>
      <c r="AR253" s="160">
        <f t="shared" si="379"/>
        <v>0</v>
      </c>
      <c r="AS253" s="160">
        <f t="shared" si="379"/>
        <v>0</v>
      </c>
      <c r="AT253" s="160">
        <f t="shared" si="380"/>
        <v>0</v>
      </c>
      <c r="AU253" s="160">
        <f t="shared" si="380"/>
        <v>0</v>
      </c>
      <c r="AV253" s="160">
        <f t="shared" si="380"/>
        <v>0</v>
      </c>
      <c r="AW253" s="160">
        <f t="shared" si="380"/>
        <v>0</v>
      </c>
      <c r="AX253" s="160">
        <f t="shared" si="380"/>
        <v>0</v>
      </c>
      <c r="AY253" s="160">
        <f t="shared" si="380"/>
        <v>0</v>
      </c>
      <c r="AZ253" s="160">
        <f t="shared" si="380"/>
        <v>0</v>
      </c>
      <c r="BA253" s="160">
        <f t="shared" si="380"/>
        <v>0</v>
      </c>
      <c r="BB253" s="160">
        <f t="shared" si="380"/>
        <v>0</v>
      </c>
      <c r="BC253" s="160">
        <f t="shared" si="380"/>
        <v>0</v>
      </c>
      <c r="BD253" s="160">
        <f t="shared" si="380"/>
        <v>0</v>
      </c>
      <c r="BE253" s="160">
        <f t="shared" si="380"/>
        <v>0</v>
      </c>
      <c r="BF253" s="160">
        <f t="shared" si="380"/>
        <v>0</v>
      </c>
      <c r="BG253" s="160">
        <f t="shared" si="380"/>
        <v>0</v>
      </c>
      <c r="BH253" s="160">
        <f t="shared" si="380"/>
        <v>0</v>
      </c>
      <c r="BI253" s="160">
        <f t="shared" si="380"/>
        <v>0</v>
      </c>
      <c r="BJ253" s="160">
        <f t="shared" si="380"/>
        <v>0</v>
      </c>
      <c r="BK253" s="160">
        <f t="shared" si="380"/>
        <v>0</v>
      </c>
      <c r="BL253" s="160">
        <f t="shared" si="380"/>
        <v>0</v>
      </c>
      <c r="BM253" s="160">
        <f t="shared" si="380"/>
        <v>0</v>
      </c>
      <c r="BN253" s="160">
        <f t="shared" si="380"/>
        <v>0</v>
      </c>
      <c r="BO253" s="160">
        <f t="shared" si="380"/>
        <v>0</v>
      </c>
      <c r="BP253" s="160">
        <f t="shared" si="380"/>
        <v>0</v>
      </c>
      <c r="BQ253" s="160">
        <f t="shared" si="380"/>
        <v>0</v>
      </c>
      <c r="BR253" s="160">
        <f t="shared" si="380"/>
        <v>0</v>
      </c>
      <c r="BS253" s="65"/>
      <c r="BT253" s="160">
        <f t="shared" si="381"/>
        <v>0</v>
      </c>
      <c r="BU253" s="160">
        <f t="shared" si="382"/>
        <v>0</v>
      </c>
      <c r="BV253" s="65"/>
      <c r="BW253" s="69"/>
      <c r="BX253" s="65"/>
      <c r="BY253" s="137">
        <f t="shared" si="383"/>
        <v>1</v>
      </c>
      <c r="BZ253" s="137">
        <f>IF(BY253&gt;0,BY253+LARGE($BZ$213:BZ252,1),0)</f>
        <v>37</v>
      </c>
      <c r="CA253" s="137" t="str">
        <f t="shared" si="384"/>
        <v>AUX ADM</v>
      </c>
      <c r="CB253" s="161">
        <f t="shared" si="385"/>
        <v>0</v>
      </c>
      <c r="CC253" s="161">
        <f t="shared" si="462"/>
        <v>0</v>
      </c>
      <c r="CD253" s="161">
        <f t="shared" si="462"/>
        <v>0</v>
      </c>
      <c r="CE253" s="161">
        <f t="shared" si="462"/>
        <v>0</v>
      </c>
      <c r="CF253" s="161">
        <f t="shared" si="462"/>
        <v>0</v>
      </c>
      <c r="CG253" s="161">
        <f t="shared" si="462"/>
        <v>0</v>
      </c>
      <c r="CH253" s="161">
        <f t="shared" si="462"/>
        <v>0</v>
      </c>
      <c r="CI253" s="161">
        <f t="shared" si="462"/>
        <v>0</v>
      </c>
      <c r="CJ253" s="161">
        <f t="shared" si="462"/>
        <v>0</v>
      </c>
      <c r="CK253" s="161">
        <f t="shared" si="462"/>
        <v>0</v>
      </c>
      <c r="CL253" s="161">
        <f t="shared" si="462"/>
        <v>0</v>
      </c>
      <c r="CM253" s="161">
        <f t="shared" si="462"/>
        <v>0</v>
      </c>
      <c r="CN253" s="161">
        <f t="shared" si="462"/>
        <v>0</v>
      </c>
      <c r="CO253" s="161">
        <f t="shared" si="462"/>
        <v>0</v>
      </c>
      <c r="CP253" s="161">
        <f t="shared" si="462"/>
        <v>0</v>
      </c>
      <c r="CQ253" s="161">
        <f t="shared" si="462"/>
        <v>0</v>
      </c>
      <c r="CR253" s="161">
        <f t="shared" si="462"/>
        <v>0</v>
      </c>
      <c r="CS253" s="161">
        <f t="shared" si="462"/>
        <v>0</v>
      </c>
      <c r="CT253" s="161">
        <f t="shared" si="462"/>
        <v>0</v>
      </c>
      <c r="CU253" s="161">
        <f t="shared" si="462"/>
        <v>0</v>
      </c>
      <c r="CV253" s="161">
        <f t="shared" si="393"/>
        <v>0</v>
      </c>
      <c r="CW253" s="161">
        <f t="shared" si="393"/>
        <v>0</v>
      </c>
      <c r="CX253" s="161">
        <f t="shared" si="393"/>
        <v>0</v>
      </c>
      <c r="CY253" s="161">
        <f t="shared" si="393"/>
        <v>0</v>
      </c>
      <c r="CZ253" s="161">
        <f t="shared" si="393"/>
        <v>0</v>
      </c>
      <c r="DA253" s="161">
        <f t="shared" si="393"/>
        <v>0</v>
      </c>
      <c r="DB253" s="161">
        <f t="shared" si="393"/>
        <v>0</v>
      </c>
      <c r="DC253" s="161">
        <f t="shared" si="393"/>
        <v>0</v>
      </c>
      <c r="DD253" s="161">
        <f t="shared" si="393"/>
        <v>0</v>
      </c>
      <c r="DE253" s="161">
        <f t="shared" si="393"/>
        <v>0</v>
      </c>
      <c r="DF253" s="161">
        <f t="shared" si="393"/>
        <v>0</v>
      </c>
      <c r="DG253" s="161">
        <f t="shared" si="393"/>
        <v>0</v>
      </c>
      <c r="DH253" s="161">
        <f t="shared" si="393"/>
        <v>0</v>
      </c>
      <c r="DI253" s="161">
        <f t="shared" si="393"/>
        <v>0</v>
      </c>
      <c r="DJ253" s="161">
        <f t="shared" si="393"/>
        <v>0</v>
      </c>
      <c r="DK253" s="161">
        <f t="shared" si="393"/>
        <v>0</v>
      </c>
      <c r="DL253" s="161">
        <f t="shared" si="393"/>
        <v>0</v>
      </c>
      <c r="DM253" s="161">
        <f t="shared" si="393"/>
        <v>0</v>
      </c>
      <c r="DN253" s="161">
        <f t="shared" si="393"/>
        <v>0</v>
      </c>
      <c r="DO253" s="161">
        <f t="shared" si="393"/>
        <v>0</v>
      </c>
      <c r="DP253" s="161">
        <f t="shared" si="393"/>
        <v>0</v>
      </c>
      <c r="DQ253" s="161">
        <f t="shared" si="393"/>
        <v>0</v>
      </c>
      <c r="DR253" s="161">
        <f t="shared" si="393"/>
        <v>0</v>
      </c>
      <c r="DS253" s="161">
        <f t="shared" si="393"/>
        <v>0</v>
      </c>
      <c r="DT253" s="161">
        <f t="shared" si="393"/>
        <v>0</v>
      </c>
      <c r="DU253" s="161">
        <f t="shared" si="393"/>
        <v>0</v>
      </c>
      <c r="DV253" s="161">
        <f t="shared" si="393"/>
        <v>0</v>
      </c>
      <c r="DW253" s="161">
        <f t="shared" si="393"/>
        <v>0</v>
      </c>
      <c r="DX253" s="161">
        <f t="shared" si="393"/>
        <v>0</v>
      </c>
      <c r="DY253" s="161">
        <f t="shared" si="393"/>
        <v>0</v>
      </c>
      <c r="DZ253" s="161">
        <f t="shared" si="393"/>
        <v>0</v>
      </c>
      <c r="EA253" s="161">
        <f t="shared" si="393"/>
        <v>0</v>
      </c>
      <c r="EB253" s="161">
        <f t="shared" si="393"/>
        <v>0</v>
      </c>
      <c r="EC253" s="161">
        <f t="shared" si="393"/>
        <v>0</v>
      </c>
      <c r="ED253" s="161">
        <f t="shared" si="393"/>
        <v>0</v>
      </c>
      <c r="EE253" s="161">
        <f t="shared" si="393"/>
        <v>0</v>
      </c>
      <c r="EF253" s="161">
        <f t="shared" si="393"/>
        <v>0</v>
      </c>
      <c r="EG253" s="161">
        <f t="shared" si="393"/>
        <v>0</v>
      </c>
      <c r="EH253" s="161">
        <f t="shared" si="393"/>
        <v>0</v>
      </c>
      <c r="EI253" s="161">
        <f t="shared" si="393"/>
        <v>0</v>
      </c>
      <c r="EJ253" s="65"/>
      <c r="EK253" s="161">
        <f t="shared" si="390"/>
        <v>0</v>
      </c>
      <c r="EL253" s="161">
        <f t="shared" si="391"/>
        <v>0</v>
      </c>
      <c r="EM253" s="161">
        <f t="shared" si="392"/>
        <v>0</v>
      </c>
    </row>
    <row r="254" spans="1:143" ht="12" hidden="1" customHeight="1" outlineLevel="2">
      <c r="A254" s="77">
        <v>18</v>
      </c>
      <c r="B254" s="137" t="str">
        <f t="shared" si="387"/>
        <v>EST - Equipe_01</v>
      </c>
      <c r="C254" s="65"/>
      <c r="D254" s="622"/>
      <c r="E254" s="65"/>
      <c r="F254" s="584"/>
      <c r="G254" s="77" t="str">
        <f>IF(INDEX(Tarefas!$BT$30:$FK$30,MATCH(A254,Tarefas!$BT$28:$FK$28,0))=0,"",INDEX(Tarefas!$BT$30:$FK$30,MATCH(A254,Tarefas!$BT$28:$FK$28,0)))</f>
        <v>EST</v>
      </c>
      <c r="H254" s="107" cm="1">
        <f t="array" ref="H254">IFERROR((SUMPRODUCT((Tarefas!$N$32:$N$54='Cronog. e Histog.'!$F$237)*(Tarefas!$BQ$30:$FK$30='Cronog. e Histog.'!$G254)*(Tarefas!$BQ$32:$FK$54)))/SUMIF(Tarefas!$N$32:$N$54,'Cronog. e Histog.'!$F$237,Tarefas!$K$32:$K$54),0)</f>
        <v>0</v>
      </c>
      <c r="I254" s="79">
        <f t="shared" si="388"/>
        <v>0</v>
      </c>
      <c r="J254" s="65"/>
      <c r="K254" s="160">
        <f t="shared" si="389"/>
        <v>0</v>
      </c>
      <c r="L254" s="160">
        <f t="shared" si="379"/>
        <v>0</v>
      </c>
      <c r="M254" s="160">
        <f t="shared" si="379"/>
        <v>0</v>
      </c>
      <c r="N254" s="160">
        <f t="shared" si="379"/>
        <v>0</v>
      </c>
      <c r="O254" s="160">
        <f t="shared" si="379"/>
        <v>0</v>
      </c>
      <c r="P254" s="160">
        <f t="shared" si="379"/>
        <v>0</v>
      </c>
      <c r="Q254" s="160">
        <f t="shared" si="379"/>
        <v>0</v>
      </c>
      <c r="R254" s="160">
        <f t="shared" si="379"/>
        <v>0</v>
      </c>
      <c r="S254" s="160">
        <f t="shared" si="379"/>
        <v>0</v>
      </c>
      <c r="T254" s="160">
        <f t="shared" si="379"/>
        <v>0</v>
      </c>
      <c r="U254" s="160">
        <f t="shared" si="379"/>
        <v>0</v>
      </c>
      <c r="V254" s="160">
        <f t="shared" si="379"/>
        <v>0</v>
      </c>
      <c r="W254" s="160">
        <f t="shared" si="379"/>
        <v>0</v>
      </c>
      <c r="X254" s="160">
        <f t="shared" si="379"/>
        <v>0</v>
      </c>
      <c r="Y254" s="160">
        <f t="shared" si="379"/>
        <v>0</v>
      </c>
      <c r="Z254" s="160">
        <f t="shared" si="379"/>
        <v>0</v>
      </c>
      <c r="AA254" s="160">
        <f t="shared" si="379"/>
        <v>0</v>
      </c>
      <c r="AB254" s="160">
        <f t="shared" si="379"/>
        <v>0</v>
      </c>
      <c r="AC254" s="160">
        <f t="shared" si="379"/>
        <v>0</v>
      </c>
      <c r="AD254" s="160">
        <f t="shared" si="379"/>
        <v>0</v>
      </c>
      <c r="AE254" s="160">
        <f t="shared" si="379"/>
        <v>0</v>
      </c>
      <c r="AF254" s="160">
        <f t="shared" si="379"/>
        <v>0</v>
      </c>
      <c r="AG254" s="160">
        <f t="shared" si="379"/>
        <v>0</v>
      </c>
      <c r="AH254" s="160">
        <f t="shared" si="379"/>
        <v>0</v>
      </c>
      <c r="AI254" s="160">
        <f t="shared" si="379"/>
        <v>0</v>
      </c>
      <c r="AJ254" s="160">
        <f t="shared" si="379"/>
        <v>0</v>
      </c>
      <c r="AK254" s="160">
        <f t="shared" si="379"/>
        <v>0</v>
      </c>
      <c r="AL254" s="160">
        <f t="shared" si="379"/>
        <v>0</v>
      </c>
      <c r="AM254" s="160">
        <f t="shared" si="379"/>
        <v>0</v>
      </c>
      <c r="AN254" s="160">
        <f t="shared" si="379"/>
        <v>0</v>
      </c>
      <c r="AO254" s="160">
        <f t="shared" si="379"/>
        <v>0</v>
      </c>
      <c r="AP254" s="160">
        <f t="shared" si="379"/>
        <v>0</v>
      </c>
      <c r="AQ254" s="160">
        <f t="shared" si="379"/>
        <v>0</v>
      </c>
      <c r="AR254" s="160">
        <f t="shared" ref="L254:AT256" si="463">ROUND($I254*AR$184,2)</f>
        <v>0</v>
      </c>
      <c r="AS254" s="160">
        <f t="shared" si="463"/>
        <v>0</v>
      </c>
      <c r="AT254" s="160">
        <f t="shared" si="463"/>
        <v>0</v>
      </c>
      <c r="AU254" s="160">
        <f t="shared" si="380"/>
        <v>0</v>
      </c>
      <c r="AV254" s="160">
        <f t="shared" si="380"/>
        <v>0</v>
      </c>
      <c r="AW254" s="160">
        <f t="shared" si="380"/>
        <v>0</v>
      </c>
      <c r="AX254" s="160">
        <f t="shared" si="380"/>
        <v>0</v>
      </c>
      <c r="AY254" s="160">
        <f t="shared" si="380"/>
        <v>0</v>
      </c>
      <c r="AZ254" s="160">
        <f t="shared" si="380"/>
        <v>0</v>
      </c>
      <c r="BA254" s="160">
        <f t="shared" si="380"/>
        <v>0</v>
      </c>
      <c r="BB254" s="160">
        <f t="shared" si="380"/>
        <v>0</v>
      </c>
      <c r="BC254" s="160">
        <f t="shared" si="380"/>
        <v>0</v>
      </c>
      <c r="BD254" s="160">
        <f t="shared" si="380"/>
        <v>0</v>
      </c>
      <c r="BE254" s="160">
        <f t="shared" si="380"/>
        <v>0</v>
      </c>
      <c r="BF254" s="160">
        <f t="shared" si="380"/>
        <v>0</v>
      </c>
      <c r="BG254" s="160">
        <f t="shared" si="380"/>
        <v>0</v>
      </c>
      <c r="BH254" s="160">
        <f t="shared" si="380"/>
        <v>0</v>
      </c>
      <c r="BI254" s="160">
        <f t="shared" si="380"/>
        <v>0</v>
      </c>
      <c r="BJ254" s="160">
        <f t="shared" si="380"/>
        <v>0</v>
      </c>
      <c r="BK254" s="160">
        <f t="shared" si="380"/>
        <v>0</v>
      </c>
      <c r="BL254" s="160">
        <f t="shared" si="380"/>
        <v>0</v>
      </c>
      <c r="BM254" s="160">
        <f t="shared" si="380"/>
        <v>0</v>
      </c>
      <c r="BN254" s="160">
        <f t="shared" si="380"/>
        <v>0</v>
      </c>
      <c r="BO254" s="160">
        <f t="shared" si="380"/>
        <v>0</v>
      </c>
      <c r="BP254" s="160">
        <f t="shared" si="380"/>
        <v>0</v>
      </c>
      <c r="BQ254" s="160">
        <f t="shared" si="380"/>
        <v>0</v>
      </c>
      <c r="BR254" s="160">
        <f t="shared" si="380"/>
        <v>0</v>
      </c>
      <c r="BS254" s="65"/>
      <c r="BT254" s="160">
        <f t="shared" si="381"/>
        <v>0</v>
      </c>
      <c r="BU254" s="160">
        <f t="shared" si="382"/>
        <v>0</v>
      </c>
      <c r="BV254" s="65"/>
      <c r="BW254" s="69"/>
      <c r="BX254" s="65"/>
      <c r="BY254" s="137">
        <f t="shared" si="383"/>
        <v>1</v>
      </c>
      <c r="BZ254" s="137">
        <f>IF(BY254&gt;0,BY254+LARGE($BZ$213:BZ253,1),0)</f>
        <v>38</v>
      </c>
      <c r="CA254" s="137" t="str">
        <f t="shared" si="384"/>
        <v>EST</v>
      </c>
      <c r="CB254" s="161">
        <f t="shared" si="385"/>
        <v>0</v>
      </c>
      <c r="CC254" s="161">
        <f t="shared" si="462"/>
        <v>0</v>
      </c>
      <c r="CD254" s="161">
        <f t="shared" si="462"/>
        <v>0</v>
      </c>
      <c r="CE254" s="161">
        <f t="shared" si="462"/>
        <v>0</v>
      </c>
      <c r="CF254" s="161">
        <f t="shared" si="462"/>
        <v>0</v>
      </c>
      <c r="CG254" s="161">
        <f t="shared" si="462"/>
        <v>0</v>
      </c>
      <c r="CH254" s="161">
        <f t="shared" si="462"/>
        <v>0</v>
      </c>
      <c r="CI254" s="161">
        <f t="shared" si="462"/>
        <v>0</v>
      </c>
      <c r="CJ254" s="161">
        <f t="shared" si="462"/>
        <v>0</v>
      </c>
      <c r="CK254" s="161">
        <f t="shared" si="462"/>
        <v>0</v>
      </c>
      <c r="CL254" s="161">
        <f t="shared" si="462"/>
        <v>0</v>
      </c>
      <c r="CM254" s="161">
        <f t="shared" si="462"/>
        <v>0</v>
      </c>
      <c r="CN254" s="161">
        <f t="shared" si="462"/>
        <v>0</v>
      </c>
      <c r="CO254" s="161">
        <f t="shared" si="462"/>
        <v>0</v>
      </c>
      <c r="CP254" s="161">
        <f t="shared" si="462"/>
        <v>0</v>
      </c>
      <c r="CQ254" s="161">
        <f t="shared" si="462"/>
        <v>0</v>
      </c>
      <c r="CR254" s="161">
        <f t="shared" si="462"/>
        <v>0</v>
      </c>
      <c r="CS254" s="161">
        <f t="shared" si="462"/>
        <v>0</v>
      </c>
      <c r="CT254" s="161">
        <f t="shared" si="462"/>
        <v>0</v>
      </c>
      <c r="CU254" s="161">
        <f t="shared" si="462"/>
        <v>0</v>
      </c>
      <c r="CV254" s="161">
        <f t="shared" si="393"/>
        <v>0</v>
      </c>
      <c r="CW254" s="161">
        <f t="shared" si="393"/>
        <v>0</v>
      </c>
      <c r="CX254" s="161">
        <f t="shared" si="393"/>
        <v>0</v>
      </c>
      <c r="CY254" s="161">
        <f t="shared" si="393"/>
        <v>0</v>
      </c>
      <c r="CZ254" s="161">
        <f t="shared" si="393"/>
        <v>0</v>
      </c>
      <c r="DA254" s="161">
        <f t="shared" si="393"/>
        <v>0</v>
      </c>
      <c r="DB254" s="161">
        <f t="shared" si="393"/>
        <v>0</v>
      </c>
      <c r="DC254" s="161">
        <f t="shared" si="393"/>
        <v>0</v>
      </c>
      <c r="DD254" s="161">
        <f t="shared" si="393"/>
        <v>0</v>
      </c>
      <c r="DE254" s="161">
        <f t="shared" si="393"/>
        <v>0</v>
      </c>
      <c r="DF254" s="161">
        <f t="shared" si="393"/>
        <v>0</v>
      </c>
      <c r="DG254" s="161">
        <f t="shared" si="393"/>
        <v>0</v>
      </c>
      <c r="DH254" s="161">
        <f t="shared" si="393"/>
        <v>0</v>
      </c>
      <c r="DI254" s="161">
        <f t="shared" si="393"/>
        <v>0</v>
      </c>
      <c r="DJ254" s="161">
        <f t="shared" si="393"/>
        <v>0</v>
      </c>
      <c r="DK254" s="161">
        <f t="shared" si="393"/>
        <v>0</v>
      </c>
      <c r="DL254" s="161">
        <f t="shared" si="393"/>
        <v>0</v>
      </c>
      <c r="DM254" s="161">
        <f t="shared" si="393"/>
        <v>0</v>
      </c>
      <c r="DN254" s="161">
        <f t="shared" si="393"/>
        <v>0</v>
      </c>
      <c r="DO254" s="161">
        <f t="shared" si="393"/>
        <v>0</v>
      </c>
      <c r="DP254" s="161">
        <f t="shared" si="393"/>
        <v>0</v>
      </c>
      <c r="DQ254" s="161">
        <f t="shared" si="393"/>
        <v>0</v>
      </c>
      <c r="DR254" s="161">
        <f t="shared" si="393"/>
        <v>0</v>
      </c>
      <c r="DS254" s="161">
        <f t="shared" si="393"/>
        <v>0</v>
      </c>
      <c r="DT254" s="161">
        <f t="shared" si="393"/>
        <v>0</v>
      </c>
      <c r="DU254" s="161">
        <f t="shared" si="393"/>
        <v>0</v>
      </c>
      <c r="DV254" s="161">
        <f t="shared" si="393"/>
        <v>0</v>
      </c>
      <c r="DW254" s="161">
        <f t="shared" si="393"/>
        <v>0</v>
      </c>
      <c r="DX254" s="161">
        <f t="shared" si="393"/>
        <v>0</v>
      </c>
      <c r="DY254" s="161">
        <f t="shared" si="393"/>
        <v>0</v>
      </c>
      <c r="DZ254" s="161">
        <f t="shared" si="393"/>
        <v>0</v>
      </c>
      <c r="EA254" s="161">
        <f t="shared" si="393"/>
        <v>0</v>
      </c>
      <c r="EB254" s="161">
        <f t="shared" si="393"/>
        <v>0</v>
      </c>
      <c r="EC254" s="161">
        <f t="shared" si="393"/>
        <v>0</v>
      </c>
      <c r="ED254" s="161">
        <f t="shared" si="393"/>
        <v>0</v>
      </c>
      <c r="EE254" s="161">
        <f t="shared" si="393"/>
        <v>0</v>
      </c>
      <c r="EF254" s="161">
        <f t="shared" si="393"/>
        <v>0</v>
      </c>
      <c r="EG254" s="161">
        <f t="shared" si="393"/>
        <v>0</v>
      </c>
      <c r="EH254" s="161">
        <f t="shared" si="393"/>
        <v>0</v>
      </c>
      <c r="EI254" s="161">
        <f t="shared" si="393"/>
        <v>0</v>
      </c>
      <c r="EJ254" s="65"/>
      <c r="EK254" s="161">
        <f t="shared" si="390"/>
        <v>0</v>
      </c>
      <c r="EL254" s="161">
        <f t="shared" si="391"/>
        <v>0</v>
      </c>
      <c r="EM254" s="161">
        <f t="shared" si="392"/>
        <v>0</v>
      </c>
    </row>
    <row r="255" spans="1:143" ht="12" hidden="1" customHeight="1" outlineLevel="2">
      <c r="A255" s="77">
        <v>19</v>
      </c>
      <c r="B255" s="137" t="str">
        <f t="shared" si="387"/>
        <v>EST_II - Equipe_01</v>
      </c>
      <c r="C255" s="65"/>
      <c r="D255" s="622"/>
      <c r="E255" s="65"/>
      <c r="F255" s="584"/>
      <c r="G255" s="77" t="str">
        <f>IF(INDEX(Tarefas!$BT$30:$FK$30,MATCH(A255,Tarefas!$BT$28:$FK$28,0))=0,"",INDEX(Tarefas!$BT$30:$FK$30,MATCH(A255,Tarefas!$BT$28:$FK$28,0)))</f>
        <v>EST_II</v>
      </c>
      <c r="H255" s="107" cm="1">
        <f t="array" ref="H255">IFERROR((SUMPRODUCT((Tarefas!$N$32:$N$54='Cronog. e Histog.'!$F$237)*(Tarefas!$BQ$30:$FK$30='Cronog. e Histog.'!$G255)*(Tarefas!$BQ$32:$FK$54)))/SUMIF(Tarefas!$N$32:$N$54,'Cronog. e Histog.'!$F$237,Tarefas!$K$32:$K$54),0)</f>
        <v>0</v>
      </c>
      <c r="I255" s="79">
        <f t="shared" si="388"/>
        <v>0</v>
      </c>
      <c r="J255" s="65"/>
      <c r="K255" s="160">
        <f t="shared" si="389"/>
        <v>0</v>
      </c>
      <c r="L255" s="160">
        <f t="shared" si="463"/>
        <v>0</v>
      </c>
      <c r="M255" s="160">
        <f t="shared" si="463"/>
        <v>0</v>
      </c>
      <c r="N255" s="160">
        <f t="shared" si="463"/>
        <v>0</v>
      </c>
      <c r="O255" s="160">
        <f t="shared" si="463"/>
        <v>0</v>
      </c>
      <c r="P255" s="160">
        <f t="shared" si="463"/>
        <v>0</v>
      </c>
      <c r="Q255" s="160">
        <f t="shared" si="463"/>
        <v>0</v>
      </c>
      <c r="R255" s="160">
        <f t="shared" si="463"/>
        <v>0</v>
      </c>
      <c r="S255" s="160">
        <f t="shared" si="463"/>
        <v>0</v>
      </c>
      <c r="T255" s="160">
        <f t="shared" si="463"/>
        <v>0</v>
      </c>
      <c r="U255" s="160">
        <f t="shared" si="463"/>
        <v>0</v>
      </c>
      <c r="V255" s="160">
        <f t="shared" si="463"/>
        <v>0</v>
      </c>
      <c r="W255" s="160">
        <f t="shared" si="463"/>
        <v>0</v>
      </c>
      <c r="X255" s="160">
        <f t="shared" si="463"/>
        <v>0</v>
      </c>
      <c r="Y255" s="160">
        <f t="shared" si="463"/>
        <v>0</v>
      </c>
      <c r="Z255" s="160">
        <f t="shared" si="463"/>
        <v>0</v>
      </c>
      <c r="AA255" s="160">
        <f t="shared" si="463"/>
        <v>0</v>
      </c>
      <c r="AB255" s="160">
        <f t="shared" si="463"/>
        <v>0</v>
      </c>
      <c r="AC255" s="160">
        <f t="shared" si="463"/>
        <v>0</v>
      </c>
      <c r="AD255" s="160">
        <f t="shared" si="463"/>
        <v>0</v>
      </c>
      <c r="AE255" s="160">
        <f t="shared" si="463"/>
        <v>0</v>
      </c>
      <c r="AF255" s="160">
        <f t="shared" si="463"/>
        <v>0</v>
      </c>
      <c r="AG255" s="160">
        <f t="shared" si="463"/>
        <v>0</v>
      </c>
      <c r="AH255" s="160">
        <f t="shared" si="463"/>
        <v>0</v>
      </c>
      <c r="AI255" s="160">
        <f t="shared" si="463"/>
        <v>0</v>
      </c>
      <c r="AJ255" s="160">
        <f t="shared" si="463"/>
        <v>0</v>
      </c>
      <c r="AK255" s="160">
        <f t="shared" si="463"/>
        <v>0</v>
      </c>
      <c r="AL255" s="160">
        <f t="shared" si="463"/>
        <v>0</v>
      </c>
      <c r="AM255" s="160">
        <f t="shared" si="463"/>
        <v>0</v>
      </c>
      <c r="AN255" s="160">
        <f t="shared" si="463"/>
        <v>0</v>
      </c>
      <c r="AO255" s="160">
        <f t="shared" si="463"/>
        <v>0</v>
      </c>
      <c r="AP255" s="160">
        <f t="shared" si="463"/>
        <v>0</v>
      </c>
      <c r="AQ255" s="160">
        <f t="shared" si="463"/>
        <v>0</v>
      </c>
      <c r="AR255" s="160">
        <f t="shared" si="463"/>
        <v>0</v>
      </c>
      <c r="AS255" s="160">
        <f t="shared" si="463"/>
        <v>0</v>
      </c>
      <c r="AT255" s="160">
        <f t="shared" si="380"/>
        <v>0</v>
      </c>
      <c r="AU255" s="160">
        <f t="shared" si="380"/>
        <v>0</v>
      </c>
      <c r="AV255" s="160">
        <f t="shared" si="380"/>
        <v>0</v>
      </c>
      <c r="AW255" s="160">
        <f t="shared" si="380"/>
        <v>0</v>
      </c>
      <c r="AX255" s="160">
        <f t="shared" si="380"/>
        <v>0</v>
      </c>
      <c r="AY255" s="160">
        <f t="shared" si="380"/>
        <v>0</v>
      </c>
      <c r="AZ255" s="160">
        <f t="shared" si="380"/>
        <v>0</v>
      </c>
      <c r="BA255" s="160">
        <f t="shared" si="380"/>
        <v>0</v>
      </c>
      <c r="BB255" s="160">
        <f t="shared" si="380"/>
        <v>0</v>
      </c>
      <c r="BC255" s="160">
        <f t="shared" si="380"/>
        <v>0</v>
      </c>
      <c r="BD255" s="160">
        <f t="shared" si="380"/>
        <v>0</v>
      </c>
      <c r="BE255" s="160">
        <f t="shared" si="380"/>
        <v>0</v>
      </c>
      <c r="BF255" s="160">
        <f t="shared" si="380"/>
        <v>0</v>
      </c>
      <c r="BG255" s="160">
        <f t="shared" si="380"/>
        <v>0</v>
      </c>
      <c r="BH255" s="160">
        <f t="shared" si="380"/>
        <v>0</v>
      </c>
      <c r="BI255" s="160">
        <f t="shared" si="380"/>
        <v>0</v>
      </c>
      <c r="BJ255" s="160">
        <f t="shared" si="380"/>
        <v>0</v>
      </c>
      <c r="BK255" s="160">
        <f t="shared" si="380"/>
        <v>0</v>
      </c>
      <c r="BL255" s="160">
        <f t="shared" si="380"/>
        <v>0</v>
      </c>
      <c r="BM255" s="160">
        <f t="shared" si="380"/>
        <v>0</v>
      </c>
      <c r="BN255" s="160">
        <f t="shared" si="380"/>
        <v>0</v>
      </c>
      <c r="BO255" s="160">
        <f t="shared" si="380"/>
        <v>0</v>
      </c>
      <c r="BP255" s="160">
        <f t="shared" si="380"/>
        <v>0</v>
      </c>
      <c r="BQ255" s="160">
        <f t="shared" si="380"/>
        <v>0</v>
      </c>
      <c r="BR255" s="160">
        <f t="shared" si="380"/>
        <v>0</v>
      </c>
      <c r="BS255" s="65"/>
      <c r="BT255" s="160">
        <f t="shared" si="381"/>
        <v>0</v>
      </c>
      <c r="BU255" s="160">
        <f t="shared" si="382"/>
        <v>0</v>
      </c>
      <c r="BV255" s="65"/>
      <c r="BW255" s="69"/>
      <c r="BX255" s="65"/>
      <c r="BY255" s="137">
        <f t="shared" si="383"/>
        <v>1</v>
      </c>
      <c r="BZ255" s="137">
        <f>IF(BY255&gt;0,BY255+LARGE($BZ$213:BZ254,1),0)</f>
        <v>39</v>
      </c>
      <c r="CA255" s="137" t="str">
        <f t="shared" si="384"/>
        <v>EST_II</v>
      </c>
      <c r="CB255" s="161">
        <f t="shared" si="385"/>
        <v>0</v>
      </c>
      <c r="CC255" s="161">
        <f t="shared" si="462"/>
        <v>0</v>
      </c>
      <c r="CD255" s="161">
        <f t="shared" si="462"/>
        <v>0</v>
      </c>
      <c r="CE255" s="161">
        <f t="shared" si="462"/>
        <v>0</v>
      </c>
      <c r="CF255" s="161">
        <f t="shared" si="462"/>
        <v>0</v>
      </c>
      <c r="CG255" s="161">
        <f t="shared" si="462"/>
        <v>0</v>
      </c>
      <c r="CH255" s="161">
        <f t="shared" si="462"/>
        <v>0</v>
      </c>
      <c r="CI255" s="161">
        <f t="shared" si="462"/>
        <v>0</v>
      </c>
      <c r="CJ255" s="161">
        <f t="shared" si="462"/>
        <v>0</v>
      </c>
      <c r="CK255" s="161">
        <f t="shared" si="462"/>
        <v>0</v>
      </c>
      <c r="CL255" s="161">
        <f t="shared" si="462"/>
        <v>0</v>
      </c>
      <c r="CM255" s="161">
        <f t="shared" si="462"/>
        <v>0</v>
      </c>
      <c r="CN255" s="161">
        <f t="shared" si="462"/>
        <v>0</v>
      </c>
      <c r="CO255" s="161">
        <f t="shared" si="462"/>
        <v>0</v>
      </c>
      <c r="CP255" s="161">
        <f t="shared" si="462"/>
        <v>0</v>
      </c>
      <c r="CQ255" s="161">
        <f t="shared" si="462"/>
        <v>0</v>
      </c>
      <c r="CR255" s="161">
        <f t="shared" si="462"/>
        <v>0</v>
      </c>
      <c r="CS255" s="161">
        <f t="shared" si="462"/>
        <v>0</v>
      </c>
      <c r="CT255" s="161">
        <f t="shared" si="462"/>
        <v>0</v>
      </c>
      <c r="CU255" s="161">
        <f t="shared" si="462"/>
        <v>0</v>
      </c>
      <c r="CV255" s="161">
        <f t="shared" si="393"/>
        <v>0</v>
      </c>
      <c r="CW255" s="161">
        <f t="shared" si="393"/>
        <v>0</v>
      </c>
      <c r="CX255" s="161">
        <f t="shared" si="393"/>
        <v>0</v>
      </c>
      <c r="CY255" s="161">
        <f t="shared" si="393"/>
        <v>0</v>
      </c>
      <c r="CZ255" s="161">
        <f t="shared" si="393"/>
        <v>0</v>
      </c>
      <c r="DA255" s="161">
        <f t="shared" si="393"/>
        <v>0</v>
      </c>
      <c r="DB255" s="161">
        <f t="shared" si="393"/>
        <v>0</v>
      </c>
      <c r="DC255" s="161">
        <f t="shared" si="393"/>
        <v>0</v>
      </c>
      <c r="DD255" s="161">
        <f t="shared" si="393"/>
        <v>0</v>
      </c>
      <c r="DE255" s="161">
        <f t="shared" si="393"/>
        <v>0</v>
      </c>
      <c r="DF255" s="161">
        <f t="shared" si="393"/>
        <v>0</v>
      </c>
      <c r="DG255" s="161">
        <f t="shared" si="393"/>
        <v>0</v>
      </c>
      <c r="DH255" s="161">
        <f t="shared" si="393"/>
        <v>0</v>
      </c>
      <c r="DI255" s="161">
        <f t="shared" si="393"/>
        <v>0</v>
      </c>
      <c r="DJ255" s="161">
        <f t="shared" si="393"/>
        <v>0</v>
      </c>
      <c r="DK255" s="161">
        <f t="shared" si="393"/>
        <v>0</v>
      </c>
      <c r="DL255" s="161">
        <f t="shared" si="393"/>
        <v>0</v>
      </c>
      <c r="DM255" s="161">
        <f t="shared" si="393"/>
        <v>0</v>
      </c>
      <c r="DN255" s="161">
        <f t="shared" si="393"/>
        <v>0</v>
      </c>
      <c r="DO255" s="161">
        <f t="shared" si="393"/>
        <v>0</v>
      </c>
      <c r="DP255" s="161">
        <f t="shared" si="393"/>
        <v>0</v>
      </c>
      <c r="DQ255" s="161">
        <f t="shared" si="393"/>
        <v>0</v>
      </c>
      <c r="DR255" s="161">
        <f t="shared" si="393"/>
        <v>0</v>
      </c>
      <c r="DS255" s="161">
        <f t="shared" si="393"/>
        <v>0</v>
      </c>
      <c r="DT255" s="161">
        <f t="shared" si="393"/>
        <v>0</v>
      </c>
      <c r="DU255" s="161">
        <f t="shared" si="393"/>
        <v>0</v>
      </c>
      <c r="DV255" s="161">
        <f t="shared" si="393"/>
        <v>0</v>
      </c>
      <c r="DW255" s="161">
        <f t="shared" si="393"/>
        <v>0</v>
      </c>
      <c r="DX255" s="161">
        <f t="shared" si="393"/>
        <v>0</v>
      </c>
      <c r="DY255" s="161">
        <f t="shared" si="393"/>
        <v>0</v>
      </c>
      <c r="DZ255" s="161">
        <f t="shared" si="393"/>
        <v>0</v>
      </c>
      <c r="EA255" s="161">
        <f t="shared" si="393"/>
        <v>0</v>
      </c>
      <c r="EB255" s="161">
        <f t="shared" si="393"/>
        <v>0</v>
      </c>
      <c r="EC255" s="161">
        <f t="shared" si="393"/>
        <v>0</v>
      </c>
      <c r="ED255" s="161">
        <f t="shared" si="393"/>
        <v>0</v>
      </c>
      <c r="EE255" s="161">
        <f t="shared" si="393"/>
        <v>0</v>
      </c>
      <c r="EF255" s="161">
        <f t="shared" si="393"/>
        <v>0</v>
      </c>
      <c r="EG255" s="161">
        <f t="shared" si="393"/>
        <v>0</v>
      </c>
      <c r="EH255" s="161">
        <f t="shared" si="393"/>
        <v>0</v>
      </c>
      <c r="EI255" s="161">
        <f t="shared" si="393"/>
        <v>0</v>
      </c>
      <c r="EJ255" s="65"/>
      <c r="EK255" s="161">
        <f t="shared" si="390"/>
        <v>0</v>
      </c>
      <c r="EL255" s="161">
        <f t="shared" si="391"/>
        <v>0</v>
      </c>
      <c r="EM255" s="161">
        <f t="shared" si="392"/>
        <v>0</v>
      </c>
    </row>
    <row r="256" spans="1:143" ht="12" hidden="1" customHeight="1" outlineLevel="2">
      <c r="A256" s="77">
        <v>20</v>
      </c>
      <c r="B256" s="137" t="str">
        <f t="shared" si="387"/>
        <v>EST_III - Equipe_01</v>
      </c>
      <c r="C256" s="65"/>
      <c r="D256" s="623"/>
      <c r="E256" s="65"/>
      <c r="F256" s="584"/>
      <c r="G256" s="77" t="str">
        <f>IF(INDEX(Tarefas!$BT$30:$FK$30,MATCH(A256,Tarefas!$BT$28:$FK$28,0))=0,"",INDEX(Tarefas!$BT$30:$FK$30,MATCH(A256,Tarefas!$BT$28:$FK$28,0)))</f>
        <v>EST_III</v>
      </c>
      <c r="H256" s="107" cm="1">
        <f t="array" ref="H256">IFERROR((SUMPRODUCT((Tarefas!$N$32:$N$54='Cronog. e Histog.'!$F$237)*(Tarefas!$BQ$30:$FK$30='Cronog. e Histog.'!$G256)*(Tarefas!$BQ$32:$FK$54)))/SUMIF(Tarefas!$N$32:$N$54,'Cronog. e Histog.'!$F$237,Tarefas!$K$32:$K$54),0)</f>
        <v>0</v>
      </c>
      <c r="I256" s="79">
        <f t="shared" si="388"/>
        <v>0</v>
      </c>
      <c r="J256" s="65"/>
      <c r="K256" s="160">
        <f t="shared" si="389"/>
        <v>0</v>
      </c>
      <c r="L256" s="160">
        <f t="shared" si="463"/>
        <v>0</v>
      </c>
      <c r="M256" s="160">
        <f t="shared" si="463"/>
        <v>0</v>
      </c>
      <c r="N256" s="160">
        <f t="shared" si="463"/>
        <v>0</v>
      </c>
      <c r="O256" s="160">
        <f t="shared" si="463"/>
        <v>0</v>
      </c>
      <c r="P256" s="160">
        <f t="shared" si="463"/>
        <v>0</v>
      </c>
      <c r="Q256" s="160">
        <f t="shared" si="463"/>
        <v>0</v>
      </c>
      <c r="R256" s="160">
        <f t="shared" si="463"/>
        <v>0</v>
      </c>
      <c r="S256" s="160">
        <f t="shared" si="463"/>
        <v>0</v>
      </c>
      <c r="T256" s="160">
        <f t="shared" si="463"/>
        <v>0</v>
      </c>
      <c r="U256" s="160">
        <f t="shared" si="463"/>
        <v>0</v>
      </c>
      <c r="V256" s="160">
        <f t="shared" si="463"/>
        <v>0</v>
      </c>
      <c r="W256" s="160">
        <f t="shared" si="463"/>
        <v>0</v>
      </c>
      <c r="X256" s="160">
        <f t="shared" si="463"/>
        <v>0</v>
      </c>
      <c r="Y256" s="160">
        <f t="shared" si="463"/>
        <v>0</v>
      </c>
      <c r="Z256" s="160">
        <f t="shared" si="463"/>
        <v>0</v>
      </c>
      <c r="AA256" s="160">
        <f t="shared" si="463"/>
        <v>0</v>
      </c>
      <c r="AB256" s="160">
        <f t="shared" si="463"/>
        <v>0</v>
      </c>
      <c r="AC256" s="160">
        <f t="shared" si="463"/>
        <v>0</v>
      </c>
      <c r="AD256" s="160">
        <f t="shared" si="463"/>
        <v>0</v>
      </c>
      <c r="AE256" s="160">
        <f t="shared" si="463"/>
        <v>0</v>
      </c>
      <c r="AF256" s="160">
        <f t="shared" si="463"/>
        <v>0</v>
      </c>
      <c r="AG256" s="160">
        <f t="shared" si="463"/>
        <v>0</v>
      </c>
      <c r="AH256" s="160">
        <f t="shared" si="463"/>
        <v>0</v>
      </c>
      <c r="AI256" s="160">
        <f t="shared" si="463"/>
        <v>0</v>
      </c>
      <c r="AJ256" s="160">
        <f t="shared" si="463"/>
        <v>0</v>
      </c>
      <c r="AK256" s="160">
        <f t="shared" si="463"/>
        <v>0</v>
      </c>
      <c r="AL256" s="160">
        <f t="shared" si="463"/>
        <v>0</v>
      </c>
      <c r="AM256" s="160">
        <f t="shared" si="463"/>
        <v>0</v>
      </c>
      <c r="AN256" s="160">
        <f t="shared" si="463"/>
        <v>0</v>
      </c>
      <c r="AO256" s="160">
        <f t="shared" si="463"/>
        <v>0</v>
      </c>
      <c r="AP256" s="160">
        <f t="shared" si="463"/>
        <v>0</v>
      </c>
      <c r="AQ256" s="160">
        <f t="shared" si="463"/>
        <v>0</v>
      </c>
      <c r="AR256" s="160">
        <f t="shared" si="463"/>
        <v>0</v>
      </c>
      <c r="AS256" s="160">
        <f t="shared" si="463"/>
        <v>0</v>
      </c>
      <c r="AT256" s="160">
        <f t="shared" si="380"/>
        <v>0</v>
      </c>
      <c r="AU256" s="160">
        <f t="shared" si="380"/>
        <v>0</v>
      </c>
      <c r="AV256" s="160">
        <f t="shared" si="380"/>
        <v>0</v>
      </c>
      <c r="AW256" s="160">
        <f t="shared" si="380"/>
        <v>0</v>
      </c>
      <c r="AX256" s="160">
        <f t="shared" si="380"/>
        <v>0</v>
      </c>
      <c r="AY256" s="160">
        <f t="shared" si="380"/>
        <v>0</v>
      </c>
      <c r="AZ256" s="160">
        <f t="shared" si="380"/>
        <v>0</v>
      </c>
      <c r="BA256" s="160">
        <f t="shared" si="380"/>
        <v>0</v>
      </c>
      <c r="BB256" s="160">
        <f t="shared" si="380"/>
        <v>0</v>
      </c>
      <c r="BC256" s="160">
        <f t="shared" si="380"/>
        <v>0</v>
      </c>
      <c r="BD256" s="160">
        <f t="shared" si="380"/>
        <v>0</v>
      </c>
      <c r="BE256" s="160">
        <f t="shared" si="380"/>
        <v>0</v>
      </c>
      <c r="BF256" s="160">
        <f t="shared" si="380"/>
        <v>0</v>
      </c>
      <c r="BG256" s="160">
        <f t="shared" si="380"/>
        <v>0</v>
      </c>
      <c r="BH256" s="160">
        <f t="shared" si="380"/>
        <v>0</v>
      </c>
      <c r="BI256" s="160">
        <f t="shared" si="380"/>
        <v>0</v>
      </c>
      <c r="BJ256" s="160">
        <f t="shared" si="380"/>
        <v>0</v>
      </c>
      <c r="BK256" s="160">
        <f t="shared" si="380"/>
        <v>0</v>
      </c>
      <c r="BL256" s="160">
        <f t="shared" si="380"/>
        <v>0</v>
      </c>
      <c r="BM256" s="160">
        <f t="shared" si="380"/>
        <v>0</v>
      </c>
      <c r="BN256" s="160">
        <f t="shared" si="380"/>
        <v>0</v>
      </c>
      <c r="BO256" s="160">
        <f t="shared" si="380"/>
        <v>0</v>
      </c>
      <c r="BP256" s="160">
        <f t="shared" si="380"/>
        <v>0</v>
      </c>
      <c r="BQ256" s="160">
        <f t="shared" si="380"/>
        <v>0</v>
      </c>
      <c r="BR256" s="160">
        <f t="shared" si="380"/>
        <v>0</v>
      </c>
      <c r="BS256" s="65"/>
      <c r="BT256" s="160">
        <f t="shared" si="381"/>
        <v>0</v>
      </c>
      <c r="BU256" s="160">
        <f t="shared" si="382"/>
        <v>0</v>
      </c>
      <c r="BV256" s="65"/>
      <c r="BW256" s="69"/>
      <c r="BX256" s="65"/>
      <c r="BY256" s="137">
        <f t="shared" si="383"/>
        <v>1</v>
      </c>
      <c r="BZ256" s="137">
        <f>IF(BY256&gt;0,BY256+LARGE($BZ$213:BZ255,1),0)</f>
        <v>40</v>
      </c>
      <c r="CA256" s="137" t="str">
        <f t="shared" si="384"/>
        <v>EST_III</v>
      </c>
      <c r="CB256" s="161">
        <f t="shared" si="385"/>
        <v>0</v>
      </c>
      <c r="CC256" s="161">
        <f t="shared" si="462"/>
        <v>0</v>
      </c>
      <c r="CD256" s="161">
        <f t="shared" si="462"/>
        <v>0</v>
      </c>
      <c r="CE256" s="161">
        <f t="shared" si="462"/>
        <v>0</v>
      </c>
      <c r="CF256" s="161">
        <f t="shared" si="462"/>
        <v>0</v>
      </c>
      <c r="CG256" s="161">
        <f t="shared" si="462"/>
        <v>0</v>
      </c>
      <c r="CH256" s="161">
        <f t="shared" si="462"/>
        <v>0</v>
      </c>
      <c r="CI256" s="161">
        <f t="shared" si="462"/>
        <v>0</v>
      </c>
      <c r="CJ256" s="161">
        <f t="shared" si="462"/>
        <v>0</v>
      </c>
      <c r="CK256" s="161">
        <f t="shared" si="462"/>
        <v>0</v>
      </c>
      <c r="CL256" s="161">
        <f t="shared" si="462"/>
        <v>0</v>
      </c>
      <c r="CM256" s="161">
        <f t="shared" si="462"/>
        <v>0</v>
      </c>
      <c r="CN256" s="161">
        <f t="shared" si="462"/>
        <v>0</v>
      </c>
      <c r="CO256" s="161">
        <f t="shared" si="462"/>
        <v>0</v>
      </c>
      <c r="CP256" s="161">
        <f t="shared" si="462"/>
        <v>0</v>
      </c>
      <c r="CQ256" s="161">
        <f t="shared" si="462"/>
        <v>0</v>
      </c>
      <c r="CR256" s="161">
        <f t="shared" si="462"/>
        <v>0</v>
      </c>
      <c r="CS256" s="161">
        <f t="shared" si="462"/>
        <v>0</v>
      </c>
      <c r="CT256" s="161">
        <f t="shared" si="462"/>
        <v>0</v>
      </c>
      <c r="CU256" s="161">
        <f t="shared" si="462"/>
        <v>0</v>
      </c>
      <c r="CV256" s="161">
        <f t="shared" si="393"/>
        <v>0</v>
      </c>
      <c r="CW256" s="161">
        <f t="shared" si="393"/>
        <v>0</v>
      </c>
      <c r="CX256" s="161">
        <f t="shared" si="393"/>
        <v>0</v>
      </c>
      <c r="CY256" s="161">
        <f t="shared" si="393"/>
        <v>0</v>
      </c>
      <c r="CZ256" s="161">
        <f t="shared" si="393"/>
        <v>0</v>
      </c>
      <c r="DA256" s="161">
        <f t="shared" si="393"/>
        <v>0</v>
      </c>
      <c r="DB256" s="161">
        <f t="shared" si="393"/>
        <v>0</v>
      </c>
      <c r="DC256" s="161">
        <f t="shared" si="393"/>
        <v>0</v>
      </c>
      <c r="DD256" s="161">
        <f t="shared" si="393"/>
        <v>0</v>
      </c>
      <c r="DE256" s="161">
        <f t="shared" si="393"/>
        <v>0</v>
      </c>
      <c r="DF256" s="161">
        <f t="shared" si="393"/>
        <v>0</v>
      </c>
      <c r="DG256" s="161">
        <f t="shared" si="393"/>
        <v>0</v>
      </c>
      <c r="DH256" s="161">
        <f t="shared" si="393"/>
        <v>0</v>
      </c>
      <c r="DI256" s="161">
        <f t="shared" si="393"/>
        <v>0</v>
      </c>
      <c r="DJ256" s="161">
        <f t="shared" si="393"/>
        <v>0</v>
      </c>
      <c r="DK256" s="161">
        <f t="shared" si="393"/>
        <v>0</v>
      </c>
      <c r="DL256" s="161">
        <f t="shared" si="393"/>
        <v>0</v>
      </c>
      <c r="DM256" s="161">
        <f t="shared" si="393"/>
        <v>0</v>
      </c>
      <c r="DN256" s="161">
        <f t="shared" si="393"/>
        <v>0</v>
      </c>
      <c r="DO256" s="161">
        <f t="shared" si="393"/>
        <v>0</v>
      </c>
      <c r="DP256" s="161">
        <f t="shared" si="393"/>
        <v>0</v>
      </c>
      <c r="DQ256" s="161">
        <f t="shared" si="393"/>
        <v>0</v>
      </c>
      <c r="DR256" s="161">
        <f t="shared" si="393"/>
        <v>0</v>
      </c>
      <c r="DS256" s="161">
        <f t="shared" si="393"/>
        <v>0</v>
      </c>
      <c r="DT256" s="161">
        <f t="shared" si="393"/>
        <v>0</v>
      </c>
      <c r="DU256" s="161">
        <f t="shared" si="393"/>
        <v>0</v>
      </c>
      <c r="DV256" s="161">
        <f t="shared" si="393"/>
        <v>0</v>
      </c>
      <c r="DW256" s="161">
        <f t="shared" si="393"/>
        <v>0</v>
      </c>
      <c r="DX256" s="161">
        <f t="shared" si="393"/>
        <v>0</v>
      </c>
      <c r="DY256" s="161">
        <f t="shared" si="393"/>
        <v>0</v>
      </c>
      <c r="DZ256" s="161">
        <f t="shared" si="393"/>
        <v>0</v>
      </c>
      <c r="EA256" s="161">
        <f t="shared" si="393"/>
        <v>0</v>
      </c>
      <c r="EB256" s="161">
        <f t="shared" si="393"/>
        <v>0</v>
      </c>
      <c r="EC256" s="161">
        <f t="shared" si="393"/>
        <v>0</v>
      </c>
      <c r="ED256" s="161">
        <f t="shared" si="393"/>
        <v>0</v>
      </c>
      <c r="EE256" s="161">
        <f t="shared" si="393"/>
        <v>0</v>
      </c>
      <c r="EF256" s="161">
        <f t="shared" si="393"/>
        <v>0</v>
      </c>
      <c r="EG256" s="161">
        <f t="shared" si="393"/>
        <v>0</v>
      </c>
      <c r="EH256" s="161">
        <f t="shared" si="393"/>
        <v>0</v>
      </c>
      <c r="EI256" s="161">
        <f t="shared" si="393"/>
        <v>0</v>
      </c>
      <c r="EJ256" s="65"/>
      <c r="EK256" s="161">
        <f t="shared" si="390"/>
        <v>0</v>
      </c>
      <c r="EL256" s="161">
        <f t="shared" si="391"/>
        <v>0</v>
      </c>
      <c r="EM256" s="161">
        <f t="shared" si="392"/>
        <v>0</v>
      </c>
    </row>
    <row r="257" spans="1:143" ht="12" hidden="1" customHeight="1" outlineLevel="1">
      <c r="B257" s="65"/>
      <c r="C257" s="65"/>
      <c r="D257" s="65"/>
      <c r="E257" s="65"/>
      <c r="F257" s="73" t="s">
        <v>380</v>
      </c>
      <c r="G257" s="162" t="str">
        <f>"Pico = "&amp;MAX(K257:BR257)</f>
        <v>Pico = 0,73</v>
      </c>
      <c r="H257" s="163">
        <f>SUM(H237:H256)</f>
        <v>1</v>
      </c>
      <c r="I257" s="148">
        <f>SUM(I237:I256)</f>
        <v>1</v>
      </c>
      <c r="J257" s="65"/>
      <c r="K257" s="146">
        <f>SUM(K237:K256)</f>
        <v>0.73</v>
      </c>
      <c r="L257" s="146">
        <f t="shared" ref="L257:AS257" si="464">SUM(L237:L256)</f>
        <v>0.73</v>
      </c>
      <c r="M257" s="146">
        <f t="shared" si="464"/>
        <v>0.73</v>
      </c>
      <c r="N257" s="146">
        <f t="shared" si="464"/>
        <v>0.73</v>
      </c>
      <c r="O257" s="146">
        <f t="shared" si="464"/>
        <v>0.73</v>
      </c>
      <c r="P257" s="146">
        <f t="shared" si="464"/>
        <v>0.73</v>
      </c>
      <c r="Q257" s="146">
        <f t="shared" si="464"/>
        <v>0.73</v>
      </c>
      <c r="R257" s="146">
        <f t="shared" si="464"/>
        <v>0.73</v>
      </c>
      <c r="S257" s="146">
        <f t="shared" si="464"/>
        <v>0.73</v>
      </c>
      <c r="T257" s="146">
        <f t="shared" si="464"/>
        <v>0.73</v>
      </c>
      <c r="U257" s="146">
        <f t="shared" si="464"/>
        <v>0</v>
      </c>
      <c r="V257" s="146">
        <f t="shared" si="464"/>
        <v>0</v>
      </c>
      <c r="W257" s="146">
        <f t="shared" si="464"/>
        <v>0</v>
      </c>
      <c r="X257" s="146">
        <f t="shared" si="464"/>
        <v>0</v>
      </c>
      <c r="Y257" s="146">
        <f t="shared" si="464"/>
        <v>0</v>
      </c>
      <c r="Z257" s="146">
        <f t="shared" si="464"/>
        <v>0</v>
      </c>
      <c r="AA257" s="146">
        <f t="shared" si="464"/>
        <v>0</v>
      </c>
      <c r="AB257" s="146">
        <f t="shared" si="464"/>
        <v>0</v>
      </c>
      <c r="AC257" s="146">
        <f t="shared" si="464"/>
        <v>0</v>
      </c>
      <c r="AD257" s="146">
        <f t="shared" si="464"/>
        <v>0</v>
      </c>
      <c r="AE257" s="146">
        <f t="shared" si="464"/>
        <v>0</v>
      </c>
      <c r="AF257" s="146">
        <f t="shared" si="464"/>
        <v>0</v>
      </c>
      <c r="AG257" s="146">
        <f t="shared" si="464"/>
        <v>0</v>
      </c>
      <c r="AH257" s="146">
        <f t="shared" si="464"/>
        <v>0</v>
      </c>
      <c r="AI257" s="146">
        <f t="shared" si="464"/>
        <v>0</v>
      </c>
      <c r="AJ257" s="146">
        <f t="shared" si="464"/>
        <v>0</v>
      </c>
      <c r="AK257" s="146">
        <f t="shared" si="464"/>
        <v>0</v>
      </c>
      <c r="AL257" s="146">
        <f t="shared" si="464"/>
        <v>0</v>
      </c>
      <c r="AM257" s="146">
        <f t="shared" si="464"/>
        <v>0</v>
      </c>
      <c r="AN257" s="146">
        <f t="shared" si="464"/>
        <v>0</v>
      </c>
      <c r="AO257" s="146">
        <f t="shared" si="464"/>
        <v>0</v>
      </c>
      <c r="AP257" s="146">
        <f t="shared" si="464"/>
        <v>0</v>
      </c>
      <c r="AQ257" s="146">
        <f t="shared" si="464"/>
        <v>0</v>
      </c>
      <c r="AR257" s="146">
        <f t="shared" si="464"/>
        <v>0</v>
      </c>
      <c r="AS257" s="146">
        <f t="shared" si="464"/>
        <v>0</v>
      </c>
      <c r="AT257" s="146">
        <f t="shared" ref="AT257" si="465">SUM(AT237:AT256)</f>
        <v>0</v>
      </c>
      <c r="AU257" s="146">
        <f t="shared" ref="AU257" si="466">SUM(AU237:AU256)</f>
        <v>0</v>
      </c>
      <c r="AV257" s="146">
        <f t="shared" ref="AV257" si="467">SUM(AV237:AV256)</f>
        <v>0</v>
      </c>
      <c r="AW257" s="146">
        <f t="shared" ref="AW257" si="468">SUM(AW237:AW256)</f>
        <v>0</v>
      </c>
      <c r="AX257" s="146">
        <f t="shared" ref="AX257" si="469">SUM(AX237:AX256)</f>
        <v>0</v>
      </c>
      <c r="AY257" s="146">
        <f t="shared" ref="AY257" si="470">SUM(AY237:AY256)</f>
        <v>0</v>
      </c>
      <c r="AZ257" s="146">
        <f t="shared" ref="AZ257" si="471">SUM(AZ237:AZ256)</f>
        <v>0</v>
      </c>
      <c r="BA257" s="146">
        <f t="shared" ref="BA257" si="472">SUM(BA237:BA256)</f>
        <v>0</v>
      </c>
      <c r="BB257" s="146">
        <f t="shared" ref="BB257" si="473">SUM(BB237:BB256)</f>
        <v>0</v>
      </c>
      <c r="BC257" s="146">
        <f t="shared" ref="BC257" si="474">SUM(BC237:BC256)</f>
        <v>0</v>
      </c>
      <c r="BD257" s="146">
        <f t="shared" ref="BD257" si="475">SUM(BD237:BD256)</f>
        <v>0</v>
      </c>
      <c r="BE257" s="146">
        <f t="shared" ref="BE257" si="476">SUM(BE237:BE256)</f>
        <v>0</v>
      </c>
      <c r="BF257" s="146">
        <f t="shared" ref="BF257" si="477">SUM(BF237:BF256)</f>
        <v>0</v>
      </c>
      <c r="BG257" s="146">
        <f t="shared" ref="BG257" si="478">SUM(BG237:BG256)</f>
        <v>0</v>
      </c>
      <c r="BH257" s="146">
        <f t="shared" ref="BH257" si="479">SUM(BH237:BH256)</f>
        <v>0</v>
      </c>
      <c r="BI257" s="146">
        <f t="shared" ref="BI257" si="480">SUM(BI237:BI256)</f>
        <v>0</v>
      </c>
      <c r="BJ257" s="146">
        <f t="shared" ref="BJ257" si="481">SUM(BJ237:BJ256)</f>
        <v>0</v>
      </c>
      <c r="BK257" s="146">
        <f t="shared" ref="BK257" si="482">SUM(BK237:BK256)</f>
        <v>0</v>
      </c>
      <c r="BL257" s="146">
        <f t="shared" ref="BL257" si="483">SUM(BL237:BL256)</f>
        <v>0</v>
      </c>
      <c r="BM257" s="146">
        <f t="shared" ref="BM257" si="484">SUM(BM237:BM256)</f>
        <v>0</v>
      </c>
      <c r="BN257" s="146">
        <f t="shared" ref="BN257" si="485">SUM(BN237:BN256)</f>
        <v>0</v>
      </c>
      <c r="BO257" s="146">
        <f t="shared" ref="BO257" si="486">SUM(BO237:BO256)</f>
        <v>0</v>
      </c>
      <c r="BP257" s="146">
        <f t="shared" ref="BP257" si="487">SUM(BP237:BP256)</f>
        <v>0</v>
      </c>
      <c r="BQ257" s="146">
        <f t="shared" ref="BQ257" si="488">SUM(BQ237:BQ256)</f>
        <v>0</v>
      </c>
      <c r="BR257" s="146">
        <f t="shared" ref="BR257" si="489">SUM(BR237:BR256)</f>
        <v>0</v>
      </c>
      <c r="BS257" s="65"/>
      <c r="BT257" s="146">
        <f t="shared" ref="BT257" si="490">SUM(BT237:BT256)</f>
        <v>0.73</v>
      </c>
      <c r="BU257" s="65"/>
      <c r="BV257" s="65"/>
      <c r="BW257" s="69"/>
      <c r="BX257" s="65"/>
      <c r="BY257" s="65"/>
      <c r="BZ257" s="65"/>
      <c r="CA257" s="65"/>
      <c r="CB257" s="65"/>
      <c r="CC257" s="65"/>
      <c r="CD257" s="65"/>
      <c r="CE257" s="65"/>
      <c r="CF257" s="65"/>
      <c r="CG257" s="65"/>
      <c r="CH257" s="65"/>
      <c r="CI257" s="65"/>
      <c r="CJ257" s="65"/>
      <c r="CK257" s="65"/>
      <c r="CL257" s="65"/>
      <c r="CM257" s="65"/>
      <c r="CN257" s="65"/>
      <c r="CO257" s="65"/>
      <c r="CP257" s="65"/>
      <c r="CQ257" s="65"/>
      <c r="CR257" s="65"/>
      <c r="CS257" s="65"/>
      <c r="CT257" s="65"/>
      <c r="CU257" s="65"/>
      <c r="CV257" s="65"/>
      <c r="CW257" s="65"/>
      <c r="CX257" s="65"/>
      <c r="CY257" s="65"/>
      <c r="CZ257" s="65"/>
      <c r="DA257" s="65"/>
      <c r="DB257" s="65"/>
      <c r="DC257" s="65"/>
      <c r="DD257" s="65"/>
      <c r="DE257" s="65"/>
      <c r="DF257" s="65"/>
      <c r="DG257" s="65"/>
      <c r="DH257" s="65"/>
      <c r="DI257" s="65"/>
      <c r="DJ257" s="65"/>
      <c r="DK257" s="65"/>
      <c r="DL257" s="65"/>
      <c r="DM257" s="65"/>
      <c r="DN257" s="65"/>
      <c r="DO257" s="65"/>
      <c r="DP257" s="65"/>
      <c r="DQ257" s="65"/>
      <c r="DR257" s="65"/>
      <c r="DS257" s="65"/>
      <c r="DT257" s="65"/>
      <c r="DU257" s="65"/>
      <c r="DV257" s="65"/>
      <c r="DW257" s="65"/>
      <c r="DX257" s="65"/>
      <c r="DY257" s="65"/>
      <c r="DZ257" s="65"/>
      <c r="EA257" s="65"/>
      <c r="EB257" s="65"/>
      <c r="EC257" s="65"/>
      <c r="ED257" s="65"/>
      <c r="EE257" s="65"/>
      <c r="EF257" s="65"/>
      <c r="EG257" s="65"/>
      <c r="EH257" s="65"/>
      <c r="EI257" s="65"/>
      <c r="EJ257" s="65"/>
      <c r="EK257" s="65"/>
      <c r="EL257" s="65"/>
      <c r="EM257" s="65"/>
    </row>
    <row r="258" spans="1:143" ht="12" hidden="1" customHeight="1" outlineLevel="1"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  <c r="BE258" s="65"/>
      <c r="BF258" s="65"/>
      <c r="BG258" s="65"/>
      <c r="BH258" s="65"/>
      <c r="BI258" s="65"/>
      <c r="BJ258" s="65"/>
      <c r="BK258" s="65"/>
      <c r="BL258" s="65"/>
      <c r="BM258" s="65"/>
      <c r="BN258" s="65"/>
      <c r="BO258" s="65"/>
      <c r="BP258" s="65"/>
      <c r="BQ258" s="65"/>
      <c r="BR258" s="65"/>
      <c r="BS258" s="65"/>
      <c r="BT258" s="65"/>
      <c r="BU258" s="65"/>
      <c r="BV258" s="65"/>
      <c r="BW258" s="69"/>
      <c r="BX258" s="65"/>
      <c r="BY258" s="65"/>
      <c r="BZ258" s="65"/>
      <c r="CA258" s="65"/>
      <c r="CB258" s="65"/>
      <c r="CC258" s="65"/>
      <c r="CD258" s="65"/>
      <c r="CE258" s="65"/>
      <c r="CF258" s="65"/>
      <c r="CG258" s="65"/>
      <c r="CH258" s="65"/>
      <c r="CI258" s="65"/>
      <c r="CJ258" s="65"/>
      <c r="CK258" s="65"/>
      <c r="CL258" s="65"/>
      <c r="CM258" s="65"/>
      <c r="CN258" s="65"/>
      <c r="CO258" s="65"/>
      <c r="CP258" s="65"/>
      <c r="CQ258" s="65"/>
      <c r="CR258" s="65"/>
      <c r="CS258" s="65"/>
      <c r="CT258" s="65"/>
      <c r="CU258" s="65"/>
      <c r="CV258" s="65"/>
      <c r="CW258" s="65"/>
      <c r="CX258" s="65"/>
      <c r="CY258" s="65"/>
      <c r="CZ258" s="65"/>
      <c r="DA258" s="65"/>
      <c r="DB258" s="65"/>
      <c r="DC258" s="65"/>
      <c r="DD258" s="65"/>
      <c r="DE258" s="65"/>
      <c r="DF258" s="65"/>
      <c r="DG258" s="65"/>
      <c r="DH258" s="65"/>
      <c r="DI258" s="65"/>
      <c r="DJ258" s="65"/>
      <c r="DK258" s="65"/>
      <c r="DL258" s="65"/>
      <c r="DM258" s="65"/>
      <c r="DN258" s="65"/>
      <c r="DO258" s="65"/>
      <c r="DP258" s="65"/>
      <c r="DQ258" s="65"/>
      <c r="DR258" s="65"/>
      <c r="DS258" s="65"/>
      <c r="DT258" s="65"/>
      <c r="DU258" s="65"/>
      <c r="DV258" s="65"/>
      <c r="DW258" s="65"/>
      <c r="DX258" s="65"/>
      <c r="DY258" s="65"/>
      <c r="DZ258" s="65"/>
      <c r="EA258" s="65"/>
      <c r="EB258" s="65"/>
      <c r="EC258" s="65"/>
      <c r="ED258" s="65"/>
      <c r="EE258" s="65"/>
      <c r="EF258" s="65"/>
      <c r="EG258" s="65"/>
      <c r="EH258" s="65"/>
      <c r="EI258" s="65"/>
      <c r="EJ258" s="65"/>
      <c r="EK258" s="65"/>
      <c r="EL258" s="65"/>
      <c r="EM258" s="65"/>
    </row>
    <row r="259" spans="1:143" ht="24" hidden="1" customHeight="1" outlineLevel="1">
      <c r="B259" s="593" t="s">
        <v>395</v>
      </c>
      <c r="C259" s="65"/>
      <c r="D259" s="65"/>
      <c r="E259" s="65"/>
      <c r="F259" s="149" t="str">
        <f>IF($G$53&gt;0,$G$53,"")</f>
        <v>Equipe03</v>
      </c>
      <c r="G259" s="149"/>
      <c r="H259" s="149"/>
      <c r="I259" s="149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  <c r="BE259" s="65"/>
      <c r="BF259" s="65"/>
      <c r="BG259" s="65"/>
      <c r="BH259" s="65"/>
      <c r="BI259" s="65"/>
      <c r="BJ259" s="65"/>
      <c r="BK259" s="65"/>
      <c r="BL259" s="65"/>
      <c r="BM259" s="65"/>
      <c r="BN259" s="65"/>
      <c r="BO259" s="65"/>
      <c r="BP259" s="65"/>
      <c r="BQ259" s="65"/>
      <c r="BR259" s="65"/>
      <c r="BS259" s="65"/>
      <c r="BT259" s="601" t="s">
        <v>396</v>
      </c>
      <c r="BU259" s="601" t="s">
        <v>397</v>
      </c>
      <c r="BV259" s="65"/>
      <c r="BW259" s="69"/>
      <c r="BX259" s="65"/>
      <c r="BY259" s="593" t="s">
        <v>398</v>
      </c>
      <c r="BZ259" s="593" t="s">
        <v>399</v>
      </c>
      <c r="CA259" s="593" t="s">
        <v>400</v>
      </c>
      <c r="CB259" s="592" t="s">
        <v>401</v>
      </c>
      <c r="CC259" s="592" t="s">
        <v>402</v>
      </c>
      <c r="CD259" s="592" t="s">
        <v>403</v>
      </c>
      <c r="CE259" s="592" t="s">
        <v>404</v>
      </c>
      <c r="CF259" s="592" t="s">
        <v>405</v>
      </c>
      <c r="CG259" s="592" t="s">
        <v>406</v>
      </c>
      <c r="CH259" s="592" t="s">
        <v>407</v>
      </c>
      <c r="CI259" s="592" t="s">
        <v>408</v>
      </c>
      <c r="CJ259" s="592" t="s">
        <v>409</v>
      </c>
      <c r="CK259" s="592" t="s">
        <v>410</v>
      </c>
      <c r="CL259" s="592" t="s">
        <v>411</v>
      </c>
      <c r="CM259" s="592" t="s">
        <v>412</v>
      </c>
      <c r="CN259" s="592" t="s">
        <v>413</v>
      </c>
      <c r="CO259" s="592" t="s">
        <v>414</v>
      </c>
      <c r="CP259" s="592" t="s">
        <v>415</v>
      </c>
      <c r="CQ259" s="592" t="s">
        <v>416</v>
      </c>
      <c r="CR259" s="592" t="s">
        <v>417</v>
      </c>
      <c r="CS259" s="592" t="s">
        <v>418</v>
      </c>
      <c r="CT259" s="592" t="s">
        <v>419</v>
      </c>
      <c r="CU259" s="592" t="s">
        <v>420</v>
      </c>
      <c r="CV259" s="592" t="s">
        <v>421</v>
      </c>
      <c r="CW259" s="592" t="s">
        <v>422</v>
      </c>
      <c r="CX259" s="592" t="s">
        <v>423</v>
      </c>
      <c r="CY259" s="592" t="s">
        <v>424</v>
      </c>
      <c r="CZ259" s="592" t="s">
        <v>425</v>
      </c>
      <c r="DA259" s="592" t="s">
        <v>426</v>
      </c>
      <c r="DB259" s="592" t="s">
        <v>427</v>
      </c>
      <c r="DC259" s="592" t="s">
        <v>428</v>
      </c>
      <c r="DD259" s="592" t="s">
        <v>429</v>
      </c>
      <c r="DE259" s="592" t="s">
        <v>430</v>
      </c>
      <c r="DF259" s="592" t="s">
        <v>431</v>
      </c>
      <c r="DG259" s="592" t="s">
        <v>432</v>
      </c>
      <c r="DH259" s="592" t="s">
        <v>433</v>
      </c>
      <c r="DI259" s="592" t="s">
        <v>434</v>
      </c>
      <c r="DJ259" s="592" t="s">
        <v>435</v>
      </c>
      <c r="DK259" s="592" t="s">
        <v>436</v>
      </c>
      <c r="DL259" s="592" t="s">
        <v>437</v>
      </c>
      <c r="DM259" s="592" t="s">
        <v>438</v>
      </c>
      <c r="DN259" s="592" t="s">
        <v>439</v>
      </c>
      <c r="DO259" s="592" t="s">
        <v>440</v>
      </c>
      <c r="DP259" s="592" t="s">
        <v>441</v>
      </c>
      <c r="DQ259" s="592" t="s">
        <v>442</v>
      </c>
      <c r="DR259" s="592" t="s">
        <v>443</v>
      </c>
      <c r="DS259" s="592" t="s">
        <v>444</v>
      </c>
      <c r="DT259" s="592" t="s">
        <v>445</v>
      </c>
      <c r="DU259" s="592" t="s">
        <v>446</v>
      </c>
      <c r="DV259" s="592" t="s">
        <v>447</v>
      </c>
      <c r="DW259" s="592" t="s">
        <v>448</v>
      </c>
      <c r="DX259" s="592" t="s">
        <v>449</v>
      </c>
      <c r="DY259" s="592" t="s">
        <v>450</v>
      </c>
      <c r="DZ259" s="592" t="s">
        <v>451</v>
      </c>
      <c r="EA259" s="592" t="s">
        <v>452</v>
      </c>
      <c r="EB259" s="592" t="s">
        <v>453</v>
      </c>
      <c r="EC259" s="592" t="s">
        <v>454</v>
      </c>
      <c r="ED259" s="592" t="s">
        <v>455</v>
      </c>
      <c r="EE259" s="592" t="s">
        <v>456</v>
      </c>
      <c r="EF259" s="592" t="s">
        <v>457</v>
      </c>
      <c r="EG259" s="592" t="s">
        <v>458</v>
      </c>
      <c r="EH259" s="592" t="s">
        <v>459</v>
      </c>
      <c r="EI259" s="592" t="s">
        <v>460</v>
      </c>
      <c r="EJ259" s="65"/>
      <c r="EK259" s="157" t="s">
        <v>376</v>
      </c>
      <c r="EL259" s="157" t="s">
        <v>461</v>
      </c>
      <c r="EM259" s="157" t="s">
        <v>383</v>
      </c>
    </row>
    <row r="260" spans="1:143" ht="12" hidden="1" customHeight="1" outlineLevel="1" collapsed="1">
      <c r="B260" s="593"/>
      <c r="C260" s="65"/>
      <c r="D260" s="65"/>
      <c r="E260" s="65"/>
      <c r="F260" s="158" t="s">
        <v>198</v>
      </c>
      <c r="G260" s="158" t="s">
        <v>462</v>
      </c>
      <c r="H260" s="158" t="s">
        <v>255</v>
      </c>
      <c r="I260" s="158" t="s">
        <v>68</v>
      </c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  <c r="BM260" s="65"/>
      <c r="BN260" s="65"/>
      <c r="BO260" s="65"/>
      <c r="BP260" s="65"/>
      <c r="BQ260" s="65"/>
      <c r="BR260" s="65"/>
      <c r="BS260" s="65"/>
      <c r="BT260" s="602"/>
      <c r="BU260" s="602"/>
      <c r="BV260" s="65"/>
      <c r="BW260" s="69"/>
      <c r="BX260" s="65"/>
      <c r="BY260" s="593"/>
      <c r="BZ260" s="593"/>
      <c r="CA260" s="593"/>
      <c r="CB260" s="592"/>
      <c r="CC260" s="592"/>
      <c r="CD260" s="592"/>
      <c r="CE260" s="592"/>
      <c r="CF260" s="592"/>
      <c r="CG260" s="592"/>
      <c r="CH260" s="592"/>
      <c r="CI260" s="592"/>
      <c r="CJ260" s="592"/>
      <c r="CK260" s="592"/>
      <c r="CL260" s="592"/>
      <c r="CM260" s="592"/>
      <c r="CN260" s="592"/>
      <c r="CO260" s="592"/>
      <c r="CP260" s="592"/>
      <c r="CQ260" s="592"/>
      <c r="CR260" s="592"/>
      <c r="CS260" s="592"/>
      <c r="CT260" s="592"/>
      <c r="CU260" s="592"/>
      <c r="CV260" s="592"/>
      <c r="CW260" s="592"/>
      <c r="CX260" s="592"/>
      <c r="CY260" s="592"/>
      <c r="CZ260" s="592"/>
      <c r="DA260" s="592"/>
      <c r="DB260" s="592"/>
      <c r="DC260" s="592"/>
      <c r="DD260" s="592"/>
      <c r="DE260" s="592"/>
      <c r="DF260" s="592"/>
      <c r="DG260" s="592"/>
      <c r="DH260" s="592"/>
      <c r="DI260" s="592"/>
      <c r="DJ260" s="592"/>
      <c r="DK260" s="592"/>
      <c r="DL260" s="592"/>
      <c r="DM260" s="592"/>
      <c r="DN260" s="592"/>
      <c r="DO260" s="592"/>
      <c r="DP260" s="592"/>
      <c r="DQ260" s="592"/>
      <c r="DR260" s="592"/>
      <c r="DS260" s="592"/>
      <c r="DT260" s="592"/>
      <c r="DU260" s="592"/>
      <c r="DV260" s="592"/>
      <c r="DW260" s="592"/>
      <c r="DX260" s="592"/>
      <c r="DY260" s="592"/>
      <c r="DZ260" s="592"/>
      <c r="EA260" s="592"/>
      <c r="EB260" s="592"/>
      <c r="EC260" s="592"/>
      <c r="ED260" s="592"/>
      <c r="EE260" s="592"/>
      <c r="EF260" s="592"/>
      <c r="EG260" s="592"/>
      <c r="EH260" s="592"/>
      <c r="EI260" s="592"/>
      <c r="EJ260" s="65"/>
      <c r="EK260" s="159">
        <f>IFERROR(ROUNDUP(SUMPRODUCT($K281:$BR281,$K$108:$BR$108)/SUM($K281:$BR281),2),0)</f>
        <v>0</v>
      </c>
      <c r="EL260" s="159">
        <f>IFERROR(ROUNDUP(SUMPRODUCT($K281:$BR281,$K$132:$BR$132)/SUM($K281:$BR281),2),0)</f>
        <v>0</v>
      </c>
      <c r="EM260" s="159">
        <f>IFERROR(ROUNDUP(SUMPRODUCT($K281:$BR281,$K$156:$BR$156)/SUM($K281:$BR281),2),0)</f>
        <v>0</v>
      </c>
    </row>
    <row r="261" spans="1:143" ht="12" hidden="1" customHeight="1" outlineLevel="2">
      <c r="A261" s="77">
        <v>1</v>
      </c>
      <c r="B261" s="137" t="str">
        <f>IF(G261&gt;0,G261&amp;" - "&amp;$F$213,"")</f>
        <v>GER. (OBRA/PROJ) - Equipe_01</v>
      </c>
      <c r="C261" s="65"/>
      <c r="D261" s="620" t="s">
        <v>463</v>
      </c>
      <c r="E261" s="65"/>
      <c r="F261" s="584" t="str">
        <f>IFERROR(VLOOKUP(F259,Tarefas!$F$3:$G$22,2,0),"")</f>
        <v>Equipe_03</v>
      </c>
      <c r="G261" s="77" t="str">
        <f>IF(INDEX(Tarefas!$BT$30:$FK$30,MATCH(A261,Tarefas!$BT$28:$FK$28,0))=0,"",INDEX(Tarefas!$BT$30:$FK$30,MATCH(A261,Tarefas!$BT$28:$FK$28,0)))</f>
        <v>GER. (OBRA/PROJ)</v>
      </c>
      <c r="H261" s="107" cm="1">
        <f t="array" ref="H261">IFERROR((SUMPRODUCT((Tarefas!$N$32:$N$54='Cronog. e Histog.'!$F$261)*(Tarefas!$BQ$30:$FK$30='Cronog. e Histog.'!$G261)*(Tarefas!$BQ$32:$FK$54)))/SUMIF(Tarefas!$N$32:$N$54,'Cronog. e Histog.'!$F$261,Tarefas!$K$32:$K$54),0)</f>
        <v>0</v>
      </c>
      <c r="I261" s="79">
        <f>IFERROR(H261/$H$281,0)</f>
        <v>0</v>
      </c>
      <c r="J261" s="65"/>
      <c r="K261" s="160">
        <f t="shared" ref="K261:Z280" si="491">ROUND($I261*K$185,2)</f>
        <v>0</v>
      </c>
      <c r="L261" s="160">
        <f t="shared" ref="L261:BR265" si="492">ROUND($I261*L$185,2)</f>
        <v>0</v>
      </c>
      <c r="M261" s="160">
        <f t="shared" si="492"/>
        <v>0</v>
      </c>
      <c r="N261" s="160">
        <f t="shared" si="492"/>
        <v>0</v>
      </c>
      <c r="O261" s="160">
        <f t="shared" si="492"/>
        <v>0</v>
      </c>
      <c r="P261" s="160">
        <f t="shared" si="492"/>
        <v>0</v>
      </c>
      <c r="Q261" s="160">
        <f t="shared" si="492"/>
        <v>0</v>
      </c>
      <c r="R261" s="160">
        <f t="shared" si="492"/>
        <v>0</v>
      </c>
      <c r="S261" s="160">
        <f t="shared" si="492"/>
        <v>0</v>
      </c>
      <c r="T261" s="160">
        <f t="shared" si="492"/>
        <v>0</v>
      </c>
      <c r="U261" s="160">
        <f t="shared" si="492"/>
        <v>0</v>
      </c>
      <c r="V261" s="160">
        <f t="shared" si="492"/>
        <v>0</v>
      </c>
      <c r="W261" s="160">
        <f t="shared" si="492"/>
        <v>0</v>
      </c>
      <c r="X261" s="160">
        <f t="shared" si="492"/>
        <v>0</v>
      </c>
      <c r="Y261" s="160">
        <f t="shared" si="492"/>
        <v>0</v>
      </c>
      <c r="Z261" s="160">
        <f t="shared" si="492"/>
        <v>0</v>
      </c>
      <c r="AA261" s="160">
        <f t="shared" si="492"/>
        <v>0</v>
      </c>
      <c r="AB261" s="160">
        <f t="shared" si="492"/>
        <v>0</v>
      </c>
      <c r="AC261" s="160">
        <f t="shared" si="492"/>
        <v>0</v>
      </c>
      <c r="AD261" s="160">
        <f t="shared" si="492"/>
        <v>0</v>
      </c>
      <c r="AE261" s="160">
        <f t="shared" si="492"/>
        <v>0</v>
      </c>
      <c r="AF261" s="160">
        <f t="shared" si="492"/>
        <v>0</v>
      </c>
      <c r="AG261" s="160">
        <f t="shared" si="492"/>
        <v>0</v>
      </c>
      <c r="AH261" s="160">
        <f t="shared" si="492"/>
        <v>0</v>
      </c>
      <c r="AI261" s="160">
        <f t="shared" si="492"/>
        <v>0</v>
      </c>
      <c r="AJ261" s="160">
        <f t="shared" si="492"/>
        <v>0</v>
      </c>
      <c r="AK261" s="160">
        <f t="shared" si="492"/>
        <v>0</v>
      </c>
      <c r="AL261" s="160">
        <f t="shared" si="492"/>
        <v>0</v>
      </c>
      <c r="AM261" s="160">
        <f t="shared" si="492"/>
        <v>0</v>
      </c>
      <c r="AN261" s="160">
        <f t="shared" si="492"/>
        <v>0</v>
      </c>
      <c r="AO261" s="160">
        <f t="shared" si="492"/>
        <v>0</v>
      </c>
      <c r="AP261" s="160">
        <f t="shared" si="492"/>
        <v>0</v>
      </c>
      <c r="AQ261" s="160">
        <f t="shared" si="492"/>
        <v>0</v>
      </c>
      <c r="AR261" s="160">
        <f t="shared" si="492"/>
        <v>0</v>
      </c>
      <c r="AS261" s="160">
        <f t="shared" si="492"/>
        <v>0</v>
      </c>
      <c r="AT261" s="160">
        <f t="shared" si="492"/>
        <v>0</v>
      </c>
      <c r="AU261" s="160">
        <f t="shared" si="492"/>
        <v>0</v>
      </c>
      <c r="AV261" s="160">
        <f t="shared" si="492"/>
        <v>0</v>
      </c>
      <c r="AW261" s="160">
        <f t="shared" si="492"/>
        <v>0</v>
      </c>
      <c r="AX261" s="160">
        <f t="shared" si="492"/>
        <v>0</v>
      </c>
      <c r="AY261" s="160">
        <f t="shared" si="492"/>
        <v>0</v>
      </c>
      <c r="AZ261" s="160">
        <f t="shared" si="492"/>
        <v>0</v>
      </c>
      <c r="BA261" s="160">
        <f t="shared" si="492"/>
        <v>0</v>
      </c>
      <c r="BB261" s="160">
        <f t="shared" si="492"/>
        <v>0</v>
      </c>
      <c r="BC261" s="160">
        <f t="shared" si="492"/>
        <v>0</v>
      </c>
      <c r="BD261" s="160">
        <f t="shared" si="492"/>
        <v>0</v>
      </c>
      <c r="BE261" s="160">
        <f t="shared" si="492"/>
        <v>0</v>
      </c>
      <c r="BF261" s="160">
        <f t="shared" si="492"/>
        <v>0</v>
      </c>
      <c r="BG261" s="160">
        <f t="shared" si="492"/>
        <v>0</v>
      </c>
      <c r="BH261" s="160">
        <f t="shared" si="492"/>
        <v>0</v>
      </c>
      <c r="BI261" s="160">
        <f t="shared" si="492"/>
        <v>0</v>
      </c>
      <c r="BJ261" s="160">
        <f t="shared" si="492"/>
        <v>0</v>
      </c>
      <c r="BK261" s="160">
        <f t="shared" si="492"/>
        <v>0</v>
      </c>
      <c r="BL261" s="160">
        <f t="shared" si="492"/>
        <v>0</v>
      </c>
      <c r="BM261" s="160">
        <f t="shared" si="492"/>
        <v>0</v>
      </c>
      <c r="BN261" s="160">
        <f t="shared" si="492"/>
        <v>0</v>
      </c>
      <c r="BO261" s="160">
        <f t="shared" si="492"/>
        <v>0</v>
      </c>
      <c r="BP261" s="160">
        <f t="shared" si="492"/>
        <v>0</v>
      </c>
      <c r="BQ261" s="160">
        <f t="shared" si="492"/>
        <v>0</v>
      </c>
      <c r="BR261" s="160">
        <f t="shared" si="492"/>
        <v>0</v>
      </c>
      <c r="BS261" s="65"/>
      <c r="BT261" s="160">
        <f t="shared" ref="BT261:BT280" si="493">IFERROR(SUM(K261:BR261)/COUNTIF(K261:BR261,"&gt;0"),0)</f>
        <v>0</v>
      </c>
      <c r="BU261" s="160">
        <f t="shared" ref="BU261:BU280" si="494">COUNTIF(K261:BR261,"&gt;0")</f>
        <v>0</v>
      </c>
      <c r="BV261" s="65"/>
      <c r="BW261" s="69"/>
      <c r="BX261" s="65"/>
      <c r="BY261" s="137">
        <f t="shared" ref="BY261:BY280" si="495">IF(G261&gt;0,1,0)</f>
        <v>1</v>
      </c>
      <c r="BZ261" s="137">
        <f>IF(BY261&gt;0,BY261+LARGE($BZ$213:BZ260,1),0)</f>
        <v>41</v>
      </c>
      <c r="CA261" s="137" t="str">
        <f t="shared" ref="CA261:CA280" si="496">G261</f>
        <v>GER. (OBRA/PROJ)</v>
      </c>
      <c r="CB261" s="161">
        <f t="shared" ref="CB261:CB280" si="497">K261</f>
        <v>0</v>
      </c>
      <c r="CC261" s="161">
        <f t="shared" ref="CC261:CR280" si="498">L261</f>
        <v>0</v>
      </c>
      <c r="CD261" s="161">
        <f t="shared" si="498"/>
        <v>0</v>
      </c>
      <c r="CE261" s="161">
        <f t="shared" si="498"/>
        <v>0</v>
      </c>
      <c r="CF261" s="161">
        <f t="shared" si="498"/>
        <v>0</v>
      </c>
      <c r="CG261" s="161">
        <f t="shared" si="498"/>
        <v>0</v>
      </c>
      <c r="CH261" s="161">
        <f t="shared" si="498"/>
        <v>0</v>
      </c>
      <c r="CI261" s="161">
        <f t="shared" si="498"/>
        <v>0</v>
      </c>
      <c r="CJ261" s="161">
        <f t="shared" si="498"/>
        <v>0</v>
      </c>
      <c r="CK261" s="161">
        <f t="shared" si="498"/>
        <v>0</v>
      </c>
      <c r="CL261" s="161">
        <f t="shared" si="498"/>
        <v>0</v>
      </c>
      <c r="CM261" s="161">
        <f t="shared" si="498"/>
        <v>0</v>
      </c>
      <c r="CN261" s="161">
        <f t="shared" si="498"/>
        <v>0</v>
      </c>
      <c r="CO261" s="161">
        <f t="shared" si="498"/>
        <v>0</v>
      </c>
      <c r="CP261" s="161">
        <f t="shared" si="498"/>
        <v>0</v>
      </c>
      <c r="CQ261" s="161">
        <f t="shared" si="498"/>
        <v>0</v>
      </c>
      <c r="CR261" s="161">
        <f t="shared" si="498"/>
        <v>0</v>
      </c>
      <c r="CS261" s="161">
        <f t="shared" ref="CS261:DH280" si="499">AB261</f>
        <v>0</v>
      </c>
      <c r="CT261" s="161">
        <f t="shared" si="499"/>
        <v>0</v>
      </c>
      <c r="CU261" s="161">
        <f t="shared" si="499"/>
        <v>0</v>
      </c>
      <c r="CV261" s="161">
        <f t="shared" si="499"/>
        <v>0</v>
      </c>
      <c r="CW261" s="161">
        <f t="shared" si="499"/>
        <v>0</v>
      </c>
      <c r="CX261" s="161">
        <f t="shared" si="499"/>
        <v>0</v>
      </c>
      <c r="CY261" s="161">
        <f t="shared" si="499"/>
        <v>0</v>
      </c>
      <c r="CZ261" s="161">
        <f t="shared" si="499"/>
        <v>0</v>
      </c>
      <c r="DA261" s="161">
        <f t="shared" si="499"/>
        <v>0</v>
      </c>
      <c r="DB261" s="161">
        <f t="shared" si="499"/>
        <v>0</v>
      </c>
      <c r="DC261" s="161">
        <f t="shared" si="499"/>
        <v>0</v>
      </c>
      <c r="DD261" s="161">
        <f t="shared" si="499"/>
        <v>0</v>
      </c>
      <c r="DE261" s="161">
        <f t="shared" si="499"/>
        <v>0</v>
      </c>
      <c r="DF261" s="161">
        <f t="shared" si="499"/>
        <v>0</v>
      </c>
      <c r="DG261" s="161">
        <f t="shared" si="499"/>
        <v>0</v>
      </c>
      <c r="DH261" s="161">
        <f t="shared" si="499"/>
        <v>0</v>
      </c>
      <c r="DI261" s="161">
        <f t="shared" ref="DI261:DX280" si="500">AR261</f>
        <v>0</v>
      </c>
      <c r="DJ261" s="161">
        <f t="shared" si="500"/>
        <v>0</v>
      </c>
      <c r="DK261" s="161">
        <f t="shared" si="500"/>
        <v>0</v>
      </c>
      <c r="DL261" s="161">
        <f t="shared" si="500"/>
        <v>0</v>
      </c>
      <c r="DM261" s="161">
        <f t="shared" si="500"/>
        <v>0</v>
      </c>
      <c r="DN261" s="161">
        <f t="shared" si="500"/>
        <v>0</v>
      </c>
      <c r="DO261" s="161">
        <f t="shared" si="500"/>
        <v>0</v>
      </c>
      <c r="DP261" s="161">
        <f t="shared" si="500"/>
        <v>0</v>
      </c>
      <c r="DQ261" s="161">
        <f t="shared" si="500"/>
        <v>0</v>
      </c>
      <c r="DR261" s="161">
        <f t="shared" si="500"/>
        <v>0</v>
      </c>
      <c r="DS261" s="161">
        <f t="shared" si="500"/>
        <v>0</v>
      </c>
      <c r="DT261" s="161">
        <f t="shared" si="500"/>
        <v>0</v>
      </c>
      <c r="DU261" s="161">
        <f t="shared" si="500"/>
        <v>0</v>
      </c>
      <c r="DV261" s="161">
        <f t="shared" si="500"/>
        <v>0</v>
      </c>
      <c r="DW261" s="161">
        <f t="shared" si="500"/>
        <v>0</v>
      </c>
      <c r="DX261" s="161">
        <f t="shared" si="500"/>
        <v>0</v>
      </c>
      <c r="DY261" s="161">
        <f t="shared" ref="DY261:EI280" si="501">BH261</f>
        <v>0</v>
      </c>
      <c r="DZ261" s="161">
        <f t="shared" si="501"/>
        <v>0</v>
      </c>
      <c r="EA261" s="161">
        <f t="shared" si="501"/>
        <v>0</v>
      </c>
      <c r="EB261" s="161">
        <f t="shared" si="501"/>
        <v>0</v>
      </c>
      <c r="EC261" s="161">
        <f t="shared" si="501"/>
        <v>0</v>
      </c>
      <c r="ED261" s="161">
        <f t="shared" si="501"/>
        <v>0</v>
      </c>
      <c r="EE261" s="161">
        <f t="shared" si="501"/>
        <v>0</v>
      </c>
      <c r="EF261" s="161">
        <f t="shared" si="501"/>
        <v>0</v>
      </c>
      <c r="EG261" s="161">
        <f t="shared" si="501"/>
        <v>0</v>
      </c>
      <c r="EH261" s="161">
        <f t="shared" si="501"/>
        <v>0</v>
      </c>
      <c r="EI261" s="161">
        <f t="shared" si="501"/>
        <v>0</v>
      </c>
      <c r="EJ261" s="65"/>
      <c r="EK261" s="161">
        <f>$EK$260</f>
        <v>0</v>
      </c>
      <c r="EL261" s="161">
        <f>$EL$260</f>
        <v>0</v>
      </c>
      <c r="EM261" s="161">
        <f>$EM$260</f>
        <v>0</v>
      </c>
    </row>
    <row r="262" spans="1:143" ht="12" hidden="1" customHeight="1" outlineLevel="2">
      <c r="A262" s="77">
        <v>2</v>
      </c>
      <c r="B262" s="137" t="str">
        <f t="shared" ref="B262:B280" si="502">IF(G262&gt;0,G262&amp;" - "&amp;$F$213,"")</f>
        <v>COORD. - Equipe_01</v>
      </c>
      <c r="C262" s="65"/>
      <c r="D262" s="622"/>
      <c r="E262" s="65"/>
      <c r="F262" s="584"/>
      <c r="G262" s="77" t="str">
        <f>IF(INDEX(Tarefas!$BT$30:$FK$30,MATCH(A262,Tarefas!$BT$28:$FK$28,0))=0,"",INDEX(Tarefas!$BT$30:$FK$30,MATCH(A262,Tarefas!$BT$28:$FK$28,0)))</f>
        <v>COORD.</v>
      </c>
      <c r="H262" s="107" cm="1">
        <f t="array" ref="H262">IFERROR((SUMPRODUCT((Tarefas!$N$32:$N$54='Cronog. e Histog.'!$F$261)*(Tarefas!$BQ$30:$FK$30='Cronog. e Histog.'!$G262)*(Tarefas!$BQ$32:$FK$54)))/SUMIF(Tarefas!$N$32:$N$54,'Cronog. e Histog.'!$F$261,Tarefas!$K$32:$K$54),0)</f>
        <v>0</v>
      </c>
      <c r="I262" s="79">
        <f t="shared" ref="I262:I280" si="503">IFERROR(H262/$H$281,0)</f>
        <v>0</v>
      </c>
      <c r="J262" s="65"/>
      <c r="K262" s="160">
        <f t="shared" si="491"/>
        <v>0</v>
      </c>
      <c r="L262" s="160">
        <f t="shared" ref="L262:Z262" si="504">ROUND($I262*L$185,2)</f>
        <v>0</v>
      </c>
      <c r="M262" s="160">
        <f t="shared" si="504"/>
        <v>0</v>
      </c>
      <c r="N262" s="160">
        <f t="shared" si="504"/>
        <v>0</v>
      </c>
      <c r="O262" s="160">
        <f t="shared" si="504"/>
        <v>0</v>
      </c>
      <c r="P262" s="160">
        <f t="shared" si="504"/>
        <v>0</v>
      </c>
      <c r="Q262" s="160">
        <f t="shared" si="504"/>
        <v>0</v>
      </c>
      <c r="R262" s="160">
        <f t="shared" si="504"/>
        <v>0</v>
      </c>
      <c r="S262" s="160">
        <f t="shared" si="504"/>
        <v>0</v>
      </c>
      <c r="T262" s="160">
        <f t="shared" si="504"/>
        <v>0</v>
      </c>
      <c r="U262" s="160">
        <f t="shared" si="504"/>
        <v>0</v>
      </c>
      <c r="V262" s="160">
        <f t="shared" si="504"/>
        <v>0</v>
      </c>
      <c r="W262" s="160">
        <f t="shared" si="504"/>
        <v>0</v>
      </c>
      <c r="X262" s="160">
        <f t="shared" si="504"/>
        <v>0</v>
      </c>
      <c r="Y262" s="160">
        <f t="shared" si="504"/>
        <v>0</v>
      </c>
      <c r="Z262" s="160">
        <f t="shared" si="504"/>
        <v>0</v>
      </c>
      <c r="AA262" s="160">
        <f t="shared" si="492"/>
        <v>0</v>
      </c>
      <c r="AB262" s="160">
        <f t="shared" si="492"/>
        <v>0</v>
      </c>
      <c r="AC262" s="160">
        <f t="shared" si="492"/>
        <v>0</v>
      </c>
      <c r="AD262" s="160">
        <f t="shared" si="492"/>
        <v>0</v>
      </c>
      <c r="AE262" s="160">
        <f t="shared" si="492"/>
        <v>0</v>
      </c>
      <c r="AF262" s="160">
        <f t="shared" si="492"/>
        <v>0</v>
      </c>
      <c r="AG262" s="160">
        <f t="shared" si="492"/>
        <v>0</v>
      </c>
      <c r="AH262" s="160">
        <f t="shared" si="492"/>
        <v>0</v>
      </c>
      <c r="AI262" s="160">
        <f t="shared" si="492"/>
        <v>0</v>
      </c>
      <c r="AJ262" s="160">
        <f t="shared" si="492"/>
        <v>0</v>
      </c>
      <c r="AK262" s="160">
        <f t="shared" si="492"/>
        <v>0</v>
      </c>
      <c r="AL262" s="160">
        <f t="shared" si="492"/>
        <v>0</v>
      </c>
      <c r="AM262" s="160">
        <f t="shared" si="492"/>
        <v>0</v>
      </c>
      <c r="AN262" s="160">
        <f t="shared" si="492"/>
        <v>0</v>
      </c>
      <c r="AO262" s="160">
        <f t="shared" si="492"/>
        <v>0</v>
      </c>
      <c r="AP262" s="160">
        <f t="shared" si="492"/>
        <v>0</v>
      </c>
      <c r="AQ262" s="160">
        <f t="shared" si="492"/>
        <v>0</v>
      </c>
      <c r="AR262" s="160">
        <f t="shared" si="492"/>
        <v>0</v>
      </c>
      <c r="AS262" s="160">
        <f t="shared" si="492"/>
        <v>0</v>
      </c>
      <c r="AT262" s="160">
        <f t="shared" si="492"/>
        <v>0</v>
      </c>
      <c r="AU262" s="160">
        <f t="shared" si="492"/>
        <v>0</v>
      </c>
      <c r="AV262" s="160">
        <f t="shared" si="492"/>
        <v>0</v>
      </c>
      <c r="AW262" s="160">
        <f t="shared" si="492"/>
        <v>0</v>
      </c>
      <c r="AX262" s="160">
        <f t="shared" si="492"/>
        <v>0</v>
      </c>
      <c r="AY262" s="160">
        <f t="shared" si="492"/>
        <v>0</v>
      </c>
      <c r="AZ262" s="160">
        <f t="shared" si="492"/>
        <v>0</v>
      </c>
      <c r="BA262" s="160">
        <f t="shared" si="492"/>
        <v>0</v>
      </c>
      <c r="BB262" s="160">
        <f t="shared" si="492"/>
        <v>0</v>
      </c>
      <c r="BC262" s="160">
        <f t="shared" si="492"/>
        <v>0</v>
      </c>
      <c r="BD262" s="160">
        <f t="shared" si="492"/>
        <v>0</v>
      </c>
      <c r="BE262" s="160">
        <f t="shared" si="492"/>
        <v>0</v>
      </c>
      <c r="BF262" s="160">
        <f t="shared" si="492"/>
        <v>0</v>
      </c>
      <c r="BG262" s="160">
        <f t="shared" si="492"/>
        <v>0</v>
      </c>
      <c r="BH262" s="160">
        <f t="shared" si="492"/>
        <v>0</v>
      </c>
      <c r="BI262" s="160">
        <f t="shared" si="492"/>
        <v>0</v>
      </c>
      <c r="BJ262" s="160">
        <f t="shared" si="492"/>
        <v>0</v>
      </c>
      <c r="BK262" s="160">
        <f t="shared" si="492"/>
        <v>0</v>
      </c>
      <c r="BL262" s="160">
        <f t="shared" si="492"/>
        <v>0</v>
      </c>
      <c r="BM262" s="160">
        <f t="shared" si="492"/>
        <v>0</v>
      </c>
      <c r="BN262" s="160">
        <f t="shared" si="492"/>
        <v>0</v>
      </c>
      <c r="BO262" s="160">
        <f t="shared" si="492"/>
        <v>0</v>
      </c>
      <c r="BP262" s="160">
        <f t="shared" si="492"/>
        <v>0</v>
      </c>
      <c r="BQ262" s="160">
        <f t="shared" si="492"/>
        <v>0</v>
      </c>
      <c r="BR262" s="160">
        <f t="shared" si="492"/>
        <v>0</v>
      </c>
      <c r="BS262" s="65"/>
      <c r="BT262" s="160">
        <f t="shared" si="493"/>
        <v>0</v>
      </c>
      <c r="BU262" s="160">
        <f t="shared" si="494"/>
        <v>0</v>
      </c>
      <c r="BV262" s="65"/>
      <c r="BW262" s="69"/>
      <c r="BX262" s="65"/>
      <c r="BY262" s="137">
        <f t="shared" si="495"/>
        <v>1</v>
      </c>
      <c r="BZ262" s="137">
        <f>IF(BY262&gt;0,BY262+LARGE($BZ$213:BZ261,1),0)</f>
        <v>42</v>
      </c>
      <c r="CA262" s="137" t="str">
        <f t="shared" si="496"/>
        <v>COORD.</v>
      </c>
      <c r="CB262" s="161">
        <f t="shared" si="497"/>
        <v>0</v>
      </c>
      <c r="CC262" s="161">
        <f t="shared" si="498"/>
        <v>0</v>
      </c>
      <c r="CD262" s="161">
        <f t="shared" si="498"/>
        <v>0</v>
      </c>
      <c r="CE262" s="161">
        <f t="shared" si="498"/>
        <v>0</v>
      </c>
      <c r="CF262" s="161">
        <f t="shared" si="498"/>
        <v>0</v>
      </c>
      <c r="CG262" s="161">
        <f t="shared" si="498"/>
        <v>0</v>
      </c>
      <c r="CH262" s="161">
        <f t="shared" si="498"/>
        <v>0</v>
      </c>
      <c r="CI262" s="161">
        <f t="shared" si="498"/>
        <v>0</v>
      </c>
      <c r="CJ262" s="161">
        <f t="shared" si="498"/>
        <v>0</v>
      </c>
      <c r="CK262" s="161">
        <f t="shared" si="498"/>
        <v>0</v>
      </c>
      <c r="CL262" s="161">
        <f t="shared" si="498"/>
        <v>0</v>
      </c>
      <c r="CM262" s="161">
        <f t="shared" si="498"/>
        <v>0</v>
      </c>
      <c r="CN262" s="161">
        <f t="shared" si="498"/>
        <v>0</v>
      </c>
      <c r="CO262" s="161">
        <f t="shared" si="498"/>
        <v>0</v>
      </c>
      <c r="CP262" s="161">
        <f t="shared" si="498"/>
        <v>0</v>
      </c>
      <c r="CQ262" s="161">
        <f t="shared" si="498"/>
        <v>0</v>
      </c>
      <c r="CR262" s="161">
        <f t="shared" si="498"/>
        <v>0</v>
      </c>
      <c r="CS262" s="161">
        <f t="shared" si="499"/>
        <v>0</v>
      </c>
      <c r="CT262" s="161">
        <f t="shared" si="499"/>
        <v>0</v>
      </c>
      <c r="CU262" s="161">
        <f t="shared" si="499"/>
        <v>0</v>
      </c>
      <c r="CV262" s="161">
        <f t="shared" si="499"/>
        <v>0</v>
      </c>
      <c r="CW262" s="161">
        <f t="shared" si="499"/>
        <v>0</v>
      </c>
      <c r="CX262" s="161">
        <f t="shared" si="499"/>
        <v>0</v>
      </c>
      <c r="CY262" s="161">
        <f t="shared" si="499"/>
        <v>0</v>
      </c>
      <c r="CZ262" s="161">
        <f t="shared" si="499"/>
        <v>0</v>
      </c>
      <c r="DA262" s="161">
        <f t="shared" si="499"/>
        <v>0</v>
      </c>
      <c r="DB262" s="161">
        <f t="shared" si="499"/>
        <v>0</v>
      </c>
      <c r="DC262" s="161">
        <f t="shared" si="499"/>
        <v>0</v>
      </c>
      <c r="DD262" s="161">
        <f t="shared" si="499"/>
        <v>0</v>
      </c>
      <c r="DE262" s="161">
        <f t="shared" si="499"/>
        <v>0</v>
      </c>
      <c r="DF262" s="161">
        <f t="shared" si="499"/>
        <v>0</v>
      </c>
      <c r="DG262" s="161">
        <f t="shared" si="499"/>
        <v>0</v>
      </c>
      <c r="DH262" s="161">
        <f t="shared" si="499"/>
        <v>0</v>
      </c>
      <c r="DI262" s="161">
        <f t="shared" si="500"/>
        <v>0</v>
      </c>
      <c r="DJ262" s="161">
        <f t="shared" si="500"/>
        <v>0</v>
      </c>
      <c r="DK262" s="161">
        <f t="shared" si="500"/>
        <v>0</v>
      </c>
      <c r="DL262" s="161">
        <f t="shared" si="500"/>
        <v>0</v>
      </c>
      <c r="DM262" s="161">
        <f t="shared" si="500"/>
        <v>0</v>
      </c>
      <c r="DN262" s="161">
        <f t="shared" si="500"/>
        <v>0</v>
      </c>
      <c r="DO262" s="161">
        <f t="shared" si="500"/>
        <v>0</v>
      </c>
      <c r="DP262" s="161">
        <f t="shared" si="500"/>
        <v>0</v>
      </c>
      <c r="DQ262" s="161">
        <f t="shared" si="500"/>
        <v>0</v>
      </c>
      <c r="DR262" s="161">
        <f t="shared" si="500"/>
        <v>0</v>
      </c>
      <c r="DS262" s="161">
        <f t="shared" si="500"/>
        <v>0</v>
      </c>
      <c r="DT262" s="161">
        <f t="shared" si="500"/>
        <v>0</v>
      </c>
      <c r="DU262" s="161">
        <f t="shared" si="500"/>
        <v>0</v>
      </c>
      <c r="DV262" s="161">
        <f t="shared" si="500"/>
        <v>0</v>
      </c>
      <c r="DW262" s="161">
        <f t="shared" si="500"/>
        <v>0</v>
      </c>
      <c r="DX262" s="161">
        <f t="shared" si="500"/>
        <v>0</v>
      </c>
      <c r="DY262" s="161">
        <f t="shared" si="501"/>
        <v>0</v>
      </c>
      <c r="DZ262" s="161">
        <f t="shared" si="501"/>
        <v>0</v>
      </c>
      <c r="EA262" s="161">
        <f t="shared" si="501"/>
        <v>0</v>
      </c>
      <c r="EB262" s="161">
        <f t="shared" si="501"/>
        <v>0</v>
      </c>
      <c r="EC262" s="161">
        <f t="shared" si="501"/>
        <v>0</v>
      </c>
      <c r="ED262" s="161">
        <f t="shared" si="501"/>
        <v>0</v>
      </c>
      <c r="EE262" s="161">
        <f t="shared" si="501"/>
        <v>0</v>
      </c>
      <c r="EF262" s="161">
        <f t="shared" si="501"/>
        <v>0</v>
      </c>
      <c r="EG262" s="161">
        <f t="shared" si="501"/>
        <v>0</v>
      </c>
      <c r="EH262" s="161">
        <f t="shared" si="501"/>
        <v>0</v>
      </c>
      <c r="EI262" s="161">
        <f t="shared" si="501"/>
        <v>0</v>
      </c>
      <c r="EJ262" s="65"/>
      <c r="EK262" s="161">
        <f t="shared" ref="EK262:EK280" si="505">$EK$260</f>
        <v>0</v>
      </c>
      <c r="EL262" s="161">
        <f t="shared" ref="EL262:EL280" si="506">$EL$260</f>
        <v>0</v>
      </c>
      <c r="EM262" s="161">
        <f t="shared" ref="EM262:EM280" si="507">$EM$260</f>
        <v>0</v>
      </c>
    </row>
    <row r="263" spans="1:143" ht="12" hidden="1" customHeight="1" outlineLevel="2">
      <c r="A263" s="77">
        <v>3</v>
      </c>
      <c r="B263" s="137" t="str">
        <f t="shared" si="502"/>
        <v>SUP.-ESP - Equipe_01</v>
      </c>
      <c r="C263" s="65"/>
      <c r="D263" s="622"/>
      <c r="E263" s="65"/>
      <c r="F263" s="584"/>
      <c r="G263" s="77" t="str">
        <f>IF(INDEX(Tarefas!$BT$30:$FK$30,MATCH(A263,Tarefas!$BT$28:$FK$28,0))=0,"",INDEX(Tarefas!$BT$30:$FK$30,MATCH(A263,Tarefas!$BT$28:$FK$28,0)))</f>
        <v>SUP.-ESP</v>
      </c>
      <c r="H263" s="107" cm="1">
        <f t="array" ref="H263">IFERROR((SUMPRODUCT((Tarefas!$N$32:$N$54='Cronog. e Histog.'!$F$261)*(Tarefas!$BQ$30:$FK$30='Cronog. e Histog.'!$G263)*(Tarefas!$BQ$32:$FK$54)))/SUMIF(Tarefas!$N$32:$N$54,'Cronog. e Histog.'!$F$261,Tarefas!$K$32:$K$54),0)</f>
        <v>0</v>
      </c>
      <c r="I263" s="79">
        <f t="shared" si="503"/>
        <v>0</v>
      </c>
      <c r="J263" s="65"/>
      <c r="K263" s="160">
        <f t="shared" si="491"/>
        <v>0</v>
      </c>
      <c r="L263" s="160">
        <f t="shared" si="492"/>
        <v>0</v>
      </c>
      <c r="M263" s="160">
        <f t="shared" si="492"/>
        <v>0</v>
      </c>
      <c r="N263" s="160">
        <f t="shared" si="492"/>
        <v>0</v>
      </c>
      <c r="O263" s="160">
        <f t="shared" si="492"/>
        <v>0</v>
      </c>
      <c r="P263" s="160">
        <f t="shared" si="492"/>
        <v>0</v>
      </c>
      <c r="Q263" s="160">
        <f t="shared" si="492"/>
        <v>0</v>
      </c>
      <c r="R263" s="160">
        <f t="shared" si="492"/>
        <v>0</v>
      </c>
      <c r="S263" s="160">
        <f t="shared" si="492"/>
        <v>0</v>
      </c>
      <c r="T263" s="160">
        <f t="shared" si="492"/>
        <v>0</v>
      </c>
      <c r="U263" s="160">
        <f t="shared" si="492"/>
        <v>0</v>
      </c>
      <c r="V263" s="160">
        <f t="shared" si="492"/>
        <v>0</v>
      </c>
      <c r="W263" s="160">
        <f t="shared" si="492"/>
        <v>0</v>
      </c>
      <c r="X263" s="160">
        <f t="shared" si="492"/>
        <v>0</v>
      </c>
      <c r="Y263" s="160">
        <f t="shared" si="492"/>
        <v>0</v>
      </c>
      <c r="Z263" s="160">
        <f t="shared" si="492"/>
        <v>0</v>
      </c>
      <c r="AA263" s="160">
        <f t="shared" si="492"/>
        <v>0</v>
      </c>
      <c r="AB263" s="160">
        <f t="shared" si="492"/>
        <v>0</v>
      </c>
      <c r="AC263" s="160">
        <f t="shared" si="492"/>
        <v>0</v>
      </c>
      <c r="AD263" s="160">
        <f t="shared" si="492"/>
        <v>0</v>
      </c>
      <c r="AE263" s="160">
        <f t="shared" si="492"/>
        <v>0</v>
      </c>
      <c r="AF263" s="160">
        <f t="shared" si="492"/>
        <v>0</v>
      </c>
      <c r="AG263" s="160">
        <f t="shared" si="492"/>
        <v>0</v>
      </c>
      <c r="AH263" s="160">
        <f t="shared" si="492"/>
        <v>0</v>
      </c>
      <c r="AI263" s="160">
        <f t="shared" si="492"/>
        <v>0</v>
      </c>
      <c r="AJ263" s="160">
        <f t="shared" si="492"/>
        <v>0</v>
      </c>
      <c r="AK263" s="160">
        <f t="shared" si="492"/>
        <v>0</v>
      </c>
      <c r="AL263" s="160">
        <f t="shared" si="492"/>
        <v>0</v>
      </c>
      <c r="AM263" s="160">
        <f t="shared" si="492"/>
        <v>0</v>
      </c>
      <c r="AN263" s="160">
        <f t="shared" si="492"/>
        <v>0</v>
      </c>
      <c r="AO263" s="160">
        <f t="shared" si="492"/>
        <v>0</v>
      </c>
      <c r="AP263" s="160">
        <f t="shared" si="492"/>
        <v>0</v>
      </c>
      <c r="AQ263" s="160">
        <f t="shared" si="492"/>
        <v>0</v>
      </c>
      <c r="AR263" s="160">
        <f t="shared" si="492"/>
        <v>0</v>
      </c>
      <c r="AS263" s="160">
        <f t="shared" si="492"/>
        <v>0</v>
      </c>
      <c r="AT263" s="160">
        <f t="shared" si="492"/>
        <v>0</v>
      </c>
      <c r="AU263" s="160">
        <f t="shared" si="492"/>
        <v>0</v>
      </c>
      <c r="AV263" s="160">
        <f t="shared" si="492"/>
        <v>0</v>
      </c>
      <c r="AW263" s="160">
        <f t="shared" si="492"/>
        <v>0</v>
      </c>
      <c r="AX263" s="160">
        <f t="shared" si="492"/>
        <v>0</v>
      </c>
      <c r="AY263" s="160">
        <f t="shared" si="492"/>
        <v>0</v>
      </c>
      <c r="AZ263" s="160">
        <f t="shared" si="492"/>
        <v>0</v>
      </c>
      <c r="BA263" s="160">
        <f t="shared" si="492"/>
        <v>0</v>
      </c>
      <c r="BB263" s="160">
        <f t="shared" si="492"/>
        <v>0</v>
      </c>
      <c r="BC263" s="160">
        <f t="shared" si="492"/>
        <v>0</v>
      </c>
      <c r="BD263" s="160">
        <f t="shared" si="492"/>
        <v>0</v>
      </c>
      <c r="BE263" s="160">
        <f t="shared" si="492"/>
        <v>0</v>
      </c>
      <c r="BF263" s="160">
        <f t="shared" si="492"/>
        <v>0</v>
      </c>
      <c r="BG263" s="160">
        <f t="shared" si="492"/>
        <v>0</v>
      </c>
      <c r="BH263" s="160">
        <f t="shared" si="492"/>
        <v>0</v>
      </c>
      <c r="BI263" s="160">
        <f t="shared" si="492"/>
        <v>0</v>
      </c>
      <c r="BJ263" s="160">
        <f t="shared" si="492"/>
        <v>0</v>
      </c>
      <c r="BK263" s="160">
        <f t="shared" si="492"/>
        <v>0</v>
      </c>
      <c r="BL263" s="160">
        <f t="shared" si="492"/>
        <v>0</v>
      </c>
      <c r="BM263" s="160">
        <f t="shared" si="492"/>
        <v>0</v>
      </c>
      <c r="BN263" s="160">
        <f t="shared" si="492"/>
        <v>0</v>
      </c>
      <c r="BO263" s="160">
        <f t="shared" si="492"/>
        <v>0</v>
      </c>
      <c r="BP263" s="160">
        <f t="shared" si="492"/>
        <v>0</v>
      </c>
      <c r="BQ263" s="160">
        <f t="shared" si="492"/>
        <v>0</v>
      </c>
      <c r="BR263" s="160">
        <f t="shared" si="492"/>
        <v>0</v>
      </c>
      <c r="BS263" s="65"/>
      <c r="BT263" s="160">
        <f t="shared" si="493"/>
        <v>0</v>
      </c>
      <c r="BU263" s="160">
        <f t="shared" si="494"/>
        <v>0</v>
      </c>
      <c r="BV263" s="65"/>
      <c r="BW263" s="69"/>
      <c r="BX263" s="65"/>
      <c r="BY263" s="137">
        <f t="shared" si="495"/>
        <v>1</v>
      </c>
      <c r="BZ263" s="137">
        <f>IF(BY263&gt;0,BY263+LARGE($BZ$213:BZ262,1),0)</f>
        <v>43</v>
      </c>
      <c r="CA263" s="137" t="str">
        <f t="shared" si="496"/>
        <v>SUP.-ESP</v>
      </c>
      <c r="CB263" s="161">
        <f t="shared" si="497"/>
        <v>0</v>
      </c>
      <c r="CC263" s="161">
        <f t="shared" si="498"/>
        <v>0</v>
      </c>
      <c r="CD263" s="161">
        <f t="shared" si="498"/>
        <v>0</v>
      </c>
      <c r="CE263" s="161">
        <f t="shared" si="498"/>
        <v>0</v>
      </c>
      <c r="CF263" s="161">
        <f t="shared" si="498"/>
        <v>0</v>
      </c>
      <c r="CG263" s="161">
        <f t="shared" si="498"/>
        <v>0</v>
      </c>
      <c r="CH263" s="161">
        <f t="shared" si="498"/>
        <v>0</v>
      </c>
      <c r="CI263" s="161">
        <f t="shared" si="498"/>
        <v>0</v>
      </c>
      <c r="CJ263" s="161">
        <f t="shared" si="498"/>
        <v>0</v>
      </c>
      <c r="CK263" s="161">
        <f t="shared" si="498"/>
        <v>0</v>
      </c>
      <c r="CL263" s="161">
        <f t="shared" si="498"/>
        <v>0</v>
      </c>
      <c r="CM263" s="161">
        <f t="shared" si="498"/>
        <v>0</v>
      </c>
      <c r="CN263" s="161">
        <f t="shared" si="498"/>
        <v>0</v>
      </c>
      <c r="CO263" s="161">
        <f t="shared" si="498"/>
        <v>0</v>
      </c>
      <c r="CP263" s="161">
        <f t="shared" si="498"/>
        <v>0</v>
      </c>
      <c r="CQ263" s="161">
        <f t="shared" si="498"/>
        <v>0</v>
      </c>
      <c r="CR263" s="161">
        <f t="shared" si="498"/>
        <v>0</v>
      </c>
      <c r="CS263" s="161">
        <f t="shared" si="499"/>
        <v>0</v>
      </c>
      <c r="CT263" s="161">
        <f t="shared" si="499"/>
        <v>0</v>
      </c>
      <c r="CU263" s="161">
        <f t="shared" si="499"/>
        <v>0</v>
      </c>
      <c r="CV263" s="161">
        <f t="shared" si="499"/>
        <v>0</v>
      </c>
      <c r="CW263" s="161">
        <f t="shared" si="499"/>
        <v>0</v>
      </c>
      <c r="CX263" s="161">
        <f t="shared" si="499"/>
        <v>0</v>
      </c>
      <c r="CY263" s="161">
        <f t="shared" si="499"/>
        <v>0</v>
      </c>
      <c r="CZ263" s="161">
        <f t="shared" si="499"/>
        <v>0</v>
      </c>
      <c r="DA263" s="161">
        <f t="shared" si="499"/>
        <v>0</v>
      </c>
      <c r="DB263" s="161">
        <f t="shared" si="499"/>
        <v>0</v>
      </c>
      <c r="DC263" s="161">
        <f t="shared" si="499"/>
        <v>0</v>
      </c>
      <c r="DD263" s="161">
        <f t="shared" si="499"/>
        <v>0</v>
      </c>
      <c r="DE263" s="161">
        <f t="shared" si="499"/>
        <v>0</v>
      </c>
      <c r="DF263" s="161">
        <f t="shared" si="499"/>
        <v>0</v>
      </c>
      <c r="DG263" s="161">
        <f t="shared" si="499"/>
        <v>0</v>
      </c>
      <c r="DH263" s="161">
        <f t="shared" si="499"/>
        <v>0</v>
      </c>
      <c r="DI263" s="161">
        <f t="shared" si="500"/>
        <v>0</v>
      </c>
      <c r="DJ263" s="161">
        <f t="shared" si="500"/>
        <v>0</v>
      </c>
      <c r="DK263" s="161">
        <f t="shared" si="500"/>
        <v>0</v>
      </c>
      <c r="DL263" s="161">
        <f t="shared" si="500"/>
        <v>0</v>
      </c>
      <c r="DM263" s="161">
        <f t="shared" si="500"/>
        <v>0</v>
      </c>
      <c r="DN263" s="161">
        <f t="shared" si="500"/>
        <v>0</v>
      </c>
      <c r="DO263" s="161">
        <f t="shared" si="500"/>
        <v>0</v>
      </c>
      <c r="DP263" s="161">
        <f t="shared" si="500"/>
        <v>0</v>
      </c>
      <c r="DQ263" s="161">
        <f t="shared" si="500"/>
        <v>0</v>
      </c>
      <c r="DR263" s="161">
        <f t="shared" si="500"/>
        <v>0</v>
      </c>
      <c r="DS263" s="161">
        <f t="shared" si="500"/>
        <v>0</v>
      </c>
      <c r="DT263" s="161">
        <f t="shared" si="500"/>
        <v>0</v>
      </c>
      <c r="DU263" s="161">
        <f t="shared" si="500"/>
        <v>0</v>
      </c>
      <c r="DV263" s="161">
        <f t="shared" si="500"/>
        <v>0</v>
      </c>
      <c r="DW263" s="161">
        <f t="shared" si="500"/>
        <v>0</v>
      </c>
      <c r="DX263" s="161">
        <f t="shared" si="500"/>
        <v>0</v>
      </c>
      <c r="DY263" s="161">
        <f t="shared" si="501"/>
        <v>0</v>
      </c>
      <c r="DZ263" s="161">
        <f t="shared" si="501"/>
        <v>0</v>
      </c>
      <c r="EA263" s="161">
        <f t="shared" si="501"/>
        <v>0</v>
      </c>
      <c r="EB263" s="161">
        <f t="shared" si="501"/>
        <v>0</v>
      </c>
      <c r="EC263" s="161">
        <f t="shared" si="501"/>
        <v>0</v>
      </c>
      <c r="ED263" s="161">
        <f t="shared" si="501"/>
        <v>0</v>
      </c>
      <c r="EE263" s="161">
        <f t="shared" si="501"/>
        <v>0</v>
      </c>
      <c r="EF263" s="161">
        <f t="shared" si="501"/>
        <v>0</v>
      </c>
      <c r="EG263" s="161">
        <f t="shared" si="501"/>
        <v>0</v>
      </c>
      <c r="EH263" s="161">
        <f t="shared" si="501"/>
        <v>0</v>
      </c>
      <c r="EI263" s="161">
        <f t="shared" si="501"/>
        <v>0</v>
      </c>
      <c r="EJ263" s="65"/>
      <c r="EK263" s="161">
        <f t="shared" si="505"/>
        <v>0</v>
      </c>
      <c r="EL263" s="161">
        <f t="shared" si="506"/>
        <v>0</v>
      </c>
      <c r="EM263" s="161">
        <f t="shared" si="507"/>
        <v>0</v>
      </c>
    </row>
    <row r="264" spans="1:143" ht="12" hidden="1" customHeight="1" outlineLevel="2">
      <c r="A264" s="77">
        <v>4</v>
      </c>
      <c r="B264" s="137" t="str">
        <f t="shared" si="502"/>
        <v>ENG/ARQ SR. - Equipe_01</v>
      </c>
      <c r="C264" s="65"/>
      <c r="D264" s="622"/>
      <c r="E264" s="65"/>
      <c r="F264" s="584"/>
      <c r="G264" s="77" t="str">
        <f>IF(INDEX(Tarefas!$BT$30:$FK$30,MATCH(A264,Tarefas!$BT$28:$FK$28,0))=0,"",INDEX(Tarefas!$BT$30:$FK$30,MATCH(A264,Tarefas!$BT$28:$FK$28,0)))</f>
        <v>ENG/ARQ SR.</v>
      </c>
      <c r="H264" s="107" cm="1">
        <f t="array" ref="H264">IFERROR((SUMPRODUCT((Tarefas!$N$32:$N$54='Cronog. e Histog.'!$F$261)*(Tarefas!$BQ$30:$FK$30='Cronog. e Histog.'!$G264)*(Tarefas!$BQ$32:$FK$54)))/SUMIF(Tarefas!$N$32:$N$54,'Cronog. e Histog.'!$F$261,Tarefas!$K$32:$K$54),0)</f>
        <v>0</v>
      </c>
      <c r="I264" s="79">
        <f t="shared" si="503"/>
        <v>0</v>
      </c>
      <c r="J264" s="65"/>
      <c r="K264" s="160">
        <f t="shared" si="491"/>
        <v>0</v>
      </c>
      <c r="L264" s="160">
        <f t="shared" si="492"/>
        <v>0</v>
      </c>
      <c r="M264" s="160">
        <f t="shared" si="492"/>
        <v>0</v>
      </c>
      <c r="N264" s="160">
        <f t="shared" si="492"/>
        <v>0</v>
      </c>
      <c r="O264" s="160">
        <f t="shared" si="492"/>
        <v>0</v>
      </c>
      <c r="P264" s="160">
        <f t="shared" si="492"/>
        <v>0</v>
      </c>
      <c r="Q264" s="160">
        <f t="shared" si="492"/>
        <v>0</v>
      </c>
      <c r="R264" s="160">
        <f t="shared" si="492"/>
        <v>0</v>
      </c>
      <c r="S264" s="160">
        <f t="shared" si="492"/>
        <v>0</v>
      </c>
      <c r="T264" s="160">
        <f t="shared" si="492"/>
        <v>0</v>
      </c>
      <c r="U264" s="160">
        <f t="shared" si="492"/>
        <v>0</v>
      </c>
      <c r="V264" s="160">
        <f t="shared" si="492"/>
        <v>0</v>
      </c>
      <c r="W264" s="160">
        <f t="shared" si="492"/>
        <v>0</v>
      </c>
      <c r="X264" s="160">
        <f t="shared" si="492"/>
        <v>0</v>
      </c>
      <c r="Y264" s="160">
        <f t="shared" si="492"/>
        <v>0</v>
      </c>
      <c r="Z264" s="160">
        <f t="shared" si="492"/>
        <v>0</v>
      </c>
      <c r="AA264" s="160">
        <f t="shared" si="492"/>
        <v>0</v>
      </c>
      <c r="AB264" s="160">
        <f t="shared" si="492"/>
        <v>0</v>
      </c>
      <c r="AC264" s="160">
        <f t="shared" si="492"/>
        <v>0</v>
      </c>
      <c r="AD264" s="160">
        <f t="shared" si="492"/>
        <v>0</v>
      </c>
      <c r="AE264" s="160">
        <f t="shared" si="492"/>
        <v>0</v>
      </c>
      <c r="AF264" s="160">
        <f t="shared" si="492"/>
        <v>0</v>
      </c>
      <c r="AG264" s="160">
        <f t="shared" si="492"/>
        <v>0</v>
      </c>
      <c r="AH264" s="160">
        <f t="shared" si="492"/>
        <v>0</v>
      </c>
      <c r="AI264" s="160">
        <f t="shared" si="492"/>
        <v>0</v>
      </c>
      <c r="AJ264" s="160">
        <f t="shared" si="492"/>
        <v>0</v>
      </c>
      <c r="AK264" s="160">
        <f t="shared" si="492"/>
        <v>0</v>
      </c>
      <c r="AL264" s="160">
        <f t="shared" si="492"/>
        <v>0</v>
      </c>
      <c r="AM264" s="160">
        <f t="shared" si="492"/>
        <v>0</v>
      </c>
      <c r="AN264" s="160">
        <f t="shared" si="492"/>
        <v>0</v>
      </c>
      <c r="AO264" s="160">
        <f t="shared" si="492"/>
        <v>0</v>
      </c>
      <c r="AP264" s="160">
        <f t="shared" si="492"/>
        <v>0</v>
      </c>
      <c r="AQ264" s="160">
        <f t="shared" si="492"/>
        <v>0</v>
      </c>
      <c r="AR264" s="160">
        <f t="shared" si="492"/>
        <v>0</v>
      </c>
      <c r="AS264" s="160">
        <f t="shared" si="492"/>
        <v>0</v>
      </c>
      <c r="AT264" s="160">
        <f t="shared" si="492"/>
        <v>0</v>
      </c>
      <c r="AU264" s="160">
        <f t="shared" si="492"/>
        <v>0</v>
      </c>
      <c r="AV264" s="160">
        <f t="shared" si="492"/>
        <v>0</v>
      </c>
      <c r="AW264" s="160">
        <f t="shared" si="492"/>
        <v>0</v>
      </c>
      <c r="AX264" s="160">
        <f t="shared" si="492"/>
        <v>0</v>
      </c>
      <c r="AY264" s="160">
        <f t="shared" si="492"/>
        <v>0</v>
      </c>
      <c r="AZ264" s="160">
        <f t="shared" si="492"/>
        <v>0</v>
      </c>
      <c r="BA264" s="160">
        <f t="shared" si="492"/>
        <v>0</v>
      </c>
      <c r="BB264" s="160">
        <f t="shared" si="492"/>
        <v>0</v>
      </c>
      <c r="BC264" s="160">
        <f t="shared" si="492"/>
        <v>0</v>
      </c>
      <c r="BD264" s="160">
        <f t="shared" si="492"/>
        <v>0</v>
      </c>
      <c r="BE264" s="160">
        <f t="shared" si="492"/>
        <v>0</v>
      </c>
      <c r="BF264" s="160">
        <f t="shared" si="492"/>
        <v>0</v>
      </c>
      <c r="BG264" s="160">
        <f t="shared" si="492"/>
        <v>0</v>
      </c>
      <c r="BH264" s="160">
        <f t="shared" si="492"/>
        <v>0</v>
      </c>
      <c r="BI264" s="160">
        <f t="shared" si="492"/>
        <v>0</v>
      </c>
      <c r="BJ264" s="160">
        <f t="shared" si="492"/>
        <v>0</v>
      </c>
      <c r="BK264" s="160">
        <f t="shared" si="492"/>
        <v>0</v>
      </c>
      <c r="BL264" s="160">
        <f t="shared" si="492"/>
        <v>0</v>
      </c>
      <c r="BM264" s="160">
        <f t="shared" si="492"/>
        <v>0</v>
      </c>
      <c r="BN264" s="160">
        <f t="shared" si="492"/>
        <v>0</v>
      </c>
      <c r="BO264" s="160">
        <f t="shared" si="492"/>
        <v>0</v>
      </c>
      <c r="BP264" s="160">
        <f t="shared" si="492"/>
        <v>0</v>
      </c>
      <c r="BQ264" s="160">
        <f t="shared" si="492"/>
        <v>0</v>
      </c>
      <c r="BR264" s="160">
        <f t="shared" si="492"/>
        <v>0</v>
      </c>
      <c r="BS264" s="65"/>
      <c r="BT264" s="160">
        <f t="shared" si="493"/>
        <v>0</v>
      </c>
      <c r="BU264" s="160">
        <f t="shared" si="494"/>
        <v>0</v>
      </c>
      <c r="BV264" s="65"/>
      <c r="BW264" s="69"/>
      <c r="BX264" s="65"/>
      <c r="BY264" s="137">
        <f t="shared" si="495"/>
        <v>1</v>
      </c>
      <c r="BZ264" s="137">
        <f>IF(BY264&gt;0,BY264+LARGE($BZ$213:BZ263,1),0)</f>
        <v>44</v>
      </c>
      <c r="CA264" s="137" t="str">
        <f t="shared" si="496"/>
        <v>ENG/ARQ SR.</v>
      </c>
      <c r="CB264" s="161">
        <f t="shared" si="497"/>
        <v>0</v>
      </c>
      <c r="CC264" s="161">
        <f t="shared" si="498"/>
        <v>0</v>
      </c>
      <c r="CD264" s="161">
        <f t="shared" si="498"/>
        <v>0</v>
      </c>
      <c r="CE264" s="161">
        <f t="shared" si="498"/>
        <v>0</v>
      </c>
      <c r="CF264" s="161">
        <f t="shared" si="498"/>
        <v>0</v>
      </c>
      <c r="CG264" s="161">
        <f t="shared" si="498"/>
        <v>0</v>
      </c>
      <c r="CH264" s="161">
        <f t="shared" si="498"/>
        <v>0</v>
      </c>
      <c r="CI264" s="161">
        <f t="shared" si="498"/>
        <v>0</v>
      </c>
      <c r="CJ264" s="161">
        <f t="shared" si="498"/>
        <v>0</v>
      </c>
      <c r="CK264" s="161">
        <f t="shared" si="498"/>
        <v>0</v>
      </c>
      <c r="CL264" s="161">
        <f t="shared" si="498"/>
        <v>0</v>
      </c>
      <c r="CM264" s="161">
        <f t="shared" si="498"/>
        <v>0</v>
      </c>
      <c r="CN264" s="161">
        <f t="shared" si="498"/>
        <v>0</v>
      </c>
      <c r="CO264" s="161">
        <f t="shared" si="498"/>
        <v>0</v>
      </c>
      <c r="CP264" s="161">
        <f t="shared" si="498"/>
        <v>0</v>
      </c>
      <c r="CQ264" s="161">
        <f t="shared" si="498"/>
        <v>0</v>
      </c>
      <c r="CR264" s="161">
        <f t="shared" si="498"/>
        <v>0</v>
      </c>
      <c r="CS264" s="161">
        <f t="shared" si="499"/>
        <v>0</v>
      </c>
      <c r="CT264" s="161">
        <f t="shared" si="499"/>
        <v>0</v>
      </c>
      <c r="CU264" s="161">
        <f t="shared" si="499"/>
        <v>0</v>
      </c>
      <c r="CV264" s="161">
        <f t="shared" si="499"/>
        <v>0</v>
      </c>
      <c r="CW264" s="161">
        <f t="shared" si="499"/>
        <v>0</v>
      </c>
      <c r="CX264" s="161">
        <f t="shared" si="499"/>
        <v>0</v>
      </c>
      <c r="CY264" s="161">
        <f t="shared" si="499"/>
        <v>0</v>
      </c>
      <c r="CZ264" s="161">
        <f t="shared" si="499"/>
        <v>0</v>
      </c>
      <c r="DA264" s="161">
        <f t="shared" si="499"/>
        <v>0</v>
      </c>
      <c r="DB264" s="161">
        <f t="shared" si="499"/>
        <v>0</v>
      </c>
      <c r="DC264" s="161">
        <f t="shared" si="499"/>
        <v>0</v>
      </c>
      <c r="DD264" s="161">
        <f t="shared" si="499"/>
        <v>0</v>
      </c>
      <c r="DE264" s="161">
        <f t="shared" si="499"/>
        <v>0</v>
      </c>
      <c r="DF264" s="161">
        <f t="shared" si="499"/>
        <v>0</v>
      </c>
      <c r="DG264" s="161">
        <f t="shared" si="499"/>
        <v>0</v>
      </c>
      <c r="DH264" s="161">
        <f t="shared" si="499"/>
        <v>0</v>
      </c>
      <c r="DI264" s="161">
        <f t="shared" si="500"/>
        <v>0</v>
      </c>
      <c r="DJ264" s="161">
        <f t="shared" si="500"/>
        <v>0</v>
      </c>
      <c r="DK264" s="161">
        <f t="shared" si="500"/>
        <v>0</v>
      </c>
      <c r="DL264" s="161">
        <f t="shared" si="500"/>
        <v>0</v>
      </c>
      <c r="DM264" s="161">
        <f t="shared" si="500"/>
        <v>0</v>
      </c>
      <c r="DN264" s="161">
        <f t="shared" si="500"/>
        <v>0</v>
      </c>
      <c r="DO264" s="161">
        <f t="shared" si="500"/>
        <v>0</v>
      </c>
      <c r="DP264" s="161">
        <f t="shared" si="500"/>
        <v>0</v>
      </c>
      <c r="DQ264" s="161">
        <f t="shared" si="500"/>
        <v>0</v>
      </c>
      <c r="DR264" s="161">
        <f t="shared" si="500"/>
        <v>0</v>
      </c>
      <c r="DS264" s="161">
        <f t="shared" si="500"/>
        <v>0</v>
      </c>
      <c r="DT264" s="161">
        <f t="shared" si="500"/>
        <v>0</v>
      </c>
      <c r="DU264" s="161">
        <f t="shared" si="500"/>
        <v>0</v>
      </c>
      <c r="DV264" s="161">
        <f t="shared" si="500"/>
        <v>0</v>
      </c>
      <c r="DW264" s="161">
        <f t="shared" si="500"/>
        <v>0</v>
      </c>
      <c r="DX264" s="161">
        <f t="shared" si="500"/>
        <v>0</v>
      </c>
      <c r="DY264" s="161">
        <f t="shared" si="501"/>
        <v>0</v>
      </c>
      <c r="DZ264" s="161">
        <f t="shared" si="501"/>
        <v>0</v>
      </c>
      <c r="EA264" s="161">
        <f t="shared" si="501"/>
        <v>0</v>
      </c>
      <c r="EB264" s="161">
        <f t="shared" si="501"/>
        <v>0</v>
      </c>
      <c r="EC264" s="161">
        <f t="shared" si="501"/>
        <v>0</v>
      </c>
      <c r="ED264" s="161">
        <f t="shared" si="501"/>
        <v>0</v>
      </c>
      <c r="EE264" s="161">
        <f t="shared" si="501"/>
        <v>0</v>
      </c>
      <c r="EF264" s="161">
        <f t="shared" si="501"/>
        <v>0</v>
      </c>
      <c r="EG264" s="161">
        <f t="shared" si="501"/>
        <v>0</v>
      </c>
      <c r="EH264" s="161">
        <f t="shared" si="501"/>
        <v>0</v>
      </c>
      <c r="EI264" s="161">
        <f t="shared" si="501"/>
        <v>0</v>
      </c>
      <c r="EJ264" s="65"/>
      <c r="EK264" s="161">
        <f t="shared" si="505"/>
        <v>0</v>
      </c>
      <c r="EL264" s="161">
        <f t="shared" si="506"/>
        <v>0</v>
      </c>
      <c r="EM264" s="161">
        <f t="shared" si="507"/>
        <v>0</v>
      </c>
    </row>
    <row r="265" spans="1:143" ht="12" hidden="1" customHeight="1" outlineLevel="2">
      <c r="A265" s="77">
        <v>5</v>
      </c>
      <c r="B265" s="137" t="str">
        <f t="shared" si="502"/>
        <v>ENG/ARQ PL. - Equipe_01</v>
      </c>
      <c r="C265" s="65"/>
      <c r="D265" s="622"/>
      <c r="E265" s="65"/>
      <c r="F265" s="584"/>
      <c r="G265" s="77" t="str">
        <f>IF(INDEX(Tarefas!$BT$30:$FK$30,MATCH(A265,Tarefas!$BT$28:$FK$28,0))=0,"",INDEX(Tarefas!$BT$30:$FK$30,MATCH(A265,Tarefas!$BT$28:$FK$28,0)))</f>
        <v>ENG/ARQ PL.</v>
      </c>
      <c r="H265" s="107" cm="1">
        <f t="array" ref="H265">IFERROR((SUMPRODUCT((Tarefas!$N$32:$N$54='Cronog. e Histog.'!$F$261)*(Tarefas!$BQ$30:$FK$30='Cronog. e Histog.'!$G265)*(Tarefas!$BQ$32:$FK$54)))/SUMIF(Tarefas!$N$32:$N$54,'Cronog. e Histog.'!$F$261,Tarefas!$K$32:$K$54),0)</f>
        <v>0</v>
      </c>
      <c r="I265" s="79">
        <f t="shared" si="503"/>
        <v>0</v>
      </c>
      <c r="J265" s="65"/>
      <c r="K265" s="160">
        <f t="shared" si="491"/>
        <v>0</v>
      </c>
      <c r="L265" s="160">
        <f t="shared" si="492"/>
        <v>0</v>
      </c>
      <c r="M265" s="160">
        <f t="shared" si="492"/>
        <v>0</v>
      </c>
      <c r="N265" s="160">
        <f t="shared" si="492"/>
        <v>0</v>
      </c>
      <c r="O265" s="160">
        <f t="shared" si="492"/>
        <v>0</v>
      </c>
      <c r="P265" s="160">
        <f t="shared" si="492"/>
        <v>0</v>
      </c>
      <c r="Q265" s="160">
        <f t="shared" si="492"/>
        <v>0</v>
      </c>
      <c r="R265" s="160">
        <f t="shared" si="492"/>
        <v>0</v>
      </c>
      <c r="S265" s="160">
        <f t="shared" si="492"/>
        <v>0</v>
      </c>
      <c r="T265" s="160">
        <f t="shared" si="492"/>
        <v>0</v>
      </c>
      <c r="U265" s="160">
        <f t="shared" si="492"/>
        <v>0</v>
      </c>
      <c r="V265" s="160">
        <f t="shared" si="492"/>
        <v>0</v>
      </c>
      <c r="W265" s="160">
        <f t="shared" si="492"/>
        <v>0</v>
      </c>
      <c r="X265" s="160">
        <f t="shared" si="492"/>
        <v>0</v>
      </c>
      <c r="Y265" s="160">
        <f t="shared" si="492"/>
        <v>0</v>
      </c>
      <c r="Z265" s="160">
        <f t="shared" si="492"/>
        <v>0</v>
      </c>
      <c r="AA265" s="160">
        <f t="shared" si="492"/>
        <v>0</v>
      </c>
      <c r="AB265" s="160">
        <f t="shared" si="492"/>
        <v>0</v>
      </c>
      <c r="AC265" s="160">
        <f t="shared" si="492"/>
        <v>0</v>
      </c>
      <c r="AD265" s="160">
        <f t="shared" si="492"/>
        <v>0</v>
      </c>
      <c r="AE265" s="160">
        <f t="shared" si="492"/>
        <v>0</v>
      </c>
      <c r="AF265" s="160">
        <f t="shared" si="492"/>
        <v>0</v>
      </c>
      <c r="AG265" s="160">
        <f t="shared" si="492"/>
        <v>0</v>
      </c>
      <c r="AH265" s="160">
        <f t="shared" si="492"/>
        <v>0</v>
      </c>
      <c r="AI265" s="160">
        <f t="shared" si="492"/>
        <v>0</v>
      </c>
      <c r="AJ265" s="160">
        <f t="shared" si="492"/>
        <v>0</v>
      </c>
      <c r="AK265" s="160">
        <f t="shared" si="492"/>
        <v>0</v>
      </c>
      <c r="AL265" s="160">
        <f t="shared" si="492"/>
        <v>0</v>
      </c>
      <c r="AM265" s="160">
        <f t="shared" si="492"/>
        <v>0</v>
      </c>
      <c r="AN265" s="160">
        <f t="shared" si="492"/>
        <v>0</v>
      </c>
      <c r="AO265" s="160">
        <f t="shared" si="492"/>
        <v>0</v>
      </c>
      <c r="AP265" s="160">
        <f t="shared" si="492"/>
        <v>0</v>
      </c>
      <c r="AQ265" s="160">
        <f t="shared" si="492"/>
        <v>0</v>
      </c>
      <c r="AR265" s="160">
        <f t="shared" si="492"/>
        <v>0</v>
      </c>
      <c r="AS265" s="160">
        <f t="shared" si="492"/>
        <v>0</v>
      </c>
      <c r="AT265" s="160">
        <f t="shared" ref="L265:BR279" si="508">ROUND($I265*AT$185,2)</f>
        <v>0</v>
      </c>
      <c r="AU265" s="160">
        <f t="shared" si="508"/>
        <v>0</v>
      </c>
      <c r="AV265" s="160">
        <f t="shared" si="508"/>
        <v>0</v>
      </c>
      <c r="AW265" s="160">
        <f t="shared" si="508"/>
        <v>0</v>
      </c>
      <c r="AX265" s="160">
        <f t="shared" si="508"/>
        <v>0</v>
      </c>
      <c r="AY265" s="160">
        <f t="shared" si="508"/>
        <v>0</v>
      </c>
      <c r="AZ265" s="160">
        <f t="shared" si="508"/>
        <v>0</v>
      </c>
      <c r="BA265" s="160">
        <f t="shared" si="508"/>
        <v>0</v>
      </c>
      <c r="BB265" s="160">
        <f t="shared" si="508"/>
        <v>0</v>
      </c>
      <c r="BC265" s="160">
        <f t="shared" si="508"/>
        <v>0</v>
      </c>
      <c r="BD265" s="160">
        <f t="shared" si="508"/>
        <v>0</v>
      </c>
      <c r="BE265" s="160">
        <f t="shared" si="508"/>
        <v>0</v>
      </c>
      <c r="BF265" s="160">
        <f t="shared" si="508"/>
        <v>0</v>
      </c>
      <c r="BG265" s="160">
        <f t="shared" si="508"/>
        <v>0</v>
      </c>
      <c r="BH265" s="160">
        <f t="shared" si="508"/>
        <v>0</v>
      </c>
      <c r="BI265" s="160">
        <f t="shared" si="508"/>
        <v>0</v>
      </c>
      <c r="BJ265" s="160">
        <f t="shared" si="508"/>
        <v>0</v>
      </c>
      <c r="BK265" s="160">
        <f t="shared" si="508"/>
        <v>0</v>
      </c>
      <c r="BL265" s="160">
        <f t="shared" si="508"/>
        <v>0</v>
      </c>
      <c r="BM265" s="160">
        <f t="shared" si="508"/>
        <v>0</v>
      </c>
      <c r="BN265" s="160">
        <f t="shared" si="508"/>
        <v>0</v>
      </c>
      <c r="BO265" s="160">
        <f t="shared" si="508"/>
        <v>0</v>
      </c>
      <c r="BP265" s="160">
        <f t="shared" si="508"/>
        <v>0</v>
      </c>
      <c r="BQ265" s="160">
        <f t="shared" si="508"/>
        <v>0</v>
      </c>
      <c r="BR265" s="160">
        <f t="shared" si="508"/>
        <v>0</v>
      </c>
      <c r="BS265" s="65"/>
      <c r="BT265" s="160">
        <f t="shared" si="493"/>
        <v>0</v>
      </c>
      <c r="BU265" s="160">
        <f t="shared" si="494"/>
        <v>0</v>
      </c>
      <c r="BV265" s="65"/>
      <c r="BW265" s="69"/>
      <c r="BX265" s="65"/>
      <c r="BY265" s="137">
        <f t="shared" si="495"/>
        <v>1</v>
      </c>
      <c r="BZ265" s="137">
        <f>IF(BY265&gt;0,BY265+LARGE($BZ$213:BZ264,1),0)</f>
        <v>45</v>
      </c>
      <c r="CA265" s="137" t="str">
        <f t="shared" si="496"/>
        <v>ENG/ARQ PL.</v>
      </c>
      <c r="CB265" s="161">
        <f t="shared" si="497"/>
        <v>0</v>
      </c>
      <c r="CC265" s="161">
        <f t="shared" si="498"/>
        <v>0</v>
      </c>
      <c r="CD265" s="161">
        <f t="shared" si="498"/>
        <v>0</v>
      </c>
      <c r="CE265" s="161">
        <f t="shared" si="498"/>
        <v>0</v>
      </c>
      <c r="CF265" s="161">
        <f t="shared" si="498"/>
        <v>0</v>
      </c>
      <c r="CG265" s="161">
        <f t="shared" si="498"/>
        <v>0</v>
      </c>
      <c r="CH265" s="161">
        <f t="shared" si="498"/>
        <v>0</v>
      </c>
      <c r="CI265" s="161">
        <f t="shared" si="498"/>
        <v>0</v>
      </c>
      <c r="CJ265" s="161">
        <f t="shared" si="498"/>
        <v>0</v>
      </c>
      <c r="CK265" s="161">
        <f t="shared" si="498"/>
        <v>0</v>
      </c>
      <c r="CL265" s="161">
        <f t="shared" si="498"/>
        <v>0</v>
      </c>
      <c r="CM265" s="161">
        <f t="shared" si="498"/>
        <v>0</v>
      </c>
      <c r="CN265" s="161">
        <f t="shared" si="498"/>
        <v>0</v>
      </c>
      <c r="CO265" s="161">
        <f t="shared" si="498"/>
        <v>0</v>
      </c>
      <c r="CP265" s="161">
        <f t="shared" si="498"/>
        <v>0</v>
      </c>
      <c r="CQ265" s="161">
        <f t="shared" si="498"/>
        <v>0</v>
      </c>
      <c r="CR265" s="161">
        <f t="shared" si="498"/>
        <v>0</v>
      </c>
      <c r="CS265" s="161">
        <f t="shared" si="499"/>
        <v>0</v>
      </c>
      <c r="CT265" s="161">
        <f t="shared" si="499"/>
        <v>0</v>
      </c>
      <c r="CU265" s="161">
        <f t="shared" si="499"/>
        <v>0</v>
      </c>
      <c r="CV265" s="161">
        <f t="shared" si="499"/>
        <v>0</v>
      </c>
      <c r="CW265" s="161">
        <f t="shared" si="499"/>
        <v>0</v>
      </c>
      <c r="CX265" s="161">
        <f t="shared" si="499"/>
        <v>0</v>
      </c>
      <c r="CY265" s="161">
        <f t="shared" si="499"/>
        <v>0</v>
      </c>
      <c r="CZ265" s="161">
        <f t="shared" si="499"/>
        <v>0</v>
      </c>
      <c r="DA265" s="161">
        <f t="shared" si="499"/>
        <v>0</v>
      </c>
      <c r="DB265" s="161">
        <f t="shared" si="499"/>
        <v>0</v>
      </c>
      <c r="DC265" s="161">
        <f t="shared" si="499"/>
        <v>0</v>
      </c>
      <c r="DD265" s="161">
        <f t="shared" si="499"/>
        <v>0</v>
      </c>
      <c r="DE265" s="161">
        <f t="shared" si="499"/>
        <v>0</v>
      </c>
      <c r="DF265" s="161">
        <f t="shared" si="499"/>
        <v>0</v>
      </c>
      <c r="DG265" s="161">
        <f t="shared" si="499"/>
        <v>0</v>
      </c>
      <c r="DH265" s="161">
        <f t="shared" si="499"/>
        <v>0</v>
      </c>
      <c r="DI265" s="161">
        <f t="shared" si="500"/>
        <v>0</v>
      </c>
      <c r="DJ265" s="161">
        <f t="shared" si="500"/>
        <v>0</v>
      </c>
      <c r="DK265" s="161">
        <f t="shared" si="500"/>
        <v>0</v>
      </c>
      <c r="DL265" s="161">
        <f t="shared" si="500"/>
        <v>0</v>
      </c>
      <c r="DM265" s="161">
        <f t="shared" si="500"/>
        <v>0</v>
      </c>
      <c r="DN265" s="161">
        <f t="shared" si="500"/>
        <v>0</v>
      </c>
      <c r="DO265" s="161">
        <f t="shared" si="500"/>
        <v>0</v>
      </c>
      <c r="DP265" s="161">
        <f t="shared" si="500"/>
        <v>0</v>
      </c>
      <c r="DQ265" s="161">
        <f t="shared" si="500"/>
        <v>0</v>
      </c>
      <c r="DR265" s="161">
        <f t="shared" si="500"/>
        <v>0</v>
      </c>
      <c r="DS265" s="161">
        <f t="shared" si="500"/>
        <v>0</v>
      </c>
      <c r="DT265" s="161">
        <f t="shared" si="500"/>
        <v>0</v>
      </c>
      <c r="DU265" s="161">
        <f t="shared" si="500"/>
        <v>0</v>
      </c>
      <c r="DV265" s="161">
        <f t="shared" si="500"/>
        <v>0</v>
      </c>
      <c r="DW265" s="161">
        <f t="shared" si="500"/>
        <v>0</v>
      </c>
      <c r="DX265" s="161">
        <f t="shared" si="500"/>
        <v>0</v>
      </c>
      <c r="DY265" s="161">
        <f t="shared" si="501"/>
        <v>0</v>
      </c>
      <c r="DZ265" s="161">
        <f t="shared" si="501"/>
        <v>0</v>
      </c>
      <c r="EA265" s="161">
        <f t="shared" si="501"/>
        <v>0</v>
      </c>
      <c r="EB265" s="161">
        <f t="shared" si="501"/>
        <v>0</v>
      </c>
      <c r="EC265" s="161">
        <f t="shared" si="501"/>
        <v>0</v>
      </c>
      <c r="ED265" s="161">
        <f t="shared" si="501"/>
        <v>0</v>
      </c>
      <c r="EE265" s="161">
        <f t="shared" si="501"/>
        <v>0</v>
      </c>
      <c r="EF265" s="161">
        <f t="shared" si="501"/>
        <v>0</v>
      </c>
      <c r="EG265" s="161">
        <f t="shared" si="501"/>
        <v>0</v>
      </c>
      <c r="EH265" s="161">
        <f t="shared" si="501"/>
        <v>0</v>
      </c>
      <c r="EI265" s="161">
        <f t="shared" si="501"/>
        <v>0</v>
      </c>
      <c r="EJ265" s="65"/>
      <c r="EK265" s="161">
        <f t="shared" si="505"/>
        <v>0</v>
      </c>
      <c r="EL265" s="161">
        <f t="shared" si="506"/>
        <v>0</v>
      </c>
      <c r="EM265" s="161">
        <f t="shared" si="507"/>
        <v>0</v>
      </c>
    </row>
    <row r="266" spans="1:143" ht="12" hidden="1" customHeight="1" outlineLevel="2">
      <c r="A266" s="77">
        <v>6</v>
      </c>
      <c r="B266" s="137" t="str">
        <f t="shared" si="502"/>
        <v>ENG/ARQ JR. - Equipe_01</v>
      </c>
      <c r="C266" s="65"/>
      <c r="D266" s="622"/>
      <c r="E266" s="65"/>
      <c r="F266" s="584"/>
      <c r="G266" s="77" t="str">
        <f>IF(INDEX(Tarefas!$BT$30:$FK$30,MATCH(A266,Tarefas!$BT$28:$FK$28,0))=0,"",INDEX(Tarefas!$BT$30:$FK$30,MATCH(A266,Tarefas!$BT$28:$FK$28,0)))</f>
        <v>ENG/ARQ JR.</v>
      </c>
      <c r="H266" s="107" cm="1">
        <f t="array" ref="H266">IFERROR((SUMPRODUCT((Tarefas!$N$32:$N$54='Cronog. e Histog.'!$F$261)*(Tarefas!$BQ$30:$FK$30='Cronog. e Histog.'!$G266)*(Tarefas!$BQ$32:$FK$54)))/SUMIF(Tarefas!$N$32:$N$54,'Cronog. e Histog.'!$F$261,Tarefas!$K$32:$K$54),0)</f>
        <v>1</v>
      </c>
      <c r="I266" s="79">
        <f t="shared" si="503"/>
        <v>1</v>
      </c>
      <c r="J266" s="65"/>
      <c r="K266" s="160">
        <f t="shared" si="491"/>
        <v>0.13</v>
      </c>
      <c r="L266" s="160">
        <f t="shared" si="491"/>
        <v>0.13</v>
      </c>
      <c r="M266" s="160">
        <f t="shared" si="491"/>
        <v>0.13</v>
      </c>
      <c r="N266" s="160">
        <f t="shared" si="491"/>
        <v>0.13</v>
      </c>
      <c r="O266" s="160">
        <f t="shared" si="491"/>
        <v>0.13</v>
      </c>
      <c r="P266" s="160">
        <f t="shared" si="491"/>
        <v>0.13</v>
      </c>
      <c r="Q266" s="160">
        <f t="shared" si="491"/>
        <v>0.13</v>
      </c>
      <c r="R266" s="160">
        <f t="shared" si="491"/>
        <v>0.13</v>
      </c>
      <c r="S266" s="160">
        <f t="shared" si="491"/>
        <v>0.13</v>
      </c>
      <c r="T266" s="160">
        <f t="shared" si="491"/>
        <v>0.13</v>
      </c>
      <c r="U266" s="160">
        <f t="shared" si="491"/>
        <v>0</v>
      </c>
      <c r="V266" s="160">
        <f t="shared" si="491"/>
        <v>0</v>
      </c>
      <c r="W266" s="160">
        <f t="shared" si="491"/>
        <v>0</v>
      </c>
      <c r="X266" s="160">
        <f t="shared" si="491"/>
        <v>0</v>
      </c>
      <c r="Y266" s="160">
        <f t="shared" si="491"/>
        <v>0</v>
      </c>
      <c r="Z266" s="160">
        <f t="shared" si="491"/>
        <v>0</v>
      </c>
      <c r="AA266" s="160">
        <f t="shared" ref="AA266:AP275" si="509">ROUND($I266*AA$185,2)</f>
        <v>0</v>
      </c>
      <c r="AB266" s="160">
        <f t="shared" si="509"/>
        <v>0</v>
      </c>
      <c r="AC266" s="160">
        <f t="shared" si="509"/>
        <v>0</v>
      </c>
      <c r="AD266" s="160">
        <f t="shared" si="509"/>
        <v>0</v>
      </c>
      <c r="AE266" s="160">
        <f t="shared" si="509"/>
        <v>0</v>
      </c>
      <c r="AF266" s="160">
        <f t="shared" si="509"/>
        <v>0</v>
      </c>
      <c r="AG266" s="160">
        <f t="shared" si="509"/>
        <v>0</v>
      </c>
      <c r="AH266" s="160">
        <f t="shared" si="509"/>
        <v>0</v>
      </c>
      <c r="AI266" s="160">
        <f t="shared" si="509"/>
        <v>0</v>
      </c>
      <c r="AJ266" s="160">
        <f t="shared" si="509"/>
        <v>0</v>
      </c>
      <c r="AK266" s="160">
        <f t="shared" si="509"/>
        <v>0</v>
      </c>
      <c r="AL266" s="160">
        <f t="shared" si="509"/>
        <v>0</v>
      </c>
      <c r="AM266" s="160">
        <f t="shared" si="509"/>
        <v>0</v>
      </c>
      <c r="AN266" s="160">
        <f t="shared" si="509"/>
        <v>0</v>
      </c>
      <c r="AO266" s="160">
        <f t="shared" si="509"/>
        <v>0</v>
      </c>
      <c r="AP266" s="160">
        <f t="shared" si="509"/>
        <v>0</v>
      </c>
      <c r="AQ266" s="160">
        <f t="shared" ref="AQ266:BF275" si="510">ROUND($I266*AQ$185,2)</f>
        <v>0</v>
      </c>
      <c r="AR266" s="160">
        <f t="shared" si="510"/>
        <v>0</v>
      </c>
      <c r="AS266" s="160">
        <f t="shared" si="510"/>
        <v>0</v>
      </c>
      <c r="AT266" s="160">
        <f t="shared" si="510"/>
        <v>0</v>
      </c>
      <c r="AU266" s="160">
        <f t="shared" si="510"/>
        <v>0</v>
      </c>
      <c r="AV266" s="160">
        <f t="shared" si="510"/>
        <v>0</v>
      </c>
      <c r="AW266" s="160">
        <f t="shared" si="510"/>
        <v>0</v>
      </c>
      <c r="AX266" s="160">
        <f t="shared" si="510"/>
        <v>0</v>
      </c>
      <c r="AY266" s="160">
        <f t="shared" si="510"/>
        <v>0</v>
      </c>
      <c r="AZ266" s="160">
        <f t="shared" si="510"/>
        <v>0</v>
      </c>
      <c r="BA266" s="160">
        <f t="shared" si="510"/>
        <v>0</v>
      </c>
      <c r="BB266" s="160">
        <f t="shared" si="510"/>
        <v>0</v>
      </c>
      <c r="BC266" s="160">
        <f t="shared" si="510"/>
        <v>0</v>
      </c>
      <c r="BD266" s="160">
        <f t="shared" si="510"/>
        <v>0</v>
      </c>
      <c r="BE266" s="160">
        <f t="shared" si="510"/>
        <v>0</v>
      </c>
      <c r="BF266" s="160">
        <f t="shared" si="510"/>
        <v>0</v>
      </c>
      <c r="BG266" s="160">
        <f t="shared" ref="BG266:BR275" si="511">ROUND($I266*BG$185,2)</f>
        <v>0</v>
      </c>
      <c r="BH266" s="160">
        <f t="shared" si="511"/>
        <v>0</v>
      </c>
      <c r="BI266" s="160">
        <f t="shared" si="511"/>
        <v>0</v>
      </c>
      <c r="BJ266" s="160">
        <f t="shared" si="511"/>
        <v>0</v>
      </c>
      <c r="BK266" s="160">
        <f t="shared" si="511"/>
        <v>0</v>
      </c>
      <c r="BL266" s="160">
        <f t="shared" si="511"/>
        <v>0</v>
      </c>
      <c r="BM266" s="160">
        <f t="shared" si="511"/>
        <v>0</v>
      </c>
      <c r="BN266" s="160">
        <f t="shared" si="511"/>
        <v>0</v>
      </c>
      <c r="BO266" s="160">
        <f t="shared" si="511"/>
        <v>0</v>
      </c>
      <c r="BP266" s="160">
        <f t="shared" si="511"/>
        <v>0</v>
      </c>
      <c r="BQ266" s="160">
        <f t="shared" si="511"/>
        <v>0</v>
      </c>
      <c r="BR266" s="160">
        <f t="shared" si="511"/>
        <v>0</v>
      </c>
      <c r="BS266" s="65"/>
      <c r="BT266" s="160">
        <f t="shared" ref="BT266:BT275" si="512">IFERROR(SUM(K266:BR266)/COUNTIF(K266:BR266,"&gt;0"),0)</f>
        <v>0.12999999999999998</v>
      </c>
      <c r="BU266" s="160">
        <f t="shared" ref="BU266:BU275" si="513">COUNTIF(K266:BR266,"&gt;0")</f>
        <v>10</v>
      </c>
      <c r="BV266" s="65"/>
      <c r="BW266" s="69"/>
      <c r="BX266" s="65"/>
      <c r="BY266" s="137">
        <f t="shared" ref="BY266:BY275" si="514">IF(G266&gt;0,1,0)</f>
        <v>1</v>
      </c>
      <c r="BZ266" s="137">
        <f>IF(BY266&gt;0,BY266+LARGE($BZ$213:BZ265,1),0)</f>
        <v>46</v>
      </c>
      <c r="CA266" s="137" t="str">
        <f t="shared" ref="CA266:CA275" si="515">G266</f>
        <v>ENG/ARQ JR.</v>
      </c>
      <c r="CB266" s="161">
        <f t="shared" ref="CB266:CB275" si="516">K266</f>
        <v>0.13</v>
      </c>
      <c r="CC266" s="161">
        <f t="shared" ref="CC266:CC275" si="517">L266</f>
        <v>0.13</v>
      </c>
      <c r="CD266" s="161">
        <f t="shared" ref="CD266:CD275" si="518">M266</f>
        <v>0.13</v>
      </c>
      <c r="CE266" s="161">
        <f t="shared" ref="CE266:CE275" si="519">N266</f>
        <v>0.13</v>
      </c>
      <c r="CF266" s="161">
        <f t="shared" ref="CF266:CF275" si="520">O266</f>
        <v>0.13</v>
      </c>
      <c r="CG266" s="161">
        <f t="shared" ref="CG266:CG275" si="521">P266</f>
        <v>0.13</v>
      </c>
      <c r="CH266" s="161">
        <f t="shared" ref="CH266:CH275" si="522">Q266</f>
        <v>0.13</v>
      </c>
      <c r="CI266" s="161">
        <f t="shared" ref="CI266:CI275" si="523">R266</f>
        <v>0.13</v>
      </c>
      <c r="CJ266" s="161">
        <f t="shared" ref="CJ266:CJ275" si="524">S266</f>
        <v>0.13</v>
      </c>
      <c r="CK266" s="161">
        <f t="shared" ref="CK266:CK275" si="525">T266</f>
        <v>0.13</v>
      </c>
      <c r="CL266" s="161">
        <f t="shared" ref="CL266:CL275" si="526">U266</f>
        <v>0</v>
      </c>
      <c r="CM266" s="161">
        <f t="shared" ref="CM266:CM275" si="527">V266</f>
        <v>0</v>
      </c>
      <c r="CN266" s="161">
        <f t="shared" ref="CN266:CN275" si="528">W266</f>
        <v>0</v>
      </c>
      <c r="CO266" s="161">
        <f t="shared" ref="CO266:CO275" si="529">X266</f>
        <v>0</v>
      </c>
      <c r="CP266" s="161">
        <f t="shared" ref="CP266:CP275" si="530">Y266</f>
        <v>0</v>
      </c>
      <c r="CQ266" s="161">
        <f t="shared" ref="CQ266:CQ275" si="531">Z266</f>
        <v>0</v>
      </c>
      <c r="CR266" s="161">
        <f t="shared" ref="CR266:CR275" si="532">AA266</f>
        <v>0</v>
      </c>
      <c r="CS266" s="161">
        <f t="shared" ref="CS266:CS275" si="533">AB266</f>
        <v>0</v>
      </c>
      <c r="CT266" s="161">
        <f t="shared" ref="CT266:CT275" si="534">AC266</f>
        <v>0</v>
      </c>
      <c r="CU266" s="161">
        <f t="shared" ref="CU266:CU275" si="535">AD266</f>
        <v>0</v>
      </c>
      <c r="CV266" s="161">
        <f t="shared" ref="CV266:CV275" si="536">AE266</f>
        <v>0</v>
      </c>
      <c r="CW266" s="161">
        <f t="shared" ref="CW266:CW275" si="537">AF266</f>
        <v>0</v>
      </c>
      <c r="CX266" s="161">
        <f t="shared" ref="CX266:CX275" si="538">AG266</f>
        <v>0</v>
      </c>
      <c r="CY266" s="161">
        <f t="shared" ref="CY266:CY275" si="539">AH266</f>
        <v>0</v>
      </c>
      <c r="CZ266" s="161">
        <f t="shared" ref="CZ266:CZ275" si="540">AI266</f>
        <v>0</v>
      </c>
      <c r="DA266" s="161">
        <f t="shared" ref="DA266:DA275" si="541">AJ266</f>
        <v>0</v>
      </c>
      <c r="DB266" s="161">
        <f t="shared" ref="DB266:DB275" si="542">AK266</f>
        <v>0</v>
      </c>
      <c r="DC266" s="161">
        <f t="shared" ref="DC266:DC275" si="543">AL266</f>
        <v>0</v>
      </c>
      <c r="DD266" s="161">
        <f t="shared" ref="DD266:DD275" si="544">AM266</f>
        <v>0</v>
      </c>
      <c r="DE266" s="161">
        <f t="shared" ref="DE266:DE275" si="545">AN266</f>
        <v>0</v>
      </c>
      <c r="DF266" s="161">
        <f t="shared" ref="DF266:DF275" si="546">AO266</f>
        <v>0</v>
      </c>
      <c r="DG266" s="161">
        <f t="shared" ref="DG266:DG275" si="547">AP266</f>
        <v>0</v>
      </c>
      <c r="DH266" s="161">
        <f t="shared" ref="DH266:DH275" si="548">AQ266</f>
        <v>0</v>
      </c>
      <c r="DI266" s="161">
        <f t="shared" ref="DI266:DI275" si="549">AR266</f>
        <v>0</v>
      </c>
      <c r="DJ266" s="161">
        <f t="shared" ref="DJ266:DJ275" si="550">AS266</f>
        <v>0</v>
      </c>
      <c r="DK266" s="161">
        <f t="shared" ref="DK266:DK275" si="551">AT266</f>
        <v>0</v>
      </c>
      <c r="DL266" s="161">
        <f t="shared" ref="DL266:DL275" si="552">AU266</f>
        <v>0</v>
      </c>
      <c r="DM266" s="161">
        <f t="shared" ref="DM266:DM275" si="553">AV266</f>
        <v>0</v>
      </c>
      <c r="DN266" s="161">
        <f t="shared" ref="DN266:DN275" si="554">AW266</f>
        <v>0</v>
      </c>
      <c r="DO266" s="161">
        <f t="shared" ref="DO266:DO275" si="555">AX266</f>
        <v>0</v>
      </c>
      <c r="DP266" s="161">
        <f t="shared" ref="DP266:DP275" si="556">AY266</f>
        <v>0</v>
      </c>
      <c r="DQ266" s="161">
        <f t="shared" ref="DQ266:DQ275" si="557">AZ266</f>
        <v>0</v>
      </c>
      <c r="DR266" s="161">
        <f t="shared" ref="DR266:DR275" si="558">BA266</f>
        <v>0</v>
      </c>
      <c r="DS266" s="161">
        <f t="shared" ref="DS266:DS275" si="559">BB266</f>
        <v>0</v>
      </c>
      <c r="DT266" s="161">
        <f t="shared" ref="DT266:DT275" si="560">BC266</f>
        <v>0</v>
      </c>
      <c r="DU266" s="161">
        <f t="shared" ref="DU266:DU275" si="561">BD266</f>
        <v>0</v>
      </c>
      <c r="DV266" s="161">
        <f t="shared" ref="DV266:DV275" si="562">BE266</f>
        <v>0</v>
      </c>
      <c r="DW266" s="161">
        <f t="shared" ref="DW266:DW275" si="563">BF266</f>
        <v>0</v>
      </c>
      <c r="DX266" s="161">
        <f t="shared" ref="DX266:DX275" si="564">BG266</f>
        <v>0</v>
      </c>
      <c r="DY266" s="161">
        <f t="shared" ref="DY266:DY275" si="565">BH266</f>
        <v>0</v>
      </c>
      <c r="DZ266" s="161">
        <f t="shared" ref="DZ266:DZ275" si="566">BI266</f>
        <v>0</v>
      </c>
      <c r="EA266" s="161">
        <f t="shared" ref="EA266:EA275" si="567">BJ266</f>
        <v>0</v>
      </c>
      <c r="EB266" s="161">
        <f t="shared" ref="EB266:EB275" si="568">BK266</f>
        <v>0</v>
      </c>
      <c r="EC266" s="161">
        <f t="shared" ref="EC266:EC275" si="569">BL266</f>
        <v>0</v>
      </c>
      <c r="ED266" s="161">
        <f t="shared" ref="ED266:ED275" si="570">BM266</f>
        <v>0</v>
      </c>
      <c r="EE266" s="161">
        <f t="shared" ref="EE266:EE275" si="571">BN266</f>
        <v>0</v>
      </c>
      <c r="EF266" s="161">
        <f t="shared" ref="EF266:EF275" si="572">BO266</f>
        <v>0</v>
      </c>
      <c r="EG266" s="161">
        <f t="shared" ref="EG266:EG275" si="573">BP266</f>
        <v>0</v>
      </c>
      <c r="EH266" s="161">
        <f t="shared" ref="EH266:EH275" si="574">BQ266</f>
        <v>0</v>
      </c>
      <c r="EI266" s="161">
        <f t="shared" ref="EI266:EI275" si="575">BR266</f>
        <v>0</v>
      </c>
      <c r="EJ266" s="65"/>
      <c r="EK266" s="161">
        <f t="shared" si="505"/>
        <v>0</v>
      </c>
      <c r="EL266" s="161">
        <f t="shared" si="506"/>
        <v>0</v>
      </c>
      <c r="EM266" s="161">
        <f t="shared" si="507"/>
        <v>0</v>
      </c>
    </row>
    <row r="267" spans="1:143" ht="12" hidden="1" customHeight="1" outlineLevel="2">
      <c r="A267" s="77">
        <v>7</v>
      </c>
      <c r="B267" s="137" t="str">
        <f t="shared" si="502"/>
        <v>AN SR. ENG/ARQ - Equipe_01</v>
      </c>
      <c r="C267" s="65"/>
      <c r="D267" s="622"/>
      <c r="E267" s="65"/>
      <c r="F267" s="584"/>
      <c r="G267" s="77" t="str">
        <f>IF(INDEX(Tarefas!$BT$30:$FK$30,MATCH(A267,Tarefas!$BT$28:$FK$28,0))=0,"",INDEX(Tarefas!$BT$30:$FK$30,MATCH(A267,Tarefas!$BT$28:$FK$28,0)))</f>
        <v>AN SR. ENG/ARQ</v>
      </c>
      <c r="H267" s="107" cm="1">
        <f t="array" ref="H267">IFERROR((SUMPRODUCT((Tarefas!$N$32:$N$54='Cronog. e Histog.'!$F$261)*(Tarefas!$BQ$30:$FK$30='Cronog. e Histog.'!$G267)*(Tarefas!$BQ$32:$FK$54)))/SUMIF(Tarefas!$N$32:$N$54,'Cronog. e Histog.'!$F$261,Tarefas!$K$32:$K$54),0)</f>
        <v>0</v>
      </c>
      <c r="I267" s="79">
        <f t="shared" si="503"/>
        <v>0</v>
      </c>
      <c r="J267" s="65"/>
      <c r="K267" s="160">
        <f t="shared" si="491"/>
        <v>0</v>
      </c>
      <c r="L267" s="160">
        <f t="shared" si="491"/>
        <v>0</v>
      </c>
      <c r="M267" s="160">
        <f t="shared" si="491"/>
        <v>0</v>
      </c>
      <c r="N267" s="160">
        <f t="shared" si="491"/>
        <v>0</v>
      </c>
      <c r="O267" s="160">
        <f t="shared" si="491"/>
        <v>0</v>
      </c>
      <c r="P267" s="160">
        <f t="shared" si="491"/>
        <v>0</v>
      </c>
      <c r="Q267" s="160">
        <f t="shared" si="491"/>
        <v>0</v>
      </c>
      <c r="R267" s="160">
        <f t="shared" si="491"/>
        <v>0</v>
      </c>
      <c r="S267" s="160">
        <f t="shared" si="491"/>
        <v>0</v>
      </c>
      <c r="T267" s="160">
        <f t="shared" si="491"/>
        <v>0</v>
      </c>
      <c r="U267" s="160">
        <f t="shared" si="491"/>
        <v>0</v>
      </c>
      <c r="V267" s="160">
        <f t="shared" si="491"/>
        <v>0</v>
      </c>
      <c r="W267" s="160">
        <f t="shared" si="491"/>
        <v>0</v>
      </c>
      <c r="X267" s="160">
        <f t="shared" si="491"/>
        <v>0</v>
      </c>
      <c r="Y267" s="160">
        <f t="shared" si="491"/>
        <v>0</v>
      </c>
      <c r="Z267" s="160">
        <f t="shared" si="491"/>
        <v>0</v>
      </c>
      <c r="AA267" s="160">
        <f t="shared" si="509"/>
        <v>0</v>
      </c>
      <c r="AB267" s="160">
        <f t="shared" si="509"/>
        <v>0</v>
      </c>
      <c r="AC267" s="160">
        <f t="shared" si="509"/>
        <v>0</v>
      </c>
      <c r="AD267" s="160">
        <f t="shared" si="509"/>
        <v>0</v>
      </c>
      <c r="AE267" s="160">
        <f t="shared" si="509"/>
        <v>0</v>
      </c>
      <c r="AF267" s="160">
        <f t="shared" si="509"/>
        <v>0</v>
      </c>
      <c r="AG267" s="160">
        <f t="shared" si="509"/>
        <v>0</v>
      </c>
      <c r="AH267" s="160">
        <f t="shared" si="509"/>
        <v>0</v>
      </c>
      <c r="AI267" s="160">
        <f t="shared" si="509"/>
        <v>0</v>
      </c>
      <c r="AJ267" s="160">
        <f t="shared" si="509"/>
        <v>0</v>
      </c>
      <c r="AK267" s="160">
        <f t="shared" si="509"/>
        <v>0</v>
      </c>
      <c r="AL267" s="160">
        <f t="shared" si="509"/>
        <v>0</v>
      </c>
      <c r="AM267" s="160">
        <f t="shared" si="509"/>
        <v>0</v>
      </c>
      <c r="AN267" s="160">
        <f t="shared" si="509"/>
        <v>0</v>
      </c>
      <c r="AO267" s="160">
        <f t="shared" si="509"/>
        <v>0</v>
      </c>
      <c r="AP267" s="160">
        <f t="shared" si="509"/>
        <v>0</v>
      </c>
      <c r="AQ267" s="160">
        <f t="shared" si="510"/>
        <v>0</v>
      </c>
      <c r="AR267" s="160">
        <f t="shared" si="510"/>
        <v>0</v>
      </c>
      <c r="AS267" s="160">
        <f t="shared" si="510"/>
        <v>0</v>
      </c>
      <c r="AT267" s="160">
        <f t="shared" si="510"/>
        <v>0</v>
      </c>
      <c r="AU267" s="160">
        <f t="shared" si="510"/>
        <v>0</v>
      </c>
      <c r="AV267" s="160">
        <f t="shared" si="510"/>
        <v>0</v>
      </c>
      <c r="AW267" s="160">
        <f t="shared" si="510"/>
        <v>0</v>
      </c>
      <c r="AX267" s="160">
        <f t="shared" si="510"/>
        <v>0</v>
      </c>
      <c r="AY267" s="160">
        <f t="shared" si="510"/>
        <v>0</v>
      </c>
      <c r="AZ267" s="160">
        <f t="shared" si="510"/>
        <v>0</v>
      </c>
      <c r="BA267" s="160">
        <f t="shared" si="510"/>
        <v>0</v>
      </c>
      <c r="BB267" s="160">
        <f t="shared" si="510"/>
        <v>0</v>
      </c>
      <c r="BC267" s="160">
        <f t="shared" si="510"/>
        <v>0</v>
      </c>
      <c r="BD267" s="160">
        <f t="shared" si="510"/>
        <v>0</v>
      </c>
      <c r="BE267" s="160">
        <f t="shared" si="510"/>
        <v>0</v>
      </c>
      <c r="BF267" s="160">
        <f t="shared" si="510"/>
        <v>0</v>
      </c>
      <c r="BG267" s="160">
        <f t="shared" si="511"/>
        <v>0</v>
      </c>
      <c r="BH267" s="160">
        <f t="shared" si="511"/>
        <v>0</v>
      </c>
      <c r="BI267" s="160">
        <f t="shared" si="511"/>
        <v>0</v>
      </c>
      <c r="BJ267" s="160">
        <f t="shared" si="511"/>
        <v>0</v>
      </c>
      <c r="BK267" s="160">
        <f t="shared" si="511"/>
        <v>0</v>
      </c>
      <c r="BL267" s="160">
        <f t="shared" si="511"/>
        <v>0</v>
      </c>
      <c r="BM267" s="160">
        <f t="shared" si="511"/>
        <v>0</v>
      </c>
      <c r="BN267" s="160">
        <f t="shared" si="511"/>
        <v>0</v>
      </c>
      <c r="BO267" s="160">
        <f t="shared" si="511"/>
        <v>0</v>
      </c>
      <c r="BP267" s="160">
        <f t="shared" si="511"/>
        <v>0</v>
      </c>
      <c r="BQ267" s="160">
        <f t="shared" si="511"/>
        <v>0</v>
      </c>
      <c r="BR267" s="160">
        <f t="shared" si="511"/>
        <v>0</v>
      </c>
      <c r="BS267" s="65"/>
      <c r="BT267" s="160">
        <f t="shared" si="512"/>
        <v>0</v>
      </c>
      <c r="BU267" s="160">
        <f t="shared" si="513"/>
        <v>0</v>
      </c>
      <c r="BV267" s="65"/>
      <c r="BW267" s="69"/>
      <c r="BX267" s="65"/>
      <c r="BY267" s="137">
        <f t="shared" si="514"/>
        <v>1</v>
      </c>
      <c r="BZ267" s="137">
        <f>IF(BY267&gt;0,BY267+LARGE($BZ$213:BZ266,1),0)</f>
        <v>47</v>
      </c>
      <c r="CA267" s="137" t="str">
        <f t="shared" si="515"/>
        <v>AN SR. ENG/ARQ</v>
      </c>
      <c r="CB267" s="161">
        <f t="shared" si="516"/>
        <v>0</v>
      </c>
      <c r="CC267" s="161">
        <f t="shared" si="517"/>
        <v>0</v>
      </c>
      <c r="CD267" s="161">
        <f t="shared" si="518"/>
        <v>0</v>
      </c>
      <c r="CE267" s="161">
        <f t="shared" si="519"/>
        <v>0</v>
      </c>
      <c r="CF267" s="161">
        <f t="shared" si="520"/>
        <v>0</v>
      </c>
      <c r="CG267" s="161">
        <f t="shared" si="521"/>
        <v>0</v>
      </c>
      <c r="CH267" s="161">
        <f t="shared" si="522"/>
        <v>0</v>
      </c>
      <c r="CI267" s="161">
        <f t="shared" si="523"/>
        <v>0</v>
      </c>
      <c r="CJ267" s="161">
        <f t="shared" si="524"/>
        <v>0</v>
      </c>
      <c r="CK267" s="161">
        <f t="shared" si="525"/>
        <v>0</v>
      </c>
      <c r="CL267" s="161">
        <f t="shared" si="526"/>
        <v>0</v>
      </c>
      <c r="CM267" s="161">
        <f t="shared" si="527"/>
        <v>0</v>
      </c>
      <c r="CN267" s="161">
        <f t="shared" si="528"/>
        <v>0</v>
      </c>
      <c r="CO267" s="161">
        <f t="shared" si="529"/>
        <v>0</v>
      </c>
      <c r="CP267" s="161">
        <f t="shared" si="530"/>
        <v>0</v>
      </c>
      <c r="CQ267" s="161">
        <f t="shared" si="531"/>
        <v>0</v>
      </c>
      <c r="CR267" s="161">
        <f t="shared" si="532"/>
        <v>0</v>
      </c>
      <c r="CS267" s="161">
        <f t="shared" si="533"/>
        <v>0</v>
      </c>
      <c r="CT267" s="161">
        <f t="shared" si="534"/>
        <v>0</v>
      </c>
      <c r="CU267" s="161">
        <f t="shared" si="535"/>
        <v>0</v>
      </c>
      <c r="CV267" s="161">
        <f t="shared" si="536"/>
        <v>0</v>
      </c>
      <c r="CW267" s="161">
        <f t="shared" si="537"/>
        <v>0</v>
      </c>
      <c r="CX267" s="161">
        <f t="shared" si="538"/>
        <v>0</v>
      </c>
      <c r="CY267" s="161">
        <f t="shared" si="539"/>
        <v>0</v>
      </c>
      <c r="CZ267" s="161">
        <f t="shared" si="540"/>
        <v>0</v>
      </c>
      <c r="DA267" s="161">
        <f t="shared" si="541"/>
        <v>0</v>
      </c>
      <c r="DB267" s="161">
        <f t="shared" si="542"/>
        <v>0</v>
      </c>
      <c r="DC267" s="161">
        <f t="shared" si="543"/>
        <v>0</v>
      </c>
      <c r="DD267" s="161">
        <f t="shared" si="544"/>
        <v>0</v>
      </c>
      <c r="DE267" s="161">
        <f t="shared" si="545"/>
        <v>0</v>
      </c>
      <c r="DF267" s="161">
        <f t="shared" si="546"/>
        <v>0</v>
      </c>
      <c r="DG267" s="161">
        <f t="shared" si="547"/>
        <v>0</v>
      </c>
      <c r="DH267" s="161">
        <f t="shared" si="548"/>
        <v>0</v>
      </c>
      <c r="DI267" s="161">
        <f t="shared" si="549"/>
        <v>0</v>
      </c>
      <c r="DJ267" s="161">
        <f t="shared" si="550"/>
        <v>0</v>
      </c>
      <c r="DK267" s="161">
        <f t="shared" si="551"/>
        <v>0</v>
      </c>
      <c r="DL267" s="161">
        <f t="shared" si="552"/>
        <v>0</v>
      </c>
      <c r="DM267" s="161">
        <f t="shared" si="553"/>
        <v>0</v>
      </c>
      <c r="DN267" s="161">
        <f t="shared" si="554"/>
        <v>0</v>
      </c>
      <c r="DO267" s="161">
        <f t="shared" si="555"/>
        <v>0</v>
      </c>
      <c r="DP267" s="161">
        <f t="shared" si="556"/>
        <v>0</v>
      </c>
      <c r="DQ267" s="161">
        <f t="shared" si="557"/>
        <v>0</v>
      </c>
      <c r="DR267" s="161">
        <f t="shared" si="558"/>
        <v>0</v>
      </c>
      <c r="DS267" s="161">
        <f t="shared" si="559"/>
        <v>0</v>
      </c>
      <c r="DT267" s="161">
        <f t="shared" si="560"/>
        <v>0</v>
      </c>
      <c r="DU267" s="161">
        <f t="shared" si="561"/>
        <v>0</v>
      </c>
      <c r="DV267" s="161">
        <f t="shared" si="562"/>
        <v>0</v>
      </c>
      <c r="DW267" s="161">
        <f t="shared" si="563"/>
        <v>0</v>
      </c>
      <c r="DX267" s="161">
        <f t="shared" si="564"/>
        <v>0</v>
      </c>
      <c r="DY267" s="161">
        <f t="shared" si="565"/>
        <v>0</v>
      </c>
      <c r="DZ267" s="161">
        <f t="shared" si="566"/>
        <v>0</v>
      </c>
      <c r="EA267" s="161">
        <f t="shared" si="567"/>
        <v>0</v>
      </c>
      <c r="EB267" s="161">
        <f t="shared" si="568"/>
        <v>0</v>
      </c>
      <c r="EC267" s="161">
        <f t="shared" si="569"/>
        <v>0</v>
      </c>
      <c r="ED267" s="161">
        <f t="shared" si="570"/>
        <v>0</v>
      </c>
      <c r="EE267" s="161">
        <f t="shared" si="571"/>
        <v>0</v>
      </c>
      <c r="EF267" s="161">
        <f t="shared" si="572"/>
        <v>0</v>
      </c>
      <c r="EG267" s="161">
        <f t="shared" si="573"/>
        <v>0</v>
      </c>
      <c r="EH267" s="161">
        <f t="shared" si="574"/>
        <v>0</v>
      </c>
      <c r="EI267" s="161">
        <f t="shared" si="575"/>
        <v>0</v>
      </c>
      <c r="EJ267" s="65"/>
      <c r="EK267" s="161">
        <f t="shared" si="505"/>
        <v>0</v>
      </c>
      <c r="EL267" s="161">
        <f t="shared" si="506"/>
        <v>0</v>
      </c>
      <c r="EM267" s="161">
        <f t="shared" si="507"/>
        <v>0</v>
      </c>
    </row>
    <row r="268" spans="1:143" ht="12" hidden="1" customHeight="1" outlineLevel="2">
      <c r="A268" s="77">
        <v>8</v>
      </c>
      <c r="B268" s="137" t="str">
        <f t="shared" si="502"/>
        <v>AN PL. ENG/ARQ - Equipe_01</v>
      </c>
      <c r="C268" s="65"/>
      <c r="D268" s="622"/>
      <c r="E268" s="65"/>
      <c r="F268" s="584"/>
      <c r="G268" s="77" t="str">
        <f>IF(INDEX(Tarefas!$BT$30:$FK$30,MATCH(A268,Tarefas!$BT$28:$FK$28,0))=0,"",INDEX(Tarefas!$BT$30:$FK$30,MATCH(A268,Tarefas!$BT$28:$FK$28,0)))</f>
        <v>AN PL. ENG/ARQ</v>
      </c>
      <c r="H268" s="107" cm="1">
        <f t="array" ref="H268">IFERROR((SUMPRODUCT((Tarefas!$N$32:$N$54='Cronog. e Histog.'!$F$261)*(Tarefas!$BQ$30:$FK$30='Cronog. e Histog.'!$G268)*(Tarefas!$BQ$32:$FK$54)))/SUMIF(Tarefas!$N$32:$N$54,'Cronog. e Histog.'!$F$261,Tarefas!$K$32:$K$54),0)</f>
        <v>0</v>
      </c>
      <c r="I268" s="79">
        <f t="shared" si="503"/>
        <v>0</v>
      </c>
      <c r="J268" s="65"/>
      <c r="K268" s="160">
        <f t="shared" si="491"/>
        <v>0</v>
      </c>
      <c r="L268" s="160">
        <f t="shared" si="491"/>
        <v>0</v>
      </c>
      <c r="M268" s="160">
        <f t="shared" si="491"/>
        <v>0</v>
      </c>
      <c r="N268" s="160">
        <f t="shared" si="491"/>
        <v>0</v>
      </c>
      <c r="O268" s="160">
        <f t="shared" si="491"/>
        <v>0</v>
      </c>
      <c r="P268" s="160">
        <f t="shared" si="491"/>
        <v>0</v>
      </c>
      <c r="Q268" s="160">
        <f t="shared" si="491"/>
        <v>0</v>
      </c>
      <c r="R268" s="160">
        <f t="shared" si="491"/>
        <v>0</v>
      </c>
      <c r="S268" s="160">
        <f t="shared" si="491"/>
        <v>0</v>
      </c>
      <c r="T268" s="160">
        <f t="shared" si="491"/>
        <v>0</v>
      </c>
      <c r="U268" s="160">
        <f t="shared" si="491"/>
        <v>0</v>
      </c>
      <c r="V268" s="160">
        <f t="shared" si="491"/>
        <v>0</v>
      </c>
      <c r="W268" s="160">
        <f t="shared" si="491"/>
        <v>0</v>
      </c>
      <c r="X268" s="160">
        <f t="shared" si="491"/>
        <v>0</v>
      </c>
      <c r="Y268" s="160">
        <f t="shared" si="491"/>
        <v>0</v>
      </c>
      <c r="Z268" s="160">
        <f t="shared" si="491"/>
        <v>0</v>
      </c>
      <c r="AA268" s="160">
        <f t="shared" si="509"/>
        <v>0</v>
      </c>
      <c r="AB268" s="160">
        <f t="shared" si="509"/>
        <v>0</v>
      </c>
      <c r="AC268" s="160">
        <f t="shared" si="509"/>
        <v>0</v>
      </c>
      <c r="AD268" s="160">
        <f t="shared" si="509"/>
        <v>0</v>
      </c>
      <c r="AE268" s="160">
        <f t="shared" si="509"/>
        <v>0</v>
      </c>
      <c r="AF268" s="160">
        <f t="shared" si="509"/>
        <v>0</v>
      </c>
      <c r="AG268" s="160">
        <f t="shared" si="509"/>
        <v>0</v>
      </c>
      <c r="AH268" s="160">
        <f t="shared" si="509"/>
        <v>0</v>
      </c>
      <c r="AI268" s="160">
        <f t="shared" si="509"/>
        <v>0</v>
      </c>
      <c r="AJ268" s="160">
        <f t="shared" si="509"/>
        <v>0</v>
      </c>
      <c r="AK268" s="160">
        <f t="shared" si="509"/>
        <v>0</v>
      </c>
      <c r="AL268" s="160">
        <f t="shared" si="509"/>
        <v>0</v>
      </c>
      <c r="AM268" s="160">
        <f t="shared" si="509"/>
        <v>0</v>
      </c>
      <c r="AN268" s="160">
        <f t="shared" si="509"/>
        <v>0</v>
      </c>
      <c r="AO268" s="160">
        <f t="shared" si="509"/>
        <v>0</v>
      </c>
      <c r="AP268" s="160">
        <f t="shared" si="509"/>
        <v>0</v>
      </c>
      <c r="AQ268" s="160">
        <f t="shared" si="510"/>
        <v>0</v>
      </c>
      <c r="AR268" s="160">
        <f t="shared" si="510"/>
        <v>0</v>
      </c>
      <c r="AS268" s="160">
        <f t="shared" si="510"/>
        <v>0</v>
      </c>
      <c r="AT268" s="160">
        <f t="shared" si="510"/>
        <v>0</v>
      </c>
      <c r="AU268" s="160">
        <f t="shared" si="510"/>
        <v>0</v>
      </c>
      <c r="AV268" s="160">
        <f t="shared" si="510"/>
        <v>0</v>
      </c>
      <c r="AW268" s="160">
        <f t="shared" si="510"/>
        <v>0</v>
      </c>
      <c r="AX268" s="160">
        <f t="shared" si="510"/>
        <v>0</v>
      </c>
      <c r="AY268" s="160">
        <f t="shared" si="510"/>
        <v>0</v>
      </c>
      <c r="AZ268" s="160">
        <f t="shared" si="510"/>
        <v>0</v>
      </c>
      <c r="BA268" s="160">
        <f t="shared" si="510"/>
        <v>0</v>
      </c>
      <c r="BB268" s="160">
        <f t="shared" si="510"/>
        <v>0</v>
      </c>
      <c r="BC268" s="160">
        <f t="shared" si="510"/>
        <v>0</v>
      </c>
      <c r="BD268" s="160">
        <f t="shared" si="510"/>
        <v>0</v>
      </c>
      <c r="BE268" s="160">
        <f t="shared" si="510"/>
        <v>0</v>
      </c>
      <c r="BF268" s="160">
        <f t="shared" si="510"/>
        <v>0</v>
      </c>
      <c r="BG268" s="160">
        <f t="shared" si="511"/>
        <v>0</v>
      </c>
      <c r="BH268" s="160">
        <f t="shared" si="511"/>
        <v>0</v>
      </c>
      <c r="BI268" s="160">
        <f t="shared" si="511"/>
        <v>0</v>
      </c>
      <c r="BJ268" s="160">
        <f t="shared" si="511"/>
        <v>0</v>
      </c>
      <c r="BK268" s="160">
        <f t="shared" si="511"/>
        <v>0</v>
      </c>
      <c r="BL268" s="160">
        <f t="shared" si="511"/>
        <v>0</v>
      </c>
      <c r="BM268" s="160">
        <f t="shared" si="511"/>
        <v>0</v>
      </c>
      <c r="BN268" s="160">
        <f t="shared" si="511"/>
        <v>0</v>
      </c>
      <c r="BO268" s="160">
        <f t="shared" si="511"/>
        <v>0</v>
      </c>
      <c r="BP268" s="160">
        <f t="shared" si="511"/>
        <v>0</v>
      </c>
      <c r="BQ268" s="160">
        <f t="shared" si="511"/>
        <v>0</v>
      </c>
      <c r="BR268" s="160">
        <f t="shared" si="511"/>
        <v>0</v>
      </c>
      <c r="BS268" s="65"/>
      <c r="BT268" s="160">
        <f t="shared" si="512"/>
        <v>0</v>
      </c>
      <c r="BU268" s="160">
        <f t="shared" si="513"/>
        <v>0</v>
      </c>
      <c r="BV268" s="65"/>
      <c r="BW268" s="69"/>
      <c r="BX268" s="65"/>
      <c r="BY268" s="137">
        <f t="shared" si="514"/>
        <v>1</v>
      </c>
      <c r="BZ268" s="137">
        <f>IF(BY268&gt;0,BY268+LARGE($BZ$213:BZ267,1),0)</f>
        <v>48</v>
      </c>
      <c r="CA268" s="137" t="str">
        <f t="shared" si="515"/>
        <v>AN PL. ENG/ARQ</v>
      </c>
      <c r="CB268" s="161">
        <f t="shared" si="516"/>
        <v>0</v>
      </c>
      <c r="CC268" s="161">
        <f t="shared" si="517"/>
        <v>0</v>
      </c>
      <c r="CD268" s="161">
        <f t="shared" si="518"/>
        <v>0</v>
      </c>
      <c r="CE268" s="161">
        <f t="shared" si="519"/>
        <v>0</v>
      </c>
      <c r="CF268" s="161">
        <f t="shared" si="520"/>
        <v>0</v>
      </c>
      <c r="CG268" s="161">
        <f t="shared" si="521"/>
        <v>0</v>
      </c>
      <c r="CH268" s="161">
        <f t="shared" si="522"/>
        <v>0</v>
      </c>
      <c r="CI268" s="161">
        <f t="shared" si="523"/>
        <v>0</v>
      </c>
      <c r="CJ268" s="161">
        <f t="shared" si="524"/>
        <v>0</v>
      </c>
      <c r="CK268" s="161">
        <f t="shared" si="525"/>
        <v>0</v>
      </c>
      <c r="CL268" s="161">
        <f t="shared" si="526"/>
        <v>0</v>
      </c>
      <c r="CM268" s="161">
        <f t="shared" si="527"/>
        <v>0</v>
      </c>
      <c r="CN268" s="161">
        <f t="shared" si="528"/>
        <v>0</v>
      </c>
      <c r="CO268" s="161">
        <f t="shared" si="529"/>
        <v>0</v>
      </c>
      <c r="CP268" s="161">
        <f t="shared" si="530"/>
        <v>0</v>
      </c>
      <c r="CQ268" s="161">
        <f t="shared" si="531"/>
        <v>0</v>
      </c>
      <c r="CR268" s="161">
        <f t="shared" si="532"/>
        <v>0</v>
      </c>
      <c r="CS268" s="161">
        <f t="shared" si="533"/>
        <v>0</v>
      </c>
      <c r="CT268" s="161">
        <f t="shared" si="534"/>
        <v>0</v>
      </c>
      <c r="CU268" s="161">
        <f t="shared" si="535"/>
        <v>0</v>
      </c>
      <c r="CV268" s="161">
        <f t="shared" si="536"/>
        <v>0</v>
      </c>
      <c r="CW268" s="161">
        <f t="shared" si="537"/>
        <v>0</v>
      </c>
      <c r="CX268" s="161">
        <f t="shared" si="538"/>
        <v>0</v>
      </c>
      <c r="CY268" s="161">
        <f t="shared" si="539"/>
        <v>0</v>
      </c>
      <c r="CZ268" s="161">
        <f t="shared" si="540"/>
        <v>0</v>
      </c>
      <c r="DA268" s="161">
        <f t="shared" si="541"/>
        <v>0</v>
      </c>
      <c r="DB268" s="161">
        <f t="shared" si="542"/>
        <v>0</v>
      </c>
      <c r="DC268" s="161">
        <f t="shared" si="543"/>
        <v>0</v>
      </c>
      <c r="DD268" s="161">
        <f t="shared" si="544"/>
        <v>0</v>
      </c>
      <c r="DE268" s="161">
        <f t="shared" si="545"/>
        <v>0</v>
      </c>
      <c r="DF268" s="161">
        <f t="shared" si="546"/>
        <v>0</v>
      </c>
      <c r="DG268" s="161">
        <f t="shared" si="547"/>
        <v>0</v>
      </c>
      <c r="DH268" s="161">
        <f t="shared" si="548"/>
        <v>0</v>
      </c>
      <c r="DI268" s="161">
        <f t="shared" si="549"/>
        <v>0</v>
      </c>
      <c r="DJ268" s="161">
        <f t="shared" si="550"/>
        <v>0</v>
      </c>
      <c r="DK268" s="161">
        <f t="shared" si="551"/>
        <v>0</v>
      </c>
      <c r="DL268" s="161">
        <f t="shared" si="552"/>
        <v>0</v>
      </c>
      <c r="DM268" s="161">
        <f t="shared" si="553"/>
        <v>0</v>
      </c>
      <c r="DN268" s="161">
        <f t="shared" si="554"/>
        <v>0</v>
      </c>
      <c r="DO268" s="161">
        <f t="shared" si="555"/>
        <v>0</v>
      </c>
      <c r="DP268" s="161">
        <f t="shared" si="556"/>
        <v>0</v>
      </c>
      <c r="DQ268" s="161">
        <f t="shared" si="557"/>
        <v>0</v>
      </c>
      <c r="DR268" s="161">
        <f t="shared" si="558"/>
        <v>0</v>
      </c>
      <c r="DS268" s="161">
        <f t="shared" si="559"/>
        <v>0</v>
      </c>
      <c r="DT268" s="161">
        <f t="shared" si="560"/>
        <v>0</v>
      </c>
      <c r="DU268" s="161">
        <f t="shared" si="561"/>
        <v>0</v>
      </c>
      <c r="DV268" s="161">
        <f t="shared" si="562"/>
        <v>0</v>
      </c>
      <c r="DW268" s="161">
        <f t="shared" si="563"/>
        <v>0</v>
      </c>
      <c r="DX268" s="161">
        <f t="shared" si="564"/>
        <v>0</v>
      </c>
      <c r="DY268" s="161">
        <f t="shared" si="565"/>
        <v>0</v>
      </c>
      <c r="DZ268" s="161">
        <f t="shared" si="566"/>
        <v>0</v>
      </c>
      <c r="EA268" s="161">
        <f t="shared" si="567"/>
        <v>0</v>
      </c>
      <c r="EB268" s="161">
        <f t="shared" si="568"/>
        <v>0</v>
      </c>
      <c r="EC268" s="161">
        <f t="shared" si="569"/>
        <v>0</v>
      </c>
      <c r="ED268" s="161">
        <f t="shared" si="570"/>
        <v>0</v>
      </c>
      <c r="EE268" s="161">
        <f t="shared" si="571"/>
        <v>0</v>
      </c>
      <c r="EF268" s="161">
        <f t="shared" si="572"/>
        <v>0</v>
      </c>
      <c r="EG268" s="161">
        <f t="shared" si="573"/>
        <v>0</v>
      </c>
      <c r="EH268" s="161">
        <f t="shared" si="574"/>
        <v>0</v>
      </c>
      <c r="EI268" s="161">
        <f t="shared" si="575"/>
        <v>0</v>
      </c>
      <c r="EJ268" s="65"/>
      <c r="EK268" s="161">
        <f t="shared" si="505"/>
        <v>0</v>
      </c>
      <c r="EL268" s="161">
        <f t="shared" si="506"/>
        <v>0</v>
      </c>
      <c r="EM268" s="161">
        <f t="shared" si="507"/>
        <v>0</v>
      </c>
    </row>
    <row r="269" spans="1:143" ht="12" hidden="1" customHeight="1" outlineLevel="2">
      <c r="A269" s="77">
        <v>9</v>
      </c>
      <c r="B269" s="137" t="str">
        <f t="shared" si="502"/>
        <v>AN JR. ENG/ARQ - Equipe_01</v>
      </c>
      <c r="C269" s="65"/>
      <c r="D269" s="622"/>
      <c r="E269" s="65"/>
      <c r="F269" s="584"/>
      <c r="G269" s="77" t="str">
        <f>IF(INDEX(Tarefas!$BT$30:$FK$30,MATCH(A269,Tarefas!$BT$28:$FK$28,0))=0,"",INDEX(Tarefas!$BT$30:$FK$30,MATCH(A269,Tarefas!$BT$28:$FK$28,0)))</f>
        <v>AN JR. ENG/ARQ</v>
      </c>
      <c r="H269" s="107" cm="1">
        <f t="array" ref="H269">IFERROR((SUMPRODUCT((Tarefas!$N$32:$N$54='Cronog. e Histog.'!$F$261)*(Tarefas!$BQ$30:$FK$30='Cronog. e Histog.'!$G269)*(Tarefas!$BQ$32:$FK$54)))/SUMIF(Tarefas!$N$32:$N$54,'Cronog. e Histog.'!$F$261,Tarefas!$K$32:$K$54),0)</f>
        <v>0</v>
      </c>
      <c r="I269" s="79">
        <f t="shared" si="503"/>
        <v>0</v>
      </c>
      <c r="J269" s="65"/>
      <c r="K269" s="160">
        <f t="shared" si="491"/>
        <v>0</v>
      </c>
      <c r="L269" s="160">
        <f t="shared" si="491"/>
        <v>0</v>
      </c>
      <c r="M269" s="160">
        <f t="shared" si="491"/>
        <v>0</v>
      </c>
      <c r="N269" s="160">
        <f t="shared" si="491"/>
        <v>0</v>
      </c>
      <c r="O269" s="160">
        <f t="shared" si="491"/>
        <v>0</v>
      </c>
      <c r="P269" s="160">
        <f t="shared" si="491"/>
        <v>0</v>
      </c>
      <c r="Q269" s="160">
        <f t="shared" si="491"/>
        <v>0</v>
      </c>
      <c r="R269" s="160">
        <f t="shared" si="491"/>
        <v>0</v>
      </c>
      <c r="S269" s="160">
        <f t="shared" si="491"/>
        <v>0</v>
      </c>
      <c r="T269" s="160">
        <f t="shared" si="491"/>
        <v>0</v>
      </c>
      <c r="U269" s="160">
        <f t="shared" si="491"/>
        <v>0</v>
      </c>
      <c r="V269" s="160">
        <f t="shared" si="491"/>
        <v>0</v>
      </c>
      <c r="W269" s="160">
        <f t="shared" si="491"/>
        <v>0</v>
      </c>
      <c r="X269" s="160">
        <f t="shared" si="491"/>
        <v>0</v>
      </c>
      <c r="Y269" s="160">
        <f t="shared" si="491"/>
        <v>0</v>
      </c>
      <c r="Z269" s="160">
        <f t="shared" si="491"/>
        <v>0</v>
      </c>
      <c r="AA269" s="160">
        <f t="shared" si="509"/>
        <v>0</v>
      </c>
      <c r="AB269" s="160">
        <f t="shared" si="509"/>
        <v>0</v>
      </c>
      <c r="AC269" s="160">
        <f t="shared" si="509"/>
        <v>0</v>
      </c>
      <c r="AD269" s="160">
        <f t="shared" si="509"/>
        <v>0</v>
      </c>
      <c r="AE269" s="160">
        <f t="shared" si="509"/>
        <v>0</v>
      </c>
      <c r="AF269" s="160">
        <f t="shared" si="509"/>
        <v>0</v>
      </c>
      <c r="AG269" s="160">
        <f t="shared" si="509"/>
        <v>0</v>
      </c>
      <c r="AH269" s="160">
        <f t="shared" si="509"/>
        <v>0</v>
      </c>
      <c r="AI269" s="160">
        <f t="shared" si="509"/>
        <v>0</v>
      </c>
      <c r="AJ269" s="160">
        <f t="shared" si="509"/>
        <v>0</v>
      </c>
      <c r="AK269" s="160">
        <f t="shared" si="509"/>
        <v>0</v>
      </c>
      <c r="AL269" s="160">
        <f t="shared" si="509"/>
        <v>0</v>
      </c>
      <c r="AM269" s="160">
        <f t="shared" si="509"/>
        <v>0</v>
      </c>
      <c r="AN269" s="160">
        <f t="shared" si="509"/>
        <v>0</v>
      </c>
      <c r="AO269" s="160">
        <f t="shared" si="509"/>
        <v>0</v>
      </c>
      <c r="AP269" s="160">
        <f t="shared" si="509"/>
        <v>0</v>
      </c>
      <c r="AQ269" s="160">
        <f t="shared" si="510"/>
        <v>0</v>
      </c>
      <c r="AR269" s="160">
        <f t="shared" si="510"/>
        <v>0</v>
      </c>
      <c r="AS269" s="160">
        <f t="shared" si="510"/>
        <v>0</v>
      </c>
      <c r="AT269" s="160">
        <f t="shared" si="510"/>
        <v>0</v>
      </c>
      <c r="AU269" s="160">
        <f t="shared" si="510"/>
        <v>0</v>
      </c>
      <c r="AV269" s="160">
        <f t="shared" si="510"/>
        <v>0</v>
      </c>
      <c r="AW269" s="160">
        <f t="shared" si="510"/>
        <v>0</v>
      </c>
      <c r="AX269" s="160">
        <f t="shared" si="510"/>
        <v>0</v>
      </c>
      <c r="AY269" s="160">
        <f t="shared" si="510"/>
        <v>0</v>
      </c>
      <c r="AZ269" s="160">
        <f t="shared" si="510"/>
        <v>0</v>
      </c>
      <c r="BA269" s="160">
        <f t="shared" si="510"/>
        <v>0</v>
      </c>
      <c r="BB269" s="160">
        <f t="shared" si="510"/>
        <v>0</v>
      </c>
      <c r="BC269" s="160">
        <f t="shared" si="510"/>
        <v>0</v>
      </c>
      <c r="BD269" s="160">
        <f t="shared" si="510"/>
        <v>0</v>
      </c>
      <c r="BE269" s="160">
        <f t="shared" si="510"/>
        <v>0</v>
      </c>
      <c r="BF269" s="160">
        <f t="shared" si="510"/>
        <v>0</v>
      </c>
      <c r="BG269" s="160">
        <f t="shared" si="511"/>
        <v>0</v>
      </c>
      <c r="BH269" s="160">
        <f t="shared" si="511"/>
        <v>0</v>
      </c>
      <c r="BI269" s="160">
        <f t="shared" si="511"/>
        <v>0</v>
      </c>
      <c r="BJ269" s="160">
        <f t="shared" si="511"/>
        <v>0</v>
      </c>
      <c r="BK269" s="160">
        <f t="shared" si="511"/>
        <v>0</v>
      </c>
      <c r="BL269" s="160">
        <f t="shared" si="511"/>
        <v>0</v>
      </c>
      <c r="BM269" s="160">
        <f t="shared" si="511"/>
        <v>0</v>
      </c>
      <c r="BN269" s="160">
        <f t="shared" si="511"/>
        <v>0</v>
      </c>
      <c r="BO269" s="160">
        <f t="shared" si="511"/>
        <v>0</v>
      </c>
      <c r="BP269" s="160">
        <f t="shared" si="511"/>
        <v>0</v>
      </c>
      <c r="BQ269" s="160">
        <f t="shared" si="511"/>
        <v>0</v>
      </c>
      <c r="BR269" s="160">
        <f t="shared" si="511"/>
        <v>0</v>
      </c>
      <c r="BS269" s="65"/>
      <c r="BT269" s="160">
        <f t="shared" si="512"/>
        <v>0</v>
      </c>
      <c r="BU269" s="160">
        <f t="shared" si="513"/>
        <v>0</v>
      </c>
      <c r="BV269" s="65"/>
      <c r="BW269" s="69"/>
      <c r="BX269" s="65"/>
      <c r="BY269" s="137">
        <f t="shared" si="514"/>
        <v>1</v>
      </c>
      <c r="BZ269" s="137">
        <f>IF(BY269&gt;0,BY269+LARGE($BZ$213:BZ268,1),0)</f>
        <v>49</v>
      </c>
      <c r="CA269" s="137" t="str">
        <f t="shared" si="515"/>
        <v>AN JR. ENG/ARQ</v>
      </c>
      <c r="CB269" s="161">
        <f t="shared" si="516"/>
        <v>0</v>
      </c>
      <c r="CC269" s="161">
        <f t="shared" si="517"/>
        <v>0</v>
      </c>
      <c r="CD269" s="161">
        <f t="shared" si="518"/>
        <v>0</v>
      </c>
      <c r="CE269" s="161">
        <f t="shared" si="519"/>
        <v>0</v>
      </c>
      <c r="CF269" s="161">
        <f t="shared" si="520"/>
        <v>0</v>
      </c>
      <c r="CG269" s="161">
        <f t="shared" si="521"/>
        <v>0</v>
      </c>
      <c r="CH269" s="161">
        <f t="shared" si="522"/>
        <v>0</v>
      </c>
      <c r="CI269" s="161">
        <f t="shared" si="523"/>
        <v>0</v>
      </c>
      <c r="CJ269" s="161">
        <f t="shared" si="524"/>
        <v>0</v>
      </c>
      <c r="CK269" s="161">
        <f t="shared" si="525"/>
        <v>0</v>
      </c>
      <c r="CL269" s="161">
        <f t="shared" si="526"/>
        <v>0</v>
      </c>
      <c r="CM269" s="161">
        <f t="shared" si="527"/>
        <v>0</v>
      </c>
      <c r="CN269" s="161">
        <f t="shared" si="528"/>
        <v>0</v>
      </c>
      <c r="CO269" s="161">
        <f t="shared" si="529"/>
        <v>0</v>
      </c>
      <c r="CP269" s="161">
        <f t="shared" si="530"/>
        <v>0</v>
      </c>
      <c r="CQ269" s="161">
        <f t="shared" si="531"/>
        <v>0</v>
      </c>
      <c r="CR269" s="161">
        <f t="shared" si="532"/>
        <v>0</v>
      </c>
      <c r="CS269" s="161">
        <f t="shared" si="533"/>
        <v>0</v>
      </c>
      <c r="CT269" s="161">
        <f t="shared" si="534"/>
        <v>0</v>
      </c>
      <c r="CU269" s="161">
        <f t="shared" si="535"/>
        <v>0</v>
      </c>
      <c r="CV269" s="161">
        <f t="shared" si="536"/>
        <v>0</v>
      </c>
      <c r="CW269" s="161">
        <f t="shared" si="537"/>
        <v>0</v>
      </c>
      <c r="CX269" s="161">
        <f t="shared" si="538"/>
        <v>0</v>
      </c>
      <c r="CY269" s="161">
        <f t="shared" si="539"/>
        <v>0</v>
      </c>
      <c r="CZ269" s="161">
        <f t="shared" si="540"/>
        <v>0</v>
      </c>
      <c r="DA269" s="161">
        <f t="shared" si="541"/>
        <v>0</v>
      </c>
      <c r="DB269" s="161">
        <f t="shared" si="542"/>
        <v>0</v>
      </c>
      <c r="DC269" s="161">
        <f t="shared" si="543"/>
        <v>0</v>
      </c>
      <c r="DD269" s="161">
        <f t="shared" si="544"/>
        <v>0</v>
      </c>
      <c r="DE269" s="161">
        <f t="shared" si="545"/>
        <v>0</v>
      </c>
      <c r="DF269" s="161">
        <f t="shared" si="546"/>
        <v>0</v>
      </c>
      <c r="DG269" s="161">
        <f t="shared" si="547"/>
        <v>0</v>
      </c>
      <c r="DH269" s="161">
        <f t="shared" si="548"/>
        <v>0</v>
      </c>
      <c r="DI269" s="161">
        <f t="shared" si="549"/>
        <v>0</v>
      </c>
      <c r="DJ269" s="161">
        <f t="shared" si="550"/>
        <v>0</v>
      </c>
      <c r="DK269" s="161">
        <f t="shared" si="551"/>
        <v>0</v>
      </c>
      <c r="DL269" s="161">
        <f t="shared" si="552"/>
        <v>0</v>
      </c>
      <c r="DM269" s="161">
        <f t="shared" si="553"/>
        <v>0</v>
      </c>
      <c r="DN269" s="161">
        <f t="shared" si="554"/>
        <v>0</v>
      </c>
      <c r="DO269" s="161">
        <f t="shared" si="555"/>
        <v>0</v>
      </c>
      <c r="DP269" s="161">
        <f t="shared" si="556"/>
        <v>0</v>
      </c>
      <c r="DQ269" s="161">
        <f t="shared" si="557"/>
        <v>0</v>
      </c>
      <c r="DR269" s="161">
        <f t="shared" si="558"/>
        <v>0</v>
      </c>
      <c r="DS269" s="161">
        <f t="shared" si="559"/>
        <v>0</v>
      </c>
      <c r="DT269" s="161">
        <f t="shared" si="560"/>
        <v>0</v>
      </c>
      <c r="DU269" s="161">
        <f t="shared" si="561"/>
        <v>0</v>
      </c>
      <c r="DV269" s="161">
        <f t="shared" si="562"/>
        <v>0</v>
      </c>
      <c r="DW269" s="161">
        <f t="shared" si="563"/>
        <v>0</v>
      </c>
      <c r="DX269" s="161">
        <f t="shared" si="564"/>
        <v>0</v>
      </c>
      <c r="DY269" s="161">
        <f t="shared" si="565"/>
        <v>0</v>
      </c>
      <c r="DZ269" s="161">
        <f t="shared" si="566"/>
        <v>0</v>
      </c>
      <c r="EA269" s="161">
        <f t="shared" si="567"/>
        <v>0</v>
      </c>
      <c r="EB269" s="161">
        <f t="shared" si="568"/>
        <v>0</v>
      </c>
      <c r="EC269" s="161">
        <f t="shared" si="569"/>
        <v>0</v>
      </c>
      <c r="ED269" s="161">
        <f t="shared" si="570"/>
        <v>0</v>
      </c>
      <c r="EE269" s="161">
        <f t="shared" si="571"/>
        <v>0</v>
      </c>
      <c r="EF269" s="161">
        <f t="shared" si="572"/>
        <v>0</v>
      </c>
      <c r="EG269" s="161">
        <f t="shared" si="573"/>
        <v>0</v>
      </c>
      <c r="EH269" s="161">
        <f t="shared" si="574"/>
        <v>0</v>
      </c>
      <c r="EI269" s="161">
        <f t="shared" si="575"/>
        <v>0</v>
      </c>
      <c r="EJ269" s="65"/>
      <c r="EK269" s="161">
        <f t="shared" si="505"/>
        <v>0</v>
      </c>
      <c r="EL269" s="161">
        <f t="shared" si="506"/>
        <v>0</v>
      </c>
      <c r="EM269" s="161">
        <f t="shared" si="507"/>
        <v>0</v>
      </c>
    </row>
    <row r="270" spans="1:143" ht="12" hidden="1" customHeight="1" outlineLevel="2">
      <c r="A270" s="77">
        <v>10</v>
      </c>
      <c r="B270" s="137" t="str">
        <f t="shared" si="502"/>
        <v>AN SR. ADM/CRP - Equipe_01</v>
      </c>
      <c r="C270" s="65"/>
      <c r="D270" s="622"/>
      <c r="E270" s="65"/>
      <c r="F270" s="584"/>
      <c r="G270" s="77" t="str">
        <f>IF(INDEX(Tarefas!$BT$30:$FK$30,MATCH(A270,Tarefas!$BT$28:$FK$28,0))=0,"",INDEX(Tarefas!$BT$30:$FK$30,MATCH(A270,Tarefas!$BT$28:$FK$28,0)))</f>
        <v>AN SR. ADM/CRP</v>
      </c>
      <c r="H270" s="107" cm="1">
        <f t="array" ref="H270">IFERROR((SUMPRODUCT((Tarefas!$N$32:$N$54='Cronog. e Histog.'!$F$261)*(Tarefas!$BQ$30:$FK$30='Cronog. e Histog.'!$G270)*(Tarefas!$BQ$32:$FK$54)))/SUMIF(Tarefas!$N$32:$N$54,'Cronog. e Histog.'!$F$261,Tarefas!$K$32:$K$54),0)</f>
        <v>0</v>
      </c>
      <c r="I270" s="79">
        <f t="shared" si="503"/>
        <v>0</v>
      </c>
      <c r="J270" s="65"/>
      <c r="K270" s="160">
        <f t="shared" si="491"/>
        <v>0</v>
      </c>
      <c r="L270" s="160">
        <f t="shared" si="491"/>
        <v>0</v>
      </c>
      <c r="M270" s="160">
        <f t="shared" si="491"/>
        <v>0</v>
      </c>
      <c r="N270" s="160">
        <f t="shared" si="491"/>
        <v>0</v>
      </c>
      <c r="O270" s="160">
        <f t="shared" si="491"/>
        <v>0</v>
      </c>
      <c r="P270" s="160">
        <f t="shared" si="491"/>
        <v>0</v>
      </c>
      <c r="Q270" s="160">
        <f t="shared" si="491"/>
        <v>0</v>
      </c>
      <c r="R270" s="160">
        <f t="shared" si="491"/>
        <v>0</v>
      </c>
      <c r="S270" s="160">
        <f t="shared" si="491"/>
        <v>0</v>
      </c>
      <c r="T270" s="160">
        <f t="shared" si="491"/>
        <v>0</v>
      </c>
      <c r="U270" s="160">
        <f t="shared" si="491"/>
        <v>0</v>
      </c>
      <c r="V270" s="160">
        <f t="shared" si="491"/>
        <v>0</v>
      </c>
      <c r="W270" s="160">
        <f t="shared" si="491"/>
        <v>0</v>
      </c>
      <c r="X270" s="160">
        <f t="shared" si="491"/>
        <v>0</v>
      </c>
      <c r="Y270" s="160">
        <f t="shared" si="491"/>
        <v>0</v>
      </c>
      <c r="Z270" s="160">
        <f t="shared" si="491"/>
        <v>0</v>
      </c>
      <c r="AA270" s="160">
        <f t="shared" si="509"/>
        <v>0</v>
      </c>
      <c r="AB270" s="160">
        <f t="shared" si="509"/>
        <v>0</v>
      </c>
      <c r="AC270" s="160">
        <f t="shared" si="509"/>
        <v>0</v>
      </c>
      <c r="AD270" s="160">
        <f t="shared" si="509"/>
        <v>0</v>
      </c>
      <c r="AE270" s="160">
        <f t="shared" si="509"/>
        <v>0</v>
      </c>
      <c r="AF270" s="160">
        <f t="shared" si="509"/>
        <v>0</v>
      </c>
      <c r="AG270" s="160">
        <f t="shared" si="509"/>
        <v>0</v>
      </c>
      <c r="AH270" s="160">
        <f t="shared" si="509"/>
        <v>0</v>
      </c>
      <c r="AI270" s="160">
        <f t="shared" si="509"/>
        <v>0</v>
      </c>
      <c r="AJ270" s="160">
        <f t="shared" si="509"/>
        <v>0</v>
      </c>
      <c r="AK270" s="160">
        <f t="shared" si="509"/>
        <v>0</v>
      </c>
      <c r="AL270" s="160">
        <f t="shared" si="509"/>
        <v>0</v>
      </c>
      <c r="AM270" s="160">
        <f t="shared" si="509"/>
        <v>0</v>
      </c>
      <c r="AN270" s="160">
        <f t="shared" si="509"/>
        <v>0</v>
      </c>
      <c r="AO270" s="160">
        <f t="shared" si="509"/>
        <v>0</v>
      </c>
      <c r="AP270" s="160">
        <f t="shared" si="509"/>
        <v>0</v>
      </c>
      <c r="AQ270" s="160">
        <f t="shared" si="510"/>
        <v>0</v>
      </c>
      <c r="AR270" s="160">
        <f t="shared" si="510"/>
        <v>0</v>
      </c>
      <c r="AS270" s="160">
        <f t="shared" si="510"/>
        <v>0</v>
      </c>
      <c r="AT270" s="160">
        <f t="shared" si="510"/>
        <v>0</v>
      </c>
      <c r="AU270" s="160">
        <f t="shared" si="510"/>
        <v>0</v>
      </c>
      <c r="AV270" s="160">
        <f t="shared" si="510"/>
        <v>0</v>
      </c>
      <c r="AW270" s="160">
        <f t="shared" si="510"/>
        <v>0</v>
      </c>
      <c r="AX270" s="160">
        <f t="shared" si="510"/>
        <v>0</v>
      </c>
      <c r="AY270" s="160">
        <f t="shared" si="510"/>
        <v>0</v>
      </c>
      <c r="AZ270" s="160">
        <f t="shared" si="510"/>
        <v>0</v>
      </c>
      <c r="BA270" s="160">
        <f t="shared" si="510"/>
        <v>0</v>
      </c>
      <c r="BB270" s="160">
        <f t="shared" si="510"/>
        <v>0</v>
      </c>
      <c r="BC270" s="160">
        <f t="shared" si="510"/>
        <v>0</v>
      </c>
      <c r="BD270" s="160">
        <f t="shared" si="510"/>
        <v>0</v>
      </c>
      <c r="BE270" s="160">
        <f t="shared" si="510"/>
        <v>0</v>
      </c>
      <c r="BF270" s="160">
        <f t="shared" si="510"/>
        <v>0</v>
      </c>
      <c r="BG270" s="160">
        <f t="shared" si="511"/>
        <v>0</v>
      </c>
      <c r="BH270" s="160">
        <f t="shared" si="511"/>
        <v>0</v>
      </c>
      <c r="BI270" s="160">
        <f t="shared" si="511"/>
        <v>0</v>
      </c>
      <c r="BJ270" s="160">
        <f t="shared" si="511"/>
        <v>0</v>
      </c>
      <c r="BK270" s="160">
        <f t="shared" si="511"/>
        <v>0</v>
      </c>
      <c r="BL270" s="160">
        <f t="shared" si="511"/>
        <v>0</v>
      </c>
      <c r="BM270" s="160">
        <f t="shared" si="511"/>
        <v>0</v>
      </c>
      <c r="BN270" s="160">
        <f t="shared" si="511"/>
        <v>0</v>
      </c>
      <c r="BO270" s="160">
        <f t="shared" si="511"/>
        <v>0</v>
      </c>
      <c r="BP270" s="160">
        <f t="shared" si="511"/>
        <v>0</v>
      </c>
      <c r="BQ270" s="160">
        <f t="shared" si="511"/>
        <v>0</v>
      </c>
      <c r="BR270" s="160">
        <f t="shared" si="511"/>
        <v>0</v>
      </c>
      <c r="BS270" s="65"/>
      <c r="BT270" s="160">
        <f t="shared" si="512"/>
        <v>0</v>
      </c>
      <c r="BU270" s="160">
        <f t="shared" si="513"/>
        <v>0</v>
      </c>
      <c r="BV270" s="65"/>
      <c r="BW270" s="69"/>
      <c r="BX270" s="65"/>
      <c r="BY270" s="137">
        <f t="shared" si="514"/>
        <v>1</v>
      </c>
      <c r="BZ270" s="137">
        <f>IF(BY270&gt;0,BY270+LARGE($BZ$213:BZ269,1),0)</f>
        <v>50</v>
      </c>
      <c r="CA270" s="137" t="str">
        <f t="shared" si="515"/>
        <v>AN SR. ADM/CRP</v>
      </c>
      <c r="CB270" s="161">
        <f t="shared" si="516"/>
        <v>0</v>
      </c>
      <c r="CC270" s="161">
        <f t="shared" si="517"/>
        <v>0</v>
      </c>
      <c r="CD270" s="161">
        <f t="shared" si="518"/>
        <v>0</v>
      </c>
      <c r="CE270" s="161">
        <f t="shared" si="519"/>
        <v>0</v>
      </c>
      <c r="CF270" s="161">
        <f t="shared" si="520"/>
        <v>0</v>
      </c>
      <c r="CG270" s="161">
        <f t="shared" si="521"/>
        <v>0</v>
      </c>
      <c r="CH270" s="161">
        <f t="shared" si="522"/>
        <v>0</v>
      </c>
      <c r="CI270" s="161">
        <f t="shared" si="523"/>
        <v>0</v>
      </c>
      <c r="CJ270" s="161">
        <f t="shared" si="524"/>
        <v>0</v>
      </c>
      <c r="CK270" s="161">
        <f t="shared" si="525"/>
        <v>0</v>
      </c>
      <c r="CL270" s="161">
        <f t="shared" si="526"/>
        <v>0</v>
      </c>
      <c r="CM270" s="161">
        <f t="shared" si="527"/>
        <v>0</v>
      </c>
      <c r="CN270" s="161">
        <f t="shared" si="528"/>
        <v>0</v>
      </c>
      <c r="CO270" s="161">
        <f t="shared" si="529"/>
        <v>0</v>
      </c>
      <c r="CP270" s="161">
        <f t="shared" si="530"/>
        <v>0</v>
      </c>
      <c r="CQ270" s="161">
        <f t="shared" si="531"/>
        <v>0</v>
      </c>
      <c r="CR270" s="161">
        <f t="shared" si="532"/>
        <v>0</v>
      </c>
      <c r="CS270" s="161">
        <f t="shared" si="533"/>
        <v>0</v>
      </c>
      <c r="CT270" s="161">
        <f t="shared" si="534"/>
        <v>0</v>
      </c>
      <c r="CU270" s="161">
        <f t="shared" si="535"/>
        <v>0</v>
      </c>
      <c r="CV270" s="161">
        <f t="shared" si="536"/>
        <v>0</v>
      </c>
      <c r="CW270" s="161">
        <f t="shared" si="537"/>
        <v>0</v>
      </c>
      <c r="CX270" s="161">
        <f t="shared" si="538"/>
        <v>0</v>
      </c>
      <c r="CY270" s="161">
        <f t="shared" si="539"/>
        <v>0</v>
      </c>
      <c r="CZ270" s="161">
        <f t="shared" si="540"/>
        <v>0</v>
      </c>
      <c r="DA270" s="161">
        <f t="shared" si="541"/>
        <v>0</v>
      </c>
      <c r="DB270" s="161">
        <f t="shared" si="542"/>
        <v>0</v>
      </c>
      <c r="DC270" s="161">
        <f t="shared" si="543"/>
        <v>0</v>
      </c>
      <c r="DD270" s="161">
        <f t="shared" si="544"/>
        <v>0</v>
      </c>
      <c r="DE270" s="161">
        <f t="shared" si="545"/>
        <v>0</v>
      </c>
      <c r="DF270" s="161">
        <f t="shared" si="546"/>
        <v>0</v>
      </c>
      <c r="DG270" s="161">
        <f t="shared" si="547"/>
        <v>0</v>
      </c>
      <c r="DH270" s="161">
        <f t="shared" si="548"/>
        <v>0</v>
      </c>
      <c r="DI270" s="161">
        <f t="shared" si="549"/>
        <v>0</v>
      </c>
      <c r="DJ270" s="161">
        <f t="shared" si="550"/>
        <v>0</v>
      </c>
      <c r="DK270" s="161">
        <f t="shared" si="551"/>
        <v>0</v>
      </c>
      <c r="DL270" s="161">
        <f t="shared" si="552"/>
        <v>0</v>
      </c>
      <c r="DM270" s="161">
        <f t="shared" si="553"/>
        <v>0</v>
      </c>
      <c r="DN270" s="161">
        <f t="shared" si="554"/>
        <v>0</v>
      </c>
      <c r="DO270" s="161">
        <f t="shared" si="555"/>
        <v>0</v>
      </c>
      <c r="DP270" s="161">
        <f t="shared" si="556"/>
        <v>0</v>
      </c>
      <c r="DQ270" s="161">
        <f t="shared" si="557"/>
        <v>0</v>
      </c>
      <c r="DR270" s="161">
        <f t="shared" si="558"/>
        <v>0</v>
      </c>
      <c r="DS270" s="161">
        <f t="shared" si="559"/>
        <v>0</v>
      </c>
      <c r="DT270" s="161">
        <f t="shared" si="560"/>
        <v>0</v>
      </c>
      <c r="DU270" s="161">
        <f t="shared" si="561"/>
        <v>0</v>
      </c>
      <c r="DV270" s="161">
        <f t="shared" si="562"/>
        <v>0</v>
      </c>
      <c r="DW270" s="161">
        <f t="shared" si="563"/>
        <v>0</v>
      </c>
      <c r="DX270" s="161">
        <f t="shared" si="564"/>
        <v>0</v>
      </c>
      <c r="DY270" s="161">
        <f t="shared" si="565"/>
        <v>0</v>
      </c>
      <c r="DZ270" s="161">
        <f t="shared" si="566"/>
        <v>0</v>
      </c>
      <c r="EA270" s="161">
        <f t="shared" si="567"/>
        <v>0</v>
      </c>
      <c r="EB270" s="161">
        <f t="shared" si="568"/>
        <v>0</v>
      </c>
      <c r="EC270" s="161">
        <f t="shared" si="569"/>
        <v>0</v>
      </c>
      <c r="ED270" s="161">
        <f t="shared" si="570"/>
        <v>0</v>
      </c>
      <c r="EE270" s="161">
        <f t="shared" si="571"/>
        <v>0</v>
      </c>
      <c r="EF270" s="161">
        <f t="shared" si="572"/>
        <v>0</v>
      </c>
      <c r="EG270" s="161">
        <f t="shared" si="573"/>
        <v>0</v>
      </c>
      <c r="EH270" s="161">
        <f t="shared" si="574"/>
        <v>0</v>
      </c>
      <c r="EI270" s="161">
        <f t="shared" si="575"/>
        <v>0</v>
      </c>
      <c r="EJ270" s="65"/>
      <c r="EK270" s="161">
        <f t="shared" si="505"/>
        <v>0</v>
      </c>
      <c r="EL270" s="161">
        <f t="shared" si="506"/>
        <v>0</v>
      </c>
      <c r="EM270" s="161">
        <f t="shared" si="507"/>
        <v>0</v>
      </c>
    </row>
    <row r="271" spans="1:143" ht="12" hidden="1" customHeight="1" outlineLevel="2">
      <c r="A271" s="77">
        <v>11</v>
      </c>
      <c r="B271" s="137" t="str">
        <f t="shared" si="502"/>
        <v>AN PL. ADM/CRP - Equipe_01</v>
      </c>
      <c r="C271" s="65"/>
      <c r="D271" s="622"/>
      <c r="E271" s="65"/>
      <c r="F271" s="584"/>
      <c r="G271" s="77" t="str">
        <f>IF(INDEX(Tarefas!$BT$30:$FK$30,MATCH(A271,Tarefas!$BT$28:$FK$28,0))=0,"",INDEX(Tarefas!$BT$30:$FK$30,MATCH(A271,Tarefas!$BT$28:$FK$28,0)))</f>
        <v>AN PL. ADM/CRP</v>
      </c>
      <c r="H271" s="107" cm="1">
        <f t="array" ref="H271">IFERROR((SUMPRODUCT((Tarefas!$N$32:$N$54='Cronog. e Histog.'!$F$261)*(Tarefas!$BQ$30:$FK$30='Cronog. e Histog.'!$G271)*(Tarefas!$BQ$32:$FK$54)))/SUMIF(Tarefas!$N$32:$N$54,'Cronog. e Histog.'!$F$261,Tarefas!$K$32:$K$54),0)</f>
        <v>0</v>
      </c>
      <c r="I271" s="79">
        <f t="shared" si="503"/>
        <v>0</v>
      </c>
      <c r="J271" s="65"/>
      <c r="K271" s="160">
        <f t="shared" si="491"/>
        <v>0</v>
      </c>
      <c r="L271" s="160">
        <f t="shared" si="491"/>
        <v>0</v>
      </c>
      <c r="M271" s="160">
        <f t="shared" si="491"/>
        <v>0</v>
      </c>
      <c r="N271" s="160">
        <f t="shared" si="491"/>
        <v>0</v>
      </c>
      <c r="O271" s="160">
        <f t="shared" si="491"/>
        <v>0</v>
      </c>
      <c r="P271" s="160">
        <f t="shared" si="491"/>
        <v>0</v>
      </c>
      <c r="Q271" s="160">
        <f t="shared" si="491"/>
        <v>0</v>
      </c>
      <c r="R271" s="160">
        <f t="shared" si="491"/>
        <v>0</v>
      </c>
      <c r="S271" s="160">
        <f t="shared" si="491"/>
        <v>0</v>
      </c>
      <c r="T271" s="160">
        <f t="shared" si="491"/>
        <v>0</v>
      </c>
      <c r="U271" s="160">
        <f t="shared" si="491"/>
        <v>0</v>
      </c>
      <c r="V271" s="160">
        <f t="shared" si="491"/>
        <v>0</v>
      </c>
      <c r="W271" s="160">
        <f t="shared" si="491"/>
        <v>0</v>
      </c>
      <c r="X271" s="160">
        <f t="shared" si="491"/>
        <v>0</v>
      </c>
      <c r="Y271" s="160">
        <f t="shared" si="491"/>
        <v>0</v>
      </c>
      <c r="Z271" s="160">
        <f t="shared" si="491"/>
        <v>0</v>
      </c>
      <c r="AA271" s="160">
        <f t="shared" si="509"/>
        <v>0</v>
      </c>
      <c r="AB271" s="160">
        <f t="shared" si="509"/>
        <v>0</v>
      </c>
      <c r="AC271" s="160">
        <f t="shared" si="509"/>
        <v>0</v>
      </c>
      <c r="AD271" s="160">
        <f t="shared" si="509"/>
        <v>0</v>
      </c>
      <c r="AE271" s="160">
        <f t="shared" si="509"/>
        <v>0</v>
      </c>
      <c r="AF271" s="160">
        <f t="shared" si="509"/>
        <v>0</v>
      </c>
      <c r="AG271" s="160">
        <f t="shared" si="509"/>
        <v>0</v>
      </c>
      <c r="AH271" s="160">
        <f t="shared" si="509"/>
        <v>0</v>
      </c>
      <c r="AI271" s="160">
        <f t="shared" si="509"/>
        <v>0</v>
      </c>
      <c r="AJ271" s="160">
        <f t="shared" si="509"/>
        <v>0</v>
      </c>
      <c r="AK271" s="160">
        <f t="shared" si="509"/>
        <v>0</v>
      </c>
      <c r="AL271" s="160">
        <f t="shared" si="509"/>
        <v>0</v>
      </c>
      <c r="AM271" s="160">
        <f t="shared" si="509"/>
        <v>0</v>
      </c>
      <c r="AN271" s="160">
        <f t="shared" si="509"/>
        <v>0</v>
      </c>
      <c r="AO271" s="160">
        <f t="shared" si="509"/>
        <v>0</v>
      </c>
      <c r="AP271" s="160">
        <f t="shared" si="509"/>
        <v>0</v>
      </c>
      <c r="AQ271" s="160">
        <f t="shared" si="510"/>
        <v>0</v>
      </c>
      <c r="AR271" s="160">
        <f t="shared" si="510"/>
        <v>0</v>
      </c>
      <c r="AS271" s="160">
        <f t="shared" si="510"/>
        <v>0</v>
      </c>
      <c r="AT271" s="160">
        <f t="shared" si="510"/>
        <v>0</v>
      </c>
      <c r="AU271" s="160">
        <f t="shared" si="510"/>
        <v>0</v>
      </c>
      <c r="AV271" s="160">
        <f t="shared" si="510"/>
        <v>0</v>
      </c>
      <c r="AW271" s="160">
        <f t="shared" si="510"/>
        <v>0</v>
      </c>
      <c r="AX271" s="160">
        <f t="shared" si="510"/>
        <v>0</v>
      </c>
      <c r="AY271" s="160">
        <f t="shared" si="510"/>
        <v>0</v>
      </c>
      <c r="AZ271" s="160">
        <f t="shared" si="510"/>
        <v>0</v>
      </c>
      <c r="BA271" s="160">
        <f t="shared" si="510"/>
        <v>0</v>
      </c>
      <c r="BB271" s="160">
        <f t="shared" si="510"/>
        <v>0</v>
      </c>
      <c r="BC271" s="160">
        <f t="shared" si="510"/>
        <v>0</v>
      </c>
      <c r="BD271" s="160">
        <f t="shared" si="510"/>
        <v>0</v>
      </c>
      <c r="BE271" s="160">
        <f t="shared" si="510"/>
        <v>0</v>
      </c>
      <c r="BF271" s="160">
        <f t="shared" si="510"/>
        <v>0</v>
      </c>
      <c r="BG271" s="160">
        <f t="shared" si="511"/>
        <v>0</v>
      </c>
      <c r="BH271" s="160">
        <f t="shared" si="511"/>
        <v>0</v>
      </c>
      <c r="BI271" s="160">
        <f t="shared" si="511"/>
        <v>0</v>
      </c>
      <c r="BJ271" s="160">
        <f t="shared" si="511"/>
        <v>0</v>
      </c>
      <c r="BK271" s="160">
        <f t="shared" si="511"/>
        <v>0</v>
      </c>
      <c r="BL271" s="160">
        <f t="shared" si="511"/>
        <v>0</v>
      </c>
      <c r="BM271" s="160">
        <f t="shared" si="511"/>
        <v>0</v>
      </c>
      <c r="BN271" s="160">
        <f t="shared" si="511"/>
        <v>0</v>
      </c>
      <c r="BO271" s="160">
        <f t="shared" si="511"/>
        <v>0</v>
      </c>
      <c r="BP271" s="160">
        <f t="shared" si="511"/>
        <v>0</v>
      </c>
      <c r="BQ271" s="160">
        <f t="shared" si="511"/>
        <v>0</v>
      </c>
      <c r="BR271" s="160">
        <f t="shared" si="511"/>
        <v>0</v>
      </c>
      <c r="BS271" s="65"/>
      <c r="BT271" s="160">
        <f t="shared" si="512"/>
        <v>0</v>
      </c>
      <c r="BU271" s="160">
        <f t="shared" si="513"/>
        <v>0</v>
      </c>
      <c r="BV271" s="65"/>
      <c r="BW271" s="69"/>
      <c r="BX271" s="65"/>
      <c r="BY271" s="137">
        <f t="shared" si="514"/>
        <v>1</v>
      </c>
      <c r="BZ271" s="137">
        <f>IF(BY271&gt;0,BY271+LARGE($BZ$213:BZ270,1),0)</f>
        <v>51</v>
      </c>
      <c r="CA271" s="137" t="str">
        <f t="shared" si="515"/>
        <v>AN PL. ADM/CRP</v>
      </c>
      <c r="CB271" s="161">
        <f t="shared" si="516"/>
        <v>0</v>
      </c>
      <c r="CC271" s="161">
        <f t="shared" si="517"/>
        <v>0</v>
      </c>
      <c r="CD271" s="161">
        <f t="shared" si="518"/>
        <v>0</v>
      </c>
      <c r="CE271" s="161">
        <f t="shared" si="519"/>
        <v>0</v>
      </c>
      <c r="CF271" s="161">
        <f t="shared" si="520"/>
        <v>0</v>
      </c>
      <c r="CG271" s="161">
        <f t="shared" si="521"/>
        <v>0</v>
      </c>
      <c r="CH271" s="161">
        <f t="shared" si="522"/>
        <v>0</v>
      </c>
      <c r="CI271" s="161">
        <f t="shared" si="523"/>
        <v>0</v>
      </c>
      <c r="CJ271" s="161">
        <f t="shared" si="524"/>
        <v>0</v>
      </c>
      <c r="CK271" s="161">
        <f t="shared" si="525"/>
        <v>0</v>
      </c>
      <c r="CL271" s="161">
        <f t="shared" si="526"/>
        <v>0</v>
      </c>
      <c r="CM271" s="161">
        <f t="shared" si="527"/>
        <v>0</v>
      </c>
      <c r="CN271" s="161">
        <f t="shared" si="528"/>
        <v>0</v>
      </c>
      <c r="CO271" s="161">
        <f t="shared" si="529"/>
        <v>0</v>
      </c>
      <c r="CP271" s="161">
        <f t="shared" si="530"/>
        <v>0</v>
      </c>
      <c r="CQ271" s="161">
        <f t="shared" si="531"/>
        <v>0</v>
      </c>
      <c r="CR271" s="161">
        <f t="shared" si="532"/>
        <v>0</v>
      </c>
      <c r="CS271" s="161">
        <f t="shared" si="533"/>
        <v>0</v>
      </c>
      <c r="CT271" s="161">
        <f t="shared" si="534"/>
        <v>0</v>
      </c>
      <c r="CU271" s="161">
        <f t="shared" si="535"/>
        <v>0</v>
      </c>
      <c r="CV271" s="161">
        <f t="shared" si="536"/>
        <v>0</v>
      </c>
      <c r="CW271" s="161">
        <f t="shared" si="537"/>
        <v>0</v>
      </c>
      <c r="CX271" s="161">
        <f t="shared" si="538"/>
        <v>0</v>
      </c>
      <c r="CY271" s="161">
        <f t="shared" si="539"/>
        <v>0</v>
      </c>
      <c r="CZ271" s="161">
        <f t="shared" si="540"/>
        <v>0</v>
      </c>
      <c r="DA271" s="161">
        <f t="shared" si="541"/>
        <v>0</v>
      </c>
      <c r="DB271" s="161">
        <f t="shared" si="542"/>
        <v>0</v>
      </c>
      <c r="DC271" s="161">
        <f t="shared" si="543"/>
        <v>0</v>
      </c>
      <c r="DD271" s="161">
        <f t="shared" si="544"/>
        <v>0</v>
      </c>
      <c r="DE271" s="161">
        <f t="shared" si="545"/>
        <v>0</v>
      </c>
      <c r="DF271" s="161">
        <f t="shared" si="546"/>
        <v>0</v>
      </c>
      <c r="DG271" s="161">
        <f t="shared" si="547"/>
        <v>0</v>
      </c>
      <c r="DH271" s="161">
        <f t="shared" si="548"/>
        <v>0</v>
      </c>
      <c r="DI271" s="161">
        <f t="shared" si="549"/>
        <v>0</v>
      </c>
      <c r="DJ271" s="161">
        <f t="shared" si="550"/>
        <v>0</v>
      </c>
      <c r="DK271" s="161">
        <f t="shared" si="551"/>
        <v>0</v>
      </c>
      <c r="DL271" s="161">
        <f t="shared" si="552"/>
        <v>0</v>
      </c>
      <c r="DM271" s="161">
        <f t="shared" si="553"/>
        <v>0</v>
      </c>
      <c r="DN271" s="161">
        <f t="shared" si="554"/>
        <v>0</v>
      </c>
      <c r="DO271" s="161">
        <f t="shared" si="555"/>
        <v>0</v>
      </c>
      <c r="DP271" s="161">
        <f t="shared" si="556"/>
        <v>0</v>
      </c>
      <c r="DQ271" s="161">
        <f t="shared" si="557"/>
        <v>0</v>
      </c>
      <c r="DR271" s="161">
        <f t="shared" si="558"/>
        <v>0</v>
      </c>
      <c r="DS271" s="161">
        <f t="shared" si="559"/>
        <v>0</v>
      </c>
      <c r="DT271" s="161">
        <f t="shared" si="560"/>
        <v>0</v>
      </c>
      <c r="DU271" s="161">
        <f t="shared" si="561"/>
        <v>0</v>
      </c>
      <c r="DV271" s="161">
        <f t="shared" si="562"/>
        <v>0</v>
      </c>
      <c r="DW271" s="161">
        <f t="shared" si="563"/>
        <v>0</v>
      </c>
      <c r="DX271" s="161">
        <f t="shared" si="564"/>
        <v>0</v>
      </c>
      <c r="DY271" s="161">
        <f t="shared" si="565"/>
        <v>0</v>
      </c>
      <c r="DZ271" s="161">
        <f t="shared" si="566"/>
        <v>0</v>
      </c>
      <c r="EA271" s="161">
        <f t="shared" si="567"/>
        <v>0</v>
      </c>
      <c r="EB271" s="161">
        <f t="shared" si="568"/>
        <v>0</v>
      </c>
      <c r="EC271" s="161">
        <f t="shared" si="569"/>
        <v>0</v>
      </c>
      <c r="ED271" s="161">
        <f t="shared" si="570"/>
        <v>0</v>
      </c>
      <c r="EE271" s="161">
        <f t="shared" si="571"/>
        <v>0</v>
      </c>
      <c r="EF271" s="161">
        <f t="shared" si="572"/>
        <v>0</v>
      </c>
      <c r="EG271" s="161">
        <f t="shared" si="573"/>
        <v>0</v>
      </c>
      <c r="EH271" s="161">
        <f t="shared" si="574"/>
        <v>0</v>
      </c>
      <c r="EI271" s="161">
        <f t="shared" si="575"/>
        <v>0</v>
      </c>
      <c r="EJ271" s="65"/>
      <c r="EK271" s="161">
        <f t="shared" si="505"/>
        <v>0</v>
      </c>
      <c r="EL271" s="161">
        <f t="shared" si="506"/>
        <v>0</v>
      </c>
      <c r="EM271" s="161">
        <f t="shared" si="507"/>
        <v>0</v>
      </c>
    </row>
    <row r="272" spans="1:143" ht="12" hidden="1" customHeight="1" outlineLevel="2">
      <c r="A272" s="77">
        <v>12</v>
      </c>
      <c r="B272" s="137" t="str">
        <f t="shared" si="502"/>
        <v>AN JR. ADM/CRP - Equipe_01</v>
      </c>
      <c r="C272" s="65"/>
      <c r="D272" s="622"/>
      <c r="E272" s="65"/>
      <c r="F272" s="584"/>
      <c r="G272" s="77" t="str">
        <f>IF(INDEX(Tarefas!$BT$30:$FK$30,MATCH(A272,Tarefas!$BT$28:$FK$28,0))=0,"",INDEX(Tarefas!$BT$30:$FK$30,MATCH(A272,Tarefas!$BT$28:$FK$28,0)))</f>
        <v>AN JR. ADM/CRP</v>
      </c>
      <c r="H272" s="107" cm="1">
        <f t="array" ref="H272">IFERROR((SUMPRODUCT((Tarefas!$N$32:$N$54='Cronog. e Histog.'!$F$261)*(Tarefas!$BQ$30:$FK$30='Cronog. e Histog.'!$G272)*(Tarefas!$BQ$32:$FK$54)))/SUMIF(Tarefas!$N$32:$N$54,'Cronog. e Histog.'!$F$261,Tarefas!$K$32:$K$54),0)</f>
        <v>0</v>
      </c>
      <c r="I272" s="79">
        <f t="shared" si="503"/>
        <v>0</v>
      </c>
      <c r="J272" s="65"/>
      <c r="K272" s="160">
        <f t="shared" si="491"/>
        <v>0</v>
      </c>
      <c r="L272" s="160">
        <f t="shared" si="491"/>
        <v>0</v>
      </c>
      <c r="M272" s="160">
        <f t="shared" si="491"/>
        <v>0</v>
      </c>
      <c r="N272" s="160">
        <f t="shared" si="491"/>
        <v>0</v>
      </c>
      <c r="O272" s="160">
        <f t="shared" si="491"/>
        <v>0</v>
      </c>
      <c r="P272" s="160">
        <f t="shared" si="491"/>
        <v>0</v>
      </c>
      <c r="Q272" s="160">
        <f t="shared" si="491"/>
        <v>0</v>
      </c>
      <c r="R272" s="160">
        <f t="shared" si="491"/>
        <v>0</v>
      </c>
      <c r="S272" s="160">
        <f t="shared" si="491"/>
        <v>0</v>
      </c>
      <c r="T272" s="160">
        <f t="shared" si="491"/>
        <v>0</v>
      </c>
      <c r="U272" s="160">
        <f t="shared" si="491"/>
        <v>0</v>
      </c>
      <c r="V272" s="160">
        <f t="shared" si="491"/>
        <v>0</v>
      </c>
      <c r="W272" s="160">
        <f t="shared" si="491"/>
        <v>0</v>
      </c>
      <c r="X272" s="160">
        <f t="shared" si="491"/>
        <v>0</v>
      </c>
      <c r="Y272" s="160">
        <f t="shared" si="491"/>
        <v>0</v>
      </c>
      <c r="Z272" s="160">
        <f t="shared" si="491"/>
        <v>0</v>
      </c>
      <c r="AA272" s="160">
        <f t="shared" si="509"/>
        <v>0</v>
      </c>
      <c r="AB272" s="160">
        <f t="shared" si="509"/>
        <v>0</v>
      </c>
      <c r="AC272" s="160">
        <f t="shared" si="509"/>
        <v>0</v>
      </c>
      <c r="AD272" s="160">
        <f t="shared" si="509"/>
        <v>0</v>
      </c>
      <c r="AE272" s="160">
        <f t="shared" si="509"/>
        <v>0</v>
      </c>
      <c r="AF272" s="160">
        <f t="shared" si="509"/>
        <v>0</v>
      </c>
      <c r="AG272" s="160">
        <f t="shared" si="509"/>
        <v>0</v>
      </c>
      <c r="AH272" s="160">
        <f t="shared" si="509"/>
        <v>0</v>
      </c>
      <c r="AI272" s="160">
        <f t="shared" si="509"/>
        <v>0</v>
      </c>
      <c r="AJ272" s="160">
        <f t="shared" si="509"/>
        <v>0</v>
      </c>
      <c r="AK272" s="160">
        <f t="shared" si="509"/>
        <v>0</v>
      </c>
      <c r="AL272" s="160">
        <f t="shared" si="509"/>
        <v>0</v>
      </c>
      <c r="AM272" s="160">
        <f t="shared" si="509"/>
        <v>0</v>
      </c>
      <c r="AN272" s="160">
        <f t="shared" si="509"/>
        <v>0</v>
      </c>
      <c r="AO272" s="160">
        <f t="shared" si="509"/>
        <v>0</v>
      </c>
      <c r="AP272" s="160">
        <f t="shared" si="509"/>
        <v>0</v>
      </c>
      <c r="AQ272" s="160">
        <f t="shared" si="510"/>
        <v>0</v>
      </c>
      <c r="AR272" s="160">
        <f t="shared" si="510"/>
        <v>0</v>
      </c>
      <c r="AS272" s="160">
        <f t="shared" si="510"/>
        <v>0</v>
      </c>
      <c r="AT272" s="160">
        <f t="shared" si="510"/>
        <v>0</v>
      </c>
      <c r="AU272" s="160">
        <f t="shared" si="510"/>
        <v>0</v>
      </c>
      <c r="AV272" s="160">
        <f t="shared" si="510"/>
        <v>0</v>
      </c>
      <c r="AW272" s="160">
        <f t="shared" si="510"/>
        <v>0</v>
      </c>
      <c r="AX272" s="160">
        <f t="shared" si="510"/>
        <v>0</v>
      </c>
      <c r="AY272" s="160">
        <f t="shared" si="510"/>
        <v>0</v>
      </c>
      <c r="AZ272" s="160">
        <f t="shared" si="510"/>
        <v>0</v>
      </c>
      <c r="BA272" s="160">
        <f t="shared" si="510"/>
        <v>0</v>
      </c>
      <c r="BB272" s="160">
        <f t="shared" si="510"/>
        <v>0</v>
      </c>
      <c r="BC272" s="160">
        <f t="shared" si="510"/>
        <v>0</v>
      </c>
      <c r="BD272" s="160">
        <f t="shared" si="510"/>
        <v>0</v>
      </c>
      <c r="BE272" s="160">
        <f t="shared" si="510"/>
        <v>0</v>
      </c>
      <c r="BF272" s="160">
        <f t="shared" si="510"/>
        <v>0</v>
      </c>
      <c r="BG272" s="160">
        <f t="shared" si="511"/>
        <v>0</v>
      </c>
      <c r="BH272" s="160">
        <f t="shared" si="511"/>
        <v>0</v>
      </c>
      <c r="BI272" s="160">
        <f t="shared" si="511"/>
        <v>0</v>
      </c>
      <c r="BJ272" s="160">
        <f t="shared" si="511"/>
        <v>0</v>
      </c>
      <c r="BK272" s="160">
        <f t="shared" si="511"/>
        <v>0</v>
      </c>
      <c r="BL272" s="160">
        <f t="shared" si="511"/>
        <v>0</v>
      </c>
      <c r="BM272" s="160">
        <f t="shared" si="511"/>
        <v>0</v>
      </c>
      <c r="BN272" s="160">
        <f t="shared" si="511"/>
        <v>0</v>
      </c>
      <c r="BO272" s="160">
        <f t="shared" si="511"/>
        <v>0</v>
      </c>
      <c r="BP272" s="160">
        <f t="shared" si="511"/>
        <v>0</v>
      </c>
      <c r="BQ272" s="160">
        <f t="shared" si="511"/>
        <v>0</v>
      </c>
      <c r="BR272" s="160">
        <f t="shared" si="511"/>
        <v>0</v>
      </c>
      <c r="BS272" s="65"/>
      <c r="BT272" s="160">
        <f t="shared" si="512"/>
        <v>0</v>
      </c>
      <c r="BU272" s="160">
        <f t="shared" si="513"/>
        <v>0</v>
      </c>
      <c r="BV272" s="65"/>
      <c r="BW272" s="69"/>
      <c r="BX272" s="65"/>
      <c r="BY272" s="137">
        <f t="shared" si="514"/>
        <v>1</v>
      </c>
      <c r="BZ272" s="137">
        <f>IF(BY272&gt;0,BY272+LARGE($BZ$213:BZ271,1),0)</f>
        <v>52</v>
      </c>
      <c r="CA272" s="137" t="str">
        <f t="shared" si="515"/>
        <v>AN JR. ADM/CRP</v>
      </c>
      <c r="CB272" s="161">
        <f t="shared" si="516"/>
        <v>0</v>
      </c>
      <c r="CC272" s="161">
        <f t="shared" si="517"/>
        <v>0</v>
      </c>
      <c r="CD272" s="161">
        <f t="shared" si="518"/>
        <v>0</v>
      </c>
      <c r="CE272" s="161">
        <f t="shared" si="519"/>
        <v>0</v>
      </c>
      <c r="CF272" s="161">
        <f t="shared" si="520"/>
        <v>0</v>
      </c>
      <c r="CG272" s="161">
        <f t="shared" si="521"/>
        <v>0</v>
      </c>
      <c r="CH272" s="161">
        <f t="shared" si="522"/>
        <v>0</v>
      </c>
      <c r="CI272" s="161">
        <f t="shared" si="523"/>
        <v>0</v>
      </c>
      <c r="CJ272" s="161">
        <f t="shared" si="524"/>
        <v>0</v>
      </c>
      <c r="CK272" s="161">
        <f t="shared" si="525"/>
        <v>0</v>
      </c>
      <c r="CL272" s="161">
        <f t="shared" si="526"/>
        <v>0</v>
      </c>
      <c r="CM272" s="161">
        <f t="shared" si="527"/>
        <v>0</v>
      </c>
      <c r="CN272" s="161">
        <f t="shared" si="528"/>
        <v>0</v>
      </c>
      <c r="CO272" s="161">
        <f t="shared" si="529"/>
        <v>0</v>
      </c>
      <c r="CP272" s="161">
        <f t="shared" si="530"/>
        <v>0</v>
      </c>
      <c r="CQ272" s="161">
        <f t="shared" si="531"/>
        <v>0</v>
      </c>
      <c r="CR272" s="161">
        <f t="shared" si="532"/>
        <v>0</v>
      </c>
      <c r="CS272" s="161">
        <f t="shared" si="533"/>
        <v>0</v>
      </c>
      <c r="CT272" s="161">
        <f t="shared" si="534"/>
        <v>0</v>
      </c>
      <c r="CU272" s="161">
        <f t="shared" si="535"/>
        <v>0</v>
      </c>
      <c r="CV272" s="161">
        <f t="shared" si="536"/>
        <v>0</v>
      </c>
      <c r="CW272" s="161">
        <f t="shared" si="537"/>
        <v>0</v>
      </c>
      <c r="CX272" s="161">
        <f t="shared" si="538"/>
        <v>0</v>
      </c>
      <c r="CY272" s="161">
        <f t="shared" si="539"/>
        <v>0</v>
      </c>
      <c r="CZ272" s="161">
        <f t="shared" si="540"/>
        <v>0</v>
      </c>
      <c r="DA272" s="161">
        <f t="shared" si="541"/>
        <v>0</v>
      </c>
      <c r="DB272" s="161">
        <f t="shared" si="542"/>
        <v>0</v>
      </c>
      <c r="DC272" s="161">
        <f t="shared" si="543"/>
        <v>0</v>
      </c>
      <c r="DD272" s="161">
        <f t="shared" si="544"/>
        <v>0</v>
      </c>
      <c r="DE272" s="161">
        <f t="shared" si="545"/>
        <v>0</v>
      </c>
      <c r="DF272" s="161">
        <f t="shared" si="546"/>
        <v>0</v>
      </c>
      <c r="DG272" s="161">
        <f t="shared" si="547"/>
        <v>0</v>
      </c>
      <c r="DH272" s="161">
        <f t="shared" si="548"/>
        <v>0</v>
      </c>
      <c r="DI272" s="161">
        <f t="shared" si="549"/>
        <v>0</v>
      </c>
      <c r="DJ272" s="161">
        <f t="shared" si="550"/>
        <v>0</v>
      </c>
      <c r="DK272" s="161">
        <f t="shared" si="551"/>
        <v>0</v>
      </c>
      <c r="DL272" s="161">
        <f t="shared" si="552"/>
        <v>0</v>
      </c>
      <c r="DM272" s="161">
        <f t="shared" si="553"/>
        <v>0</v>
      </c>
      <c r="DN272" s="161">
        <f t="shared" si="554"/>
        <v>0</v>
      </c>
      <c r="DO272" s="161">
        <f t="shared" si="555"/>
        <v>0</v>
      </c>
      <c r="DP272" s="161">
        <f t="shared" si="556"/>
        <v>0</v>
      </c>
      <c r="DQ272" s="161">
        <f t="shared" si="557"/>
        <v>0</v>
      </c>
      <c r="DR272" s="161">
        <f t="shared" si="558"/>
        <v>0</v>
      </c>
      <c r="DS272" s="161">
        <f t="shared" si="559"/>
        <v>0</v>
      </c>
      <c r="DT272" s="161">
        <f t="shared" si="560"/>
        <v>0</v>
      </c>
      <c r="DU272" s="161">
        <f t="shared" si="561"/>
        <v>0</v>
      </c>
      <c r="DV272" s="161">
        <f t="shared" si="562"/>
        <v>0</v>
      </c>
      <c r="DW272" s="161">
        <f t="shared" si="563"/>
        <v>0</v>
      </c>
      <c r="DX272" s="161">
        <f t="shared" si="564"/>
        <v>0</v>
      </c>
      <c r="DY272" s="161">
        <f t="shared" si="565"/>
        <v>0</v>
      </c>
      <c r="DZ272" s="161">
        <f t="shared" si="566"/>
        <v>0</v>
      </c>
      <c r="EA272" s="161">
        <f t="shared" si="567"/>
        <v>0</v>
      </c>
      <c r="EB272" s="161">
        <f t="shared" si="568"/>
        <v>0</v>
      </c>
      <c r="EC272" s="161">
        <f t="shared" si="569"/>
        <v>0</v>
      </c>
      <c r="ED272" s="161">
        <f t="shared" si="570"/>
        <v>0</v>
      </c>
      <c r="EE272" s="161">
        <f t="shared" si="571"/>
        <v>0</v>
      </c>
      <c r="EF272" s="161">
        <f t="shared" si="572"/>
        <v>0</v>
      </c>
      <c r="EG272" s="161">
        <f t="shared" si="573"/>
        <v>0</v>
      </c>
      <c r="EH272" s="161">
        <f t="shared" si="574"/>
        <v>0</v>
      </c>
      <c r="EI272" s="161">
        <f t="shared" si="575"/>
        <v>0</v>
      </c>
      <c r="EJ272" s="65"/>
      <c r="EK272" s="161">
        <f t="shared" si="505"/>
        <v>0</v>
      </c>
      <c r="EL272" s="161">
        <f t="shared" si="506"/>
        <v>0</v>
      </c>
      <c r="EM272" s="161">
        <f t="shared" si="507"/>
        <v>0</v>
      </c>
    </row>
    <row r="273" spans="1:143" ht="12" hidden="1" customHeight="1" outlineLevel="2">
      <c r="A273" s="77">
        <v>13</v>
      </c>
      <c r="B273" s="137" t="str">
        <f t="shared" si="502"/>
        <v>TEC III - Equipe_01</v>
      </c>
      <c r="C273" s="65"/>
      <c r="D273" s="622"/>
      <c r="E273" s="65"/>
      <c r="F273" s="584"/>
      <c r="G273" s="77" t="str">
        <f>IF(INDEX(Tarefas!$BT$30:$FK$30,MATCH(A273,Tarefas!$BT$28:$FK$28,0))=0,"",INDEX(Tarefas!$BT$30:$FK$30,MATCH(A273,Tarefas!$BT$28:$FK$28,0)))</f>
        <v>TEC III</v>
      </c>
      <c r="H273" s="107" cm="1">
        <f t="array" ref="H273">IFERROR((SUMPRODUCT((Tarefas!$N$32:$N$54='Cronog. e Histog.'!$F$261)*(Tarefas!$BQ$30:$FK$30='Cronog. e Histog.'!$G273)*(Tarefas!$BQ$32:$FK$54)))/SUMIF(Tarefas!$N$32:$N$54,'Cronog. e Histog.'!$F$261,Tarefas!$K$32:$K$54),0)</f>
        <v>0</v>
      </c>
      <c r="I273" s="79">
        <f t="shared" si="503"/>
        <v>0</v>
      </c>
      <c r="J273" s="65"/>
      <c r="K273" s="160">
        <f t="shared" si="491"/>
        <v>0</v>
      </c>
      <c r="L273" s="160">
        <f t="shared" si="491"/>
        <v>0</v>
      </c>
      <c r="M273" s="160">
        <f t="shared" si="491"/>
        <v>0</v>
      </c>
      <c r="N273" s="160">
        <f t="shared" si="491"/>
        <v>0</v>
      </c>
      <c r="O273" s="160">
        <f t="shared" si="491"/>
        <v>0</v>
      </c>
      <c r="P273" s="160">
        <f t="shared" si="491"/>
        <v>0</v>
      </c>
      <c r="Q273" s="160">
        <f t="shared" si="491"/>
        <v>0</v>
      </c>
      <c r="R273" s="160">
        <f t="shared" si="491"/>
        <v>0</v>
      </c>
      <c r="S273" s="160">
        <f t="shared" si="491"/>
        <v>0</v>
      </c>
      <c r="T273" s="160">
        <f t="shared" si="491"/>
        <v>0</v>
      </c>
      <c r="U273" s="160">
        <f t="shared" si="491"/>
        <v>0</v>
      </c>
      <c r="V273" s="160">
        <f t="shared" si="491"/>
        <v>0</v>
      </c>
      <c r="W273" s="160">
        <f t="shared" si="491"/>
        <v>0</v>
      </c>
      <c r="X273" s="160">
        <f t="shared" si="491"/>
        <v>0</v>
      </c>
      <c r="Y273" s="160">
        <f t="shared" si="491"/>
        <v>0</v>
      </c>
      <c r="Z273" s="160">
        <f t="shared" si="491"/>
        <v>0</v>
      </c>
      <c r="AA273" s="160">
        <f t="shared" si="509"/>
        <v>0</v>
      </c>
      <c r="AB273" s="160">
        <f t="shared" si="509"/>
        <v>0</v>
      </c>
      <c r="AC273" s="160">
        <f t="shared" si="509"/>
        <v>0</v>
      </c>
      <c r="AD273" s="160">
        <f t="shared" si="509"/>
        <v>0</v>
      </c>
      <c r="AE273" s="160">
        <f t="shared" si="509"/>
        <v>0</v>
      </c>
      <c r="AF273" s="160">
        <f t="shared" si="509"/>
        <v>0</v>
      </c>
      <c r="AG273" s="160">
        <f t="shared" si="509"/>
        <v>0</v>
      </c>
      <c r="AH273" s="160">
        <f t="shared" si="509"/>
        <v>0</v>
      </c>
      <c r="AI273" s="160">
        <f t="shared" si="509"/>
        <v>0</v>
      </c>
      <c r="AJ273" s="160">
        <f t="shared" si="509"/>
        <v>0</v>
      </c>
      <c r="AK273" s="160">
        <f t="shared" si="509"/>
        <v>0</v>
      </c>
      <c r="AL273" s="160">
        <f t="shared" si="509"/>
        <v>0</v>
      </c>
      <c r="AM273" s="160">
        <f t="shared" si="509"/>
        <v>0</v>
      </c>
      <c r="AN273" s="160">
        <f t="shared" si="509"/>
        <v>0</v>
      </c>
      <c r="AO273" s="160">
        <f t="shared" si="509"/>
        <v>0</v>
      </c>
      <c r="AP273" s="160">
        <f t="shared" si="509"/>
        <v>0</v>
      </c>
      <c r="AQ273" s="160">
        <f t="shared" si="510"/>
        <v>0</v>
      </c>
      <c r="AR273" s="160">
        <f t="shared" si="510"/>
        <v>0</v>
      </c>
      <c r="AS273" s="160">
        <f t="shared" si="510"/>
        <v>0</v>
      </c>
      <c r="AT273" s="160">
        <f t="shared" si="510"/>
        <v>0</v>
      </c>
      <c r="AU273" s="160">
        <f t="shared" si="510"/>
        <v>0</v>
      </c>
      <c r="AV273" s="160">
        <f t="shared" si="510"/>
        <v>0</v>
      </c>
      <c r="AW273" s="160">
        <f t="shared" si="510"/>
        <v>0</v>
      </c>
      <c r="AX273" s="160">
        <f t="shared" si="510"/>
        <v>0</v>
      </c>
      <c r="AY273" s="160">
        <f t="shared" si="510"/>
        <v>0</v>
      </c>
      <c r="AZ273" s="160">
        <f t="shared" si="510"/>
        <v>0</v>
      </c>
      <c r="BA273" s="160">
        <f t="shared" si="510"/>
        <v>0</v>
      </c>
      <c r="BB273" s="160">
        <f t="shared" si="510"/>
        <v>0</v>
      </c>
      <c r="BC273" s="160">
        <f t="shared" si="510"/>
        <v>0</v>
      </c>
      <c r="BD273" s="160">
        <f t="shared" si="510"/>
        <v>0</v>
      </c>
      <c r="BE273" s="160">
        <f t="shared" si="510"/>
        <v>0</v>
      </c>
      <c r="BF273" s="160">
        <f t="shared" si="510"/>
        <v>0</v>
      </c>
      <c r="BG273" s="160">
        <f t="shared" si="511"/>
        <v>0</v>
      </c>
      <c r="BH273" s="160">
        <f t="shared" si="511"/>
        <v>0</v>
      </c>
      <c r="BI273" s="160">
        <f t="shared" si="511"/>
        <v>0</v>
      </c>
      <c r="BJ273" s="160">
        <f t="shared" si="511"/>
        <v>0</v>
      </c>
      <c r="BK273" s="160">
        <f t="shared" si="511"/>
        <v>0</v>
      </c>
      <c r="BL273" s="160">
        <f t="shared" si="511"/>
        <v>0</v>
      </c>
      <c r="BM273" s="160">
        <f t="shared" si="511"/>
        <v>0</v>
      </c>
      <c r="BN273" s="160">
        <f t="shared" si="511"/>
        <v>0</v>
      </c>
      <c r="BO273" s="160">
        <f t="shared" si="511"/>
        <v>0</v>
      </c>
      <c r="BP273" s="160">
        <f t="shared" si="511"/>
        <v>0</v>
      </c>
      <c r="BQ273" s="160">
        <f t="shared" si="511"/>
        <v>0</v>
      </c>
      <c r="BR273" s="160">
        <f t="shared" si="511"/>
        <v>0</v>
      </c>
      <c r="BS273" s="65"/>
      <c r="BT273" s="160">
        <f t="shared" si="512"/>
        <v>0</v>
      </c>
      <c r="BU273" s="160">
        <f t="shared" si="513"/>
        <v>0</v>
      </c>
      <c r="BV273" s="65"/>
      <c r="BW273" s="69"/>
      <c r="BX273" s="65"/>
      <c r="BY273" s="137">
        <f t="shared" si="514"/>
        <v>1</v>
      </c>
      <c r="BZ273" s="137">
        <f>IF(BY273&gt;0,BY273+LARGE($BZ$213:BZ272,1),0)</f>
        <v>53</v>
      </c>
      <c r="CA273" s="137" t="str">
        <f t="shared" si="515"/>
        <v>TEC III</v>
      </c>
      <c r="CB273" s="161">
        <f t="shared" si="516"/>
        <v>0</v>
      </c>
      <c r="CC273" s="161">
        <f t="shared" si="517"/>
        <v>0</v>
      </c>
      <c r="CD273" s="161">
        <f t="shared" si="518"/>
        <v>0</v>
      </c>
      <c r="CE273" s="161">
        <f t="shared" si="519"/>
        <v>0</v>
      </c>
      <c r="CF273" s="161">
        <f t="shared" si="520"/>
        <v>0</v>
      </c>
      <c r="CG273" s="161">
        <f t="shared" si="521"/>
        <v>0</v>
      </c>
      <c r="CH273" s="161">
        <f t="shared" si="522"/>
        <v>0</v>
      </c>
      <c r="CI273" s="161">
        <f t="shared" si="523"/>
        <v>0</v>
      </c>
      <c r="CJ273" s="161">
        <f t="shared" si="524"/>
        <v>0</v>
      </c>
      <c r="CK273" s="161">
        <f t="shared" si="525"/>
        <v>0</v>
      </c>
      <c r="CL273" s="161">
        <f t="shared" si="526"/>
        <v>0</v>
      </c>
      <c r="CM273" s="161">
        <f t="shared" si="527"/>
        <v>0</v>
      </c>
      <c r="CN273" s="161">
        <f t="shared" si="528"/>
        <v>0</v>
      </c>
      <c r="CO273" s="161">
        <f t="shared" si="529"/>
        <v>0</v>
      </c>
      <c r="CP273" s="161">
        <f t="shared" si="530"/>
        <v>0</v>
      </c>
      <c r="CQ273" s="161">
        <f t="shared" si="531"/>
        <v>0</v>
      </c>
      <c r="CR273" s="161">
        <f t="shared" si="532"/>
        <v>0</v>
      </c>
      <c r="CS273" s="161">
        <f t="shared" si="533"/>
        <v>0</v>
      </c>
      <c r="CT273" s="161">
        <f t="shared" si="534"/>
        <v>0</v>
      </c>
      <c r="CU273" s="161">
        <f t="shared" si="535"/>
        <v>0</v>
      </c>
      <c r="CV273" s="161">
        <f t="shared" si="536"/>
        <v>0</v>
      </c>
      <c r="CW273" s="161">
        <f t="shared" si="537"/>
        <v>0</v>
      </c>
      <c r="CX273" s="161">
        <f t="shared" si="538"/>
        <v>0</v>
      </c>
      <c r="CY273" s="161">
        <f t="shared" si="539"/>
        <v>0</v>
      </c>
      <c r="CZ273" s="161">
        <f t="shared" si="540"/>
        <v>0</v>
      </c>
      <c r="DA273" s="161">
        <f t="shared" si="541"/>
        <v>0</v>
      </c>
      <c r="DB273" s="161">
        <f t="shared" si="542"/>
        <v>0</v>
      </c>
      <c r="DC273" s="161">
        <f t="shared" si="543"/>
        <v>0</v>
      </c>
      <c r="DD273" s="161">
        <f t="shared" si="544"/>
        <v>0</v>
      </c>
      <c r="DE273" s="161">
        <f t="shared" si="545"/>
        <v>0</v>
      </c>
      <c r="DF273" s="161">
        <f t="shared" si="546"/>
        <v>0</v>
      </c>
      <c r="DG273" s="161">
        <f t="shared" si="547"/>
        <v>0</v>
      </c>
      <c r="DH273" s="161">
        <f t="shared" si="548"/>
        <v>0</v>
      </c>
      <c r="DI273" s="161">
        <f t="shared" si="549"/>
        <v>0</v>
      </c>
      <c r="DJ273" s="161">
        <f t="shared" si="550"/>
        <v>0</v>
      </c>
      <c r="DK273" s="161">
        <f t="shared" si="551"/>
        <v>0</v>
      </c>
      <c r="DL273" s="161">
        <f t="shared" si="552"/>
        <v>0</v>
      </c>
      <c r="DM273" s="161">
        <f t="shared" si="553"/>
        <v>0</v>
      </c>
      <c r="DN273" s="161">
        <f t="shared" si="554"/>
        <v>0</v>
      </c>
      <c r="DO273" s="161">
        <f t="shared" si="555"/>
        <v>0</v>
      </c>
      <c r="DP273" s="161">
        <f t="shared" si="556"/>
        <v>0</v>
      </c>
      <c r="DQ273" s="161">
        <f t="shared" si="557"/>
        <v>0</v>
      </c>
      <c r="DR273" s="161">
        <f t="shared" si="558"/>
        <v>0</v>
      </c>
      <c r="DS273" s="161">
        <f t="shared" si="559"/>
        <v>0</v>
      </c>
      <c r="DT273" s="161">
        <f t="shared" si="560"/>
        <v>0</v>
      </c>
      <c r="DU273" s="161">
        <f t="shared" si="561"/>
        <v>0</v>
      </c>
      <c r="DV273" s="161">
        <f t="shared" si="562"/>
        <v>0</v>
      </c>
      <c r="DW273" s="161">
        <f t="shared" si="563"/>
        <v>0</v>
      </c>
      <c r="DX273" s="161">
        <f t="shared" si="564"/>
        <v>0</v>
      </c>
      <c r="DY273" s="161">
        <f t="shared" si="565"/>
        <v>0</v>
      </c>
      <c r="DZ273" s="161">
        <f t="shared" si="566"/>
        <v>0</v>
      </c>
      <c r="EA273" s="161">
        <f t="shared" si="567"/>
        <v>0</v>
      </c>
      <c r="EB273" s="161">
        <f t="shared" si="568"/>
        <v>0</v>
      </c>
      <c r="EC273" s="161">
        <f t="shared" si="569"/>
        <v>0</v>
      </c>
      <c r="ED273" s="161">
        <f t="shared" si="570"/>
        <v>0</v>
      </c>
      <c r="EE273" s="161">
        <f t="shared" si="571"/>
        <v>0</v>
      </c>
      <c r="EF273" s="161">
        <f t="shared" si="572"/>
        <v>0</v>
      </c>
      <c r="EG273" s="161">
        <f t="shared" si="573"/>
        <v>0</v>
      </c>
      <c r="EH273" s="161">
        <f t="shared" si="574"/>
        <v>0</v>
      </c>
      <c r="EI273" s="161">
        <f t="shared" si="575"/>
        <v>0</v>
      </c>
      <c r="EJ273" s="65"/>
      <c r="EK273" s="161">
        <f t="shared" si="505"/>
        <v>0</v>
      </c>
      <c r="EL273" s="161">
        <f t="shared" si="506"/>
        <v>0</v>
      </c>
      <c r="EM273" s="161">
        <f t="shared" si="507"/>
        <v>0</v>
      </c>
    </row>
    <row r="274" spans="1:143" ht="12" hidden="1" customHeight="1" outlineLevel="2">
      <c r="A274" s="77">
        <v>14</v>
      </c>
      <c r="B274" s="137" t="str">
        <f t="shared" si="502"/>
        <v>TEC II - Equipe_01</v>
      </c>
      <c r="C274" s="65"/>
      <c r="D274" s="622"/>
      <c r="E274" s="65"/>
      <c r="F274" s="584"/>
      <c r="G274" s="77" t="str">
        <f>IF(INDEX(Tarefas!$BT$30:$FK$30,MATCH(A274,Tarefas!$BT$28:$FK$28,0))=0,"",INDEX(Tarefas!$BT$30:$FK$30,MATCH(A274,Tarefas!$BT$28:$FK$28,0)))</f>
        <v>TEC II</v>
      </c>
      <c r="H274" s="107" cm="1">
        <f t="array" ref="H274">IFERROR((SUMPRODUCT((Tarefas!$N$32:$N$54='Cronog. e Histog.'!$F$261)*(Tarefas!$BQ$30:$FK$30='Cronog. e Histog.'!$G274)*(Tarefas!$BQ$32:$FK$54)))/SUMIF(Tarefas!$N$32:$N$54,'Cronog. e Histog.'!$F$261,Tarefas!$K$32:$K$54),0)</f>
        <v>0</v>
      </c>
      <c r="I274" s="79">
        <f t="shared" si="503"/>
        <v>0</v>
      </c>
      <c r="J274" s="65"/>
      <c r="K274" s="160">
        <f t="shared" si="491"/>
        <v>0</v>
      </c>
      <c r="L274" s="160">
        <f t="shared" si="491"/>
        <v>0</v>
      </c>
      <c r="M274" s="160">
        <f t="shared" si="491"/>
        <v>0</v>
      </c>
      <c r="N274" s="160">
        <f t="shared" si="491"/>
        <v>0</v>
      </c>
      <c r="O274" s="160">
        <f t="shared" si="491"/>
        <v>0</v>
      </c>
      <c r="P274" s="160">
        <f t="shared" si="491"/>
        <v>0</v>
      </c>
      <c r="Q274" s="160">
        <f t="shared" si="491"/>
        <v>0</v>
      </c>
      <c r="R274" s="160">
        <f t="shared" si="491"/>
        <v>0</v>
      </c>
      <c r="S274" s="160">
        <f t="shared" si="491"/>
        <v>0</v>
      </c>
      <c r="T274" s="160">
        <f t="shared" si="491"/>
        <v>0</v>
      </c>
      <c r="U274" s="160">
        <f t="shared" si="491"/>
        <v>0</v>
      </c>
      <c r="V274" s="160">
        <f t="shared" si="491"/>
        <v>0</v>
      </c>
      <c r="W274" s="160">
        <f t="shared" si="491"/>
        <v>0</v>
      </c>
      <c r="X274" s="160">
        <f t="shared" si="491"/>
        <v>0</v>
      </c>
      <c r="Y274" s="160">
        <f t="shared" si="491"/>
        <v>0</v>
      </c>
      <c r="Z274" s="160">
        <f t="shared" si="491"/>
        <v>0</v>
      </c>
      <c r="AA274" s="160">
        <f t="shared" si="509"/>
        <v>0</v>
      </c>
      <c r="AB274" s="160">
        <f t="shared" si="509"/>
        <v>0</v>
      </c>
      <c r="AC274" s="160">
        <f t="shared" si="509"/>
        <v>0</v>
      </c>
      <c r="AD274" s="160">
        <f t="shared" si="509"/>
        <v>0</v>
      </c>
      <c r="AE274" s="160">
        <f t="shared" si="509"/>
        <v>0</v>
      </c>
      <c r="AF274" s="160">
        <f t="shared" si="509"/>
        <v>0</v>
      </c>
      <c r="AG274" s="160">
        <f t="shared" si="509"/>
        <v>0</v>
      </c>
      <c r="AH274" s="160">
        <f t="shared" si="509"/>
        <v>0</v>
      </c>
      <c r="AI274" s="160">
        <f t="shared" si="509"/>
        <v>0</v>
      </c>
      <c r="AJ274" s="160">
        <f t="shared" si="509"/>
        <v>0</v>
      </c>
      <c r="AK274" s="160">
        <f t="shared" si="509"/>
        <v>0</v>
      </c>
      <c r="AL274" s="160">
        <f t="shared" si="509"/>
        <v>0</v>
      </c>
      <c r="AM274" s="160">
        <f t="shared" si="509"/>
        <v>0</v>
      </c>
      <c r="AN274" s="160">
        <f t="shared" si="509"/>
        <v>0</v>
      </c>
      <c r="AO274" s="160">
        <f t="shared" si="509"/>
        <v>0</v>
      </c>
      <c r="AP274" s="160">
        <f t="shared" si="509"/>
        <v>0</v>
      </c>
      <c r="AQ274" s="160">
        <f t="shared" si="510"/>
        <v>0</v>
      </c>
      <c r="AR274" s="160">
        <f t="shared" si="510"/>
        <v>0</v>
      </c>
      <c r="AS274" s="160">
        <f t="shared" si="510"/>
        <v>0</v>
      </c>
      <c r="AT274" s="160">
        <f t="shared" si="510"/>
        <v>0</v>
      </c>
      <c r="AU274" s="160">
        <f t="shared" si="510"/>
        <v>0</v>
      </c>
      <c r="AV274" s="160">
        <f t="shared" si="510"/>
        <v>0</v>
      </c>
      <c r="AW274" s="160">
        <f t="shared" si="510"/>
        <v>0</v>
      </c>
      <c r="AX274" s="160">
        <f t="shared" si="510"/>
        <v>0</v>
      </c>
      <c r="AY274" s="160">
        <f t="shared" si="510"/>
        <v>0</v>
      </c>
      <c r="AZ274" s="160">
        <f t="shared" si="510"/>
        <v>0</v>
      </c>
      <c r="BA274" s="160">
        <f t="shared" si="510"/>
        <v>0</v>
      </c>
      <c r="BB274" s="160">
        <f t="shared" si="510"/>
        <v>0</v>
      </c>
      <c r="BC274" s="160">
        <f t="shared" si="510"/>
        <v>0</v>
      </c>
      <c r="BD274" s="160">
        <f t="shared" si="510"/>
        <v>0</v>
      </c>
      <c r="BE274" s="160">
        <f t="shared" si="510"/>
        <v>0</v>
      </c>
      <c r="BF274" s="160">
        <f t="shared" si="510"/>
        <v>0</v>
      </c>
      <c r="BG274" s="160">
        <f t="shared" si="511"/>
        <v>0</v>
      </c>
      <c r="BH274" s="160">
        <f t="shared" si="511"/>
        <v>0</v>
      </c>
      <c r="BI274" s="160">
        <f t="shared" si="511"/>
        <v>0</v>
      </c>
      <c r="BJ274" s="160">
        <f t="shared" si="511"/>
        <v>0</v>
      </c>
      <c r="BK274" s="160">
        <f t="shared" si="511"/>
        <v>0</v>
      </c>
      <c r="BL274" s="160">
        <f t="shared" si="511"/>
        <v>0</v>
      </c>
      <c r="BM274" s="160">
        <f t="shared" si="511"/>
        <v>0</v>
      </c>
      <c r="BN274" s="160">
        <f t="shared" si="511"/>
        <v>0</v>
      </c>
      <c r="BO274" s="160">
        <f t="shared" si="511"/>
        <v>0</v>
      </c>
      <c r="BP274" s="160">
        <f t="shared" si="511"/>
        <v>0</v>
      </c>
      <c r="BQ274" s="160">
        <f t="shared" si="511"/>
        <v>0</v>
      </c>
      <c r="BR274" s="160">
        <f t="shared" si="511"/>
        <v>0</v>
      </c>
      <c r="BS274" s="65"/>
      <c r="BT274" s="160">
        <f t="shared" si="512"/>
        <v>0</v>
      </c>
      <c r="BU274" s="160">
        <f t="shared" si="513"/>
        <v>0</v>
      </c>
      <c r="BV274" s="65"/>
      <c r="BW274" s="69"/>
      <c r="BX274" s="65"/>
      <c r="BY274" s="137">
        <f t="shared" si="514"/>
        <v>1</v>
      </c>
      <c r="BZ274" s="137">
        <f>IF(BY274&gt;0,BY274+LARGE($BZ$213:BZ273,1),0)</f>
        <v>54</v>
      </c>
      <c r="CA274" s="137" t="str">
        <f t="shared" si="515"/>
        <v>TEC II</v>
      </c>
      <c r="CB274" s="161">
        <f t="shared" si="516"/>
        <v>0</v>
      </c>
      <c r="CC274" s="161">
        <f t="shared" si="517"/>
        <v>0</v>
      </c>
      <c r="CD274" s="161">
        <f t="shared" si="518"/>
        <v>0</v>
      </c>
      <c r="CE274" s="161">
        <f t="shared" si="519"/>
        <v>0</v>
      </c>
      <c r="CF274" s="161">
        <f t="shared" si="520"/>
        <v>0</v>
      </c>
      <c r="CG274" s="161">
        <f t="shared" si="521"/>
        <v>0</v>
      </c>
      <c r="CH274" s="161">
        <f t="shared" si="522"/>
        <v>0</v>
      </c>
      <c r="CI274" s="161">
        <f t="shared" si="523"/>
        <v>0</v>
      </c>
      <c r="CJ274" s="161">
        <f t="shared" si="524"/>
        <v>0</v>
      </c>
      <c r="CK274" s="161">
        <f t="shared" si="525"/>
        <v>0</v>
      </c>
      <c r="CL274" s="161">
        <f t="shared" si="526"/>
        <v>0</v>
      </c>
      <c r="CM274" s="161">
        <f t="shared" si="527"/>
        <v>0</v>
      </c>
      <c r="CN274" s="161">
        <f t="shared" si="528"/>
        <v>0</v>
      </c>
      <c r="CO274" s="161">
        <f t="shared" si="529"/>
        <v>0</v>
      </c>
      <c r="CP274" s="161">
        <f t="shared" si="530"/>
        <v>0</v>
      </c>
      <c r="CQ274" s="161">
        <f t="shared" si="531"/>
        <v>0</v>
      </c>
      <c r="CR274" s="161">
        <f t="shared" si="532"/>
        <v>0</v>
      </c>
      <c r="CS274" s="161">
        <f t="shared" si="533"/>
        <v>0</v>
      </c>
      <c r="CT274" s="161">
        <f t="shared" si="534"/>
        <v>0</v>
      </c>
      <c r="CU274" s="161">
        <f t="shared" si="535"/>
        <v>0</v>
      </c>
      <c r="CV274" s="161">
        <f t="shared" si="536"/>
        <v>0</v>
      </c>
      <c r="CW274" s="161">
        <f t="shared" si="537"/>
        <v>0</v>
      </c>
      <c r="CX274" s="161">
        <f t="shared" si="538"/>
        <v>0</v>
      </c>
      <c r="CY274" s="161">
        <f t="shared" si="539"/>
        <v>0</v>
      </c>
      <c r="CZ274" s="161">
        <f t="shared" si="540"/>
        <v>0</v>
      </c>
      <c r="DA274" s="161">
        <f t="shared" si="541"/>
        <v>0</v>
      </c>
      <c r="DB274" s="161">
        <f t="shared" si="542"/>
        <v>0</v>
      </c>
      <c r="DC274" s="161">
        <f t="shared" si="543"/>
        <v>0</v>
      </c>
      <c r="DD274" s="161">
        <f t="shared" si="544"/>
        <v>0</v>
      </c>
      <c r="DE274" s="161">
        <f t="shared" si="545"/>
        <v>0</v>
      </c>
      <c r="DF274" s="161">
        <f t="shared" si="546"/>
        <v>0</v>
      </c>
      <c r="DG274" s="161">
        <f t="shared" si="547"/>
        <v>0</v>
      </c>
      <c r="DH274" s="161">
        <f t="shared" si="548"/>
        <v>0</v>
      </c>
      <c r="DI274" s="161">
        <f t="shared" si="549"/>
        <v>0</v>
      </c>
      <c r="DJ274" s="161">
        <f t="shared" si="550"/>
        <v>0</v>
      </c>
      <c r="DK274" s="161">
        <f t="shared" si="551"/>
        <v>0</v>
      </c>
      <c r="DL274" s="161">
        <f t="shared" si="552"/>
        <v>0</v>
      </c>
      <c r="DM274" s="161">
        <f t="shared" si="553"/>
        <v>0</v>
      </c>
      <c r="DN274" s="161">
        <f t="shared" si="554"/>
        <v>0</v>
      </c>
      <c r="DO274" s="161">
        <f t="shared" si="555"/>
        <v>0</v>
      </c>
      <c r="DP274" s="161">
        <f t="shared" si="556"/>
        <v>0</v>
      </c>
      <c r="DQ274" s="161">
        <f t="shared" si="557"/>
        <v>0</v>
      </c>
      <c r="DR274" s="161">
        <f t="shared" si="558"/>
        <v>0</v>
      </c>
      <c r="DS274" s="161">
        <f t="shared" si="559"/>
        <v>0</v>
      </c>
      <c r="DT274" s="161">
        <f t="shared" si="560"/>
        <v>0</v>
      </c>
      <c r="DU274" s="161">
        <f t="shared" si="561"/>
        <v>0</v>
      </c>
      <c r="DV274" s="161">
        <f t="shared" si="562"/>
        <v>0</v>
      </c>
      <c r="DW274" s="161">
        <f t="shared" si="563"/>
        <v>0</v>
      </c>
      <c r="DX274" s="161">
        <f t="shared" si="564"/>
        <v>0</v>
      </c>
      <c r="DY274" s="161">
        <f t="shared" si="565"/>
        <v>0</v>
      </c>
      <c r="DZ274" s="161">
        <f t="shared" si="566"/>
        <v>0</v>
      </c>
      <c r="EA274" s="161">
        <f t="shared" si="567"/>
        <v>0</v>
      </c>
      <c r="EB274" s="161">
        <f t="shared" si="568"/>
        <v>0</v>
      </c>
      <c r="EC274" s="161">
        <f t="shared" si="569"/>
        <v>0</v>
      </c>
      <c r="ED274" s="161">
        <f t="shared" si="570"/>
        <v>0</v>
      </c>
      <c r="EE274" s="161">
        <f t="shared" si="571"/>
        <v>0</v>
      </c>
      <c r="EF274" s="161">
        <f t="shared" si="572"/>
        <v>0</v>
      </c>
      <c r="EG274" s="161">
        <f t="shared" si="573"/>
        <v>0</v>
      </c>
      <c r="EH274" s="161">
        <f t="shared" si="574"/>
        <v>0</v>
      </c>
      <c r="EI274" s="161">
        <f t="shared" si="575"/>
        <v>0</v>
      </c>
      <c r="EJ274" s="65"/>
      <c r="EK274" s="161">
        <f t="shared" si="505"/>
        <v>0</v>
      </c>
      <c r="EL274" s="161">
        <f t="shared" si="506"/>
        <v>0</v>
      </c>
      <c r="EM274" s="161">
        <f t="shared" si="507"/>
        <v>0</v>
      </c>
    </row>
    <row r="275" spans="1:143" ht="12" hidden="1" customHeight="1" outlineLevel="2">
      <c r="A275" s="77">
        <v>15</v>
      </c>
      <c r="B275" s="137" t="str">
        <f t="shared" si="502"/>
        <v>TEC I - Equipe_01</v>
      </c>
      <c r="C275" s="65"/>
      <c r="D275" s="622"/>
      <c r="E275" s="65"/>
      <c r="F275" s="584"/>
      <c r="G275" s="77" t="str">
        <f>IF(INDEX(Tarefas!$BT$30:$FK$30,MATCH(A275,Tarefas!$BT$28:$FK$28,0))=0,"",INDEX(Tarefas!$BT$30:$FK$30,MATCH(A275,Tarefas!$BT$28:$FK$28,0)))</f>
        <v>TEC I</v>
      </c>
      <c r="H275" s="107" cm="1">
        <f t="array" ref="H275">IFERROR((SUMPRODUCT((Tarefas!$N$32:$N$54='Cronog. e Histog.'!$F$261)*(Tarefas!$BQ$30:$FK$30='Cronog. e Histog.'!$G275)*(Tarefas!$BQ$32:$FK$54)))/SUMIF(Tarefas!$N$32:$N$54,'Cronog. e Histog.'!$F$261,Tarefas!$K$32:$K$54),0)</f>
        <v>0</v>
      </c>
      <c r="I275" s="79">
        <f t="shared" si="503"/>
        <v>0</v>
      </c>
      <c r="J275" s="65"/>
      <c r="K275" s="160">
        <f t="shared" si="491"/>
        <v>0</v>
      </c>
      <c r="L275" s="160">
        <f t="shared" si="491"/>
        <v>0</v>
      </c>
      <c r="M275" s="160">
        <f t="shared" si="491"/>
        <v>0</v>
      </c>
      <c r="N275" s="160">
        <f t="shared" si="491"/>
        <v>0</v>
      </c>
      <c r="O275" s="160">
        <f t="shared" si="491"/>
        <v>0</v>
      </c>
      <c r="P275" s="160">
        <f t="shared" si="491"/>
        <v>0</v>
      </c>
      <c r="Q275" s="160">
        <f t="shared" si="491"/>
        <v>0</v>
      </c>
      <c r="R275" s="160">
        <f t="shared" si="491"/>
        <v>0</v>
      </c>
      <c r="S275" s="160">
        <f t="shared" si="491"/>
        <v>0</v>
      </c>
      <c r="T275" s="160">
        <f t="shared" si="491"/>
        <v>0</v>
      </c>
      <c r="U275" s="160">
        <f t="shared" si="491"/>
        <v>0</v>
      </c>
      <c r="V275" s="160">
        <f t="shared" si="491"/>
        <v>0</v>
      </c>
      <c r="W275" s="160">
        <f t="shared" si="491"/>
        <v>0</v>
      </c>
      <c r="X275" s="160">
        <f t="shared" si="491"/>
        <v>0</v>
      </c>
      <c r="Y275" s="160">
        <f t="shared" si="491"/>
        <v>0</v>
      </c>
      <c r="Z275" s="160">
        <f t="shared" si="491"/>
        <v>0</v>
      </c>
      <c r="AA275" s="160">
        <f t="shared" si="509"/>
        <v>0</v>
      </c>
      <c r="AB275" s="160">
        <f t="shared" si="509"/>
        <v>0</v>
      </c>
      <c r="AC275" s="160">
        <f t="shared" si="509"/>
        <v>0</v>
      </c>
      <c r="AD275" s="160">
        <f t="shared" si="509"/>
        <v>0</v>
      </c>
      <c r="AE275" s="160">
        <f t="shared" si="509"/>
        <v>0</v>
      </c>
      <c r="AF275" s="160">
        <f t="shared" si="509"/>
        <v>0</v>
      </c>
      <c r="AG275" s="160">
        <f t="shared" si="509"/>
        <v>0</v>
      </c>
      <c r="AH275" s="160">
        <f t="shared" si="509"/>
        <v>0</v>
      </c>
      <c r="AI275" s="160">
        <f t="shared" si="509"/>
        <v>0</v>
      </c>
      <c r="AJ275" s="160">
        <f t="shared" si="509"/>
        <v>0</v>
      </c>
      <c r="AK275" s="160">
        <f t="shared" si="509"/>
        <v>0</v>
      </c>
      <c r="AL275" s="160">
        <f t="shared" si="509"/>
        <v>0</v>
      </c>
      <c r="AM275" s="160">
        <f t="shared" si="509"/>
        <v>0</v>
      </c>
      <c r="AN275" s="160">
        <f t="shared" si="509"/>
        <v>0</v>
      </c>
      <c r="AO275" s="160">
        <f t="shared" si="509"/>
        <v>0</v>
      </c>
      <c r="AP275" s="160">
        <f t="shared" si="509"/>
        <v>0</v>
      </c>
      <c r="AQ275" s="160">
        <f t="shared" si="510"/>
        <v>0</v>
      </c>
      <c r="AR275" s="160">
        <f t="shared" si="510"/>
        <v>0</v>
      </c>
      <c r="AS275" s="160">
        <f t="shared" si="510"/>
        <v>0</v>
      </c>
      <c r="AT275" s="160">
        <f t="shared" si="510"/>
        <v>0</v>
      </c>
      <c r="AU275" s="160">
        <f t="shared" si="510"/>
        <v>0</v>
      </c>
      <c r="AV275" s="160">
        <f t="shared" si="510"/>
        <v>0</v>
      </c>
      <c r="AW275" s="160">
        <f t="shared" si="510"/>
        <v>0</v>
      </c>
      <c r="AX275" s="160">
        <f t="shared" si="510"/>
        <v>0</v>
      </c>
      <c r="AY275" s="160">
        <f t="shared" si="510"/>
        <v>0</v>
      </c>
      <c r="AZ275" s="160">
        <f t="shared" si="510"/>
        <v>0</v>
      </c>
      <c r="BA275" s="160">
        <f t="shared" si="510"/>
        <v>0</v>
      </c>
      <c r="BB275" s="160">
        <f t="shared" si="510"/>
        <v>0</v>
      </c>
      <c r="BC275" s="160">
        <f t="shared" si="510"/>
        <v>0</v>
      </c>
      <c r="BD275" s="160">
        <f t="shared" si="510"/>
        <v>0</v>
      </c>
      <c r="BE275" s="160">
        <f t="shared" si="510"/>
        <v>0</v>
      </c>
      <c r="BF275" s="160">
        <f t="shared" si="510"/>
        <v>0</v>
      </c>
      <c r="BG275" s="160">
        <f t="shared" si="511"/>
        <v>0</v>
      </c>
      <c r="BH275" s="160">
        <f t="shared" si="511"/>
        <v>0</v>
      </c>
      <c r="BI275" s="160">
        <f t="shared" si="511"/>
        <v>0</v>
      </c>
      <c r="BJ275" s="160">
        <f t="shared" si="511"/>
        <v>0</v>
      </c>
      <c r="BK275" s="160">
        <f t="shared" si="511"/>
        <v>0</v>
      </c>
      <c r="BL275" s="160">
        <f t="shared" si="511"/>
        <v>0</v>
      </c>
      <c r="BM275" s="160">
        <f t="shared" si="511"/>
        <v>0</v>
      </c>
      <c r="BN275" s="160">
        <f t="shared" si="511"/>
        <v>0</v>
      </c>
      <c r="BO275" s="160">
        <f t="shared" si="511"/>
        <v>0</v>
      </c>
      <c r="BP275" s="160">
        <f t="shared" si="511"/>
        <v>0</v>
      </c>
      <c r="BQ275" s="160">
        <f t="shared" si="511"/>
        <v>0</v>
      </c>
      <c r="BR275" s="160">
        <f t="shared" si="511"/>
        <v>0</v>
      </c>
      <c r="BS275" s="65"/>
      <c r="BT275" s="160">
        <f t="shared" si="512"/>
        <v>0</v>
      </c>
      <c r="BU275" s="160">
        <f t="shared" si="513"/>
        <v>0</v>
      </c>
      <c r="BV275" s="65"/>
      <c r="BW275" s="69"/>
      <c r="BX275" s="65"/>
      <c r="BY275" s="137">
        <f t="shared" si="514"/>
        <v>1</v>
      </c>
      <c r="BZ275" s="137">
        <f>IF(BY275&gt;0,BY275+LARGE($BZ$213:BZ274,1),0)</f>
        <v>55</v>
      </c>
      <c r="CA275" s="137" t="str">
        <f t="shared" si="515"/>
        <v>TEC I</v>
      </c>
      <c r="CB275" s="161">
        <f t="shared" si="516"/>
        <v>0</v>
      </c>
      <c r="CC275" s="161">
        <f t="shared" si="517"/>
        <v>0</v>
      </c>
      <c r="CD275" s="161">
        <f t="shared" si="518"/>
        <v>0</v>
      </c>
      <c r="CE275" s="161">
        <f t="shared" si="519"/>
        <v>0</v>
      </c>
      <c r="CF275" s="161">
        <f t="shared" si="520"/>
        <v>0</v>
      </c>
      <c r="CG275" s="161">
        <f t="shared" si="521"/>
        <v>0</v>
      </c>
      <c r="CH275" s="161">
        <f t="shared" si="522"/>
        <v>0</v>
      </c>
      <c r="CI275" s="161">
        <f t="shared" si="523"/>
        <v>0</v>
      </c>
      <c r="CJ275" s="161">
        <f t="shared" si="524"/>
        <v>0</v>
      </c>
      <c r="CK275" s="161">
        <f t="shared" si="525"/>
        <v>0</v>
      </c>
      <c r="CL275" s="161">
        <f t="shared" si="526"/>
        <v>0</v>
      </c>
      <c r="CM275" s="161">
        <f t="shared" si="527"/>
        <v>0</v>
      </c>
      <c r="CN275" s="161">
        <f t="shared" si="528"/>
        <v>0</v>
      </c>
      <c r="CO275" s="161">
        <f t="shared" si="529"/>
        <v>0</v>
      </c>
      <c r="CP275" s="161">
        <f t="shared" si="530"/>
        <v>0</v>
      </c>
      <c r="CQ275" s="161">
        <f t="shared" si="531"/>
        <v>0</v>
      </c>
      <c r="CR275" s="161">
        <f t="shared" si="532"/>
        <v>0</v>
      </c>
      <c r="CS275" s="161">
        <f t="shared" si="533"/>
        <v>0</v>
      </c>
      <c r="CT275" s="161">
        <f t="shared" si="534"/>
        <v>0</v>
      </c>
      <c r="CU275" s="161">
        <f t="shared" si="535"/>
        <v>0</v>
      </c>
      <c r="CV275" s="161">
        <f t="shared" si="536"/>
        <v>0</v>
      </c>
      <c r="CW275" s="161">
        <f t="shared" si="537"/>
        <v>0</v>
      </c>
      <c r="CX275" s="161">
        <f t="shared" si="538"/>
        <v>0</v>
      </c>
      <c r="CY275" s="161">
        <f t="shared" si="539"/>
        <v>0</v>
      </c>
      <c r="CZ275" s="161">
        <f t="shared" si="540"/>
        <v>0</v>
      </c>
      <c r="DA275" s="161">
        <f t="shared" si="541"/>
        <v>0</v>
      </c>
      <c r="DB275" s="161">
        <f t="shared" si="542"/>
        <v>0</v>
      </c>
      <c r="DC275" s="161">
        <f t="shared" si="543"/>
        <v>0</v>
      </c>
      <c r="DD275" s="161">
        <f t="shared" si="544"/>
        <v>0</v>
      </c>
      <c r="DE275" s="161">
        <f t="shared" si="545"/>
        <v>0</v>
      </c>
      <c r="DF275" s="161">
        <f t="shared" si="546"/>
        <v>0</v>
      </c>
      <c r="DG275" s="161">
        <f t="shared" si="547"/>
        <v>0</v>
      </c>
      <c r="DH275" s="161">
        <f t="shared" si="548"/>
        <v>0</v>
      </c>
      <c r="DI275" s="161">
        <f t="shared" si="549"/>
        <v>0</v>
      </c>
      <c r="DJ275" s="161">
        <f t="shared" si="550"/>
        <v>0</v>
      </c>
      <c r="DK275" s="161">
        <f t="shared" si="551"/>
        <v>0</v>
      </c>
      <c r="DL275" s="161">
        <f t="shared" si="552"/>
        <v>0</v>
      </c>
      <c r="DM275" s="161">
        <f t="shared" si="553"/>
        <v>0</v>
      </c>
      <c r="DN275" s="161">
        <f t="shared" si="554"/>
        <v>0</v>
      </c>
      <c r="DO275" s="161">
        <f t="shared" si="555"/>
        <v>0</v>
      </c>
      <c r="DP275" s="161">
        <f t="shared" si="556"/>
        <v>0</v>
      </c>
      <c r="DQ275" s="161">
        <f t="shared" si="557"/>
        <v>0</v>
      </c>
      <c r="DR275" s="161">
        <f t="shared" si="558"/>
        <v>0</v>
      </c>
      <c r="DS275" s="161">
        <f t="shared" si="559"/>
        <v>0</v>
      </c>
      <c r="DT275" s="161">
        <f t="shared" si="560"/>
        <v>0</v>
      </c>
      <c r="DU275" s="161">
        <f t="shared" si="561"/>
        <v>0</v>
      </c>
      <c r="DV275" s="161">
        <f t="shared" si="562"/>
        <v>0</v>
      </c>
      <c r="DW275" s="161">
        <f t="shared" si="563"/>
        <v>0</v>
      </c>
      <c r="DX275" s="161">
        <f t="shared" si="564"/>
        <v>0</v>
      </c>
      <c r="DY275" s="161">
        <f t="shared" si="565"/>
        <v>0</v>
      </c>
      <c r="DZ275" s="161">
        <f t="shared" si="566"/>
        <v>0</v>
      </c>
      <c r="EA275" s="161">
        <f t="shared" si="567"/>
        <v>0</v>
      </c>
      <c r="EB275" s="161">
        <f t="shared" si="568"/>
        <v>0</v>
      </c>
      <c r="EC275" s="161">
        <f t="shared" si="569"/>
        <v>0</v>
      </c>
      <c r="ED275" s="161">
        <f t="shared" si="570"/>
        <v>0</v>
      </c>
      <c r="EE275" s="161">
        <f t="shared" si="571"/>
        <v>0</v>
      </c>
      <c r="EF275" s="161">
        <f t="shared" si="572"/>
        <v>0</v>
      </c>
      <c r="EG275" s="161">
        <f t="shared" si="573"/>
        <v>0</v>
      </c>
      <c r="EH275" s="161">
        <f t="shared" si="574"/>
        <v>0</v>
      </c>
      <c r="EI275" s="161">
        <f t="shared" si="575"/>
        <v>0</v>
      </c>
      <c r="EJ275" s="65"/>
      <c r="EK275" s="161">
        <f t="shared" si="505"/>
        <v>0</v>
      </c>
      <c r="EL275" s="161">
        <f t="shared" si="506"/>
        <v>0</v>
      </c>
      <c r="EM275" s="161">
        <f t="shared" si="507"/>
        <v>0</v>
      </c>
    </row>
    <row r="276" spans="1:143" ht="12" hidden="1" customHeight="1" outlineLevel="2">
      <c r="A276" s="77">
        <v>16</v>
      </c>
      <c r="B276" s="137" t="str">
        <f t="shared" si="502"/>
        <v>AUX TEC - Equipe_01</v>
      </c>
      <c r="C276" s="65"/>
      <c r="D276" s="622"/>
      <c r="E276" s="65"/>
      <c r="F276" s="584"/>
      <c r="G276" s="77" t="str">
        <f>IF(INDEX(Tarefas!$BT$30:$FK$30,MATCH(A276,Tarefas!$BT$28:$FK$28,0))=0,"",INDEX(Tarefas!$BT$30:$FK$30,MATCH(A276,Tarefas!$BT$28:$FK$28,0)))</f>
        <v>AUX TEC</v>
      </c>
      <c r="H276" s="107" cm="1">
        <f t="array" ref="H276">IFERROR((SUMPRODUCT((Tarefas!$N$32:$N$54='Cronog. e Histog.'!$F$261)*(Tarefas!$BQ$30:$FK$30='Cronog. e Histog.'!$G276)*(Tarefas!$BQ$32:$FK$54)))/SUMIF(Tarefas!$N$32:$N$54,'Cronog. e Histog.'!$F$261,Tarefas!$K$32:$K$54),0)</f>
        <v>0</v>
      </c>
      <c r="I276" s="79">
        <f t="shared" si="503"/>
        <v>0</v>
      </c>
      <c r="J276" s="65"/>
      <c r="K276" s="160">
        <f t="shared" si="491"/>
        <v>0</v>
      </c>
      <c r="L276" s="160">
        <f t="shared" si="508"/>
        <v>0</v>
      </c>
      <c r="M276" s="160">
        <f t="shared" si="508"/>
        <v>0</v>
      </c>
      <c r="N276" s="160">
        <f t="shared" si="508"/>
        <v>0</v>
      </c>
      <c r="O276" s="160">
        <f t="shared" si="508"/>
        <v>0</v>
      </c>
      <c r="P276" s="160">
        <f t="shared" si="508"/>
        <v>0</v>
      </c>
      <c r="Q276" s="160">
        <f t="shared" si="508"/>
        <v>0</v>
      </c>
      <c r="R276" s="160">
        <f t="shared" si="508"/>
        <v>0</v>
      </c>
      <c r="S276" s="160">
        <f t="shared" si="508"/>
        <v>0</v>
      </c>
      <c r="T276" s="160">
        <f t="shared" si="508"/>
        <v>0</v>
      </c>
      <c r="U276" s="160">
        <f t="shared" si="508"/>
        <v>0</v>
      </c>
      <c r="V276" s="160">
        <f t="shared" si="508"/>
        <v>0</v>
      </c>
      <c r="W276" s="160">
        <f t="shared" si="508"/>
        <v>0</v>
      </c>
      <c r="X276" s="160">
        <f t="shared" si="508"/>
        <v>0</v>
      </c>
      <c r="Y276" s="160">
        <f t="shared" si="508"/>
        <v>0</v>
      </c>
      <c r="Z276" s="160">
        <f t="shared" si="508"/>
        <v>0</v>
      </c>
      <c r="AA276" s="160">
        <f t="shared" si="508"/>
        <v>0</v>
      </c>
      <c r="AB276" s="160">
        <f t="shared" si="508"/>
        <v>0</v>
      </c>
      <c r="AC276" s="160">
        <f t="shared" si="508"/>
        <v>0</v>
      </c>
      <c r="AD276" s="160">
        <f t="shared" si="508"/>
        <v>0</v>
      </c>
      <c r="AE276" s="160">
        <f t="shared" si="508"/>
        <v>0</v>
      </c>
      <c r="AF276" s="160">
        <f t="shared" si="508"/>
        <v>0</v>
      </c>
      <c r="AG276" s="160">
        <f t="shared" si="508"/>
        <v>0</v>
      </c>
      <c r="AH276" s="160">
        <f t="shared" si="508"/>
        <v>0</v>
      </c>
      <c r="AI276" s="160">
        <f t="shared" si="508"/>
        <v>0</v>
      </c>
      <c r="AJ276" s="160">
        <f t="shared" si="508"/>
        <v>0</v>
      </c>
      <c r="AK276" s="160">
        <f t="shared" si="508"/>
        <v>0</v>
      </c>
      <c r="AL276" s="160">
        <f t="shared" si="508"/>
        <v>0</v>
      </c>
      <c r="AM276" s="160">
        <f t="shared" si="508"/>
        <v>0</v>
      </c>
      <c r="AN276" s="160">
        <f t="shared" si="508"/>
        <v>0</v>
      </c>
      <c r="AO276" s="160">
        <f t="shared" si="508"/>
        <v>0</v>
      </c>
      <c r="AP276" s="160">
        <f t="shared" si="508"/>
        <v>0</v>
      </c>
      <c r="AQ276" s="160">
        <f t="shared" si="508"/>
        <v>0</v>
      </c>
      <c r="AR276" s="160">
        <f t="shared" si="508"/>
        <v>0</v>
      </c>
      <c r="AS276" s="160">
        <f t="shared" si="508"/>
        <v>0</v>
      </c>
      <c r="AT276" s="160">
        <f t="shared" si="508"/>
        <v>0</v>
      </c>
      <c r="AU276" s="160">
        <f t="shared" si="508"/>
        <v>0</v>
      </c>
      <c r="AV276" s="160">
        <f t="shared" si="508"/>
        <v>0</v>
      </c>
      <c r="AW276" s="160">
        <f t="shared" si="508"/>
        <v>0</v>
      </c>
      <c r="AX276" s="160">
        <f t="shared" si="508"/>
        <v>0</v>
      </c>
      <c r="AY276" s="160">
        <f t="shared" si="508"/>
        <v>0</v>
      </c>
      <c r="AZ276" s="160">
        <f t="shared" si="508"/>
        <v>0</v>
      </c>
      <c r="BA276" s="160">
        <f t="shared" si="508"/>
        <v>0</v>
      </c>
      <c r="BB276" s="160">
        <f t="shared" si="508"/>
        <v>0</v>
      </c>
      <c r="BC276" s="160">
        <f t="shared" si="508"/>
        <v>0</v>
      </c>
      <c r="BD276" s="160">
        <f t="shared" si="508"/>
        <v>0</v>
      </c>
      <c r="BE276" s="160">
        <f t="shared" si="508"/>
        <v>0</v>
      </c>
      <c r="BF276" s="160">
        <f t="shared" si="508"/>
        <v>0</v>
      </c>
      <c r="BG276" s="160">
        <f t="shared" si="508"/>
        <v>0</v>
      </c>
      <c r="BH276" s="160">
        <f t="shared" si="508"/>
        <v>0</v>
      </c>
      <c r="BI276" s="160">
        <f t="shared" si="508"/>
        <v>0</v>
      </c>
      <c r="BJ276" s="160">
        <f t="shared" si="508"/>
        <v>0</v>
      </c>
      <c r="BK276" s="160">
        <f t="shared" si="508"/>
        <v>0</v>
      </c>
      <c r="BL276" s="160">
        <f t="shared" si="508"/>
        <v>0</v>
      </c>
      <c r="BM276" s="160">
        <f t="shared" si="508"/>
        <v>0</v>
      </c>
      <c r="BN276" s="160">
        <f t="shared" si="508"/>
        <v>0</v>
      </c>
      <c r="BO276" s="160">
        <f t="shared" si="508"/>
        <v>0</v>
      </c>
      <c r="BP276" s="160">
        <f t="shared" si="508"/>
        <v>0</v>
      </c>
      <c r="BQ276" s="160">
        <f t="shared" si="508"/>
        <v>0</v>
      </c>
      <c r="BR276" s="160">
        <f t="shared" si="508"/>
        <v>0</v>
      </c>
      <c r="BS276" s="65"/>
      <c r="BT276" s="160">
        <f t="shared" si="493"/>
        <v>0</v>
      </c>
      <c r="BU276" s="160">
        <f t="shared" si="494"/>
        <v>0</v>
      </c>
      <c r="BV276" s="65"/>
      <c r="BW276" s="69"/>
      <c r="BX276" s="65"/>
      <c r="BY276" s="137">
        <f t="shared" si="495"/>
        <v>1</v>
      </c>
      <c r="BZ276" s="137">
        <f>IF(BY276&gt;0,BY276+LARGE($BZ$213:BZ275,1),0)</f>
        <v>56</v>
      </c>
      <c r="CA276" s="137" t="str">
        <f t="shared" si="496"/>
        <v>AUX TEC</v>
      </c>
      <c r="CB276" s="161">
        <f t="shared" si="497"/>
        <v>0</v>
      </c>
      <c r="CC276" s="161">
        <f t="shared" si="498"/>
        <v>0</v>
      </c>
      <c r="CD276" s="161">
        <f t="shared" si="498"/>
        <v>0</v>
      </c>
      <c r="CE276" s="161">
        <f t="shared" si="498"/>
        <v>0</v>
      </c>
      <c r="CF276" s="161">
        <f t="shared" si="498"/>
        <v>0</v>
      </c>
      <c r="CG276" s="161">
        <f t="shared" si="498"/>
        <v>0</v>
      </c>
      <c r="CH276" s="161">
        <f t="shared" si="498"/>
        <v>0</v>
      </c>
      <c r="CI276" s="161">
        <f t="shared" si="498"/>
        <v>0</v>
      </c>
      <c r="CJ276" s="161">
        <f t="shared" si="498"/>
        <v>0</v>
      </c>
      <c r="CK276" s="161">
        <f t="shared" si="498"/>
        <v>0</v>
      </c>
      <c r="CL276" s="161">
        <f t="shared" si="498"/>
        <v>0</v>
      </c>
      <c r="CM276" s="161">
        <f t="shared" si="498"/>
        <v>0</v>
      </c>
      <c r="CN276" s="161">
        <f t="shared" si="498"/>
        <v>0</v>
      </c>
      <c r="CO276" s="161">
        <f t="shared" si="498"/>
        <v>0</v>
      </c>
      <c r="CP276" s="161">
        <f t="shared" si="498"/>
        <v>0</v>
      </c>
      <c r="CQ276" s="161">
        <f t="shared" si="498"/>
        <v>0</v>
      </c>
      <c r="CR276" s="161">
        <f t="shared" si="498"/>
        <v>0</v>
      </c>
      <c r="CS276" s="161">
        <f t="shared" si="499"/>
        <v>0</v>
      </c>
      <c r="CT276" s="161">
        <f t="shared" si="499"/>
        <v>0</v>
      </c>
      <c r="CU276" s="161">
        <f t="shared" si="499"/>
        <v>0</v>
      </c>
      <c r="CV276" s="161">
        <f t="shared" si="499"/>
        <v>0</v>
      </c>
      <c r="CW276" s="161">
        <f t="shared" si="499"/>
        <v>0</v>
      </c>
      <c r="CX276" s="161">
        <f t="shared" si="499"/>
        <v>0</v>
      </c>
      <c r="CY276" s="161">
        <f t="shared" si="499"/>
        <v>0</v>
      </c>
      <c r="CZ276" s="161">
        <f t="shared" si="499"/>
        <v>0</v>
      </c>
      <c r="DA276" s="161">
        <f t="shared" si="499"/>
        <v>0</v>
      </c>
      <c r="DB276" s="161">
        <f t="shared" si="499"/>
        <v>0</v>
      </c>
      <c r="DC276" s="161">
        <f t="shared" si="499"/>
        <v>0</v>
      </c>
      <c r="DD276" s="161">
        <f t="shared" si="499"/>
        <v>0</v>
      </c>
      <c r="DE276" s="161">
        <f t="shared" si="499"/>
        <v>0</v>
      </c>
      <c r="DF276" s="161">
        <f t="shared" si="499"/>
        <v>0</v>
      </c>
      <c r="DG276" s="161">
        <f t="shared" si="499"/>
        <v>0</v>
      </c>
      <c r="DH276" s="161">
        <f t="shared" si="499"/>
        <v>0</v>
      </c>
      <c r="DI276" s="161">
        <f t="shared" si="500"/>
        <v>0</v>
      </c>
      <c r="DJ276" s="161">
        <f t="shared" si="500"/>
        <v>0</v>
      </c>
      <c r="DK276" s="161">
        <f t="shared" si="500"/>
        <v>0</v>
      </c>
      <c r="DL276" s="161">
        <f t="shared" si="500"/>
        <v>0</v>
      </c>
      <c r="DM276" s="161">
        <f t="shared" si="500"/>
        <v>0</v>
      </c>
      <c r="DN276" s="161">
        <f t="shared" si="500"/>
        <v>0</v>
      </c>
      <c r="DO276" s="161">
        <f t="shared" si="500"/>
        <v>0</v>
      </c>
      <c r="DP276" s="161">
        <f t="shared" si="500"/>
        <v>0</v>
      </c>
      <c r="DQ276" s="161">
        <f t="shared" si="500"/>
        <v>0</v>
      </c>
      <c r="DR276" s="161">
        <f t="shared" si="500"/>
        <v>0</v>
      </c>
      <c r="DS276" s="161">
        <f t="shared" si="500"/>
        <v>0</v>
      </c>
      <c r="DT276" s="161">
        <f t="shared" si="500"/>
        <v>0</v>
      </c>
      <c r="DU276" s="161">
        <f t="shared" si="500"/>
        <v>0</v>
      </c>
      <c r="DV276" s="161">
        <f t="shared" si="500"/>
        <v>0</v>
      </c>
      <c r="DW276" s="161">
        <f t="shared" si="500"/>
        <v>0</v>
      </c>
      <c r="DX276" s="161">
        <f t="shared" si="500"/>
        <v>0</v>
      </c>
      <c r="DY276" s="161">
        <f t="shared" si="501"/>
        <v>0</v>
      </c>
      <c r="DZ276" s="161">
        <f t="shared" si="501"/>
        <v>0</v>
      </c>
      <c r="EA276" s="161">
        <f t="shared" si="501"/>
        <v>0</v>
      </c>
      <c r="EB276" s="161">
        <f t="shared" si="501"/>
        <v>0</v>
      </c>
      <c r="EC276" s="161">
        <f t="shared" si="501"/>
        <v>0</v>
      </c>
      <c r="ED276" s="161">
        <f t="shared" si="501"/>
        <v>0</v>
      </c>
      <c r="EE276" s="161">
        <f t="shared" si="501"/>
        <v>0</v>
      </c>
      <c r="EF276" s="161">
        <f t="shared" si="501"/>
        <v>0</v>
      </c>
      <c r="EG276" s="161">
        <f t="shared" si="501"/>
        <v>0</v>
      </c>
      <c r="EH276" s="161">
        <f t="shared" si="501"/>
        <v>0</v>
      </c>
      <c r="EI276" s="161">
        <f t="shared" si="501"/>
        <v>0</v>
      </c>
      <c r="EJ276" s="65"/>
      <c r="EK276" s="161">
        <f t="shared" si="505"/>
        <v>0</v>
      </c>
      <c r="EL276" s="161">
        <f t="shared" si="506"/>
        <v>0</v>
      </c>
      <c r="EM276" s="161">
        <f t="shared" si="507"/>
        <v>0</v>
      </c>
    </row>
    <row r="277" spans="1:143" ht="12" hidden="1" customHeight="1" outlineLevel="2">
      <c r="A277" s="77">
        <v>17</v>
      </c>
      <c r="B277" s="137" t="str">
        <f t="shared" si="502"/>
        <v>AUX ADM - Equipe_01</v>
      </c>
      <c r="C277" s="65"/>
      <c r="D277" s="622"/>
      <c r="E277" s="65"/>
      <c r="F277" s="584"/>
      <c r="G277" s="77" t="str">
        <f>IF(INDEX(Tarefas!$BT$30:$FK$30,MATCH(A277,Tarefas!$BT$28:$FK$28,0))=0,"",INDEX(Tarefas!$BT$30:$FK$30,MATCH(A277,Tarefas!$BT$28:$FK$28,0)))</f>
        <v>AUX ADM</v>
      </c>
      <c r="H277" s="107" cm="1">
        <f t="array" ref="H277">IFERROR((SUMPRODUCT((Tarefas!$N$32:$N$54='Cronog. e Histog.'!$F$261)*(Tarefas!$BQ$30:$FK$30='Cronog. e Histog.'!$G277)*(Tarefas!$BQ$32:$FK$54)))/SUMIF(Tarefas!$N$32:$N$54,'Cronog. e Histog.'!$F$261,Tarefas!$K$32:$K$54),0)</f>
        <v>0</v>
      </c>
      <c r="I277" s="79">
        <f t="shared" si="503"/>
        <v>0</v>
      </c>
      <c r="J277" s="65"/>
      <c r="K277" s="160">
        <f t="shared" si="491"/>
        <v>0</v>
      </c>
      <c r="L277" s="160">
        <f t="shared" si="508"/>
        <v>0</v>
      </c>
      <c r="M277" s="160">
        <f t="shared" si="508"/>
        <v>0</v>
      </c>
      <c r="N277" s="160">
        <f t="shared" si="508"/>
        <v>0</v>
      </c>
      <c r="O277" s="160">
        <f t="shared" si="508"/>
        <v>0</v>
      </c>
      <c r="P277" s="160">
        <f t="shared" si="508"/>
        <v>0</v>
      </c>
      <c r="Q277" s="160">
        <f t="shared" si="508"/>
        <v>0</v>
      </c>
      <c r="R277" s="160">
        <f t="shared" si="508"/>
        <v>0</v>
      </c>
      <c r="S277" s="160">
        <f t="shared" si="508"/>
        <v>0</v>
      </c>
      <c r="T277" s="160">
        <f t="shared" si="508"/>
        <v>0</v>
      </c>
      <c r="U277" s="160">
        <f t="shared" si="508"/>
        <v>0</v>
      </c>
      <c r="V277" s="160">
        <f t="shared" si="508"/>
        <v>0</v>
      </c>
      <c r="W277" s="160">
        <f t="shared" si="508"/>
        <v>0</v>
      </c>
      <c r="X277" s="160">
        <f t="shared" si="508"/>
        <v>0</v>
      </c>
      <c r="Y277" s="160">
        <f t="shared" si="508"/>
        <v>0</v>
      </c>
      <c r="Z277" s="160">
        <f t="shared" si="508"/>
        <v>0</v>
      </c>
      <c r="AA277" s="160">
        <f t="shared" si="508"/>
        <v>0</v>
      </c>
      <c r="AB277" s="160">
        <f t="shared" si="508"/>
        <v>0</v>
      </c>
      <c r="AC277" s="160">
        <f t="shared" si="508"/>
        <v>0</v>
      </c>
      <c r="AD277" s="160">
        <f t="shared" si="508"/>
        <v>0</v>
      </c>
      <c r="AE277" s="160">
        <f t="shared" si="508"/>
        <v>0</v>
      </c>
      <c r="AF277" s="160">
        <f t="shared" si="508"/>
        <v>0</v>
      </c>
      <c r="AG277" s="160">
        <f t="shared" si="508"/>
        <v>0</v>
      </c>
      <c r="AH277" s="160">
        <f t="shared" si="508"/>
        <v>0</v>
      </c>
      <c r="AI277" s="160">
        <f t="shared" si="508"/>
        <v>0</v>
      </c>
      <c r="AJ277" s="160">
        <f t="shared" si="508"/>
        <v>0</v>
      </c>
      <c r="AK277" s="160">
        <f t="shared" si="508"/>
        <v>0</v>
      </c>
      <c r="AL277" s="160">
        <f t="shared" si="508"/>
        <v>0</v>
      </c>
      <c r="AM277" s="160">
        <f t="shared" si="508"/>
        <v>0</v>
      </c>
      <c r="AN277" s="160">
        <f t="shared" si="508"/>
        <v>0</v>
      </c>
      <c r="AO277" s="160">
        <f t="shared" si="508"/>
        <v>0</v>
      </c>
      <c r="AP277" s="160">
        <f t="shared" si="508"/>
        <v>0</v>
      </c>
      <c r="AQ277" s="160">
        <f t="shared" si="508"/>
        <v>0</v>
      </c>
      <c r="AR277" s="160">
        <f t="shared" si="508"/>
        <v>0</v>
      </c>
      <c r="AS277" s="160">
        <f t="shared" si="508"/>
        <v>0</v>
      </c>
      <c r="AT277" s="160">
        <f t="shared" si="508"/>
        <v>0</v>
      </c>
      <c r="AU277" s="160">
        <f t="shared" si="508"/>
        <v>0</v>
      </c>
      <c r="AV277" s="160">
        <f t="shared" si="508"/>
        <v>0</v>
      </c>
      <c r="AW277" s="160">
        <f t="shared" si="508"/>
        <v>0</v>
      </c>
      <c r="AX277" s="160">
        <f t="shared" si="508"/>
        <v>0</v>
      </c>
      <c r="AY277" s="160">
        <f t="shared" si="508"/>
        <v>0</v>
      </c>
      <c r="AZ277" s="160">
        <f t="shared" si="508"/>
        <v>0</v>
      </c>
      <c r="BA277" s="160">
        <f t="shared" si="508"/>
        <v>0</v>
      </c>
      <c r="BB277" s="160">
        <f t="shared" si="508"/>
        <v>0</v>
      </c>
      <c r="BC277" s="160">
        <f t="shared" si="508"/>
        <v>0</v>
      </c>
      <c r="BD277" s="160">
        <f t="shared" si="508"/>
        <v>0</v>
      </c>
      <c r="BE277" s="160">
        <f t="shared" si="508"/>
        <v>0</v>
      </c>
      <c r="BF277" s="160">
        <f t="shared" si="508"/>
        <v>0</v>
      </c>
      <c r="BG277" s="160">
        <f t="shared" si="508"/>
        <v>0</v>
      </c>
      <c r="BH277" s="160">
        <f t="shared" si="508"/>
        <v>0</v>
      </c>
      <c r="BI277" s="160">
        <f t="shared" si="508"/>
        <v>0</v>
      </c>
      <c r="BJ277" s="160">
        <f t="shared" si="508"/>
        <v>0</v>
      </c>
      <c r="BK277" s="160">
        <f t="shared" si="508"/>
        <v>0</v>
      </c>
      <c r="BL277" s="160">
        <f t="shared" si="508"/>
        <v>0</v>
      </c>
      <c r="BM277" s="160">
        <f t="shared" si="508"/>
        <v>0</v>
      </c>
      <c r="BN277" s="160">
        <f t="shared" si="508"/>
        <v>0</v>
      </c>
      <c r="BO277" s="160">
        <f t="shared" si="508"/>
        <v>0</v>
      </c>
      <c r="BP277" s="160">
        <f t="shared" si="508"/>
        <v>0</v>
      </c>
      <c r="BQ277" s="160">
        <f t="shared" si="508"/>
        <v>0</v>
      </c>
      <c r="BR277" s="160">
        <f t="shared" si="508"/>
        <v>0</v>
      </c>
      <c r="BS277" s="65"/>
      <c r="BT277" s="160">
        <f t="shared" si="493"/>
        <v>0</v>
      </c>
      <c r="BU277" s="160">
        <f t="shared" si="494"/>
        <v>0</v>
      </c>
      <c r="BV277" s="65"/>
      <c r="BW277" s="69"/>
      <c r="BX277" s="65"/>
      <c r="BY277" s="137">
        <f t="shared" si="495"/>
        <v>1</v>
      </c>
      <c r="BZ277" s="137">
        <f>IF(BY277&gt;0,BY277+LARGE($BZ$213:BZ276,1),0)</f>
        <v>57</v>
      </c>
      <c r="CA277" s="137" t="str">
        <f t="shared" si="496"/>
        <v>AUX ADM</v>
      </c>
      <c r="CB277" s="161">
        <f t="shared" si="497"/>
        <v>0</v>
      </c>
      <c r="CC277" s="161">
        <f t="shared" si="498"/>
        <v>0</v>
      </c>
      <c r="CD277" s="161">
        <f t="shared" si="498"/>
        <v>0</v>
      </c>
      <c r="CE277" s="161">
        <f t="shared" si="498"/>
        <v>0</v>
      </c>
      <c r="CF277" s="161">
        <f t="shared" si="498"/>
        <v>0</v>
      </c>
      <c r="CG277" s="161">
        <f t="shared" si="498"/>
        <v>0</v>
      </c>
      <c r="CH277" s="161">
        <f t="shared" si="498"/>
        <v>0</v>
      </c>
      <c r="CI277" s="161">
        <f t="shared" si="498"/>
        <v>0</v>
      </c>
      <c r="CJ277" s="161">
        <f t="shared" si="498"/>
        <v>0</v>
      </c>
      <c r="CK277" s="161">
        <f t="shared" si="498"/>
        <v>0</v>
      </c>
      <c r="CL277" s="161">
        <f t="shared" si="498"/>
        <v>0</v>
      </c>
      <c r="CM277" s="161">
        <f t="shared" si="498"/>
        <v>0</v>
      </c>
      <c r="CN277" s="161">
        <f t="shared" si="498"/>
        <v>0</v>
      </c>
      <c r="CO277" s="161">
        <f t="shared" si="498"/>
        <v>0</v>
      </c>
      <c r="CP277" s="161">
        <f t="shared" si="498"/>
        <v>0</v>
      </c>
      <c r="CQ277" s="161">
        <f t="shared" si="498"/>
        <v>0</v>
      </c>
      <c r="CR277" s="161">
        <f t="shared" si="498"/>
        <v>0</v>
      </c>
      <c r="CS277" s="161">
        <f t="shared" si="499"/>
        <v>0</v>
      </c>
      <c r="CT277" s="161">
        <f t="shared" si="499"/>
        <v>0</v>
      </c>
      <c r="CU277" s="161">
        <f t="shared" si="499"/>
        <v>0</v>
      </c>
      <c r="CV277" s="161">
        <f t="shared" si="499"/>
        <v>0</v>
      </c>
      <c r="CW277" s="161">
        <f t="shared" si="499"/>
        <v>0</v>
      </c>
      <c r="CX277" s="161">
        <f t="shared" si="499"/>
        <v>0</v>
      </c>
      <c r="CY277" s="161">
        <f t="shared" si="499"/>
        <v>0</v>
      </c>
      <c r="CZ277" s="161">
        <f t="shared" si="499"/>
        <v>0</v>
      </c>
      <c r="DA277" s="161">
        <f t="shared" si="499"/>
        <v>0</v>
      </c>
      <c r="DB277" s="161">
        <f t="shared" si="499"/>
        <v>0</v>
      </c>
      <c r="DC277" s="161">
        <f t="shared" si="499"/>
        <v>0</v>
      </c>
      <c r="DD277" s="161">
        <f t="shared" si="499"/>
        <v>0</v>
      </c>
      <c r="DE277" s="161">
        <f t="shared" si="499"/>
        <v>0</v>
      </c>
      <c r="DF277" s="161">
        <f t="shared" si="499"/>
        <v>0</v>
      </c>
      <c r="DG277" s="161">
        <f t="shared" si="499"/>
        <v>0</v>
      </c>
      <c r="DH277" s="161">
        <f t="shared" si="499"/>
        <v>0</v>
      </c>
      <c r="DI277" s="161">
        <f t="shared" si="500"/>
        <v>0</v>
      </c>
      <c r="DJ277" s="161">
        <f t="shared" si="500"/>
        <v>0</v>
      </c>
      <c r="DK277" s="161">
        <f t="shared" si="500"/>
        <v>0</v>
      </c>
      <c r="DL277" s="161">
        <f t="shared" si="500"/>
        <v>0</v>
      </c>
      <c r="DM277" s="161">
        <f t="shared" si="500"/>
        <v>0</v>
      </c>
      <c r="DN277" s="161">
        <f t="shared" si="500"/>
        <v>0</v>
      </c>
      <c r="DO277" s="161">
        <f t="shared" si="500"/>
        <v>0</v>
      </c>
      <c r="DP277" s="161">
        <f t="shared" si="500"/>
        <v>0</v>
      </c>
      <c r="DQ277" s="161">
        <f t="shared" si="500"/>
        <v>0</v>
      </c>
      <c r="DR277" s="161">
        <f t="shared" si="500"/>
        <v>0</v>
      </c>
      <c r="DS277" s="161">
        <f t="shared" si="500"/>
        <v>0</v>
      </c>
      <c r="DT277" s="161">
        <f t="shared" si="500"/>
        <v>0</v>
      </c>
      <c r="DU277" s="161">
        <f t="shared" si="500"/>
        <v>0</v>
      </c>
      <c r="DV277" s="161">
        <f t="shared" si="500"/>
        <v>0</v>
      </c>
      <c r="DW277" s="161">
        <f t="shared" si="500"/>
        <v>0</v>
      </c>
      <c r="DX277" s="161">
        <f t="shared" si="500"/>
        <v>0</v>
      </c>
      <c r="DY277" s="161">
        <f t="shared" si="501"/>
        <v>0</v>
      </c>
      <c r="DZ277" s="161">
        <f t="shared" si="501"/>
        <v>0</v>
      </c>
      <c r="EA277" s="161">
        <f t="shared" si="501"/>
        <v>0</v>
      </c>
      <c r="EB277" s="161">
        <f t="shared" si="501"/>
        <v>0</v>
      </c>
      <c r="EC277" s="161">
        <f t="shared" si="501"/>
        <v>0</v>
      </c>
      <c r="ED277" s="161">
        <f t="shared" si="501"/>
        <v>0</v>
      </c>
      <c r="EE277" s="161">
        <f t="shared" si="501"/>
        <v>0</v>
      </c>
      <c r="EF277" s="161">
        <f t="shared" si="501"/>
        <v>0</v>
      </c>
      <c r="EG277" s="161">
        <f t="shared" si="501"/>
        <v>0</v>
      </c>
      <c r="EH277" s="161">
        <f t="shared" si="501"/>
        <v>0</v>
      </c>
      <c r="EI277" s="161">
        <f t="shared" si="501"/>
        <v>0</v>
      </c>
      <c r="EJ277" s="65"/>
      <c r="EK277" s="161">
        <f t="shared" si="505"/>
        <v>0</v>
      </c>
      <c r="EL277" s="161">
        <f t="shared" si="506"/>
        <v>0</v>
      </c>
      <c r="EM277" s="161">
        <f t="shared" si="507"/>
        <v>0</v>
      </c>
    </row>
    <row r="278" spans="1:143" ht="12" hidden="1" customHeight="1" outlineLevel="2">
      <c r="A278" s="77">
        <v>18</v>
      </c>
      <c r="B278" s="137" t="str">
        <f t="shared" si="502"/>
        <v>EST - Equipe_01</v>
      </c>
      <c r="C278" s="65"/>
      <c r="D278" s="622"/>
      <c r="E278" s="65"/>
      <c r="F278" s="584"/>
      <c r="G278" s="77" t="str">
        <f>IF(INDEX(Tarefas!$BT$30:$FK$30,MATCH(A278,Tarefas!$BT$28:$FK$28,0))=0,"",INDEX(Tarefas!$BT$30:$FK$30,MATCH(A278,Tarefas!$BT$28:$FK$28,0)))</f>
        <v>EST</v>
      </c>
      <c r="H278" s="107" cm="1">
        <f t="array" ref="H278">IFERROR((SUMPRODUCT((Tarefas!$N$32:$N$54='Cronog. e Histog.'!$F$261)*(Tarefas!$BQ$30:$FK$30='Cronog. e Histog.'!$G278)*(Tarefas!$BQ$32:$FK$54)))/SUMIF(Tarefas!$N$32:$N$54,'Cronog. e Histog.'!$F$261,Tarefas!$K$32:$K$54),0)</f>
        <v>0</v>
      </c>
      <c r="I278" s="79">
        <f t="shared" si="503"/>
        <v>0</v>
      </c>
      <c r="J278" s="65"/>
      <c r="K278" s="160">
        <f t="shared" si="491"/>
        <v>0</v>
      </c>
      <c r="L278" s="160">
        <f t="shared" si="508"/>
        <v>0</v>
      </c>
      <c r="M278" s="160">
        <f t="shared" si="508"/>
        <v>0</v>
      </c>
      <c r="N278" s="160">
        <f t="shared" si="508"/>
        <v>0</v>
      </c>
      <c r="O278" s="160">
        <f t="shared" si="508"/>
        <v>0</v>
      </c>
      <c r="P278" s="160">
        <f t="shared" si="508"/>
        <v>0</v>
      </c>
      <c r="Q278" s="160">
        <f t="shared" si="508"/>
        <v>0</v>
      </c>
      <c r="R278" s="160">
        <f t="shared" si="508"/>
        <v>0</v>
      </c>
      <c r="S278" s="160">
        <f t="shared" si="508"/>
        <v>0</v>
      </c>
      <c r="T278" s="160">
        <f t="shared" si="508"/>
        <v>0</v>
      </c>
      <c r="U278" s="160">
        <f t="shared" si="508"/>
        <v>0</v>
      </c>
      <c r="V278" s="160">
        <f t="shared" si="508"/>
        <v>0</v>
      </c>
      <c r="W278" s="160">
        <f t="shared" si="508"/>
        <v>0</v>
      </c>
      <c r="X278" s="160">
        <f t="shared" si="508"/>
        <v>0</v>
      </c>
      <c r="Y278" s="160">
        <f t="shared" si="508"/>
        <v>0</v>
      </c>
      <c r="Z278" s="160">
        <f t="shared" si="508"/>
        <v>0</v>
      </c>
      <c r="AA278" s="160">
        <f t="shared" si="508"/>
        <v>0</v>
      </c>
      <c r="AB278" s="160">
        <f t="shared" si="508"/>
        <v>0</v>
      </c>
      <c r="AC278" s="160">
        <f t="shared" si="508"/>
        <v>0</v>
      </c>
      <c r="AD278" s="160">
        <f t="shared" si="508"/>
        <v>0</v>
      </c>
      <c r="AE278" s="160">
        <f t="shared" si="508"/>
        <v>0</v>
      </c>
      <c r="AF278" s="160">
        <f t="shared" si="508"/>
        <v>0</v>
      </c>
      <c r="AG278" s="160">
        <f t="shared" si="508"/>
        <v>0</v>
      </c>
      <c r="AH278" s="160">
        <f t="shared" si="508"/>
        <v>0</v>
      </c>
      <c r="AI278" s="160">
        <f t="shared" si="508"/>
        <v>0</v>
      </c>
      <c r="AJ278" s="160">
        <f t="shared" si="508"/>
        <v>0</v>
      </c>
      <c r="AK278" s="160">
        <f t="shared" si="508"/>
        <v>0</v>
      </c>
      <c r="AL278" s="160">
        <f t="shared" si="508"/>
        <v>0</v>
      </c>
      <c r="AM278" s="160">
        <f t="shared" si="508"/>
        <v>0</v>
      </c>
      <c r="AN278" s="160">
        <f t="shared" si="508"/>
        <v>0</v>
      </c>
      <c r="AO278" s="160">
        <f t="shared" si="508"/>
        <v>0</v>
      </c>
      <c r="AP278" s="160">
        <f t="shared" si="508"/>
        <v>0</v>
      </c>
      <c r="AQ278" s="160">
        <f t="shared" si="508"/>
        <v>0</v>
      </c>
      <c r="AR278" s="160">
        <f t="shared" si="508"/>
        <v>0</v>
      </c>
      <c r="AS278" s="160">
        <f t="shared" si="508"/>
        <v>0</v>
      </c>
      <c r="AT278" s="160">
        <f t="shared" si="508"/>
        <v>0</v>
      </c>
      <c r="AU278" s="160">
        <f t="shared" si="508"/>
        <v>0</v>
      </c>
      <c r="AV278" s="160">
        <f t="shared" si="508"/>
        <v>0</v>
      </c>
      <c r="AW278" s="160">
        <f t="shared" si="508"/>
        <v>0</v>
      </c>
      <c r="AX278" s="160">
        <f t="shared" si="508"/>
        <v>0</v>
      </c>
      <c r="AY278" s="160">
        <f t="shared" si="508"/>
        <v>0</v>
      </c>
      <c r="AZ278" s="160">
        <f t="shared" si="508"/>
        <v>0</v>
      </c>
      <c r="BA278" s="160">
        <f t="shared" si="508"/>
        <v>0</v>
      </c>
      <c r="BB278" s="160">
        <f t="shared" si="508"/>
        <v>0</v>
      </c>
      <c r="BC278" s="160">
        <f t="shared" si="508"/>
        <v>0</v>
      </c>
      <c r="BD278" s="160">
        <f t="shared" si="508"/>
        <v>0</v>
      </c>
      <c r="BE278" s="160">
        <f t="shared" si="508"/>
        <v>0</v>
      </c>
      <c r="BF278" s="160">
        <f t="shared" si="508"/>
        <v>0</v>
      </c>
      <c r="BG278" s="160">
        <f t="shared" si="508"/>
        <v>0</v>
      </c>
      <c r="BH278" s="160">
        <f t="shared" si="508"/>
        <v>0</v>
      </c>
      <c r="BI278" s="160">
        <f t="shared" si="508"/>
        <v>0</v>
      </c>
      <c r="BJ278" s="160">
        <f t="shared" si="508"/>
        <v>0</v>
      </c>
      <c r="BK278" s="160">
        <f t="shared" si="508"/>
        <v>0</v>
      </c>
      <c r="BL278" s="160">
        <f t="shared" si="508"/>
        <v>0</v>
      </c>
      <c r="BM278" s="160">
        <f t="shared" si="508"/>
        <v>0</v>
      </c>
      <c r="BN278" s="160">
        <f t="shared" si="508"/>
        <v>0</v>
      </c>
      <c r="BO278" s="160">
        <f t="shared" si="508"/>
        <v>0</v>
      </c>
      <c r="BP278" s="160">
        <f t="shared" si="508"/>
        <v>0</v>
      </c>
      <c r="BQ278" s="160">
        <f t="shared" si="508"/>
        <v>0</v>
      </c>
      <c r="BR278" s="160">
        <f t="shared" si="508"/>
        <v>0</v>
      </c>
      <c r="BS278" s="65"/>
      <c r="BT278" s="160">
        <f t="shared" si="493"/>
        <v>0</v>
      </c>
      <c r="BU278" s="160">
        <f t="shared" si="494"/>
        <v>0</v>
      </c>
      <c r="BV278" s="65"/>
      <c r="BW278" s="69"/>
      <c r="BX278" s="65"/>
      <c r="BY278" s="137">
        <f t="shared" si="495"/>
        <v>1</v>
      </c>
      <c r="BZ278" s="137">
        <f>IF(BY278&gt;0,BY278+LARGE($BZ$213:BZ277,1),0)</f>
        <v>58</v>
      </c>
      <c r="CA278" s="137" t="str">
        <f t="shared" si="496"/>
        <v>EST</v>
      </c>
      <c r="CB278" s="161">
        <f t="shared" si="497"/>
        <v>0</v>
      </c>
      <c r="CC278" s="161">
        <f t="shared" si="498"/>
        <v>0</v>
      </c>
      <c r="CD278" s="161">
        <f t="shared" si="498"/>
        <v>0</v>
      </c>
      <c r="CE278" s="161">
        <f t="shared" si="498"/>
        <v>0</v>
      </c>
      <c r="CF278" s="161">
        <f t="shared" si="498"/>
        <v>0</v>
      </c>
      <c r="CG278" s="161">
        <f t="shared" si="498"/>
        <v>0</v>
      </c>
      <c r="CH278" s="161">
        <f t="shared" si="498"/>
        <v>0</v>
      </c>
      <c r="CI278" s="161">
        <f t="shared" si="498"/>
        <v>0</v>
      </c>
      <c r="CJ278" s="161">
        <f t="shared" si="498"/>
        <v>0</v>
      </c>
      <c r="CK278" s="161">
        <f t="shared" si="498"/>
        <v>0</v>
      </c>
      <c r="CL278" s="161">
        <f t="shared" si="498"/>
        <v>0</v>
      </c>
      <c r="CM278" s="161">
        <f t="shared" si="498"/>
        <v>0</v>
      </c>
      <c r="CN278" s="161">
        <f t="shared" si="498"/>
        <v>0</v>
      </c>
      <c r="CO278" s="161">
        <f t="shared" si="498"/>
        <v>0</v>
      </c>
      <c r="CP278" s="161">
        <f t="shared" si="498"/>
        <v>0</v>
      </c>
      <c r="CQ278" s="161">
        <f t="shared" si="498"/>
        <v>0</v>
      </c>
      <c r="CR278" s="161">
        <f t="shared" si="498"/>
        <v>0</v>
      </c>
      <c r="CS278" s="161">
        <f t="shared" si="499"/>
        <v>0</v>
      </c>
      <c r="CT278" s="161">
        <f t="shared" si="499"/>
        <v>0</v>
      </c>
      <c r="CU278" s="161">
        <f t="shared" si="499"/>
        <v>0</v>
      </c>
      <c r="CV278" s="161">
        <f t="shared" si="499"/>
        <v>0</v>
      </c>
      <c r="CW278" s="161">
        <f t="shared" si="499"/>
        <v>0</v>
      </c>
      <c r="CX278" s="161">
        <f t="shared" si="499"/>
        <v>0</v>
      </c>
      <c r="CY278" s="161">
        <f t="shared" si="499"/>
        <v>0</v>
      </c>
      <c r="CZ278" s="161">
        <f t="shared" si="499"/>
        <v>0</v>
      </c>
      <c r="DA278" s="161">
        <f t="shared" si="499"/>
        <v>0</v>
      </c>
      <c r="DB278" s="161">
        <f t="shared" si="499"/>
        <v>0</v>
      </c>
      <c r="DC278" s="161">
        <f t="shared" si="499"/>
        <v>0</v>
      </c>
      <c r="DD278" s="161">
        <f t="shared" si="499"/>
        <v>0</v>
      </c>
      <c r="DE278" s="161">
        <f t="shared" si="499"/>
        <v>0</v>
      </c>
      <c r="DF278" s="161">
        <f t="shared" si="499"/>
        <v>0</v>
      </c>
      <c r="DG278" s="161">
        <f t="shared" si="499"/>
        <v>0</v>
      </c>
      <c r="DH278" s="161">
        <f t="shared" si="499"/>
        <v>0</v>
      </c>
      <c r="DI278" s="161">
        <f t="shared" si="500"/>
        <v>0</v>
      </c>
      <c r="DJ278" s="161">
        <f t="shared" si="500"/>
        <v>0</v>
      </c>
      <c r="DK278" s="161">
        <f t="shared" si="500"/>
        <v>0</v>
      </c>
      <c r="DL278" s="161">
        <f t="shared" si="500"/>
        <v>0</v>
      </c>
      <c r="DM278" s="161">
        <f t="shared" si="500"/>
        <v>0</v>
      </c>
      <c r="DN278" s="161">
        <f t="shared" si="500"/>
        <v>0</v>
      </c>
      <c r="DO278" s="161">
        <f t="shared" si="500"/>
        <v>0</v>
      </c>
      <c r="DP278" s="161">
        <f t="shared" si="500"/>
        <v>0</v>
      </c>
      <c r="DQ278" s="161">
        <f t="shared" si="500"/>
        <v>0</v>
      </c>
      <c r="DR278" s="161">
        <f t="shared" si="500"/>
        <v>0</v>
      </c>
      <c r="DS278" s="161">
        <f t="shared" si="500"/>
        <v>0</v>
      </c>
      <c r="DT278" s="161">
        <f t="shared" si="500"/>
        <v>0</v>
      </c>
      <c r="DU278" s="161">
        <f t="shared" si="500"/>
        <v>0</v>
      </c>
      <c r="DV278" s="161">
        <f t="shared" si="500"/>
        <v>0</v>
      </c>
      <c r="DW278" s="161">
        <f t="shared" si="500"/>
        <v>0</v>
      </c>
      <c r="DX278" s="161">
        <f t="shared" si="500"/>
        <v>0</v>
      </c>
      <c r="DY278" s="161">
        <f t="shared" si="501"/>
        <v>0</v>
      </c>
      <c r="DZ278" s="161">
        <f t="shared" si="501"/>
        <v>0</v>
      </c>
      <c r="EA278" s="161">
        <f t="shared" si="501"/>
        <v>0</v>
      </c>
      <c r="EB278" s="161">
        <f t="shared" si="501"/>
        <v>0</v>
      </c>
      <c r="EC278" s="161">
        <f t="shared" si="501"/>
        <v>0</v>
      </c>
      <c r="ED278" s="161">
        <f t="shared" si="501"/>
        <v>0</v>
      </c>
      <c r="EE278" s="161">
        <f t="shared" si="501"/>
        <v>0</v>
      </c>
      <c r="EF278" s="161">
        <f t="shared" si="501"/>
        <v>0</v>
      </c>
      <c r="EG278" s="161">
        <f t="shared" si="501"/>
        <v>0</v>
      </c>
      <c r="EH278" s="161">
        <f t="shared" si="501"/>
        <v>0</v>
      </c>
      <c r="EI278" s="161">
        <f t="shared" si="501"/>
        <v>0</v>
      </c>
      <c r="EJ278" s="65"/>
      <c r="EK278" s="161">
        <f t="shared" si="505"/>
        <v>0</v>
      </c>
      <c r="EL278" s="161">
        <f t="shared" si="506"/>
        <v>0</v>
      </c>
      <c r="EM278" s="161">
        <f t="shared" si="507"/>
        <v>0</v>
      </c>
    </row>
    <row r="279" spans="1:143" ht="12" hidden="1" customHeight="1" outlineLevel="2">
      <c r="A279" s="77">
        <v>19</v>
      </c>
      <c r="B279" s="137" t="str">
        <f t="shared" si="502"/>
        <v>EST_II - Equipe_01</v>
      </c>
      <c r="C279" s="65"/>
      <c r="D279" s="622"/>
      <c r="E279" s="65"/>
      <c r="F279" s="584"/>
      <c r="G279" s="77" t="str">
        <f>IF(INDEX(Tarefas!$BT$30:$FK$30,MATCH(A279,Tarefas!$BT$28:$FK$28,0))=0,"",INDEX(Tarefas!$BT$30:$FK$30,MATCH(A279,Tarefas!$BT$28:$FK$28,0)))</f>
        <v>EST_II</v>
      </c>
      <c r="H279" s="107" cm="1">
        <f t="array" ref="H279">IFERROR((SUMPRODUCT((Tarefas!$N$32:$N$54='Cronog. e Histog.'!$F$261)*(Tarefas!$BQ$30:$FK$30='Cronog. e Histog.'!$G279)*(Tarefas!$BQ$32:$FK$54)))/SUMIF(Tarefas!$N$32:$N$54,'Cronog. e Histog.'!$F$261,Tarefas!$K$32:$K$54),0)</f>
        <v>0</v>
      </c>
      <c r="I279" s="79">
        <f t="shared" si="503"/>
        <v>0</v>
      </c>
      <c r="J279" s="65"/>
      <c r="K279" s="160">
        <f t="shared" si="491"/>
        <v>0</v>
      </c>
      <c r="L279" s="160">
        <f t="shared" si="508"/>
        <v>0</v>
      </c>
      <c r="M279" s="160">
        <f t="shared" si="508"/>
        <v>0</v>
      </c>
      <c r="N279" s="160">
        <f t="shared" si="508"/>
        <v>0</v>
      </c>
      <c r="O279" s="160">
        <f t="shared" si="508"/>
        <v>0</v>
      </c>
      <c r="P279" s="160">
        <f t="shared" si="508"/>
        <v>0</v>
      </c>
      <c r="Q279" s="160">
        <f t="shared" si="508"/>
        <v>0</v>
      </c>
      <c r="R279" s="160">
        <f t="shared" si="508"/>
        <v>0</v>
      </c>
      <c r="S279" s="160">
        <f t="shared" si="508"/>
        <v>0</v>
      </c>
      <c r="T279" s="160">
        <f t="shared" si="508"/>
        <v>0</v>
      </c>
      <c r="U279" s="160">
        <f t="shared" si="508"/>
        <v>0</v>
      </c>
      <c r="V279" s="160">
        <f t="shared" si="508"/>
        <v>0</v>
      </c>
      <c r="W279" s="160">
        <f t="shared" si="508"/>
        <v>0</v>
      </c>
      <c r="X279" s="160">
        <f t="shared" si="508"/>
        <v>0</v>
      </c>
      <c r="Y279" s="160">
        <f t="shared" si="508"/>
        <v>0</v>
      </c>
      <c r="Z279" s="160">
        <f t="shared" si="508"/>
        <v>0</v>
      </c>
      <c r="AA279" s="160">
        <f t="shared" si="508"/>
        <v>0</v>
      </c>
      <c r="AB279" s="160">
        <f t="shared" si="508"/>
        <v>0</v>
      </c>
      <c r="AC279" s="160">
        <f t="shared" si="508"/>
        <v>0</v>
      </c>
      <c r="AD279" s="160">
        <f t="shared" si="508"/>
        <v>0</v>
      </c>
      <c r="AE279" s="160">
        <f t="shared" si="508"/>
        <v>0</v>
      </c>
      <c r="AF279" s="160">
        <f t="shared" si="508"/>
        <v>0</v>
      </c>
      <c r="AG279" s="160">
        <f t="shared" si="508"/>
        <v>0</v>
      </c>
      <c r="AH279" s="160">
        <f t="shared" si="508"/>
        <v>0</v>
      </c>
      <c r="AI279" s="160">
        <f t="shared" si="508"/>
        <v>0</v>
      </c>
      <c r="AJ279" s="160">
        <f t="shared" si="508"/>
        <v>0</v>
      </c>
      <c r="AK279" s="160">
        <f t="shared" si="508"/>
        <v>0</v>
      </c>
      <c r="AL279" s="160">
        <f t="shared" si="508"/>
        <v>0</v>
      </c>
      <c r="AM279" s="160">
        <f t="shared" si="508"/>
        <v>0</v>
      </c>
      <c r="AN279" s="160">
        <f t="shared" si="508"/>
        <v>0</v>
      </c>
      <c r="AO279" s="160">
        <f t="shared" si="508"/>
        <v>0</v>
      </c>
      <c r="AP279" s="160">
        <f t="shared" si="508"/>
        <v>0</v>
      </c>
      <c r="AQ279" s="160">
        <f t="shared" si="508"/>
        <v>0</v>
      </c>
      <c r="AR279" s="160">
        <f t="shared" si="508"/>
        <v>0</v>
      </c>
      <c r="AS279" s="160">
        <f t="shared" si="508"/>
        <v>0</v>
      </c>
      <c r="AT279" s="160">
        <f t="shared" si="508"/>
        <v>0</v>
      </c>
      <c r="AU279" s="160">
        <f t="shared" si="508"/>
        <v>0</v>
      </c>
      <c r="AV279" s="160">
        <f t="shared" si="508"/>
        <v>0</v>
      </c>
      <c r="AW279" s="160">
        <f t="shared" si="508"/>
        <v>0</v>
      </c>
      <c r="AX279" s="160">
        <f t="shared" si="508"/>
        <v>0</v>
      </c>
      <c r="AY279" s="160">
        <f t="shared" si="508"/>
        <v>0</v>
      </c>
      <c r="AZ279" s="160">
        <f t="shared" si="508"/>
        <v>0</v>
      </c>
      <c r="BA279" s="160">
        <f t="shared" si="508"/>
        <v>0</v>
      </c>
      <c r="BB279" s="160">
        <f t="shared" si="508"/>
        <v>0</v>
      </c>
      <c r="BC279" s="160">
        <f t="shared" si="508"/>
        <v>0</v>
      </c>
      <c r="BD279" s="160">
        <f t="shared" si="508"/>
        <v>0</v>
      </c>
      <c r="BE279" s="160">
        <f t="shared" si="508"/>
        <v>0</v>
      </c>
      <c r="BF279" s="160">
        <f t="shared" si="508"/>
        <v>0</v>
      </c>
      <c r="BG279" s="160">
        <f t="shared" si="508"/>
        <v>0</v>
      </c>
      <c r="BH279" s="160">
        <f t="shared" si="508"/>
        <v>0</v>
      </c>
      <c r="BI279" s="160">
        <f t="shared" si="508"/>
        <v>0</v>
      </c>
      <c r="BJ279" s="160">
        <f t="shared" si="508"/>
        <v>0</v>
      </c>
      <c r="BK279" s="160">
        <f t="shared" si="508"/>
        <v>0</v>
      </c>
      <c r="BL279" s="160">
        <f t="shared" si="508"/>
        <v>0</v>
      </c>
      <c r="BM279" s="160">
        <f t="shared" ref="L279:BR280" si="576">ROUND($I279*BM$185,2)</f>
        <v>0</v>
      </c>
      <c r="BN279" s="160">
        <f t="shared" si="576"/>
        <v>0</v>
      </c>
      <c r="BO279" s="160">
        <f t="shared" si="576"/>
        <v>0</v>
      </c>
      <c r="BP279" s="160">
        <f t="shared" si="576"/>
        <v>0</v>
      </c>
      <c r="BQ279" s="160">
        <f t="shared" si="576"/>
        <v>0</v>
      </c>
      <c r="BR279" s="160">
        <f t="shared" si="576"/>
        <v>0</v>
      </c>
      <c r="BS279" s="65"/>
      <c r="BT279" s="160">
        <f t="shared" si="493"/>
        <v>0</v>
      </c>
      <c r="BU279" s="160">
        <f t="shared" si="494"/>
        <v>0</v>
      </c>
      <c r="BV279" s="65"/>
      <c r="BW279" s="69"/>
      <c r="BX279" s="65"/>
      <c r="BY279" s="137">
        <f t="shared" si="495"/>
        <v>1</v>
      </c>
      <c r="BZ279" s="137">
        <f>IF(BY279&gt;0,BY279+LARGE($BZ$213:BZ278,1),0)</f>
        <v>59</v>
      </c>
      <c r="CA279" s="137" t="str">
        <f t="shared" si="496"/>
        <v>EST_II</v>
      </c>
      <c r="CB279" s="161">
        <f t="shared" si="497"/>
        <v>0</v>
      </c>
      <c r="CC279" s="161">
        <f t="shared" si="498"/>
        <v>0</v>
      </c>
      <c r="CD279" s="161">
        <f t="shared" si="498"/>
        <v>0</v>
      </c>
      <c r="CE279" s="161">
        <f t="shared" si="498"/>
        <v>0</v>
      </c>
      <c r="CF279" s="161">
        <f t="shared" si="498"/>
        <v>0</v>
      </c>
      <c r="CG279" s="161">
        <f t="shared" si="498"/>
        <v>0</v>
      </c>
      <c r="CH279" s="161">
        <f t="shared" si="498"/>
        <v>0</v>
      </c>
      <c r="CI279" s="161">
        <f t="shared" si="498"/>
        <v>0</v>
      </c>
      <c r="CJ279" s="161">
        <f t="shared" si="498"/>
        <v>0</v>
      </c>
      <c r="CK279" s="161">
        <f t="shared" si="498"/>
        <v>0</v>
      </c>
      <c r="CL279" s="161">
        <f t="shared" si="498"/>
        <v>0</v>
      </c>
      <c r="CM279" s="161">
        <f t="shared" si="498"/>
        <v>0</v>
      </c>
      <c r="CN279" s="161">
        <f t="shared" si="498"/>
        <v>0</v>
      </c>
      <c r="CO279" s="161">
        <f t="shared" si="498"/>
        <v>0</v>
      </c>
      <c r="CP279" s="161">
        <f t="shared" si="498"/>
        <v>0</v>
      </c>
      <c r="CQ279" s="161">
        <f t="shared" si="498"/>
        <v>0</v>
      </c>
      <c r="CR279" s="161">
        <f t="shared" si="498"/>
        <v>0</v>
      </c>
      <c r="CS279" s="161">
        <f t="shared" si="499"/>
        <v>0</v>
      </c>
      <c r="CT279" s="161">
        <f t="shared" si="499"/>
        <v>0</v>
      </c>
      <c r="CU279" s="161">
        <f t="shared" si="499"/>
        <v>0</v>
      </c>
      <c r="CV279" s="161">
        <f t="shared" si="499"/>
        <v>0</v>
      </c>
      <c r="CW279" s="161">
        <f t="shared" si="499"/>
        <v>0</v>
      </c>
      <c r="CX279" s="161">
        <f t="shared" si="499"/>
        <v>0</v>
      </c>
      <c r="CY279" s="161">
        <f t="shared" si="499"/>
        <v>0</v>
      </c>
      <c r="CZ279" s="161">
        <f t="shared" si="499"/>
        <v>0</v>
      </c>
      <c r="DA279" s="161">
        <f t="shared" si="499"/>
        <v>0</v>
      </c>
      <c r="DB279" s="161">
        <f t="shared" si="499"/>
        <v>0</v>
      </c>
      <c r="DC279" s="161">
        <f t="shared" si="499"/>
        <v>0</v>
      </c>
      <c r="DD279" s="161">
        <f t="shared" si="499"/>
        <v>0</v>
      </c>
      <c r="DE279" s="161">
        <f t="shared" si="499"/>
        <v>0</v>
      </c>
      <c r="DF279" s="161">
        <f t="shared" si="499"/>
        <v>0</v>
      </c>
      <c r="DG279" s="161">
        <f t="shared" si="499"/>
        <v>0</v>
      </c>
      <c r="DH279" s="161">
        <f t="shared" si="499"/>
        <v>0</v>
      </c>
      <c r="DI279" s="161">
        <f t="shared" si="500"/>
        <v>0</v>
      </c>
      <c r="DJ279" s="161">
        <f t="shared" si="500"/>
        <v>0</v>
      </c>
      <c r="DK279" s="161">
        <f t="shared" si="500"/>
        <v>0</v>
      </c>
      <c r="DL279" s="161">
        <f t="shared" si="500"/>
        <v>0</v>
      </c>
      <c r="DM279" s="161">
        <f t="shared" si="500"/>
        <v>0</v>
      </c>
      <c r="DN279" s="161">
        <f t="shared" si="500"/>
        <v>0</v>
      </c>
      <c r="DO279" s="161">
        <f t="shared" si="500"/>
        <v>0</v>
      </c>
      <c r="DP279" s="161">
        <f t="shared" si="500"/>
        <v>0</v>
      </c>
      <c r="DQ279" s="161">
        <f t="shared" si="500"/>
        <v>0</v>
      </c>
      <c r="DR279" s="161">
        <f t="shared" si="500"/>
        <v>0</v>
      </c>
      <c r="DS279" s="161">
        <f t="shared" si="500"/>
        <v>0</v>
      </c>
      <c r="DT279" s="161">
        <f t="shared" si="500"/>
        <v>0</v>
      </c>
      <c r="DU279" s="161">
        <f t="shared" si="500"/>
        <v>0</v>
      </c>
      <c r="DV279" s="161">
        <f t="shared" si="500"/>
        <v>0</v>
      </c>
      <c r="DW279" s="161">
        <f t="shared" si="500"/>
        <v>0</v>
      </c>
      <c r="DX279" s="161">
        <f t="shared" si="500"/>
        <v>0</v>
      </c>
      <c r="DY279" s="161">
        <f t="shared" si="501"/>
        <v>0</v>
      </c>
      <c r="DZ279" s="161">
        <f t="shared" si="501"/>
        <v>0</v>
      </c>
      <c r="EA279" s="161">
        <f t="shared" si="501"/>
        <v>0</v>
      </c>
      <c r="EB279" s="161">
        <f t="shared" si="501"/>
        <v>0</v>
      </c>
      <c r="EC279" s="161">
        <f t="shared" si="501"/>
        <v>0</v>
      </c>
      <c r="ED279" s="161">
        <f t="shared" si="501"/>
        <v>0</v>
      </c>
      <c r="EE279" s="161">
        <f t="shared" si="501"/>
        <v>0</v>
      </c>
      <c r="EF279" s="161">
        <f t="shared" si="501"/>
        <v>0</v>
      </c>
      <c r="EG279" s="161">
        <f t="shared" si="501"/>
        <v>0</v>
      </c>
      <c r="EH279" s="161">
        <f t="shared" si="501"/>
        <v>0</v>
      </c>
      <c r="EI279" s="161">
        <f t="shared" si="501"/>
        <v>0</v>
      </c>
      <c r="EJ279" s="65"/>
      <c r="EK279" s="161">
        <f t="shared" si="505"/>
        <v>0</v>
      </c>
      <c r="EL279" s="161">
        <f t="shared" si="506"/>
        <v>0</v>
      </c>
      <c r="EM279" s="161">
        <f t="shared" si="507"/>
        <v>0</v>
      </c>
    </row>
    <row r="280" spans="1:143" ht="12" hidden="1" customHeight="1" outlineLevel="2">
      <c r="A280" s="77">
        <v>20</v>
      </c>
      <c r="B280" s="137" t="str">
        <f t="shared" si="502"/>
        <v>EST_III - Equipe_01</v>
      </c>
      <c r="C280" s="65"/>
      <c r="D280" s="623"/>
      <c r="E280" s="65"/>
      <c r="F280" s="584"/>
      <c r="G280" s="77" t="str">
        <f>IF(INDEX(Tarefas!$BT$30:$FK$30,MATCH(A280,Tarefas!$BT$28:$FK$28,0))=0,"",INDEX(Tarefas!$BT$30:$FK$30,MATCH(A280,Tarefas!$BT$28:$FK$28,0)))</f>
        <v>EST_III</v>
      </c>
      <c r="H280" s="107" cm="1">
        <f t="array" ref="H280">IFERROR((SUMPRODUCT((Tarefas!$N$32:$N$54='Cronog. e Histog.'!$F$261)*(Tarefas!$BQ$30:$FK$30='Cronog. e Histog.'!$G280)*(Tarefas!$BQ$32:$FK$54)))/SUMIF(Tarefas!$N$32:$N$54,'Cronog. e Histog.'!$F$261,Tarefas!$K$32:$K$54),0)</f>
        <v>0</v>
      </c>
      <c r="I280" s="79">
        <f t="shared" si="503"/>
        <v>0</v>
      </c>
      <c r="J280" s="65"/>
      <c r="K280" s="160">
        <f t="shared" si="491"/>
        <v>0</v>
      </c>
      <c r="L280" s="160">
        <f t="shared" si="576"/>
        <v>0</v>
      </c>
      <c r="M280" s="160">
        <f t="shared" si="576"/>
        <v>0</v>
      </c>
      <c r="N280" s="160">
        <f t="shared" si="576"/>
        <v>0</v>
      </c>
      <c r="O280" s="160">
        <f t="shared" si="576"/>
        <v>0</v>
      </c>
      <c r="P280" s="160">
        <f t="shared" si="576"/>
        <v>0</v>
      </c>
      <c r="Q280" s="160">
        <f t="shared" si="576"/>
        <v>0</v>
      </c>
      <c r="R280" s="160">
        <f t="shared" si="576"/>
        <v>0</v>
      </c>
      <c r="S280" s="160">
        <f t="shared" si="576"/>
        <v>0</v>
      </c>
      <c r="T280" s="160">
        <f t="shared" si="576"/>
        <v>0</v>
      </c>
      <c r="U280" s="160">
        <f t="shared" si="576"/>
        <v>0</v>
      </c>
      <c r="V280" s="160">
        <f t="shared" si="576"/>
        <v>0</v>
      </c>
      <c r="W280" s="160">
        <f t="shared" si="576"/>
        <v>0</v>
      </c>
      <c r="X280" s="160">
        <f t="shared" si="576"/>
        <v>0</v>
      </c>
      <c r="Y280" s="160">
        <f t="shared" si="576"/>
        <v>0</v>
      </c>
      <c r="Z280" s="160">
        <f t="shared" si="576"/>
        <v>0</v>
      </c>
      <c r="AA280" s="160">
        <f t="shared" si="576"/>
        <v>0</v>
      </c>
      <c r="AB280" s="160">
        <f t="shared" si="576"/>
        <v>0</v>
      </c>
      <c r="AC280" s="160">
        <f t="shared" si="576"/>
        <v>0</v>
      </c>
      <c r="AD280" s="160">
        <f t="shared" si="576"/>
        <v>0</v>
      </c>
      <c r="AE280" s="160">
        <f t="shared" si="576"/>
        <v>0</v>
      </c>
      <c r="AF280" s="160">
        <f t="shared" si="576"/>
        <v>0</v>
      </c>
      <c r="AG280" s="160">
        <f t="shared" si="576"/>
        <v>0</v>
      </c>
      <c r="AH280" s="160">
        <f t="shared" si="576"/>
        <v>0</v>
      </c>
      <c r="AI280" s="160">
        <f t="shared" si="576"/>
        <v>0</v>
      </c>
      <c r="AJ280" s="160">
        <f t="shared" si="576"/>
        <v>0</v>
      </c>
      <c r="AK280" s="160">
        <f t="shared" si="576"/>
        <v>0</v>
      </c>
      <c r="AL280" s="160">
        <f t="shared" si="576"/>
        <v>0</v>
      </c>
      <c r="AM280" s="160">
        <f t="shared" si="576"/>
        <v>0</v>
      </c>
      <c r="AN280" s="160">
        <f t="shared" si="576"/>
        <v>0</v>
      </c>
      <c r="AO280" s="160">
        <f t="shared" si="576"/>
        <v>0</v>
      </c>
      <c r="AP280" s="160">
        <f t="shared" si="576"/>
        <v>0</v>
      </c>
      <c r="AQ280" s="160">
        <f t="shared" si="576"/>
        <v>0</v>
      </c>
      <c r="AR280" s="160">
        <f t="shared" si="576"/>
        <v>0</v>
      </c>
      <c r="AS280" s="160">
        <f t="shared" si="576"/>
        <v>0</v>
      </c>
      <c r="AT280" s="160">
        <f t="shared" si="576"/>
        <v>0</v>
      </c>
      <c r="AU280" s="160">
        <f t="shared" si="576"/>
        <v>0</v>
      </c>
      <c r="AV280" s="160">
        <f t="shared" si="576"/>
        <v>0</v>
      </c>
      <c r="AW280" s="160">
        <f t="shared" si="576"/>
        <v>0</v>
      </c>
      <c r="AX280" s="160">
        <f t="shared" si="576"/>
        <v>0</v>
      </c>
      <c r="AY280" s="160">
        <f t="shared" si="576"/>
        <v>0</v>
      </c>
      <c r="AZ280" s="160">
        <f t="shared" si="576"/>
        <v>0</v>
      </c>
      <c r="BA280" s="160">
        <f t="shared" si="576"/>
        <v>0</v>
      </c>
      <c r="BB280" s="160">
        <f t="shared" si="576"/>
        <v>0</v>
      </c>
      <c r="BC280" s="160">
        <f t="shared" si="576"/>
        <v>0</v>
      </c>
      <c r="BD280" s="160">
        <f t="shared" si="576"/>
        <v>0</v>
      </c>
      <c r="BE280" s="160">
        <f t="shared" si="576"/>
        <v>0</v>
      </c>
      <c r="BF280" s="160">
        <f t="shared" si="576"/>
        <v>0</v>
      </c>
      <c r="BG280" s="160">
        <f t="shared" si="576"/>
        <v>0</v>
      </c>
      <c r="BH280" s="160">
        <f t="shared" si="576"/>
        <v>0</v>
      </c>
      <c r="BI280" s="160">
        <f t="shared" si="576"/>
        <v>0</v>
      </c>
      <c r="BJ280" s="160">
        <f t="shared" si="576"/>
        <v>0</v>
      </c>
      <c r="BK280" s="160">
        <f t="shared" si="576"/>
        <v>0</v>
      </c>
      <c r="BL280" s="160">
        <f t="shared" si="576"/>
        <v>0</v>
      </c>
      <c r="BM280" s="160">
        <f t="shared" si="576"/>
        <v>0</v>
      </c>
      <c r="BN280" s="160">
        <f t="shared" si="576"/>
        <v>0</v>
      </c>
      <c r="BO280" s="160">
        <f t="shared" si="576"/>
        <v>0</v>
      </c>
      <c r="BP280" s="160">
        <f t="shared" si="576"/>
        <v>0</v>
      </c>
      <c r="BQ280" s="160">
        <f t="shared" si="576"/>
        <v>0</v>
      </c>
      <c r="BR280" s="160">
        <f t="shared" si="576"/>
        <v>0</v>
      </c>
      <c r="BS280" s="65"/>
      <c r="BT280" s="160">
        <f t="shared" si="493"/>
        <v>0</v>
      </c>
      <c r="BU280" s="160">
        <f t="shared" si="494"/>
        <v>0</v>
      </c>
      <c r="BV280" s="65"/>
      <c r="BW280" s="69"/>
      <c r="BX280" s="65"/>
      <c r="BY280" s="137">
        <f t="shared" si="495"/>
        <v>1</v>
      </c>
      <c r="BZ280" s="137">
        <f>IF(BY280&gt;0,BY280+LARGE($BZ$213:BZ279,1),0)</f>
        <v>60</v>
      </c>
      <c r="CA280" s="137" t="str">
        <f t="shared" si="496"/>
        <v>EST_III</v>
      </c>
      <c r="CB280" s="161">
        <f t="shared" si="497"/>
        <v>0</v>
      </c>
      <c r="CC280" s="161">
        <f t="shared" si="498"/>
        <v>0</v>
      </c>
      <c r="CD280" s="161">
        <f t="shared" si="498"/>
        <v>0</v>
      </c>
      <c r="CE280" s="161">
        <f t="shared" si="498"/>
        <v>0</v>
      </c>
      <c r="CF280" s="161">
        <f t="shared" si="498"/>
        <v>0</v>
      </c>
      <c r="CG280" s="161">
        <f t="shared" si="498"/>
        <v>0</v>
      </c>
      <c r="CH280" s="161">
        <f t="shared" si="498"/>
        <v>0</v>
      </c>
      <c r="CI280" s="161">
        <f t="shared" si="498"/>
        <v>0</v>
      </c>
      <c r="CJ280" s="161">
        <f t="shared" si="498"/>
        <v>0</v>
      </c>
      <c r="CK280" s="161">
        <f t="shared" si="498"/>
        <v>0</v>
      </c>
      <c r="CL280" s="161">
        <f t="shared" si="498"/>
        <v>0</v>
      </c>
      <c r="CM280" s="161">
        <f t="shared" si="498"/>
        <v>0</v>
      </c>
      <c r="CN280" s="161">
        <f t="shared" si="498"/>
        <v>0</v>
      </c>
      <c r="CO280" s="161">
        <f t="shared" si="498"/>
        <v>0</v>
      </c>
      <c r="CP280" s="161">
        <f t="shared" si="498"/>
        <v>0</v>
      </c>
      <c r="CQ280" s="161">
        <f t="shared" si="498"/>
        <v>0</v>
      </c>
      <c r="CR280" s="161">
        <f t="shared" si="498"/>
        <v>0</v>
      </c>
      <c r="CS280" s="161">
        <f t="shared" si="499"/>
        <v>0</v>
      </c>
      <c r="CT280" s="161">
        <f t="shared" si="499"/>
        <v>0</v>
      </c>
      <c r="CU280" s="161">
        <f t="shared" si="499"/>
        <v>0</v>
      </c>
      <c r="CV280" s="161">
        <f t="shared" si="499"/>
        <v>0</v>
      </c>
      <c r="CW280" s="161">
        <f t="shared" si="499"/>
        <v>0</v>
      </c>
      <c r="CX280" s="161">
        <f t="shared" si="499"/>
        <v>0</v>
      </c>
      <c r="CY280" s="161">
        <f t="shared" si="499"/>
        <v>0</v>
      </c>
      <c r="CZ280" s="161">
        <f t="shared" si="499"/>
        <v>0</v>
      </c>
      <c r="DA280" s="161">
        <f t="shared" si="499"/>
        <v>0</v>
      </c>
      <c r="DB280" s="161">
        <f t="shared" si="499"/>
        <v>0</v>
      </c>
      <c r="DC280" s="161">
        <f t="shared" si="499"/>
        <v>0</v>
      </c>
      <c r="DD280" s="161">
        <f t="shared" si="499"/>
        <v>0</v>
      </c>
      <c r="DE280" s="161">
        <f t="shared" si="499"/>
        <v>0</v>
      </c>
      <c r="DF280" s="161">
        <f t="shared" si="499"/>
        <v>0</v>
      </c>
      <c r="DG280" s="161">
        <f t="shared" si="499"/>
        <v>0</v>
      </c>
      <c r="DH280" s="161">
        <f t="shared" si="499"/>
        <v>0</v>
      </c>
      <c r="DI280" s="161">
        <f t="shared" si="500"/>
        <v>0</v>
      </c>
      <c r="DJ280" s="161">
        <f t="shared" si="500"/>
        <v>0</v>
      </c>
      <c r="DK280" s="161">
        <f t="shared" si="500"/>
        <v>0</v>
      </c>
      <c r="DL280" s="161">
        <f t="shared" si="500"/>
        <v>0</v>
      </c>
      <c r="DM280" s="161">
        <f t="shared" si="500"/>
        <v>0</v>
      </c>
      <c r="DN280" s="161">
        <f t="shared" si="500"/>
        <v>0</v>
      </c>
      <c r="DO280" s="161">
        <f t="shared" si="500"/>
        <v>0</v>
      </c>
      <c r="DP280" s="161">
        <f t="shared" si="500"/>
        <v>0</v>
      </c>
      <c r="DQ280" s="161">
        <f t="shared" si="500"/>
        <v>0</v>
      </c>
      <c r="DR280" s="161">
        <f t="shared" si="500"/>
        <v>0</v>
      </c>
      <c r="DS280" s="161">
        <f t="shared" si="500"/>
        <v>0</v>
      </c>
      <c r="DT280" s="161">
        <f t="shared" si="500"/>
        <v>0</v>
      </c>
      <c r="DU280" s="161">
        <f t="shared" si="500"/>
        <v>0</v>
      </c>
      <c r="DV280" s="161">
        <f t="shared" si="500"/>
        <v>0</v>
      </c>
      <c r="DW280" s="161">
        <f t="shared" si="500"/>
        <v>0</v>
      </c>
      <c r="DX280" s="161">
        <f t="shared" si="500"/>
        <v>0</v>
      </c>
      <c r="DY280" s="161">
        <f t="shared" si="501"/>
        <v>0</v>
      </c>
      <c r="DZ280" s="161">
        <f t="shared" si="501"/>
        <v>0</v>
      </c>
      <c r="EA280" s="161">
        <f t="shared" si="501"/>
        <v>0</v>
      </c>
      <c r="EB280" s="161">
        <f t="shared" si="501"/>
        <v>0</v>
      </c>
      <c r="EC280" s="161">
        <f t="shared" si="501"/>
        <v>0</v>
      </c>
      <c r="ED280" s="161">
        <f t="shared" si="501"/>
        <v>0</v>
      </c>
      <c r="EE280" s="161">
        <f t="shared" si="501"/>
        <v>0</v>
      </c>
      <c r="EF280" s="161">
        <f t="shared" si="501"/>
        <v>0</v>
      </c>
      <c r="EG280" s="161">
        <f t="shared" si="501"/>
        <v>0</v>
      </c>
      <c r="EH280" s="161">
        <f t="shared" si="501"/>
        <v>0</v>
      </c>
      <c r="EI280" s="161">
        <f t="shared" si="501"/>
        <v>0</v>
      </c>
      <c r="EJ280" s="65"/>
      <c r="EK280" s="161">
        <f t="shared" si="505"/>
        <v>0</v>
      </c>
      <c r="EL280" s="161">
        <f t="shared" si="506"/>
        <v>0</v>
      </c>
      <c r="EM280" s="161">
        <f t="shared" si="507"/>
        <v>0</v>
      </c>
    </row>
    <row r="281" spans="1:143" ht="12" hidden="1" customHeight="1" outlineLevel="1">
      <c r="B281" s="65"/>
      <c r="C281" s="65"/>
      <c r="D281" s="65"/>
      <c r="E281" s="65"/>
      <c r="F281" s="73" t="s">
        <v>380</v>
      </c>
      <c r="G281" s="162" t="str">
        <f>"Pico = "&amp;MAX(K281:BR281)</f>
        <v>Pico = 0,13</v>
      </c>
      <c r="H281" s="163">
        <f>SUM(H261:H280)</f>
        <v>1</v>
      </c>
      <c r="I281" s="148">
        <f>SUM(I261:I280)</f>
        <v>1</v>
      </c>
      <c r="J281" s="65"/>
      <c r="K281" s="146">
        <f>SUM(K261:K280)</f>
        <v>0.13</v>
      </c>
      <c r="L281" s="146">
        <f t="shared" ref="L281:BR281" si="577">SUM(L261:L280)</f>
        <v>0.13</v>
      </c>
      <c r="M281" s="146">
        <f t="shared" si="577"/>
        <v>0.13</v>
      </c>
      <c r="N281" s="146">
        <f t="shared" si="577"/>
        <v>0.13</v>
      </c>
      <c r="O281" s="146">
        <f t="shared" si="577"/>
        <v>0.13</v>
      </c>
      <c r="P281" s="146">
        <f t="shared" si="577"/>
        <v>0.13</v>
      </c>
      <c r="Q281" s="146">
        <f t="shared" si="577"/>
        <v>0.13</v>
      </c>
      <c r="R281" s="146">
        <f t="shared" si="577"/>
        <v>0.13</v>
      </c>
      <c r="S281" s="146">
        <f t="shared" si="577"/>
        <v>0.13</v>
      </c>
      <c r="T281" s="146">
        <f t="shared" si="577"/>
        <v>0.13</v>
      </c>
      <c r="U281" s="146">
        <f t="shared" si="577"/>
        <v>0</v>
      </c>
      <c r="V281" s="146">
        <f t="shared" si="577"/>
        <v>0</v>
      </c>
      <c r="W281" s="146">
        <f t="shared" si="577"/>
        <v>0</v>
      </c>
      <c r="X281" s="146">
        <f t="shared" si="577"/>
        <v>0</v>
      </c>
      <c r="Y281" s="146">
        <f t="shared" si="577"/>
        <v>0</v>
      </c>
      <c r="Z281" s="146">
        <f t="shared" si="577"/>
        <v>0</v>
      </c>
      <c r="AA281" s="146">
        <f t="shared" si="577"/>
        <v>0</v>
      </c>
      <c r="AB281" s="146">
        <f t="shared" si="577"/>
        <v>0</v>
      </c>
      <c r="AC281" s="146">
        <f t="shared" si="577"/>
        <v>0</v>
      </c>
      <c r="AD281" s="146">
        <f t="shared" si="577"/>
        <v>0</v>
      </c>
      <c r="AE281" s="146">
        <f t="shared" si="577"/>
        <v>0</v>
      </c>
      <c r="AF281" s="146">
        <f t="shared" si="577"/>
        <v>0</v>
      </c>
      <c r="AG281" s="146">
        <f t="shared" si="577"/>
        <v>0</v>
      </c>
      <c r="AH281" s="146">
        <f t="shared" si="577"/>
        <v>0</v>
      </c>
      <c r="AI281" s="146">
        <f t="shared" si="577"/>
        <v>0</v>
      </c>
      <c r="AJ281" s="146">
        <f t="shared" si="577"/>
        <v>0</v>
      </c>
      <c r="AK281" s="146">
        <f t="shared" si="577"/>
        <v>0</v>
      </c>
      <c r="AL281" s="146">
        <f t="shared" si="577"/>
        <v>0</v>
      </c>
      <c r="AM281" s="146">
        <f t="shared" si="577"/>
        <v>0</v>
      </c>
      <c r="AN281" s="146">
        <f t="shared" si="577"/>
        <v>0</v>
      </c>
      <c r="AO281" s="146">
        <f t="shared" si="577"/>
        <v>0</v>
      </c>
      <c r="AP281" s="146">
        <f t="shared" si="577"/>
        <v>0</v>
      </c>
      <c r="AQ281" s="146">
        <f t="shared" si="577"/>
        <v>0</v>
      </c>
      <c r="AR281" s="146">
        <f t="shared" si="577"/>
        <v>0</v>
      </c>
      <c r="AS281" s="146">
        <f t="shared" si="577"/>
        <v>0</v>
      </c>
      <c r="AT281" s="146">
        <f t="shared" si="577"/>
        <v>0</v>
      </c>
      <c r="AU281" s="146">
        <f t="shared" si="577"/>
        <v>0</v>
      </c>
      <c r="AV281" s="146">
        <f t="shared" si="577"/>
        <v>0</v>
      </c>
      <c r="AW281" s="146">
        <f t="shared" si="577"/>
        <v>0</v>
      </c>
      <c r="AX281" s="146">
        <f t="shared" si="577"/>
        <v>0</v>
      </c>
      <c r="AY281" s="146">
        <f t="shared" si="577"/>
        <v>0</v>
      </c>
      <c r="AZ281" s="146">
        <f t="shared" si="577"/>
        <v>0</v>
      </c>
      <c r="BA281" s="146">
        <f t="shared" si="577"/>
        <v>0</v>
      </c>
      <c r="BB281" s="146">
        <f t="shared" si="577"/>
        <v>0</v>
      </c>
      <c r="BC281" s="146">
        <f t="shared" si="577"/>
        <v>0</v>
      </c>
      <c r="BD281" s="146">
        <f t="shared" si="577"/>
        <v>0</v>
      </c>
      <c r="BE281" s="146">
        <f t="shared" si="577"/>
        <v>0</v>
      </c>
      <c r="BF281" s="146">
        <f t="shared" si="577"/>
        <v>0</v>
      </c>
      <c r="BG281" s="146">
        <f t="shared" si="577"/>
        <v>0</v>
      </c>
      <c r="BH281" s="146">
        <f t="shared" si="577"/>
        <v>0</v>
      </c>
      <c r="BI281" s="146">
        <f t="shared" si="577"/>
        <v>0</v>
      </c>
      <c r="BJ281" s="146">
        <f t="shared" si="577"/>
        <v>0</v>
      </c>
      <c r="BK281" s="146">
        <f t="shared" si="577"/>
        <v>0</v>
      </c>
      <c r="BL281" s="146">
        <f t="shared" si="577"/>
        <v>0</v>
      </c>
      <c r="BM281" s="146">
        <f t="shared" si="577"/>
        <v>0</v>
      </c>
      <c r="BN281" s="146">
        <f t="shared" si="577"/>
        <v>0</v>
      </c>
      <c r="BO281" s="146">
        <f t="shared" si="577"/>
        <v>0</v>
      </c>
      <c r="BP281" s="146">
        <f t="shared" si="577"/>
        <v>0</v>
      </c>
      <c r="BQ281" s="146">
        <f t="shared" si="577"/>
        <v>0</v>
      </c>
      <c r="BR281" s="146">
        <f t="shared" si="577"/>
        <v>0</v>
      </c>
      <c r="BS281" s="65"/>
      <c r="BT281" s="146">
        <f t="shared" ref="BT281" si="578">SUM(BT261:BT280)</f>
        <v>0.12999999999999998</v>
      </c>
      <c r="BU281" s="65"/>
      <c r="BV281" s="65"/>
      <c r="BW281" s="69"/>
      <c r="BX281" s="65"/>
      <c r="BY281" s="65"/>
      <c r="BZ281" s="65"/>
      <c r="CA281" s="65"/>
      <c r="CB281" s="65"/>
      <c r="CC281" s="65"/>
      <c r="CD281" s="65"/>
      <c r="CE281" s="65"/>
      <c r="CF281" s="65"/>
      <c r="CG281" s="65"/>
      <c r="CH281" s="65"/>
      <c r="CI281" s="65"/>
      <c r="CJ281" s="65"/>
      <c r="CK281" s="65"/>
      <c r="CL281" s="65"/>
      <c r="CM281" s="65"/>
      <c r="CN281" s="65"/>
      <c r="CO281" s="65"/>
      <c r="CP281" s="65"/>
      <c r="CQ281" s="65"/>
      <c r="CR281" s="65"/>
      <c r="CS281" s="65"/>
      <c r="CT281" s="65"/>
      <c r="CU281" s="65"/>
      <c r="CV281" s="65"/>
      <c r="CW281" s="65"/>
      <c r="CX281" s="65"/>
      <c r="CY281" s="65"/>
      <c r="CZ281" s="65"/>
      <c r="DA281" s="65"/>
      <c r="DB281" s="65"/>
      <c r="DC281" s="65"/>
      <c r="DD281" s="65"/>
      <c r="DE281" s="65"/>
      <c r="DF281" s="65"/>
      <c r="DG281" s="65"/>
      <c r="DH281" s="65"/>
      <c r="DI281" s="65"/>
      <c r="DJ281" s="65"/>
      <c r="DK281" s="65"/>
      <c r="DL281" s="65"/>
      <c r="DM281" s="65"/>
      <c r="DN281" s="65"/>
      <c r="DO281" s="65"/>
      <c r="DP281" s="65"/>
      <c r="DQ281" s="65"/>
      <c r="DR281" s="65"/>
      <c r="DS281" s="65"/>
      <c r="DT281" s="65"/>
      <c r="DU281" s="65"/>
      <c r="DV281" s="65"/>
      <c r="DW281" s="65"/>
      <c r="DX281" s="65"/>
      <c r="DY281" s="65"/>
      <c r="DZ281" s="65"/>
      <c r="EA281" s="65"/>
      <c r="EB281" s="65"/>
      <c r="EC281" s="65"/>
      <c r="ED281" s="65"/>
      <c r="EE281" s="65"/>
      <c r="EF281" s="65"/>
      <c r="EG281" s="65"/>
      <c r="EH281" s="65"/>
      <c r="EI281" s="65"/>
      <c r="EJ281" s="65"/>
      <c r="EK281" s="65"/>
      <c r="EL281" s="65"/>
      <c r="EM281" s="65"/>
    </row>
    <row r="282" spans="1:143" ht="12" hidden="1" customHeight="1" outlineLevel="1"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  <c r="AW282" s="65"/>
      <c r="AX282" s="65"/>
      <c r="AY282" s="65"/>
      <c r="AZ282" s="65"/>
      <c r="BA282" s="65"/>
      <c r="BB282" s="65"/>
      <c r="BC282" s="65"/>
      <c r="BD282" s="65"/>
      <c r="BE282" s="65"/>
      <c r="BF282" s="65"/>
      <c r="BG282" s="65"/>
      <c r="BH282" s="65"/>
      <c r="BI282" s="65"/>
      <c r="BJ282" s="65"/>
      <c r="BK282" s="65"/>
      <c r="BL282" s="65"/>
      <c r="BM282" s="65"/>
      <c r="BN282" s="65"/>
      <c r="BO282" s="65"/>
      <c r="BP282" s="65"/>
      <c r="BQ282" s="65"/>
      <c r="BR282" s="65"/>
      <c r="BS282" s="65"/>
      <c r="BT282" s="65"/>
      <c r="BU282" s="65"/>
      <c r="BV282" s="65"/>
      <c r="BW282" s="69"/>
      <c r="BX282" s="65"/>
      <c r="BY282" s="65"/>
      <c r="BZ282" s="65"/>
      <c r="CA282" s="65"/>
      <c r="CB282" s="65"/>
      <c r="CC282" s="65"/>
      <c r="CD282" s="65"/>
      <c r="CE282" s="65"/>
      <c r="CF282" s="65"/>
      <c r="CG282" s="65"/>
      <c r="CH282" s="65"/>
      <c r="CI282" s="65"/>
      <c r="CJ282" s="65"/>
      <c r="CK282" s="65"/>
      <c r="CL282" s="65"/>
      <c r="CM282" s="65"/>
      <c r="CN282" s="65"/>
      <c r="CO282" s="65"/>
      <c r="CP282" s="65"/>
      <c r="CQ282" s="65"/>
      <c r="CR282" s="65"/>
      <c r="CS282" s="65"/>
      <c r="CT282" s="65"/>
      <c r="CU282" s="65"/>
      <c r="CV282" s="65"/>
      <c r="CW282" s="65"/>
      <c r="CX282" s="65"/>
      <c r="CY282" s="65"/>
      <c r="CZ282" s="65"/>
      <c r="DA282" s="65"/>
      <c r="DB282" s="65"/>
      <c r="DC282" s="65"/>
      <c r="DD282" s="65"/>
      <c r="DE282" s="65"/>
      <c r="DF282" s="65"/>
      <c r="DG282" s="65"/>
      <c r="DH282" s="65"/>
      <c r="DI282" s="65"/>
      <c r="DJ282" s="65"/>
      <c r="DK282" s="65"/>
      <c r="DL282" s="65"/>
      <c r="DM282" s="65"/>
      <c r="DN282" s="65"/>
      <c r="DO282" s="65"/>
      <c r="DP282" s="65"/>
      <c r="DQ282" s="65"/>
      <c r="DR282" s="65"/>
      <c r="DS282" s="65"/>
      <c r="DT282" s="65"/>
      <c r="DU282" s="65"/>
      <c r="DV282" s="65"/>
      <c r="DW282" s="65"/>
      <c r="DX282" s="65"/>
      <c r="DY282" s="65"/>
      <c r="DZ282" s="65"/>
      <c r="EA282" s="65"/>
      <c r="EB282" s="65"/>
      <c r="EC282" s="65"/>
      <c r="ED282" s="65"/>
      <c r="EE282" s="65"/>
      <c r="EF282" s="65"/>
      <c r="EG282" s="65"/>
      <c r="EH282" s="65"/>
      <c r="EI282" s="65"/>
      <c r="EJ282" s="65"/>
      <c r="EK282" s="65"/>
      <c r="EL282" s="65"/>
      <c r="EM282" s="65"/>
    </row>
    <row r="283" spans="1:143" ht="24" hidden="1" customHeight="1" outlineLevel="1">
      <c r="B283" s="593" t="s">
        <v>395</v>
      </c>
      <c r="C283" s="65"/>
      <c r="D283" s="65"/>
      <c r="E283" s="65"/>
      <c r="F283" s="149" t="str">
        <f>IF($G$54&gt;0,$G$54,"")</f>
        <v>Equipe04</v>
      </c>
      <c r="G283" s="149"/>
      <c r="H283" s="149"/>
      <c r="I283" s="149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  <c r="AW283" s="65"/>
      <c r="AX283" s="65"/>
      <c r="AY283" s="65"/>
      <c r="AZ283" s="65"/>
      <c r="BA283" s="65"/>
      <c r="BB283" s="65"/>
      <c r="BC283" s="65"/>
      <c r="BD283" s="65"/>
      <c r="BE283" s="65"/>
      <c r="BF283" s="65"/>
      <c r="BG283" s="65"/>
      <c r="BH283" s="65"/>
      <c r="BI283" s="65"/>
      <c r="BJ283" s="65"/>
      <c r="BK283" s="65"/>
      <c r="BL283" s="65"/>
      <c r="BM283" s="65"/>
      <c r="BN283" s="65"/>
      <c r="BO283" s="65"/>
      <c r="BP283" s="65"/>
      <c r="BQ283" s="65"/>
      <c r="BR283" s="65"/>
      <c r="BS283" s="65"/>
      <c r="BT283" s="601" t="s">
        <v>396</v>
      </c>
      <c r="BU283" s="601" t="s">
        <v>397</v>
      </c>
      <c r="BV283" s="65"/>
      <c r="BW283" s="69"/>
      <c r="BX283" s="65"/>
      <c r="BY283" s="593" t="s">
        <v>398</v>
      </c>
      <c r="BZ283" s="593" t="s">
        <v>399</v>
      </c>
      <c r="CA283" s="593" t="s">
        <v>400</v>
      </c>
      <c r="CB283" s="592" t="s">
        <v>401</v>
      </c>
      <c r="CC283" s="592" t="s">
        <v>402</v>
      </c>
      <c r="CD283" s="592" t="s">
        <v>403</v>
      </c>
      <c r="CE283" s="592" t="s">
        <v>404</v>
      </c>
      <c r="CF283" s="592" t="s">
        <v>405</v>
      </c>
      <c r="CG283" s="592" t="s">
        <v>406</v>
      </c>
      <c r="CH283" s="592" t="s">
        <v>407</v>
      </c>
      <c r="CI283" s="592" t="s">
        <v>408</v>
      </c>
      <c r="CJ283" s="592" t="s">
        <v>409</v>
      </c>
      <c r="CK283" s="592" t="s">
        <v>410</v>
      </c>
      <c r="CL283" s="592" t="s">
        <v>411</v>
      </c>
      <c r="CM283" s="592" t="s">
        <v>412</v>
      </c>
      <c r="CN283" s="592" t="s">
        <v>413</v>
      </c>
      <c r="CO283" s="592" t="s">
        <v>414</v>
      </c>
      <c r="CP283" s="592" t="s">
        <v>415</v>
      </c>
      <c r="CQ283" s="592" t="s">
        <v>416</v>
      </c>
      <c r="CR283" s="592" t="s">
        <v>417</v>
      </c>
      <c r="CS283" s="592" t="s">
        <v>418</v>
      </c>
      <c r="CT283" s="592" t="s">
        <v>419</v>
      </c>
      <c r="CU283" s="592" t="s">
        <v>420</v>
      </c>
      <c r="CV283" s="592" t="s">
        <v>421</v>
      </c>
      <c r="CW283" s="592" t="s">
        <v>422</v>
      </c>
      <c r="CX283" s="592" t="s">
        <v>423</v>
      </c>
      <c r="CY283" s="592" t="s">
        <v>424</v>
      </c>
      <c r="CZ283" s="592" t="s">
        <v>425</v>
      </c>
      <c r="DA283" s="592" t="s">
        <v>426</v>
      </c>
      <c r="DB283" s="592" t="s">
        <v>427</v>
      </c>
      <c r="DC283" s="592" t="s">
        <v>428</v>
      </c>
      <c r="DD283" s="592" t="s">
        <v>429</v>
      </c>
      <c r="DE283" s="592" t="s">
        <v>430</v>
      </c>
      <c r="DF283" s="592" t="s">
        <v>431</v>
      </c>
      <c r="DG283" s="592" t="s">
        <v>432</v>
      </c>
      <c r="DH283" s="592" t="s">
        <v>433</v>
      </c>
      <c r="DI283" s="592" t="s">
        <v>434</v>
      </c>
      <c r="DJ283" s="592" t="s">
        <v>435</v>
      </c>
      <c r="DK283" s="592" t="s">
        <v>436</v>
      </c>
      <c r="DL283" s="592" t="s">
        <v>437</v>
      </c>
      <c r="DM283" s="592" t="s">
        <v>438</v>
      </c>
      <c r="DN283" s="592" t="s">
        <v>439</v>
      </c>
      <c r="DO283" s="592" t="s">
        <v>440</v>
      </c>
      <c r="DP283" s="592" t="s">
        <v>441</v>
      </c>
      <c r="DQ283" s="592" t="s">
        <v>442</v>
      </c>
      <c r="DR283" s="592" t="s">
        <v>443</v>
      </c>
      <c r="DS283" s="592" t="s">
        <v>444</v>
      </c>
      <c r="DT283" s="592" t="s">
        <v>445</v>
      </c>
      <c r="DU283" s="592" t="s">
        <v>446</v>
      </c>
      <c r="DV283" s="592" t="s">
        <v>447</v>
      </c>
      <c r="DW283" s="592" t="s">
        <v>448</v>
      </c>
      <c r="DX283" s="592" t="s">
        <v>449</v>
      </c>
      <c r="DY283" s="592" t="s">
        <v>450</v>
      </c>
      <c r="DZ283" s="592" t="s">
        <v>451</v>
      </c>
      <c r="EA283" s="592" t="s">
        <v>452</v>
      </c>
      <c r="EB283" s="592" t="s">
        <v>453</v>
      </c>
      <c r="EC283" s="592" t="s">
        <v>454</v>
      </c>
      <c r="ED283" s="592" t="s">
        <v>455</v>
      </c>
      <c r="EE283" s="592" t="s">
        <v>456</v>
      </c>
      <c r="EF283" s="592" t="s">
        <v>457</v>
      </c>
      <c r="EG283" s="592" t="s">
        <v>458</v>
      </c>
      <c r="EH283" s="592" t="s">
        <v>459</v>
      </c>
      <c r="EI283" s="592" t="s">
        <v>460</v>
      </c>
      <c r="EJ283" s="65"/>
      <c r="EK283" s="157" t="s">
        <v>376</v>
      </c>
      <c r="EL283" s="157" t="s">
        <v>461</v>
      </c>
      <c r="EM283" s="157" t="s">
        <v>383</v>
      </c>
    </row>
    <row r="284" spans="1:143" ht="12" hidden="1" customHeight="1" outlineLevel="1" collapsed="1">
      <c r="B284" s="593"/>
      <c r="C284" s="65"/>
      <c r="D284" s="65"/>
      <c r="E284" s="65"/>
      <c r="F284" s="158" t="s">
        <v>198</v>
      </c>
      <c r="G284" s="158" t="s">
        <v>462</v>
      </c>
      <c r="H284" s="158" t="s">
        <v>255</v>
      </c>
      <c r="I284" s="158" t="s">
        <v>68</v>
      </c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  <c r="AW284" s="65"/>
      <c r="AX284" s="65"/>
      <c r="AY284" s="65"/>
      <c r="AZ284" s="65"/>
      <c r="BA284" s="65"/>
      <c r="BB284" s="65"/>
      <c r="BC284" s="65"/>
      <c r="BD284" s="65"/>
      <c r="BE284" s="65"/>
      <c r="BF284" s="65"/>
      <c r="BG284" s="65"/>
      <c r="BH284" s="65"/>
      <c r="BI284" s="65"/>
      <c r="BJ284" s="65"/>
      <c r="BK284" s="65"/>
      <c r="BL284" s="65"/>
      <c r="BM284" s="65"/>
      <c r="BN284" s="65"/>
      <c r="BO284" s="65"/>
      <c r="BP284" s="65"/>
      <c r="BQ284" s="65"/>
      <c r="BR284" s="65"/>
      <c r="BS284" s="65"/>
      <c r="BT284" s="602"/>
      <c r="BU284" s="602"/>
      <c r="BV284" s="65"/>
      <c r="BW284" s="69"/>
      <c r="BX284" s="65"/>
      <c r="BY284" s="593"/>
      <c r="BZ284" s="593"/>
      <c r="CA284" s="593"/>
      <c r="CB284" s="592"/>
      <c r="CC284" s="592"/>
      <c r="CD284" s="592"/>
      <c r="CE284" s="592"/>
      <c r="CF284" s="592"/>
      <c r="CG284" s="592"/>
      <c r="CH284" s="592"/>
      <c r="CI284" s="592"/>
      <c r="CJ284" s="592"/>
      <c r="CK284" s="592"/>
      <c r="CL284" s="592"/>
      <c r="CM284" s="592"/>
      <c r="CN284" s="592"/>
      <c r="CO284" s="592"/>
      <c r="CP284" s="592"/>
      <c r="CQ284" s="592"/>
      <c r="CR284" s="592"/>
      <c r="CS284" s="592"/>
      <c r="CT284" s="592"/>
      <c r="CU284" s="592"/>
      <c r="CV284" s="592"/>
      <c r="CW284" s="592"/>
      <c r="CX284" s="592"/>
      <c r="CY284" s="592"/>
      <c r="CZ284" s="592"/>
      <c r="DA284" s="592"/>
      <c r="DB284" s="592"/>
      <c r="DC284" s="592"/>
      <c r="DD284" s="592"/>
      <c r="DE284" s="592"/>
      <c r="DF284" s="592"/>
      <c r="DG284" s="592"/>
      <c r="DH284" s="592"/>
      <c r="DI284" s="592"/>
      <c r="DJ284" s="592"/>
      <c r="DK284" s="592"/>
      <c r="DL284" s="592"/>
      <c r="DM284" s="592"/>
      <c r="DN284" s="592"/>
      <c r="DO284" s="592"/>
      <c r="DP284" s="592"/>
      <c r="DQ284" s="592"/>
      <c r="DR284" s="592"/>
      <c r="DS284" s="592"/>
      <c r="DT284" s="592"/>
      <c r="DU284" s="592"/>
      <c r="DV284" s="592"/>
      <c r="DW284" s="592"/>
      <c r="DX284" s="592"/>
      <c r="DY284" s="592"/>
      <c r="DZ284" s="592"/>
      <c r="EA284" s="592"/>
      <c r="EB284" s="592"/>
      <c r="EC284" s="592"/>
      <c r="ED284" s="592"/>
      <c r="EE284" s="592"/>
      <c r="EF284" s="592"/>
      <c r="EG284" s="592"/>
      <c r="EH284" s="592"/>
      <c r="EI284" s="592"/>
      <c r="EJ284" s="65"/>
      <c r="EK284" s="159">
        <f>IFERROR(ROUNDUP(SUMPRODUCT($K305:$BR305,$K$109:$BR$109)/SUM($K305:$BR305),2),0)</f>
        <v>0</v>
      </c>
      <c r="EL284" s="159">
        <f>IFERROR(ROUNDUP(SUMPRODUCT($K305:$BR305,$K$133:$BR$133)/SUM($K305:$BR305),2),0)</f>
        <v>0</v>
      </c>
      <c r="EM284" s="159">
        <f>IFERROR(ROUNDUP(SUMPRODUCT($K305:$BR305,$K$157:$BR$157)/SUM($K305:$BR305),2),0)</f>
        <v>0</v>
      </c>
    </row>
    <row r="285" spans="1:143" ht="12" hidden="1" customHeight="1" outlineLevel="2">
      <c r="A285" s="77">
        <v>1</v>
      </c>
      <c r="B285" s="137" t="str">
        <f>IF(G285&gt;0,G285&amp;" - "&amp;$F$213,"")</f>
        <v>GER. (OBRA/PROJ) - Equipe_01</v>
      </c>
      <c r="C285" s="65"/>
      <c r="D285" s="620" t="s">
        <v>463</v>
      </c>
      <c r="E285" s="65"/>
      <c r="F285" s="584" t="str">
        <f>IFERROR(VLOOKUP(F283,Tarefas!$F$3:$G$22,2,0),"")</f>
        <v>Equipe_04</v>
      </c>
      <c r="G285" s="77" t="str">
        <f>IF(INDEX(Tarefas!$BT$30:$FK$30,MATCH(A285,Tarefas!$BT$28:$FK$28,0))=0,"",INDEX(Tarefas!$BT$30:$FK$30,MATCH(A285,Tarefas!$BT$28:$FK$28,0)))</f>
        <v>GER. (OBRA/PROJ)</v>
      </c>
      <c r="H285" s="107" cm="1">
        <f t="array" ref="H285">IFERROR((SUMPRODUCT((Tarefas!$N$32:$N$54='Cronog. e Histog.'!$F$285)*(Tarefas!$BQ$30:$FK$30='Cronog. e Histog.'!$G285)*(Tarefas!$BQ$32:$FK$54)))/SUMIF(Tarefas!$N$32:$N$54,'Cronog. e Histog.'!$F$285,Tarefas!$K$32:$K$54),0)</f>
        <v>0</v>
      </c>
      <c r="I285" s="79">
        <f>IFERROR(H285/$H$305,0)</f>
        <v>0</v>
      </c>
      <c r="J285" s="65"/>
      <c r="K285" s="160">
        <f>ROUND($I285*K$186,2)</f>
        <v>0</v>
      </c>
      <c r="L285" s="160">
        <f t="shared" ref="L285:BR289" si="579">ROUND($I285*L$186,2)</f>
        <v>0</v>
      </c>
      <c r="M285" s="160">
        <f t="shared" si="579"/>
        <v>0</v>
      </c>
      <c r="N285" s="160">
        <f t="shared" si="579"/>
        <v>0</v>
      </c>
      <c r="O285" s="160">
        <f t="shared" si="579"/>
        <v>0</v>
      </c>
      <c r="P285" s="160">
        <f t="shared" si="579"/>
        <v>0</v>
      </c>
      <c r="Q285" s="160">
        <f t="shared" si="579"/>
        <v>0</v>
      </c>
      <c r="R285" s="160">
        <f t="shared" si="579"/>
        <v>0</v>
      </c>
      <c r="S285" s="160">
        <f t="shared" si="579"/>
        <v>0</v>
      </c>
      <c r="T285" s="160">
        <f t="shared" si="579"/>
        <v>0</v>
      </c>
      <c r="U285" s="160">
        <f t="shared" si="579"/>
        <v>0</v>
      </c>
      <c r="V285" s="160">
        <f t="shared" si="579"/>
        <v>0</v>
      </c>
      <c r="W285" s="160">
        <f t="shared" si="579"/>
        <v>0</v>
      </c>
      <c r="X285" s="160">
        <f t="shared" si="579"/>
        <v>0</v>
      </c>
      <c r="Y285" s="160">
        <f t="shared" si="579"/>
        <v>0</v>
      </c>
      <c r="Z285" s="160">
        <f t="shared" si="579"/>
        <v>0</v>
      </c>
      <c r="AA285" s="160">
        <f t="shared" si="579"/>
        <v>0</v>
      </c>
      <c r="AB285" s="160">
        <f t="shared" si="579"/>
        <v>0</v>
      </c>
      <c r="AC285" s="160">
        <f t="shared" si="579"/>
        <v>0</v>
      </c>
      <c r="AD285" s="160">
        <f t="shared" si="579"/>
        <v>0</v>
      </c>
      <c r="AE285" s="160">
        <f t="shared" si="579"/>
        <v>0</v>
      </c>
      <c r="AF285" s="160">
        <f t="shared" si="579"/>
        <v>0</v>
      </c>
      <c r="AG285" s="160">
        <f t="shared" si="579"/>
        <v>0</v>
      </c>
      <c r="AH285" s="160">
        <f t="shared" si="579"/>
        <v>0</v>
      </c>
      <c r="AI285" s="160">
        <f t="shared" si="579"/>
        <v>0</v>
      </c>
      <c r="AJ285" s="160">
        <f t="shared" si="579"/>
        <v>0</v>
      </c>
      <c r="AK285" s="160">
        <f t="shared" si="579"/>
        <v>0</v>
      </c>
      <c r="AL285" s="160">
        <f t="shared" si="579"/>
        <v>0</v>
      </c>
      <c r="AM285" s="160">
        <f t="shared" si="579"/>
        <v>0</v>
      </c>
      <c r="AN285" s="160">
        <f t="shared" si="579"/>
        <v>0</v>
      </c>
      <c r="AO285" s="160">
        <f t="shared" si="579"/>
        <v>0</v>
      </c>
      <c r="AP285" s="160">
        <f t="shared" si="579"/>
        <v>0</v>
      </c>
      <c r="AQ285" s="160">
        <f t="shared" si="579"/>
        <v>0</v>
      </c>
      <c r="AR285" s="160">
        <f t="shared" si="579"/>
        <v>0</v>
      </c>
      <c r="AS285" s="160">
        <f t="shared" si="579"/>
        <v>0</v>
      </c>
      <c r="AT285" s="160">
        <f t="shared" si="579"/>
        <v>0</v>
      </c>
      <c r="AU285" s="160">
        <f t="shared" si="579"/>
        <v>0</v>
      </c>
      <c r="AV285" s="160">
        <f t="shared" si="579"/>
        <v>0</v>
      </c>
      <c r="AW285" s="160">
        <f t="shared" si="579"/>
        <v>0</v>
      </c>
      <c r="AX285" s="160">
        <f t="shared" si="579"/>
        <v>0</v>
      </c>
      <c r="AY285" s="160">
        <f t="shared" si="579"/>
        <v>0</v>
      </c>
      <c r="AZ285" s="160">
        <f t="shared" si="579"/>
        <v>0</v>
      </c>
      <c r="BA285" s="160">
        <f t="shared" si="579"/>
        <v>0</v>
      </c>
      <c r="BB285" s="160">
        <f t="shared" si="579"/>
        <v>0</v>
      </c>
      <c r="BC285" s="160">
        <f t="shared" si="579"/>
        <v>0</v>
      </c>
      <c r="BD285" s="160">
        <f t="shared" si="579"/>
        <v>0</v>
      </c>
      <c r="BE285" s="160">
        <f t="shared" si="579"/>
        <v>0</v>
      </c>
      <c r="BF285" s="160">
        <f t="shared" si="579"/>
        <v>0</v>
      </c>
      <c r="BG285" s="160">
        <f t="shared" si="579"/>
        <v>0</v>
      </c>
      <c r="BH285" s="160">
        <f t="shared" si="579"/>
        <v>0</v>
      </c>
      <c r="BI285" s="160">
        <f t="shared" si="579"/>
        <v>0</v>
      </c>
      <c r="BJ285" s="160">
        <f t="shared" si="579"/>
        <v>0</v>
      </c>
      <c r="BK285" s="160">
        <f t="shared" si="579"/>
        <v>0</v>
      </c>
      <c r="BL285" s="160">
        <f t="shared" si="579"/>
        <v>0</v>
      </c>
      <c r="BM285" s="160">
        <f t="shared" si="579"/>
        <v>0</v>
      </c>
      <c r="BN285" s="160">
        <f t="shared" si="579"/>
        <v>0</v>
      </c>
      <c r="BO285" s="160">
        <f t="shared" si="579"/>
        <v>0</v>
      </c>
      <c r="BP285" s="160">
        <f t="shared" si="579"/>
        <v>0</v>
      </c>
      <c r="BQ285" s="160">
        <f t="shared" si="579"/>
        <v>0</v>
      </c>
      <c r="BR285" s="160">
        <f t="shared" si="579"/>
        <v>0</v>
      </c>
      <c r="BS285" s="65"/>
      <c r="BT285" s="160">
        <f t="shared" ref="BT285:BT304" si="580">IFERROR(SUM(K285:BR285)/COUNTIF(K285:BR285,"&gt;0"),0)</f>
        <v>0</v>
      </c>
      <c r="BU285" s="160">
        <f t="shared" ref="BU285:BU304" si="581">COUNTIF(K285:BR285,"&gt;0")</f>
        <v>0</v>
      </c>
      <c r="BV285" s="65"/>
      <c r="BW285" s="69"/>
      <c r="BX285" s="65"/>
      <c r="BY285" s="137">
        <f t="shared" ref="BY285:BY304" si="582">IF(G285&gt;0,1,0)</f>
        <v>1</v>
      </c>
      <c r="BZ285" s="137">
        <f>IF(BY285&gt;0,BY285+LARGE($BZ$213:BZ284,1),0)</f>
        <v>61</v>
      </c>
      <c r="CA285" s="137" t="str">
        <f t="shared" ref="CA285:CA304" si="583">G285</f>
        <v>GER. (OBRA/PROJ)</v>
      </c>
      <c r="CB285" s="161">
        <f t="shared" ref="CB285:CB304" si="584">K285</f>
        <v>0</v>
      </c>
      <c r="CC285" s="161">
        <f t="shared" ref="CC285:CC304" si="585">L285</f>
        <v>0</v>
      </c>
      <c r="CD285" s="161">
        <f t="shared" ref="CD285:CD304" si="586">M285</f>
        <v>0</v>
      </c>
      <c r="CE285" s="161">
        <f t="shared" ref="CE285:CE304" si="587">N285</f>
        <v>0</v>
      </c>
      <c r="CF285" s="161">
        <f t="shared" ref="CF285:CF304" si="588">O285</f>
        <v>0</v>
      </c>
      <c r="CG285" s="161">
        <f t="shared" ref="CG285:CG304" si="589">P285</f>
        <v>0</v>
      </c>
      <c r="CH285" s="161">
        <f t="shared" ref="CH285:CH304" si="590">Q285</f>
        <v>0</v>
      </c>
      <c r="CI285" s="161">
        <f t="shared" ref="CI285:CI304" si="591">R285</f>
        <v>0</v>
      </c>
      <c r="CJ285" s="161">
        <f t="shared" ref="CJ285:CJ304" si="592">S285</f>
        <v>0</v>
      </c>
      <c r="CK285" s="161">
        <f t="shared" ref="CK285:CK304" si="593">T285</f>
        <v>0</v>
      </c>
      <c r="CL285" s="161">
        <f t="shared" ref="CL285:CL304" si="594">U285</f>
        <v>0</v>
      </c>
      <c r="CM285" s="161">
        <f t="shared" ref="CM285:CM304" si="595">V285</f>
        <v>0</v>
      </c>
      <c r="CN285" s="161">
        <f t="shared" ref="CN285:CN304" si="596">W285</f>
        <v>0</v>
      </c>
      <c r="CO285" s="161">
        <f t="shared" ref="CO285:CO304" si="597">X285</f>
        <v>0</v>
      </c>
      <c r="CP285" s="161">
        <f t="shared" ref="CP285:CP304" si="598">Y285</f>
        <v>0</v>
      </c>
      <c r="CQ285" s="161">
        <f t="shared" ref="CQ285:CQ304" si="599">Z285</f>
        <v>0</v>
      </c>
      <c r="CR285" s="161">
        <f t="shared" ref="CR285:CR304" si="600">AA285</f>
        <v>0</v>
      </c>
      <c r="CS285" s="161">
        <f t="shared" ref="CS285:CS304" si="601">AB285</f>
        <v>0</v>
      </c>
      <c r="CT285" s="161">
        <f t="shared" ref="CT285:CT304" si="602">AC285</f>
        <v>0</v>
      </c>
      <c r="CU285" s="161">
        <f t="shared" ref="CU285:CU304" si="603">AD285</f>
        <v>0</v>
      </c>
      <c r="CV285" s="161">
        <f t="shared" ref="CV285:CV304" si="604">AE285</f>
        <v>0</v>
      </c>
      <c r="CW285" s="161">
        <f t="shared" ref="CW285:CW304" si="605">AF285</f>
        <v>0</v>
      </c>
      <c r="CX285" s="161">
        <f t="shared" ref="CX285:CX304" si="606">AG285</f>
        <v>0</v>
      </c>
      <c r="CY285" s="161">
        <f t="shared" ref="CY285:CY304" si="607">AH285</f>
        <v>0</v>
      </c>
      <c r="CZ285" s="161">
        <f t="shared" ref="CZ285:CZ304" si="608">AI285</f>
        <v>0</v>
      </c>
      <c r="DA285" s="161">
        <f t="shared" ref="DA285:DA304" si="609">AJ285</f>
        <v>0</v>
      </c>
      <c r="DB285" s="161">
        <f t="shared" ref="DB285:DB304" si="610">AK285</f>
        <v>0</v>
      </c>
      <c r="DC285" s="161">
        <f t="shared" ref="DC285:DC304" si="611">AL285</f>
        <v>0</v>
      </c>
      <c r="DD285" s="161">
        <f t="shared" ref="DD285:DD304" si="612">AM285</f>
        <v>0</v>
      </c>
      <c r="DE285" s="161">
        <f t="shared" ref="DE285:DE304" si="613">AN285</f>
        <v>0</v>
      </c>
      <c r="DF285" s="161">
        <f t="shared" ref="DF285:DF304" si="614">AO285</f>
        <v>0</v>
      </c>
      <c r="DG285" s="161">
        <f t="shared" ref="DG285:DG304" si="615">AP285</f>
        <v>0</v>
      </c>
      <c r="DH285" s="161">
        <f t="shared" ref="DH285:DH304" si="616">AQ285</f>
        <v>0</v>
      </c>
      <c r="DI285" s="161">
        <f t="shared" ref="DI285:DI304" si="617">AR285</f>
        <v>0</v>
      </c>
      <c r="DJ285" s="161">
        <f t="shared" ref="DJ285:DJ304" si="618">AS285</f>
        <v>0</v>
      </c>
      <c r="DK285" s="161">
        <f t="shared" ref="DK285:DK304" si="619">AT285</f>
        <v>0</v>
      </c>
      <c r="DL285" s="161">
        <f t="shared" ref="DL285:DL304" si="620">AU285</f>
        <v>0</v>
      </c>
      <c r="DM285" s="161">
        <f t="shared" ref="DM285:DM304" si="621">AV285</f>
        <v>0</v>
      </c>
      <c r="DN285" s="161">
        <f t="shared" ref="DN285:DN304" si="622">AW285</f>
        <v>0</v>
      </c>
      <c r="DO285" s="161">
        <f t="shared" ref="DO285:DO304" si="623">AX285</f>
        <v>0</v>
      </c>
      <c r="DP285" s="161">
        <f t="shared" ref="DP285:DP304" si="624">AY285</f>
        <v>0</v>
      </c>
      <c r="DQ285" s="161">
        <f t="shared" ref="DQ285:DQ304" si="625">AZ285</f>
        <v>0</v>
      </c>
      <c r="DR285" s="161">
        <f t="shared" ref="DR285:DR304" si="626">BA285</f>
        <v>0</v>
      </c>
      <c r="DS285" s="161">
        <f t="shared" ref="DS285:DS304" si="627">BB285</f>
        <v>0</v>
      </c>
      <c r="DT285" s="161">
        <f t="shared" ref="DT285:DT304" si="628">BC285</f>
        <v>0</v>
      </c>
      <c r="DU285" s="161">
        <f t="shared" ref="DU285:DU304" si="629">BD285</f>
        <v>0</v>
      </c>
      <c r="DV285" s="161">
        <f t="shared" ref="DV285:DV304" si="630">BE285</f>
        <v>0</v>
      </c>
      <c r="DW285" s="161">
        <f t="shared" ref="DW285:DW304" si="631">BF285</f>
        <v>0</v>
      </c>
      <c r="DX285" s="161">
        <f t="shared" ref="DX285:DX304" si="632">BG285</f>
        <v>0</v>
      </c>
      <c r="DY285" s="161">
        <f t="shared" ref="DY285:DY304" si="633">BH285</f>
        <v>0</v>
      </c>
      <c r="DZ285" s="161">
        <f t="shared" ref="DZ285:DZ304" si="634">BI285</f>
        <v>0</v>
      </c>
      <c r="EA285" s="161">
        <f t="shared" ref="EA285:EA304" si="635">BJ285</f>
        <v>0</v>
      </c>
      <c r="EB285" s="161">
        <f t="shared" ref="EB285:EB304" si="636">BK285</f>
        <v>0</v>
      </c>
      <c r="EC285" s="161">
        <f t="shared" ref="EC285:EC304" si="637">BL285</f>
        <v>0</v>
      </c>
      <c r="ED285" s="161">
        <f t="shared" ref="ED285:ED304" si="638">BM285</f>
        <v>0</v>
      </c>
      <c r="EE285" s="161">
        <f t="shared" ref="EE285:EE304" si="639">BN285</f>
        <v>0</v>
      </c>
      <c r="EF285" s="161">
        <f t="shared" ref="EF285:EF304" si="640">BO285</f>
        <v>0</v>
      </c>
      <c r="EG285" s="161">
        <f t="shared" ref="EG285:EG304" si="641">BP285</f>
        <v>0</v>
      </c>
      <c r="EH285" s="161">
        <f t="shared" ref="EH285:EH304" si="642">BQ285</f>
        <v>0</v>
      </c>
      <c r="EI285" s="161">
        <f t="shared" ref="EI285:EI304" si="643">BR285</f>
        <v>0</v>
      </c>
      <c r="EJ285" s="65"/>
      <c r="EK285" s="161">
        <f>$EK$284</f>
        <v>0</v>
      </c>
      <c r="EL285" s="161">
        <f>$EL$284</f>
        <v>0</v>
      </c>
      <c r="EM285" s="161">
        <f>$EM$284</f>
        <v>0</v>
      </c>
    </row>
    <row r="286" spans="1:143" ht="12" hidden="1" customHeight="1" outlineLevel="2">
      <c r="A286" s="77">
        <v>2</v>
      </c>
      <c r="B286" s="137" t="str">
        <f t="shared" ref="B286:B304" si="644">IF(G286&gt;0,G286&amp;" - "&amp;$F$213,"")</f>
        <v>COORD. - Equipe_01</v>
      </c>
      <c r="C286" s="65"/>
      <c r="D286" s="622"/>
      <c r="E286" s="65"/>
      <c r="F286" s="584"/>
      <c r="G286" s="77" t="str">
        <f>IF(INDEX(Tarefas!$BT$30:$FK$30,MATCH(A286,Tarefas!$BT$28:$FK$28,0))=0,"",INDEX(Tarefas!$BT$30:$FK$30,MATCH(A286,Tarefas!$BT$28:$FK$28,0)))</f>
        <v>COORD.</v>
      </c>
      <c r="H286" s="107" cm="1">
        <f t="array" ref="H286">IFERROR((SUMPRODUCT((Tarefas!$N$32:$N$54='Cronog. e Histog.'!$F$285)*(Tarefas!$BQ$30:$FK$30='Cronog. e Histog.'!$G286)*(Tarefas!$BQ$32:$FK$54)))/SUMIF(Tarefas!$N$32:$N$54,'Cronog. e Histog.'!$F$285,Tarefas!$K$32:$K$54),0)</f>
        <v>0</v>
      </c>
      <c r="I286" s="79">
        <f t="shared" ref="I286:I304" si="645">IFERROR(H286/$H$305,0)</f>
        <v>0</v>
      </c>
      <c r="J286" s="65"/>
      <c r="K286" s="160">
        <f t="shared" ref="K286:Z304" si="646">ROUND($I286*K$186,2)</f>
        <v>0</v>
      </c>
      <c r="L286" s="160">
        <f t="shared" si="646"/>
        <v>0</v>
      </c>
      <c r="M286" s="160">
        <f t="shared" si="646"/>
        <v>0</v>
      </c>
      <c r="N286" s="160">
        <f t="shared" si="646"/>
        <v>0</v>
      </c>
      <c r="O286" s="160">
        <f t="shared" si="646"/>
        <v>0</v>
      </c>
      <c r="P286" s="160">
        <f t="shared" si="646"/>
        <v>0</v>
      </c>
      <c r="Q286" s="160">
        <f t="shared" si="646"/>
        <v>0</v>
      </c>
      <c r="R286" s="160">
        <f t="shared" si="646"/>
        <v>0</v>
      </c>
      <c r="S286" s="160">
        <f t="shared" si="646"/>
        <v>0</v>
      </c>
      <c r="T286" s="160">
        <f t="shared" si="646"/>
        <v>0</v>
      </c>
      <c r="U286" s="160">
        <f t="shared" si="646"/>
        <v>0</v>
      </c>
      <c r="V286" s="160">
        <f t="shared" si="646"/>
        <v>0</v>
      </c>
      <c r="W286" s="160">
        <f t="shared" si="646"/>
        <v>0</v>
      </c>
      <c r="X286" s="160">
        <f t="shared" si="646"/>
        <v>0</v>
      </c>
      <c r="Y286" s="160">
        <f t="shared" si="646"/>
        <v>0</v>
      </c>
      <c r="Z286" s="160">
        <f t="shared" si="646"/>
        <v>0</v>
      </c>
      <c r="AA286" s="160">
        <f t="shared" si="579"/>
        <v>0</v>
      </c>
      <c r="AB286" s="160">
        <f t="shared" si="579"/>
        <v>0</v>
      </c>
      <c r="AC286" s="160">
        <f t="shared" si="579"/>
        <v>0</v>
      </c>
      <c r="AD286" s="160">
        <f t="shared" si="579"/>
        <v>0</v>
      </c>
      <c r="AE286" s="160">
        <f t="shared" si="579"/>
        <v>0</v>
      </c>
      <c r="AF286" s="160">
        <f t="shared" si="579"/>
        <v>0</v>
      </c>
      <c r="AG286" s="160">
        <f t="shared" si="579"/>
        <v>0</v>
      </c>
      <c r="AH286" s="160">
        <f t="shared" si="579"/>
        <v>0</v>
      </c>
      <c r="AI286" s="160">
        <f t="shared" si="579"/>
        <v>0</v>
      </c>
      <c r="AJ286" s="160">
        <f t="shared" si="579"/>
        <v>0</v>
      </c>
      <c r="AK286" s="160">
        <f t="shared" si="579"/>
        <v>0</v>
      </c>
      <c r="AL286" s="160">
        <f t="shared" si="579"/>
        <v>0</v>
      </c>
      <c r="AM286" s="160">
        <f t="shared" si="579"/>
        <v>0</v>
      </c>
      <c r="AN286" s="160">
        <f t="shared" si="579"/>
        <v>0</v>
      </c>
      <c r="AO286" s="160">
        <f t="shared" si="579"/>
        <v>0</v>
      </c>
      <c r="AP286" s="160">
        <f t="shared" si="579"/>
        <v>0</v>
      </c>
      <c r="AQ286" s="160">
        <f t="shared" si="579"/>
        <v>0</v>
      </c>
      <c r="AR286" s="160">
        <f t="shared" si="579"/>
        <v>0</v>
      </c>
      <c r="AS286" s="160">
        <f t="shared" si="579"/>
        <v>0</v>
      </c>
      <c r="AT286" s="160">
        <f t="shared" si="579"/>
        <v>0</v>
      </c>
      <c r="AU286" s="160">
        <f t="shared" si="579"/>
        <v>0</v>
      </c>
      <c r="AV286" s="160">
        <f t="shared" si="579"/>
        <v>0</v>
      </c>
      <c r="AW286" s="160">
        <f t="shared" si="579"/>
        <v>0</v>
      </c>
      <c r="AX286" s="160">
        <f t="shared" si="579"/>
        <v>0</v>
      </c>
      <c r="AY286" s="160">
        <f t="shared" si="579"/>
        <v>0</v>
      </c>
      <c r="AZ286" s="160">
        <f t="shared" si="579"/>
        <v>0</v>
      </c>
      <c r="BA286" s="160">
        <f t="shared" si="579"/>
        <v>0</v>
      </c>
      <c r="BB286" s="160">
        <f t="shared" si="579"/>
        <v>0</v>
      </c>
      <c r="BC286" s="160">
        <f t="shared" si="579"/>
        <v>0</v>
      </c>
      <c r="BD286" s="160">
        <f t="shared" si="579"/>
        <v>0</v>
      </c>
      <c r="BE286" s="160">
        <f t="shared" si="579"/>
        <v>0</v>
      </c>
      <c r="BF286" s="160">
        <f t="shared" si="579"/>
        <v>0</v>
      </c>
      <c r="BG286" s="160">
        <f t="shared" si="579"/>
        <v>0</v>
      </c>
      <c r="BH286" s="160">
        <f t="shared" si="579"/>
        <v>0</v>
      </c>
      <c r="BI286" s="160">
        <f t="shared" si="579"/>
        <v>0</v>
      </c>
      <c r="BJ286" s="160">
        <f t="shared" si="579"/>
        <v>0</v>
      </c>
      <c r="BK286" s="160">
        <f t="shared" si="579"/>
        <v>0</v>
      </c>
      <c r="BL286" s="160">
        <f t="shared" si="579"/>
        <v>0</v>
      </c>
      <c r="BM286" s="160">
        <f t="shared" si="579"/>
        <v>0</v>
      </c>
      <c r="BN286" s="160">
        <f t="shared" si="579"/>
        <v>0</v>
      </c>
      <c r="BO286" s="160">
        <f t="shared" si="579"/>
        <v>0</v>
      </c>
      <c r="BP286" s="160">
        <f t="shared" si="579"/>
        <v>0</v>
      </c>
      <c r="BQ286" s="160">
        <f t="shared" si="579"/>
        <v>0</v>
      </c>
      <c r="BR286" s="160">
        <f t="shared" si="579"/>
        <v>0</v>
      </c>
      <c r="BS286" s="65"/>
      <c r="BT286" s="160">
        <f t="shared" si="580"/>
        <v>0</v>
      </c>
      <c r="BU286" s="160">
        <f t="shared" si="581"/>
        <v>0</v>
      </c>
      <c r="BV286" s="65"/>
      <c r="BW286" s="69"/>
      <c r="BX286" s="65"/>
      <c r="BY286" s="137">
        <f t="shared" si="582"/>
        <v>1</v>
      </c>
      <c r="BZ286" s="137">
        <f>IF(BY286&gt;0,BY286+LARGE($BZ$213:BZ285,1),0)</f>
        <v>62</v>
      </c>
      <c r="CA286" s="137" t="str">
        <f t="shared" si="583"/>
        <v>COORD.</v>
      </c>
      <c r="CB286" s="161">
        <f t="shared" si="584"/>
        <v>0</v>
      </c>
      <c r="CC286" s="161">
        <f t="shared" si="585"/>
        <v>0</v>
      </c>
      <c r="CD286" s="161">
        <f t="shared" si="586"/>
        <v>0</v>
      </c>
      <c r="CE286" s="161">
        <f t="shared" si="587"/>
        <v>0</v>
      </c>
      <c r="CF286" s="161">
        <f t="shared" si="588"/>
        <v>0</v>
      </c>
      <c r="CG286" s="161">
        <f t="shared" si="589"/>
        <v>0</v>
      </c>
      <c r="CH286" s="161">
        <f t="shared" si="590"/>
        <v>0</v>
      </c>
      <c r="CI286" s="161">
        <f t="shared" si="591"/>
        <v>0</v>
      </c>
      <c r="CJ286" s="161">
        <f t="shared" si="592"/>
        <v>0</v>
      </c>
      <c r="CK286" s="161">
        <f t="shared" si="593"/>
        <v>0</v>
      </c>
      <c r="CL286" s="161">
        <f t="shared" si="594"/>
        <v>0</v>
      </c>
      <c r="CM286" s="161">
        <f t="shared" si="595"/>
        <v>0</v>
      </c>
      <c r="CN286" s="161">
        <f t="shared" si="596"/>
        <v>0</v>
      </c>
      <c r="CO286" s="161">
        <f t="shared" si="597"/>
        <v>0</v>
      </c>
      <c r="CP286" s="161">
        <f t="shared" si="598"/>
        <v>0</v>
      </c>
      <c r="CQ286" s="161">
        <f t="shared" si="599"/>
        <v>0</v>
      </c>
      <c r="CR286" s="161">
        <f t="shared" si="600"/>
        <v>0</v>
      </c>
      <c r="CS286" s="161">
        <f t="shared" si="601"/>
        <v>0</v>
      </c>
      <c r="CT286" s="161">
        <f t="shared" si="602"/>
        <v>0</v>
      </c>
      <c r="CU286" s="161">
        <f t="shared" si="603"/>
        <v>0</v>
      </c>
      <c r="CV286" s="161">
        <f t="shared" si="604"/>
        <v>0</v>
      </c>
      <c r="CW286" s="161">
        <f t="shared" si="605"/>
        <v>0</v>
      </c>
      <c r="CX286" s="161">
        <f t="shared" si="606"/>
        <v>0</v>
      </c>
      <c r="CY286" s="161">
        <f t="shared" si="607"/>
        <v>0</v>
      </c>
      <c r="CZ286" s="161">
        <f t="shared" si="608"/>
        <v>0</v>
      </c>
      <c r="DA286" s="161">
        <f t="shared" si="609"/>
        <v>0</v>
      </c>
      <c r="DB286" s="161">
        <f t="shared" si="610"/>
        <v>0</v>
      </c>
      <c r="DC286" s="161">
        <f t="shared" si="611"/>
        <v>0</v>
      </c>
      <c r="DD286" s="161">
        <f t="shared" si="612"/>
        <v>0</v>
      </c>
      <c r="DE286" s="161">
        <f t="shared" si="613"/>
        <v>0</v>
      </c>
      <c r="DF286" s="161">
        <f t="shared" si="614"/>
        <v>0</v>
      </c>
      <c r="DG286" s="161">
        <f t="shared" si="615"/>
        <v>0</v>
      </c>
      <c r="DH286" s="161">
        <f t="shared" si="616"/>
        <v>0</v>
      </c>
      <c r="DI286" s="161">
        <f t="shared" si="617"/>
        <v>0</v>
      </c>
      <c r="DJ286" s="161">
        <f t="shared" si="618"/>
        <v>0</v>
      </c>
      <c r="DK286" s="161">
        <f t="shared" si="619"/>
        <v>0</v>
      </c>
      <c r="DL286" s="161">
        <f t="shared" si="620"/>
        <v>0</v>
      </c>
      <c r="DM286" s="161">
        <f t="shared" si="621"/>
        <v>0</v>
      </c>
      <c r="DN286" s="161">
        <f t="shared" si="622"/>
        <v>0</v>
      </c>
      <c r="DO286" s="161">
        <f t="shared" si="623"/>
        <v>0</v>
      </c>
      <c r="DP286" s="161">
        <f t="shared" si="624"/>
        <v>0</v>
      </c>
      <c r="DQ286" s="161">
        <f t="shared" si="625"/>
        <v>0</v>
      </c>
      <c r="DR286" s="161">
        <f t="shared" si="626"/>
        <v>0</v>
      </c>
      <c r="DS286" s="161">
        <f t="shared" si="627"/>
        <v>0</v>
      </c>
      <c r="DT286" s="161">
        <f t="shared" si="628"/>
        <v>0</v>
      </c>
      <c r="DU286" s="161">
        <f t="shared" si="629"/>
        <v>0</v>
      </c>
      <c r="DV286" s="161">
        <f t="shared" si="630"/>
        <v>0</v>
      </c>
      <c r="DW286" s="161">
        <f t="shared" si="631"/>
        <v>0</v>
      </c>
      <c r="DX286" s="161">
        <f t="shared" si="632"/>
        <v>0</v>
      </c>
      <c r="DY286" s="161">
        <f t="shared" si="633"/>
        <v>0</v>
      </c>
      <c r="DZ286" s="161">
        <f t="shared" si="634"/>
        <v>0</v>
      </c>
      <c r="EA286" s="161">
        <f t="shared" si="635"/>
        <v>0</v>
      </c>
      <c r="EB286" s="161">
        <f t="shared" si="636"/>
        <v>0</v>
      </c>
      <c r="EC286" s="161">
        <f t="shared" si="637"/>
        <v>0</v>
      </c>
      <c r="ED286" s="161">
        <f t="shared" si="638"/>
        <v>0</v>
      </c>
      <c r="EE286" s="161">
        <f t="shared" si="639"/>
        <v>0</v>
      </c>
      <c r="EF286" s="161">
        <f t="shared" si="640"/>
        <v>0</v>
      </c>
      <c r="EG286" s="161">
        <f t="shared" si="641"/>
        <v>0</v>
      </c>
      <c r="EH286" s="161">
        <f t="shared" si="642"/>
        <v>0</v>
      </c>
      <c r="EI286" s="161">
        <f t="shared" si="643"/>
        <v>0</v>
      </c>
      <c r="EJ286" s="65"/>
      <c r="EK286" s="161">
        <f t="shared" ref="EK286:EK304" si="647">$EK$284</f>
        <v>0</v>
      </c>
      <c r="EL286" s="161">
        <f t="shared" ref="EL286:EL304" si="648">$EL$284</f>
        <v>0</v>
      </c>
      <c r="EM286" s="161">
        <f t="shared" ref="EM286:EM304" si="649">$EM$284</f>
        <v>0</v>
      </c>
    </row>
    <row r="287" spans="1:143" ht="12" hidden="1" customHeight="1" outlineLevel="2">
      <c r="A287" s="77">
        <v>3</v>
      </c>
      <c r="B287" s="137" t="str">
        <f t="shared" si="644"/>
        <v>SUP.-ESP - Equipe_01</v>
      </c>
      <c r="C287" s="65"/>
      <c r="D287" s="622"/>
      <c r="E287" s="65"/>
      <c r="F287" s="584"/>
      <c r="G287" s="77" t="str">
        <f>IF(INDEX(Tarefas!$BT$30:$FK$30,MATCH(A287,Tarefas!$BT$28:$FK$28,0))=0,"",INDEX(Tarefas!$BT$30:$FK$30,MATCH(A287,Tarefas!$BT$28:$FK$28,0)))</f>
        <v>SUP.-ESP</v>
      </c>
      <c r="H287" s="107" cm="1">
        <f t="array" ref="H287">IFERROR((SUMPRODUCT((Tarefas!$N$32:$N$54='Cronog. e Histog.'!$F$285)*(Tarefas!$BQ$30:$FK$30='Cronog. e Histog.'!$G287)*(Tarefas!$BQ$32:$FK$54)))/SUMIF(Tarefas!$N$32:$N$54,'Cronog. e Histog.'!$F$285,Tarefas!$K$32:$K$54),0)</f>
        <v>0</v>
      </c>
      <c r="I287" s="79">
        <f t="shared" si="645"/>
        <v>0</v>
      </c>
      <c r="J287" s="65"/>
      <c r="K287" s="160">
        <f t="shared" si="646"/>
        <v>0</v>
      </c>
      <c r="L287" s="160">
        <f t="shared" si="579"/>
        <v>0</v>
      </c>
      <c r="M287" s="160">
        <f t="shared" si="579"/>
        <v>0</v>
      </c>
      <c r="N287" s="160">
        <f t="shared" si="579"/>
        <v>0</v>
      </c>
      <c r="O287" s="160">
        <f t="shared" si="579"/>
        <v>0</v>
      </c>
      <c r="P287" s="160">
        <f t="shared" si="579"/>
        <v>0</v>
      </c>
      <c r="Q287" s="160">
        <f t="shared" si="579"/>
        <v>0</v>
      </c>
      <c r="R287" s="160">
        <f t="shared" si="579"/>
        <v>0</v>
      </c>
      <c r="S287" s="160">
        <f t="shared" si="579"/>
        <v>0</v>
      </c>
      <c r="T287" s="160">
        <f t="shared" si="579"/>
        <v>0</v>
      </c>
      <c r="U287" s="160">
        <f t="shared" si="579"/>
        <v>0</v>
      </c>
      <c r="V287" s="160">
        <f t="shared" si="579"/>
        <v>0</v>
      </c>
      <c r="W287" s="160">
        <f t="shared" si="579"/>
        <v>0</v>
      </c>
      <c r="X287" s="160">
        <f t="shared" si="579"/>
        <v>0</v>
      </c>
      <c r="Y287" s="160">
        <f t="shared" si="579"/>
        <v>0</v>
      </c>
      <c r="Z287" s="160">
        <f t="shared" si="579"/>
        <v>0</v>
      </c>
      <c r="AA287" s="160">
        <f t="shared" si="579"/>
        <v>0</v>
      </c>
      <c r="AB287" s="160">
        <f t="shared" si="579"/>
        <v>0</v>
      </c>
      <c r="AC287" s="160">
        <f t="shared" si="579"/>
        <v>0</v>
      </c>
      <c r="AD287" s="160">
        <f t="shared" si="579"/>
        <v>0</v>
      </c>
      <c r="AE287" s="160">
        <f t="shared" si="579"/>
        <v>0</v>
      </c>
      <c r="AF287" s="160">
        <f t="shared" si="579"/>
        <v>0</v>
      </c>
      <c r="AG287" s="160">
        <f t="shared" si="579"/>
        <v>0</v>
      </c>
      <c r="AH287" s="160">
        <f t="shared" si="579"/>
        <v>0</v>
      </c>
      <c r="AI287" s="160">
        <f t="shared" si="579"/>
        <v>0</v>
      </c>
      <c r="AJ287" s="160">
        <f t="shared" si="579"/>
        <v>0</v>
      </c>
      <c r="AK287" s="160">
        <f t="shared" si="579"/>
        <v>0</v>
      </c>
      <c r="AL287" s="160">
        <f t="shared" si="579"/>
        <v>0</v>
      </c>
      <c r="AM287" s="160">
        <f t="shared" si="579"/>
        <v>0</v>
      </c>
      <c r="AN287" s="160">
        <f t="shared" si="579"/>
        <v>0</v>
      </c>
      <c r="AO287" s="160">
        <f t="shared" si="579"/>
        <v>0</v>
      </c>
      <c r="AP287" s="160">
        <f t="shared" si="579"/>
        <v>0</v>
      </c>
      <c r="AQ287" s="160">
        <f t="shared" si="579"/>
        <v>0</v>
      </c>
      <c r="AR287" s="160">
        <f t="shared" si="579"/>
        <v>0</v>
      </c>
      <c r="AS287" s="160">
        <f t="shared" si="579"/>
        <v>0</v>
      </c>
      <c r="AT287" s="160">
        <f t="shared" si="579"/>
        <v>0</v>
      </c>
      <c r="AU287" s="160">
        <f t="shared" si="579"/>
        <v>0</v>
      </c>
      <c r="AV287" s="160">
        <f t="shared" si="579"/>
        <v>0</v>
      </c>
      <c r="AW287" s="160">
        <f t="shared" si="579"/>
        <v>0</v>
      </c>
      <c r="AX287" s="160">
        <f t="shared" si="579"/>
        <v>0</v>
      </c>
      <c r="AY287" s="160">
        <f t="shared" si="579"/>
        <v>0</v>
      </c>
      <c r="AZ287" s="160">
        <f t="shared" si="579"/>
        <v>0</v>
      </c>
      <c r="BA287" s="160">
        <f t="shared" si="579"/>
        <v>0</v>
      </c>
      <c r="BB287" s="160">
        <f t="shared" si="579"/>
        <v>0</v>
      </c>
      <c r="BC287" s="160">
        <f t="shared" si="579"/>
        <v>0</v>
      </c>
      <c r="BD287" s="160">
        <f t="shared" si="579"/>
        <v>0</v>
      </c>
      <c r="BE287" s="160">
        <f t="shared" si="579"/>
        <v>0</v>
      </c>
      <c r="BF287" s="160">
        <f t="shared" si="579"/>
        <v>0</v>
      </c>
      <c r="BG287" s="160">
        <f t="shared" si="579"/>
        <v>0</v>
      </c>
      <c r="BH287" s="160">
        <f t="shared" si="579"/>
        <v>0</v>
      </c>
      <c r="BI287" s="160">
        <f t="shared" si="579"/>
        <v>0</v>
      </c>
      <c r="BJ287" s="160">
        <f t="shared" si="579"/>
        <v>0</v>
      </c>
      <c r="BK287" s="160">
        <f t="shared" si="579"/>
        <v>0</v>
      </c>
      <c r="BL287" s="160">
        <f t="shared" si="579"/>
        <v>0</v>
      </c>
      <c r="BM287" s="160">
        <f t="shared" si="579"/>
        <v>0</v>
      </c>
      <c r="BN287" s="160">
        <f t="shared" si="579"/>
        <v>0</v>
      </c>
      <c r="BO287" s="160">
        <f t="shared" si="579"/>
        <v>0</v>
      </c>
      <c r="BP287" s="160">
        <f t="shared" si="579"/>
        <v>0</v>
      </c>
      <c r="BQ287" s="160">
        <f t="shared" si="579"/>
        <v>0</v>
      </c>
      <c r="BR287" s="160">
        <f t="shared" si="579"/>
        <v>0</v>
      </c>
      <c r="BS287" s="65"/>
      <c r="BT287" s="160">
        <f t="shared" si="580"/>
        <v>0</v>
      </c>
      <c r="BU287" s="160">
        <f t="shared" si="581"/>
        <v>0</v>
      </c>
      <c r="BV287" s="65"/>
      <c r="BW287" s="69"/>
      <c r="BX287" s="65"/>
      <c r="BY287" s="137">
        <f t="shared" si="582"/>
        <v>1</v>
      </c>
      <c r="BZ287" s="137">
        <f>IF(BY287&gt;0,BY287+LARGE($BZ$213:BZ286,1),0)</f>
        <v>63</v>
      </c>
      <c r="CA287" s="137" t="str">
        <f t="shared" si="583"/>
        <v>SUP.-ESP</v>
      </c>
      <c r="CB287" s="161">
        <f t="shared" si="584"/>
        <v>0</v>
      </c>
      <c r="CC287" s="161">
        <f t="shared" si="585"/>
        <v>0</v>
      </c>
      <c r="CD287" s="161">
        <f t="shared" si="586"/>
        <v>0</v>
      </c>
      <c r="CE287" s="161">
        <f t="shared" si="587"/>
        <v>0</v>
      </c>
      <c r="CF287" s="161">
        <f t="shared" si="588"/>
        <v>0</v>
      </c>
      <c r="CG287" s="161">
        <f t="shared" si="589"/>
        <v>0</v>
      </c>
      <c r="CH287" s="161">
        <f t="shared" si="590"/>
        <v>0</v>
      </c>
      <c r="CI287" s="161">
        <f t="shared" si="591"/>
        <v>0</v>
      </c>
      <c r="CJ287" s="161">
        <f t="shared" si="592"/>
        <v>0</v>
      </c>
      <c r="CK287" s="161">
        <f t="shared" si="593"/>
        <v>0</v>
      </c>
      <c r="CL287" s="161">
        <f t="shared" si="594"/>
        <v>0</v>
      </c>
      <c r="CM287" s="161">
        <f t="shared" si="595"/>
        <v>0</v>
      </c>
      <c r="CN287" s="161">
        <f t="shared" si="596"/>
        <v>0</v>
      </c>
      <c r="CO287" s="161">
        <f t="shared" si="597"/>
        <v>0</v>
      </c>
      <c r="CP287" s="161">
        <f t="shared" si="598"/>
        <v>0</v>
      </c>
      <c r="CQ287" s="161">
        <f t="shared" si="599"/>
        <v>0</v>
      </c>
      <c r="CR287" s="161">
        <f t="shared" si="600"/>
        <v>0</v>
      </c>
      <c r="CS287" s="161">
        <f t="shared" si="601"/>
        <v>0</v>
      </c>
      <c r="CT287" s="161">
        <f t="shared" si="602"/>
        <v>0</v>
      </c>
      <c r="CU287" s="161">
        <f t="shared" si="603"/>
        <v>0</v>
      </c>
      <c r="CV287" s="161">
        <f t="shared" si="604"/>
        <v>0</v>
      </c>
      <c r="CW287" s="161">
        <f t="shared" si="605"/>
        <v>0</v>
      </c>
      <c r="CX287" s="161">
        <f t="shared" si="606"/>
        <v>0</v>
      </c>
      <c r="CY287" s="161">
        <f t="shared" si="607"/>
        <v>0</v>
      </c>
      <c r="CZ287" s="161">
        <f t="shared" si="608"/>
        <v>0</v>
      </c>
      <c r="DA287" s="161">
        <f t="shared" si="609"/>
        <v>0</v>
      </c>
      <c r="DB287" s="161">
        <f t="shared" si="610"/>
        <v>0</v>
      </c>
      <c r="DC287" s="161">
        <f t="shared" si="611"/>
        <v>0</v>
      </c>
      <c r="DD287" s="161">
        <f t="shared" si="612"/>
        <v>0</v>
      </c>
      <c r="DE287" s="161">
        <f t="shared" si="613"/>
        <v>0</v>
      </c>
      <c r="DF287" s="161">
        <f t="shared" si="614"/>
        <v>0</v>
      </c>
      <c r="DG287" s="161">
        <f t="shared" si="615"/>
        <v>0</v>
      </c>
      <c r="DH287" s="161">
        <f t="shared" si="616"/>
        <v>0</v>
      </c>
      <c r="DI287" s="161">
        <f t="shared" si="617"/>
        <v>0</v>
      </c>
      <c r="DJ287" s="161">
        <f t="shared" si="618"/>
        <v>0</v>
      </c>
      <c r="DK287" s="161">
        <f t="shared" si="619"/>
        <v>0</v>
      </c>
      <c r="DL287" s="161">
        <f t="shared" si="620"/>
        <v>0</v>
      </c>
      <c r="DM287" s="161">
        <f t="shared" si="621"/>
        <v>0</v>
      </c>
      <c r="DN287" s="161">
        <f t="shared" si="622"/>
        <v>0</v>
      </c>
      <c r="DO287" s="161">
        <f t="shared" si="623"/>
        <v>0</v>
      </c>
      <c r="DP287" s="161">
        <f t="shared" si="624"/>
        <v>0</v>
      </c>
      <c r="DQ287" s="161">
        <f t="shared" si="625"/>
        <v>0</v>
      </c>
      <c r="DR287" s="161">
        <f t="shared" si="626"/>
        <v>0</v>
      </c>
      <c r="DS287" s="161">
        <f t="shared" si="627"/>
        <v>0</v>
      </c>
      <c r="DT287" s="161">
        <f t="shared" si="628"/>
        <v>0</v>
      </c>
      <c r="DU287" s="161">
        <f t="shared" si="629"/>
        <v>0</v>
      </c>
      <c r="DV287" s="161">
        <f t="shared" si="630"/>
        <v>0</v>
      </c>
      <c r="DW287" s="161">
        <f t="shared" si="631"/>
        <v>0</v>
      </c>
      <c r="DX287" s="161">
        <f t="shared" si="632"/>
        <v>0</v>
      </c>
      <c r="DY287" s="161">
        <f t="shared" si="633"/>
        <v>0</v>
      </c>
      <c r="DZ287" s="161">
        <f t="shared" si="634"/>
        <v>0</v>
      </c>
      <c r="EA287" s="161">
        <f t="shared" si="635"/>
        <v>0</v>
      </c>
      <c r="EB287" s="161">
        <f t="shared" si="636"/>
        <v>0</v>
      </c>
      <c r="EC287" s="161">
        <f t="shared" si="637"/>
        <v>0</v>
      </c>
      <c r="ED287" s="161">
        <f t="shared" si="638"/>
        <v>0</v>
      </c>
      <c r="EE287" s="161">
        <f t="shared" si="639"/>
        <v>0</v>
      </c>
      <c r="EF287" s="161">
        <f t="shared" si="640"/>
        <v>0</v>
      </c>
      <c r="EG287" s="161">
        <f t="shared" si="641"/>
        <v>0</v>
      </c>
      <c r="EH287" s="161">
        <f t="shared" si="642"/>
        <v>0</v>
      </c>
      <c r="EI287" s="161">
        <f t="shared" si="643"/>
        <v>0</v>
      </c>
      <c r="EJ287" s="65"/>
      <c r="EK287" s="161">
        <f t="shared" si="647"/>
        <v>0</v>
      </c>
      <c r="EL287" s="161">
        <f t="shared" si="648"/>
        <v>0</v>
      </c>
      <c r="EM287" s="161">
        <f t="shared" si="649"/>
        <v>0</v>
      </c>
    </row>
    <row r="288" spans="1:143" ht="12" hidden="1" customHeight="1" outlineLevel="2">
      <c r="A288" s="77">
        <v>4</v>
      </c>
      <c r="B288" s="137" t="str">
        <f t="shared" si="644"/>
        <v>ENG/ARQ SR. - Equipe_01</v>
      </c>
      <c r="C288" s="65"/>
      <c r="D288" s="622"/>
      <c r="E288" s="65"/>
      <c r="F288" s="584"/>
      <c r="G288" s="77" t="str">
        <f>IF(INDEX(Tarefas!$BT$30:$FK$30,MATCH(A288,Tarefas!$BT$28:$FK$28,0))=0,"",INDEX(Tarefas!$BT$30:$FK$30,MATCH(A288,Tarefas!$BT$28:$FK$28,0)))</f>
        <v>ENG/ARQ SR.</v>
      </c>
      <c r="H288" s="107" cm="1">
        <f t="array" ref="H288">IFERROR((SUMPRODUCT((Tarefas!$N$32:$N$54='Cronog. e Histog.'!$F$285)*(Tarefas!$BQ$30:$FK$30='Cronog. e Histog.'!$G288)*(Tarefas!$BQ$32:$FK$54)))/SUMIF(Tarefas!$N$32:$N$54,'Cronog. e Histog.'!$F$285,Tarefas!$K$32:$K$54),0)</f>
        <v>0</v>
      </c>
      <c r="I288" s="79">
        <f t="shared" si="645"/>
        <v>0</v>
      </c>
      <c r="J288" s="65"/>
      <c r="K288" s="160">
        <f t="shared" si="646"/>
        <v>0</v>
      </c>
      <c r="L288" s="160">
        <f t="shared" si="579"/>
        <v>0</v>
      </c>
      <c r="M288" s="160">
        <f t="shared" si="579"/>
        <v>0</v>
      </c>
      <c r="N288" s="160">
        <f t="shared" si="579"/>
        <v>0</v>
      </c>
      <c r="O288" s="160">
        <f t="shared" si="579"/>
        <v>0</v>
      </c>
      <c r="P288" s="160">
        <f t="shared" si="579"/>
        <v>0</v>
      </c>
      <c r="Q288" s="160">
        <f t="shared" si="579"/>
        <v>0</v>
      </c>
      <c r="R288" s="160">
        <f t="shared" si="579"/>
        <v>0</v>
      </c>
      <c r="S288" s="160">
        <f t="shared" si="579"/>
        <v>0</v>
      </c>
      <c r="T288" s="160">
        <f t="shared" si="579"/>
        <v>0</v>
      </c>
      <c r="U288" s="160">
        <f t="shared" si="579"/>
        <v>0</v>
      </c>
      <c r="V288" s="160">
        <f t="shared" si="579"/>
        <v>0</v>
      </c>
      <c r="W288" s="160">
        <f t="shared" si="579"/>
        <v>0</v>
      </c>
      <c r="X288" s="160">
        <f t="shared" si="579"/>
        <v>0</v>
      </c>
      <c r="Y288" s="160">
        <f t="shared" si="579"/>
        <v>0</v>
      </c>
      <c r="Z288" s="160">
        <f t="shared" si="579"/>
        <v>0</v>
      </c>
      <c r="AA288" s="160">
        <f t="shared" si="579"/>
        <v>0</v>
      </c>
      <c r="AB288" s="160">
        <f t="shared" si="579"/>
        <v>0</v>
      </c>
      <c r="AC288" s="160">
        <f t="shared" si="579"/>
        <v>0</v>
      </c>
      <c r="AD288" s="160">
        <f t="shared" si="579"/>
        <v>0</v>
      </c>
      <c r="AE288" s="160">
        <f t="shared" si="579"/>
        <v>0</v>
      </c>
      <c r="AF288" s="160">
        <f t="shared" si="579"/>
        <v>0</v>
      </c>
      <c r="AG288" s="160">
        <f t="shared" si="579"/>
        <v>0</v>
      </c>
      <c r="AH288" s="160">
        <f t="shared" si="579"/>
        <v>0</v>
      </c>
      <c r="AI288" s="160">
        <f t="shared" si="579"/>
        <v>0</v>
      </c>
      <c r="AJ288" s="160">
        <f t="shared" si="579"/>
        <v>0</v>
      </c>
      <c r="AK288" s="160">
        <f t="shared" si="579"/>
        <v>0</v>
      </c>
      <c r="AL288" s="160">
        <f t="shared" si="579"/>
        <v>0</v>
      </c>
      <c r="AM288" s="160">
        <f t="shared" si="579"/>
        <v>0</v>
      </c>
      <c r="AN288" s="160">
        <f t="shared" si="579"/>
        <v>0</v>
      </c>
      <c r="AO288" s="160">
        <f t="shared" si="579"/>
        <v>0</v>
      </c>
      <c r="AP288" s="160">
        <f t="shared" si="579"/>
        <v>0</v>
      </c>
      <c r="AQ288" s="160">
        <f t="shared" si="579"/>
        <v>0</v>
      </c>
      <c r="AR288" s="160">
        <f t="shared" si="579"/>
        <v>0</v>
      </c>
      <c r="AS288" s="160">
        <f t="shared" si="579"/>
        <v>0</v>
      </c>
      <c r="AT288" s="160">
        <f t="shared" si="579"/>
        <v>0</v>
      </c>
      <c r="AU288" s="160">
        <f t="shared" si="579"/>
        <v>0</v>
      </c>
      <c r="AV288" s="160">
        <f t="shared" si="579"/>
        <v>0</v>
      </c>
      <c r="AW288" s="160">
        <f t="shared" si="579"/>
        <v>0</v>
      </c>
      <c r="AX288" s="160">
        <f t="shared" si="579"/>
        <v>0</v>
      </c>
      <c r="AY288" s="160">
        <f t="shared" si="579"/>
        <v>0</v>
      </c>
      <c r="AZ288" s="160">
        <f t="shared" si="579"/>
        <v>0</v>
      </c>
      <c r="BA288" s="160">
        <f t="shared" si="579"/>
        <v>0</v>
      </c>
      <c r="BB288" s="160">
        <f t="shared" si="579"/>
        <v>0</v>
      </c>
      <c r="BC288" s="160">
        <f t="shared" si="579"/>
        <v>0</v>
      </c>
      <c r="BD288" s="160">
        <f t="shared" si="579"/>
        <v>0</v>
      </c>
      <c r="BE288" s="160">
        <f t="shared" si="579"/>
        <v>0</v>
      </c>
      <c r="BF288" s="160">
        <f t="shared" si="579"/>
        <v>0</v>
      </c>
      <c r="BG288" s="160">
        <f t="shared" si="579"/>
        <v>0</v>
      </c>
      <c r="BH288" s="160">
        <f t="shared" si="579"/>
        <v>0</v>
      </c>
      <c r="BI288" s="160">
        <f t="shared" si="579"/>
        <v>0</v>
      </c>
      <c r="BJ288" s="160">
        <f t="shared" si="579"/>
        <v>0</v>
      </c>
      <c r="BK288" s="160">
        <f t="shared" si="579"/>
        <v>0</v>
      </c>
      <c r="BL288" s="160">
        <f t="shared" si="579"/>
        <v>0</v>
      </c>
      <c r="BM288" s="160">
        <f t="shared" si="579"/>
        <v>0</v>
      </c>
      <c r="BN288" s="160">
        <f t="shared" si="579"/>
        <v>0</v>
      </c>
      <c r="BO288" s="160">
        <f t="shared" si="579"/>
        <v>0</v>
      </c>
      <c r="BP288" s="160">
        <f t="shared" si="579"/>
        <v>0</v>
      </c>
      <c r="BQ288" s="160">
        <f t="shared" si="579"/>
        <v>0</v>
      </c>
      <c r="BR288" s="160">
        <f t="shared" si="579"/>
        <v>0</v>
      </c>
      <c r="BS288" s="65"/>
      <c r="BT288" s="160">
        <f t="shared" si="580"/>
        <v>0</v>
      </c>
      <c r="BU288" s="160">
        <f t="shared" si="581"/>
        <v>0</v>
      </c>
      <c r="BV288" s="65"/>
      <c r="BW288" s="69"/>
      <c r="BX288" s="65"/>
      <c r="BY288" s="137">
        <f t="shared" si="582"/>
        <v>1</v>
      </c>
      <c r="BZ288" s="137">
        <f>IF(BY288&gt;0,BY288+LARGE($BZ$213:BZ287,1),0)</f>
        <v>64</v>
      </c>
      <c r="CA288" s="137" t="str">
        <f t="shared" si="583"/>
        <v>ENG/ARQ SR.</v>
      </c>
      <c r="CB288" s="161">
        <f t="shared" si="584"/>
        <v>0</v>
      </c>
      <c r="CC288" s="161">
        <f t="shared" si="585"/>
        <v>0</v>
      </c>
      <c r="CD288" s="161">
        <f t="shared" si="586"/>
        <v>0</v>
      </c>
      <c r="CE288" s="161">
        <f t="shared" si="587"/>
        <v>0</v>
      </c>
      <c r="CF288" s="161">
        <f t="shared" si="588"/>
        <v>0</v>
      </c>
      <c r="CG288" s="161">
        <f t="shared" si="589"/>
        <v>0</v>
      </c>
      <c r="CH288" s="161">
        <f t="shared" si="590"/>
        <v>0</v>
      </c>
      <c r="CI288" s="161">
        <f t="shared" si="591"/>
        <v>0</v>
      </c>
      <c r="CJ288" s="161">
        <f t="shared" si="592"/>
        <v>0</v>
      </c>
      <c r="CK288" s="161">
        <f t="shared" si="593"/>
        <v>0</v>
      </c>
      <c r="CL288" s="161">
        <f t="shared" si="594"/>
        <v>0</v>
      </c>
      <c r="CM288" s="161">
        <f t="shared" si="595"/>
        <v>0</v>
      </c>
      <c r="CN288" s="161">
        <f t="shared" si="596"/>
        <v>0</v>
      </c>
      <c r="CO288" s="161">
        <f t="shared" si="597"/>
        <v>0</v>
      </c>
      <c r="CP288" s="161">
        <f t="shared" si="598"/>
        <v>0</v>
      </c>
      <c r="CQ288" s="161">
        <f t="shared" si="599"/>
        <v>0</v>
      </c>
      <c r="CR288" s="161">
        <f t="shared" si="600"/>
        <v>0</v>
      </c>
      <c r="CS288" s="161">
        <f t="shared" si="601"/>
        <v>0</v>
      </c>
      <c r="CT288" s="161">
        <f t="shared" si="602"/>
        <v>0</v>
      </c>
      <c r="CU288" s="161">
        <f t="shared" si="603"/>
        <v>0</v>
      </c>
      <c r="CV288" s="161">
        <f t="shared" si="604"/>
        <v>0</v>
      </c>
      <c r="CW288" s="161">
        <f t="shared" si="605"/>
        <v>0</v>
      </c>
      <c r="CX288" s="161">
        <f t="shared" si="606"/>
        <v>0</v>
      </c>
      <c r="CY288" s="161">
        <f t="shared" si="607"/>
        <v>0</v>
      </c>
      <c r="CZ288" s="161">
        <f t="shared" si="608"/>
        <v>0</v>
      </c>
      <c r="DA288" s="161">
        <f t="shared" si="609"/>
        <v>0</v>
      </c>
      <c r="DB288" s="161">
        <f t="shared" si="610"/>
        <v>0</v>
      </c>
      <c r="DC288" s="161">
        <f t="shared" si="611"/>
        <v>0</v>
      </c>
      <c r="DD288" s="161">
        <f t="shared" si="612"/>
        <v>0</v>
      </c>
      <c r="DE288" s="161">
        <f t="shared" si="613"/>
        <v>0</v>
      </c>
      <c r="DF288" s="161">
        <f t="shared" si="614"/>
        <v>0</v>
      </c>
      <c r="DG288" s="161">
        <f t="shared" si="615"/>
        <v>0</v>
      </c>
      <c r="DH288" s="161">
        <f t="shared" si="616"/>
        <v>0</v>
      </c>
      <c r="DI288" s="161">
        <f t="shared" si="617"/>
        <v>0</v>
      </c>
      <c r="DJ288" s="161">
        <f t="shared" si="618"/>
        <v>0</v>
      </c>
      <c r="DK288" s="161">
        <f t="shared" si="619"/>
        <v>0</v>
      </c>
      <c r="DL288" s="161">
        <f t="shared" si="620"/>
        <v>0</v>
      </c>
      <c r="DM288" s="161">
        <f t="shared" si="621"/>
        <v>0</v>
      </c>
      <c r="DN288" s="161">
        <f t="shared" si="622"/>
        <v>0</v>
      </c>
      <c r="DO288" s="161">
        <f t="shared" si="623"/>
        <v>0</v>
      </c>
      <c r="DP288" s="161">
        <f t="shared" si="624"/>
        <v>0</v>
      </c>
      <c r="DQ288" s="161">
        <f t="shared" si="625"/>
        <v>0</v>
      </c>
      <c r="DR288" s="161">
        <f t="shared" si="626"/>
        <v>0</v>
      </c>
      <c r="DS288" s="161">
        <f t="shared" si="627"/>
        <v>0</v>
      </c>
      <c r="DT288" s="161">
        <f t="shared" si="628"/>
        <v>0</v>
      </c>
      <c r="DU288" s="161">
        <f t="shared" si="629"/>
        <v>0</v>
      </c>
      <c r="DV288" s="161">
        <f t="shared" si="630"/>
        <v>0</v>
      </c>
      <c r="DW288" s="161">
        <f t="shared" si="631"/>
        <v>0</v>
      </c>
      <c r="DX288" s="161">
        <f t="shared" si="632"/>
        <v>0</v>
      </c>
      <c r="DY288" s="161">
        <f t="shared" si="633"/>
        <v>0</v>
      </c>
      <c r="DZ288" s="161">
        <f t="shared" si="634"/>
        <v>0</v>
      </c>
      <c r="EA288" s="161">
        <f t="shared" si="635"/>
        <v>0</v>
      </c>
      <c r="EB288" s="161">
        <f t="shared" si="636"/>
        <v>0</v>
      </c>
      <c r="EC288" s="161">
        <f t="shared" si="637"/>
        <v>0</v>
      </c>
      <c r="ED288" s="161">
        <f t="shared" si="638"/>
        <v>0</v>
      </c>
      <c r="EE288" s="161">
        <f t="shared" si="639"/>
        <v>0</v>
      </c>
      <c r="EF288" s="161">
        <f t="shared" si="640"/>
        <v>0</v>
      </c>
      <c r="EG288" s="161">
        <f t="shared" si="641"/>
        <v>0</v>
      </c>
      <c r="EH288" s="161">
        <f t="shared" si="642"/>
        <v>0</v>
      </c>
      <c r="EI288" s="161">
        <f t="shared" si="643"/>
        <v>0</v>
      </c>
      <c r="EJ288" s="65"/>
      <c r="EK288" s="161">
        <f t="shared" si="647"/>
        <v>0</v>
      </c>
      <c r="EL288" s="161">
        <f t="shared" si="648"/>
        <v>0</v>
      </c>
      <c r="EM288" s="161">
        <f t="shared" si="649"/>
        <v>0</v>
      </c>
    </row>
    <row r="289" spans="1:143" ht="12" hidden="1" customHeight="1" outlineLevel="2">
      <c r="A289" s="77">
        <v>5</v>
      </c>
      <c r="B289" s="137" t="str">
        <f t="shared" si="644"/>
        <v>ENG/ARQ PL. - Equipe_01</v>
      </c>
      <c r="C289" s="65"/>
      <c r="D289" s="622"/>
      <c r="E289" s="65"/>
      <c r="F289" s="584"/>
      <c r="G289" s="77" t="str">
        <f>IF(INDEX(Tarefas!$BT$30:$FK$30,MATCH(A289,Tarefas!$BT$28:$FK$28,0))=0,"",INDEX(Tarefas!$BT$30:$FK$30,MATCH(A289,Tarefas!$BT$28:$FK$28,0)))</f>
        <v>ENG/ARQ PL.</v>
      </c>
      <c r="H289" s="107" cm="1">
        <f t="array" ref="H289">IFERROR((SUMPRODUCT((Tarefas!$N$32:$N$54='Cronog. e Histog.'!$F$285)*(Tarefas!$BQ$30:$FK$30='Cronog. e Histog.'!$G289)*(Tarefas!$BQ$32:$FK$54)))/SUMIF(Tarefas!$N$32:$N$54,'Cronog. e Histog.'!$F$285,Tarefas!$K$32:$K$54),0)</f>
        <v>0</v>
      </c>
      <c r="I289" s="79">
        <f t="shared" si="645"/>
        <v>0</v>
      </c>
      <c r="J289" s="65"/>
      <c r="K289" s="160">
        <f t="shared" si="646"/>
        <v>0</v>
      </c>
      <c r="L289" s="160">
        <f t="shared" si="579"/>
        <v>0</v>
      </c>
      <c r="M289" s="160">
        <f t="shared" si="579"/>
        <v>0</v>
      </c>
      <c r="N289" s="160">
        <f t="shared" si="579"/>
        <v>0</v>
      </c>
      <c r="O289" s="160">
        <f t="shared" si="579"/>
        <v>0</v>
      </c>
      <c r="P289" s="160">
        <f t="shared" si="579"/>
        <v>0</v>
      </c>
      <c r="Q289" s="160">
        <f t="shared" si="579"/>
        <v>0</v>
      </c>
      <c r="R289" s="160">
        <f t="shared" si="579"/>
        <v>0</v>
      </c>
      <c r="S289" s="160">
        <f t="shared" si="579"/>
        <v>0</v>
      </c>
      <c r="T289" s="160">
        <f t="shared" si="579"/>
        <v>0</v>
      </c>
      <c r="U289" s="160">
        <f t="shared" si="579"/>
        <v>0</v>
      </c>
      <c r="V289" s="160">
        <f t="shared" si="579"/>
        <v>0</v>
      </c>
      <c r="W289" s="160">
        <f t="shared" si="579"/>
        <v>0</v>
      </c>
      <c r="X289" s="160">
        <f t="shared" si="579"/>
        <v>0</v>
      </c>
      <c r="Y289" s="160">
        <f t="shared" si="579"/>
        <v>0</v>
      </c>
      <c r="Z289" s="160">
        <f t="shared" si="579"/>
        <v>0</v>
      </c>
      <c r="AA289" s="160">
        <f t="shared" si="579"/>
        <v>0</v>
      </c>
      <c r="AB289" s="160">
        <f t="shared" si="579"/>
        <v>0</v>
      </c>
      <c r="AC289" s="160">
        <f t="shared" si="579"/>
        <v>0</v>
      </c>
      <c r="AD289" s="160">
        <f t="shared" si="579"/>
        <v>0</v>
      </c>
      <c r="AE289" s="160">
        <f t="shared" si="579"/>
        <v>0</v>
      </c>
      <c r="AF289" s="160">
        <f t="shared" si="579"/>
        <v>0</v>
      </c>
      <c r="AG289" s="160">
        <f t="shared" si="579"/>
        <v>0</v>
      </c>
      <c r="AH289" s="160">
        <f t="shared" si="579"/>
        <v>0</v>
      </c>
      <c r="AI289" s="160">
        <f t="shared" si="579"/>
        <v>0</v>
      </c>
      <c r="AJ289" s="160">
        <f t="shared" si="579"/>
        <v>0</v>
      </c>
      <c r="AK289" s="160">
        <f t="shared" si="579"/>
        <v>0</v>
      </c>
      <c r="AL289" s="160">
        <f t="shared" si="579"/>
        <v>0</v>
      </c>
      <c r="AM289" s="160">
        <f t="shared" si="579"/>
        <v>0</v>
      </c>
      <c r="AN289" s="160">
        <f t="shared" si="579"/>
        <v>0</v>
      </c>
      <c r="AO289" s="160">
        <f t="shared" si="579"/>
        <v>0</v>
      </c>
      <c r="AP289" s="160">
        <f t="shared" si="579"/>
        <v>0</v>
      </c>
      <c r="AQ289" s="160">
        <f t="shared" si="579"/>
        <v>0</v>
      </c>
      <c r="AR289" s="160">
        <f t="shared" si="579"/>
        <v>0</v>
      </c>
      <c r="AS289" s="160">
        <f t="shared" si="579"/>
        <v>0</v>
      </c>
      <c r="AT289" s="160">
        <f t="shared" ref="L289:BR303" si="650">ROUND($I289*AT$186,2)</f>
        <v>0</v>
      </c>
      <c r="AU289" s="160">
        <f t="shared" si="650"/>
        <v>0</v>
      </c>
      <c r="AV289" s="160">
        <f t="shared" si="650"/>
        <v>0</v>
      </c>
      <c r="AW289" s="160">
        <f t="shared" si="650"/>
        <v>0</v>
      </c>
      <c r="AX289" s="160">
        <f t="shared" si="650"/>
        <v>0</v>
      </c>
      <c r="AY289" s="160">
        <f t="shared" si="650"/>
        <v>0</v>
      </c>
      <c r="AZ289" s="160">
        <f t="shared" si="650"/>
        <v>0</v>
      </c>
      <c r="BA289" s="160">
        <f t="shared" si="650"/>
        <v>0</v>
      </c>
      <c r="BB289" s="160">
        <f t="shared" si="650"/>
        <v>0</v>
      </c>
      <c r="BC289" s="160">
        <f t="shared" si="650"/>
        <v>0</v>
      </c>
      <c r="BD289" s="160">
        <f t="shared" si="650"/>
        <v>0</v>
      </c>
      <c r="BE289" s="160">
        <f t="shared" si="650"/>
        <v>0</v>
      </c>
      <c r="BF289" s="160">
        <f t="shared" si="650"/>
        <v>0</v>
      </c>
      <c r="BG289" s="160">
        <f t="shared" si="650"/>
        <v>0</v>
      </c>
      <c r="BH289" s="160">
        <f t="shared" si="650"/>
        <v>0</v>
      </c>
      <c r="BI289" s="160">
        <f t="shared" si="650"/>
        <v>0</v>
      </c>
      <c r="BJ289" s="160">
        <f t="shared" si="650"/>
        <v>0</v>
      </c>
      <c r="BK289" s="160">
        <f t="shared" si="650"/>
        <v>0</v>
      </c>
      <c r="BL289" s="160">
        <f t="shared" si="650"/>
        <v>0</v>
      </c>
      <c r="BM289" s="160">
        <f t="shared" si="650"/>
        <v>0</v>
      </c>
      <c r="BN289" s="160">
        <f t="shared" si="650"/>
        <v>0</v>
      </c>
      <c r="BO289" s="160">
        <f t="shared" si="650"/>
        <v>0</v>
      </c>
      <c r="BP289" s="160">
        <f t="shared" si="650"/>
        <v>0</v>
      </c>
      <c r="BQ289" s="160">
        <f t="shared" si="650"/>
        <v>0</v>
      </c>
      <c r="BR289" s="160">
        <f t="shared" si="650"/>
        <v>0</v>
      </c>
      <c r="BS289" s="65"/>
      <c r="BT289" s="160">
        <f t="shared" si="580"/>
        <v>0</v>
      </c>
      <c r="BU289" s="160">
        <f t="shared" si="581"/>
        <v>0</v>
      </c>
      <c r="BV289" s="65"/>
      <c r="BW289" s="69"/>
      <c r="BX289" s="65"/>
      <c r="BY289" s="137">
        <f t="shared" si="582"/>
        <v>1</v>
      </c>
      <c r="BZ289" s="137">
        <f>IF(BY289&gt;0,BY289+LARGE($BZ$213:BZ288,1),0)</f>
        <v>65</v>
      </c>
      <c r="CA289" s="137" t="str">
        <f t="shared" si="583"/>
        <v>ENG/ARQ PL.</v>
      </c>
      <c r="CB289" s="161">
        <f t="shared" si="584"/>
        <v>0</v>
      </c>
      <c r="CC289" s="161">
        <f t="shared" si="585"/>
        <v>0</v>
      </c>
      <c r="CD289" s="161">
        <f t="shared" si="586"/>
        <v>0</v>
      </c>
      <c r="CE289" s="161">
        <f t="shared" si="587"/>
        <v>0</v>
      </c>
      <c r="CF289" s="161">
        <f t="shared" si="588"/>
        <v>0</v>
      </c>
      <c r="CG289" s="161">
        <f t="shared" si="589"/>
        <v>0</v>
      </c>
      <c r="CH289" s="161">
        <f t="shared" si="590"/>
        <v>0</v>
      </c>
      <c r="CI289" s="161">
        <f t="shared" si="591"/>
        <v>0</v>
      </c>
      <c r="CJ289" s="161">
        <f t="shared" si="592"/>
        <v>0</v>
      </c>
      <c r="CK289" s="161">
        <f t="shared" si="593"/>
        <v>0</v>
      </c>
      <c r="CL289" s="161">
        <f t="shared" si="594"/>
        <v>0</v>
      </c>
      <c r="CM289" s="161">
        <f t="shared" si="595"/>
        <v>0</v>
      </c>
      <c r="CN289" s="161">
        <f t="shared" si="596"/>
        <v>0</v>
      </c>
      <c r="CO289" s="161">
        <f t="shared" si="597"/>
        <v>0</v>
      </c>
      <c r="CP289" s="161">
        <f t="shared" si="598"/>
        <v>0</v>
      </c>
      <c r="CQ289" s="161">
        <f t="shared" si="599"/>
        <v>0</v>
      </c>
      <c r="CR289" s="161">
        <f t="shared" si="600"/>
        <v>0</v>
      </c>
      <c r="CS289" s="161">
        <f t="shared" si="601"/>
        <v>0</v>
      </c>
      <c r="CT289" s="161">
        <f t="shared" si="602"/>
        <v>0</v>
      </c>
      <c r="CU289" s="161">
        <f t="shared" si="603"/>
        <v>0</v>
      </c>
      <c r="CV289" s="161">
        <f t="shared" si="604"/>
        <v>0</v>
      </c>
      <c r="CW289" s="161">
        <f t="shared" si="605"/>
        <v>0</v>
      </c>
      <c r="CX289" s="161">
        <f t="shared" si="606"/>
        <v>0</v>
      </c>
      <c r="CY289" s="161">
        <f t="shared" si="607"/>
        <v>0</v>
      </c>
      <c r="CZ289" s="161">
        <f t="shared" si="608"/>
        <v>0</v>
      </c>
      <c r="DA289" s="161">
        <f t="shared" si="609"/>
        <v>0</v>
      </c>
      <c r="DB289" s="161">
        <f t="shared" si="610"/>
        <v>0</v>
      </c>
      <c r="DC289" s="161">
        <f t="shared" si="611"/>
        <v>0</v>
      </c>
      <c r="DD289" s="161">
        <f t="shared" si="612"/>
        <v>0</v>
      </c>
      <c r="DE289" s="161">
        <f t="shared" si="613"/>
        <v>0</v>
      </c>
      <c r="DF289" s="161">
        <f t="shared" si="614"/>
        <v>0</v>
      </c>
      <c r="DG289" s="161">
        <f t="shared" si="615"/>
        <v>0</v>
      </c>
      <c r="DH289" s="161">
        <f t="shared" si="616"/>
        <v>0</v>
      </c>
      <c r="DI289" s="161">
        <f t="shared" si="617"/>
        <v>0</v>
      </c>
      <c r="DJ289" s="161">
        <f t="shared" si="618"/>
        <v>0</v>
      </c>
      <c r="DK289" s="161">
        <f t="shared" si="619"/>
        <v>0</v>
      </c>
      <c r="DL289" s="161">
        <f t="shared" si="620"/>
        <v>0</v>
      </c>
      <c r="DM289" s="161">
        <f t="shared" si="621"/>
        <v>0</v>
      </c>
      <c r="DN289" s="161">
        <f t="shared" si="622"/>
        <v>0</v>
      </c>
      <c r="DO289" s="161">
        <f t="shared" si="623"/>
        <v>0</v>
      </c>
      <c r="DP289" s="161">
        <f t="shared" si="624"/>
        <v>0</v>
      </c>
      <c r="DQ289" s="161">
        <f t="shared" si="625"/>
        <v>0</v>
      </c>
      <c r="DR289" s="161">
        <f t="shared" si="626"/>
        <v>0</v>
      </c>
      <c r="DS289" s="161">
        <f t="shared" si="627"/>
        <v>0</v>
      </c>
      <c r="DT289" s="161">
        <f t="shared" si="628"/>
        <v>0</v>
      </c>
      <c r="DU289" s="161">
        <f t="shared" si="629"/>
        <v>0</v>
      </c>
      <c r="DV289" s="161">
        <f t="shared" si="630"/>
        <v>0</v>
      </c>
      <c r="DW289" s="161">
        <f t="shared" si="631"/>
        <v>0</v>
      </c>
      <c r="DX289" s="161">
        <f t="shared" si="632"/>
        <v>0</v>
      </c>
      <c r="DY289" s="161">
        <f t="shared" si="633"/>
        <v>0</v>
      </c>
      <c r="DZ289" s="161">
        <f t="shared" si="634"/>
        <v>0</v>
      </c>
      <c r="EA289" s="161">
        <f t="shared" si="635"/>
        <v>0</v>
      </c>
      <c r="EB289" s="161">
        <f t="shared" si="636"/>
        <v>0</v>
      </c>
      <c r="EC289" s="161">
        <f t="shared" si="637"/>
        <v>0</v>
      </c>
      <c r="ED289" s="161">
        <f t="shared" si="638"/>
        <v>0</v>
      </c>
      <c r="EE289" s="161">
        <f t="shared" si="639"/>
        <v>0</v>
      </c>
      <c r="EF289" s="161">
        <f t="shared" si="640"/>
        <v>0</v>
      </c>
      <c r="EG289" s="161">
        <f t="shared" si="641"/>
        <v>0</v>
      </c>
      <c r="EH289" s="161">
        <f t="shared" si="642"/>
        <v>0</v>
      </c>
      <c r="EI289" s="161">
        <f t="shared" si="643"/>
        <v>0</v>
      </c>
      <c r="EJ289" s="65"/>
      <c r="EK289" s="161">
        <f t="shared" si="647"/>
        <v>0</v>
      </c>
      <c r="EL289" s="161">
        <f t="shared" si="648"/>
        <v>0</v>
      </c>
      <c r="EM289" s="161">
        <f t="shared" si="649"/>
        <v>0</v>
      </c>
    </row>
    <row r="290" spans="1:143" ht="12" hidden="1" customHeight="1" outlineLevel="2">
      <c r="A290" s="77">
        <v>6</v>
      </c>
      <c r="B290" s="137" t="str">
        <f t="shared" si="644"/>
        <v>ENG/ARQ JR. - Equipe_01</v>
      </c>
      <c r="C290" s="65"/>
      <c r="D290" s="622"/>
      <c r="E290" s="65"/>
      <c r="F290" s="584"/>
      <c r="G290" s="77" t="str">
        <f>IF(INDEX(Tarefas!$BT$30:$FK$30,MATCH(A290,Tarefas!$BT$28:$FK$28,0))=0,"",INDEX(Tarefas!$BT$30:$FK$30,MATCH(A290,Tarefas!$BT$28:$FK$28,0)))</f>
        <v>ENG/ARQ JR.</v>
      </c>
      <c r="H290" s="107" cm="1">
        <f t="array" ref="H290">IFERROR((SUMPRODUCT((Tarefas!$N$32:$N$54='Cronog. e Histog.'!$F$285)*(Tarefas!$BQ$30:$FK$30='Cronog. e Histog.'!$G290)*(Tarefas!$BQ$32:$FK$54)))/SUMIF(Tarefas!$N$32:$N$54,'Cronog. e Histog.'!$F$285,Tarefas!$K$32:$K$54),0)</f>
        <v>0</v>
      </c>
      <c r="I290" s="79">
        <f t="shared" si="645"/>
        <v>0</v>
      </c>
      <c r="J290" s="65"/>
      <c r="K290" s="160">
        <f t="shared" si="646"/>
        <v>0</v>
      </c>
      <c r="L290" s="160">
        <f t="shared" si="650"/>
        <v>0</v>
      </c>
      <c r="M290" s="160">
        <f t="shared" si="650"/>
        <v>0</v>
      </c>
      <c r="N290" s="160">
        <f t="shared" si="650"/>
        <v>0</v>
      </c>
      <c r="O290" s="160">
        <f t="shared" si="650"/>
        <v>0</v>
      </c>
      <c r="P290" s="160">
        <f t="shared" si="650"/>
        <v>0</v>
      </c>
      <c r="Q290" s="160">
        <f t="shared" si="650"/>
        <v>0</v>
      </c>
      <c r="R290" s="160">
        <f t="shared" si="650"/>
        <v>0</v>
      </c>
      <c r="S290" s="160">
        <f t="shared" si="650"/>
        <v>0</v>
      </c>
      <c r="T290" s="160">
        <f t="shared" si="650"/>
        <v>0</v>
      </c>
      <c r="U290" s="160">
        <f t="shared" si="650"/>
        <v>0</v>
      </c>
      <c r="V290" s="160">
        <f t="shared" si="650"/>
        <v>0</v>
      </c>
      <c r="W290" s="160">
        <f t="shared" si="650"/>
        <v>0</v>
      </c>
      <c r="X290" s="160">
        <f t="shared" si="650"/>
        <v>0</v>
      </c>
      <c r="Y290" s="160">
        <f t="shared" si="650"/>
        <v>0</v>
      </c>
      <c r="Z290" s="160">
        <f t="shared" si="650"/>
        <v>0</v>
      </c>
      <c r="AA290" s="160">
        <f t="shared" si="650"/>
        <v>0</v>
      </c>
      <c r="AB290" s="160">
        <f t="shared" si="650"/>
        <v>0</v>
      </c>
      <c r="AC290" s="160">
        <f t="shared" si="650"/>
        <v>0</v>
      </c>
      <c r="AD290" s="160">
        <f t="shared" si="650"/>
        <v>0</v>
      </c>
      <c r="AE290" s="160">
        <f t="shared" si="650"/>
        <v>0</v>
      </c>
      <c r="AF290" s="160">
        <f t="shared" si="650"/>
        <v>0</v>
      </c>
      <c r="AG290" s="160">
        <f t="shared" si="650"/>
        <v>0</v>
      </c>
      <c r="AH290" s="160">
        <f t="shared" si="650"/>
        <v>0</v>
      </c>
      <c r="AI290" s="160">
        <f t="shared" si="650"/>
        <v>0</v>
      </c>
      <c r="AJ290" s="160">
        <f t="shared" si="650"/>
        <v>0</v>
      </c>
      <c r="AK290" s="160">
        <f t="shared" si="650"/>
        <v>0</v>
      </c>
      <c r="AL290" s="160">
        <f t="shared" si="650"/>
        <v>0</v>
      </c>
      <c r="AM290" s="160">
        <f t="shared" si="650"/>
        <v>0</v>
      </c>
      <c r="AN290" s="160">
        <f t="shared" si="650"/>
        <v>0</v>
      </c>
      <c r="AO290" s="160">
        <f t="shared" si="650"/>
        <v>0</v>
      </c>
      <c r="AP290" s="160">
        <f t="shared" si="650"/>
        <v>0</v>
      </c>
      <c r="AQ290" s="160">
        <f t="shared" si="650"/>
        <v>0</v>
      </c>
      <c r="AR290" s="160">
        <f t="shared" si="650"/>
        <v>0</v>
      </c>
      <c r="AS290" s="160">
        <f t="shared" si="650"/>
        <v>0</v>
      </c>
      <c r="AT290" s="160">
        <f t="shared" si="650"/>
        <v>0</v>
      </c>
      <c r="AU290" s="160">
        <f t="shared" si="650"/>
        <v>0</v>
      </c>
      <c r="AV290" s="160">
        <f t="shared" si="650"/>
        <v>0</v>
      </c>
      <c r="AW290" s="160">
        <f t="shared" si="650"/>
        <v>0</v>
      </c>
      <c r="AX290" s="160">
        <f t="shared" si="650"/>
        <v>0</v>
      </c>
      <c r="AY290" s="160">
        <f t="shared" si="650"/>
        <v>0</v>
      </c>
      <c r="AZ290" s="160">
        <f t="shared" si="650"/>
        <v>0</v>
      </c>
      <c r="BA290" s="160">
        <f t="shared" si="650"/>
        <v>0</v>
      </c>
      <c r="BB290" s="160">
        <f t="shared" si="650"/>
        <v>0</v>
      </c>
      <c r="BC290" s="160">
        <f t="shared" si="650"/>
        <v>0</v>
      </c>
      <c r="BD290" s="160">
        <f t="shared" si="650"/>
        <v>0</v>
      </c>
      <c r="BE290" s="160">
        <f t="shared" si="650"/>
        <v>0</v>
      </c>
      <c r="BF290" s="160">
        <f t="shared" si="650"/>
        <v>0</v>
      </c>
      <c r="BG290" s="160">
        <f t="shared" si="650"/>
        <v>0</v>
      </c>
      <c r="BH290" s="160">
        <f t="shared" si="650"/>
        <v>0</v>
      </c>
      <c r="BI290" s="160">
        <f t="shared" si="650"/>
        <v>0</v>
      </c>
      <c r="BJ290" s="160">
        <f t="shared" si="650"/>
        <v>0</v>
      </c>
      <c r="BK290" s="160">
        <f t="shared" si="650"/>
        <v>0</v>
      </c>
      <c r="BL290" s="160">
        <f t="shared" si="650"/>
        <v>0</v>
      </c>
      <c r="BM290" s="160">
        <f t="shared" si="650"/>
        <v>0</v>
      </c>
      <c r="BN290" s="160">
        <f t="shared" si="650"/>
        <v>0</v>
      </c>
      <c r="BO290" s="160">
        <f t="shared" si="650"/>
        <v>0</v>
      </c>
      <c r="BP290" s="160">
        <f t="shared" si="650"/>
        <v>0</v>
      </c>
      <c r="BQ290" s="160">
        <f t="shared" si="650"/>
        <v>0</v>
      </c>
      <c r="BR290" s="160">
        <f t="shared" si="650"/>
        <v>0</v>
      </c>
      <c r="BS290" s="65"/>
      <c r="BT290" s="160">
        <f t="shared" si="580"/>
        <v>0</v>
      </c>
      <c r="BU290" s="160">
        <f t="shared" si="581"/>
        <v>0</v>
      </c>
      <c r="BV290" s="65"/>
      <c r="BW290" s="69"/>
      <c r="BX290" s="65"/>
      <c r="BY290" s="137">
        <f t="shared" si="582"/>
        <v>1</v>
      </c>
      <c r="BZ290" s="137">
        <f>IF(BY290&gt;0,BY290+LARGE($BZ$213:BZ289,1),0)</f>
        <v>66</v>
      </c>
      <c r="CA290" s="137" t="str">
        <f t="shared" si="583"/>
        <v>ENG/ARQ JR.</v>
      </c>
      <c r="CB290" s="161">
        <f t="shared" si="584"/>
        <v>0</v>
      </c>
      <c r="CC290" s="161">
        <f t="shared" si="585"/>
        <v>0</v>
      </c>
      <c r="CD290" s="161">
        <f t="shared" si="586"/>
        <v>0</v>
      </c>
      <c r="CE290" s="161">
        <f t="shared" si="587"/>
        <v>0</v>
      </c>
      <c r="CF290" s="161">
        <f t="shared" si="588"/>
        <v>0</v>
      </c>
      <c r="CG290" s="161">
        <f t="shared" si="589"/>
        <v>0</v>
      </c>
      <c r="CH290" s="161">
        <f t="shared" si="590"/>
        <v>0</v>
      </c>
      <c r="CI290" s="161">
        <f t="shared" si="591"/>
        <v>0</v>
      </c>
      <c r="CJ290" s="161">
        <f t="shared" si="592"/>
        <v>0</v>
      </c>
      <c r="CK290" s="161">
        <f t="shared" si="593"/>
        <v>0</v>
      </c>
      <c r="CL290" s="161">
        <f t="shared" si="594"/>
        <v>0</v>
      </c>
      <c r="CM290" s="161">
        <f t="shared" si="595"/>
        <v>0</v>
      </c>
      <c r="CN290" s="161">
        <f t="shared" si="596"/>
        <v>0</v>
      </c>
      <c r="CO290" s="161">
        <f t="shared" si="597"/>
        <v>0</v>
      </c>
      <c r="CP290" s="161">
        <f t="shared" si="598"/>
        <v>0</v>
      </c>
      <c r="CQ290" s="161">
        <f t="shared" si="599"/>
        <v>0</v>
      </c>
      <c r="CR290" s="161">
        <f t="shared" si="600"/>
        <v>0</v>
      </c>
      <c r="CS290" s="161">
        <f t="shared" si="601"/>
        <v>0</v>
      </c>
      <c r="CT290" s="161">
        <f t="shared" si="602"/>
        <v>0</v>
      </c>
      <c r="CU290" s="161">
        <f t="shared" si="603"/>
        <v>0</v>
      </c>
      <c r="CV290" s="161">
        <f t="shared" si="604"/>
        <v>0</v>
      </c>
      <c r="CW290" s="161">
        <f t="shared" si="605"/>
        <v>0</v>
      </c>
      <c r="CX290" s="161">
        <f t="shared" si="606"/>
        <v>0</v>
      </c>
      <c r="CY290" s="161">
        <f t="shared" si="607"/>
        <v>0</v>
      </c>
      <c r="CZ290" s="161">
        <f t="shared" si="608"/>
        <v>0</v>
      </c>
      <c r="DA290" s="161">
        <f t="shared" si="609"/>
        <v>0</v>
      </c>
      <c r="DB290" s="161">
        <f t="shared" si="610"/>
        <v>0</v>
      </c>
      <c r="DC290" s="161">
        <f t="shared" si="611"/>
        <v>0</v>
      </c>
      <c r="DD290" s="161">
        <f t="shared" si="612"/>
        <v>0</v>
      </c>
      <c r="DE290" s="161">
        <f t="shared" si="613"/>
        <v>0</v>
      </c>
      <c r="DF290" s="161">
        <f t="shared" si="614"/>
        <v>0</v>
      </c>
      <c r="DG290" s="161">
        <f t="shared" si="615"/>
        <v>0</v>
      </c>
      <c r="DH290" s="161">
        <f t="shared" si="616"/>
        <v>0</v>
      </c>
      <c r="DI290" s="161">
        <f t="shared" si="617"/>
        <v>0</v>
      </c>
      <c r="DJ290" s="161">
        <f t="shared" si="618"/>
        <v>0</v>
      </c>
      <c r="DK290" s="161">
        <f t="shared" si="619"/>
        <v>0</v>
      </c>
      <c r="DL290" s="161">
        <f t="shared" si="620"/>
        <v>0</v>
      </c>
      <c r="DM290" s="161">
        <f t="shared" si="621"/>
        <v>0</v>
      </c>
      <c r="DN290" s="161">
        <f t="shared" si="622"/>
        <v>0</v>
      </c>
      <c r="DO290" s="161">
        <f t="shared" si="623"/>
        <v>0</v>
      </c>
      <c r="DP290" s="161">
        <f t="shared" si="624"/>
        <v>0</v>
      </c>
      <c r="DQ290" s="161">
        <f t="shared" si="625"/>
        <v>0</v>
      </c>
      <c r="DR290" s="161">
        <f t="shared" si="626"/>
        <v>0</v>
      </c>
      <c r="DS290" s="161">
        <f t="shared" si="627"/>
        <v>0</v>
      </c>
      <c r="DT290" s="161">
        <f t="shared" si="628"/>
        <v>0</v>
      </c>
      <c r="DU290" s="161">
        <f t="shared" si="629"/>
        <v>0</v>
      </c>
      <c r="DV290" s="161">
        <f t="shared" si="630"/>
        <v>0</v>
      </c>
      <c r="DW290" s="161">
        <f t="shared" si="631"/>
        <v>0</v>
      </c>
      <c r="DX290" s="161">
        <f t="shared" si="632"/>
        <v>0</v>
      </c>
      <c r="DY290" s="161">
        <f t="shared" si="633"/>
        <v>0</v>
      </c>
      <c r="DZ290" s="161">
        <f t="shared" si="634"/>
        <v>0</v>
      </c>
      <c r="EA290" s="161">
        <f t="shared" si="635"/>
        <v>0</v>
      </c>
      <c r="EB290" s="161">
        <f t="shared" si="636"/>
        <v>0</v>
      </c>
      <c r="EC290" s="161">
        <f t="shared" si="637"/>
        <v>0</v>
      </c>
      <c r="ED290" s="161">
        <f t="shared" si="638"/>
        <v>0</v>
      </c>
      <c r="EE290" s="161">
        <f t="shared" si="639"/>
        <v>0</v>
      </c>
      <c r="EF290" s="161">
        <f t="shared" si="640"/>
        <v>0</v>
      </c>
      <c r="EG290" s="161">
        <f t="shared" si="641"/>
        <v>0</v>
      </c>
      <c r="EH290" s="161">
        <f t="shared" si="642"/>
        <v>0</v>
      </c>
      <c r="EI290" s="161">
        <f t="shared" si="643"/>
        <v>0</v>
      </c>
      <c r="EJ290" s="65"/>
      <c r="EK290" s="161">
        <f t="shared" si="647"/>
        <v>0</v>
      </c>
      <c r="EL290" s="161">
        <f t="shared" si="648"/>
        <v>0</v>
      </c>
      <c r="EM290" s="161">
        <f t="shared" si="649"/>
        <v>0</v>
      </c>
    </row>
    <row r="291" spans="1:143" ht="12" hidden="1" customHeight="1" outlineLevel="2">
      <c r="A291" s="77">
        <v>7</v>
      </c>
      <c r="B291" s="137" t="str">
        <f t="shared" si="644"/>
        <v>AN SR. ENG/ARQ - Equipe_01</v>
      </c>
      <c r="C291" s="65"/>
      <c r="D291" s="622"/>
      <c r="E291" s="65"/>
      <c r="F291" s="584"/>
      <c r="G291" s="77" t="str">
        <f>IF(INDEX(Tarefas!$BT$30:$FK$30,MATCH(A291,Tarefas!$BT$28:$FK$28,0))=0,"",INDEX(Tarefas!$BT$30:$FK$30,MATCH(A291,Tarefas!$BT$28:$FK$28,0)))</f>
        <v>AN SR. ENG/ARQ</v>
      </c>
      <c r="H291" s="107" cm="1">
        <f t="array" ref="H291">IFERROR((SUMPRODUCT((Tarefas!$N$32:$N$54='Cronog. e Histog.'!$F$285)*(Tarefas!$BQ$30:$FK$30='Cronog. e Histog.'!$G291)*(Tarefas!$BQ$32:$FK$54)))/SUMIF(Tarefas!$N$32:$N$54,'Cronog. e Histog.'!$F$285,Tarefas!$K$32:$K$54),0)</f>
        <v>0</v>
      </c>
      <c r="I291" s="79">
        <f t="shared" si="645"/>
        <v>0</v>
      </c>
      <c r="J291" s="65"/>
      <c r="K291" s="160">
        <f t="shared" si="646"/>
        <v>0</v>
      </c>
      <c r="L291" s="160">
        <f t="shared" si="650"/>
        <v>0</v>
      </c>
      <c r="M291" s="160">
        <f t="shared" si="650"/>
        <v>0</v>
      </c>
      <c r="N291" s="160">
        <f t="shared" si="650"/>
        <v>0</v>
      </c>
      <c r="O291" s="160">
        <f t="shared" si="650"/>
        <v>0</v>
      </c>
      <c r="P291" s="160">
        <f t="shared" si="650"/>
        <v>0</v>
      </c>
      <c r="Q291" s="160">
        <f t="shared" si="650"/>
        <v>0</v>
      </c>
      <c r="R291" s="160">
        <f t="shared" si="650"/>
        <v>0</v>
      </c>
      <c r="S291" s="160">
        <f t="shared" si="650"/>
        <v>0</v>
      </c>
      <c r="T291" s="160">
        <f t="shared" si="650"/>
        <v>0</v>
      </c>
      <c r="U291" s="160">
        <f t="shared" si="650"/>
        <v>0</v>
      </c>
      <c r="V291" s="160">
        <f t="shared" si="650"/>
        <v>0</v>
      </c>
      <c r="W291" s="160">
        <f t="shared" si="650"/>
        <v>0</v>
      </c>
      <c r="X291" s="160">
        <f t="shared" si="650"/>
        <v>0</v>
      </c>
      <c r="Y291" s="160">
        <f t="shared" si="650"/>
        <v>0</v>
      </c>
      <c r="Z291" s="160">
        <f t="shared" si="650"/>
        <v>0</v>
      </c>
      <c r="AA291" s="160">
        <f t="shared" si="650"/>
        <v>0</v>
      </c>
      <c r="AB291" s="160">
        <f t="shared" si="650"/>
        <v>0</v>
      </c>
      <c r="AC291" s="160">
        <f t="shared" si="650"/>
        <v>0</v>
      </c>
      <c r="AD291" s="160">
        <f t="shared" si="650"/>
        <v>0</v>
      </c>
      <c r="AE291" s="160">
        <f t="shared" si="650"/>
        <v>0</v>
      </c>
      <c r="AF291" s="160">
        <f t="shared" si="650"/>
        <v>0</v>
      </c>
      <c r="AG291" s="160">
        <f t="shared" si="650"/>
        <v>0</v>
      </c>
      <c r="AH291" s="160">
        <f t="shared" si="650"/>
        <v>0</v>
      </c>
      <c r="AI291" s="160">
        <f t="shared" si="650"/>
        <v>0</v>
      </c>
      <c r="AJ291" s="160">
        <f t="shared" si="650"/>
        <v>0</v>
      </c>
      <c r="AK291" s="160">
        <f t="shared" si="650"/>
        <v>0</v>
      </c>
      <c r="AL291" s="160">
        <f t="shared" si="650"/>
        <v>0</v>
      </c>
      <c r="AM291" s="160">
        <f t="shared" si="650"/>
        <v>0</v>
      </c>
      <c r="AN291" s="160">
        <f t="shared" si="650"/>
        <v>0</v>
      </c>
      <c r="AO291" s="160">
        <f t="shared" si="650"/>
        <v>0</v>
      </c>
      <c r="AP291" s="160">
        <f t="shared" si="650"/>
        <v>0</v>
      </c>
      <c r="AQ291" s="160">
        <f t="shared" si="650"/>
        <v>0</v>
      </c>
      <c r="AR291" s="160">
        <f t="shared" si="650"/>
        <v>0</v>
      </c>
      <c r="AS291" s="160">
        <f t="shared" si="650"/>
        <v>0</v>
      </c>
      <c r="AT291" s="160">
        <f t="shared" si="650"/>
        <v>0</v>
      </c>
      <c r="AU291" s="160">
        <f t="shared" si="650"/>
        <v>0</v>
      </c>
      <c r="AV291" s="160">
        <f t="shared" si="650"/>
        <v>0</v>
      </c>
      <c r="AW291" s="160">
        <f t="shared" si="650"/>
        <v>0</v>
      </c>
      <c r="AX291" s="160">
        <f t="shared" si="650"/>
        <v>0</v>
      </c>
      <c r="AY291" s="160">
        <f t="shared" si="650"/>
        <v>0</v>
      </c>
      <c r="AZ291" s="160">
        <f t="shared" si="650"/>
        <v>0</v>
      </c>
      <c r="BA291" s="160">
        <f t="shared" si="650"/>
        <v>0</v>
      </c>
      <c r="BB291" s="160">
        <f t="shared" si="650"/>
        <v>0</v>
      </c>
      <c r="BC291" s="160">
        <f t="shared" si="650"/>
        <v>0</v>
      </c>
      <c r="BD291" s="160">
        <f t="shared" si="650"/>
        <v>0</v>
      </c>
      <c r="BE291" s="160">
        <f t="shared" si="650"/>
        <v>0</v>
      </c>
      <c r="BF291" s="160">
        <f t="shared" si="650"/>
        <v>0</v>
      </c>
      <c r="BG291" s="160">
        <f t="shared" si="650"/>
        <v>0</v>
      </c>
      <c r="BH291" s="160">
        <f t="shared" si="650"/>
        <v>0</v>
      </c>
      <c r="BI291" s="160">
        <f t="shared" si="650"/>
        <v>0</v>
      </c>
      <c r="BJ291" s="160">
        <f t="shared" si="650"/>
        <v>0</v>
      </c>
      <c r="BK291" s="160">
        <f t="shared" si="650"/>
        <v>0</v>
      </c>
      <c r="BL291" s="160">
        <f t="shared" si="650"/>
        <v>0</v>
      </c>
      <c r="BM291" s="160">
        <f t="shared" si="650"/>
        <v>0</v>
      </c>
      <c r="BN291" s="160">
        <f t="shared" si="650"/>
        <v>0</v>
      </c>
      <c r="BO291" s="160">
        <f t="shared" si="650"/>
        <v>0</v>
      </c>
      <c r="BP291" s="160">
        <f t="shared" si="650"/>
        <v>0</v>
      </c>
      <c r="BQ291" s="160">
        <f t="shared" si="650"/>
        <v>0</v>
      </c>
      <c r="BR291" s="160">
        <f t="shared" si="650"/>
        <v>0</v>
      </c>
      <c r="BS291" s="65"/>
      <c r="BT291" s="160">
        <f t="shared" si="580"/>
        <v>0</v>
      </c>
      <c r="BU291" s="160">
        <f t="shared" si="581"/>
        <v>0</v>
      </c>
      <c r="BV291" s="65"/>
      <c r="BW291" s="69"/>
      <c r="BX291" s="65"/>
      <c r="BY291" s="137">
        <f t="shared" si="582"/>
        <v>1</v>
      </c>
      <c r="BZ291" s="137">
        <f>IF(BY291&gt;0,BY291+LARGE($BZ$213:BZ290,1),0)</f>
        <v>67</v>
      </c>
      <c r="CA291" s="137" t="str">
        <f t="shared" si="583"/>
        <v>AN SR. ENG/ARQ</v>
      </c>
      <c r="CB291" s="161">
        <f t="shared" si="584"/>
        <v>0</v>
      </c>
      <c r="CC291" s="161">
        <f t="shared" si="585"/>
        <v>0</v>
      </c>
      <c r="CD291" s="161">
        <f t="shared" si="586"/>
        <v>0</v>
      </c>
      <c r="CE291" s="161">
        <f t="shared" si="587"/>
        <v>0</v>
      </c>
      <c r="CF291" s="161">
        <f t="shared" si="588"/>
        <v>0</v>
      </c>
      <c r="CG291" s="161">
        <f t="shared" si="589"/>
        <v>0</v>
      </c>
      <c r="CH291" s="161">
        <f t="shared" si="590"/>
        <v>0</v>
      </c>
      <c r="CI291" s="161">
        <f t="shared" si="591"/>
        <v>0</v>
      </c>
      <c r="CJ291" s="161">
        <f t="shared" si="592"/>
        <v>0</v>
      </c>
      <c r="CK291" s="161">
        <f t="shared" si="593"/>
        <v>0</v>
      </c>
      <c r="CL291" s="161">
        <f t="shared" si="594"/>
        <v>0</v>
      </c>
      <c r="CM291" s="161">
        <f t="shared" si="595"/>
        <v>0</v>
      </c>
      <c r="CN291" s="161">
        <f t="shared" si="596"/>
        <v>0</v>
      </c>
      <c r="CO291" s="161">
        <f t="shared" si="597"/>
        <v>0</v>
      </c>
      <c r="CP291" s="161">
        <f t="shared" si="598"/>
        <v>0</v>
      </c>
      <c r="CQ291" s="161">
        <f t="shared" si="599"/>
        <v>0</v>
      </c>
      <c r="CR291" s="161">
        <f t="shared" si="600"/>
        <v>0</v>
      </c>
      <c r="CS291" s="161">
        <f t="shared" si="601"/>
        <v>0</v>
      </c>
      <c r="CT291" s="161">
        <f t="shared" si="602"/>
        <v>0</v>
      </c>
      <c r="CU291" s="161">
        <f t="shared" si="603"/>
        <v>0</v>
      </c>
      <c r="CV291" s="161">
        <f t="shared" si="604"/>
        <v>0</v>
      </c>
      <c r="CW291" s="161">
        <f t="shared" si="605"/>
        <v>0</v>
      </c>
      <c r="CX291" s="161">
        <f t="shared" si="606"/>
        <v>0</v>
      </c>
      <c r="CY291" s="161">
        <f t="shared" si="607"/>
        <v>0</v>
      </c>
      <c r="CZ291" s="161">
        <f t="shared" si="608"/>
        <v>0</v>
      </c>
      <c r="DA291" s="161">
        <f t="shared" si="609"/>
        <v>0</v>
      </c>
      <c r="DB291" s="161">
        <f t="shared" si="610"/>
        <v>0</v>
      </c>
      <c r="DC291" s="161">
        <f t="shared" si="611"/>
        <v>0</v>
      </c>
      <c r="DD291" s="161">
        <f t="shared" si="612"/>
        <v>0</v>
      </c>
      <c r="DE291" s="161">
        <f t="shared" si="613"/>
        <v>0</v>
      </c>
      <c r="DF291" s="161">
        <f t="shared" si="614"/>
        <v>0</v>
      </c>
      <c r="DG291" s="161">
        <f t="shared" si="615"/>
        <v>0</v>
      </c>
      <c r="DH291" s="161">
        <f t="shared" si="616"/>
        <v>0</v>
      </c>
      <c r="DI291" s="161">
        <f t="shared" si="617"/>
        <v>0</v>
      </c>
      <c r="DJ291" s="161">
        <f t="shared" si="618"/>
        <v>0</v>
      </c>
      <c r="DK291" s="161">
        <f t="shared" si="619"/>
        <v>0</v>
      </c>
      <c r="DL291" s="161">
        <f t="shared" si="620"/>
        <v>0</v>
      </c>
      <c r="DM291" s="161">
        <f t="shared" si="621"/>
        <v>0</v>
      </c>
      <c r="DN291" s="161">
        <f t="shared" si="622"/>
        <v>0</v>
      </c>
      <c r="DO291" s="161">
        <f t="shared" si="623"/>
        <v>0</v>
      </c>
      <c r="DP291" s="161">
        <f t="shared" si="624"/>
        <v>0</v>
      </c>
      <c r="DQ291" s="161">
        <f t="shared" si="625"/>
        <v>0</v>
      </c>
      <c r="DR291" s="161">
        <f t="shared" si="626"/>
        <v>0</v>
      </c>
      <c r="DS291" s="161">
        <f t="shared" si="627"/>
        <v>0</v>
      </c>
      <c r="DT291" s="161">
        <f t="shared" si="628"/>
        <v>0</v>
      </c>
      <c r="DU291" s="161">
        <f t="shared" si="629"/>
        <v>0</v>
      </c>
      <c r="DV291" s="161">
        <f t="shared" si="630"/>
        <v>0</v>
      </c>
      <c r="DW291" s="161">
        <f t="shared" si="631"/>
        <v>0</v>
      </c>
      <c r="DX291" s="161">
        <f t="shared" si="632"/>
        <v>0</v>
      </c>
      <c r="DY291" s="161">
        <f t="shared" si="633"/>
        <v>0</v>
      </c>
      <c r="DZ291" s="161">
        <f t="shared" si="634"/>
        <v>0</v>
      </c>
      <c r="EA291" s="161">
        <f t="shared" si="635"/>
        <v>0</v>
      </c>
      <c r="EB291" s="161">
        <f t="shared" si="636"/>
        <v>0</v>
      </c>
      <c r="EC291" s="161">
        <f t="shared" si="637"/>
        <v>0</v>
      </c>
      <c r="ED291" s="161">
        <f t="shared" si="638"/>
        <v>0</v>
      </c>
      <c r="EE291" s="161">
        <f t="shared" si="639"/>
        <v>0</v>
      </c>
      <c r="EF291" s="161">
        <f t="shared" si="640"/>
        <v>0</v>
      </c>
      <c r="EG291" s="161">
        <f t="shared" si="641"/>
        <v>0</v>
      </c>
      <c r="EH291" s="161">
        <f t="shared" si="642"/>
        <v>0</v>
      </c>
      <c r="EI291" s="161">
        <f t="shared" si="643"/>
        <v>0</v>
      </c>
      <c r="EJ291" s="65"/>
      <c r="EK291" s="161">
        <f t="shared" si="647"/>
        <v>0</v>
      </c>
      <c r="EL291" s="161">
        <f t="shared" si="648"/>
        <v>0</v>
      </c>
      <c r="EM291" s="161">
        <f t="shared" si="649"/>
        <v>0</v>
      </c>
    </row>
    <row r="292" spans="1:143" ht="12" hidden="1" customHeight="1" outlineLevel="2">
      <c r="A292" s="77">
        <v>8</v>
      </c>
      <c r="B292" s="137" t="str">
        <f t="shared" si="644"/>
        <v>AN PL. ENG/ARQ - Equipe_01</v>
      </c>
      <c r="C292" s="65"/>
      <c r="D292" s="622"/>
      <c r="E292" s="65"/>
      <c r="F292" s="584"/>
      <c r="G292" s="77" t="str">
        <f>IF(INDEX(Tarefas!$BT$30:$FK$30,MATCH(A292,Tarefas!$BT$28:$FK$28,0))=0,"",INDEX(Tarefas!$BT$30:$FK$30,MATCH(A292,Tarefas!$BT$28:$FK$28,0)))</f>
        <v>AN PL. ENG/ARQ</v>
      </c>
      <c r="H292" s="107" cm="1">
        <f t="array" ref="H292">IFERROR((SUMPRODUCT((Tarefas!$N$32:$N$54='Cronog. e Histog.'!$F$285)*(Tarefas!$BQ$30:$FK$30='Cronog. e Histog.'!$G292)*(Tarefas!$BQ$32:$FK$54)))/SUMIF(Tarefas!$N$32:$N$54,'Cronog. e Histog.'!$F$285,Tarefas!$K$32:$K$54),0)</f>
        <v>0</v>
      </c>
      <c r="I292" s="79">
        <f t="shared" si="645"/>
        <v>0</v>
      </c>
      <c r="J292" s="65"/>
      <c r="K292" s="160">
        <f t="shared" si="646"/>
        <v>0</v>
      </c>
      <c r="L292" s="160">
        <f t="shared" si="646"/>
        <v>0</v>
      </c>
      <c r="M292" s="160">
        <f t="shared" si="646"/>
        <v>0</v>
      </c>
      <c r="N292" s="160">
        <f t="shared" si="646"/>
        <v>0</v>
      </c>
      <c r="O292" s="160">
        <f t="shared" si="646"/>
        <v>0</v>
      </c>
      <c r="P292" s="160">
        <f t="shared" si="646"/>
        <v>0</v>
      </c>
      <c r="Q292" s="160">
        <f t="shared" si="646"/>
        <v>0</v>
      </c>
      <c r="R292" s="160">
        <f t="shared" si="646"/>
        <v>0</v>
      </c>
      <c r="S292" s="160">
        <f t="shared" si="646"/>
        <v>0</v>
      </c>
      <c r="T292" s="160">
        <f t="shared" si="646"/>
        <v>0</v>
      </c>
      <c r="U292" s="160">
        <f t="shared" si="646"/>
        <v>0</v>
      </c>
      <c r="V292" s="160">
        <f t="shared" si="646"/>
        <v>0</v>
      </c>
      <c r="W292" s="160">
        <f t="shared" si="646"/>
        <v>0</v>
      </c>
      <c r="X292" s="160">
        <f t="shared" si="646"/>
        <v>0</v>
      </c>
      <c r="Y292" s="160">
        <f t="shared" si="646"/>
        <v>0</v>
      </c>
      <c r="Z292" s="160">
        <f t="shared" si="646"/>
        <v>0</v>
      </c>
      <c r="AA292" s="160">
        <f t="shared" ref="AA292:AP301" si="651">ROUND($I292*AA$186,2)</f>
        <v>0</v>
      </c>
      <c r="AB292" s="160">
        <f t="shared" si="651"/>
        <v>0</v>
      </c>
      <c r="AC292" s="160">
        <f t="shared" si="651"/>
        <v>0</v>
      </c>
      <c r="AD292" s="160">
        <f t="shared" si="651"/>
        <v>0</v>
      </c>
      <c r="AE292" s="160">
        <f t="shared" si="651"/>
        <v>0</v>
      </c>
      <c r="AF292" s="160">
        <f t="shared" si="651"/>
        <v>0</v>
      </c>
      <c r="AG292" s="160">
        <f t="shared" si="651"/>
        <v>0</v>
      </c>
      <c r="AH292" s="160">
        <f t="shared" si="651"/>
        <v>0</v>
      </c>
      <c r="AI292" s="160">
        <f t="shared" si="651"/>
        <v>0</v>
      </c>
      <c r="AJ292" s="160">
        <f t="shared" si="651"/>
        <v>0</v>
      </c>
      <c r="AK292" s="160">
        <f t="shared" si="651"/>
        <v>0</v>
      </c>
      <c r="AL292" s="160">
        <f t="shared" si="651"/>
        <v>0</v>
      </c>
      <c r="AM292" s="160">
        <f t="shared" si="651"/>
        <v>0</v>
      </c>
      <c r="AN292" s="160">
        <f t="shared" si="651"/>
        <v>0</v>
      </c>
      <c r="AO292" s="160">
        <f t="shared" si="651"/>
        <v>0</v>
      </c>
      <c r="AP292" s="160">
        <f t="shared" si="651"/>
        <v>0</v>
      </c>
      <c r="AQ292" s="160">
        <f t="shared" ref="AQ292:BF301" si="652">ROUND($I292*AQ$186,2)</f>
        <v>0</v>
      </c>
      <c r="AR292" s="160">
        <f t="shared" si="652"/>
        <v>0</v>
      </c>
      <c r="AS292" s="160">
        <f t="shared" si="652"/>
        <v>0</v>
      </c>
      <c r="AT292" s="160">
        <f t="shared" si="652"/>
        <v>0</v>
      </c>
      <c r="AU292" s="160">
        <f t="shared" si="652"/>
        <v>0</v>
      </c>
      <c r="AV292" s="160">
        <f t="shared" si="652"/>
        <v>0</v>
      </c>
      <c r="AW292" s="160">
        <f t="shared" si="652"/>
        <v>0</v>
      </c>
      <c r="AX292" s="160">
        <f t="shared" si="652"/>
        <v>0</v>
      </c>
      <c r="AY292" s="160">
        <f t="shared" si="652"/>
        <v>0</v>
      </c>
      <c r="AZ292" s="160">
        <f t="shared" si="652"/>
        <v>0</v>
      </c>
      <c r="BA292" s="160">
        <f t="shared" si="652"/>
        <v>0</v>
      </c>
      <c r="BB292" s="160">
        <f t="shared" si="652"/>
        <v>0</v>
      </c>
      <c r="BC292" s="160">
        <f t="shared" si="652"/>
        <v>0</v>
      </c>
      <c r="BD292" s="160">
        <f t="shared" si="652"/>
        <v>0</v>
      </c>
      <c r="BE292" s="160">
        <f t="shared" si="652"/>
        <v>0</v>
      </c>
      <c r="BF292" s="160">
        <f t="shared" si="652"/>
        <v>0</v>
      </c>
      <c r="BG292" s="160">
        <f t="shared" ref="BG292:BR301" si="653">ROUND($I292*BG$186,2)</f>
        <v>0</v>
      </c>
      <c r="BH292" s="160">
        <f t="shared" si="653"/>
        <v>0</v>
      </c>
      <c r="BI292" s="160">
        <f t="shared" si="653"/>
        <v>0</v>
      </c>
      <c r="BJ292" s="160">
        <f t="shared" si="653"/>
        <v>0</v>
      </c>
      <c r="BK292" s="160">
        <f t="shared" si="653"/>
        <v>0</v>
      </c>
      <c r="BL292" s="160">
        <f t="shared" si="653"/>
        <v>0</v>
      </c>
      <c r="BM292" s="160">
        <f t="shared" si="653"/>
        <v>0</v>
      </c>
      <c r="BN292" s="160">
        <f t="shared" si="653"/>
        <v>0</v>
      </c>
      <c r="BO292" s="160">
        <f t="shared" si="653"/>
        <v>0</v>
      </c>
      <c r="BP292" s="160">
        <f t="shared" si="653"/>
        <v>0</v>
      </c>
      <c r="BQ292" s="160">
        <f t="shared" si="653"/>
        <v>0</v>
      </c>
      <c r="BR292" s="160">
        <f t="shared" si="653"/>
        <v>0</v>
      </c>
      <c r="BS292" s="65"/>
      <c r="BT292" s="160">
        <f t="shared" ref="BT292:BT301" si="654">IFERROR(SUM(K292:BR292)/COUNTIF(K292:BR292,"&gt;0"),0)</f>
        <v>0</v>
      </c>
      <c r="BU292" s="160">
        <f t="shared" ref="BU292:BU301" si="655">COUNTIF(K292:BR292,"&gt;0")</f>
        <v>0</v>
      </c>
      <c r="BV292" s="65"/>
      <c r="BW292" s="69"/>
      <c r="BX292" s="65"/>
      <c r="BY292" s="137">
        <f t="shared" ref="BY292:BY301" si="656">IF(G292&gt;0,1,0)</f>
        <v>1</v>
      </c>
      <c r="BZ292" s="137">
        <f>IF(BY292&gt;0,BY292+LARGE($BZ$213:BZ291,1),0)</f>
        <v>68</v>
      </c>
      <c r="CA292" s="137" t="str">
        <f t="shared" ref="CA292:CA301" si="657">G292</f>
        <v>AN PL. ENG/ARQ</v>
      </c>
      <c r="CB292" s="161">
        <f t="shared" ref="CB292:CB301" si="658">K292</f>
        <v>0</v>
      </c>
      <c r="CC292" s="161">
        <f t="shared" ref="CC292:CC301" si="659">L292</f>
        <v>0</v>
      </c>
      <c r="CD292" s="161">
        <f t="shared" ref="CD292:CD301" si="660">M292</f>
        <v>0</v>
      </c>
      <c r="CE292" s="161">
        <f t="shared" ref="CE292:CE301" si="661">N292</f>
        <v>0</v>
      </c>
      <c r="CF292" s="161">
        <f t="shared" ref="CF292:CF301" si="662">O292</f>
        <v>0</v>
      </c>
      <c r="CG292" s="161">
        <f t="shared" ref="CG292:CG301" si="663">P292</f>
        <v>0</v>
      </c>
      <c r="CH292" s="161">
        <f t="shared" ref="CH292:CH301" si="664">Q292</f>
        <v>0</v>
      </c>
      <c r="CI292" s="161">
        <f t="shared" ref="CI292:CI301" si="665">R292</f>
        <v>0</v>
      </c>
      <c r="CJ292" s="161">
        <f t="shared" ref="CJ292:CJ301" si="666">S292</f>
        <v>0</v>
      </c>
      <c r="CK292" s="161">
        <f t="shared" ref="CK292:CK301" si="667">T292</f>
        <v>0</v>
      </c>
      <c r="CL292" s="161">
        <f t="shared" ref="CL292:CL301" si="668">U292</f>
        <v>0</v>
      </c>
      <c r="CM292" s="161">
        <f t="shared" ref="CM292:CM301" si="669">V292</f>
        <v>0</v>
      </c>
      <c r="CN292" s="161">
        <f t="shared" ref="CN292:CN301" si="670">W292</f>
        <v>0</v>
      </c>
      <c r="CO292" s="161">
        <f t="shared" ref="CO292:CO301" si="671">X292</f>
        <v>0</v>
      </c>
      <c r="CP292" s="161">
        <f t="shared" ref="CP292:CP301" si="672">Y292</f>
        <v>0</v>
      </c>
      <c r="CQ292" s="161">
        <f t="shared" ref="CQ292:CQ301" si="673">Z292</f>
        <v>0</v>
      </c>
      <c r="CR292" s="161">
        <f t="shared" ref="CR292:CR301" si="674">AA292</f>
        <v>0</v>
      </c>
      <c r="CS292" s="161">
        <f t="shared" ref="CS292:CS301" si="675">AB292</f>
        <v>0</v>
      </c>
      <c r="CT292" s="161">
        <f t="shared" ref="CT292:CT301" si="676">AC292</f>
        <v>0</v>
      </c>
      <c r="CU292" s="161">
        <f t="shared" ref="CU292:CU301" si="677">AD292</f>
        <v>0</v>
      </c>
      <c r="CV292" s="161">
        <f t="shared" ref="CV292:CV301" si="678">AE292</f>
        <v>0</v>
      </c>
      <c r="CW292" s="161">
        <f t="shared" ref="CW292:CW301" si="679">AF292</f>
        <v>0</v>
      </c>
      <c r="CX292" s="161">
        <f t="shared" ref="CX292:CX301" si="680">AG292</f>
        <v>0</v>
      </c>
      <c r="CY292" s="161">
        <f t="shared" ref="CY292:CY301" si="681">AH292</f>
        <v>0</v>
      </c>
      <c r="CZ292" s="161">
        <f t="shared" ref="CZ292:CZ301" si="682">AI292</f>
        <v>0</v>
      </c>
      <c r="DA292" s="161">
        <f t="shared" ref="DA292:DA301" si="683">AJ292</f>
        <v>0</v>
      </c>
      <c r="DB292" s="161">
        <f t="shared" ref="DB292:DB301" si="684">AK292</f>
        <v>0</v>
      </c>
      <c r="DC292" s="161">
        <f t="shared" ref="DC292:DC301" si="685">AL292</f>
        <v>0</v>
      </c>
      <c r="DD292" s="161">
        <f t="shared" ref="DD292:DD301" si="686">AM292</f>
        <v>0</v>
      </c>
      <c r="DE292" s="161">
        <f t="shared" ref="DE292:DE301" si="687">AN292</f>
        <v>0</v>
      </c>
      <c r="DF292" s="161">
        <f t="shared" ref="DF292:DF301" si="688">AO292</f>
        <v>0</v>
      </c>
      <c r="DG292" s="161">
        <f t="shared" ref="DG292:DG301" si="689">AP292</f>
        <v>0</v>
      </c>
      <c r="DH292" s="161">
        <f t="shared" ref="DH292:DH301" si="690">AQ292</f>
        <v>0</v>
      </c>
      <c r="DI292" s="161">
        <f t="shared" ref="DI292:DI301" si="691">AR292</f>
        <v>0</v>
      </c>
      <c r="DJ292" s="161">
        <f t="shared" ref="DJ292:DJ301" si="692">AS292</f>
        <v>0</v>
      </c>
      <c r="DK292" s="161">
        <f t="shared" ref="DK292:DK301" si="693">AT292</f>
        <v>0</v>
      </c>
      <c r="DL292" s="161">
        <f t="shared" ref="DL292:DL301" si="694">AU292</f>
        <v>0</v>
      </c>
      <c r="DM292" s="161">
        <f t="shared" ref="DM292:DM301" si="695">AV292</f>
        <v>0</v>
      </c>
      <c r="DN292" s="161">
        <f t="shared" ref="DN292:DN301" si="696">AW292</f>
        <v>0</v>
      </c>
      <c r="DO292" s="161">
        <f t="shared" ref="DO292:DO301" si="697">AX292</f>
        <v>0</v>
      </c>
      <c r="DP292" s="161">
        <f t="shared" ref="DP292:DP301" si="698">AY292</f>
        <v>0</v>
      </c>
      <c r="DQ292" s="161">
        <f t="shared" ref="DQ292:DQ301" si="699">AZ292</f>
        <v>0</v>
      </c>
      <c r="DR292" s="161">
        <f t="shared" ref="DR292:DR301" si="700">BA292</f>
        <v>0</v>
      </c>
      <c r="DS292" s="161">
        <f t="shared" ref="DS292:DS301" si="701">BB292</f>
        <v>0</v>
      </c>
      <c r="DT292" s="161">
        <f t="shared" ref="DT292:DT301" si="702">BC292</f>
        <v>0</v>
      </c>
      <c r="DU292" s="161">
        <f t="shared" ref="DU292:DU301" si="703">BD292</f>
        <v>0</v>
      </c>
      <c r="DV292" s="161">
        <f t="shared" ref="DV292:DV301" si="704">BE292</f>
        <v>0</v>
      </c>
      <c r="DW292" s="161">
        <f t="shared" ref="DW292:DW301" si="705">BF292</f>
        <v>0</v>
      </c>
      <c r="DX292" s="161">
        <f t="shared" ref="DX292:DX301" si="706">BG292</f>
        <v>0</v>
      </c>
      <c r="DY292" s="161">
        <f t="shared" ref="DY292:DY301" si="707">BH292</f>
        <v>0</v>
      </c>
      <c r="DZ292" s="161">
        <f t="shared" ref="DZ292:DZ301" si="708">BI292</f>
        <v>0</v>
      </c>
      <c r="EA292" s="161">
        <f t="shared" ref="EA292:EA301" si="709">BJ292</f>
        <v>0</v>
      </c>
      <c r="EB292" s="161">
        <f t="shared" ref="EB292:EB301" si="710">BK292</f>
        <v>0</v>
      </c>
      <c r="EC292" s="161">
        <f t="shared" ref="EC292:EC301" si="711">BL292</f>
        <v>0</v>
      </c>
      <c r="ED292" s="161">
        <f t="shared" ref="ED292:ED301" si="712">BM292</f>
        <v>0</v>
      </c>
      <c r="EE292" s="161">
        <f t="shared" ref="EE292:EE301" si="713">BN292</f>
        <v>0</v>
      </c>
      <c r="EF292" s="161">
        <f t="shared" ref="EF292:EF301" si="714">BO292</f>
        <v>0</v>
      </c>
      <c r="EG292" s="161">
        <f t="shared" ref="EG292:EG301" si="715">BP292</f>
        <v>0</v>
      </c>
      <c r="EH292" s="161">
        <f t="shared" ref="EH292:EH301" si="716">BQ292</f>
        <v>0</v>
      </c>
      <c r="EI292" s="161">
        <f t="shared" ref="EI292:EI301" si="717">BR292</f>
        <v>0</v>
      </c>
      <c r="EJ292" s="65"/>
      <c r="EK292" s="161">
        <f t="shared" si="647"/>
        <v>0</v>
      </c>
      <c r="EL292" s="161">
        <f t="shared" si="648"/>
        <v>0</v>
      </c>
      <c r="EM292" s="161">
        <f t="shared" si="649"/>
        <v>0</v>
      </c>
    </row>
    <row r="293" spans="1:143" ht="12" hidden="1" customHeight="1" outlineLevel="2">
      <c r="A293" s="77">
        <v>9</v>
      </c>
      <c r="B293" s="137" t="str">
        <f t="shared" si="644"/>
        <v>AN JR. ENG/ARQ - Equipe_01</v>
      </c>
      <c r="C293" s="65"/>
      <c r="D293" s="622"/>
      <c r="E293" s="65"/>
      <c r="F293" s="584"/>
      <c r="G293" s="77" t="str">
        <f>IF(INDEX(Tarefas!$BT$30:$FK$30,MATCH(A293,Tarefas!$BT$28:$FK$28,0))=0,"",INDEX(Tarefas!$BT$30:$FK$30,MATCH(A293,Tarefas!$BT$28:$FK$28,0)))</f>
        <v>AN JR. ENG/ARQ</v>
      </c>
      <c r="H293" s="107" cm="1">
        <f t="array" ref="H293">IFERROR((SUMPRODUCT((Tarefas!$N$32:$N$54='Cronog. e Histog.'!$F$285)*(Tarefas!$BQ$30:$FK$30='Cronog. e Histog.'!$G293)*(Tarefas!$BQ$32:$FK$54)))/SUMIF(Tarefas!$N$32:$N$54,'Cronog. e Histog.'!$F$285,Tarefas!$K$32:$K$54),0)</f>
        <v>0</v>
      </c>
      <c r="I293" s="79">
        <f t="shared" si="645"/>
        <v>0</v>
      </c>
      <c r="J293" s="65"/>
      <c r="K293" s="160">
        <f t="shared" si="646"/>
        <v>0</v>
      </c>
      <c r="L293" s="160">
        <f t="shared" si="646"/>
        <v>0</v>
      </c>
      <c r="M293" s="160">
        <f t="shared" si="646"/>
        <v>0</v>
      </c>
      <c r="N293" s="160">
        <f t="shared" si="646"/>
        <v>0</v>
      </c>
      <c r="O293" s="160">
        <f t="shared" si="646"/>
        <v>0</v>
      </c>
      <c r="P293" s="160">
        <f t="shared" si="646"/>
        <v>0</v>
      </c>
      <c r="Q293" s="160">
        <f t="shared" si="646"/>
        <v>0</v>
      </c>
      <c r="R293" s="160">
        <f t="shared" si="646"/>
        <v>0</v>
      </c>
      <c r="S293" s="160">
        <f t="shared" si="646"/>
        <v>0</v>
      </c>
      <c r="T293" s="160">
        <f t="shared" si="646"/>
        <v>0</v>
      </c>
      <c r="U293" s="160">
        <f t="shared" si="646"/>
        <v>0</v>
      </c>
      <c r="V293" s="160">
        <f t="shared" si="646"/>
        <v>0</v>
      </c>
      <c r="W293" s="160">
        <f t="shared" si="646"/>
        <v>0</v>
      </c>
      <c r="X293" s="160">
        <f t="shared" si="646"/>
        <v>0</v>
      </c>
      <c r="Y293" s="160">
        <f t="shared" si="646"/>
        <v>0</v>
      </c>
      <c r="Z293" s="160">
        <f t="shared" si="646"/>
        <v>0</v>
      </c>
      <c r="AA293" s="160">
        <f t="shared" si="651"/>
        <v>0</v>
      </c>
      <c r="AB293" s="160">
        <f t="shared" si="651"/>
        <v>0</v>
      </c>
      <c r="AC293" s="160">
        <f t="shared" si="651"/>
        <v>0</v>
      </c>
      <c r="AD293" s="160">
        <f t="shared" si="651"/>
        <v>0</v>
      </c>
      <c r="AE293" s="160">
        <f t="shared" si="651"/>
        <v>0</v>
      </c>
      <c r="AF293" s="160">
        <f t="shared" si="651"/>
        <v>0</v>
      </c>
      <c r="AG293" s="160">
        <f t="shared" si="651"/>
        <v>0</v>
      </c>
      <c r="AH293" s="160">
        <f t="shared" si="651"/>
        <v>0</v>
      </c>
      <c r="AI293" s="160">
        <f t="shared" si="651"/>
        <v>0</v>
      </c>
      <c r="AJ293" s="160">
        <f t="shared" si="651"/>
        <v>0</v>
      </c>
      <c r="AK293" s="160">
        <f t="shared" si="651"/>
        <v>0</v>
      </c>
      <c r="AL293" s="160">
        <f t="shared" si="651"/>
        <v>0</v>
      </c>
      <c r="AM293" s="160">
        <f t="shared" si="651"/>
        <v>0</v>
      </c>
      <c r="AN293" s="160">
        <f t="shared" si="651"/>
        <v>0</v>
      </c>
      <c r="AO293" s="160">
        <f t="shared" si="651"/>
        <v>0</v>
      </c>
      <c r="AP293" s="160">
        <f t="shared" si="651"/>
        <v>0</v>
      </c>
      <c r="AQ293" s="160">
        <f t="shared" si="652"/>
        <v>0</v>
      </c>
      <c r="AR293" s="160">
        <f t="shared" si="652"/>
        <v>0</v>
      </c>
      <c r="AS293" s="160">
        <f t="shared" si="652"/>
        <v>0</v>
      </c>
      <c r="AT293" s="160">
        <f t="shared" si="652"/>
        <v>0</v>
      </c>
      <c r="AU293" s="160">
        <f t="shared" si="652"/>
        <v>0</v>
      </c>
      <c r="AV293" s="160">
        <f t="shared" si="652"/>
        <v>0</v>
      </c>
      <c r="AW293" s="160">
        <f t="shared" si="652"/>
        <v>0</v>
      </c>
      <c r="AX293" s="160">
        <f t="shared" si="652"/>
        <v>0</v>
      </c>
      <c r="AY293" s="160">
        <f t="shared" si="652"/>
        <v>0</v>
      </c>
      <c r="AZ293" s="160">
        <f t="shared" si="652"/>
        <v>0</v>
      </c>
      <c r="BA293" s="160">
        <f t="shared" si="652"/>
        <v>0</v>
      </c>
      <c r="BB293" s="160">
        <f t="shared" si="652"/>
        <v>0</v>
      </c>
      <c r="BC293" s="160">
        <f t="shared" si="652"/>
        <v>0</v>
      </c>
      <c r="BD293" s="160">
        <f t="shared" si="652"/>
        <v>0</v>
      </c>
      <c r="BE293" s="160">
        <f t="shared" si="652"/>
        <v>0</v>
      </c>
      <c r="BF293" s="160">
        <f t="shared" si="652"/>
        <v>0</v>
      </c>
      <c r="BG293" s="160">
        <f t="shared" si="653"/>
        <v>0</v>
      </c>
      <c r="BH293" s="160">
        <f t="shared" si="653"/>
        <v>0</v>
      </c>
      <c r="BI293" s="160">
        <f t="shared" si="653"/>
        <v>0</v>
      </c>
      <c r="BJ293" s="160">
        <f t="shared" si="653"/>
        <v>0</v>
      </c>
      <c r="BK293" s="160">
        <f t="shared" si="653"/>
        <v>0</v>
      </c>
      <c r="BL293" s="160">
        <f t="shared" si="653"/>
        <v>0</v>
      </c>
      <c r="BM293" s="160">
        <f t="shared" si="653"/>
        <v>0</v>
      </c>
      <c r="BN293" s="160">
        <f t="shared" si="653"/>
        <v>0</v>
      </c>
      <c r="BO293" s="160">
        <f t="shared" si="653"/>
        <v>0</v>
      </c>
      <c r="BP293" s="160">
        <f t="shared" si="653"/>
        <v>0</v>
      </c>
      <c r="BQ293" s="160">
        <f t="shared" si="653"/>
        <v>0</v>
      </c>
      <c r="BR293" s="160">
        <f t="shared" si="653"/>
        <v>0</v>
      </c>
      <c r="BS293" s="65"/>
      <c r="BT293" s="160">
        <f t="shared" si="654"/>
        <v>0</v>
      </c>
      <c r="BU293" s="160">
        <f t="shared" si="655"/>
        <v>0</v>
      </c>
      <c r="BV293" s="65"/>
      <c r="BW293" s="69"/>
      <c r="BX293" s="65"/>
      <c r="BY293" s="137">
        <f t="shared" si="656"/>
        <v>1</v>
      </c>
      <c r="BZ293" s="137">
        <f>IF(BY293&gt;0,BY293+LARGE($BZ$213:BZ292,1),0)</f>
        <v>69</v>
      </c>
      <c r="CA293" s="137" t="str">
        <f t="shared" si="657"/>
        <v>AN JR. ENG/ARQ</v>
      </c>
      <c r="CB293" s="161">
        <f t="shared" si="658"/>
        <v>0</v>
      </c>
      <c r="CC293" s="161">
        <f t="shared" si="659"/>
        <v>0</v>
      </c>
      <c r="CD293" s="161">
        <f t="shared" si="660"/>
        <v>0</v>
      </c>
      <c r="CE293" s="161">
        <f t="shared" si="661"/>
        <v>0</v>
      </c>
      <c r="CF293" s="161">
        <f t="shared" si="662"/>
        <v>0</v>
      </c>
      <c r="CG293" s="161">
        <f t="shared" si="663"/>
        <v>0</v>
      </c>
      <c r="CH293" s="161">
        <f t="shared" si="664"/>
        <v>0</v>
      </c>
      <c r="CI293" s="161">
        <f t="shared" si="665"/>
        <v>0</v>
      </c>
      <c r="CJ293" s="161">
        <f t="shared" si="666"/>
        <v>0</v>
      </c>
      <c r="CK293" s="161">
        <f t="shared" si="667"/>
        <v>0</v>
      </c>
      <c r="CL293" s="161">
        <f t="shared" si="668"/>
        <v>0</v>
      </c>
      <c r="CM293" s="161">
        <f t="shared" si="669"/>
        <v>0</v>
      </c>
      <c r="CN293" s="161">
        <f t="shared" si="670"/>
        <v>0</v>
      </c>
      <c r="CO293" s="161">
        <f t="shared" si="671"/>
        <v>0</v>
      </c>
      <c r="CP293" s="161">
        <f t="shared" si="672"/>
        <v>0</v>
      </c>
      <c r="CQ293" s="161">
        <f t="shared" si="673"/>
        <v>0</v>
      </c>
      <c r="CR293" s="161">
        <f t="shared" si="674"/>
        <v>0</v>
      </c>
      <c r="CS293" s="161">
        <f t="shared" si="675"/>
        <v>0</v>
      </c>
      <c r="CT293" s="161">
        <f t="shared" si="676"/>
        <v>0</v>
      </c>
      <c r="CU293" s="161">
        <f t="shared" si="677"/>
        <v>0</v>
      </c>
      <c r="CV293" s="161">
        <f t="shared" si="678"/>
        <v>0</v>
      </c>
      <c r="CW293" s="161">
        <f t="shared" si="679"/>
        <v>0</v>
      </c>
      <c r="CX293" s="161">
        <f t="shared" si="680"/>
        <v>0</v>
      </c>
      <c r="CY293" s="161">
        <f t="shared" si="681"/>
        <v>0</v>
      </c>
      <c r="CZ293" s="161">
        <f t="shared" si="682"/>
        <v>0</v>
      </c>
      <c r="DA293" s="161">
        <f t="shared" si="683"/>
        <v>0</v>
      </c>
      <c r="DB293" s="161">
        <f t="shared" si="684"/>
        <v>0</v>
      </c>
      <c r="DC293" s="161">
        <f t="shared" si="685"/>
        <v>0</v>
      </c>
      <c r="DD293" s="161">
        <f t="shared" si="686"/>
        <v>0</v>
      </c>
      <c r="DE293" s="161">
        <f t="shared" si="687"/>
        <v>0</v>
      </c>
      <c r="DF293" s="161">
        <f t="shared" si="688"/>
        <v>0</v>
      </c>
      <c r="DG293" s="161">
        <f t="shared" si="689"/>
        <v>0</v>
      </c>
      <c r="DH293" s="161">
        <f t="shared" si="690"/>
        <v>0</v>
      </c>
      <c r="DI293" s="161">
        <f t="shared" si="691"/>
        <v>0</v>
      </c>
      <c r="DJ293" s="161">
        <f t="shared" si="692"/>
        <v>0</v>
      </c>
      <c r="DK293" s="161">
        <f t="shared" si="693"/>
        <v>0</v>
      </c>
      <c r="DL293" s="161">
        <f t="shared" si="694"/>
        <v>0</v>
      </c>
      <c r="DM293" s="161">
        <f t="shared" si="695"/>
        <v>0</v>
      </c>
      <c r="DN293" s="161">
        <f t="shared" si="696"/>
        <v>0</v>
      </c>
      <c r="DO293" s="161">
        <f t="shared" si="697"/>
        <v>0</v>
      </c>
      <c r="DP293" s="161">
        <f t="shared" si="698"/>
        <v>0</v>
      </c>
      <c r="DQ293" s="161">
        <f t="shared" si="699"/>
        <v>0</v>
      </c>
      <c r="DR293" s="161">
        <f t="shared" si="700"/>
        <v>0</v>
      </c>
      <c r="DS293" s="161">
        <f t="shared" si="701"/>
        <v>0</v>
      </c>
      <c r="DT293" s="161">
        <f t="shared" si="702"/>
        <v>0</v>
      </c>
      <c r="DU293" s="161">
        <f t="shared" si="703"/>
        <v>0</v>
      </c>
      <c r="DV293" s="161">
        <f t="shared" si="704"/>
        <v>0</v>
      </c>
      <c r="DW293" s="161">
        <f t="shared" si="705"/>
        <v>0</v>
      </c>
      <c r="DX293" s="161">
        <f t="shared" si="706"/>
        <v>0</v>
      </c>
      <c r="DY293" s="161">
        <f t="shared" si="707"/>
        <v>0</v>
      </c>
      <c r="DZ293" s="161">
        <f t="shared" si="708"/>
        <v>0</v>
      </c>
      <c r="EA293" s="161">
        <f t="shared" si="709"/>
        <v>0</v>
      </c>
      <c r="EB293" s="161">
        <f t="shared" si="710"/>
        <v>0</v>
      </c>
      <c r="EC293" s="161">
        <f t="shared" si="711"/>
        <v>0</v>
      </c>
      <c r="ED293" s="161">
        <f t="shared" si="712"/>
        <v>0</v>
      </c>
      <c r="EE293" s="161">
        <f t="shared" si="713"/>
        <v>0</v>
      </c>
      <c r="EF293" s="161">
        <f t="shared" si="714"/>
        <v>0</v>
      </c>
      <c r="EG293" s="161">
        <f t="shared" si="715"/>
        <v>0</v>
      </c>
      <c r="EH293" s="161">
        <f t="shared" si="716"/>
        <v>0</v>
      </c>
      <c r="EI293" s="161">
        <f t="shared" si="717"/>
        <v>0</v>
      </c>
      <c r="EJ293" s="65"/>
      <c r="EK293" s="161">
        <f t="shared" si="647"/>
        <v>0</v>
      </c>
      <c r="EL293" s="161">
        <f t="shared" si="648"/>
        <v>0</v>
      </c>
      <c r="EM293" s="161">
        <f t="shared" si="649"/>
        <v>0</v>
      </c>
    </row>
    <row r="294" spans="1:143" ht="12" hidden="1" customHeight="1" outlineLevel="2">
      <c r="A294" s="77">
        <v>10</v>
      </c>
      <c r="B294" s="137" t="str">
        <f t="shared" si="644"/>
        <v>AN SR. ADM/CRP - Equipe_01</v>
      </c>
      <c r="C294" s="65"/>
      <c r="D294" s="622"/>
      <c r="E294" s="65"/>
      <c r="F294" s="584"/>
      <c r="G294" s="77" t="str">
        <f>IF(INDEX(Tarefas!$BT$30:$FK$30,MATCH(A294,Tarefas!$BT$28:$FK$28,0))=0,"",INDEX(Tarefas!$BT$30:$FK$30,MATCH(A294,Tarefas!$BT$28:$FK$28,0)))</f>
        <v>AN SR. ADM/CRP</v>
      </c>
      <c r="H294" s="107" cm="1">
        <f t="array" ref="H294">IFERROR((SUMPRODUCT((Tarefas!$N$32:$N$54='Cronog. e Histog.'!$F$285)*(Tarefas!$BQ$30:$FK$30='Cronog. e Histog.'!$G294)*(Tarefas!$BQ$32:$FK$54)))/SUMIF(Tarefas!$N$32:$N$54,'Cronog. e Histog.'!$F$285,Tarefas!$K$32:$K$54),0)</f>
        <v>1</v>
      </c>
      <c r="I294" s="79">
        <f t="shared" si="645"/>
        <v>1</v>
      </c>
      <c r="J294" s="65"/>
      <c r="K294" s="160">
        <f t="shared" si="646"/>
        <v>0.3</v>
      </c>
      <c r="L294" s="160">
        <f t="shared" si="646"/>
        <v>0.3</v>
      </c>
      <c r="M294" s="160">
        <f t="shared" si="646"/>
        <v>0.3</v>
      </c>
      <c r="N294" s="160">
        <f t="shared" si="646"/>
        <v>0.3</v>
      </c>
      <c r="O294" s="160">
        <f t="shared" si="646"/>
        <v>0.3</v>
      </c>
      <c r="P294" s="160">
        <f t="shared" si="646"/>
        <v>0.3</v>
      </c>
      <c r="Q294" s="160">
        <f t="shared" si="646"/>
        <v>0.3</v>
      </c>
      <c r="R294" s="160">
        <f t="shared" si="646"/>
        <v>0.3</v>
      </c>
      <c r="S294" s="160">
        <f t="shared" si="646"/>
        <v>0.3</v>
      </c>
      <c r="T294" s="160">
        <f t="shared" si="646"/>
        <v>0.3</v>
      </c>
      <c r="U294" s="160">
        <f t="shared" si="646"/>
        <v>0</v>
      </c>
      <c r="V294" s="160">
        <f t="shared" si="646"/>
        <v>0</v>
      </c>
      <c r="W294" s="160">
        <f t="shared" si="646"/>
        <v>0</v>
      </c>
      <c r="X294" s="160">
        <f t="shared" si="646"/>
        <v>0</v>
      </c>
      <c r="Y294" s="160">
        <f t="shared" si="646"/>
        <v>0</v>
      </c>
      <c r="Z294" s="160">
        <f t="shared" si="646"/>
        <v>0</v>
      </c>
      <c r="AA294" s="160">
        <f t="shared" si="651"/>
        <v>0</v>
      </c>
      <c r="AB294" s="160">
        <f t="shared" si="651"/>
        <v>0</v>
      </c>
      <c r="AC294" s="160">
        <f t="shared" si="651"/>
        <v>0</v>
      </c>
      <c r="AD294" s="160">
        <f t="shared" si="651"/>
        <v>0</v>
      </c>
      <c r="AE294" s="160">
        <f t="shared" si="651"/>
        <v>0</v>
      </c>
      <c r="AF294" s="160">
        <f t="shared" si="651"/>
        <v>0</v>
      </c>
      <c r="AG294" s="160">
        <f t="shared" si="651"/>
        <v>0</v>
      </c>
      <c r="AH294" s="160">
        <f t="shared" si="651"/>
        <v>0</v>
      </c>
      <c r="AI294" s="160">
        <f t="shared" si="651"/>
        <v>0</v>
      </c>
      <c r="AJ294" s="160">
        <f t="shared" si="651"/>
        <v>0</v>
      </c>
      <c r="AK294" s="160">
        <f t="shared" si="651"/>
        <v>0</v>
      </c>
      <c r="AL294" s="160">
        <f t="shared" si="651"/>
        <v>0</v>
      </c>
      <c r="AM294" s="160">
        <f t="shared" si="651"/>
        <v>0</v>
      </c>
      <c r="AN294" s="160">
        <f t="shared" si="651"/>
        <v>0</v>
      </c>
      <c r="AO294" s="160">
        <f t="shared" si="651"/>
        <v>0</v>
      </c>
      <c r="AP294" s="160">
        <f t="shared" si="651"/>
        <v>0</v>
      </c>
      <c r="AQ294" s="160">
        <f t="shared" si="652"/>
        <v>0</v>
      </c>
      <c r="AR294" s="160">
        <f t="shared" si="652"/>
        <v>0</v>
      </c>
      <c r="AS294" s="160">
        <f t="shared" si="652"/>
        <v>0</v>
      </c>
      <c r="AT294" s="160">
        <f t="shared" si="652"/>
        <v>0</v>
      </c>
      <c r="AU294" s="160">
        <f t="shared" si="652"/>
        <v>0</v>
      </c>
      <c r="AV294" s="160">
        <f t="shared" si="652"/>
        <v>0</v>
      </c>
      <c r="AW294" s="160">
        <f t="shared" si="652"/>
        <v>0</v>
      </c>
      <c r="AX294" s="160">
        <f t="shared" si="652"/>
        <v>0</v>
      </c>
      <c r="AY294" s="160">
        <f t="shared" si="652"/>
        <v>0</v>
      </c>
      <c r="AZ294" s="160">
        <f t="shared" si="652"/>
        <v>0</v>
      </c>
      <c r="BA294" s="160">
        <f t="shared" si="652"/>
        <v>0</v>
      </c>
      <c r="BB294" s="160">
        <f t="shared" si="652"/>
        <v>0</v>
      </c>
      <c r="BC294" s="160">
        <f t="shared" si="652"/>
        <v>0</v>
      </c>
      <c r="BD294" s="160">
        <f t="shared" si="652"/>
        <v>0</v>
      </c>
      <c r="BE294" s="160">
        <f t="shared" si="652"/>
        <v>0</v>
      </c>
      <c r="BF294" s="160">
        <f t="shared" si="652"/>
        <v>0</v>
      </c>
      <c r="BG294" s="160">
        <f t="shared" si="653"/>
        <v>0</v>
      </c>
      <c r="BH294" s="160">
        <f t="shared" si="653"/>
        <v>0</v>
      </c>
      <c r="BI294" s="160">
        <f t="shared" si="653"/>
        <v>0</v>
      </c>
      <c r="BJ294" s="160">
        <f t="shared" si="653"/>
        <v>0</v>
      </c>
      <c r="BK294" s="160">
        <f t="shared" si="653"/>
        <v>0</v>
      </c>
      <c r="BL294" s="160">
        <f t="shared" si="653"/>
        <v>0</v>
      </c>
      <c r="BM294" s="160">
        <f t="shared" si="653"/>
        <v>0</v>
      </c>
      <c r="BN294" s="160">
        <f t="shared" si="653"/>
        <v>0</v>
      </c>
      <c r="BO294" s="160">
        <f t="shared" si="653"/>
        <v>0</v>
      </c>
      <c r="BP294" s="160">
        <f t="shared" si="653"/>
        <v>0</v>
      </c>
      <c r="BQ294" s="160">
        <f t="shared" si="653"/>
        <v>0</v>
      </c>
      <c r="BR294" s="160">
        <f t="shared" si="653"/>
        <v>0</v>
      </c>
      <c r="BS294" s="65"/>
      <c r="BT294" s="160">
        <f t="shared" si="654"/>
        <v>0.29999999999999993</v>
      </c>
      <c r="BU294" s="160">
        <f t="shared" si="655"/>
        <v>10</v>
      </c>
      <c r="BV294" s="65"/>
      <c r="BW294" s="69"/>
      <c r="BX294" s="65"/>
      <c r="BY294" s="137">
        <f t="shared" si="656"/>
        <v>1</v>
      </c>
      <c r="BZ294" s="137">
        <f>IF(BY294&gt;0,BY294+LARGE($BZ$213:BZ293,1),0)</f>
        <v>70</v>
      </c>
      <c r="CA294" s="137" t="str">
        <f t="shared" si="657"/>
        <v>AN SR. ADM/CRP</v>
      </c>
      <c r="CB294" s="161">
        <f t="shared" si="658"/>
        <v>0.3</v>
      </c>
      <c r="CC294" s="161">
        <f t="shared" si="659"/>
        <v>0.3</v>
      </c>
      <c r="CD294" s="161">
        <f t="shared" si="660"/>
        <v>0.3</v>
      </c>
      <c r="CE294" s="161">
        <f t="shared" si="661"/>
        <v>0.3</v>
      </c>
      <c r="CF294" s="161">
        <f t="shared" si="662"/>
        <v>0.3</v>
      </c>
      <c r="CG294" s="161">
        <f t="shared" si="663"/>
        <v>0.3</v>
      </c>
      <c r="CH294" s="161">
        <f t="shared" si="664"/>
        <v>0.3</v>
      </c>
      <c r="CI294" s="161">
        <f t="shared" si="665"/>
        <v>0.3</v>
      </c>
      <c r="CJ294" s="161">
        <f t="shared" si="666"/>
        <v>0.3</v>
      </c>
      <c r="CK294" s="161">
        <f t="shared" si="667"/>
        <v>0.3</v>
      </c>
      <c r="CL294" s="161">
        <f t="shared" si="668"/>
        <v>0</v>
      </c>
      <c r="CM294" s="161">
        <f t="shared" si="669"/>
        <v>0</v>
      </c>
      <c r="CN294" s="161">
        <f t="shared" si="670"/>
        <v>0</v>
      </c>
      <c r="CO294" s="161">
        <f t="shared" si="671"/>
        <v>0</v>
      </c>
      <c r="CP294" s="161">
        <f t="shared" si="672"/>
        <v>0</v>
      </c>
      <c r="CQ294" s="161">
        <f t="shared" si="673"/>
        <v>0</v>
      </c>
      <c r="CR294" s="161">
        <f t="shared" si="674"/>
        <v>0</v>
      </c>
      <c r="CS294" s="161">
        <f t="shared" si="675"/>
        <v>0</v>
      </c>
      <c r="CT294" s="161">
        <f t="shared" si="676"/>
        <v>0</v>
      </c>
      <c r="CU294" s="161">
        <f t="shared" si="677"/>
        <v>0</v>
      </c>
      <c r="CV294" s="161">
        <f t="shared" si="678"/>
        <v>0</v>
      </c>
      <c r="CW294" s="161">
        <f t="shared" si="679"/>
        <v>0</v>
      </c>
      <c r="CX294" s="161">
        <f t="shared" si="680"/>
        <v>0</v>
      </c>
      <c r="CY294" s="161">
        <f t="shared" si="681"/>
        <v>0</v>
      </c>
      <c r="CZ294" s="161">
        <f t="shared" si="682"/>
        <v>0</v>
      </c>
      <c r="DA294" s="161">
        <f t="shared" si="683"/>
        <v>0</v>
      </c>
      <c r="DB294" s="161">
        <f t="shared" si="684"/>
        <v>0</v>
      </c>
      <c r="DC294" s="161">
        <f t="shared" si="685"/>
        <v>0</v>
      </c>
      <c r="DD294" s="161">
        <f t="shared" si="686"/>
        <v>0</v>
      </c>
      <c r="DE294" s="161">
        <f t="shared" si="687"/>
        <v>0</v>
      </c>
      <c r="DF294" s="161">
        <f t="shared" si="688"/>
        <v>0</v>
      </c>
      <c r="DG294" s="161">
        <f t="shared" si="689"/>
        <v>0</v>
      </c>
      <c r="DH294" s="161">
        <f t="shared" si="690"/>
        <v>0</v>
      </c>
      <c r="DI294" s="161">
        <f t="shared" si="691"/>
        <v>0</v>
      </c>
      <c r="DJ294" s="161">
        <f t="shared" si="692"/>
        <v>0</v>
      </c>
      <c r="DK294" s="161">
        <f t="shared" si="693"/>
        <v>0</v>
      </c>
      <c r="DL294" s="161">
        <f t="shared" si="694"/>
        <v>0</v>
      </c>
      <c r="DM294" s="161">
        <f t="shared" si="695"/>
        <v>0</v>
      </c>
      <c r="DN294" s="161">
        <f t="shared" si="696"/>
        <v>0</v>
      </c>
      <c r="DO294" s="161">
        <f t="shared" si="697"/>
        <v>0</v>
      </c>
      <c r="DP294" s="161">
        <f t="shared" si="698"/>
        <v>0</v>
      </c>
      <c r="DQ294" s="161">
        <f t="shared" si="699"/>
        <v>0</v>
      </c>
      <c r="DR294" s="161">
        <f t="shared" si="700"/>
        <v>0</v>
      </c>
      <c r="DS294" s="161">
        <f t="shared" si="701"/>
        <v>0</v>
      </c>
      <c r="DT294" s="161">
        <f t="shared" si="702"/>
        <v>0</v>
      </c>
      <c r="DU294" s="161">
        <f t="shared" si="703"/>
        <v>0</v>
      </c>
      <c r="DV294" s="161">
        <f t="shared" si="704"/>
        <v>0</v>
      </c>
      <c r="DW294" s="161">
        <f t="shared" si="705"/>
        <v>0</v>
      </c>
      <c r="DX294" s="161">
        <f t="shared" si="706"/>
        <v>0</v>
      </c>
      <c r="DY294" s="161">
        <f t="shared" si="707"/>
        <v>0</v>
      </c>
      <c r="DZ294" s="161">
        <f t="shared" si="708"/>
        <v>0</v>
      </c>
      <c r="EA294" s="161">
        <f t="shared" si="709"/>
        <v>0</v>
      </c>
      <c r="EB294" s="161">
        <f t="shared" si="710"/>
        <v>0</v>
      </c>
      <c r="EC294" s="161">
        <f t="shared" si="711"/>
        <v>0</v>
      </c>
      <c r="ED294" s="161">
        <f t="shared" si="712"/>
        <v>0</v>
      </c>
      <c r="EE294" s="161">
        <f t="shared" si="713"/>
        <v>0</v>
      </c>
      <c r="EF294" s="161">
        <f t="shared" si="714"/>
        <v>0</v>
      </c>
      <c r="EG294" s="161">
        <f t="shared" si="715"/>
        <v>0</v>
      </c>
      <c r="EH294" s="161">
        <f t="shared" si="716"/>
        <v>0</v>
      </c>
      <c r="EI294" s="161">
        <f t="shared" si="717"/>
        <v>0</v>
      </c>
      <c r="EJ294" s="65"/>
      <c r="EK294" s="161">
        <f t="shared" si="647"/>
        <v>0</v>
      </c>
      <c r="EL294" s="161">
        <f t="shared" si="648"/>
        <v>0</v>
      </c>
      <c r="EM294" s="161">
        <f t="shared" si="649"/>
        <v>0</v>
      </c>
    </row>
    <row r="295" spans="1:143" ht="12" hidden="1" customHeight="1" outlineLevel="2">
      <c r="A295" s="77">
        <v>11</v>
      </c>
      <c r="B295" s="137" t="str">
        <f t="shared" si="644"/>
        <v>AN PL. ADM/CRP - Equipe_01</v>
      </c>
      <c r="C295" s="65"/>
      <c r="D295" s="622"/>
      <c r="E295" s="65"/>
      <c r="F295" s="584"/>
      <c r="G295" s="77" t="str">
        <f>IF(INDEX(Tarefas!$BT$30:$FK$30,MATCH(A295,Tarefas!$BT$28:$FK$28,0))=0,"",INDEX(Tarefas!$BT$30:$FK$30,MATCH(A295,Tarefas!$BT$28:$FK$28,0)))</f>
        <v>AN PL. ADM/CRP</v>
      </c>
      <c r="H295" s="107" cm="1">
        <f t="array" ref="H295">IFERROR((SUMPRODUCT((Tarefas!$N$32:$N$54='Cronog. e Histog.'!$F$285)*(Tarefas!$BQ$30:$FK$30='Cronog. e Histog.'!$G295)*(Tarefas!$BQ$32:$FK$54)))/SUMIF(Tarefas!$N$32:$N$54,'Cronog. e Histog.'!$F$285,Tarefas!$K$32:$K$54),0)</f>
        <v>0</v>
      </c>
      <c r="I295" s="79">
        <f t="shared" si="645"/>
        <v>0</v>
      </c>
      <c r="J295" s="65"/>
      <c r="K295" s="160">
        <f t="shared" si="646"/>
        <v>0</v>
      </c>
      <c r="L295" s="160">
        <f t="shared" si="646"/>
        <v>0</v>
      </c>
      <c r="M295" s="160">
        <f t="shared" si="646"/>
        <v>0</v>
      </c>
      <c r="N295" s="160">
        <f t="shared" si="646"/>
        <v>0</v>
      </c>
      <c r="O295" s="160">
        <f t="shared" si="646"/>
        <v>0</v>
      </c>
      <c r="P295" s="160">
        <f t="shared" si="646"/>
        <v>0</v>
      </c>
      <c r="Q295" s="160">
        <f t="shared" si="646"/>
        <v>0</v>
      </c>
      <c r="R295" s="160">
        <f t="shared" si="646"/>
        <v>0</v>
      </c>
      <c r="S295" s="160">
        <f t="shared" si="646"/>
        <v>0</v>
      </c>
      <c r="T295" s="160">
        <f t="shared" si="646"/>
        <v>0</v>
      </c>
      <c r="U295" s="160">
        <f t="shared" si="646"/>
        <v>0</v>
      </c>
      <c r="V295" s="160">
        <f t="shared" si="646"/>
        <v>0</v>
      </c>
      <c r="W295" s="160">
        <f t="shared" si="646"/>
        <v>0</v>
      </c>
      <c r="X295" s="160">
        <f t="shared" si="646"/>
        <v>0</v>
      </c>
      <c r="Y295" s="160">
        <f t="shared" si="646"/>
        <v>0</v>
      </c>
      <c r="Z295" s="160">
        <f t="shared" si="646"/>
        <v>0</v>
      </c>
      <c r="AA295" s="160">
        <f t="shared" si="651"/>
        <v>0</v>
      </c>
      <c r="AB295" s="160">
        <f t="shared" si="651"/>
        <v>0</v>
      </c>
      <c r="AC295" s="160">
        <f t="shared" si="651"/>
        <v>0</v>
      </c>
      <c r="AD295" s="160">
        <f t="shared" si="651"/>
        <v>0</v>
      </c>
      <c r="AE295" s="160">
        <f t="shared" si="651"/>
        <v>0</v>
      </c>
      <c r="AF295" s="160">
        <f t="shared" si="651"/>
        <v>0</v>
      </c>
      <c r="AG295" s="160">
        <f t="shared" si="651"/>
        <v>0</v>
      </c>
      <c r="AH295" s="160">
        <f t="shared" si="651"/>
        <v>0</v>
      </c>
      <c r="AI295" s="160">
        <f t="shared" si="651"/>
        <v>0</v>
      </c>
      <c r="AJ295" s="160">
        <f t="shared" si="651"/>
        <v>0</v>
      </c>
      <c r="AK295" s="160">
        <f t="shared" si="651"/>
        <v>0</v>
      </c>
      <c r="AL295" s="160">
        <f t="shared" si="651"/>
        <v>0</v>
      </c>
      <c r="AM295" s="160">
        <f t="shared" si="651"/>
        <v>0</v>
      </c>
      <c r="AN295" s="160">
        <f t="shared" si="651"/>
        <v>0</v>
      </c>
      <c r="AO295" s="160">
        <f t="shared" si="651"/>
        <v>0</v>
      </c>
      <c r="AP295" s="160">
        <f t="shared" si="651"/>
        <v>0</v>
      </c>
      <c r="AQ295" s="160">
        <f t="shared" si="652"/>
        <v>0</v>
      </c>
      <c r="AR295" s="160">
        <f t="shared" si="652"/>
        <v>0</v>
      </c>
      <c r="AS295" s="160">
        <f t="shared" si="652"/>
        <v>0</v>
      </c>
      <c r="AT295" s="160">
        <f t="shared" si="652"/>
        <v>0</v>
      </c>
      <c r="AU295" s="160">
        <f t="shared" si="652"/>
        <v>0</v>
      </c>
      <c r="AV295" s="160">
        <f t="shared" si="652"/>
        <v>0</v>
      </c>
      <c r="AW295" s="160">
        <f t="shared" si="652"/>
        <v>0</v>
      </c>
      <c r="AX295" s="160">
        <f t="shared" si="652"/>
        <v>0</v>
      </c>
      <c r="AY295" s="160">
        <f t="shared" si="652"/>
        <v>0</v>
      </c>
      <c r="AZ295" s="160">
        <f t="shared" si="652"/>
        <v>0</v>
      </c>
      <c r="BA295" s="160">
        <f t="shared" si="652"/>
        <v>0</v>
      </c>
      <c r="BB295" s="160">
        <f t="shared" si="652"/>
        <v>0</v>
      </c>
      <c r="BC295" s="160">
        <f t="shared" si="652"/>
        <v>0</v>
      </c>
      <c r="BD295" s="160">
        <f t="shared" si="652"/>
        <v>0</v>
      </c>
      <c r="BE295" s="160">
        <f t="shared" si="652"/>
        <v>0</v>
      </c>
      <c r="BF295" s="160">
        <f t="shared" si="652"/>
        <v>0</v>
      </c>
      <c r="BG295" s="160">
        <f t="shared" si="653"/>
        <v>0</v>
      </c>
      <c r="BH295" s="160">
        <f t="shared" si="653"/>
        <v>0</v>
      </c>
      <c r="BI295" s="160">
        <f t="shared" si="653"/>
        <v>0</v>
      </c>
      <c r="BJ295" s="160">
        <f t="shared" si="653"/>
        <v>0</v>
      </c>
      <c r="BK295" s="160">
        <f t="shared" si="653"/>
        <v>0</v>
      </c>
      <c r="BL295" s="160">
        <f t="shared" si="653"/>
        <v>0</v>
      </c>
      <c r="BM295" s="160">
        <f t="shared" si="653"/>
        <v>0</v>
      </c>
      <c r="BN295" s="160">
        <f t="shared" si="653"/>
        <v>0</v>
      </c>
      <c r="BO295" s="160">
        <f t="shared" si="653"/>
        <v>0</v>
      </c>
      <c r="BP295" s="160">
        <f t="shared" si="653"/>
        <v>0</v>
      </c>
      <c r="BQ295" s="160">
        <f t="shared" si="653"/>
        <v>0</v>
      </c>
      <c r="BR295" s="160">
        <f t="shared" si="653"/>
        <v>0</v>
      </c>
      <c r="BS295" s="65"/>
      <c r="BT295" s="160">
        <f t="shared" si="654"/>
        <v>0</v>
      </c>
      <c r="BU295" s="160">
        <f t="shared" si="655"/>
        <v>0</v>
      </c>
      <c r="BV295" s="65"/>
      <c r="BW295" s="69"/>
      <c r="BX295" s="65"/>
      <c r="BY295" s="137">
        <f t="shared" si="656"/>
        <v>1</v>
      </c>
      <c r="BZ295" s="137">
        <f>IF(BY295&gt;0,BY295+LARGE($BZ$213:BZ294,1),0)</f>
        <v>71</v>
      </c>
      <c r="CA295" s="137" t="str">
        <f t="shared" si="657"/>
        <v>AN PL. ADM/CRP</v>
      </c>
      <c r="CB295" s="161">
        <f t="shared" si="658"/>
        <v>0</v>
      </c>
      <c r="CC295" s="161">
        <f t="shared" si="659"/>
        <v>0</v>
      </c>
      <c r="CD295" s="161">
        <f t="shared" si="660"/>
        <v>0</v>
      </c>
      <c r="CE295" s="161">
        <f t="shared" si="661"/>
        <v>0</v>
      </c>
      <c r="CF295" s="161">
        <f t="shared" si="662"/>
        <v>0</v>
      </c>
      <c r="CG295" s="161">
        <f t="shared" si="663"/>
        <v>0</v>
      </c>
      <c r="CH295" s="161">
        <f t="shared" si="664"/>
        <v>0</v>
      </c>
      <c r="CI295" s="161">
        <f t="shared" si="665"/>
        <v>0</v>
      </c>
      <c r="CJ295" s="161">
        <f t="shared" si="666"/>
        <v>0</v>
      </c>
      <c r="CK295" s="161">
        <f t="shared" si="667"/>
        <v>0</v>
      </c>
      <c r="CL295" s="161">
        <f t="shared" si="668"/>
        <v>0</v>
      </c>
      <c r="CM295" s="161">
        <f t="shared" si="669"/>
        <v>0</v>
      </c>
      <c r="CN295" s="161">
        <f t="shared" si="670"/>
        <v>0</v>
      </c>
      <c r="CO295" s="161">
        <f t="shared" si="671"/>
        <v>0</v>
      </c>
      <c r="CP295" s="161">
        <f t="shared" si="672"/>
        <v>0</v>
      </c>
      <c r="CQ295" s="161">
        <f t="shared" si="673"/>
        <v>0</v>
      </c>
      <c r="CR295" s="161">
        <f t="shared" si="674"/>
        <v>0</v>
      </c>
      <c r="CS295" s="161">
        <f t="shared" si="675"/>
        <v>0</v>
      </c>
      <c r="CT295" s="161">
        <f t="shared" si="676"/>
        <v>0</v>
      </c>
      <c r="CU295" s="161">
        <f t="shared" si="677"/>
        <v>0</v>
      </c>
      <c r="CV295" s="161">
        <f t="shared" si="678"/>
        <v>0</v>
      </c>
      <c r="CW295" s="161">
        <f t="shared" si="679"/>
        <v>0</v>
      </c>
      <c r="CX295" s="161">
        <f t="shared" si="680"/>
        <v>0</v>
      </c>
      <c r="CY295" s="161">
        <f t="shared" si="681"/>
        <v>0</v>
      </c>
      <c r="CZ295" s="161">
        <f t="shared" si="682"/>
        <v>0</v>
      </c>
      <c r="DA295" s="161">
        <f t="shared" si="683"/>
        <v>0</v>
      </c>
      <c r="DB295" s="161">
        <f t="shared" si="684"/>
        <v>0</v>
      </c>
      <c r="DC295" s="161">
        <f t="shared" si="685"/>
        <v>0</v>
      </c>
      <c r="DD295" s="161">
        <f t="shared" si="686"/>
        <v>0</v>
      </c>
      <c r="DE295" s="161">
        <f t="shared" si="687"/>
        <v>0</v>
      </c>
      <c r="DF295" s="161">
        <f t="shared" si="688"/>
        <v>0</v>
      </c>
      <c r="DG295" s="161">
        <f t="shared" si="689"/>
        <v>0</v>
      </c>
      <c r="DH295" s="161">
        <f t="shared" si="690"/>
        <v>0</v>
      </c>
      <c r="DI295" s="161">
        <f t="shared" si="691"/>
        <v>0</v>
      </c>
      <c r="DJ295" s="161">
        <f t="shared" si="692"/>
        <v>0</v>
      </c>
      <c r="DK295" s="161">
        <f t="shared" si="693"/>
        <v>0</v>
      </c>
      <c r="DL295" s="161">
        <f t="shared" si="694"/>
        <v>0</v>
      </c>
      <c r="DM295" s="161">
        <f t="shared" si="695"/>
        <v>0</v>
      </c>
      <c r="DN295" s="161">
        <f t="shared" si="696"/>
        <v>0</v>
      </c>
      <c r="DO295" s="161">
        <f t="shared" si="697"/>
        <v>0</v>
      </c>
      <c r="DP295" s="161">
        <f t="shared" si="698"/>
        <v>0</v>
      </c>
      <c r="DQ295" s="161">
        <f t="shared" si="699"/>
        <v>0</v>
      </c>
      <c r="DR295" s="161">
        <f t="shared" si="700"/>
        <v>0</v>
      </c>
      <c r="DS295" s="161">
        <f t="shared" si="701"/>
        <v>0</v>
      </c>
      <c r="DT295" s="161">
        <f t="shared" si="702"/>
        <v>0</v>
      </c>
      <c r="DU295" s="161">
        <f t="shared" si="703"/>
        <v>0</v>
      </c>
      <c r="DV295" s="161">
        <f t="shared" si="704"/>
        <v>0</v>
      </c>
      <c r="DW295" s="161">
        <f t="shared" si="705"/>
        <v>0</v>
      </c>
      <c r="DX295" s="161">
        <f t="shared" si="706"/>
        <v>0</v>
      </c>
      <c r="DY295" s="161">
        <f t="shared" si="707"/>
        <v>0</v>
      </c>
      <c r="DZ295" s="161">
        <f t="shared" si="708"/>
        <v>0</v>
      </c>
      <c r="EA295" s="161">
        <f t="shared" si="709"/>
        <v>0</v>
      </c>
      <c r="EB295" s="161">
        <f t="shared" si="710"/>
        <v>0</v>
      </c>
      <c r="EC295" s="161">
        <f t="shared" si="711"/>
        <v>0</v>
      </c>
      <c r="ED295" s="161">
        <f t="shared" si="712"/>
        <v>0</v>
      </c>
      <c r="EE295" s="161">
        <f t="shared" si="713"/>
        <v>0</v>
      </c>
      <c r="EF295" s="161">
        <f t="shared" si="714"/>
        <v>0</v>
      </c>
      <c r="EG295" s="161">
        <f t="shared" si="715"/>
        <v>0</v>
      </c>
      <c r="EH295" s="161">
        <f t="shared" si="716"/>
        <v>0</v>
      </c>
      <c r="EI295" s="161">
        <f t="shared" si="717"/>
        <v>0</v>
      </c>
      <c r="EJ295" s="65"/>
      <c r="EK295" s="161">
        <f t="shared" si="647"/>
        <v>0</v>
      </c>
      <c r="EL295" s="161">
        <f t="shared" si="648"/>
        <v>0</v>
      </c>
      <c r="EM295" s="161">
        <f t="shared" si="649"/>
        <v>0</v>
      </c>
    </row>
    <row r="296" spans="1:143" ht="12" hidden="1" customHeight="1" outlineLevel="2">
      <c r="A296" s="77">
        <v>12</v>
      </c>
      <c r="B296" s="137" t="str">
        <f t="shared" si="644"/>
        <v>AN JR. ADM/CRP - Equipe_01</v>
      </c>
      <c r="C296" s="65"/>
      <c r="D296" s="622"/>
      <c r="E296" s="65"/>
      <c r="F296" s="584"/>
      <c r="G296" s="77" t="str">
        <f>IF(INDEX(Tarefas!$BT$30:$FK$30,MATCH(A296,Tarefas!$BT$28:$FK$28,0))=0,"",INDEX(Tarefas!$BT$30:$FK$30,MATCH(A296,Tarefas!$BT$28:$FK$28,0)))</f>
        <v>AN JR. ADM/CRP</v>
      </c>
      <c r="H296" s="107" cm="1">
        <f t="array" ref="H296">IFERROR((SUMPRODUCT((Tarefas!$N$32:$N$54='Cronog. e Histog.'!$F$285)*(Tarefas!$BQ$30:$FK$30='Cronog. e Histog.'!$G296)*(Tarefas!$BQ$32:$FK$54)))/SUMIF(Tarefas!$N$32:$N$54,'Cronog. e Histog.'!$F$285,Tarefas!$K$32:$K$54),0)</f>
        <v>0</v>
      </c>
      <c r="I296" s="79">
        <f t="shared" si="645"/>
        <v>0</v>
      </c>
      <c r="J296" s="65"/>
      <c r="K296" s="160">
        <f t="shared" si="646"/>
        <v>0</v>
      </c>
      <c r="L296" s="160">
        <f t="shared" si="646"/>
        <v>0</v>
      </c>
      <c r="M296" s="160">
        <f t="shared" si="646"/>
        <v>0</v>
      </c>
      <c r="N296" s="160">
        <f t="shared" si="646"/>
        <v>0</v>
      </c>
      <c r="O296" s="160">
        <f t="shared" si="646"/>
        <v>0</v>
      </c>
      <c r="P296" s="160">
        <f t="shared" si="646"/>
        <v>0</v>
      </c>
      <c r="Q296" s="160">
        <f t="shared" si="646"/>
        <v>0</v>
      </c>
      <c r="R296" s="160">
        <f t="shared" si="646"/>
        <v>0</v>
      </c>
      <c r="S296" s="160">
        <f t="shared" si="646"/>
        <v>0</v>
      </c>
      <c r="T296" s="160">
        <f t="shared" si="646"/>
        <v>0</v>
      </c>
      <c r="U296" s="160">
        <f t="shared" si="646"/>
        <v>0</v>
      </c>
      <c r="V296" s="160">
        <f t="shared" si="646"/>
        <v>0</v>
      </c>
      <c r="W296" s="160">
        <f t="shared" si="646"/>
        <v>0</v>
      </c>
      <c r="X296" s="160">
        <f t="shared" si="646"/>
        <v>0</v>
      </c>
      <c r="Y296" s="160">
        <f t="shared" si="646"/>
        <v>0</v>
      </c>
      <c r="Z296" s="160">
        <f t="shared" si="646"/>
        <v>0</v>
      </c>
      <c r="AA296" s="160">
        <f t="shared" si="651"/>
        <v>0</v>
      </c>
      <c r="AB296" s="160">
        <f t="shared" si="651"/>
        <v>0</v>
      </c>
      <c r="AC296" s="160">
        <f t="shared" si="651"/>
        <v>0</v>
      </c>
      <c r="AD296" s="160">
        <f t="shared" si="651"/>
        <v>0</v>
      </c>
      <c r="AE296" s="160">
        <f t="shared" si="651"/>
        <v>0</v>
      </c>
      <c r="AF296" s="160">
        <f t="shared" si="651"/>
        <v>0</v>
      </c>
      <c r="AG296" s="160">
        <f t="shared" si="651"/>
        <v>0</v>
      </c>
      <c r="AH296" s="160">
        <f t="shared" si="651"/>
        <v>0</v>
      </c>
      <c r="AI296" s="160">
        <f t="shared" si="651"/>
        <v>0</v>
      </c>
      <c r="AJ296" s="160">
        <f t="shared" si="651"/>
        <v>0</v>
      </c>
      <c r="AK296" s="160">
        <f t="shared" si="651"/>
        <v>0</v>
      </c>
      <c r="AL296" s="160">
        <f t="shared" si="651"/>
        <v>0</v>
      </c>
      <c r="AM296" s="160">
        <f t="shared" si="651"/>
        <v>0</v>
      </c>
      <c r="AN296" s="160">
        <f t="shared" si="651"/>
        <v>0</v>
      </c>
      <c r="AO296" s="160">
        <f t="shared" si="651"/>
        <v>0</v>
      </c>
      <c r="AP296" s="160">
        <f t="shared" si="651"/>
        <v>0</v>
      </c>
      <c r="AQ296" s="160">
        <f t="shared" si="652"/>
        <v>0</v>
      </c>
      <c r="AR296" s="160">
        <f t="shared" si="652"/>
        <v>0</v>
      </c>
      <c r="AS296" s="160">
        <f t="shared" si="652"/>
        <v>0</v>
      </c>
      <c r="AT296" s="160">
        <f t="shared" si="652"/>
        <v>0</v>
      </c>
      <c r="AU296" s="160">
        <f t="shared" si="652"/>
        <v>0</v>
      </c>
      <c r="AV296" s="160">
        <f t="shared" si="652"/>
        <v>0</v>
      </c>
      <c r="AW296" s="160">
        <f t="shared" si="652"/>
        <v>0</v>
      </c>
      <c r="AX296" s="160">
        <f t="shared" si="652"/>
        <v>0</v>
      </c>
      <c r="AY296" s="160">
        <f t="shared" si="652"/>
        <v>0</v>
      </c>
      <c r="AZ296" s="160">
        <f t="shared" si="652"/>
        <v>0</v>
      </c>
      <c r="BA296" s="160">
        <f t="shared" si="652"/>
        <v>0</v>
      </c>
      <c r="BB296" s="160">
        <f t="shared" si="652"/>
        <v>0</v>
      </c>
      <c r="BC296" s="160">
        <f t="shared" si="652"/>
        <v>0</v>
      </c>
      <c r="BD296" s="160">
        <f t="shared" si="652"/>
        <v>0</v>
      </c>
      <c r="BE296" s="160">
        <f t="shared" si="652"/>
        <v>0</v>
      </c>
      <c r="BF296" s="160">
        <f t="shared" si="652"/>
        <v>0</v>
      </c>
      <c r="BG296" s="160">
        <f t="shared" si="653"/>
        <v>0</v>
      </c>
      <c r="BH296" s="160">
        <f t="shared" si="653"/>
        <v>0</v>
      </c>
      <c r="BI296" s="160">
        <f t="shared" si="653"/>
        <v>0</v>
      </c>
      <c r="BJ296" s="160">
        <f t="shared" si="653"/>
        <v>0</v>
      </c>
      <c r="BK296" s="160">
        <f t="shared" si="653"/>
        <v>0</v>
      </c>
      <c r="BL296" s="160">
        <f t="shared" si="653"/>
        <v>0</v>
      </c>
      <c r="BM296" s="160">
        <f t="shared" si="653"/>
        <v>0</v>
      </c>
      <c r="BN296" s="160">
        <f t="shared" si="653"/>
        <v>0</v>
      </c>
      <c r="BO296" s="160">
        <f t="shared" si="653"/>
        <v>0</v>
      </c>
      <c r="BP296" s="160">
        <f t="shared" si="653"/>
        <v>0</v>
      </c>
      <c r="BQ296" s="160">
        <f t="shared" si="653"/>
        <v>0</v>
      </c>
      <c r="BR296" s="160">
        <f t="shared" si="653"/>
        <v>0</v>
      </c>
      <c r="BS296" s="65"/>
      <c r="BT296" s="160">
        <f t="shared" si="654"/>
        <v>0</v>
      </c>
      <c r="BU296" s="160">
        <f t="shared" si="655"/>
        <v>0</v>
      </c>
      <c r="BV296" s="65"/>
      <c r="BW296" s="69"/>
      <c r="BX296" s="65"/>
      <c r="BY296" s="137">
        <f t="shared" si="656"/>
        <v>1</v>
      </c>
      <c r="BZ296" s="137">
        <f>IF(BY296&gt;0,BY296+LARGE($BZ$213:BZ295,1),0)</f>
        <v>72</v>
      </c>
      <c r="CA296" s="137" t="str">
        <f t="shared" si="657"/>
        <v>AN JR. ADM/CRP</v>
      </c>
      <c r="CB296" s="161">
        <f t="shared" si="658"/>
        <v>0</v>
      </c>
      <c r="CC296" s="161">
        <f t="shared" si="659"/>
        <v>0</v>
      </c>
      <c r="CD296" s="161">
        <f t="shared" si="660"/>
        <v>0</v>
      </c>
      <c r="CE296" s="161">
        <f t="shared" si="661"/>
        <v>0</v>
      </c>
      <c r="CF296" s="161">
        <f t="shared" si="662"/>
        <v>0</v>
      </c>
      <c r="CG296" s="161">
        <f t="shared" si="663"/>
        <v>0</v>
      </c>
      <c r="CH296" s="161">
        <f t="shared" si="664"/>
        <v>0</v>
      </c>
      <c r="CI296" s="161">
        <f t="shared" si="665"/>
        <v>0</v>
      </c>
      <c r="CJ296" s="161">
        <f t="shared" si="666"/>
        <v>0</v>
      </c>
      <c r="CK296" s="161">
        <f t="shared" si="667"/>
        <v>0</v>
      </c>
      <c r="CL296" s="161">
        <f t="shared" si="668"/>
        <v>0</v>
      </c>
      <c r="CM296" s="161">
        <f t="shared" si="669"/>
        <v>0</v>
      </c>
      <c r="CN296" s="161">
        <f t="shared" si="670"/>
        <v>0</v>
      </c>
      <c r="CO296" s="161">
        <f t="shared" si="671"/>
        <v>0</v>
      </c>
      <c r="CP296" s="161">
        <f t="shared" si="672"/>
        <v>0</v>
      </c>
      <c r="CQ296" s="161">
        <f t="shared" si="673"/>
        <v>0</v>
      </c>
      <c r="CR296" s="161">
        <f t="shared" si="674"/>
        <v>0</v>
      </c>
      <c r="CS296" s="161">
        <f t="shared" si="675"/>
        <v>0</v>
      </c>
      <c r="CT296" s="161">
        <f t="shared" si="676"/>
        <v>0</v>
      </c>
      <c r="CU296" s="161">
        <f t="shared" si="677"/>
        <v>0</v>
      </c>
      <c r="CV296" s="161">
        <f t="shared" si="678"/>
        <v>0</v>
      </c>
      <c r="CW296" s="161">
        <f t="shared" si="679"/>
        <v>0</v>
      </c>
      <c r="CX296" s="161">
        <f t="shared" si="680"/>
        <v>0</v>
      </c>
      <c r="CY296" s="161">
        <f t="shared" si="681"/>
        <v>0</v>
      </c>
      <c r="CZ296" s="161">
        <f t="shared" si="682"/>
        <v>0</v>
      </c>
      <c r="DA296" s="161">
        <f t="shared" si="683"/>
        <v>0</v>
      </c>
      <c r="DB296" s="161">
        <f t="shared" si="684"/>
        <v>0</v>
      </c>
      <c r="DC296" s="161">
        <f t="shared" si="685"/>
        <v>0</v>
      </c>
      <c r="DD296" s="161">
        <f t="shared" si="686"/>
        <v>0</v>
      </c>
      <c r="DE296" s="161">
        <f t="shared" si="687"/>
        <v>0</v>
      </c>
      <c r="DF296" s="161">
        <f t="shared" si="688"/>
        <v>0</v>
      </c>
      <c r="DG296" s="161">
        <f t="shared" si="689"/>
        <v>0</v>
      </c>
      <c r="DH296" s="161">
        <f t="shared" si="690"/>
        <v>0</v>
      </c>
      <c r="DI296" s="161">
        <f t="shared" si="691"/>
        <v>0</v>
      </c>
      <c r="DJ296" s="161">
        <f t="shared" si="692"/>
        <v>0</v>
      </c>
      <c r="DK296" s="161">
        <f t="shared" si="693"/>
        <v>0</v>
      </c>
      <c r="DL296" s="161">
        <f t="shared" si="694"/>
        <v>0</v>
      </c>
      <c r="DM296" s="161">
        <f t="shared" si="695"/>
        <v>0</v>
      </c>
      <c r="DN296" s="161">
        <f t="shared" si="696"/>
        <v>0</v>
      </c>
      <c r="DO296" s="161">
        <f t="shared" si="697"/>
        <v>0</v>
      </c>
      <c r="DP296" s="161">
        <f t="shared" si="698"/>
        <v>0</v>
      </c>
      <c r="DQ296" s="161">
        <f t="shared" si="699"/>
        <v>0</v>
      </c>
      <c r="DR296" s="161">
        <f t="shared" si="700"/>
        <v>0</v>
      </c>
      <c r="DS296" s="161">
        <f t="shared" si="701"/>
        <v>0</v>
      </c>
      <c r="DT296" s="161">
        <f t="shared" si="702"/>
        <v>0</v>
      </c>
      <c r="DU296" s="161">
        <f t="shared" si="703"/>
        <v>0</v>
      </c>
      <c r="DV296" s="161">
        <f t="shared" si="704"/>
        <v>0</v>
      </c>
      <c r="DW296" s="161">
        <f t="shared" si="705"/>
        <v>0</v>
      </c>
      <c r="DX296" s="161">
        <f t="shared" si="706"/>
        <v>0</v>
      </c>
      <c r="DY296" s="161">
        <f t="shared" si="707"/>
        <v>0</v>
      </c>
      <c r="DZ296" s="161">
        <f t="shared" si="708"/>
        <v>0</v>
      </c>
      <c r="EA296" s="161">
        <f t="shared" si="709"/>
        <v>0</v>
      </c>
      <c r="EB296" s="161">
        <f t="shared" si="710"/>
        <v>0</v>
      </c>
      <c r="EC296" s="161">
        <f t="shared" si="711"/>
        <v>0</v>
      </c>
      <c r="ED296" s="161">
        <f t="shared" si="712"/>
        <v>0</v>
      </c>
      <c r="EE296" s="161">
        <f t="shared" si="713"/>
        <v>0</v>
      </c>
      <c r="EF296" s="161">
        <f t="shared" si="714"/>
        <v>0</v>
      </c>
      <c r="EG296" s="161">
        <f t="shared" si="715"/>
        <v>0</v>
      </c>
      <c r="EH296" s="161">
        <f t="shared" si="716"/>
        <v>0</v>
      </c>
      <c r="EI296" s="161">
        <f t="shared" si="717"/>
        <v>0</v>
      </c>
      <c r="EJ296" s="65"/>
      <c r="EK296" s="161">
        <f t="shared" si="647"/>
        <v>0</v>
      </c>
      <c r="EL296" s="161">
        <f t="shared" si="648"/>
        <v>0</v>
      </c>
      <c r="EM296" s="161">
        <f t="shared" si="649"/>
        <v>0</v>
      </c>
    </row>
    <row r="297" spans="1:143" ht="12" hidden="1" customHeight="1" outlineLevel="2">
      <c r="A297" s="77">
        <v>13</v>
      </c>
      <c r="B297" s="137" t="str">
        <f t="shared" si="644"/>
        <v>TEC III - Equipe_01</v>
      </c>
      <c r="C297" s="65"/>
      <c r="D297" s="622"/>
      <c r="E297" s="65"/>
      <c r="F297" s="584"/>
      <c r="G297" s="77" t="str">
        <f>IF(INDEX(Tarefas!$BT$30:$FK$30,MATCH(A297,Tarefas!$BT$28:$FK$28,0))=0,"",INDEX(Tarefas!$BT$30:$FK$30,MATCH(A297,Tarefas!$BT$28:$FK$28,0)))</f>
        <v>TEC III</v>
      </c>
      <c r="H297" s="107" cm="1">
        <f t="array" ref="H297">IFERROR((SUMPRODUCT((Tarefas!$N$32:$N$54='Cronog. e Histog.'!$F$285)*(Tarefas!$BQ$30:$FK$30='Cronog. e Histog.'!$G297)*(Tarefas!$BQ$32:$FK$54)))/SUMIF(Tarefas!$N$32:$N$54,'Cronog. e Histog.'!$F$285,Tarefas!$K$32:$K$54),0)</f>
        <v>0</v>
      </c>
      <c r="I297" s="79">
        <f t="shared" si="645"/>
        <v>0</v>
      </c>
      <c r="J297" s="65"/>
      <c r="K297" s="160">
        <f t="shared" si="646"/>
        <v>0</v>
      </c>
      <c r="L297" s="160">
        <f t="shared" si="646"/>
        <v>0</v>
      </c>
      <c r="M297" s="160">
        <f t="shared" si="646"/>
        <v>0</v>
      </c>
      <c r="N297" s="160">
        <f t="shared" si="646"/>
        <v>0</v>
      </c>
      <c r="O297" s="160">
        <f t="shared" si="646"/>
        <v>0</v>
      </c>
      <c r="P297" s="160">
        <f t="shared" si="646"/>
        <v>0</v>
      </c>
      <c r="Q297" s="160">
        <f t="shared" si="646"/>
        <v>0</v>
      </c>
      <c r="R297" s="160">
        <f t="shared" si="646"/>
        <v>0</v>
      </c>
      <c r="S297" s="160">
        <f t="shared" si="646"/>
        <v>0</v>
      </c>
      <c r="T297" s="160">
        <f t="shared" si="646"/>
        <v>0</v>
      </c>
      <c r="U297" s="160">
        <f t="shared" si="646"/>
        <v>0</v>
      </c>
      <c r="V297" s="160">
        <f t="shared" si="646"/>
        <v>0</v>
      </c>
      <c r="W297" s="160">
        <f t="shared" si="646"/>
        <v>0</v>
      </c>
      <c r="X297" s="160">
        <f t="shared" si="646"/>
        <v>0</v>
      </c>
      <c r="Y297" s="160">
        <f t="shared" si="646"/>
        <v>0</v>
      </c>
      <c r="Z297" s="160">
        <f t="shared" si="646"/>
        <v>0</v>
      </c>
      <c r="AA297" s="160">
        <f t="shared" si="651"/>
        <v>0</v>
      </c>
      <c r="AB297" s="160">
        <f t="shared" si="651"/>
        <v>0</v>
      </c>
      <c r="AC297" s="160">
        <f t="shared" si="651"/>
        <v>0</v>
      </c>
      <c r="AD297" s="160">
        <f t="shared" si="651"/>
        <v>0</v>
      </c>
      <c r="AE297" s="160">
        <f t="shared" si="651"/>
        <v>0</v>
      </c>
      <c r="AF297" s="160">
        <f t="shared" si="651"/>
        <v>0</v>
      </c>
      <c r="AG297" s="160">
        <f t="shared" si="651"/>
        <v>0</v>
      </c>
      <c r="AH297" s="160">
        <f t="shared" si="651"/>
        <v>0</v>
      </c>
      <c r="AI297" s="160">
        <f t="shared" si="651"/>
        <v>0</v>
      </c>
      <c r="AJ297" s="160">
        <f t="shared" si="651"/>
        <v>0</v>
      </c>
      <c r="AK297" s="160">
        <f t="shared" si="651"/>
        <v>0</v>
      </c>
      <c r="AL297" s="160">
        <f t="shared" si="651"/>
        <v>0</v>
      </c>
      <c r="AM297" s="160">
        <f t="shared" si="651"/>
        <v>0</v>
      </c>
      <c r="AN297" s="160">
        <f t="shared" si="651"/>
        <v>0</v>
      </c>
      <c r="AO297" s="160">
        <f t="shared" si="651"/>
        <v>0</v>
      </c>
      <c r="AP297" s="160">
        <f t="shared" si="651"/>
        <v>0</v>
      </c>
      <c r="AQ297" s="160">
        <f t="shared" si="652"/>
        <v>0</v>
      </c>
      <c r="AR297" s="160">
        <f t="shared" si="652"/>
        <v>0</v>
      </c>
      <c r="AS297" s="160">
        <f t="shared" si="652"/>
        <v>0</v>
      </c>
      <c r="AT297" s="160">
        <f t="shared" si="652"/>
        <v>0</v>
      </c>
      <c r="AU297" s="160">
        <f t="shared" si="652"/>
        <v>0</v>
      </c>
      <c r="AV297" s="160">
        <f t="shared" si="652"/>
        <v>0</v>
      </c>
      <c r="AW297" s="160">
        <f t="shared" si="652"/>
        <v>0</v>
      </c>
      <c r="AX297" s="160">
        <f t="shared" si="652"/>
        <v>0</v>
      </c>
      <c r="AY297" s="160">
        <f t="shared" si="652"/>
        <v>0</v>
      </c>
      <c r="AZ297" s="160">
        <f t="shared" si="652"/>
        <v>0</v>
      </c>
      <c r="BA297" s="160">
        <f t="shared" si="652"/>
        <v>0</v>
      </c>
      <c r="BB297" s="160">
        <f t="shared" si="652"/>
        <v>0</v>
      </c>
      <c r="BC297" s="160">
        <f t="shared" si="652"/>
        <v>0</v>
      </c>
      <c r="BD297" s="160">
        <f t="shared" si="652"/>
        <v>0</v>
      </c>
      <c r="BE297" s="160">
        <f t="shared" si="652"/>
        <v>0</v>
      </c>
      <c r="BF297" s="160">
        <f t="shared" si="652"/>
        <v>0</v>
      </c>
      <c r="BG297" s="160">
        <f t="shared" si="653"/>
        <v>0</v>
      </c>
      <c r="BH297" s="160">
        <f t="shared" si="653"/>
        <v>0</v>
      </c>
      <c r="BI297" s="160">
        <f t="shared" si="653"/>
        <v>0</v>
      </c>
      <c r="BJ297" s="160">
        <f t="shared" si="653"/>
        <v>0</v>
      </c>
      <c r="BK297" s="160">
        <f t="shared" si="653"/>
        <v>0</v>
      </c>
      <c r="BL297" s="160">
        <f t="shared" si="653"/>
        <v>0</v>
      </c>
      <c r="BM297" s="160">
        <f t="shared" si="653"/>
        <v>0</v>
      </c>
      <c r="BN297" s="160">
        <f t="shared" si="653"/>
        <v>0</v>
      </c>
      <c r="BO297" s="160">
        <f t="shared" si="653"/>
        <v>0</v>
      </c>
      <c r="BP297" s="160">
        <f t="shared" si="653"/>
        <v>0</v>
      </c>
      <c r="BQ297" s="160">
        <f t="shared" si="653"/>
        <v>0</v>
      </c>
      <c r="BR297" s="160">
        <f t="shared" si="653"/>
        <v>0</v>
      </c>
      <c r="BS297" s="65"/>
      <c r="BT297" s="160">
        <f t="shared" si="654"/>
        <v>0</v>
      </c>
      <c r="BU297" s="160">
        <f t="shared" si="655"/>
        <v>0</v>
      </c>
      <c r="BV297" s="65"/>
      <c r="BW297" s="69"/>
      <c r="BX297" s="65"/>
      <c r="BY297" s="137">
        <f t="shared" si="656"/>
        <v>1</v>
      </c>
      <c r="BZ297" s="137">
        <f>IF(BY297&gt;0,BY297+LARGE($BZ$213:BZ296,1),0)</f>
        <v>73</v>
      </c>
      <c r="CA297" s="137" t="str">
        <f t="shared" si="657"/>
        <v>TEC III</v>
      </c>
      <c r="CB297" s="161">
        <f t="shared" si="658"/>
        <v>0</v>
      </c>
      <c r="CC297" s="161">
        <f t="shared" si="659"/>
        <v>0</v>
      </c>
      <c r="CD297" s="161">
        <f t="shared" si="660"/>
        <v>0</v>
      </c>
      <c r="CE297" s="161">
        <f t="shared" si="661"/>
        <v>0</v>
      </c>
      <c r="CF297" s="161">
        <f t="shared" si="662"/>
        <v>0</v>
      </c>
      <c r="CG297" s="161">
        <f t="shared" si="663"/>
        <v>0</v>
      </c>
      <c r="CH297" s="161">
        <f t="shared" si="664"/>
        <v>0</v>
      </c>
      <c r="CI297" s="161">
        <f t="shared" si="665"/>
        <v>0</v>
      </c>
      <c r="CJ297" s="161">
        <f t="shared" si="666"/>
        <v>0</v>
      </c>
      <c r="CK297" s="161">
        <f t="shared" si="667"/>
        <v>0</v>
      </c>
      <c r="CL297" s="161">
        <f t="shared" si="668"/>
        <v>0</v>
      </c>
      <c r="CM297" s="161">
        <f t="shared" si="669"/>
        <v>0</v>
      </c>
      <c r="CN297" s="161">
        <f t="shared" si="670"/>
        <v>0</v>
      </c>
      <c r="CO297" s="161">
        <f t="shared" si="671"/>
        <v>0</v>
      </c>
      <c r="CP297" s="161">
        <f t="shared" si="672"/>
        <v>0</v>
      </c>
      <c r="CQ297" s="161">
        <f t="shared" si="673"/>
        <v>0</v>
      </c>
      <c r="CR297" s="161">
        <f t="shared" si="674"/>
        <v>0</v>
      </c>
      <c r="CS297" s="161">
        <f t="shared" si="675"/>
        <v>0</v>
      </c>
      <c r="CT297" s="161">
        <f t="shared" si="676"/>
        <v>0</v>
      </c>
      <c r="CU297" s="161">
        <f t="shared" si="677"/>
        <v>0</v>
      </c>
      <c r="CV297" s="161">
        <f t="shared" si="678"/>
        <v>0</v>
      </c>
      <c r="CW297" s="161">
        <f t="shared" si="679"/>
        <v>0</v>
      </c>
      <c r="CX297" s="161">
        <f t="shared" si="680"/>
        <v>0</v>
      </c>
      <c r="CY297" s="161">
        <f t="shared" si="681"/>
        <v>0</v>
      </c>
      <c r="CZ297" s="161">
        <f t="shared" si="682"/>
        <v>0</v>
      </c>
      <c r="DA297" s="161">
        <f t="shared" si="683"/>
        <v>0</v>
      </c>
      <c r="DB297" s="161">
        <f t="shared" si="684"/>
        <v>0</v>
      </c>
      <c r="DC297" s="161">
        <f t="shared" si="685"/>
        <v>0</v>
      </c>
      <c r="DD297" s="161">
        <f t="shared" si="686"/>
        <v>0</v>
      </c>
      <c r="DE297" s="161">
        <f t="shared" si="687"/>
        <v>0</v>
      </c>
      <c r="DF297" s="161">
        <f t="shared" si="688"/>
        <v>0</v>
      </c>
      <c r="DG297" s="161">
        <f t="shared" si="689"/>
        <v>0</v>
      </c>
      <c r="DH297" s="161">
        <f t="shared" si="690"/>
        <v>0</v>
      </c>
      <c r="DI297" s="161">
        <f t="shared" si="691"/>
        <v>0</v>
      </c>
      <c r="DJ297" s="161">
        <f t="shared" si="692"/>
        <v>0</v>
      </c>
      <c r="DK297" s="161">
        <f t="shared" si="693"/>
        <v>0</v>
      </c>
      <c r="DL297" s="161">
        <f t="shared" si="694"/>
        <v>0</v>
      </c>
      <c r="DM297" s="161">
        <f t="shared" si="695"/>
        <v>0</v>
      </c>
      <c r="DN297" s="161">
        <f t="shared" si="696"/>
        <v>0</v>
      </c>
      <c r="DO297" s="161">
        <f t="shared" si="697"/>
        <v>0</v>
      </c>
      <c r="DP297" s="161">
        <f t="shared" si="698"/>
        <v>0</v>
      </c>
      <c r="DQ297" s="161">
        <f t="shared" si="699"/>
        <v>0</v>
      </c>
      <c r="DR297" s="161">
        <f t="shared" si="700"/>
        <v>0</v>
      </c>
      <c r="DS297" s="161">
        <f t="shared" si="701"/>
        <v>0</v>
      </c>
      <c r="DT297" s="161">
        <f t="shared" si="702"/>
        <v>0</v>
      </c>
      <c r="DU297" s="161">
        <f t="shared" si="703"/>
        <v>0</v>
      </c>
      <c r="DV297" s="161">
        <f t="shared" si="704"/>
        <v>0</v>
      </c>
      <c r="DW297" s="161">
        <f t="shared" si="705"/>
        <v>0</v>
      </c>
      <c r="DX297" s="161">
        <f t="shared" si="706"/>
        <v>0</v>
      </c>
      <c r="DY297" s="161">
        <f t="shared" si="707"/>
        <v>0</v>
      </c>
      <c r="DZ297" s="161">
        <f t="shared" si="708"/>
        <v>0</v>
      </c>
      <c r="EA297" s="161">
        <f t="shared" si="709"/>
        <v>0</v>
      </c>
      <c r="EB297" s="161">
        <f t="shared" si="710"/>
        <v>0</v>
      </c>
      <c r="EC297" s="161">
        <f t="shared" si="711"/>
        <v>0</v>
      </c>
      <c r="ED297" s="161">
        <f t="shared" si="712"/>
        <v>0</v>
      </c>
      <c r="EE297" s="161">
        <f t="shared" si="713"/>
        <v>0</v>
      </c>
      <c r="EF297" s="161">
        <f t="shared" si="714"/>
        <v>0</v>
      </c>
      <c r="EG297" s="161">
        <f t="shared" si="715"/>
        <v>0</v>
      </c>
      <c r="EH297" s="161">
        <f t="shared" si="716"/>
        <v>0</v>
      </c>
      <c r="EI297" s="161">
        <f t="shared" si="717"/>
        <v>0</v>
      </c>
      <c r="EJ297" s="65"/>
      <c r="EK297" s="161">
        <f t="shared" si="647"/>
        <v>0</v>
      </c>
      <c r="EL297" s="161">
        <f t="shared" si="648"/>
        <v>0</v>
      </c>
      <c r="EM297" s="161">
        <f t="shared" si="649"/>
        <v>0</v>
      </c>
    </row>
    <row r="298" spans="1:143" ht="12" hidden="1" customHeight="1" outlineLevel="2">
      <c r="A298" s="77">
        <v>14</v>
      </c>
      <c r="B298" s="137" t="str">
        <f t="shared" si="644"/>
        <v>TEC II - Equipe_01</v>
      </c>
      <c r="C298" s="65"/>
      <c r="D298" s="622"/>
      <c r="E298" s="65"/>
      <c r="F298" s="584"/>
      <c r="G298" s="77" t="str">
        <f>IF(INDEX(Tarefas!$BT$30:$FK$30,MATCH(A298,Tarefas!$BT$28:$FK$28,0))=0,"",INDEX(Tarefas!$BT$30:$FK$30,MATCH(A298,Tarefas!$BT$28:$FK$28,0)))</f>
        <v>TEC II</v>
      </c>
      <c r="H298" s="107" cm="1">
        <f t="array" ref="H298">IFERROR((SUMPRODUCT((Tarefas!$N$32:$N$54='Cronog. e Histog.'!$F$285)*(Tarefas!$BQ$30:$FK$30='Cronog. e Histog.'!$G298)*(Tarefas!$BQ$32:$FK$54)))/SUMIF(Tarefas!$N$32:$N$54,'Cronog. e Histog.'!$F$285,Tarefas!$K$32:$K$54),0)</f>
        <v>0</v>
      </c>
      <c r="I298" s="79">
        <f t="shared" si="645"/>
        <v>0</v>
      </c>
      <c r="J298" s="65"/>
      <c r="K298" s="160">
        <f t="shared" si="646"/>
        <v>0</v>
      </c>
      <c r="L298" s="160">
        <f t="shared" si="646"/>
        <v>0</v>
      </c>
      <c r="M298" s="160">
        <f t="shared" si="646"/>
        <v>0</v>
      </c>
      <c r="N298" s="160">
        <f t="shared" si="646"/>
        <v>0</v>
      </c>
      <c r="O298" s="160">
        <f t="shared" si="646"/>
        <v>0</v>
      </c>
      <c r="P298" s="160">
        <f t="shared" si="646"/>
        <v>0</v>
      </c>
      <c r="Q298" s="160">
        <f t="shared" si="646"/>
        <v>0</v>
      </c>
      <c r="R298" s="160">
        <f t="shared" si="646"/>
        <v>0</v>
      </c>
      <c r="S298" s="160">
        <f t="shared" si="646"/>
        <v>0</v>
      </c>
      <c r="T298" s="160">
        <f t="shared" si="646"/>
        <v>0</v>
      </c>
      <c r="U298" s="160">
        <f t="shared" si="646"/>
        <v>0</v>
      </c>
      <c r="V298" s="160">
        <f t="shared" si="646"/>
        <v>0</v>
      </c>
      <c r="W298" s="160">
        <f t="shared" si="646"/>
        <v>0</v>
      </c>
      <c r="X298" s="160">
        <f t="shared" si="646"/>
        <v>0</v>
      </c>
      <c r="Y298" s="160">
        <f t="shared" si="646"/>
        <v>0</v>
      </c>
      <c r="Z298" s="160">
        <f t="shared" si="646"/>
        <v>0</v>
      </c>
      <c r="AA298" s="160">
        <f t="shared" si="651"/>
        <v>0</v>
      </c>
      <c r="AB298" s="160">
        <f t="shared" si="651"/>
        <v>0</v>
      </c>
      <c r="AC298" s="160">
        <f t="shared" si="651"/>
        <v>0</v>
      </c>
      <c r="AD298" s="160">
        <f t="shared" si="651"/>
        <v>0</v>
      </c>
      <c r="AE298" s="160">
        <f t="shared" si="651"/>
        <v>0</v>
      </c>
      <c r="AF298" s="160">
        <f t="shared" si="651"/>
        <v>0</v>
      </c>
      <c r="AG298" s="160">
        <f t="shared" si="651"/>
        <v>0</v>
      </c>
      <c r="AH298" s="160">
        <f t="shared" si="651"/>
        <v>0</v>
      </c>
      <c r="AI298" s="160">
        <f t="shared" si="651"/>
        <v>0</v>
      </c>
      <c r="AJ298" s="160">
        <f t="shared" si="651"/>
        <v>0</v>
      </c>
      <c r="AK298" s="160">
        <f t="shared" si="651"/>
        <v>0</v>
      </c>
      <c r="AL298" s="160">
        <f t="shared" si="651"/>
        <v>0</v>
      </c>
      <c r="AM298" s="160">
        <f t="shared" si="651"/>
        <v>0</v>
      </c>
      <c r="AN298" s="160">
        <f t="shared" si="651"/>
        <v>0</v>
      </c>
      <c r="AO298" s="160">
        <f t="shared" si="651"/>
        <v>0</v>
      </c>
      <c r="AP298" s="160">
        <f t="shared" si="651"/>
        <v>0</v>
      </c>
      <c r="AQ298" s="160">
        <f t="shared" si="652"/>
        <v>0</v>
      </c>
      <c r="AR298" s="160">
        <f t="shared" si="652"/>
        <v>0</v>
      </c>
      <c r="AS298" s="160">
        <f t="shared" si="652"/>
        <v>0</v>
      </c>
      <c r="AT298" s="160">
        <f t="shared" si="652"/>
        <v>0</v>
      </c>
      <c r="AU298" s="160">
        <f t="shared" si="652"/>
        <v>0</v>
      </c>
      <c r="AV298" s="160">
        <f t="shared" si="652"/>
        <v>0</v>
      </c>
      <c r="AW298" s="160">
        <f t="shared" si="652"/>
        <v>0</v>
      </c>
      <c r="AX298" s="160">
        <f t="shared" si="652"/>
        <v>0</v>
      </c>
      <c r="AY298" s="160">
        <f t="shared" si="652"/>
        <v>0</v>
      </c>
      <c r="AZ298" s="160">
        <f t="shared" si="652"/>
        <v>0</v>
      </c>
      <c r="BA298" s="160">
        <f t="shared" si="652"/>
        <v>0</v>
      </c>
      <c r="BB298" s="160">
        <f t="shared" si="652"/>
        <v>0</v>
      </c>
      <c r="BC298" s="160">
        <f t="shared" si="652"/>
        <v>0</v>
      </c>
      <c r="BD298" s="160">
        <f t="shared" si="652"/>
        <v>0</v>
      </c>
      <c r="BE298" s="160">
        <f t="shared" si="652"/>
        <v>0</v>
      </c>
      <c r="BF298" s="160">
        <f t="shared" si="652"/>
        <v>0</v>
      </c>
      <c r="BG298" s="160">
        <f t="shared" si="653"/>
        <v>0</v>
      </c>
      <c r="BH298" s="160">
        <f t="shared" si="653"/>
        <v>0</v>
      </c>
      <c r="BI298" s="160">
        <f t="shared" si="653"/>
        <v>0</v>
      </c>
      <c r="BJ298" s="160">
        <f t="shared" si="653"/>
        <v>0</v>
      </c>
      <c r="BK298" s="160">
        <f t="shared" si="653"/>
        <v>0</v>
      </c>
      <c r="BL298" s="160">
        <f t="shared" si="653"/>
        <v>0</v>
      </c>
      <c r="BM298" s="160">
        <f t="shared" si="653"/>
        <v>0</v>
      </c>
      <c r="BN298" s="160">
        <f t="shared" si="653"/>
        <v>0</v>
      </c>
      <c r="BO298" s="160">
        <f t="shared" si="653"/>
        <v>0</v>
      </c>
      <c r="BP298" s="160">
        <f t="shared" si="653"/>
        <v>0</v>
      </c>
      <c r="BQ298" s="160">
        <f t="shared" si="653"/>
        <v>0</v>
      </c>
      <c r="BR298" s="160">
        <f t="shared" si="653"/>
        <v>0</v>
      </c>
      <c r="BS298" s="65"/>
      <c r="BT298" s="160">
        <f t="shared" si="654"/>
        <v>0</v>
      </c>
      <c r="BU298" s="160">
        <f t="shared" si="655"/>
        <v>0</v>
      </c>
      <c r="BV298" s="65"/>
      <c r="BW298" s="69"/>
      <c r="BX298" s="65"/>
      <c r="BY298" s="137">
        <f t="shared" si="656"/>
        <v>1</v>
      </c>
      <c r="BZ298" s="137">
        <f>IF(BY298&gt;0,BY298+LARGE($BZ$213:BZ297,1),0)</f>
        <v>74</v>
      </c>
      <c r="CA298" s="137" t="str">
        <f t="shared" si="657"/>
        <v>TEC II</v>
      </c>
      <c r="CB298" s="161">
        <f t="shared" si="658"/>
        <v>0</v>
      </c>
      <c r="CC298" s="161">
        <f t="shared" si="659"/>
        <v>0</v>
      </c>
      <c r="CD298" s="161">
        <f t="shared" si="660"/>
        <v>0</v>
      </c>
      <c r="CE298" s="161">
        <f t="shared" si="661"/>
        <v>0</v>
      </c>
      <c r="CF298" s="161">
        <f t="shared" si="662"/>
        <v>0</v>
      </c>
      <c r="CG298" s="161">
        <f t="shared" si="663"/>
        <v>0</v>
      </c>
      <c r="CH298" s="161">
        <f t="shared" si="664"/>
        <v>0</v>
      </c>
      <c r="CI298" s="161">
        <f t="shared" si="665"/>
        <v>0</v>
      </c>
      <c r="CJ298" s="161">
        <f t="shared" si="666"/>
        <v>0</v>
      </c>
      <c r="CK298" s="161">
        <f t="shared" si="667"/>
        <v>0</v>
      </c>
      <c r="CL298" s="161">
        <f t="shared" si="668"/>
        <v>0</v>
      </c>
      <c r="CM298" s="161">
        <f t="shared" si="669"/>
        <v>0</v>
      </c>
      <c r="CN298" s="161">
        <f t="shared" si="670"/>
        <v>0</v>
      </c>
      <c r="CO298" s="161">
        <f t="shared" si="671"/>
        <v>0</v>
      </c>
      <c r="CP298" s="161">
        <f t="shared" si="672"/>
        <v>0</v>
      </c>
      <c r="CQ298" s="161">
        <f t="shared" si="673"/>
        <v>0</v>
      </c>
      <c r="CR298" s="161">
        <f t="shared" si="674"/>
        <v>0</v>
      </c>
      <c r="CS298" s="161">
        <f t="shared" si="675"/>
        <v>0</v>
      </c>
      <c r="CT298" s="161">
        <f t="shared" si="676"/>
        <v>0</v>
      </c>
      <c r="CU298" s="161">
        <f t="shared" si="677"/>
        <v>0</v>
      </c>
      <c r="CV298" s="161">
        <f t="shared" si="678"/>
        <v>0</v>
      </c>
      <c r="CW298" s="161">
        <f t="shared" si="679"/>
        <v>0</v>
      </c>
      <c r="CX298" s="161">
        <f t="shared" si="680"/>
        <v>0</v>
      </c>
      <c r="CY298" s="161">
        <f t="shared" si="681"/>
        <v>0</v>
      </c>
      <c r="CZ298" s="161">
        <f t="shared" si="682"/>
        <v>0</v>
      </c>
      <c r="DA298" s="161">
        <f t="shared" si="683"/>
        <v>0</v>
      </c>
      <c r="DB298" s="161">
        <f t="shared" si="684"/>
        <v>0</v>
      </c>
      <c r="DC298" s="161">
        <f t="shared" si="685"/>
        <v>0</v>
      </c>
      <c r="DD298" s="161">
        <f t="shared" si="686"/>
        <v>0</v>
      </c>
      <c r="DE298" s="161">
        <f t="shared" si="687"/>
        <v>0</v>
      </c>
      <c r="DF298" s="161">
        <f t="shared" si="688"/>
        <v>0</v>
      </c>
      <c r="DG298" s="161">
        <f t="shared" si="689"/>
        <v>0</v>
      </c>
      <c r="DH298" s="161">
        <f t="shared" si="690"/>
        <v>0</v>
      </c>
      <c r="DI298" s="161">
        <f t="shared" si="691"/>
        <v>0</v>
      </c>
      <c r="DJ298" s="161">
        <f t="shared" si="692"/>
        <v>0</v>
      </c>
      <c r="DK298" s="161">
        <f t="shared" si="693"/>
        <v>0</v>
      </c>
      <c r="DL298" s="161">
        <f t="shared" si="694"/>
        <v>0</v>
      </c>
      <c r="DM298" s="161">
        <f t="shared" si="695"/>
        <v>0</v>
      </c>
      <c r="DN298" s="161">
        <f t="shared" si="696"/>
        <v>0</v>
      </c>
      <c r="DO298" s="161">
        <f t="shared" si="697"/>
        <v>0</v>
      </c>
      <c r="DP298" s="161">
        <f t="shared" si="698"/>
        <v>0</v>
      </c>
      <c r="DQ298" s="161">
        <f t="shared" si="699"/>
        <v>0</v>
      </c>
      <c r="DR298" s="161">
        <f t="shared" si="700"/>
        <v>0</v>
      </c>
      <c r="DS298" s="161">
        <f t="shared" si="701"/>
        <v>0</v>
      </c>
      <c r="DT298" s="161">
        <f t="shared" si="702"/>
        <v>0</v>
      </c>
      <c r="DU298" s="161">
        <f t="shared" si="703"/>
        <v>0</v>
      </c>
      <c r="DV298" s="161">
        <f t="shared" si="704"/>
        <v>0</v>
      </c>
      <c r="DW298" s="161">
        <f t="shared" si="705"/>
        <v>0</v>
      </c>
      <c r="DX298" s="161">
        <f t="shared" si="706"/>
        <v>0</v>
      </c>
      <c r="DY298" s="161">
        <f t="shared" si="707"/>
        <v>0</v>
      </c>
      <c r="DZ298" s="161">
        <f t="shared" si="708"/>
        <v>0</v>
      </c>
      <c r="EA298" s="161">
        <f t="shared" si="709"/>
        <v>0</v>
      </c>
      <c r="EB298" s="161">
        <f t="shared" si="710"/>
        <v>0</v>
      </c>
      <c r="EC298" s="161">
        <f t="shared" si="711"/>
        <v>0</v>
      </c>
      <c r="ED298" s="161">
        <f t="shared" si="712"/>
        <v>0</v>
      </c>
      <c r="EE298" s="161">
        <f t="shared" si="713"/>
        <v>0</v>
      </c>
      <c r="EF298" s="161">
        <f t="shared" si="714"/>
        <v>0</v>
      </c>
      <c r="EG298" s="161">
        <f t="shared" si="715"/>
        <v>0</v>
      </c>
      <c r="EH298" s="161">
        <f t="shared" si="716"/>
        <v>0</v>
      </c>
      <c r="EI298" s="161">
        <f t="shared" si="717"/>
        <v>0</v>
      </c>
      <c r="EJ298" s="65"/>
      <c r="EK298" s="161">
        <f t="shared" si="647"/>
        <v>0</v>
      </c>
      <c r="EL298" s="161">
        <f t="shared" si="648"/>
        <v>0</v>
      </c>
      <c r="EM298" s="161">
        <f t="shared" si="649"/>
        <v>0</v>
      </c>
    </row>
    <row r="299" spans="1:143" ht="12" hidden="1" customHeight="1" outlineLevel="2">
      <c r="A299" s="77">
        <v>15</v>
      </c>
      <c r="B299" s="137" t="str">
        <f t="shared" si="644"/>
        <v>TEC I - Equipe_01</v>
      </c>
      <c r="C299" s="65"/>
      <c r="D299" s="622"/>
      <c r="E299" s="65"/>
      <c r="F299" s="584"/>
      <c r="G299" s="77" t="str">
        <f>IF(INDEX(Tarefas!$BT$30:$FK$30,MATCH(A299,Tarefas!$BT$28:$FK$28,0))=0,"",INDEX(Tarefas!$BT$30:$FK$30,MATCH(A299,Tarefas!$BT$28:$FK$28,0)))</f>
        <v>TEC I</v>
      </c>
      <c r="H299" s="107" cm="1">
        <f t="array" ref="H299">IFERROR((SUMPRODUCT((Tarefas!$N$32:$N$54='Cronog. e Histog.'!$F$285)*(Tarefas!$BQ$30:$FK$30='Cronog. e Histog.'!$G299)*(Tarefas!$BQ$32:$FK$54)))/SUMIF(Tarefas!$N$32:$N$54,'Cronog. e Histog.'!$F$285,Tarefas!$K$32:$K$54),0)</f>
        <v>0</v>
      </c>
      <c r="I299" s="79">
        <f t="shared" si="645"/>
        <v>0</v>
      </c>
      <c r="J299" s="65"/>
      <c r="K299" s="160">
        <f t="shared" si="646"/>
        <v>0</v>
      </c>
      <c r="L299" s="160">
        <f t="shared" si="646"/>
        <v>0</v>
      </c>
      <c r="M299" s="160">
        <f t="shared" si="646"/>
        <v>0</v>
      </c>
      <c r="N299" s="160">
        <f t="shared" si="646"/>
        <v>0</v>
      </c>
      <c r="O299" s="160">
        <f t="shared" si="646"/>
        <v>0</v>
      </c>
      <c r="P299" s="160">
        <f t="shared" si="646"/>
        <v>0</v>
      </c>
      <c r="Q299" s="160">
        <f t="shared" si="646"/>
        <v>0</v>
      </c>
      <c r="R299" s="160">
        <f t="shared" si="646"/>
        <v>0</v>
      </c>
      <c r="S299" s="160">
        <f t="shared" si="646"/>
        <v>0</v>
      </c>
      <c r="T299" s="160">
        <f t="shared" si="646"/>
        <v>0</v>
      </c>
      <c r="U299" s="160">
        <f t="shared" si="646"/>
        <v>0</v>
      </c>
      <c r="V299" s="160">
        <f t="shared" si="646"/>
        <v>0</v>
      </c>
      <c r="W299" s="160">
        <f t="shared" si="646"/>
        <v>0</v>
      </c>
      <c r="X299" s="160">
        <f t="shared" si="646"/>
        <v>0</v>
      </c>
      <c r="Y299" s="160">
        <f t="shared" si="646"/>
        <v>0</v>
      </c>
      <c r="Z299" s="160">
        <f t="shared" si="646"/>
        <v>0</v>
      </c>
      <c r="AA299" s="160">
        <f t="shared" si="651"/>
        <v>0</v>
      </c>
      <c r="AB299" s="160">
        <f t="shared" si="651"/>
        <v>0</v>
      </c>
      <c r="AC299" s="160">
        <f t="shared" si="651"/>
        <v>0</v>
      </c>
      <c r="AD299" s="160">
        <f t="shared" si="651"/>
        <v>0</v>
      </c>
      <c r="AE299" s="160">
        <f t="shared" si="651"/>
        <v>0</v>
      </c>
      <c r="AF299" s="160">
        <f t="shared" si="651"/>
        <v>0</v>
      </c>
      <c r="AG299" s="160">
        <f t="shared" si="651"/>
        <v>0</v>
      </c>
      <c r="AH299" s="160">
        <f t="shared" si="651"/>
        <v>0</v>
      </c>
      <c r="AI299" s="160">
        <f t="shared" si="651"/>
        <v>0</v>
      </c>
      <c r="AJ299" s="160">
        <f t="shared" si="651"/>
        <v>0</v>
      </c>
      <c r="AK299" s="160">
        <f t="shared" si="651"/>
        <v>0</v>
      </c>
      <c r="AL299" s="160">
        <f t="shared" si="651"/>
        <v>0</v>
      </c>
      <c r="AM299" s="160">
        <f t="shared" si="651"/>
        <v>0</v>
      </c>
      <c r="AN299" s="160">
        <f t="shared" si="651"/>
        <v>0</v>
      </c>
      <c r="AO299" s="160">
        <f t="shared" si="651"/>
        <v>0</v>
      </c>
      <c r="AP299" s="160">
        <f t="shared" si="651"/>
        <v>0</v>
      </c>
      <c r="AQ299" s="160">
        <f t="shared" si="652"/>
        <v>0</v>
      </c>
      <c r="AR299" s="160">
        <f t="shared" si="652"/>
        <v>0</v>
      </c>
      <c r="AS299" s="160">
        <f t="shared" si="652"/>
        <v>0</v>
      </c>
      <c r="AT299" s="160">
        <f t="shared" si="652"/>
        <v>0</v>
      </c>
      <c r="AU299" s="160">
        <f t="shared" si="652"/>
        <v>0</v>
      </c>
      <c r="AV299" s="160">
        <f t="shared" si="652"/>
        <v>0</v>
      </c>
      <c r="AW299" s="160">
        <f t="shared" si="652"/>
        <v>0</v>
      </c>
      <c r="AX299" s="160">
        <f t="shared" si="652"/>
        <v>0</v>
      </c>
      <c r="AY299" s="160">
        <f t="shared" si="652"/>
        <v>0</v>
      </c>
      <c r="AZ299" s="160">
        <f t="shared" si="652"/>
        <v>0</v>
      </c>
      <c r="BA299" s="160">
        <f t="shared" si="652"/>
        <v>0</v>
      </c>
      <c r="BB299" s="160">
        <f t="shared" si="652"/>
        <v>0</v>
      </c>
      <c r="BC299" s="160">
        <f t="shared" si="652"/>
        <v>0</v>
      </c>
      <c r="BD299" s="160">
        <f t="shared" si="652"/>
        <v>0</v>
      </c>
      <c r="BE299" s="160">
        <f t="shared" si="652"/>
        <v>0</v>
      </c>
      <c r="BF299" s="160">
        <f t="shared" si="652"/>
        <v>0</v>
      </c>
      <c r="BG299" s="160">
        <f t="shared" si="653"/>
        <v>0</v>
      </c>
      <c r="BH299" s="160">
        <f t="shared" si="653"/>
        <v>0</v>
      </c>
      <c r="BI299" s="160">
        <f t="shared" si="653"/>
        <v>0</v>
      </c>
      <c r="BJ299" s="160">
        <f t="shared" si="653"/>
        <v>0</v>
      </c>
      <c r="BK299" s="160">
        <f t="shared" si="653"/>
        <v>0</v>
      </c>
      <c r="BL299" s="160">
        <f t="shared" si="653"/>
        <v>0</v>
      </c>
      <c r="BM299" s="160">
        <f t="shared" si="653"/>
        <v>0</v>
      </c>
      <c r="BN299" s="160">
        <f t="shared" si="653"/>
        <v>0</v>
      </c>
      <c r="BO299" s="160">
        <f t="shared" si="653"/>
        <v>0</v>
      </c>
      <c r="BP299" s="160">
        <f t="shared" si="653"/>
        <v>0</v>
      </c>
      <c r="BQ299" s="160">
        <f t="shared" si="653"/>
        <v>0</v>
      </c>
      <c r="BR299" s="160">
        <f t="shared" si="653"/>
        <v>0</v>
      </c>
      <c r="BS299" s="65"/>
      <c r="BT299" s="160">
        <f t="shared" si="654"/>
        <v>0</v>
      </c>
      <c r="BU299" s="160">
        <f t="shared" si="655"/>
        <v>0</v>
      </c>
      <c r="BV299" s="65"/>
      <c r="BW299" s="69"/>
      <c r="BX299" s="65"/>
      <c r="BY299" s="137">
        <f t="shared" si="656"/>
        <v>1</v>
      </c>
      <c r="BZ299" s="137">
        <f>IF(BY299&gt;0,BY299+LARGE($BZ$213:BZ298,1),0)</f>
        <v>75</v>
      </c>
      <c r="CA299" s="137" t="str">
        <f t="shared" si="657"/>
        <v>TEC I</v>
      </c>
      <c r="CB299" s="161">
        <f t="shared" si="658"/>
        <v>0</v>
      </c>
      <c r="CC299" s="161">
        <f t="shared" si="659"/>
        <v>0</v>
      </c>
      <c r="CD299" s="161">
        <f t="shared" si="660"/>
        <v>0</v>
      </c>
      <c r="CE299" s="161">
        <f t="shared" si="661"/>
        <v>0</v>
      </c>
      <c r="CF299" s="161">
        <f t="shared" si="662"/>
        <v>0</v>
      </c>
      <c r="CG299" s="161">
        <f t="shared" si="663"/>
        <v>0</v>
      </c>
      <c r="CH299" s="161">
        <f t="shared" si="664"/>
        <v>0</v>
      </c>
      <c r="CI299" s="161">
        <f t="shared" si="665"/>
        <v>0</v>
      </c>
      <c r="CJ299" s="161">
        <f t="shared" si="666"/>
        <v>0</v>
      </c>
      <c r="CK299" s="161">
        <f t="shared" si="667"/>
        <v>0</v>
      </c>
      <c r="CL299" s="161">
        <f t="shared" si="668"/>
        <v>0</v>
      </c>
      <c r="CM299" s="161">
        <f t="shared" si="669"/>
        <v>0</v>
      </c>
      <c r="CN299" s="161">
        <f t="shared" si="670"/>
        <v>0</v>
      </c>
      <c r="CO299" s="161">
        <f t="shared" si="671"/>
        <v>0</v>
      </c>
      <c r="CP299" s="161">
        <f t="shared" si="672"/>
        <v>0</v>
      </c>
      <c r="CQ299" s="161">
        <f t="shared" si="673"/>
        <v>0</v>
      </c>
      <c r="CR299" s="161">
        <f t="shared" si="674"/>
        <v>0</v>
      </c>
      <c r="CS299" s="161">
        <f t="shared" si="675"/>
        <v>0</v>
      </c>
      <c r="CT299" s="161">
        <f t="shared" si="676"/>
        <v>0</v>
      </c>
      <c r="CU299" s="161">
        <f t="shared" si="677"/>
        <v>0</v>
      </c>
      <c r="CV299" s="161">
        <f t="shared" si="678"/>
        <v>0</v>
      </c>
      <c r="CW299" s="161">
        <f t="shared" si="679"/>
        <v>0</v>
      </c>
      <c r="CX299" s="161">
        <f t="shared" si="680"/>
        <v>0</v>
      </c>
      <c r="CY299" s="161">
        <f t="shared" si="681"/>
        <v>0</v>
      </c>
      <c r="CZ299" s="161">
        <f t="shared" si="682"/>
        <v>0</v>
      </c>
      <c r="DA299" s="161">
        <f t="shared" si="683"/>
        <v>0</v>
      </c>
      <c r="DB299" s="161">
        <f t="shared" si="684"/>
        <v>0</v>
      </c>
      <c r="DC299" s="161">
        <f t="shared" si="685"/>
        <v>0</v>
      </c>
      <c r="DD299" s="161">
        <f t="shared" si="686"/>
        <v>0</v>
      </c>
      <c r="DE299" s="161">
        <f t="shared" si="687"/>
        <v>0</v>
      </c>
      <c r="DF299" s="161">
        <f t="shared" si="688"/>
        <v>0</v>
      </c>
      <c r="DG299" s="161">
        <f t="shared" si="689"/>
        <v>0</v>
      </c>
      <c r="DH299" s="161">
        <f t="shared" si="690"/>
        <v>0</v>
      </c>
      <c r="DI299" s="161">
        <f t="shared" si="691"/>
        <v>0</v>
      </c>
      <c r="DJ299" s="161">
        <f t="shared" si="692"/>
        <v>0</v>
      </c>
      <c r="DK299" s="161">
        <f t="shared" si="693"/>
        <v>0</v>
      </c>
      <c r="DL299" s="161">
        <f t="shared" si="694"/>
        <v>0</v>
      </c>
      <c r="DM299" s="161">
        <f t="shared" si="695"/>
        <v>0</v>
      </c>
      <c r="DN299" s="161">
        <f t="shared" si="696"/>
        <v>0</v>
      </c>
      <c r="DO299" s="161">
        <f t="shared" si="697"/>
        <v>0</v>
      </c>
      <c r="DP299" s="161">
        <f t="shared" si="698"/>
        <v>0</v>
      </c>
      <c r="DQ299" s="161">
        <f t="shared" si="699"/>
        <v>0</v>
      </c>
      <c r="DR299" s="161">
        <f t="shared" si="700"/>
        <v>0</v>
      </c>
      <c r="DS299" s="161">
        <f t="shared" si="701"/>
        <v>0</v>
      </c>
      <c r="DT299" s="161">
        <f t="shared" si="702"/>
        <v>0</v>
      </c>
      <c r="DU299" s="161">
        <f t="shared" si="703"/>
        <v>0</v>
      </c>
      <c r="DV299" s="161">
        <f t="shared" si="704"/>
        <v>0</v>
      </c>
      <c r="DW299" s="161">
        <f t="shared" si="705"/>
        <v>0</v>
      </c>
      <c r="DX299" s="161">
        <f t="shared" si="706"/>
        <v>0</v>
      </c>
      <c r="DY299" s="161">
        <f t="shared" si="707"/>
        <v>0</v>
      </c>
      <c r="DZ299" s="161">
        <f t="shared" si="708"/>
        <v>0</v>
      </c>
      <c r="EA299" s="161">
        <f t="shared" si="709"/>
        <v>0</v>
      </c>
      <c r="EB299" s="161">
        <f t="shared" si="710"/>
        <v>0</v>
      </c>
      <c r="EC299" s="161">
        <f t="shared" si="711"/>
        <v>0</v>
      </c>
      <c r="ED299" s="161">
        <f t="shared" si="712"/>
        <v>0</v>
      </c>
      <c r="EE299" s="161">
        <f t="shared" si="713"/>
        <v>0</v>
      </c>
      <c r="EF299" s="161">
        <f t="shared" si="714"/>
        <v>0</v>
      </c>
      <c r="EG299" s="161">
        <f t="shared" si="715"/>
        <v>0</v>
      </c>
      <c r="EH299" s="161">
        <f t="shared" si="716"/>
        <v>0</v>
      </c>
      <c r="EI299" s="161">
        <f t="shared" si="717"/>
        <v>0</v>
      </c>
      <c r="EJ299" s="65"/>
      <c r="EK299" s="161">
        <f t="shared" si="647"/>
        <v>0</v>
      </c>
      <c r="EL299" s="161">
        <f t="shared" si="648"/>
        <v>0</v>
      </c>
      <c r="EM299" s="161">
        <f t="shared" si="649"/>
        <v>0</v>
      </c>
    </row>
    <row r="300" spans="1:143" ht="12" hidden="1" customHeight="1" outlineLevel="2">
      <c r="A300" s="77">
        <v>16</v>
      </c>
      <c r="B300" s="137" t="str">
        <f t="shared" si="644"/>
        <v>AUX TEC - Equipe_01</v>
      </c>
      <c r="C300" s="65"/>
      <c r="D300" s="622"/>
      <c r="E300" s="65"/>
      <c r="F300" s="584"/>
      <c r="G300" s="77" t="str">
        <f>IF(INDEX(Tarefas!$BT$30:$FK$30,MATCH(A300,Tarefas!$BT$28:$FK$28,0))=0,"",INDEX(Tarefas!$BT$30:$FK$30,MATCH(A300,Tarefas!$BT$28:$FK$28,0)))</f>
        <v>AUX TEC</v>
      </c>
      <c r="H300" s="107" cm="1">
        <f t="array" ref="H300">IFERROR((SUMPRODUCT((Tarefas!$N$32:$N$54='Cronog. e Histog.'!$F$285)*(Tarefas!$BQ$30:$FK$30='Cronog. e Histog.'!$G300)*(Tarefas!$BQ$32:$FK$54)))/SUMIF(Tarefas!$N$32:$N$54,'Cronog. e Histog.'!$F$285,Tarefas!$K$32:$K$54),0)</f>
        <v>0</v>
      </c>
      <c r="I300" s="79">
        <f t="shared" si="645"/>
        <v>0</v>
      </c>
      <c r="J300" s="65"/>
      <c r="K300" s="160">
        <f t="shared" si="646"/>
        <v>0</v>
      </c>
      <c r="L300" s="160">
        <f t="shared" si="646"/>
        <v>0</v>
      </c>
      <c r="M300" s="160">
        <f t="shared" si="646"/>
        <v>0</v>
      </c>
      <c r="N300" s="160">
        <f t="shared" si="646"/>
        <v>0</v>
      </c>
      <c r="O300" s="160">
        <f t="shared" si="646"/>
        <v>0</v>
      </c>
      <c r="P300" s="160">
        <f t="shared" si="646"/>
        <v>0</v>
      </c>
      <c r="Q300" s="160">
        <f t="shared" si="646"/>
        <v>0</v>
      </c>
      <c r="R300" s="160">
        <f t="shared" si="646"/>
        <v>0</v>
      </c>
      <c r="S300" s="160">
        <f t="shared" si="646"/>
        <v>0</v>
      </c>
      <c r="T300" s="160">
        <f t="shared" si="646"/>
        <v>0</v>
      </c>
      <c r="U300" s="160">
        <f t="shared" si="646"/>
        <v>0</v>
      </c>
      <c r="V300" s="160">
        <f t="shared" si="646"/>
        <v>0</v>
      </c>
      <c r="W300" s="160">
        <f t="shared" si="646"/>
        <v>0</v>
      </c>
      <c r="X300" s="160">
        <f t="shared" si="646"/>
        <v>0</v>
      </c>
      <c r="Y300" s="160">
        <f t="shared" si="646"/>
        <v>0</v>
      </c>
      <c r="Z300" s="160">
        <f t="shared" si="646"/>
        <v>0</v>
      </c>
      <c r="AA300" s="160">
        <f t="shared" si="651"/>
        <v>0</v>
      </c>
      <c r="AB300" s="160">
        <f t="shared" si="651"/>
        <v>0</v>
      </c>
      <c r="AC300" s="160">
        <f t="shared" si="651"/>
        <v>0</v>
      </c>
      <c r="AD300" s="160">
        <f t="shared" si="651"/>
        <v>0</v>
      </c>
      <c r="AE300" s="160">
        <f t="shared" si="651"/>
        <v>0</v>
      </c>
      <c r="AF300" s="160">
        <f t="shared" si="651"/>
        <v>0</v>
      </c>
      <c r="AG300" s="160">
        <f t="shared" si="651"/>
        <v>0</v>
      </c>
      <c r="AH300" s="160">
        <f t="shared" si="651"/>
        <v>0</v>
      </c>
      <c r="AI300" s="160">
        <f t="shared" si="651"/>
        <v>0</v>
      </c>
      <c r="AJ300" s="160">
        <f t="shared" si="651"/>
        <v>0</v>
      </c>
      <c r="AK300" s="160">
        <f t="shared" si="651"/>
        <v>0</v>
      </c>
      <c r="AL300" s="160">
        <f t="shared" si="651"/>
        <v>0</v>
      </c>
      <c r="AM300" s="160">
        <f t="shared" si="651"/>
        <v>0</v>
      </c>
      <c r="AN300" s="160">
        <f t="shared" si="651"/>
        <v>0</v>
      </c>
      <c r="AO300" s="160">
        <f t="shared" si="651"/>
        <v>0</v>
      </c>
      <c r="AP300" s="160">
        <f t="shared" si="651"/>
        <v>0</v>
      </c>
      <c r="AQ300" s="160">
        <f t="shared" si="652"/>
        <v>0</v>
      </c>
      <c r="AR300" s="160">
        <f t="shared" si="652"/>
        <v>0</v>
      </c>
      <c r="AS300" s="160">
        <f t="shared" si="652"/>
        <v>0</v>
      </c>
      <c r="AT300" s="160">
        <f t="shared" si="652"/>
        <v>0</v>
      </c>
      <c r="AU300" s="160">
        <f t="shared" si="652"/>
        <v>0</v>
      </c>
      <c r="AV300" s="160">
        <f t="shared" si="652"/>
        <v>0</v>
      </c>
      <c r="AW300" s="160">
        <f t="shared" si="652"/>
        <v>0</v>
      </c>
      <c r="AX300" s="160">
        <f t="shared" si="652"/>
        <v>0</v>
      </c>
      <c r="AY300" s="160">
        <f t="shared" si="652"/>
        <v>0</v>
      </c>
      <c r="AZ300" s="160">
        <f t="shared" si="652"/>
        <v>0</v>
      </c>
      <c r="BA300" s="160">
        <f t="shared" si="652"/>
        <v>0</v>
      </c>
      <c r="BB300" s="160">
        <f t="shared" si="652"/>
        <v>0</v>
      </c>
      <c r="BC300" s="160">
        <f t="shared" si="652"/>
        <v>0</v>
      </c>
      <c r="BD300" s="160">
        <f t="shared" si="652"/>
        <v>0</v>
      </c>
      <c r="BE300" s="160">
        <f t="shared" si="652"/>
        <v>0</v>
      </c>
      <c r="BF300" s="160">
        <f t="shared" si="652"/>
        <v>0</v>
      </c>
      <c r="BG300" s="160">
        <f t="shared" si="653"/>
        <v>0</v>
      </c>
      <c r="BH300" s="160">
        <f t="shared" si="653"/>
        <v>0</v>
      </c>
      <c r="BI300" s="160">
        <f t="shared" si="653"/>
        <v>0</v>
      </c>
      <c r="BJ300" s="160">
        <f t="shared" si="653"/>
        <v>0</v>
      </c>
      <c r="BK300" s="160">
        <f t="shared" si="653"/>
        <v>0</v>
      </c>
      <c r="BL300" s="160">
        <f t="shared" si="653"/>
        <v>0</v>
      </c>
      <c r="BM300" s="160">
        <f t="shared" si="653"/>
        <v>0</v>
      </c>
      <c r="BN300" s="160">
        <f t="shared" si="653"/>
        <v>0</v>
      </c>
      <c r="BO300" s="160">
        <f t="shared" si="653"/>
        <v>0</v>
      </c>
      <c r="BP300" s="160">
        <f t="shared" si="653"/>
        <v>0</v>
      </c>
      <c r="BQ300" s="160">
        <f t="shared" si="653"/>
        <v>0</v>
      </c>
      <c r="BR300" s="160">
        <f t="shared" si="653"/>
        <v>0</v>
      </c>
      <c r="BS300" s="65"/>
      <c r="BT300" s="160">
        <f t="shared" si="654"/>
        <v>0</v>
      </c>
      <c r="BU300" s="160">
        <f t="shared" si="655"/>
        <v>0</v>
      </c>
      <c r="BV300" s="65"/>
      <c r="BW300" s="69"/>
      <c r="BX300" s="65"/>
      <c r="BY300" s="137">
        <f t="shared" si="656"/>
        <v>1</v>
      </c>
      <c r="BZ300" s="137">
        <f>IF(BY300&gt;0,BY300+LARGE($BZ$213:BZ299,1),0)</f>
        <v>76</v>
      </c>
      <c r="CA300" s="137" t="str">
        <f t="shared" si="657"/>
        <v>AUX TEC</v>
      </c>
      <c r="CB300" s="161">
        <f t="shared" si="658"/>
        <v>0</v>
      </c>
      <c r="CC300" s="161">
        <f t="shared" si="659"/>
        <v>0</v>
      </c>
      <c r="CD300" s="161">
        <f t="shared" si="660"/>
        <v>0</v>
      </c>
      <c r="CE300" s="161">
        <f t="shared" si="661"/>
        <v>0</v>
      </c>
      <c r="CF300" s="161">
        <f t="shared" si="662"/>
        <v>0</v>
      </c>
      <c r="CG300" s="161">
        <f t="shared" si="663"/>
        <v>0</v>
      </c>
      <c r="CH300" s="161">
        <f t="shared" si="664"/>
        <v>0</v>
      </c>
      <c r="CI300" s="161">
        <f t="shared" si="665"/>
        <v>0</v>
      </c>
      <c r="CJ300" s="161">
        <f t="shared" si="666"/>
        <v>0</v>
      </c>
      <c r="CK300" s="161">
        <f t="shared" si="667"/>
        <v>0</v>
      </c>
      <c r="CL300" s="161">
        <f t="shared" si="668"/>
        <v>0</v>
      </c>
      <c r="CM300" s="161">
        <f t="shared" si="669"/>
        <v>0</v>
      </c>
      <c r="CN300" s="161">
        <f t="shared" si="670"/>
        <v>0</v>
      </c>
      <c r="CO300" s="161">
        <f t="shared" si="671"/>
        <v>0</v>
      </c>
      <c r="CP300" s="161">
        <f t="shared" si="672"/>
        <v>0</v>
      </c>
      <c r="CQ300" s="161">
        <f t="shared" si="673"/>
        <v>0</v>
      </c>
      <c r="CR300" s="161">
        <f t="shared" si="674"/>
        <v>0</v>
      </c>
      <c r="CS300" s="161">
        <f t="shared" si="675"/>
        <v>0</v>
      </c>
      <c r="CT300" s="161">
        <f t="shared" si="676"/>
        <v>0</v>
      </c>
      <c r="CU300" s="161">
        <f t="shared" si="677"/>
        <v>0</v>
      </c>
      <c r="CV300" s="161">
        <f t="shared" si="678"/>
        <v>0</v>
      </c>
      <c r="CW300" s="161">
        <f t="shared" si="679"/>
        <v>0</v>
      </c>
      <c r="CX300" s="161">
        <f t="shared" si="680"/>
        <v>0</v>
      </c>
      <c r="CY300" s="161">
        <f t="shared" si="681"/>
        <v>0</v>
      </c>
      <c r="CZ300" s="161">
        <f t="shared" si="682"/>
        <v>0</v>
      </c>
      <c r="DA300" s="161">
        <f t="shared" si="683"/>
        <v>0</v>
      </c>
      <c r="DB300" s="161">
        <f t="shared" si="684"/>
        <v>0</v>
      </c>
      <c r="DC300" s="161">
        <f t="shared" si="685"/>
        <v>0</v>
      </c>
      <c r="DD300" s="161">
        <f t="shared" si="686"/>
        <v>0</v>
      </c>
      <c r="DE300" s="161">
        <f t="shared" si="687"/>
        <v>0</v>
      </c>
      <c r="DF300" s="161">
        <f t="shared" si="688"/>
        <v>0</v>
      </c>
      <c r="DG300" s="161">
        <f t="shared" si="689"/>
        <v>0</v>
      </c>
      <c r="DH300" s="161">
        <f t="shared" si="690"/>
        <v>0</v>
      </c>
      <c r="DI300" s="161">
        <f t="shared" si="691"/>
        <v>0</v>
      </c>
      <c r="DJ300" s="161">
        <f t="shared" si="692"/>
        <v>0</v>
      </c>
      <c r="DK300" s="161">
        <f t="shared" si="693"/>
        <v>0</v>
      </c>
      <c r="DL300" s="161">
        <f t="shared" si="694"/>
        <v>0</v>
      </c>
      <c r="DM300" s="161">
        <f t="shared" si="695"/>
        <v>0</v>
      </c>
      <c r="DN300" s="161">
        <f t="shared" si="696"/>
        <v>0</v>
      </c>
      <c r="DO300" s="161">
        <f t="shared" si="697"/>
        <v>0</v>
      </c>
      <c r="DP300" s="161">
        <f t="shared" si="698"/>
        <v>0</v>
      </c>
      <c r="DQ300" s="161">
        <f t="shared" si="699"/>
        <v>0</v>
      </c>
      <c r="DR300" s="161">
        <f t="shared" si="700"/>
        <v>0</v>
      </c>
      <c r="DS300" s="161">
        <f t="shared" si="701"/>
        <v>0</v>
      </c>
      <c r="DT300" s="161">
        <f t="shared" si="702"/>
        <v>0</v>
      </c>
      <c r="DU300" s="161">
        <f t="shared" si="703"/>
        <v>0</v>
      </c>
      <c r="DV300" s="161">
        <f t="shared" si="704"/>
        <v>0</v>
      </c>
      <c r="DW300" s="161">
        <f t="shared" si="705"/>
        <v>0</v>
      </c>
      <c r="DX300" s="161">
        <f t="shared" si="706"/>
        <v>0</v>
      </c>
      <c r="DY300" s="161">
        <f t="shared" si="707"/>
        <v>0</v>
      </c>
      <c r="DZ300" s="161">
        <f t="shared" si="708"/>
        <v>0</v>
      </c>
      <c r="EA300" s="161">
        <f t="shared" si="709"/>
        <v>0</v>
      </c>
      <c r="EB300" s="161">
        <f t="shared" si="710"/>
        <v>0</v>
      </c>
      <c r="EC300" s="161">
        <f t="shared" si="711"/>
        <v>0</v>
      </c>
      <c r="ED300" s="161">
        <f t="shared" si="712"/>
        <v>0</v>
      </c>
      <c r="EE300" s="161">
        <f t="shared" si="713"/>
        <v>0</v>
      </c>
      <c r="EF300" s="161">
        <f t="shared" si="714"/>
        <v>0</v>
      </c>
      <c r="EG300" s="161">
        <f t="shared" si="715"/>
        <v>0</v>
      </c>
      <c r="EH300" s="161">
        <f t="shared" si="716"/>
        <v>0</v>
      </c>
      <c r="EI300" s="161">
        <f t="shared" si="717"/>
        <v>0</v>
      </c>
      <c r="EJ300" s="65"/>
      <c r="EK300" s="161">
        <f t="shared" si="647"/>
        <v>0</v>
      </c>
      <c r="EL300" s="161">
        <f t="shared" si="648"/>
        <v>0</v>
      </c>
      <c r="EM300" s="161">
        <f t="shared" si="649"/>
        <v>0</v>
      </c>
    </row>
    <row r="301" spans="1:143" ht="12" hidden="1" customHeight="1" outlineLevel="2">
      <c r="A301" s="77">
        <v>17</v>
      </c>
      <c r="B301" s="137" t="str">
        <f t="shared" si="644"/>
        <v>AUX ADM - Equipe_01</v>
      </c>
      <c r="C301" s="65"/>
      <c r="D301" s="622"/>
      <c r="E301" s="65"/>
      <c r="F301" s="584"/>
      <c r="G301" s="77" t="str">
        <f>IF(INDEX(Tarefas!$BT$30:$FK$30,MATCH(A301,Tarefas!$BT$28:$FK$28,0))=0,"",INDEX(Tarefas!$BT$30:$FK$30,MATCH(A301,Tarefas!$BT$28:$FK$28,0)))</f>
        <v>AUX ADM</v>
      </c>
      <c r="H301" s="107" cm="1">
        <f t="array" ref="H301">IFERROR((SUMPRODUCT((Tarefas!$N$32:$N$54='Cronog. e Histog.'!$F$285)*(Tarefas!$BQ$30:$FK$30='Cronog. e Histog.'!$G301)*(Tarefas!$BQ$32:$FK$54)))/SUMIF(Tarefas!$N$32:$N$54,'Cronog. e Histog.'!$F$285,Tarefas!$K$32:$K$54),0)</f>
        <v>0</v>
      </c>
      <c r="I301" s="79">
        <f t="shared" si="645"/>
        <v>0</v>
      </c>
      <c r="J301" s="65"/>
      <c r="K301" s="160">
        <f t="shared" si="646"/>
        <v>0</v>
      </c>
      <c r="L301" s="160">
        <f t="shared" si="646"/>
        <v>0</v>
      </c>
      <c r="M301" s="160">
        <f t="shared" si="646"/>
        <v>0</v>
      </c>
      <c r="N301" s="160">
        <f t="shared" si="646"/>
        <v>0</v>
      </c>
      <c r="O301" s="160">
        <f t="shared" si="646"/>
        <v>0</v>
      </c>
      <c r="P301" s="160">
        <f t="shared" si="646"/>
        <v>0</v>
      </c>
      <c r="Q301" s="160">
        <f t="shared" si="646"/>
        <v>0</v>
      </c>
      <c r="R301" s="160">
        <f t="shared" si="646"/>
        <v>0</v>
      </c>
      <c r="S301" s="160">
        <f t="shared" si="646"/>
        <v>0</v>
      </c>
      <c r="T301" s="160">
        <f t="shared" si="646"/>
        <v>0</v>
      </c>
      <c r="U301" s="160">
        <f t="shared" si="646"/>
        <v>0</v>
      </c>
      <c r="V301" s="160">
        <f t="shared" si="646"/>
        <v>0</v>
      </c>
      <c r="W301" s="160">
        <f t="shared" si="646"/>
        <v>0</v>
      </c>
      <c r="X301" s="160">
        <f t="shared" si="646"/>
        <v>0</v>
      </c>
      <c r="Y301" s="160">
        <f t="shared" si="646"/>
        <v>0</v>
      </c>
      <c r="Z301" s="160">
        <f t="shared" si="646"/>
        <v>0</v>
      </c>
      <c r="AA301" s="160">
        <f t="shared" si="651"/>
        <v>0</v>
      </c>
      <c r="AB301" s="160">
        <f t="shared" si="651"/>
        <v>0</v>
      </c>
      <c r="AC301" s="160">
        <f t="shared" si="651"/>
        <v>0</v>
      </c>
      <c r="AD301" s="160">
        <f t="shared" si="651"/>
        <v>0</v>
      </c>
      <c r="AE301" s="160">
        <f t="shared" si="651"/>
        <v>0</v>
      </c>
      <c r="AF301" s="160">
        <f t="shared" si="651"/>
        <v>0</v>
      </c>
      <c r="AG301" s="160">
        <f t="shared" si="651"/>
        <v>0</v>
      </c>
      <c r="AH301" s="160">
        <f t="shared" si="651"/>
        <v>0</v>
      </c>
      <c r="AI301" s="160">
        <f t="shared" si="651"/>
        <v>0</v>
      </c>
      <c r="AJ301" s="160">
        <f t="shared" si="651"/>
        <v>0</v>
      </c>
      <c r="AK301" s="160">
        <f t="shared" si="651"/>
        <v>0</v>
      </c>
      <c r="AL301" s="160">
        <f t="shared" si="651"/>
        <v>0</v>
      </c>
      <c r="AM301" s="160">
        <f t="shared" si="651"/>
        <v>0</v>
      </c>
      <c r="AN301" s="160">
        <f t="shared" si="651"/>
        <v>0</v>
      </c>
      <c r="AO301" s="160">
        <f t="shared" si="651"/>
        <v>0</v>
      </c>
      <c r="AP301" s="160">
        <f t="shared" si="651"/>
        <v>0</v>
      </c>
      <c r="AQ301" s="160">
        <f t="shared" si="652"/>
        <v>0</v>
      </c>
      <c r="AR301" s="160">
        <f t="shared" si="652"/>
        <v>0</v>
      </c>
      <c r="AS301" s="160">
        <f t="shared" si="652"/>
        <v>0</v>
      </c>
      <c r="AT301" s="160">
        <f t="shared" si="652"/>
        <v>0</v>
      </c>
      <c r="AU301" s="160">
        <f t="shared" si="652"/>
        <v>0</v>
      </c>
      <c r="AV301" s="160">
        <f t="shared" si="652"/>
        <v>0</v>
      </c>
      <c r="AW301" s="160">
        <f t="shared" si="652"/>
        <v>0</v>
      </c>
      <c r="AX301" s="160">
        <f t="shared" si="652"/>
        <v>0</v>
      </c>
      <c r="AY301" s="160">
        <f t="shared" si="652"/>
        <v>0</v>
      </c>
      <c r="AZ301" s="160">
        <f t="shared" si="652"/>
        <v>0</v>
      </c>
      <c r="BA301" s="160">
        <f t="shared" si="652"/>
        <v>0</v>
      </c>
      <c r="BB301" s="160">
        <f t="shared" si="652"/>
        <v>0</v>
      </c>
      <c r="BC301" s="160">
        <f t="shared" si="652"/>
        <v>0</v>
      </c>
      <c r="BD301" s="160">
        <f t="shared" si="652"/>
        <v>0</v>
      </c>
      <c r="BE301" s="160">
        <f t="shared" si="652"/>
        <v>0</v>
      </c>
      <c r="BF301" s="160">
        <f t="shared" si="652"/>
        <v>0</v>
      </c>
      <c r="BG301" s="160">
        <f t="shared" si="653"/>
        <v>0</v>
      </c>
      <c r="BH301" s="160">
        <f t="shared" si="653"/>
        <v>0</v>
      </c>
      <c r="BI301" s="160">
        <f t="shared" si="653"/>
        <v>0</v>
      </c>
      <c r="BJ301" s="160">
        <f t="shared" si="653"/>
        <v>0</v>
      </c>
      <c r="BK301" s="160">
        <f t="shared" si="653"/>
        <v>0</v>
      </c>
      <c r="BL301" s="160">
        <f t="shared" si="653"/>
        <v>0</v>
      </c>
      <c r="BM301" s="160">
        <f t="shared" si="653"/>
        <v>0</v>
      </c>
      <c r="BN301" s="160">
        <f t="shared" si="653"/>
        <v>0</v>
      </c>
      <c r="BO301" s="160">
        <f t="shared" si="653"/>
        <v>0</v>
      </c>
      <c r="BP301" s="160">
        <f t="shared" si="653"/>
        <v>0</v>
      </c>
      <c r="BQ301" s="160">
        <f t="shared" si="653"/>
        <v>0</v>
      </c>
      <c r="BR301" s="160">
        <f t="shared" si="653"/>
        <v>0</v>
      </c>
      <c r="BS301" s="65"/>
      <c r="BT301" s="160">
        <f t="shared" si="654"/>
        <v>0</v>
      </c>
      <c r="BU301" s="160">
        <f t="shared" si="655"/>
        <v>0</v>
      </c>
      <c r="BV301" s="65"/>
      <c r="BW301" s="69"/>
      <c r="BX301" s="65"/>
      <c r="BY301" s="137">
        <f t="shared" si="656"/>
        <v>1</v>
      </c>
      <c r="BZ301" s="137">
        <f>IF(BY301&gt;0,BY301+LARGE($BZ$213:BZ300,1),0)</f>
        <v>77</v>
      </c>
      <c r="CA301" s="137" t="str">
        <f t="shared" si="657"/>
        <v>AUX ADM</v>
      </c>
      <c r="CB301" s="161">
        <f t="shared" si="658"/>
        <v>0</v>
      </c>
      <c r="CC301" s="161">
        <f t="shared" si="659"/>
        <v>0</v>
      </c>
      <c r="CD301" s="161">
        <f t="shared" si="660"/>
        <v>0</v>
      </c>
      <c r="CE301" s="161">
        <f t="shared" si="661"/>
        <v>0</v>
      </c>
      <c r="CF301" s="161">
        <f t="shared" si="662"/>
        <v>0</v>
      </c>
      <c r="CG301" s="161">
        <f t="shared" si="663"/>
        <v>0</v>
      </c>
      <c r="CH301" s="161">
        <f t="shared" si="664"/>
        <v>0</v>
      </c>
      <c r="CI301" s="161">
        <f t="shared" si="665"/>
        <v>0</v>
      </c>
      <c r="CJ301" s="161">
        <f t="shared" si="666"/>
        <v>0</v>
      </c>
      <c r="CK301" s="161">
        <f t="shared" si="667"/>
        <v>0</v>
      </c>
      <c r="CL301" s="161">
        <f t="shared" si="668"/>
        <v>0</v>
      </c>
      <c r="CM301" s="161">
        <f t="shared" si="669"/>
        <v>0</v>
      </c>
      <c r="CN301" s="161">
        <f t="shared" si="670"/>
        <v>0</v>
      </c>
      <c r="CO301" s="161">
        <f t="shared" si="671"/>
        <v>0</v>
      </c>
      <c r="CP301" s="161">
        <f t="shared" si="672"/>
        <v>0</v>
      </c>
      <c r="CQ301" s="161">
        <f t="shared" si="673"/>
        <v>0</v>
      </c>
      <c r="CR301" s="161">
        <f t="shared" si="674"/>
        <v>0</v>
      </c>
      <c r="CS301" s="161">
        <f t="shared" si="675"/>
        <v>0</v>
      </c>
      <c r="CT301" s="161">
        <f t="shared" si="676"/>
        <v>0</v>
      </c>
      <c r="CU301" s="161">
        <f t="shared" si="677"/>
        <v>0</v>
      </c>
      <c r="CV301" s="161">
        <f t="shared" si="678"/>
        <v>0</v>
      </c>
      <c r="CW301" s="161">
        <f t="shared" si="679"/>
        <v>0</v>
      </c>
      <c r="CX301" s="161">
        <f t="shared" si="680"/>
        <v>0</v>
      </c>
      <c r="CY301" s="161">
        <f t="shared" si="681"/>
        <v>0</v>
      </c>
      <c r="CZ301" s="161">
        <f t="shared" si="682"/>
        <v>0</v>
      </c>
      <c r="DA301" s="161">
        <f t="shared" si="683"/>
        <v>0</v>
      </c>
      <c r="DB301" s="161">
        <f t="shared" si="684"/>
        <v>0</v>
      </c>
      <c r="DC301" s="161">
        <f t="shared" si="685"/>
        <v>0</v>
      </c>
      <c r="DD301" s="161">
        <f t="shared" si="686"/>
        <v>0</v>
      </c>
      <c r="DE301" s="161">
        <f t="shared" si="687"/>
        <v>0</v>
      </c>
      <c r="DF301" s="161">
        <f t="shared" si="688"/>
        <v>0</v>
      </c>
      <c r="DG301" s="161">
        <f t="shared" si="689"/>
        <v>0</v>
      </c>
      <c r="DH301" s="161">
        <f t="shared" si="690"/>
        <v>0</v>
      </c>
      <c r="DI301" s="161">
        <f t="shared" si="691"/>
        <v>0</v>
      </c>
      <c r="DJ301" s="161">
        <f t="shared" si="692"/>
        <v>0</v>
      </c>
      <c r="DK301" s="161">
        <f t="shared" si="693"/>
        <v>0</v>
      </c>
      <c r="DL301" s="161">
        <f t="shared" si="694"/>
        <v>0</v>
      </c>
      <c r="DM301" s="161">
        <f t="shared" si="695"/>
        <v>0</v>
      </c>
      <c r="DN301" s="161">
        <f t="shared" si="696"/>
        <v>0</v>
      </c>
      <c r="DO301" s="161">
        <f t="shared" si="697"/>
        <v>0</v>
      </c>
      <c r="DP301" s="161">
        <f t="shared" si="698"/>
        <v>0</v>
      </c>
      <c r="DQ301" s="161">
        <f t="shared" si="699"/>
        <v>0</v>
      </c>
      <c r="DR301" s="161">
        <f t="shared" si="700"/>
        <v>0</v>
      </c>
      <c r="DS301" s="161">
        <f t="shared" si="701"/>
        <v>0</v>
      </c>
      <c r="DT301" s="161">
        <f t="shared" si="702"/>
        <v>0</v>
      </c>
      <c r="DU301" s="161">
        <f t="shared" si="703"/>
        <v>0</v>
      </c>
      <c r="DV301" s="161">
        <f t="shared" si="704"/>
        <v>0</v>
      </c>
      <c r="DW301" s="161">
        <f t="shared" si="705"/>
        <v>0</v>
      </c>
      <c r="DX301" s="161">
        <f t="shared" si="706"/>
        <v>0</v>
      </c>
      <c r="DY301" s="161">
        <f t="shared" si="707"/>
        <v>0</v>
      </c>
      <c r="DZ301" s="161">
        <f t="shared" si="708"/>
        <v>0</v>
      </c>
      <c r="EA301" s="161">
        <f t="shared" si="709"/>
        <v>0</v>
      </c>
      <c r="EB301" s="161">
        <f t="shared" si="710"/>
        <v>0</v>
      </c>
      <c r="EC301" s="161">
        <f t="shared" si="711"/>
        <v>0</v>
      </c>
      <c r="ED301" s="161">
        <f t="shared" si="712"/>
        <v>0</v>
      </c>
      <c r="EE301" s="161">
        <f t="shared" si="713"/>
        <v>0</v>
      </c>
      <c r="EF301" s="161">
        <f t="shared" si="714"/>
        <v>0</v>
      </c>
      <c r="EG301" s="161">
        <f t="shared" si="715"/>
        <v>0</v>
      </c>
      <c r="EH301" s="161">
        <f t="shared" si="716"/>
        <v>0</v>
      </c>
      <c r="EI301" s="161">
        <f t="shared" si="717"/>
        <v>0</v>
      </c>
      <c r="EJ301" s="65"/>
      <c r="EK301" s="161">
        <f t="shared" si="647"/>
        <v>0</v>
      </c>
      <c r="EL301" s="161">
        <f t="shared" si="648"/>
        <v>0</v>
      </c>
      <c r="EM301" s="161">
        <f t="shared" si="649"/>
        <v>0</v>
      </c>
    </row>
    <row r="302" spans="1:143" ht="12" hidden="1" customHeight="1" outlineLevel="2">
      <c r="A302" s="77">
        <v>18</v>
      </c>
      <c r="B302" s="137" t="str">
        <f t="shared" si="644"/>
        <v>EST - Equipe_01</v>
      </c>
      <c r="C302" s="65"/>
      <c r="D302" s="622"/>
      <c r="E302" s="65"/>
      <c r="F302" s="584"/>
      <c r="G302" s="77" t="str">
        <f>IF(INDEX(Tarefas!$BT$30:$FK$30,MATCH(A302,Tarefas!$BT$28:$FK$28,0))=0,"",INDEX(Tarefas!$BT$30:$FK$30,MATCH(A302,Tarefas!$BT$28:$FK$28,0)))</f>
        <v>EST</v>
      </c>
      <c r="H302" s="107" cm="1">
        <f t="array" ref="H302">IFERROR((SUMPRODUCT((Tarefas!$N$32:$N$54='Cronog. e Histog.'!$F$285)*(Tarefas!$BQ$30:$FK$30='Cronog. e Histog.'!$G302)*(Tarefas!$BQ$32:$FK$54)))/SUMIF(Tarefas!$N$32:$N$54,'Cronog. e Histog.'!$F$285,Tarefas!$K$32:$K$54),0)</f>
        <v>0</v>
      </c>
      <c r="I302" s="79">
        <f t="shared" si="645"/>
        <v>0</v>
      </c>
      <c r="J302" s="65"/>
      <c r="K302" s="160">
        <f t="shared" si="646"/>
        <v>0</v>
      </c>
      <c r="L302" s="160">
        <f t="shared" si="650"/>
        <v>0</v>
      </c>
      <c r="M302" s="160">
        <f t="shared" si="650"/>
        <v>0</v>
      </c>
      <c r="N302" s="160">
        <f t="shared" si="650"/>
        <v>0</v>
      </c>
      <c r="O302" s="160">
        <f t="shared" si="650"/>
        <v>0</v>
      </c>
      <c r="P302" s="160">
        <f t="shared" si="650"/>
        <v>0</v>
      </c>
      <c r="Q302" s="160">
        <f t="shared" si="650"/>
        <v>0</v>
      </c>
      <c r="R302" s="160">
        <f t="shared" si="650"/>
        <v>0</v>
      </c>
      <c r="S302" s="160">
        <f t="shared" si="650"/>
        <v>0</v>
      </c>
      <c r="T302" s="160">
        <f t="shared" si="650"/>
        <v>0</v>
      </c>
      <c r="U302" s="160">
        <f t="shared" si="650"/>
        <v>0</v>
      </c>
      <c r="V302" s="160">
        <f t="shared" si="650"/>
        <v>0</v>
      </c>
      <c r="W302" s="160">
        <f t="shared" si="650"/>
        <v>0</v>
      </c>
      <c r="X302" s="160">
        <f t="shared" si="650"/>
        <v>0</v>
      </c>
      <c r="Y302" s="160">
        <f t="shared" si="650"/>
        <v>0</v>
      </c>
      <c r="Z302" s="160">
        <f t="shared" si="650"/>
        <v>0</v>
      </c>
      <c r="AA302" s="160">
        <f t="shared" si="650"/>
        <v>0</v>
      </c>
      <c r="AB302" s="160">
        <f t="shared" si="650"/>
        <v>0</v>
      </c>
      <c r="AC302" s="160">
        <f t="shared" si="650"/>
        <v>0</v>
      </c>
      <c r="AD302" s="160">
        <f t="shared" si="650"/>
        <v>0</v>
      </c>
      <c r="AE302" s="160">
        <f t="shared" si="650"/>
        <v>0</v>
      </c>
      <c r="AF302" s="160">
        <f t="shared" si="650"/>
        <v>0</v>
      </c>
      <c r="AG302" s="160">
        <f t="shared" si="650"/>
        <v>0</v>
      </c>
      <c r="AH302" s="160">
        <f t="shared" si="650"/>
        <v>0</v>
      </c>
      <c r="AI302" s="160">
        <f t="shared" si="650"/>
        <v>0</v>
      </c>
      <c r="AJ302" s="160">
        <f t="shared" si="650"/>
        <v>0</v>
      </c>
      <c r="AK302" s="160">
        <f t="shared" si="650"/>
        <v>0</v>
      </c>
      <c r="AL302" s="160">
        <f t="shared" si="650"/>
        <v>0</v>
      </c>
      <c r="AM302" s="160">
        <f t="shared" si="650"/>
        <v>0</v>
      </c>
      <c r="AN302" s="160">
        <f t="shared" si="650"/>
        <v>0</v>
      </c>
      <c r="AO302" s="160">
        <f t="shared" si="650"/>
        <v>0</v>
      </c>
      <c r="AP302" s="160">
        <f t="shared" si="650"/>
        <v>0</v>
      </c>
      <c r="AQ302" s="160">
        <f t="shared" si="650"/>
        <v>0</v>
      </c>
      <c r="AR302" s="160">
        <f t="shared" si="650"/>
        <v>0</v>
      </c>
      <c r="AS302" s="160">
        <f t="shared" si="650"/>
        <v>0</v>
      </c>
      <c r="AT302" s="160">
        <f t="shared" si="650"/>
        <v>0</v>
      </c>
      <c r="AU302" s="160">
        <f t="shared" si="650"/>
        <v>0</v>
      </c>
      <c r="AV302" s="160">
        <f t="shared" si="650"/>
        <v>0</v>
      </c>
      <c r="AW302" s="160">
        <f t="shared" si="650"/>
        <v>0</v>
      </c>
      <c r="AX302" s="160">
        <f t="shared" si="650"/>
        <v>0</v>
      </c>
      <c r="AY302" s="160">
        <f t="shared" si="650"/>
        <v>0</v>
      </c>
      <c r="AZ302" s="160">
        <f t="shared" si="650"/>
        <v>0</v>
      </c>
      <c r="BA302" s="160">
        <f t="shared" si="650"/>
        <v>0</v>
      </c>
      <c r="BB302" s="160">
        <f t="shared" si="650"/>
        <v>0</v>
      </c>
      <c r="BC302" s="160">
        <f t="shared" si="650"/>
        <v>0</v>
      </c>
      <c r="BD302" s="160">
        <f t="shared" si="650"/>
        <v>0</v>
      </c>
      <c r="BE302" s="160">
        <f t="shared" si="650"/>
        <v>0</v>
      </c>
      <c r="BF302" s="160">
        <f t="shared" si="650"/>
        <v>0</v>
      </c>
      <c r="BG302" s="160">
        <f t="shared" si="650"/>
        <v>0</v>
      </c>
      <c r="BH302" s="160">
        <f t="shared" si="650"/>
        <v>0</v>
      </c>
      <c r="BI302" s="160">
        <f t="shared" si="650"/>
        <v>0</v>
      </c>
      <c r="BJ302" s="160">
        <f t="shared" si="650"/>
        <v>0</v>
      </c>
      <c r="BK302" s="160">
        <f t="shared" si="650"/>
        <v>0</v>
      </c>
      <c r="BL302" s="160">
        <f t="shared" si="650"/>
        <v>0</v>
      </c>
      <c r="BM302" s="160">
        <f t="shared" si="650"/>
        <v>0</v>
      </c>
      <c r="BN302" s="160">
        <f t="shared" si="650"/>
        <v>0</v>
      </c>
      <c r="BO302" s="160">
        <f t="shared" si="650"/>
        <v>0</v>
      </c>
      <c r="BP302" s="160">
        <f t="shared" si="650"/>
        <v>0</v>
      </c>
      <c r="BQ302" s="160">
        <f t="shared" si="650"/>
        <v>0</v>
      </c>
      <c r="BR302" s="160">
        <f t="shared" si="650"/>
        <v>0</v>
      </c>
      <c r="BS302" s="65"/>
      <c r="BT302" s="160">
        <f t="shared" si="580"/>
        <v>0</v>
      </c>
      <c r="BU302" s="160">
        <f t="shared" si="581"/>
        <v>0</v>
      </c>
      <c r="BV302" s="65"/>
      <c r="BW302" s="69"/>
      <c r="BX302" s="65"/>
      <c r="BY302" s="137">
        <f t="shared" si="582"/>
        <v>1</v>
      </c>
      <c r="BZ302" s="137">
        <f>IF(BY302&gt;0,BY302+LARGE($BZ$213:BZ301,1),0)</f>
        <v>78</v>
      </c>
      <c r="CA302" s="137" t="str">
        <f t="shared" si="583"/>
        <v>EST</v>
      </c>
      <c r="CB302" s="161">
        <f t="shared" si="584"/>
        <v>0</v>
      </c>
      <c r="CC302" s="161">
        <f t="shared" si="585"/>
        <v>0</v>
      </c>
      <c r="CD302" s="161">
        <f t="shared" si="586"/>
        <v>0</v>
      </c>
      <c r="CE302" s="161">
        <f t="shared" si="587"/>
        <v>0</v>
      </c>
      <c r="CF302" s="161">
        <f t="shared" si="588"/>
        <v>0</v>
      </c>
      <c r="CG302" s="161">
        <f t="shared" si="589"/>
        <v>0</v>
      </c>
      <c r="CH302" s="161">
        <f t="shared" si="590"/>
        <v>0</v>
      </c>
      <c r="CI302" s="161">
        <f t="shared" si="591"/>
        <v>0</v>
      </c>
      <c r="CJ302" s="161">
        <f t="shared" si="592"/>
        <v>0</v>
      </c>
      <c r="CK302" s="161">
        <f t="shared" si="593"/>
        <v>0</v>
      </c>
      <c r="CL302" s="161">
        <f t="shared" si="594"/>
        <v>0</v>
      </c>
      <c r="CM302" s="161">
        <f t="shared" si="595"/>
        <v>0</v>
      </c>
      <c r="CN302" s="161">
        <f t="shared" si="596"/>
        <v>0</v>
      </c>
      <c r="CO302" s="161">
        <f t="shared" si="597"/>
        <v>0</v>
      </c>
      <c r="CP302" s="161">
        <f t="shared" si="598"/>
        <v>0</v>
      </c>
      <c r="CQ302" s="161">
        <f t="shared" si="599"/>
        <v>0</v>
      </c>
      <c r="CR302" s="161">
        <f t="shared" si="600"/>
        <v>0</v>
      </c>
      <c r="CS302" s="161">
        <f t="shared" si="601"/>
        <v>0</v>
      </c>
      <c r="CT302" s="161">
        <f t="shared" si="602"/>
        <v>0</v>
      </c>
      <c r="CU302" s="161">
        <f t="shared" si="603"/>
        <v>0</v>
      </c>
      <c r="CV302" s="161">
        <f t="shared" si="604"/>
        <v>0</v>
      </c>
      <c r="CW302" s="161">
        <f t="shared" si="605"/>
        <v>0</v>
      </c>
      <c r="CX302" s="161">
        <f t="shared" si="606"/>
        <v>0</v>
      </c>
      <c r="CY302" s="161">
        <f t="shared" si="607"/>
        <v>0</v>
      </c>
      <c r="CZ302" s="161">
        <f t="shared" si="608"/>
        <v>0</v>
      </c>
      <c r="DA302" s="161">
        <f t="shared" si="609"/>
        <v>0</v>
      </c>
      <c r="DB302" s="161">
        <f t="shared" si="610"/>
        <v>0</v>
      </c>
      <c r="DC302" s="161">
        <f t="shared" si="611"/>
        <v>0</v>
      </c>
      <c r="DD302" s="161">
        <f t="shared" si="612"/>
        <v>0</v>
      </c>
      <c r="DE302" s="161">
        <f t="shared" si="613"/>
        <v>0</v>
      </c>
      <c r="DF302" s="161">
        <f t="shared" si="614"/>
        <v>0</v>
      </c>
      <c r="DG302" s="161">
        <f t="shared" si="615"/>
        <v>0</v>
      </c>
      <c r="DH302" s="161">
        <f t="shared" si="616"/>
        <v>0</v>
      </c>
      <c r="DI302" s="161">
        <f t="shared" si="617"/>
        <v>0</v>
      </c>
      <c r="DJ302" s="161">
        <f t="shared" si="618"/>
        <v>0</v>
      </c>
      <c r="DK302" s="161">
        <f t="shared" si="619"/>
        <v>0</v>
      </c>
      <c r="DL302" s="161">
        <f t="shared" si="620"/>
        <v>0</v>
      </c>
      <c r="DM302" s="161">
        <f t="shared" si="621"/>
        <v>0</v>
      </c>
      <c r="DN302" s="161">
        <f t="shared" si="622"/>
        <v>0</v>
      </c>
      <c r="DO302" s="161">
        <f t="shared" si="623"/>
        <v>0</v>
      </c>
      <c r="DP302" s="161">
        <f t="shared" si="624"/>
        <v>0</v>
      </c>
      <c r="DQ302" s="161">
        <f t="shared" si="625"/>
        <v>0</v>
      </c>
      <c r="DR302" s="161">
        <f t="shared" si="626"/>
        <v>0</v>
      </c>
      <c r="DS302" s="161">
        <f t="shared" si="627"/>
        <v>0</v>
      </c>
      <c r="DT302" s="161">
        <f t="shared" si="628"/>
        <v>0</v>
      </c>
      <c r="DU302" s="161">
        <f t="shared" si="629"/>
        <v>0</v>
      </c>
      <c r="DV302" s="161">
        <f t="shared" si="630"/>
        <v>0</v>
      </c>
      <c r="DW302" s="161">
        <f t="shared" si="631"/>
        <v>0</v>
      </c>
      <c r="DX302" s="161">
        <f t="shared" si="632"/>
        <v>0</v>
      </c>
      <c r="DY302" s="161">
        <f t="shared" si="633"/>
        <v>0</v>
      </c>
      <c r="DZ302" s="161">
        <f t="shared" si="634"/>
        <v>0</v>
      </c>
      <c r="EA302" s="161">
        <f t="shared" si="635"/>
        <v>0</v>
      </c>
      <c r="EB302" s="161">
        <f t="shared" si="636"/>
        <v>0</v>
      </c>
      <c r="EC302" s="161">
        <f t="shared" si="637"/>
        <v>0</v>
      </c>
      <c r="ED302" s="161">
        <f t="shared" si="638"/>
        <v>0</v>
      </c>
      <c r="EE302" s="161">
        <f t="shared" si="639"/>
        <v>0</v>
      </c>
      <c r="EF302" s="161">
        <f t="shared" si="640"/>
        <v>0</v>
      </c>
      <c r="EG302" s="161">
        <f t="shared" si="641"/>
        <v>0</v>
      </c>
      <c r="EH302" s="161">
        <f t="shared" si="642"/>
        <v>0</v>
      </c>
      <c r="EI302" s="161">
        <f t="shared" si="643"/>
        <v>0</v>
      </c>
      <c r="EJ302" s="65"/>
      <c r="EK302" s="161">
        <f t="shared" si="647"/>
        <v>0</v>
      </c>
      <c r="EL302" s="161">
        <f t="shared" si="648"/>
        <v>0</v>
      </c>
      <c r="EM302" s="161">
        <f t="shared" si="649"/>
        <v>0</v>
      </c>
    </row>
    <row r="303" spans="1:143" ht="12" hidden="1" customHeight="1" outlineLevel="2">
      <c r="A303" s="77">
        <v>19</v>
      </c>
      <c r="B303" s="137" t="str">
        <f t="shared" si="644"/>
        <v>EST_II - Equipe_01</v>
      </c>
      <c r="C303" s="65"/>
      <c r="D303" s="622"/>
      <c r="E303" s="65"/>
      <c r="F303" s="584"/>
      <c r="G303" s="77" t="str">
        <f>IF(INDEX(Tarefas!$BT$30:$FK$30,MATCH(A303,Tarefas!$BT$28:$FK$28,0))=0,"",INDEX(Tarefas!$BT$30:$FK$30,MATCH(A303,Tarefas!$BT$28:$FK$28,0)))</f>
        <v>EST_II</v>
      </c>
      <c r="H303" s="107" cm="1">
        <f t="array" ref="H303">IFERROR((SUMPRODUCT((Tarefas!$N$32:$N$54='Cronog. e Histog.'!$F$285)*(Tarefas!$BQ$30:$FK$30='Cronog. e Histog.'!$G303)*(Tarefas!$BQ$32:$FK$54)))/SUMIF(Tarefas!$N$32:$N$54,'Cronog. e Histog.'!$F$285,Tarefas!$K$32:$K$54),0)</f>
        <v>0</v>
      </c>
      <c r="I303" s="79">
        <f t="shared" si="645"/>
        <v>0</v>
      </c>
      <c r="J303" s="65"/>
      <c r="K303" s="160">
        <f t="shared" si="646"/>
        <v>0</v>
      </c>
      <c r="L303" s="160">
        <f t="shared" si="650"/>
        <v>0</v>
      </c>
      <c r="M303" s="160">
        <f t="shared" si="650"/>
        <v>0</v>
      </c>
      <c r="N303" s="160">
        <f t="shared" si="650"/>
        <v>0</v>
      </c>
      <c r="O303" s="160">
        <f t="shared" si="650"/>
        <v>0</v>
      </c>
      <c r="P303" s="160">
        <f t="shared" si="650"/>
        <v>0</v>
      </c>
      <c r="Q303" s="160">
        <f t="shared" si="650"/>
        <v>0</v>
      </c>
      <c r="R303" s="160">
        <f t="shared" si="650"/>
        <v>0</v>
      </c>
      <c r="S303" s="160">
        <f t="shared" si="650"/>
        <v>0</v>
      </c>
      <c r="T303" s="160">
        <f t="shared" si="650"/>
        <v>0</v>
      </c>
      <c r="U303" s="160">
        <f t="shared" si="650"/>
        <v>0</v>
      </c>
      <c r="V303" s="160">
        <f t="shared" si="650"/>
        <v>0</v>
      </c>
      <c r="W303" s="160">
        <f t="shared" si="650"/>
        <v>0</v>
      </c>
      <c r="X303" s="160">
        <f t="shared" si="650"/>
        <v>0</v>
      </c>
      <c r="Y303" s="160">
        <f t="shared" si="650"/>
        <v>0</v>
      </c>
      <c r="Z303" s="160">
        <f t="shared" si="650"/>
        <v>0</v>
      </c>
      <c r="AA303" s="160">
        <f t="shared" si="650"/>
        <v>0</v>
      </c>
      <c r="AB303" s="160">
        <f t="shared" si="650"/>
        <v>0</v>
      </c>
      <c r="AC303" s="160">
        <f t="shared" si="650"/>
        <v>0</v>
      </c>
      <c r="AD303" s="160">
        <f t="shared" si="650"/>
        <v>0</v>
      </c>
      <c r="AE303" s="160">
        <f t="shared" si="650"/>
        <v>0</v>
      </c>
      <c r="AF303" s="160">
        <f t="shared" si="650"/>
        <v>0</v>
      </c>
      <c r="AG303" s="160">
        <f t="shared" si="650"/>
        <v>0</v>
      </c>
      <c r="AH303" s="160">
        <f t="shared" si="650"/>
        <v>0</v>
      </c>
      <c r="AI303" s="160">
        <f t="shared" si="650"/>
        <v>0</v>
      </c>
      <c r="AJ303" s="160">
        <f t="shared" si="650"/>
        <v>0</v>
      </c>
      <c r="AK303" s="160">
        <f t="shared" si="650"/>
        <v>0</v>
      </c>
      <c r="AL303" s="160">
        <f t="shared" si="650"/>
        <v>0</v>
      </c>
      <c r="AM303" s="160">
        <f t="shared" si="650"/>
        <v>0</v>
      </c>
      <c r="AN303" s="160">
        <f t="shared" si="650"/>
        <v>0</v>
      </c>
      <c r="AO303" s="160">
        <f t="shared" si="650"/>
        <v>0</v>
      </c>
      <c r="AP303" s="160">
        <f t="shared" si="650"/>
        <v>0</v>
      </c>
      <c r="AQ303" s="160">
        <f t="shared" si="650"/>
        <v>0</v>
      </c>
      <c r="AR303" s="160">
        <f t="shared" si="650"/>
        <v>0</v>
      </c>
      <c r="AS303" s="160">
        <f t="shared" si="650"/>
        <v>0</v>
      </c>
      <c r="AT303" s="160">
        <f t="shared" si="650"/>
        <v>0</v>
      </c>
      <c r="AU303" s="160">
        <f t="shared" si="650"/>
        <v>0</v>
      </c>
      <c r="AV303" s="160">
        <f t="shared" si="650"/>
        <v>0</v>
      </c>
      <c r="AW303" s="160">
        <f t="shared" si="650"/>
        <v>0</v>
      </c>
      <c r="AX303" s="160">
        <f t="shared" si="650"/>
        <v>0</v>
      </c>
      <c r="AY303" s="160">
        <f t="shared" si="650"/>
        <v>0</v>
      </c>
      <c r="AZ303" s="160">
        <f t="shared" si="650"/>
        <v>0</v>
      </c>
      <c r="BA303" s="160">
        <f t="shared" si="650"/>
        <v>0</v>
      </c>
      <c r="BB303" s="160">
        <f t="shared" si="650"/>
        <v>0</v>
      </c>
      <c r="BC303" s="160">
        <f t="shared" si="650"/>
        <v>0</v>
      </c>
      <c r="BD303" s="160">
        <f t="shared" si="650"/>
        <v>0</v>
      </c>
      <c r="BE303" s="160">
        <f t="shared" si="650"/>
        <v>0</v>
      </c>
      <c r="BF303" s="160">
        <f t="shared" si="650"/>
        <v>0</v>
      </c>
      <c r="BG303" s="160">
        <f t="shared" si="650"/>
        <v>0</v>
      </c>
      <c r="BH303" s="160">
        <f t="shared" si="650"/>
        <v>0</v>
      </c>
      <c r="BI303" s="160">
        <f t="shared" si="650"/>
        <v>0</v>
      </c>
      <c r="BJ303" s="160">
        <f t="shared" si="650"/>
        <v>0</v>
      </c>
      <c r="BK303" s="160">
        <f t="shared" si="650"/>
        <v>0</v>
      </c>
      <c r="BL303" s="160">
        <f t="shared" si="650"/>
        <v>0</v>
      </c>
      <c r="BM303" s="160">
        <f t="shared" ref="L303:BR304" si="718">ROUND($I303*BM$186,2)</f>
        <v>0</v>
      </c>
      <c r="BN303" s="160">
        <f t="shared" si="718"/>
        <v>0</v>
      </c>
      <c r="BO303" s="160">
        <f t="shared" si="718"/>
        <v>0</v>
      </c>
      <c r="BP303" s="160">
        <f t="shared" si="718"/>
        <v>0</v>
      </c>
      <c r="BQ303" s="160">
        <f t="shared" si="718"/>
        <v>0</v>
      </c>
      <c r="BR303" s="160">
        <f t="shared" si="718"/>
        <v>0</v>
      </c>
      <c r="BS303" s="65"/>
      <c r="BT303" s="160">
        <f t="shared" si="580"/>
        <v>0</v>
      </c>
      <c r="BU303" s="160">
        <f t="shared" si="581"/>
        <v>0</v>
      </c>
      <c r="BV303" s="65"/>
      <c r="BW303" s="69"/>
      <c r="BX303" s="65"/>
      <c r="BY303" s="137">
        <f t="shared" si="582"/>
        <v>1</v>
      </c>
      <c r="BZ303" s="137">
        <f>IF(BY303&gt;0,BY303+LARGE($BZ$213:BZ302,1),0)</f>
        <v>79</v>
      </c>
      <c r="CA303" s="137" t="str">
        <f t="shared" si="583"/>
        <v>EST_II</v>
      </c>
      <c r="CB303" s="161">
        <f t="shared" si="584"/>
        <v>0</v>
      </c>
      <c r="CC303" s="161">
        <f t="shared" si="585"/>
        <v>0</v>
      </c>
      <c r="CD303" s="161">
        <f t="shared" si="586"/>
        <v>0</v>
      </c>
      <c r="CE303" s="161">
        <f t="shared" si="587"/>
        <v>0</v>
      </c>
      <c r="CF303" s="161">
        <f t="shared" si="588"/>
        <v>0</v>
      </c>
      <c r="CG303" s="161">
        <f t="shared" si="589"/>
        <v>0</v>
      </c>
      <c r="CH303" s="161">
        <f t="shared" si="590"/>
        <v>0</v>
      </c>
      <c r="CI303" s="161">
        <f t="shared" si="591"/>
        <v>0</v>
      </c>
      <c r="CJ303" s="161">
        <f t="shared" si="592"/>
        <v>0</v>
      </c>
      <c r="CK303" s="161">
        <f t="shared" si="593"/>
        <v>0</v>
      </c>
      <c r="CL303" s="161">
        <f t="shared" si="594"/>
        <v>0</v>
      </c>
      <c r="CM303" s="161">
        <f t="shared" si="595"/>
        <v>0</v>
      </c>
      <c r="CN303" s="161">
        <f t="shared" si="596"/>
        <v>0</v>
      </c>
      <c r="CO303" s="161">
        <f t="shared" si="597"/>
        <v>0</v>
      </c>
      <c r="CP303" s="161">
        <f t="shared" si="598"/>
        <v>0</v>
      </c>
      <c r="CQ303" s="161">
        <f t="shared" si="599"/>
        <v>0</v>
      </c>
      <c r="CR303" s="161">
        <f t="shared" si="600"/>
        <v>0</v>
      </c>
      <c r="CS303" s="161">
        <f t="shared" si="601"/>
        <v>0</v>
      </c>
      <c r="CT303" s="161">
        <f t="shared" si="602"/>
        <v>0</v>
      </c>
      <c r="CU303" s="161">
        <f t="shared" si="603"/>
        <v>0</v>
      </c>
      <c r="CV303" s="161">
        <f t="shared" si="604"/>
        <v>0</v>
      </c>
      <c r="CW303" s="161">
        <f t="shared" si="605"/>
        <v>0</v>
      </c>
      <c r="CX303" s="161">
        <f t="shared" si="606"/>
        <v>0</v>
      </c>
      <c r="CY303" s="161">
        <f t="shared" si="607"/>
        <v>0</v>
      </c>
      <c r="CZ303" s="161">
        <f t="shared" si="608"/>
        <v>0</v>
      </c>
      <c r="DA303" s="161">
        <f t="shared" si="609"/>
        <v>0</v>
      </c>
      <c r="DB303" s="161">
        <f t="shared" si="610"/>
        <v>0</v>
      </c>
      <c r="DC303" s="161">
        <f t="shared" si="611"/>
        <v>0</v>
      </c>
      <c r="DD303" s="161">
        <f t="shared" si="612"/>
        <v>0</v>
      </c>
      <c r="DE303" s="161">
        <f t="shared" si="613"/>
        <v>0</v>
      </c>
      <c r="DF303" s="161">
        <f t="shared" si="614"/>
        <v>0</v>
      </c>
      <c r="DG303" s="161">
        <f t="shared" si="615"/>
        <v>0</v>
      </c>
      <c r="DH303" s="161">
        <f t="shared" si="616"/>
        <v>0</v>
      </c>
      <c r="DI303" s="161">
        <f t="shared" si="617"/>
        <v>0</v>
      </c>
      <c r="DJ303" s="161">
        <f t="shared" si="618"/>
        <v>0</v>
      </c>
      <c r="DK303" s="161">
        <f t="shared" si="619"/>
        <v>0</v>
      </c>
      <c r="DL303" s="161">
        <f t="shared" si="620"/>
        <v>0</v>
      </c>
      <c r="DM303" s="161">
        <f t="shared" si="621"/>
        <v>0</v>
      </c>
      <c r="DN303" s="161">
        <f t="shared" si="622"/>
        <v>0</v>
      </c>
      <c r="DO303" s="161">
        <f t="shared" si="623"/>
        <v>0</v>
      </c>
      <c r="DP303" s="161">
        <f t="shared" si="624"/>
        <v>0</v>
      </c>
      <c r="DQ303" s="161">
        <f t="shared" si="625"/>
        <v>0</v>
      </c>
      <c r="DR303" s="161">
        <f t="shared" si="626"/>
        <v>0</v>
      </c>
      <c r="DS303" s="161">
        <f t="shared" si="627"/>
        <v>0</v>
      </c>
      <c r="DT303" s="161">
        <f t="shared" si="628"/>
        <v>0</v>
      </c>
      <c r="DU303" s="161">
        <f t="shared" si="629"/>
        <v>0</v>
      </c>
      <c r="DV303" s="161">
        <f t="shared" si="630"/>
        <v>0</v>
      </c>
      <c r="DW303" s="161">
        <f t="shared" si="631"/>
        <v>0</v>
      </c>
      <c r="DX303" s="161">
        <f t="shared" si="632"/>
        <v>0</v>
      </c>
      <c r="DY303" s="161">
        <f t="shared" si="633"/>
        <v>0</v>
      </c>
      <c r="DZ303" s="161">
        <f t="shared" si="634"/>
        <v>0</v>
      </c>
      <c r="EA303" s="161">
        <f t="shared" si="635"/>
        <v>0</v>
      </c>
      <c r="EB303" s="161">
        <f t="shared" si="636"/>
        <v>0</v>
      </c>
      <c r="EC303" s="161">
        <f t="shared" si="637"/>
        <v>0</v>
      </c>
      <c r="ED303" s="161">
        <f t="shared" si="638"/>
        <v>0</v>
      </c>
      <c r="EE303" s="161">
        <f t="shared" si="639"/>
        <v>0</v>
      </c>
      <c r="EF303" s="161">
        <f t="shared" si="640"/>
        <v>0</v>
      </c>
      <c r="EG303" s="161">
        <f t="shared" si="641"/>
        <v>0</v>
      </c>
      <c r="EH303" s="161">
        <f t="shared" si="642"/>
        <v>0</v>
      </c>
      <c r="EI303" s="161">
        <f t="shared" si="643"/>
        <v>0</v>
      </c>
      <c r="EJ303" s="65"/>
      <c r="EK303" s="161">
        <f t="shared" si="647"/>
        <v>0</v>
      </c>
      <c r="EL303" s="161">
        <f t="shared" si="648"/>
        <v>0</v>
      </c>
      <c r="EM303" s="161">
        <f t="shared" si="649"/>
        <v>0</v>
      </c>
    </row>
    <row r="304" spans="1:143" ht="12" hidden="1" customHeight="1" outlineLevel="2">
      <c r="A304" s="77">
        <v>20</v>
      </c>
      <c r="B304" s="137" t="str">
        <f t="shared" si="644"/>
        <v>EST_III - Equipe_01</v>
      </c>
      <c r="C304" s="65"/>
      <c r="D304" s="623"/>
      <c r="E304" s="65"/>
      <c r="F304" s="584"/>
      <c r="G304" s="77" t="str">
        <f>IF(INDEX(Tarefas!$BT$30:$FK$30,MATCH(A304,Tarefas!$BT$28:$FK$28,0))=0,"",INDEX(Tarefas!$BT$30:$FK$30,MATCH(A304,Tarefas!$BT$28:$FK$28,0)))</f>
        <v>EST_III</v>
      </c>
      <c r="H304" s="107" cm="1">
        <f t="array" ref="H304">IFERROR((SUMPRODUCT((Tarefas!$N$32:$N$54='Cronog. e Histog.'!$F$285)*(Tarefas!$BQ$30:$FK$30='Cronog. e Histog.'!$G304)*(Tarefas!$BQ$32:$FK$54)))/SUMIF(Tarefas!$N$32:$N$54,'Cronog. e Histog.'!$F$285,Tarefas!$K$32:$K$54),0)</f>
        <v>0</v>
      </c>
      <c r="I304" s="79">
        <f t="shared" si="645"/>
        <v>0</v>
      </c>
      <c r="J304" s="65"/>
      <c r="K304" s="160">
        <f t="shared" si="646"/>
        <v>0</v>
      </c>
      <c r="L304" s="160">
        <f t="shared" si="718"/>
        <v>0</v>
      </c>
      <c r="M304" s="160">
        <f t="shared" si="718"/>
        <v>0</v>
      </c>
      <c r="N304" s="160">
        <f t="shared" si="718"/>
        <v>0</v>
      </c>
      <c r="O304" s="160">
        <f t="shared" si="718"/>
        <v>0</v>
      </c>
      <c r="P304" s="160">
        <f t="shared" si="718"/>
        <v>0</v>
      </c>
      <c r="Q304" s="160">
        <f t="shared" si="718"/>
        <v>0</v>
      </c>
      <c r="R304" s="160">
        <f t="shared" si="718"/>
        <v>0</v>
      </c>
      <c r="S304" s="160">
        <f t="shared" si="718"/>
        <v>0</v>
      </c>
      <c r="T304" s="160">
        <f t="shared" si="718"/>
        <v>0</v>
      </c>
      <c r="U304" s="160">
        <f t="shared" si="718"/>
        <v>0</v>
      </c>
      <c r="V304" s="160">
        <f t="shared" si="718"/>
        <v>0</v>
      </c>
      <c r="W304" s="160">
        <f t="shared" si="718"/>
        <v>0</v>
      </c>
      <c r="X304" s="160">
        <f t="shared" si="718"/>
        <v>0</v>
      </c>
      <c r="Y304" s="160">
        <f t="shared" si="718"/>
        <v>0</v>
      </c>
      <c r="Z304" s="160">
        <f t="shared" si="718"/>
        <v>0</v>
      </c>
      <c r="AA304" s="160">
        <f t="shared" si="718"/>
        <v>0</v>
      </c>
      <c r="AB304" s="160">
        <f t="shared" si="718"/>
        <v>0</v>
      </c>
      <c r="AC304" s="160">
        <f t="shared" si="718"/>
        <v>0</v>
      </c>
      <c r="AD304" s="160">
        <f t="shared" si="718"/>
        <v>0</v>
      </c>
      <c r="AE304" s="160">
        <f t="shared" si="718"/>
        <v>0</v>
      </c>
      <c r="AF304" s="160">
        <f t="shared" si="718"/>
        <v>0</v>
      </c>
      <c r="AG304" s="160">
        <f t="shared" si="718"/>
        <v>0</v>
      </c>
      <c r="AH304" s="160">
        <f t="shared" si="718"/>
        <v>0</v>
      </c>
      <c r="AI304" s="160">
        <f t="shared" si="718"/>
        <v>0</v>
      </c>
      <c r="AJ304" s="160">
        <f t="shared" si="718"/>
        <v>0</v>
      </c>
      <c r="AK304" s="160">
        <f t="shared" si="718"/>
        <v>0</v>
      </c>
      <c r="AL304" s="160">
        <f t="shared" si="718"/>
        <v>0</v>
      </c>
      <c r="AM304" s="160">
        <f t="shared" si="718"/>
        <v>0</v>
      </c>
      <c r="AN304" s="160">
        <f t="shared" si="718"/>
        <v>0</v>
      </c>
      <c r="AO304" s="160">
        <f t="shared" si="718"/>
        <v>0</v>
      </c>
      <c r="AP304" s="160">
        <f t="shared" si="718"/>
        <v>0</v>
      </c>
      <c r="AQ304" s="160">
        <f t="shared" si="718"/>
        <v>0</v>
      </c>
      <c r="AR304" s="160">
        <f t="shared" si="718"/>
        <v>0</v>
      </c>
      <c r="AS304" s="160">
        <f t="shared" si="718"/>
        <v>0</v>
      </c>
      <c r="AT304" s="160">
        <f t="shared" si="718"/>
        <v>0</v>
      </c>
      <c r="AU304" s="160">
        <f t="shared" si="718"/>
        <v>0</v>
      </c>
      <c r="AV304" s="160">
        <f t="shared" si="718"/>
        <v>0</v>
      </c>
      <c r="AW304" s="160">
        <f t="shared" si="718"/>
        <v>0</v>
      </c>
      <c r="AX304" s="160">
        <f t="shared" si="718"/>
        <v>0</v>
      </c>
      <c r="AY304" s="160">
        <f t="shared" si="718"/>
        <v>0</v>
      </c>
      <c r="AZ304" s="160">
        <f t="shared" si="718"/>
        <v>0</v>
      </c>
      <c r="BA304" s="160">
        <f t="shared" si="718"/>
        <v>0</v>
      </c>
      <c r="BB304" s="160">
        <f t="shared" si="718"/>
        <v>0</v>
      </c>
      <c r="BC304" s="160">
        <f t="shared" si="718"/>
        <v>0</v>
      </c>
      <c r="BD304" s="160">
        <f t="shared" si="718"/>
        <v>0</v>
      </c>
      <c r="BE304" s="160">
        <f t="shared" si="718"/>
        <v>0</v>
      </c>
      <c r="BF304" s="160">
        <f t="shared" si="718"/>
        <v>0</v>
      </c>
      <c r="BG304" s="160">
        <f t="shared" si="718"/>
        <v>0</v>
      </c>
      <c r="BH304" s="160">
        <f t="shared" si="718"/>
        <v>0</v>
      </c>
      <c r="BI304" s="160">
        <f t="shared" si="718"/>
        <v>0</v>
      </c>
      <c r="BJ304" s="160">
        <f t="shared" si="718"/>
        <v>0</v>
      </c>
      <c r="BK304" s="160">
        <f t="shared" si="718"/>
        <v>0</v>
      </c>
      <c r="BL304" s="160">
        <f t="shared" si="718"/>
        <v>0</v>
      </c>
      <c r="BM304" s="160">
        <f t="shared" si="718"/>
        <v>0</v>
      </c>
      <c r="BN304" s="160">
        <f t="shared" si="718"/>
        <v>0</v>
      </c>
      <c r="BO304" s="160">
        <f t="shared" si="718"/>
        <v>0</v>
      </c>
      <c r="BP304" s="160">
        <f t="shared" si="718"/>
        <v>0</v>
      </c>
      <c r="BQ304" s="160">
        <f t="shared" si="718"/>
        <v>0</v>
      </c>
      <c r="BR304" s="160">
        <f t="shared" si="718"/>
        <v>0</v>
      </c>
      <c r="BS304" s="65"/>
      <c r="BT304" s="160">
        <f t="shared" si="580"/>
        <v>0</v>
      </c>
      <c r="BU304" s="160">
        <f t="shared" si="581"/>
        <v>0</v>
      </c>
      <c r="BV304" s="65"/>
      <c r="BW304" s="69"/>
      <c r="BX304" s="65"/>
      <c r="BY304" s="137">
        <f t="shared" si="582"/>
        <v>1</v>
      </c>
      <c r="BZ304" s="137">
        <f>IF(BY304&gt;0,BY304+LARGE($BZ$213:BZ303,1),0)</f>
        <v>80</v>
      </c>
      <c r="CA304" s="137" t="str">
        <f t="shared" si="583"/>
        <v>EST_III</v>
      </c>
      <c r="CB304" s="161">
        <f t="shared" si="584"/>
        <v>0</v>
      </c>
      <c r="CC304" s="161">
        <f t="shared" si="585"/>
        <v>0</v>
      </c>
      <c r="CD304" s="161">
        <f t="shared" si="586"/>
        <v>0</v>
      </c>
      <c r="CE304" s="161">
        <f t="shared" si="587"/>
        <v>0</v>
      </c>
      <c r="CF304" s="161">
        <f t="shared" si="588"/>
        <v>0</v>
      </c>
      <c r="CG304" s="161">
        <f t="shared" si="589"/>
        <v>0</v>
      </c>
      <c r="CH304" s="161">
        <f t="shared" si="590"/>
        <v>0</v>
      </c>
      <c r="CI304" s="161">
        <f t="shared" si="591"/>
        <v>0</v>
      </c>
      <c r="CJ304" s="161">
        <f t="shared" si="592"/>
        <v>0</v>
      </c>
      <c r="CK304" s="161">
        <f t="shared" si="593"/>
        <v>0</v>
      </c>
      <c r="CL304" s="161">
        <f t="shared" si="594"/>
        <v>0</v>
      </c>
      <c r="CM304" s="161">
        <f t="shared" si="595"/>
        <v>0</v>
      </c>
      <c r="CN304" s="161">
        <f t="shared" si="596"/>
        <v>0</v>
      </c>
      <c r="CO304" s="161">
        <f t="shared" si="597"/>
        <v>0</v>
      </c>
      <c r="CP304" s="161">
        <f t="shared" si="598"/>
        <v>0</v>
      </c>
      <c r="CQ304" s="161">
        <f t="shared" si="599"/>
        <v>0</v>
      </c>
      <c r="CR304" s="161">
        <f t="shared" si="600"/>
        <v>0</v>
      </c>
      <c r="CS304" s="161">
        <f t="shared" si="601"/>
        <v>0</v>
      </c>
      <c r="CT304" s="161">
        <f t="shared" si="602"/>
        <v>0</v>
      </c>
      <c r="CU304" s="161">
        <f t="shared" si="603"/>
        <v>0</v>
      </c>
      <c r="CV304" s="161">
        <f t="shared" si="604"/>
        <v>0</v>
      </c>
      <c r="CW304" s="161">
        <f t="shared" si="605"/>
        <v>0</v>
      </c>
      <c r="CX304" s="161">
        <f t="shared" si="606"/>
        <v>0</v>
      </c>
      <c r="CY304" s="161">
        <f t="shared" si="607"/>
        <v>0</v>
      </c>
      <c r="CZ304" s="161">
        <f t="shared" si="608"/>
        <v>0</v>
      </c>
      <c r="DA304" s="161">
        <f t="shared" si="609"/>
        <v>0</v>
      </c>
      <c r="DB304" s="161">
        <f t="shared" si="610"/>
        <v>0</v>
      </c>
      <c r="DC304" s="161">
        <f t="shared" si="611"/>
        <v>0</v>
      </c>
      <c r="DD304" s="161">
        <f t="shared" si="612"/>
        <v>0</v>
      </c>
      <c r="DE304" s="161">
        <f t="shared" si="613"/>
        <v>0</v>
      </c>
      <c r="DF304" s="161">
        <f t="shared" si="614"/>
        <v>0</v>
      </c>
      <c r="DG304" s="161">
        <f t="shared" si="615"/>
        <v>0</v>
      </c>
      <c r="DH304" s="161">
        <f t="shared" si="616"/>
        <v>0</v>
      </c>
      <c r="DI304" s="161">
        <f t="shared" si="617"/>
        <v>0</v>
      </c>
      <c r="DJ304" s="161">
        <f t="shared" si="618"/>
        <v>0</v>
      </c>
      <c r="DK304" s="161">
        <f t="shared" si="619"/>
        <v>0</v>
      </c>
      <c r="DL304" s="161">
        <f t="shared" si="620"/>
        <v>0</v>
      </c>
      <c r="DM304" s="161">
        <f t="shared" si="621"/>
        <v>0</v>
      </c>
      <c r="DN304" s="161">
        <f t="shared" si="622"/>
        <v>0</v>
      </c>
      <c r="DO304" s="161">
        <f t="shared" si="623"/>
        <v>0</v>
      </c>
      <c r="DP304" s="161">
        <f t="shared" si="624"/>
        <v>0</v>
      </c>
      <c r="DQ304" s="161">
        <f t="shared" si="625"/>
        <v>0</v>
      </c>
      <c r="DR304" s="161">
        <f t="shared" si="626"/>
        <v>0</v>
      </c>
      <c r="DS304" s="161">
        <f t="shared" si="627"/>
        <v>0</v>
      </c>
      <c r="DT304" s="161">
        <f t="shared" si="628"/>
        <v>0</v>
      </c>
      <c r="DU304" s="161">
        <f t="shared" si="629"/>
        <v>0</v>
      </c>
      <c r="DV304" s="161">
        <f t="shared" si="630"/>
        <v>0</v>
      </c>
      <c r="DW304" s="161">
        <f t="shared" si="631"/>
        <v>0</v>
      </c>
      <c r="DX304" s="161">
        <f t="shared" si="632"/>
        <v>0</v>
      </c>
      <c r="DY304" s="161">
        <f t="shared" si="633"/>
        <v>0</v>
      </c>
      <c r="DZ304" s="161">
        <f t="shared" si="634"/>
        <v>0</v>
      </c>
      <c r="EA304" s="161">
        <f t="shared" si="635"/>
        <v>0</v>
      </c>
      <c r="EB304" s="161">
        <f t="shared" si="636"/>
        <v>0</v>
      </c>
      <c r="EC304" s="161">
        <f t="shared" si="637"/>
        <v>0</v>
      </c>
      <c r="ED304" s="161">
        <f t="shared" si="638"/>
        <v>0</v>
      </c>
      <c r="EE304" s="161">
        <f t="shared" si="639"/>
        <v>0</v>
      </c>
      <c r="EF304" s="161">
        <f t="shared" si="640"/>
        <v>0</v>
      </c>
      <c r="EG304" s="161">
        <f t="shared" si="641"/>
        <v>0</v>
      </c>
      <c r="EH304" s="161">
        <f t="shared" si="642"/>
        <v>0</v>
      </c>
      <c r="EI304" s="161">
        <f t="shared" si="643"/>
        <v>0</v>
      </c>
      <c r="EJ304" s="65"/>
      <c r="EK304" s="161">
        <f t="shared" si="647"/>
        <v>0</v>
      </c>
      <c r="EL304" s="161">
        <f t="shared" si="648"/>
        <v>0</v>
      </c>
      <c r="EM304" s="161">
        <f t="shared" si="649"/>
        <v>0</v>
      </c>
    </row>
    <row r="305" spans="1:143" ht="12" hidden="1" customHeight="1" outlineLevel="1">
      <c r="B305" s="65"/>
      <c r="C305" s="65"/>
      <c r="D305" s="65"/>
      <c r="E305" s="65"/>
      <c r="F305" s="73" t="s">
        <v>380</v>
      </c>
      <c r="G305" s="162" t="str">
        <f>"Pico = "&amp;MAX(K305:BR305)</f>
        <v>Pico = 0,3</v>
      </c>
      <c r="H305" s="163">
        <f>SUM(H285:H304)</f>
        <v>1</v>
      </c>
      <c r="I305" s="148">
        <f>SUM(I285:I304)</f>
        <v>1</v>
      </c>
      <c r="J305" s="65"/>
      <c r="K305" s="146">
        <f>SUM(K285:K304)</f>
        <v>0.3</v>
      </c>
      <c r="L305" s="146">
        <f t="shared" ref="L305:BR305" si="719">SUM(L285:L304)</f>
        <v>0.3</v>
      </c>
      <c r="M305" s="146">
        <f t="shared" si="719"/>
        <v>0.3</v>
      </c>
      <c r="N305" s="146">
        <f t="shared" si="719"/>
        <v>0.3</v>
      </c>
      <c r="O305" s="146">
        <f t="shared" si="719"/>
        <v>0.3</v>
      </c>
      <c r="P305" s="146">
        <f t="shared" si="719"/>
        <v>0.3</v>
      </c>
      <c r="Q305" s="146">
        <f t="shared" si="719"/>
        <v>0.3</v>
      </c>
      <c r="R305" s="146">
        <f t="shared" si="719"/>
        <v>0.3</v>
      </c>
      <c r="S305" s="146">
        <f t="shared" si="719"/>
        <v>0.3</v>
      </c>
      <c r="T305" s="146">
        <f t="shared" si="719"/>
        <v>0.3</v>
      </c>
      <c r="U305" s="146">
        <f t="shared" si="719"/>
        <v>0</v>
      </c>
      <c r="V305" s="146">
        <f t="shared" si="719"/>
        <v>0</v>
      </c>
      <c r="W305" s="146">
        <f t="shared" si="719"/>
        <v>0</v>
      </c>
      <c r="X305" s="146">
        <f t="shared" si="719"/>
        <v>0</v>
      </c>
      <c r="Y305" s="146">
        <f t="shared" si="719"/>
        <v>0</v>
      </c>
      <c r="Z305" s="146">
        <f t="shared" si="719"/>
        <v>0</v>
      </c>
      <c r="AA305" s="146">
        <f t="shared" si="719"/>
        <v>0</v>
      </c>
      <c r="AB305" s="146">
        <f t="shared" si="719"/>
        <v>0</v>
      </c>
      <c r="AC305" s="146">
        <f t="shared" si="719"/>
        <v>0</v>
      </c>
      <c r="AD305" s="146">
        <f t="shared" si="719"/>
        <v>0</v>
      </c>
      <c r="AE305" s="146">
        <f t="shared" si="719"/>
        <v>0</v>
      </c>
      <c r="AF305" s="146">
        <f t="shared" si="719"/>
        <v>0</v>
      </c>
      <c r="AG305" s="146">
        <f t="shared" si="719"/>
        <v>0</v>
      </c>
      <c r="AH305" s="146">
        <f t="shared" si="719"/>
        <v>0</v>
      </c>
      <c r="AI305" s="146">
        <f t="shared" si="719"/>
        <v>0</v>
      </c>
      <c r="AJ305" s="146">
        <f t="shared" si="719"/>
        <v>0</v>
      </c>
      <c r="AK305" s="146">
        <f t="shared" si="719"/>
        <v>0</v>
      </c>
      <c r="AL305" s="146">
        <f t="shared" si="719"/>
        <v>0</v>
      </c>
      <c r="AM305" s="146">
        <f t="shared" si="719"/>
        <v>0</v>
      </c>
      <c r="AN305" s="146">
        <f t="shared" si="719"/>
        <v>0</v>
      </c>
      <c r="AO305" s="146">
        <f t="shared" si="719"/>
        <v>0</v>
      </c>
      <c r="AP305" s="146">
        <f t="shared" si="719"/>
        <v>0</v>
      </c>
      <c r="AQ305" s="146">
        <f t="shared" si="719"/>
        <v>0</v>
      </c>
      <c r="AR305" s="146">
        <f t="shared" si="719"/>
        <v>0</v>
      </c>
      <c r="AS305" s="146">
        <f t="shared" si="719"/>
        <v>0</v>
      </c>
      <c r="AT305" s="146">
        <f t="shared" si="719"/>
        <v>0</v>
      </c>
      <c r="AU305" s="146">
        <f t="shared" si="719"/>
        <v>0</v>
      </c>
      <c r="AV305" s="146">
        <f t="shared" si="719"/>
        <v>0</v>
      </c>
      <c r="AW305" s="146">
        <f t="shared" si="719"/>
        <v>0</v>
      </c>
      <c r="AX305" s="146">
        <f t="shared" si="719"/>
        <v>0</v>
      </c>
      <c r="AY305" s="146">
        <f t="shared" si="719"/>
        <v>0</v>
      </c>
      <c r="AZ305" s="146">
        <f t="shared" si="719"/>
        <v>0</v>
      </c>
      <c r="BA305" s="146">
        <f t="shared" si="719"/>
        <v>0</v>
      </c>
      <c r="BB305" s="146">
        <f t="shared" si="719"/>
        <v>0</v>
      </c>
      <c r="BC305" s="146">
        <f t="shared" si="719"/>
        <v>0</v>
      </c>
      <c r="BD305" s="146">
        <f t="shared" si="719"/>
        <v>0</v>
      </c>
      <c r="BE305" s="146">
        <f t="shared" si="719"/>
        <v>0</v>
      </c>
      <c r="BF305" s="146">
        <f t="shared" si="719"/>
        <v>0</v>
      </c>
      <c r="BG305" s="146">
        <f t="shared" si="719"/>
        <v>0</v>
      </c>
      <c r="BH305" s="146">
        <f t="shared" si="719"/>
        <v>0</v>
      </c>
      <c r="BI305" s="146">
        <f t="shared" si="719"/>
        <v>0</v>
      </c>
      <c r="BJ305" s="146">
        <f t="shared" si="719"/>
        <v>0</v>
      </c>
      <c r="BK305" s="146">
        <f t="shared" si="719"/>
        <v>0</v>
      </c>
      <c r="BL305" s="146">
        <f t="shared" si="719"/>
        <v>0</v>
      </c>
      <c r="BM305" s="146">
        <f t="shared" si="719"/>
        <v>0</v>
      </c>
      <c r="BN305" s="146">
        <f t="shared" si="719"/>
        <v>0</v>
      </c>
      <c r="BO305" s="146">
        <f t="shared" si="719"/>
        <v>0</v>
      </c>
      <c r="BP305" s="146">
        <f t="shared" si="719"/>
        <v>0</v>
      </c>
      <c r="BQ305" s="146">
        <f t="shared" si="719"/>
        <v>0</v>
      </c>
      <c r="BR305" s="146">
        <f t="shared" si="719"/>
        <v>0</v>
      </c>
      <c r="BS305" s="65"/>
      <c r="BT305" s="146">
        <f t="shared" ref="BT305" si="720">SUM(BT285:BT304)</f>
        <v>0.29999999999999993</v>
      </c>
      <c r="BU305" s="65"/>
      <c r="BV305" s="65"/>
      <c r="BW305" s="69"/>
      <c r="BX305" s="65"/>
      <c r="BY305" s="65"/>
      <c r="BZ305" s="65"/>
      <c r="CA305" s="65"/>
      <c r="CB305" s="65"/>
      <c r="CC305" s="65"/>
      <c r="CD305" s="65"/>
      <c r="CE305" s="65"/>
      <c r="CF305" s="65"/>
      <c r="CG305" s="65"/>
      <c r="CH305" s="65"/>
      <c r="CI305" s="65"/>
      <c r="CJ305" s="65"/>
      <c r="CK305" s="65"/>
      <c r="CL305" s="65"/>
      <c r="CM305" s="65"/>
      <c r="CN305" s="65"/>
      <c r="CO305" s="65"/>
      <c r="CP305" s="65"/>
      <c r="CQ305" s="65"/>
      <c r="CR305" s="65"/>
      <c r="CS305" s="65"/>
      <c r="CT305" s="65"/>
      <c r="CU305" s="65"/>
      <c r="CV305" s="65"/>
      <c r="CW305" s="65"/>
      <c r="CX305" s="65"/>
      <c r="CY305" s="65"/>
      <c r="CZ305" s="65"/>
      <c r="DA305" s="65"/>
      <c r="DB305" s="65"/>
      <c r="DC305" s="65"/>
      <c r="DD305" s="65"/>
      <c r="DE305" s="65"/>
      <c r="DF305" s="65"/>
      <c r="DG305" s="65"/>
      <c r="DH305" s="65"/>
      <c r="DI305" s="65"/>
      <c r="DJ305" s="65"/>
      <c r="DK305" s="65"/>
      <c r="DL305" s="65"/>
      <c r="DM305" s="65"/>
      <c r="DN305" s="65"/>
      <c r="DO305" s="65"/>
      <c r="DP305" s="65"/>
      <c r="DQ305" s="65"/>
      <c r="DR305" s="65"/>
      <c r="DS305" s="65"/>
      <c r="DT305" s="65"/>
      <c r="DU305" s="65"/>
      <c r="DV305" s="65"/>
      <c r="DW305" s="65"/>
      <c r="DX305" s="65"/>
      <c r="DY305" s="65"/>
      <c r="DZ305" s="65"/>
      <c r="EA305" s="65"/>
      <c r="EB305" s="65"/>
      <c r="EC305" s="65"/>
      <c r="ED305" s="65"/>
      <c r="EE305" s="65"/>
      <c r="EF305" s="65"/>
      <c r="EG305" s="65"/>
      <c r="EH305" s="65"/>
      <c r="EI305" s="65"/>
      <c r="EJ305" s="65"/>
      <c r="EK305" s="65"/>
      <c r="EL305" s="65"/>
      <c r="EM305" s="65"/>
    </row>
    <row r="306" spans="1:143" ht="12" hidden="1" customHeight="1" outlineLevel="1"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  <c r="AW306" s="65"/>
      <c r="AX306" s="65"/>
      <c r="AY306" s="65"/>
      <c r="AZ306" s="65"/>
      <c r="BA306" s="65"/>
      <c r="BB306" s="65"/>
      <c r="BC306" s="65"/>
      <c r="BD306" s="65"/>
      <c r="BE306" s="65"/>
      <c r="BF306" s="65"/>
      <c r="BG306" s="65"/>
      <c r="BH306" s="65"/>
      <c r="BI306" s="65"/>
      <c r="BJ306" s="65"/>
      <c r="BK306" s="65"/>
      <c r="BL306" s="65"/>
      <c r="BM306" s="65"/>
      <c r="BN306" s="65"/>
      <c r="BO306" s="65"/>
      <c r="BP306" s="65"/>
      <c r="BQ306" s="65"/>
      <c r="BR306" s="65"/>
      <c r="BS306" s="65"/>
      <c r="BT306" s="65"/>
      <c r="BU306" s="65"/>
      <c r="BV306" s="65"/>
      <c r="BW306" s="69"/>
      <c r="BX306" s="65"/>
      <c r="BY306" s="65"/>
      <c r="BZ306" s="65"/>
      <c r="CA306" s="65"/>
      <c r="CB306" s="65"/>
      <c r="CC306" s="65"/>
      <c r="CD306" s="65"/>
      <c r="CE306" s="65"/>
      <c r="CF306" s="65"/>
      <c r="CG306" s="65"/>
      <c r="CH306" s="65"/>
      <c r="CI306" s="65"/>
      <c r="CJ306" s="65"/>
      <c r="CK306" s="65"/>
      <c r="CL306" s="65"/>
      <c r="CM306" s="65"/>
      <c r="CN306" s="65"/>
      <c r="CO306" s="65"/>
      <c r="CP306" s="65"/>
      <c r="CQ306" s="65"/>
      <c r="CR306" s="65"/>
      <c r="CS306" s="65"/>
      <c r="CT306" s="65"/>
      <c r="CU306" s="65"/>
      <c r="CV306" s="65"/>
      <c r="CW306" s="65"/>
      <c r="CX306" s="65"/>
      <c r="CY306" s="65"/>
      <c r="CZ306" s="65"/>
      <c r="DA306" s="65"/>
      <c r="DB306" s="65"/>
      <c r="DC306" s="65"/>
      <c r="DD306" s="65"/>
      <c r="DE306" s="65"/>
      <c r="DF306" s="65"/>
      <c r="DG306" s="65"/>
      <c r="DH306" s="65"/>
      <c r="DI306" s="65"/>
      <c r="DJ306" s="65"/>
      <c r="DK306" s="65"/>
      <c r="DL306" s="65"/>
      <c r="DM306" s="65"/>
      <c r="DN306" s="65"/>
      <c r="DO306" s="65"/>
      <c r="DP306" s="65"/>
      <c r="DQ306" s="65"/>
      <c r="DR306" s="65"/>
      <c r="DS306" s="65"/>
      <c r="DT306" s="65"/>
      <c r="DU306" s="65"/>
      <c r="DV306" s="65"/>
      <c r="DW306" s="65"/>
      <c r="DX306" s="65"/>
      <c r="DY306" s="65"/>
      <c r="DZ306" s="65"/>
      <c r="EA306" s="65"/>
      <c r="EB306" s="65"/>
      <c r="EC306" s="65"/>
      <c r="ED306" s="65"/>
      <c r="EE306" s="65"/>
      <c r="EF306" s="65"/>
      <c r="EG306" s="65"/>
      <c r="EH306" s="65"/>
      <c r="EI306" s="65"/>
      <c r="EJ306" s="65"/>
      <c r="EK306" s="65"/>
      <c r="EL306" s="65"/>
      <c r="EM306" s="65"/>
    </row>
    <row r="307" spans="1:143" ht="24" hidden="1" customHeight="1" outlineLevel="1">
      <c r="B307" s="593" t="s">
        <v>395</v>
      </c>
      <c r="C307" s="65"/>
      <c r="D307" s="65"/>
      <c r="E307" s="65"/>
      <c r="F307" s="149" t="str">
        <f>IF($G$55&gt;0,$G$55,"")</f>
        <v>Equipe05</v>
      </c>
      <c r="G307" s="149"/>
      <c r="H307" s="149"/>
      <c r="I307" s="149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  <c r="AT307" s="65"/>
      <c r="AU307" s="65"/>
      <c r="AV307" s="65"/>
      <c r="AW307" s="65"/>
      <c r="AX307" s="65"/>
      <c r="AY307" s="65"/>
      <c r="AZ307" s="65"/>
      <c r="BA307" s="65"/>
      <c r="BB307" s="65"/>
      <c r="BC307" s="65"/>
      <c r="BD307" s="65"/>
      <c r="BE307" s="65"/>
      <c r="BF307" s="65"/>
      <c r="BG307" s="65"/>
      <c r="BH307" s="65"/>
      <c r="BI307" s="65"/>
      <c r="BJ307" s="65"/>
      <c r="BK307" s="65"/>
      <c r="BL307" s="65"/>
      <c r="BM307" s="65"/>
      <c r="BN307" s="65"/>
      <c r="BO307" s="65"/>
      <c r="BP307" s="65"/>
      <c r="BQ307" s="65"/>
      <c r="BR307" s="65"/>
      <c r="BS307" s="65"/>
      <c r="BT307" s="601" t="s">
        <v>396</v>
      </c>
      <c r="BU307" s="601" t="s">
        <v>397</v>
      </c>
      <c r="BV307" s="65"/>
      <c r="BW307" s="69"/>
      <c r="BX307" s="65"/>
      <c r="BY307" s="593" t="s">
        <v>398</v>
      </c>
      <c r="BZ307" s="593" t="s">
        <v>399</v>
      </c>
      <c r="CA307" s="593" t="s">
        <v>400</v>
      </c>
      <c r="CB307" s="592" t="s">
        <v>401</v>
      </c>
      <c r="CC307" s="592" t="s">
        <v>402</v>
      </c>
      <c r="CD307" s="592" t="s">
        <v>403</v>
      </c>
      <c r="CE307" s="592" t="s">
        <v>404</v>
      </c>
      <c r="CF307" s="592" t="s">
        <v>405</v>
      </c>
      <c r="CG307" s="592" t="s">
        <v>406</v>
      </c>
      <c r="CH307" s="592" t="s">
        <v>407</v>
      </c>
      <c r="CI307" s="592" t="s">
        <v>408</v>
      </c>
      <c r="CJ307" s="592" t="s">
        <v>409</v>
      </c>
      <c r="CK307" s="592" t="s">
        <v>410</v>
      </c>
      <c r="CL307" s="592" t="s">
        <v>411</v>
      </c>
      <c r="CM307" s="592" t="s">
        <v>412</v>
      </c>
      <c r="CN307" s="592" t="s">
        <v>413</v>
      </c>
      <c r="CO307" s="592" t="s">
        <v>414</v>
      </c>
      <c r="CP307" s="592" t="s">
        <v>415</v>
      </c>
      <c r="CQ307" s="592" t="s">
        <v>416</v>
      </c>
      <c r="CR307" s="592" t="s">
        <v>417</v>
      </c>
      <c r="CS307" s="592" t="s">
        <v>418</v>
      </c>
      <c r="CT307" s="592" t="s">
        <v>419</v>
      </c>
      <c r="CU307" s="592" t="s">
        <v>420</v>
      </c>
      <c r="CV307" s="592" t="s">
        <v>421</v>
      </c>
      <c r="CW307" s="592" t="s">
        <v>422</v>
      </c>
      <c r="CX307" s="592" t="s">
        <v>423</v>
      </c>
      <c r="CY307" s="592" t="s">
        <v>424</v>
      </c>
      <c r="CZ307" s="592" t="s">
        <v>425</v>
      </c>
      <c r="DA307" s="592" t="s">
        <v>426</v>
      </c>
      <c r="DB307" s="592" t="s">
        <v>427</v>
      </c>
      <c r="DC307" s="592" t="s">
        <v>428</v>
      </c>
      <c r="DD307" s="592" t="s">
        <v>429</v>
      </c>
      <c r="DE307" s="592" t="s">
        <v>430</v>
      </c>
      <c r="DF307" s="592" t="s">
        <v>431</v>
      </c>
      <c r="DG307" s="592" t="s">
        <v>432</v>
      </c>
      <c r="DH307" s="592" t="s">
        <v>433</v>
      </c>
      <c r="DI307" s="592" t="s">
        <v>434</v>
      </c>
      <c r="DJ307" s="592" t="s">
        <v>435</v>
      </c>
      <c r="DK307" s="592" t="s">
        <v>436</v>
      </c>
      <c r="DL307" s="592" t="s">
        <v>437</v>
      </c>
      <c r="DM307" s="592" t="s">
        <v>438</v>
      </c>
      <c r="DN307" s="592" t="s">
        <v>439</v>
      </c>
      <c r="DO307" s="592" t="s">
        <v>440</v>
      </c>
      <c r="DP307" s="592" t="s">
        <v>441</v>
      </c>
      <c r="DQ307" s="592" t="s">
        <v>442</v>
      </c>
      <c r="DR307" s="592" t="s">
        <v>443</v>
      </c>
      <c r="DS307" s="592" t="s">
        <v>444</v>
      </c>
      <c r="DT307" s="592" t="s">
        <v>445</v>
      </c>
      <c r="DU307" s="592" t="s">
        <v>446</v>
      </c>
      <c r="DV307" s="592" t="s">
        <v>447</v>
      </c>
      <c r="DW307" s="592" t="s">
        <v>448</v>
      </c>
      <c r="DX307" s="592" t="s">
        <v>449</v>
      </c>
      <c r="DY307" s="592" t="s">
        <v>450</v>
      </c>
      <c r="DZ307" s="592" t="s">
        <v>451</v>
      </c>
      <c r="EA307" s="592" t="s">
        <v>452</v>
      </c>
      <c r="EB307" s="592" t="s">
        <v>453</v>
      </c>
      <c r="EC307" s="592" t="s">
        <v>454</v>
      </c>
      <c r="ED307" s="592" t="s">
        <v>455</v>
      </c>
      <c r="EE307" s="592" t="s">
        <v>456</v>
      </c>
      <c r="EF307" s="592" t="s">
        <v>457</v>
      </c>
      <c r="EG307" s="592" t="s">
        <v>458</v>
      </c>
      <c r="EH307" s="592" t="s">
        <v>459</v>
      </c>
      <c r="EI307" s="592" t="s">
        <v>460</v>
      </c>
      <c r="EJ307" s="65"/>
      <c r="EK307" s="157" t="s">
        <v>376</v>
      </c>
      <c r="EL307" s="157" t="s">
        <v>461</v>
      </c>
      <c r="EM307" s="157" t="s">
        <v>383</v>
      </c>
    </row>
    <row r="308" spans="1:143" ht="12" hidden="1" customHeight="1" outlineLevel="1" collapsed="1">
      <c r="B308" s="593"/>
      <c r="C308" s="65"/>
      <c r="D308" s="65"/>
      <c r="E308" s="65"/>
      <c r="F308" s="158" t="s">
        <v>198</v>
      </c>
      <c r="G308" s="158" t="s">
        <v>462</v>
      </c>
      <c r="H308" s="158" t="s">
        <v>255</v>
      </c>
      <c r="I308" s="158" t="s">
        <v>68</v>
      </c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  <c r="AT308" s="65"/>
      <c r="AU308" s="65"/>
      <c r="AV308" s="65"/>
      <c r="AW308" s="65"/>
      <c r="AX308" s="65"/>
      <c r="AY308" s="65"/>
      <c r="AZ308" s="65"/>
      <c r="BA308" s="65"/>
      <c r="BB308" s="65"/>
      <c r="BC308" s="65"/>
      <c r="BD308" s="65"/>
      <c r="BE308" s="65"/>
      <c r="BF308" s="65"/>
      <c r="BG308" s="65"/>
      <c r="BH308" s="65"/>
      <c r="BI308" s="65"/>
      <c r="BJ308" s="65"/>
      <c r="BK308" s="65"/>
      <c r="BL308" s="65"/>
      <c r="BM308" s="65"/>
      <c r="BN308" s="65"/>
      <c r="BO308" s="65"/>
      <c r="BP308" s="65"/>
      <c r="BQ308" s="65"/>
      <c r="BR308" s="65"/>
      <c r="BS308" s="65"/>
      <c r="BT308" s="602"/>
      <c r="BU308" s="602"/>
      <c r="BV308" s="65"/>
      <c r="BW308" s="69"/>
      <c r="BX308" s="65"/>
      <c r="BY308" s="593"/>
      <c r="BZ308" s="593"/>
      <c r="CA308" s="593"/>
      <c r="CB308" s="592"/>
      <c r="CC308" s="592"/>
      <c r="CD308" s="592"/>
      <c r="CE308" s="592"/>
      <c r="CF308" s="592"/>
      <c r="CG308" s="592"/>
      <c r="CH308" s="592"/>
      <c r="CI308" s="592"/>
      <c r="CJ308" s="592"/>
      <c r="CK308" s="592"/>
      <c r="CL308" s="592"/>
      <c r="CM308" s="592"/>
      <c r="CN308" s="592"/>
      <c r="CO308" s="592"/>
      <c r="CP308" s="592"/>
      <c r="CQ308" s="592"/>
      <c r="CR308" s="592"/>
      <c r="CS308" s="592"/>
      <c r="CT308" s="592"/>
      <c r="CU308" s="592"/>
      <c r="CV308" s="592"/>
      <c r="CW308" s="592"/>
      <c r="CX308" s="592"/>
      <c r="CY308" s="592"/>
      <c r="CZ308" s="592"/>
      <c r="DA308" s="592"/>
      <c r="DB308" s="592"/>
      <c r="DC308" s="592"/>
      <c r="DD308" s="592"/>
      <c r="DE308" s="592"/>
      <c r="DF308" s="592"/>
      <c r="DG308" s="592"/>
      <c r="DH308" s="592"/>
      <c r="DI308" s="592"/>
      <c r="DJ308" s="592"/>
      <c r="DK308" s="592"/>
      <c r="DL308" s="592"/>
      <c r="DM308" s="592"/>
      <c r="DN308" s="592"/>
      <c r="DO308" s="592"/>
      <c r="DP308" s="592"/>
      <c r="DQ308" s="592"/>
      <c r="DR308" s="592"/>
      <c r="DS308" s="592"/>
      <c r="DT308" s="592"/>
      <c r="DU308" s="592"/>
      <c r="DV308" s="592"/>
      <c r="DW308" s="592"/>
      <c r="DX308" s="592"/>
      <c r="DY308" s="592"/>
      <c r="DZ308" s="592"/>
      <c r="EA308" s="592"/>
      <c r="EB308" s="592"/>
      <c r="EC308" s="592"/>
      <c r="ED308" s="592"/>
      <c r="EE308" s="592"/>
      <c r="EF308" s="592"/>
      <c r="EG308" s="592"/>
      <c r="EH308" s="592"/>
      <c r="EI308" s="592"/>
      <c r="EJ308" s="65"/>
      <c r="EK308" s="159">
        <f>IFERROR(ROUNDUP(SUMPRODUCT($K329:$BR329,$K$110:$BR$110)/SUM($K329:$BR329),2),0)</f>
        <v>0</v>
      </c>
      <c r="EL308" s="159">
        <f>IFERROR(ROUNDUP(SUMPRODUCT($K329:$BR329,$K$134:$BR$134)/SUM($K329:$BR329),2),0)</f>
        <v>0</v>
      </c>
      <c r="EM308" s="159">
        <f>IFERROR(ROUNDUP(SUMPRODUCT($K329:$BR329,$K$158:$BR$158)/SUM($K329:$BR329),2),0)</f>
        <v>0</v>
      </c>
    </row>
    <row r="309" spans="1:143" ht="12" hidden="1" customHeight="1" outlineLevel="2">
      <c r="A309" s="77">
        <v>1</v>
      </c>
      <c r="B309" s="137" t="str">
        <f>IF(G309&gt;0,G309&amp;" - "&amp;$F$213,"")</f>
        <v>GER. (OBRA/PROJ) - Equipe_01</v>
      </c>
      <c r="C309" s="65"/>
      <c r="D309" s="620" t="s">
        <v>463</v>
      </c>
      <c r="E309" s="65"/>
      <c r="F309" s="584" t="str">
        <f>IFERROR(VLOOKUP(F307,Tarefas!$F$3:$G$22,2,0),"")</f>
        <v>Equipe_05</v>
      </c>
      <c r="G309" s="77" t="str">
        <f>IF(INDEX(Tarefas!$BT$30:$FK$30,MATCH(A309,Tarefas!$BT$28:$FK$28,0))=0,"",INDEX(Tarefas!$BT$30:$FK$30,MATCH(A309,Tarefas!$BT$28:$FK$28,0)))</f>
        <v>GER. (OBRA/PROJ)</v>
      </c>
      <c r="H309" s="107" cm="1">
        <f t="array" ref="H309">IFERROR((SUMPRODUCT((Tarefas!$N$32:$N$54='Cronog. e Histog.'!$F$309)*(Tarefas!$BQ$30:$FK$30='Cronog. e Histog.'!$G309)*(Tarefas!$BQ$32:$FK$54)))/SUMIF(Tarefas!$N$32:$N$54,'Cronog. e Histog.'!$F$309,Tarefas!$K$32:$K$54),0)</f>
        <v>0</v>
      </c>
      <c r="I309" s="79">
        <f>IFERROR(H309/$H$329,0)</f>
        <v>0</v>
      </c>
      <c r="J309" s="65"/>
      <c r="K309" s="160">
        <f>ROUND($I309*K$187,2)</f>
        <v>0</v>
      </c>
      <c r="L309" s="160">
        <f t="shared" ref="L309:BR313" si="721">ROUND($I309*L$187,2)</f>
        <v>0</v>
      </c>
      <c r="M309" s="160">
        <f t="shared" si="721"/>
        <v>0</v>
      </c>
      <c r="N309" s="160">
        <f t="shared" si="721"/>
        <v>0</v>
      </c>
      <c r="O309" s="160">
        <f t="shared" si="721"/>
        <v>0</v>
      </c>
      <c r="P309" s="160">
        <f t="shared" si="721"/>
        <v>0</v>
      </c>
      <c r="Q309" s="160">
        <f t="shared" si="721"/>
        <v>0</v>
      </c>
      <c r="R309" s="160">
        <f t="shared" si="721"/>
        <v>0</v>
      </c>
      <c r="S309" s="160">
        <f t="shared" si="721"/>
        <v>0</v>
      </c>
      <c r="T309" s="160">
        <f t="shared" si="721"/>
        <v>0</v>
      </c>
      <c r="U309" s="160">
        <f t="shared" si="721"/>
        <v>0</v>
      </c>
      <c r="V309" s="160">
        <f t="shared" si="721"/>
        <v>0</v>
      </c>
      <c r="W309" s="160">
        <f t="shared" si="721"/>
        <v>0</v>
      </c>
      <c r="X309" s="160">
        <f t="shared" si="721"/>
        <v>0</v>
      </c>
      <c r="Y309" s="160">
        <f t="shared" si="721"/>
        <v>0</v>
      </c>
      <c r="Z309" s="160">
        <f t="shared" si="721"/>
        <v>0</v>
      </c>
      <c r="AA309" s="160">
        <f t="shared" si="721"/>
        <v>0</v>
      </c>
      <c r="AB309" s="160">
        <f t="shared" si="721"/>
        <v>0</v>
      </c>
      <c r="AC309" s="160">
        <f t="shared" si="721"/>
        <v>0</v>
      </c>
      <c r="AD309" s="160">
        <f t="shared" si="721"/>
        <v>0</v>
      </c>
      <c r="AE309" s="160">
        <f t="shared" si="721"/>
        <v>0</v>
      </c>
      <c r="AF309" s="160">
        <f t="shared" si="721"/>
        <v>0</v>
      </c>
      <c r="AG309" s="160">
        <f t="shared" si="721"/>
        <v>0</v>
      </c>
      <c r="AH309" s="160">
        <f t="shared" si="721"/>
        <v>0</v>
      </c>
      <c r="AI309" s="160">
        <f t="shared" si="721"/>
        <v>0</v>
      </c>
      <c r="AJ309" s="160">
        <f t="shared" si="721"/>
        <v>0</v>
      </c>
      <c r="AK309" s="160">
        <f t="shared" si="721"/>
        <v>0</v>
      </c>
      <c r="AL309" s="160">
        <f t="shared" si="721"/>
        <v>0</v>
      </c>
      <c r="AM309" s="160">
        <f t="shared" si="721"/>
        <v>0</v>
      </c>
      <c r="AN309" s="160">
        <f t="shared" si="721"/>
        <v>0</v>
      </c>
      <c r="AO309" s="160">
        <f t="shared" si="721"/>
        <v>0</v>
      </c>
      <c r="AP309" s="160">
        <f t="shared" si="721"/>
        <v>0</v>
      </c>
      <c r="AQ309" s="160">
        <f t="shared" si="721"/>
        <v>0</v>
      </c>
      <c r="AR309" s="160">
        <f t="shared" si="721"/>
        <v>0</v>
      </c>
      <c r="AS309" s="160">
        <f t="shared" si="721"/>
        <v>0</v>
      </c>
      <c r="AT309" s="160">
        <f t="shared" si="721"/>
        <v>0</v>
      </c>
      <c r="AU309" s="160">
        <f t="shared" si="721"/>
        <v>0</v>
      </c>
      <c r="AV309" s="160">
        <f t="shared" si="721"/>
        <v>0</v>
      </c>
      <c r="AW309" s="160">
        <f t="shared" si="721"/>
        <v>0</v>
      </c>
      <c r="AX309" s="160">
        <f t="shared" si="721"/>
        <v>0</v>
      </c>
      <c r="AY309" s="160">
        <f t="shared" si="721"/>
        <v>0</v>
      </c>
      <c r="AZ309" s="160">
        <f t="shared" si="721"/>
        <v>0</v>
      </c>
      <c r="BA309" s="160">
        <f t="shared" si="721"/>
        <v>0</v>
      </c>
      <c r="BB309" s="160">
        <f t="shared" si="721"/>
        <v>0</v>
      </c>
      <c r="BC309" s="160">
        <f t="shared" si="721"/>
        <v>0</v>
      </c>
      <c r="BD309" s="160">
        <f t="shared" si="721"/>
        <v>0</v>
      </c>
      <c r="BE309" s="160">
        <f t="shared" si="721"/>
        <v>0</v>
      </c>
      <c r="BF309" s="160">
        <f t="shared" si="721"/>
        <v>0</v>
      </c>
      <c r="BG309" s="160">
        <f t="shared" si="721"/>
        <v>0</v>
      </c>
      <c r="BH309" s="160">
        <f t="shared" si="721"/>
        <v>0</v>
      </c>
      <c r="BI309" s="160">
        <f t="shared" si="721"/>
        <v>0</v>
      </c>
      <c r="BJ309" s="160">
        <f t="shared" si="721"/>
        <v>0</v>
      </c>
      <c r="BK309" s="160">
        <f t="shared" si="721"/>
        <v>0</v>
      </c>
      <c r="BL309" s="160">
        <f t="shared" si="721"/>
        <v>0</v>
      </c>
      <c r="BM309" s="160">
        <f t="shared" si="721"/>
        <v>0</v>
      </c>
      <c r="BN309" s="160">
        <f t="shared" si="721"/>
        <v>0</v>
      </c>
      <c r="BO309" s="160">
        <f t="shared" si="721"/>
        <v>0</v>
      </c>
      <c r="BP309" s="160">
        <f t="shared" si="721"/>
        <v>0</v>
      </c>
      <c r="BQ309" s="160">
        <f t="shared" si="721"/>
        <v>0</v>
      </c>
      <c r="BR309" s="160">
        <f t="shared" si="721"/>
        <v>0</v>
      </c>
      <c r="BS309" s="65"/>
      <c r="BT309" s="160">
        <f t="shared" ref="BT309:BT328" si="722">IFERROR(SUM(K309:BR309)/COUNTIF(K309:BR309,"&gt;0"),0)</f>
        <v>0</v>
      </c>
      <c r="BU309" s="160">
        <f t="shared" ref="BU309:BU328" si="723">COUNTIF(K309:BR309,"&gt;0")</f>
        <v>0</v>
      </c>
      <c r="BV309" s="65"/>
      <c r="BW309" s="69"/>
      <c r="BX309" s="65"/>
      <c r="BY309" s="137">
        <f t="shared" ref="BY309:BY328" si="724">IF(G309&gt;0,1,0)</f>
        <v>1</v>
      </c>
      <c r="BZ309" s="137">
        <f>IF(BY309&gt;0,BY309+LARGE($BZ$213:BZ308,1),0)</f>
        <v>81</v>
      </c>
      <c r="CA309" s="137" t="str">
        <f t="shared" ref="CA309:CA328" si="725">G309</f>
        <v>GER. (OBRA/PROJ)</v>
      </c>
      <c r="CB309" s="161">
        <f t="shared" ref="CB309:CB328" si="726">K309</f>
        <v>0</v>
      </c>
      <c r="CC309" s="161">
        <f t="shared" ref="CC309:CC328" si="727">L309</f>
        <v>0</v>
      </c>
      <c r="CD309" s="161">
        <f t="shared" ref="CD309:CD328" si="728">M309</f>
        <v>0</v>
      </c>
      <c r="CE309" s="161">
        <f t="shared" ref="CE309:CE328" si="729">N309</f>
        <v>0</v>
      </c>
      <c r="CF309" s="161">
        <f t="shared" ref="CF309:CF328" si="730">O309</f>
        <v>0</v>
      </c>
      <c r="CG309" s="161">
        <f t="shared" ref="CG309:CG328" si="731">P309</f>
        <v>0</v>
      </c>
      <c r="CH309" s="161">
        <f t="shared" ref="CH309:CH328" si="732">Q309</f>
        <v>0</v>
      </c>
      <c r="CI309" s="161">
        <f t="shared" ref="CI309:CI328" si="733">R309</f>
        <v>0</v>
      </c>
      <c r="CJ309" s="161">
        <f t="shared" ref="CJ309:CJ328" si="734">S309</f>
        <v>0</v>
      </c>
      <c r="CK309" s="161">
        <f t="shared" ref="CK309:CK328" si="735">T309</f>
        <v>0</v>
      </c>
      <c r="CL309" s="161">
        <f t="shared" ref="CL309:CL328" si="736">U309</f>
        <v>0</v>
      </c>
      <c r="CM309" s="161">
        <f t="shared" ref="CM309:CM328" si="737">V309</f>
        <v>0</v>
      </c>
      <c r="CN309" s="161">
        <f t="shared" ref="CN309:CN328" si="738">W309</f>
        <v>0</v>
      </c>
      <c r="CO309" s="161">
        <f t="shared" ref="CO309:CO328" si="739">X309</f>
        <v>0</v>
      </c>
      <c r="CP309" s="161">
        <f t="shared" ref="CP309:CP328" si="740">Y309</f>
        <v>0</v>
      </c>
      <c r="CQ309" s="161">
        <f t="shared" ref="CQ309:CQ328" si="741">Z309</f>
        <v>0</v>
      </c>
      <c r="CR309" s="161">
        <f t="shared" ref="CR309:CR328" si="742">AA309</f>
        <v>0</v>
      </c>
      <c r="CS309" s="161">
        <f t="shared" ref="CS309:CS328" si="743">AB309</f>
        <v>0</v>
      </c>
      <c r="CT309" s="161">
        <f t="shared" ref="CT309:CT328" si="744">AC309</f>
        <v>0</v>
      </c>
      <c r="CU309" s="161">
        <f t="shared" ref="CU309:CU328" si="745">AD309</f>
        <v>0</v>
      </c>
      <c r="CV309" s="161">
        <f t="shared" ref="CV309:CV328" si="746">AE309</f>
        <v>0</v>
      </c>
      <c r="CW309" s="161">
        <f t="shared" ref="CW309:CW328" si="747">AF309</f>
        <v>0</v>
      </c>
      <c r="CX309" s="161">
        <f t="shared" ref="CX309:CX328" si="748">AG309</f>
        <v>0</v>
      </c>
      <c r="CY309" s="161">
        <f t="shared" ref="CY309:CY328" si="749">AH309</f>
        <v>0</v>
      </c>
      <c r="CZ309" s="161">
        <f t="shared" ref="CZ309:CZ328" si="750">AI309</f>
        <v>0</v>
      </c>
      <c r="DA309" s="161">
        <f t="shared" ref="DA309:DA328" si="751">AJ309</f>
        <v>0</v>
      </c>
      <c r="DB309" s="161">
        <f t="shared" ref="DB309:DB328" si="752">AK309</f>
        <v>0</v>
      </c>
      <c r="DC309" s="161">
        <f t="shared" ref="DC309:DC328" si="753">AL309</f>
        <v>0</v>
      </c>
      <c r="DD309" s="161">
        <f t="shared" ref="DD309:DD328" si="754">AM309</f>
        <v>0</v>
      </c>
      <c r="DE309" s="161">
        <f t="shared" ref="DE309:DE328" si="755">AN309</f>
        <v>0</v>
      </c>
      <c r="DF309" s="161">
        <f t="shared" ref="DF309:DF328" si="756">AO309</f>
        <v>0</v>
      </c>
      <c r="DG309" s="161">
        <f t="shared" ref="DG309:DG328" si="757">AP309</f>
        <v>0</v>
      </c>
      <c r="DH309" s="161">
        <f t="shared" ref="DH309:DH328" si="758">AQ309</f>
        <v>0</v>
      </c>
      <c r="DI309" s="161">
        <f t="shared" ref="DI309:DI328" si="759">AR309</f>
        <v>0</v>
      </c>
      <c r="DJ309" s="161">
        <f t="shared" ref="DJ309:DJ328" si="760">AS309</f>
        <v>0</v>
      </c>
      <c r="DK309" s="161">
        <f t="shared" ref="DK309:DK328" si="761">AT309</f>
        <v>0</v>
      </c>
      <c r="DL309" s="161">
        <f t="shared" ref="DL309:DL328" si="762">AU309</f>
        <v>0</v>
      </c>
      <c r="DM309" s="161">
        <f t="shared" ref="DM309:DM328" si="763">AV309</f>
        <v>0</v>
      </c>
      <c r="DN309" s="161">
        <f t="shared" ref="DN309:DN328" si="764">AW309</f>
        <v>0</v>
      </c>
      <c r="DO309" s="161">
        <f t="shared" ref="DO309:DO328" si="765">AX309</f>
        <v>0</v>
      </c>
      <c r="DP309" s="161">
        <f t="shared" ref="DP309:DP328" si="766">AY309</f>
        <v>0</v>
      </c>
      <c r="DQ309" s="161">
        <f t="shared" ref="DQ309:DQ328" si="767">AZ309</f>
        <v>0</v>
      </c>
      <c r="DR309" s="161">
        <f t="shared" ref="DR309:DR328" si="768">BA309</f>
        <v>0</v>
      </c>
      <c r="DS309" s="161">
        <f t="shared" ref="DS309:DS328" si="769">BB309</f>
        <v>0</v>
      </c>
      <c r="DT309" s="161">
        <f t="shared" ref="DT309:DT328" si="770">BC309</f>
        <v>0</v>
      </c>
      <c r="DU309" s="161">
        <f t="shared" ref="DU309:DU328" si="771">BD309</f>
        <v>0</v>
      </c>
      <c r="DV309" s="161">
        <f t="shared" ref="DV309:DV328" si="772">BE309</f>
        <v>0</v>
      </c>
      <c r="DW309" s="161">
        <f t="shared" ref="DW309:DW328" si="773">BF309</f>
        <v>0</v>
      </c>
      <c r="DX309" s="161">
        <f t="shared" ref="DX309:DX328" si="774">BG309</f>
        <v>0</v>
      </c>
      <c r="DY309" s="161">
        <f t="shared" ref="DY309:DY328" si="775">BH309</f>
        <v>0</v>
      </c>
      <c r="DZ309" s="161">
        <f t="shared" ref="DZ309:DZ328" si="776">BI309</f>
        <v>0</v>
      </c>
      <c r="EA309" s="161">
        <f t="shared" ref="EA309:EA328" si="777">BJ309</f>
        <v>0</v>
      </c>
      <c r="EB309" s="161">
        <f t="shared" ref="EB309:EB328" si="778">BK309</f>
        <v>0</v>
      </c>
      <c r="EC309" s="161">
        <f t="shared" ref="EC309:EC328" si="779">BL309</f>
        <v>0</v>
      </c>
      <c r="ED309" s="161">
        <f t="shared" ref="ED309:ED328" si="780">BM309</f>
        <v>0</v>
      </c>
      <c r="EE309" s="161">
        <f t="shared" ref="EE309:EE328" si="781">BN309</f>
        <v>0</v>
      </c>
      <c r="EF309" s="161">
        <f t="shared" ref="EF309:EF328" si="782">BO309</f>
        <v>0</v>
      </c>
      <c r="EG309" s="161">
        <f t="shared" ref="EG309:EG328" si="783">BP309</f>
        <v>0</v>
      </c>
      <c r="EH309" s="161">
        <f t="shared" ref="EH309:EH328" si="784">BQ309</f>
        <v>0</v>
      </c>
      <c r="EI309" s="161">
        <f t="shared" ref="EI309:EI328" si="785">BR309</f>
        <v>0</v>
      </c>
      <c r="EJ309" s="65"/>
      <c r="EK309" s="161">
        <f>$EK$308</f>
        <v>0</v>
      </c>
      <c r="EL309" s="161">
        <f>$EL$308</f>
        <v>0</v>
      </c>
      <c r="EM309" s="161">
        <f>$EM$308</f>
        <v>0</v>
      </c>
    </row>
    <row r="310" spans="1:143" ht="12" hidden="1" customHeight="1" outlineLevel="2">
      <c r="A310" s="77">
        <v>2</v>
      </c>
      <c r="B310" s="137" t="str">
        <f t="shared" ref="B310:B328" si="786">IF(G310&gt;0,G310&amp;" - "&amp;$F$213,"")</f>
        <v>COORD. - Equipe_01</v>
      </c>
      <c r="C310" s="65"/>
      <c r="D310" s="622"/>
      <c r="E310" s="65"/>
      <c r="F310" s="584"/>
      <c r="G310" s="77" t="str">
        <f>IF(INDEX(Tarefas!$BT$30:$FK$30,MATCH(A310,Tarefas!$BT$28:$FK$28,0))=0,"",INDEX(Tarefas!$BT$30:$FK$30,MATCH(A310,Tarefas!$BT$28:$FK$28,0)))</f>
        <v>COORD.</v>
      </c>
      <c r="H310" s="107" cm="1">
        <f t="array" ref="H310">IFERROR((SUMPRODUCT((Tarefas!$N$32:$N$54='Cronog. e Histog.'!$F$309)*(Tarefas!$BQ$30:$FK$30='Cronog. e Histog.'!$G310)*(Tarefas!$BQ$32:$FK$54)))/SUMIF(Tarefas!$N$32:$N$54,'Cronog. e Histog.'!$F$309,Tarefas!$K$32:$K$54),0)</f>
        <v>0</v>
      </c>
      <c r="I310" s="79">
        <f t="shared" ref="I310:I328" si="787">IFERROR(H310/$H$329,0)</f>
        <v>0</v>
      </c>
      <c r="J310" s="65"/>
      <c r="K310" s="160">
        <f t="shared" ref="K310:Z328" si="788">ROUND($I310*K$187,2)</f>
        <v>0</v>
      </c>
      <c r="L310" s="160">
        <f t="shared" si="788"/>
        <v>0</v>
      </c>
      <c r="M310" s="160">
        <f t="shared" si="788"/>
        <v>0</v>
      </c>
      <c r="N310" s="160">
        <f t="shared" si="788"/>
        <v>0</v>
      </c>
      <c r="O310" s="160">
        <f t="shared" si="788"/>
        <v>0</v>
      </c>
      <c r="P310" s="160">
        <f t="shared" si="788"/>
        <v>0</v>
      </c>
      <c r="Q310" s="160">
        <f t="shared" si="788"/>
        <v>0</v>
      </c>
      <c r="R310" s="160">
        <f t="shared" si="788"/>
        <v>0</v>
      </c>
      <c r="S310" s="160">
        <f t="shared" si="788"/>
        <v>0</v>
      </c>
      <c r="T310" s="160">
        <f t="shared" si="788"/>
        <v>0</v>
      </c>
      <c r="U310" s="160">
        <f t="shared" si="788"/>
        <v>0</v>
      </c>
      <c r="V310" s="160">
        <f t="shared" si="788"/>
        <v>0</v>
      </c>
      <c r="W310" s="160">
        <f t="shared" si="788"/>
        <v>0</v>
      </c>
      <c r="X310" s="160">
        <f t="shared" si="788"/>
        <v>0</v>
      </c>
      <c r="Y310" s="160">
        <f t="shared" si="788"/>
        <v>0</v>
      </c>
      <c r="Z310" s="160">
        <f t="shared" si="788"/>
        <v>0</v>
      </c>
      <c r="AA310" s="160">
        <f t="shared" si="721"/>
        <v>0</v>
      </c>
      <c r="AB310" s="160">
        <f t="shared" si="721"/>
        <v>0</v>
      </c>
      <c r="AC310" s="160">
        <f t="shared" si="721"/>
        <v>0</v>
      </c>
      <c r="AD310" s="160">
        <f t="shared" si="721"/>
        <v>0</v>
      </c>
      <c r="AE310" s="160">
        <f t="shared" si="721"/>
        <v>0</v>
      </c>
      <c r="AF310" s="160">
        <f t="shared" si="721"/>
        <v>0</v>
      </c>
      <c r="AG310" s="160">
        <f t="shared" si="721"/>
        <v>0</v>
      </c>
      <c r="AH310" s="160">
        <f t="shared" si="721"/>
        <v>0</v>
      </c>
      <c r="AI310" s="160">
        <f t="shared" si="721"/>
        <v>0</v>
      </c>
      <c r="AJ310" s="160">
        <f t="shared" si="721"/>
        <v>0</v>
      </c>
      <c r="AK310" s="160">
        <f t="shared" si="721"/>
        <v>0</v>
      </c>
      <c r="AL310" s="160">
        <f t="shared" si="721"/>
        <v>0</v>
      </c>
      <c r="AM310" s="160">
        <f t="shared" si="721"/>
        <v>0</v>
      </c>
      <c r="AN310" s="160">
        <f t="shared" si="721"/>
        <v>0</v>
      </c>
      <c r="AO310" s="160">
        <f t="shared" si="721"/>
        <v>0</v>
      </c>
      <c r="AP310" s="160">
        <f t="shared" si="721"/>
        <v>0</v>
      </c>
      <c r="AQ310" s="160">
        <f t="shared" si="721"/>
        <v>0</v>
      </c>
      <c r="AR310" s="160">
        <f t="shared" si="721"/>
        <v>0</v>
      </c>
      <c r="AS310" s="160">
        <f t="shared" si="721"/>
        <v>0</v>
      </c>
      <c r="AT310" s="160">
        <f t="shared" si="721"/>
        <v>0</v>
      </c>
      <c r="AU310" s="160">
        <f t="shared" si="721"/>
        <v>0</v>
      </c>
      <c r="AV310" s="160">
        <f t="shared" si="721"/>
        <v>0</v>
      </c>
      <c r="AW310" s="160">
        <f t="shared" si="721"/>
        <v>0</v>
      </c>
      <c r="AX310" s="160">
        <f t="shared" si="721"/>
        <v>0</v>
      </c>
      <c r="AY310" s="160">
        <f t="shared" si="721"/>
        <v>0</v>
      </c>
      <c r="AZ310" s="160">
        <f t="shared" si="721"/>
        <v>0</v>
      </c>
      <c r="BA310" s="160">
        <f t="shared" si="721"/>
        <v>0</v>
      </c>
      <c r="BB310" s="160">
        <f t="shared" si="721"/>
        <v>0</v>
      </c>
      <c r="BC310" s="160">
        <f t="shared" si="721"/>
        <v>0</v>
      </c>
      <c r="BD310" s="160">
        <f t="shared" si="721"/>
        <v>0</v>
      </c>
      <c r="BE310" s="160">
        <f t="shared" si="721"/>
        <v>0</v>
      </c>
      <c r="BF310" s="160">
        <f t="shared" si="721"/>
        <v>0</v>
      </c>
      <c r="BG310" s="160">
        <f t="shared" si="721"/>
        <v>0</v>
      </c>
      <c r="BH310" s="160">
        <f t="shared" si="721"/>
        <v>0</v>
      </c>
      <c r="BI310" s="160">
        <f t="shared" si="721"/>
        <v>0</v>
      </c>
      <c r="BJ310" s="160">
        <f t="shared" si="721"/>
        <v>0</v>
      </c>
      <c r="BK310" s="160">
        <f t="shared" si="721"/>
        <v>0</v>
      </c>
      <c r="BL310" s="160">
        <f t="shared" si="721"/>
        <v>0</v>
      </c>
      <c r="BM310" s="160">
        <f t="shared" si="721"/>
        <v>0</v>
      </c>
      <c r="BN310" s="160">
        <f t="shared" si="721"/>
        <v>0</v>
      </c>
      <c r="BO310" s="160">
        <f t="shared" si="721"/>
        <v>0</v>
      </c>
      <c r="BP310" s="160">
        <f t="shared" si="721"/>
        <v>0</v>
      </c>
      <c r="BQ310" s="160">
        <f t="shared" si="721"/>
        <v>0</v>
      </c>
      <c r="BR310" s="160">
        <f t="shared" si="721"/>
        <v>0</v>
      </c>
      <c r="BS310" s="65"/>
      <c r="BT310" s="160">
        <f t="shared" si="722"/>
        <v>0</v>
      </c>
      <c r="BU310" s="160">
        <f t="shared" si="723"/>
        <v>0</v>
      </c>
      <c r="BV310" s="65"/>
      <c r="BW310" s="69"/>
      <c r="BX310" s="65"/>
      <c r="BY310" s="137">
        <f t="shared" si="724"/>
        <v>1</v>
      </c>
      <c r="BZ310" s="137">
        <f>IF(BY310&gt;0,BY310+LARGE($BZ$213:BZ309,1),0)</f>
        <v>82</v>
      </c>
      <c r="CA310" s="137" t="str">
        <f t="shared" si="725"/>
        <v>COORD.</v>
      </c>
      <c r="CB310" s="161">
        <f t="shared" si="726"/>
        <v>0</v>
      </c>
      <c r="CC310" s="161">
        <f t="shared" si="727"/>
        <v>0</v>
      </c>
      <c r="CD310" s="161">
        <f t="shared" si="728"/>
        <v>0</v>
      </c>
      <c r="CE310" s="161">
        <f t="shared" si="729"/>
        <v>0</v>
      </c>
      <c r="CF310" s="161">
        <f t="shared" si="730"/>
        <v>0</v>
      </c>
      <c r="CG310" s="161">
        <f t="shared" si="731"/>
        <v>0</v>
      </c>
      <c r="CH310" s="161">
        <f t="shared" si="732"/>
        <v>0</v>
      </c>
      <c r="CI310" s="161">
        <f t="shared" si="733"/>
        <v>0</v>
      </c>
      <c r="CJ310" s="161">
        <f t="shared" si="734"/>
        <v>0</v>
      </c>
      <c r="CK310" s="161">
        <f t="shared" si="735"/>
        <v>0</v>
      </c>
      <c r="CL310" s="161">
        <f t="shared" si="736"/>
        <v>0</v>
      </c>
      <c r="CM310" s="161">
        <f t="shared" si="737"/>
        <v>0</v>
      </c>
      <c r="CN310" s="161">
        <f t="shared" si="738"/>
        <v>0</v>
      </c>
      <c r="CO310" s="161">
        <f t="shared" si="739"/>
        <v>0</v>
      </c>
      <c r="CP310" s="161">
        <f t="shared" si="740"/>
        <v>0</v>
      </c>
      <c r="CQ310" s="161">
        <f t="shared" si="741"/>
        <v>0</v>
      </c>
      <c r="CR310" s="161">
        <f t="shared" si="742"/>
        <v>0</v>
      </c>
      <c r="CS310" s="161">
        <f t="shared" si="743"/>
        <v>0</v>
      </c>
      <c r="CT310" s="161">
        <f t="shared" si="744"/>
        <v>0</v>
      </c>
      <c r="CU310" s="161">
        <f t="shared" si="745"/>
        <v>0</v>
      </c>
      <c r="CV310" s="161">
        <f t="shared" si="746"/>
        <v>0</v>
      </c>
      <c r="CW310" s="161">
        <f t="shared" si="747"/>
        <v>0</v>
      </c>
      <c r="CX310" s="161">
        <f t="shared" si="748"/>
        <v>0</v>
      </c>
      <c r="CY310" s="161">
        <f t="shared" si="749"/>
        <v>0</v>
      </c>
      <c r="CZ310" s="161">
        <f t="shared" si="750"/>
        <v>0</v>
      </c>
      <c r="DA310" s="161">
        <f t="shared" si="751"/>
        <v>0</v>
      </c>
      <c r="DB310" s="161">
        <f t="shared" si="752"/>
        <v>0</v>
      </c>
      <c r="DC310" s="161">
        <f t="shared" si="753"/>
        <v>0</v>
      </c>
      <c r="DD310" s="161">
        <f t="shared" si="754"/>
        <v>0</v>
      </c>
      <c r="DE310" s="161">
        <f t="shared" si="755"/>
        <v>0</v>
      </c>
      <c r="DF310" s="161">
        <f t="shared" si="756"/>
        <v>0</v>
      </c>
      <c r="DG310" s="161">
        <f t="shared" si="757"/>
        <v>0</v>
      </c>
      <c r="DH310" s="161">
        <f t="shared" si="758"/>
        <v>0</v>
      </c>
      <c r="DI310" s="161">
        <f t="shared" si="759"/>
        <v>0</v>
      </c>
      <c r="DJ310" s="161">
        <f t="shared" si="760"/>
        <v>0</v>
      </c>
      <c r="DK310" s="161">
        <f t="shared" si="761"/>
        <v>0</v>
      </c>
      <c r="DL310" s="161">
        <f t="shared" si="762"/>
        <v>0</v>
      </c>
      <c r="DM310" s="161">
        <f t="shared" si="763"/>
        <v>0</v>
      </c>
      <c r="DN310" s="161">
        <f t="shared" si="764"/>
        <v>0</v>
      </c>
      <c r="DO310" s="161">
        <f t="shared" si="765"/>
        <v>0</v>
      </c>
      <c r="DP310" s="161">
        <f t="shared" si="766"/>
        <v>0</v>
      </c>
      <c r="DQ310" s="161">
        <f t="shared" si="767"/>
        <v>0</v>
      </c>
      <c r="DR310" s="161">
        <f t="shared" si="768"/>
        <v>0</v>
      </c>
      <c r="DS310" s="161">
        <f t="shared" si="769"/>
        <v>0</v>
      </c>
      <c r="DT310" s="161">
        <f t="shared" si="770"/>
        <v>0</v>
      </c>
      <c r="DU310" s="161">
        <f t="shared" si="771"/>
        <v>0</v>
      </c>
      <c r="DV310" s="161">
        <f t="shared" si="772"/>
        <v>0</v>
      </c>
      <c r="DW310" s="161">
        <f t="shared" si="773"/>
        <v>0</v>
      </c>
      <c r="DX310" s="161">
        <f t="shared" si="774"/>
        <v>0</v>
      </c>
      <c r="DY310" s="161">
        <f t="shared" si="775"/>
        <v>0</v>
      </c>
      <c r="DZ310" s="161">
        <f t="shared" si="776"/>
        <v>0</v>
      </c>
      <c r="EA310" s="161">
        <f t="shared" si="777"/>
        <v>0</v>
      </c>
      <c r="EB310" s="161">
        <f t="shared" si="778"/>
        <v>0</v>
      </c>
      <c r="EC310" s="161">
        <f t="shared" si="779"/>
        <v>0</v>
      </c>
      <c r="ED310" s="161">
        <f t="shared" si="780"/>
        <v>0</v>
      </c>
      <c r="EE310" s="161">
        <f t="shared" si="781"/>
        <v>0</v>
      </c>
      <c r="EF310" s="161">
        <f t="shared" si="782"/>
        <v>0</v>
      </c>
      <c r="EG310" s="161">
        <f t="shared" si="783"/>
        <v>0</v>
      </c>
      <c r="EH310" s="161">
        <f t="shared" si="784"/>
        <v>0</v>
      </c>
      <c r="EI310" s="161">
        <f t="shared" si="785"/>
        <v>0</v>
      </c>
      <c r="EJ310" s="65"/>
      <c r="EK310" s="161">
        <f t="shared" ref="EK310:EK328" si="789">$EK$308</f>
        <v>0</v>
      </c>
      <c r="EL310" s="161">
        <f t="shared" ref="EL310:EL328" si="790">$EL$308</f>
        <v>0</v>
      </c>
      <c r="EM310" s="161">
        <f t="shared" ref="EM310:EM328" si="791">$EM$308</f>
        <v>0</v>
      </c>
    </row>
    <row r="311" spans="1:143" ht="12" hidden="1" customHeight="1" outlineLevel="2">
      <c r="A311" s="77">
        <v>3</v>
      </c>
      <c r="B311" s="137" t="str">
        <f t="shared" si="786"/>
        <v>SUP.-ESP - Equipe_01</v>
      </c>
      <c r="C311" s="65"/>
      <c r="D311" s="622"/>
      <c r="E311" s="65"/>
      <c r="F311" s="584"/>
      <c r="G311" s="77" t="str">
        <f>IF(INDEX(Tarefas!$BT$30:$FK$30,MATCH(A311,Tarefas!$BT$28:$FK$28,0))=0,"",INDEX(Tarefas!$BT$30:$FK$30,MATCH(A311,Tarefas!$BT$28:$FK$28,0)))</f>
        <v>SUP.-ESP</v>
      </c>
      <c r="H311" s="107" cm="1">
        <f t="array" ref="H311">IFERROR((SUMPRODUCT((Tarefas!$N$32:$N$54='Cronog. e Histog.'!$F$309)*(Tarefas!$BQ$30:$FK$30='Cronog. e Histog.'!$G311)*(Tarefas!$BQ$32:$FK$54)))/SUMIF(Tarefas!$N$32:$N$54,'Cronog. e Histog.'!$F$309,Tarefas!$K$32:$K$54),0)</f>
        <v>0</v>
      </c>
      <c r="I311" s="79">
        <f t="shared" si="787"/>
        <v>0</v>
      </c>
      <c r="J311" s="65"/>
      <c r="K311" s="160">
        <f t="shared" si="788"/>
        <v>0</v>
      </c>
      <c r="L311" s="160">
        <f t="shared" si="721"/>
        <v>0</v>
      </c>
      <c r="M311" s="160">
        <f t="shared" si="721"/>
        <v>0</v>
      </c>
      <c r="N311" s="160">
        <f t="shared" si="721"/>
        <v>0</v>
      </c>
      <c r="O311" s="160">
        <f t="shared" si="721"/>
        <v>0</v>
      </c>
      <c r="P311" s="160">
        <f t="shared" si="721"/>
        <v>0</v>
      </c>
      <c r="Q311" s="160">
        <f t="shared" si="721"/>
        <v>0</v>
      </c>
      <c r="R311" s="160">
        <f t="shared" si="721"/>
        <v>0</v>
      </c>
      <c r="S311" s="160">
        <f t="shared" si="721"/>
        <v>0</v>
      </c>
      <c r="T311" s="160">
        <f t="shared" si="721"/>
        <v>0</v>
      </c>
      <c r="U311" s="160">
        <f t="shared" si="721"/>
        <v>0</v>
      </c>
      <c r="V311" s="160">
        <f t="shared" si="721"/>
        <v>0</v>
      </c>
      <c r="W311" s="160">
        <f t="shared" si="721"/>
        <v>0</v>
      </c>
      <c r="X311" s="160">
        <f t="shared" si="721"/>
        <v>0</v>
      </c>
      <c r="Y311" s="160">
        <f t="shared" si="721"/>
        <v>0</v>
      </c>
      <c r="Z311" s="160">
        <f t="shared" si="721"/>
        <v>0</v>
      </c>
      <c r="AA311" s="160">
        <f t="shared" si="721"/>
        <v>0</v>
      </c>
      <c r="AB311" s="160">
        <f t="shared" si="721"/>
        <v>0</v>
      </c>
      <c r="AC311" s="160">
        <f t="shared" si="721"/>
        <v>0</v>
      </c>
      <c r="AD311" s="160">
        <f t="shared" si="721"/>
        <v>0</v>
      </c>
      <c r="AE311" s="160">
        <f t="shared" si="721"/>
        <v>0</v>
      </c>
      <c r="AF311" s="160">
        <f t="shared" si="721"/>
        <v>0</v>
      </c>
      <c r="AG311" s="160">
        <f t="shared" si="721"/>
        <v>0</v>
      </c>
      <c r="AH311" s="160">
        <f t="shared" si="721"/>
        <v>0</v>
      </c>
      <c r="AI311" s="160">
        <f t="shared" si="721"/>
        <v>0</v>
      </c>
      <c r="AJ311" s="160">
        <f t="shared" si="721"/>
        <v>0</v>
      </c>
      <c r="AK311" s="160">
        <f t="shared" si="721"/>
        <v>0</v>
      </c>
      <c r="AL311" s="160">
        <f t="shared" si="721"/>
        <v>0</v>
      </c>
      <c r="AM311" s="160">
        <f t="shared" si="721"/>
        <v>0</v>
      </c>
      <c r="AN311" s="160">
        <f t="shared" si="721"/>
        <v>0</v>
      </c>
      <c r="AO311" s="160">
        <f t="shared" si="721"/>
        <v>0</v>
      </c>
      <c r="AP311" s="160">
        <f t="shared" si="721"/>
        <v>0</v>
      </c>
      <c r="AQ311" s="160">
        <f t="shared" si="721"/>
        <v>0</v>
      </c>
      <c r="AR311" s="160">
        <f t="shared" si="721"/>
        <v>0</v>
      </c>
      <c r="AS311" s="160">
        <f t="shared" si="721"/>
        <v>0</v>
      </c>
      <c r="AT311" s="160">
        <f t="shared" si="721"/>
        <v>0</v>
      </c>
      <c r="AU311" s="160">
        <f t="shared" si="721"/>
        <v>0</v>
      </c>
      <c r="AV311" s="160">
        <f t="shared" si="721"/>
        <v>0</v>
      </c>
      <c r="AW311" s="160">
        <f t="shared" si="721"/>
        <v>0</v>
      </c>
      <c r="AX311" s="160">
        <f t="shared" si="721"/>
        <v>0</v>
      </c>
      <c r="AY311" s="160">
        <f t="shared" si="721"/>
        <v>0</v>
      </c>
      <c r="AZ311" s="160">
        <f t="shared" si="721"/>
        <v>0</v>
      </c>
      <c r="BA311" s="160">
        <f t="shared" si="721"/>
        <v>0</v>
      </c>
      <c r="BB311" s="160">
        <f t="shared" si="721"/>
        <v>0</v>
      </c>
      <c r="BC311" s="160">
        <f t="shared" si="721"/>
        <v>0</v>
      </c>
      <c r="BD311" s="160">
        <f t="shared" si="721"/>
        <v>0</v>
      </c>
      <c r="BE311" s="160">
        <f t="shared" si="721"/>
        <v>0</v>
      </c>
      <c r="BF311" s="160">
        <f t="shared" si="721"/>
        <v>0</v>
      </c>
      <c r="BG311" s="160">
        <f t="shared" si="721"/>
        <v>0</v>
      </c>
      <c r="BH311" s="160">
        <f t="shared" si="721"/>
        <v>0</v>
      </c>
      <c r="BI311" s="160">
        <f t="shared" si="721"/>
        <v>0</v>
      </c>
      <c r="BJ311" s="160">
        <f t="shared" si="721"/>
        <v>0</v>
      </c>
      <c r="BK311" s="160">
        <f t="shared" si="721"/>
        <v>0</v>
      </c>
      <c r="BL311" s="160">
        <f t="shared" si="721"/>
        <v>0</v>
      </c>
      <c r="BM311" s="160">
        <f t="shared" si="721"/>
        <v>0</v>
      </c>
      <c r="BN311" s="160">
        <f t="shared" si="721"/>
        <v>0</v>
      </c>
      <c r="BO311" s="160">
        <f t="shared" si="721"/>
        <v>0</v>
      </c>
      <c r="BP311" s="160">
        <f t="shared" si="721"/>
        <v>0</v>
      </c>
      <c r="BQ311" s="160">
        <f t="shared" si="721"/>
        <v>0</v>
      </c>
      <c r="BR311" s="160">
        <f t="shared" si="721"/>
        <v>0</v>
      </c>
      <c r="BS311" s="65"/>
      <c r="BT311" s="160">
        <f t="shared" si="722"/>
        <v>0</v>
      </c>
      <c r="BU311" s="160">
        <f t="shared" si="723"/>
        <v>0</v>
      </c>
      <c r="BV311" s="65"/>
      <c r="BW311" s="69"/>
      <c r="BX311" s="65"/>
      <c r="BY311" s="137">
        <f t="shared" si="724"/>
        <v>1</v>
      </c>
      <c r="BZ311" s="137">
        <f>IF(BY311&gt;0,BY311+LARGE($BZ$213:BZ310,1),0)</f>
        <v>83</v>
      </c>
      <c r="CA311" s="137" t="str">
        <f t="shared" si="725"/>
        <v>SUP.-ESP</v>
      </c>
      <c r="CB311" s="161">
        <f t="shared" si="726"/>
        <v>0</v>
      </c>
      <c r="CC311" s="161">
        <f t="shared" si="727"/>
        <v>0</v>
      </c>
      <c r="CD311" s="161">
        <f t="shared" si="728"/>
        <v>0</v>
      </c>
      <c r="CE311" s="161">
        <f t="shared" si="729"/>
        <v>0</v>
      </c>
      <c r="CF311" s="161">
        <f t="shared" si="730"/>
        <v>0</v>
      </c>
      <c r="CG311" s="161">
        <f t="shared" si="731"/>
        <v>0</v>
      </c>
      <c r="CH311" s="161">
        <f t="shared" si="732"/>
        <v>0</v>
      </c>
      <c r="CI311" s="161">
        <f t="shared" si="733"/>
        <v>0</v>
      </c>
      <c r="CJ311" s="161">
        <f t="shared" si="734"/>
        <v>0</v>
      </c>
      <c r="CK311" s="161">
        <f t="shared" si="735"/>
        <v>0</v>
      </c>
      <c r="CL311" s="161">
        <f t="shared" si="736"/>
        <v>0</v>
      </c>
      <c r="CM311" s="161">
        <f t="shared" si="737"/>
        <v>0</v>
      </c>
      <c r="CN311" s="161">
        <f t="shared" si="738"/>
        <v>0</v>
      </c>
      <c r="CO311" s="161">
        <f t="shared" si="739"/>
        <v>0</v>
      </c>
      <c r="CP311" s="161">
        <f t="shared" si="740"/>
        <v>0</v>
      </c>
      <c r="CQ311" s="161">
        <f t="shared" si="741"/>
        <v>0</v>
      </c>
      <c r="CR311" s="161">
        <f t="shared" si="742"/>
        <v>0</v>
      </c>
      <c r="CS311" s="161">
        <f t="shared" si="743"/>
        <v>0</v>
      </c>
      <c r="CT311" s="161">
        <f t="shared" si="744"/>
        <v>0</v>
      </c>
      <c r="CU311" s="161">
        <f t="shared" si="745"/>
        <v>0</v>
      </c>
      <c r="CV311" s="161">
        <f t="shared" si="746"/>
        <v>0</v>
      </c>
      <c r="CW311" s="161">
        <f t="shared" si="747"/>
        <v>0</v>
      </c>
      <c r="CX311" s="161">
        <f t="shared" si="748"/>
        <v>0</v>
      </c>
      <c r="CY311" s="161">
        <f t="shared" si="749"/>
        <v>0</v>
      </c>
      <c r="CZ311" s="161">
        <f t="shared" si="750"/>
        <v>0</v>
      </c>
      <c r="DA311" s="161">
        <f t="shared" si="751"/>
        <v>0</v>
      </c>
      <c r="DB311" s="161">
        <f t="shared" si="752"/>
        <v>0</v>
      </c>
      <c r="DC311" s="161">
        <f t="shared" si="753"/>
        <v>0</v>
      </c>
      <c r="DD311" s="161">
        <f t="shared" si="754"/>
        <v>0</v>
      </c>
      <c r="DE311" s="161">
        <f t="shared" si="755"/>
        <v>0</v>
      </c>
      <c r="DF311" s="161">
        <f t="shared" si="756"/>
        <v>0</v>
      </c>
      <c r="DG311" s="161">
        <f t="shared" si="757"/>
        <v>0</v>
      </c>
      <c r="DH311" s="161">
        <f t="shared" si="758"/>
        <v>0</v>
      </c>
      <c r="DI311" s="161">
        <f t="shared" si="759"/>
        <v>0</v>
      </c>
      <c r="DJ311" s="161">
        <f t="shared" si="760"/>
        <v>0</v>
      </c>
      <c r="DK311" s="161">
        <f t="shared" si="761"/>
        <v>0</v>
      </c>
      <c r="DL311" s="161">
        <f t="shared" si="762"/>
        <v>0</v>
      </c>
      <c r="DM311" s="161">
        <f t="shared" si="763"/>
        <v>0</v>
      </c>
      <c r="DN311" s="161">
        <f t="shared" si="764"/>
        <v>0</v>
      </c>
      <c r="DO311" s="161">
        <f t="shared" si="765"/>
        <v>0</v>
      </c>
      <c r="DP311" s="161">
        <f t="shared" si="766"/>
        <v>0</v>
      </c>
      <c r="DQ311" s="161">
        <f t="shared" si="767"/>
        <v>0</v>
      </c>
      <c r="DR311" s="161">
        <f t="shared" si="768"/>
        <v>0</v>
      </c>
      <c r="DS311" s="161">
        <f t="shared" si="769"/>
        <v>0</v>
      </c>
      <c r="DT311" s="161">
        <f t="shared" si="770"/>
        <v>0</v>
      </c>
      <c r="DU311" s="161">
        <f t="shared" si="771"/>
        <v>0</v>
      </c>
      <c r="DV311" s="161">
        <f t="shared" si="772"/>
        <v>0</v>
      </c>
      <c r="DW311" s="161">
        <f t="shared" si="773"/>
        <v>0</v>
      </c>
      <c r="DX311" s="161">
        <f t="shared" si="774"/>
        <v>0</v>
      </c>
      <c r="DY311" s="161">
        <f t="shared" si="775"/>
        <v>0</v>
      </c>
      <c r="DZ311" s="161">
        <f t="shared" si="776"/>
        <v>0</v>
      </c>
      <c r="EA311" s="161">
        <f t="shared" si="777"/>
        <v>0</v>
      </c>
      <c r="EB311" s="161">
        <f t="shared" si="778"/>
        <v>0</v>
      </c>
      <c r="EC311" s="161">
        <f t="shared" si="779"/>
        <v>0</v>
      </c>
      <c r="ED311" s="161">
        <f t="shared" si="780"/>
        <v>0</v>
      </c>
      <c r="EE311" s="161">
        <f t="shared" si="781"/>
        <v>0</v>
      </c>
      <c r="EF311" s="161">
        <f t="shared" si="782"/>
        <v>0</v>
      </c>
      <c r="EG311" s="161">
        <f t="shared" si="783"/>
        <v>0</v>
      </c>
      <c r="EH311" s="161">
        <f t="shared" si="784"/>
        <v>0</v>
      </c>
      <c r="EI311" s="161">
        <f t="shared" si="785"/>
        <v>0</v>
      </c>
      <c r="EJ311" s="65"/>
      <c r="EK311" s="161">
        <f t="shared" si="789"/>
        <v>0</v>
      </c>
      <c r="EL311" s="161">
        <f t="shared" si="790"/>
        <v>0</v>
      </c>
      <c r="EM311" s="161">
        <f t="shared" si="791"/>
        <v>0</v>
      </c>
    </row>
    <row r="312" spans="1:143" ht="12" hidden="1" customHeight="1" outlineLevel="2">
      <c r="A312" s="77">
        <v>4</v>
      </c>
      <c r="B312" s="137" t="str">
        <f t="shared" si="786"/>
        <v>ENG/ARQ SR. - Equipe_01</v>
      </c>
      <c r="C312" s="65"/>
      <c r="D312" s="622"/>
      <c r="E312" s="65"/>
      <c r="F312" s="584"/>
      <c r="G312" s="77" t="str">
        <f>IF(INDEX(Tarefas!$BT$30:$FK$30,MATCH(A312,Tarefas!$BT$28:$FK$28,0))=0,"",INDEX(Tarefas!$BT$30:$FK$30,MATCH(A312,Tarefas!$BT$28:$FK$28,0)))</f>
        <v>ENG/ARQ SR.</v>
      </c>
      <c r="H312" s="107" cm="1">
        <f t="array" ref="H312">IFERROR((SUMPRODUCT((Tarefas!$N$32:$N$54='Cronog. e Histog.'!$F$309)*(Tarefas!$BQ$30:$FK$30='Cronog. e Histog.'!$G312)*(Tarefas!$BQ$32:$FK$54)))/SUMIF(Tarefas!$N$32:$N$54,'Cronog. e Histog.'!$F$309,Tarefas!$K$32:$K$54),0)</f>
        <v>1.234567901234568E-2</v>
      </c>
      <c r="I312" s="79">
        <f t="shared" si="787"/>
        <v>1.234567901234568E-2</v>
      </c>
      <c r="J312" s="65"/>
      <c r="K312" s="160">
        <f t="shared" si="788"/>
        <v>0.01</v>
      </c>
      <c r="L312" s="160">
        <f t="shared" si="721"/>
        <v>0.01</v>
      </c>
      <c r="M312" s="160">
        <f t="shared" si="721"/>
        <v>0.01</v>
      </c>
      <c r="N312" s="160">
        <f t="shared" si="721"/>
        <v>0.01</v>
      </c>
      <c r="O312" s="160">
        <f t="shared" si="721"/>
        <v>0.01</v>
      </c>
      <c r="P312" s="160">
        <f t="shared" si="721"/>
        <v>0.01</v>
      </c>
      <c r="Q312" s="160">
        <f t="shared" si="721"/>
        <v>0.01</v>
      </c>
      <c r="R312" s="160">
        <f t="shared" si="721"/>
        <v>0.01</v>
      </c>
      <c r="S312" s="160">
        <f t="shared" si="721"/>
        <v>0.01</v>
      </c>
      <c r="T312" s="160">
        <f t="shared" si="721"/>
        <v>0.01</v>
      </c>
      <c r="U312" s="160">
        <f t="shared" si="721"/>
        <v>0</v>
      </c>
      <c r="V312" s="160">
        <f t="shared" si="721"/>
        <v>0</v>
      </c>
      <c r="W312" s="160">
        <f t="shared" si="721"/>
        <v>0</v>
      </c>
      <c r="X312" s="160">
        <f t="shared" si="721"/>
        <v>0</v>
      </c>
      <c r="Y312" s="160">
        <f t="shared" si="721"/>
        <v>0</v>
      </c>
      <c r="Z312" s="160">
        <f t="shared" si="721"/>
        <v>0</v>
      </c>
      <c r="AA312" s="160">
        <f t="shared" si="721"/>
        <v>0</v>
      </c>
      <c r="AB312" s="160">
        <f t="shared" si="721"/>
        <v>0</v>
      </c>
      <c r="AC312" s="160">
        <f t="shared" si="721"/>
        <v>0</v>
      </c>
      <c r="AD312" s="160">
        <f t="shared" si="721"/>
        <v>0</v>
      </c>
      <c r="AE312" s="160">
        <f t="shared" si="721"/>
        <v>0</v>
      </c>
      <c r="AF312" s="160">
        <f t="shared" si="721"/>
        <v>0</v>
      </c>
      <c r="AG312" s="160">
        <f t="shared" si="721"/>
        <v>0</v>
      </c>
      <c r="AH312" s="160">
        <f t="shared" si="721"/>
        <v>0</v>
      </c>
      <c r="AI312" s="160">
        <f t="shared" si="721"/>
        <v>0</v>
      </c>
      <c r="AJ312" s="160">
        <f t="shared" si="721"/>
        <v>0</v>
      </c>
      <c r="AK312" s="160">
        <f t="shared" si="721"/>
        <v>0</v>
      </c>
      <c r="AL312" s="160">
        <f t="shared" si="721"/>
        <v>0</v>
      </c>
      <c r="AM312" s="160">
        <f t="shared" si="721"/>
        <v>0</v>
      </c>
      <c r="AN312" s="160">
        <f t="shared" si="721"/>
        <v>0</v>
      </c>
      <c r="AO312" s="160">
        <f t="shared" si="721"/>
        <v>0</v>
      </c>
      <c r="AP312" s="160">
        <f t="shared" si="721"/>
        <v>0</v>
      </c>
      <c r="AQ312" s="160">
        <f t="shared" si="721"/>
        <v>0</v>
      </c>
      <c r="AR312" s="160">
        <f t="shared" si="721"/>
        <v>0</v>
      </c>
      <c r="AS312" s="160">
        <f t="shared" si="721"/>
        <v>0</v>
      </c>
      <c r="AT312" s="160">
        <f t="shared" si="721"/>
        <v>0</v>
      </c>
      <c r="AU312" s="160">
        <f t="shared" si="721"/>
        <v>0</v>
      </c>
      <c r="AV312" s="160">
        <f t="shared" si="721"/>
        <v>0</v>
      </c>
      <c r="AW312" s="160">
        <f t="shared" si="721"/>
        <v>0</v>
      </c>
      <c r="AX312" s="160">
        <f t="shared" si="721"/>
        <v>0</v>
      </c>
      <c r="AY312" s="160">
        <f t="shared" si="721"/>
        <v>0</v>
      </c>
      <c r="AZ312" s="160">
        <f t="shared" si="721"/>
        <v>0</v>
      </c>
      <c r="BA312" s="160">
        <f t="shared" si="721"/>
        <v>0</v>
      </c>
      <c r="BB312" s="160">
        <f t="shared" si="721"/>
        <v>0</v>
      </c>
      <c r="BC312" s="160">
        <f t="shared" si="721"/>
        <v>0</v>
      </c>
      <c r="BD312" s="160">
        <f t="shared" si="721"/>
        <v>0</v>
      </c>
      <c r="BE312" s="160">
        <f t="shared" si="721"/>
        <v>0</v>
      </c>
      <c r="BF312" s="160">
        <f t="shared" si="721"/>
        <v>0</v>
      </c>
      <c r="BG312" s="160">
        <f t="shared" si="721"/>
        <v>0</v>
      </c>
      <c r="BH312" s="160">
        <f t="shared" si="721"/>
        <v>0</v>
      </c>
      <c r="BI312" s="160">
        <f t="shared" si="721"/>
        <v>0</v>
      </c>
      <c r="BJ312" s="160">
        <f t="shared" si="721"/>
        <v>0</v>
      </c>
      <c r="BK312" s="160">
        <f t="shared" si="721"/>
        <v>0</v>
      </c>
      <c r="BL312" s="160">
        <f t="shared" si="721"/>
        <v>0</v>
      </c>
      <c r="BM312" s="160">
        <f t="shared" si="721"/>
        <v>0</v>
      </c>
      <c r="BN312" s="160">
        <f t="shared" si="721"/>
        <v>0</v>
      </c>
      <c r="BO312" s="160">
        <f t="shared" si="721"/>
        <v>0</v>
      </c>
      <c r="BP312" s="160">
        <f t="shared" si="721"/>
        <v>0</v>
      </c>
      <c r="BQ312" s="160">
        <f t="shared" si="721"/>
        <v>0</v>
      </c>
      <c r="BR312" s="160">
        <f t="shared" si="721"/>
        <v>0</v>
      </c>
      <c r="BS312" s="65"/>
      <c r="BT312" s="160">
        <f t="shared" si="722"/>
        <v>9.9999999999999985E-3</v>
      </c>
      <c r="BU312" s="160">
        <f t="shared" si="723"/>
        <v>10</v>
      </c>
      <c r="BV312" s="65"/>
      <c r="BW312" s="69"/>
      <c r="BX312" s="65"/>
      <c r="BY312" s="137">
        <f t="shared" si="724"/>
        <v>1</v>
      </c>
      <c r="BZ312" s="137">
        <f>IF(BY312&gt;0,BY312+LARGE($BZ$213:BZ311,1),0)</f>
        <v>84</v>
      </c>
      <c r="CA312" s="137" t="str">
        <f t="shared" si="725"/>
        <v>ENG/ARQ SR.</v>
      </c>
      <c r="CB312" s="161">
        <f t="shared" si="726"/>
        <v>0.01</v>
      </c>
      <c r="CC312" s="161">
        <f t="shared" si="727"/>
        <v>0.01</v>
      </c>
      <c r="CD312" s="161">
        <f t="shared" si="728"/>
        <v>0.01</v>
      </c>
      <c r="CE312" s="161">
        <f t="shared" si="729"/>
        <v>0.01</v>
      </c>
      <c r="CF312" s="161">
        <f t="shared" si="730"/>
        <v>0.01</v>
      </c>
      <c r="CG312" s="161">
        <f t="shared" si="731"/>
        <v>0.01</v>
      </c>
      <c r="CH312" s="161">
        <f t="shared" si="732"/>
        <v>0.01</v>
      </c>
      <c r="CI312" s="161">
        <f t="shared" si="733"/>
        <v>0.01</v>
      </c>
      <c r="CJ312" s="161">
        <f t="shared" si="734"/>
        <v>0.01</v>
      </c>
      <c r="CK312" s="161">
        <f t="shared" si="735"/>
        <v>0.01</v>
      </c>
      <c r="CL312" s="161">
        <f t="shared" si="736"/>
        <v>0</v>
      </c>
      <c r="CM312" s="161">
        <f t="shared" si="737"/>
        <v>0</v>
      </c>
      <c r="CN312" s="161">
        <f t="shared" si="738"/>
        <v>0</v>
      </c>
      <c r="CO312" s="161">
        <f t="shared" si="739"/>
        <v>0</v>
      </c>
      <c r="CP312" s="161">
        <f t="shared" si="740"/>
        <v>0</v>
      </c>
      <c r="CQ312" s="161">
        <f t="shared" si="741"/>
        <v>0</v>
      </c>
      <c r="CR312" s="161">
        <f t="shared" si="742"/>
        <v>0</v>
      </c>
      <c r="CS312" s="161">
        <f t="shared" si="743"/>
        <v>0</v>
      </c>
      <c r="CT312" s="161">
        <f t="shared" si="744"/>
        <v>0</v>
      </c>
      <c r="CU312" s="161">
        <f t="shared" si="745"/>
        <v>0</v>
      </c>
      <c r="CV312" s="161">
        <f t="shared" si="746"/>
        <v>0</v>
      </c>
      <c r="CW312" s="161">
        <f t="shared" si="747"/>
        <v>0</v>
      </c>
      <c r="CX312" s="161">
        <f t="shared" si="748"/>
        <v>0</v>
      </c>
      <c r="CY312" s="161">
        <f t="shared" si="749"/>
        <v>0</v>
      </c>
      <c r="CZ312" s="161">
        <f t="shared" si="750"/>
        <v>0</v>
      </c>
      <c r="DA312" s="161">
        <f t="shared" si="751"/>
        <v>0</v>
      </c>
      <c r="DB312" s="161">
        <f t="shared" si="752"/>
        <v>0</v>
      </c>
      <c r="DC312" s="161">
        <f t="shared" si="753"/>
        <v>0</v>
      </c>
      <c r="DD312" s="161">
        <f t="shared" si="754"/>
        <v>0</v>
      </c>
      <c r="DE312" s="161">
        <f t="shared" si="755"/>
        <v>0</v>
      </c>
      <c r="DF312" s="161">
        <f t="shared" si="756"/>
        <v>0</v>
      </c>
      <c r="DG312" s="161">
        <f t="shared" si="757"/>
        <v>0</v>
      </c>
      <c r="DH312" s="161">
        <f t="shared" si="758"/>
        <v>0</v>
      </c>
      <c r="DI312" s="161">
        <f t="shared" si="759"/>
        <v>0</v>
      </c>
      <c r="DJ312" s="161">
        <f t="shared" si="760"/>
        <v>0</v>
      </c>
      <c r="DK312" s="161">
        <f t="shared" si="761"/>
        <v>0</v>
      </c>
      <c r="DL312" s="161">
        <f t="shared" si="762"/>
        <v>0</v>
      </c>
      <c r="DM312" s="161">
        <f t="shared" si="763"/>
        <v>0</v>
      </c>
      <c r="DN312" s="161">
        <f t="shared" si="764"/>
        <v>0</v>
      </c>
      <c r="DO312" s="161">
        <f t="shared" si="765"/>
        <v>0</v>
      </c>
      <c r="DP312" s="161">
        <f t="shared" si="766"/>
        <v>0</v>
      </c>
      <c r="DQ312" s="161">
        <f t="shared" si="767"/>
        <v>0</v>
      </c>
      <c r="DR312" s="161">
        <f t="shared" si="768"/>
        <v>0</v>
      </c>
      <c r="DS312" s="161">
        <f t="shared" si="769"/>
        <v>0</v>
      </c>
      <c r="DT312" s="161">
        <f t="shared" si="770"/>
        <v>0</v>
      </c>
      <c r="DU312" s="161">
        <f t="shared" si="771"/>
        <v>0</v>
      </c>
      <c r="DV312" s="161">
        <f t="shared" si="772"/>
        <v>0</v>
      </c>
      <c r="DW312" s="161">
        <f t="shared" si="773"/>
        <v>0</v>
      </c>
      <c r="DX312" s="161">
        <f t="shared" si="774"/>
        <v>0</v>
      </c>
      <c r="DY312" s="161">
        <f t="shared" si="775"/>
        <v>0</v>
      </c>
      <c r="DZ312" s="161">
        <f t="shared" si="776"/>
        <v>0</v>
      </c>
      <c r="EA312" s="161">
        <f t="shared" si="777"/>
        <v>0</v>
      </c>
      <c r="EB312" s="161">
        <f t="shared" si="778"/>
        <v>0</v>
      </c>
      <c r="EC312" s="161">
        <f t="shared" si="779"/>
        <v>0</v>
      </c>
      <c r="ED312" s="161">
        <f t="shared" si="780"/>
        <v>0</v>
      </c>
      <c r="EE312" s="161">
        <f t="shared" si="781"/>
        <v>0</v>
      </c>
      <c r="EF312" s="161">
        <f t="shared" si="782"/>
        <v>0</v>
      </c>
      <c r="EG312" s="161">
        <f t="shared" si="783"/>
        <v>0</v>
      </c>
      <c r="EH312" s="161">
        <f t="shared" si="784"/>
        <v>0</v>
      </c>
      <c r="EI312" s="161">
        <f t="shared" si="785"/>
        <v>0</v>
      </c>
      <c r="EJ312" s="65"/>
      <c r="EK312" s="161">
        <f t="shared" si="789"/>
        <v>0</v>
      </c>
      <c r="EL312" s="161">
        <f t="shared" si="790"/>
        <v>0</v>
      </c>
      <c r="EM312" s="161">
        <f t="shared" si="791"/>
        <v>0</v>
      </c>
    </row>
    <row r="313" spans="1:143" ht="12" hidden="1" customHeight="1" outlineLevel="2">
      <c r="A313" s="77">
        <v>5</v>
      </c>
      <c r="B313" s="137" t="str">
        <f t="shared" si="786"/>
        <v>ENG/ARQ PL. - Equipe_01</v>
      </c>
      <c r="C313" s="65"/>
      <c r="D313" s="622"/>
      <c r="E313" s="65"/>
      <c r="F313" s="584"/>
      <c r="G313" s="77" t="str">
        <f>IF(INDEX(Tarefas!$BT$30:$FK$30,MATCH(A313,Tarefas!$BT$28:$FK$28,0))=0,"",INDEX(Tarefas!$BT$30:$FK$30,MATCH(A313,Tarefas!$BT$28:$FK$28,0)))</f>
        <v>ENG/ARQ PL.</v>
      </c>
      <c r="H313" s="107" cm="1">
        <f t="array" ref="H313">IFERROR((SUMPRODUCT((Tarefas!$N$32:$N$54='Cronog. e Histog.'!$F$309)*(Tarefas!$BQ$30:$FK$30='Cronog. e Histog.'!$G313)*(Tarefas!$BQ$32:$FK$54)))/SUMIF(Tarefas!$N$32:$N$54,'Cronog. e Histog.'!$F$309,Tarefas!$K$32:$K$54),0)</f>
        <v>0.98765432098765438</v>
      </c>
      <c r="I313" s="79">
        <f t="shared" si="787"/>
        <v>0.98765432098765438</v>
      </c>
      <c r="J313" s="65"/>
      <c r="K313" s="160">
        <f t="shared" si="788"/>
        <v>0.6</v>
      </c>
      <c r="L313" s="160">
        <f t="shared" si="721"/>
        <v>0.6</v>
      </c>
      <c r="M313" s="160">
        <f t="shared" si="721"/>
        <v>0.6</v>
      </c>
      <c r="N313" s="160">
        <f t="shared" si="721"/>
        <v>0.6</v>
      </c>
      <c r="O313" s="160">
        <f t="shared" si="721"/>
        <v>0.6</v>
      </c>
      <c r="P313" s="160">
        <f t="shared" si="721"/>
        <v>0.6</v>
      </c>
      <c r="Q313" s="160">
        <f t="shared" si="721"/>
        <v>0.6</v>
      </c>
      <c r="R313" s="160">
        <f t="shared" si="721"/>
        <v>0.6</v>
      </c>
      <c r="S313" s="160">
        <f t="shared" si="721"/>
        <v>0.6</v>
      </c>
      <c r="T313" s="160">
        <f t="shared" si="721"/>
        <v>0.6</v>
      </c>
      <c r="U313" s="160">
        <f t="shared" si="721"/>
        <v>0</v>
      </c>
      <c r="V313" s="160">
        <f t="shared" si="721"/>
        <v>0</v>
      </c>
      <c r="W313" s="160">
        <f t="shared" si="721"/>
        <v>0</v>
      </c>
      <c r="X313" s="160">
        <f t="shared" si="721"/>
        <v>0</v>
      </c>
      <c r="Y313" s="160">
        <f t="shared" si="721"/>
        <v>0</v>
      </c>
      <c r="Z313" s="160">
        <f t="shared" si="721"/>
        <v>0</v>
      </c>
      <c r="AA313" s="160">
        <f t="shared" si="721"/>
        <v>0</v>
      </c>
      <c r="AB313" s="160">
        <f t="shared" si="721"/>
        <v>0</v>
      </c>
      <c r="AC313" s="160">
        <f t="shared" si="721"/>
        <v>0</v>
      </c>
      <c r="AD313" s="160">
        <f t="shared" si="721"/>
        <v>0</v>
      </c>
      <c r="AE313" s="160">
        <f t="shared" si="721"/>
        <v>0</v>
      </c>
      <c r="AF313" s="160">
        <f t="shared" si="721"/>
        <v>0</v>
      </c>
      <c r="AG313" s="160">
        <f t="shared" si="721"/>
        <v>0</v>
      </c>
      <c r="AH313" s="160">
        <f t="shared" si="721"/>
        <v>0</v>
      </c>
      <c r="AI313" s="160">
        <f t="shared" si="721"/>
        <v>0</v>
      </c>
      <c r="AJ313" s="160">
        <f t="shared" si="721"/>
        <v>0</v>
      </c>
      <c r="AK313" s="160">
        <f t="shared" si="721"/>
        <v>0</v>
      </c>
      <c r="AL313" s="160">
        <f t="shared" si="721"/>
        <v>0</v>
      </c>
      <c r="AM313" s="160">
        <f t="shared" si="721"/>
        <v>0</v>
      </c>
      <c r="AN313" s="160">
        <f t="shared" si="721"/>
        <v>0</v>
      </c>
      <c r="AO313" s="160">
        <f t="shared" si="721"/>
        <v>0</v>
      </c>
      <c r="AP313" s="160">
        <f t="shared" si="721"/>
        <v>0</v>
      </c>
      <c r="AQ313" s="160">
        <f t="shared" si="721"/>
        <v>0</v>
      </c>
      <c r="AR313" s="160">
        <f t="shared" si="721"/>
        <v>0</v>
      </c>
      <c r="AS313" s="160">
        <f t="shared" si="721"/>
        <v>0</v>
      </c>
      <c r="AT313" s="160">
        <f t="shared" ref="L313:BR327" si="792">ROUND($I313*AT$187,2)</f>
        <v>0</v>
      </c>
      <c r="AU313" s="160">
        <f t="shared" si="792"/>
        <v>0</v>
      </c>
      <c r="AV313" s="160">
        <f t="shared" si="792"/>
        <v>0</v>
      </c>
      <c r="AW313" s="160">
        <f t="shared" si="792"/>
        <v>0</v>
      </c>
      <c r="AX313" s="160">
        <f t="shared" si="792"/>
        <v>0</v>
      </c>
      <c r="AY313" s="160">
        <f t="shared" si="792"/>
        <v>0</v>
      </c>
      <c r="AZ313" s="160">
        <f t="shared" si="792"/>
        <v>0</v>
      </c>
      <c r="BA313" s="160">
        <f t="shared" si="792"/>
        <v>0</v>
      </c>
      <c r="BB313" s="160">
        <f t="shared" si="792"/>
        <v>0</v>
      </c>
      <c r="BC313" s="160">
        <f t="shared" si="792"/>
        <v>0</v>
      </c>
      <c r="BD313" s="160">
        <f t="shared" si="792"/>
        <v>0</v>
      </c>
      <c r="BE313" s="160">
        <f t="shared" si="792"/>
        <v>0</v>
      </c>
      <c r="BF313" s="160">
        <f t="shared" si="792"/>
        <v>0</v>
      </c>
      <c r="BG313" s="160">
        <f t="shared" si="792"/>
        <v>0</v>
      </c>
      <c r="BH313" s="160">
        <f t="shared" si="792"/>
        <v>0</v>
      </c>
      <c r="BI313" s="160">
        <f t="shared" si="792"/>
        <v>0</v>
      </c>
      <c r="BJ313" s="160">
        <f t="shared" si="792"/>
        <v>0</v>
      </c>
      <c r="BK313" s="160">
        <f t="shared" si="792"/>
        <v>0</v>
      </c>
      <c r="BL313" s="160">
        <f t="shared" si="792"/>
        <v>0</v>
      </c>
      <c r="BM313" s="160">
        <f t="shared" si="792"/>
        <v>0</v>
      </c>
      <c r="BN313" s="160">
        <f t="shared" si="792"/>
        <v>0</v>
      </c>
      <c r="BO313" s="160">
        <f t="shared" si="792"/>
        <v>0</v>
      </c>
      <c r="BP313" s="160">
        <f t="shared" si="792"/>
        <v>0</v>
      </c>
      <c r="BQ313" s="160">
        <f t="shared" si="792"/>
        <v>0</v>
      </c>
      <c r="BR313" s="160">
        <f t="shared" si="792"/>
        <v>0</v>
      </c>
      <c r="BS313" s="65"/>
      <c r="BT313" s="160">
        <f t="shared" si="722"/>
        <v>0.59999999999999987</v>
      </c>
      <c r="BU313" s="160">
        <f t="shared" si="723"/>
        <v>10</v>
      </c>
      <c r="BV313" s="65"/>
      <c r="BW313" s="69"/>
      <c r="BX313" s="65"/>
      <c r="BY313" s="137">
        <f t="shared" si="724"/>
        <v>1</v>
      </c>
      <c r="BZ313" s="137">
        <f>IF(BY313&gt;0,BY313+LARGE($BZ$213:BZ312,1),0)</f>
        <v>85</v>
      </c>
      <c r="CA313" s="137" t="str">
        <f t="shared" si="725"/>
        <v>ENG/ARQ PL.</v>
      </c>
      <c r="CB313" s="161">
        <f t="shared" si="726"/>
        <v>0.6</v>
      </c>
      <c r="CC313" s="161">
        <f t="shared" si="727"/>
        <v>0.6</v>
      </c>
      <c r="CD313" s="161">
        <f t="shared" si="728"/>
        <v>0.6</v>
      </c>
      <c r="CE313" s="161">
        <f t="shared" si="729"/>
        <v>0.6</v>
      </c>
      <c r="CF313" s="161">
        <f t="shared" si="730"/>
        <v>0.6</v>
      </c>
      <c r="CG313" s="161">
        <f t="shared" si="731"/>
        <v>0.6</v>
      </c>
      <c r="CH313" s="161">
        <f t="shared" si="732"/>
        <v>0.6</v>
      </c>
      <c r="CI313" s="161">
        <f t="shared" si="733"/>
        <v>0.6</v>
      </c>
      <c r="CJ313" s="161">
        <f t="shared" si="734"/>
        <v>0.6</v>
      </c>
      <c r="CK313" s="161">
        <f t="shared" si="735"/>
        <v>0.6</v>
      </c>
      <c r="CL313" s="161">
        <f t="shared" si="736"/>
        <v>0</v>
      </c>
      <c r="CM313" s="161">
        <f t="shared" si="737"/>
        <v>0</v>
      </c>
      <c r="CN313" s="161">
        <f t="shared" si="738"/>
        <v>0</v>
      </c>
      <c r="CO313" s="161">
        <f t="shared" si="739"/>
        <v>0</v>
      </c>
      <c r="CP313" s="161">
        <f t="shared" si="740"/>
        <v>0</v>
      </c>
      <c r="CQ313" s="161">
        <f t="shared" si="741"/>
        <v>0</v>
      </c>
      <c r="CR313" s="161">
        <f t="shared" si="742"/>
        <v>0</v>
      </c>
      <c r="CS313" s="161">
        <f t="shared" si="743"/>
        <v>0</v>
      </c>
      <c r="CT313" s="161">
        <f t="shared" si="744"/>
        <v>0</v>
      </c>
      <c r="CU313" s="161">
        <f t="shared" si="745"/>
        <v>0</v>
      </c>
      <c r="CV313" s="161">
        <f t="shared" si="746"/>
        <v>0</v>
      </c>
      <c r="CW313" s="161">
        <f t="shared" si="747"/>
        <v>0</v>
      </c>
      <c r="CX313" s="161">
        <f t="shared" si="748"/>
        <v>0</v>
      </c>
      <c r="CY313" s="161">
        <f t="shared" si="749"/>
        <v>0</v>
      </c>
      <c r="CZ313" s="161">
        <f t="shared" si="750"/>
        <v>0</v>
      </c>
      <c r="DA313" s="161">
        <f t="shared" si="751"/>
        <v>0</v>
      </c>
      <c r="DB313" s="161">
        <f t="shared" si="752"/>
        <v>0</v>
      </c>
      <c r="DC313" s="161">
        <f t="shared" si="753"/>
        <v>0</v>
      </c>
      <c r="DD313" s="161">
        <f t="shared" si="754"/>
        <v>0</v>
      </c>
      <c r="DE313" s="161">
        <f t="shared" si="755"/>
        <v>0</v>
      </c>
      <c r="DF313" s="161">
        <f t="shared" si="756"/>
        <v>0</v>
      </c>
      <c r="DG313" s="161">
        <f t="shared" si="757"/>
        <v>0</v>
      </c>
      <c r="DH313" s="161">
        <f t="shared" si="758"/>
        <v>0</v>
      </c>
      <c r="DI313" s="161">
        <f t="shared" si="759"/>
        <v>0</v>
      </c>
      <c r="DJ313" s="161">
        <f t="shared" si="760"/>
        <v>0</v>
      </c>
      <c r="DK313" s="161">
        <f t="shared" si="761"/>
        <v>0</v>
      </c>
      <c r="DL313" s="161">
        <f t="shared" si="762"/>
        <v>0</v>
      </c>
      <c r="DM313" s="161">
        <f t="shared" si="763"/>
        <v>0</v>
      </c>
      <c r="DN313" s="161">
        <f t="shared" si="764"/>
        <v>0</v>
      </c>
      <c r="DO313" s="161">
        <f t="shared" si="765"/>
        <v>0</v>
      </c>
      <c r="DP313" s="161">
        <f t="shared" si="766"/>
        <v>0</v>
      </c>
      <c r="DQ313" s="161">
        <f t="shared" si="767"/>
        <v>0</v>
      </c>
      <c r="DR313" s="161">
        <f t="shared" si="768"/>
        <v>0</v>
      </c>
      <c r="DS313" s="161">
        <f t="shared" si="769"/>
        <v>0</v>
      </c>
      <c r="DT313" s="161">
        <f t="shared" si="770"/>
        <v>0</v>
      </c>
      <c r="DU313" s="161">
        <f t="shared" si="771"/>
        <v>0</v>
      </c>
      <c r="DV313" s="161">
        <f t="shared" si="772"/>
        <v>0</v>
      </c>
      <c r="DW313" s="161">
        <f t="shared" si="773"/>
        <v>0</v>
      </c>
      <c r="DX313" s="161">
        <f t="shared" si="774"/>
        <v>0</v>
      </c>
      <c r="DY313" s="161">
        <f t="shared" si="775"/>
        <v>0</v>
      </c>
      <c r="DZ313" s="161">
        <f t="shared" si="776"/>
        <v>0</v>
      </c>
      <c r="EA313" s="161">
        <f t="shared" si="777"/>
        <v>0</v>
      </c>
      <c r="EB313" s="161">
        <f t="shared" si="778"/>
        <v>0</v>
      </c>
      <c r="EC313" s="161">
        <f t="shared" si="779"/>
        <v>0</v>
      </c>
      <c r="ED313" s="161">
        <f t="shared" si="780"/>
        <v>0</v>
      </c>
      <c r="EE313" s="161">
        <f t="shared" si="781"/>
        <v>0</v>
      </c>
      <c r="EF313" s="161">
        <f t="shared" si="782"/>
        <v>0</v>
      </c>
      <c r="EG313" s="161">
        <f t="shared" si="783"/>
        <v>0</v>
      </c>
      <c r="EH313" s="161">
        <f t="shared" si="784"/>
        <v>0</v>
      </c>
      <c r="EI313" s="161">
        <f t="shared" si="785"/>
        <v>0</v>
      </c>
      <c r="EJ313" s="65"/>
      <c r="EK313" s="161">
        <f t="shared" si="789"/>
        <v>0</v>
      </c>
      <c r="EL313" s="161">
        <f t="shared" si="790"/>
        <v>0</v>
      </c>
      <c r="EM313" s="161">
        <f t="shared" si="791"/>
        <v>0</v>
      </c>
    </row>
    <row r="314" spans="1:143" ht="12" hidden="1" customHeight="1" outlineLevel="2">
      <c r="A314" s="77">
        <v>6</v>
      </c>
      <c r="B314" s="137" t="str">
        <f t="shared" si="786"/>
        <v>ENG/ARQ JR. - Equipe_01</v>
      </c>
      <c r="C314" s="65"/>
      <c r="D314" s="622"/>
      <c r="E314" s="65"/>
      <c r="F314" s="584"/>
      <c r="G314" s="77" t="str">
        <f>IF(INDEX(Tarefas!$BT$30:$FK$30,MATCH(A314,Tarefas!$BT$28:$FK$28,0))=0,"",INDEX(Tarefas!$BT$30:$FK$30,MATCH(A314,Tarefas!$BT$28:$FK$28,0)))</f>
        <v>ENG/ARQ JR.</v>
      </c>
      <c r="H314" s="107" cm="1">
        <f t="array" ref="H314">IFERROR((SUMPRODUCT((Tarefas!$N$32:$N$54='Cronog. e Histog.'!$F$309)*(Tarefas!$BQ$30:$FK$30='Cronog. e Histog.'!$G314)*(Tarefas!$BQ$32:$FK$54)))/SUMIF(Tarefas!$N$32:$N$54,'Cronog. e Histog.'!$F$309,Tarefas!$K$32:$K$54),0)</f>
        <v>0</v>
      </c>
      <c r="I314" s="79">
        <f t="shared" si="787"/>
        <v>0</v>
      </c>
      <c r="J314" s="65"/>
      <c r="K314" s="160">
        <f t="shared" si="788"/>
        <v>0</v>
      </c>
      <c r="L314" s="160">
        <f t="shared" si="792"/>
        <v>0</v>
      </c>
      <c r="M314" s="160">
        <f t="shared" si="792"/>
        <v>0</v>
      </c>
      <c r="N314" s="160">
        <f t="shared" si="792"/>
        <v>0</v>
      </c>
      <c r="O314" s="160">
        <f t="shared" si="792"/>
        <v>0</v>
      </c>
      <c r="P314" s="160">
        <f t="shared" si="792"/>
        <v>0</v>
      </c>
      <c r="Q314" s="160">
        <f t="shared" si="792"/>
        <v>0</v>
      </c>
      <c r="R314" s="160">
        <f t="shared" si="792"/>
        <v>0</v>
      </c>
      <c r="S314" s="160">
        <f t="shared" si="792"/>
        <v>0</v>
      </c>
      <c r="T314" s="160">
        <f t="shared" si="792"/>
        <v>0</v>
      </c>
      <c r="U314" s="160">
        <f t="shared" si="792"/>
        <v>0</v>
      </c>
      <c r="V314" s="160">
        <f t="shared" si="792"/>
        <v>0</v>
      </c>
      <c r="W314" s="160">
        <f t="shared" si="792"/>
        <v>0</v>
      </c>
      <c r="X314" s="160">
        <f t="shared" si="792"/>
        <v>0</v>
      </c>
      <c r="Y314" s="160">
        <f t="shared" si="792"/>
        <v>0</v>
      </c>
      <c r="Z314" s="160">
        <f t="shared" si="792"/>
        <v>0</v>
      </c>
      <c r="AA314" s="160">
        <f t="shared" si="792"/>
        <v>0</v>
      </c>
      <c r="AB314" s="160">
        <f t="shared" si="792"/>
        <v>0</v>
      </c>
      <c r="AC314" s="160">
        <f t="shared" si="792"/>
        <v>0</v>
      </c>
      <c r="AD314" s="160">
        <f t="shared" si="792"/>
        <v>0</v>
      </c>
      <c r="AE314" s="160">
        <f t="shared" si="792"/>
        <v>0</v>
      </c>
      <c r="AF314" s="160">
        <f t="shared" si="792"/>
        <v>0</v>
      </c>
      <c r="AG314" s="160">
        <f t="shared" si="792"/>
        <v>0</v>
      </c>
      <c r="AH314" s="160">
        <f t="shared" si="792"/>
        <v>0</v>
      </c>
      <c r="AI314" s="160">
        <f t="shared" si="792"/>
        <v>0</v>
      </c>
      <c r="AJ314" s="160">
        <f t="shared" si="792"/>
        <v>0</v>
      </c>
      <c r="AK314" s="160">
        <f t="shared" si="792"/>
        <v>0</v>
      </c>
      <c r="AL314" s="160">
        <f t="shared" si="792"/>
        <v>0</v>
      </c>
      <c r="AM314" s="160">
        <f t="shared" si="792"/>
        <v>0</v>
      </c>
      <c r="AN314" s="160">
        <f t="shared" si="792"/>
        <v>0</v>
      </c>
      <c r="AO314" s="160">
        <f t="shared" si="792"/>
        <v>0</v>
      </c>
      <c r="AP314" s="160">
        <f t="shared" si="792"/>
        <v>0</v>
      </c>
      <c r="AQ314" s="160">
        <f t="shared" si="792"/>
        <v>0</v>
      </c>
      <c r="AR314" s="160">
        <f t="shared" si="792"/>
        <v>0</v>
      </c>
      <c r="AS314" s="160">
        <f t="shared" si="792"/>
        <v>0</v>
      </c>
      <c r="AT314" s="160">
        <f t="shared" si="792"/>
        <v>0</v>
      </c>
      <c r="AU314" s="160">
        <f t="shared" si="792"/>
        <v>0</v>
      </c>
      <c r="AV314" s="160">
        <f t="shared" si="792"/>
        <v>0</v>
      </c>
      <c r="AW314" s="160">
        <f t="shared" si="792"/>
        <v>0</v>
      </c>
      <c r="AX314" s="160">
        <f t="shared" si="792"/>
        <v>0</v>
      </c>
      <c r="AY314" s="160">
        <f t="shared" si="792"/>
        <v>0</v>
      </c>
      <c r="AZ314" s="160">
        <f t="shared" si="792"/>
        <v>0</v>
      </c>
      <c r="BA314" s="160">
        <f t="shared" si="792"/>
        <v>0</v>
      </c>
      <c r="BB314" s="160">
        <f t="shared" si="792"/>
        <v>0</v>
      </c>
      <c r="BC314" s="160">
        <f t="shared" si="792"/>
        <v>0</v>
      </c>
      <c r="BD314" s="160">
        <f t="shared" si="792"/>
        <v>0</v>
      </c>
      <c r="BE314" s="160">
        <f t="shared" si="792"/>
        <v>0</v>
      </c>
      <c r="BF314" s="160">
        <f t="shared" si="792"/>
        <v>0</v>
      </c>
      <c r="BG314" s="160">
        <f t="shared" si="792"/>
        <v>0</v>
      </c>
      <c r="BH314" s="160">
        <f t="shared" si="792"/>
        <v>0</v>
      </c>
      <c r="BI314" s="160">
        <f t="shared" si="792"/>
        <v>0</v>
      </c>
      <c r="BJ314" s="160">
        <f t="shared" si="792"/>
        <v>0</v>
      </c>
      <c r="BK314" s="160">
        <f t="shared" si="792"/>
        <v>0</v>
      </c>
      <c r="BL314" s="160">
        <f t="shared" si="792"/>
        <v>0</v>
      </c>
      <c r="BM314" s="160">
        <f t="shared" si="792"/>
        <v>0</v>
      </c>
      <c r="BN314" s="160">
        <f t="shared" si="792"/>
        <v>0</v>
      </c>
      <c r="BO314" s="160">
        <f t="shared" si="792"/>
        <v>0</v>
      </c>
      <c r="BP314" s="160">
        <f t="shared" si="792"/>
        <v>0</v>
      </c>
      <c r="BQ314" s="160">
        <f t="shared" si="792"/>
        <v>0</v>
      </c>
      <c r="BR314" s="160">
        <f t="shared" si="792"/>
        <v>0</v>
      </c>
      <c r="BS314" s="65"/>
      <c r="BT314" s="160">
        <f t="shared" si="722"/>
        <v>0</v>
      </c>
      <c r="BU314" s="160">
        <f t="shared" si="723"/>
        <v>0</v>
      </c>
      <c r="BV314" s="65"/>
      <c r="BW314" s="69"/>
      <c r="BX314" s="65"/>
      <c r="BY314" s="137">
        <f t="shared" si="724"/>
        <v>1</v>
      </c>
      <c r="BZ314" s="137">
        <f>IF(BY314&gt;0,BY314+LARGE($BZ$213:BZ313,1),0)</f>
        <v>86</v>
      </c>
      <c r="CA314" s="137" t="str">
        <f t="shared" si="725"/>
        <v>ENG/ARQ JR.</v>
      </c>
      <c r="CB314" s="161">
        <f t="shared" si="726"/>
        <v>0</v>
      </c>
      <c r="CC314" s="161">
        <f t="shared" si="727"/>
        <v>0</v>
      </c>
      <c r="CD314" s="161">
        <f t="shared" si="728"/>
        <v>0</v>
      </c>
      <c r="CE314" s="161">
        <f t="shared" si="729"/>
        <v>0</v>
      </c>
      <c r="CF314" s="161">
        <f t="shared" si="730"/>
        <v>0</v>
      </c>
      <c r="CG314" s="161">
        <f t="shared" si="731"/>
        <v>0</v>
      </c>
      <c r="CH314" s="161">
        <f t="shared" si="732"/>
        <v>0</v>
      </c>
      <c r="CI314" s="161">
        <f t="shared" si="733"/>
        <v>0</v>
      </c>
      <c r="CJ314" s="161">
        <f t="shared" si="734"/>
        <v>0</v>
      </c>
      <c r="CK314" s="161">
        <f t="shared" si="735"/>
        <v>0</v>
      </c>
      <c r="CL314" s="161">
        <f t="shared" si="736"/>
        <v>0</v>
      </c>
      <c r="CM314" s="161">
        <f t="shared" si="737"/>
        <v>0</v>
      </c>
      <c r="CN314" s="161">
        <f t="shared" si="738"/>
        <v>0</v>
      </c>
      <c r="CO314" s="161">
        <f t="shared" si="739"/>
        <v>0</v>
      </c>
      <c r="CP314" s="161">
        <f t="shared" si="740"/>
        <v>0</v>
      </c>
      <c r="CQ314" s="161">
        <f t="shared" si="741"/>
        <v>0</v>
      </c>
      <c r="CR314" s="161">
        <f t="shared" si="742"/>
        <v>0</v>
      </c>
      <c r="CS314" s="161">
        <f t="shared" si="743"/>
        <v>0</v>
      </c>
      <c r="CT314" s="161">
        <f t="shared" si="744"/>
        <v>0</v>
      </c>
      <c r="CU314" s="161">
        <f t="shared" si="745"/>
        <v>0</v>
      </c>
      <c r="CV314" s="161">
        <f t="shared" si="746"/>
        <v>0</v>
      </c>
      <c r="CW314" s="161">
        <f t="shared" si="747"/>
        <v>0</v>
      </c>
      <c r="CX314" s="161">
        <f t="shared" si="748"/>
        <v>0</v>
      </c>
      <c r="CY314" s="161">
        <f t="shared" si="749"/>
        <v>0</v>
      </c>
      <c r="CZ314" s="161">
        <f t="shared" si="750"/>
        <v>0</v>
      </c>
      <c r="DA314" s="161">
        <f t="shared" si="751"/>
        <v>0</v>
      </c>
      <c r="DB314" s="161">
        <f t="shared" si="752"/>
        <v>0</v>
      </c>
      <c r="DC314" s="161">
        <f t="shared" si="753"/>
        <v>0</v>
      </c>
      <c r="DD314" s="161">
        <f t="shared" si="754"/>
        <v>0</v>
      </c>
      <c r="DE314" s="161">
        <f t="shared" si="755"/>
        <v>0</v>
      </c>
      <c r="DF314" s="161">
        <f t="shared" si="756"/>
        <v>0</v>
      </c>
      <c r="DG314" s="161">
        <f t="shared" si="757"/>
        <v>0</v>
      </c>
      <c r="DH314" s="161">
        <f t="shared" si="758"/>
        <v>0</v>
      </c>
      <c r="DI314" s="161">
        <f t="shared" si="759"/>
        <v>0</v>
      </c>
      <c r="DJ314" s="161">
        <f t="shared" si="760"/>
        <v>0</v>
      </c>
      <c r="DK314" s="161">
        <f t="shared" si="761"/>
        <v>0</v>
      </c>
      <c r="DL314" s="161">
        <f t="shared" si="762"/>
        <v>0</v>
      </c>
      <c r="DM314" s="161">
        <f t="shared" si="763"/>
        <v>0</v>
      </c>
      <c r="DN314" s="161">
        <f t="shared" si="764"/>
        <v>0</v>
      </c>
      <c r="DO314" s="161">
        <f t="shared" si="765"/>
        <v>0</v>
      </c>
      <c r="DP314" s="161">
        <f t="shared" si="766"/>
        <v>0</v>
      </c>
      <c r="DQ314" s="161">
        <f t="shared" si="767"/>
        <v>0</v>
      </c>
      <c r="DR314" s="161">
        <f t="shared" si="768"/>
        <v>0</v>
      </c>
      <c r="DS314" s="161">
        <f t="shared" si="769"/>
        <v>0</v>
      </c>
      <c r="DT314" s="161">
        <f t="shared" si="770"/>
        <v>0</v>
      </c>
      <c r="DU314" s="161">
        <f t="shared" si="771"/>
        <v>0</v>
      </c>
      <c r="DV314" s="161">
        <f t="shared" si="772"/>
        <v>0</v>
      </c>
      <c r="DW314" s="161">
        <f t="shared" si="773"/>
        <v>0</v>
      </c>
      <c r="DX314" s="161">
        <f t="shared" si="774"/>
        <v>0</v>
      </c>
      <c r="DY314" s="161">
        <f t="shared" si="775"/>
        <v>0</v>
      </c>
      <c r="DZ314" s="161">
        <f t="shared" si="776"/>
        <v>0</v>
      </c>
      <c r="EA314" s="161">
        <f t="shared" si="777"/>
        <v>0</v>
      </c>
      <c r="EB314" s="161">
        <f t="shared" si="778"/>
        <v>0</v>
      </c>
      <c r="EC314" s="161">
        <f t="shared" si="779"/>
        <v>0</v>
      </c>
      <c r="ED314" s="161">
        <f t="shared" si="780"/>
        <v>0</v>
      </c>
      <c r="EE314" s="161">
        <f t="shared" si="781"/>
        <v>0</v>
      </c>
      <c r="EF314" s="161">
        <f t="shared" si="782"/>
        <v>0</v>
      </c>
      <c r="EG314" s="161">
        <f t="shared" si="783"/>
        <v>0</v>
      </c>
      <c r="EH314" s="161">
        <f t="shared" si="784"/>
        <v>0</v>
      </c>
      <c r="EI314" s="161">
        <f t="shared" si="785"/>
        <v>0</v>
      </c>
      <c r="EJ314" s="65"/>
      <c r="EK314" s="161">
        <f t="shared" si="789"/>
        <v>0</v>
      </c>
      <c r="EL314" s="161">
        <f t="shared" si="790"/>
        <v>0</v>
      </c>
      <c r="EM314" s="161">
        <f t="shared" si="791"/>
        <v>0</v>
      </c>
    </row>
    <row r="315" spans="1:143" ht="12" hidden="1" customHeight="1" outlineLevel="2">
      <c r="A315" s="77">
        <v>7</v>
      </c>
      <c r="B315" s="137" t="str">
        <f t="shared" si="786"/>
        <v>AN SR. ENG/ARQ - Equipe_01</v>
      </c>
      <c r="C315" s="65"/>
      <c r="D315" s="622"/>
      <c r="E315" s="65"/>
      <c r="F315" s="584"/>
      <c r="G315" s="77" t="str">
        <f>IF(INDEX(Tarefas!$BT$30:$FK$30,MATCH(A315,Tarefas!$BT$28:$FK$28,0))=0,"",INDEX(Tarefas!$BT$30:$FK$30,MATCH(A315,Tarefas!$BT$28:$FK$28,0)))</f>
        <v>AN SR. ENG/ARQ</v>
      </c>
      <c r="H315" s="107" cm="1">
        <f t="array" ref="H315">IFERROR((SUMPRODUCT((Tarefas!$N$32:$N$54='Cronog. e Histog.'!$F$309)*(Tarefas!$BQ$30:$FK$30='Cronog. e Histog.'!$G315)*(Tarefas!$BQ$32:$FK$54)))/SUMIF(Tarefas!$N$32:$N$54,'Cronog. e Histog.'!$F$309,Tarefas!$K$32:$K$54),0)</f>
        <v>0</v>
      </c>
      <c r="I315" s="79">
        <f t="shared" si="787"/>
        <v>0</v>
      </c>
      <c r="J315" s="65"/>
      <c r="K315" s="160">
        <f t="shared" si="788"/>
        <v>0</v>
      </c>
      <c r="L315" s="160">
        <f t="shared" si="788"/>
        <v>0</v>
      </c>
      <c r="M315" s="160">
        <f t="shared" si="788"/>
        <v>0</v>
      </c>
      <c r="N315" s="160">
        <f t="shared" si="788"/>
        <v>0</v>
      </c>
      <c r="O315" s="160">
        <f t="shared" si="788"/>
        <v>0</v>
      </c>
      <c r="P315" s="160">
        <f t="shared" si="788"/>
        <v>0</v>
      </c>
      <c r="Q315" s="160">
        <f t="shared" si="788"/>
        <v>0</v>
      </c>
      <c r="R315" s="160">
        <f t="shared" si="788"/>
        <v>0</v>
      </c>
      <c r="S315" s="160">
        <f t="shared" si="788"/>
        <v>0</v>
      </c>
      <c r="T315" s="160">
        <f t="shared" si="788"/>
        <v>0</v>
      </c>
      <c r="U315" s="160">
        <f t="shared" si="788"/>
        <v>0</v>
      </c>
      <c r="V315" s="160">
        <f t="shared" si="788"/>
        <v>0</v>
      </c>
      <c r="W315" s="160">
        <f t="shared" si="788"/>
        <v>0</v>
      </c>
      <c r="X315" s="160">
        <f t="shared" si="788"/>
        <v>0</v>
      </c>
      <c r="Y315" s="160">
        <f t="shared" si="788"/>
        <v>0</v>
      </c>
      <c r="Z315" s="160">
        <f t="shared" si="788"/>
        <v>0</v>
      </c>
      <c r="AA315" s="160">
        <f t="shared" ref="AA315:AP324" si="793">ROUND($I315*AA$187,2)</f>
        <v>0</v>
      </c>
      <c r="AB315" s="160">
        <f t="shared" si="793"/>
        <v>0</v>
      </c>
      <c r="AC315" s="160">
        <f t="shared" si="793"/>
        <v>0</v>
      </c>
      <c r="AD315" s="160">
        <f t="shared" si="793"/>
        <v>0</v>
      </c>
      <c r="AE315" s="160">
        <f t="shared" si="793"/>
        <v>0</v>
      </c>
      <c r="AF315" s="160">
        <f t="shared" si="793"/>
        <v>0</v>
      </c>
      <c r="AG315" s="160">
        <f t="shared" si="793"/>
        <v>0</v>
      </c>
      <c r="AH315" s="160">
        <f t="shared" si="793"/>
        <v>0</v>
      </c>
      <c r="AI315" s="160">
        <f t="shared" si="793"/>
        <v>0</v>
      </c>
      <c r="AJ315" s="160">
        <f t="shared" si="793"/>
        <v>0</v>
      </c>
      <c r="AK315" s="160">
        <f t="shared" si="793"/>
        <v>0</v>
      </c>
      <c r="AL315" s="160">
        <f t="shared" si="793"/>
        <v>0</v>
      </c>
      <c r="AM315" s="160">
        <f t="shared" si="793"/>
        <v>0</v>
      </c>
      <c r="AN315" s="160">
        <f t="shared" si="793"/>
        <v>0</v>
      </c>
      <c r="AO315" s="160">
        <f t="shared" si="793"/>
        <v>0</v>
      </c>
      <c r="AP315" s="160">
        <f t="shared" si="793"/>
        <v>0</v>
      </c>
      <c r="AQ315" s="160">
        <f t="shared" ref="AQ315:BF324" si="794">ROUND($I315*AQ$187,2)</f>
        <v>0</v>
      </c>
      <c r="AR315" s="160">
        <f t="shared" si="794"/>
        <v>0</v>
      </c>
      <c r="AS315" s="160">
        <f t="shared" si="794"/>
        <v>0</v>
      </c>
      <c r="AT315" s="160">
        <f t="shared" si="794"/>
        <v>0</v>
      </c>
      <c r="AU315" s="160">
        <f t="shared" si="794"/>
        <v>0</v>
      </c>
      <c r="AV315" s="160">
        <f t="shared" si="794"/>
        <v>0</v>
      </c>
      <c r="AW315" s="160">
        <f t="shared" si="794"/>
        <v>0</v>
      </c>
      <c r="AX315" s="160">
        <f t="shared" si="794"/>
        <v>0</v>
      </c>
      <c r="AY315" s="160">
        <f t="shared" si="794"/>
        <v>0</v>
      </c>
      <c r="AZ315" s="160">
        <f t="shared" si="794"/>
        <v>0</v>
      </c>
      <c r="BA315" s="160">
        <f t="shared" si="794"/>
        <v>0</v>
      </c>
      <c r="BB315" s="160">
        <f t="shared" si="794"/>
        <v>0</v>
      </c>
      <c r="BC315" s="160">
        <f t="shared" si="794"/>
        <v>0</v>
      </c>
      <c r="BD315" s="160">
        <f t="shared" si="794"/>
        <v>0</v>
      </c>
      <c r="BE315" s="160">
        <f t="shared" si="794"/>
        <v>0</v>
      </c>
      <c r="BF315" s="160">
        <f t="shared" si="794"/>
        <v>0</v>
      </c>
      <c r="BG315" s="160">
        <f t="shared" ref="BG315:BR324" si="795">ROUND($I315*BG$187,2)</f>
        <v>0</v>
      </c>
      <c r="BH315" s="160">
        <f t="shared" si="795"/>
        <v>0</v>
      </c>
      <c r="BI315" s="160">
        <f t="shared" si="795"/>
        <v>0</v>
      </c>
      <c r="BJ315" s="160">
        <f t="shared" si="795"/>
        <v>0</v>
      </c>
      <c r="BK315" s="160">
        <f t="shared" si="795"/>
        <v>0</v>
      </c>
      <c r="BL315" s="160">
        <f t="shared" si="795"/>
        <v>0</v>
      </c>
      <c r="BM315" s="160">
        <f t="shared" si="795"/>
        <v>0</v>
      </c>
      <c r="BN315" s="160">
        <f t="shared" si="795"/>
        <v>0</v>
      </c>
      <c r="BO315" s="160">
        <f t="shared" si="795"/>
        <v>0</v>
      </c>
      <c r="BP315" s="160">
        <f t="shared" si="795"/>
        <v>0</v>
      </c>
      <c r="BQ315" s="160">
        <f t="shared" si="795"/>
        <v>0</v>
      </c>
      <c r="BR315" s="160">
        <f t="shared" si="795"/>
        <v>0</v>
      </c>
      <c r="BS315" s="65"/>
      <c r="BT315" s="160">
        <f t="shared" ref="BT315:BT324" si="796">IFERROR(SUM(K315:BR315)/COUNTIF(K315:BR315,"&gt;0"),0)</f>
        <v>0</v>
      </c>
      <c r="BU315" s="160">
        <f t="shared" ref="BU315:BU324" si="797">COUNTIF(K315:BR315,"&gt;0")</f>
        <v>0</v>
      </c>
      <c r="BV315" s="65"/>
      <c r="BW315" s="69"/>
      <c r="BX315" s="65"/>
      <c r="BY315" s="137">
        <f t="shared" ref="BY315:BY324" si="798">IF(G315&gt;0,1,0)</f>
        <v>1</v>
      </c>
      <c r="BZ315" s="137">
        <f>IF(BY315&gt;0,BY315+LARGE($BZ$213:BZ314,1),0)</f>
        <v>87</v>
      </c>
      <c r="CA315" s="137" t="str">
        <f t="shared" ref="CA315:CA324" si="799">G315</f>
        <v>AN SR. ENG/ARQ</v>
      </c>
      <c r="CB315" s="161">
        <f t="shared" ref="CB315:CB324" si="800">K315</f>
        <v>0</v>
      </c>
      <c r="CC315" s="161">
        <f t="shared" ref="CC315:CC324" si="801">L315</f>
        <v>0</v>
      </c>
      <c r="CD315" s="161">
        <f t="shared" ref="CD315:CD324" si="802">M315</f>
        <v>0</v>
      </c>
      <c r="CE315" s="161">
        <f t="shared" ref="CE315:CE324" si="803">N315</f>
        <v>0</v>
      </c>
      <c r="CF315" s="161">
        <f t="shared" ref="CF315:CF324" si="804">O315</f>
        <v>0</v>
      </c>
      <c r="CG315" s="161">
        <f t="shared" ref="CG315:CG324" si="805">P315</f>
        <v>0</v>
      </c>
      <c r="CH315" s="161">
        <f t="shared" ref="CH315:CH324" si="806">Q315</f>
        <v>0</v>
      </c>
      <c r="CI315" s="161">
        <f t="shared" ref="CI315:CI324" si="807">R315</f>
        <v>0</v>
      </c>
      <c r="CJ315" s="161">
        <f t="shared" ref="CJ315:CJ324" si="808">S315</f>
        <v>0</v>
      </c>
      <c r="CK315" s="161">
        <f t="shared" ref="CK315:CK324" si="809">T315</f>
        <v>0</v>
      </c>
      <c r="CL315" s="161">
        <f t="shared" ref="CL315:CL324" si="810">U315</f>
        <v>0</v>
      </c>
      <c r="CM315" s="161">
        <f t="shared" ref="CM315:CM324" si="811">V315</f>
        <v>0</v>
      </c>
      <c r="CN315" s="161">
        <f t="shared" ref="CN315:CN324" si="812">W315</f>
        <v>0</v>
      </c>
      <c r="CO315" s="161">
        <f t="shared" ref="CO315:CO324" si="813">X315</f>
        <v>0</v>
      </c>
      <c r="CP315" s="161">
        <f t="shared" ref="CP315:CP324" si="814">Y315</f>
        <v>0</v>
      </c>
      <c r="CQ315" s="161">
        <f t="shared" ref="CQ315:CQ324" si="815">Z315</f>
        <v>0</v>
      </c>
      <c r="CR315" s="161">
        <f t="shared" ref="CR315:CR324" si="816">AA315</f>
        <v>0</v>
      </c>
      <c r="CS315" s="161">
        <f t="shared" ref="CS315:CS324" si="817">AB315</f>
        <v>0</v>
      </c>
      <c r="CT315" s="161">
        <f t="shared" ref="CT315:CT324" si="818">AC315</f>
        <v>0</v>
      </c>
      <c r="CU315" s="161">
        <f t="shared" ref="CU315:CU324" si="819">AD315</f>
        <v>0</v>
      </c>
      <c r="CV315" s="161">
        <f t="shared" ref="CV315:CV324" si="820">AE315</f>
        <v>0</v>
      </c>
      <c r="CW315" s="161">
        <f t="shared" ref="CW315:CW324" si="821">AF315</f>
        <v>0</v>
      </c>
      <c r="CX315" s="161">
        <f t="shared" ref="CX315:CX324" si="822">AG315</f>
        <v>0</v>
      </c>
      <c r="CY315" s="161">
        <f t="shared" ref="CY315:CY324" si="823">AH315</f>
        <v>0</v>
      </c>
      <c r="CZ315" s="161">
        <f t="shared" ref="CZ315:CZ324" si="824">AI315</f>
        <v>0</v>
      </c>
      <c r="DA315" s="161">
        <f t="shared" ref="DA315:DA324" si="825">AJ315</f>
        <v>0</v>
      </c>
      <c r="DB315" s="161">
        <f t="shared" ref="DB315:DB324" si="826">AK315</f>
        <v>0</v>
      </c>
      <c r="DC315" s="161">
        <f t="shared" ref="DC315:DC324" si="827">AL315</f>
        <v>0</v>
      </c>
      <c r="DD315" s="161">
        <f t="shared" ref="DD315:DD324" si="828">AM315</f>
        <v>0</v>
      </c>
      <c r="DE315" s="161">
        <f t="shared" ref="DE315:DE324" si="829">AN315</f>
        <v>0</v>
      </c>
      <c r="DF315" s="161">
        <f t="shared" ref="DF315:DF324" si="830">AO315</f>
        <v>0</v>
      </c>
      <c r="DG315" s="161">
        <f t="shared" ref="DG315:DG324" si="831">AP315</f>
        <v>0</v>
      </c>
      <c r="DH315" s="161">
        <f t="shared" ref="DH315:DH324" si="832">AQ315</f>
        <v>0</v>
      </c>
      <c r="DI315" s="161">
        <f t="shared" ref="DI315:DI324" si="833">AR315</f>
        <v>0</v>
      </c>
      <c r="DJ315" s="161">
        <f t="shared" ref="DJ315:DJ324" si="834">AS315</f>
        <v>0</v>
      </c>
      <c r="DK315" s="161">
        <f t="shared" ref="DK315:DK324" si="835">AT315</f>
        <v>0</v>
      </c>
      <c r="DL315" s="161">
        <f t="shared" ref="DL315:DL324" si="836">AU315</f>
        <v>0</v>
      </c>
      <c r="DM315" s="161">
        <f t="shared" ref="DM315:DM324" si="837">AV315</f>
        <v>0</v>
      </c>
      <c r="DN315" s="161">
        <f t="shared" ref="DN315:DN324" si="838">AW315</f>
        <v>0</v>
      </c>
      <c r="DO315" s="161">
        <f t="shared" ref="DO315:DO324" si="839">AX315</f>
        <v>0</v>
      </c>
      <c r="DP315" s="161">
        <f t="shared" ref="DP315:DP324" si="840">AY315</f>
        <v>0</v>
      </c>
      <c r="DQ315" s="161">
        <f t="shared" ref="DQ315:DQ324" si="841">AZ315</f>
        <v>0</v>
      </c>
      <c r="DR315" s="161">
        <f t="shared" ref="DR315:DR324" si="842">BA315</f>
        <v>0</v>
      </c>
      <c r="DS315" s="161">
        <f t="shared" ref="DS315:DS324" si="843">BB315</f>
        <v>0</v>
      </c>
      <c r="DT315" s="161">
        <f t="shared" ref="DT315:DT324" si="844">BC315</f>
        <v>0</v>
      </c>
      <c r="DU315" s="161">
        <f t="shared" ref="DU315:DU324" si="845">BD315</f>
        <v>0</v>
      </c>
      <c r="DV315" s="161">
        <f t="shared" ref="DV315:DV324" si="846">BE315</f>
        <v>0</v>
      </c>
      <c r="DW315" s="161">
        <f t="shared" ref="DW315:DW324" si="847">BF315</f>
        <v>0</v>
      </c>
      <c r="DX315" s="161">
        <f t="shared" ref="DX315:DX324" si="848">BG315</f>
        <v>0</v>
      </c>
      <c r="DY315" s="161">
        <f t="shared" ref="DY315:DY324" si="849">BH315</f>
        <v>0</v>
      </c>
      <c r="DZ315" s="161">
        <f t="shared" ref="DZ315:DZ324" si="850">BI315</f>
        <v>0</v>
      </c>
      <c r="EA315" s="161">
        <f t="shared" ref="EA315:EA324" si="851">BJ315</f>
        <v>0</v>
      </c>
      <c r="EB315" s="161">
        <f t="shared" ref="EB315:EB324" si="852">BK315</f>
        <v>0</v>
      </c>
      <c r="EC315" s="161">
        <f t="shared" ref="EC315:EC324" si="853">BL315</f>
        <v>0</v>
      </c>
      <c r="ED315" s="161">
        <f t="shared" ref="ED315:ED324" si="854">BM315</f>
        <v>0</v>
      </c>
      <c r="EE315" s="161">
        <f t="shared" ref="EE315:EE324" si="855">BN315</f>
        <v>0</v>
      </c>
      <c r="EF315" s="161">
        <f t="shared" ref="EF315:EF324" si="856">BO315</f>
        <v>0</v>
      </c>
      <c r="EG315" s="161">
        <f t="shared" ref="EG315:EG324" si="857">BP315</f>
        <v>0</v>
      </c>
      <c r="EH315" s="161">
        <f t="shared" ref="EH315:EH324" si="858">BQ315</f>
        <v>0</v>
      </c>
      <c r="EI315" s="161">
        <f t="shared" ref="EI315:EI324" si="859">BR315</f>
        <v>0</v>
      </c>
      <c r="EJ315" s="65"/>
      <c r="EK315" s="161">
        <f t="shared" si="789"/>
        <v>0</v>
      </c>
      <c r="EL315" s="161">
        <f t="shared" si="790"/>
        <v>0</v>
      </c>
      <c r="EM315" s="161">
        <f t="shared" si="791"/>
        <v>0</v>
      </c>
    </row>
    <row r="316" spans="1:143" ht="12" hidden="1" customHeight="1" outlineLevel="2">
      <c r="A316" s="77">
        <v>8</v>
      </c>
      <c r="B316" s="137" t="str">
        <f t="shared" si="786"/>
        <v>AN PL. ENG/ARQ - Equipe_01</v>
      </c>
      <c r="C316" s="65"/>
      <c r="D316" s="622"/>
      <c r="E316" s="65"/>
      <c r="F316" s="584"/>
      <c r="G316" s="77" t="str">
        <f>IF(INDEX(Tarefas!$BT$30:$FK$30,MATCH(A316,Tarefas!$BT$28:$FK$28,0))=0,"",INDEX(Tarefas!$BT$30:$FK$30,MATCH(A316,Tarefas!$BT$28:$FK$28,0)))</f>
        <v>AN PL. ENG/ARQ</v>
      </c>
      <c r="H316" s="107" cm="1">
        <f t="array" ref="H316">IFERROR((SUMPRODUCT((Tarefas!$N$32:$N$54='Cronog. e Histog.'!$F$309)*(Tarefas!$BQ$30:$FK$30='Cronog. e Histog.'!$G316)*(Tarefas!$BQ$32:$FK$54)))/SUMIF(Tarefas!$N$32:$N$54,'Cronog. e Histog.'!$F$309,Tarefas!$K$32:$K$54),0)</f>
        <v>0</v>
      </c>
      <c r="I316" s="79">
        <f t="shared" si="787"/>
        <v>0</v>
      </c>
      <c r="J316" s="65"/>
      <c r="K316" s="160">
        <f t="shared" si="788"/>
        <v>0</v>
      </c>
      <c r="L316" s="160">
        <f t="shared" si="788"/>
        <v>0</v>
      </c>
      <c r="M316" s="160">
        <f t="shared" si="788"/>
        <v>0</v>
      </c>
      <c r="N316" s="160">
        <f t="shared" si="788"/>
        <v>0</v>
      </c>
      <c r="O316" s="160">
        <f t="shared" si="788"/>
        <v>0</v>
      </c>
      <c r="P316" s="160">
        <f t="shared" si="788"/>
        <v>0</v>
      </c>
      <c r="Q316" s="160">
        <f t="shared" si="788"/>
        <v>0</v>
      </c>
      <c r="R316" s="160">
        <f t="shared" si="788"/>
        <v>0</v>
      </c>
      <c r="S316" s="160">
        <f t="shared" si="788"/>
        <v>0</v>
      </c>
      <c r="T316" s="160">
        <f t="shared" si="788"/>
        <v>0</v>
      </c>
      <c r="U316" s="160">
        <f t="shared" si="788"/>
        <v>0</v>
      </c>
      <c r="V316" s="160">
        <f t="shared" si="788"/>
        <v>0</v>
      </c>
      <c r="W316" s="160">
        <f t="shared" si="788"/>
        <v>0</v>
      </c>
      <c r="X316" s="160">
        <f t="shared" si="788"/>
        <v>0</v>
      </c>
      <c r="Y316" s="160">
        <f t="shared" si="788"/>
        <v>0</v>
      </c>
      <c r="Z316" s="160">
        <f t="shared" si="788"/>
        <v>0</v>
      </c>
      <c r="AA316" s="160">
        <f t="shared" si="793"/>
        <v>0</v>
      </c>
      <c r="AB316" s="160">
        <f t="shared" si="793"/>
        <v>0</v>
      </c>
      <c r="AC316" s="160">
        <f t="shared" si="793"/>
        <v>0</v>
      </c>
      <c r="AD316" s="160">
        <f t="shared" si="793"/>
        <v>0</v>
      </c>
      <c r="AE316" s="160">
        <f t="shared" si="793"/>
        <v>0</v>
      </c>
      <c r="AF316" s="160">
        <f t="shared" si="793"/>
        <v>0</v>
      </c>
      <c r="AG316" s="160">
        <f t="shared" si="793"/>
        <v>0</v>
      </c>
      <c r="AH316" s="160">
        <f t="shared" si="793"/>
        <v>0</v>
      </c>
      <c r="AI316" s="160">
        <f t="shared" si="793"/>
        <v>0</v>
      </c>
      <c r="AJ316" s="160">
        <f t="shared" si="793"/>
        <v>0</v>
      </c>
      <c r="AK316" s="160">
        <f t="shared" si="793"/>
        <v>0</v>
      </c>
      <c r="AL316" s="160">
        <f t="shared" si="793"/>
        <v>0</v>
      </c>
      <c r="AM316" s="160">
        <f t="shared" si="793"/>
        <v>0</v>
      </c>
      <c r="AN316" s="160">
        <f t="shared" si="793"/>
        <v>0</v>
      </c>
      <c r="AO316" s="160">
        <f t="shared" si="793"/>
        <v>0</v>
      </c>
      <c r="AP316" s="160">
        <f t="shared" si="793"/>
        <v>0</v>
      </c>
      <c r="AQ316" s="160">
        <f t="shared" si="794"/>
        <v>0</v>
      </c>
      <c r="AR316" s="160">
        <f t="shared" si="794"/>
        <v>0</v>
      </c>
      <c r="AS316" s="160">
        <f t="shared" si="794"/>
        <v>0</v>
      </c>
      <c r="AT316" s="160">
        <f t="shared" si="794"/>
        <v>0</v>
      </c>
      <c r="AU316" s="160">
        <f t="shared" si="794"/>
        <v>0</v>
      </c>
      <c r="AV316" s="160">
        <f t="shared" si="794"/>
        <v>0</v>
      </c>
      <c r="AW316" s="160">
        <f t="shared" si="794"/>
        <v>0</v>
      </c>
      <c r="AX316" s="160">
        <f t="shared" si="794"/>
        <v>0</v>
      </c>
      <c r="AY316" s="160">
        <f t="shared" si="794"/>
        <v>0</v>
      </c>
      <c r="AZ316" s="160">
        <f t="shared" si="794"/>
        <v>0</v>
      </c>
      <c r="BA316" s="160">
        <f t="shared" si="794"/>
        <v>0</v>
      </c>
      <c r="BB316" s="160">
        <f t="shared" si="794"/>
        <v>0</v>
      </c>
      <c r="BC316" s="160">
        <f t="shared" si="794"/>
        <v>0</v>
      </c>
      <c r="BD316" s="160">
        <f t="shared" si="794"/>
        <v>0</v>
      </c>
      <c r="BE316" s="160">
        <f t="shared" si="794"/>
        <v>0</v>
      </c>
      <c r="BF316" s="160">
        <f t="shared" si="794"/>
        <v>0</v>
      </c>
      <c r="BG316" s="160">
        <f t="shared" si="795"/>
        <v>0</v>
      </c>
      <c r="BH316" s="160">
        <f t="shared" si="795"/>
        <v>0</v>
      </c>
      <c r="BI316" s="160">
        <f t="shared" si="795"/>
        <v>0</v>
      </c>
      <c r="BJ316" s="160">
        <f t="shared" si="795"/>
        <v>0</v>
      </c>
      <c r="BK316" s="160">
        <f t="shared" si="795"/>
        <v>0</v>
      </c>
      <c r="BL316" s="160">
        <f t="shared" si="795"/>
        <v>0</v>
      </c>
      <c r="BM316" s="160">
        <f t="shared" si="795"/>
        <v>0</v>
      </c>
      <c r="BN316" s="160">
        <f t="shared" si="795"/>
        <v>0</v>
      </c>
      <c r="BO316" s="160">
        <f t="shared" si="795"/>
        <v>0</v>
      </c>
      <c r="BP316" s="160">
        <f t="shared" si="795"/>
        <v>0</v>
      </c>
      <c r="BQ316" s="160">
        <f t="shared" si="795"/>
        <v>0</v>
      </c>
      <c r="BR316" s="160">
        <f t="shared" si="795"/>
        <v>0</v>
      </c>
      <c r="BS316" s="65"/>
      <c r="BT316" s="160">
        <f t="shared" si="796"/>
        <v>0</v>
      </c>
      <c r="BU316" s="160">
        <f t="shared" si="797"/>
        <v>0</v>
      </c>
      <c r="BV316" s="65"/>
      <c r="BW316" s="69"/>
      <c r="BX316" s="65"/>
      <c r="BY316" s="137">
        <f t="shared" si="798"/>
        <v>1</v>
      </c>
      <c r="BZ316" s="137">
        <f>IF(BY316&gt;0,BY316+LARGE($BZ$213:BZ315,1),0)</f>
        <v>88</v>
      </c>
      <c r="CA316" s="137" t="str">
        <f t="shared" si="799"/>
        <v>AN PL. ENG/ARQ</v>
      </c>
      <c r="CB316" s="161">
        <f t="shared" si="800"/>
        <v>0</v>
      </c>
      <c r="CC316" s="161">
        <f t="shared" si="801"/>
        <v>0</v>
      </c>
      <c r="CD316" s="161">
        <f t="shared" si="802"/>
        <v>0</v>
      </c>
      <c r="CE316" s="161">
        <f t="shared" si="803"/>
        <v>0</v>
      </c>
      <c r="CF316" s="161">
        <f t="shared" si="804"/>
        <v>0</v>
      </c>
      <c r="CG316" s="161">
        <f t="shared" si="805"/>
        <v>0</v>
      </c>
      <c r="CH316" s="161">
        <f t="shared" si="806"/>
        <v>0</v>
      </c>
      <c r="CI316" s="161">
        <f t="shared" si="807"/>
        <v>0</v>
      </c>
      <c r="CJ316" s="161">
        <f t="shared" si="808"/>
        <v>0</v>
      </c>
      <c r="CK316" s="161">
        <f t="shared" si="809"/>
        <v>0</v>
      </c>
      <c r="CL316" s="161">
        <f t="shared" si="810"/>
        <v>0</v>
      </c>
      <c r="CM316" s="161">
        <f t="shared" si="811"/>
        <v>0</v>
      </c>
      <c r="CN316" s="161">
        <f t="shared" si="812"/>
        <v>0</v>
      </c>
      <c r="CO316" s="161">
        <f t="shared" si="813"/>
        <v>0</v>
      </c>
      <c r="CP316" s="161">
        <f t="shared" si="814"/>
        <v>0</v>
      </c>
      <c r="CQ316" s="161">
        <f t="shared" si="815"/>
        <v>0</v>
      </c>
      <c r="CR316" s="161">
        <f t="shared" si="816"/>
        <v>0</v>
      </c>
      <c r="CS316" s="161">
        <f t="shared" si="817"/>
        <v>0</v>
      </c>
      <c r="CT316" s="161">
        <f t="shared" si="818"/>
        <v>0</v>
      </c>
      <c r="CU316" s="161">
        <f t="shared" si="819"/>
        <v>0</v>
      </c>
      <c r="CV316" s="161">
        <f t="shared" si="820"/>
        <v>0</v>
      </c>
      <c r="CW316" s="161">
        <f t="shared" si="821"/>
        <v>0</v>
      </c>
      <c r="CX316" s="161">
        <f t="shared" si="822"/>
        <v>0</v>
      </c>
      <c r="CY316" s="161">
        <f t="shared" si="823"/>
        <v>0</v>
      </c>
      <c r="CZ316" s="161">
        <f t="shared" si="824"/>
        <v>0</v>
      </c>
      <c r="DA316" s="161">
        <f t="shared" si="825"/>
        <v>0</v>
      </c>
      <c r="DB316" s="161">
        <f t="shared" si="826"/>
        <v>0</v>
      </c>
      <c r="DC316" s="161">
        <f t="shared" si="827"/>
        <v>0</v>
      </c>
      <c r="DD316" s="161">
        <f t="shared" si="828"/>
        <v>0</v>
      </c>
      <c r="DE316" s="161">
        <f t="shared" si="829"/>
        <v>0</v>
      </c>
      <c r="DF316" s="161">
        <f t="shared" si="830"/>
        <v>0</v>
      </c>
      <c r="DG316" s="161">
        <f t="shared" si="831"/>
        <v>0</v>
      </c>
      <c r="DH316" s="161">
        <f t="shared" si="832"/>
        <v>0</v>
      </c>
      <c r="DI316" s="161">
        <f t="shared" si="833"/>
        <v>0</v>
      </c>
      <c r="DJ316" s="161">
        <f t="shared" si="834"/>
        <v>0</v>
      </c>
      <c r="DK316" s="161">
        <f t="shared" si="835"/>
        <v>0</v>
      </c>
      <c r="DL316" s="161">
        <f t="shared" si="836"/>
        <v>0</v>
      </c>
      <c r="DM316" s="161">
        <f t="shared" si="837"/>
        <v>0</v>
      </c>
      <c r="DN316" s="161">
        <f t="shared" si="838"/>
        <v>0</v>
      </c>
      <c r="DO316" s="161">
        <f t="shared" si="839"/>
        <v>0</v>
      </c>
      <c r="DP316" s="161">
        <f t="shared" si="840"/>
        <v>0</v>
      </c>
      <c r="DQ316" s="161">
        <f t="shared" si="841"/>
        <v>0</v>
      </c>
      <c r="DR316" s="161">
        <f t="shared" si="842"/>
        <v>0</v>
      </c>
      <c r="DS316" s="161">
        <f t="shared" si="843"/>
        <v>0</v>
      </c>
      <c r="DT316" s="161">
        <f t="shared" si="844"/>
        <v>0</v>
      </c>
      <c r="DU316" s="161">
        <f t="shared" si="845"/>
        <v>0</v>
      </c>
      <c r="DV316" s="161">
        <f t="shared" si="846"/>
        <v>0</v>
      </c>
      <c r="DW316" s="161">
        <f t="shared" si="847"/>
        <v>0</v>
      </c>
      <c r="DX316" s="161">
        <f t="shared" si="848"/>
        <v>0</v>
      </c>
      <c r="DY316" s="161">
        <f t="shared" si="849"/>
        <v>0</v>
      </c>
      <c r="DZ316" s="161">
        <f t="shared" si="850"/>
        <v>0</v>
      </c>
      <c r="EA316" s="161">
        <f t="shared" si="851"/>
        <v>0</v>
      </c>
      <c r="EB316" s="161">
        <f t="shared" si="852"/>
        <v>0</v>
      </c>
      <c r="EC316" s="161">
        <f t="shared" si="853"/>
        <v>0</v>
      </c>
      <c r="ED316" s="161">
        <f t="shared" si="854"/>
        <v>0</v>
      </c>
      <c r="EE316" s="161">
        <f t="shared" si="855"/>
        <v>0</v>
      </c>
      <c r="EF316" s="161">
        <f t="shared" si="856"/>
        <v>0</v>
      </c>
      <c r="EG316" s="161">
        <f t="shared" si="857"/>
        <v>0</v>
      </c>
      <c r="EH316" s="161">
        <f t="shared" si="858"/>
        <v>0</v>
      </c>
      <c r="EI316" s="161">
        <f t="shared" si="859"/>
        <v>0</v>
      </c>
      <c r="EJ316" s="65"/>
      <c r="EK316" s="161">
        <f t="shared" si="789"/>
        <v>0</v>
      </c>
      <c r="EL316" s="161">
        <f t="shared" si="790"/>
        <v>0</v>
      </c>
      <c r="EM316" s="161">
        <f t="shared" si="791"/>
        <v>0</v>
      </c>
    </row>
    <row r="317" spans="1:143" ht="12" hidden="1" customHeight="1" outlineLevel="2">
      <c r="A317" s="77">
        <v>9</v>
      </c>
      <c r="B317" s="137" t="str">
        <f t="shared" si="786"/>
        <v>AN JR. ENG/ARQ - Equipe_01</v>
      </c>
      <c r="C317" s="65"/>
      <c r="D317" s="622"/>
      <c r="E317" s="65"/>
      <c r="F317" s="584"/>
      <c r="G317" s="77" t="str">
        <f>IF(INDEX(Tarefas!$BT$30:$FK$30,MATCH(A317,Tarefas!$BT$28:$FK$28,0))=0,"",INDEX(Tarefas!$BT$30:$FK$30,MATCH(A317,Tarefas!$BT$28:$FK$28,0)))</f>
        <v>AN JR. ENG/ARQ</v>
      </c>
      <c r="H317" s="107" cm="1">
        <f t="array" ref="H317">IFERROR((SUMPRODUCT((Tarefas!$N$32:$N$54='Cronog. e Histog.'!$F$309)*(Tarefas!$BQ$30:$FK$30='Cronog. e Histog.'!$G317)*(Tarefas!$BQ$32:$FK$54)))/SUMIF(Tarefas!$N$32:$N$54,'Cronog. e Histog.'!$F$309,Tarefas!$K$32:$K$54),0)</f>
        <v>0</v>
      </c>
      <c r="I317" s="79">
        <f t="shared" si="787"/>
        <v>0</v>
      </c>
      <c r="J317" s="65"/>
      <c r="K317" s="160">
        <f t="shared" si="788"/>
        <v>0</v>
      </c>
      <c r="L317" s="160">
        <f t="shared" si="788"/>
        <v>0</v>
      </c>
      <c r="M317" s="160">
        <f t="shared" si="788"/>
        <v>0</v>
      </c>
      <c r="N317" s="160">
        <f t="shared" si="788"/>
        <v>0</v>
      </c>
      <c r="O317" s="160">
        <f t="shared" si="788"/>
        <v>0</v>
      </c>
      <c r="P317" s="160">
        <f t="shared" si="788"/>
        <v>0</v>
      </c>
      <c r="Q317" s="160">
        <f t="shared" si="788"/>
        <v>0</v>
      </c>
      <c r="R317" s="160">
        <f t="shared" si="788"/>
        <v>0</v>
      </c>
      <c r="S317" s="160">
        <f t="shared" si="788"/>
        <v>0</v>
      </c>
      <c r="T317" s="160">
        <f t="shared" si="788"/>
        <v>0</v>
      </c>
      <c r="U317" s="160">
        <f t="shared" si="788"/>
        <v>0</v>
      </c>
      <c r="V317" s="160">
        <f t="shared" si="788"/>
        <v>0</v>
      </c>
      <c r="W317" s="160">
        <f t="shared" si="788"/>
        <v>0</v>
      </c>
      <c r="X317" s="160">
        <f t="shared" si="788"/>
        <v>0</v>
      </c>
      <c r="Y317" s="160">
        <f t="shared" si="788"/>
        <v>0</v>
      </c>
      <c r="Z317" s="160">
        <f t="shared" si="788"/>
        <v>0</v>
      </c>
      <c r="AA317" s="160">
        <f t="shared" si="793"/>
        <v>0</v>
      </c>
      <c r="AB317" s="160">
        <f t="shared" si="793"/>
        <v>0</v>
      </c>
      <c r="AC317" s="160">
        <f t="shared" si="793"/>
        <v>0</v>
      </c>
      <c r="AD317" s="160">
        <f t="shared" si="793"/>
        <v>0</v>
      </c>
      <c r="AE317" s="160">
        <f t="shared" si="793"/>
        <v>0</v>
      </c>
      <c r="AF317" s="160">
        <f t="shared" si="793"/>
        <v>0</v>
      </c>
      <c r="AG317" s="160">
        <f t="shared" si="793"/>
        <v>0</v>
      </c>
      <c r="AH317" s="160">
        <f t="shared" si="793"/>
        <v>0</v>
      </c>
      <c r="AI317" s="160">
        <f t="shared" si="793"/>
        <v>0</v>
      </c>
      <c r="AJ317" s="160">
        <f t="shared" si="793"/>
        <v>0</v>
      </c>
      <c r="AK317" s="160">
        <f t="shared" si="793"/>
        <v>0</v>
      </c>
      <c r="AL317" s="160">
        <f t="shared" si="793"/>
        <v>0</v>
      </c>
      <c r="AM317" s="160">
        <f t="shared" si="793"/>
        <v>0</v>
      </c>
      <c r="AN317" s="160">
        <f t="shared" si="793"/>
        <v>0</v>
      </c>
      <c r="AO317" s="160">
        <f t="shared" si="793"/>
        <v>0</v>
      </c>
      <c r="AP317" s="160">
        <f t="shared" si="793"/>
        <v>0</v>
      </c>
      <c r="AQ317" s="160">
        <f t="shared" si="794"/>
        <v>0</v>
      </c>
      <c r="AR317" s="160">
        <f t="shared" si="794"/>
        <v>0</v>
      </c>
      <c r="AS317" s="160">
        <f t="shared" si="794"/>
        <v>0</v>
      </c>
      <c r="AT317" s="160">
        <f t="shared" si="794"/>
        <v>0</v>
      </c>
      <c r="AU317" s="160">
        <f t="shared" si="794"/>
        <v>0</v>
      </c>
      <c r="AV317" s="160">
        <f t="shared" si="794"/>
        <v>0</v>
      </c>
      <c r="AW317" s="160">
        <f t="shared" si="794"/>
        <v>0</v>
      </c>
      <c r="AX317" s="160">
        <f t="shared" si="794"/>
        <v>0</v>
      </c>
      <c r="AY317" s="160">
        <f t="shared" si="794"/>
        <v>0</v>
      </c>
      <c r="AZ317" s="160">
        <f t="shared" si="794"/>
        <v>0</v>
      </c>
      <c r="BA317" s="160">
        <f t="shared" si="794"/>
        <v>0</v>
      </c>
      <c r="BB317" s="160">
        <f t="shared" si="794"/>
        <v>0</v>
      </c>
      <c r="BC317" s="160">
        <f t="shared" si="794"/>
        <v>0</v>
      </c>
      <c r="BD317" s="160">
        <f t="shared" si="794"/>
        <v>0</v>
      </c>
      <c r="BE317" s="160">
        <f t="shared" si="794"/>
        <v>0</v>
      </c>
      <c r="BF317" s="160">
        <f t="shared" si="794"/>
        <v>0</v>
      </c>
      <c r="BG317" s="160">
        <f t="shared" si="795"/>
        <v>0</v>
      </c>
      <c r="BH317" s="160">
        <f t="shared" si="795"/>
        <v>0</v>
      </c>
      <c r="BI317" s="160">
        <f t="shared" si="795"/>
        <v>0</v>
      </c>
      <c r="BJ317" s="160">
        <f t="shared" si="795"/>
        <v>0</v>
      </c>
      <c r="BK317" s="160">
        <f t="shared" si="795"/>
        <v>0</v>
      </c>
      <c r="BL317" s="160">
        <f t="shared" si="795"/>
        <v>0</v>
      </c>
      <c r="BM317" s="160">
        <f t="shared" si="795"/>
        <v>0</v>
      </c>
      <c r="BN317" s="160">
        <f t="shared" si="795"/>
        <v>0</v>
      </c>
      <c r="BO317" s="160">
        <f t="shared" si="795"/>
        <v>0</v>
      </c>
      <c r="BP317" s="160">
        <f t="shared" si="795"/>
        <v>0</v>
      </c>
      <c r="BQ317" s="160">
        <f t="shared" si="795"/>
        <v>0</v>
      </c>
      <c r="BR317" s="160">
        <f t="shared" si="795"/>
        <v>0</v>
      </c>
      <c r="BS317" s="65"/>
      <c r="BT317" s="160">
        <f t="shared" si="796"/>
        <v>0</v>
      </c>
      <c r="BU317" s="160">
        <f t="shared" si="797"/>
        <v>0</v>
      </c>
      <c r="BV317" s="65"/>
      <c r="BW317" s="69"/>
      <c r="BX317" s="65"/>
      <c r="BY317" s="137">
        <f t="shared" si="798"/>
        <v>1</v>
      </c>
      <c r="BZ317" s="137">
        <f>IF(BY317&gt;0,BY317+LARGE($BZ$213:BZ316,1),0)</f>
        <v>89</v>
      </c>
      <c r="CA317" s="137" t="str">
        <f t="shared" si="799"/>
        <v>AN JR. ENG/ARQ</v>
      </c>
      <c r="CB317" s="161">
        <f t="shared" si="800"/>
        <v>0</v>
      </c>
      <c r="CC317" s="161">
        <f t="shared" si="801"/>
        <v>0</v>
      </c>
      <c r="CD317" s="161">
        <f t="shared" si="802"/>
        <v>0</v>
      </c>
      <c r="CE317" s="161">
        <f t="shared" si="803"/>
        <v>0</v>
      </c>
      <c r="CF317" s="161">
        <f t="shared" si="804"/>
        <v>0</v>
      </c>
      <c r="CG317" s="161">
        <f t="shared" si="805"/>
        <v>0</v>
      </c>
      <c r="CH317" s="161">
        <f t="shared" si="806"/>
        <v>0</v>
      </c>
      <c r="CI317" s="161">
        <f t="shared" si="807"/>
        <v>0</v>
      </c>
      <c r="CJ317" s="161">
        <f t="shared" si="808"/>
        <v>0</v>
      </c>
      <c r="CK317" s="161">
        <f t="shared" si="809"/>
        <v>0</v>
      </c>
      <c r="CL317" s="161">
        <f t="shared" si="810"/>
        <v>0</v>
      </c>
      <c r="CM317" s="161">
        <f t="shared" si="811"/>
        <v>0</v>
      </c>
      <c r="CN317" s="161">
        <f t="shared" si="812"/>
        <v>0</v>
      </c>
      <c r="CO317" s="161">
        <f t="shared" si="813"/>
        <v>0</v>
      </c>
      <c r="CP317" s="161">
        <f t="shared" si="814"/>
        <v>0</v>
      </c>
      <c r="CQ317" s="161">
        <f t="shared" si="815"/>
        <v>0</v>
      </c>
      <c r="CR317" s="161">
        <f t="shared" si="816"/>
        <v>0</v>
      </c>
      <c r="CS317" s="161">
        <f t="shared" si="817"/>
        <v>0</v>
      </c>
      <c r="CT317" s="161">
        <f t="shared" si="818"/>
        <v>0</v>
      </c>
      <c r="CU317" s="161">
        <f t="shared" si="819"/>
        <v>0</v>
      </c>
      <c r="CV317" s="161">
        <f t="shared" si="820"/>
        <v>0</v>
      </c>
      <c r="CW317" s="161">
        <f t="shared" si="821"/>
        <v>0</v>
      </c>
      <c r="CX317" s="161">
        <f t="shared" si="822"/>
        <v>0</v>
      </c>
      <c r="CY317" s="161">
        <f t="shared" si="823"/>
        <v>0</v>
      </c>
      <c r="CZ317" s="161">
        <f t="shared" si="824"/>
        <v>0</v>
      </c>
      <c r="DA317" s="161">
        <f t="shared" si="825"/>
        <v>0</v>
      </c>
      <c r="DB317" s="161">
        <f t="shared" si="826"/>
        <v>0</v>
      </c>
      <c r="DC317" s="161">
        <f t="shared" si="827"/>
        <v>0</v>
      </c>
      <c r="DD317" s="161">
        <f t="shared" si="828"/>
        <v>0</v>
      </c>
      <c r="DE317" s="161">
        <f t="shared" si="829"/>
        <v>0</v>
      </c>
      <c r="DF317" s="161">
        <f t="shared" si="830"/>
        <v>0</v>
      </c>
      <c r="DG317" s="161">
        <f t="shared" si="831"/>
        <v>0</v>
      </c>
      <c r="DH317" s="161">
        <f t="shared" si="832"/>
        <v>0</v>
      </c>
      <c r="DI317" s="161">
        <f t="shared" si="833"/>
        <v>0</v>
      </c>
      <c r="DJ317" s="161">
        <f t="shared" si="834"/>
        <v>0</v>
      </c>
      <c r="DK317" s="161">
        <f t="shared" si="835"/>
        <v>0</v>
      </c>
      <c r="DL317" s="161">
        <f t="shared" si="836"/>
        <v>0</v>
      </c>
      <c r="DM317" s="161">
        <f t="shared" si="837"/>
        <v>0</v>
      </c>
      <c r="DN317" s="161">
        <f t="shared" si="838"/>
        <v>0</v>
      </c>
      <c r="DO317" s="161">
        <f t="shared" si="839"/>
        <v>0</v>
      </c>
      <c r="DP317" s="161">
        <f t="shared" si="840"/>
        <v>0</v>
      </c>
      <c r="DQ317" s="161">
        <f t="shared" si="841"/>
        <v>0</v>
      </c>
      <c r="DR317" s="161">
        <f t="shared" si="842"/>
        <v>0</v>
      </c>
      <c r="DS317" s="161">
        <f t="shared" si="843"/>
        <v>0</v>
      </c>
      <c r="DT317" s="161">
        <f t="shared" si="844"/>
        <v>0</v>
      </c>
      <c r="DU317" s="161">
        <f t="shared" si="845"/>
        <v>0</v>
      </c>
      <c r="DV317" s="161">
        <f t="shared" si="846"/>
        <v>0</v>
      </c>
      <c r="DW317" s="161">
        <f t="shared" si="847"/>
        <v>0</v>
      </c>
      <c r="DX317" s="161">
        <f t="shared" si="848"/>
        <v>0</v>
      </c>
      <c r="DY317" s="161">
        <f t="shared" si="849"/>
        <v>0</v>
      </c>
      <c r="DZ317" s="161">
        <f t="shared" si="850"/>
        <v>0</v>
      </c>
      <c r="EA317" s="161">
        <f t="shared" si="851"/>
        <v>0</v>
      </c>
      <c r="EB317" s="161">
        <f t="shared" si="852"/>
        <v>0</v>
      </c>
      <c r="EC317" s="161">
        <f t="shared" si="853"/>
        <v>0</v>
      </c>
      <c r="ED317" s="161">
        <f t="shared" si="854"/>
        <v>0</v>
      </c>
      <c r="EE317" s="161">
        <f t="shared" si="855"/>
        <v>0</v>
      </c>
      <c r="EF317" s="161">
        <f t="shared" si="856"/>
        <v>0</v>
      </c>
      <c r="EG317" s="161">
        <f t="shared" si="857"/>
        <v>0</v>
      </c>
      <c r="EH317" s="161">
        <f t="shared" si="858"/>
        <v>0</v>
      </c>
      <c r="EI317" s="161">
        <f t="shared" si="859"/>
        <v>0</v>
      </c>
      <c r="EJ317" s="65"/>
      <c r="EK317" s="161">
        <f t="shared" si="789"/>
        <v>0</v>
      </c>
      <c r="EL317" s="161">
        <f t="shared" si="790"/>
        <v>0</v>
      </c>
      <c r="EM317" s="161">
        <f t="shared" si="791"/>
        <v>0</v>
      </c>
    </row>
    <row r="318" spans="1:143" ht="12" hidden="1" customHeight="1" outlineLevel="2">
      <c r="A318" s="77">
        <v>10</v>
      </c>
      <c r="B318" s="137" t="str">
        <f t="shared" si="786"/>
        <v>AN SR. ADM/CRP - Equipe_01</v>
      </c>
      <c r="C318" s="65"/>
      <c r="D318" s="622"/>
      <c r="E318" s="65"/>
      <c r="F318" s="584"/>
      <c r="G318" s="77" t="str">
        <f>IF(INDEX(Tarefas!$BT$30:$FK$30,MATCH(A318,Tarefas!$BT$28:$FK$28,0))=0,"",INDEX(Tarefas!$BT$30:$FK$30,MATCH(A318,Tarefas!$BT$28:$FK$28,0)))</f>
        <v>AN SR. ADM/CRP</v>
      </c>
      <c r="H318" s="107" cm="1">
        <f t="array" ref="H318">IFERROR((SUMPRODUCT((Tarefas!$N$32:$N$54='Cronog. e Histog.'!$F$309)*(Tarefas!$BQ$30:$FK$30='Cronog. e Histog.'!$G318)*(Tarefas!$BQ$32:$FK$54)))/SUMIF(Tarefas!$N$32:$N$54,'Cronog. e Histog.'!$F$309,Tarefas!$K$32:$K$54),0)</f>
        <v>0</v>
      </c>
      <c r="I318" s="79">
        <f t="shared" si="787"/>
        <v>0</v>
      </c>
      <c r="J318" s="65"/>
      <c r="K318" s="160">
        <f t="shared" si="788"/>
        <v>0</v>
      </c>
      <c r="L318" s="160">
        <f t="shared" si="788"/>
        <v>0</v>
      </c>
      <c r="M318" s="160">
        <f t="shared" si="788"/>
        <v>0</v>
      </c>
      <c r="N318" s="160">
        <f t="shared" si="788"/>
        <v>0</v>
      </c>
      <c r="O318" s="160">
        <f t="shared" si="788"/>
        <v>0</v>
      </c>
      <c r="P318" s="160">
        <f t="shared" si="788"/>
        <v>0</v>
      </c>
      <c r="Q318" s="160">
        <f t="shared" si="788"/>
        <v>0</v>
      </c>
      <c r="R318" s="160">
        <f t="shared" si="788"/>
        <v>0</v>
      </c>
      <c r="S318" s="160">
        <f t="shared" si="788"/>
        <v>0</v>
      </c>
      <c r="T318" s="160">
        <f t="shared" si="788"/>
        <v>0</v>
      </c>
      <c r="U318" s="160">
        <f t="shared" si="788"/>
        <v>0</v>
      </c>
      <c r="V318" s="160">
        <f t="shared" si="788"/>
        <v>0</v>
      </c>
      <c r="W318" s="160">
        <f t="shared" si="788"/>
        <v>0</v>
      </c>
      <c r="X318" s="160">
        <f t="shared" si="788"/>
        <v>0</v>
      </c>
      <c r="Y318" s="160">
        <f t="shared" si="788"/>
        <v>0</v>
      </c>
      <c r="Z318" s="160">
        <f t="shared" si="788"/>
        <v>0</v>
      </c>
      <c r="AA318" s="160">
        <f t="shared" si="793"/>
        <v>0</v>
      </c>
      <c r="AB318" s="160">
        <f t="shared" si="793"/>
        <v>0</v>
      </c>
      <c r="AC318" s="160">
        <f t="shared" si="793"/>
        <v>0</v>
      </c>
      <c r="AD318" s="160">
        <f t="shared" si="793"/>
        <v>0</v>
      </c>
      <c r="AE318" s="160">
        <f t="shared" si="793"/>
        <v>0</v>
      </c>
      <c r="AF318" s="160">
        <f t="shared" si="793"/>
        <v>0</v>
      </c>
      <c r="AG318" s="160">
        <f t="shared" si="793"/>
        <v>0</v>
      </c>
      <c r="AH318" s="160">
        <f t="shared" si="793"/>
        <v>0</v>
      </c>
      <c r="AI318" s="160">
        <f t="shared" si="793"/>
        <v>0</v>
      </c>
      <c r="AJ318" s="160">
        <f t="shared" si="793"/>
        <v>0</v>
      </c>
      <c r="AK318" s="160">
        <f t="shared" si="793"/>
        <v>0</v>
      </c>
      <c r="AL318" s="160">
        <f t="shared" si="793"/>
        <v>0</v>
      </c>
      <c r="AM318" s="160">
        <f t="shared" si="793"/>
        <v>0</v>
      </c>
      <c r="AN318" s="160">
        <f t="shared" si="793"/>
        <v>0</v>
      </c>
      <c r="AO318" s="160">
        <f t="shared" si="793"/>
        <v>0</v>
      </c>
      <c r="AP318" s="160">
        <f t="shared" si="793"/>
        <v>0</v>
      </c>
      <c r="AQ318" s="160">
        <f t="shared" si="794"/>
        <v>0</v>
      </c>
      <c r="AR318" s="160">
        <f t="shared" si="794"/>
        <v>0</v>
      </c>
      <c r="AS318" s="160">
        <f t="shared" si="794"/>
        <v>0</v>
      </c>
      <c r="AT318" s="160">
        <f t="shared" si="794"/>
        <v>0</v>
      </c>
      <c r="AU318" s="160">
        <f t="shared" si="794"/>
        <v>0</v>
      </c>
      <c r="AV318" s="160">
        <f t="shared" si="794"/>
        <v>0</v>
      </c>
      <c r="AW318" s="160">
        <f t="shared" si="794"/>
        <v>0</v>
      </c>
      <c r="AX318" s="160">
        <f t="shared" si="794"/>
        <v>0</v>
      </c>
      <c r="AY318" s="160">
        <f t="shared" si="794"/>
        <v>0</v>
      </c>
      <c r="AZ318" s="160">
        <f t="shared" si="794"/>
        <v>0</v>
      </c>
      <c r="BA318" s="160">
        <f t="shared" si="794"/>
        <v>0</v>
      </c>
      <c r="BB318" s="160">
        <f t="shared" si="794"/>
        <v>0</v>
      </c>
      <c r="BC318" s="160">
        <f t="shared" si="794"/>
        <v>0</v>
      </c>
      <c r="BD318" s="160">
        <f t="shared" si="794"/>
        <v>0</v>
      </c>
      <c r="BE318" s="160">
        <f t="shared" si="794"/>
        <v>0</v>
      </c>
      <c r="BF318" s="160">
        <f t="shared" si="794"/>
        <v>0</v>
      </c>
      <c r="BG318" s="160">
        <f t="shared" si="795"/>
        <v>0</v>
      </c>
      <c r="BH318" s="160">
        <f t="shared" si="795"/>
        <v>0</v>
      </c>
      <c r="BI318" s="160">
        <f t="shared" si="795"/>
        <v>0</v>
      </c>
      <c r="BJ318" s="160">
        <f t="shared" si="795"/>
        <v>0</v>
      </c>
      <c r="BK318" s="160">
        <f t="shared" si="795"/>
        <v>0</v>
      </c>
      <c r="BL318" s="160">
        <f t="shared" si="795"/>
        <v>0</v>
      </c>
      <c r="BM318" s="160">
        <f t="shared" si="795"/>
        <v>0</v>
      </c>
      <c r="BN318" s="160">
        <f t="shared" si="795"/>
        <v>0</v>
      </c>
      <c r="BO318" s="160">
        <f t="shared" si="795"/>
        <v>0</v>
      </c>
      <c r="BP318" s="160">
        <f t="shared" si="795"/>
        <v>0</v>
      </c>
      <c r="BQ318" s="160">
        <f t="shared" si="795"/>
        <v>0</v>
      </c>
      <c r="BR318" s="160">
        <f t="shared" si="795"/>
        <v>0</v>
      </c>
      <c r="BS318" s="65"/>
      <c r="BT318" s="160">
        <f t="shared" si="796"/>
        <v>0</v>
      </c>
      <c r="BU318" s="160">
        <f t="shared" si="797"/>
        <v>0</v>
      </c>
      <c r="BV318" s="65"/>
      <c r="BW318" s="69"/>
      <c r="BX318" s="65"/>
      <c r="BY318" s="137">
        <f t="shared" si="798"/>
        <v>1</v>
      </c>
      <c r="BZ318" s="137">
        <f>IF(BY318&gt;0,BY318+LARGE($BZ$213:BZ317,1),0)</f>
        <v>90</v>
      </c>
      <c r="CA318" s="137" t="str">
        <f t="shared" si="799"/>
        <v>AN SR. ADM/CRP</v>
      </c>
      <c r="CB318" s="161">
        <f t="shared" si="800"/>
        <v>0</v>
      </c>
      <c r="CC318" s="161">
        <f t="shared" si="801"/>
        <v>0</v>
      </c>
      <c r="CD318" s="161">
        <f t="shared" si="802"/>
        <v>0</v>
      </c>
      <c r="CE318" s="161">
        <f t="shared" si="803"/>
        <v>0</v>
      </c>
      <c r="CF318" s="161">
        <f t="shared" si="804"/>
        <v>0</v>
      </c>
      <c r="CG318" s="161">
        <f t="shared" si="805"/>
        <v>0</v>
      </c>
      <c r="CH318" s="161">
        <f t="shared" si="806"/>
        <v>0</v>
      </c>
      <c r="CI318" s="161">
        <f t="shared" si="807"/>
        <v>0</v>
      </c>
      <c r="CJ318" s="161">
        <f t="shared" si="808"/>
        <v>0</v>
      </c>
      <c r="CK318" s="161">
        <f t="shared" si="809"/>
        <v>0</v>
      </c>
      <c r="CL318" s="161">
        <f t="shared" si="810"/>
        <v>0</v>
      </c>
      <c r="CM318" s="161">
        <f t="shared" si="811"/>
        <v>0</v>
      </c>
      <c r="CN318" s="161">
        <f t="shared" si="812"/>
        <v>0</v>
      </c>
      <c r="CO318" s="161">
        <f t="shared" si="813"/>
        <v>0</v>
      </c>
      <c r="CP318" s="161">
        <f t="shared" si="814"/>
        <v>0</v>
      </c>
      <c r="CQ318" s="161">
        <f t="shared" si="815"/>
        <v>0</v>
      </c>
      <c r="CR318" s="161">
        <f t="shared" si="816"/>
        <v>0</v>
      </c>
      <c r="CS318" s="161">
        <f t="shared" si="817"/>
        <v>0</v>
      </c>
      <c r="CT318" s="161">
        <f t="shared" si="818"/>
        <v>0</v>
      </c>
      <c r="CU318" s="161">
        <f t="shared" si="819"/>
        <v>0</v>
      </c>
      <c r="CV318" s="161">
        <f t="shared" si="820"/>
        <v>0</v>
      </c>
      <c r="CW318" s="161">
        <f t="shared" si="821"/>
        <v>0</v>
      </c>
      <c r="CX318" s="161">
        <f t="shared" si="822"/>
        <v>0</v>
      </c>
      <c r="CY318" s="161">
        <f t="shared" si="823"/>
        <v>0</v>
      </c>
      <c r="CZ318" s="161">
        <f t="shared" si="824"/>
        <v>0</v>
      </c>
      <c r="DA318" s="161">
        <f t="shared" si="825"/>
        <v>0</v>
      </c>
      <c r="DB318" s="161">
        <f t="shared" si="826"/>
        <v>0</v>
      </c>
      <c r="DC318" s="161">
        <f t="shared" si="827"/>
        <v>0</v>
      </c>
      <c r="DD318" s="161">
        <f t="shared" si="828"/>
        <v>0</v>
      </c>
      <c r="DE318" s="161">
        <f t="shared" si="829"/>
        <v>0</v>
      </c>
      <c r="DF318" s="161">
        <f t="shared" si="830"/>
        <v>0</v>
      </c>
      <c r="DG318" s="161">
        <f t="shared" si="831"/>
        <v>0</v>
      </c>
      <c r="DH318" s="161">
        <f t="shared" si="832"/>
        <v>0</v>
      </c>
      <c r="DI318" s="161">
        <f t="shared" si="833"/>
        <v>0</v>
      </c>
      <c r="DJ318" s="161">
        <f t="shared" si="834"/>
        <v>0</v>
      </c>
      <c r="DK318" s="161">
        <f t="shared" si="835"/>
        <v>0</v>
      </c>
      <c r="DL318" s="161">
        <f t="shared" si="836"/>
        <v>0</v>
      </c>
      <c r="DM318" s="161">
        <f t="shared" si="837"/>
        <v>0</v>
      </c>
      <c r="DN318" s="161">
        <f t="shared" si="838"/>
        <v>0</v>
      </c>
      <c r="DO318" s="161">
        <f t="shared" si="839"/>
        <v>0</v>
      </c>
      <c r="DP318" s="161">
        <f t="shared" si="840"/>
        <v>0</v>
      </c>
      <c r="DQ318" s="161">
        <f t="shared" si="841"/>
        <v>0</v>
      </c>
      <c r="DR318" s="161">
        <f t="shared" si="842"/>
        <v>0</v>
      </c>
      <c r="DS318" s="161">
        <f t="shared" si="843"/>
        <v>0</v>
      </c>
      <c r="DT318" s="161">
        <f t="shared" si="844"/>
        <v>0</v>
      </c>
      <c r="DU318" s="161">
        <f t="shared" si="845"/>
        <v>0</v>
      </c>
      <c r="DV318" s="161">
        <f t="shared" si="846"/>
        <v>0</v>
      </c>
      <c r="DW318" s="161">
        <f t="shared" si="847"/>
        <v>0</v>
      </c>
      <c r="DX318" s="161">
        <f t="shared" si="848"/>
        <v>0</v>
      </c>
      <c r="DY318" s="161">
        <f t="shared" si="849"/>
        <v>0</v>
      </c>
      <c r="DZ318" s="161">
        <f t="shared" si="850"/>
        <v>0</v>
      </c>
      <c r="EA318" s="161">
        <f t="shared" si="851"/>
        <v>0</v>
      </c>
      <c r="EB318" s="161">
        <f t="shared" si="852"/>
        <v>0</v>
      </c>
      <c r="EC318" s="161">
        <f t="shared" si="853"/>
        <v>0</v>
      </c>
      <c r="ED318" s="161">
        <f t="shared" si="854"/>
        <v>0</v>
      </c>
      <c r="EE318" s="161">
        <f t="shared" si="855"/>
        <v>0</v>
      </c>
      <c r="EF318" s="161">
        <f t="shared" si="856"/>
        <v>0</v>
      </c>
      <c r="EG318" s="161">
        <f t="shared" si="857"/>
        <v>0</v>
      </c>
      <c r="EH318" s="161">
        <f t="shared" si="858"/>
        <v>0</v>
      </c>
      <c r="EI318" s="161">
        <f t="shared" si="859"/>
        <v>0</v>
      </c>
      <c r="EJ318" s="65"/>
      <c r="EK318" s="161">
        <f t="shared" si="789"/>
        <v>0</v>
      </c>
      <c r="EL318" s="161">
        <f t="shared" si="790"/>
        <v>0</v>
      </c>
      <c r="EM318" s="161">
        <f t="shared" si="791"/>
        <v>0</v>
      </c>
    </row>
    <row r="319" spans="1:143" ht="12" hidden="1" customHeight="1" outlineLevel="2">
      <c r="A319" s="77">
        <v>11</v>
      </c>
      <c r="B319" s="137" t="str">
        <f t="shared" si="786"/>
        <v>AN PL. ADM/CRP - Equipe_01</v>
      </c>
      <c r="C319" s="65"/>
      <c r="D319" s="622"/>
      <c r="E319" s="65"/>
      <c r="F319" s="584"/>
      <c r="G319" s="77" t="str">
        <f>IF(INDEX(Tarefas!$BT$30:$FK$30,MATCH(A319,Tarefas!$BT$28:$FK$28,0))=0,"",INDEX(Tarefas!$BT$30:$FK$30,MATCH(A319,Tarefas!$BT$28:$FK$28,0)))</f>
        <v>AN PL. ADM/CRP</v>
      </c>
      <c r="H319" s="107" cm="1">
        <f t="array" ref="H319">IFERROR((SUMPRODUCT((Tarefas!$N$32:$N$54='Cronog. e Histog.'!$F$309)*(Tarefas!$BQ$30:$FK$30='Cronog. e Histog.'!$G319)*(Tarefas!$BQ$32:$FK$54)))/SUMIF(Tarefas!$N$32:$N$54,'Cronog. e Histog.'!$F$309,Tarefas!$K$32:$K$54),0)</f>
        <v>0</v>
      </c>
      <c r="I319" s="79">
        <f t="shared" si="787"/>
        <v>0</v>
      </c>
      <c r="J319" s="65"/>
      <c r="K319" s="160">
        <f t="shared" si="788"/>
        <v>0</v>
      </c>
      <c r="L319" s="160">
        <f t="shared" si="788"/>
        <v>0</v>
      </c>
      <c r="M319" s="160">
        <f t="shared" si="788"/>
        <v>0</v>
      </c>
      <c r="N319" s="160">
        <f t="shared" si="788"/>
        <v>0</v>
      </c>
      <c r="O319" s="160">
        <f t="shared" si="788"/>
        <v>0</v>
      </c>
      <c r="P319" s="160">
        <f t="shared" si="788"/>
        <v>0</v>
      </c>
      <c r="Q319" s="160">
        <f t="shared" si="788"/>
        <v>0</v>
      </c>
      <c r="R319" s="160">
        <f t="shared" si="788"/>
        <v>0</v>
      </c>
      <c r="S319" s="160">
        <f t="shared" si="788"/>
        <v>0</v>
      </c>
      <c r="T319" s="160">
        <f t="shared" si="788"/>
        <v>0</v>
      </c>
      <c r="U319" s="160">
        <f t="shared" si="788"/>
        <v>0</v>
      </c>
      <c r="V319" s="160">
        <f t="shared" si="788"/>
        <v>0</v>
      </c>
      <c r="W319" s="160">
        <f t="shared" si="788"/>
        <v>0</v>
      </c>
      <c r="X319" s="160">
        <f t="shared" si="788"/>
        <v>0</v>
      </c>
      <c r="Y319" s="160">
        <f t="shared" si="788"/>
        <v>0</v>
      </c>
      <c r="Z319" s="160">
        <f t="shared" si="788"/>
        <v>0</v>
      </c>
      <c r="AA319" s="160">
        <f t="shared" si="793"/>
        <v>0</v>
      </c>
      <c r="AB319" s="160">
        <f t="shared" si="793"/>
        <v>0</v>
      </c>
      <c r="AC319" s="160">
        <f t="shared" si="793"/>
        <v>0</v>
      </c>
      <c r="AD319" s="160">
        <f t="shared" si="793"/>
        <v>0</v>
      </c>
      <c r="AE319" s="160">
        <f t="shared" si="793"/>
        <v>0</v>
      </c>
      <c r="AF319" s="160">
        <f t="shared" si="793"/>
        <v>0</v>
      </c>
      <c r="AG319" s="160">
        <f t="shared" si="793"/>
        <v>0</v>
      </c>
      <c r="AH319" s="160">
        <f t="shared" si="793"/>
        <v>0</v>
      </c>
      <c r="AI319" s="160">
        <f t="shared" si="793"/>
        <v>0</v>
      </c>
      <c r="AJ319" s="160">
        <f t="shared" si="793"/>
        <v>0</v>
      </c>
      <c r="AK319" s="160">
        <f t="shared" si="793"/>
        <v>0</v>
      </c>
      <c r="AL319" s="160">
        <f t="shared" si="793"/>
        <v>0</v>
      </c>
      <c r="AM319" s="160">
        <f t="shared" si="793"/>
        <v>0</v>
      </c>
      <c r="AN319" s="160">
        <f t="shared" si="793"/>
        <v>0</v>
      </c>
      <c r="AO319" s="160">
        <f t="shared" si="793"/>
        <v>0</v>
      </c>
      <c r="AP319" s="160">
        <f t="shared" si="793"/>
        <v>0</v>
      </c>
      <c r="AQ319" s="160">
        <f t="shared" si="794"/>
        <v>0</v>
      </c>
      <c r="AR319" s="160">
        <f t="shared" si="794"/>
        <v>0</v>
      </c>
      <c r="AS319" s="160">
        <f t="shared" si="794"/>
        <v>0</v>
      </c>
      <c r="AT319" s="160">
        <f t="shared" si="794"/>
        <v>0</v>
      </c>
      <c r="AU319" s="160">
        <f t="shared" si="794"/>
        <v>0</v>
      </c>
      <c r="AV319" s="160">
        <f t="shared" si="794"/>
        <v>0</v>
      </c>
      <c r="AW319" s="160">
        <f t="shared" si="794"/>
        <v>0</v>
      </c>
      <c r="AX319" s="160">
        <f t="shared" si="794"/>
        <v>0</v>
      </c>
      <c r="AY319" s="160">
        <f t="shared" si="794"/>
        <v>0</v>
      </c>
      <c r="AZ319" s="160">
        <f t="shared" si="794"/>
        <v>0</v>
      </c>
      <c r="BA319" s="160">
        <f t="shared" si="794"/>
        <v>0</v>
      </c>
      <c r="BB319" s="160">
        <f t="shared" si="794"/>
        <v>0</v>
      </c>
      <c r="BC319" s="160">
        <f t="shared" si="794"/>
        <v>0</v>
      </c>
      <c r="BD319" s="160">
        <f t="shared" si="794"/>
        <v>0</v>
      </c>
      <c r="BE319" s="160">
        <f t="shared" si="794"/>
        <v>0</v>
      </c>
      <c r="BF319" s="160">
        <f t="shared" si="794"/>
        <v>0</v>
      </c>
      <c r="BG319" s="160">
        <f t="shared" si="795"/>
        <v>0</v>
      </c>
      <c r="BH319" s="160">
        <f t="shared" si="795"/>
        <v>0</v>
      </c>
      <c r="BI319" s="160">
        <f t="shared" si="795"/>
        <v>0</v>
      </c>
      <c r="BJ319" s="160">
        <f t="shared" si="795"/>
        <v>0</v>
      </c>
      <c r="BK319" s="160">
        <f t="shared" si="795"/>
        <v>0</v>
      </c>
      <c r="BL319" s="160">
        <f t="shared" si="795"/>
        <v>0</v>
      </c>
      <c r="BM319" s="160">
        <f t="shared" si="795"/>
        <v>0</v>
      </c>
      <c r="BN319" s="160">
        <f t="shared" si="795"/>
        <v>0</v>
      </c>
      <c r="BO319" s="160">
        <f t="shared" si="795"/>
        <v>0</v>
      </c>
      <c r="BP319" s="160">
        <f t="shared" si="795"/>
        <v>0</v>
      </c>
      <c r="BQ319" s="160">
        <f t="shared" si="795"/>
        <v>0</v>
      </c>
      <c r="BR319" s="160">
        <f t="shared" si="795"/>
        <v>0</v>
      </c>
      <c r="BS319" s="65"/>
      <c r="BT319" s="160">
        <f t="shared" si="796"/>
        <v>0</v>
      </c>
      <c r="BU319" s="160">
        <f t="shared" si="797"/>
        <v>0</v>
      </c>
      <c r="BV319" s="65"/>
      <c r="BW319" s="69"/>
      <c r="BX319" s="65"/>
      <c r="BY319" s="137">
        <f t="shared" si="798"/>
        <v>1</v>
      </c>
      <c r="BZ319" s="137">
        <f>IF(BY319&gt;0,BY319+LARGE($BZ$213:BZ318,1),0)</f>
        <v>91</v>
      </c>
      <c r="CA319" s="137" t="str">
        <f t="shared" si="799"/>
        <v>AN PL. ADM/CRP</v>
      </c>
      <c r="CB319" s="161">
        <f t="shared" si="800"/>
        <v>0</v>
      </c>
      <c r="CC319" s="161">
        <f t="shared" si="801"/>
        <v>0</v>
      </c>
      <c r="CD319" s="161">
        <f t="shared" si="802"/>
        <v>0</v>
      </c>
      <c r="CE319" s="161">
        <f t="shared" si="803"/>
        <v>0</v>
      </c>
      <c r="CF319" s="161">
        <f t="shared" si="804"/>
        <v>0</v>
      </c>
      <c r="CG319" s="161">
        <f t="shared" si="805"/>
        <v>0</v>
      </c>
      <c r="CH319" s="161">
        <f t="shared" si="806"/>
        <v>0</v>
      </c>
      <c r="CI319" s="161">
        <f t="shared" si="807"/>
        <v>0</v>
      </c>
      <c r="CJ319" s="161">
        <f t="shared" si="808"/>
        <v>0</v>
      </c>
      <c r="CK319" s="161">
        <f t="shared" si="809"/>
        <v>0</v>
      </c>
      <c r="CL319" s="161">
        <f t="shared" si="810"/>
        <v>0</v>
      </c>
      <c r="CM319" s="161">
        <f t="shared" si="811"/>
        <v>0</v>
      </c>
      <c r="CN319" s="161">
        <f t="shared" si="812"/>
        <v>0</v>
      </c>
      <c r="CO319" s="161">
        <f t="shared" si="813"/>
        <v>0</v>
      </c>
      <c r="CP319" s="161">
        <f t="shared" si="814"/>
        <v>0</v>
      </c>
      <c r="CQ319" s="161">
        <f t="shared" si="815"/>
        <v>0</v>
      </c>
      <c r="CR319" s="161">
        <f t="shared" si="816"/>
        <v>0</v>
      </c>
      <c r="CS319" s="161">
        <f t="shared" si="817"/>
        <v>0</v>
      </c>
      <c r="CT319" s="161">
        <f t="shared" si="818"/>
        <v>0</v>
      </c>
      <c r="CU319" s="161">
        <f t="shared" si="819"/>
        <v>0</v>
      </c>
      <c r="CV319" s="161">
        <f t="shared" si="820"/>
        <v>0</v>
      </c>
      <c r="CW319" s="161">
        <f t="shared" si="821"/>
        <v>0</v>
      </c>
      <c r="CX319" s="161">
        <f t="shared" si="822"/>
        <v>0</v>
      </c>
      <c r="CY319" s="161">
        <f t="shared" si="823"/>
        <v>0</v>
      </c>
      <c r="CZ319" s="161">
        <f t="shared" si="824"/>
        <v>0</v>
      </c>
      <c r="DA319" s="161">
        <f t="shared" si="825"/>
        <v>0</v>
      </c>
      <c r="DB319" s="161">
        <f t="shared" si="826"/>
        <v>0</v>
      </c>
      <c r="DC319" s="161">
        <f t="shared" si="827"/>
        <v>0</v>
      </c>
      <c r="DD319" s="161">
        <f t="shared" si="828"/>
        <v>0</v>
      </c>
      <c r="DE319" s="161">
        <f t="shared" si="829"/>
        <v>0</v>
      </c>
      <c r="DF319" s="161">
        <f t="shared" si="830"/>
        <v>0</v>
      </c>
      <c r="DG319" s="161">
        <f t="shared" si="831"/>
        <v>0</v>
      </c>
      <c r="DH319" s="161">
        <f t="shared" si="832"/>
        <v>0</v>
      </c>
      <c r="DI319" s="161">
        <f t="shared" si="833"/>
        <v>0</v>
      </c>
      <c r="DJ319" s="161">
        <f t="shared" si="834"/>
        <v>0</v>
      </c>
      <c r="DK319" s="161">
        <f t="shared" si="835"/>
        <v>0</v>
      </c>
      <c r="DL319" s="161">
        <f t="shared" si="836"/>
        <v>0</v>
      </c>
      <c r="DM319" s="161">
        <f t="shared" si="837"/>
        <v>0</v>
      </c>
      <c r="DN319" s="161">
        <f t="shared" si="838"/>
        <v>0</v>
      </c>
      <c r="DO319" s="161">
        <f t="shared" si="839"/>
        <v>0</v>
      </c>
      <c r="DP319" s="161">
        <f t="shared" si="840"/>
        <v>0</v>
      </c>
      <c r="DQ319" s="161">
        <f t="shared" si="841"/>
        <v>0</v>
      </c>
      <c r="DR319" s="161">
        <f t="shared" si="842"/>
        <v>0</v>
      </c>
      <c r="DS319" s="161">
        <f t="shared" si="843"/>
        <v>0</v>
      </c>
      <c r="DT319" s="161">
        <f t="shared" si="844"/>
        <v>0</v>
      </c>
      <c r="DU319" s="161">
        <f t="shared" si="845"/>
        <v>0</v>
      </c>
      <c r="DV319" s="161">
        <f t="shared" si="846"/>
        <v>0</v>
      </c>
      <c r="DW319" s="161">
        <f t="shared" si="847"/>
        <v>0</v>
      </c>
      <c r="DX319" s="161">
        <f t="shared" si="848"/>
        <v>0</v>
      </c>
      <c r="DY319" s="161">
        <f t="shared" si="849"/>
        <v>0</v>
      </c>
      <c r="DZ319" s="161">
        <f t="shared" si="850"/>
        <v>0</v>
      </c>
      <c r="EA319" s="161">
        <f t="shared" si="851"/>
        <v>0</v>
      </c>
      <c r="EB319" s="161">
        <f t="shared" si="852"/>
        <v>0</v>
      </c>
      <c r="EC319" s="161">
        <f t="shared" si="853"/>
        <v>0</v>
      </c>
      <c r="ED319" s="161">
        <f t="shared" si="854"/>
        <v>0</v>
      </c>
      <c r="EE319" s="161">
        <f t="shared" si="855"/>
        <v>0</v>
      </c>
      <c r="EF319" s="161">
        <f t="shared" si="856"/>
        <v>0</v>
      </c>
      <c r="EG319" s="161">
        <f t="shared" si="857"/>
        <v>0</v>
      </c>
      <c r="EH319" s="161">
        <f t="shared" si="858"/>
        <v>0</v>
      </c>
      <c r="EI319" s="161">
        <f t="shared" si="859"/>
        <v>0</v>
      </c>
      <c r="EJ319" s="65"/>
      <c r="EK319" s="161">
        <f t="shared" si="789"/>
        <v>0</v>
      </c>
      <c r="EL319" s="161">
        <f t="shared" si="790"/>
        <v>0</v>
      </c>
      <c r="EM319" s="161">
        <f t="shared" si="791"/>
        <v>0</v>
      </c>
    </row>
    <row r="320" spans="1:143" ht="12" hidden="1" customHeight="1" outlineLevel="2">
      <c r="A320" s="77">
        <v>12</v>
      </c>
      <c r="B320" s="137" t="str">
        <f t="shared" si="786"/>
        <v>AN JR. ADM/CRP - Equipe_01</v>
      </c>
      <c r="C320" s="65"/>
      <c r="D320" s="622"/>
      <c r="E320" s="65"/>
      <c r="F320" s="584"/>
      <c r="G320" s="77" t="str">
        <f>IF(INDEX(Tarefas!$BT$30:$FK$30,MATCH(A320,Tarefas!$BT$28:$FK$28,0))=0,"",INDEX(Tarefas!$BT$30:$FK$30,MATCH(A320,Tarefas!$BT$28:$FK$28,0)))</f>
        <v>AN JR. ADM/CRP</v>
      </c>
      <c r="H320" s="107" cm="1">
        <f t="array" ref="H320">IFERROR((SUMPRODUCT((Tarefas!$N$32:$N$54='Cronog. e Histog.'!$F$309)*(Tarefas!$BQ$30:$FK$30='Cronog. e Histog.'!$G320)*(Tarefas!$BQ$32:$FK$54)))/SUMIF(Tarefas!$N$32:$N$54,'Cronog. e Histog.'!$F$309,Tarefas!$K$32:$K$54),0)</f>
        <v>0</v>
      </c>
      <c r="I320" s="79">
        <f t="shared" si="787"/>
        <v>0</v>
      </c>
      <c r="J320" s="65"/>
      <c r="K320" s="160">
        <f t="shared" si="788"/>
        <v>0</v>
      </c>
      <c r="L320" s="160">
        <f t="shared" si="788"/>
        <v>0</v>
      </c>
      <c r="M320" s="160">
        <f t="shared" si="788"/>
        <v>0</v>
      </c>
      <c r="N320" s="160">
        <f t="shared" si="788"/>
        <v>0</v>
      </c>
      <c r="O320" s="160">
        <f t="shared" si="788"/>
        <v>0</v>
      </c>
      <c r="P320" s="160">
        <f t="shared" si="788"/>
        <v>0</v>
      </c>
      <c r="Q320" s="160">
        <f t="shared" si="788"/>
        <v>0</v>
      </c>
      <c r="R320" s="160">
        <f t="shared" si="788"/>
        <v>0</v>
      </c>
      <c r="S320" s="160">
        <f t="shared" si="788"/>
        <v>0</v>
      </c>
      <c r="T320" s="160">
        <f t="shared" si="788"/>
        <v>0</v>
      </c>
      <c r="U320" s="160">
        <f t="shared" si="788"/>
        <v>0</v>
      </c>
      <c r="V320" s="160">
        <f t="shared" si="788"/>
        <v>0</v>
      </c>
      <c r="W320" s="160">
        <f t="shared" si="788"/>
        <v>0</v>
      </c>
      <c r="X320" s="160">
        <f t="shared" si="788"/>
        <v>0</v>
      </c>
      <c r="Y320" s="160">
        <f t="shared" si="788"/>
        <v>0</v>
      </c>
      <c r="Z320" s="160">
        <f t="shared" si="788"/>
        <v>0</v>
      </c>
      <c r="AA320" s="160">
        <f t="shared" si="793"/>
        <v>0</v>
      </c>
      <c r="AB320" s="160">
        <f t="shared" si="793"/>
        <v>0</v>
      </c>
      <c r="AC320" s="160">
        <f t="shared" si="793"/>
        <v>0</v>
      </c>
      <c r="AD320" s="160">
        <f t="shared" si="793"/>
        <v>0</v>
      </c>
      <c r="AE320" s="160">
        <f t="shared" si="793"/>
        <v>0</v>
      </c>
      <c r="AF320" s="160">
        <f t="shared" si="793"/>
        <v>0</v>
      </c>
      <c r="AG320" s="160">
        <f t="shared" si="793"/>
        <v>0</v>
      </c>
      <c r="AH320" s="160">
        <f t="shared" si="793"/>
        <v>0</v>
      </c>
      <c r="AI320" s="160">
        <f t="shared" si="793"/>
        <v>0</v>
      </c>
      <c r="AJ320" s="160">
        <f t="shared" si="793"/>
        <v>0</v>
      </c>
      <c r="AK320" s="160">
        <f t="shared" si="793"/>
        <v>0</v>
      </c>
      <c r="AL320" s="160">
        <f t="shared" si="793"/>
        <v>0</v>
      </c>
      <c r="AM320" s="160">
        <f t="shared" si="793"/>
        <v>0</v>
      </c>
      <c r="AN320" s="160">
        <f t="shared" si="793"/>
        <v>0</v>
      </c>
      <c r="AO320" s="160">
        <f t="shared" si="793"/>
        <v>0</v>
      </c>
      <c r="AP320" s="160">
        <f t="shared" si="793"/>
        <v>0</v>
      </c>
      <c r="AQ320" s="160">
        <f t="shared" si="794"/>
        <v>0</v>
      </c>
      <c r="AR320" s="160">
        <f t="shared" si="794"/>
        <v>0</v>
      </c>
      <c r="AS320" s="160">
        <f t="shared" si="794"/>
        <v>0</v>
      </c>
      <c r="AT320" s="160">
        <f t="shared" si="794"/>
        <v>0</v>
      </c>
      <c r="AU320" s="160">
        <f t="shared" si="794"/>
        <v>0</v>
      </c>
      <c r="AV320" s="160">
        <f t="shared" si="794"/>
        <v>0</v>
      </c>
      <c r="AW320" s="160">
        <f t="shared" si="794"/>
        <v>0</v>
      </c>
      <c r="AX320" s="160">
        <f t="shared" si="794"/>
        <v>0</v>
      </c>
      <c r="AY320" s="160">
        <f t="shared" si="794"/>
        <v>0</v>
      </c>
      <c r="AZ320" s="160">
        <f t="shared" si="794"/>
        <v>0</v>
      </c>
      <c r="BA320" s="160">
        <f t="shared" si="794"/>
        <v>0</v>
      </c>
      <c r="BB320" s="160">
        <f t="shared" si="794"/>
        <v>0</v>
      </c>
      <c r="BC320" s="160">
        <f t="shared" si="794"/>
        <v>0</v>
      </c>
      <c r="BD320" s="160">
        <f t="shared" si="794"/>
        <v>0</v>
      </c>
      <c r="BE320" s="160">
        <f t="shared" si="794"/>
        <v>0</v>
      </c>
      <c r="BF320" s="160">
        <f t="shared" si="794"/>
        <v>0</v>
      </c>
      <c r="BG320" s="160">
        <f t="shared" si="795"/>
        <v>0</v>
      </c>
      <c r="BH320" s="160">
        <f t="shared" si="795"/>
        <v>0</v>
      </c>
      <c r="BI320" s="160">
        <f t="shared" si="795"/>
        <v>0</v>
      </c>
      <c r="BJ320" s="160">
        <f t="shared" si="795"/>
        <v>0</v>
      </c>
      <c r="BK320" s="160">
        <f t="shared" si="795"/>
        <v>0</v>
      </c>
      <c r="BL320" s="160">
        <f t="shared" si="795"/>
        <v>0</v>
      </c>
      <c r="BM320" s="160">
        <f t="shared" si="795"/>
        <v>0</v>
      </c>
      <c r="BN320" s="160">
        <f t="shared" si="795"/>
        <v>0</v>
      </c>
      <c r="BO320" s="160">
        <f t="shared" si="795"/>
        <v>0</v>
      </c>
      <c r="BP320" s="160">
        <f t="shared" si="795"/>
        <v>0</v>
      </c>
      <c r="BQ320" s="160">
        <f t="shared" si="795"/>
        <v>0</v>
      </c>
      <c r="BR320" s="160">
        <f t="shared" si="795"/>
        <v>0</v>
      </c>
      <c r="BS320" s="65"/>
      <c r="BT320" s="160">
        <f t="shared" si="796"/>
        <v>0</v>
      </c>
      <c r="BU320" s="160">
        <f t="shared" si="797"/>
        <v>0</v>
      </c>
      <c r="BV320" s="65"/>
      <c r="BW320" s="69"/>
      <c r="BX320" s="65"/>
      <c r="BY320" s="137">
        <f t="shared" si="798"/>
        <v>1</v>
      </c>
      <c r="BZ320" s="137">
        <f>IF(BY320&gt;0,BY320+LARGE($BZ$213:BZ319,1),0)</f>
        <v>92</v>
      </c>
      <c r="CA320" s="137" t="str">
        <f t="shared" si="799"/>
        <v>AN JR. ADM/CRP</v>
      </c>
      <c r="CB320" s="161">
        <f t="shared" si="800"/>
        <v>0</v>
      </c>
      <c r="CC320" s="161">
        <f t="shared" si="801"/>
        <v>0</v>
      </c>
      <c r="CD320" s="161">
        <f t="shared" si="802"/>
        <v>0</v>
      </c>
      <c r="CE320" s="161">
        <f t="shared" si="803"/>
        <v>0</v>
      </c>
      <c r="CF320" s="161">
        <f t="shared" si="804"/>
        <v>0</v>
      </c>
      <c r="CG320" s="161">
        <f t="shared" si="805"/>
        <v>0</v>
      </c>
      <c r="CH320" s="161">
        <f t="shared" si="806"/>
        <v>0</v>
      </c>
      <c r="CI320" s="161">
        <f t="shared" si="807"/>
        <v>0</v>
      </c>
      <c r="CJ320" s="161">
        <f t="shared" si="808"/>
        <v>0</v>
      </c>
      <c r="CK320" s="161">
        <f t="shared" si="809"/>
        <v>0</v>
      </c>
      <c r="CL320" s="161">
        <f t="shared" si="810"/>
        <v>0</v>
      </c>
      <c r="CM320" s="161">
        <f t="shared" si="811"/>
        <v>0</v>
      </c>
      <c r="CN320" s="161">
        <f t="shared" si="812"/>
        <v>0</v>
      </c>
      <c r="CO320" s="161">
        <f t="shared" si="813"/>
        <v>0</v>
      </c>
      <c r="CP320" s="161">
        <f t="shared" si="814"/>
        <v>0</v>
      </c>
      <c r="CQ320" s="161">
        <f t="shared" si="815"/>
        <v>0</v>
      </c>
      <c r="CR320" s="161">
        <f t="shared" si="816"/>
        <v>0</v>
      </c>
      <c r="CS320" s="161">
        <f t="shared" si="817"/>
        <v>0</v>
      </c>
      <c r="CT320" s="161">
        <f t="shared" si="818"/>
        <v>0</v>
      </c>
      <c r="CU320" s="161">
        <f t="shared" si="819"/>
        <v>0</v>
      </c>
      <c r="CV320" s="161">
        <f t="shared" si="820"/>
        <v>0</v>
      </c>
      <c r="CW320" s="161">
        <f t="shared" si="821"/>
        <v>0</v>
      </c>
      <c r="CX320" s="161">
        <f t="shared" si="822"/>
        <v>0</v>
      </c>
      <c r="CY320" s="161">
        <f t="shared" si="823"/>
        <v>0</v>
      </c>
      <c r="CZ320" s="161">
        <f t="shared" si="824"/>
        <v>0</v>
      </c>
      <c r="DA320" s="161">
        <f t="shared" si="825"/>
        <v>0</v>
      </c>
      <c r="DB320" s="161">
        <f t="shared" si="826"/>
        <v>0</v>
      </c>
      <c r="DC320" s="161">
        <f t="shared" si="827"/>
        <v>0</v>
      </c>
      <c r="DD320" s="161">
        <f t="shared" si="828"/>
        <v>0</v>
      </c>
      <c r="DE320" s="161">
        <f t="shared" si="829"/>
        <v>0</v>
      </c>
      <c r="DF320" s="161">
        <f t="shared" si="830"/>
        <v>0</v>
      </c>
      <c r="DG320" s="161">
        <f t="shared" si="831"/>
        <v>0</v>
      </c>
      <c r="DH320" s="161">
        <f t="shared" si="832"/>
        <v>0</v>
      </c>
      <c r="DI320" s="161">
        <f t="shared" si="833"/>
        <v>0</v>
      </c>
      <c r="DJ320" s="161">
        <f t="shared" si="834"/>
        <v>0</v>
      </c>
      <c r="DK320" s="161">
        <f t="shared" si="835"/>
        <v>0</v>
      </c>
      <c r="DL320" s="161">
        <f t="shared" si="836"/>
        <v>0</v>
      </c>
      <c r="DM320" s="161">
        <f t="shared" si="837"/>
        <v>0</v>
      </c>
      <c r="DN320" s="161">
        <f t="shared" si="838"/>
        <v>0</v>
      </c>
      <c r="DO320" s="161">
        <f t="shared" si="839"/>
        <v>0</v>
      </c>
      <c r="DP320" s="161">
        <f t="shared" si="840"/>
        <v>0</v>
      </c>
      <c r="DQ320" s="161">
        <f t="shared" si="841"/>
        <v>0</v>
      </c>
      <c r="DR320" s="161">
        <f t="shared" si="842"/>
        <v>0</v>
      </c>
      <c r="DS320" s="161">
        <f t="shared" si="843"/>
        <v>0</v>
      </c>
      <c r="DT320" s="161">
        <f t="shared" si="844"/>
        <v>0</v>
      </c>
      <c r="DU320" s="161">
        <f t="shared" si="845"/>
        <v>0</v>
      </c>
      <c r="DV320" s="161">
        <f t="shared" si="846"/>
        <v>0</v>
      </c>
      <c r="DW320" s="161">
        <f t="shared" si="847"/>
        <v>0</v>
      </c>
      <c r="DX320" s="161">
        <f t="shared" si="848"/>
        <v>0</v>
      </c>
      <c r="DY320" s="161">
        <f t="shared" si="849"/>
        <v>0</v>
      </c>
      <c r="DZ320" s="161">
        <f t="shared" si="850"/>
        <v>0</v>
      </c>
      <c r="EA320" s="161">
        <f t="shared" si="851"/>
        <v>0</v>
      </c>
      <c r="EB320" s="161">
        <f t="shared" si="852"/>
        <v>0</v>
      </c>
      <c r="EC320" s="161">
        <f t="shared" si="853"/>
        <v>0</v>
      </c>
      <c r="ED320" s="161">
        <f t="shared" si="854"/>
        <v>0</v>
      </c>
      <c r="EE320" s="161">
        <f t="shared" si="855"/>
        <v>0</v>
      </c>
      <c r="EF320" s="161">
        <f t="shared" si="856"/>
        <v>0</v>
      </c>
      <c r="EG320" s="161">
        <f t="shared" si="857"/>
        <v>0</v>
      </c>
      <c r="EH320" s="161">
        <f t="shared" si="858"/>
        <v>0</v>
      </c>
      <c r="EI320" s="161">
        <f t="shared" si="859"/>
        <v>0</v>
      </c>
      <c r="EJ320" s="65"/>
      <c r="EK320" s="161">
        <f t="shared" si="789"/>
        <v>0</v>
      </c>
      <c r="EL320" s="161">
        <f t="shared" si="790"/>
        <v>0</v>
      </c>
      <c r="EM320" s="161">
        <f t="shared" si="791"/>
        <v>0</v>
      </c>
    </row>
    <row r="321" spans="1:143" ht="12" hidden="1" customHeight="1" outlineLevel="2">
      <c r="A321" s="77">
        <v>13</v>
      </c>
      <c r="B321" s="137" t="str">
        <f t="shared" si="786"/>
        <v>TEC III - Equipe_01</v>
      </c>
      <c r="C321" s="65"/>
      <c r="D321" s="622"/>
      <c r="E321" s="65"/>
      <c r="F321" s="584"/>
      <c r="G321" s="77" t="str">
        <f>IF(INDEX(Tarefas!$BT$30:$FK$30,MATCH(A321,Tarefas!$BT$28:$FK$28,0))=0,"",INDEX(Tarefas!$BT$30:$FK$30,MATCH(A321,Tarefas!$BT$28:$FK$28,0)))</f>
        <v>TEC III</v>
      </c>
      <c r="H321" s="107" cm="1">
        <f t="array" ref="H321">IFERROR((SUMPRODUCT((Tarefas!$N$32:$N$54='Cronog. e Histog.'!$F$309)*(Tarefas!$BQ$30:$FK$30='Cronog. e Histog.'!$G321)*(Tarefas!$BQ$32:$FK$54)))/SUMIF(Tarefas!$N$32:$N$54,'Cronog. e Histog.'!$F$309,Tarefas!$K$32:$K$54),0)</f>
        <v>0</v>
      </c>
      <c r="I321" s="79">
        <f t="shared" si="787"/>
        <v>0</v>
      </c>
      <c r="J321" s="65"/>
      <c r="K321" s="160">
        <f t="shared" si="788"/>
        <v>0</v>
      </c>
      <c r="L321" s="160">
        <f t="shared" si="788"/>
        <v>0</v>
      </c>
      <c r="M321" s="160">
        <f t="shared" si="788"/>
        <v>0</v>
      </c>
      <c r="N321" s="160">
        <f t="shared" si="788"/>
        <v>0</v>
      </c>
      <c r="O321" s="160">
        <f t="shared" si="788"/>
        <v>0</v>
      </c>
      <c r="P321" s="160">
        <f t="shared" si="788"/>
        <v>0</v>
      </c>
      <c r="Q321" s="160">
        <f t="shared" si="788"/>
        <v>0</v>
      </c>
      <c r="R321" s="160">
        <f t="shared" si="788"/>
        <v>0</v>
      </c>
      <c r="S321" s="160">
        <f t="shared" si="788"/>
        <v>0</v>
      </c>
      <c r="T321" s="160">
        <f t="shared" si="788"/>
        <v>0</v>
      </c>
      <c r="U321" s="160">
        <f t="shared" si="788"/>
        <v>0</v>
      </c>
      <c r="V321" s="160">
        <f t="shared" si="788"/>
        <v>0</v>
      </c>
      <c r="W321" s="160">
        <f t="shared" si="788"/>
        <v>0</v>
      </c>
      <c r="X321" s="160">
        <f t="shared" si="788"/>
        <v>0</v>
      </c>
      <c r="Y321" s="160">
        <f t="shared" si="788"/>
        <v>0</v>
      </c>
      <c r="Z321" s="160">
        <f t="shared" si="788"/>
        <v>0</v>
      </c>
      <c r="AA321" s="160">
        <f t="shared" si="793"/>
        <v>0</v>
      </c>
      <c r="AB321" s="160">
        <f t="shared" si="793"/>
        <v>0</v>
      </c>
      <c r="AC321" s="160">
        <f t="shared" si="793"/>
        <v>0</v>
      </c>
      <c r="AD321" s="160">
        <f t="shared" si="793"/>
        <v>0</v>
      </c>
      <c r="AE321" s="160">
        <f t="shared" si="793"/>
        <v>0</v>
      </c>
      <c r="AF321" s="160">
        <f t="shared" si="793"/>
        <v>0</v>
      </c>
      <c r="AG321" s="160">
        <f t="shared" si="793"/>
        <v>0</v>
      </c>
      <c r="AH321" s="160">
        <f t="shared" si="793"/>
        <v>0</v>
      </c>
      <c r="AI321" s="160">
        <f t="shared" si="793"/>
        <v>0</v>
      </c>
      <c r="AJ321" s="160">
        <f t="shared" si="793"/>
        <v>0</v>
      </c>
      <c r="AK321" s="160">
        <f t="shared" si="793"/>
        <v>0</v>
      </c>
      <c r="AL321" s="160">
        <f t="shared" si="793"/>
        <v>0</v>
      </c>
      <c r="AM321" s="160">
        <f t="shared" si="793"/>
        <v>0</v>
      </c>
      <c r="AN321" s="160">
        <f t="shared" si="793"/>
        <v>0</v>
      </c>
      <c r="AO321" s="160">
        <f t="shared" si="793"/>
        <v>0</v>
      </c>
      <c r="AP321" s="160">
        <f t="shared" si="793"/>
        <v>0</v>
      </c>
      <c r="AQ321" s="160">
        <f t="shared" si="794"/>
        <v>0</v>
      </c>
      <c r="AR321" s="160">
        <f t="shared" si="794"/>
        <v>0</v>
      </c>
      <c r="AS321" s="160">
        <f t="shared" si="794"/>
        <v>0</v>
      </c>
      <c r="AT321" s="160">
        <f t="shared" si="794"/>
        <v>0</v>
      </c>
      <c r="AU321" s="160">
        <f t="shared" si="794"/>
        <v>0</v>
      </c>
      <c r="AV321" s="160">
        <f t="shared" si="794"/>
        <v>0</v>
      </c>
      <c r="AW321" s="160">
        <f t="shared" si="794"/>
        <v>0</v>
      </c>
      <c r="AX321" s="160">
        <f t="shared" si="794"/>
        <v>0</v>
      </c>
      <c r="AY321" s="160">
        <f t="shared" si="794"/>
        <v>0</v>
      </c>
      <c r="AZ321" s="160">
        <f t="shared" si="794"/>
        <v>0</v>
      </c>
      <c r="BA321" s="160">
        <f t="shared" si="794"/>
        <v>0</v>
      </c>
      <c r="BB321" s="160">
        <f t="shared" si="794"/>
        <v>0</v>
      </c>
      <c r="BC321" s="160">
        <f t="shared" si="794"/>
        <v>0</v>
      </c>
      <c r="BD321" s="160">
        <f t="shared" si="794"/>
        <v>0</v>
      </c>
      <c r="BE321" s="160">
        <f t="shared" si="794"/>
        <v>0</v>
      </c>
      <c r="BF321" s="160">
        <f t="shared" si="794"/>
        <v>0</v>
      </c>
      <c r="BG321" s="160">
        <f t="shared" si="795"/>
        <v>0</v>
      </c>
      <c r="BH321" s="160">
        <f t="shared" si="795"/>
        <v>0</v>
      </c>
      <c r="BI321" s="160">
        <f t="shared" si="795"/>
        <v>0</v>
      </c>
      <c r="BJ321" s="160">
        <f t="shared" si="795"/>
        <v>0</v>
      </c>
      <c r="BK321" s="160">
        <f t="shared" si="795"/>
        <v>0</v>
      </c>
      <c r="BL321" s="160">
        <f t="shared" si="795"/>
        <v>0</v>
      </c>
      <c r="BM321" s="160">
        <f t="shared" si="795"/>
        <v>0</v>
      </c>
      <c r="BN321" s="160">
        <f t="shared" si="795"/>
        <v>0</v>
      </c>
      <c r="BO321" s="160">
        <f t="shared" si="795"/>
        <v>0</v>
      </c>
      <c r="BP321" s="160">
        <f t="shared" si="795"/>
        <v>0</v>
      </c>
      <c r="BQ321" s="160">
        <f t="shared" si="795"/>
        <v>0</v>
      </c>
      <c r="BR321" s="160">
        <f t="shared" si="795"/>
        <v>0</v>
      </c>
      <c r="BS321" s="65"/>
      <c r="BT321" s="160">
        <f t="shared" si="796"/>
        <v>0</v>
      </c>
      <c r="BU321" s="160">
        <f t="shared" si="797"/>
        <v>0</v>
      </c>
      <c r="BV321" s="65"/>
      <c r="BW321" s="69"/>
      <c r="BX321" s="65"/>
      <c r="BY321" s="137">
        <f t="shared" si="798"/>
        <v>1</v>
      </c>
      <c r="BZ321" s="137">
        <f>IF(BY321&gt;0,BY321+LARGE($BZ$213:BZ320,1),0)</f>
        <v>93</v>
      </c>
      <c r="CA321" s="137" t="str">
        <f t="shared" si="799"/>
        <v>TEC III</v>
      </c>
      <c r="CB321" s="161">
        <f t="shared" si="800"/>
        <v>0</v>
      </c>
      <c r="CC321" s="161">
        <f t="shared" si="801"/>
        <v>0</v>
      </c>
      <c r="CD321" s="161">
        <f t="shared" si="802"/>
        <v>0</v>
      </c>
      <c r="CE321" s="161">
        <f t="shared" si="803"/>
        <v>0</v>
      </c>
      <c r="CF321" s="161">
        <f t="shared" si="804"/>
        <v>0</v>
      </c>
      <c r="CG321" s="161">
        <f t="shared" si="805"/>
        <v>0</v>
      </c>
      <c r="CH321" s="161">
        <f t="shared" si="806"/>
        <v>0</v>
      </c>
      <c r="CI321" s="161">
        <f t="shared" si="807"/>
        <v>0</v>
      </c>
      <c r="CJ321" s="161">
        <f t="shared" si="808"/>
        <v>0</v>
      </c>
      <c r="CK321" s="161">
        <f t="shared" si="809"/>
        <v>0</v>
      </c>
      <c r="CL321" s="161">
        <f t="shared" si="810"/>
        <v>0</v>
      </c>
      <c r="CM321" s="161">
        <f t="shared" si="811"/>
        <v>0</v>
      </c>
      <c r="CN321" s="161">
        <f t="shared" si="812"/>
        <v>0</v>
      </c>
      <c r="CO321" s="161">
        <f t="shared" si="813"/>
        <v>0</v>
      </c>
      <c r="CP321" s="161">
        <f t="shared" si="814"/>
        <v>0</v>
      </c>
      <c r="CQ321" s="161">
        <f t="shared" si="815"/>
        <v>0</v>
      </c>
      <c r="CR321" s="161">
        <f t="shared" si="816"/>
        <v>0</v>
      </c>
      <c r="CS321" s="161">
        <f t="shared" si="817"/>
        <v>0</v>
      </c>
      <c r="CT321" s="161">
        <f t="shared" si="818"/>
        <v>0</v>
      </c>
      <c r="CU321" s="161">
        <f t="shared" si="819"/>
        <v>0</v>
      </c>
      <c r="CV321" s="161">
        <f t="shared" si="820"/>
        <v>0</v>
      </c>
      <c r="CW321" s="161">
        <f t="shared" si="821"/>
        <v>0</v>
      </c>
      <c r="CX321" s="161">
        <f t="shared" si="822"/>
        <v>0</v>
      </c>
      <c r="CY321" s="161">
        <f t="shared" si="823"/>
        <v>0</v>
      </c>
      <c r="CZ321" s="161">
        <f t="shared" si="824"/>
        <v>0</v>
      </c>
      <c r="DA321" s="161">
        <f t="shared" si="825"/>
        <v>0</v>
      </c>
      <c r="DB321" s="161">
        <f t="shared" si="826"/>
        <v>0</v>
      </c>
      <c r="DC321" s="161">
        <f t="shared" si="827"/>
        <v>0</v>
      </c>
      <c r="DD321" s="161">
        <f t="shared" si="828"/>
        <v>0</v>
      </c>
      <c r="DE321" s="161">
        <f t="shared" si="829"/>
        <v>0</v>
      </c>
      <c r="DF321" s="161">
        <f t="shared" si="830"/>
        <v>0</v>
      </c>
      <c r="DG321" s="161">
        <f t="shared" si="831"/>
        <v>0</v>
      </c>
      <c r="DH321" s="161">
        <f t="shared" si="832"/>
        <v>0</v>
      </c>
      <c r="DI321" s="161">
        <f t="shared" si="833"/>
        <v>0</v>
      </c>
      <c r="DJ321" s="161">
        <f t="shared" si="834"/>
        <v>0</v>
      </c>
      <c r="DK321" s="161">
        <f t="shared" si="835"/>
        <v>0</v>
      </c>
      <c r="DL321" s="161">
        <f t="shared" si="836"/>
        <v>0</v>
      </c>
      <c r="DM321" s="161">
        <f t="shared" si="837"/>
        <v>0</v>
      </c>
      <c r="DN321" s="161">
        <f t="shared" si="838"/>
        <v>0</v>
      </c>
      <c r="DO321" s="161">
        <f t="shared" si="839"/>
        <v>0</v>
      </c>
      <c r="DP321" s="161">
        <f t="shared" si="840"/>
        <v>0</v>
      </c>
      <c r="DQ321" s="161">
        <f t="shared" si="841"/>
        <v>0</v>
      </c>
      <c r="DR321" s="161">
        <f t="shared" si="842"/>
        <v>0</v>
      </c>
      <c r="DS321" s="161">
        <f t="shared" si="843"/>
        <v>0</v>
      </c>
      <c r="DT321" s="161">
        <f t="shared" si="844"/>
        <v>0</v>
      </c>
      <c r="DU321" s="161">
        <f t="shared" si="845"/>
        <v>0</v>
      </c>
      <c r="DV321" s="161">
        <f t="shared" si="846"/>
        <v>0</v>
      </c>
      <c r="DW321" s="161">
        <f t="shared" si="847"/>
        <v>0</v>
      </c>
      <c r="DX321" s="161">
        <f t="shared" si="848"/>
        <v>0</v>
      </c>
      <c r="DY321" s="161">
        <f t="shared" si="849"/>
        <v>0</v>
      </c>
      <c r="DZ321" s="161">
        <f t="shared" si="850"/>
        <v>0</v>
      </c>
      <c r="EA321" s="161">
        <f t="shared" si="851"/>
        <v>0</v>
      </c>
      <c r="EB321" s="161">
        <f t="shared" si="852"/>
        <v>0</v>
      </c>
      <c r="EC321" s="161">
        <f t="shared" si="853"/>
        <v>0</v>
      </c>
      <c r="ED321" s="161">
        <f t="shared" si="854"/>
        <v>0</v>
      </c>
      <c r="EE321" s="161">
        <f t="shared" si="855"/>
        <v>0</v>
      </c>
      <c r="EF321" s="161">
        <f t="shared" si="856"/>
        <v>0</v>
      </c>
      <c r="EG321" s="161">
        <f t="shared" si="857"/>
        <v>0</v>
      </c>
      <c r="EH321" s="161">
        <f t="shared" si="858"/>
        <v>0</v>
      </c>
      <c r="EI321" s="161">
        <f t="shared" si="859"/>
        <v>0</v>
      </c>
      <c r="EJ321" s="65"/>
      <c r="EK321" s="161">
        <f t="shared" si="789"/>
        <v>0</v>
      </c>
      <c r="EL321" s="161">
        <f t="shared" si="790"/>
        <v>0</v>
      </c>
      <c r="EM321" s="161">
        <f t="shared" si="791"/>
        <v>0</v>
      </c>
    </row>
    <row r="322" spans="1:143" ht="12" hidden="1" customHeight="1" outlineLevel="2">
      <c r="A322" s="77">
        <v>14</v>
      </c>
      <c r="B322" s="137" t="str">
        <f t="shared" si="786"/>
        <v>TEC II - Equipe_01</v>
      </c>
      <c r="C322" s="65"/>
      <c r="D322" s="622"/>
      <c r="E322" s="65"/>
      <c r="F322" s="584"/>
      <c r="G322" s="77" t="str">
        <f>IF(INDEX(Tarefas!$BT$30:$FK$30,MATCH(A322,Tarefas!$BT$28:$FK$28,0))=0,"",INDEX(Tarefas!$BT$30:$FK$30,MATCH(A322,Tarefas!$BT$28:$FK$28,0)))</f>
        <v>TEC II</v>
      </c>
      <c r="H322" s="107" cm="1">
        <f t="array" ref="H322">IFERROR((SUMPRODUCT((Tarefas!$N$32:$N$54='Cronog. e Histog.'!$F$309)*(Tarefas!$BQ$30:$FK$30='Cronog. e Histog.'!$G322)*(Tarefas!$BQ$32:$FK$54)))/SUMIF(Tarefas!$N$32:$N$54,'Cronog. e Histog.'!$F$309,Tarefas!$K$32:$K$54),0)</f>
        <v>0</v>
      </c>
      <c r="I322" s="79">
        <f t="shared" si="787"/>
        <v>0</v>
      </c>
      <c r="J322" s="65"/>
      <c r="K322" s="160">
        <f t="shared" si="788"/>
        <v>0</v>
      </c>
      <c r="L322" s="160">
        <f t="shared" si="788"/>
        <v>0</v>
      </c>
      <c r="M322" s="160">
        <f t="shared" si="788"/>
        <v>0</v>
      </c>
      <c r="N322" s="160">
        <f t="shared" si="788"/>
        <v>0</v>
      </c>
      <c r="O322" s="160">
        <f t="shared" si="788"/>
        <v>0</v>
      </c>
      <c r="P322" s="160">
        <f t="shared" si="788"/>
        <v>0</v>
      </c>
      <c r="Q322" s="160">
        <f t="shared" si="788"/>
        <v>0</v>
      </c>
      <c r="R322" s="160">
        <f t="shared" si="788"/>
        <v>0</v>
      </c>
      <c r="S322" s="160">
        <f t="shared" si="788"/>
        <v>0</v>
      </c>
      <c r="T322" s="160">
        <f t="shared" si="788"/>
        <v>0</v>
      </c>
      <c r="U322" s="160">
        <f t="shared" si="788"/>
        <v>0</v>
      </c>
      <c r="V322" s="160">
        <f t="shared" si="788"/>
        <v>0</v>
      </c>
      <c r="W322" s="160">
        <f t="shared" si="788"/>
        <v>0</v>
      </c>
      <c r="X322" s="160">
        <f t="shared" si="788"/>
        <v>0</v>
      </c>
      <c r="Y322" s="160">
        <f t="shared" si="788"/>
        <v>0</v>
      </c>
      <c r="Z322" s="160">
        <f t="shared" si="788"/>
        <v>0</v>
      </c>
      <c r="AA322" s="160">
        <f t="shared" si="793"/>
        <v>0</v>
      </c>
      <c r="AB322" s="160">
        <f t="shared" si="793"/>
        <v>0</v>
      </c>
      <c r="AC322" s="160">
        <f t="shared" si="793"/>
        <v>0</v>
      </c>
      <c r="AD322" s="160">
        <f t="shared" si="793"/>
        <v>0</v>
      </c>
      <c r="AE322" s="160">
        <f t="shared" si="793"/>
        <v>0</v>
      </c>
      <c r="AF322" s="160">
        <f t="shared" si="793"/>
        <v>0</v>
      </c>
      <c r="AG322" s="160">
        <f t="shared" si="793"/>
        <v>0</v>
      </c>
      <c r="AH322" s="160">
        <f t="shared" si="793"/>
        <v>0</v>
      </c>
      <c r="AI322" s="160">
        <f t="shared" si="793"/>
        <v>0</v>
      </c>
      <c r="AJ322" s="160">
        <f t="shared" si="793"/>
        <v>0</v>
      </c>
      <c r="AK322" s="160">
        <f t="shared" si="793"/>
        <v>0</v>
      </c>
      <c r="AL322" s="160">
        <f t="shared" si="793"/>
        <v>0</v>
      </c>
      <c r="AM322" s="160">
        <f t="shared" si="793"/>
        <v>0</v>
      </c>
      <c r="AN322" s="160">
        <f t="shared" si="793"/>
        <v>0</v>
      </c>
      <c r="AO322" s="160">
        <f t="shared" si="793"/>
        <v>0</v>
      </c>
      <c r="AP322" s="160">
        <f t="shared" si="793"/>
        <v>0</v>
      </c>
      <c r="AQ322" s="160">
        <f t="shared" si="794"/>
        <v>0</v>
      </c>
      <c r="AR322" s="160">
        <f t="shared" si="794"/>
        <v>0</v>
      </c>
      <c r="AS322" s="160">
        <f t="shared" si="794"/>
        <v>0</v>
      </c>
      <c r="AT322" s="160">
        <f t="shared" si="794"/>
        <v>0</v>
      </c>
      <c r="AU322" s="160">
        <f t="shared" si="794"/>
        <v>0</v>
      </c>
      <c r="AV322" s="160">
        <f t="shared" si="794"/>
        <v>0</v>
      </c>
      <c r="AW322" s="160">
        <f t="shared" si="794"/>
        <v>0</v>
      </c>
      <c r="AX322" s="160">
        <f t="shared" si="794"/>
        <v>0</v>
      </c>
      <c r="AY322" s="160">
        <f t="shared" si="794"/>
        <v>0</v>
      </c>
      <c r="AZ322" s="160">
        <f t="shared" si="794"/>
        <v>0</v>
      </c>
      <c r="BA322" s="160">
        <f t="shared" si="794"/>
        <v>0</v>
      </c>
      <c r="BB322" s="160">
        <f t="shared" si="794"/>
        <v>0</v>
      </c>
      <c r="BC322" s="160">
        <f t="shared" si="794"/>
        <v>0</v>
      </c>
      <c r="BD322" s="160">
        <f t="shared" si="794"/>
        <v>0</v>
      </c>
      <c r="BE322" s="160">
        <f t="shared" si="794"/>
        <v>0</v>
      </c>
      <c r="BF322" s="160">
        <f t="shared" si="794"/>
        <v>0</v>
      </c>
      <c r="BG322" s="160">
        <f t="shared" si="795"/>
        <v>0</v>
      </c>
      <c r="BH322" s="160">
        <f t="shared" si="795"/>
        <v>0</v>
      </c>
      <c r="BI322" s="160">
        <f t="shared" si="795"/>
        <v>0</v>
      </c>
      <c r="BJ322" s="160">
        <f t="shared" si="795"/>
        <v>0</v>
      </c>
      <c r="BK322" s="160">
        <f t="shared" si="795"/>
        <v>0</v>
      </c>
      <c r="BL322" s="160">
        <f t="shared" si="795"/>
        <v>0</v>
      </c>
      <c r="BM322" s="160">
        <f t="shared" si="795"/>
        <v>0</v>
      </c>
      <c r="BN322" s="160">
        <f t="shared" si="795"/>
        <v>0</v>
      </c>
      <c r="BO322" s="160">
        <f t="shared" si="795"/>
        <v>0</v>
      </c>
      <c r="BP322" s="160">
        <f t="shared" si="795"/>
        <v>0</v>
      </c>
      <c r="BQ322" s="160">
        <f t="shared" si="795"/>
        <v>0</v>
      </c>
      <c r="BR322" s="160">
        <f t="shared" si="795"/>
        <v>0</v>
      </c>
      <c r="BS322" s="65"/>
      <c r="BT322" s="160">
        <f t="shared" si="796"/>
        <v>0</v>
      </c>
      <c r="BU322" s="160">
        <f t="shared" si="797"/>
        <v>0</v>
      </c>
      <c r="BV322" s="65"/>
      <c r="BW322" s="69"/>
      <c r="BX322" s="65"/>
      <c r="BY322" s="137">
        <f t="shared" si="798"/>
        <v>1</v>
      </c>
      <c r="BZ322" s="137">
        <f>IF(BY322&gt;0,BY322+LARGE($BZ$213:BZ321,1),0)</f>
        <v>94</v>
      </c>
      <c r="CA322" s="137" t="str">
        <f t="shared" si="799"/>
        <v>TEC II</v>
      </c>
      <c r="CB322" s="161">
        <f t="shared" si="800"/>
        <v>0</v>
      </c>
      <c r="CC322" s="161">
        <f t="shared" si="801"/>
        <v>0</v>
      </c>
      <c r="CD322" s="161">
        <f t="shared" si="802"/>
        <v>0</v>
      </c>
      <c r="CE322" s="161">
        <f t="shared" si="803"/>
        <v>0</v>
      </c>
      <c r="CF322" s="161">
        <f t="shared" si="804"/>
        <v>0</v>
      </c>
      <c r="CG322" s="161">
        <f t="shared" si="805"/>
        <v>0</v>
      </c>
      <c r="CH322" s="161">
        <f t="shared" si="806"/>
        <v>0</v>
      </c>
      <c r="CI322" s="161">
        <f t="shared" si="807"/>
        <v>0</v>
      </c>
      <c r="CJ322" s="161">
        <f t="shared" si="808"/>
        <v>0</v>
      </c>
      <c r="CK322" s="161">
        <f t="shared" si="809"/>
        <v>0</v>
      </c>
      <c r="CL322" s="161">
        <f t="shared" si="810"/>
        <v>0</v>
      </c>
      <c r="CM322" s="161">
        <f t="shared" si="811"/>
        <v>0</v>
      </c>
      <c r="CN322" s="161">
        <f t="shared" si="812"/>
        <v>0</v>
      </c>
      <c r="CO322" s="161">
        <f t="shared" si="813"/>
        <v>0</v>
      </c>
      <c r="CP322" s="161">
        <f t="shared" si="814"/>
        <v>0</v>
      </c>
      <c r="CQ322" s="161">
        <f t="shared" si="815"/>
        <v>0</v>
      </c>
      <c r="CR322" s="161">
        <f t="shared" si="816"/>
        <v>0</v>
      </c>
      <c r="CS322" s="161">
        <f t="shared" si="817"/>
        <v>0</v>
      </c>
      <c r="CT322" s="161">
        <f t="shared" si="818"/>
        <v>0</v>
      </c>
      <c r="CU322" s="161">
        <f t="shared" si="819"/>
        <v>0</v>
      </c>
      <c r="CV322" s="161">
        <f t="shared" si="820"/>
        <v>0</v>
      </c>
      <c r="CW322" s="161">
        <f t="shared" si="821"/>
        <v>0</v>
      </c>
      <c r="CX322" s="161">
        <f t="shared" si="822"/>
        <v>0</v>
      </c>
      <c r="CY322" s="161">
        <f t="shared" si="823"/>
        <v>0</v>
      </c>
      <c r="CZ322" s="161">
        <f t="shared" si="824"/>
        <v>0</v>
      </c>
      <c r="DA322" s="161">
        <f t="shared" si="825"/>
        <v>0</v>
      </c>
      <c r="DB322" s="161">
        <f t="shared" si="826"/>
        <v>0</v>
      </c>
      <c r="DC322" s="161">
        <f t="shared" si="827"/>
        <v>0</v>
      </c>
      <c r="DD322" s="161">
        <f t="shared" si="828"/>
        <v>0</v>
      </c>
      <c r="DE322" s="161">
        <f t="shared" si="829"/>
        <v>0</v>
      </c>
      <c r="DF322" s="161">
        <f t="shared" si="830"/>
        <v>0</v>
      </c>
      <c r="DG322" s="161">
        <f t="shared" si="831"/>
        <v>0</v>
      </c>
      <c r="DH322" s="161">
        <f t="shared" si="832"/>
        <v>0</v>
      </c>
      <c r="DI322" s="161">
        <f t="shared" si="833"/>
        <v>0</v>
      </c>
      <c r="DJ322" s="161">
        <f t="shared" si="834"/>
        <v>0</v>
      </c>
      <c r="DK322" s="161">
        <f t="shared" si="835"/>
        <v>0</v>
      </c>
      <c r="DL322" s="161">
        <f t="shared" si="836"/>
        <v>0</v>
      </c>
      <c r="DM322" s="161">
        <f t="shared" si="837"/>
        <v>0</v>
      </c>
      <c r="DN322" s="161">
        <f t="shared" si="838"/>
        <v>0</v>
      </c>
      <c r="DO322" s="161">
        <f t="shared" si="839"/>
        <v>0</v>
      </c>
      <c r="DP322" s="161">
        <f t="shared" si="840"/>
        <v>0</v>
      </c>
      <c r="DQ322" s="161">
        <f t="shared" si="841"/>
        <v>0</v>
      </c>
      <c r="DR322" s="161">
        <f t="shared" si="842"/>
        <v>0</v>
      </c>
      <c r="DS322" s="161">
        <f t="shared" si="843"/>
        <v>0</v>
      </c>
      <c r="DT322" s="161">
        <f t="shared" si="844"/>
        <v>0</v>
      </c>
      <c r="DU322" s="161">
        <f t="shared" si="845"/>
        <v>0</v>
      </c>
      <c r="DV322" s="161">
        <f t="shared" si="846"/>
        <v>0</v>
      </c>
      <c r="DW322" s="161">
        <f t="shared" si="847"/>
        <v>0</v>
      </c>
      <c r="DX322" s="161">
        <f t="shared" si="848"/>
        <v>0</v>
      </c>
      <c r="DY322" s="161">
        <f t="shared" si="849"/>
        <v>0</v>
      </c>
      <c r="DZ322" s="161">
        <f t="shared" si="850"/>
        <v>0</v>
      </c>
      <c r="EA322" s="161">
        <f t="shared" si="851"/>
        <v>0</v>
      </c>
      <c r="EB322" s="161">
        <f t="shared" si="852"/>
        <v>0</v>
      </c>
      <c r="EC322" s="161">
        <f t="shared" si="853"/>
        <v>0</v>
      </c>
      <c r="ED322" s="161">
        <f t="shared" si="854"/>
        <v>0</v>
      </c>
      <c r="EE322" s="161">
        <f t="shared" si="855"/>
        <v>0</v>
      </c>
      <c r="EF322" s="161">
        <f t="shared" si="856"/>
        <v>0</v>
      </c>
      <c r="EG322" s="161">
        <f t="shared" si="857"/>
        <v>0</v>
      </c>
      <c r="EH322" s="161">
        <f t="shared" si="858"/>
        <v>0</v>
      </c>
      <c r="EI322" s="161">
        <f t="shared" si="859"/>
        <v>0</v>
      </c>
      <c r="EJ322" s="65"/>
      <c r="EK322" s="161">
        <f t="shared" si="789"/>
        <v>0</v>
      </c>
      <c r="EL322" s="161">
        <f t="shared" si="790"/>
        <v>0</v>
      </c>
      <c r="EM322" s="161">
        <f t="shared" si="791"/>
        <v>0</v>
      </c>
    </row>
    <row r="323" spans="1:143" ht="12" hidden="1" customHeight="1" outlineLevel="2">
      <c r="A323" s="77">
        <v>15</v>
      </c>
      <c r="B323" s="137" t="str">
        <f t="shared" si="786"/>
        <v>TEC I - Equipe_01</v>
      </c>
      <c r="C323" s="65"/>
      <c r="D323" s="622"/>
      <c r="E323" s="65"/>
      <c r="F323" s="584"/>
      <c r="G323" s="77" t="str">
        <f>IF(INDEX(Tarefas!$BT$30:$FK$30,MATCH(A323,Tarefas!$BT$28:$FK$28,0))=0,"",INDEX(Tarefas!$BT$30:$FK$30,MATCH(A323,Tarefas!$BT$28:$FK$28,0)))</f>
        <v>TEC I</v>
      </c>
      <c r="H323" s="107" cm="1">
        <f t="array" ref="H323">IFERROR((SUMPRODUCT((Tarefas!$N$32:$N$54='Cronog. e Histog.'!$F$309)*(Tarefas!$BQ$30:$FK$30='Cronog. e Histog.'!$G323)*(Tarefas!$BQ$32:$FK$54)))/SUMIF(Tarefas!$N$32:$N$54,'Cronog. e Histog.'!$F$309,Tarefas!$K$32:$K$54),0)</f>
        <v>0</v>
      </c>
      <c r="I323" s="79">
        <f t="shared" si="787"/>
        <v>0</v>
      </c>
      <c r="J323" s="65"/>
      <c r="K323" s="160">
        <f t="shared" si="788"/>
        <v>0</v>
      </c>
      <c r="L323" s="160">
        <f t="shared" si="788"/>
        <v>0</v>
      </c>
      <c r="M323" s="160">
        <f t="shared" si="788"/>
        <v>0</v>
      </c>
      <c r="N323" s="160">
        <f t="shared" si="788"/>
        <v>0</v>
      </c>
      <c r="O323" s="160">
        <f t="shared" si="788"/>
        <v>0</v>
      </c>
      <c r="P323" s="160">
        <f t="shared" si="788"/>
        <v>0</v>
      </c>
      <c r="Q323" s="160">
        <f t="shared" si="788"/>
        <v>0</v>
      </c>
      <c r="R323" s="160">
        <f t="shared" si="788"/>
        <v>0</v>
      </c>
      <c r="S323" s="160">
        <f t="shared" si="788"/>
        <v>0</v>
      </c>
      <c r="T323" s="160">
        <f t="shared" si="788"/>
        <v>0</v>
      </c>
      <c r="U323" s="160">
        <f t="shared" si="788"/>
        <v>0</v>
      </c>
      <c r="V323" s="160">
        <f t="shared" si="788"/>
        <v>0</v>
      </c>
      <c r="W323" s="160">
        <f t="shared" si="788"/>
        <v>0</v>
      </c>
      <c r="X323" s="160">
        <f t="shared" si="788"/>
        <v>0</v>
      </c>
      <c r="Y323" s="160">
        <f t="shared" si="788"/>
        <v>0</v>
      </c>
      <c r="Z323" s="160">
        <f t="shared" si="788"/>
        <v>0</v>
      </c>
      <c r="AA323" s="160">
        <f t="shared" si="793"/>
        <v>0</v>
      </c>
      <c r="AB323" s="160">
        <f t="shared" si="793"/>
        <v>0</v>
      </c>
      <c r="AC323" s="160">
        <f t="shared" si="793"/>
        <v>0</v>
      </c>
      <c r="AD323" s="160">
        <f t="shared" si="793"/>
        <v>0</v>
      </c>
      <c r="AE323" s="160">
        <f t="shared" si="793"/>
        <v>0</v>
      </c>
      <c r="AF323" s="160">
        <f t="shared" si="793"/>
        <v>0</v>
      </c>
      <c r="AG323" s="160">
        <f t="shared" si="793"/>
        <v>0</v>
      </c>
      <c r="AH323" s="160">
        <f t="shared" si="793"/>
        <v>0</v>
      </c>
      <c r="AI323" s="160">
        <f t="shared" si="793"/>
        <v>0</v>
      </c>
      <c r="AJ323" s="160">
        <f t="shared" si="793"/>
        <v>0</v>
      </c>
      <c r="AK323" s="160">
        <f t="shared" si="793"/>
        <v>0</v>
      </c>
      <c r="AL323" s="160">
        <f t="shared" si="793"/>
        <v>0</v>
      </c>
      <c r="AM323" s="160">
        <f t="shared" si="793"/>
        <v>0</v>
      </c>
      <c r="AN323" s="160">
        <f t="shared" si="793"/>
        <v>0</v>
      </c>
      <c r="AO323" s="160">
        <f t="shared" si="793"/>
        <v>0</v>
      </c>
      <c r="AP323" s="160">
        <f t="shared" si="793"/>
        <v>0</v>
      </c>
      <c r="AQ323" s="160">
        <f t="shared" si="794"/>
        <v>0</v>
      </c>
      <c r="AR323" s="160">
        <f t="shared" si="794"/>
        <v>0</v>
      </c>
      <c r="AS323" s="160">
        <f t="shared" si="794"/>
        <v>0</v>
      </c>
      <c r="AT323" s="160">
        <f t="shared" si="794"/>
        <v>0</v>
      </c>
      <c r="AU323" s="160">
        <f t="shared" si="794"/>
        <v>0</v>
      </c>
      <c r="AV323" s="160">
        <f t="shared" si="794"/>
        <v>0</v>
      </c>
      <c r="AW323" s="160">
        <f t="shared" si="794"/>
        <v>0</v>
      </c>
      <c r="AX323" s="160">
        <f t="shared" si="794"/>
        <v>0</v>
      </c>
      <c r="AY323" s="160">
        <f t="shared" si="794"/>
        <v>0</v>
      </c>
      <c r="AZ323" s="160">
        <f t="shared" si="794"/>
        <v>0</v>
      </c>
      <c r="BA323" s="160">
        <f t="shared" si="794"/>
        <v>0</v>
      </c>
      <c r="BB323" s="160">
        <f t="shared" si="794"/>
        <v>0</v>
      </c>
      <c r="BC323" s="160">
        <f t="shared" si="794"/>
        <v>0</v>
      </c>
      <c r="BD323" s="160">
        <f t="shared" si="794"/>
        <v>0</v>
      </c>
      <c r="BE323" s="160">
        <f t="shared" si="794"/>
        <v>0</v>
      </c>
      <c r="BF323" s="160">
        <f t="shared" si="794"/>
        <v>0</v>
      </c>
      <c r="BG323" s="160">
        <f t="shared" si="795"/>
        <v>0</v>
      </c>
      <c r="BH323" s="160">
        <f t="shared" si="795"/>
        <v>0</v>
      </c>
      <c r="BI323" s="160">
        <f t="shared" si="795"/>
        <v>0</v>
      </c>
      <c r="BJ323" s="160">
        <f t="shared" si="795"/>
        <v>0</v>
      </c>
      <c r="BK323" s="160">
        <f t="shared" si="795"/>
        <v>0</v>
      </c>
      <c r="BL323" s="160">
        <f t="shared" si="795"/>
        <v>0</v>
      </c>
      <c r="BM323" s="160">
        <f t="shared" si="795"/>
        <v>0</v>
      </c>
      <c r="BN323" s="160">
        <f t="shared" si="795"/>
        <v>0</v>
      </c>
      <c r="BO323" s="160">
        <f t="shared" si="795"/>
        <v>0</v>
      </c>
      <c r="BP323" s="160">
        <f t="shared" si="795"/>
        <v>0</v>
      </c>
      <c r="BQ323" s="160">
        <f t="shared" si="795"/>
        <v>0</v>
      </c>
      <c r="BR323" s="160">
        <f t="shared" si="795"/>
        <v>0</v>
      </c>
      <c r="BS323" s="65"/>
      <c r="BT323" s="160">
        <f t="shared" si="796"/>
        <v>0</v>
      </c>
      <c r="BU323" s="160">
        <f t="shared" si="797"/>
        <v>0</v>
      </c>
      <c r="BV323" s="65"/>
      <c r="BW323" s="69"/>
      <c r="BX323" s="65"/>
      <c r="BY323" s="137">
        <f t="shared" si="798"/>
        <v>1</v>
      </c>
      <c r="BZ323" s="137">
        <f>IF(BY323&gt;0,BY323+LARGE($BZ$213:BZ322,1),0)</f>
        <v>95</v>
      </c>
      <c r="CA323" s="137" t="str">
        <f t="shared" si="799"/>
        <v>TEC I</v>
      </c>
      <c r="CB323" s="161">
        <f t="shared" si="800"/>
        <v>0</v>
      </c>
      <c r="CC323" s="161">
        <f t="shared" si="801"/>
        <v>0</v>
      </c>
      <c r="CD323" s="161">
        <f t="shared" si="802"/>
        <v>0</v>
      </c>
      <c r="CE323" s="161">
        <f t="shared" si="803"/>
        <v>0</v>
      </c>
      <c r="CF323" s="161">
        <f t="shared" si="804"/>
        <v>0</v>
      </c>
      <c r="CG323" s="161">
        <f t="shared" si="805"/>
        <v>0</v>
      </c>
      <c r="CH323" s="161">
        <f t="shared" si="806"/>
        <v>0</v>
      </c>
      <c r="CI323" s="161">
        <f t="shared" si="807"/>
        <v>0</v>
      </c>
      <c r="CJ323" s="161">
        <f t="shared" si="808"/>
        <v>0</v>
      </c>
      <c r="CK323" s="161">
        <f t="shared" si="809"/>
        <v>0</v>
      </c>
      <c r="CL323" s="161">
        <f t="shared" si="810"/>
        <v>0</v>
      </c>
      <c r="CM323" s="161">
        <f t="shared" si="811"/>
        <v>0</v>
      </c>
      <c r="CN323" s="161">
        <f t="shared" si="812"/>
        <v>0</v>
      </c>
      <c r="CO323" s="161">
        <f t="shared" si="813"/>
        <v>0</v>
      </c>
      <c r="CP323" s="161">
        <f t="shared" si="814"/>
        <v>0</v>
      </c>
      <c r="CQ323" s="161">
        <f t="shared" si="815"/>
        <v>0</v>
      </c>
      <c r="CR323" s="161">
        <f t="shared" si="816"/>
        <v>0</v>
      </c>
      <c r="CS323" s="161">
        <f t="shared" si="817"/>
        <v>0</v>
      </c>
      <c r="CT323" s="161">
        <f t="shared" si="818"/>
        <v>0</v>
      </c>
      <c r="CU323" s="161">
        <f t="shared" si="819"/>
        <v>0</v>
      </c>
      <c r="CV323" s="161">
        <f t="shared" si="820"/>
        <v>0</v>
      </c>
      <c r="CW323" s="161">
        <f t="shared" si="821"/>
        <v>0</v>
      </c>
      <c r="CX323" s="161">
        <f t="shared" si="822"/>
        <v>0</v>
      </c>
      <c r="CY323" s="161">
        <f t="shared" si="823"/>
        <v>0</v>
      </c>
      <c r="CZ323" s="161">
        <f t="shared" si="824"/>
        <v>0</v>
      </c>
      <c r="DA323" s="161">
        <f t="shared" si="825"/>
        <v>0</v>
      </c>
      <c r="DB323" s="161">
        <f t="shared" si="826"/>
        <v>0</v>
      </c>
      <c r="DC323" s="161">
        <f t="shared" si="827"/>
        <v>0</v>
      </c>
      <c r="DD323" s="161">
        <f t="shared" si="828"/>
        <v>0</v>
      </c>
      <c r="DE323" s="161">
        <f t="shared" si="829"/>
        <v>0</v>
      </c>
      <c r="DF323" s="161">
        <f t="shared" si="830"/>
        <v>0</v>
      </c>
      <c r="DG323" s="161">
        <f t="shared" si="831"/>
        <v>0</v>
      </c>
      <c r="DH323" s="161">
        <f t="shared" si="832"/>
        <v>0</v>
      </c>
      <c r="DI323" s="161">
        <f t="shared" si="833"/>
        <v>0</v>
      </c>
      <c r="DJ323" s="161">
        <f t="shared" si="834"/>
        <v>0</v>
      </c>
      <c r="DK323" s="161">
        <f t="shared" si="835"/>
        <v>0</v>
      </c>
      <c r="DL323" s="161">
        <f t="shared" si="836"/>
        <v>0</v>
      </c>
      <c r="DM323" s="161">
        <f t="shared" si="837"/>
        <v>0</v>
      </c>
      <c r="DN323" s="161">
        <f t="shared" si="838"/>
        <v>0</v>
      </c>
      <c r="DO323" s="161">
        <f t="shared" si="839"/>
        <v>0</v>
      </c>
      <c r="DP323" s="161">
        <f t="shared" si="840"/>
        <v>0</v>
      </c>
      <c r="DQ323" s="161">
        <f t="shared" si="841"/>
        <v>0</v>
      </c>
      <c r="DR323" s="161">
        <f t="shared" si="842"/>
        <v>0</v>
      </c>
      <c r="DS323" s="161">
        <f t="shared" si="843"/>
        <v>0</v>
      </c>
      <c r="DT323" s="161">
        <f t="shared" si="844"/>
        <v>0</v>
      </c>
      <c r="DU323" s="161">
        <f t="shared" si="845"/>
        <v>0</v>
      </c>
      <c r="DV323" s="161">
        <f t="shared" si="846"/>
        <v>0</v>
      </c>
      <c r="DW323" s="161">
        <f t="shared" si="847"/>
        <v>0</v>
      </c>
      <c r="DX323" s="161">
        <f t="shared" si="848"/>
        <v>0</v>
      </c>
      <c r="DY323" s="161">
        <f t="shared" si="849"/>
        <v>0</v>
      </c>
      <c r="DZ323" s="161">
        <f t="shared" si="850"/>
        <v>0</v>
      </c>
      <c r="EA323" s="161">
        <f t="shared" si="851"/>
        <v>0</v>
      </c>
      <c r="EB323" s="161">
        <f t="shared" si="852"/>
        <v>0</v>
      </c>
      <c r="EC323" s="161">
        <f t="shared" si="853"/>
        <v>0</v>
      </c>
      <c r="ED323" s="161">
        <f t="shared" si="854"/>
        <v>0</v>
      </c>
      <c r="EE323" s="161">
        <f t="shared" si="855"/>
        <v>0</v>
      </c>
      <c r="EF323" s="161">
        <f t="shared" si="856"/>
        <v>0</v>
      </c>
      <c r="EG323" s="161">
        <f t="shared" si="857"/>
        <v>0</v>
      </c>
      <c r="EH323" s="161">
        <f t="shared" si="858"/>
        <v>0</v>
      </c>
      <c r="EI323" s="161">
        <f t="shared" si="859"/>
        <v>0</v>
      </c>
      <c r="EJ323" s="65"/>
      <c r="EK323" s="161">
        <f t="shared" si="789"/>
        <v>0</v>
      </c>
      <c r="EL323" s="161">
        <f t="shared" si="790"/>
        <v>0</v>
      </c>
      <c r="EM323" s="161">
        <f t="shared" si="791"/>
        <v>0</v>
      </c>
    </row>
    <row r="324" spans="1:143" ht="12" hidden="1" customHeight="1" outlineLevel="2">
      <c r="A324" s="77">
        <v>16</v>
      </c>
      <c r="B324" s="137" t="str">
        <f t="shared" si="786"/>
        <v>AUX TEC - Equipe_01</v>
      </c>
      <c r="C324" s="65"/>
      <c r="D324" s="622"/>
      <c r="E324" s="65"/>
      <c r="F324" s="584"/>
      <c r="G324" s="77" t="str">
        <f>IF(INDEX(Tarefas!$BT$30:$FK$30,MATCH(A324,Tarefas!$BT$28:$FK$28,0))=0,"",INDEX(Tarefas!$BT$30:$FK$30,MATCH(A324,Tarefas!$BT$28:$FK$28,0)))</f>
        <v>AUX TEC</v>
      </c>
      <c r="H324" s="107" cm="1">
        <f t="array" ref="H324">IFERROR((SUMPRODUCT((Tarefas!$N$32:$N$54='Cronog. e Histog.'!$F$309)*(Tarefas!$BQ$30:$FK$30='Cronog. e Histog.'!$G324)*(Tarefas!$BQ$32:$FK$54)))/SUMIF(Tarefas!$N$32:$N$54,'Cronog. e Histog.'!$F$309,Tarefas!$K$32:$K$54),0)</f>
        <v>0</v>
      </c>
      <c r="I324" s="79">
        <f t="shared" si="787"/>
        <v>0</v>
      </c>
      <c r="J324" s="65"/>
      <c r="K324" s="160">
        <f t="shared" si="788"/>
        <v>0</v>
      </c>
      <c r="L324" s="160">
        <f t="shared" si="788"/>
        <v>0</v>
      </c>
      <c r="M324" s="160">
        <f t="shared" si="788"/>
        <v>0</v>
      </c>
      <c r="N324" s="160">
        <f t="shared" si="788"/>
        <v>0</v>
      </c>
      <c r="O324" s="160">
        <f t="shared" si="788"/>
        <v>0</v>
      </c>
      <c r="P324" s="160">
        <f t="shared" si="788"/>
        <v>0</v>
      </c>
      <c r="Q324" s="160">
        <f t="shared" si="788"/>
        <v>0</v>
      </c>
      <c r="R324" s="160">
        <f t="shared" si="788"/>
        <v>0</v>
      </c>
      <c r="S324" s="160">
        <f t="shared" si="788"/>
        <v>0</v>
      </c>
      <c r="T324" s="160">
        <f t="shared" si="788"/>
        <v>0</v>
      </c>
      <c r="U324" s="160">
        <f t="shared" si="788"/>
        <v>0</v>
      </c>
      <c r="V324" s="160">
        <f t="shared" si="788"/>
        <v>0</v>
      </c>
      <c r="W324" s="160">
        <f t="shared" si="788"/>
        <v>0</v>
      </c>
      <c r="X324" s="160">
        <f t="shared" si="788"/>
        <v>0</v>
      </c>
      <c r="Y324" s="160">
        <f t="shared" si="788"/>
        <v>0</v>
      </c>
      <c r="Z324" s="160">
        <f t="shared" si="788"/>
        <v>0</v>
      </c>
      <c r="AA324" s="160">
        <f t="shared" si="793"/>
        <v>0</v>
      </c>
      <c r="AB324" s="160">
        <f t="shared" si="793"/>
        <v>0</v>
      </c>
      <c r="AC324" s="160">
        <f t="shared" si="793"/>
        <v>0</v>
      </c>
      <c r="AD324" s="160">
        <f t="shared" si="793"/>
        <v>0</v>
      </c>
      <c r="AE324" s="160">
        <f t="shared" si="793"/>
        <v>0</v>
      </c>
      <c r="AF324" s="160">
        <f t="shared" si="793"/>
        <v>0</v>
      </c>
      <c r="AG324" s="160">
        <f t="shared" si="793"/>
        <v>0</v>
      </c>
      <c r="AH324" s="160">
        <f t="shared" si="793"/>
        <v>0</v>
      </c>
      <c r="AI324" s="160">
        <f t="shared" si="793"/>
        <v>0</v>
      </c>
      <c r="AJ324" s="160">
        <f t="shared" si="793"/>
        <v>0</v>
      </c>
      <c r="AK324" s="160">
        <f t="shared" si="793"/>
        <v>0</v>
      </c>
      <c r="AL324" s="160">
        <f t="shared" si="793"/>
        <v>0</v>
      </c>
      <c r="AM324" s="160">
        <f t="shared" si="793"/>
        <v>0</v>
      </c>
      <c r="AN324" s="160">
        <f t="shared" si="793"/>
        <v>0</v>
      </c>
      <c r="AO324" s="160">
        <f t="shared" si="793"/>
        <v>0</v>
      </c>
      <c r="AP324" s="160">
        <f t="shared" si="793"/>
        <v>0</v>
      </c>
      <c r="AQ324" s="160">
        <f t="shared" si="794"/>
        <v>0</v>
      </c>
      <c r="AR324" s="160">
        <f t="shared" si="794"/>
        <v>0</v>
      </c>
      <c r="AS324" s="160">
        <f t="shared" si="794"/>
        <v>0</v>
      </c>
      <c r="AT324" s="160">
        <f t="shared" si="794"/>
        <v>0</v>
      </c>
      <c r="AU324" s="160">
        <f t="shared" si="794"/>
        <v>0</v>
      </c>
      <c r="AV324" s="160">
        <f t="shared" si="794"/>
        <v>0</v>
      </c>
      <c r="AW324" s="160">
        <f t="shared" si="794"/>
        <v>0</v>
      </c>
      <c r="AX324" s="160">
        <f t="shared" si="794"/>
        <v>0</v>
      </c>
      <c r="AY324" s="160">
        <f t="shared" si="794"/>
        <v>0</v>
      </c>
      <c r="AZ324" s="160">
        <f t="shared" si="794"/>
        <v>0</v>
      </c>
      <c r="BA324" s="160">
        <f t="shared" si="794"/>
        <v>0</v>
      </c>
      <c r="BB324" s="160">
        <f t="shared" si="794"/>
        <v>0</v>
      </c>
      <c r="BC324" s="160">
        <f t="shared" si="794"/>
        <v>0</v>
      </c>
      <c r="BD324" s="160">
        <f t="shared" si="794"/>
        <v>0</v>
      </c>
      <c r="BE324" s="160">
        <f t="shared" si="794"/>
        <v>0</v>
      </c>
      <c r="BF324" s="160">
        <f t="shared" si="794"/>
        <v>0</v>
      </c>
      <c r="BG324" s="160">
        <f t="shared" si="795"/>
        <v>0</v>
      </c>
      <c r="BH324" s="160">
        <f t="shared" si="795"/>
        <v>0</v>
      </c>
      <c r="BI324" s="160">
        <f t="shared" si="795"/>
        <v>0</v>
      </c>
      <c r="BJ324" s="160">
        <f t="shared" si="795"/>
        <v>0</v>
      </c>
      <c r="BK324" s="160">
        <f t="shared" si="795"/>
        <v>0</v>
      </c>
      <c r="BL324" s="160">
        <f t="shared" si="795"/>
        <v>0</v>
      </c>
      <c r="BM324" s="160">
        <f t="shared" si="795"/>
        <v>0</v>
      </c>
      <c r="BN324" s="160">
        <f t="shared" si="795"/>
        <v>0</v>
      </c>
      <c r="BO324" s="160">
        <f t="shared" si="795"/>
        <v>0</v>
      </c>
      <c r="BP324" s="160">
        <f t="shared" si="795"/>
        <v>0</v>
      </c>
      <c r="BQ324" s="160">
        <f t="shared" si="795"/>
        <v>0</v>
      </c>
      <c r="BR324" s="160">
        <f t="shared" si="795"/>
        <v>0</v>
      </c>
      <c r="BS324" s="65"/>
      <c r="BT324" s="160">
        <f t="shared" si="796"/>
        <v>0</v>
      </c>
      <c r="BU324" s="160">
        <f t="shared" si="797"/>
        <v>0</v>
      </c>
      <c r="BV324" s="65"/>
      <c r="BW324" s="69"/>
      <c r="BX324" s="65"/>
      <c r="BY324" s="137">
        <f t="shared" si="798"/>
        <v>1</v>
      </c>
      <c r="BZ324" s="137">
        <f>IF(BY324&gt;0,BY324+LARGE($BZ$213:BZ323,1),0)</f>
        <v>96</v>
      </c>
      <c r="CA324" s="137" t="str">
        <f t="shared" si="799"/>
        <v>AUX TEC</v>
      </c>
      <c r="CB324" s="161">
        <f t="shared" si="800"/>
        <v>0</v>
      </c>
      <c r="CC324" s="161">
        <f t="shared" si="801"/>
        <v>0</v>
      </c>
      <c r="CD324" s="161">
        <f t="shared" si="802"/>
        <v>0</v>
      </c>
      <c r="CE324" s="161">
        <f t="shared" si="803"/>
        <v>0</v>
      </c>
      <c r="CF324" s="161">
        <f t="shared" si="804"/>
        <v>0</v>
      </c>
      <c r="CG324" s="161">
        <f t="shared" si="805"/>
        <v>0</v>
      </c>
      <c r="CH324" s="161">
        <f t="shared" si="806"/>
        <v>0</v>
      </c>
      <c r="CI324" s="161">
        <f t="shared" si="807"/>
        <v>0</v>
      </c>
      <c r="CJ324" s="161">
        <f t="shared" si="808"/>
        <v>0</v>
      </c>
      <c r="CK324" s="161">
        <f t="shared" si="809"/>
        <v>0</v>
      </c>
      <c r="CL324" s="161">
        <f t="shared" si="810"/>
        <v>0</v>
      </c>
      <c r="CM324" s="161">
        <f t="shared" si="811"/>
        <v>0</v>
      </c>
      <c r="CN324" s="161">
        <f t="shared" si="812"/>
        <v>0</v>
      </c>
      <c r="CO324" s="161">
        <f t="shared" si="813"/>
        <v>0</v>
      </c>
      <c r="CP324" s="161">
        <f t="shared" si="814"/>
        <v>0</v>
      </c>
      <c r="CQ324" s="161">
        <f t="shared" si="815"/>
        <v>0</v>
      </c>
      <c r="CR324" s="161">
        <f t="shared" si="816"/>
        <v>0</v>
      </c>
      <c r="CS324" s="161">
        <f t="shared" si="817"/>
        <v>0</v>
      </c>
      <c r="CT324" s="161">
        <f t="shared" si="818"/>
        <v>0</v>
      </c>
      <c r="CU324" s="161">
        <f t="shared" si="819"/>
        <v>0</v>
      </c>
      <c r="CV324" s="161">
        <f t="shared" si="820"/>
        <v>0</v>
      </c>
      <c r="CW324" s="161">
        <f t="shared" si="821"/>
        <v>0</v>
      </c>
      <c r="CX324" s="161">
        <f t="shared" si="822"/>
        <v>0</v>
      </c>
      <c r="CY324" s="161">
        <f t="shared" si="823"/>
        <v>0</v>
      </c>
      <c r="CZ324" s="161">
        <f t="shared" si="824"/>
        <v>0</v>
      </c>
      <c r="DA324" s="161">
        <f t="shared" si="825"/>
        <v>0</v>
      </c>
      <c r="DB324" s="161">
        <f t="shared" si="826"/>
        <v>0</v>
      </c>
      <c r="DC324" s="161">
        <f t="shared" si="827"/>
        <v>0</v>
      </c>
      <c r="DD324" s="161">
        <f t="shared" si="828"/>
        <v>0</v>
      </c>
      <c r="DE324" s="161">
        <f t="shared" si="829"/>
        <v>0</v>
      </c>
      <c r="DF324" s="161">
        <f t="shared" si="830"/>
        <v>0</v>
      </c>
      <c r="DG324" s="161">
        <f t="shared" si="831"/>
        <v>0</v>
      </c>
      <c r="DH324" s="161">
        <f t="shared" si="832"/>
        <v>0</v>
      </c>
      <c r="DI324" s="161">
        <f t="shared" si="833"/>
        <v>0</v>
      </c>
      <c r="DJ324" s="161">
        <f t="shared" si="834"/>
        <v>0</v>
      </c>
      <c r="DK324" s="161">
        <f t="shared" si="835"/>
        <v>0</v>
      </c>
      <c r="DL324" s="161">
        <f t="shared" si="836"/>
        <v>0</v>
      </c>
      <c r="DM324" s="161">
        <f t="shared" si="837"/>
        <v>0</v>
      </c>
      <c r="DN324" s="161">
        <f t="shared" si="838"/>
        <v>0</v>
      </c>
      <c r="DO324" s="161">
        <f t="shared" si="839"/>
        <v>0</v>
      </c>
      <c r="DP324" s="161">
        <f t="shared" si="840"/>
        <v>0</v>
      </c>
      <c r="DQ324" s="161">
        <f t="shared" si="841"/>
        <v>0</v>
      </c>
      <c r="DR324" s="161">
        <f t="shared" si="842"/>
        <v>0</v>
      </c>
      <c r="DS324" s="161">
        <f t="shared" si="843"/>
        <v>0</v>
      </c>
      <c r="DT324" s="161">
        <f t="shared" si="844"/>
        <v>0</v>
      </c>
      <c r="DU324" s="161">
        <f t="shared" si="845"/>
        <v>0</v>
      </c>
      <c r="DV324" s="161">
        <f t="shared" si="846"/>
        <v>0</v>
      </c>
      <c r="DW324" s="161">
        <f t="shared" si="847"/>
        <v>0</v>
      </c>
      <c r="DX324" s="161">
        <f t="shared" si="848"/>
        <v>0</v>
      </c>
      <c r="DY324" s="161">
        <f t="shared" si="849"/>
        <v>0</v>
      </c>
      <c r="DZ324" s="161">
        <f t="shared" si="850"/>
        <v>0</v>
      </c>
      <c r="EA324" s="161">
        <f t="shared" si="851"/>
        <v>0</v>
      </c>
      <c r="EB324" s="161">
        <f t="shared" si="852"/>
        <v>0</v>
      </c>
      <c r="EC324" s="161">
        <f t="shared" si="853"/>
        <v>0</v>
      </c>
      <c r="ED324" s="161">
        <f t="shared" si="854"/>
        <v>0</v>
      </c>
      <c r="EE324" s="161">
        <f t="shared" si="855"/>
        <v>0</v>
      </c>
      <c r="EF324" s="161">
        <f t="shared" si="856"/>
        <v>0</v>
      </c>
      <c r="EG324" s="161">
        <f t="shared" si="857"/>
        <v>0</v>
      </c>
      <c r="EH324" s="161">
        <f t="shared" si="858"/>
        <v>0</v>
      </c>
      <c r="EI324" s="161">
        <f t="shared" si="859"/>
        <v>0</v>
      </c>
      <c r="EJ324" s="65"/>
      <c r="EK324" s="161">
        <f t="shared" si="789"/>
        <v>0</v>
      </c>
      <c r="EL324" s="161">
        <f t="shared" si="790"/>
        <v>0</v>
      </c>
      <c r="EM324" s="161">
        <f t="shared" si="791"/>
        <v>0</v>
      </c>
    </row>
    <row r="325" spans="1:143" ht="12" hidden="1" customHeight="1" outlineLevel="2">
      <c r="A325" s="77">
        <v>17</v>
      </c>
      <c r="B325" s="137" t="str">
        <f t="shared" si="786"/>
        <v>AUX ADM - Equipe_01</v>
      </c>
      <c r="C325" s="65"/>
      <c r="D325" s="622"/>
      <c r="E325" s="65"/>
      <c r="F325" s="584"/>
      <c r="G325" s="77" t="str">
        <f>IF(INDEX(Tarefas!$BT$30:$FK$30,MATCH(A325,Tarefas!$BT$28:$FK$28,0))=0,"",INDEX(Tarefas!$BT$30:$FK$30,MATCH(A325,Tarefas!$BT$28:$FK$28,0)))</f>
        <v>AUX ADM</v>
      </c>
      <c r="H325" s="107" cm="1">
        <f t="array" ref="H325">IFERROR((SUMPRODUCT((Tarefas!$N$32:$N$54='Cronog. e Histog.'!$F$309)*(Tarefas!$BQ$30:$FK$30='Cronog. e Histog.'!$G325)*(Tarefas!$BQ$32:$FK$54)))/SUMIF(Tarefas!$N$32:$N$54,'Cronog. e Histog.'!$F$309,Tarefas!$K$32:$K$54),0)</f>
        <v>0</v>
      </c>
      <c r="I325" s="79">
        <f t="shared" si="787"/>
        <v>0</v>
      </c>
      <c r="J325" s="65"/>
      <c r="K325" s="160">
        <f t="shared" si="788"/>
        <v>0</v>
      </c>
      <c r="L325" s="160">
        <f t="shared" si="792"/>
        <v>0</v>
      </c>
      <c r="M325" s="160">
        <f t="shared" si="792"/>
        <v>0</v>
      </c>
      <c r="N325" s="160">
        <f t="shared" si="792"/>
        <v>0</v>
      </c>
      <c r="O325" s="160">
        <f t="shared" si="792"/>
        <v>0</v>
      </c>
      <c r="P325" s="160">
        <f t="shared" si="792"/>
        <v>0</v>
      </c>
      <c r="Q325" s="160">
        <f t="shared" si="792"/>
        <v>0</v>
      </c>
      <c r="R325" s="160">
        <f t="shared" si="792"/>
        <v>0</v>
      </c>
      <c r="S325" s="160">
        <f t="shared" si="792"/>
        <v>0</v>
      </c>
      <c r="T325" s="160">
        <f t="shared" si="792"/>
        <v>0</v>
      </c>
      <c r="U325" s="160">
        <f t="shared" si="792"/>
        <v>0</v>
      </c>
      <c r="V325" s="160">
        <f t="shared" si="792"/>
        <v>0</v>
      </c>
      <c r="W325" s="160">
        <f t="shared" si="792"/>
        <v>0</v>
      </c>
      <c r="X325" s="160">
        <f t="shared" si="792"/>
        <v>0</v>
      </c>
      <c r="Y325" s="160">
        <f t="shared" si="792"/>
        <v>0</v>
      </c>
      <c r="Z325" s="160">
        <f t="shared" si="792"/>
        <v>0</v>
      </c>
      <c r="AA325" s="160">
        <f t="shared" si="792"/>
        <v>0</v>
      </c>
      <c r="AB325" s="160">
        <f t="shared" si="792"/>
        <v>0</v>
      </c>
      <c r="AC325" s="160">
        <f t="shared" si="792"/>
        <v>0</v>
      </c>
      <c r="AD325" s="160">
        <f t="shared" si="792"/>
        <v>0</v>
      </c>
      <c r="AE325" s="160">
        <f t="shared" si="792"/>
        <v>0</v>
      </c>
      <c r="AF325" s="160">
        <f t="shared" si="792"/>
        <v>0</v>
      </c>
      <c r="AG325" s="160">
        <f t="shared" si="792"/>
        <v>0</v>
      </c>
      <c r="AH325" s="160">
        <f t="shared" si="792"/>
        <v>0</v>
      </c>
      <c r="AI325" s="160">
        <f t="shared" si="792"/>
        <v>0</v>
      </c>
      <c r="AJ325" s="160">
        <f t="shared" si="792"/>
        <v>0</v>
      </c>
      <c r="AK325" s="160">
        <f t="shared" si="792"/>
        <v>0</v>
      </c>
      <c r="AL325" s="160">
        <f t="shared" si="792"/>
        <v>0</v>
      </c>
      <c r="AM325" s="160">
        <f t="shared" si="792"/>
        <v>0</v>
      </c>
      <c r="AN325" s="160">
        <f t="shared" si="792"/>
        <v>0</v>
      </c>
      <c r="AO325" s="160">
        <f t="shared" si="792"/>
        <v>0</v>
      </c>
      <c r="AP325" s="160">
        <f t="shared" si="792"/>
        <v>0</v>
      </c>
      <c r="AQ325" s="160">
        <f t="shared" si="792"/>
        <v>0</v>
      </c>
      <c r="AR325" s="160">
        <f t="shared" si="792"/>
        <v>0</v>
      </c>
      <c r="AS325" s="160">
        <f t="shared" si="792"/>
        <v>0</v>
      </c>
      <c r="AT325" s="160">
        <f t="shared" si="792"/>
        <v>0</v>
      </c>
      <c r="AU325" s="160">
        <f t="shared" si="792"/>
        <v>0</v>
      </c>
      <c r="AV325" s="160">
        <f t="shared" si="792"/>
        <v>0</v>
      </c>
      <c r="AW325" s="160">
        <f t="shared" si="792"/>
        <v>0</v>
      </c>
      <c r="AX325" s="160">
        <f t="shared" si="792"/>
        <v>0</v>
      </c>
      <c r="AY325" s="160">
        <f t="shared" si="792"/>
        <v>0</v>
      </c>
      <c r="AZ325" s="160">
        <f t="shared" si="792"/>
        <v>0</v>
      </c>
      <c r="BA325" s="160">
        <f t="shared" si="792"/>
        <v>0</v>
      </c>
      <c r="BB325" s="160">
        <f t="shared" si="792"/>
        <v>0</v>
      </c>
      <c r="BC325" s="160">
        <f t="shared" si="792"/>
        <v>0</v>
      </c>
      <c r="BD325" s="160">
        <f t="shared" si="792"/>
        <v>0</v>
      </c>
      <c r="BE325" s="160">
        <f t="shared" si="792"/>
        <v>0</v>
      </c>
      <c r="BF325" s="160">
        <f t="shared" si="792"/>
        <v>0</v>
      </c>
      <c r="BG325" s="160">
        <f t="shared" si="792"/>
        <v>0</v>
      </c>
      <c r="BH325" s="160">
        <f t="shared" si="792"/>
        <v>0</v>
      </c>
      <c r="BI325" s="160">
        <f t="shared" si="792"/>
        <v>0</v>
      </c>
      <c r="BJ325" s="160">
        <f t="shared" si="792"/>
        <v>0</v>
      </c>
      <c r="BK325" s="160">
        <f t="shared" si="792"/>
        <v>0</v>
      </c>
      <c r="BL325" s="160">
        <f t="shared" si="792"/>
        <v>0</v>
      </c>
      <c r="BM325" s="160">
        <f t="shared" si="792"/>
        <v>0</v>
      </c>
      <c r="BN325" s="160">
        <f t="shared" si="792"/>
        <v>0</v>
      </c>
      <c r="BO325" s="160">
        <f t="shared" si="792"/>
        <v>0</v>
      </c>
      <c r="BP325" s="160">
        <f t="shared" si="792"/>
        <v>0</v>
      </c>
      <c r="BQ325" s="160">
        <f t="shared" si="792"/>
        <v>0</v>
      </c>
      <c r="BR325" s="160">
        <f t="shared" si="792"/>
        <v>0</v>
      </c>
      <c r="BS325" s="65"/>
      <c r="BT325" s="160">
        <f t="shared" si="722"/>
        <v>0</v>
      </c>
      <c r="BU325" s="160">
        <f t="shared" si="723"/>
        <v>0</v>
      </c>
      <c r="BV325" s="65"/>
      <c r="BW325" s="69"/>
      <c r="BX325" s="65"/>
      <c r="BY325" s="137">
        <f t="shared" si="724"/>
        <v>1</v>
      </c>
      <c r="BZ325" s="137">
        <f>IF(BY325&gt;0,BY325+LARGE($BZ$213:BZ324,1),0)</f>
        <v>97</v>
      </c>
      <c r="CA325" s="137" t="str">
        <f t="shared" si="725"/>
        <v>AUX ADM</v>
      </c>
      <c r="CB325" s="161">
        <f t="shared" si="726"/>
        <v>0</v>
      </c>
      <c r="CC325" s="161">
        <f t="shared" si="727"/>
        <v>0</v>
      </c>
      <c r="CD325" s="161">
        <f t="shared" si="728"/>
        <v>0</v>
      </c>
      <c r="CE325" s="161">
        <f t="shared" si="729"/>
        <v>0</v>
      </c>
      <c r="CF325" s="161">
        <f t="shared" si="730"/>
        <v>0</v>
      </c>
      <c r="CG325" s="161">
        <f t="shared" si="731"/>
        <v>0</v>
      </c>
      <c r="CH325" s="161">
        <f t="shared" si="732"/>
        <v>0</v>
      </c>
      <c r="CI325" s="161">
        <f t="shared" si="733"/>
        <v>0</v>
      </c>
      <c r="CJ325" s="161">
        <f t="shared" si="734"/>
        <v>0</v>
      </c>
      <c r="CK325" s="161">
        <f t="shared" si="735"/>
        <v>0</v>
      </c>
      <c r="CL325" s="161">
        <f t="shared" si="736"/>
        <v>0</v>
      </c>
      <c r="CM325" s="161">
        <f t="shared" si="737"/>
        <v>0</v>
      </c>
      <c r="CN325" s="161">
        <f t="shared" si="738"/>
        <v>0</v>
      </c>
      <c r="CO325" s="161">
        <f t="shared" si="739"/>
        <v>0</v>
      </c>
      <c r="CP325" s="161">
        <f t="shared" si="740"/>
        <v>0</v>
      </c>
      <c r="CQ325" s="161">
        <f t="shared" si="741"/>
        <v>0</v>
      </c>
      <c r="CR325" s="161">
        <f t="shared" si="742"/>
        <v>0</v>
      </c>
      <c r="CS325" s="161">
        <f t="shared" si="743"/>
        <v>0</v>
      </c>
      <c r="CT325" s="161">
        <f t="shared" si="744"/>
        <v>0</v>
      </c>
      <c r="CU325" s="161">
        <f t="shared" si="745"/>
        <v>0</v>
      </c>
      <c r="CV325" s="161">
        <f t="shared" si="746"/>
        <v>0</v>
      </c>
      <c r="CW325" s="161">
        <f t="shared" si="747"/>
        <v>0</v>
      </c>
      <c r="CX325" s="161">
        <f t="shared" si="748"/>
        <v>0</v>
      </c>
      <c r="CY325" s="161">
        <f t="shared" si="749"/>
        <v>0</v>
      </c>
      <c r="CZ325" s="161">
        <f t="shared" si="750"/>
        <v>0</v>
      </c>
      <c r="DA325" s="161">
        <f t="shared" si="751"/>
        <v>0</v>
      </c>
      <c r="DB325" s="161">
        <f t="shared" si="752"/>
        <v>0</v>
      </c>
      <c r="DC325" s="161">
        <f t="shared" si="753"/>
        <v>0</v>
      </c>
      <c r="DD325" s="161">
        <f t="shared" si="754"/>
        <v>0</v>
      </c>
      <c r="DE325" s="161">
        <f t="shared" si="755"/>
        <v>0</v>
      </c>
      <c r="DF325" s="161">
        <f t="shared" si="756"/>
        <v>0</v>
      </c>
      <c r="DG325" s="161">
        <f t="shared" si="757"/>
        <v>0</v>
      </c>
      <c r="DH325" s="161">
        <f t="shared" si="758"/>
        <v>0</v>
      </c>
      <c r="DI325" s="161">
        <f t="shared" si="759"/>
        <v>0</v>
      </c>
      <c r="DJ325" s="161">
        <f t="shared" si="760"/>
        <v>0</v>
      </c>
      <c r="DK325" s="161">
        <f t="shared" si="761"/>
        <v>0</v>
      </c>
      <c r="DL325" s="161">
        <f t="shared" si="762"/>
        <v>0</v>
      </c>
      <c r="DM325" s="161">
        <f t="shared" si="763"/>
        <v>0</v>
      </c>
      <c r="DN325" s="161">
        <f t="shared" si="764"/>
        <v>0</v>
      </c>
      <c r="DO325" s="161">
        <f t="shared" si="765"/>
        <v>0</v>
      </c>
      <c r="DP325" s="161">
        <f t="shared" si="766"/>
        <v>0</v>
      </c>
      <c r="DQ325" s="161">
        <f t="shared" si="767"/>
        <v>0</v>
      </c>
      <c r="DR325" s="161">
        <f t="shared" si="768"/>
        <v>0</v>
      </c>
      <c r="DS325" s="161">
        <f t="shared" si="769"/>
        <v>0</v>
      </c>
      <c r="DT325" s="161">
        <f t="shared" si="770"/>
        <v>0</v>
      </c>
      <c r="DU325" s="161">
        <f t="shared" si="771"/>
        <v>0</v>
      </c>
      <c r="DV325" s="161">
        <f t="shared" si="772"/>
        <v>0</v>
      </c>
      <c r="DW325" s="161">
        <f t="shared" si="773"/>
        <v>0</v>
      </c>
      <c r="DX325" s="161">
        <f t="shared" si="774"/>
        <v>0</v>
      </c>
      <c r="DY325" s="161">
        <f t="shared" si="775"/>
        <v>0</v>
      </c>
      <c r="DZ325" s="161">
        <f t="shared" si="776"/>
        <v>0</v>
      </c>
      <c r="EA325" s="161">
        <f t="shared" si="777"/>
        <v>0</v>
      </c>
      <c r="EB325" s="161">
        <f t="shared" si="778"/>
        <v>0</v>
      </c>
      <c r="EC325" s="161">
        <f t="shared" si="779"/>
        <v>0</v>
      </c>
      <c r="ED325" s="161">
        <f t="shared" si="780"/>
        <v>0</v>
      </c>
      <c r="EE325" s="161">
        <f t="shared" si="781"/>
        <v>0</v>
      </c>
      <c r="EF325" s="161">
        <f t="shared" si="782"/>
        <v>0</v>
      </c>
      <c r="EG325" s="161">
        <f t="shared" si="783"/>
        <v>0</v>
      </c>
      <c r="EH325" s="161">
        <f t="shared" si="784"/>
        <v>0</v>
      </c>
      <c r="EI325" s="161">
        <f t="shared" si="785"/>
        <v>0</v>
      </c>
      <c r="EJ325" s="65"/>
      <c r="EK325" s="161">
        <f t="shared" si="789"/>
        <v>0</v>
      </c>
      <c r="EL325" s="161">
        <f t="shared" si="790"/>
        <v>0</v>
      </c>
      <c r="EM325" s="161">
        <f t="shared" si="791"/>
        <v>0</v>
      </c>
    </row>
    <row r="326" spans="1:143" ht="12" hidden="1" customHeight="1" outlineLevel="2">
      <c r="A326" s="77">
        <v>18</v>
      </c>
      <c r="B326" s="137" t="str">
        <f t="shared" si="786"/>
        <v>EST - Equipe_01</v>
      </c>
      <c r="C326" s="65"/>
      <c r="D326" s="622"/>
      <c r="E326" s="65"/>
      <c r="F326" s="584"/>
      <c r="G326" s="77" t="str">
        <f>IF(INDEX(Tarefas!$BT$30:$FK$30,MATCH(A326,Tarefas!$BT$28:$FK$28,0))=0,"",INDEX(Tarefas!$BT$30:$FK$30,MATCH(A326,Tarefas!$BT$28:$FK$28,0)))</f>
        <v>EST</v>
      </c>
      <c r="H326" s="107" cm="1">
        <f t="array" ref="H326">IFERROR((SUMPRODUCT((Tarefas!$N$32:$N$54='Cronog. e Histog.'!$F$309)*(Tarefas!$BQ$30:$FK$30='Cronog. e Histog.'!$G326)*(Tarefas!$BQ$32:$FK$54)))/SUMIF(Tarefas!$N$32:$N$54,'Cronog. e Histog.'!$F$309,Tarefas!$K$32:$K$54),0)</f>
        <v>0</v>
      </c>
      <c r="I326" s="79">
        <f t="shared" si="787"/>
        <v>0</v>
      </c>
      <c r="J326" s="65"/>
      <c r="K326" s="160">
        <f t="shared" si="788"/>
        <v>0</v>
      </c>
      <c r="L326" s="160">
        <f t="shared" si="792"/>
        <v>0</v>
      </c>
      <c r="M326" s="160">
        <f t="shared" si="792"/>
        <v>0</v>
      </c>
      <c r="N326" s="160">
        <f t="shared" si="792"/>
        <v>0</v>
      </c>
      <c r="O326" s="160">
        <f t="shared" si="792"/>
        <v>0</v>
      </c>
      <c r="P326" s="160">
        <f t="shared" si="792"/>
        <v>0</v>
      </c>
      <c r="Q326" s="160">
        <f t="shared" si="792"/>
        <v>0</v>
      </c>
      <c r="R326" s="160">
        <f t="shared" si="792"/>
        <v>0</v>
      </c>
      <c r="S326" s="160">
        <f t="shared" si="792"/>
        <v>0</v>
      </c>
      <c r="T326" s="160">
        <f t="shared" si="792"/>
        <v>0</v>
      </c>
      <c r="U326" s="160">
        <f t="shared" si="792"/>
        <v>0</v>
      </c>
      <c r="V326" s="160">
        <f t="shared" si="792"/>
        <v>0</v>
      </c>
      <c r="W326" s="160">
        <f t="shared" si="792"/>
        <v>0</v>
      </c>
      <c r="X326" s="160">
        <f t="shared" si="792"/>
        <v>0</v>
      </c>
      <c r="Y326" s="160">
        <f t="shared" si="792"/>
        <v>0</v>
      </c>
      <c r="Z326" s="160">
        <f t="shared" si="792"/>
        <v>0</v>
      </c>
      <c r="AA326" s="160">
        <f t="shared" si="792"/>
        <v>0</v>
      </c>
      <c r="AB326" s="160">
        <f t="shared" si="792"/>
        <v>0</v>
      </c>
      <c r="AC326" s="160">
        <f t="shared" si="792"/>
        <v>0</v>
      </c>
      <c r="AD326" s="160">
        <f t="shared" si="792"/>
        <v>0</v>
      </c>
      <c r="AE326" s="160">
        <f t="shared" si="792"/>
        <v>0</v>
      </c>
      <c r="AF326" s="160">
        <f t="shared" si="792"/>
        <v>0</v>
      </c>
      <c r="AG326" s="160">
        <f t="shared" si="792"/>
        <v>0</v>
      </c>
      <c r="AH326" s="160">
        <f t="shared" si="792"/>
        <v>0</v>
      </c>
      <c r="AI326" s="160">
        <f t="shared" si="792"/>
        <v>0</v>
      </c>
      <c r="AJ326" s="160">
        <f t="shared" si="792"/>
        <v>0</v>
      </c>
      <c r="AK326" s="160">
        <f t="shared" si="792"/>
        <v>0</v>
      </c>
      <c r="AL326" s="160">
        <f t="shared" si="792"/>
        <v>0</v>
      </c>
      <c r="AM326" s="160">
        <f t="shared" si="792"/>
        <v>0</v>
      </c>
      <c r="AN326" s="160">
        <f t="shared" si="792"/>
        <v>0</v>
      </c>
      <c r="AO326" s="160">
        <f t="shared" si="792"/>
        <v>0</v>
      </c>
      <c r="AP326" s="160">
        <f t="shared" si="792"/>
        <v>0</v>
      </c>
      <c r="AQ326" s="160">
        <f t="shared" si="792"/>
        <v>0</v>
      </c>
      <c r="AR326" s="160">
        <f t="shared" si="792"/>
        <v>0</v>
      </c>
      <c r="AS326" s="160">
        <f t="shared" si="792"/>
        <v>0</v>
      </c>
      <c r="AT326" s="160">
        <f t="shared" si="792"/>
        <v>0</v>
      </c>
      <c r="AU326" s="160">
        <f t="shared" si="792"/>
        <v>0</v>
      </c>
      <c r="AV326" s="160">
        <f t="shared" si="792"/>
        <v>0</v>
      </c>
      <c r="AW326" s="160">
        <f t="shared" si="792"/>
        <v>0</v>
      </c>
      <c r="AX326" s="160">
        <f t="shared" si="792"/>
        <v>0</v>
      </c>
      <c r="AY326" s="160">
        <f t="shared" si="792"/>
        <v>0</v>
      </c>
      <c r="AZ326" s="160">
        <f t="shared" si="792"/>
        <v>0</v>
      </c>
      <c r="BA326" s="160">
        <f t="shared" si="792"/>
        <v>0</v>
      </c>
      <c r="BB326" s="160">
        <f t="shared" si="792"/>
        <v>0</v>
      </c>
      <c r="BC326" s="160">
        <f t="shared" si="792"/>
        <v>0</v>
      </c>
      <c r="BD326" s="160">
        <f t="shared" si="792"/>
        <v>0</v>
      </c>
      <c r="BE326" s="160">
        <f t="shared" si="792"/>
        <v>0</v>
      </c>
      <c r="BF326" s="160">
        <f t="shared" si="792"/>
        <v>0</v>
      </c>
      <c r="BG326" s="160">
        <f t="shared" si="792"/>
        <v>0</v>
      </c>
      <c r="BH326" s="160">
        <f t="shared" si="792"/>
        <v>0</v>
      </c>
      <c r="BI326" s="160">
        <f t="shared" si="792"/>
        <v>0</v>
      </c>
      <c r="BJ326" s="160">
        <f t="shared" si="792"/>
        <v>0</v>
      </c>
      <c r="BK326" s="160">
        <f t="shared" si="792"/>
        <v>0</v>
      </c>
      <c r="BL326" s="160">
        <f t="shared" si="792"/>
        <v>0</v>
      </c>
      <c r="BM326" s="160">
        <f t="shared" si="792"/>
        <v>0</v>
      </c>
      <c r="BN326" s="160">
        <f t="shared" si="792"/>
        <v>0</v>
      </c>
      <c r="BO326" s="160">
        <f t="shared" si="792"/>
        <v>0</v>
      </c>
      <c r="BP326" s="160">
        <f t="shared" si="792"/>
        <v>0</v>
      </c>
      <c r="BQ326" s="160">
        <f t="shared" si="792"/>
        <v>0</v>
      </c>
      <c r="BR326" s="160">
        <f t="shared" si="792"/>
        <v>0</v>
      </c>
      <c r="BS326" s="65"/>
      <c r="BT326" s="160">
        <f t="shared" si="722"/>
        <v>0</v>
      </c>
      <c r="BU326" s="160">
        <f t="shared" si="723"/>
        <v>0</v>
      </c>
      <c r="BV326" s="65"/>
      <c r="BW326" s="69"/>
      <c r="BX326" s="65"/>
      <c r="BY326" s="137">
        <f t="shared" si="724"/>
        <v>1</v>
      </c>
      <c r="BZ326" s="137">
        <f>IF(BY326&gt;0,BY326+LARGE($BZ$213:BZ325,1),0)</f>
        <v>98</v>
      </c>
      <c r="CA326" s="137" t="str">
        <f t="shared" si="725"/>
        <v>EST</v>
      </c>
      <c r="CB326" s="161">
        <f t="shared" si="726"/>
        <v>0</v>
      </c>
      <c r="CC326" s="161">
        <f t="shared" si="727"/>
        <v>0</v>
      </c>
      <c r="CD326" s="161">
        <f t="shared" si="728"/>
        <v>0</v>
      </c>
      <c r="CE326" s="161">
        <f t="shared" si="729"/>
        <v>0</v>
      </c>
      <c r="CF326" s="161">
        <f t="shared" si="730"/>
        <v>0</v>
      </c>
      <c r="CG326" s="161">
        <f t="shared" si="731"/>
        <v>0</v>
      </c>
      <c r="CH326" s="161">
        <f t="shared" si="732"/>
        <v>0</v>
      </c>
      <c r="CI326" s="161">
        <f t="shared" si="733"/>
        <v>0</v>
      </c>
      <c r="CJ326" s="161">
        <f t="shared" si="734"/>
        <v>0</v>
      </c>
      <c r="CK326" s="161">
        <f t="shared" si="735"/>
        <v>0</v>
      </c>
      <c r="CL326" s="161">
        <f t="shared" si="736"/>
        <v>0</v>
      </c>
      <c r="CM326" s="161">
        <f t="shared" si="737"/>
        <v>0</v>
      </c>
      <c r="CN326" s="161">
        <f t="shared" si="738"/>
        <v>0</v>
      </c>
      <c r="CO326" s="161">
        <f t="shared" si="739"/>
        <v>0</v>
      </c>
      <c r="CP326" s="161">
        <f t="shared" si="740"/>
        <v>0</v>
      </c>
      <c r="CQ326" s="161">
        <f t="shared" si="741"/>
        <v>0</v>
      </c>
      <c r="CR326" s="161">
        <f t="shared" si="742"/>
        <v>0</v>
      </c>
      <c r="CS326" s="161">
        <f t="shared" si="743"/>
        <v>0</v>
      </c>
      <c r="CT326" s="161">
        <f t="shared" si="744"/>
        <v>0</v>
      </c>
      <c r="CU326" s="161">
        <f t="shared" si="745"/>
        <v>0</v>
      </c>
      <c r="CV326" s="161">
        <f t="shared" si="746"/>
        <v>0</v>
      </c>
      <c r="CW326" s="161">
        <f t="shared" si="747"/>
        <v>0</v>
      </c>
      <c r="CX326" s="161">
        <f t="shared" si="748"/>
        <v>0</v>
      </c>
      <c r="CY326" s="161">
        <f t="shared" si="749"/>
        <v>0</v>
      </c>
      <c r="CZ326" s="161">
        <f t="shared" si="750"/>
        <v>0</v>
      </c>
      <c r="DA326" s="161">
        <f t="shared" si="751"/>
        <v>0</v>
      </c>
      <c r="DB326" s="161">
        <f t="shared" si="752"/>
        <v>0</v>
      </c>
      <c r="DC326" s="161">
        <f t="shared" si="753"/>
        <v>0</v>
      </c>
      <c r="DD326" s="161">
        <f t="shared" si="754"/>
        <v>0</v>
      </c>
      <c r="DE326" s="161">
        <f t="shared" si="755"/>
        <v>0</v>
      </c>
      <c r="DF326" s="161">
        <f t="shared" si="756"/>
        <v>0</v>
      </c>
      <c r="DG326" s="161">
        <f t="shared" si="757"/>
        <v>0</v>
      </c>
      <c r="DH326" s="161">
        <f t="shared" si="758"/>
        <v>0</v>
      </c>
      <c r="DI326" s="161">
        <f t="shared" si="759"/>
        <v>0</v>
      </c>
      <c r="DJ326" s="161">
        <f t="shared" si="760"/>
        <v>0</v>
      </c>
      <c r="DK326" s="161">
        <f t="shared" si="761"/>
        <v>0</v>
      </c>
      <c r="DL326" s="161">
        <f t="shared" si="762"/>
        <v>0</v>
      </c>
      <c r="DM326" s="161">
        <f t="shared" si="763"/>
        <v>0</v>
      </c>
      <c r="DN326" s="161">
        <f t="shared" si="764"/>
        <v>0</v>
      </c>
      <c r="DO326" s="161">
        <f t="shared" si="765"/>
        <v>0</v>
      </c>
      <c r="DP326" s="161">
        <f t="shared" si="766"/>
        <v>0</v>
      </c>
      <c r="DQ326" s="161">
        <f t="shared" si="767"/>
        <v>0</v>
      </c>
      <c r="DR326" s="161">
        <f t="shared" si="768"/>
        <v>0</v>
      </c>
      <c r="DS326" s="161">
        <f t="shared" si="769"/>
        <v>0</v>
      </c>
      <c r="DT326" s="161">
        <f t="shared" si="770"/>
        <v>0</v>
      </c>
      <c r="DU326" s="161">
        <f t="shared" si="771"/>
        <v>0</v>
      </c>
      <c r="DV326" s="161">
        <f t="shared" si="772"/>
        <v>0</v>
      </c>
      <c r="DW326" s="161">
        <f t="shared" si="773"/>
        <v>0</v>
      </c>
      <c r="DX326" s="161">
        <f t="shared" si="774"/>
        <v>0</v>
      </c>
      <c r="DY326" s="161">
        <f t="shared" si="775"/>
        <v>0</v>
      </c>
      <c r="DZ326" s="161">
        <f t="shared" si="776"/>
        <v>0</v>
      </c>
      <c r="EA326" s="161">
        <f t="shared" si="777"/>
        <v>0</v>
      </c>
      <c r="EB326" s="161">
        <f t="shared" si="778"/>
        <v>0</v>
      </c>
      <c r="EC326" s="161">
        <f t="shared" si="779"/>
        <v>0</v>
      </c>
      <c r="ED326" s="161">
        <f t="shared" si="780"/>
        <v>0</v>
      </c>
      <c r="EE326" s="161">
        <f t="shared" si="781"/>
        <v>0</v>
      </c>
      <c r="EF326" s="161">
        <f t="shared" si="782"/>
        <v>0</v>
      </c>
      <c r="EG326" s="161">
        <f t="shared" si="783"/>
        <v>0</v>
      </c>
      <c r="EH326" s="161">
        <f t="shared" si="784"/>
        <v>0</v>
      </c>
      <c r="EI326" s="161">
        <f t="shared" si="785"/>
        <v>0</v>
      </c>
      <c r="EJ326" s="65"/>
      <c r="EK326" s="161">
        <f t="shared" si="789"/>
        <v>0</v>
      </c>
      <c r="EL326" s="161">
        <f t="shared" si="790"/>
        <v>0</v>
      </c>
      <c r="EM326" s="161">
        <f t="shared" si="791"/>
        <v>0</v>
      </c>
    </row>
    <row r="327" spans="1:143" ht="12" hidden="1" customHeight="1" outlineLevel="2">
      <c r="A327" s="77">
        <v>19</v>
      </c>
      <c r="B327" s="137" t="str">
        <f t="shared" si="786"/>
        <v>EST_II - Equipe_01</v>
      </c>
      <c r="C327" s="65"/>
      <c r="D327" s="622"/>
      <c r="E327" s="65"/>
      <c r="F327" s="584"/>
      <c r="G327" s="77" t="str">
        <f>IF(INDEX(Tarefas!$BT$30:$FK$30,MATCH(A327,Tarefas!$BT$28:$FK$28,0))=0,"",INDEX(Tarefas!$BT$30:$FK$30,MATCH(A327,Tarefas!$BT$28:$FK$28,0)))</f>
        <v>EST_II</v>
      </c>
      <c r="H327" s="107" cm="1">
        <f t="array" ref="H327">IFERROR((SUMPRODUCT((Tarefas!$N$32:$N$54='Cronog. e Histog.'!$F$309)*(Tarefas!$BQ$30:$FK$30='Cronog. e Histog.'!$G327)*(Tarefas!$BQ$32:$FK$54)))/SUMIF(Tarefas!$N$32:$N$54,'Cronog. e Histog.'!$F$309,Tarefas!$K$32:$K$54),0)</f>
        <v>0</v>
      </c>
      <c r="I327" s="79">
        <f t="shared" si="787"/>
        <v>0</v>
      </c>
      <c r="J327" s="65"/>
      <c r="K327" s="160">
        <f t="shared" si="788"/>
        <v>0</v>
      </c>
      <c r="L327" s="160">
        <f t="shared" si="792"/>
        <v>0</v>
      </c>
      <c r="M327" s="160">
        <f t="shared" si="792"/>
        <v>0</v>
      </c>
      <c r="N327" s="160">
        <f t="shared" si="792"/>
        <v>0</v>
      </c>
      <c r="O327" s="160">
        <f t="shared" si="792"/>
        <v>0</v>
      </c>
      <c r="P327" s="160">
        <f t="shared" si="792"/>
        <v>0</v>
      </c>
      <c r="Q327" s="160">
        <f t="shared" si="792"/>
        <v>0</v>
      </c>
      <c r="R327" s="160">
        <f t="shared" si="792"/>
        <v>0</v>
      </c>
      <c r="S327" s="160">
        <f t="shared" si="792"/>
        <v>0</v>
      </c>
      <c r="T327" s="160">
        <f t="shared" si="792"/>
        <v>0</v>
      </c>
      <c r="U327" s="160">
        <f t="shared" si="792"/>
        <v>0</v>
      </c>
      <c r="V327" s="160">
        <f t="shared" si="792"/>
        <v>0</v>
      </c>
      <c r="W327" s="160">
        <f t="shared" si="792"/>
        <v>0</v>
      </c>
      <c r="X327" s="160">
        <f t="shared" si="792"/>
        <v>0</v>
      </c>
      <c r="Y327" s="160">
        <f t="shared" si="792"/>
        <v>0</v>
      </c>
      <c r="Z327" s="160">
        <f t="shared" si="792"/>
        <v>0</v>
      </c>
      <c r="AA327" s="160">
        <f t="shared" si="792"/>
        <v>0</v>
      </c>
      <c r="AB327" s="160">
        <f t="shared" si="792"/>
        <v>0</v>
      </c>
      <c r="AC327" s="160">
        <f t="shared" si="792"/>
        <v>0</v>
      </c>
      <c r="AD327" s="160">
        <f t="shared" si="792"/>
        <v>0</v>
      </c>
      <c r="AE327" s="160">
        <f t="shared" si="792"/>
        <v>0</v>
      </c>
      <c r="AF327" s="160">
        <f t="shared" si="792"/>
        <v>0</v>
      </c>
      <c r="AG327" s="160">
        <f t="shared" si="792"/>
        <v>0</v>
      </c>
      <c r="AH327" s="160">
        <f t="shared" si="792"/>
        <v>0</v>
      </c>
      <c r="AI327" s="160">
        <f t="shared" si="792"/>
        <v>0</v>
      </c>
      <c r="AJ327" s="160">
        <f t="shared" si="792"/>
        <v>0</v>
      </c>
      <c r="AK327" s="160">
        <f t="shared" si="792"/>
        <v>0</v>
      </c>
      <c r="AL327" s="160">
        <f t="shared" si="792"/>
        <v>0</v>
      </c>
      <c r="AM327" s="160">
        <f t="shared" si="792"/>
        <v>0</v>
      </c>
      <c r="AN327" s="160">
        <f t="shared" si="792"/>
        <v>0</v>
      </c>
      <c r="AO327" s="160">
        <f t="shared" si="792"/>
        <v>0</v>
      </c>
      <c r="AP327" s="160">
        <f t="shared" si="792"/>
        <v>0</v>
      </c>
      <c r="AQ327" s="160">
        <f t="shared" si="792"/>
        <v>0</v>
      </c>
      <c r="AR327" s="160">
        <f t="shared" si="792"/>
        <v>0</v>
      </c>
      <c r="AS327" s="160">
        <f t="shared" si="792"/>
        <v>0</v>
      </c>
      <c r="AT327" s="160">
        <f t="shared" si="792"/>
        <v>0</v>
      </c>
      <c r="AU327" s="160">
        <f t="shared" si="792"/>
        <v>0</v>
      </c>
      <c r="AV327" s="160">
        <f t="shared" si="792"/>
        <v>0</v>
      </c>
      <c r="AW327" s="160">
        <f t="shared" si="792"/>
        <v>0</v>
      </c>
      <c r="AX327" s="160">
        <f t="shared" si="792"/>
        <v>0</v>
      </c>
      <c r="AY327" s="160">
        <f t="shared" si="792"/>
        <v>0</v>
      </c>
      <c r="AZ327" s="160">
        <f t="shared" si="792"/>
        <v>0</v>
      </c>
      <c r="BA327" s="160">
        <f t="shared" si="792"/>
        <v>0</v>
      </c>
      <c r="BB327" s="160">
        <f t="shared" si="792"/>
        <v>0</v>
      </c>
      <c r="BC327" s="160">
        <f t="shared" si="792"/>
        <v>0</v>
      </c>
      <c r="BD327" s="160">
        <f t="shared" si="792"/>
        <v>0</v>
      </c>
      <c r="BE327" s="160">
        <f t="shared" si="792"/>
        <v>0</v>
      </c>
      <c r="BF327" s="160">
        <f t="shared" si="792"/>
        <v>0</v>
      </c>
      <c r="BG327" s="160">
        <f t="shared" si="792"/>
        <v>0</v>
      </c>
      <c r="BH327" s="160">
        <f t="shared" si="792"/>
        <v>0</v>
      </c>
      <c r="BI327" s="160">
        <f t="shared" si="792"/>
        <v>0</v>
      </c>
      <c r="BJ327" s="160">
        <f t="shared" si="792"/>
        <v>0</v>
      </c>
      <c r="BK327" s="160">
        <f t="shared" si="792"/>
        <v>0</v>
      </c>
      <c r="BL327" s="160">
        <f t="shared" si="792"/>
        <v>0</v>
      </c>
      <c r="BM327" s="160">
        <f t="shared" ref="L327:BR328" si="860">ROUND($I327*BM$187,2)</f>
        <v>0</v>
      </c>
      <c r="BN327" s="160">
        <f t="shared" si="860"/>
        <v>0</v>
      </c>
      <c r="BO327" s="160">
        <f t="shared" si="860"/>
        <v>0</v>
      </c>
      <c r="BP327" s="160">
        <f t="shared" si="860"/>
        <v>0</v>
      </c>
      <c r="BQ327" s="160">
        <f t="shared" si="860"/>
        <v>0</v>
      </c>
      <c r="BR327" s="160">
        <f t="shared" si="860"/>
        <v>0</v>
      </c>
      <c r="BS327" s="65"/>
      <c r="BT327" s="160">
        <f t="shared" si="722"/>
        <v>0</v>
      </c>
      <c r="BU327" s="160">
        <f t="shared" si="723"/>
        <v>0</v>
      </c>
      <c r="BV327" s="65"/>
      <c r="BW327" s="69"/>
      <c r="BX327" s="65"/>
      <c r="BY327" s="137">
        <f t="shared" si="724"/>
        <v>1</v>
      </c>
      <c r="BZ327" s="137">
        <f>IF(BY327&gt;0,BY327+LARGE($BZ$213:BZ326,1),0)</f>
        <v>99</v>
      </c>
      <c r="CA327" s="137" t="str">
        <f t="shared" si="725"/>
        <v>EST_II</v>
      </c>
      <c r="CB327" s="161">
        <f t="shared" si="726"/>
        <v>0</v>
      </c>
      <c r="CC327" s="161">
        <f t="shared" si="727"/>
        <v>0</v>
      </c>
      <c r="CD327" s="161">
        <f t="shared" si="728"/>
        <v>0</v>
      </c>
      <c r="CE327" s="161">
        <f t="shared" si="729"/>
        <v>0</v>
      </c>
      <c r="CF327" s="161">
        <f t="shared" si="730"/>
        <v>0</v>
      </c>
      <c r="CG327" s="161">
        <f t="shared" si="731"/>
        <v>0</v>
      </c>
      <c r="CH327" s="161">
        <f t="shared" si="732"/>
        <v>0</v>
      </c>
      <c r="CI327" s="161">
        <f t="shared" si="733"/>
        <v>0</v>
      </c>
      <c r="CJ327" s="161">
        <f t="shared" si="734"/>
        <v>0</v>
      </c>
      <c r="CK327" s="161">
        <f t="shared" si="735"/>
        <v>0</v>
      </c>
      <c r="CL327" s="161">
        <f t="shared" si="736"/>
        <v>0</v>
      </c>
      <c r="CM327" s="161">
        <f t="shared" si="737"/>
        <v>0</v>
      </c>
      <c r="CN327" s="161">
        <f t="shared" si="738"/>
        <v>0</v>
      </c>
      <c r="CO327" s="161">
        <f t="shared" si="739"/>
        <v>0</v>
      </c>
      <c r="CP327" s="161">
        <f t="shared" si="740"/>
        <v>0</v>
      </c>
      <c r="CQ327" s="161">
        <f t="shared" si="741"/>
        <v>0</v>
      </c>
      <c r="CR327" s="161">
        <f t="shared" si="742"/>
        <v>0</v>
      </c>
      <c r="CS327" s="161">
        <f t="shared" si="743"/>
        <v>0</v>
      </c>
      <c r="CT327" s="161">
        <f t="shared" si="744"/>
        <v>0</v>
      </c>
      <c r="CU327" s="161">
        <f t="shared" si="745"/>
        <v>0</v>
      </c>
      <c r="CV327" s="161">
        <f t="shared" si="746"/>
        <v>0</v>
      </c>
      <c r="CW327" s="161">
        <f t="shared" si="747"/>
        <v>0</v>
      </c>
      <c r="CX327" s="161">
        <f t="shared" si="748"/>
        <v>0</v>
      </c>
      <c r="CY327" s="161">
        <f t="shared" si="749"/>
        <v>0</v>
      </c>
      <c r="CZ327" s="161">
        <f t="shared" si="750"/>
        <v>0</v>
      </c>
      <c r="DA327" s="161">
        <f t="shared" si="751"/>
        <v>0</v>
      </c>
      <c r="DB327" s="161">
        <f t="shared" si="752"/>
        <v>0</v>
      </c>
      <c r="DC327" s="161">
        <f t="shared" si="753"/>
        <v>0</v>
      </c>
      <c r="DD327" s="161">
        <f t="shared" si="754"/>
        <v>0</v>
      </c>
      <c r="DE327" s="161">
        <f t="shared" si="755"/>
        <v>0</v>
      </c>
      <c r="DF327" s="161">
        <f t="shared" si="756"/>
        <v>0</v>
      </c>
      <c r="DG327" s="161">
        <f t="shared" si="757"/>
        <v>0</v>
      </c>
      <c r="DH327" s="161">
        <f t="shared" si="758"/>
        <v>0</v>
      </c>
      <c r="DI327" s="161">
        <f t="shared" si="759"/>
        <v>0</v>
      </c>
      <c r="DJ327" s="161">
        <f t="shared" si="760"/>
        <v>0</v>
      </c>
      <c r="DK327" s="161">
        <f t="shared" si="761"/>
        <v>0</v>
      </c>
      <c r="DL327" s="161">
        <f t="shared" si="762"/>
        <v>0</v>
      </c>
      <c r="DM327" s="161">
        <f t="shared" si="763"/>
        <v>0</v>
      </c>
      <c r="DN327" s="161">
        <f t="shared" si="764"/>
        <v>0</v>
      </c>
      <c r="DO327" s="161">
        <f t="shared" si="765"/>
        <v>0</v>
      </c>
      <c r="DP327" s="161">
        <f t="shared" si="766"/>
        <v>0</v>
      </c>
      <c r="DQ327" s="161">
        <f t="shared" si="767"/>
        <v>0</v>
      </c>
      <c r="DR327" s="161">
        <f t="shared" si="768"/>
        <v>0</v>
      </c>
      <c r="DS327" s="161">
        <f t="shared" si="769"/>
        <v>0</v>
      </c>
      <c r="DT327" s="161">
        <f t="shared" si="770"/>
        <v>0</v>
      </c>
      <c r="DU327" s="161">
        <f t="shared" si="771"/>
        <v>0</v>
      </c>
      <c r="DV327" s="161">
        <f t="shared" si="772"/>
        <v>0</v>
      </c>
      <c r="DW327" s="161">
        <f t="shared" si="773"/>
        <v>0</v>
      </c>
      <c r="DX327" s="161">
        <f t="shared" si="774"/>
        <v>0</v>
      </c>
      <c r="DY327" s="161">
        <f t="shared" si="775"/>
        <v>0</v>
      </c>
      <c r="DZ327" s="161">
        <f t="shared" si="776"/>
        <v>0</v>
      </c>
      <c r="EA327" s="161">
        <f t="shared" si="777"/>
        <v>0</v>
      </c>
      <c r="EB327" s="161">
        <f t="shared" si="778"/>
        <v>0</v>
      </c>
      <c r="EC327" s="161">
        <f t="shared" si="779"/>
        <v>0</v>
      </c>
      <c r="ED327" s="161">
        <f t="shared" si="780"/>
        <v>0</v>
      </c>
      <c r="EE327" s="161">
        <f t="shared" si="781"/>
        <v>0</v>
      </c>
      <c r="EF327" s="161">
        <f t="shared" si="782"/>
        <v>0</v>
      </c>
      <c r="EG327" s="161">
        <f t="shared" si="783"/>
        <v>0</v>
      </c>
      <c r="EH327" s="161">
        <f t="shared" si="784"/>
        <v>0</v>
      </c>
      <c r="EI327" s="161">
        <f t="shared" si="785"/>
        <v>0</v>
      </c>
      <c r="EJ327" s="65"/>
      <c r="EK327" s="161">
        <f t="shared" si="789"/>
        <v>0</v>
      </c>
      <c r="EL327" s="161">
        <f t="shared" si="790"/>
        <v>0</v>
      </c>
      <c r="EM327" s="161">
        <f t="shared" si="791"/>
        <v>0</v>
      </c>
    </row>
    <row r="328" spans="1:143" ht="12" hidden="1" customHeight="1" outlineLevel="2">
      <c r="A328" s="77">
        <v>20</v>
      </c>
      <c r="B328" s="137" t="str">
        <f t="shared" si="786"/>
        <v>EST_III - Equipe_01</v>
      </c>
      <c r="C328" s="65"/>
      <c r="D328" s="623"/>
      <c r="E328" s="65"/>
      <c r="F328" s="584"/>
      <c r="G328" s="77" t="str">
        <f>IF(INDEX(Tarefas!$BT$30:$FK$30,MATCH(A328,Tarefas!$BT$28:$FK$28,0))=0,"",INDEX(Tarefas!$BT$30:$FK$30,MATCH(A328,Tarefas!$BT$28:$FK$28,0)))</f>
        <v>EST_III</v>
      </c>
      <c r="H328" s="107" cm="1">
        <f t="array" ref="H328">IFERROR((SUMPRODUCT((Tarefas!$N$32:$N$54='Cronog. e Histog.'!$F$309)*(Tarefas!$BQ$30:$FK$30='Cronog. e Histog.'!$G328)*(Tarefas!$BQ$32:$FK$54)))/SUMIF(Tarefas!$N$32:$N$54,'Cronog. e Histog.'!$F$309,Tarefas!$K$32:$K$54),0)</f>
        <v>0</v>
      </c>
      <c r="I328" s="79">
        <f t="shared" si="787"/>
        <v>0</v>
      </c>
      <c r="J328" s="65"/>
      <c r="K328" s="160">
        <f t="shared" si="788"/>
        <v>0</v>
      </c>
      <c r="L328" s="160">
        <f t="shared" si="860"/>
        <v>0</v>
      </c>
      <c r="M328" s="160">
        <f t="shared" si="860"/>
        <v>0</v>
      </c>
      <c r="N328" s="160">
        <f t="shared" si="860"/>
        <v>0</v>
      </c>
      <c r="O328" s="160">
        <f t="shared" si="860"/>
        <v>0</v>
      </c>
      <c r="P328" s="160">
        <f t="shared" si="860"/>
        <v>0</v>
      </c>
      <c r="Q328" s="160">
        <f t="shared" si="860"/>
        <v>0</v>
      </c>
      <c r="R328" s="160">
        <f t="shared" si="860"/>
        <v>0</v>
      </c>
      <c r="S328" s="160">
        <f t="shared" si="860"/>
        <v>0</v>
      </c>
      <c r="T328" s="160">
        <f t="shared" si="860"/>
        <v>0</v>
      </c>
      <c r="U328" s="160">
        <f t="shared" si="860"/>
        <v>0</v>
      </c>
      <c r="V328" s="160">
        <f t="shared" si="860"/>
        <v>0</v>
      </c>
      <c r="W328" s="160">
        <f t="shared" si="860"/>
        <v>0</v>
      </c>
      <c r="X328" s="160">
        <f t="shared" si="860"/>
        <v>0</v>
      </c>
      <c r="Y328" s="160">
        <f t="shared" si="860"/>
        <v>0</v>
      </c>
      <c r="Z328" s="160">
        <f t="shared" si="860"/>
        <v>0</v>
      </c>
      <c r="AA328" s="160">
        <f t="shared" si="860"/>
        <v>0</v>
      </c>
      <c r="AB328" s="160">
        <f t="shared" si="860"/>
        <v>0</v>
      </c>
      <c r="AC328" s="160">
        <f t="shared" si="860"/>
        <v>0</v>
      </c>
      <c r="AD328" s="160">
        <f t="shared" si="860"/>
        <v>0</v>
      </c>
      <c r="AE328" s="160">
        <f t="shared" si="860"/>
        <v>0</v>
      </c>
      <c r="AF328" s="160">
        <f t="shared" si="860"/>
        <v>0</v>
      </c>
      <c r="AG328" s="160">
        <f t="shared" si="860"/>
        <v>0</v>
      </c>
      <c r="AH328" s="160">
        <f t="shared" si="860"/>
        <v>0</v>
      </c>
      <c r="AI328" s="160">
        <f t="shared" si="860"/>
        <v>0</v>
      </c>
      <c r="AJ328" s="160">
        <f t="shared" si="860"/>
        <v>0</v>
      </c>
      <c r="AK328" s="160">
        <f t="shared" si="860"/>
        <v>0</v>
      </c>
      <c r="AL328" s="160">
        <f t="shared" si="860"/>
        <v>0</v>
      </c>
      <c r="AM328" s="160">
        <f t="shared" si="860"/>
        <v>0</v>
      </c>
      <c r="AN328" s="160">
        <f t="shared" si="860"/>
        <v>0</v>
      </c>
      <c r="AO328" s="160">
        <f t="shared" si="860"/>
        <v>0</v>
      </c>
      <c r="AP328" s="160">
        <f t="shared" si="860"/>
        <v>0</v>
      </c>
      <c r="AQ328" s="160">
        <f t="shared" si="860"/>
        <v>0</v>
      </c>
      <c r="AR328" s="160">
        <f t="shared" si="860"/>
        <v>0</v>
      </c>
      <c r="AS328" s="160">
        <f t="shared" si="860"/>
        <v>0</v>
      </c>
      <c r="AT328" s="160">
        <f t="shared" si="860"/>
        <v>0</v>
      </c>
      <c r="AU328" s="160">
        <f t="shared" si="860"/>
        <v>0</v>
      </c>
      <c r="AV328" s="160">
        <f t="shared" si="860"/>
        <v>0</v>
      </c>
      <c r="AW328" s="160">
        <f t="shared" si="860"/>
        <v>0</v>
      </c>
      <c r="AX328" s="160">
        <f t="shared" si="860"/>
        <v>0</v>
      </c>
      <c r="AY328" s="160">
        <f t="shared" si="860"/>
        <v>0</v>
      </c>
      <c r="AZ328" s="160">
        <f t="shared" si="860"/>
        <v>0</v>
      </c>
      <c r="BA328" s="160">
        <f t="shared" si="860"/>
        <v>0</v>
      </c>
      <c r="BB328" s="160">
        <f t="shared" si="860"/>
        <v>0</v>
      </c>
      <c r="BC328" s="160">
        <f t="shared" si="860"/>
        <v>0</v>
      </c>
      <c r="BD328" s="160">
        <f t="shared" si="860"/>
        <v>0</v>
      </c>
      <c r="BE328" s="160">
        <f t="shared" si="860"/>
        <v>0</v>
      </c>
      <c r="BF328" s="160">
        <f t="shared" si="860"/>
        <v>0</v>
      </c>
      <c r="BG328" s="160">
        <f t="shared" si="860"/>
        <v>0</v>
      </c>
      <c r="BH328" s="160">
        <f t="shared" si="860"/>
        <v>0</v>
      </c>
      <c r="BI328" s="160">
        <f t="shared" si="860"/>
        <v>0</v>
      </c>
      <c r="BJ328" s="160">
        <f t="shared" si="860"/>
        <v>0</v>
      </c>
      <c r="BK328" s="160">
        <f t="shared" si="860"/>
        <v>0</v>
      </c>
      <c r="BL328" s="160">
        <f t="shared" si="860"/>
        <v>0</v>
      </c>
      <c r="BM328" s="160">
        <f t="shared" si="860"/>
        <v>0</v>
      </c>
      <c r="BN328" s="160">
        <f t="shared" si="860"/>
        <v>0</v>
      </c>
      <c r="BO328" s="160">
        <f t="shared" si="860"/>
        <v>0</v>
      </c>
      <c r="BP328" s="160">
        <f t="shared" si="860"/>
        <v>0</v>
      </c>
      <c r="BQ328" s="160">
        <f t="shared" si="860"/>
        <v>0</v>
      </c>
      <c r="BR328" s="160">
        <f t="shared" si="860"/>
        <v>0</v>
      </c>
      <c r="BS328" s="65"/>
      <c r="BT328" s="160">
        <f t="shared" si="722"/>
        <v>0</v>
      </c>
      <c r="BU328" s="160">
        <f t="shared" si="723"/>
        <v>0</v>
      </c>
      <c r="BV328" s="65"/>
      <c r="BW328" s="69"/>
      <c r="BX328" s="65"/>
      <c r="BY328" s="137">
        <f t="shared" si="724"/>
        <v>1</v>
      </c>
      <c r="BZ328" s="137">
        <f>IF(BY328&gt;0,BY328+LARGE($BZ$213:BZ327,1),0)</f>
        <v>100</v>
      </c>
      <c r="CA328" s="137" t="str">
        <f t="shared" si="725"/>
        <v>EST_III</v>
      </c>
      <c r="CB328" s="161">
        <f t="shared" si="726"/>
        <v>0</v>
      </c>
      <c r="CC328" s="161">
        <f t="shared" si="727"/>
        <v>0</v>
      </c>
      <c r="CD328" s="161">
        <f t="shared" si="728"/>
        <v>0</v>
      </c>
      <c r="CE328" s="161">
        <f t="shared" si="729"/>
        <v>0</v>
      </c>
      <c r="CF328" s="161">
        <f t="shared" si="730"/>
        <v>0</v>
      </c>
      <c r="CG328" s="161">
        <f t="shared" si="731"/>
        <v>0</v>
      </c>
      <c r="CH328" s="161">
        <f t="shared" si="732"/>
        <v>0</v>
      </c>
      <c r="CI328" s="161">
        <f t="shared" si="733"/>
        <v>0</v>
      </c>
      <c r="CJ328" s="161">
        <f t="shared" si="734"/>
        <v>0</v>
      </c>
      <c r="CK328" s="161">
        <f t="shared" si="735"/>
        <v>0</v>
      </c>
      <c r="CL328" s="161">
        <f t="shared" si="736"/>
        <v>0</v>
      </c>
      <c r="CM328" s="161">
        <f t="shared" si="737"/>
        <v>0</v>
      </c>
      <c r="CN328" s="161">
        <f t="shared" si="738"/>
        <v>0</v>
      </c>
      <c r="CO328" s="161">
        <f t="shared" si="739"/>
        <v>0</v>
      </c>
      <c r="CP328" s="161">
        <f t="shared" si="740"/>
        <v>0</v>
      </c>
      <c r="CQ328" s="161">
        <f t="shared" si="741"/>
        <v>0</v>
      </c>
      <c r="CR328" s="161">
        <f t="shared" si="742"/>
        <v>0</v>
      </c>
      <c r="CS328" s="161">
        <f t="shared" si="743"/>
        <v>0</v>
      </c>
      <c r="CT328" s="161">
        <f t="shared" si="744"/>
        <v>0</v>
      </c>
      <c r="CU328" s="161">
        <f t="shared" si="745"/>
        <v>0</v>
      </c>
      <c r="CV328" s="161">
        <f t="shared" si="746"/>
        <v>0</v>
      </c>
      <c r="CW328" s="161">
        <f t="shared" si="747"/>
        <v>0</v>
      </c>
      <c r="CX328" s="161">
        <f t="shared" si="748"/>
        <v>0</v>
      </c>
      <c r="CY328" s="161">
        <f t="shared" si="749"/>
        <v>0</v>
      </c>
      <c r="CZ328" s="161">
        <f t="shared" si="750"/>
        <v>0</v>
      </c>
      <c r="DA328" s="161">
        <f t="shared" si="751"/>
        <v>0</v>
      </c>
      <c r="DB328" s="161">
        <f t="shared" si="752"/>
        <v>0</v>
      </c>
      <c r="DC328" s="161">
        <f t="shared" si="753"/>
        <v>0</v>
      </c>
      <c r="DD328" s="161">
        <f t="shared" si="754"/>
        <v>0</v>
      </c>
      <c r="DE328" s="161">
        <f t="shared" si="755"/>
        <v>0</v>
      </c>
      <c r="DF328" s="161">
        <f t="shared" si="756"/>
        <v>0</v>
      </c>
      <c r="DG328" s="161">
        <f t="shared" si="757"/>
        <v>0</v>
      </c>
      <c r="DH328" s="161">
        <f t="shared" si="758"/>
        <v>0</v>
      </c>
      <c r="DI328" s="161">
        <f t="shared" si="759"/>
        <v>0</v>
      </c>
      <c r="DJ328" s="161">
        <f t="shared" si="760"/>
        <v>0</v>
      </c>
      <c r="DK328" s="161">
        <f t="shared" si="761"/>
        <v>0</v>
      </c>
      <c r="DL328" s="161">
        <f t="shared" si="762"/>
        <v>0</v>
      </c>
      <c r="DM328" s="161">
        <f t="shared" si="763"/>
        <v>0</v>
      </c>
      <c r="DN328" s="161">
        <f t="shared" si="764"/>
        <v>0</v>
      </c>
      <c r="DO328" s="161">
        <f t="shared" si="765"/>
        <v>0</v>
      </c>
      <c r="DP328" s="161">
        <f t="shared" si="766"/>
        <v>0</v>
      </c>
      <c r="DQ328" s="161">
        <f t="shared" si="767"/>
        <v>0</v>
      </c>
      <c r="DR328" s="161">
        <f t="shared" si="768"/>
        <v>0</v>
      </c>
      <c r="DS328" s="161">
        <f t="shared" si="769"/>
        <v>0</v>
      </c>
      <c r="DT328" s="161">
        <f t="shared" si="770"/>
        <v>0</v>
      </c>
      <c r="DU328" s="161">
        <f t="shared" si="771"/>
        <v>0</v>
      </c>
      <c r="DV328" s="161">
        <f t="shared" si="772"/>
        <v>0</v>
      </c>
      <c r="DW328" s="161">
        <f t="shared" si="773"/>
        <v>0</v>
      </c>
      <c r="DX328" s="161">
        <f t="shared" si="774"/>
        <v>0</v>
      </c>
      <c r="DY328" s="161">
        <f t="shared" si="775"/>
        <v>0</v>
      </c>
      <c r="DZ328" s="161">
        <f t="shared" si="776"/>
        <v>0</v>
      </c>
      <c r="EA328" s="161">
        <f t="shared" si="777"/>
        <v>0</v>
      </c>
      <c r="EB328" s="161">
        <f t="shared" si="778"/>
        <v>0</v>
      </c>
      <c r="EC328" s="161">
        <f t="shared" si="779"/>
        <v>0</v>
      </c>
      <c r="ED328" s="161">
        <f t="shared" si="780"/>
        <v>0</v>
      </c>
      <c r="EE328" s="161">
        <f t="shared" si="781"/>
        <v>0</v>
      </c>
      <c r="EF328" s="161">
        <f t="shared" si="782"/>
        <v>0</v>
      </c>
      <c r="EG328" s="161">
        <f t="shared" si="783"/>
        <v>0</v>
      </c>
      <c r="EH328" s="161">
        <f t="shared" si="784"/>
        <v>0</v>
      </c>
      <c r="EI328" s="161">
        <f t="shared" si="785"/>
        <v>0</v>
      </c>
      <c r="EJ328" s="65"/>
      <c r="EK328" s="161">
        <f t="shared" si="789"/>
        <v>0</v>
      </c>
      <c r="EL328" s="161">
        <f t="shared" si="790"/>
        <v>0</v>
      </c>
      <c r="EM328" s="161">
        <f t="shared" si="791"/>
        <v>0</v>
      </c>
    </row>
    <row r="329" spans="1:143" ht="12" hidden="1" customHeight="1" outlineLevel="1">
      <c r="B329" s="65"/>
      <c r="C329" s="65"/>
      <c r="D329" s="65"/>
      <c r="E329" s="65"/>
      <c r="F329" s="73" t="s">
        <v>380</v>
      </c>
      <c r="G329" s="162" t="str">
        <f>"Pico = "&amp;MAX(K329:BR329)</f>
        <v>Pico = 0,61</v>
      </c>
      <c r="H329" s="163">
        <f>SUM(H309:H328)</f>
        <v>1</v>
      </c>
      <c r="I329" s="148">
        <f>SUM(I309:I328)</f>
        <v>1</v>
      </c>
      <c r="J329" s="65"/>
      <c r="K329" s="146">
        <f>SUM(K309:K328)</f>
        <v>0.61</v>
      </c>
      <c r="L329" s="146">
        <f t="shared" ref="L329:BR329" si="861">SUM(L309:L328)</f>
        <v>0.61</v>
      </c>
      <c r="M329" s="146">
        <f t="shared" si="861"/>
        <v>0.61</v>
      </c>
      <c r="N329" s="146">
        <f t="shared" si="861"/>
        <v>0.61</v>
      </c>
      <c r="O329" s="146">
        <f t="shared" si="861"/>
        <v>0.61</v>
      </c>
      <c r="P329" s="146">
        <f t="shared" si="861"/>
        <v>0.61</v>
      </c>
      <c r="Q329" s="146">
        <f t="shared" si="861"/>
        <v>0.61</v>
      </c>
      <c r="R329" s="146">
        <f t="shared" si="861"/>
        <v>0.61</v>
      </c>
      <c r="S329" s="146">
        <f t="shared" si="861"/>
        <v>0.61</v>
      </c>
      <c r="T329" s="146">
        <f t="shared" si="861"/>
        <v>0.61</v>
      </c>
      <c r="U329" s="146">
        <f t="shared" si="861"/>
        <v>0</v>
      </c>
      <c r="V329" s="146">
        <f t="shared" si="861"/>
        <v>0</v>
      </c>
      <c r="W329" s="146">
        <f t="shared" si="861"/>
        <v>0</v>
      </c>
      <c r="X329" s="146">
        <f t="shared" si="861"/>
        <v>0</v>
      </c>
      <c r="Y329" s="146">
        <f t="shared" si="861"/>
        <v>0</v>
      </c>
      <c r="Z329" s="146">
        <f t="shared" si="861"/>
        <v>0</v>
      </c>
      <c r="AA329" s="146">
        <f t="shared" si="861"/>
        <v>0</v>
      </c>
      <c r="AB329" s="146">
        <f t="shared" si="861"/>
        <v>0</v>
      </c>
      <c r="AC329" s="146">
        <f t="shared" si="861"/>
        <v>0</v>
      </c>
      <c r="AD329" s="146">
        <f t="shared" si="861"/>
        <v>0</v>
      </c>
      <c r="AE329" s="146">
        <f t="shared" si="861"/>
        <v>0</v>
      </c>
      <c r="AF329" s="146">
        <f t="shared" si="861"/>
        <v>0</v>
      </c>
      <c r="AG329" s="146">
        <f t="shared" si="861"/>
        <v>0</v>
      </c>
      <c r="AH329" s="146">
        <f t="shared" si="861"/>
        <v>0</v>
      </c>
      <c r="AI329" s="146">
        <f t="shared" si="861"/>
        <v>0</v>
      </c>
      <c r="AJ329" s="146">
        <f t="shared" si="861"/>
        <v>0</v>
      </c>
      <c r="AK329" s="146">
        <f t="shared" si="861"/>
        <v>0</v>
      </c>
      <c r="AL329" s="146">
        <f t="shared" si="861"/>
        <v>0</v>
      </c>
      <c r="AM329" s="146">
        <f t="shared" si="861"/>
        <v>0</v>
      </c>
      <c r="AN329" s="146">
        <f t="shared" si="861"/>
        <v>0</v>
      </c>
      <c r="AO329" s="146">
        <f t="shared" si="861"/>
        <v>0</v>
      </c>
      <c r="AP329" s="146">
        <f t="shared" si="861"/>
        <v>0</v>
      </c>
      <c r="AQ329" s="146">
        <f t="shared" si="861"/>
        <v>0</v>
      </c>
      <c r="AR329" s="146">
        <f t="shared" si="861"/>
        <v>0</v>
      </c>
      <c r="AS329" s="146">
        <f t="shared" si="861"/>
        <v>0</v>
      </c>
      <c r="AT329" s="146">
        <f t="shared" si="861"/>
        <v>0</v>
      </c>
      <c r="AU329" s="146">
        <f t="shared" si="861"/>
        <v>0</v>
      </c>
      <c r="AV329" s="146">
        <f t="shared" si="861"/>
        <v>0</v>
      </c>
      <c r="AW329" s="146">
        <f t="shared" si="861"/>
        <v>0</v>
      </c>
      <c r="AX329" s="146">
        <f t="shared" si="861"/>
        <v>0</v>
      </c>
      <c r="AY329" s="146">
        <f t="shared" si="861"/>
        <v>0</v>
      </c>
      <c r="AZ329" s="146">
        <f t="shared" si="861"/>
        <v>0</v>
      </c>
      <c r="BA329" s="146">
        <f t="shared" si="861"/>
        <v>0</v>
      </c>
      <c r="BB329" s="146">
        <f t="shared" si="861"/>
        <v>0</v>
      </c>
      <c r="BC329" s="146">
        <f t="shared" si="861"/>
        <v>0</v>
      </c>
      <c r="BD329" s="146">
        <f t="shared" si="861"/>
        <v>0</v>
      </c>
      <c r="BE329" s="146">
        <f t="shared" si="861"/>
        <v>0</v>
      </c>
      <c r="BF329" s="146">
        <f t="shared" si="861"/>
        <v>0</v>
      </c>
      <c r="BG329" s="146">
        <f t="shared" si="861"/>
        <v>0</v>
      </c>
      <c r="BH329" s="146">
        <f t="shared" si="861"/>
        <v>0</v>
      </c>
      <c r="BI329" s="146">
        <f t="shared" si="861"/>
        <v>0</v>
      </c>
      <c r="BJ329" s="146">
        <f t="shared" si="861"/>
        <v>0</v>
      </c>
      <c r="BK329" s="146">
        <f t="shared" si="861"/>
        <v>0</v>
      </c>
      <c r="BL329" s="146">
        <f t="shared" si="861"/>
        <v>0</v>
      </c>
      <c r="BM329" s="146">
        <f t="shared" si="861"/>
        <v>0</v>
      </c>
      <c r="BN329" s="146">
        <f t="shared" si="861"/>
        <v>0</v>
      </c>
      <c r="BO329" s="146">
        <f t="shared" si="861"/>
        <v>0</v>
      </c>
      <c r="BP329" s="146">
        <f t="shared" si="861"/>
        <v>0</v>
      </c>
      <c r="BQ329" s="146">
        <f t="shared" si="861"/>
        <v>0</v>
      </c>
      <c r="BR329" s="146">
        <f t="shared" si="861"/>
        <v>0</v>
      </c>
      <c r="BS329" s="65"/>
      <c r="BT329" s="146">
        <f t="shared" ref="BT329" si="862">SUM(BT309:BT328)</f>
        <v>0.60999999999999988</v>
      </c>
      <c r="BU329" s="65"/>
      <c r="BV329" s="65"/>
      <c r="BW329" s="69"/>
      <c r="BX329" s="65"/>
      <c r="BY329" s="65"/>
      <c r="BZ329" s="65"/>
      <c r="CA329" s="65"/>
      <c r="CB329" s="65"/>
      <c r="CC329" s="65"/>
      <c r="CD329" s="65"/>
      <c r="CE329" s="65"/>
      <c r="CF329" s="65"/>
      <c r="CG329" s="65"/>
      <c r="CH329" s="65"/>
      <c r="CI329" s="65"/>
      <c r="CJ329" s="65"/>
      <c r="CK329" s="65"/>
      <c r="CL329" s="65"/>
      <c r="CM329" s="65"/>
      <c r="CN329" s="65"/>
      <c r="CO329" s="65"/>
      <c r="CP329" s="65"/>
      <c r="CQ329" s="65"/>
      <c r="CR329" s="65"/>
      <c r="CS329" s="65"/>
      <c r="CT329" s="65"/>
      <c r="CU329" s="65"/>
      <c r="CV329" s="65"/>
      <c r="CW329" s="65"/>
      <c r="CX329" s="65"/>
      <c r="CY329" s="65"/>
      <c r="CZ329" s="65"/>
      <c r="DA329" s="65"/>
      <c r="DB329" s="65"/>
      <c r="DC329" s="65"/>
      <c r="DD329" s="65"/>
      <c r="DE329" s="65"/>
      <c r="DF329" s="65"/>
      <c r="DG329" s="65"/>
      <c r="DH329" s="65"/>
      <c r="DI329" s="65"/>
      <c r="DJ329" s="65"/>
      <c r="DK329" s="65"/>
      <c r="DL329" s="65"/>
      <c r="DM329" s="65"/>
      <c r="DN329" s="65"/>
      <c r="DO329" s="65"/>
      <c r="DP329" s="65"/>
      <c r="DQ329" s="65"/>
      <c r="DR329" s="65"/>
      <c r="DS329" s="65"/>
      <c r="DT329" s="65"/>
      <c r="DU329" s="65"/>
      <c r="DV329" s="65"/>
      <c r="DW329" s="65"/>
      <c r="DX329" s="65"/>
      <c r="DY329" s="65"/>
      <c r="DZ329" s="65"/>
      <c r="EA329" s="65"/>
      <c r="EB329" s="65"/>
      <c r="EC329" s="65"/>
      <c r="ED329" s="65"/>
      <c r="EE329" s="65"/>
      <c r="EF329" s="65"/>
      <c r="EG329" s="65"/>
      <c r="EH329" s="65"/>
      <c r="EI329" s="65"/>
      <c r="EJ329" s="65"/>
      <c r="EK329" s="65"/>
      <c r="EL329" s="65"/>
      <c r="EM329" s="65"/>
    </row>
    <row r="330" spans="1:143" ht="12" hidden="1" customHeight="1" outlineLevel="1"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65"/>
      <c r="BD330" s="65"/>
      <c r="BE330" s="65"/>
      <c r="BF330" s="65"/>
      <c r="BG330" s="65"/>
      <c r="BH330" s="65"/>
      <c r="BI330" s="65"/>
      <c r="BJ330" s="65"/>
      <c r="BK330" s="65"/>
      <c r="BL330" s="65"/>
      <c r="BM330" s="65"/>
      <c r="BN330" s="65"/>
      <c r="BO330" s="65"/>
      <c r="BP330" s="65"/>
      <c r="BQ330" s="65"/>
      <c r="BR330" s="65"/>
      <c r="BS330" s="65"/>
      <c r="BT330" s="65"/>
      <c r="BU330" s="65"/>
      <c r="BV330" s="65"/>
      <c r="BW330" s="69"/>
      <c r="BX330" s="65"/>
      <c r="BY330" s="65"/>
      <c r="BZ330" s="65"/>
      <c r="CA330" s="65"/>
      <c r="CB330" s="65"/>
      <c r="CC330" s="65"/>
      <c r="CD330" s="65"/>
      <c r="CE330" s="65"/>
      <c r="CF330" s="65"/>
      <c r="CG330" s="65"/>
      <c r="CH330" s="65"/>
      <c r="CI330" s="65"/>
      <c r="CJ330" s="65"/>
      <c r="CK330" s="65"/>
      <c r="CL330" s="65"/>
      <c r="CM330" s="65"/>
      <c r="CN330" s="65"/>
      <c r="CO330" s="65"/>
      <c r="CP330" s="65"/>
      <c r="CQ330" s="65"/>
      <c r="CR330" s="65"/>
      <c r="CS330" s="65"/>
      <c r="CT330" s="65"/>
      <c r="CU330" s="65"/>
      <c r="CV330" s="65"/>
      <c r="CW330" s="65"/>
      <c r="CX330" s="65"/>
      <c r="CY330" s="65"/>
      <c r="CZ330" s="65"/>
      <c r="DA330" s="65"/>
      <c r="DB330" s="65"/>
      <c r="DC330" s="65"/>
      <c r="DD330" s="65"/>
      <c r="DE330" s="65"/>
      <c r="DF330" s="65"/>
      <c r="DG330" s="65"/>
      <c r="DH330" s="65"/>
      <c r="DI330" s="65"/>
      <c r="DJ330" s="65"/>
      <c r="DK330" s="65"/>
      <c r="DL330" s="65"/>
      <c r="DM330" s="65"/>
      <c r="DN330" s="65"/>
      <c r="DO330" s="65"/>
      <c r="DP330" s="65"/>
      <c r="DQ330" s="65"/>
      <c r="DR330" s="65"/>
      <c r="DS330" s="65"/>
      <c r="DT330" s="65"/>
      <c r="DU330" s="65"/>
      <c r="DV330" s="65"/>
      <c r="DW330" s="65"/>
      <c r="DX330" s="65"/>
      <c r="DY330" s="65"/>
      <c r="DZ330" s="65"/>
      <c r="EA330" s="65"/>
      <c r="EB330" s="65"/>
      <c r="EC330" s="65"/>
      <c r="ED330" s="65"/>
      <c r="EE330" s="65"/>
      <c r="EF330" s="65"/>
      <c r="EG330" s="65"/>
      <c r="EH330" s="65"/>
      <c r="EI330" s="65"/>
      <c r="EJ330" s="65"/>
      <c r="EK330" s="65"/>
      <c r="EL330" s="65"/>
      <c r="EM330" s="65"/>
    </row>
    <row r="331" spans="1:143" ht="24" hidden="1" customHeight="1" outlineLevel="1">
      <c r="B331" s="593" t="s">
        <v>395</v>
      </c>
      <c r="C331" s="65"/>
      <c r="D331" s="65"/>
      <c r="E331" s="65"/>
      <c r="F331" s="149" t="str">
        <f>IF($G$56&gt;0,$G$56,"")</f>
        <v>Equipe06</v>
      </c>
      <c r="G331" s="149"/>
      <c r="H331" s="149"/>
      <c r="I331" s="149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  <c r="BD331" s="65"/>
      <c r="BE331" s="65"/>
      <c r="BF331" s="65"/>
      <c r="BG331" s="65"/>
      <c r="BH331" s="65"/>
      <c r="BI331" s="65"/>
      <c r="BJ331" s="65"/>
      <c r="BK331" s="65"/>
      <c r="BL331" s="65"/>
      <c r="BM331" s="65"/>
      <c r="BN331" s="65"/>
      <c r="BO331" s="65"/>
      <c r="BP331" s="65"/>
      <c r="BQ331" s="65"/>
      <c r="BR331" s="65"/>
      <c r="BS331" s="65"/>
      <c r="BT331" s="601" t="s">
        <v>396</v>
      </c>
      <c r="BU331" s="601" t="s">
        <v>397</v>
      </c>
      <c r="BV331" s="65"/>
      <c r="BW331" s="69"/>
      <c r="BX331" s="65"/>
      <c r="BY331" s="593" t="s">
        <v>398</v>
      </c>
      <c r="BZ331" s="593" t="s">
        <v>399</v>
      </c>
      <c r="CA331" s="593" t="s">
        <v>400</v>
      </c>
      <c r="CB331" s="592" t="s">
        <v>401</v>
      </c>
      <c r="CC331" s="592" t="s">
        <v>402</v>
      </c>
      <c r="CD331" s="592" t="s">
        <v>403</v>
      </c>
      <c r="CE331" s="592" t="s">
        <v>404</v>
      </c>
      <c r="CF331" s="592" t="s">
        <v>405</v>
      </c>
      <c r="CG331" s="592" t="s">
        <v>406</v>
      </c>
      <c r="CH331" s="592" t="s">
        <v>407</v>
      </c>
      <c r="CI331" s="592" t="s">
        <v>408</v>
      </c>
      <c r="CJ331" s="592" t="s">
        <v>409</v>
      </c>
      <c r="CK331" s="592" t="s">
        <v>410</v>
      </c>
      <c r="CL331" s="592" t="s">
        <v>411</v>
      </c>
      <c r="CM331" s="592" t="s">
        <v>412</v>
      </c>
      <c r="CN331" s="592" t="s">
        <v>413</v>
      </c>
      <c r="CO331" s="592" t="s">
        <v>414</v>
      </c>
      <c r="CP331" s="592" t="s">
        <v>415</v>
      </c>
      <c r="CQ331" s="592" t="s">
        <v>416</v>
      </c>
      <c r="CR331" s="592" t="s">
        <v>417</v>
      </c>
      <c r="CS331" s="592" t="s">
        <v>418</v>
      </c>
      <c r="CT331" s="592" t="s">
        <v>419</v>
      </c>
      <c r="CU331" s="592" t="s">
        <v>420</v>
      </c>
      <c r="CV331" s="592" t="s">
        <v>421</v>
      </c>
      <c r="CW331" s="592" t="s">
        <v>422</v>
      </c>
      <c r="CX331" s="592" t="s">
        <v>423</v>
      </c>
      <c r="CY331" s="592" t="s">
        <v>424</v>
      </c>
      <c r="CZ331" s="592" t="s">
        <v>425</v>
      </c>
      <c r="DA331" s="592" t="s">
        <v>426</v>
      </c>
      <c r="DB331" s="592" t="s">
        <v>427</v>
      </c>
      <c r="DC331" s="592" t="s">
        <v>428</v>
      </c>
      <c r="DD331" s="592" t="s">
        <v>429</v>
      </c>
      <c r="DE331" s="592" t="s">
        <v>430</v>
      </c>
      <c r="DF331" s="592" t="s">
        <v>431</v>
      </c>
      <c r="DG331" s="592" t="s">
        <v>432</v>
      </c>
      <c r="DH331" s="592" t="s">
        <v>433</v>
      </c>
      <c r="DI331" s="592" t="s">
        <v>434</v>
      </c>
      <c r="DJ331" s="592" t="s">
        <v>435</v>
      </c>
      <c r="DK331" s="592" t="s">
        <v>436</v>
      </c>
      <c r="DL331" s="592" t="s">
        <v>437</v>
      </c>
      <c r="DM331" s="592" t="s">
        <v>438</v>
      </c>
      <c r="DN331" s="592" t="s">
        <v>439</v>
      </c>
      <c r="DO331" s="592" t="s">
        <v>440</v>
      </c>
      <c r="DP331" s="592" t="s">
        <v>441</v>
      </c>
      <c r="DQ331" s="592" t="s">
        <v>442</v>
      </c>
      <c r="DR331" s="592" t="s">
        <v>443</v>
      </c>
      <c r="DS331" s="592" t="s">
        <v>444</v>
      </c>
      <c r="DT331" s="592" t="s">
        <v>445</v>
      </c>
      <c r="DU331" s="592" t="s">
        <v>446</v>
      </c>
      <c r="DV331" s="592" t="s">
        <v>447</v>
      </c>
      <c r="DW331" s="592" t="s">
        <v>448</v>
      </c>
      <c r="DX331" s="592" t="s">
        <v>449</v>
      </c>
      <c r="DY331" s="592" t="s">
        <v>450</v>
      </c>
      <c r="DZ331" s="592" t="s">
        <v>451</v>
      </c>
      <c r="EA331" s="592" t="s">
        <v>452</v>
      </c>
      <c r="EB331" s="592" t="s">
        <v>453</v>
      </c>
      <c r="EC331" s="592" t="s">
        <v>454</v>
      </c>
      <c r="ED331" s="592" t="s">
        <v>455</v>
      </c>
      <c r="EE331" s="592" t="s">
        <v>456</v>
      </c>
      <c r="EF331" s="592" t="s">
        <v>457</v>
      </c>
      <c r="EG331" s="592" t="s">
        <v>458</v>
      </c>
      <c r="EH331" s="592" t="s">
        <v>459</v>
      </c>
      <c r="EI331" s="592" t="s">
        <v>460</v>
      </c>
      <c r="EJ331" s="65"/>
      <c r="EK331" s="157" t="s">
        <v>376</v>
      </c>
      <c r="EL331" s="157" t="s">
        <v>461</v>
      </c>
      <c r="EM331" s="157" t="s">
        <v>383</v>
      </c>
    </row>
    <row r="332" spans="1:143" ht="12" hidden="1" customHeight="1" outlineLevel="1" collapsed="1">
      <c r="B332" s="593"/>
      <c r="C332" s="65"/>
      <c r="D332" s="65"/>
      <c r="E332" s="65"/>
      <c r="F332" s="158" t="s">
        <v>198</v>
      </c>
      <c r="G332" s="158" t="s">
        <v>462</v>
      </c>
      <c r="H332" s="158" t="s">
        <v>255</v>
      </c>
      <c r="I332" s="158" t="s">
        <v>68</v>
      </c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  <c r="BE332" s="65"/>
      <c r="BF332" s="65"/>
      <c r="BG332" s="65"/>
      <c r="BH332" s="65"/>
      <c r="BI332" s="65"/>
      <c r="BJ332" s="65"/>
      <c r="BK332" s="65"/>
      <c r="BL332" s="65"/>
      <c r="BM332" s="65"/>
      <c r="BN332" s="65"/>
      <c r="BO332" s="65"/>
      <c r="BP332" s="65"/>
      <c r="BQ332" s="65"/>
      <c r="BR332" s="65"/>
      <c r="BS332" s="65"/>
      <c r="BT332" s="602"/>
      <c r="BU332" s="602"/>
      <c r="BV332" s="65"/>
      <c r="BW332" s="69"/>
      <c r="BX332" s="65"/>
      <c r="BY332" s="593"/>
      <c r="BZ332" s="593"/>
      <c r="CA332" s="593"/>
      <c r="CB332" s="592"/>
      <c r="CC332" s="592"/>
      <c r="CD332" s="592"/>
      <c r="CE332" s="592"/>
      <c r="CF332" s="592"/>
      <c r="CG332" s="592"/>
      <c r="CH332" s="592"/>
      <c r="CI332" s="592"/>
      <c r="CJ332" s="592"/>
      <c r="CK332" s="592"/>
      <c r="CL332" s="592"/>
      <c r="CM332" s="592"/>
      <c r="CN332" s="592"/>
      <c r="CO332" s="592"/>
      <c r="CP332" s="592"/>
      <c r="CQ332" s="592"/>
      <c r="CR332" s="592"/>
      <c r="CS332" s="592"/>
      <c r="CT332" s="592"/>
      <c r="CU332" s="592"/>
      <c r="CV332" s="592"/>
      <c r="CW332" s="592"/>
      <c r="CX332" s="592"/>
      <c r="CY332" s="592"/>
      <c r="CZ332" s="592"/>
      <c r="DA332" s="592"/>
      <c r="DB332" s="592"/>
      <c r="DC332" s="592"/>
      <c r="DD332" s="592"/>
      <c r="DE332" s="592"/>
      <c r="DF332" s="592"/>
      <c r="DG332" s="592"/>
      <c r="DH332" s="592"/>
      <c r="DI332" s="592"/>
      <c r="DJ332" s="592"/>
      <c r="DK332" s="592"/>
      <c r="DL332" s="592"/>
      <c r="DM332" s="592"/>
      <c r="DN332" s="592"/>
      <c r="DO332" s="592"/>
      <c r="DP332" s="592"/>
      <c r="DQ332" s="592"/>
      <c r="DR332" s="592"/>
      <c r="DS332" s="592"/>
      <c r="DT332" s="592"/>
      <c r="DU332" s="592"/>
      <c r="DV332" s="592"/>
      <c r="DW332" s="592"/>
      <c r="DX332" s="592"/>
      <c r="DY332" s="592"/>
      <c r="DZ332" s="592"/>
      <c r="EA332" s="592"/>
      <c r="EB332" s="592"/>
      <c r="EC332" s="592"/>
      <c r="ED332" s="592"/>
      <c r="EE332" s="592"/>
      <c r="EF332" s="592"/>
      <c r="EG332" s="592"/>
      <c r="EH332" s="592"/>
      <c r="EI332" s="592"/>
      <c r="EJ332" s="65"/>
      <c r="EK332" s="159">
        <f>IFERROR(ROUNDUP(SUMPRODUCT($K353:$BR353,$K$111:$BR$111)/SUM($K353:$BR353),2),0)</f>
        <v>0</v>
      </c>
      <c r="EL332" s="159">
        <f>IFERROR(ROUNDUP(SUMPRODUCT($K353:$BR353,$K$135:$BR$135)/SUM($K353:$BR353),2),0)</f>
        <v>0</v>
      </c>
      <c r="EM332" s="159">
        <f>IFERROR(ROUNDUP(SUMPRODUCT($K353:$BR353,$K$159:$BR$159)/SUM($K353:$BR353),2),0)</f>
        <v>0</v>
      </c>
    </row>
    <row r="333" spans="1:143" ht="12" hidden="1" customHeight="1" outlineLevel="2">
      <c r="A333" s="77">
        <v>1</v>
      </c>
      <c r="B333" s="137" t="str">
        <f>IF(G333&gt;0,G333&amp;" - "&amp;$F$213,"")</f>
        <v>GER. (OBRA/PROJ) - Equipe_01</v>
      </c>
      <c r="C333" s="65"/>
      <c r="D333" s="620" t="s">
        <v>463</v>
      </c>
      <c r="E333" s="65"/>
      <c r="F333" s="584" t="str">
        <f>IFERROR(VLOOKUP(F331,Tarefas!$F$3:$G$22,2,0),"")</f>
        <v>Equipe_06</v>
      </c>
      <c r="G333" s="77" t="str">
        <f>IF(INDEX(Tarefas!$BT$30:$FK$30,MATCH(A333,Tarefas!$BT$28:$FK$28,0))=0,"",INDEX(Tarefas!$BT$30:$FK$30,MATCH(A333,Tarefas!$BT$28:$FK$28,0)))</f>
        <v>GER. (OBRA/PROJ)</v>
      </c>
      <c r="H333" s="107" cm="1">
        <f t="array" ref="H333">IFERROR((SUMPRODUCT((Tarefas!$N$32:$N$54='Cronog. e Histog.'!$F$333)*(Tarefas!$BQ$30:$FK$30='Cronog. e Histog.'!$G333)*(Tarefas!$BQ$32:$FK$54)))/SUMIF(Tarefas!$N$32:$N$54,'Cronog. e Histog.'!$F$333,Tarefas!$K$32:$K$54),0)</f>
        <v>1.5444015444015444E-2</v>
      </c>
      <c r="I333" s="79">
        <f>IFERROR(H333/$H$353,0)</f>
        <v>1.5444015444015444E-2</v>
      </c>
      <c r="J333" s="65"/>
      <c r="K333" s="160">
        <f>ROUND($I333*K$188,2)</f>
        <v>0.02</v>
      </c>
      <c r="L333" s="160">
        <f t="shared" ref="L333:BR347" si="863">ROUND($I333*L$188,2)</f>
        <v>0.02</v>
      </c>
      <c r="M333" s="160">
        <f t="shared" si="863"/>
        <v>0.02</v>
      </c>
      <c r="N333" s="160">
        <f t="shared" si="863"/>
        <v>0.02</v>
      </c>
      <c r="O333" s="160">
        <f t="shared" si="863"/>
        <v>0.02</v>
      </c>
      <c r="P333" s="160">
        <f t="shared" si="863"/>
        <v>0.02</v>
      </c>
      <c r="Q333" s="160">
        <f t="shared" si="863"/>
        <v>0.02</v>
      </c>
      <c r="R333" s="160">
        <f t="shared" si="863"/>
        <v>0.02</v>
      </c>
      <c r="S333" s="160">
        <f t="shared" si="863"/>
        <v>0.02</v>
      </c>
      <c r="T333" s="160">
        <f t="shared" si="863"/>
        <v>0.02</v>
      </c>
      <c r="U333" s="160">
        <f t="shared" si="863"/>
        <v>0</v>
      </c>
      <c r="V333" s="160">
        <f t="shared" si="863"/>
        <v>0</v>
      </c>
      <c r="W333" s="160">
        <f t="shared" si="863"/>
        <v>0</v>
      </c>
      <c r="X333" s="160">
        <f t="shared" si="863"/>
        <v>0</v>
      </c>
      <c r="Y333" s="160">
        <f t="shared" si="863"/>
        <v>0</v>
      </c>
      <c r="Z333" s="160">
        <f t="shared" si="863"/>
        <v>0</v>
      </c>
      <c r="AA333" s="160">
        <f t="shared" si="863"/>
        <v>0</v>
      </c>
      <c r="AB333" s="160">
        <f t="shared" si="863"/>
        <v>0</v>
      </c>
      <c r="AC333" s="160">
        <f t="shared" si="863"/>
        <v>0</v>
      </c>
      <c r="AD333" s="160">
        <f t="shared" si="863"/>
        <v>0</v>
      </c>
      <c r="AE333" s="160">
        <f t="shared" si="863"/>
        <v>0</v>
      </c>
      <c r="AF333" s="160">
        <f t="shared" si="863"/>
        <v>0</v>
      </c>
      <c r="AG333" s="160">
        <f t="shared" si="863"/>
        <v>0</v>
      </c>
      <c r="AH333" s="160">
        <f t="shared" si="863"/>
        <v>0</v>
      </c>
      <c r="AI333" s="160">
        <f t="shared" si="863"/>
        <v>0</v>
      </c>
      <c r="AJ333" s="160">
        <f t="shared" si="863"/>
        <v>0</v>
      </c>
      <c r="AK333" s="160">
        <f t="shared" si="863"/>
        <v>0</v>
      </c>
      <c r="AL333" s="160">
        <f t="shared" si="863"/>
        <v>0</v>
      </c>
      <c r="AM333" s="160">
        <f t="shared" si="863"/>
        <v>0</v>
      </c>
      <c r="AN333" s="160">
        <f t="shared" si="863"/>
        <v>0</v>
      </c>
      <c r="AO333" s="160">
        <f t="shared" si="863"/>
        <v>0</v>
      </c>
      <c r="AP333" s="160">
        <f t="shared" si="863"/>
        <v>0</v>
      </c>
      <c r="AQ333" s="160">
        <f t="shared" si="863"/>
        <v>0</v>
      </c>
      <c r="AR333" s="160">
        <f t="shared" si="863"/>
        <v>0</v>
      </c>
      <c r="AS333" s="160">
        <f t="shared" si="863"/>
        <v>0</v>
      </c>
      <c r="AT333" s="160">
        <f t="shared" si="863"/>
        <v>0</v>
      </c>
      <c r="AU333" s="160">
        <f t="shared" si="863"/>
        <v>0</v>
      </c>
      <c r="AV333" s="160">
        <f t="shared" si="863"/>
        <v>0</v>
      </c>
      <c r="AW333" s="160">
        <f t="shared" si="863"/>
        <v>0</v>
      </c>
      <c r="AX333" s="160">
        <f t="shared" si="863"/>
        <v>0</v>
      </c>
      <c r="AY333" s="160">
        <f t="shared" si="863"/>
        <v>0</v>
      </c>
      <c r="AZ333" s="160">
        <f t="shared" si="863"/>
        <v>0</v>
      </c>
      <c r="BA333" s="160">
        <f t="shared" si="863"/>
        <v>0</v>
      </c>
      <c r="BB333" s="160">
        <f t="shared" si="863"/>
        <v>0</v>
      </c>
      <c r="BC333" s="160">
        <f t="shared" si="863"/>
        <v>0</v>
      </c>
      <c r="BD333" s="160">
        <f t="shared" si="863"/>
        <v>0</v>
      </c>
      <c r="BE333" s="160">
        <f t="shared" si="863"/>
        <v>0</v>
      </c>
      <c r="BF333" s="160">
        <f t="shared" si="863"/>
        <v>0</v>
      </c>
      <c r="BG333" s="160">
        <f t="shared" si="863"/>
        <v>0</v>
      </c>
      <c r="BH333" s="160">
        <f t="shared" si="863"/>
        <v>0</v>
      </c>
      <c r="BI333" s="160">
        <f t="shared" si="863"/>
        <v>0</v>
      </c>
      <c r="BJ333" s="160">
        <f t="shared" si="863"/>
        <v>0</v>
      </c>
      <c r="BK333" s="160">
        <f t="shared" si="863"/>
        <v>0</v>
      </c>
      <c r="BL333" s="160">
        <f t="shared" si="863"/>
        <v>0</v>
      </c>
      <c r="BM333" s="160">
        <f t="shared" si="863"/>
        <v>0</v>
      </c>
      <c r="BN333" s="160">
        <f t="shared" si="863"/>
        <v>0</v>
      </c>
      <c r="BO333" s="160">
        <f t="shared" si="863"/>
        <v>0</v>
      </c>
      <c r="BP333" s="160">
        <f t="shared" si="863"/>
        <v>0</v>
      </c>
      <c r="BQ333" s="160">
        <f t="shared" si="863"/>
        <v>0</v>
      </c>
      <c r="BR333" s="160">
        <f t="shared" si="863"/>
        <v>0</v>
      </c>
      <c r="BS333" s="65"/>
      <c r="BT333" s="160">
        <f t="shared" ref="BT333:BT352" si="864">IFERROR(SUM(K333:BR333)/COUNTIF(K333:BR333,"&gt;0"),0)</f>
        <v>1.9999999999999997E-2</v>
      </c>
      <c r="BU333" s="160">
        <f t="shared" ref="BU333:BU352" si="865">COUNTIF(K333:BR333,"&gt;0")</f>
        <v>10</v>
      </c>
      <c r="BV333" s="65"/>
      <c r="BW333" s="69"/>
      <c r="BX333" s="65"/>
      <c r="BY333" s="137">
        <f t="shared" ref="BY333:BY352" si="866">IF(G333&gt;0,1,0)</f>
        <v>1</v>
      </c>
      <c r="BZ333" s="137">
        <f>IF(BY333&gt;0,BY333+LARGE($BZ$213:BZ332,1),0)</f>
        <v>101</v>
      </c>
      <c r="CA333" s="137" t="str">
        <f t="shared" ref="CA333:CA352" si="867">G333</f>
        <v>GER. (OBRA/PROJ)</v>
      </c>
      <c r="CB333" s="161">
        <f t="shared" ref="CB333:CB352" si="868">K333</f>
        <v>0.02</v>
      </c>
      <c r="CC333" s="161">
        <f t="shared" ref="CC333:CC352" si="869">L333</f>
        <v>0.02</v>
      </c>
      <c r="CD333" s="161">
        <f t="shared" ref="CD333:CD352" si="870">M333</f>
        <v>0.02</v>
      </c>
      <c r="CE333" s="161">
        <f t="shared" ref="CE333:CE352" si="871">N333</f>
        <v>0.02</v>
      </c>
      <c r="CF333" s="161">
        <f t="shared" ref="CF333:CF352" si="872">O333</f>
        <v>0.02</v>
      </c>
      <c r="CG333" s="161">
        <f t="shared" ref="CG333:CG352" si="873">P333</f>
        <v>0.02</v>
      </c>
      <c r="CH333" s="161">
        <f t="shared" ref="CH333:CH352" si="874">Q333</f>
        <v>0.02</v>
      </c>
      <c r="CI333" s="161">
        <f t="shared" ref="CI333:CI352" si="875">R333</f>
        <v>0.02</v>
      </c>
      <c r="CJ333" s="161">
        <f t="shared" ref="CJ333:CJ352" si="876">S333</f>
        <v>0.02</v>
      </c>
      <c r="CK333" s="161">
        <f t="shared" ref="CK333:CK352" si="877">T333</f>
        <v>0.02</v>
      </c>
      <c r="CL333" s="161">
        <f t="shared" ref="CL333:CL352" si="878">U333</f>
        <v>0</v>
      </c>
      <c r="CM333" s="161">
        <f t="shared" ref="CM333:CM352" si="879">V333</f>
        <v>0</v>
      </c>
      <c r="CN333" s="161">
        <f t="shared" ref="CN333:CN352" si="880">W333</f>
        <v>0</v>
      </c>
      <c r="CO333" s="161">
        <f t="shared" ref="CO333:CO352" si="881">X333</f>
        <v>0</v>
      </c>
      <c r="CP333" s="161">
        <f t="shared" ref="CP333:CP352" si="882">Y333</f>
        <v>0</v>
      </c>
      <c r="CQ333" s="161">
        <f t="shared" ref="CQ333:CQ352" si="883">Z333</f>
        <v>0</v>
      </c>
      <c r="CR333" s="161">
        <f t="shared" ref="CR333:CR352" si="884">AA333</f>
        <v>0</v>
      </c>
      <c r="CS333" s="161">
        <f t="shared" ref="CS333:CS352" si="885">AB333</f>
        <v>0</v>
      </c>
      <c r="CT333" s="161">
        <f t="shared" ref="CT333:CT352" si="886">AC333</f>
        <v>0</v>
      </c>
      <c r="CU333" s="161">
        <f t="shared" ref="CU333:CU352" si="887">AD333</f>
        <v>0</v>
      </c>
      <c r="CV333" s="161">
        <f t="shared" ref="CV333:CV352" si="888">AE333</f>
        <v>0</v>
      </c>
      <c r="CW333" s="161">
        <f t="shared" ref="CW333:CW352" si="889">AF333</f>
        <v>0</v>
      </c>
      <c r="CX333" s="161">
        <f t="shared" ref="CX333:CX352" si="890">AG333</f>
        <v>0</v>
      </c>
      <c r="CY333" s="161">
        <f t="shared" ref="CY333:CY352" si="891">AH333</f>
        <v>0</v>
      </c>
      <c r="CZ333" s="161">
        <f t="shared" ref="CZ333:CZ352" si="892">AI333</f>
        <v>0</v>
      </c>
      <c r="DA333" s="161">
        <f t="shared" ref="DA333:DA352" si="893">AJ333</f>
        <v>0</v>
      </c>
      <c r="DB333" s="161">
        <f t="shared" ref="DB333:DB352" si="894">AK333</f>
        <v>0</v>
      </c>
      <c r="DC333" s="161">
        <f t="shared" ref="DC333:DC352" si="895">AL333</f>
        <v>0</v>
      </c>
      <c r="DD333" s="161">
        <f t="shared" ref="DD333:DD352" si="896">AM333</f>
        <v>0</v>
      </c>
      <c r="DE333" s="161">
        <f t="shared" ref="DE333:DE352" si="897">AN333</f>
        <v>0</v>
      </c>
      <c r="DF333" s="161">
        <f t="shared" ref="DF333:DF352" si="898">AO333</f>
        <v>0</v>
      </c>
      <c r="DG333" s="161">
        <f t="shared" ref="DG333:DG352" si="899">AP333</f>
        <v>0</v>
      </c>
      <c r="DH333" s="161">
        <f t="shared" ref="DH333:DH352" si="900">AQ333</f>
        <v>0</v>
      </c>
      <c r="DI333" s="161">
        <f t="shared" ref="DI333:DI352" si="901">AR333</f>
        <v>0</v>
      </c>
      <c r="DJ333" s="161">
        <f t="shared" ref="DJ333:DJ352" si="902">AS333</f>
        <v>0</v>
      </c>
      <c r="DK333" s="161">
        <f t="shared" ref="DK333:DK352" si="903">AT333</f>
        <v>0</v>
      </c>
      <c r="DL333" s="161">
        <f t="shared" ref="DL333:DL352" si="904">AU333</f>
        <v>0</v>
      </c>
      <c r="DM333" s="161">
        <f t="shared" ref="DM333:DM352" si="905">AV333</f>
        <v>0</v>
      </c>
      <c r="DN333" s="161">
        <f t="shared" ref="DN333:DN352" si="906">AW333</f>
        <v>0</v>
      </c>
      <c r="DO333" s="161">
        <f t="shared" ref="DO333:DO352" si="907">AX333</f>
        <v>0</v>
      </c>
      <c r="DP333" s="161">
        <f t="shared" ref="DP333:DP352" si="908">AY333</f>
        <v>0</v>
      </c>
      <c r="DQ333" s="161">
        <f t="shared" ref="DQ333:DQ352" si="909">AZ333</f>
        <v>0</v>
      </c>
      <c r="DR333" s="161">
        <f t="shared" ref="DR333:DR352" si="910">BA333</f>
        <v>0</v>
      </c>
      <c r="DS333" s="161">
        <f t="shared" ref="DS333:DS352" si="911">BB333</f>
        <v>0</v>
      </c>
      <c r="DT333" s="161">
        <f t="shared" ref="DT333:DT352" si="912">BC333</f>
        <v>0</v>
      </c>
      <c r="DU333" s="161">
        <f t="shared" ref="DU333:DU352" si="913">BD333</f>
        <v>0</v>
      </c>
      <c r="DV333" s="161">
        <f t="shared" ref="DV333:DV352" si="914">BE333</f>
        <v>0</v>
      </c>
      <c r="DW333" s="161">
        <f t="shared" ref="DW333:DW352" si="915">BF333</f>
        <v>0</v>
      </c>
      <c r="DX333" s="161">
        <f t="shared" ref="DX333:DX352" si="916">BG333</f>
        <v>0</v>
      </c>
      <c r="DY333" s="161">
        <f t="shared" ref="DY333:DY352" si="917">BH333</f>
        <v>0</v>
      </c>
      <c r="DZ333" s="161">
        <f t="shared" ref="DZ333:DZ352" si="918">BI333</f>
        <v>0</v>
      </c>
      <c r="EA333" s="161">
        <f t="shared" ref="EA333:EA352" si="919">BJ333</f>
        <v>0</v>
      </c>
      <c r="EB333" s="161">
        <f t="shared" ref="EB333:EB352" si="920">BK333</f>
        <v>0</v>
      </c>
      <c r="EC333" s="161">
        <f t="shared" ref="EC333:EC352" si="921">BL333</f>
        <v>0</v>
      </c>
      <c r="ED333" s="161">
        <f t="shared" ref="ED333:ED352" si="922">BM333</f>
        <v>0</v>
      </c>
      <c r="EE333" s="161">
        <f t="shared" ref="EE333:EE352" si="923">BN333</f>
        <v>0</v>
      </c>
      <c r="EF333" s="161">
        <f t="shared" ref="EF333:EF352" si="924">BO333</f>
        <v>0</v>
      </c>
      <c r="EG333" s="161">
        <f t="shared" ref="EG333:EG352" si="925">BP333</f>
        <v>0</v>
      </c>
      <c r="EH333" s="161">
        <f t="shared" ref="EH333:EH352" si="926">BQ333</f>
        <v>0</v>
      </c>
      <c r="EI333" s="161">
        <f t="shared" ref="EI333:EI352" si="927">BR333</f>
        <v>0</v>
      </c>
      <c r="EJ333" s="65"/>
      <c r="EK333" s="161">
        <f>$EK$332</f>
        <v>0</v>
      </c>
      <c r="EL333" s="161">
        <f>$EL$332</f>
        <v>0</v>
      </c>
      <c r="EM333" s="161">
        <f>$EM$332</f>
        <v>0</v>
      </c>
    </row>
    <row r="334" spans="1:143" ht="12" hidden="1" customHeight="1" outlineLevel="2">
      <c r="A334" s="77">
        <v>2</v>
      </c>
      <c r="B334" s="137" t="str">
        <f t="shared" ref="B334:B352" si="928">IF(G334&gt;0,G334&amp;" - "&amp;$F$213,"")</f>
        <v>COORD. - Equipe_01</v>
      </c>
      <c r="C334" s="65"/>
      <c r="D334" s="622"/>
      <c r="E334" s="65"/>
      <c r="F334" s="584"/>
      <c r="G334" s="77" t="str">
        <f>IF(INDEX(Tarefas!$BT$30:$FK$30,MATCH(A334,Tarefas!$BT$28:$FK$28,0))=0,"",INDEX(Tarefas!$BT$30:$FK$30,MATCH(A334,Tarefas!$BT$28:$FK$28,0)))</f>
        <v>COORD.</v>
      </c>
      <c r="H334" s="107" cm="1">
        <f t="array" ref="H334">IFERROR((SUMPRODUCT((Tarefas!$N$32:$N$54='Cronog. e Histog.'!$F$333)*(Tarefas!$BQ$30:$FK$30='Cronog. e Histog.'!$G334)*(Tarefas!$BQ$32:$FK$54)))/SUMIF(Tarefas!$N$32:$N$54,'Cronog. e Histog.'!$F$333,Tarefas!$K$32:$K$54),0)</f>
        <v>0</v>
      </c>
      <c r="I334" s="79">
        <f t="shared" ref="I334:I352" si="929">IFERROR(H334/$H$353,0)</f>
        <v>0</v>
      </c>
      <c r="J334" s="65"/>
      <c r="K334" s="160">
        <f t="shared" ref="K334:Z352" si="930">ROUND($I334*K$188,2)</f>
        <v>0</v>
      </c>
      <c r="L334" s="160">
        <f t="shared" si="930"/>
        <v>0</v>
      </c>
      <c r="M334" s="160">
        <f t="shared" si="930"/>
        <v>0</v>
      </c>
      <c r="N334" s="160">
        <f t="shared" si="930"/>
        <v>0</v>
      </c>
      <c r="O334" s="160">
        <f t="shared" si="930"/>
        <v>0</v>
      </c>
      <c r="P334" s="160">
        <f t="shared" si="930"/>
        <v>0</v>
      </c>
      <c r="Q334" s="160">
        <f t="shared" si="930"/>
        <v>0</v>
      </c>
      <c r="R334" s="160">
        <f t="shared" si="930"/>
        <v>0</v>
      </c>
      <c r="S334" s="160">
        <f t="shared" si="930"/>
        <v>0</v>
      </c>
      <c r="T334" s="160">
        <f t="shared" si="930"/>
        <v>0</v>
      </c>
      <c r="U334" s="160">
        <f t="shared" si="930"/>
        <v>0</v>
      </c>
      <c r="V334" s="160">
        <f t="shared" si="930"/>
        <v>0</v>
      </c>
      <c r="W334" s="160">
        <f t="shared" si="930"/>
        <v>0</v>
      </c>
      <c r="X334" s="160">
        <f t="shared" si="930"/>
        <v>0</v>
      </c>
      <c r="Y334" s="160">
        <f t="shared" si="930"/>
        <v>0</v>
      </c>
      <c r="Z334" s="160">
        <f t="shared" si="930"/>
        <v>0</v>
      </c>
      <c r="AA334" s="160">
        <f t="shared" si="863"/>
        <v>0</v>
      </c>
      <c r="AB334" s="160">
        <f t="shared" si="863"/>
        <v>0</v>
      </c>
      <c r="AC334" s="160">
        <f t="shared" si="863"/>
        <v>0</v>
      </c>
      <c r="AD334" s="160">
        <f t="shared" si="863"/>
        <v>0</v>
      </c>
      <c r="AE334" s="160">
        <f t="shared" si="863"/>
        <v>0</v>
      </c>
      <c r="AF334" s="160">
        <f t="shared" si="863"/>
        <v>0</v>
      </c>
      <c r="AG334" s="160">
        <f t="shared" si="863"/>
        <v>0</v>
      </c>
      <c r="AH334" s="160">
        <f t="shared" si="863"/>
        <v>0</v>
      </c>
      <c r="AI334" s="160">
        <f t="shared" si="863"/>
        <v>0</v>
      </c>
      <c r="AJ334" s="160">
        <f t="shared" si="863"/>
        <v>0</v>
      </c>
      <c r="AK334" s="160">
        <f t="shared" si="863"/>
        <v>0</v>
      </c>
      <c r="AL334" s="160">
        <f t="shared" si="863"/>
        <v>0</v>
      </c>
      <c r="AM334" s="160">
        <f t="shared" si="863"/>
        <v>0</v>
      </c>
      <c r="AN334" s="160">
        <f t="shared" si="863"/>
        <v>0</v>
      </c>
      <c r="AO334" s="160">
        <f t="shared" si="863"/>
        <v>0</v>
      </c>
      <c r="AP334" s="160">
        <f t="shared" si="863"/>
        <v>0</v>
      </c>
      <c r="AQ334" s="160">
        <f t="shared" si="863"/>
        <v>0</v>
      </c>
      <c r="AR334" s="160">
        <f t="shared" si="863"/>
        <v>0</v>
      </c>
      <c r="AS334" s="160">
        <f t="shared" si="863"/>
        <v>0</v>
      </c>
      <c r="AT334" s="160">
        <f t="shared" si="863"/>
        <v>0</v>
      </c>
      <c r="AU334" s="160">
        <f t="shared" si="863"/>
        <v>0</v>
      </c>
      <c r="AV334" s="160">
        <f t="shared" si="863"/>
        <v>0</v>
      </c>
      <c r="AW334" s="160">
        <f t="shared" si="863"/>
        <v>0</v>
      </c>
      <c r="AX334" s="160">
        <f t="shared" si="863"/>
        <v>0</v>
      </c>
      <c r="AY334" s="160">
        <f t="shared" si="863"/>
        <v>0</v>
      </c>
      <c r="AZ334" s="160">
        <f t="shared" si="863"/>
        <v>0</v>
      </c>
      <c r="BA334" s="160">
        <f t="shared" si="863"/>
        <v>0</v>
      </c>
      <c r="BB334" s="160">
        <f t="shared" si="863"/>
        <v>0</v>
      </c>
      <c r="BC334" s="160">
        <f t="shared" si="863"/>
        <v>0</v>
      </c>
      <c r="BD334" s="160">
        <f t="shared" si="863"/>
        <v>0</v>
      </c>
      <c r="BE334" s="160">
        <f t="shared" si="863"/>
        <v>0</v>
      </c>
      <c r="BF334" s="160">
        <f t="shared" si="863"/>
        <v>0</v>
      </c>
      <c r="BG334" s="160">
        <f t="shared" si="863"/>
        <v>0</v>
      </c>
      <c r="BH334" s="160">
        <f t="shared" si="863"/>
        <v>0</v>
      </c>
      <c r="BI334" s="160">
        <f t="shared" si="863"/>
        <v>0</v>
      </c>
      <c r="BJ334" s="160">
        <f t="shared" si="863"/>
        <v>0</v>
      </c>
      <c r="BK334" s="160">
        <f t="shared" si="863"/>
        <v>0</v>
      </c>
      <c r="BL334" s="160">
        <f t="shared" si="863"/>
        <v>0</v>
      </c>
      <c r="BM334" s="160">
        <f t="shared" si="863"/>
        <v>0</v>
      </c>
      <c r="BN334" s="160">
        <f t="shared" si="863"/>
        <v>0</v>
      </c>
      <c r="BO334" s="160">
        <f t="shared" si="863"/>
        <v>0</v>
      </c>
      <c r="BP334" s="160">
        <f t="shared" si="863"/>
        <v>0</v>
      </c>
      <c r="BQ334" s="160">
        <f t="shared" si="863"/>
        <v>0</v>
      </c>
      <c r="BR334" s="160">
        <f t="shared" si="863"/>
        <v>0</v>
      </c>
      <c r="BS334" s="65"/>
      <c r="BT334" s="160">
        <f t="shared" si="864"/>
        <v>0</v>
      </c>
      <c r="BU334" s="160">
        <f t="shared" si="865"/>
        <v>0</v>
      </c>
      <c r="BV334" s="65"/>
      <c r="BW334" s="69"/>
      <c r="BX334" s="65"/>
      <c r="BY334" s="137">
        <f t="shared" si="866"/>
        <v>1</v>
      </c>
      <c r="BZ334" s="137">
        <f>IF(BY334&gt;0,BY334+LARGE($BZ$213:BZ333,1),0)</f>
        <v>102</v>
      </c>
      <c r="CA334" s="137" t="str">
        <f t="shared" si="867"/>
        <v>COORD.</v>
      </c>
      <c r="CB334" s="161">
        <f t="shared" si="868"/>
        <v>0</v>
      </c>
      <c r="CC334" s="161">
        <f t="shared" si="869"/>
        <v>0</v>
      </c>
      <c r="CD334" s="161">
        <f t="shared" si="870"/>
        <v>0</v>
      </c>
      <c r="CE334" s="161">
        <f t="shared" si="871"/>
        <v>0</v>
      </c>
      <c r="CF334" s="161">
        <f t="shared" si="872"/>
        <v>0</v>
      </c>
      <c r="CG334" s="161">
        <f t="shared" si="873"/>
        <v>0</v>
      </c>
      <c r="CH334" s="161">
        <f t="shared" si="874"/>
        <v>0</v>
      </c>
      <c r="CI334" s="161">
        <f t="shared" si="875"/>
        <v>0</v>
      </c>
      <c r="CJ334" s="161">
        <f t="shared" si="876"/>
        <v>0</v>
      </c>
      <c r="CK334" s="161">
        <f t="shared" si="877"/>
        <v>0</v>
      </c>
      <c r="CL334" s="161">
        <f t="shared" si="878"/>
        <v>0</v>
      </c>
      <c r="CM334" s="161">
        <f t="shared" si="879"/>
        <v>0</v>
      </c>
      <c r="CN334" s="161">
        <f t="shared" si="880"/>
        <v>0</v>
      </c>
      <c r="CO334" s="161">
        <f t="shared" si="881"/>
        <v>0</v>
      </c>
      <c r="CP334" s="161">
        <f t="shared" si="882"/>
        <v>0</v>
      </c>
      <c r="CQ334" s="161">
        <f t="shared" si="883"/>
        <v>0</v>
      </c>
      <c r="CR334" s="161">
        <f t="shared" si="884"/>
        <v>0</v>
      </c>
      <c r="CS334" s="161">
        <f t="shared" si="885"/>
        <v>0</v>
      </c>
      <c r="CT334" s="161">
        <f t="shared" si="886"/>
        <v>0</v>
      </c>
      <c r="CU334" s="161">
        <f t="shared" si="887"/>
        <v>0</v>
      </c>
      <c r="CV334" s="161">
        <f t="shared" si="888"/>
        <v>0</v>
      </c>
      <c r="CW334" s="161">
        <f t="shared" si="889"/>
        <v>0</v>
      </c>
      <c r="CX334" s="161">
        <f t="shared" si="890"/>
        <v>0</v>
      </c>
      <c r="CY334" s="161">
        <f t="shared" si="891"/>
        <v>0</v>
      </c>
      <c r="CZ334" s="161">
        <f t="shared" si="892"/>
        <v>0</v>
      </c>
      <c r="DA334" s="161">
        <f t="shared" si="893"/>
        <v>0</v>
      </c>
      <c r="DB334" s="161">
        <f t="shared" si="894"/>
        <v>0</v>
      </c>
      <c r="DC334" s="161">
        <f t="shared" si="895"/>
        <v>0</v>
      </c>
      <c r="DD334" s="161">
        <f t="shared" si="896"/>
        <v>0</v>
      </c>
      <c r="DE334" s="161">
        <f t="shared" si="897"/>
        <v>0</v>
      </c>
      <c r="DF334" s="161">
        <f t="shared" si="898"/>
        <v>0</v>
      </c>
      <c r="DG334" s="161">
        <f t="shared" si="899"/>
        <v>0</v>
      </c>
      <c r="DH334" s="161">
        <f t="shared" si="900"/>
        <v>0</v>
      </c>
      <c r="DI334" s="161">
        <f t="shared" si="901"/>
        <v>0</v>
      </c>
      <c r="DJ334" s="161">
        <f t="shared" si="902"/>
        <v>0</v>
      </c>
      <c r="DK334" s="161">
        <f t="shared" si="903"/>
        <v>0</v>
      </c>
      <c r="DL334" s="161">
        <f t="shared" si="904"/>
        <v>0</v>
      </c>
      <c r="DM334" s="161">
        <f t="shared" si="905"/>
        <v>0</v>
      </c>
      <c r="DN334" s="161">
        <f t="shared" si="906"/>
        <v>0</v>
      </c>
      <c r="DO334" s="161">
        <f t="shared" si="907"/>
        <v>0</v>
      </c>
      <c r="DP334" s="161">
        <f t="shared" si="908"/>
        <v>0</v>
      </c>
      <c r="DQ334" s="161">
        <f t="shared" si="909"/>
        <v>0</v>
      </c>
      <c r="DR334" s="161">
        <f t="shared" si="910"/>
        <v>0</v>
      </c>
      <c r="DS334" s="161">
        <f t="shared" si="911"/>
        <v>0</v>
      </c>
      <c r="DT334" s="161">
        <f t="shared" si="912"/>
        <v>0</v>
      </c>
      <c r="DU334" s="161">
        <f t="shared" si="913"/>
        <v>0</v>
      </c>
      <c r="DV334" s="161">
        <f t="shared" si="914"/>
        <v>0</v>
      </c>
      <c r="DW334" s="161">
        <f t="shared" si="915"/>
        <v>0</v>
      </c>
      <c r="DX334" s="161">
        <f t="shared" si="916"/>
        <v>0</v>
      </c>
      <c r="DY334" s="161">
        <f t="shared" si="917"/>
        <v>0</v>
      </c>
      <c r="DZ334" s="161">
        <f t="shared" si="918"/>
        <v>0</v>
      </c>
      <c r="EA334" s="161">
        <f t="shared" si="919"/>
        <v>0</v>
      </c>
      <c r="EB334" s="161">
        <f t="shared" si="920"/>
        <v>0</v>
      </c>
      <c r="EC334" s="161">
        <f t="shared" si="921"/>
        <v>0</v>
      </c>
      <c r="ED334" s="161">
        <f t="shared" si="922"/>
        <v>0</v>
      </c>
      <c r="EE334" s="161">
        <f t="shared" si="923"/>
        <v>0</v>
      </c>
      <c r="EF334" s="161">
        <f t="shared" si="924"/>
        <v>0</v>
      </c>
      <c r="EG334" s="161">
        <f t="shared" si="925"/>
        <v>0</v>
      </c>
      <c r="EH334" s="161">
        <f t="shared" si="926"/>
        <v>0</v>
      </c>
      <c r="EI334" s="161">
        <f t="shared" si="927"/>
        <v>0</v>
      </c>
      <c r="EJ334" s="65"/>
      <c r="EK334" s="161">
        <f t="shared" ref="EK334:EK352" si="931">$EK$332</f>
        <v>0</v>
      </c>
      <c r="EL334" s="161">
        <f t="shared" ref="EL334:EL352" si="932">$EL$332</f>
        <v>0</v>
      </c>
      <c r="EM334" s="161">
        <f t="shared" ref="EM334:EM352" si="933">$EM$332</f>
        <v>0</v>
      </c>
    </row>
    <row r="335" spans="1:143" ht="12" hidden="1" customHeight="1" outlineLevel="2">
      <c r="A335" s="77">
        <v>3</v>
      </c>
      <c r="B335" s="137" t="str">
        <f t="shared" si="928"/>
        <v>SUP.-ESP - Equipe_01</v>
      </c>
      <c r="C335" s="65"/>
      <c r="D335" s="622"/>
      <c r="E335" s="65"/>
      <c r="F335" s="584"/>
      <c r="G335" s="77" t="str">
        <f>IF(INDEX(Tarefas!$BT$30:$FK$30,MATCH(A335,Tarefas!$BT$28:$FK$28,0))=0,"",INDEX(Tarefas!$BT$30:$FK$30,MATCH(A335,Tarefas!$BT$28:$FK$28,0)))</f>
        <v>SUP.-ESP</v>
      </c>
      <c r="H335" s="107" cm="1">
        <f t="array" ref="H335">IFERROR((SUMPRODUCT((Tarefas!$N$32:$N$54='Cronog. e Histog.'!$F$333)*(Tarefas!$BQ$30:$FK$30='Cronog. e Histog.'!$G335)*(Tarefas!$BQ$32:$FK$54)))/SUMIF(Tarefas!$N$32:$N$54,'Cronog. e Histog.'!$F$333,Tarefas!$K$32:$K$54),0)</f>
        <v>0</v>
      </c>
      <c r="I335" s="79">
        <f t="shared" si="929"/>
        <v>0</v>
      </c>
      <c r="J335" s="65"/>
      <c r="K335" s="160">
        <f t="shared" si="930"/>
        <v>0</v>
      </c>
      <c r="L335" s="160">
        <f t="shared" si="930"/>
        <v>0</v>
      </c>
      <c r="M335" s="160">
        <f t="shared" si="930"/>
        <v>0</v>
      </c>
      <c r="N335" s="160">
        <f t="shared" si="930"/>
        <v>0</v>
      </c>
      <c r="O335" s="160">
        <f t="shared" si="930"/>
        <v>0</v>
      </c>
      <c r="P335" s="160">
        <f t="shared" si="930"/>
        <v>0</v>
      </c>
      <c r="Q335" s="160">
        <f t="shared" si="930"/>
        <v>0</v>
      </c>
      <c r="R335" s="160">
        <f t="shared" si="930"/>
        <v>0</v>
      </c>
      <c r="S335" s="160">
        <f t="shared" si="930"/>
        <v>0</v>
      </c>
      <c r="T335" s="160">
        <f t="shared" si="930"/>
        <v>0</v>
      </c>
      <c r="U335" s="160">
        <f t="shared" si="930"/>
        <v>0</v>
      </c>
      <c r="V335" s="160">
        <f t="shared" si="930"/>
        <v>0</v>
      </c>
      <c r="W335" s="160">
        <f t="shared" si="930"/>
        <v>0</v>
      </c>
      <c r="X335" s="160">
        <f t="shared" si="930"/>
        <v>0</v>
      </c>
      <c r="Y335" s="160">
        <f t="shared" si="930"/>
        <v>0</v>
      </c>
      <c r="Z335" s="160">
        <f t="shared" si="930"/>
        <v>0</v>
      </c>
      <c r="AA335" s="160">
        <f t="shared" ref="AA335:AP344" si="934">ROUND($I335*AA$188,2)</f>
        <v>0</v>
      </c>
      <c r="AB335" s="160">
        <f t="shared" si="934"/>
        <v>0</v>
      </c>
      <c r="AC335" s="160">
        <f t="shared" si="934"/>
        <v>0</v>
      </c>
      <c r="AD335" s="160">
        <f t="shared" si="934"/>
        <v>0</v>
      </c>
      <c r="AE335" s="160">
        <f t="shared" si="934"/>
        <v>0</v>
      </c>
      <c r="AF335" s="160">
        <f t="shared" si="934"/>
        <v>0</v>
      </c>
      <c r="AG335" s="160">
        <f t="shared" si="934"/>
        <v>0</v>
      </c>
      <c r="AH335" s="160">
        <f t="shared" si="934"/>
        <v>0</v>
      </c>
      <c r="AI335" s="160">
        <f t="shared" si="934"/>
        <v>0</v>
      </c>
      <c r="AJ335" s="160">
        <f t="shared" si="934"/>
        <v>0</v>
      </c>
      <c r="AK335" s="160">
        <f t="shared" si="934"/>
        <v>0</v>
      </c>
      <c r="AL335" s="160">
        <f t="shared" si="934"/>
        <v>0</v>
      </c>
      <c r="AM335" s="160">
        <f t="shared" si="934"/>
        <v>0</v>
      </c>
      <c r="AN335" s="160">
        <f t="shared" si="934"/>
        <v>0</v>
      </c>
      <c r="AO335" s="160">
        <f t="shared" si="934"/>
        <v>0</v>
      </c>
      <c r="AP335" s="160">
        <f t="shared" si="934"/>
        <v>0</v>
      </c>
      <c r="AQ335" s="160">
        <f t="shared" ref="AQ335:BF344" si="935">ROUND($I335*AQ$188,2)</f>
        <v>0</v>
      </c>
      <c r="AR335" s="160">
        <f t="shared" si="935"/>
        <v>0</v>
      </c>
      <c r="AS335" s="160">
        <f t="shared" si="935"/>
        <v>0</v>
      </c>
      <c r="AT335" s="160">
        <f t="shared" si="935"/>
        <v>0</v>
      </c>
      <c r="AU335" s="160">
        <f t="shared" si="935"/>
        <v>0</v>
      </c>
      <c r="AV335" s="160">
        <f t="shared" si="935"/>
        <v>0</v>
      </c>
      <c r="AW335" s="160">
        <f t="shared" si="935"/>
        <v>0</v>
      </c>
      <c r="AX335" s="160">
        <f t="shared" si="935"/>
        <v>0</v>
      </c>
      <c r="AY335" s="160">
        <f t="shared" si="935"/>
        <v>0</v>
      </c>
      <c r="AZ335" s="160">
        <f t="shared" si="935"/>
        <v>0</v>
      </c>
      <c r="BA335" s="160">
        <f t="shared" si="935"/>
        <v>0</v>
      </c>
      <c r="BB335" s="160">
        <f t="shared" si="935"/>
        <v>0</v>
      </c>
      <c r="BC335" s="160">
        <f t="shared" si="935"/>
        <v>0</v>
      </c>
      <c r="BD335" s="160">
        <f t="shared" si="935"/>
        <v>0</v>
      </c>
      <c r="BE335" s="160">
        <f t="shared" si="935"/>
        <v>0</v>
      </c>
      <c r="BF335" s="160">
        <f t="shared" si="935"/>
        <v>0</v>
      </c>
      <c r="BG335" s="160">
        <f t="shared" ref="BG335:BR344" si="936">ROUND($I335*BG$188,2)</f>
        <v>0</v>
      </c>
      <c r="BH335" s="160">
        <f t="shared" si="936"/>
        <v>0</v>
      </c>
      <c r="BI335" s="160">
        <f t="shared" si="936"/>
        <v>0</v>
      </c>
      <c r="BJ335" s="160">
        <f t="shared" si="936"/>
        <v>0</v>
      </c>
      <c r="BK335" s="160">
        <f t="shared" si="936"/>
        <v>0</v>
      </c>
      <c r="BL335" s="160">
        <f t="shared" si="936"/>
        <v>0</v>
      </c>
      <c r="BM335" s="160">
        <f t="shared" si="936"/>
        <v>0</v>
      </c>
      <c r="BN335" s="160">
        <f t="shared" si="936"/>
        <v>0</v>
      </c>
      <c r="BO335" s="160">
        <f t="shared" si="936"/>
        <v>0</v>
      </c>
      <c r="BP335" s="160">
        <f t="shared" si="936"/>
        <v>0</v>
      </c>
      <c r="BQ335" s="160">
        <f t="shared" si="936"/>
        <v>0</v>
      </c>
      <c r="BR335" s="160">
        <f t="shared" si="936"/>
        <v>0</v>
      </c>
      <c r="BS335" s="65"/>
      <c r="BT335" s="160">
        <f t="shared" ref="BT335:BT344" si="937">IFERROR(SUM(K335:BR335)/COUNTIF(K335:BR335,"&gt;0"),0)</f>
        <v>0</v>
      </c>
      <c r="BU335" s="160">
        <f t="shared" ref="BU335:BU344" si="938">COUNTIF(K335:BR335,"&gt;0")</f>
        <v>0</v>
      </c>
      <c r="BV335" s="65"/>
      <c r="BW335" s="69"/>
      <c r="BX335" s="65"/>
      <c r="BY335" s="137">
        <f t="shared" ref="BY335:BY344" si="939">IF(G335&gt;0,1,0)</f>
        <v>1</v>
      </c>
      <c r="BZ335" s="137">
        <f>IF(BY335&gt;0,BY335+LARGE($BZ$213:BZ334,1),0)</f>
        <v>103</v>
      </c>
      <c r="CA335" s="137" t="str">
        <f t="shared" ref="CA335:CA344" si="940">G335</f>
        <v>SUP.-ESP</v>
      </c>
      <c r="CB335" s="161">
        <f t="shared" ref="CB335:CB344" si="941">K335</f>
        <v>0</v>
      </c>
      <c r="CC335" s="161">
        <f t="shared" ref="CC335:CC344" si="942">L335</f>
        <v>0</v>
      </c>
      <c r="CD335" s="161">
        <f t="shared" ref="CD335:CD344" si="943">M335</f>
        <v>0</v>
      </c>
      <c r="CE335" s="161">
        <f t="shared" ref="CE335:CE344" si="944">N335</f>
        <v>0</v>
      </c>
      <c r="CF335" s="161">
        <f t="shared" ref="CF335:CF344" si="945">O335</f>
        <v>0</v>
      </c>
      <c r="CG335" s="161">
        <f t="shared" ref="CG335:CG344" si="946">P335</f>
        <v>0</v>
      </c>
      <c r="CH335" s="161">
        <f t="shared" ref="CH335:CH344" si="947">Q335</f>
        <v>0</v>
      </c>
      <c r="CI335" s="161">
        <f t="shared" ref="CI335:CI344" si="948">R335</f>
        <v>0</v>
      </c>
      <c r="CJ335" s="161">
        <f t="shared" ref="CJ335:CJ344" si="949">S335</f>
        <v>0</v>
      </c>
      <c r="CK335" s="161">
        <f t="shared" ref="CK335:CK344" si="950">T335</f>
        <v>0</v>
      </c>
      <c r="CL335" s="161">
        <f t="shared" ref="CL335:CL344" si="951">U335</f>
        <v>0</v>
      </c>
      <c r="CM335" s="161">
        <f t="shared" ref="CM335:CM344" si="952">V335</f>
        <v>0</v>
      </c>
      <c r="CN335" s="161">
        <f t="shared" ref="CN335:CN344" si="953">W335</f>
        <v>0</v>
      </c>
      <c r="CO335" s="161">
        <f t="shared" ref="CO335:CO344" si="954">X335</f>
        <v>0</v>
      </c>
      <c r="CP335" s="161">
        <f t="shared" ref="CP335:CP344" si="955">Y335</f>
        <v>0</v>
      </c>
      <c r="CQ335" s="161">
        <f t="shared" ref="CQ335:CQ344" si="956">Z335</f>
        <v>0</v>
      </c>
      <c r="CR335" s="161">
        <f t="shared" ref="CR335:CR344" si="957">AA335</f>
        <v>0</v>
      </c>
      <c r="CS335" s="161">
        <f t="shared" ref="CS335:CS344" si="958">AB335</f>
        <v>0</v>
      </c>
      <c r="CT335" s="161">
        <f t="shared" ref="CT335:CT344" si="959">AC335</f>
        <v>0</v>
      </c>
      <c r="CU335" s="161">
        <f t="shared" ref="CU335:CU344" si="960">AD335</f>
        <v>0</v>
      </c>
      <c r="CV335" s="161">
        <f t="shared" ref="CV335:CV344" si="961">AE335</f>
        <v>0</v>
      </c>
      <c r="CW335" s="161">
        <f t="shared" ref="CW335:CW344" si="962">AF335</f>
        <v>0</v>
      </c>
      <c r="CX335" s="161">
        <f t="shared" ref="CX335:CX344" si="963">AG335</f>
        <v>0</v>
      </c>
      <c r="CY335" s="161">
        <f t="shared" ref="CY335:CY344" si="964">AH335</f>
        <v>0</v>
      </c>
      <c r="CZ335" s="161">
        <f t="shared" ref="CZ335:CZ344" si="965">AI335</f>
        <v>0</v>
      </c>
      <c r="DA335" s="161">
        <f t="shared" ref="DA335:DA344" si="966">AJ335</f>
        <v>0</v>
      </c>
      <c r="DB335" s="161">
        <f t="shared" ref="DB335:DB344" si="967">AK335</f>
        <v>0</v>
      </c>
      <c r="DC335" s="161">
        <f t="shared" ref="DC335:DC344" si="968">AL335</f>
        <v>0</v>
      </c>
      <c r="DD335" s="161">
        <f t="shared" ref="DD335:DD344" si="969">AM335</f>
        <v>0</v>
      </c>
      <c r="DE335" s="161">
        <f t="shared" ref="DE335:DE344" si="970">AN335</f>
        <v>0</v>
      </c>
      <c r="DF335" s="161">
        <f t="shared" ref="DF335:DF344" si="971">AO335</f>
        <v>0</v>
      </c>
      <c r="DG335" s="161">
        <f t="shared" ref="DG335:DG344" si="972">AP335</f>
        <v>0</v>
      </c>
      <c r="DH335" s="161">
        <f t="shared" ref="DH335:DH344" si="973">AQ335</f>
        <v>0</v>
      </c>
      <c r="DI335" s="161">
        <f t="shared" ref="DI335:DI344" si="974">AR335</f>
        <v>0</v>
      </c>
      <c r="DJ335" s="161">
        <f t="shared" ref="DJ335:DJ344" si="975">AS335</f>
        <v>0</v>
      </c>
      <c r="DK335" s="161">
        <f t="shared" ref="DK335:DK344" si="976">AT335</f>
        <v>0</v>
      </c>
      <c r="DL335" s="161">
        <f t="shared" ref="DL335:DL344" si="977">AU335</f>
        <v>0</v>
      </c>
      <c r="DM335" s="161">
        <f t="shared" ref="DM335:DM344" si="978">AV335</f>
        <v>0</v>
      </c>
      <c r="DN335" s="161">
        <f t="shared" ref="DN335:DN344" si="979">AW335</f>
        <v>0</v>
      </c>
      <c r="DO335" s="161">
        <f t="shared" ref="DO335:DO344" si="980">AX335</f>
        <v>0</v>
      </c>
      <c r="DP335" s="161">
        <f t="shared" ref="DP335:DP344" si="981">AY335</f>
        <v>0</v>
      </c>
      <c r="DQ335" s="161">
        <f t="shared" ref="DQ335:DQ344" si="982">AZ335</f>
        <v>0</v>
      </c>
      <c r="DR335" s="161">
        <f t="shared" ref="DR335:DR344" si="983">BA335</f>
        <v>0</v>
      </c>
      <c r="DS335" s="161">
        <f t="shared" ref="DS335:DS344" si="984">BB335</f>
        <v>0</v>
      </c>
      <c r="DT335" s="161">
        <f t="shared" ref="DT335:DT344" si="985">BC335</f>
        <v>0</v>
      </c>
      <c r="DU335" s="161">
        <f t="shared" ref="DU335:DU344" si="986">BD335</f>
        <v>0</v>
      </c>
      <c r="DV335" s="161">
        <f t="shared" ref="DV335:DV344" si="987">BE335</f>
        <v>0</v>
      </c>
      <c r="DW335" s="161">
        <f t="shared" ref="DW335:DW344" si="988">BF335</f>
        <v>0</v>
      </c>
      <c r="DX335" s="161">
        <f t="shared" ref="DX335:DX344" si="989">BG335</f>
        <v>0</v>
      </c>
      <c r="DY335" s="161">
        <f t="shared" ref="DY335:DY344" si="990">BH335</f>
        <v>0</v>
      </c>
      <c r="DZ335" s="161">
        <f t="shared" ref="DZ335:DZ344" si="991">BI335</f>
        <v>0</v>
      </c>
      <c r="EA335" s="161">
        <f t="shared" ref="EA335:EA344" si="992">BJ335</f>
        <v>0</v>
      </c>
      <c r="EB335" s="161">
        <f t="shared" ref="EB335:EB344" si="993">BK335</f>
        <v>0</v>
      </c>
      <c r="EC335" s="161">
        <f t="shared" ref="EC335:EC344" si="994">BL335</f>
        <v>0</v>
      </c>
      <c r="ED335" s="161">
        <f t="shared" ref="ED335:ED344" si="995">BM335</f>
        <v>0</v>
      </c>
      <c r="EE335" s="161">
        <f t="shared" ref="EE335:EE344" si="996">BN335</f>
        <v>0</v>
      </c>
      <c r="EF335" s="161">
        <f t="shared" ref="EF335:EF344" si="997">BO335</f>
        <v>0</v>
      </c>
      <c r="EG335" s="161">
        <f t="shared" ref="EG335:EG344" si="998">BP335</f>
        <v>0</v>
      </c>
      <c r="EH335" s="161">
        <f t="shared" ref="EH335:EH344" si="999">BQ335</f>
        <v>0</v>
      </c>
      <c r="EI335" s="161">
        <f t="shared" ref="EI335:EI344" si="1000">BR335</f>
        <v>0</v>
      </c>
      <c r="EJ335" s="65"/>
      <c r="EK335" s="161">
        <f t="shared" si="931"/>
        <v>0</v>
      </c>
      <c r="EL335" s="161">
        <f t="shared" si="932"/>
        <v>0</v>
      </c>
      <c r="EM335" s="161">
        <f t="shared" si="933"/>
        <v>0</v>
      </c>
    </row>
    <row r="336" spans="1:143" ht="12" hidden="1" customHeight="1" outlineLevel="2">
      <c r="A336" s="77">
        <v>4</v>
      </c>
      <c r="B336" s="137" t="str">
        <f t="shared" si="928"/>
        <v>ENG/ARQ SR. - Equipe_01</v>
      </c>
      <c r="C336" s="65"/>
      <c r="D336" s="622"/>
      <c r="E336" s="65"/>
      <c r="F336" s="584"/>
      <c r="G336" s="77" t="str">
        <f>IF(INDEX(Tarefas!$BT$30:$FK$30,MATCH(A336,Tarefas!$BT$28:$FK$28,0))=0,"",INDEX(Tarefas!$BT$30:$FK$30,MATCH(A336,Tarefas!$BT$28:$FK$28,0)))</f>
        <v>ENG/ARQ SR.</v>
      </c>
      <c r="H336" s="107" cm="1">
        <f t="array" ref="H336">IFERROR((SUMPRODUCT((Tarefas!$N$32:$N$54='Cronog. e Histog.'!$F$333)*(Tarefas!$BQ$30:$FK$30='Cronog. e Histog.'!$G336)*(Tarefas!$BQ$32:$FK$54)))/SUMIF(Tarefas!$N$32:$N$54,'Cronog. e Histog.'!$F$333,Tarefas!$K$32:$K$54),0)</f>
        <v>1.1583011583011584E-2</v>
      </c>
      <c r="I336" s="79">
        <f t="shared" si="929"/>
        <v>1.1583011583011584E-2</v>
      </c>
      <c r="J336" s="65"/>
      <c r="K336" s="160">
        <f t="shared" si="930"/>
        <v>0.01</v>
      </c>
      <c r="L336" s="160">
        <f t="shared" si="930"/>
        <v>0.01</v>
      </c>
      <c r="M336" s="160">
        <f t="shared" si="930"/>
        <v>0.01</v>
      </c>
      <c r="N336" s="160">
        <f t="shared" si="930"/>
        <v>0.01</v>
      </c>
      <c r="O336" s="160">
        <f t="shared" si="930"/>
        <v>0.01</v>
      </c>
      <c r="P336" s="160">
        <f t="shared" si="930"/>
        <v>0.01</v>
      </c>
      <c r="Q336" s="160">
        <f t="shared" si="930"/>
        <v>0.01</v>
      </c>
      <c r="R336" s="160">
        <f t="shared" si="930"/>
        <v>0.01</v>
      </c>
      <c r="S336" s="160">
        <f t="shared" si="930"/>
        <v>0.01</v>
      </c>
      <c r="T336" s="160">
        <f t="shared" si="930"/>
        <v>0.01</v>
      </c>
      <c r="U336" s="160">
        <f t="shared" si="930"/>
        <v>0</v>
      </c>
      <c r="V336" s="160">
        <f t="shared" si="930"/>
        <v>0</v>
      </c>
      <c r="W336" s="160">
        <f t="shared" si="930"/>
        <v>0</v>
      </c>
      <c r="X336" s="160">
        <f t="shared" si="930"/>
        <v>0</v>
      </c>
      <c r="Y336" s="160">
        <f t="shared" si="930"/>
        <v>0</v>
      </c>
      <c r="Z336" s="160">
        <f t="shared" si="930"/>
        <v>0</v>
      </c>
      <c r="AA336" s="160">
        <f t="shared" si="934"/>
        <v>0</v>
      </c>
      <c r="AB336" s="160">
        <f t="shared" si="934"/>
        <v>0</v>
      </c>
      <c r="AC336" s="160">
        <f t="shared" si="934"/>
        <v>0</v>
      </c>
      <c r="AD336" s="160">
        <f t="shared" si="934"/>
        <v>0</v>
      </c>
      <c r="AE336" s="160">
        <f t="shared" si="934"/>
        <v>0</v>
      </c>
      <c r="AF336" s="160">
        <f t="shared" si="934"/>
        <v>0</v>
      </c>
      <c r="AG336" s="160">
        <f t="shared" si="934"/>
        <v>0</v>
      </c>
      <c r="AH336" s="160">
        <f t="shared" si="934"/>
        <v>0</v>
      </c>
      <c r="AI336" s="160">
        <f t="shared" si="934"/>
        <v>0</v>
      </c>
      <c r="AJ336" s="160">
        <f t="shared" si="934"/>
        <v>0</v>
      </c>
      <c r="AK336" s="160">
        <f t="shared" si="934"/>
        <v>0</v>
      </c>
      <c r="AL336" s="160">
        <f t="shared" si="934"/>
        <v>0</v>
      </c>
      <c r="AM336" s="160">
        <f t="shared" si="934"/>
        <v>0</v>
      </c>
      <c r="AN336" s="160">
        <f t="shared" si="934"/>
        <v>0</v>
      </c>
      <c r="AO336" s="160">
        <f t="shared" si="934"/>
        <v>0</v>
      </c>
      <c r="AP336" s="160">
        <f t="shared" si="934"/>
        <v>0</v>
      </c>
      <c r="AQ336" s="160">
        <f t="shared" si="935"/>
        <v>0</v>
      </c>
      <c r="AR336" s="160">
        <f t="shared" si="935"/>
        <v>0</v>
      </c>
      <c r="AS336" s="160">
        <f t="shared" si="935"/>
        <v>0</v>
      </c>
      <c r="AT336" s="160">
        <f t="shared" si="935"/>
        <v>0</v>
      </c>
      <c r="AU336" s="160">
        <f t="shared" si="935"/>
        <v>0</v>
      </c>
      <c r="AV336" s="160">
        <f t="shared" si="935"/>
        <v>0</v>
      </c>
      <c r="AW336" s="160">
        <f t="shared" si="935"/>
        <v>0</v>
      </c>
      <c r="AX336" s="160">
        <f t="shared" si="935"/>
        <v>0</v>
      </c>
      <c r="AY336" s="160">
        <f t="shared" si="935"/>
        <v>0</v>
      </c>
      <c r="AZ336" s="160">
        <f t="shared" si="935"/>
        <v>0</v>
      </c>
      <c r="BA336" s="160">
        <f t="shared" si="935"/>
        <v>0</v>
      </c>
      <c r="BB336" s="160">
        <f t="shared" si="935"/>
        <v>0</v>
      </c>
      <c r="BC336" s="160">
        <f t="shared" si="935"/>
        <v>0</v>
      </c>
      <c r="BD336" s="160">
        <f t="shared" si="935"/>
        <v>0</v>
      </c>
      <c r="BE336" s="160">
        <f t="shared" si="935"/>
        <v>0</v>
      </c>
      <c r="BF336" s="160">
        <f t="shared" si="935"/>
        <v>0</v>
      </c>
      <c r="BG336" s="160">
        <f t="shared" si="936"/>
        <v>0</v>
      </c>
      <c r="BH336" s="160">
        <f t="shared" si="936"/>
        <v>0</v>
      </c>
      <c r="BI336" s="160">
        <f t="shared" si="936"/>
        <v>0</v>
      </c>
      <c r="BJ336" s="160">
        <f t="shared" si="936"/>
        <v>0</v>
      </c>
      <c r="BK336" s="160">
        <f t="shared" si="936"/>
        <v>0</v>
      </c>
      <c r="BL336" s="160">
        <f t="shared" si="936"/>
        <v>0</v>
      </c>
      <c r="BM336" s="160">
        <f t="shared" si="936"/>
        <v>0</v>
      </c>
      <c r="BN336" s="160">
        <f t="shared" si="936"/>
        <v>0</v>
      </c>
      <c r="BO336" s="160">
        <f t="shared" si="936"/>
        <v>0</v>
      </c>
      <c r="BP336" s="160">
        <f t="shared" si="936"/>
        <v>0</v>
      </c>
      <c r="BQ336" s="160">
        <f t="shared" si="936"/>
        <v>0</v>
      </c>
      <c r="BR336" s="160">
        <f t="shared" si="936"/>
        <v>0</v>
      </c>
      <c r="BS336" s="65"/>
      <c r="BT336" s="160">
        <f t="shared" si="937"/>
        <v>9.9999999999999985E-3</v>
      </c>
      <c r="BU336" s="160">
        <f t="shared" si="938"/>
        <v>10</v>
      </c>
      <c r="BV336" s="65"/>
      <c r="BW336" s="69"/>
      <c r="BX336" s="65"/>
      <c r="BY336" s="137">
        <f t="shared" si="939"/>
        <v>1</v>
      </c>
      <c r="BZ336" s="137">
        <f>IF(BY336&gt;0,BY336+LARGE($BZ$213:BZ335,1),0)</f>
        <v>104</v>
      </c>
      <c r="CA336" s="137" t="str">
        <f t="shared" si="940"/>
        <v>ENG/ARQ SR.</v>
      </c>
      <c r="CB336" s="161">
        <f t="shared" si="941"/>
        <v>0.01</v>
      </c>
      <c r="CC336" s="161">
        <f t="shared" si="942"/>
        <v>0.01</v>
      </c>
      <c r="CD336" s="161">
        <f t="shared" si="943"/>
        <v>0.01</v>
      </c>
      <c r="CE336" s="161">
        <f t="shared" si="944"/>
        <v>0.01</v>
      </c>
      <c r="CF336" s="161">
        <f t="shared" si="945"/>
        <v>0.01</v>
      </c>
      <c r="CG336" s="161">
        <f t="shared" si="946"/>
        <v>0.01</v>
      </c>
      <c r="CH336" s="161">
        <f t="shared" si="947"/>
        <v>0.01</v>
      </c>
      <c r="CI336" s="161">
        <f t="shared" si="948"/>
        <v>0.01</v>
      </c>
      <c r="CJ336" s="161">
        <f t="shared" si="949"/>
        <v>0.01</v>
      </c>
      <c r="CK336" s="161">
        <f t="shared" si="950"/>
        <v>0.01</v>
      </c>
      <c r="CL336" s="161">
        <f t="shared" si="951"/>
        <v>0</v>
      </c>
      <c r="CM336" s="161">
        <f t="shared" si="952"/>
        <v>0</v>
      </c>
      <c r="CN336" s="161">
        <f t="shared" si="953"/>
        <v>0</v>
      </c>
      <c r="CO336" s="161">
        <f t="shared" si="954"/>
        <v>0</v>
      </c>
      <c r="CP336" s="161">
        <f t="shared" si="955"/>
        <v>0</v>
      </c>
      <c r="CQ336" s="161">
        <f t="shared" si="956"/>
        <v>0</v>
      </c>
      <c r="CR336" s="161">
        <f t="shared" si="957"/>
        <v>0</v>
      </c>
      <c r="CS336" s="161">
        <f t="shared" si="958"/>
        <v>0</v>
      </c>
      <c r="CT336" s="161">
        <f t="shared" si="959"/>
        <v>0</v>
      </c>
      <c r="CU336" s="161">
        <f t="shared" si="960"/>
        <v>0</v>
      </c>
      <c r="CV336" s="161">
        <f t="shared" si="961"/>
        <v>0</v>
      </c>
      <c r="CW336" s="161">
        <f t="shared" si="962"/>
        <v>0</v>
      </c>
      <c r="CX336" s="161">
        <f t="shared" si="963"/>
        <v>0</v>
      </c>
      <c r="CY336" s="161">
        <f t="shared" si="964"/>
        <v>0</v>
      </c>
      <c r="CZ336" s="161">
        <f t="shared" si="965"/>
        <v>0</v>
      </c>
      <c r="DA336" s="161">
        <f t="shared" si="966"/>
        <v>0</v>
      </c>
      <c r="DB336" s="161">
        <f t="shared" si="967"/>
        <v>0</v>
      </c>
      <c r="DC336" s="161">
        <f t="shared" si="968"/>
        <v>0</v>
      </c>
      <c r="DD336" s="161">
        <f t="shared" si="969"/>
        <v>0</v>
      </c>
      <c r="DE336" s="161">
        <f t="shared" si="970"/>
        <v>0</v>
      </c>
      <c r="DF336" s="161">
        <f t="shared" si="971"/>
        <v>0</v>
      </c>
      <c r="DG336" s="161">
        <f t="shared" si="972"/>
        <v>0</v>
      </c>
      <c r="DH336" s="161">
        <f t="shared" si="973"/>
        <v>0</v>
      </c>
      <c r="DI336" s="161">
        <f t="shared" si="974"/>
        <v>0</v>
      </c>
      <c r="DJ336" s="161">
        <f t="shared" si="975"/>
        <v>0</v>
      </c>
      <c r="DK336" s="161">
        <f t="shared" si="976"/>
        <v>0</v>
      </c>
      <c r="DL336" s="161">
        <f t="shared" si="977"/>
        <v>0</v>
      </c>
      <c r="DM336" s="161">
        <f t="shared" si="978"/>
        <v>0</v>
      </c>
      <c r="DN336" s="161">
        <f t="shared" si="979"/>
        <v>0</v>
      </c>
      <c r="DO336" s="161">
        <f t="shared" si="980"/>
        <v>0</v>
      </c>
      <c r="DP336" s="161">
        <f t="shared" si="981"/>
        <v>0</v>
      </c>
      <c r="DQ336" s="161">
        <f t="shared" si="982"/>
        <v>0</v>
      </c>
      <c r="DR336" s="161">
        <f t="shared" si="983"/>
        <v>0</v>
      </c>
      <c r="DS336" s="161">
        <f t="shared" si="984"/>
        <v>0</v>
      </c>
      <c r="DT336" s="161">
        <f t="shared" si="985"/>
        <v>0</v>
      </c>
      <c r="DU336" s="161">
        <f t="shared" si="986"/>
        <v>0</v>
      </c>
      <c r="DV336" s="161">
        <f t="shared" si="987"/>
        <v>0</v>
      </c>
      <c r="DW336" s="161">
        <f t="shared" si="988"/>
        <v>0</v>
      </c>
      <c r="DX336" s="161">
        <f t="shared" si="989"/>
        <v>0</v>
      </c>
      <c r="DY336" s="161">
        <f t="shared" si="990"/>
        <v>0</v>
      </c>
      <c r="DZ336" s="161">
        <f t="shared" si="991"/>
        <v>0</v>
      </c>
      <c r="EA336" s="161">
        <f t="shared" si="992"/>
        <v>0</v>
      </c>
      <c r="EB336" s="161">
        <f t="shared" si="993"/>
        <v>0</v>
      </c>
      <c r="EC336" s="161">
        <f t="shared" si="994"/>
        <v>0</v>
      </c>
      <c r="ED336" s="161">
        <f t="shared" si="995"/>
        <v>0</v>
      </c>
      <c r="EE336" s="161">
        <f t="shared" si="996"/>
        <v>0</v>
      </c>
      <c r="EF336" s="161">
        <f t="shared" si="997"/>
        <v>0</v>
      </c>
      <c r="EG336" s="161">
        <f t="shared" si="998"/>
        <v>0</v>
      </c>
      <c r="EH336" s="161">
        <f t="shared" si="999"/>
        <v>0</v>
      </c>
      <c r="EI336" s="161">
        <f t="shared" si="1000"/>
        <v>0</v>
      </c>
      <c r="EJ336" s="65"/>
      <c r="EK336" s="161">
        <f t="shared" si="931"/>
        <v>0</v>
      </c>
      <c r="EL336" s="161">
        <f t="shared" si="932"/>
        <v>0</v>
      </c>
      <c r="EM336" s="161">
        <f t="shared" si="933"/>
        <v>0</v>
      </c>
    </row>
    <row r="337" spans="1:143" ht="12" hidden="1" customHeight="1" outlineLevel="2">
      <c r="A337" s="77">
        <v>5</v>
      </c>
      <c r="B337" s="137" t="str">
        <f t="shared" si="928"/>
        <v>ENG/ARQ PL. - Equipe_01</v>
      </c>
      <c r="C337" s="65"/>
      <c r="D337" s="622"/>
      <c r="E337" s="65"/>
      <c r="F337" s="584"/>
      <c r="G337" s="77" t="str">
        <f>IF(INDEX(Tarefas!$BT$30:$FK$30,MATCH(A337,Tarefas!$BT$28:$FK$28,0))=0,"",INDEX(Tarefas!$BT$30:$FK$30,MATCH(A337,Tarefas!$BT$28:$FK$28,0)))</f>
        <v>ENG/ARQ PL.</v>
      </c>
      <c r="H337" s="107" cm="1">
        <f t="array" ref="H337">IFERROR((SUMPRODUCT((Tarefas!$N$32:$N$54='Cronog. e Histog.'!$F$333)*(Tarefas!$BQ$30:$FK$30='Cronog. e Histog.'!$G337)*(Tarefas!$BQ$32:$FK$54)))/SUMIF(Tarefas!$N$32:$N$54,'Cronog. e Histog.'!$F$333,Tarefas!$K$32:$K$54),0)</f>
        <v>0</v>
      </c>
      <c r="I337" s="79">
        <f t="shared" si="929"/>
        <v>0</v>
      </c>
      <c r="J337" s="65"/>
      <c r="K337" s="160">
        <f t="shared" si="930"/>
        <v>0</v>
      </c>
      <c r="L337" s="160">
        <f t="shared" si="930"/>
        <v>0</v>
      </c>
      <c r="M337" s="160">
        <f t="shared" si="930"/>
        <v>0</v>
      </c>
      <c r="N337" s="160">
        <f t="shared" si="930"/>
        <v>0</v>
      </c>
      <c r="O337" s="160">
        <f t="shared" si="930"/>
        <v>0</v>
      </c>
      <c r="P337" s="160">
        <f t="shared" si="930"/>
        <v>0</v>
      </c>
      <c r="Q337" s="160">
        <f t="shared" si="930"/>
        <v>0</v>
      </c>
      <c r="R337" s="160">
        <f t="shared" si="930"/>
        <v>0</v>
      </c>
      <c r="S337" s="160">
        <f t="shared" si="930"/>
        <v>0</v>
      </c>
      <c r="T337" s="160">
        <f t="shared" si="930"/>
        <v>0</v>
      </c>
      <c r="U337" s="160">
        <f t="shared" si="930"/>
        <v>0</v>
      </c>
      <c r="V337" s="160">
        <f t="shared" si="930"/>
        <v>0</v>
      </c>
      <c r="W337" s="160">
        <f t="shared" si="930"/>
        <v>0</v>
      </c>
      <c r="X337" s="160">
        <f t="shared" si="930"/>
        <v>0</v>
      </c>
      <c r="Y337" s="160">
        <f t="shared" si="930"/>
        <v>0</v>
      </c>
      <c r="Z337" s="160">
        <f t="shared" si="930"/>
        <v>0</v>
      </c>
      <c r="AA337" s="160">
        <f t="shared" si="934"/>
        <v>0</v>
      </c>
      <c r="AB337" s="160">
        <f t="shared" si="934"/>
        <v>0</v>
      </c>
      <c r="AC337" s="160">
        <f t="shared" si="934"/>
        <v>0</v>
      </c>
      <c r="AD337" s="160">
        <f t="shared" si="934"/>
        <v>0</v>
      </c>
      <c r="AE337" s="160">
        <f t="shared" si="934"/>
        <v>0</v>
      </c>
      <c r="AF337" s="160">
        <f t="shared" si="934"/>
        <v>0</v>
      </c>
      <c r="AG337" s="160">
        <f t="shared" si="934"/>
        <v>0</v>
      </c>
      <c r="AH337" s="160">
        <f t="shared" si="934"/>
        <v>0</v>
      </c>
      <c r="AI337" s="160">
        <f t="shared" si="934"/>
        <v>0</v>
      </c>
      <c r="AJ337" s="160">
        <f t="shared" si="934"/>
        <v>0</v>
      </c>
      <c r="AK337" s="160">
        <f t="shared" si="934"/>
        <v>0</v>
      </c>
      <c r="AL337" s="160">
        <f t="shared" si="934"/>
        <v>0</v>
      </c>
      <c r="AM337" s="160">
        <f t="shared" si="934"/>
        <v>0</v>
      </c>
      <c r="AN337" s="160">
        <f t="shared" si="934"/>
        <v>0</v>
      </c>
      <c r="AO337" s="160">
        <f t="shared" si="934"/>
        <v>0</v>
      </c>
      <c r="AP337" s="160">
        <f t="shared" si="934"/>
        <v>0</v>
      </c>
      <c r="AQ337" s="160">
        <f t="shared" si="935"/>
        <v>0</v>
      </c>
      <c r="AR337" s="160">
        <f t="shared" si="935"/>
        <v>0</v>
      </c>
      <c r="AS337" s="160">
        <f t="shared" si="935"/>
        <v>0</v>
      </c>
      <c r="AT337" s="160">
        <f t="shared" si="935"/>
        <v>0</v>
      </c>
      <c r="AU337" s="160">
        <f t="shared" si="935"/>
        <v>0</v>
      </c>
      <c r="AV337" s="160">
        <f t="shared" si="935"/>
        <v>0</v>
      </c>
      <c r="AW337" s="160">
        <f t="shared" si="935"/>
        <v>0</v>
      </c>
      <c r="AX337" s="160">
        <f t="shared" si="935"/>
        <v>0</v>
      </c>
      <c r="AY337" s="160">
        <f t="shared" si="935"/>
        <v>0</v>
      </c>
      <c r="AZ337" s="160">
        <f t="shared" si="935"/>
        <v>0</v>
      </c>
      <c r="BA337" s="160">
        <f t="shared" si="935"/>
        <v>0</v>
      </c>
      <c r="BB337" s="160">
        <f t="shared" si="935"/>
        <v>0</v>
      </c>
      <c r="BC337" s="160">
        <f t="shared" si="935"/>
        <v>0</v>
      </c>
      <c r="BD337" s="160">
        <f t="shared" si="935"/>
        <v>0</v>
      </c>
      <c r="BE337" s="160">
        <f t="shared" si="935"/>
        <v>0</v>
      </c>
      <c r="BF337" s="160">
        <f t="shared" si="935"/>
        <v>0</v>
      </c>
      <c r="BG337" s="160">
        <f t="shared" si="936"/>
        <v>0</v>
      </c>
      <c r="BH337" s="160">
        <f t="shared" si="936"/>
        <v>0</v>
      </c>
      <c r="BI337" s="160">
        <f t="shared" si="936"/>
        <v>0</v>
      </c>
      <c r="BJ337" s="160">
        <f t="shared" si="936"/>
        <v>0</v>
      </c>
      <c r="BK337" s="160">
        <f t="shared" si="936"/>
        <v>0</v>
      </c>
      <c r="BL337" s="160">
        <f t="shared" si="936"/>
        <v>0</v>
      </c>
      <c r="BM337" s="160">
        <f t="shared" si="936"/>
        <v>0</v>
      </c>
      <c r="BN337" s="160">
        <f t="shared" si="936"/>
        <v>0</v>
      </c>
      <c r="BO337" s="160">
        <f t="shared" si="936"/>
        <v>0</v>
      </c>
      <c r="BP337" s="160">
        <f t="shared" si="936"/>
        <v>0</v>
      </c>
      <c r="BQ337" s="160">
        <f t="shared" si="936"/>
        <v>0</v>
      </c>
      <c r="BR337" s="160">
        <f t="shared" si="936"/>
        <v>0</v>
      </c>
      <c r="BS337" s="65"/>
      <c r="BT337" s="160">
        <f t="shared" si="937"/>
        <v>0</v>
      </c>
      <c r="BU337" s="160">
        <f t="shared" si="938"/>
        <v>0</v>
      </c>
      <c r="BV337" s="65"/>
      <c r="BW337" s="69"/>
      <c r="BX337" s="65"/>
      <c r="BY337" s="137">
        <f t="shared" si="939"/>
        <v>1</v>
      </c>
      <c r="BZ337" s="137">
        <f>IF(BY337&gt;0,BY337+LARGE($BZ$213:BZ336,1),0)</f>
        <v>105</v>
      </c>
      <c r="CA337" s="137" t="str">
        <f t="shared" si="940"/>
        <v>ENG/ARQ PL.</v>
      </c>
      <c r="CB337" s="161">
        <f t="shared" si="941"/>
        <v>0</v>
      </c>
      <c r="CC337" s="161">
        <f t="shared" si="942"/>
        <v>0</v>
      </c>
      <c r="CD337" s="161">
        <f t="shared" si="943"/>
        <v>0</v>
      </c>
      <c r="CE337" s="161">
        <f t="shared" si="944"/>
        <v>0</v>
      </c>
      <c r="CF337" s="161">
        <f t="shared" si="945"/>
        <v>0</v>
      </c>
      <c r="CG337" s="161">
        <f t="shared" si="946"/>
        <v>0</v>
      </c>
      <c r="CH337" s="161">
        <f t="shared" si="947"/>
        <v>0</v>
      </c>
      <c r="CI337" s="161">
        <f t="shared" si="948"/>
        <v>0</v>
      </c>
      <c r="CJ337" s="161">
        <f t="shared" si="949"/>
        <v>0</v>
      </c>
      <c r="CK337" s="161">
        <f t="shared" si="950"/>
        <v>0</v>
      </c>
      <c r="CL337" s="161">
        <f t="shared" si="951"/>
        <v>0</v>
      </c>
      <c r="CM337" s="161">
        <f t="shared" si="952"/>
        <v>0</v>
      </c>
      <c r="CN337" s="161">
        <f t="shared" si="953"/>
        <v>0</v>
      </c>
      <c r="CO337" s="161">
        <f t="shared" si="954"/>
        <v>0</v>
      </c>
      <c r="CP337" s="161">
        <f t="shared" si="955"/>
        <v>0</v>
      </c>
      <c r="CQ337" s="161">
        <f t="shared" si="956"/>
        <v>0</v>
      </c>
      <c r="CR337" s="161">
        <f t="shared" si="957"/>
        <v>0</v>
      </c>
      <c r="CS337" s="161">
        <f t="shared" si="958"/>
        <v>0</v>
      </c>
      <c r="CT337" s="161">
        <f t="shared" si="959"/>
        <v>0</v>
      </c>
      <c r="CU337" s="161">
        <f t="shared" si="960"/>
        <v>0</v>
      </c>
      <c r="CV337" s="161">
        <f t="shared" si="961"/>
        <v>0</v>
      </c>
      <c r="CW337" s="161">
        <f t="shared" si="962"/>
        <v>0</v>
      </c>
      <c r="CX337" s="161">
        <f t="shared" si="963"/>
        <v>0</v>
      </c>
      <c r="CY337" s="161">
        <f t="shared" si="964"/>
        <v>0</v>
      </c>
      <c r="CZ337" s="161">
        <f t="shared" si="965"/>
        <v>0</v>
      </c>
      <c r="DA337" s="161">
        <f t="shared" si="966"/>
        <v>0</v>
      </c>
      <c r="DB337" s="161">
        <f t="shared" si="967"/>
        <v>0</v>
      </c>
      <c r="DC337" s="161">
        <f t="shared" si="968"/>
        <v>0</v>
      </c>
      <c r="DD337" s="161">
        <f t="shared" si="969"/>
        <v>0</v>
      </c>
      <c r="DE337" s="161">
        <f t="shared" si="970"/>
        <v>0</v>
      </c>
      <c r="DF337" s="161">
        <f t="shared" si="971"/>
        <v>0</v>
      </c>
      <c r="DG337" s="161">
        <f t="shared" si="972"/>
        <v>0</v>
      </c>
      <c r="DH337" s="161">
        <f t="shared" si="973"/>
        <v>0</v>
      </c>
      <c r="DI337" s="161">
        <f t="shared" si="974"/>
        <v>0</v>
      </c>
      <c r="DJ337" s="161">
        <f t="shared" si="975"/>
        <v>0</v>
      </c>
      <c r="DK337" s="161">
        <f t="shared" si="976"/>
        <v>0</v>
      </c>
      <c r="DL337" s="161">
        <f t="shared" si="977"/>
        <v>0</v>
      </c>
      <c r="DM337" s="161">
        <f t="shared" si="978"/>
        <v>0</v>
      </c>
      <c r="DN337" s="161">
        <f t="shared" si="979"/>
        <v>0</v>
      </c>
      <c r="DO337" s="161">
        <f t="shared" si="980"/>
        <v>0</v>
      </c>
      <c r="DP337" s="161">
        <f t="shared" si="981"/>
        <v>0</v>
      </c>
      <c r="DQ337" s="161">
        <f t="shared" si="982"/>
        <v>0</v>
      </c>
      <c r="DR337" s="161">
        <f t="shared" si="983"/>
        <v>0</v>
      </c>
      <c r="DS337" s="161">
        <f t="shared" si="984"/>
        <v>0</v>
      </c>
      <c r="DT337" s="161">
        <f t="shared" si="985"/>
        <v>0</v>
      </c>
      <c r="DU337" s="161">
        <f t="shared" si="986"/>
        <v>0</v>
      </c>
      <c r="DV337" s="161">
        <f t="shared" si="987"/>
        <v>0</v>
      </c>
      <c r="DW337" s="161">
        <f t="shared" si="988"/>
        <v>0</v>
      </c>
      <c r="DX337" s="161">
        <f t="shared" si="989"/>
        <v>0</v>
      </c>
      <c r="DY337" s="161">
        <f t="shared" si="990"/>
        <v>0</v>
      </c>
      <c r="DZ337" s="161">
        <f t="shared" si="991"/>
        <v>0</v>
      </c>
      <c r="EA337" s="161">
        <f t="shared" si="992"/>
        <v>0</v>
      </c>
      <c r="EB337" s="161">
        <f t="shared" si="993"/>
        <v>0</v>
      </c>
      <c r="EC337" s="161">
        <f t="shared" si="994"/>
        <v>0</v>
      </c>
      <c r="ED337" s="161">
        <f t="shared" si="995"/>
        <v>0</v>
      </c>
      <c r="EE337" s="161">
        <f t="shared" si="996"/>
        <v>0</v>
      </c>
      <c r="EF337" s="161">
        <f t="shared" si="997"/>
        <v>0</v>
      </c>
      <c r="EG337" s="161">
        <f t="shared" si="998"/>
        <v>0</v>
      </c>
      <c r="EH337" s="161">
        <f t="shared" si="999"/>
        <v>0</v>
      </c>
      <c r="EI337" s="161">
        <f t="shared" si="1000"/>
        <v>0</v>
      </c>
      <c r="EJ337" s="65"/>
      <c r="EK337" s="161">
        <f t="shared" si="931"/>
        <v>0</v>
      </c>
      <c r="EL337" s="161">
        <f t="shared" si="932"/>
        <v>0</v>
      </c>
      <c r="EM337" s="161">
        <f t="shared" si="933"/>
        <v>0</v>
      </c>
    </row>
    <row r="338" spans="1:143" ht="12" hidden="1" customHeight="1" outlineLevel="2">
      <c r="A338" s="77">
        <v>6</v>
      </c>
      <c r="B338" s="137" t="str">
        <f t="shared" si="928"/>
        <v>ENG/ARQ JR. - Equipe_01</v>
      </c>
      <c r="C338" s="65"/>
      <c r="D338" s="622"/>
      <c r="E338" s="65"/>
      <c r="F338" s="584"/>
      <c r="G338" s="77" t="str">
        <f>IF(INDEX(Tarefas!$BT$30:$FK$30,MATCH(A338,Tarefas!$BT$28:$FK$28,0))=0,"",INDEX(Tarefas!$BT$30:$FK$30,MATCH(A338,Tarefas!$BT$28:$FK$28,0)))</f>
        <v>ENG/ARQ JR.</v>
      </c>
      <c r="H338" s="107" cm="1">
        <f t="array" ref="H338">IFERROR((SUMPRODUCT((Tarefas!$N$32:$N$54='Cronog. e Histog.'!$F$333)*(Tarefas!$BQ$30:$FK$30='Cronog. e Histog.'!$G338)*(Tarefas!$BQ$32:$FK$54)))/SUMIF(Tarefas!$N$32:$N$54,'Cronog. e Histog.'!$F$333,Tarefas!$K$32:$K$54),0)</f>
        <v>0</v>
      </c>
      <c r="I338" s="79">
        <f t="shared" si="929"/>
        <v>0</v>
      </c>
      <c r="J338" s="65"/>
      <c r="K338" s="160">
        <f t="shared" si="930"/>
        <v>0</v>
      </c>
      <c r="L338" s="160">
        <f t="shared" si="930"/>
        <v>0</v>
      </c>
      <c r="M338" s="160">
        <f t="shared" si="930"/>
        <v>0</v>
      </c>
      <c r="N338" s="160">
        <f t="shared" si="930"/>
        <v>0</v>
      </c>
      <c r="O338" s="160">
        <f t="shared" si="930"/>
        <v>0</v>
      </c>
      <c r="P338" s="160">
        <f t="shared" si="930"/>
        <v>0</v>
      </c>
      <c r="Q338" s="160">
        <f t="shared" si="930"/>
        <v>0</v>
      </c>
      <c r="R338" s="160">
        <f t="shared" si="930"/>
        <v>0</v>
      </c>
      <c r="S338" s="160">
        <f t="shared" si="930"/>
        <v>0</v>
      </c>
      <c r="T338" s="160">
        <f t="shared" si="930"/>
        <v>0</v>
      </c>
      <c r="U338" s="160">
        <f t="shared" si="930"/>
        <v>0</v>
      </c>
      <c r="V338" s="160">
        <f t="shared" si="930"/>
        <v>0</v>
      </c>
      <c r="W338" s="160">
        <f t="shared" si="930"/>
        <v>0</v>
      </c>
      <c r="X338" s="160">
        <f t="shared" si="930"/>
        <v>0</v>
      </c>
      <c r="Y338" s="160">
        <f t="shared" si="930"/>
        <v>0</v>
      </c>
      <c r="Z338" s="160">
        <f t="shared" si="930"/>
        <v>0</v>
      </c>
      <c r="AA338" s="160">
        <f t="shared" si="934"/>
        <v>0</v>
      </c>
      <c r="AB338" s="160">
        <f t="shared" si="934"/>
        <v>0</v>
      </c>
      <c r="AC338" s="160">
        <f t="shared" si="934"/>
        <v>0</v>
      </c>
      <c r="AD338" s="160">
        <f t="shared" si="934"/>
        <v>0</v>
      </c>
      <c r="AE338" s="160">
        <f t="shared" si="934"/>
        <v>0</v>
      </c>
      <c r="AF338" s="160">
        <f t="shared" si="934"/>
        <v>0</v>
      </c>
      <c r="AG338" s="160">
        <f t="shared" si="934"/>
        <v>0</v>
      </c>
      <c r="AH338" s="160">
        <f t="shared" si="934"/>
        <v>0</v>
      </c>
      <c r="AI338" s="160">
        <f t="shared" si="934"/>
        <v>0</v>
      </c>
      <c r="AJ338" s="160">
        <f t="shared" si="934"/>
        <v>0</v>
      </c>
      <c r="AK338" s="160">
        <f t="shared" si="934"/>
        <v>0</v>
      </c>
      <c r="AL338" s="160">
        <f t="shared" si="934"/>
        <v>0</v>
      </c>
      <c r="AM338" s="160">
        <f t="shared" si="934"/>
        <v>0</v>
      </c>
      <c r="AN338" s="160">
        <f t="shared" si="934"/>
        <v>0</v>
      </c>
      <c r="AO338" s="160">
        <f t="shared" si="934"/>
        <v>0</v>
      </c>
      <c r="AP338" s="160">
        <f t="shared" si="934"/>
        <v>0</v>
      </c>
      <c r="AQ338" s="160">
        <f t="shared" si="935"/>
        <v>0</v>
      </c>
      <c r="AR338" s="160">
        <f t="shared" si="935"/>
        <v>0</v>
      </c>
      <c r="AS338" s="160">
        <f t="shared" si="935"/>
        <v>0</v>
      </c>
      <c r="AT338" s="160">
        <f t="shared" si="935"/>
        <v>0</v>
      </c>
      <c r="AU338" s="160">
        <f t="shared" si="935"/>
        <v>0</v>
      </c>
      <c r="AV338" s="160">
        <f t="shared" si="935"/>
        <v>0</v>
      </c>
      <c r="AW338" s="160">
        <f t="shared" si="935"/>
        <v>0</v>
      </c>
      <c r="AX338" s="160">
        <f t="shared" si="935"/>
        <v>0</v>
      </c>
      <c r="AY338" s="160">
        <f t="shared" si="935"/>
        <v>0</v>
      </c>
      <c r="AZ338" s="160">
        <f t="shared" si="935"/>
        <v>0</v>
      </c>
      <c r="BA338" s="160">
        <f t="shared" si="935"/>
        <v>0</v>
      </c>
      <c r="BB338" s="160">
        <f t="shared" si="935"/>
        <v>0</v>
      </c>
      <c r="BC338" s="160">
        <f t="shared" si="935"/>
        <v>0</v>
      </c>
      <c r="BD338" s="160">
        <f t="shared" si="935"/>
        <v>0</v>
      </c>
      <c r="BE338" s="160">
        <f t="shared" si="935"/>
        <v>0</v>
      </c>
      <c r="BF338" s="160">
        <f t="shared" si="935"/>
        <v>0</v>
      </c>
      <c r="BG338" s="160">
        <f t="shared" si="936"/>
        <v>0</v>
      </c>
      <c r="BH338" s="160">
        <f t="shared" si="936"/>
        <v>0</v>
      </c>
      <c r="BI338" s="160">
        <f t="shared" si="936"/>
        <v>0</v>
      </c>
      <c r="BJ338" s="160">
        <f t="shared" si="936"/>
        <v>0</v>
      </c>
      <c r="BK338" s="160">
        <f t="shared" si="936"/>
        <v>0</v>
      </c>
      <c r="BL338" s="160">
        <f t="shared" si="936"/>
        <v>0</v>
      </c>
      <c r="BM338" s="160">
        <f t="shared" si="936"/>
        <v>0</v>
      </c>
      <c r="BN338" s="160">
        <f t="shared" si="936"/>
        <v>0</v>
      </c>
      <c r="BO338" s="160">
        <f t="shared" si="936"/>
        <v>0</v>
      </c>
      <c r="BP338" s="160">
        <f t="shared" si="936"/>
        <v>0</v>
      </c>
      <c r="BQ338" s="160">
        <f t="shared" si="936"/>
        <v>0</v>
      </c>
      <c r="BR338" s="160">
        <f t="shared" si="936"/>
        <v>0</v>
      </c>
      <c r="BS338" s="65"/>
      <c r="BT338" s="160">
        <f t="shared" si="937"/>
        <v>0</v>
      </c>
      <c r="BU338" s="160">
        <f t="shared" si="938"/>
        <v>0</v>
      </c>
      <c r="BV338" s="65"/>
      <c r="BW338" s="69"/>
      <c r="BX338" s="65"/>
      <c r="BY338" s="137">
        <f t="shared" si="939"/>
        <v>1</v>
      </c>
      <c r="BZ338" s="137">
        <f>IF(BY338&gt;0,BY338+LARGE($BZ$213:BZ337,1),0)</f>
        <v>106</v>
      </c>
      <c r="CA338" s="137" t="str">
        <f t="shared" si="940"/>
        <v>ENG/ARQ JR.</v>
      </c>
      <c r="CB338" s="161">
        <f t="shared" si="941"/>
        <v>0</v>
      </c>
      <c r="CC338" s="161">
        <f t="shared" si="942"/>
        <v>0</v>
      </c>
      <c r="CD338" s="161">
        <f t="shared" si="943"/>
        <v>0</v>
      </c>
      <c r="CE338" s="161">
        <f t="shared" si="944"/>
        <v>0</v>
      </c>
      <c r="CF338" s="161">
        <f t="shared" si="945"/>
        <v>0</v>
      </c>
      <c r="CG338" s="161">
        <f t="shared" si="946"/>
        <v>0</v>
      </c>
      <c r="CH338" s="161">
        <f t="shared" si="947"/>
        <v>0</v>
      </c>
      <c r="CI338" s="161">
        <f t="shared" si="948"/>
        <v>0</v>
      </c>
      <c r="CJ338" s="161">
        <f t="shared" si="949"/>
        <v>0</v>
      </c>
      <c r="CK338" s="161">
        <f t="shared" si="950"/>
        <v>0</v>
      </c>
      <c r="CL338" s="161">
        <f t="shared" si="951"/>
        <v>0</v>
      </c>
      <c r="CM338" s="161">
        <f t="shared" si="952"/>
        <v>0</v>
      </c>
      <c r="CN338" s="161">
        <f t="shared" si="953"/>
        <v>0</v>
      </c>
      <c r="CO338" s="161">
        <f t="shared" si="954"/>
        <v>0</v>
      </c>
      <c r="CP338" s="161">
        <f t="shared" si="955"/>
        <v>0</v>
      </c>
      <c r="CQ338" s="161">
        <f t="shared" si="956"/>
        <v>0</v>
      </c>
      <c r="CR338" s="161">
        <f t="shared" si="957"/>
        <v>0</v>
      </c>
      <c r="CS338" s="161">
        <f t="shared" si="958"/>
        <v>0</v>
      </c>
      <c r="CT338" s="161">
        <f t="shared" si="959"/>
        <v>0</v>
      </c>
      <c r="CU338" s="161">
        <f t="shared" si="960"/>
        <v>0</v>
      </c>
      <c r="CV338" s="161">
        <f t="shared" si="961"/>
        <v>0</v>
      </c>
      <c r="CW338" s="161">
        <f t="shared" si="962"/>
        <v>0</v>
      </c>
      <c r="CX338" s="161">
        <f t="shared" si="963"/>
        <v>0</v>
      </c>
      <c r="CY338" s="161">
        <f t="shared" si="964"/>
        <v>0</v>
      </c>
      <c r="CZ338" s="161">
        <f t="shared" si="965"/>
        <v>0</v>
      </c>
      <c r="DA338" s="161">
        <f t="shared" si="966"/>
        <v>0</v>
      </c>
      <c r="DB338" s="161">
        <f t="shared" si="967"/>
        <v>0</v>
      </c>
      <c r="DC338" s="161">
        <f t="shared" si="968"/>
        <v>0</v>
      </c>
      <c r="DD338" s="161">
        <f t="shared" si="969"/>
        <v>0</v>
      </c>
      <c r="DE338" s="161">
        <f t="shared" si="970"/>
        <v>0</v>
      </c>
      <c r="DF338" s="161">
        <f t="shared" si="971"/>
        <v>0</v>
      </c>
      <c r="DG338" s="161">
        <f t="shared" si="972"/>
        <v>0</v>
      </c>
      <c r="DH338" s="161">
        <f t="shared" si="973"/>
        <v>0</v>
      </c>
      <c r="DI338" s="161">
        <f t="shared" si="974"/>
        <v>0</v>
      </c>
      <c r="DJ338" s="161">
        <f t="shared" si="975"/>
        <v>0</v>
      </c>
      <c r="DK338" s="161">
        <f t="shared" si="976"/>
        <v>0</v>
      </c>
      <c r="DL338" s="161">
        <f t="shared" si="977"/>
        <v>0</v>
      </c>
      <c r="DM338" s="161">
        <f t="shared" si="978"/>
        <v>0</v>
      </c>
      <c r="DN338" s="161">
        <f t="shared" si="979"/>
        <v>0</v>
      </c>
      <c r="DO338" s="161">
        <f t="shared" si="980"/>
        <v>0</v>
      </c>
      <c r="DP338" s="161">
        <f t="shared" si="981"/>
        <v>0</v>
      </c>
      <c r="DQ338" s="161">
        <f t="shared" si="982"/>
        <v>0</v>
      </c>
      <c r="DR338" s="161">
        <f t="shared" si="983"/>
        <v>0</v>
      </c>
      <c r="DS338" s="161">
        <f t="shared" si="984"/>
        <v>0</v>
      </c>
      <c r="DT338" s="161">
        <f t="shared" si="985"/>
        <v>0</v>
      </c>
      <c r="DU338" s="161">
        <f t="shared" si="986"/>
        <v>0</v>
      </c>
      <c r="DV338" s="161">
        <f t="shared" si="987"/>
        <v>0</v>
      </c>
      <c r="DW338" s="161">
        <f t="shared" si="988"/>
        <v>0</v>
      </c>
      <c r="DX338" s="161">
        <f t="shared" si="989"/>
        <v>0</v>
      </c>
      <c r="DY338" s="161">
        <f t="shared" si="990"/>
        <v>0</v>
      </c>
      <c r="DZ338" s="161">
        <f t="shared" si="991"/>
        <v>0</v>
      </c>
      <c r="EA338" s="161">
        <f t="shared" si="992"/>
        <v>0</v>
      </c>
      <c r="EB338" s="161">
        <f t="shared" si="993"/>
        <v>0</v>
      </c>
      <c r="EC338" s="161">
        <f t="shared" si="994"/>
        <v>0</v>
      </c>
      <c r="ED338" s="161">
        <f t="shared" si="995"/>
        <v>0</v>
      </c>
      <c r="EE338" s="161">
        <f t="shared" si="996"/>
        <v>0</v>
      </c>
      <c r="EF338" s="161">
        <f t="shared" si="997"/>
        <v>0</v>
      </c>
      <c r="EG338" s="161">
        <f t="shared" si="998"/>
        <v>0</v>
      </c>
      <c r="EH338" s="161">
        <f t="shared" si="999"/>
        <v>0</v>
      </c>
      <c r="EI338" s="161">
        <f t="shared" si="1000"/>
        <v>0</v>
      </c>
      <c r="EJ338" s="65"/>
      <c r="EK338" s="161">
        <f t="shared" si="931"/>
        <v>0</v>
      </c>
      <c r="EL338" s="161">
        <f t="shared" si="932"/>
        <v>0</v>
      </c>
      <c r="EM338" s="161">
        <f t="shared" si="933"/>
        <v>0</v>
      </c>
    </row>
    <row r="339" spans="1:143" ht="12" hidden="1" customHeight="1" outlineLevel="2">
      <c r="A339" s="77">
        <v>7</v>
      </c>
      <c r="B339" s="137" t="str">
        <f t="shared" si="928"/>
        <v>AN SR. ENG/ARQ - Equipe_01</v>
      </c>
      <c r="C339" s="65"/>
      <c r="D339" s="622"/>
      <c r="E339" s="65"/>
      <c r="F339" s="584"/>
      <c r="G339" s="77" t="str">
        <f>IF(INDEX(Tarefas!$BT$30:$FK$30,MATCH(A339,Tarefas!$BT$28:$FK$28,0))=0,"",INDEX(Tarefas!$BT$30:$FK$30,MATCH(A339,Tarefas!$BT$28:$FK$28,0)))</f>
        <v>AN SR. ENG/ARQ</v>
      </c>
      <c r="H339" s="107" cm="1">
        <f t="array" ref="H339">IFERROR((SUMPRODUCT((Tarefas!$N$32:$N$54='Cronog. e Histog.'!$F$333)*(Tarefas!$BQ$30:$FK$30='Cronog. e Histog.'!$G339)*(Tarefas!$BQ$32:$FK$54)))/SUMIF(Tarefas!$N$32:$N$54,'Cronog. e Histog.'!$F$333,Tarefas!$K$32:$K$54),0)</f>
        <v>0</v>
      </c>
      <c r="I339" s="79">
        <f t="shared" si="929"/>
        <v>0</v>
      </c>
      <c r="J339" s="65"/>
      <c r="K339" s="160">
        <f t="shared" si="930"/>
        <v>0</v>
      </c>
      <c r="L339" s="160">
        <f t="shared" si="930"/>
        <v>0</v>
      </c>
      <c r="M339" s="160">
        <f t="shared" si="930"/>
        <v>0</v>
      </c>
      <c r="N339" s="160">
        <f t="shared" si="930"/>
        <v>0</v>
      </c>
      <c r="O339" s="160">
        <f t="shared" si="930"/>
        <v>0</v>
      </c>
      <c r="P339" s="160">
        <f t="shared" si="930"/>
        <v>0</v>
      </c>
      <c r="Q339" s="160">
        <f t="shared" si="930"/>
        <v>0</v>
      </c>
      <c r="R339" s="160">
        <f t="shared" si="930"/>
        <v>0</v>
      </c>
      <c r="S339" s="160">
        <f t="shared" si="930"/>
        <v>0</v>
      </c>
      <c r="T339" s="160">
        <f t="shared" si="930"/>
        <v>0</v>
      </c>
      <c r="U339" s="160">
        <f t="shared" si="930"/>
        <v>0</v>
      </c>
      <c r="V339" s="160">
        <f t="shared" si="930"/>
        <v>0</v>
      </c>
      <c r="W339" s="160">
        <f t="shared" si="930"/>
        <v>0</v>
      </c>
      <c r="X339" s="160">
        <f t="shared" si="930"/>
        <v>0</v>
      </c>
      <c r="Y339" s="160">
        <f t="shared" si="930"/>
        <v>0</v>
      </c>
      <c r="Z339" s="160">
        <f t="shared" si="930"/>
        <v>0</v>
      </c>
      <c r="AA339" s="160">
        <f t="shared" si="934"/>
        <v>0</v>
      </c>
      <c r="AB339" s="160">
        <f t="shared" si="934"/>
        <v>0</v>
      </c>
      <c r="AC339" s="160">
        <f t="shared" si="934"/>
        <v>0</v>
      </c>
      <c r="AD339" s="160">
        <f t="shared" si="934"/>
        <v>0</v>
      </c>
      <c r="AE339" s="160">
        <f t="shared" si="934"/>
        <v>0</v>
      </c>
      <c r="AF339" s="160">
        <f t="shared" si="934"/>
        <v>0</v>
      </c>
      <c r="AG339" s="160">
        <f t="shared" si="934"/>
        <v>0</v>
      </c>
      <c r="AH339" s="160">
        <f t="shared" si="934"/>
        <v>0</v>
      </c>
      <c r="AI339" s="160">
        <f t="shared" si="934"/>
        <v>0</v>
      </c>
      <c r="AJ339" s="160">
        <f t="shared" si="934"/>
        <v>0</v>
      </c>
      <c r="AK339" s="160">
        <f t="shared" si="934"/>
        <v>0</v>
      </c>
      <c r="AL339" s="160">
        <f t="shared" si="934"/>
        <v>0</v>
      </c>
      <c r="AM339" s="160">
        <f t="shared" si="934"/>
        <v>0</v>
      </c>
      <c r="AN339" s="160">
        <f t="shared" si="934"/>
        <v>0</v>
      </c>
      <c r="AO339" s="160">
        <f t="shared" si="934"/>
        <v>0</v>
      </c>
      <c r="AP339" s="160">
        <f t="shared" si="934"/>
        <v>0</v>
      </c>
      <c r="AQ339" s="160">
        <f t="shared" si="935"/>
        <v>0</v>
      </c>
      <c r="AR339" s="160">
        <f t="shared" si="935"/>
        <v>0</v>
      </c>
      <c r="AS339" s="160">
        <f t="shared" si="935"/>
        <v>0</v>
      </c>
      <c r="AT339" s="160">
        <f t="shared" si="935"/>
        <v>0</v>
      </c>
      <c r="AU339" s="160">
        <f t="shared" si="935"/>
        <v>0</v>
      </c>
      <c r="AV339" s="160">
        <f t="shared" si="935"/>
        <v>0</v>
      </c>
      <c r="AW339" s="160">
        <f t="shared" si="935"/>
        <v>0</v>
      </c>
      <c r="AX339" s="160">
        <f t="shared" si="935"/>
        <v>0</v>
      </c>
      <c r="AY339" s="160">
        <f t="shared" si="935"/>
        <v>0</v>
      </c>
      <c r="AZ339" s="160">
        <f t="shared" si="935"/>
        <v>0</v>
      </c>
      <c r="BA339" s="160">
        <f t="shared" si="935"/>
        <v>0</v>
      </c>
      <c r="BB339" s="160">
        <f t="shared" si="935"/>
        <v>0</v>
      </c>
      <c r="BC339" s="160">
        <f t="shared" si="935"/>
        <v>0</v>
      </c>
      <c r="BD339" s="160">
        <f t="shared" si="935"/>
        <v>0</v>
      </c>
      <c r="BE339" s="160">
        <f t="shared" si="935"/>
        <v>0</v>
      </c>
      <c r="BF339" s="160">
        <f t="shared" si="935"/>
        <v>0</v>
      </c>
      <c r="BG339" s="160">
        <f t="shared" si="936"/>
        <v>0</v>
      </c>
      <c r="BH339" s="160">
        <f t="shared" si="936"/>
        <v>0</v>
      </c>
      <c r="BI339" s="160">
        <f t="shared" si="936"/>
        <v>0</v>
      </c>
      <c r="BJ339" s="160">
        <f t="shared" si="936"/>
        <v>0</v>
      </c>
      <c r="BK339" s="160">
        <f t="shared" si="936"/>
        <v>0</v>
      </c>
      <c r="BL339" s="160">
        <f t="shared" si="936"/>
        <v>0</v>
      </c>
      <c r="BM339" s="160">
        <f t="shared" si="936"/>
        <v>0</v>
      </c>
      <c r="BN339" s="160">
        <f t="shared" si="936"/>
        <v>0</v>
      </c>
      <c r="BO339" s="160">
        <f t="shared" si="936"/>
        <v>0</v>
      </c>
      <c r="BP339" s="160">
        <f t="shared" si="936"/>
        <v>0</v>
      </c>
      <c r="BQ339" s="160">
        <f t="shared" si="936"/>
        <v>0</v>
      </c>
      <c r="BR339" s="160">
        <f t="shared" si="936"/>
        <v>0</v>
      </c>
      <c r="BS339" s="65"/>
      <c r="BT339" s="160">
        <f t="shared" si="937"/>
        <v>0</v>
      </c>
      <c r="BU339" s="160">
        <f t="shared" si="938"/>
        <v>0</v>
      </c>
      <c r="BV339" s="65"/>
      <c r="BW339" s="69"/>
      <c r="BX339" s="65"/>
      <c r="BY339" s="137">
        <f t="shared" si="939"/>
        <v>1</v>
      </c>
      <c r="BZ339" s="137">
        <f>IF(BY339&gt;0,BY339+LARGE($BZ$213:BZ338,1),0)</f>
        <v>107</v>
      </c>
      <c r="CA339" s="137" t="str">
        <f t="shared" si="940"/>
        <v>AN SR. ENG/ARQ</v>
      </c>
      <c r="CB339" s="161">
        <f t="shared" si="941"/>
        <v>0</v>
      </c>
      <c r="CC339" s="161">
        <f t="shared" si="942"/>
        <v>0</v>
      </c>
      <c r="CD339" s="161">
        <f t="shared" si="943"/>
        <v>0</v>
      </c>
      <c r="CE339" s="161">
        <f t="shared" si="944"/>
        <v>0</v>
      </c>
      <c r="CF339" s="161">
        <f t="shared" si="945"/>
        <v>0</v>
      </c>
      <c r="CG339" s="161">
        <f t="shared" si="946"/>
        <v>0</v>
      </c>
      <c r="CH339" s="161">
        <f t="shared" si="947"/>
        <v>0</v>
      </c>
      <c r="CI339" s="161">
        <f t="shared" si="948"/>
        <v>0</v>
      </c>
      <c r="CJ339" s="161">
        <f t="shared" si="949"/>
        <v>0</v>
      </c>
      <c r="CK339" s="161">
        <f t="shared" si="950"/>
        <v>0</v>
      </c>
      <c r="CL339" s="161">
        <f t="shared" si="951"/>
        <v>0</v>
      </c>
      <c r="CM339" s="161">
        <f t="shared" si="952"/>
        <v>0</v>
      </c>
      <c r="CN339" s="161">
        <f t="shared" si="953"/>
        <v>0</v>
      </c>
      <c r="CO339" s="161">
        <f t="shared" si="954"/>
        <v>0</v>
      </c>
      <c r="CP339" s="161">
        <f t="shared" si="955"/>
        <v>0</v>
      </c>
      <c r="CQ339" s="161">
        <f t="shared" si="956"/>
        <v>0</v>
      </c>
      <c r="CR339" s="161">
        <f t="shared" si="957"/>
        <v>0</v>
      </c>
      <c r="CS339" s="161">
        <f t="shared" si="958"/>
        <v>0</v>
      </c>
      <c r="CT339" s="161">
        <f t="shared" si="959"/>
        <v>0</v>
      </c>
      <c r="CU339" s="161">
        <f t="shared" si="960"/>
        <v>0</v>
      </c>
      <c r="CV339" s="161">
        <f t="shared" si="961"/>
        <v>0</v>
      </c>
      <c r="CW339" s="161">
        <f t="shared" si="962"/>
        <v>0</v>
      </c>
      <c r="CX339" s="161">
        <f t="shared" si="963"/>
        <v>0</v>
      </c>
      <c r="CY339" s="161">
        <f t="shared" si="964"/>
        <v>0</v>
      </c>
      <c r="CZ339" s="161">
        <f t="shared" si="965"/>
        <v>0</v>
      </c>
      <c r="DA339" s="161">
        <f t="shared" si="966"/>
        <v>0</v>
      </c>
      <c r="DB339" s="161">
        <f t="shared" si="967"/>
        <v>0</v>
      </c>
      <c r="DC339" s="161">
        <f t="shared" si="968"/>
        <v>0</v>
      </c>
      <c r="DD339" s="161">
        <f t="shared" si="969"/>
        <v>0</v>
      </c>
      <c r="DE339" s="161">
        <f t="shared" si="970"/>
        <v>0</v>
      </c>
      <c r="DF339" s="161">
        <f t="shared" si="971"/>
        <v>0</v>
      </c>
      <c r="DG339" s="161">
        <f t="shared" si="972"/>
        <v>0</v>
      </c>
      <c r="DH339" s="161">
        <f t="shared" si="973"/>
        <v>0</v>
      </c>
      <c r="DI339" s="161">
        <f t="shared" si="974"/>
        <v>0</v>
      </c>
      <c r="DJ339" s="161">
        <f t="shared" si="975"/>
        <v>0</v>
      </c>
      <c r="DK339" s="161">
        <f t="shared" si="976"/>
        <v>0</v>
      </c>
      <c r="DL339" s="161">
        <f t="shared" si="977"/>
        <v>0</v>
      </c>
      <c r="DM339" s="161">
        <f t="shared" si="978"/>
        <v>0</v>
      </c>
      <c r="DN339" s="161">
        <f t="shared" si="979"/>
        <v>0</v>
      </c>
      <c r="DO339" s="161">
        <f t="shared" si="980"/>
        <v>0</v>
      </c>
      <c r="DP339" s="161">
        <f t="shared" si="981"/>
        <v>0</v>
      </c>
      <c r="DQ339" s="161">
        <f t="shared" si="982"/>
        <v>0</v>
      </c>
      <c r="DR339" s="161">
        <f t="shared" si="983"/>
        <v>0</v>
      </c>
      <c r="DS339" s="161">
        <f t="shared" si="984"/>
        <v>0</v>
      </c>
      <c r="DT339" s="161">
        <f t="shared" si="985"/>
        <v>0</v>
      </c>
      <c r="DU339" s="161">
        <f t="shared" si="986"/>
        <v>0</v>
      </c>
      <c r="DV339" s="161">
        <f t="shared" si="987"/>
        <v>0</v>
      </c>
      <c r="DW339" s="161">
        <f t="shared" si="988"/>
        <v>0</v>
      </c>
      <c r="DX339" s="161">
        <f t="shared" si="989"/>
        <v>0</v>
      </c>
      <c r="DY339" s="161">
        <f t="shared" si="990"/>
        <v>0</v>
      </c>
      <c r="DZ339" s="161">
        <f t="shared" si="991"/>
        <v>0</v>
      </c>
      <c r="EA339" s="161">
        <f t="shared" si="992"/>
        <v>0</v>
      </c>
      <c r="EB339" s="161">
        <f t="shared" si="993"/>
        <v>0</v>
      </c>
      <c r="EC339" s="161">
        <f t="shared" si="994"/>
        <v>0</v>
      </c>
      <c r="ED339" s="161">
        <f t="shared" si="995"/>
        <v>0</v>
      </c>
      <c r="EE339" s="161">
        <f t="shared" si="996"/>
        <v>0</v>
      </c>
      <c r="EF339" s="161">
        <f t="shared" si="997"/>
        <v>0</v>
      </c>
      <c r="EG339" s="161">
        <f t="shared" si="998"/>
        <v>0</v>
      </c>
      <c r="EH339" s="161">
        <f t="shared" si="999"/>
        <v>0</v>
      </c>
      <c r="EI339" s="161">
        <f t="shared" si="1000"/>
        <v>0</v>
      </c>
      <c r="EJ339" s="65"/>
      <c r="EK339" s="161">
        <f t="shared" si="931"/>
        <v>0</v>
      </c>
      <c r="EL339" s="161">
        <f t="shared" si="932"/>
        <v>0</v>
      </c>
      <c r="EM339" s="161">
        <f t="shared" si="933"/>
        <v>0</v>
      </c>
    </row>
    <row r="340" spans="1:143" ht="12" hidden="1" customHeight="1" outlineLevel="2">
      <c r="A340" s="77">
        <v>8</v>
      </c>
      <c r="B340" s="137" t="str">
        <f t="shared" si="928"/>
        <v>AN PL. ENG/ARQ - Equipe_01</v>
      </c>
      <c r="C340" s="65"/>
      <c r="D340" s="622"/>
      <c r="E340" s="65"/>
      <c r="F340" s="584"/>
      <c r="G340" s="77" t="str">
        <f>IF(INDEX(Tarefas!$BT$30:$FK$30,MATCH(A340,Tarefas!$BT$28:$FK$28,0))=0,"",INDEX(Tarefas!$BT$30:$FK$30,MATCH(A340,Tarefas!$BT$28:$FK$28,0)))</f>
        <v>AN PL. ENG/ARQ</v>
      </c>
      <c r="H340" s="107" cm="1">
        <f t="array" ref="H340">IFERROR((SUMPRODUCT((Tarefas!$N$32:$N$54='Cronog. e Histog.'!$F$333)*(Tarefas!$BQ$30:$FK$30='Cronog. e Histog.'!$G340)*(Tarefas!$BQ$32:$FK$54)))/SUMIF(Tarefas!$N$32:$N$54,'Cronog. e Histog.'!$F$333,Tarefas!$K$32:$K$54),0)</f>
        <v>0</v>
      </c>
      <c r="I340" s="79">
        <f t="shared" si="929"/>
        <v>0</v>
      </c>
      <c r="J340" s="65"/>
      <c r="K340" s="160">
        <f t="shared" si="930"/>
        <v>0</v>
      </c>
      <c r="L340" s="160">
        <f t="shared" si="930"/>
        <v>0</v>
      </c>
      <c r="M340" s="160">
        <f t="shared" si="930"/>
        <v>0</v>
      </c>
      <c r="N340" s="160">
        <f t="shared" si="930"/>
        <v>0</v>
      </c>
      <c r="O340" s="160">
        <f t="shared" si="930"/>
        <v>0</v>
      </c>
      <c r="P340" s="160">
        <f t="shared" si="930"/>
        <v>0</v>
      </c>
      <c r="Q340" s="160">
        <f t="shared" si="930"/>
        <v>0</v>
      </c>
      <c r="R340" s="160">
        <f t="shared" si="930"/>
        <v>0</v>
      </c>
      <c r="S340" s="160">
        <f t="shared" si="930"/>
        <v>0</v>
      </c>
      <c r="T340" s="160">
        <f t="shared" si="930"/>
        <v>0</v>
      </c>
      <c r="U340" s="160">
        <f t="shared" si="930"/>
        <v>0</v>
      </c>
      <c r="V340" s="160">
        <f t="shared" si="930"/>
        <v>0</v>
      </c>
      <c r="W340" s="160">
        <f t="shared" si="930"/>
        <v>0</v>
      </c>
      <c r="X340" s="160">
        <f t="shared" si="930"/>
        <v>0</v>
      </c>
      <c r="Y340" s="160">
        <f t="shared" si="930"/>
        <v>0</v>
      </c>
      <c r="Z340" s="160">
        <f t="shared" si="930"/>
        <v>0</v>
      </c>
      <c r="AA340" s="160">
        <f t="shared" si="934"/>
        <v>0</v>
      </c>
      <c r="AB340" s="160">
        <f t="shared" si="934"/>
        <v>0</v>
      </c>
      <c r="AC340" s="160">
        <f t="shared" si="934"/>
        <v>0</v>
      </c>
      <c r="AD340" s="160">
        <f t="shared" si="934"/>
        <v>0</v>
      </c>
      <c r="AE340" s="160">
        <f t="shared" si="934"/>
        <v>0</v>
      </c>
      <c r="AF340" s="160">
        <f t="shared" si="934"/>
        <v>0</v>
      </c>
      <c r="AG340" s="160">
        <f t="shared" si="934"/>
        <v>0</v>
      </c>
      <c r="AH340" s="160">
        <f t="shared" si="934"/>
        <v>0</v>
      </c>
      <c r="AI340" s="160">
        <f t="shared" si="934"/>
        <v>0</v>
      </c>
      <c r="AJ340" s="160">
        <f t="shared" si="934"/>
        <v>0</v>
      </c>
      <c r="AK340" s="160">
        <f t="shared" si="934"/>
        <v>0</v>
      </c>
      <c r="AL340" s="160">
        <f t="shared" si="934"/>
        <v>0</v>
      </c>
      <c r="AM340" s="160">
        <f t="shared" si="934"/>
        <v>0</v>
      </c>
      <c r="AN340" s="160">
        <f t="shared" si="934"/>
        <v>0</v>
      </c>
      <c r="AO340" s="160">
        <f t="shared" si="934"/>
        <v>0</v>
      </c>
      <c r="AP340" s="160">
        <f t="shared" si="934"/>
        <v>0</v>
      </c>
      <c r="AQ340" s="160">
        <f t="shared" si="935"/>
        <v>0</v>
      </c>
      <c r="AR340" s="160">
        <f t="shared" si="935"/>
        <v>0</v>
      </c>
      <c r="AS340" s="160">
        <f t="shared" si="935"/>
        <v>0</v>
      </c>
      <c r="AT340" s="160">
        <f t="shared" si="935"/>
        <v>0</v>
      </c>
      <c r="AU340" s="160">
        <f t="shared" si="935"/>
        <v>0</v>
      </c>
      <c r="AV340" s="160">
        <f t="shared" si="935"/>
        <v>0</v>
      </c>
      <c r="AW340" s="160">
        <f t="shared" si="935"/>
        <v>0</v>
      </c>
      <c r="AX340" s="160">
        <f t="shared" si="935"/>
        <v>0</v>
      </c>
      <c r="AY340" s="160">
        <f t="shared" si="935"/>
        <v>0</v>
      </c>
      <c r="AZ340" s="160">
        <f t="shared" si="935"/>
        <v>0</v>
      </c>
      <c r="BA340" s="160">
        <f t="shared" si="935"/>
        <v>0</v>
      </c>
      <c r="BB340" s="160">
        <f t="shared" si="935"/>
        <v>0</v>
      </c>
      <c r="BC340" s="160">
        <f t="shared" si="935"/>
        <v>0</v>
      </c>
      <c r="BD340" s="160">
        <f t="shared" si="935"/>
        <v>0</v>
      </c>
      <c r="BE340" s="160">
        <f t="shared" si="935"/>
        <v>0</v>
      </c>
      <c r="BF340" s="160">
        <f t="shared" si="935"/>
        <v>0</v>
      </c>
      <c r="BG340" s="160">
        <f t="shared" si="936"/>
        <v>0</v>
      </c>
      <c r="BH340" s="160">
        <f t="shared" si="936"/>
        <v>0</v>
      </c>
      <c r="BI340" s="160">
        <f t="shared" si="936"/>
        <v>0</v>
      </c>
      <c r="BJ340" s="160">
        <f t="shared" si="936"/>
        <v>0</v>
      </c>
      <c r="BK340" s="160">
        <f t="shared" si="936"/>
        <v>0</v>
      </c>
      <c r="BL340" s="160">
        <f t="shared" si="936"/>
        <v>0</v>
      </c>
      <c r="BM340" s="160">
        <f t="shared" si="936"/>
        <v>0</v>
      </c>
      <c r="BN340" s="160">
        <f t="shared" si="936"/>
        <v>0</v>
      </c>
      <c r="BO340" s="160">
        <f t="shared" si="936"/>
        <v>0</v>
      </c>
      <c r="BP340" s="160">
        <f t="shared" si="936"/>
        <v>0</v>
      </c>
      <c r="BQ340" s="160">
        <f t="shared" si="936"/>
        <v>0</v>
      </c>
      <c r="BR340" s="160">
        <f t="shared" si="936"/>
        <v>0</v>
      </c>
      <c r="BS340" s="65"/>
      <c r="BT340" s="160">
        <f t="shared" si="937"/>
        <v>0</v>
      </c>
      <c r="BU340" s="160">
        <f t="shared" si="938"/>
        <v>0</v>
      </c>
      <c r="BV340" s="65"/>
      <c r="BW340" s="69"/>
      <c r="BX340" s="65"/>
      <c r="BY340" s="137">
        <f t="shared" si="939"/>
        <v>1</v>
      </c>
      <c r="BZ340" s="137">
        <f>IF(BY340&gt;0,BY340+LARGE($BZ$213:BZ339,1),0)</f>
        <v>108</v>
      </c>
      <c r="CA340" s="137" t="str">
        <f t="shared" si="940"/>
        <v>AN PL. ENG/ARQ</v>
      </c>
      <c r="CB340" s="161">
        <f t="shared" si="941"/>
        <v>0</v>
      </c>
      <c r="CC340" s="161">
        <f t="shared" si="942"/>
        <v>0</v>
      </c>
      <c r="CD340" s="161">
        <f t="shared" si="943"/>
        <v>0</v>
      </c>
      <c r="CE340" s="161">
        <f t="shared" si="944"/>
        <v>0</v>
      </c>
      <c r="CF340" s="161">
        <f t="shared" si="945"/>
        <v>0</v>
      </c>
      <c r="CG340" s="161">
        <f t="shared" si="946"/>
        <v>0</v>
      </c>
      <c r="CH340" s="161">
        <f t="shared" si="947"/>
        <v>0</v>
      </c>
      <c r="CI340" s="161">
        <f t="shared" si="948"/>
        <v>0</v>
      </c>
      <c r="CJ340" s="161">
        <f t="shared" si="949"/>
        <v>0</v>
      </c>
      <c r="CK340" s="161">
        <f t="shared" si="950"/>
        <v>0</v>
      </c>
      <c r="CL340" s="161">
        <f t="shared" si="951"/>
        <v>0</v>
      </c>
      <c r="CM340" s="161">
        <f t="shared" si="952"/>
        <v>0</v>
      </c>
      <c r="CN340" s="161">
        <f t="shared" si="953"/>
        <v>0</v>
      </c>
      <c r="CO340" s="161">
        <f t="shared" si="954"/>
        <v>0</v>
      </c>
      <c r="CP340" s="161">
        <f t="shared" si="955"/>
        <v>0</v>
      </c>
      <c r="CQ340" s="161">
        <f t="shared" si="956"/>
        <v>0</v>
      </c>
      <c r="CR340" s="161">
        <f t="shared" si="957"/>
        <v>0</v>
      </c>
      <c r="CS340" s="161">
        <f t="shared" si="958"/>
        <v>0</v>
      </c>
      <c r="CT340" s="161">
        <f t="shared" si="959"/>
        <v>0</v>
      </c>
      <c r="CU340" s="161">
        <f t="shared" si="960"/>
        <v>0</v>
      </c>
      <c r="CV340" s="161">
        <f t="shared" si="961"/>
        <v>0</v>
      </c>
      <c r="CW340" s="161">
        <f t="shared" si="962"/>
        <v>0</v>
      </c>
      <c r="CX340" s="161">
        <f t="shared" si="963"/>
        <v>0</v>
      </c>
      <c r="CY340" s="161">
        <f t="shared" si="964"/>
        <v>0</v>
      </c>
      <c r="CZ340" s="161">
        <f t="shared" si="965"/>
        <v>0</v>
      </c>
      <c r="DA340" s="161">
        <f t="shared" si="966"/>
        <v>0</v>
      </c>
      <c r="DB340" s="161">
        <f t="shared" si="967"/>
        <v>0</v>
      </c>
      <c r="DC340" s="161">
        <f t="shared" si="968"/>
        <v>0</v>
      </c>
      <c r="DD340" s="161">
        <f t="shared" si="969"/>
        <v>0</v>
      </c>
      <c r="DE340" s="161">
        <f t="shared" si="970"/>
        <v>0</v>
      </c>
      <c r="DF340" s="161">
        <f t="shared" si="971"/>
        <v>0</v>
      </c>
      <c r="DG340" s="161">
        <f t="shared" si="972"/>
        <v>0</v>
      </c>
      <c r="DH340" s="161">
        <f t="shared" si="973"/>
        <v>0</v>
      </c>
      <c r="DI340" s="161">
        <f t="shared" si="974"/>
        <v>0</v>
      </c>
      <c r="DJ340" s="161">
        <f t="shared" si="975"/>
        <v>0</v>
      </c>
      <c r="DK340" s="161">
        <f t="shared" si="976"/>
        <v>0</v>
      </c>
      <c r="DL340" s="161">
        <f t="shared" si="977"/>
        <v>0</v>
      </c>
      <c r="DM340" s="161">
        <f t="shared" si="978"/>
        <v>0</v>
      </c>
      <c r="DN340" s="161">
        <f t="shared" si="979"/>
        <v>0</v>
      </c>
      <c r="DO340" s="161">
        <f t="shared" si="980"/>
        <v>0</v>
      </c>
      <c r="DP340" s="161">
        <f t="shared" si="981"/>
        <v>0</v>
      </c>
      <c r="DQ340" s="161">
        <f t="shared" si="982"/>
        <v>0</v>
      </c>
      <c r="DR340" s="161">
        <f t="shared" si="983"/>
        <v>0</v>
      </c>
      <c r="DS340" s="161">
        <f t="shared" si="984"/>
        <v>0</v>
      </c>
      <c r="DT340" s="161">
        <f t="shared" si="985"/>
        <v>0</v>
      </c>
      <c r="DU340" s="161">
        <f t="shared" si="986"/>
        <v>0</v>
      </c>
      <c r="DV340" s="161">
        <f t="shared" si="987"/>
        <v>0</v>
      </c>
      <c r="DW340" s="161">
        <f t="shared" si="988"/>
        <v>0</v>
      </c>
      <c r="DX340" s="161">
        <f t="shared" si="989"/>
        <v>0</v>
      </c>
      <c r="DY340" s="161">
        <f t="shared" si="990"/>
        <v>0</v>
      </c>
      <c r="DZ340" s="161">
        <f t="shared" si="991"/>
        <v>0</v>
      </c>
      <c r="EA340" s="161">
        <f t="shared" si="992"/>
        <v>0</v>
      </c>
      <c r="EB340" s="161">
        <f t="shared" si="993"/>
        <v>0</v>
      </c>
      <c r="EC340" s="161">
        <f t="shared" si="994"/>
        <v>0</v>
      </c>
      <c r="ED340" s="161">
        <f t="shared" si="995"/>
        <v>0</v>
      </c>
      <c r="EE340" s="161">
        <f t="shared" si="996"/>
        <v>0</v>
      </c>
      <c r="EF340" s="161">
        <f t="shared" si="997"/>
        <v>0</v>
      </c>
      <c r="EG340" s="161">
        <f t="shared" si="998"/>
        <v>0</v>
      </c>
      <c r="EH340" s="161">
        <f t="shared" si="999"/>
        <v>0</v>
      </c>
      <c r="EI340" s="161">
        <f t="shared" si="1000"/>
        <v>0</v>
      </c>
      <c r="EJ340" s="65"/>
      <c r="EK340" s="161">
        <f t="shared" si="931"/>
        <v>0</v>
      </c>
      <c r="EL340" s="161">
        <f t="shared" si="932"/>
        <v>0</v>
      </c>
      <c r="EM340" s="161">
        <f t="shared" si="933"/>
        <v>0</v>
      </c>
    </row>
    <row r="341" spans="1:143" ht="12" hidden="1" customHeight="1" outlineLevel="2">
      <c r="A341" s="77">
        <v>9</v>
      </c>
      <c r="B341" s="137" t="str">
        <f t="shared" si="928"/>
        <v>AN JR. ENG/ARQ - Equipe_01</v>
      </c>
      <c r="C341" s="65"/>
      <c r="D341" s="622"/>
      <c r="E341" s="65"/>
      <c r="F341" s="584"/>
      <c r="G341" s="77" t="str">
        <f>IF(INDEX(Tarefas!$BT$30:$FK$30,MATCH(A341,Tarefas!$BT$28:$FK$28,0))=0,"",INDEX(Tarefas!$BT$30:$FK$30,MATCH(A341,Tarefas!$BT$28:$FK$28,0)))</f>
        <v>AN JR. ENG/ARQ</v>
      </c>
      <c r="H341" s="107" cm="1">
        <f t="array" ref="H341">IFERROR((SUMPRODUCT((Tarefas!$N$32:$N$54='Cronog. e Histog.'!$F$333)*(Tarefas!$BQ$30:$FK$30='Cronog. e Histog.'!$G341)*(Tarefas!$BQ$32:$FK$54)))/SUMIF(Tarefas!$N$32:$N$54,'Cronog. e Histog.'!$F$333,Tarefas!$K$32:$K$54),0)</f>
        <v>0</v>
      </c>
      <c r="I341" s="79">
        <f t="shared" si="929"/>
        <v>0</v>
      </c>
      <c r="J341" s="65"/>
      <c r="K341" s="160">
        <f t="shared" si="930"/>
        <v>0</v>
      </c>
      <c r="L341" s="160">
        <f t="shared" si="930"/>
        <v>0</v>
      </c>
      <c r="M341" s="160">
        <f t="shared" si="930"/>
        <v>0</v>
      </c>
      <c r="N341" s="160">
        <f t="shared" si="930"/>
        <v>0</v>
      </c>
      <c r="O341" s="160">
        <f t="shared" si="930"/>
        <v>0</v>
      </c>
      <c r="P341" s="160">
        <f t="shared" si="930"/>
        <v>0</v>
      </c>
      <c r="Q341" s="160">
        <f t="shared" si="930"/>
        <v>0</v>
      </c>
      <c r="R341" s="160">
        <f t="shared" si="930"/>
        <v>0</v>
      </c>
      <c r="S341" s="160">
        <f t="shared" si="930"/>
        <v>0</v>
      </c>
      <c r="T341" s="160">
        <f t="shared" si="930"/>
        <v>0</v>
      </c>
      <c r="U341" s="160">
        <f t="shared" si="930"/>
        <v>0</v>
      </c>
      <c r="V341" s="160">
        <f t="shared" si="930"/>
        <v>0</v>
      </c>
      <c r="W341" s="160">
        <f t="shared" si="930"/>
        <v>0</v>
      </c>
      <c r="X341" s="160">
        <f t="shared" si="930"/>
        <v>0</v>
      </c>
      <c r="Y341" s="160">
        <f t="shared" si="930"/>
        <v>0</v>
      </c>
      <c r="Z341" s="160">
        <f t="shared" si="930"/>
        <v>0</v>
      </c>
      <c r="AA341" s="160">
        <f t="shared" si="934"/>
        <v>0</v>
      </c>
      <c r="AB341" s="160">
        <f t="shared" si="934"/>
        <v>0</v>
      </c>
      <c r="AC341" s="160">
        <f t="shared" si="934"/>
        <v>0</v>
      </c>
      <c r="AD341" s="160">
        <f t="shared" si="934"/>
        <v>0</v>
      </c>
      <c r="AE341" s="160">
        <f t="shared" si="934"/>
        <v>0</v>
      </c>
      <c r="AF341" s="160">
        <f t="shared" si="934"/>
        <v>0</v>
      </c>
      <c r="AG341" s="160">
        <f t="shared" si="934"/>
        <v>0</v>
      </c>
      <c r="AH341" s="160">
        <f t="shared" si="934"/>
        <v>0</v>
      </c>
      <c r="AI341" s="160">
        <f t="shared" si="934"/>
        <v>0</v>
      </c>
      <c r="AJ341" s="160">
        <f t="shared" si="934"/>
        <v>0</v>
      </c>
      <c r="AK341" s="160">
        <f t="shared" si="934"/>
        <v>0</v>
      </c>
      <c r="AL341" s="160">
        <f t="shared" si="934"/>
        <v>0</v>
      </c>
      <c r="AM341" s="160">
        <f t="shared" si="934"/>
        <v>0</v>
      </c>
      <c r="AN341" s="160">
        <f t="shared" si="934"/>
        <v>0</v>
      </c>
      <c r="AO341" s="160">
        <f t="shared" si="934"/>
        <v>0</v>
      </c>
      <c r="AP341" s="160">
        <f t="shared" si="934"/>
        <v>0</v>
      </c>
      <c r="AQ341" s="160">
        <f t="shared" si="935"/>
        <v>0</v>
      </c>
      <c r="AR341" s="160">
        <f t="shared" si="935"/>
        <v>0</v>
      </c>
      <c r="AS341" s="160">
        <f t="shared" si="935"/>
        <v>0</v>
      </c>
      <c r="AT341" s="160">
        <f t="shared" si="935"/>
        <v>0</v>
      </c>
      <c r="AU341" s="160">
        <f t="shared" si="935"/>
        <v>0</v>
      </c>
      <c r="AV341" s="160">
        <f t="shared" si="935"/>
        <v>0</v>
      </c>
      <c r="AW341" s="160">
        <f t="shared" si="935"/>
        <v>0</v>
      </c>
      <c r="AX341" s="160">
        <f t="shared" si="935"/>
        <v>0</v>
      </c>
      <c r="AY341" s="160">
        <f t="shared" si="935"/>
        <v>0</v>
      </c>
      <c r="AZ341" s="160">
        <f t="shared" si="935"/>
        <v>0</v>
      </c>
      <c r="BA341" s="160">
        <f t="shared" si="935"/>
        <v>0</v>
      </c>
      <c r="BB341" s="160">
        <f t="shared" si="935"/>
        <v>0</v>
      </c>
      <c r="BC341" s="160">
        <f t="shared" si="935"/>
        <v>0</v>
      </c>
      <c r="BD341" s="160">
        <f t="shared" si="935"/>
        <v>0</v>
      </c>
      <c r="BE341" s="160">
        <f t="shared" si="935"/>
        <v>0</v>
      </c>
      <c r="BF341" s="160">
        <f t="shared" si="935"/>
        <v>0</v>
      </c>
      <c r="BG341" s="160">
        <f t="shared" si="936"/>
        <v>0</v>
      </c>
      <c r="BH341" s="160">
        <f t="shared" si="936"/>
        <v>0</v>
      </c>
      <c r="BI341" s="160">
        <f t="shared" si="936"/>
        <v>0</v>
      </c>
      <c r="BJ341" s="160">
        <f t="shared" si="936"/>
        <v>0</v>
      </c>
      <c r="BK341" s="160">
        <f t="shared" si="936"/>
        <v>0</v>
      </c>
      <c r="BL341" s="160">
        <f t="shared" si="936"/>
        <v>0</v>
      </c>
      <c r="BM341" s="160">
        <f t="shared" si="936"/>
        <v>0</v>
      </c>
      <c r="BN341" s="160">
        <f t="shared" si="936"/>
        <v>0</v>
      </c>
      <c r="BO341" s="160">
        <f t="shared" si="936"/>
        <v>0</v>
      </c>
      <c r="BP341" s="160">
        <f t="shared" si="936"/>
        <v>0</v>
      </c>
      <c r="BQ341" s="160">
        <f t="shared" si="936"/>
        <v>0</v>
      </c>
      <c r="BR341" s="160">
        <f t="shared" si="936"/>
        <v>0</v>
      </c>
      <c r="BS341" s="65"/>
      <c r="BT341" s="160">
        <f t="shared" si="937"/>
        <v>0</v>
      </c>
      <c r="BU341" s="160">
        <f t="shared" si="938"/>
        <v>0</v>
      </c>
      <c r="BV341" s="65"/>
      <c r="BW341" s="69"/>
      <c r="BX341" s="65"/>
      <c r="BY341" s="137">
        <f t="shared" si="939"/>
        <v>1</v>
      </c>
      <c r="BZ341" s="137">
        <f>IF(BY341&gt;0,BY341+LARGE($BZ$213:BZ340,1),0)</f>
        <v>109</v>
      </c>
      <c r="CA341" s="137" t="str">
        <f t="shared" si="940"/>
        <v>AN JR. ENG/ARQ</v>
      </c>
      <c r="CB341" s="161">
        <f t="shared" si="941"/>
        <v>0</v>
      </c>
      <c r="CC341" s="161">
        <f t="shared" si="942"/>
        <v>0</v>
      </c>
      <c r="CD341" s="161">
        <f t="shared" si="943"/>
        <v>0</v>
      </c>
      <c r="CE341" s="161">
        <f t="shared" si="944"/>
        <v>0</v>
      </c>
      <c r="CF341" s="161">
        <f t="shared" si="945"/>
        <v>0</v>
      </c>
      <c r="CG341" s="161">
        <f t="shared" si="946"/>
        <v>0</v>
      </c>
      <c r="CH341" s="161">
        <f t="shared" si="947"/>
        <v>0</v>
      </c>
      <c r="CI341" s="161">
        <f t="shared" si="948"/>
        <v>0</v>
      </c>
      <c r="CJ341" s="161">
        <f t="shared" si="949"/>
        <v>0</v>
      </c>
      <c r="CK341" s="161">
        <f t="shared" si="950"/>
        <v>0</v>
      </c>
      <c r="CL341" s="161">
        <f t="shared" si="951"/>
        <v>0</v>
      </c>
      <c r="CM341" s="161">
        <f t="shared" si="952"/>
        <v>0</v>
      </c>
      <c r="CN341" s="161">
        <f t="shared" si="953"/>
        <v>0</v>
      </c>
      <c r="CO341" s="161">
        <f t="shared" si="954"/>
        <v>0</v>
      </c>
      <c r="CP341" s="161">
        <f t="shared" si="955"/>
        <v>0</v>
      </c>
      <c r="CQ341" s="161">
        <f t="shared" si="956"/>
        <v>0</v>
      </c>
      <c r="CR341" s="161">
        <f t="shared" si="957"/>
        <v>0</v>
      </c>
      <c r="CS341" s="161">
        <f t="shared" si="958"/>
        <v>0</v>
      </c>
      <c r="CT341" s="161">
        <f t="shared" si="959"/>
        <v>0</v>
      </c>
      <c r="CU341" s="161">
        <f t="shared" si="960"/>
        <v>0</v>
      </c>
      <c r="CV341" s="161">
        <f t="shared" si="961"/>
        <v>0</v>
      </c>
      <c r="CW341" s="161">
        <f t="shared" si="962"/>
        <v>0</v>
      </c>
      <c r="CX341" s="161">
        <f t="shared" si="963"/>
        <v>0</v>
      </c>
      <c r="CY341" s="161">
        <f t="shared" si="964"/>
        <v>0</v>
      </c>
      <c r="CZ341" s="161">
        <f t="shared" si="965"/>
        <v>0</v>
      </c>
      <c r="DA341" s="161">
        <f t="shared" si="966"/>
        <v>0</v>
      </c>
      <c r="DB341" s="161">
        <f t="shared" si="967"/>
        <v>0</v>
      </c>
      <c r="DC341" s="161">
        <f t="shared" si="968"/>
        <v>0</v>
      </c>
      <c r="DD341" s="161">
        <f t="shared" si="969"/>
        <v>0</v>
      </c>
      <c r="DE341" s="161">
        <f t="shared" si="970"/>
        <v>0</v>
      </c>
      <c r="DF341" s="161">
        <f t="shared" si="971"/>
        <v>0</v>
      </c>
      <c r="DG341" s="161">
        <f t="shared" si="972"/>
        <v>0</v>
      </c>
      <c r="DH341" s="161">
        <f t="shared" si="973"/>
        <v>0</v>
      </c>
      <c r="DI341" s="161">
        <f t="shared" si="974"/>
        <v>0</v>
      </c>
      <c r="DJ341" s="161">
        <f t="shared" si="975"/>
        <v>0</v>
      </c>
      <c r="DK341" s="161">
        <f t="shared" si="976"/>
        <v>0</v>
      </c>
      <c r="DL341" s="161">
        <f t="shared" si="977"/>
        <v>0</v>
      </c>
      <c r="DM341" s="161">
        <f t="shared" si="978"/>
        <v>0</v>
      </c>
      <c r="DN341" s="161">
        <f t="shared" si="979"/>
        <v>0</v>
      </c>
      <c r="DO341" s="161">
        <f t="shared" si="980"/>
        <v>0</v>
      </c>
      <c r="DP341" s="161">
        <f t="shared" si="981"/>
        <v>0</v>
      </c>
      <c r="DQ341" s="161">
        <f t="shared" si="982"/>
        <v>0</v>
      </c>
      <c r="DR341" s="161">
        <f t="shared" si="983"/>
        <v>0</v>
      </c>
      <c r="DS341" s="161">
        <f t="shared" si="984"/>
        <v>0</v>
      </c>
      <c r="DT341" s="161">
        <f t="shared" si="985"/>
        <v>0</v>
      </c>
      <c r="DU341" s="161">
        <f t="shared" si="986"/>
        <v>0</v>
      </c>
      <c r="DV341" s="161">
        <f t="shared" si="987"/>
        <v>0</v>
      </c>
      <c r="DW341" s="161">
        <f t="shared" si="988"/>
        <v>0</v>
      </c>
      <c r="DX341" s="161">
        <f t="shared" si="989"/>
        <v>0</v>
      </c>
      <c r="DY341" s="161">
        <f t="shared" si="990"/>
        <v>0</v>
      </c>
      <c r="DZ341" s="161">
        <f t="shared" si="991"/>
        <v>0</v>
      </c>
      <c r="EA341" s="161">
        <f t="shared" si="992"/>
        <v>0</v>
      </c>
      <c r="EB341" s="161">
        <f t="shared" si="993"/>
        <v>0</v>
      </c>
      <c r="EC341" s="161">
        <f t="shared" si="994"/>
        <v>0</v>
      </c>
      <c r="ED341" s="161">
        <f t="shared" si="995"/>
        <v>0</v>
      </c>
      <c r="EE341" s="161">
        <f t="shared" si="996"/>
        <v>0</v>
      </c>
      <c r="EF341" s="161">
        <f t="shared" si="997"/>
        <v>0</v>
      </c>
      <c r="EG341" s="161">
        <f t="shared" si="998"/>
        <v>0</v>
      </c>
      <c r="EH341" s="161">
        <f t="shared" si="999"/>
        <v>0</v>
      </c>
      <c r="EI341" s="161">
        <f t="shared" si="1000"/>
        <v>0</v>
      </c>
      <c r="EJ341" s="65"/>
      <c r="EK341" s="161">
        <f t="shared" si="931"/>
        <v>0</v>
      </c>
      <c r="EL341" s="161">
        <f t="shared" si="932"/>
        <v>0</v>
      </c>
      <c r="EM341" s="161">
        <f t="shared" si="933"/>
        <v>0</v>
      </c>
    </row>
    <row r="342" spans="1:143" ht="12" hidden="1" customHeight="1" outlineLevel="2">
      <c r="A342" s="77">
        <v>10</v>
      </c>
      <c r="B342" s="137" t="str">
        <f t="shared" si="928"/>
        <v>AN SR. ADM/CRP - Equipe_01</v>
      </c>
      <c r="C342" s="65"/>
      <c r="D342" s="622"/>
      <c r="E342" s="65"/>
      <c r="F342" s="584"/>
      <c r="G342" s="77" t="str">
        <f>IF(INDEX(Tarefas!$BT$30:$FK$30,MATCH(A342,Tarefas!$BT$28:$FK$28,0))=0,"",INDEX(Tarefas!$BT$30:$FK$30,MATCH(A342,Tarefas!$BT$28:$FK$28,0)))</f>
        <v>AN SR. ADM/CRP</v>
      </c>
      <c r="H342" s="107" cm="1">
        <f t="array" ref="H342">IFERROR((SUMPRODUCT((Tarefas!$N$32:$N$54='Cronog. e Histog.'!$F$333)*(Tarefas!$BQ$30:$FK$30='Cronog. e Histog.'!$G342)*(Tarefas!$BQ$32:$FK$54)))/SUMIF(Tarefas!$N$32:$N$54,'Cronog. e Histog.'!$F$333,Tarefas!$K$32:$K$54),0)</f>
        <v>4.6332046332046337E-2</v>
      </c>
      <c r="I342" s="79">
        <f t="shared" si="929"/>
        <v>4.6332046332046337E-2</v>
      </c>
      <c r="J342" s="65"/>
      <c r="K342" s="160">
        <f t="shared" si="930"/>
        <v>0.05</v>
      </c>
      <c r="L342" s="160">
        <f t="shared" si="930"/>
        <v>0.05</v>
      </c>
      <c r="M342" s="160">
        <f t="shared" si="930"/>
        <v>0.05</v>
      </c>
      <c r="N342" s="160">
        <f t="shared" si="930"/>
        <v>0.05</v>
      </c>
      <c r="O342" s="160">
        <f t="shared" si="930"/>
        <v>0.05</v>
      </c>
      <c r="P342" s="160">
        <f t="shared" si="930"/>
        <v>0.05</v>
      </c>
      <c r="Q342" s="160">
        <f t="shared" si="930"/>
        <v>0.05</v>
      </c>
      <c r="R342" s="160">
        <f t="shared" si="930"/>
        <v>0.05</v>
      </c>
      <c r="S342" s="160">
        <f t="shared" si="930"/>
        <v>0.05</v>
      </c>
      <c r="T342" s="160">
        <f t="shared" si="930"/>
        <v>0.05</v>
      </c>
      <c r="U342" s="160">
        <f t="shared" si="930"/>
        <v>0</v>
      </c>
      <c r="V342" s="160">
        <f t="shared" si="930"/>
        <v>0</v>
      </c>
      <c r="W342" s="160">
        <f t="shared" si="930"/>
        <v>0</v>
      </c>
      <c r="X342" s="160">
        <f t="shared" si="930"/>
        <v>0</v>
      </c>
      <c r="Y342" s="160">
        <f t="shared" si="930"/>
        <v>0</v>
      </c>
      <c r="Z342" s="160">
        <f t="shared" si="930"/>
        <v>0</v>
      </c>
      <c r="AA342" s="160">
        <f t="shared" si="934"/>
        <v>0</v>
      </c>
      <c r="AB342" s="160">
        <f t="shared" si="934"/>
        <v>0</v>
      </c>
      <c r="AC342" s="160">
        <f t="shared" si="934"/>
        <v>0</v>
      </c>
      <c r="AD342" s="160">
        <f t="shared" si="934"/>
        <v>0</v>
      </c>
      <c r="AE342" s="160">
        <f t="shared" si="934"/>
        <v>0</v>
      </c>
      <c r="AF342" s="160">
        <f t="shared" si="934"/>
        <v>0</v>
      </c>
      <c r="AG342" s="160">
        <f t="shared" si="934"/>
        <v>0</v>
      </c>
      <c r="AH342" s="160">
        <f t="shared" si="934"/>
        <v>0</v>
      </c>
      <c r="AI342" s="160">
        <f t="shared" si="934"/>
        <v>0</v>
      </c>
      <c r="AJ342" s="160">
        <f t="shared" si="934"/>
        <v>0</v>
      </c>
      <c r="AK342" s="160">
        <f t="shared" si="934"/>
        <v>0</v>
      </c>
      <c r="AL342" s="160">
        <f t="shared" si="934"/>
        <v>0</v>
      </c>
      <c r="AM342" s="160">
        <f t="shared" si="934"/>
        <v>0</v>
      </c>
      <c r="AN342" s="160">
        <f t="shared" si="934"/>
        <v>0</v>
      </c>
      <c r="AO342" s="160">
        <f t="shared" si="934"/>
        <v>0</v>
      </c>
      <c r="AP342" s="160">
        <f t="shared" si="934"/>
        <v>0</v>
      </c>
      <c r="AQ342" s="160">
        <f t="shared" si="935"/>
        <v>0</v>
      </c>
      <c r="AR342" s="160">
        <f t="shared" si="935"/>
        <v>0</v>
      </c>
      <c r="AS342" s="160">
        <f t="shared" si="935"/>
        <v>0</v>
      </c>
      <c r="AT342" s="160">
        <f t="shared" si="935"/>
        <v>0</v>
      </c>
      <c r="AU342" s="160">
        <f t="shared" si="935"/>
        <v>0</v>
      </c>
      <c r="AV342" s="160">
        <f t="shared" si="935"/>
        <v>0</v>
      </c>
      <c r="AW342" s="160">
        <f t="shared" si="935"/>
        <v>0</v>
      </c>
      <c r="AX342" s="160">
        <f t="shared" si="935"/>
        <v>0</v>
      </c>
      <c r="AY342" s="160">
        <f t="shared" si="935"/>
        <v>0</v>
      </c>
      <c r="AZ342" s="160">
        <f t="shared" si="935"/>
        <v>0</v>
      </c>
      <c r="BA342" s="160">
        <f t="shared" si="935"/>
        <v>0</v>
      </c>
      <c r="BB342" s="160">
        <f t="shared" si="935"/>
        <v>0</v>
      </c>
      <c r="BC342" s="160">
        <f t="shared" si="935"/>
        <v>0</v>
      </c>
      <c r="BD342" s="160">
        <f t="shared" si="935"/>
        <v>0</v>
      </c>
      <c r="BE342" s="160">
        <f t="shared" si="935"/>
        <v>0</v>
      </c>
      <c r="BF342" s="160">
        <f t="shared" si="935"/>
        <v>0</v>
      </c>
      <c r="BG342" s="160">
        <f t="shared" si="936"/>
        <v>0</v>
      </c>
      <c r="BH342" s="160">
        <f t="shared" si="936"/>
        <v>0</v>
      </c>
      <c r="BI342" s="160">
        <f t="shared" si="936"/>
        <v>0</v>
      </c>
      <c r="BJ342" s="160">
        <f t="shared" si="936"/>
        <v>0</v>
      </c>
      <c r="BK342" s="160">
        <f t="shared" si="936"/>
        <v>0</v>
      </c>
      <c r="BL342" s="160">
        <f t="shared" si="936"/>
        <v>0</v>
      </c>
      <c r="BM342" s="160">
        <f t="shared" si="936"/>
        <v>0</v>
      </c>
      <c r="BN342" s="160">
        <f t="shared" si="936"/>
        <v>0</v>
      </c>
      <c r="BO342" s="160">
        <f t="shared" si="936"/>
        <v>0</v>
      </c>
      <c r="BP342" s="160">
        <f t="shared" si="936"/>
        <v>0</v>
      </c>
      <c r="BQ342" s="160">
        <f t="shared" si="936"/>
        <v>0</v>
      </c>
      <c r="BR342" s="160">
        <f t="shared" si="936"/>
        <v>0</v>
      </c>
      <c r="BS342" s="65"/>
      <c r="BT342" s="160">
        <f t="shared" si="937"/>
        <v>4.9999999999999996E-2</v>
      </c>
      <c r="BU342" s="160">
        <f t="shared" si="938"/>
        <v>10</v>
      </c>
      <c r="BV342" s="65"/>
      <c r="BW342" s="69"/>
      <c r="BX342" s="65"/>
      <c r="BY342" s="137">
        <f t="shared" si="939"/>
        <v>1</v>
      </c>
      <c r="BZ342" s="137">
        <f>IF(BY342&gt;0,BY342+LARGE($BZ$213:BZ341,1),0)</f>
        <v>110</v>
      </c>
      <c r="CA342" s="137" t="str">
        <f t="shared" si="940"/>
        <v>AN SR. ADM/CRP</v>
      </c>
      <c r="CB342" s="161">
        <f t="shared" si="941"/>
        <v>0.05</v>
      </c>
      <c r="CC342" s="161">
        <f t="shared" si="942"/>
        <v>0.05</v>
      </c>
      <c r="CD342" s="161">
        <f t="shared" si="943"/>
        <v>0.05</v>
      </c>
      <c r="CE342" s="161">
        <f t="shared" si="944"/>
        <v>0.05</v>
      </c>
      <c r="CF342" s="161">
        <f t="shared" si="945"/>
        <v>0.05</v>
      </c>
      <c r="CG342" s="161">
        <f t="shared" si="946"/>
        <v>0.05</v>
      </c>
      <c r="CH342" s="161">
        <f t="shared" si="947"/>
        <v>0.05</v>
      </c>
      <c r="CI342" s="161">
        <f t="shared" si="948"/>
        <v>0.05</v>
      </c>
      <c r="CJ342" s="161">
        <f t="shared" si="949"/>
        <v>0.05</v>
      </c>
      <c r="CK342" s="161">
        <f t="shared" si="950"/>
        <v>0.05</v>
      </c>
      <c r="CL342" s="161">
        <f t="shared" si="951"/>
        <v>0</v>
      </c>
      <c r="CM342" s="161">
        <f t="shared" si="952"/>
        <v>0</v>
      </c>
      <c r="CN342" s="161">
        <f t="shared" si="953"/>
        <v>0</v>
      </c>
      <c r="CO342" s="161">
        <f t="shared" si="954"/>
        <v>0</v>
      </c>
      <c r="CP342" s="161">
        <f t="shared" si="955"/>
        <v>0</v>
      </c>
      <c r="CQ342" s="161">
        <f t="shared" si="956"/>
        <v>0</v>
      </c>
      <c r="CR342" s="161">
        <f t="shared" si="957"/>
        <v>0</v>
      </c>
      <c r="CS342" s="161">
        <f t="shared" si="958"/>
        <v>0</v>
      </c>
      <c r="CT342" s="161">
        <f t="shared" si="959"/>
        <v>0</v>
      </c>
      <c r="CU342" s="161">
        <f t="shared" si="960"/>
        <v>0</v>
      </c>
      <c r="CV342" s="161">
        <f t="shared" si="961"/>
        <v>0</v>
      </c>
      <c r="CW342" s="161">
        <f t="shared" si="962"/>
        <v>0</v>
      </c>
      <c r="CX342" s="161">
        <f t="shared" si="963"/>
        <v>0</v>
      </c>
      <c r="CY342" s="161">
        <f t="shared" si="964"/>
        <v>0</v>
      </c>
      <c r="CZ342" s="161">
        <f t="shared" si="965"/>
        <v>0</v>
      </c>
      <c r="DA342" s="161">
        <f t="shared" si="966"/>
        <v>0</v>
      </c>
      <c r="DB342" s="161">
        <f t="shared" si="967"/>
        <v>0</v>
      </c>
      <c r="DC342" s="161">
        <f t="shared" si="968"/>
        <v>0</v>
      </c>
      <c r="DD342" s="161">
        <f t="shared" si="969"/>
        <v>0</v>
      </c>
      <c r="DE342" s="161">
        <f t="shared" si="970"/>
        <v>0</v>
      </c>
      <c r="DF342" s="161">
        <f t="shared" si="971"/>
        <v>0</v>
      </c>
      <c r="DG342" s="161">
        <f t="shared" si="972"/>
        <v>0</v>
      </c>
      <c r="DH342" s="161">
        <f t="shared" si="973"/>
        <v>0</v>
      </c>
      <c r="DI342" s="161">
        <f t="shared" si="974"/>
        <v>0</v>
      </c>
      <c r="DJ342" s="161">
        <f t="shared" si="975"/>
        <v>0</v>
      </c>
      <c r="DK342" s="161">
        <f t="shared" si="976"/>
        <v>0</v>
      </c>
      <c r="DL342" s="161">
        <f t="shared" si="977"/>
        <v>0</v>
      </c>
      <c r="DM342" s="161">
        <f t="shared" si="978"/>
        <v>0</v>
      </c>
      <c r="DN342" s="161">
        <f t="shared" si="979"/>
        <v>0</v>
      </c>
      <c r="DO342" s="161">
        <f t="shared" si="980"/>
        <v>0</v>
      </c>
      <c r="DP342" s="161">
        <f t="shared" si="981"/>
        <v>0</v>
      </c>
      <c r="DQ342" s="161">
        <f t="shared" si="982"/>
        <v>0</v>
      </c>
      <c r="DR342" s="161">
        <f t="shared" si="983"/>
        <v>0</v>
      </c>
      <c r="DS342" s="161">
        <f t="shared" si="984"/>
        <v>0</v>
      </c>
      <c r="DT342" s="161">
        <f t="shared" si="985"/>
        <v>0</v>
      </c>
      <c r="DU342" s="161">
        <f t="shared" si="986"/>
        <v>0</v>
      </c>
      <c r="DV342" s="161">
        <f t="shared" si="987"/>
        <v>0</v>
      </c>
      <c r="DW342" s="161">
        <f t="shared" si="988"/>
        <v>0</v>
      </c>
      <c r="DX342" s="161">
        <f t="shared" si="989"/>
        <v>0</v>
      </c>
      <c r="DY342" s="161">
        <f t="shared" si="990"/>
        <v>0</v>
      </c>
      <c r="DZ342" s="161">
        <f t="shared" si="991"/>
        <v>0</v>
      </c>
      <c r="EA342" s="161">
        <f t="shared" si="992"/>
        <v>0</v>
      </c>
      <c r="EB342" s="161">
        <f t="shared" si="993"/>
        <v>0</v>
      </c>
      <c r="EC342" s="161">
        <f t="shared" si="994"/>
        <v>0</v>
      </c>
      <c r="ED342" s="161">
        <f t="shared" si="995"/>
        <v>0</v>
      </c>
      <c r="EE342" s="161">
        <f t="shared" si="996"/>
        <v>0</v>
      </c>
      <c r="EF342" s="161">
        <f t="shared" si="997"/>
        <v>0</v>
      </c>
      <c r="EG342" s="161">
        <f t="shared" si="998"/>
        <v>0</v>
      </c>
      <c r="EH342" s="161">
        <f t="shared" si="999"/>
        <v>0</v>
      </c>
      <c r="EI342" s="161">
        <f t="shared" si="1000"/>
        <v>0</v>
      </c>
      <c r="EJ342" s="65"/>
      <c r="EK342" s="161">
        <f t="shared" si="931"/>
        <v>0</v>
      </c>
      <c r="EL342" s="161">
        <f t="shared" si="932"/>
        <v>0</v>
      </c>
      <c r="EM342" s="161">
        <f t="shared" si="933"/>
        <v>0</v>
      </c>
    </row>
    <row r="343" spans="1:143" ht="12" hidden="1" customHeight="1" outlineLevel="2">
      <c r="A343" s="77">
        <v>11</v>
      </c>
      <c r="B343" s="137" t="str">
        <f t="shared" si="928"/>
        <v>AN PL. ADM/CRP - Equipe_01</v>
      </c>
      <c r="C343" s="65"/>
      <c r="D343" s="622"/>
      <c r="E343" s="65"/>
      <c r="F343" s="584"/>
      <c r="G343" s="77" t="str">
        <f>IF(INDEX(Tarefas!$BT$30:$FK$30,MATCH(A343,Tarefas!$BT$28:$FK$28,0))=0,"",INDEX(Tarefas!$BT$30:$FK$30,MATCH(A343,Tarefas!$BT$28:$FK$28,0)))</f>
        <v>AN PL. ADM/CRP</v>
      </c>
      <c r="H343" s="107" cm="1">
        <f t="array" ref="H343">IFERROR((SUMPRODUCT((Tarefas!$N$32:$N$54='Cronog. e Histog.'!$F$333)*(Tarefas!$BQ$30:$FK$30='Cronog. e Histog.'!$G343)*(Tarefas!$BQ$32:$FK$54)))/SUMIF(Tarefas!$N$32:$N$54,'Cronog. e Histog.'!$F$333,Tarefas!$K$32:$K$54),0)</f>
        <v>0</v>
      </c>
      <c r="I343" s="79">
        <f t="shared" si="929"/>
        <v>0</v>
      </c>
      <c r="J343" s="65"/>
      <c r="K343" s="160">
        <f t="shared" si="930"/>
        <v>0</v>
      </c>
      <c r="L343" s="160">
        <f t="shared" si="930"/>
        <v>0</v>
      </c>
      <c r="M343" s="160">
        <f t="shared" si="930"/>
        <v>0</v>
      </c>
      <c r="N343" s="160">
        <f t="shared" si="930"/>
        <v>0</v>
      </c>
      <c r="O343" s="160">
        <f t="shared" si="930"/>
        <v>0</v>
      </c>
      <c r="P343" s="160">
        <f t="shared" si="930"/>
        <v>0</v>
      </c>
      <c r="Q343" s="160">
        <f t="shared" si="930"/>
        <v>0</v>
      </c>
      <c r="R343" s="160">
        <f t="shared" si="930"/>
        <v>0</v>
      </c>
      <c r="S343" s="160">
        <f t="shared" si="930"/>
        <v>0</v>
      </c>
      <c r="T343" s="160">
        <f t="shared" si="930"/>
        <v>0</v>
      </c>
      <c r="U343" s="160">
        <f t="shared" si="930"/>
        <v>0</v>
      </c>
      <c r="V343" s="160">
        <f t="shared" si="930"/>
        <v>0</v>
      </c>
      <c r="W343" s="160">
        <f t="shared" si="930"/>
        <v>0</v>
      </c>
      <c r="X343" s="160">
        <f t="shared" si="930"/>
        <v>0</v>
      </c>
      <c r="Y343" s="160">
        <f t="shared" si="930"/>
        <v>0</v>
      </c>
      <c r="Z343" s="160">
        <f t="shared" si="930"/>
        <v>0</v>
      </c>
      <c r="AA343" s="160">
        <f t="shared" si="934"/>
        <v>0</v>
      </c>
      <c r="AB343" s="160">
        <f t="shared" si="934"/>
        <v>0</v>
      </c>
      <c r="AC343" s="160">
        <f t="shared" si="934"/>
        <v>0</v>
      </c>
      <c r="AD343" s="160">
        <f t="shared" si="934"/>
        <v>0</v>
      </c>
      <c r="AE343" s="160">
        <f t="shared" si="934"/>
        <v>0</v>
      </c>
      <c r="AF343" s="160">
        <f t="shared" si="934"/>
        <v>0</v>
      </c>
      <c r="AG343" s="160">
        <f t="shared" si="934"/>
        <v>0</v>
      </c>
      <c r="AH343" s="160">
        <f t="shared" si="934"/>
        <v>0</v>
      </c>
      <c r="AI343" s="160">
        <f t="shared" si="934"/>
        <v>0</v>
      </c>
      <c r="AJ343" s="160">
        <f t="shared" si="934"/>
        <v>0</v>
      </c>
      <c r="AK343" s="160">
        <f t="shared" si="934"/>
        <v>0</v>
      </c>
      <c r="AL343" s="160">
        <f t="shared" si="934"/>
        <v>0</v>
      </c>
      <c r="AM343" s="160">
        <f t="shared" si="934"/>
        <v>0</v>
      </c>
      <c r="AN343" s="160">
        <f t="shared" si="934"/>
        <v>0</v>
      </c>
      <c r="AO343" s="160">
        <f t="shared" si="934"/>
        <v>0</v>
      </c>
      <c r="AP343" s="160">
        <f t="shared" si="934"/>
        <v>0</v>
      </c>
      <c r="AQ343" s="160">
        <f t="shared" si="935"/>
        <v>0</v>
      </c>
      <c r="AR343" s="160">
        <f t="shared" si="935"/>
        <v>0</v>
      </c>
      <c r="AS343" s="160">
        <f t="shared" si="935"/>
        <v>0</v>
      </c>
      <c r="AT343" s="160">
        <f t="shared" si="935"/>
        <v>0</v>
      </c>
      <c r="AU343" s="160">
        <f t="shared" si="935"/>
        <v>0</v>
      </c>
      <c r="AV343" s="160">
        <f t="shared" si="935"/>
        <v>0</v>
      </c>
      <c r="AW343" s="160">
        <f t="shared" si="935"/>
        <v>0</v>
      </c>
      <c r="AX343" s="160">
        <f t="shared" si="935"/>
        <v>0</v>
      </c>
      <c r="AY343" s="160">
        <f t="shared" si="935"/>
        <v>0</v>
      </c>
      <c r="AZ343" s="160">
        <f t="shared" si="935"/>
        <v>0</v>
      </c>
      <c r="BA343" s="160">
        <f t="shared" si="935"/>
        <v>0</v>
      </c>
      <c r="BB343" s="160">
        <f t="shared" si="935"/>
        <v>0</v>
      </c>
      <c r="BC343" s="160">
        <f t="shared" si="935"/>
        <v>0</v>
      </c>
      <c r="BD343" s="160">
        <f t="shared" si="935"/>
        <v>0</v>
      </c>
      <c r="BE343" s="160">
        <f t="shared" si="935"/>
        <v>0</v>
      </c>
      <c r="BF343" s="160">
        <f t="shared" si="935"/>
        <v>0</v>
      </c>
      <c r="BG343" s="160">
        <f t="shared" si="936"/>
        <v>0</v>
      </c>
      <c r="BH343" s="160">
        <f t="shared" si="936"/>
        <v>0</v>
      </c>
      <c r="BI343" s="160">
        <f t="shared" si="936"/>
        <v>0</v>
      </c>
      <c r="BJ343" s="160">
        <f t="shared" si="936"/>
        <v>0</v>
      </c>
      <c r="BK343" s="160">
        <f t="shared" si="936"/>
        <v>0</v>
      </c>
      <c r="BL343" s="160">
        <f t="shared" si="936"/>
        <v>0</v>
      </c>
      <c r="BM343" s="160">
        <f t="shared" si="936"/>
        <v>0</v>
      </c>
      <c r="BN343" s="160">
        <f t="shared" si="936"/>
        <v>0</v>
      </c>
      <c r="BO343" s="160">
        <f t="shared" si="936"/>
        <v>0</v>
      </c>
      <c r="BP343" s="160">
        <f t="shared" si="936"/>
        <v>0</v>
      </c>
      <c r="BQ343" s="160">
        <f t="shared" si="936"/>
        <v>0</v>
      </c>
      <c r="BR343" s="160">
        <f t="shared" si="936"/>
        <v>0</v>
      </c>
      <c r="BS343" s="65"/>
      <c r="BT343" s="160">
        <f t="shared" si="937"/>
        <v>0</v>
      </c>
      <c r="BU343" s="160">
        <f t="shared" si="938"/>
        <v>0</v>
      </c>
      <c r="BV343" s="65"/>
      <c r="BW343" s="69"/>
      <c r="BX343" s="65"/>
      <c r="BY343" s="137">
        <f t="shared" si="939"/>
        <v>1</v>
      </c>
      <c r="BZ343" s="137">
        <f>IF(BY343&gt;0,BY343+LARGE($BZ$213:BZ342,1),0)</f>
        <v>111</v>
      </c>
      <c r="CA343" s="137" t="str">
        <f t="shared" si="940"/>
        <v>AN PL. ADM/CRP</v>
      </c>
      <c r="CB343" s="161">
        <f t="shared" si="941"/>
        <v>0</v>
      </c>
      <c r="CC343" s="161">
        <f t="shared" si="942"/>
        <v>0</v>
      </c>
      <c r="CD343" s="161">
        <f t="shared" si="943"/>
        <v>0</v>
      </c>
      <c r="CE343" s="161">
        <f t="shared" si="944"/>
        <v>0</v>
      </c>
      <c r="CF343" s="161">
        <f t="shared" si="945"/>
        <v>0</v>
      </c>
      <c r="CG343" s="161">
        <f t="shared" si="946"/>
        <v>0</v>
      </c>
      <c r="CH343" s="161">
        <f t="shared" si="947"/>
        <v>0</v>
      </c>
      <c r="CI343" s="161">
        <f t="shared" si="948"/>
        <v>0</v>
      </c>
      <c r="CJ343" s="161">
        <f t="shared" si="949"/>
        <v>0</v>
      </c>
      <c r="CK343" s="161">
        <f t="shared" si="950"/>
        <v>0</v>
      </c>
      <c r="CL343" s="161">
        <f t="shared" si="951"/>
        <v>0</v>
      </c>
      <c r="CM343" s="161">
        <f t="shared" si="952"/>
        <v>0</v>
      </c>
      <c r="CN343" s="161">
        <f t="shared" si="953"/>
        <v>0</v>
      </c>
      <c r="CO343" s="161">
        <f t="shared" si="954"/>
        <v>0</v>
      </c>
      <c r="CP343" s="161">
        <f t="shared" si="955"/>
        <v>0</v>
      </c>
      <c r="CQ343" s="161">
        <f t="shared" si="956"/>
        <v>0</v>
      </c>
      <c r="CR343" s="161">
        <f t="shared" si="957"/>
        <v>0</v>
      </c>
      <c r="CS343" s="161">
        <f t="shared" si="958"/>
        <v>0</v>
      </c>
      <c r="CT343" s="161">
        <f t="shared" si="959"/>
        <v>0</v>
      </c>
      <c r="CU343" s="161">
        <f t="shared" si="960"/>
        <v>0</v>
      </c>
      <c r="CV343" s="161">
        <f t="shared" si="961"/>
        <v>0</v>
      </c>
      <c r="CW343" s="161">
        <f t="shared" si="962"/>
        <v>0</v>
      </c>
      <c r="CX343" s="161">
        <f t="shared" si="963"/>
        <v>0</v>
      </c>
      <c r="CY343" s="161">
        <f t="shared" si="964"/>
        <v>0</v>
      </c>
      <c r="CZ343" s="161">
        <f t="shared" si="965"/>
        <v>0</v>
      </c>
      <c r="DA343" s="161">
        <f t="shared" si="966"/>
        <v>0</v>
      </c>
      <c r="DB343" s="161">
        <f t="shared" si="967"/>
        <v>0</v>
      </c>
      <c r="DC343" s="161">
        <f t="shared" si="968"/>
        <v>0</v>
      </c>
      <c r="DD343" s="161">
        <f t="shared" si="969"/>
        <v>0</v>
      </c>
      <c r="DE343" s="161">
        <f t="shared" si="970"/>
        <v>0</v>
      </c>
      <c r="DF343" s="161">
        <f t="shared" si="971"/>
        <v>0</v>
      </c>
      <c r="DG343" s="161">
        <f t="shared" si="972"/>
        <v>0</v>
      </c>
      <c r="DH343" s="161">
        <f t="shared" si="973"/>
        <v>0</v>
      </c>
      <c r="DI343" s="161">
        <f t="shared" si="974"/>
        <v>0</v>
      </c>
      <c r="DJ343" s="161">
        <f t="shared" si="975"/>
        <v>0</v>
      </c>
      <c r="DK343" s="161">
        <f t="shared" si="976"/>
        <v>0</v>
      </c>
      <c r="DL343" s="161">
        <f t="shared" si="977"/>
        <v>0</v>
      </c>
      <c r="DM343" s="161">
        <f t="shared" si="978"/>
        <v>0</v>
      </c>
      <c r="DN343" s="161">
        <f t="shared" si="979"/>
        <v>0</v>
      </c>
      <c r="DO343" s="161">
        <f t="shared" si="980"/>
        <v>0</v>
      </c>
      <c r="DP343" s="161">
        <f t="shared" si="981"/>
        <v>0</v>
      </c>
      <c r="DQ343" s="161">
        <f t="shared" si="982"/>
        <v>0</v>
      </c>
      <c r="DR343" s="161">
        <f t="shared" si="983"/>
        <v>0</v>
      </c>
      <c r="DS343" s="161">
        <f t="shared" si="984"/>
        <v>0</v>
      </c>
      <c r="DT343" s="161">
        <f t="shared" si="985"/>
        <v>0</v>
      </c>
      <c r="DU343" s="161">
        <f t="shared" si="986"/>
        <v>0</v>
      </c>
      <c r="DV343" s="161">
        <f t="shared" si="987"/>
        <v>0</v>
      </c>
      <c r="DW343" s="161">
        <f t="shared" si="988"/>
        <v>0</v>
      </c>
      <c r="DX343" s="161">
        <f t="shared" si="989"/>
        <v>0</v>
      </c>
      <c r="DY343" s="161">
        <f t="shared" si="990"/>
        <v>0</v>
      </c>
      <c r="DZ343" s="161">
        <f t="shared" si="991"/>
        <v>0</v>
      </c>
      <c r="EA343" s="161">
        <f t="shared" si="992"/>
        <v>0</v>
      </c>
      <c r="EB343" s="161">
        <f t="shared" si="993"/>
        <v>0</v>
      </c>
      <c r="EC343" s="161">
        <f t="shared" si="994"/>
        <v>0</v>
      </c>
      <c r="ED343" s="161">
        <f t="shared" si="995"/>
        <v>0</v>
      </c>
      <c r="EE343" s="161">
        <f t="shared" si="996"/>
        <v>0</v>
      </c>
      <c r="EF343" s="161">
        <f t="shared" si="997"/>
        <v>0</v>
      </c>
      <c r="EG343" s="161">
        <f t="shared" si="998"/>
        <v>0</v>
      </c>
      <c r="EH343" s="161">
        <f t="shared" si="999"/>
        <v>0</v>
      </c>
      <c r="EI343" s="161">
        <f t="shared" si="1000"/>
        <v>0</v>
      </c>
      <c r="EJ343" s="65"/>
      <c r="EK343" s="161">
        <f t="shared" si="931"/>
        <v>0</v>
      </c>
      <c r="EL343" s="161">
        <f t="shared" si="932"/>
        <v>0</v>
      </c>
      <c r="EM343" s="161">
        <f t="shared" si="933"/>
        <v>0</v>
      </c>
    </row>
    <row r="344" spans="1:143" ht="12" hidden="1" customHeight="1" outlineLevel="2">
      <c r="A344" s="77">
        <v>12</v>
      </c>
      <c r="B344" s="137" t="str">
        <f t="shared" si="928"/>
        <v>AN JR. ADM/CRP - Equipe_01</v>
      </c>
      <c r="C344" s="65"/>
      <c r="D344" s="622"/>
      <c r="E344" s="65"/>
      <c r="F344" s="584"/>
      <c r="G344" s="77" t="str">
        <f>IF(INDEX(Tarefas!$BT$30:$FK$30,MATCH(A344,Tarefas!$BT$28:$FK$28,0))=0,"",INDEX(Tarefas!$BT$30:$FK$30,MATCH(A344,Tarefas!$BT$28:$FK$28,0)))</f>
        <v>AN JR. ADM/CRP</v>
      </c>
      <c r="H344" s="107" cm="1">
        <f t="array" ref="H344">IFERROR((SUMPRODUCT((Tarefas!$N$32:$N$54='Cronog. e Histog.'!$F$333)*(Tarefas!$BQ$30:$FK$30='Cronog. e Histog.'!$G344)*(Tarefas!$BQ$32:$FK$54)))/SUMIF(Tarefas!$N$32:$N$54,'Cronog. e Histog.'!$F$333,Tarefas!$K$32:$K$54),0)</f>
        <v>0</v>
      </c>
      <c r="I344" s="79">
        <f t="shared" si="929"/>
        <v>0</v>
      </c>
      <c r="J344" s="65"/>
      <c r="K344" s="160">
        <f t="shared" si="930"/>
        <v>0</v>
      </c>
      <c r="L344" s="160">
        <f t="shared" si="930"/>
        <v>0</v>
      </c>
      <c r="M344" s="160">
        <f t="shared" si="930"/>
        <v>0</v>
      </c>
      <c r="N344" s="160">
        <f t="shared" si="930"/>
        <v>0</v>
      </c>
      <c r="O344" s="160">
        <f t="shared" si="930"/>
        <v>0</v>
      </c>
      <c r="P344" s="160">
        <f t="shared" si="930"/>
        <v>0</v>
      </c>
      <c r="Q344" s="160">
        <f t="shared" si="930"/>
        <v>0</v>
      </c>
      <c r="R344" s="160">
        <f t="shared" si="930"/>
        <v>0</v>
      </c>
      <c r="S344" s="160">
        <f t="shared" si="930"/>
        <v>0</v>
      </c>
      <c r="T344" s="160">
        <f t="shared" si="930"/>
        <v>0</v>
      </c>
      <c r="U344" s="160">
        <f t="shared" si="930"/>
        <v>0</v>
      </c>
      <c r="V344" s="160">
        <f t="shared" si="930"/>
        <v>0</v>
      </c>
      <c r="W344" s="160">
        <f t="shared" si="930"/>
        <v>0</v>
      </c>
      <c r="X344" s="160">
        <f t="shared" si="930"/>
        <v>0</v>
      </c>
      <c r="Y344" s="160">
        <f t="shared" si="930"/>
        <v>0</v>
      </c>
      <c r="Z344" s="160">
        <f t="shared" si="930"/>
        <v>0</v>
      </c>
      <c r="AA344" s="160">
        <f t="shared" si="934"/>
        <v>0</v>
      </c>
      <c r="AB344" s="160">
        <f t="shared" si="934"/>
        <v>0</v>
      </c>
      <c r="AC344" s="160">
        <f t="shared" si="934"/>
        <v>0</v>
      </c>
      <c r="AD344" s="160">
        <f t="shared" si="934"/>
        <v>0</v>
      </c>
      <c r="AE344" s="160">
        <f t="shared" si="934"/>
        <v>0</v>
      </c>
      <c r="AF344" s="160">
        <f t="shared" si="934"/>
        <v>0</v>
      </c>
      <c r="AG344" s="160">
        <f t="shared" si="934"/>
        <v>0</v>
      </c>
      <c r="AH344" s="160">
        <f t="shared" si="934"/>
        <v>0</v>
      </c>
      <c r="AI344" s="160">
        <f t="shared" si="934"/>
        <v>0</v>
      </c>
      <c r="AJ344" s="160">
        <f t="shared" si="934"/>
        <v>0</v>
      </c>
      <c r="AK344" s="160">
        <f t="shared" si="934"/>
        <v>0</v>
      </c>
      <c r="AL344" s="160">
        <f t="shared" si="934"/>
        <v>0</v>
      </c>
      <c r="AM344" s="160">
        <f t="shared" si="934"/>
        <v>0</v>
      </c>
      <c r="AN344" s="160">
        <f t="shared" si="934"/>
        <v>0</v>
      </c>
      <c r="AO344" s="160">
        <f t="shared" si="934"/>
        <v>0</v>
      </c>
      <c r="AP344" s="160">
        <f t="shared" si="934"/>
        <v>0</v>
      </c>
      <c r="AQ344" s="160">
        <f t="shared" si="935"/>
        <v>0</v>
      </c>
      <c r="AR344" s="160">
        <f t="shared" si="935"/>
        <v>0</v>
      </c>
      <c r="AS344" s="160">
        <f t="shared" si="935"/>
        <v>0</v>
      </c>
      <c r="AT344" s="160">
        <f t="shared" si="935"/>
        <v>0</v>
      </c>
      <c r="AU344" s="160">
        <f t="shared" si="935"/>
        <v>0</v>
      </c>
      <c r="AV344" s="160">
        <f t="shared" si="935"/>
        <v>0</v>
      </c>
      <c r="AW344" s="160">
        <f t="shared" si="935"/>
        <v>0</v>
      </c>
      <c r="AX344" s="160">
        <f t="shared" si="935"/>
        <v>0</v>
      </c>
      <c r="AY344" s="160">
        <f t="shared" si="935"/>
        <v>0</v>
      </c>
      <c r="AZ344" s="160">
        <f t="shared" si="935"/>
        <v>0</v>
      </c>
      <c r="BA344" s="160">
        <f t="shared" si="935"/>
        <v>0</v>
      </c>
      <c r="BB344" s="160">
        <f t="shared" si="935"/>
        <v>0</v>
      </c>
      <c r="BC344" s="160">
        <f t="shared" si="935"/>
        <v>0</v>
      </c>
      <c r="BD344" s="160">
        <f t="shared" si="935"/>
        <v>0</v>
      </c>
      <c r="BE344" s="160">
        <f t="shared" si="935"/>
        <v>0</v>
      </c>
      <c r="BF344" s="160">
        <f t="shared" si="935"/>
        <v>0</v>
      </c>
      <c r="BG344" s="160">
        <f t="shared" si="936"/>
        <v>0</v>
      </c>
      <c r="BH344" s="160">
        <f t="shared" si="936"/>
        <v>0</v>
      </c>
      <c r="BI344" s="160">
        <f t="shared" si="936"/>
        <v>0</v>
      </c>
      <c r="BJ344" s="160">
        <f t="shared" si="936"/>
        <v>0</v>
      </c>
      <c r="BK344" s="160">
        <f t="shared" si="936"/>
        <v>0</v>
      </c>
      <c r="BL344" s="160">
        <f t="shared" si="936"/>
        <v>0</v>
      </c>
      <c r="BM344" s="160">
        <f t="shared" si="936"/>
        <v>0</v>
      </c>
      <c r="BN344" s="160">
        <f t="shared" si="936"/>
        <v>0</v>
      </c>
      <c r="BO344" s="160">
        <f t="shared" si="936"/>
        <v>0</v>
      </c>
      <c r="BP344" s="160">
        <f t="shared" si="936"/>
        <v>0</v>
      </c>
      <c r="BQ344" s="160">
        <f t="shared" si="936"/>
        <v>0</v>
      </c>
      <c r="BR344" s="160">
        <f t="shared" si="936"/>
        <v>0</v>
      </c>
      <c r="BS344" s="65"/>
      <c r="BT344" s="160">
        <f t="shared" si="937"/>
        <v>0</v>
      </c>
      <c r="BU344" s="160">
        <f t="shared" si="938"/>
        <v>0</v>
      </c>
      <c r="BV344" s="65"/>
      <c r="BW344" s="69"/>
      <c r="BX344" s="65"/>
      <c r="BY344" s="137">
        <f t="shared" si="939"/>
        <v>1</v>
      </c>
      <c r="BZ344" s="137">
        <f>IF(BY344&gt;0,BY344+LARGE($BZ$213:BZ343,1),0)</f>
        <v>112</v>
      </c>
      <c r="CA344" s="137" t="str">
        <f t="shared" si="940"/>
        <v>AN JR. ADM/CRP</v>
      </c>
      <c r="CB344" s="161">
        <f t="shared" si="941"/>
        <v>0</v>
      </c>
      <c r="CC344" s="161">
        <f t="shared" si="942"/>
        <v>0</v>
      </c>
      <c r="CD344" s="161">
        <f t="shared" si="943"/>
        <v>0</v>
      </c>
      <c r="CE344" s="161">
        <f t="shared" si="944"/>
        <v>0</v>
      </c>
      <c r="CF344" s="161">
        <f t="shared" si="945"/>
        <v>0</v>
      </c>
      <c r="CG344" s="161">
        <f t="shared" si="946"/>
        <v>0</v>
      </c>
      <c r="CH344" s="161">
        <f t="shared" si="947"/>
        <v>0</v>
      </c>
      <c r="CI344" s="161">
        <f t="shared" si="948"/>
        <v>0</v>
      </c>
      <c r="CJ344" s="161">
        <f t="shared" si="949"/>
        <v>0</v>
      </c>
      <c r="CK344" s="161">
        <f t="shared" si="950"/>
        <v>0</v>
      </c>
      <c r="CL344" s="161">
        <f t="shared" si="951"/>
        <v>0</v>
      </c>
      <c r="CM344" s="161">
        <f t="shared" si="952"/>
        <v>0</v>
      </c>
      <c r="CN344" s="161">
        <f t="shared" si="953"/>
        <v>0</v>
      </c>
      <c r="CO344" s="161">
        <f t="shared" si="954"/>
        <v>0</v>
      </c>
      <c r="CP344" s="161">
        <f t="shared" si="955"/>
        <v>0</v>
      </c>
      <c r="CQ344" s="161">
        <f t="shared" si="956"/>
        <v>0</v>
      </c>
      <c r="CR344" s="161">
        <f t="shared" si="957"/>
        <v>0</v>
      </c>
      <c r="CS344" s="161">
        <f t="shared" si="958"/>
        <v>0</v>
      </c>
      <c r="CT344" s="161">
        <f t="shared" si="959"/>
        <v>0</v>
      </c>
      <c r="CU344" s="161">
        <f t="shared" si="960"/>
        <v>0</v>
      </c>
      <c r="CV344" s="161">
        <f t="shared" si="961"/>
        <v>0</v>
      </c>
      <c r="CW344" s="161">
        <f t="shared" si="962"/>
        <v>0</v>
      </c>
      <c r="CX344" s="161">
        <f t="shared" si="963"/>
        <v>0</v>
      </c>
      <c r="CY344" s="161">
        <f t="shared" si="964"/>
        <v>0</v>
      </c>
      <c r="CZ344" s="161">
        <f t="shared" si="965"/>
        <v>0</v>
      </c>
      <c r="DA344" s="161">
        <f t="shared" si="966"/>
        <v>0</v>
      </c>
      <c r="DB344" s="161">
        <f t="shared" si="967"/>
        <v>0</v>
      </c>
      <c r="DC344" s="161">
        <f t="shared" si="968"/>
        <v>0</v>
      </c>
      <c r="DD344" s="161">
        <f t="shared" si="969"/>
        <v>0</v>
      </c>
      <c r="DE344" s="161">
        <f t="shared" si="970"/>
        <v>0</v>
      </c>
      <c r="DF344" s="161">
        <f t="shared" si="971"/>
        <v>0</v>
      </c>
      <c r="DG344" s="161">
        <f t="shared" si="972"/>
        <v>0</v>
      </c>
      <c r="DH344" s="161">
        <f t="shared" si="973"/>
        <v>0</v>
      </c>
      <c r="DI344" s="161">
        <f t="shared" si="974"/>
        <v>0</v>
      </c>
      <c r="DJ344" s="161">
        <f t="shared" si="975"/>
        <v>0</v>
      </c>
      <c r="DK344" s="161">
        <f t="shared" si="976"/>
        <v>0</v>
      </c>
      <c r="DL344" s="161">
        <f t="shared" si="977"/>
        <v>0</v>
      </c>
      <c r="DM344" s="161">
        <f t="shared" si="978"/>
        <v>0</v>
      </c>
      <c r="DN344" s="161">
        <f t="shared" si="979"/>
        <v>0</v>
      </c>
      <c r="DO344" s="161">
        <f t="shared" si="980"/>
        <v>0</v>
      </c>
      <c r="DP344" s="161">
        <f t="shared" si="981"/>
        <v>0</v>
      </c>
      <c r="DQ344" s="161">
        <f t="shared" si="982"/>
        <v>0</v>
      </c>
      <c r="DR344" s="161">
        <f t="shared" si="983"/>
        <v>0</v>
      </c>
      <c r="DS344" s="161">
        <f t="shared" si="984"/>
        <v>0</v>
      </c>
      <c r="DT344" s="161">
        <f t="shared" si="985"/>
        <v>0</v>
      </c>
      <c r="DU344" s="161">
        <f t="shared" si="986"/>
        <v>0</v>
      </c>
      <c r="DV344" s="161">
        <f t="shared" si="987"/>
        <v>0</v>
      </c>
      <c r="DW344" s="161">
        <f t="shared" si="988"/>
        <v>0</v>
      </c>
      <c r="DX344" s="161">
        <f t="shared" si="989"/>
        <v>0</v>
      </c>
      <c r="DY344" s="161">
        <f t="shared" si="990"/>
        <v>0</v>
      </c>
      <c r="DZ344" s="161">
        <f t="shared" si="991"/>
        <v>0</v>
      </c>
      <c r="EA344" s="161">
        <f t="shared" si="992"/>
        <v>0</v>
      </c>
      <c r="EB344" s="161">
        <f t="shared" si="993"/>
        <v>0</v>
      </c>
      <c r="EC344" s="161">
        <f t="shared" si="994"/>
        <v>0</v>
      </c>
      <c r="ED344" s="161">
        <f t="shared" si="995"/>
        <v>0</v>
      </c>
      <c r="EE344" s="161">
        <f t="shared" si="996"/>
        <v>0</v>
      </c>
      <c r="EF344" s="161">
        <f t="shared" si="997"/>
        <v>0</v>
      </c>
      <c r="EG344" s="161">
        <f t="shared" si="998"/>
        <v>0</v>
      </c>
      <c r="EH344" s="161">
        <f t="shared" si="999"/>
        <v>0</v>
      </c>
      <c r="EI344" s="161">
        <f t="shared" si="1000"/>
        <v>0</v>
      </c>
      <c r="EJ344" s="65"/>
      <c r="EK344" s="161">
        <f t="shared" si="931"/>
        <v>0</v>
      </c>
      <c r="EL344" s="161">
        <f t="shared" si="932"/>
        <v>0</v>
      </c>
      <c r="EM344" s="161">
        <f t="shared" si="933"/>
        <v>0</v>
      </c>
    </row>
    <row r="345" spans="1:143" ht="12" hidden="1" customHeight="1" outlineLevel="2">
      <c r="A345" s="77">
        <v>13</v>
      </c>
      <c r="B345" s="137" t="str">
        <f t="shared" si="928"/>
        <v>TEC III - Equipe_01</v>
      </c>
      <c r="C345" s="65"/>
      <c r="D345" s="622"/>
      <c r="E345" s="65"/>
      <c r="F345" s="584"/>
      <c r="G345" s="77" t="str">
        <f>IF(INDEX(Tarefas!$BT$30:$FK$30,MATCH(A345,Tarefas!$BT$28:$FK$28,0))=0,"",INDEX(Tarefas!$BT$30:$FK$30,MATCH(A345,Tarefas!$BT$28:$FK$28,0)))</f>
        <v>TEC III</v>
      </c>
      <c r="H345" s="107" cm="1">
        <f t="array" ref="H345">IFERROR((SUMPRODUCT((Tarefas!$N$32:$N$54='Cronog. e Histog.'!$F$333)*(Tarefas!$BQ$30:$FK$30='Cronog. e Histog.'!$G345)*(Tarefas!$BQ$32:$FK$54)))/SUMIF(Tarefas!$N$32:$N$54,'Cronog. e Histog.'!$F$333,Tarefas!$K$32:$K$54),0)</f>
        <v>0.92664092664092668</v>
      </c>
      <c r="I345" s="79">
        <f t="shared" si="929"/>
        <v>0.92664092664092668</v>
      </c>
      <c r="J345" s="65"/>
      <c r="K345" s="160">
        <f t="shared" si="930"/>
        <v>1</v>
      </c>
      <c r="L345" s="160">
        <f t="shared" si="863"/>
        <v>1</v>
      </c>
      <c r="M345" s="160">
        <f t="shared" si="863"/>
        <v>1</v>
      </c>
      <c r="N345" s="160">
        <f t="shared" si="863"/>
        <v>1</v>
      </c>
      <c r="O345" s="160">
        <f t="shared" si="863"/>
        <v>1</v>
      </c>
      <c r="P345" s="160">
        <f t="shared" si="863"/>
        <v>1</v>
      </c>
      <c r="Q345" s="160">
        <f t="shared" si="863"/>
        <v>1</v>
      </c>
      <c r="R345" s="160">
        <f t="shared" si="863"/>
        <v>1</v>
      </c>
      <c r="S345" s="160">
        <f t="shared" si="863"/>
        <v>1</v>
      </c>
      <c r="T345" s="160">
        <f t="shared" si="863"/>
        <v>1</v>
      </c>
      <c r="U345" s="160">
        <f t="shared" si="863"/>
        <v>0</v>
      </c>
      <c r="V345" s="160">
        <f t="shared" si="863"/>
        <v>0</v>
      </c>
      <c r="W345" s="160">
        <f t="shared" si="863"/>
        <v>0</v>
      </c>
      <c r="X345" s="160">
        <f t="shared" si="863"/>
        <v>0</v>
      </c>
      <c r="Y345" s="160">
        <f t="shared" si="863"/>
        <v>0</v>
      </c>
      <c r="Z345" s="160">
        <f t="shared" si="863"/>
        <v>0</v>
      </c>
      <c r="AA345" s="160">
        <f t="shared" si="863"/>
        <v>0</v>
      </c>
      <c r="AB345" s="160">
        <f t="shared" si="863"/>
        <v>0</v>
      </c>
      <c r="AC345" s="160">
        <f t="shared" si="863"/>
        <v>0</v>
      </c>
      <c r="AD345" s="160">
        <f t="shared" si="863"/>
        <v>0</v>
      </c>
      <c r="AE345" s="160">
        <f t="shared" si="863"/>
        <v>0</v>
      </c>
      <c r="AF345" s="160">
        <f t="shared" si="863"/>
        <v>0</v>
      </c>
      <c r="AG345" s="160">
        <f t="shared" si="863"/>
        <v>0</v>
      </c>
      <c r="AH345" s="160">
        <f t="shared" si="863"/>
        <v>0</v>
      </c>
      <c r="AI345" s="160">
        <f t="shared" si="863"/>
        <v>0</v>
      </c>
      <c r="AJ345" s="160">
        <f t="shared" si="863"/>
        <v>0</v>
      </c>
      <c r="AK345" s="160">
        <f t="shared" si="863"/>
        <v>0</v>
      </c>
      <c r="AL345" s="160">
        <f t="shared" si="863"/>
        <v>0</v>
      </c>
      <c r="AM345" s="160">
        <f t="shared" si="863"/>
        <v>0</v>
      </c>
      <c r="AN345" s="160">
        <f t="shared" si="863"/>
        <v>0</v>
      </c>
      <c r="AO345" s="160">
        <f t="shared" si="863"/>
        <v>0</v>
      </c>
      <c r="AP345" s="160">
        <f t="shared" si="863"/>
        <v>0</v>
      </c>
      <c r="AQ345" s="160">
        <f t="shared" si="863"/>
        <v>0</v>
      </c>
      <c r="AR345" s="160">
        <f t="shared" si="863"/>
        <v>0</v>
      </c>
      <c r="AS345" s="160">
        <f t="shared" si="863"/>
        <v>0</v>
      </c>
      <c r="AT345" s="160">
        <f t="shared" si="863"/>
        <v>0</v>
      </c>
      <c r="AU345" s="160">
        <f t="shared" si="863"/>
        <v>0</v>
      </c>
      <c r="AV345" s="160">
        <f t="shared" si="863"/>
        <v>0</v>
      </c>
      <c r="AW345" s="160">
        <f t="shared" si="863"/>
        <v>0</v>
      </c>
      <c r="AX345" s="160">
        <f t="shared" si="863"/>
        <v>0</v>
      </c>
      <c r="AY345" s="160">
        <f t="shared" si="863"/>
        <v>0</v>
      </c>
      <c r="AZ345" s="160">
        <f t="shared" si="863"/>
        <v>0</v>
      </c>
      <c r="BA345" s="160">
        <f t="shared" si="863"/>
        <v>0</v>
      </c>
      <c r="BB345" s="160">
        <f t="shared" si="863"/>
        <v>0</v>
      </c>
      <c r="BC345" s="160">
        <f t="shared" si="863"/>
        <v>0</v>
      </c>
      <c r="BD345" s="160">
        <f t="shared" si="863"/>
        <v>0</v>
      </c>
      <c r="BE345" s="160">
        <f t="shared" si="863"/>
        <v>0</v>
      </c>
      <c r="BF345" s="160">
        <f t="shared" si="863"/>
        <v>0</v>
      </c>
      <c r="BG345" s="160">
        <f t="shared" si="863"/>
        <v>0</v>
      </c>
      <c r="BH345" s="160">
        <f t="shared" si="863"/>
        <v>0</v>
      </c>
      <c r="BI345" s="160">
        <f t="shared" si="863"/>
        <v>0</v>
      </c>
      <c r="BJ345" s="160">
        <f t="shared" si="863"/>
        <v>0</v>
      </c>
      <c r="BK345" s="160">
        <f t="shared" si="863"/>
        <v>0</v>
      </c>
      <c r="BL345" s="160">
        <f t="shared" si="863"/>
        <v>0</v>
      </c>
      <c r="BM345" s="160">
        <f t="shared" si="863"/>
        <v>0</v>
      </c>
      <c r="BN345" s="160">
        <f t="shared" si="863"/>
        <v>0</v>
      </c>
      <c r="BO345" s="160">
        <f t="shared" si="863"/>
        <v>0</v>
      </c>
      <c r="BP345" s="160">
        <f t="shared" si="863"/>
        <v>0</v>
      </c>
      <c r="BQ345" s="160">
        <f t="shared" si="863"/>
        <v>0</v>
      </c>
      <c r="BR345" s="160">
        <f t="shared" si="863"/>
        <v>0</v>
      </c>
      <c r="BS345" s="65"/>
      <c r="BT345" s="160">
        <f t="shared" si="864"/>
        <v>1</v>
      </c>
      <c r="BU345" s="160">
        <f t="shared" si="865"/>
        <v>10</v>
      </c>
      <c r="BV345" s="65"/>
      <c r="BW345" s="69"/>
      <c r="BX345" s="65"/>
      <c r="BY345" s="137">
        <f t="shared" si="866"/>
        <v>1</v>
      </c>
      <c r="BZ345" s="137">
        <f>IF(BY345&gt;0,BY345+LARGE($BZ$213:BZ344,1),0)</f>
        <v>113</v>
      </c>
      <c r="CA345" s="137" t="str">
        <f t="shared" si="867"/>
        <v>TEC III</v>
      </c>
      <c r="CB345" s="161">
        <f t="shared" si="868"/>
        <v>1</v>
      </c>
      <c r="CC345" s="161">
        <f t="shared" si="869"/>
        <v>1</v>
      </c>
      <c r="CD345" s="161">
        <f t="shared" si="870"/>
        <v>1</v>
      </c>
      <c r="CE345" s="161">
        <f t="shared" si="871"/>
        <v>1</v>
      </c>
      <c r="CF345" s="161">
        <f t="shared" si="872"/>
        <v>1</v>
      </c>
      <c r="CG345" s="161">
        <f t="shared" si="873"/>
        <v>1</v>
      </c>
      <c r="CH345" s="161">
        <f t="shared" si="874"/>
        <v>1</v>
      </c>
      <c r="CI345" s="161">
        <f t="shared" si="875"/>
        <v>1</v>
      </c>
      <c r="CJ345" s="161">
        <f t="shared" si="876"/>
        <v>1</v>
      </c>
      <c r="CK345" s="161">
        <f t="shared" si="877"/>
        <v>1</v>
      </c>
      <c r="CL345" s="161">
        <f t="shared" si="878"/>
        <v>0</v>
      </c>
      <c r="CM345" s="161">
        <f t="shared" si="879"/>
        <v>0</v>
      </c>
      <c r="CN345" s="161">
        <f t="shared" si="880"/>
        <v>0</v>
      </c>
      <c r="CO345" s="161">
        <f t="shared" si="881"/>
        <v>0</v>
      </c>
      <c r="CP345" s="161">
        <f t="shared" si="882"/>
        <v>0</v>
      </c>
      <c r="CQ345" s="161">
        <f t="shared" si="883"/>
        <v>0</v>
      </c>
      <c r="CR345" s="161">
        <f t="shared" si="884"/>
        <v>0</v>
      </c>
      <c r="CS345" s="161">
        <f t="shared" si="885"/>
        <v>0</v>
      </c>
      <c r="CT345" s="161">
        <f t="shared" si="886"/>
        <v>0</v>
      </c>
      <c r="CU345" s="161">
        <f t="shared" si="887"/>
        <v>0</v>
      </c>
      <c r="CV345" s="161">
        <f t="shared" si="888"/>
        <v>0</v>
      </c>
      <c r="CW345" s="161">
        <f t="shared" si="889"/>
        <v>0</v>
      </c>
      <c r="CX345" s="161">
        <f t="shared" si="890"/>
        <v>0</v>
      </c>
      <c r="CY345" s="161">
        <f t="shared" si="891"/>
        <v>0</v>
      </c>
      <c r="CZ345" s="161">
        <f t="shared" si="892"/>
        <v>0</v>
      </c>
      <c r="DA345" s="161">
        <f t="shared" si="893"/>
        <v>0</v>
      </c>
      <c r="DB345" s="161">
        <f t="shared" si="894"/>
        <v>0</v>
      </c>
      <c r="DC345" s="161">
        <f t="shared" si="895"/>
        <v>0</v>
      </c>
      <c r="DD345" s="161">
        <f t="shared" si="896"/>
        <v>0</v>
      </c>
      <c r="DE345" s="161">
        <f t="shared" si="897"/>
        <v>0</v>
      </c>
      <c r="DF345" s="161">
        <f t="shared" si="898"/>
        <v>0</v>
      </c>
      <c r="DG345" s="161">
        <f t="shared" si="899"/>
        <v>0</v>
      </c>
      <c r="DH345" s="161">
        <f t="shared" si="900"/>
        <v>0</v>
      </c>
      <c r="DI345" s="161">
        <f t="shared" si="901"/>
        <v>0</v>
      </c>
      <c r="DJ345" s="161">
        <f t="shared" si="902"/>
        <v>0</v>
      </c>
      <c r="DK345" s="161">
        <f t="shared" si="903"/>
        <v>0</v>
      </c>
      <c r="DL345" s="161">
        <f t="shared" si="904"/>
        <v>0</v>
      </c>
      <c r="DM345" s="161">
        <f t="shared" si="905"/>
        <v>0</v>
      </c>
      <c r="DN345" s="161">
        <f t="shared" si="906"/>
        <v>0</v>
      </c>
      <c r="DO345" s="161">
        <f t="shared" si="907"/>
        <v>0</v>
      </c>
      <c r="DP345" s="161">
        <f t="shared" si="908"/>
        <v>0</v>
      </c>
      <c r="DQ345" s="161">
        <f t="shared" si="909"/>
        <v>0</v>
      </c>
      <c r="DR345" s="161">
        <f t="shared" si="910"/>
        <v>0</v>
      </c>
      <c r="DS345" s="161">
        <f t="shared" si="911"/>
        <v>0</v>
      </c>
      <c r="DT345" s="161">
        <f t="shared" si="912"/>
        <v>0</v>
      </c>
      <c r="DU345" s="161">
        <f t="shared" si="913"/>
        <v>0</v>
      </c>
      <c r="DV345" s="161">
        <f t="shared" si="914"/>
        <v>0</v>
      </c>
      <c r="DW345" s="161">
        <f t="shared" si="915"/>
        <v>0</v>
      </c>
      <c r="DX345" s="161">
        <f t="shared" si="916"/>
        <v>0</v>
      </c>
      <c r="DY345" s="161">
        <f t="shared" si="917"/>
        <v>0</v>
      </c>
      <c r="DZ345" s="161">
        <f t="shared" si="918"/>
        <v>0</v>
      </c>
      <c r="EA345" s="161">
        <f t="shared" si="919"/>
        <v>0</v>
      </c>
      <c r="EB345" s="161">
        <f t="shared" si="920"/>
        <v>0</v>
      </c>
      <c r="EC345" s="161">
        <f t="shared" si="921"/>
        <v>0</v>
      </c>
      <c r="ED345" s="161">
        <f t="shared" si="922"/>
        <v>0</v>
      </c>
      <c r="EE345" s="161">
        <f t="shared" si="923"/>
        <v>0</v>
      </c>
      <c r="EF345" s="161">
        <f t="shared" si="924"/>
        <v>0</v>
      </c>
      <c r="EG345" s="161">
        <f t="shared" si="925"/>
        <v>0</v>
      </c>
      <c r="EH345" s="161">
        <f t="shared" si="926"/>
        <v>0</v>
      </c>
      <c r="EI345" s="161">
        <f t="shared" si="927"/>
        <v>0</v>
      </c>
      <c r="EJ345" s="65"/>
      <c r="EK345" s="161">
        <f t="shared" si="931"/>
        <v>0</v>
      </c>
      <c r="EL345" s="161">
        <f t="shared" si="932"/>
        <v>0</v>
      </c>
      <c r="EM345" s="161">
        <f t="shared" si="933"/>
        <v>0</v>
      </c>
    </row>
    <row r="346" spans="1:143" ht="12" hidden="1" customHeight="1" outlineLevel="2">
      <c r="A346" s="77">
        <v>14</v>
      </c>
      <c r="B346" s="137" t="str">
        <f t="shared" si="928"/>
        <v>TEC II - Equipe_01</v>
      </c>
      <c r="C346" s="65"/>
      <c r="D346" s="622"/>
      <c r="E346" s="65"/>
      <c r="F346" s="584"/>
      <c r="G346" s="77" t="str">
        <f>IF(INDEX(Tarefas!$BT$30:$FK$30,MATCH(A346,Tarefas!$BT$28:$FK$28,0))=0,"",INDEX(Tarefas!$BT$30:$FK$30,MATCH(A346,Tarefas!$BT$28:$FK$28,0)))</f>
        <v>TEC II</v>
      </c>
      <c r="H346" s="107" cm="1">
        <f t="array" ref="H346">IFERROR((SUMPRODUCT((Tarefas!$N$32:$N$54='Cronog. e Histog.'!$F$333)*(Tarefas!$BQ$30:$FK$30='Cronog. e Histog.'!$G346)*(Tarefas!$BQ$32:$FK$54)))/SUMIF(Tarefas!$N$32:$N$54,'Cronog. e Histog.'!$F$333,Tarefas!$K$32:$K$54),0)</f>
        <v>0</v>
      </c>
      <c r="I346" s="79">
        <f t="shared" si="929"/>
        <v>0</v>
      </c>
      <c r="J346" s="65"/>
      <c r="K346" s="160">
        <f t="shared" si="930"/>
        <v>0</v>
      </c>
      <c r="L346" s="160">
        <f t="shared" si="863"/>
        <v>0</v>
      </c>
      <c r="M346" s="160">
        <f t="shared" si="863"/>
        <v>0</v>
      </c>
      <c r="N346" s="160">
        <f t="shared" si="863"/>
        <v>0</v>
      </c>
      <c r="O346" s="160">
        <f t="shared" si="863"/>
        <v>0</v>
      </c>
      <c r="P346" s="160">
        <f t="shared" si="863"/>
        <v>0</v>
      </c>
      <c r="Q346" s="160">
        <f t="shared" si="863"/>
        <v>0</v>
      </c>
      <c r="R346" s="160">
        <f t="shared" si="863"/>
        <v>0</v>
      </c>
      <c r="S346" s="160">
        <f t="shared" si="863"/>
        <v>0</v>
      </c>
      <c r="T346" s="160">
        <f t="shared" si="863"/>
        <v>0</v>
      </c>
      <c r="U346" s="160">
        <f t="shared" si="863"/>
        <v>0</v>
      </c>
      <c r="V346" s="160">
        <f t="shared" si="863"/>
        <v>0</v>
      </c>
      <c r="W346" s="160">
        <f t="shared" si="863"/>
        <v>0</v>
      </c>
      <c r="X346" s="160">
        <f t="shared" si="863"/>
        <v>0</v>
      </c>
      <c r="Y346" s="160">
        <f t="shared" si="863"/>
        <v>0</v>
      </c>
      <c r="Z346" s="160">
        <f t="shared" si="863"/>
        <v>0</v>
      </c>
      <c r="AA346" s="160">
        <f t="shared" si="863"/>
        <v>0</v>
      </c>
      <c r="AB346" s="160">
        <f t="shared" si="863"/>
        <v>0</v>
      </c>
      <c r="AC346" s="160">
        <f t="shared" si="863"/>
        <v>0</v>
      </c>
      <c r="AD346" s="160">
        <f t="shared" si="863"/>
        <v>0</v>
      </c>
      <c r="AE346" s="160">
        <f t="shared" si="863"/>
        <v>0</v>
      </c>
      <c r="AF346" s="160">
        <f t="shared" si="863"/>
        <v>0</v>
      </c>
      <c r="AG346" s="160">
        <f t="shared" si="863"/>
        <v>0</v>
      </c>
      <c r="AH346" s="160">
        <f t="shared" si="863"/>
        <v>0</v>
      </c>
      <c r="AI346" s="160">
        <f t="shared" si="863"/>
        <v>0</v>
      </c>
      <c r="AJ346" s="160">
        <f t="shared" si="863"/>
        <v>0</v>
      </c>
      <c r="AK346" s="160">
        <f t="shared" si="863"/>
        <v>0</v>
      </c>
      <c r="AL346" s="160">
        <f t="shared" si="863"/>
        <v>0</v>
      </c>
      <c r="AM346" s="160">
        <f t="shared" si="863"/>
        <v>0</v>
      </c>
      <c r="AN346" s="160">
        <f t="shared" si="863"/>
        <v>0</v>
      </c>
      <c r="AO346" s="160">
        <f t="shared" si="863"/>
        <v>0</v>
      </c>
      <c r="AP346" s="160">
        <f t="shared" si="863"/>
        <v>0</v>
      </c>
      <c r="AQ346" s="160">
        <f t="shared" si="863"/>
        <v>0</v>
      </c>
      <c r="AR346" s="160">
        <f t="shared" si="863"/>
        <v>0</v>
      </c>
      <c r="AS346" s="160">
        <f t="shared" si="863"/>
        <v>0</v>
      </c>
      <c r="AT346" s="160">
        <f t="shared" si="863"/>
        <v>0</v>
      </c>
      <c r="AU346" s="160">
        <f t="shared" si="863"/>
        <v>0</v>
      </c>
      <c r="AV346" s="160">
        <f t="shared" si="863"/>
        <v>0</v>
      </c>
      <c r="AW346" s="160">
        <f t="shared" si="863"/>
        <v>0</v>
      </c>
      <c r="AX346" s="160">
        <f t="shared" si="863"/>
        <v>0</v>
      </c>
      <c r="AY346" s="160">
        <f t="shared" si="863"/>
        <v>0</v>
      </c>
      <c r="AZ346" s="160">
        <f t="shared" si="863"/>
        <v>0</v>
      </c>
      <c r="BA346" s="160">
        <f t="shared" si="863"/>
        <v>0</v>
      </c>
      <c r="BB346" s="160">
        <f t="shared" si="863"/>
        <v>0</v>
      </c>
      <c r="BC346" s="160">
        <f t="shared" si="863"/>
        <v>0</v>
      </c>
      <c r="BD346" s="160">
        <f t="shared" si="863"/>
        <v>0</v>
      </c>
      <c r="BE346" s="160">
        <f t="shared" si="863"/>
        <v>0</v>
      </c>
      <c r="BF346" s="160">
        <f t="shared" si="863"/>
        <v>0</v>
      </c>
      <c r="BG346" s="160">
        <f t="shared" si="863"/>
        <v>0</v>
      </c>
      <c r="BH346" s="160">
        <f t="shared" si="863"/>
        <v>0</v>
      </c>
      <c r="BI346" s="160">
        <f t="shared" si="863"/>
        <v>0</v>
      </c>
      <c r="BJ346" s="160">
        <f t="shared" si="863"/>
        <v>0</v>
      </c>
      <c r="BK346" s="160">
        <f t="shared" si="863"/>
        <v>0</v>
      </c>
      <c r="BL346" s="160">
        <f t="shared" si="863"/>
        <v>0</v>
      </c>
      <c r="BM346" s="160">
        <f t="shared" si="863"/>
        <v>0</v>
      </c>
      <c r="BN346" s="160">
        <f t="shared" si="863"/>
        <v>0</v>
      </c>
      <c r="BO346" s="160">
        <f t="shared" si="863"/>
        <v>0</v>
      </c>
      <c r="BP346" s="160">
        <f t="shared" si="863"/>
        <v>0</v>
      </c>
      <c r="BQ346" s="160">
        <f t="shared" si="863"/>
        <v>0</v>
      </c>
      <c r="BR346" s="160">
        <f t="shared" si="863"/>
        <v>0</v>
      </c>
      <c r="BS346" s="65"/>
      <c r="BT346" s="160">
        <f t="shared" si="864"/>
        <v>0</v>
      </c>
      <c r="BU346" s="160">
        <f t="shared" si="865"/>
        <v>0</v>
      </c>
      <c r="BV346" s="65"/>
      <c r="BW346" s="69"/>
      <c r="BX346" s="65"/>
      <c r="BY346" s="137">
        <f t="shared" si="866"/>
        <v>1</v>
      </c>
      <c r="BZ346" s="137">
        <f>IF(BY346&gt;0,BY346+LARGE($BZ$213:BZ345,1),0)</f>
        <v>114</v>
      </c>
      <c r="CA346" s="137" t="str">
        <f t="shared" si="867"/>
        <v>TEC II</v>
      </c>
      <c r="CB346" s="161">
        <f t="shared" si="868"/>
        <v>0</v>
      </c>
      <c r="CC346" s="161">
        <f t="shared" si="869"/>
        <v>0</v>
      </c>
      <c r="CD346" s="161">
        <f t="shared" si="870"/>
        <v>0</v>
      </c>
      <c r="CE346" s="161">
        <f t="shared" si="871"/>
        <v>0</v>
      </c>
      <c r="CF346" s="161">
        <f t="shared" si="872"/>
        <v>0</v>
      </c>
      <c r="CG346" s="161">
        <f t="shared" si="873"/>
        <v>0</v>
      </c>
      <c r="CH346" s="161">
        <f t="shared" si="874"/>
        <v>0</v>
      </c>
      <c r="CI346" s="161">
        <f t="shared" si="875"/>
        <v>0</v>
      </c>
      <c r="CJ346" s="161">
        <f t="shared" si="876"/>
        <v>0</v>
      </c>
      <c r="CK346" s="161">
        <f t="shared" si="877"/>
        <v>0</v>
      </c>
      <c r="CL346" s="161">
        <f t="shared" si="878"/>
        <v>0</v>
      </c>
      <c r="CM346" s="161">
        <f t="shared" si="879"/>
        <v>0</v>
      </c>
      <c r="CN346" s="161">
        <f t="shared" si="880"/>
        <v>0</v>
      </c>
      <c r="CO346" s="161">
        <f t="shared" si="881"/>
        <v>0</v>
      </c>
      <c r="CP346" s="161">
        <f t="shared" si="882"/>
        <v>0</v>
      </c>
      <c r="CQ346" s="161">
        <f t="shared" si="883"/>
        <v>0</v>
      </c>
      <c r="CR346" s="161">
        <f t="shared" si="884"/>
        <v>0</v>
      </c>
      <c r="CS346" s="161">
        <f t="shared" si="885"/>
        <v>0</v>
      </c>
      <c r="CT346" s="161">
        <f t="shared" si="886"/>
        <v>0</v>
      </c>
      <c r="CU346" s="161">
        <f t="shared" si="887"/>
        <v>0</v>
      </c>
      <c r="CV346" s="161">
        <f t="shared" si="888"/>
        <v>0</v>
      </c>
      <c r="CW346" s="161">
        <f t="shared" si="889"/>
        <v>0</v>
      </c>
      <c r="CX346" s="161">
        <f t="shared" si="890"/>
        <v>0</v>
      </c>
      <c r="CY346" s="161">
        <f t="shared" si="891"/>
        <v>0</v>
      </c>
      <c r="CZ346" s="161">
        <f t="shared" si="892"/>
        <v>0</v>
      </c>
      <c r="DA346" s="161">
        <f t="shared" si="893"/>
        <v>0</v>
      </c>
      <c r="DB346" s="161">
        <f t="shared" si="894"/>
        <v>0</v>
      </c>
      <c r="DC346" s="161">
        <f t="shared" si="895"/>
        <v>0</v>
      </c>
      <c r="DD346" s="161">
        <f t="shared" si="896"/>
        <v>0</v>
      </c>
      <c r="DE346" s="161">
        <f t="shared" si="897"/>
        <v>0</v>
      </c>
      <c r="DF346" s="161">
        <f t="shared" si="898"/>
        <v>0</v>
      </c>
      <c r="DG346" s="161">
        <f t="shared" si="899"/>
        <v>0</v>
      </c>
      <c r="DH346" s="161">
        <f t="shared" si="900"/>
        <v>0</v>
      </c>
      <c r="DI346" s="161">
        <f t="shared" si="901"/>
        <v>0</v>
      </c>
      <c r="DJ346" s="161">
        <f t="shared" si="902"/>
        <v>0</v>
      </c>
      <c r="DK346" s="161">
        <f t="shared" si="903"/>
        <v>0</v>
      </c>
      <c r="DL346" s="161">
        <f t="shared" si="904"/>
        <v>0</v>
      </c>
      <c r="DM346" s="161">
        <f t="shared" si="905"/>
        <v>0</v>
      </c>
      <c r="DN346" s="161">
        <f t="shared" si="906"/>
        <v>0</v>
      </c>
      <c r="DO346" s="161">
        <f t="shared" si="907"/>
        <v>0</v>
      </c>
      <c r="DP346" s="161">
        <f t="shared" si="908"/>
        <v>0</v>
      </c>
      <c r="DQ346" s="161">
        <f t="shared" si="909"/>
        <v>0</v>
      </c>
      <c r="DR346" s="161">
        <f t="shared" si="910"/>
        <v>0</v>
      </c>
      <c r="DS346" s="161">
        <f t="shared" si="911"/>
        <v>0</v>
      </c>
      <c r="DT346" s="161">
        <f t="shared" si="912"/>
        <v>0</v>
      </c>
      <c r="DU346" s="161">
        <f t="shared" si="913"/>
        <v>0</v>
      </c>
      <c r="DV346" s="161">
        <f t="shared" si="914"/>
        <v>0</v>
      </c>
      <c r="DW346" s="161">
        <f t="shared" si="915"/>
        <v>0</v>
      </c>
      <c r="DX346" s="161">
        <f t="shared" si="916"/>
        <v>0</v>
      </c>
      <c r="DY346" s="161">
        <f t="shared" si="917"/>
        <v>0</v>
      </c>
      <c r="DZ346" s="161">
        <f t="shared" si="918"/>
        <v>0</v>
      </c>
      <c r="EA346" s="161">
        <f t="shared" si="919"/>
        <v>0</v>
      </c>
      <c r="EB346" s="161">
        <f t="shared" si="920"/>
        <v>0</v>
      </c>
      <c r="EC346" s="161">
        <f t="shared" si="921"/>
        <v>0</v>
      </c>
      <c r="ED346" s="161">
        <f t="shared" si="922"/>
        <v>0</v>
      </c>
      <c r="EE346" s="161">
        <f t="shared" si="923"/>
        <v>0</v>
      </c>
      <c r="EF346" s="161">
        <f t="shared" si="924"/>
        <v>0</v>
      </c>
      <c r="EG346" s="161">
        <f t="shared" si="925"/>
        <v>0</v>
      </c>
      <c r="EH346" s="161">
        <f t="shared" si="926"/>
        <v>0</v>
      </c>
      <c r="EI346" s="161">
        <f t="shared" si="927"/>
        <v>0</v>
      </c>
      <c r="EJ346" s="65"/>
      <c r="EK346" s="161">
        <f t="shared" si="931"/>
        <v>0</v>
      </c>
      <c r="EL346" s="161">
        <f t="shared" si="932"/>
        <v>0</v>
      </c>
      <c r="EM346" s="161">
        <f t="shared" si="933"/>
        <v>0</v>
      </c>
    </row>
    <row r="347" spans="1:143" ht="12" hidden="1" customHeight="1" outlineLevel="2">
      <c r="A347" s="77">
        <v>15</v>
      </c>
      <c r="B347" s="137" t="str">
        <f t="shared" si="928"/>
        <v>TEC I - Equipe_01</v>
      </c>
      <c r="C347" s="65"/>
      <c r="D347" s="622"/>
      <c r="E347" s="65"/>
      <c r="F347" s="584"/>
      <c r="G347" s="77" t="str">
        <f>IF(INDEX(Tarefas!$BT$30:$FK$30,MATCH(A347,Tarefas!$BT$28:$FK$28,0))=0,"",INDEX(Tarefas!$BT$30:$FK$30,MATCH(A347,Tarefas!$BT$28:$FK$28,0)))</f>
        <v>TEC I</v>
      </c>
      <c r="H347" s="107" cm="1">
        <f t="array" ref="H347">IFERROR((SUMPRODUCT((Tarefas!$N$32:$N$54='Cronog. e Histog.'!$F$333)*(Tarefas!$BQ$30:$FK$30='Cronog. e Histog.'!$G347)*(Tarefas!$BQ$32:$FK$54)))/SUMIF(Tarefas!$N$32:$N$54,'Cronog. e Histog.'!$F$333,Tarefas!$K$32:$K$54),0)</f>
        <v>0</v>
      </c>
      <c r="I347" s="79">
        <f t="shared" si="929"/>
        <v>0</v>
      </c>
      <c r="J347" s="65"/>
      <c r="K347" s="160">
        <f t="shared" si="930"/>
        <v>0</v>
      </c>
      <c r="L347" s="160">
        <f t="shared" si="863"/>
        <v>0</v>
      </c>
      <c r="M347" s="160">
        <f t="shared" si="863"/>
        <v>0</v>
      </c>
      <c r="N347" s="160">
        <f t="shared" si="863"/>
        <v>0</v>
      </c>
      <c r="O347" s="160">
        <f t="shared" si="863"/>
        <v>0</v>
      </c>
      <c r="P347" s="160">
        <f t="shared" si="863"/>
        <v>0</v>
      </c>
      <c r="Q347" s="160">
        <f t="shared" si="863"/>
        <v>0</v>
      </c>
      <c r="R347" s="160">
        <f t="shared" si="863"/>
        <v>0</v>
      </c>
      <c r="S347" s="160">
        <f t="shared" si="863"/>
        <v>0</v>
      </c>
      <c r="T347" s="160">
        <f t="shared" si="863"/>
        <v>0</v>
      </c>
      <c r="U347" s="160">
        <f t="shared" si="863"/>
        <v>0</v>
      </c>
      <c r="V347" s="160">
        <f t="shared" si="863"/>
        <v>0</v>
      </c>
      <c r="W347" s="160">
        <f t="shared" si="863"/>
        <v>0</v>
      </c>
      <c r="X347" s="160">
        <f t="shared" si="863"/>
        <v>0</v>
      </c>
      <c r="Y347" s="160">
        <f t="shared" si="863"/>
        <v>0</v>
      </c>
      <c r="Z347" s="160">
        <f t="shared" si="863"/>
        <v>0</v>
      </c>
      <c r="AA347" s="160">
        <f t="shared" si="863"/>
        <v>0</v>
      </c>
      <c r="AB347" s="160">
        <f t="shared" si="863"/>
        <v>0</v>
      </c>
      <c r="AC347" s="160">
        <f t="shared" si="863"/>
        <v>0</v>
      </c>
      <c r="AD347" s="160">
        <f t="shared" si="863"/>
        <v>0</v>
      </c>
      <c r="AE347" s="160">
        <f t="shared" si="863"/>
        <v>0</v>
      </c>
      <c r="AF347" s="160">
        <f t="shared" si="863"/>
        <v>0</v>
      </c>
      <c r="AG347" s="160">
        <f t="shared" si="863"/>
        <v>0</v>
      </c>
      <c r="AH347" s="160">
        <f t="shared" si="863"/>
        <v>0</v>
      </c>
      <c r="AI347" s="160">
        <f t="shared" si="863"/>
        <v>0</v>
      </c>
      <c r="AJ347" s="160">
        <f t="shared" si="863"/>
        <v>0</v>
      </c>
      <c r="AK347" s="160">
        <f t="shared" si="863"/>
        <v>0</v>
      </c>
      <c r="AL347" s="160">
        <f t="shared" si="863"/>
        <v>0</v>
      </c>
      <c r="AM347" s="160">
        <f t="shared" si="863"/>
        <v>0</v>
      </c>
      <c r="AN347" s="160">
        <f t="shared" si="863"/>
        <v>0</v>
      </c>
      <c r="AO347" s="160">
        <f t="shared" si="863"/>
        <v>0</v>
      </c>
      <c r="AP347" s="160">
        <f t="shared" si="863"/>
        <v>0</v>
      </c>
      <c r="AQ347" s="160">
        <f t="shared" si="863"/>
        <v>0</v>
      </c>
      <c r="AR347" s="160">
        <f t="shared" si="863"/>
        <v>0</v>
      </c>
      <c r="AS347" s="160">
        <f t="shared" si="863"/>
        <v>0</v>
      </c>
      <c r="AT347" s="160">
        <f t="shared" ref="L347:BR351" si="1001">ROUND($I347*AT$188,2)</f>
        <v>0</v>
      </c>
      <c r="AU347" s="160">
        <f t="shared" si="1001"/>
        <v>0</v>
      </c>
      <c r="AV347" s="160">
        <f t="shared" si="1001"/>
        <v>0</v>
      </c>
      <c r="AW347" s="160">
        <f t="shared" si="1001"/>
        <v>0</v>
      </c>
      <c r="AX347" s="160">
        <f t="shared" si="1001"/>
        <v>0</v>
      </c>
      <c r="AY347" s="160">
        <f t="shared" si="1001"/>
        <v>0</v>
      </c>
      <c r="AZ347" s="160">
        <f t="shared" si="1001"/>
        <v>0</v>
      </c>
      <c r="BA347" s="160">
        <f t="shared" si="1001"/>
        <v>0</v>
      </c>
      <c r="BB347" s="160">
        <f t="shared" si="1001"/>
        <v>0</v>
      </c>
      <c r="BC347" s="160">
        <f t="shared" si="1001"/>
        <v>0</v>
      </c>
      <c r="BD347" s="160">
        <f t="shared" si="1001"/>
        <v>0</v>
      </c>
      <c r="BE347" s="160">
        <f t="shared" si="1001"/>
        <v>0</v>
      </c>
      <c r="BF347" s="160">
        <f t="shared" si="1001"/>
        <v>0</v>
      </c>
      <c r="BG347" s="160">
        <f t="shared" si="1001"/>
        <v>0</v>
      </c>
      <c r="BH347" s="160">
        <f t="shared" si="1001"/>
        <v>0</v>
      </c>
      <c r="BI347" s="160">
        <f t="shared" si="1001"/>
        <v>0</v>
      </c>
      <c r="BJ347" s="160">
        <f t="shared" si="1001"/>
        <v>0</v>
      </c>
      <c r="BK347" s="160">
        <f t="shared" si="1001"/>
        <v>0</v>
      </c>
      <c r="BL347" s="160">
        <f t="shared" si="1001"/>
        <v>0</v>
      </c>
      <c r="BM347" s="160">
        <f t="shared" si="1001"/>
        <v>0</v>
      </c>
      <c r="BN347" s="160">
        <f t="shared" si="1001"/>
        <v>0</v>
      </c>
      <c r="BO347" s="160">
        <f t="shared" si="1001"/>
        <v>0</v>
      </c>
      <c r="BP347" s="160">
        <f t="shared" si="1001"/>
        <v>0</v>
      </c>
      <c r="BQ347" s="160">
        <f t="shared" si="1001"/>
        <v>0</v>
      </c>
      <c r="BR347" s="160">
        <f t="shared" si="1001"/>
        <v>0</v>
      </c>
      <c r="BS347" s="65"/>
      <c r="BT347" s="160">
        <f t="shared" si="864"/>
        <v>0</v>
      </c>
      <c r="BU347" s="160">
        <f t="shared" si="865"/>
        <v>0</v>
      </c>
      <c r="BV347" s="65"/>
      <c r="BW347" s="69"/>
      <c r="BX347" s="65"/>
      <c r="BY347" s="137">
        <f t="shared" si="866"/>
        <v>1</v>
      </c>
      <c r="BZ347" s="137">
        <f>IF(BY347&gt;0,BY347+LARGE($BZ$213:BZ346,1),0)</f>
        <v>115</v>
      </c>
      <c r="CA347" s="137" t="str">
        <f t="shared" si="867"/>
        <v>TEC I</v>
      </c>
      <c r="CB347" s="161">
        <f t="shared" si="868"/>
        <v>0</v>
      </c>
      <c r="CC347" s="161">
        <f t="shared" si="869"/>
        <v>0</v>
      </c>
      <c r="CD347" s="161">
        <f t="shared" si="870"/>
        <v>0</v>
      </c>
      <c r="CE347" s="161">
        <f t="shared" si="871"/>
        <v>0</v>
      </c>
      <c r="CF347" s="161">
        <f t="shared" si="872"/>
        <v>0</v>
      </c>
      <c r="CG347" s="161">
        <f t="shared" si="873"/>
        <v>0</v>
      </c>
      <c r="CH347" s="161">
        <f t="shared" si="874"/>
        <v>0</v>
      </c>
      <c r="CI347" s="161">
        <f t="shared" si="875"/>
        <v>0</v>
      </c>
      <c r="CJ347" s="161">
        <f t="shared" si="876"/>
        <v>0</v>
      </c>
      <c r="CK347" s="161">
        <f t="shared" si="877"/>
        <v>0</v>
      </c>
      <c r="CL347" s="161">
        <f t="shared" si="878"/>
        <v>0</v>
      </c>
      <c r="CM347" s="161">
        <f t="shared" si="879"/>
        <v>0</v>
      </c>
      <c r="CN347" s="161">
        <f t="shared" si="880"/>
        <v>0</v>
      </c>
      <c r="CO347" s="161">
        <f t="shared" si="881"/>
        <v>0</v>
      </c>
      <c r="CP347" s="161">
        <f t="shared" si="882"/>
        <v>0</v>
      </c>
      <c r="CQ347" s="161">
        <f t="shared" si="883"/>
        <v>0</v>
      </c>
      <c r="CR347" s="161">
        <f t="shared" si="884"/>
        <v>0</v>
      </c>
      <c r="CS347" s="161">
        <f t="shared" si="885"/>
        <v>0</v>
      </c>
      <c r="CT347" s="161">
        <f t="shared" si="886"/>
        <v>0</v>
      </c>
      <c r="CU347" s="161">
        <f t="shared" si="887"/>
        <v>0</v>
      </c>
      <c r="CV347" s="161">
        <f t="shared" si="888"/>
        <v>0</v>
      </c>
      <c r="CW347" s="161">
        <f t="shared" si="889"/>
        <v>0</v>
      </c>
      <c r="CX347" s="161">
        <f t="shared" si="890"/>
        <v>0</v>
      </c>
      <c r="CY347" s="161">
        <f t="shared" si="891"/>
        <v>0</v>
      </c>
      <c r="CZ347" s="161">
        <f t="shared" si="892"/>
        <v>0</v>
      </c>
      <c r="DA347" s="161">
        <f t="shared" si="893"/>
        <v>0</v>
      </c>
      <c r="DB347" s="161">
        <f t="shared" si="894"/>
        <v>0</v>
      </c>
      <c r="DC347" s="161">
        <f t="shared" si="895"/>
        <v>0</v>
      </c>
      <c r="DD347" s="161">
        <f t="shared" si="896"/>
        <v>0</v>
      </c>
      <c r="DE347" s="161">
        <f t="shared" si="897"/>
        <v>0</v>
      </c>
      <c r="DF347" s="161">
        <f t="shared" si="898"/>
        <v>0</v>
      </c>
      <c r="DG347" s="161">
        <f t="shared" si="899"/>
        <v>0</v>
      </c>
      <c r="DH347" s="161">
        <f t="shared" si="900"/>
        <v>0</v>
      </c>
      <c r="DI347" s="161">
        <f t="shared" si="901"/>
        <v>0</v>
      </c>
      <c r="DJ347" s="161">
        <f t="shared" si="902"/>
        <v>0</v>
      </c>
      <c r="DK347" s="161">
        <f t="shared" si="903"/>
        <v>0</v>
      </c>
      <c r="DL347" s="161">
        <f t="shared" si="904"/>
        <v>0</v>
      </c>
      <c r="DM347" s="161">
        <f t="shared" si="905"/>
        <v>0</v>
      </c>
      <c r="DN347" s="161">
        <f t="shared" si="906"/>
        <v>0</v>
      </c>
      <c r="DO347" s="161">
        <f t="shared" si="907"/>
        <v>0</v>
      </c>
      <c r="DP347" s="161">
        <f t="shared" si="908"/>
        <v>0</v>
      </c>
      <c r="DQ347" s="161">
        <f t="shared" si="909"/>
        <v>0</v>
      </c>
      <c r="DR347" s="161">
        <f t="shared" si="910"/>
        <v>0</v>
      </c>
      <c r="DS347" s="161">
        <f t="shared" si="911"/>
        <v>0</v>
      </c>
      <c r="DT347" s="161">
        <f t="shared" si="912"/>
        <v>0</v>
      </c>
      <c r="DU347" s="161">
        <f t="shared" si="913"/>
        <v>0</v>
      </c>
      <c r="DV347" s="161">
        <f t="shared" si="914"/>
        <v>0</v>
      </c>
      <c r="DW347" s="161">
        <f t="shared" si="915"/>
        <v>0</v>
      </c>
      <c r="DX347" s="161">
        <f t="shared" si="916"/>
        <v>0</v>
      </c>
      <c r="DY347" s="161">
        <f t="shared" si="917"/>
        <v>0</v>
      </c>
      <c r="DZ347" s="161">
        <f t="shared" si="918"/>
        <v>0</v>
      </c>
      <c r="EA347" s="161">
        <f t="shared" si="919"/>
        <v>0</v>
      </c>
      <c r="EB347" s="161">
        <f t="shared" si="920"/>
        <v>0</v>
      </c>
      <c r="EC347" s="161">
        <f t="shared" si="921"/>
        <v>0</v>
      </c>
      <c r="ED347" s="161">
        <f t="shared" si="922"/>
        <v>0</v>
      </c>
      <c r="EE347" s="161">
        <f t="shared" si="923"/>
        <v>0</v>
      </c>
      <c r="EF347" s="161">
        <f t="shared" si="924"/>
        <v>0</v>
      </c>
      <c r="EG347" s="161">
        <f t="shared" si="925"/>
        <v>0</v>
      </c>
      <c r="EH347" s="161">
        <f t="shared" si="926"/>
        <v>0</v>
      </c>
      <c r="EI347" s="161">
        <f t="shared" si="927"/>
        <v>0</v>
      </c>
      <c r="EJ347" s="65"/>
      <c r="EK347" s="161">
        <f t="shared" si="931"/>
        <v>0</v>
      </c>
      <c r="EL347" s="161">
        <f t="shared" si="932"/>
        <v>0</v>
      </c>
      <c r="EM347" s="161">
        <f t="shared" si="933"/>
        <v>0</v>
      </c>
    </row>
    <row r="348" spans="1:143" ht="12" hidden="1" customHeight="1" outlineLevel="2">
      <c r="A348" s="77">
        <v>16</v>
      </c>
      <c r="B348" s="137" t="str">
        <f t="shared" si="928"/>
        <v>AUX TEC - Equipe_01</v>
      </c>
      <c r="C348" s="65"/>
      <c r="D348" s="622"/>
      <c r="E348" s="65"/>
      <c r="F348" s="584"/>
      <c r="G348" s="77" t="str">
        <f>IF(INDEX(Tarefas!$BT$30:$FK$30,MATCH(A348,Tarefas!$BT$28:$FK$28,0))=0,"",INDEX(Tarefas!$BT$30:$FK$30,MATCH(A348,Tarefas!$BT$28:$FK$28,0)))</f>
        <v>AUX TEC</v>
      </c>
      <c r="H348" s="107" cm="1">
        <f t="array" ref="H348">IFERROR((SUMPRODUCT((Tarefas!$N$32:$N$54='Cronog. e Histog.'!$F$333)*(Tarefas!$BQ$30:$FK$30='Cronog. e Histog.'!$G348)*(Tarefas!$BQ$32:$FK$54)))/SUMIF(Tarefas!$N$32:$N$54,'Cronog. e Histog.'!$F$333,Tarefas!$K$32:$K$54),0)</f>
        <v>0</v>
      </c>
      <c r="I348" s="79">
        <f t="shared" si="929"/>
        <v>0</v>
      </c>
      <c r="J348" s="65"/>
      <c r="K348" s="160">
        <f t="shared" si="930"/>
        <v>0</v>
      </c>
      <c r="L348" s="160">
        <f t="shared" si="1001"/>
        <v>0</v>
      </c>
      <c r="M348" s="160">
        <f t="shared" si="1001"/>
        <v>0</v>
      </c>
      <c r="N348" s="160">
        <f t="shared" si="1001"/>
        <v>0</v>
      </c>
      <c r="O348" s="160">
        <f t="shared" si="1001"/>
        <v>0</v>
      </c>
      <c r="P348" s="160">
        <f t="shared" si="1001"/>
        <v>0</v>
      </c>
      <c r="Q348" s="160">
        <f t="shared" si="1001"/>
        <v>0</v>
      </c>
      <c r="R348" s="160">
        <f t="shared" si="1001"/>
        <v>0</v>
      </c>
      <c r="S348" s="160">
        <f t="shared" si="1001"/>
        <v>0</v>
      </c>
      <c r="T348" s="160">
        <f t="shared" si="1001"/>
        <v>0</v>
      </c>
      <c r="U348" s="160">
        <f t="shared" si="1001"/>
        <v>0</v>
      </c>
      <c r="V348" s="160">
        <f t="shared" si="1001"/>
        <v>0</v>
      </c>
      <c r="W348" s="160">
        <f t="shared" si="1001"/>
        <v>0</v>
      </c>
      <c r="X348" s="160">
        <f t="shared" si="1001"/>
        <v>0</v>
      </c>
      <c r="Y348" s="160">
        <f t="shared" si="1001"/>
        <v>0</v>
      </c>
      <c r="Z348" s="160">
        <f t="shared" si="1001"/>
        <v>0</v>
      </c>
      <c r="AA348" s="160">
        <f t="shared" si="1001"/>
        <v>0</v>
      </c>
      <c r="AB348" s="160">
        <f t="shared" si="1001"/>
        <v>0</v>
      </c>
      <c r="AC348" s="160">
        <f t="shared" si="1001"/>
        <v>0</v>
      </c>
      <c r="AD348" s="160">
        <f t="shared" si="1001"/>
        <v>0</v>
      </c>
      <c r="AE348" s="160">
        <f t="shared" si="1001"/>
        <v>0</v>
      </c>
      <c r="AF348" s="160">
        <f t="shared" si="1001"/>
        <v>0</v>
      </c>
      <c r="AG348" s="160">
        <f t="shared" si="1001"/>
        <v>0</v>
      </c>
      <c r="AH348" s="160">
        <f t="shared" si="1001"/>
        <v>0</v>
      </c>
      <c r="AI348" s="160">
        <f t="shared" si="1001"/>
        <v>0</v>
      </c>
      <c r="AJ348" s="160">
        <f t="shared" si="1001"/>
        <v>0</v>
      </c>
      <c r="AK348" s="160">
        <f t="shared" si="1001"/>
        <v>0</v>
      </c>
      <c r="AL348" s="160">
        <f t="shared" si="1001"/>
        <v>0</v>
      </c>
      <c r="AM348" s="160">
        <f t="shared" si="1001"/>
        <v>0</v>
      </c>
      <c r="AN348" s="160">
        <f t="shared" si="1001"/>
        <v>0</v>
      </c>
      <c r="AO348" s="160">
        <f t="shared" si="1001"/>
        <v>0</v>
      </c>
      <c r="AP348" s="160">
        <f t="shared" si="1001"/>
        <v>0</v>
      </c>
      <c r="AQ348" s="160">
        <f t="shared" si="1001"/>
        <v>0</v>
      </c>
      <c r="AR348" s="160">
        <f t="shared" si="1001"/>
        <v>0</v>
      </c>
      <c r="AS348" s="160">
        <f t="shared" si="1001"/>
        <v>0</v>
      </c>
      <c r="AT348" s="160">
        <f t="shared" si="1001"/>
        <v>0</v>
      </c>
      <c r="AU348" s="160">
        <f t="shared" si="1001"/>
        <v>0</v>
      </c>
      <c r="AV348" s="160">
        <f t="shared" si="1001"/>
        <v>0</v>
      </c>
      <c r="AW348" s="160">
        <f t="shared" si="1001"/>
        <v>0</v>
      </c>
      <c r="AX348" s="160">
        <f t="shared" si="1001"/>
        <v>0</v>
      </c>
      <c r="AY348" s="160">
        <f t="shared" si="1001"/>
        <v>0</v>
      </c>
      <c r="AZ348" s="160">
        <f t="shared" si="1001"/>
        <v>0</v>
      </c>
      <c r="BA348" s="160">
        <f t="shared" si="1001"/>
        <v>0</v>
      </c>
      <c r="BB348" s="160">
        <f t="shared" si="1001"/>
        <v>0</v>
      </c>
      <c r="BC348" s="160">
        <f t="shared" si="1001"/>
        <v>0</v>
      </c>
      <c r="BD348" s="160">
        <f t="shared" si="1001"/>
        <v>0</v>
      </c>
      <c r="BE348" s="160">
        <f t="shared" si="1001"/>
        <v>0</v>
      </c>
      <c r="BF348" s="160">
        <f t="shared" si="1001"/>
        <v>0</v>
      </c>
      <c r="BG348" s="160">
        <f t="shared" si="1001"/>
        <v>0</v>
      </c>
      <c r="BH348" s="160">
        <f t="shared" si="1001"/>
        <v>0</v>
      </c>
      <c r="BI348" s="160">
        <f t="shared" si="1001"/>
        <v>0</v>
      </c>
      <c r="BJ348" s="160">
        <f t="shared" si="1001"/>
        <v>0</v>
      </c>
      <c r="BK348" s="160">
        <f t="shared" si="1001"/>
        <v>0</v>
      </c>
      <c r="BL348" s="160">
        <f t="shared" si="1001"/>
        <v>0</v>
      </c>
      <c r="BM348" s="160">
        <f t="shared" si="1001"/>
        <v>0</v>
      </c>
      <c r="BN348" s="160">
        <f t="shared" si="1001"/>
        <v>0</v>
      </c>
      <c r="BO348" s="160">
        <f t="shared" si="1001"/>
        <v>0</v>
      </c>
      <c r="BP348" s="160">
        <f t="shared" si="1001"/>
        <v>0</v>
      </c>
      <c r="BQ348" s="160">
        <f t="shared" si="1001"/>
        <v>0</v>
      </c>
      <c r="BR348" s="160">
        <f t="shared" si="1001"/>
        <v>0</v>
      </c>
      <c r="BS348" s="65"/>
      <c r="BT348" s="160">
        <f t="shared" si="864"/>
        <v>0</v>
      </c>
      <c r="BU348" s="160">
        <f t="shared" si="865"/>
        <v>0</v>
      </c>
      <c r="BV348" s="65"/>
      <c r="BW348" s="69"/>
      <c r="BX348" s="65"/>
      <c r="BY348" s="137">
        <f t="shared" si="866"/>
        <v>1</v>
      </c>
      <c r="BZ348" s="137">
        <f>IF(BY348&gt;0,BY348+LARGE($BZ$213:BZ347,1),0)</f>
        <v>116</v>
      </c>
      <c r="CA348" s="137" t="str">
        <f t="shared" si="867"/>
        <v>AUX TEC</v>
      </c>
      <c r="CB348" s="161">
        <f t="shared" si="868"/>
        <v>0</v>
      </c>
      <c r="CC348" s="161">
        <f t="shared" si="869"/>
        <v>0</v>
      </c>
      <c r="CD348" s="161">
        <f t="shared" si="870"/>
        <v>0</v>
      </c>
      <c r="CE348" s="161">
        <f t="shared" si="871"/>
        <v>0</v>
      </c>
      <c r="CF348" s="161">
        <f t="shared" si="872"/>
        <v>0</v>
      </c>
      <c r="CG348" s="161">
        <f t="shared" si="873"/>
        <v>0</v>
      </c>
      <c r="CH348" s="161">
        <f t="shared" si="874"/>
        <v>0</v>
      </c>
      <c r="CI348" s="161">
        <f t="shared" si="875"/>
        <v>0</v>
      </c>
      <c r="CJ348" s="161">
        <f t="shared" si="876"/>
        <v>0</v>
      </c>
      <c r="CK348" s="161">
        <f t="shared" si="877"/>
        <v>0</v>
      </c>
      <c r="CL348" s="161">
        <f t="shared" si="878"/>
        <v>0</v>
      </c>
      <c r="CM348" s="161">
        <f t="shared" si="879"/>
        <v>0</v>
      </c>
      <c r="CN348" s="161">
        <f t="shared" si="880"/>
        <v>0</v>
      </c>
      <c r="CO348" s="161">
        <f t="shared" si="881"/>
        <v>0</v>
      </c>
      <c r="CP348" s="161">
        <f t="shared" si="882"/>
        <v>0</v>
      </c>
      <c r="CQ348" s="161">
        <f t="shared" si="883"/>
        <v>0</v>
      </c>
      <c r="CR348" s="161">
        <f t="shared" si="884"/>
        <v>0</v>
      </c>
      <c r="CS348" s="161">
        <f t="shared" si="885"/>
        <v>0</v>
      </c>
      <c r="CT348" s="161">
        <f t="shared" si="886"/>
        <v>0</v>
      </c>
      <c r="CU348" s="161">
        <f t="shared" si="887"/>
        <v>0</v>
      </c>
      <c r="CV348" s="161">
        <f t="shared" si="888"/>
        <v>0</v>
      </c>
      <c r="CW348" s="161">
        <f t="shared" si="889"/>
        <v>0</v>
      </c>
      <c r="CX348" s="161">
        <f t="shared" si="890"/>
        <v>0</v>
      </c>
      <c r="CY348" s="161">
        <f t="shared" si="891"/>
        <v>0</v>
      </c>
      <c r="CZ348" s="161">
        <f t="shared" si="892"/>
        <v>0</v>
      </c>
      <c r="DA348" s="161">
        <f t="shared" si="893"/>
        <v>0</v>
      </c>
      <c r="DB348" s="161">
        <f t="shared" si="894"/>
        <v>0</v>
      </c>
      <c r="DC348" s="161">
        <f t="shared" si="895"/>
        <v>0</v>
      </c>
      <c r="DD348" s="161">
        <f t="shared" si="896"/>
        <v>0</v>
      </c>
      <c r="DE348" s="161">
        <f t="shared" si="897"/>
        <v>0</v>
      </c>
      <c r="DF348" s="161">
        <f t="shared" si="898"/>
        <v>0</v>
      </c>
      <c r="DG348" s="161">
        <f t="shared" si="899"/>
        <v>0</v>
      </c>
      <c r="DH348" s="161">
        <f t="shared" si="900"/>
        <v>0</v>
      </c>
      <c r="DI348" s="161">
        <f t="shared" si="901"/>
        <v>0</v>
      </c>
      <c r="DJ348" s="161">
        <f t="shared" si="902"/>
        <v>0</v>
      </c>
      <c r="DK348" s="161">
        <f t="shared" si="903"/>
        <v>0</v>
      </c>
      <c r="DL348" s="161">
        <f t="shared" si="904"/>
        <v>0</v>
      </c>
      <c r="DM348" s="161">
        <f t="shared" si="905"/>
        <v>0</v>
      </c>
      <c r="DN348" s="161">
        <f t="shared" si="906"/>
        <v>0</v>
      </c>
      <c r="DO348" s="161">
        <f t="shared" si="907"/>
        <v>0</v>
      </c>
      <c r="DP348" s="161">
        <f t="shared" si="908"/>
        <v>0</v>
      </c>
      <c r="DQ348" s="161">
        <f t="shared" si="909"/>
        <v>0</v>
      </c>
      <c r="DR348" s="161">
        <f t="shared" si="910"/>
        <v>0</v>
      </c>
      <c r="DS348" s="161">
        <f t="shared" si="911"/>
        <v>0</v>
      </c>
      <c r="DT348" s="161">
        <f t="shared" si="912"/>
        <v>0</v>
      </c>
      <c r="DU348" s="161">
        <f t="shared" si="913"/>
        <v>0</v>
      </c>
      <c r="DV348" s="161">
        <f t="shared" si="914"/>
        <v>0</v>
      </c>
      <c r="DW348" s="161">
        <f t="shared" si="915"/>
        <v>0</v>
      </c>
      <c r="DX348" s="161">
        <f t="shared" si="916"/>
        <v>0</v>
      </c>
      <c r="DY348" s="161">
        <f t="shared" si="917"/>
        <v>0</v>
      </c>
      <c r="DZ348" s="161">
        <f t="shared" si="918"/>
        <v>0</v>
      </c>
      <c r="EA348" s="161">
        <f t="shared" si="919"/>
        <v>0</v>
      </c>
      <c r="EB348" s="161">
        <f t="shared" si="920"/>
        <v>0</v>
      </c>
      <c r="EC348" s="161">
        <f t="shared" si="921"/>
        <v>0</v>
      </c>
      <c r="ED348" s="161">
        <f t="shared" si="922"/>
        <v>0</v>
      </c>
      <c r="EE348" s="161">
        <f t="shared" si="923"/>
        <v>0</v>
      </c>
      <c r="EF348" s="161">
        <f t="shared" si="924"/>
        <v>0</v>
      </c>
      <c r="EG348" s="161">
        <f t="shared" si="925"/>
        <v>0</v>
      </c>
      <c r="EH348" s="161">
        <f t="shared" si="926"/>
        <v>0</v>
      </c>
      <c r="EI348" s="161">
        <f t="shared" si="927"/>
        <v>0</v>
      </c>
      <c r="EJ348" s="65"/>
      <c r="EK348" s="161">
        <f t="shared" si="931"/>
        <v>0</v>
      </c>
      <c r="EL348" s="161">
        <f t="shared" si="932"/>
        <v>0</v>
      </c>
      <c r="EM348" s="161">
        <f t="shared" si="933"/>
        <v>0</v>
      </c>
    </row>
    <row r="349" spans="1:143" ht="12" hidden="1" customHeight="1" outlineLevel="2">
      <c r="A349" s="77">
        <v>17</v>
      </c>
      <c r="B349" s="137" t="str">
        <f t="shared" si="928"/>
        <v>AUX ADM - Equipe_01</v>
      </c>
      <c r="C349" s="65"/>
      <c r="D349" s="622"/>
      <c r="E349" s="65"/>
      <c r="F349" s="584"/>
      <c r="G349" s="77" t="str">
        <f>IF(INDEX(Tarefas!$BT$30:$FK$30,MATCH(A349,Tarefas!$BT$28:$FK$28,0))=0,"",INDEX(Tarefas!$BT$30:$FK$30,MATCH(A349,Tarefas!$BT$28:$FK$28,0)))</f>
        <v>AUX ADM</v>
      </c>
      <c r="H349" s="107" cm="1">
        <f t="array" ref="H349">IFERROR((SUMPRODUCT((Tarefas!$N$32:$N$54='Cronog. e Histog.'!$F$333)*(Tarefas!$BQ$30:$FK$30='Cronog. e Histog.'!$G349)*(Tarefas!$BQ$32:$FK$54)))/SUMIF(Tarefas!$N$32:$N$54,'Cronog. e Histog.'!$F$333,Tarefas!$K$32:$K$54),0)</f>
        <v>0</v>
      </c>
      <c r="I349" s="79">
        <f t="shared" si="929"/>
        <v>0</v>
      </c>
      <c r="J349" s="65"/>
      <c r="K349" s="160">
        <f t="shared" si="930"/>
        <v>0</v>
      </c>
      <c r="L349" s="160">
        <f t="shared" si="1001"/>
        <v>0</v>
      </c>
      <c r="M349" s="160">
        <f t="shared" si="1001"/>
        <v>0</v>
      </c>
      <c r="N349" s="160">
        <f t="shared" si="1001"/>
        <v>0</v>
      </c>
      <c r="O349" s="160">
        <f t="shared" si="1001"/>
        <v>0</v>
      </c>
      <c r="P349" s="160">
        <f t="shared" si="1001"/>
        <v>0</v>
      </c>
      <c r="Q349" s="160">
        <f t="shared" si="1001"/>
        <v>0</v>
      </c>
      <c r="R349" s="160">
        <f t="shared" si="1001"/>
        <v>0</v>
      </c>
      <c r="S349" s="160">
        <f t="shared" si="1001"/>
        <v>0</v>
      </c>
      <c r="T349" s="160">
        <f t="shared" si="1001"/>
        <v>0</v>
      </c>
      <c r="U349" s="160">
        <f t="shared" si="1001"/>
        <v>0</v>
      </c>
      <c r="V349" s="160">
        <f t="shared" si="1001"/>
        <v>0</v>
      </c>
      <c r="W349" s="160">
        <f t="shared" si="1001"/>
        <v>0</v>
      </c>
      <c r="X349" s="160">
        <f t="shared" si="1001"/>
        <v>0</v>
      </c>
      <c r="Y349" s="160">
        <f t="shared" si="1001"/>
        <v>0</v>
      </c>
      <c r="Z349" s="160">
        <f t="shared" si="1001"/>
        <v>0</v>
      </c>
      <c r="AA349" s="160">
        <f t="shared" si="1001"/>
        <v>0</v>
      </c>
      <c r="AB349" s="160">
        <f t="shared" si="1001"/>
        <v>0</v>
      </c>
      <c r="AC349" s="160">
        <f t="shared" si="1001"/>
        <v>0</v>
      </c>
      <c r="AD349" s="160">
        <f t="shared" si="1001"/>
        <v>0</v>
      </c>
      <c r="AE349" s="160">
        <f t="shared" si="1001"/>
        <v>0</v>
      </c>
      <c r="AF349" s="160">
        <f t="shared" si="1001"/>
        <v>0</v>
      </c>
      <c r="AG349" s="160">
        <f t="shared" si="1001"/>
        <v>0</v>
      </c>
      <c r="AH349" s="160">
        <f t="shared" si="1001"/>
        <v>0</v>
      </c>
      <c r="AI349" s="160">
        <f t="shared" si="1001"/>
        <v>0</v>
      </c>
      <c r="AJ349" s="160">
        <f t="shared" si="1001"/>
        <v>0</v>
      </c>
      <c r="AK349" s="160">
        <f t="shared" si="1001"/>
        <v>0</v>
      </c>
      <c r="AL349" s="160">
        <f t="shared" si="1001"/>
        <v>0</v>
      </c>
      <c r="AM349" s="160">
        <f t="shared" si="1001"/>
        <v>0</v>
      </c>
      <c r="AN349" s="160">
        <f t="shared" si="1001"/>
        <v>0</v>
      </c>
      <c r="AO349" s="160">
        <f t="shared" si="1001"/>
        <v>0</v>
      </c>
      <c r="AP349" s="160">
        <f t="shared" si="1001"/>
        <v>0</v>
      </c>
      <c r="AQ349" s="160">
        <f t="shared" si="1001"/>
        <v>0</v>
      </c>
      <c r="AR349" s="160">
        <f t="shared" si="1001"/>
        <v>0</v>
      </c>
      <c r="AS349" s="160">
        <f t="shared" si="1001"/>
        <v>0</v>
      </c>
      <c r="AT349" s="160">
        <f t="shared" si="1001"/>
        <v>0</v>
      </c>
      <c r="AU349" s="160">
        <f t="shared" si="1001"/>
        <v>0</v>
      </c>
      <c r="AV349" s="160">
        <f t="shared" si="1001"/>
        <v>0</v>
      </c>
      <c r="AW349" s="160">
        <f t="shared" si="1001"/>
        <v>0</v>
      </c>
      <c r="AX349" s="160">
        <f t="shared" si="1001"/>
        <v>0</v>
      </c>
      <c r="AY349" s="160">
        <f t="shared" si="1001"/>
        <v>0</v>
      </c>
      <c r="AZ349" s="160">
        <f t="shared" si="1001"/>
        <v>0</v>
      </c>
      <c r="BA349" s="160">
        <f t="shared" si="1001"/>
        <v>0</v>
      </c>
      <c r="BB349" s="160">
        <f t="shared" si="1001"/>
        <v>0</v>
      </c>
      <c r="BC349" s="160">
        <f t="shared" si="1001"/>
        <v>0</v>
      </c>
      <c r="BD349" s="160">
        <f t="shared" si="1001"/>
        <v>0</v>
      </c>
      <c r="BE349" s="160">
        <f t="shared" si="1001"/>
        <v>0</v>
      </c>
      <c r="BF349" s="160">
        <f t="shared" si="1001"/>
        <v>0</v>
      </c>
      <c r="BG349" s="160">
        <f t="shared" si="1001"/>
        <v>0</v>
      </c>
      <c r="BH349" s="160">
        <f t="shared" si="1001"/>
        <v>0</v>
      </c>
      <c r="BI349" s="160">
        <f t="shared" si="1001"/>
        <v>0</v>
      </c>
      <c r="BJ349" s="160">
        <f t="shared" si="1001"/>
        <v>0</v>
      </c>
      <c r="BK349" s="160">
        <f t="shared" si="1001"/>
        <v>0</v>
      </c>
      <c r="BL349" s="160">
        <f t="shared" si="1001"/>
        <v>0</v>
      </c>
      <c r="BM349" s="160">
        <f t="shared" si="1001"/>
        <v>0</v>
      </c>
      <c r="BN349" s="160">
        <f t="shared" si="1001"/>
        <v>0</v>
      </c>
      <c r="BO349" s="160">
        <f t="shared" si="1001"/>
        <v>0</v>
      </c>
      <c r="BP349" s="160">
        <f t="shared" si="1001"/>
        <v>0</v>
      </c>
      <c r="BQ349" s="160">
        <f t="shared" si="1001"/>
        <v>0</v>
      </c>
      <c r="BR349" s="160">
        <f t="shared" si="1001"/>
        <v>0</v>
      </c>
      <c r="BS349" s="65"/>
      <c r="BT349" s="160">
        <f t="shared" si="864"/>
        <v>0</v>
      </c>
      <c r="BU349" s="160">
        <f t="shared" si="865"/>
        <v>0</v>
      </c>
      <c r="BV349" s="65"/>
      <c r="BW349" s="69"/>
      <c r="BX349" s="65"/>
      <c r="BY349" s="137">
        <f t="shared" si="866"/>
        <v>1</v>
      </c>
      <c r="BZ349" s="137">
        <f>IF(BY349&gt;0,BY349+LARGE($BZ$213:BZ348,1),0)</f>
        <v>117</v>
      </c>
      <c r="CA349" s="137" t="str">
        <f t="shared" si="867"/>
        <v>AUX ADM</v>
      </c>
      <c r="CB349" s="161">
        <f t="shared" si="868"/>
        <v>0</v>
      </c>
      <c r="CC349" s="161">
        <f t="shared" si="869"/>
        <v>0</v>
      </c>
      <c r="CD349" s="161">
        <f t="shared" si="870"/>
        <v>0</v>
      </c>
      <c r="CE349" s="161">
        <f t="shared" si="871"/>
        <v>0</v>
      </c>
      <c r="CF349" s="161">
        <f t="shared" si="872"/>
        <v>0</v>
      </c>
      <c r="CG349" s="161">
        <f t="shared" si="873"/>
        <v>0</v>
      </c>
      <c r="CH349" s="161">
        <f t="shared" si="874"/>
        <v>0</v>
      </c>
      <c r="CI349" s="161">
        <f t="shared" si="875"/>
        <v>0</v>
      </c>
      <c r="CJ349" s="161">
        <f t="shared" si="876"/>
        <v>0</v>
      </c>
      <c r="CK349" s="161">
        <f t="shared" si="877"/>
        <v>0</v>
      </c>
      <c r="CL349" s="161">
        <f t="shared" si="878"/>
        <v>0</v>
      </c>
      <c r="CM349" s="161">
        <f t="shared" si="879"/>
        <v>0</v>
      </c>
      <c r="CN349" s="161">
        <f t="shared" si="880"/>
        <v>0</v>
      </c>
      <c r="CO349" s="161">
        <f t="shared" si="881"/>
        <v>0</v>
      </c>
      <c r="CP349" s="161">
        <f t="shared" si="882"/>
        <v>0</v>
      </c>
      <c r="CQ349" s="161">
        <f t="shared" si="883"/>
        <v>0</v>
      </c>
      <c r="CR349" s="161">
        <f t="shared" si="884"/>
        <v>0</v>
      </c>
      <c r="CS349" s="161">
        <f t="shared" si="885"/>
        <v>0</v>
      </c>
      <c r="CT349" s="161">
        <f t="shared" si="886"/>
        <v>0</v>
      </c>
      <c r="CU349" s="161">
        <f t="shared" si="887"/>
        <v>0</v>
      </c>
      <c r="CV349" s="161">
        <f t="shared" si="888"/>
        <v>0</v>
      </c>
      <c r="CW349" s="161">
        <f t="shared" si="889"/>
        <v>0</v>
      </c>
      <c r="CX349" s="161">
        <f t="shared" si="890"/>
        <v>0</v>
      </c>
      <c r="CY349" s="161">
        <f t="shared" si="891"/>
        <v>0</v>
      </c>
      <c r="CZ349" s="161">
        <f t="shared" si="892"/>
        <v>0</v>
      </c>
      <c r="DA349" s="161">
        <f t="shared" si="893"/>
        <v>0</v>
      </c>
      <c r="DB349" s="161">
        <f t="shared" si="894"/>
        <v>0</v>
      </c>
      <c r="DC349" s="161">
        <f t="shared" si="895"/>
        <v>0</v>
      </c>
      <c r="DD349" s="161">
        <f t="shared" si="896"/>
        <v>0</v>
      </c>
      <c r="DE349" s="161">
        <f t="shared" si="897"/>
        <v>0</v>
      </c>
      <c r="DF349" s="161">
        <f t="shared" si="898"/>
        <v>0</v>
      </c>
      <c r="DG349" s="161">
        <f t="shared" si="899"/>
        <v>0</v>
      </c>
      <c r="DH349" s="161">
        <f t="shared" si="900"/>
        <v>0</v>
      </c>
      <c r="DI349" s="161">
        <f t="shared" si="901"/>
        <v>0</v>
      </c>
      <c r="DJ349" s="161">
        <f t="shared" si="902"/>
        <v>0</v>
      </c>
      <c r="DK349" s="161">
        <f t="shared" si="903"/>
        <v>0</v>
      </c>
      <c r="DL349" s="161">
        <f t="shared" si="904"/>
        <v>0</v>
      </c>
      <c r="DM349" s="161">
        <f t="shared" si="905"/>
        <v>0</v>
      </c>
      <c r="DN349" s="161">
        <f t="shared" si="906"/>
        <v>0</v>
      </c>
      <c r="DO349" s="161">
        <f t="shared" si="907"/>
        <v>0</v>
      </c>
      <c r="DP349" s="161">
        <f t="shared" si="908"/>
        <v>0</v>
      </c>
      <c r="DQ349" s="161">
        <f t="shared" si="909"/>
        <v>0</v>
      </c>
      <c r="DR349" s="161">
        <f t="shared" si="910"/>
        <v>0</v>
      </c>
      <c r="DS349" s="161">
        <f t="shared" si="911"/>
        <v>0</v>
      </c>
      <c r="DT349" s="161">
        <f t="shared" si="912"/>
        <v>0</v>
      </c>
      <c r="DU349" s="161">
        <f t="shared" si="913"/>
        <v>0</v>
      </c>
      <c r="DV349" s="161">
        <f t="shared" si="914"/>
        <v>0</v>
      </c>
      <c r="DW349" s="161">
        <f t="shared" si="915"/>
        <v>0</v>
      </c>
      <c r="DX349" s="161">
        <f t="shared" si="916"/>
        <v>0</v>
      </c>
      <c r="DY349" s="161">
        <f t="shared" si="917"/>
        <v>0</v>
      </c>
      <c r="DZ349" s="161">
        <f t="shared" si="918"/>
        <v>0</v>
      </c>
      <c r="EA349" s="161">
        <f t="shared" si="919"/>
        <v>0</v>
      </c>
      <c r="EB349" s="161">
        <f t="shared" si="920"/>
        <v>0</v>
      </c>
      <c r="EC349" s="161">
        <f t="shared" si="921"/>
        <v>0</v>
      </c>
      <c r="ED349" s="161">
        <f t="shared" si="922"/>
        <v>0</v>
      </c>
      <c r="EE349" s="161">
        <f t="shared" si="923"/>
        <v>0</v>
      </c>
      <c r="EF349" s="161">
        <f t="shared" si="924"/>
        <v>0</v>
      </c>
      <c r="EG349" s="161">
        <f t="shared" si="925"/>
        <v>0</v>
      </c>
      <c r="EH349" s="161">
        <f t="shared" si="926"/>
        <v>0</v>
      </c>
      <c r="EI349" s="161">
        <f t="shared" si="927"/>
        <v>0</v>
      </c>
      <c r="EJ349" s="65"/>
      <c r="EK349" s="161">
        <f t="shared" si="931"/>
        <v>0</v>
      </c>
      <c r="EL349" s="161">
        <f t="shared" si="932"/>
        <v>0</v>
      </c>
      <c r="EM349" s="161">
        <f t="shared" si="933"/>
        <v>0</v>
      </c>
    </row>
    <row r="350" spans="1:143" ht="12" hidden="1" customHeight="1" outlineLevel="2">
      <c r="A350" s="77">
        <v>18</v>
      </c>
      <c r="B350" s="137" t="str">
        <f t="shared" si="928"/>
        <v>EST - Equipe_01</v>
      </c>
      <c r="C350" s="65"/>
      <c r="D350" s="622"/>
      <c r="E350" s="65"/>
      <c r="F350" s="584"/>
      <c r="G350" s="77" t="str">
        <f>IF(INDEX(Tarefas!$BT$30:$FK$30,MATCH(A350,Tarefas!$BT$28:$FK$28,0))=0,"",INDEX(Tarefas!$BT$30:$FK$30,MATCH(A350,Tarefas!$BT$28:$FK$28,0)))</f>
        <v>EST</v>
      </c>
      <c r="H350" s="107" cm="1">
        <f t="array" ref="H350">IFERROR((SUMPRODUCT((Tarefas!$N$32:$N$54='Cronog. e Histog.'!$F$333)*(Tarefas!$BQ$30:$FK$30='Cronog. e Histog.'!$G350)*(Tarefas!$BQ$32:$FK$54)))/SUMIF(Tarefas!$N$32:$N$54,'Cronog. e Histog.'!$F$333,Tarefas!$K$32:$K$54),0)</f>
        <v>0</v>
      </c>
      <c r="I350" s="79">
        <f t="shared" si="929"/>
        <v>0</v>
      </c>
      <c r="J350" s="65"/>
      <c r="K350" s="160">
        <f t="shared" si="930"/>
        <v>0</v>
      </c>
      <c r="L350" s="160">
        <f t="shared" si="1001"/>
        <v>0</v>
      </c>
      <c r="M350" s="160">
        <f t="shared" si="1001"/>
        <v>0</v>
      </c>
      <c r="N350" s="160">
        <f t="shared" si="1001"/>
        <v>0</v>
      </c>
      <c r="O350" s="160">
        <f t="shared" si="1001"/>
        <v>0</v>
      </c>
      <c r="P350" s="160">
        <f t="shared" si="1001"/>
        <v>0</v>
      </c>
      <c r="Q350" s="160">
        <f t="shared" si="1001"/>
        <v>0</v>
      </c>
      <c r="R350" s="160">
        <f t="shared" si="1001"/>
        <v>0</v>
      </c>
      <c r="S350" s="160">
        <f t="shared" si="1001"/>
        <v>0</v>
      </c>
      <c r="T350" s="160">
        <f t="shared" si="1001"/>
        <v>0</v>
      </c>
      <c r="U350" s="160">
        <f t="shared" si="1001"/>
        <v>0</v>
      </c>
      <c r="V350" s="160">
        <f t="shared" si="1001"/>
        <v>0</v>
      </c>
      <c r="W350" s="160">
        <f t="shared" si="1001"/>
        <v>0</v>
      </c>
      <c r="X350" s="160">
        <f t="shared" si="1001"/>
        <v>0</v>
      </c>
      <c r="Y350" s="160">
        <f t="shared" si="1001"/>
        <v>0</v>
      </c>
      <c r="Z350" s="160">
        <f t="shared" si="1001"/>
        <v>0</v>
      </c>
      <c r="AA350" s="160">
        <f t="shared" si="1001"/>
        <v>0</v>
      </c>
      <c r="AB350" s="160">
        <f t="shared" si="1001"/>
        <v>0</v>
      </c>
      <c r="AC350" s="160">
        <f t="shared" si="1001"/>
        <v>0</v>
      </c>
      <c r="AD350" s="160">
        <f t="shared" si="1001"/>
        <v>0</v>
      </c>
      <c r="AE350" s="160">
        <f t="shared" si="1001"/>
        <v>0</v>
      </c>
      <c r="AF350" s="160">
        <f t="shared" si="1001"/>
        <v>0</v>
      </c>
      <c r="AG350" s="160">
        <f t="shared" si="1001"/>
        <v>0</v>
      </c>
      <c r="AH350" s="160">
        <f t="shared" si="1001"/>
        <v>0</v>
      </c>
      <c r="AI350" s="160">
        <f t="shared" si="1001"/>
        <v>0</v>
      </c>
      <c r="AJ350" s="160">
        <f t="shared" si="1001"/>
        <v>0</v>
      </c>
      <c r="AK350" s="160">
        <f t="shared" si="1001"/>
        <v>0</v>
      </c>
      <c r="AL350" s="160">
        <f t="shared" si="1001"/>
        <v>0</v>
      </c>
      <c r="AM350" s="160">
        <f t="shared" si="1001"/>
        <v>0</v>
      </c>
      <c r="AN350" s="160">
        <f t="shared" si="1001"/>
        <v>0</v>
      </c>
      <c r="AO350" s="160">
        <f t="shared" si="1001"/>
        <v>0</v>
      </c>
      <c r="AP350" s="160">
        <f t="shared" si="1001"/>
        <v>0</v>
      </c>
      <c r="AQ350" s="160">
        <f t="shared" si="1001"/>
        <v>0</v>
      </c>
      <c r="AR350" s="160">
        <f t="shared" si="1001"/>
        <v>0</v>
      </c>
      <c r="AS350" s="160">
        <f t="shared" si="1001"/>
        <v>0</v>
      </c>
      <c r="AT350" s="160">
        <f t="shared" si="1001"/>
        <v>0</v>
      </c>
      <c r="AU350" s="160">
        <f t="shared" si="1001"/>
        <v>0</v>
      </c>
      <c r="AV350" s="160">
        <f t="shared" si="1001"/>
        <v>0</v>
      </c>
      <c r="AW350" s="160">
        <f t="shared" si="1001"/>
        <v>0</v>
      </c>
      <c r="AX350" s="160">
        <f t="shared" si="1001"/>
        <v>0</v>
      </c>
      <c r="AY350" s="160">
        <f t="shared" si="1001"/>
        <v>0</v>
      </c>
      <c r="AZ350" s="160">
        <f t="shared" si="1001"/>
        <v>0</v>
      </c>
      <c r="BA350" s="160">
        <f t="shared" si="1001"/>
        <v>0</v>
      </c>
      <c r="BB350" s="160">
        <f t="shared" si="1001"/>
        <v>0</v>
      </c>
      <c r="BC350" s="160">
        <f t="shared" si="1001"/>
        <v>0</v>
      </c>
      <c r="BD350" s="160">
        <f t="shared" si="1001"/>
        <v>0</v>
      </c>
      <c r="BE350" s="160">
        <f t="shared" si="1001"/>
        <v>0</v>
      </c>
      <c r="BF350" s="160">
        <f t="shared" si="1001"/>
        <v>0</v>
      </c>
      <c r="BG350" s="160">
        <f t="shared" si="1001"/>
        <v>0</v>
      </c>
      <c r="BH350" s="160">
        <f t="shared" si="1001"/>
        <v>0</v>
      </c>
      <c r="BI350" s="160">
        <f t="shared" si="1001"/>
        <v>0</v>
      </c>
      <c r="BJ350" s="160">
        <f t="shared" si="1001"/>
        <v>0</v>
      </c>
      <c r="BK350" s="160">
        <f t="shared" si="1001"/>
        <v>0</v>
      </c>
      <c r="BL350" s="160">
        <f t="shared" si="1001"/>
        <v>0</v>
      </c>
      <c r="BM350" s="160">
        <f t="shared" si="1001"/>
        <v>0</v>
      </c>
      <c r="BN350" s="160">
        <f t="shared" si="1001"/>
        <v>0</v>
      </c>
      <c r="BO350" s="160">
        <f t="shared" si="1001"/>
        <v>0</v>
      </c>
      <c r="BP350" s="160">
        <f t="shared" si="1001"/>
        <v>0</v>
      </c>
      <c r="BQ350" s="160">
        <f t="shared" si="1001"/>
        <v>0</v>
      </c>
      <c r="BR350" s="160">
        <f t="shared" si="1001"/>
        <v>0</v>
      </c>
      <c r="BS350" s="65"/>
      <c r="BT350" s="160">
        <f t="shared" si="864"/>
        <v>0</v>
      </c>
      <c r="BU350" s="160">
        <f t="shared" si="865"/>
        <v>0</v>
      </c>
      <c r="BV350" s="65"/>
      <c r="BW350" s="69"/>
      <c r="BX350" s="65"/>
      <c r="BY350" s="137">
        <f t="shared" si="866"/>
        <v>1</v>
      </c>
      <c r="BZ350" s="137">
        <f>IF(BY350&gt;0,BY350+LARGE($BZ$213:BZ349,1),0)</f>
        <v>118</v>
      </c>
      <c r="CA350" s="137" t="str">
        <f t="shared" si="867"/>
        <v>EST</v>
      </c>
      <c r="CB350" s="161">
        <f t="shared" si="868"/>
        <v>0</v>
      </c>
      <c r="CC350" s="161">
        <f t="shared" si="869"/>
        <v>0</v>
      </c>
      <c r="CD350" s="161">
        <f t="shared" si="870"/>
        <v>0</v>
      </c>
      <c r="CE350" s="161">
        <f t="shared" si="871"/>
        <v>0</v>
      </c>
      <c r="CF350" s="161">
        <f t="shared" si="872"/>
        <v>0</v>
      </c>
      <c r="CG350" s="161">
        <f t="shared" si="873"/>
        <v>0</v>
      </c>
      <c r="CH350" s="161">
        <f t="shared" si="874"/>
        <v>0</v>
      </c>
      <c r="CI350" s="161">
        <f t="shared" si="875"/>
        <v>0</v>
      </c>
      <c r="CJ350" s="161">
        <f t="shared" si="876"/>
        <v>0</v>
      </c>
      <c r="CK350" s="161">
        <f t="shared" si="877"/>
        <v>0</v>
      </c>
      <c r="CL350" s="161">
        <f t="shared" si="878"/>
        <v>0</v>
      </c>
      <c r="CM350" s="161">
        <f t="shared" si="879"/>
        <v>0</v>
      </c>
      <c r="CN350" s="161">
        <f t="shared" si="880"/>
        <v>0</v>
      </c>
      <c r="CO350" s="161">
        <f t="shared" si="881"/>
        <v>0</v>
      </c>
      <c r="CP350" s="161">
        <f t="shared" si="882"/>
        <v>0</v>
      </c>
      <c r="CQ350" s="161">
        <f t="shared" si="883"/>
        <v>0</v>
      </c>
      <c r="CR350" s="161">
        <f t="shared" si="884"/>
        <v>0</v>
      </c>
      <c r="CS350" s="161">
        <f t="shared" si="885"/>
        <v>0</v>
      </c>
      <c r="CT350" s="161">
        <f t="shared" si="886"/>
        <v>0</v>
      </c>
      <c r="CU350" s="161">
        <f t="shared" si="887"/>
        <v>0</v>
      </c>
      <c r="CV350" s="161">
        <f t="shared" si="888"/>
        <v>0</v>
      </c>
      <c r="CW350" s="161">
        <f t="shared" si="889"/>
        <v>0</v>
      </c>
      <c r="CX350" s="161">
        <f t="shared" si="890"/>
        <v>0</v>
      </c>
      <c r="CY350" s="161">
        <f t="shared" si="891"/>
        <v>0</v>
      </c>
      <c r="CZ350" s="161">
        <f t="shared" si="892"/>
        <v>0</v>
      </c>
      <c r="DA350" s="161">
        <f t="shared" si="893"/>
        <v>0</v>
      </c>
      <c r="DB350" s="161">
        <f t="shared" si="894"/>
        <v>0</v>
      </c>
      <c r="DC350" s="161">
        <f t="shared" si="895"/>
        <v>0</v>
      </c>
      <c r="DD350" s="161">
        <f t="shared" si="896"/>
        <v>0</v>
      </c>
      <c r="DE350" s="161">
        <f t="shared" si="897"/>
        <v>0</v>
      </c>
      <c r="DF350" s="161">
        <f t="shared" si="898"/>
        <v>0</v>
      </c>
      <c r="DG350" s="161">
        <f t="shared" si="899"/>
        <v>0</v>
      </c>
      <c r="DH350" s="161">
        <f t="shared" si="900"/>
        <v>0</v>
      </c>
      <c r="DI350" s="161">
        <f t="shared" si="901"/>
        <v>0</v>
      </c>
      <c r="DJ350" s="161">
        <f t="shared" si="902"/>
        <v>0</v>
      </c>
      <c r="DK350" s="161">
        <f t="shared" si="903"/>
        <v>0</v>
      </c>
      <c r="DL350" s="161">
        <f t="shared" si="904"/>
        <v>0</v>
      </c>
      <c r="DM350" s="161">
        <f t="shared" si="905"/>
        <v>0</v>
      </c>
      <c r="DN350" s="161">
        <f t="shared" si="906"/>
        <v>0</v>
      </c>
      <c r="DO350" s="161">
        <f t="shared" si="907"/>
        <v>0</v>
      </c>
      <c r="DP350" s="161">
        <f t="shared" si="908"/>
        <v>0</v>
      </c>
      <c r="DQ350" s="161">
        <f t="shared" si="909"/>
        <v>0</v>
      </c>
      <c r="DR350" s="161">
        <f t="shared" si="910"/>
        <v>0</v>
      </c>
      <c r="DS350" s="161">
        <f t="shared" si="911"/>
        <v>0</v>
      </c>
      <c r="DT350" s="161">
        <f t="shared" si="912"/>
        <v>0</v>
      </c>
      <c r="DU350" s="161">
        <f t="shared" si="913"/>
        <v>0</v>
      </c>
      <c r="DV350" s="161">
        <f t="shared" si="914"/>
        <v>0</v>
      </c>
      <c r="DW350" s="161">
        <f t="shared" si="915"/>
        <v>0</v>
      </c>
      <c r="DX350" s="161">
        <f t="shared" si="916"/>
        <v>0</v>
      </c>
      <c r="DY350" s="161">
        <f t="shared" si="917"/>
        <v>0</v>
      </c>
      <c r="DZ350" s="161">
        <f t="shared" si="918"/>
        <v>0</v>
      </c>
      <c r="EA350" s="161">
        <f t="shared" si="919"/>
        <v>0</v>
      </c>
      <c r="EB350" s="161">
        <f t="shared" si="920"/>
        <v>0</v>
      </c>
      <c r="EC350" s="161">
        <f t="shared" si="921"/>
        <v>0</v>
      </c>
      <c r="ED350" s="161">
        <f t="shared" si="922"/>
        <v>0</v>
      </c>
      <c r="EE350" s="161">
        <f t="shared" si="923"/>
        <v>0</v>
      </c>
      <c r="EF350" s="161">
        <f t="shared" si="924"/>
        <v>0</v>
      </c>
      <c r="EG350" s="161">
        <f t="shared" si="925"/>
        <v>0</v>
      </c>
      <c r="EH350" s="161">
        <f t="shared" si="926"/>
        <v>0</v>
      </c>
      <c r="EI350" s="161">
        <f t="shared" si="927"/>
        <v>0</v>
      </c>
      <c r="EJ350" s="65"/>
      <c r="EK350" s="161">
        <f t="shared" si="931"/>
        <v>0</v>
      </c>
      <c r="EL350" s="161">
        <f t="shared" si="932"/>
        <v>0</v>
      </c>
      <c r="EM350" s="161">
        <f t="shared" si="933"/>
        <v>0</v>
      </c>
    </row>
    <row r="351" spans="1:143" ht="12" hidden="1" customHeight="1" outlineLevel="2">
      <c r="A351" s="77">
        <v>19</v>
      </c>
      <c r="B351" s="137" t="str">
        <f t="shared" si="928"/>
        <v>EST_II - Equipe_01</v>
      </c>
      <c r="C351" s="65"/>
      <c r="D351" s="622"/>
      <c r="E351" s="65"/>
      <c r="F351" s="584"/>
      <c r="G351" s="77" t="str">
        <f>IF(INDEX(Tarefas!$BT$30:$FK$30,MATCH(A351,Tarefas!$BT$28:$FK$28,0))=0,"",INDEX(Tarefas!$BT$30:$FK$30,MATCH(A351,Tarefas!$BT$28:$FK$28,0)))</f>
        <v>EST_II</v>
      </c>
      <c r="H351" s="107" cm="1">
        <f t="array" ref="H351">IFERROR((SUMPRODUCT((Tarefas!$N$32:$N$54='Cronog. e Histog.'!$F$333)*(Tarefas!$BQ$30:$FK$30='Cronog. e Histog.'!$G351)*(Tarefas!$BQ$32:$FK$54)))/SUMIF(Tarefas!$N$32:$N$54,'Cronog. e Histog.'!$F$333,Tarefas!$K$32:$K$54),0)</f>
        <v>0</v>
      </c>
      <c r="I351" s="79">
        <f t="shared" si="929"/>
        <v>0</v>
      </c>
      <c r="J351" s="65"/>
      <c r="K351" s="160">
        <f t="shared" si="930"/>
        <v>0</v>
      </c>
      <c r="L351" s="160">
        <f t="shared" si="1001"/>
        <v>0</v>
      </c>
      <c r="M351" s="160">
        <f t="shared" si="1001"/>
        <v>0</v>
      </c>
      <c r="N351" s="160">
        <f t="shared" si="1001"/>
        <v>0</v>
      </c>
      <c r="O351" s="160">
        <f t="shared" si="1001"/>
        <v>0</v>
      </c>
      <c r="P351" s="160">
        <f t="shared" si="1001"/>
        <v>0</v>
      </c>
      <c r="Q351" s="160">
        <f t="shared" si="1001"/>
        <v>0</v>
      </c>
      <c r="R351" s="160">
        <f t="shared" si="1001"/>
        <v>0</v>
      </c>
      <c r="S351" s="160">
        <f t="shared" si="1001"/>
        <v>0</v>
      </c>
      <c r="T351" s="160">
        <f t="shared" si="1001"/>
        <v>0</v>
      </c>
      <c r="U351" s="160">
        <f t="shared" si="1001"/>
        <v>0</v>
      </c>
      <c r="V351" s="160">
        <f t="shared" si="1001"/>
        <v>0</v>
      </c>
      <c r="W351" s="160">
        <f t="shared" si="1001"/>
        <v>0</v>
      </c>
      <c r="X351" s="160">
        <f t="shared" si="1001"/>
        <v>0</v>
      </c>
      <c r="Y351" s="160">
        <f t="shared" si="1001"/>
        <v>0</v>
      </c>
      <c r="Z351" s="160">
        <f t="shared" si="1001"/>
        <v>0</v>
      </c>
      <c r="AA351" s="160">
        <f t="shared" si="1001"/>
        <v>0</v>
      </c>
      <c r="AB351" s="160">
        <f t="shared" si="1001"/>
        <v>0</v>
      </c>
      <c r="AC351" s="160">
        <f t="shared" si="1001"/>
        <v>0</v>
      </c>
      <c r="AD351" s="160">
        <f t="shared" si="1001"/>
        <v>0</v>
      </c>
      <c r="AE351" s="160">
        <f t="shared" si="1001"/>
        <v>0</v>
      </c>
      <c r="AF351" s="160">
        <f t="shared" si="1001"/>
        <v>0</v>
      </c>
      <c r="AG351" s="160">
        <f t="shared" si="1001"/>
        <v>0</v>
      </c>
      <c r="AH351" s="160">
        <f t="shared" si="1001"/>
        <v>0</v>
      </c>
      <c r="AI351" s="160">
        <f t="shared" si="1001"/>
        <v>0</v>
      </c>
      <c r="AJ351" s="160">
        <f t="shared" si="1001"/>
        <v>0</v>
      </c>
      <c r="AK351" s="160">
        <f t="shared" si="1001"/>
        <v>0</v>
      </c>
      <c r="AL351" s="160">
        <f t="shared" si="1001"/>
        <v>0</v>
      </c>
      <c r="AM351" s="160">
        <f t="shared" si="1001"/>
        <v>0</v>
      </c>
      <c r="AN351" s="160">
        <f t="shared" si="1001"/>
        <v>0</v>
      </c>
      <c r="AO351" s="160">
        <f t="shared" si="1001"/>
        <v>0</v>
      </c>
      <c r="AP351" s="160">
        <f t="shared" si="1001"/>
        <v>0</v>
      </c>
      <c r="AQ351" s="160">
        <f t="shared" si="1001"/>
        <v>0</v>
      </c>
      <c r="AR351" s="160">
        <f t="shared" si="1001"/>
        <v>0</v>
      </c>
      <c r="AS351" s="160">
        <f t="shared" si="1001"/>
        <v>0</v>
      </c>
      <c r="AT351" s="160">
        <f t="shared" si="1001"/>
        <v>0</v>
      </c>
      <c r="AU351" s="160">
        <f t="shared" si="1001"/>
        <v>0</v>
      </c>
      <c r="AV351" s="160">
        <f t="shared" si="1001"/>
        <v>0</v>
      </c>
      <c r="AW351" s="160">
        <f t="shared" si="1001"/>
        <v>0</v>
      </c>
      <c r="AX351" s="160">
        <f t="shared" si="1001"/>
        <v>0</v>
      </c>
      <c r="AY351" s="160">
        <f t="shared" si="1001"/>
        <v>0</v>
      </c>
      <c r="AZ351" s="160">
        <f t="shared" si="1001"/>
        <v>0</v>
      </c>
      <c r="BA351" s="160">
        <f t="shared" si="1001"/>
        <v>0</v>
      </c>
      <c r="BB351" s="160">
        <f t="shared" si="1001"/>
        <v>0</v>
      </c>
      <c r="BC351" s="160">
        <f t="shared" si="1001"/>
        <v>0</v>
      </c>
      <c r="BD351" s="160">
        <f t="shared" si="1001"/>
        <v>0</v>
      </c>
      <c r="BE351" s="160">
        <f t="shared" si="1001"/>
        <v>0</v>
      </c>
      <c r="BF351" s="160">
        <f t="shared" si="1001"/>
        <v>0</v>
      </c>
      <c r="BG351" s="160">
        <f t="shared" si="1001"/>
        <v>0</v>
      </c>
      <c r="BH351" s="160">
        <f t="shared" si="1001"/>
        <v>0</v>
      </c>
      <c r="BI351" s="160">
        <f t="shared" si="1001"/>
        <v>0</v>
      </c>
      <c r="BJ351" s="160">
        <f t="shared" si="1001"/>
        <v>0</v>
      </c>
      <c r="BK351" s="160">
        <f t="shared" si="1001"/>
        <v>0</v>
      </c>
      <c r="BL351" s="160">
        <f t="shared" si="1001"/>
        <v>0</v>
      </c>
      <c r="BM351" s="160">
        <f t="shared" ref="L351:BR352" si="1002">ROUND($I351*BM$188,2)</f>
        <v>0</v>
      </c>
      <c r="BN351" s="160">
        <f t="shared" si="1002"/>
        <v>0</v>
      </c>
      <c r="BO351" s="160">
        <f t="shared" si="1002"/>
        <v>0</v>
      </c>
      <c r="BP351" s="160">
        <f t="shared" si="1002"/>
        <v>0</v>
      </c>
      <c r="BQ351" s="160">
        <f t="shared" si="1002"/>
        <v>0</v>
      </c>
      <c r="BR351" s="160">
        <f t="shared" si="1002"/>
        <v>0</v>
      </c>
      <c r="BS351" s="65"/>
      <c r="BT351" s="160">
        <f t="shared" si="864"/>
        <v>0</v>
      </c>
      <c r="BU351" s="160">
        <f t="shared" si="865"/>
        <v>0</v>
      </c>
      <c r="BV351" s="65"/>
      <c r="BW351" s="69"/>
      <c r="BX351" s="65"/>
      <c r="BY351" s="137">
        <f t="shared" si="866"/>
        <v>1</v>
      </c>
      <c r="BZ351" s="137">
        <f>IF(BY351&gt;0,BY351+LARGE($BZ$213:BZ350,1),0)</f>
        <v>119</v>
      </c>
      <c r="CA351" s="137" t="str">
        <f t="shared" si="867"/>
        <v>EST_II</v>
      </c>
      <c r="CB351" s="161">
        <f t="shared" si="868"/>
        <v>0</v>
      </c>
      <c r="CC351" s="161">
        <f t="shared" si="869"/>
        <v>0</v>
      </c>
      <c r="CD351" s="161">
        <f t="shared" si="870"/>
        <v>0</v>
      </c>
      <c r="CE351" s="161">
        <f t="shared" si="871"/>
        <v>0</v>
      </c>
      <c r="CF351" s="161">
        <f t="shared" si="872"/>
        <v>0</v>
      </c>
      <c r="CG351" s="161">
        <f t="shared" si="873"/>
        <v>0</v>
      </c>
      <c r="CH351" s="161">
        <f t="shared" si="874"/>
        <v>0</v>
      </c>
      <c r="CI351" s="161">
        <f t="shared" si="875"/>
        <v>0</v>
      </c>
      <c r="CJ351" s="161">
        <f t="shared" si="876"/>
        <v>0</v>
      </c>
      <c r="CK351" s="161">
        <f t="shared" si="877"/>
        <v>0</v>
      </c>
      <c r="CL351" s="161">
        <f t="shared" si="878"/>
        <v>0</v>
      </c>
      <c r="CM351" s="161">
        <f t="shared" si="879"/>
        <v>0</v>
      </c>
      <c r="CN351" s="161">
        <f t="shared" si="880"/>
        <v>0</v>
      </c>
      <c r="CO351" s="161">
        <f t="shared" si="881"/>
        <v>0</v>
      </c>
      <c r="CP351" s="161">
        <f t="shared" si="882"/>
        <v>0</v>
      </c>
      <c r="CQ351" s="161">
        <f t="shared" si="883"/>
        <v>0</v>
      </c>
      <c r="CR351" s="161">
        <f t="shared" si="884"/>
        <v>0</v>
      </c>
      <c r="CS351" s="161">
        <f t="shared" si="885"/>
        <v>0</v>
      </c>
      <c r="CT351" s="161">
        <f t="shared" si="886"/>
        <v>0</v>
      </c>
      <c r="CU351" s="161">
        <f t="shared" si="887"/>
        <v>0</v>
      </c>
      <c r="CV351" s="161">
        <f t="shared" si="888"/>
        <v>0</v>
      </c>
      <c r="CW351" s="161">
        <f t="shared" si="889"/>
        <v>0</v>
      </c>
      <c r="CX351" s="161">
        <f t="shared" si="890"/>
        <v>0</v>
      </c>
      <c r="CY351" s="161">
        <f t="shared" si="891"/>
        <v>0</v>
      </c>
      <c r="CZ351" s="161">
        <f t="shared" si="892"/>
        <v>0</v>
      </c>
      <c r="DA351" s="161">
        <f t="shared" si="893"/>
        <v>0</v>
      </c>
      <c r="DB351" s="161">
        <f t="shared" si="894"/>
        <v>0</v>
      </c>
      <c r="DC351" s="161">
        <f t="shared" si="895"/>
        <v>0</v>
      </c>
      <c r="DD351" s="161">
        <f t="shared" si="896"/>
        <v>0</v>
      </c>
      <c r="DE351" s="161">
        <f t="shared" si="897"/>
        <v>0</v>
      </c>
      <c r="DF351" s="161">
        <f t="shared" si="898"/>
        <v>0</v>
      </c>
      <c r="DG351" s="161">
        <f t="shared" si="899"/>
        <v>0</v>
      </c>
      <c r="DH351" s="161">
        <f t="shared" si="900"/>
        <v>0</v>
      </c>
      <c r="DI351" s="161">
        <f t="shared" si="901"/>
        <v>0</v>
      </c>
      <c r="DJ351" s="161">
        <f t="shared" si="902"/>
        <v>0</v>
      </c>
      <c r="DK351" s="161">
        <f t="shared" si="903"/>
        <v>0</v>
      </c>
      <c r="DL351" s="161">
        <f t="shared" si="904"/>
        <v>0</v>
      </c>
      <c r="DM351" s="161">
        <f t="shared" si="905"/>
        <v>0</v>
      </c>
      <c r="DN351" s="161">
        <f t="shared" si="906"/>
        <v>0</v>
      </c>
      <c r="DO351" s="161">
        <f t="shared" si="907"/>
        <v>0</v>
      </c>
      <c r="DP351" s="161">
        <f t="shared" si="908"/>
        <v>0</v>
      </c>
      <c r="DQ351" s="161">
        <f t="shared" si="909"/>
        <v>0</v>
      </c>
      <c r="DR351" s="161">
        <f t="shared" si="910"/>
        <v>0</v>
      </c>
      <c r="DS351" s="161">
        <f t="shared" si="911"/>
        <v>0</v>
      </c>
      <c r="DT351" s="161">
        <f t="shared" si="912"/>
        <v>0</v>
      </c>
      <c r="DU351" s="161">
        <f t="shared" si="913"/>
        <v>0</v>
      </c>
      <c r="DV351" s="161">
        <f t="shared" si="914"/>
        <v>0</v>
      </c>
      <c r="DW351" s="161">
        <f t="shared" si="915"/>
        <v>0</v>
      </c>
      <c r="DX351" s="161">
        <f t="shared" si="916"/>
        <v>0</v>
      </c>
      <c r="DY351" s="161">
        <f t="shared" si="917"/>
        <v>0</v>
      </c>
      <c r="DZ351" s="161">
        <f t="shared" si="918"/>
        <v>0</v>
      </c>
      <c r="EA351" s="161">
        <f t="shared" si="919"/>
        <v>0</v>
      </c>
      <c r="EB351" s="161">
        <f t="shared" si="920"/>
        <v>0</v>
      </c>
      <c r="EC351" s="161">
        <f t="shared" si="921"/>
        <v>0</v>
      </c>
      <c r="ED351" s="161">
        <f t="shared" si="922"/>
        <v>0</v>
      </c>
      <c r="EE351" s="161">
        <f t="shared" si="923"/>
        <v>0</v>
      </c>
      <c r="EF351" s="161">
        <f t="shared" si="924"/>
        <v>0</v>
      </c>
      <c r="EG351" s="161">
        <f t="shared" si="925"/>
        <v>0</v>
      </c>
      <c r="EH351" s="161">
        <f t="shared" si="926"/>
        <v>0</v>
      </c>
      <c r="EI351" s="161">
        <f t="shared" si="927"/>
        <v>0</v>
      </c>
      <c r="EJ351" s="65"/>
      <c r="EK351" s="161">
        <f t="shared" si="931"/>
        <v>0</v>
      </c>
      <c r="EL351" s="161">
        <f t="shared" si="932"/>
        <v>0</v>
      </c>
      <c r="EM351" s="161">
        <f t="shared" si="933"/>
        <v>0</v>
      </c>
    </row>
    <row r="352" spans="1:143" ht="12" hidden="1" customHeight="1" outlineLevel="2">
      <c r="A352" s="77">
        <v>20</v>
      </c>
      <c r="B352" s="137" t="str">
        <f t="shared" si="928"/>
        <v>EST_III - Equipe_01</v>
      </c>
      <c r="C352" s="65"/>
      <c r="D352" s="623"/>
      <c r="E352" s="65"/>
      <c r="F352" s="584"/>
      <c r="G352" s="77" t="str">
        <f>IF(INDEX(Tarefas!$BT$30:$FK$30,MATCH(A352,Tarefas!$BT$28:$FK$28,0))=0,"",INDEX(Tarefas!$BT$30:$FK$30,MATCH(A352,Tarefas!$BT$28:$FK$28,0)))</f>
        <v>EST_III</v>
      </c>
      <c r="H352" s="107" cm="1">
        <f t="array" ref="H352">IFERROR((SUMPRODUCT((Tarefas!$N$32:$N$54='Cronog. e Histog.'!$F$333)*(Tarefas!$BQ$30:$FK$30='Cronog. e Histog.'!$G352)*(Tarefas!$BQ$32:$FK$54)))/SUMIF(Tarefas!$N$32:$N$54,'Cronog. e Histog.'!$F$333,Tarefas!$K$32:$K$54),0)</f>
        <v>0</v>
      </c>
      <c r="I352" s="79">
        <f t="shared" si="929"/>
        <v>0</v>
      </c>
      <c r="J352" s="65"/>
      <c r="K352" s="160">
        <f t="shared" si="930"/>
        <v>0</v>
      </c>
      <c r="L352" s="160">
        <f t="shared" si="1002"/>
        <v>0</v>
      </c>
      <c r="M352" s="160">
        <f t="shared" si="1002"/>
        <v>0</v>
      </c>
      <c r="N352" s="160">
        <f t="shared" si="1002"/>
        <v>0</v>
      </c>
      <c r="O352" s="160">
        <f t="shared" si="1002"/>
        <v>0</v>
      </c>
      <c r="P352" s="160">
        <f t="shared" si="1002"/>
        <v>0</v>
      </c>
      <c r="Q352" s="160">
        <f t="shared" si="1002"/>
        <v>0</v>
      </c>
      <c r="R352" s="160">
        <f t="shared" si="1002"/>
        <v>0</v>
      </c>
      <c r="S352" s="160">
        <f t="shared" si="1002"/>
        <v>0</v>
      </c>
      <c r="T352" s="160">
        <f t="shared" si="1002"/>
        <v>0</v>
      </c>
      <c r="U352" s="160">
        <f t="shared" si="1002"/>
        <v>0</v>
      </c>
      <c r="V352" s="160">
        <f t="shared" si="1002"/>
        <v>0</v>
      </c>
      <c r="W352" s="160">
        <f t="shared" si="1002"/>
        <v>0</v>
      </c>
      <c r="X352" s="160">
        <f t="shared" si="1002"/>
        <v>0</v>
      </c>
      <c r="Y352" s="160">
        <f t="shared" si="1002"/>
        <v>0</v>
      </c>
      <c r="Z352" s="160">
        <f t="shared" si="1002"/>
        <v>0</v>
      </c>
      <c r="AA352" s="160">
        <f t="shared" si="1002"/>
        <v>0</v>
      </c>
      <c r="AB352" s="160">
        <f t="shared" si="1002"/>
        <v>0</v>
      </c>
      <c r="AC352" s="160">
        <f t="shared" si="1002"/>
        <v>0</v>
      </c>
      <c r="AD352" s="160">
        <f t="shared" si="1002"/>
        <v>0</v>
      </c>
      <c r="AE352" s="160">
        <f t="shared" si="1002"/>
        <v>0</v>
      </c>
      <c r="AF352" s="160">
        <f t="shared" si="1002"/>
        <v>0</v>
      </c>
      <c r="AG352" s="160">
        <f t="shared" si="1002"/>
        <v>0</v>
      </c>
      <c r="AH352" s="160">
        <f t="shared" si="1002"/>
        <v>0</v>
      </c>
      <c r="AI352" s="160">
        <f t="shared" si="1002"/>
        <v>0</v>
      </c>
      <c r="AJ352" s="160">
        <f t="shared" si="1002"/>
        <v>0</v>
      </c>
      <c r="AK352" s="160">
        <f t="shared" si="1002"/>
        <v>0</v>
      </c>
      <c r="AL352" s="160">
        <f t="shared" si="1002"/>
        <v>0</v>
      </c>
      <c r="AM352" s="160">
        <f t="shared" si="1002"/>
        <v>0</v>
      </c>
      <c r="AN352" s="160">
        <f t="shared" si="1002"/>
        <v>0</v>
      </c>
      <c r="AO352" s="160">
        <f t="shared" si="1002"/>
        <v>0</v>
      </c>
      <c r="AP352" s="160">
        <f t="shared" si="1002"/>
        <v>0</v>
      </c>
      <c r="AQ352" s="160">
        <f t="shared" si="1002"/>
        <v>0</v>
      </c>
      <c r="AR352" s="160">
        <f t="shared" si="1002"/>
        <v>0</v>
      </c>
      <c r="AS352" s="160">
        <f t="shared" si="1002"/>
        <v>0</v>
      </c>
      <c r="AT352" s="160">
        <f t="shared" si="1002"/>
        <v>0</v>
      </c>
      <c r="AU352" s="160">
        <f t="shared" si="1002"/>
        <v>0</v>
      </c>
      <c r="AV352" s="160">
        <f t="shared" si="1002"/>
        <v>0</v>
      </c>
      <c r="AW352" s="160">
        <f t="shared" si="1002"/>
        <v>0</v>
      </c>
      <c r="AX352" s="160">
        <f t="shared" si="1002"/>
        <v>0</v>
      </c>
      <c r="AY352" s="160">
        <f t="shared" si="1002"/>
        <v>0</v>
      </c>
      <c r="AZ352" s="160">
        <f t="shared" si="1002"/>
        <v>0</v>
      </c>
      <c r="BA352" s="160">
        <f t="shared" si="1002"/>
        <v>0</v>
      </c>
      <c r="BB352" s="160">
        <f t="shared" si="1002"/>
        <v>0</v>
      </c>
      <c r="BC352" s="160">
        <f t="shared" si="1002"/>
        <v>0</v>
      </c>
      <c r="BD352" s="160">
        <f t="shared" si="1002"/>
        <v>0</v>
      </c>
      <c r="BE352" s="160">
        <f t="shared" si="1002"/>
        <v>0</v>
      </c>
      <c r="BF352" s="160">
        <f t="shared" si="1002"/>
        <v>0</v>
      </c>
      <c r="BG352" s="160">
        <f t="shared" si="1002"/>
        <v>0</v>
      </c>
      <c r="BH352" s="160">
        <f t="shared" si="1002"/>
        <v>0</v>
      </c>
      <c r="BI352" s="160">
        <f t="shared" si="1002"/>
        <v>0</v>
      </c>
      <c r="BJ352" s="160">
        <f t="shared" si="1002"/>
        <v>0</v>
      </c>
      <c r="BK352" s="160">
        <f t="shared" si="1002"/>
        <v>0</v>
      </c>
      <c r="BL352" s="160">
        <f t="shared" si="1002"/>
        <v>0</v>
      </c>
      <c r="BM352" s="160">
        <f t="shared" si="1002"/>
        <v>0</v>
      </c>
      <c r="BN352" s="160">
        <f t="shared" si="1002"/>
        <v>0</v>
      </c>
      <c r="BO352" s="160">
        <f t="shared" si="1002"/>
        <v>0</v>
      </c>
      <c r="BP352" s="160">
        <f t="shared" si="1002"/>
        <v>0</v>
      </c>
      <c r="BQ352" s="160">
        <f t="shared" si="1002"/>
        <v>0</v>
      </c>
      <c r="BR352" s="160">
        <f t="shared" si="1002"/>
        <v>0</v>
      </c>
      <c r="BS352" s="65"/>
      <c r="BT352" s="160">
        <f t="shared" si="864"/>
        <v>0</v>
      </c>
      <c r="BU352" s="160">
        <f t="shared" si="865"/>
        <v>0</v>
      </c>
      <c r="BV352" s="65"/>
      <c r="BW352" s="69"/>
      <c r="BX352" s="65"/>
      <c r="BY352" s="137">
        <f t="shared" si="866"/>
        <v>1</v>
      </c>
      <c r="BZ352" s="137">
        <f>IF(BY352&gt;0,BY352+LARGE($BZ$213:BZ351,1),0)</f>
        <v>120</v>
      </c>
      <c r="CA352" s="137" t="str">
        <f t="shared" si="867"/>
        <v>EST_III</v>
      </c>
      <c r="CB352" s="161">
        <f t="shared" si="868"/>
        <v>0</v>
      </c>
      <c r="CC352" s="161">
        <f t="shared" si="869"/>
        <v>0</v>
      </c>
      <c r="CD352" s="161">
        <f t="shared" si="870"/>
        <v>0</v>
      </c>
      <c r="CE352" s="161">
        <f t="shared" si="871"/>
        <v>0</v>
      </c>
      <c r="CF352" s="161">
        <f t="shared" si="872"/>
        <v>0</v>
      </c>
      <c r="CG352" s="161">
        <f t="shared" si="873"/>
        <v>0</v>
      </c>
      <c r="CH352" s="161">
        <f t="shared" si="874"/>
        <v>0</v>
      </c>
      <c r="CI352" s="161">
        <f t="shared" si="875"/>
        <v>0</v>
      </c>
      <c r="CJ352" s="161">
        <f t="shared" si="876"/>
        <v>0</v>
      </c>
      <c r="CK352" s="161">
        <f t="shared" si="877"/>
        <v>0</v>
      </c>
      <c r="CL352" s="161">
        <f t="shared" si="878"/>
        <v>0</v>
      </c>
      <c r="CM352" s="161">
        <f t="shared" si="879"/>
        <v>0</v>
      </c>
      <c r="CN352" s="161">
        <f t="shared" si="880"/>
        <v>0</v>
      </c>
      <c r="CO352" s="161">
        <f t="shared" si="881"/>
        <v>0</v>
      </c>
      <c r="CP352" s="161">
        <f t="shared" si="882"/>
        <v>0</v>
      </c>
      <c r="CQ352" s="161">
        <f t="shared" si="883"/>
        <v>0</v>
      </c>
      <c r="CR352" s="161">
        <f t="shared" si="884"/>
        <v>0</v>
      </c>
      <c r="CS352" s="161">
        <f t="shared" si="885"/>
        <v>0</v>
      </c>
      <c r="CT352" s="161">
        <f t="shared" si="886"/>
        <v>0</v>
      </c>
      <c r="CU352" s="161">
        <f t="shared" si="887"/>
        <v>0</v>
      </c>
      <c r="CV352" s="161">
        <f t="shared" si="888"/>
        <v>0</v>
      </c>
      <c r="CW352" s="161">
        <f t="shared" si="889"/>
        <v>0</v>
      </c>
      <c r="CX352" s="161">
        <f t="shared" si="890"/>
        <v>0</v>
      </c>
      <c r="CY352" s="161">
        <f t="shared" si="891"/>
        <v>0</v>
      </c>
      <c r="CZ352" s="161">
        <f t="shared" si="892"/>
        <v>0</v>
      </c>
      <c r="DA352" s="161">
        <f t="shared" si="893"/>
        <v>0</v>
      </c>
      <c r="DB352" s="161">
        <f t="shared" si="894"/>
        <v>0</v>
      </c>
      <c r="DC352" s="161">
        <f t="shared" si="895"/>
        <v>0</v>
      </c>
      <c r="DD352" s="161">
        <f t="shared" si="896"/>
        <v>0</v>
      </c>
      <c r="DE352" s="161">
        <f t="shared" si="897"/>
        <v>0</v>
      </c>
      <c r="DF352" s="161">
        <f t="shared" si="898"/>
        <v>0</v>
      </c>
      <c r="DG352" s="161">
        <f t="shared" si="899"/>
        <v>0</v>
      </c>
      <c r="DH352" s="161">
        <f t="shared" si="900"/>
        <v>0</v>
      </c>
      <c r="DI352" s="161">
        <f t="shared" si="901"/>
        <v>0</v>
      </c>
      <c r="DJ352" s="161">
        <f t="shared" si="902"/>
        <v>0</v>
      </c>
      <c r="DK352" s="161">
        <f t="shared" si="903"/>
        <v>0</v>
      </c>
      <c r="DL352" s="161">
        <f t="shared" si="904"/>
        <v>0</v>
      </c>
      <c r="DM352" s="161">
        <f t="shared" si="905"/>
        <v>0</v>
      </c>
      <c r="DN352" s="161">
        <f t="shared" si="906"/>
        <v>0</v>
      </c>
      <c r="DO352" s="161">
        <f t="shared" si="907"/>
        <v>0</v>
      </c>
      <c r="DP352" s="161">
        <f t="shared" si="908"/>
        <v>0</v>
      </c>
      <c r="DQ352" s="161">
        <f t="shared" si="909"/>
        <v>0</v>
      </c>
      <c r="DR352" s="161">
        <f t="shared" si="910"/>
        <v>0</v>
      </c>
      <c r="DS352" s="161">
        <f t="shared" si="911"/>
        <v>0</v>
      </c>
      <c r="DT352" s="161">
        <f t="shared" si="912"/>
        <v>0</v>
      </c>
      <c r="DU352" s="161">
        <f t="shared" si="913"/>
        <v>0</v>
      </c>
      <c r="DV352" s="161">
        <f t="shared" si="914"/>
        <v>0</v>
      </c>
      <c r="DW352" s="161">
        <f t="shared" si="915"/>
        <v>0</v>
      </c>
      <c r="DX352" s="161">
        <f t="shared" si="916"/>
        <v>0</v>
      </c>
      <c r="DY352" s="161">
        <f t="shared" si="917"/>
        <v>0</v>
      </c>
      <c r="DZ352" s="161">
        <f t="shared" si="918"/>
        <v>0</v>
      </c>
      <c r="EA352" s="161">
        <f t="shared" si="919"/>
        <v>0</v>
      </c>
      <c r="EB352" s="161">
        <f t="shared" si="920"/>
        <v>0</v>
      </c>
      <c r="EC352" s="161">
        <f t="shared" si="921"/>
        <v>0</v>
      </c>
      <c r="ED352" s="161">
        <f t="shared" si="922"/>
        <v>0</v>
      </c>
      <c r="EE352" s="161">
        <f t="shared" si="923"/>
        <v>0</v>
      </c>
      <c r="EF352" s="161">
        <f t="shared" si="924"/>
        <v>0</v>
      </c>
      <c r="EG352" s="161">
        <f t="shared" si="925"/>
        <v>0</v>
      </c>
      <c r="EH352" s="161">
        <f t="shared" si="926"/>
        <v>0</v>
      </c>
      <c r="EI352" s="161">
        <f t="shared" si="927"/>
        <v>0</v>
      </c>
      <c r="EJ352" s="65"/>
      <c r="EK352" s="161">
        <f t="shared" si="931"/>
        <v>0</v>
      </c>
      <c r="EL352" s="161">
        <f t="shared" si="932"/>
        <v>0</v>
      </c>
      <c r="EM352" s="161">
        <f t="shared" si="933"/>
        <v>0</v>
      </c>
    </row>
    <row r="353" spans="1:143" ht="12" hidden="1" customHeight="1" outlineLevel="1">
      <c r="B353" s="65"/>
      <c r="C353" s="65"/>
      <c r="D353" s="65"/>
      <c r="E353" s="65"/>
      <c r="F353" s="73" t="s">
        <v>380</v>
      </c>
      <c r="G353" s="162" t="str">
        <f>"Pico = "&amp;MAX(K353:BR353)</f>
        <v>Pico = 1,08</v>
      </c>
      <c r="H353" s="163">
        <f>SUM(H333:H352)</f>
        <v>1</v>
      </c>
      <c r="I353" s="148">
        <f>SUM(I333:I352)</f>
        <v>1</v>
      </c>
      <c r="J353" s="65"/>
      <c r="K353" s="146">
        <f>SUM(K333:K352)</f>
        <v>1.08</v>
      </c>
      <c r="L353" s="146">
        <f t="shared" ref="L353:BR353" si="1003">SUM(L333:L352)</f>
        <v>1.08</v>
      </c>
      <c r="M353" s="146">
        <f t="shared" si="1003"/>
        <v>1.08</v>
      </c>
      <c r="N353" s="146">
        <f t="shared" si="1003"/>
        <v>1.08</v>
      </c>
      <c r="O353" s="146">
        <f t="shared" si="1003"/>
        <v>1.08</v>
      </c>
      <c r="P353" s="146">
        <f t="shared" si="1003"/>
        <v>1.08</v>
      </c>
      <c r="Q353" s="146">
        <f t="shared" si="1003"/>
        <v>1.08</v>
      </c>
      <c r="R353" s="146">
        <f t="shared" si="1003"/>
        <v>1.08</v>
      </c>
      <c r="S353" s="146">
        <f t="shared" si="1003"/>
        <v>1.08</v>
      </c>
      <c r="T353" s="146">
        <f t="shared" si="1003"/>
        <v>1.08</v>
      </c>
      <c r="U353" s="146">
        <f t="shared" si="1003"/>
        <v>0</v>
      </c>
      <c r="V353" s="146">
        <f t="shared" si="1003"/>
        <v>0</v>
      </c>
      <c r="W353" s="146">
        <f t="shared" si="1003"/>
        <v>0</v>
      </c>
      <c r="X353" s="146">
        <f t="shared" si="1003"/>
        <v>0</v>
      </c>
      <c r="Y353" s="146">
        <f t="shared" si="1003"/>
        <v>0</v>
      </c>
      <c r="Z353" s="146">
        <f t="shared" si="1003"/>
        <v>0</v>
      </c>
      <c r="AA353" s="146">
        <f t="shared" si="1003"/>
        <v>0</v>
      </c>
      <c r="AB353" s="146">
        <f t="shared" si="1003"/>
        <v>0</v>
      </c>
      <c r="AC353" s="146">
        <f t="shared" si="1003"/>
        <v>0</v>
      </c>
      <c r="AD353" s="146">
        <f t="shared" si="1003"/>
        <v>0</v>
      </c>
      <c r="AE353" s="146">
        <f t="shared" si="1003"/>
        <v>0</v>
      </c>
      <c r="AF353" s="146">
        <f t="shared" si="1003"/>
        <v>0</v>
      </c>
      <c r="AG353" s="146">
        <f t="shared" si="1003"/>
        <v>0</v>
      </c>
      <c r="AH353" s="146">
        <f t="shared" si="1003"/>
        <v>0</v>
      </c>
      <c r="AI353" s="146">
        <f t="shared" si="1003"/>
        <v>0</v>
      </c>
      <c r="AJ353" s="146">
        <f t="shared" si="1003"/>
        <v>0</v>
      </c>
      <c r="AK353" s="146">
        <f t="shared" si="1003"/>
        <v>0</v>
      </c>
      <c r="AL353" s="146">
        <f t="shared" si="1003"/>
        <v>0</v>
      </c>
      <c r="AM353" s="146">
        <f t="shared" si="1003"/>
        <v>0</v>
      </c>
      <c r="AN353" s="146">
        <f t="shared" si="1003"/>
        <v>0</v>
      </c>
      <c r="AO353" s="146">
        <f t="shared" si="1003"/>
        <v>0</v>
      </c>
      <c r="AP353" s="146">
        <f t="shared" si="1003"/>
        <v>0</v>
      </c>
      <c r="AQ353" s="146">
        <f t="shared" si="1003"/>
        <v>0</v>
      </c>
      <c r="AR353" s="146">
        <f t="shared" si="1003"/>
        <v>0</v>
      </c>
      <c r="AS353" s="146">
        <f t="shared" si="1003"/>
        <v>0</v>
      </c>
      <c r="AT353" s="146">
        <f t="shared" si="1003"/>
        <v>0</v>
      </c>
      <c r="AU353" s="146">
        <f t="shared" si="1003"/>
        <v>0</v>
      </c>
      <c r="AV353" s="146">
        <f t="shared" si="1003"/>
        <v>0</v>
      </c>
      <c r="AW353" s="146">
        <f t="shared" si="1003"/>
        <v>0</v>
      </c>
      <c r="AX353" s="146">
        <f t="shared" si="1003"/>
        <v>0</v>
      </c>
      <c r="AY353" s="146">
        <f t="shared" si="1003"/>
        <v>0</v>
      </c>
      <c r="AZ353" s="146">
        <f t="shared" si="1003"/>
        <v>0</v>
      </c>
      <c r="BA353" s="146">
        <f t="shared" si="1003"/>
        <v>0</v>
      </c>
      <c r="BB353" s="146">
        <f t="shared" si="1003"/>
        <v>0</v>
      </c>
      <c r="BC353" s="146">
        <f t="shared" si="1003"/>
        <v>0</v>
      </c>
      <c r="BD353" s="146">
        <f t="shared" si="1003"/>
        <v>0</v>
      </c>
      <c r="BE353" s="146">
        <f t="shared" si="1003"/>
        <v>0</v>
      </c>
      <c r="BF353" s="146">
        <f t="shared" si="1003"/>
        <v>0</v>
      </c>
      <c r="BG353" s="146">
        <f t="shared" si="1003"/>
        <v>0</v>
      </c>
      <c r="BH353" s="146">
        <f t="shared" si="1003"/>
        <v>0</v>
      </c>
      <c r="BI353" s="146">
        <f t="shared" si="1003"/>
        <v>0</v>
      </c>
      <c r="BJ353" s="146">
        <f t="shared" si="1003"/>
        <v>0</v>
      </c>
      <c r="BK353" s="146">
        <f t="shared" si="1003"/>
        <v>0</v>
      </c>
      <c r="BL353" s="146">
        <f t="shared" si="1003"/>
        <v>0</v>
      </c>
      <c r="BM353" s="146">
        <f t="shared" si="1003"/>
        <v>0</v>
      </c>
      <c r="BN353" s="146">
        <f t="shared" si="1003"/>
        <v>0</v>
      </c>
      <c r="BO353" s="146">
        <f t="shared" si="1003"/>
        <v>0</v>
      </c>
      <c r="BP353" s="146">
        <f t="shared" si="1003"/>
        <v>0</v>
      </c>
      <c r="BQ353" s="146">
        <f t="shared" si="1003"/>
        <v>0</v>
      </c>
      <c r="BR353" s="146">
        <f t="shared" si="1003"/>
        <v>0</v>
      </c>
      <c r="BS353" s="65"/>
      <c r="BT353" s="146">
        <f t="shared" ref="BT353" si="1004">SUM(BT333:BT352)</f>
        <v>1.08</v>
      </c>
      <c r="BU353" s="65"/>
      <c r="BV353" s="65"/>
      <c r="BW353" s="69"/>
      <c r="BX353" s="65"/>
      <c r="BY353" s="65"/>
      <c r="BZ353" s="65"/>
      <c r="CA353" s="65"/>
      <c r="CB353" s="65"/>
      <c r="CC353" s="65"/>
      <c r="CD353" s="65"/>
      <c r="CE353" s="65"/>
      <c r="CF353" s="65"/>
      <c r="CG353" s="65"/>
      <c r="CH353" s="65"/>
      <c r="CI353" s="65"/>
      <c r="CJ353" s="65"/>
      <c r="CK353" s="65"/>
      <c r="CL353" s="65"/>
      <c r="CM353" s="65"/>
      <c r="CN353" s="65"/>
      <c r="CO353" s="65"/>
      <c r="CP353" s="65"/>
      <c r="CQ353" s="65"/>
      <c r="CR353" s="65"/>
      <c r="CS353" s="65"/>
      <c r="CT353" s="65"/>
      <c r="CU353" s="65"/>
      <c r="CV353" s="65"/>
      <c r="CW353" s="65"/>
      <c r="CX353" s="65"/>
      <c r="CY353" s="65"/>
      <c r="CZ353" s="65"/>
      <c r="DA353" s="65"/>
      <c r="DB353" s="65"/>
      <c r="DC353" s="65"/>
      <c r="DD353" s="65"/>
      <c r="DE353" s="65"/>
      <c r="DF353" s="65"/>
      <c r="DG353" s="65"/>
      <c r="DH353" s="65"/>
      <c r="DI353" s="65"/>
      <c r="DJ353" s="65"/>
      <c r="DK353" s="65"/>
      <c r="DL353" s="65"/>
      <c r="DM353" s="65"/>
      <c r="DN353" s="65"/>
      <c r="DO353" s="65"/>
      <c r="DP353" s="65"/>
      <c r="DQ353" s="65"/>
      <c r="DR353" s="65"/>
      <c r="DS353" s="65"/>
      <c r="DT353" s="65"/>
      <c r="DU353" s="65"/>
      <c r="DV353" s="65"/>
      <c r="DW353" s="65"/>
      <c r="DX353" s="65"/>
      <c r="DY353" s="65"/>
      <c r="DZ353" s="65"/>
      <c r="EA353" s="65"/>
      <c r="EB353" s="65"/>
      <c r="EC353" s="65"/>
      <c r="ED353" s="65"/>
      <c r="EE353" s="65"/>
      <c r="EF353" s="65"/>
      <c r="EG353" s="65"/>
      <c r="EH353" s="65"/>
      <c r="EI353" s="65"/>
      <c r="EJ353" s="65"/>
      <c r="EK353" s="65"/>
      <c r="EL353" s="65"/>
      <c r="EM353" s="65"/>
    </row>
    <row r="354" spans="1:143" ht="12" hidden="1" customHeight="1" outlineLevel="1"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  <c r="AT354" s="65"/>
      <c r="AU354" s="65"/>
      <c r="AV354" s="65"/>
      <c r="AW354" s="65"/>
      <c r="AX354" s="65"/>
      <c r="AY354" s="65"/>
      <c r="AZ354" s="65"/>
      <c r="BA354" s="65"/>
      <c r="BB354" s="65"/>
      <c r="BC354" s="65"/>
      <c r="BD354" s="65"/>
      <c r="BE354" s="65"/>
      <c r="BF354" s="65"/>
      <c r="BG354" s="65"/>
      <c r="BH354" s="65"/>
      <c r="BI354" s="65"/>
      <c r="BJ354" s="65"/>
      <c r="BK354" s="65"/>
      <c r="BL354" s="65"/>
      <c r="BM354" s="65"/>
      <c r="BN354" s="65"/>
      <c r="BO354" s="65"/>
      <c r="BP354" s="65"/>
      <c r="BQ354" s="65"/>
      <c r="BR354" s="65"/>
      <c r="BS354" s="65"/>
      <c r="BT354" s="65"/>
      <c r="BU354" s="65"/>
      <c r="BV354" s="65"/>
      <c r="BW354" s="69"/>
      <c r="BX354" s="65"/>
      <c r="BY354" s="65"/>
      <c r="BZ354" s="65"/>
      <c r="CA354" s="65"/>
      <c r="CB354" s="65"/>
      <c r="CC354" s="65"/>
      <c r="CD354" s="65"/>
      <c r="CE354" s="65"/>
      <c r="CF354" s="65"/>
      <c r="CG354" s="65"/>
      <c r="CH354" s="65"/>
      <c r="CI354" s="65"/>
      <c r="CJ354" s="65"/>
      <c r="CK354" s="65"/>
      <c r="CL354" s="65"/>
      <c r="CM354" s="65"/>
      <c r="CN354" s="65"/>
      <c r="CO354" s="65"/>
      <c r="CP354" s="65"/>
      <c r="CQ354" s="65"/>
      <c r="CR354" s="65"/>
      <c r="CS354" s="65"/>
      <c r="CT354" s="65"/>
      <c r="CU354" s="65"/>
      <c r="CV354" s="65"/>
      <c r="CW354" s="65"/>
      <c r="CX354" s="65"/>
      <c r="CY354" s="65"/>
      <c r="CZ354" s="65"/>
      <c r="DA354" s="65"/>
      <c r="DB354" s="65"/>
      <c r="DC354" s="65"/>
      <c r="DD354" s="65"/>
      <c r="DE354" s="65"/>
      <c r="DF354" s="65"/>
      <c r="DG354" s="65"/>
      <c r="DH354" s="65"/>
      <c r="DI354" s="65"/>
      <c r="DJ354" s="65"/>
      <c r="DK354" s="65"/>
      <c r="DL354" s="65"/>
      <c r="DM354" s="65"/>
      <c r="DN354" s="65"/>
      <c r="DO354" s="65"/>
      <c r="DP354" s="65"/>
      <c r="DQ354" s="65"/>
      <c r="DR354" s="65"/>
      <c r="DS354" s="65"/>
      <c r="DT354" s="65"/>
      <c r="DU354" s="65"/>
      <c r="DV354" s="65"/>
      <c r="DW354" s="65"/>
      <c r="DX354" s="65"/>
      <c r="DY354" s="65"/>
      <c r="DZ354" s="65"/>
      <c r="EA354" s="65"/>
      <c r="EB354" s="65"/>
      <c r="EC354" s="65"/>
      <c r="ED354" s="65"/>
      <c r="EE354" s="65"/>
      <c r="EF354" s="65"/>
      <c r="EG354" s="65"/>
      <c r="EH354" s="65"/>
      <c r="EI354" s="65"/>
      <c r="EJ354" s="65"/>
      <c r="EK354" s="65"/>
      <c r="EL354" s="65"/>
      <c r="EM354" s="65"/>
    </row>
    <row r="355" spans="1:143" ht="24" hidden="1" customHeight="1" outlineLevel="1">
      <c r="B355" s="593" t="s">
        <v>395</v>
      </c>
      <c r="C355" s="65"/>
      <c r="D355" s="65"/>
      <c r="E355" s="65"/>
      <c r="F355" s="149" t="str">
        <f>IF($G$57&gt;0,$G$57,"")</f>
        <v>Equipe07</v>
      </c>
      <c r="G355" s="149"/>
      <c r="H355" s="149"/>
      <c r="I355" s="149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5"/>
      <c r="AT355" s="65"/>
      <c r="AU355" s="65"/>
      <c r="AV355" s="65"/>
      <c r="AW355" s="65"/>
      <c r="AX355" s="65"/>
      <c r="AY355" s="65"/>
      <c r="AZ355" s="65"/>
      <c r="BA355" s="65"/>
      <c r="BB355" s="65"/>
      <c r="BC355" s="65"/>
      <c r="BD355" s="65"/>
      <c r="BE355" s="65"/>
      <c r="BF355" s="65"/>
      <c r="BG355" s="65"/>
      <c r="BH355" s="65"/>
      <c r="BI355" s="65"/>
      <c r="BJ355" s="65"/>
      <c r="BK355" s="65"/>
      <c r="BL355" s="65"/>
      <c r="BM355" s="65"/>
      <c r="BN355" s="65"/>
      <c r="BO355" s="65"/>
      <c r="BP355" s="65"/>
      <c r="BQ355" s="65"/>
      <c r="BR355" s="65"/>
      <c r="BS355" s="65"/>
      <c r="BT355" s="601" t="s">
        <v>396</v>
      </c>
      <c r="BU355" s="601" t="s">
        <v>397</v>
      </c>
      <c r="BV355" s="65"/>
      <c r="BW355" s="69"/>
      <c r="BX355" s="65"/>
      <c r="BY355" s="593" t="s">
        <v>398</v>
      </c>
      <c r="BZ355" s="593" t="s">
        <v>399</v>
      </c>
      <c r="CA355" s="593" t="s">
        <v>400</v>
      </c>
      <c r="CB355" s="592" t="s">
        <v>401</v>
      </c>
      <c r="CC355" s="592" t="s">
        <v>402</v>
      </c>
      <c r="CD355" s="592" t="s">
        <v>403</v>
      </c>
      <c r="CE355" s="592" t="s">
        <v>404</v>
      </c>
      <c r="CF355" s="592" t="s">
        <v>405</v>
      </c>
      <c r="CG355" s="592" t="s">
        <v>406</v>
      </c>
      <c r="CH355" s="592" t="s">
        <v>407</v>
      </c>
      <c r="CI355" s="592" t="s">
        <v>408</v>
      </c>
      <c r="CJ355" s="592" t="s">
        <v>409</v>
      </c>
      <c r="CK355" s="592" t="s">
        <v>410</v>
      </c>
      <c r="CL355" s="592" t="s">
        <v>411</v>
      </c>
      <c r="CM355" s="592" t="s">
        <v>412</v>
      </c>
      <c r="CN355" s="592" t="s">
        <v>413</v>
      </c>
      <c r="CO355" s="592" t="s">
        <v>414</v>
      </c>
      <c r="CP355" s="592" t="s">
        <v>415</v>
      </c>
      <c r="CQ355" s="592" t="s">
        <v>416</v>
      </c>
      <c r="CR355" s="592" t="s">
        <v>417</v>
      </c>
      <c r="CS355" s="592" t="s">
        <v>418</v>
      </c>
      <c r="CT355" s="592" t="s">
        <v>419</v>
      </c>
      <c r="CU355" s="592" t="s">
        <v>420</v>
      </c>
      <c r="CV355" s="592" t="s">
        <v>421</v>
      </c>
      <c r="CW355" s="592" t="s">
        <v>422</v>
      </c>
      <c r="CX355" s="592" t="s">
        <v>423</v>
      </c>
      <c r="CY355" s="592" t="s">
        <v>424</v>
      </c>
      <c r="CZ355" s="592" t="s">
        <v>425</v>
      </c>
      <c r="DA355" s="592" t="s">
        <v>426</v>
      </c>
      <c r="DB355" s="592" t="s">
        <v>427</v>
      </c>
      <c r="DC355" s="592" t="s">
        <v>428</v>
      </c>
      <c r="DD355" s="592" t="s">
        <v>429</v>
      </c>
      <c r="DE355" s="592" t="s">
        <v>430</v>
      </c>
      <c r="DF355" s="592" t="s">
        <v>431</v>
      </c>
      <c r="DG355" s="592" t="s">
        <v>432</v>
      </c>
      <c r="DH355" s="592" t="s">
        <v>433</v>
      </c>
      <c r="DI355" s="592" t="s">
        <v>434</v>
      </c>
      <c r="DJ355" s="592" t="s">
        <v>435</v>
      </c>
      <c r="DK355" s="592" t="s">
        <v>436</v>
      </c>
      <c r="DL355" s="592" t="s">
        <v>437</v>
      </c>
      <c r="DM355" s="592" t="s">
        <v>438</v>
      </c>
      <c r="DN355" s="592" t="s">
        <v>439</v>
      </c>
      <c r="DO355" s="592" t="s">
        <v>440</v>
      </c>
      <c r="DP355" s="592" t="s">
        <v>441</v>
      </c>
      <c r="DQ355" s="592" t="s">
        <v>442</v>
      </c>
      <c r="DR355" s="592" t="s">
        <v>443</v>
      </c>
      <c r="DS355" s="592" t="s">
        <v>444</v>
      </c>
      <c r="DT355" s="592" t="s">
        <v>445</v>
      </c>
      <c r="DU355" s="592" t="s">
        <v>446</v>
      </c>
      <c r="DV355" s="592" t="s">
        <v>447</v>
      </c>
      <c r="DW355" s="592" t="s">
        <v>448</v>
      </c>
      <c r="DX355" s="592" t="s">
        <v>449</v>
      </c>
      <c r="DY355" s="592" t="s">
        <v>450</v>
      </c>
      <c r="DZ355" s="592" t="s">
        <v>451</v>
      </c>
      <c r="EA355" s="592" t="s">
        <v>452</v>
      </c>
      <c r="EB355" s="592" t="s">
        <v>453</v>
      </c>
      <c r="EC355" s="592" t="s">
        <v>454</v>
      </c>
      <c r="ED355" s="592" t="s">
        <v>455</v>
      </c>
      <c r="EE355" s="592" t="s">
        <v>456</v>
      </c>
      <c r="EF355" s="592" t="s">
        <v>457</v>
      </c>
      <c r="EG355" s="592" t="s">
        <v>458</v>
      </c>
      <c r="EH355" s="592" t="s">
        <v>459</v>
      </c>
      <c r="EI355" s="592" t="s">
        <v>460</v>
      </c>
      <c r="EJ355" s="65"/>
      <c r="EK355" s="157" t="s">
        <v>376</v>
      </c>
      <c r="EL355" s="157" t="s">
        <v>461</v>
      </c>
      <c r="EM355" s="157" t="s">
        <v>383</v>
      </c>
    </row>
    <row r="356" spans="1:143" ht="12" hidden="1" customHeight="1" outlineLevel="1" collapsed="1">
      <c r="B356" s="593"/>
      <c r="C356" s="65"/>
      <c r="D356" s="65"/>
      <c r="E356" s="65"/>
      <c r="F356" s="158" t="s">
        <v>198</v>
      </c>
      <c r="G356" s="158" t="s">
        <v>462</v>
      </c>
      <c r="H356" s="158" t="s">
        <v>255</v>
      </c>
      <c r="I356" s="158" t="s">
        <v>68</v>
      </c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  <c r="AT356" s="65"/>
      <c r="AU356" s="65"/>
      <c r="AV356" s="65"/>
      <c r="AW356" s="65"/>
      <c r="AX356" s="65"/>
      <c r="AY356" s="65"/>
      <c r="AZ356" s="65"/>
      <c r="BA356" s="65"/>
      <c r="BB356" s="65"/>
      <c r="BC356" s="65"/>
      <c r="BD356" s="65"/>
      <c r="BE356" s="65"/>
      <c r="BF356" s="65"/>
      <c r="BG356" s="65"/>
      <c r="BH356" s="65"/>
      <c r="BI356" s="65"/>
      <c r="BJ356" s="65"/>
      <c r="BK356" s="65"/>
      <c r="BL356" s="65"/>
      <c r="BM356" s="65"/>
      <c r="BN356" s="65"/>
      <c r="BO356" s="65"/>
      <c r="BP356" s="65"/>
      <c r="BQ356" s="65"/>
      <c r="BR356" s="65"/>
      <c r="BS356" s="65"/>
      <c r="BT356" s="602"/>
      <c r="BU356" s="602"/>
      <c r="BV356" s="65"/>
      <c r="BW356" s="69"/>
      <c r="BX356" s="65"/>
      <c r="BY356" s="593"/>
      <c r="BZ356" s="593"/>
      <c r="CA356" s="593"/>
      <c r="CB356" s="592"/>
      <c r="CC356" s="592"/>
      <c r="CD356" s="592"/>
      <c r="CE356" s="592"/>
      <c r="CF356" s="592"/>
      <c r="CG356" s="592"/>
      <c r="CH356" s="592"/>
      <c r="CI356" s="592"/>
      <c r="CJ356" s="592"/>
      <c r="CK356" s="592"/>
      <c r="CL356" s="592"/>
      <c r="CM356" s="592"/>
      <c r="CN356" s="592"/>
      <c r="CO356" s="592"/>
      <c r="CP356" s="592"/>
      <c r="CQ356" s="592"/>
      <c r="CR356" s="592"/>
      <c r="CS356" s="592"/>
      <c r="CT356" s="592"/>
      <c r="CU356" s="592"/>
      <c r="CV356" s="592"/>
      <c r="CW356" s="592"/>
      <c r="CX356" s="592"/>
      <c r="CY356" s="592"/>
      <c r="CZ356" s="592"/>
      <c r="DA356" s="592"/>
      <c r="DB356" s="592"/>
      <c r="DC356" s="592"/>
      <c r="DD356" s="592"/>
      <c r="DE356" s="592"/>
      <c r="DF356" s="592"/>
      <c r="DG356" s="592"/>
      <c r="DH356" s="592"/>
      <c r="DI356" s="592"/>
      <c r="DJ356" s="592"/>
      <c r="DK356" s="592"/>
      <c r="DL356" s="592"/>
      <c r="DM356" s="592"/>
      <c r="DN356" s="592"/>
      <c r="DO356" s="592"/>
      <c r="DP356" s="592"/>
      <c r="DQ356" s="592"/>
      <c r="DR356" s="592"/>
      <c r="DS356" s="592"/>
      <c r="DT356" s="592"/>
      <c r="DU356" s="592"/>
      <c r="DV356" s="592"/>
      <c r="DW356" s="592"/>
      <c r="DX356" s="592"/>
      <c r="DY356" s="592"/>
      <c r="DZ356" s="592"/>
      <c r="EA356" s="592"/>
      <c r="EB356" s="592"/>
      <c r="EC356" s="592"/>
      <c r="ED356" s="592"/>
      <c r="EE356" s="592"/>
      <c r="EF356" s="592"/>
      <c r="EG356" s="592"/>
      <c r="EH356" s="592"/>
      <c r="EI356" s="592"/>
      <c r="EJ356" s="65"/>
      <c r="EK356" s="159">
        <f>IFERROR(ROUNDUP(SUMPRODUCT($K377:$BR377,$K$112:$BR$112)/SUM($K377:$BR377),2),0)</f>
        <v>0</v>
      </c>
      <c r="EL356" s="159">
        <f>IFERROR(ROUNDUP(SUMPRODUCT($K377:$BR377,$K$136:$BR$136)/SUM($K377:$BR377),2),0)</f>
        <v>0</v>
      </c>
      <c r="EM356" s="159">
        <f>IFERROR(ROUNDUP(SUMPRODUCT($K377:$BR377,$K$160:$BR$160)/SUM($K377:$BR377),2),0)</f>
        <v>0</v>
      </c>
    </row>
    <row r="357" spans="1:143" ht="12" hidden="1" customHeight="1" outlineLevel="2">
      <c r="A357" s="77">
        <v>1</v>
      </c>
      <c r="B357" s="137" t="str">
        <f>IF(G357&gt;0,G357&amp;" - "&amp;$F$213,"")</f>
        <v>GER. (OBRA/PROJ) - Equipe_01</v>
      </c>
      <c r="C357" s="65"/>
      <c r="D357" s="620" t="s">
        <v>463</v>
      </c>
      <c r="E357" s="65"/>
      <c r="F357" s="584" t="str">
        <f>IFERROR(VLOOKUP(F355,Tarefas!$F$3:$G$22,2,0),"")</f>
        <v>Equipe_07</v>
      </c>
      <c r="G357" s="77" t="str">
        <f>IF(INDEX(Tarefas!$BT$30:$FK$30,MATCH(A357,Tarefas!$BT$28:$FK$28,0))=0,"",INDEX(Tarefas!$BT$30:$FK$30,MATCH(A357,Tarefas!$BT$28:$FK$28,0)))</f>
        <v>GER. (OBRA/PROJ)</v>
      </c>
      <c r="H357" s="107" cm="1">
        <f t="array" ref="H357">IFERROR((SUMPRODUCT((Tarefas!$N$32:$N$54='Cronog. e Histog.'!$F$357)*(Tarefas!$BQ$30:$FK$30='Cronog. e Histog.'!$G357)*(Tarefas!$BQ$32:$FK$54)))/SUMIF(Tarefas!$N$32:$N$54,'Cronog. e Histog.'!$F$357,Tarefas!$K$32:$K$54),0)</f>
        <v>0</v>
      </c>
      <c r="I357" s="79">
        <f>IFERROR(H357/$H$377,0)</f>
        <v>0</v>
      </c>
      <c r="J357" s="65"/>
      <c r="K357" s="160">
        <f>ROUND($I357*K$189,2)</f>
        <v>0</v>
      </c>
      <c r="L357" s="160">
        <f t="shared" ref="L357:BR371" si="1005">ROUND($I357*L$189,2)</f>
        <v>0</v>
      </c>
      <c r="M357" s="160">
        <f t="shared" si="1005"/>
        <v>0</v>
      </c>
      <c r="N357" s="160">
        <f t="shared" si="1005"/>
        <v>0</v>
      </c>
      <c r="O357" s="160">
        <f t="shared" si="1005"/>
        <v>0</v>
      </c>
      <c r="P357" s="160">
        <f t="shared" si="1005"/>
        <v>0</v>
      </c>
      <c r="Q357" s="160">
        <f t="shared" si="1005"/>
        <v>0</v>
      </c>
      <c r="R357" s="160">
        <f t="shared" si="1005"/>
        <v>0</v>
      </c>
      <c r="S357" s="160">
        <f t="shared" si="1005"/>
        <v>0</v>
      </c>
      <c r="T357" s="160">
        <f t="shared" si="1005"/>
        <v>0</v>
      </c>
      <c r="U357" s="160">
        <f t="shared" si="1005"/>
        <v>0</v>
      </c>
      <c r="V357" s="160">
        <f t="shared" si="1005"/>
        <v>0</v>
      </c>
      <c r="W357" s="160">
        <f t="shared" si="1005"/>
        <v>0</v>
      </c>
      <c r="X357" s="160">
        <f t="shared" si="1005"/>
        <v>0</v>
      </c>
      <c r="Y357" s="160">
        <f t="shared" si="1005"/>
        <v>0</v>
      </c>
      <c r="Z357" s="160">
        <f t="shared" si="1005"/>
        <v>0</v>
      </c>
      <c r="AA357" s="160">
        <f t="shared" si="1005"/>
        <v>0</v>
      </c>
      <c r="AB357" s="160">
        <f t="shared" si="1005"/>
        <v>0</v>
      </c>
      <c r="AC357" s="160">
        <f t="shared" si="1005"/>
        <v>0</v>
      </c>
      <c r="AD357" s="160">
        <f t="shared" si="1005"/>
        <v>0</v>
      </c>
      <c r="AE357" s="160">
        <f t="shared" si="1005"/>
        <v>0</v>
      </c>
      <c r="AF357" s="160">
        <f t="shared" si="1005"/>
        <v>0</v>
      </c>
      <c r="AG357" s="160">
        <f t="shared" si="1005"/>
        <v>0</v>
      </c>
      <c r="AH357" s="160">
        <f t="shared" si="1005"/>
        <v>0</v>
      </c>
      <c r="AI357" s="160">
        <f t="shared" si="1005"/>
        <v>0</v>
      </c>
      <c r="AJ357" s="160">
        <f t="shared" si="1005"/>
        <v>0</v>
      </c>
      <c r="AK357" s="160">
        <f t="shared" si="1005"/>
        <v>0</v>
      </c>
      <c r="AL357" s="160">
        <f t="shared" si="1005"/>
        <v>0</v>
      </c>
      <c r="AM357" s="160">
        <f t="shared" si="1005"/>
        <v>0</v>
      </c>
      <c r="AN357" s="160">
        <f t="shared" si="1005"/>
        <v>0</v>
      </c>
      <c r="AO357" s="160">
        <f t="shared" si="1005"/>
        <v>0</v>
      </c>
      <c r="AP357" s="160">
        <f t="shared" si="1005"/>
        <v>0</v>
      </c>
      <c r="AQ357" s="160">
        <f t="shared" si="1005"/>
        <v>0</v>
      </c>
      <c r="AR357" s="160">
        <f t="shared" si="1005"/>
        <v>0</v>
      </c>
      <c r="AS357" s="160">
        <f t="shared" si="1005"/>
        <v>0</v>
      </c>
      <c r="AT357" s="160">
        <f t="shared" si="1005"/>
        <v>0</v>
      </c>
      <c r="AU357" s="160">
        <f t="shared" si="1005"/>
        <v>0</v>
      </c>
      <c r="AV357" s="160">
        <f t="shared" si="1005"/>
        <v>0</v>
      </c>
      <c r="AW357" s="160">
        <f t="shared" si="1005"/>
        <v>0</v>
      </c>
      <c r="AX357" s="160">
        <f t="shared" si="1005"/>
        <v>0</v>
      </c>
      <c r="AY357" s="160">
        <f t="shared" si="1005"/>
        <v>0</v>
      </c>
      <c r="AZ357" s="160">
        <f t="shared" si="1005"/>
        <v>0</v>
      </c>
      <c r="BA357" s="160">
        <f t="shared" si="1005"/>
        <v>0</v>
      </c>
      <c r="BB357" s="160">
        <f t="shared" si="1005"/>
        <v>0</v>
      </c>
      <c r="BC357" s="160">
        <f t="shared" si="1005"/>
        <v>0</v>
      </c>
      <c r="BD357" s="160">
        <f t="shared" si="1005"/>
        <v>0</v>
      </c>
      <c r="BE357" s="160">
        <f t="shared" si="1005"/>
        <v>0</v>
      </c>
      <c r="BF357" s="160">
        <f t="shared" si="1005"/>
        <v>0</v>
      </c>
      <c r="BG357" s="160">
        <f t="shared" si="1005"/>
        <v>0</v>
      </c>
      <c r="BH357" s="160">
        <f t="shared" si="1005"/>
        <v>0</v>
      </c>
      <c r="BI357" s="160">
        <f t="shared" si="1005"/>
        <v>0</v>
      </c>
      <c r="BJ357" s="160">
        <f t="shared" si="1005"/>
        <v>0</v>
      </c>
      <c r="BK357" s="160">
        <f t="shared" si="1005"/>
        <v>0</v>
      </c>
      <c r="BL357" s="160">
        <f t="shared" si="1005"/>
        <v>0</v>
      </c>
      <c r="BM357" s="160">
        <f t="shared" si="1005"/>
        <v>0</v>
      </c>
      <c r="BN357" s="160">
        <f t="shared" si="1005"/>
        <v>0</v>
      </c>
      <c r="BO357" s="160">
        <f t="shared" si="1005"/>
        <v>0</v>
      </c>
      <c r="BP357" s="160">
        <f t="shared" si="1005"/>
        <v>0</v>
      </c>
      <c r="BQ357" s="160">
        <f t="shared" si="1005"/>
        <v>0</v>
      </c>
      <c r="BR357" s="160">
        <f t="shared" si="1005"/>
        <v>0</v>
      </c>
      <c r="BS357" s="65"/>
      <c r="BT357" s="160">
        <f t="shared" ref="BT357:BT376" si="1006">IFERROR(SUM(K357:BR357)/COUNTIF(K357:BR357,"&gt;0"),0)</f>
        <v>0</v>
      </c>
      <c r="BU357" s="160">
        <f t="shared" ref="BU357:BU376" si="1007">COUNTIF(K357:BR357,"&gt;0")</f>
        <v>0</v>
      </c>
      <c r="BV357" s="65"/>
      <c r="BW357" s="69"/>
      <c r="BX357" s="65"/>
      <c r="BY357" s="137">
        <f t="shared" ref="BY357:BY376" si="1008">IF(G357&gt;0,1,0)</f>
        <v>1</v>
      </c>
      <c r="BZ357" s="137">
        <f>IF(BY357&gt;0,BY357+LARGE($BZ$213:BZ356,1),0)</f>
        <v>121</v>
      </c>
      <c r="CA357" s="137" t="str">
        <f t="shared" ref="CA357:CA376" si="1009">G357</f>
        <v>GER. (OBRA/PROJ)</v>
      </c>
      <c r="CB357" s="161">
        <f t="shared" ref="CB357:CB376" si="1010">K357</f>
        <v>0</v>
      </c>
      <c r="CC357" s="161">
        <f t="shared" ref="CC357:CC376" si="1011">L357</f>
        <v>0</v>
      </c>
      <c r="CD357" s="161">
        <f t="shared" ref="CD357:CD376" si="1012">M357</f>
        <v>0</v>
      </c>
      <c r="CE357" s="161">
        <f t="shared" ref="CE357:CE376" si="1013">N357</f>
        <v>0</v>
      </c>
      <c r="CF357" s="161">
        <f t="shared" ref="CF357:CF376" si="1014">O357</f>
        <v>0</v>
      </c>
      <c r="CG357" s="161">
        <f t="shared" ref="CG357:CG376" si="1015">P357</f>
        <v>0</v>
      </c>
      <c r="CH357" s="161">
        <f t="shared" ref="CH357:CH376" si="1016">Q357</f>
        <v>0</v>
      </c>
      <c r="CI357" s="161">
        <f t="shared" ref="CI357:CI376" si="1017">R357</f>
        <v>0</v>
      </c>
      <c r="CJ357" s="161">
        <f t="shared" ref="CJ357:CJ376" si="1018">S357</f>
        <v>0</v>
      </c>
      <c r="CK357" s="161">
        <f t="shared" ref="CK357:CK376" si="1019">T357</f>
        <v>0</v>
      </c>
      <c r="CL357" s="161">
        <f t="shared" ref="CL357:CL376" si="1020">U357</f>
        <v>0</v>
      </c>
      <c r="CM357" s="161">
        <f t="shared" ref="CM357:CM376" si="1021">V357</f>
        <v>0</v>
      </c>
      <c r="CN357" s="161">
        <f t="shared" ref="CN357:CN376" si="1022">W357</f>
        <v>0</v>
      </c>
      <c r="CO357" s="161">
        <f t="shared" ref="CO357:CO376" si="1023">X357</f>
        <v>0</v>
      </c>
      <c r="CP357" s="161">
        <f t="shared" ref="CP357:CP376" si="1024">Y357</f>
        <v>0</v>
      </c>
      <c r="CQ357" s="161">
        <f t="shared" ref="CQ357:CQ376" si="1025">Z357</f>
        <v>0</v>
      </c>
      <c r="CR357" s="161">
        <f t="shared" ref="CR357:CR376" si="1026">AA357</f>
        <v>0</v>
      </c>
      <c r="CS357" s="161">
        <f t="shared" ref="CS357:CS376" si="1027">AB357</f>
        <v>0</v>
      </c>
      <c r="CT357" s="161">
        <f t="shared" ref="CT357:CT376" si="1028">AC357</f>
        <v>0</v>
      </c>
      <c r="CU357" s="161">
        <f t="shared" ref="CU357:CU376" si="1029">AD357</f>
        <v>0</v>
      </c>
      <c r="CV357" s="161">
        <f t="shared" ref="CV357:CV376" si="1030">AE357</f>
        <v>0</v>
      </c>
      <c r="CW357" s="161">
        <f t="shared" ref="CW357:CW376" si="1031">AF357</f>
        <v>0</v>
      </c>
      <c r="CX357" s="161">
        <f t="shared" ref="CX357:CX376" si="1032">AG357</f>
        <v>0</v>
      </c>
      <c r="CY357" s="161">
        <f t="shared" ref="CY357:CY376" si="1033">AH357</f>
        <v>0</v>
      </c>
      <c r="CZ357" s="161">
        <f t="shared" ref="CZ357:CZ376" si="1034">AI357</f>
        <v>0</v>
      </c>
      <c r="DA357" s="161">
        <f t="shared" ref="DA357:DA376" si="1035">AJ357</f>
        <v>0</v>
      </c>
      <c r="DB357" s="161">
        <f t="shared" ref="DB357:DB376" si="1036">AK357</f>
        <v>0</v>
      </c>
      <c r="DC357" s="161">
        <f t="shared" ref="DC357:DC376" si="1037">AL357</f>
        <v>0</v>
      </c>
      <c r="DD357" s="161">
        <f t="shared" ref="DD357:DD376" si="1038">AM357</f>
        <v>0</v>
      </c>
      <c r="DE357" s="161">
        <f t="shared" ref="DE357:DE376" si="1039">AN357</f>
        <v>0</v>
      </c>
      <c r="DF357" s="161">
        <f t="shared" ref="DF357:DF376" si="1040">AO357</f>
        <v>0</v>
      </c>
      <c r="DG357" s="161">
        <f t="shared" ref="DG357:DG376" si="1041">AP357</f>
        <v>0</v>
      </c>
      <c r="DH357" s="161">
        <f t="shared" ref="DH357:DH376" si="1042">AQ357</f>
        <v>0</v>
      </c>
      <c r="DI357" s="161">
        <f t="shared" ref="DI357:DI376" si="1043">AR357</f>
        <v>0</v>
      </c>
      <c r="DJ357" s="161">
        <f t="shared" ref="DJ357:DJ376" si="1044">AS357</f>
        <v>0</v>
      </c>
      <c r="DK357" s="161">
        <f t="shared" ref="DK357:DK376" si="1045">AT357</f>
        <v>0</v>
      </c>
      <c r="DL357" s="161">
        <f t="shared" ref="DL357:DL376" si="1046">AU357</f>
        <v>0</v>
      </c>
      <c r="DM357" s="161">
        <f t="shared" ref="DM357:DM376" si="1047">AV357</f>
        <v>0</v>
      </c>
      <c r="DN357" s="161">
        <f t="shared" ref="DN357:DN376" si="1048">AW357</f>
        <v>0</v>
      </c>
      <c r="DO357" s="161">
        <f t="shared" ref="DO357:DO376" si="1049">AX357</f>
        <v>0</v>
      </c>
      <c r="DP357" s="161">
        <f t="shared" ref="DP357:DP376" si="1050">AY357</f>
        <v>0</v>
      </c>
      <c r="DQ357" s="161">
        <f t="shared" ref="DQ357:DQ376" si="1051">AZ357</f>
        <v>0</v>
      </c>
      <c r="DR357" s="161">
        <f t="shared" ref="DR357:DR376" si="1052">BA357</f>
        <v>0</v>
      </c>
      <c r="DS357" s="161">
        <f t="shared" ref="DS357:DS376" si="1053">BB357</f>
        <v>0</v>
      </c>
      <c r="DT357" s="161">
        <f t="shared" ref="DT357:DT376" si="1054">BC357</f>
        <v>0</v>
      </c>
      <c r="DU357" s="161">
        <f t="shared" ref="DU357:DU376" si="1055">BD357</f>
        <v>0</v>
      </c>
      <c r="DV357" s="161">
        <f t="shared" ref="DV357:DV376" si="1056">BE357</f>
        <v>0</v>
      </c>
      <c r="DW357" s="161">
        <f t="shared" ref="DW357:DW376" si="1057">BF357</f>
        <v>0</v>
      </c>
      <c r="DX357" s="161">
        <f t="shared" ref="DX357:DX376" si="1058">BG357</f>
        <v>0</v>
      </c>
      <c r="DY357" s="161">
        <f t="shared" ref="DY357:DY376" si="1059">BH357</f>
        <v>0</v>
      </c>
      <c r="DZ357" s="161">
        <f t="shared" ref="DZ357:DZ376" si="1060">BI357</f>
        <v>0</v>
      </c>
      <c r="EA357" s="161">
        <f t="shared" ref="EA357:EA376" si="1061">BJ357</f>
        <v>0</v>
      </c>
      <c r="EB357" s="161">
        <f t="shared" ref="EB357:EB376" si="1062">BK357</f>
        <v>0</v>
      </c>
      <c r="EC357" s="161">
        <f t="shared" ref="EC357:EC376" si="1063">BL357</f>
        <v>0</v>
      </c>
      <c r="ED357" s="161">
        <f t="shared" ref="ED357:ED376" si="1064">BM357</f>
        <v>0</v>
      </c>
      <c r="EE357" s="161">
        <f t="shared" ref="EE357:EE376" si="1065">BN357</f>
        <v>0</v>
      </c>
      <c r="EF357" s="161">
        <f t="shared" ref="EF357:EF376" si="1066">BO357</f>
        <v>0</v>
      </c>
      <c r="EG357" s="161">
        <f t="shared" ref="EG357:EG376" si="1067">BP357</f>
        <v>0</v>
      </c>
      <c r="EH357" s="161">
        <f t="shared" ref="EH357:EH376" si="1068">BQ357</f>
        <v>0</v>
      </c>
      <c r="EI357" s="161">
        <f t="shared" ref="EI357:EI376" si="1069">BR357</f>
        <v>0</v>
      </c>
      <c r="EJ357" s="65"/>
      <c r="EK357" s="161">
        <f>$EK$356</f>
        <v>0</v>
      </c>
      <c r="EL357" s="161">
        <f>$EL$356</f>
        <v>0</v>
      </c>
      <c r="EM357" s="161">
        <f>$EM$356</f>
        <v>0</v>
      </c>
    </row>
    <row r="358" spans="1:143" ht="12" hidden="1" customHeight="1" outlineLevel="2">
      <c r="A358" s="77">
        <v>2</v>
      </c>
      <c r="B358" s="137" t="str">
        <f t="shared" ref="B358:B376" si="1070">IF(G358&gt;0,G358&amp;" - "&amp;$F$213,"")</f>
        <v>COORD. - Equipe_01</v>
      </c>
      <c r="C358" s="65"/>
      <c r="D358" s="621"/>
      <c r="E358" s="65"/>
      <c r="F358" s="584"/>
      <c r="G358" s="77" t="str">
        <f>IF(INDEX(Tarefas!$BT$30:$FK$30,MATCH(A358,Tarefas!$BT$28:$FK$28,0))=0,"",INDEX(Tarefas!$BT$30:$FK$30,MATCH(A358,Tarefas!$BT$28:$FK$28,0)))</f>
        <v>COORD.</v>
      </c>
      <c r="H358" s="107" cm="1">
        <f t="array" ref="H358">IFERROR((SUMPRODUCT((Tarefas!$N$32:$N$54='Cronog. e Histog.'!$F$357)*(Tarefas!$BQ$30:$FK$30='Cronog. e Histog.'!$G358)*(Tarefas!$BQ$32:$FK$54)))/SUMIF(Tarefas!$N$32:$N$54,'Cronog. e Histog.'!$F$357,Tarefas!$K$32:$K$54),0)</f>
        <v>0</v>
      </c>
      <c r="I358" s="79">
        <f t="shared" ref="I358:I376" si="1071">IFERROR(H358/$H$377,0)</f>
        <v>0</v>
      </c>
      <c r="J358" s="65"/>
      <c r="K358" s="160">
        <f t="shared" ref="K358:Z367" si="1072">ROUND($I358*K$189,2)</f>
        <v>0</v>
      </c>
      <c r="L358" s="160">
        <f t="shared" si="1072"/>
        <v>0</v>
      </c>
      <c r="M358" s="160">
        <f t="shared" si="1072"/>
        <v>0</v>
      </c>
      <c r="N358" s="160">
        <f t="shared" si="1072"/>
        <v>0</v>
      </c>
      <c r="O358" s="160">
        <f t="shared" si="1072"/>
        <v>0</v>
      </c>
      <c r="P358" s="160">
        <f t="shared" si="1072"/>
        <v>0</v>
      </c>
      <c r="Q358" s="160">
        <f t="shared" si="1072"/>
        <v>0</v>
      </c>
      <c r="R358" s="160">
        <f t="shared" si="1072"/>
        <v>0</v>
      </c>
      <c r="S358" s="160">
        <f t="shared" si="1072"/>
        <v>0</v>
      </c>
      <c r="T358" s="160">
        <f t="shared" si="1072"/>
        <v>0</v>
      </c>
      <c r="U358" s="160">
        <f t="shared" si="1072"/>
        <v>0</v>
      </c>
      <c r="V358" s="160">
        <f t="shared" si="1072"/>
        <v>0</v>
      </c>
      <c r="W358" s="160">
        <f t="shared" si="1072"/>
        <v>0</v>
      </c>
      <c r="X358" s="160">
        <f t="shared" si="1072"/>
        <v>0</v>
      </c>
      <c r="Y358" s="160">
        <f t="shared" si="1072"/>
        <v>0</v>
      </c>
      <c r="Z358" s="160">
        <f t="shared" si="1072"/>
        <v>0</v>
      </c>
      <c r="AA358" s="160">
        <f t="shared" ref="AA358:AP367" si="1073">ROUND($I358*AA$189,2)</f>
        <v>0</v>
      </c>
      <c r="AB358" s="160">
        <f t="shared" si="1073"/>
        <v>0</v>
      </c>
      <c r="AC358" s="160">
        <f t="shared" si="1073"/>
        <v>0</v>
      </c>
      <c r="AD358" s="160">
        <f t="shared" si="1073"/>
        <v>0</v>
      </c>
      <c r="AE358" s="160">
        <f t="shared" si="1073"/>
        <v>0</v>
      </c>
      <c r="AF358" s="160">
        <f t="shared" si="1073"/>
        <v>0</v>
      </c>
      <c r="AG358" s="160">
        <f t="shared" si="1073"/>
        <v>0</v>
      </c>
      <c r="AH358" s="160">
        <f t="shared" si="1073"/>
        <v>0</v>
      </c>
      <c r="AI358" s="160">
        <f t="shared" si="1073"/>
        <v>0</v>
      </c>
      <c r="AJ358" s="160">
        <f t="shared" si="1073"/>
        <v>0</v>
      </c>
      <c r="AK358" s="160">
        <f t="shared" si="1073"/>
        <v>0</v>
      </c>
      <c r="AL358" s="160">
        <f t="shared" si="1073"/>
        <v>0</v>
      </c>
      <c r="AM358" s="160">
        <f t="shared" si="1073"/>
        <v>0</v>
      </c>
      <c r="AN358" s="160">
        <f t="shared" si="1073"/>
        <v>0</v>
      </c>
      <c r="AO358" s="160">
        <f t="shared" si="1073"/>
        <v>0</v>
      </c>
      <c r="AP358" s="160">
        <f t="shared" si="1073"/>
        <v>0</v>
      </c>
      <c r="AQ358" s="160">
        <f t="shared" ref="AQ358:BF367" si="1074">ROUND($I358*AQ$189,2)</f>
        <v>0</v>
      </c>
      <c r="AR358" s="160">
        <f t="shared" si="1074"/>
        <v>0</v>
      </c>
      <c r="AS358" s="160">
        <f t="shared" si="1074"/>
        <v>0</v>
      </c>
      <c r="AT358" s="160">
        <f t="shared" si="1074"/>
        <v>0</v>
      </c>
      <c r="AU358" s="160">
        <f t="shared" si="1074"/>
        <v>0</v>
      </c>
      <c r="AV358" s="160">
        <f t="shared" si="1074"/>
        <v>0</v>
      </c>
      <c r="AW358" s="160">
        <f t="shared" si="1074"/>
        <v>0</v>
      </c>
      <c r="AX358" s="160">
        <f t="shared" si="1074"/>
        <v>0</v>
      </c>
      <c r="AY358" s="160">
        <f t="shared" si="1074"/>
        <v>0</v>
      </c>
      <c r="AZ358" s="160">
        <f t="shared" si="1074"/>
        <v>0</v>
      </c>
      <c r="BA358" s="160">
        <f t="shared" si="1074"/>
        <v>0</v>
      </c>
      <c r="BB358" s="160">
        <f t="shared" si="1074"/>
        <v>0</v>
      </c>
      <c r="BC358" s="160">
        <f t="shared" si="1074"/>
        <v>0</v>
      </c>
      <c r="BD358" s="160">
        <f t="shared" si="1074"/>
        <v>0</v>
      </c>
      <c r="BE358" s="160">
        <f t="shared" si="1074"/>
        <v>0</v>
      </c>
      <c r="BF358" s="160">
        <f t="shared" si="1074"/>
        <v>0</v>
      </c>
      <c r="BG358" s="160">
        <f t="shared" ref="BG358:BR367" si="1075">ROUND($I358*BG$189,2)</f>
        <v>0</v>
      </c>
      <c r="BH358" s="160">
        <f t="shared" si="1075"/>
        <v>0</v>
      </c>
      <c r="BI358" s="160">
        <f t="shared" si="1075"/>
        <v>0</v>
      </c>
      <c r="BJ358" s="160">
        <f t="shared" si="1075"/>
        <v>0</v>
      </c>
      <c r="BK358" s="160">
        <f t="shared" si="1075"/>
        <v>0</v>
      </c>
      <c r="BL358" s="160">
        <f t="shared" si="1075"/>
        <v>0</v>
      </c>
      <c r="BM358" s="160">
        <f t="shared" si="1075"/>
        <v>0</v>
      </c>
      <c r="BN358" s="160">
        <f t="shared" si="1075"/>
        <v>0</v>
      </c>
      <c r="BO358" s="160">
        <f t="shared" si="1075"/>
        <v>0</v>
      </c>
      <c r="BP358" s="160">
        <f t="shared" si="1075"/>
        <v>0</v>
      </c>
      <c r="BQ358" s="160">
        <f t="shared" si="1075"/>
        <v>0</v>
      </c>
      <c r="BR358" s="160">
        <f t="shared" si="1075"/>
        <v>0</v>
      </c>
      <c r="BS358" s="65"/>
      <c r="BT358" s="160">
        <f t="shared" ref="BT358:BT367" si="1076">IFERROR(SUM(K358:BR358)/COUNTIF(K358:BR358,"&gt;0"),0)</f>
        <v>0</v>
      </c>
      <c r="BU358" s="160">
        <f t="shared" ref="BU358:BU367" si="1077">COUNTIF(K358:BR358,"&gt;0")</f>
        <v>0</v>
      </c>
      <c r="BV358" s="65"/>
      <c r="BW358" s="69"/>
      <c r="BX358" s="65"/>
      <c r="BY358" s="137">
        <f t="shared" ref="BY358:BY367" si="1078">IF(G358&gt;0,1,0)</f>
        <v>1</v>
      </c>
      <c r="BZ358" s="137">
        <f>IF(BY358&gt;0,BY358+LARGE($BZ$213:BZ357,1),0)</f>
        <v>122</v>
      </c>
      <c r="CA358" s="137" t="str">
        <f t="shared" ref="CA358:CA367" si="1079">G358</f>
        <v>COORD.</v>
      </c>
      <c r="CB358" s="161">
        <f t="shared" ref="CB358:CB367" si="1080">K358</f>
        <v>0</v>
      </c>
      <c r="CC358" s="161">
        <f t="shared" ref="CC358:CC367" si="1081">L358</f>
        <v>0</v>
      </c>
      <c r="CD358" s="161">
        <f t="shared" ref="CD358:CD367" si="1082">M358</f>
        <v>0</v>
      </c>
      <c r="CE358" s="161">
        <f t="shared" ref="CE358:CE367" si="1083">N358</f>
        <v>0</v>
      </c>
      <c r="CF358" s="161">
        <f t="shared" ref="CF358:CF367" si="1084">O358</f>
        <v>0</v>
      </c>
      <c r="CG358" s="161">
        <f t="shared" ref="CG358:CG367" si="1085">P358</f>
        <v>0</v>
      </c>
      <c r="CH358" s="161">
        <f t="shared" ref="CH358:CH367" si="1086">Q358</f>
        <v>0</v>
      </c>
      <c r="CI358" s="161">
        <f t="shared" ref="CI358:CI367" si="1087">R358</f>
        <v>0</v>
      </c>
      <c r="CJ358" s="161">
        <f t="shared" ref="CJ358:CJ367" si="1088">S358</f>
        <v>0</v>
      </c>
      <c r="CK358" s="161">
        <f t="shared" ref="CK358:CK367" si="1089">T358</f>
        <v>0</v>
      </c>
      <c r="CL358" s="161">
        <f t="shared" ref="CL358:CL367" si="1090">U358</f>
        <v>0</v>
      </c>
      <c r="CM358" s="161">
        <f t="shared" ref="CM358:CM367" si="1091">V358</f>
        <v>0</v>
      </c>
      <c r="CN358" s="161">
        <f t="shared" ref="CN358:CN367" si="1092">W358</f>
        <v>0</v>
      </c>
      <c r="CO358" s="161">
        <f t="shared" ref="CO358:CO367" si="1093">X358</f>
        <v>0</v>
      </c>
      <c r="CP358" s="161">
        <f t="shared" ref="CP358:CP367" si="1094">Y358</f>
        <v>0</v>
      </c>
      <c r="CQ358" s="161">
        <f t="shared" ref="CQ358:CQ367" si="1095">Z358</f>
        <v>0</v>
      </c>
      <c r="CR358" s="161">
        <f t="shared" ref="CR358:CR367" si="1096">AA358</f>
        <v>0</v>
      </c>
      <c r="CS358" s="161">
        <f t="shared" ref="CS358:CS367" si="1097">AB358</f>
        <v>0</v>
      </c>
      <c r="CT358" s="161">
        <f t="shared" ref="CT358:CT367" si="1098">AC358</f>
        <v>0</v>
      </c>
      <c r="CU358" s="161">
        <f t="shared" ref="CU358:CU367" si="1099">AD358</f>
        <v>0</v>
      </c>
      <c r="CV358" s="161">
        <f t="shared" ref="CV358:CV367" si="1100">AE358</f>
        <v>0</v>
      </c>
      <c r="CW358" s="161">
        <f t="shared" ref="CW358:CW367" si="1101">AF358</f>
        <v>0</v>
      </c>
      <c r="CX358" s="161">
        <f t="shared" ref="CX358:CX367" si="1102">AG358</f>
        <v>0</v>
      </c>
      <c r="CY358" s="161">
        <f t="shared" ref="CY358:CY367" si="1103">AH358</f>
        <v>0</v>
      </c>
      <c r="CZ358" s="161">
        <f t="shared" ref="CZ358:CZ367" si="1104">AI358</f>
        <v>0</v>
      </c>
      <c r="DA358" s="161">
        <f t="shared" ref="DA358:DA367" si="1105">AJ358</f>
        <v>0</v>
      </c>
      <c r="DB358" s="161">
        <f t="shared" ref="DB358:DB367" si="1106">AK358</f>
        <v>0</v>
      </c>
      <c r="DC358" s="161">
        <f t="shared" ref="DC358:DC367" si="1107">AL358</f>
        <v>0</v>
      </c>
      <c r="DD358" s="161">
        <f t="shared" ref="DD358:DD367" si="1108">AM358</f>
        <v>0</v>
      </c>
      <c r="DE358" s="161">
        <f t="shared" ref="DE358:DE367" si="1109">AN358</f>
        <v>0</v>
      </c>
      <c r="DF358" s="161">
        <f t="shared" ref="DF358:DF367" si="1110">AO358</f>
        <v>0</v>
      </c>
      <c r="DG358" s="161">
        <f t="shared" ref="DG358:DG367" si="1111">AP358</f>
        <v>0</v>
      </c>
      <c r="DH358" s="161">
        <f t="shared" ref="DH358:DH367" si="1112">AQ358</f>
        <v>0</v>
      </c>
      <c r="DI358" s="161">
        <f t="shared" ref="DI358:DI367" si="1113">AR358</f>
        <v>0</v>
      </c>
      <c r="DJ358" s="161">
        <f t="shared" ref="DJ358:DJ367" si="1114">AS358</f>
        <v>0</v>
      </c>
      <c r="DK358" s="161">
        <f t="shared" ref="DK358:DK367" si="1115">AT358</f>
        <v>0</v>
      </c>
      <c r="DL358" s="161">
        <f t="shared" ref="DL358:DL367" si="1116">AU358</f>
        <v>0</v>
      </c>
      <c r="DM358" s="161">
        <f t="shared" ref="DM358:DM367" si="1117">AV358</f>
        <v>0</v>
      </c>
      <c r="DN358" s="161">
        <f t="shared" ref="DN358:DN367" si="1118">AW358</f>
        <v>0</v>
      </c>
      <c r="DO358" s="161">
        <f t="shared" ref="DO358:DO367" si="1119">AX358</f>
        <v>0</v>
      </c>
      <c r="DP358" s="161">
        <f t="shared" ref="DP358:DP367" si="1120">AY358</f>
        <v>0</v>
      </c>
      <c r="DQ358" s="161">
        <f t="shared" ref="DQ358:DQ367" si="1121">AZ358</f>
        <v>0</v>
      </c>
      <c r="DR358" s="161">
        <f t="shared" ref="DR358:DR367" si="1122">BA358</f>
        <v>0</v>
      </c>
      <c r="DS358" s="161">
        <f t="shared" ref="DS358:DS367" si="1123">BB358</f>
        <v>0</v>
      </c>
      <c r="DT358" s="161">
        <f t="shared" ref="DT358:DT367" si="1124">BC358</f>
        <v>0</v>
      </c>
      <c r="DU358" s="161">
        <f t="shared" ref="DU358:DU367" si="1125">BD358</f>
        <v>0</v>
      </c>
      <c r="DV358" s="161">
        <f t="shared" ref="DV358:DV367" si="1126">BE358</f>
        <v>0</v>
      </c>
      <c r="DW358" s="161">
        <f t="shared" ref="DW358:DW367" si="1127">BF358</f>
        <v>0</v>
      </c>
      <c r="DX358" s="161">
        <f t="shared" ref="DX358:DX367" si="1128">BG358</f>
        <v>0</v>
      </c>
      <c r="DY358" s="161">
        <f t="shared" ref="DY358:DY367" si="1129">BH358</f>
        <v>0</v>
      </c>
      <c r="DZ358" s="161">
        <f t="shared" ref="DZ358:DZ367" si="1130">BI358</f>
        <v>0</v>
      </c>
      <c r="EA358" s="161">
        <f t="shared" ref="EA358:EA367" si="1131">BJ358</f>
        <v>0</v>
      </c>
      <c r="EB358" s="161">
        <f t="shared" ref="EB358:EB367" si="1132">BK358</f>
        <v>0</v>
      </c>
      <c r="EC358" s="161">
        <f t="shared" ref="EC358:EC367" si="1133">BL358</f>
        <v>0</v>
      </c>
      <c r="ED358" s="161">
        <f t="shared" ref="ED358:ED367" si="1134">BM358</f>
        <v>0</v>
      </c>
      <c r="EE358" s="161">
        <f t="shared" ref="EE358:EE367" si="1135">BN358</f>
        <v>0</v>
      </c>
      <c r="EF358" s="161">
        <f t="shared" ref="EF358:EF367" si="1136">BO358</f>
        <v>0</v>
      </c>
      <c r="EG358" s="161">
        <f t="shared" ref="EG358:EG367" si="1137">BP358</f>
        <v>0</v>
      </c>
      <c r="EH358" s="161">
        <f t="shared" ref="EH358:EH367" si="1138">BQ358</f>
        <v>0</v>
      </c>
      <c r="EI358" s="161">
        <f t="shared" ref="EI358:EI367" si="1139">BR358</f>
        <v>0</v>
      </c>
      <c r="EJ358" s="65"/>
      <c r="EK358" s="161">
        <f t="shared" ref="EK358:EK376" si="1140">$EK$356</f>
        <v>0</v>
      </c>
      <c r="EL358" s="161">
        <f t="shared" ref="EL358:EL376" si="1141">$EL$356</f>
        <v>0</v>
      </c>
      <c r="EM358" s="161">
        <f t="shared" ref="EM358:EM376" si="1142">$EM$356</f>
        <v>0</v>
      </c>
    </row>
    <row r="359" spans="1:143" ht="12" hidden="1" customHeight="1" outlineLevel="2">
      <c r="A359" s="77">
        <v>3</v>
      </c>
      <c r="B359" s="137" t="str">
        <f t="shared" si="1070"/>
        <v>SUP.-ESP - Equipe_01</v>
      </c>
      <c r="C359" s="65"/>
      <c r="D359" s="621"/>
      <c r="E359" s="65"/>
      <c r="F359" s="584"/>
      <c r="G359" s="77" t="str">
        <f>IF(INDEX(Tarefas!$BT$30:$FK$30,MATCH(A359,Tarefas!$BT$28:$FK$28,0))=0,"",INDEX(Tarefas!$BT$30:$FK$30,MATCH(A359,Tarefas!$BT$28:$FK$28,0)))</f>
        <v>SUP.-ESP</v>
      </c>
      <c r="H359" s="107" cm="1">
        <f t="array" ref="H359">IFERROR((SUMPRODUCT((Tarefas!$N$32:$N$54='Cronog. e Histog.'!$F$357)*(Tarefas!$BQ$30:$FK$30='Cronog. e Histog.'!$G359)*(Tarefas!$BQ$32:$FK$54)))/SUMIF(Tarefas!$N$32:$N$54,'Cronog. e Histog.'!$F$357,Tarefas!$K$32:$K$54),0)</f>
        <v>0</v>
      </c>
      <c r="I359" s="79">
        <f t="shared" si="1071"/>
        <v>0</v>
      </c>
      <c r="J359" s="65"/>
      <c r="K359" s="160">
        <f t="shared" si="1072"/>
        <v>0</v>
      </c>
      <c r="L359" s="160">
        <f t="shared" si="1072"/>
        <v>0</v>
      </c>
      <c r="M359" s="160">
        <f t="shared" si="1072"/>
        <v>0</v>
      </c>
      <c r="N359" s="160">
        <f t="shared" si="1072"/>
        <v>0</v>
      </c>
      <c r="O359" s="160">
        <f t="shared" si="1072"/>
        <v>0</v>
      </c>
      <c r="P359" s="160">
        <f t="shared" si="1072"/>
        <v>0</v>
      </c>
      <c r="Q359" s="160">
        <f t="shared" si="1072"/>
        <v>0</v>
      </c>
      <c r="R359" s="160">
        <f t="shared" si="1072"/>
        <v>0</v>
      </c>
      <c r="S359" s="160">
        <f t="shared" si="1072"/>
        <v>0</v>
      </c>
      <c r="T359" s="160">
        <f t="shared" si="1072"/>
        <v>0</v>
      </c>
      <c r="U359" s="160">
        <f t="shared" si="1072"/>
        <v>0</v>
      </c>
      <c r="V359" s="160">
        <f t="shared" si="1072"/>
        <v>0</v>
      </c>
      <c r="W359" s="160">
        <f t="shared" si="1072"/>
        <v>0</v>
      </c>
      <c r="X359" s="160">
        <f t="shared" si="1072"/>
        <v>0</v>
      </c>
      <c r="Y359" s="160">
        <f t="shared" si="1072"/>
        <v>0</v>
      </c>
      <c r="Z359" s="160">
        <f t="shared" si="1072"/>
        <v>0</v>
      </c>
      <c r="AA359" s="160">
        <f t="shared" si="1073"/>
        <v>0</v>
      </c>
      <c r="AB359" s="160">
        <f t="shared" si="1073"/>
        <v>0</v>
      </c>
      <c r="AC359" s="160">
        <f t="shared" si="1073"/>
        <v>0</v>
      </c>
      <c r="AD359" s="160">
        <f t="shared" si="1073"/>
        <v>0</v>
      </c>
      <c r="AE359" s="160">
        <f t="shared" si="1073"/>
        <v>0</v>
      </c>
      <c r="AF359" s="160">
        <f t="shared" si="1073"/>
        <v>0</v>
      </c>
      <c r="AG359" s="160">
        <f t="shared" si="1073"/>
        <v>0</v>
      </c>
      <c r="AH359" s="160">
        <f t="shared" si="1073"/>
        <v>0</v>
      </c>
      <c r="AI359" s="160">
        <f t="shared" si="1073"/>
        <v>0</v>
      </c>
      <c r="AJ359" s="160">
        <f t="shared" si="1073"/>
        <v>0</v>
      </c>
      <c r="AK359" s="160">
        <f t="shared" si="1073"/>
        <v>0</v>
      </c>
      <c r="AL359" s="160">
        <f t="shared" si="1073"/>
        <v>0</v>
      </c>
      <c r="AM359" s="160">
        <f t="shared" si="1073"/>
        <v>0</v>
      </c>
      <c r="AN359" s="160">
        <f t="shared" si="1073"/>
        <v>0</v>
      </c>
      <c r="AO359" s="160">
        <f t="shared" si="1073"/>
        <v>0</v>
      </c>
      <c r="AP359" s="160">
        <f t="shared" si="1073"/>
        <v>0</v>
      </c>
      <c r="AQ359" s="160">
        <f t="shared" si="1074"/>
        <v>0</v>
      </c>
      <c r="AR359" s="160">
        <f t="shared" si="1074"/>
        <v>0</v>
      </c>
      <c r="AS359" s="160">
        <f t="shared" si="1074"/>
        <v>0</v>
      </c>
      <c r="AT359" s="160">
        <f t="shared" si="1074"/>
        <v>0</v>
      </c>
      <c r="AU359" s="160">
        <f t="shared" si="1074"/>
        <v>0</v>
      </c>
      <c r="AV359" s="160">
        <f t="shared" si="1074"/>
        <v>0</v>
      </c>
      <c r="AW359" s="160">
        <f t="shared" si="1074"/>
        <v>0</v>
      </c>
      <c r="AX359" s="160">
        <f t="shared" si="1074"/>
        <v>0</v>
      </c>
      <c r="AY359" s="160">
        <f t="shared" si="1074"/>
        <v>0</v>
      </c>
      <c r="AZ359" s="160">
        <f t="shared" si="1074"/>
        <v>0</v>
      </c>
      <c r="BA359" s="160">
        <f t="shared" si="1074"/>
        <v>0</v>
      </c>
      <c r="BB359" s="160">
        <f t="shared" si="1074"/>
        <v>0</v>
      </c>
      <c r="BC359" s="160">
        <f t="shared" si="1074"/>
        <v>0</v>
      </c>
      <c r="BD359" s="160">
        <f t="shared" si="1074"/>
        <v>0</v>
      </c>
      <c r="BE359" s="160">
        <f t="shared" si="1074"/>
        <v>0</v>
      </c>
      <c r="BF359" s="160">
        <f t="shared" si="1074"/>
        <v>0</v>
      </c>
      <c r="BG359" s="160">
        <f t="shared" si="1075"/>
        <v>0</v>
      </c>
      <c r="BH359" s="160">
        <f t="shared" si="1075"/>
        <v>0</v>
      </c>
      <c r="BI359" s="160">
        <f t="shared" si="1075"/>
        <v>0</v>
      </c>
      <c r="BJ359" s="160">
        <f t="shared" si="1075"/>
        <v>0</v>
      </c>
      <c r="BK359" s="160">
        <f t="shared" si="1075"/>
        <v>0</v>
      </c>
      <c r="BL359" s="160">
        <f t="shared" si="1075"/>
        <v>0</v>
      </c>
      <c r="BM359" s="160">
        <f t="shared" si="1075"/>
        <v>0</v>
      </c>
      <c r="BN359" s="160">
        <f t="shared" si="1075"/>
        <v>0</v>
      </c>
      <c r="BO359" s="160">
        <f t="shared" si="1075"/>
        <v>0</v>
      </c>
      <c r="BP359" s="160">
        <f t="shared" si="1075"/>
        <v>0</v>
      </c>
      <c r="BQ359" s="160">
        <f t="shared" si="1075"/>
        <v>0</v>
      </c>
      <c r="BR359" s="160">
        <f t="shared" si="1075"/>
        <v>0</v>
      </c>
      <c r="BS359" s="65"/>
      <c r="BT359" s="160">
        <f t="shared" si="1076"/>
        <v>0</v>
      </c>
      <c r="BU359" s="160">
        <f t="shared" si="1077"/>
        <v>0</v>
      </c>
      <c r="BV359" s="65"/>
      <c r="BW359" s="69"/>
      <c r="BX359" s="65"/>
      <c r="BY359" s="137">
        <f t="shared" si="1078"/>
        <v>1</v>
      </c>
      <c r="BZ359" s="137">
        <f>IF(BY359&gt;0,BY359+LARGE($BZ$213:BZ358,1),0)</f>
        <v>123</v>
      </c>
      <c r="CA359" s="137" t="str">
        <f t="shared" si="1079"/>
        <v>SUP.-ESP</v>
      </c>
      <c r="CB359" s="161">
        <f t="shared" si="1080"/>
        <v>0</v>
      </c>
      <c r="CC359" s="161">
        <f t="shared" si="1081"/>
        <v>0</v>
      </c>
      <c r="CD359" s="161">
        <f t="shared" si="1082"/>
        <v>0</v>
      </c>
      <c r="CE359" s="161">
        <f t="shared" si="1083"/>
        <v>0</v>
      </c>
      <c r="CF359" s="161">
        <f t="shared" si="1084"/>
        <v>0</v>
      </c>
      <c r="CG359" s="161">
        <f t="shared" si="1085"/>
        <v>0</v>
      </c>
      <c r="CH359" s="161">
        <f t="shared" si="1086"/>
        <v>0</v>
      </c>
      <c r="CI359" s="161">
        <f t="shared" si="1087"/>
        <v>0</v>
      </c>
      <c r="CJ359" s="161">
        <f t="shared" si="1088"/>
        <v>0</v>
      </c>
      <c r="CK359" s="161">
        <f t="shared" si="1089"/>
        <v>0</v>
      </c>
      <c r="CL359" s="161">
        <f t="shared" si="1090"/>
        <v>0</v>
      </c>
      <c r="CM359" s="161">
        <f t="shared" si="1091"/>
        <v>0</v>
      </c>
      <c r="CN359" s="161">
        <f t="shared" si="1092"/>
        <v>0</v>
      </c>
      <c r="CO359" s="161">
        <f t="shared" si="1093"/>
        <v>0</v>
      </c>
      <c r="CP359" s="161">
        <f t="shared" si="1094"/>
        <v>0</v>
      </c>
      <c r="CQ359" s="161">
        <f t="shared" si="1095"/>
        <v>0</v>
      </c>
      <c r="CR359" s="161">
        <f t="shared" si="1096"/>
        <v>0</v>
      </c>
      <c r="CS359" s="161">
        <f t="shared" si="1097"/>
        <v>0</v>
      </c>
      <c r="CT359" s="161">
        <f t="shared" si="1098"/>
        <v>0</v>
      </c>
      <c r="CU359" s="161">
        <f t="shared" si="1099"/>
        <v>0</v>
      </c>
      <c r="CV359" s="161">
        <f t="shared" si="1100"/>
        <v>0</v>
      </c>
      <c r="CW359" s="161">
        <f t="shared" si="1101"/>
        <v>0</v>
      </c>
      <c r="CX359" s="161">
        <f t="shared" si="1102"/>
        <v>0</v>
      </c>
      <c r="CY359" s="161">
        <f t="shared" si="1103"/>
        <v>0</v>
      </c>
      <c r="CZ359" s="161">
        <f t="shared" si="1104"/>
        <v>0</v>
      </c>
      <c r="DA359" s="161">
        <f t="shared" si="1105"/>
        <v>0</v>
      </c>
      <c r="DB359" s="161">
        <f t="shared" si="1106"/>
        <v>0</v>
      </c>
      <c r="DC359" s="161">
        <f t="shared" si="1107"/>
        <v>0</v>
      </c>
      <c r="DD359" s="161">
        <f t="shared" si="1108"/>
        <v>0</v>
      </c>
      <c r="DE359" s="161">
        <f t="shared" si="1109"/>
        <v>0</v>
      </c>
      <c r="DF359" s="161">
        <f t="shared" si="1110"/>
        <v>0</v>
      </c>
      <c r="DG359" s="161">
        <f t="shared" si="1111"/>
        <v>0</v>
      </c>
      <c r="DH359" s="161">
        <f t="shared" si="1112"/>
        <v>0</v>
      </c>
      <c r="DI359" s="161">
        <f t="shared" si="1113"/>
        <v>0</v>
      </c>
      <c r="DJ359" s="161">
        <f t="shared" si="1114"/>
        <v>0</v>
      </c>
      <c r="DK359" s="161">
        <f t="shared" si="1115"/>
        <v>0</v>
      </c>
      <c r="DL359" s="161">
        <f t="shared" si="1116"/>
        <v>0</v>
      </c>
      <c r="DM359" s="161">
        <f t="shared" si="1117"/>
        <v>0</v>
      </c>
      <c r="DN359" s="161">
        <f t="shared" si="1118"/>
        <v>0</v>
      </c>
      <c r="DO359" s="161">
        <f t="shared" si="1119"/>
        <v>0</v>
      </c>
      <c r="DP359" s="161">
        <f t="shared" si="1120"/>
        <v>0</v>
      </c>
      <c r="DQ359" s="161">
        <f t="shared" si="1121"/>
        <v>0</v>
      </c>
      <c r="DR359" s="161">
        <f t="shared" si="1122"/>
        <v>0</v>
      </c>
      <c r="DS359" s="161">
        <f t="shared" si="1123"/>
        <v>0</v>
      </c>
      <c r="DT359" s="161">
        <f t="shared" si="1124"/>
        <v>0</v>
      </c>
      <c r="DU359" s="161">
        <f t="shared" si="1125"/>
        <v>0</v>
      </c>
      <c r="DV359" s="161">
        <f t="shared" si="1126"/>
        <v>0</v>
      </c>
      <c r="DW359" s="161">
        <f t="shared" si="1127"/>
        <v>0</v>
      </c>
      <c r="DX359" s="161">
        <f t="shared" si="1128"/>
        <v>0</v>
      </c>
      <c r="DY359" s="161">
        <f t="shared" si="1129"/>
        <v>0</v>
      </c>
      <c r="DZ359" s="161">
        <f t="shared" si="1130"/>
        <v>0</v>
      </c>
      <c r="EA359" s="161">
        <f t="shared" si="1131"/>
        <v>0</v>
      </c>
      <c r="EB359" s="161">
        <f t="shared" si="1132"/>
        <v>0</v>
      </c>
      <c r="EC359" s="161">
        <f t="shared" si="1133"/>
        <v>0</v>
      </c>
      <c r="ED359" s="161">
        <f t="shared" si="1134"/>
        <v>0</v>
      </c>
      <c r="EE359" s="161">
        <f t="shared" si="1135"/>
        <v>0</v>
      </c>
      <c r="EF359" s="161">
        <f t="shared" si="1136"/>
        <v>0</v>
      </c>
      <c r="EG359" s="161">
        <f t="shared" si="1137"/>
        <v>0</v>
      </c>
      <c r="EH359" s="161">
        <f t="shared" si="1138"/>
        <v>0</v>
      </c>
      <c r="EI359" s="161">
        <f t="shared" si="1139"/>
        <v>0</v>
      </c>
      <c r="EJ359" s="65"/>
      <c r="EK359" s="161">
        <f t="shared" si="1140"/>
        <v>0</v>
      </c>
      <c r="EL359" s="161">
        <f t="shared" si="1141"/>
        <v>0</v>
      </c>
      <c r="EM359" s="161">
        <f t="shared" si="1142"/>
        <v>0</v>
      </c>
    </row>
    <row r="360" spans="1:143" ht="12" hidden="1" customHeight="1" outlineLevel="2">
      <c r="A360" s="77">
        <v>4</v>
      </c>
      <c r="B360" s="137" t="str">
        <f t="shared" si="1070"/>
        <v>ENG/ARQ SR. - Equipe_01</v>
      </c>
      <c r="C360" s="65"/>
      <c r="D360" s="621"/>
      <c r="E360" s="65"/>
      <c r="F360" s="584"/>
      <c r="G360" s="77" t="str">
        <f>IF(INDEX(Tarefas!$BT$30:$FK$30,MATCH(A360,Tarefas!$BT$28:$FK$28,0))=0,"",INDEX(Tarefas!$BT$30:$FK$30,MATCH(A360,Tarefas!$BT$28:$FK$28,0)))</f>
        <v>ENG/ARQ SR.</v>
      </c>
      <c r="H360" s="107" cm="1">
        <f t="array" ref="H360">IFERROR((SUMPRODUCT((Tarefas!$N$32:$N$54='Cronog. e Histog.'!$F$357)*(Tarefas!$BQ$30:$FK$30='Cronog. e Histog.'!$G360)*(Tarefas!$BQ$32:$FK$54)))/SUMIF(Tarefas!$N$32:$N$54,'Cronog. e Histog.'!$F$357,Tarefas!$K$32:$K$54),0)</f>
        <v>0</v>
      </c>
      <c r="I360" s="79">
        <f t="shared" si="1071"/>
        <v>0</v>
      </c>
      <c r="J360" s="65"/>
      <c r="K360" s="160">
        <f t="shared" si="1072"/>
        <v>0</v>
      </c>
      <c r="L360" s="160">
        <f t="shared" si="1072"/>
        <v>0</v>
      </c>
      <c r="M360" s="160">
        <f t="shared" si="1072"/>
        <v>0</v>
      </c>
      <c r="N360" s="160">
        <f t="shared" si="1072"/>
        <v>0</v>
      </c>
      <c r="O360" s="160">
        <f t="shared" si="1072"/>
        <v>0</v>
      </c>
      <c r="P360" s="160">
        <f t="shared" si="1072"/>
        <v>0</v>
      </c>
      <c r="Q360" s="160">
        <f t="shared" si="1072"/>
        <v>0</v>
      </c>
      <c r="R360" s="160">
        <f t="shared" si="1072"/>
        <v>0</v>
      </c>
      <c r="S360" s="160">
        <f t="shared" si="1072"/>
        <v>0</v>
      </c>
      <c r="T360" s="160">
        <f t="shared" si="1072"/>
        <v>0</v>
      </c>
      <c r="U360" s="160">
        <f t="shared" si="1072"/>
        <v>0</v>
      </c>
      <c r="V360" s="160">
        <f t="shared" si="1072"/>
        <v>0</v>
      </c>
      <c r="W360" s="160">
        <f t="shared" si="1072"/>
        <v>0</v>
      </c>
      <c r="X360" s="160">
        <f t="shared" si="1072"/>
        <v>0</v>
      </c>
      <c r="Y360" s="160">
        <f t="shared" si="1072"/>
        <v>0</v>
      </c>
      <c r="Z360" s="160">
        <f t="shared" si="1072"/>
        <v>0</v>
      </c>
      <c r="AA360" s="160">
        <f t="shared" si="1073"/>
        <v>0</v>
      </c>
      <c r="AB360" s="160">
        <f t="shared" si="1073"/>
        <v>0</v>
      </c>
      <c r="AC360" s="160">
        <f t="shared" si="1073"/>
        <v>0</v>
      </c>
      <c r="AD360" s="160">
        <f t="shared" si="1073"/>
        <v>0</v>
      </c>
      <c r="AE360" s="160">
        <f t="shared" si="1073"/>
        <v>0</v>
      </c>
      <c r="AF360" s="160">
        <f t="shared" si="1073"/>
        <v>0</v>
      </c>
      <c r="AG360" s="160">
        <f t="shared" si="1073"/>
        <v>0</v>
      </c>
      <c r="AH360" s="160">
        <f t="shared" si="1073"/>
        <v>0</v>
      </c>
      <c r="AI360" s="160">
        <f t="shared" si="1073"/>
        <v>0</v>
      </c>
      <c r="AJ360" s="160">
        <f t="shared" si="1073"/>
        <v>0</v>
      </c>
      <c r="AK360" s="160">
        <f t="shared" si="1073"/>
        <v>0</v>
      </c>
      <c r="AL360" s="160">
        <f t="shared" si="1073"/>
        <v>0</v>
      </c>
      <c r="AM360" s="160">
        <f t="shared" si="1073"/>
        <v>0</v>
      </c>
      <c r="AN360" s="160">
        <f t="shared" si="1073"/>
        <v>0</v>
      </c>
      <c r="AO360" s="160">
        <f t="shared" si="1073"/>
        <v>0</v>
      </c>
      <c r="AP360" s="160">
        <f t="shared" si="1073"/>
        <v>0</v>
      </c>
      <c r="AQ360" s="160">
        <f t="shared" si="1074"/>
        <v>0</v>
      </c>
      <c r="AR360" s="160">
        <f t="shared" si="1074"/>
        <v>0</v>
      </c>
      <c r="AS360" s="160">
        <f t="shared" si="1074"/>
        <v>0</v>
      </c>
      <c r="AT360" s="160">
        <f t="shared" si="1074"/>
        <v>0</v>
      </c>
      <c r="AU360" s="160">
        <f t="shared" si="1074"/>
        <v>0</v>
      </c>
      <c r="AV360" s="160">
        <f t="shared" si="1074"/>
        <v>0</v>
      </c>
      <c r="AW360" s="160">
        <f t="shared" si="1074"/>
        <v>0</v>
      </c>
      <c r="AX360" s="160">
        <f t="shared" si="1074"/>
        <v>0</v>
      </c>
      <c r="AY360" s="160">
        <f t="shared" si="1074"/>
        <v>0</v>
      </c>
      <c r="AZ360" s="160">
        <f t="shared" si="1074"/>
        <v>0</v>
      </c>
      <c r="BA360" s="160">
        <f t="shared" si="1074"/>
        <v>0</v>
      </c>
      <c r="BB360" s="160">
        <f t="shared" si="1074"/>
        <v>0</v>
      </c>
      <c r="BC360" s="160">
        <f t="shared" si="1074"/>
        <v>0</v>
      </c>
      <c r="BD360" s="160">
        <f t="shared" si="1074"/>
        <v>0</v>
      </c>
      <c r="BE360" s="160">
        <f t="shared" si="1074"/>
        <v>0</v>
      </c>
      <c r="BF360" s="160">
        <f t="shared" si="1074"/>
        <v>0</v>
      </c>
      <c r="BG360" s="160">
        <f t="shared" si="1075"/>
        <v>0</v>
      </c>
      <c r="BH360" s="160">
        <f t="shared" si="1075"/>
        <v>0</v>
      </c>
      <c r="BI360" s="160">
        <f t="shared" si="1075"/>
        <v>0</v>
      </c>
      <c r="BJ360" s="160">
        <f t="shared" si="1075"/>
        <v>0</v>
      </c>
      <c r="BK360" s="160">
        <f t="shared" si="1075"/>
        <v>0</v>
      </c>
      <c r="BL360" s="160">
        <f t="shared" si="1075"/>
        <v>0</v>
      </c>
      <c r="BM360" s="160">
        <f t="shared" si="1075"/>
        <v>0</v>
      </c>
      <c r="BN360" s="160">
        <f t="shared" si="1075"/>
        <v>0</v>
      </c>
      <c r="BO360" s="160">
        <f t="shared" si="1075"/>
        <v>0</v>
      </c>
      <c r="BP360" s="160">
        <f t="shared" si="1075"/>
        <v>0</v>
      </c>
      <c r="BQ360" s="160">
        <f t="shared" si="1075"/>
        <v>0</v>
      </c>
      <c r="BR360" s="160">
        <f t="shared" si="1075"/>
        <v>0</v>
      </c>
      <c r="BS360" s="65"/>
      <c r="BT360" s="160">
        <f t="shared" si="1076"/>
        <v>0</v>
      </c>
      <c r="BU360" s="160">
        <f t="shared" si="1077"/>
        <v>0</v>
      </c>
      <c r="BV360" s="65"/>
      <c r="BW360" s="69"/>
      <c r="BX360" s="65"/>
      <c r="BY360" s="137">
        <f t="shared" si="1078"/>
        <v>1</v>
      </c>
      <c r="BZ360" s="137">
        <f>IF(BY360&gt;0,BY360+LARGE($BZ$213:BZ359,1),0)</f>
        <v>124</v>
      </c>
      <c r="CA360" s="137" t="str">
        <f t="shared" si="1079"/>
        <v>ENG/ARQ SR.</v>
      </c>
      <c r="CB360" s="161">
        <f t="shared" si="1080"/>
        <v>0</v>
      </c>
      <c r="CC360" s="161">
        <f t="shared" si="1081"/>
        <v>0</v>
      </c>
      <c r="CD360" s="161">
        <f t="shared" si="1082"/>
        <v>0</v>
      </c>
      <c r="CE360" s="161">
        <f t="shared" si="1083"/>
        <v>0</v>
      </c>
      <c r="CF360" s="161">
        <f t="shared" si="1084"/>
        <v>0</v>
      </c>
      <c r="CG360" s="161">
        <f t="shared" si="1085"/>
        <v>0</v>
      </c>
      <c r="CH360" s="161">
        <f t="shared" si="1086"/>
        <v>0</v>
      </c>
      <c r="CI360" s="161">
        <f t="shared" si="1087"/>
        <v>0</v>
      </c>
      <c r="CJ360" s="161">
        <f t="shared" si="1088"/>
        <v>0</v>
      </c>
      <c r="CK360" s="161">
        <f t="shared" si="1089"/>
        <v>0</v>
      </c>
      <c r="CL360" s="161">
        <f t="shared" si="1090"/>
        <v>0</v>
      </c>
      <c r="CM360" s="161">
        <f t="shared" si="1091"/>
        <v>0</v>
      </c>
      <c r="CN360" s="161">
        <f t="shared" si="1092"/>
        <v>0</v>
      </c>
      <c r="CO360" s="161">
        <f t="shared" si="1093"/>
        <v>0</v>
      </c>
      <c r="CP360" s="161">
        <f t="shared" si="1094"/>
        <v>0</v>
      </c>
      <c r="CQ360" s="161">
        <f t="shared" si="1095"/>
        <v>0</v>
      </c>
      <c r="CR360" s="161">
        <f t="shared" si="1096"/>
        <v>0</v>
      </c>
      <c r="CS360" s="161">
        <f t="shared" si="1097"/>
        <v>0</v>
      </c>
      <c r="CT360" s="161">
        <f t="shared" si="1098"/>
        <v>0</v>
      </c>
      <c r="CU360" s="161">
        <f t="shared" si="1099"/>
        <v>0</v>
      </c>
      <c r="CV360" s="161">
        <f t="shared" si="1100"/>
        <v>0</v>
      </c>
      <c r="CW360" s="161">
        <f t="shared" si="1101"/>
        <v>0</v>
      </c>
      <c r="CX360" s="161">
        <f t="shared" si="1102"/>
        <v>0</v>
      </c>
      <c r="CY360" s="161">
        <f t="shared" si="1103"/>
        <v>0</v>
      </c>
      <c r="CZ360" s="161">
        <f t="shared" si="1104"/>
        <v>0</v>
      </c>
      <c r="DA360" s="161">
        <f t="shared" si="1105"/>
        <v>0</v>
      </c>
      <c r="DB360" s="161">
        <f t="shared" si="1106"/>
        <v>0</v>
      </c>
      <c r="DC360" s="161">
        <f t="shared" si="1107"/>
        <v>0</v>
      </c>
      <c r="DD360" s="161">
        <f t="shared" si="1108"/>
        <v>0</v>
      </c>
      <c r="DE360" s="161">
        <f t="shared" si="1109"/>
        <v>0</v>
      </c>
      <c r="DF360" s="161">
        <f t="shared" si="1110"/>
        <v>0</v>
      </c>
      <c r="DG360" s="161">
        <f t="shared" si="1111"/>
        <v>0</v>
      </c>
      <c r="DH360" s="161">
        <f t="shared" si="1112"/>
        <v>0</v>
      </c>
      <c r="DI360" s="161">
        <f t="shared" si="1113"/>
        <v>0</v>
      </c>
      <c r="DJ360" s="161">
        <f t="shared" si="1114"/>
        <v>0</v>
      </c>
      <c r="DK360" s="161">
        <f t="shared" si="1115"/>
        <v>0</v>
      </c>
      <c r="DL360" s="161">
        <f t="shared" si="1116"/>
        <v>0</v>
      </c>
      <c r="DM360" s="161">
        <f t="shared" si="1117"/>
        <v>0</v>
      </c>
      <c r="DN360" s="161">
        <f t="shared" si="1118"/>
        <v>0</v>
      </c>
      <c r="DO360" s="161">
        <f t="shared" si="1119"/>
        <v>0</v>
      </c>
      <c r="DP360" s="161">
        <f t="shared" si="1120"/>
        <v>0</v>
      </c>
      <c r="DQ360" s="161">
        <f t="shared" si="1121"/>
        <v>0</v>
      </c>
      <c r="DR360" s="161">
        <f t="shared" si="1122"/>
        <v>0</v>
      </c>
      <c r="DS360" s="161">
        <f t="shared" si="1123"/>
        <v>0</v>
      </c>
      <c r="DT360" s="161">
        <f t="shared" si="1124"/>
        <v>0</v>
      </c>
      <c r="DU360" s="161">
        <f t="shared" si="1125"/>
        <v>0</v>
      </c>
      <c r="DV360" s="161">
        <f t="shared" si="1126"/>
        <v>0</v>
      </c>
      <c r="DW360" s="161">
        <f t="shared" si="1127"/>
        <v>0</v>
      </c>
      <c r="DX360" s="161">
        <f t="shared" si="1128"/>
        <v>0</v>
      </c>
      <c r="DY360" s="161">
        <f t="shared" si="1129"/>
        <v>0</v>
      </c>
      <c r="DZ360" s="161">
        <f t="shared" si="1130"/>
        <v>0</v>
      </c>
      <c r="EA360" s="161">
        <f t="shared" si="1131"/>
        <v>0</v>
      </c>
      <c r="EB360" s="161">
        <f t="shared" si="1132"/>
        <v>0</v>
      </c>
      <c r="EC360" s="161">
        <f t="shared" si="1133"/>
        <v>0</v>
      </c>
      <c r="ED360" s="161">
        <f t="shared" si="1134"/>
        <v>0</v>
      </c>
      <c r="EE360" s="161">
        <f t="shared" si="1135"/>
        <v>0</v>
      </c>
      <c r="EF360" s="161">
        <f t="shared" si="1136"/>
        <v>0</v>
      </c>
      <c r="EG360" s="161">
        <f t="shared" si="1137"/>
        <v>0</v>
      </c>
      <c r="EH360" s="161">
        <f t="shared" si="1138"/>
        <v>0</v>
      </c>
      <c r="EI360" s="161">
        <f t="shared" si="1139"/>
        <v>0</v>
      </c>
      <c r="EJ360" s="65"/>
      <c r="EK360" s="161">
        <f t="shared" si="1140"/>
        <v>0</v>
      </c>
      <c r="EL360" s="161">
        <f t="shared" si="1141"/>
        <v>0</v>
      </c>
      <c r="EM360" s="161">
        <f t="shared" si="1142"/>
        <v>0</v>
      </c>
    </row>
    <row r="361" spans="1:143" ht="12" hidden="1" customHeight="1" outlineLevel="2">
      <c r="A361" s="77">
        <v>5</v>
      </c>
      <c r="B361" s="137" t="str">
        <f t="shared" si="1070"/>
        <v>ENG/ARQ PL. - Equipe_01</v>
      </c>
      <c r="C361" s="65"/>
      <c r="D361" s="621"/>
      <c r="E361" s="65"/>
      <c r="F361" s="584"/>
      <c r="G361" s="77" t="str">
        <f>IF(INDEX(Tarefas!$BT$30:$FK$30,MATCH(A361,Tarefas!$BT$28:$FK$28,0))=0,"",INDEX(Tarefas!$BT$30:$FK$30,MATCH(A361,Tarefas!$BT$28:$FK$28,0)))</f>
        <v>ENG/ARQ PL.</v>
      </c>
      <c r="H361" s="107" cm="1">
        <f t="array" ref="H361">IFERROR((SUMPRODUCT((Tarefas!$N$32:$N$54='Cronog. e Histog.'!$F$357)*(Tarefas!$BQ$30:$FK$30='Cronog. e Histog.'!$G361)*(Tarefas!$BQ$32:$FK$54)))/SUMIF(Tarefas!$N$32:$N$54,'Cronog. e Histog.'!$F$357,Tarefas!$K$32:$K$54),0)</f>
        <v>0</v>
      </c>
      <c r="I361" s="79">
        <f t="shared" si="1071"/>
        <v>0</v>
      </c>
      <c r="J361" s="65"/>
      <c r="K361" s="160">
        <f t="shared" si="1072"/>
        <v>0</v>
      </c>
      <c r="L361" s="160">
        <f t="shared" si="1072"/>
        <v>0</v>
      </c>
      <c r="M361" s="160">
        <f t="shared" si="1072"/>
        <v>0</v>
      </c>
      <c r="N361" s="160">
        <f t="shared" si="1072"/>
        <v>0</v>
      </c>
      <c r="O361" s="160">
        <f t="shared" si="1072"/>
        <v>0</v>
      </c>
      <c r="P361" s="160">
        <f t="shared" si="1072"/>
        <v>0</v>
      </c>
      <c r="Q361" s="160">
        <f t="shared" si="1072"/>
        <v>0</v>
      </c>
      <c r="R361" s="160">
        <f t="shared" si="1072"/>
        <v>0</v>
      </c>
      <c r="S361" s="160">
        <f t="shared" si="1072"/>
        <v>0</v>
      </c>
      <c r="T361" s="160">
        <f t="shared" si="1072"/>
        <v>0</v>
      </c>
      <c r="U361" s="160">
        <f t="shared" si="1072"/>
        <v>0</v>
      </c>
      <c r="V361" s="160">
        <f t="shared" si="1072"/>
        <v>0</v>
      </c>
      <c r="W361" s="160">
        <f t="shared" si="1072"/>
        <v>0</v>
      </c>
      <c r="X361" s="160">
        <f t="shared" si="1072"/>
        <v>0</v>
      </c>
      <c r="Y361" s="160">
        <f t="shared" si="1072"/>
        <v>0</v>
      </c>
      <c r="Z361" s="160">
        <f t="shared" si="1072"/>
        <v>0</v>
      </c>
      <c r="AA361" s="160">
        <f t="shared" si="1073"/>
        <v>0</v>
      </c>
      <c r="AB361" s="160">
        <f t="shared" si="1073"/>
        <v>0</v>
      </c>
      <c r="AC361" s="160">
        <f t="shared" si="1073"/>
        <v>0</v>
      </c>
      <c r="AD361" s="160">
        <f t="shared" si="1073"/>
        <v>0</v>
      </c>
      <c r="AE361" s="160">
        <f t="shared" si="1073"/>
        <v>0</v>
      </c>
      <c r="AF361" s="160">
        <f t="shared" si="1073"/>
        <v>0</v>
      </c>
      <c r="AG361" s="160">
        <f t="shared" si="1073"/>
        <v>0</v>
      </c>
      <c r="AH361" s="160">
        <f t="shared" si="1073"/>
        <v>0</v>
      </c>
      <c r="AI361" s="160">
        <f t="shared" si="1073"/>
        <v>0</v>
      </c>
      <c r="AJ361" s="160">
        <f t="shared" si="1073"/>
        <v>0</v>
      </c>
      <c r="AK361" s="160">
        <f t="shared" si="1073"/>
        <v>0</v>
      </c>
      <c r="AL361" s="160">
        <f t="shared" si="1073"/>
        <v>0</v>
      </c>
      <c r="AM361" s="160">
        <f t="shared" si="1073"/>
        <v>0</v>
      </c>
      <c r="AN361" s="160">
        <f t="shared" si="1073"/>
        <v>0</v>
      </c>
      <c r="AO361" s="160">
        <f t="shared" si="1073"/>
        <v>0</v>
      </c>
      <c r="AP361" s="160">
        <f t="shared" si="1073"/>
        <v>0</v>
      </c>
      <c r="AQ361" s="160">
        <f t="shared" si="1074"/>
        <v>0</v>
      </c>
      <c r="AR361" s="160">
        <f t="shared" si="1074"/>
        <v>0</v>
      </c>
      <c r="AS361" s="160">
        <f t="shared" si="1074"/>
        <v>0</v>
      </c>
      <c r="AT361" s="160">
        <f t="shared" si="1074"/>
        <v>0</v>
      </c>
      <c r="AU361" s="160">
        <f t="shared" si="1074"/>
        <v>0</v>
      </c>
      <c r="AV361" s="160">
        <f t="shared" si="1074"/>
        <v>0</v>
      </c>
      <c r="AW361" s="160">
        <f t="shared" si="1074"/>
        <v>0</v>
      </c>
      <c r="AX361" s="160">
        <f t="shared" si="1074"/>
        <v>0</v>
      </c>
      <c r="AY361" s="160">
        <f t="shared" si="1074"/>
        <v>0</v>
      </c>
      <c r="AZ361" s="160">
        <f t="shared" si="1074"/>
        <v>0</v>
      </c>
      <c r="BA361" s="160">
        <f t="shared" si="1074"/>
        <v>0</v>
      </c>
      <c r="BB361" s="160">
        <f t="shared" si="1074"/>
        <v>0</v>
      </c>
      <c r="BC361" s="160">
        <f t="shared" si="1074"/>
        <v>0</v>
      </c>
      <c r="BD361" s="160">
        <f t="shared" si="1074"/>
        <v>0</v>
      </c>
      <c r="BE361" s="160">
        <f t="shared" si="1074"/>
        <v>0</v>
      </c>
      <c r="BF361" s="160">
        <f t="shared" si="1074"/>
        <v>0</v>
      </c>
      <c r="BG361" s="160">
        <f t="shared" si="1075"/>
        <v>0</v>
      </c>
      <c r="BH361" s="160">
        <f t="shared" si="1075"/>
        <v>0</v>
      </c>
      <c r="BI361" s="160">
        <f t="shared" si="1075"/>
        <v>0</v>
      </c>
      <c r="BJ361" s="160">
        <f t="shared" si="1075"/>
        <v>0</v>
      </c>
      <c r="BK361" s="160">
        <f t="shared" si="1075"/>
        <v>0</v>
      </c>
      <c r="BL361" s="160">
        <f t="shared" si="1075"/>
        <v>0</v>
      </c>
      <c r="BM361" s="160">
        <f t="shared" si="1075"/>
        <v>0</v>
      </c>
      <c r="BN361" s="160">
        <f t="shared" si="1075"/>
        <v>0</v>
      </c>
      <c r="BO361" s="160">
        <f t="shared" si="1075"/>
        <v>0</v>
      </c>
      <c r="BP361" s="160">
        <f t="shared" si="1075"/>
        <v>0</v>
      </c>
      <c r="BQ361" s="160">
        <f t="shared" si="1075"/>
        <v>0</v>
      </c>
      <c r="BR361" s="160">
        <f t="shared" si="1075"/>
        <v>0</v>
      </c>
      <c r="BS361" s="65"/>
      <c r="BT361" s="160">
        <f t="shared" si="1076"/>
        <v>0</v>
      </c>
      <c r="BU361" s="160">
        <f t="shared" si="1077"/>
        <v>0</v>
      </c>
      <c r="BV361" s="65"/>
      <c r="BW361" s="69"/>
      <c r="BX361" s="65"/>
      <c r="BY361" s="137">
        <f t="shared" si="1078"/>
        <v>1</v>
      </c>
      <c r="BZ361" s="137">
        <f>IF(BY361&gt;0,BY361+LARGE($BZ$213:BZ360,1),0)</f>
        <v>125</v>
      </c>
      <c r="CA361" s="137" t="str">
        <f t="shared" si="1079"/>
        <v>ENG/ARQ PL.</v>
      </c>
      <c r="CB361" s="161">
        <f t="shared" si="1080"/>
        <v>0</v>
      </c>
      <c r="CC361" s="161">
        <f t="shared" si="1081"/>
        <v>0</v>
      </c>
      <c r="CD361" s="161">
        <f t="shared" si="1082"/>
        <v>0</v>
      </c>
      <c r="CE361" s="161">
        <f t="shared" si="1083"/>
        <v>0</v>
      </c>
      <c r="CF361" s="161">
        <f t="shared" si="1084"/>
        <v>0</v>
      </c>
      <c r="CG361" s="161">
        <f t="shared" si="1085"/>
        <v>0</v>
      </c>
      <c r="CH361" s="161">
        <f t="shared" si="1086"/>
        <v>0</v>
      </c>
      <c r="CI361" s="161">
        <f t="shared" si="1087"/>
        <v>0</v>
      </c>
      <c r="CJ361" s="161">
        <f t="shared" si="1088"/>
        <v>0</v>
      </c>
      <c r="CK361" s="161">
        <f t="shared" si="1089"/>
        <v>0</v>
      </c>
      <c r="CL361" s="161">
        <f t="shared" si="1090"/>
        <v>0</v>
      </c>
      <c r="CM361" s="161">
        <f t="shared" si="1091"/>
        <v>0</v>
      </c>
      <c r="CN361" s="161">
        <f t="shared" si="1092"/>
        <v>0</v>
      </c>
      <c r="CO361" s="161">
        <f t="shared" si="1093"/>
        <v>0</v>
      </c>
      <c r="CP361" s="161">
        <f t="shared" si="1094"/>
        <v>0</v>
      </c>
      <c r="CQ361" s="161">
        <f t="shared" si="1095"/>
        <v>0</v>
      </c>
      <c r="CR361" s="161">
        <f t="shared" si="1096"/>
        <v>0</v>
      </c>
      <c r="CS361" s="161">
        <f t="shared" si="1097"/>
        <v>0</v>
      </c>
      <c r="CT361" s="161">
        <f t="shared" si="1098"/>
        <v>0</v>
      </c>
      <c r="CU361" s="161">
        <f t="shared" si="1099"/>
        <v>0</v>
      </c>
      <c r="CV361" s="161">
        <f t="shared" si="1100"/>
        <v>0</v>
      </c>
      <c r="CW361" s="161">
        <f t="shared" si="1101"/>
        <v>0</v>
      </c>
      <c r="CX361" s="161">
        <f t="shared" si="1102"/>
        <v>0</v>
      </c>
      <c r="CY361" s="161">
        <f t="shared" si="1103"/>
        <v>0</v>
      </c>
      <c r="CZ361" s="161">
        <f t="shared" si="1104"/>
        <v>0</v>
      </c>
      <c r="DA361" s="161">
        <f t="shared" si="1105"/>
        <v>0</v>
      </c>
      <c r="DB361" s="161">
        <f t="shared" si="1106"/>
        <v>0</v>
      </c>
      <c r="DC361" s="161">
        <f t="shared" si="1107"/>
        <v>0</v>
      </c>
      <c r="DD361" s="161">
        <f t="shared" si="1108"/>
        <v>0</v>
      </c>
      <c r="DE361" s="161">
        <f t="shared" si="1109"/>
        <v>0</v>
      </c>
      <c r="DF361" s="161">
        <f t="shared" si="1110"/>
        <v>0</v>
      </c>
      <c r="DG361" s="161">
        <f t="shared" si="1111"/>
        <v>0</v>
      </c>
      <c r="DH361" s="161">
        <f t="shared" si="1112"/>
        <v>0</v>
      </c>
      <c r="DI361" s="161">
        <f t="shared" si="1113"/>
        <v>0</v>
      </c>
      <c r="DJ361" s="161">
        <f t="shared" si="1114"/>
        <v>0</v>
      </c>
      <c r="DK361" s="161">
        <f t="shared" si="1115"/>
        <v>0</v>
      </c>
      <c r="DL361" s="161">
        <f t="shared" si="1116"/>
        <v>0</v>
      </c>
      <c r="DM361" s="161">
        <f t="shared" si="1117"/>
        <v>0</v>
      </c>
      <c r="DN361" s="161">
        <f t="shared" si="1118"/>
        <v>0</v>
      </c>
      <c r="DO361" s="161">
        <f t="shared" si="1119"/>
        <v>0</v>
      </c>
      <c r="DP361" s="161">
        <f t="shared" si="1120"/>
        <v>0</v>
      </c>
      <c r="DQ361" s="161">
        <f t="shared" si="1121"/>
        <v>0</v>
      </c>
      <c r="DR361" s="161">
        <f t="shared" si="1122"/>
        <v>0</v>
      </c>
      <c r="DS361" s="161">
        <f t="shared" si="1123"/>
        <v>0</v>
      </c>
      <c r="DT361" s="161">
        <f t="shared" si="1124"/>
        <v>0</v>
      </c>
      <c r="DU361" s="161">
        <f t="shared" si="1125"/>
        <v>0</v>
      </c>
      <c r="DV361" s="161">
        <f t="shared" si="1126"/>
        <v>0</v>
      </c>
      <c r="DW361" s="161">
        <f t="shared" si="1127"/>
        <v>0</v>
      </c>
      <c r="DX361" s="161">
        <f t="shared" si="1128"/>
        <v>0</v>
      </c>
      <c r="DY361" s="161">
        <f t="shared" si="1129"/>
        <v>0</v>
      </c>
      <c r="DZ361" s="161">
        <f t="shared" si="1130"/>
        <v>0</v>
      </c>
      <c r="EA361" s="161">
        <f t="shared" si="1131"/>
        <v>0</v>
      </c>
      <c r="EB361" s="161">
        <f t="shared" si="1132"/>
        <v>0</v>
      </c>
      <c r="EC361" s="161">
        <f t="shared" si="1133"/>
        <v>0</v>
      </c>
      <c r="ED361" s="161">
        <f t="shared" si="1134"/>
        <v>0</v>
      </c>
      <c r="EE361" s="161">
        <f t="shared" si="1135"/>
        <v>0</v>
      </c>
      <c r="EF361" s="161">
        <f t="shared" si="1136"/>
        <v>0</v>
      </c>
      <c r="EG361" s="161">
        <f t="shared" si="1137"/>
        <v>0</v>
      </c>
      <c r="EH361" s="161">
        <f t="shared" si="1138"/>
        <v>0</v>
      </c>
      <c r="EI361" s="161">
        <f t="shared" si="1139"/>
        <v>0</v>
      </c>
      <c r="EJ361" s="65"/>
      <c r="EK361" s="161">
        <f t="shared" si="1140"/>
        <v>0</v>
      </c>
      <c r="EL361" s="161">
        <f t="shared" si="1141"/>
        <v>0</v>
      </c>
      <c r="EM361" s="161">
        <f t="shared" si="1142"/>
        <v>0</v>
      </c>
    </row>
    <row r="362" spans="1:143" ht="12" hidden="1" customHeight="1" outlineLevel="2">
      <c r="A362" s="77">
        <v>6</v>
      </c>
      <c r="B362" s="137" t="str">
        <f t="shared" si="1070"/>
        <v>ENG/ARQ JR. - Equipe_01</v>
      </c>
      <c r="C362" s="65"/>
      <c r="D362" s="621"/>
      <c r="E362" s="65"/>
      <c r="F362" s="584"/>
      <c r="G362" s="77" t="str">
        <f>IF(INDEX(Tarefas!$BT$30:$FK$30,MATCH(A362,Tarefas!$BT$28:$FK$28,0))=0,"",INDEX(Tarefas!$BT$30:$FK$30,MATCH(A362,Tarefas!$BT$28:$FK$28,0)))</f>
        <v>ENG/ARQ JR.</v>
      </c>
      <c r="H362" s="107" cm="1">
        <f t="array" ref="H362">IFERROR((SUMPRODUCT((Tarefas!$N$32:$N$54='Cronog. e Histog.'!$F$357)*(Tarefas!$BQ$30:$FK$30='Cronog. e Histog.'!$G362)*(Tarefas!$BQ$32:$FK$54)))/SUMIF(Tarefas!$N$32:$N$54,'Cronog. e Histog.'!$F$357,Tarefas!$K$32:$K$54),0)</f>
        <v>0</v>
      </c>
      <c r="I362" s="79">
        <f t="shared" si="1071"/>
        <v>0</v>
      </c>
      <c r="J362" s="65"/>
      <c r="K362" s="160">
        <f t="shared" si="1072"/>
        <v>0</v>
      </c>
      <c r="L362" s="160">
        <f t="shared" si="1072"/>
        <v>0</v>
      </c>
      <c r="M362" s="160">
        <f t="shared" si="1072"/>
        <v>0</v>
      </c>
      <c r="N362" s="160">
        <f t="shared" si="1072"/>
        <v>0</v>
      </c>
      <c r="O362" s="160">
        <f t="shared" si="1072"/>
        <v>0</v>
      </c>
      <c r="P362" s="160">
        <f t="shared" si="1072"/>
        <v>0</v>
      </c>
      <c r="Q362" s="160">
        <f t="shared" si="1072"/>
        <v>0</v>
      </c>
      <c r="R362" s="160">
        <f t="shared" si="1072"/>
        <v>0</v>
      </c>
      <c r="S362" s="160">
        <f t="shared" si="1072"/>
        <v>0</v>
      </c>
      <c r="T362" s="160">
        <f t="shared" si="1072"/>
        <v>0</v>
      </c>
      <c r="U362" s="160">
        <f t="shared" si="1072"/>
        <v>0</v>
      </c>
      <c r="V362" s="160">
        <f t="shared" si="1072"/>
        <v>0</v>
      </c>
      <c r="W362" s="160">
        <f t="shared" si="1072"/>
        <v>0</v>
      </c>
      <c r="X362" s="160">
        <f t="shared" si="1072"/>
        <v>0</v>
      </c>
      <c r="Y362" s="160">
        <f t="shared" si="1072"/>
        <v>0</v>
      </c>
      <c r="Z362" s="160">
        <f t="shared" si="1072"/>
        <v>0</v>
      </c>
      <c r="AA362" s="160">
        <f t="shared" si="1073"/>
        <v>0</v>
      </c>
      <c r="AB362" s="160">
        <f t="shared" si="1073"/>
        <v>0</v>
      </c>
      <c r="AC362" s="160">
        <f t="shared" si="1073"/>
        <v>0</v>
      </c>
      <c r="AD362" s="160">
        <f t="shared" si="1073"/>
        <v>0</v>
      </c>
      <c r="AE362" s="160">
        <f t="shared" si="1073"/>
        <v>0</v>
      </c>
      <c r="AF362" s="160">
        <f t="shared" si="1073"/>
        <v>0</v>
      </c>
      <c r="AG362" s="160">
        <f t="shared" si="1073"/>
        <v>0</v>
      </c>
      <c r="AH362" s="160">
        <f t="shared" si="1073"/>
        <v>0</v>
      </c>
      <c r="AI362" s="160">
        <f t="shared" si="1073"/>
        <v>0</v>
      </c>
      <c r="AJ362" s="160">
        <f t="shared" si="1073"/>
        <v>0</v>
      </c>
      <c r="AK362" s="160">
        <f t="shared" si="1073"/>
        <v>0</v>
      </c>
      <c r="AL362" s="160">
        <f t="shared" si="1073"/>
        <v>0</v>
      </c>
      <c r="AM362" s="160">
        <f t="shared" si="1073"/>
        <v>0</v>
      </c>
      <c r="AN362" s="160">
        <f t="shared" si="1073"/>
        <v>0</v>
      </c>
      <c r="AO362" s="160">
        <f t="shared" si="1073"/>
        <v>0</v>
      </c>
      <c r="AP362" s="160">
        <f t="shared" si="1073"/>
        <v>0</v>
      </c>
      <c r="AQ362" s="160">
        <f t="shared" si="1074"/>
        <v>0</v>
      </c>
      <c r="AR362" s="160">
        <f t="shared" si="1074"/>
        <v>0</v>
      </c>
      <c r="AS362" s="160">
        <f t="shared" si="1074"/>
        <v>0</v>
      </c>
      <c r="AT362" s="160">
        <f t="shared" si="1074"/>
        <v>0</v>
      </c>
      <c r="AU362" s="160">
        <f t="shared" si="1074"/>
        <v>0</v>
      </c>
      <c r="AV362" s="160">
        <f t="shared" si="1074"/>
        <v>0</v>
      </c>
      <c r="AW362" s="160">
        <f t="shared" si="1074"/>
        <v>0</v>
      </c>
      <c r="AX362" s="160">
        <f t="shared" si="1074"/>
        <v>0</v>
      </c>
      <c r="AY362" s="160">
        <f t="shared" si="1074"/>
        <v>0</v>
      </c>
      <c r="AZ362" s="160">
        <f t="shared" si="1074"/>
        <v>0</v>
      </c>
      <c r="BA362" s="160">
        <f t="shared" si="1074"/>
        <v>0</v>
      </c>
      <c r="BB362" s="160">
        <f t="shared" si="1074"/>
        <v>0</v>
      </c>
      <c r="BC362" s="160">
        <f t="shared" si="1074"/>
        <v>0</v>
      </c>
      <c r="BD362" s="160">
        <f t="shared" si="1074"/>
        <v>0</v>
      </c>
      <c r="BE362" s="160">
        <f t="shared" si="1074"/>
        <v>0</v>
      </c>
      <c r="BF362" s="160">
        <f t="shared" si="1074"/>
        <v>0</v>
      </c>
      <c r="BG362" s="160">
        <f t="shared" si="1075"/>
        <v>0</v>
      </c>
      <c r="BH362" s="160">
        <f t="shared" si="1075"/>
        <v>0</v>
      </c>
      <c r="BI362" s="160">
        <f t="shared" si="1075"/>
        <v>0</v>
      </c>
      <c r="BJ362" s="160">
        <f t="shared" si="1075"/>
        <v>0</v>
      </c>
      <c r="BK362" s="160">
        <f t="shared" si="1075"/>
        <v>0</v>
      </c>
      <c r="BL362" s="160">
        <f t="shared" si="1075"/>
        <v>0</v>
      </c>
      <c r="BM362" s="160">
        <f t="shared" si="1075"/>
        <v>0</v>
      </c>
      <c r="BN362" s="160">
        <f t="shared" si="1075"/>
        <v>0</v>
      </c>
      <c r="BO362" s="160">
        <f t="shared" si="1075"/>
        <v>0</v>
      </c>
      <c r="BP362" s="160">
        <f t="shared" si="1075"/>
        <v>0</v>
      </c>
      <c r="BQ362" s="160">
        <f t="shared" si="1075"/>
        <v>0</v>
      </c>
      <c r="BR362" s="160">
        <f t="shared" si="1075"/>
        <v>0</v>
      </c>
      <c r="BS362" s="65"/>
      <c r="BT362" s="160">
        <f t="shared" si="1076"/>
        <v>0</v>
      </c>
      <c r="BU362" s="160">
        <f t="shared" si="1077"/>
        <v>0</v>
      </c>
      <c r="BV362" s="65"/>
      <c r="BW362" s="69"/>
      <c r="BX362" s="65"/>
      <c r="BY362" s="137">
        <f t="shared" si="1078"/>
        <v>1</v>
      </c>
      <c r="BZ362" s="137">
        <f>IF(BY362&gt;0,BY362+LARGE($BZ$213:BZ361,1),0)</f>
        <v>126</v>
      </c>
      <c r="CA362" s="137" t="str">
        <f t="shared" si="1079"/>
        <v>ENG/ARQ JR.</v>
      </c>
      <c r="CB362" s="161">
        <f t="shared" si="1080"/>
        <v>0</v>
      </c>
      <c r="CC362" s="161">
        <f t="shared" si="1081"/>
        <v>0</v>
      </c>
      <c r="CD362" s="161">
        <f t="shared" si="1082"/>
        <v>0</v>
      </c>
      <c r="CE362" s="161">
        <f t="shared" si="1083"/>
        <v>0</v>
      </c>
      <c r="CF362" s="161">
        <f t="shared" si="1084"/>
        <v>0</v>
      </c>
      <c r="CG362" s="161">
        <f t="shared" si="1085"/>
        <v>0</v>
      </c>
      <c r="CH362" s="161">
        <f t="shared" si="1086"/>
        <v>0</v>
      </c>
      <c r="CI362" s="161">
        <f t="shared" si="1087"/>
        <v>0</v>
      </c>
      <c r="CJ362" s="161">
        <f t="shared" si="1088"/>
        <v>0</v>
      </c>
      <c r="CK362" s="161">
        <f t="shared" si="1089"/>
        <v>0</v>
      </c>
      <c r="CL362" s="161">
        <f t="shared" si="1090"/>
        <v>0</v>
      </c>
      <c r="CM362" s="161">
        <f t="shared" si="1091"/>
        <v>0</v>
      </c>
      <c r="CN362" s="161">
        <f t="shared" si="1092"/>
        <v>0</v>
      </c>
      <c r="CO362" s="161">
        <f t="shared" si="1093"/>
        <v>0</v>
      </c>
      <c r="CP362" s="161">
        <f t="shared" si="1094"/>
        <v>0</v>
      </c>
      <c r="CQ362" s="161">
        <f t="shared" si="1095"/>
        <v>0</v>
      </c>
      <c r="CR362" s="161">
        <f t="shared" si="1096"/>
        <v>0</v>
      </c>
      <c r="CS362" s="161">
        <f t="shared" si="1097"/>
        <v>0</v>
      </c>
      <c r="CT362" s="161">
        <f t="shared" si="1098"/>
        <v>0</v>
      </c>
      <c r="CU362" s="161">
        <f t="shared" si="1099"/>
        <v>0</v>
      </c>
      <c r="CV362" s="161">
        <f t="shared" si="1100"/>
        <v>0</v>
      </c>
      <c r="CW362" s="161">
        <f t="shared" si="1101"/>
        <v>0</v>
      </c>
      <c r="CX362" s="161">
        <f t="shared" si="1102"/>
        <v>0</v>
      </c>
      <c r="CY362" s="161">
        <f t="shared" si="1103"/>
        <v>0</v>
      </c>
      <c r="CZ362" s="161">
        <f t="shared" si="1104"/>
        <v>0</v>
      </c>
      <c r="DA362" s="161">
        <f t="shared" si="1105"/>
        <v>0</v>
      </c>
      <c r="DB362" s="161">
        <f t="shared" si="1106"/>
        <v>0</v>
      </c>
      <c r="DC362" s="161">
        <f t="shared" si="1107"/>
        <v>0</v>
      </c>
      <c r="DD362" s="161">
        <f t="shared" si="1108"/>
        <v>0</v>
      </c>
      <c r="DE362" s="161">
        <f t="shared" si="1109"/>
        <v>0</v>
      </c>
      <c r="DF362" s="161">
        <f t="shared" si="1110"/>
        <v>0</v>
      </c>
      <c r="DG362" s="161">
        <f t="shared" si="1111"/>
        <v>0</v>
      </c>
      <c r="DH362" s="161">
        <f t="shared" si="1112"/>
        <v>0</v>
      </c>
      <c r="DI362" s="161">
        <f t="shared" si="1113"/>
        <v>0</v>
      </c>
      <c r="DJ362" s="161">
        <f t="shared" si="1114"/>
        <v>0</v>
      </c>
      <c r="DK362" s="161">
        <f t="shared" si="1115"/>
        <v>0</v>
      </c>
      <c r="DL362" s="161">
        <f t="shared" si="1116"/>
        <v>0</v>
      </c>
      <c r="DM362" s="161">
        <f t="shared" si="1117"/>
        <v>0</v>
      </c>
      <c r="DN362" s="161">
        <f t="shared" si="1118"/>
        <v>0</v>
      </c>
      <c r="DO362" s="161">
        <f t="shared" si="1119"/>
        <v>0</v>
      </c>
      <c r="DP362" s="161">
        <f t="shared" si="1120"/>
        <v>0</v>
      </c>
      <c r="DQ362" s="161">
        <f t="shared" si="1121"/>
        <v>0</v>
      </c>
      <c r="DR362" s="161">
        <f t="shared" si="1122"/>
        <v>0</v>
      </c>
      <c r="DS362" s="161">
        <f t="shared" si="1123"/>
        <v>0</v>
      </c>
      <c r="DT362" s="161">
        <f t="shared" si="1124"/>
        <v>0</v>
      </c>
      <c r="DU362" s="161">
        <f t="shared" si="1125"/>
        <v>0</v>
      </c>
      <c r="DV362" s="161">
        <f t="shared" si="1126"/>
        <v>0</v>
      </c>
      <c r="DW362" s="161">
        <f t="shared" si="1127"/>
        <v>0</v>
      </c>
      <c r="DX362" s="161">
        <f t="shared" si="1128"/>
        <v>0</v>
      </c>
      <c r="DY362" s="161">
        <f t="shared" si="1129"/>
        <v>0</v>
      </c>
      <c r="DZ362" s="161">
        <f t="shared" si="1130"/>
        <v>0</v>
      </c>
      <c r="EA362" s="161">
        <f t="shared" si="1131"/>
        <v>0</v>
      </c>
      <c r="EB362" s="161">
        <f t="shared" si="1132"/>
        <v>0</v>
      </c>
      <c r="EC362" s="161">
        <f t="shared" si="1133"/>
        <v>0</v>
      </c>
      <c r="ED362" s="161">
        <f t="shared" si="1134"/>
        <v>0</v>
      </c>
      <c r="EE362" s="161">
        <f t="shared" si="1135"/>
        <v>0</v>
      </c>
      <c r="EF362" s="161">
        <f t="shared" si="1136"/>
        <v>0</v>
      </c>
      <c r="EG362" s="161">
        <f t="shared" si="1137"/>
        <v>0</v>
      </c>
      <c r="EH362" s="161">
        <f t="shared" si="1138"/>
        <v>0</v>
      </c>
      <c r="EI362" s="161">
        <f t="shared" si="1139"/>
        <v>0</v>
      </c>
      <c r="EJ362" s="65"/>
      <c r="EK362" s="161">
        <f t="shared" si="1140"/>
        <v>0</v>
      </c>
      <c r="EL362" s="161">
        <f t="shared" si="1141"/>
        <v>0</v>
      </c>
      <c r="EM362" s="161">
        <f t="shared" si="1142"/>
        <v>0</v>
      </c>
    </row>
    <row r="363" spans="1:143" ht="12" hidden="1" customHeight="1" outlineLevel="2">
      <c r="A363" s="77">
        <v>7</v>
      </c>
      <c r="B363" s="137" t="str">
        <f t="shared" si="1070"/>
        <v>AN SR. ENG/ARQ - Equipe_01</v>
      </c>
      <c r="C363" s="65"/>
      <c r="D363" s="621"/>
      <c r="E363" s="65"/>
      <c r="F363" s="584"/>
      <c r="G363" s="77" t="str">
        <f>IF(INDEX(Tarefas!$BT$30:$FK$30,MATCH(A363,Tarefas!$BT$28:$FK$28,0))=0,"",INDEX(Tarefas!$BT$30:$FK$30,MATCH(A363,Tarefas!$BT$28:$FK$28,0)))</f>
        <v>AN SR. ENG/ARQ</v>
      </c>
      <c r="H363" s="107" cm="1">
        <f t="array" ref="H363">IFERROR((SUMPRODUCT((Tarefas!$N$32:$N$54='Cronog. e Histog.'!$F$357)*(Tarefas!$BQ$30:$FK$30='Cronog. e Histog.'!$G363)*(Tarefas!$BQ$32:$FK$54)))/SUMIF(Tarefas!$N$32:$N$54,'Cronog. e Histog.'!$F$357,Tarefas!$K$32:$K$54),0)</f>
        <v>0</v>
      </c>
      <c r="I363" s="79">
        <f t="shared" si="1071"/>
        <v>0</v>
      </c>
      <c r="J363" s="65"/>
      <c r="K363" s="160">
        <f t="shared" si="1072"/>
        <v>0</v>
      </c>
      <c r="L363" s="160">
        <f t="shared" si="1072"/>
        <v>0</v>
      </c>
      <c r="M363" s="160">
        <f t="shared" si="1072"/>
        <v>0</v>
      </c>
      <c r="N363" s="160">
        <f t="shared" si="1072"/>
        <v>0</v>
      </c>
      <c r="O363" s="160">
        <f t="shared" si="1072"/>
        <v>0</v>
      </c>
      <c r="P363" s="160">
        <f t="shared" si="1072"/>
        <v>0</v>
      </c>
      <c r="Q363" s="160">
        <f t="shared" si="1072"/>
        <v>0</v>
      </c>
      <c r="R363" s="160">
        <f t="shared" si="1072"/>
        <v>0</v>
      </c>
      <c r="S363" s="160">
        <f t="shared" si="1072"/>
        <v>0</v>
      </c>
      <c r="T363" s="160">
        <f t="shared" si="1072"/>
        <v>0</v>
      </c>
      <c r="U363" s="160">
        <f t="shared" si="1072"/>
        <v>0</v>
      </c>
      <c r="V363" s="160">
        <f t="shared" si="1072"/>
        <v>0</v>
      </c>
      <c r="W363" s="160">
        <f t="shared" si="1072"/>
        <v>0</v>
      </c>
      <c r="X363" s="160">
        <f t="shared" si="1072"/>
        <v>0</v>
      </c>
      <c r="Y363" s="160">
        <f t="shared" si="1072"/>
        <v>0</v>
      </c>
      <c r="Z363" s="160">
        <f t="shared" si="1072"/>
        <v>0</v>
      </c>
      <c r="AA363" s="160">
        <f t="shared" si="1073"/>
        <v>0</v>
      </c>
      <c r="AB363" s="160">
        <f t="shared" si="1073"/>
        <v>0</v>
      </c>
      <c r="AC363" s="160">
        <f t="shared" si="1073"/>
        <v>0</v>
      </c>
      <c r="AD363" s="160">
        <f t="shared" si="1073"/>
        <v>0</v>
      </c>
      <c r="AE363" s="160">
        <f t="shared" si="1073"/>
        <v>0</v>
      </c>
      <c r="AF363" s="160">
        <f t="shared" si="1073"/>
        <v>0</v>
      </c>
      <c r="AG363" s="160">
        <f t="shared" si="1073"/>
        <v>0</v>
      </c>
      <c r="AH363" s="160">
        <f t="shared" si="1073"/>
        <v>0</v>
      </c>
      <c r="AI363" s="160">
        <f t="shared" si="1073"/>
        <v>0</v>
      </c>
      <c r="AJ363" s="160">
        <f t="shared" si="1073"/>
        <v>0</v>
      </c>
      <c r="AK363" s="160">
        <f t="shared" si="1073"/>
        <v>0</v>
      </c>
      <c r="AL363" s="160">
        <f t="shared" si="1073"/>
        <v>0</v>
      </c>
      <c r="AM363" s="160">
        <f t="shared" si="1073"/>
        <v>0</v>
      </c>
      <c r="AN363" s="160">
        <f t="shared" si="1073"/>
        <v>0</v>
      </c>
      <c r="AO363" s="160">
        <f t="shared" si="1073"/>
        <v>0</v>
      </c>
      <c r="AP363" s="160">
        <f t="shared" si="1073"/>
        <v>0</v>
      </c>
      <c r="AQ363" s="160">
        <f t="shared" si="1074"/>
        <v>0</v>
      </c>
      <c r="AR363" s="160">
        <f t="shared" si="1074"/>
        <v>0</v>
      </c>
      <c r="AS363" s="160">
        <f t="shared" si="1074"/>
        <v>0</v>
      </c>
      <c r="AT363" s="160">
        <f t="shared" si="1074"/>
        <v>0</v>
      </c>
      <c r="AU363" s="160">
        <f t="shared" si="1074"/>
        <v>0</v>
      </c>
      <c r="AV363" s="160">
        <f t="shared" si="1074"/>
        <v>0</v>
      </c>
      <c r="AW363" s="160">
        <f t="shared" si="1074"/>
        <v>0</v>
      </c>
      <c r="AX363" s="160">
        <f t="shared" si="1074"/>
        <v>0</v>
      </c>
      <c r="AY363" s="160">
        <f t="shared" si="1074"/>
        <v>0</v>
      </c>
      <c r="AZ363" s="160">
        <f t="shared" si="1074"/>
        <v>0</v>
      </c>
      <c r="BA363" s="160">
        <f t="shared" si="1074"/>
        <v>0</v>
      </c>
      <c r="BB363" s="160">
        <f t="shared" si="1074"/>
        <v>0</v>
      </c>
      <c r="BC363" s="160">
        <f t="shared" si="1074"/>
        <v>0</v>
      </c>
      <c r="BD363" s="160">
        <f t="shared" si="1074"/>
        <v>0</v>
      </c>
      <c r="BE363" s="160">
        <f t="shared" si="1074"/>
        <v>0</v>
      </c>
      <c r="BF363" s="160">
        <f t="shared" si="1074"/>
        <v>0</v>
      </c>
      <c r="BG363" s="160">
        <f t="shared" si="1075"/>
        <v>0</v>
      </c>
      <c r="BH363" s="160">
        <f t="shared" si="1075"/>
        <v>0</v>
      </c>
      <c r="BI363" s="160">
        <f t="shared" si="1075"/>
        <v>0</v>
      </c>
      <c r="BJ363" s="160">
        <f t="shared" si="1075"/>
        <v>0</v>
      </c>
      <c r="BK363" s="160">
        <f t="shared" si="1075"/>
        <v>0</v>
      </c>
      <c r="BL363" s="160">
        <f t="shared" si="1075"/>
        <v>0</v>
      </c>
      <c r="BM363" s="160">
        <f t="shared" si="1075"/>
        <v>0</v>
      </c>
      <c r="BN363" s="160">
        <f t="shared" si="1075"/>
        <v>0</v>
      </c>
      <c r="BO363" s="160">
        <f t="shared" si="1075"/>
        <v>0</v>
      </c>
      <c r="BP363" s="160">
        <f t="shared" si="1075"/>
        <v>0</v>
      </c>
      <c r="BQ363" s="160">
        <f t="shared" si="1075"/>
        <v>0</v>
      </c>
      <c r="BR363" s="160">
        <f t="shared" si="1075"/>
        <v>0</v>
      </c>
      <c r="BS363" s="65"/>
      <c r="BT363" s="160">
        <f t="shared" si="1076"/>
        <v>0</v>
      </c>
      <c r="BU363" s="160">
        <f t="shared" si="1077"/>
        <v>0</v>
      </c>
      <c r="BV363" s="65"/>
      <c r="BW363" s="69"/>
      <c r="BX363" s="65"/>
      <c r="BY363" s="137">
        <f t="shared" si="1078"/>
        <v>1</v>
      </c>
      <c r="BZ363" s="137">
        <f>IF(BY363&gt;0,BY363+LARGE($BZ$213:BZ362,1),0)</f>
        <v>127</v>
      </c>
      <c r="CA363" s="137" t="str">
        <f t="shared" si="1079"/>
        <v>AN SR. ENG/ARQ</v>
      </c>
      <c r="CB363" s="161">
        <f t="shared" si="1080"/>
        <v>0</v>
      </c>
      <c r="CC363" s="161">
        <f t="shared" si="1081"/>
        <v>0</v>
      </c>
      <c r="CD363" s="161">
        <f t="shared" si="1082"/>
        <v>0</v>
      </c>
      <c r="CE363" s="161">
        <f t="shared" si="1083"/>
        <v>0</v>
      </c>
      <c r="CF363" s="161">
        <f t="shared" si="1084"/>
        <v>0</v>
      </c>
      <c r="CG363" s="161">
        <f t="shared" si="1085"/>
        <v>0</v>
      </c>
      <c r="CH363" s="161">
        <f t="shared" si="1086"/>
        <v>0</v>
      </c>
      <c r="CI363" s="161">
        <f t="shared" si="1087"/>
        <v>0</v>
      </c>
      <c r="CJ363" s="161">
        <f t="shared" si="1088"/>
        <v>0</v>
      </c>
      <c r="CK363" s="161">
        <f t="shared" si="1089"/>
        <v>0</v>
      </c>
      <c r="CL363" s="161">
        <f t="shared" si="1090"/>
        <v>0</v>
      </c>
      <c r="CM363" s="161">
        <f t="shared" si="1091"/>
        <v>0</v>
      </c>
      <c r="CN363" s="161">
        <f t="shared" si="1092"/>
        <v>0</v>
      </c>
      <c r="CO363" s="161">
        <f t="shared" si="1093"/>
        <v>0</v>
      </c>
      <c r="CP363" s="161">
        <f t="shared" si="1094"/>
        <v>0</v>
      </c>
      <c r="CQ363" s="161">
        <f t="shared" si="1095"/>
        <v>0</v>
      </c>
      <c r="CR363" s="161">
        <f t="shared" si="1096"/>
        <v>0</v>
      </c>
      <c r="CS363" s="161">
        <f t="shared" si="1097"/>
        <v>0</v>
      </c>
      <c r="CT363" s="161">
        <f t="shared" si="1098"/>
        <v>0</v>
      </c>
      <c r="CU363" s="161">
        <f t="shared" si="1099"/>
        <v>0</v>
      </c>
      <c r="CV363" s="161">
        <f t="shared" si="1100"/>
        <v>0</v>
      </c>
      <c r="CW363" s="161">
        <f t="shared" si="1101"/>
        <v>0</v>
      </c>
      <c r="CX363" s="161">
        <f t="shared" si="1102"/>
        <v>0</v>
      </c>
      <c r="CY363" s="161">
        <f t="shared" si="1103"/>
        <v>0</v>
      </c>
      <c r="CZ363" s="161">
        <f t="shared" si="1104"/>
        <v>0</v>
      </c>
      <c r="DA363" s="161">
        <f t="shared" si="1105"/>
        <v>0</v>
      </c>
      <c r="DB363" s="161">
        <f t="shared" si="1106"/>
        <v>0</v>
      </c>
      <c r="DC363" s="161">
        <f t="shared" si="1107"/>
        <v>0</v>
      </c>
      <c r="DD363" s="161">
        <f t="shared" si="1108"/>
        <v>0</v>
      </c>
      <c r="DE363" s="161">
        <f t="shared" si="1109"/>
        <v>0</v>
      </c>
      <c r="DF363" s="161">
        <f t="shared" si="1110"/>
        <v>0</v>
      </c>
      <c r="DG363" s="161">
        <f t="shared" si="1111"/>
        <v>0</v>
      </c>
      <c r="DH363" s="161">
        <f t="shared" si="1112"/>
        <v>0</v>
      </c>
      <c r="DI363" s="161">
        <f t="shared" si="1113"/>
        <v>0</v>
      </c>
      <c r="DJ363" s="161">
        <f t="shared" si="1114"/>
        <v>0</v>
      </c>
      <c r="DK363" s="161">
        <f t="shared" si="1115"/>
        <v>0</v>
      </c>
      <c r="DL363" s="161">
        <f t="shared" si="1116"/>
        <v>0</v>
      </c>
      <c r="DM363" s="161">
        <f t="shared" si="1117"/>
        <v>0</v>
      </c>
      <c r="DN363" s="161">
        <f t="shared" si="1118"/>
        <v>0</v>
      </c>
      <c r="DO363" s="161">
        <f t="shared" si="1119"/>
        <v>0</v>
      </c>
      <c r="DP363" s="161">
        <f t="shared" si="1120"/>
        <v>0</v>
      </c>
      <c r="DQ363" s="161">
        <f t="shared" si="1121"/>
        <v>0</v>
      </c>
      <c r="DR363" s="161">
        <f t="shared" si="1122"/>
        <v>0</v>
      </c>
      <c r="DS363" s="161">
        <f t="shared" si="1123"/>
        <v>0</v>
      </c>
      <c r="DT363" s="161">
        <f t="shared" si="1124"/>
        <v>0</v>
      </c>
      <c r="DU363" s="161">
        <f t="shared" si="1125"/>
        <v>0</v>
      </c>
      <c r="DV363" s="161">
        <f t="shared" si="1126"/>
        <v>0</v>
      </c>
      <c r="DW363" s="161">
        <f t="shared" si="1127"/>
        <v>0</v>
      </c>
      <c r="DX363" s="161">
        <f t="shared" si="1128"/>
        <v>0</v>
      </c>
      <c r="DY363" s="161">
        <f t="shared" si="1129"/>
        <v>0</v>
      </c>
      <c r="DZ363" s="161">
        <f t="shared" si="1130"/>
        <v>0</v>
      </c>
      <c r="EA363" s="161">
        <f t="shared" si="1131"/>
        <v>0</v>
      </c>
      <c r="EB363" s="161">
        <f t="shared" si="1132"/>
        <v>0</v>
      </c>
      <c r="EC363" s="161">
        <f t="shared" si="1133"/>
        <v>0</v>
      </c>
      <c r="ED363" s="161">
        <f t="shared" si="1134"/>
        <v>0</v>
      </c>
      <c r="EE363" s="161">
        <f t="shared" si="1135"/>
        <v>0</v>
      </c>
      <c r="EF363" s="161">
        <f t="shared" si="1136"/>
        <v>0</v>
      </c>
      <c r="EG363" s="161">
        <f t="shared" si="1137"/>
        <v>0</v>
      </c>
      <c r="EH363" s="161">
        <f t="shared" si="1138"/>
        <v>0</v>
      </c>
      <c r="EI363" s="161">
        <f t="shared" si="1139"/>
        <v>0</v>
      </c>
      <c r="EJ363" s="65"/>
      <c r="EK363" s="161">
        <f t="shared" si="1140"/>
        <v>0</v>
      </c>
      <c r="EL363" s="161">
        <f t="shared" si="1141"/>
        <v>0</v>
      </c>
      <c r="EM363" s="161">
        <f t="shared" si="1142"/>
        <v>0</v>
      </c>
    </row>
    <row r="364" spans="1:143" ht="12" hidden="1" customHeight="1" outlineLevel="2">
      <c r="A364" s="77">
        <v>8</v>
      </c>
      <c r="B364" s="137" t="str">
        <f t="shared" si="1070"/>
        <v>AN PL. ENG/ARQ - Equipe_01</v>
      </c>
      <c r="C364" s="65"/>
      <c r="D364" s="621"/>
      <c r="E364" s="65"/>
      <c r="F364" s="584"/>
      <c r="G364" s="77" t="str">
        <f>IF(INDEX(Tarefas!$BT$30:$FK$30,MATCH(A364,Tarefas!$BT$28:$FK$28,0))=0,"",INDEX(Tarefas!$BT$30:$FK$30,MATCH(A364,Tarefas!$BT$28:$FK$28,0)))</f>
        <v>AN PL. ENG/ARQ</v>
      </c>
      <c r="H364" s="107" cm="1">
        <f t="array" ref="H364">IFERROR((SUMPRODUCT((Tarefas!$N$32:$N$54='Cronog. e Histog.'!$F$357)*(Tarefas!$BQ$30:$FK$30='Cronog. e Histog.'!$G364)*(Tarefas!$BQ$32:$FK$54)))/SUMIF(Tarefas!$N$32:$N$54,'Cronog. e Histog.'!$F$357,Tarefas!$K$32:$K$54),0)</f>
        <v>0</v>
      </c>
      <c r="I364" s="79">
        <f t="shared" si="1071"/>
        <v>0</v>
      </c>
      <c r="J364" s="65"/>
      <c r="K364" s="160">
        <f t="shared" si="1072"/>
        <v>0</v>
      </c>
      <c r="L364" s="160">
        <f t="shared" si="1072"/>
        <v>0</v>
      </c>
      <c r="M364" s="160">
        <f t="shared" si="1072"/>
        <v>0</v>
      </c>
      <c r="N364" s="160">
        <f t="shared" si="1072"/>
        <v>0</v>
      </c>
      <c r="O364" s="160">
        <f t="shared" si="1072"/>
        <v>0</v>
      </c>
      <c r="P364" s="160">
        <f t="shared" si="1072"/>
        <v>0</v>
      </c>
      <c r="Q364" s="160">
        <f t="shared" si="1072"/>
        <v>0</v>
      </c>
      <c r="R364" s="160">
        <f t="shared" si="1072"/>
        <v>0</v>
      </c>
      <c r="S364" s="160">
        <f t="shared" si="1072"/>
        <v>0</v>
      </c>
      <c r="T364" s="160">
        <f t="shared" si="1072"/>
        <v>0</v>
      </c>
      <c r="U364" s="160">
        <f t="shared" si="1072"/>
        <v>0</v>
      </c>
      <c r="V364" s="160">
        <f t="shared" si="1072"/>
        <v>0</v>
      </c>
      <c r="W364" s="160">
        <f t="shared" si="1072"/>
        <v>0</v>
      </c>
      <c r="X364" s="160">
        <f t="shared" si="1072"/>
        <v>0</v>
      </c>
      <c r="Y364" s="160">
        <f t="shared" si="1072"/>
        <v>0</v>
      </c>
      <c r="Z364" s="160">
        <f t="shared" si="1072"/>
        <v>0</v>
      </c>
      <c r="AA364" s="160">
        <f t="shared" si="1073"/>
        <v>0</v>
      </c>
      <c r="AB364" s="160">
        <f t="shared" si="1073"/>
        <v>0</v>
      </c>
      <c r="AC364" s="160">
        <f t="shared" si="1073"/>
        <v>0</v>
      </c>
      <c r="AD364" s="160">
        <f t="shared" si="1073"/>
        <v>0</v>
      </c>
      <c r="AE364" s="160">
        <f t="shared" si="1073"/>
        <v>0</v>
      </c>
      <c r="AF364" s="160">
        <f t="shared" si="1073"/>
        <v>0</v>
      </c>
      <c r="AG364" s="160">
        <f t="shared" si="1073"/>
        <v>0</v>
      </c>
      <c r="AH364" s="160">
        <f t="shared" si="1073"/>
        <v>0</v>
      </c>
      <c r="AI364" s="160">
        <f t="shared" si="1073"/>
        <v>0</v>
      </c>
      <c r="AJ364" s="160">
        <f t="shared" si="1073"/>
        <v>0</v>
      </c>
      <c r="AK364" s="160">
        <f t="shared" si="1073"/>
        <v>0</v>
      </c>
      <c r="AL364" s="160">
        <f t="shared" si="1073"/>
        <v>0</v>
      </c>
      <c r="AM364" s="160">
        <f t="shared" si="1073"/>
        <v>0</v>
      </c>
      <c r="AN364" s="160">
        <f t="shared" si="1073"/>
        <v>0</v>
      </c>
      <c r="AO364" s="160">
        <f t="shared" si="1073"/>
        <v>0</v>
      </c>
      <c r="AP364" s="160">
        <f t="shared" si="1073"/>
        <v>0</v>
      </c>
      <c r="AQ364" s="160">
        <f t="shared" si="1074"/>
        <v>0</v>
      </c>
      <c r="AR364" s="160">
        <f t="shared" si="1074"/>
        <v>0</v>
      </c>
      <c r="AS364" s="160">
        <f t="shared" si="1074"/>
        <v>0</v>
      </c>
      <c r="AT364" s="160">
        <f t="shared" si="1074"/>
        <v>0</v>
      </c>
      <c r="AU364" s="160">
        <f t="shared" si="1074"/>
        <v>0</v>
      </c>
      <c r="AV364" s="160">
        <f t="shared" si="1074"/>
        <v>0</v>
      </c>
      <c r="AW364" s="160">
        <f t="shared" si="1074"/>
        <v>0</v>
      </c>
      <c r="AX364" s="160">
        <f t="shared" si="1074"/>
        <v>0</v>
      </c>
      <c r="AY364" s="160">
        <f t="shared" si="1074"/>
        <v>0</v>
      </c>
      <c r="AZ364" s="160">
        <f t="shared" si="1074"/>
        <v>0</v>
      </c>
      <c r="BA364" s="160">
        <f t="shared" si="1074"/>
        <v>0</v>
      </c>
      <c r="BB364" s="160">
        <f t="shared" si="1074"/>
        <v>0</v>
      </c>
      <c r="BC364" s="160">
        <f t="shared" si="1074"/>
        <v>0</v>
      </c>
      <c r="BD364" s="160">
        <f t="shared" si="1074"/>
        <v>0</v>
      </c>
      <c r="BE364" s="160">
        <f t="shared" si="1074"/>
        <v>0</v>
      </c>
      <c r="BF364" s="160">
        <f t="shared" si="1074"/>
        <v>0</v>
      </c>
      <c r="BG364" s="160">
        <f t="shared" si="1075"/>
        <v>0</v>
      </c>
      <c r="BH364" s="160">
        <f t="shared" si="1075"/>
        <v>0</v>
      </c>
      <c r="BI364" s="160">
        <f t="shared" si="1075"/>
        <v>0</v>
      </c>
      <c r="BJ364" s="160">
        <f t="shared" si="1075"/>
        <v>0</v>
      </c>
      <c r="BK364" s="160">
        <f t="shared" si="1075"/>
        <v>0</v>
      </c>
      <c r="BL364" s="160">
        <f t="shared" si="1075"/>
        <v>0</v>
      </c>
      <c r="BM364" s="160">
        <f t="shared" si="1075"/>
        <v>0</v>
      </c>
      <c r="BN364" s="160">
        <f t="shared" si="1075"/>
        <v>0</v>
      </c>
      <c r="BO364" s="160">
        <f t="shared" si="1075"/>
        <v>0</v>
      </c>
      <c r="BP364" s="160">
        <f t="shared" si="1075"/>
        <v>0</v>
      </c>
      <c r="BQ364" s="160">
        <f t="shared" si="1075"/>
        <v>0</v>
      </c>
      <c r="BR364" s="160">
        <f t="shared" si="1075"/>
        <v>0</v>
      </c>
      <c r="BS364" s="65"/>
      <c r="BT364" s="160">
        <f t="shared" si="1076"/>
        <v>0</v>
      </c>
      <c r="BU364" s="160">
        <f t="shared" si="1077"/>
        <v>0</v>
      </c>
      <c r="BV364" s="65"/>
      <c r="BW364" s="69"/>
      <c r="BX364" s="65"/>
      <c r="BY364" s="137">
        <f t="shared" si="1078"/>
        <v>1</v>
      </c>
      <c r="BZ364" s="137">
        <f>IF(BY364&gt;0,BY364+LARGE($BZ$213:BZ363,1),0)</f>
        <v>128</v>
      </c>
      <c r="CA364" s="137" t="str">
        <f t="shared" si="1079"/>
        <v>AN PL. ENG/ARQ</v>
      </c>
      <c r="CB364" s="161">
        <f t="shared" si="1080"/>
        <v>0</v>
      </c>
      <c r="CC364" s="161">
        <f t="shared" si="1081"/>
        <v>0</v>
      </c>
      <c r="CD364" s="161">
        <f t="shared" si="1082"/>
        <v>0</v>
      </c>
      <c r="CE364" s="161">
        <f t="shared" si="1083"/>
        <v>0</v>
      </c>
      <c r="CF364" s="161">
        <f t="shared" si="1084"/>
        <v>0</v>
      </c>
      <c r="CG364" s="161">
        <f t="shared" si="1085"/>
        <v>0</v>
      </c>
      <c r="CH364" s="161">
        <f t="shared" si="1086"/>
        <v>0</v>
      </c>
      <c r="CI364" s="161">
        <f t="shared" si="1087"/>
        <v>0</v>
      </c>
      <c r="CJ364" s="161">
        <f t="shared" si="1088"/>
        <v>0</v>
      </c>
      <c r="CK364" s="161">
        <f t="shared" si="1089"/>
        <v>0</v>
      </c>
      <c r="CL364" s="161">
        <f t="shared" si="1090"/>
        <v>0</v>
      </c>
      <c r="CM364" s="161">
        <f t="shared" si="1091"/>
        <v>0</v>
      </c>
      <c r="CN364" s="161">
        <f t="shared" si="1092"/>
        <v>0</v>
      </c>
      <c r="CO364" s="161">
        <f t="shared" si="1093"/>
        <v>0</v>
      </c>
      <c r="CP364" s="161">
        <f t="shared" si="1094"/>
        <v>0</v>
      </c>
      <c r="CQ364" s="161">
        <f t="shared" si="1095"/>
        <v>0</v>
      </c>
      <c r="CR364" s="161">
        <f t="shared" si="1096"/>
        <v>0</v>
      </c>
      <c r="CS364" s="161">
        <f t="shared" si="1097"/>
        <v>0</v>
      </c>
      <c r="CT364" s="161">
        <f t="shared" si="1098"/>
        <v>0</v>
      </c>
      <c r="CU364" s="161">
        <f t="shared" si="1099"/>
        <v>0</v>
      </c>
      <c r="CV364" s="161">
        <f t="shared" si="1100"/>
        <v>0</v>
      </c>
      <c r="CW364" s="161">
        <f t="shared" si="1101"/>
        <v>0</v>
      </c>
      <c r="CX364" s="161">
        <f t="shared" si="1102"/>
        <v>0</v>
      </c>
      <c r="CY364" s="161">
        <f t="shared" si="1103"/>
        <v>0</v>
      </c>
      <c r="CZ364" s="161">
        <f t="shared" si="1104"/>
        <v>0</v>
      </c>
      <c r="DA364" s="161">
        <f t="shared" si="1105"/>
        <v>0</v>
      </c>
      <c r="DB364" s="161">
        <f t="shared" si="1106"/>
        <v>0</v>
      </c>
      <c r="DC364" s="161">
        <f t="shared" si="1107"/>
        <v>0</v>
      </c>
      <c r="DD364" s="161">
        <f t="shared" si="1108"/>
        <v>0</v>
      </c>
      <c r="DE364" s="161">
        <f t="shared" si="1109"/>
        <v>0</v>
      </c>
      <c r="DF364" s="161">
        <f t="shared" si="1110"/>
        <v>0</v>
      </c>
      <c r="DG364" s="161">
        <f t="shared" si="1111"/>
        <v>0</v>
      </c>
      <c r="DH364" s="161">
        <f t="shared" si="1112"/>
        <v>0</v>
      </c>
      <c r="DI364" s="161">
        <f t="shared" si="1113"/>
        <v>0</v>
      </c>
      <c r="DJ364" s="161">
        <f t="shared" si="1114"/>
        <v>0</v>
      </c>
      <c r="DK364" s="161">
        <f t="shared" si="1115"/>
        <v>0</v>
      </c>
      <c r="DL364" s="161">
        <f t="shared" si="1116"/>
        <v>0</v>
      </c>
      <c r="DM364" s="161">
        <f t="shared" si="1117"/>
        <v>0</v>
      </c>
      <c r="DN364" s="161">
        <f t="shared" si="1118"/>
        <v>0</v>
      </c>
      <c r="DO364" s="161">
        <f t="shared" si="1119"/>
        <v>0</v>
      </c>
      <c r="DP364" s="161">
        <f t="shared" si="1120"/>
        <v>0</v>
      </c>
      <c r="DQ364" s="161">
        <f t="shared" si="1121"/>
        <v>0</v>
      </c>
      <c r="DR364" s="161">
        <f t="shared" si="1122"/>
        <v>0</v>
      </c>
      <c r="DS364" s="161">
        <f t="shared" si="1123"/>
        <v>0</v>
      </c>
      <c r="DT364" s="161">
        <f t="shared" si="1124"/>
        <v>0</v>
      </c>
      <c r="DU364" s="161">
        <f t="shared" si="1125"/>
        <v>0</v>
      </c>
      <c r="DV364" s="161">
        <f t="shared" si="1126"/>
        <v>0</v>
      </c>
      <c r="DW364" s="161">
        <f t="shared" si="1127"/>
        <v>0</v>
      </c>
      <c r="DX364" s="161">
        <f t="shared" si="1128"/>
        <v>0</v>
      </c>
      <c r="DY364" s="161">
        <f t="shared" si="1129"/>
        <v>0</v>
      </c>
      <c r="DZ364" s="161">
        <f t="shared" si="1130"/>
        <v>0</v>
      </c>
      <c r="EA364" s="161">
        <f t="shared" si="1131"/>
        <v>0</v>
      </c>
      <c r="EB364" s="161">
        <f t="shared" si="1132"/>
        <v>0</v>
      </c>
      <c r="EC364" s="161">
        <f t="shared" si="1133"/>
        <v>0</v>
      </c>
      <c r="ED364" s="161">
        <f t="shared" si="1134"/>
        <v>0</v>
      </c>
      <c r="EE364" s="161">
        <f t="shared" si="1135"/>
        <v>0</v>
      </c>
      <c r="EF364" s="161">
        <f t="shared" si="1136"/>
        <v>0</v>
      </c>
      <c r="EG364" s="161">
        <f t="shared" si="1137"/>
        <v>0</v>
      </c>
      <c r="EH364" s="161">
        <f t="shared" si="1138"/>
        <v>0</v>
      </c>
      <c r="EI364" s="161">
        <f t="shared" si="1139"/>
        <v>0</v>
      </c>
      <c r="EJ364" s="65"/>
      <c r="EK364" s="161">
        <f t="shared" si="1140"/>
        <v>0</v>
      </c>
      <c r="EL364" s="161">
        <f t="shared" si="1141"/>
        <v>0</v>
      </c>
      <c r="EM364" s="161">
        <f t="shared" si="1142"/>
        <v>0</v>
      </c>
    </row>
    <row r="365" spans="1:143" ht="12" hidden="1" customHeight="1" outlineLevel="2">
      <c r="A365" s="77">
        <v>9</v>
      </c>
      <c r="B365" s="137" t="str">
        <f t="shared" si="1070"/>
        <v>AN JR. ENG/ARQ - Equipe_01</v>
      </c>
      <c r="C365" s="65"/>
      <c r="D365" s="621"/>
      <c r="E365" s="65"/>
      <c r="F365" s="584"/>
      <c r="G365" s="77" t="str">
        <f>IF(INDEX(Tarefas!$BT$30:$FK$30,MATCH(A365,Tarefas!$BT$28:$FK$28,0))=0,"",INDEX(Tarefas!$BT$30:$FK$30,MATCH(A365,Tarefas!$BT$28:$FK$28,0)))</f>
        <v>AN JR. ENG/ARQ</v>
      </c>
      <c r="H365" s="107" cm="1">
        <f t="array" ref="H365">IFERROR((SUMPRODUCT((Tarefas!$N$32:$N$54='Cronog. e Histog.'!$F$357)*(Tarefas!$BQ$30:$FK$30='Cronog. e Histog.'!$G365)*(Tarefas!$BQ$32:$FK$54)))/SUMIF(Tarefas!$N$32:$N$54,'Cronog. e Histog.'!$F$357,Tarefas!$K$32:$K$54),0)</f>
        <v>0</v>
      </c>
      <c r="I365" s="79">
        <f t="shared" si="1071"/>
        <v>0</v>
      </c>
      <c r="J365" s="65"/>
      <c r="K365" s="160">
        <f t="shared" si="1072"/>
        <v>0</v>
      </c>
      <c r="L365" s="160">
        <f t="shared" si="1072"/>
        <v>0</v>
      </c>
      <c r="M365" s="160">
        <f t="shared" si="1072"/>
        <v>0</v>
      </c>
      <c r="N365" s="160">
        <f t="shared" si="1072"/>
        <v>0</v>
      </c>
      <c r="O365" s="160">
        <f t="shared" si="1072"/>
        <v>0</v>
      </c>
      <c r="P365" s="160">
        <f t="shared" si="1072"/>
        <v>0</v>
      </c>
      <c r="Q365" s="160">
        <f t="shared" si="1072"/>
        <v>0</v>
      </c>
      <c r="R365" s="160">
        <f t="shared" si="1072"/>
        <v>0</v>
      </c>
      <c r="S365" s="160">
        <f t="shared" si="1072"/>
        <v>0</v>
      </c>
      <c r="T365" s="160">
        <f t="shared" si="1072"/>
        <v>0</v>
      </c>
      <c r="U365" s="160">
        <f t="shared" si="1072"/>
        <v>0</v>
      </c>
      <c r="V365" s="160">
        <f t="shared" si="1072"/>
        <v>0</v>
      </c>
      <c r="W365" s="160">
        <f t="shared" si="1072"/>
        <v>0</v>
      </c>
      <c r="X365" s="160">
        <f t="shared" si="1072"/>
        <v>0</v>
      </c>
      <c r="Y365" s="160">
        <f t="shared" si="1072"/>
        <v>0</v>
      </c>
      <c r="Z365" s="160">
        <f t="shared" si="1072"/>
        <v>0</v>
      </c>
      <c r="AA365" s="160">
        <f t="shared" si="1073"/>
        <v>0</v>
      </c>
      <c r="AB365" s="160">
        <f t="shared" si="1073"/>
        <v>0</v>
      </c>
      <c r="AC365" s="160">
        <f t="shared" si="1073"/>
        <v>0</v>
      </c>
      <c r="AD365" s="160">
        <f t="shared" si="1073"/>
        <v>0</v>
      </c>
      <c r="AE365" s="160">
        <f t="shared" si="1073"/>
        <v>0</v>
      </c>
      <c r="AF365" s="160">
        <f t="shared" si="1073"/>
        <v>0</v>
      </c>
      <c r="AG365" s="160">
        <f t="shared" si="1073"/>
        <v>0</v>
      </c>
      <c r="AH365" s="160">
        <f t="shared" si="1073"/>
        <v>0</v>
      </c>
      <c r="AI365" s="160">
        <f t="shared" si="1073"/>
        <v>0</v>
      </c>
      <c r="AJ365" s="160">
        <f t="shared" si="1073"/>
        <v>0</v>
      </c>
      <c r="AK365" s="160">
        <f t="shared" si="1073"/>
        <v>0</v>
      </c>
      <c r="AL365" s="160">
        <f t="shared" si="1073"/>
        <v>0</v>
      </c>
      <c r="AM365" s="160">
        <f t="shared" si="1073"/>
        <v>0</v>
      </c>
      <c r="AN365" s="160">
        <f t="shared" si="1073"/>
        <v>0</v>
      </c>
      <c r="AO365" s="160">
        <f t="shared" si="1073"/>
        <v>0</v>
      </c>
      <c r="AP365" s="160">
        <f t="shared" si="1073"/>
        <v>0</v>
      </c>
      <c r="AQ365" s="160">
        <f t="shared" si="1074"/>
        <v>0</v>
      </c>
      <c r="AR365" s="160">
        <f t="shared" si="1074"/>
        <v>0</v>
      </c>
      <c r="AS365" s="160">
        <f t="shared" si="1074"/>
        <v>0</v>
      </c>
      <c r="AT365" s="160">
        <f t="shared" si="1074"/>
        <v>0</v>
      </c>
      <c r="AU365" s="160">
        <f t="shared" si="1074"/>
        <v>0</v>
      </c>
      <c r="AV365" s="160">
        <f t="shared" si="1074"/>
        <v>0</v>
      </c>
      <c r="AW365" s="160">
        <f t="shared" si="1074"/>
        <v>0</v>
      </c>
      <c r="AX365" s="160">
        <f t="shared" si="1074"/>
        <v>0</v>
      </c>
      <c r="AY365" s="160">
        <f t="shared" si="1074"/>
        <v>0</v>
      </c>
      <c r="AZ365" s="160">
        <f t="shared" si="1074"/>
        <v>0</v>
      </c>
      <c r="BA365" s="160">
        <f t="shared" si="1074"/>
        <v>0</v>
      </c>
      <c r="BB365" s="160">
        <f t="shared" si="1074"/>
        <v>0</v>
      </c>
      <c r="BC365" s="160">
        <f t="shared" si="1074"/>
        <v>0</v>
      </c>
      <c r="BD365" s="160">
        <f t="shared" si="1074"/>
        <v>0</v>
      </c>
      <c r="BE365" s="160">
        <f t="shared" si="1074"/>
        <v>0</v>
      </c>
      <c r="BF365" s="160">
        <f t="shared" si="1074"/>
        <v>0</v>
      </c>
      <c r="BG365" s="160">
        <f t="shared" si="1075"/>
        <v>0</v>
      </c>
      <c r="BH365" s="160">
        <f t="shared" si="1075"/>
        <v>0</v>
      </c>
      <c r="BI365" s="160">
        <f t="shared" si="1075"/>
        <v>0</v>
      </c>
      <c r="BJ365" s="160">
        <f t="shared" si="1075"/>
        <v>0</v>
      </c>
      <c r="BK365" s="160">
        <f t="shared" si="1075"/>
        <v>0</v>
      </c>
      <c r="BL365" s="160">
        <f t="shared" si="1075"/>
        <v>0</v>
      </c>
      <c r="BM365" s="160">
        <f t="shared" si="1075"/>
        <v>0</v>
      </c>
      <c r="BN365" s="160">
        <f t="shared" si="1075"/>
        <v>0</v>
      </c>
      <c r="BO365" s="160">
        <f t="shared" si="1075"/>
        <v>0</v>
      </c>
      <c r="BP365" s="160">
        <f t="shared" si="1075"/>
        <v>0</v>
      </c>
      <c r="BQ365" s="160">
        <f t="shared" si="1075"/>
        <v>0</v>
      </c>
      <c r="BR365" s="160">
        <f t="shared" si="1075"/>
        <v>0</v>
      </c>
      <c r="BS365" s="65"/>
      <c r="BT365" s="160">
        <f t="shared" si="1076"/>
        <v>0</v>
      </c>
      <c r="BU365" s="160">
        <f t="shared" si="1077"/>
        <v>0</v>
      </c>
      <c r="BV365" s="65"/>
      <c r="BW365" s="69"/>
      <c r="BX365" s="65"/>
      <c r="BY365" s="137">
        <f t="shared" si="1078"/>
        <v>1</v>
      </c>
      <c r="BZ365" s="137">
        <f>IF(BY365&gt;0,BY365+LARGE($BZ$213:BZ364,1),0)</f>
        <v>129</v>
      </c>
      <c r="CA365" s="137" t="str">
        <f t="shared" si="1079"/>
        <v>AN JR. ENG/ARQ</v>
      </c>
      <c r="CB365" s="161">
        <f t="shared" si="1080"/>
        <v>0</v>
      </c>
      <c r="CC365" s="161">
        <f t="shared" si="1081"/>
        <v>0</v>
      </c>
      <c r="CD365" s="161">
        <f t="shared" si="1082"/>
        <v>0</v>
      </c>
      <c r="CE365" s="161">
        <f t="shared" si="1083"/>
        <v>0</v>
      </c>
      <c r="CF365" s="161">
        <f t="shared" si="1084"/>
        <v>0</v>
      </c>
      <c r="CG365" s="161">
        <f t="shared" si="1085"/>
        <v>0</v>
      </c>
      <c r="CH365" s="161">
        <f t="shared" si="1086"/>
        <v>0</v>
      </c>
      <c r="CI365" s="161">
        <f t="shared" si="1087"/>
        <v>0</v>
      </c>
      <c r="CJ365" s="161">
        <f t="shared" si="1088"/>
        <v>0</v>
      </c>
      <c r="CK365" s="161">
        <f t="shared" si="1089"/>
        <v>0</v>
      </c>
      <c r="CL365" s="161">
        <f t="shared" si="1090"/>
        <v>0</v>
      </c>
      <c r="CM365" s="161">
        <f t="shared" si="1091"/>
        <v>0</v>
      </c>
      <c r="CN365" s="161">
        <f t="shared" si="1092"/>
        <v>0</v>
      </c>
      <c r="CO365" s="161">
        <f t="shared" si="1093"/>
        <v>0</v>
      </c>
      <c r="CP365" s="161">
        <f t="shared" si="1094"/>
        <v>0</v>
      </c>
      <c r="CQ365" s="161">
        <f t="shared" si="1095"/>
        <v>0</v>
      </c>
      <c r="CR365" s="161">
        <f t="shared" si="1096"/>
        <v>0</v>
      </c>
      <c r="CS365" s="161">
        <f t="shared" si="1097"/>
        <v>0</v>
      </c>
      <c r="CT365" s="161">
        <f t="shared" si="1098"/>
        <v>0</v>
      </c>
      <c r="CU365" s="161">
        <f t="shared" si="1099"/>
        <v>0</v>
      </c>
      <c r="CV365" s="161">
        <f t="shared" si="1100"/>
        <v>0</v>
      </c>
      <c r="CW365" s="161">
        <f t="shared" si="1101"/>
        <v>0</v>
      </c>
      <c r="CX365" s="161">
        <f t="shared" si="1102"/>
        <v>0</v>
      </c>
      <c r="CY365" s="161">
        <f t="shared" si="1103"/>
        <v>0</v>
      </c>
      <c r="CZ365" s="161">
        <f t="shared" si="1104"/>
        <v>0</v>
      </c>
      <c r="DA365" s="161">
        <f t="shared" si="1105"/>
        <v>0</v>
      </c>
      <c r="DB365" s="161">
        <f t="shared" si="1106"/>
        <v>0</v>
      </c>
      <c r="DC365" s="161">
        <f t="shared" si="1107"/>
        <v>0</v>
      </c>
      <c r="DD365" s="161">
        <f t="shared" si="1108"/>
        <v>0</v>
      </c>
      <c r="DE365" s="161">
        <f t="shared" si="1109"/>
        <v>0</v>
      </c>
      <c r="DF365" s="161">
        <f t="shared" si="1110"/>
        <v>0</v>
      </c>
      <c r="DG365" s="161">
        <f t="shared" si="1111"/>
        <v>0</v>
      </c>
      <c r="DH365" s="161">
        <f t="shared" si="1112"/>
        <v>0</v>
      </c>
      <c r="DI365" s="161">
        <f t="shared" si="1113"/>
        <v>0</v>
      </c>
      <c r="DJ365" s="161">
        <f t="shared" si="1114"/>
        <v>0</v>
      </c>
      <c r="DK365" s="161">
        <f t="shared" si="1115"/>
        <v>0</v>
      </c>
      <c r="DL365" s="161">
        <f t="shared" si="1116"/>
        <v>0</v>
      </c>
      <c r="DM365" s="161">
        <f t="shared" si="1117"/>
        <v>0</v>
      </c>
      <c r="DN365" s="161">
        <f t="shared" si="1118"/>
        <v>0</v>
      </c>
      <c r="DO365" s="161">
        <f t="shared" si="1119"/>
        <v>0</v>
      </c>
      <c r="DP365" s="161">
        <f t="shared" si="1120"/>
        <v>0</v>
      </c>
      <c r="DQ365" s="161">
        <f t="shared" si="1121"/>
        <v>0</v>
      </c>
      <c r="DR365" s="161">
        <f t="shared" si="1122"/>
        <v>0</v>
      </c>
      <c r="DS365" s="161">
        <f t="shared" si="1123"/>
        <v>0</v>
      </c>
      <c r="DT365" s="161">
        <f t="shared" si="1124"/>
        <v>0</v>
      </c>
      <c r="DU365" s="161">
        <f t="shared" si="1125"/>
        <v>0</v>
      </c>
      <c r="DV365" s="161">
        <f t="shared" si="1126"/>
        <v>0</v>
      </c>
      <c r="DW365" s="161">
        <f t="shared" si="1127"/>
        <v>0</v>
      </c>
      <c r="DX365" s="161">
        <f t="shared" si="1128"/>
        <v>0</v>
      </c>
      <c r="DY365" s="161">
        <f t="shared" si="1129"/>
        <v>0</v>
      </c>
      <c r="DZ365" s="161">
        <f t="shared" si="1130"/>
        <v>0</v>
      </c>
      <c r="EA365" s="161">
        <f t="shared" si="1131"/>
        <v>0</v>
      </c>
      <c r="EB365" s="161">
        <f t="shared" si="1132"/>
        <v>0</v>
      </c>
      <c r="EC365" s="161">
        <f t="shared" si="1133"/>
        <v>0</v>
      </c>
      <c r="ED365" s="161">
        <f t="shared" si="1134"/>
        <v>0</v>
      </c>
      <c r="EE365" s="161">
        <f t="shared" si="1135"/>
        <v>0</v>
      </c>
      <c r="EF365" s="161">
        <f t="shared" si="1136"/>
        <v>0</v>
      </c>
      <c r="EG365" s="161">
        <f t="shared" si="1137"/>
        <v>0</v>
      </c>
      <c r="EH365" s="161">
        <f t="shared" si="1138"/>
        <v>0</v>
      </c>
      <c r="EI365" s="161">
        <f t="shared" si="1139"/>
        <v>0</v>
      </c>
      <c r="EJ365" s="65"/>
      <c r="EK365" s="161">
        <f t="shared" si="1140"/>
        <v>0</v>
      </c>
      <c r="EL365" s="161">
        <f t="shared" si="1141"/>
        <v>0</v>
      </c>
      <c r="EM365" s="161">
        <f t="shared" si="1142"/>
        <v>0</v>
      </c>
    </row>
    <row r="366" spans="1:143" ht="12" hidden="1" customHeight="1" outlineLevel="2">
      <c r="A366" s="77">
        <v>10</v>
      </c>
      <c r="B366" s="137" t="str">
        <f t="shared" si="1070"/>
        <v>AN SR. ADM/CRP - Equipe_01</v>
      </c>
      <c r="C366" s="65"/>
      <c r="D366" s="621"/>
      <c r="E366" s="65"/>
      <c r="F366" s="584"/>
      <c r="G366" s="77" t="str">
        <f>IF(INDEX(Tarefas!$BT$30:$FK$30,MATCH(A366,Tarefas!$BT$28:$FK$28,0))=0,"",INDEX(Tarefas!$BT$30:$FK$30,MATCH(A366,Tarefas!$BT$28:$FK$28,0)))</f>
        <v>AN SR. ADM/CRP</v>
      </c>
      <c r="H366" s="107" cm="1">
        <f t="array" ref="H366">IFERROR((SUMPRODUCT((Tarefas!$N$32:$N$54='Cronog. e Histog.'!$F$357)*(Tarefas!$BQ$30:$FK$30='Cronog. e Histog.'!$G366)*(Tarefas!$BQ$32:$FK$54)))/SUMIF(Tarefas!$N$32:$N$54,'Cronog. e Histog.'!$F$357,Tarefas!$K$32:$K$54),0)</f>
        <v>0</v>
      </c>
      <c r="I366" s="79">
        <f t="shared" si="1071"/>
        <v>0</v>
      </c>
      <c r="J366" s="65"/>
      <c r="K366" s="160">
        <f t="shared" si="1072"/>
        <v>0</v>
      </c>
      <c r="L366" s="160">
        <f t="shared" si="1072"/>
        <v>0</v>
      </c>
      <c r="M366" s="160">
        <f t="shared" si="1072"/>
        <v>0</v>
      </c>
      <c r="N366" s="160">
        <f t="shared" si="1072"/>
        <v>0</v>
      </c>
      <c r="O366" s="160">
        <f t="shared" si="1072"/>
        <v>0</v>
      </c>
      <c r="P366" s="160">
        <f t="shared" si="1072"/>
        <v>0</v>
      </c>
      <c r="Q366" s="160">
        <f t="shared" si="1072"/>
        <v>0</v>
      </c>
      <c r="R366" s="160">
        <f t="shared" si="1072"/>
        <v>0</v>
      </c>
      <c r="S366" s="160">
        <f t="shared" si="1072"/>
        <v>0</v>
      </c>
      <c r="T366" s="160">
        <f t="shared" si="1072"/>
        <v>0</v>
      </c>
      <c r="U366" s="160">
        <f t="shared" si="1072"/>
        <v>0</v>
      </c>
      <c r="V366" s="160">
        <f t="shared" si="1072"/>
        <v>0</v>
      </c>
      <c r="W366" s="160">
        <f t="shared" si="1072"/>
        <v>0</v>
      </c>
      <c r="X366" s="160">
        <f t="shared" si="1072"/>
        <v>0</v>
      </c>
      <c r="Y366" s="160">
        <f t="shared" si="1072"/>
        <v>0</v>
      </c>
      <c r="Z366" s="160">
        <f t="shared" si="1072"/>
        <v>0</v>
      </c>
      <c r="AA366" s="160">
        <f t="shared" si="1073"/>
        <v>0</v>
      </c>
      <c r="AB366" s="160">
        <f t="shared" si="1073"/>
        <v>0</v>
      </c>
      <c r="AC366" s="160">
        <f t="shared" si="1073"/>
        <v>0</v>
      </c>
      <c r="AD366" s="160">
        <f t="shared" si="1073"/>
        <v>0</v>
      </c>
      <c r="AE366" s="160">
        <f t="shared" si="1073"/>
        <v>0</v>
      </c>
      <c r="AF366" s="160">
        <f t="shared" si="1073"/>
        <v>0</v>
      </c>
      <c r="AG366" s="160">
        <f t="shared" si="1073"/>
        <v>0</v>
      </c>
      <c r="AH366" s="160">
        <f t="shared" si="1073"/>
        <v>0</v>
      </c>
      <c r="AI366" s="160">
        <f t="shared" si="1073"/>
        <v>0</v>
      </c>
      <c r="AJ366" s="160">
        <f t="shared" si="1073"/>
        <v>0</v>
      </c>
      <c r="AK366" s="160">
        <f t="shared" si="1073"/>
        <v>0</v>
      </c>
      <c r="AL366" s="160">
        <f t="shared" si="1073"/>
        <v>0</v>
      </c>
      <c r="AM366" s="160">
        <f t="shared" si="1073"/>
        <v>0</v>
      </c>
      <c r="AN366" s="160">
        <f t="shared" si="1073"/>
        <v>0</v>
      </c>
      <c r="AO366" s="160">
        <f t="shared" si="1073"/>
        <v>0</v>
      </c>
      <c r="AP366" s="160">
        <f t="shared" si="1073"/>
        <v>0</v>
      </c>
      <c r="AQ366" s="160">
        <f t="shared" si="1074"/>
        <v>0</v>
      </c>
      <c r="AR366" s="160">
        <f t="shared" si="1074"/>
        <v>0</v>
      </c>
      <c r="AS366" s="160">
        <f t="shared" si="1074"/>
        <v>0</v>
      </c>
      <c r="AT366" s="160">
        <f t="shared" si="1074"/>
        <v>0</v>
      </c>
      <c r="AU366" s="160">
        <f t="shared" si="1074"/>
        <v>0</v>
      </c>
      <c r="AV366" s="160">
        <f t="shared" si="1074"/>
        <v>0</v>
      </c>
      <c r="AW366" s="160">
        <f t="shared" si="1074"/>
        <v>0</v>
      </c>
      <c r="AX366" s="160">
        <f t="shared" si="1074"/>
        <v>0</v>
      </c>
      <c r="AY366" s="160">
        <f t="shared" si="1074"/>
        <v>0</v>
      </c>
      <c r="AZ366" s="160">
        <f t="shared" si="1074"/>
        <v>0</v>
      </c>
      <c r="BA366" s="160">
        <f t="shared" si="1074"/>
        <v>0</v>
      </c>
      <c r="BB366" s="160">
        <f t="shared" si="1074"/>
        <v>0</v>
      </c>
      <c r="BC366" s="160">
        <f t="shared" si="1074"/>
        <v>0</v>
      </c>
      <c r="BD366" s="160">
        <f t="shared" si="1074"/>
        <v>0</v>
      </c>
      <c r="BE366" s="160">
        <f t="shared" si="1074"/>
        <v>0</v>
      </c>
      <c r="BF366" s="160">
        <f t="shared" si="1074"/>
        <v>0</v>
      </c>
      <c r="BG366" s="160">
        <f t="shared" si="1075"/>
        <v>0</v>
      </c>
      <c r="BH366" s="160">
        <f t="shared" si="1075"/>
        <v>0</v>
      </c>
      <c r="BI366" s="160">
        <f t="shared" si="1075"/>
        <v>0</v>
      </c>
      <c r="BJ366" s="160">
        <f t="shared" si="1075"/>
        <v>0</v>
      </c>
      <c r="BK366" s="160">
        <f t="shared" si="1075"/>
        <v>0</v>
      </c>
      <c r="BL366" s="160">
        <f t="shared" si="1075"/>
        <v>0</v>
      </c>
      <c r="BM366" s="160">
        <f t="shared" si="1075"/>
        <v>0</v>
      </c>
      <c r="BN366" s="160">
        <f t="shared" si="1075"/>
        <v>0</v>
      </c>
      <c r="BO366" s="160">
        <f t="shared" si="1075"/>
        <v>0</v>
      </c>
      <c r="BP366" s="160">
        <f t="shared" si="1075"/>
        <v>0</v>
      </c>
      <c r="BQ366" s="160">
        <f t="shared" si="1075"/>
        <v>0</v>
      </c>
      <c r="BR366" s="160">
        <f t="shared" si="1075"/>
        <v>0</v>
      </c>
      <c r="BS366" s="65"/>
      <c r="BT366" s="160">
        <f t="shared" si="1076"/>
        <v>0</v>
      </c>
      <c r="BU366" s="160">
        <f t="shared" si="1077"/>
        <v>0</v>
      </c>
      <c r="BV366" s="65"/>
      <c r="BW366" s="69"/>
      <c r="BX366" s="65"/>
      <c r="BY366" s="137">
        <f t="shared" si="1078"/>
        <v>1</v>
      </c>
      <c r="BZ366" s="137">
        <f>IF(BY366&gt;0,BY366+LARGE($BZ$213:BZ365,1),0)</f>
        <v>130</v>
      </c>
      <c r="CA366" s="137" t="str">
        <f t="shared" si="1079"/>
        <v>AN SR. ADM/CRP</v>
      </c>
      <c r="CB366" s="161">
        <f t="shared" si="1080"/>
        <v>0</v>
      </c>
      <c r="CC366" s="161">
        <f t="shared" si="1081"/>
        <v>0</v>
      </c>
      <c r="CD366" s="161">
        <f t="shared" si="1082"/>
        <v>0</v>
      </c>
      <c r="CE366" s="161">
        <f t="shared" si="1083"/>
        <v>0</v>
      </c>
      <c r="CF366" s="161">
        <f t="shared" si="1084"/>
        <v>0</v>
      </c>
      <c r="CG366" s="161">
        <f t="shared" si="1085"/>
        <v>0</v>
      </c>
      <c r="CH366" s="161">
        <f t="shared" si="1086"/>
        <v>0</v>
      </c>
      <c r="CI366" s="161">
        <f t="shared" si="1087"/>
        <v>0</v>
      </c>
      <c r="CJ366" s="161">
        <f t="shared" si="1088"/>
        <v>0</v>
      </c>
      <c r="CK366" s="161">
        <f t="shared" si="1089"/>
        <v>0</v>
      </c>
      <c r="CL366" s="161">
        <f t="shared" si="1090"/>
        <v>0</v>
      </c>
      <c r="CM366" s="161">
        <f t="shared" si="1091"/>
        <v>0</v>
      </c>
      <c r="CN366" s="161">
        <f t="shared" si="1092"/>
        <v>0</v>
      </c>
      <c r="CO366" s="161">
        <f t="shared" si="1093"/>
        <v>0</v>
      </c>
      <c r="CP366" s="161">
        <f t="shared" si="1094"/>
        <v>0</v>
      </c>
      <c r="CQ366" s="161">
        <f t="shared" si="1095"/>
        <v>0</v>
      </c>
      <c r="CR366" s="161">
        <f t="shared" si="1096"/>
        <v>0</v>
      </c>
      <c r="CS366" s="161">
        <f t="shared" si="1097"/>
        <v>0</v>
      </c>
      <c r="CT366" s="161">
        <f t="shared" si="1098"/>
        <v>0</v>
      </c>
      <c r="CU366" s="161">
        <f t="shared" si="1099"/>
        <v>0</v>
      </c>
      <c r="CV366" s="161">
        <f t="shared" si="1100"/>
        <v>0</v>
      </c>
      <c r="CW366" s="161">
        <f t="shared" si="1101"/>
        <v>0</v>
      </c>
      <c r="CX366" s="161">
        <f t="shared" si="1102"/>
        <v>0</v>
      </c>
      <c r="CY366" s="161">
        <f t="shared" si="1103"/>
        <v>0</v>
      </c>
      <c r="CZ366" s="161">
        <f t="shared" si="1104"/>
        <v>0</v>
      </c>
      <c r="DA366" s="161">
        <f t="shared" si="1105"/>
        <v>0</v>
      </c>
      <c r="DB366" s="161">
        <f t="shared" si="1106"/>
        <v>0</v>
      </c>
      <c r="DC366" s="161">
        <f t="shared" si="1107"/>
        <v>0</v>
      </c>
      <c r="DD366" s="161">
        <f t="shared" si="1108"/>
        <v>0</v>
      </c>
      <c r="DE366" s="161">
        <f t="shared" si="1109"/>
        <v>0</v>
      </c>
      <c r="DF366" s="161">
        <f t="shared" si="1110"/>
        <v>0</v>
      </c>
      <c r="DG366" s="161">
        <f t="shared" si="1111"/>
        <v>0</v>
      </c>
      <c r="DH366" s="161">
        <f t="shared" si="1112"/>
        <v>0</v>
      </c>
      <c r="DI366" s="161">
        <f t="shared" si="1113"/>
        <v>0</v>
      </c>
      <c r="DJ366" s="161">
        <f t="shared" si="1114"/>
        <v>0</v>
      </c>
      <c r="DK366" s="161">
        <f t="shared" si="1115"/>
        <v>0</v>
      </c>
      <c r="DL366" s="161">
        <f t="shared" si="1116"/>
        <v>0</v>
      </c>
      <c r="DM366" s="161">
        <f t="shared" si="1117"/>
        <v>0</v>
      </c>
      <c r="DN366" s="161">
        <f t="shared" si="1118"/>
        <v>0</v>
      </c>
      <c r="DO366" s="161">
        <f t="shared" si="1119"/>
        <v>0</v>
      </c>
      <c r="DP366" s="161">
        <f t="shared" si="1120"/>
        <v>0</v>
      </c>
      <c r="DQ366" s="161">
        <f t="shared" si="1121"/>
        <v>0</v>
      </c>
      <c r="DR366" s="161">
        <f t="shared" si="1122"/>
        <v>0</v>
      </c>
      <c r="DS366" s="161">
        <f t="shared" si="1123"/>
        <v>0</v>
      </c>
      <c r="DT366" s="161">
        <f t="shared" si="1124"/>
        <v>0</v>
      </c>
      <c r="DU366" s="161">
        <f t="shared" si="1125"/>
        <v>0</v>
      </c>
      <c r="DV366" s="161">
        <f t="shared" si="1126"/>
        <v>0</v>
      </c>
      <c r="DW366" s="161">
        <f t="shared" si="1127"/>
        <v>0</v>
      </c>
      <c r="DX366" s="161">
        <f t="shared" si="1128"/>
        <v>0</v>
      </c>
      <c r="DY366" s="161">
        <f t="shared" si="1129"/>
        <v>0</v>
      </c>
      <c r="DZ366" s="161">
        <f t="shared" si="1130"/>
        <v>0</v>
      </c>
      <c r="EA366" s="161">
        <f t="shared" si="1131"/>
        <v>0</v>
      </c>
      <c r="EB366" s="161">
        <f t="shared" si="1132"/>
        <v>0</v>
      </c>
      <c r="EC366" s="161">
        <f t="shared" si="1133"/>
        <v>0</v>
      </c>
      <c r="ED366" s="161">
        <f t="shared" si="1134"/>
        <v>0</v>
      </c>
      <c r="EE366" s="161">
        <f t="shared" si="1135"/>
        <v>0</v>
      </c>
      <c r="EF366" s="161">
        <f t="shared" si="1136"/>
        <v>0</v>
      </c>
      <c r="EG366" s="161">
        <f t="shared" si="1137"/>
        <v>0</v>
      </c>
      <c r="EH366" s="161">
        <f t="shared" si="1138"/>
        <v>0</v>
      </c>
      <c r="EI366" s="161">
        <f t="shared" si="1139"/>
        <v>0</v>
      </c>
      <c r="EJ366" s="65"/>
      <c r="EK366" s="161">
        <f t="shared" si="1140"/>
        <v>0</v>
      </c>
      <c r="EL366" s="161">
        <f t="shared" si="1141"/>
        <v>0</v>
      </c>
      <c r="EM366" s="161">
        <f t="shared" si="1142"/>
        <v>0</v>
      </c>
    </row>
    <row r="367" spans="1:143" ht="12" hidden="1" customHeight="1" outlineLevel="2">
      <c r="A367" s="77">
        <v>11</v>
      </c>
      <c r="B367" s="137" t="str">
        <f t="shared" si="1070"/>
        <v>AN PL. ADM/CRP - Equipe_01</v>
      </c>
      <c r="C367" s="65"/>
      <c r="D367" s="621"/>
      <c r="E367" s="65"/>
      <c r="F367" s="584"/>
      <c r="G367" s="77" t="str">
        <f>IF(INDEX(Tarefas!$BT$30:$FK$30,MATCH(A367,Tarefas!$BT$28:$FK$28,0))=0,"",INDEX(Tarefas!$BT$30:$FK$30,MATCH(A367,Tarefas!$BT$28:$FK$28,0)))</f>
        <v>AN PL. ADM/CRP</v>
      </c>
      <c r="H367" s="107" cm="1">
        <f t="array" ref="H367">IFERROR((SUMPRODUCT((Tarefas!$N$32:$N$54='Cronog. e Histog.'!$F$357)*(Tarefas!$BQ$30:$FK$30='Cronog. e Histog.'!$G367)*(Tarefas!$BQ$32:$FK$54)))/SUMIF(Tarefas!$N$32:$N$54,'Cronog. e Histog.'!$F$357,Tarefas!$K$32:$K$54),0)</f>
        <v>0</v>
      </c>
      <c r="I367" s="79">
        <f t="shared" si="1071"/>
        <v>0</v>
      </c>
      <c r="J367" s="65"/>
      <c r="K367" s="160">
        <f t="shared" si="1072"/>
        <v>0</v>
      </c>
      <c r="L367" s="160">
        <f t="shared" si="1072"/>
        <v>0</v>
      </c>
      <c r="M367" s="160">
        <f t="shared" si="1072"/>
        <v>0</v>
      </c>
      <c r="N367" s="160">
        <f t="shared" si="1072"/>
        <v>0</v>
      </c>
      <c r="O367" s="160">
        <f t="shared" si="1072"/>
        <v>0</v>
      </c>
      <c r="P367" s="160">
        <f t="shared" si="1072"/>
        <v>0</v>
      </c>
      <c r="Q367" s="160">
        <f t="shared" si="1072"/>
        <v>0</v>
      </c>
      <c r="R367" s="160">
        <f t="shared" si="1072"/>
        <v>0</v>
      </c>
      <c r="S367" s="160">
        <f t="shared" si="1072"/>
        <v>0</v>
      </c>
      <c r="T367" s="160">
        <f t="shared" si="1072"/>
        <v>0</v>
      </c>
      <c r="U367" s="160">
        <f t="shared" si="1072"/>
        <v>0</v>
      </c>
      <c r="V367" s="160">
        <f t="shared" si="1072"/>
        <v>0</v>
      </c>
      <c r="W367" s="160">
        <f t="shared" si="1072"/>
        <v>0</v>
      </c>
      <c r="X367" s="160">
        <f t="shared" si="1072"/>
        <v>0</v>
      </c>
      <c r="Y367" s="160">
        <f t="shared" si="1072"/>
        <v>0</v>
      </c>
      <c r="Z367" s="160">
        <f t="shared" si="1072"/>
        <v>0</v>
      </c>
      <c r="AA367" s="160">
        <f t="shared" si="1073"/>
        <v>0</v>
      </c>
      <c r="AB367" s="160">
        <f t="shared" si="1073"/>
        <v>0</v>
      </c>
      <c r="AC367" s="160">
        <f t="shared" si="1073"/>
        <v>0</v>
      </c>
      <c r="AD367" s="160">
        <f t="shared" si="1073"/>
        <v>0</v>
      </c>
      <c r="AE367" s="160">
        <f t="shared" si="1073"/>
        <v>0</v>
      </c>
      <c r="AF367" s="160">
        <f t="shared" si="1073"/>
        <v>0</v>
      </c>
      <c r="AG367" s="160">
        <f t="shared" si="1073"/>
        <v>0</v>
      </c>
      <c r="AH367" s="160">
        <f t="shared" si="1073"/>
        <v>0</v>
      </c>
      <c r="AI367" s="160">
        <f t="shared" si="1073"/>
        <v>0</v>
      </c>
      <c r="AJ367" s="160">
        <f t="shared" si="1073"/>
        <v>0</v>
      </c>
      <c r="AK367" s="160">
        <f t="shared" si="1073"/>
        <v>0</v>
      </c>
      <c r="AL367" s="160">
        <f t="shared" si="1073"/>
        <v>0</v>
      </c>
      <c r="AM367" s="160">
        <f t="shared" si="1073"/>
        <v>0</v>
      </c>
      <c r="AN367" s="160">
        <f t="shared" si="1073"/>
        <v>0</v>
      </c>
      <c r="AO367" s="160">
        <f t="shared" si="1073"/>
        <v>0</v>
      </c>
      <c r="AP367" s="160">
        <f t="shared" si="1073"/>
        <v>0</v>
      </c>
      <c r="AQ367" s="160">
        <f t="shared" si="1074"/>
        <v>0</v>
      </c>
      <c r="AR367" s="160">
        <f t="shared" si="1074"/>
        <v>0</v>
      </c>
      <c r="AS367" s="160">
        <f t="shared" si="1074"/>
        <v>0</v>
      </c>
      <c r="AT367" s="160">
        <f t="shared" si="1074"/>
        <v>0</v>
      </c>
      <c r="AU367" s="160">
        <f t="shared" si="1074"/>
        <v>0</v>
      </c>
      <c r="AV367" s="160">
        <f t="shared" si="1074"/>
        <v>0</v>
      </c>
      <c r="AW367" s="160">
        <f t="shared" si="1074"/>
        <v>0</v>
      </c>
      <c r="AX367" s="160">
        <f t="shared" si="1074"/>
        <v>0</v>
      </c>
      <c r="AY367" s="160">
        <f t="shared" si="1074"/>
        <v>0</v>
      </c>
      <c r="AZ367" s="160">
        <f t="shared" si="1074"/>
        <v>0</v>
      </c>
      <c r="BA367" s="160">
        <f t="shared" si="1074"/>
        <v>0</v>
      </c>
      <c r="BB367" s="160">
        <f t="shared" si="1074"/>
        <v>0</v>
      </c>
      <c r="BC367" s="160">
        <f t="shared" si="1074"/>
        <v>0</v>
      </c>
      <c r="BD367" s="160">
        <f t="shared" si="1074"/>
        <v>0</v>
      </c>
      <c r="BE367" s="160">
        <f t="shared" si="1074"/>
        <v>0</v>
      </c>
      <c r="BF367" s="160">
        <f t="shared" si="1074"/>
        <v>0</v>
      </c>
      <c r="BG367" s="160">
        <f t="shared" si="1075"/>
        <v>0</v>
      </c>
      <c r="BH367" s="160">
        <f t="shared" si="1075"/>
        <v>0</v>
      </c>
      <c r="BI367" s="160">
        <f t="shared" si="1075"/>
        <v>0</v>
      </c>
      <c r="BJ367" s="160">
        <f t="shared" si="1075"/>
        <v>0</v>
      </c>
      <c r="BK367" s="160">
        <f t="shared" si="1075"/>
        <v>0</v>
      </c>
      <c r="BL367" s="160">
        <f t="shared" si="1075"/>
        <v>0</v>
      </c>
      <c r="BM367" s="160">
        <f t="shared" si="1075"/>
        <v>0</v>
      </c>
      <c r="BN367" s="160">
        <f t="shared" si="1075"/>
        <v>0</v>
      </c>
      <c r="BO367" s="160">
        <f t="shared" si="1075"/>
        <v>0</v>
      </c>
      <c r="BP367" s="160">
        <f t="shared" si="1075"/>
        <v>0</v>
      </c>
      <c r="BQ367" s="160">
        <f t="shared" si="1075"/>
        <v>0</v>
      </c>
      <c r="BR367" s="160">
        <f t="shared" si="1075"/>
        <v>0</v>
      </c>
      <c r="BS367" s="65"/>
      <c r="BT367" s="160">
        <f t="shared" si="1076"/>
        <v>0</v>
      </c>
      <c r="BU367" s="160">
        <f t="shared" si="1077"/>
        <v>0</v>
      </c>
      <c r="BV367" s="65"/>
      <c r="BW367" s="69"/>
      <c r="BX367" s="65"/>
      <c r="BY367" s="137">
        <f t="shared" si="1078"/>
        <v>1</v>
      </c>
      <c r="BZ367" s="137">
        <f>IF(BY367&gt;0,BY367+LARGE($BZ$213:BZ366,1),0)</f>
        <v>131</v>
      </c>
      <c r="CA367" s="137" t="str">
        <f t="shared" si="1079"/>
        <v>AN PL. ADM/CRP</v>
      </c>
      <c r="CB367" s="161">
        <f t="shared" si="1080"/>
        <v>0</v>
      </c>
      <c r="CC367" s="161">
        <f t="shared" si="1081"/>
        <v>0</v>
      </c>
      <c r="CD367" s="161">
        <f t="shared" si="1082"/>
        <v>0</v>
      </c>
      <c r="CE367" s="161">
        <f t="shared" si="1083"/>
        <v>0</v>
      </c>
      <c r="CF367" s="161">
        <f t="shared" si="1084"/>
        <v>0</v>
      </c>
      <c r="CG367" s="161">
        <f t="shared" si="1085"/>
        <v>0</v>
      </c>
      <c r="CH367" s="161">
        <f t="shared" si="1086"/>
        <v>0</v>
      </c>
      <c r="CI367" s="161">
        <f t="shared" si="1087"/>
        <v>0</v>
      </c>
      <c r="CJ367" s="161">
        <f t="shared" si="1088"/>
        <v>0</v>
      </c>
      <c r="CK367" s="161">
        <f t="shared" si="1089"/>
        <v>0</v>
      </c>
      <c r="CL367" s="161">
        <f t="shared" si="1090"/>
        <v>0</v>
      </c>
      <c r="CM367" s="161">
        <f t="shared" si="1091"/>
        <v>0</v>
      </c>
      <c r="CN367" s="161">
        <f t="shared" si="1092"/>
        <v>0</v>
      </c>
      <c r="CO367" s="161">
        <f t="shared" si="1093"/>
        <v>0</v>
      </c>
      <c r="CP367" s="161">
        <f t="shared" si="1094"/>
        <v>0</v>
      </c>
      <c r="CQ367" s="161">
        <f t="shared" si="1095"/>
        <v>0</v>
      </c>
      <c r="CR367" s="161">
        <f t="shared" si="1096"/>
        <v>0</v>
      </c>
      <c r="CS367" s="161">
        <f t="shared" si="1097"/>
        <v>0</v>
      </c>
      <c r="CT367" s="161">
        <f t="shared" si="1098"/>
        <v>0</v>
      </c>
      <c r="CU367" s="161">
        <f t="shared" si="1099"/>
        <v>0</v>
      </c>
      <c r="CV367" s="161">
        <f t="shared" si="1100"/>
        <v>0</v>
      </c>
      <c r="CW367" s="161">
        <f t="shared" si="1101"/>
        <v>0</v>
      </c>
      <c r="CX367" s="161">
        <f t="shared" si="1102"/>
        <v>0</v>
      </c>
      <c r="CY367" s="161">
        <f t="shared" si="1103"/>
        <v>0</v>
      </c>
      <c r="CZ367" s="161">
        <f t="shared" si="1104"/>
        <v>0</v>
      </c>
      <c r="DA367" s="161">
        <f t="shared" si="1105"/>
        <v>0</v>
      </c>
      <c r="DB367" s="161">
        <f t="shared" si="1106"/>
        <v>0</v>
      </c>
      <c r="DC367" s="161">
        <f t="shared" si="1107"/>
        <v>0</v>
      </c>
      <c r="DD367" s="161">
        <f t="shared" si="1108"/>
        <v>0</v>
      </c>
      <c r="DE367" s="161">
        <f t="shared" si="1109"/>
        <v>0</v>
      </c>
      <c r="DF367" s="161">
        <f t="shared" si="1110"/>
        <v>0</v>
      </c>
      <c r="DG367" s="161">
        <f t="shared" si="1111"/>
        <v>0</v>
      </c>
      <c r="DH367" s="161">
        <f t="shared" si="1112"/>
        <v>0</v>
      </c>
      <c r="DI367" s="161">
        <f t="shared" si="1113"/>
        <v>0</v>
      </c>
      <c r="DJ367" s="161">
        <f t="shared" si="1114"/>
        <v>0</v>
      </c>
      <c r="DK367" s="161">
        <f t="shared" si="1115"/>
        <v>0</v>
      </c>
      <c r="DL367" s="161">
        <f t="shared" si="1116"/>
        <v>0</v>
      </c>
      <c r="DM367" s="161">
        <f t="shared" si="1117"/>
        <v>0</v>
      </c>
      <c r="DN367" s="161">
        <f t="shared" si="1118"/>
        <v>0</v>
      </c>
      <c r="DO367" s="161">
        <f t="shared" si="1119"/>
        <v>0</v>
      </c>
      <c r="DP367" s="161">
        <f t="shared" si="1120"/>
        <v>0</v>
      </c>
      <c r="DQ367" s="161">
        <f t="shared" si="1121"/>
        <v>0</v>
      </c>
      <c r="DR367" s="161">
        <f t="shared" si="1122"/>
        <v>0</v>
      </c>
      <c r="DS367" s="161">
        <f t="shared" si="1123"/>
        <v>0</v>
      </c>
      <c r="DT367" s="161">
        <f t="shared" si="1124"/>
        <v>0</v>
      </c>
      <c r="DU367" s="161">
        <f t="shared" si="1125"/>
        <v>0</v>
      </c>
      <c r="DV367" s="161">
        <f t="shared" si="1126"/>
        <v>0</v>
      </c>
      <c r="DW367" s="161">
        <f t="shared" si="1127"/>
        <v>0</v>
      </c>
      <c r="DX367" s="161">
        <f t="shared" si="1128"/>
        <v>0</v>
      </c>
      <c r="DY367" s="161">
        <f t="shared" si="1129"/>
        <v>0</v>
      </c>
      <c r="DZ367" s="161">
        <f t="shared" si="1130"/>
        <v>0</v>
      </c>
      <c r="EA367" s="161">
        <f t="shared" si="1131"/>
        <v>0</v>
      </c>
      <c r="EB367" s="161">
        <f t="shared" si="1132"/>
        <v>0</v>
      </c>
      <c r="EC367" s="161">
        <f t="shared" si="1133"/>
        <v>0</v>
      </c>
      <c r="ED367" s="161">
        <f t="shared" si="1134"/>
        <v>0</v>
      </c>
      <c r="EE367" s="161">
        <f t="shared" si="1135"/>
        <v>0</v>
      </c>
      <c r="EF367" s="161">
        <f t="shared" si="1136"/>
        <v>0</v>
      </c>
      <c r="EG367" s="161">
        <f t="shared" si="1137"/>
        <v>0</v>
      </c>
      <c r="EH367" s="161">
        <f t="shared" si="1138"/>
        <v>0</v>
      </c>
      <c r="EI367" s="161">
        <f t="shared" si="1139"/>
        <v>0</v>
      </c>
      <c r="EJ367" s="65"/>
      <c r="EK367" s="161">
        <f t="shared" si="1140"/>
        <v>0</v>
      </c>
      <c r="EL367" s="161">
        <f t="shared" si="1141"/>
        <v>0</v>
      </c>
      <c r="EM367" s="161">
        <f t="shared" si="1142"/>
        <v>0</v>
      </c>
    </row>
    <row r="368" spans="1:143" ht="12" hidden="1" customHeight="1" outlineLevel="2">
      <c r="A368" s="77">
        <v>12</v>
      </c>
      <c r="B368" s="137" t="str">
        <f t="shared" si="1070"/>
        <v>AN JR. ADM/CRP - Equipe_01</v>
      </c>
      <c r="C368" s="65"/>
      <c r="D368" s="622"/>
      <c r="E368" s="65"/>
      <c r="F368" s="584"/>
      <c r="G368" s="77" t="str">
        <f>IF(INDEX(Tarefas!$BT$30:$FK$30,MATCH(A368,Tarefas!$BT$28:$FK$28,0))=0,"",INDEX(Tarefas!$BT$30:$FK$30,MATCH(A368,Tarefas!$BT$28:$FK$28,0)))</f>
        <v>AN JR. ADM/CRP</v>
      </c>
      <c r="H368" s="107" cm="1">
        <f t="array" ref="H368">IFERROR((SUMPRODUCT((Tarefas!$N$32:$N$54='Cronog. e Histog.'!$F$357)*(Tarefas!$BQ$30:$FK$30='Cronog. e Histog.'!$G368)*(Tarefas!$BQ$32:$FK$54)))/SUMIF(Tarefas!$N$32:$N$54,'Cronog. e Histog.'!$F$357,Tarefas!$K$32:$K$54),0)</f>
        <v>0</v>
      </c>
      <c r="I368" s="79">
        <f t="shared" si="1071"/>
        <v>0</v>
      </c>
      <c r="J368" s="65"/>
      <c r="K368" s="160">
        <f t="shared" ref="K368:Z376" si="1143">ROUND($I368*K$189,2)</f>
        <v>0</v>
      </c>
      <c r="L368" s="160">
        <f t="shared" si="1143"/>
        <v>0</v>
      </c>
      <c r="M368" s="160">
        <f t="shared" si="1143"/>
        <v>0</v>
      </c>
      <c r="N368" s="160">
        <f t="shared" si="1143"/>
        <v>0</v>
      </c>
      <c r="O368" s="160">
        <f t="shared" si="1143"/>
        <v>0</v>
      </c>
      <c r="P368" s="160">
        <f t="shared" si="1143"/>
        <v>0</v>
      </c>
      <c r="Q368" s="160">
        <f t="shared" si="1143"/>
        <v>0</v>
      </c>
      <c r="R368" s="160">
        <f t="shared" si="1143"/>
        <v>0</v>
      </c>
      <c r="S368" s="160">
        <f t="shared" si="1143"/>
        <v>0</v>
      </c>
      <c r="T368" s="160">
        <f t="shared" si="1143"/>
        <v>0</v>
      </c>
      <c r="U368" s="160">
        <f t="shared" si="1143"/>
        <v>0</v>
      </c>
      <c r="V368" s="160">
        <f t="shared" si="1143"/>
        <v>0</v>
      </c>
      <c r="W368" s="160">
        <f t="shared" si="1143"/>
        <v>0</v>
      </c>
      <c r="X368" s="160">
        <f t="shared" si="1143"/>
        <v>0</v>
      </c>
      <c r="Y368" s="160">
        <f t="shared" si="1143"/>
        <v>0</v>
      </c>
      <c r="Z368" s="160">
        <f t="shared" si="1143"/>
        <v>0</v>
      </c>
      <c r="AA368" s="160">
        <f t="shared" si="1005"/>
        <v>0</v>
      </c>
      <c r="AB368" s="160">
        <f t="shared" si="1005"/>
        <v>0</v>
      </c>
      <c r="AC368" s="160">
        <f t="shared" si="1005"/>
        <v>0</v>
      </c>
      <c r="AD368" s="160">
        <f t="shared" si="1005"/>
        <v>0</v>
      </c>
      <c r="AE368" s="160">
        <f t="shared" si="1005"/>
        <v>0</v>
      </c>
      <c r="AF368" s="160">
        <f t="shared" si="1005"/>
        <v>0</v>
      </c>
      <c r="AG368" s="160">
        <f t="shared" si="1005"/>
        <v>0</v>
      </c>
      <c r="AH368" s="160">
        <f t="shared" si="1005"/>
        <v>0</v>
      </c>
      <c r="AI368" s="160">
        <f t="shared" si="1005"/>
        <v>0</v>
      </c>
      <c r="AJ368" s="160">
        <f t="shared" si="1005"/>
        <v>0</v>
      </c>
      <c r="AK368" s="160">
        <f t="shared" si="1005"/>
        <v>0</v>
      </c>
      <c r="AL368" s="160">
        <f t="shared" si="1005"/>
        <v>0</v>
      </c>
      <c r="AM368" s="160">
        <f t="shared" si="1005"/>
        <v>0</v>
      </c>
      <c r="AN368" s="160">
        <f t="shared" si="1005"/>
        <v>0</v>
      </c>
      <c r="AO368" s="160">
        <f t="shared" si="1005"/>
        <v>0</v>
      </c>
      <c r="AP368" s="160">
        <f t="shared" si="1005"/>
        <v>0</v>
      </c>
      <c r="AQ368" s="160">
        <f t="shared" si="1005"/>
        <v>0</v>
      </c>
      <c r="AR368" s="160">
        <f t="shared" si="1005"/>
        <v>0</v>
      </c>
      <c r="AS368" s="160">
        <f t="shared" si="1005"/>
        <v>0</v>
      </c>
      <c r="AT368" s="160">
        <f t="shared" si="1005"/>
        <v>0</v>
      </c>
      <c r="AU368" s="160">
        <f t="shared" si="1005"/>
        <v>0</v>
      </c>
      <c r="AV368" s="160">
        <f t="shared" si="1005"/>
        <v>0</v>
      </c>
      <c r="AW368" s="160">
        <f t="shared" si="1005"/>
        <v>0</v>
      </c>
      <c r="AX368" s="160">
        <f t="shared" si="1005"/>
        <v>0</v>
      </c>
      <c r="AY368" s="160">
        <f t="shared" si="1005"/>
        <v>0</v>
      </c>
      <c r="AZ368" s="160">
        <f t="shared" si="1005"/>
        <v>0</v>
      </c>
      <c r="BA368" s="160">
        <f t="shared" si="1005"/>
        <v>0</v>
      </c>
      <c r="BB368" s="160">
        <f t="shared" si="1005"/>
        <v>0</v>
      </c>
      <c r="BC368" s="160">
        <f t="shared" si="1005"/>
        <v>0</v>
      </c>
      <c r="BD368" s="160">
        <f t="shared" si="1005"/>
        <v>0</v>
      </c>
      <c r="BE368" s="160">
        <f t="shared" si="1005"/>
        <v>0</v>
      </c>
      <c r="BF368" s="160">
        <f t="shared" si="1005"/>
        <v>0</v>
      </c>
      <c r="BG368" s="160">
        <f t="shared" si="1005"/>
        <v>0</v>
      </c>
      <c r="BH368" s="160">
        <f t="shared" si="1005"/>
        <v>0</v>
      </c>
      <c r="BI368" s="160">
        <f t="shared" si="1005"/>
        <v>0</v>
      </c>
      <c r="BJ368" s="160">
        <f t="shared" si="1005"/>
        <v>0</v>
      </c>
      <c r="BK368" s="160">
        <f t="shared" si="1005"/>
        <v>0</v>
      </c>
      <c r="BL368" s="160">
        <f t="shared" si="1005"/>
        <v>0</v>
      </c>
      <c r="BM368" s="160">
        <f t="shared" si="1005"/>
        <v>0</v>
      </c>
      <c r="BN368" s="160">
        <f t="shared" si="1005"/>
        <v>0</v>
      </c>
      <c r="BO368" s="160">
        <f t="shared" si="1005"/>
        <v>0</v>
      </c>
      <c r="BP368" s="160">
        <f t="shared" si="1005"/>
        <v>0</v>
      </c>
      <c r="BQ368" s="160">
        <f t="shared" si="1005"/>
        <v>0</v>
      </c>
      <c r="BR368" s="160">
        <f t="shared" si="1005"/>
        <v>0</v>
      </c>
      <c r="BS368" s="65"/>
      <c r="BT368" s="160">
        <f t="shared" si="1006"/>
        <v>0</v>
      </c>
      <c r="BU368" s="160">
        <f t="shared" si="1007"/>
        <v>0</v>
      </c>
      <c r="BV368" s="65"/>
      <c r="BW368" s="69"/>
      <c r="BX368" s="65"/>
      <c r="BY368" s="137">
        <f t="shared" si="1008"/>
        <v>1</v>
      </c>
      <c r="BZ368" s="137">
        <f>IF(BY368&gt;0,BY368+LARGE($BZ$213:BZ367,1),0)</f>
        <v>132</v>
      </c>
      <c r="CA368" s="137" t="str">
        <f t="shared" si="1009"/>
        <v>AN JR. ADM/CRP</v>
      </c>
      <c r="CB368" s="161">
        <f t="shared" si="1010"/>
        <v>0</v>
      </c>
      <c r="CC368" s="161">
        <f t="shared" si="1011"/>
        <v>0</v>
      </c>
      <c r="CD368" s="161">
        <f t="shared" si="1012"/>
        <v>0</v>
      </c>
      <c r="CE368" s="161">
        <f t="shared" si="1013"/>
        <v>0</v>
      </c>
      <c r="CF368" s="161">
        <f t="shared" si="1014"/>
        <v>0</v>
      </c>
      <c r="CG368" s="161">
        <f t="shared" si="1015"/>
        <v>0</v>
      </c>
      <c r="CH368" s="161">
        <f t="shared" si="1016"/>
        <v>0</v>
      </c>
      <c r="CI368" s="161">
        <f t="shared" si="1017"/>
        <v>0</v>
      </c>
      <c r="CJ368" s="161">
        <f t="shared" si="1018"/>
        <v>0</v>
      </c>
      <c r="CK368" s="161">
        <f t="shared" si="1019"/>
        <v>0</v>
      </c>
      <c r="CL368" s="161">
        <f t="shared" si="1020"/>
        <v>0</v>
      </c>
      <c r="CM368" s="161">
        <f t="shared" si="1021"/>
        <v>0</v>
      </c>
      <c r="CN368" s="161">
        <f t="shared" si="1022"/>
        <v>0</v>
      </c>
      <c r="CO368" s="161">
        <f t="shared" si="1023"/>
        <v>0</v>
      </c>
      <c r="CP368" s="161">
        <f t="shared" si="1024"/>
        <v>0</v>
      </c>
      <c r="CQ368" s="161">
        <f t="shared" si="1025"/>
        <v>0</v>
      </c>
      <c r="CR368" s="161">
        <f t="shared" si="1026"/>
        <v>0</v>
      </c>
      <c r="CS368" s="161">
        <f t="shared" si="1027"/>
        <v>0</v>
      </c>
      <c r="CT368" s="161">
        <f t="shared" si="1028"/>
        <v>0</v>
      </c>
      <c r="CU368" s="161">
        <f t="shared" si="1029"/>
        <v>0</v>
      </c>
      <c r="CV368" s="161">
        <f t="shared" si="1030"/>
        <v>0</v>
      </c>
      <c r="CW368" s="161">
        <f t="shared" si="1031"/>
        <v>0</v>
      </c>
      <c r="CX368" s="161">
        <f t="shared" si="1032"/>
        <v>0</v>
      </c>
      <c r="CY368" s="161">
        <f t="shared" si="1033"/>
        <v>0</v>
      </c>
      <c r="CZ368" s="161">
        <f t="shared" si="1034"/>
        <v>0</v>
      </c>
      <c r="DA368" s="161">
        <f t="shared" si="1035"/>
        <v>0</v>
      </c>
      <c r="DB368" s="161">
        <f t="shared" si="1036"/>
        <v>0</v>
      </c>
      <c r="DC368" s="161">
        <f t="shared" si="1037"/>
        <v>0</v>
      </c>
      <c r="DD368" s="161">
        <f t="shared" si="1038"/>
        <v>0</v>
      </c>
      <c r="DE368" s="161">
        <f t="shared" si="1039"/>
        <v>0</v>
      </c>
      <c r="DF368" s="161">
        <f t="shared" si="1040"/>
        <v>0</v>
      </c>
      <c r="DG368" s="161">
        <f t="shared" si="1041"/>
        <v>0</v>
      </c>
      <c r="DH368" s="161">
        <f t="shared" si="1042"/>
        <v>0</v>
      </c>
      <c r="DI368" s="161">
        <f t="shared" si="1043"/>
        <v>0</v>
      </c>
      <c r="DJ368" s="161">
        <f t="shared" si="1044"/>
        <v>0</v>
      </c>
      <c r="DK368" s="161">
        <f t="shared" si="1045"/>
        <v>0</v>
      </c>
      <c r="DL368" s="161">
        <f t="shared" si="1046"/>
        <v>0</v>
      </c>
      <c r="DM368" s="161">
        <f t="shared" si="1047"/>
        <v>0</v>
      </c>
      <c r="DN368" s="161">
        <f t="shared" si="1048"/>
        <v>0</v>
      </c>
      <c r="DO368" s="161">
        <f t="shared" si="1049"/>
        <v>0</v>
      </c>
      <c r="DP368" s="161">
        <f t="shared" si="1050"/>
        <v>0</v>
      </c>
      <c r="DQ368" s="161">
        <f t="shared" si="1051"/>
        <v>0</v>
      </c>
      <c r="DR368" s="161">
        <f t="shared" si="1052"/>
        <v>0</v>
      </c>
      <c r="DS368" s="161">
        <f t="shared" si="1053"/>
        <v>0</v>
      </c>
      <c r="DT368" s="161">
        <f t="shared" si="1054"/>
        <v>0</v>
      </c>
      <c r="DU368" s="161">
        <f t="shared" si="1055"/>
        <v>0</v>
      </c>
      <c r="DV368" s="161">
        <f t="shared" si="1056"/>
        <v>0</v>
      </c>
      <c r="DW368" s="161">
        <f t="shared" si="1057"/>
        <v>0</v>
      </c>
      <c r="DX368" s="161">
        <f t="shared" si="1058"/>
        <v>0</v>
      </c>
      <c r="DY368" s="161">
        <f t="shared" si="1059"/>
        <v>0</v>
      </c>
      <c r="DZ368" s="161">
        <f t="shared" si="1060"/>
        <v>0</v>
      </c>
      <c r="EA368" s="161">
        <f t="shared" si="1061"/>
        <v>0</v>
      </c>
      <c r="EB368" s="161">
        <f t="shared" si="1062"/>
        <v>0</v>
      </c>
      <c r="EC368" s="161">
        <f t="shared" si="1063"/>
        <v>0</v>
      </c>
      <c r="ED368" s="161">
        <f t="shared" si="1064"/>
        <v>0</v>
      </c>
      <c r="EE368" s="161">
        <f t="shared" si="1065"/>
        <v>0</v>
      </c>
      <c r="EF368" s="161">
        <f t="shared" si="1066"/>
        <v>0</v>
      </c>
      <c r="EG368" s="161">
        <f t="shared" si="1067"/>
        <v>0</v>
      </c>
      <c r="EH368" s="161">
        <f t="shared" si="1068"/>
        <v>0</v>
      </c>
      <c r="EI368" s="161">
        <f t="shared" si="1069"/>
        <v>0</v>
      </c>
      <c r="EJ368" s="65"/>
      <c r="EK368" s="161">
        <f t="shared" si="1140"/>
        <v>0</v>
      </c>
      <c r="EL368" s="161">
        <f t="shared" si="1141"/>
        <v>0</v>
      </c>
      <c r="EM368" s="161">
        <f t="shared" si="1142"/>
        <v>0</v>
      </c>
    </row>
    <row r="369" spans="1:143" ht="12" hidden="1" customHeight="1" outlineLevel="2">
      <c r="A369" s="77">
        <v>13</v>
      </c>
      <c r="B369" s="137" t="str">
        <f t="shared" si="1070"/>
        <v>TEC III - Equipe_01</v>
      </c>
      <c r="C369" s="65"/>
      <c r="D369" s="622"/>
      <c r="E369" s="65"/>
      <c r="F369" s="584"/>
      <c r="G369" s="77" t="str">
        <f>IF(INDEX(Tarefas!$BT$30:$FK$30,MATCH(A369,Tarefas!$BT$28:$FK$28,0))=0,"",INDEX(Tarefas!$BT$30:$FK$30,MATCH(A369,Tarefas!$BT$28:$FK$28,0)))</f>
        <v>TEC III</v>
      </c>
      <c r="H369" s="107" cm="1">
        <f t="array" ref="H369">IFERROR((SUMPRODUCT((Tarefas!$N$32:$N$54='Cronog. e Histog.'!$F$357)*(Tarefas!$BQ$30:$FK$30='Cronog. e Histog.'!$G369)*(Tarefas!$BQ$32:$FK$54)))/SUMIF(Tarefas!$N$32:$N$54,'Cronog. e Histog.'!$F$357,Tarefas!$K$32:$K$54),0)</f>
        <v>0</v>
      </c>
      <c r="I369" s="79">
        <f t="shared" si="1071"/>
        <v>0</v>
      </c>
      <c r="J369" s="65"/>
      <c r="K369" s="160">
        <f t="shared" si="1143"/>
        <v>0</v>
      </c>
      <c r="L369" s="160">
        <f t="shared" si="1005"/>
        <v>0</v>
      </c>
      <c r="M369" s="160">
        <f t="shared" si="1005"/>
        <v>0</v>
      </c>
      <c r="N369" s="160">
        <f t="shared" si="1005"/>
        <v>0</v>
      </c>
      <c r="O369" s="160">
        <f t="shared" si="1005"/>
        <v>0</v>
      </c>
      <c r="P369" s="160">
        <f t="shared" si="1005"/>
        <v>0</v>
      </c>
      <c r="Q369" s="160">
        <f t="shared" si="1005"/>
        <v>0</v>
      </c>
      <c r="R369" s="160">
        <f t="shared" si="1005"/>
        <v>0</v>
      </c>
      <c r="S369" s="160">
        <f t="shared" si="1005"/>
        <v>0</v>
      </c>
      <c r="T369" s="160">
        <f t="shared" si="1005"/>
        <v>0</v>
      </c>
      <c r="U369" s="160">
        <f t="shared" si="1005"/>
        <v>0</v>
      </c>
      <c r="V369" s="160">
        <f t="shared" si="1005"/>
        <v>0</v>
      </c>
      <c r="W369" s="160">
        <f t="shared" si="1005"/>
        <v>0</v>
      </c>
      <c r="X369" s="160">
        <f t="shared" si="1005"/>
        <v>0</v>
      </c>
      <c r="Y369" s="160">
        <f t="shared" si="1005"/>
        <v>0</v>
      </c>
      <c r="Z369" s="160">
        <f t="shared" si="1005"/>
        <v>0</v>
      </c>
      <c r="AA369" s="160">
        <f t="shared" si="1005"/>
        <v>0</v>
      </c>
      <c r="AB369" s="160">
        <f t="shared" si="1005"/>
        <v>0</v>
      </c>
      <c r="AC369" s="160">
        <f t="shared" si="1005"/>
        <v>0</v>
      </c>
      <c r="AD369" s="160">
        <f t="shared" si="1005"/>
        <v>0</v>
      </c>
      <c r="AE369" s="160">
        <f t="shared" si="1005"/>
        <v>0</v>
      </c>
      <c r="AF369" s="160">
        <f t="shared" si="1005"/>
        <v>0</v>
      </c>
      <c r="AG369" s="160">
        <f t="shared" si="1005"/>
        <v>0</v>
      </c>
      <c r="AH369" s="160">
        <f t="shared" si="1005"/>
        <v>0</v>
      </c>
      <c r="AI369" s="160">
        <f t="shared" si="1005"/>
        <v>0</v>
      </c>
      <c r="AJ369" s="160">
        <f t="shared" si="1005"/>
        <v>0</v>
      </c>
      <c r="AK369" s="160">
        <f t="shared" si="1005"/>
        <v>0</v>
      </c>
      <c r="AL369" s="160">
        <f t="shared" si="1005"/>
        <v>0</v>
      </c>
      <c r="AM369" s="160">
        <f t="shared" si="1005"/>
        <v>0</v>
      </c>
      <c r="AN369" s="160">
        <f t="shared" si="1005"/>
        <v>0</v>
      </c>
      <c r="AO369" s="160">
        <f t="shared" si="1005"/>
        <v>0</v>
      </c>
      <c r="AP369" s="160">
        <f t="shared" si="1005"/>
        <v>0</v>
      </c>
      <c r="AQ369" s="160">
        <f t="shared" si="1005"/>
        <v>0</v>
      </c>
      <c r="AR369" s="160">
        <f t="shared" si="1005"/>
        <v>0</v>
      </c>
      <c r="AS369" s="160">
        <f t="shared" si="1005"/>
        <v>0</v>
      </c>
      <c r="AT369" s="160">
        <f t="shared" si="1005"/>
        <v>0</v>
      </c>
      <c r="AU369" s="160">
        <f t="shared" si="1005"/>
        <v>0</v>
      </c>
      <c r="AV369" s="160">
        <f t="shared" si="1005"/>
        <v>0</v>
      </c>
      <c r="AW369" s="160">
        <f t="shared" si="1005"/>
        <v>0</v>
      </c>
      <c r="AX369" s="160">
        <f t="shared" si="1005"/>
        <v>0</v>
      </c>
      <c r="AY369" s="160">
        <f t="shared" si="1005"/>
        <v>0</v>
      </c>
      <c r="AZ369" s="160">
        <f t="shared" si="1005"/>
        <v>0</v>
      </c>
      <c r="BA369" s="160">
        <f t="shared" si="1005"/>
        <v>0</v>
      </c>
      <c r="BB369" s="160">
        <f t="shared" si="1005"/>
        <v>0</v>
      </c>
      <c r="BC369" s="160">
        <f t="shared" si="1005"/>
        <v>0</v>
      </c>
      <c r="BD369" s="160">
        <f t="shared" si="1005"/>
        <v>0</v>
      </c>
      <c r="BE369" s="160">
        <f t="shared" si="1005"/>
        <v>0</v>
      </c>
      <c r="BF369" s="160">
        <f t="shared" si="1005"/>
        <v>0</v>
      </c>
      <c r="BG369" s="160">
        <f t="shared" si="1005"/>
        <v>0</v>
      </c>
      <c r="BH369" s="160">
        <f t="shared" si="1005"/>
        <v>0</v>
      </c>
      <c r="BI369" s="160">
        <f t="shared" si="1005"/>
        <v>0</v>
      </c>
      <c r="BJ369" s="160">
        <f t="shared" si="1005"/>
        <v>0</v>
      </c>
      <c r="BK369" s="160">
        <f t="shared" si="1005"/>
        <v>0</v>
      </c>
      <c r="BL369" s="160">
        <f t="shared" si="1005"/>
        <v>0</v>
      </c>
      <c r="BM369" s="160">
        <f t="shared" si="1005"/>
        <v>0</v>
      </c>
      <c r="BN369" s="160">
        <f t="shared" si="1005"/>
        <v>0</v>
      </c>
      <c r="BO369" s="160">
        <f t="shared" si="1005"/>
        <v>0</v>
      </c>
      <c r="BP369" s="160">
        <f t="shared" si="1005"/>
        <v>0</v>
      </c>
      <c r="BQ369" s="160">
        <f t="shared" si="1005"/>
        <v>0</v>
      </c>
      <c r="BR369" s="160">
        <f t="shared" si="1005"/>
        <v>0</v>
      </c>
      <c r="BS369" s="65"/>
      <c r="BT369" s="160">
        <f t="shared" si="1006"/>
        <v>0</v>
      </c>
      <c r="BU369" s="160">
        <f t="shared" si="1007"/>
        <v>0</v>
      </c>
      <c r="BV369" s="65"/>
      <c r="BW369" s="69"/>
      <c r="BX369" s="65"/>
      <c r="BY369" s="137">
        <f t="shared" si="1008"/>
        <v>1</v>
      </c>
      <c r="BZ369" s="137">
        <f>IF(BY369&gt;0,BY369+LARGE($BZ$213:BZ368,1),0)</f>
        <v>133</v>
      </c>
      <c r="CA369" s="137" t="str">
        <f t="shared" si="1009"/>
        <v>TEC III</v>
      </c>
      <c r="CB369" s="161">
        <f t="shared" si="1010"/>
        <v>0</v>
      </c>
      <c r="CC369" s="161">
        <f t="shared" si="1011"/>
        <v>0</v>
      </c>
      <c r="CD369" s="161">
        <f t="shared" si="1012"/>
        <v>0</v>
      </c>
      <c r="CE369" s="161">
        <f t="shared" si="1013"/>
        <v>0</v>
      </c>
      <c r="CF369" s="161">
        <f t="shared" si="1014"/>
        <v>0</v>
      </c>
      <c r="CG369" s="161">
        <f t="shared" si="1015"/>
        <v>0</v>
      </c>
      <c r="CH369" s="161">
        <f t="shared" si="1016"/>
        <v>0</v>
      </c>
      <c r="CI369" s="161">
        <f t="shared" si="1017"/>
        <v>0</v>
      </c>
      <c r="CJ369" s="161">
        <f t="shared" si="1018"/>
        <v>0</v>
      </c>
      <c r="CK369" s="161">
        <f t="shared" si="1019"/>
        <v>0</v>
      </c>
      <c r="CL369" s="161">
        <f t="shared" si="1020"/>
        <v>0</v>
      </c>
      <c r="CM369" s="161">
        <f t="shared" si="1021"/>
        <v>0</v>
      </c>
      <c r="CN369" s="161">
        <f t="shared" si="1022"/>
        <v>0</v>
      </c>
      <c r="CO369" s="161">
        <f t="shared" si="1023"/>
        <v>0</v>
      </c>
      <c r="CP369" s="161">
        <f t="shared" si="1024"/>
        <v>0</v>
      </c>
      <c r="CQ369" s="161">
        <f t="shared" si="1025"/>
        <v>0</v>
      </c>
      <c r="CR369" s="161">
        <f t="shared" si="1026"/>
        <v>0</v>
      </c>
      <c r="CS369" s="161">
        <f t="shared" si="1027"/>
        <v>0</v>
      </c>
      <c r="CT369" s="161">
        <f t="shared" si="1028"/>
        <v>0</v>
      </c>
      <c r="CU369" s="161">
        <f t="shared" si="1029"/>
        <v>0</v>
      </c>
      <c r="CV369" s="161">
        <f t="shared" si="1030"/>
        <v>0</v>
      </c>
      <c r="CW369" s="161">
        <f t="shared" si="1031"/>
        <v>0</v>
      </c>
      <c r="CX369" s="161">
        <f t="shared" si="1032"/>
        <v>0</v>
      </c>
      <c r="CY369" s="161">
        <f t="shared" si="1033"/>
        <v>0</v>
      </c>
      <c r="CZ369" s="161">
        <f t="shared" si="1034"/>
        <v>0</v>
      </c>
      <c r="DA369" s="161">
        <f t="shared" si="1035"/>
        <v>0</v>
      </c>
      <c r="DB369" s="161">
        <f t="shared" si="1036"/>
        <v>0</v>
      </c>
      <c r="DC369" s="161">
        <f t="shared" si="1037"/>
        <v>0</v>
      </c>
      <c r="DD369" s="161">
        <f t="shared" si="1038"/>
        <v>0</v>
      </c>
      <c r="DE369" s="161">
        <f t="shared" si="1039"/>
        <v>0</v>
      </c>
      <c r="DF369" s="161">
        <f t="shared" si="1040"/>
        <v>0</v>
      </c>
      <c r="DG369" s="161">
        <f t="shared" si="1041"/>
        <v>0</v>
      </c>
      <c r="DH369" s="161">
        <f t="shared" si="1042"/>
        <v>0</v>
      </c>
      <c r="DI369" s="161">
        <f t="shared" si="1043"/>
        <v>0</v>
      </c>
      <c r="DJ369" s="161">
        <f t="shared" si="1044"/>
        <v>0</v>
      </c>
      <c r="DK369" s="161">
        <f t="shared" si="1045"/>
        <v>0</v>
      </c>
      <c r="DL369" s="161">
        <f t="shared" si="1046"/>
        <v>0</v>
      </c>
      <c r="DM369" s="161">
        <f t="shared" si="1047"/>
        <v>0</v>
      </c>
      <c r="DN369" s="161">
        <f t="shared" si="1048"/>
        <v>0</v>
      </c>
      <c r="DO369" s="161">
        <f t="shared" si="1049"/>
        <v>0</v>
      </c>
      <c r="DP369" s="161">
        <f t="shared" si="1050"/>
        <v>0</v>
      </c>
      <c r="DQ369" s="161">
        <f t="shared" si="1051"/>
        <v>0</v>
      </c>
      <c r="DR369" s="161">
        <f t="shared" si="1052"/>
        <v>0</v>
      </c>
      <c r="DS369" s="161">
        <f t="shared" si="1053"/>
        <v>0</v>
      </c>
      <c r="DT369" s="161">
        <f t="shared" si="1054"/>
        <v>0</v>
      </c>
      <c r="DU369" s="161">
        <f t="shared" si="1055"/>
        <v>0</v>
      </c>
      <c r="DV369" s="161">
        <f t="shared" si="1056"/>
        <v>0</v>
      </c>
      <c r="DW369" s="161">
        <f t="shared" si="1057"/>
        <v>0</v>
      </c>
      <c r="DX369" s="161">
        <f t="shared" si="1058"/>
        <v>0</v>
      </c>
      <c r="DY369" s="161">
        <f t="shared" si="1059"/>
        <v>0</v>
      </c>
      <c r="DZ369" s="161">
        <f t="shared" si="1060"/>
        <v>0</v>
      </c>
      <c r="EA369" s="161">
        <f t="shared" si="1061"/>
        <v>0</v>
      </c>
      <c r="EB369" s="161">
        <f t="shared" si="1062"/>
        <v>0</v>
      </c>
      <c r="EC369" s="161">
        <f t="shared" si="1063"/>
        <v>0</v>
      </c>
      <c r="ED369" s="161">
        <f t="shared" si="1064"/>
        <v>0</v>
      </c>
      <c r="EE369" s="161">
        <f t="shared" si="1065"/>
        <v>0</v>
      </c>
      <c r="EF369" s="161">
        <f t="shared" si="1066"/>
        <v>0</v>
      </c>
      <c r="EG369" s="161">
        <f t="shared" si="1067"/>
        <v>0</v>
      </c>
      <c r="EH369" s="161">
        <f t="shared" si="1068"/>
        <v>0</v>
      </c>
      <c r="EI369" s="161">
        <f t="shared" si="1069"/>
        <v>0</v>
      </c>
      <c r="EJ369" s="65"/>
      <c r="EK369" s="161">
        <f t="shared" si="1140"/>
        <v>0</v>
      </c>
      <c r="EL369" s="161">
        <f t="shared" si="1141"/>
        <v>0</v>
      </c>
      <c r="EM369" s="161">
        <f t="shared" si="1142"/>
        <v>0</v>
      </c>
    </row>
    <row r="370" spans="1:143" ht="12" hidden="1" customHeight="1" outlineLevel="2">
      <c r="A370" s="77">
        <v>14</v>
      </c>
      <c r="B370" s="137" t="str">
        <f t="shared" si="1070"/>
        <v>TEC II - Equipe_01</v>
      </c>
      <c r="C370" s="65"/>
      <c r="D370" s="622"/>
      <c r="E370" s="65"/>
      <c r="F370" s="584"/>
      <c r="G370" s="77" t="str">
        <f>IF(INDEX(Tarefas!$BT$30:$FK$30,MATCH(A370,Tarefas!$BT$28:$FK$28,0))=0,"",INDEX(Tarefas!$BT$30:$FK$30,MATCH(A370,Tarefas!$BT$28:$FK$28,0)))</f>
        <v>TEC II</v>
      </c>
      <c r="H370" s="107" cm="1">
        <f t="array" ref="H370">IFERROR((SUMPRODUCT((Tarefas!$N$32:$N$54='Cronog. e Histog.'!$F$357)*(Tarefas!$BQ$30:$FK$30='Cronog. e Histog.'!$G370)*(Tarefas!$BQ$32:$FK$54)))/SUMIF(Tarefas!$N$32:$N$54,'Cronog. e Histog.'!$F$357,Tarefas!$K$32:$K$54),0)</f>
        <v>0</v>
      </c>
      <c r="I370" s="79">
        <f t="shared" si="1071"/>
        <v>0</v>
      </c>
      <c r="J370" s="65"/>
      <c r="K370" s="160">
        <f t="shared" si="1143"/>
        <v>0</v>
      </c>
      <c r="L370" s="160">
        <f t="shared" si="1005"/>
        <v>0</v>
      </c>
      <c r="M370" s="160">
        <f t="shared" si="1005"/>
        <v>0</v>
      </c>
      <c r="N370" s="160">
        <f t="shared" si="1005"/>
        <v>0</v>
      </c>
      <c r="O370" s="160">
        <f t="shared" si="1005"/>
        <v>0</v>
      </c>
      <c r="P370" s="160">
        <f t="shared" si="1005"/>
        <v>0</v>
      </c>
      <c r="Q370" s="160">
        <f t="shared" si="1005"/>
        <v>0</v>
      </c>
      <c r="R370" s="160">
        <f t="shared" si="1005"/>
        <v>0</v>
      </c>
      <c r="S370" s="160">
        <f t="shared" si="1005"/>
        <v>0</v>
      </c>
      <c r="T370" s="160">
        <f t="shared" si="1005"/>
        <v>0</v>
      </c>
      <c r="U370" s="160">
        <f t="shared" si="1005"/>
        <v>0</v>
      </c>
      <c r="V370" s="160">
        <f t="shared" si="1005"/>
        <v>0</v>
      </c>
      <c r="W370" s="160">
        <f t="shared" si="1005"/>
        <v>0</v>
      </c>
      <c r="X370" s="160">
        <f t="shared" si="1005"/>
        <v>0</v>
      </c>
      <c r="Y370" s="160">
        <f t="shared" si="1005"/>
        <v>0</v>
      </c>
      <c r="Z370" s="160">
        <f t="shared" si="1005"/>
        <v>0</v>
      </c>
      <c r="AA370" s="160">
        <f t="shared" si="1005"/>
        <v>0</v>
      </c>
      <c r="AB370" s="160">
        <f t="shared" si="1005"/>
        <v>0</v>
      </c>
      <c r="AC370" s="160">
        <f t="shared" si="1005"/>
        <v>0</v>
      </c>
      <c r="AD370" s="160">
        <f t="shared" si="1005"/>
        <v>0</v>
      </c>
      <c r="AE370" s="160">
        <f t="shared" si="1005"/>
        <v>0</v>
      </c>
      <c r="AF370" s="160">
        <f t="shared" si="1005"/>
        <v>0</v>
      </c>
      <c r="AG370" s="160">
        <f t="shared" si="1005"/>
        <v>0</v>
      </c>
      <c r="AH370" s="160">
        <f t="shared" si="1005"/>
        <v>0</v>
      </c>
      <c r="AI370" s="160">
        <f t="shared" si="1005"/>
        <v>0</v>
      </c>
      <c r="AJ370" s="160">
        <f t="shared" si="1005"/>
        <v>0</v>
      </c>
      <c r="AK370" s="160">
        <f t="shared" si="1005"/>
        <v>0</v>
      </c>
      <c r="AL370" s="160">
        <f t="shared" si="1005"/>
        <v>0</v>
      </c>
      <c r="AM370" s="160">
        <f t="shared" si="1005"/>
        <v>0</v>
      </c>
      <c r="AN370" s="160">
        <f t="shared" si="1005"/>
        <v>0</v>
      </c>
      <c r="AO370" s="160">
        <f t="shared" si="1005"/>
        <v>0</v>
      </c>
      <c r="AP370" s="160">
        <f t="shared" si="1005"/>
        <v>0</v>
      </c>
      <c r="AQ370" s="160">
        <f t="shared" si="1005"/>
        <v>0</v>
      </c>
      <c r="AR370" s="160">
        <f t="shared" si="1005"/>
        <v>0</v>
      </c>
      <c r="AS370" s="160">
        <f t="shared" si="1005"/>
        <v>0</v>
      </c>
      <c r="AT370" s="160">
        <f t="shared" si="1005"/>
        <v>0</v>
      </c>
      <c r="AU370" s="160">
        <f t="shared" si="1005"/>
        <v>0</v>
      </c>
      <c r="AV370" s="160">
        <f t="shared" si="1005"/>
        <v>0</v>
      </c>
      <c r="AW370" s="160">
        <f t="shared" si="1005"/>
        <v>0</v>
      </c>
      <c r="AX370" s="160">
        <f t="shared" si="1005"/>
        <v>0</v>
      </c>
      <c r="AY370" s="160">
        <f t="shared" si="1005"/>
        <v>0</v>
      </c>
      <c r="AZ370" s="160">
        <f t="shared" si="1005"/>
        <v>0</v>
      </c>
      <c r="BA370" s="160">
        <f t="shared" si="1005"/>
        <v>0</v>
      </c>
      <c r="BB370" s="160">
        <f t="shared" si="1005"/>
        <v>0</v>
      </c>
      <c r="BC370" s="160">
        <f t="shared" si="1005"/>
        <v>0</v>
      </c>
      <c r="BD370" s="160">
        <f t="shared" si="1005"/>
        <v>0</v>
      </c>
      <c r="BE370" s="160">
        <f t="shared" si="1005"/>
        <v>0</v>
      </c>
      <c r="BF370" s="160">
        <f t="shared" si="1005"/>
        <v>0</v>
      </c>
      <c r="BG370" s="160">
        <f t="shared" si="1005"/>
        <v>0</v>
      </c>
      <c r="BH370" s="160">
        <f t="shared" si="1005"/>
        <v>0</v>
      </c>
      <c r="BI370" s="160">
        <f t="shared" si="1005"/>
        <v>0</v>
      </c>
      <c r="BJ370" s="160">
        <f t="shared" si="1005"/>
        <v>0</v>
      </c>
      <c r="BK370" s="160">
        <f t="shared" si="1005"/>
        <v>0</v>
      </c>
      <c r="BL370" s="160">
        <f t="shared" si="1005"/>
        <v>0</v>
      </c>
      <c r="BM370" s="160">
        <f t="shared" si="1005"/>
        <v>0</v>
      </c>
      <c r="BN370" s="160">
        <f t="shared" si="1005"/>
        <v>0</v>
      </c>
      <c r="BO370" s="160">
        <f t="shared" si="1005"/>
        <v>0</v>
      </c>
      <c r="BP370" s="160">
        <f t="shared" si="1005"/>
        <v>0</v>
      </c>
      <c r="BQ370" s="160">
        <f t="shared" si="1005"/>
        <v>0</v>
      </c>
      <c r="BR370" s="160">
        <f t="shared" si="1005"/>
        <v>0</v>
      </c>
      <c r="BS370" s="65"/>
      <c r="BT370" s="160">
        <f t="shared" si="1006"/>
        <v>0</v>
      </c>
      <c r="BU370" s="160">
        <f t="shared" si="1007"/>
        <v>0</v>
      </c>
      <c r="BV370" s="65"/>
      <c r="BW370" s="69"/>
      <c r="BX370" s="65"/>
      <c r="BY370" s="137">
        <f t="shared" si="1008"/>
        <v>1</v>
      </c>
      <c r="BZ370" s="137">
        <f>IF(BY370&gt;0,BY370+LARGE($BZ$213:BZ369,1),0)</f>
        <v>134</v>
      </c>
      <c r="CA370" s="137" t="str">
        <f t="shared" si="1009"/>
        <v>TEC II</v>
      </c>
      <c r="CB370" s="161">
        <f t="shared" si="1010"/>
        <v>0</v>
      </c>
      <c r="CC370" s="161">
        <f t="shared" si="1011"/>
        <v>0</v>
      </c>
      <c r="CD370" s="161">
        <f t="shared" si="1012"/>
        <v>0</v>
      </c>
      <c r="CE370" s="161">
        <f t="shared" si="1013"/>
        <v>0</v>
      </c>
      <c r="CF370" s="161">
        <f t="shared" si="1014"/>
        <v>0</v>
      </c>
      <c r="CG370" s="161">
        <f t="shared" si="1015"/>
        <v>0</v>
      </c>
      <c r="CH370" s="161">
        <f t="shared" si="1016"/>
        <v>0</v>
      </c>
      <c r="CI370" s="161">
        <f t="shared" si="1017"/>
        <v>0</v>
      </c>
      <c r="CJ370" s="161">
        <f t="shared" si="1018"/>
        <v>0</v>
      </c>
      <c r="CK370" s="161">
        <f t="shared" si="1019"/>
        <v>0</v>
      </c>
      <c r="CL370" s="161">
        <f t="shared" si="1020"/>
        <v>0</v>
      </c>
      <c r="CM370" s="161">
        <f t="shared" si="1021"/>
        <v>0</v>
      </c>
      <c r="CN370" s="161">
        <f t="shared" si="1022"/>
        <v>0</v>
      </c>
      <c r="CO370" s="161">
        <f t="shared" si="1023"/>
        <v>0</v>
      </c>
      <c r="CP370" s="161">
        <f t="shared" si="1024"/>
        <v>0</v>
      </c>
      <c r="CQ370" s="161">
        <f t="shared" si="1025"/>
        <v>0</v>
      </c>
      <c r="CR370" s="161">
        <f t="shared" si="1026"/>
        <v>0</v>
      </c>
      <c r="CS370" s="161">
        <f t="shared" si="1027"/>
        <v>0</v>
      </c>
      <c r="CT370" s="161">
        <f t="shared" si="1028"/>
        <v>0</v>
      </c>
      <c r="CU370" s="161">
        <f t="shared" si="1029"/>
        <v>0</v>
      </c>
      <c r="CV370" s="161">
        <f t="shared" si="1030"/>
        <v>0</v>
      </c>
      <c r="CW370" s="161">
        <f t="shared" si="1031"/>
        <v>0</v>
      </c>
      <c r="CX370" s="161">
        <f t="shared" si="1032"/>
        <v>0</v>
      </c>
      <c r="CY370" s="161">
        <f t="shared" si="1033"/>
        <v>0</v>
      </c>
      <c r="CZ370" s="161">
        <f t="shared" si="1034"/>
        <v>0</v>
      </c>
      <c r="DA370" s="161">
        <f t="shared" si="1035"/>
        <v>0</v>
      </c>
      <c r="DB370" s="161">
        <f t="shared" si="1036"/>
        <v>0</v>
      </c>
      <c r="DC370" s="161">
        <f t="shared" si="1037"/>
        <v>0</v>
      </c>
      <c r="DD370" s="161">
        <f t="shared" si="1038"/>
        <v>0</v>
      </c>
      <c r="DE370" s="161">
        <f t="shared" si="1039"/>
        <v>0</v>
      </c>
      <c r="DF370" s="161">
        <f t="shared" si="1040"/>
        <v>0</v>
      </c>
      <c r="DG370" s="161">
        <f t="shared" si="1041"/>
        <v>0</v>
      </c>
      <c r="DH370" s="161">
        <f t="shared" si="1042"/>
        <v>0</v>
      </c>
      <c r="DI370" s="161">
        <f t="shared" si="1043"/>
        <v>0</v>
      </c>
      <c r="DJ370" s="161">
        <f t="shared" si="1044"/>
        <v>0</v>
      </c>
      <c r="DK370" s="161">
        <f t="shared" si="1045"/>
        <v>0</v>
      </c>
      <c r="DL370" s="161">
        <f t="shared" si="1046"/>
        <v>0</v>
      </c>
      <c r="DM370" s="161">
        <f t="shared" si="1047"/>
        <v>0</v>
      </c>
      <c r="DN370" s="161">
        <f t="shared" si="1048"/>
        <v>0</v>
      </c>
      <c r="DO370" s="161">
        <f t="shared" si="1049"/>
        <v>0</v>
      </c>
      <c r="DP370" s="161">
        <f t="shared" si="1050"/>
        <v>0</v>
      </c>
      <c r="DQ370" s="161">
        <f t="shared" si="1051"/>
        <v>0</v>
      </c>
      <c r="DR370" s="161">
        <f t="shared" si="1052"/>
        <v>0</v>
      </c>
      <c r="DS370" s="161">
        <f t="shared" si="1053"/>
        <v>0</v>
      </c>
      <c r="DT370" s="161">
        <f t="shared" si="1054"/>
        <v>0</v>
      </c>
      <c r="DU370" s="161">
        <f t="shared" si="1055"/>
        <v>0</v>
      </c>
      <c r="DV370" s="161">
        <f t="shared" si="1056"/>
        <v>0</v>
      </c>
      <c r="DW370" s="161">
        <f t="shared" si="1057"/>
        <v>0</v>
      </c>
      <c r="DX370" s="161">
        <f t="shared" si="1058"/>
        <v>0</v>
      </c>
      <c r="DY370" s="161">
        <f t="shared" si="1059"/>
        <v>0</v>
      </c>
      <c r="DZ370" s="161">
        <f t="shared" si="1060"/>
        <v>0</v>
      </c>
      <c r="EA370" s="161">
        <f t="shared" si="1061"/>
        <v>0</v>
      </c>
      <c r="EB370" s="161">
        <f t="shared" si="1062"/>
        <v>0</v>
      </c>
      <c r="EC370" s="161">
        <f t="shared" si="1063"/>
        <v>0</v>
      </c>
      <c r="ED370" s="161">
        <f t="shared" si="1064"/>
        <v>0</v>
      </c>
      <c r="EE370" s="161">
        <f t="shared" si="1065"/>
        <v>0</v>
      </c>
      <c r="EF370" s="161">
        <f t="shared" si="1066"/>
        <v>0</v>
      </c>
      <c r="EG370" s="161">
        <f t="shared" si="1067"/>
        <v>0</v>
      </c>
      <c r="EH370" s="161">
        <f t="shared" si="1068"/>
        <v>0</v>
      </c>
      <c r="EI370" s="161">
        <f t="shared" si="1069"/>
        <v>0</v>
      </c>
      <c r="EJ370" s="65"/>
      <c r="EK370" s="161">
        <f t="shared" si="1140"/>
        <v>0</v>
      </c>
      <c r="EL370" s="161">
        <f t="shared" si="1141"/>
        <v>0</v>
      </c>
      <c r="EM370" s="161">
        <f t="shared" si="1142"/>
        <v>0</v>
      </c>
    </row>
    <row r="371" spans="1:143" ht="12" hidden="1" customHeight="1" outlineLevel="2">
      <c r="A371" s="77">
        <v>15</v>
      </c>
      <c r="B371" s="137" t="str">
        <f t="shared" si="1070"/>
        <v>TEC I - Equipe_01</v>
      </c>
      <c r="C371" s="65"/>
      <c r="D371" s="622"/>
      <c r="E371" s="65"/>
      <c r="F371" s="584"/>
      <c r="G371" s="77" t="str">
        <f>IF(INDEX(Tarefas!$BT$30:$FK$30,MATCH(A371,Tarefas!$BT$28:$FK$28,0))=0,"",INDEX(Tarefas!$BT$30:$FK$30,MATCH(A371,Tarefas!$BT$28:$FK$28,0)))</f>
        <v>TEC I</v>
      </c>
      <c r="H371" s="107" cm="1">
        <f t="array" ref="H371">IFERROR((SUMPRODUCT((Tarefas!$N$32:$N$54='Cronog. e Histog.'!$F$357)*(Tarefas!$BQ$30:$FK$30='Cronog. e Histog.'!$G371)*(Tarefas!$BQ$32:$FK$54)))/SUMIF(Tarefas!$N$32:$N$54,'Cronog. e Histog.'!$F$357,Tarefas!$K$32:$K$54),0)</f>
        <v>0</v>
      </c>
      <c r="I371" s="79">
        <f t="shared" si="1071"/>
        <v>0</v>
      </c>
      <c r="J371" s="65"/>
      <c r="K371" s="160">
        <f t="shared" si="1143"/>
        <v>0</v>
      </c>
      <c r="L371" s="160">
        <f t="shared" si="1005"/>
        <v>0</v>
      </c>
      <c r="M371" s="160">
        <f t="shared" si="1005"/>
        <v>0</v>
      </c>
      <c r="N371" s="160">
        <f t="shared" si="1005"/>
        <v>0</v>
      </c>
      <c r="O371" s="160">
        <f t="shared" si="1005"/>
        <v>0</v>
      </c>
      <c r="P371" s="160">
        <f t="shared" si="1005"/>
        <v>0</v>
      </c>
      <c r="Q371" s="160">
        <f t="shared" si="1005"/>
        <v>0</v>
      </c>
      <c r="R371" s="160">
        <f t="shared" si="1005"/>
        <v>0</v>
      </c>
      <c r="S371" s="160">
        <f t="shared" si="1005"/>
        <v>0</v>
      </c>
      <c r="T371" s="160">
        <f t="shared" si="1005"/>
        <v>0</v>
      </c>
      <c r="U371" s="160">
        <f t="shared" si="1005"/>
        <v>0</v>
      </c>
      <c r="V371" s="160">
        <f t="shared" si="1005"/>
        <v>0</v>
      </c>
      <c r="W371" s="160">
        <f t="shared" si="1005"/>
        <v>0</v>
      </c>
      <c r="X371" s="160">
        <f t="shared" si="1005"/>
        <v>0</v>
      </c>
      <c r="Y371" s="160">
        <f t="shared" si="1005"/>
        <v>0</v>
      </c>
      <c r="Z371" s="160">
        <f t="shared" si="1005"/>
        <v>0</v>
      </c>
      <c r="AA371" s="160">
        <f t="shared" si="1005"/>
        <v>0</v>
      </c>
      <c r="AB371" s="160">
        <f t="shared" si="1005"/>
        <v>0</v>
      </c>
      <c r="AC371" s="160">
        <f t="shared" si="1005"/>
        <v>0</v>
      </c>
      <c r="AD371" s="160">
        <f t="shared" si="1005"/>
        <v>0</v>
      </c>
      <c r="AE371" s="160">
        <f t="shared" si="1005"/>
        <v>0</v>
      </c>
      <c r="AF371" s="160">
        <f t="shared" si="1005"/>
        <v>0</v>
      </c>
      <c r="AG371" s="160">
        <f t="shared" si="1005"/>
        <v>0</v>
      </c>
      <c r="AH371" s="160">
        <f t="shared" si="1005"/>
        <v>0</v>
      </c>
      <c r="AI371" s="160">
        <f t="shared" si="1005"/>
        <v>0</v>
      </c>
      <c r="AJ371" s="160">
        <f t="shared" si="1005"/>
        <v>0</v>
      </c>
      <c r="AK371" s="160">
        <f t="shared" si="1005"/>
        <v>0</v>
      </c>
      <c r="AL371" s="160">
        <f t="shared" si="1005"/>
        <v>0</v>
      </c>
      <c r="AM371" s="160">
        <f t="shared" si="1005"/>
        <v>0</v>
      </c>
      <c r="AN371" s="160">
        <f t="shared" si="1005"/>
        <v>0</v>
      </c>
      <c r="AO371" s="160">
        <f t="shared" si="1005"/>
        <v>0</v>
      </c>
      <c r="AP371" s="160">
        <f t="shared" si="1005"/>
        <v>0</v>
      </c>
      <c r="AQ371" s="160">
        <f t="shared" si="1005"/>
        <v>0</v>
      </c>
      <c r="AR371" s="160">
        <f t="shared" si="1005"/>
        <v>0</v>
      </c>
      <c r="AS371" s="160">
        <f t="shared" si="1005"/>
        <v>0</v>
      </c>
      <c r="AT371" s="160">
        <f t="shared" ref="L371:BR375" si="1144">ROUND($I371*AT$189,2)</f>
        <v>0</v>
      </c>
      <c r="AU371" s="160">
        <f t="shared" si="1144"/>
        <v>0</v>
      </c>
      <c r="AV371" s="160">
        <f t="shared" si="1144"/>
        <v>0</v>
      </c>
      <c r="AW371" s="160">
        <f t="shared" si="1144"/>
        <v>0</v>
      </c>
      <c r="AX371" s="160">
        <f t="shared" si="1144"/>
        <v>0</v>
      </c>
      <c r="AY371" s="160">
        <f t="shared" si="1144"/>
        <v>0</v>
      </c>
      <c r="AZ371" s="160">
        <f t="shared" si="1144"/>
        <v>0</v>
      </c>
      <c r="BA371" s="160">
        <f t="shared" si="1144"/>
        <v>0</v>
      </c>
      <c r="BB371" s="160">
        <f t="shared" si="1144"/>
        <v>0</v>
      </c>
      <c r="BC371" s="160">
        <f t="shared" si="1144"/>
        <v>0</v>
      </c>
      <c r="BD371" s="160">
        <f t="shared" si="1144"/>
        <v>0</v>
      </c>
      <c r="BE371" s="160">
        <f t="shared" si="1144"/>
        <v>0</v>
      </c>
      <c r="BF371" s="160">
        <f t="shared" si="1144"/>
        <v>0</v>
      </c>
      <c r="BG371" s="160">
        <f t="shared" si="1144"/>
        <v>0</v>
      </c>
      <c r="BH371" s="160">
        <f t="shared" si="1144"/>
        <v>0</v>
      </c>
      <c r="BI371" s="160">
        <f t="shared" si="1144"/>
        <v>0</v>
      </c>
      <c r="BJ371" s="160">
        <f t="shared" si="1144"/>
        <v>0</v>
      </c>
      <c r="BK371" s="160">
        <f t="shared" si="1144"/>
        <v>0</v>
      </c>
      <c r="BL371" s="160">
        <f t="shared" si="1144"/>
        <v>0</v>
      </c>
      <c r="BM371" s="160">
        <f t="shared" si="1144"/>
        <v>0</v>
      </c>
      <c r="BN371" s="160">
        <f t="shared" si="1144"/>
        <v>0</v>
      </c>
      <c r="BO371" s="160">
        <f t="shared" si="1144"/>
        <v>0</v>
      </c>
      <c r="BP371" s="160">
        <f t="shared" si="1144"/>
        <v>0</v>
      </c>
      <c r="BQ371" s="160">
        <f t="shared" si="1144"/>
        <v>0</v>
      </c>
      <c r="BR371" s="160">
        <f t="shared" si="1144"/>
        <v>0</v>
      </c>
      <c r="BS371" s="65"/>
      <c r="BT371" s="160">
        <f t="shared" si="1006"/>
        <v>0</v>
      </c>
      <c r="BU371" s="160">
        <f t="shared" si="1007"/>
        <v>0</v>
      </c>
      <c r="BV371" s="65"/>
      <c r="BW371" s="69"/>
      <c r="BX371" s="65"/>
      <c r="BY371" s="137">
        <f t="shared" si="1008"/>
        <v>1</v>
      </c>
      <c r="BZ371" s="137">
        <f>IF(BY371&gt;0,BY371+LARGE($BZ$213:BZ370,1),0)</f>
        <v>135</v>
      </c>
      <c r="CA371" s="137" t="str">
        <f t="shared" si="1009"/>
        <v>TEC I</v>
      </c>
      <c r="CB371" s="161">
        <f t="shared" si="1010"/>
        <v>0</v>
      </c>
      <c r="CC371" s="161">
        <f t="shared" si="1011"/>
        <v>0</v>
      </c>
      <c r="CD371" s="161">
        <f t="shared" si="1012"/>
        <v>0</v>
      </c>
      <c r="CE371" s="161">
        <f t="shared" si="1013"/>
        <v>0</v>
      </c>
      <c r="CF371" s="161">
        <f t="shared" si="1014"/>
        <v>0</v>
      </c>
      <c r="CG371" s="161">
        <f t="shared" si="1015"/>
        <v>0</v>
      </c>
      <c r="CH371" s="161">
        <f t="shared" si="1016"/>
        <v>0</v>
      </c>
      <c r="CI371" s="161">
        <f t="shared" si="1017"/>
        <v>0</v>
      </c>
      <c r="CJ371" s="161">
        <f t="shared" si="1018"/>
        <v>0</v>
      </c>
      <c r="CK371" s="161">
        <f t="shared" si="1019"/>
        <v>0</v>
      </c>
      <c r="CL371" s="161">
        <f t="shared" si="1020"/>
        <v>0</v>
      </c>
      <c r="CM371" s="161">
        <f t="shared" si="1021"/>
        <v>0</v>
      </c>
      <c r="CN371" s="161">
        <f t="shared" si="1022"/>
        <v>0</v>
      </c>
      <c r="CO371" s="161">
        <f t="shared" si="1023"/>
        <v>0</v>
      </c>
      <c r="CP371" s="161">
        <f t="shared" si="1024"/>
        <v>0</v>
      </c>
      <c r="CQ371" s="161">
        <f t="shared" si="1025"/>
        <v>0</v>
      </c>
      <c r="CR371" s="161">
        <f t="shared" si="1026"/>
        <v>0</v>
      </c>
      <c r="CS371" s="161">
        <f t="shared" si="1027"/>
        <v>0</v>
      </c>
      <c r="CT371" s="161">
        <f t="shared" si="1028"/>
        <v>0</v>
      </c>
      <c r="CU371" s="161">
        <f t="shared" si="1029"/>
        <v>0</v>
      </c>
      <c r="CV371" s="161">
        <f t="shared" si="1030"/>
        <v>0</v>
      </c>
      <c r="CW371" s="161">
        <f t="shared" si="1031"/>
        <v>0</v>
      </c>
      <c r="CX371" s="161">
        <f t="shared" si="1032"/>
        <v>0</v>
      </c>
      <c r="CY371" s="161">
        <f t="shared" si="1033"/>
        <v>0</v>
      </c>
      <c r="CZ371" s="161">
        <f t="shared" si="1034"/>
        <v>0</v>
      </c>
      <c r="DA371" s="161">
        <f t="shared" si="1035"/>
        <v>0</v>
      </c>
      <c r="DB371" s="161">
        <f t="shared" si="1036"/>
        <v>0</v>
      </c>
      <c r="DC371" s="161">
        <f t="shared" si="1037"/>
        <v>0</v>
      </c>
      <c r="DD371" s="161">
        <f t="shared" si="1038"/>
        <v>0</v>
      </c>
      <c r="DE371" s="161">
        <f t="shared" si="1039"/>
        <v>0</v>
      </c>
      <c r="DF371" s="161">
        <f t="shared" si="1040"/>
        <v>0</v>
      </c>
      <c r="DG371" s="161">
        <f t="shared" si="1041"/>
        <v>0</v>
      </c>
      <c r="DH371" s="161">
        <f t="shared" si="1042"/>
        <v>0</v>
      </c>
      <c r="DI371" s="161">
        <f t="shared" si="1043"/>
        <v>0</v>
      </c>
      <c r="DJ371" s="161">
        <f t="shared" si="1044"/>
        <v>0</v>
      </c>
      <c r="DK371" s="161">
        <f t="shared" si="1045"/>
        <v>0</v>
      </c>
      <c r="DL371" s="161">
        <f t="shared" si="1046"/>
        <v>0</v>
      </c>
      <c r="DM371" s="161">
        <f t="shared" si="1047"/>
        <v>0</v>
      </c>
      <c r="DN371" s="161">
        <f t="shared" si="1048"/>
        <v>0</v>
      </c>
      <c r="DO371" s="161">
        <f t="shared" si="1049"/>
        <v>0</v>
      </c>
      <c r="DP371" s="161">
        <f t="shared" si="1050"/>
        <v>0</v>
      </c>
      <c r="DQ371" s="161">
        <f t="shared" si="1051"/>
        <v>0</v>
      </c>
      <c r="DR371" s="161">
        <f t="shared" si="1052"/>
        <v>0</v>
      </c>
      <c r="DS371" s="161">
        <f t="shared" si="1053"/>
        <v>0</v>
      </c>
      <c r="DT371" s="161">
        <f t="shared" si="1054"/>
        <v>0</v>
      </c>
      <c r="DU371" s="161">
        <f t="shared" si="1055"/>
        <v>0</v>
      </c>
      <c r="DV371" s="161">
        <f t="shared" si="1056"/>
        <v>0</v>
      </c>
      <c r="DW371" s="161">
        <f t="shared" si="1057"/>
        <v>0</v>
      </c>
      <c r="DX371" s="161">
        <f t="shared" si="1058"/>
        <v>0</v>
      </c>
      <c r="DY371" s="161">
        <f t="shared" si="1059"/>
        <v>0</v>
      </c>
      <c r="DZ371" s="161">
        <f t="shared" si="1060"/>
        <v>0</v>
      </c>
      <c r="EA371" s="161">
        <f t="shared" si="1061"/>
        <v>0</v>
      </c>
      <c r="EB371" s="161">
        <f t="shared" si="1062"/>
        <v>0</v>
      </c>
      <c r="EC371" s="161">
        <f t="shared" si="1063"/>
        <v>0</v>
      </c>
      <c r="ED371" s="161">
        <f t="shared" si="1064"/>
        <v>0</v>
      </c>
      <c r="EE371" s="161">
        <f t="shared" si="1065"/>
        <v>0</v>
      </c>
      <c r="EF371" s="161">
        <f t="shared" si="1066"/>
        <v>0</v>
      </c>
      <c r="EG371" s="161">
        <f t="shared" si="1067"/>
        <v>0</v>
      </c>
      <c r="EH371" s="161">
        <f t="shared" si="1068"/>
        <v>0</v>
      </c>
      <c r="EI371" s="161">
        <f t="shared" si="1069"/>
        <v>0</v>
      </c>
      <c r="EJ371" s="65"/>
      <c r="EK371" s="161">
        <f t="shared" si="1140"/>
        <v>0</v>
      </c>
      <c r="EL371" s="161">
        <f t="shared" si="1141"/>
        <v>0</v>
      </c>
      <c r="EM371" s="161">
        <f t="shared" si="1142"/>
        <v>0</v>
      </c>
    </row>
    <row r="372" spans="1:143" ht="12" hidden="1" customHeight="1" outlineLevel="2">
      <c r="A372" s="77">
        <v>16</v>
      </c>
      <c r="B372" s="137" t="str">
        <f t="shared" si="1070"/>
        <v>AUX TEC - Equipe_01</v>
      </c>
      <c r="C372" s="65"/>
      <c r="D372" s="622"/>
      <c r="E372" s="65"/>
      <c r="F372" s="584"/>
      <c r="G372" s="77" t="str">
        <f>IF(INDEX(Tarefas!$BT$30:$FK$30,MATCH(A372,Tarefas!$BT$28:$FK$28,0))=0,"",INDEX(Tarefas!$BT$30:$FK$30,MATCH(A372,Tarefas!$BT$28:$FK$28,0)))</f>
        <v>AUX TEC</v>
      </c>
      <c r="H372" s="107" cm="1">
        <f t="array" ref="H372">IFERROR((SUMPRODUCT((Tarefas!$N$32:$N$54='Cronog. e Histog.'!$F$357)*(Tarefas!$BQ$30:$FK$30='Cronog. e Histog.'!$G372)*(Tarefas!$BQ$32:$FK$54)))/SUMIF(Tarefas!$N$32:$N$54,'Cronog. e Histog.'!$F$357,Tarefas!$K$32:$K$54),0)</f>
        <v>0</v>
      </c>
      <c r="I372" s="79">
        <f t="shared" si="1071"/>
        <v>0</v>
      </c>
      <c r="J372" s="65"/>
      <c r="K372" s="160">
        <f t="shared" si="1143"/>
        <v>0</v>
      </c>
      <c r="L372" s="160">
        <f t="shared" si="1144"/>
        <v>0</v>
      </c>
      <c r="M372" s="160">
        <f t="shared" si="1144"/>
        <v>0</v>
      </c>
      <c r="N372" s="160">
        <f t="shared" si="1144"/>
        <v>0</v>
      </c>
      <c r="O372" s="160">
        <f t="shared" si="1144"/>
        <v>0</v>
      </c>
      <c r="P372" s="160">
        <f t="shared" si="1144"/>
        <v>0</v>
      </c>
      <c r="Q372" s="160">
        <f t="shared" si="1144"/>
        <v>0</v>
      </c>
      <c r="R372" s="160">
        <f t="shared" si="1144"/>
        <v>0</v>
      </c>
      <c r="S372" s="160">
        <f t="shared" si="1144"/>
        <v>0</v>
      </c>
      <c r="T372" s="160">
        <f t="shared" si="1144"/>
        <v>0</v>
      </c>
      <c r="U372" s="160">
        <f t="shared" si="1144"/>
        <v>0</v>
      </c>
      <c r="V372" s="160">
        <f t="shared" si="1144"/>
        <v>0</v>
      </c>
      <c r="W372" s="160">
        <f t="shared" si="1144"/>
        <v>0</v>
      </c>
      <c r="X372" s="160">
        <f t="shared" si="1144"/>
        <v>0</v>
      </c>
      <c r="Y372" s="160">
        <f t="shared" si="1144"/>
        <v>0</v>
      </c>
      <c r="Z372" s="160">
        <f t="shared" si="1144"/>
        <v>0</v>
      </c>
      <c r="AA372" s="160">
        <f t="shared" si="1144"/>
        <v>0</v>
      </c>
      <c r="AB372" s="160">
        <f t="shared" si="1144"/>
        <v>0</v>
      </c>
      <c r="AC372" s="160">
        <f t="shared" si="1144"/>
        <v>0</v>
      </c>
      <c r="AD372" s="160">
        <f t="shared" si="1144"/>
        <v>0</v>
      </c>
      <c r="AE372" s="160">
        <f t="shared" si="1144"/>
        <v>0</v>
      </c>
      <c r="AF372" s="160">
        <f t="shared" si="1144"/>
        <v>0</v>
      </c>
      <c r="AG372" s="160">
        <f t="shared" si="1144"/>
        <v>0</v>
      </c>
      <c r="AH372" s="160">
        <f t="shared" si="1144"/>
        <v>0</v>
      </c>
      <c r="AI372" s="160">
        <f t="shared" si="1144"/>
        <v>0</v>
      </c>
      <c r="AJ372" s="160">
        <f t="shared" si="1144"/>
        <v>0</v>
      </c>
      <c r="AK372" s="160">
        <f t="shared" si="1144"/>
        <v>0</v>
      </c>
      <c r="AL372" s="160">
        <f t="shared" si="1144"/>
        <v>0</v>
      </c>
      <c r="AM372" s="160">
        <f t="shared" si="1144"/>
        <v>0</v>
      </c>
      <c r="AN372" s="160">
        <f t="shared" si="1144"/>
        <v>0</v>
      </c>
      <c r="AO372" s="160">
        <f t="shared" si="1144"/>
        <v>0</v>
      </c>
      <c r="AP372" s="160">
        <f t="shared" si="1144"/>
        <v>0</v>
      </c>
      <c r="AQ372" s="160">
        <f t="shared" si="1144"/>
        <v>0</v>
      </c>
      <c r="AR372" s="160">
        <f t="shared" si="1144"/>
        <v>0</v>
      </c>
      <c r="AS372" s="160">
        <f t="shared" si="1144"/>
        <v>0</v>
      </c>
      <c r="AT372" s="160">
        <f t="shared" si="1144"/>
        <v>0</v>
      </c>
      <c r="AU372" s="160">
        <f t="shared" si="1144"/>
        <v>0</v>
      </c>
      <c r="AV372" s="160">
        <f t="shared" si="1144"/>
        <v>0</v>
      </c>
      <c r="AW372" s="160">
        <f t="shared" si="1144"/>
        <v>0</v>
      </c>
      <c r="AX372" s="160">
        <f t="shared" si="1144"/>
        <v>0</v>
      </c>
      <c r="AY372" s="160">
        <f t="shared" si="1144"/>
        <v>0</v>
      </c>
      <c r="AZ372" s="160">
        <f t="shared" si="1144"/>
        <v>0</v>
      </c>
      <c r="BA372" s="160">
        <f t="shared" si="1144"/>
        <v>0</v>
      </c>
      <c r="BB372" s="160">
        <f t="shared" si="1144"/>
        <v>0</v>
      </c>
      <c r="BC372" s="160">
        <f t="shared" si="1144"/>
        <v>0</v>
      </c>
      <c r="BD372" s="160">
        <f t="shared" si="1144"/>
        <v>0</v>
      </c>
      <c r="BE372" s="160">
        <f t="shared" si="1144"/>
        <v>0</v>
      </c>
      <c r="BF372" s="160">
        <f t="shared" si="1144"/>
        <v>0</v>
      </c>
      <c r="BG372" s="160">
        <f t="shared" si="1144"/>
        <v>0</v>
      </c>
      <c r="BH372" s="160">
        <f t="shared" si="1144"/>
        <v>0</v>
      </c>
      <c r="BI372" s="160">
        <f t="shared" si="1144"/>
        <v>0</v>
      </c>
      <c r="BJ372" s="160">
        <f t="shared" si="1144"/>
        <v>0</v>
      </c>
      <c r="BK372" s="160">
        <f t="shared" si="1144"/>
        <v>0</v>
      </c>
      <c r="BL372" s="160">
        <f t="shared" si="1144"/>
        <v>0</v>
      </c>
      <c r="BM372" s="160">
        <f t="shared" si="1144"/>
        <v>0</v>
      </c>
      <c r="BN372" s="160">
        <f t="shared" si="1144"/>
        <v>0</v>
      </c>
      <c r="BO372" s="160">
        <f t="shared" si="1144"/>
        <v>0</v>
      </c>
      <c r="BP372" s="160">
        <f t="shared" si="1144"/>
        <v>0</v>
      </c>
      <c r="BQ372" s="160">
        <f t="shared" si="1144"/>
        <v>0</v>
      </c>
      <c r="BR372" s="160">
        <f t="shared" si="1144"/>
        <v>0</v>
      </c>
      <c r="BS372" s="65"/>
      <c r="BT372" s="160">
        <f t="shared" si="1006"/>
        <v>0</v>
      </c>
      <c r="BU372" s="160">
        <f t="shared" si="1007"/>
        <v>0</v>
      </c>
      <c r="BV372" s="65"/>
      <c r="BW372" s="69"/>
      <c r="BX372" s="65"/>
      <c r="BY372" s="137">
        <f t="shared" si="1008"/>
        <v>1</v>
      </c>
      <c r="BZ372" s="137">
        <f>IF(BY372&gt;0,BY372+LARGE($BZ$213:BZ371,1),0)</f>
        <v>136</v>
      </c>
      <c r="CA372" s="137" t="str">
        <f t="shared" si="1009"/>
        <v>AUX TEC</v>
      </c>
      <c r="CB372" s="161">
        <f t="shared" si="1010"/>
        <v>0</v>
      </c>
      <c r="CC372" s="161">
        <f t="shared" si="1011"/>
        <v>0</v>
      </c>
      <c r="CD372" s="161">
        <f t="shared" si="1012"/>
        <v>0</v>
      </c>
      <c r="CE372" s="161">
        <f t="shared" si="1013"/>
        <v>0</v>
      </c>
      <c r="CF372" s="161">
        <f t="shared" si="1014"/>
        <v>0</v>
      </c>
      <c r="CG372" s="161">
        <f t="shared" si="1015"/>
        <v>0</v>
      </c>
      <c r="CH372" s="161">
        <f t="shared" si="1016"/>
        <v>0</v>
      </c>
      <c r="CI372" s="161">
        <f t="shared" si="1017"/>
        <v>0</v>
      </c>
      <c r="CJ372" s="161">
        <f t="shared" si="1018"/>
        <v>0</v>
      </c>
      <c r="CK372" s="161">
        <f t="shared" si="1019"/>
        <v>0</v>
      </c>
      <c r="CL372" s="161">
        <f t="shared" si="1020"/>
        <v>0</v>
      </c>
      <c r="CM372" s="161">
        <f t="shared" si="1021"/>
        <v>0</v>
      </c>
      <c r="CN372" s="161">
        <f t="shared" si="1022"/>
        <v>0</v>
      </c>
      <c r="CO372" s="161">
        <f t="shared" si="1023"/>
        <v>0</v>
      </c>
      <c r="CP372" s="161">
        <f t="shared" si="1024"/>
        <v>0</v>
      </c>
      <c r="CQ372" s="161">
        <f t="shared" si="1025"/>
        <v>0</v>
      </c>
      <c r="CR372" s="161">
        <f t="shared" si="1026"/>
        <v>0</v>
      </c>
      <c r="CS372" s="161">
        <f t="shared" si="1027"/>
        <v>0</v>
      </c>
      <c r="CT372" s="161">
        <f t="shared" si="1028"/>
        <v>0</v>
      </c>
      <c r="CU372" s="161">
        <f t="shared" si="1029"/>
        <v>0</v>
      </c>
      <c r="CV372" s="161">
        <f t="shared" si="1030"/>
        <v>0</v>
      </c>
      <c r="CW372" s="161">
        <f t="shared" si="1031"/>
        <v>0</v>
      </c>
      <c r="CX372" s="161">
        <f t="shared" si="1032"/>
        <v>0</v>
      </c>
      <c r="CY372" s="161">
        <f t="shared" si="1033"/>
        <v>0</v>
      </c>
      <c r="CZ372" s="161">
        <f t="shared" si="1034"/>
        <v>0</v>
      </c>
      <c r="DA372" s="161">
        <f t="shared" si="1035"/>
        <v>0</v>
      </c>
      <c r="DB372" s="161">
        <f t="shared" si="1036"/>
        <v>0</v>
      </c>
      <c r="DC372" s="161">
        <f t="shared" si="1037"/>
        <v>0</v>
      </c>
      <c r="DD372" s="161">
        <f t="shared" si="1038"/>
        <v>0</v>
      </c>
      <c r="DE372" s="161">
        <f t="shared" si="1039"/>
        <v>0</v>
      </c>
      <c r="DF372" s="161">
        <f t="shared" si="1040"/>
        <v>0</v>
      </c>
      <c r="DG372" s="161">
        <f t="shared" si="1041"/>
        <v>0</v>
      </c>
      <c r="DH372" s="161">
        <f t="shared" si="1042"/>
        <v>0</v>
      </c>
      <c r="DI372" s="161">
        <f t="shared" si="1043"/>
        <v>0</v>
      </c>
      <c r="DJ372" s="161">
        <f t="shared" si="1044"/>
        <v>0</v>
      </c>
      <c r="DK372" s="161">
        <f t="shared" si="1045"/>
        <v>0</v>
      </c>
      <c r="DL372" s="161">
        <f t="shared" si="1046"/>
        <v>0</v>
      </c>
      <c r="DM372" s="161">
        <f t="shared" si="1047"/>
        <v>0</v>
      </c>
      <c r="DN372" s="161">
        <f t="shared" si="1048"/>
        <v>0</v>
      </c>
      <c r="DO372" s="161">
        <f t="shared" si="1049"/>
        <v>0</v>
      </c>
      <c r="DP372" s="161">
        <f t="shared" si="1050"/>
        <v>0</v>
      </c>
      <c r="DQ372" s="161">
        <f t="shared" si="1051"/>
        <v>0</v>
      </c>
      <c r="DR372" s="161">
        <f t="shared" si="1052"/>
        <v>0</v>
      </c>
      <c r="DS372" s="161">
        <f t="shared" si="1053"/>
        <v>0</v>
      </c>
      <c r="DT372" s="161">
        <f t="shared" si="1054"/>
        <v>0</v>
      </c>
      <c r="DU372" s="161">
        <f t="shared" si="1055"/>
        <v>0</v>
      </c>
      <c r="DV372" s="161">
        <f t="shared" si="1056"/>
        <v>0</v>
      </c>
      <c r="DW372" s="161">
        <f t="shared" si="1057"/>
        <v>0</v>
      </c>
      <c r="DX372" s="161">
        <f t="shared" si="1058"/>
        <v>0</v>
      </c>
      <c r="DY372" s="161">
        <f t="shared" si="1059"/>
        <v>0</v>
      </c>
      <c r="DZ372" s="161">
        <f t="shared" si="1060"/>
        <v>0</v>
      </c>
      <c r="EA372" s="161">
        <f t="shared" si="1061"/>
        <v>0</v>
      </c>
      <c r="EB372" s="161">
        <f t="shared" si="1062"/>
        <v>0</v>
      </c>
      <c r="EC372" s="161">
        <f t="shared" si="1063"/>
        <v>0</v>
      </c>
      <c r="ED372" s="161">
        <f t="shared" si="1064"/>
        <v>0</v>
      </c>
      <c r="EE372" s="161">
        <f t="shared" si="1065"/>
        <v>0</v>
      </c>
      <c r="EF372" s="161">
        <f t="shared" si="1066"/>
        <v>0</v>
      </c>
      <c r="EG372" s="161">
        <f t="shared" si="1067"/>
        <v>0</v>
      </c>
      <c r="EH372" s="161">
        <f t="shared" si="1068"/>
        <v>0</v>
      </c>
      <c r="EI372" s="161">
        <f t="shared" si="1069"/>
        <v>0</v>
      </c>
      <c r="EJ372" s="65"/>
      <c r="EK372" s="161">
        <f t="shared" si="1140"/>
        <v>0</v>
      </c>
      <c r="EL372" s="161">
        <f t="shared" si="1141"/>
        <v>0</v>
      </c>
      <c r="EM372" s="161">
        <f t="shared" si="1142"/>
        <v>0</v>
      </c>
    </row>
    <row r="373" spans="1:143" ht="12" hidden="1" customHeight="1" outlineLevel="2">
      <c r="A373" s="77">
        <v>17</v>
      </c>
      <c r="B373" s="137" t="str">
        <f t="shared" si="1070"/>
        <v>AUX ADM - Equipe_01</v>
      </c>
      <c r="C373" s="65"/>
      <c r="D373" s="622"/>
      <c r="E373" s="65"/>
      <c r="F373" s="584"/>
      <c r="G373" s="77" t="str">
        <f>IF(INDEX(Tarefas!$BT$30:$FK$30,MATCH(A373,Tarefas!$BT$28:$FK$28,0))=0,"",INDEX(Tarefas!$BT$30:$FK$30,MATCH(A373,Tarefas!$BT$28:$FK$28,0)))</f>
        <v>AUX ADM</v>
      </c>
      <c r="H373" s="107" cm="1">
        <f t="array" ref="H373">IFERROR((SUMPRODUCT((Tarefas!$N$32:$N$54='Cronog. e Histog.'!$F$357)*(Tarefas!$BQ$30:$FK$30='Cronog. e Histog.'!$G373)*(Tarefas!$BQ$32:$FK$54)))/SUMIF(Tarefas!$N$32:$N$54,'Cronog. e Histog.'!$F$357,Tarefas!$K$32:$K$54),0)</f>
        <v>0</v>
      </c>
      <c r="I373" s="79">
        <f t="shared" si="1071"/>
        <v>0</v>
      </c>
      <c r="J373" s="65"/>
      <c r="K373" s="160">
        <f t="shared" si="1143"/>
        <v>0</v>
      </c>
      <c r="L373" s="160">
        <f t="shared" si="1144"/>
        <v>0</v>
      </c>
      <c r="M373" s="160">
        <f t="shared" si="1144"/>
        <v>0</v>
      </c>
      <c r="N373" s="160">
        <f t="shared" si="1144"/>
        <v>0</v>
      </c>
      <c r="O373" s="160">
        <f t="shared" si="1144"/>
        <v>0</v>
      </c>
      <c r="P373" s="160">
        <f t="shared" si="1144"/>
        <v>0</v>
      </c>
      <c r="Q373" s="160">
        <f t="shared" si="1144"/>
        <v>0</v>
      </c>
      <c r="R373" s="160">
        <f t="shared" si="1144"/>
        <v>0</v>
      </c>
      <c r="S373" s="160">
        <f t="shared" si="1144"/>
        <v>0</v>
      </c>
      <c r="T373" s="160">
        <f t="shared" si="1144"/>
        <v>0</v>
      </c>
      <c r="U373" s="160">
        <f t="shared" si="1144"/>
        <v>0</v>
      </c>
      <c r="V373" s="160">
        <f t="shared" si="1144"/>
        <v>0</v>
      </c>
      <c r="W373" s="160">
        <f t="shared" si="1144"/>
        <v>0</v>
      </c>
      <c r="X373" s="160">
        <f t="shared" si="1144"/>
        <v>0</v>
      </c>
      <c r="Y373" s="160">
        <f t="shared" si="1144"/>
        <v>0</v>
      </c>
      <c r="Z373" s="160">
        <f t="shared" si="1144"/>
        <v>0</v>
      </c>
      <c r="AA373" s="160">
        <f t="shared" si="1144"/>
        <v>0</v>
      </c>
      <c r="AB373" s="160">
        <f t="shared" si="1144"/>
        <v>0</v>
      </c>
      <c r="AC373" s="160">
        <f t="shared" si="1144"/>
        <v>0</v>
      </c>
      <c r="AD373" s="160">
        <f t="shared" si="1144"/>
        <v>0</v>
      </c>
      <c r="AE373" s="160">
        <f t="shared" si="1144"/>
        <v>0</v>
      </c>
      <c r="AF373" s="160">
        <f t="shared" si="1144"/>
        <v>0</v>
      </c>
      <c r="AG373" s="160">
        <f t="shared" si="1144"/>
        <v>0</v>
      </c>
      <c r="AH373" s="160">
        <f t="shared" si="1144"/>
        <v>0</v>
      </c>
      <c r="AI373" s="160">
        <f t="shared" si="1144"/>
        <v>0</v>
      </c>
      <c r="AJ373" s="160">
        <f t="shared" si="1144"/>
        <v>0</v>
      </c>
      <c r="AK373" s="160">
        <f t="shared" si="1144"/>
        <v>0</v>
      </c>
      <c r="AL373" s="160">
        <f t="shared" si="1144"/>
        <v>0</v>
      </c>
      <c r="AM373" s="160">
        <f t="shared" si="1144"/>
        <v>0</v>
      </c>
      <c r="AN373" s="160">
        <f t="shared" si="1144"/>
        <v>0</v>
      </c>
      <c r="AO373" s="160">
        <f t="shared" si="1144"/>
        <v>0</v>
      </c>
      <c r="AP373" s="160">
        <f t="shared" si="1144"/>
        <v>0</v>
      </c>
      <c r="AQ373" s="160">
        <f t="shared" si="1144"/>
        <v>0</v>
      </c>
      <c r="AR373" s="160">
        <f t="shared" si="1144"/>
        <v>0</v>
      </c>
      <c r="AS373" s="160">
        <f t="shared" si="1144"/>
        <v>0</v>
      </c>
      <c r="AT373" s="160">
        <f t="shared" si="1144"/>
        <v>0</v>
      </c>
      <c r="AU373" s="160">
        <f t="shared" si="1144"/>
        <v>0</v>
      </c>
      <c r="AV373" s="160">
        <f t="shared" si="1144"/>
        <v>0</v>
      </c>
      <c r="AW373" s="160">
        <f t="shared" si="1144"/>
        <v>0</v>
      </c>
      <c r="AX373" s="160">
        <f t="shared" si="1144"/>
        <v>0</v>
      </c>
      <c r="AY373" s="160">
        <f t="shared" si="1144"/>
        <v>0</v>
      </c>
      <c r="AZ373" s="160">
        <f t="shared" si="1144"/>
        <v>0</v>
      </c>
      <c r="BA373" s="160">
        <f t="shared" si="1144"/>
        <v>0</v>
      </c>
      <c r="BB373" s="160">
        <f t="shared" si="1144"/>
        <v>0</v>
      </c>
      <c r="BC373" s="160">
        <f t="shared" si="1144"/>
        <v>0</v>
      </c>
      <c r="BD373" s="160">
        <f t="shared" si="1144"/>
        <v>0</v>
      </c>
      <c r="BE373" s="160">
        <f t="shared" si="1144"/>
        <v>0</v>
      </c>
      <c r="BF373" s="160">
        <f t="shared" si="1144"/>
        <v>0</v>
      </c>
      <c r="BG373" s="160">
        <f t="shared" si="1144"/>
        <v>0</v>
      </c>
      <c r="BH373" s="160">
        <f t="shared" si="1144"/>
        <v>0</v>
      </c>
      <c r="BI373" s="160">
        <f t="shared" si="1144"/>
        <v>0</v>
      </c>
      <c r="BJ373" s="160">
        <f t="shared" si="1144"/>
        <v>0</v>
      </c>
      <c r="BK373" s="160">
        <f t="shared" si="1144"/>
        <v>0</v>
      </c>
      <c r="BL373" s="160">
        <f t="shared" si="1144"/>
        <v>0</v>
      </c>
      <c r="BM373" s="160">
        <f t="shared" si="1144"/>
        <v>0</v>
      </c>
      <c r="BN373" s="160">
        <f t="shared" si="1144"/>
        <v>0</v>
      </c>
      <c r="BO373" s="160">
        <f t="shared" si="1144"/>
        <v>0</v>
      </c>
      <c r="BP373" s="160">
        <f t="shared" si="1144"/>
        <v>0</v>
      </c>
      <c r="BQ373" s="160">
        <f t="shared" si="1144"/>
        <v>0</v>
      </c>
      <c r="BR373" s="160">
        <f t="shared" si="1144"/>
        <v>0</v>
      </c>
      <c r="BS373" s="65"/>
      <c r="BT373" s="160">
        <f t="shared" si="1006"/>
        <v>0</v>
      </c>
      <c r="BU373" s="160">
        <f t="shared" si="1007"/>
        <v>0</v>
      </c>
      <c r="BV373" s="65"/>
      <c r="BW373" s="69"/>
      <c r="BX373" s="65"/>
      <c r="BY373" s="137">
        <f t="shared" si="1008"/>
        <v>1</v>
      </c>
      <c r="BZ373" s="137">
        <f>IF(BY373&gt;0,BY373+LARGE($BZ$213:BZ372,1),0)</f>
        <v>137</v>
      </c>
      <c r="CA373" s="137" t="str">
        <f t="shared" si="1009"/>
        <v>AUX ADM</v>
      </c>
      <c r="CB373" s="161">
        <f t="shared" si="1010"/>
        <v>0</v>
      </c>
      <c r="CC373" s="161">
        <f t="shared" si="1011"/>
        <v>0</v>
      </c>
      <c r="CD373" s="161">
        <f t="shared" si="1012"/>
        <v>0</v>
      </c>
      <c r="CE373" s="161">
        <f t="shared" si="1013"/>
        <v>0</v>
      </c>
      <c r="CF373" s="161">
        <f t="shared" si="1014"/>
        <v>0</v>
      </c>
      <c r="CG373" s="161">
        <f t="shared" si="1015"/>
        <v>0</v>
      </c>
      <c r="CH373" s="161">
        <f t="shared" si="1016"/>
        <v>0</v>
      </c>
      <c r="CI373" s="161">
        <f t="shared" si="1017"/>
        <v>0</v>
      </c>
      <c r="CJ373" s="161">
        <f t="shared" si="1018"/>
        <v>0</v>
      </c>
      <c r="CK373" s="161">
        <f t="shared" si="1019"/>
        <v>0</v>
      </c>
      <c r="CL373" s="161">
        <f t="shared" si="1020"/>
        <v>0</v>
      </c>
      <c r="CM373" s="161">
        <f t="shared" si="1021"/>
        <v>0</v>
      </c>
      <c r="CN373" s="161">
        <f t="shared" si="1022"/>
        <v>0</v>
      </c>
      <c r="CO373" s="161">
        <f t="shared" si="1023"/>
        <v>0</v>
      </c>
      <c r="CP373" s="161">
        <f t="shared" si="1024"/>
        <v>0</v>
      </c>
      <c r="CQ373" s="161">
        <f t="shared" si="1025"/>
        <v>0</v>
      </c>
      <c r="CR373" s="161">
        <f t="shared" si="1026"/>
        <v>0</v>
      </c>
      <c r="CS373" s="161">
        <f t="shared" si="1027"/>
        <v>0</v>
      </c>
      <c r="CT373" s="161">
        <f t="shared" si="1028"/>
        <v>0</v>
      </c>
      <c r="CU373" s="161">
        <f t="shared" si="1029"/>
        <v>0</v>
      </c>
      <c r="CV373" s="161">
        <f t="shared" si="1030"/>
        <v>0</v>
      </c>
      <c r="CW373" s="161">
        <f t="shared" si="1031"/>
        <v>0</v>
      </c>
      <c r="CX373" s="161">
        <f t="shared" si="1032"/>
        <v>0</v>
      </c>
      <c r="CY373" s="161">
        <f t="shared" si="1033"/>
        <v>0</v>
      </c>
      <c r="CZ373" s="161">
        <f t="shared" si="1034"/>
        <v>0</v>
      </c>
      <c r="DA373" s="161">
        <f t="shared" si="1035"/>
        <v>0</v>
      </c>
      <c r="DB373" s="161">
        <f t="shared" si="1036"/>
        <v>0</v>
      </c>
      <c r="DC373" s="161">
        <f t="shared" si="1037"/>
        <v>0</v>
      </c>
      <c r="DD373" s="161">
        <f t="shared" si="1038"/>
        <v>0</v>
      </c>
      <c r="DE373" s="161">
        <f t="shared" si="1039"/>
        <v>0</v>
      </c>
      <c r="DF373" s="161">
        <f t="shared" si="1040"/>
        <v>0</v>
      </c>
      <c r="DG373" s="161">
        <f t="shared" si="1041"/>
        <v>0</v>
      </c>
      <c r="DH373" s="161">
        <f t="shared" si="1042"/>
        <v>0</v>
      </c>
      <c r="DI373" s="161">
        <f t="shared" si="1043"/>
        <v>0</v>
      </c>
      <c r="DJ373" s="161">
        <f t="shared" si="1044"/>
        <v>0</v>
      </c>
      <c r="DK373" s="161">
        <f t="shared" si="1045"/>
        <v>0</v>
      </c>
      <c r="DL373" s="161">
        <f t="shared" si="1046"/>
        <v>0</v>
      </c>
      <c r="DM373" s="161">
        <f t="shared" si="1047"/>
        <v>0</v>
      </c>
      <c r="DN373" s="161">
        <f t="shared" si="1048"/>
        <v>0</v>
      </c>
      <c r="DO373" s="161">
        <f t="shared" si="1049"/>
        <v>0</v>
      </c>
      <c r="DP373" s="161">
        <f t="shared" si="1050"/>
        <v>0</v>
      </c>
      <c r="DQ373" s="161">
        <f t="shared" si="1051"/>
        <v>0</v>
      </c>
      <c r="DR373" s="161">
        <f t="shared" si="1052"/>
        <v>0</v>
      </c>
      <c r="DS373" s="161">
        <f t="shared" si="1053"/>
        <v>0</v>
      </c>
      <c r="DT373" s="161">
        <f t="shared" si="1054"/>
        <v>0</v>
      </c>
      <c r="DU373" s="161">
        <f t="shared" si="1055"/>
        <v>0</v>
      </c>
      <c r="DV373" s="161">
        <f t="shared" si="1056"/>
        <v>0</v>
      </c>
      <c r="DW373" s="161">
        <f t="shared" si="1057"/>
        <v>0</v>
      </c>
      <c r="DX373" s="161">
        <f t="shared" si="1058"/>
        <v>0</v>
      </c>
      <c r="DY373" s="161">
        <f t="shared" si="1059"/>
        <v>0</v>
      </c>
      <c r="DZ373" s="161">
        <f t="shared" si="1060"/>
        <v>0</v>
      </c>
      <c r="EA373" s="161">
        <f t="shared" si="1061"/>
        <v>0</v>
      </c>
      <c r="EB373" s="161">
        <f t="shared" si="1062"/>
        <v>0</v>
      </c>
      <c r="EC373" s="161">
        <f t="shared" si="1063"/>
        <v>0</v>
      </c>
      <c r="ED373" s="161">
        <f t="shared" si="1064"/>
        <v>0</v>
      </c>
      <c r="EE373" s="161">
        <f t="shared" si="1065"/>
        <v>0</v>
      </c>
      <c r="EF373" s="161">
        <f t="shared" si="1066"/>
        <v>0</v>
      </c>
      <c r="EG373" s="161">
        <f t="shared" si="1067"/>
        <v>0</v>
      </c>
      <c r="EH373" s="161">
        <f t="shared" si="1068"/>
        <v>0</v>
      </c>
      <c r="EI373" s="161">
        <f t="shared" si="1069"/>
        <v>0</v>
      </c>
      <c r="EJ373" s="65"/>
      <c r="EK373" s="161">
        <f t="shared" si="1140"/>
        <v>0</v>
      </c>
      <c r="EL373" s="161">
        <f t="shared" si="1141"/>
        <v>0</v>
      </c>
      <c r="EM373" s="161">
        <f t="shared" si="1142"/>
        <v>0</v>
      </c>
    </row>
    <row r="374" spans="1:143" ht="12" hidden="1" customHeight="1" outlineLevel="2">
      <c r="A374" s="77">
        <v>18</v>
      </c>
      <c r="B374" s="137" t="str">
        <f t="shared" si="1070"/>
        <v>EST - Equipe_01</v>
      </c>
      <c r="C374" s="65"/>
      <c r="D374" s="622"/>
      <c r="E374" s="65"/>
      <c r="F374" s="584"/>
      <c r="G374" s="77" t="str">
        <f>IF(INDEX(Tarefas!$BT$30:$FK$30,MATCH(A374,Tarefas!$BT$28:$FK$28,0))=0,"",INDEX(Tarefas!$BT$30:$FK$30,MATCH(A374,Tarefas!$BT$28:$FK$28,0)))</f>
        <v>EST</v>
      </c>
      <c r="H374" s="107" cm="1">
        <f t="array" ref="H374">IFERROR((SUMPRODUCT((Tarefas!$N$32:$N$54='Cronog. e Histog.'!$F$357)*(Tarefas!$BQ$30:$FK$30='Cronog. e Histog.'!$G374)*(Tarefas!$BQ$32:$FK$54)))/SUMIF(Tarefas!$N$32:$N$54,'Cronog. e Histog.'!$F$357,Tarefas!$K$32:$K$54),0)</f>
        <v>0</v>
      </c>
      <c r="I374" s="79">
        <f t="shared" si="1071"/>
        <v>0</v>
      </c>
      <c r="J374" s="65"/>
      <c r="K374" s="160">
        <f t="shared" si="1143"/>
        <v>0</v>
      </c>
      <c r="L374" s="160">
        <f t="shared" si="1144"/>
        <v>0</v>
      </c>
      <c r="M374" s="160">
        <f t="shared" si="1144"/>
        <v>0</v>
      </c>
      <c r="N374" s="160">
        <f t="shared" si="1144"/>
        <v>0</v>
      </c>
      <c r="O374" s="160">
        <f t="shared" si="1144"/>
        <v>0</v>
      </c>
      <c r="P374" s="160">
        <f t="shared" si="1144"/>
        <v>0</v>
      </c>
      <c r="Q374" s="160">
        <f t="shared" si="1144"/>
        <v>0</v>
      </c>
      <c r="R374" s="160">
        <f t="shared" si="1144"/>
        <v>0</v>
      </c>
      <c r="S374" s="160">
        <f t="shared" si="1144"/>
        <v>0</v>
      </c>
      <c r="T374" s="160">
        <f t="shared" si="1144"/>
        <v>0</v>
      </c>
      <c r="U374" s="160">
        <f t="shared" si="1144"/>
        <v>0</v>
      </c>
      <c r="V374" s="160">
        <f t="shared" si="1144"/>
        <v>0</v>
      </c>
      <c r="W374" s="160">
        <f t="shared" si="1144"/>
        <v>0</v>
      </c>
      <c r="X374" s="160">
        <f t="shared" si="1144"/>
        <v>0</v>
      </c>
      <c r="Y374" s="160">
        <f t="shared" si="1144"/>
        <v>0</v>
      </c>
      <c r="Z374" s="160">
        <f t="shared" si="1144"/>
        <v>0</v>
      </c>
      <c r="AA374" s="160">
        <f t="shared" si="1144"/>
        <v>0</v>
      </c>
      <c r="AB374" s="160">
        <f t="shared" si="1144"/>
        <v>0</v>
      </c>
      <c r="AC374" s="160">
        <f t="shared" si="1144"/>
        <v>0</v>
      </c>
      <c r="AD374" s="160">
        <f t="shared" si="1144"/>
        <v>0</v>
      </c>
      <c r="AE374" s="160">
        <f t="shared" si="1144"/>
        <v>0</v>
      </c>
      <c r="AF374" s="160">
        <f t="shared" si="1144"/>
        <v>0</v>
      </c>
      <c r="AG374" s="160">
        <f t="shared" si="1144"/>
        <v>0</v>
      </c>
      <c r="AH374" s="160">
        <f t="shared" si="1144"/>
        <v>0</v>
      </c>
      <c r="AI374" s="160">
        <f t="shared" si="1144"/>
        <v>0</v>
      </c>
      <c r="AJ374" s="160">
        <f t="shared" si="1144"/>
        <v>0</v>
      </c>
      <c r="AK374" s="160">
        <f t="shared" si="1144"/>
        <v>0</v>
      </c>
      <c r="AL374" s="160">
        <f t="shared" si="1144"/>
        <v>0</v>
      </c>
      <c r="AM374" s="160">
        <f t="shared" si="1144"/>
        <v>0</v>
      </c>
      <c r="AN374" s="160">
        <f t="shared" si="1144"/>
        <v>0</v>
      </c>
      <c r="AO374" s="160">
        <f t="shared" si="1144"/>
        <v>0</v>
      </c>
      <c r="AP374" s="160">
        <f t="shared" si="1144"/>
        <v>0</v>
      </c>
      <c r="AQ374" s="160">
        <f t="shared" si="1144"/>
        <v>0</v>
      </c>
      <c r="AR374" s="160">
        <f t="shared" si="1144"/>
        <v>0</v>
      </c>
      <c r="AS374" s="160">
        <f t="shared" si="1144"/>
        <v>0</v>
      </c>
      <c r="AT374" s="160">
        <f t="shared" si="1144"/>
        <v>0</v>
      </c>
      <c r="AU374" s="160">
        <f t="shared" si="1144"/>
        <v>0</v>
      </c>
      <c r="AV374" s="160">
        <f t="shared" si="1144"/>
        <v>0</v>
      </c>
      <c r="AW374" s="160">
        <f t="shared" si="1144"/>
        <v>0</v>
      </c>
      <c r="AX374" s="160">
        <f t="shared" si="1144"/>
        <v>0</v>
      </c>
      <c r="AY374" s="160">
        <f t="shared" si="1144"/>
        <v>0</v>
      </c>
      <c r="AZ374" s="160">
        <f t="shared" si="1144"/>
        <v>0</v>
      </c>
      <c r="BA374" s="160">
        <f t="shared" si="1144"/>
        <v>0</v>
      </c>
      <c r="BB374" s="160">
        <f t="shared" si="1144"/>
        <v>0</v>
      </c>
      <c r="BC374" s="160">
        <f t="shared" si="1144"/>
        <v>0</v>
      </c>
      <c r="BD374" s="160">
        <f t="shared" si="1144"/>
        <v>0</v>
      </c>
      <c r="BE374" s="160">
        <f t="shared" si="1144"/>
        <v>0</v>
      </c>
      <c r="BF374" s="160">
        <f t="shared" si="1144"/>
        <v>0</v>
      </c>
      <c r="BG374" s="160">
        <f t="shared" si="1144"/>
        <v>0</v>
      </c>
      <c r="BH374" s="160">
        <f t="shared" si="1144"/>
        <v>0</v>
      </c>
      <c r="BI374" s="160">
        <f t="shared" si="1144"/>
        <v>0</v>
      </c>
      <c r="BJ374" s="160">
        <f t="shared" si="1144"/>
        <v>0</v>
      </c>
      <c r="BK374" s="160">
        <f t="shared" si="1144"/>
        <v>0</v>
      </c>
      <c r="BL374" s="160">
        <f t="shared" si="1144"/>
        <v>0</v>
      </c>
      <c r="BM374" s="160">
        <f t="shared" si="1144"/>
        <v>0</v>
      </c>
      <c r="BN374" s="160">
        <f t="shared" si="1144"/>
        <v>0</v>
      </c>
      <c r="BO374" s="160">
        <f t="shared" si="1144"/>
        <v>0</v>
      </c>
      <c r="BP374" s="160">
        <f t="shared" si="1144"/>
        <v>0</v>
      </c>
      <c r="BQ374" s="160">
        <f t="shared" si="1144"/>
        <v>0</v>
      </c>
      <c r="BR374" s="160">
        <f t="shared" si="1144"/>
        <v>0</v>
      </c>
      <c r="BS374" s="65"/>
      <c r="BT374" s="160">
        <f t="shared" si="1006"/>
        <v>0</v>
      </c>
      <c r="BU374" s="160">
        <f t="shared" si="1007"/>
        <v>0</v>
      </c>
      <c r="BV374" s="65"/>
      <c r="BW374" s="69"/>
      <c r="BX374" s="65"/>
      <c r="BY374" s="137">
        <f t="shared" si="1008"/>
        <v>1</v>
      </c>
      <c r="BZ374" s="137">
        <f>IF(BY374&gt;0,BY374+LARGE($BZ$213:BZ373,1),0)</f>
        <v>138</v>
      </c>
      <c r="CA374" s="137" t="str">
        <f t="shared" si="1009"/>
        <v>EST</v>
      </c>
      <c r="CB374" s="161">
        <f t="shared" si="1010"/>
        <v>0</v>
      </c>
      <c r="CC374" s="161">
        <f t="shared" si="1011"/>
        <v>0</v>
      </c>
      <c r="CD374" s="161">
        <f t="shared" si="1012"/>
        <v>0</v>
      </c>
      <c r="CE374" s="161">
        <f t="shared" si="1013"/>
        <v>0</v>
      </c>
      <c r="CF374" s="161">
        <f t="shared" si="1014"/>
        <v>0</v>
      </c>
      <c r="CG374" s="161">
        <f t="shared" si="1015"/>
        <v>0</v>
      </c>
      <c r="CH374" s="161">
        <f t="shared" si="1016"/>
        <v>0</v>
      </c>
      <c r="CI374" s="161">
        <f t="shared" si="1017"/>
        <v>0</v>
      </c>
      <c r="CJ374" s="161">
        <f t="shared" si="1018"/>
        <v>0</v>
      </c>
      <c r="CK374" s="161">
        <f t="shared" si="1019"/>
        <v>0</v>
      </c>
      <c r="CL374" s="161">
        <f t="shared" si="1020"/>
        <v>0</v>
      </c>
      <c r="CM374" s="161">
        <f t="shared" si="1021"/>
        <v>0</v>
      </c>
      <c r="CN374" s="161">
        <f t="shared" si="1022"/>
        <v>0</v>
      </c>
      <c r="CO374" s="161">
        <f t="shared" si="1023"/>
        <v>0</v>
      </c>
      <c r="CP374" s="161">
        <f t="shared" si="1024"/>
        <v>0</v>
      </c>
      <c r="CQ374" s="161">
        <f t="shared" si="1025"/>
        <v>0</v>
      </c>
      <c r="CR374" s="161">
        <f t="shared" si="1026"/>
        <v>0</v>
      </c>
      <c r="CS374" s="161">
        <f t="shared" si="1027"/>
        <v>0</v>
      </c>
      <c r="CT374" s="161">
        <f t="shared" si="1028"/>
        <v>0</v>
      </c>
      <c r="CU374" s="161">
        <f t="shared" si="1029"/>
        <v>0</v>
      </c>
      <c r="CV374" s="161">
        <f t="shared" si="1030"/>
        <v>0</v>
      </c>
      <c r="CW374" s="161">
        <f t="shared" si="1031"/>
        <v>0</v>
      </c>
      <c r="CX374" s="161">
        <f t="shared" si="1032"/>
        <v>0</v>
      </c>
      <c r="CY374" s="161">
        <f t="shared" si="1033"/>
        <v>0</v>
      </c>
      <c r="CZ374" s="161">
        <f t="shared" si="1034"/>
        <v>0</v>
      </c>
      <c r="DA374" s="161">
        <f t="shared" si="1035"/>
        <v>0</v>
      </c>
      <c r="DB374" s="161">
        <f t="shared" si="1036"/>
        <v>0</v>
      </c>
      <c r="DC374" s="161">
        <f t="shared" si="1037"/>
        <v>0</v>
      </c>
      <c r="DD374" s="161">
        <f t="shared" si="1038"/>
        <v>0</v>
      </c>
      <c r="DE374" s="161">
        <f t="shared" si="1039"/>
        <v>0</v>
      </c>
      <c r="DF374" s="161">
        <f t="shared" si="1040"/>
        <v>0</v>
      </c>
      <c r="DG374" s="161">
        <f t="shared" si="1041"/>
        <v>0</v>
      </c>
      <c r="DH374" s="161">
        <f t="shared" si="1042"/>
        <v>0</v>
      </c>
      <c r="DI374" s="161">
        <f t="shared" si="1043"/>
        <v>0</v>
      </c>
      <c r="DJ374" s="161">
        <f t="shared" si="1044"/>
        <v>0</v>
      </c>
      <c r="DK374" s="161">
        <f t="shared" si="1045"/>
        <v>0</v>
      </c>
      <c r="DL374" s="161">
        <f t="shared" si="1046"/>
        <v>0</v>
      </c>
      <c r="DM374" s="161">
        <f t="shared" si="1047"/>
        <v>0</v>
      </c>
      <c r="DN374" s="161">
        <f t="shared" si="1048"/>
        <v>0</v>
      </c>
      <c r="DO374" s="161">
        <f t="shared" si="1049"/>
        <v>0</v>
      </c>
      <c r="DP374" s="161">
        <f t="shared" si="1050"/>
        <v>0</v>
      </c>
      <c r="DQ374" s="161">
        <f t="shared" si="1051"/>
        <v>0</v>
      </c>
      <c r="DR374" s="161">
        <f t="shared" si="1052"/>
        <v>0</v>
      </c>
      <c r="DS374" s="161">
        <f t="shared" si="1053"/>
        <v>0</v>
      </c>
      <c r="DT374" s="161">
        <f t="shared" si="1054"/>
        <v>0</v>
      </c>
      <c r="DU374" s="161">
        <f t="shared" si="1055"/>
        <v>0</v>
      </c>
      <c r="DV374" s="161">
        <f t="shared" si="1056"/>
        <v>0</v>
      </c>
      <c r="DW374" s="161">
        <f t="shared" si="1057"/>
        <v>0</v>
      </c>
      <c r="DX374" s="161">
        <f t="shared" si="1058"/>
        <v>0</v>
      </c>
      <c r="DY374" s="161">
        <f t="shared" si="1059"/>
        <v>0</v>
      </c>
      <c r="DZ374" s="161">
        <f t="shared" si="1060"/>
        <v>0</v>
      </c>
      <c r="EA374" s="161">
        <f t="shared" si="1061"/>
        <v>0</v>
      </c>
      <c r="EB374" s="161">
        <f t="shared" si="1062"/>
        <v>0</v>
      </c>
      <c r="EC374" s="161">
        <f t="shared" si="1063"/>
        <v>0</v>
      </c>
      <c r="ED374" s="161">
        <f t="shared" si="1064"/>
        <v>0</v>
      </c>
      <c r="EE374" s="161">
        <f t="shared" si="1065"/>
        <v>0</v>
      </c>
      <c r="EF374" s="161">
        <f t="shared" si="1066"/>
        <v>0</v>
      </c>
      <c r="EG374" s="161">
        <f t="shared" si="1067"/>
        <v>0</v>
      </c>
      <c r="EH374" s="161">
        <f t="shared" si="1068"/>
        <v>0</v>
      </c>
      <c r="EI374" s="161">
        <f t="shared" si="1069"/>
        <v>0</v>
      </c>
      <c r="EJ374" s="65"/>
      <c r="EK374" s="161">
        <f t="shared" si="1140"/>
        <v>0</v>
      </c>
      <c r="EL374" s="161">
        <f t="shared" si="1141"/>
        <v>0</v>
      </c>
      <c r="EM374" s="161">
        <f t="shared" si="1142"/>
        <v>0</v>
      </c>
    </row>
    <row r="375" spans="1:143" ht="12" hidden="1" customHeight="1" outlineLevel="2">
      <c r="A375" s="77">
        <v>19</v>
      </c>
      <c r="B375" s="137" t="str">
        <f t="shared" si="1070"/>
        <v>EST_II - Equipe_01</v>
      </c>
      <c r="C375" s="65"/>
      <c r="D375" s="622"/>
      <c r="E375" s="65"/>
      <c r="F375" s="584"/>
      <c r="G375" s="77" t="str">
        <f>IF(INDEX(Tarefas!$BT$30:$FK$30,MATCH(A375,Tarefas!$BT$28:$FK$28,0))=0,"",INDEX(Tarefas!$BT$30:$FK$30,MATCH(A375,Tarefas!$BT$28:$FK$28,0)))</f>
        <v>EST_II</v>
      </c>
      <c r="H375" s="107" cm="1">
        <f t="array" ref="H375">IFERROR((SUMPRODUCT((Tarefas!$N$32:$N$54='Cronog. e Histog.'!$F$357)*(Tarefas!$BQ$30:$FK$30='Cronog. e Histog.'!$G375)*(Tarefas!$BQ$32:$FK$54)))/SUMIF(Tarefas!$N$32:$N$54,'Cronog. e Histog.'!$F$357,Tarefas!$K$32:$K$54),0)</f>
        <v>0</v>
      </c>
      <c r="I375" s="79">
        <f t="shared" si="1071"/>
        <v>0</v>
      </c>
      <c r="J375" s="65"/>
      <c r="K375" s="160">
        <f t="shared" si="1143"/>
        <v>0</v>
      </c>
      <c r="L375" s="160">
        <f t="shared" si="1144"/>
        <v>0</v>
      </c>
      <c r="M375" s="160">
        <f t="shared" si="1144"/>
        <v>0</v>
      </c>
      <c r="N375" s="160">
        <f t="shared" si="1144"/>
        <v>0</v>
      </c>
      <c r="O375" s="160">
        <f t="shared" si="1144"/>
        <v>0</v>
      </c>
      <c r="P375" s="160">
        <f t="shared" si="1144"/>
        <v>0</v>
      </c>
      <c r="Q375" s="160">
        <f t="shared" si="1144"/>
        <v>0</v>
      </c>
      <c r="R375" s="160">
        <f t="shared" si="1144"/>
        <v>0</v>
      </c>
      <c r="S375" s="160">
        <f t="shared" si="1144"/>
        <v>0</v>
      </c>
      <c r="T375" s="160">
        <f t="shared" si="1144"/>
        <v>0</v>
      </c>
      <c r="U375" s="160">
        <f t="shared" si="1144"/>
        <v>0</v>
      </c>
      <c r="V375" s="160">
        <f t="shared" si="1144"/>
        <v>0</v>
      </c>
      <c r="W375" s="160">
        <f t="shared" si="1144"/>
        <v>0</v>
      </c>
      <c r="X375" s="160">
        <f t="shared" si="1144"/>
        <v>0</v>
      </c>
      <c r="Y375" s="160">
        <f t="shared" si="1144"/>
        <v>0</v>
      </c>
      <c r="Z375" s="160">
        <f t="shared" si="1144"/>
        <v>0</v>
      </c>
      <c r="AA375" s="160">
        <f t="shared" si="1144"/>
        <v>0</v>
      </c>
      <c r="AB375" s="160">
        <f t="shared" si="1144"/>
        <v>0</v>
      </c>
      <c r="AC375" s="160">
        <f t="shared" si="1144"/>
        <v>0</v>
      </c>
      <c r="AD375" s="160">
        <f t="shared" si="1144"/>
        <v>0</v>
      </c>
      <c r="AE375" s="160">
        <f t="shared" si="1144"/>
        <v>0</v>
      </c>
      <c r="AF375" s="160">
        <f t="shared" si="1144"/>
        <v>0</v>
      </c>
      <c r="AG375" s="160">
        <f t="shared" si="1144"/>
        <v>0</v>
      </c>
      <c r="AH375" s="160">
        <f t="shared" si="1144"/>
        <v>0</v>
      </c>
      <c r="AI375" s="160">
        <f t="shared" si="1144"/>
        <v>0</v>
      </c>
      <c r="AJ375" s="160">
        <f t="shared" si="1144"/>
        <v>0</v>
      </c>
      <c r="AK375" s="160">
        <f t="shared" si="1144"/>
        <v>0</v>
      </c>
      <c r="AL375" s="160">
        <f t="shared" si="1144"/>
        <v>0</v>
      </c>
      <c r="AM375" s="160">
        <f t="shared" si="1144"/>
        <v>0</v>
      </c>
      <c r="AN375" s="160">
        <f t="shared" si="1144"/>
        <v>0</v>
      </c>
      <c r="AO375" s="160">
        <f t="shared" si="1144"/>
        <v>0</v>
      </c>
      <c r="AP375" s="160">
        <f t="shared" si="1144"/>
        <v>0</v>
      </c>
      <c r="AQ375" s="160">
        <f t="shared" si="1144"/>
        <v>0</v>
      </c>
      <c r="AR375" s="160">
        <f t="shared" si="1144"/>
        <v>0</v>
      </c>
      <c r="AS375" s="160">
        <f t="shared" si="1144"/>
        <v>0</v>
      </c>
      <c r="AT375" s="160">
        <f t="shared" si="1144"/>
        <v>0</v>
      </c>
      <c r="AU375" s="160">
        <f t="shared" si="1144"/>
        <v>0</v>
      </c>
      <c r="AV375" s="160">
        <f t="shared" si="1144"/>
        <v>0</v>
      </c>
      <c r="AW375" s="160">
        <f t="shared" si="1144"/>
        <v>0</v>
      </c>
      <c r="AX375" s="160">
        <f t="shared" si="1144"/>
        <v>0</v>
      </c>
      <c r="AY375" s="160">
        <f t="shared" si="1144"/>
        <v>0</v>
      </c>
      <c r="AZ375" s="160">
        <f t="shared" si="1144"/>
        <v>0</v>
      </c>
      <c r="BA375" s="160">
        <f t="shared" si="1144"/>
        <v>0</v>
      </c>
      <c r="BB375" s="160">
        <f t="shared" si="1144"/>
        <v>0</v>
      </c>
      <c r="BC375" s="160">
        <f t="shared" si="1144"/>
        <v>0</v>
      </c>
      <c r="BD375" s="160">
        <f t="shared" si="1144"/>
        <v>0</v>
      </c>
      <c r="BE375" s="160">
        <f t="shared" si="1144"/>
        <v>0</v>
      </c>
      <c r="BF375" s="160">
        <f t="shared" si="1144"/>
        <v>0</v>
      </c>
      <c r="BG375" s="160">
        <f t="shared" si="1144"/>
        <v>0</v>
      </c>
      <c r="BH375" s="160">
        <f t="shared" si="1144"/>
        <v>0</v>
      </c>
      <c r="BI375" s="160">
        <f t="shared" si="1144"/>
        <v>0</v>
      </c>
      <c r="BJ375" s="160">
        <f t="shared" si="1144"/>
        <v>0</v>
      </c>
      <c r="BK375" s="160">
        <f t="shared" si="1144"/>
        <v>0</v>
      </c>
      <c r="BL375" s="160">
        <f t="shared" si="1144"/>
        <v>0</v>
      </c>
      <c r="BM375" s="160">
        <f t="shared" ref="L375:BR376" si="1145">ROUND($I375*BM$189,2)</f>
        <v>0</v>
      </c>
      <c r="BN375" s="160">
        <f t="shared" si="1145"/>
        <v>0</v>
      </c>
      <c r="BO375" s="160">
        <f t="shared" si="1145"/>
        <v>0</v>
      </c>
      <c r="BP375" s="160">
        <f t="shared" si="1145"/>
        <v>0</v>
      </c>
      <c r="BQ375" s="160">
        <f t="shared" si="1145"/>
        <v>0</v>
      </c>
      <c r="BR375" s="160">
        <f t="shared" si="1145"/>
        <v>0</v>
      </c>
      <c r="BS375" s="65"/>
      <c r="BT375" s="160">
        <f t="shared" si="1006"/>
        <v>0</v>
      </c>
      <c r="BU375" s="160">
        <f t="shared" si="1007"/>
        <v>0</v>
      </c>
      <c r="BV375" s="65"/>
      <c r="BW375" s="69"/>
      <c r="BX375" s="65"/>
      <c r="BY375" s="137">
        <f t="shared" si="1008"/>
        <v>1</v>
      </c>
      <c r="BZ375" s="137">
        <f>IF(BY375&gt;0,BY375+LARGE($BZ$213:BZ374,1),0)</f>
        <v>139</v>
      </c>
      <c r="CA375" s="137" t="str">
        <f t="shared" si="1009"/>
        <v>EST_II</v>
      </c>
      <c r="CB375" s="161">
        <f t="shared" si="1010"/>
        <v>0</v>
      </c>
      <c r="CC375" s="161">
        <f t="shared" si="1011"/>
        <v>0</v>
      </c>
      <c r="CD375" s="161">
        <f t="shared" si="1012"/>
        <v>0</v>
      </c>
      <c r="CE375" s="161">
        <f t="shared" si="1013"/>
        <v>0</v>
      </c>
      <c r="CF375" s="161">
        <f t="shared" si="1014"/>
        <v>0</v>
      </c>
      <c r="CG375" s="161">
        <f t="shared" si="1015"/>
        <v>0</v>
      </c>
      <c r="CH375" s="161">
        <f t="shared" si="1016"/>
        <v>0</v>
      </c>
      <c r="CI375" s="161">
        <f t="shared" si="1017"/>
        <v>0</v>
      </c>
      <c r="CJ375" s="161">
        <f t="shared" si="1018"/>
        <v>0</v>
      </c>
      <c r="CK375" s="161">
        <f t="shared" si="1019"/>
        <v>0</v>
      </c>
      <c r="CL375" s="161">
        <f t="shared" si="1020"/>
        <v>0</v>
      </c>
      <c r="CM375" s="161">
        <f t="shared" si="1021"/>
        <v>0</v>
      </c>
      <c r="CN375" s="161">
        <f t="shared" si="1022"/>
        <v>0</v>
      </c>
      <c r="CO375" s="161">
        <f t="shared" si="1023"/>
        <v>0</v>
      </c>
      <c r="CP375" s="161">
        <f t="shared" si="1024"/>
        <v>0</v>
      </c>
      <c r="CQ375" s="161">
        <f t="shared" si="1025"/>
        <v>0</v>
      </c>
      <c r="CR375" s="161">
        <f t="shared" si="1026"/>
        <v>0</v>
      </c>
      <c r="CS375" s="161">
        <f t="shared" si="1027"/>
        <v>0</v>
      </c>
      <c r="CT375" s="161">
        <f t="shared" si="1028"/>
        <v>0</v>
      </c>
      <c r="CU375" s="161">
        <f t="shared" si="1029"/>
        <v>0</v>
      </c>
      <c r="CV375" s="161">
        <f t="shared" si="1030"/>
        <v>0</v>
      </c>
      <c r="CW375" s="161">
        <f t="shared" si="1031"/>
        <v>0</v>
      </c>
      <c r="CX375" s="161">
        <f t="shared" si="1032"/>
        <v>0</v>
      </c>
      <c r="CY375" s="161">
        <f t="shared" si="1033"/>
        <v>0</v>
      </c>
      <c r="CZ375" s="161">
        <f t="shared" si="1034"/>
        <v>0</v>
      </c>
      <c r="DA375" s="161">
        <f t="shared" si="1035"/>
        <v>0</v>
      </c>
      <c r="DB375" s="161">
        <f t="shared" si="1036"/>
        <v>0</v>
      </c>
      <c r="DC375" s="161">
        <f t="shared" si="1037"/>
        <v>0</v>
      </c>
      <c r="DD375" s="161">
        <f t="shared" si="1038"/>
        <v>0</v>
      </c>
      <c r="DE375" s="161">
        <f t="shared" si="1039"/>
        <v>0</v>
      </c>
      <c r="DF375" s="161">
        <f t="shared" si="1040"/>
        <v>0</v>
      </c>
      <c r="DG375" s="161">
        <f t="shared" si="1041"/>
        <v>0</v>
      </c>
      <c r="DH375" s="161">
        <f t="shared" si="1042"/>
        <v>0</v>
      </c>
      <c r="DI375" s="161">
        <f t="shared" si="1043"/>
        <v>0</v>
      </c>
      <c r="DJ375" s="161">
        <f t="shared" si="1044"/>
        <v>0</v>
      </c>
      <c r="DK375" s="161">
        <f t="shared" si="1045"/>
        <v>0</v>
      </c>
      <c r="DL375" s="161">
        <f t="shared" si="1046"/>
        <v>0</v>
      </c>
      <c r="DM375" s="161">
        <f t="shared" si="1047"/>
        <v>0</v>
      </c>
      <c r="DN375" s="161">
        <f t="shared" si="1048"/>
        <v>0</v>
      </c>
      <c r="DO375" s="161">
        <f t="shared" si="1049"/>
        <v>0</v>
      </c>
      <c r="DP375" s="161">
        <f t="shared" si="1050"/>
        <v>0</v>
      </c>
      <c r="DQ375" s="161">
        <f t="shared" si="1051"/>
        <v>0</v>
      </c>
      <c r="DR375" s="161">
        <f t="shared" si="1052"/>
        <v>0</v>
      </c>
      <c r="DS375" s="161">
        <f t="shared" si="1053"/>
        <v>0</v>
      </c>
      <c r="DT375" s="161">
        <f t="shared" si="1054"/>
        <v>0</v>
      </c>
      <c r="DU375" s="161">
        <f t="shared" si="1055"/>
        <v>0</v>
      </c>
      <c r="DV375" s="161">
        <f t="shared" si="1056"/>
        <v>0</v>
      </c>
      <c r="DW375" s="161">
        <f t="shared" si="1057"/>
        <v>0</v>
      </c>
      <c r="DX375" s="161">
        <f t="shared" si="1058"/>
        <v>0</v>
      </c>
      <c r="DY375" s="161">
        <f t="shared" si="1059"/>
        <v>0</v>
      </c>
      <c r="DZ375" s="161">
        <f t="shared" si="1060"/>
        <v>0</v>
      </c>
      <c r="EA375" s="161">
        <f t="shared" si="1061"/>
        <v>0</v>
      </c>
      <c r="EB375" s="161">
        <f t="shared" si="1062"/>
        <v>0</v>
      </c>
      <c r="EC375" s="161">
        <f t="shared" si="1063"/>
        <v>0</v>
      </c>
      <c r="ED375" s="161">
        <f t="shared" si="1064"/>
        <v>0</v>
      </c>
      <c r="EE375" s="161">
        <f t="shared" si="1065"/>
        <v>0</v>
      </c>
      <c r="EF375" s="161">
        <f t="shared" si="1066"/>
        <v>0</v>
      </c>
      <c r="EG375" s="161">
        <f t="shared" si="1067"/>
        <v>0</v>
      </c>
      <c r="EH375" s="161">
        <f t="shared" si="1068"/>
        <v>0</v>
      </c>
      <c r="EI375" s="161">
        <f t="shared" si="1069"/>
        <v>0</v>
      </c>
      <c r="EJ375" s="65"/>
      <c r="EK375" s="161">
        <f t="shared" si="1140"/>
        <v>0</v>
      </c>
      <c r="EL375" s="161">
        <f t="shared" si="1141"/>
        <v>0</v>
      </c>
      <c r="EM375" s="161">
        <f t="shared" si="1142"/>
        <v>0</v>
      </c>
    </row>
    <row r="376" spans="1:143" ht="12" hidden="1" customHeight="1" outlineLevel="2">
      <c r="A376" s="77">
        <v>20</v>
      </c>
      <c r="B376" s="137" t="str">
        <f t="shared" si="1070"/>
        <v>EST_III - Equipe_01</v>
      </c>
      <c r="C376" s="65"/>
      <c r="D376" s="623"/>
      <c r="E376" s="65"/>
      <c r="F376" s="584"/>
      <c r="G376" s="77" t="str">
        <f>IF(INDEX(Tarefas!$BT$30:$FK$30,MATCH(A376,Tarefas!$BT$28:$FK$28,0))=0,"",INDEX(Tarefas!$BT$30:$FK$30,MATCH(A376,Tarefas!$BT$28:$FK$28,0)))</f>
        <v>EST_III</v>
      </c>
      <c r="H376" s="107" cm="1">
        <f t="array" ref="H376">IFERROR((SUMPRODUCT((Tarefas!$N$32:$N$54='Cronog. e Histog.'!$F$357)*(Tarefas!$BQ$30:$FK$30='Cronog. e Histog.'!$G376)*(Tarefas!$BQ$32:$FK$54)))/SUMIF(Tarefas!$N$32:$N$54,'Cronog. e Histog.'!$F$357,Tarefas!$K$32:$K$54),0)</f>
        <v>0</v>
      </c>
      <c r="I376" s="79">
        <f t="shared" si="1071"/>
        <v>0</v>
      </c>
      <c r="J376" s="65"/>
      <c r="K376" s="160">
        <f t="shared" si="1143"/>
        <v>0</v>
      </c>
      <c r="L376" s="160">
        <f t="shared" si="1145"/>
        <v>0</v>
      </c>
      <c r="M376" s="160">
        <f t="shared" si="1145"/>
        <v>0</v>
      </c>
      <c r="N376" s="160">
        <f t="shared" si="1145"/>
        <v>0</v>
      </c>
      <c r="O376" s="160">
        <f t="shared" si="1145"/>
        <v>0</v>
      </c>
      <c r="P376" s="160">
        <f t="shared" si="1145"/>
        <v>0</v>
      </c>
      <c r="Q376" s="160">
        <f t="shared" si="1145"/>
        <v>0</v>
      </c>
      <c r="R376" s="160">
        <f t="shared" si="1145"/>
        <v>0</v>
      </c>
      <c r="S376" s="160">
        <f t="shared" si="1145"/>
        <v>0</v>
      </c>
      <c r="T376" s="160">
        <f t="shared" si="1145"/>
        <v>0</v>
      </c>
      <c r="U376" s="160">
        <f t="shared" si="1145"/>
        <v>0</v>
      </c>
      <c r="V376" s="160">
        <f t="shared" si="1145"/>
        <v>0</v>
      </c>
      <c r="W376" s="160">
        <f t="shared" si="1145"/>
        <v>0</v>
      </c>
      <c r="X376" s="160">
        <f t="shared" si="1145"/>
        <v>0</v>
      </c>
      <c r="Y376" s="160">
        <f t="shared" si="1145"/>
        <v>0</v>
      </c>
      <c r="Z376" s="160">
        <f t="shared" si="1145"/>
        <v>0</v>
      </c>
      <c r="AA376" s="160">
        <f t="shared" si="1145"/>
        <v>0</v>
      </c>
      <c r="AB376" s="160">
        <f t="shared" si="1145"/>
        <v>0</v>
      </c>
      <c r="AC376" s="160">
        <f t="shared" si="1145"/>
        <v>0</v>
      </c>
      <c r="AD376" s="160">
        <f t="shared" si="1145"/>
        <v>0</v>
      </c>
      <c r="AE376" s="160">
        <f t="shared" si="1145"/>
        <v>0</v>
      </c>
      <c r="AF376" s="160">
        <f t="shared" si="1145"/>
        <v>0</v>
      </c>
      <c r="AG376" s="160">
        <f t="shared" si="1145"/>
        <v>0</v>
      </c>
      <c r="AH376" s="160">
        <f t="shared" si="1145"/>
        <v>0</v>
      </c>
      <c r="AI376" s="160">
        <f t="shared" si="1145"/>
        <v>0</v>
      </c>
      <c r="AJ376" s="160">
        <f t="shared" si="1145"/>
        <v>0</v>
      </c>
      <c r="AK376" s="160">
        <f t="shared" si="1145"/>
        <v>0</v>
      </c>
      <c r="AL376" s="160">
        <f t="shared" si="1145"/>
        <v>0</v>
      </c>
      <c r="AM376" s="160">
        <f t="shared" si="1145"/>
        <v>0</v>
      </c>
      <c r="AN376" s="160">
        <f t="shared" si="1145"/>
        <v>0</v>
      </c>
      <c r="AO376" s="160">
        <f t="shared" si="1145"/>
        <v>0</v>
      </c>
      <c r="AP376" s="160">
        <f t="shared" si="1145"/>
        <v>0</v>
      </c>
      <c r="AQ376" s="160">
        <f t="shared" si="1145"/>
        <v>0</v>
      </c>
      <c r="AR376" s="160">
        <f t="shared" si="1145"/>
        <v>0</v>
      </c>
      <c r="AS376" s="160">
        <f t="shared" si="1145"/>
        <v>0</v>
      </c>
      <c r="AT376" s="160">
        <f t="shared" si="1145"/>
        <v>0</v>
      </c>
      <c r="AU376" s="160">
        <f t="shared" si="1145"/>
        <v>0</v>
      </c>
      <c r="AV376" s="160">
        <f t="shared" si="1145"/>
        <v>0</v>
      </c>
      <c r="AW376" s="160">
        <f t="shared" si="1145"/>
        <v>0</v>
      </c>
      <c r="AX376" s="160">
        <f t="shared" si="1145"/>
        <v>0</v>
      </c>
      <c r="AY376" s="160">
        <f t="shared" si="1145"/>
        <v>0</v>
      </c>
      <c r="AZ376" s="160">
        <f t="shared" si="1145"/>
        <v>0</v>
      </c>
      <c r="BA376" s="160">
        <f t="shared" si="1145"/>
        <v>0</v>
      </c>
      <c r="BB376" s="160">
        <f t="shared" si="1145"/>
        <v>0</v>
      </c>
      <c r="BC376" s="160">
        <f t="shared" si="1145"/>
        <v>0</v>
      </c>
      <c r="BD376" s="160">
        <f t="shared" si="1145"/>
        <v>0</v>
      </c>
      <c r="BE376" s="160">
        <f t="shared" si="1145"/>
        <v>0</v>
      </c>
      <c r="BF376" s="160">
        <f t="shared" si="1145"/>
        <v>0</v>
      </c>
      <c r="BG376" s="160">
        <f t="shared" si="1145"/>
        <v>0</v>
      </c>
      <c r="BH376" s="160">
        <f t="shared" si="1145"/>
        <v>0</v>
      </c>
      <c r="BI376" s="160">
        <f t="shared" si="1145"/>
        <v>0</v>
      </c>
      <c r="BJ376" s="160">
        <f t="shared" si="1145"/>
        <v>0</v>
      </c>
      <c r="BK376" s="160">
        <f t="shared" si="1145"/>
        <v>0</v>
      </c>
      <c r="BL376" s="160">
        <f t="shared" si="1145"/>
        <v>0</v>
      </c>
      <c r="BM376" s="160">
        <f t="shared" si="1145"/>
        <v>0</v>
      </c>
      <c r="BN376" s="160">
        <f t="shared" si="1145"/>
        <v>0</v>
      </c>
      <c r="BO376" s="160">
        <f t="shared" si="1145"/>
        <v>0</v>
      </c>
      <c r="BP376" s="160">
        <f t="shared" si="1145"/>
        <v>0</v>
      </c>
      <c r="BQ376" s="160">
        <f t="shared" si="1145"/>
        <v>0</v>
      </c>
      <c r="BR376" s="160">
        <f t="shared" si="1145"/>
        <v>0</v>
      </c>
      <c r="BS376" s="65"/>
      <c r="BT376" s="160">
        <f t="shared" si="1006"/>
        <v>0</v>
      </c>
      <c r="BU376" s="160">
        <f t="shared" si="1007"/>
        <v>0</v>
      </c>
      <c r="BV376" s="65"/>
      <c r="BW376" s="69"/>
      <c r="BX376" s="65"/>
      <c r="BY376" s="137">
        <f t="shared" si="1008"/>
        <v>1</v>
      </c>
      <c r="BZ376" s="137">
        <f>IF(BY376&gt;0,BY376+LARGE($BZ$213:BZ375,1),0)</f>
        <v>140</v>
      </c>
      <c r="CA376" s="137" t="str">
        <f t="shared" si="1009"/>
        <v>EST_III</v>
      </c>
      <c r="CB376" s="161">
        <f t="shared" si="1010"/>
        <v>0</v>
      </c>
      <c r="CC376" s="161">
        <f t="shared" si="1011"/>
        <v>0</v>
      </c>
      <c r="CD376" s="161">
        <f t="shared" si="1012"/>
        <v>0</v>
      </c>
      <c r="CE376" s="161">
        <f t="shared" si="1013"/>
        <v>0</v>
      </c>
      <c r="CF376" s="161">
        <f t="shared" si="1014"/>
        <v>0</v>
      </c>
      <c r="CG376" s="161">
        <f t="shared" si="1015"/>
        <v>0</v>
      </c>
      <c r="CH376" s="161">
        <f t="shared" si="1016"/>
        <v>0</v>
      </c>
      <c r="CI376" s="161">
        <f t="shared" si="1017"/>
        <v>0</v>
      </c>
      <c r="CJ376" s="161">
        <f t="shared" si="1018"/>
        <v>0</v>
      </c>
      <c r="CK376" s="161">
        <f t="shared" si="1019"/>
        <v>0</v>
      </c>
      <c r="CL376" s="161">
        <f t="shared" si="1020"/>
        <v>0</v>
      </c>
      <c r="CM376" s="161">
        <f t="shared" si="1021"/>
        <v>0</v>
      </c>
      <c r="CN376" s="161">
        <f t="shared" si="1022"/>
        <v>0</v>
      </c>
      <c r="CO376" s="161">
        <f t="shared" si="1023"/>
        <v>0</v>
      </c>
      <c r="CP376" s="161">
        <f t="shared" si="1024"/>
        <v>0</v>
      </c>
      <c r="CQ376" s="161">
        <f t="shared" si="1025"/>
        <v>0</v>
      </c>
      <c r="CR376" s="161">
        <f t="shared" si="1026"/>
        <v>0</v>
      </c>
      <c r="CS376" s="161">
        <f t="shared" si="1027"/>
        <v>0</v>
      </c>
      <c r="CT376" s="161">
        <f t="shared" si="1028"/>
        <v>0</v>
      </c>
      <c r="CU376" s="161">
        <f t="shared" si="1029"/>
        <v>0</v>
      </c>
      <c r="CV376" s="161">
        <f t="shared" si="1030"/>
        <v>0</v>
      </c>
      <c r="CW376" s="161">
        <f t="shared" si="1031"/>
        <v>0</v>
      </c>
      <c r="CX376" s="161">
        <f t="shared" si="1032"/>
        <v>0</v>
      </c>
      <c r="CY376" s="161">
        <f t="shared" si="1033"/>
        <v>0</v>
      </c>
      <c r="CZ376" s="161">
        <f t="shared" si="1034"/>
        <v>0</v>
      </c>
      <c r="DA376" s="161">
        <f t="shared" si="1035"/>
        <v>0</v>
      </c>
      <c r="DB376" s="161">
        <f t="shared" si="1036"/>
        <v>0</v>
      </c>
      <c r="DC376" s="161">
        <f t="shared" si="1037"/>
        <v>0</v>
      </c>
      <c r="DD376" s="161">
        <f t="shared" si="1038"/>
        <v>0</v>
      </c>
      <c r="DE376" s="161">
        <f t="shared" si="1039"/>
        <v>0</v>
      </c>
      <c r="DF376" s="161">
        <f t="shared" si="1040"/>
        <v>0</v>
      </c>
      <c r="DG376" s="161">
        <f t="shared" si="1041"/>
        <v>0</v>
      </c>
      <c r="DH376" s="161">
        <f t="shared" si="1042"/>
        <v>0</v>
      </c>
      <c r="DI376" s="161">
        <f t="shared" si="1043"/>
        <v>0</v>
      </c>
      <c r="DJ376" s="161">
        <f t="shared" si="1044"/>
        <v>0</v>
      </c>
      <c r="DK376" s="161">
        <f t="shared" si="1045"/>
        <v>0</v>
      </c>
      <c r="DL376" s="161">
        <f t="shared" si="1046"/>
        <v>0</v>
      </c>
      <c r="DM376" s="161">
        <f t="shared" si="1047"/>
        <v>0</v>
      </c>
      <c r="DN376" s="161">
        <f t="shared" si="1048"/>
        <v>0</v>
      </c>
      <c r="DO376" s="161">
        <f t="shared" si="1049"/>
        <v>0</v>
      </c>
      <c r="DP376" s="161">
        <f t="shared" si="1050"/>
        <v>0</v>
      </c>
      <c r="DQ376" s="161">
        <f t="shared" si="1051"/>
        <v>0</v>
      </c>
      <c r="DR376" s="161">
        <f t="shared" si="1052"/>
        <v>0</v>
      </c>
      <c r="DS376" s="161">
        <f t="shared" si="1053"/>
        <v>0</v>
      </c>
      <c r="DT376" s="161">
        <f t="shared" si="1054"/>
        <v>0</v>
      </c>
      <c r="DU376" s="161">
        <f t="shared" si="1055"/>
        <v>0</v>
      </c>
      <c r="DV376" s="161">
        <f t="shared" si="1056"/>
        <v>0</v>
      </c>
      <c r="DW376" s="161">
        <f t="shared" si="1057"/>
        <v>0</v>
      </c>
      <c r="DX376" s="161">
        <f t="shared" si="1058"/>
        <v>0</v>
      </c>
      <c r="DY376" s="161">
        <f t="shared" si="1059"/>
        <v>0</v>
      </c>
      <c r="DZ376" s="161">
        <f t="shared" si="1060"/>
        <v>0</v>
      </c>
      <c r="EA376" s="161">
        <f t="shared" si="1061"/>
        <v>0</v>
      </c>
      <c r="EB376" s="161">
        <f t="shared" si="1062"/>
        <v>0</v>
      </c>
      <c r="EC376" s="161">
        <f t="shared" si="1063"/>
        <v>0</v>
      </c>
      <c r="ED376" s="161">
        <f t="shared" si="1064"/>
        <v>0</v>
      </c>
      <c r="EE376" s="161">
        <f t="shared" si="1065"/>
        <v>0</v>
      </c>
      <c r="EF376" s="161">
        <f t="shared" si="1066"/>
        <v>0</v>
      </c>
      <c r="EG376" s="161">
        <f t="shared" si="1067"/>
        <v>0</v>
      </c>
      <c r="EH376" s="161">
        <f t="shared" si="1068"/>
        <v>0</v>
      </c>
      <c r="EI376" s="161">
        <f t="shared" si="1069"/>
        <v>0</v>
      </c>
      <c r="EJ376" s="65"/>
      <c r="EK376" s="161">
        <f t="shared" si="1140"/>
        <v>0</v>
      </c>
      <c r="EL376" s="161">
        <f t="shared" si="1141"/>
        <v>0</v>
      </c>
      <c r="EM376" s="161">
        <f t="shared" si="1142"/>
        <v>0</v>
      </c>
    </row>
    <row r="377" spans="1:143" ht="12" hidden="1" customHeight="1" outlineLevel="1">
      <c r="B377" s="65"/>
      <c r="C377" s="65"/>
      <c r="D377" s="65"/>
      <c r="E377" s="65"/>
      <c r="F377" s="73" t="s">
        <v>380</v>
      </c>
      <c r="G377" s="162" t="str">
        <f>"Pico = "&amp;MAX(K377:BR377)</f>
        <v>Pico = 0</v>
      </c>
      <c r="H377" s="163">
        <f>SUM(H357:H376)</f>
        <v>0</v>
      </c>
      <c r="I377" s="148">
        <f>SUM(I357:I376)</f>
        <v>0</v>
      </c>
      <c r="J377" s="65"/>
      <c r="K377" s="146">
        <f t="shared" ref="K377:AP377" si="1146">SUM(K357:K376)</f>
        <v>0</v>
      </c>
      <c r="L377" s="146">
        <f t="shared" si="1146"/>
        <v>0</v>
      </c>
      <c r="M377" s="146">
        <f t="shared" si="1146"/>
        <v>0</v>
      </c>
      <c r="N377" s="146">
        <f t="shared" si="1146"/>
        <v>0</v>
      </c>
      <c r="O377" s="146">
        <f t="shared" si="1146"/>
        <v>0</v>
      </c>
      <c r="P377" s="146">
        <f t="shared" si="1146"/>
        <v>0</v>
      </c>
      <c r="Q377" s="146">
        <f t="shared" si="1146"/>
        <v>0</v>
      </c>
      <c r="R377" s="146">
        <f t="shared" si="1146"/>
        <v>0</v>
      </c>
      <c r="S377" s="146">
        <f t="shared" si="1146"/>
        <v>0</v>
      </c>
      <c r="T377" s="146">
        <f t="shared" si="1146"/>
        <v>0</v>
      </c>
      <c r="U377" s="146">
        <f t="shared" si="1146"/>
        <v>0</v>
      </c>
      <c r="V377" s="146">
        <f t="shared" si="1146"/>
        <v>0</v>
      </c>
      <c r="W377" s="146">
        <f t="shared" si="1146"/>
        <v>0</v>
      </c>
      <c r="X377" s="146">
        <f t="shared" si="1146"/>
        <v>0</v>
      </c>
      <c r="Y377" s="146">
        <f t="shared" si="1146"/>
        <v>0</v>
      </c>
      <c r="Z377" s="146">
        <f t="shared" si="1146"/>
        <v>0</v>
      </c>
      <c r="AA377" s="146">
        <f t="shared" si="1146"/>
        <v>0</v>
      </c>
      <c r="AB377" s="146">
        <f t="shared" si="1146"/>
        <v>0</v>
      </c>
      <c r="AC377" s="146">
        <f t="shared" si="1146"/>
        <v>0</v>
      </c>
      <c r="AD377" s="146">
        <f t="shared" si="1146"/>
        <v>0</v>
      </c>
      <c r="AE377" s="146">
        <f t="shared" si="1146"/>
        <v>0</v>
      </c>
      <c r="AF377" s="146">
        <f t="shared" si="1146"/>
        <v>0</v>
      </c>
      <c r="AG377" s="146">
        <f t="shared" si="1146"/>
        <v>0</v>
      </c>
      <c r="AH377" s="146">
        <f t="shared" si="1146"/>
        <v>0</v>
      </c>
      <c r="AI377" s="146">
        <f t="shared" si="1146"/>
        <v>0</v>
      </c>
      <c r="AJ377" s="146">
        <f t="shared" si="1146"/>
        <v>0</v>
      </c>
      <c r="AK377" s="146">
        <f t="shared" si="1146"/>
        <v>0</v>
      </c>
      <c r="AL377" s="146">
        <f t="shared" si="1146"/>
        <v>0</v>
      </c>
      <c r="AM377" s="146">
        <f t="shared" si="1146"/>
        <v>0</v>
      </c>
      <c r="AN377" s="146">
        <f t="shared" si="1146"/>
        <v>0</v>
      </c>
      <c r="AO377" s="146">
        <f t="shared" si="1146"/>
        <v>0</v>
      </c>
      <c r="AP377" s="146">
        <f t="shared" si="1146"/>
        <v>0</v>
      </c>
      <c r="AQ377" s="146">
        <f t="shared" ref="AQ377:BR377" si="1147">SUM(AQ357:AQ376)</f>
        <v>0</v>
      </c>
      <c r="AR377" s="146">
        <f t="shared" si="1147"/>
        <v>0</v>
      </c>
      <c r="AS377" s="146">
        <f t="shared" si="1147"/>
        <v>0</v>
      </c>
      <c r="AT377" s="146">
        <f t="shared" si="1147"/>
        <v>0</v>
      </c>
      <c r="AU377" s="146">
        <f t="shared" si="1147"/>
        <v>0</v>
      </c>
      <c r="AV377" s="146">
        <f t="shared" si="1147"/>
        <v>0</v>
      </c>
      <c r="AW377" s="146">
        <f t="shared" si="1147"/>
        <v>0</v>
      </c>
      <c r="AX377" s="146">
        <f t="shared" si="1147"/>
        <v>0</v>
      </c>
      <c r="AY377" s="146">
        <f t="shared" si="1147"/>
        <v>0</v>
      </c>
      <c r="AZ377" s="146">
        <f t="shared" si="1147"/>
        <v>0</v>
      </c>
      <c r="BA377" s="146">
        <f t="shared" si="1147"/>
        <v>0</v>
      </c>
      <c r="BB377" s="146">
        <f t="shared" si="1147"/>
        <v>0</v>
      </c>
      <c r="BC377" s="146">
        <f t="shared" si="1147"/>
        <v>0</v>
      </c>
      <c r="BD377" s="146">
        <f t="shared" si="1147"/>
        <v>0</v>
      </c>
      <c r="BE377" s="146">
        <f t="shared" si="1147"/>
        <v>0</v>
      </c>
      <c r="BF377" s="146">
        <f t="shared" si="1147"/>
        <v>0</v>
      </c>
      <c r="BG377" s="146">
        <f t="shared" si="1147"/>
        <v>0</v>
      </c>
      <c r="BH377" s="146">
        <f t="shared" si="1147"/>
        <v>0</v>
      </c>
      <c r="BI377" s="146">
        <f t="shared" si="1147"/>
        <v>0</v>
      </c>
      <c r="BJ377" s="146">
        <f t="shared" si="1147"/>
        <v>0</v>
      </c>
      <c r="BK377" s="146">
        <f t="shared" si="1147"/>
        <v>0</v>
      </c>
      <c r="BL377" s="146">
        <f t="shared" si="1147"/>
        <v>0</v>
      </c>
      <c r="BM377" s="146">
        <f t="shared" si="1147"/>
        <v>0</v>
      </c>
      <c r="BN377" s="146">
        <f t="shared" si="1147"/>
        <v>0</v>
      </c>
      <c r="BO377" s="146">
        <f t="shared" si="1147"/>
        <v>0</v>
      </c>
      <c r="BP377" s="146">
        <f t="shared" si="1147"/>
        <v>0</v>
      </c>
      <c r="BQ377" s="146">
        <f t="shared" si="1147"/>
        <v>0</v>
      </c>
      <c r="BR377" s="146">
        <f t="shared" si="1147"/>
        <v>0</v>
      </c>
      <c r="BS377" s="65"/>
      <c r="BT377" s="146">
        <f>SUM(BT357:BT376)</f>
        <v>0</v>
      </c>
      <c r="BU377" s="65"/>
      <c r="BV377" s="65"/>
      <c r="BW377" s="69"/>
      <c r="BX377" s="65"/>
      <c r="BY377" s="65"/>
      <c r="BZ377" s="65"/>
      <c r="CA377" s="65"/>
      <c r="CB377" s="65"/>
      <c r="CC377" s="65"/>
      <c r="CD377" s="65"/>
      <c r="CE377" s="65"/>
      <c r="CF377" s="65"/>
      <c r="CG377" s="65"/>
      <c r="CH377" s="65"/>
      <c r="CI377" s="65"/>
      <c r="CJ377" s="65"/>
      <c r="CK377" s="65"/>
      <c r="CL377" s="65"/>
      <c r="CM377" s="65"/>
      <c r="CN377" s="65"/>
      <c r="CO377" s="65"/>
      <c r="CP377" s="65"/>
      <c r="CQ377" s="65"/>
      <c r="CR377" s="65"/>
      <c r="CS377" s="65"/>
      <c r="CT377" s="65"/>
      <c r="CU377" s="65"/>
      <c r="CV377" s="65"/>
      <c r="CW377" s="65"/>
      <c r="CX377" s="65"/>
      <c r="CY377" s="65"/>
      <c r="CZ377" s="65"/>
      <c r="DA377" s="65"/>
      <c r="DB377" s="65"/>
      <c r="DC377" s="65"/>
      <c r="DD377" s="65"/>
      <c r="DE377" s="65"/>
      <c r="DF377" s="65"/>
      <c r="DG377" s="65"/>
      <c r="DH377" s="65"/>
      <c r="DI377" s="65"/>
      <c r="DJ377" s="65"/>
      <c r="DK377" s="65"/>
      <c r="DL377" s="65"/>
      <c r="DM377" s="65"/>
      <c r="DN377" s="65"/>
      <c r="DO377" s="65"/>
      <c r="DP377" s="65"/>
      <c r="DQ377" s="65"/>
      <c r="DR377" s="65"/>
      <c r="DS377" s="65"/>
      <c r="DT377" s="65"/>
      <c r="DU377" s="65"/>
      <c r="DV377" s="65"/>
      <c r="DW377" s="65"/>
      <c r="DX377" s="65"/>
      <c r="DY377" s="65"/>
      <c r="DZ377" s="65"/>
      <c r="EA377" s="65"/>
      <c r="EB377" s="65"/>
      <c r="EC377" s="65"/>
      <c r="ED377" s="65"/>
      <c r="EE377" s="65"/>
      <c r="EF377" s="65"/>
      <c r="EG377" s="65"/>
      <c r="EH377" s="65"/>
      <c r="EI377" s="65"/>
      <c r="EJ377" s="65"/>
      <c r="EK377" s="65"/>
      <c r="EL377" s="65"/>
      <c r="EM377" s="65"/>
    </row>
    <row r="378" spans="1:143" ht="12" hidden="1" customHeight="1" outlineLevel="1"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/>
      <c r="AT378" s="65"/>
      <c r="AU378" s="65"/>
      <c r="AV378" s="65"/>
      <c r="AW378" s="65"/>
      <c r="AX378" s="65"/>
      <c r="AY378" s="65"/>
      <c r="AZ378" s="65"/>
      <c r="BA378" s="65"/>
      <c r="BB378" s="65"/>
      <c r="BC378" s="65"/>
      <c r="BD378" s="65"/>
      <c r="BE378" s="65"/>
      <c r="BF378" s="65"/>
      <c r="BG378" s="65"/>
      <c r="BH378" s="65"/>
      <c r="BI378" s="65"/>
      <c r="BJ378" s="65"/>
      <c r="BK378" s="65"/>
      <c r="BL378" s="65"/>
      <c r="BM378" s="65"/>
      <c r="BN378" s="65"/>
      <c r="BO378" s="65"/>
      <c r="BP378" s="65"/>
      <c r="BQ378" s="65"/>
      <c r="BR378" s="65"/>
      <c r="BS378" s="65"/>
      <c r="BT378" s="65"/>
      <c r="BU378" s="65"/>
      <c r="BV378" s="65"/>
      <c r="BW378" s="69"/>
      <c r="BX378" s="65"/>
      <c r="BY378" s="65"/>
      <c r="BZ378" s="65"/>
      <c r="CA378" s="65"/>
      <c r="CB378" s="65"/>
      <c r="CC378" s="65"/>
      <c r="CD378" s="65"/>
      <c r="CE378" s="65"/>
      <c r="CF378" s="65"/>
      <c r="CG378" s="65"/>
      <c r="CH378" s="65"/>
      <c r="CI378" s="65"/>
      <c r="CJ378" s="65"/>
      <c r="CK378" s="65"/>
      <c r="CL378" s="65"/>
      <c r="CM378" s="65"/>
      <c r="CN378" s="65"/>
      <c r="CO378" s="65"/>
      <c r="CP378" s="65"/>
      <c r="CQ378" s="65"/>
      <c r="CR378" s="65"/>
      <c r="CS378" s="65"/>
      <c r="CT378" s="65"/>
      <c r="CU378" s="65"/>
      <c r="CV378" s="65"/>
      <c r="CW378" s="65"/>
      <c r="CX378" s="65"/>
      <c r="CY378" s="65"/>
      <c r="CZ378" s="65"/>
      <c r="DA378" s="65"/>
      <c r="DB378" s="65"/>
      <c r="DC378" s="65"/>
      <c r="DD378" s="65"/>
      <c r="DE378" s="65"/>
      <c r="DF378" s="65"/>
      <c r="DG378" s="65"/>
      <c r="DH378" s="65"/>
      <c r="DI378" s="65"/>
      <c r="DJ378" s="65"/>
      <c r="DK378" s="65"/>
      <c r="DL378" s="65"/>
      <c r="DM378" s="65"/>
      <c r="DN378" s="65"/>
      <c r="DO378" s="65"/>
      <c r="DP378" s="65"/>
      <c r="DQ378" s="65"/>
      <c r="DR378" s="65"/>
      <c r="DS378" s="65"/>
      <c r="DT378" s="65"/>
      <c r="DU378" s="65"/>
      <c r="DV378" s="65"/>
      <c r="DW378" s="65"/>
      <c r="DX378" s="65"/>
      <c r="DY378" s="65"/>
      <c r="DZ378" s="65"/>
      <c r="EA378" s="65"/>
      <c r="EB378" s="65"/>
      <c r="EC378" s="65"/>
      <c r="ED378" s="65"/>
      <c r="EE378" s="65"/>
      <c r="EF378" s="65"/>
      <c r="EG378" s="65"/>
      <c r="EH378" s="65"/>
      <c r="EI378" s="65"/>
      <c r="EJ378" s="65"/>
      <c r="EK378" s="65"/>
      <c r="EL378" s="65"/>
      <c r="EM378" s="65"/>
    </row>
    <row r="379" spans="1:143" ht="24" hidden="1" customHeight="1" outlineLevel="1">
      <c r="B379" s="593" t="s">
        <v>395</v>
      </c>
      <c r="C379" s="65"/>
      <c r="D379" s="65"/>
      <c r="E379" s="65"/>
      <c r="F379" s="149" t="str">
        <f>IF($G$58&gt;0,$G$58,"")</f>
        <v>Equipe08</v>
      </c>
      <c r="G379" s="149"/>
      <c r="H379" s="149"/>
      <c r="I379" s="149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5"/>
      <c r="AT379" s="65"/>
      <c r="AU379" s="65"/>
      <c r="AV379" s="65"/>
      <c r="AW379" s="65"/>
      <c r="AX379" s="65"/>
      <c r="AY379" s="65"/>
      <c r="AZ379" s="65"/>
      <c r="BA379" s="65"/>
      <c r="BB379" s="65"/>
      <c r="BC379" s="65"/>
      <c r="BD379" s="65"/>
      <c r="BE379" s="65"/>
      <c r="BF379" s="65"/>
      <c r="BG379" s="65"/>
      <c r="BH379" s="65"/>
      <c r="BI379" s="65"/>
      <c r="BJ379" s="65"/>
      <c r="BK379" s="65"/>
      <c r="BL379" s="65"/>
      <c r="BM379" s="65"/>
      <c r="BN379" s="65"/>
      <c r="BO379" s="65"/>
      <c r="BP379" s="65"/>
      <c r="BQ379" s="65"/>
      <c r="BR379" s="65"/>
      <c r="BS379" s="65"/>
      <c r="BT379" s="601" t="s">
        <v>396</v>
      </c>
      <c r="BU379" s="601" t="s">
        <v>397</v>
      </c>
      <c r="BV379" s="65"/>
      <c r="BW379" s="69"/>
      <c r="BX379" s="65"/>
      <c r="BY379" s="593" t="s">
        <v>398</v>
      </c>
      <c r="BZ379" s="593" t="s">
        <v>399</v>
      </c>
      <c r="CA379" s="593" t="s">
        <v>400</v>
      </c>
      <c r="CB379" s="592" t="s">
        <v>401</v>
      </c>
      <c r="CC379" s="592" t="s">
        <v>402</v>
      </c>
      <c r="CD379" s="592" t="s">
        <v>403</v>
      </c>
      <c r="CE379" s="592" t="s">
        <v>404</v>
      </c>
      <c r="CF379" s="592" t="s">
        <v>405</v>
      </c>
      <c r="CG379" s="592" t="s">
        <v>406</v>
      </c>
      <c r="CH379" s="592" t="s">
        <v>407</v>
      </c>
      <c r="CI379" s="592" t="s">
        <v>408</v>
      </c>
      <c r="CJ379" s="592" t="s">
        <v>409</v>
      </c>
      <c r="CK379" s="592" t="s">
        <v>410</v>
      </c>
      <c r="CL379" s="592" t="s">
        <v>411</v>
      </c>
      <c r="CM379" s="592" t="s">
        <v>412</v>
      </c>
      <c r="CN379" s="592" t="s">
        <v>413</v>
      </c>
      <c r="CO379" s="592" t="s">
        <v>414</v>
      </c>
      <c r="CP379" s="592" t="s">
        <v>415</v>
      </c>
      <c r="CQ379" s="592" t="s">
        <v>416</v>
      </c>
      <c r="CR379" s="592" t="s">
        <v>417</v>
      </c>
      <c r="CS379" s="592" t="s">
        <v>418</v>
      </c>
      <c r="CT379" s="592" t="s">
        <v>419</v>
      </c>
      <c r="CU379" s="592" t="s">
        <v>420</v>
      </c>
      <c r="CV379" s="592" t="s">
        <v>421</v>
      </c>
      <c r="CW379" s="592" t="s">
        <v>422</v>
      </c>
      <c r="CX379" s="592" t="s">
        <v>423</v>
      </c>
      <c r="CY379" s="592" t="s">
        <v>424</v>
      </c>
      <c r="CZ379" s="592" t="s">
        <v>425</v>
      </c>
      <c r="DA379" s="592" t="s">
        <v>426</v>
      </c>
      <c r="DB379" s="592" t="s">
        <v>427</v>
      </c>
      <c r="DC379" s="592" t="s">
        <v>428</v>
      </c>
      <c r="DD379" s="592" t="s">
        <v>429</v>
      </c>
      <c r="DE379" s="592" t="s">
        <v>430</v>
      </c>
      <c r="DF379" s="592" t="s">
        <v>431</v>
      </c>
      <c r="DG379" s="592" t="s">
        <v>432</v>
      </c>
      <c r="DH379" s="592" t="s">
        <v>433</v>
      </c>
      <c r="DI379" s="592" t="s">
        <v>434</v>
      </c>
      <c r="DJ379" s="592" t="s">
        <v>435</v>
      </c>
      <c r="DK379" s="592" t="s">
        <v>436</v>
      </c>
      <c r="DL379" s="592" t="s">
        <v>437</v>
      </c>
      <c r="DM379" s="592" t="s">
        <v>438</v>
      </c>
      <c r="DN379" s="592" t="s">
        <v>439</v>
      </c>
      <c r="DO379" s="592" t="s">
        <v>440</v>
      </c>
      <c r="DP379" s="592" t="s">
        <v>441</v>
      </c>
      <c r="DQ379" s="592" t="s">
        <v>442</v>
      </c>
      <c r="DR379" s="592" t="s">
        <v>443</v>
      </c>
      <c r="DS379" s="592" t="s">
        <v>444</v>
      </c>
      <c r="DT379" s="592" t="s">
        <v>445</v>
      </c>
      <c r="DU379" s="592" t="s">
        <v>446</v>
      </c>
      <c r="DV379" s="592" t="s">
        <v>447</v>
      </c>
      <c r="DW379" s="592" t="s">
        <v>448</v>
      </c>
      <c r="DX379" s="592" t="s">
        <v>449</v>
      </c>
      <c r="DY379" s="592" t="s">
        <v>450</v>
      </c>
      <c r="DZ379" s="592" t="s">
        <v>451</v>
      </c>
      <c r="EA379" s="592" t="s">
        <v>452</v>
      </c>
      <c r="EB379" s="592" t="s">
        <v>453</v>
      </c>
      <c r="EC379" s="592" t="s">
        <v>454</v>
      </c>
      <c r="ED379" s="592" t="s">
        <v>455</v>
      </c>
      <c r="EE379" s="592" t="s">
        <v>456</v>
      </c>
      <c r="EF379" s="592" t="s">
        <v>457</v>
      </c>
      <c r="EG379" s="592" t="s">
        <v>458</v>
      </c>
      <c r="EH379" s="592" t="s">
        <v>459</v>
      </c>
      <c r="EI379" s="592" t="s">
        <v>460</v>
      </c>
      <c r="EJ379" s="65"/>
      <c r="EK379" s="157" t="s">
        <v>376</v>
      </c>
      <c r="EL379" s="157" t="s">
        <v>461</v>
      </c>
      <c r="EM379" s="157" t="s">
        <v>383</v>
      </c>
    </row>
    <row r="380" spans="1:143" ht="12" hidden="1" customHeight="1" outlineLevel="1" collapsed="1">
      <c r="B380" s="593"/>
      <c r="C380" s="65"/>
      <c r="D380" s="65"/>
      <c r="E380" s="65"/>
      <c r="F380" s="158" t="s">
        <v>198</v>
      </c>
      <c r="G380" s="158" t="s">
        <v>462</v>
      </c>
      <c r="H380" s="158" t="s">
        <v>255</v>
      </c>
      <c r="I380" s="158" t="s">
        <v>68</v>
      </c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/>
      <c r="AU380" s="65"/>
      <c r="AV380" s="65"/>
      <c r="AW380" s="65"/>
      <c r="AX380" s="65"/>
      <c r="AY380" s="65"/>
      <c r="AZ380" s="65"/>
      <c r="BA380" s="65"/>
      <c r="BB380" s="65"/>
      <c r="BC380" s="65"/>
      <c r="BD380" s="65"/>
      <c r="BE380" s="65"/>
      <c r="BF380" s="65"/>
      <c r="BG380" s="65"/>
      <c r="BH380" s="65"/>
      <c r="BI380" s="65"/>
      <c r="BJ380" s="65"/>
      <c r="BK380" s="65"/>
      <c r="BL380" s="65"/>
      <c r="BM380" s="65"/>
      <c r="BN380" s="65"/>
      <c r="BO380" s="65"/>
      <c r="BP380" s="65"/>
      <c r="BQ380" s="65"/>
      <c r="BR380" s="65"/>
      <c r="BS380" s="65"/>
      <c r="BT380" s="602"/>
      <c r="BU380" s="602"/>
      <c r="BV380" s="65"/>
      <c r="BW380" s="69"/>
      <c r="BX380" s="65"/>
      <c r="BY380" s="593"/>
      <c r="BZ380" s="593"/>
      <c r="CA380" s="593"/>
      <c r="CB380" s="592"/>
      <c r="CC380" s="592"/>
      <c r="CD380" s="592"/>
      <c r="CE380" s="592"/>
      <c r="CF380" s="592"/>
      <c r="CG380" s="592"/>
      <c r="CH380" s="592"/>
      <c r="CI380" s="592"/>
      <c r="CJ380" s="592"/>
      <c r="CK380" s="592"/>
      <c r="CL380" s="592"/>
      <c r="CM380" s="592"/>
      <c r="CN380" s="592"/>
      <c r="CO380" s="592"/>
      <c r="CP380" s="592"/>
      <c r="CQ380" s="592"/>
      <c r="CR380" s="592"/>
      <c r="CS380" s="592"/>
      <c r="CT380" s="592"/>
      <c r="CU380" s="592"/>
      <c r="CV380" s="592"/>
      <c r="CW380" s="592"/>
      <c r="CX380" s="592"/>
      <c r="CY380" s="592"/>
      <c r="CZ380" s="592"/>
      <c r="DA380" s="592"/>
      <c r="DB380" s="592"/>
      <c r="DC380" s="592"/>
      <c r="DD380" s="592"/>
      <c r="DE380" s="592"/>
      <c r="DF380" s="592"/>
      <c r="DG380" s="592"/>
      <c r="DH380" s="592"/>
      <c r="DI380" s="592"/>
      <c r="DJ380" s="592"/>
      <c r="DK380" s="592"/>
      <c r="DL380" s="592"/>
      <c r="DM380" s="592"/>
      <c r="DN380" s="592"/>
      <c r="DO380" s="592"/>
      <c r="DP380" s="592"/>
      <c r="DQ380" s="592"/>
      <c r="DR380" s="592"/>
      <c r="DS380" s="592"/>
      <c r="DT380" s="592"/>
      <c r="DU380" s="592"/>
      <c r="DV380" s="592"/>
      <c r="DW380" s="592"/>
      <c r="DX380" s="592"/>
      <c r="DY380" s="592"/>
      <c r="DZ380" s="592"/>
      <c r="EA380" s="592"/>
      <c r="EB380" s="592"/>
      <c r="EC380" s="592"/>
      <c r="ED380" s="592"/>
      <c r="EE380" s="592"/>
      <c r="EF380" s="592"/>
      <c r="EG380" s="592"/>
      <c r="EH380" s="592"/>
      <c r="EI380" s="592"/>
      <c r="EJ380" s="65"/>
      <c r="EK380" s="159">
        <f>IFERROR(ROUNDUP(SUMPRODUCT($K401:$BR401,$K$113:$BR$113)/SUM($K401:$BR401),2),0)</f>
        <v>0</v>
      </c>
      <c r="EL380" s="159">
        <f>IFERROR(ROUNDUP(SUMPRODUCT($K401:$BR401,$K$137:$BR$137)/SUM($K401:$BR401),2),0)</f>
        <v>0</v>
      </c>
      <c r="EM380" s="159">
        <f>IFERROR(ROUNDUP(SUMPRODUCT($K401:$BR401,$K$161:$BR$161)/SUM($K401:$BR401),2),0)</f>
        <v>0</v>
      </c>
    </row>
    <row r="381" spans="1:143" ht="12" hidden="1" customHeight="1" outlineLevel="2">
      <c r="A381" s="77">
        <v>1</v>
      </c>
      <c r="B381" s="137" t="str">
        <f>IF(G381&gt;0,G381&amp;" - "&amp;$F$213,"")</f>
        <v>GER. (OBRA/PROJ) - Equipe_01</v>
      </c>
      <c r="C381" s="65"/>
      <c r="D381" s="620" t="s">
        <v>463</v>
      </c>
      <c r="E381" s="65"/>
      <c r="F381" s="584" t="str">
        <f>IFERROR(VLOOKUP(F379,Tarefas!$F$3:$G$22,2,0),"")</f>
        <v>Equipe_08</v>
      </c>
      <c r="G381" s="77" t="str">
        <f>IF(INDEX(Tarefas!$BT$30:$FK$30,MATCH(A381,Tarefas!$BT$28:$FK$28,0))=0,"",INDEX(Tarefas!$BT$30:$FK$30,MATCH(A381,Tarefas!$BT$28:$FK$28,0)))</f>
        <v>GER. (OBRA/PROJ)</v>
      </c>
      <c r="H381" s="107" cm="1">
        <f t="array" ref="H381">IFERROR((SUMPRODUCT((Tarefas!$N$32:$N$54='Cronog. e Histog.'!$F$381)*(Tarefas!$BQ$30:$FK$30='Cronog. e Histog.'!$G381)*(Tarefas!$BQ$32:$FK$54)))/SUMIF(Tarefas!$N$32:$N$54,'Cronog. e Histog.'!$F$381,Tarefas!$K$32:$K$54),0)</f>
        <v>0</v>
      </c>
      <c r="I381" s="79">
        <f>IFERROR(H381/$H$401,0)</f>
        <v>0</v>
      </c>
      <c r="J381" s="65"/>
      <c r="K381" s="160">
        <f>ROUND($I381*K$190,2)</f>
        <v>0</v>
      </c>
      <c r="L381" s="160">
        <f t="shared" ref="L381:BR395" si="1148">ROUND($I381*L$190,2)</f>
        <v>0</v>
      </c>
      <c r="M381" s="160">
        <f t="shared" si="1148"/>
        <v>0</v>
      </c>
      <c r="N381" s="160">
        <f t="shared" si="1148"/>
        <v>0</v>
      </c>
      <c r="O381" s="160">
        <f t="shared" si="1148"/>
        <v>0</v>
      </c>
      <c r="P381" s="160">
        <f t="shared" si="1148"/>
        <v>0</v>
      </c>
      <c r="Q381" s="160">
        <f t="shared" si="1148"/>
        <v>0</v>
      </c>
      <c r="R381" s="160">
        <f t="shared" si="1148"/>
        <v>0</v>
      </c>
      <c r="S381" s="160">
        <f t="shared" si="1148"/>
        <v>0</v>
      </c>
      <c r="T381" s="160">
        <f t="shared" si="1148"/>
        <v>0</v>
      </c>
      <c r="U381" s="160">
        <f t="shared" si="1148"/>
        <v>0</v>
      </c>
      <c r="V381" s="160">
        <f t="shared" si="1148"/>
        <v>0</v>
      </c>
      <c r="W381" s="160">
        <f t="shared" si="1148"/>
        <v>0</v>
      </c>
      <c r="X381" s="160">
        <f t="shared" si="1148"/>
        <v>0</v>
      </c>
      <c r="Y381" s="160">
        <f t="shared" si="1148"/>
        <v>0</v>
      </c>
      <c r="Z381" s="160">
        <f t="shared" si="1148"/>
        <v>0</v>
      </c>
      <c r="AA381" s="160">
        <f t="shared" si="1148"/>
        <v>0</v>
      </c>
      <c r="AB381" s="160">
        <f t="shared" si="1148"/>
        <v>0</v>
      </c>
      <c r="AC381" s="160">
        <f t="shared" si="1148"/>
        <v>0</v>
      </c>
      <c r="AD381" s="160">
        <f t="shared" si="1148"/>
        <v>0</v>
      </c>
      <c r="AE381" s="160">
        <f t="shared" si="1148"/>
        <v>0</v>
      </c>
      <c r="AF381" s="160">
        <f t="shared" si="1148"/>
        <v>0</v>
      </c>
      <c r="AG381" s="160">
        <f t="shared" si="1148"/>
        <v>0</v>
      </c>
      <c r="AH381" s="160">
        <f t="shared" si="1148"/>
        <v>0</v>
      </c>
      <c r="AI381" s="160">
        <f t="shared" si="1148"/>
        <v>0</v>
      </c>
      <c r="AJ381" s="160">
        <f t="shared" si="1148"/>
        <v>0</v>
      </c>
      <c r="AK381" s="160">
        <f t="shared" si="1148"/>
        <v>0</v>
      </c>
      <c r="AL381" s="160">
        <f t="shared" si="1148"/>
        <v>0</v>
      </c>
      <c r="AM381" s="160">
        <f t="shared" si="1148"/>
        <v>0</v>
      </c>
      <c r="AN381" s="160">
        <f t="shared" si="1148"/>
        <v>0</v>
      </c>
      <c r="AO381" s="160">
        <f t="shared" si="1148"/>
        <v>0</v>
      </c>
      <c r="AP381" s="160">
        <f t="shared" si="1148"/>
        <v>0</v>
      </c>
      <c r="AQ381" s="160">
        <f t="shared" si="1148"/>
        <v>0</v>
      </c>
      <c r="AR381" s="160">
        <f t="shared" si="1148"/>
        <v>0</v>
      </c>
      <c r="AS381" s="160">
        <f t="shared" si="1148"/>
        <v>0</v>
      </c>
      <c r="AT381" s="160">
        <f t="shared" si="1148"/>
        <v>0</v>
      </c>
      <c r="AU381" s="160">
        <f t="shared" si="1148"/>
        <v>0</v>
      </c>
      <c r="AV381" s="160">
        <f t="shared" si="1148"/>
        <v>0</v>
      </c>
      <c r="AW381" s="160">
        <f t="shared" si="1148"/>
        <v>0</v>
      </c>
      <c r="AX381" s="160">
        <f t="shared" si="1148"/>
        <v>0</v>
      </c>
      <c r="AY381" s="160">
        <f t="shared" si="1148"/>
        <v>0</v>
      </c>
      <c r="AZ381" s="160">
        <f t="shared" si="1148"/>
        <v>0</v>
      </c>
      <c r="BA381" s="160">
        <f t="shared" si="1148"/>
        <v>0</v>
      </c>
      <c r="BB381" s="160">
        <f t="shared" si="1148"/>
        <v>0</v>
      </c>
      <c r="BC381" s="160">
        <f t="shared" si="1148"/>
        <v>0</v>
      </c>
      <c r="BD381" s="160">
        <f t="shared" si="1148"/>
        <v>0</v>
      </c>
      <c r="BE381" s="160">
        <f t="shared" si="1148"/>
        <v>0</v>
      </c>
      <c r="BF381" s="160">
        <f t="shared" si="1148"/>
        <v>0</v>
      </c>
      <c r="BG381" s="160">
        <f t="shared" si="1148"/>
        <v>0</v>
      </c>
      <c r="BH381" s="160">
        <f t="shared" si="1148"/>
        <v>0</v>
      </c>
      <c r="BI381" s="160">
        <f t="shared" si="1148"/>
        <v>0</v>
      </c>
      <c r="BJ381" s="160">
        <f t="shared" si="1148"/>
        <v>0</v>
      </c>
      <c r="BK381" s="160">
        <f t="shared" si="1148"/>
        <v>0</v>
      </c>
      <c r="BL381" s="160">
        <f t="shared" si="1148"/>
        <v>0</v>
      </c>
      <c r="BM381" s="160">
        <f t="shared" si="1148"/>
        <v>0</v>
      </c>
      <c r="BN381" s="160">
        <f t="shared" si="1148"/>
        <v>0</v>
      </c>
      <c r="BO381" s="160">
        <f t="shared" si="1148"/>
        <v>0</v>
      </c>
      <c r="BP381" s="160">
        <f t="shared" si="1148"/>
        <v>0</v>
      </c>
      <c r="BQ381" s="160">
        <f t="shared" si="1148"/>
        <v>0</v>
      </c>
      <c r="BR381" s="160">
        <f t="shared" si="1148"/>
        <v>0</v>
      </c>
      <c r="BS381" s="65"/>
      <c r="BT381" s="160">
        <f t="shared" ref="BT381:BT400" si="1149">IFERROR(SUM(K381:BR381)/COUNTIF(K381:BR381,"&gt;0"),0)</f>
        <v>0</v>
      </c>
      <c r="BU381" s="160">
        <f t="shared" ref="BU381:BU400" si="1150">COUNTIF(K381:BR381,"&gt;0")</f>
        <v>0</v>
      </c>
      <c r="BV381" s="65"/>
      <c r="BW381" s="69"/>
      <c r="BX381" s="65"/>
      <c r="BY381" s="137">
        <f t="shared" ref="BY381:BY400" si="1151">IF(G381&gt;0,1,0)</f>
        <v>1</v>
      </c>
      <c r="BZ381" s="137">
        <f>IF(BY381&gt;0,BY381+LARGE($BZ$213:BZ380,1),0)</f>
        <v>141</v>
      </c>
      <c r="CA381" s="137" t="str">
        <f t="shared" ref="CA381:CA400" si="1152">G381</f>
        <v>GER. (OBRA/PROJ)</v>
      </c>
      <c r="CB381" s="161">
        <f t="shared" ref="CB381:CB400" si="1153">K381</f>
        <v>0</v>
      </c>
      <c r="CC381" s="161">
        <f t="shared" ref="CC381:CC400" si="1154">L381</f>
        <v>0</v>
      </c>
      <c r="CD381" s="161">
        <f t="shared" ref="CD381:CD400" si="1155">M381</f>
        <v>0</v>
      </c>
      <c r="CE381" s="161">
        <f t="shared" ref="CE381:CE400" si="1156">N381</f>
        <v>0</v>
      </c>
      <c r="CF381" s="161">
        <f t="shared" ref="CF381:CF400" si="1157">O381</f>
        <v>0</v>
      </c>
      <c r="CG381" s="161">
        <f t="shared" ref="CG381:CG400" si="1158">P381</f>
        <v>0</v>
      </c>
      <c r="CH381" s="161">
        <f t="shared" ref="CH381:CH400" si="1159">Q381</f>
        <v>0</v>
      </c>
      <c r="CI381" s="161">
        <f t="shared" ref="CI381:CI400" si="1160">R381</f>
        <v>0</v>
      </c>
      <c r="CJ381" s="161">
        <f t="shared" ref="CJ381:CJ400" si="1161">S381</f>
        <v>0</v>
      </c>
      <c r="CK381" s="161">
        <f t="shared" ref="CK381:CK400" si="1162">T381</f>
        <v>0</v>
      </c>
      <c r="CL381" s="161">
        <f t="shared" ref="CL381:CL400" si="1163">U381</f>
        <v>0</v>
      </c>
      <c r="CM381" s="161">
        <f t="shared" ref="CM381:CM400" si="1164">V381</f>
        <v>0</v>
      </c>
      <c r="CN381" s="161">
        <f t="shared" ref="CN381:CN400" si="1165">W381</f>
        <v>0</v>
      </c>
      <c r="CO381" s="161">
        <f t="shared" ref="CO381:CO400" si="1166">X381</f>
        <v>0</v>
      </c>
      <c r="CP381" s="161">
        <f t="shared" ref="CP381:CP400" si="1167">Y381</f>
        <v>0</v>
      </c>
      <c r="CQ381" s="161">
        <f t="shared" ref="CQ381:CQ400" si="1168">Z381</f>
        <v>0</v>
      </c>
      <c r="CR381" s="161">
        <f t="shared" ref="CR381:CR400" si="1169">AA381</f>
        <v>0</v>
      </c>
      <c r="CS381" s="161">
        <f t="shared" ref="CS381:CS400" si="1170">AB381</f>
        <v>0</v>
      </c>
      <c r="CT381" s="161">
        <f t="shared" ref="CT381:CT400" si="1171">AC381</f>
        <v>0</v>
      </c>
      <c r="CU381" s="161">
        <f t="shared" ref="CU381:CU400" si="1172">AD381</f>
        <v>0</v>
      </c>
      <c r="CV381" s="161">
        <f t="shared" ref="CV381:CV400" si="1173">AE381</f>
        <v>0</v>
      </c>
      <c r="CW381" s="161">
        <f t="shared" ref="CW381:CW400" si="1174">AF381</f>
        <v>0</v>
      </c>
      <c r="CX381" s="161">
        <f t="shared" ref="CX381:CX400" si="1175">AG381</f>
        <v>0</v>
      </c>
      <c r="CY381" s="161">
        <f t="shared" ref="CY381:CY400" si="1176">AH381</f>
        <v>0</v>
      </c>
      <c r="CZ381" s="161">
        <f t="shared" ref="CZ381:CZ400" si="1177">AI381</f>
        <v>0</v>
      </c>
      <c r="DA381" s="161">
        <f t="shared" ref="DA381:DA400" si="1178">AJ381</f>
        <v>0</v>
      </c>
      <c r="DB381" s="161">
        <f t="shared" ref="DB381:DB400" si="1179">AK381</f>
        <v>0</v>
      </c>
      <c r="DC381" s="161">
        <f t="shared" ref="DC381:DC400" si="1180">AL381</f>
        <v>0</v>
      </c>
      <c r="DD381" s="161">
        <f t="shared" ref="DD381:DD400" si="1181">AM381</f>
        <v>0</v>
      </c>
      <c r="DE381" s="161">
        <f t="shared" ref="DE381:DE400" si="1182">AN381</f>
        <v>0</v>
      </c>
      <c r="DF381" s="161">
        <f t="shared" ref="DF381:DF400" si="1183">AO381</f>
        <v>0</v>
      </c>
      <c r="DG381" s="161">
        <f t="shared" ref="DG381:DG400" si="1184">AP381</f>
        <v>0</v>
      </c>
      <c r="DH381" s="161">
        <f t="shared" ref="DH381:DH400" si="1185">AQ381</f>
        <v>0</v>
      </c>
      <c r="DI381" s="161">
        <f t="shared" ref="DI381:DI400" si="1186">AR381</f>
        <v>0</v>
      </c>
      <c r="DJ381" s="161">
        <f t="shared" ref="DJ381:DJ400" si="1187">AS381</f>
        <v>0</v>
      </c>
      <c r="DK381" s="161">
        <f t="shared" ref="DK381:DK400" si="1188">AT381</f>
        <v>0</v>
      </c>
      <c r="DL381" s="161">
        <f t="shared" ref="DL381:DL400" si="1189">AU381</f>
        <v>0</v>
      </c>
      <c r="DM381" s="161">
        <f t="shared" ref="DM381:DM400" si="1190">AV381</f>
        <v>0</v>
      </c>
      <c r="DN381" s="161">
        <f t="shared" ref="DN381:DN400" si="1191">AW381</f>
        <v>0</v>
      </c>
      <c r="DO381" s="161">
        <f t="shared" ref="DO381:DO400" si="1192">AX381</f>
        <v>0</v>
      </c>
      <c r="DP381" s="161">
        <f t="shared" ref="DP381:DP400" si="1193">AY381</f>
        <v>0</v>
      </c>
      <c r="DQ381" s="161">
        <f t="shared" ref="DQ381:DQ400" si="1194">AZ381</f>
        <v>0</v>
      </c>
      <c r="DR381" s="161">
        <f t="shared" ref="DR381:DR400" si="1195">BA381</f>
        <v>0</v>
      </c>
      <c r="DS381" s="161">
        <f t="shared" ref="DS381:DS400" si="1196">BB381</f>
        <v>0</v>
      </c>
      <c r="DT381" s="161">
        <f t="shared" ref="DT381:DT400" si="1197">BC381</f>
        <v>0</v>
      </c>
      <c r="DU381" s="161">
        <f t="shared" ref="DU381:DU400" si="1198">BD381</f>
        <v>0</v>
      </c>
      <c r="DV381" s="161">
        <f t="shared" ref="DV381:DV400" si="1199">BE381</f>
        <v>0</v>
      </c>
      <c r="DW381" s="161">
        <f t="shared" ref="DW381:DW400" si="1200">BF381</f>
        <v>0</v>
      </c>
      <c r="DX381" s="161">
        <f t="shared" ref="DX381:DX400" si="1201">BG381</f>
        <v>0</v>
      </c>
      <c r="DY381" s="161">
        <f t="shared" ref="DY381:DY400" si="1202">BH381</f>
        <v>0</v>
      </c>
      <c r="DZ381" s="161">
        <f t="shared" ref="DZ381:DZ400" si="1203">BI381</f>
        <v>0</v>
      </c>
      <c r="EA381" s="161">
        <f t="shared" ref="EA381:EA400" si="1204">BJ381</f>
        <v>0</v>
      </c>
      <c r="EB381" s="161">
        <f t="shared" ref="EB381:EB400" si="1205">BK381</f>
        <v>0</v>
      </c>
      <c r="EC381" s="161">
        <f t="shared" ref="EC381:EC400" si="1206">BL381</f>
        <v>0</v>
      </c>
      <c r="ED381" s="161">
        <f t="shared" ref="ED381:ED400" si="1207">BM381</f>
        <v>0</v>
      </c>
      <c r="EE381" s="161">
        <f t="shared" ref="EE381:EE400" si="1208">BN381</f>
        <v>0</v>
      </c>
      <c r="EF381" s="161">
        <f t="shared" ref="EF381:EF400" si="1209">BO381</f>
        <v>0</v>
      </c>
      <c r="EG381" s="161">
        <f t="shared" ref="EG381:EG400" si="1210">BP381</f>
        <v>0</v>
      </c>
      <c r="EH381" s="161">
        <f t="shared" ref="EH381:EH400" si="1211">BQ381</f>
        <v>0</v>
      </c>
      <c r="EI381" s="161">
        <f t="shared" ref="EI381:EI400" si="1212">BR381</f>
        <v>0</v>
      </c>
      <c r="EJ381" s="65"/>
      <c r="EK381" s="161">
        <f>$EK$380</f>
        <v>0</v>
      </c>
      <c r="EL381" s="161">
        <f>$EL$380</f>
        <v>0</v>
      </c>
      <c r="EM381" s="161">
        <f>$EM$380</f>
        <v>0</v>
      </c>
    </row>
    <row r="382" spans="1:143" ht="12" hidden="1" customHeight="1" outlineLevel="2">
      <c r="A382" s="77">
        <v>2</v>
      </c>
      <c r="B382" s="137" t="str">
        <f t="shared" ref="B382:B400" si="1213">IF(G382&gt;0,G382&amp;" - "&amp;$F$213,"")</f>
        <v>COORD. - Equipe_01</v>
      </c>
      <c r="C382" s="65"/>
      <c r="D382" s="621"/>
      <c r="E382" s="65"/>
      <c r="F382" s="584"/>
      <c r="G382" s="77" t="str">
        <f>IF(INDEX(Tarefas!$BT$30:$FK$30,MATCH(A382,Tarefas!$BT$28:$FK$28,0))=0,"",INDEX(Tarefas!$BT$30:$FK$30,MATCH(A382,Tarefas!$BT$28:$FK$28,0)))</f>
        <v>COORD.</v>
      </c>
      <c r="H382" s="107" cm="1">
        <f t="array" ref="H382">IFERROR((SUMPRODUCT((Tarefas!$N$32:$N$54='Cronog. e Histog.'!$F$381)*(Tarefas!$BQ$30:$FK$30='Cronog. e Histog.'!$G382)*(Tarefas!$BQ$32:$FK$54)))/SUMIF(Tarefas!$N$32:$N$54,'Cronog. e Histog.'!$F$381,Tarefas!$K$32:$K$54),0)</f>
        <v>0</v>
      </c>
      <c r="I382" s="79">
        <f t="shared" ref="I382:I400" si="1214">IFERROR(H382/$H$401,0)</f>
        <v>0</v>
      </c>
      <c r="J382" s="65"/>
      <c r="K382" s="160">
        <f t="shared" ref="K382:Z391" si="1215">ROUND($I382*K$190,2)</f>
        <v>0</v>
      </c>
      <c r="L382" s="160">
        <f t="shared" si="1215"/>
        <v>0</v>
      </c>
      <c r="M382" s="160">
        <f t="shared" si="1215"/>
        <v>0</v>
      </c>
      <c r="N382" s="160">
        <f t="shared" si="1215"/>
        <v>0</v>
      </c>
      <c r="O382" s="160">
        <f t="shared" si="1215"/>
        <v>0</v>
      </c>
      <c r="P382" s="160">
        <f t="shared" si="1215"/>
        <v>0</v>
      </c>
      <c r="Q382" s="160">
        <f t="shared" si="1215"/>
        <v>0</v>
      </c>
      <c r="R382" s="160">
        <f t="shared" si="1215"/>
        <v>0</v>
      </c>
      <c r="S382" s="160">
        <f t="shared" si="1215"/>
        <v>0</v>
      </c>
      <c r="T382" s="160">
        <f t="shared" si="1215"/>
        <v>0</v>
      </c>
      <c r="U382" s="160">
        <f t="shared" si="1215"/>
        <v>0</v>
      </c>
      <c r="V382" s="160">
        <f t="shared" si="1215"/>
        <v>0</v>
      </c>
      <c r="W382" s="160">
        <f t="shared" si="1215"/>
        <v>0</v>
      </c>
      <c r="X382" s="160">
        <f t="shared" si="1215"/>
        <v>0</v>
      </c>
      <c r="Y382" s="160">
        <f t="shared" si="1215"/>
        <v>0</v>
      </c>
      <c r="Z382" s="160">
        <f t="shared" si="1215"/>
        <v>0</v>
      </c>
      <c r="AA382" s="160">
        <f t="shared" ref="AA382:AP391" si="1216">ROUND($I382*AA$190,2)</f>
        <v>0</v>
      </c>
      <c r="AB382" s="160">
        <f t="shared" si="1216"/>
        <v>0</v>
      </c>
      <c r="AC382" s="160">
        <f t="shared" si="1216"/>
        <v>0</v>
      </c>
      <c r="AD382" s="160">
        <f t="shared" si="1216"/>
        <v>0</v>
      </c>
      <c r="AE382" s="160">
        <f t="shared" si="1216"/>
        <v>0</v>
      </c>
      <c r="AF382" s="160">
        <f t="shared" si="1216"/>
        <v>0</v>
      </c>
      <c r="AG382" s="160">
        <f t="shared" si="1216"/>
        <v>0</v>
      </c>
      <c r="AH382" s="160">
        <f t="shared" si="1216"/>
        <v>0</v>
      </c>
      <c r="AI382" s="160">
        <f t="shared" si="1216"/>
        <v>0</v>
      </c>
      <c r="AJ382" s="160">
        <f t="shared" si="1216"/>
        <v>0</v>
      </c>
      <c r="AK382" s="160">
        <f t="shared" si="1216"/>
        <v>0</v>
      </c>
      <c r="AL382" s="160">
        <f t="shared" si="1216"/>
        <v>0</v>
      </c>
      <c r="AM382" s="160">
        <f t="shared" si="1216"/>
        <v>0</v>
      </c>
      <c r="AN382" s="160">
        <f t="shared" si="1216"/>
        <v>0</v>
      </c>
      <c r="AO382" s="160">
        <f t="shared" si="1216"/>
        <v>0</v>
      </c>
      <c r="AP382" s="160">
        <f t="shared" si="1216"/>
        <v>0</v>
      </c>
      <c r="AQ382" s="160">
        <f t="shared" ref="AQ382:BF391" si="1217">ROUND($I382*AQ$190,2)</f>
        <v>0</v>
      </c>
      <c r="AR382" s="160">
        <f t="shared" si="1217"/>
        <v>0</v>
      </c>
      <c r="AS382" s="160">
        <f t="shared" si="1217"/>
        <v>0</v>
      </c>
      <c r="AT382" s="160">
        <f t="shared" si="1217"/>
        <v>0</v>
      </c>
      <c r="AU382" s="160">
        <f t="shared" si="1217"/>
        <v>0</v>
      </c>
      <c r="AV382" s="160">
        <f t="shared" si="1217"/>
        <v>0</v>
      </c>
      <c r="AW382" s="160">
        <f t="shared" si="1217"/>
        <v>0</v>
      </c>
      <c r="AX382" s="160">
        <f t="shared" si="1217"/>
        <v>0</v>
      </c>
      <c r="AY382" s="160">
        <f t="shared" si="1217"/>
        <v>0</v>
      </c>
      <c r="AZ382" s="160">
        <f t="shared" si="1217"/>
        <v>0</v>
      </c>
      <c r="BA382" s="160">
        <f t="shared" si="1217"/>
        <v>0</v>
      </c>
      <c r="BB382" s="160">
        <f t="shared" si="1217"/>
        <v>0</v>
      </c>
      <c r="BC382" s="160">
        <f t="shared" si="1217"/>
        <v>0</v>
      </c>
      <c r="BD382" s="160">
        <f t="shared" si="1217"/>
        <v>0</v>
      </c>
      <c r="BE382" s="160">
        <f t="shared" si="1217"/>
        <v>0</v>
      </c>
      <c r="BF382" s="160">
        <f t="shared" si="1217"/>
        <v>0</v>
      </c>
      <c r="BG382" s="160">
        <f t="shared" ref="BG382:BR391" si="1218">ROUND($I382*BG$190,2)</f>
        <v>0</v>
      </c>
      <c r="BH382" s="160">
        <f t="shared" si="1218"/>
        <v>0</v>
      </c>
      <c r="BI382" s="160">
        <f t="shared" si="1218"/>
        <v>0</v>
      </c>
      <c r="BJ382" s="160">
        <f t="shared" si="1218"/>
        <v>0</v>
      </c>
      <c r="BK382" s="160">
        <f t="shared" si="1218"/>
        <v>0</v>
      </c>
      <c r="BL382" s="160">
        <f t="shared" si="1218"/>
        <v>0</v>
      </c>
      <c r="BM382" s="160">
        <f t="shared" si="1218"/>
        <v>0</v>
      </c>
      <c r="BN382" s="160">
        <f t="shared" si="1218"/>
        <v>0</v>
      </c>
      <c r="BO382" s="160">
        <f t="shared" si="1218"/>
        <v>0</v>
      </c>
      <c r="BP382" s="160">
        <f t="shared" si="1218"/>
        <v>0</v>
      </c>
      <c r="BQ382" s="160">
        <f t="shared" si="1218"/>
        <v>0</v>
      </c>
      <c r="BR382" s="160">
        <f t="shared" si="1218"/>
        <v>0</v>
      </c>
      <c r="BS382" s="65"/>
      <c r="BT382" s="160">
        <f t="shared" ref="BT382:BT391" si="1219">IFERROR(SUM(K382:BR382)/COUNTIF(K382:BR382,"&gt;0"),0)</f>
        <v>0</v>
      </c>
      <c r="BU382" s="160">
        <f t="shared" ref="BU382:BU391" si="1220">COUNTIF(K382:BR382,"&gt;0")</f>
        <v>0</v>
      </c>
      <c r="BV382" s="65"/>
      <c r="BW382" s="69"/>
      <c r="BX382" s="65"/>
      <c r="BY382" s="137">
        <f t="shared" ref="BY382:BY391" si="1221">IF(G382&gt;0,1,0)</f>
        <v>1</v>
      </c>
      <c r="BZ382" s="137">
        <f>IF(BY382&gt;0,BY382+LARGE($BZ$213:BZ381,1),0)</f>
        <v>142</v>
      </c>
      <c r="CA382" s="137" t="str">
        <f t="shared" ref="CA382:CA391" si="1222">G382</f>
        <v>COORD.</v>
      </c>
      <c r="CB382" s="161">
        <f t="shared" ref="CB382:CB391" si="1223">K382</f>
        <v>0</v>
      </c>
      <c r="CC382" s="161">
        <f t="shared" ref="CC382:CC391" si="1224">L382</f>
        <v>0</v>
      </c>
      <c r="CD382" s="161">
        <f t="shared" ref="CD382:CD391" si="1225">M382</f>
        <v>0</v>
      </c>
      <c r="CE382" s="161">
        <f t="shared" ref="CE382:CE391" si="1226">N382</f>
        <v>0</v>
      </c>
      <c r="CF382" s="161">
        <f t="shared" ref="CF382:CF391" si="1227">O382</f>
        <v>0</v>
      </c>
      <c r="CG382" s="161">
        <f t="shared" ref="CG382:CG391" si="1228">P382</f>
        <v>0</v>
      </c>
      <c r="CH382" s="161">
        <f t="shared" ref="CH382:CH391" si="1229">Q382</f>
        <v>0</v>
      </c>
      <c r="CI382" s="161">
        <f t="shared" ref="CI382:CI391" si="1230">R382</f>
        <v>0</v>
      </c>
      <c r="CJ382" s="161">
        <f t="shared" ref="CJ382:CJ391" si="1231">S382</f>
        <v>0</v>
      </c>
      <c r="CK382" s="161">
        <f t="shared" ref="CK382:CK391" si="1232">T382</f>
        <v>0</v>
      </c>
      <c r="CL382" s="161">
        <f t="shared" ref="CL382:CL391" si="1233">U382</f>
        <v>0</v>
      </c>
      <c r="CM382" s="161">
        <f t="shared" ref="CM382:CM391" si="1234">V382</f>
        <v>0</v>
      </c>
      <c r="CN382" s="161">
        <f t="shared" ref="CN382:CN391" si="1235">W382</f>
        <v>0</v>
      </c>
      <c r="CO382" s="161">
        <f t="shared" ref="CO382:CO391" si="1236">X382</f>
        <v>0</v>
      </c>
      <c r="CP382" s="161">
        <f t="shared" ref="CP382:CP391" si="1237">Y382</f>
        <v>0</v>
      </c>
      <c r="CQ382" s="161">
        <f t="shared" ref="CQ382:CQ391" si="1238">Z382</f>
        <v>0</v>
      </c>
      <c r="CR382" s="161">
        <f t="shared" ref="CR382:CR391" si="1239">AA382</f>
        <v>0</v>
      </c>
      <c r="CS382" s="161">
        <f t="shared" ref="CS382:CS391" si="1240">AB382</f>
        <v>0</v>
      </c>
      <c r="CT382" s="161">
        <f t="shared" ref="CT382:CT391" si="1241">AC382</f>
        <v>0</v>
      </c>
      <c r="CU382" s="161">
        <f t="shared" ref="CU382:CU391" si="1242">AD382</f>
        <v>0</v>
      </c>
      <c r="CV382" s="161">
        <f t="shared" ref="CV382:CV391" si="1243">AE382</f>
        <v>0</v>
      </c>
      <c r="CW382" s="161">
        <f t="shared" ref="CW382:CW391" si="1244">AF382</f>
        <v>0</v>
      </c>
      <c r="CX382" s="161">
        <f t="shared" ref="CX382:CX391" si="1245">AG382</f>
        <v>0</v>
      </c>
      <c r="CY382" s="161">
        <f t="shared" ref="CY382:CY391" si="1246">AH382</f>
        <v>0</v>
      </c>
      <c r="CZ382" s="161">
        <f t="shared" ref="CZ382:CZ391" si="1247">AI382</f>
        <v>0</v>
      </c>
      <c r="DA382" s="161">
        <f t="shared" ref="DA382:DA391" si="1248">AJ382</f>
        <v>0</v>
      </c>
      <c r="DB382" s="161">
        <f t="shared" ref="DB382:DB391" si="1249">AK382</f>
        <v>0</v>
      </c>
      <c r="DC382" s="161">
        <f t="shared" ref="DC382:DC391" si="1250">AL382</f>
        <v>0</v>
      </c>
      <c r="DD382" s="161">
        <f t="shared" ref="DD382:DD391" si="1251">AM382</f>
        <v>0</v>
      </c>
      <c r="DE382" s="161">
        <f t="shared" ref="DE382:DE391" si="1252">AN382</f>
        <v>0</v>
      </c>
      <c r="DF382" s="161">
        <f t="shared" ref="DF382:DF391" si="1253">AO382</f>
        <v>0</v>
      </c>
      <c r="DG382" s="161">
        <f t="shared" ref="DG382:DG391" si="1254">AP382</f>
        <v>0</v>
      </c>
      <c r="DH382" s="161">
        <f t="shared" ref="DH382:DH391" si="1255">AQ382</f>
        <v>0</v>
      </c>
      <c r="DI382" s="161">
        <f t="shared" ref="DI382:DI391" si="1256">AR382</f>
        <v>0</v>
      </c>
      <c r="DJ382" s="161">
        <f t="shared" ref="DJ382:DJ391" si="1257">AS382</f>
        <v>0</v>
      </c>
      <c r="DK382" s="161">
        <f t="shared" ref="DK382:DK391" si="1258">AT382</f>
        <v>0</v>
      </c>
      <c r="DL382" s="161">
        <f t="shared" ref="DL382:DL391" si="1259">AU382</f>
        <v>0</v>
      </c>
      <c r="DM382" s="161">
        <f t="shared" ref="DM382:DM391" si="1260">AV382</f>
        <v>0</v>
      </c>
      <c r="DN382" s="161">
        <f t="shared" ref="DN382:DN391" si="1261">AW382</f>
        <v>0</v>
      </c>
      <c r="DO382" s="161">
        <f t="shared" ref="DO382:DO391" si="1262">AX382</f>
        <v>0</v>
      </c>
      <c r="DP382" s="161">
        <f t="shared" ref="DP382:DP391" si="1263">AY382</f>
        <v>0</v>
      </c>
      <c r="DQ382" s="161">
        <f t="shared" ref="DQ382:DQ391" si="1264">AZ382</f>
        <v>0</v>
      </c>
      <c r="DR382" s="161">
        <f t="shared" ref="DR382:DR391" si="1265">BA382</f>
        <v>0</v>
      </c>
      <c r="DS382" s="161">
        <f t="shared" ref="DS382:DS391" si="1266">BB382</f>
        <v>0</v>
      </c>
      <c r="DT382" s="161">
        <f t="shared" ref="DT382:DT391" si="1267">BC382</f>
        <v>0</v>
      </c>
      <c r="DU382" s="161">
        <f t="shared" ref="DU382:DU391" si="1268">BD382</f>
        <v>0</v>
      </c>
      <c r="DV382" s="161">
        <f t="shared" ref="DV382:DV391" si="1269">BE382</f>
        <v>0</v>
      </c>
      <c r="DW382" s="161">
        <f t="shared" ref="DW382:DW391" si="1270">BF382</f>
        <v>0</v>
      </c>
      <c r="DX382" s="161">
        <f t="shared" ref="DX382:DX391" si="1271">BG382</f>
        <v>0</v>
      </c>
      <c r="DY382" s="161">
        <f t="shared" ref="DY382:DY391" si="1272">BH382</f>
        <v>0</v>
      </c>
      <c r="DZ382" s="161">
        <f t="shared" ref="DZ382:DZ391" si="1273">BI382</f>
        <v>0</v>
      </c>
      <c r="EA382" s="161">
        <f t="shared" ref="EA382:EA391" si="1274">BJ382</f>
        <v>0</v>
      </c>
      <c r="EB382" s="161">
        <f t="shared" ref="EB382:EB391" si="1275">BK382</f>
        <v>0</v>
      </c>
      <c r="EC382" s="161">
        <f t="shared" ref="EC382:EC391" si="1276">BL382</f>
        <v>0</v>
      </c>
      <c r="ED382" s="161">
        <f t="shared" ref="ED382:ED391" si="1277">BM382</f>
        <v>0</v>
      </c>
      <c r="EE382" s="161">
        <f t="shared" ref="EE382:EE391" si="1278">BN382</f>
        <v>0</v>
      </c>
      <c r="EF382" s="161">
        <f t="shared" ref="EF382:EF391" si="1279">BO382</f>
        <v>0</v>
      </c>
      <c r="EG382" s="161">
        <f t="shared" ref="EG382:EG391" si="1280">BP382</f>
        <v>0</v>
      </c>
      <c r="EH382" s="161">
        <f t="shared" ref="EH382:EH391" si="1281">BQ382</f>
        <v>0</v>
      </c>
      <c r="EI382" s="161">
        <f t="shared" ref="EI382:EI391" si="1282">BR382</f>
        <v>0</v>
      </c>
      <c r="EJ382" s="65"/>
      <c r="EK382" s="161">
        <f t="shared" ref="EK382:EK400" si="1283">$EK$380</f>
        <v>0</v>
      </c>
      <c r="EL382" s="161">
        <f t="shared" ref="EL382:EL400" si="1284">$EL$380</f>
        <v>0</v>
      </c>
      <c r="EM382" s="161">
        <f t="shared" ref="EM382:EM400" si="1285">$EM$380</f>
        <v>0</v>
      </c>
    </row>
    <row r="383" spans="1:143" ht="12" hidden="1" customHeight="1" outlineLevel="2">
      <c r="A383" s="77">
        <v>3</v>
      </c>
      <c r="B383" s="137" t="str">
        <f t="shared" si="1213"/>
        <v>SUP.-ESP - Equipe_01</v>
      </c>
      <c r="C383" s="65"/>
      <c r="D383" s="621"/>
      <c r="E383" s="65"/>
      <c r="F383" s="584"/>
      <c r="G383" s="77" t="str">
        <f>IF(INDEX(Tarefas!$BT$30:$FK$30,MATCH(A383,Tarefas!$BT$28:$FK$28,0))=0,"",INDEX(Tarefas!$BT$30:$FK$30,MATCH(A383,Tarefas!$BT$28:$FK$28,0)))</f>
        <v>SUP.-ESP</v>
      </c>
      <c r="H383" s="107" cm="1">
        <f t="array" ref="H383">IFERROR((SUMPRODUCT((Tarefas!$N$32:$N$54='Cronog. e Histog.'!$F$381)*(Tarefas!$BQ$30:$FK$30='Cronog. e Histog.'!$G383)*(Tarefas!$BQ$32:$FK$54)))/SUMIF(Tarefas!$N$32:$N$54,'Cronog. e Histog.'!$F$381,Tarefas!$K$32:$K$54),0)</f>
        <v>0</v>
      </c>
      <c r="I383" s="79">
        <f t="shared" si="1214"/>
        <v>0</v>
      </c>
      <c r="J383" s="65"/>
      <c r="K383" s="160">
        <f t="shared" si="1215"/>
        <v>0</v>
      </c>
      <c r="L383" s="160">
        <f t="shared" si="1215"/>
        <v>0</v>
      </c>
      <c r="M383" s="160">
        <f t="shared" si="1215"/>
        <v>0</v>
      </c>
      <c r="N383" s="160">
        <f t="shared" si="1215"/>
        <v>0</v>
      </c>
      <c r="O383" s="160">
        <f t="shared" si="1215"/>
        <v>0</v>
      </c>
      <c r="P383" s="160">
        <f t="shared" si="1215"/>
        <v>0</v>
      </c>
      <c r="Q383" s="160">
        <f t="shared" si="1215"/>
        <v>0</v>
      </c>
      <c r="R383" s="160">
        <f t="shared" si="1215"/>
        <v>0</v>
      </c>
      <c r="S383" s="160">
        <f t="shared" si="1215"/>
        <v>0</v>
      </c>
      <c r="T383" s="160">
        <f t="shared" si="1215"/>
        <v>0</v>
      </c>
      <c r="U383" s="160">
        <f t="shared" si="1215"/>
        <v>0</v>
      </c>
      <c r="V383" s="160">
        <f t="shared" si="1215"/>
        <v>0</v>
      </c>
      <c r="W383" s="160">
        <f t="shared" si="1215"/>
        <v>0</v>
      </c>
      <c r="X383" s="160">
        <f t="shared" si="1215"/>
        <v>0</v>
      </c>
      <c r="Y383" s="160">
        <f t="shared" si="1215"/>
        <v>0</v>
      </c>
      <c r="Z383" s="160">
        <f t="shared" si="1215"/>
        <v>0</v>
      </c>
      <c r="AA383" s="160">
        <f t="shared" si="1216"/>
        <v>0</v>
      </c>
      <c r="AB383" s="160">
        <f t="shared" si="1216"/>
        <v>0</v>
      </c>
      <c r="AC383" s="160">
        <f t="shared" si="1216"/>
        <v>0</v>
      </c>
      <c r="AD383" s="160">
        <f t="shared" si="1216"/>
        <v>0</v>
      </c>
      <c r="AE383" s="160">
        <f t="shared" si="1216"/>
        <v>0</v>
      </c>
      <c r="AF383" s="160">
        <f t="shared" si="1216"/>
        <v>0</v>
      </c>
      <c r="AG383" s="160">
        <f t="shared" si="1216"/>
        <v>0</v>
      </c>
      <c r="AH383" s="160">
        <f t="shared" si="1216"/>
        <v>0</v>
      </c>
      <c r="AI383" s="160">
        <f t="shared" si="1216"/>
        <v>0</v>
      </c>
      <c r="AJ383" s="160">
        <f t="shared" si="1216"/>
        <v>0</v>
      </c>
      <c r="AK383" s="160">
        <f t="shared" si="1216"/>
        <v>0</v>
      </c>
      <c r="AL383" s="160">
        <f t="shared" si="1216"/>
        <v>0</v>
      </c>
      <c r="AM383" s="160">
        <f t="shared" si="1216"/>
        <v>0</v>
      </c>
      <c r="AN383" s="160">
        <f t="shared" si="1216"/>
        <v>0</v>
      </c>
      <c r="AO383" s="160">
        <f t="shared" si="1216"/>
        <v>0</v>
      </c>
      <c r="AP383" s="160">
        <f t="shared" si="1216"/>
        <v>0</v>
      </c>
      <c r="AQ383" s="160">
        <f t="shared" si="1217"/>
        <v>0</v>
      </c>
      <c r="AR383" s="160">
        <f t="shared" si="1217"/>
        <v>0</v>
      </c>
      <c r="AS383" s="160">
        <f t="shared" si="1217"/>
        <v>0</v>
      </c>
      <c r="AT383" s="160">
        <f t="shared" si="1217"/>
        <v>0</v>
      </c>
      <c r="AU383" s="160">
        <f t="shared" si="1217"/>
        <v>0</v>
      </c>
      <c r="AV383" s="160">
        <f t="shared" si="1217"/>
        <v>0</v>
      </c>
      <c r="AW383" s="160">
        <f t="shared" si="1217"/>
        <v>0</v>
      </c>
      <c r="AX383" s="160">
        <f t="shared" si="1217"/>
        <v>0</v>
      </c>
      <c r="AY383" s="160">
        <f t="shared" si="1217"/>
        <v>0</v>
      </c>
      <c r="AZ383" s="160">
        <f t="shared" si="1217"/>
        <v>0</v>
      </c>
      <c r="BA383" s="160">
        <f t="shared" si="1217"/>
        <v>0</v>
      </c>
      <c r="BB383" s="160">
        <f t="shared" si="1217"/>
        <v>0</v>
      </c>
      <c r="BC383" s="160">
        <f t="shared" si="1217"/>
        <v>0</v>
      </c>
      <c r="BD383" s="160">
        <f t="shared" si="1217"/>
        <v>0</v>
      </c>
      <c r="BE383" s="160">
        <f t="shared" si="1217"/>
        <v>0</v>
      </c>
      <c r="BF383" s="160">
        <f t="shared" si="1217"/>
        <v>0</v>
      </c>
      <c r="BG383" s="160">
        <f t="shared" si="1218"/>
        <v>0</v>
      </c>
      <c r="BH383" s="160">
        <f t="shared" si="1218"/>
        <v>0</v>
      </c>
      <c r="BI383" s="160">
        <f t="shared" si="1218"/>
        <v>0</v>
      </c>
      <c r="BJ383" s="160">
        <f t="shared" si="1218"/>
        <v>0</v>
      </c>
      <c r="BK383" s="160">
        <f t="shared" si="1218"/>
        <v>0</v>
      </c>
      <c r="BL383" s="160">
        <f t="shared" si="1218"/>
        <v>0</v>
      </c>
      <c r="BM383" s="160">
        <f t="shared" si="1218"/>
        <v>0</v>
      </c>
      <c r="BN383" s="160">
        <f t="shared" si="1218"/>
        <v>0</v>
      </c>
      <c r="BO383" s="160">
        <f t="shared" si="1218"/>
        <v>0</v>
      </c>
      <c r="BP383" s="160">
        <f t="shared" si="1218"/>
        <v>0</v>
      </c>
      <c r="BQ383" s="160">
        <f t="shared" si="1218"/>
        <v>0</v>
      </c>
      <c r="BR383" s="160">
        <f t="shared" si="1218"/>
        <v>0</v>
      </c>
      <c r="BS383" s="65"/>
      <c r="BT383" s="160">
        <f t="shared" si="1219"/>
        <v>0</v>
      </c>
      <c r="BU383" s="160">
        <f t="shared" si="1220"/>
        <v>0</v>
      </c>
      <c r="BV383" s="65"/>
      <c r="BW383" s="69"/>
      <c r="BX383" s="65"/>
      <c r="BY383" s="137">
        <f t="shared" si="1221"/>
        <v>1</v>
      </c>
      <c r="BZ383" s="137">
        <f>IF(BY383&gt;0,BY383+LARGE($BZ$213:BZ382,1),0)</f>
        <v>143</v>
      </c>
      <c r="CA383" s="137" t="str">
        <f t="shared" si="1222"/>
        <v>SUP.-ESP</v>
      </c>
      <c r="CB383" s="161">
        <f t="shared" si="1223"/>
        <v>0</v>
      </c>
      <c r="CC383" s="161">
        <f t="shared" si="1224"/>
        <v>0</v>
      </c>
      <c r="CD383" s="161">
        <f t="shared" si="1225"/>
        <v>0</v>
      </c>
      <c r="CE383" s="161">
        <f t="shared" si="1226"/>
        <v>0</v>
      </c>
      <c r="CF383" s="161">
        <f t="shared" si="1227"/>
        <v>0</v>
      </c>
      <c r="CG383" s="161">
        <f t="shared" si="1228"/>
        <v>0</v>
      </c>
      <c r="CH383" s="161">
        <f t="shared" si="1229"/>
        <v>0</v>
      </c>
      <c r="CI383" s="161">
        <f t="shared" si="1230"/>
        <v>0</v>
      </c>
      <c r="CJ383" s="161">
        <f t="shared" si="1231"/>
        <v>0</v>
      </c>
      <c r="CK383" s="161">
        <f t="shared" si="1232"/>
        <v>0</v>
      </c>
      <c r="CL383" s="161">
        <f t="shared" si="1233"/>
        <v>0</v>
      </c>
      <c r="CM383" s="161">
        <f t="shared" si="1234"/>
        <v>0</v>
      </c>
      <c r="CN383" s="161">
        <f t="shared" si="1235"/>
        <v>0</v>
      </c>
      <c r="CO383" s="161">
        <f t="shared" si="1236"/>
        <v>0</v>
      </c>
      <c r="CP383" s="161">
        <f t="shared" si="1237"/>
        <v>0</v>
      </c>
      <c r="CQ383" s="161">
        <f t="shared" si="1238"/>
        <v>0</v>
      </c>
      <c r="CR383" s="161">
        <f t="shared" si="1239"/>
        <v>0</v>
      </c>
      <c r="CS383" s="161">
        <f t="shared" si="1240"/>
        <v>0</v>
      </c>
      <c r="CT383" s="161">
        <f t="shared" si="1241"/>
        <v>0</v>
      </c>
      <c r="CU383" s="161">
        <f t="shared" si="1242"/>
        <v>0</v>
      </c>
      <c r="CV383" s="161">
        <f t="shared" si="1243"/>
        <v>0</v>
      </c>
      <c r="CW383" s="161">
        <f t="shared" si="1244"/>
        <v>0</v>
      </c>
      <c r="CX383" s="161">
        <f t="shared" si="1245"/>
        <v>0</v>
      </c>
      <c r="CY383" s="161">
        <f t="shared" si="1246"/>
        <v>0</v>
      </c>
      <c r="CZ383" s="161">
        <f t="shared" si="1247"/>
        <v>0</v>
      </c>
      <c r="DA383" s="161">
        <f t="shared" si="1248"/>
        <v>0</v>
      </c>
      <c r="DB383" s="161">
        <f t="shared" si="1249"/>
        <v>0</v>
      </c>
      <c r="DC383" s="161">
        <f t="shared" si="1250"/>
        <v>0</v>
      </c>
      <c r="DD383" s="161">
        <f t="shared" si="1251"/>
        <v>0</v>
      </c>
      <c r="DE383" s="161">
        <f t="shared" si="1252"/>
        <v>0</v>
      </c>
      <c r="DF383" s="161">
        <f t="shared" si="1253"/>
        <v>0</v>
      </c>
      <c r="DG383" s="161">
        <f t="shared" si="1254"/>
        <v>0</v>
      </c>
      <c r="DH383" s="161">
        <f t="shared" si="1255"/>
        <v>0</v>
      </c>
      <c r="DI383" s="161">
        <f t="shared" si="1256"/>
        <v>0</v>
      </c>
      <c r="DJ383" s="161">
        <f t="shared" si="1257"/>
        <v>0</v>
      </c>
      <c r="DK383" s="161">
        <f t="shared" si="1258"/>
        <v>0</v>
      </c>
      <c r="DL383" s="161">
        <f t="shared" si="1259"/>
        <v>0</v>
      </c>
      <c r="DM383" s="161">
        <f t="shared" si="1260"/>
        <v>0</v>
      </c>
      <c r="DN383" s="161">
        <f t="shared" si="1261"/>
        <v>0</v>
      </c>
      <c r="DO383" s="161">
        <f t="shared" si="1262"/>
        <v>0</v>
      </c>
      <c r="DP383" s="161">
        <f t="shared" si="1263"/>
        <v>0</v>
      </c>
      <c r="DQ383" s="161">
        <f t="shared" si="1264"/>
        <v>0</v>
      </c>
      <c r="DR383" s="161">
        <f t="shared" si="1265"/>
        <v>0</v>
      </c>
      <c r="DS383" s="161">
        <f t="shared" si="1266"/>
        <v>0</v>
      </c>
      <c r="DT383" s="161">
        <f t="shared" si="1267"/>
        <v>0</v>
      </c>
      <c r="DU383" s="161">
        <f t="shared" si="1268"/>
        <v>0</v>
      </c>
      <c r="DV383" s="161">
        <f t="shared" si="1269"/>
        <v>0</v>
      </c>
      <c r="DW383" s="161">
        <f t="shared" si="1270"/>
        <v>0</v>
      </c>
      <c r="DX383" s="161">
        <f t="shared" si="1271"/>
        <v>0</v>
      </c>
      <c r="DY383" s="161">
        <f t="shared" si="1272"/>
        <v>0</v>
      </c>
      <c r="DZ383" s="161">
        <f t="shared" si="1273"/>
        <v>0</v>
      </c>
      <c r="EA383" s="161">
        <f t="shared" si="1274"/>
        <v>0</v>
      </c>
      <c r="EB383" s="161">
        <f t="shared" si="1275"/>
        <v>0</v>
      </c>
      <c r="EC383" s="161">
        <f t="shared" si="1276"/>
        <v>0</v>
      </c>
      <c r="ED383" s="161">
        <f t="shared" si="1277"/>
        <v>0</v>
      </c>
      <c r="EE383" s="161">
        <f t="shared" si="1278"/>
        <v>0</v>
      </c>
      <c r="EF383" s="161">
        <f t="shared" si="1279"/>
        <v>0</v>
      </c>
      <c r="EG383" s="161">
        <f t="shared" si="1280"/>
        <v>0</v>
      </c>
      <c r="EH383" s="161">
        <f t="shared" si="1281"/>
        <v>0</v>
      </c>
      <c r="EI383" s="161">
        <f t="shared" si="1282"/>
        <v>0</v>
      </c>
      <c r="EJ383" s="65"/>
      <c r="EK383" s="161">
        <f t="shared" si="1283"/>
        <v>0</v>
      </c>
      <c r="EL383" s="161">
        <f t="shared" si="1284"/>
        <v>0</v>
      </c>
      <c r="EM383" s="161">
        <f t="shared" si="1285"/>
        <v>0</v>
      </c>
    </row>
    <row r="384" spans="1:143" ht="12" hidden="1" customHeight="1" outlineLevel="2">
      <c r="A384" s="77">
        <v>4</v>
      </c>
      <c r="B384" s="137" t="str">
        <f t="shared" si="1213"/>
        <v>ENG/ARQ SR. - Equipe_01</v>
      </c>
      <c r="C384" s="65"/>
      <c r="D384" s="621"/>
      <c r="E384" s="65"/>
      <c r="F384" s="584"/>
      <c r="G384" s="77" t="str">
        <f>IF(INDEX(Tarefas!$BT$30:$FK$30,MATCH(A384,Tarefas!$BT$28:$FK$28,0))=0,"",INDEX(Tarefas!$BT$30:$FK$30,MATCH(A384,Tarefas!$BT$28:$FK$28,0)))</f>
        <v>ENG/ARQ SR.</v>
      </c>
      <c r="H384" s="107" cm="1">
        <f t="array" ref="H384">IFERROR((SUMPRODUCT((Tarefas!$N$32:$N$54='Cronog. e Histog.'!$F$381)*(Tarefas!$BQ$30:$FK$30='Cronog. e Histog.'!$G384)*(Tarefas!$BQ$32:$FK$54)))/SUMIF(Tarefas!$N$32:$N$54,'Cronog. e Histog.'!$F$381,Tarefas!$K$32:$K$54),0)</f>
        <v>0</v>
      </c>
      <c r="I384" s="79">
        <f t="shared" si="1214"/>
        <v>0</v>
      </c>
      <c r="J384" s="65"/>
      <c r="K384" s="160">
        <f t="shared" si="1215"/>
        <v>0</v>
      </c>
      <c r="L384" s="160">
        <f t="shared" si="1215"/>
        <v>0</v>
      </c>
      <c r="M384" s="160">
        <f t="shared" si="1215"/>
        <v>0</v>
      </c>
      <c r="N384" s="160">
        <f t="shared" si="1215"/>
        <v>0</v>
      </c>
      <c r="O384" s="160">
        <f t="shared" si="1215"/>
        <v>0</v>
      </c>
      <c r="P384" s="160">
        <f t="shared" si="1215"/>
        <v>0</v>
      </c>
      <c r="Q384" s="160">
        <f t="shared" si="1215"/>
        <v>0</v>
      </c>
      <c r="R384" s="160">
        <f t="shared" si="1215"/>
        <v>0</v>
      </c>
      <c r="S384" s="160">
        <f t="shared" si="1215"/>
        <v>0</v>
      </c>
      <c r="T384" s="160">
        <f t="shared" si="1215"/>
        <v>0</v>
      </c>
      <c r="U384" s="160">
        <f t="shared" si="1215"/>
        <v>0</v>
      </c>
      <c r="V384" s="160">
        <f t="shared" si="1215"/>
        <v>0</v>
      </c>
      <c r="W384" s="160">
        <f t="shared" si="1215"/>
        <v>0</v>
      </c>
      <c r="X384" s="160">
        <f t="shared" si="1215"/>
        <v>0</v>
      </c>
      <c r="Y384" s="160">
        <f t="shared" si="1215"/>
        <v>0</v>
      </c>
      <c r="Z384" s="160">
        <f t="shared" si="1215"/>
        <v>0</v>
      </c>
      <c r="AA384" s="160">
        <f t="shared" si="1216"/>
        <v>0</v>
      </c>
      <c r="AB384" s="160">
        <f t="shared" si="1216"/>
        <v>0</v>
      </c>
      <c r="AC384" s="160">
        <f t="shared" si="1216"/>
        <v>0</v>
      </c>
      <c r="AD384" s="160">
        <f t="shared" si="1216"/>
        <v>0</v>
      </c>
      <c r="AE384" s="160">
        <f t="shared" si="1216"/>
        <v>0</v>
      </c>
      <c r="AF384" s="160">
        <f t="shared" si="1216"/>
        <v>0</v>
      </c>
      <c r="AG384" s="160">
        <f t="shared" si="1216"/>
        <v>0</v>
      </c>
      <c r="AH384" s="160">
        <f t="shared" si="1216"/>
        <v>0</v>
      </c>
      <c r="AI384" s="160">
        <f t="shared" si="1216"/>
        <v>0</v>
      </c>
      <c r="AJ384" s="160">
        <f t="shared" si="1216"/>
        <v>0</v>
      </c>
      <c r="AK384" s="160">
        <f t="shared" si="1216"/>
        <v>0</v>
      </c>
      <c r="AL384" s="160">
        <f t="shared" si="1216"/>
        <v>0</v>
      </c>
      <c r="AM384" s="160">
        <f t="shared" si="1216"/>
        <v>0</v>
      </c>
      <c r="AN384" s="160">
        <f t="shared" si="1216"/>
        <v>0</v>
      </c>
      <c r="AO384" s="160">
        <f t="shared" si="1216"/>
        <v>0</v>
      </c>
      <c r="AP384" s="160">
        <f t="shared" si="1216"/>
        <v>0</v>
      </c>
      <c r="AQ384" s="160">
        <f t="shared" si="1217"/>
        <v>0</v>
      </c>
      <c r="AR384" s="160">
        <f t="shared" si="1217"/>
        <v>0</v>
      </c>
      <c r="AS384" s="160">
        <f t="shared" si="1217"/>
        <v>0</v>
      </c>
      <c r="AT384" s="160">
        <f t="shared" si="1217"/>
        <v>0</v>
      </c>
      <c r="AU384" s="160">
        <f t="shared" si="1217"/>
        <v>0</v>
      </c>
      <c r="AV384" s="160">
        <f t="shared" si="1217"/>
        <v>0</v>
      </c>
      <c r="AW384" s="160">
        <f t="shared" si="1217"/>
        <v>0</v>
      </c>
      <c r="AX384" s="160">
        <f t="shared" si="1217"/>
        <v>0</v>
      </c>
      <c r="AY384" s="160">
        <f t="shared" si="1217"/>
        <v>0</v>
      </c>
      <c r="AZ384" s="160">
        <f t="shared" si="1217"/>
        <v>0</v>
      </c>
      <c r="BA384" s="160">
        <f t="shared" si="1217"/>
        <v>0</v>
      </c>
      <c r="BB384" s="160">
        <f t="shared" si="1217"/>
        <v>0</v>
      </c>
      <c r="BC384" s="160">
        <f t="shared" si="1217"/>
        <v>0</v>
      </c>
      <c r="BD384" s="160">
        <f t="shared" si="1217"/>
        <v>0</v>
      </c>
      <c r="BE384" s="160">
        <f t="shared" si="1217"/>
        <v>0</v>
      </c>
      <c r="BF384" s="160">
        <f t="shared" si="1217"/>
        <v>0</v>
      </c>
      <c r="BG384" s="160">
        <f t="shared" si="1218"/>
        <v>0</v>
      </c>
      <c r="BH384" s="160">
        <f t="shared" si="1218"/>
        <v>0</v>
      </c>
      <c r="BI384" s="160">
        <f t="shared" si="1218"/>
        <v>0</v>
      </c>
      <c r="BJ384" s="160">
        <f t="shared" si="1218"/>
        <v>0</v>
      </c>
      <c r="BK384" s="160">
        <f t="shared" si="1218"/>
        <v>0</v>
      </c>
      <c r="BL384" s="160">
        <f t="shared" si="1218"/>
        <v>0</v>
      </c>
      <c r="BM384" s="160">
        <f t="shared" si="1218"/>
        <v>0</v>
      </c>
      <c r="BN384" s="160">
        <f t="shared" si="1218"/>
        <v>0</v>
      </c>
      <c r="BO384" s="160">
        <f t="shared" si="1218"/>
        <v>0</v>
      </c>
      <c r="BP384" s="160">
        <f t="shared" si="1218"/>
        <v>0</v>
      </c>
      <c r="BQ384" s="160">
        <f t="shared" si="1218"/>
        <v>0</v>
      </c>
      <c r="BR384" s="160">
        <f t="shared" si="1218"/>
        <v>0</v>
      </c>
      <c r="BS384" s="65"/>
      <c r="BT384" s="160">
        <f t="shared" si="1219"/>
        <v>0</v>
      </c>
      <c r="BU384" s="160">
        <f t="shared" si="1220"/>
        <v>0</v>
      </c>
      <c r="BV384" s="65"/>
      <c r="BW384" s="69"/>
      <c r="BX384" s="65"/>
      <c r="BY384" s="137">
        <f t="shared" si="1221"/>
        <v>1</v>
      </c>
      <c r="BZ384" s="137">
        <f>IF(BY384&gt;0,BY384+LARGE($BZ$213:BZ383,1),0)</f>
        <v>144</v>
      </c>
      <c r="CA384" s="137" t="str">
        <f t="shared" si="1222"/>
        <v>ENG/ARQ SR.</v>
      </c>
      <c r="CB384" s="161">
        <f t="shared" si="1223"/>
        <v>0</v>
      </c>
      <c r="CC384" s="161">
        <f t="shared" si="1224"/>
        <v>0</v>
      </c>
      <c r="CD384" s="161">
        <f t="shared" si="1225"/>
        <v>0</v>
      </c>
      <c r="CE384" s="161">
        <f t="shared" si="1226"/>
        <v>0</v>
      </c>
      <c r="CF384" s="161">
        <f t="shared" si="1227"/>
        <v>0</v>
      </c>
      <c r="CG384" s="161">
        <f t="shared" si="1228"/>
        <v>0</v>
      </c>
      <c r="CH384" s="161">
        <f t="shared" si="1229"/>
        <v>0</v>
      </c>
      <c r="CI384" s="161">
        <f t="shared" si="1230"/>
        <v>0</v>
      </c>
      <c r="CJ384" s="161">
        <f t="shared" si="1231"/>
        <v>0</v>
      </c>
      <c r="CK384" s="161">
        <f t="shared" si="1232"/>
        <v>0</v>
      </c>
      <c r="CL384" s="161">
        <f t="shared" si="1233"/>
        <v>0</v>
      </c>
      <c r="CM384" s="161">
        <f t="shared" si="1234"/>
        <v>0</v>
      </c>
      <c r="CN384" s="161">
        <f t="shared" si="1235"/>
        <v>0</v>
      </c>
      <c r="CO384" s="161">
        <f t="shared" si="1236"/>
        <v>0</v>
      </c>
      <c r="CP384" s="161">
        <f t="shared" si="1237"/>
        <v>0</v>
      </c>
      <c r="CQ384" s="161">
        <f t="shared" si="1238"/>
        <v>0</v>
      </c>
      <c r="CR384" s="161">
        <f t="shared" si="1239"/>
        <v>0</v>
      </c>
      <c r="CS384" s="161">
        <f t="shared" si="1240"/>
        <v>0</v>
      </c>
      <c r="CT384" s="161">
        <f t="shared" si="1241"/>
        <v>0</v>
      </c>
      <c r="CU384" s="161">
        <f t="shared" si="1242"/>
        <v>0</v>
      </c>
      <c r="CV384" s="161">
        <f t="shared" si="1243"/>
        <v>0</v>
      </c>
      <c r="CW384" s="161">
        <f t="shared" si="1244"/>
        <v>0</v>
      </c>
      <c r="CX384" s="161">
        <f t="shared" si="1245"/>
        <v>0</v>
      </c>
      <c r="CY384" s="161">
        <f t="shared" si="1246"/>
        <v>0</v>
      </c>
      <c r="CZ384" s="161">
        <f t="shared" si="1247"/>
        <v>0</v>
      </c>
      <c r="DA384" s="161">
        <f t="shared" si="1248"/>
        <v>0</v>
      </c>
      <c r="DB384" s="161">
        <f t="shared" si="1249"/>
        <v>0</v>
      </c>
      <c r="DC384" s="161">
        <f t="shared" si="1250"/>
        <v>0</v>
      </c>
      <c r="DD384" s="161">
        <f t="shared" si="1251"/>
        <v>0</v>
      </c>
      <c r="DE384" s="161">
        <f t="shared" si="1252"/>
        <v>0</v>
      </c>
      <c r="DF384" s="161">
        <f t="shared" si="1253"/>
        <v>0</v>
      </c>
      <c r="DG384" s="161">
        <f t="shared" si="1254"/>
        <v>0</v>
      </c>
      <c r="DH384" s="161">
        <f t="shared" si="1255"/>
        <v>0</v>
      </c>
      <c r="DI384" s="161">
        <f t="shared" si="1256"/>
        <v>0</v>
      </c>
      <c r="DJ384" s="161">
        <f t="shared" si="1257"/>
        <v>0</v>
      </c>
      <c r="DK384" s="161">
        <f t="shared" si="1258"/>
        <v>0</v>
      </c>
      <c r="DL384" s="161">
        <f t="shared" si="1259"/>
        <v>0</v>
      </c>
      <c r="DM384" s="161">
        <f t="shared" si="1260"/>
        <v>0</v>
      </c>
      <c r="DN384" s="161">
        <f t="shared" si="1261"/>
        <v>0</v>
      </c>
      <c r="DO384" s="161">
        <f t="shared" si="1262"/>
        <v>0</v>
      </c>
      <c r="DP384" s="161">
        <f t="shared" si="1263"/>
        <v>0</v>
      </c>
      <c r="DQ384" s="161">
        <f t="shared" si="1264"/>
        <v>0</v>
      </c>
      <c r="DR384" s="161">
        <f t="shared" si="1265"/>
        <v>0</v>
      </c>
      <c r="DS384" s="161">
        <f t="shared" si="1266"/>
        <v>0</v>
      </c>
      <c r="DT384" s="161">
        <f t="shared" si="1267"/>
        <v>0</v>
      </c>
      <c r="DU384" s="161">
        <f t="shared" si="1268"/>
        <v>0</v>
      </c>
      <c r="DV384" s="161">
        <f t="shared" si="1269"/>
        <v>0</v>
      </c>
      <c r="DW384" s="161">
        <f t="shared" si="1270"/>
        <v>0</v>
      </c>
      <c r="DX384" s="161">
        <f t="shared" si="1271"/>
        <v>0</v>
      </c>
      <c r="DY384" s="161">
        <f t="shared" si="1272"/>
        <v>0</v>
      </c>
      <c r="DZ384" s="161">
        <f t="shared" si="1273"/>
        <v>0</v>
      </c>
      <c r="EA384" s="161">
        <f t="shared" si="1274"/>
        <v>0</v>
      </c>
      <c r="EB384" s="161">
        <f t="shared" si="1275"/>
        <v>0</v>
      </c>
      <c r="EC384" s="161">
        <f t="shared" si="1276"/>
        <v>0</v>
      </c>
      <c r="ED384" s="161">
        <f t="shared" si="1277"/>
        <v>0</v>
      </c>
      <c r="EE384" s="161">
        <f t="shared" si="1278"/>
        <v>0</v>
      </c>
      <c r="EF384" s="161">
        <f t="shared" si="1279"/>
        <v>0</v>
      </c>
      <c r="EG384" s="161">
        <f t="shared" si="1280"/>
        <v>0</v>
      </c>
      <c r="EH384" s="161">
        <f t="shared" si="1281"/>
        <v>0</v>
      </c>
      <c r="EI384" s="161">
        <f t="shared" si="1282"/>
        <v>0</v>
      </c>
      <c r="EJ384" s="65"/>
      <c r="EK384" s="161">
        <f t="shared" si="1283"/>
        <v>0</v>
      </c>
      <c r="EL384" s="161">
        <f t="shared" si="1284"/>
        <v>0</v>
      </c>
      <c r="EM384" s="161">
        <f t="shared" si="1285"/>
        <v>0</v>
      </c>
    </row>
    <row r="385" spans="1:143" ht="12" hidden="1" customHeight="1" outlineLevel="2">
      <c r="A385" s="77">
        <v>5</v>
      </c>
      <c r="B385" s="137" t="str">
        <f t="shared" si="1213"/>
        <v>ENG/ARQ PL. - Equipe_01</v>
      </c>
      <c r="C385" s="65"/>
      <c r="D385" s="621"/>
      <c r="E385" s="65"/>
      <c r="F385" s="584"/>
      <c r="G385" s="77" t="str">
        <f>IF(INDEX(Tarefas!$BT$30:$FK$30,MATCH(A385,Tarefas!$BT$28:$FK$28,0))=0,"",INDEX(Tarefas!$BT$30:$FK$30,MATCH(A385,Tarefas!$BT$28:$FK$28,0)))</f>
        <v>ENG/ARQ PL.</v>
      </c>
      <c r="H385" s="107" cm="1">
        <f t="array" ref="H385">IFERROR((SUMPRODUCT((Tarefas!$N$32:$N$54='Cronog. e Histog.'!$F$381)*(Tarefas!$BQ$30:$FK$30='Cronog. e Histog.'!$G385)*(Tarefas!$BQ$32:$FK$54)))/SUMIF(Tarefas!$N$32:$N$54,'Cronog. e Histog.'!$F$381,Tarefas!$K$32:$K$54),0)</f>
        <v>0</v>
      </c>
      <c r="I385" s="79">
        <f t="shared" si="1214"/>
        <v>0</v>
      </c>
      <c r="J385" s="65"/>
      <c r="K385" s="160">
        <f t="shared" si="1215"/>
        <v>0</v>
      </c>
      <c r="L385" s="160">
        <f t="shared" si="1215"/>
        <v>0</v>
      </c>
      <c r="M385" s="160">
        <f t="shared" si="1215"/>
        <v>0</v>
      </c>
      <c r="N385" s="160">
        <f t="shared" si="1215"/>
        <v>0</v>
      </c>
      <c r="O385" s="160">
        <f t="shared" si="1215"/>
        <v>0</v>
      </c>
      <c r="P385" s="160">
        <f t="shared" si="1215"/>
        <v>0</v>
      </c>
      <c r="Q385" s="160">
        <f t="shared" si="1215"/>
        <v>0</v>
      </c>
      <c r="R385" s="160">
        <f t="shared" si="1215"/>
        <v>0</v>
      </c>
      <c r="S385" s="160">
        <f t="shared" si="1215"/>
        <v>0</v>
      </c>
      <c r="T385" s="160">
        <f t="shared" si="1215"/>
        <v>0</v>
      </c>
      <c r="U385" s="160">
        <f t="shared" si="1215"/>
        <v>0</v>
      </c>
      <c r="V385" s="160">
        <f t="shared" si="1215"/>
        <v>0</v>
      </c>
      <c r="W385" s="160">
        <f t="shared" si="1215"/>
        <v>0</v>
      </c>
      <c r="X385" s="160">
        <f t="shared" si="1215"/>
        <v>0</v>
      </c>
      <c r="Y385" s="160">
        <f t="shared" si="1215"/>
        <v>0</v>
      </c>
      <c r="Z385" s="160">
        <f t="shared" si="1215"/>
        <v>0</v>
      </c>
      <c r="AA385" s="160">
        <f t="shared" si="1216"/>
        <v>0</v>
      </c>
      <c r="AB385" s="160">
        <f t="shared" si="1216"/>
        <v>0</v>
      </c>
      <c r="AC385" s="160">
        <f t="shared" si="1216"/>
        <v>0</v>
      </c>
      <c r="AD385" s="160">
        <f t="shared" si="1216"/>
        <v>0</v>
      </c>
      <c r="AE385" s="160">
        <f t="shared" si="1216"/>
        <v>0</v>
      </c>
      <c r="AF385" s="160">
        <f t="shared" si="1216"/>
        <v>0</v>
      </c>
      <c r="AG385" s="160">
        <f t="shared" si="1216"/>
        <v>0</v>
      </c>
      <c r="AH385" s="160">
        <f t="shared" si="1216"/>
        <v>0</v>
      </c>
      <c r="AI385" s="160">
        <f t="shared" si="1216"/>
        <v>0</v>
      </c>
      <c r="AJ385" s="160">
        <f t="shared" si="1216"/>
        <v>0</v>
      </c>
      <c r="AK385" s="160">
        <f t="shared" si="1216"/>
        <v>0</v>
      </c>
      <c r="AL385" s="160">
        <f t="shared" si="1216"/>
        <v>0</v>
      </c>
      <c r="AM385" s="160">
        <f t="shared" si="1216"/>
        <v>0</v>
      </c>
      <c r="AN385" s="160">
        <f t="shared" si="1216"/>
        <v>0</v>
      </c>
      <c r="AO385" s="160">
        <f t="shared" si="1216"/>
        <v>0</v>
      </c>
      <c r="AP385" s="160">
        <f t="shared" si="1216"/>
        <v>0</v>
      </c>
      <c r="AQ385" s="160">
        <f t="shared" si="1217"/>
        <v>0</v>
      </c>
      <c r="AR385" s="160">
        <f t="shared" si="1217"/>
        <v>0</v>
      </c>
      <c r="AS385" s="160">
        <f t="shared" si="1217"/>
        <v>0</v>
      </c>
      <c r="AT385" s="160">
        <f t="shared" si="1217"/>
        <v>0</v>
      </c>
      <c r="AU385" s="160">
        <f t="shared" si="1217"/>
        <v>0</v>
      </c>
      <c r="AV385" s="160">
        <f t="shared" si="1217"/>
        <v>0</v>
      </c>
      <c r="AW385" s="160">
        <f t="shared" si="1217"/>
        <v>0</v>
      </c>
      <c r="AX385" s="160">
        <f t="shared" si="1217"/>
        <v>0</v>
      </c>
      <c r="AY385" s="160">
        <f t="shared" si="1217"/>
        <v>0</v>
      </c>
      <c r="AZ385" s="160">
        <f t="shared" si="1217"/>
        <v>0</v>
      </c>
      <c r="BA385" s="160">
        <f t="shared" si="1217"/>
        <v>0</v>
      </c>
      <c r="BB385" s="160">
        <f t="shared" si="1217"/>
        <v>0</v>
      </c>
      <c r="BC385" s="160">
        <f t="shared" si="1217"/>
        <v>0</v>
      </c>
      <c r="BD385" s="160">
        <f t="shared" si="1217"/>
        <v>0</v>
      </c>
      <c r="BE385" s="160">
        <f t="shared" si="1217"/>
        <v>0</v>
      </c>
      <c r="BF385" s="160">
        <f t="shared" si="1217"/>
        <v>0</v>
      </c>
      <c r="BG385" s="160">
        <f t="shared" si="1218"/>
        <v>0</v>
      </c>
      <c r="BH385" s="160">
        <f t="shared" si="1218"/>
        <v>0</v>
      </c>
      <c r="BI385" s="160">
        <f t="shared" si="1218"/>
        <v>0</v>
      </c>
      <c r="BJ385" s="160">
        <f t="shared" si="1218"/>
        <v>0</v>
      </c>
      <c r="BK385" s="160">
        <f t="shared" si="1218"/>
        <v>0</v>
      </c>
      <c r="BL385" s="160">
        <f t="shared" si="1218"/>
        <v>0</v>
      </c>
      <c r="BM385" s="160">
        <f t="shared" si="1218"/>
        <v>0</v>
      </c>
      <c r="BN385" s="160">
        <f t="shared" si="1218"/>
        <v>0</v>
      </c>
      <c r="BO385" s="160">
        <f t="shared" si="1218"/>
        <v>0</v>
      </c>
      <c r="BP385" s="160">
        <f t="shared" si="1218"/>
        <v>0</v>
      </c>
      <c r="BQ385" s="160">
        <f t="shared" si="1218"/>
        <v>0</v>
      </c>
      <c r="BR385" s="160">
        <f t="shared" si="1218"/>
        <v>0</v>
      </c>
      <c r="BS385" s="65"/>
      <c r="BT385" s="160">
        <f t="shared" si="1219"/>
        <v>0</v>
      </c>
      <c r="BU385" s="160">
        <f t="shared" si="1220"/>
        <v>0</v>
      </c>
      <c r="BV385" s="65"/>
      <c r="BW385" s="69"/>
      <c r="BX385" s="65"/>
      <c r="BY385" s="137">
        <f t="shared" si="1221"/>
        <v>1</v>
      </c>
      <c r="BZ385" s="137">
        <f>IF(BY385&gt;0,BY385+LARGE($BZ$213:BZ384,1),0)</f>
        <v>145</v>
      </c>
      <c r="CA385" s="137" t="str">
        <f t="shared" si="1222"/>
        <v>ENG/ARQ PL.</v>
      </c>
      <c r="CB385" s="161">
        <f t="shared" si="1223"/>
        <v>0</v>
      </c>
      <c r="CC385" s="161">
        <f t="shared" si="1224"/>
        <v>0</v>
      </c>
      <c r="CD385" s="161">
        <f t="shared" si="1225"/>
        <v>0</v>
      </c>
      <c r="CE385" s="161">
        <f t="shared" si="1226"/>
        <v>0</v>
      </c>
      <c r="CF385" s="161">
        <f t="shared" si="1227"/>
        <v>0</v>
      </c>
      <c r="CG385" s="161">
        <f t="shared" si="1228"/>
        <v>0</v>
      </c>
      <c r="CH385" s="161">
        <f t="shared" si="1229"/>
        <v>0</v>
      </c>
      <c r="CI385" s="161">
        <f t="shared" si="1230"/>
        <v>0</v>
      </c>
      <c r="CJ385" s="161">
        <f t="shared" si="1231"/>
        <v>0</v>
      </c>
      <c r="CK385" s="161">
        <f t="shared" si="1232"/>
        <v>0</v>
      </c>
      <c r="CL385" s="161">
        <f t="shared" si="1233"/>
        <v>0</v>
      </c>
      <c r="CM385" s="161">
        <f t="shared" si="1234"/>
        <v>0</v>
      </c>
      <c r="CN385" s="161">
        <f t="shared" si="1235"/>
        <v>0</v>
      </c>
      <c r="CO385" s="161">
        <f t="shared" si="1236"/>
        <v>0</v>
      </c>
      <c r="CP385" s="161">
        <f t="shared" si="1237"/>
        <v>0</v>
      </c>
      <c r="CQ385" s="161">
        <f t="shared" si="1238"/>
        <v>0</v>
      </c>
      <c r="CR385" s="161">
        <f t="shared" si="1239"/>
        <v>0</v>
      </c>
      <c r="CS385" s="161">
        <f t="shared" si="1240"/>
        <v>0</v>
      </c>
      <c r="CT385" s="161">
        <f t="shared" si="1241"/>
        <v>0</v>
      </c>
      <c r="CU385" s="161">
        <f t="shared" si="1242"/>
        <v>0</v>
      </c>
      <c r="CV385" s="161">
        <f t="shared" si="1243"/>
        <v>0</v>
      </c>
      <c r="CW385" s="161">
        <f t="shared" si="1244"/>
        <v>0</v>
      </c>
      <c r="CX385" s="161">
        <f t="shared" si="1245"/>
        <v>0</v>
      </c>
      <c r="CY385" s="161">
        <f t="shared" si="1246"/>
        <v>0</v>
      </c>
      <c r="CZ385" s="161">
        <f t="shared" si="1247"/>
        <v>0</v>
      </c>
      <c r="DA385" s="161">
        <f t="shared" si="1248"/>
        <v>0</v>
      </c>
      <c r="DB385" s="161">
        <f t="shared" si="1249"/>
        <v>0</v>
      </c>
      <c r="DC385" s="161">
        <f t="shared" si="1250"/>
        <v>0</v>
      </c>
      <c r="DD385" s="161">
        <f t="shared" si="1251"/>
        <v>0</v>
      </c>
      <c r="DE385" s="161">
        <f t="shared" si="1252"/>
        <v>0</v>
      </c>
      <c r="DF385" s="161">
        <f t="shared" si="1253"/>
        <v>0</v>
      </c>
      <c r="DG385" s="161">
        <f t="shared" si="1254"/>
        <v>0</v>
      </c>
      <c r="DH385" s="161">
        <f t="shared" si="1255"/>
        <v>0</v>
      </c>
      <c r="DI385" s="161">
        <f t="shared" si="1256"/>
        <v>0</v>
      </c>
      <c r="DJ385" s="161">
        <f t="shared" si="1257"/>
        <v>0</v>
      </c>
      <c r="DK385" s="161">
        <f t="shared" si="1258"/>
        <v>0</v>
      </c>
      <c r="DL385" s="161">
        <f t="shared" si="1259"/>
        <v>0</v>
      </c>
      <c r="DM385" s="161">
        <f t="shared" si="1260"/>
        <v>0</v>
      </c>
      <c r="DN385" s="161">
        <f t="shared" si="1261"/>
        <v>0</v>
      </c>
      <c r="DO385" s="161">
        <f t="shared" si="1262"/>
        <v>0</v>
      </c>
      <c r="DP385" s="161">
        <f t="shared" si="1263"/>
        <v>0</v>
      </c>
      <c r="DQ385" s="161">
        <f t="shared" si="1264"/>
        <v>0</v>
      </c>
      <c r="DR385" s="161">
        <f t="shared" si="1265"/>
        <v>0</v>
      </c>
      <c r="DS385" s="161">
        <f t="shared" si="1266"/>
        <v>0</v>
      </c>
      <c r="DT385" s="161">
        <f t="shared" si="1267"/>
        <v>0</v>
      </c>
      <c r="DU385" s="161">
        <f t="shared" si="1268"/>
        <v>0</v>
      </c>
      <c r="DV385" s="161">
        <f t="shared" si="1269"/>
        <v>0</v>
      </c>
      <c r="DW385" s="161">
        <f t="shared" si="1270"/>
        <v>0</v>
      </c>
      <c r="DX385" s="161">
        <f t="shared" si="1271"/>
        <v>0</v>
      </c>
      <c r="DY385" s="161">
        <f t="shared" si="1272"/>
        <v>0</v>
      </c>
      <c r="DZ385" s="161">
        <f t="shared" si="1273"/>
        <v>0</v>
      </c>
      <c r="EA385" s="161">
        <f t="shared" si="1274"/>
        <v>0</v>
      </c>
      <c r="EB385" s="161">
        <f t="shared" si="1275"/>
        <v>0</v>
      </c>
      <c r="EC385" s="161">
        <f t="shared" si="1276"/>
        <v>0</v>
      </c>
      <c r="ED385" s="161">
        <f t="shared" si="1277"/>
        <v>0</v>
      </c>
      <c r="EE385" s="161">
        <f t="shared" si="1278"/>
        <v>0</v>
      </c>
      <c r="EF385" s="161">
        <f t="shared" si="1279"/>
        <v>0</v>
      </c>
      <c r="EG385" s="161">
        <f t="shared" si="1280"/>
        <v>0</v>
      </c>
      <c r="EH385" s="161">
        <f t="shared" si="1281"/>
        <v>0</v>
      </c>
      <c r="EI385" s="161">
        <f t="shared" si="1282"/>
        <v>0</v>
      </c>
      <c r="EJ385" s="65"/>
      <c r="EK385" s="161">
        <f t="shared" si="1283"/>
        <v>0</v>
      </c>
      <c r="EL385" s="161">
        <f t="shared" si="1284"/>
        <v>0</v>
      </c>
      <c r="EM385" s="161">
        <f t="shared" si="1285"/>
        <v>0</v>
      </c>
    </row>
    <row r="386" spans="1:143" ht="12" hidden="1" customHeight="1" outlineLevel="2">
      <c r="A386" s="77">
        <v>6</v>
      </c>
      <c r="B386" s="137" t="str">
        <f t="shared" si="1213"/>
        <v>ENG/ARQ JR. - Equipe_01</v>
      </c>
      <c r="C386" s="65"/>
      <c r="D386" s="621"/>
      <c r="E386" s="65"/>
      <c r="F386" s="584"/>
      <c r="G386" s="77" t="str">
        <f>IF(INDEX(Tarefas!$BT$30:$FK$30,MATCH(A386,Tarefas!$BT$28:$FK$28,0))=0,"",INDEX(Tarefas!$BT$30:$FK$30,MATCH(A386,Tarefas!$BT$28:$FK$28,0)))</f>
        <v>ENG/ARQ JR.</v>
      </c>
      <c r="H386" s="107" cm="1">
        <f t="array" ref="H386">IFERROR((SUMPRODUCT((Tarefas!$N$32:$N$54='Cronog. e Histog.'!$F$381)*(Tarefas!$BQ$30:$FK$30='Cronog. e Histog.'!$G386)*(Tarefas!$BQ$32:$FK$54)))/SUMIF(Tarefas!$N$32:$N$54,'Cronog. e Histog.'!$F$381,Tarefas!$K$32:$K$54),0)</f>
        <v>0</v>
      </c>
      <c r="I386" s="79">
        <f t="shared" si="1214"/>
        <v>0</v>
      </c>
      <c r="J386" s="65"/>
      <c r="K386" s="160">
        <f t="shared" si="1215"/>
        <v>0</v>
      </c>
      <c r="L386" s="160">
        <f t="shared" si="1215"/>
        <v>0</v>
      </c>
      <c r="M386" s="160">
        <f t="shared" si="1215"/>
        <v>0</v>
      </c>
      <c r="N386" s="160">
        <f t="shared" si="1215"/>
        <v>0</v>
      </c>
      <c r="O386" s="160">
        <f t="shared" si="1215"/>
        <v>0</v>
      </c>
      <c r="P386" s="160">
        <f t="shared" si="1215"/>
        <v>0</v>
      </c>
      <c r="Q386" s="160">
        <f t="shared" si="1215"/>
        <v>0</v>
      </c>
      <c r="R386" s="160">
        <f t="shared" si="1215"/>
        <v>0</v>
      </c>
      <c r="S386" s="160">
        <f t="shared" si="1215"/>
        <v>0</v>
      </c>
      <c r="T386" s="160">
        <f t="shared" si="1215"/>
        <v>0</v>
      </c>
      <c r="U386" s="160">
        <f t="shared" si="1215"/>
        <v>0</v>
      </c>
      <c r="V386" s="160">
        <f t="shared" si="1215"/>
        <v>0</v>
      </c>
      <c r="W386" s="160">
        <f t="shared" si="1215"/>
        <v>0</v>
      </c>
      <c r="X386" s="160">
        <f t="shared" si="1215"/>
        <v>0</v>
      </c>
      <c r="Y386" s="160">
        <f t="shared" si="1215"/>
        <v>0</v>
      </c>
      <c r="Z386" s="160">
        <f t="shared" si="1215"/>
        <v>0</v>
      </c>
      <c r="AA386" s="160">
        <f t="shared" si="1216"/>
        <v>0</v>
      </c>
      <c r="AB386" s="160">
        <f t="shared" si="1216"/>
        <v>0</v>
      </c>
      <c r="AC386" s="160">
        <f t="shared" si="1216"/>
        <v>0</v>
      </c>
      <c r="AD386" s="160">
        <f t="shared" si="1216"/>
        <v>0</v>
      </c>
      <c r="AE386" s="160">
        <f t="shared" si="1216"/>
        <v>0</v>
      </c>
      <c r="AF386" s="160">
        <f t="shared" si="1216"/>
        <v>0</v>
      </c>
      <c r="AG386" s="160">
        <f t="shared" si="1216"/>
        <v>0</v>
      </c>
      <c r="AH386" s="160">
        <f t="shared" si="1216"/>
        <v>0</v>
      </c>
      <c r="AI386" s="160">
        <f t="shared" si="1216"/>
        <v>0</v>
      </c>
      <c r="AJ386" s="160">
        <f t="shared" si="1216"/>
        <v>0</v>
      </c>
      <c r="AK386" s="160">
        <f t="shared" si="1216"/>
        <v>0</v>
      </c>
      <c r="AL386" s="160">
        <f t="shared" si="1216"/>
        <v>0</v>
      </c>
      <c r="AM386" s="160">
        <f t="shared" si="1216"/>
        <v>0</v>
      </c>
      <c r="AN386" s="160">
        <f t="shared" si="1216"/>
        <v>0</v>
      </c>
      <c r="AO386" s="160">
        <f t="shared" si="1216"/>
        <v>0</v>
      </c>
      <c r="AP386" s="160">
        <f t="shared" si="1216"/>
        <v>0</v>
      </c>
      <c r="AQ386" s="160">
        <f t="shared" si="1217"/>
        <v>0</v>
      </c>
      <c r="AR386" s="160">
        <f t="shared" si="1217"/>
        <v>0</v>
      </c>
      <c r="AS386" s="160">
        <f t="shared" si="1217"/>
        <v>0</v>
      </c>
      <c r="AT386" s="160">
        <f t="shared" si="1217"/>
        <v>0</v>
      </c>
      <c r="AU386" s="160">
        <f t="shared" si="1217"/>
        <v>0</v>
      </c>
      <c r="AV386" s="160">
        <f t="shared" si="1217"/>
        <v>0</v>
      </c>
      <c r="AW386" s="160">
        <f t="shared" si="1217"/>
        <v>0</v>
      </c>
      <c r="AX386" s="160">
        <f t="shared" si="1217"/>
        <v>0</v>
      </c>
      <c r="AY386" s="160">
        <f t="shared" si="1217"/>
        <v>0</v>
      </c>
      <c r="AZ386" s="160">
        <f t="shared" si="1217"/>
        <v>0</v>
      </c>
      <c r="BA386" s="160">
        <f t="shared" si="1217"/>
        <v>0</v>
      </c>
      <c r="BB386" s="160">
        <f t="shared" si="1217"/>
        <v>0</v>
      </c>
      <c r="BC386" s="160">
        <f t="shared" si="1217"/>
        <v>0</v>
      </c>
      <c r="BD386" s="160">
        <f t="shared" si="1217"/>
        <v>0</v>
      </c>
      <c r="BE386" s="160">
        <f t="shared" si="1217"/>
        <v>0</v>
      </c>
      <c r="BF386" s="160">
        <f t="shared" si="1217"/>
        <v>0</v>
      </c>
      <c r="BG386" s="160">
        <f t="shared" si="1218"/>
        <v>0</v>
      </c>
      <c r="BH386" s="160">
        <f t="shared" si="1218"/>
        <v>0</v>
      </c>
      <c r="BI386" s="160">
        <f t="shared" si="1218"/>
        <v>0</v>
      </c>
      <c r="BJ386" s="160">
        <f t="shared" si="1218"/>
        <v>0</v>
      </c>
      <c r="BK386" s="160">
        <f t="shared" si="1218"/>
        <v>0</v>
      </c>
      <c r="BL386" s="160">
        <f t="shared" si="1218"/>
        <v>0</v>
      </c>
      <c r="BM386" s="160">
        <f t="shared" si="1218"/>
        <v>0</v>
      </c>
      <c r="BN386" s="160">
        <f t="shared" si="1218"/>
        <v>0</v>
      </c>
      <c r="BO386" s="160">
        <f t="shared" si="1218"/>
        <v>0</v>
      </c>
      <c r="BP386" s="160">
        <f t="shared" si="1218"/>
        <v>0</v>
      </c>
      <c r="BQ386" s="160">
        <f t="shared" si="1218"/>
        <v>0</v>
      </c>
      <c r="BR386" s="160">
        <f t="shared" si="1218"/>
        <v>0</v>
      </c>
      <c r="BS386" s="65"/>
      <c r="BT386" s="160">
        <f t="shared" si="1219"/>
        <v>0</v>
      </c>
      <c r="BU386" s="160">
        <f t="shared" si="1220"/>
        <v>0</v>
      </c>
      <c r="BV386" s="65"/>
      <c r="BW386" s="69"/>
      <c r="BX386" s="65"/>
      <c r="BY386" s="137">
        <f t="shared" si="1221"/>
        <v>1</v>
      </c>
      <c r="BZ386" s="137">
        <f>IF(BY386&gt;0,BY386+LARGE($BZ$213:BZ385,1),0)</f>
        <v>146</v>
      </c>
      <c r="CA386" s="137" t="str">
        <f t="shared" si="1222"/>
        <v>ENG/ARQ JR.</v>
      </c>
      <c r="CB386" s="161">
        <f t="shared" si="1223"/>
        <v>0</v>
      </c>
      <c r="CC386" s="161">
        <f t="shared" si="1224"/>
        <v>0</v>
      </c>
      <c r="CD386" s="161">
        <f t="shared" si="1225"/>
        <v>0</v>
      </c>
      <c r="CE386" s="161">
        <f t="shared" si="1226"/>
        <v>0</v>
      </c>
      <c r="CF386" s="161">
        <f t="shared" si="1227"/>
        <v>0</v>
      </c>
      <c r="CG386" s="161">
        <f t="shared" si="1228"/>
        <v>0</v>
      </c>
      <c r="CH386" s="161">
        <f t="shared" si="1229"/>
        <v>0</v>
      </c>
      <c r="CI386" s="161">
        <f t="shared" si="1230"/>
        <v>0</v>
      </c>
      <c r="CJ386" s="161">
        <f t="shared" si="1231"/>
        <v>0</v>
      </c>
      <c r="CK386" s="161">
        <f t="shared" si="1232"/>
        <v>0</v>
      </c>
      <c r="CL386" s="161">
        <f t="shared" si="1233"/>
        <v>0</v>
      </c>
      <c r="CM386" s="161">
        <f t="shared" si="1234"/>
        <v>0</v>
      </c>
      <c r="CN386" s="161">
        <f t="shared" si="1235"/>
        <v>0</v>
      </c>
      <c r="CO386" s="161">
        <f t="shared" si="1236"/>
        <v>0</v>
      </c>
      <c r="CP386" s="161">
        <f t="shared" si="1237"/>
        <v>0</v>
      </c>
      <c r="CQ386" s="161">
        <f t="shared" si="1238"/>
        <v>0</v>
      </c>
      <c r="CR386" s="161">
        <f t="shared" si="1239"/>
        <v>0</v>
      </c>
      <c r="CS386" s="161">
        <f t="shared" si="1240"/>
        <v>0</v>
      </c>
      <c r="CT386" s="161">
        <f t="shared" si="1241"/>
        <v>0</v>
      </c>
      <c r="CU386" s="161">
        <f t="shared" si="1242"/>
        <v>0</v>
      </c>
      <c r="CV386" s="161">
        <f t="shared" si="1243"/>
        <v>0</v>
      </c>
      <c r="CW386" s="161">
        <f t="shared" si="1244"/>
        <v>0</v>
      </c>
      <c r="CX386" s="161">
        <f t="shared" si="1245"/>
        <v>0</v>
      </c>
      <c r="CY386" s="161">
        <f t="shared" si="1246"/>
        <v>0</v>
      </c>
      <c r="CZ386" s="161">
        <f t="shared" si="1247"/>
        <v>0</v>
      </c>
      <c r="DA386" s="161">
        <f t="shared" si="1248"/>
        <v>0</v>
      </c>
      <c r="DB386" s="161">
        <f t="shared" si="1249"/>
        <v>0</v>
      </c>
      <c r="DC386" s="161">
        <f t="shared" si="1250"/>
        <v>0</v>
      </c>
      <c r="DD386" s="161">
        <f t="shared" si="1251"/>
        <v>0</v>
      </c>
      <c r="DE386" s="161">
        <f t="shared" si="1252"/>
        <v>0</v>
      </c>
      <c r="DF386" s="161">
        <f t="shared" si="1253"/>
        <v>0</v>
      </c>
      <c r="DG386" s="161">
        <f t="shared" si="1254"/>
        <v>0</v>
      </c>
      <c r="DH386" s="161">
        <f t="shared" si="1255"/>
        <v>0</v>
      </c>
      <c r="DI386" s="161">
        <f t="shared" si="1256"/>
        <v>0</v>
      </c>
      <c r="DJ386" s="161">
        <f t="shared" si="1257"/>
        <v>0</v>
      </c>
      <c r="DK386" s="161">
        <f t="shared" si="1258"/>
        <v>0</v>
      </c>
      <c r="DL386" s="161">
        <f t="shared" si="1259"/>
        <v>0</v>
      </c>
      <c r="DM386" s="161">
        <f t="shared" si="1260"/>
        <v>0</v>
      </c>
      <c r="DN386" s="161">
        <f t="shared" si="1261"/>
        <v>0</v>
      </c>
      <c r="DO386" s="161">
        <f t="shared" si="1262"/>
        <v>0</v>
      </c>
      <c r="DP386" s="161">
        <f t="shared" si="1263"/>
        <v>0</v>
      </c>
      <c r="DQ386" s="161">
        <f t="shared" si="1264"/>
        <v>0</v>
      </c>
      <c r="DR386" s="161">
        <f t="shared" si="1265"/>
        <v>0</v>
      </c>
      <c r="DS386" s="161">
        <f t="shared" si="1266"/>
        <v>0</v>
      </c>
      <c r="DT386" s="161">
        <f t="shared" si="1267"/>
        <v>0</v>
      </c>
      <c r="DU386" s="161">
        <f t="shared" si="1268"/>
        <v>0</v>
      </c>
      <c r="DV386" s="161">
        <f t="shared" si="1269"/>
        <v>0</v>
      </c>
      <c r="DW386" s="161">
        <f t="shared" si="1270"/>
        <v>0</v>
      </c>
      <c r="DX386" s="161">
        <f t="shared" si="1271"/>
        <v>0</v>
      </c>
      <c r="DY386" s="161">
        <f t="shared" si="1272"/>
        <v>0</v>
      </c>
      <c r="DZ386" s="161">
        <f t="shared" si="1273"/>
        <v>0</v>
      </c>
      <c r="EA386" s="161">
        <f t="shared" si="1274"/>
        <v>0</v>
      </c>
      <c r="EB386" s="161">
        <f t="shared" si="1275"/>
        <v>0</v>
      </c>
      <c r="EC386" s="161">
        <f t="shared" si="1276"/>
        <v>0</v>
      </c>
      <c r="ED386" s="161">
        <f t="shared" si="1277"/>
        <v>0</v>
      </c>
      <c r="EE386" s="161">
        <f t="shared" si="1278"/>
        <v>0</v>
      </c>
      <c r="EF386" s="161">
        <f t="shared" si="1279"/>
        <v>0</v>
      </c>
      <c r="EG386" s="161">
        <f t="shared" si="1280"/>
        <v>0</v>
      </c>
      <c r="EH386" s="161">
        <f t="shared" si="1281"/>
        <v>0</v>
      </c>
      <c r="EI386" s="161">
        <f t="shared" si="1282"/>
        <v>0</v>
      </c>
      <c r="EJ386" s="65"/>
      <c r="EK386" s="161">
        <f t="shared" si="1283"/>
        <v>0</v>
      </c>
      <c r="EL386" s="161">
        <f t="shared" si="1284"/>
        <v>0</v>
      </c>
      <c r="EM386" s="161">
        <f t="shared" si="1285"/>
        <v>0</v>
      </c>
    </row>
    <row r="387" spans="1:143" ht="12" hidden="1" customHeight="1" outlineLevel="2">
      <c r="A387" s="77">
        <v>7</v>
      </c>
      <c r="B387" s="137" t="str">
        <f t="shared" si="1213"/>
        <v>AN SR. ENG/ARQ - Equipe_01</v>
      </c>
      <c r="C387" s="65"/>
      <c r="D387" s="621"/>
      <c r="E387" s="65"/>
      <c r="F387" s="584"/>
      <c r="G387" s="77" t="str">
        <f>IF(INDEX(Tarefas!$BT$30:$FK$30,MATCH(A387,Tarefas!$BT$28:$FK$28,0))=0,"",INDEX(Tarefas!$BT$30:$FK$30,MATCH(A387,Tarefas!$BT$28:$FK$28,0)))</f>
        <v>AN SR. ENG/ARQ</v>
      </c>
      <c r="H387" s="107" cm="1">
        <f t="array" ref="H387">IFERROR((SUMPRODUCT((Tarefas!$N$32:$N$54='Cronog. e Histog.'!$F$381)*(Tarefas!$BQ$30:$FK$30='Cronog. e Histog.'!$G387)*(Tarefas!$BQ$32:$FK$54)))/SUMIF(Tarefas!$N$32:$N$54,'Cronog. e Histog.'!$F$381,Tarefas!$K$32:$K$54),0)</f>
        <v>0</v>
      </c>
      <c r="I387" s="79">
        <f t="shared" si="1214"/>
        <v>0</v>
      </c>
      <c r="J387" s="65"/>
      <c r="K387" s="160">
        <f t="shared" si="1215"/>
        <v>0</v>
      </c>
      <c r="L387" s="160">
        <f t="shared" si="1215"/>
        <v>0</v>
      </c>
      <c r="M387" s="160">
        <f t="shared" si="1215"/>
        <v>0</v>
      </c>
      <c r="N387" s="160">
        <f t="shared" si="1215"/>
        <v>0</v>
      </c>
      <c r="O387" s="160">
        <f t="shared" si="1215"/>
        <v>0</v>
      </c>
      <c r="P387" s="160">
        <f t="shared" si="1215"/>
        <v>0</v>
      </c>
      <c r="Q387" s="160">
        <f t="shared" si="1215"/>
        <v>0</v>
      </c>
      <c r="R387" s="160">
        <f t="shared" si="1215"/>
        <v>0</v>
      </c>
      <c r="S387" s="160">
        <f t="shared" si="1215"/>
        <v>0</v>
      </c>
      <c r="T387" s="160">
        <f t="shared" si="1215"/>
        <v>0</v>
      </c>
      <c r="U387" s="160">
        <f t="shared" si="1215"/>
        <v>0</v>
      </c>
      <c r="V387" s="160">
        <f t="shared" si="1215"/>
        <v>0</v>
      </c>
      <c r="W387" s="160">
        <f t="shared" si="1215"/>
        <v>0</v>
      </c>
      <c r="X387" s="160">
        <f t="shared" si="1215"/>
        <v>0</v>
      </c>
      <c r="Y387" s="160">
        <f t="shared" si="1215"/>
        <v>0</v>
      </c>
      <c r="Z387" s="160">
        <f t="shared" si="1215"/>
        <v>0</v>
      </c>
      <c r="AA387" s="160">
        <f t="shared" si="1216"/>
        <v>0</v>
      </c>
      <c r="AB387" s="160">
        <f t="shared" si="1216"/>
        <v>0</v>
      </c>
      <c r="AC387" s="160">
        <f t="shared" si="1216"/>
        <v>0</v>
      </c>
      <c r="AD387" s="160">
        <f t="shared" si="1216"/>
        <v>0</v>
      </c>
      <c r="AE387" s="160">
        <f t="shared" si="1216"/>
        <v>0</v>
      </c>
      <c r="AF387" s="160">
        <f t="shared" si="1216"/>
        <v>0</v>
      </c>
      <c r="AG387" s="160">
        <f t="shared" si="1216"/>
        <v>0</v>
      </c>
      <c r="AH387" s="160">
        <f t="shared" si="1216"/>
        <v>0</v>
      </c>
      <c r="AI387" s="160">
        <f t="shared" si="1216"/>
        <v>0</v>
      </c>
      <c r="AJ387" s="160">
        <f t="shared" si="1216"/>
        <v>0</v>
      </c>
      <c r="AK387" s="160">
        <f t="shared" si="1216"/>
        <v>0</v>
      </c>
      <c r="AL387" s="160">
        <f t="shared" si="1216"/>
        <v>0</v>
      </c>
      <c r="AM387" s="160">
        <f t="shared" si="1216"/>
        <v>0</v>
      </c>
      <c r="AN387" s="160">
        <f t="shared" si="1216"/>
        <v>0</v>
      </c>
      <c r="AO387" s="160">
        <f t="shared" si="1216"/>
        <v>0</v>
      </c>
      <c r="AP387" s="160">
        <f t="shared" si="1216"/>
        <v>0</v>
      </c>
      <c r="AQ387" s="160">
        <f t="shared" si="1217"/>
        <v>0</v>
      </c>
      <c r="AR387" s="160">
        <f t="shared" si="1217"/>
        <v>0</v>
      </c>
      <c r="AS387" s="160">
        <f t="shared" si="1217"/>
        <v>0</v>
      </c>
      <c r="AT387" s="160">
        <f t="shared" si="1217"/>
        <v>0</v>
      </c>
      <c r="AU387" s="160">
        <f t="shared" si="1217"/>
        <v>0</v>
      </c>
      <c r="AV387" s="160">
        <f t="shared" si="1217"/>
        <v>0</v>
      </c>
      <c r="AW387" s="160">
        <f t="shared" si="1217"/>
        <v>0</v>
      </c>
      <c r="AX387" s="160">
        <f t="shared" si="1217"/>
        <v>0</v>
      </c>
      <c r="AY387" s="160">
        <f t="shared" si="1217"/>
        <v>0</v>
      </c>
      <c r="AZ387" s="160">
        <f t="shared" si="1217"/>
        <v>0</v>
      </c>
      <c r="BA387" s="160">
        <f t="shared" si="1217"/>
        <v>0</v>
      </c>
      <c r="BB387" s="160">
        <f t="shared" si="1217"/>
        <v>0</v>
      </c>
      <c r="BC387" s="160">
        <f t="shared" si="1217"/>
        <v>0</v>
      </c>
      <c r="BD387" s="160">
        <f t="shared" si="1217"/>
        <v>0</v>
      </c>
      <c r="BE387" s="160">
        <f t="shared" si="1217"/>
        <v>0</v>
      </c>
      <c r="BF387" s="160">
        <f t="shared" si="1217"/>
        <v>0</v>
      </c>
      <c r="BG387" s="160">
        <f t="shared" si="1218"/>
        <v>0</v>
      </c>
      <c r="BH387" s="160">
        <f t="shared" si="1218"/>
        <v>0</v>
      </c>
      <c r="BI387" s="160">
        <f t="shared" si="1218"/>
        <v>0</v>
      </c>
      <c r="BJ387" s="160">
        <f t="shared" si="1218"/>
        <v>0</v>
      </c>
      <c r="BK387" s="160">
        <f t="shared" si="1218"/>
        <v>0</v>
      </c>
      <c r="BL387" s="160">
        <f t="shared" si="1218"/>
        <v>0</v>
      </c>
      <c r="BM387" s="160">
        <f t="shared" si="1218"/>
        <v>0</v>
      </c>
      <c r="BN387" s="160">
        <f t="shared" si="1218"/>
        <v>0</v>
      </c>
      <c r="BO387" s="160">
        <f t="shared" si="1218"/>
        <v>0</v>
      </c>
      <c r="BP387" s="160">
        <f t="shared" si="1218"/>
        <v>0</v>
      </c>
      <c r="BQ387" s="160">
        <f t="shared" si="1218"/>
        <v>0</v>
      </c>
      <c r="BR387" s="160">
        <f t="shared" si="1218"/>
        <v>0</v>
      </c>
      <c r="BS387" s="65"/>
      <c r="BT387" s="160">
        <f t="shared" si="1219"/>
        <v>0</v>
      </c>
      <c r="BU387" s="160">
        <f t="shared" si="1220"/>
        <v>0</v>
      </c>
      <c r="BV387" s="65"/>
      <c r="BW387" s="69"/>
      <c r="BX387" s="65"/>
      <c r="BY387" s="137">
        <f t="shared" si="1221"/>
        <v>1</v>
      </c>
      <c r="BZ387" s="137">
        <f>IF(BY387&gt;0,BY387+LARGE($BZ$213:BZ386,1),0)</f>
        <v>147</v>
      </c>
      <c r="CA387" s="137" t="str">
        <f t="shared" si="1222"/>
        <v>AN SR. ENG/ARQ</v>
      </c>
      <c r="CB387" s="161">
        <f t="shared" si="1223"/>
        <v>0</v>
      </c>
      <c r="CC387" s="161">
        <f t="shared" si="1224"/>
        <v>0</v>
      </c>
      <c r="CD387" s="161">
        <f t="shared" si="1225"/>
        <v>0</v>
      </c>
      <c r="CE387" s="161">
        <f t="shared" si="1226"/>
        <v>0</v>
      </c>
      <c r="CF387" s="161">
        <f t="shared" si="1227"/>
        <v>0</v>
      </c>
      <c r="CG387" s="161">
        <f t="shared" si="1228"/>
        <v>0</v>
      </c>
      <c r="CH387" s="161">
        <f t="shared" si="1229"/>
        <v>0</v>
      </c>
      <c r="CI387" s="161">
        <f t="shared" si="1230"/>
        <v>0</v>
      </c>
      <c r="CJ387" s="161">
        <f t="shared" si="1231"/>
        <v>0</v>
      </c>
      <c r="CK387" s="161">
        <f t="shared" si="1232"/>
        <v>0</v>
      </c>
      <c r="CL387" s="161">
        <f t="shared" si="1233"/>
        <v>0</v>
      </c>
      <c r="CM387" s="161">
        <f t="shared" si="1234"/>
        <v>0</v>
      </c>
      <c r="CN387" s="161">
        <f t="shared" si="1235"/>
        <v>0</v>
      </c>
      <c r="CO387" s="161">
        <f t="shared" si="1236"/>
        <v>0</v>
      </c>
      <c r="CP387" s="161">
        <f t="shared" si="1237"/>
        <v>0</v>
      </c>
      <c r="CQ387" s="161">
        <f t="shared" si="1238"/>
        <v>0</v>
      </c>
      <c r="CR387" s="161">
        <f t="shared" si="1239"/>
        <v>0</v>
      </c>
      <c r="CS387" s="161">
        <f t="shared" si="1240"/>
        <v>0</v>
      </c>
      <c r="CT387" s="161">
        <f t="shared" si="1241"/>
        <v>0</v>
      </c>
      <c r="CU387" s="161">
        <f t="shared" si="1242"/>
        <v>0</v>
      </c>
      <c r="CV387" s="161">
        <f t="shared" si="1243"/>
        <v>0</v>
      </c>
      <c r="CW387" s="161">
        <f t="shared" si="1244"/>
        <v>0</v>
      </c>
      <c r="CX387" s="161">
        <f t="shared" si="1245"/>
        <v>0</v>
      </c>
      <c r="CY387" s="161">
        <f t="shared" si="1246"/>
        <v>0</v>
      </c>
      <c r="CZ387" s="161">
        <f t="shared" si="1247"/>
        <v>0</v>
      </c>
      <c r="DA387" s="161">
        <f t="shared" si="1248"/>
        <v>0</v>
      </c>
      <c r="DB387" s="161">
        <f t="shared" si="1249"/>
        <v>0</v>
      </c>
      <c r="DC387" s="161">
        <f t="shared" si="1250"/>
        <v>0</v>
      </c>
      <c r="DD387" s="161">
        <f t="shared" si="1251"/>
        <v>0</v>
      </c>
      <c r="DE387" s="161">
        <f t="shared" si="1252"/>
        <v>0</v>
      </c>
      <c r="DF387" s="161">
        <f t="shared" si="1253"/>
        <v>0</v>
      </c>
      <c r="DG387" s="161">
        <f t="shared" si="1254"/>
        <v>0</v>
      </c>
      <c r="DH387" s="161">
        <f t="shared" si="1255"/>
        <v>0</v>
      </c>
      <c r="DI387" s="161">
        <f t="shared" si="1256"/>
        <v>0</v>
      </c>
      <c r="DJ387" s="161">
        <f t="shared" si="1257"/>
        <v>0</v>
      </c>
      <c r="DK387" s="161">
        <f t="shared" si="1258"/>
        <v>0</v>
      </c>
      <c r="DL387" s="161">
        <f t="shared" si="1259"/>
        <v>0</v>
      </c>
      <c r="DM387" s="161">
        <f t="shared" si="1260"/>
        <v>0</v>
      </c>
      <c r="DN387" s="161">
        <f t="shared" si="1261"/>
        <v>0</v>
      </c>
      <c r="DO387" s="161">
        <f t="shared" si="1262"/>
        <v>0</v>
      </c>
      <c r="DP387" s="161">
        <f t="shared" si="1263"/>
        <v>0</v>
      </c>
      <c r="DQ387" s="161">
        <f t="shared" si="1264"/>
        <v>0</v>
      </c>
      <c r="DR387" s="161">
        <f t="shared" si="1265"/>
        <v>0</v>
      </c>
      <c r="DS387" s="161">
        <f t="shared" si="1266"/>
        <v>0</v>
      </c>
      <c r="DT387" s="161">
        <f t="shared" si="1267"/>
        <v>0</v>
      </c>
      <c r="DU387" s="161">
        <f t="shared" si="1268"/>
        <v>0</v>
      </c>
      <c r="DV387" s="161">
        <f t="shared" si="1269"/>
        <v>0</v>
      </c>
      <c r="DW387" s="161">
        <f t="shared" si="1270"/>
        <v>0</v>
      </c>
      <c r="DX387" s="161">
        <f t="shared" si="1271"/>
        <v>0</v>
      </c>
      <c r="DY387" s="161">
        <f t="shared" si="1272"/>
        <v>0</v>
      </c>
      <c r="DZ387" s="161">
        <f t="shared" si="1273"/>
        <v>0</v>
      </c>
      <c r="EA387" s="161">
        <f t="shared" si="1274"/>
        <v>0</v>
      </c>
      <c r="EB387" s="161">
        <f t="shared" si="1275"/>
        <v>0</v>
      </c>
      <c r="EC387" s="161">
        <f t="shared" si="1276"/>
        <v>0</v>
      </c>
      <c r="ED387" s="161">
        <f t="shared" si="1277"/>
        <v>0</v>
      </c>
      <c r="EE387" s="161">
        <f t="shared" si="1278"/>
        <v>0</v>
      </c>
      <c r="EF387" s="161">
        <f t="shared" si="1279"/>
        <v>0</v>
      </c>
      <c r="EG387" s="161">
        <f t="shared" si="1280"/>
        <v>0</v>
      </c>
      <c r="EH387" s="161">
        <f t="shared" si="1281"/>
        <v>0</v>
      </c>
      <c r="EI387" s="161">
        <f t="shared" si="1282"/>
        <v>0</v>
      </c>
      <c r="EJ387" s="65"/>
      <c r="EK387" s="161">
        <f t="shared" si="1283"/>
        <v>0</v>
      </c>
      <c r="EL387" s="161">
        <f t="shared" si="1284"/>
        <v>0</v>
      </c>
      <c r="EM387" s="161">
        <f t="shared" si="1285"/>
        <v>0</v>
      </c>
    </row>
    <row r="388" spans="1:143" ht="12" hidden="1" customHeight="1" outlineLevel="2">
      <c r="A388" s="77">
        <v>8</v>
      </c>
      <c r="B388" s="137" t="str">
        <f t="shared" si="1213"/>
        <v>AN PL. ENG/ARQ - Equipe_01</v>
      </c>
      <c r="C388" s="65"/>
      <c r="D388" s="621"/>
      <c r="E388" s="65"/>
      <c r="F388" s="584"/>
      <c r="G388" s="77" t="str">
        <f>IF(INDEX(Tarefas!$BT$30:$FK$30,MATCH(A388,Tarefas!$BT$28:$FK$28,0))=0,"",INDEX(Tarefas!$BT$30:$FK$30,MATCH(A388,Tarefas!$BT$28:$FK$28,0)))</f>
        <v>AN PL. ENG/ARQ</v>
      </c>
      <c r="H388" s="107" cm="1">
        <f t="array" ref="H388">IFERROR((SUMPRODUCT((Tarefas!$N$32:$N$54='Cronog. e Histog.'!$F$381)*(Tarefas!$BQ$30:$FK$30='Cronog. e Histog.'!$G388)*(Tarefas!$BQ$32:$FK$54)))/SUMIF(Tarefas!$N$32:$N$54,'Cronog. e Histog.'!$F$381,Tarefas!$K$32:$K$54),0)</f>
        <v>0</v>
      </c>
      <c r="I388" s="79">
        <f t="shared" si="1214"/>
        <v>0</v>
      </c>
      <c r="J388" s="65"/>
      <c r="K388" s="160">
        <f t="shared" si="1215"/>
        <v>0</v>
      </c>
      <c r="L388" s="160">
        <f t="shared" si="1215"/>
        <v>0</v>
      </c>
      <c r="M388" s="160">
        <f t="shared" si="1215"/>
        <v>0</v>
      </c>
      <c r="N388" s="160">
        <f t="shared" si="1215"/>
        <v>0</v>
      </c>
      <c r="O388" s="160">
        <f t="shared" si="1215"/>
        <v>0</v>
      </c>
      <c r="P388" s="160">
        <f t="shared" si="1215"/>
        <v>0</v>
      </c>
      <c r="Q388" s="160">
        <f t="shared" si="1215"/>
        <v>0</v>
      </c>
      <c r="R388" s="160">
        <f t="shared" si="1215"/>
        <v>0</v>
      </c>
      <c r="S388" s="160">
        <f t="shared" si="1215"/>
        <v>0</v>
      </c>
      <c r="T388" s="160">
        <f t="shared" si="1215"/>
        <v>0</v>
      </c>
      <c r="U388" s="160">
        <f t="shared" si="1215"/>
        <v>0</v>
      </c>
      <c r="V388" s="160">
        <f t="shared" si="1215"/>
        <v>0</v>
      </c>
      <c r="W388" s="160">
        <f t="shared" si="1215"/>
        <v>0</v>
      </c>
      <c r="X388" s="160">
        <f t="shared" si="1215"/>
        <v>0</v>
      </c>
      <c r="Y388" s="160">
        <f t="shared" si="1215"/>
        <v>0</v>
      </c>
      <c r="Z388" s="160">
        <f t="shared" si="1215"/>
        <v>0</v>
      </c>
      <c r="AA388" s="160">
        <f t="shared" si="1216"/>
        <v>0</v>
      </c>
      <c r="AB388" s="160">
        <f t="shared" si="1216"/>
        <v>0</v>
      </c>
      <c r="AC388" s="160">
        <f t="shared" si="1216"/>
        <v>0</v>
      </c>
      <c r="AD388" s="160">
        <f t="shared" si="1216"/>
        <v>0</v>
      </c>
      <c r="AE388" s="160">
        <f t="shared" si="1216"/>
        <v>0</v>
      </c>
      <c r="AF388" s="160">
        <f t="shared" si="1216"/>
        <v>0</v>
      </c>
      <c r="AG388" s="160">
        <f t="shared" si="1216"/>
        <v>0</v>
      </c>
      <c r="AH388" s="160">
        <f t="shared" si="1216"/>
        <v>0</v>
      </c>
      <c r="AI388" s="160">
        <f t="shared" si="1216"/>
        <v>0</v>
      </c>
      <c r="AJ388" s="160">
        <f t="shared" si="1216"/>
        <v>0</v>
      </c>
      <c r="AK388" s="160">
        <f t="shared" si="1216"/>
        <v>0</v>
      </c>
      <c r="AL388" s="160">
        <f t="shared" si="1216"/>
        <v>0</v>
      </c>
      <c r="AM388" s="160">
        <f t="shared" si="1216"/>
        <v>0</v>
      </c>
      <c r="AN388" s="160">
        <f t="shared" si="1216"/>
        <v>0</v>
      </c>
      <c r="AO388" s="160">
        <f t="shared" si="1216"/>
        <v>0</v>
      </c>
      <c r="AP388" s="160">
        <f t="shared" si="1216"/>
        <v>0</v>
      </c>
      <c r="AQ388" s="160">
        <f t="shared" si="1217"/>
        <v>0</v>
      </c>
      <c r="AR388" s="160">
        <f t="shared" si="1217"/>
        <v>0</v>
      </c>
      <c r="AS388" s="160">
        <f t="shared" si="1217"/>
        <v>0</v>
      </c>
      <c r="AT388" s="160">
        <f t="shared" si="1217"/>
        <v>0</v>
      </c>
      <c r="AU388" s="160">
        <f t="shared" si="1217"/>
        <v>0</v>
      </c>
      <c r="AV388" s="160">
        <f t="shared" si="1217"/>
        <v>0</v>
      </c>
      <c r="AW388" s="160">
        <f t="shared" si="1217"/>
        <v>0</v>
      </c>
      <c r="AX388" s="160">
        <f t="shared" si="1217"/>
        <v>0</v>
      </c>
      <c r="AY388" s="160">
        <f t="shared" si="1217"/>
        <v>0</v>
      </c>
      <c r="AZ388" s="160">
        <f t="shared" si="1217"/>
        <v>0</v>
      </c>
      <c r="BA388" s="160">
        <f t="shared" si="1217"/>
        <v>0</v>
      </c>
      <c r="BB388" s="160">
        <f t="shared" si="1217"/>
        <v>0</v>
      </c>
      <c r="BC388" s="160">
        <f t="shared" si="1217"/>
        <v>0</v>
      </c>
      <c r="BD388" s="160">
        <f t="shared" si="1217"/>
        <v>0</v>
      </c>
      <c r="BE388" s="160">
        <f t="shared" si="1217"/>
        <v>0</v>
      </c>
      <c r="BF388" s="160">
        <f t="shared" si="1217"/>
        <v>0</v>
      </c>
      <c r="BG388" s="160">
        <f t="shared" si="1218"/>
        <v>0</v>
      </c>
      <c r="BH388" s="160">
        <f t="shared" si="1218"/>
        <v>0</v>
      </c>
      <c r="BI388" s="160">
        <f t="shared" si="1218"/>
        <v>0</v>
      </c>
      <c r="BJ388" s="160">
        <f t="shared" si="1218"/>
        <v>0</v>
      </c>
      <c r="BK388" s="160">
        <f t="shared" si="1218"/>
        <v>0</v>
      </c>
      <c r="BL388" s="160">
        <f t="shared" si="1218"/>
        <v>0</v>
      </c>
      <c r="BM388" s="160">
        <f t="shared" si="1218"/>
        <v>0</v>
      </c>
      <c r="BN388" s="160">
        <f t="shared" si="1218"/>
        <v>0</v>
      </c>
      <c r="BO388" s="160">
        <f t="shared" si="1218"/>
        <v>0</v>
      </c>
      <c r="BP388" s="160">
        <f t="shared" si="1218"/>
        <v>0</v>
      </c>
      <c r="BQ388" s="160">
        <f t="shared" si="1218"/>
        <v>0</v>
      </c>
      <c r="BR388" s="160">
        <f t="shared" si="1218"/>
        <v>0</v>
      </c>
      <c r="BS388" s="65"/>
      <c r="BT388" s="160">
        <f t="shared" si="1219"/>
        <v>0</v>
      </c>
      <c r="BU388" s="160">
        <f t="shared" si="1220"/>
        <v>0</v>
      </c>
      <c r="BV388" s="65"/>
      <c r="BW388" s="69"/>
      <c r="BX388" s="65"/>
      <c r="BY388" s="137">
        <f t="shared" si="1221"/>
        <v>1</v>
      </c>
      <c r="BZ388" s="137">
        <f>IF(BY388&gt;0,BY388+LARGE($BZ$213:BZ387,1),0)</f>
        <v>148</v>
      </c>
      <c r="CA388" s="137" t="str">
        <f t="shared" si="1222"/>
        <v>AN PL. ENG/ARQ</v>
      </c>
      <c r="CB388" s="161">
        <f t="shared" si="1223"/>
        <v>0</v>
      </c>
      <c r="CC388" s="161">
        <f t="shared" si="1224"/>
        <v>0</v>
      </c>
      <c r="CD388" s="161">
        <f t="shared" si="1225"/>
        <v>0</v>
      </c>
      <c r="CE388" s="161">
        <f t="shared" si="1226"/>
        <v>0</v>
      </c>
      <c r="CF388" s="161">
        <f t="shared" si="1227"/>
        <v>0</v>
      </c>
      <c r="CG388" s="161">
        <f t="shared" si="1228"/>
        <v>0</v>
      </c>
      <c r="CH388" s="161">
        <f t="shared" si="1229"/>
        <v>0</v>
      </c>
      <c r="CI388" s="161">
        <f t="shared" si="1230"/>
        <v>0</v>
      </c>
      <c r="CJ388" s="161">
        <f t="shared" si="1231"/>
        <v>0</v>
      </c>
      <c r="CK388" s="161">
        <f t="shared" si="1232"/>
        <v>0</v>
      </c>
      <c r="CL388" s="161">
        <f t="shared" si="1233"/>
        <v>0</v>
      </c>
      <c r="CM388" s="161">
        <f t="shared" si="1234"/>
        <v>0</v>
      </c>
      <c r="CN388" s="161">
        <f t="shared" si="1235"/>
        <v>0</v>
      </c>
      <c r="CO388" s="161">
        <f t="shared" si="1236"/>
        <v>0</v>
      </c>
      <c r="CP388" s="161">
        <f t="shared" si="1237"/>
        <v>0</v>
      </c>
      <c r="CQ388" s="161">
        <f t="shared" si="1238"/>
        <v>0</v>
      </c>
      <c r="CR388" s="161">
        <f t="shared" si="1239"/>
        <v>0</v>
      </c>
      <c r="CS388" s="161">
        <f t="shared" si="1240"/>
        <v>0</v>
      </c>
      <c r="CT388" s="161">
        <f t="shared" si="1241"/>
        <v>0</v>
      </c>
      <c r="CU388" s="161">
        <f t="shared" si="1242"/>
        <v>0</v>
      </c>
      <c r="CV388" s="161">
        <f t="shared" si="1243"/>
        <v>0</v>
      </c>
      <c r="CW388" s="161">
        <f t="shared" si="1244"/>
        <v>0</v>
      </c>
      <c r="CX388" s="161">
        <f t="shared" si="1245"/>
        <v>0</v>
      </c>
      <c r="CY388" s="161">
        <f t="shared" si="1246"/>
        <v>0</v>
      </c>
      <c r="CZ388" s="161">
        <f t="shared" si="1247"/>
        <v>0</v>
      </c>
      <c r="DA388" s="161">
        <f t="shared" si="1248"/>
        <v>0</v>
      </c>
      <c r="DB388" s="161">
        <f t="shared" si="1249"/>
        <v>0</v>
      </c>
      <c r="DC388" s="161">
        <f t="shared" si="1250"/>
        <v>0</v>
      </c>
      <c r="DD388" s="161">
        <f t="shared" si="1251"/>
        <v>0</v>
      </c>
      <c r="DE388" s="161">
        <f t="shared" si="1252"/>
        <v>0</v>
      </c>
      <c r="DF388" s="161">
        <f t="shared" si="1253"/>
        <v>0</v>
      </c>
      <c r="DG388" s="161">
        <f t="shared" si="1254"/>
        <v>0</v>
      </c>
      <c r="DH388" s="161">
        <f t="shared" si="1255"/>
        <v>0</v>
      </c>
      <c r="DI388" s="161">
        <f t="shared" si="1256"/>
        <v>0</v>
      </c>
      <c r="DJ388" s="161">
        <f t="shared" si="1257"/>
        <v>0</v>
      </c>
      <c r="DK388" s="161">
        <f t="shared" si="1258"/>
        <v>0</v>
      </c>
      <c r="DL388" s="161">
        <f t="shared" si="1259"/>
        <v>0</v>
      </c>
      <c r="DM388" s="161">
        <f t="shared" si="1260"/>
        <v>0</v>
      </c>
      <c r="DN388" s="161">
        <f t="shared" si="1261"/>
        <v>0</v>
      </c>
      <c r="DO388" s="161">
        <f t="shared" si="1262"/>
        <v>0</v>
      </c>
      <c r="DP388" s="161">
        <f t="shared" si="1263"/>
        <v>0</v>
      </c>
      <c r="DQ388" s="161">
        <f t="shared" si="1264"/>
        <v>0</v>
      </c>
      <c r="DR388" s="161">
        <f t="shared" si="1265"/>
        <v>0</v>
      </c>
      <c r="DS388" s="161">
        <f t="shared" si="1266"/>
        <v>0</v>
      </c>
      <c r="DT388" s="161">
        <f t="shared" si="1267"/>
        <v>0</v>
      </c>
      <c r="DU388" s="161">
        <f t="shared" si="1268"/>
        <v>0</v>
      </c>
      <c r="DV388" s="161">
        <f t="shared" si="1269"/>
        <v>0</v>
      </c>
      <c r="DW388" s="161">
        <f t="shared" si="1270"/>
        <v>0</v>
      </c>
      <c r="DX388" s="161">
        <f t="shared" si="1271"/>
        <v>0</v>
      </c>
      <c r="DY388" s="161">
        <f t="shared" si="1272"/>
        <v>0</v>
      </c>
      <c r="DZ388" s="161">
        <f t="shared" si="1273"/>
        <v>0</v>
      </c>
      <c r="EA388" s="161">
        <f t="shared" si="1274"/>
        <v>0</v>
      </c>
      <c r="EB388" s="161">
        <f t="shared" si="1275"/>
        <v>0</v>
      </c>
      <c r="EC388" s="161">
        <f t="shared" si="1276"/>
        <v>0</v>
      </c>
      <c r="ED388" s="161">
        <f t="shared" si="1277"/>
        <v>0</v>
      </c>
      <c r="EE388" s="161">
        <f t="shared" si="1278"/>
        <v>0</v>
      </c>
      <c r="EF388" s="161">
        <f t="shared" si="1279"/>
        <v>0</v>
      </c>
      <c r="EG388" s="161">
        <f t="shared" si="1280"/>
        <v>0</v>
      </c>
      <c r="EH388" s="161">
        <f t="shared" si="1281"/>
        <v>0</v>
      </c>
      <c r="EI388" s="161">
        <f t="shared" si="1282"/>
        <v>0</v>
      </c>
      <c r="EJ388" s="65"/>
      <c r="EK388" s="161">
        <f t="shared" si="1283"/>
        <v>0</v>
      </c>
      <c r="EL388" s="161">
        <f t="shared" si="1284"/>
        <v>0</v>
      </c>
      <c r="EM388" s="161">
        <f t="shared" si="1285"/>
        <v>0</v>
      </c>
    </row>
    <row r="389" spans="1:143" ht="12" hidden="1" customHeight="1" outlineLevel="2">
      <c r="A389" s="77">
        <v>9</v>
      </c>
      <c r="B389" s="137" t="str">
        <f t="shared" si="1213"/>
        <v>AN JR. ENG/ARQ - Equipe_01</v>
      </c>
      <c r="C389" s="65"/>
      <c r="D389" s="621"/>
      <c r="E389" s="65"/>
      <c r="F389" s="584"/>
      <c r="G389" s="77" t="str">
        <f>IF(INDEX(Tarefas!$BT$30:$FK$30,MATCH(A389,Tarefas!$BT$28:$FK$28,0))=0,"",INDEX(Tarefas!$BT$30:$FK$30,MATCH(A389,Tarefas!$BT$28:$FK$28,0)))</f>
        <v>AN JR. ENG/ARQ</v>
      </c>
      <c r="H389" s="107" cm="1">
        <f t="array" ref="H389">IFERROR((SUMPRODUCT((Tarefas!$N$32:$N$54='Cronog. e Histog.'!$F$381)*(Tarefas!$BQ$30:$FK$30='Cronog. e Histog.'!$G389)*(Tarefas!$BQ$32:$FK$54)))/SUMIF(Tarefas!$N$32:$N$54,'Cronog. e Histog.'!$F$381,Tarefas!$K$32:$K$54),0)</f>
        <v>0</v>
      </c>
      <c r="I389" s="79">
        <f t="shared" si="1214"/>
        <v>0</v>
      </c>
      <c r="J389" s="65"/>
      <c r="K389" s="160">
        <f t="shared" si="1215"/>
        <v>0</v>
      </c>
      <c r="L389" s="160">
        <f t="shared" si="1215"/>
        <v>0</v>
      </c>
      <c r="M389" s="160">
        <f t="shared" si="1215"/>
        <v>0</v>
      </c>
      <c r="N389" s="160">
        <f t="shared" si="1215"/>
        <v>0</v>
      </c>
      <c r="O389" s="160">
        <f t="shared" si="1215"/>
        <v>0</v>
      </c>
      <c r="P389" s="160">
        <f t="shared" si="1215"/>
        <v>0</v>
      </c>
      <c r="Q389" s="160">
        <f t="shared" si="1215"/>
        <v>0</v>
      </c>
      <c r="R389" s="160">
        <f t="shared" si="1215"/>
        <v>0</v>
      </c>
      <c r="S389" s="160">
        <f t="shared" si="1215"/>
        <v>0</v>
      </c>
      <c r="T389" s="160">
        <f t="shared" si="1215"/>
        <v>0</v>
      </c>
      <c r="U389" s="160">
        <f t="shared" si="1215"/>
        <v>0</v>
      </c>
      <c r="V389" s="160">
        <f t="shared" si="1215"/>
        <v>0</v>
      </c>
      <c r="W389" s="160">
        <f t="shared" si="1215"/>
        <v>0</v>
      </c>
      <c r="X389" s="160">
        <f t="shared" si="1215"/>
        <v>0</v>
      </c>
      <c r="Y389" s="160">
        <f t="shared" si="1215"/>
        <v>0</v>
      </c>
      <c r="Z389" s="160">
        <f t="shared" si="1215"/>
        <v>0</v>
      </c>
      <c r="AA389" s="160">
        <f t="shared" si="1216"/>
        <v>0</v>
      </c>
      <c r="AB389" s="160">
        <f t="shared" si="1216"/>
        <v>0</v>
      </c>
      <c r="AC389" s="160">
        <f t="shared" si="1216"/>
        <v>0</v>
      </c>
      <c r="AD389" s="160">
        <f t="shared" si="1216"/>
        <v>0</v>
      </c>
      <c r="AE389" s="160">
        <f t="shared" si="1216"/>
        <v>0</v>
      </c>
      <c r="AF389" s="160">
        <f t="shared" si="1216"/>
        <v>0</v>
      </c>
      <c r="AG389" s="160">
        <f t="shared" si="1216"/>
        <v>0</v>
      </c>
      <c r="AH389" s="160">
        <f t="shared" si="1216"/>
        <v>0</v>
      </c>
      <c r="AI389" s="160">
        <f t="shared" si="1216"/>
        <v>0</v>
      </c>
      <c r="AJ389" s="160">
        <f t="shared" si="1216"/>
        <v>0</v>
      </c>
      <c r="AK389" s="160">
        <f t="shared" si="1216"/>
        <v>0</v>
      </c>
      <c r="AL389" s="160">
        <f t="shared" si="1216"/>
        <v>0</v>
      </c>
      <c r="AM389" s="160">
        <f t="shared" si="1216"/>
        <v>0</v>
      </c>
      <c r="AN389" s="160">
        <f t="shared" si="1216"/>
        <v>0</v>
      </c>
      <c r="AO389" s="160">
        <f t="shared" si="1216"/>
        <v>0</v>
      </c>
      <c r="AP389" s="160">
        <f t="shared" si="1216"/>
        <v>0</v>
      </c>
      <c r="AQ389" s="160">
        <f t="shared" si="1217"/>
        <v>0</v>
      </c>
      <c r="AR389" s="160">
        <f t="shared" si="1217"/>
        <v>0</v>
      </c>
      <c r="AS389" s="160">
        <f t="shared" si="1217"/>
        <v>0</v>
      </c>
      <c r="AT389" s="160">
        <f t="shared" si="1217"/>
        <v>0</v>
      </c>
      <c r="AU389" s="160">
        <f t="shared" si="1217"/>
        <v>0</v>
      </c>
      <c r="AV389" s="160">
        <f t="shared" si="1217"/>
        <v>0</v>
      </c>
      <c r="AW389" s="160">
        <f t="shared" si="1217"/>
        <v>0</v>
      </c>
      <c r="AX389" s="160">
        <f t="shared" si="1217"/>
        <v>0</v>
      </c>
      <c r="AY389" s="160">
        <f t="shared" si="1217"/>
        <v>0</v>
      </c>
      <c r="AZ389" s="160">
        <f t="shared" si="1217"/>
        <v>0</v>
      </c>
      <c r="BA389" s="160">
        <f t="shared" si="1217"/>
        <v>0</v>
      </c>
      <c r="BB389" s="160">
        <f t="shared" si="1217"/>
        <v>0</v>
      </c>
      <c r="BC389" s="160">
        <f t="shared" si="1217"/>
        <v>0</v>
      </c>
      <c r="BD389" s="160">
        <f t="shared" si="1217"/>
        <v>0</v>
      </c>
      <c r="BE389" s="160">
        <f t="shared" si="1217"/>
        <v>0</v>
      </c>
      <c r="BF389" s="160">
        <f t="shared" si="1217"/>
        <v>0</v>
      </c>
      <c r="BG389" s="160">
        <f t="shared" si="1218"/>
        <v>0</v>
      </c>
      <c r="BH389" s="160">
        <f t="shared" si="1218"/>
        <v>0</v>
      </c>
      <c r="BI389" s="160">
        <f t="shared" si="1218"/>
        <v>0</v>
      </c>
      <c r="BJ389" s="160">
        <f t="shared" si="1218"/>
        <v>0</v>
      </c>
      <c r="BK389" s="160">
        <f t="shared" si="1218"/>
        <v>0</v>
      </c>
      <c r="BL389" s="160">
        <f t="shared" si="1218"/>
        <v>0</v>
      </c>
      <c r="BM389" s="160">
        <f t="shared" si="1218"/>
        <v>0</v>
      </c>
      <c r="BN389" s="160">
        <f t="shared" si="1218"/>
        <v>0</v>
      </c>
      <c r="BO389" s="160">
        <f t="shared" si="1218"/>
        <v>0</v>
      </c>
      <c r="BP389" s="160">
        <f t="shared" si="1218"/>
        <v>0</v>
      </c>
      <c r="BQ389" s="160">
        <f t="shared" si="1218"/>
        <v>0</v>
      </c>
      <c r="BR389" s="160">
        <f t="shared" si="1218"/>
        <v>0</v>
      </c>
      <c r="BS389" s="65"/>
      <c r="BT389" s="160">
        <f t="shared" si="1219"/>
        <v>0</v>
      </c>
      <c r="BU389" s="160">
        <f t="shared" si="1220"/>
        <v>0</v>
      </c>
      <c r="BV389" s="65"/>
      <c r="BW389" s="69"/>
      <c r="BX389" s="65"/>
      <c r="BY389" s="137">
        <f t="shared" si="1221"/>
        <v>1</v>
      </c>
      <c r="BZ389" s="137">
        <f>IF(BY389&gt;0,BY389+LARGE($BZ$213:BZ388,1),0)</f>
        <v>149</v>
      </c>
      <c r="CA389" s="137" t="str">
        <f t="shared" si="1222"/>
        <v>AN JR. ENG/ARQ</v>
      </c>
      <c r="CB389" s="161">
        <f t="shared" si="1223"/>
        <v>0</v>
      </c>
      <c r="CC389" s="161">
        <f t="shared" si="1224"/>
        <v>0</v>
      </c>
      <c r="CD389" s="161">
        <f t="shared" si="1225"/>
        <v>0</v>
      </c>
      <c r="CE389" s="161">
        <f t="shared" si="1226"/>
        <v>0</v>
      </c>
      <c r="CF389" s="161">
        <f t="shared" si="1227"/>
        <v>0</v>
      </c>
      <c r="CG389" s="161">
        <f t="shared" si="1228"/>
        <v>0</v>
      </c>
      <c r="CH389" s="161">
        <f t="shared" si="1229"/>
        <v>0</v>
      </c>
      <c r="CI389" s="161">
        <f t="shared" si="1230"/>
        <v>0</v>
      </c>
      <c r="CJ389" s="161">
        <f t="shared" si="1231"/>
        <v>0</v>
      </c>
      <c r="CK389" s="161">
        <f t="shared" si="1232"/>
        <v>0</v>
      </c>
      <c r="CL389" s="161">
        <f t="shared" si="1233"/>
        <v>0</v>
      </c>
      <c r="CM389" s="161">
        <f t="shared" si="1234"/>
        <v>0</v>
      </c>
      <c r="CN389" s="161">
        <f t="shared" si="1235"/>
        <v>0</v>
      </c>
      <c r="CO389" s="161">
        <f t="shared" si="1236"/>
        <v>0</v>
      </c>
      <c r="CP389" s="161">
        <f t="shared" si="1237"/>
        <v>0</v>
      </c>
      <c r="CQ389" s="161">
        <f t="shared" si="1238"/>
        <v>0</v>
      </c>
      <c r="CR389" s="161">
        <f t="shared" si="1239"/>
        <v>0</v>
      </c>
      <c r="CS389" s="161">
        <f t="shared" si="1240"/>
        <v>0</v>
      </c>
      <c r="CT389" s="161">
        <f t="shared" si="1241"/>
        <v>0</v>
      </c>
      <c r="CU389" s="161">
        <f t="shared" si="1242"/>
        <v>0</v>
      </c>
      <c r="CV389" s="161">
        <f t="shared" si="1243"/>
        <v>0</v>
      </c>
      <c r="CW389" s="161">
        <f t="shared" si="1244"/>
        <v>0</v>
      </c>
      <c r="CX389" s="161">
        <f t="shared" si="1245"/>
        <v>0</v>
      </c>
      <c r="CY389" s="161">
        <f t="shared" si="1246"/>
        <v>0</v>
      </c>
      <c r="CZ389" s="161">
        <f t="shared" si="1247"/>
        <v>0</v>
      </c>
      <c r="DA389" s="161">
        <f t="shared" si="1248"/>
        <v>0</v>
      </c>
      <c r="DB389" s="161">
        <f t="shared" si="1249"/>
        <v>0</v>
      </c>
      <c r="DC389" s="161">
        <f t="shared" si="1250"/>
        <v>0</v>
      </c>
      <c r="DD389" s="161">
        <f t="shared" si="1251"/>
        <v>0</v>
      </c>
      <c r="DE389" s="161">
        <f t="shared" si="1252"/>
        <v>0</v>
      </c>
      <c r="DF389" s="161">
        <f t="shared" si="1253"/>
        <v>0</v>
      </c>
      <c r="DG389" s="161">
        <f t="shared" si="1254"/>
        <v>0</v>
      </c>
      <c r="DH389" s="161">
        <f t="shared" si="1255"/>
        <v>0</v>
      </c>
      <c r="DI389" s="161">
        <f t="shared" si="1256"/>
        <v>0</v>
      </c>
      <c r="DJ389" s="161">
        <f t="shared" si="1257"/>
        <v>0</v>
      </c>
      <c r="DK389" s="161">
        <f t="shared" si="1258"/>
        <v>0</v>
      </c>
      <c r="DL389" s="161">
        <f t="shared" si="1259"/>
        <v>0</v>
      </c>
      <c r="DM389" s="161">
        <f t="shared" si="1260"/>
        <v>0</v>
      </c>
      <c r="DN389" s="161">
        <f t="shared" si="1261"/>
        <v>0</v>
      </c>
      <c r="DO389" s="161">
        <f t="shared" si="1262"/>
        <v>0</v>
      </c>
      <c r="DP389" s="161">
        <f t="shared" si="1263"/>
        <v>0</v>
      </c>
      <c r="DQ389" s="161">
        <f t="shared" si="1264"/>
        <v>0</v>
      </c>
      <c r="DR389" s="161">
        <f t="shared" si="1265"/>
        <v>0</v>
      </c>
      <c r="DS389" s="161">
        <f t="shared" si="1266"/>
        <v>0</v>
      </c>
      <c r="DT389" s="161">
        <f t="shared" si="1267"/>
        <v>0</v>
      </c>
      <c r="DU389" s="161">
        <f t="shared" si="1268"/>
        <v>0</v>
      </c>
      <c r="DV389" s="161">
        <f t="shared" si="1269"/>
        <v>0</v>
      </c>
      <c r="DW389" s="161">
        <f t="shared" si="1270"/>
        <v>0</v>
      </c>
      <c r="DX389" s="161">
        <f t="shared" si="1271"/>
        <v>0</v>
      </c>
      <c r="DY389" s="161">
        <f t="shared" si="1272"/>
        <v>0</v>
      </c>
      <c r="DZ389" s="161">
        <f t="shared" si="1273"/>
        <v>0</v>
      </c>
      <c r="EA389" s="161">
        <f t="shared" si="1274"/>
        <v>0</v>
      </c>
      <c r="EB389" s="161">
        <f t="shared" si="1275"/>
        <v>0</v>
      </c>
      <c r="EC389" s="161">
        <f t="shared" si="1276"/>
        <v>0</v>
      </c>
      <c r="ED389" s="161">
        <f t="shared" si="1277"/>
        <v>0</v>
      </c>
      <c r="EE389" s="161">
        <f t="shared" si="1278"/>
        <v>0</v>
      </c>
      <c r="EF389" s="161">
        <f t="shared" si="1279"/>
        <v>0</v>
      </c>
      <c r="EG389" s="161">
        <f t="shared" si="1280"/>
        <v>0</v>
      </c>
      <c r="EH389" s="161">
        <f t="shared" si="1281"/>
        <v>0</v>
      </c>
      <c r="EI389" s="161">
        <f t="shared" si="1282"/>
        <v>0</v>
      </c>
      <c r="EJ389" s="65"/>
      <c r="EK389" s="161">
        <f t="shared" si="1283"/>
        <v>0</v>
      </c>
      <c r="EL389" s="161">
        <f t="shared" si="1284"/>
        <v>0</v>
      </c>
      <c r="EM389" s="161">
        <f t="shared" si="1285"/>
        <v>0</v>
      </c>
    </row>
    <row r="390" spans="1:143" ht="12" hidden="1" customHeight="1" outlineLevel="2">
      <c r="A390" s="77">
        <v>10</v>
      </c>
      <c r="B390" s="137" t="str">
        <f t="shared" si="1213"/>
        <v>AN SR. ADM/CRP - Equipe_01</v>
      </c>
      <c r="C390" s="65"/>
      <c r="D390" s="621"/>
      <c r="E390" s="65"/>
      <c r="F390" s="584"/>
      <c r="G390" s="77" t="str">
        <f>IF(INDEX(Tarefas!$BT$30:$FK$30,MATCH(A390,Tarefas!$BT$28:$FK$28,0))=0,"",INDEX(Tarefas!$BT$30:$FK$30,MATCH(A390,Tarefas!$BT$28:$FK$28,0)))</f>
        <v>AN SR. ADM/CRP</v>
      </c>
      <c r="H390" s="107" cm="1">
        <f t="array" ref="H390">IFERROR((SUMPRODUCT((Tarefas!$N$32:$N$54='Cronog. e Histog.'!$F$381)*(Tarefas!$BQ$30:$FK$30='Cronog. e Histog.'!$G390)*(Tarefas!$BQ$32:$FK$54)))/SUMIF(Tarefas!$N$32:$N$54,'Cronog. e Histog.'!$F$381,Tarefas!$K$32:$K$54),0)</f>
        <v>0</v>
      </c>
      <c r="I390" s="79">
        <f t="shared" si="1214"/>
        <v>0</v>
      </c>
      <c r="J390" s="65"/>
      <c r="K390" s="160">
        <f t="shared" si="1215"/>
        <v>0</v>
      </c>
      <c r="L390" s="160">
        <f t="shared" si="1215"/>
        <v>0</v>
      </c>
      <c r="M390" s="160">
        <f t="shared" si="1215"/>
        <v>0</v>
      </c>
      <c r="N390" s="160">
        <f t="shared" si="1215"/>
        <v>0</v>
      </c>
      <c r="O390" s="160">
        <f t="shared" si="1215"/>
        <v>0</v>
      </c>
      <c r="P390" s="160">
        <f t="shared" si="1215"/>
        <v>0</v>
      </c>
      <c r="Q390" s="160">
        <f t="shared" si="1215"/>
        <v>0</v>
      </c>
      <c r="R390" s="160">
        <f t="shared" si="1215"/>
        <v>0</v>
      </c>
      <c r="S390" s="160">
        <f t="shared" si="1215"/>
        <v>0</v>
      </c>
      <c r="T390" s="160">
        <f t="shared" si="1215"/>
        <v>0</v>
      </c>
      <c r="U390" s="160">
        <f t="shared" si="1215"/>
        <v>0</v>
      </c>
      <c r="V390" s="160">
        <f t="shared" si="1215"/>
        <v>0</v>
      </c>
      <c r="W390" s="160">
        <f t="shared" si="1215"/>
        <v>0</v>
      </c>
      <c r="X390" s="160">
        <f t="shared" si="1215"/>
        <v>0</v>
      </c>
      <c r="Y390" s="160">
        <f t="shared" si="1215"/>
        <v>0</v>
      </c>
      <c r="Z390" s="160">
        <f t="shared" si="1215"/>
        <v>0</v>
      </c>
      <c r="AA390" s="160">
        <f t="shared" si="1216"/>
        <v>0</v>
      </c>
      <c r="AB390" s="160">
        <f t="shared" si="1216"/>
        <v>0</v>
      </c>
      <c r="AC390" s="160">
        <f t="shared" si="1216"/>
        <v>0</v>
      </c>
      <c r="AD390" s="160">
        <f t="shared" si="1216"/>
        <v>0</v>
      </c>
      <c r="AE390" s="160">
        <f t="shared" si="1216"/>
        <v>0</v>
      </c>
      <c r="AF390" s="160">
        <f t="shared" si="1216"/>
        <v>0</v>
      </c>
      <c r="AG390" s="160">
        <f t="shared" si="1216"/>
        <v>0</v>
      </c>
      <c r="AH390" s="160">
        <f t="shared" si="1216"/>
        <v>0</v>
      </c>
      <c r="AI390" s="160">
        <f t="shared" si="1216"/>
        <v>0</v>
      </c>
      <c r="AJ390" s="160">
        <f t="shared" si="1216"/>
        <v>0</v>
      </c>
      <c r="AK390" s="160">
        <f t="shared" si="1216"/>
        <v>0</v>
      </c>
      <c r="AL390" s="160">
        <f t="shared" si="1216"/>
        <v>0</v>
      </c>
      <c r="AM390" s="160">
        <f t="shared" si="1216"/>
        <v>0</v>
      </c>
      <c r="AN390" s="160">
        <f t="shared" si="1216"/>
        <v>0</v>
      </c>
      <c r="AO390" s="160">
        <f t="shared" si="1216"/>
        <v>0</v>
      </c>
      <c r="AP390" s="160">
        <f t="shared" si="1216"/>
        <v>0</v>
      </c>
      <c r="AQ390" s="160">
        <f t="shared" si="1217"/>
        <v>0</v>
      </c>
      <c r="AR390" s="160">
        <f t="shared" si="1217"/>
        <v>0</v>
      </c>
      <c r="AS390" s="160">
        <f t="shared" si="1217"/>
        <v>0</v>
      </c>
      <c r="AT390" s="160">
        <f t="shared" si="1217"/>
        <v>0</v>
      </c>
      <c r="AU390" s="160">
        <f t="shared" si="1217"/>
        <v>0</v>
      </c>
      <c r="AV390" s="160">
        <f t="shared" si="1217"/>
        <v>0</v>
      </c>
      <c r="AW390" s="160">
        <f t="shared" si="1217"/>
        <v>0</v>
      </c>
      <c r="AX390" s="160">
        <f t="shared" si="1217"/>
        <v>0</v>
      </c>
      <c r="AY390" s="160">
        <f t="shared" si="1217"/>
        <v>0</v>
      </c>
      <c r="AZ390" s="160">
        <f t="shared" si="1217"/>
        <v>0</v>
      </c>
      <c r="BA390" s="160">
        <f t="shared" si="1217"/>
        <v>0</v>
      </c>
      <c r="BB390" s="160">
        <f t="shared" si="1217"/>
        <v>0</v>
      </c>
      <c r="BC390" s="160">
        <f t="shared" si="1217"/>
        <v>0</v>
      </c>
      <c r="BD390" s="160">
        <f t="shared" si="1217"/>
        <v>0</v>
      </c>
      <c r="BE390" s="160">
        <f t="shared" si="1217"/>
        <v>0</v>
      </c>
      <c r="BF390" s="160">
        <f t="shared" si="1217"/>
        <v>0</v>
      </c>
      <c r="BG390" s="160">
        <f t="shared" si="1218"/>
        <v>0</v>
      </c>
      <c r="BH390" s="160">
        <f t="shared" si="1218"/>
        <v>0</v>
      </c>
      <c r="BI390" s="160">
        <f t="shared" si="1218"/>
        <v>0</v>
      </c>
      <c r="BJ390" s="160">
        <f t="shared" si="1218"/>
        <v>0</v>
      </c>
      <c r="BK390" s="160">
        <f t="shared" si="1218"/>
        <v>0</v>
      </c>
      <c r="BL390" s="160">
        <f t="shared" si="1218"/>
        <v>0</v>
      </c>
      <c r="BM390" s="160">
        <f t="shared" si="1218"/>
        <v>0</v>
      </c>
      <c r="BN390" s="160">
        <f t="shared" si="1218"/>
        <v>0</v>
      </c>
      <c r="BO390" s="160">
        <f t="shared" si="1218"/>
        <v>0</v>
      </c>
      <c r="BP390" s="160">
        <f t="shared" si="1218"/>
        <v>0</v>
      </c>
      <c r="BQ390" s="160">
        <f t="shared" si="1218"/>
        <v>0</v>
      </c>
      <c r="BR390" s="160">
        <f t="shared" si="1218"/>
        <v>0</v>
      </c>
      <c r="BS390" s="65"/>
      <c r="BT390" s="160">
        <f t="shared" si="1219"/>
        <v>0</v>
      </c>
      <c r="BU390" s="160">
        <f t="shared" si="1220"/>
        <v>0</v>
      </c>
      <c r="BV390" s="65"/>
      <c r="BW390" s="69"/>
      <c r="BX390" s="65"/>
      <c r="BY390" s="137">
        <f t="shared" si="1221"/>
        <v>1</v>
      </c>
      <c r="BZ390" s="137">
        <f>IF(BY390&gt;0,BY390+LARGE($BZ$213:BZ389,1),0)</f>
        <v>150</v>
      </c>
      <c r="CA390" s="137" t="str">
        <f t="shared" si="1222"/>
        <v>AN SR. ADM/CRP</v>
      </c>
      <c r="CB390" s="161">
        <f t="shared" si="1223"/>
        <v>0</v>
      </c>
      <c r="CC390" s="161">
        <f t="shared" si="1224"/>
        <v>0</v>
      </c>
      <c r="CD390" s="161">
        <f t="shared" si="1225"/>
        <v>0</v>
      </c>
      <c r="CE390" s="161">
        <f t="shared" si="1226"/>
        <v>0</v>
      </c>
      <c r="CF390" s="161">
        <f t="shared" si="1227"/>
        <v>0</v>
      </c>
      <c r="CG390" s="161">
        <f t="shared" si="1228"/>
        <v>0</v>
      </c>
      <c r="CH390" s="161">
        <f t="shared" si="1229"/>
        <v>0</v>
      </c>
      <c r="CI390" s="161">
        <f t="shared" si="1230"/>
        <v>0</v>
      </c>
      <c r="CJ390" s="161">
        <f t="shared" si="1231"/>
        <v>0</v>
      </c>
      <c r="CK390" s="161">
        <f t="shared" si="1232"/>
        <v>0</v>
      </c>
      <c r="CL390" s="161">
        <f t="shared" si="1233"/>
        <v>0</v>
      </c>
      <c r="CM390" s="161">
        <f t="shared" si="1234"/>
        <v>0</v>
      </c>
      <c r="CN390" s="161">
        <f t="shared" si="1235"/>
        <v>0</v>
      </c>
      <c r="CO390" s="161">
        <f t="shared" si="1236"/>
        <v>0</v>
      </c>
      <c r="CP390" s="161">
        <f t="shared" si="1237"/>
        <v>0</v>
      </c>
      <c r="CQ390" s="161">
        <f t="shared" si="1238"/>
        <v>0</v>
      </c>
      <c r="CR390" s="161">
        <f t="shared" si="1239"/>
        <v>0</v>
      </c>
      <c r="CS390" s="161">
        <f t="shared" si="1240"/>
        <v>0</v>
      </c>
      <c r="CT390" s="161">
        <f t="shared" si="1241"/>
        <v>0</v>
      </c>
      <c r="CU390" s="161">
        <f t="shared" si="1242"/>
        <v>0</v>
      </c>
      <c r="CV390" s="161">
        <f t="shared" si="1243"/>
        <v>0</v>
      </c>
      <c r="CW390" s="161">
        <f t="shared" si="1244"/>
        <v>0</v>
      </c>
      <c r="CX390" s="161">
        <f t="shared" si="1245"/>
        <v>0</v>
      </c>
      <c r="CY390" s="161">
        <f t="shared" si="1246"/>
        <v>0</v>
      </c>
      <c r="CZ390" s="161">
        <f t="shared" si="1247"/>
        <v>0</v>
      </c>
      <c r="DA390" s="161">
        <f t="shared" si="1248"/>
        <v>0</v>
      </c>
      <c r="DB390" s="161">
        <f t="shared" si="1249"/>
        <v>0</v>
      </c>
      <c r="DC390" s="161">
        <f t="shared" si="1250"/>
        <v>0</v>
      </c>
      <c r="DD390" s="161">
        <f t="shared" si="1251"/>
        <v>0</v>
      </c>
      <c r="DE390" s="161">
        <f t="shared" si="1252"/>
        <v>0</v>
      </c>
      <c r="DF390" s="161">
        <f t="shared" si="1253"/>
        <v>0</v>
      </c>
      <c r="DG390" s="161">
        <f t="shared" si="1254"/>
        <v>0</v>
      </c>
      <c r="DH390" s="161">
        <f t="shared" si="1255"/>
        <v>0</v>
      </c>
      <c r="DI390" s="161">
        <f t="shared" si="1256"/>
        <v>0</v>
      </c>
      <c r="DJ390" s="161">
        <f t="shared" si="1257"/>
        <v>0</v>
      </c>
      <c r="DK390" s="161">
        <f t="shared" si="1258"/>
        <v>0</v>
      </c>
      <c r="DL390" s="161">
        <f t="shared" si="1259"/>
        <v>0</v>
      </c>
      <c r="DM390" s="161">
        <f t="shared" si="1260"/>
        <v>0</v>
      </c>
      <c r="DN390" s="161">
        <f t="shared" si="1261"/>
        <v>0</v>
      </c>
      <c r="DO390" s="161">
        <f t="shared" si="1262"/>
        <v>0</v>
      </c>
      <c r="DP390" s="161">
        <f t="shared" si="1263"/>
        <v>0</v>
      </c>
      <c r="DQ390" s="161">
        <f t="shared" si="1264"/>
        <v>0</v>
      </c>
      <c r="DR390" s="161">
        <f t="shared" si="1265"/>
        <v>0</v>
      </c>
      <c r="DS390" s="161">
        <f t="shared" si="1266"/>
        <v>0</v>
      </c>
      <c r="DT390" s="161">
        <f t="shared" si="1267"/>
        <v>0</v>
      </c>
      <c r="DU390" s="161">
        <f t="shared" si="1268"/>
        <v>0</v>
      </c>
      <c r="DV390" s="161">
        <f t="shared" si="1269"/>
        <v>0</v>
      </c>
      <c r="DW390" s="161">
        <f t="shared" si="1270"/>
        <v>0</v>
      </c>
      <c r="DX390" s="161">
        <f t="shared" si="1271"/>
        <v>0</v>
      </c>
      <c r="DY390" s="161">
        <f t="shared" si="1272"/>
        <v>0</v>
      </c>
      <c r="DZ390" s="161">
        <f t="shared" si="1273"/>
        <v>0</v>
      </c>
      <c r="EA390" s="161">
        <f t="shared" si="1274"/>
        <v>0</v>
      </c>
      <c r="EB390" s="161">
        <f t="shared" si="1275"/>
        <v>0</v>
      </c>
      <c r="EC390" s="161">
        <f t="shared" si="1276"/>
        <v>0</v>
      </c>
      <c r="ED390" s="161">
        <f t="shared" si="1277"/>
        <v>0</v>
      </c>
      <c r="EE390" s="161">
        <f t="shared" si="1278"/>
        <v>0</v>
      </c>
      <c r="EF390" s="161">
        <f t="shared" si="1279"/>
        <v>0</v>
      </c>
      <c r="EG390" s="161">
        <f t="shared" si="1280"/>
        <v>0</v>
      </c>
      <c r="EH390" s="161">
        <f t="shared" si="1281"/>
        <v>0</v>
      </c>
      <c r="EI390" s="161">
        <f t="shared" si="1282"/>
        <v>0</v>
      </c>
      <c r="EJ390" s="65"/>
      <c r="EK390" s="161">
        <f t="shared" si="1283"/>
        <v>0</v>
      </c>
      <c r="EL390" s="161">
        <f t="shared" si="1284"/>
        <v>0</v>
      </c>
      <c r="EM390" s="161">
        <f t="shared" si="1285"/>
        <v>0</v>
      </c>
    </row>
    <row r="391" spans="1:143" ht="12" hidden="1" customHeight="1" outlineLevel="2">
      <c r="A391" s="77">
        <v>11</v>
      </c>
      <c r="B391" s="137" t="str">
        <f t="shared" si="1213"/>
        <v>AN PL. ADM/CRP - Equipe_01</v>
      </c>
      <c r="C391" s="65"/>
      <c r="D391" s="621"/>
      <c r="E391" s="65"/>
      <c r="F391" s="584"/>
      <c r="G391" s="77" t="str">
        <f>IF(INDEX(Tarefas!$BT$30:$FK$30,MATCH(A391,Tarefas!$BT$28:$FK$28,0))=0,"",INDEX(Tarefas!$BT$30:$FK$30,MATCH(A391,Tarefas!$BT$28:$FK$28,0)))</f>
        <v>AN PL. ADM/CRP</v>
      </c>
      <c r="H391" s="107" cm="1">
        <f t="array" ref="H391">IFERROR((SUMPRODUCT((Tarefas!$N$32:$N$54='Cronog. e Histog.'!$F$381)*(Tarefas!$BQ$30:$FK$30='Cronog. e Histog.'!$G391)*(Tarefas!$BQ$32:$FK$54)))/SUMIF(Tarefas!$N$32:$N$54,'Cronog. e Histog.'!$F$381,Tarefas!$K$32:$K$54),0)</f>
        <v>0</v>
      </c>
      <c r="I391" s="79">
        <f t="shared" si="1214"/>
        <v>0</v>
      </c>
      <c r="J391" s="65"/>
      <c r="K391" s="160">
        <f t="shared" si="1215"/>
        <v>0</v>
      </c>
      <c r="L391" s="160">
        <f t="shared" si="1215"/>
        <v>0</v>
      </c>
      <c r="M391" s="160">
        <f t="shared" si="1215"/>
        <v>0</v>
      </c>
      <c r="N391" s="160">
        <f t="shared" si="1215"/>
        <v>0</v>
      </c>
      <c r="O391" s="160">
        <f t="shared" si="1215"/>
        <v>0</v>
      </c>
      <c r="P391" s="160">
        <f t="shared" si="1215"/>
        <v>0</v>
      </c>
      <c r="Q391" s="160">
        <f t="shared" si="1215"/>
        <v>0</v>
      </c>
      <c r="R391" s="160">
        <f t="shared" si="1215"/>
        <v>0</v>
      </c>
      <c r="S391" s="160">
        <f t="shared" si="1215"/>
        <v>0</v>
      </c>
      <c r="T391" s="160">
        <f t="shared" si="1215"/>
        <v>0</v>
      </c>
      <c r="U391" s="160">
        <f t="shared" si="1215"/>
        <v>0</v>
      </c>
      <c r="V391" s="160">
        <f t="shared" si="1215"/>
        <v>0</v>
      </c>
      <c r="W391" s="160">
        <f t="shared" si="1215"/>
        <v>0</v>
      </c>
      <c r="X391" s="160">
        <f t="shared" si="1215"/>
        <v>0</v>
      </c>
      <c r="Y391" s="160">
        <f t="shared" si="1215"/>
        <v>0</v>
      </c>
      <c r="Z391" s="160">
        <f t="shared" si="1215"/>
        <v>0</v>
      </c>
      <c r="AA391" s="160">
        <f t="shared" si="1216"/>
        <v>0</v>
      </c>
      <c r="AB391" s="160">
        <f t="shared" si="1216"/>
        <v>0</v>
      </c>
      <c r="AC391" s="160">
        <f t="shared" si="1216"/>
        <v>0</v>
      </c>
      <c r="AD391" s="160">
        <f t="shared" si="1216"/>
        <v>0</v>
      </c>
      <c r="AE391" s="160">
        <f t="shared" si="1216"/>
        <v>0</v>
      </c>
      <c r="AF391" s="160">
        <f t="shared" si="1216"/>
        <v>0</v>
      </c>
      <c r="AG391" s="160">
        <f t="shared" si="1216"/>
        <v>0</v>
      </c>
      <c r="AH391" s="160">
        <f t="shared" si="1216"/>
        <v>0</v>
      </c>
      <c r="AI391" s="160">
        <f t="shared" si="1216"/>
        <v>0</v>
      </c>
      <c r="AJ391" s="160">
        <f t="shared" si="1216"/>
        <v>0</v>
      </c>
      <c r="AK391" s="160">
        <f t="shared" si="1216"/>
        <v>0</v>
      </c>
      <c r="AL391" s="160">
        <f t="shared" si="1216"/>
        <v>0</v>
      </c>
      <c r="AM391" s="160">
        <f t="shared" si="1216"/>
        <v>0</v>
      </c>
      <c r="AN391" s="160">
        <f t="shared" si="1216"/>
        <v>0</v>
      </c>
      <c r="AO391" s="160">
        <f t="shared" si="1216"/>
        <v>0</v>
      </c>
      <c r="AP391" s="160">
        <f t="shared" si="1216"/>
        <v>0</v>
      </c>
      <c r="AQ391" s="160">
        <f t="shared" si="1217"/>
        <v>0</v>
      </c>
      <c r="AR391" s="160">
        <f t="shared" si="1217"/>
        <v>0</v>
      </c>
      <c r="AS391" s="160">
        <f t="shared" si="1217"/>
        <v>0</v>
      </c>
      <c r="AT391" s="160">
        <f t="shared" si="1217"/>
        <v>0</v>
      </c>
      <c r="AU391" s="160">
        <f t="shared" si="1217"/>
        <v>0</v>
      </c>
      <c r="AV391" s="160">
        <f t="shared" si="1217"/>
        <v>0</v>
      </c>
      <c r="AW391" s="160">
        <f t="shared" si="1217"/>
        <v>0</v>
      </c>
      <c r="AX391" s="160">
        <f t="shared" si="1217"/>
        <v>0</v>
      </c>
      <c r="AY391" s="160">
        <f t="shared" si="1217"/>
        <v>0</v>
      </c>
      <c r="AZ391" s="160">
        <f t="shared" si="1217"/>
        <v>0</v>
      </c>
      <c r="BA391" s="160">
        <f t="shared" si="1217"/>
        <v>0</v>
      </c>
      <c r="BB391" s="160">
        <f t="shared" si="1217"/>
        <v>0</v>
      </c>
      <c r="BC391" s="160">
        <f t="shared" si="1217"/>
        <v>0</v>
      </c>
      <c r="BD391" s="160">
        <f t="shared" si="1217"/>
        <v>0</v>
      </c>
      <c r="BE391" s="160">
        <f t="shared" si="1217"/>
        <v>0</v>
      </c>
      <c r="BF391" s="160">
        <f t="shared" si="1217"/>
        <v>0</v>
      </c>
      <c r="BG391" s="160">
        <f t="shared" si="1218"/>
        <v>0</v>
      </c>
      <c r="BH391" s="160">
        <f t="shared" si="1218"/>
        <v>0</v>
      </c>
      <c r="BI391" s="160">
        <f t="shared" si="1218"/>
        <v>0</v>
      </c>
      <c r="BJ391" s="160">
        <f t="shared" si="1218"/>
        <v>0</v>
      </c>
      <c r="BK391" s="160">
        <f t="shared" si="1218"/>
        <v>0</v>
      </c>
      <c r="BL391" s="160">
        <f t="shared" si="1218"/>
        <v>0</v>
      </c>
      <c r="BM391" s="160">
        <f t="shared" si="1218"/>
        <v>0</v>
      </c>
      <c r="BN391" s="160">
        <f t="shared" si="1218"/>
        <v>0</v>
      </c>
      <c r="BO391" s="160">
        <f t="shared" si="1218"/>
        <v>0</v>
      </c>
      <c r="BP391" s="160">
        <f t="shared" si="1218"/>
        <v>0</v>
      </c>
      <c r="BQ391" s="160">
        <f t="shared" si="1218"/>
        <v>0</v>
      </c>
      <c r="BR391" s="160">
        <f t="shared" si="1218"/>
        <v>0</v>
      </c>
      <c r="BS391" s="65"/>
      <c r="BT391" s="160">
        <f t="shared" si="1219"/>
        <v>0</v>
      </c>
      <c r="BU391" s="160">
        <f t="shared" si="1220"/>
        <v>0</v>
      </c>
      <c r="BV391" s="65"/>
      <c r="BW391" s="69"/>
      <c r="BX391" s="65"/>
      <c r="BY391" s="137">
        <f t="shared" si="1221"/>
        <v>1</v>
      </c>
      <c r="BZ391" s="137">
        <f>IF(BY391&gt;0,BY391+LARGE($BZ$213:BZ390,1),0)</f>
        <v>151</v>
      </c>
      <c r="CA391" s="137" t="str">
        <f t="shared" si="1222"/>
        <v>AN PL. ADM/CRP</v>
      </c>
      <c r="CB391" s="161">
        <f t="shared" si="1223"/>
        <v>0</v>
      </c>
      <c r="CC391" s="161">
        <f t="shared" si="1224"/>
        <v>0</v>
      </c>
      <c r="CD391" s="161">
        <f t="shared" si="1225"/>
        <v>0</v>
      </c>
      <c r="CE391" s="161">
        <f t="shared" si="1226"/>
        <v>0</v>
      </c>
      <c r="CF391" s="161">
        <f t="shared" si="1227"/>
        <v>0</v>
      </c>
      <c r="CG391" s="161">
        <f t="shared" si="1228"/>
        <v>0</v>
      </c>
      <c r="CH391" s="161">
        <f t="shared" si="1229"/>
        <v>0</v>
      </c>
      <c r="CI391" s="161">
        <f t="shared" si="1230"/>
        <v>0</v>
      </c>
      <c r="CJ391" s="161">
        <f t="shared" si="1231"/>
        <v>0</v>
      </c>
      <c r="CK391" s="161">
        <f t="shared" si="1232"/>
        <v>0</v>
      </c>
      <c r="CL391" s="161">
        <f t="shared" si="1233"/>
        <v>0</v>
      </c>
      <c r="CM391" s="161">
        <f t="shared" si="1234"/>
        <v>0</v>
      </c>
      <c r="CN391" s="161">
        <f t="shared" si="1235"/>
        <v>0</v>
      </c>
      <c r="CO391" s="161">
        <f t="shared" si="1236"/>
        <v>0</v>
      </c>
      <c r="CP391" s="161">
        <f t="shared" si="1237"/>
        <v>0</v>
      </c>
      <c r="CQ391" s="161">
        <f t="shared" si="1238"/>
        <v>0</v>
      </c>
      <c r="CR391" s="161">
        <f t="shared" si="1239"/>
        <v>0</v>
      </c>
      <c r="CS391" s="161">
        <f t="shared" si="1240"/>
        <v>0</v>
      </c>
      <c r="CT391" s="161">
        <f t="shared" si="1241"/>
        <v>0</v>
      </c>
      <c r="CU391" s="161">
        <f t="shared" si="1242"/>
        <v>0</v>
      </c>
      <c r="CV391" s="161">
        <f t="shared" si="1243"/>
        <v>0</v>
      </c>
      <c r="CW391" s="161">
        <f t="shared" si="1244"/>
        <v>0</v>
      </c>
      <c r="CX391" s="161">
        <f t="shared" si="1245"/>
        <v>0</v>
      </c>
      <c r="CY391" s="161">
        <f t="shared" si="1246"/>
        <v>0</v>
      </c>
      <c r="CZ391" s="161">
        <f t="shared" si="1247"/>
        <v>0</v>
      </c>
      <c r="DA391" s="161">
        <f t="shared" si="1248"/>
        <v>0</v>
      </c>
      <c r="DB391" s="161">
        <f t="shared" si="1249"/>
        <v>0</v>
      </c>
      <c r="DC391" s="161">
        <f t="shared" si="1250"/>
        <v>0</v>
      </c>
      <c r="DD391" s="161">
        <f t="shared" si="1251"/>
        <v>0</v>
      </c>
      <c r="DE391" s="161">
        <f t="shared" si="1252"/>
        <v>0</v>
      </c>
      <c r="DF391" s="161">
        <f t="shared" si="1253"/>
        <v>0</v>
      </c>
      <c r="DG391" s="161">
        <f t="shared" si="1254"/>
        <v>0</v>
      </c>
      <c r="DH391" s="161">
        <f t="shared" si="1255"/>
        <v>0</v>
      </c>
      <c r="DI391" s="161">
        <f t="shared" si="1256"/>
        <v>0</v>
      </c>
      <c r="DJ391" s="161">
        <f t="shared" si="1257"/>
        <v>0</v>
      </c>
      <c r="DK391" s="161">
        <f t="shared" si="1258"/>
        <v>0</v>
      </c>
      <c r="DL391" s="161">
        <f t="shared" si="1259"/>
        <v>0</v>
      </c>
      <c r="DM391" s="161">
        <f t="shared" si="1260"/>
        <v>0</v>
      </c>
      <c r="DN391" s="161">
        <f t="shared" si="1261"/>
        <v>0</v>
      </c>
      <c r="DO391" s="161">
        <f t="shared" si="1262"/>
        <v>0</v>
      </c>
      <c r="DP391" s="161">
        <f t="shared" si="1263"/>
        <v>0</v>
      </c>
      <c r="DQ391" s="161">
        <f t="shared" si="1264"/>
        <v>0</v>
      </c>
      <c r="DR391" s="161">
        <f t="shared" si="1265"/>
        <v>0</v>
      </c>
      <c r="DS391" s="161">
        <f t="shared" si="1266"/>
        <v>0</v>
      </c>
      <c r="DT391" s="161">
        <f t="shared" si="1267"/>
        <v>0</v>
      </c>
      <c r="DU391" s="161">
        <f t="shared" si="1268"/>
        <v>0</v>
      </c>
      <c r="DV391" s="161">
        <f t="shared" si="1269"/>
        <v>0</v>
      </c>
      <c r="DW391" s="161">
        <f t="shared" si="1270"/>
        <v>0</v>
      </c>
      <c r="DX391" s="161">
        <f t="shared" si="1271"/>
        <v>0</v>
      </c>
      <c r="DY391" s="161">
        <f t="shared" si="1272"/>
        <v>0</v>
      </c>
      <c r="DZ391" s="161">
        <f t="shared" si="1273"/>
        <v>0</v>
      </c>
      <c r="EA391" s="161">
        <f t="shared" si="1274"/>
        <v>0</v>
      </c>
      <c r="EB391" s="161">
        <f t="shared" si="1275"/>
        <v>0</v>
      </c>
      <c r="EC391" s="161">
        <f t="shared" si="1276"/>
        <v>0</v>
      </c>
      <c r="ED391" s="161">
        <f t="shared" si="1277"/>
        <v>0</v>
      </c>
      <c r="EE391" s="161">
        <f t="shared" si="1278"/>
        <v>0</v>
      </c>
      <c r="EF391" s="161">
        <f t="shared" si="1279"/>
        <v>0</v>
      </c>
      <c r="EG391" s="161">
        <f t="shared" si="1280"/>
        <v>0</v>
      </c>
      <c r="EH391" s="161">
        <f t="shared" si="1281"/>
        <v>0</v>
      </c>
      <c r="EI391" s="161">
        <f t="shared" si="1282"/>
        <v>0</v>
      </c>
      <c r="EJ391" s="65"/>
      <c r="EK391" s="161">
        <f t="shared" si="1283"/>
        <v>0</v>
      </c>
      <c r="EL391" s="161">
        <f t="shared" si="1284"/>
        <v>0</v>
      </c>
      <c r="EM391" s="161">
        <f t="shared" si="1285"/>
        <v>0</v>
      </c>
    </row>
    <row r="392" spans="1:143" ht="12" hidden="1" customHeight="1" outlineLevel="2">
      <c r="A392" s="77">
        <v>12</v>
      </c>
      <c r="B392" s="137" t="str">
        <f t="shared" si="1213"/>
        <v>AN JR. ADM/CRP - Equipe_01</v>
      </c>
      <c r="C392" s="65"/>
      <c r="D392" s="622"/>
      <c r="E392" s="65"/>
      <c r="F392" s="584"/>
      <c r="G392" s="77" t="str">
        <f>IF(INDEX(Tarefas!$BT$30:$FK$30,MATCH(A392,Tarefas!$BT$28:$FK$28,0))=0,"",INDEX(Tarefas!$BT$30:$FK$30,MATCH(A392,Tarefas!$BT$28:$FK$28,0)))</f>
        <v>AN JR. ADM/CRP</v>
      </c>
      <c r="H392" s="107" cm="1">
        <f t="array" ref="H392">IFERROR((SUMPRODUCT((Tarefas!$N$32:$N$54='Cronog. e Histog.'!$F$381)*(Tarefas!$BQ$30:$FK$30='Cronog. e Histog.'!$G392)*(Tarefas!$BQ$32:$FK$54)))/SUMIF(Tarefas!$N$32:$N$54,'Cronog. e Histog.'!$F$381,Tarefas!$K$32:$K$54),0)</f>
        <v>0</v>
      </c>
      <c r="I392" s="79">
        <f t="shared" si="1214"/>
        <v>0</v>
      </c>
      <c r="J392" s="65"/>
      <c r="K392" s="160">
        <f t="shared" ref="K392:Z400" si="1286">ROUND($I392*K$190,2)</f>
        <v>0</v>
      </c>
      <c r="L392" s="160">
        <f t="shared" si="1286"/>
        <v>0</v>
      </c>
      <c r="M392" s="160">
        <f t="shared" si="1286"/>
        <v>0</v>
      </c>
      <c r="N392" s="160">
        <f t="shared" si="1286"/>
        <v>0</v>
      </c>
      <c r="O392" s="160">
        <f t="shared" si="1286"/>
        <v>0</v>
      </c>
      <c r="P392" s="160">
        <f t="shared" si="1286"/>
        <v>0</v>
      </c>
      <c r="Q392" s="160">
        <f t="shared" si="1286"/>
        <v>0</v>
      </c>
      <c r="R392" s="160">
        <f t="shared" si="1286"/>
        <v>0</v>
      </c>
      <c r="S392" s="160">
        <f t="shared" si="1286"/>
        <v>0</v>
      </c>
      <c r="T392" s="160">
        <f t="shared" si="1286"/>
        <v>0</v>
      </c>
      <c r="U392" s="160">
        <f t="shared" si="1286"/>
        <v>0</v>
      </c>
      <c r="V392" s="160">
        <f t="shared" si="1286"/>
        <v>0</v>
      </c>
      <c r="W392" s="160">
        <f t="shared" si="1286"/>
        <v>0</v>
      </c>
      <c r="X392" s="160">
        <f t="shared" si="1286"/>
        <v>0</v>
      </c>
      <c r="Y392" s="160">
        <f t="shared" si="1286"/>
        <v>0</v>
      </c>
      <c r="Z392" s="160">
        <f t="shared" si="1286"/>
        <v>0</v>
      </c>
      <c r="AA392" s="160">
        <f t="shared" si="1148"/>
        <v>0</v>
      </c>
      <c r="AB392" s="160">
        <f t="shared" si="1148"/>
        <v>0</v>
      </c>
      <c r="AC392" s="160">
        <f t="shared" si="1148"/>
        <v>0</v>
      </c>
      <c r="AD392" s="160">
        <f t="shared" si="1148"/>
        <v>0</v>
      </c>
      <c r="AE392" s="160">
        <f t="shared" si="1148"/>
        <v>0</v>
      </c>
      <c r="AF392" s="160">
        <f t="shared" si="1148"/>
        <v>0</v>
      </c>
      <c r="AG392" s="160">
        <f t="shared" si="1148"/>
        <v>0</v>
      </c>
      <c r="AH392" s="160">
        <f t="shared" si="1148"/>
        <v>0</v>
      </c>
      <c r="AI392" s="160">
        <f t="shared" si="1148"/>
        <v>0</v>
      </c>
      <c r="AJ392" s="160">
        <f t="shared" si="1148"/>
        <v>0</v>
      </c>
      <c r="AK392" s="160">
        <f t="shared" si="1148"/>
        <v>0</v>
      </c>
      <c r="AL392" s="160">
        <f t="shared" si="1148"/>
        <v>0</v>
      </c>
      <c r="AM392" s="160">
        <f t="shared" si="1148"/>
        <v>0</v>
      </c>
      <c r="AN392" s="160">
        <f t="shared" si="1148"/>
        <v>0</v>
      </c>
      <c r="AO392" s="160">
        <f t="shared" si="1148"/>
        <v>0</v>
      </c>
      <c r="AP392" s="160">
        <f t="shared" si="1148"/>
        <v>0</v>
      </c>
      <c r="AQ392" s="160">
        <f t="shared" si="1148"/>
        <v>0</v>
      </c>
      <c r="AR392" s="160">
        <f t="shared" si="1148"/>
        <v>0</v>
      </c>
      <c r="AS392" s="160">
        <f t="shared" si="1148"/>
        <v>0</v>
      </c>
      <c r="AT392" s="160">
        <f t="shared" si="1148"/>
        <v>0</v>
      </c>
      <c r="AU392" s="160">
        <f t="shared" si="1148"/>
        <v>0</v>
      </c>
      <c r="AV392" s="160">
        <f t="shared" si="1148"/>
        <v>0</v>
      </c>
      <c r="AW392" s="160">
        <f t="shared" si="1148"/>
        <v>0</v>
      </c>
      <c r="AX392" s="160">
        <f t="shared" si="1148"/>
        <v>0</v>
      </c>
      <c r="AY392" s="160">
        <f t="shared" si="1148"/>
        <v>0</v>
      </c>
      <c r="AZ392" s="160">
        <f t="shared" si="1148"/>
        <v>0</v>
      </c>
      <c r="BA392" s="160">
        <f t="shared" si="1148"/>
        <v>0</v>
      </c>
      <c r="BB392" s="160">
        <f t="shared" si="1148"/>
        <v>0</v>
      </c>
      <c r="BC392" s="160">
        <f t="shared" si="1148"/>
        <v>0</v>
      </c>
      <c r="BD392" s="160">
        <f t="shared" si="1148"/>
        <v>0</v>
      </c>
      <c r="BE392" s="160">
        <f t="shared" si="1148"/>
        <v>0</v>
      </c>
      <c r="BF392" s="160">
        <f t="shared" si="1148"/>
        <v>0</v>
      </c>
      <c r="BG392" s="160">
        <f t="shared" si="1148"/>
        <v>0</v>
      </c>
      <c r="BH392" s="160">
        <f t="shared" si="1148"/>
        <v>0</v>
      </c>
      <c r="BI392" s="160">
        <f t="shared" si="1148"/>
        <v>0</v>
      </c>
      <c r="BJ392" s="160">
        <f t="shared" si="1148"/>
        <v>0</v>
      </c>
      <c r="BK392" s="160">
        <f t="shared" si="1148"/>
        <v>0</v>
      </c>
      <c r="BL392" s="160">
        <f t="shared" si="1148"/>
        <v>0</v>
      </c>
      <c r="BM392" s="160">
        <f t="shared" si="1148"/>
        <v>0</v>
      </c>
      <c r="BN392" s="160">
        <f t="shared" si="1148"/>
        <v>0</v>
      </c>
      <c r="BO392" s="160">
        <f t="shared" si="1148"/>
        <v>0</v>
      </c>
      <c r="BP392" s="160">
        <f t="shared" si="1148"/>
        <v>0</v>
      </c>
      <c r="BQ392" s="160">
        <f t="shared" si="1148"/>
        <v>0</v>
      </c>
      <c r="BR392" s="160">
        <f t="shared" si="1148"/>
        <v>0</v>
      </c>
      <c r="BS392" s="65"/>
      <c r="BT392" s="160">
        <f t="shared" si="1149"/>
        <v>0</v>
      </c>
      <c r="BU392" s="160">
        <f t="shared" si="1150"/>
        <v>0</v>
      </c>
      <c r="BV392" s="65"/>
      <c r="BW392" s="69"/>
      <c r="BX392" s="65"/>
      <c r="BY392" s="137">
        <f t="shared" si="1151"/>
        <v>1</v>
      </c>
      <c r="BZ392" s="137">
        <f>IF(BY392&gt;0,BY392+LARGE($BZ$213:BZ391,1),0)</f>
        <v>152</v>
      </c>
      <c r="CA392" s="137" t="str">
        <f t="shared" si="1152"/>
        <v>AN JR. ADM/CRP</v>
      </c>
      <c r="CB392" s="161">
        <f t="shared" si="1153"/>
        <v>0</v>
      </c>
      <c r="CC392" s="161">
        <f t="shared" si="1154"/>
        <v>0</v>
      </c>
      <c r="CD392" s="161">
        <f t="shared" si="1155"/>
        <v>0</v>
      </c>
      <c r="CE392" s="161">
        <f t="shared" si="1156"/>
        <v>0</v>
      </c>
      <c r="CF392" s="161">
        <f t="shared" si="1157"/>
        <v>0</v>
      </c>
      <c r="CG392" s="161">
        <f t="shared" si="1158"/>
        <v>0</v>
      </c>
      <c r="CH392" s="161">
        <f t="shared" si="1159"/>
        <v>0</v>
      </c>
      <c r="CI392" s="161">
        <f t="shared" si="1160"/>
        <v>0</v>
      </c>
      <c r="CJ392" s="161">
        <f t="shared" si="1161"/>
        <v>0</v>
      </c>
      <c r="CK392" s="161">
        <f t="shared" si="1162"/>
        <v>0</v>
      </c>
      <c r="CL392" s="161">
        <f t="shared" si="1163"/>
        <v>0</v>
      </c>
      <c r="CM392" s="161">
        <f t="shared" si="1164"/>
        <v>0</v>
      </c>
      <c r="CN392" s="161">
        <f t="shared" si="1165"/>
        <v>0</v>
      </c>
      <c r="CO392" s="161">
        <f t="shared" si="1166"/>
        <v>0</v>
      </c>
      <c r="CP392" s="161">
        <f t="shared" si="1167"/>
        <v>0</v>
      </c>
      <c r="CQ392" s="161">
        <f t="shared" si="1168"/>
        <v>0</v>
      </c>
      <c r="CR392" s="161">
        <f t="shared" si="1169"/>
        <v>0</v>
      </c>
      <c r="CS392" s="161">
        <f t="shared" si="1170"/>
        <v>0</v>
      </c>
      <c r="CT392" s="161">
        <f t="shared" si="1171"/>
        <v>0</v>
      </c>
      <c r="CU392" s="161">
        <f t="shared" si="1172"/>
        <v>0</v>
      </c>
      <c r="CV392" s="161">
        <f t="shared" si="1173"/>
        <v>0</v>
      </c>
      <c r="CW392" s="161">
        <f t="shared" si="1174"/>
        <v>0</v>
      </c>
      <c r="CX392" s="161">
        <f t="shared" si="1175"/>
        <v>0</v>
      </c>
      <c r="CY392" s="161">
        <f t="shared" si="1176"/>
        <v>0</v>
      </c>
      <c r="CZ392" s="161">
        <f t="shared" si="1177"/>
        <v>0</v>
      </c>
      <c r="DA392" s="161">
        <f t="shared" si="1178"/>
        <v>0</v>
      </c>
      <c r="DB392" s="161">
        <f t="shared" si="1179"/>
        <v>0</v>
      </c>
      <c r="DC392" s="161">
        <f t="shared" si="1180"/>
        <v>0</v>
      </c>
      <c r="DD392" s="161">
        <f t="shared" si="1181"/>
        <v>0</v>
      </c>
      <c r="DE392" s="161">
        <f t="shared" si="1182"/>
        <v>0</v>
      </c>
      <c r="DF392" s="161">
        <f t="shared" si="1183"/>
        <v>0</v>
      </c>
      <c r="DG392" s="161">
        <f t="shared" si="1184"/>
        <v>0</v>
      </c>
      <c r="DH392" s="161">
        <f t="shared" si="1185"/>
        <v>0</v>
      </c>
      <c r="DI392" s="161">
        <f t="shared" si="1186"/>
        <v>0</v>
      </c>
      <c r="DJ392" s="161">
        <f t="shared" si="1187"/>
        <v>0</v>
      </c>
      <c r="DK392" s="161">
        <f t="shared" si="1188"/>
        <v>0</v>
      </c>
      <c r="DL392" s="161">
        <f t="shared" si="1189"/>
        <v>0</v>
      </c>
      <c r="DM392" s="161">
        <f t="shared" si="1190"/>
        <v>0</v>
      </c>
      <c r="DN392" s="161">
        <f t="shared" si="1191"/>
        <v>0</v>
      </c>
      <c r="DO392" s="161">
        <f t="shared" si="1192"/>
        <v>0</v>
      </c>
      <c r="DP392" s="161">
        <f t="shared" si="1193"/>
        <v>0</v>
      </c>
      <c r="DQ392" s="161">
        <f t="shared" si="1194"/>
        <v>0</v>
      </c>
      <c r="DR392" s="161">
        <f t="shared" si="1195"/>
        <v>0</v>
      </c>
      <c r="DS392" s="161">
        <f t="shared" si="1196"/>
        <v>0</v>
      </c>
      <c r="DT392" s="161">
        <f t="shared" si="1197"/>
        <v>0</v>
      </c>
      <c r="DU392" s="161">
        <f t="shared" si="1198"/>
        <v>0</v>
      </c>
      <c r="DV392" s="161">
        <f t="shared" si="1199"/>
        <v>0</v>
      </c>
      <c r="DW392" s="161">
        <f t="shared" si="1200"/>
        <v>0</v>
      </c>
      <c r="DX392" s="161">
        <f t="shared" si="1201"/>
        <v>0</v>
      </c>
      <c r="DY392" s="161">
        <f t="shared" si="1202"/>
        <v>0</v>
      </c>
      <c r="DZ392" s="161">
        <f t="shared" si="1203"/>
        <v>0</v>
      </c>
      <c r="EA392" s="161">
        <f t="shared" si="1204"/>
        <v>0</v>
      </c>
      <c r="EB392" s="161">
        <f t="shared" si="1205"/>
        <v>0</v>
      </c>
      <c r="EC392" s="161">
        <f t="shared" si="1206"/>
        <v>0</v>
      </c>
      <c r="ED392" s="161">
        <f t="shared" si="1207"/>
        <v>0</v>
      </c>
      <c r="EE392" s="161">
        <f t="shared" si="1208"/>
        <v>0</v>
      </c>
      <c r="EF392" s="161">
        <f t="shared" si="1209"/>
        <v>0</v>
      </c>
      <c r="EG392" s="161">
        <f t="shared" si="1210"/>
        <v>0</v>
      </c>
      <c r="EH392" s="161">
        <f t="shared" si="1211"/>
        <v>0</v>
      </c>
      <c r="EI392" s="161">
        <f t="shared" si="1212"/>
        <v>0</v>
      </c>
      <c r="EJ392" s="65"/>
      <c r="EK392" s="161">
        <f t="shared" si="1283"/>
        <v>0</v>
      </c>
      <c r="EL392" s="161">
        <f t="shared" si="1284"/>
        <v>0</v>
      </c>
      <c r="EM392" s="161">
        <f t="shared" si="1285"/>
        <v>0</v>
      </c>
    </row>
    <row r="393" spans="1:143" ht="12" hidden="1" customHeight="1" outlineLevel="2">
      <c r="A393" s="77">
        <v>13</v>
      </c>
      <c r="B393" s="137" t="str">
        <f t="shared" si="1213"/>
        <v>TEC III - Equipe_01</v>
      </c>
      <c r="C393" s="65"/>
      <c r="D393" s="622"/>
      <c r="E393" s="65"/>
      <c r="F393" s="584"/>
      <c r="G393" s="77" t="str">
        <f>IF(INDEX(Tarefas!$BT$30:$FK$30,MATCH(A393,Tarefas!$BT$28:$FK$28,0))=0,"",INDEX(Tarefas!$BT$30:$FK$30,MATCH(A393,Tarefas!$BT$28:$FK$28,0)))</f>
        <v>TEC III</v>
      </c>
      <c r="H393" s="107" cm="1">
        <f t="array" ref="H393">IFERROR((SUMPRODUCT((Tarefas!$N$32:$N$54='Cronog. e Histog.'!$F$381)*(Tarefas!$BQ$30:$FK$30='Cronog. e Histog.'!$G393)*(Tarefas!$BQ$32:$FK$54)))/SUMIF(Tarefas!$N$32:$N$54,'Cronog. e Histog.'!$F$381,Tarefas!$K$32:$K$54),0)</f>
        <v>0</v>
      </c>
      <c r="I393" s="79">
        <f t="shared" si="1214"/>
        <v>0</v>
      </c>
      <c r="J393" s="65"/>
      <c r="K393" s="160">
        <f t="shared" si="1286"/>
        <v>0</v>
      </c>
      <c r="L393" s="160">
        <f t="shared" si="1148"/>
        <v>0</v>
      </c>
      <c r="M393" s="160">
        <f t="shared" si="1148"/>
        <v>0</v>
      </c>
      <c r="N393" s="160">
        <f t="shared" si="1148"/>
        <v>0</v>
      </c>
      <c r="O393" s="160">
        <f t="shared" si="1148"/>
        <v>0</v>
      </c>
      <c r="P393" s="160">
        <f t="shared" si="1148"/>
        <v>0</v>
      </c>
      <c r="Q393" s="160">
        <f t="shared" si="1148"/>
        <v>0</v>
      </c>
      <c r="R393" s="160">
        <f t="shared" si="1148"/>
        <v>0</v>
      </c>
      <c r="S393" s="160">
        <f t="shared" si="1148"/>
        <v>0</v>
      </c>
      <c r="T393" s="160">
        <f t="shared" si="1148"/>
        <v>0</v>
      </c>
      <c r="U393" s="160">
        <f t="shared" si="1148"/>
        <v>0</v>
      </c>
      <c r="V393" s="160">
        <f t="shared" si="1148"/>
        <v>0</v>
      </c>
      <c r="W393" s="160">
        <f t="shared" si="1148"/>
        <v>0</v>
      </c>
      <c r="X393" s="160">
        <f t="shared" si="1148"/>
        <v>0</v>
      </c>
      <c r="Y393" s="160">
        <f t="shared" si="1148"/>
        <v>0</v>
      </c>
      <c r="Z393" s="160">
        <f t="shared" si="1148"/>
        <v>0</v>
      </c>
      <c r="AA393" s="160">
        <f t="shared" si="1148"/>
        <v>0</v>
      </c>
      <c r="AB393" s="160">
        <f t="shared" si="1148"/>
        <v>0</v>
      </c>
      <c r="AC393" s="160">
        <f t="shared" si="1148"/>
        <v>0</v>
      </c>
      <c r="AD393" s="160">
        <f t="shared" si="1148"/>
        <v>0</v>
      </c>
      <c r="AE393" s="160">
        <f t="shared" si="1148"/>
        <v>0</v>
      </c>
      <c r="AF393" s="160">
        <f t="shared" si="1148"/>
        <v>0</v>
      </c>
      <c r="AG393" s="160">
        <f t="shared" si="1148"/>
        <v>0</v>
      </c>
      <c r="AH393" s="160">
        <f t="shared" si="1148"/>
        <v>0</v>
      </c>
      <c r="AI393" s="160">
        <f t="shared" si="1148"/>
        <v>0</v>
      </c>
      <c r="AJ393" s="160">
        <f t="shared" si="1148"/>
        <v>0</v>
      </c>
      <c r="AK393" s="160">
        <f t="shared" si="1148"/>
        <v>0</v>
      </c>
      <c r="AL393" s="160">
        <f t="shared" si="1148"/>
        <v>0</v>
      </c>
      <c r="AM393" s="160">
        <f t="shared" si="1148"/>
        <v>0</v>
      </c>
      <c r="AN393" s="160">
        <f t="shared" si="1148"/>
        <v>0</v>
      </c>
      <c r="AO393" s="160">
        <f t="shared" si="1148"/>
        <v>0</v>
      </c>
      <c r="AP393" s="160">
        <f t="shared" si="1148"/>
        <v>0</v>
      </c>
      <c r="AQ393" s="160">
        <f t="shared" si="1148"/>
        <v>0</v>
      </c>
      <c r="AR393" s="160">
        <f t="shared" si="1148"/>
        <v>0</v>
      </c>
      <c r="AS393" s="160">
        <f t="shared" si="1148"/>
        <v>0</v>
      </c>
      <c r="AT393" s="160">
        <f t="shared" si="1148"/>
        <v>0</v>
      </c>
      <c r="AU393" s="160">
        <f t="shared" si="1148"/>
        <v>0</v>
      </c>
      <c r="AV393" s="160">
        <f t="shared" si="1148"/>
        <v>0</v>
      </c>
      <c r="AW393" s="160">
        <f t="shared" si="1148"/>
        <v>0</v>
      </c>
      <c r="AX393" s="160">
        <f t="shared" si="1148"/>
        <v>0</v>
      </c>
      <c r="AY393" s="160">
        <f t="shared" si="1148"/>
        <v>0</v>
      </c>
      <c r="AZ393" s="160">
        <f t="shared" si="1148"/>
        <v>0</v>
      </c>
      <c r="BA393" s="160">
        <f t="shared" si="1148"/>
        <v>0</v>
      </c>
      <c r="BB393" s="160">
        <f t="shared" si="1148"/>
        <v>0</v>
      </c>
      <c r="BC393" s="160">
        <f t="shared" si="1148"/>
        <v>0</v>
      </c>
      <c r="BD393" s="160">
        <f t="shared" si="1148"/>
        <v>0</v>
      </c>
      <c r="BE393" s="160">
        <f t="shared" si="1148"/>
        <v>0</v>
      </c>
      <c r="BF393" s="160">
        <f t="shared" si="1148"/>
        <v>0</v>
      </c>
      <c r="BG393" s="160">
        <f t="shared" si="1148"/>
        <v>0</v>
      </c>
      <c r="BH393" s="160">
        <f t="shared" si="1148"/>
        <v>0</v>
      </c>
      <c r="BI393" s="160">
        <f t="shared" si="1148"/>
        <v>0</v>
      </c>
      <c r="BJ393" s="160">
        <f t="shared" si="1148"/>
        <v>0</v>
      </c>
      <c r="BK393" s="160">
        <f t="shared" si="1148"/>
        <v>0</v>
      </c>
      <c r="BL393" s="160">
        <f t="shared" si="1148"/>
        <v>0</v>
      </c>
      <c r="BM393" s="160">
        <f t="shared" si="1148"/>
        <v>0</v>
      </c>
      <c r="BN393" s="160">
        <f t="shared" si="1148"/>
        <v>0</v>
      </c>
      <c r="BO393" s="160">
        <f t="shared" si="1148"/>
        <v>0</v>
      </c>
      <c r="BP393" s="160">
        <f t="shared" si="1148"/>
        <v>0</v>
      </c>
      <c r="BQ393" s="160">
        <f t="shared" si="1148"/>
        <v>0</v>
      </c>
      <c r="BR393" s="160">
        <f t="shared" si="1148"/>
        <v>0</v>
      </c>
      <c r="BS393" s="65"/>
      <c r="BT393" s="160">
        <f t="shared" si="1149"/>
        <v>0</v>
      </c>
      <c r="BU393" s="160">
        <f t="shared" si="1150"/>
        <v>0</v>
      </c>
      <c r="BV393" s="65"/>
      <c r="BW393" s="69"/>
      <c r="BX393" s="65"/>
      <c r="BY393" s="137">
        <f t="shared" si="1151"/>
        <v>1</v>
      </c>
      <c r="BZ393" s="137">
        <f>IF(BY393&gt;0,BY393+LARGE($BZ$213:BZ392,1),0)</f>
        <v>153</v>
      </c>
      <c r="CA393" s="137" t="str">
        <f t="shared" si="1152"/>
        <v>TEC III</v>
      </c>
      <c r="CB393" s="161">
        <f t="shared" si="1153"/>
        <v>0</v>
      </c>
      <c r="CC393" s="161">
        <f t="shared" si="1154"/>
        <v>0</v>
      </c>
      <c r="CD393" s="161">
        <f t="shared" si="1155"/>
        <v>0</v>
      </c>
      <c r="CE393" s="161">
        <f t="shared" si="1156"/>
        <v>0</v>
      </c>
      <c r="CF393" s="161">
        <f t="shared" si="1157"/>
        <v>0</v>
      </c>
      <c r="CG393" s="161">
        <f t="shared" si="1158"/>
        <v>0</v>
      </c>
      <c r="CH393" s="161">
        <f t="shared" si="1159"/>
        <v>0</v>
      </c>
      <c r="CI393" s="161">
        <f t="shared" si="1160"/>
        <v>0</v>
      </c>
      <c r="CJ393" s="161">
        <f t="shared" si="1161"/>
        <v>0</v>
      </c>
      <c r="CK393" s="161">
        <f t="shared" si="1162"/>
        <v>0</v>
      </c>
      <c r="CL393" s="161">
        <f t="shared" si="1163"/>
        <v>0</v>
      </c>
      <c r="CM393" s="161">
        <f t="shared" si="1164"/>
        <v>0</v>
      </c>
      <c r="CN393" s="161">
        <f t="shared" si="1165"/>
        <v>0</v>
      </c>
      <c r="CO393" s="161">
        <f t="shared" si="1166"/>
        <v>0</v>
      </c>
      <c r="CP393" s="161">
        <f t="shared" si="1167"/>
        <v>0</v>
      </c>
      <c r="CQ393" s="161">
        <f t="shared" si="1168"/>
        <v>0</v>
      </c>
      <c r="CR393" s="161">
        <f t="shared" si="1169"/>
        <v>0</v>
      </c>
      <c r="CS393" s="161">
        <f t="shared" si="1170"/>
        <v>0</v>
      </c>
      <c r="CT393" s="161">
        <f t="shared" si="1171"/>
        <v>0</v>
      </c>
      <c r="CU393" s="161">
        <f t="shared" si="1172"/>
        <v>0</v>
      </c>
      <c r="CV393" s="161">
        <f t="shared" si="1173"/>
        <v>0</v>
      </c>
      <c r="CW393" s="161">
        <f t="shared" si="1174"/>
        <v>0</v>
      </c>
      <c r="CX393" s="161">
        <f t="shared" si="1175"/>
        <v>0</v>
      </c>
      <c r="CY393" s="161">
        <f t="shared" si="1176"/>
        <v>0</v>
      </c>
      <c r="CZ393" s="161">
        <f t="shared" si="1177"/>
        <v>0</v>
      </c>
      <c r="DA393" s="161">
        <f t="shared" si="1178"/>
        <v>0</v>
      </c>
      <c r="DB393" s="161">
        <f t="shared" si="1179"/>
        <v>0</v>
      </c>
      <c r="DC393" s="161">
        <f t="shared" si="1180"/>
        <v>0</v>
      </c>
      <c r="DD393" s="161">
        <f t="shared" si="1181"/>
        <v>0</v>
      </c>
      <c r="DE393" s="161">
        <f t="shared" si="1182"/>
        <v>0</v>
      </c>
      <c r="DF393" s="161">
        <f t="shared" si="1183"/>
        <v>0</v>
      </c>
      <c r="DG393" s="161">
        <f t="shared" si="1184"/>
        <v>0</v>
      </c>
      <c r="DH393" s="161">
        <f t="shared" si="1185"/>
        <v>0</v>
      </c>
      <c r="DI393" s="161">
        <f t="shared" si="1186"/>
        <v>0</v>
      </c>
      <c r="DJ393" s="161">
        <f t="shared" si="1187"/>
        <v>0</v>
      </c>
      <c r="DK393" s="161">
        <f t="shared" si="1188"/>
        <v>0</v>
      </c>
      <c r="DL393" s="161">
        <f t="shared" si="1189"/>
        <v>0</v>
      </c>
      <c r="DM393" s="161">
        <f t="shared" si="1190"/>
        <v>0</v>
      </c>
      <c r="DN393" s="161">
        <f t="shared" si="1191"/>
        <v>0</v>
      </c>
      <c r="DO393" s="161">
        <f t="shared" si="1192"/>
        <v>0</v>
      </c>
      <c r="DP393" s="161">
        <f t="shared" si="1193"/>
        <v>0</v>
      </c>
      <c r="DQ393" s="161">
        <f t="shared" si="1194"/>
        <v>0</v>
      </c>
      <c r="DR393" s="161">
        <f t="shared" si="1195"/>
        <v>0</v>
      </c>
      <c r="DS393" s="161">
        <f t="shared" si="1196"/>
        <v>0</v>
      </c>
      <c r="DT393" s="161">
        <f t="shared" si="1197"/>
        <v>0</v>
      </c>
      <c r="DU393" s="161">
        <f t="shared" si="1198"/>
        <v>0</v>
      </c>
      <c r="DV393" s="161">
        <f t="shared" si="1199"/>
        <v>0</v>
      </c>
      <c r="DW393" s="161">
        <f t="shared" si="1200"/>
        <v>0</v>
      </c>
      <c r="DX393" s="161">
        <f t="shared" si="1201"/>
        <v>0</v>
      </c>
      <c r="DY393" s="161">
        <f t="shared" si="1202"/>
        <v>0</v>
      </c>
      <c r="DZ393" s="161">
        <f t="shared" si="1203"/>
        <v>0</v>
      </c>
      <c r="EA393" s="161">
        <f t="shared" si="1204"/>
        <v>0</v>
      </c>
      <c r="EB393" s="161">
        <f t="shared" si="1205"/>
        <v>0</v>
      </c>
      <c r="EC393" s="161">
        <f t="shared" si="1206"/>
        <v>0</v>
      </c>
      <c r="ED393" s="161">
        <f t="shared" si="1207"/>
        <v>0</v>
      </c>
      <c r="EE393" s="161">
        <f t="shared" si="1208"/>
        <v>0</v>
      </c>
      <c r="EF393" s="161">
        <f t="shared" si="1209"/>
        <v>0</v>
      </c>
      <c r="EG393" s="161">
        <f t="shared" si="1210"/>
        <v>0</v>
      </c>
      <c r="EH393" s="161">
        <f t="shared" si="1211"/>
        <v>0</v>
      </c>
      <c r="EI393" s="161">
        <f t="shared" si="1212"/>
        <v>0</v>
      </c>
      <c r="EJ393" s="65"/>
      <c r="EK393" s="161">
        <f t="shared" si="1283"/>
        <v>0</v>
      </c>
      <c r="EL393" s="161">
        <f t="shared" si="1284"/>
        <v>0</v>
      </c>
      <c r="EM393" s="161">
        <f t="shared" si="1285"/>
        <v>0</v>
      </c>
    </row>
    <row r="394" spans="1:143" ht="12" hidden="1" customHeight="1" outlineLevel="2">
      <c r="A394" s="77">
        <v>14</v>
      </c>
      <c r="B394" s="137" t="str">
        <f t="shared" si="1213"/>
        <v>TEC II - Equipe_01</v>
      </c>
      <c r="C394" s="65"/>
      <c r="D394" s="622"/>
      <c r="E394" s="65"/>
      <c r="F394" s="584"/>
      <c r="G394" s="77" t="str">
        <f>IF(INDEX(Tarefas!$BT$30:$FK$30,MATCH(A394,Tarefas!$BT$28:$FK$28,0))=0,"",INDEX(Tarefas!$BT$30:$FK$30,MATCH(A394,Tarefas!$BT$28:$FK$28,0)))</f>
        <v>TEC II</v>
      </c>
      <c r="H394" s="107" cm="1">
        <f t="array" ref="H394">IFERROR((SUMPRODUCT((Tarefas!$N$32:$N$54='Cronog. e Histog.'!$F$381)*(Tarefas!$BQ$30:$FK$30='Cronog. e Histog.'!$G394)*(Tarefas!$BQ$32:$FK$54)))/SUMIF(Tarefas!$N$32:$N$54,'Cronog. e Histog.'!$F$381,Tarefas!$K$32:$K$54),0)</f>
        <v>0</v>
      </c>
      <c r="I394" s="79">
        <f t="shared" si="1214"/>
        <v>0</v>
      </c>
      <c r="J394" s="65"/>
      <c r="K394" s="160">
        <f t="shared" si="1286"/>
        <v>0</v>
      </c>
      <c r="L394" s="160">
        <f t="shared" si="1148"/>
        <v>0</v>
      </c>
      <c r="M394" s="160">
        <f t="shared" si="1148"/>
        <v>0</v>
      </c>
      <c r="N394" s="160">
        <f t="shared" si="1148"/>
        <v>0</v>
      </c>
      <c r="O394" s="160">
        <f t="shared" si="1148"/>
        <v>0</v>
      </c>
      <c r="P394" s="160">
        <f t="shared" si="1148"/>
        <v>0</v>
      </c>
      <c r="Q394" s="160">
        <f t="shared" si="1148"/>
        <v>0</v>
      </c>
      <c r="R394" s="160">
        <f t="shared" si="1148"/>
        <v>0</v>
      </c>
      <c r="S394" s="160">
        <f t="shared" si="1148"/>
        <v>0</v>
      </c>
      <c r="T394" s="160">
        <f t="shared" si="1148"/>
        <v>0</v>
      </c>
      <c r="U394" s="160">
        <f t="shared" si="1148"/>
        <v>0</v>
      </c>
      <c r="V394" s="160">
        <f t="shared" si="1148"/>
        <v>0</v>
      </c>
      <c r="W394" s="160">
        <f t="shared" si="1148"/>
        <v>0</v>
      </c>
      <c r="X394" s="160">
        <f t="shared" si="1148"/>
        <v>0</v>
      </c>
      <c r="Y394" s="160">
        <f t="shared" si="1148"/>
        <v>0</v>
      </c>
      <c r="Z394" s="160">
        <f t="shared" si="1148"/>
        <v>0</v>
      </c>
      <c r="AA394" s="160">
        <f t="shared" si="1148"/>
        <v>0</v>
      </c>
      <c r="AB394" s="160">
        <f t="shared" si="1148"/>
        <v>0</v>
      </c>
      <c r="AC394" s="160">
        <f t="shared" si="1148"/>
        <v>0</v>
      </c>
      <c r="AD394" s="160">
        <f t="shared" si="1148"/>
        <v>0</v>
      </c>
      <c r="AE394" s="160">
        <f t="shared" si="1148"/>
        <v>0</v>
      </c>
      <c r="AF394" s="160">
        <f t="shared" si="1148"/>
        <v>0</v>
      </c>
      <c r="AG394" s="160">
        <f t="shared" si="1148"/>
        <v>0</v>
      </c>
      <c r="AH394" s="160">
        <f t="shared" si="1148"/>
        <v>0</v>
      </c>
      <c r="AI394" s="160">
        <f t="shared" si="1148"/>
        <v>0</v>
      </c>
      <c r="AJ394" s="160">
        <f t="shared" si="1148"/>
        <v>0</v>
      </c>
      <c r="AK394" s="160">
        <f t="shared" si="1148"/>
        <v>0</v>
      </c>
      <c r="AL394" s="160">
        <f t="shared" si="1148"/>
        <v>0</v>
      </c>
      <c r="AM394" s="160">
        <f t="shared" si="1148"/>
        <v>0</v>
      </c>
      <c r="AN394" s="160">
        <f t="shared" si="1148"/>
        <v>0</v>
      </c>
      <c r="AO394" s="160">
        <f t="shared" si="1148"/>
        <v>0</v>
      </c>
      <c r="AP394" s="160">
        <f t="shared" si="1148"/>
        <v>0</v>
      </c>
      <c r="AQ394" s="160">
        <f t="shared" si="1148"/>
        <v>0</v>
      </c>
      <c r="AR394" s="160">
        <f t="shared" si="1148"/>
        <v>0</v>
      </c>
      <c r="AS394" s="160">
        <f t="shared" si="1148"/>
        <v>0</v>
      </c>
      <c r="AT394" s="160">
        <f t="shared" si="1148"/>
        <v>0</v>
      </c>
      <c r="AU394" s="160">
        <f t="shared" si="1148"/>
        <v>0</v>
      </c>
      <c r="AV394" s="160">
        <f t="shared" si="1148"/>
        <v>0</v>
      </c>
      <c r="AW394" s="160">
        <f t="shared" si="1148"/>
        <v>0</v>
      </c>
      <c r="AX394" s="160">
        <f t="shared" si="1148"/>
        <v>0</v>
      </c>
      <c r="AY394" s="160">
        <f t="shared" si="1148"/>
        <v>0</v>
      </c>
      <c r="AZ394" s="160">
        <f t="shared" si="1148"/>
        <v>0</v>
      </c>
      <c r="BA394" s="160">
        <f t="shared" si="1148"/>
        <v>0</v>
      </c>
      <c r="BB394" s="160">
        <f t="shared" si="1148"/>
        <v>0</v>
      </c>
      <c r="BC394" s="160">
        <f t="shared" si="1148"/>
        <v>0</v>
      </c>
      <c r="BD394" s="160">
        <f t="shared" si="1148"/>
        <v>0</v>
      </c>
      <c r="BE394" s="160">
        <f t="shared" si="1148"/>
        <v>0</v>
      </c>
      <c r="BF394" s="160">
        <f t="shared" si="1148"/>
        <v>0</v>
      </c>
      <c r="BG394" s="160">
        <f t="shared" si="1148"/>
        <v>0</v>
      </c>
      <c r="BH394" s="160">
        <f t="shared" si="1148"/>
        <v>0</v>
      </c>
      <c r="BI394" s="160">
        <f t="shared" si="1148"/>
        <v>0</v>
      </c>
      <c r="BJ394" s="160">
        <f t="shared" si="1148"/>
        <v>0</v>
      </c>
      <c r="BK394" s="160">
        <f t="shared" si="1148"/>
        <v>0</v>
      </c>
      <c r="BL394" s="160">
        <f t="shared" si="1148"/>
        <v>0</v>
      </c>
      <c r="BM394" s="160">
        <f t="shared" si="1148"/>
        <v>0</v>
      </c>
      <c r="BN394" s="160">
        <f t="shared" si="1148"/>
        <v>0</v>
      </c>
      <c r="BO394" s="160">
        <f t="shared" si="1148"/>
        <v>0</v>
      </c>
      <c r="BP394" s="160">
        <f t="shared" si="1148"/>
        <v>0</v>
      </c>
      <c r="BQ394" s="160">
        <f t="shared" si="1148"/>
        <v>0</v>
      </c>
      <c r="BR394" s="160">
        <f t="shared" si="1148"/>
        <v>0</v>
      </c>
      <c r="BS394" s="65"/>
      <c r="BT394" s="160">
        <f t="shared" si="1149"/>
        <v>0</v>
      </c>
      <c r="BU394" s="160">
        <f t="shared" si="1150"/>
        <v>0</v>
      </c>
      <c r="BV394" s="65"/>
      <c r="BW394" s="69"/>
      <c r="BX394" s="65"/>
      <c r="BY394" s="137">
        <f t="shared" si="1151"/>
        <v>1</v>
      </c>
      <c r="BZ394" s="137">
        <f>IF(BY394&gt;0,BY394+LARGE($BZ$213:BZ393,1),0)</f>
        <v>154</v>
      </c>
      <c r="CA394" s="137" t="str">
        <f t="shared" si="1152"/>
        <v>TEC II</v>
      </c>
      <c r="CB394" s="161">
        <f t="shared" si="1153"/>
        <v>0</v>
      </c>
      <c r="CC394" s="161">
        <f t="shared" si="1154"/>
        <v>0</v>
      </c>
      <c r="CD394" s="161">
        <f t="shared" si="1155"/>
        <v>0</v>
      </c>
      <c r="CE394" s="161">
        <f t="shared" si="1156"/>
        <v>0</v>
      </c>
      <c r="CF394" s="161">
        <f t="shared" si="1157"/>
        <v>0</v>
      </c>
      <c r="CG394" s="161">
        <f t="shared" si="1158"/>
        <v>0</v>
      </c>
      <c r="CH394" s="161">
        <f t="shared" si="1159"/>
        <v>0</v>
      </c>
      <c r="CI394" s="161">
        <f t="shared" si="1160"/>
        <v>0</v>
      </c>
      <c r="CJ394" s="161">
        <f t="shared" si="1161"/>
        <v>0</v>
      </c>
      <c r="CK394" s="161">
        <f t="shared" si="1162"/>
        <v>0</v>
      </c>
      <c r="CL394" s="161">
        <f t="shared" si="1163"/>
        <v>0</v>
      </c>
      <c r="CM394" s="161">
        <f t="shared" si="1164"/>
        <v>0</v>
      </c>
      <c r="CN394" s="161">
        <f t="shared" si="1165"/>
        <v>0</v>
      </c>
      <c r="CO394" s="161">
        <f t="shared" si="1166"/>
        <v>0</v>
      </c>
      <c r="CP394" s="161">
        <f t="shared" si="1167"/>
        <v>0</v>
      </c>
      <c r="CQ394" s="161">
        <f t="shared" si="1168"/>
        <v>0</v>
      </c>
      <c r="CR394" s="161">
        <f t="shared" si="1169"/>
        <v>0</v>
      </c>
      <c r="CS394" s="161">
        <f t="shared" si="1170"/>
        <v>0</v>
      </c>
      <c r="CT394" s="161">
        <f t="shared" si="1171"/>
        <v>0</v>
      </c>
      <c r="CU394" s="161">
        <f t="shared" si="1172"/>
        <v>0</v>
      </c>
      <c r="CV394" s="161">
        <f t="shared" si="1173"/>
        <v>0</v>
      </c>
      <c r="CW394" s="161">
        <f t="shared" si="1174"/>
        <v>0</v>
      </c>
      <c r="CX394" s="161">
        <f t="shared" si="1175"/>
        <v>0</v>
      </c>
      <c r="CY394" s="161">
        <f t="shared" si="1176"/>
        <v>0</v>
      </c>
      <c r="CZ394" s="161">
        <f t="shared" si="1177"/>
        <v>0</v>
      </c>
      <c r="DA394" s="161">
        <f t="shared" si="1178"/>
        <v>0</v>
      </c>
      <c r="DB394" s="161">
        <f t="shared" si="1179"/>
        <v>0</v>
      </c>
      <c r="DC394" s="161">
        <f t="shared" si="1180"/>
        <v>0</v>
      </c>
      <c r="DD394" s="161">
        <f t="shared" si="1181"/>
        <v>0</v>
      </c>
      <c r="DE394" s="161">
        <f t="shared" si="1182"/>
        <v>0</v>
      </c>
      <c r="DF394" s="161">
        <f t="shared" si="1183"/>
        <v>0</v>
      </c>
      <c r="DG394" s="161">
        <f t="shared" si="1184"/>
        <v>0</v>
      </c>
      <c r="DH394" s="161">
        <f t="shared" si="1185"/>
        <v>0</v>
      </c>
      <c r="DI394" s="161">
        <f t="shared" si="1186"/>
        <v>0</v>
      </c>
      <c r="DJ394" s="161">
        <f t="shared" si="1187"/>
        <v>0</v>
      </c>
      <c r="DK394" s="161">
        <f t="shared" si="1188"/>
        <v>0</v>
      </c>
      <c r="DL394" s="161">
        <f t="shared" si="1189"/>
        <v>0</v>
      </c>
      <c r="DM394" s="161">
        <f t="shared" si="1190"/>
        <v>0</v>
      </c>
      <c r="DN394" s="161">
        <f t="shared" si="1191"/>
        <v>0</v>
      </c>
      <c r="DO394" s="161">
        <f t="shared" si="1192"/>
        <v>0</v>
      </c>
      <c r="DP394" s="161">
        <f t="shared" si="1193"/>
        <v>0</v>
      </c>
      <c r="DQ394" s="161">
        <f t="shared" si="1194"/>
        <v>0</v>
      </c>
      <c r="DR394" s="161">
        <f t="shared" si="1195"/>
        <v>0</v>
      </c>
      <c r="DS394" s="161">
        <f t="shared" si="1196"/>
        <v>0</v>
      </c>
      <c r="DT394" s="161">
        <f t="shared" si="1197"/>
        <v>0</v>
      </c>
      <c r="DU394" s="161">
        <f t="shared" si="1198"/>
        <v>0</v>
      </c>
      <c r="DV394" s="161">
        <f t="shared" si="1199"/>
        <v>0</v>
      </c>
      <c r="DW394" s="161">
        <f t="shared" si="1200"/>
        <v>0</v>
      </c>
      <c r="DX394" s="161">
        <f t="shared" si="1201"/>
        <v>0</v>
      </c>
      <c r="DY394" s="161">
        <f t="shared" si="1202"/>
        <v>0</v>
      </c>
      <c r="DZ394" s="161">
        <f t="shared" si="1203"/>
        <v>0</v>
      </c>
      <c r="EA394" s="161">
        <f t="shared" si="1204"/>
        <v>0</v>
      </c>
      <c r="EB394" s="161">
        <f t="shared" si="1205"/>
        <v>0</v>
      </c>
      <c r="EC394" s="161">
        <f t="shared" si="1206"/>
        <v>0</v>
      </c>
      <c r="ED394" s="161">
        <f t="shared" si="1207"/>
        <v>0</v>
      </c>
      <c r="EE394" s="161">
        <f t="shared" si="1208"/>
        <v>0</v>
      </c>
      <c r="EF394" s="161">
        <f t="shared" si="1209"/>
        <v>0</v>
      </c>
      <c r="EG394" s="161">
        <f t="shared" si="1210"/>
        <v>0</v>
      </c>
      <c r="EH394" s="161">
        <f t="shared" si="1211"/>
        <v>0</v>
      </c>
      <c r="EI394" s="161">
        <f t="shared" si="1212"/>
        <v>0</v>
      </c>
      <c r="EJ394" s="65"/>
      <c r="EK394" s="161">
        <f t="shared" si="1283"/>
        <v>0</v>
      </c>
      <c r="EL394" s="161">
        <f t="shared" si="1284"/>
        <v>0</v>
      </c>
      <c r="EM394" s="161">
        <f t="shared" si="1285"/>
        <v>0</v>
      </c>
    </row>
    <row r="395" spans="1:143" ht="12" hidden="1" customHeight="1" outlineLevel="2">
      <c r="A395" s="77">
        <v>15</v>
      </c>
      <c r="B395" s="137" t="str">
        <f t="shared" si="1213"/>
        <v>TEC I - Equipe_01</v>
      </c>
      <c r="C395" s="65"/>
      <c r="D395" s="622"/>
      <c r="E395" s="65"/>
      <c r="F395" s="584"/>
      <c r="G395" s="77" t="str">
        <f>IF(INDEX(Tarefas!$BT$30:$FK$30,MATCH(A395,Tarefas!$BT$28:$FK$28,0))=0,"",INDEX(Tarefas!$BT$30:$FK$30,MATCH(A395,Tarefas!$BT$28:$FK$28,0)))</f>
        <v>TEC I</v>
      </c>
      <c r="H395" s="107" cm="1">
        <f t="array" ref="H395">IFERROR((SUMPRODUCT((Tarefas!$N$32:$N$54='Cronog. e Histog.'!$F$381)*(Tarefas!$BQ$30:$FK$30='Cronog. e Histog.'!$G395)*(Tarefas!$BQ$32:$FK$54)))/SUMIF(Tarefas!$N$32:$N$54,'Cronog. e Histog.'!$F$381,Tarefas!$K$32:$K$54),0)</f>
        <v>0</v>
      </c>
      <c r="I395" s="79">
        <f t="shared" si="1214"/>
        <v>0</v>
      </c>
      <c r="J395" s="65"/>
      <c r="K395" s="160">
        <f t="shared" si="1286"/>
        <v>0</v>
      </c>
      <c r="L395" s="160">
        <f t="shared" si="1148"/>
        <v>0</v>
      </c>
      <c r="M395" s="160">
        <f t="shared" si="1148"/>
        <v>0</v>
      </c>
      <c r="N395" s="160">
        <f t="shared" si="1148"/>
        <v>0</v>
      </c>
      <c r="O395" s="160">
        <f t="shared" si="1148"/>
        <v>0</v>
      </c>
      <c r="P395" s="160">
        <f t="shared" si="1148"/>
        <v>0</v>
      </c>
      <c r="Q395" s="160">
        <f t="shared" si="1148"/>
        <v>0</v>
      </c>
      <c r="R395" s="160">
        <f t="shared" si="1148"/>
        <v>0</v>
      </c>
      <c r="S395" s="160">
        <f t="shared" si="1148"/>
        <v>0</v>
      </c>
      <c r="T395" s="160">
        <f t="shared" si="1148"/>
        <v>0</v>
      </c>
      <c r="U395" s="160">
        <f t="shared" si="1148"/>
        <v>0</v>
      </c>
      <c r="V395" s="160">
        <f t="shared" si="1148"/>
        <v>0</v>
      </c>
      <c r="W395" s="160">
        <f t="shared" si="1148"/>
        <v>0</v>
      </c>
      <c r="X395" s="160">
        <f t="shared" si="1148"/>
        <v>0</v>
      </c>
      <c r="Y395" s="160">
        <f t="shared" si="1148"/>
        <v>0</v>
      </c>
      <c r="Z395" s="160">
        <f t="shared" si="1148"/>
        <v>0</v>
      </c>
      <c r="AA395" s="160">
        <f t="shared" si="1148"/>
        <v>0</v>
      </c>
      <c r="AB395" s="160">
        <f t="shared" si="1148"/>
        <v>0</v>
      </c>
      <c r="AC395" s="160">
        <f t="shared" si="1148"/>
        <v>0</v>
      </c>
      <c r="AD395" s="160">
        <f t="shared" si="1148"/>
        <v>0</v>
      </c>
      <c r="AE395" s="160">
        <f t="shared" si="1148"/>
        <v>0</v>
      </c>
      <c r="AF395" s="160">
        <f t="shared" si="1148"/>
        <v>0</v>
      </c>
      <c r="AG395" s="160">
        <f t="shared" si="1148"/>
        <v>0</v>
      </c>
      <c r="AH395" s="160">
        <f t="shared" si="1148"/>
        <v>0</v>
      </c>
      <c r="AI395" s="160">
        <f t="shared" si="1148"/>
        <v>0</v>
      </c>
      <c r="AJ395" s="160">
        <f t="shared" si="1148"/>
        <v>0</v>
      </c>
      <c r="AK395" s="160">
        <f t="shared" si="1148"/>
        <v>0</v>
      </c>
      <c r="AL395" s="160">
        <f t="shared" si="1148"/>
        <v>0</v>
      </c>
      <c r="AM395" s="160">
        <f t="shared" si="1148"/>
        <v>0</v>
      </c>
      <c r="AN395" s="160">
        <f t="shared" si="1148"/>
        <v>0</v>
      </c>
      <c r="AO395" s="160">
        <f t="shared" si="1148"/>
        <v>0</v>
      </c>
      <c r="AP395" s="160">
        <f t="shared" si="1148"/>
        <v>0</v>
      </c>
      <c r="AQ395" s="160">
        <f t="shared" si="1148"/>
        <v>0</v>
      </c>
      <c r="AR395" s="160">
        <f t="shared" si="1148"/>
        <v>0</v>
      </c>
      <c r="AS395" s="160">
        <f t="shared" si="1148"/>
        <v>0</v>
      </c>
      <c r="AT395" s="160">
        <f t="shared" ref="L395:BR399" si="1287">ROUND($I395*AT$190,2)</f>
        <v>0</v>
      </c>
      <c r="AU395" s="160">
        <f t="shared" si="1287"/>
        <v>0</v>
      </c>
      <c r="AV395" s="160">
        <f t="shared" si="1287"/>
        <v>0</v>
      </c>
      <c r="AW395" s="160">
        <f t="shared" si="1287"/>
        <v>0</v>
      </c>
      <c r="AX395" s="160">
        <f t="shared" si="1287"/>
        <v>0</v>
      </c>
      <c r="AY395" s="160">
        <f t="shared" si="1287"/>
        <v>0</v>
      </c>
      <c r="AZ395" s="160">
        <f t="shared" si="1287"/>
        <v>0</v>
      </c>
      <c r="BA395" s="160">
        <f t="shared" si="1287"/>
        <v>0</v>
      </c>
      <c r="BB395" s="160">
        <f t="shared" si="1287"/>
        <v>0</v>
      </c>
      <c r="BC395" s="160">
        <f t="shared" si="1287"/>
        <v>0</v>
      </c>
      <c r="BD395" s="160">
        <f t="shared" si="1287"/>
        <v>0</v>
      </c>
      <c r="BE395" s="160">
        <f t="shared" si="1287"/>
        <v>0</v>
      </c>
      <c r="BF395" s="160">
        <f t="shared" si="1287"/>
        <v>0</v>
      </c>
      <c r="BG395" s="160">
        <f t="shared" si="1287"/>
        <v>0</v>
      </c>
      <c r="BH395" s="160">
        <f t="shared" si="1287"/>
        <v>0</v>
      </c>
      <c r="BI395" s="160">
        <f t="shared" si="1287"/>
        <v>0</v>
      </c>
      <c r="BJ395" s="160">
        <f t="shared" si="1287"/>
        <v>0</v>
      </c>
      <c r="BK395" s="160">
        <f t="shared" si="1287"/>
        <v>0</v>
      </c>
      <c r="BL395" s="160">
        <f t="shared" si="1287"/>
        <v>0</v>
      </c>
      <c r="BM395" s="160">
        <f t="shared" si="1287"/>
        <v>0</v>
      </c>
      <c r="BN395" s="160">
        <f t="shared" si="1287"/>
        <v>0</v>
      </c>
      <c r="BO395" s="160">
        <f t="shared" si="1287"/>
        <v>0</v>
      </c>
      <c r="BP395" s="160">
        <f t="shared" si="1287"/>
        <v>0</v>
      </c>
      <c r="BQ395" s="160">
        <f t="shared" si="1287"/>
        <v>0</v>
      </c>
      <c r="BR395" s="160">
        <f t="shared" si="1287"/>
        <v>0</v>
      </c>
      <c r="BS395" s="65"/>
      <c r="BT395" s="160">
        <f t="shared" si="1149"/>
        <v>0</v>
      </c>
      <c r="BU395" s="160">
        <f t="shared" si="1150"/>
        <v>0</v>
      </c>
      <c r="BV395" s="65"/>
      <c r="BW395" s="69"/>
      <c r="BX395" s="65"/>
      <c r="BY395" s="137">
        <f t="shared" si="1151"/>
        <v>1</v>
      </c>
      <c r="BZ395" s="137">
        <f>IF(BY395&gt;0,BY395+LARGE($BZ$213:BZ394,1),0)</f>
        <v>155</v>
      </c>
      <c r="CA395" s="137" t="str">
        <f t="shared" si="1152"/>
        <v>TEC I</v>
      </c>
      <c r="CB395" s="161">
        <f t="shared" si="1153"/>
        <v>0</v>
      </c>
      <c r="CC395" s="161">
        <f t="shared" si="1154"/>
        <v>0</v>
      </c>
      <c r="CD395" s="161">
        <f t="shared" si="1155"/>
        <v>0</v>
      </c>
      <c r="CE395" s="161">
        <f t="shared" si="1156"/>
        <v>0</v>
      </c>
      <c r="CF395" s="161">
        <f t="shared" si="1157"/>
        <v>0</v>
      </c>
      <c r="CG395" s="161">
        <f t="shared" si="1158"/>
        <v>0</v>
      </c>
      <c r="CH395" s="161">
        <f t="shared" si="1159"/>
        <v>0</v>
      </c>
      <c r="CI395" s="161">
        <f t="shared" si="1160"/>
        <v>0</v>
      </c>
      <c r="CJ395" s="161">
        <f t="shared" si="1161"/>
        <v>0</v>
      </c>
      <c r="CK395" s="161">
        <f t="shared" si="1162"/>
        <v>0</v>
      </c>
      <c r="CL395" s="161">
        <f t="shared" si="1163"/>
        <v>0</v>
      </c>
      <c r="CM395" s="161">
        <f t="shared" si="1164"/>
        <v>0</v>
      </c>
      <c r="CN395" s="161">
        <f t="shared" si="1165"/>
        <v>0</v>
      </c>
      <c r="CO395" s="161">
        <f t="shared" si="1166"/>
        <v>0</v>
      </c>
      <c r="CP395" s="161">
        <f t="shared" si="1167"/>
        <v>0</v>
      </c>
      <c r="CQ395" s="161">
        <f t="shared" si="1168"/>
        <v>0</v>
      </c>
      <c r="CR395" s="161">
        <f t="shared" si="1169"/>
        <v>0</v>
      </c>
      <c r="CS395" s="161">
        <f t="shared" si="1170"/>
        <v>0</v>
      </c>
      <c r="CT395" s="161">
        <f t="shared" si="1171"/>
        <v>0</v>
      </c>
      <c r="CU395" s="161">
        <f t="shared" si="1172"/>
        <v>0</v>
      </c>
      <c r="CV395" s="161">
        <f t="shared" si="1173"/>
        <v>0</v>
      </c>
      <c r="CW395" s="161">
        <f t="shared" si="1174"/>
        <v>0</v>
      </c>
      <c r="CX395" s="161">
        <f t="shared" si="1175"/>
        <v>0</v>
      </c>
      <c r="CY395" s="161">
        <f t="shared" si="1176"/>
        <v>0</v>
      </c>
      <c r="CZ395" s="161">
        <f t="shared" si="1177"/>
        <v>0</v>
      </c>
      <c r="DA395" s="161">
        <f t="shared" si="1178"/>
        <v>0</v>
      </c>
      <c r="DB395" s="161">
        <f t="shared" si="1179"/>
        <v>0</v>
      </c>
      <c r="DC395" s="161">
        <f t="shared" si="1180"/>
        <v>0</v>
      </c>
      <c r="DD395" s="161">
        <f t="shared" si="1181"/>
        <v>0</v>
      </c>
      <c r="DE395" s="161">
        <f t="shared" si="1182"/>
        <v>0</v>
      </c>
      <c r="DF395" s="161">
        <f t="shared" si="1183"/>
        <v>0</v>
      </c>
      <c r="DG395" s="161">
        <f t="shared" si="1184"/>
        <v>0</v>
      </c>
      <c r="DH395" s="161">
        <f t="shared" si="1185"/>
        <v>0</v>
      </c>
      <c r="DI395" s="161">
        <f t="shared" si="1186"/>
        <v>0</v>
      </c>
      <c r="DJ395" s="161">
        <f t="shared" si="1187"/>
        <v>0</v>
      </c>
      <c r="DK395" s="161">
        <f t="shared" si="1188"/>
        <v>0</v>
      </c>
      <c r="DL395" s="161">
        <f t="shared" si="1189"/>
        <v>0</v>
      </c>
      <c r="DM395" s="161">
        <f t="shared" si="1190"/>
        <v>0</v>
      </c>
      <c r="DN395" s="161">
        <f t="shared" si="1191"/>
        <v>0</v>
      </c>
      <c r="DO395" s="161">
        <f t="shared" si="1192"/>
        <v>0</v>
      </c>
      <c r="DP395" s="161">
        <f t="shared" si="1193"/>
        <v>0</v>
      </c>
      <c r="DQ395" s="161">
        <f t="shared" si="1194"/>
        <v>0</v>
      </c>
      <c r="DR395" s="161">
        <f t="shared" si="1195"/>
        <v>0</v>
      </c>
      <c r="DS395" s="161">
        <f t="shared" si="1196"/>
        <v>0</v>
      </c>
      <c r="DT395" s="161">
        <f t="shared" si="1197"/>
        <v>0</v>
      </c>
      <c r="DU395" s="161">
        <f t="shared" si="1198"/>
        <v>0</v>
      </c>
      <c r="DV395" s="161">
        <f t="shared" si="1199"/>
        <v>0</v>
      </c>
      <c r="DW395" s="161">
        <f t="shared" si="1200"/>
        <v>0</v>
      </c>
      <c r="DX395" s="161">
        <f t="shared" si="1201"/>
        <v>0</v>
      </c>
      <c r="DY395" s="161">
        <f t="shared" si="1202"/>
        <v>0</v>
      </c>
      <c r="DZ395" s="161">
        <f t="shared" si="1203"/>
        <v>0</v>
      </c>
      <c r="EA395" s="161">
        <f t="shared" si="1204"/>
        <v>0</v>
      </c>
      <c r="EB395" s="161">
        <f t="shared" si="1205"/>
        <v>0</v>
      </c>
      <c r="EC395" s="161">
        <f t="shared" si="1206"/>
        <v>0</v>
      </c>
      <c r="ED395" s="161">
        <f t="shared" si="1207"/>
        <v>0</v>
      </c>
      <c r="EE395" s="161">
        <f t="shared" si="1208"/>
        <v>0</v>
      </c>
      <c r="EF395" s="161">
        <f t="shared" si="1209"/>
        <v>0</v>
      </c>
      <c r="EG395" s="161">
        <f t="shared" si="1210"/>
        <v>0</v>
      </c>
      <c r="EH395" s="161">
        <f t="shared" si="1211"/>
        <v>0</v>
      </c>
      <c r="EI395" s="161">
        <f t="shared" si="1212"/>
        <v>0</v>
      </c>
      <c r="EJ395" s="65"/>
      <c r="EK395" s="161">
        <f t="shared" si="1283"/>
        <v>0</v>
      </c>
      <c r="EL395" s="161">
        <f t="shared" si="1284"/>
        <v>0</v>
      </c>
      <c r="EM395" s="161">
        <f t="shared" si="1285"/>
        <v>0</v>
      </c>
    </row>
    <row r="396" spans="1:143" ht="12" hidden="1" customHeight="1" outlineLevel="2">
      <c r="A396" s="77">
        <v>16</v>
      </c>
      <c r="B396" s="137" t="str">
        <f t="shared" si="1213"/>
        <v>AUX TEC - Equipe_01</v>
      </c>
      <c r="C396" s="65"/>
      <c r="D396" s="622"/>
      <c r="E396" s="65"/>
      <c r="F396" s="584"/>
      <c r="G396" s="77" t="str">
        <f>IF(INDEX(Tarefas!$BT$30:$FK$30,MATCH(A396,Tarefas!$BT$28:$FK$28,0))=0,"",INDEX(Tarefas!$BT$30:$FK$30,MATCH(A396,Tarefas!$BT$28:$FK$28,0)))</f>
        <v>AUX TEC</v>
      </c>
      <c r="H396" s="107" cm="1">
        <f t="array" ref="H396">IFERROR((SUMPRODUCT((Tarefas!$N$32:$N$54='Cronog. e Histog.'!$F$381)*(Tarefas!$BQ$30:$FK$30='Cronog. e Histog.'!$G396)*(Tarefas!$BQ$32:$FK$54)))/SUMIF(Tarefas!$N$32:$N$54,'Cronog. e Histog.'!$F$381,Tarefas!$K$32:$K$54),0)</f>
        <v>0</v>
      </c>
      <c r="I396" s="79">
        <f t="shared" si="1214"/>
        <v>0</v>
      </c>
      <c r="J396" s="65"/>
      <c r="K396" s="160">
        <f t="shared" si="1286"/>
        <v>0</v>
      </c>
      <c r="L396" s="160">
        <f t="shared" si="1287"/>
        <v>0</v>
      </c>
      <c r="M396" s="160">
        <f t="shared" si="1287"/>
        <v>0</v>
      </c>
      <c r="N396" s="160">
        <f t="shared" si="1287"/>
        <v>0</v>
      </c>
      <c r="O396" s="160">
        <f t="shared" si="1287"/>
        <v>0</v>
      </c>
      <c r="P396" s="160">
        <f t="shared" si="1287"/>
        <v>0</v>
      </c>
      <c r="Q396" s="160">
        <f t="shared" si="1287"/>
        <v>0</v>
      </c>
      <c r="R396" s="160">
        <f t="shared" si="1287"/>
        <v>0</v>
      </c>
      <c r="S396" s="160">
        <f t="shared" si="1287"/>
        <v>0</v>
      </c>
      <c r="T396" s="160">
        <f t="shared" si="1287"/>
        <v>0</v>
      </c>
      <c r="U396" s="160">
        <f t="shared" si="1287"/>
        <v>0</v>
      </c>
      <c r="V396" s="160">
        <f t="shared" si="1287"/>
        <v>0</v>
      </c>
      <c r="W396" s="160">
        <f t="shared" si="1287"/>
        <v>0</v>
      </c>
      <c r="X396" s="160">
        <f t="shared" si="1287"/>
        <v>0</v>
      </c>
      <c r="Y396" s="160">
        <f t="shared" si="1287"/>
        <v>0</v>
      </c>
      <c r="Z396" s="160">
        <f t="shared" si="1287"/>
        <v>0</v>
      </c>
      <c r="AA396" s="160">
        <f t="shared" si="1287"/>
        <v>0</v>
      </c>
      <c r="AB396" s="160">
        <f t="shared" si="1287"/>
        <v>0</v>
      </c>
      <c r="AC396" s="160">
        <f t="shared" si="1287"/>
        <v>0</v>
      </c>
      <c r="AD396" s="160">
        <f t="shared" si="1287"/>
        <v>0</v>
      </c>
      <c r="AE396" s="160">
        <f t="shared" si="1287"/>
        <v>0</v>
      </c>
      <c r="AF396" s="160">
        <f t="shared" si="1287"/>
        <v>0</v>
      </c>
      <c r="AG396" s="160">
        <f t="shared" si="1287"/>
        <v>0</v>
      </c>
      <c r="AH396" s="160">
        <f t="shared" si="1287"/>
        <v>0</v>
      </c>
      <c r="AI396" s="160">
        <f t="shared" si="1287"/>
        <v>0</v>
      </c>
      <c r="AJ396" s="160">
        <f t="shared" si="1287"/>
        <v>0</v>
      </c>
      <c r="AK396" s="160">
        <f t="shared" si="1287"/>
        <v>0</v>
      </c>
      <c r="AL396" s="160">
        <f t="shared" si="1287"/>
        <v>0</v>
      </c>
      <c r="AM396" s="160">
        <f t="shared" si="1287"/>
        <v>0</v>
      </c>
      <c r="AN396" s="160">
        <f t="shared" si="1287"/>
        <v>0</v>
      </c>
      <c r="AO396" s="160">
        <f t="shared" si="1287"/>
        <v>0</v>
      </c>
      <c r="AP396" s="160">
        <f t="shared" si="1287"/>
        <v>0</v>
      </c>
      <c r="AQ396" s="160">
        <f t="shared" si="1287"/>
        <v>0</v>
      </c>
      <c r="AR396" s="160">
        <f t="shared" si="1287"/>
        <v>0</v>
      </c>
      <c r="AS396" s="160">
        <f t="shared" si="1287"/>
        <v>0</v>
      </c>
      <c r="AT396" s="160">
        <f t="shared" si="1287"/>
        <v>0</v>
      </c>
      <c r="AU396" s="160">
        <f t="shared" si="1287"/>
        <v>0</v>
      </c>
      <c r="AV396" s="160">
        <f t="shared" si="1287"/>
        <v>0</v>
      </c>
      <c r="AW396" s="160">
        <f t="shared" si="1287"/>
        <v>0</v>
      </c>
      <c r="AX396" s="160">
        <f t="shared" si="1287"/>
        <v>0</v>
      </c>
      <c r="AY396" s="160">
        <f t="shared" si="1287"/>
        <v>0</v>
      </c>
      <c r="AZ396" s="160">
        <f t="shared" si="1287"/>
        <v>0</v>
      </c>
      <c r="BA396" s="160">
        <f t="shared" si="1287"/>
        <v>0</v>
      </c>
      <c r="BB396" s="160">
        <f t="shared" si="1287"/>
        <v>0</v>
      </c>
      <c r="BC396" s="160">
        <f t="shared" si="1287"/>
        <v>0</v>
      </c>
      <c r="BD396" s="160">
        <f t="shared" si="1287"/>
        <v>0</v>
      </c>
      <c r="BE396" s="160">
        <f t="shared" si="1287"/>
        <v>0</v>
      </c>
      <c r="BF396" s="160">
        <f t="shared" si="1287"/>
        <v>0</v>
      </c>
      <c r="BG396" s="160">
        <f t="shared" si="1287"/>
        <v>0</v>
      </c>
      <c r="BH396" s="160">
        <f t="shared" si="1287"/>
        <v>0</v>
      </c>
      <c r="BI396" s="160">
        <f t="shared" si="1287"/>
        <v>0</v>
      </c>
      <c r="BJ396" s="160">
        <f t="shared" si="1287"/>
        <v>0</v>
      </c>
      <c r="BK396" s="160">
        <f t="shared" si="1287"/>
        <v>0</v>
      </c>
      <c r="BL396" s="160">
        <f t="shared" si="1287"/>
        <v>0</v>
      </c>
      <c r="BM396" s="160">
        <f t="shared" si="1287"/>
        <v>0</v>
      </c>
      <c r="BN396" s="160">
        <f t="shared" si="1287"/>
        <v>0</v>
      </c>
      <c r="BO396" s="160">
        <f t="shared" si="1287"/>
        <v>0</v>
      </c>
      <c r="BP396" s="160">
        <f t="shared" si="1287"/>
        <v>0</v>
      </c>
      <c r="BQ396" s="160">
        <f t="shared" si="1287"/>
        <v>0</v>
      </c>
      <c r="BR396" s="160">
        <f t="shared" si="1287"/>
        <v>0</v>
      </c>
      <c r="BS396" s="65"/>
      <c r="BT396" s="160">
        <f t="shared" si="1149"/>
        <v>0</v>
      </c>
      <c r="BU396" s="160">
        <f t="shared" si="1150"/>
        <v>0</v>
      </c>
      <c r="BV396" s="65"/>
      <c r="BW396" s="69"/>
      <c r="BX396" s="65"/>
      <c r="BY396" s="137">
        <f t="shared" si="1151"/>
        <v>1</v>
      </c>
      <c r="BZ396" s="137">
        <f>IF(BY396&gt;0,BY396+LARGE($BZ$213:BZ395,1),0)</f>
        <v>156</v>
      </c>
      <c r="CA396" s="137" t="str">
        <f t="shared" si="1152"/>
        <v>AUX TEC</v>
      </c>
      <c r="CB396" s="161">
        <f t="shared" si="1153"/>
        <v>0</v>
      </c>
      <c r="CC396" s="161">
        <f t="shared" si="1154"/>
        <v>0</v>
      </c>
      <c r="CD396" s="161">
        <f t="shared" si="1155"/>
        <v>0</v>
      </c>
      <c r="CE396" s="161">
        <f t="shared" si="1156"/>
        <v>0</v>
      </c>
      <c r="CF396" s="161">
        <f t="shared" si="1157"/>
        <v>0</v>
      </c>
      <c r="CG396" s="161">
        <f t="shared" si="1158"/>
        <v>0</v>
      </c>
      <c r="CH396" s="161">
        <f t="shared" si="1159"/>
        <v>0</v>
      </c>
      <c r="CI396" s="161">
        <f t="shared" si="1160"/>
        <v>0</v>
      </c>
      <c r="CJ396" s="161">
        <f t="shared" si="1161"/>
        <v>0</v>
      </c>
      <c r="CK396" s="161">
        <f t="shared" si="1162"/>
        <v>0</v>
      </c>
      <c r="CL396" s="161">
        <f t="shared" si="1163"/>
        <v>0</v>
      </c>
      <c r="CM396" s="161">
        <f t="shared" si="1164"/>
        <v>0</v>
      </c>
      <c r="CN396" s="161">
        <f t="shared" si="1165"/>
        <v>0</v>
      </c>
      <c r="CO396" s="161">
        <f t="shared" si="1166"/>
        <v>0</v>
      </c>
      <c r="CP396" s="161">
        <f t="shared" si="1167"/>
        <v>0</v>
      </c>
      <c r="CQ396" s="161">
        <f t="shared" si="1168"/>
        <v>0</v>
      </c>
      <c r="CR396" s="161">
        <f t="shared" si="1169"/>
        <v>0</v>
      </c>
      <c r="CS396" s="161">
        <f t="shared" si="1170"/>
        <v>0</v>
      </c>
      <c r="CT396" s="161">
        <f t="shared" si="1171"/>
        <v>0</v>
      </c>
      <c r="CU396" s="161">
        <f t="shared" si="1172"/>
        <v>0</v>
      </c>
      <c r="CV396" s="161">
        <f t="shared" si="1173"/>
        <v>0</v>
      </c>
      <c r="CW396" s="161">
        <f t="shared" si="1174"/>
        <v>0</v>
      </c>
      <c r="CX396" s="161">
        <f t="shared" si="1175"/>
        <v>0</v>
      </c>
      <c r="CY396" s="161">
        <f t="shared" si="1176"/>
        <v>0</v>
      </c>
      <c r="CZ396" s="161">
        <f t="shared" si="1177"/>
        <v>0</v>
      </c>
      <c r="DA396" s="161">
        <f t="shared" si="1178"/>
        <v>0</v>
      </c>
      <c r="DB396" s="161">
        <f t="shared" si="1179"/>
        <v>0</v>
      </c>
      <c r="DC396" s="161">
        <f t="shared" si="1180"/>
        <v>0</v>
      </c>
      <c r="DD396" s="161">
        <f t="shared" si="1181"/>
        <v>0</v>
      </c>
      <c r="DE396" s="161">
        <f t="shared" si="1182"/>
        <v>0</v>
      </c>
      <c r="DF396" s="161">
        <f t="shared" si="1183"/>
        <v>0</v>
      </c>
      <c r="DG396" s="161">
        <f t="shared" si="1184"/>
        <v>0</v>
      </c>
      <c r="DH396" s="161">
        <f t="shared" si="1185"/>
        <v>0</v>
      </c>
      <c r="DI396" s="161">
        <f t="shared" si="1186"/>
        <v>0</v>
      </c>
      <c r="DJ396" s="161">
        <f t="shared" si="1187"/>
        <v>0</v>
      </c>
      <c r="DK396" s="161">
        <f t="shared" si="1188"/>
        <v>0</v>
      </c>
      <c r="DL396" s="161">
        <f t="shared" si="1189"/>
        <v>0</v>
      </c>
      <c r="DM396" s="161">
        <f t="shared" si="1190"/>
        <v>0</v>
      </c>
      <c r="DN396" s="161">
        <f t="shared" si="1191"/>
        <v>0</v>
      </c>
      <c r="DO396" s="161">
        <f t="shared" si="1192"/>
        <v>0</v>
      </c>
      <c r="DP396" s="161">
        <f t="shared" si="1193"/>
        <v>0</v>
      </c>
      <c r="DQ396" s="161">
        <f t="shared" si="1194"/>
        <v>0</v>
      </c>
      <c r="DR396" s="161">
        <f t="shared" si="1195"/>
        <v>0</v>
      </c>
      <c r="DS396" s="161">
        <f t="shared" si="1196"/>
        <v>0</v>
      </c>
      <c r="DT396" s="161">
        <f t="shared" si="1197"/>
        <v>0</v>
      </c>
      <c r="DU396" s="161">
        <f t="shared" si="1198"/>
        <v>0</v>
      </c>
      <c r="DV396" s="161">
        <f t="shared" si="1199"/>
        <v>0</v>
      </c>
      <c r="DW396" s="161">
        <f t="shared" si="1200"/>
        <v>0</v>
      </c>
      <c r="DX396" s="161">
        <f t="shared" si="1201"/>
        <v>0</v>
      </c>
      <c r="DY396" s="161">
        <f t="shared" si="1202"/>
        <v>0</v>
      </c>
      <c r="DZ396" s="161">
        <f t="shared" si="1203"/>
        <v>0</v>
      </c>
      <c r="EA396" s="161">
        <f t="shared" si="1204"/>
        <v>0</v>
      </c>
      <c r="EB396" s="161">
        <f t="shared" si="1205"/>
        <v>0</v>
      </c>
      <c r="EC396" s="161">
        <f t="shared" si="1206"/>
        <v>0</v>
      </c>
      <c r="ED396" s="161">
        <f t="shared" si="1207"/>
        <v>0</v>
      </c>
      <c r="EE396" s="161">
        <f t="shared" si="1208"/>
        <v>0</v>
      </c>
      <c r="EF396" s="161">
        <f t="shared" si="1209"/>
        <v>0</v>
      </c>
      <c r="EG396" s="161">
        <f t="shared" si="1210"/>
        <v>0</v>
      </c>
      <c r="EH396" s="161">
        <f t="shared" si="1211"/>
        <v>0</v>
      </c>
      <c r="EI396" s="161">
        <f t="shared" si="1212"/>
        <v>0</v>
      </c>
      <c r="EJ396" s="65"/>
      <c r="EK396" s="161">
        <f t="shared" si="1283"/>
        <v>0</v>
      </c>
      <c r="EL396" s="161">
        <f t="shared" si="1284"/>
        <v>0</v>
      </c>
      <c r="EM396" s="161">
        <f t="shared" si="1285"/>
        <v>0</v>
      </c>
    </row>
    <row r="397" spans="1:143" ht="12" hidden="1" customHeight="1" outlineLevel="2">
      <c r="A397" s="77">
        <v>17</v>
      </c>
      <c r="B397" s="137" t="str">
        <f t="shared" si="1213"/>
        <v>AUX ADM - Equipe_01</v>
      </c>
      <c r="C397" s="65"/>
      <c r="D397" s="622"/>
      <c r="E397" s="65"/>
      <c r="F397" s="584"/>
      <c r="G397" s="77" t="str">
        <f>IF(INDEX(Tarefas!$BT$30:$FK$30,MATCH(A397,Tarefas!$BT$28:$FK$28,0))=0,"",INDEX(Tarefas!$BT$30:$FK$30,MATCH(A397,Tarefas!$BT$28:$FK$28,0)))</f>
        <v>AUX ADM</v>
      </c>
      <c r="H397" s="107" cm="1">
        <f t="array" ref="H397">IFERROR((SUMPRODUCT((Tarefas!$N$32:$N$54='Cronog. e Histog.'!$F$381)*(Tarefas!$BQ$30:$FK$30='Cronog. e Histog.'!$G397)*(Tarefas!$BQ$32:$FK$54)))/SUMIF(Tarefas!$N$32:$N$54,'Cronog. e Histog.'!$F$381,Tarefas!$K$32:$K$54),0)</f>
        <v>0</v>
      </c>
      <c r="I397" s="79">
        <f t="shared" si="1214"/>
        <v>0</v>
      </c>
      <c r="J397" s="65"/>
      <c r="K397" s="160">
        <f t="shared" si="1286"/>
        <v>0</v>
      </c>
      <c r="L397" s="160">
        <f t="shared" si="1287"/>
        <v>0</v>
      </c>
      <c r="M397" s="160">
        <f t="shared" si="1287"/>
        <v>0</v>
      </c>
      <c r="N397" s="160">
        <f t="shared" si="1287"/>
        <v>0</v>
      </c>
      <c r="O397" s="160">
        <f t="shared" si="1287"/>
        <v>0</v>
      </c>
      <c r="P397" s="160">
        <f t="shared" si="1287"/>
        <v>0</v>
      </c>
      <c r="Q397" s="160">
        <f t="shared" si="1287"/>
        <v>0</v>
      </c>
      <c r="R397" s="160">
        <f t="shared" si="1287"/>
        <v>0</v>
      </c>
      <c r="S397" s="160">
        <f t="shared" si="1287"/>
        <v>0</v>
      </c>
      <c r="T397" s="160">
        <f t="shared" si="1287"/>
        <v>0</v>
      </c>
      <c r="U397" s="160">
        <f t="shared" si="1287"/>
        <v>0</v>
      </c>
      <c r="V397" s="160">
        <f t="shared" si="1287"/>
        <v>0</v>
      </c>
      <c r="W397" s="160">
        <f t="shared" si="1287"/>
        <v>0</v>
      </c>
      <c r="X397" s="160">
        <f t="shared" si="1287"/>
        <v>0</v>
      </c>
      <c r="Y397" s="160">
        <f t="shared" si="1287"/>
        <v>0</v>
      </c>
      <c r="Z397" s="160">
        <f t="shared" si="1287"/>
        <v>0</v>
      </c>
      <c r="AA397" s="160">
        <f t="shared" si="1287"/>
        <v>0</v>
      </c>
      <c r="AB397" s="160">
        <f t="shared" si="1287"/>
        <v>0</v>
      </c>
      <c r="AC397" s="160">
        <f t="shared" si="1287"/>
        <v>0</v>
      </c>
      <c r="AD397" s="160">
        <f t="shared" si="1287"/>
        <v>0</v>
      </c>
      <c r="AE397" s="160">
        <f t="shared" si="1287"/>
        <v>0</v>
      </c>
      <c r="AF397" s="160">
        <f t="shared" si="1287"/>
        <v>0</v>
      </c>
      <c r="AG397" s="160">
        <f t="shared" si="1287"/>
        <v>0</v>
      </c>
      <c r="AH397" s="160">
        <f t="shared" si="1287"/>
        <v>0</v>
      </c>
      <c r="AI397" s="160">
        <f t="shared" si="1287"/>
        <v>0</v>
      </c>
      <c r="AJ397" s="160">
        <f t="shared" si="1287"/>
        <v>0</v>
      </c>
      <c r="AK397" s="160">
        <f t="shared" si="1287"/>
        <v>0</v>
      </c>
      <c r="AL397" s="160">
        <f t="shared" si="1287"/>
        <v>0</v>
      </c>
      <c r="AM397" s="160">
        <f t="shared" si="1287"/>
        <v>0</v>
      </c>
      <c r="AN397" s="160">
        <f t="shared" si="1287"/>
        <v>0</v>
      </c>
      <c r="AO397" s="160">
        <f t="shared" si="1287"/>
        <v>0</v>
      </c>
      <c r="AP397" s="160">
        <f t="shared" si="1287"/>
        <v>0</v>
      </c>
      <c r="AQ397" s="160">
        <f t="shared" si="1287"/>
        <v>0</v>
      </c>
      <c r="AR397" s="160">
        <f t="shared" si="1287"/>
        <v>0</v>
      </c>
      <c r="AS397" s="160">
        <f t="shared" si="1287"/>
        <v>0</v>
      </c>
      <c r="AT397" s="160">
        <f t="shared" si="1287"/>
        <v>0</v>
      </c>
      <c r="AU397" s="160">
        <f t="shared" si="1287"/>
        <v>0</v>
      </c>
      <c r="AV397" s="160">
        <f t="shared" si="1287"/>
        <v>0</v>
      </c>
      <c r="AW397" s="160">
        <f t="shared" si="1287"/>
        <v>0</v>
      </c>
      <c r="AX397" s="160">
        <f t="shared" si="1287"/>
        <v>0</v>
      </c>
      <c r="AY397" s="160">
        <f t="shared" si="1287"/>
        <v>0</v>
      </c>
      <c r="AZ397" s="160">
        <f t="shared" si="1287"/>
        <v>0</v>
      </c>
      <c r="BA397" s="160">
        <f t="shared" si="1287"/>
        <v>0</v>
      </c>
      <c r="BB397" s="160">
        <f t="shared" si="1287"/>
        <v>0</v>
      </c>
      <c r="BC397" s="160">
        <f t="shared" si="1287"/>
        <v>0</v>
      </c>
      <c r="BD397" s="160">
        <f t="shared" si="1287"/>
        <v>0</v>
      </c>
      <c r="BE397" s="160">
        <f t="shared" si="1287"/>
        <v>0</v>
      </c>
      <c r="BF397" s="160">
        <f t="shared" si="1287"/>
        <v>0</v>
      </c>
      <c r="BG397" s="160">
        <f t="shared" si="1287"/>
        <v>0</v>
      </c>
      <c r="BH397" s="160">
        <f t="shared" si="1287"/>
        <v>0</v>
      </c>
      <c r="BI397" s="160">
        <f t="shared" si="1287"/>
        <v>0</v>
      </c>
      <c r="BJ397" s="160">
        <f t="shared" si="1287"/>
        <v>0</v>
      </c>
      <c r="BK397" s="160">
        <f t="shared" si="1287"/>
        <v>0</v>
      </c>
      <c r="BL397" s="160">
        <f t="shared" si="1287"/>
        <v>0</v>
      </c>
      <c r="BM397" s="160">
        <f t="shared" si="1287"/>
        <v>0</v>
      </c>
      <c r="BN397" s="160">
        <f t="shared" si="1287"/>
        <v>0</v>
      </c>
      <c r="BO397" s="160">
        <f t="shared" si="1287"/>
        <v>0</v>
      </c>
      <c r="BP397" s="160">
        <f t="shared" si="1287"/>
        <v>0</v>
      </c>
      <c r="BQ397" s="160">
        <f t="shared" si="1287"/>
        <v>0</v>
      </c>
      <c r="BR397" s="160">
        <f t="shared" si="1287"/>
        <v>0</v>
      </c>
      <c r="BS397" s="65"/>
      <c r="BT397" s="160">
        <f t="shared" si="1149"/>
        <v>0</v>
      </c>
      <c r="BU397" s="160">
        <f t="shared" si="1150"/>
        <v>0</v>
      </c>
      <c r="BV397" s="65"/>
      <c r="BW397" s="69"/>
      <c r="BX397" s="65"/>
      <c r="BY397" s="137">
        <f t="shared" si="1151"/>
        <v>1</v>
      </c>
      <c r="BZ397" s="137">
        <f>IF(BY397&gt;0,BY397+LARGE($BZ$213:BZ396,1),0)</f>
        <v>157</v>
      </c>
      <c r="CA397" s="137" t="str">
        <f t="shared" si="1152"/>
        <v>AUX ADM</v>
      </c>
      <c r="CB397" s="161">
        <f t="shared" si="1153"/>
        <v>0</v>
      </c>
      <c r="CC397" s="161">
        <f t="shared" si="1154"/>
        <v>0</v>
      </c>
      <c r="CD397" s="161">
        <f t="shared" si="1155"/>
        <v>0</v>
      </c>
      <c r="CE397" s="161">
        <f t="shared" si="1156"/>
        <v>0</v>
      </c>
      <c r="CF397" s="161">
        <f t="shared" si="1157"/>
        <v>0</v>
      </c>
      <c r="CG397" s="161">
        <f t="shared" si="1158"/>
        <v>0</v>
      </c>
      <c r="CH397" s="161">
        <f t="shared" si="1159"/>
        <v>0</v>
      </c>
      <c r="CI397" s="161">
        <f t="shared" si="1160"/>
        <v>0</v>
      </c>
      <c r="CJ397" s="161">
        <f t="shared" si="1161"/>
        <v>0</v>
      </c>
      <c r="CK397" s="161">
        <f t="shared" si="1162"/>
        <v>0</v>
      </c>
      <c r="CL397" s="161">
        <f t="shared" si="1163"/>
        <v>0</v>
      </c>
      <c r="CM397" s="161">
        <f t="shared" si="1164"/>
        <v>0</v>
      </c>
      <c r="CN397" s="161">
        <f t="shared" si="1165"/>
        <v>0</v>
      </c>
      <c r="CO397" s="161">
        <f t="shared" si="1166"/>
        <v>0</v>
      </c>
      <c r="CP397" s="161">
        <f t="shared" si="1167"/>
        <v>0</v>
      </c>
      <c r="CQ397" s="161">
        <f t="shared" si="1168"/>
        <v>0</v>
      </c>
      <c r="CR397" s="161">
        <f t="shared" si="1169"/>
        <v>0</v>
      </c>
      <c r="CS397" s="161">
        <f t="shared" si="1170"/>
        <v>0</v>
      </c>
      <c r="CT397" s="161">
        <f t="shared" si="1171"/>
        <v>0</v>
      </c>
      <c r="CU397" s="161">
        <f t="shared" si="1172"/>
        <v>0</v>
      </c>
      <c r="CV397" s="161">
        <f t="shared" si="1173"/>
        <v>0</v>
      </c>
      <c r="CW397" s="161">
        <f t="shared" si="1174"/>
        <v>0</v>
      </c>
      <c r="CX397" s="161">
        <f t="shared" si="1175"/>
        <v>0</v>
      </c>
      <c r="CY397" s="161">
        <f t="shared" si="1176"/>
        <v>0</v>
      </c>
      <c r="CZ397" s="161">
        <f t="shared" si="1177"/>
        <v>0</v>
      </c>
      <c r="DA397" s="161">
        <f t="shared" si="1178"/>
        <v>0</v>
      </c>
      <c r="DB397" s="161">
        <f t="shared" si="1179"/>
        <v>0</v>
      </c>
      <c r="DC397" s="161">
        <f t="shared" si="1180"/>
        <v>0</v>
      </c>
      <c r="DD397" s="161">
        <f t="shared" si="1181"/>
        <v>0</v>
      </c>
      <c r="DE397" s="161">
        <f t="shared" si="1182"/>
        <v>0</v>
      </c>
      <c r="DF397" s="161">
        <f t="shared" si="1183"/>
        <v>0</v>
      </c>
      <c r="DG397" s="161">
        <f t="shared" si="1184"/>
        <v>0</v>
      </c>
      <c r="DH397" s="161">
        <f t="shared" si="1185"/>
        <v>0</v>
      </c>
      <c r="DI397" s="161">
        <f t="shared" si="1186"/>
        <v>0</v>
      </c>
      <c r="DJ397" s="161">
        <f t="shared" si="1187"/>
        <v>0</v>
      </c>
      <c r="DK397" s="161">
        <f t="shared" si="1188"/>
        <v>0</v>
      </c>
      <c r="DL397" s="161">
        <f t="shared" si="1189"/>
        <v>0</v>
      </c>
      <c r="DM397" s="161">
        <f t="shared" si="1190"/>
        <v>0</v>
      </c>
      <c r="DN397" s="161">
        <f t="shared" si="1191"/>
        <v>0</v>
      </c>
      <c r="DO397" s="161">
        <f t="shared" si="1192"/>
        <v>0</v>
      </c>
      <c r="DP397" s="161">
        <f t="shared" si="1193"/>
        <v>0</v>
      </c>
      <c r="DQ397" s="161">
        <f t="shared" si="1194"/>
        <v>0</v>
      </c>
      <c r="DR397" s="161">
        <f t="shared" si="1195"/>
        <v>0</v>
      </c>
      <c r="DS397" s="161">
        <f t="shared" si="1196"/>
        <v>0</v>
      </c>
      <c r="DT397" s="161">
        <f t="shared" si="1197"/>
        <v>0</v>
      </c>
      <c r="DU397" s="161">
        <f t="shared" si="1198"/>
        <v>0</v>
      </c>
      <c r="DV397" s="161">
        <f t="shared" si="1199"/>
        <v>0</v>
      </c>
      <c r="DW397" s="161">
        <f t="shared" si="1200"/>
        <v>0</v>
      </c>
      <c r="DX397" s="161">
        <f t="shared" si="1201"/>
        <v>0</v>
      </c>
      <c r="DY397" s="161">
        <f t="shared" si="1202"/>
        <v>0</v>
      </c>
      <c r="DZ397" s="161">
        <f t="shared" si="1203"/>
        <v>0</v>
      </c>
      <c r="EA397" s="161">
        <f t="shared" si="1204"/>
        <v>0</v>
      </c>
      <c r="EB397" s="161">
        <f t="shared" si="1205"/>
        <v>0</v>
      </c>
      <c r="EC397" s="161">
        <f t="shared" si="1206"/>
        <v>0</v>
      </c>
      <c r="ED397" s="161">
        <f t="shared" si="1207"/>
        <v>0</v>
      </c>
      <c r="EE397" s="161">
        <f t="shared" si="1208"/>
        <v>0</v>
      </c>
      <c r="EF397" s="161">
        <f t="shared" si="1209"/>
        <v>0</v>
      </c>
      <c r="EG397" s="161">
        <f t="shared" si="1210"/>
        <v>0</v>
      </c>
      <c r="EH397" s="161">
        <f t="shared" si="1211"/>
        <v>0</v>
      </c>
      <c r="EI397" s="161">
        <f t="shared" si="1212"/>
        <v>0</v>
      </c>
      <c r="EJ397" s="65"/>
      <c r="EK397" s="161">
        <f t="shared" si="1283"/>
        <v>0</v>
      </c>
      <c r="EL397" s="161">
        <f t="shared" si="1284"/>
        <v>0</v>
      </c>
      <c r="EM397" s="161">
        <f t="shared" si="1285"/>
        <v>0</v>
      </c>
    </row>
    <row r="398" spans="1:143" ht="12" hidden="1" customHeight="1" outlineLevel="2">
      <c r="A398" s="77">
        <v>18</v>
      </c>
      <c r="B398" s="137" t="str">
        <f t="shared" si="1213"/>
        <v>EST - Equipe_01</v>
      </c>
      <c r="C398" s="65"/>
      <c r="D398" s="622"/>
      <c r="E398" s="65"/>
      <c r="F398" s="584"/>
      <c r="G398" s="77" t="str">
        <f>IF(INDEX(Tarefas!$BT$30:$FK$30,MATCH(A398,Tarefas!$BT$28:$FK$28,0))=0,"",INDEX(Tarefas!$BT$30:$FK$30,MATCH(A398,Tarefas!$BT$28:$FK$28,0)))</f>
        <v>EST</v>
      </c>
      <c r="H398" s="107" cm="1">
        <f t="array" ref="H398">IFERROR((SUMPRODUCT((Tarefas!$N$32:$N$54='Cronog. e Histog.'!$F$381)*(Tarefas!$BQ$30:$FK$30='Cronog. e Histog.'!$G398)*(Tarefas!$BQ$32:$FK$54)))/SUMIF(Tarefas!$N$32:$N$54,'Cronog. e Histog.'!$F$381,Tarefas!$K$32:$K$54),0)</f>
        <v>0</v>
      </c>
      <c r="I398" s="79">
        <f t="shared" si="1214"/>
        <v>0</v>
      </c>
      <c r="J398" s="65"/>
      <c r="K398" s="160">
        <f t="shared" si="1286"/>
        <v>0</v>
      </c>
      <c r="L398" s="160">
        <f t="shared" si="1287"/>
        <v>0</v>
      </c>
      <c r="M398" s="160">
        <f t="shared" si="1287"/>
        <v>0</v>
      </c>
      <c r="N398" s="160">
        <f t="shared" si="1287"/>
        <v>0</v>
      </c>
      <c r="O398" s="160">
        <f t="shared" si="1287"/>
        <v>0</v>
      </c>
      <c r="P398" s="160">
        <f t="shared" si="1287"/>
        <v>0</v>
      </c>
      <c r="Q398" s="160">
        <f t="shared" si="1287"/>
        <v>0</v>
      </c>
      <c r="R398" s="160">
        <f t="shared" si="1287"/>
        <v>0</v>
      </c>
      <c r="S398" s="160">
        <f t="shared" si="1287"/>
        <v>0</v>
      </c>
      <c r="T398" s="160">
        <f t="shared" si="1287"/>
        <v>0</v>
      </c>
      <c r="U398" s="160">
        <f t="shared" si="1287"/>
        <v>0</v>
      </c>
      <c r="V398" s="160">
        <f t="shared" si="1287"/>
        <v>0</v>
      </c>
      <c r="W398" s="160">
        <f t="shared" si="1287"/>
        <v>0</v>
      </c>
      <c r="X398" s="160">
        <f t="shared" si="1287"/>
        <v>0</v>
      </c>
      <c r="Y398" s="160">
        <f t="shared" si="1287"/>
        <v>0</v>
      </c>
      <c r="Z398" s="160">
        <f t="shared" si="1287"/>
        <v>0</v>
      </c>
      <c r="AA398" s="160">
        <f t="shared" si="1287"/>
        <v>0</v>
      </c>
      <c r="AB398" s="160">
        <f t="shared" si="1287"/>
        <v>0</v>
      </c>
      <c r="AC398" s="160">
        <f t="shared" si="1287"/>
        <v>0</v>
      </c>
      <c r="AD398" s="160">
        <f t="shared" si="1287"/>
        <v>0</v>
      </c>
      <c r="AE398" s="160">
        <f t="shared" si="1287"/>
        <v>0</v>
      </c>
      <c r="AF398" s="160">
        <f t="shared" si="1287"/>
        <v>0</v>
      </c>
      <c r="AG398" s="160">
        <f t="shared" si="1287"/>
        <v>0</v>
      </c>
      <c r="AH398" s="160">
        <f t="shared" si="1287"/>
        <v>0</v>
      </c>
      <c r="AI398" s="160">
        <f t="shared" si="1287"/>
        <v>0</v>
      </c>
      <c r="AJ398" s="160">
        <f t="shared" si="1287"/>
        <v>0</v>
      </c>
      <c r="AK398" s="160">
        <f t="shared" si="1287"/>
        <v>0</v>
      </c>
      <c r="AL398" s="160">
        <f t="shared" si="1287"/>
        <v>0</v>
      </c>
      <c r="AM398" s="160">
        <f t="shared" si="1287"/>
        <v>0</v>
      </c>
      <c r="AN398" s="160">
        <f t="shared" si="1287"/>
        <v>0</v>
      </c>
      <c r="AO398" s="160">
        <f t="shared" si="1287"/>
        <v>0</v>
      </c>
      <c r="AP398" s="160">
        <f t="shared" si="1287"/>
        <v>0</v>
      </c>
      <c r="AQ398" s="160">
        <f t="shared" si="1287"/>
        <v>0</v>
      </c>
      <c r="AR398" s="160">
        <f t="shared" si="1287"/>
        <v>0</v>
      </c>
      <c r="AS398" s="160">
        <f t="shared" si="1287"/>
        <v>0</v>
      </c>
      <c r="AT398" s="160">
        <f t="shared" si="1287"/>
        <v>0</v>
      </c>
      <c r="AU398" s="160">
        <f t="shared" si="1287"/>
        <v>0</v>
      </c>
      <c r="AV398" s="160">
        <f t="shared" si="1287"/>
        <v>0</v>
      </c>
      <c r="AW398" s="160">
        <f t="shared" si="1287"/>
        <v>0</v>
      </c>
      <c r="AX398" s="160">
        <f t="shared" si="1287"/>
        <v>0</v>
      </c>
      <c r="AY398" s="160">
        <f t="shared" si="1287"/>
        <v>0</v>
      </c>
      <c r="AZ398" s="160">
        <f t="shared" si="1287"/>
        <v>0</v>
      </c>
      <c r="BA398" s="160">
        <f t="shared" si="1287"/>
        <v>0</v>
      </c>
      <c r="BB398" s="160">
        <f t="shared" si="1287"/>
        <v>0</v>
      </c>
      <c r="BC398" s="160">
        <f t="shared" si="1287"/>
        <v>0</v>
      </c>
      <c r="BD398" s="160">
        <f t="shared" si="1287"/>
        <v>0</v>
      </c>
      <c r="BE398" s="160">
        <f t="shared" si="1287"/>
        <v>0</v>
      </c>
      <c r="BF398" s="160">
        <f t="shared" si="1287"/>
        <v>0</v>
      </c>
      <c r="BG398" s="160">
        <f t="shared" si="1287"/>
        <v>0</v>
      </c>
      <c r="BH398" s="160">
        <f t="shared" si="1287"/>
        <v>0</v>
      </c>
      <c r="BI398" s="160">
        <f t="shared" si="1287"/>
        <v>0</v>
      </c>
      <c r="BJ398" s="160">
        <f t="shared" si="1287"/>
        <v>0</v>
      </c>
      <c r="BK398" s="160">
        <f t="shared" si="1287"/>
        <v>0</v>
      </c>
      <c r="BL398" s="160">
        <f t="shared" si="1287"/>
        <v>0</v>
      </c>
      <c r="BM398" s="160">
        <f t="shared" si="1287"/>
        <v>0</v>
      </c>
      <c r="BN398" s="160">
        <f t="shared" si="1287"/>
        <v>0</v>
      </c>
      <c r="BO398" s="160">
        <f t="shared" si="1287"/>
        <v>0</v>
      </c>
      <c r="BP398" s="160">
        <f t="shared" si="1287"/>
        <v>0</v>
      </c>
      <c r="BQ398" s="160">
        <f t="shared" si="1287"/>
        <v>0</v>
      </c>
      <c r="BR398" s="160">
        <f t="shared" si="1287"/>
        <v>0</v>
      </c>
      <c r="BS398" s="65"/>
      <c r="BT398" s="160">
        <f t="shared" si="1149"/>
        <v>0</v>
      </c>
      <c r="BU398" s="160">
        <f t="shared" si="1150"/>
        <v>0</v>
      </c>
      <c r="BV398" s="65"/>
      <c r="BW398" s="69"/>
      <c r="BX398" s="65"/>
      <c r="BY398" s="137">
        <f t="shared" si="1151"/>
        <v>1</v>
      </c>
      <c r="BZ398" s="137">
        <f>IF(BY398&gt;0,BY398+LARGE($BZ$213:BZ397,1),0)</f>
        <v>158</v>
      </c>
      <c r="CA398" s="137" t="str">
        <f t="shared" si="1152"/>
        <v>EST</v>
      </c>
      <c r="CB398" s="161">
        <f t="shared" si="1153"/>
        <v>0</v>
      </c>
      <c r="CC398" s="161">
        <f t="shared" si="1154"/>
        <v>0</v>
      </c>
      <c r="CD398" s="161">
        <f t="shared" si="1155"/>
        <v>0</v>
      </c>
      <c r="CE398" s="161">
        <f t="shared" si="1156"/>
        <v>0</v>
      </c>
      <c r="CF398" s="161">
        <f t="shared" si="1157"/>
        <v>0</v>
      </c>
      <c r="CG398" s="161">
        <f t="shared" si="1158"/>
        <v>0</v>
      </c>
      <c r="CH398" s="161">
        <f t="shared" si="1159"/>
        <v>0</v>
      </c>
      <c r="CI398" s="161">
        <f t="shared" si="1160"/>
        <v>0</v>
      </c>
      <c r="CJ398" s="161">
        <f t="shared" si="1161"/>
        <v>0</v>
      </c>
      <c r="CK398" s="161">
        <f t="shared" si="1162"/>
        <v>0</v>
      </c>
      <c r="CL398" s="161">
        <f t="shared" si="1163"/>
        <v>0</v>
      </c>
      <c r="CM398" s="161">
        <f t="shared" si="1164"/>
        <v>0</v>
      </c>
      <c r="CN398" s="161">
        <f t="shared" si="1165"/>
        <v>0</v>
      </c>
      <c r="CO398" s="161">
        <f t="shared" si="1166"/>
        <v>0</v>
      </c>
      <c r="CP398" s="161">
        <f t="shared" si="1167"/>
        <v>0</v>
      </c>
      <c r="CQ398" s="161">
        <f t="shared" si="1168"/>
        <v>0</v>
      </c>
      <c r="CR398" s="161">
        <f t="shared" si="1169"/>
        <v>0</v>
      </c>
      <c r="CS398" s="161">
        <f t="shared" si="1170"/>
        <v>0</v>
      </c>
      <c r="CT398" s="161">
        <f t="shared" si="1171"/>
        <v>0</v>
      </c>
      <c r="CU398" s="161">
        <f t="shared" si="1172"/>
        <v>0</v>
      </c>
      <c r="CV398" s="161">
        <f t="shared" si="1173"/>
        <v>0</v>
      </c>
      <c r="CW398" s="161">
        <f t="shared" si="1174"/>
        <v>0</v>
      </c>
      <c r="CX398" s="161">
        <f t="shared" si="1175"/>
        <v>0</v>
      </c>
      <c r="CY398" s="161">
        <f t="shared" si="1176"/>
        <v>0</v>
      </c>
      <c r="CZ398" s="161">
        <f t="shared" si="1177"/>
        <v>0</v>
      </c>
      <c r="DA398" s="161">
        <f t="shared" si="1178"/>
        <v>0</v>
      </c>
      <c r="DB398" s="161">
        <f t="shared" si="1179"/>
        <v>0</v>
      </c>
      <c r="DC398" s="161">
        <f t="shared" si="1180"/>
        <v>0</v>
      </c>
      <c r="DD398" s="161">
        <f t="shared" si="1181"/>
        <v>0</v>
      </c>
      <c r="DE398" s="161">
        <f t="shared" si="1182"/>
        <v>0</v>
      </c>
      <c r="DF398" s="161">
        <f t="shared" si="1183"/>
        <v>0</v>
      </c>
      <c r="DG398" s="161">
        <f t="shared" si="1184"/>
        <v>0</v>
      </c>
      <c r="DH398" s="161">
        <f t="shared" si="1185"/>
        <v>0</v>
      </c>
      <c r="DI398" s="161">
        <f t="shared" si="1186"/>
        <v>0</v>
      </c>
      <c r="DJ398" s="161">
        <f t="shared" si="1187"/>
        <v>0</v>
      </c>
      <c r="DK398" s="161">
        <f t="shared" si="1188"/>
        <v>0</v>
      </c>
      <c r="DL398" s="161">
        <f t="shared" si="1189"/>
        <v>0</v>
      </c>
      <c r="DM398" s="161">
        <f t="shared" si="1190"/>
        <v>0</v>
      </c>
      <c r="DN398" s="161">
        <f t="shared" si="1191"/>
        <v>0</v>
      </c>
      <c r="DO398" s="161">
        <f t="shared" si="1192"/>
        <v>0</v>
      </c>
      <c r="DP398" s="161">
        <f t="shared" si="1193"/>
        <v>0</v>
      </c>
      <c r="DQ398" s="161">
        <f t="shared" si="1194"/>
        <v>0</v>
      </c>
      <c r="DR398" s="161">
        <f t="shared" si="1195"/>
        <v>0</v>
      </c>
      <c r="DS398" s="161">
        <f t="shared" si="1196"/>
        <v>0</v>
      </c>
      <c r="DT398" s="161">
        <f t="shared" si="1197"/>
        <v>0</v>
      </c>
      <c r="DU398" s="161">
        <f t="shared" si="1198"/>
        <v>0</v>
      </c>
      <c r="DV398" s="161">
        <f t="shared" si="1199"/>
        <v>0</v>
      </c>
      <c r="DW398" s="161">
        <f t="shared" si="1200"/>
        <v>0</v>
      </c>
      <c r="DX398" s="161">
        <f t="shared" si="1201"/>
        <v>0</v>
      </c>
      <c r="DY398" s="161">
        <f t="shared" si="1202"/>
        <v>0</v>
      </c>
      <c r="DZ398" s="161">
        <f t="shared" si="1203"/>
        <v>0</v>
      </c>
      <c r="EA398" s="161">
        <f t="shared" si="1204"/>
        <v>0</v>
      </c>
      <c r="EB398" s="161">
        <f t="shared" si="1205"/>
        <v>0</v>
      </c>
      <c r="EC398" s="161">
        <f t="shared" si="1206"/>
        <v>0</v>
      </c>
      <c r="ED398" s="161">
        <f t="shared" si="1207"/>
        <v>0</v>
      </c>
      <c r="EE398" s="161">
        <f t="shared" si="1208"/>
        <v>0</v>
      </c>
      <c r="EF398" s="161">
        <f t="shared" si="1209"/>
        <v>0</v>
      </c>
      <c r="EG398" s="161">
        <f t="shared" si="1210"/>
        <v>0</v>
      </c>
      <c r="EH398" s="161">
        <f t="shared" si="1211"/>
        <v>0</v>
      </c>
      <c r="EI398" s="161">
        <f t="shared" si="1212"/>
        <v>0</v>
      </c>
      <c r="EJ398" s="65"/>
      <c r="EK398" s="161">
        <f t="shared" si="1283"/>
        <v>0</v>
      </c>
      <c r="EL398" s="161">
        <f t="shared" si="1284"/>
        <v>0</v>
      </c>
      <c r="EM398" s="161">
        <f t="shared" si="1285"/>
        <v>0</v>
      </c>
    </row>
    <row r="399" spans="1:143" ht="12" hidden="1" customHeight="1" outlineLevel="2">
      <c r="A399" s="77">
        <v>19</v>
      </c>
      <c r="B399" s="137" t="str">
        <f t="shared" si="1213"/>
        <v>EST_II - Equipe_01</v>
      </c>
      <c r="C399" s="65"/>
      <c r="D399" s="622"/>
      <c r="E399" s="65"/>
      <c r="F399" s="584"/>
      <c r="G399" s="77" t="str">
        <f>IF(INDEX(Tarefas!$BT$30:$FK$30,MATCH(A399,Tarefas!$BT$28:$FK$28,0))=0,"",INDEX(Tarefas!$BT$30:$FK$30,MATCH(A399,Tarefas!$BT$28:$FK$28,0)))</f>
        <v>EST_II</v>
      </c>
      <c r="H399" s="107" cm="1">
        <f t="array" ref="H399">IFERROR((SUMPRODUCT((Tarefas!$N$32:$N$54='Cronog. e Histog.'!$F$381)*(Tarefas!$BQ$30:$FK$30='Cronog. e Histog.'!$G399)*(Tarefas!$BQ$32:$FK$54)))/SUMIF(Tarefas!$N$32:$N$54,'Cronog. e Histog.'!$F$381,Tarefas!$K$32:$K$54),0)</f>
        <v>0</v>
      </c>
      <c r="I399" s="79">
        <f t="shared" si="1214"/>
        <v>0</v>
      </c>
      <c r="J399" s="65"/>
      <c r="K399" s="160">
        <f t="shared" si="1286"/>
        <v>0</v>
      </c>
      <c r="L399" s="160">
        <f t="shared" si="1287"/>
        <v>0</v>
      </c>
      <c r="M399" s="160">
        <f t="shared" si="1287"/>
        <v>0</v>
      </c>
      <c r="N399" s="160">
        <f t="shared" si="1287"/>
        <v>0</v>
      </c>
      <c r="O399" s="160">
        <f t="shared" si="1287"/>
        <v>0</v>
      </c>
      <c r="P399" s="160">
        <f t="shared" si="1287"/>
        <v>0</v>
      </c>
      <c r="Q399" s="160">
        <f t="shared" si="1287"/>
        <v>0</v>
      </c>
      <c r="R399" s="160">
        <f t="shared" si="1287"/>
        <v>0</v>
      </c>
      <c r="S399" s="160">
        <f t="shared" si="1287"/>
        <v>0</v>
      </c>
      <c r="T399" s="160">
        <f t="shared" si="1287"/>
        <v>0</v>
      </c>
      <c r="U399" s="160">
        <f t="shared" si="1287"/>
        <v>0</v>
      </c>
      <c r="V399" s="160">
        <f t="shared" si="1287"/>
        <v>0</v>
      </c>
      <c r="W399" s="160">
        <f t="shared" si="1287"/>
        <v>0</v>
      </c>
      <c r="X399" s="160">
        <f t="shared" si="1287"/>
        <v>0</v>
      </c>
      <c r="Y399" s="160">
        <f t="shared" si="1287"/>
        <v>0</v>
      </c>
      <c r="Z399" s="160">
        <f t="shared" si="1287"/>
        <v>0</v>
      </c>
      <c r="AA399" s="160">
        <f t="shared" si="1287"/>
        <v>0</v>
      </c>
      <c r="AB399" s="160">
        <f t="shared" si="1287"/>
        <v>0</v>
      </c>
      <c r="AC399" s="160">
        <f t="shared" si="1287"/>
        <v>0</v>
      </c>
      <c r="AD399" s="160">
        <f t="shared" si="1287"/>
        <v>0</v>
      </c>
      <c r="AE399" s="160">
        <f t="shared" si="1287"/>
        <v>0</v>
      </c>
      <c r="AF399" s="160">
        <f t="shared" si="1287"/>
        <v>0</v>
      </c>
      <c r="AG399" s="160">
        <f t="shared" si="1287"/>
        <v>0</v>
      </c>
      <c r="AH399" s="160">
        <f t="shared" si="1287"/>
        <v>0</v>
      </c>
      <c r="AI399" s="160">
        <f t="shared" si="1287"/>
        <v>0</v>
      </c>
      <c r="AJ399" s="160">
        <f t="shared" si="1287"/>
        <v>0</v>
      </c>
      <c r="AK399" s="160">
        <f t="shared" si="1287"/>
        <v>0</v>
      </c>
      <c r="AL399" s="160">
        <f t="shared" si="1287"/>
        <v>0</v>
      </c>
      <c r="AM399" s="160">
        <f t="shared" si="1287"/>
        <v>0</v>
      </c>
      <c r="AN399" s="160">
        <f t="shared" si="1287"/>
        <v>0</v>
      </c>
      <c r="AO399" s="160">
        <f t="shared" si="1287"/>
        <v>0</v>
      </c>
      <c r="AP399" s="160">
        <f t="shared" si="1287"/>
        <v>0</v>
      </c>
      <c r="AQ399" s="160">
        <f t="shared" si="1287"/>
        <v>0</v>
      </c>
      <c r="AR399" s="160">
        <f t="shared" si="1287"/>
        <v>0</v>
      </c>
      <c r="AS399" s="160">
        <f t="shared" si="1287"/>
        <v>0</v>
      </c>
      <c r="AT399" s="160">
        <f t="shared" si="1287"/>
        <v>0</v>
      </c>
      <c r="AU399" s="160">
        <f t="shared" si="1287"/>
        <v>0</v>
      </c>
      <c r="AV399" s="160">
        <f t="shared" si="1287"/>
        <v>0</v>
      </c>
      <c r="AW399" s="160">
        <f t="shared" si="1287"/>
        <v>0</v>
      </c>
      <c r="AX399" s="160">
        <f t="shared" si="1287"/>
        <v>0</v>
      </c>
      <c r="AY399" s="160">
        <f t="shared" si="1287"/>
        <v>0</v>
      </c>
      <c r="AZ399" s="160">
        <f t="shared" si="1287"/>
        <v>0</v>
      </c>
      <c r="BA399" s="160">
        <f t="shared" si="1287"/>
        <v>0</v>
      </c>
      <c r="BB399" s="160">
        <f t="shared" si="1287"/>
        <v>0</v>
      </c>
      <c r="BC399" s="160">
        <f t="shared" si="1287"/>
        <v>0</v>
      </c>
      <c r="BD399" s="160">
        <f t="shared" si="1287"/>
        <v>0</v>
      </c>
      <c r="BE399" s="160">
        <f t="shared" si="1287"/>
        <v>0</v>
      </c>
      <c r="BF399" s="160">
        <f t="shared" si="1287"/>
        <v>0</v>
      </c>
      <c r="BG399" s="160">
        <f t="shared" si="1287"/>
        <v>0</v>
      </c>
      <c r="BH399" s="160">
        <f t="shared" si="1287"/>
        <v>0</v>
      </c>
      <c r="BI399" s="160">
        <f t="shared" si="1287"/>
        <v>0</v>
      </c>
      <c r="BJ399" s="160">
        <f t="shared" si="1287"/>
        <v>0</v>
      </c>
      <c r="BK399" s="160">
        <f t="shared" si="1287"/>
        <v>0</v>
      </c>
      <c r="BL399" s="160">
        <f t="shared" si="1287"/>
        <v>0</v>
      </c>
      <c r="BM399" s="160">
        <f t="shared" ref="L399:BR400" si="1288">ROUND($I399*BM$190,2)</f>
        <v>0</v>
      </c>
      <c r="BN399" s="160">
        <f t="shared" si="1288"/>
        <v>0</v>
      </c>
      <c r="BO399" s="160">
        <f t="shared" si="1288"/>
        <v>0</v>
      </c>
      <c r="BP399" s="160">
        <f t="shared" si="1288"/>
        <v>0</v>
      </c>
      <c r="BQ399" s="160">
        <f t="shared" si="1288"/>
        <v>0</v>
      </c>
      <c r="BR399" s="160">
        <f t="shared" si="1288"/>
        <v>0</v>
      </c>
      <c r="BS399" s="65"/>
      <c r="BT399" s="160">
        <f t="shared" si="1149"/>
        <v>0</v>
      </c>
      <c r="BU399" s="160">
        <f t="shared" si="1150"/>
        <v>0</v>
      </c>
      <c r="BV399" s="65"/>
      <c r="BW399" s="69"/>
      <c r="BX399" s="65"/>
      <c r="BY399" s="137">
        <f t="shared" si="1151"/>
        <v>1</v>
      </c>
      <c r="BZ399" s="137">
        <f>IF(BY399&gt;0,BY399+LARGE($BZ$213:BZ398,1),0)</f>
        <v>159</v>
      </c>
      <c r="CA399" s="137" t="str">
        <f t="shared" si="1152"/>
        <v>EST_II</v>
      </c>
      <c r="CB399" s="161">
        <f t="shared" si="1153"/>
        <v>0</v>
      </c>
      <c r="CC399" s="161">
        <f t="shared" si="1154"/>
        <v>0</v>
      </c>
      <c r="CD399" s="161">
        <f t="shared" si="1155"/>
        <v>0</v>
      </c>
      <c r="CE399" s="161">
        <f t="shared" si="1156"/>
        <v>0</v>
      </c>
      <c r="CF399" s="161">
        <f t="shared" si="1157"/>
        <v>0</v>
      </c>
      <c r="CG399" s="161">
        <f t="shared" si="1158"/>
        <v>0</v>
      </c>
      <c r="CH399" s="161">
        <f t="shared" si="1159"/>
        <v>0</v>
      </c>
      <c r="CI399" s="161">
        <f t="shared" si="1160"/>
        <v>0</v>
      </c>
      <c r="CJ399" s="161">
        <f t="shared" si="1161"/>
        <v>0</v>
      </c>
      <c r="CK399" s="161">
        <f t="shared" si="1162"/>
        <v>0</v>
      </c>
      <c r="CL399" s="161">
        <f t="shared" si="1163"/>
        <v>0</v>
      </c>
      <c r="CM399" s="161">
        <f t="shared" si="1164"/>
        <v>0</v>
      </c>
      <c r="CN399" s="161">
        <f t="shared" si="1165"/>
        <v>0</v>
      </c>
      <c r="CO399" s="161">
        <f t="shared" si="1166"/>
        <v>0</v>
      </c>
      <c r="CP399" s="161">
        <f t="shared" si="1167"/>
        <v>0</v>
      </c>
      <c r="CQ399" s="161">
        <f t="shared" si="1168"/>
        <v>0</v>
      </c>
      <c r="CR399" s="161">
        <f t="shared" si="1169"/>
        <v>0</v>
      </c>
      <c r="CS399" s="161">
        <f t="shared" si="1170"/>
        <v>0</v>
      </c>
      <c r="CT399" s="161">
        <f t="shared" si="1171"/>
        <v>0</v>
      </c>
      <c r="CU399" s="161">
        <f t="shared" si="1172"/>
        <v>0</v>
      </c>
      <c r="CV399" s="161">
        <f t="shared" si="1173"/>
        <v>0</v>
      </c>
      <c r="CW399" s="161">
        <f t="shared" si="1174"/>
        <v>0</v>
      </c>
      <c r="CX399" s="161">
        <f t="shared" si="1175"/>
        <v>0</v>
      </c>
      <c r="CY399" s="161">
        <f t="shared" si="1176"/>
        <v>0</v>
      </c>
      <c r="CZ399" s="161">
        <f t="shared" si="1177"/>
        <v>0</v>
      </c>
      <c r="DA399" s="161">
        <f t="shared" si="1178"/>
        <v>0</v>
      </c>
      <c r="DB399" s="161">
        <f t="shared" si="1179"/>
        <v>0</v>
      </c>
      <c r="DC399" s="161">
        <f t="shared" si="1180"/>
        <v>0</v>
      </c>
      <c r="DD399" s="161">
        <f t="shared" si="1181"/>
        <v>0</v>
      </c>
      <c r="DE399" s="161">
        <f t="shared" si="1182"/>
        <v>0</v>
      </c>
      <c r="DF399" s="161">
        <f t="shared" si="1183"/>
        <v>0</v>
      </c>
      <c r="DG399" s="161">
        <f t="shared" si="1184"/>
        <v>0</v>
      </c>
      <c r="DH399" s="161">
        <f t="shared" si="1185"/>
        <v>0</v>
      </c>
      <c r="DI399" s="161">
        <f t="shared" si="1186"/>
        <v>0</v>
      </c>
      <c r="DJ399" s="161">
        <f t="shared" si="1187"/>
        <v>0</v>
      </c>
      <c r="DK399" s="161">
        <f t="shared" si="1188"/>
        <v>0</v>
      </c>
      <c r="DL399" s="161">
        <f t="shared" si="1189"/>
        <v>0</v>
      </c>
      <c r="DM399" s="161">
        <f t="shared" si="1190"/>
        <v>0</v>
      </c>
      <c r="DN399" s="161">
        <f t="shared" si="1191"/>
        <v>0</v>
      </c>
      <c r="DO399" s="161">
        <f t="shared" si="1192"/>
        <v>0</v>
      </c>
      <c r="DP399" s="161">
        <f t="shared" si="1193"/>
        <v>0</v>
      </c>
      <c r="DQ399" s="161">
        <f t="shared" si="1194"/>
        <v>0</v>
      </c>
      <c r="DR399" s="161">
        <f t="shared" si="1195"/>
        <v>0</v>
      </c>
      <c r="DS399" s="161">
        <f t="shared" si="1196"/>
        <v>0</v>
      </c>
      <c r="DT399" s="161">
        <f t="shared" si="1197"/>
        <v>0</v>
      </c>
      <c r="DU399" s="161">
        <f t="shared" si="1198"/>
        <v>0</v>
      </c>
      <c r="DV399" s="161">
        <f t="shared" si="1199"/>
        <v>0</v>
      </c>
      <c r="DW399" s="161">
        <f t="shared" si="1200"/>
        <v>0</v>
      </c>
      <c r="DX399" s="161">
        <f t="shared" si="1201"/>
        <v>0</v>
      </c>
      <c r="DY399" s="161">
        <f t="shared" si="1202"/>
        <v>0</v>
      </c>
      <c r="DZ399" s="161">
        <f t="shared" si="1203"/>
        <v>0</v>
      </c>
      <c r="EA399" s="161">
        <f t="shared" si="1204"/>
        <v>0</v>
      </c>
      <c r="EB399" s="161">
        <f t="shared" si="1205"/>
        <v>0</v>
      </c>
      <c r="EC399" s="161">
        <f t="shared" si="1206"/>
        <v>0</v>
      </c>
      <c r="ED399" s="161">
        <f t="shared" si="1207"/>
        <v>0</v>
      </c>
      <c r="EE399" s="161">
        <f t="shared" si="1208"/>
        <v>0</v>
      </c>
      <c r="EF399" s="161">
        <f t="shared" si="1209"/>
        <v>0</v>
      </c>
      <c r="EG399" s="161">
        <f t="shared" si="1210"/>
        <v>0</v>
      </c>
      <c r="EH399" s="161">
        <f t="shared" si="1211"/>
        <v>0</v>
      </c>
      <c r="EI399" s="161">
        <f t="shared" si="1212"/>
        <v>0</v>
      </c>
      <c r="EJ399" s="65"/>
      <c r="EK399" s="161">
        <f t="shared" si="1283"/>
        <v>0</v>
      </c>
      <c r="EL399" s="161">
        <f t="shared" si="1284"/>
        <v>0</v>
      </c>
      <c r="EM399" s="161">
        <f t="shared" si="1285"/>
        <v>0</v>
      </c>
    </row>
    <row r="400" spans="1:143" ht="12" hidden="1" customHeight="1" outlineLevel="2">
      <c r="A400" s="77">
        <v>20</v>
      </c>
      <c r="B400" s="137" t="str">
        <f t="shared" si="1213"/>
        <v>EST_III - Equipe_01</v>
      </c>
      <c r="C400" s="65"/>
      <c r="D400" s="623"/>
      <c r="E400" s="65"/>
      <c r="F400" s="584"/>
      <c r="G400" s="77" t="str">
        <f>IF(INDEX(Tarefas!$BT$30:$FK$30,MATCH(A400,Tarefas!$BT$28:$FK$28,0))=0,"",INDEX(Tarefas!$BT$30:$FK$30,MATCH(A400,Tarefas!$BT$28:$FK$28,0)))</f>
        <v>EST_III</v>
      </c>
      <c r="H400" s="107" cm="1">
        <f t="array" ref="H400">IFERROR((SUMPRODUCT((Tarefas!$N$32:$N$54='Cronog. e Histog.'!$F$381)*(Tarefas!$BQ$30:$FK$30='Cronog. e Histog.'!$G400)*(Tarefas!$BQ$32:$FK$54)))/SUMIF(Tarefas!$N$32:$N$54,'Cronog. e Histog.'!$F$381,Tarefas!$K$32:$K$54),0)</f>
        <v>0</v>
      </c>
      <c r="I400" s="79">
        <f t="shared" si="1214"/>
        <v>0</v>
      </c>
      <c r="J400" s="65"/>
      <c r="K400" s="160">
        <f t="shared" si="1286"/>
        <v>0</v>
      </c>
      <c r="L400" s="160">
        <f t="shared" si="1288"/>
        <v>0</v>
      </c>
      <c r="M400" s="160">
        <f t="shared" si="1288"/>
        <v>0</v>
      </c>
      <c r="N400" s="160">
        <f t="shared" si="1288"/>
        <v>0</v>
      </c>
      <c r="O400" s="160">
        <f t="shared" si="1288"/>
        <v>0</v>
      </c>
      <c r="P400" s="160">
        <f t="shared" si="1288"/>
        <v>0</v>
      </c>
      <c r="Q400" s="160">
        <f t="shared" si="1288"/>
        <v>0</v>
      </c>
      <c r="R400" s="160">
        <f t="shared" si="1288"/>
        <v>0</v>
      </c>
      <c r="S400" s="160">
        <f t="shared" si="1288"/>
        <v>0</v>
      </c>
      <c r="T400" s="160">
        <f t="shared" si="1288"/>
        <v>0</v>
      </c>
      <c r="U400" s="160">
        <f t="shared" si="1288"/>
        <v>0</v>
      </c>
      <c r="V400" s="160">
        <f t="shared" si="1288"/>
        <v>0</v>
      </c>
      <c r="W400" s="160">
        <f t="shared" si="1288"/>
        <v>0</v>
      </c>
      <c r="X400" s="160">
        <f t="shared" si="1288"/>
        <v>0</v>
      </c>
      <c r="Y400" s="160">
        <f t="shared" si="1288"/>
        <v>0</v>
      </c>
      <c r="Z400" s="160">
        <f t="shared" si="1288"/>
        <v>0</v>
      </c>
      <c r="AA400" s="160">
        <f t="shared" si="1288"/>
        <v>0</v>
      </c>
      <c r="AB400" s="160">
        <f t="shared" si="1288"/>
        <v>0</v>
      </c>
      <c r="AC400" s="160">
        <f t="shared" si="1288"/>
        <v>0</v>
      </c>
      <c r="AD400" s="160">
        <f t="shared" si="1288"/>
        <v>0</v>
      </c>
      <c r="AE400" s="160">
        <f t="shared" si="1288"/>
        <v>0</v>
      </c>
      <c r="AF400" s="160">
        <f t="shared" si="1288"/>
        <v>0</v>
      </c>
      <c r="AG400" s="160">
        <f t="shared" si="1288"/>
        <v>0</v>
      </c>
      <c r="AH400" s="160">
        <f t="shared" si="1288"/>
        <v>0</v>
      </c>
      <c r="AI400" s="160">
        <f t="shared" si="1288"/>
        <v>0</v>
      </c>
      <c r="AJ400" s="160">
        <f t="shared" si="1288"/>
        <v>0</v>
      </c>
      <c r="AK400" s="160">
        <f t="shared" si="1288"/>
        <v>0</v>
      </c>
      <c r="AL400" s="160">
        <f t="shared" si="1288"/>
        <v>0</v>
      </c>
      <c r="AM400" s="160">
        <f t="shared" si="1288"/>
        <v>0</v>
      </c>
      <c r="AN400" s="160">
        <f t="shared" si="1288"/>
        <v>0</v>
      </c>
      <c r="AO400" s="160">
        <f t="shared" si="1288"/>
        <v>0</v>
      </c>
      <c r="AP400" s="160">
        <f t="shared" si="1288"/>
        <v>0</v>
      </c>
      <c r="AQ400" s="160">
        <f t="shared" si="1288"/>
        <v>0</v>
      </c>
      <c r="AR400" s="160">
        <f t="shared" si="1288"/>
        <v>0</v>
      </c>
      <c r="AS400" s="160">
        <f t="shared" si="1288"/>
        <v>0</v>
      </c>
      <c r="AT400" s="160">
        <f t="shared" si="1288"/>
        <v>0</v>
      </c>
      <c r="AU400" s="160">
        <f t="shared" si="1288"/>
        <v>0</v>
      </c>
      <c r="AV400" s="160">
        <f t="shared" si="1288"/>
        <v>0</v>
      </c>
      <c r="AW400" s="160">
        <f t="shared" si="1288"/>
        <v>0</v>
      </c>
      <c r="AX400" s="160">
        <f t="shared" si="1288"/>
        <v>0</v>
      </c>
      <c r="AY400" s="160">
        <f t="shared" si="1288"/>
        <v>0</v>
      </c>
      <c r="AZ400" s="160">
        <f t="shared" si="1288"/>
        <v>0</v>
      </c>
      <c r="BA400" s="160">
        <f t="shared" si="1288"/>
        <v>0</v>
      </c>
      <c r="BB400" s="160">
        <f t="shared" si="1288"/>
        <v>0</v>
      </c>
      <c r="BC400" s="160">
        <f t="shared" si="1288"/>
        <v>0</v>
      </c>
      <c r="BD400" s="160">
        <f t="shared" si="1288"/>
        <v>0</v>
      </c>
      <c r="BE400" s="160">
        <f t="shared" si="1288"/>
        <v>0</v>
      </c>
      <c r="BF400" s="160">
        <f t="shared" si="1288"/>
        <v>0</v>
      </c>
      <c r="BG400" s="160">
        <f t="shared" si="1288"/>
        <v>0</v>
      </c>
      <c r="BH400" s="160">
        <f t="shared" si="1288"/>
        <v>0</v>
      </c>
      <c r="BI400" s="160">
        <f t="shared" si="1288"/>
        <v>0</v>
      </c>
      <c r="BJ400" s="160">
        <f t="shared" si="1288"/>
        <v>0</v>
      </c>
      <c r="BK400" s="160">
        <f t="shared" si="1288"/>
        <v>0</v>
      </c>
      <c r="BL400" s="160">
        <f t="shared" si="1288"/>
        <v>0</v>
      </c>
      <c r="BM400" s="160">
        <f t="shared" si="1288"/>
        <v>0</v>
      </c>
      <c r="BN400" s="160">
        <f t="shared" si="1288"/>
        <v>0</v>
      </c>
      <c r="BO400" s="160">
        <f t="shared" si="1288"/>
        <v>0</v>
      </c>
      <c r="BP400" s="160">
        <f t="shared" si="1288"/>
        <v>0</v>
      </c>
      <c r="BQ400" s="160">
        <f t="shared" si="1288"/>
        <v>0</v>
      </c>
      <c r="BR400" s="160">
        <f t="shared" si="1288"/>
        <v>0</v>
      </c>
      <c r="BS400" s="65"/>
      <c r="BT400" s="160">
        <f t="shared" si="1149"/>
        <v>0</v>
      </c>
      <c r="BU400" s="160">
        <f t="shared" si="1150"/>
        <v>0</v>
      </c>
      <c r="BV400" s="65"/>
      <c r="BW400" s="69"/>
      <c r="BX400" s="65"/>
      <c r="BY400" s="137">
        <f t="shared" si="1151"/>
        <v>1</v>
      </c>
      <c r="BZ400" s="137">
        <f>IF(BY400&gt;0,BY400+LARGE($BZ$213:BZ399,1),0)</f>
        <v>160</v>
      </c>
      <c r="CA400" s="137" t="str">
        <f t="shared" si="1152"/>
        <v>EST_III</v>
      </c>
      <c r="CB400" s="161">
        <f t="shared" si="1153"/>
        <v>0</v>
      </c>
      <c r="CC400" s="161">
        <f t="shared" si="1154"/>
        <v>0</v>
      </c>
      <c r="CD400" s="161">
        <f t="shared" si="1155"/>
        <v>0</v>
      </c>
      <c r="CE400" s="161">
        <f t="shared" si="1156"/>
        <v>0</v>
      </c>
      <c r="CF400" s="161">
        <f t="shared" si="1157"/>
        <v>0</v>
      </c>
      <c r="CG400" s="161">
        <f t="shared" si="1158"/>
        <v>0</v>
      </c>
      <c r="CH400" s="161">
        <f t="shared" si="1159"/>
        <v>0</v>
      </c>
      <c r="CI400" s="161">
        <f t="shared" si="1160"/>
        <v>0</v>
      </c>
      <c r="CJ400" s="161">
        <f t="shared" si="1161"/>
        <v>0</v>
      </c>
      <c r="CK400" s="161">
        <f t="shared" si="1162"/>
        <v>0</v>
      </c>
      <c r="CL400" s="161">
        <f t="shared" si="1163"/>
        <v>0</v>
      </c>
      <c r="CM400" s="161">
        <f t="shared" si="1164"/>
        <v>0</v>
      </c>
      <c r="CN400" s="161">
        <f t="shared" si="1165"/>
        <v>0</v>
      </c>
      <c r="CO400" s="161">
        <f t="shared" si="1166"/>
        <v>0</v>
      </c>
      <c r="CP400" s="161">
        <f t="shared" si="1167"/>
        <v>0</v>
      </c>
      <c r="CQ400" s="161">
        <f t="shared" si="1168"/>
        <v>0</v>
      </c>
      <c r="CR400" s="161">
        <f t="shared" si="1169"/>
        <v>0</v>
      </c>
      <c r="CS400" s="161">
        <f t="shared" si="1170"/>
        <v>0</v>
      </c>
      <c r="CT400" s="161">
        <f t="shared" si="1171"/>
        <v>0</v>
      </c>
      <c r="CU400" s="161">
        <f t="shared" si="1172"/>
        <v>0</v>
      </c>
      <c r="CV400" s="161">
        <f t="shared" si="1173"/>
        <v>0</v>
      </c>
      <c r="CW400" s="161">
        <f t="shared" si="1174"/>
        <v>0</v>
      </c>
      <c r="CX400" s="161">
        <f t="shared" si="1175"/>
        <v>0</v>
      </c>
      <c r="CY400" s="161">
        <f t="shared" si="1176"/>
        <v>0</v>
      </c>
      <c r="CZ400" s="161">
        <f t="shared" si="1177"/>
        <v>0</v>
      </c>
      <c r="DA400" s="161">
        <f t="shared" si="1178"/>
        <v>0</v>
      </c>
      <c r="DB400" s="161">
        <f t="shared" si="1179"/>
        <v>0</v>
      </c>
      <c r="DC400" s="161">
        <f t="shared" si="1180"/>
        <v>0</v>
      </c>
      <c r="DD400" s="161">
        <f t="shared" si="1181"/>
        <v>0</v>
      </c>
      <c r="DE400" s="161">
        <f t="shared" si="1182"/>
        <v>0</v>
      </c>
      <c r="DF400" s="161">
        <f t="shared" si="1183"/>
        <v>0</v>
      </c>
      <c r="DG400" s="161">
        <f t="shared" si="1184"/>
        <v>0</v>
      </c>
      <c r="DH400" s="161">
        <f t="shared" si="1185"/>
        <v>0</v>
      </c>
      <c r="DI400" s="161">
        <f t="shared" si="1186"/>
        <v>0</v>
      </c>
      <c r="DJ400" s="161">
        <f t="shared" si="1187"/>
        <v>0</v>
      </c>
      <c r="DK400" s="161">
        <f t="shared" si="1188"/>
        <v>0</v>
      </c>
      <c r="DL400" s="161">
        <f t="shared" si="1189"/>
        <v>0</v>
      </c>
      <c r="DM400" s="161">
        <f t="shared" si="1190"/>
        <v>0</v>
      </c>
      <c r="DN400" s="161">
        <f t="shared" si="1191"/>
        <v>0</v>
      </c>
      <c r="DO400" s="161">
        <f t="shared" si="1192"/>
        <v>0</v>
      </c>
      <c r="DP400" s="161">
        <f t="shared" si="1193"/>
        <v>0</v>
      </c>
      <c r="DQ400" s="161">
        <f t="shared" si="1194"/>
        <v>0</v>
      </c>
      <c r="DR400" s="161">
        <f t="shared" si="1195"/>
        <v>0</v>
      </c>
      <c r="DS400" s="161">
        <f t="shared" si="1196"/>
        <v>0</v>
      </c>
      <c r="DT400" s="161">
        <f t="shared" si="1197"/>
        <v>0</v>
      </c>
      <c r="DU400" s="161">
        <f t="shared" si="1198"/>
        <v>0</v>
      </c>
      <c r="DV400" s="161">
        <f t="shared" si="1199"/>
        <v>0</v>
      </c>
      <c r="DW400" s="161">
        <f t="shared" si="1200"/>
        <v>0</v>
      </c>
      <c r="DX400" s="161">
        <f t="shared" si="1201"/>
        <v>0</v>
      </c>
      <c r="DY400" s="161">
        <f t="shared" si="1202"/>
        <v>0</v>
      </c>
      <c r="DZ400" s="161">
        <f t="shared" si="1203"/>
        <v>0</v>
      </c>
      <c r="EA400" s="161">
        <f t="shared" si="1204"/>
        <v>0</v>
      </c>
      <c r="EB400" s="161">
        <f t="shared" si="1205"/>
        <v>0</v>
      </c>
      <c r="EC400" s="161">
        <f t="shared" si="1206"/>
        <v>0</v>
      </c>
      <c r="ED400" s="161">
        <f t="shared" si="1207"/>
        <v>0</v>
      </c>
      <c r="EE400" s="161">
        <f t="shared" si="1208"/>
        <v>0</v>
      </c>
      <c r="EF400" s="161">
        <f t="shared" si="1209"/>
        <v>0</v>
      </c>
      <c r="EG400" s="161">
        <f t="shared" si="1210"/>
        <v>0</v>
      </c>
      <c r="EH400" s="161">
        <f t="shared" si="1211"/>
        <v>0</v>
      </c>
      <c r="EI400" s="161">
        <f t="shared" si="1212"/>
        <v>0</v>
      </c>
      <c r="EJ400" s="65"/>
      <c r="EK400" s="161">
        <f t="shared" si="1283"/>
        <v>0</v>
      </c>
      <c r="EL400" s="161">
        <f t="shared" si="1284"/>
        <v>0</v>
      </c>
      <c r="EM400" s="161">
        <f t="shared" si="1285"/>
        <v>0</v>
      </c>
    </row>
    <row r="401" spans="1:143" ht="12" hidden="1" customHeight="1" outlineLevel="1">
      <c r="B401" s="65"/>
      <c r="C401" s="65"/>
      <c r="D401" s="65"/>
      <c r="E401" s="65"/>
      <c r="F401" s="73" t="s">
        <v>380</v>
      </c>
      <c r="G401" s="162" t="str">
        <f>"Pico = "&amp;MAX(K401:BR401)</f>
        <v>Pico = 0</v>
      </c>
      <c r="H401" s="163">
        <f>SUM(H381:H400)</f>
        <v>0</v>
      </c>
      <c r="I401" s="148">
        <f>SUM(I381:I400)</f>
        <v>0</v>
      </c>
      <c r="J401" s="65"/>
      <c r="K401" s="146">
        <f>SUM(K381:K400)</f>
        <v>0</v>
      </c>
      <c r="L401" s="146">
        <f t="shared" ref="L401:BR401" si="1289">SUM(L381:L400)</f>
        <v>0</v>
      </c>
      <c r="M401" s="146">
        <f t="shared" si="1289"/>
        <v>0</v>
      </c>
      <c r="N401" s="146">
        <f t="shared" si="1289"/>
        <v>0</v>
      </c>
      <c r="O401" s="146">
        <f t="shared" si="1289"/>
        <v>0</v>
      </c>
      <c r="P401" s="146">
        <f t="shared" si="1289"/>
        <v>0</v>
      </c>
      <c r="Q401" s="146">
        <f t="shared" si="1289"/>
        <v>0</v>
      </c>
      <c r="R401" s="146">
        <f t="shared" si="1289"/>
        <v>0</v>
      </c>
      <c r="S401" s="146">
        <f t="shared" si="1289"/>
        <v>0</v>
      </c>
      <c r="T401" s="146">
        <f t="shared" si="1289"/>
        <v>0</v>
      </c>
      <c r="U401" s="146">
        <f t="shared" si="1289"/>
        <v>0</v>
      </c>
      <c r="V401" s="146">
        <f t="shared" si="1289"/>
        <v>0</v>
      </c>
      <c r="W401" s="146">
        <f t="shared" si="1289"/>
        <v>0</v>
      </c>
      <c r="X401" s="146">
        <f t="shared" si="1289"/>
        <v>0</v>
      </c>
      <c r="Y401" s="146">
        <f t="shared" si="1289"/>
        <v>0</v>
      </c>
      <c r="Z401" s="146">
        <f t="shared" si="1289"/>
        <v>0</v>
      </c>
      <c r="AA401" s="146">
        <f t="shared" si="1289"/>
        <v>0</v>
      </c>
      <c r="AB401" s="146">
        <f t="shared" si="1289"/>
        <v>0</v>
      </c>
      <c r="AC401" s="146">
        <f t="shared" si="1289"/>
        <v>0</v>
      </c>
      <c r="AD401" s="146">
        <f t="shared" si="1289"/>
        <v>0</v>
      </c>
      <c r="AE401" s="146">
        <f t="shared" si="1289"/>
        <v>0</v>
      </c>
      <c r="AF401" s="146">
        <f t="shared" si="1289"/>
        <v>0</v>
      </c>
      <c r="AG401" s="146">
        <f t="shared" si="1289"/>
        <v>0</v>
      </c>
      <c r="AH401" s="146">
        <f t="shared" si="1289"/>
        <v>0</v>
      </c>
      <c r="AI401" s="146">
        <f t="shared" si="1289"/>
        <v>0</v>
      </c>
      <c r="AJ401" s="146">
        <f t="shared" si="1289"/>
        <v>0</v>
      </c>
      <c r="AK401" s="146">
        <f t="shared" si="1289"/>
        <v>0</v>
      </c>
      <c r="AL401" s="146">
        <f t="shared" si="1289"/>
        <v>0</v>
      </c>
      <c r="AM401" s="146">
        <f t="shared" si="1289"/>
        <v>0</v>
      </c>
      <c r="AN401" s="146">
        <f t="shared" si="1289"/>
        <v>0</v>
      </c>
      <c r="AO401" s="146">
        <f t="shared" si="1289"/>
        <v>0</v>
      </c>
      <c r="AP401" s="146">
        <f t="shared" si="1289"/>
        <v>0</v>
      </c>
      <c r="AQ401" s="146">
        <f t="shared" si="1289"/>
        <v>0</v>
      </c>
      <c r="AR401" s="146">
        <f t="shared" si="1289"/>
        <v>0</v>
      </c>
      <c r="AS401" s="146">
        <f t="shared" si="1289"/>
        <v>0</v>
      </c>
      <c r="AT401" s="146">
        <f t="shared" si="1289"/>
        <v>0</v>
      </c>
      <c r="AU401" s="146">
        <f t="shared" si="1289"/>
        <v>0</v>
      </c>
      <c r="AV401" s="146">
        <f t="shared" si="1289"/>
        <v>0</v>
      </c>
      <c r="AW401" s="146">
        <f t="shared" si="1289"/>
        <v>0</v>
      </c>
      <c r="AX401" s="146">
        <f t="shared" si="1289"/>
        <v>0</v>
      </c>
      <c r="AY401" s="146">
        <f t="shared" si="1289"/>
        <v>0</v>
      </c>
      <c r="AZ401" s="146">
        <f t="shared" si="1289"/>
        <v>0</v>
      </c>
      <c r="BA401" s="146">
        <f t="shared" si="1289"/>
        <v>0</v>
      </c>
      <c r="BB401" s="146">
        <f t="shared" si="1289"/>
        <v>0</v>
      </c>
      <c r="BC401" s="146">
        <f t="shared" si="1289"/>
        <v>0</v>
      </c>
      <c r="BD401" s="146">
        <f t="shared" si="1289"/>
        <v>0</v>
      </c>
      <c r="BE401" s="146">
        <f t="shared" si="1289"/>
        <v>0</v>
      </c>
      <c r="BF401" s="146">
        <f t="shared" si="1289"/>
        <v>0</v>
      </c>
      <c r="BG401" s="146">
        <f t="shared" si="1289"/>
        <v>0</v>
      </c>
      <c r="BH401" s="146">
        <f t="shared" si="1289"/>
        <v>0</v>
      </c>
      <c r="BI401" s="146">
        <f t="shared" si="1289"/>
        <v>0</v>
      </c>
      <c r="BJ401" s="146">
        <f t="shared" si="1289"/>
        <v>0</v>
      </c>
      <c r="BK401" s="146">
        <f t="shared" si="1289"/>
        <v>0</v>
      </c>
      <c r="BL401" s="146">
        <f t="shared" si="1289"/>
        <v>0</v>
      </c>
      <c r="BM401" s="146">
        <f t="shared" si="1289"/>
        <v>0</v>
      </c>
      <c r="BN401" s="146">
        <f t="shared" si="1289"/>
        <v>0</v>
      </c>
      <c r="BO401" s="146">
        <f t="shared" si="1289"/>
        <v>0</v>
      </c>
      <c r="BP401" s="146">
        <f t="shared" si="1289"/>
        <v>0</v>
      </c>
      <c r="BQ401" s="146">
        <f t="shared" si="1289"/>
        <v>0</v>
      </c>
      <c r="BR401" s="146">
        <f t="shared" si="1289"/>
        <v>0</v>
      </c>
      <c r="BS401" s="65"/>
      <c r="BT401" s="146">
        <f t="shared" ref="BT401" si="1290">SUM(BT381:BT400)</f>
        <v>0</v>
      </c>
      <c r="BU401" s="65"/>
      <c r="BV401" s="65"/>
      <c r="BW401" s="69"/>
      <c r="BX401" s="65"/>
      <c r="BY401" s="65"/>
      <c r="BZ401" s="65"/>
      <c r="CA401" s="65"/>
      <c r="CB401" s="65"/>
      <c r="CC401" s="65"/>
      <c r="CD401" s="65"/>
      <c r="CE401" s="65"/>
      <c r="CF401" s="65"/>
      <c r="CG401" s="65"/>
      <c r="CH401" s="65"/>
      <c r="CI401" s="65"/>
      <c r="CJ401" s="65"/>
      <c r="CK401" s="65"/>
      <c r="CL401" s="65"/>
      <c r="CM401" s="65"/>
      <c r="CN401" s="65"/>
      <c r="CO401" s="65"/>
      <c r="CP401" s="65"/>
      <c r="CQ401" s="65"/>
      <c r="CR401" s="65"/>
      <c r="CS401" s="65"/>
      <c r="CT401" s="65"/>
      <c r="CU401" s="65"/>
      <c r="CV401" s="65"/>
      <c r="CW401" s="65"/>
      <c r="CX401" s="65"/>
      <c r="CY401" s="65"/>
      <c r="CZ401" s="65"/>
      <c r="DA401" s="65"/>
      <c r="DB401" s="65"/>
      <c r="DC401" s="65"/>
      <c r="DD401" s="65"/>
      <c r="DE401" s="65"/>
      <c r="DF401" s="65"/>
      <c r="DG401" s="65"/>
      <c r="DH401" s="65"/>
      <c r="DI401" s="65"/>
      <c r="DJ401" s="65"/>
      <c r="DK401" s="65"/>
      <c r="DL401" s="65"/>
      <c r="DM401" s="65"/>
      <c r="DN401" s="65"/>
      <c r="DO401" s="65"/>
      <c r="DP401" s="65"/>
      <c r="DQ401" s="65"/>
      <c r="DR401" s="65"/>
      <c r="DS401" s="65"/>
      <c r="DT401" s="65"/>
      <c r="DU401" s="65"/>
      <c r="DV401" s="65"/>
      <c r="DW401" s="65"/>
      <c r="DX401" s="65"/>
      <c r="DY401" s="65"/>
      <c r="DZ401" s="65"/>
      <c r="EA401" s="65"/>
      <c r="EB401" s="65"/>
      <c r="EC401" s="65"/>
      <c r="ED401" s="65"/>
      <c r="EE401" s="65"/>
      <c r="EF401" s="65"/>
      <c r="EG401" s="65"/>
      <c r="EH401" s="65"/>
      <c r="EI401" s="65"/>
      <c r="EJ401" s="65"/>
      <c r="EK401" s="65"/>
      <c r="EL401" s="65"/>
      <c r="EM401" s="65"/>
    </row>
    <row r="402" spans="1:143" ht="12" hidden="1" customHeight="1" outlineLevel="1"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  <c r="AT402" s="65"/>
      <c r="AU402" s="65"/>
      <c r="AV402" s="65"/>
      <c r="AW402" s="65"/>
      <c r="AX402" s="65"/>
      <c r="AY402" s="65"/>
      <c r="AZ402" s="65"/>
      <c r="BA402" s="65"/>
      <c r="BB402" s="65"/>
      <c r="BC402" s="65"/>
      <c r="BD402" s="65"/>
      <c r="BE402" s="65"/>
      <c r="BF402" s="65"/>
      <c r="BG402" s="65"/>
      <c r="BH402" s="65"/>
      <c r="BI402" s="65"/>
      <c r="BJ402" s="65"/>
      <c r="BK402" s="65"/>
      <c r="BL402" s="65"/>
      <c r="BM402" s="65"/>
      <c r="BN402" s="65"/>
      <c r="BO402" s="65"/>
      <c r="BP402" s="65"/>
      <c r="BQ402" s="65"/>
      <c r="BR402" s="65"/>
      <c r="BS402" s="65"/>
      <c r="BT402" s="65"/>
      <c r="BU402" s="65"/>
      <c r="BV402" s="65"/>
      <c r="BW402" s="69"/>
      <c r="BX402" s="65"/>
      <c r="BY402" s="65"/>
      <c r="BZ402" s="65"/>
      <c r="CA402" s="65"/>
      <c r="CB402" s="65"/>
      <c r="CC402" s="65"/>
      <c r="CD402" s="65"/>
      <c r="CE402" s="65"/>
      <c r="CF402" s="65"/>
      <c r="CG402" s="65"/>
      <c r="CH402" s="65"/>
      <c r="CI402" s="65"/>
      <c r="CJ402" s="65"/>
      <c r="CK402" s="65"/>
      <c r="CL402" s="65"/>
      <c r="CM402" s="65"/>
      <c r="CN402" s="65"/>
      <c r="CO402" s="65"/>
      <c r="CP402" s="65"/>
      <c r="CQ402" s="65"/>
      <c r="CR402" s="65"/>
      <c r="CS402" s="65"/>
      <c r="CT402" s="65"/>
      <c r="CU402" s="65"/>
      <c r="CV402" s="65"/>
      <c r="CW402" s="65"/>
      <c r="CX402" s="65"/>
      <c r="CY402" s="65"/>
      <c r="CZ402" s="65"/>
      <c r="DA402" s="65"/>
      <c r="DB402" s="65"/>
      <c r="DC402" s="65"/>
      <c r="DD402" s="65"/>
      <c r="DE402" s="65"/>
      <c r="DF402" s="65"/>
      <c r="DG402" s="65"/>
      <c r="DH402" s="65"/>
      <c r="DI402" s="65"/>
      <c r="DJ402" s="65"/>
      <c r="DK402" s="65"/>
      <c r="DL402" s="65"/>
      <c r="DM402" s="65"/>
      <c r="DN402" s="65"/>
      <c r="DO402" s="65"/>
      <c r="DP402" s="65"/>
      <c r="DQ402" s="65"/>
      <c r="DR402" s="65"/>
      <c r="DS402" s="65"/>
      <c r="DT402" s="65"/>
      <c r="DU402" s="65"/>
      <c r="DV402" s="65"/>
      <c r="DW402" s="65"/>
      <c r="DX402" s="65"/>
      <c r="DY402" s="65"/>
      <c r="DZ402" s="65"/>
      <c r="EA402" s="65"/>
      <c r="EB402" s="65"/>
      <c r="EC402" s="65"/>
      <c r="ED402" s="65"/>
      <c r="EE402" s="65"/>
      <c r="EF402" s="65"/>
      <c r="EG402" s="65"/>
      <c r="EH402" s="65"/>
      <c r="EI402" s="65"/>
      <c r="EJ402" s="65"/>
      <c r="EK402" s="65"/>
      <c r="EL402" s="65"/>
      <c r="EM402" s="65"/>
    </row>
    <row r="403" spans="1:143" ht="24" hidden="1" customHeight="1" outlineLevel="1">
      <c r="B403" s="593" t="s">
        <v>395</v>
      </c>
      <c r="C403" s="65"/>
      <c r="D403" s="65"/>
      <c r="E403" s="65"/>
      <c r="F403" s="149" t="str">
        <f>IF($G$59&gt;0,$G$59,"")</f>
        <v>Equipe09</v>
      </c>
      <c r="G403" s="149"/>
      <c r="H403" s="149"/>
      <c r="I403" s="149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  <c r="AT403" s="65"/>
      <c r="AU403" s="65"/>
      <c r="AV403" s="65"/>
      <c r="AW403" s="65"/>
      <c r="AX403" s="65"/>
      <c r="AY403" s="65"/>
      <c r="AZ403" s="65"/>
      <c r="BA403" s="65"/>
      <c r="BB403" s="65"/>
      <c r="BC403" s="65"/>
      <c r="BD403" s="65"/>
      <c r="BE403" s="65"/>
      <c r="BF403" s="65"/>
      <c r="BG403" s="65"/>
      <c r="BH403" s="65"/>
      <c r="BI403" s="65"/>
      <c r="BJ403" s="65"/>
      <c r="BK403" s="65"/>
      <c r="BL403" s="65"/>
      <c r="BM403" s="65"/>
      <c r="BN403" s="65"/>
      <c r="BO403" s="65"/>
      <c r="BP403" s="65"/>
      <c r="BQ403" s="65"/>
      <c r="BR403" s="65"/>
      <c r="BS403" s="65"/>
      <c r="BT403" s="601" t="s">
        <v>396</v>
      </c>
      <c r="BU403" s="601" t="s">
        <v>397</v>
      </c>
      <c r="BV403" s="65"/>
      <c r="BW403" s="69"/>
      <c r="BX403" s="65"/>
      <c r="BY403" s="593" t="s">
        <v>398</v>
      </c>
      <c r="BZ403" s="593" t="s">
        <v>399</v>
      </c>
      <c r="CA403" s="593" t="s">
        <v>400</v>
      </c>
      <c r="CB403" s="592" t="s">
        <v>401</v>
      </c>
      <c r="CC403" s="592" t="s">
        <v>402</v>
      </c>
      <c r="CD403" s="592" t="s">
        <v>403</v>
      </c>
      <c r="CE403" s="592" t="s">
        <v>404</v>
      </c>
      <c r="CF403" s="592" t="s">
        <v>405</v>
      </c>
      <c r="CG403" s="592" t="s">
        <v>406</v>
      </c>
      <c r="CH403" s="592" t="s">
        <v>407</v>
      </c>
      <c r="CI403" s="592" t="s">
        <v>408</v>
      </c>
      <c r="CJ403" s="592" t="s">
        <v>409</v>
      </c>
      <c r="CK403" s="592" t="s">
        <v>410</v>
      </c>
      <c r="CL403" s="592" t="s">
        <v>411</v>
      </c>
      <c r="CM403" s="592" t="s">
        <v>412</v>
      </c>
      <c r="CN403" s="592" t="s">
        <v>413</v>
      </c>
      <c r="CO403" s="592" t="s">
        <v>414</v>
      </c>
      <c r="CP403" s="592" t="s">
        <v>415</v>
      </c>
      <c r="CQ403" s="592" t="s">
        <v>416</v>
      </c>
      <c r="CR403" s="592" t="s">
        <v>417</v>
      </c>
      <c r="CS403" s="592" t="s">
        <v>418</v>
      </c>
      <c r="CT403" s="592" t="s">
        <v>419</v>
      </c>
      <c r="CU403" s="592" t="s">
        <v>420</v>
      </c>
      <c r="CV403" s="592" t="s">
        <v>421</v>
      </c>
      <c r="CW403" s="592" t="s">
        <v>422</v>
      </c>
      <c r="CX403" s="592" t="s">
        <v>423</v>
      </c>
      <c r="CY403" s="592" t="s">
        <v>424</v>
      </c>
      <c r="CZ403" s="592" t="s">
        <v>425</v>
      </c>
      <c r="DA403" s="592" t="s">
        <v>426</v>
      </c>
      <c r="DB403" s="592" t="s">
        <v>427</v>
      </c>
      <c r="DC403" s="592" t="s">
        <v>428</v>
      </c>
      <c r="DD403" s="592" t="s">
        <v>429</v>
      </c>
      <c r="DE403" s="592" t="s">
        <v>430</v>
      </c>
      <c r="DF403" s="592" t="s">
        <v>431</v>
      </c>
      <c r="DG403" s="592" t="s">
        <v>432</v>
      </c>
      <c r="DH403" s="592" t="s">
        <v>433</v>
      </c>
      <c r="DI403" s="592" t="s">
        <v>434</v>
      </c>
      <c r="DJ403" s="592" t="s">
        <v>435</v>
      </c>
      <c r="DK403" s="592" t="s">
        <v>436</v>
      </c>
      <c r="DL403" s="592" t="s">
        <v>437</v>
      </c>
      <c r="DM403" s="592" t="s">
        <v>438</v>
      </c>
      <c r="DN403" s="592" t="s">
        <v>439</v>
      </c>
      <c r="DO403" s="592" t="s">
        <v>440</v>
      </c>
      <c r="DP403" s="592" t="s">
        <v>441</v>
      </c>
      <c r="DQ403" s="592" t="s">
        <v>442</v>
      </c>
      <c r="DR403" s="592" t="s">
        <v>443</v>
      </c>
      <c r="DS403" s="592" t="s">
        <v>444</v>
      </c>
      <c r="DT403" s="592" t="s">
        <v>445</v>
      </c>
      <c r="DU403" s="592" t="s">
        <v>446</v>
      </c>
      <c r="DV403" s="592" t="s">
        <v>447</v>
      </c>
      <c r="DW403" s="592" t="s">
        <v>448</v>
      </c>
      <c r="DX403" s="592" t="s">
        <v>449</v>
      </c>
      <c r="DY403" s="592" t="s">
        <v>450</v>
      </c>
      <c r="DZ403" s="592" t="s">
        <v>451</v>
      </c>
      <c r="EA403" s="592" t="s">
        <v>452</v>
      </c>
      <c r="EB403" s="592" t="s">
        <v>453</v>
      </c>
      <c r="EC403" s="592" t="s">
        <v>454</v>
      </c>
      <c r="ED403" s="592" t="s">
        <v>455</v>
      </c>
      <c r="EE403" s="592" t="s">
        <v>456</v>
      </c>
      <c r="EF403" s="592" t="s">
        <v>457</v>
      </c>
      <c r="EG403" s="592" t="s">
        <v>458</v>
      </c>
      <c r="EH403" s="592" t="s">
        <v>459</v>
      </c>
      <c r="EI403" s="592" t="s">
        <v>460</v>
      </c>
      <c r="EJ403" s="65"/>
      <c r="EK403" s="157" t="s">
        <v>376</v>
      </c>
      <c r="EL403" s="157" t="s">
        <v>461</v>
      </c>
      <c r="EM403" s="157" t="s">
        <v>383</v>
      </c>
    </row>
    <row r="404" spans="1:143" ht="12" hidden="1" customHeight="1" outlineLevel="1" collapsed="1">
      <c r="B404" s="593"/>
      <c r="C404" s="65"/>
      <c r="D404" s="65"/>
      <c r="E404" s="65"/>
      <c r="F404" s="158" t="s">
        <v>198</v>
      </c>
      <c r="G404" s="158" t="s">
        <v>462</v>
      </c>
      <c r="H404" s="158" t="s">
        <v>255</v>
      </c>
      <c r="I404" s="158" t="s">
        <v>68</v>
      </c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  <c r="AT404" s="65"/>
      <c r="AU404" s="65"/>
      <c r="AV404" s="65"/>
      <c r="AW404" s="65"/>
      <c r="AX404" s="65"/>
      <c r="AY404" s="65"/>
      <c r="AZ404" s="65"/>
      <c r="BA404" s="65"/>
      <c r="BB404" s="65"/>
      <c r="BC404" s="65"/>
      <c r="BD404" s="65"/>
      <c r="BE404" s="65"/>
      <c r="BF404" s="65"/>
      <c r="BG404" s="65"/>
      <c r="BH404" s="65"/>
      <c r="BI404" s="65"/>
      <c r="BJ404" s="65"/>
      <c r="BK404" s="65"/>
      <c r="BL404" s="65"/>
      <c r="BM404" s="65"/>
      <c r="BN404" s="65"/>
      <c r="BO404" s="65"/>
      <c r="BP404" s="65"/>
      <c r="BQ404" s="65"/>
      <c r="BR404" s="65"/>
      <c r="BS404" s="65"/>
      <c r="BT404" s="602"/>
      <c r="BU404" s="602"/>
      <c r="BV404" s="65"/>
      <c r="BW404" s="69"/>
      <c r="BX404" s="65"/>
      <c r="BY404" s="593"/>
      <c r="BZ404" s="593"/>
      <c r="CA404" s="593"/>
      <c r="CB404" s="592"/>
      <c r="CC404" s="592"/>
      <c r="CD404" s="592"/>
      <c r="CE404" s="592"/>
      <c r="CF404" s="592"/>
      <c r="CG404" s="592"/>
      <c r="CH404" s="592"/>
      <c r="CI404" s="592"/>
      <c r="CJ404" s="592"/>
      <c r="CK404" s="592"/>
      <c r="CL404" s="592"/>
      <c r="CM404" s="592"/>
      <c r="CN404" s="592"/>
      <c r="CO404" s="592"/>
      <c r="CP404" s="592"/>
      <c r="CQ404" s="592"/>
      <c r="CR404" s="592"/>
      <c r="CS404" s="592"/>
      <c r="CT404" s="592"/>
      <c r="CU404" s="592"/>
      <c r="CV404" s="592"/>
      <c r="CW404" s="592"/>
      <c r="CX404" s="592"/>
      <c r="CY404" s="592"/>
      <c r="CZ404" s="592"/>
      <c r="DA404" s="592"/>
      <c r="DB404" s="592"/>
      <c r="DC404" s="592"/>
      <c r="DD404" s="592"/>
      <c r="DE404" s="592"/>
      <c r="DF404" s="592"/>
      <c r="DG404" s="592"/>
      <c r="DH404" s="592"/>
      <c r="DI404" s="592"/>
      <c r="DJ404" s="592"/>
      <c r="DK404" s="592"/>
      <c r="DL404" s="592"/>
      <c r="DM404" s="592"/>
      <c r="DN404" s="592"/>
      <c r="DO404" s="592"/>
      <c r="DP404" s="592"/>
      <c r="DQ404" s="592"/>
      <c r="DR404" s="592"/>
      <c r="DS404" s="592"/>
      <c r="DT404" s="592"/>
      <c r="DU404" s="592"/>
      <c r="DV404" s="592"/>
      <c r="DW404" s="592"/>
      <c r="DX404" s="592"/>
      <c r="DY404" s="592"/>
      <c r="DZ404" s="592"/>
      <c r="EA404" s="592"/>
      <c r="EB404" s="592"/>
      <c r="EC404" s="592"/>
      <c r="ED404" s="592"/>
      <c r="EE404" s="592"/>
      <c r="EF404" s="592"/>
      <c r="EG404" s="592"/>
      <c r="EH404" s="592"/>
      <c r="EI404" s="592"/>
      <c r="EJ404" s="65"/>
      <c r="EK404" s="159">
        <f>IFERROR(ROUNDUP(SUMPRODUCT($K425:$BR425,$K$114:$BR$114)/SUM($K425:$BR425),2),0)</f>
        <v>0</v>
      </c>
      <c r="EL404" s="159">
        <f>IFERROR(ROUNDUP(SUMPRODUCT($K425:$BR425,$K$138:$BR$138)/SUM($K425:$BR425),2),0)</f>
        <v>0</v>
      </c>
      <c r="EM404" s="159">
        <f>IFERROR(ROUNDUP(SUMPRODUCT($K425:$BR425,$K$162:$BR$162)/SUM($K425:$BR425),2),0)</f>
        <v>0</v>
      </c>
    </row>
    <row r="405" spans="1:143" ht="12" hidden="1" customHeight="1" outlineLevel="2">
      <c r="A405" s="77">
        <v>1</v>
      </c>
      <c r="B405" s="137" t="str">
        <f>IF(G405&gt;0,G405&amp;" - "&amp;$F$213,"")</f>
        <v>GER. (OBRA/PROJ) - Equipe_01</v>
      </c>
      <c r="C405" s="65"/>
      <c r="D405" s="620" t="s">
        <v>463</v>
      </c>
      <c r="E405" s="65"/>
      <c r="F405" s="584" t="str">
        <f>IFERROR(VLOOKUP(F403,Tarefas!$F$3:$G$22,2,0),"")</f>
        <v>Equipe_09</v>
      </c>
      <c r="G405" s="77" t="str">
        <f>IF(INDEX(Tarefas!$BT$30:$FK$30,MATCH(A405,Tarefas!$BT$28:$FK$28,0))=0,"",INDEX(Tarefas!$BT$30:$FK$30,MATCH(A405,Tarefas!$BT$28:$FK$28,0)))</f>
        <v>GER. (OBRA/PROJ)</v>
      </c>
      <c r="H405" s="107" cm="1">
        <f t="array" ref="H405">IFERROR((SUMPRODUCT((Tarefas!$N$32:$N$54='Cronog. e Histog.'!$F$405)*(Tarefas!$BQ$30:$FK$30='Cronog. e Histog.'!$G405)*(Tarefas!$BQ$32:$FK$54)))/SUMIF(Tarefas!$N$32:$N$54,'Cronog. e Histog.'!$F$405,Tarefas!$K$32:$K$54),0)</f>
        <v>0</v>
      </c>
      <c r="I405" s="79">
        <f>IFERROR(H405/$H$425,0)</f>
        <v>0</v>
      </c>
      <c r="J405" s="65"/>
      <c r="K405" s="160">
        <f>ROUND($I405*K$191,2)</f>
        <v>0</v>
      </c>
      <c r="L405" s="160">
        <f t="shared" ref="L405:BR419" si="1291">ROUND($I405*L$191,2)</f>
        <v>0</v>
      </c>
      <c r="M405" s="160">
        <f t="shared" si="1291"/>
        <v>0</v>
      </c>
      <c r="N405" s="160">
        <f t="shared" si="1291"/>
        <v>0</v>
      </c>
      <c r="O405" s="160">
        <f t="shared" si="1291"/>
        <v>0</v>
      </c>
      <c r="P405" s="160">
        <f t="shared" si="1291"/>
        <v>0</v>
      </c>
      <c r="Q405" s="160">
        <f t="shared" si="1291"/>
        <v>0</v>
      </c>
      <c r="R405" s="160">
        <f t="shared" si="1291"/>
        <v>0</v>
      </c>
      <c r="S405" s="160">
        <f t="shared" si="1291"/>
        <v>0</v>
      </c>
      <c r="T405" s="160">
        <f t="shared" si="1291"/>
        <v>0</v>
      </c>
      <c r="U405" s="160">
        <f t="shared" si="1291"/>
        <v>0</v>
      </c>
      <c r="V405" s="160">
        <f t="shared" si="1291"/>
        <v>0</v>
      </c>
      <c r="W405" s="160">
        <f t="shared" si="1291"/>
        <v>0</v>
      </c>
      <c r="X405" s="160">
        <f t="shared" si="1291"/>
        <v>0</v>
      </c>
      <c r="Y405" s="160">
        <f t="shared" si="1291"/>
        <v>0</v>
      </c>
      <c r="Z405" s="160">
        <f t="shared" si="1291"/>
        <v>0</v>
      </c>
      <c r="AA405" s="160">
        <f t="shared" si="1291"/>
        <v>0</v>
      </c>
      <c r="AB405" s="160">
        <f t="shared" si="1291"/>
        <v>0</v>
      </c>
      <c r="AC405" s="160">
        <f t="shared" si="1291"/>
        <v>0</v>
      </c>
      <c r="AD405" s="160">
        <f t="shared" si="1291"/>
        <v>0</v>
      </c>
      <c r="AE405" s="160">
        <f t="shared" si="1291"/>
        <v>0</v>
      </c>
      <c r="AF405" s="160">
        <f t="shared" si="1291"/>
        <v>0</v>
      </c>
      <c r="AG405" s="160">
        <f t="shared" si="1291"/>
        <v>0</v>
      </c>
      <c r="AH405" s="160">
        <f t="shared" si="1291"/>
        <v>0</v>
      </c>
      <c r="AI405" s="160">
        <f t="shared" si="1291"/>
        <v>0</v>
      </c>
      <c r="AJ405" s="160">
        <f t="shared" si="1291"/>
        <v>0</v>
      </c>
      <c r="AK405" s="160">
        <f t="shared" si="1291"/>
        <v>0</v>
      </c>
      <c r="AL405" s="160">
        <f t="shared" si="1291"/>
        <v>0</v>
      </c>
      <c r="AM405" s="160">
        <f t="shared" si="1291"/>
        <v>0</v>
      </c>
      <c r="AN405" s="160">
        <f t="shared" si="1291"/>
        <v>0</v>
      </c>
      <c r="AO405" s="160">
        <f t="shared" si="1291"/>
        <v>0</v>
      </c>
      <c r="AP405" s="160">
        <f t="shared" si="1291"/>
        <v>0</v>
      </c>
      <c r="AQ405" s="160">
        <f t="shared" si="1291"/>
        <v>0</v>
      </c>
      <c r="AR405" s="160">
        <f t="shared" si="1291"/>
        <v>0</v>
      </c>
      <c r="AS405" s="160">
        <f t="shared" si="1291"/>
        <v>0</v>
      </c>
      <c r="AT405" s="160">
        <f t="shared" si="1291"/>
        <v>0</v>
      </c>
      <c r="AU405" s="160">
        <f t="shared" si="1291"/>
        <v>0</v>
      </c>
      <c r="AV405" s="160">
        <f t="shared" si="1291"/>
        <v>0</v>
      </c>
      <c r="AW405" s="160">
        <f t="shared" si="1291"/>
        <v>0</v>
      </c>
      <c r="AX405" s="160">
        <f t="shared" si="1291"/>
        <v>0</v>
      </c>
      <c r="AY405" s="160">
        <f t="shared" si="1291"/>
        <v>0</v>
      </c>
      <c r="AZ405" s="160">
        <f t="shared" si="1291"/>
        <v>0</v>
      </c>
      <c r="BA405" s="160">
        <f t="shared" si="1291"/>
        <v>0</v>
      </c>
      <c r="BB405" s="160">
        <f t="shared" si="1291"/>
        <v>0</v>
      </c>
      <c r="BC405" s="160">
        <f t="shared" si="1291"/>
        <v>0</v>
      </c>
      <c r="BD405" s="160">
        <f t="shared" si="1291"/>
        <v>0</v>
      </c>
      <c r="BE405" s="160">
        <f t="shared" si="1291"/>
        <v>0</v>
      </c>
      <c r="BF405" s="160">
        <f t="shared" si="1291"/>
        <v>0</v>
      </c>
      <c r="BG405" s="160">
        <f t="shared" si="1291"/>
        <v>0</v>
      </c>
      <c r="BH405" s="160">
        <f t="shared" si="1291"/>
        <v>0</v>
      </c>
      <c r="BI405" s="160">
        <f t="shared" si="1291"/>
        <v>0</v>
      </c>
      <c r="BJ405" s="160">
        <f t="shared" si="1291"/>
        <v>0</v>
      </c>
      <c r="BK405" s="160">
        <f t="shared" si="1291"/>
        <v>0</v>
      </c>
      <c r="BL405" s="160">
        <f t="shared" si="1291"/>
        <v>0</v>
      </c>
      <c r="BM405" s="160">
        <f t="shared" si="1291"/>
        <v>0</v>
      </c>
      <c r="BN405" s="160">
        <f t="shared" si="1291"/>
        <v>0</v>
      </c>
      <c r="BO405" s="160">
        <f t="shared" si="1291"/>
        <v>0</v>
      </c>
      <c r="BP405" s="160">
        <f t="shared" si="1291"/>
        <v>0</v>
      </c>
      <c r="BQ405" s="160">
        <f t="shared" si="1291"/>
        <v>0</v>
      </c>
      <c r="BR405" s="160">
        <f t="shared" si="1291"/>
        <v>0</v>
      </c>
      <c r="BS405" s="65"/>
      <c r="BT405" s="160">
        <f t="shared" ref="BT405:BT424" si="1292">IFERROR(SUM(K405:BR405)/COUNTIF(K405:BR405,"&gt;0"),0)</f>
        <v>0</v>
      </c>
      <c r="BU405" s="160">
        <f t="shared" ref="BU405:BU424" si="1293">COUNTIF(K405:BR405,"&gt;0")</f>
        <v>0</v>
      </c>
      <c r="BV405" s="65"/>
      <c r="BW405" s="69"/>
      <c r="BX405" s="65"/>
      <c r="BY405" s="137">
        <f t="shared" ref="BY405:BY424" si="1294">IF(G405&gt;0,1,0)</f>
        <v>1</v>
      </c>
      <c r="BZ405" s="137">
        <f>IF(BY405&gt;0,BY405+LARGE($BZ$213:BZ404,1),0)</f>
        <v>161</v>
      </c>
      <c r="CA405" s="137" t="str">
        <f t="shared" ref="CA405:CA424" si="1295">G405</f>
        <v>GER. (OBRA/PROJ)</v>
      </c>
      <c r="CB405" s="161">
        <f t="shared" ref="CB405:CB424" si="1296">K405</f>
        <v>0</v>
      </c>
      <c r="CC405" s="161">
        <f t="shared" ref="CC405:CC424" si="1297">L405</f>
        <v>0</v>
      </c>
      <c r="CD405" s="161">
        <f t="shared" ref="CD405:CD424" si="1298">M405</f>
        <v>0</v>
      </c>
      <c r="CE405" s="161">
        <f t="shared" ref="CE405:CE424" si="1299">N405</f>
        <v>0</v>
      </c>
      <c r="CF405" s="161">
        <f t="shared" ref="CF405:CF424" si="1300">O405</f>
        <v>0</v>
      </c>
      <c r="CG405" s="161">
        <f t="shared" ref="CG405:CG424" si="1301">P405</f>
        <v>0</v>
      </c>
      <c r="CH405" s="161">
        <f t="shared" ref="CH405:CH424" si="1302">Q405</f>
        <v>0</v>
      </c>
      <c r="CI405" s="161">
        <f t="shared" ref="CI405:CI424" si="1303">R405</f>
        <v>0</v>
      </c>
      <c r="CJ405" s="161">
        <f t="shared" ref="CJ405:CJ424" si="1304">S405</f>
        <v>0</v>
      </c>
      <c r="CK405" s="161">
        <f t="shared" ref="CK405:CK424" si="1305">T405</f>
        <v>0</v>
      </c>
      <c r="CL405" s="161">
        <f t="shared" ref="CL405:CL424" si="1306">U405</f>
        <v>0</v>
      </c>
      <c r="CM405" s="161">
        <f t="shared" ref="CM405:CM424" si="1307">V405</f>
        <v>0</v>
      </c>
      <c r="CN405" s="161">
        <f t="shared" ref="CN405:CN424" si="1308">W405</f>
        <v>0</v>
      </c>
      <c r="CO405" s="161">
        <f t="shared" ref="CO405:CO424" si="1309">X405</f>
        <v>0</v>
      </c>
      <c r="CP405" s="161">
        <f t="shared" ref="CP405:CP424" si="1310">Y405</f>
        <v>0</v>
      </c>
      <c r="CQ405" s="161">
        <f t="shared" ref="CQ405:CQ424" si="1311">Z405</f>
        <v>0</v>
      </c>
      <c r="CR405" s="161">
        <f t="shared" ref="CR405:CR424" si="1312">AA405</f>
        <v>0</v>
      </c>
      <c r="CS405" s="161">
        <f t="shared" ref="CS405:CS424" si="1313">AB405</f>
        <v>0</v>
      </c>
      <c r="CT405" s="161">
        <f t="shared" ref="CT405:CT424" si="1314">AC405</f>
        <v>0</v>
      </c>
      <c r="CU405" s="161">
        <f t="shared" ref="CU405:CU424" si="1315">AD405</f>
        <v>0</v>
      </c>
      <c r="CV405" s="161">
        <f t="shared" ref="CV405:CV424" si="1316">AE405</f>
        <v>0</v>
      </c>
      <c r="CW405" s="161">
        <f t="shared" ref="CW405:CW424" si="1317">AF405</f>
        <v>0</v>
      </c>
      <c r="CX405" s="161">
        <f t="shared" ref="CX405:CX424" si="1318">AG405</f>
        <v>0</v>
      </c>
      <c r="CY405" s="161">
        <f t="shared" ref="CY405:CY424" si="1319">AH405</f>
        <v>0</v>
      </c>
      <c r="CZ405" s="161">
        <f t="shared" ref="CZ405:CZ424" si="1320">AI405</f>
        <v>0</v>
      </c>
      <c r="DA405" s="161">
        <f t="shared" ref="DA405:DA424" si="1321">AJ405</f>
        <v>0</v>
      </c>
      <c r="DB405" s="161">
        <f t="shared" ref="DB405:DB424" si="1322">AK405</f>
        <v>0</v>
      </c>
      <c r="DC405" s="161">
        <f t="shared" ref="DC405:DC424" si="1323">AL405</f>
        <v>0</v>
      </c>
      <c r="DD405" s="161">
        <f t="shared" ref="DD405:DD424" si="1324">AM405</f>
        <v>0</v>
      </c>
      <c r="DE405" s="161">
        <f t="shared" ref="DE405:DE424" si="1325">AN405</f>
        <v>0</v>
      </c>
      <c r="DF405" s="161">
        <f t="shared" ref="DF405:DF424" si="1326">AO405</f>
        <v>0</v>
      </c>
      <c r="DG405" s="161">
        <f t="shared" ref="DG405:DG424" si="1327">AP405</f>
        <v>0</v>
      </c>
      <c r="DH405" s="161">
        <f t="shared" ref="DH405:DH424" si="1328">AQ405</f>
        <v>0</v>
      </c>
      <c r="DI405" s="161">
        <f t="shared" ref="DI405:DI424" si="1329">AR405</f>
        <v>0</v>
      </c>
      <c r="DJ405" s="161">
        <f t="shared" ref="DJ405:DJ424" si="1330">AS405</f>
        <v>0</v>
      </c>
      <c r="DK405" s="161">
        <f t="shared" ref="DK405:DK424" si="1331">AT405</f>
        <v>0</v>
      </c>
      <c r="DL405" s="161">
        <f t="shared" ref="DL405:DL424" si="1332">AU405</f>
        <v>0</v>
      </c>
      <c r="DM405" s="161">
        <f t="shared" ref="DM405:DM424" si="1333">AV405</f>
        <v>0</v>
      </c>
      <c r="DN405" s="161">
        <f t="shared" ref="DN405:DN424" si="1334">AW405</f>
        <v>0</v>
      </c>
      <c r="DO405" s="161">
        <f t="shared" ref="DO405:DO424" si="1335">AX405</f>
        <v>0</v>
      </c>
      <c r="DP405" s="161">
        <f t="shared" ref="DP405:DP424" si="1336">AY405</f>
        <v>0</v>
      </c>
      <c r="DQ405" s="161">
        <f t="shared" ref="DQ405:DQ424" si="1337">AZ405</f>
        <v>0</v>
      </c>
      <c r="DR405" s="161">
        <f t="shared" ref="DR405:DR424" si="1338">BA405</f>
        <v>0</v>
      </c>
      <c r="DS405" s="161">
        <f t="shared" ref="DS405:DS424" si="1339">BB405</f>
        <v>0</v>
      </c>
      <c r="DT405" s="161">
        <f t="shared" ref="DT405:DT424" si="1340">BC405</f>
        <v>0</v>
      </c>
      <c r="DU405" s="161">
        <f t="shared" ref="DU405:DU424" si="1341">BD405</f>
        <v>0</v>
      </c>
      <c r="DV405" s="161">
        <f t="shared" ref="DV405:DV424" si="1342">BE405</f>
        <v>0</v>
      </c>
      <c r="DW405" s="161">
        <f t="shared" ref="DW405:DW424" si="1343">BF405</f>
        <v>0</v>
      </c>
      <c r="DX405" s="161">
        <f t="shared" ref="DX405:DX424" si="1344">BG405</f>
        <v>0</v>
      </c>
      <c r="DY405" s="161">
        <f t="shared" ref="DY405:DY424" si="1345">BH405</f>
        <v>0</v>
      </c>
      <c r="DZ405" s="161">
        <f t="shared" ref="DZ405:DZ424" si="1346">BI405</f>
        <v>0</v>
      </c>
      <c r="EA405" s="161">
        <f t="shared" ref="EA405:EA424" si="1347">BJ405</f>
        <v>0</v>
      </c>
      <c r="EB405" s="161">
        <f t="shared" ref="EB405:EB424" si="1348">BK405</f>
        <v>0</v>
      </c>
      <c r="EC405" s="161">
        <f t="shared" ref="EC405:EC424" si="1349">BL405</f>
        <v>0</v>
      </c>
      <c r="ED405" s="161">
        <f t="shared" ref="ED405:ED424" si="1350">BM405</f>
        <v>0</v>
      </c>
      <c r="EE405" s="161">
        <f t="shared" ref="EE405:EE424" si="1351">BN405</f>
        <v>0</v>
      </c>
      <c r="EF405" s="161">
        <f t="shared" ref="EF405:EF424" si="1352">BO405</f>
        <v>0</v>
      </c>
      <c r="EG405" s="161">
        <f t="shared" ref="EG405:EG424" si="1353">BP405</f>
        <v>0</v>
      </c>
      <c r="EH405" s="161">
        <f t="shared" ref="EH405:EH424" si="1354">BQ405</f>
        <v>0</v>
      </c>
      <c r="EI405" s="161">
        <f t="shared" ref="EI405:EI424" si="1355">BR405</f>
        <v>0</v>
      </c>
      <c r="EJ405" s="65"/>
      <c r="EK405" s="161">
        <f>$EK$404</f>
        <v>0</v>
      </c>
      <c r="EL405" s="161">
        <f>$EL$404</f>
        <v>0</v>
      </c>
      <c r="EM405" s="161">
        <f>$EM$404</f>
        <v>0</v>
      </c>
    </row>
    <row r="406" spans="1:143" ht="12" hidden="1" customHeight="1" outlineLevel="2">
      <c r="A406" s="77">
        <v>2</v>
      </c>
      <c r="B406" s="137" t="str">
        <f t="shared" ref="B406:B424" si="1356">IF(G406&gt;0,G406&amp;" - "&amp;$F$213,"")</f>
        <v>COORD. - Equipe_01</v>
      </c>
      <c r="C406" s="65"/>
      <c r="D406" s="621"/>
      <c r="E406" s="65"/>
      <c r="F406" s="584"/>
      <c r="G406" s="77" t="str">
        <f>IF(INDEX(Tarefas!$BT$30:$FK$30,MATCH(A406,Tarefas!$BT$28:$FK$28,0))=0,"",INDEX(Tarefas!$BT$30:$FK$30,MATCH(A406,Tarefas!$BT$28:$FK$28,0)))</f>
        <v>COORD.</v>
      </c>
      <c r="H406" s="107" cm="1">
        <f t="array" ref="H406">IFERROR((SUMPRODUCT((Tarefas!$N$32:$N$54='Cronog. e Histog.'!$F$405)*(Tarefas!$BQ$30:$FK$30='Cronog. e Histog.'!$G406)*(Tarefas!$BQ$32:$FK$54)))/SUMIF(Tarefas!$N$32:$N$54,'Cronog. e Histog.'!$F$405,Tarefas!$K$32:$K$54),0)</f>
        <v>1</v>
      </c>
      <c r="I406" s="79">
        <f t="shared" ref="I406:I424" si="1357">IFERROR(H406/$H$425,0)</f>
        <v>1</v>
      </c>
      <c r="J406" s="65"/>
      <c r="K406" s="160">
        <f t="shared" ref="K406:Z415" si="1358">ROUND($I406*K$191,2)</f>
        <v>0</v>
      </c>
      <c r="L406" s="160">
        <f t="shared" si="1358"/>
        <v>0</v>
      </c>
      <c r="M406" s="160">
        <f t="shared" si="1358"/>
        <v>0</v>
      </c>
      <c r="N406" s="160">
        <f t="shared" si="1358"/>
        <v>0</v>
      </c>
      <c r="O406" s="160">
        <f t="shared" si="1358"/>
        <v>0</v>
      </c>
      <c r="P406" s="160">
        <f t="shared" si="1358"/>
        <v>0</v>
      </c>
      <c r="Q406" s="160">
        <f t="shared" si="1358"/>
        <v>0</v>
      </c>
      <c r="R406" s="160">
        <f t="shared" si="1358"/>
        <v>0</v>
      </c>
      <c r="S406" s="160">
        <f t="shared" si="1358"/>
        <v>0</v>
      </c>
      <c r="T406" s="160">
        <f t="shared" si="1358"/>
        <v>0</v>
      </c>
      <c r="U406" s="160">
        <f t="shared" si="1358"/>
        <v>0</v>
      </c>
      <c r="V406" s="160">
        <f t="shared" si="1358"/>
        <v>0</v>
      </c>
      <c r="W406" s="160">
        <f t="shared" si="1358"/>
        <v>0</v>
      </c>
      <c r="X406" s="160">
        <f t="shared" si="1358"/>
        <v>0</v>
      </c>
      <c r="Y406" s="160">
        <f t="shared" si="1358"/>
        <v>0</v>
      </c>
      <c r="Z406" s="160">
        <f t="shared" si="1358"/>
        <v>0</v>
      </c>
      <c r="AA406" s="160">
        <f t="shared" ref="AA406:AP415" si="1359">ROUND($I406*AA$191,2)</f>
        <v>0</v>
      </c>
      <c r="AB406" s="160">
        <f t="shared" si="1359"/>
        <v>0</v>
      </c>
      <c r="AC406" s="160">
        <f t="shared" si="1359"/>
        <v>0</v>
      </c>
      <c r="AD406" s="160">
        <f t="shared" si="1359"/>
        <v>0</v>
      </c>
      <c r="AE406" s="160">
        <f t="shared" si="1359"/>
        <v>0</v>
      </c>
      <c r="AF406" s="160">
        <f t="shared" si="1359"/>
        <v>0</v>
      </c>
      <c r="AG406" s="160">
        <f t="shared" si="1359"/>
        <v>0</v>
      </c>
      <c r="AH406" s="160">
        <f t="shared" si="1359"/>
        <v>0</v>
      </c>
      <c r="AI406" s="160">
        <f t="shared" si="1359"/>
        <v>0</v>
      </c>
      <c r="AJ406" s="160">
        <f t="shared" si="1359"/>
        <v>0</v>
      </c>
      <c r="AK406" s="160">
        <f t="shared" si="1359"/>
        <v>0</v>
      </c>
      <c r="AL406" s="160">
        <f t="shared" si="1359"/>
        <v>0</v>
      </c>
      <c r="AM406" s="160">
        <f t="shared" si="1359"/>
        <v>0</v>
      </c>
      <c r="AN406" s="160">
        <f t="shared" si="1359"/>
        <v>0</v>
      </c>
      <c r="AO406" s="160">
        <f t="shared" si="1359"/>
        <v>0</v>
      </c>
      <c r="AP406" s="160">
        <f t="shared" si="1359"/>
        <v>0</v>
      </c>
      <c r="AQ406" s="160">
        <f t="shared" ref="AQ406:BF415" si="1360">ROUND($I406*AQ$191,2)</f>
        <v>0</v>
      </c>
      <c r="AR406" s="160">
        <f t="shared" si="1360"/>
        <v>0</v>
      </c>
      <c r="AS406" s="160">
        <f t="shared" si="1360"/>
        <v>0</v>
      </c>
      <c r="AT406" s="160">
        <f t="shared" si="1360"/>
        <v>0</v>
      </c>
      <c r="AU406" s="160">
        <f t="shared" si="1360"/>
        <v>0</v>
      </c>
      <c r="AV406" s="160">
        <f t="shared" si="1360"/>
        <v>0</v>
      </c>
      <c r="AW406" s="160">
        <f t="shared" si="1360"/>
        <v>0</v>
      </c>
      <c r="AX406" s="160">
        <f t="shared" si="1360"/>
        <v>0</v>
      </c>
      <c r="AY406" s="160">
        <f t="shared" si="1360"/>
        <v>0</v>
      </c>
      <c r="AZ406" s="160">
        <f t="shared" si="1360"/>
        <v>0</v>
      </c>
      <c r="BA406" s="160">
        <f t="shared" si="1360"/>
        <v>0</v>
      </c>
      <c r="BB406" s="160">
        <f t="shared" si="1360"/>
        <v>0</v>
      </c>
      <c r="BC406" s="160">
        <f t="shared" si="1360"/>
        <v>0</v>
      </c>
      <c r="BD406" s="160">
        <f t="shared" si="1360"/>
        <v>0</v>
      </c>
      <c r="BE406" s="160">
        <f t="shared" si="1360"/>
        <v>0</v>
      </c>
      <c r="BF406" s="160">
        <f t="shared" si="1360"/>
        <v>0</v>
      </c>
      <c r="BG406" s="160">
        <f t="shared" ref="BG406:BR415" si="1361">ROUND($I406*BG$191,2)</f>
        <v>0</v>
      </c>
      <c r="BH406" s="160">
        <f t="shared" si="1361"/>
        <v>0</v>
      </c>
      <c r="BI406" s="160">
        <f t="shared" si="1361"/>
        <v>0</v>
      </c>
      <c r="BJ406" s="160">
        <f t="shared" si="1361"/>
        <v>0</v>
      </c>
      <c r="BK406" s="160">
        <f t="shared" si="1361"/>
        <v>0</v>
      </c>
      <c r="BL406" s="160">
        <f t="shared" si="1361"/>
        <v>0</v>
      </c>
      <c r="BM406" s="160">
        <f t="shared" si="1361"/>
        <v>0</v>
      </c>
      <c r="BN406" s="160">
        <f t="shared" si="1361"/>
        <v>0</v>
      </c>
      <c r="BO406" s="160">
        <f t="shared" si="1361"/>
        <v>0</v>
      </c>
      <c r="BP406" s="160">
        <f t="shared" si="1361"/>
        <v>0</v>
      </c>
      <c r="BQ406" s="160">
        <f t="shared" si="1361"/>
        <v>0</v>
      </c>
      <c r="BR406" s="160">
        <f t="shared" si="1361"/>
        <v>0</v>
      </c>
      <c r="BS406" s="65"/>
      <c r="BT406" s="160">
        <f t="shared" ref="BT406:BT415" si="1362">IFERROR(SUM(K406:BR406)/COUNTIF(K406:BR406,"&gt;0"),0)</f>
        <v>0</v>
      </c>
      <c r="BU406" s="160">
        <f t="shared" ref="BU406:BU415" si="1363">COUNTIF(K406:BR406,"&gt;0")</f>
        <v>0</v>
      </c>
      <c r="BV406" s="65"/>
      <c r="BW406" s="69"/>
      <c r="BX406" s="65"/>
      <c r="BY406" s="137">
        <f t="shared" ref="BY406:BY415" si="1364">IF(G406&gt;0,1,0)</f>
        <v>1</v>
      </c>
      <c r="BZ406" s="137">
        <f>IF(BY406&gt;0,BY406+LARGE($BZ$213:BZ405,1),0)</f>
        <v>162</v>
      </c>
      <c r="CA406" s="137" t="str">
        <f t="shared" ref="CA406:CA415" si="1365">G406</f>
        <v>COORD.</v>
      </c>
      <c r="CB406" s="161">
        <f t="shared" ref="CB406:CB415" si="1366">K406</f>
        <v>0</v>
      </c>
      <c r="CC406" s="161">
        <f t="shared" ref="CC406:CC415" si="1367">L406</f>
        <v>0</v>
      </c>
      <c r="CD406" s="161">
        <f t="shared" ref="CD406:CD415" si="1368">M406</f>
        <v>0</v>
      </c>
      <c r="CE406" s="161">
        <f t="shared" ref="CE406:CE415" si="1369">N406</f>
        <v>0</v>
      </c>
      <c r="CF406" s="161">
        <f t="shared" ref="CF406:CF415" si="1370">O406</f>
        <v>0</v>
      </c>
      <c r="CG406" s="161">
        <f t="shared" ref="CG406:CG415" si="1371">P406</f>
        <v>0</v>
      </c>
      <c r="CH406" s="161">
        <f t="shared" ref="CH406:CH415" si="1372">Q406</f>
        <v>0</v>
      </c>
      <c r="CI406" s="161">
        <f t="shared" ref="CI406:CI415" si="1373">R406</f>
        <v>0</v>
      </c>
      <c r="CJ406" s="161">
        <f t="shared" ref="CJ406:CJ415" si="1374">S406</f>
        <v>0</v>
      </c>
      <c r="CK406" s="161">
        <f t="shared" ref="CK406:CK415" si="1375">T406</f>
        <v>0</v>
      </c>
      <c r="CL406" s="161">
        <f t="shared" ref="CL406:CL415" si="1376">U406</f>
        <v>0</v>
      </c>
      <c r="CM406" s="161">
        <f t="shared" ref="CM406:CM415" si="1377">V406</f>
        <v>0</v>
      </c>
      <c r="CN406" s="161">
        <f t="shared" ref="CN406:CN415" si="1378">W406</f>
        <v>0</v>
      </c>
      <c r="CO406" s="161">
        <f t="shared" ref="CO406:CO415" si="1379">X406</f>
        <v>0</v>
      </c>
      <c r="CP406" s="161">
        <f t="shared" ref="CP406:CP415" si="1380">Y406</f>
        <v>0</v>
      </c>
      <c r="CQ406" s="161">
        <f t="shared" ref="CQ406:CQ415" si="1381">Z406</f>
        <v>0</v>
      </c>
      <c r="CR406" s="161">
        <f t="shared" ref="CR406:CR415" si="1382">AA406</f>
        <v>0</v>
      </c>
      <c r="CS406" s="161">
        <f t="shared" ref="CS406:CS415" si="1383">AB406</f>
        <v>0</v>
      </c>
      <c r="CT406" s="161">
        <f t="shared" ref="CT406:CT415" si="1384">AC406</f>
        <v>0</v>
      </c>
      <c r="CU406" s="161">
        <f t="shared" ref="CU406:CU415" si="1385">AD406</f>
        <v>0</v>
      </c>
      <c r="CV406" s="161">
        <f t="shared" ref="CV406:CV415" si="1386">AE406</f>
        <v>0</v>
      </c>
      <c r="CW406" s="161">
        <f t="shared" ref="CW406:CW415" si="1387">AF406</f>
        <v>0</v>
      </c>
      <c r="CX406" s="161">
        <f t="shared" ref="CX406:CX415" si="1388">AG406</f>
        <v>0</v>
      </c>
      <c r="CY406" s="161">
        <f t="shared" ref="CY406:CY415" si="1389">AH406</f>
        <v>0</v>
      </c>
      <c r="CZ406" s="161">
        <f t="shared" ref="CZ406:CZ415" si="1390">AI406</f>
        <v>0</v>
      </c>
      <c r="DA406" s="161">
        <f t="shared" ref="DA406:DA415" si="1391">AJ406</f>
        <v>0</v>
      </c>
      <c r="DB406" s="161">
        <f t="shared" ref="DB406:DB415" si="1392">AK406</f>
        <v>0</v>
      </c>
      <c r="DC406" s="161">
        <f t="shared" ref="DC406:DC415" si="1393">AL406</f>
        <v>0</v>
      </c>
      <c r="DD406" s="161">
        <f t="shared" ref="DD406:DD415" si="1394">AM406</f>
        <v>0</v>
      </c>
      <c r="DE406" s="161">
        <f t="shared" ref="DE406:DE415" si="1395">AN406</f>
        <v>0</v>
      </c>
      <c r="DF406" s="161">
        <f t="shared" ref="DF406:DF415" si="1396">AO406</f>
        <v>0</v>
      </c>
      <c r="DG406" s="161">
        <f t="shared" ref="DG406:DG415" si="1397">AP406</f>
        <v>0</v>
      </c>
      <c r="DH406" s="161">
        <f t="shared" ref="DH406:DH415" si="1398">AQ406</f>
        <v>0</v>
      </c>
      <c r="DI406" s="161">
        <f t="shared" ref="DI406:DI415" si="1399">AR406</f>
        <v>0</v>
      </c>
      <c r="DJ406" s="161">
        <f t="shared" ref="DJ406:DJ415" si="1400">AS406</f>
        <v>0</v>
      </c>
      <c r="DK406" s="161">
        <f t="shared" ref="DK406:DK415" si="1401">AT406</f>
        <v>0</v>
      </c>
      <c r="DL406" s="161">
        <f t="shared" ref="DL406:DL415" si="1402">AU406</f>
        <v>0</v>
      </c>
      <c r="DM406" s="161">
        <f t="shared" ref="DM406:DM415" si="1403">AV406</f>
        <v>0</v>
      </c>
      <c r="DN406" s="161">
        <f t="shared" ref="DN406:DN415" si="1404">AW406</f>
        <v>0</v>
      </c>
      <c r="DO406" s="161">
        <f t="shared" ref="DO406:DO415" si="1405">AX406</f>
        <v>0</v>
      </c>
      <c r="DP406" s="161">
        <f t="shared" ref="DP406:DP415" si="1406">AY406</f>
        <v>0</v>
      </c>
      <c r="DQ406" s="161">
        <f t="shared" ref="DQ406:DQ415" si="1407">AZ406</f>
        <v>0</v>
      </c>
      <c r="DR406" s="161">
        <f t="shared" ref="DR406:DR415" si="1408">BA406</f>
        <v>0</v>
      </c>
      <c r="DS406" s="161">
        <f t="shared" ref="DS406:DS415" si="1409">BB406</f>
        <v>0</v>
      </c>
      <c r="DT406" s="161">
        <f t="shared" ref="DT406:DT415" si="1410">BC406</f>
        <v>0</v>
      </c>
      <c r="DU406" s="161">
        <f t="shared" ref="DU406:DU415" si="1411">BD406</f>
        <v>0</v>
      </c>
      <c r="DV406" s="161">
        <f t="shared" ref="DV406:DV415" si="1412">BE406</f>
        <v>0</v>
      </c>
      <c r="DW406" s="161">
        <f t="shared" ref="DW406:DW415" si="1413">BF406</f>
        <v>0</v>
      </c>
      <c r="DX406" s="161">
        <f t="shared" ref="DX406:DX415" si="1414">BG406</f>
        <v>0</v>
      </c>
      <c r="DY406" s="161">
        <f t="shared" ref="DY406:DY415" si="1415">BH406</f>
        <v>0</v>
      </c>
      <c r="DZ406" s="161">
        <f t="shared" ref="DZ406:DZ415" si="1416">BI406</f>
        <v>0</v>
      </c>
      <c r="EA406" s="161">
        <f t="shared" ref="EA406:EA415" si="1417">BJ406</f>
        <v>0</v>
      </c>
      <c r="EB406" s="161">
        <f t="shared" ref="EB406:EB415" si="1418">BK406</f>
        <v>0</v>
      </c>
      <c r="EC406" s="161">
        <f t="shared" ref="EC406:EC415" si="1419">BL406</f>
        <v>0</v>
      </c>
      <c r="ED406" s="161">
        <f t="shared" ref="ED406:ED415" si="1420">BM406</f>
        <v>0</v>
      </c>
      <c r="EE406" s="161">
        <f t="shared" ref="EE406:EE415" si="1421">BN406</f>
        <v>0</v>
      </c>
      <c r="EF406" s="161">
        <f t="shared" ref="EF406:EF415" si="1422">BO406</f>
        <v>0</v>
      </c>
      <c r="EG406" s="161">
        <f t="shared" ref="EG406:EG415" si="1423">BP406</f>
        <v>0</v>
      </c>
      <c r="EH406" s="161">
        <f t="shared" ref="EH406:EH415" si="1424">BQ406</f>
        <v>0</v>
      </c>
      <c r="EI406" s="161">
        <f t="shared" ref="EI406:EI415" si="1425">BR406</f>
        <v>0</v>
      </c>
      <c r="EJ406" s="65"/>
      <c r="EK406" s="161">
        <f t="shared" ref="EK406:EK424" si="1426">$EK$404</f>
        <v>0</v>
      </c>
      <c r="EL406" s="161">
        <f t="shared" ref="EL406:EL424" si="1427">$EL$404</f>
        <v>0</v>
      </c>
      <c r="EM406" s="161">
        <f t="shared" ref="EM406:EM424" si="1428">$EM$404</f>
        <v>0</v>
      </c>
    </row>
    <row r="407" spans="1:143" ht="12" hidden="1" customHeight="1" outlineLevel="2">
      <c r="A407" s="77">
        <v>3</v>
      </c>
      <c r="B407" s="137" t="str">
        <f t="shared" si="1356"/>
        <v>SUP.-ESP - Equipe_01</v>
      </c>
      <c r="C407" s="65"/>
      <c r="D407" s="621"/>
      <c r="E407" s="65"/>
      <c r="F407" s="584"/>
      <c r="G407" s="77" t="str">
        <f>IF(INDEX(Tarefas!$BT$30:$FK$30,MATCH(A407,Tarefas!$BT$28:$FK$28,0))=0,"",INDEX(Tarefas!$BT$30:$FK$30,MATCH(A407,Tarefas!$BT$28:$FK$28,0)))</f>
        <v>SUP.-ESP</v>
      </c>
      <c r="H407" s="107" cm="1">
        <f t="array" ref="H407">IFERROR((SUMPRODUCT((Tarefas!$N$32:$N$54='Cronog. e Histog.'!$F$405)*(Tarefas!$BQ$30:$FK$30='Cronog. e Histog.'!$G407)*(Tarefas!$BQ$32:$FK$54)))/SUMIF(Tarefas!$N$32:$N$54,'Cronog. e Histog.'!$F$405,Tarefas!$K$32:$K$54),0)</f>
        <v>0</v>
      </c>
      <c r="I407" s="79">
        <f t="shared" si="1357"/>
        <v>0</v>
      </c>
      <c r="J407" s="65"/>
      <c r="K407" s="160">
        <f t="shared" si="1358"/>
        <v>0</v>
      </c>
      <c r="L407" s="160">
        <f t="shared" si="1358"/>
        <v>0</v>
      </c>
      <c r="M407" s="160">
        <f t="shared" si="1358"/>
        <v>0</v>
      </c>
      <c r="N407" s="160">
        <f t="shared" si="1358"/>
        <v>0</v>
      </c>
      <c r="O407" s="160">
        <f t="shared" si="1358"/>
        <v>0</v>
      </c>
      <c r="P407" s="160">
        <f t="shared" si="1358"/>
        <v>0</v>
      </c>
      <c r="Q407" s="160">
        <f t="shared" si="1358"/>
        <v>0</v>
      </c>
      <c r="R407" s="160">
        <f t="shared" si="1358"/>
        <v>0</v>
      </c>
      <c r="S407" s="160">
        <f t="shared" si="1358"/>
        <v>0</v>
      </c>
      <c r="T407" s="160">
        <f t="shared" si="1358"/>
        <v>0</v>
      </c>
      <c r="U407" s="160">
        <f t="shared" si="1358"/>
        <v>0</v>
      </c>
      <c r="V407" s="160">
        <f t="shared" si="1358"/>
        <v>0</v>
      </c>
      <c r="W407" s="160">
        <f t="shared" si="1358"/>
        <v>0</v>
      </c>
      <c r="X407" s="160">
        <f t="shared" si="1358"/>
        <v>0</v>
      </c>
      <c r="Y407" s="160">
        <f t="shared" si="1358"/>
        <v>0</v>
      </c>
      <c r="Z407" s="160">
        <f t="shared" si="1358"/>
        <v>0</v>
      </c>
      <c r="AA407" s="160">
        <f t="shared" si="1359"/>
        <v>0</v>
      </c>
      <c r="AB407" s="160">
        <f t="shared" si="1359"/>
        <v>0</v>
      </c>
      <c r="AC407" s="160">
        <f t="shared" si="1359"/>
        <v>0</v>
      </c>
      <c r="AD407" s="160">
        <f t="shared" si="1359"/>
        <v>0</v>
      </c>
      <c r="AE407" s="160">
        <f t="shared" si="1359"/>
        <v>0</v>
      </c>
      <c r="AF407" s="160">
        <f t="shared" si="1359"/>
        <v>0</v>
      </c>
      <c r="AG407" s="160">
        <f t="shared" si="1359"/>
        <v>0</v>
      </c>
      <c r="AH407" s="160">
        <f t="shared" si="1359"/>
        <v>0</v>
      </c>
      <c r="AI407" s="160">
        <f t="shared" si="1359"/>
        <v>0</v>
      </c>
      <c r="AJ407" s="160">
        <f t="shared" si="1359"/>
        <v>0</v>
      </c>
      <c r="AK407" s="160">
        <f t="shared" si="1359"/>
        <v>0</v>
      </c>
      <c r="AL407" s="160">
        <f t="shared" si="1359"/>
        <v>0</v>
      </c>
      <c r="AM407" s="160">
        <f t="shared" si="1359"/>
        <v>0</v>
      </c>
      <c r="AN407" s="160">
        <f t="shared" si="1359"/>
        <v>0</v>
      </c>
      <c r="AO407" s="160">
        <f t="shared" si="1359"/>
        <v>0</v>
      </c>
      <c r="AP407" s="160">
        <f t="shared" si="1359"/>
        <v>0</v>
      </c>
      <c r="AQ407" s="160">
        <f t="shared" si="1360"/>
        <v>0</v>
      </c>
      <c r="AR407" s="160">
        <f t="shared" si="1360"/>
        <v>0</v>
      </c>
      <c r="AS407" s="160">
        <f t="shared" si="1360"/>
        <v>0</v>
      </c>
      <c r="AT407" s="160">
        <f t="shared" si="1360"/>
        <v>0</v>
      </c>
      <c r="AU407" s="160">
        <f t="shared" si="1360"/>
        <v>0</v>
      </c>
      <c r="AV407" s="160">
        <f t="shared" si="1360"/>
        <v>0</v>
      </c>
      <c r="AW407" s="160">
        <f t="shared" si="1360"/>
        <v>0</v>
      </c>
      <c r="AX407" s="160">
        <f t="shared" si="1360"/>
        <v>0</v>
      </c>
      <c r="AY407" s="160">
        <f t="shared" si="1360"/>
        <v>0</v>
      </c>
      <c r="AZ407" s="160">
        <f t="shared" si="1360"/>
        <v>0</v>
      </c>
      <c r="BA407" s="160">
        <f t="shared" si="1360"/>
        <v>0</v>
      </c>
      <c r="BB407" s="160">
        <f t="shared" si="1360"/>
        <v>0</v>
      </c>
      <c r="BC407" s="160">
        <f t="shared" si="1360"/>
        <v>0</v>
      </c>
      <c r="BD407" s="160">
        <f t="shared" si="1360"/>
        <v>0</v>
      </c>
      <c r="BE407" s="160">
        <f t="shared" si="1360"/>
        <v>0</v>
      </c>
      <c r="BF407" s="160">
        <f t="shared" si="1360"/>
        <v>0</v>
      </c>
      <c r="BG407" s="160">
        <f t="shared" si="1361"/>
        <v>0</v>
      </c>
      <c r="BH407" s="160">
        <f t="shared" si="1361"/>
        <v>0</v>
      </c>
      <c r="BI407" s="160">
        <f t="shared" si="1361"/>
        <v>0</v>
      </c>
      <c r="BJ407" s="160">
        <f t="shared" si="1361"/>
        <v>0</v>
      </c>
      <c r="BK407" s="160">
        <f t="shared" si="1361"/>
        <v>0</v>
      </c>
      <c r="BL407" s="160">
        <f t="shared" si="1361"/>
        <v>0</v>
      </c>
      <c r="BM407" s="160">
        <f t="shared" si="1361"/>
        <v>0</v>
      </c>
      <c r="BN407" s="160">
        <f t="shared" si="1361"/>
        <v>0</v>
      </c>
      <c r="BO407" s="160">
        <f t="shared" si="1361"/>
        <v>0</v>
      </c>
      <c r="BP407" s="160">
        <f t="shared" si="1361"/>
        <v>0</v>
      </c>
      <c r="BQ407" s="160">
        <f t="shared" si="1361"/>
        <v>0</v>
      </c>
      <c r="BR407" s="160">
        <f t="shared" si="1361"/>
        <v>0</v>
      </c>
      <c r="BS407" s="65"/>
      <c r="BT407" s="160">
        <f t="shared" si="1362"/>
        <v>0</v>
      </c>
      <c r="BU407" s="160">
        <f t="shared" si="1363"/>
        <v>0</v>
      </c>
      <c r="BV407" s="65"/>
      <c r="BW407" s="69"/>
      <c r="BX407" s="65"/>
      <c r="BY407" s="137">
        <f t="shared" si="1364"/>
        <v>1</v>
      </c>
      <c r="BZ407" s="137">
        <f>IF(BY407&gt;0,BY407+LARGE($BZ$213:BZ406,1),0)</f>
        <v>163</v>
      </c>
      <c r="CA407" s="137" t="str">
        <f t="shared" si="1365"/>
        <v>SUP.-ESP</v>
      </c>
      <c r="CB407" s="161">
        <f t="shared" si="1366"/>
        <v>0</v>
      </c>
      <c r="CC407" s="161">
        <f t="shared" si="1367"/>
        <v>0</v>
      </c>
      <c r="CD407" s="161">
        <f t="shared" si="1368"/>
        <v>0</v>
      </c>
      <c r="CE407" s="161">
        <f t="shared" si="1369"/>
        <v>0</v>
      </c>
      <c r="CF407" s="161">
        <f t="shared" si="1370"/>
        <v>0</v>
      </c>
      <c r="CG407" s="161">
        <f t="shared" si="1371"/>
        <v>0</v>
      </c>
      <c r="CH407" s="161">
        <f t="shared" si="1372"/>
        <v>0</v>
      </c>
      <c r="CI407" s="161">
        <f t="shared" si="1373"/>
        <v>0</v>
      </c>
      <c r="CJ407" s="161">
        <f t="shared" si="1374"/>
        <v>0</v>
      </c>
      <c r="CK407" s="161">
        <f t="shared" si="1375"/>
        <v>0</v>
      </c>
      <c r="CL407" s="161">
        <f t="shared" si="1376"/>
        <v>0</v>
      </c>
      <c r="CM407" s="161">
        <f t="shared" si="1377"/>
        <v>0</v>
      </c>
      <c r="CN407" s="161">
        <f t="shared" si="1378"/>
        <v>0</v>
      </c>
      <c r="CO407" s="161">
        <f t="shared" si="1379"/>
        <v>0</v>
      </c>
      <c r="CP407" s="161">
        <f t="shared" si="1380"/>
        <v>0</v>
      </c>
      <c r="CQ407" s="161">
        <f t="shared" si="1381"/>
        <v>0</v>
      </c>
      <c r="CR407" s="161">
        <f t="shared" si="1382"/>
        <v>0</v>
      </c>
      <c r="CS407" s="161">
        <f t="shared" si="1383"/>
        <v>0</v>
      </c>
      <c r="CT407" s="161">
        <f t="shared" si="1384"/>
        <v>0</v>
      </c>
      <c r="CU407" s="161">
        <f t="shared" si="1385"/>
        <v>0</v>
      </c>
      <c r="CV407" s="161">
        <f t="shared" si="1386"/>
        <v>0</v>
      </c>
      <c r="CW407" s="161">
        <f t="shared" si="1387"/>
        <v>0</v>
      </c>
      <c r="CX407" s="161">
        <f t="shared" si="1388"/>
        <v>0</v>
      </c>
      <c r="CY407" s="161">
        <f t="shared" si="1389"/>
        <v>0</v>
      </c>
      <c r="CZ407" s="161">
        <f t="shared" si="1390"/>
        <v>0</v>
      </c>
      <c r="DA407" s="161">
        <f t="shared" si="1391"/>
        <v>0</v>
      </c>
      <c r="DB407" s="161">
        <f t="shared" si="1392"/>
        <v>0</v>
      </c>
      <c r="DC407" s="161">
        <f t="shared" si="1393"/>
        <v>0</v>
      </c>
      <c r="DD407" s="161">
        <f t="shared" si="1394"/>
        <v>0</v>
      </c>
      <c r="DE407" s="161">
        <f t="shared" si="1395"/>
        <v>0</v>
      </c>
      <c r="DF407" s="161">
        <f t="shared" si="1396"/>
        <v>0</v>
      </c>
      <c r="DG407" s="161">
        <f t="shared" si="1397"/>
        <v>0</v>
      </c>
      <c r="DH407" s="161">
        <f t="shared" si="1398"/>
        <v>0</v>
      </c>
      <c r="DI407" s="161">
        <f t="shared" si="1399"/>
        <v>0</v>
      </c>
      <c r="DJ407" s="161">
        <f t="shared" si="1400"/>
        <v>0</v>
      </c>
      <c r="DK407" s="161">
        <f t="shared" si="1401"/>
        <v>0</v>
      </c>
      <c r="DL407" s="161">
        <f t="shared" si="1402"/>
        <v>0</v>
      </c>
      <c r="DM407" s="161">
        <f t="shared" si="1403"/>
        <v>0</v>
      </c>
      <c r="DN407" s="161">
        <f t="shared" si="1404"/>
        <v>0</v>
      </c>
      <c r="DO407" s="161">
        <f t="shared" si="1405"/>
        <v>0</v>
      </c>
      <c r="DP407" s="161">
        <f t="shared" si="1406"/>
        <v>0</v>
      </c>
      <c r="DQ407" s="161">
        <f t="shared" si="1407"/>
        <v>0</v>
      </c>
      <c r="DR407" s="161">
        <f t="shared" si="1408"/>
        <v>0</v>
      </c>
      <c r="DS407" s="161">
        <f t="shared" si="1409"/>
        <v>0</v>
      </c>
      <c r="DT407" s="161">
        <f t="shared" si="1410"/>
        <v>0</v>
      </c>
      <c r="DU407" s="161">
        <f t="shared" si="1411"/>
        <v>0</v>
      </c>
      <c r="DV407" s="161">
        <f t="shared" si="1412"/>
        <v>0</v>
      </c>
      <c r="DW407" s="161">
        <f t="shared" si="1413"/>
        <v>0</v>
      </c>
      <c r="DX407" s="161">
        <f t="shared" si="1414"/>
        <v>0</v>
      </c>
      <c r="DY407" s="161">
        <f t="shared" si="1415"/>
        <v>0</v>
      </c>
      <c r="DZ407" s="161">
        <f t="shared" si="1416"/>
        <v>0</v>
      </c>
      <c r="EA407" s="161">
        <f t="shared" si="1417"/>
        <v>0</v>
      </c>
      <c r="EB407" s="161">
        <f t="shared" si="1418"/>
        <v>0</v>
      </c>
      <c r="EC407" s="161">
        <f t="shared" si="1419"/>
        <v>0</v>
      </c>
      <c r="ED407" s="161">
        <f t="shared" si="1420"/>
        <v>0</v>
      </c>
      <c r="EE407" s="161">
        <f t="shared" si="1421"/>
        <v>0</v>
      </c>
      <c r="EF407" s="161">
        <f t="shared" si="1422"/>
        <v>0</v>
      </c>
      <c r="EG407" s="161">
        <f t="shared" si="1423"/>
        <v>0</v>
      </c>
      <c r="EH407" s="161">
        <f t="shared" si="1424"/>
        <v>0</v>
      </c>
      <c r="EI407" s="161">
        <f t="shared" si="1425"/>
        <v>0</v>
      </c>
      <c r="EJ407" s="65"/>
      <c r="EK407" s="161">
        <f t="shared" si="1426"/>
        <v>0</v>
      </c>
      <c r="EL407" s="161">
        <f t="shared" si="1427"/>
        <v>0</v>
      </c>
      <c r="EM407" s="161">
        <f t="shared" si="1428"/>
        <v>0</v>
      </c>
    </row>
    <row r="408" spans="1:143" ht="12" hidden="1" customHeight="1" outlineLevel="2">
      <c r="A408" s="77">
        <v>4</v>
      </c>
      <c r="B408" s="137" t="str">
        <f t="shared" si="1356"/>
        <v>ENG/ARQ SR. - Equipe_01</v>
      </c>
      <c r="C408" s="65"/>
      <c r="D408" s="621"/>
      <c r="E408" s="65"/>
      <c r="F408" s="584"/>
      <c r="G408" s="77" t="str">
        <f>IF(INDEX(Tarefas!$BT$30:$FK$30,MATCH(A408,Tarefas!$BT$28:$FK$28,0))=0,"",INDEX(Tarefas!$BT$30:$FK$30,MATCH(A408,Tarefas!$BT$28:$FK$28,0)))</f>
        <v>ENG/ARQ SR.</v>
      </c>
      <c r="H408" s="107" cm="1">
        <f t="array" ref="H408">IFERROR((SUMPRODUCT((Tarefas!$N$32:$N$54='Cronog. e Histog.'!$F$405)*(Tarefas!$BQ$30:$FK$30='Cronog. e Histog.'!$G408)*(Tarefas!$BQ$32:$FK$54)))/SUMIF(Tarefas!$N$32:$N$54,'Cronog. e Histog.'!$F$405,Tarefas!$K$32:$K$54),0)</f>
        <v>0</v>
      </c>
      <c r="I408" s="79">
        <f t="shared" si="1357"/>
        <v>0</v>
      </c>
      <c r="J408" s="65"/>
      <c r="K408" s="160">
        <f t="shared" si="1358"/>
        <v>0</v>
      </c>
      <c r="L408" s="160">
        <f t="shared" si="1358"/>
        <v>0</v>
      </c>
      <c r="M408" s="160">
        <f t="shared" si="1358"/>
        <v>0</v>
      </c>
      <c r="N408" s="160">
        <f t="shared" si="1358"/>
        <v>0</v>
      </c>
      <c r="O408" s="160">
        <f t="shared" si="1358"/>
        <v>0</v>
      </c>
      <c r="P408" s="160">
        <f t="shared" si="1358"/>
        <v>0</v>
      </c>
      <c r="Q408" s="160">
        <f t="shared" si="1358"/>
        <v>0</v>
      </c>
      <c r="R408" s="160">
        <f t="shared" si="1358"/>
        <v>0</v>
      </c>
      <c r="S408" s="160">
        <f t="shared" si="1358"/>
        <v>0</v>
      </c>
      <c r="T408" s="160">
        <f t="shared" si="1358"/>
        <v>0</v>
      </c>
      <c r="U408" s="160">
        <f t="shared" si="1358"/>
        <v>0</v>
      </c>
      <c r="V408" s="160">
        <f t="shared" si="1358"/>
        <v>0</v>
      </c>
      <c r="W408" s="160">
        <f t="shared" si="1358"/>
        <v>0</v>
      </c>
      <c r="X408" s="160">
        <f t="shared" si="1358"/>
        <v>0</v>
      </c>
      <c r="Y408" s="160">
        <f t="shared" si="1358"/>
        <v>0</v>
      </c>
      <c r="Z408" s="160">
        <f t="shared" si="1358"/>
        <v>0</v>
      </c>
      <c r="AA408" s="160">
        <f t="shared" si="1359"/>
        <v>0</v>
      </c>
      <c r="AB408" s="160">
        <f t="shared" si="1359"/>
        <v>0</v>
      </c>
      <c r="AC408" s="160">
        <f t="shared" si="1359"/>
        <v>0</v>
      </c>
      <c r="AD408" s="160">
        <f t="shared" si="1359"/>
        <v>0</v>
      </c>
      <c r="AE408" s="160">
        <f t="shared" si="1359"/>
        <v>0</v>
      </c>
      <c r="AF408" s="160">
        <f t="shared" si="1359"/>
        <v>0</v>
      </c>
      <c r="AG408" s="160">
        <f t="shared" si="1359"/>
        <v>0</v>
      </c>
      <c r="AH408" s="160">
        <f t="shared" si="1359"/>
        <v>0</v>
      </c>
      <c r="AI408" s="160">
        <f t="shared" si="1359"/>
        <v>0</v>
      </c>
      <c r="AJ408" s="160">
        <f t="shared" si="1359"/>
        <v>0</v>
      </c>
      <c r="AK408" s="160">
        <f t="shared" si="1359"/>
        <v>0</v>
      </c>
      <c r="AL408" s="160">
        <f t="shared" si="1359"/>
        <v>0</v>
      </c>
      <c r="AM408" s="160">
        <f t="shared" si="1359"/>
        <v>0</v>
      </c>
      <c r="AN408" s="160">
        <f t="shared" si="1359"/>
        <v>0</v>
      </c>
      <c r="AO408" s="160">
        <f t="shared" si="1359"/>
        <v>0</v>
      </c>
      <c r="AP408" s="160">
        <f t="shared" si="1359"/>
        <v>0</v>
      </c>
      <c r="AQ408" s="160">
        <f t="shared" si="1360"/>
        <v>0</v>
      </c>
      <c r="AR408" s="160">
        <f t="shared" si="1360"/>
        <v>0</v>
      </c>
      <c r="AS408" s="160">
        <f t="shared" si="1360"/>
        <v>0</v>
      </c>
      <c r="AT408" s="160">
        <f t="shared" si="1360"/>
        <v>0</v>
      </c>
      <c r="AU408" s="160">
        <f t="shared" si="1360"/>
        <v>0</v>
      </c>
      <c r="AV408" s="160">
        <f t="shared" si="1360"/>
        <v>0</v>
      </c>
      <c r="AW408" s="160">
        <f t="shared" si="1360"/>
        <v>0</v>
      </c>
      <c r="AX408" s="160">
        <f t="shared" si="1360"/>
        <v>0</v>
      </c>
      <c r="AY408" s="160">
        <f t="shared" si="1360"/>
        <v>0</v>
      </c>
      <c r="AZ408" s="160">
        <f t="shared" si="1360"/>
        <v>0</v>
      </c>
      <c r="BA408" s="160">
        <f t="shared" si="1360"/>
        <v>0</v>
      </c>
      <c r="BB408" s="160">
        <f t="shared" si="1360"/>
        <v>0</v>
      </c>
      <c r="BC408" s="160">
        <f t="shared" si="1360"/>
        <v>0</v>
      </c>
      <c r="BD408" s="160">
        <f t="shared" si="1360"/>
        <v>0</v>
      </c>
      <c r="BE408" s="160">
        <f t="shared" si="1360"/>
        <v>0</v>
      </c>
      <c r="BF408" s="160">
        <f t="shared" si="1360"/>
        <v>0</v>
      </c>
      <c r="BG408" s="160">
        <f t="shared" si="1361"/>
        <v>0</v>
      </c>
      <c r="BH408" s="160">
        <f t="shared" si="1361"/>
        <v>0</v>
      </c>
      <c r="BI408" s="160">
        <f t="shared" si="1361"/>
        <v>0</v>
      </c>
      <c r="BJ408" s="160">
        <f t="shared" si="1361"/>
        <v>0</v>
      </c>
      <c r="BK408" s="160">
        <f t="shared" si="1361"/>
        <v>0</v>
      </c>
      <c r="BL408" s="160">
        <f t="shared" si="1361"/>
        <v>0</v>
      </c>
      <c r="BM408" s="160">
        <f t="shared" si="1361"/>
        <v>0</v>
      </c>
      <c r="BN408" s="160">
        <f t="shared" si="1361"/>
        <v>0</v>
      </c>
      <c r="BO408" s="160">
        <f t="shared" si="1361"/>
        <v>0</v>
      </c>
      <c r="BP408" s="160">
        <f t="shared" si="1361"/>
        <v>0</v>
      </c>
      <c r="BQ408" s="160">
        <f t="shared" si="1361"/>
        <v>0</v>
      </c>
      <c r="BR408" s="160">
        <f t="shared" si="1361"/>
        <v>0</v>
      </c>
      <c r="BS408" s="65"/>
      <c r="BT408" s="160">
        <f t="shared" si="1362"/>
        <v>0</v>
      </c>
      <c r="BU408" s="160">
        <f t="shared" si="1363"/>
        <v>0</v>
      </c>
      <c r="BV408" s="65"/>
      <c r="BW408" s="69"/>
      <c r="BX408" s="65"/>
      <c r="BY408" s="137">
        <f t="shared" si="1364"/>
        <v>1</v>
      </c>
      <c r="BZ408" s="137">
        <f>IF(BY408&gt;0,BY408+LARGE($BZ$213:BZ407,1),0)</f>
        <v>164</v>
      </c>
      <c r="CA408" s="137" t="str">
        <f t="shared" si="1365"/>
        <v>ENG/ARQ SR.</v>
      </c>
      <c r="CB408" s="161">
        <f t="shared" si="1366"/>
        <v>0</v>
      </c>
      <c r="CC408" s="161">
        <f t="shared" si="1367"/>
        <v>0</v>
      </c>
      <c r="CD408" s="161">
        <f t="shared" si="1368"/>
        <v>0</v>
      </c>
      <c r="CE408" s="161">
        <f t="shared" si="1369"/>
        <v>0</v>
      </c>
      <c r="CF408" s="161">
        <f t="shared" si="1370"/>
        <v>0</v>
      </c>
      <c r="CG408" s="161">
        <f t="shared" si="1371"/>
        <v>0</v>
      </c>
      <c r="CH408" s="161">
        <f t="shared" si="1372"/>
        <v>0</v>
      </c>
      <c r="CI408" s="161">
        <f t="shared" si="1373"/>
        <v>0</v>
      </c>
      <c r="CJ408" s="161">
        <f t="shared" si="1374"/>
        <v>0</v>
      </c>
      <c r="CK408" s="161">
        <f t="shared" si="1375"/>
        <v>0</v>
      </c>
      <c r="CL408" s="161">
        <f t="shared" si="1376"/>
        <v>0</v>
      </c>
      <c r="CM408" s="161">
        <f t="shared" si="1377"/>
        <v>0</v>
      </c>
      <c r="CN408" s="161">
        <f t="shared" si="1378"/>
        <v>0</v>
      </c>
      <c r="CO408" s="161">
        <f t="shared" si="1379"/>
        <v>0</v>
      </c>
      <c r="CP408" s="161">
        <f t="shared" si="1380"/>
        <v>0</v>
      </c>
      <c r="CQ408" s="161">
        <f t="shared" si="1381"/>
        <v>0</v>
      </c>
      <c r="CR408" s="161">
        <f t="shared" si="1382"/>
        <v>0</v>
      </c>
      <c r="CS408" s="161">
        <f t="shared" si="1383"/>
        <v>0</v>
      </c>
      <c r="CT408" s="161">
        <f t="shared" si="1384"/>
        <v>0</v>
      </c>
      <c r="CU408" s="161">
        <f t="shared" si="1385"/>
        <v>0</v>
      </c>
      <c r="CV408" s="161">
        <f t="shared" si="1386"/>
        <v>0</v>
      </c>
      <c r="CW408" s="161">
        <f t="shared" si="1387"/>
        <v>0</v>
      </c>
      <c r="CX408" s="161">
        <f t="shared" si="1388"/>
        <v>0</v>
      </c>
      <c r="CY408" s="161">
        <f t="shared" si="1389"/>
        <v>0</v>
      </c>
      <c r="CZ408" s="161">
        <f t="shared" si="1390"/>
        <v>0</v>
      </c>
      <c r="DA408" s="161">
        <f t="shared" si="1391"/>
        <v>0</v>
      </c>
      <c r="DB408" s="161">
        <f t="shared" si="1392"/>
        <v>0</v>
      </c>
      <c r="DC408" s="161">
        <f t="shared" si="1393"/>
        <v>0</v>
      </c>
      <c r="DD408" s="161">
        <f t="shared" si="1394"/>
        <v>0</v>
      </c>
      <c r="DE408" s="161">
        <f t="shared" si="1395"/>
        <v>0</v>
      </c>
      <c r="DF408" s="161">
        <f t="shared" si="1396"/>
        <v>0</v>
      </c>
      <c r="DG408" s="161">
        <f t="shared" si="1397"/>
        <v>0</v>
      </c>
      <c r="DH408" s="161">
        <f t="shared" si="1398"/>
        <v>0</v>
      </c>
      <c r="DI408" s="161">
        <f t="shared" si="1399"/>
        <v>0</v>
      </c>
      <c r="DJ408" s="161">
        <f t="shared" si="1400"/>
        <v>0</v>
      </c>
      <c r="DK408" s="161">
        <f t="shared" si="1401"/>
        <v>0</v>
      </c>
      <c r="DL408" s="161">
        <f t="shared" si="1402"/>
        <v>0</v>
      </c>
      <c r="DM408" s="161">
        <f t="shared" si="1403"/>
        <v>0</v>
      </c>
      <c r="DN408" s="161">
        <f t="shared" si="1404"/>
        <v>0</v>
      </c>
      <c r="DO408" s="161">
        <f t="shared" si="1405"/>
        <v>0</v>
      </c>
      <c r="DP408" s="161">
        <f t="shared" si="1406"/>
        <v>0</v>
      </c>
      <c r="DQ408" s="161">
        <f t="shared" si="1407"/>
        <v>0</v>
      </c>
      <c r="DR408" s="161">
        <f t="shared" si="1408"/>
        <v>0</v>
      </c>
      <c r="DS408" s="161">
        <f t="shared" si="1409"/>
        <v>0</v>
      </c>
      <c r="DT408" s="161">
        <f t="shared" si="1410"/>
        <v>0</v>
      </c>
      <c r="DU408" s="161">
        <f t="shared" si="1411"/>
        <v>0</v>
      </c>
      <c r="DV408" s="161">
        <f t="shared" si="1412"/>
        <v>0</v>
      </c>
      <c r="DW408" s="161">
        <f t="shared" si="1413"/>
        <v>0</v>
      </c>
      <c r="DX408" s="161">
        <f t="shared" si="1414"/>
        <v>0</v>
      </c>
      <c r="DY408" s="161">
        <f t="shared" si="1415"/>
        <v>0</v>
      </c>
      <c r="DZ408" s="161">
        <f t="shared" si="1416"/>
        <v>0</v>
      </c>
      <c r="EA408" s="161">
        <f t="shared" si="1417"/>
        <v>0</v>
      </c>
      <c r="EB408" s="161">
        <f t="shared" si="1418"/>
        <v>0</v>
      </c>
      <c r="EC408" s="161">
        <f t="shared" si="1419"/>
        <v>0</v>
      </c>
      <c r="ED408" s="161">
        <f t="shared" si="1420"/>
        <v>0</v>
      </c>
      <c r="EE408" s="161">
        <f t="shared" si="1421"/>
        <v>0</v>
      </c>
      <c r="EF408" s="161">
        <f t="shared" si="1422"/>
        <v>0</v>
      </c>
      <c r="EG408" s="161">
        <f t="shared" si="1423"/>
        <v>0</v>
      </c>
      <c r="EH408" s="161">
        <f t="shared" si="1424"/>
        <v>0</v>
      </c>
      <c r="EI408" s="161">
        <f t="shared" si="1425"/>
        <v>0</v>
      </c>
      <c r="EJ408" s="65"/>
      <c r="EK408" s="161">
        <f t="shared" si="1426"/>
        <v>0</v>
      </c>
      <c r="EL408" s="161">
        <f t="shared" si="1427"/>
        <v>0</v>
      </c>
      <c r="EM408" s="161">
        <f t="shared" si="1428"/>
        <v>0</v>
      </c>
    </row>
    <row r="409" spans="1:143" ht="12" hidden="1" customHeight="1" outlineLevel="2">
      <c r="A409" s="77">
        <v>5</v>
      </c>
      <c r="B409" s="137" t="str">
        <f t="shared" si="1356"/>
        <v>ENG/ARQ PL. - Equipe_01</v>
      </c>
      <c r="C409" s="65"/>
      <c r="D409" s="621"/>
      <c r="E409" s="65"/>
      <c r="F409" s="584"/>
      <c r="G409" s="77" t="str">
        <f>IF(INDEX(Tarefas!$BT$30:$FK$30,MATCH(A409,Tarefas!$BT$28:$FK$28,0))=0,"",INDEX(Tarefas!$BT$30:$FK$30,MATCH(A409,Tarefas!$BT$28:$FK$28,0)))</f>
        <v>ENG/ARQ PL.</v>
      </c>
      <c r="H409" s="107" cm="1">
        <f t="array" ref="H409">IFERROR((SUMPRODUCT((Tarefas!$N$32:$N$54='Cronog. e Histog.'!$F$405)*(Tarefas!$BQ$30:$FK$30='Cronog. e Histog.'!$G409)*(Tarefas!$BQ$32:$FK$54)))/SUMIF(Tarefas!$N$32:$N$54,'Cronog. e Histog.'!$F$405,Tarefas!$K$32:$K$54),0)</f>
        <v>0</v>
      </c>
      <c r="I409" s="79">
        <f t="shared" si="1357"/>
        <v>0</v>
      </c>
      <c r="J409" s="65"/>
      <c r="K409" s="160">
        <f t="shared" si="1358"/>
        <v>0</v>
      </c>
      <c r="L409" s="160">
        <f t="shared" si="1358"/>
        <v>0</v>
      </c>
      <c r="M409" s="160">
        <f t="shared" si="1358"/>
        <v>0</v>
      </c>
      <c r="N409" s="160">
        <f t="shared" si="1358"/>
        <v>0</v>
      </c>
      <c r="O409" s="160">
        <f t="shared" si="1358"/>
        <v>0</v>
      </c>
      <c r="P409" s="160">
        <f t="shared" si="1358"/>
        <v>0</v>
      </c>
      <c r="Q409" s="160">
        <f t="shared" si="1358"/>
        <v>0</v>
      </c>
      <c r="R409" s="160">
        <f t="shared" si="1358"/>
        <v>0</v>
      </c>
      <c r="S409" s="160">
        <f t="shared" si="1358"/>
        <v>0</v>
      </c>
      <c r="T409" s="160">
        <f t="shared" si="1358"/>
        <v>0</v>
      </c>
      <c r="U409" s="160">
        <f t="shared" si="1358"/>
        <v>0</v>
      </c>
      <c r="V409" s="160">
        <f t="shared" si="1358"/>
        <v>0</v>
      </c>
      <c r="W409" s="160">
        <f t="shared" si="1358"/>
        <v>0</v>
      </c>
      <c r="X409" s="160">
        <f t="shared" si="1358"/>
        <v>0</v>
      </c>
      <c r="Y409" s="160">
        <f t="shared" si="1358"/>
        <v>0</v>
      </c>
      <c r="Z409" s="160">
        <f t="shared" si="1358"/>
        <v>0</v>
      </c>
      <c r="AA409" s="160">
        <f t="shared" si="1359"/>
        <v>0</v>
      </c>
      <c r="AB409" s="160">
        <f t="shared" si="1359"/>
        <v>0</v>
      </c>
      <c r="AC409" s="160">
        <f t="shared" si="1359"/>
        <v>0</v>
      </c>
      <c r="AD409" s="160">
        <f t="shared" si="1359"/>
        <v>0</v>
      </c>
      <c r="AE409" s="160">
        <f t="shared" si="1359"/>
        <v>0</v>
      </c>
      <c r="AF409" s="160">
        <f t="shared" si="1359"/>
        <v>0</v>
      </c>
      <c r="AG409" s="160">
        <f t="shared" si="1359"/>
        <v>0</v>
      </c>
      <c r="AH409" s="160">
        <f t="shared" si="1359"/>
        <v>0</v>
      </c>
      <c r="AI409" s="160">
        <f t="shared" si="1359"/>
        <v>0</v>
      </c>
      <c r="AJ409" s="160">
        <f t="shared" si="1359"/>
        <v>0</v>
      </c>
      <c r="AK409" s="160">
        <f t="shared" si="1359"/>
        <v>0</v>
      </c>
      <c r="AL409" s="160">
        <f t="shared" si="1359"/>
        <v>0</v>
      </c>
      <c r="AM409" s="160">
        <f t="shared" si="1359"/>
        <v>0</v>
      </c>
      <c r="AN409" s="160">
        <f t="shared" si="1359"/>
        <v>0</v>
      </c>
      <c r="AO409" s="160">
        <f t="shared" si="1359"/>
        <v>0</v>
      </c>
      <c r="AP409" s="160">
        <f t="shared" si="1359"/>
        <v>0</v>
      </c>
      <c r="AQ409" s="160">
        <f t="shared" si="1360"/>
        <v>0</v>
      </c>
      <c r="AR409" s="160">
        <f t="shared" si="1360"/>
        <v>0</v>
      </c>
      <c r="AS409" s="160">
        <f t="shared" si="1360"/>
        <v>0</v>
      </c>
      <c r="AT409" s="160">
        <f t="shared" si="1360"/>
        <v>0</v>
      </c>
      <c r="AU409" s="160">
        <f t="shared" si="1360"/>
        <v>0</v>
      </c>
      <c r="AV409" s="160">
        <f t="shared" si="1360"/>
        <v>0</v>
      </c>
      <c r="AW409" s="160">
        <f t="shared" si="1360"/>
        <v>0</v>
      </c>
      <c r="AX409" s="160">
        <f t="shared" si="1360"/>
        <v>0</v>
      </c>
      <c r="AY409" s="160">
        <f t="shared" si="1360"/>
        <v>0</v>
      </c>
      <c r="AZ409" s="160">
        <f t="shared" si="1360"/>
        <v>0</v>
      </c>
      <c r="BA409" s="160">
        <f t="shared" si="1360"/>
        <v>0</v>
      </c>
      <c r="BB409" s="160">
        <f t="shared" si="1360"/>
        <v>0</v>
      </c>
      <c r="BC409" s="160">
        <f t="shared" si="1360"/>
        <v>0</v>
      </c>
      <c r="BD409" s="160">
        <f t="shared" si="1360"/>
        <v>0</v>
      </c>
      <c r="BE409" s="160">
        <f t="shared" si="1360"/>
        <v>0</v>
      </c>
      <c r="BF409" s="160">
        <f t="shared" si="1360"/>
        <v>0</v>
      </c>
      <c r="BG409" s="160">
        <f t="shared" si="1361"/>
        <v>0</v>
      </c>
      <c r="BH409" s="160">
        <f t="shared" si="1361"/>
        <v>0</v>
      </c>
      <c r="BI409" s="160">
        <f t="shared" si="1361"/>
        <v>0</v>
      </c>
      <c r="BJ409" s="160">
        <f t="shared" si="1361"/>
        <v>0</v>
      </c>
      <c r="BK409" s="160">
        <f t="shared" si="1361"/>
        <v>0</v>
      </c>
      <c r="BL409" s="160">
        <f t="shared" si="1361"/>
        <v>0</v>
      </c>
      <c r="BM409" s="160">
        <f t="shared" si="1361"/>
        <v>0</v>
      </c>
      <c r="BN409" s="160">
        <f t="shared" si="1361"/>
        <v>0</v>
      </c>
      <c r="BO409" s="160">
        <f t="shared" si="1361"/>
        <v>0</v>
      </c>
      <c r="BP409" s="160">
        <f t="shared" si="1361"/>
        <v>0</v>
      </c>
      <c r="BQ409" s="160">
        <f t="shared" si="1361"/>
        <v>0</v>
      </c>
      <c r="BR409" s="160">
        <f t="shared" si="1361"/>
        <v>0</v>
      </c>
      <c r="BS409" s="65"/>
      <c r="BT409" s="160">
        <f t="shared" si="1362"/>
        <v>0</v>
      </c>
      <c r="BU409" s="160">
        <f t="shared" si="1363"/>
        <v>0</v>
      </c>
      <c r="BV409" s="65"/>
      <c r="BW409" s="69"/>
      <c r="BX409" s="65"/>
      <c r="BY409" s="137">
        <f t="shared" si="1364"/>
        <v>1</v>
      </c>
      <c r="BZ409" s="137">
        <f>IF(BY409&gt;0,BY409+LARGE($BZ$213:BZ408,1),0)</f>
        <v>165</v>
      </c>
      <c r="CA409" s="137" t="str">
        <f t="shared" si="1365"/>
        <v>ENG/ARQ PL.</v>
      </c>
      <c r="CB409" s="161">
        <f t="shared" si="1366"/>
        <v>0</v>
      </c>
      <c r="CC409" s="161">
        <f t="shared" si="1367"/>
        <v>0</v>
      </c>
      <c r="CD409" s="161">
        <f t="shared" si="1368"/>
        <v>0</v>
      </c>
      <c r="CE409" s="161">
        <f t="shared" si="1369"/>
        <v>0</v>
      </c>
      <c r="CF409" s="161">
        <f t="shared" si="1370"/>
        <v>0</v>
      </c>
      <c r="CG409" s="161">
        <f t="shared" si="1371"/>
        <v>0</v>
      </c>
      <c r="CH409" s="161">
        <f t="shared" si="1372"/>
        <v>0</v>
      </c>
      <c r="CI409" s="161">
        <f t="shared" si="1373"/>
        <v>0</v>
      </c>
      <c r="CJ409" s="161">
        <f t="shared" si="1374"/>
        <v>0</v>
      </c>
      <c r="CK409" s="161">
        <f t="shared" si="1375"/>
        <v>0</v>
      </c>
      <c r="CL409" s="161">
        <f t="shared" si="1376"/>
        <v>0</v>
      </c>
      <c r="CM409" s="161">
        <f t="shared" si="1377"/>
        <v>0</v>
      </c>
      <c r="CN409" s="161">
        <f t="shared" si="1378"/>
        <v>0</v>
      </c>
      <c r="CO409" s="161">
        <f t="shared" si="1379"/>
        <v>0</v>
      </c>
      <c r="CP409" s="161">
        <f t="shared" si="1380"/>
        <v>0</v>
      </c>
      <c r="CQ409" s="161">
        <f t="shared" si="1381"/>
        <v>0</v>
      </c>
      <c r="CR409" s="161">
        <f t="shared" si="1382"/>
        <v>0</v>
      </c>
      <c r="CS409" s="161">
        <f t="shared" si="1383"/>
        <v>0</v>
      </c>
      <c r="CT409" s="161">
        <f t="shared" si="1384"/>
        <v>0</v>
      </c>
      <c r="CU409" s="161">
        <f t="shared" si="1385"/>
        <v>0</v>
      </c>
      <c r="CV409" s="161">
        <f t="shared" si="1386"/>
        <v>0</v>
      </c>
      <c r="CW409" s="161">
        <f t="shared" si="1387"/>
        <v>0</v>
      </c>
      <c r="CX409" s="161">
        <f t="shared" si="1388"/>
        <v>0</v>
      </c>
      <c r="CY409" s="161">
        <f t="shared" si="1389"/>
        <v>0</v>
      </c>
      <c r="CZ409" s="161">
        <f t="shared" si="1390"/>
        <v>0</v>
      </c>
      <c r="DA409" s="161">
        <f t="shared" si="1391"/>
        <v>0</v>
      </c>
      <c r="DB409" s="161">
        <f t="shared" si="1392"/>
        <v>0</v>
      </c>
      <c r="DC409" s="161">
        <f t="shared" si="1393"/>
        <v>0</v>
      </c>
      <c r="DD409" s="161">
        <f t="shared" si="1394"/>
        <v>0</v>
      </c>
      <c r="DE409" s="161">
        <f t="shared" si="1395"/>
        <v>0</v>
      </c>
      <c r="DF409" s="161">
        <f t="shared" si="1396"/>
        <v>0</v>
      </c>
      <c r="DG409" s="161">
        <f t="shared" si="1397"/>
        <v>0</v>
      </c>
      <c r="DH409" s="161">
        <f t="shared" si="1398"/>
        <v>0</v>
      </c>
      <c r="DI409" s="161">
        <f t="shared" si="1399"/>
        <v>0</v>
      </c>
      <c r="DJ409" s="161">
        <f t="shared" si="1400"/>
        <v>0</v>
      </c>
      <c r="DK409" s="161">
        <f t="shared" si="1401"/>
        <v>0</v>
      </c>
      <c r="DL409" s="161">
        <f t="shared" si="1402"/>
        <v>0</v>
      </c>
      <c r="DM409" s="161">
        <f t="shared" si="1403"/>
        <v>0</v>
      </c>
      <c r="DN409" s="161">
        <f t="shared" si="1404"/>
        <v>0</v>
      </c>
      <c r="DO409" s="161">
        <f t="shared" si="1405"/>
        <v>0</v>
      </c>
      <c r="DP409" s="161">
        <f t="shared" si="1406"/>
        <v>0</v>
      </c>
      <c r="DQ409" s="161">
        <f t="shared" si="1407"/>
        <v>0</v>
      </c>
      <c r="DR409" s="161">
        <f t="shared" si="1408"/>
        <v>0</v>
      </c>
      <c r="DS409" s="161">
        <f t="shared" si="1409"/>
        <v>0</v>
      </c>
      <c r="DT409" s="161">
        <f t="shared" si="1410"/>
        <v>0</v>
      </c>
      <c r="DU409" s="161">
        <f t="shared" si="1411"/>
        <v>0</v>
      </c>
      <c r="DV409" s="161">
        <f t="shared" si="1412"/>
        <v>0</v>
      </c>
      <c r="DW409" s="161">
        <f t="shared" si="1413"/>
        <v>0</v>
      </c>
      <c r="DX409" s="161">
        <f t="shared" si="1414"/>
        <v>0</v>
      </c>
      <c r="DY409" s="161">
        <f t="shared" si="1415"/>
        <v>0</v>
      </c>
      <c r="DZ409" s="161">
        <f t="shared" si="1416"/>
        <v>0</v>
      </c>
      <c r="EA409" s="161">
        <f t="shared" si="1417"/>
        <v>0</v>
      </c>
      <c r="EB409" s="161">
        <f t="shared" si="1418"/>
        <v>0</v>
      </c>
      <c r="EC409" s="161">
        <f t="shared" si="1419"/>
        <v>0</v>
      </c>
      <c r="ED409" s="161">
        <f t="shared" si="1420"/>
        <v>0</v>
      </c>
      <c r="EE409" s="161">
        <f t="shared" si="1421"/>
        <v>0</v>
      </c>
      <c r="EF409" s="161">
        <f t="shared" si="1422"/>
        <v>0</v>
      </c>
      <c r="EG409" s="161">
        <f t="shared" si="1423"/>
        <v>0</v>
      </c>
      <c r="EH409" s="161">
        <f t="shared" si="1424"/>
        <v>0</v>
      </c>
      <c r="EI409" s="161">
        <f t="shared" si="1425"/>
        <v>0</v>
      </c>
      <c r="EJ409" s="65"/>
      <c r="EK409" s="161">
        <f t="shared" si="1426"/>
        <v>0</v>
      </c>
      <c r="EL409" s="161">
        <f t="shared" si="1427"/>
        <v>0</v>
      </c>
      <c r="EM409" s="161">
        <f t="shared" si="1428"/>
        <v>0</v>
      </c>
    </row>
    <row r="410" spans="1:143" ht="12" hidden="1" customHeight="1" outlineLevel="2">
      <c r="A410" s="77">
        <v>6</v>
      </c>
      <c r="B410" s="137" t="str">
        <f t="shared" si="1356"/>
        <v>ENG/ARQ JR. - Equipe_01</v>
      </c>
      <c r="C410" s="65"/>
      <c r="D410" s="621"/>
      <c r="E410" s="65"/>
      <c r="F410" s="584"/>
      <c r="G410" s="77" t="str">
        <f>IF(INDEX(Tarefas!$BT$30:$FK$30,MATCH(A410,Tarefas!$BT$28:$FK$28,0))=0,"",INDEX(Tarefas!$BT$30:$FK$30,MATCH(A410,Tarefas!$BT$28:$FK$28,0)))</f>
        <v>ENG/ARQ JR.</v>
      </c>
      <c r="H410" s="107" cm="1">
        <f t="array" ref="H410">IFERROR((SUMPRODUCT((Tarefas!$N$32:$N$54='Cronog. e Histog.'!$F$405)*(Tarefas!$BQ$30:$FK$30='Cronog. e Histog.'!$G410)*(Tarefas!$BQ$32:$FK$54)))/SUMIF(Tarefas!$N$32:$N$54,'Cronog. e Histog.'!$F$405,Tarefas!$K$32:$K$54),0)</f>
        <v>0</v>
      </c>
      <c r="I410" s="79">
        <f t="shared" si="1357"/>
        <v>0</v>
      </c>
      <c r="J410" s="65"/>
      <c r="K410" s="160">
        <f t="shared" si="1358"/>
        <v>0</v>
      </c>
      <c r="L410" s="160">
        <f t="shared" si="1358"/>
        <v>0</v>
      </c>
      <c r="M410" s="160">
        <f t="shared" si="1358"/>
        <v>0</v>
      </c>
      <c r="N410" s="160">
        <f t="shared" si="1358"/>
        <v>0</v>
      </c>
      <c r="O410" s="160">
        <f t="shared" si="1358"/>
        <v>0</v>
      </c>
      <c r="P410" s="160">
        <f t="shared" si="1358"/>
        <v>0</v>
      </c>
      <c r="Q410" s="160">
        <f t="shared" si="1358"/>
        <v>0</v>
      </c>
      <c r="R410" s="160">
        <f t="shared" si="1358"/>
        <v>0</v>
      </c>
      <c r="S410" s="160">
        <f t="shared" si="1358"/>
        <v>0</v>
      </c>
      <c r="T410" s="160">
        <f t="shared" si="1358"/>
        <v>0</v>
      </c>
      <c r="U410" s="160">
        <f t="shared" si="1358"/>
        <v>0</v>
      </c>
      <c r="V410" s="160">
        <f t="shared" si="1358"/>
        <v>0</v>
      </c>
      <c r="W410" s="160">
        <f t="shared" si="1358"/>
        <v>0</v>
      </c>
      <c r="X410" s="160">
        <f t="shared" si="1358"/>
        <v>0</v>
      </c>
      <c r="Y410" s="160">
        <f t="shared" si="1358"/>
        <v>0</v>
      </c>
      <c r="Z410" s="160">
        <f t="shared" si="1358"/>
        <v>0</v>
      </c>
      <c r="AA410" s="160">
        <f t="shared" si="1359"/>
        <v>0</v>
      </c>
      <c r="AB410" s="160">
        <f t="shared" si="1359"/>
        <v>0</v>
      </c>
      <c r="AC410" s="160">
        <f t="shared" si="1359"/>
        <v>0</v>
      </c>
      <c r="AD410" s="160">
        <f t="shared" si="1359"/>
        <v>0</v>
      </c>
      <c r="AE410" s="160">
        <f t="shared" si="1359"/>
        <v>0</v>
      </c>
      <c r="AF410" s="160">
        <f t="shared" si="1359"/>
        <v>0</v>
      </c>
      <c r="AG410" s="160">
        <f t="shared" si="1359"/>
        <v>0</v>
      </c>
      <c r="AH410" s="160">
        <f t="shared" si="1359"/>
        <v>0</v>
      </c>
      <c r="AI410" s="160">
        <f t="shared" si="1359"/>
        <v>0</v>
      </c>
      <c r="AJ410" s="160">
        <f t="shared" si="1359"/>
        <v>0</v>
      </c>
      <c r="AK410" s="160">
        <f t="shared" si="1359"/>
        <v>0</v>
      </c>
      <c r="AL410" s="160">
        <f t="shared" si="1359"/>
        <v>0</v>
      </c>
      <c r="AM410" s="160">
        <f t="shared" si="1359"/>
        <v>0</v>
      </c>
      <c r="AN410" s="160">
        <f t="shared" si="1359"/>
        <v>0</v>
      </c>
      <c r="AO410" s="160">
        <f t="shared" si="1359"/>
        <v>0</v>
      </c>
      <c r="AP410" s="160">
        <f t="shared" si="1359"/>
        <v>0</v>
      </c>
      <c r="AQ410" s="160">
        <f t="shared" si="1360"/>
        <v>0</v>
      </c>
      <c r="AR410" s="160">
        <f t="shared" si="1360"/>
        <v>0</v>
      </c>
      <c r="AS410" s="160">
        <f t="shared" si="1360"/>
        <v>0</v>
      </c>
      <c r="AT410" s="160">
        <f t="shared" si="1360"/>
        <v>0</v>
      </c>
      <c r="AU410" s="160">
        <f t="shared" si="1360"/>
        <v>0</v>
      </c>
      <c r="AV410" s="160">
        <f t="shared" si="1360"/>
        <v>0</v>
      </c>
      <c r="AW410" s="160">
        <f t="shared" si="1360"/>
        <v>0</v>
      </c>
      <c r="AX410" s="160">
        <f t="shared" si="1360"/>
        <v>0</v>
      </c>
      <c r="AY410" s="160">
        <f t="shared" si="1360"/>
        <v>0</v>
      </c>
      <c r="AZ410" s="160">
        <f t="shared" si="1360"/>
        <v>0</v>
      </c>
      <c r="BA410" s="160">
        <f t="shared" si="1360"/>
        <v>0</v>
      </c>
      <c r="BB410" s="160">
        <f t="shared" si="1360"/>
        <v>0</v>
      </c>
      <c r="BC410" s="160">
        <f t="shared" si="1360"/>
        <v>0</v>
      </c>
      <c r="BD410" s="160">
        <f t="shared" si="1360"/>
        <v>0</v>
      </c>
      <c r="BE410" s="160">
        <f t="shared" si="1360"/>
        <v>0</v>
      </c>
      <c r="BF410" s="160">
        <f t="shared" si="1360"/>
        <v>0</v>
      </c>
      <c r="BG410" s="160">
        <f t="shared" si="1361"/>
        <v>0</v>
      </c>
      <c r="BH410" s="160">
        <f t="shared" si="1361"/>
        <v>0</v>
      </c>
      <c r="BI410" s="160">
        <f t="shared" si="1361"/>
        <v>0</v>
      </c>
      <c r="BJ410" s="160">
        <f t="shared" si="1361"/>
        <v>0</v>
      </c>
      <c r="BK410" s="160">
        <f t="shared" si="1361"/>
        <v>0</v>
      </c>
      <c r="BL410" s="160">
        <f t="shared" si="1361"/>
        <v>0</v>
      </c>
      <c r="BM410" s="160">
        <f t="shared" si="1361"/>
        <v>0</v>
      </c>
      <c r="BN410" s="160">
        <f t="shared" si="1361"/>
        <v>0</v>
      </c>
      <c r="BO410" s="160">
        <f t="shared" si="1361"/>
        <v>0</v>
      </c>
      <c r="BP410" s="160">
        <f t="shared" si="1361"/>
        <v>0</v>
      </c>
      <c r="BQ410" s="160">
        <f t="shared" si="1361"/>
        <v>0</v>
      </c>
      <c r="BR410" s="160">
        <f t="shared" si="1361"/>
        <v>0</v>
      </c>
      <c r="BS410" s="65"/>
      <c r="BT410" s="160">
        <f t="shared" si="1362"/>
        <v>0</v>
      </c>
      <c r="BU410" s="160">
        <f t="shared" si="1363"/>
        <v>0</v>
      </c>
      <c r="BV410" s="65"/>
      <c r="BW410" s="69"/>
      <c r="BX410" s="65"/>
      <c r="BY410" s="137">
        <f t="shared" si="1364"/>
        <v>1</v>
      </c>
      <c r="BZ410" s="137">
        <f>IF(BY410&gt;0,BY410+LARGE($BZ$213:BZ409,1),0)</f>
        <v>166</v>
      </c>
      <c r="CA410" s="137" t="str">
        <f t="shared" si="1365"/>
        <v>ENG/ARQ JR.</v>
      </c>
      <c r="CB410" s="161">
        <f t="shared" si="1366"/>
        <v>0</v>
      </c>
      <c r="CC410" s="161">
        <f t="shared" si="1367"/>
        <v>0</v>
      </c>
      <c r="CD410" s="161">
        <f t="shared" si="1368"/>
        <v>0</v>
      </c>
      <c r="CE410" s="161">
        <f t="shared" si="1369"/>
        <v>0</v>
      </c>
      <c r="CF410" s="161">
        <f t="shared" si="1370"/>
        <v>0</v>
      </c>
      <c r="CG410" s="161">
        <f t="shared" si="1371"/>
        <v>0</v>
      </c>
      <c r="CH410" s="161">
        <f t="shared" si="1372"/>
        <v>0</v>
      </c>
      <c r="CI410" s="161">
        <f t="shared" si="1373"/>
        <v>0</v>
      </c>
      <c r="CJ410" s="161">
        <f t="shared" si="1374"/>
        <v>0</v>
      </c>
      <c r="CK410" s="161">
        <f t="shared" si="1375"/>
        <v>0</v>
      </c>
      <c r="CL410" s="161">
        <f t="shared" si="1376"/>
        <v>0</v>
      </c>
      <c r="CM410" s="161">
        <f t="shared" si="1377"/>
        <v>0</v>
      </c>
      <c r="CN410" s="161">
        <f t="shared" si="1378"/>
        <v>0</v>
      </c>
      <c r="CO410" s="161">
        <f t="shared" si="1379"/>
        <v>0</v>
      </c>
      <c r="CP410" s="161">
        <f t="shared" si="1380"/>
        <v>0</v>
      </c>
      <c r="CQ410" s="161">
        <f t="shared" si="1381"/>
        <v>0</v>
      </c>
      <c r="CR410" s="161">
        <f t="shared" si="1382"/>
        <v>0</v>
      </c>
      <c r="CS410" s="161">
        <f t="shared" si="1383"/>
        <v>0</v>
      </c>
      <c r="CT410" s="161">
        <f t="shared" si="1384"/>
        <v>0</v>
      </c>
      <c r="CU410" s="161">
        <f t="shared" si="1385"/>
        <v>0</v>
      </c>
      <c r="CV410" s="161">
        <f t="shared" si="1386"/>
        <v>0</v>
      </c>
      <c r="CW410" s="161">
        <f t="shared" si="1387"/>
        <v>0</v>
      </c>
      <c r="CX410" s="161">
        <f t="shared" si="1388"/>
        <v>0</v>
      </c>
      <c r="CY410" s="161">
        <f t="shared" si="1389"/>
        <v>0</v>
      </c>
      <c r="CZ410" s="161">
        <f t="shared" si="1390"/>
        <v>0</v>
      </c>
      <c r="DA410" s="161">
        <f t="shared" si="1391"/>
        <v>0</v>
      </c>
      <c r="DB410" s="161">
        <f t="shared" si="1392"/>
        <v>0</v>
      </c>
      <c r="DC410" s="161">
        <f t="shared" si="1393"/>
        <v>0</v>
      </c>
      <c r="DD410" s="161">
        <f t="shared" si="1394"/>
        <v>0</v>
      </c>
      <c r="DE410" s="161">
        <f t="shared" si="1395"/>
        <v>0</v>
      </c>
      <c r="DF410" s="161">
        <f t="shared" si="1396"/>
        <v>0</v>
      </c>
      <c r="DG410" s="161">
        <f t="shared" si="1397"/>
        <v>0</v>
      </c>
      <c r="DH410" s="161">
        <f t="shared" si="1398"/>
        <v>0</v>
      </c>
      <c r="DI410" s="161">
        <f t="shared" si="1399"/>
        <v>0</v>
      </c>
      <c r="DJ410" s="161">
        <f t="shared" si="1400"/>
        <v>0</v>
      </c>
      <c r="DK410" s="161">
        <f t="shared" si="1401"/>
        <v>0</v>
      </c>
      <c r="DL410" s="161">
        <f t="shared" si="1402"/>
        <v>0</v>
      </c>
      <c r="DM410" s="161">
        <f t="shared" si="1403"/>
        <v>0</v>
      </c>
      <c r="DN410" s="161">
        <f t="shared" si="1404"/>
        <v>0</v>
      </c>
      <c r="DO410" s="161">
        <f t="shared" si="1405"/>
        <v>0</v>
      </c>
      <c r="DP410" s="161">
        <f t="shared" si="1406"/>
        <v>0</v>
      </c>
      <c r="DQ410" s="161">
        <f t="shared" si="1407"/>
        <v>0</v>
      </c>
      <c r="DR410" s="161">
        <f t="shared" si="1408"/>
        <v>0</v>
      </c>
      <c r="DS410" s="161">
        <f t="shared" si="1409"/>
        <v>0</v>
      </c>
      <c r="DT410" s="161">
        <f t="shared" si="1410"/>
        <v>0</v>
      </c>
      <c r="DU410" s="161">
        <f t="shared" si="1411"/>
        <v>0</v>
      </c>
      <c r="DV410" s="161">
        <f t="shared" si="1412"/>
        <v>0</v>
      </c>
      <c r="DW410" s="161">
        <f t="shared" si="1413"/>
        <v>0</v>
      </c>
      <c r="DX410" s="161">
        <f t="shared" si="1414"/>
        <v>0</v>
      </c>
      <c r="DY410" s="161">
        <f t="shared" si="1415"/>
        <v>0</v>
      </c>
      <c r="DZ410" s="161">
        <f t="shared" si="1416"/>
        <v>0</v>
      </c>
      <c r="EA410" s="161">
        <f t="shared" si="1417"/>
        <v>0</v>
      </c>
      <c r="EB410" s="161">
        <f t="shared" si="1418"/>
        <v>0</v>
      </c>
      <c r="EC410" s="161">
        <f t="shared" si="1419"/>
        <v>0</v>
      </c>
      <c r="ED410" s="161">
        <f t="shared" si="1420"/>
        <v>0</v>
      </c>
      <c r="EE410" s="161">
        <f t="shared" si="1421"/>
        <v>0</v>
      </c>
      <c r="EF410" s="161">
        <f t="shared" si="1422"/>
        <v>0</v>
      </c>
      <c r="EG410" s="161">
        <f t="shared" si="1423"/>
        <v>0</v>
      </c>
      <c r="EH410" s="161">
        <f t="shared" si="1424"/>
        <v>0</v>
      </c>
      <c r="EI410" s="161">
        <f t="shared" si="1425"/>
        <v>0</v>
      </c>
      <c r="EJ410" s="65"/>
      <c r="EK410" s="161">
        <f t="shared" si="1426"/>
        <v>0</v>
      </c>
      <c r="EL410" s="161">
        <f t="shared" si="1427"/>
        <v>0</v>
      </c>
      <c r="EM410" s="161">
        <f t="shared" si="1428"/>
        <v>0</v>
      </c>
    </row>
    <row r="411" spans="1:143" ht="12" hidden="1" customHeight="1" outlineLevel="2">
      <c r="A411" s="77">
        <v>7</v>
      </c>
      <c r="B411" s="137" t="str">
        <f t="shared" si="1356"/>
        <v>AN SR. ENG/ARQ - Equipe_01</v>
      </c>
      <c r="C411" s="65"/>
      <c r="D411" s="621"/>
      <c r="E411" s="65"/>
      <c r="F411" s="584"/>
      <c r="G411" s="77" t="str">
        <f>IF(INDEX(Tarefas!$BT$30:$FK$30,MATCH(A411,Tarefas!$BT$28:$FK$28,0))=0,"",INDEX(Tarefas!$BT$30:$FK$30,MATCH(A411,Tarefas!$BT$28:$FK$28,0)))</f>
        <v>AN SR. ENG/ARQ</v>
      </c>
      <c r="H411" s="107" cm="1">
        <f t="array" ref="H411">IFERROR((SUMPRODUCT((Tarefas!$N$32:$N$54='Cronog. e Histog.'!$F$405)*(Tarefas!$BQ$30:$FK$30='Cronog. e Histog.'!$G411)*(Tarefas!$BQ$32:$FK$54)))/SUMIF(Tarefas!$N$32:$N$54,'Cronog. e Histog.'!$F$405,Tarefas!$K$32:$K$54),0)</f>
        <v>0</v>
      </c>
      <c r="I411" s="79">
        <f t="shared" si="1357"/>
        <v>0</v>
      </c>
      <c r="J411" s="65"/>
      <c r="K411" s="160">
        <f t="shared" si="1358"/>
        <v>0</v>
      </c>
      <c r="L411" s="160">
        <f t="shared" si="1358"/>
        <v>0</v>
      </c>
      <c r="M411" s="160">
        <f t="shared" si="1358"/>
        <v>0</v>
      </c>
      <c r="N411" s="160">
        <f t="shared" si="1358"/>
        <v>0</v>
      </c>
      <c r="O411" s="160">
        <f t="shared" si="1358"/>
        <v>0</v>
      </c>
      <c r="P411" s="160">
        <f t="shared" si="1358"/>
        <v>0</v>
      </c>
      <c r="Q411" s="160">
        <f t="shared" si="1358"/>
        <v>0</v>
      </c>
      <c r="R411" s="160">
        <f t="shared" si="1358"/>
        <v>0</v>
      </c>
      <c r="S411" s="160">
        <f t="shared" si="1358"/>
        <v>0</v>
      </c>
      <c r="T411" s="160">
        <f t="shared" si="1358"/>
        <v>0</v>
      </c>
      <c r="U411" s="160">
        <f t="shared" si="1358"/>
        <v>0</v>
      </c>
      <c r="V411" s="160">
        <f t="shared" si="1358"/>
        <v>0</v>
      </c>
      <c r="W411" s="160">
        <f t="shared" si="1358"/>
        <v>0</v>
      </c>
      <c r="X411" s="160">
        <f t="shared" si="1358"/>
        <v>0</v>
      </c>
      <c r="Y411" s="160">
        <f t="shared" si="1358"/>
        <v>0</v>
      </c>
      <c r="Z411" s="160">
        <f t="shared" si="1358"/>
        <v>0</v>
      </c>
      <c r="AA411" s="160">
        <f t="shared" si="1359"/>
        <v>0</v>
      </c>
      <c r="AB411" s="160">
        <f t="shared" si="1359"/>
        <v>0</v>
      </c>
      <c r="AC411" s="160">
        <f t="shared" si="1359"/>
        <v>0</v>
      </c>
      <c r="AD411" s="160">
        <f t="shared" si="1359"/>
        <v>0</v>
      </c>
      <c r="AE411" s="160">
        <f t="shared" si="1359"/>
        <v>0</v>
      </c>
      <c r="AF411" s="160">
        <f t="shared" si="1359"/>
        <v>0</v>
      </c>
      <c r="AG411" s="160">
        <f t="shared" si="1359"/>
        <v>0</v>
      </c>
      <c r="AH411" s="160">
        <f t="shared" si="1359"/>
        <v>0</v>
      </c>
      <c r="AI411" s="160">
        <f t="shared" si="1359"/>
        <v>0</v>
      </c>
      <c r="AJ411" s="160">
        <f t="shared" si="1359"/>
        <v>0</v>
      </c>
      <c r="AK411" s="160">
        <f t="shared" si="1359"/>
        <v>0</v>
      </c>
      <c r="AL411" s="160">
        <f t="shared" si="1359"/>
        <v>0</v>
      </c>
      <c r="AM411" s="160">
        <f t="shared" si="1359"/>
        <v>0</v>
      </c>
      <c r="AN411" s="160">
        <f t="shared" si="1359"/>
        <v>0</v>
      </c>
      <c r="AO411" s="160">
        <f t="shared" si="1359"/>
        <v>0</v>
      </c>
      <c r="AP411" s="160">
        <f t="shared" si="1359"/>
        <v>0</v>
      </c>
      <c r="AQ411" s="160">
        <f t="shared" si="1360"/>
        <v>0</v>
      </c>
      <c r="AR411" s="160">
        <f t="shared" si="1360"/>
        <v>0</v>
      </c>
      <c r="AS411" s="160">
        <f t="shared" si="1360"/>
        <v>0</v>
      </c>
      <c r="AT411" s="160">
        <f t="shared" si="1360"/>
        <v>0</v>
      </c>
      <c r="AU411" s="160">
        <f t="shared" si="1360"/>
        <v>0</v>
      </c>
      <c r="AV411" s="160">
        <f t="shared" si="1360"/>
        <v>0</v>
      </c>
      <c r="AW411" s="160">
        <f t="shared" si="1360"/>
        <v>0</v>
      </c>
      <c r="AX411" s="160">
        <f t="shared" si="1360"/>
        <v>0</v>
      </c>
      <c r="AY411" s="160">
        <f t="shared" si="1360"/>
        <v>0</v>
      </c>
      <c r="AZ411" s="160">
        <f t="shared" si="1360"/>
        <v>0</v>
      </c>
      <c r="BA411" s="160">
        <f t="shared" si="1360"/>
        <v>0</v>
      </c>
      <c r="BB411" s="160">
        <f t="shared" si="1360"/>
        <v>0</v>
      </c>
      <c r="BC411" s="160">
        <f t="shared" si="1360"/>
        <v>0</v>
      </c>
      <c r="BD411" s="160">
        <f t="shared" si="1360"/>
        <v>0</v>
      </c>
      <c r="BE411" s="160">
        <f t="shared" si="1360"/>
        <v>0</v>
      </c>
      <c r="BF411" s="160">
        <f t="shared" si="1360"/>
        <v>0</v>
      </c>
      <c r="BG411" s="160">
        <f t="shared" si="1361"/>
        <v>0</v>
      </c>
      <c r="BH411" s="160">
        <f t="shared" si="1361"/>
        <v>0</v>
      </c>
      <c r="BI411" s="160">
        <f t="shared" si="1361"/>
        <v>0</v>
      </c>
      <c r="BJ411" s="160">
        <f t="shared" si="1361"/>
        <v>0</v>
      </c>
      <c r="BK411" s="160">
        <f t="shared" si="1361"/>
        <v>0</v>
      </c>
      <c r="BL411" s="160">
        <f t="shared" si="1361"/>
        <v>0</v>
      </c>
      <c r="BM411" s="160">
        <f t="shared" si="1361"/>
        <v>0</v>
      </c>
      <c r="BN411" s="160">
        <f t="shared" si="1361"/>
        <v>0</v>
      </c>
      <c r="BO411" s="160">
        <f t="shared" si="1361"/>
        <v>0</v>
      </c>
      <c r="BP411" s="160">
        <f t="shared" si="1361"/>
        <v>0</v>
      </c>
      <c r="BQ411" s="160">
        <f t="shared" si="1361"/>
        <v>0</v>
      </c>
      <c r="BR411" s="160">
        <f t="shared" si="1361"/>
        <v>0</v>
      </c>
      <c r="BS411" s="65"/>
      <c r="BT411" s="160">
        <f t="shared" si="1362"/>
        <v>0</v>
      </c>
      <c r="BU411" s="160">
        <f t="shared" si="1363"/>
        <v>0</v>
      </c>
      <c r="BV411" s="65"/>
      <c r="BW411" s="69"/>
      <c r="BX411" s="65"/>
      <c r="BY411" s="137">
        <f t="shared" si="1364"/>
        <v>1</v>
      </c>
      <c r="BZ411" s="137">
        <f>IF(BY411&gt;0,BY411+LARGE($BZ$213:BZ410,1),0)</f>
        <v>167</v>
      </c>
      <c r="CA411" s="137" t="str">
        <f t="shared" si="1365"/>
        <v>AN SR. ENG/ARQ</v>
      </c>
      <c r="CB411" s="161">
        <f t="shared" si="1366"/>
        <v>0</v>
      </c>
      <c r="CC411" s="161">
        <f t="shared" si="1367"/>
        <v>0</v>
      </c>
      <c r="CD411" s="161">
        <f t="shared" si="1368"/>
        <v>0</v>
      </c>
      <c r="CE411" s="161">
        <f t="shared" si="1369"/>
        <v>0</v>
      </c>
      <c r="CF411" s="161">
        <f t="shared" si="1370"/>
        <v>0</v>
      </c>
      <c r="CG411" s="161">
        <f t="shared" si="1371"/>
        <v>0</v>
      </c>
      <c r="CH411" s="161">
        <f t="shared" si="1372"/>
        <v>0</v>
      </c>
      <c r="CI411" s="161">
        <f t="shared" si="1373"/>
        <v>0</v>
      </c>
      <c r="CJ411" s="161">
        <f t="shared" si="1374"/>
        <v>0</v>
      </c>
      <c r="CK411" s="161">
        <f t="shared" si="1375"/>
        <v>0</v>
      </c>
      <c r="CL411" s="161">
        <f t="shared" si="1376"/>
        <v>0</v>
      </c>
      <c r="CM411" s="161">
        <f t="shared" si="1377"/>
        <v>0</v>
      </c>
      <c r="CN411" s="161">
        <f t="shared" si="1378"/>
        <v>0</v>
      </c>
      <c r="CO411" s="161">
        <f t="shared" si="1379"/>
        <v>0</v>
      </c>
      <c r="CP411" s="161">
        <f t="shared" si="1380"/>
        <v>0</v>
      </c>
      <c r="CQ411" s="161">
        <f t="shared" si="1381"/>
        <v>0</v>
      </c>
      <c r="CR411" s="161">
        <f t="shared" si="1382"/>
        <v>0</v>
      </c>
      <c r="CS411" s="161">
        <f t="shared" si="1383"/>
        <v>0</v>
      </c>
      <c r="CT411" s="161">
        <f t="shared" si="1384"/>
        <v>0</v>
      </c>
      <c r="CU411" s="161">
        <f t="shared" si="1385"/>
        <v>0</v>
      </c>
      <c r="CV411" s="161">
        <f t="shared" si="1386"/>
        <v>0</v>
      </c>
      <c r="CW411" s="161">
        <f t="shared" si="1387"/>
        <v>0</v>
      </c>
      <c r="CX411" s="161">
        <f t="shared" si="1388"/>
        <v>0</v>
      </c>
      <c r="CY411" s="161">
        <f t="shared" si="1389"/>
        <v>0</v>
      </c>
      <c r="CZ411" s="161">
        <f t="shared" si="1390"/>
        <v>0</v>
      </c>
      <c r="DA411" s="161">
        <f t="shared" si="1391"/>
        <v>0</v>
      </c>
      <c r="DB411" s="161">
        <f t="shared" si="1392"/>
        <v>0</v>
      </c>
      <c r="DC411" s="161">
        <f t="shared" si="1393"/>
        <v>0</v>
      </c>
      <c r="DD411" s="161">
        <f t="shared" si="1394"/>
        <v>0</v>
      </c>
      <c r="DE411" s="161">
        <f t="shared" si="1395"/>
        <v>0</v>
      </c>
      <c r="DF411" s="161">
        <f t="shared" si="1396"/>
        <v>0</v>
      </c>
      <c r="DG411" s="161">
        <f t="shared" si="1397"/>
        <v>0</v>
      </c>
      <c r="DH411" s="161">
        <f t="shared" si="1398"/>
        <v>0</v>
      </c>
      <c r="DI411" s="161">
        <f t="shared" si="1399"/>
        <v>0</v>
      </c>
      <c r="DJ411" s="161">
        <f t="shared" si="1400"/>
        <v>0</v>
      </c>
      <c r="DK411" s="161">
        <f t="shared" si="1401"/>
        <v>0</v>
      </c>
      <c r="DL411" s="161">
        <f t="shared" si="1402"/>
        <v>0</v>
      </c>
      <c r="DM411" s="161">
        <f t="shared" si="1403"/>
        <v>0</v>
      </c>
      <c r="DN411" s="161">
        <f t="shared" si="1404"/>
        <v>0</v>
      </c>
      <c r="DO411" s="161">
        <f t="shared" si="1405"/>
        <v>0</v>
      </c>
      <c r="DP411" s="161">
        <f t="shared" si="1406"/>
        <v>0</v>
      </c>
      <c r="DQ411" s="161">
        <f t="shared" si="1407"/>
        <v>0</v>
      </c>
      <c r="DR411" s="161">
        <f t="shared" si="1408"/>
        <v>0</v>
      </c>
      <c r="DS411" s="161">
        <f t="shared" si="1409"/>
        <v>0</v>
      </c>
      <c r="DT411" s="161">
        <f t="shared" si="1410"/>
        <v>0</v>
      </c>
      <c r="DU411" s="161">
        <f t="shared" si="1411"/>
        <v>0</v>
      </c>
      <c r="DV411" s="161">
        <f t="shared" si="1412"/>
        <v>0</v>
      </c>
      <c r="DW411" s="161">
        <f t="shared" si="1413"/>
        <v>0</v>
      </c>
      <c r="DX411" s="161">
        <f t="shared" si="1414"/>
        <v>0</v>
      </c>
      <c r="DY411" s="161">
        <f t="shared" si="1415"/>
        <v>0</v>
      </c>
      <c r="DZ411" s="161">
        <f t="shared" si="1416"/>
        <v>0</v>
      </c>
      <c r="EA411" s="161">
        <f t="shared" si="1417"/>
        <v>0</v>
      </c>
      <c r="EB411" s="161">
        <f t="shared" si="1418"/>
        <v>0</v>
      </c>
      <c r="EC411" s="161">
        <f t="shared" si="1419"/>
        <v>0</v>
      </c>
      <c r="ED411" s="161">
        <f t="shared" si="1420"/>
        <v>0</v>
      </c>
      <c r="EE411" s="161">
        <f t="shared" si="1421"/>
        <v>0</v>
      </c>
      <c r="EF411" s="161">
        <f t="shared" si="1422"/>
        <v>0</v>
      </c>
      <c r="EG411" s="161">
        <f t="shared" si="1423"/>
        <v>0</v>
      </c>
      <c r="EH411" s="161">
        <f t="shared" si="1424"/>
        <v>0</v>
      </c>
      <c r="EI411" s="161">
        <f t="shared" si="1425"/>
        <v>0</v>
      </c>
      <c r="EJ411" s="65"/>
      <c r="EK411" s="161">
        <f t="shared" si="1426"/>
        <v>0</v>
      </c>
      <c r="EL411" s="161">
        <f t="shared" si="1427"/>
        <v>0</v>
      </c>
      <c r="EM411" s="161">
        <f t="shared" si="1428"/>
        <v>0</v>
      </c>
    </row>
    <row r="412" spans="1:143" ht="12" hidden="1" customHeight="1" outlineLevel="2">
      <c r="A412" s="77">
        <v>8</v>
      </c>
      <c r="B412" s="137" t="str">
        <f t="shared" si="1356"/>
        <v>AN PL. ENG/ARQ - Equipe_01</v>
      </c>
      <c r="C412" s="65"/>
      <c r="D412" s="621"/>
      <c r="E412" s="65"/>
      <c r="F412" s="584"/>
      <c r="G412" s="77" t="str">
        <f>IF(INDEX(Tarefas!$BT$30:$FK$30,MATCH(A412,Tarefas!$BT$28:$FK$28,0))=0,"",INDEX(Tarefas!$BT$30:$FK$30,MATCH(A412,Tarefas!$BT$28:$FK$28,0)))</f>
        <v>AN PL. ENG/ARQ</v>
      </c>
      <c r="H412" s="107" cm="1">
        <f t="array" ref="H412">IFERROR((SUMPRODUCT((Tarefas!$N$32:$N$54='Cronog. e Histog.'!$F$405)*(Tarefas!$BQ$30:$FK$30='Cronog. e Histog.'!$G412)*(Tarefas!$BQ$32:$FK$54)))/SUMIF(Tarefas!$N$32:$N$54,'Cronog. e Histog.'!$F$405,Tarefas!$K$32:$K$54),0)</f>
        <v>0</v>
      </c>
      <c r="I412" s="79">
        <f t="shared" si="1357"/>
        <v>0</v>
      </c>
      <c r="J412" s="65"/>
      <c r="K412" s="160">
        <f t="shared" si="1358"/>
        <v>0</v>
      </c>
      <c r="L412" s="160">
        <f t="shared" si="1358"/>
        <v>0</v>
      </c>
      <c r="M412" s="160">
        <f t="shared" si="1358"/>
        <v>0</v>
      </c>
      <c r="N412" s="160">
        <f t="shared" si="1358"/>
        <v>0</v>
      </c>
      <c r="O412" s="160">
        <f t="shared" si="1358"/>
        <v>0</v>
      </c>
      <c r="P412" s="160">
        <f t="shared" si="1358"/>
        <v>0</v>
      </c>
      <c r="Q412" s="160">
        <f t="shared" si="1358"/>
        <v>0</v>
      </c>
      <c r="R412" s="160">
        <f t="shared" si="1358"/>
        <v>0</v>
      </c>
      <c r="S412" s="160">
        <f t="shared" si="1358"/>
        <v>0</v>
      </c>
      <c r="T412" s="160">
        <f t="shared" si="1358"/>
        <v>0</v>
      </c>
      <c r="U412" s="160">
        <f t="shared" si="1358"/>
        <v>0</v>
      </c>
      <c r="V412" s="160">
        <f t="shared" si="1358"/>
        <v>0</v>
      </c>
      <c r="W412" s="160">
        <f t="shared" si="1358"/>
        <v>0</v>
      </c>
      <c r="X412" s="160">
        <f t="shared" si="1358"/>
        <v>0</v>
      </c>
      <c r="Y412" s="160">
        <f t="shared" si="1358"/>
        <v>0</v>
      </c>
      <c r="Z412" s="160">
        <f t="shared" si="1358"/>
        <v>0</v>
      </c>
      <c r="AA412" s="160">
        <f t="shared" si="1359"/>
        <v>0</v>
      </c>
      <c r="AB412" s="160">
        <f t="shared" si="1359"/>
        <v>0</v>
      </c>
      <c r="AC412" s="160">
        <f t="shared" si="1359"/>
        <v>0</v>
      </c>
      <c r="AD412" s="160">
        <f t="shared" si="1359"/>
        <v>0</v>
      </c>
      <c r="AE412" s="160">
        <f t="shared" si="1359"/>
        <v>0</v>
      </c>
      <c r="AF412" s="160">
        <f t="shared" si="1359"/>
        <v>0</v>
      </c>
      <c r="AG412" s="160">
        <f t="shared" si="1359"/>
        <v>0</v>
      </c>
      <c r="AH412" s="160">
        <f t="shared" si="1359"/>
        <v>0</v>
      </c>
      <c r="AI412" s="160">
        <f t="shared" si="1359"/>
        <v>0</v>
      </c>
      <c r="AJ412" s="160">
        <f t="shared" si="1359"/>
        <v>0</v>
      </c>
      <c r="AK412" s="160">
        <f t="shared" si="1359"/>
        <v>0</v>
      </c>
      <c r="AL412" s="160">
        <f t="shared" si="1359"/>
        <v>0</v>
      </c>
      <c r="AM412" s="160">
        <f t="shared" si="1359"/>
        <v>0</v>
      </c>
      <c r="AN412" s="160">
        <f t="shared" si="1359"/>
        <v>0</v>
      </c>
      <c r="AO412" s="160">
        <f t="shared" si="1359"/>
        <v>0</v>
      </c>
      <c r="AP412" s="160">
        <f t="shared" si="1359"/>
        <v>0</v>
      </c>
      <c r="AQ412" s="160">
        <f t="shared" si="1360"/>
        <v>0</v>
      </c>
      <c r="AR412" s="160">
        <f t="shared" si="1360"/>
        <v>0</v>
      </c>
      <c r="AS412" s="160">
        <f t="shared" si="1360"/>
        <v>0</v>
      </c>
      <c r="AT412" s="160">
        <f t="shared" si="1360"/>
        <v>0</v>
      </c>
      <c r="AU412" s="160">
        <f t="shared" si="1360"/>
        <v>0</v>
      </c>
      <c r="AV412" s="160">
        <f t="shared" si="1360"/>
        <v>0</v>
      </c>
      <c r="AW412" s="160">
        <f t="shared" si="1360"/>
        <v>0</v>
      </c>
      <c r="AX412" s="160">
        <f t="shared" si="1360"/>
        <v>0</v>
      </c>
      <c r="AY412" s="160">
        <f t="shared" si="1360"/>
        <v>0</v>
      </c>
      <c r="AZ412" s="160">
        <f t="shared" si="1360"/>
        <v>0</v>
      </c>
      <c r="BA412" s="160">
        <f t="shared" si="1360"/>
        <v>0</v>
      </c>
      <c r="BB412" s="160">
        <f t="shared" si="1360"/>
        <v>0</v>
      </c>
      <c r="BC412" s="160">
        <f t="shared" si="1360"/>
        <v>0</v>
      </c>
      <c r="BD412" s="160">
        <f t="shared" si="1360"/>
        <v>0</v>
      </c>
      <c r="BE412" s="160">
        <f t="shared" si="1360"/>
        <v>0</v>
      </c>
      <c r="BF412" s="160">
        <f t="shared" si="1360"/>
        <v>0</v>
      </c>
      <c r="BG412" s="160">
        <f t="shared" si="1361"/>
        <v>0</v>
      </c>
      <c r="BH412" s="160">
        <f t="shared" si="1361"/>
        <v>0</v>
      </c>
      <c r="BI412" s="160">
        <f t="shared" si="1361"/>
        <v>0</v>
      </c>
      <c r="BJ412" s="160">
        <f t="shared" si="1361"/>
        <v>0</v>
      </c>
      <c r="BK412" s="160">
        <f t="shared" si="1361"/>
        <v>0</v>
      </c>
      <c r="BL412" s="160">
        <f t="shared" si="1361"/>
        <v>0</v>
      </c>
      <c r="BM412" s="160">
        <f t="shared" si="1361"/>
        <v>0</v>
      </c>
      <c r="BN412" s="160">
        <f t="shared" si="1361"/>
        <v>0</v>
      </c>
      <c r="BO412" s="160">
        <f t="shared" si="1361"/>
        <v>0</v>
      </c>
      <c r="BP412" s="160">
        <f t="shared" si="1361"/>
        <v>0</v>
      </c>
      <c r="BQ412" s="160">
        <f t="shared" si="1361"/>
        <v>0</v>
      </c>
      <c r="BR412" s="160">
        <f t="shared" si="1361"/>
        <v>0</v>
      </c>
      <c r="BS412" s="65"/>
      <c r="BT412" s="160">
        <f t="shared" si="1362"/>
        <v>0</v>
      </c>
      <c r="BU412" s="160">
        <f t="shared" si="1363"/>
        <v>0</v>
      </c>
      <c r="BV412" s="65"/>
      <c r="BW412" s="69"/>
      <c r="BX412" s="65"/>
      <c r="BY412" s="137">
        <f t="shared" si="1364"/>
        <v>1</v>
      </c>
      <c r="BZ412" s="137">
        <f>IF(BY412&gt;0,BY412+LARGE($BZ$213:BZ411,1),0)</f>
        <v>168</v>
      </c>
      <c r="CA412" s="137" t="str">
        <f t="shared" si="1365"/>
        <v>AN PL. ENG/ARQ</v>
      </c>
      <c r="CB412" s="161">
        <f t="shared" si="1366"/>
        <v>0</v>
      </c>
      <c r="CC412" s="161">
        <f t="shared" si="1367"/>
        <v>0</v>
      </c>
      <c r="CD412" s="161">
        <f t="shared" si="1368"/>
        <v>0</v>
      </c>
      <c r="CE412" s="161">
        <f t="shared" si="1369"/>
        <v>0</v>
      </c>
      <c r="CF412" s="161">
        <f t="shared" si="1370"/>
        <v>0</v>
      </c>
      <c r="CG412" s="161">
        <f t="shared" si="1371"/>
        <v>0</v>
      </c>
      <c r="CH412" s="161">
        <f t="shared" si="1372"/>
        <v>0</v>
      </c>
      <c r="CI412" s="161">
        <f t="shared" si="1373"/>
        <v>0</v>
      </c>
      <c r="CJ412" s="161">
        <f t="shared" si="1374"/>
        <v>0</v>
      </c>
      <c r="CK412" s="161">
        <f t="shared" si="1375"/>
        <v>0</v>
      </c>
      <c r="CL412" s="161">
        <f t="shared" si="1376"/>
        <v>0</v>
      </c>
      <c r="CM412" s="161">
        <f t="shared" si="1377"/>
        <v>0</v>
      </c>
      <c r="CN412" s="161">
        <f t="shared" si="1378"/>
        <v>0</v>
      </c>
      <c r="CO412" s="161">
        <f t="shared" si="1379"/>
        <v>0</v>
      </c>
      <c r="CP412" s="161">
        <f t="shared" si="1380"/>
        <v>0</v>
      </c>
      <c r="CQ412" s="161">
        <f t="shared" si="1381"/>
        <v>0</v>
      </c>
      <c r="CR412" s="161">
        <f t="shared" si="1382"/>
        <v>0</v>
      </c>
      <c r="CS412" s="161">
        <f t="shared" si="1383"/>
        <v>0</v>
      </c>
      <c r="CT412" s="161">
        <f t="shared" si="1384"/>
        <v>0</v>
      </c>
      <c r="CU412" s="161">
        <f t="shared" si="1385"/>
        <v>0</v>
      </c>
      <c r="CV412" s="161">
        <f t="shared" si="1386"/>
        <v>0</v>
      </c>
      <c r="CW412" s="161">
        <f t="shared" si="1387"/>
        <v>0</v>
      </c>
      <c r="CX412" s="161">
        <f t="shared" si="1388"/>
        <v>0</v>
      </c>
      <c r="CY412" s="161">
        <f t="shared" si="1389"/>
        <v>0</v>
      </c>
      <c r="CZ412" s="161">
        <f t="shared" si="1390"/>
        <v>0</v>
      </c>
      <c r="DA412" s="161">
        <f t="shared" si="1391"/>
        <v>0</v>
      </c>
      <c r="DB412" s="161">
        <f t="shared" si="1392"/>
        <v>0</v>
      </c>
      <c r="DC412" s="161">
        <f t="shared" si="1393"/>
        <v>0</v>
      </c>
      <c r="DD412" s="161">
        <f t="shared" si="1394"/>
        <v>0</v>
      </c>
      <c r="DE412" s="161">
        <f t="shared" si="1395"/>
        <v>0</v>
      </c>
      <c r="DF412" s="161">
        <f t="shared" si="1396"/>
        <v>0</v>
      </c>
      <c r="DG412" s="161">
        <f t="shared" si="1397"/>
        <v>0</v>
      </c>
      <c r="DH412" s="161">
        <f t="shared" si="1398"/>
        <v>0</v>
      </c>
      <c r="DI412" s="161">
        <f t="shared" si="1399"/>
        <v>0</v>
      </c>
      <c r="DJ412" s="161">
        <f t="shared" si="1400"/>
        <v>0</v>
      </c>
      <c r="DK412" s="161">
        <f t="shared" si="1401"/>
        <v>0</v>
      </c>
      <c r="DL412" s="161">
        <f t="shared" si="1402"/>
        <v>0</v>
      </c>
      <c r="DM412" s="161">
        <f t="shared" si="1403"/>
        <v>0</v>
      </c>
      <c r="DN412" s="161">
        <f t="shared" si="1404"/>
        <v>0</v>
      </c>
      <c r="DO412" s="161">
        <f t="shared" si="1405"/>
        <v>0</v>
      </c>
      <c r="DP412" s="161">
        <f t="shared" si="1406"/>
        <v>0</v>
      </c>
      <c r="DQ412" s="161">
        <f t="shared" si="1407"/>
        <v>0</v>
      </c>
      <c r="DR412" s="161">
        <f t="shared" si="1408"/>
        <v>0</v>
      </c>
      <c r="DS412" s="161">
        <f t="shared" si="1409"/>
        <v>0</v>
      </c>
      <c r="DT412" s="161">
        <f t="shared" si="1410"/>
        <v>0</v>
      </c>
      <c r="DU412" s="161">
        <f t="shared" si="1411"/>
        <v>0</v>
      </c>
      <c r="DV412" s="161">
        <f t="shared" si="1412"/>
        <v>0</v>
      </c>
      <c r="DW412" s="161">
        <f t="shared" si="1413"/>
        <v>0</v>
      </c>
      <c r="DX412" s="161">
        <f t="shared" si="1414"/>
        <v>0</v>
      </c>
      <c r="DY412" s="161">
        <f t="shared" si="1415"/>
        <v>0</v>
      </c>
      <c r="DZ412" s="161">
        <f t="shared" si="1416"/>
        <v>0</v>
      </c>
      <c r="EA412" s="161">
        <f t="shared" si="1417"/>
        <v>0</v>
      </c>
      <c r="EB412" s="161">
        <f t="shared" si="1418"/>
        <v>0</v>
      </c>
      <c r="EC412" s="161">
        <f t="shared" si="1419"/>
        <v>0</v>
      </c>
      <c r="ED412" s="161">
        <f t="shared" si="1420"/>
        <v>0</v>
      </c>
      <c r="EE412" s="161">
        <f t="shared" si="1421"/>
        <v>0</v>
      </c>
      <c r="EF412" s="161">
        <f t="shared" si="1422"/>
        <v>0</v>
      </c>
      <c r="EG412" s="161">
        <f t="shared" si="1423"/>
        <v>0</v>
      </c>
      <c r="EH412" s="161">
        <f t="shared" si="1424"/>
        <v>0</v>
      </c>
      <c r="EI412" s="161">
        <f t="shared" si="1425"/>
        <v>0</v>
      </c>
      <c r="EJ412" s="65"/>
      <c r="EK412" s="161">
        <f t="shared" si="1426"/>
        <v>0</v>
      </c>
      <c r="EL412" s="161">
        <f t="shared" si="1427"/>
        <v>0</v>
      </c>
      <c r="EM412" s="161">
        <f t="shared" si="1428"/>
        <v>0</v>
      </c>
    </row>
    <row r="413" spans="1:143" ht="12" hidden="1" customHeight="1" outlineLevel="2">
      <c r="A413" s="77">
        <v>9</v>
      </c>
      <c r="B413" s="137" t="str">
        <f t="shared" si="1356"/>
        <v>AN JR. ENG/ARQ - Equipe_01</v>
      </c>
      <c r="C413" s="65"/>
      <c r="D413" s="621"/>
      <c r="E413" s="65"/>
      <c r="F413" s="584"/>
      <c r="G413" s="77" t="str">
        <f>IF(INDEX(Tarefas!$BT$30:$FK$30,MATCH(A413,Tarefas!$BT$28:$FK$28,0))=0,"",INDEX(Tarefas!$BT$30:$FK$30,MATCH(A413,Tarefas!$BT$28:$FK$28,0)))</f>
        <v>AN JR. ENG/ARQ</v>
      </c>
      <c r="H413" s="107" cm="1">
        <f t="array" ref="H413">IFERROR((SUMPRODUCT((Tarefas!$N$32:$N$54='Cronog. e Histog.'!$F$405)*(Tarefas!$BQ$30:$FK$30='Cronog. e Histog.'!$G413)*(Tarefas!$BQ$32:$FK$54)))/SUMIF(Tarefas!$N$32:$N$54,'Cronog. e Histog.'!$F$405,Tarefas!$K$32:$K$54),0)</f>
        <v>0</v>
      </c>
      <c r="I413" s="79">
        <f t="shared" si="1357"/>
        <v>0</v>
      </c>
      <c r="J413" s="65"/>
      <c r="K413" s="160">
        <f t="shared" si="1358"/>
        <v>0</v>
      </c>
      <c r="L413" s="160">
        <f t="shared" si="1358"/>
        <v>0</v>
      </c>
      <c r="M413" s="160">
        <f t="shared" si="1358"/>
        <v>0</v>
      </c>
      <c r="N413" s="160">
        <f t="shared" si="1358"/>
        <v>0</v>
      </c>
      <c r="O413" s="160">
        <f t="shared" si="1358"/>
        <v>0</v>
      </c>
      <c r="P413" s="160">
        <f t="shared" si="1358"/>
        <v>0</v>
      </c>
      <c r="Q413" s="160">
        <f t="shared" si="1358"/>
        <v>0</v>
      </c>
      <c r="R413" s="160">
        <f t="shared" si="1358"/>
        <v>0</v>
      </c>
      <c r="S413" s="160">
        <f t="shared" si="1358"/>
        <v>0</v>
      </c>
      <c r="T413" s="160">
        <f t="shared" si="1358"/>
        <v>0</v>
      </c>
      <c r="U413" s="160">
        <f t="shared" si="1358"/>
        <v>0</v>
      </c>
      <c r="V413" s="160">
        <f t="shared" si="1358"/>
        <v>0</v>
      </c>
      <c r="W413" s="160">
        <f t="shared" si="1358"/>
        <v>0</v>
      </c>
      <c r="X413" s="160">
        <f t="shared" si="1358"/>
        <v>0</v>
      </c>
      <c r="Y413" s="160">
        <f t="shared" si="1358"/>
        <v>0</v>
      </c>
      <c r="Z413" s="160">
        <f t="shared" si="1358"/>
        <v>0</v>
      </c>
      <c r="AA413" s="160">
        <f t="shared" si="1359"/>
        <v>0</v>
      </c>
      <c r="AB413" s="160">
        <f t="shared" si="1359"/>
        <v>0</v>
      </c>
      <c r="AC413" s="160">
        <f t="shared" si="1359"/>
        <v>0</v>
      </c>
      <c r="AD413" s="160">
        <f t="shared" si="1359"/>
        <v>0</v>
      </c>
      <c r="AE413" s="160">
        <f t="shared" si="1359"/>
        <v>0</v>
      </c>
      <c r="AF413" s="160">
        <f t="shared" si="1359"/>
        <v>0</v>
      </c>
      <c r="AG413" s="160">
        <f t="shared" si="1359"/>
        <v>0</v>
      </c>
      <c r="AH413" s="160">
        <f t="shared" si="1359"/>
        <v>0</v>
      </c>
      <c r="AI413" s="160">
        <f t="shared" si="1359"/>
        <v>0</v>
      </c>
      <c r="AJ413" s="160">
        <f t="shared" si="1359"/>
        <v>0</v>
      </c>
      <c r="AK413" s="160">
        <f t="shared" si="1359"/>
        <v>0</v>
      </c>
      <c r="AL413" s="160">
        <f t="shared" si="1359"/>
        <v>0</v>
      </c>
      <c r="AM413" s="160">
        <f t="shared" si="1359"/>
        <v>0</v>
      </c>
      <c r="AN413" s="160">
        <f t="shared" si="1359"/>
        <v>0</v>
      </c>
      <c r="AO413" s="160">
        <f t="shared" si="1359"/>
        <v>0</v>
      </c>
      <c r="AP413" s="160">
        <f t="shared" si="1359"/>
        <v>0</v>
      </c>
      <c r="AQ413" s="160">
        <f t="shared" si="1360"/>
        <v>0</v>
      </c>
      <c r="AR413" s="160">
        <f t="shared" si="1360"/>
        <v>0</v>
      </c>
      <c r="AS413" s="160">
        <f t="shared" si="1360"/>
        <v>0</v>
      </c>
      <c r="AT413" s="160">
        <f t="shared" si="1360"/>
        <v>0</v>
      </c>
      <c r="AU413" s="160">
        <f t="shared" si="1360"/>
        <v>0</v>
      </c>
      <c r="AV413" s="160">
        <f t="shared" si="1360"/>
        <v>0</v>
      </c>
      <c r="AW413" s="160">
        <f t="shared" si="1360"/>
        <v>0</v>
      </c>
      <c r="AX413" s="160">
        <f t="shared" si="1360"/>
        <v>0</v>
      </c>
      <c r="AY413" s="160">
        <f t="shared" si="1360"/>
        <v>0</v>
      </c>
      <c r="AZ413" s="160">
        <f t="shared" si="1360"/>
        <v>0</v>
      </c>
      <c r="BA413" s="160">
        <f t="shared" si="1360"/>
        <v>0</v>
      </c>
      <c r="BB413" s="160">
        <f t="shared" si="1360"/>
        <v>0</v>
      </c>
      <c r="BC413" s="160">
        <f t="shared" si="1360"/>
        <v>0</v>
      </c>
      <c r="BD413" s="160">
        <f t="shared" si="1360"/>
        <v>0</v>
      </c>
      <c r="BE413" s="160">
        <f t="shared" si="1360"/>
        <v>0</v>
      </c>
      <c r="BF413" s="160">
        <f t="shared" si="1360"/>
        <v>0</v>
      </c>
      <c r="BG413" s="160">
        <f t="shared" si="1361"/>
        <v>0</v>
      </c>
      <c r="BH413" s="160">
        <f t="shared" si="1361"/>
        <v>0</v>
      </c>
      <c r="BI413" s="160">
        <f t="shared" si="1361"/>
        <v>0</v>
      </c>
      <c r="BJ413" s="160">
        <f t="shared" si="1361"/>
        <v>0</v>
      </c>
      <c r="BK413" s="160">
        <f t="shared" si="1361"/>
        <v>0</v>
      </c>
      <c r="BL413" s="160">
        <f t="shared" si="1361"/>
        <v>0</v>
      </c>
      <c r="BM413" s="160">
        <f t="shared" si="1361"/>
        <v>0</v>
      </c>
      <c r="BN413" s="160">
        <f t="shared" si="1361"/>
        <v>0</v>
      </c>
      <c r="BO413" s="160">
        <f t="shared" si="1361"/>
        <v>0</v>
      </c>
      <c r="BP413" s="160">
        <f t="shared" si="1361"/>
        <v>0</v>
      </c>
      <c r="BQ413" s="160">
        <f t="shared" si="1361"/>
        <v>0</v>
      </c>
      <c r="BR413" s="160">
        <f t="shared" si="1361"/>
        <v>0</v>
      </c>
      <c r="BS413" s="65"/>
      <c r="BT413" s="160">
        <f t="shared" si="1362"/>
        <v>0</v>
      </c>
      <c r="BU413" s="160">
        <f t="shared" si="1363"/>
        <v>0</v>
      </c>
      <c r="BV413" s="65"/>
      <c r="BW413" s="69"/>
      <c r="BX413" s="65"/>
      <c r="BY413" s="137">
        <f t="shared" si="1364"/>
        <v>1</v>
      </c>
      <c r="BZ413" s="137">
        <f>IF(BY413&gt;0,BY413+LARGE($BZ$213:BZ412,1),0)</f>
        <v>169</v>
      </c>
      <c r="CA413" s="137" t="str">
        <f t="shared" si="1365"/>
        <v>AN JR. ENG/ARQ</v>
      </c>
      <c r="CB413" s="161">
        <f t="shared" si="1366"/>
        <v>0</v>
      </c>
      <c r="CC413" s="161">
        <f t="shared" si="1367"/>
        <v>0</v>
      </c>
      <c r="CD413" s="161">
        <f t="shared" si="1368"/>
        <v>0</v>
      </c>
      <c r="CE413" s="161">
        <f t="shared" si="1369"/>
        <v>0</v>
      </c>
      <c r="CF413" s="161">
        <f t="shared" si="1370"/>
        <v>0</v>
      </c>
      <c r="CG413" s="161">
        <f t="shared" si="1371"/>
        <v>0</v>
      </c>
      <c r="CH413" s="161">
        <f t="shared" si="1372"/>
        <v>0</v>
      </c>
      <c r="CI413" s="161">
        <f t="shared" si="1373"/>
        <v>0</v>
      </c>
      <c r="CJ413" s="161">
        <f t="shared" si="1374"/>
        <v>0</v>
      </c>
      <c r="CK413" s="161">
        <f t="shared" si="1375"/>
        <v>0</v>
      </c>
      <c r="CL413" s="161">
        <f t="shared" si="1376"/>
        <v>0</v>
      </c>
      <c r="CM413" s="161">
        <f t="shared" si="1377"/>
        <v>0</v>
      </c>
      <c r="CN413" s="161">
        <f t="shared" si="1378"/>
        <v>0</v>
      </c>
      <c r="CO413" s="161">
        <f t="shared" si="1379"/>
        <v>0</v>
      </c>
      <c r="CP413" s="161">
        <f t="shared" si="1380"/>
        <v>0</v>
      </c>
      <c r="CQ413" s="161">
        <f t="shared" si="1381"/>
        <v>0</v>
      </c>
      <c r="CR413" s="161">
        <f t="shared" si="1382"/>
        <v>0</v>
      </c>
      <c r="CS413" s="161">
        <f t="shared" si="1383"/>
        <v>0</v>
      </c>
      <c r="CT413" s="161">
        <f t="shared" si="1384"/>
        <v>0</v>
      </c>
      <c r="CU413" s="161">
        <f t="shared" si="1385"/>
        <v>0</v>
      </c>
      <c r="CV413" s="161">
        <f t="shared" si="1386"/>
        <v>0</v>
      </c>
      <c r="CW413" s="161">
        <f t="shared" si="1387"/>
        <v>0</v>
      </c>
      <c r="CX413" s="161">
        <f t="shared" si="1388"/>
        <v>0</v>
      </c>
      <c r="CY413" s="161">
        <f t="shared" si="1389"/>
        <v>0</v>
      </c>
      <c r="CZ413" s="161">
        <f t="shared" si="1390"/>
        <v>0</v>
      </c>
      <c r="DA413" s="161">
        <f t="shared" si="1391"/>
        <v>0</v>
      </c>
      <c r="DB413" s="161">
        <f t="shared" si="1392"/>
        <v>0</v>
      </c>
      <c r="DC413" s="161">
        <f t="shared" si="1393"/>
        <v>0</v>
      </c>
      <c r="DD413" s="161">
        <f t="shared" si="1394"/>
        <v>0</v>
      </c>
      <c r="DE413" s="161">
        <f t="shared" si="1395"/>
        <v>0</v>
      </c>
      <c r="DF413" s="161">
        <f t="shared" si="1396"/>
        <v>0</v>
      </c>
      <c r="DG413" s="161">
        <f t="shared" si="1397"/>
        <v>0</v>
      </c>
      <c r="DH413" s="161">
        <f t="shared" si="1398"/>
        <v>0</v>
      </c>
      <c r="DI413" s="161">
        <f t="shared" si="1399"/>
        <v>0</v>
      </c>
      <c r="DJ413" s="161">
        <f t="shared" si="1400"/>
        <v>0</v>
      </c>
      <c r="DK413" s="161">
        <f t="shared" si="1401"/>
        <v>0</v>
      </c>
      <c r="DL413" s="161">
        <f t="shared" si="1402"/>
        <v>0</v>
      </c>
      <c r="DM413" s="161">
        <f t="shared" si="1403"/>
        <v>0</v>
      </c>
      <c r="DN413" s="161">
        <f t="shared" si="1404"/>
        <v>0</v>
      </c>
      <c r="DO413" s="161">
        <f t="shared" si="1405"/>
        <v>0</v>
      </c>
      <c r="DP413" s="161">
        <f t="shared" si="1406"/>
        <v>0</v>
      </c>
      <c r="DQ413" s="161">
        <f t="shared" si="1407"/>
        <v>0</v>
      </c>
      <c r="DR413" s="161">
        <f t="shared" si="1408"/>
        <v>0</v>
      </c>
      <c r="DS413" s="161">
        <f t="shared" si="1409"/>
        <v>0</v>
      </c>
      <c r="DT413" s="161">
        <f t="shared" si="1410"/>
        <v>0</v>
      </c>
      <c r="DU413" s="161">
        <f t="shared" si="1411"/>
        <v>0</v>
      </c>
      <c r="DV413" s="161">
        <f t="shared" si="1412"/>
        <v>0</v>
      </c>
      <c r="DW413" s="161">
        <f t="shared" si="1413"/>
        <v>0</v>
      </c>
      <c r="DX413" s="161">
        <f t="shared" si="1414"/>
        <v>0</v>
      </c>
      <c r="DY413" s="161">
        <f t="shared" si="1415"/>
        <v>0</v>
      </c>
      <c r="DZ413" s="161">
        <f t="shared" si="1416"/>
        <v>0</v>
      </c>
      <c r="EA413" s="161">
        <f t="shared" si="1417"/>
        <v>0</v>
      </c>
      <c r="EB413" s="161">
        <f t="shared" si="1418"/>
        <v>0</v>
      </c>
      <c r="EC413" s="161">
        <f t="shared" si="1419"/>
        <v>0</v>
      </c>
      <c r="ED413" s="161">
        <f t="shared" si="1420"/>
        <v>0</v>
      </c>
      <c r="EE413" s="161">
        <f t="shared" si="1421"/>
        <v>0</v>
      </c>
      <c r="EF413" s="161">
        <f t="shared" si="1422"/>
        <v>0</v>
      </c>
      <c r="EG413" s="161">
        <f t="shared" si="1423"/>
        <v>0</v>
      </c>
      <c r="EH413" s="161">
        <f t="shared" si="1424"/>
        <v>0</v>
      </c>
      <c r="EI413" s="161">
        <f t="shared" si="1425"/>
        <v>0</v>
      </c>
      <c r="EJ413" s="65"/>
      <c r="EK413" s="161">
        <f t="shared" si="1426"/>
        <v>0</v>
      </c>
      <c r="EL413" s="161">
        <f t="shared" si="1427"/>
        <v>0</v>
      </c>
      <c r="EM413" s="161">
        <f t="shared" si="1428"/>
        <v>0</v>
      </c>
    </row>
    <row r="414" spans="1:143" ht="12" hidden="1" customHeight="1" outlineLevel="2">
      <c r="A414" s="77">
        <v>10</v>
      </c>
      <c r="B414" s="137" t="str">
        <f t="shared" si="1356"/>
        <v>AN SR. ADM/CRP - Equipe_01</v>
      </c>
      <c r="C414" s="65"/>
      <c r="D414" s="621"/>
      <c r="E414" s="65"/>
      <c r="F414" s="584"/>
      <c r="G414" s="77" t="str">
        <f>IF(INDEX(Tarefas!$BT$30:$FK$30,MATCH(A414,Tarefas!$BT$28:$FK$28,0))=0,"",INDEX(Tarefas!$BT$30:$FK$30,MATCH(A414,Tarefas!$BT$28:$FK$28,0)))</f>
        <v>AN SR. ADM/CRP</v>
      </c>
      <c r="H414" s="107" cm="1">
        <f t="array" ref="H414">IFERROR((SUMPRODUCT((Tarefas!$N$32:$N$54='Cronog. e Histog.'!$F$405)*(Tarefas!$BQ$30:$FK$30='Cronog. e Histog.'!$G414)*(Tarefas!$BQ$32:$FK$54)))/SUMIF(Tarefas!$N$32:$N$54,'Cronog. e Histog.'!$F$405,Tarefas!$K$32:$K$54),0)</f>
        <v>0</v>
      </c>
      <c r="I414" s="79">
        <f t="shared" si="1357"/>
        <v>0</v>
      </c>
      <c r="J414" s="65"/>
      <c r="K414" s="160">
        <f t="shared" si="1358"/>
        <v>0</v>
      </c>
      <c r="L414" s="160">
        <f t="shared" si="1358"/>
        <v>0</v>
      </c>
      <c r="M414" s="160">
        <f t="shared" si="1358"/>
        <v>0</v>
      </c>
      <c r="N414" s="160">
        <f t="shared" si="1358"/>
        <v>0</v>
      </c>
      <c r="O414" s="160">
        <f t="shared" si="1358"/>
        <v>0</v>
      </c>
      <c r="P414" s="160">
        <f t="shared" si="1358"/>
        <v>0</v>
      </c>
      <c r="Q414" s="160">
        <f t="shared" si="1358"/>
        <v>0</v>
      </c>
      <c r="R414" s="160">
        <f t="shared" si="1358"/>
        <v>0</v>
      </c>
      <c r="S414" s="160">
        <f t="shared" si="1358"/>
        <v>0</v>
      </c>
      <c r="T414" s="160">
        <f t="shared" si="1358"/>
        <v>0</v>
      </c>
      <c r="U414" s="160">
        <f t="shared" si="1358"/>
        <v>0</v>
      </c>
      <c r="V414" s="160">
        <f t="shared" si="1358"/>
        <v>0</v>
      </c>
      <c r="W414" s="160">
        <f t="shared" si="1358"/>
        <v>0</v>
      </c>
      <c r="X414" s="160">
        <f t="shared" si="1358"/>
        <v>0</v>
      </c>
      <c r="Y414" s="160">
        <f t="shared" si="1358"/>
        <v>0</v>
      </c>
      <c r="Z414" s="160">
        <f t="shared" si="1358"/>
        <v>0</v>
      </c>
      <c r="AA414" s="160">
        <f t="shared" si="1359"/>
        <v>0</v>
      </c>
      <c r="AB414" s="160">
        <f t="shared" si="1359"/>
        <v>0</v>
      </c>
      <c r="AC414" s="160">
        <f t="shared" si="1359"/>
        <v>0</v>
      </c>
      <c r="AD414" s="160">
        <f t="shared" si="1359"/>
        <v>0</v>
      </c>
      <c r="AE414" s="160">
        <f t="shared" si="1359"/>
        <v>0</v>
      </c>
      <c r="AF414" s="160">
        <f t="shared" si="1359"/>
        <v>0</v>
      </c>
      <c r="AG414" s="160">
        <f t="shared" si="1359"/>
        <v>0</v>
      </c>
      <c r="AH414" s="160">
        <f t="shared" si="1359"/>
        <v>0</v>
      </c>
      <c r="AI414" s="160">
        <f t="shared" si="1359"/>
        <v>0</v>
      </c>
      <c r="AJ414" s="160">
        <f t="shared" si="1359"/>
        <v>0</v>
      </c>
      <c r="AK414" s="160">
        <f t="shared" si="1359"/>
        <v>0</v>
      </c>
      <c r="AL414" s="160">
        <f t="shared" si="1359"/>
        <v>0</v>
      </c>
      <c r="AM414" s="160">
        <f t="shared" si="1359"/>
        <v>0</v>
      </c>
      <c r="AN414" s="160">
        <f t="shared" si="1359"/>
        <v>0</v>
      </c>
      <c r="AO414" s="160">
        <f t="shared" si="1359"/>
        <v>0</v>
      </c>
      <c r="AP414" s="160">
        <f t="shared" si="1359"/>
        <v>0</v>
      </c>
      <c r="AQ414" s="160">
        <f t="shared" si="1360"/>
        <v>0</v>
      </c>
      <c r="AR414" s="160">
        <f t="shared" si="1360"/>
        <v>0</v>
      </c>
      <c r="AS414" s="160">
        <f t="shared" si="1360"/>
        <v>0</v>
      </c>
      <c r="AT414" s="160">
        <f t="shared" si="1360"/>
        <v>0</v>
      </c>
      <c r="AU414" s="160">
        <f t="shared" si="1360"/>
        <v>0</v>
      </c>
      <c r="AV414" s="160">
        <f t="shared" si="1360"/>
        <v>0</v>
      </c>
      <c r="AW414" s="160">
        <f t="shared" si="1360"/>
        <v>0</v>
      </c>
      <c r="AX414" s="160">
        <f t="shared" si="1360"/>
        <v>0</v>
      </c>
      <c r="AY414" s="160">
        <f t="shared" si="1360"/>
        <v>0</v>
      </c>
      <c r="AZ414" s="160">
        <f t="shared" si="1360"/>
        <v>0</v>
      </c>
      <c r="BA414" s="160">
        <f t="shared" si="1360"/>
        <v>0</v>
      </c>
      <c r="BB414" s="160">
        <f t="shared" si="1360"/>
        <v>0</v>
      </c>
      <c r="BC414" s="160">
        <f t="shared" si="1360"/>
        <v>0</v>
      </c>
      <c r="BD414" s="160">
        <f t="shared" si="1360"/>
        <v>0</v>
      </c>
      <c r="BE414" s="160">
        <f t="shared" si="1360"/>
        <v>0</v>
      </c>
      <c r="BF414" s="160">
        <f t="shared" si="1360"/>
        <v>0</v>
      </c>
      <c r="BG414" s="160">
        <f t="shared" si="1361"/>
        <v>0</v>
      </c>
      <c r="BH414" s="160">
        <f t="shared" si="1361"/>
        <v>0</v>
      </c>
      <c r="BI414" s="160">
        <f t="shared" si="1361"/>
        <v>0</v>
      </c>
      <c r="BJ414" s="160">
        <f t="shared" si="1361"/>
        <v>0</v>
      </c>
      <c r="BK414" s="160">
        <f t="shared" si="1361"/>
        <v>0</v>
      </c>
      <c r="BL414" s="160">
        <f t="shared" si="1361"/>
        <v>0</v>
      </c>
      <c r="BM414" s="160">
        <f t="shared" si="1361"/>
        <v>0</v>
      </c>
      <c r="BN414" s="160">
        <f t="shared" si="1361"/>
        <v>0</v>
      </c>
      <c r="BO414" s="160">
        <f t="shared" si="1361"/>
        <v>0</v>
      </c>
      <c r="BP414" s="160">
        <f t="shared" si="1361"/>
        <v>0</v>
      </c>
      <c r="BQ414" s="160">
        <f t="shared" si="1361"/>
        <v>0</v>
      </c>
      <c r="BR414" s="160">
        <f t="shared" si="1361"/>
        <v>0</v>
      </c>
      <c r="BS414" s="65"/>
      <c r="BT414" s="160">
        <f t="shared" si="1362"/>
        <v>0</v>
      </c>
      <c r="BU414" s="160">
        <f t="shared" si="1363"/>
        <v>0</v>
      </c>
      <c r="BV414" s="65"/>
      <c r="BW414" s="69"/>
      <c r="BX414" s="65"/>
      <c r="BY414" s="137">
        <f t="shared" si="1364"/>
        <v>1</v>
      </c>
      <c r="BZ414" s="137">
        <f>IF(BY414&gt;0,BY414+LARGE($BZ$213:BZ413,1),0)</f>
        <v>170</v>
      </c>
      <c r="CA414" s="137" t="str">
        <f t="shared" si="1365"/>
        <v>AN SR. ADM/CRP</v>
      </c>
      <c r="CB414" s="161">
        <f t="shared" si="1366"/>
        <v>0</v>
      </c>
      <c r="CC414" s="161">
        <f t="shared" si="1367"/>
        <v>0</v>
      </c>
      <c r="CD414" s="161">
        <f t="shared" si="1368"/>
        <v>0</v>
      </c>
      <c r="CE414" s="161">
        <f t="shared" si="1369"/>
        <v>0</v>
      </c>
      <c r="CF414" s="161">
        <f t="shared" si="1370"/>
        <v>0</v>
      </c>
      <c r="CG414" s="161">
        <f t="shared" si="1371"/>
        <v>0</v>
      </c>
      <c r="CH414" s="161">
        <f t="shared" si="1372"/>
        <v>0</v>
      </c>
      <c r="CI414" s="161">
        <f t="shared" si="1373"/>
        <v>0</v>
      </c>
      <c r="CJ414" s="161">
        <f t="shared" si="1374"/>
        <v>0</v>
      </c>
      <c r="CK414" s="161">
        <f t="shared" si="1375"/>
        <v>0</v>
      </c>
      <c r="CL414" s="161">
        <f t="shared" si="1376"/>
        <v>0</v>
      </c>
      <c r="CM414" s="161">
        <f t="shared" si="1377"/>
        <v>0</v>
      </c>
      <c r="CN414" s="161">
        <f t="shared" si="1378"/>
        <v>0</v>
      </c>
      <c r="CO414" s="161">
        <f t="shared" si="1379"/>
        <v>0</v>
      </c>
      <c r="CP414" s="161">
        <f t="shared" si="1380"/>
        <v>0</v>
      </c>
      <c r="CQ414" s="161">
        <f t="shared" si="1381"/>
        <v>0</v>
      </c>
      <c r="CR414" s="161">
        <f t="shared" si="1382"/>
        <v>0</v>
      </c>
      <c r="CS414" s="161">
        <f t="shared" si="1383"/>
        <v>0</v>
      </c>
      <c r="CT414" s="161">
        <f t="shared" si="1384"/>
        <v>0</v>
      </c>
      <c r="CU414" s="161">
        <f t="shared" si="1385"/>
        <v>0</v>
      </c>
      <c r="CV414" s="161">
        <f t="shared" si="1386"/>
        <v>0</v>
      </c>
      <c r="CW414" s="161">
        <f t="shared" si="1387"/>
        <v>0</v>
      </c>
      <c r="CX414" s="161">
        <f t="shared" si="1388"/>
        <v>0</v>
      </c>
      <c r="CY414" s="161">
        <f t="shared" si="1389"/>
        <v>0</v>
      </c>
      <c r="CZ414" s="161">
        <f t="shared" si="1390"/>
        <v>0</v>
      </c>
      <c r="DA414" s="161">
        <f t="shared" si="1391"/>
        <v>0</v>
      </c>
      <c r="DB414" s="161">
        <f t="shared" si="1392"/>
        <v>0</v>
      </c>
      <c r="DC414" s="161">
        <f t="shared" si="1393"/>
        <v>0</v>
      </c>
      <c r="DD414" s="161">
        <f t="shared" si="1394"/>
        <v>0</v>
      </c>
      <c r="DE414" s="161">
        <f t="shared" si="1395"/>
        <v>0</v>
      </c>
      <c r="DF414" s="161">
        <f t="shared" si="1396"/>
        <v>0</v>
      </c>
      <c r="DG414" s="161">
        <f t="shared" si="1397"/>
        <v>0</v>
      </c>
      <c r="DH414" s="161">
        <f t="shared" si="1398"/>
        <v>0</v>
      </c>
      <c r="DI414" s="161">
        <f t="shared" si="1399"/>
        <v>0</v>
      </c>
      <c r="DJ414" s="161">
        <f t="shared" si="1400"/>
        <v>0</v>
      </c>
      <c r="DK414" s="161">
        <f t="shared" si="1401"/>
        <v>0</v>
      </c>
      <c r="DL414" s="161">
        <f t="shared" si="1402"/>
        <v>0</v>
      </c>
      <c r="DM414" s="161">
        <f t="shared" si="1403"/>
        <v>0</v>
      </c>
      <c r="DN414" s="161">
        <f t="shared" si="1404"/>
        <v>0</v>
      </c>
      <c r="DO414" s="161">
        <f t="shared" si="1405"/>
        <v>0</v>
      </c>
      <c r="DP414" s="161">
        <f t="shared" si="1406"/>
        <v>0</v>
      </c>
      <c r="DQ414" s="161">
        <f t="shared" si="1407"/>
        <v>0</v>
      </c>
      <c r="DR414" s="161">
        <f t="shared" si="1408"/>
        <v>0</v>
      </c>
      <c r="DS414" s="161">
        <f t="shared" si="1409"/>
        <v>0</v>
      </c>
      <c r="DT414" s="161">
        <f t="shared" si="1410"/>
        <v>0</v>
      </c>
      <c r="DU414" s="161">
        <f t="shared" si="1411"/>
        <v>0</v>
      </c>
      <c r="DV414" s="161">
        <f t="shared" si="1412"/>
        <v>0</v>
      </c>
      <c r="DW414" s="161">
        <f t="shared" si="1413"/>
        <v>0</v>
      </c>
      <c r="DX414" s="161">
        <f t="shared" si="1414"/>
        <v>0</v>
      </c>
      <c r="DY414" s="161">
        <f t="shared" si="1415"/>
        <v>0</v>
      </c>
      <c r="DZ414" s="161">
        <f t="shared" si="1416"/>
        <v>0</v>
      </c>
      <c r="EA414" s="161">
        <f t="shared" si="1417"/>
        <v>0</v>
      </c>
      <c r="EB414" s="161">
        <f t="shared" si="1418"/>
        <v>0</v>
      </c>
      <c r="EC414" s="161">
        <f t="shared" si="1419"/>
        <v>0</v>
      </c>
      <c r="ED414" s="161">
        <f t="shared" si="1420"/>
        <v>0</v>
      </c>
      <c r="EE414" s="161">
        <f t="shared" si="1421"/>
        <v>0</v>
      </c>
      <c r="EF414" s="161">
        <f t="shared" si="1422"/>
        <v>0</v>
      </c>
      <c r="EG414" s="161">
        <f t="shared" si="1423"/>
        <v>0</v>
      </c>
      <c r="EH414" s="161">
        <f t="shared" si="1424"/>
        <v>0</v>
      </c>
      <c r="EI414" s="161">
        <f t="shared" si="1425"/>
        <v>0</v>
      </c>
      <c r="EJ414" s="65"/>
      <c r="EK414" s="161">
        <f t="shared" si="1426"/>
        <v>0</v>
      </c>
      <c r="EL414" s="161">
        <f t="shared" si="1427"/>
        <v>0</v>
      </c>
      <c r="EM414" s="161">
        <f t="shared" si="1428"/>
        <v>0</v>
      </c>
    </row>
    <row r="415" spans="1:143" ht="12" hidden="1" customHeight="1" outlineLevel="2">
      <c r="A415" s="77">
        <v>11</v>
      </c>
      <c r="B415" s="137" t="str">
        <f t="shared" si="1356"/>
        <v>AN PL. ADM/CRP - Equipe_01</v>
      </c>
      <c r="C415" s="65"/>
      <c r="D415" s="621"/>
      <c r="E415" s="65"/>
      <c r="F415" s="584"/>
      <c r="G415" s="77" t="str">
        <f>IF(INDEX(Tarefas!$BT$30:$FK$30,MATCH(A415,Tarefas!$BT$28:$FK$28,0))=0,"",INDEX(Tarefas!$BT$30:$FK$30,MATCH(A415,Tarefas!$BT$28:$FK$28,0)))</f>
        <v>AN PL. ADM/CRP</v>
      </c>
      <c r="H415" s="107" cm="1">
        <f t="array" ref="H415">IFERROR((SUMPRODUCT((Tarefas!$N$32:$N$54='Cronog. e Histog.'!$F$405)*(Tarefas!$BQ$30:$FK$30='Cronog. e Histog.'!$G415)*(Tarefas!$BQ$32:$FK$54)))/SUMIF(Tarefas!$N$32:$N$54,'Cronog. e Histog.'!$F$405,Tarefas!$K$32:$K$54),0)</f>
        <v>0</v>
      </c>
      <c r="I415" s="79">
        <f t="shared" si="1357"/>
        <v>0</v>
      </c>
      <c r="J415" s="65"/>
      <c r="K415" s="160">
        <f t="shared" si="1358"/>
        <v>0</v>
      </c>
      <c r="L415" s="160">
        <f t="shared" si="1358"/>
        <v>0</v>
      </c>
      <c r="M415" s="160">
        <f t="shared" si="1358"/>
        <v>0</v>
      </c>
      <c r="N415" s="160">
        <f t="shared" si="1358"/>
        <v>0</v>
      </c>
      <c r="O415" s="160">
        <f t="shared" si="1358"/>
        <v>0</v>
      </c>
      <c r="P415" s="160">
        <f t="shared" si="1358"/>
        <v>0</v>
      </c>
      <c r="Q415" s="160">
        <f t="shared" si="1358"/>
        <v>0</v>
      </c>
      <c r="R415" s="160">
        <f t="shared" si="1358"/>
        <v>0</v>
      </c>
      <c r="S415" s="160">
        <f t="shared" si="1358"/>
        <v>0</v>
      </c>
      <c r="T415" s="160">
        <f t="shared" si="1358"/>
        <v>0</v>
      </c>
      <c r="U415" s="160">
        <f t="shared" si="1358"/>
        <v>0</v>
      </c>
      <c r="V415" s="160">
        <f t="shared" si="1358"/>
        <v>0</v>
      </c>
      <c r="W415" s="160">
        <f t="shared" si="1358"/>
        <v>0</v>
      </c>
      <c r="X415" s="160">
        <f t="shared" si="1358"/>
        <v>0</v>
      </c>
      <c r="Y415" s="160">
        <f t="shared" si="1358"/>
        <v>0</v>
      </c>
      <c r="Z415" s="160">
        <f t="shared" si="1358"/>
        <v>0</v>
      </c>
      <c r="AA415" s="160">
        <f t="shared" si="1359"/>
        <v>0</v>
      </c>
      <c r="AB415" s="160">
        <f t="shared" si="1359"/>
        <v>0</v>
      </c>
      <c r="AC415" s="160">
        <f t="shared" si="1359"/>
        <v>0</v>
      </c>
      <c r="AD415" s="160">
        <f t="shared" si="1359"/>
        <v>0</v>
      </c>
      <c r="AE415" s="160">
        <f t="shared" si="1359"/>
        <v>0</v>
      </c>
      <c r="AF415" s="160">
        <f t="shared" si="1359"/>
        <v>0</v>
      </c>
      <c r="AG415" s="160">
        <f t="shared" si="1359"/>
        <v>0</v>
      </c>
      <c r="AH415" s="160">
        <f t="shared" si="1359"/>
        <v>0</v>
      </c>
      <c r="AI415" s="160">
        <f t="shared" si="1359"/>
        <v>0</v>
      </c>
      <c r="AJ415" s="160">
        <f t="shared" si="1359"/>
        <v>0</v>
      </c>
      <c r="AK415" s="160">
        <f t="shared" si="1359"/>
        <v>0</v>
      </c>
      <c r="AL415" s="160">
        <f t="shared" si="1359"/>
        <v>0</v>
      </c>
      <c r="AM415" s="160">
        <f t="shared" si="1359"/>
        <v>0</v>
      </c>
      <c r="AN415" s="160">
        <f t="shared" si="1359"/>
        <v>0</v>
      </c>
      <c r="AO415" s="160">
        <f t="shared" si="1359"/>
        <v>0</v>
      </c>
      <c r="AP415" s="160">
        <f t="shared" si="1359"/>
        <v>0</v>
      </c>
      <c r="AQ415" s="160">
        <f t="shared" si="1360"/>
        <v>0</v>
      </c>
      <c r="AR415" s="160">
        <f t="shared" si="1360"/>
        <v>0</v>
      </c>
      <c r="AS415" s="160">
        <f t="shared" si="1360"/>
        <v>0</v>
      </c>
      <c r="AT415" s="160">
        <f t="shared" si="1360"/>
        <v>0</v>
      </c>
      <c r="AU415" s="160">
        <f t="shared" si="1360"/>
        <v>0</v>
      </c>
      <c r="AV415" s="160">
        <f t="shared" si="1360"/>
        <v>0</v>
      </c>
      <c r="AW415" s="160">
        <f t="shared" si="1360"/>
        <v>0</v>
      </c>
      <c r="AX415" s="160">
        <f t="shared" si="1360"/>
        <v>0</v>
      </c>
      <c r="AY415" s="160">
        <f t="shared" si="1360"/>
        <v>0</v>
      </c>
      <c r="AZ415" s="160">
        <f t="shared" si="1360"/>
        <v>0</v>
      </c>
      <c r="BA415" s="160">
        <f t="shared" si="1360"/>
        <v>0</v>
      </c>
      <c r="BB415" s="160">
        <f t="shared" si="1360"/>
        <v>0</v>
      </c>
      <c r="BC415" s="160">
        <f t="shared" si="1360"/>
        <v>0</v>
      </c>
      <c r="BD415" s="160">
        <f t="shared" si="1360"/>
        <v>0</v>
      </c>
      <c r="BE415" s="160">
        <f t="shared" si="1360"/>
        <v>0</v>
      </c>
      <c r="BF415" s="160">
        <f t="shared" si="1360"/>
        <v>0</v>
      </c>
      <c r="BG415" s="160">
        <f t="shared" si="1361"/>
        <v>0</v>
      </c>
      <c r="BH415" s="160">
        <f t="shared" si="1361"/>
        <v>0</v>
      </c>
      <c r="BI415" s="160">
        <f t="shared" si="1361"/>
        <v>0</v>
      </c>
      <c r="BJ415" s="160">
        <f t="shared" si="1361"/>
        <v>0</v>
      </c>
      <c r="BK415" s="160">
        <f t="shared" si="1361"/>
        <v>0</v>
      </c>
      <c r="BL415" s="160">
        <f t="shared" si="1361"/>
        <v>0</v>
      </c>
      <c r="BM415" s="160">
        <f t="shared" si="1361"/>
        <v>0</v>
      </c>
      <c r="BN415" s="160">
        <f t="shared" si="1361"/>
        <v>0</v>
      </c>
      <c r="BO415" s="160">
        <f t="shared" si="1361"/>
        <v>0</v>
      </c>
      <c r="BP415" s="160">
        <f t="shared" si="1361"/>
        <v>0</v>
      </c>
      <c r="BQ415" s="160">
        <f t="shared" si="1361"/>
        <v>0</v>
      </c>
      <c r="BR415" s="160">
        <f t="shared" si="1361"/>
        <v>0</v>
      </c>
      <c r="BS415" s="65"/>
      <c r="BT415" s="160">
        <f t="shared" si="1362"/>
        <v>0</v>
      </c>
      <c r="BU415" s="160">
        <f t="shared" si="1363"/>
        <v>0</v>
      </c>
      <c r="BV415" s="65"/>
      <c r="BW415" s="69"/>
      <c r="BX415" s="65"/>
      <c r="BY415" s="137">
        <f t="shared" si="1364"/>
        <v>1</v>
      </c>
      <c r="BZ415" s="137">
        <f>IF(BY415&gt;0,BY415+LARGE($BZ$213:BZ414,1),0)</f>
        <v>171</v>
      </c>
      <c r="CA415" s="137" t="str">
        <f t="shared" si="1365"/>
        <v>AN PL. ADM/CRP</v>
      </c>
      <c r="CB415" s="161">
        <f t="shared" si="1366"/>
        <v>0</v>
      </c>
      <c r="CC415" s="161">
        <f t="shared" si="1367"/>
        <v>0</v>
      </c>
      <c r="CD415" s="161">
        <f t="shared" si="1368"/>
        <v>0</v>
      </c>
      <c r="CE415" s="161">
        <f t="shared" si="1369"/>
        <v>0</v>
      </c>
      <c r="CF415" s="161">
        <f t="shared" si="1370"/>
        <v>0</v>
      </c>
      <c r="CG415" s="161">
        <f t="shared" si="1371"/>
        <v>0</v>
      </c>
      <c r="CH415" s="161">
        <f t="shared" si="1372"/>
        <v>0</v>
      </c>
      <c r="CI415" s="161">
        <f t="shared" si="1373"/>
        <v>0</v>
      </c>
      <c r="CJ415" s="161">
        <f t="shared" si="1374"/>
        <v>0</v>
      </c>
      <c r="CK415" s="161">
        <f t="shared" si="1375"/>
        <v>0</v>
      </c>
      <c r="CL415" s="161">
        <f t="shared" si="1376"/>
        <v>0</v>
      </c>
      <c r="CM415" s="161">
        <f t="shared" si="1377"/>
        <v>0</v>
      </c>
      <c r="CN415" s="161">
        <f t="shared" si="1378"/>
        <v>0</v>
      </c>
      <c r="CO415" s="161">
        <f t="shared" si="1379"/>
        <v>0</v>
      </c>
      <c r="CP415" s="161">
        <f t="shared" si="1380"/>
        <v>0</v>
      </c>
      <c r="CQ415" s="161">
        <f t="shared" si="1381"/>
        <v>0</v>
      </c>
      <c r="CR415" s="161">
        <f t="shared" si="1382"/>
        <v>0</v>
      </c>
      <c r="CS415" s="161">
        <f t="shared" si="1383"/>
        <v>0</v>
      </c>
      <c r="CT415" s="161">
        <f t="shared" si="1384"/>
        <v>0</v>
      </c>
      <c r="CU415" s="161">
        <f t="shared" si="1385"/>
        <v>0</v>
      </c>
      <c r="CV415" s="161">
        <f t="shared" si="1386"/>
        <v>0</v>
      </c>
      <c r="CW415" s="161">
        <f t="shared" si="1387"/>
        <v>0</v>
      </c>
      <c r="CX415" s="161">
        <f t="shared" si="1388"/>
        <v>0</v>
      </c>
      <c r="CY415" s="161">
        <f t="shared" si="1389"/>
        <v>0</v>
      </c>
      <c r="CZ415" s="161">
        <f t="shared" si="1390"/>
        <v>0</v>
      </c>
      <c r="DA415" s="161">
        <f t="shared" si="1391"/>
        <v>0</v>
      </c>
      <c r="DB415" s="161">
        <f t="shared" si="1392"/>
        <v>0</v>
      </c>
      <c r="DC415" s="161">
        <f t="shared" si="1393"/>
        <v>0</v>
      </c>
      <c r="DD415" s="161">
        <f t="shared" si="1394"/>
        <v>0</v>
      </c>
      <c r="DE415" s="161">
        <f t="shared" si="1395"/>
        <v>0</v>
      </c>
      <c r="DF415" s="161">
        <f t="shared" si="1396"/>
        <v>0</v>
      </c>
      <c r="DG415" s="161">
        <f t="shared" si="1397"/>
        <v>0</v>
      </c>
      <c r="DH415" s="161">
        <f t="shared" si="1398"/>
        <v>0</v>
      </c>
      <c r="DI415" s="161">
        <f t="shared" si="1399"/>
        <v>0</v>
      </c>
      <c r="DJ415" s="161">
        <f t="shared" si="1400"/>
        <v>0</v>
      </c>
      <c r="DK415" s="161">
        <f t="shared" si="1401"/>
        <v>0</v>
      </c>
      <c r="DL415" s="161">
        <f t="shared" si="1402"/>
        <v>0</v>
      </c>
      <c r="DM415" s="161">
        <f t="shared" si="1403"/>
        <v>0</v>
      </c>
      <c r="DN415" s="161">
        <f t="shared" si="1404"/>
        <v>0</v>
      </c>
      <c r="DO415" s="161">
        <f t="shared" si="1405"/>
        <v>0</v>
      </c>
      <c r="DP415" s="161">
        <f t="shared" si="1406"/>
        <v>0</v>
      </c>
      <c r="DQ415" s="161">
        <f t="shared" si="1407"/>
        <v>0</v>
      </c>
      <c r="DR415" s="161">
        <f t="shared" si="1408"/>
        <v>0</v>
      </c>
      <c r="DS415" s="161">
        <f t="shared" si="1409"/>
        <v>0</v>
      </c>
      <c r="DT415" s="161">
        <f t="shared" si="1410"/>
        <v>0</v>
      </c>
      <c r="DU415" s="161">
        <f t="shared" si="1411"/>
        <v>0</v>
      </c>
      <c r="DV415" s="161">
        <f t="shared" si="1412"/>
        <v>0</v>
      </c>
      <c r="DW415" s="161">
        <f t="shared" si="1413"/>
        <v>0</v>
      </c>
      <c r="DX415" s="161">
        <f t="shared" si="1414"/>
        <v>0</v>
      </c>
      <c r="DY415" s="161">
        <f t="shared" si="1415"/>
        <v>0</v>
      </c>
      <c r="DZ415" s="161">
        <f t="shared" si="1416"/>
        <v>0</v>
      </c>
      <c r="EA415" s="161">
        <f t="shared" si="1417"/>
        <v>0</v>
      </c>
      <c r="EB415" s="161">
        <f t="shared" si="1418"/>
        <v>0</v>
      </c>
      <c r="EC415" s="161">
        <f t="shared" si="1419"/>
        <v>0</v>
      </c>
      <c r="ED415" s="161">
        <f t="shared" si="1420"/>
        <v>0</v>
      </c>
      <c r="EE415" s="161">
        <f t="shared" si="1421"/>
        <v>0</v>
      </c>
      <c r="EF415" s="161">
        <f t="shared" si="1422"/>
        <v>0</v>
      </c>
      <c r="EG415" s="161">
        <f t="shared" si="1423"/>
        <v>0</v>
      </c>
      <c r="EH415" s="161">
        <f t="shared" si="1424"/>
        <v>0</v>
      </c>
      <c r="EI415" s="161">
        <f t="shared" si="1425"/>
        <v>0</v>
      </c>
      <c r="EJ415" s="65"/>
      <c r="EK415" s="161">
        <f t="shared" si="1426"/>
        <v>0</v>
      </c>
      <c r="EL415" s="161">
        <f t="shared" si="1427"/>
        <v>0</v>
      </c>
      <c r="EM415" s="161">
        <f t="shared" si="1428"/>
        <v>0</v>
      </c>
    </row>
    <row r="416" spans="1:143" ht="12" hidden="1" customHeight="1" outlineLevel="2">
      <c r="A416" s="77">
        <v>12</v>
      </c>
      <c r="B416" s="137" t="str">
        <f t="shared" si="1356"/>
        <v>AN JR. ADM/CRP - Equipe_01</v>
      </c>
      <c r="C416" s="65"/>
      <c r="D416" s="622"/>
      <c r="E416" s="65"/>
      <c r="F416" s="584"/>
      <c r="G416" s="77" t="str">
        <f>IF(INDEX(Tarefas!$BT$30:$FK$30,MATCH(A416,Tarefas!$BT$28:$FK$28,0))=0,"",INDEX(Tarefas!$BT$30:$FK$30,MATCH(A416,Tarefas!$BT$28:$FK$28,0)))</f>
        <v>AN JR. ADM/CRP</v>
      </c>
      <c r="H416" s="107" cm="1">
        <f t="array" ref="H416">IFERROR((SUMPRODUCT((Tarefas!$N$32:$N$54='Cronog. e Histog.'!$F$405)*(Tarefas!$BQ$30:$FK$30='Cronog. e Histog.'!$G416)*(Tarefas!$BQ$32:$FK$54)))/SUMIF(Tarefas!$N$32:$N$54,'Cronog. e Histog.'!$F$405,Tarefas!$K$32:$K$54),0)</f>
        <v>0</v>
      </c>
      <c r="I416" s="79">
        <f t="shared" si="1357"/>
        <v>0</v>
      </c>
      <c r="J416" s="65"/>
      <c r="K416" s="160">
        <f t="shared" ref="K416:Z424" si="1429">ROUND($I416*K$191,2)</f>
        <v>0</v>
      </c>
      <c r="L416" s="160">
        <f t="shared" si="1429"/>
        <v>0</v>
      </c>
      <c r="M416" s="160">
        <f t="shared" si="1429"/>
        <v>0</v>
      </c>
      <c r="N416" s="160">
        <f t="shared" si="1429"/>
        <v>0</v>
      </c>
      <c r="O416" s="160">
        <f t="shared" si="1429"/>
        <v>0</v>
      </c>
      <c r="P416" s="160">
        <f t="shared" si="1429"/>
        <v>0</v>
      </c>
      <c r="Q416" s="160">
        <f t="shared" si="1429"/>
        <v>0</v>
      </c>
      <c r="R416" s="160">
        <f t="shared" si="1429"/>
        <v>0</v>
      </c>
      <c r="S416" s="160">
        <f t="shared" si="1429"/>
        <v>0</v>
      </c>
      <c r="T416" s="160">
        <f t="shared" si="1429"/>
        <v>0</v>
      </c>
      <c r="U416" s="160">
        <f t="shared" si="1429"/>
        <v>0</v>
      </c>
      <c r="V416" s="160">
        <f t="shared" si="1429"/>
        <v>0</v>
      </c>
      <c r="W416" s="160">
        <f t="shared" si="1429"/>
        <v>0</v>
      </c>
      <c r="X416" s="160">
        <f t="shared" si="1429"/>
        <v>0</v>
      </c>
      <c r="Y416" s="160">
        <f t="shared" si="1429"/>
        <v>0</v>
      </c>
      <c r="Z416" s="160">
        <f t="shared" si="1429"/>
        <v>0</v>
      </c>
      <c r="AA416" s="160">
        <f t="shared" si="1291"/>
        <v>0</v>
      </c>
      <c r="AB416" s="160">
        <f t="shared" si="1291"/>
        <v>0</v>
      </c>
      <c r="AC416" s="160">
        <f t="shared" si="1291"/>
        <v>0</v>
      </c>
      <c r="AD416" s="160">
        <f t="shared" si="1291"/>
        <v>0</v>
      </c>
      <c r="AE416" s="160">
        <f t="shared" si="1291"/>
        <v>0</v>
      </c>
      <c r="AF416" s="160">
        <f t="shared" si="1291"/>
        <v>0</v>
      </c>
      <c r="AG416" s="160">
        <f t="shared" si="1291"/>
        <v>0</v>
      </c>
      <c r="AH416" s="160">
        <f t="shared" si="1291"/>
        <v>0</v>
      </c>
      <c r="AI416" s="160">
        <f t="shared" si="1291"/>
        <v>0</v>
      </c>
      <c r="AJ416" s="160">
        <f t="shared" si="1291"/>
        <v>0</v>
      </c>
      <c r="AK416" s="160">
        <f t="shared" si="1291"/>
        <v>0</v>
      </c>
      <c r="AL416" s="160">
        <f t="shared" si="1291"/>
        <v>0</v>
      </c>
      <c r="AM416" s="160">
        <f t="shared" si="1291"/>
        <v>0</v>
      </c>
      <c r="AN416" s="160">
        <f t="shared" si="1291"/>
        <v>0</v>
      </c>
      <c r="AO416" s="160">
        <f t="shared" si="1291"/>
        <v>0</v>
      </c>
      <c r="AP416" s="160">
        <f t="shared" si="1291"/>
        <v>0</v>
      </c>
      <c r="AQ416" s="160">
        <f t="shared" si="1291"/>
        <v>0</v>
      </c>
      <c r="AR416" s="160">
        <f t="shared" si="1291"/>
        <v>0</v>
      </c>
      <c r="AS416" s="160">
        <f t="shared" si="1291"/>
        <v>0</v>
      </c>
      <c r="AT416" s="160">
        <f t="shared" si="1291"/>
        <v>0</v>
      </c>
      <c r="AU416" s="160">
        <f t="shared" si="1291"/>
        <v>0</v>
      </c>
      <c r="AV416" s="160">
        <f t="shared" si="1291"/>
        <v>0</v>
      </c>
      <c r="AW416" s="160">
        <f t="shared" si="1291"/>
        <v>0</v>
      </c>
      <c r="AX416" s="160">
        <f t="shared" si="1291"/>
        <v>0</v>
      </c>
      <c r="AY416" s="160">
        <f t="shared" si="1291"/>
        <v>0</v>
      </c>
      <c r="AZ416" s="160">
        <f t="shared" si="1291"/>
        <v>0</v>
      </c>
      <c r="BA416" s="160">
        <f t="shared" si="1291"/>
        <v>0</v>
      </c>
      <c r="BB416" s="160">
        <f t="shared" si="1291"/>
        <v>0</v>
      </c>
      <c r="BC416" s="160">
        <f t="shared" si="1291"/>
        <v>0</v>
      </c>
      <c r="BD416" s="160">
        <f t="shared" si="1291"/>
        <v>0</v>
      </c>
      <c r="BE416" s="160">
        <f t="shared" si="1291"/>
        <v>0</v>
      </c>
      <c r="BF416" s="160">
        <f t="shared" si="1291"/>
        <v>0</v>
      </c>
      <c r="BG416" s="160">
        <f t="shared" si="1291"/>
        <v>0</v>
      </c>
      <c r="BH416" s="160">
        <f t="shared" si="1291"/>
        <v>0</v>
      </c>
      <c r="BI416" s="160">
        <f t="shared" si="1291"/>
        <v>0</v>
      </c>
      <c r="BJ416" s="160">
        <f t="shared" si="1291"/>
        <v>0</v>
      </c>
      <c r="BK416" s="160">
        <f t="shared" si="1291"/>
        <v>0</v>
      </c>
      <c r="BL416" s="160">
        <f t="shared" si="1291"/>
        <v>0</v>
      </c>
      <c r="BM416" s="160">
        <f t="shared" si="1291"/>
        <v>0</v>
      </c>
      <c r="BN416" s="160">
        <f t="shared" si="1291"/>
        <v>0</v>
      </c>
      <c r="BO416" s="160">
        <f t="shared" si="1291"/>
        <v>0</v>
      </c>
      <c r="BP416" s="160">
        <f t="shared" si="1291"/>
        <v>0</v>
      </c>
      <c r="BQ416" s="160">
        <f t="shared" si="1291"/>
        <v>0</v>
      </c>
      <c r="BR416" s="160">
        <f t="shared" si="1291"/>
        <v>0</v>
      </c>
      <c r="BS416" s="65"/>
      <c r="BT416" s="160">
        <f t="shared" si="1292"/>
        <v>0</v>
      </c>
      <c r="BU416" s="160">
        <f t="shared" si="1293"/>
        <v>0</v>
      </c>
      <c r="BV416" s="65"/>
      <c r="BW416" s="69"/>
      <c r="BX416" s="65"/>
      <c r="BY416" s="137">
        <f t="shared" si="1294"/>
        <v>1</v>
      </c>
      <c r="BZ416" s="137">
        <f>IF(BY416&gt;0,BY416+LARGE($BZ$213:BZ415,1),0)</f>
        <v>172</v>
      </c>
      <c r="CA416" s="137" t="str">
        <f t="shared" si="1295"/>
        <v>AN JR. ADM/CRP</v>
      </c>
      <c r="CB416" s="161">
        <f t="shared" si="1296"/>
        <v>0</v>
      </c>
      <c r="CC416" s="161">
        <f t="shared" si="1297"/>
        <v>0</v>
      </c>
      <c r="CD416" s="161">
        <f t="shared" si="1298"/>
        <v>0</v>
      </c>
      <c r="CE416" s="161">
        <f t="shared" si="1299"/>
        <v>0</v>
      </c>
      <c r="CF416" s="161">
        <f t="shared" si="1300"/>
        <v>0</v>
      </c>
      <c r="CG416" s="161">
        <f t="shared" si="1301"/>
        <v>0</v>
      </c>
      <c r="CH416" s="161">
        <f t="shared" si="1302"/>
        <v>0</v>
      </c>
      <c r="CI416" s="161">
        <f t="shared" si="1303"/>
        <v>0</v>
      </c>
      <c r="CJ416" s="161">
        <f t="shared" si="1304"/>
        <v>0</v>
      </c>
      <c r="CK416" s="161">
        <f t="shared" si="1305"/>
        <v>0</v>
      </c>
      <c r="CL416" s="161">
        <f t="shared" si="1306"/>
        <v>0</v>
      </c>
      <c r="CM416" s="161">
        <f t="shared" si="1307"/>
        <v>0</v>
      </c>
      <c r="CN416" s="161">
        <f t="shared" si="1308"/>
        <v>0</v>
      </c>
      <c r="CO416" s="161">
        <f t="shared" si="1309"/>
        <v>0</v>
      </c>
      <c r="CP416" s="161">
        <f t="shared" si="1310"/>
        <v>0</v>
      </c>
      <c r="CQ416" s="161">
        <f t="shared" si="1311"/>
        <v>0</v>
      </c>
      <c r="CR416" s="161">
        <f t="shared" si="1312"/>
        <v>0</v>
      </c>
      <c r="CS416" s="161">
        <f t="shared" si="1313"/>
        <v>0</v>
      </c>
      <c r="CT416" s="161">
        <f t="shared" si="1314"/>
        <v>0</v>
      </c>
      <c r="CU416" s="161">
        <f t="shared" si="1315"/>
        <v>0</v>
      </c>
      <c r="CV416" s="161">
        <f t="shared" si="1316"/>
        <v>0</v>
      </c>
      <c r="CW416" s="161">
        <f t="shared" si="1317"/>
        <v>0</v>
      </c>
      <c r="CX416" s="161">
        <f t="shared" si="1318"/>
        <v>0</v>
      </c>
      <c r="CY416" s="161">
        <f t="shared" si="1319"/>
        <v>0</v>
      </c>
      <c r="CZ416" s="161">
        <f t="shared" si="1320"/>
        <v>0</v>
      </c>
      <c r="DA416" s="161">
        <f t="shared" si="1321"/>
        <v>0</v>
      </c>
      <c r="DB416" s="161">
        <f t="shared" si="1322"/>
        <v>0</v>
      </c>
      <c r="DC416" s="161">
        <f t="shared" si="1323"/>
        <v>0</v>
      </c>
      <c r="DD416" s="161">
        <f t="shared" si="1324"/>
        <v>0</v>
      </c>
      <c r="DE416" s="161">
        <f t="shared" si="1325"/>
        <v>0</v>
      </c>
      <c r="DF416" s="161">
        <f t="shared" si="1326"/>
        <v>0</v>
      </c>
      <c r="DG416" s="161">
        <f t="shared" si="1327"/>
        <v>0</v>
      </c>
      <c r="DH416" s="161">
        <f t="shared" si="1328"/>
        <v>0</v>
      </c>
      <c r="DI416" s="161">
        <f t="shared" si="1329"/>
        <v>0</v>
      </c>
      <c r="DJ416" s="161">
        <f t="shared" si="1330"/>
        <v>0</v>
      </c>
      <c r="DK416" s="161">
        <f t="shared" si="1331"/>
        <v>0</v>
      </c>
      <c r="DL416" s="161">
        <f t="shared" si="1332"/>
        <v>0</v>
      </c>
      <c r="DM416" s="161">
        <f t="shared" si="1333"/>
        <v>0</v>
      </c>
      <c r="DN416" s="161">
        <f t="shared" si="1334"/>
        <v>0</v>
      </c>
      <c r="DO416" s="161">
        <f t="shared" si="1335"/>
        <v>0</v>
      </c>
      <c r="DP416" s="161">
        <f t="shared" si="1336"/>
        <v>0</v>
      </c>
      <c r="DQ416" s="161">
        <f t="shared" si="1337"/>
        <v>0</v>
      </c>
      <c r="DR416" s="161">
        <f t="shared" si="1338"/>
        <v>0</v>
      </c>
      <c r="DS416" s="161">
        <f t="shared" si="1339"/>
        <v>0</v>
      </c>
      <c r="DT416" s="161">
        <f t="shared" si="1340"/>
        <v>0</v>
      </c>
      <c r="DU416" s="161">
        <f t="shared" si="1341"/>
        <v>0</v>
      </c>
      <c r="DV416" s="161">
        <f t="shared" si="1342"/>
        <v>0</v>
      </c>
      <c r="DW416" s="161">
        <f t="shared" si="1343"/>
        <v>0</v>
      </c>
      <c r="DX416" s="161">
        <f t="shared" si="1344"/>
        <v>0</v>
      </c>
      <c r="DY416" s="161">
        <f t="shared" si="1345"/>
        <v>0</v>
      </c>
      <c r="DZ416" s="161">
        <f t="shared" si="1346"/>
        <v>0</v>
      </c>
      <c r="EA416" s="161">
        <f t="shared" si="1347"/>
        <v>0</v>
      </c>
      <c r="EB416" s="161">
        <f t="shared" si="1348"/>
        <v>0</v>
      </c>
      <c r="EC416" s="161">
        <f t="shared" si="1349"/>
        <v>0</v>
      </c>
      <c r="ED416" s="161">
        <f t="shared" si="1350"/>
        <v>0</v>
      </c>
      <c r="EE416" s="161">
        <f t="shared" si="1351"/>
        <v>0</v>
      </c>
      <c r="EF416" s="161">
        <f t="shared" si="1352"/>
        <v>0</v>
      </c>
      <c r="EG416" s="161">
        <f t="shared" si="1353"/>
        <v>0</v>
      </c>
      <c r="EH416" s="161">
        <f t="shared" si="1354"/>
        <v>0</v>
      </c>
      <c r="EI416" s="161">
        <f t="shared" si="1355"/>
        <v>0</v>
      </c>
      <c r="EJ416" s="65"/>
      <c r="EK416" s="161">
        <f t="shared" si="1426"/>
        <v>0</v>
      </c>
      <c r="EL416" s="161">
        <f t="shared" si="1427"/>
        <v>0</v>
      </c>
      <c r="EM416" s="161">
        <f t="shared" si="1428"/>
        <v>0</v>
      </c>
    </row>
    <row r="417" spans="1:143" ht="12" hidden="1" customHeight="1" outlineLevel="2">
      <c r="A417" s="77">
        <v>13</v>
      </c>
      <c r="B417" s="137" t="str">
        <f t="shared" si="1356"/>
        <v>TEC III - Equipe_01</v>
      </c>
      <c r="C417" s="65"/>
      <c r="D417" s="622"/>
      <c r="E417" s="65"/>
      <c r="F417" s="584"/>
      <c r="G417" s="77" t="str">
        <f>IF(INDEX(Tarefas!$BT$30:$FK$30,MATCH(A417,Tarefas!$BT$28:$FK$28,0))=0,"",INDEX(Tarefas!$BT$30:$FK$30,MATCH(A417,Tarefas!$BT$28:$FK$28,0)))</f>
        <v>TEC III</v>
      </c>
      <c r="H417" s="107" cm="1">
        <f t="array" ref="H417">IFERROR((SUMPRODUCT((Tarefas!$N$32:$N$54='Cronog. e Histog.'!$F$405)*(Tarefas!$BQ$30:$FK$30='Cronog. e Histog.'!$G417)*(Tarefas!$BQ$32:$FK$54)))/SUMIF(Tarefas!$N$32:$N$54,'Cronog. e Histog.'!$F$405,Tarefas!$K$32:$K$54),0)</f>
        <v>0</v>
      </c>
      <c r="I417" s="79">
        <f t="shared" si="1357"/>
        <v>0</v>
      </c>
      <c r="J417" s="65"/>
      <c r="K417" s="160">
        <f t="shared" si="1429"/>
        <v>0</v>
      </c>
      <c r="L417" s="160">
        <f t="shared" si="1291"/>
        <v>0</v>
      </c>
      <c r="M417" s="160">
        <f t="shared" si="1291"/>
        <v>0</v>
      </c>
      <c r="N417" s="160">
        <f t="shared" si="1291"/>
        <v>0</v>
      </c>
      <c r="O417" s="160">
        <f t="shared" si="1291"/>
        <v>0</v>
      </c>
      <c r="P417" s="160">
        <f t="shared" si="1291"/>
        <v>0</v>
      </c>
      <c r="Q417" s="160">
        <f t="shared" si="1291"/>
        <v>0</v>
      </c>
      <c r="R417" s="160">
        <f t="shared" si="1291"/>
        <v>0</v>
      </c>
      <c r="S417" s="160">
        <f t="shared" si="1291"/>
        <v>0</v>
      </c>
      <c r="T417" s="160">
        <f t="shared" si="1291"/>
        <v>0</v>
      </c>
      <c r="U417" s="160">
        <f t="shared" si="1291"/>
        <v>0</v>
      </c>
      <c r="V417" s="160">
        <f t="shared" si="1291"/>
        <v>0</v>
      </c>
      <c r="W417" s="160">
        <f t="shared" si="1291"/>
        <v>0</v>
      </c>
      <c r="X417" s="160">
        <f t="shared" si="1291"/>
        <v>0</v>
      </c>
      <c r="Y417" s="160">
        <f t="shared" si="1291"/>
        <v>0</v>
      </c>
      <c r="Z417" s="160">
        <f t="shared" si="1291"/>
        <v>0</v>
      </c>
      <c r="AA417" s="160">
        <f t="shared" si="1291"/>
        <v>0</v>
      </c>
      <c r="AB417" s="160">
        <f t="shared" si="1291"/>
        <v>0</v>
      </c>
      <c r="AC417" s="160">
        <f t="shared" si="1291"/>
        <v>0</v>
      </c>
      <c r="AD417" s="160">
        <f t="shared" si="1291"/>
        <v>0</v>
      </c>
      <c r="AE417" s="160">
        <f t="shared" si="1291"/>
        <v>0</v>
      </c>
      <c r="AF417" s="160">
        <f t="shared" si="1291"/>
        <v>0</v>
      </c>
      <c r="AG417" s="160">
        <f t="shared" si="1291"/>
        <v>0</v>
      </c>
      <c r="AH417" s="160">
        <f t="shared" si="1291"/>
        <v>0</v>
      </c>
      <c r="AI417" s="160">
        <f t="shared" si="1291"/>
        <v>0</v>
      </c>
      <c r="AJ417" s="160">
        <f t="shared" si="1291"/>
        <v>0</v>
      </c>
      <c r="AK417" s="160">
        <f t="shared" si="1291"/>
        <v>0</v>
      </c>
      <c r="AL417" s="160">
        <f t="shared" si="1291"/>
        <v>0</v>
      </c>
      <c r="AM417" s="160">
        <f t="shared" si="1291"/>
        <v>0</v>
      </c>
      <c r="AN417" s="160">
        <f t="shared" si="1291"/>
        <v>0</v>
      </c>
      <c r="AO417" s="160">
        <f t="shared" si="1291"/>
        <v>0</v>
      </c>
      <c r="AP417" s="160">
        <f t="shared" si="1291"/>
        <v>0</v>
      </c>
      <c r="AQ417" s="160">
        <f t="shared" si="1291"/>
        <v>0</v>
      </c>
      <c r="AR417" s="160">
        <f t="shared" si="1291"/>
        <v>0</v>
      </c>
      <c r="AS417" s="160">
        <f t="shared" si="1291"/>
        <v>0</v>
      </c>
      <c r="AT417" s="160">
        <f t="shared" si="1291"/>
        <v>0</v>
      </c>
      <c r="AU417" s="160">
        <f t="shared" si="1291"/>
        <v>0</v>
      </c>
      <c r="AV417" s="160">
        <f t="shared" si="1291"/>
        <v>0</v>
      </c>
      <c r="AW417" s="160">
        <f t="shared" si="1291"/>
        <v>0</v>
      </c>
      <c r="AX417" s="160">
        <f t="shared" si="1291"/>
        <v>0</v>
      </c>
      <c r="AY417" s="160">
        <f t="shared" si="1291"/>
        <v>0</v>
      </c>
      <c r="AZ417" s="160">
        <f t="shared" si="1291"/>
        <v>0</v>
      </c>
      <c r="BA417" s="160">
        <f t="shared" si="1291"/>
        <v>0</v>
      </c>
      <c r="BB417" s="160">
        <f t="shared" si="1291"/>
        <v>0</v>
      </c>
      <c r="BC417" s="160">
        <f t="shared" si="1291"/>
        <v>0</v>
      </c>
      <c r="BD417" s="160">
        <f t="shared" si="1291"/>
        <v>0</v>
      </c>
      <c r="BE417" s="160">
        <f t="shared" si="1291"/>
        <v>0</v>
      </c>
      <c r="BF417" s="160">
        <f t="shared" si="1291"/>
        <v>0</v>
      </c>
      <c r="BG417" s="160">
        <f t="shared" si="1291"/>
        <v>0</v>
      </c>
      <c r="BH417" s="160">
        <f t="shared" si="1291"/>
        <v>0</v>
      </c>
      <c r="BI417" s="160">
        <f t="shared" si="1291"/>
        <v>0</v>
      </c>
      <c r="BJ417" s="160">
        <f t="shared" si="1291"/>
        <v>0</v>
      </c>
      <c r="BK417" s="160">
        <f t="shared" si="1291"/>
        <v>0</v>
      </c>
      <c r="BL417" s="160">
        <f t="shared" si="1291"/>
        <v>0</v>
      </c>
      <c r="BM417" s="160">
        <f t="shared" si="1291"/>
        <v>0</v>
      </c>
      <c r="BN417" s="160">
        <f t="shared" si="1291"/>
        <v>0</v>
      </c>
      <c r="BO417" s="160">
        <f t="shared" si="1291"/>
        <v>0</v>
      </c>
      <c r="BP417" s="160">
        <f t="shared" si="1291"/>
        <v>0</v>
      </c>
      <c r="BQ417" s="160">
        <f t="shared" si="1291"/>
        <v>0</v>
      </c>
      <c r="BR417" s="160">
        <f t="shared" si="1291"/>
        <v>0</v>
      </c>
      <c r="BS417" s="65"/>
      <c r="BT417" s="160">
        <f t="shared" si="1292"/>
        <v>0</v>
      </c>
      <c r="BU417" s="160">
        <f t="shared" si="1293"/>
        <v>0</v>
      </c>
      <c r="BV417" s="65"/>
      <c r="BW417" s="69"/>
      <c r="BX417" s="65"/>
      <c r="BY417" s="137">
        <f t="shared" si="1294"/>
        <v>1</v>
      </c>
      <c r="BZ417" s="137">
        <f>IF(BY417&gt;0,BY417+LARGE($BZ$213:BZ416,1),0)</f>
        <v>173</v>
      </c>
      <c r="CA417" s="137" t="str">
        <f t="shared" si="1295"/>
        <v>TEC III</v>
      </c>
      <c r="CB417" s="161">
        <f t="shared" si="1296"/>
        <v>0</v>
      </c>
      <c r="CC417" s="161">
        <f t="shared" si="1297"/>
        <v>0</v>
      </c>
      <c r="CD417" s="161">
        <f t="shared" si="1298"/>
        <v>0</v>
      </c>
      <c r="CE417" s="161">
        <f t="shared" si="1299"/>
        <v>0</v>
      </c>
      <c r="CF417" s="161">
        <f t="shared" si="1300"/>
        <v>0</v>
      </c>
      <c r="CG417" s="161">
        <f t="shared" si="1301"/>
        <v>0</v>
      </c>
      <c r="CH417" s="161">
        <f t="shared" si="1302"/>
        <v>0</v>
      </c>
      <c r="CI417" s="161">
        <f t="shared" si="1303"/>
        <v>0</v>
      </c>
      <c r="CJ417" s="161">
        <f t="shared" si="1304"/>
        <v>0</v>
      </c>
      <c r="CK417" s="161">
        <f t="shared" si="1305"/>
        <v>0</v>
      </c>
      <c r="CL417" s="161">
        <f t="shared" si="1306"/>
        <v>0</v>
      </c>
      <c r="CM417" s="161">
        <f t="shared" si="1307"/>
        <v>0</v>
      </c>
      <c r="CN417" s="161">
        <f t="shared" si="1308"/>
        <v>0</v>
      </c>
      <c r="CO417" s="161">
        <f t="shared" si="1309"/>
        <v>0</v>
      </c>
      <c r="CP417" s="161">
        <f t="shared" si="1310"/>
        <v>0</v>
      </c>
      <c r="CQ417" s="161">
        <f t="shared" si="1311"/>
        <v>0</v>
      </c>
      <c r="CR417" s="161">
        <f t="shared" si="1312"/>
        <v>0</v>
      </c>
      <c r="CS417" s="161">
        <f t="shared" si="1313"/>
        <v>0</v>
      </c>
      <c r="CT417" s="161">
        <f t="shared" si="1314"/>
        <v>0</v>
      </c>
      <c r="CU417" s="161">
        <f t="shared" si="1315"/>
        <v>0</v>
      </c>
      <c r="CV417" s="161">
        <f t="shared" si="1316"/>
        <v>0</v>
      </c>
      <c r="CW417" s="161">
        <f t="shared" si="1317"/>
        <v>0</v>
      </c>
      <c r="CX417" s="161">
        <f t="shared" si="1318"/>
        <v>0</v>
      </c>
      <c r="CY417" s="161">
        <f t="shared" si="1319"/>
        <v>0</v>
      </c>
      <c r="CZ417" s="161">
        <f t="shared" si="1320"/>
        <v>0</v>
      </c>
      <c r="DA417" s="161">
        <f t="shared" si="1321"/>
        <v>0</v>
      </c>
      <c r="DB417" s="161">
        <f t="shared" si="1322"/>
        <v>0</v>
      </c>
      <c r="DC417" s="161">
        <f t="shared" si="1323"/>
        <v>0</v>
      </c>
      <c r="DD417" s="161">
        <f t="shared" si="1324"/>
        <v>0</v>
      </c>
      <c r="DE417" s="161">
        <f t="shared" si="1325"/>
        <v>0</v>
      </c>
      <c r="DF417" s="161">
        <f t="shared" si="1326"/>
        <v>0</v>
      </c>
      <c r="DG417" s="161">
        <f t="shared" si="1327"/>
        <v>0</v>
      </c>
      <c r="DH417" s="161">
        <f t="shared" si="1328"/>
        <v>0</v>
      </c>
      <c r="DI417" s="161">
        <f t="shared" si="1329"/>
        <v>0</v>
      </c>
      <c r="DJ417" s="161">
        <f t="shared" si="1330"/>
        <v>0</v>
      </c>
      <c r="DK417" s="161">
        <f t="shared" si="1331"/>
        <v>0</v>
      </c>
      <c r="DL417" s="161">
        <f t="shared" si="1332"/>
        <v>0</v>
      </c>
      <c r="DM417" s="161">
        <f t="shared" si="1333"/>
        <v>0</v>
      </c>
      <c r="DN417" s="161">
        <f t="shared" si="1334"/>
        <v>0</v>
      </c>
      <c r="DO417" s="161">
        <f t="shared" si="1335"/>
        <v>0</v>
      </c>
      <c r="DP417" s="161">
        <f t="shared" si="1336"/>
        <v>0</v>
      </c>
      <c r="DQ417" s="161">
        <f t="shared" si="1337"/>
        <v>0</v>
      </c>
      <c r="DR417" s="161">
        <f t="shared" si="1338"/>
        <v>0</v>
      </c>
      <c r="DS417" s="161">
        <f t="shared" si="1339"/>
        <v>0</v>
      </c>
      <c r="DT417" s="161">
        <f t="shared" si="1340"/>
        <v>0</v>
      </c>
      <c r="DU417" s="161">
        <f t="shared" si="1341"/>
        <v>0</v>
      </c>
      <c r="DV417" s="161">
        <f t="shared" si="1342"/>
        <v>0</v>
      </c>
      <c r="DW417" s="161">
        <f t="shared" si="1343"/>
        <v>0</v>
      </c>
      <c r="DX417" s="161">
        <f t="shared" si="1344"/>
        <v>0</v>
      </c>
      <c r="DY417" s="161">
        <f t="shared" si="1345"/>
        <v>0</v>
      </c>
      <c r="DZ417" s="161">
        <f t="shared" si="1346"/>
        <v>0</v>
      </c>
      <c r="EA417" s="161">
        <f t="shared" si="1347"/>
        <v>0</v>
      </c>
      <c r="EB417" s="161">
        <f t="shared" si="1348"/>
        <v>0</v>
      </c>
      <c r="EC417" s="161">
        <f t="shared" si="1349"/>
        <v>0</v>
      </c>
      <c r="ED417" s="161">
        <f t="shared" si="1350"/>
        <v>0</v>
      </c>
      <c r="EE417" s="161">
        <f t="shared" si="1351"/>
        <v>0</v>
      </c>
      <c r="EF417" s="161">
        <f t="shared" si="1352"/>
        <v>0</v>
      </c>
      <c r="EG417" s="161">
        <f t="shared" si="1353"/>
        <v>0</v>
      </c>
      <c r="EH417" s="161">
        <f t="shared" si="1354"/>
        <v>0</v>
      </c>
      <c r="EI417" s="161">
        <f t="shared" si="1355"/>
        <v>0</v>
      </c>
      <c r="EJ417" s="65"/>
      <c r="EK417" s="161">
        <f t="shared" si="1426"/>
        <v>0</v>
      </c>
      <c r="EL417" s="161">
        <f t="shared" si="1427"/>
        <v>0</v>
      </c>
      <c r="EM417" s="161">
        <f t="shared" si="1428"/>
        <v>0</v>
      </c>
    </row>
    <row r="418" spans="1:143" ht="12" hidden="1" customHeight="1" outlineLevel="2">
      <c r="A418" s="77">
        <v>14</v>
      </c>
      <c r="B418" s="137" t="str">
        <f t="shared" si="1356"/>
        <v>TEC II - Equipe_01</v>
      </c>
      <c r="C418" s="65"/>
      <c r="D418" s="622"/>
      <c r="E418" s="65"/>
      <c r="F418" s="584"/>
      <c r="G418" s="77" t="str">
        <f>IF(INDEX(Tarefas!$BT$30:$FK$30,MATCH(A418,Tarefas!$BT$28:$FK$28,0))=0,"",INDEX(Tarefas!$BT$30:$FK$30,MATCH(A418,Tarefas!$BT$28:$FK$28,0)))</f>
        <v>TEC II</v>
      </c>
      <c r="H418" s="107" cm="1">
        <f t="array" ref="H418">IFERROR((SUMPRODUCT((Tarefas!$N$32:$N$54='Cronog. e Histog.'!$F$405)*(Tarefas!$BQ$30:$FK$30='Cronog. e Histog.'!$G418)*(Tarefas!$BQ$32:$FK$54)))/SUMIF(Tarefas!$N$32:$N$54,'Cronog. e Histog.'!$F$405,Tarefas!$K$32:$K$54),0)</f>
        <v>0</v>
      </c>
      <c r="I418" s="79">
        <f t="shared" si="1357"/>
        <v>0</v>
      </c>
      <c r="J418" s="65"/>
      <c r="K418" s="160">
        <f t="shared" si="1429"/>
        <v>0</v>
      </c>
      <c r="L418" s="160">
        <f t="shared" si="1291"/>
        <v>0</v>
      </c>
      <c r="M418" s="160">
        <f t="shared" si="1291"/>
        <v>0</v>
      </c>
      <c r="N418" s="160">
        <f t="shared" si="1291"/>
        <v>0</v>
      </c>
      <c r="O418" s="160">
        <f t="shared" si="1291"/>
        <v>0</v>
      </c>
      <c r="P418" s="160">
        <f t="shared" si="1291"/>
        <v>0</v>
      </c>
      <c r="Q418" s="160">
        <f t="shared" si="1291"/>
        <v>0</v>
      </c>
      <c r="R418" s="160">
        <f t="shared" si="1291"/>
        <v>0</v>
      </c>
      <c r="S418" s="160">
        <f t="shared" si="1291"/>
        <v>0</v>
      </c>
      <c r="T418" s="160">
        <f t="shared" si="1291"/>
        <v>0</v>
      </c>
      <c r="U418" s="160">
        <f t="shared" si="1291"/>
        <v>0</v>
      </c>
      <c r="V418" s="160">
        <f t="shared" si="1291"/>
        <v>0</v>
      </c>
      <c r="W418" s="160">
        <f t="shared" si="1291"/>
        <v>0</v>
      </c>
      <c r="X418" s="160">
        <f t="shared" si="1291"/>
        <v>0</v>
      </c>
      <c r="Y418" s="160">
        <f t="shared" si="1291"/>
        <v>0</v>
      </c>
      <c r="Z418" s="160">
        <f t="shared" si="1291"/>
        <v>0</v>
      </c>
      <c r="AA418" s="160">
        <f t="shared" si="1291"/>
        <v>0</v>
      </c>
      <c r="AB418" s="160">
        <f t="shared" si="1291"/>
        <v>0</v>
      </c>
      <c r="AC418" s="160">
        <f t="shared" si="1291"/>
        <v>0</v>
      </c>
      <c r="AD418" s="160">
        <f t="shared" si="1291"/>
        <v>0</v>
      </c>
      <c r="AE418" s="160">
        <f t="shared" si="1291"/>
        <v>0</v>
      </c>
      <c r="AF418" s="160">
        <f t="shared" si="1291"/>
        <v>0</v>
      </c>
      <c r="AG418" s="160">
        <f t="shared" si="1291"/>
        <v>0</v>
      </c>
      <c r="AH418" s="160">
        <f t="shared" si="1291"/>
        <v>0</v>
      </c>
      <c r="AI418" s="160">
        <f t="shared" si="1291"/>
        <v>0</v>
      </c>
      <c r="AJ418" s="160">
        <f t="shared" si="1291"/>
        <v>0</v>
      </c>
      <c r="AK418" s="160">
        <f t="shared" si="1291"/>
        <v>0</v>
      </c>
      <c r="AL418" s="160">
        <f t="shared" si="1291"/>
        <v>0</v>
      </c>
      <c r="AM418" s="160">
        <f t="shared" si="1291"/>
        <v>0</v>
      </c>
      <c r="AN418" s="160">
        <f t="shared" si="1291"/>
        <v>0</v>
      </c>
      <c r="AO418" s="160">
        <f t="shared" si="1291"/>
        <v>0</v>
      </c>
      <c r="AP418" s="160">
        <f t="shared" si="1291"/>
        <v>0</v>
      </c>
      <c r="AQ418" s="160">
        <f t="shared" si="1291"/>
        <v>0</v>
      </c>
      <c r="AR418" s="160">
        <f t="shared" si="1291"/>
        <v>0</v>
      </c>
      <c r="AS418" s="160">
        <f t="shared" si="1291"/>
        <v>0</v>
      </c>
      <c r="AT418" s="160">
        <f t="shared" si="1291"/>
        <v>0</v>
      </c>
      <c r="AU418" s="160">
        <f t="shared" si="1291"/>
        <v>0</v>
      </c>
      <c r="AV418" s="160">
        <f t="shared" si="1291"/>
        <v>0</v>
      </c>
      <c r="AW418" s="160">
        <f t="shared" si="1291"/>
        <v>0</v>
      </c>
      <c r="AX418" s="160">
        <f t="shared" si="1291"/>
        <v>0</v>
      </c>
      <c r="AY418" s="160">
        <f t="shared" si="1291"/>
        <v>0</v>
      </c>
      <c r="AZ418" s="160">
        <f t="shared" si="1291"/>
        <v>0</v>
      </c>
      <c r="BA418" s="160">
        <f t="shared" si="1291"/>
        <v>0</v>
      </c>
      <c r="BB418" s="160">
        <f t="shared" si="1291"/>
        <v>0</v>
      </c>
      <c r="BC418" s="160">
        <f t="shared" si="1291"/>
        <v>0</v>
      </c>
      <c r="BD418" s="160">
        <f t="shared" si="1291"/>
        <v>0</v>
      </c>
      <c r="BE418" s="160">
        <f t="shared" si="1291"/>
        <v>0</v>
      </c>
      <c r="BF418" s="160">
        <f t="shared" si="1291"/>
        <v>0</v>
      </c>
      <c r="BG418" s="160">
        <f t="shared" si="1291"/>
        <v>0</v>
      </c>
      <c r="BH418" s="160">
        <f t="shared" si="1291"/>
        <v>0</v>
      </c>
      <c r="BI418" s="160">
        <f t="shared" si="1291"/>
        <v>0</v>
      </c>
      <c r="BJ418" s="160">
        <f t="shared" si="1291"/>
        <v>0</v>
      </c>
      <c r="BK418" s="160">
        <f t="shared" si="1291"/>
        <v>0</v>
      </c>
      <c r="BL418" s="160">
        <f t="shared" si="1291"/>
        <v>0</v>
      </c>
      <c r="BM418" s="160">
        <f t="shared" si="1291"/>
        <v>0</v>
      </c>
      <c r="BN418" s="160">
        <f t="shared" si="1291"/>
        <v>0</v>
      </c>
      <c r="BO418" s="160">
        <f t="shared" si="1291"/>
        <v>0</v>
      </c>
      <c r="BP418" s="160">
        <f t="shared" si="1291"/>
        <v>0</v>
      </c>
      <c r="BQ418" s="160">
        <f t="shared" si="1291"/>
        <v>0</v>
      </c>
      <c r="BR418" s="160">
        <f t="shared" si="1291"/>
        <v>0</v>
      </c>
      <c r="BS418" s="65"/>
      <c r="BT418" s="160">
        <f t="shared" si="1292"/>
        <v>0</v>
      </c>
      <c r="BU418" s="160">
        <f t="shared" si="1293"/>
        <v>0</v>
      </c>
      <c r="BV418" s="65"/>
      <c r="BW418" s="69"/>
      <c r="BX418" s="65"/>
      <c r="BY418" s="137">
        <f t="shared" si="1294"/>
        <v>1</v>
      </c>
      <c r="BZ418" s="137">
        <f>IF(BY418&gt;0,BY418+LARGE($BZ$213:BZ417,1),0)</f>
        <v>174</v>
      </c>
      <c r="CA418" s="137" t="str">
        <f t="shared" si="1295"/>
        <v>TEC II</v>
      </c>
      <c r="CB418" s="161">
        <f t="shared" si="1296"/>
        <v>0</v>
      </c>
      <c r="CC418" s="161">
        <f t="shared" si="1297"/>
        <v>0</v>
      </c>
      <c r="CD418" s="161">
        <f t="shared" si="1298"/>
        <v>0</v>
      </c>
      <c r="CE418" s="161">
        <f t="shared" si="1299"/>
        <v>0</v>
      </c>
      <c r="CF418" s="161">
        <f t="shared" si="1300"/>
        <v>0</v>
      </c>
      <c r="CG418" s="161">
        <f t="shared" si="1301"/>
        <v>0</v>
      </c>
      <c r="CH418" s="161">
        <f t="shared" si="1302"/>
        <v>0</v>
      </c>
      <c r="CI418" s="161">
        <f t="shared" si="1303"/>
        <v>0</v>
      </c>
      <c r="CJ418" s="161">
        <f t="shared" si="1304"/>
        <v>0</v>
      </c>
      <c r="CK418" s="161">
        <f t="shared" si="1305"/>
        <v>0</v>
      </c>
      <c r="CL418" s="161">
        <f t="shared" si="1306"/>
        <v>0</v>
      </c>
      <c r="CM418" s="161">
        <f t="shared" si="1307"/>
        <v>0</v>
      </c>
      <c r="CN418" s="161">
        <f t="shared" si="1308"/>
        <v>0</v>
      </c>
      <c r="CO418" s="161">
        <f t="shared" si="1309"/>
        <v>0</v>
      </c>
      <c r="CP418" s="161">
        <f t="shared" si="1310"/>
        <v>0</v>
      </c>
      <c r="CQ418" s="161">
        <f t="shared" si="1311"/>
        <v>0</v>
      </c>
      <c r="CR418" s="161">
        <f t="shared" si="1312"/>
        <v>0</v>
      </c>
      <c r="CS418" s="161">
        <f t="shared" si="1313"/>
        <v>0</v>
      </c>
      <c r="CT418" s="161">
        <f t="shared" si="1314"/>
        <v>0</v>
      </c>
      <c r="CU418" s="161">
        <f t="shared" si="1315"/>
        <v>0</v>
      </c>
      <c r="CV418" s="161">
        <f t="shared" si="1316"/>
        <v>0</v>
      </c>
      <c r="CW418" s="161">
        <f t="shared" si="1317"/>
        <v>0</v>
      </c>
      <c r="CX418" s="161">
        <f t="shared" si="1318"/>
        <v>0</v>
      </c>
      <c r="CY418" s="161">
        <f t="shared" si="1319"/>
        <v>0</v>
      </c>
      <c r="CZ418" s="161">
        <f t="shared" si="1320"/>
        <v>0</v>
      </c>
      <c r="DA418" s="161">
        <f t="shared" si="1321"/>
        <v>0</v>
      </c>
      <c r="DB418" s="161">
        <f t="shared" si="1322"/>
        <v>0</v>
      </c>
      <c r="DC418" s="161">
        <f t="shared" si="1323"/>
        <v>0</v>
      </c>
      <c r="DD418" s="161">
        <f t="shared" si="1324"/>
        <v>0</v>
      </c>
      <c r="DE418" s="161">
        <f t="shared" si="1325"/>
        <v>0</v>
      </c>
      <c r="DF418" s="161">
        <f t="shared" si="1326"/>
        <v>0</v>
      </c>
      <c r="DG418" s="161">
        <f t="shared" si="1327"/>
        <v>0</v>
      </c>
      <c r="DH418" s="161">
        <f t="shared" si="1328"/>
        <v>0</v>
      </c>
      <c r="DI418" s="161">
        <f t="shared" si="1329"/>
        <v>0</v>
      </c>
      <c r="DJ418" s="161">
        <f t="shared" si="1330"/>
        <v>0</v>
      </c>
      <c r="DK418" s="161">
        <f t="shared" si="1331"/>
        <v>0</v>
      </c>
      <c r="DL418" s="161">
        <f t="shared" si="1332"/>
        <v>0</v>
      </c>
      <c r="DM418" s="161">
        <f t="shared" si="1333"/>
        <v>0</v>
      </c>
      <c r="DN418" s="161">
        <f t="shared" si="1334"/>
        <v>0</v>
      </c>
      <c r="DO418" s="161">
        <f t="shared" si="1335"/>
        <v>0</v>
      </c>
      <c r="DP418" s="161">
        <f t="shared" si="1336"/>
        <v>0</v>
      </c>
      <c r="DQ418" s="161">
        <f t="shared" si="1337"/>
        <v>0</v>
      </c>
      <c r="DR418" s="161">
        <f t="shared" si="1338"/>
        <v>0</v>
      </c>
      <c r="DS418" s="161">
        <f t="shared" si="1339"/>
        <v>0</v>
      </c>
      <c r="DT418" s="161">
        <f t="shared" si="1340"/>
        <v>0</v>
      </c>
      <c r="DU418" s="161">
        <f t="shared" si="1341"/>
        <v>0</v>
      </c>
      <c r="DV418" s="161">
        <f t="shared" si="1342"/>
        <v>0</v>
      </c>
      <c r="DW418" s="161">
        <f t="shared" si="1343"/>
        <v>0</v>
      </c>
      <c r="DX418" s="161">
        <f t="shared" si="1344"/>
        <v>0</v>
      </c>
      <c r="DY418" s="161">
        <f t="shared" si="1345"/>
        <v>0</v>
      </c>
      <c r="DZ418" s="161">
        <f t="shared" si="1346"/>
        <v>0</v>
      </c>
      <c r="EA418" s="161">
        <f t="shared" si="1347"/>
        <v>0</v>
      </c>
      <c r="EB418" s="161">
        <f t="shared" si="1348"/>
        <v>0</v>
      </c>
      <c r="EC418" s="161">
        <f t="shared" si="1349"/>
        <v>0</v>
      </c>
      <c r="ED418" s="161">
        <f t="shared" si="1350"/>
        <v>0</v>
      </c>
      <c r="EE418" s="161">
        <f t="shared" si="1351"/>
        <v>0</v>
      </c>
      <c r="EF418" s="161">
        <f t="shared" si="1352"/>
        <v>0</v>
      </c>
      <c r="EG418" s="161">
        <f t="shared" si="1353"/>
        <v>0</v>
      </c>
      <c r="EH418" s="161">
        <f t="shared" si="1354"/>
        <v>0</v>
      </c>
      <c r="EI418" s="161">
        <f t="shared" si="1355"/>
        <v>0</v>
      </c>
      <c r="EJ418" s="65"/>
      <c r="EK418" s="161">
        <f t="shared" si="1426"/>
        <v>0</v>
      </c>
      <c r="EL418" s="161">
        <f t="shared" si="1427"/>
        <v>0</v>
      </c>
      <c r="EM418" s="161">
        <f t="shared" si="1428"/>
        <v>0</v>
      </c>
    </row>
    <row r="419" spans="1:143" ht="12" hidden="1" customHeight="1" outlineLevel="2">
      <c r="A419" s="77">
        <v>15</v>
      </c>
      <c r="B419" s="137" t="str">
        <f t="shared" si="1356"/>
        <v>TEC I - Equipe_01</v>
      </c>
      <c r="C419" s="65"/>
      <c r="D419" s="622"/>
      <c r="E419" s="65"/>
      <c r="F419" s="584"/>
      <c r="G419" s="77" t="str">
        <f>IF(INDEX(Tarefas!$BT$30:$FK$30,MATCH(A419,Tarefas!$BT$28:$FK$28,0))=0,"",INDEX(Tarefas!$BT$30:$FK$30,MATCH(A419,Tarefas!$BT$28:$FK$28,0)))</f>
        <v>TEC I</v>
      </c>
      <c r="H419" s="107" cm="1">
        <f t="array" ref="H419">IFERROR((SUMPRODUCT((Tarefas!$N$32:$N$54='Cronog. e Histog.'!$F$405)*(Tarefas!$BQ$30:$FK$30='Cronog. e Histog.'!$G419)*(Tarefas!$BQ$32:$FK$54)))/SUMIF(Tarefas!$N$32:$N$54,'Cronog. e Histog.'!$F$405,Tarefas!$K$32:$K$54),0)</f>
        <v>0</v>
      </c>
      <c r="I419" s="79">
        <f t="shared" si="1357"/>
        <v>0</v>
      </c>
      <c r="J419" s="65"/>
      <c r="K419" s="160">
        <f t="shared" si="1429"/>
        <v>0</v>
      </c>
      <c r="L419" s="160">
        <f t="shared" si="1291"/>
        <v>0</v>
      </c>
      <c r="M419" s="160">
        <f t="shared" si="1291"/>
        <v>0</v>
      </c>
      <c r="N419" s="160">
        <f t="shared" si="1291"/>
        <v>0</v>
      </c>
      <c r="O419" s="160">
        <f t="shared" si="1291"/>
        <v>0</v>
      </c>
      <c r="P419" s="160">
        <f t="shared" si="1291"/>
        <v>0</v>
      </c>
      <c r="Q419" s="160">
        <f t="shared" si="1291"/>
        <v>0</v>
      </c>
      <c r="R419" s="160">
        <f t="shared" si="1291"/>
        <v>0</v>
      </c>
      <c r="S419" s="160">
        <f t="shared" si="1291"/>
        <v>0</v>
      </c>
      <c r="T419" s="160">
        <f t="shared" si="1291"/>
        <v>0</v>
      </c>
      <c r="U419" s="160">
        <f t="shared" si="1291"/>
        <v>0</v>
      </c>
      <c r="V419" s="160">
        <f t="shared" si="1291"/>
        <v>0</v>
      </c>
      <c r="W419" s="160">
        <f t="shared" si="1291"/>
        <v>0</v>
      </c>
      <c r="X419" s="160">
        <f t="shared" si="1291"/>
        <v>0</v>
      </c>
      <c r="Y419" s="160">
        <f t="shared" si="1291"/>
        <v>0</v>
      </c>
      <c r="Z419" s="160">
        <f t="shared" si="1291"/>
        <v>0</v>
      </c>
      <c r="AA419" s="160">
        <f t="shared" si="1291"/>
        <v>0</v>
      </c>
      <c r="AB419" s="160">
        <f t="shared" si="1291"/>
        <v>0</v>
      </c>
      <c r="AC419" s="160">
        <f t="shared" si="1291"/>
        <v>0</v>
      </c>
      <c r="AD419" s="160">
        <f t="shared" si="1291"/>
        <v>0</v>
      </c>
      <c r="AE419" s="160">
        <f t="shared" si="1291"/>
        <v>0</v>
      </c>
      <c r="AF419" s="160">
        <f t="shared" si="1291"/>
        <v>0</v>
      </c>
      <c r="AG419" s="160">
        <f t="shared" si="1291"/>
        <v>0</v>
      </c>
      <c r="AH419" s="160">
        <f t="shared" si="1291"/>
        <v>0</v>
      </c>
      <c r="AI419" s="160">
        <f t="shared" si="1291"/>
        <v>0</v>
      </c>
      <c r="AJ419" s="160">
        <f t="shared" si="1291"/>
        <v>0</v>
      </c>
      <c r="AK419" s="160">
        <f t="shared" si="1291"/>
        <v>0</v>
      </c>
      <c r="AL419" s="160">
        <f t="shared" si="1291"/>
        <v>0</v>
      </c>
      <c r="AM419" s="160">
        <f t="shared" si="1291"/>
        <v>0</v>
      </c>
      <c r="AN419" s="160">
        <f t="shared" si="1291"/>
        <v>0</v>
      </c>
      <c r="AO419" s="160">
        <f t="shared" si="1291"/>
        <v>0</v>
      </c>
      <c r="AP419" s="160">
        <f t="shared" si="1291"/>
        <v>0</v>
      </c>
      <c r="AQ419" s="160">
        <f t="shared" si="1291"/>
        <v>0</v>
      </c>
      <c r="AR419" s="160">
        <f t="shared" si="1291"/>
        <v>0</v>
      </c>
      <c r="AS419" s="160">
        <f t="shared" si="1291"/>
        <v>0</v>
      </c>
      <c r="AT419" s="160">
        <f t="shared" ref="L419:BR423" si="1430">ROUND($I419*AT$191,2)</f>
        <v>0</v>
      </c>
      <c r="AU419" s="160">
        <f t="shared" si="1430"/>
        <v>0</v>
      </c>
      <c r="AV419" s="160">
        <f t="shared" si="1430"/>
        <v>0</v>
      </c>
      <c r="AW419" s="160">
        <f t="shared" si="1430"/>
        <v>0</v>
      </c>
      <c r="AX419" s="160">
        <f t="shared" si="1430"/>
        <v>0</v>
      </c>
      <c r="AY419" s="160">
        <f t="shared" si="1430"/>
        <v>0</v>
      </c>
      <c r="AZ419" s="160">
        <f t="shared" si="1430"/>
        <v>0</v>
      </c>
      <c r="BA419" s="160">
        <f t="shared" si="1430"/>
        <v>0</v>
      </c>
      <c r="BB419" s="160">
        <f t="shared" si="1430"/>
        <v>0</v>
      </c>
      <c r="BC419" s="160">
        <f t="shared" si="1430"/>
        <v>0</v>
      </c>
      <c r="BD419" s="160">
        <f t="shared" si="1430"/>
        <v>0</v>
      </c>
      <c r="BE419" s="160">
        <f t="shared" si="1430"/>
        <v>0</v>
      </c>
      <c r="BF419" s="160">
        <f t="shared" si="1430"/>
        <v>0</v>
      </c>
      <c r="BG419" s="160">
        <f t="shared" si="1430"/>
        <v>0</v>
      </c>
      <c r="BH419" s="160">
        <f t="shared" si="1430"/>
        <v>0</v>
      </c>
      <c r="BI419" s="160">
        <f t="shared" si="1430"/>
        <v>0</v>
      </c>
      <c r="BJ419" s="160">
        <f t="shared" si="1430"/>
        <v>0</v>
      </c>
      <c r="BK419" s="160">
        <f t="shared" si="1430"/>
        <v>0</v>
      </c>
      <c r="BL419" s="160">
        <f t="shared" si="1430"/>
        <v>0</v>
      </c>
      <c r="BM419" s="160">
        <f t="shared" si="1430"/>
        <v>0</v>
      </c>
      <c r="BN419" s="160">
        <f t="shared" si="1430"/>
        <v>0</v>
      </c>
      <c r="BO419" s="160">
        <f t="shared" si="1430"/>
        <v>0</v>
      </c>
      <c r="BP419" s="160">
        <f t="shared" si="1430"/>
        <v>0</v>
      </c>
      <c r="BQ419" s="160">
        <f t="shared" si="1430"/>
        <v>0</v>
      </c>
      <c r="BR419" s="160">
        <f t="shared" si="1430"/>
        <v>0</v>
      </c>
      <c r="BS419" s="65"/>
      <c r="BT419" s="160">
        <f t="shared" si="1292"/>
        <v>0</v>
      </c>
      <c r="BU419" s="160">
        <f t="shared" si="1293"/>
        <v>0</v>
      </c>
      <c r="BV419" s="65"/>
      <c r="BW419" s="69"/>
      <c r="BX419" s="65"/>
      <c r="BY419" s="137">
        <f t="shared" si="1294"/>
        <v>1</v>
      </c>
      <c r="BZ419" s="137">
        <f>IF(BY419&gt;0,BY419+LARGE($BZ$213:BZ418,1),0)</f>
        <v>175</v>
      </c>
      <c r="CA419" s="137" t="str">
        <f t="shared" si="1295"/>
        <v>TEC I</v>
      </c>
      <c r="CB419" s="161">
        <f t="shared" si="1296"/>
        <v>0</v>
      </c>
      <c r="CC419" s="161">
        <f t="shared" si="1297"/>
        <v>0</v>
      </c>
      <c r="CD419" s="161">
        <f t="shared" si="1298"/>
        <v>0</v>
      </c>
      <c r="CE419" s="161">
        <f t="shared" si="1299"/>
        <v>0</v>
      </c>
      <c r="CF419" s="161">
        <f t="shared" si="1300"/>
        <v>0</v>
      </c>
      <c r="CG419" s="161">
        <f t="shared" si="1301"/>
        <v>0</v>
      </c>
      <c r="CH419" s="161">
        <f t="shared" si="1302"/>
        <v>0</v>
      </c>
      <c r="CI419" s="161">
        <f t="shared" si="1303"/>
        <v>0</v>
      </c>
      <c r="CJ419" s="161">
        <f t="shared" si="1304"/>
        <v>0</v>
      </c>
      <c r="CK419" s="161">
        <f t="shared" si="1305"/>
        <v>0</v>
      </c>
      <c r="CL419" s="161">
        <f t="shared" si="1306"/>
        <v>0</v>
      </c>
      <c r="CM419" s="161">
        <f t="shared" si="1307"/>
        <v>0</v>
      </c>
      <c r="CN419" s="161">
        <f t="shared" si="1308"/>
        <v>0</v>
      </c>
      <c r="CO419" s="161">
        <f t="shared" si="1309"/>
        <v>0</v>
      </c>
      <c r="CP419" s="161">
        <f t="shared" si="1310"/>
        <v>0</v>
      </c>
      <c r="CQ419" s="161">
        <f t="shared" si="1311"/>
        <v>0</v>
      </c>
      <c r="CR419" s="161">
        <f t="shared" si="1312"/>
        <v>0</v>
      </c>
      <c r="CS419" s="161">
        <f t="shared" si="1313"/>
        <v>0</v>
      </c>
      <c r="CT419" s="161">
        <f t="shared" si="1314"/>
        <v>0</v>
      </c>
      <c r="CU419" s="161">
        <f t="shared" si="1315"/>
        <v>0</v>
      </c>
      <c r="CV419" s="161">
        <f t="shared" si="1316"/>
        <v>0</v>
      </c>
      <c r="CW419" s="161">
        <f t="shared" si="1317"/>
        <v>0</v>
      </c>
      <c r="CX419" s="161">
        <f t="shared" si="1318"/>
        <v>0</v>
      </c>
      <c r="CY419" s="161">
        <f t="shared" si="1319"/>
        <v>0</v>
      </c>
      <c r="CZ419" s="161">
        <f t="shared" si="1320"/>
        <v>0</v>
      </c>
      <c r="DA419" s="161">
        <f t="shared" si="1321"/>
        <v>0</v>
      </c>
      <c r="DB419" s="161">
        <f t="shared" si="1322"/>
        <v>0</v>
      </c>
      <c r="DC419" s="161">
        <f t="shared" si="1323"/>
        <v>0</v>
      </c>
      <c r="DD419" s="161">
        <f t="shared" si="1324"/>
        <v>0</v>
      </c>
      <c r="DE419" s="161">
        <f t="shared" si="1325"/>
        <v>0</v>
      </c>
      <c r="DF419" s="161">
        <f t="shared" si="1326"/>
        <v>0</v>
      </c>
      <c r="DG419" s="161">
        <f t="shared" si="1327"/>
        <v>0</v>
      </c>
      <c r="DH419" s="161">
        <f t="shared" si="1328"/>
        <v>0</v>
      </c>
      <c r="DI419" s="161">
        <f t="shared" si="1329"/>
        <v>0</v>
      </c>
      <c r="DJ419" s="161">
        <f t="shared" si="1330"/>
        <v>0</v>
      </c>
      <c r="DK419" s="161">
        <f t="shared" si="1331"/>
        <v>0</v>
      </c>
      <c r="DL419" s="161">
        <f t="shared" si="1332"/>
        <v>0</v>
      </c>
      <c r="DM419" s="161">
        <f t="shared" si="1333"/>
        <v>0</v>
      </c>
      <c r="DN419" s="161">
        <f t="shared" si="1334"/>
        <v>0</v>
      </c>
      <c r="DO419" s="161">
        <f t="shared" si="1335"/>
        <v>0</v>
      </c>
      <c r="DP419" s="161">
        <f t="shared" si="1336"/>
        <v>0</v>
      </c>
      <c r="DQ419" s="161">
        <f t="shared" si="1337"/>
        <v>0</v>
      </c>
      <c r="DR419" s="161">
        <f t="shared" si="1338"/>
        <v>0</v>
      </c>
      <c r="DS419" s="161">
        <f t="shared" si="1339"/>
        <v>0</v>
      </c>
      <c r="DT419" s="161">
        <f t="shared" si="1340"/>
        <v>0</v>
      </c>
      <c r="DU419" s="161">
        <f t="shared" si="1341"/>
        <v>0</v>
      </c>
      <c r="DV419" s="161">
        <f t="shared" si="1342"/>
        <v>0</v>
      </c>
      <c r="DW419" s="161">
        <f t="shared" si="1343"/>
        <v>0</v>
      </c>
      <c r="DX419" s="161">
        <f t="shared" si="1344"/>
        <v>0</v>
      </c>
      <c r="DY419" s="161">
        <f t="shared" si="1345"/>
        <v>0</v>
      </c>
      <c r="DZ419" s="161">
        <f t="shared" si="1346"/>
        <v>0</v>
      </c>
      <c r="EA419" s="161">
        <f t="shared" si="1347"/>
        <v>0</v>
      </c>
      <c r="EB419" s="161">
        <f t="shared" si="1348"/>
        <v>0</v>
      </c>
      <c r="EC419" s="161">
        <f t="shared" si="1349"/>
        <v>0</v>
      </c>
      <c r="ED419" s="161">
        <f t="shared" si="1350"/>
        <v>0</v>
      </c>
      <c r="EE419" s="161">
        <f t="shared" si="1351"/>
        <v>0</v>
      </c>
      <c r="EF419" s="161">
        <f t="shared" si="1352"/>
        <v>0</v>
      </c>
      <c r="EG419" s="161">
        <f t="shared" si="1353"/>
        <v>0</v>
      </c>
      <c r="EH419" s="161">
        <f t="shared" si="1354"/>
        <v>0</v>
      </c>
      <c r="EI419" s="161">
        <f t="shared" si="1355"/>
        <v>0</v>
      </c>
      <c r="EJ419" s="65"/>
      <c r="EK419" s="161">
        <f t="shared" si="1426"/>
        <v>0</v>
      </c>
      <c r="EL419" s="161">
        <f t="shared" si="1427"/>
        <v>0</v>
      </c>
      <c r="EM419" s="161">
        <f t="shared" si="1428"/>
        <v>0</v>
      </c>
    </row>
    <row r="420" spans="1:143" ht="12" hidden="1" customHeight="1" outlineLevel="2">
      <c r="A420" s="77">
        <v>16</v>
      </c>
      <c r="B420" s="137" t="str">
        <f t="shared" si="1356"/>
        <v>AUX TEC - Equipe_01</v>
      </c>
      <c r="C420" s="65"/>
      <c r="D420" s="622"/>
      <c r="E420" s="65"/>
      <c r="F420" s="584"/>
      <c r="G420" s="77" t="str">
        <f>IF(INDEX(Tarefas!$BT$30:$FK$30,MATCH(A420,Tarefas!$BT$28:$FK$28,0))=0,"",INDEX(Tarefas!$BT$30:$FK$30,MATCH(A420,Tarefas!$BT$28:$FK$28,0)))</f>
        <v>AUX TEC</v>
      </c>
      <c r="H420" s="107" cm="1">
        <f t="array" ref="H420">IFERROR((SUMPRODUCT((Tarefas!$N$32:$N$54='Cronog. e Histog.'!$F$405)*(Tarefas!$BQ$30:$FK$30='Cronog. e Histog.'!$G420)*(Tarefas!$BQ$32:$FK$54)))/SUMIF(Tarefas!$N$32:$N$54,'Cronog. e Histog.'!$F$405,Tarefas!$K$32:$K$54),0)</f>
        <v>0</v>
      </c>
      <c r="I420" s="79">
        <f t="shared" si="1357"/>
        <v>0</v>
      </c>
      <c r="J420" s="65"/>
      <c r="K420" s="160">
        <f t="shared" si="1429"/>
        <v>0</v>
      </c>
      <c r="L420" s="160">
        <f t="shared" si="1430"/>
        <v>0</v>
      </c>
      <c r="M420" s="160">
        <f t="shared" si="1430"/>
        <v>0</v>
      </c>
      <c r="N420" s="160">
        <f t="shared" si="1430"/>
        <v>0</v>
      </c>
      <c r="O420" s="160">
        <f t="shared" si="1430"/>
        <v>0</v>
      </c>
      <c r="P420" s="160">
        <f t="shared" si="1430"/>
        <v>0</v>
      </c>
      <c r="Q420" s="160">
        <f t="shared" si="1430"/>
        <v>0</v>
      </c>
      <c r="R420" s="160">
        <f t="shared" si="1430"/>
        <v>0</v>
      </c>
      <c r="S420" s="160">
        <f t="shared" si="1430"/>
        <v>0</v>
      </c>
      <c r="T420" s="160">
        <f t="shared" si="1430"/>
        <v>0</v>
      </c>
      <c r="U420" s="160">
        <f t="shared" si="1430"/>
        <v>0</v>
      </c>
      <c r="V420" s="160">
        <f t="shared" si="1430"/>
        <v>0</v>
      </c>
      <c r="W420" s="160">
        <f t="shared" si="1430"/>
        <v>0</v>
      </c>
      <c r="X420" s="160">
        <f t="shared" si="1430"/>
        <v>0</v>
      </c>
      <c r="Y420" s="160">
        <f t="shared" si="1430"/>
        <v>0</v>
      </c>
      <c r="Z420" s="160">
        <f t="shared" si="1430"/>
        <v>0</v>
      </c>
      <c r="AA420" s="160">
        <f t="shared" si="1430"/>
        <v>0</v>
      </c>
      <c r="AB420" s="160">
        <f t="shared" si="1430"/>
        <v>0</v>
      </c>
      <c r="AC420" s="160">
        <f t="shared" si="1430"/>
        <v>0</v>
      </c>
      <c r="AD420" s="160">
        <f t="shared" si="1430"/>
        <v>0</v>
      </c>
      <c r="AE420" s="160">
        <f t="shared" si="1430"/>
        <v>0</v>
      </c>
      <c r="AF420" s="160">
        <f t="shared" si="1430"/>
        <v>0</v>
      </c>
      <c r="AG420" s="160">
        <f t="shared" si="1430"/>
        <v>0</v>
      </c>
      <c r="AH420" s="160">
        <f t="shared" si="1430"/>
        <v>0</v>
      </c>
      <c r="AI420" s="160">
        <f t="shared" si="1430"/>
        <v>0</v>
      </c>
      <c r="AJ420" s="160">
        <f t="shared" si="1430"/>
        <v>0</v>
      </c>
      <c r="AK420" s="160">
        <f t="shared" si="1430"/>
        <v>0</v>
      </c>
      <c r="AL420" s="160">
        <f t="shared" si="1430"/>
        <v>0</v>
      </c>
      <c r="AM420" s="160">
        <f t="shared" si="1430"/>
        <v>0</v>
      </c>
      <c r="AN420" s="160">
        <f t="shared" si="1430"/>
        <v>0</v>
      </c>
      <c r="AO420" s="160">
        <f t="shared" si="1430"/>
        <v>0</v>
      </c>
      <c r="AP420" s="160">
        <f t="shared" si="1430"/>
        <v>0</v>
      </c>
      <c r="AQ420" s="160">
        <f t="shared" si="1430"/>
        <v>0</v>
      </c>
      <c r="AR420" s="160">
        <f t="shared" si="1430"/>
        <v>0</v>
      </c>
      <c r="AS420" s="160">
        <f t="shared" si="1430"/>
        <v>0</v>
      </c>
      <c r="AT420" s="160">
        <f t="shared" si="1430"/>
        <v>0</v>
      </c>
      <c r="AU420" s="160">
        <f t="shared" si="1430"/>
        <v>0</v>
      </c>
      <c r="AV420" s="160">
        <f t="shared" si="1430"/>
        <v>0</v>
      </c>
      <c r="AW420" s="160">
        <f t="shared" si="1430"/>
        <v>0</v>
      </c>
      <c r="AX420" s="160">
        <f t="shared" si="1430"/>
        <v>0</v>
      </c>
      <c r="AY420" s="160">
        <f t="shared" si="1430"/>
        <v>0</v>
      </c>
      <c r="AZ420" s="160">
        <f t="shared" si="1430"/>
        <v>0</v>
      </c>
      <c r="BA420" s="160">
        <f t="shared" si="1430"/>
        <v>0</v>
      </c>
      <c r="BB420" s="160">
        <f t="shared" si="1430"/>
        <v>0</v>
      </c>
      <c r="BC420" s="160">
        <f t="shared" si="1430"/>
        <v>0</v>
      </c>
      <c r="BD420" s="160">
        <f t="shared" si="1430"/>
        <v>0</v>
      </c>
      <c r="BE420" s="160">
        <f t="shared" si="1430"/>
        <v>0</v>
      </c>
      <c r="BF420" s="160">
        <f t="shared" si="1430"/>
        <v>0</v>
      </c>
      <c r="BG420" s="160">
        <f t="shared" si="1430"/>
        <v>0</v>
      </c>
      <c r="BH420" s="160">
        <f t="shared" si="1430"/>
        <v>0</v>
      </c>
      <c r="BI420" s="160">
        <f t="shared" si="1430"/>
        <v>0</v>
      </c>
      <c r="BJ420" s="160">
        <f t="shared" si="1430"/>
        <v>0</v>
      </c>
      <c r="BK420" s="160">
        <f t="shared" si="1430"/>
        <v>0</v>
      </c>
      <c r="BL420" s="160">
        <f t="shared" si="1430"/>
        <v>0</v>
      </c>
      <c r="BM420" s="160">
        <f t="shared" si="1430"/>
        <v>0</v>
      </c>
      <c r="BN420" s="160">
        <f t="shared" si="1430"/>
        <v>0</v>
      </c>
      <c r="BO420" s="160">
        <f t="shared" si="1430"/>
        <v>0</v>
      </c>
      <c r="BP420" s="160">
        <f t="shared" si="1430"/>
        <v>0</v>
      </c>
      <c r="BQ420" s="160">
        <f t="shared" si="1430"/>
        <v>0</v>
      </c>
      <c r="BR420" s="160">
        <f t="shared" si="1430"/>
        <v>0</v>
      </c>
      <c r="BS420" s="65"/>
      <c r="BT420" s="160">
        <f t="shared" si="1292"/>
        <v>0</v>
      </c>
      <c r="BU420" s="160">
        <f t="shared" si="1293"/>
        <v>0</v>
      </c>
      <c r="BV420" s="65"/>
      <c r="BW420" s="69"/>
      <c r="BX420" s="65"/>
      <c r="BY420" s="137">
        <f t="shared" si="1294"/>
        <v>1</v>
      </c>
      <c r="BZ420" s="137">
        <f>IF(BY420&gt;0,BY420+LARGE($BZ$213:BZ419,1),0)</f>
        <v>176</v>
      </c>
      <c r="CA420" s="137" t="str">
        <f t="shared" si="1295"/>
        <v>AUX TEC</v>
      </c>
      <c r="CB420" s="161">
        <f t="shared" si="1296"/>
        <v>0</v>
      </c>
      <c r="CC420" s="161">
        <f t="shared" si="1297"/>
        <v>0</v>
      </c>
      <c r="CD420" s="161">
        <f t="shared" si="1298"/>
        <v>0</v>
      </c>
      <c r="CE420" s="161">
        <f t="shared" si="1299"/>
        <v>0</v>
      </c>
      <c r="CF420" s="161">
        <f t="shared" si="1300"/>
        <v>0</v>
      </c>
      <c r="CG420" s="161">
        <f t="shared" si="1301"/>
        <v>0</v>
      </c>
      <c r="CH420" s="161">
        <f t="shared" si="1302"/>
        <v>0</v>
      </c>
      <c r="CI420" s="161">
        <f t="shared" si="1303"/>
        <v>0</v>
      </c>
      <c r="CJ420" s="161">
        <f t="shared" si="1304"/>
        <v>0</v>
      </c>
      <c r="CK420" s="161">
        <f t="shared" si="1305"/>
        <v>0</v>
      </c>
      <c r="CL420" s="161">
        <f t="shared" si="1306"/>
        <v>0</v>
      </c>
      <c r="CM420" s="161">
        <f t="shared" si="1307"/>
        <v>0</v>
      </c>
      <c r="CN420" s="161">
        <f t="shared" si="1308"/>
        <v>0</v>
      </c>
      <c r="CO420" s="161">
        <f t="shared" si="1309"/>
        <v>0</v>
      </c>
      <c r="CP420" s="161">
        <f t="shared" si="1310"/>
        <v>0</v>
      </c>
      <c r="CQ420" s="161">
        <f t="shared" si="1311"/>
        <v>0</v>
      </c>
      <c r="CR420" s="161">
        <f t="shared" si="1312"/>
        <v>0</v>
      </c>
      <c r="CS420" s="161">
        <f t="shared" si="1313"/>
        <v>0</v>
      </c>
      <c r="CT420" s="161">
        <f t="shared" si="1314"/>
        <v>0</v>
      </c>
      <c r="CU420" s="161">
        <f t="shared" si="1315"/>
        <v>0</v>
      </c>
      <c r="CV420" s="161">
        <f t="shared" si="1316"/>
        <v>0</v>
      </c>
      <c r="CW420" s="161">
        <f t="shared" si="1317"/>
        <v>0</v>
      </c>
      <c r="CX420" s="161">
        <f t="shared" si="1318"/>
        <v>0</v>
      </c>
      <c r="CY420" s="161">
        <f t="shared" si="1319"/>
        <v>0</v>
      </c>
      <c r="CZ420" s="161">
        <f t="shared" si="1320"/>
        <v>0</v>
      </c>
      <c r="DA420" s="161">
        <f t="shared" si="1321"/>
        <v>0</v>
      </c>
      <c r="DB420" s="161">
        <f t="shared" si="1322"/>
        <v>0</v>
      </c>
      <c r="DC420" s="161">
        <f t="shared" si="1323"/>
        <v>0</v>
      </c>
      <c r="DD420" s="161">
        <f t="shared" si="1324"/>
        <v>0</v>
      </c>
      <c r="DE420" s="161">
        <f t="shared" si="1325"/>
        <v>0</v>
      </c>
      <c r="DF420" s="161">
        <f t="shared" si="1326"/>
        <v>0</v>
      </c>
      <c r="DG420" s="161">
        <f t="shared" si="1327"/>
        <v>0</v>
      </c>
      <c r="DH420" s="161">
        <f t="shared" si="1328"/>
        <v>0</v>
      </c>
      <c r="DI420" s="161">
        <f t="shared" si="1329"/>
        <v>0</v>
      </c>
      <c r="DJ420" s="161">
        <f t="shared" si="1330"/>
        <v>0</v>
      </c>
      <c r="DK420" s="161">
        <f t="shared" si="1331"/>
        <v>0</v>
      </c>
      <c r="DL420" s="161">
        <f t="shared" si="1332"/>
        <v>0</v>
      </c>
      <c r="DM420" s="161">
        <f t="shared" si="1333"/>
        <v>0</v>
      </c>
      <c r="DN420" s="161">
        <f t="shared" si="1334"/>
        <v>0</v>
      </c>
      <c r="DO420" s="161">
        <f t="shared" si="1335"/>
        <v>0</v>
      </c>
      <c r="DP420" s="161">
        <f t="shared" si="1336"/>
        <v>0</v>
      </c>
      <c r="DQ420" s="161">
        <f t="shared" si="1337"/>
        <v>0</v>
      </c>
      <c r="DR420" s="161">
        <f t="shared" si="1338"/>
        <v>0</v>
      </c>
      <c r="DS420" s="161">
        <f t="shared" si="1339"/>
        <v>0</v>
      </c>
      <c r="DT420" s="161">
        <f t="shared" si="1340"/>
        <v>0</v>
      </c>
      <c r="DU420" s="161">
        <f t="shared" si="1341"/>
        <v>0</v>
      </c>
      <c r="DV420" s="161">
        <f t="shared" si="1342"/>
        <v>0</v>
      </c>
      <c r="DW420" s="161">
        <f t="shared" si="1343"/>
        <v>0</v>
      </c>
      <c r="DX420" s="161">
        <f t="shared" si="1344"/>
        <v>0</v>
      </c>
      <c r="DY420" s="161">
        <f t="shared" si="1345"/>
        <v>0</v>
      </c>
      <c r="DZ420" s="161">
        <f t="shared" si="1346"/>
        <v>0</v>
      </c>
      <c r="EA420" s="161">
        <f t="shared" si="1347"/>
        <v>0</v>
      </c>
      <c r="EB420" s="161">
        <f t="shared" si="1348"/>
        <v>0</v>
      </c>
      <c r="EC420" s="161">
        <f t="shared" si="1349"/>
        <v>0</v>
      </c>
      <c r="ED420" s="161">
        <f t="shared" si="1350"/>
        <v>0</v>
      </c>
      <c r="EE420" s="161">
        <f t="shared" si="1351"/>
        <v>0</v>
      </c>
      <c r="EF420" s="161">
        <f t="shared" si="1352"/>
        <v>0</v>
      </c>
      <c r="EG420" s="161">
        <f t="shared" si="1353"/>
        <v>0</v>
      </c>
      <c r="EH420" s="161">
        <f t="shared" si="1354"/>
        <v>0</v>
      </c>
      <c r="EI420" s="161">
        <f t="shared" si="1355"/>
        <v>0</v>
      </c>
      <c r="EJ420" s="65"/>
      <c r="EK420" s="161">
        <f t="shared" si="1426"/>
        <v>0</v>
      </c>
      <c r="EL420" s="161">
        <f t="shared" si="1427"/>
        <v>0</v>
      </c>
      <c r="EM420" s="161">
        <f t="shared" si="1428"/>
        <v>0</v>
      </c>
    </row>
    <row r="421" spans="1:143" ht="12" hidden="1" customHeight="1" outlineLevel="2">
      <c r="A421" s="77">
        <v>17</v>
      </c>
      <c r="B421" s="137" t="str">
        <f t="shared" si="1356"/>
        <v>AUX ADM - Equipe_01</v>
      </c>
      <c r="C421" s="65"/>
      <c r="D421" s="622"/>
      <c r="E421" s="65"/>
      <c r="F421" s="584"/>
      <c r="G421" s="77" t="str">
        <f>IF(INDEX(Tarefas!$BT$30:$FK$30,MATCH(A421,Tarefas!$BT$28:$FK$28,0))=0,"",INDEX(Tarefas!$BT$30:$FK$30,MATCH(A421,Tarefas!$BT$28:$FK$28,0)))</f>
        <v>AUX ADM</v>
      </c>
      <c r="H421" s="107" cm="1">
        <f t="array" ref="H421">IFERROR((SUMPRODUCT((Tarefas!$N$32:$N$54='Cronog. e Histog.'!$F$405)*(Tarefas!$BQ$30:$FK$30='Cronog. e Histog.'!$G421)*(Tarefas!$BQ$32:$FK$54)))/SUMIF(Tarefas!$N$32:$N$54,'Cronog. e Histog.'!$F$405,Tarefas!$K$32:$K$54),0)</f>
        <v>0</v>
      </c>
      <c r="I421" s="79">
        <f t="shared" si="1357"/>
        <v>0</v>
      </c>
      <c r="J421" s="65"/>
      <c r="K421" s="160">
        <f t="shared" si="1429"/>
        <v>0</v>
      </c>
      <c r="L421" s="160">
        <f t="shared" si="1430"/>
        <v>0</v>
      </c>
      <c r="M421" s="160">
        <f t="shared" si="1430"/>
        <v>0</v>
      </c>
      <c r="N421" s="160">
        <f t="shared" si="1430"/>
        <v>0</v>
      </c>
      <c r="O421" s="160">
        <f t="shared" si="1430"/>
        <v>0</v>
      </c>
      <c r="P421" s="160">
        <f t="shared" si="1430"/>
        <v>0</v>
      </c>
      <c r="Q421" s="160">
        <f t="shared" si="1430"/>
        <v>0</v>
      </c>
      <c r="R421" s="160">
        <f t="shared" si="1430"/>
        <v>0</v>
      </c>
      <c r="S421" s="160">
        <f t="shared" si="1430"/>
        <v>0</v>
      </c>
      <c r="T421" s="160">
        <f t="shared" si="1430"/>
        <v>0</v>
      </c>
      <c r="U421" s="160">
        <f t="shared" si="1430"/>
        <v>0</v>
      </c>
      <c r="V421" s="160">
        <f t="shared" si="1430"/>
        <v>0</v>
      </c>
      <c r="W421" s="160">
        <f t="shared" si="1430"/>
        <v>0</v>
      </c>
      <c r="X421" s="160">
        <f t="shared" si="1430"/>
        <v>0</v>
      </c>
      <c r="Y421" s="160">
        <f t="shared" si="1430"/>
        <v>0</v>
      </c>
      <c r="Z421" s="160">
        <f t="shared" si="1430"/>
        <v>0</v>
      </c>
      <c r="AA421" s="160">
        <f t="shared" si="1430"/>
        <v>0</v>
      </c>
      <c r="AB421" s="160">
        <f t="shared" si="1430"/>
        <v>0</v>
      </c>
      <c r="AC421" s="160">
        <f t="shared" si="1430"/>
        <v>0</v>
      </c>
      <c r="AD421" s="160">
        <f t="shared" si="1430"/>
        <v>0</v>
      </c>
      <c r="AE421" s="160">
        <f t="shared" si="1430"/>
        <v>0</v>
      </c>
      <c r="AF421" s="160">
        <f t="shared" si="1430"/>
        <v>0</v>
      </c>
      <c r="AG421" s="160">
        <f t="shared" si="1430"/>
        <v>0</v>
      </c>
      <c r="AH421" s="160">
        <f t="shared" si="1430"/>
        <v>0</v>
      </c>
      <c r="AI421" s="160">
        <f t="shared" si="1430"/>
        <v>0</v>
      </c>
      <c r="AJ421" s="160">
        <f t="shared" si="1430"/>
        <v>0</v>
      </c>
      <c r="AK421" s="160">
        <f t="shared" si="1430"/>
        <v>0</v>
      </c>
      <c r="AL421" s="160">
        <f t="shared" si="1430"/>
        <v>0</v>
      </c>
      <c r="AM421" s="160">
        <f t="shared" si="1430"/>
        <v>0</v>
      </c>
      <c r="AN421" s="160">
        <f t="shared" si="1430"/>
        <v>0</v>
      </c>
      <c r="AO421" s="160">
        <f t="shared" si="1430"/>
        <v>0</v>
      </c>
      <c r="AP421" s="160">
        <f t="shared" si="1430"/>
        <v>0</v>
      </c>
      <c r="AQ421" s="160">
        <f t="shared" si="1430"/>
        <v>0</v>
      </c>
      <c r="AR421" s="160">
        <f t="shared" si="1430"/>
        <v>0</v>
      </c>
      <c r="AS421" s="160">
        <f t="shared" si="1430"/>
        <v>0</v>
      </c>
      <c r="AT421" s="160">
        <f t="shared" si="1430"/>
        <v>0</v>
      </c>
      <c r="AU421" s="160">
        <f t="shared" si="1430"/>
        <v>0</v>
      </c>
      <c r="AV421" s="160">
        <f t="shared" si="1430"/>
        <v>0</v>
      </c>
      <c r="AW421" s="160">
        <f t="shared" si="1430"/>
        <v>0</v>
      </c>
      <c r="AX421" s="160">
        <f t="shared" si="1430"/>
        <v>0</v>
      </c>
      <c r="AY421" s="160">
        <f t="shared" si="1430"/>
        <v>0</v>
      </c>
      <c r="AZ421" s="160">
        <f t="shared" si="1430"/>
        <v>0</v>
      </c>
      <c r="BA421" s="160">
        <f t="shared" si="1430"/>
        <v>0</v>
      </c>
      <c r="BB421" s="160">
        <f t="shared" si="1430"/>
        <v>0</v>
      </c>
      <c r="BC421" s="160">
        <f t="shared" si="1430"/>
        <v>0</v>
      </c>
      <c r="BD421" s="160">
        <f t="shared" si="1430"/>
        <v>0</v>
      </c>
      <c r="BE421" s="160">
        <f t="shared" si="1430"/>
        <v>0</v>
      </c>
      <c r="BF421" s="160">
        <f t="shared" si="1430"/>
        <v>0</v>
      </c>
      <c r="BG421" s="160">
        <f t="shared" si="1430"/>
        <v>0</v>
      </c>
      <c r="BH421" s="160">
        <f t="shared" si="1430"/>
        <v>0</v>
      </c>
      <c r="BI421" s="160">
        <f t="shared" si="1430"/>
        <v>0</v>
      </c>
      <c r="BJ421" s="160">
        <f t="shared" si="1430"/>
        <v>0</v>
      </c>
      <c r="BK421" s="160">
        <f t="shared" si="1430"/>
        <v>0</v>
      </c>
      <c r="BL421" s="160">
        <f t="shared" si="1430"/>
        <v>0</v>
      </c>
      <c r="BM421" s="160">
        <f t="shared" si="1430"/>
        <v>0</v>
      </c>
      <c r="BN421" s="160">
        <f t="shared" si="1430"/>
        <v>0</v>
      </c>
      <c r="BO421" s="160">
        <f t="shared" si="1430"/>
        <v>0</v>
      </c>
      <c r="BP421" s="160">
        <f t="shared" si="1430"/>
        <v>0</v>
      </c>
      <c r="BQ421" s="160">
        <f t="shared" si="1430"/>
        <v>0</v>
      </c>
      <c r="BR421" s="160">
        <f t="shared" si="1430"/>
        <v>0</v>
      </c>
      <c r="BS421" s="65"/>
      <c r="BT421" s="160">
        <f t="shared" si="1292"/>
        <v>0</v>
      </c>
      <c r="BU421" s="160">
        <f t="shared" si="1293"/>
        <v>0</v>
      </c>
      <c r="BV421" s="65"/>
      <c r="BW421" s="69"/>
      <c r="BX421" s="65"/>
      <c r="BY421" s="137">
        <f t="shared" si="1294"/>
        <v>1</v>
      </c>
      <c r="BZ421" s="137">
        <f>IF(BY421&gt;0,BY421+LARGE($BZ$213:BZ420,1),0)</f>
        <v>177</v>
      </c>
      <c r="CA421" s="137" t="str">
        <f t="shared" si="1295"/>
        <v>AUX ADM</v>
      </c>
      <c r="CB421" s="161">
        <f t="shared" si="1296"/>
        <v>0</v>
      </c>
      <c r="CC421" s="161">
        <f t="shared" si="1297"/>
        <v>0</v>
      </c>
      <c r="CD421" s="161">
        <f t="shared" si="1298"/>
        <v>0</v>
      </c>
      <c r="CE421" s="161">
        <f t="shared" si="1299"/>
        <v>0</v>
      </c>
      <c r="CF421" s="161">
        <f t="shared" si="1300"/>
        <v>0</v>
      </c>
      <c r="CG421" s="161">
        <f t="shared" si="1301"/>
        <v>0</v>
      </c>
      <c r="CH421" s="161">
        <f t="shared" si="1302"/>
        <v>0</v>
      </c>
      <c r="CI421" s="161">
        <f t="shared" si="1303"/>
        <v>0</v>
      </c>
      <c r="CJ421" s="161">
        <f t="shared" si="1304"/>
        <v>0</v>
      </c>
      <c r="CK421" s="161">
        <f t="shared" si="1305"/>
        <v>0</v>
      </c>
      <c r="CL421" s="161">
        <f t="shared" si="1306"/>
        <v>0</v>
      </c>
      <c r="CM421" s="161">
        <f t="shared" si="1307"/>
        <v>0</v>
      </c>
      <c r="CN421" s="161">
        <f t="shared" si="1308"/>
        <v>0</v>
      </c>
      <c r="CO421" s="161">
        <f t="shared" si="1309"/>
        <v>0</v>
      </c>
      <c r="CP421" s="161">
        <f t="shared" si="1310"/>
        <v>0</v>
      </c>
      <c r="CQ421" s="161">
        <f t="shared" si="1311"/>
        <v>0</v>
      </c>
      <c r="CR421" s="161">
        <f t="shared" si="1312"/>
        <v>0</v>
      </c>
      <c r="CS421" s="161">
        <f t="shared" si="1313"/>
        <v>0</v>
      </c>
      <c r="CT421" s="161">
        <f t="shared" si="1314"/>
        <v>0</v>
      </c>
      <c r="CU421" s="161">
        <f t="shared" si="1315"/>
        <v>0</v>
      </c>
      <c r="CV421" s="161">
        <f t="shared" si="1316"/>
        <v>0</v>
      </c>
      <c r="CW421" s="161">
        <f t="shared" si="1317"/>
        <v>0</v>
      </c>
      <c r="CX421" s="161">
        <f t="shared" si="1318"/>
        <v>0</v>
      </c>
      <c r="CY421" s="161">
        <f t="shared" si="1319"/>
        <v>0</v>
      </c>
      <c r="CZ421" s="161">
        <f t="shared" si="1320"/>
        <v>0</v>
      </c>
      <c r="DA421" s="161">
        <f t="shared" si="1321"/>
        <v>0</v>
      </c>
      <c r="DB421" s="161">
        <f t="shared" si="1322"/>
        <v>0</v>
      </c>
      <c r="DC421" s="161">
        <f t="shared" si="1323"/>
        <v>0</v>
      </c>
      <c r="DD421" s="161">
        <f t="shared" si="1324"/>
        <v>0</v>
      </c>
      <c r="DE421" s="161">
        <f t="shared" si="1325"/>
        <v>0</v>
      </c>
      <c r="DF421" s="161">
        <f t="shared" si="1326"/>
        <v>0</v>
      </c>
      <c r="DG421" s="161">
        <f t="shared" si="1327"/>
        <v>0</v>
      </c>
      <c r="DH421" s="161">
        <f t="shared" si="1328"/>
        <v>0</v>
      </c>
      <c r="DI421" s="161">
        <f t="shared" si="1329"/>
        <v>0</v>
      </c>
      <c r="DJ421" s="161">
        <f t="shared" si="1330"/>
        <v>0</v>
      </c>
      <c r="DK421" s="161">
        <f t="shared" si="1331"/>
        <v>0</v>
      </c>
      <c r="DL421" s="161">
        <f t="shared" si="1332"/>
        <v>0</v>
      </c>
      <c r="DM421" s="161">
        <f t="shared" si="1333"/>
        <v>0</v>
      </c>
      <c r="DN421" s="161">
        <f t="shared" si="1334"/>
        <v>0</v>
      </c>
      <c r="DO421" s="161">
        <f t="shared" si="1335"/>
        <v>0</v>
      </c>
      <c r="DP421" s="161">
        <f t="shared" si="1336"/>
        <v>0</v>
      </c>
      <c r="DQ421" s="161">
        <f t="shared" si="1337"/>
        <v>0</v>
      </c>
      <c r="DR421" s="161">
        <f t="shared" si="1338"/>
        <v>0</v>
      </c>
      <c r="DS421" s="161">
        <f t="shared" si="1339"/>
        <v>0</v>
      </c>
      <c r="DT421" s="161">
        <f t="shared" si="1340"/>
        <v>0</v>
      </c>
      <c r="DU421" s="161">
        <f t="shared" si="1341"/>
        <v>0</v>
      </c>
      <c r="DV421" s="161">
        <f t="shared" si="1342"/>
        <v>0</v>
      </c>
      <c r="DW421" s="161">
        <f t="shared" si="1343"/>
        <v>0</v>
      </c>
      <c r="DX421" s="161">
        <f t="shared" si="1344"/>
        <v>0</v>
      </c>
      <c r="DY421" s="161">
        <f t="shared" si="1345"/>
        <v>0</v>
      </c>
      <c r="DZ421" s="161">
        <f t="shared" si="1346"/>
        <v>0</v>
      </c>
      <c r="EA421" s="161">
        <f t="shared" si="1347"/>
        <v>0</v>
      </c>
      <c r="EB421" s="161">
        <f t="shared" si="1348"/>
        <v>0</v>
      </c>
      <c r="EC421" s="161">
        <f t="shared" si="1349"/>
        <v>0</v>
      </c>
      <c r="ED421" s="161">
        <f t="shared" si="1350"/>
        <v>0</v>
      </c>
      <c r="EE421" s="161">
        <f t="shared" si="1351"/>
        <v>0</v>
      </c>
      <c r="EF421" s="161">
        <f t="shared" si="1352"/>
        <v>0</v>
      </c>
      <c r="EG421" s="161">
        <f t="shared" si="1353"/>
        <v>0</v>
      </c>
      <c r="EH421" s="161">
        <f t="shared" si="1354"/>
        <v>0</v>
      </c>
      <c r="EI421" s="161">
        <f t="shared" si="1355"/>
        <v>0</v>
      </c>
      <c r="EJ421" s="65"/>
      <c r="EK421" s="161">
        <f t="shared" si="1426"/>
        <v>0</v>
      </c>
      <c r="EL421" s="161">
        <f t="shared" si="1427"/>
        <v>0</v>
      </c>
      <c r="EM421" s="161">
        <f t="shared" si="1428"/>
        <v>0</v>
      </c>
    </row>
    <row r="422" spans="1:143" ht="11.85" hidden="1" customHeight="1" outlineLevel="2">
      <c r="A422" s="77">
        <v>18</v>
      </c>
      <c r="B422" s="137" t="str">
        <f t="shared" si="1356"/>
        <v>EST - Equipe_01</v>
      </c>
      <c r="C422" s="65"/>
      <c r="D422" s="622"/>
      <c r="E422" s="65"/>
      <c r="F422" s="584"/>
      <c r="G422" s="77" t="str">
        <f>IF(INDEX(Tarefas!$BT$30:$FK$30,MATCH(A422,Tarefas!$BT$28:$FK$28,0))=0,"",INDEX(Tarefas!$BT$30:$FK$30,MATCH(A422,Tarefas!$BT$28:$FK$28,0)))</f>
        <v>EST</v>
      </c>
      <c r="H422" s="107" cm="1">
        <f t="array" ref="H422">IFERROR((SUMPRODUCT((Tarefas!$N$32:$N$54='Cronog. e Histog.'!$F$405)*(Tarefas!$BQ$30:$FK$30='Cronog. e Histog.'!$G422)*(Tarefas!$BQ$32:$FK$54)))/SUMIF(Tarefas!$N$32:$N$54,'Cronog. e Histog.'!$F$405,Tarefas!$K$32:$K$54),0)</f>
        <v>0</v>
      </c>
      <c r="I422" s="79">
        <f t="shared" si="1357"/>
        <v>0</v>
      </c>
      <c r="J422" s="65"/>
      <c r="K422" s="160">
        <f t="shared" si="1429"/>
        <v>0</v>
      </c>
      <c r="L422" s="160">
        <f t="shared" si="1430"/>
        <v>0</v>
      </c>
      <c r="M422" s="160">
        <f t="shared" si="1430"/>
        <v>0</v>
      </c>
      <c r="N422" s="160">
        <f t="shared" si="1430"/>
        <v>0</v>
      </c>
      <c r="O422" s="160">
        <f t="shared" si="1430"/>
        <v>0</v>
      </c>
      <c r="P422" s="160">
        <f t="shared" si="1430"/>
        <v>0</v>
      </c>
      <c r="Q422" s="160">
        <f t="shared" si="1430"/>
        <v>0</v>
      </c>
      <c r="R422" s="160">
        <f t="shared" si="1430"/>
        <v>0</v>
      </c>
      <c r="S422" s="160">
        <f t="shared" si="1430"/>
        <v>0</v>
      </c>
      <c r="T422" s="160">
        <f t="shared" si="1430"/>
        <v>0</v>
      </c>
      <c r="U422" s="160">
        <f t="shared" si="1430"/>
        <v>0</v>
      </c>
      <c r="V422" s="160">
        <f t="shared" si="1430"/>
        <v>0</v>
      </c>
      <c r="W422" s="160">
        <f t="shared" si="1430"/>
        <v>0</v>
      </c>
      <c r="X422" s="160">
        <f t="shared" si="1430"/>
        <v>0</v>
      </c>
      <c r="Y422" s="160">
        <f t="shared" si="1430"/>
        <v>0</v>
      </c>
      <c r="Z422" s="160">
        <f t="shared" si="1430"/>
        <v>0</v>
      </c>
      <c r="AA422" s="160">
        <f t="shared" si="1430"/>
        <v>0</v>
      </c>
      <c r="AB422" s="160">
        <f t="shared" si="1430"/>
        <v>0</v>
      </c>
      <c r="AC422" s="160">
        <f t="shared" si="1430"/>
        <v>0</v>
      </c>
      <c r="AD422" s="160">
        <f t="shared" si="1430"/>
        <v>0</v>
      </c>
      <c r="AE422" s="160">
        <f t="shared" si="1430"/>
        <v>0</v>
      </c>
      <c r="AF422" s="160">
        <f t="shared" si="1430"/>
        <v>0</v>
      </c>
      <c r="AG422" s="160">
        <f t="shared" si="1430"/>
        <v>0</v>
      </c>
      <c r="AH422" s="160">
        <f t="shared" si="1430"/>
        <v>0</v>
      </c>
      <c r="AI422" s="160">
        <f t="shared" si="1430"/>
        <v>0</v>
      </c>
      <c r="AJ422" s="160">
        <f t="shared" si="1430"/>
        <v>0</v>
      </c>
      <c r="AK422" s="160">
        <f t="shared" si="1430"/>
        <v>0</v>
      </c>
      <c r="AL422" s="160">
        <f t="shared" si="1430"/>
        <v>0</v>
      </c>
      <c r="AM422" s="160">
        <f t="shared" si="1430"/>
        <v>0</v>
      </c>
      <c r="AN422" s="160">
        <f t="shared" si="1430"/>
        <v>0</v>
      </c>
      <c r="AO422" s="160">
        <f t="shared" si="1430"/>
        <v>0</v>
      </c>
      <c r="AP422" s="160">
        <f t="shared" si="1430"/>
        <v>0</v>
      </c>
      <c r="AQ422" s="160">
        <f t="shared" si="1430"/>
        <v>0</v>
      </c>
      <c r="AR422" s="160">
        <f t="shared" si="1430"/>
        <v>0</v>
      </c>
      <c r="AS422" s="160">
        <f t="shared" si="1430"/>
        <v>0</v>
      </c>
      <c r="AT422" s="160">
        <f t="shared" si="1430"/>
        <v>0</v>
      </c>
      <c r="AU422" s="160">
        <f t="shared" si="1430"/>
        <v>0</v>
      </c>
      <c r="AV422" s="160">
        <f t="shared" si="1430"/>
        <v>0</v>
      </c>
      <c r="AW422" s="160">
        <f t="shared" si="1430"/>
        <v>0</v>
      </c>
      <c r="AX422" s="160">
        <f t="shared" si="1430"/>
        <v>0</v>
      </c>
      <c r="AY422" s="160">
        <f t="shared" si="1430"/>
        <v>0</v>
      </c>
      <c r="AZ422" s="160">
        <f t="shared" si="1430"/>
        <v>0</v>
      </c>
      <c r="BA422" s="160">
        <f t="shared" si="1430"/>
        <v>0</v>
      </c>
      <c r="BB422" s="160">
        <f t="shared" si="1430"/>
        <v>0</v>
      </c>
      <c r="BC422" s="160">
        <f t="shared" si="1430"/>
        <v>0</v>
      </c>
      <c r="BD422" s="160">
        <f t="shared" si="1430"/>
        <v>0</v>
      </c>
      <c r="BE422" s="160">
        <f t="shared" si="1430"/>
        <v>0</v>
      </c>
      <c r="BF422" s="160">
        <f t="shared" si="1430"/>
        <v>0</v>
      </c>
      <c r="BG422" s="160">
        <f t="shared" si="1430"/>
        <v>0</v>
      </c>
      <c r="BH422" s="160">
        <f t="shared" si="1430"/>
        <v>0</v>
      </c>
      <c r="BI422" s="160">
        <f t="shared" si="1430"/>
        <v>0</v>
      </c>
      <c r="BJ422" s="160">
        <f t="shared" si="1430"/>
        <v>0</v>
      </c>
      <c r="BK422" s="160">
        <f t="shared" si="1430"/>
        <v>0</v>
      </c>
      <c r="BL422" s="160">
        <f t="shared" si="1430"/>
        <v>0</v>
      </c>
      <c r="BM422" s="160">
        <f t="shared" si="1430"/>
        <v>0</v>
      </c>
      <c r="BN422" s="160">
        <f t="shared" si="1430"/>
        <v>0</v>
      </c>
      <c r="BO422" s="160">
        <f t="shared" si="1430"/>
        <v>0</v>
      </c>
      <c r="BP422" s="160">
        <f t="shared" si="1430"/>
        <v>0</v>
      </c>
      <c r="BQ422" s="160">
        <f t="shared" si="1430"/>
        <v>0</v>
      </c>
      <c r="BR422" s="160">
        <f t="shared" si="1430"/>
        <v>0</v>
      </c>
      <c r="BS422" s="65"/>
      <c r="BT422" s="160">
        <f t="shared" si="1292"/>
        <v>0</v>
      </c>
      <c r="BU422" s="160">
        <f t="shared" si="1293"/>
        <v>0</v>
      </c>
      <c r="BV422" s="65"/>
      <c r="BW422" s="69"/>
      <c r="BX422" s="65"/>
      <c r="BY422" s="137">
        <f t="shared" si="1294"/>
        <v>1</v>
      </c>
      <c r="BZ422" s="137">
        <f>IF(BY422&gt;0,BY422+LARGE($BZ$213:BZ421,1),0)</f>
        <v>178</v>
      </c>
      <c r="CA422" s="137" t="str">
        <f t="shared" si="1295"/>
        <v>EST</v>
      </c>
      <c r="CB422" s="161">
        <f t="shared" si="1296"/>
        <v>0</v>
      </c>
      <c r="CC422" s="161">
        <f t="shared" si="1297"/>
        <v>0</v>
      </c>
      <c r="CD422" s="161">
        <f t="shared" si="1298"/>
        <v>0</v>
      </c>
      <c r="CE422" s="161">
        <f t="shared" si="1299"/>
        <v>0</v>
      </c>
      <c r="CF422" s="161">
        <f t="shared" si="1300"/>
        <v>0</v>
      </c>
      <c r="CG422" s="161">
        <f t="shared" si="1301"/>
        <v>0</v>
      </c>
      <c r="CH422" s="161">
        <f t="shared" si="1302"/>
        <v>0</v>
      </c>
      <c r="CI422" s="161">
        <f t="shared" si="1303"/>
        <v>0</v>
      </c>
      <c r="CJ422" s="161">
        <f t="shared" si="1304"/>
        <v>0</v>
      </c>
      <c r="CK422" s="161">
        <f t="shared" si="1305"/>
        <v>0</v>
      </c>
      <c r="CL422" s="161">
        <f t="shared" si="1306"/>
        <v>0</v>
      </c>
      <c r="CM422" s="161">
        <f t="shared" si="1307"/>
        <v>0</v>
      </c>
      <c r="CN422" s="161">
        <f t="shared" si="1308"/>
        <v>0</v>
      </c>
      <c r="CO422" s="161">
        <f t="shared" si="1309"/>
        <v>0</v>
      </c>
      <c r="CP422" s="161">
        <f t="shared" si="1310"/>
        <v>0</v>
      </c>
      <c r="CQ422" s="161">
        <f t="shared" si="1311"/>
        <v>0</v>
      </c>
      <c r="CR422" s="161">
        <f t="shared" si="1312"/>
        <v>0</v>
      </c>
      <c r="CS422" s="161">
        <f t="shared" si="1313"/>
        <v>0</v>
      </c>
      <c r="CT422" s="161">
        <f t="shared" si="1314"/>
        <v>0</v>
      </c>
      <c r="CU422" s="161">
        <f t="shared" si="1315"/>
        <v>0</v>
      </c>
      <c r="CV422" s="161">
        <f t="shared" si="1316"/>
        <v>0</v>
      </c>
      <c r="CW422" s="161">
        <f t="shared" si="1317"/>
        <v>0</v>
      </c>
      <c r="CX422" s="161">
        <f t="shared" si="1318"/>
        <v>0</v>
      </c>
      <c r="CY422" s="161">
        <f t="shared" si="1319"/>
        <v>0</v>
      </c>
      <c r="CZ422" s="161">
        <f t="shared" si="1320"/>
        <v>0</v>
      </c>
      <c r="DA422" s="161">
        <f t="shared" si="1321"/>
        <v>0</v>
      </c>
      <c r="DB422" s="161">
        <f t="shared" si="1322"/>
        <v>0</v>
      </c>
      <c r="DC422" s="161">
        <f t="shared" si="1323"/>
        <v>0</v>
      </c>
      <c r="DD422" s="161">
        <f t="shared" si="1324"/>
        <v>0</v>
      </c>
      <c r="DE422" s="161">
        <f t="shared" si="1325"/>
        <v>0</v>
      </c>
      <c r="DF422" s="161">
        <f t="shared" si="1326"/>
        <v>0</v>
      </c>
      <c r="DG422" s="161">
        <f t="shared" si="1327"/>
        <v>0</v>
      </c>
      <c r="DH422" s="161">
        <f t="shared" si="1328"/>
        <v>0</v>
      </c>
      <c r="DI422" s="161">
        <f t="shared" si="1329"/>
        <v>0</v>
      </c>
      <c r="DJ422" s="161">
        <f t="shared" si="1330"/>
        <v>0</v>
      </c>
      <c r="DK422" s="161">
        <f t="shared" si="1331"/>
        <v>0</v>
      </c>
      <c r="DL422" s="161">
        <f t="shared" si="1332"/>
        <v>0</v>
      </c>
      <c r="DM422" s="161">
        <f t="shared" si="1333"/>
        <v>0</v>
      </c>
      <c r="DN422" s="161">
        <f t="shared" si="1334"/>
        <v>0</v>
      </c>
      <c r="DO422" s="161">
        <f t="shared" si="1335"/>
        <v>0</v>
      </c>
      <c r="DP422" s="161">
        <f t="shared" si="1336"/>
        <v>0</v>
      </c>
      <c r="DQ422" s="161">
        <f t="shared" si="1337"/>
        <v>0</v>
      </c>
      <c r="DR422" s="161">
        <f t="shared" si="1338"/>
        <v>0</v>
      </c>
      <c r="DS422" s="161">
        <f t="shared" si="1339"/>
        <v>0</v>
      </c>
      <c r="DT422" s="161">
        <f t="shared" si="1340"/>
        <v>0</v>
      </c>
      <c r="DU422" s="161">
        <f t="shared" si="1341"/>
        <v>0</v>
      </c>
      <c r="DV422" s="161">
        <f t="shared" si="1342"/>
        <v>0</v>
      </c>
      <c r="DW422" s="161">
        <f t="shared" si="1343"/>
        <v>0</v>
      </c>
      <c r="DX422" s="161">
        <f t="shared" si="1344"/>
        <v>0</v>
      </c>
      <c r="DY422" s="161">
        <f t="shared" si="1345"/>
        <v>0</v>
      </c>
      <c r="DZ422" s="161">
        <f t="shared" si="1346"/>
        <v>0</v>
      </c>
      <c r="EA422" s="161">
        <f t="shared" si="1347"/>
        <v>0</v>
      </c>
      <c r="EB422" s="161">
        <f t="shared" si="1348"/>
        <v>0</v>
      </c>
      <c r="EC422" s="161">
        <f t="shared" si="1349"/>
        <v>0</v>
      </c>
      <c r="ED422" s="161">
        <f t="shared" si="1350"/>
        <v>0</v>
      </c>
      <c r="EE422" s="161">
        <f t="shared" si="1351"/>
        <v>0</v>
      </c>
      <c r="EF422" s="161">
        <f t="shared" si="1352"/>
        <v>0</v>
      </c>
      <c r="EG422" s="161">
        <f t="shared" si="1353"/>
        <v>0</v>
      </c>
      <c r="EH422" s="161">
        <f t="shared" si="1354"/>
        <v>0</v>
      </c>
      <c r="EI422" s="161">
        <f t="shared" si="1355"/>
        <v>0</v>
      </c>
      <c r="EJ422" s="65"/>
      <c r="EK422" s="161">
        <f t="shared" si="1426"/>
        <v>0</v>
      </c>
      <c r="EL422" s="161">
        <f t="shared" si="1427"/>
        <v>0</v>
      </c>
      <c r="EM422" s="161">
        <f t="shared" si="1428"/>
        <v>0</v>
      </c>
    </row>
    <row r="423" spans="1:143" ht="12" hidden="1" customHeight="1" outlineLevel="2">
      <c r="A423" s="77">
        <v>19</v>
      </c>
      <c r="B423" s="137" t="str">
        <f t="shared" si="1356"/>
        <v>EST_II - Equipe_01</v>
      </c>
      <c r="C423" s="65"/>
      <c r="D423" s="622"/>
      <c r="E423" s="65"/>
      <c r="F423" s="584"/>
      <c r="G423" s="77" t="str">
        <f>IF(INDEX(Tarefas!$BT$30:$FK$30,MATCH(A423,Tarefas!$BT$28:$FK$28,0))=0,"",INDEX(Tarefas!$BT$30:$FK$30,MATCH(A423,Tarefas!$BT$28:$FK$28,0)))</f>
        <v>EST_II</v>
      </c>
      <c r="H423" s="107" cm="1">
        <f t="array" ref="H423">IFERROR((SUMPRODUCT((Tarefas!$N$32:$N$54='Cronog. e Histog.'!$F$405)*(Tarefas!$BQ$30:$FK$30='Cronog. e Histog.'!$G423)*(Tarefas!$BQ$32:$FK$54)))/SUMIF(Tarefas!$N$32:$N$54,'Cronog. e Histog.'!$F$405,Tarefas!$K$32:$K$54),0)</f>
        <v>0</v>
      </c>
      <c r="I423" s="79">
        <f t="shared" si="1357"/>
        <v>0</v>
      </c>
      <c r="J423" s="65"/>
      <c r="K423" s="160">
        <f t="shared" si="1429"/>
        <v>0</v>
      </c>
      <c r="L423" s="160">
        <f t="shared" si="1430"/>
        <v>0</v>
      </c>
      <c r="M423" s="160">
        <f t="shared" si="1430"/>
        <v>0</v>
      </c>
      <c r="N423" s="160">
        <f t="shared" si="1430"/>
        <v>0</v>
      </c>
      <c r="O423" s="160">
        <f t="shared" si="1430"/>
        <v>0</v>
      </c>
      <c r="P423" s="160">
        <f t="shared" si="1430"/>
        <v>0</v>
      </c>
      <c r="Q423" s="160">
        <f t="shared" si="1430"/>
        <v>0</v>
      </c>
      <c r="R423" s="160">
        <f t="shared" si="1430"/>
        <v>0</v>
      </c>
      <c r="S423" s="160">
        <f t="shared" si="1430"/>
        <v>0</v>
      </c>
      <c r="T423" s="160">
        <f t="shared" si="1430"/>
        <v>0</v>
      </c>
      <c r="U423" s="160">
        <f t="shared" si="1430"/>
        <v>0</v>
      </c>
      <c r="V423" s="160">
        <f t="shared" si="1430"/>
        <v>0</v>
      </c>
      <c r="W423" s="160">
        <f t="shared" si="1430"/>
        <v>0</v>
      </c>
      <c r="X423" s="160">
        <f t="shared" si="1430"/>
        <v>0</v>
      </c>
      <c r="Y423" s="160">
        <f t="shared" si="1430"/>
        <v>0</v>
      </c>
      <c r="Z423" s="160">
        <f t="shared" si="1430"/>
        <v>0</v>
      </c>
      <c r="AA423" s="160">
        <f t="shared" si="1430"/>
        <v>0</v>
      </c>
      <c r="AB423" s="160">
        <f t="shared" si="1430"/>
        <v>0</v>
      </c>
      <c r="AC423" s="160">
        <f t="shared" si="1430"/>
        <v>0</v>
      </c>
      <c r="AD423" s="160">
        <f t="shared" si="1430"/>
        <v>0</v>
      </c>
      <c r="AE423" s="160">
        <f t="shared" si="1430"/>
        <v>0</v>
      </c>
      <c r="AF423" s="160">
        <f t="shared" si="1430"/>
        <v>0</v>
      </c>
      <c r="AG423" s="160">
        <f t="shared" si="1430"/>
        <v>0</v>
      </c>
      <c r="AH423" s="160">
        <f t="shared" si="1430"/>
        <v>0</v>
      </c>
      <c r="AI423" s="160">
        <f t="shared" si="1430"/>
        <v>0</v>
      </c>
      <c r="AJ423" s="160">
        <f t="shared" si="1430"/>
        <v>0</v>
      </c>
      <c r="AK423" s="160">
        <f t="shared" si="1430"/>
        <v>0</v>
      </c>
      <c r="AL423" s="160">
        <f t="shared" si="1430"/>
        <v>0</v>
      </c>
      <c r="AM423" s="160">
        <f t="shared" si="1430"/>
        <v>0</v>
      </c>
      <c r="AN423" s="160">
        <f t="shared" si="1430"/>
        <v>0</v>
      </c>
      <c r="AO423" s="160">
        <f t="shared" si="1430"/>
        <v>0</v>
      </c>
      <c r="AP423" s="160">
        <f t="shared" si="1430"/>
        <v>0</v>
      </c>
      <c r="AQ423" s="160">
        <f t="shared" si="1430"/>
        <v>0</v>
      </c>
      <c r="AR423" s="160">
        <f t="shared" si="1430"/>
        <v>0</v>
      </c>
      <c r="AS423" s="160">
        <f t="shared" si="1430"/>
        <v>0</v>
      </c>
      <c r="AT423" s="160">
        <f t="shared" si="1430"/>
        <v>0</v>
      </c>
      <c r="AU423" s="160">
        <f t="shared" si="1430"/>
        <v>0</v>
      </c>
      <c r="AV423" s="160">
        <f t="shared" si="1430"/>
        <v>0</v>
      </c>
      <c r="AW423" s="160">
        <f t="shared" si="1430"/>
        <v>0</v>
      </c>
      <c r="AX423" s="160">
        <f t="shared" si="1430"/>
        <v>0</v>
      </c>
      <c r="AY423" s="160">
        <f t="shared" si="1430"/>
        <v>0</v>
      </c>
      <c r="AZ423" s="160">
        <f t="shared" si="1430"/>
        <v>0</v>
      </c>
      <c r="BA423" s="160">
        <f t="shared" si="1430"/>
        <v>0</v>
      </c>
      <c r="BB423" s="160">
        <f t="shared" si="1430"/>
        <v>0</v>
      </c>
      <c r="BC423" s="160">
        <f t="shared" si="1430"/>
        <v>0</v>
      </c>
      <c r="BD423" s="160">
        <f t="shared" si="1430"/>
        <v>0</v>
      </c>
      <c r="BE423" s="160">
        <f t="shared" si="1430"/>
        <v>0</v>
      </c>
      <c r="BF423" s="160">
        <f t="shared" si="1430"/>
        <v>0</v>
      </c>
      <c r="BG423" s="160">
        <f t="shared" si="1430"/>
        <v>0</v>
      </c>
      <c r="BH423" s="160">
        <f t="shared" si="1430"/>
        <v>0</v>
      </c>
      <c r="BI423" s="160">
        <f t="shared" si="1430"/>
        <v>0</v>
      </c>
      <c r="BJ423" s="160">
        <f t="shared" si="1430"/>
        <v>0</v>
      </c>
      <c r="BK423" s="160">
        <f t="shared" si="1430"/>
        <v>0</v>
      </c>
      <c r="BL423" s="160">
        <f t="shared" si="1430"/>
        <v>0</v>
      </c>
      <c r="BM423" s="160">
        <f t="shared" ref="L423:BR424" si="1431">ROUND($I423*BM$191,2)</f>
        <v>0</v>
      </c>
      <c r="BN423" s="160">
        <f t="shared" si="1431"/>
        <v>0</v>
      </c>
      <c r="BO423" s="160">
        <f t="shared" si="1431"/>
        <v>0</v>
      </c>
      <c r="BP423" s="160">
        <f t="shared" si="1431"/>
        <v>0</v>
      </c>
      <c r="BQ423" s="160">
        <f t="shared" si="1431"/>
        <v>0</v>
      </c>
      <c r="BR423" s="160">
        <f t="shared" si="1431"/>
        <v>0</v>
      </c>
      <c r="BS423" s="65"/>
      <c r="BT423" s="160">
        <f t="shared" si="1292"/>
        <v>0</v>
      </c>
      <c r="BU423" s="160">
        <f t="shared" si="1293"/>
        <v>0</v>
      </c>
      <c r="BV423" s="65"/>
      <c r="BW423" s="69"/>
      <c r="BX423" s="65"/>
      <c r="BY423" s="137">
        <f t="shared" si="1294"/>
        <v>1</v>
      </c>
      <c r="BZ423" s="137">
        <f>IF(BY423&gt;0,BY423+LARGE($BZ$213:BZ422,1),0)</f>
        <v>179</v>
      </c>
      <c r="CA423" s="137" t="str">
        <f t="shared" si="1295"/>
        <v>EST_II</v>
      </c>
      <c r="CB423" s="161">
        <f t="shared" si="1296"/>
        <v>0</v>
      </c>
      <c r="CC423" s="161">
        <f t="shared" si="1297"/>
        <v>0</v>
      </c>
      <c r="CD423" s="161">
        <f t="shared" si="1298"/>
        <v>0</v>
      </c>
      <c r="CE423" s="161">
        <f t="shared" si="1299"/>
        <v>0</v>
      </c>
      <c r="CF423" s="161">
        <f t="shared" si="1300"/>
        <v>0</v>
      </c>
      <c r="CG423" s="161">
        <f t="shared" si="1301"/>
        <v>0</v>
      </c>
      <c r="CH423" s="161">
        <f t="shared" si="1302"/>
        <v>0</v>
      </c>
      <c r="CI423" s="161">
        <f t="shared" si="1303"/>
        <v>0</v>
      </c>
      <c r="CJ423" s="161">
        <f t="shared" si="1304"/>
        <v>0</v>
      </c>
      <c r="CK423" s="161">
        <f t="shared" si="1305"/>
        <v>0</v>
      </c>
      <c r="CL423" s="161">
        <f t="shared" si="1306"/>
        <v>0</v>
      </c>
      <c r="CM423" s="161">
        <f t="shared" si="1307"/>
        <v>0</v>
      </c>
      <c r="CN423" s="161">
        <f t="shared" si="1308"/>
        <v>0</v>
      </c>
      <c r="CO423" s="161">
        <f t="shared" si="1309"/>
        <v>0</v>
      </c>
      <c r="CP423" s="161">
        <f t="shared" si="1310"/>
        <v>0</v>
      </c>
      <c r="CQ423" s="161">
        <f t="shared" si="1311"/>
        <v>0</v>
      </c>
      <c r="CR423" s="161">
        <f t="shared" si="1312"/>
        <v>0</v>
      </c>
      <c r="CS423" s="161">
        <f t="shared" si="1313"/>
        <v>0</v>
      </c>
      <c r="CT423" s="161">
        <f t="shared" si="1314"/>
        <v>0</v>
      </c>
      <c r="CU423" s="161">
        <f t="shared" si="1315"/>
        <v>0</v>
      </c>
      <c r="CV423" s="161">
        <f t="shared" si="1316"/>
        <v>0</v>
      </c>
      <c r="CW423" s="161">
        <f t="shared" si="1317"/>
        <v>0</v>
      </c>
      <c r="CX423" s="161">
        <f t="shared" si="1318"/>
        <v>0</v>
      </c>
      <c r="CY423" s="161">
        <f t="shared" si="1319"/>
        <v>0</v>
      </c>
      <c r="CZ423" s="161">
        <f t="shared" si="1320"/>
        <v>0</v>
      </c>
      <c r="DA423" s="161">
        <f t="shared" si="1321"/>
        <v>0</v>
      </c>
      <c r="DB423" s="161">
        <f t="shared" si="1322"/>
        <v>0</v>
      </c>
      <c r="DC423" s="161">
        <f t="shared" si="1323"/>
        <v>0</v>
      </c>
      <c r="DD423" s="161">
        <f t="shared" si="1324"/>
        <v>0</v>
      </c>
      <c r="DE423" s="161">
        <f t="shared" si="1325"/>
        <v>0</v>
      </c>
      <c r="DF423" s="161">
        <f t="shared" si="1326"/>
        <v>0</v>
      </c>
      <c r="DG423" s="161">
        <f t="shared" si="1327"/>
        <v>0</v>
      </c>
      <c r="DH423" s="161">
        <f t="shared" si="1328"/>
        <v>0</v>
      </c>
      <c r="DI423" s="161">
        <f t="shared" si="1329"/>
        <v>0</v>
      </c>
      <c r="DJ423" s="161">
        <f t="shared" si="1330"/>
        <v>0</v>
      </c>
      <c r="DK423" s="161">
        <f t="shared" si="1331"/>
        <v>0</v>
      </c>
      <c r="DL423" s="161">
        <f t="shared" si="1332"/>
        <v>0</v>
      </c>
      <c r="DM423" s="161">
        <f t="shared" si="1333"/>
        <v>0</v>
      </c>
      <c r="DN423" s="161">
        <f t="shared" si="1334"/>
        <v>0</v>
      </c>
      <c r="DO423" s="161">
        <f t="shared" si="1335"/>
        <v>0</v>
      </c>
      <c r="DP423" s="161">
        <f t="shared" si="1336"/>
        <v>0</v>
      </c>
      <c r="DQ423" s="161">
        <f t="shared" si="1337"/>
        <v>0</v>
      </c>
      <c r="DR423" s="161">
        <f t="shared" si="1338"/>
        <v>0</v>
      </c>
      <c r="DS423" s="161">
        <f t="shared" si="1339"/>
        <v>0</v>
      </c>
      <c r="DT423" s="161">
        <f t="shared" si="1340"/>
        <v>0</v>
      </c>
      <c r="DU423" s="161">
        <f t="shared" si="1341"/>
        <v>0</v>
      </c>
      <c r="DV423" s="161">
        <f t="shared" si="1342"/>
        <v>0</v>
      </c>
      <c r="DW423" s="161">
        <f t="shared" si="1343"/>
        <v>0</v>
      </c>
      <c r="DX423" s="161">
        <f t="shared" si="1344"/>
        <v>0</v>
      </c>
      <c r="DY423" s="161">
        <f t="shared" si="1345"/>
        <v>0</v>
      </c>
      <c r="DZ423" s="161">
        <f t="shared" si="1346"/>
        <v>0</v>
      </c>
      <c r="EA423" s="161">
        <f t="shared" si="1347"/>
        <v>0</v>
      </c>
      <c r="EB423" s="161">
        <f t="shared" si="1348"/>
        <v>0</v>
      </c>
      <c r="EC423" s="161">
        <f t="shared" si="1349"/>
        <v>0</v>
      </c>
      <c r="ED423" s="161">
        <f t="shared" si="1350"/>
        <v>0</v>
      </c>
      <c r="EE423" s="161">
        <f t="shared" si="1351"/>
        <v>0</v>
      </c>
      <c r="EF423" s="161">
        <f t="shared" si="1352"/>
        <v>0</v>
      </c>
      <c r="EG423" s="161">
        <f t="shared" si="1353"/>
        <v>0</v>
      </c>
      <c r="EH423" s="161">
        <f t="shared" si="1354"/>
        <v>0</v>
      </c>
      <c r="EI423" s="161">
        <f t="shared" si="1355"/>
        <v>0</v>
      </c>
      <c r="EJ423" s="65"/>
      <c r="EK423" s="161">
        <f t="shared" si="1426"/>
        <v>0</v>
      </c>
      <c r="EL423" s="161">
        <f t="shared" si="1427"/>
        <v>0</v>
      </c>
      <c r="EM423" s="161">
        <f t="shared" si="1428"/>
        <v>0</v>
      </c>
    </row>
    <row r="424" spans="1:143" ht="12" hidden="1" customHeight="1" outlineLevel="2">
      <c r="A424" s="77">
        <v>20</v>
      </c>
      <c r="B424" s="137" t="str">
        <f t="shared" si="1356"/>
        <v>EST_III - Equipe_01</v>
      </c>
      <c r="C424" s="65"/>
      <c r="D424" s="623"/>
      <c r="E424" s="65"/>
      <c r="F424" s="584"/>
      <c r="G424" s="77" t="str">
        <f>IF(INDEX(Tarefas!$BT$30:$FK$30,MATCH(A424,Tarefas!$BT$28:$FK$28,0))=0,"",INDEX(Tarefas!$BT$30:$FK$30,MATCH(A424,Tarefas!$BT$28:$FK$28,0)))</f>
        <v>EST_III</v>
      </c>
      <c r="H424" s="107" cm="1">
        <f t="array" ref="H424">IFERROR((SUMPRODUCT((Tarefas!$N$32:$N$54='Cronog. e Histog.'!$F$405)*(Tarefas!$BQ$30:$FK$30='Cronog. e Histog.'!$G424)*(Tarefas!$BQ$32:$FK$54)))/SUMIF(Tarefas!$N$32:$N$54,'Cronog. e Histog.'!$F$405,Tarefas!$K$32:$K$54),0)</f>
        <v>0</v>
      </c>
      <c r="I424" s="79">
        <f t="shared" si="1357"/>
        <v>0</v>
      </c>
      <c r="J424" s="65"/>
      <c r="K424" s="160">
        <f t="shared" si="1429"/>
        <v>0</v>
      </c>
      <c r="L424" s="160">
        <f t="shared" si="1431"/>
        <v>0</v>
      </c>
      <c r="M424" s="160">
        <f t="shared" si="1431"/>
        <v>0</v>
      </c>
      <c r="N424" s="160">
        <f t="shared" si="1431"/>
        <v>0</v>
      </c>
      <c r="O424" s="160">
        <f t="shared" si="1431"/>
        <v>0</v>
      </c>
      <c r="P424" s="160">
        <f t="shared" si="1431"/>
        <v>0</v>
      </c>
      <c r="Q424" s="160">
        <f t="shared" si="1431"/>
        <v>0</v>
      </c>
      <c r="R424" s="160">
        <f t="shared" si="1431"/>
        <v>0</v>
      </c>
      <c r="S424" s="160">
        <f t="shared" si="1431"/>
        <v>0</v>
      </c>
      <c r="T424" s="160">
        <f t="shared" si="1431"/>
        <v>0</v>
      </c>
      <c r="U424" s="160">
        <f t="shared" si="1431"/>
        <v>0</v>
      </c>
      <c r="V424" s="160">
        <f t="shared" si="1431"/>
        <v>0</v>
      </c>
      <c r="W424" s="160">
        <f t="shared" si="1431"/>
        <v>0</v>
      </c>
      <c r="X424" s="160">
        <f t="shared" si="1431"/>
        <v>0</v>
      </c>
      <c r="Y424" s="160">
        <f t="shared" si="1431"/>
        <v>0</v>
      </c>
      <c r="Z424" s="160">
        <f t="shared" si="1431"/>
        <v>0</v>
      </c>
      <c r="AA424" s="160">
        <f t="shared" si="1431"/>
        <v>0</v>
      </c>
      <c r="AB424" s="160">
        <f t="shared" si="1431"/>
        <v>0</v>
      </c>
      <c r="AC424" s="160">
        <f t="shared" si="1431"/>
        <v>0</v>
      </c>
      <c r="AD424" s="160">
        <f t="shared" si="1431"/>
        <v>0</v>
      </c>
      <c r="AE424" s="160">
        <f t="shared" si="1431"/>
        <v>0</v>
      </c>
      <c r="AF424" s="160">
        <f t="shared" si="1431"/>
        <v>0</v>
      </c>
      <c r="AG424" s="160">
        <f t="shared" si="1431"/>
        <v>0</v>
      </c>
      <c r="AH424" s="160">
        <f t="shared" si="1431"/>
        <v>0</v>
      </c>
      <c r="AI424" s="160">
        <f t="shared" si="1431"/>
        <v>0</v>
      </c>
      <c r="AJ424" s="160">
        <f t="shared" si="1431"/>
        <v>0</v>
      </c>
      <c r="AK424" s="160">
        <f t="shared" si="1431"/>
        <v>0</v>
      </c>
      <c r="AL424" s="160">
        <f t="shared" si="1431"/>
        <v>0</v>
      </c>
      <c r="AM424" s="160">
        <f t="shared" si="1431"/>
        <v>0</v>
      </c>
      <c r="AN424" s="160">
        <f t="shared" si="1431"/>
        <v>0</v>
      </c>
      <c r="AO424" s="160">
        <f t="shared" si="1431"/>
        <v>0</v>
      </c>
      <c r="AP424" s="160">
        <f t="shared" si="1431"/>
        <v>0</v>
      </c>
      <c r="AQ424" s="160">
        <f t="shared" si="1431"/>
        <v>0</v>
      </c>
      <c r="AR424" s="160">
        <f t="shared" si="1431"/>
        <v>0</v>
      </c>
      <c r="AS424" s="160">
        <f t="shared" si="1431"/>
        <v>0</v>
      </c>
      <c r="AT424" s="160">
        <f t="shared" si="1431"/>
        <v>0</v>
      </c>
      <c r="AU424" s="160">
        <f t="shared" si="1431"/>
        <v>0</v>
      </c>
      <c r="AV424" s="160">
        <f t="shared" si="1431"/>
        <v>0</v>
      </c>
      <c r="AW424" s="160">
        <f t="shared" si="1431"/>
        <v>0</v>
      </c>
      <c r="AX424" s="160">
        <f t="shared" si="1431"/>
        <v>0</v>
      </c>
      <c r="AY424" s="160">
        <f t="shared" si="1431"/>
        <v>0</v>
      </c>
      <c r="AZ424" s="160">
        <f t="shared" si="1431"/>
        <v>0</v>
      </c>
      <c r="BA424" s="160">
        <f t="shared" si="1431"/>
        <v>0</v>
      </c>
      <c r="BB424" s="160">
        <f t="shared" si="1431"/>
        <v>0</v>
      </c>
      <c r="BC424" s="160">
        <f t="shared" si="1431"/>
        <v>0</v>
      </c>
      <c r="BD424" s="160">
        <f t="shared" si="1431"/>
        <v>0</v>
      </c>
      <c r="BE424" s="160">
        <f t="shared" si="1431"/>
        <v>0</v>
      </c>
      <c r="BF424" s="160">
        <f t="shared" si="1431"/>
        <v>0</v>
      </c>
      <c r="BG424" s="160">
        <f t="shared" si="1431"/>
        <v>0</v>
      </c>
      <c r="BH424" s="160">
        <f t="shared" si="1431"/>
        <v>0</v>
      </c>
      <c r="BI424" s="160">
        <f t="shared" si="1431"/>
        <v>0</v>
      </c>
      <c r="BJ424" s="160">
        <f t="shared" si="1431"/>
        <v>0</v>
      </c>
      <c r="BK424" s="160">
        <f t="shared" si="1431"/>
        <v>0</v>
      </c>
      <c r="BL424" s="160">
        <f t="shared" si="1431"/>
        <v>0</v>
      </c>
      <c r="BM424" s="160">
        <f t="shared" si="1431"/>
        <v>0</v>
      </c>
      <c r="BN424" s="160">
        <f t="shared" si="1431"/>
        <v>0</v>
      </c>
      <c r="BO424" s="160">
        <f t="shared" si="1431"/>
        <v>0</v>
      </c>
      <c r="BP424" s="160">
        <f t="shared" si="1431"/>
        <v>0</v>
      </c>
      <c r="BQ424" s="160">
        <f t="shared" si="1431"/>
        <v>0</v>
      </c>
      <c r="BR424" s="160">
        <f t="shared" si="1431"/>
        <v>0</v>
      </c>
      <c r="BS424" s="65"/>
      <c r="BT424" s="160">
        <f t="shared" si="1292"/>
        <v>0</v>
      </c>
      <c r="BU424" s="160">
        <f t="shared" si="1293"/>
        <v>0</v>
      </c>
      <c r="BV424" s="65"/>
      <c r="BW424" s="69"/>
      <c r="BX424" s="65"/>
      <c r="BY424" s="137">
        <f t="shared" si="1294"/>
        <v>1</v>
      </c>
      <c r="BZ424" s="137">
        <f>IF(BY424&gt;0,BY424+LARGE($BZ$213:BZ423,1),0)</f>
        <v>180</v>
      </c>
      <c r="CA424" s="137" t="str">
        <f t="shared" si="1295"/>
        <v>EST_III</v>
      </c>
      <c r="CB424" s="161">
        <f t="shared" si="1296"/>
        <v>0</v>
      </c>
      <c r="CC424" s="161">
        <f t="shared" si="1297"/>
        <v>0</v>
      </c>
      <c r="CD424" s="161">
        <f t="shared" si="1298"/>
        <v>0</v>
      </c>
      <c r="CE424" s="161">
        <f t="shared" si="1299"/>
        <v>0</v>
      </c>
      <c r="CF424" s="161">
        <f t="shared" si="1300"/>
        <v>0</v>
      </c>
      <c r="CG424" s="161">
        <f t="shared" si="1301"/>
        <v>0</v>
      </c>
      <c r="CH424" s="161">
        <f t="shared" si="1302"/>
        <v>0</v>
      </c>
      <c r="CI424" s="161">
        <f t="shared" si="1303"/>
        <v>0</v>
      </c>
      <c r="CJ424" s="161">
        <f t="shared" si="1304"/>
        <v>0</v>
      </c>
      <c r="CK424" s="161">
        <f t="shared" si="1305"/>
        <v>0</v>
      </c>
      <c r="CL424" s="161">
        <f t="shared" si="1306"/>
        <v>0</v>
      </c>
      <c r="CM424" s="161">
        <f t="shared" si="1307"/>
        <v>0</v>
      </c>
      <c r="CN424" s="161">
        <f t="shared" si="1308"/>
        <v>0</v>
      </c>
      <c r="CO424" s="161">
        <f t="shared" si="1309"/>
        <v>0</v>
      </c>
      <c r="CP424" s="161">
        <f t="shared" si="1310"/>
        <v>0</v>
      </c>
      <c r="CQ424" s="161">
        <f t="shared" si="1311"/>
        <v>0</v>
      </c>
      <c r="CR424" s="161">
        <f t="shared" si="1312"/>
        <v>0</v>
      </c>
      <c r="CS424" s="161">
        <f t="shared" si="1313"/>
        <v>0</v>
      </c>
      <c r="CT424" s="161">
        <f t="shared" si="1314"/>
        <v>0</v>
      </c>
      <c r="CU424" s="161">
        <f t="shared" si="1315"/>
        <v>0</v>
      </c>
      <c r="CV424" s="161">
        <f t="shared" si="1316"/>
        <v>0</v>
      </c>
      <c r="CW424" s="161">
        <f t="shared" si="1317"/>
        <v>0</v>
      </c>
      <c r="CX424" s="161">
        <f t="shared" si="1318"/>
        <v>0</v>
      </c>
      <c r="CY424" s="161">
        <f t="shared" si="1319"/>
        <v>0</v>
      </c>
      <c r="CZ424" s="161">
        <f t="shared" si="1320"/>
        <v>0</v>
      </c>
      <c r="DA424" s="161">
        <f t="shared" si="1321"/>
        <v>0</v>
      </c>
      <c r="DB424" s="161">
        <f t="shared" si="1322"/>
        <v>0</v>
      </c>
      <c r="DC424" s="161">
        <f t="shared" si="1323"/>
        <v>0</v>
      </c>
      <c r="DD424" s="161">
        <f t="shared" si="1324"/>
        <v>0</v>
      </c>
      <c r="DE424" s="161">
        <f t="shared" si="1325"/>
        <v>0</v>
      </c>
      <c r="DF424" s="161">
        <f t="shared" si="1326"/>
        <v>0</v>
      </c>
      <c r="DG424" s="161">
        <f t="shared" si="1327"/>
        <v>0</v>
      </c>
      <c r="DH424" s="161">
        <f t="shared" si="1328"/>
        <v>0</v>
      </c>
      <c r="DI424" s="161">
        <f t="shared" si="1329"/>
        <v>0</v>
      </c>
      <c r="DJ424" s="161">
        <f t="shared" si="1330"/>
        <v>0</v>
      </c>
      <c r="DK424" s="161">
        <f t="shared" si="1331"/>
        <v>0</v>
      </c>
      <c r="DL424" s="161">
        <f t="shared" si="1332"/>
        <v>0</v>
      </c>
      <c r="DM424" s="161">
        <f t="shared" si="1333"/>
        <v>0</v>
      </c>
      <c r="DN424" s="161">
        <f t="shared" si="1334"/>
        <v>0</v>
      </c>
      <c r="DO424" s="161">
        <f t="shared" si="1335"/>
        <v>0</v>
      </c>
      <c r="DP424" s="161">
        <f t="shared" si="1336"/>
        <v>0</v>
      </c>
      <c r="DQ424" s="161">
        <f t="shared" si="1337"/>
        <v>0</v>
      </c>
      <c r="DR424" s="161">
        <f t="shared" si="1338"/>
        <v>0</v>
      </c>
      <c r="DS424" s="161">
        <f t="shared" si="1339"/>
        <v>0</v>
      </c>
      <c r="DT424" s="161">
        <f t="shared" si="1340"/>
        <v>0</v>
      </c>
      <c r="DU424" s="161">
        <f t="shared" si="1341"/>
        <v>0</v>
      </c>
      <c r="DV424" s="161">
        <f t="shared" si="1342"/>
        <v>0</v>
      </c>
      <c r="DW424" s="161">
        <f t="shared" si="1343"/>
        <v>0</v>
      </c>
      <c r="DX424" s="161">
        <f t="shared" si="1344"/>
        <v>0</v>
      </c>
      <c r="DY424" s="161">
        <f t="shared" si="1345"/>
        <v>0</v>
      </c>
      <c r="DZ424" s="161">
        <f t="shared" si="1346"/>
        <v>0</v>
      </c>
      <c r="EA424" s="161">
        <f t="shared" si="1347"/>
        <v>0</v>
      </c>
      <c r="EB424" s="161">
        <f t="shared" si="1348"/>
        <v>0</v>
      </c>
      <c r="EC424" s="161">
        <f t="shared" si="1349"/>
        <v>0</v>
      </c>
      <c r="ED424" s="161">
        <f t="shared" si="1350"/>
        <v>0</v>
      </c>
      <c r="EE424" s="161">
        <f t="shared" si="1351"/>
        <v>0</v>
      </c>
      <c r="EF424" s="161">
        <f t="shared" si="1352"/>
        <v>0</v>
      </c>
      <c r="EG424" s="161">
        <f t="shared" si="1353"/>
        <v>0</v>
      </c>
      <c r="EH424" s="161">
        <f t="shared" si="1354"/>
        <v>0</v>
      </c>
      <c r="EI424" s="161">
        <f t="shared" si="1355"/>
        <v>0</v>
      </c>
      <c r="EJ424" s="65"/>
      <c r="EK424" s="161">
        <f t="shared" si="1426"/>
        <v>0</v>
      </c>
      <c r="EL424" s="161">
        <f t="shared" si="1427"/>
        <v>0</v>
      </c>
      <c r="EM424" s="161">
        <f t="shared" si="1428"/>
        <v>0</v>
      </c>
    </row>
    <row r="425" spans="1:143" ht="12" hidden="1" customHeight="1" outlineLevel="1">
      <c r="B425" s="65"/>
      <c r="C425" s="65"/>
      <c r="D425" s="65"/>
      <c r="E425" s="65"/>
      <c r="F425" s="73" t="s">
        <v>380</v>
      </c>
      <c r="G425" s="162" t="str">
        <f>"Pico = "&amp;MAX(K425:BR425)</f>
        <v>Pico = 0</v>
      </c>
      <c r="H425" s="163">
        <f>SUM(H405:H424)</f>
        <v>1</v>
      </c>
      <c r="I425" s="148">
        <f>SUM(I405:I424)</f>
        <v>1</v>
      </c>
      <c r="J425" s="65"/>
      <c r="K425" s="146">
        <f>SUM(K405:K424)</f>
        <v>0</v>
      </c>
      <c r="L425" s="146">
        <f t="shared" ref="L425:BR425" si="1432">SUM(L405:L424)</f>
        <v>0</v>
      </c>
      <c r="M425" s="146">
        <f t="shared" si="1432"/>
        <v>0</v>
      </c>
      <c r="N425" s="146">
        <f t="shared" si="1432"/>
        <v>0</v>
      </c>
      <c r="O425" s="146">
        <f t="shared" si="1432"/>
        <v>0</v>
      </c>
      <c r="P425" s="146">
        <f t="shared" si="1432"/>
        <v>0</v>
      </c>
      <c r="Q425" s="146">
        <f t="shared" si="1432"/>
        <v>0</v>
      </c>
      <c r="R425" s="146">
        <f t="shared" si="1432"/>
        <v>0</v>
      </c>
      <c r="S425" s="146">
        <f t="shared" si="1432"/>
        <v>0</v>
      </c>
      <c r="T425" s="146">
        <f t="shared" si="1432"/>
        <v>0</v>
      </c>
      <c r="U425" s="146">
        <f t="shared" si="1432"/>
        <v>0</v>
      </c>
      <c r="V425" s="146">
        <f t="shared" si="1432"/>
        <v>0</v>
      </c>
      <c r="W425" s="146">
        <f t="shared" si="1432"/>
        <v>0</v>
      </c>
      <c r="X425" s="146">
        <f t="shared" si="1432"/>
        <v>0</v>
      </c>
      <c r="Y425" s="146">
        <f t="shared" si="1432"/>
        <v>0</v>
      </c>
      <c r="Z425" s="146">
        <f t="shared" si="1432"/>
        <v>0</v>
      </c>
      <c r="AA425" s="146">
        <f t="shared" si="1432"/>
        <v>0</v>
      </c>
      <c r="AB425" s="146">
        <f t="shared" si="1432"/>
        <v>0</v>
      </c>
      <c r="AC425" s="146">
        <f t="shared" si="1432"/>
        <v>0</v>
      </c>
      <c r="AD425" s="146">
        <f t="shared" si="1432"/>
        <v>0</v>
      </c>
      <c r="AE425" s="146">
        <f t="shared" si="1432"/>
        <v>0</v>
      </c>
      <c r="AF425" s="146">
        <f t="shared" si="1432"/>
        <v>0</v>
      </c>
      <c r="AG425" s="146">
        <f t="shared" si="1432"/>
        <v>0</v>
      </c>
      <c r="AH425" s="146">
        <f t="shared" si="1432"/>
        <v>0</v>
      </c>
      <c r="AI425" s="146">
        <f t="shared" si="1432"/>
        <v>0</v>
      </c>
      <c r="AJ425" s="146">
        <f t="shared" si="1432"/>
        <v>0</v>
      </c>
      <c r="AK425" s="146">
        <f t="shared" si="1432"/>
        <v>0</v>
      </c>
      <c r="AL425" s="146">
        <f t="shared" si="1432"/>
        <v>0</v>
      </c>
      <c r="AM425" s="146">
        <f t="shared" si="1432"/>
        <v>0</v>
      </c>
      <c r="AN425" s="146">
        <f t="shared" si="1432"/>
        <v>0</v>
      </c>
      <c r="AO425" s="146">
        <f t="shared" si="1432"/>
        <v>0</v>
      </c>
      <c r="AP425" s="146">
        <f t="shared" si="1432"/>
        <v>0</v>
      </c>
      <c r="AQ425" s="146">
        <f t="shared" si="1432"/>
        <v>0</v>
      </c>
      <c r="AR425" s="146">
        <f t="shared" si="1432"/>
        <v>0</v>
      </c>
      <c r="AS425" s="146">
        <f t="shared" si="1432"/>
        <v>0</v>
      </c>
      <c r="AT425" s="146">
        <f t="shared" si="1432"/>
        <v>0</v>
      </c>
      <c r="AU425" s="146">
        <f t="shared" si="1432"/>
        <v>0</v>
      </c>
      <c r="AV425" s="146">
        <f t="shared" si="1432"/>
        <v>0</v>
      </c>
      <c r="AW425" s="146">
        <f t="shared" si="1432"/>
        <v>0</v>
      </c>
      <c r="AX425" s="146">
        <f t="shared" si="1432"/>
        <v>0</v>
      </c>
      <c r="AY425" s="146">
        <f t="shared" si="1432"/>
        <v>0</v>
      </c>
      <c r="AZ425" s="146">
        <f t="shared" si="1432"/>
        <v>0</v>
      </c>
      <c r="BA425" s="146">
        <f t="shared" si="1432"/>
        <v>0</v>
      </c>
      <c r="BB425" s="146">
        <f t="shared" si="1432"/>
        <v>0</v>
      </c>
      <c r="BC425" s="146">
        <f t="shared" si="1432"/>
        <v>0</v>
      </c>
      <c r="BD425" s="146">
        <f t="shared" si="1432"/>
        <v>0</v>
      </c>
      <c r="BE425" s="146">
        <f t="shared" si="1432"/>
        <v>0</v>
      </c>
      <c r="BF425" s="146">
        <f t="shared" si="1432"/>
        <v>0</v>
      </c>
      <c r="BG425" s="146">
        <f t="shared" si="1432"/>
        <v>0</v>
      </c>
      <c r="BH425" s="146">
        <f t="shared" si="1432"/>
        <v>0</v>
      </c>
      <c r="BI425" s="146">
        <f t="shared" si="1432"/>
        <v>0</v>
      </c>
      <c r="BJ425" s="146">
        <f t="shared" si="1432"/>
        <v>0</v>
      </c>
      <c r="BK425" s="146">
        <f t="shared" si="1432"/>
        <v>0</v>
      </c>
      <c r="BL425" s="146">
        <f t="shared" si="1432"/>
        <v>0</v>
      </c>
      <c r="BM425" s="146">
        <f t="shared" si="1432"/>
        <v>0</v>
      </c>
      <c r="BN425" s="146">
        <f t="shared" si="1432"/>
        <v>0</v>
      </c>
      <c r="BO425" s="146">
        <f t="shared" si="1432"/>
        <v>0</v>
      </c>
      <c r="BP425" s="146">
        <f t="shared" si="1432"/>
        <v>0</v>
      </c>
      <c r="BQ425" s="146">
        <f t="shared" si="1432"/>
        <v>0</v>
      </c>
      <c r="BR425" s="146">
        <f t="shared" si="1432"/>
        <v>0</v>
      </c>
      <c r="BS425" s="65"/>
      <c r="BT425" s="146">
        <f t="shared" ref="BT425" si="1433">SUM(BT405:BT424)</f>
        <v>0</v>
      </c>
      <c r="BU425" s="65"/>
      <c r="BV425" s="65"/>
      <c r="BW425" s="69"/>
      <c r="BX425" s="65"/>
      <c r="BY425" s="65"/>
      <c r="BZ425" s="65"/>
      <c r="CA425" s="65"/>
      <c r="CB425" s="65"/>
      <c r="CC425" s="65"/>
      <c r="CD425" s="65"/>
      <c r="CE425" s="65"/>
      <c r="CF425" s="65"/>
      <c r="CG425" s="65"/>
      <c r="CH425" s="65"/>
      <c r="CI425" s="65"/>
      <c r="CJ425" s="65"/>
      <c r="CK425" s="65"/>
      <c r="CL425" s="65"/>
      <c r="CM425" s="65"/>
      <c r="CN425" s="65"/>
      <c r="CO425" s="65"/>
      <c r="CP425" s="65"/>
      <c r="CQ425" s="65"/>
      <c r="CR425" s="65"/>
      <c r="CS425" s="65"/>
      <c r="CT425" s="65"/>
      <c r="CU425" s="65"/>
      <c r="CV425" s="65"/>
      <c r="CW425" s="65"/>
      <c r="CX425" s="65"/>
      <c r="CY425" s="65"/>
      <c r="CZ425" s="65"/>
      <c r="DA425" s="65"/>
      <c r="DB425" s="65"/>
      <c r="DC425" s="65"/>
      <c r="DD425" s="65"/>
      <c r="DE425" s="65"/>
      <c r="DF425" s="65"/>
      <c r="DG425" s="65"/>
      <c r="DH425" s="65"/>
      <c r="DI425" s="65"/>
      <c r="DJ425" s="65"/>
      <c r="DK425" s="65"/>
      <c r="DL425" s="65"/>
      <c r="DM425" s="65"/>
      <c r="DN425" s="65"/>
      <c r="DO425" s="65"/>
      <c r="DP425" s="65"/>
      <c r="DQ425" s="65"/>
      <c r="DR425" s="65"/>
      <c r="DS425" s="65"/>
      <c r="DT425" s="65"/>
      <c r="DU425" s="65"/>
      <c r="DV425" s="65"/>
      <c r="DW425" s="65"/>
      <c r="DX425" s="65"/>
      <c r="DY425" s="65"/>
      <c r="DZ425" s="65"/>
      <c r="EA425" s="65"/>
      <c r="EB425" s="65"/>
      <c r="EC425" s="65"/>
      <c r="ED425" s="65"/>
      <c r="EE425" s="65"/>
      <c r="EF425" s="65"/>
      <c r="EG425" s="65"/>
      <c r="EH425" s="65"/>
      <c r="EI425" s="65"/>
      <c r="EJ425" s="65"/>
      <c r="EK425" s="65"/>
      <c r="EL425" s="65"/>
      <c r="EM425" s="65"/>
    </row>
    <row r="426" spans="1:143" ht="12" hidden="1" customHeight="1" outlineLevel="1"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  <c r="AQ426" s="65"/>
      <c r="AR426" s="65"/>
      <c r="AS426" s="65"/>
      <c r="AT426" s="65"/>
      <c r="AU426" s="65"/>
      <c r="AV426" s="65"/>
      <c r="AW426" s="65"/>
      <c r="AX426" s="65"/>
      <c r="AY426" s="65"/>
      <c r="AZ426" s="65"/>
      <c r="BA426" s="65"/>
      <c r="BB426" s="65"/>
      <c r="BC426" s="65"/>
      <c r="BD426" s="65"/>
      <c r="BE426" s="65"/>
      <c r="BF426" s="65"/>
      <c r="BG426" s="65"/>
      <c r="BH426" s="65"/>
      <c r="BI426" s="65"/>
      <c r="BJ426" s="65"/>
      <c r="BK426" s="65"/>
      <c r="BL426" s="65"/>
      <c r="BM426" s="65"/>
      <c r="BN426" s="65"/>
      <c r="BO426" s="65"/>
      <c r="BP426" s="65"/>
      <c r="BQ426" s="65"/>
      <c r="BR426" s="65"/>
      <c r="BS426" s="65"/>
      <c r="BT426" s="65"/>
      <c r="BU426" s="65"/>
      <c r="BV426" s="65"/>
      <c r="BW426" s="69"/>
      <c r="BX426" s="65"/>
      <c r="BY426" s="65"/>
      <c r="BZ426" s="65"/>
      <c r="CA426" s="65"/>
      <c r="CB426" s="65"/>
      <c r="CC426" s="65"/>
      <c r="CD426" s="65"/>
      <c r="CE426" s="65"/>
      <c r="CF426" s="65"/>
      <c r="CG426" s="65"/>
      <c r="CH426" s="65"/>
      <c r="CI426" s="65"/>
      <c r="CJ426" s="65"/>
      <c r="CK426" s="65"/>
      <c r="CL426" s="65"/>
      <c r="CM426" s="65"/>
      <c r="CN426" s="65"/>
      <c r="CO426" s="65"/>
      <c r="CP426" s="65"/>
      <c r="CQ426" s="65"/>
      <c r="CR426" s="65"/>
      <c r="CS426" s="65"/>
      <c r="CT426" s="65"/>
      <c r="CU426" s="65"/>
      <c r="CV426" s="65"/>
      <c r="CW426" s="65"/>
      <c r="CX426" s="65"/>
      <c r="CY426" s="65"/>
      <c r="CZ426" s="65"/>
      <c r="DA426" s="65"/>
      <c r="DB426" s="65"/>
      <c r="DC426" s="65"/>
      <c r="DD426" s="65"/>
      <c r="DE426" s="65"/>
      <c r="DF426" s="65"/>
      <c r="DG426" s="65"/>
      <c r="DH426" s="65"/>
      <c r="DI426" s="65"/>
      <c r="DJ426" s="65"/>
      <c r="DK426" s="65"/>
      <c r="DL426" s="65"/>
      <c r="DM426" s="65"/>
      <c r="DN426" s="65"/>
      <c r="DO426" s="65"/>
      <c r="DP426" s="65"/>
      <c r="DQ426" s="65"/>
      <c r="DR426" s="65"/>
      <c r="DS426" s="65"/>
      <c r="DT426" s="65"/>
      <c r="DU426" s="65"/>
      <c r="DV426" s="65"/>
      <c r="DW426" s="65"/>
      <c r="DX426" s="65"/>
      <c r="DY426" s="65"/>
      <c r="DZ426" s="65"/>
      <c r="EA426" s="65"/>
      <c r="EB426" s="65"/>
      <c r="EC426" s="65"/>
      <c r="ED426" s="65"/>
      <c r="EE426" s="65"/>
      <c r="EF426" s="65"/>
      <c r="EG426" s="65"/>
      <c r="EH426" s="65"/>
      <c r="EI426" s="65"/>
      <c r="EJ426" s="65"/>
      <c r="EK426" s="65"/>
      <c r="EL426" s="65"/>
      <c r="EM426" s="65"/>
    </row>
    <row r="427" spans="1:143" ht="24" hidden="1" customHeight="1" outlineLevel="1">
      <c r="B427" s="593" t="s">
        <v>395</v>
      </c>
      <c r="C427" s="65"/>
      <c r="D427" s="65"/>
      <c r="E427" s="65"/>
      <c r="F427" s="149" t="str">
        <f>IF($G$60&gt;0,$G$60,"")</f>
        <v>Equipe10</v>
      </c>
      <c r="G427" s="149"/>
      <c r="H427" s="149"/>
      <c r="I427" s="149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  <c r="AQ427" s="65"/>
      <c r="AR427" s="65"/>
      <c r="AS427" s="65"/>
      <c r="AT427" s="65"/>
      <c r="AU427" s="65"/>
      <c r="AV427" s="65"/>
      <c r="AW427" s="65"/>
      <c r="AX427" s="65"/>
      <c r="AY427" s="65"/>
      <c r="AZ427" s="65"/>
      <c r="BA427" s="65"/>
      <c r="BB427" s="65"/>
      <c r="BC427" s="65"/>
      <c r="BD427" s="65"/>
      <c r="BE427" s="65"/>
      <c r="BF427" s="65"/>
      <c r="BG427" s="65"/>
      <c r="BH427" s="65"/>
      <c r="BI427" s="65"/>
      <c r="BJ427" s="65"/>
      <c r="BK427" s="65"/>
      <c r="BL427" s="65"/>
      <c r="BM427" s="65"/>
      <c r="BN427" s="65"/>
      <c r="BO427" s="65"/>
      <c r="BP427" s="65"/>
      <c r="BQ427" s="65"/>
      <c r="BR427" s="65"/>
      <c r="BS427" s="65"/>
      <c r="BT427" s="601" t="s">
        <v>396</v>
      </c>
      <c r="BU427" s="601" t="s">
        <v>397</v>
      </c>
      <c r="BV427" s="65"/>
      <c r="BW427" s="69"/>
      <c r="BX427" s="65"/>
      <c r="BY427" s="593" t="s">
        <v>398</v>
      </c>
      <c r="BZ427" s="593" t="s">
        <v>399</v>
      </c>
      <c r="CA427" s="593" t="s">
        <v>400</v>
      </c>
      <c r="CB427" s="592" t="s">
        <v>401</v>
      </c>
      <c r="CC427" s="592" t="s">
        <v>402</v>
      </c>
      <c r="CD427" s="592" t="s">
        <v>403</v>
      </c>
      <c r="CE427" s="592" t="s">
        <v>404</v>
      </c>
      <c r="CF427" s="592" t="s">
        <v>405</v>
      </c>
      <c r="CG427" s="592" t="s">
        <v>406</v>
      </c>
      <c r="CH427" s="592" t="s">
        <v>407</v>
      </c>
      <c r="CI427" s="592" t="s">
        <v>408</v>
      </c>
      <c r="CJ427" s="592" t="s">
        <v>409</v>
      </c>
      <c r="CK427" s="592" t="s">
        <v>410</v>
      </c>
      <c r="CL427" s="592" t="s">
        <v>411</v>
      </c>
      <c r="CM427" s="592" t="s">
        <v>412</v>
      </c>
      <c r="CN427" s="592" t="s">
        <v>413</v>
      </c>
      <c r="CO427" s="592" t="s">
        <v>414</v>
      </c>
      <c r="CP427" s="592" t="s">
        <v>415</v>
      </c>
      <c r="CQ427" s="592" t="s">
        <v>416</v>
      </c>
      <c r="CR427" s="592" t="s">
        <v>417</v>
      </c>
      <c r="CS427" s="592" t="s">
        <v>418</v>
      </c>
      <c r="CT427" s="592" t="s">
        <v>419</v>
      </c>
      <c r="CU427" s="592" t="s">
        <v>420</v>
      </c>
      <c r="CV427" s="592" t="s">
        <v>421</v>
      </c>
      <c r="CW427" s="592" t="s">
        <v>422</v>
      </c>
      <c r="CX427" s="592" t="s">
        <v>423</v>
      </c>
      <c r="CY427" s="592" t="s">
        <v>424</v>
      </c>
      <c r="CZ427" s="592" t="s">
        <v>425</v>
      </c>
      <c r="DA427" s="592" t="s">
        <v>426</v>
      </c>
      <c r="DB427" s="592" t="s">
        <v>427</v>
      </c>
      <c r="DC427" s="592" t="s">
        <v>428</v>
      </c>
      <c r="DD427" s="592" t="s">
        <v>429</v>
      </c>
      <c r="DE427" s="592" t="s">
        <v>430</v>
      </c>
      <c r="DF427" s="592" t="s">
        <v>431</v>
      </c>
      <c r="DG427" s="592" t="s">
        <v>432</v>
      </c>
      <c r="DH427" s="592" t="s">
        <v>433</v>
      </c>
      <c r="DI427" s="592" t="s">
        <v>434</v>
      </c>
      <c r="DJ427" s="592" t="s">
        <v>435</v>
      </c>
      <c r="DK427" s="592" t="s">
        <v>436</v>
      </c>
      <c r="DL427" s="592" t="s">
        <v>437</v>
      </c>
      <c r="DM427" s="592" t="s">
        <v>438</v>
      </c>
      <c r="DN427" s="592" t="s">
        <v>439</v>
      </c>
      <c r="DO427" s="592" t="s">
        <v>440</v>
      </c>
      <c r="DP427" s="592" t="s">
        <v>441</v>
      </c>
      <c r="DQ427" s="592" t="s">
        <v>442</v>
      </c>
      <c r="DR427" s="592" t="s">
        <v>443</v>
      </c>
      <c r="DS427" s="592" t="s">
        <v>444</v>
      </c>
      <c r="DT427" s="592" t="s">
        <v>445</v>
      </c>
      <c r="DU427" s="592" t="s">
        <v>446</v>
      </c>
      <c r="DV427" s="592" t="s">
        <v>447</v>
      </c>
      <c r="DW427" s="592" t="s">
        <v>448</v>
      </c>
      <c r="DX427" s="592" t="s">
        <v>449</v>
      </c>
      <c r="DY427" s="592" t="s">
        <v>450</v>
      </c>
      <c r="DZ427" s="592" t="s">
        <v>451</v>
      </c>
      <c r="EA427" s="592" t="s">
        <v>452</v>
      </c>
      <c r="EB427" s="592" t="s">
        <v>453</v>
      </c>
      <c r="EC427" s="592" t="s">
        <v>454</v>
      </c>
      <c r="ED427" s="592" t="s">
        <v>455</v>
      </c>
      <c r="EE427" s="592" t="s">
        <v>456</v>
      </c>
      <c r="EF427" s="592" t="s">
        <v>457</v>
      </c>
      <c r="EG427" s="592" t="s">
        <v>458</v>
      </c>
      <c r="EH427" s="592" t="s">
        <v>459</v>
      </c>
      <c r="EI427" s="592" t="s">
        <v>460</v>
      </c>
      <c r="EJ427" s="65"/>
      <c r="EK427" s="157" t="s">
        <v>376</v>
      </c>
      <c r="EL427" s="157" t="s">
        <v>461</v>
      </c>
      <c r="EM427" s="157" t="s">
        <v>383</v>
      </c>
    </row>
    <row r="428" spans="1:143" ht="12" hidden="1" customHeight="1" outlineLevel="1" collapsed="1">
      <c r="B428" s="593"/>
      <c r="C428" s="65"/>
      <c r="D428" s="65"/>
      <c r="E428" s="65"/>
      <c r="F428" s="158" t="s">
        <v>198</v>
      </c>
      <c r="G428" s="158" t="s">
        <v>462</v>
      </c>
      <c r="H428" s="158" t="s">
        <v>255</v>
      </c>
      <c r="I428" s="158" t="s">
        <v>68</v>
      </c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  <c r="AT428" s="65"/>
      <c r="AU428" s="65"/>
      <c r="AV428" s="65"/>
      <c r="AW428" s="65"/>
      <c r="AX428" s="65"/>
      <c r="AY428" s="65"/>
      <c r="AZ428" s="65"/>
      <c r="BA428" s="65"/>
      <c r="BB428" s="65"/>
      <c r="BC428" s="65"/>
      <c r="BD428" s="65"/>
      <c r="BE428" s="65"/>
      <c r="BF428" s="65"/>
      <c r="BG428" s="65"/>
      <c r="BH428" s="65"/>
      <c r="BI428" s="65"/>
      <c r="BJ428" s="65"/>
      <c r="BK428" s="65"/>
      <c r="BL428" s="65"/>
      <c r="BM428" s="65"/>
      <c r="BN428" s="65"/>
      <c r="BO428" s="65"/>
      <c r="BP428" s="65"/>
      <c r="BQ428" s="65"/>
      <c r="BR428" s="65"/>
      <c r="BS428" s="65"/>
      <c r="BT428" s="602"/>
      <c r="BU428" s="602"/>
      <c r="BV428" s="65"/>
      <c r="BW428" s="69"/>
      <c r="BX428" s="65"/>
      <c r="BY428" s="593"/>
      <c r="BZ428" s="593"/>
      <c r="CA428" s="593"/>
      <c r="CB428" s="592"/>
      <c r="CC428" s="592"/>
      <c r="CD428" s="592"/>
      <c r="CE428" s="592"/>
      <c r="CF428" s="592"/>
      <c r="CG428" s="592"/>
      <c r="CH428" s="592"/>
      <c r="CI428" s="592"/>
      <c r="CJ428" s="592"/>
      <c r="CK428" s="592"/>
      <c r="CL428" s="592"/>
      <c r="CM428" s="592"/>
      <c r="CN428" s="592"/>
      <c r="CO428" s="592"/>
      <c r="CP428" s="592"/>
      <c r="CQ428" s="592"/>
      <c r="CR428" s="592"/>
      <c r="CS428" s="592"/>
      <c r="CT428" s="592"/>
      <c r="CU428" s="592"/>
      <c r="CV428" s="592"/>
      <c r="CW428" s="592"/>
      <c r="CX428" s="592"/>
      <c r="CY428" s="592"/>
      <c r="CZ428" s="592"/>
      <c r="DA428" s="592"/>
      <c r="DB428" s="592"/>
      <c r="DC428" s="592"/>
      <c r="DD428" s="592"/>
      <c r="DE428" s="592"/>
      <c r="DF428" s="592"/>
      <c r="DG428" s="592"/>
      <c r="DH428" s="592"/>
      <c r="DI428" s="592"/>
      <c r="DJ428" s="592"/>
      <c r="DK428" s="592"/>
      <c r="DL428" s="592"/>
      <c r="DM428" s="592"/>
      <c r="DN428" s="592"/>
      <c r="DO428" s="592"/>
      <c r="DP428" s="592"/>
      <c r="DQ428" s="592"/>
      <c r="DR428" s="592"/>
      <c r="DS428" s="592"/>
      <c r="DT428" s="592"/>
      <c r="DU428" s="592"/>
      <c r="DV428" s="592"/>
      <c r="DW428" s="592"/>
      <c r="DX428" s="592"/>
      <c r="DY428" s="592"/>
      <c r="DZ428" s="592"/>
      <c r="EA428" s="592"/>
      <c r="EB428" s="592"/>
      <c r="EC428" s="592"/>
      <c r="ED428" s="592"/>
      <c r="EE428" s="592"/>
      <c r="EF428" s="592"/>
      <c r="EG428" s="592"/>
      <c r="EH428" s="592"/>
      <c r="EI428" s="592"/>
      <c r="EJ428" s="65"/>
      <c r="EK428" s="159">
        <f>IFERROR(ROUNDUP(SUMPRODUCT($K449:$BR449,$K$115:$BR$115)/SUM($K449:$BR449),2),0)</f>
        <v>0</v>
      </c>
      <c r="EL428" s="159">
        <f>IFERROR(ROUNDUP(SUMPRODUCT($K449:$BR449,$K$139:$BR$139)/SUM($K449:$BR449),2),0)</f>
        <v>0</v>
      </c>
      <c r="EM428" s="159">
        <f>IFERROR(ROUNDUP(SUMPRODUCT($K449:$BR449,$K$163:$BR$163)/SUM($K449:$BR449),2),0)</f>
        <v>0</v>
      </c>
    </row>
    <row r="429" spans="1:143" ht="12" hidden="1" customHeight="1" outlineLevel="2">
      <c r="A429" s="77">
        <v>1</v>
      </c>
      <c r="B429" s="137" t="str">
        <f>IF(G429&gt;0,G429&amp;" - "&amp;$F$213,"")</f>
        <v>GER. (OBRA/PROJ) - Equipe_01</v>
      </c>
      <c r="C429" s="65"/>
      <c r="D429" s="620" t="s">
        <v>463</v>
      </c>
      <c r="E429" s="65"/>
      <c r="F429" s="584" t="str">
        <f>IFERROR(VLOOKUP(F427,Tarefas!$F$3:$G$22,2,0),"")</f>
        <v>Equipe_10</v>
      </c>
      <c r="G429" s="77" t="str">
        <f>IF(INDEX(Tarefas!$BT$30:$FK$30,MATCH(A429,Tarefas!$BT$28:$FK$28,0))=0,"",INDEX(Tarefas!$BT$30:$FK$30,MATCH(A429,Tarefas!$BT$28:$FK$28,0)))</f>
        <v>GER. (OBRA/PROJ)</v>
      </c>
      <c r="H429" s="107" cm="1">
        <f t="array" ref="H429">IFERROR((SUMPRODUCT((Tarefas!$N$32:$N$54='Cronog. e Histog.'!$F$429)*(Tarefas!$BQ$30:$FK$30='Cronog. e Histog.'!$G429)*(Tarefas!$BQ$32:$FK$54)))/SUMIF(Tarefas!$N$32:$N$54,'Cronog. e Histog.'!$F$429,Tarefas!$K$32:$K$54),0)</f>
        <v>7.2727272727272724E-2</v>
      </c>
      <c r="I429" s="79">
        <f>IFERROR(H429/$H$449,0)</f>
        <v>7.2727272727272724E-2</v>
      </c>
      <c r="J429" s="65"/>
      <c r="K429" s="160">
        <f>ROUND($I429*K$192,2)</f>
        <v>0.01</v>
      </c>
      <c r="L429" s="160">
        <f t="shared" ref="L429:BR443" si="1434">ROUND($I429*L$192,2)</f>
        <v>0.01</v>
      </c>
      <c r="M429" s="160">
        <f t="shared" si="1434"/>
        <v>0.01</v>
      </c>
      <c r="N429" s="160">
        <f t="shared" si="1434"/>
        <v>0.01</v>
      </c>
      <c r="O429" s="160">
        <f t="shared" si="1434"/>
        <v>0.01</v>
      </c>
      <c r="P429" s="160">
        <f t="shared" si="1434"/>
        <v>0.01</v>
      </c>
      <c r="Q429" s="160">
        <f t="shared" si="1434"/>
        <v>0.01</v>
      </c>
      <c r="R429" s="160">
        <f t="shared" si="1434"/>
        <v>0.01</v>
      </c>
      <c r="S429" s="160">
        <f t="shared" si="1434"/>
        <v>0.01</v>
      </c>
      <c r="T429" s="160">
        <f t="shared" si="1434"/>
        <v>0.01</v>
      </c>
      <c r="U429" s="160">
        <f t="shared" si="1434"/>
        <v>0</v>
      </c>
      <c r="V429" s="160">
        <f t="shared" si="1434"/>
        <v>0</v>
      </c>
      <c r="W429" s="160">
        <f t="shared" si="1434"/>
        <v>0</v>
      </c>
      <c r="X429" s="160">
        <f t="shared" si="1434"/>
        <v>0</v>
      </c>
      <c r="Y429" s="160">
        <f t="shared" si="1434"/>
        <v>0</v>
      </c>
      <c r="Z429" s="160">
        <f t="shared" si="1434"/>
        <v>0</v>
      </c>
      <c r="AA429" s="160">
        <f t="shared" si="1434"/>
        <v>0</v>
      </c>
      <c r="AB429" s="160">
        <f t="shared" si="1434"/>
        <v>0</v>
      </c>
      <c r="AC429" s="160">
        <f t="shared" si="1434"/>
        <v>0</v>
      </c>
      <c r="AD429" s="160">
        <f t="shared" si="1434"/>
        <v>0</v>
      </c>
      <c r="AE429" s="160">
        <f t="shared" si="1434"/>
        <v>0</v>
      </c>
      <c r="AF429" s="160">
        <f t="shared" si="1434"/>
        <v>0</v>
      </c>
      <c r="AG429" s="160">
        <f t="shared" si="1434"/>
        <v>0</v>
      </c>
      <c r="AH429" s="160">
        <f t="shared" si="1434"/>
        <v>0</v>
      </c>
      <c r="AI429" s="160">
        <f t="shared" si="1434"/>
        <v>0</v>
      </c>
      <c r="AJ429" s="160">
        <f t="shared" si="1434"/>
        <v>0</v>
      </c>
      <c r="AK429" s="160">
        <f t="shared" si="1434"/>
        <v>0</v>
      </c>
      <c r="AL429" s="160">
        <f t="shared" si="1434"/>
        <v>0</v>
      </c>
      <c r="AM429" s="160">
        <f t="shared" si="1434"/>
        <v>0</v>
      </c>
      <c r="AN429" s="160">
        <f t="shared" si="1434"/>
        <v>0</v>
      </c>
      <c r="AO429" s="160">
        <f t="shared" si="1434"/>
        <v>0</v>
      </c>
      <c r="AP429" s="160">
        <f t="shared" si="1434"/>
        <v>0</v>
      </c>
      <c r="AQ429" s="160">
        <f t="shared" si="1434"/>
        <v>0</v>
      </c>
      <c r="AR429" s="160">
        <f t="shared" si="1434"/>
        <v>0</v>
      </c>
      <c r="AS429" s="160">
        <f t="shared" si="1434"/>
        <v>0</v>
      </c>
      <c r="AT429" s="160">
        <f t="shared" si="1434"/>
        <v>0</v>
      </c>
      <c r="AU429" s="160">
        <f t="shared" si="1434"/>
        <v>0</v>
      </c>
      <c r="AV429" s="160">
        <f t="shared" si="1434"/>
        <v>0</v>
      </c>
      <c r="AW429" s="160">
        <f t="shared" si="1434"/>
        <v>0</v>
      </c>
      <c r="AX429" s="160">
        <f t="shared" si="1434"/>
        <v>0</v>
      </c>
      <c r="AY429" s="160">
        <f t="shared" si="1434"/>
        <v>0</v>
      </c>
      <c r="AZ429" s="160">
        <f t="shared" si="1434"/>
        <v>0</v>
      </c>
      <c r="BA429" s="160">
        <f t="shared" si="1434"/>
        <v>0</v>
      </c>
      <c r="BB429" s="160">
        <f t="shared" si="1434"/>
        <v>0</v>
      </c>
      <c r="BC429" s="160">
        <f t="shared" si="1434"/>
        <v>0</v>
      </c>
      <c r="BD429" s="160">
        <f t="shared" si="1434"/>
        <v>0</v>
      </c>
      <c r="BE429" s="160">
        <f t="shared" si="1434"/>
        <v>0</v>
      </c>
      <c r="BF429" s="160">
        <f t="shared" si="1434"/>
        <v>0</v>
      </c>
      <c r="BG429" s="160">
        <f t="shared" si="1434"/>
        <v>0</v>
      </c>
      <c r="BH429" s="160">
        <f t="shared" si="1434"/>
        <v>0</v>
      </c>
      <c r="BI429" s="160">
        <f t="shared" si="1434"/>
        <v>0</v>
      </c>
      <c r="BJ429" s="160">
        <f t="shared" si="1434"/>
        <v>0</v>
      </c>
      <c r="BK429" s="160">
        <f t="shared" si="1434"/>
        <v>0</v>
      </c>
      <c r="BL429" s="160">
        <f t="shared" si="1434"/>
        <v>0</v>
      </c>
      <c r="BM429" s="160">
        <f t="shared" si="1434"/>
        <v>0</v>
      </c>
      <c r="BN429" s="160">
        <f t="shared" si="1434"/>
        <v>0</v>
      </c>
      <c r="BO429" s="160">
        <f t="shared" si="1434"/>
        <v>0</v>
      </c>
      <c r="BP429" s="160">
        <f t="shared" si="1434"/>
        <v>0</v>
      </c>
      <c r="BQ429" s="160">
        <f t="shared" si="1434"/>
        <v>0</v>
      </c>
      <c r="BR429" s="160">
        <f t="shared" si="1434"/>
        <v>0</v>
      </c>
      <c r="BS429" s="65"/>
      <c r="BT429" s="160">
        <f t="shared" ref="BT429:BT448" si="1435">IFERROR(SUM(K429:BR429)/COUNTIF(K429:BR429,"&gt;0"),0)</f>
        <v>9.9999999999999985E-3</v>
      </c>
      <c r="BU429" s="160">
        <f t="shared" ref="BU429:BU448" si="1436">COUNTIF(K429:BR429,"&gt;0")</f>
        <v>10</v>
      </c>
      <c r="BV429" s="65"/>
      <c r="BW429" s="69"/>
      <c r="BX429" s="65"/>
      <c r="BY429" s="137">
        <f t="shared" ref="BY429:BY448" si="1437">IF(G429&gt;0,1,0)</f>
        <v>1</v>
      </c>
      <c r="BZ429" s="137">
        <f>IF(BY429&gt;0,BY429+LARGE($BZ$213:BZ428,1),0)</f>
        <v>181</v>
      </c>
      <c r="CA429" s="137" t="str">
        <f t="shared" ref="CA429:CA448" si="1438">G429</f>
        <v>GER. (OBRA/PROJ)</v>
      </c>
      <c r="CB429" s="161">
        <f t="shared" ref="CB429:CB448" si="1439">K429</f>
        <v>0.01</v>
      </c>
      <c r="CC429" s="161">
        <f t="shared" ref="CC429:CC448" si="1440">L429</f>
        <v>0.01</v>
      </c>
      <c r="CD429" s="161">
        <f t="shared" ref="CD429:CD448" si="1441">M429</f>
        <v>0.01</v>
      </c>
      <c r="CE429" s="161">
        <f t="shared" ref="CE429:CE448" si="1442">N429</f>
        <v>0.01</v>
      </c>
      <c r="CF429" s="161">
        <f t="shared" ref="CF429:CF448" si="1443">O429</f>
        <v>0.01</v>
      </c>
      <c r="CG429" s="161">
        <f t="shared" ref="CG429:CG448" si="1444">P429</f>
        <v>0.01</v>
      </c>
      <c r="CH429" s="161">
        <f t="shared" ref="CH429:CH448" si="1445">Q429</f>
        <v>0.01</v>
      </c>
      <c r="CI429" s="161">
        <f t="shared" ref="CI429:CI448" si="1446">R429</f>
        <v>0.01</v>
      </c>
      <c r="CJ429" s="161">
        <f t="shared" ref="CJ429:CJ448" si="1447">S429</f>
        <v>0.01</v>
      </c>
      <c r="CK429" s="161">
        <f t="shared" ref="CK429:CK448" si="1448">T429</f>
        <v>0.01</v>
      </c>
      <c r="CL429" s="161">
        <f t="shared" ref="CL429:CL448" si="1449">U429</f>
        <v>0</v>
      </c>
      <c r="CM429" s="161">
        <f t="shared" ref="CM429:CM448" si="1450">V429</f>
        <v>0</v>
      </c>
      <c r="CN429" s="161">
        <f t="shared" ref="CN429:CN448" si="1451">W429</f>
        <v>0</v>
      </c>
      <c r="CO429" s="161">
        <f t="shared" ref="CO429:CO448" si="1452">X429</f>
        <v>0</v>
      </c>
      <c r="CP429" s="161">
        <f t="shared" ref="CP429:CP448" si="1453">Y429</f>
        <v>0</v>
      </c>
      <c r="CQ429" s="161">
        <f t="shared" ref="CQ429:CQ448" si="1454">Z429</f>
        <v>0</v>
      </c>
      <c r="CR429" s="161">
        <f t="shared" ref="CR429:CR448" si="1455">AA429</f>
        <v>0</v>
      </c>
      <c r="CS429" s="161">
        <f t="shared" ref="CS429:CS448" si="1456">AB429</f>
        <v>0</v>
      </c>
      <c r="CT429" s="161">
        <f t="shared" ref="CT429:CT448" si="1457">AC429</f>
        <v>0</v>
      </c>
      <c r="CU429" s="161">
        <f t="shared" ref="CU429:CU448" si="1458">AD429</f>
        <v>0</v>
      </c>
      <c r="CV429" s="161">
        <f t="shared" ref="CV429:CV448" si="1459">AE429</f>
        <v>0</v>
      </c>
      <c r="CW429" s="161">
        <f t="shared" ref="CW429:CW448" si="1460">AF429</f>
        <v>0</v>
      </c>
      <c r="CX429" s="161">
        <f t="shared" ref="CX429:CX448" si="1461">AG429</f>
        <v>0</v>
      </c>
      <c r="CY429" s="161">
        <f t="shared" ref="CY429:CY448" si="1462">AH429</f>
        <v>0</v>
      </c>
      <c r="CZ429" s="161">
        <f t="shared" ref="CZ429:CZ448" si="1463">AI429</f>
        <v>0</v>
      </c>
      <c r="DA429" s="161">
        <f t="shared" ref="DA429:DA448" si="1464">AJ429</f>
        <v>0</v>
      </c>
      <c r="DB429" s="161">
        <f t="shared" ref="DB429:DB448" si="1465">AK429</f>
        <v>0</v>
      </c>
      <c r="DC429" s="161">
        <f t="shared" ref="DC429:DC448" si="1466">AL429</f>
        <v>0</v>
      </c>
      <c r="DD429" s="161">
        <f t="shared" ref="DD429:DD448" si="1467">AM429</f>
        <v>0</v>
      </c>
      <c r="DE429" s="161">
        <f t="shared" ref="DE429:DE448" si="1468">AN429</f>
        <v>0</v>
      </c>
      <c r="DF429" s="161">
        <f t="shared" ref="DF429:DF448" si="1469">AO429</f>
        <v>0</v>
      </c>
      <c r="DG429" s="161">
        <f t="shared" ref="DG429:DG448" si="1470">AP429</f>
        <v>0</v>
      </c>
      <c r="DH429" s="161">
        <f t="shared" ref="DH429:DH448" si="1471">AQ429</f>
        <v>0</v>
      </c>
      <c r="DI429" s="161">
        <f t="shared" ref="DI429:DI448" si="1472">AR429</f>
        <v>0</v>
      </c>
      <c r="DJ429" s="161">
        <f t="shared" ref="DJ429:DJ448" si="1473">AS429</f>
        <v>0</v>
      </c>
      <c r="DK429" s="161">
        <f t="shared" ref="DK429:DK448" si="1474">AT429</f>
        <v>0</v>
      </c>
      <c r="DL429" s="161">
        <f t="shared" ref="DL429:DL448" si="1475">AU429</f>
        <v>0</v>
      </c>
      <c r="DM429" s="161">
        <f t="shared" ref="DM429:DM448" si="1476">AV429</f>
        <v>0</v>
      </c>
      <c r="DN429" s="161">
        <f t="shared" ref="DN429:DN448" si="1477">AW429</f>
        <v>0</v>
      </c>
      <c r="DO429" s="161">
        <f t="shared" ref="DO429:DO448" si="1478">AX429</f>
        <v>0</v>
      </c>
      <c r="DP429" s="161">
        <f t="shared" ref="DP429:DP448" si="1479">AY429</f>
        <v>0</v>
      </c>
      <c r="DQ429" s="161">
        <f t="shared" ref="DQ429:DQ448" si="1480">AZ429</f>
        <v>0</v>
      </c>
      <c r="DR429" s="161">
        <f t="shared" ref="DR429:DR448" si="1481">BA429</f>
        <v>0</v>
      </c>
      <c r="DS429" s="161">
        <f t="shared" ref="DS429:DS448" si="1482">BB429</f>
        <v>0</v>
      </c>
      <c r="DT429" s="161">
        <f t="shared" ref="DT429:DT448" si="1483">BC429</f>
        <v>0</v>
      </c>
      <c r="DU429" s="161">
        <f t="shared" ref="DU429:DU448" si="1484">BD429</f>
        <v>0</v>
      </c>
      <c r="DV429" s="161">
        <f t="shared" ref="DV429:DV448" si="1485">BE429</f>
        <v>0</v>
      </c>
      <c r="DW429" s="161">
        <f t="shared" ref="DW429:DW448" si="1486">BF429</f>
        <v>0</v>
      </c>
      <c r="DX429" s="161">
        <f t="shared" ref="DX429:DX448" si="1487">BG429</f>
        <v>0</v>
      </c>
      <c r="DY429" s="161">
        <f t="shared" ref="DY429:DY448" si="1488">BH429</f>
        <v>0</v>
      </c>
      <c r="DZ429" s="161">
        <f t="shared" ref="DZ429:DZ448" si="1489">BI429</f>
        <v>0</v>
      </c>
      <c r="EA429" s="161">
        <f t="shared" ref="EA429:EA448" si="1490">BJ429</f>
        <v>0</v>
      </c>
      <c r="EB429" s="161">
        <f t="shared" ref="EB429:EB448" si="1491">BK429</f>
        <v>0</v>
      </c>
      <c r="EC429" s="161">
        <f t="shared" ref="EC429:EC448" si="1492">BL429</f>
        <v>0</v>
      </c>
      <c r="ED429" s="161">
        <f t="shared" ref="ED429:ED448" si="1493">BM429</f>
        <v>0</v>
      </c>
      <c r="EE429" s="161">
        <f t="shared" ref="EE429:EE448" si="1494">BN429</f>
        <v>0</v>
      </c>
      <c r="EF429" s="161">
        <f t="shared" ref="EF429:EF448" si="1495">BO429</f>
        <v>0</v>
      </c>
      <c r="EG429" s="161">
        <f t="shared" ref="EG429:EG448" si="1496">BP429</f>
        <v>0</v>
      </c>
      <c r="EH429" s="161">
        <f t="shared" ref="EH429:EH448" si="1497">BQ429</f>
        <v>0</v>
      </c>
      <c r="EI429" s="161">
        <f t="shared" ref="EI429:EI448" si="1498">BR429</f>
        <v>0</v>
      </c>
      <c r="EJ429" s="65"/>
      <c r="EK429" s="161">
        <f>$EK$428</f>
        <v>0</v>
      </c>
      <c r="EL429" s="161">
        <f>$EL$428</f>
        <v>0</v>
      </c>
      <c r="EM429" s="161">
        <f>$EM$428</f>
        <v>0</v>
      </c>
    </row>
    <row r="430" spans="1:143" ht="12" hidden="1" customHeight="1" outlineLevel="2">
      <c r="A430" s="77">
        <v>2</v>
      </c>
      <c r="B430" s="137" t="str">
        <f t="shared" ref="B430:B448" si="1499">IF(G430&gt;0,G430&amp;" - "&amp;$F$213,"")</f>
        <v>COORD. - Equipe_01</v>
      </c>
      <c r="C430" s="65"/>
      <c r="D430" s="621"/>
      <c r="E430" s="65"/>
      <c r="F430" s="584"/>
      <c r="G430" s="77" t="str">
        <f>IF(INDEX(Tarefas!$BT$30:$FK$30,MATCH(A430,Tarefas!$BT$28:$FK$28,0))=0,"",INDEX(Tarefas!$BT$30:$FK$30,MATCH(A430,Tarefas!$BT$28:$FK$28,0)))</f>
        <v>COORD.</v>
      </c>
      <c r="H430" s="107" cm="1">
        <f t="array" ref="H430">IFERROR((SUMPRODUCT((Tarefas!$N$32:$N$54='Cronog. e Histog.'!$F$429)*(Tarefas!$BQ$30:$FK$30='Cronog. e Histog.'!$G430)*(Tarefas!$BQ$32:$FK$54)))/SUMIF(Tarefas!$N$32:$N$54,'Cronog. e Histog.'!$F$429,Tarefas!$K$32:$K$54),0)</f>
        <v>0</v>
      </c>
      <c r="I430" s="79">
        <f t="shared" ref="I430:I448" si="1500">IFERROR(H430/$H$449,0)</f>
        <v>0</v>
      </c>
      <c r="J430" s="65"/>
      <c r="K430" s="160">
        <f t="shared" ref="K430:Z439" si="1501">ROUND($I430*K$192,2)</f>
        <v>0</v>
      </c>
      <c r="L430" s="160">
        <f t="shared" si="1501"/>
        <v>0</v>
      </c>
      <c r="M430" s="160">
        <f t="shared" si="1501"/>
        <v>0</v>
      </c>
      <c r="N430" s="160">
        <f t="shared" si="1501"/>
        <v>0</v>
      </c>
      <c r="O430" s="160">
        <f t="shared" si="1501"/>
        <v>0</v>
      </c>
      <c r="P430" s="160">
        <f t="shared" si="1501"/>
        <v>0</v>
      </c>
      <c r="Q430" s="160">
        <f t="shared" si="1501"/>
        <v>0</v>
      </c>
      <c r="R430" s="160">
        <f t="shared" si="1501"/>
        <v>0</v>
      </c>
      <c r="S430" s="160">
        <f t="shared" si="1501"/>
        <v>0</v>
      </c>
      <c r="T430" s="160">
        <f t="shared" si="1501"/>
        <v>0</v>
      </c>
      <c r="U430" s="160">
        <f t="shared" si="1501"/>
        <v>0</v>
      </c>
      <c r="V430" s="160">
        <f t="shared" si="1501"/>
        <v>0</v>
      </c>
      <c r="W430" s="160">
        <f t="shared" si="1501"/>
        <v>0</v>
      </c>
      <c r="X430" s="160">
        <f t="shared" si="1501"/>
        <v>0</v>
      </c>
      <c r="Y430" s="160">
        <f t="shared" si="1501"/>
        <v>0</v>
      </c>
      <c r="Z430" s="160">
        <f t="shared" si="1501"/>
        <v>0</v>
      </c>
      <c r="AA430" s="160">
        <f t="shared" ref="AA430:AP439" si="1502">ROUND($I430*AA$192,2)</f>
        <v>0</v>
      </c>
      <c r="AB430" s="160">
        <f t="shared" si="1502"/>
        <v>0</v>
      </c>
      <c r="AC430" s="160">
        <f t="shared" si="1502"/>
        <v>0</v>
      </c>
      <c r="AD430" s="160">
        <f t="shared" si="1502"/>
        <v>0</v>
      </c>
      <c r="AE430" s="160">
        <f t="shared" si="1502"/>
        <v>0</v>
      </c>
      <c r="AF430" s="160">
        <f t="shared" si="1502"/>
        <v>0</v>
      </c>
      <c r="AG430" s="160">
        <f t="shared" si="1502"/>
        <v>0</v>
      </c>
      <c r="AH430" s="160">
        <f t="shared" si="1502"/>
        <v>0</v>
      </c>
      <c r="AI430" s="160">
        <f t="shared" si="1502"/>
        <v>0</v>
      </c>
      <c r="AJ430" s="160">
        <f t="shared" si="1502"/>
        <v>0</v>
      </c>
      <c r="AK430" s="160">
        <f t="shared" si="1502"/>
        <v>0</v>
      </c>
      <c r="AL430" s="160">
        <f t="shared" si="1502"/>
        <v>0</v>
      </c>
      <c r="AM430" s="160">
        <f t="shared" si="1502"/>
        <v>0</v>
      </c>
      <c r="AN430" s="160">
        <f t="shared" si="1502"/>
        <v>0</v>
      </c>
      <c r="AO430" s="160">
        <f t="shared" si="1502"/>
        <v>0</v>
      </c>
      <c r="AP430" s="160">
        <f t="shared" si="1502"/>
        <v>0</v>
      </c>
      <c r="AQ430" s="160">
        <f t="shared" ref="AQ430:BF439" si="1503">ROUND($I430*AQ$192,2)</f>
        <v>0</v>
      </c>
      <c r="AR430" s="160">
        <f t="shared" si="1503"/>
        <v>0</v>
      </c>
      <c r="AS430" s="160">
        <f t="shared" si="1503"/>
        <v>0</v>
      </c>
      <c r="AT430" s="160">
        <f t="shared" si="1503"/>
        <v>0</v>
      </c>
      <c r="AU430" s="160">
        <f t="shared" si="1503"/>
        <v>0</v>
      </c>
      <c r="AV430" s="160">
        <f t="shared" si="1503"/>
        <v>0</v>
      </c>
      <c r="AW430" s="160">
        <f t="shared" si="1503"/>
        <v>0</v>
      </c>
      <c r="AX430" s="160">
        <f t="shared" si="1503"/>
        <v>0</v>
      </c>
      <c r="AY430" s="160">
        <f t="shared" si="1503"/>
        <v>0</v>
      </c>
      <c r="AZ430" s="160">
        <f t="shared" si="1503"/>
        <v>0</v>
      </c>
      <c r="BA430" s="160">
        <f t="shared" si="1503"/>
        <v>0</v>
      </c>
      <c r="BB430" s="160">
        <f t="shared" si="1503"/>
        <v>0</v>
      </c>
      <c r="BC430" s="160">
        <f t="shared" si="1503"/>
        <v>0</v>
      </c>
      <c r="BD430" s="160">
        <f t="shared" si="1503"/>
        <v>0</v>
      </c>
      <c r="BE430" s="160">
        <f t="shared" si="1503"/>
        <v>0</v>
      </c>
      <c r="BF430" s="160">
        <f t="shared" si="1503"/>
        <v>0</v>
      </c>
      <c r="BG430" s="160">
        <f t="shared" ref="BG430:BR439" si="1504">ROUND($I430*BG$192,2)</f>
        <v>0</v>
      </c>
      <c r="BH430" s="160">
        <f t="shared" si="1504"/>
        <v>0</v>
      </c>
      <c r="BI430" s="160">
        <f t="shared" si="1504"/>
        <v>0</v>
      </c>
      <c r="BJ430" s="160">
        <f t="shared" si="1504"/>
        <v>0</v>
      </c>
      <c r="BK430" s="160">
        <f t="shared" si="1504"/>
        <v>0</v>
      </c>
      <c r="BL430" s="160">
        <f t="shared" si="1504"/>
        <v>0</v>
      </c>
      <c r="BM430" s="160">
        <f t="shared" si="1504"/>
        <v>0</v>
      </c>
      <c r="BN430" s="160">
        <f t="shared" si="1504"/>
        <v>0</v>
      </c>
      <c r="BO430" s="160">
        <f t="shared" si="1504"/>
        <v>0</v>
      </c>
      <c r="BP430" s="160">
        <f t="shared" si="1504"/>
        <v>0</v>
      </c>
      <c r="BQ430" s="160">
        <f t="shared" si="1504"/>
        <v>0</v>
      </c>
      <c r="BR430" s="160">
        <f t="shared" si="1504"/>
        <v>0</v>
      </c>
      <c r="BS430" s="65"/>
      <c r="BT430" s="160">
        <f t="shared" ref="BT430:BT439" si="1505">IFERROR(SUM(K430:BR430)/COUNTIF(K430:BR430,"&gt;0"),0)</f>
        <v>0</v>
      </c>
      <c r="BU430" s="160">
        <f t="shared" ref="BU430:BU439" si="1506">COUNTIF(K430:BR430,"&gt;0")</f>
        <v>0</v>
      </c>
      <c r="BV430" s="65"/>
      <c r="BW430" s="69"/>
      <c r="BX430" s="65"/>
      <c r="BY430" s="137">
        <f t="shared" ref="BY430:BY439" si="1507">IF(G430&gt;0,1,0)</f>
        <v>1</v>
      </c>
      <c r="BZ430" s="137">
        <f>IF(BY430&gt;0,BY430+LARGE($BZ$213:BZ429,1),0)</f>
        <v>182</v>
      </c>
      <c r="CA430" s="137" t="str">
        <f t="shared" ref="CA430:CA439" si="1508">G430</f>
        <v>COORD.</v>
      </c>
      <c r="CB430" s="161">
        <f t="shared" ref="CB430:CB439" si="1509">K430</f>
        <v>0</v>
      </c>
      <c r="CC430" s="161">
        <f t="shared" ref="CC430:CC439" si="1510">L430</f>
        <v>0</v>
      </c>
      <c r="CD430" s="161">
        <f t="shared" ref="CD430:CD439" si="1511">M430</f>
        <v>0</v>
      </c>
      <c r="CE430" s="161">
        <f t="shared" ref="CE430:CE439" si="1512">N430</f>
        <v>0</v>
      </c>
      <c r="CF430" s="161">
        <f t="shared" ref="CF430:CF439" si="1513">O430</f>
        <v>0</v>
      </c>
      <c r="CG430" s="161">
        <f t="shared" ref="CG430:CG439" si="1514">P430</f>
        <v>0</v>
      </c>
      <c r="CH430" s="161">
        <f t="shared" ref="CH430:CH439" si="1515">Q430</f>
        <v>0</v>
      </c>
      <c r="CI430" s="161">
        <f t="shared" ref="CI430:CI439" si="1516">R430</f>
        <v>0</v>
      </c>
      <c r="CJ430" s="161">
        <f t="shared" ref="CJ430:CJ439" si="1517">S430</f>
        <v>0</v>
      </c>
      <c r="CK430" s="161">
        <f t="shared" ref="CK430:CK439" si="1518">T430</f>
        <v>0</v>
      </c>
      <c r="CL430" s="161">
        <f t="shared" ref="CL430:CL439" si="1519">U430</f>
        <v>0</v>
      </c>
      <c r="CM430" s="161">
        <f t="shared" ref="CM430:CM439" si="1520">V430</f>
        <v>0</v>
      </c>
      <c r="CN430" s="161">
        <f t="shared" ref="CN430:CN439" si="1521">W430</f>
        <v>0</v>
      </c>
      <c r="CO430" s="161">
        <f t="shared" ref="CO430:CO439" si="1522">X430</f>
        <v>0</v>
      </c>
      <c r="CP430" s="161">
        <f t="shared" ref="CP430:CP439" si="1523">Y430</f>
        <v>0</v>
      </c>
      <c r="CQ430" s="161">
        <f t="shared" ref="CQ430:CQ439" si="1524">Z430</f>
        <v>0</v>
      </c>
      <c r="CR430" s="161">
        <f t="shared" ref="CR430:CR439" si="1525">AA430</f>
        <v>0</v>
      </c>
      <c r="CS430" s="161">
        <f t="shared" ref="CS430:CS439" si="1526">AB430</f>
        <v>0</v>
      </c>
      <c r="CT430" s="161">
        <f t="shared" ref="CT430:CT439" si="1527">AC430</f>
        <v>0</v>
      </c>
      <c r="CU430" s="161">
        <f t="shared" ref="CU430:CU439" si="1528">AD430</f>
        <v>0</v>
      </c>
      <c r="CV430" s="161">
        <f t="shared" ref="CV430:CV439" si="1529">AE430</f>
        <v>0</v>
      </c>
      <c r="CW430" s="161">
        <f t="shared" ref="CW430:CW439" si="1530">AF430</f>
        <v>0</v>
      </c>
      <c r="CX430" s="161">
        <f t="shared" ref="CX430:CX439" si="1531">AG430</f>
        <v>0</v>
      </c>
      <c r="CY430" s="161">
        <f t="shared" ref="CY430:CY439" si="1532">AH430</f>
        <v>0</v>
      </c>
      <c r="CZ430" s="161">
        <f t="shared" ref="CZ430:CZ439" si="1533">AI430</f>
        <v>0</v>
      </c>
      <c r="DA430" s="161">
        <f t="shared" ref="DA430:DA439" si="1534">AJ430</f>
        <v>0</v>
      </c>
      <c r="DB430" s="161">
        <f t="shared" ref="DB430:DB439" si="1535">AK430</f>
        <v>0</v>
      </c>
      <c r="DC430" s="161">
        <f t="shared" ref="DC430:DC439" si="1536">AL430</f>
        <v>0</v>
      </c>
      <c r="DD430" s="161">
        <f t="shared" ref="DD430:DD439" si="1537">AM430</f>
        <v>0</v>
      </c>
      <c r="DE430" s="161">
        <f t="shared" ref="DE430:DE439" si="1538">AN430</f>
        <v>0</v>
      </c>
      <c r="DF430" s="161">
        <f t="shared" ref="DF430:DF439" si="1539">AO430</f>
        <v>0</v>
      </c>
      <c r="DG430" s="161">
        <f t="shared" ref="DG430:DG439" si="1540">AP430</f>
        <v>0</v>
      </c>
      <c r="DH430" s="161">
        <f t="shared" ref="DH430:DH439" si="1541">AQ430</f>
        <v>0</v>
      </c>
      <c r="DI430" s="161">
        <f t="shared" ref="DI430:DI439" si="1542">AR430</f>
        <v>0</v>
      </c>
      <c r="DJ430" s="161">
        <f t="shared" ref="DJ430:DJ439" si="1543">AS430</f>
        <v>0</v>
      </c>
      <c r="DK430" s="161">
        <f t="shared" ref="DK430:DK439" si="1544">AT430</f>
        <v>0</v>
      </c>
      <c r="DL430" s="161">
        <f t="shared" ref="DL430:DL439" si="1545">AU430</f>
        <v>0</v>
      </c>
      <c r="DM430" s="161">
        <f t="shared" ref="DM430:DM439" si="1546">AV430</f>
        <v>0</v>
      </c>
      <c r="DN430" s="161">
        <f t="shared" ref="DN430:DN439" si="1547">AW430</f>
        <v>0</v>
      </c>
      <c r="DO430" s="161">
        <f t="shared" ref="DO430:DO439" si="1548">AX430</f>
        <v>0</v>
      </c>
      <c r="DP430" s="161">
        <f t="shared" ref="DP430:DP439" si="1549">AY430</f>
        <v>0</v>
      </c>
      <c r="DQ430" s="161">
        <f t="shared" ref="DQ430:DQ439" si="1550">AZ430</f>
        <v>0</v>
      </c>
      <c r="DR430" s="161">
        <f t="shared" ref="DR430:DR439" si="1551">BA430</f>
        <v>0</v>
      </c>
      <c r="DS430" s="161">
        <f t="shared" ref="DS430:DS439" si="1552">BB430</f>
        <v>0</v>
      </c>
      <c r="DT430" s="161">
        <f t="shared" ref="DT430:DT439" si="1553">BC430</f>
        <v>0</v>
      </c>
      <c r="DU430" s="161">
        <f t="shared" ref="DU430:DU439" si="1554">BD430</f>
        <v>0</v>
      </c>
      <c r="DV430" s="161">
        <f t="shared" ref="DV430:DV439" si="1555">BE430</f>
        <v>0</v>
      </c>
      <c r="DW430" s="161">
        <f t="shared" ref="DW430:DW439" si="1556">BF430</f>
        <v>0</v>
      </c>
      <c r="DX430" s="161">
        <f t="shared" ref="DX430:DX439" si="1557">BG430</f>
        <v>0</v>
      </c>
      <c r="DY430" s="161">
        <f t="shared" ref="DY430:DY439" si="1558">BH430</f>
        <v>0</v>
      </c>
      <c r="DZ430" s="161">
        <f t="shared" ref="DZ430:DZ439" si="1559">BI430</f>
        <v>0</v>
      </c>
      <c r="EA430" s="161">
        <f t="shared" ref="EA430:EA439" si="1560">BJ430</f>
        <v>0</v>
      </c>
      <c r="EB430" s="161">
        <f t="shared" ref="EB430:EB439" si="1561">BK430</f>
        <v>0</v>
      </c>
      <c r="EC430" s="161">
        <f t="shared" ref="EC430:EC439" si="1562">BL430</f>
        <v>0</v>
      </c>
      <c r="ED430" s="161">
        <f t="shared" ref="ED430:ED439" si="1563">BM430</f>
        <v>0</v>
      </c>
      <c r="EE430" s="161">
        <f t="shared" ref="EE430:EE439" si="1564">BN430</f>
        <v>0</v>
      </c>
      <c r="EF430" s="161">
        <f t="shared" ref="EF430:EF439" si="1565">BO430</f>
        <v>0</v>
      </c>
      <c r="EG430" s="161">
        <f t="shared" ref="EG430:EG439" si="1566">BP430</f>
        <v>0</v>
      </c>
      <c r="EH430" s="161">
        <f t="shared" ref="EH430:EH439" si="1567">BQ430</f>
        <v>0</v>
      </c>
      <c r="EI430" s="161">
        <f t="shared" ref="EI430:EI439" si="1568">BR430</f>
        <v>0</v>
      </c>
      <c r="EJ430" s="65"/>
      <c r="EK430" s="161">
        <f t="shared" ref="EK430:EK448" si="1569">$EK$428</f>
        <v>0</v>
      </c>
      <c r="EL430" s="161">
        <f t="shared" ref="EL430:EL448" si="1570">$EL$428</f>
        <v>0</v>
      </c>
      <c r="EM430" s="161">
        <f t="shared" ref="EM430:EM448" si="1571">$EM$428</f>
        <v>0</v>
      </c>
    </row>
    <row r="431" spans="1:143" ht="12" hidden="1" customHeight="1" outlineLevel="2">
      <c r="A431" s="77">
        <v>3</v>
      </c>
      <c r="B431" s="137" t="str">
        <f t="shared" si="1499"/>
        <v>SUP.-ESP - Equipe_01</v>
      </c>
      <c r="C431" s="65"/>
      <c r="D431" s="621"/>
      <c r="E431" s="65"/>
      <c r="F431" s="584"/>
      <c r="G431" s="77" t="str">
        <f>IF(INDEX(Tarefas!$BT$30:$FK$30,MATCH(A431,Tarefas!$BT$28:$FK$28,0))=0,"",INDEX(Tarefas!$BT$30:$FK$30,MATCH(A431,Tarefas!$BT$28:$FK$28,0)))</f>
        <v>SUP.-ESP</v>
      </c>
      <c r="H431" s="107" cm="1">
        <f t="array" ref="H431">IFERROR((SUMPRODUCT((Tarefas!$N$32:$N$54='Cronog. e Histog.'!$F$429)*(Tarefas!$BQ$30:$FK$30='Cronog. e Histog.'!$G431)*(Tarefas!$BQ$32:$FK$54)))/SUMIF(Tarefas!$N$32:$N$54,'Cronog. e Histog.'!$F$429,Tarefas!$K$32:$K$54),0)</f>
        <v>0</v>
      </c>
      <c r="I431" s="79">
        <f t="shared" si="1500"/>
        <v>0</v>
      </c>
      <c r="J431" s="65"/>
      <c r="K431" s="160">
        <f t="shared" si="1501"/>
        <v>0</v>
      </c>
      <c r="L431" s="160">
        <f t="shared" si="1501"/>
        <v>0</v>
      </c>
      <c r="M431" s="160">
        <f t="shared" si="1501"/>
        <v>0</v>
      </c>
      <c r="N431" s="160">
        <f t="shared" si="1501"/>
        <v>0</v>
      </c>
      <c r="O431" s="160">
        <f t="shared" si="1501"/>
        <v>0</v>
      </c>
      <c r="P431" s="160">
        <f t="shared" si="1501"/>
        <v>0</v>
      </c>
      <c r="Q431" s="160">
        <f t="shared" si="1501"/>
        <v>0</v>
      </c>
      <c r="R431" s="160">
        <f t="shared" si="1501"/>
        <v>0</v>
      </c>
      <c r="S431" s="160">
        <f t="shared" si="1501"/>
        <v>0</v>
      </c>
      <c r="T431" s="160">
        <f t="shared" si="1501"/>
        <v>0</v>
      </c>
      <c r="U431" s="160">
        <f t="shared" si="1501"/>
        <v>0</v>
      </c>
      <c r="V431" s="160">
        <f t="shared" si="1501"/>
        <v>0</v>
      </c>
      <c r="W431" s="160">
        <f t="shared" si="1501"/>
        <v>0</v>
      </c>
      <c r="X431" s="160">
        <f t="shared" si="1501"/>
        <v>0</v>
      </c>
      <c r="Y431" s="160">
        <f t="shared" si="1501"/>
        <v>0</v>
      </c>
      <c r="Z431" s="160">
        <f t="shared" si="1501"/>
        <v>0</v>
      </c>
      <c r="AA431" s="160">
        <f t="shared" si="1502"/>
        <v>0</v>
      </c>
      <c r="AB431" s="160">
        <f t="shared" si="1502"/>
        <v>0</v>
      </c>
      <c r="AC431" s="160">
        <f t="shared" si="1502"/>
        <v>0</v>
      </c>
      <c r="AD431" s="160">
        <f t="shared" si="1502"/>
        <v>0</v>
      </c>
      <c r="AE431" s="160">
        <f t="shared" si="1502"/>
        <v>0</v>
      </c>
      <c r="AF431" s="160">
        <f t="shared" si="1502"/>
        <v>0</v>
      </c>
      <c r="AG431" s="160">
        <f t="shared" si="1502"/>
        <v>0</v>
      </c>
      <c r="AH431" s="160">
        <f t="shared" si="1502"/>
        <v>0</v>
      </c>
      <c r="AI431" s="160">
        <f t="shared" si="1502"/>
        <v>0</v>
      </c>
      <c r="AJ431" s="160">
        <f t="shared" si="1502"/>
        <v>0</v>
      </c>
      <c r="AK431" s="160">
        <f t="shared" si="1502"/>
        <v>0</v>
      </c>
      <c r="AL431" s="160">
        <f t="shared" si="1502"/>
        <v>0</v>
      </c>
      <c r="AM431" s="160">
        <f t="shared" si="1502"/>
        <v>0</v>
      </c>
      <c r="AN431" s="160">
        <f t="shared" si="1502"/>
        <v>0</v>
      </c>
      <c r="AO431" s="160">
        <f t="shared" si="1502"/>
        <v>0</v>
      </c>
      <c r="AP431" s="160">
        <f t="shared" si="1502"/>
        <v>0</v>
      </c>
      <c r="AQ431" s="160">
        <f t="shared" si="1503"/>
        <v>0</v>
      </c>
      <c r="AR431" s="160">
        <f t="shared" si="1503"/>
        <v>0</v>
      </c>
      <c r="AS431" s="160">
        <f t="shared" si="1503"/>
        <v>0</v>
      </c>
      <c r="AT431" s="160">
        <f t="shared" si="1503"/>
        <v>0</v>
      </c>
      <c r="AU431" s="160">
        <f t="shared" si="1503"/>
        <v>0</v>
      </c>
      <c r="AV431" s="160">
        <f t="shared" si="1503"/>
        <v>0</v>
      </c>
      <c r="AW431" s="160">
        <f t="shared" si="1503"/>
        <v>0</v>
      </c>
      <c r="AX431" s="160">
        <f t="shared" si="1503"/>
        <v>0</v>
      </c>
      <c r="AY431" s="160">
        <f t="shared" si="1503"/>
        <v>0</v>
      </c>
      <c r="AZ431" s="160">
        <f t="shared" si="1503"/>
        <v>0</v>
      </c>
      <c r="BA431" s="160">
        <f t="shared" si="1503"/>
        <v>0</v>
      </c>
      <c r="BB431" s="160">
        <f t="shared" si="1503"/>
        <v>0</v>
      </c>
      <c r="BC431" s="160">
        <f t="shared" si="1503"/>
        <v>0</v>
      </c>
      <c r="BD431" s="160">
        <f t="shared" si="1503"/>
        <v>0</v>
      </c>
      <c r="BE431" s="160">
        <f t="shared" si="1503"/>
        <v>0</v>
      </c>
      <c r="BF431" s="160">
        <f t="shared" si="1503"/>
        <v>0</v>
      </c>
      <c r="BG431" s="160">
        <f t="shared" si="1504"/>
        <v>0</v>
      </c>
      <c r="BH431" s="160">
        <f t="shared" si="1504"/>
        <v>0</v>
      </c>
      <c r="BI431" s="160">
        <f t="shared" si="1504"/>
        <v>0</v>
      </c>
      <c r="BJ431" s="160">
        <f t="shared" si="1504"/>
        <v>0</v>
      </c>
      <c r="BK431" s="160">
        <f t="shared" si="1504"/>
        <v>0</v>
      </c>
      <c r="BL431" s="160">
        <f t="shared" si="1504"/>
        <v>0</v>
      </c>
      <c r="BM431" s="160">
        <f t="shared" si="1504"/>
        <v>0</v>
      </c>
      <c r="BN431" s="160">
        <f t="shared" si="1504"/>
        <v>0</v>
      </c>
      <c r="BO431" s="160">
        <f t="shared" si="1504"/>
        <v>0</v>
      </c>
      <c r="BP431" s="160">
        <f t="shared" si="1504"/>
        <v>0</v>
      </c>
      <c r="BQ431" s="160">
        <f t="shared" si="1504"/>
        <v>0</v>
      </c>
      <c r="BR431" s="160">
        <f t="shared" si="1504"/>
        <v>0</v>
      </c>
      <c r="BS431" s="65"/>
      <c r="BT431" s="160">
        <f t="shared" si="1505"/>
        <v>0</v>
      </c>
      <c r="BU431" s="160">
        <f t="shared" si="1506"/>
        <v>0</v>
      </c>
      <c r="BV431" s="65"/>
      <c r="BW431" s="69"/>
      <c r="BX431" s="65"/>
      <c r="BY431" s="137">
        <f t="shared" si="1507"/>
        <v>1</v>
      </c>
      <c r="BZ431" s="137">
        <f>IF(BY431&gt;0,BY431+LARGE($BZ$213:BZ430,1),0)</f>
        <v>183</v>
      </c>
      <c r="CA431" s="137" t="str">
        <f t="shared" si="1508"/>
        <v>SUP.-ESP</v>
      </c>
      <c r="CB431" s="161">
        <f t="shared" si="1509"/>
        <v>0</v>
      </c>
      <c r="CC431" s="161">
        <f t="shared" si="1510"/>
        <v>0</v>
      </c>
      <c r="CD431" s="161">
        <f t="shared" si="1511"/>
        <v>0</v>
      </c>
      <c r="CE431" s="161">
        <f t="shared" si="1512"/>
        <v>0</v>
      </c>
      <c r="CF431" s="161">
        <f t="shared" si="1513"/>
        <v>0</v>
      </c>
      <c r="CG431" s="161">
        <f t="shared" si="1514"/>
        <v>0</v>
      </c>
      <c r="CH431" s="161">
        <f t="shared" si="1515"/>
        <v>0</v>
      </c>
      <c r="CI431" s="161">
        <f t="shared" si="1516"/>
        <v>0</v>
      </c>
      <c r="CJ431" s="161">
        <f t="shared" si="1517"/>
        <v>0</v>
      </c>
      <c r="CK431" s="161">
        <f t="shared" si="1518"/>
        <v>0</v>
      </c>
      <c r="CL431" s="161">
        <f t="shared" si="1519"/>
        <v>0</v>
      </c>
      <c r="CM431" s="161">
        <f t="shared" si="1520"/>
        <v>0</v>
      </c>
      <c r="CN431" s="161">
        <f t="shared" si="1521"/>
        <v>0</v>
      </c>
      <c r="CO431" s="161">
        <f t="shared" si="1522"/>
        <v>0</v>
      </c>
      <c r="CP431" s="161">
        <f t="shared" si="1523"/>
        <v>0</v>
      </c>
      <c r="CQ431" s="161">
        <f t="shared" si="1524"/>
        <v>0</v>
      </c>
      <c r="CR431" s="161">
        <f t="shared" si="1525"/>
        <v>0</v>
      </c>
      <c r="CS431" s="161">
        <f t="shared" si="1526"/>
        <v>0</v>
      </c>
      <c r="CT431" s="161">
        <f t="shared" si="1527"/>
        <v>0</v>
      </c>
      <c r="CU431" s="161">
        <f t="shared" si="1528"/>
        <v>0</v>
      </c>
      <c r="CV431" s="161">
        <f t="shared" si="1529"/>
        <v>0</v>
      </c>
      <c r="CW431" s="161">
        <f t="shared" si="1530"/>
        <v>0</v>
      </c>
      <c r="CX431" s="161">
        <f t="shared" si="1531"/>
        <v>0</v>
      </c>
      <c r="CY431" s="161">
        <f t="shared" si="1532"/>
        <v>0</v>
      </c>
      <c r="CZ431" s="161">
        <f t="shared" si="1533"/>
        <v>0</v>
      </c>
      <c r="DA431" s="161">
        <f t="shared" si="1534"/>
        <v>0</v>
      </c>
      <c r="DB431" s="161">
        <f t="shared" si="1535"/>
        <v>0</v>
      </c>
      <c r="DC431" s="161">
        <f t="shared" si="1536"/>
        <v>0</v>
      </c>
      <c r="DD431" s="161">
        <f t="shared" si="1537"/>
        <v>0</v>
      </c>
      <c r="DE431" s="161">
        <f t="shared" si="1538"/>
        <v>0</v>
      </c>
      <c r="DF431" s="161">
        <f t="shared" si="1539"/>
        <v>0</v>
      </c>
      <c r="DG431" s="161">
        <f t="shared" si="1540"/>
        <v>0</v>
      </c>
      <c r="DH431" s="161">
        <f t="shared" si="1541"/>
        <v>0</v>
      </c>
      <c r="DI431" s="161">
        <f t="shared" si="1542"/>
        <v>0</v>
      </c>
      <c r="DJ431" s="161">
        <f t="shared" si="1543"/>
        <v>0</v>
      </c>
      <c r="DK431" s="161">
        <f t="shared" si="1544"/>
        <v>0</v>
      </c>
      <c r="DL431" s="161">
        <f t="shared" si="1545"/>
        <v>0</v>
      </c>
      <c r="DM431" s="161">
        <f t="shared" si="1546"/>
        <v>0</v>
      </c>
      <c r="DN431" s="161">
        <f t="shared" si="1547"/>
        <v>0</v>
      </c>
      <c r="DO431" s="161">
        <f t="shared" si="1548"/>
        <v>0</v>
      </c>
      <c r="DP431" s="161">
        <f t="shared" si="1549"/>
        <v>0</v>
      </c>
      <c r="DQ431" s="161">
        <f t="shared" si="1550"/>
        <v>0</v>
      </c>
      <c r="DR431" s="161">
        <f t="shared" si="1551"/>
        <v>0</v>
      </c>
      <c r="DS431" s="161">
        <f t="shared" si="1552"/>
        <v>0</v>
      </c>
      <c r="DT431" s="161">
        <f t="shared" si="1553"/>
        <v>0</v>
      </c>
      <c r="DU431" s="161">
        <f t="shared" si="1554"/>
        <v>0</v>
      </c>
      <c r="DV431" s="161">
        <f t="shared" si="1555"/>
        <v>0</v>
      </c>
      <c r="DW431" s="161">
        <f t="shared" si="1556"/>
        <v>0</v>
      </c>
      <c r="DX431" s="161">
        <f t="shared" si="1557"/>
        <v>0</v>
      </c>
      <c r="DY431" s="161">
        <f t="shared" si="1558"/>
        <v>0</v>
      </c>
      <c r="DZ431" s="161">
        <f t="shared" si="1559"/>
        <v>0</v>
      </c>
      <c r="EA431" s="161">
        <f t="shared" si="1560"/>
        <v>0</v>
      </c>
      <c r="EB431" s="161">
        <f t="shared" si="1561"/>
        <v>0</v>
      </c>
      <c r="EC431" s="161">
        <f t="shared" si="1562"/>
        <v>0</v>
      </c>
      <c r="ED431" s="161">
        <f t="shared" si="1563"/>
        <v>0</v>
      </c>
      <c r="EE431" s="161">
        <f t="shared" si="1564"/>
        <v>0</v>
      </c>
      <c r="EF431" s="161">
        <f t="shared" si="1565"/>
        <v>0</v>
      </c>
      <c r="EG431" s="161">
        <f t="shared" si="1566"/>
        <v>0</v>
      </c>
      <c r="EH431" s="161">
        <f t="shared" si="1567"/>
        <v>0</v>
      </c>
      <c r="EI431" s="161">
        <f t="shared" si="1568"/>
        <v>0</v>
      </c>
      <c r="EJ431" s="65"/>
      <c r="EK431" s="161">
        <f t="shared" si="1569"/>
        <v>0</v>
      </c>
      <c r="EL431" s="161">
        <f t="shared" si="1570"/>
        <v>0</v>
      </c>
      <c r="EM431" s="161">
        <f t="shared" si="1571"/>
        <v>0</v>
      </c>
    </row>
    <row r="432" spans="1:143" ht="12" hidden="1" customHeight="1" outlineLevel="2">
      <c r="A432" s="77">
        <v>4</v>
      </c>
      <c r="B432" s="137" t="str">
        <f t="shared" si="1499"/>
        <v>ENG/ARQ SR. - Equipe_01</v>
      </c>
      <c r="C432" s="65"/>
      <c r="D432" s="621"/>
      <c r="E432" s="65"/>
      <c r="F432" s="584"/>
      <c r="G432" s="77" t="str">
        <f>IF(INDEX(Tarefas!$BT$30:$FK$30,MATCH(A432,Tarefas!$BT$28:$FK$28,0))=0,"",INDEX(Tarefas!$BT$30:$FK$30,MATCH(A432,Tarefas!$BT$28:$FK$28,0)))</f>
        <v>ENG/ARQ SR.</v>
      </c>
      <c r="H432" s="107" cm="1">
        <f t="array" ref="H432">IFERROR((SUMPRODUCT((Tarefas!$N$32:$N$54='Cronog. e Histog.'!$F$429)*(Tarefas!$BQ$30:$FK$30='Cronog. e Histog.'!$G432)*(Tarefas!$BQ$32:$FK$54)))/SUMIF(Tarefas!$N$32:$N$54,'Cronog. e Histog.'!$F$429,Tarefas!$K$32:$K$54),0)</f>
        <v>5.4545454545454543E-2</v>
      </c>
      <c r="I432" s="79">
        <f t="shared" si="1500"/>
        <v>5.4545454545454543E-2</v>
      </c>
      <c r="J432" s="65"/>
      <c r="K432" s="160">
        <f t="shared" si="1501"/>
        <v>0</v>
      </c>
      <c r="L432" s="160">
        <f t="shared" si="1501"/>
        <v>0</v>
      </c>
      <c r="M432" s="160">
        <f t="shared" si="1501"/>
        <v>0</v>
      </c>
      <c r="N432" s="160">
        <f t="shared" si="1501"/>
        <v>0</v>
      </c>
      <c r="O432" s="160">
        <f t="shared" si="1501"/>
        <v>0</v>
      </c>
      <c r="P432" s="160">
        <f t="shared" si="1501"/>
        <v>0</v>
      </c>
      <c r="Q432" s="160">
        <f t="shared" si="1501"/>
        <v>0</v>
      </c>
      <c r="R432" s="160">
        <f t="shared" si="1501"/>
        <v>0</v>
      </c>
      <c r="S432" s="160">
        <f t="shared" si="1501"/>
        <v>0</v>
      </c>
      <c r="T432" s="160">
        <f t="shared" si="1501"/>
        <v>0</v>
      </c>
      <c r="U432" s="160">
        <f t="shared" si="1501"/>
        <v>0</v>
      </c>
      <c r="V432" s="160">
        <f t="shared" si="1501"/>
        <v>0</v>
      </c>
      <c r="W432" s="160">
        <f t="shared" si="1501"/>
        <v>0</v>
      </c>
      <c r="X432" s="160">
        <f t="shared" si="1501"/>
        <v>0</v>
      </c>
      <c r="Y432" s="160">
        <f t="shared" si="1501"/>
        <v>0</v>
      </c>
      <c r="Z432" s="160">
        <f t="shared" si="1501"/>
        <v>0</v>
      </c>
      <c r="AA432" s="160">
        <f t="shared" si="1502"/>
        <v>0</v>
      </c>
      <c r="AB432" s="160">
        <f t="shared" si="1502"/>
        <v>0</v>
      </c>
      <c r="AC432" s="160">
        <f t="shared" si="1502"/>
        <v>0</v>
      </c>
      <c r="AD432" s="160">
        <f t="shared" si="1502"/>
        <v>0</v>
      </c>
      <c r="AE432" s="160">
        <f t="shared" si="1502"/>
        <v>0</v>
      </c>
      <c r="AF432" s="160">
        <f t="shared" si="1502"/>
        <v>0</v>
      </c>
      <c r="AG432" s="160">
        <f t="shared" si="1502"/>
        <v>0</v>
      </c>
      <c r="AH432" s="160">
        <f t="shared" si="1502"/>
        <v>0</v>
      </c>
      <c r="AI432" s="160">
        <f t="shared" si="1502"/>
        <v>0</v>
      </c>
      <c r="AJ432" s="160">
        <f t="shared" si="1502"/>
        <v>0</v>
      </c>
      <c r="AK432" s="160">
        <f t="shared" si="1502"/>
        <v>0</v>
      </c>
      <c r="AL432" s="160">
        <f t="shared" si="1502"/>
        <v>0</v>
      </c>
      <c r="AM432" s="160">
        <f t="shared" si="1502"/>
        <v>0</v>
      </c>
      <c r="AN432" s="160">
        <f t="shared" si="1502"/>
        <v>0</v>
      </c>
      <c r="AO432" s="160">
        <f t="shared" si="1502"/>
        <v>0</v>
      </c>
      <c r="AP432" s="160">
        <f t="shared" si="1502"/>
        <v>0</v>
      </c>
      <c r="AQ432" s="160">
        <f t="shared" si="1503"/>
        <v>0</v>
      </c>
      <c r="AR432" s="160">
        <f t="shared" si="1503"/>
        <v>0</v>
      </c>
      <c r="AS432" s="160">
        <f t="shared" si="1503"/>
        <v>0</v>
      </c>
      <c r="AT432" s="160">
        <f t="shared" si="1503"/>
        <v>0</v>
      </c>
      <c r="AU432" s="160">
        <f t="shared" si="1503"/>
        <v>0</v>
      </c>
      <c r="AV432" s="160">
        <f t="shared" si="1503"/>
        <v>0</v>
      </c>
      <c r="AW432" s="160">
        <f t="shared" si="1503"/>
        <v>0</v>
      </c>
      <c r="AX432" s="160">
        <f t="shared" si="1503"/>
        <v>0</v>
      </c>
      <c r="AY432" s="160">
        <f t="shared" si="1503"/>
        <v>0</v>
      </c>
      <c r="AZ432" s="160">
        <f t="shared" si="1503"/>
        <v>0</v>
      </c>
      <c r="BA432" s="160">
        <f t="shared" si="1503"/>
        <v>0</v>
      </c>
      <c r="BB432" s="160">
        <f t="shared" si="1503"/>
        <v>0</v>
      </c>
      <c r="BC432" s="160">
        <f t="shared" si="1503"/>
        <v>0</v>
      </c>
      <c r="BD432" s="160">
        <f t="shared" si="1503"/>
        <v>0</v>
      </c>
      <c r="BE432" s="160">
        <f t="shared" si="1503"/>
        <v>0</v>
      </c>
      <c r="BF432" s="160">
        <f t="shared" si="1503"/>
        <v>0</v>
      </c>
      <c r="BG432" s="160">
        <f t="shared" si="1504"/>
        <v>0</v>
      </c>
      <c r="BH432" s="160">
        <f t="shared" si="1504"/>
        <v>0</v>
      </c>
      <c r="BI432" s="160">
        <f t="shared" si="1504"/>
        <v>0</v>
      </c>
      <c r="BJ432" s="160">
        <f t="shared" si="1504"/>
        <v>0</v>
      </c>
      <c r="BK432" s="160">
        <f t="shared" si="1504"/>
        <v>0</v>
      </c>
      <c r="BL432" s="160">
        <f t="shared" si="1504"/>
        <v>0</v>
      </c>
      <c r="BM432" s="160">
        <f t="shared" si="1504"/>
        <v>0</v>
      </c>
      <c r="BN432" s="160">
        <f t="shared" si="1504"/>
        <v>0</v>
      </c>
      <c r="BO432" s="160">
        <f t="shared" si="1504"/>
        <v>0</v>
      </c>
      <c r="BP432" s="160">
        <f t="shared" si="1504"/>
        <v>0</v>
      </c>
      <c r="BQ432" s="160">
        <f t="shared" si="1504"/>
        <v>0</v>
      </c>
      <c r="BR432" s="160">
        <f t="shared" si="1504"/>
        <v>0</v>
      </c>
      <c r="BS432" s="65"/>
      <c r="BT432" s="160">
        <f t="shared" si="1505"/>
        <v>0</v>
      </c>
      <c r="BU432" s="160">
        <f t="shared" si="1506"/>
        <v>0</v>
      </c>
      <c r="BV432" s="65"/>
      <c r="BW432" s="69"/>
      <c r="BX432" s="65"/>
      <c r="BY432" s="137">
        <f t="shared" si="1507"/>
        <v>1</v>
      </c>
      <c r="BZ432" s="137">
        <f>IF(BY432&gt;0,BY432+LARGE($BZ$213:BZ431,1),0)</f>
        <v>184</v>
      </c>
      <c r="CA432" s="137" t="str">
        <f t="shared" si="1508"/>
        <v>ENG/ARQ SR.</v>
      </c>
      <c r="CB432" s="161">
        <f t="shared" si="1509"/>
        <v>0</v>
      </c>
      <c r="CC432" s="161">
        <f t="shared" si="1510"/>
        <v>0</v>
      </c>
      <c r="CD432" s="161">
        <f t="shared" si="1511"/>
        <v>0</v>
      </c>
      <c r="CE432" s="161">
        <f t="shared" si="1512"/>
        <v>0</v>
      </c>
      <c r="CF432" s="161">
        <f t="shared" si="1513"/>
        <v>0</v>
      </c>
      <c r="CG432" s="161">
        <f t="shared" si="1514"/>
        <v>0</v>
      </c>
      <c r="CH432" s="161">
        <f t="shared" si="1515"/>
        <v>0</v>
      </c>
      <c r="CI432" s="161">
        <f t="shared" si="1516"/>
        <v>0</v>
      </c>
      <c r="CJ432" s="161">
        <f t="shared" si="1517"/>
        <v>0</v>
      </c>
      <c r="CK432" s="161">
        <f t="shared" si="1518"/>
        <v>0</v>
      </c>
      <c r="CL432" s="161">
        <f t="shared" si="1519"/>
        <v>0</v>
      </c>
      <c r="CM432" s="161">
        <f t="shared" si="1520"/>
        <v>0</v>
      </c>
      <c r="CN432" s="161">
        <f t="shared" si="1521"/>
        <v>0</v>
      </c>
      <c r="CO432" s="161">
        <f t="shared" si="1522"/>
        <v>0</v>
      </c>
      <c r="CP432" s="161">
        <f t="shared" si="1523"/>
        <v>0</v>
      </c>
      <c r="CQ432" s="161">
        <f t="shared" si="1524"/>
        <v>0</v>
      </c>
      <c r="CR432" s="161">
        <f t="shared" si="1525"/>
        <v>0</v>
      </c>
      <c r="CS432" s="161">
        <f t="shared" si="1526"/>
        <v>0</v>
      </c>
      <c r="CT432" s="161">
        <f t="shared" si="1527"/>
        <v>0</v>
      </c>
      <c r="CU432" s="161">
        <f t="shared" si="1528"/>
        <v>0</v>
      </c>
      <c r="CV432" s="161">
        <f t="shared" si="1529"/>
        <v>0</v>
      </c>
      <c r="CW432" s="161">
        <f t="shared" si="1530"/>
        <v>0</v>
      </c>
      <c r="CX432" s="161">
        <f t="shared" si="1531"/>
        <v>0</v>
      </c>
      <c r="CY432" s="161">
        <f t="shared" si="1532"/>
        <v>0</v>
      </c>
      <c r="CZ432" s="161">
        <f t="shared" si="1533"/>
        <v>0</v>
      </c>
      <c r="DA432" s="161">
        <f t="shared" si="1534"/>
        <v>0</v>
      </c>
      <c r="DB432" s="161">
        <f t="shared" si="1535"/>
        <v>0</v>
      </c>
      <c r="DC432" s="161">
        <f t="shared" si="1536"/>
        <v>0</v>
      </c>
      <c r="DD432" s="161">
        <f t="shared" si="1537"/>
        <v>0</v>
      </c>
      <c r="DE432" s="161">
        <f t="shared" si="1538"/>
        <v>0</v>
      </c>
      <c r="DF432" s="161">
        <f t="shared" si="1539"/>
        <v>0</v>
      </c>
      <c r="DG432" s="161">
        <f t="shared" si="1540"/>
        <v>0</v>
      </c>
      <c r="DH432" s="161">
        <f t="shared" si="1541"/>
        <v>0</v>
      </c>
      <c r="DI432" s="161">
        <f t="shared" si="1542"/>
        <v>0</v>
      </c>
      <c r="DJ432" s="161">
        <f t="shared" si="1543"/>
        <v>0</v>
      </c>
      <c r="DK432" s="161">
        <f t="shared" si="1544"/>
        <v>0</v>
      </c>
      <c r="DL432" s="161">
        <f t="shared" si="1545"/>
        <v>0</v>
      </c>
      <c r="DM432" s="161">
        <f t="shared" si="1546"/>
        <v>0</v>
      </c>
      <c r="DN432" s="161">
        <f t="shared" si="1547"/>
        <v>0</v>
      </c>
      <c r="DO432" s="161">
        <f t="shared" si="1548"/>
        <v>0</v>
      </c>
      <c r="DP432" s="161">
        <f t="shared" si="1549"/>
        <v>0</v>
      </c>
      <c r="DQ432" s="161">
        <f t="shared" si="1550"/>
        <v>0</v>
      </c>
      <c r="DR432" s="161">
        <f t="shared" si="1551"/>
        <v>0</v>
      </c>
      <c r="DS432" s="161">
        <f t="shared" si="1552"/>
        <v>0</v>
      </c>
      <c r="DT432" s="161">
        <f t="shared" si="1553"/>
        <v>0</v>
      </c>
      <c r="DU432" s="161">
        <f t="shared" si="1554"/>
        <v>0</v>
      </c>
      <c r="DV432" s="161">
        <f t="shared" si="1555"/>
        <v>0</v>
      </c>
      <c r="DW432" s="161">
        <f t="shared" si="1556"/>
        <v>0</v>
      </c>
      <c r="DX432" s="161">
        <f t="shared" si="1557"/>
        <v>0</v>
      </c>
      <c r="DY432" s="161">
        <f t="shared" si="1558"/>
        <v>0</v>
      </c>
      <c r="DZ432" s="161">
        <f t="shared" si="1559"/>
        <v>0</v>
      </c>
      <c r="EA432" s="161">
        <f t="shared" si="1560"/>
        <v>0</v>
      </c>
      <c r="EB432" s="161">
        <f t="shared" si="1561"/>
        <v>0</v>
      </c>
      <c r="EC432" s="161">
        <f t="shared" si="1562"/>
        <v>0</v>
      </c>
      <c r="ED432" s="161">
        <f t="shared" si="1563"/>
        <v>0</v>
      </c>
      <c r="EE432" s="161">
        <f t="shared" si="1564"/>
        <v>0</v>
      </c>
      <c r="EF432" s="161">
        <f t="shared" si="1565"/>
        <v>0</v>
      </c>
      <c r="EG432" s="161">
        <f t="shared" si="1566"/>
        <v>0</v>
      </c>
      <c r="EH432" s="161">
        <f t="shared" si="1567"/>
        <v>0</v>
      </c>
      <c r="EI432" s="161">
        <f t="shared" si="1568"/>
        <v>0</v>
      </c>
      <c r="EJ432" s="65"/>
      <c r="EK432" s="161">
        <f t="shared" si="1569"/>
        <v>0</v>
      </c>
      <c r="EL432" s="161">
        <f t="shared" si="1570"/>
        <v>0</v>
      </c>
      <c r="EM432" s="161">
        <f t="shared" si="1571"/>
        <v>0</v>
      </c>
    </row>
    <row r="433" spans="1:143" ht="12" hidden="1" customHeight="1" outlineLevel="2">
      <c r="A433" s="77">
        <v>5</v>
      </c>
      <c r="B433" s="137" t="str">
        <f t="shared" si="1499"/>
        <v>ENG/ARQ PL. - Equipe_01</v>
      </c>
      <c r="C433" s="65"/>
      <c r="D433" s="621"/>
      <c r="E433" s="65"/>
      <c r="F433" s="584"/>
      <c r="G433" s="77" t="str">
        <f>IF(INDEX(Tarefas!$BT$30:$FK$30,MATCH(A433,Tarefas!$BT$28:$FK$28,0))=0,"",INDEX(Tarefas!$BT$30:$FK$30,MATCH(A433,Tarefas!$BT$28:$FK$28,0)))</f>
        <v>ENG/ARQ PL.</v>
      </c>
      <c r="H433" s="107" cm="1">
        <f t="array" ref="H433">IFERROR((SUMPRODUCT((Tarefas!$N$32:$N$54='Cronog. e Histog.'!$F$429)*(Tarefas!$BQ$30:$FK$30='Cronog. e Histog.'!$G433)*(Tarefas!$BQ$32:$FK$54)))/SUMIF(Tarefas!$N$32:$N$54,'Cronog. e Histog.'!$F$429,Tarefas!$K$32:$K$54),0)</f>
        <v>0.87272727272727268</v>
      </c>
      <c r="I433" s="79">
        <f t="shared" si="1500"/>
        <v>0.87272727272727268</v>
      </c>
      <c r="J433" s="65"/>
      <c r="K433" s="160">
        <f t="shared" si="1501"/>
        <v>0.06</v>
      </c>
      <c r="L433" s="160">
        <f t="shared" si="1501"/>
        <v>0.06</v>
      </c>
      <c r="M433" s="160">
        <f t="shared" si="1501"/>
        <v>0.06</v>
      </c>
      <c r="N433" s="160">
        <f t="shared" si="1501"/>
        <v>0.06</v>
      </c>
      <c r="O433" s="160">
        <f t="shared" si="1501"/>
        <v>0.06</v>
      </c>
      <c r="P433" s="160">
        <f t="shared" si="1501"/>
        <v>0.06</v>
      </c>
      <c r="Q433" s="160">
        <f t="shared" si="1501"/>
        <v>0.06</v>
      </c>
      <c r="R433" s="160">
        <f t="shared" si="1501"/>
        <v>0.06</v>
      </c>
      <c r="S433" s="160">
        <f t="shared" si="1501"/>
        <v>0.06</v>
      </c>
      <c r="T433" s="160">
        <f t="shared" si="1501"/>
        <v>0.06</v>
      </c>
      <c r="U433" s="160">
        <f t="shared" si="1501"/>
        <v>0</v>
      </c>
      <c r="V433" s="160">
        <f t="shared" si="1501"/>
        <v>0</v>
      </c>
      <c r="W433" s="160">
        <f t="shared" si="1501"/>
        <v>0</v>
      </c>
      <c r="X433" s="160">
        <f t="shared" si="1501"/>
        <v>0</v>
      </c>
      <c r="Y433" s="160">
        <f t="shared" si="1501"/>
        <v>0</v>
      </c>
      <c r="Z433" s="160">
        <f t="shared" si="1501"/>
        <v>0</v>
      </c>
      <c r="AA433" s="160">
        <f t="shared" si="1502"/>
        <v>0</v>
      </c>
      <c r="AB433" s="160">
        <f t="shared" si="1502"/>
        <v>0</v>
      </c>
      <c r="AC433" s="160">
        <f t="shared" si="1502"/>
        <v>0</v>
      </c>
      <c r="AD433" s="160">
        <f t="shared" si="1502"/>
        <v>0</v>
      </c>
      <c r="AE433" s="160">
        <f t="shared" si="1502"/>
        <v>0</v>
      </c>
      <c r="AF433" s="160">
        <f t="shared" si="1502"/>
        <v>0</v>
      </c>
      <c r="AG433" s="160">
        <f t="shared" si="1502"/>
        <v>0</v>
      </c>
      <c r="AH433" s="160">
        <f t="shared" si="1502"/>
        <v>0</v>
      </c>
      <c r="AI433" s="160">
        <f t="shared" si="1502"/>
        <v>0</v>
      </c>
      <c r="AJ433" s="160">
        <f t="shared" si="1502"/>
        <v>0</v>
      </c>
      <c r="AK433" s="160">
        <f t="shared" si="1502"/>
        <v>0</v>
      </c>
      <c r="AL433" s="160">
        <f t="shared" si="1502"/>
        <v>0</v>
      </c>
      <c r="AM433" s="160">
        <f t="shared" si="1502"/>
        <v>0</v>
      </c>
      <c r="AN433" s="160">
        <f t="shared" si="1502"/>
        <v>0</v>
      </c>
      <c r="AO433" s="160">
        <f t="shared" si="1502"/>
        <v>0</v>
      </c>
      <c r="AP433" s="160">
        <f t="shared" si="1502"/>
        <v>0</v>
      </c>
      <c r="AQ433" s="160">
        <f t="shared" si="1503"/>
        <v>0</v>
      </c>
      <c r="AR433" s="160">
        <f t="shared" si="1503"/>
        <v>0</v>
      </c>
      <c r="AS433" s="160">
        <f t="shared" si="1503"/>
        <v>0</v>
      </c>
      <c r="AT433" s="160">
        <f t="shared" si="1503"/>
        <v>0</v>
      </c>
      <c r="AU433" s="160">
        <f t="shared" si="1503"/>
        <v>0</v>
      </c>
      <c r="AV433" s="160">
        <f t="shared" si="1503"/>
        <v>0</v>
      </c>
      <c r="AW433" s="160">
        <f t="shared" si="1503"/>
        <v>0</v>
      </c>
      <c r="AX433" s="160">
        <f t="shared" si="1503"/>
        <v>0</v>
      </c>
      <c r="AY433" s="160">
        <f t="shared" si="1503"/>
        <v>0</v>
      </c>
      <c r="AZ433" s="160">
        <f t="shared" si="1503"/>
        <v>0</v>
      </c>
      <c r="BA433" s="160">
        <f t="shared" si="1503"/>
        <v>0</v>
      </c>
      <c r="BB433" s="160">
        <f t="shared" si="1503"/>
        <v>0</v>
      </c>
      <c r="BC433" s="160">
        <f t="shared" si="1503"/>
        <v>0</v>
      </c>
      <c r="BD433" s="160">
        <f t="shared" si="1503"/>
        <v>0</v>
      </c>
      <c r="BE433" s="160">
        <f t="shared" si="1503"/>
        <v>0</v>
      </c>
      <c r="BF433" s="160">
        <f t="shared" si="1503"/>
        <v>0</v>
      </c>
      <c r="BG433" s="160">
        <f t="shared" si="1504"/>
        <v>0</v>
      </c>
      <c r="BH433" s="160">
        <f t="shared" si="1504"/>
        <v>0</v>
      </c>
      <c r="BI433" s="160">
        <f t="shared" si="1504"/>
        <v>0</v>
      </c>
      <c r="BJ433" s="160">
        <f t="shared" si="1504"/>
        <v>0</v>
      </c>
      <c r="BK433" s="160">
        <f t="shared" si="1504"/>
        <v>0</v>
      </c>
      <c r="BL433" s="160">
        <f t="shared" si="1504"/>
        <v>0</v>
      </c>
      <c r="BM433" s="160">
        <f t="shared" si="1504"/>
        <v>0</v>
      </c>
      <c r="BN433" s="160">
        <f t="shared" si="1504"/>
        <v>0</v>
      </c>
      <c r="BO433" s="160">
        <f t="shared" si="1504"/>
        <v>0</v>
      </c>
      <c r="BP433" s="160">
        <f t="shared" si="1504"/>
        <v>0</v>
      </c>
      <c r="BQ433" s="160">
        <f t="shared" si="1504"/>
        <v>0</v>
      </c>
      <c r="BR433" s="160">
        <f t="shared" si="1504"/>
        <v>0</v>
      </c>
      <c r="BS433" s="65"/>
      <c r="BT433" s="160">
        <f t="shared" si="1505"/>
        <v>6.0000000000000012E-2</v>
      </c>
      <c r="BU433" s="160">
        <f t="shared" si="1506"/>
        <v>10</v>
      </c>
      <c r="BV433" s="65"/>
      <c r="BW433" s="69"/>
      <c r="BX433" s="65"/>
      <c r="BY433" s="137">
        <f t="shared" si="1507"/>
        <v>1</v>
      </c>
      <c r="BZ433" s="137">
        <f>IF(BY433&gt;0,BY433+LARGE($BZ$213:BZ432,1),0)</f>
        <v>185</v>
      </c>
      <c r="CA433" s="137" t="str">
        <f t="shared" si="1508"/>
        <v>ENG/ARQ PL.</v>
      </c>
      <c r="CB433" s="161">
        <f t="shared" si="1509"/>
        <v>0.06</v>
      </c>
      <c r="CC433" s="161">
        <f t="shared" si="1510"/>
        <v>0.06</v>
      </c>
      <c r="CD433" s="161">
        <f t="shared" si="1511"/>
        <v>0.06</v>
      </c>
      <c r="CE433" s="161">
        <f t="shared" si="1512"/>
        <v>0.06</v>
      </c>
      <c r="CF433" s="161">
        <f t="shared" si="1513"/>
        <v>0.06</v>
      </c>
      <c r="CG433" s="161">
        <f t="shared" si="1514"/>
        <v>0.06</v>
      </c>
      <c r="CH433" s="161">
        <f t="shared" si="1515"/>
        <v>0.06</v>
      </c>
      <c r="CI433" s="161">
        <f t="shared" si="1516"/>
        <v>0.06</v>
      </c>
      <c r="CJ433" s="161">
        <f t="shared" si="1517"/>
        <v>0.06</v>
      </c>
      <c r="CK433" s="161">
        <f t="shared" si="1518"/>
        <v>0.06</v>
      </c>
      <c r="CL433" s="161">
        <f t="shared" si="1519"/>
        <v>0</v>
      </c>
      <c r="CM433" s="161">
        <f t="shared" si="1520"/>
        <v>0</v>
      </c>
      <c r="CN433" s="161">
        <f t="shared" si="1521"/>
        <v>0</v>
      </c>
      <c r="CO433" s="161">
        <f t="shared" si="1522"/>
        <v>0</v>
      </c>
      <c r="CP433" s="161">
        <f t="shared" si="1523"/>
        <v>0</v>
      </c>
      <c r="CQ433" s="161">
        <f t="shared" si="1524"/>
        <v>0</v>
      </c>
      <c r="CR433" s="161">
        <f t="shared" si="1525"/>
        <v>0</v>
      </c>
      <c r="CS433" s="161">
        <f t="shared" si="1526"/>
        <v>0</v>
      </c>
      <c r="CT433" s="161">
        <f t="shared" si="1527"/>
        <v>0</v>
      </c>
      <c r="CU433" s="161">
        <f t="shared" si="1528"/>
        <v>0</v>
      </c>
      <c r="CV433" s="161">
        <f t="shared" si="1529"/>
        <v>0</v>
      </c>
      <c r="CW433" s="161">
        <f t="shared" si="1530"/>
        <v>0</v>
      </c>
      <c r="CX433" s="161">
        <f t="shared" si="1531"/>
        <v>0</v>
      </c>
      <c r="CY433" s="161">
        <f t="shared" si="1532"/>
        <v>0</v>
      </c>
      <c r="CZ433" s="161">
        <f t="shared" si="1533"/>
        <v>0</v>
      </c>
      <c r="DA433" s="161">
        <f t="shared" si="1534"/>
        <v>0</v>
      </c>
      <c r="DB433" s="161">
        <f t="shared" si="1535"/>
        <v>0</v>
      </c>
      <c r="DC433" s="161">
        <f t="shared" si="1536"/>
        <v>0</v>
      </c>
      <c r="DD433" s="161">
        <f t="shared" si="1537"/>
        <v>0</v>
      </c>
      <c r="DE433" s="161">
        <f t="shared" si="1538"/>
        <v>0</v>
      </c>
      <c r="DF433" s="161">
        <f t="shared" si="1539"/>
        <v>0</v>
      </c>
      <c r="DG433" s="161">
        <f t="shared" si="1540"/>
        <v>0</v>
      </c>
      <c r="DH433" s="161">
        <f t="shared" si="1541"/>
        <v>0</v>
      </c>
      <c r="DI433" s="161">
        <f t="shared" si="1542"/>
        <v>0</v>
      </c>
      <c r="DJ433" s="161">
        <f t="shared" si="1543"/>
        <v>0</v>
      </c>
      <c r="DK433" s="161">
        <f t="shared" si="1544"/>
        <v>0</v>
      </c>
      <c r="DL433" s="161">
        <f t="shared" si="1545"/>
        <v>0</v>
      </c>
      <c r="DM433" s="161">
        <f t="shared" si="1546"/>
        <v>0</v>
      </c>
      <c r="DN433" s="161">
        <f t="shared" si="1547"/>
        <v>0</v>
      </c>
      <c r="DO433" s="161">
        <f t="shared" si="1548"/>
        <v>0</v>
      </c>
      <c r="DP433" s="161">
        <f t="shared" si="1549"/>
        <v>0</v>
      </c>
      <c r="DQ433" s="161">
        <f t="shared" si="1550"/>
        <v>0</v>
      </c>
      <c r="DR433" s="161">
        <f t="shared" si="1551"/>
        <v>0</v>
      </c>
      <c r="DS433" s="161">
        <f t="shared" si="1552"/>
        <v>0</v>
      </c>
      <c r="DT433" s="161">
        <f t="shared" si="1553"/>
        <v>0</v>
      </c>
      <c r="DU433" s="161">
        <f t="shared" si="1554"/>
        <v>0</v>
      </c>
      <c r="DV433" s="161">
        <f t="shared" si="1555"/>
        <v>0</v>
      </c>
      <c r="DW433" s="161">
        <f t="shared" si="1556"/>
        <v>0</v>
      </c>
      <c r="DX433" s="161">
        <f t="shared" si="1557"/>
        <v>0</v>
      </c>
      <c r="DY433" s="161">
        <f t="shared" si="1558"/>
        <v>0</v>
      </c>
      <c r="DZ433" s="161">
        <f t="shared" si="1559"/>
        <v>0</v>
      </c>
      <c r="EA433" s="161">
        <f t="shared" si="1560"/>
        <v>0</v>
      </c>
      <c r="EB433" s="161">
        <f t="shared" si="1561"/>
        <v>0</v>
      </c>
      <c r="EC433" s="161">
        <f t="shared" si="1562"/>
        <v>0</v>
      </c>
      <c r="ED433" s="161">
        <f t="shared" si="1563"/>
        <v>0</v>
      </c>
      <c r="EE433" s="161">
        <f t="shared" si="1564"/>
        <v>0</v>
      </c>
      <c r="EF433" s="161">
        <f t="shared" si="1565"/>
        <v>0</v>
      </c>
      <c r="EG433" s="161">
        <f t="shared" si="1566"/>
        <v>0</v>
      </c>
      <c r="EH433" s="161">
        <f t="shared" si="1567"/>
        <v>0</v>
      </c>
      <c r="EI433" s="161">
        <f t="shared" si="1568"/>
        <v>0</v>
      </c>
      <c r="EJ433" s="65"/>
      <c r="EK433" s="161">
        <f t="shared" si="1569"/>
        <v>0</v>
      </c>
      <c r="EL433" s="161">
        <f t="shared" si="1570"/>
        <v>0</v>
      </c>
      <c r="EM433" s="161">
        <f t="shared" si="1571"/>
        <v>0</v>
      </c>
    </row>
    <row r="434" spans="1:143" ht="12" hidden="1" customHeight="1" outlineLevel="2">
      <c r="A434" s="77">
        <v>6</v>
      </c>
      <c r="B434" s="137" t="str">
        <f t="shared" si="1499"/>
        <v>ENG/ARQ JR. - Equipe_01</v>
      </c>
      <c r="C434" s="65"/>
      <c r="D434" s="621"/>
      <c r="E434" s="65"/>
      <c r="F434" s="584"/>
      <c r="G434" s="77" t="str">
        <f>IF(INDEX(Tarefas!$BT$30:$FK$30,MATCH(A434,Tarefas!$BT$28:$FK$28,0))=0,"",INDEX(Tarefas!$BT$30:$FK$30,MATCH(A434,Tarefas!$BT$28:$FK$28,0)))</f>
        <v>ENG/ARQ JR.</v>
      </c>
      <c r="H434" s="107" cm="1">
        <f t="array" ref="H434">IFERROR((SUMPRODUCT((Tarefas!$N$32:$N$54='Cronog. e Histog.'!$F$429)*(Tarefas!$BQ$30:$FK$30='Cronog. e Histog.'!$G434)*(Tarefas!$BQ$32:$FK$54)))/SUMIF(Tarefas!$N$32:$N$54,'Cronog. e Histog.'!$F$429,Tarefas!$K$32:$K$54),0)</f>
        <v>0</v>
      </c>
      <c r="I434" s="79">
        <f t="shared" si="1500"/>
        <v>0</v>
      </c>
      <c r="J434" s="65"/>
      <c r="K434" s="160">
        <f t="shared" si="1501"/>
        <v>0</v>
      </c>
      <c r="L434" s="160">
        <f t="shared" si="1501"/>
        <v>0</v>
      </c>
      <c r="M434" s="160">
        <f t="shared" si="1501"/>
        <v>0</v>
      </c>
      <c r="N434" s="160">
        <f t="shared" si="1501"/>
        <v>0</v>
      </c>
      <c r="O434" s="160">
        <f t="shared" si="1501"/>
        <v>0</v>
      </c>
      <c r="P434" s="160">
        <f t="shared" si="1501"/>
        <v>0</v>
      </c>
      <c r="Q434" s="160">
        <f t="shared" si="1501"/>
        <v>0</v>
      </c>
      <c r="R434" s="160">
        <f t="shared" si="1501"/>
        <v>0</v>
      </c>
      <c r="S434" s="160">
        <f t="shared" si="1501"/>
        <v>0</v>
      </c>
      <c r="T434" s="160">
        <f t="shared" si="1501"/>
        <v>0</v>
      </c>
      <c r="U434" s="160">
        <f t="shared" si="1501"/>
        <v>0</v>
      </c>
      <c r="V434" s="160">
        <f t="shared" si="1501"/>
        <v>0</v>
      </c>
      <c r="W434" s="160">
        <f t="shared" si="1501"/>
        <v>0</v>
      </c>
      <c r="X434" s="160">
        <f t="shared" si="1501"/>
        <v>0</v>
      </c>
      <c r="Y434" s="160">
        <f t="shared" si="1501"/>
        <v>0</v>
      </c>
      <c r="Z434" s="160">
        <f t="shared" si="1501"/>
        <v>0</v>
      </c>
      <c r="AA434" s="160">
        <f t="shared" si="1502"/>
        <v>0</v>
      </c>
      <c r="AB434" s="160">
        <f t="shared" si="1502"/>
        <v>0</v>
      </c>
      <c r="AC434" s="160">
        <f t="shared" si="1502"/>
        <v>0</v>
      </c>
      <c r="AD434" s="160">
        <f t="shared" si="1502"/>
        <v>0</v>
      </c>
      <c r="AE434" s="160">
        <f t="shared" si="1502"/>
        <v>0</v>
      </c>
      <c r="AF434" s="160">
        <f t="shared" si="1502"/>
        <v>0</v>
      </c>
      <c r="AG434" s="160">
        <f t="shared" si="1502"/>
        <v>0</v>
      </c>
      <c r="AH434" s="160">
        <f t="shared" si="1502"/>
        <v>0</v>
      </c>
      <c r="AI434" s="160">
        <f t="shared" si="1502"/>
        <v>0</v>
      </c>
      <c r="AJ434" s="160">
        <f t="shared" si="1502"/>
        <v>0</v>
      </c>
      <c r="AK434" s="160">
        <f t="shared" si="1502"/>
        <v>0</v>
      </c>
      <c r="AL434" s="160">
        <f t="shared" si="1502"/>
        <v>0</v>
      </c>
      <c r="AM434" s="160">
        <f t="shared" si="1502"/>
        <v>0</v>
      </c>
      <c r="AN434" s="160">
        <f t="shared" si="1502"/>
        <v>0</v>
      </c>
      <c r="AO434" s="160">
        <f t="shared" si="1502"/>
        <v>0</v>
      </c>
      <c r="AP434" s="160">
        <f t="shared" si="1502"/>
        <v>0</v>
      </c>
      <c r="AQ434" s="160">
        <f t="shared" si="1503"/>
        <v>0</v>
      </c>
      <c r="AR434" s="160">
        <f t="shared" si="1503"/>
        <v>0</v>
      </c>
      <c r="AS434" s="160">
        <f t="shared" si="1503"/>
        <v>0</v>
      </c>
      <c r="AT434" s="160">
        <f t="shared" si="1503"/>
        <v>0</v>
      </c>
      <c r="AU434" s="160">
        <f t="shared" si="1503"/>
        <v>0</v>
      </c>
      <c r="AV434" s="160">
        <f t="shared" si="1503"/>
        <v>0</v>
      </c>
      <c r="AW434" s="160">
        <f t="shared" si="1503"/>
        <v>0</v>
      </c>
      <c r="AX434" s="160">
        <f t="shared" si="1503"/>
        <v>0</v>
      </c>
      <c r="AY434" s="160">
        <f t="shared" si="1503"/>
        <v>0</v>
      </c>
      <c r="AZ434" s="160">
        <f t="shared" si="1503"/>
        <v>0</v>
      </c>
      <c r="BA434" s="160">
        <f t="shared" si="1503"/>
        <v>0</v>
      </c>
      <c r="BB434" s="160">
        <f t="shared" si="1503"/>
        <v>0</v>
      </c>
      <c r="BC434" s="160">
        <f t="shared" si="1503"/>
        <v>0</v>
      </c>
      <c r="BD434" s="160">
        <f t="shared" si="1503"/>
        <v>0</v>
      </c>
      <c r="BE434" s="160">
        <f t="shared" si="1503"/>
        <v>0</v>
      </c>
      <c r="BF434" s="160">
        <f t="shared" si="1503"/>
        <v>0</v>
      </c>
      <c r="BG434" s="160">
        <f t="shared" si="1504"/>
        <v>0</v>
      </c>
      <c r="BH434" s="160">
        <f t="shared" si="1504"/>
        <v>0</v>
      </c>
      <c r="BI434" s="160">
        <f t="shared" si="1504"/>
        <v>0</v>
      </c>
      <c r="BJ434" s="160">
        <f t="shared" si="1504"/>
        <v>0</v>
      </c>
      <c r="BK434" s="160">
        <f t="shared" si="1504"/>
        <v>0</v>
      </c>
      <c r="BL434" s="160">
        <f t="shared" si="1504"/>
        <v>0</v>
      </c>
      <c r="BM434" s="160">
        <f t="shared" si="1504"/>
        <v>0</v>
      </c>
      <c r="BN434" s="160">
        <f t="shared" si="1504"/>
        <v>0</v>
      </c>
      <c r="BO434" s="160">
        <f t="shared" si="1504"/>
        <v>0</v>
      </c>
      <c r="BP434" s="160">
        <f t="shared" si="1504"/>
        <v>0</v>
      </c>
      <c r="BQ434" s="160">
        <f t="shared" si="1504"/>
        <v>0</v>
      </c>
      <c r="BR434" s="160">
        <f t="shared" si="1504"/>
        <v>0</v>
      </c>
      <c r="BS434" s="65"/>
      <c r="BT434" s="160">
        <f t="shared" si="1505"/>
        <v>0</v>
      </c>
      <c r="BU434" s="160">
        <f t="shared" si="1506"/>
        <v>0</v>
      </c>
      <c r="BV434" s="65"/>
      <c r="BW434" s="69"/>
      <c r="BX434" s="65"/>
      <c r="BY434" s="137">
        <f t="shared" si="1507"/>
        <v>1</v>
      </c>
      <c r="BZ434" s="137">
        <f>IF(BY434&gt;0,BY434+LARGE($BZ$213:BZ433,1),0)</f>
        <v>186</v>
      </c>
      <c r="CA434" s="137" t="str">
        <f t="shared" si="1508"/>
        <v>ENG/ARQ JR.</v>
      </c>
      <c r="CB434" s="161">
        <f t="shared" si="1509"/>
        <v>0</v>
      </c>
      <c r="CC434" s="161">
        <f t="shared" si="1510"/>
        <v>0</v>
      </c>
      <c r="CD434" s="161">
        <f t="shared" si="1511"/>
        <v>0</v>
      </c>
      <c r="CE434" s="161">
        <f t="shared" si="1512"/>
        <v>0</v>
      </c>
      <c r="CF434" s="161">
        <f t="shared" si="1513"/>
        <v>0</v>
      </c>
      <c r="CG434" s="161">
        <f t="shared" si="1514"/>
        <v>0</v>
      </c>
      <c r="CH434" s="161">
        <f t="shared" si="1515"/>
        <v>0</v>
      </c>
      <c r="CI434" s="161">
        <f t="shared" si="1516"/>
        <v>0</v>
      </c>
      <c r="CJ434" s="161">
        <f t="shared" si="1517"/>
        <v>0</v>
      </c>
      <c r="CK434" s="161">
        <f t="shared" si="1518"/>
        <v>0</v>
      </c>
      <c r="CL434" s="161">
        <f t="shared" si="1519"/>
        <v>0</v>
      </c>
      <c r="CM434" s="161">
        <f t="shared" si="1520"/>
        <v>0</v>
      </c>
      <c r="CN434" s="161">
        <f t="shared" si="1521"/>
        <v>0</v>
      </c>
      <c r="CO434" s="161">
        <f t="shared" si="1522"/>
        <v>0</v>
      </c>
      <c r="CP434" s="161">
        <f t="shared" si="1523"/>
        <v>0</v>
      </c>
      <c r="CQ434" s="161">
        <f t="shared" si="1524"/>
        <v>0</v>
      </c>
      <c r="CR434" s="161">
        <f t="shared" si="1525"/>
        <v>0</v>
      </c>
      <c r="CS434" s="161">
        <f t="shared" si="1526"/>
        <v>0</v>
      </c>
      <c r="CT434" s="161">
        <f t="shared" si="1527"/>
        <v>0</v>
      </c>
      <c r="CU434" s="161">
        <f t="shared" si="1528"/>
        <v>0</v>
      </c>
      <c r="CV434" s="161">
        <f t="shared" si="1529"/>
        <v>0</v>
      </c>
      <c r="CW434" s="161">
        <f t="shared" si="1530"/>
        <v>0</v>
      </c>
      <c r="CX434" s="161">
        <f t="shared" si="1531"/>
        <v>0</v>
      </c>
      <c r="CY434" s="161">
        <f t="shared" si="1532"/>
        <v>0</v>
      </c>
      <c r="CZ434" s="161">
        <f t="shared" si="1533"/>
        <v>0</v>
      </c>
      <c r="DA434" s="161">
        <f t="shared" si="1534"/>
        <v>0</v>
      </c>
      <c r="DB434" s="161">
        <f t="shared" si="1535"/>
        <v>0</v>
      </c>
      <c r="DC434" s="161">
        <f t="shared" si="1536"/>
        <v>0</v>
      </c>
      <c r="DD434" s="161">
        <f t="shared" si="1537"/>
        <v>0</v>
      </c>
      <c r="DE434" s="161">
        <f t="shared" si="1538"/>
        <v>0</v>
      </c>
      <c r="DF434" s="161">
        <f t="shared" si="1539"/>
        <v>0</v>
      </c>
      <c r="DG434" s="161">
        <f t="shared" si="1540"/>
        <v>0</v>
      </c>
      <c r="DH434" s="161">
        <f t="shared" si="1541"/>
        <v>0</v>
      </c>
      <c r="DI434" s="161">
        <f t="shared" si="1542"/>
        <v>0</v>
      </c>
      <c r="DJ434" s="161">
        <f t="shared" si="1543"/>
        <v>0</v>
      </c>
      <c r="DK434" s="161">
        <f t="shared" si="1544"/>
        <v>0</v>
      </c>
      <c r="DL434" s="161">
        <f t="shared" si="1545"/>
        <v>0</v>
      </c>
      <c r="DM434" s="161">
        <f t="shared" si="1546"/>
        <v>0</v>
      </c>
      <c r="DN434" s="161">
        <f t="shared" si="1547"/>
        <v>0</v>
      </c>
      <c r="DO434" s="161">
        <f t="shared" si="1548"/>
        <v>0</v>
      </c>
      <c r="DP434" s="161">
        <f t="shared" si="1549"/>
        <v>0</v>
      </c>
      <c r="DQ434" s="161">
        <f t="shared" si="1550"/>
        <v>0</v>
      </c>
      <c r="DR434" s="161">
        <f t="shared" si="1551"/>
        <v>0</v>
      </c>
      <c r="DS434" s="161">
        <f t="shared" si="1552"/>
        <v>0</v>
      </c>
      <c r="DT434" s="161">
        <f t="shared" si="1553"/>
        <v>0</v>
      </c>
      <c r="DU434" s="161">
        <f t="shared" si="1554"/>
        <v>0</v>
      </c>
      <c r="DV434" s="161">
        <f t="shared" si="1555"/>
        <v>0</v>
      </c>
      <c r="DW434" s="161">
        <f t="shared" si="1556"/>
        <v>0</v>
      </c>
      <c r="DX434" s="161">
        <f t="shared" si="1557"/>
        <v>0</v>
      </c>
      <c r="DY434" s="161">
        <f t="shared" si="1558"/>
        <v>0</v>
      </c>
      <c r="DZ434" s="161">
        <f t="shared" si="1559"/>
        <v>0</v>
      </c>
      <c r="EA434" s="161">
        <f t="shared" si="1560"/>
        <v>0</v>
      </c>
      <c r="EB434" s="161">
        <f t="shared" si="1561"/>
        <v>0</v>
      </c>
      <c r="EC434" s="161">
        <f t="shared" si="1562"/>
        <v>0</v>
      </c>
      <c r="ED434" s="161">
        <f t="shared" si="1563"/>
        <v>0</v>
      </c>
      <c r="EE434" s="161">
        <f t="shared" si="1564"/>
        <v>0</v>
      </c>
      <c r="EF434" s="161">
        <f t="shared" si="1565"/>
        <v>0</v>
      </c>
      <c r="EG434" s="161">
        <f t="shared" si="1566"/>
        <v>0</v>
      </c>
      <c r="EH434" s="161">
        <f t="shared" si="1567"/>
        <v>0</v>
      </c>
      <c r="EI434" s="161">
        <f t="shared" si="1568"/>
        <v>0</v>
      </c>
      <c r="EJ434" s="65"/>
      <c r="EK434" s="161">
        <f t="shared" si="1569"/>
        <v>0</v>
      </c>
      <c r="EL434" s="161">
        <f t="shared" si="1570"/>
        <v>0</v>
      </c>
      <c r="EM434" s="161">
        <f t="shared" si="1571"/>
        <v>0</v>
      </c>
    </row>
    <row r="435" spans="1:143" ht="12" hidden="1" customHeight="1" outlineLevel="2">
      <c r="A435" s="77">
        <v>7</v>
      </c>
      <c r="B435" s="137" t="str">
        <f t="shared" si="1499"/>
        <v>AN SR. ENG/ARQ - Equipe_01</v>
      </c>
      <c r="C435" s="65"/>
      <c r="D435" s="621"/>
      <c r="E435" s="65"/>
      <c r="F435" s="584"/>
      <c r="G435" s="77" t="str">
        <f>IF(INDEX(Tarefas!$BT$30:$FK$30,MATCH(A435,Tarefas!$BT$28:$FK$28,0))=0,"",INDEX(Tarefas!$BT$30:$FK$30,MATCH(A435,Tarefas!$BT$28:$FK$28,0)))</f>
        <v>AN SR. ENG/ARQ</v>
      </c>
      <c r="H435" s="107" cm="1">
        <f t="array" ref="H435">IFERROR((SUMPRODUCT((Tarefas!$N$32:$N$54='Cronog. e Histog.'!$F$429)*(Tarefas!$BQ$30:$FK$30='Cronog. e Histog.'!$G435)*(Tarefas!$BQ$32:$FK$54)))/SUMIF(Tarefas!$N$32:$N$54,'Cronog. e Histog.'!$F$429,Tarefas!$K$32:$K$54),0)</f>
        <v>0</v>
      </c>
      <c r="I435" s="79">
        <f t="shared" si="1500"/>
        <v>0</v>
      </c>
      <c r="J435" s="65"/>
      <c r="K435" s="160">
        <f t="shared" si="1501"/>
        <v>0</v>
      </c>
      <c r="L435" s="160">
        <f t="shared" si="1501"/>
        <v>0</v>
      </c>
      <c r="M435" s="160">
        <f t="shared" si="1501"/>
        <v>0</v>
      </c>
      <c r="N435" s="160">
        <f t="shared" si="1501"/>
        <v>0</v>
      </c>
      <c r="O435" s="160">
        <f t="shared" si="1501"/>
        <v>0</v>
      </c>
      <c r="P435" s="160">
        <f t="shared" si="1501"/>
        <v>0</v>
      </c>
      <c r="Q435" s="160">
        <f t="shared" si="1501"/>
        <v>0</v>
      </c>
      <c r="R435" s="160">
        <f t="shared" si="1501"/>
        <v>0</v>
      </c>
      <c r="S435" s="160">
        <f t="shared" si="1501"/>
        <v>0</v>
      </c>
      <c r="T435" s="160">
        <f t="shared" si="1501"/>
        <v>0</v>
      </c>
      <c r="U435" s="160">
        <f t="shared" si="1501"/>
        <v>0</v>
      </c>
      <c r="V435" s="160">
        <f t="shared" si="1501"/>
        <v>0</v>
      </c>
      <c r="W435" s="160">
        <f t="shared" si="1501"/>
        <v>0</v>
      </c>
      <c r="X435" s="160">
        <f t="shared" si="1501"/>
        <v>0</v>
      </c>
      <c r="Y435" s="160">
        <f t="shared" si="1501"/>
        <v>0</v>
      </c>
      <c r="Z435" s="160">
        <f t="shared" si="1501"/>
        <v>0</v>
      </c>
      <c r="AA435" s="160">
        <f t="shared" si="1502"/>
        <v>0</v>
      </c>
      <c r="AB435" s="160">
        <f t="shared" si="1502"/>
        <v>0</v>
      </c>
      <c r="AC435" s="160">
        <f t="shared" si="1502"/>
        <v>0</v>
      </c>
      <c r="AD435" s="160">
        <f t="shared" si="1502"/>
        <v>0</v>
      </c>
      <c r="AE435" s="160">
        <f t="shared" si="1502"/>
        <v>0</v>
      </c>
      <c r="AF435" s="160">
        <f t="shared" si="1502"/>
        <v>0</v>
      </c>
      <c r="AG435" s="160">
        <f t="shared" si="1502"/>
        <v>0</v>
      </c>
      <c r="AH435" s="160">
        <f t="shared" si="1502"/>
        <v>0</v>
      </c>
      <c r="AI435" s="160">
        <f t="shared" si="1502"/>
        <v>0</v>
      </c>
      <c r="AJ435" s="160">
        <f t="shared" si="1502"/>
        <v>0</v>
      </c>
      <c r="AK435" s="160">
        <f t="shared" si="1502"/>
        <v>0</v>
      </c>
      <c r="AL435" s="160">
        <f t="shared" si="1502"/>
        <v>0</v>
      </c>
      <c r="AM435" s="160">
        <f t="shared" si="1502"/>
        <v>0</v>
      </c>
      <c r="AN435" s="160">
        <f t="shared" si="1502"/>
        <v>0</v>
      </c>
      <c r="AO435" s="160">
        <f t="shared" si="1502"/>
        <v>0</v>
      </c>
      <c r="AP435" s="160">
        <f t="shared" si="1502"/>
        <v>0</v>
      </c>
      <c r="AQ435" s="160">
        <f t="shared" si="1503"/>
        <v>0</v>
      </c>
      <c r="AR435" s="160">
        <f t="shared" si="1503"/>
        <v>0</v>
      </c>
      <c r="AS435" s="160">
        <f t="shared" si="1503"/>
        <v>0</v>
      </c>
      <c r="AT435" s="160">
        <f t="shared" si="1503"/>
        <v>0</v>
      </c>
      <c r="AU435" s="160">
        <f t="shared" si="1503"/>
        <v>0</v>
      </c>
      <c r="AV435" s="160">
        <f t="shared" si="1503"/>
        <v>0</v>
      </c>
      <c r="AW435" s="160">
        <f t="shared" si="1503"/>
        <v>0</v>
      </c>
      <c r="AX435" s="160">
        <f t="shared" si="1503"/>
        <v>0</v>
      </c>
      <c r="AY435" s="160">
        <f t="shared" si="1503"/>
        <v>0</v>
      </c>
      <c r="AZ435" s="160">
        <f t="shared" si="1503"/>
        <v>0</v>
      </c>
      <c r="BA435" s="160">
        <f t="shared" si="1503"/>
        <v>0</v>
      </c>
      <c r="BB435" s="160">
        <f t="shared" si="1503"/>
        <v>0</v>
      </c>
      <c r="BC435" s="160">
        <f t="shared" si="1503"/>
        <v>0</v>
      </c>
      <c r="BD435" s="160">
        <f t="shared" si="1503"/>
        <v>0</v>
      </c>
      <c r="BE435" s="160">
        <f t="shared" si="1503"/>
        <v>0</v>
      </c>
      <c r="BF435" s="160">
        <f t="shared" si="1503"/>
        <v>0</v>
      </c>
      <c r="BG435" s="160">
        <f t="shared" si="1504"/>
        <v>0</v>
      </c>
      <c r="BH435" s="160">
        <f t="shared" si="1504"/>
        <v>0</v>
      </c>
      <c r="BI435" s="160">
        <f t="shared" si="1504"/>
        <v>0</v>
      </c>
      <c r="BJ435" s="160">
        <f t="shared" si="1504"/>
        <v>0</v>
      </c>
      <c r="BK435" s="160">
        <f t="shared" si="1504"/>
        <v>0</v>
      </c>
      <c r="BL435" s="160">
        <f t="shared" si="1504"/>
        <v>0</v>
      </c>
      <c r="BM435" s="160">
        <f t="shared" si="1504"/>
        <v>0</v>
      </c>
      <c r="BN435" s="160">
        <f t="shared" si="1504"/>
        <v>0</v>
      </c>
      <c r="BO435" s="160">
        <f t="shared" si="1504"/>
        <v>0</v>
      </c>
      <c r="BP435" s="160">
        <f t="shared" si="1504"/>
        <v>0</v>
      </c>
      <c r="BQ435" s="160">
        <f t="shared" si="1504"/>
        <v>0</v>
      </c>
      <c r="BR435" s="160">
        <f t="shared" si="1504"/>
        <v>0</v>
      </c>
      <c r="BS435" s="65"/>
      <c r="BT435" s="160">
        <f t="shared" si="1505"/>
        <v>0</v>
      </c>
      <c r="BU435" s="160">
        <f t="shared" si="1506"/>
        <v>0</v>
      </c>
      <c r="BV435" s="65"/>
      <c r="BW435" s="69"/>
      <c r="BX435" s="65"/>
      <c r="BY435" s="137">
        <f t="shared" si="1507"/>
        <v>1</v>
      </c>
      <c r="BZ435" s="137">
        <f>IF(BY435&gt;0,BY435+LARGE($BZ$213:BZ434,1),0)</f>
        <v>187</v>
      </c>
      <c r="CA435" s="137" t="str">
        <f t="shared" si="1508"/>
        <v>AN SR. ENG/ARQ</v>
      </c>
      <c r="CB435" s="161">
        <f t="shared" si="1509"/>
        <v>0</v>
      </c>
      <c r="CC435" s="161">
        <f t="shared" si="1510"/>
        <v>0</v>
      </c>
      <c r="CD435" s="161">
        <f t="shared" si="1511"/>
        <v>0</v>
      </c>
      <c r="CE435" s="161">
        <f t="shared" si="1512"/>
        <v>0</v>
      </c>
      <c r="CF435" s="161">
        <f t="shared" si="1513"/>
        <v>0</v>
      </c>
      <c r="CG435" s="161">
        <f t="shared" si="1514"/>
        <v>0</v>
      </c>
      <c r="CH435" s="161">
        <f t="shared" si="1515"/>
        <v>0</v>
      </c>
      <c r="CI435" s="161">
        <f t="shared" si="1516"/>
        <v>0</v>
      </c>
      <c r="CJ435" s="161">
        <f t="shared" si="1517"/>
        <v>0</v>
      </c>
      <c r="CK435" s="161">
        <f t="shared" si="1518"/>
        <v>0</v>
      </c>
      <c r="CL435" s="161">
        <f t="shared" si="1519"/>
        <v>0</v>
      </c>
      <c r="CM435" s="161">
        <f t="shared" si="1520"/>
        <v>0</v>
      </c>
      <c r="CN435" s="161">
        <f t="shared" si="1521"/>
        <v>0</v>
      </c>
      <c r="CO435" s="161">
        <f t="shared" si="1522"/>
        <v>0</v>
      </c>
      <c r="CP435" s="161">
        <f t="shared" si="1523"/>
        <v>0</v>
      </c>
      <c r="CQ435" s="161">
        <f t="shared" si="1524"/>
        <v>0</v>
      </c>
      <c r="CR435" s="161">
        <f t="shared" si="1525"/>
        <v>0</v>
      </c>
      <c r="CS435" s="161">
        <f t="shared" si="1526"/>
        <v>0</v>
      </c>
      <c r="CT435" s="161">
        <f t="shared" si="1527"/>
        <v>0</v>
      </c>
      <c r="CU435" s="161">
        <f t="shared" si="1528"/>
        <v>0</v>
      </c>
      <c r="CV435" s="161">
        <f t="shared" si="1529"/>
        <v>0</v>
      </c>
      <c r="CW435" s="161">
        <f t="shared" si="1530"/>
        <v>0</v>
      </c>
      <c r="CX435" s="161">
        <f t="shared" si="1531"/>
        <v>0</v>
      </c>
      <c r="CY435" s="161">
        <f t="shared" si="1532"/>
        <v>0</v>
      </c>
      <c r="CZ435" s="161">
        <f t="shared" si="1533"/>
        <v>0</v>
      </c>
      <c r="DA435" s="161">
        <f t="shared" si="1534"/>
        <v>0</v>
      </c>
      <c r="DB435" s="161">
        <f t="shared" si="1535"/>
        <v>0</v>
      </c>
      <c r="DC435" s="161">
        <f t="shared" si="1536"/>
        <v>0</v>
      </c>
      <c r="DD435" s="161">
        <f t="shared" si="1537"/>
        <v>0</v>
      </c>
      <c r="DE435" s="161">
        <f t="shared" si="1538"/>
        <v>0</v>
      </c>
      <c r="DF435" s="161">
        <f t="shared" si="1539"/>
        <v>0</v>
      </c>
      <c r="DG435" s="161">
        <f t="shared" si="1540"/>
        <v>0</v>
      </c>
      <c r="DH435" s="161">
        <f t="shared" si="1541"/>
        <v>0</v>
      </c>
      <c r="DI435" s="161">
        <f t="shared" si="1542"/>
        <v>0</v>
      </c>
      <c r="DJ435" s="161">
        <f t="shared" si="1543"/>
        <v>0</v>
      </c>
      <c r="DK435" s="161">
        <f t="shared" si="1544"/>
        <v>0</v>
      </c>
      <c r="DL435" s="161">
        <f t="shared" si="1545"/>
        <v>0</v>
      </c>
      <c r="DM435" s="161">
        <f t="shared" si="1546"/>
        <v>0</v>
      </c>
      <c r="DN435" s="161">
        <f t="shared" si="1547"/>
        <v>0</v>
      </c>
      <c r="DO435" s="161">
        <f t="shared" si="1548"/>
        <v>0</v>
      </c>
      <c r="DP435" s="161">
        <f t="shared" si="1549"/>
        <v>0</v>
      </c>
      <c r="DQ435" s="161">
        <f t="shared" si="1550"/>
        <v>0</v>
      </c>
      <c r="DR435" s="161">
        <f t="shared" si="1551"/>
        <v>0</v>
      </c>
      <c r="DS435" s="161">
        <f t="shared" si="1552"/>
        <v>0</v>
      </c>
      <c r="DT435" s="161">
        <f t="shared" si="1553"/>
        <v>0</v>
      </c>
      <c r="DU435" s="161">
        <f t="shared" si="1554"/>
        <v>0</v>
      </c>
      <c r="DV435" s="161">
        <f t="shared" si="1555"/>
        <v>0</v>
      </c>
      <c r="DW435" s="161">
        <f t="shared" si="1556"/>
        <v>0</v>
      </c>
      <c r="DX435" s="161">
        <f t="shared" si="1557"/>
        <v>0</v>
      </c>
      <c r="DY435" s="161">
        <f t="shared" si="1558"/>
        <v>0</v>
      </c>
      <c r="DZ435" s="161">
        <f t="shared" si="1559"/>
        <v>0</v>
      </c>
      <c r="EA435" s="161">
        <f t="shared" si="1560"/>
        <v>0</v>
      </c>
      <c r="EB435" s="161">
        <f t="shared" si="1561"/>
        <v>0</v>
      </c>
      <c r="EC435" s="161">
        <f t="shared" si="1562"/>
        <v>0</v>
      </c>
      <c r="ED435" s="161">
        <f t="shared" si="1563"/>
        <v>0</v>
      </c>
      <c r="EE435" s="161">
        <f t="shared" si="1564"/>
        <v>0</v>
      </c>
      <c r="EF435" s="161">
        <f t="shared" si="1565"/>
        <v>0</v>
      </c>
      <c r="EG435" s="161">
        <f t="shared" si="1566"/>
        <v>0</v>
      </c>
      <c r="EH435" s="161">
        <f t="shared" si="1567"/>
        <v>0</v>
      </c>
      <c r="EI435" s="161">
        <f t="shared" si="1568"/>
        <v>0</v>
      </c>
      <c r="EJ435" s="65"/>
      <c r="EK435" s="161">
        <f t="shared" si="1569"/>
        <v>0</v>
      </c>
      <c r="EL435" s="161">
        <f t="shared" si="1570"/>
        <v>0</v>
      </c>
      <c r="EM435" s="161">
        <f t="shared" si="1571"/>
        <v>0</v>
      </c>
    </row>
    <row r="436" spans="1:143" ht="12" hidden="1" customHeight="1" outlineLevel="2">
      <c r="A436" s="77">
        <v>8</v>
      </c>
      <c r="B436" s="137" t="str">
        <f t="shared" si="1499"/>
        <v>AN PL. ENG/ARQ - Equipe_01</v>
      </c>
      <c r="C436" s="65"/>
      <c r="D436" s="621"/>
      <c r="E436" s="65"/>
      <c r="F436" s="584"/>
      <c r="G436" s="77" t="str">
        <f>IF(INDEX(Tarefas!$BT$30:$FK$30,MATCH(A436,Tarefas!$BT$28:$FK$28,0))=0,"",INDEX(Tarefas!$BT$30:$FK$30,MATCH(A436,Tarefas!$BT$28:$FK$28,0)))</f>
        <v>AN PL. ENG/ARQ</v>
      </c>
      <c r="H436" s="107" cm="1">
        <f t="array" ref="H436">IFERROR((SUMPRODUCT((Tarefas!$N$32:$N$54='Cronog. e Histog.'!$F$429)*(Tarefas!$BQ$30:$FK$30='Cronog. e Histog.'!$G436)*(Tarefas!$BQ$32:$FK$54)))/SUMIF(Tarefas!$N$32:$N$54,'Cronog. e Histog.'!$F$429,Tarefas!$K$32:$K$54),0)</f>
        <v>0</v>
      </c>
      <c r="I436" s="79">
        <f t="shared" si="1500"/>
        <v>0</v>
      </c>
      <c r="J436" s="65"/>
      <c r="K436" s="160">
        <f t="shared" si="1501"/>
        <v>0</v>
      </c>
      <c r="L436" s="160">
        <f t="shared" si="1501"/>
        <v>0</v>
      </c>
      <c r="M436" s="160">
        <f t="shared" si="1501"/>
        <v>0</v>
      </c>
      <c r="N436" s="160">
        <f t="shared" si="1501"/>
        <v>0</v>
      </c>
      <c r="O436" s="160">
        <f t="shared" si="1501"/>
        <v>0</v>
      </c>
      <c r="P436" s="160">
        <f t="shared" si="1501"/>
        <v>0</v>
      </c>
      <c r="Q436" s="160">
        <f t="shared" si="1501"/>
        <v>0</v>
      </c>
      <c r="R436" s="160">
        <f t="shared" si="1501"/>
        <v>0</v>
      </c>
      <c r="S436" s="160">
        <f t="shared" si="1501"/>
        <v>0</v>
      </c>
      <c r="T436" s="160">
        <f t="shared" si="1501"/>
        <v>0</v>
      </c>
      <c r="U436" s="160">
        <f t="shared" si="1501"/>
        <v>0</v>
      </c>
      <c r="V436" s="160">
        <f t="shared" si="1501"/>
        <v>0</v>
      </c>
      <c r="W436" s="160">
        <f t="shared" si="1501"/>
        <v>0</v>
      </c>
      <c r="X436" s="160">
        <f t="shared" si="1501"/>
        <v>0</v>
      </c>
      <c r="Y436" s="160">
        <f t="shared" si="1501"/>
        <v>0</v>
      </c>
      <c r="Z436" s="160">
        <f t="shared" si="1501"/>
        <v>0</v>
      </c>
      <c r="AA436" s="160">
        <f t="shared" si="1502"/>
        <v>0</v>
      </c>
      <c r="AB436" s="160">
        <f t="shared" si="1502"/>
        <v>0</v>
      </c>
      <c r="AC436" s="160">
        <f t="shared" si="1502"/>
        <v>0</v>
      </c>
      <c r="AD436" s="160">
        <f t="shared" si="1502"/>
        <v>0</v>
      </c>
      <c r="AE436" s="160">
        <f t="shared" si="1502"/>
        <v>0</v>
      </c>
      <c r="AF436" s="160">
        <f t="shared" si="1502"/>
        <v>0</v>
      </c>
      <c r="AG436" s="160">
        <f t="shared" si="1502"/>
        <v>0</v>
      </c>
      <c r="AH436" s="160">
        <f t="shared" si="1502"/>
        <v>0</v>
      </c>
      <c r="AI436" s="160">
        <f t="shared" si="1502"/>
        <v>0</v>
      </c>
      <c r="AJ436" s="160">
        <f t="shared" si="1502"/>
        <v>0</v>
      </c>
      <c r="AK436" s="160">
        <f t="shared" si="1502"/>
        <v>0</v>
      </c>
      <c r="AL436" s="160">
        <f t="shared" si="1502"/>
        <v>0</v>
      </c>
      <c r="AM436" s="160">
        <f t="shared" si="1502"/>
        <v>0</v>
      </c>
      <c r="AN436" s="160">
        <f t="shared" si="1502"/>
        <v>0</v>
      </c>
      <c r="AO436" s="160">
        <f t="shared" si="1502"/>
        <v>0</v>
      </c>
      <c r="AP436" s="160">
        <f t="shared" si="1502"/>
        <v>0</v>
      </c>
      <c r="AQ436" s="160">
        <f t="shared" si="1503"/>
        <v>0</v>
      </c>
      <c r="AR436" s="160">
        <f t="shared" si="1503"/>
        <v>0</v>
      </c>
      <c r="AS436" s="160">
        <f t="shared" si="1503"/>
        <v>0</v>
      </c>
      <c r="AT436" s="160">
        <f t="shared" si="1503"/>
        <v>0</v>
      </c>
      <c r="AU436" s="160">
        <f t="shared" si="1503"/>
        <v>0</v>
      </c>
      <c r="AV436" s="160">
        <f t="shared" si="1503"/>
        <v>0</v>
      </c>
      <c r="AW436" s="160">
        <f t="shared" si="1503"/>
        <v>0</v>
      </c>
      <c r="AX436" s="160">
        <f t="shared" si="1503"/>
        <v>0</v>
      </c>
      <c r="AY436" s="160">
        <f t="shared" si="1503"/>
        <v>0</v>
      </c>
      <c r="AZ436" s="160">
        <f t="shared" si="1503"/>
        <v>0</v>
      </c>
      <c r="BA436" s="160">
        <f t="shared" si="1503"/>
        <v>0</v>
      </c>
      <c r="BB436" s="160">
        <f t="shared" si="1503"/>
        <v>0</v>
      </c>
      <c r="BC436" s="160">
        <f t="shared" si="1503"/>
        <v>0</v>
      </c>
      <c r="BD436" s="160">
        <f t="shared" si="1503"/>
        <v>0</v>
      </c>
      <c r="BE436" s="160">
        <f t="shared" si="1503"/>
        <v>0</v>
      </c>
      <c r="BF436" s="160">
        <f t="shared" si="1503"/>
        <v>0</v>
      </c>
      <c r="BG436" s="160">
        <f t="shared" si="1504"/>
        <v>0</v>
      </c>
      <c r="BH436" s="160">
        <f t="shared" si="1504"/>
        <v>0</v>
      </c>
      <c r="BI436" s="160">
        <f t="shared" si="1504"/>
        <v>0</v>
      </c>
      <c r="BJ436" s="160">
        <f t="shared" si="1504"/>
        <v>0</v>
      </c>
      <c r="BK436" s="160">
        <f t="shared" si="1504"/>
        <v>0</v>
      </c>
      <c r="BL436" s="160">
        <f t="shared" si="1504"/>
        <v>0</v>
      </c>
      <c r="BM436" s="160">
        <f t="shared" si="1504"/>
        <v>0</v>
      </c>
      <c r="BN436" s="160">
        <f t="shared" si="1504"/>
        <v>0</v>
      </c>
      <c r="BO436" s="160">
        <f t="shared" si="1504"/>
        <v>0</v>
      </c>
      <c r="BP436" s="160">
        <f t="shared" si="1504"/>
        <v>0</v>
      </c>
      <c r="BQ436" s="160">
        <f t="shared" si="1504"/>
        <v>0</v>
      </c>
      <c r="BR436" s="160">
        <f t="shared" si="1504"/>
        <v>0</v>
      </c>
      <c r="BS436" s="65"/>
      <c r="BT436" s="160">
        <f t="shared" si="1505"/>
        <v>0</v>
      </c>
      <c r="BU436" s="160">
        <f t="shared" si="1506"/>
        <v>0</v>
      </c>
      <c r="BV436" s="65"/>
      <c r="BW436" s="69"/>
      <c r="BX436" s="65"/>
      <c r="BY436" s="137">
        <f t="shared" si="1507"/>
        <v>1</v>
      </c>
      <c r="BZ436" s="137">
        <f>IF(BY436&gt;0,BY436+LARGE($BZ$213:BZ435,1),0)</f>
        <v>188</v>
      </c>
      <c r="CA436" s="137" t="str">
        <f t="shared" si="1508"/>
        <v>AN PL. ENG/ARQ</v>
      </c>
      <c r="CB436" s="161">
        <f t="shared" si="1509"/>
        <v>0</v>
      </c>
      <c r="CC436" s="161">
        <f t="shared" si="1510"/>
        <v>0</v>
      </c>
      <c r="CD436" s="161">
        <f t="shared" si="1511"/>
        <v>0</v>
      </c>
      <c r="CE436" s="161">
        <f t="shared" si="1512"/>
        <v>0</v>
      </c>
      <c r="CF436" s="161">
        <f t="shared" si="1513"/>
        <v>0</v>
      </c>
      <c r="CG436" s="161">
        <f t="shared" si="1514"/>
        <v>0</v>
      </c>
      <c r="CH436" s="161">
        <f t="shared" si="1515"/>
        <v>0</v>
      </c>
      <c r="CI436" s="161">
        <f t="shared" si="1516"/>
        <v>0</v>
      </c>
      <c r="CJ436" s="161">
        <f t="shared" si="1517"/>
        <v>0</v>
      </c>
      <c r="CK436" s="161">
        <f t="shared" si="1518"/>
        <v>0</v>
      </c>
      <c r="CL436" s="161">
        <f t="shared" si="1519"/>
        <v>0</v>
      </c>
      <c r="CM436" s="161">
        <f t="shared" si="1520"/>
        <v>0</v>
      </c>
      <c r="CN436" s="161">
        <f t="shared" si="1521"/>
        <v>0</v>
      </c>
      <c r="CO436" s="161">
        <f t="shared" si="1522"/>
        <v>0</v>
      </c>
      <c r="CP436" s="161">
        <f t="shared" si="1523"/>
        <v>0</v>
      </c>
      <c r="CQ436" s="161">
        <f t="shared" si="1524"/>
        <v>0</v>
      </c>
      <c r="CR436" s="161">
        <f t="shared" si="1525"/>
        <v>0</v>
      </c>
      <c r="CS436" s="161">
        <f t="shared" si="1526"/>
        <v>0</v>
      </c>
      <c r="CT436" s="161">
        <f t="shared" si="1527"/>
        <v>0</v>
      </c>
      <c r="CU436" s="161">
        <f t="shared" si="1528"/>
        <v>0</v>
      </c>
      <c r="CV436" s="161">
        <f t="shared" si="1529"/>
        <v>0</v>
      </c>
      <c r="CW436" s="161">
        <f t="shared" si="1530"/>
        <v>0</v>
      </c>
      <c r="CX436" s="161">
        <f t="shared" si="1531"/>
        <v>0</v>
      </c>
      <c r="CY436" s="161">
        <f t="shared" si="1532"/>
        <v>0</v>
      </c>
      <c r="CZ436" s="161">
        <f t="shared" si="1533"/>
        <v>0</v>
      </c>
      <c r="DA436" s="161">
        <f t="shared" si="1534"/>
        <v>0</v>
      </c>
      <c r="DB436" s="161">
        <f t="shared" si="1535"/>
        <v>0</v>
      </c>
      <c r="DC436" s="161">
        <f t="shared" si="1536"/>
        <v>0</v>
      </c>
      <c r="DD436" s="161">
        <f t="shared" si="1537"/>
        <v>0</v>
      </c>
      <c r="DE436" s="161">
        <f t="shared" si="1538"/>
        <v>0</v>
      </c>
      <c r="DF436" s="161">
        <f t="shared" si="1539"/>
        <v>0</v>
      </c>
      <c r="DG436" s="161">
        <f t="shared" si="1540"/>
        <v>0</v>
      </c>
      <c r="DH436" s="161">
        <f t="shared" si="1541"/>
        <v>0</v>
      </c>
      <c r="DI436" s="161">
        <f t="shared" si="1542"/>
        <v>0</v>
      </c>
      <c r="DJ436" s="161">
        <f t="shared" si="1543"/>
        <v>0</v>
      </c>
      <c r="DK436" s="161">
        <f t="shared" si="1544"/>
        <v>0</v>
      </c>
      <c r="DL436" s="161">
        <f t="shared" si="1545"/>
        <v>0</v>
      </c>
      <c r="DM436" s="161">
        <f t="shared" si="1546"/>
        <v>0</v>
      </c>
      <c r="DN436" s="161">
        <f t="shared" si="1547"/>
        <v>0</v>
      </c>
      <c r="DO436" s="161">
        <f t="shared" si="1548"/>
        <v>0</v>
      </c>
      <c r="DP436" s="161">
        <f t="shared" si="1549"/>
        <v>0</v>
      </c>
      <c r="DQ436" s="161">
        <f t="shared" si="1550"/>
        <v>0</v>
      </c>
      <c r="DR436" s="161">
        <f t="shared" si="1551"/>
        <v>0</v>
      </c>
      <c r="DS436" s="161">
        <f t="shared" si="1552"/>
        <v>0</v>
      </c>
      <c r="DT436" s="161">
        <f t="shared" si="1553"/>
        <v>0</v>
      </c>
      <c r="DU436" s="161">
        <f t="shared" si="1554"/>
        <v>0</v>
      </c>
      <c r="DV436" s="161">
        <f t="shared" si="1555"/>
        <v>0</v>
      </c>
      <c r="DW436" s="161">
        <f t="shared" si="1556"/>
        <v>0</v>
      </c>
      <c r="DX436" s="161">
        <f t="shared" si="1557"/>
        <v>0</v>
      </c>
      <c r="DY436" s="161">
        <f t="shared" si="1558"/>
        <v>0</v>
      </c>
      <c r="DZ436" s="161">
        <f t="shared" si="1559"/>
        <v>0</v>
      </c>
      <c r="EA436" s="161">
        <f t="shared" si="1560"/>
        <v>0</v>
      </c>
      <c r="EB436" s="161">
        <f t="shared" si="1561"/>
        <v>0</v>
      </c>
      <c r="EC436" s="161">
        <f t="shared" si="1562"/>
        <v>0</v>
      </c>
      <c r="ED436" s="161">
        <f t="shared" si="1563"/>
        <v>0</v>
      </c>
      <c r="EE436" s="161">
        <f t="shared" si="1564"/>
        <v>0</v>
      </c>
      <c r="EF436" s="161">
        <f t="shared" si="1565"/>
        <v>0</v>
      </c>
      <c r="EG436" s="161">
        <f t="shared" si="1566"/>
        <v>0</v>
      </c>
      <c r="EH436" s="161">
        <f t="shared" si="1567"/>
        <v>0</v>
      </c>
      <c r="EI436" s="161">
        <f t="shared" si="1568"/>
        <v>0</v>
      </c>
      <c r="EJ436" s="65"/>
      <c r="EK436" s="161">
        <f t="shared" si="1569"/>
        <v>0</v>
      </c>
      <c r="EL436" s="161">
        <f t="shared" si="1570"/>
        <v>0</v>
      </c>
      <c r="EM436" s="161">
        <f t="shared" si="1571"/>
        <v>0</v>
      </c>
    </row>
    <row r="437" spans="1:143" ht="12" hidden="1" customHeight="1" outlineLevel="2">
      <c r="A437" s="77">
        <v>9</v>
      </c>
      <c r="B437" s="137" t="str">
        <f t="shared" si="1499"/>
        <v>AN JR. ENG/ARQ - Equipe_01</v>
      </c>
      <c r="C437" s="65"/>
      <c r="D437" s="621"/>
      <c r="E437" s="65"/>
      <c r="F437" s="584"/>
      <c r="G437" s="77" t="str">
        <f>IF(INDEX(Tarefas!$BT$30:$FK$30,MATCH(A437,Tarefas!$BT$28:$FK$28,0))=0,"",INDEX(Tarefas!$BT$30:$FK$30,MATCH(A437,Tarefas!$BT$28:$FK$28,0)))</f>
        <v>AN JR. ENG/ARQ</v>
      </c>
      <c r="H437" s="107" cm="1">
        <f t="array" ref="H437">IFERROR((SUMPRODUCT((Tarefas!$N$32:$N$54='Cronog. e Histog.'!$F$429)*(Tarefas!$BQ$30:$FK$30='Cronog. e Histog.'!$G437)*(Tarefas!$BQ$32:$FK$54)))/SUMIF(Tarefas!$N$32:$N$54,'Cronog. e Histog.'!$F$429,Tarefas!$K$32:$K$54),0)</f>
        <v>0</v>
      </c>
      <c r="I437" s="79">
        <f t="shared" si="1500"/>
        <v>0</v>
      </c>
      <c r="J437" s="65"/>
      <c r="K437" s="160">
        <f t="shared" si="1501"/>
        <v>0</v>
      </c>
      <c r="L437" s="160">
        <f t="shared" si="1501"/>
        <v>0</v>
      </c>
      <c r="M437" s="160">
        <f t="shared" si="1501"/>
        <v>0</v>
      </c>
      <c r="N437" s="160">
        <f t="shared" si="1501"/>
        <v>0</v>
      </c>
      <c r="O437" s="160">
        <f t="shared" si="1501"/>
        <v>0</v>
      </c>
      <c r="P437" s="160">
        <f t="shared" si="1501"/>
        <v>0</v>
      </c>
      <c r="Q437" s="160">
        <f t="shared" si="1501"/>
        <v>0</v>
      </c>
      <c r="R437" s="160">
        <f t="shared" si="1501"/>
        <v>0</v>
      </c>
      <c r="S437" s="160">
        <f t="shared" si="1501"/>
        <v>0</v>
      </c>
      <c r="T437" s="160">
        <f t="shared" si="1501"/>
        <v>0</v>
      </c>
      <c r="U437" s="160">
        <f t="shared" si="1501"/>
        <v>0</v>
      </c>
      <c r="V437" s="160">
        <f t="shared" si="1501"/>
        <v>0</v>
      </c>
      <c r="W437" s="160">
        <f t="shared" si="1501"/>
        <v>0</v>
      </c>
      <c r="X437" s="160">
        <f t="shared" si="1501"/>
        <v>0</v>
      </c>
      <c r="Y437" s="160">
        <f t="shared" si="1501"/>
        <v>0</v>
      </c>
      <c r="Z437" s="160">
        <f t="shared" si="1501"/>
        <v>0</v>
      </c>
      <c r="AA437" s="160">
        <f t="shared" si="1502"/>
        <v>0</v>
      </c>
      <c r="AB437" s="160">
        <f t="shared" si="1502"/>
        <v>0</v>
      </c>
      <c r="AC437" s="160">
        <f t="shared" si="1502"/>
        <v>0</v>
      </c>
      <c r="AD437" s="160">
        <f t="shared" si="1502"/>
        <v>0</v>
      </c>
      <c r="AE437" s="160">
        <f t="shared" si="1502"/>
        <v>0</v>
      </c>
      <c r="AF437" s="160">
        <f t="shared" si="1502"/>
        <v>0</v>
      </c>
      <c r="AG437" s="160">
        <f t="shared" si="1502"/>
        <v>0</v>
      </c>
      <c r="AH437" s="160">
        <f t="shared" si="1502"/>
        <v>0</v>
      </c>
      <c r="AI437" s="160">
        <f t="shared" si="1502"/>
        <v>0</v>
      </c>
      <c r="AJ437" s="160">
        <f t="shared" si="1502"/>
        <v>0</v>
      </c>
      <c r="AK437" s="160">
        <f t="shared" si="1502"/>
        <v>0</v>
      </c>
      <c r="AL437" s="160">
        <f t="shared" si="1502"/>
        <v>0</v>
      </c>
      <c r="AM437" s="160">
        <f t="shared" si="1502"/>
        <v>0</v>
      </c>
      <c r="AN437" s="160">
        <f t="shared" si="1502"/>
        <v>0</v>
      </c>
      <c r="AO437" s="160">
        <f t="shared" si="1502"/>
        <v>0</v>
      </c>
      <c r="AP437" s="160">
        <f t="shared" si="1502"/>
        <v>0</v>
      </c>
      <c r="AQ437" s="160">
        <f t="shared" si="1503"/>
        <v>0</v>
      </c>
      <c r="AR437" s="160">
        <f t="shared" si="1503"/>
        <v>0</v>
      </c>
      <c r="AS437" s="160">
        <f t="shared" si="1503"/>
        <v>0</v>
      </c>
      <c r="AT437" s="160">
        <f t="shared" si="1503"/>
        <v>0</v>
      </c>
      <c r="AU437" s="160">
        <f t="shared" si="1503"/>
        <v>0</v>
      </c>
      <c r="AV437" s="160">
        <f t="shared" si="1503"/>
        <v>0</v>
      </c>
      <c r="AW437" s="160">
        <f t="shared" si="1503"/>
        <v>0</v>
      </c>
      <c r="AX437" s="160">
        <f t="shared" si="1503"/>
        <v>0</v>
      </c>
      <c r="AY437" s="160">
        <f t="shared" si="1503"/>
        <v>0</v>
      </c>
      <c r="AZ437" s="160">
        <f t="shared" si="1503"/>
        <v>0</v>
      </c>
      <c r="BA437" s="160">
        <f t="shared" si="1503"/>
        <v>0</v>
      </c>
      <c r="BB437" s="160">
        <f t="shared" si="1503"/>
        <v>0</v>
      </c>
      <c r="BC437" s="160">
        <f t="shared" si="1503"/>
        <v>0</v>
      </c>
      <c r="BD437" s="160">
        <f t="shared" si="1503"/>
        <v>0</v>
      </c>
      <c r="BE437" s="160">
        <f t="shared" si="1503"/>
        <v>0</v>
      </c>
      <c r="BF437" s="160">
        <f t="shared" si="1503"/>
        <v>0</v>
      </c>
      <c r="BG437" s="160">
        <f t="shared" si="1504"/>
        <v>0</v>
      </c>
      <c r="BH437" s="160">
        <f t="shared" si="1504"/>
        <v>0</v>
      </c>
      <c r="BI437" s="160">
        <f t="shared" si="1504"/>
        <v>0</v>
      </c>
      <c r="BJ437" s="160">
        <f t="shared" si="1504"/>
        <v>0</v>
      </c>
      <c r="BK437" s="160">
        <f t="shared" si="1504"/>
        <v>0</v>
      </c>
      <c r="BL437" s="160">
        <f t="shared" si="1504"/>
        <v>0</v>
      </c>
      <c r="BM437" s="160">
        <f t="shared" si="1504"/>
        <v>0</v>
      </c>
      <c r="BN437" s="160">
        <f t="shared" si="1504"/>
        <v>0</v>
      </c>
      <c r="BO437" s="160">
        <f t="shared" si="1504"/>
        <v>0</v>
      </c>
      <c r="BP437" s="160">
        <f t="shared" si="1504"/>
        <v>0</v>
      </c>
      <c r="BQ437" s="160">
        <f t="shared" si="1504"/>
        <v>0</v>
      </c>
      <c r="BR437" s="160">
        <f t="shared" si="1504"/>
        <v>0</v>
      </c>
      <c r="BS437" s="65"/>
      <c r="BT437" s="160">
        <f t="shared" si="1505"/>
        <v>0</v>
      </c>
      <c r="BU437" s="160">
        <f t="shared" si="1506"/>
        <v>0</v>
      </c>
      <c r="BV437" s="65"/>
      <c r="BW437" s="69"/>
      <c r="BX437" s="65"/>
      <c r="BY437" s="137">
        <f t="shared" si="1507"/>
        <v>1</v>
      </c>
      <c r="BZ437" s="137">
        <f>IF(BY437&gt;0,BY437+LARGE($BZ$213:BZ436,1),0)</f>
        <v>189</v>
      </c>
      <c r="CA437" s="137" t="str">
        <f t="shared" si="1508"/>
        <v>AN JR. ENG/ARQ</v>
      </c>
      <c r="CB437" s="161">
        <f t="shared" si="1509"/>
        <v>0</v>
      </c>
      <c r="CC437" s="161">
        <f t="shared" si="1510"/>
        <v>0</v>
      </c>
      <c r="CD437" s="161">
        <f t="shared" si="1511"/>
        <v>0</v>
      </c>
      <c r="CE437" s="161">
        <f t="shared" si="1512"/>
        <v>0</v>
      </c>
      <c r="CF437" s="161">
        <f t="shared" si="1513"/>
        <v>0</v>
      </c>
      <c r="CG437" s="161">
        <f t="shared" si="1514"/>
        <v>0</v>
      </c>
      <c r="CH437" s="161">
        <f t="shared" si="1515"/>
        <v>0</v>
      </c>
      <c r="CI437" s="161">
        <f t="shared" si="1516"/>
        <v>0</v>
      </c>
      <c r="CJ437" s="161">
        <f t="shared" si="1517"/>
        <v>0</v>
      </c>
      <c r="CK437" s="161">
        <f t="shared" si="1518"/>
        <v>0</v>
      </c>
      <c r="CL437" s="161">
        <f t="shared" si="1519"/>
        <v>0</v>
      </c>
      <c r="CM437" s="161">
        <f t="shared" si="1520"/>
        <v>0</v>
      </c>
      <c r="CN437" s="161">
        <f t="shared" si="1521"/>
        <v>0</v>
      </c>
      <c r="CO437" s="161">
        <f t="shared" si="1522"/>
        <v>0</v>
      </c>
      <c r="CP437" s="161">
        <f t="shared" si="1523"/>
        <v>0</v>
      </c>
      <c r="CQ437" s="161">
        <f t="shared" si="1524"/>
        <v>0</v>
      </c>
      <c r="CR437" s="161">
        <f t="shared" si="1525"/>
        <v>0</v>
      </c>
      <c r="CS437" s="161">
        <f t="shared" si="1526"/>
        <v>0</v>
      </c>
      <c r="CT437" s="161">
        <f t="shared" si="1527"/>
        <v>0</v>
      </c>
      <c r="CU437" s="161">
        <f t="shared" si="1528"/>
        <v>0</v>
      </c>
      <c r="CV437" s="161">
        <f t="shared" si="1529"/>
        <v>0</v>
      </c>
      <c r="CW437" s="161">
        <f t="shared" si="1530"/>
        <v>0</v>
      </c>
      <c r="CX437" s="161">
        <f t="shared" si="1531"/>
        <v>0</v>
      </c>
      <c r="CY437" s="161">
        <f t="shared" si="1532"/>
        <v>0</v>
      </c>
      <c r="CZ437" s="161">
        <f t="shared" si="1533"/>
        <v>0</v>
      </c>
      <c r="DA437" s="161">
        <f t="shared" si="1534"/>
        <v>0</v>
      </c>
      <c r="DB437" s="161">
        <f t="shared" si="1535"/>
        <v>0</v>
      </c>
      <c r="DC437" s="161">
        <f t="shared" si="1536"/>
        <v>0</v>
      </c>
      <c r="DD437" s="161">
        <f t="shared" si="1537"/>
        <v>0</v>
      </c>
      <c r="DE437" s="161">
        <f t="shared" si="1538"/>
        <v>0</v>
      </c>
      <c r="DF437" s="161">
        <f t="shared" si="1539"/>
        <v>0</v>
      </c>
      <c r="DG437" s="161">
        <f t="shared" si="1540"/>
        <v>0</v>
      </c>
      <c r="DH437" s="161">
        <f t="shared" si="1541"/>
        <v>0</v>
      </c>
      <c r="DI437" s="161">
        <f t="shared" si="1542"/>
        <v>0</v>
      </c>
      <c r="DJ437" s="161">
        <f t="shared" si="1543"/>
        <v>0</v>
      </c>
      <c r="DK437" s="161">
        <f t="shared" si="1544"/>
        <v>0</v>
      </c>
      <c r="DL437" s="161">
        <f t="shared" si="1545"/>
        <v>0</v>
      </c>
      <c r="DM437" s="161">
        <f t="shared" si="1546"/>
        <v>0</v>
      </c>
      <c r="DN437" s="161">
        <f t="shared" si="1547"/>
        <v>0</v>
      </c>
      <c r="DO437" s="161">
        <f t="shared" si="1548"/>
        <v>0</v>
      </c>
      <c r="DP437" s="161">
        <f t="shared" si="1549"/>
        <v>0</v>
      </c>
      <c r="DQ437" s="161">
        <f t="shared" si="1550"/>
        <v>0</v>
      </c>
      <c r="DR437" s="161">
        <f t="shared" si="1551"/>
        <v>0</v>
      </c>
      <c r="DS437" s="161">
        <f t="shared" si="1552"/>
        <v>0</v>
      </c>
      <c r="DT437" s="161">
        <f t="shared" si="1553"/>
        <v>0</v>
      </c>
      <c r="DU437" s="161">
        <f t="shared" si="1554"/>
        <v>0</v>
      </c>
      <c r="DV437" s="161">
        <f t="shared" si="1555"/>
        <v>0</v>
      </c>
      <c r="DW437" s="161">
        <f t="shared" si="1556"/>
        <v>0</v>
      </c>
      <c r="DX437" s="161">
        <f t="shared" si="1557"/>
        <v>0</v>
      </c>
      <c r="DY437" s="161">
        <f t="shared" si="1558"/>
        <v>0</v>
      </c>
      <c r="DZ437" s="161">
        <f t="shared" si="1559"/>
        <v>0</v>
      </c>
      <c r="EA437" s="161">
        <f t="shared" si="1560"/>
        <v>0</v>
      </c>
      <c r="EB437" s="161">
        <f t="shared" si="1561"/>
        <v>0</v>
      </c>
      <c r="EC437" s="161">
        <f t="shared" si="1562"/>
        <v>0</v>
      </c>
      <c r="ED437" s="161">
        <f t="shared" si="1563"/>
        <v>0</v>
      </c>
      <c r="EE437" s="161">
        <f t="shared" si="1564"/>
        <v>0</v>
      </c>
      <c r="EF437" s="161">
        <f t="shared" si="1565"/>
        <v>0</v>
      </c>
      <c r="EG437" s="161">
        <f t="shared" si="1566"/>
        <v>0</v>
      </c>
      <c r="EH437" s="161">
        <f t="shared" si="1567"/>
        <v>0</v>
      </c>
      <c r="EI437" s="161">
        <f t="shared" si="1568"/>
        <v>0</v>
      </c>
      <c r="EJ437" s="65"/>
      <c r="EK437" s="161">
        <f t="shared" si="1569"/>
        <v>0</v>
      </c>
      <c r="EL437" s="161">
        <f t="shared" si="1570"/>
        <v>0</v>
      </c>
      <c r="EM437" s="161">
        <f t="shared" si="1571"/>
        <v>0</v>
      </c>
    </row>
    <row r="438" spans="1:143" ht="12" hidden="1" customHeight="1" outlineLevel="2">
      <c r="A438" s="77">
        <v>10</v>
      </c>
      <c r="B438" s="137" t="str">
        <f t="shared" si="1499"/>
        <v>AN SR. ADM/CRP - Equipe_01</v>
      </c>
      <c r="C438" s="65"/>
      <c r="D438" s="621"/>
      <c r="E438" s="65"/>
      <c r="F438" s="584"/>
      <c r="G438" s="77" t="str">
        <f>IF(INDEX(Tarefas!$BT$30:$FK$30,MATCH(A438,Tarefas!$BT$28:$FK$28,0))=0,"",INDEX(Tarefas!$BT$30:$FK$30,MATCH(A438,Tarefas!$BT$28:$FK$28,0)))</f>
        <v>AN SR. ADM/CRP</v>
      </c>
      <c r="H438" s="107" cm="1">
        <f t="array" ref="H438">IFERROR((SUMPRODUCT((Tarefas!$N$32:$N$54='Cronog. e Histog.'!$F$429)*(Tarefas!$BQ$30:$FK$30='Cronog. e Histog.'!$G438)*(Tarefas!$BQ$32:$FK$54)))/SUMIF(Tarefas!$N$32:$N$54,'Cronog. e Histog.'!$F$429,Tarefas!$K$32:$K$54),0)</f>
        <v>0</v>
      </c>
      <c r="I438" s="79">
        <f t="shared" si="1500"/>
        <v>0</v>
      </c>
      <c r="J438" s="65"/>
      <c r="K438" s="160">
        <f t="shared" si="1501"/>
        <v>0</v>
      </c>
      <c r="L438" s="160">
        <f t="shared" si="1501"/>
        <v>0</v>
      </c>
      <c r="M438" s="160">
        <f t="shared" si="1501"/>
        <v>0</v>
      </c>
      <c r="N438" s="160">
        <f t="shared" si="1501"/>
        <v>0</v>
      </c>
      <c r="O438" s="160">
        <f t="shared" si="1501"/>
        <v>0</v>
      </c>
      <c r="P438" s="160">
        <f t="shared" si="1501"/>
        <v>0</v>
      </c>
      <c r="Q438" s="160">
        <f t="shared" si="1501"/>
        <v>0</v>
      </c>
      <c r="R438" s="160">
        <f t="shared" si="1501"/>
        <v>0</v>
      </c>
      <c r="S438" s="160">
        <f t="shared" si="1501"/>
        <v>0</v>
      </c>
      <c r="T438" s="160">
        <f t="shared" si="1501"/>
        <v>0</v>
      </c>
      <c r="U438" s="160">
        <f t="shared" si="1501"/>
        <v>0</v>
      </c>
      <c r="V438" s="160">
        <f t="shared" si="1501"/>
        <v>0</v>
      </c>
      <c r="W438" s="160">
        <f t="shared" si="1501"/>
        <v>0</v>
      </c>
      <c r="X438" s="160">
        <f t="shared" si="1501"/>
        <v>0</v>
      </c>
      <c r="Y438" s="160">
        <f t="shared" si="1501"/>
        <v>0</v>
      </c>
      <c r="Z438" s="160">
        <f t="shared" si="1501"/>
        <v>0</v>
      </c>
      <c r="AA438" s="160">
        <f t="shared" si="1502"/>
        <v>0</v>
      </c>
      <c r="AB438" s="160">
        <f t="shared" si="1502"/>
        <v>0</v>
      </c>
      <c r="AC438" s="160">
        <f t="shared" si="1502"/>
        <v>0</v>
      </c>
      <c r="AD438" s="160">
        <f t="shared" si="1502"/>
        <v>0</v>
      </c>
      <c r="AE438" s="160">
        <f t="shared" si="1502"/>
        <v>0</v>
      </c>
      <c r="AF438" s="160">
        <f t="shared" si="1502"/>
        <v>0</v>
      </c>
      <c r="AG438" s="160">
        <f t="shared" si="1502"/>
        <v>0</v>
      </c>
      <c r="AH438" s="160">
        <f t="shared" si="1502"/>
        <v>0</v>
      </c>
      <c r="AI438" s="160">
        <f t="shared" si="1502"/>
        <v>0</v>
      </c>
      <c r="AJ438" s="160">
        <f t="shared" si="1502"/>
        <v>0</v>
      </c>
      <c r="AK438" s="160">
        <f t="shared" si="1502"/>
        <v>0</v>
      </c>
      <c r="AL438" s="160">
        <f t="shared" si="1502"/>
        <v>0</v>
      </c>
      <c r="AM438" s="160">
        <f t="shared" si="1502"/>
        <v>0</v>
      </c>
      <c r="AN438" s="160">
        <f t="shared" si="1502"/>
        <v>0</v>
      </c>
      <c r="AO438" s="160">
        <f t="shared" si="1502"/>
        <v>0</v>
      </c>
      <c r="AP438" s="160">
        <f t="shared" si="1502"/>
        <v>0</v>
      </c>
      <c r="AQ438" s="160">
        <f t="shared" si="1503"/>
        <v>0</v>
      </c>
      <c r="AR438" s="160">
        <f t="shared" si="1503"/>
        <v>0</v>
      </c>
      <c r="AS438" s="160">
        <f t="shared" si="1503"/>
        <v>0</v>
      </c>
      <c r="AT438" s="160">
        <f t="shared" si="1503"/>
        <v>0</v>
      </c>
      <c r="AU438" s="160">
        <f t="shared" si="1503"/>
        <v>0</v>
      </c>
      <c r="AV438" s="160">
        <f t="shared" si="1503"/>
        <v>0</v>
      </c>
      <c r="AW438" s="160">
        <f t="shared" si="1503"/>
        <v>0</v>
      </c>
      <c r="AX438" s="160">
        <f t="shared" si="1503"/>
        <v>0</v>
      </c>
      <c r="AY438" s="160">
        <f t="shared" si="1503"/>
        <v>0</v>
      </c>
      <c r="AZ438" s="160">
        <f t="shared" si="1503"/>
        <v>0</v>
      </c>
      <c r="BA438" s="160">
        <f t="shared" si="1503"/>
        <v>0</v>
      </c>
      <c r="BB438" s="160">
        <f t="shared" si="1503"/>
        <v>0</v>
      </c>
      <c r="BC438" s="160">
        <f t="shared" si="1503"/>
        <v>0</v>
      </c>
      <c r="BD438" s="160">
        <f t="shared" si="1503"/>
        <v>0</v>
      </c>
      <c r="BE438" s="160">
        <f t="shared" si="1503"/>
        <v>0</v>
      </c>
      <c r="BF438" s="160">
        <f t="shared" si="1503"/>
        <v>0</v>
      </c>
      <c r="BG438" s="160">
        <f t="shared" si="1504"/>
        <v>0</v>
      </c>
      <c r="BH438" s="160">
        <f t="shared" si="1504"/>
        <v>0</v>
      </c>
      <c r="BI438" s="160">
        <f t="shared" si="1504"/>
        <v>0</v>
      </c>
      <c r="BJ438" s="160">
        <f t="shared" si="1504"/>
        <v>0</v>
      </c>
      <c r="BK438" s="160">
        <f t="shared" si="1504"/>
        <v>0</v>
      </c>
      <c r="BL438" s="160">
        <f t="shared" si="1504"/>
        <v>0</v>
      </c>
      <c r="BM438" s="160">
        <f t="shared" si="1504"/>
        <v>0</v>
      </c>
      <c r="BN438" s="160">
        <f t="shared" si="1504"/>
        <v>0</v>
      </c>
      <c r="BO438" s="160">
        <f t="shared" si="1504"/>
        <v>0</v>
      </c>
      <c r="BP438" s="160">
        <f t="shared" si="1504"/>
        <v>0</v>
      </c>
      <c r="BQ438" s="160">
        <f t="shared" si="1504"/>
        <v>0</v>
      </c>
      <c r="BR438" s="160">
        <f t="shared" si="1504"/>
        <v>0</v>
      </c>
      <c r="BS438" s="65"/>
      <c r="BT438" s="160">
        <f t="shared" si="1505"/>
        <v>0</v>
      </c>
      <c r="BU438" s="160">
        <f t="shared" si="1506"/>
        <v>0</v>
      </c>
      <c r="BV438" s="65"/>
      <c r="BW438" s="69"/>
      <c r="BX438" s="65"/>
      <c r="BY438" s="137">
        <f t="shared" si="1507"/>
        <v>1</v>
      </c>
      <c r="BZ438" s="137">
        <f>IF(BY438&gt;0,BY438+LARGE($BZ$213:BZ437,1),0)</f>
        <v>190</v>
      </c>
      <c r="CA438" s="137" t="str">
        <f t="shared" si="1508"/>
        <v>AN SR. ADM/CRP</v>
      </c>
      <c r="CB438" s="161">
        <f t="shared" si="1509"/>
        <v>0</v>
      </c>
      <c r="CC438" s="161">
        <f t="shared" si="1510"/>
        <v>0</v>
      </c>
      <c r="CD438" s="161">
        <f t="shared" si="1511"/>
        <v>0</v>
      </c>
      <c r="CE438" s="161">
        <f t="shared" si="1512"/>
        <v>0</v>
      </c>
      <c r="CF438" s="161">
        <f t="shared" si="1513"/>
        <v>0</v>
      </c>
      <c r="CG438" s="161">
        <f t="shared" si="1514"/>
        <v>0</v>
      </c>
      <c r="CH438" s="161">
        <f t="shared" si="1515"/>
        <v>0</v>
      </c>
      <c r="CI438" s="161">
        <f t="shared" si="1516"/>
        <v>0</v>
      </c>
      <c r="CJ438" s="161">
        <f t="shared" si="1517"/>
        <v>0</v>
      </c>
      <c r="CK438" s="161">
        <f t="shared" si="1518"/>
        <v>0</v>
      </c>
      <c r="CL438" s="161">
        <f t="shared" si="1519"/>
        <v>0</v>
      </c>
      <c r="CM438" s="161">
        <f t="shared" si="1520"/>
        <v>0</v>
      </c>
      <c r="CN438" s="161">
        <f t="shared" si="1521"/>
        <v>0</v>
      </c>
      <c r="CO438" s="161">
        <f t="shared" si="1522"/>
        <v>0</v>
      </c>
      <c r="CP438" s="161">
        <f t="shared" si="1523"/>
        <v>0</v>
      </c>
      <c r="CQ438" s="161">
        <f t="shared" si="1524"/>
        <v>0</v>
      </c>
      <c r="CR438" s="161">
        <f t="shared" si="1525"/>
        <v>0</v>
      </c>
      <c r="CS438" s="161">
        <f t="shared" si="1526"/>
        <v>0</v>
      </c>
      <c r="CT438" s="161">
        <f t="shared" si="1527"/>
        <v>0</v>
      </c>
      <c r="CU438" s="161">
        <f t="shared" si="1528"/>
        <v>0</v>
      </c>
      <c r="CV438" s="161">
        <f t="shared" si="1529"/>
        <v>0</v>
      </c>
      <c r="CW438" s="161">
        <f t="shared" si="1530"/>
        <v>0</v>
      </c>
      <c r="CX438" s="161">
        <f t="shared" si="1531"/>
        <v>0</v>
      </c>
      <c r="CY438" s="161">
        <f t="shared" si="1532"/>
        <v>0</v>
      </c>
      <c r="CZ438" s="161">
        <f t="shared" si="1533"/>
        <v>0</v>
      </c>
      <c r="DA438" s="161">
        <f t="shared" si="1534"/>
        <v>0</v>
      </c>
      <c r="DB438" s="161">
        <f t="shared" si="1535"/>
        <v>0</v>
      </c>
      <c r="DC438" s="161">
        <f t="shared" si="1536"/>
        <v>0</v>
      </c>
      <c r="DD438" s="161">
        <f t="shared" si="1537"/>
        <v>0</v>
      </c>
      <c r="DE438" s="161">
        <f t="shared" si="1538"/>
        <v>0</v>
      </c>
      <c r="DF438" s="161">
        <f t="shared" si="1539"/>
        <v>0</v>
      </c>
      <c r="DG438" s="161">
        <f t="shared" si="1540"/>
        <v>0</v>
      </c>
      <c r="DH438" s="161">
        <f t="shared" si="1541"/>
        <v>0</v>
      </c>
      <c r="DI438" s="161">
        <f t="shared" si="1542"/>
        <v>0</v>
      </c>
      <c r="DJ438" s="161">
        <f t="shared" si="1543"/>
        <v>0</v>
      </c>
      <c r="DK438" s="161">
        <f t="shared" si="1544"/>
        <v>0</v>
      </c>
      <c r="DL438" s="161">
        <f t="shared" si="1545"/>
        <v>0</v>
      </c>
      <c r="DM438" s="161">
        <f t="shared" si="1546"/>
        <v>0</v>
      </c>
      <c r="DN438" s="161">
        <f t="shared" si="1547"/>
        <v>0</v>
      </c>
      <c r="DO438" s="161">
        <f t="shared" si="1548"/>
        <v>0</v>
      </c>
      <c r="DP438" s="161">
        <f t="shared" si="1549"/>
        <v>0</v>
      </c>
      <c r="DQ438" s="161">
        <f t="shared" si="1550"/>
        <v>0</v>
      </c>
      <c r="DR438" s="161">
        <f t="shared" si="1551"/>
        <v>0</v>
      </c>
      <c r="DS438" s="161">
        <f t="shared" si="1552"/>
        <v>0</v>
      </c>
      <c r="DT438" s="161">
        <f t="shared" si="1553"/>
        <v>0</v>
      </c>
      <c r="DU438" s="161">
        <f t="shared" si="1554"/>
        <v>0</v>
      </c>
      <c r="DV438" s="161">
        <f t="shared" si="1555"/>
        <v>0</v>
      </c>
      <c r="DW438" s="161">
        <f t="shared" si="1556"/>
        <v>0</v>
      </c>
      <c r="DX438" s="161">
        <f t="shared" si="1557"/>
        <v>0</v>
      </c>
      <c r="DY438" s="161">
        <f t="shared" si="1558"/>
        <v>0</v>
      </c>
      <c r="DZ438" s="161">
        <f t="shared" si="1559"/>
        <v>0</v>
      </c>
      <c r="EA438" s="161">
        <f t="shared" si="1560"/>
        <v>0</v>
      </c>
      <c r="EB438" s="161">
        <f t="shared" si="1561"/>
        <v>0</v>
      </c>
      <c r="EC438" s="161">
        <f t="shared" si="1562"/>
        <v>0</v>
      </c>
      <c r="ED438" s="161">
        <f t="shared" si="1563"/>
        <v>0</v>
      </c>
      <c r="EE438" s="161">
        <f t="shared" si="1564"/>
        <v>0</v>
      </c>
      <c r="EF438" s="161">
        <f t="shared" si="1565"/>
        <v>0</v>
      </c>
      <c r="EG438" s="161">
        <f t="shared" si="1566"/>
        <v>0</v>
      </c>
      <c r="EH438" s="161">
        <f t="shared" si="1567"/>
        <v>0</v>
      </c>
      <c r="EI438" s="161">
        <f t="shared" si="1568"/>
        <v>0</v>
      </c>
      <c r="EJ438" s="65"/>
      <c r="EK438" s="161">
        <f t="shared" si="1569"/>
        <v>0</v>
      </c>
      <c r="EL438" s="161">
        <f t="shared" si="1570"/>
        <v>0</v>
      </c>
      <c r="EM438" s="161">
        <f t="shared" si="1571"/>
        <v>0</v>
      </c>
    </row>
    <row r="439" spans="1:143" ht="12" hidden="1" customHeight="1" outlineLevel="2">
      <c r="A439" s="77">
        <v>11</v>
      </c>
      <c r="B439" s="137" t="str">
        <f t="shared" si="1499"/>
        <v>AN PL. ADM/CRP - Equipe_01</v>
      </c>
      <c r="C439" s="65"/>
      <c r="D439" s="621"/>
      <c r="E439" s="65"/>
      <c r="F439" s="584"/>
      <c r="G439" s="77" t="str">
        <f>IF(INDEX(Tarefas!$BT$30:$FK$30,MATCH(A439,Tarefas!$BT$28:$FK$28,0))=0,"",INDEX(Tarefas!$BT$30:$FK$30,MATCH(A439,Tarefas!$BT$28:$FK$28,0)))</f>
        <v>AN PL. ADM/CRP</v>
      </c>
      <c r="H439" s="107" cm="1">
        <f t="array" ref="H439">IFERROR((SUMPRODUCT((Tarefas!$N$32:$N$54='Cronog. e Histog.'!$F$429)*(Tarefas!$BQ$30:$FK$30='Cronog. e Histog.'!$G439)*(Tarefas!$BQ$32:$FK$54)))/SUMIF(Tarefas!$N$32:$N$54,'Cronog. e Histog.'!$F$429,Tarefas!$K$32:$K$54),0)</f>
        <v>0</v>
      </c>
      <c r="I439" s="79">
        <f t="shared" si="1500"/>
        <v>0</v>
      </c>
      <c r="J439" s="65"/>
      <c r="K439" s="160">
        <f t="shared" si="1501"/>
        <v>0</v>
      </c>
      <c r="L439" s="160">
        <f t="shared" si="1501"/>
        <v>0</v>
      </c>
      <c r="M439" s="160">
        <f t="shared" si="1501"/>
        <v>0</v>
      </c>
      <c r="N439" s="160">
        <f t="shared" si="1501"/>
        <v>0</v>
      </c>
      <c r="O439" s="160">
        <f t="shared" si="1501"/>
        <v>0</v>
      </c>
      <c r="P439" s="160">
        <f t="shared" si="1501"/>
        <v>0</v>
      </c>
      <c r="Q439" s="160">
        <f t="shared" si="1501"/>
        <v>0</v>
      </c>
      <c r="R439" s="160">
        <f t="shared" si="1501"/>
        <v>0</v>
      </c>
      <c r="S439" s="160">
        <f t="shared" si="1501"/>
        <v>0</v>
      </c>
      <c r="T439" s="160">
        <f t="shared" si="1501"/>
        <v>0</v>
      </c>
      <c r="U439" s="160">
        <f t="shared" si="1501"/>
        <v>0</v>
      </c>
      <c r="V439" s="160">
        <f t="shared" si="1501"/>
        <v>0</v>
      </c>
      <c r="W439" s="160">
        <f t="shared" si="1501"/>
        <v>0</v>
      </c>
      <c r="X439" s="160">
        <f t="shared" si="1501"/>
        <v>0</v>
      </c>
      <c r="Y439" s="160">
        <f t="shared" si="1501"/>
        <v>0</v>
      </c>
      <c r="Z439" s="160">
        <f t="shared" si="1501"/>
        <v>0</v>
      </c>
      <c r="AA439" s="160">
        <f t="shared" si="1502"/>
        <v>0</v>
      </c>
      <c r="AB439" s="160">
        <f t="shared" si="1502"/>
        <v>0</v>
      </c>
      <c r="AC439" s="160">
        <f t="shared" si="1502"/>
        <v>0</v>
      </c>
      <c r="AD439" s="160">
        <f t="shared" si="1502"/>
        <v>0</v>
      </c>
      <c r="AE439" s="160">
        <f t="shared" si="1502"/>
        <v>0</v>
      </c>
      <c r="AF439" s="160">
        <f t="shared" si="1502"/>
        <v>0</v>
      </c>
      <c r="AG439" s="160">
        <f t="shared" si="1502"/>
        <v>0</v>
      </c>
      <c r="AH439" s="160">
        <f t="shared" si="1502"/>
        <v>0</v>
      </c>
      <c r="AI439" s="160">
        <f t="shared" si="1502"/>
        <v>0</v>
      </c>
      <c r="AJ439" s="160">
        <f t="shared" si="1502"/>
        <v>0</v>
      </c>
      <c r="AK439" s="160">
        <f t="shared" si="1502"/>
        <v>0</v>
      </c>
      <c r="AL439" s="160">
        <f t="shared" si="1502"/>
        <v>0</v>
      </c>
      <c r="AM439" s="160">
        <f t="shared" si="1502"/>
        <v>0</v>
      </c>
      <c r="AN439" s="160">
        <f t="shared" si="1502"/>
        <v>0</v>
      </c>
      <c r="AO439" s="160">
        <f t="shared" si="1502"/>
        <v>0</v>
      </c>
      <c r="AP439" s="160">
        <f t="shared" si="1502"/>
        <v>0</v>
      </c>
      <c r="AQ439" s="160">
        <f t="shared" si="1503"/>
        <v>0</v>
      </c>
      <c r="AR439" s="160">
        <f t="shared" si="1503"/>
        <v>0</v>
      </c>
      <c r="AS439" s="160">
        <f t="shared" si="1503"/>
        <v>0</v>
      </c>
      <c r="AT439" s="160">
        <f t="shared" si="1503"/>
        <v>0</v>
      </c>
      <c r="AU439" s="160">
        <f t="shared" si="1503"/>
        <v>0</v>
      </c>
      <c r="AV439" s="160">
        <f t="shared" si="1503"/>
        <v>0</v>
      </c>
      <c r="AW439" s="160">
        <f t="shared" si="1503"/>
        <v>0</v>
      </c>
      <c r="AX439" s="160">
        <f t="shared" si="1503"/>
        <v>0</v>
      </c>
      <c r="AY439" s="160">
        <f t="shared" si="1503"/>
        <v>0</v>
      </c>
      <c r="AZ439" s="160">
        <f t="shared" si="1503"/>
        <v>0</v>
      </c>
      <c r="BA439" s="160">
        <f t="shared" si="1503"/>
        <v>0</v>
      </c>
      <c r="BB439" s="160">
        <f t="shared" si="1503"/>
        <v>0</v>
      </c>
      <c r="BC439" s="160">
        <f t="shared" si="1503"/>
        <v>0</v>
      </c>
      <c r="BD439" s="160">
        <f t="shared" si="1503"/>
        <v>0</v>
      </c>
      <c r="BE439" s="160">
        <f t="shared" si="1503"/>
        <v>0</v>
      </c>
      <c r="BF439" s="160">
        <f t="shared" si="1503"/>
        <v>0</v>
      </c>
      <c r="BG439" s="160">
        <f t="shared" si="1504"/>
        <v>0</v>
      </c>
      <c r="BH439" s="160">
        <f t="shared" si="1504"/>
        <v>0</v>
      </c>
      <c r="BI439" s="160">
        <f t="shared" si="1504"/>
        <v>0</v>
      </c>
      <c r="BJ439" s="160">
        <f t="shared" si="1504"/>
        <v>0</v>
      </c>
      <c r="BK439" s="160">
        <f t="shared" si="1504"/>
        <v>0</v>
      </c>
      <c r="BL439" s="160">
        <f t="shared" si="1504"/>
        <v>0</v>
      </c>
      <c r="BM439" s="160">
        <f t="shared" si="1504"/>
        <v>0</v>
      </c>
      <c r="BN439" s="160">
        <f t="shared" si="1504"/>
        <v>0</v>
      </c>
      <c r="BO439" s="160">
        <f t="shared" si="1504"/>
        <v>0</v>
      </c>
      <c r="BP439" s="160">
        <f t="shared" si="1504"/>
        <v>0</v>
      </c>
      <c r="BQ439" s="160">
        <f t="shared" si="1504"/>
        <v>0</v>
      </c>
      <c r="BR439" s="160">
        <f t="shared" si="1504"/>
        <v>0</v>
      </c>
      <c r="BS439" s="65"/>
      <c r="BT439" s="160">
        <f t="shared" si="1505"/>
        <v>0</v>
      </c>
      <c r="BU439" s="160">
        <f t="shared" si="1506"/>
        <v>0</v>
      </c>
      <c r="BV439" s="65"/>
      <c r="BW439" s="69"/>
      <c r="BX439" s="65"/>
      <c r="BY439" s="137">
        <f t="shared" si="1507"/>
        <v>1</v>
      </c>
      <c r="BZ439" s="137">
        <f>IF(BY439&gt;0,BY439+LARGE($BZ$213:BZ438,1),0)</f>
        <v>191</v>
      </c>
      <c r="CA439" s="137" t="str">
        <f t="shared" si="1508"/>
        <v>AN PL. ADM/CRP</v>
      </c>
      <c r="CB439" s="161">
        <f t="shared" si="1509"/>
        <v>0</v>
      </c>
      <c r="CC439" s="161">
        <f t="shared" si="1510"/>
        <v>0</v>
      </c>
      <c r="CD439" s="161">
        <f t="shared" si="1511"/>
        <v>0</v>
      </c>
      <c r="CE439" s="161">
        <f t="shared" si="1512"/>
        <v>0</v>
      </c>
      <c r="CF439" s="161">
        <f t="shared" si="1513"/>
        <v>0</v>
      </c>
      <c r="CG439" s="161">
        <f t="shared" si="1514"/>
        <v>0</v>
      </c>
      <c r="CH439" s="161">
        <f t="shared" si="1515"/>
        <v>0</v>
      </c>
      <c r="CI439" s="161">
        <f t="shared" si="1516"/>
        <v>0</v>
      </c>
      <c r="CJ439" s="161">
        <f t="shared" si="1517"/>
        <v>0</v>
      </c>
      <c r="CK439" s="161">
        <f t="shared" si="1518"/>
        <v>0</v>
      </c>
      <c r="CL439" s="161">
        <f t="shared" si="1519"/>
        <v>0</v>
      </c>
      <c r="CM439" s="161">
        <f t="shared" si="1520"/>
        <v>0</v>
      </c>
      <c r="CN439" s="161">
        <f t="shared" si="1521"/>
        <v>0</v>
      </c>
      <c r="CO439" s="161">
        <f t="shared" si="1522"/>
        <v>0</v>
      </c>
      <c r="CP439" s="161">
        <f t="shared" si="1523"/>
        <v>0</v>
      </c>
      <c r="CQ439" s="161">
        <f t="shared" si="1524"/>
        <v>0</v>
      </c>
      <c r="CR439" s="161">
        <f t="shared" si="1525"/>
        <v>0</v>
      </c>
      <c r="CS439" s="161">
        <f t="shared" si="1526"/>
        <v>0</v>
      </c>
      <c r="CT439" s="161">
        <f t="shared" si="1527"/>
        <v>0</v>
      </c>
      <c r="CU439" s="161">
        <f t="shared" si="1528"/>
        <v>0</v>
      </c>
      <c r="CV439" s="161">
        <f t="shared" si="1529"/>
        <v>0</v>
      </c>
      <c r="CW439" s="161">
        <f t="shared" si="1530"/>
        <v>0</v>
      </c>
      <c r="CX439" s="161">
        <f t="shared" si="1531"/>
        <v>0</v>
      </c>
      <c r="CY439" s="161">
        <f t="shared" si="1532"/>
        <v>0</v>
      </c>
      <c r="CZ439" s="161">
        <f t="shared" si="1533"/>
        <v>0</v>
      </c>
      <c r="DA439" s="161">
        <f t="shared" si="1534"/>
        <v>0</v>
      </c>
      <c r="DB439" s="161">
        <f t="shared" si="1535"/>
        <v>0</v>
      </c>
      <c r="DC439" s="161">
        <f t="shared" si="1536"/>
        <v>0</v>
      </c>
      <c r="DD439" s="161">
        <f t="shared" si="1537"/>
        <v>0</v>
      </c>
      <c r="DE439" s="161">
        <f t="shared" si="1538"/>
        <v>0</v>
      </c>
      <c r="DF439" s="161">
        <f t="shared" si="1539"/>
        <v>0</v>
      </c>
      <c r="DG439" s="161">
        <f t="shared" si="1540"/>
        <v>0</v>
      </c>
      <c r="DH439" s="161">
        <f t="shared" si="1541"/>
        <v>0</v>
      </c>
      <c r="DI439" s="161">
        <f t="shared" si="1542"/>
        <v>0</v>
      </c>
      <c r="DJ439" s="161">
        <f t="shared" si="1543"/>
        <v>0</v>
      </c>
      <c r="DK439" s="161">
        <f t="shared" si="1544"/>
        <v>0</v>
      </c>
      <c r="DL439" s="161">
        <f t="shared" si="1545"/>
        <v>0</v>
      </c>
      <c r="DM439" s="161">
        <f t="shared" si="1546"/>
        <v>0</v>
      </c>
      <c r="DN439" s="161">
        <f t="shared" si="1547"/>
        <v>0</v>
      </c>
      <c r="DO439" s="161">
        <f t="shared" si="1548"/>
        <v>0</v>
      </c>
      <c r="DP439" s="161">
        <f t="shared" si="1549"/>
        <v>0</v>
      </c>
      <c r="DQ439" s="161">
        <f t="shared" si="1550"/>
        <v>0</v>
      </c>
      <c r="DR439" s="161">
        <f t="shared" si="1551"/>
        <v>0</v>
      </c>
      <c r="DS439" s="161">
        <f t="shared" si="1552"/>
        <v>0</v>
      </c>
      <c r="DT439" s="161">
        <f t="shared" si="1553"/>
        <v>0</v>
      </c>
      <c r="DU439" s="161">
        <f t="shared" si="1554"/>
        <v>0</v>
      </c>
      <c r="DV439" s="161">
        <f t="shared" si="1555"/>
        <v>0</v>
      </c>
      <c r="DW439" s="161">
        <f t="shared" si="1556"/>
        <v>0</v>
      </c>
      <c r="DX439" s="161">
        <f t="shared" si="1557"/>
        <v>0</v>
      </c>
      <c r="DY439" s="161">
        <f t="shared" si="1558"/>
        <v>0</v>
      </c>
      <c r="DZ439" s="161">
        <f t="shared" si="1559"/>
        <v>0</v>
      </c>
      <c r="EA439" s="161">
        <f t="shared" si="1560"/>
        <v>0</v>
      </c>
      <c r="EB439" s="161">
        <f t="shared" si="1561"/>
        <v>0</v>
      </c>
      <c r="EC439" s="161">
        <f t="shared" si="1562"/>
        <v>0</v>
      </c>
      <c r="ED439" s="161">
        <f t="shared" si="1563"/>
        <v>0</v>
      </c>
      <c r="EE439" s="161">
        <f t="shared" si="1564"/>
        <v>0</v>
      </c>
      <c r="EF439" s="161">
        <f t="shared" si="1565"/>
        <v>0</v>
      </c>
      <c r="EG439" s="161">
        <f t="shared" si="1566"/>
        <v>0</v>
      </c>
      <c r="EH439" s="161">
        <f t="shared" si="1567"/>
        <v>0</v>
      </c>
      <c r="EI439" s="161">
        <f t="shared" si="1568"/>
        <v>0</v>
      </c>
      <c r="EJ439" s="65"/>
      <c r="EK439" s="161">
        <f t="shared" si="1569"/>
        <v>0</v>
      </c>
      <c r="EL439" s="161">
        <f t="shared" si="1570"/>
        <v>0</v>
      </c>
      <c r="EM439" s="161">
        <f t="shared" si="1571"/>
        <v>0</v>
      </c>
    </row>
    <row r="440" spans="1:143" ht="12" hidden="1" customHeight="1" outlineLevel="2">
      <c r="A440" s="77">
        <v>12</v>
      </c>
      <c r="B440" s="137" t="str">
        <f t="shared" si="1499"/>
        <v>AN JR. ADM/CRP - Equipe_01</v>
      </c>
      <c r="C440" s="65"/>
      <c r="D440" s="622"/>
      <c r="E440" s="65"/>
      <c r="F440" s="584"/>
      <c r="G440" s="77" t="str">
        <f>IF(INDEX(Tarefas!$BT$30:$FK$30,MATCH(A440,Tarefas!$BT$28:$FK$28,0))=0,"",INDEX(Tarefas!$BT$30:$FK$30,MATCH(A440,Tarefas!$BT$28:$FK$28,0)))</f>
        <v>AN JR. ADM/CRP</v>
      </c>
      <c r="H440" s="107" cm="1">
        <f t="array" ref="H440">IFERROR((SUMPRODUCT((Tarefas!$N$32:$N$54='Cronog. e Histog.'!$F$429)*(Tarefas!$BQ$30:$FK$30='Cronog. e Histog.'!$G440)*(Tarefas!$BQ$32:$FK$54)))/SUMIF(Tarefas!$N$32:$N$54,'Cronog. e Histog.'!$F$429,Tarefas!$K$32:$K$54),0)</f>
        <v>0</v>
      </c>
      <c r="I440" s="79">
        <f t="shared" si="1500"/>
        <v>0</v>
      </c>
      <c r="J440" s="65"/>
      <c r="K440" s="160">
        <f t="shared" ref="K440:Z448" si="1572">ROUND($I440*K$192,2)</f>
        <v>0</v>
      </c>
      <c r="L440" s="160">
        <f t="shared" si="1572"/>
        <v>0</v>
      </c>
      <c r="M440" s="160">
        <f t="shared" si="1572"/>
        <v>0</v>
      </c>
      <c r="N440" s="160">
        <f t="shared" si="1572"/>
        <v>0</v>
      </c>
      <c r="O440" s="160">
        <f t="shared" si="1572"/>
        <v>0</v>
      </c>
      <c r="P440" s="160">
        <f t="shared" si="1572"/>
        <v>0</v>
      </c>
      <c r="Q440" s="160">
        <f t="shared" si="1572"/>
        <v>0</v>
      </c>
      <c r="R440" s="160">
        <f t="shared" si="1572"/>
        <v>0</v>
      </c>
      <c r="S440" s="160">
        <f t="shared" si="1572"/>
        <v>0</v>
      </c>
      <c r="T440" s="160">
        <f t="shared" si="1572"/>
        <v>0</v>
      </c>
      <c r="U440" s="160">
        <f t="shared" si="1572"/>
        <v>0</v>
      </c>
      <c r="V440" s="160">
        <f t="shared" si="1572"/>
        <v>0</v>
      </c>
      <c r="W440" s="160">
        <f t="shared" si="1572"/>
        <v>0</v>
      </c>
      <c r="X440" s="160">
        <f t="shared" si="1572"/>
        <v>0</v>
      </c>
      <c r="Y440" s="160">
        <f t="shared" si="1572"/>
        <v>0</v>
      </c>
      <c r="Z440" s="160">
        <f t="shared" si="1572"/>
        <v>0</v>
      </c>
      <c r="AA440" s="160">
        <f t="shared" si="1434"/>
        <v>0</v>
      </c>
      <c r="AB440" s="160">
        <f t="shared" si="1434"/>
        <v>0</v>
      </c>
      <c r="AC440" s="160">
        <f t="shared" si="1434"/>
        <v>0</v>
      </c>
      <c r="AD440" s="160">
        <f t="shared" si="1434"/>
        <v>0</v>
      </c>
      <c r="AE440" s="160">
        <f t="shared" si="1434"/>
        <v>0</v>
      </c>
      <c r="AF440" s="160">
        <f t="shared" si="1434"/>
        <v>0</v>
      </c>
      <c r="AG440" s="160">
        <f t="shared" si="1434"/>
        <v>0</v>
      </c>
      <c r="AH440" s="160">
        <f t="shared" si="1434"/>
        <v>0</v>
      </c>
      <c r="AI440" s="160">
        <f t="shared" si="1434"/>
        <v>0</v>
      </c>
      <c r="AJ440" s="160">
        <f t="shared" si="1434"/>
        <v>0</v>
      </c>
      <c r="AK440" s="160">
        <f t="shared" si="1434"/>
        <v>0</v>
      </c>
      <c r="AL440" s="160">
        <f t="shared" si="1434"/>
        <v>0</v>
      </c>
      <c r="AM440" s="160">
        <f t="shared" si="1434"/>
        <v>0</v>
      </c>
      <c r="AN440" s="160">
        <f t="shared" si="1434"/>
        <v>0</v>
      </c>
      <c r="AO440" s="160">
        <f t="shared" si="1434"/>
        <v>0</v>
      </c>
      <c r="AP440" s="160">
        <f t="shared" si="1434"/>
        <v>0</v>
      </c>
      <c r="AQ440" s="160">
        <f t="shared" si="1434"/>
        <v>0</v>
      </c>
      <c r="AR440" s="160">
        <f t="shared" si="1434"/>
        <v>0</v>
      </c>
      <c r="AS440" s="160">
        <f t="shared" si="1434"/>
        <v>0</v>
      </c>
      <c r="AT440" s="160">
        <f t="shared" si="1434"/>
        <v>0</v>
      </c>
      <c r="AU440" s="160">
        <f t="shared" si="1434"/>
        <v>0</v>
      </c>
      <c r="AV440" s="160">
        <f t="shared" si="1434"/>
        <v>0</v>
      </c>
      <c r="AW440" s="160">
        <f t="shared" si="1434"/>
        <v>0</v>
      </c>
      <c r="AX440" s="160">
        <f t="shared" si="1434"/>
        <v>0</v>
      </c>
      <c r="AY440" s="160">
        <f t="shared" si="1434"/>
        <v>0</v>
      </c>
      <c r="AZ440" s="160">
        <f t="shared" si="1434"/>
        <v>0</v>
      </c>
      <c r="BA440" s="160">
        <f t="shared" si="1434"/>
        <v>0</v>
      </c>
      <c r="BB440" s="160">
        <f t="shared" si="1434"/>
        <v>0</v>
      </c>
      <c r="BC440" s="160">
        <f t="shared" si="1434"/>
        <v>0</v>
      </c>
      <c r="BD440" s="160">
        <f t="shared" si="1434"/>
        <v>0</v>
      </c>
      <c r="BE440" s="160">
        <f t="shared" si="1434"/>
        <v>0</v>
      </c>
      <c r="BF440" s="160">
        <f t="shared" si="1434"/>
        <v>0</v>
      </c>
      <c r="BG440" s="160">
        <f t="shared" si="1434"/>
        <v>0</v>
      </c>
      <c r="BH440" s="160">
        <f t="shared" si="1434"/>
        <v>0</v>
      </c>
      <c r="BI440" s="160">
        <f t="shared" si="1434"/>
        <v>0</v>
      </c>
      <c r="BJ440" s="160">
        <f t="shared" si="1434"/>
        <v>0</v>
      </c>
      <c r="BK440" s="160">
        <f t="shared" si="1434"/>
        <v>0</v>
      </c>
      <c r="BL440" s="160">
        <f t="shared" si="1434"/>
        <v>0</v>
      </c>
      <c r="BM440" s="160">
        <f t="shared" si="1434"/>
        <v>0</v>
      </c>
      <c r="BN440" s="160">
        <f t="shared" si="1434"/>
        <v>0</v>
      </c>
      <c r="BO440" s="160">
        <f t="shared" si="1434"/>
        <v>0</v>
      </c>
      <c r="BP440" s="160">
        <f t="shared" si="1434"/>
        <v>0</v>
      </c>
      <c r="BQ440" s="160">
        <f t="shared" si="1434"/>
        <v>0</v>
      </c>
      <c r="BR440" s="160">
        <f t="shared" si="1434"/>
        <v>0</v>
      </c>
      <c r="BS440" s="65"/>
      <c r="BT440" s="160">
        <f t="shared" si="1435"/>
        <v>0</v>
      </c>
      <c r="BU440" s="160">
        <f t="shared" si="1436"/>
        <v>0</v>
      </c>
      <c r="BV440" s="65"/>
      <c r="BW440" s="69"/>
      <c r="BX440" s="65"/>
      <c r="BY440" s="137">
        <f t="shared" si="1437"/>
        <v>1</v>
      </c>
      <c r="BZ440" s="137">
        <f>IF(BY440&gt;0,BY440+LARGE($BZ$213:BZ439,1),0)</f>
        <v>192</v>
      </c>
      <c r="CA440" s="137" t="str">
        <f t="shared" si="1438"/>
        <v>AN JR. ADM/CRP</v>
      </c>
      <c r="CB440" s="161">
        <f t="shared" si="1439"/>
        <v>0</v>
      </c>
      <c r="CC440" s="161">
        <f t="shared" si="1440"/>
        <v>0</v>
      </c>
      <c r="CD440" s="161">
        <f t="shared" si="1441"/>
        <v>0</v>
      </c>
      <c r="CE440" s="161">
        <f t="shared" si="1442"/>
        <v>0</v>
      </c>
      <c r="CF440" s="161">
        <f t="shared" si="1443"/>
        <v>0</v>
      </c>
      <c r="CG440" s="161">
        <f t="shared" si="1444"/>
        <v>0</v>
      </c>
      <c r="CH440" s="161">
        <f t="shared" si="1445"/>
        <v>0</v>
      </c>
      <c r="CI440" s="161">
        <f t="shared" si="1446"/>
        <v>0</v>
      </c>
      <c r="CJ440" s="161">
        <f t="shared" si="1447"/>
        <v>0</v>
      </c>
      <c r="CK440" s="161">
        <f t="shared" si="1448"/>
        <v>0</v>
      </c>
      <c r="CL440" s="161">
        <f t="shared" si="1449"/>
        <v>0</v>
      </c>
      <c r="CM440" s="161">
        <f t="shared" si="1450"/>
        <v>0</v>
      </c>
      <c r="CN440" s="161">
        <f t="shared" si="1451"/>
        <v>0</v>
      </c>
      <c r="CO440" s="161">
        <f t="shared" si="1452"/>
        <v>0</v>
      </c>
      <c r="CP440" s="161">
        <f t="shared" si="1453"/>
        <v>0</v>
      </c>
      <c r="CQ440" s="161">
        <f t="shared" si="1454"/>
        <v>0</v>
      </c>
      <c r="CR440" s="161">
        <f t="shared" si="1455"/>
        <v>0</v>
      </c>
      <c r="CS440" s="161">
        <f t="shared" si="1456"/>
        <v>0</v>
      </c>
      <c r="CT440" s="161">
        <f t="shared" si="1457"/>
        <v>0</v>
      </c>
      <c r="CU440" s="161">
        <f t="shared" si="1458"/>
        <v>0</v>
      </c>
      <c r="CV440" s="161">
        <f t="shared" si="1459"/>
        <v>0</v>
      </c>
      <c r="CW440" s="161">
        <f t="shared" si="1460"/>
        <v>0</v>
      </c>
      <c r="CX440" s="161">
        <f t="shared" si="1461"/>
        <v>0</v>
      </c>
      <c r="CY440" s="161">
        <f t="shared" si="1462"/>
        <v>0</v>
      </c>
      <c r="CZ440" s="161">
        <f t="shared" si="1463"/>
        <v>0</v>
      </c>
      <c r="DA440" s="161">
        <f t="shared" si="1464"/>
        <v>0</v>
      </c>
      <c r="DB440" s="161">
        <f t="shared" si="1465"/>
        <v>0</v>
      </c>
      <c r="DC440" s="161">
        <f t="shared" si="1466"/>
        <v>0</v>
      </c>
      <c r="DD440" s="161">
        <f t="shared" si="1467"/>
        <v>0</v>
      </c>
      <c r="DE440" s="161">
        <f t="shared" si="1468"/>
        <v>0</v>
      </c>
      <c r="DF440" s="161">
        <f t="shared" si="1469"/>
        <v>0</v>
      </c>
      <c r="DG440" s="161">
        <f t="shared" si="1470"/>
        <v>0</v>
      </c>
      <c r="DH440" s="161">
        <f t="shared" si="1471"/>
        <v>0</v>
      </c>
      <c r="DI440" s="161">
        <f t="shared" si="1472"/>
        <v>0</v>
      </c>
      <c r="DJ440" s="161">
        <f t="shared" si="1473"/>
        <v>0</v>
      </c>
      <c r="DK440" s="161">
        <f t="shared" si="1474"/>
        <v>0</v>
      </c>
      <c r="DL440" s="161">
        <f t="shared" si="1475"/>
        <v>0</v>
      </c>
      <c r="DM440" s="161">
        <f t="shared" si="1476"/>
        <v>0</v>
      </c>
      <c r="DN440" s="161">
        <f t="shared" si="1477"/>
        <v>0</v>
      </c>
      <c r="DO440" s="161">
        <f t="shared" si="1478"/>
        <v>0</v>
      </c>
      <c r="DP440" s="161">
        <f t="shared" si="1479"/>
        <v>0</v>
      </c>
      <c r="DQ440" s="161">
        <f t="shared" si="1480"/>
        <v>0</v>
      </c>
      <c r="DR440" s="161">
        <f t="shared" si="1481"/>
        <v>0</v>
      </c>
      <c r="DS440" s="161">
        <f t="shared" si="1482"/>
        <v>0</v>
      </c>
      <c r="DT440" s="161">
        <f t="shared" si="1483"/>
        <v>0</v>
      </c>
      <c r="DU440" s="161">
        <f t="shared" si="1484"/>
        <v>0</v>
      </c>
      <c r="DV440" s="161">
        <f t="shared" si="1485"/>
        <v>0</v>
      </c>
      <c r="DW440" s="161">
        <f t="shared" si="1486"/>
        <v>0</v>
      </c>
      <c r="DX440" s="161">
        <f t="shared" si="1487"/>
        <v>0</v>
      </c>
      <c r="DY440" s="161">
        <f t="shared" si="1488"/>
        <v>0</v>
      </c>
      <c r="DZ440" s="161">
        <f t="shared" si="1489"/>
        <v>0</v>
      </c>
      <c r="EA440" s="161">
        <f t="shared" si="1490"/>
        <v>0</v>
      </c>
      <c r="EB440" s="161">
        <f t="shared" si="1491"/>
        <v>0</v>
      </c>
      <c r="EC440" s="161">
        <f t="shared" si="1492"/>
        <v>0</v>
      </c>
      <c r="ED440" s="161">
        <f t="shared" si="1493"/>
        <v>0</v>
      </c>
      <c r="EE440" s="161">
        <f t="shared" si="1494"/>
        <v>0</v>
      </c>
      <c r="EF440" s="161">
        <f t="shared" si="1495"/>
        <v>0</v>
      </c>
      <c r="EG440" s="161">
        <f t="shared" si="1496"/>
        <v>0</v>
      </c>
      <c r="EH440" s="161">
        <f t="shared" si="1497"/>
        <v>0</v>
      </c>
      <c r="EI440" s="161">
        <f t="shared" si="1498"/>
        <v>0</v>
      </c>
      <c r="EJ440" s="65"/>
      <c r="EK440" s="161">
        <f t="shared" si="1569"/>
        <v>0</v>
      </c>
      <c r="EL440" s="161">
        <f t="shared" si="1570"/>
        <v>0</v>
      </c>
      <c r="EM440" s="161">
        <f t="shared" si="1571"/>
        <v>0</v>
      </c>
    </row>
    <row r="441" spans="1:143" ht="12" hidden="1" customHeight="1" outlineLevel="2">
      <c r="A441" s="77">
        <v>13</v>
      </c>
      <c r="B441" s="137" t="str">
        <f t="shared" si="1499"/>
        <v>TEC III - Equipe_01</v>
      </c>
      <c r="C441" s="65"/>
      <c r="D441" s="622"/>
      <c r="E441" s="65"/>
      <c r="F441" s="584"/>
      <c r="G441" s="77" t="str">
        <f>IF(INDEX(Tarefas!$BT$30:$FK$30,MATCH(A441,Tarefas!$BT$28:$FK$28,0))=0,"",INDEX(Tarefas!$BT$30:$FK$30,MATCH(A441,Tarefas!$BT$28:$FK$28,0)))</f>
        <v>TEC III</v>
      </c>
      <c r="H441" s="107" cm="1">
        <f t="array" ref="H441">IFERROR((SUMPRODUCT((Tarefas!$N$32:$N$54='Cronog. e Histog.'!$F$429)*(Tarefas!$BQ$30:$FK$30='Cronog. e Histog.'!$G441)*(Tarefas!$BQ$32:$FK$54)))/SUMIF(Tarefas!$N$32:$N$54,'Cronog. e Histog.'!$F$429,Tarefas!$K$32:$K$54),0)</f>
        <v>0</v>
      </c>
      <c r="I441" s="79">
        <f t="shared" si="1500"/>
        <v>0</v>
      </c>
      <c r="J441" s="65"/>
      <c r="K441" s="160">
        <f t="shared" si="1572"/>
        <v>0</v>
      </c>
      <c r="L441" s="160">
        <f t="shared" si="1434"/>
        <v>0</v>
      </c>
      <c r="M441" s="160">
        <f t="shared" si="1434"/>
        <v>0</v>
      </c>
      <c r="N441" s="160">
        <f t="shared" si="1434"/>
        <v>0</v>
      </c>
      <c r="O441" s="160">
        <f t="shared" si="1434"/>
        <v>0</v>
      </c>
      <c r="P441" s="160">
        <f t="shared" si="1434"/>
        <v>0</v>
      </c>
      <c r="Q441" s="160">
        <f t="shared" si="1434"/>
        <v>0</v>
      </c>
      <c r="R441" s="160">
        <f t="shared" si="1434"/>
        <v>0</v>
      </c>
      <c r="S441" s="160">
        <f t="shared" si="1434"/>
        <v>0</v>
      </c>
      <c r="T441" s="160">
        <f t="shared" si="1434"/>
        <v>0</v>
      </c>
      <c r="U441" s="160">
        <f t="shared" si="1434"/>
        <v>0</v>
      </c>
      <c r="V441" s="160">
        <f t="shared" si="1434"/>
        <v>0</v>
      </c>
      <c r="W441" s="160">
        <f t="shared" si="1434"/>
        <v>0</v>
      </c>
      <c r="X441" s="160">
        <f t="shared" si="1434"/>
        <v>0</v>
      </c>
      <c r="Y441" s="160">
        <f t="shared" si="1434"/>
        <v>0</v>
      </c>
      <c r="Z441" s="160">
        <f t="shared" si="1434"/>
        <v>0</v>
      </c>
      <c r="AA441" s="160">
        <f t="shared" si="1434"/>
        <v>0</v>
      </c>
      <c r="AB441" s="160">
        <f t="shared" si="1434"/>
        <v>0</v>
      </c>
      <c r="AC441" s="160">
        <f t="shared" si="1434"/>
        <v>0</v>
      </c>
      <c r="AD441" s="160">
        <f t="shared" si="1434"/>
        <v>0</v>
      </c>
      <c r="AE441" s="160">
        <f t="shared" si="1434"/>
        <v>0</v>
      </c>
      <c r="AF441" s="160">
        <f t="shared" si="1434"/>
        <v>0</v>
      </c>
      <c r="AG441" s="160">
        <f t="shared" si="1434"/>
        <v>0</v>
      </c>
      <c r="AH441" s="160">
        <f t="shared" si="1434"/>
        <v>0</v>
      </c>
      <c r="AI441" s="160">
        <f t="shared" si="1434"/>
        <v>0</v>
      </c>
      <c r="AJ441" s="160">
        <f t="shared" si="1434"/>
        <v>0</v>
      </c>
      <c r="AK441" s="160">
        <f t="shared" si="1434"/>
        <v>0</v>
      </c>
      <c r="AL441" s="160">
        <f t="shared" si="1434"/>
        <v>0</v>
      </c>
      <c r="AM441" s="160">
        <f t="shared" si="1434"/>
        <v>0</v>
      </c>
      <c r="AN441" s="160">
        <f t="shared" si="1434"/>
        <v>0</v>
      </c>
      <c r="AO441" s="160">
        <f t="shared" si="1434"/>
        <v>0</v>
      </c>
      <c r="AP441" s="160">
        <f t="shared" si="1434"/>
        <v>0</v>
      </c>
      <c r="AQ441" s="160">
        <f t="shared" si="1434"/>
        <v>0</v>
      </c>
      <c r="AR441" s="160">
        <f t="shared" si="1434"/>
        <v>0</v>
      </c>
      <c r="AS441" s="160">
        <f t="shared" si="1434"/>
        <v>0</v>
      </c>
      <c r="AT441" s="160">
        <f t="shared" si="1434"/>
        <v>0</v>
      </c>
      <c r="AU441" s="160">
        <f t="shared" si="1434"/>
        <v>0</v>
      </c>
      <c r="AV441" s="160">
        <f t="shared" si="1434"/>
        <v>0</v>
      </c>
      <c r="AW441" s="160">
        <f t="shared" si="1434"/>
        <v>0</v>
      </c>
      <c r="AX441" s="160">
        <f t="shared" si="1434"/>
        <v>0</v>
      </c>
      <c r="AY441" s="160">
        <f t="shared" si="1434"/>
        <v>0</v>
      </c>
      <c r="AZ441" s="160">
        <f t="shared" si="1434"/>
        <v>0</v>
      </c>
      <c r="BA441" s="160">
        <f t="shared" si="1434"/>
        <v>0</v>
      </c>
      <c r="BB441" s="160">
        <f t="shared" si="1434"/>
        <v>0</v>
      </c>
      <c r="BC441" s="160">
        <f t="shared" si="1434"/>
        <v>0</v>
      </c>
      <c r="BD441" s="160">
        <f t="shared" si="1434"/>
        <v>0</v>
      </c>
      <c r="BE441" s="160">
        <f t="shared" si="1434"/>
        <v>0</v>
      </c>
      <c r="BF441" s="160">
        <f t="shared" si="1434"/>
        <v>0</v>
      </c>
      <c r="BG441" s="160">
        <f t="shared" si="1434"/>
        <v>0</v>
      </c>
      <c r="BH441" s="160">
        <f t="shared" si="1434"/>
        <v>0</v>
      </c>
      <c r="BI441" s="160">
        <f t="shared" si="1434"/>
        <v>0</v>
      </c>
      <c r="BJ441" s="160">
        <f t="shared" si="1434"/>
        <v>0</v>
      </c>
      <c r="BK441" s="160">
        <f t="shared" si="1434"/>
        <v>0</v>
      </c>
      <c r="BL441" s="160">
        <f t="shared" si="1434"/>
        <v>0</v>
      </c>
      <c r="BM441" s="160">
        <f t="shared" si="1434"/>
        <v>0</v>
      </c>
      <c r="BN441" s="160">
        <f t="shared" si="1434"/>
        <v>0</v>
      </c>
      <c r="BO441" s="160">
        <f t="shared" si="1434"/>
        <v>0</v>
      </c>
      <c r="BP441" s="160">
        <f t="shared" si="1434"/>
        <v>0</v>
      </c>
      <c r="BQ441" s="160">
        <f t="shared" si="1434"/>
        <v>0</v>
      </c>
      <c r="BR441" s="160">
        <f t="shared" si="1434"/>
        <v>0</v>
      </c>
      <c r="BS441" s="65"/>
      <c r="BT441" s="160">
        <f t="shared" si="1435"/>
        <v>0</v>
      </c>
      <c r="BU441" s="160">
        <f t="shared" si="1436"/>
        <v>0</v>
      </c>
      <c r="BV441" s="65"/>
      <c r="BW441" s="69"/>
      <c r="BX441" s="65"/>
      <c r="BY441" s="137">
        <f t="shared" si="1437"/>
        <v>1</v>
      </c>
      <c r="BZ441" s="137">
        <f>IF(BY441&gt;0,BY441+LARGE($BZ$213:BZ440,1),0)</f>
        <v>193</v>
      </c>
      <c r="CA441" s="137" t="str">
        <f t="shared" si="1438"/>
        <v>TEC III</v>
      </c>
      <c r="CB441" s="161">
        <f t="shared" si="1439"/>
        <v>0</v>
      </c>
      <c r="CC441" s="161">
        <f t="shared" si="1440"/>
        <v>0</v>
      </c>
      <c r="CD441" s="161">
        <f t="shared" si="1441"/>
        <v>0</v>
      </c>
      <c r="CE441" s="161">
        <f t="shared" si="1442"/>
        <v>0</v>
      </c>
      <c r="CF441" s="161">
        <f t="shared" si="1443"/>
        <v>0</v>
      </c>
      <c r="CG441" s="161">
        <f t="shared" si="1444"/>
        <v>0</v>
      </c>
      <c r="CH441" s="161">
        <f t="shared" si="1445"/>
        <v>0</v>
      </c>
      <c r="CI441" s="161">
        <f t="shared" si="1446"/>
        <v>0</v>
      </c>
      <c r="CJ441" s="161">
        <f t="shared" si="1447"/>
        <v>0</v>
      </c>
      <c r="CK441" s="161">
        <f t="shared" si="1448"/>
        <v>0</v>
      </c>
      <c r="CL441" s="161">
        <f t="shared" si="1449"/>
        <v>0</v>
      </c>
      <c r="CM441" s="161">
        <f t="shared" si="1450"/>
        <v>0</v>
      </c>
      <c r="CN441" s="161">
        <f t="shared" si="1451"/>
        <v>0</v>
      </c>
      <c r="CO441" s="161">
        <f t="shared" si="1452"/>
        <v>0</v>
      </c>
      <c r="CP441" s="161">
        <f t="shared" si="1453"/>
        <v>0</v>
      </c>
      <c r="CQ441" s="161">
        <f t="shared" si="1454"/>
        <v>0</v>
      </c>
      <c r="CR441" s="161">
        <f t="shared" si="1455"/>
        <v>0</v>
      </c>
      <c r="CS441" s="161">
        <f t="shared" si="1456"/>
        <v>0</v>
      </c>
      <c r="CT441" s="161">
        <f t="shared" si="1457"/>
        <v>0</v>
      </c>
      <c r="CU441" s="161">
        <f t="shared" si="1458"/>
        <v>0</v>
      </c>
      <c r="CV441" s="161">
        <f t="shared" si="1459"/>
        <v>0</v>
      </c>
      <c r="CW441" s="161">
        <f t="shared" si="1460"/>
        <v>0</v>
      </c>
      <c r="CX441" s="161">
        <f t="shared" si="1461"/>
        <v>0</v>
      </c>
      <c r="CY441" s="161">
        <f t="shared" si="1462"/>
        <v>0</v>
      </c>
      <c r="CZ441" s="161">
        <f t="shared" si="1463"/>
        <v>0</v>
      </c>
      <c r="DA441" s="161">
        <f t="shared" si="1464"/>
        <v>0</v>
      </c>
      <c r="DB441" s="161">
        <f t="shared" si="1465"/>
        <v>0</v>
      </c>
      <c r="DC441" s="161">
        <f t="shared" si="1466"/>
        <v>0</v>
      </c>
      <c r="DD441" s="161">
        <f t="shared" si="1467"/>
        <v>0</v>
      </c>
      <c r="DE441" s="161">
        <f t="shared" si="1468"/>
        <v>0</v>
      </c>
      <c r="DF441" s="161">
        <f t="shared" si="1469"/>
        <v>0</v>
      </c>
      <c r="DG441" s="161">
        <f t="shared" si="1470"/>
        <v>0</v>
      </c>
      <c r="DH441" s="161">
        <f t="shared" si="1471"/>
        <v>0</v>
      </c>
      <c r="DI441" s="161">
        <f t="shared" si="1472"/>
        <v>0</v>
      </c>
      <c r="DJ441" s="161">
        <f t="shared" si="1473"/>
        <v>0</v>
      </c>
      <c r="DK441" s="161">
        <f t="shared" si="1474"/>
        <v>0</v>
      </c>
      <c r="DL441" s="161">
        <f t="shared" si="1475"/>
        <v>0</v>
      </c>
      <c r="DM441" s="161">
        <f t="shared" si="1476"/>
        <v>0</v>
      </c>
      <c r="DN441" s="161">
        <f t="shared" si="1477"/>
        <v>0</v>
      </c>
      <c r="DO441" s="161">
        <f t="shared" si="1478"/>
        <v>0</v>
      </c>
      <c r="DP441" s="161">
        <f t="shared" si="1479"/>
        <v>0</v>
      </c>
      <c r="DQ441" s="161">
        <f t="shared" si="1480"/>
        <v>0</v>
      </c>
      <c r="DR441" s="161">
        <f t="shared" si="1481"/>
        <v>0</v>
      </c>
      <c r="DS441" s="161">
        <f t="shared" si="1482"/>
        <v>0</v>
      </c>
      <c r="DT441" s="161">
        <f t="shared" si="1483"/>
        <v>0</v>
      </c>
      <c r="DU441" s="161">
        <f t="shared" si="1484"/>
        <v>0</v>
      </c>
      <c r="DV441" s="161">
        <f t="shared" si="1485"/>
        <v>0</v>
      </c>
      <c r="DW441" s="161">
        <f t="shared" si="1486"/>
        <v>0</v>
      </c>
      <c r="DX441" s="161">
        <f t="shared" si="1487"/>
        <v>0</v>
      </c>
      <c r="DY441" s="161">
        <f t="shared" si="1488"/>
        <v>0</v>
      </c>
      <c r="DZ441" s="161">
        <f t="shared" si="1489"/>
        <v>0</v>
      </c>
      <c r="EA441" s="161">
        <f t="shared" si="1490"/>
        <v>0</v>
      </c>
      <c r="EB441" s="161">
        <f t="shared" si="1491"/>
        <v>0</v>
      </c>
      <c r="EC441" s="161">
        <f t="shared" si="1492"/>
        <v>0</v>
      </c>
      <c r="ED441" s="161">
        <f t="shared" si="1493"/>
        <v>0</v>
      </c>
      <c r="EE441" s="161">
        <f t="shared" si="1494"/>
        <v>0</v>
      </c>
      <c r="EF441" s="161">
        <f t="shared" si="1495"/>
        <v>0</v>
      </c>
      <c r="EG441" s="161">
        <f t="shared" si="1496"/>
        <v>0</v>
      </c>
      <c r="EH441" s="161">
        <f t="shared" si="1497"/>
        <v>0</v>
      </c>
      <c r="EI441" s="161">
        <f t="shared" si="1498"/>
        <v>0</v>
      </c>
      <c r="EJ441" s="65"/>
      <c r="EK441" s="161">
        <f t="shared" si="1569"/>
        <v>0</v>
      </c>
      <c r="EL441" s="161">
        <f t="shared" si="1570"/>
        <v>0</v>
      </c>
      <c r="EM441" s="161">
        <f t="shared" si="1571"/>
        <v>0</v>
      </c>
    </row>
    <row r="442" spans="1:143" ht="12" hidden="1" customHeight="1" outlineLevel="2">
      <c r="A442" s="77">
        <v>14</v>
      </c>
      <c r="B442" s="137" t="str">
        <f t="shared" si="1499"/>
        <v>TEC II - Equipe_01</v>
      </c>
      <c r="C442" s="65"/>
      <c r="D442" s="622"/>
      <c r="E442" s="65"/>
      <c r="F442" s="584"/>
      <c r="G442" s="77" t="str">
        <f>IF(INDEX(Tarefas!$BT$30:$FK$30,MATCH(A442,Tarefas!$BT$28:$FK$28,0))=0,"",INDEX(Tarefas!$BT$30:$FK$30,MATCH(A442,Tarefas!$BT$28:$FK$28,0)))</f>
        <v>TEC II</v>
      </c>
      <c r="H442" s="107" cm="1">
        <f t="array" ref="H442">IFERROR((SUMPRODUCT((Tarefas!$N$32:$N$54='Cronog. e Histog.'!$F$429)*(Tarefas!$BQ$30:$FK$30='Cronog. e Histog.'!$G442)*(Tarefas!$BQ$32:$FK$54)))/SUMIF(Tarefas!$N$32:$N$54,'Cronog. e Histog.'!$F$429,Tarefas!$K$32:$K$54),0)</f>
        <v>0</v>
      </c>
      <c r="I442" s="79">
        <f t="shared" si="1500"/>
        <v>0</v>
      </c>
      <c r="J442" s="65"/>
      <c r="K442" s="160">
        <f t="shared" si="1572"/>
        <v>0</v>
      </c>
      <c r="L442" s="160">
        <f t="shared" si="1434"/>
        <v>0</v>
      </c>
      <c r="M442" s="160">
        <f t="shared" si="1434"/>
        <v>0</v>
      </c>
      <c r="N442" s="160">
        <f t="shared" si="1434"/>
        <v>0</v>
      </c>
      <c r="O442" s="160">
        <f t="shared" si="1434"/>
        <v>0</v>
      </c>
      <c r="P442" s="160">
        <f t="shared" si="1434"/>
        <v>0</v>
      </c>
      <c r="Q442" s="160">
        <f t="shared" si="1434"/>
        <v>0</v>
      </c>
      <c r="R442" s="160">
        <f t="shared" si="1434"/>
        <v>0</v>
      </c>
      <c r="S442" s="160">
        <f t="shared" si="1434"/>
        <v>0</v>
      </c>
      <c r="T442" s="160">
        <f t="shared" si="1434"/>
        <v>0</v>
      </c>
      <c r="U442" s="160">
        <f t="shared" si="1434"/>
        <v>0</v>
      </c>
      <c r="V442" s="160">
        <f t="shared" si="1434"/>
        <v>0</v>
      </c>
      <c r="W442" s="160">
        <f t="shared" si="1434"/>
        <v>0</v>
      </c>
      <c r="X442" s="160">
        <f t="shared" si="1434"/>
        <v>0</v>
      </c>
      <c r="Y442" s="160">
        <f t="shared" si="1434"/>
        <v>0</v>
      </c>
      <c r="Z442" s="160">
        <f t="shared" si="1434"/>
        <v>0</v>
      </c>
      <c r="AA442" s="160">
        <f t="shared" si="1434"/>
        <v>0</v>
      </c>
      <c r="AB442" s="160">
        <f t="shared" si="1434"/>
        <v>0</v>
      </c>
      <c r="AC442" s="160">
        <f t="shared" si="1434"/>
        <v>0</v>
      </c>
      <c r="AD442" s="160">
        <f t="shared" si="1434"/>
        <v>0</v>
      </c>
      <c r="AE442" s="160">
        <f t="shared" si="1434"/>
        <v>0</v>
      </c>
      <c r="AF442" s="160">
        <f t="shared" si="1434"/>
        <v>0</v>
      </c>
      <c r="AG442" s="160">
        <f t="shared" si="1434"/>
        <v>0</v>
      </c>
      <c r="AH442" s="160">
        <f t="shared" si="1434"/>
        <v>0</v>
      </c>
      <c r="AI442" s="160">
        <f t="shared" si="1434"/>
        <v>0</v>
      </c>
      <c r="AJ442" s="160">
        <f t="shared" si="1434"/>
        <v>0</v>
      </c>
      <c r="AK442" s="160">
        <f t="shared" si="1434"/>
        <v>0</v>
      </c>
      <c r="AL442" s="160">
        <f t="shared" si="1434"/>
        <v>0</v>
      </c>
      <c r="AM442" s="160">
        <f t="shared" si="1434"/>
        <v>0</v>
      </c>
      <c r="AN442" s="160">
        <f t="shared" si="1434"/>
        <v>0</v>
      </c>
      <c r="AO442" s="160">
        <f t="shared" si="1434"/>
        <v>0</v>
      </c>
      <c r="AP442" s="160">
        <f t="shared" si="1434"/>
        <v>0</v>
      </c>
      <c r="AQ442" s="160">
        <f t="shared" si="1434"/>
        <v>0</v>
      </c>
      <c r="AR442" s="160">
        <f t="shared" si="1434"/>
        <v>0</v>
      </c>
      <c r="AS442" s="160">
        <f t="shared" si="1434"/>
        <v>0</v>
      </c>
      <c r="AT442" s="160">
        <f t="shared" si="1434"/>
        <v>0</v>
      </c>
      <c r="AU442" s="160">
        <f t="shared" si="1434"/>
        <v>0</v>
      </c>
      <c r="AV442" s="160">
        <f t="shared" si="1434"/>
        <v>0</v>
      </c>
      <c r="AW442" s="160">
        <f t="shared" si="1434"/>
        <v>0</v>
      </c>
      <c r="AX442" s="160">
        <f t="shared" si="1434"/>
        <v>0</v>
      </c>
      <c r="AY442" s="160">
        <f t="shared" si="1434"/>
        <v>0</v>
      </c>
      <c r="AZ442" s="160">
        <f t="shared" si="1434"/>
        <v>0</v>
      </c>
      <c r="BA442" s="160">
        <f t="shared" si="1434"/>
        <v>0</v>
      </c>
      <c r="BB442" s="160">
        <f t="shared" si="1434"/>
        <v>0</v>
      </c>
      <c r="BC442" s="160">
        <f t="shared" si="1434"/>
        <v>0</v>
      </c>
      <c r="BD442" s="160">
        <f t="shared" si="1434"/>
        <v>0</v>
      </c>
      <c r="BE442" s="160">
        <f t="shared" si="1434"/>
        <v>0</v>
      </c>
      <c r="BF442" s="160">
        <f t="shared" si="1434"/>
        <v>0</v>
      </c>
      <c r="BG442" s="160">
        <f t="shared" si="1434"/>
        <v>0</v>
      </c>
      <c r="BH442" s="160">
        <f t="shared" si="1434"/>
        <v>0</v>
      </c>
      <c r="BI442" s="160">
        <f t="shared" si="1434"/>
        <v>0</v>
      </c>
      <c r="BJ442" s="160">
        <f t="shared" si="1434"/>
        <v>0</v>
      </c>
      <c r="BK442" s="160">
        <f t="shared" si="1434"/>
        <v>0</v>
      </c>
      <c r="BL442" s="160">
        <f t="shared" si="1434"/>
        <v>0</v>
      </c>
      <c r="BM442" s="160">
        <f t="shared" si="1434"/>
        <v>0</v>
      </c>
      <c r="BN442" s="160">
        <f t="shared" si="1434"/>
        <v>0</v>
      </c>
      <c r="BO442" s="160">
        <f t="shared" si="1434"/>
        <v>0</v>
      </c>
      <c r="BP442" s="160">
        <f t="shared" si="1434"/>
        <v>0</v>
      </c>
      <c r="BQ442" s="160">
        <f t="shared" si="1434"/>
        <v>0</v>
      </c>
      <c r="BR442" s="160">
        <f t="shared" si="1434"/>
        <v>0</v>
      </c>
      <c r="BS442" s="65"/>
      <c r="BT442" s="160">
        <f t="shared" si="1435"/>
        <v>0</v>
      </c>
      <c r="BU442" s="160">
        <f t="shared" si="1436"/>
        <v>0</v>
      </c>
      <c r="BV442" s="65"/>
      <c r="BW442" s="69"/>
      <c r="BX442" s="65"/>
      <c r="BY442" s="137">
        <f t="shared" si="1437"/>
        <v>1</v>
      </c>
      <c r="BZ442" s="137">
        <f>IF(BY442&gt;0,BY442+LARGE($BZ$213:BZ441,1),0)</f>
        <v>194</v>
      </c>
      <c r="CA442" s="137" t="str">
        <f t="shared" si="1438"/>
        <v>TEC II</v>
      </c>
      <c r="CB442" s="161">
        <f t="shared" si="1439"/>
        <v>0</v>
      </c>
      <c r="CC442" s="161">
        <f t="shared" si="1440"/>
        <v>0</v>
      </c>
      <c r="CD442" s="161">
        <f t="shared" si="1441"/>
        <v>0</v>
      </c>
      <c r="CE442" s="161">
        <f t="shared" si="1442"/>
        <v>0</v>
      </c>
      <c r="CF442" s="161">
        <f t="shared" si="1443"/>
        <v>0</v>
      </c>
      <c r="CG442" s="161">
        <f t="shared" si="1444"/>
        <v>0</v>
      </c>
      <c r="CH442" s="161">
        <f t="shared" si="1445"/>
        <v>0</v>
      </c>
      <c r="CI442" s="161">
        <f t="shared" si="1446"/>
        <v>0</v>
      </c>
      <c r="CJ442" s="161">
        <f t="shared" si="1447"/>
        <v>0</v>
      </c>
      <c r="CK442" s="161">
        <f t="shared" si="1448"/>
        <v>0</v>
      </c>
      <c r="CL442" s="161">
        <f t="shared" si="1449"/>
        <v>0</v>
      </c>
      <c r="CM442" s="161">
        <f t="shared" si="1450"/>
        <v>0</v>
      </c>
      <c r="CN442" s="161">
        <f t="shared" si="1451"/>
        <v>0</v>
      </c>
      <c r="CO442" s="161">
        <f t="shared" si="1452"/>
        <v>0</v>
      </c>
      <c r="CP442" s="161">
        <f t="shared" si="1453"/>
        <v>0</v>
      </c>
      <c r="CQ442" s="161">
        <f t="shared" si="1454"/>
        <v>0</v>
      </c>
      <c r="CR442" s="161">
        <f t="shared" si="1455"/>
        <v>0</v>
      </c>
      <c r="CS442" s="161">
        <f t="shared" si="1456"/>
        <v>0</v>
      </c>
      <c r="CT442" s="161">
        <f t="shared" si="1457"/>
        <v>0</v>
      </c>
      <c r="CU442" s="161">
        <f t="shared" si="1458"/>
        <v>0</v>
      </c>
      <c r="CV442" s="161">
        <f t="shared" si="1459"/>
        <v>0</v>
      </c>
      <c r="CW442" s="161">
        <f t="shared" si="1460"/>
        <v>0</v>
      </c>
      <c r="CX442" s="161">
        <f t="shared" si="1461"/>
        <v>0</v>
      </c>
      <c r="CY442" s="161">
        <f t="shared" si="1462"/>
        <v>0</v>
      </c>
      <c r="CZ442" s="161">
        <f t="shared" si="1463"/>
        <v>0</v>
      </c>
      <c r="DA442" s="161">
        <f t="shared" si="1464"/>
        <v>0</v>
      </c>
      <c r="DB442" s="161">
        <f t="shared" si="1465"/>
        <v>0</v>
      </c>
      <c r="DC442" s="161">
        <f t="shared" si="1466"/>
        <v>0</v>
      </c>
      <c r="DD442" s="161">
        <f t="shared" si="1467"/>
        <v>0</v>
      </c>
      <c r="DE442" s="161">
        <f t="shared" si="1468"/>
        <v>0</v>
      </c>
      <c r="DF442" s="161">
        <f t="shared" si="1469"/>
        <v>0</v>
      </c>
      <c r="DG442" s="161">
        <f t="shared" si="1470"/>
        <v>0</v>
      </c>
      <c r="DH442" s="161">
        <f t="shared" si="1471"/>
        <v>0</v>
      </c>
      <c r="DI442" s="161">
        <f t="shared" si="1472"/>
        <v>0</v>
      </c>
      <c r="DJ442" s="161">
        <f t="shared" si="1473"/>
        <v>0</v>
      </c>
      <c r="DK442" s="161">
        <f t="shared" si="1474"/>
        <v>0</v>
      </c>
      <c r="DL442" s="161">
        <f t="shared" si="1475"/>
        <v>0</v>
      </c>
      <c r="DM442" s="161">
        <f t="shared" si="1476"/>
        <v>0</v>
      </c>
      <c r="DN442" s="161">
        <f t="shared" si="1477"/>
        <v>0</v>
      </c>
      <c r="DO442" s="161">
        <f t="shared" si="1478"/>
        <v>0</v>
      </c>
      <c r="DP442" s="161">
        <f t="shared" si="1479"/>
        <v>0</v>
      </c>
      <c r="DQ442" s="161">
        <f t="shared" si="1480"/>
        <v>0</v>
      </c>
      <c r="DR442" s="161">
        <f t="shared" si="1481"/>
        <v>0</v>
      </c>
      <c r="DS442" s="161">
        <f t="shared" si="1482"/>
        <v>0</v>
      </c>
      <c r="DT442" s="161">
        <f t="shared" si="1483"/>
        <v>0</v>
      </c>
      <c r="DU442" s="161">
        <f t="shared" si="1484"/>
        <v>0</v>
      </c>
      <c r="DV442" s="161">
        <f t="shared" si="1485"/>
        <v>0</v>
      </c>
      <c r="DW442" s="161">
        <f t="shared" si="1486"/>
        <v>0</v>
      </c>
      <c r="DX442" s="161">
        <f t="shared" si="1487"/>
        <v>0</v>
      </c>
      <c r="DY442" s="161">
        <f t="shared" si="1488"/>
        <v>0</v>
      </c>
      <c r="DZ442" s="161">
        <f t="shared" si="1489"/>
        <v>0</v>
      </c>
      <c r="EA442" s="161">
        <f t="shared" si="1490"/>
        <v>0</v>
      </c>
      <c r="EB442" s="161">
        <f t="shared" si="1491"/>
        <v>0</v>
      </c>
      <c r="EC442" s="161">
        <f t="shared" si="1492"/>
        <v>0</v>
      </c>
      <c r="ED442" s="161">
        <f t="shared" si="1493"/>
        <v>0</v>
      </c>
      <c r="EE442" s="161">
        <f t="shared" si="1494"/>
        <v>0</v>
      </c>
      <c r="EF442" s="161">
        <f t="shared" si="1495"/>
        <v>0</v>
      </c>
      <c r="EG442" s="161">
        <f t="shared" si="1496"/>
        <v>0</v>
      </c>
      <c r="EH442" s="161">
        <f t="shared" si="1497"/>
        <v>0</v>
      </c>
      <c r="EI442" s="161">
        <f t="shared" si="1498"/>
        <v>0</v>
      </c>
      <c r="EJ442" s="65"/>
      <c r="EK442" s="161">
        <f t="shared" si="1569"/>
        <v>0</v>
      </c>
      <c r="EL442" s="161">
        <f t="shared" si="1570"/>
        <v>0</v>
      </c>
      <c r="EM442" s="161">
        <f t="shared" si="1571"/>
        <v>0</v>
      </c>
    </row>
    <row r="443" spans="1:143" ht="12" hidden="1" customHeight="1" outlineLevel="2">
      <c r="A443" s="77">
        <v>15</v>
      </c>
      <c r="B443" s="137" t="str">
        <f t="shared" si="1499"/>
        <v>TEC I - Equipe_01</v>
      </c>
      <c r="C443" s="65"/>
      <c r="D443" s="622"/>
      <c r="E443" s="65"/>
      <c r="F443" s="584"/>
      <c r="G443" s="77" t="str">
        <f>IF(INDEX(Tarefas!$BT$30:$FK$30,MATCH(A443,Tarefas!$BT$28:$FK$28,0))=0,"",INDEX(Tarefas!$BT$30:$FK$30,MATCH(A443,Tarefas!$BT$28:$FK$28,0)))</f>
        <v>TEC I</v>
      </c>
      <c r="H443" s="107" cm="1">
        <f t="array" ref="H443">IFERROR((SUMPRODUCT((Tarefas!$N$32:$N$54='Cronog. e Histog.'!$F$429)*(Tarefas!$BQ$30:$FK$30='Cronog. e Histog.'!$G443)*(Tarefas!$BQ$32:$FK$54)))/SUMIF(Tarefas!$N$32:$N$54,'Cronog. e Histog.'!$F$429,Tarefas!$K$32:$K$54),0)</f>
        <v>0</v>
      </c>
      <c r="I443" s="79">
        <f t="shared" si="1500"/>
        <v>0</v>
      </c>
      <c r="J443" s="65"/>
      <c r="K443" s="160">
        <f t="shared" si="1572"/>
        <v>0</v>
      </c>
      <c r="L443" s="160">
        <f t="shared" si="1434"/>
        <v>0</v>
      </c>
      <c r="M443" s="160">
        <f t="shared" si="1434"/>
        <v>0</v>
      </c>
      <c r="N443" s="160">
        <f t="shared" si="1434"/>
        <v>0</v>
      </c>
      <c r="O443" s="160">
        <f t="shared" si="1434"/>
        <v>0</v>
      </c>
      <c r="P443" s="160">
        <f t="shared" si="1434"/>
        <v>0</v>
      </c>
      <c r="Q443" s="160">
        <f t="shared" si="1434"/>
        <v>0</v>
      </c>
      <c r="R443" s="160">
        <f t="shared" si="1434"/>
        <v>0</v>
      </c>
      <c r="S443" s="160">
        <f t="shared" si="1434"/>
        <v>0</v>
      </c>
      <c r="T443" s="160">
        <f t="shared" si="1434"/>
        <v>0</v>
      </c>
      <c r="U443" s="160">
        <f t="shared" si="1434"/>
        <v>0</v>
      </c>
      <c r="V443" s="160">
        <f t="shared" si="1434"/>
        <v>0</v>
      </c>
      <c r="W443" s="160">
        <f t="shared" si="1434"/>
        <v>0</v>
      </c>
      <c r="X443" s="160">
        <f t="shared" si="1434"/>
        <v>0</v>
      </c>
      <c r="Y443" s="160">
        <f t="shared" si="1434"/>
        <v>0</v>
      </c>
      <c r="Z443" s="160">
        <f t="shared" si="1434"/>
        <v>0</v>
      </c>
      <c r="AA443" s="160">
        <f t="shared" si="1434"/>
        <v>0</v>
      </c>
      <c r="AB443" s="160">
        <f t="shared" si="1434"/>
        <v>0</v>
      </c>
      <c r="AC443" s="160">
        <f t="shared" si="1434"/>
        <v>0</v>
      </c>
      <c r="AD443" s="160">
        <f t="shared" si="1434"/>
        <v>0</v>
      </c>
      <c r="AE443" s="160">
        <f t="shared" si="1434"/>
        <v>0</v>
      </c>
      <c r="AF443" s="160">
        <f t="shared" si="1434"/>
        <v>0</v>
      </c>
      <c r="AG443" s="160">
        <f t="shared" si="1434"/>
        <v>0</v>
      </c>
      <c r="AH443" s="160">
        <f t="shared" si="1434"/>
        <v>0</v>
      </c>
      <c r="AI443" s="160">
        <f t="shared" si="1434"/>
        <v>0</v>
      </c>
      <c r="AJ443" s="160">
        <f t="shared" si="1434"/>
        <v>0</v>
      </c>
      <c r="AK443" s="160">
        <f t="shared" si="1434"/>
        <v>0</v>
      </c>
      <c r="AL443" s="160">
        <f t="shared" si="1434"/>
        <v>0</v>
      </c>
      <c r="AM443" s="160">
        <f t="shared" si="1434"/>
        <v>0</v>
      </c>
      <c r="AN443" s="160">
        <f t="shared" si="1434"/>
        <v>0</v>
      </c>
      <c r="AO443" s="160">
        <f t="shared" si="1434"/>
        <v>0</v>
      </c>
      <c r="AP443" s="160">
        <f t="shared" si="1434"/>
        <v>0</v>
      </c>
      <c r="AQ443" s="160">
        <f t="shared" si="1434"/>
        <v>0</v>
      </c>
      <c r="AR443" s="160">
        <f t="shared" si="1434"/>
        <v>0</v>
      </c>
      <c r="AS443" s="160">
        <f t="shared" si="1434"/>
        <v>0</v>
      </c>
      <c r="AT443" s="160">
        <f t="shared" ref="L443:BR447" si="1573">ROUND($I443*AT$192,2)</f>
        <v>0</v>
      </c>
      <c r="AU443" s="160">
        <f t="shared" si="1573"/>
        <v>0</v>
      </c>
      <c r="AV443" s="160">
        <f t="shared" si="1573"/>
        <v>0</v>
      </c>
      <c r="AW443" s="160">
        <f t="shared" si="1573"/>
        <v>0</v>
      </c>
      <c r="AX443" s="160">
        <f t="shared" si="1573"/>
        <v>0</v>
      </c>
      <c r="AY443" s="160">
        <f t="shared" si="1573"/>
        <v>0</v>
      </c>
      <c r="AZ443" s="160">
        <f t="shared" si="1573"/>
        <v>0</v>
      </c>
      <c r="BA443" s="160">
        <f t="shared" si="1573"/>
        <v>0</v>
      </c>
      <c r="BB443" s="160">
        <f t="shared" si="1573"/>
        <v>0</v>
      </c>
      <c r="BC443" s="160">
        <f t="shared" si="1573"/>
        <v>0</v>
      </c>
      <c r="BD443" s="160">
        <f t="shared" si="1573"/>
        <v>0</v>
      </c>
      <c r="BE443" s="160">
        <f t="shared" si="1573"/>
        <v>0</v>
      </c>
      <c r="BF443" s="160">
        <f t="shared" si="1573"/>
        <v>0</v>
      </c>
      <c r="BG443" s="160">
        <f t="shared" si="1573"/>
        <v>0</v>
      </c>
      <c r="BH443" s="160">
        <f t="shared" si="1573"/>
        <v>0</v>
      </c>
      <c r="BI443" s="160">
        <f t="shared" si="1573"/>
        <v>0</v>
      </c>
      <c r="BJ443" s="160">
        <f t="shared" si="1573"/>
        <v>0</v>
      </c>
      <c r="BK443" s="160">
        <f t="shared" si="1573"/>
        <v>0</v>
      </c>
      <c r="BL443" s="160">
        <f t="shared" si="1573"/>
        <v>0</v>
      </c>
      <c r="BM443" s="160">
        <f t="shared" si="1573"/>
        <v>0</v>
      </c>
      <c r="BN443" s="160">
        <f t="shared" si="1573"/>
        <v>0</v>
      </c>
      <c r="BO443" s="160">
        <f t="shared" si="1573"/>
        <v>0</v>
      </c>
      <c r="BP443" s="160">
        <f t="shared" si="1573"/>
        <v>0</v>
      </c>
      <c r="BQ443" s="160">
        <f t="shared" si="1573"/>
        <v>0</v>
      </c>
      <c r="BR443" s="160">
        <f t="shared" si="1573"/>
        <v>0</v>
      </c>
      <c r="BS443" s="65"/>
      <c r="BT443" s="160">
        <f t="shared" si="1435"/>
        <v>0</v>
      </c>
      <c r="BU443" s="160">
        <f t="shared" si="1436"/>
        <v>0</v>
      </c>
      <c r="BV443" s="65"/>
      <c r="BW443" s="69"/>
      <c r="BX443" s="65"/>
      <c r="BY443" s="137">
        <f t="shared" si="1437"/>
        <v>1</v>
      </c>
      <c r="BZ443" s="137">
        <f>IF(BY443&gt;0,BY443+LARGE($BZ$213:BZ442,1),0)</f>
        <v>195</v>
      </c>
      <c r="CA443" s="137" t="str">
        <f t="shared" si="1438"/>
        <v>TEC I</v>
      </c>
      <c r="CB443" s="161">
        <f t="shared" si="1439"/>
        <v>0</v>
      </c>
      <c r="CC443" s="161">
        <f t="shared" si="1440"/>
        <v>0</v>
      </c>
      <c r="CD443" s="161">
        <f t="shared" si="1441"/>
        <v>0</v>
      </c>
      <c r="CE443" s="161">
        <f t="shared" si="1442"/>
        <v>0</v>
      </c>
      <c r="CF443" s="161">
        <f t="shared" si="1443"/>
        <v>0</v>
      </c>
      <c r="CG443" s="161">
        <f t="shared" si="1444"/>
        <v>0</v>
      </c>
      <c r="CH443" s="161">
        <f t="shared" si="1445"/>
        <v>0</v>
      </c>
      <c r="CI443" s="161">
        <f t="shared" si="1446"/>
        <v>0</v>
      </c>
      <c r="CJ443" s="161">
        <f t="shared" si="1447"/>
        <v>0</v>
      </c>
      <c r="CK443" s="161">
        <f t="shared" si="1448"/>
        <v>0</v>
      </c>
      <c r="CL443" s="161">
        <f t="shared" si="1449"/>
        <v>0</v>
      </c>
      <c r="CM443" s="161">
        <f t="shared" si="1450"/>
        <v>0</v>
      </c>
      <c r="CN443" s="161">
        <f t="shared" si="1451"/>
        <v>0</v>
      </c>
      <c r="CO443" s="161">
        <f t="shared" si="1452"/>
        <v>0</v>
      </c>
      <c r="CP443" s="161">
        <f t="shared" si="1453"/>
        <v>0</v>
      </c>
      <c r="CQ443" s="161">
        <f t="shared" si="1454"/>
        <v>0</v>
      </c>
      <c r="CR443" s="161">
        <f t="shared" si="1455"/>
        <v>0</v>
      </c>
      <c r="CS443" s="161">
        <f t="shared" si="1456"/>
        <v>0</v>
      </c>
      <c r="CT443" s="161">
        <f t="shared" si="1457"/>
        <v>0</v>
      </c>
      <c r="CU443" s="161">
        <f t="shared" si="1458"/>
        <v>0</v>
      </c>
      <c r="CV443" s="161">
        <f t="shared" si="1459"/>
        <v>0</v>
      </c>
      <c r="CW443" s="161">
        <f t="shared" si="1460"/>
        <v>0</v>
      </c>
      <c r="CX443" s="161">
        <f t="shared" si="1461"/>
        <v>0</v>
      </c>
      <c r="CY443" s="161">
        <f t="shared" si="1462"/>
        <v>0</v>
      </c>
      <c r="CZ443" s="161">
        <f t="shared" si="1463"/>
        <v>0</v>
      </c>
      <c r="DA443" s="161">
        <f t="shared" si="1464"/>
        <v>0</v>
      </c>
      <c r="DB443" s="161">
        <f t="shared" si="1465"/>
        <v>0</v>
      </c>
      <c r="DC443" s="161">
        <f t="shared" si="1466"/>
        <v>0</v>
      </c>
      <c r="DD443" s="161">
        <f t="shared" si="1467"/>
        <v>0</v>
      </c>
      <c r="DE443" s="161">
        <f t="shared" si="1468"/>
        <v>0</v>
      </c>
      <c r="DF443" s="161">
        <f t="shared" si="1469"/>
        <v>0</v>
      </c>
      <c r="DG443" s="161">
        <f t="shared" si="1470"/>
        <v>0</v>
      </c>
      <c r="DH443" s="161">
        <f t="shared" si="1471"/>
        <v>0</v>
      </c>
      <c r="DI443" s="161">
        <f t="shared" si="1472"/>
        <v>0</v>
      </c>
      <c r="DJ443" s="161">
        <f t="shared" si="1473"/>
        <v>0</v>
      </c>
      <c r="DK443" s="161">
        <f t="shared" si="1474"/>
        <v>0</v>
      </c>
      <c r="DL443" s="161">
        <f t="shared" si="1475"/>
        <v>0</v>
      </c>
      <c r="DM443" s="161">
        <f t="shared" si="1476"/>
        <v>0</v>
      </c>
      <c r="DN443" s="161">
        <f t="shared" si="1477"/>
        <v>0</v>
      </c>
      <c r="DO443" s="161">
        <f t="shared" si="1478"/>
        <v>0</v>
      </c>
      <c r="DP443" s="161">
        <f t="shared" si="1479"/>
        <v>0</v>
      </c>
      <c r="DQ443" s="161">
        <f t="shared" si="1480"/>
        <v>0</v>
      </c>
      <c r="DR443" s="161">
        <f t="shared" si="1481"/>
        <v>0</v>
      </c>
      <c r="DS443" s="161">
        <f t="shared" si="1482"/>
        <v>0</v>
      </c>
      <c r="DT443" s="161">
        <f t="shared" si="1483"/>
        <v>0</v>
      </c>
      <c r="DU443" s="161">
        <f t="shared" si="1484"/>
        <v>0</v>
      </c>
      <c r="DV443" s="161">
        <f t="shared" si="1485"/>
        <v>0</v>
      </c>
      <c r="DW443" s="161">
        <f t="shared" si="1486"/>
        <v>0</v>
      </c>
      <c r="DX443" s="161">
        <f t="shared" si="1487"/>
        <v>0</v>
      </c>
      <c r="DY443" s="161">
        <f t="shared" si="1488"/>
        <v>0</v>
      </c>
      <c r="DZ443" s="161">
        <f t="shared" si="1489"/>
        <v>0</v>
      </c>
      <c r="EA443" s="161">
        <f t="shared" si="1490"/>
        <v>0</v>
      </c>
      <c r="EB443" s="161">
        <f t="shared" si="1491"/>
        <v>0</v>
      </c>
      <c r="EC443" s="161">
        <f t="shared" si="1492"/>
        <v>0</v>
      </c>
      <c r="ED443" s="161">
        <f t="shared" si="1493"/>
        <v>0</v>
      </c>
      <c r="EE443" s="161">
        <f t="shared" si="1494"/>
        <v>0</v>
      </c>
      <c r="EF443" s="161">
        <f t="shared" si="1495"/>
        <v>0</v>
      </c>
      <c r="EG443" s="161">
        <f t="shared" si="1496"/>
        <v>0</v>
      </c>
      <c r="EH443" s="161">
        <f t="shared" si="1497"/>
        <v>0</v>
      </c>
      <c r="EI443" s="161">
        <f t="shared" si="1498"/>
        <v>0</v>
      </c>
      <c r="EJ443" s="65"/>
      <c r="EK443" s="161">
        <f t="shared" si="1569"/>
        <v>0</v>
      </c>
      <c r="EL443" s="161">
        <f t="shared" si="1570"/>
        <v>0</v>
      </c>
      <c r="EM443" s="161">
        <f t="shared" si="1571"/>
        <v>0</v>
      </c>
    </row>
    <row r="444" spans="1:143" ht="12" hidden="1" customHeight="1" outlineLevel="2">
      <c r="A444" s="77">
        <v>16</v>
      </c>
      <c r="B444" s="137" t="str">
        <f t="shared" si="1499"/>
        <v>AUX TEC - Equipe_01</v>
      </c>
      <c r="C444" s="65"/>
      <c r="D444" s="622"/>
      <c r="E444" s="65"/>
      <c r="F444" s="584"/>
      <c r="G444" s="77" t="str">
        <f>IF(INDEX(Tarefas!$BT$30:$FK$30,MATCH(A444,Tarefas!$BT$28:$FK$28,0))=0,"",INDEX(Tarefas!$BT$30:$FK$30,MATCH(A444,Tarefas!$BT$28:$FK$28,0)))</f>
        <v>AUX TEC</v>
      </c>
      <c r="H444" s="107" cm="1">
        <f t="array" ref="H444">IFERROR((SUMPRODUCT((Tarefas!$N$32:$N$54='Cronog. e Histog.'!$F$429)*(Tarefas!$BQ$30:$FK$30='Cronog. e Histog.'!$G444)*(Tarefas!$BQ$32:$FK$54)))/SUMIF(Tarefas!$N$32:$N$54,'Cronog. e Histog.'!$F$429,Tarefas!$K$32:$K$54),0)</f>
        <v>0</v>
      </c>
      <c r="I444" s="79">
        <f t="shared" si="1500"/>
        <v>0</v>
      </c>
      <c r="J444" s="65"/>
      <c r="K444" s="160">
        <f t="shared" si="1572"/>
        <v>0</v>
      </c>
      <c r="L444" s="160">
        <f t="shared" si="1573"/>
        <v>0</v>
      </c>
      <c r="M444" s="160">
        <f t="shared" si="1573"/>
        <v>0</v>
      </c>
      <c r="N444" s="160">
        <f t="shared" si="1573"/>
        <v>0</v>
      </c>
      <c r="O444" s="160">
        <f t="shared" si="1573"/>
        <v>0</v>
      </c>
      <c r="P444" s="160">
        <f t="shared" si="1573"/>
        <v>0</v>
      </c>
      <c r="Q444" s="160">
        <f t="shared" si="1573"/>
        <v>0</v>
      </c>
      <c r="R444" s="160">
        <f t="shared" si="1573"/>
        <v>0</v>
      </c>
      <c r="S444" s="160">
        <f t="shared" si="1573"/>
        <v>0</v>
      </c>
      <c r="T444" s="160">
        <f t="shared" si="1573"/>
        <v>0</v>
      </c>
      <c r="U444" s="160">
        <f t="shared" si="1573"/>
        <v>0</v>
      </c>
      <c r="V444" s="160">
        <f t="shared" si="1573"/>
        <v>0</v>
      </c>
      <c r="W444" s="160">
        <f t="shared" si="1573"/>
        <v>0</v>
      </c>
      <c r="X444" s="160">
        <f t="shared" si="1573"/>
        <v>0</v>
      </c>
      <c r="Y444" s="160">
        <f t="shared" si="1573"/>
        <v>0</v>
      </c>
      <c r="Z444" s="160">
        <f t="shared" si="1573"/>
        <v>0</v>
      </c>
      <c r="AA444" s="160">
        <f t="shared" si="1573"/>
        <v>0</v>
      </c>
      <c r="AB444" s="160">
        <f t="shared" si="1573"/>
        <v>0</v>
      </c>
      <c r="AC444" s="160">
        <f t="shared" si="1573"/>
        <v>0</v>
      </c>
      <c r="AD444" s="160">
        <f t="shared" si="1573"/>
        <v>0</v>
      </c>
      <c r="AE444" s="160">
        <f t="shared" si="1573"/>
        <v>0</v>
      </c>
      <c r="AF444" s="160">
        <f t="shared" si="1573"/>
        <v>0</v>
      </c>
      <c r="AG444" s="160">
        <f t="shared" si="1573"/>
        <v>0</v>
      </c>
      <c r="AH444" s="160">
        <f t="shared" si="1573"/>
        <v>0</v>
      </c>
      <c r="AI444" s="160">
        <f t="shared" si="1573"/>
        <v>0</v>
      </c>
      <c r="AJ444" s="160">
        <f t="shared" si="1573"/>
        <v>0</v>
      </c>
      <c r="AK444" s="160">
        <f t="shared" si="1573"/>
        <v>0</v>
      </c>
      <c r="AL444" s="160">
        <f t="shared" si="1573"/>
        <v>0</v>
      </c>
      <c r="AM444" s="160">
        <f t="shared" si="1573"/>
        <v>0</v>
      </c>
      <c r="AN444" s="160">
        <f t="shared" si="1573"/>
        <v>0</v>
      </c>
      <c r="AO444" s="160">
        <f t="shared" si="1573"/>
        <v>0</v>
      </c>
      <c r="AP444" s="160">
        <f t="shared" si="1573"/>
        <v>0</v>
      </c>
      <c r="AQ444" s="160">
        <f t="shared" si="1573"/>
        <v>0</v>
      </c>
      <c r="AR444" s="160">
        <f t="shared" si="1573"/>
        <v>0</v>
      </c>
      <c r="AS444" s="160">
        <f t="shared" si="1573"/>
        <v>0</v>
      </c>
      <c r="AT444" s="160">
        <f t="shared" si="1573"/>
        <v>0</v>
      </c>
      <c r="AU444" s="160">
        <f t="shared" si="1573"/>
        <v>0</v>
      </c>
      <c r="AV444" s="160">
        <f t="shared" si="1573"/>
        <v>0</v>
      </c>
      <c r="AW444" s="160">
        <f t="shared" si="1573"/>
        <v>0</v>
      </c>
      <c r="AX444" s="160">
        <f t="shared" si="1573"/>
        <v>0</v>
      </c>
      <c r="AY444" s="160">
        <f t="shared" si="1573"/>
        <v>0</v>
      </c>
      <c r="AZ444" s="160">
        <f t="shared" si="1573"/>
        <v>0</v>
      </c>
      <c r="BA444" s="160">
        <f t="shared" si="1573"/>
        <v>0</v>
      </c>
      <c r="BB444" s="160">
        <f t="shared" si="1573"/>
        <v>0</v>
      </c>
      <c r="BC444" s="160">
        <f t="shared" si="1573"/>
        <v>0</v>
      </c>
      <c r="BD444" s="160">
        <f t="shared" si="1573"/>
        <v>0</v>
      </c>
      <c r="BE444" s="160">
        <f t="shared" si="1573"/>
        <v>0</v>
      </c>
      <c r="BF444" s="160">
        <f t="shared" si="1573"/>
        <v>0</v>
      </c>
      <c r="BG444" s="160">
        <f t="shared" si="1573"/>
        <v>0</v>
      </c>
      <c r="BH444" s="160">
        <f t="shared" si="1573"/>
        <v>0</v>
      </c>
      <c r="BI444" s="160">
        <f t="shared" si="1573"/>
        <v>0</v>
      </c>
      <c r="BJ444" s="160">
        <f t="shared" si="1573"/>
        <v>0</v>
      </c>
      <c r="BK444" s="160">
        <f t="shared" si="1573"/>
        <v>0</v>
      </c>
      <c r="BL444" s="160">
        <f t="shared" si="1573"/>
        <v>0</v>
      </c>
      <c r="BM444" s="160">
        <f t="shared" si="1573"/>
        <v>0</v>
      </c>
      <c r="BN444" s="160">
        <f t="shared" si="1573"/>
        <v>0</v>
      </c>
      <c r="BO444" s="160">
        <f t="shared" si="1573"/>
        <v>0</v>
      </c>
      <c r="BP444" s="160">
        <f t="shared" si="1573"/>
        <v>0</v>
      </c>
      <c r="BQ444" s="160">
        <f t="shared" si="1573"/>
        <v>0</v>
      </c>
      <c r="BR444" s="160">
        <f t="shared" si="1573"/>
        <v>0</v>
      </c>
      <c r="BS444" s="65"/>
      <c r="BT444" s="160">
        <f t="shared" si="1435"/>
        <v>0</v>
      </c>
      <c r="BU444" s="160">
        <f t="shared" si="1436"/>
        <v>0</v>
      </c>
      <c r="BV444" s="65"/>
      <c r="BW444" s="69"/>
      <c r="BX444" s="65"/>
      <c r="BY444" s="137">
        <f t="shared" si="1437"/>
        <v>1</v>
      </c>
      <c r="BZ444" s="137">
        <f>IF(BY444&gt;0,BY444+LARGE($BZ$213:BZ443,1),0)</f>
        <v>196</v>
      </c>
      <c r="CA444" s="137" t="str">
        <f t="shared" si="1438"/>
        <v>AUX TEC</v>
      </c>
      <c r="CB444" s="161">
        <f t="shared" si="1439"/>
        <v>0</v>
      </c>
      <c r="CC444" s="161">
        <f t="shared" si="1440"/>
        <v>0</v>
      </c>
      <c r="CD444" s="161">
        <f t="shared" si="1441"/>
        <v>0</v>
      </c>
      <c r="CE444" s="161">
        <f t="shared" si="1442"/>
        <v>0</v>
      </c>
      <c r="CF444" s="161">
        <f t="shared" si="1443"/>
        <v>0</v>
      </c>
      <c r="CG444" s="161">
        <f t="shared" si="1444"/>
        <v>0</v>
      </c>
      <c r="CH444" s="161">
        <f t="shared" si="1445"/>
        <v>0</v>
      </c>
      <c r="CI444" s="161">
        <f t="shared" si="1446"/>
        <v>0</v>
      </c>
      <c r="CJ444" s="161">
        <f t="shared" si="1447"/>
        <v>0</v>
      </c>
      <c r="CK444" s="161">
        <f t="shared" si="1448"/>
        <v>0</v>
      </c>
      <c r="CL444" s="161">
        <f t="shared" si="1449"/>
        <v>0</v>
      </c>
      <c r="CM444" s="161">
        <f t="shared" si="1450"/>
        <v>0</v>
      </c>
      <c r="CN444" s="161">
        <f t="shared" si="1451"/>
        <v>0</v>
      </c>
      <c r="CO444" s="161">
        <f t="shared" si="1452"/>
        <v>0</v>
      </c>
      <c r="CP444" s="161">
        <f t="shared" si="1453"/>
        <v>0</v>
      </c>
      <c r="CQ444" s="161">
        <f t="shared" si="1454"/>
        <v>0</v>
      </c>
      <c r="CR444" s="161">
        <f t="shared" si="1455"/>
        <v>0</v>
      </c>
      <c r="CS444" s="161">
        <f t="shared" si="1456"/>
        <v>0</v>
      </c>
      <c r="CT444" s="161">
        <f t="shared" si="1457"/>
        <v>0</v>
      </c>
      <c r="CU444" s="161">
        <f t="shared" si="1458"/>
        <v>0</v>
      </c>
      <c r="CV444" s="161">
        <f t="shared" si="1459"/>
        <v>0</v>
      </c>
      <c r="CW444" s="161">
        <f t="shared" si="1460"/>
        <v>0</v>
      </c>
      <c r="CX444" s="161">
        <f t="shared" si="1461"/>
        <v>0</v>
      </c>
      <c r="CY444" s="161">
        <f t="shared" si="1462"/>
        <v>0</v>
      </c>
      <c r="CZ444" s="161">
        <f t="shared" si="1463"/>
        <v>0</v>
      </c>
      <c r="DA444" s="161">
        <f t="shared" si="1464"/>
        <v>0</v>
      </c>
      <c r="DB444" s="161">
        <f t="shared" si="1465"/>
        <v>0</v>
      </c>
      <c r="DC444" s="161">
        <f t="shared" si="1466"/>
        <v>0</v>
      </c>
      <c r="DD444" s="161">
        <f t="shared" si="1467"/>
        <v>0</v>
      </c>
      <c r="DE444" s="161">
        <f t="shared" si="1468"/>
        <v>0</v>
      </c>
      <c r="DF444" s="161">
        <f t="shared" si="1469"/>
        <v>0</v>
      </c>
      <c r="DG444" s="161">
        <f t="shared" si="1470"/>
        <v>0</v>
      </c>
      <c r="DH444" s="161">
        <f t="shared" si="1471"/>
        <v>0</v>
      </c>
      <c r="DI444" s="161">
        <f t="shared" si="1472"/>
        <v>0</v>
      </c>
      <c r="DJ444" s="161">
        <f t="shared" si="1473"/>
        <v>0</v>
      </c>
      <c r="DK444" s="161">
        <f t="shared" si="1474"/>
        <v>0</v>
      </c>
      <c r="DL444" s="161">
        <f t="shared" si="1475"/>
        <v>0</v>
      </c>
      <c r="DM444" s="161">
        <f t="shared" si="1476"/>
        <v>0</v>
      </c>
      <c r="DN444" s="161">
        <f t="shared" si="1477"/>
        <v>0</v>
      </c>
      <c r="DO444" s="161">
        <f t="shared" si="1478"/>
        <v>0</v>
      </c>
      <c r="DP444" s="161">
        <f t="shared" si="1479"/>
        <v>0</v>
      </c>
      <c r="DQ444" s="161">
        <f t="shared" si="1480"/>
        <v>0</v>
      </c>
      <c r="DR444" s="161">
        <f t="shared" si="1481"/>
        <v>0</v>
      </c>
      <c r="DS444" s="161">
        <f t="shared" si="1482"/>
        <v>0</v>
      </c>
      <c r="DT444" s="161">
        <f t="shared" si="1483"/>
        <v>0</v>
      </c>
      <c r="DU444" s="161">
        <f t="shared" si="1484"/>
        <v>0</v>
      </c>
      <c r="DV444" s="161">
        <f t="shared" si="1485"/>
        <v>0</v>
      </c>
      <c r="DW444" s="161">
        <f t="shared" si="1486"/>
        <v>0</v>
      </c>
      <c r="DX444" s="161">
        <f t="shared" si="1487"/>
        <v>0</v>
      </c>
      <c r="DY444" s="161">
        <f t="shared" si="1488"/>
        <v>0</v>
      </c>
      <c r="DZ444" s="161">
        <f t="shared" si="1489"/>
        <v>0</v>
      </c>
      <c r="EA444" s="161">
        <f t="shared" si="1490"/>
        <v>0</v>
      </c>
      <c r="EB444" s="161">
        <f t="shared" si="1491"/>
        <v>0</v>
      </c>
      <c r="EC444" s="161">
        <f t="shared" si="1492"/>
        <v>0</v>
      </c>
      <c r="ED444" s="161">
        <f t="shared" si="1493"/>
        <v>0</v>
      </c>
      <c r="EE444" s="161">
        <f t="shared" si="1494"/>
        <v>0</v>
      </c>
      <c r="EF444" s="161">
        <f t="shared" si="1495"/>
        <v>0</v>
      </c>
      <c r="EG444" s="161">
        <f t="shared" si="1496"/>
        <v>0</v>
      </c>
      <c r="EH444" s="161">
        <f t="shared" si="1497"/>
        <v>0</v>
      </c>
      <c r="EI444" s="161">
        <f t="shared" si="1498"/>
        <v>0</v>
      </c>
      <c r="EJ444" s="65"/>
      <c r="EK444" s="161">
        <f t="shared" si="1569"/>
        <v>0</v>
      </c>
      <c r="EL444" s="161">
        <f t="shared" si="1570"/>
        <v>0</v>
      </c>
      <c r="EM444" s="161">
        <f t="shared" si="1571"/>
        <v>0</v>
      </c>
    </row>
    <row r="445" spans="1:143" ht="12" hidden="1" customHeight="1" outlineLevel="2">
      <c r="A445" s="77">
        <v>17</v>
      </c>
      <c r="B445" s="137" t="str">
        <f t="shared" si="1499"/>
        <v>AUX ADM - Equipe_01</v>
      </c>
      <c r="C445" s="65"/>
      <c r="D445" s="622"/>
      <c r="E445" s="65"/>
      <c r="F445" s="584"/>
      <c r="G445" s="77" t="str">
        <f>IF(INDEX(Tarefas!$BT$30:$FK$30,MATCH(A445,Tarefas!$BT$28:$FK$28,0))=0,"",INDEX(Tarefas!$BT$30:$FK$30,MATCH(A445,Tarefas!$BT$28:$FK$28,0)))</f>
        <v>AUX ADM</v>
      </c>
      <c r="H445" s="107" cm="1">
        <f t="array" ref="H445">IFERROR((SUMPRODUCT((Tarefas!$N$32:$N$54='Cronog. e Histog.'!$F$429)*(Tarefas!$BQ$30:$FK$30='Cronog. e Histog.'!$G445)*(Tarefas!$BQ$32:$FK$54)))/SUMIF(Tarefas!$N$32:$N$54,'Cronog. e Histog.'!$F$429,Tarefas!$K$32:$K$54),0)</f>
        <v>0</v>
      </c>
      <c r="I445" s="79">
        <f t="shared" si="1500"/>
        <v>0</v>
      </c>
      <c r="J445" s="65"/>
      <c r="K445" s="160">
        <f t="shared" si="1572"/>
        <v>0</v>
      </c>
      <c r="L445" s="160">
        <f t="shared" si="1573"/>
        <v>0</v>
      </c>
      <c r="M445" s="160">
        <f t="shared" si="1573"/>
        <v>0</v>
      </c>
      <c r="N445" s="160">
        <f t="shared" si="1573"/>
        <v>0</v>
      </c>
      <c r="O445" s="160">
        <f t="shared" si="1573"/>
        <v>0</v>
      </c>
      <c r="P445" s="160">
        <f t="shared" si="1573"/>
        <v>0</v>
      </c>
      <c r="Q445" s="160">
        <f t="shared" si="1573"/>
        <v>0</v>
      </c>
      <c r="R445" s="160">
        <f t="shared" si="1573"/>
        <v>0</v>
      </c>
      <c r="S445" s="160">
        <f t="shared" si="1573"/>
        <v>0</v>
      </c>
      <c r="T445" s="160">
        <f t="shared" si="1573"/>
        <v>0</v>
      </c>
      <c r="U445" s="160">
        <f t="shared" si="1573"/>
        <v>0</v>
      </c>
      <c r="V445" s="160">
        <f t="shared" si="1573"/>
        <v>0</v>
      </c>
      <c r="W445" s="160">
        <f t="shared" si="1573"/>
        <v>0</v>
      </c>
      <c r="X445" s="160">
        <f t="shared" si="1573"/>
        <v>0</v>
      </c>
      <c r="Y445" s="160">
        <f t="shared" si="1573"/>
        <v>0</v>
      </c>
      <c r="Z445" s="160">
        <f t="shared" si="1573"/>
        <v>0</v>
      </c>
      <c r="AA445" s="160">
        <f t="shared" si="1573"/>
        <v>0</v>
      </c>
      <c r="AB445" s="160">
        <f t="shared" si="1573"/>
        <v>0</v>
      </c>
      <c r="AC445" s="160">
        <f t="shared" si="1573"/>
        <v>0</v>
      </c>
      <c r="AD445" s="160">
        <f t="shared" si="1573"/>
        <v>0</v>
      </c>
      <c r="AE445" s="160">
        <f t="shared" si="1573"/>
        <v>0</v>
      </c>
      <c r="AF445" s="160">
        <f t="shared" si="1573"/>
        <v>0</v>
      </c>
      <c r="AG445" s="160">
        <f t="shared" si="1573"/>
        <v>0</v>
      </c>
      <c r="AH445" s="160">
        <f t="shared" si="1573"/>
        <v>0</v>
      </c>
      <c r="AI445" s="160">
        <f t="shared" si="1573"/>
        <v>0</v>
      </c>
      <c r="AJ445" s="160">
        <f t="shared" si="1573"/>
        <v>0</v>
      </c>
      <c r="AK445" s="160">
        <f t="shared" si="1573"/>
        <v>0</v>
      </c>
      <c r="AL445" s="160">
        <f t="shared" si="1573"/>
        <v>0</v>
      </c>
      <c r="AM445" s="160">
        <f t="shared" si="1573"/>
        <v>0</v>
      </c>
      <c r="AN445" s="160">
        <f t="shared" si="1573"/>
        <v>0</v>
      </c>
      <c r="AO445" s="160">
        <f t="shared" si="1573"/>
        <v>0</v>
      </c>
      <c r="AP445" s="160">
        <f t="shared" si="1573"/>
        <v>0</v>
      </c>
      <c r="AQ445" s="160">
        <f t="shared" si="1573"/>
        <v>0</v>
      </c>
      <c r="AR445" s="160">
        <f t="shared" si="1573"/>
        <v>0</v>
      </c>
      <c r="AS445" s="160">
        <f t="shared" si="1573"/>
        <v>0</v>
      </c>
      <c r="AT445" s="160">
        <f t="shared" si="1573"/>
        <v>0</v>
      </c>
      <c r="AU445" s="160">
        <f t="shared" si="1573"/>
        <v>0</v>
      </c>
      <c r="AV445" s="160">
        <f t="shared" si="1573"/>
        <v>0</v>
      </c>
      <c r="AW445" s="160">
        <f t="shared" si="1573"/>
        <v>0</v>
      </c>
      <c r="AX445" s="160">
        <f t="shared" si="1573"/>
        <v>0</v>
      </c>
      <c r="AY445" s="160">
        <f t="shared" si="1573"/>
        <v>0</v>
      </c>
      <c r="AZ445" s="160">
        <f t="shared" si="1573"/>
        <v>0</v>
      </c>
      <c r="BA445" s="160">
        <f t="shared" si="1573"/>
        <v>0</v>
      </c>
      <c r="BB445" s="160">
        <f t="shared" si="1573"/>
        <v>0</v>
      </c>
      <c r="BC445" s="160">
        <f t="shared" si="1573"/>
        <v>0</v>
      </c>
      <c r="BD445" s="160">
        <f t="shared" si="1573"/>
        <v>0</v>
      </c>
      <c r="BE445" s="160">
        <f t="shared" si="1573"/>
        <v>0</v>
      </c>
      <c r="BF445" s="160">
        <f t="shared" si="1573"/>
        <v>0</v>
      </c>
      <c r="BG445" s="160">
        <f t="shared" si="1573"/>
        <v>0</v>
      </c>
      <c r="BH445" s="160">
        <f t="shared" si="1573"/>
        <v>0</v>
      </c>
      <c r="BI445" s="160">
        <f t="shared" si="1573"/>
        <v>0</v>
      </c>
      <c r="BJ445" s="160">
        <f t="shared" si="1573"/>
        <v>0</v>
      </c>
      <c r="BK445" s="160">
        <f t="shared" si="1573"/>
        <v>0</v>
      </c>
      <c r="BL445" s="160">
        <f t="shared" si="1573"/>
        <v>0</v>
      </c>
      <c r="BM445" s="160">
        <f t="shared" si="1573"/>
        <v>0</v>
      </c>
      <c r="BN445" s="160">
        <f t="shared" si="1573"/>
        <v>0</v>
      </c>
      <c r="BO445" s="160">
        <f t="shared" si="1573"/>
        <v>0</v>
      </c>
      <c r="BP445" s="160">
        <f t="shared" si="1573"/>
        <v>0</v>
      </c>
      <c r="BQ445" s="160">
        <f t="shared" si="1573"/>
        <v>0</v>
      </c>
      <c r="BR445" s="160">
        <f t="shared" si="1573"/>
        <v>0</v>
      </c>
      <c r="BS445" s="65"/>
      <c r="BT445" s="160">
        <f t="shared" si="1435"/>
        <v>0</v>
      </c>
      <c r="BU445" s="160">
        <f t="shared" si="1436"/>
        <v>0</v>
      </c>
      <c r="BV445" s="65"/>
      <c r="BW445" s="69"/>
      <c r="BX445" s="65"/>
      <c r="BY445" s="137">
        <f t="shared" si="1437"/>
        <v>1</v>
      </c>
      <c r="BZ445" s="137">
        <f>IF(BY445&gt;0,BY445+LARGE($BZ$213:BZ444,1),0)</f>
        <v>197</v>
      </c>
      <c r="CA445" s="137" t="str">
        <f t="shared" si="1438"/>
        <v>AUX ADM</v>
      </c>
      <c r="CB445" s="161">
        <f t="shared" si="1439"/>
        <v>0</v>
      </c>
      <c r="CC445" s="161">
        <f t="shared" si="1440"/>
        <v>0</v>
      </c>
      <c r="CD445" s="161">
        <f t="shared" si="1441"/>
        <v>0</v>
      </c>
      <c r="CE445" s="161">
        <f t="shared" si="1442"/>
        <v>0</v>
      </c>
      <c r="CF445" s="161">
        <f t="shared" si="1443"/>
        <v>0</v>
      </c>
      <c r="CG445" s="161">
        <f t="shared" si="1444"/>
        <v>0</v>
      </c>
      <c r="CH445" s="161">
        <f t="shared" si="1445"/>
        <v>0</v>
      </c>
      <c r="CI445" s="161">
        <f t="shared" si="1446"/>
        <v>0</v>
      </c>
      <c r="CJ445" s="161">
        <f t="shared" si="1447"/>
        <v>0</v>
      </c>
      <c r="CK445" s="161">
        <f t="shared" si="1448"/>
        <v>0</v>
      </c>
      <c r="CL445" s="161">
        <f t="shared" si="1449"/>
        <v>0</v>
      </c>
      <c r="CM445" s="161">
        <f t="shared" si="1450"/>
        <v>0</v>
      </c>
      <c r="CN445" s="161">
        <f t="shared" si="1451"/>
        <v>0</v>
      </c>
      <c r="CO445" s="161">
        <f t="shared" si="1452"/>
        <v>0</v>
      </c>
      <c r="CP445" s="161">
        <f t="shared" si="1453"/>
        <v>0</v>
      </c>
      <c r="CQ445" s="161">
        <f t="shared" si="1454"/>
        <v>0</v>
      </c>
      <c r="CR445" s="161">
        <f t="shared" si="1455"/>
        <v>0</v>
      </c>
      <c r="CS445" s="161">
        <f t="shared" si="1456"/>
        <v>0</v>
      </c>
      <c r="CT445" s="161">
        <f t="shared" si="1457"/>
        <v>0</v>
      </c>
      <c r="CU445" s="161">
        <f t="shared" si="1458"/>
        <v>0</v>
      </c>
      <c r="CV445" s="161">
        <f t="shared" si="1459"/>
        <v>0</v>
      </c>
      <c r="CW445" s="161">
        <f t="shared" si="1460"/>
        <v>0</v>
      </c>
      <c r="CX445" s="161">
        <f t="shared" si="1461"/>
        <v>0</v>
      </c>
      <c r="CY445" s="161">
        <f t="shared" si="1462"/>
        <v>0</v>
      </c>
      <c r="CZ445" s="161">
        <f t="shared" si="1463"/>
        <v>0</v>
      </c>
      <c r="DA445" s="161">
        <f t="shared" si="1464"/>
        <v>0</v>
      </c>
      <c r="DB445" s="161">
        <f t="shared" si="1465"/>
        <v>0</v>
      </c>
      <c r="DC445" s="161">
        <f t="shared" si="1466"/>
        <v>0</v>
      </c>
      <c r="DD445" s="161">
        <f t="shared" si="1467"/>
        <v>0</v>
      </c>
      <c r="DE445" s="161">
        <f t="shared" si="1468"/>
        <v>0</v>
      </c>
      <c r="DF445" s="161">
        <f t="shared" si="1469"/>
        <v>0</v>
      </c>
      <c r="DG445" s="161">
        <f t="shared" si="1470"/>
        <v>0</v>
      </c>
      <c r="DH445" s="161">
        <f t="shared" si="1471"/>
        <v>0</v>
      </c>
      <c r="DI445" s="161">
        <f t="shared" si="1472"/>
        <v>0</v>
      </c>
      <c r="DJ445" s="161">
        <f t="shared" si="1473"/>
        <v>0</v>
      </c>
      <c r="DK445" s="161">
        <f t="shared" si="1474"/>
        <v>0</v>
      </c>
      <c r="DL445" s="161">
        <f t="shared" si="1475"/>
        <v>0</v>
      </c>
      <c r="DM445" s="161">
        <f t="shared" si="1476"/>
        <v>0</v>
      </c>
      <c r="DN445" s="161">
        <f t="shared" si="1477"/>
        <v>0</v>
      </c>
      <c r="DO445" s="161">
        <f t="shared" si="1478"/>
        <v>0</v>
      </c>
      <c r="DP445" s="161">
        <f t="shared" si="1479"/>
        <v>0</v>
      </c>
      <c r="DQ445" s="161">
        <f t="shared" si="1480"/>
        <v>0</v>
      </c>
      <c r="DR445" s="161">
        <f t="shared" si="1481"/>
        <v>0</v>
      </c>
      <c r="DS445" s="161">
        <f t="shared" si="1482"/>
        <v>0</v>
      </c>
      <c r="DT445" s="161">
        <f t="shared" si="1483"/>
        <v>0</v>
      </c>
      <c r="DU445" s="161">
        <f t="shared" si="1484"/>
        <v>0</v>
      </c>
      <c r="DV445" s="161">
        <f t="shared" si="1485"/>
        <v>0</v>
      </c>
      <c r="DW445" s="161">
        <f t="shared" si="1486"/>
        <v>0</v>
      </c>
      <c r="DX445" s="161">
        <f t="shared" si="1487"/>
        <v>0</v>
      </c>
      <c r="DY445" s="161">
        <f t="shared" si="1488"/>
        <v>0</v>
      </c>
      <c r="DZ445" s="161">
        <f t="shared" si="1489"/>
        <v>0</v>
      </c>
      <c r="EA445" s="161">
        <f t="shared" si="1490"/>
        <v>0</v>
      </c>
      <c r="EB445" s="161">
        <f t="shared" si="1491"/>
        <v>0</v>
      </c>
      <c r="EC445" s="161">
        <f t="shared" si="1492"/>
        <v>0</v>
      </c>
      <c r="ED445" s="161">
        <f t="shared" si="1493"/>
        <v>0</v>
      </c>
      <c r="EE445" s="161">
        <f t="shared" si="1494"/>
        <v>0</v>
      </c>
      <c r="EF445" s="161">
        <f t="shared" si="1495"/>
        <v>0</v>
      </c>
      <c r="EG445" s="161">
        <f t="shared" si="1496"/>
        <v>0</v>
      </c>
      <c r="EH445" s="161">
        <f t="shared" si="1497"/>
        <v>0</v>
      </c>
      <c r="EI445" s="161">
        <f t="shared" si="1498"/>
        <v>0</v>
      </c>
      <c r="EJ445" s="65"/>
      <c r="EK445" s="161">
        <f t="shared" si="1569"/>
        <v>0</v>
      </c>
      <c r="EL445" s="161">
        <f t="shared" si="1570"/>
        <v>0</v>
      </c>
      <c r="EM445" s="161">
        <f t="shared" si="1571"/>
        <v>0</v>
      </c>
    </row>
    <row r="446" spans="1:143" ht="12" hidden="1" customHeight="1" outlineLevel="2">
      <c r="A446" s="77">
        <v>18</v>
      </c>
      <c r="B446" s="137" t="str">
        <f t="shared" si="1499"/>
        <v>EST - Equipe_01</v>
      </c>
      <c r="C446" s="65"/>
      <c r="D446" s="622"/>
      <c r="E446" s="65"/>
      <c r="F446" s="584"/>
      <c r="G446" s="77" t="str">
        <f>IF(INDEX(Tarefas!$BT$30:$FK$30,MATCH(A446,Tarefas!$BT$28:$FK$28,0))=0,"",INDEX(Tarefas!$BT$30:$FK$30,MATCH(A446,Tarefas!$BT$28:$FK$28,0)))</f>
        <v>EST</v>
      </c>
      <c r="H446" s="107" cm="1">
        <f t="array" ref="H446">IFERROR((SUMPRODUCT((Tarefas!$N$32:$N$54='Cronog. e Histog.'!$F$429)*(Tarefas!$BQ$30:$FK$30='Cronog. e Histog.'!$G446)*(Tarefas!$BQ$32:$FK$54)))/SUMIF(Tarefas!$N$32:$N$54,'Cronog. e Histog.'!$F$429,Tarefas!$K$32:$K$54),0)</f>
        <v>0</v>
      </c>
      <c r="I446" s="79">
        <f t="shared" si="1500"/>
        <v>0</v>
      </c>
      <c r="J446" s="65"/>
      <c r="K446" s="160">
        <f t="shared" si="1572"/>
        <v>0</v>
      </c>
      <c r="L446" s="160">
        <f t="shared" si="1573"/>
        <v>0</v>
      </c>
      <c r="M446" s="160">
        <f t="shared" si="1573"/>
        <v>0</v>
      </c>
      <c r="N446" s="160">
        <f t="shared" si="1573"/>
        <v>0</v>
      </c>
      <c r="O446" s="160">
        <f t="shared" si="1573"/>
        <v>0</v>
      </c>
      <c r="P446" s="160">
        <f t="shared" si="1573"/>
        <v>0</v>
      </c>
      <c r="Q446" s="160">
        <f t="shared" si="1573"/>
        <v>0</v>
      </c>
      <c r="R446" s="160">
        <f t="shared" si="1573"/>
        <v>0</v>
      </c>
      <c r="S446" s="160">
        <f t="shared" si="1573"/>
        <v>0</v>
      </c>
      <c r="T446" s="160">
        <f t="shared" si="1573"/>
        <v>0</v>
      </c>
      <c r="U446" s="160">
        <f t="shared" si="1573"/>
        <v>0</v>
      </c>
      <c r="V446" s="160">
        <f t="shared" si="1573"/>
        <v>0</v>
      </c>
      <c r="W446" s="160">
        <f t="shared" si="1573"/>
        <v>0</v>
      </c>
      <c r="X446" s="160">
        <f t="shared" si="1573"/>
        <v>0</v>
      </c>
      <c r="Y446" s="160">
        <f t="shared" si="1573"/>
        <v>0</v>
      </c>
      <c r="Z446" s="160">
        <f t="shared" si="1573"/>
        <v>0</v>
      </c>
      <c r="AA446" s="160">
        <f t="shared" si="1573"/>
        <v>0</v>
      </c>
      <c r="AB446" s="160">
        <f t="shared" si="1573"/>
        <v>0</v>
      </c>
      <c r="AC446" s="160">
        <f t="shared" si="1573"/>
        <v>0</v>
      </c>
      <c r="AD446" s="160">
        <f t="shared" si="1573"/>
        <v>0</v>
      </c>
      <c r="AE446" s="160">
        <f t="shared" si="1573"/>
        <v>0</v>
      </c>
      <c r="AF446" s="160">
        <f t="shared" si="1573"/>
        <v>0</v>
      </c>
      <c r="AG446" s="160">
        <f t="shared" si="1573"/>
        <v>0</v>
      </c>
      <c r="AH446" s="160">
        <f t="shared" si="1573"/>
        <v>0</v>
      </c>
      <c r="AI446" s="160">
        <f t="shared" si="1573"/>
        <v>0</v>
      </c>
      <c r="AJ446" s="160">
        <f t="shared" si="1573"/>
        <v>0</v>
      </c>
      <c r="AK446" s="160">
        <f t="shared" si="1573"/>
        <v>0</v>
      </c>
      <c r="AL446" s="160">
        <f t="shared" si="1573"/>
        <v>0</v>
      </c>
      <c r="AM446" s="160">
        <f t="shared" si="1573"/>
        <v>0</v>
      </c>
      <c r="AN446" s="160">
        <f t="shared" si="1573"/>
        <v>0</v>
      </c>
      <c r="AO446" s="160">
        <f t="shared" si="1573"/>
        <v>0</v>
      </c>
      <c r="AP446" s="160">
        <f t="shared" si="1573"/>
        <v>0</v>
      </c>
      <c r="AQ446" s="160">
        <f t="shared" si="1573"/>
        <v>0</v>
      </c>
      <c r="AR446" s="160">
        <f t="shared" si="1573"/>
        <v>0</v>
      </c>
      <c r="AS446" s="160">
        <f t="shared" si="1573"/>
        <v>0</v>
      </c>
      <c r="AT446" s="160">
        <f t="shared" si="1573"/>
        <v>0</v>
      </c>
      <c r="AU446" s="160">
        <f t="shared" si="1573"/>
        <v>0</v>
      </c>
      <c r="AV446" s="160">
        <f t="shared" si="1573"/>
        <v>0</v>
      </c>
      <c r="AW446" s="160">
        <f t="shared" si="1573"/>
        <v>0</v>
      </c>
      <c r="AX446" s="160">
        <f t="shared" si="1573"/>
        <v>0</v>
      </c>
      <c r="AY446" s="160">
        <f t="shared" si="1573"/>
        <v>0</v>
      </c>
      <c r="AZ446" s="160">
        <f t="shared" si="1573"/>
        <v>0</v>
      </c>
      <c r="BA446" s="160">
        <f t="shared" si="1573"/>
        <v>0</v>
      </c>
      <c r="BB446" s="160">
        <f t="shared" si="1573"/>
        <v>0</v>
      </c>
      <c r="BC446" s="160">
        <f t="shared" si="1573"/>
        <v>0</v>
      </c>
      <c r="BD446" s="160">
        <f t="shared" si="1573"/>
        <v>0</v>
      </c>
      <c r="BE446" s="160">
        <f t="shared" si="1573"/>
        <v>0</v>
      </c>
      <c r="BF446" s="160">
        <f t="shared" si="1573"/>
        <v>0</v>
      </c>
      <c r="BG446" s="160">
        <f t="shared" si="1573"/>
        <v>0</v>
      </c>
      <c r="BH446" s="160">
        <f t="shared" si="1573"/>
        <v>0</v>
      </c>
      <c r="BI446" s="160">
        <f t="shared" si="1573"/>
        <v>0</v>
      </c>
      <c r="BJ446" s="160">
        <f t="shared" si="1573"/>
        <v>0</v>
      </c>
      <c r="BK446" s="160">
        <f t="shared" si="1573"/>
        <v>0</v>
      </c>
      <c r="BL446" s="160">
        <f t="shared" si="1573"/>
        <v>0</v>
      </c>
      <c r="BM446" s="160">
        <f t="shared" si="1573"/>
        <v>0</v>
      </c>
      <c r="BN446" s="160">
        <f t="shared" si="1573"/>
        <v>0</v>
      </c>
      <c r="BO446" s="160">
        <f t="shared" si="1573"/>
        <v>0</v>
      </c>
      <c r="BP446" s="160">
        <f t="shared" si="1573"/>
        <v>0</v>
      </c>
      <c r="BQ446" s="160">
        <f t="shared" si="1573"/>
        <v>0</v>
      </c>
      <c r="BR446" s="160">
        <f t="shared" si="1573"/>
        <v>0</v>
      </c>
      <c r="BS446" s="65"/>
      <c r="BT446" s="160">
        <f t="shared" si="1435"/>
        <v>0</v>
      </c>
      <c r="BU446" s="160">
        <f t="shared" si="1436"/>
        <v>0</v>
      </c>
      <c r="BV446" s="65"/>
      <c r="BW446" s="69"/>
      <c r="BX446" s="65"/>
      <c r="BY446" s="137">
        <f t="shared" si="1437"/>
        <v>1</v>
      </c>
      <c r="BZ446" s="137">
        <f>IF(BY446&gt;0,BY446+LARGE($BZ$213:BZ445,1),0)</f>
        <v>198</v>
      </c>
      <c r="CA446" s="137" t="str">
        <f t="shared" si="1438"/>
        <v>EST</v>
      </c>
      <c r="CB446" s="161">
        <f t="shared" si="1439"/>
        <v>0</v>
      </c>
      <c r="CC446" s="161">
        <f t="shared" si="1440"/>
        <v>0</v>
      </c>
      <c r="CD446" s="161">
        <f t="shared" si="1441"/>
        <v>0</v>
      </c>
      <c r="CE446" s="161">
        <f t="shared" si="1442"/>
        <v>0</v>
      </c>
      <c r="CF446" s="161">
        <f t="shared" si="1443"/>
        <v>0</v>
      </c>
      <c r="CG446" s="161">
        <f t="shared" si="1444"/>
        <v>0</v>
      </c>
      <c r="CH446" s="161">
        <f t="shared" si="1445"/>
        <v>0</v>
      </c>
      <c r="CI446" s="161">
        <f t="shared" si="1446"/>
        <v>0</v>
      </c>
      <c r="CJ446" s="161">
        <f t="shared" si="1447"/>
        <v>0</v>
      </c>
      <c r="CK446" s="161">
        <f t="shared" si="1448"/>
        <v>0</v>
      </c>
      <c r="CL446" s="161">
        <f t="shared" si="1449"/>
        <v>0</v>
      </c>
      <c r="CM446" s="161">
        <f t="shared" si="1450"/>
        <v>0</v>
      </c>
      <c r="CN446" s="161">
        <f t="shared" si="1451"/>
        <v>0</v>
      </c>
      <c r="CO446" s="161">
        <f t="shared" si="1452"/>
        <v>0</v>
      </c>
      <c r="CP446" s="161">
        <f t="shared" si="1453"/>
        <v>0</v>
      </c>
      <c r="CQ446" s="161">
        <f t="shared" si="1454"/>
        <v>0</v>
      </c>
      <c r="CR446" s="161">
        <f t="shared" si="1455"/>
        <v>0</v>
      </c>
      <c r="CS446" s="161">
        <f t="shared" si="1456"/>
        <v>0</v>
      </c>
      <c r="CT446" s="161">
        <f t="shared" si="1457"/>
        <v>0</v>
      </c>
      <c r="CU446" s="161">
        <f t="shared" si="1458"/>
        <v>0</v>
      </c>
      <c r="CV446" s="161">
        <f t="shared" si="1459"/>
        <v>0</v>
      </c>
      <c r="CW446" s="161">
        <f t="shared" si="1460"/>
        <v>0</v>
      </c>
      <c r="CX446" s="161">
        <f t="shared" si="1461"/>
        <v>0</v>
      </c>
      <c r="CY446" s="161">
        <f t="shared" si="1462"/>
        <v>0</v>
      </c>
      <c r="CZ446" s="161">
        <f t="shared" si="1463"/>
        <v>0</v>
      </c>
      <c r="DA446" s="161">
        <f t="shared" si="1464"/>
        <v>0</v>
      </c>
      <c r="DB446" s="161">
        <f t="shared" si="1465"/>
        <v>0</v>
      </c>
      <c r="DC446" s="161">
        <f t="shared" si="1466"/>
        <v>0</v>
      </c>
      <c r="DD446" s="161">
        <f t="shared" si="1467"/>
        <v>0</v>
      </c>
      <c r="DE446" s="161">
        <f t="shared" si="1468"/>
        <v>0</v>
      </c>
      <c r="DF446" s="161">
        <f t="shared" si="1469"/>
        <v>0</v>
      </c>
      <c r="DG446" s="161">
        <f t="shared" si="1470"/>
        <v>0</v>
      </c>
      <c r="DH446" s="161">
        <f t="shared" si="1471"/>
        <v>0</v>
      </c>
      <c r="DI446" s="161">
        <f t="shared" si="1472"/>
        <v>0</v>
      </c>
      <c r="DJ446" s="161">
        <f t="shared" si="1473"/>
        <v>0</v>
      </c>
      <c r="DK446" s="161">
        <f t="shared" si="1474"/>
        <v>0</v>
      </c>
      <c r="DL446" s="161">
        <f t="shared" si="1475"/>
        <v>0</v>
      </c>
      <c r="DM446" s="161">
        <f t="shared" si="1476"/>
        <v>0</v>
      </c>
      <c r="DN446" s="161">
        <f t="shared" si="1477"/>
        <v>0</v>
      </c>
      <c r="DO446" s="161">
        <f t="shared" si="1478"/>
        <v>0</v>
      </c>
      <c r="DP446" s="161">
        <f t="shared" si="1479"/>
        <v>0</v>
      </c>
      <c r="DQ446" s="161">
        <f t="shared" si="1480"/>
        <v>0</v>
      </c>
      <c r="DR446" s="161">
        <f t="shared" si="1481"/>
        <v>0</v>
      </c>
      <c r="DS446" s="161">
        <f t="shared" si="1482"/>
        <v>0</v>
      </c>
      <c r="DT446" s="161">
        <f t="shared" si="1483"/>
        <v>0</v>
      </c>
      <c r="DU446" s="161">
        <f t="shared" si="1484"/>
        <v>0</v>
      </c>
      <c r="DV446" s="161">
        <f t="shared" si="1485"/>
        <v>0</v>
      </c>
      <c r="DW446" s="161">
        <f t="shared" si="1486"/>
        <v>0</v>
      </c>
      <c r="DX446" s="161">
        <f t="shared" si="1487"/>
        <v>0</v>
      </c>
      <c r="DY446" s="161">
        <f t="shared" si="1488"/>
        <v>0</v>
      </c>
      <c r="DZ446" s="161">
        <f t="shared" si="1489"/>
        <v>0</v>
      </c>
      <c r="EA446" s="161">
        <f t="shared" si="1490"/>
        <v>0</v>
      </c>
      <c r="EB446" s="161">
        <f t="shared" si="1491"/>
        <v>0</v>
      </c>
      <c r="EC446" s="161">
        <f t="shared" si="1492"/>
        <v>0</v>
      </c>
      <c r="ED446" s="161">
        <f t="shared" si="1493"/>
        <v>0</v>
      </c>
      <c r="EE446" s="161">
        <f t="shared" si="1494"/>
        <v>0</v>
      </c>
      <c r="EF446" s="161">
        <f t="shared" si="1495"/>
        <v>0</v>
      </c>
      <c r="EG446" s="161">
        <f t="shared" si="1496"/>
        <v>0</v>
      </c>
      <c r="EH446" s="161">
        <f t="shared" si="1497"/>
        <v>0</v>
      </c>
      <c r="EI446" s="161">
        <f t="shared" si="1498"/>
        <v>0</v>
      </c>
      <c r="EJ446" s="65"/>
      <c r="EK446" s="161">
        <f t="shared" si="1569"/>
        <v>0</v>
      </c>
      <c r="EL446" s="161">
        <f t="shared" si="1570"/>
        <v>0</v>
      </c>
      <c r="EM446" s="161">
        <f t="shared" si="1571"/>
        <v>0</v>
      </c>
    </row>
    <row r="447" spans="1:143" ht="12" hidden="1" customHeight="1" outlineLevel="2">
      <c r="A447" s="77">
        <v>19</v>
      </c>
      <c r="B447" s="137" t="str">
        <f t="shared" si="1499"/>
        <v>EST_II - Equipe_01</v>
      </c>
      <c r="C447" s="65"/>
      <c r="D447" s="622"/>
      <c r="E447" s="65"/>
      <c r="F447" s="584"/>
      <c r="G447" s="77" t="str">
        <f>IF(INDEX(Tarefas!$BT$30:$FK$30,MATCH(A447,Tarefas!$BT$28:$FK$28,0))=0,"",INDEX(Tarefas!$BT$30:$FK$30,MATCH(A447,Tarefas!$BT$28:$FK$28,0)))</f>
        <v>EST_II</v>
      </c>
      <c r="H447" s="107" cm="1">
        <f t="array" ref="H447">IFERROR((SUMPRODUCT((Tarefas!$N$32:$N$54='Cronog. e Histog.'!$F$429)*(Tarefas!$BQ$30:$FK$30='Cronog. e Histog.'!$G447)*(Tarefas!$BQ$32:$FK$54)))/SUMIF(Tarefas!$N$32:$N$54,'Cronog. e Histog.'!$F$429,Tarefas!$K$32:$K$54),0)</f>
        <v>0</v>
      </c>
      <c r="I447" s="79">
        <f t="shared" si="1500"/>
        <v>0</v>
      </c>
      <c r="J447" s="65"/>
      <c r="K447" s="160">
        <f t="shared" si="1572"/>
        <v>0</v>
      </c>
      <c r="L447" s="160">
        <f t="shared" si="1573"/>
        <v>0</v>
      </c>
      <c r="M447" s="160">
        <f t="shared" si="1573"/>
        <v>0</v>
      </c>
      <c r="N447" s="160">
        <f t="shared" si="1573"/>
        <v>0</v>
      </c>
      <c r="O447" s="160">
        <f t="shared" si="1573"/>
        <v>0</v>
      </c>
      <c r="P447" s="160">
        <f t="shared" si="1573"/>
        <v>0</v>
      </c>
      <c r="Q447" s="160">
        <f t="shared" si="1573"/>
        <v>0</v>
      </c>
      <c r="R447" s="160">
        <f t="shared" si="1573"/>
        <v>0</v>
      </c>
      <c r="S447" s="160">
        <f t="shared" si="1573"/>
        <v>0</v>
      </c>
      <c r="T447" s="160">
        <f t="shared" si="1573"/>
        <v>0</v>
      </c>
      <c r="U447" s="160">
        <f t="shared" si="1573"/>
        <v>0</v>
      </c>
      <c r="V447" s="160">
        <f t="shared" si="1573"/>
        <v>0</v>
      </c>
      <c r="W447" s="160">
        <f t="shared" si="1573"/>
        <v>0</v>
      </c>
      <c r="X447" s="160">
        <f t="shared" si="1573"/>
        <v>0</v>
      </c>
      <c r="Y447" s="160">
        <f t="shared" si="1573"/>
        <v>0</v>
      </c>
      <c r="Z447" s="160">
        <f t="shared" si="1573"/>
        <v>0</v>
      </c>
      <c r="AA447" s="160">
        <f t="shared" si="1573"/>
        <v>0</v>
      </c>
      <c r="AB447" s="160">
        <f t="shared" si="1573"/>
        <v>0</v>
      </c>
      <c r="AC447" s="160">
        <f t="shared" si="1573"/>
        <v>0</v>
      </c>
      <c r="AD447" s="160">
        <f t="shared" si="1573"/>
        <v>0</v>
      </c>
      <c r="AE447" s="160">
        <f t="shared" si="1573"/>
        <v>0</v>
      </c>
      <c r="AF447" s="160">
        <f t="shared" si="1573"/>
        <v>0</v>
      </c>
      <c r="AG447" s="160">
        <f t="shared" si="1573"/>
        <v>0</v>
      </c>
      <c r="AH447" s="160">
        <f t="shared" si="1573"/>
        <v>0</v>
      </c>
      <c r="AI447" s="160">
        <f t="shared" si="1573"/>
        <v>0</v>
      </c>
      <c r="AJ447" s="160">
        <f t="shared" si="1573"/>
        <v>0</v>
      </c>
      <c r="AK447" s="160">
        <f t="shared" si="1573"/>
        <v>0</v>
      </c>
      <c r="AL447" s="160">
        <f t="shared" si="1573"/>
        <v>0</v>
      </c>
      <c r="AM447" s="160">
        <f t="shared" si="1573"/>
        <v>0</v>
      </c>
      <c r="AN447" s="160">
        <f t="shared" si="1573"/>
        <v>0</v>
      </c>
      <c r="AO447" s="160">
        <f t="shared" si="1573"/>
        <v>0</v>
      </c>
      <c r="AP447" s="160">
        <f t="shared" si="1573"/>
        <v>0</v>
      </c>
      <c r="AQ447" s="160">
        <f t="shared" si="1573"/>
        <v>0</v>
      </c>
      <c r="AR447" s="160">
        <f t="shared" si="1573"/>
        <v>0</v>
      </c>
      <c r="AS447" s="160">
        <f t="shared" si="1573"/>
        <v>0</v>
      </c>
      <c r="AT447" s="160">
        <f t="shared" si="1573"/>
        <v>0</v>
      </c>
      <c r="AU447" s="160">
        <f t="shared" si="1573"/>
        <v>0</v>
      </c>
      <c r="AV447" s="160">
        <f t="shared" si="1573"/>
        <v>0</v>
      </c>
      <c r="AW447" s="160">
        <f t="shared" si="1573"/>
        <v>0</v>
      </c>
      <c r="AX447" s="160">
        <f t="shared" si="1573"/>
        <v>0</v>
      </c>
      <c r="AY447" s="160">
        <f t="shared" si="1573"/>
        <v>0</v>
      </c>
      <c r="AZ447" s="160">
        <f t="shared" si="1573"/>
        <v>0</v>
      </c>
      <c r="BA447" s="160">
        <f t="shared" si="1573"/>
        <v>0</v>
      </c>
      <c r="BB447" s="160">
        <f t="shared" si="1573"/>
        <v>0</v>
      </c>
      <c r="BC447" s="160">
        <f t="shared" si="1573"/>
        <v>0</v>
      </c>
      <c r="BD447" s="160">
        <f t="shared" si="1573"/>
        <v>0</v>
      </c>
      <c r="BE447" s="160">
        <f t="shared" si="1573"/>
        <v>0</v>
      </c>
      <c r="BF447" s="160">
        <f t="shared" si="1573"/>
        <v>0</v>
      </c>
      <c r="BG447" s="160">
        <f t="shared" si="1573"/>
        <v>0</v>
      </c>
      <c r="BH447" s="160">
        <f t="shared" si="1573"/>
        <v>0</v>
      </c>
      <c r="BI447" s="160">
        <f t="shared" si="1573"/>
        <v>0</v>
      </c>
      <c r="BJ447" s="160">
        <f t="shared" si="1573"/>
        <v>0</v>
      </c>
      <c r="BK447" s="160">
        <f t="shared" si="1573"/>
        <v>0</v>
      </c>
      <c r="BL447" s="160">
        <f t="shared" si="1573"/>
        <v>0</v>
      </c>
      <c r="BM447" s="160">
        <f t="shared" ref="L447:BR448" si="1574">ROUND($I447*BM$192,2)</f>
        <v>0</v>
      </c>
      <c r="BN447" s="160">
        <f t="shared" si="1574"/>
        <v>0</v>
      </c>
      <c r="BO447" s="160">
        <f t="shared" si="1574"/>
        <v>0</v>
      </c>
      <c r="BP447" s="160">
        <f t="shared" si="1574"/>
        <v>0</v>
      </c>
      <c r="BQ447" s="160">
        <f t="shared" si="1574"/>
        <v>0</v>
      </c>
      <c r="BR447" s="160">
        <f t="shared" si="1574"/>
        <v>0</v>
      </c>
      <c r="BS447" s="65"/>
      <c r="BT447" s="160">
        <f t="shared" si="1435"/>
        <v>0</v>
      </c>
      <c r="BU447" s="160">
        <f t="shared" si="1436"/>
        <v>0</v>
      </c>
      <c r="BV447" s="65"/>
      <c r="BW447" s="69"/>
      <c r="BX447" s="65"/>
      <c r="BY447" s="137">
        <f t="shared" si="1437"/>
        <v>1</v>
      </c>
      <c r="BZ447" s="137">
        <f>IF(BY447&gt;0,BY447+LARGE($BZ$213:BZ446,1),0)</f>
        <v>199</v>
      </c>
      <c r="CA447" s="137" t="str">
        <f t="shared" si="1438"/>
        <v>EST_II</v>
      </c>
      <c r="CB447" s="161">
        <f t="shared" si="1439"/>
        <v>0</v>
      </c>
      <c r="CC447" s="161">
        <f t="shared" si="1440"/>
        <v>0</v>
      </c>
      <c r="CD447" s="161">
        <f t="shared" si="1441"/>
        <v>0</v>
      </c>
      <c r="CE447" s="161">
        <f t="shared" si="1442"/>
        <v>0</v>
      </c>
      <c r="CF447" s="161">
        <f t="shared" si="1443"/>
        <v>0</v>
      </c>
      <c r="CG447" s="161">
        <f t="shared" si="1444"/>
        <v>0</v>
      </c>
      <c r="CH447" s="161">
        <f t="shared" si="1445"/>
        <v>0</v>
      </c>
      <c r="CI447" s="161">
        <f t="shared" si="1446"/>
        <v>0</v>
      </c>
      <c r="CJ447" s="161">
        <f t="shared" si="1447"/>
        <v>0</v>
      </c>
      <c r="CK447" s="161">
        <f t="shared" si="1448"/>
        <v>0</v>
      </c>
      <c r="CL447" s="161">
        <f t="shared" si="1449"/>
        <v>0</v>
      </c>
      <c r="CM447" s="161">
        <f t="shared" si="1450"/>
        <v>0</v>
      </c>
      <c r="CN447" s="161">
        <f t="shared" si="1451"/>
        <v>0</v>
      </c>
      <c r="CO447" s="161">
        <f t="shared" si="1452"/>
        <v>0</v>
      </c>
      <c r="CP447" s="161">
        <f t="shared" si="1453"/>
        <v>0</v>
      </c>
      <c r="CQ447" s="161">
        <f t="shared" si="1454"/>
        <v>0</v>
      </c>
      <c r="CR447" s="161">
        <f t="shared" si="1455"/>
        <v>0</v>
      </c>
      <c r="CS447" s="161">
        <f t="shared" si="1456"/>
        <v>0</v>
      </c>
      <c r="CT447" s="161">
        <f t="shared" si="1457"/>
        <v>0</v>
      </c>
      <c r="CU447" s="161">
        <f t="shared" si="1458"/>
        <v>0</v>
      </c>
      <c r="CV447" s="161">
        <f t="shared" si="1459"/>
        <v>0</v>
      </c>
      <c r="CW447" s="161">
        <f t="shared" si="1460"/>
        <v>0</v>
      </c>
      <c r="CX447" s="161">
        <f t="shared" si="1461"/>
        <v>0</v>
      </c>
      <c r="CY447" s="161">
        <f t="shared" si="1462"/>
        <v>0</v>
      </c>
      <c r="CZ447" s="161">
        <f t="shared" si="1463"/>
        <v>0</v>
      </c>
      <c r="DA447" s="161">
        <f t="shared" si="1464"/>
        <v>0</v>
      </c>
      <c r="DB447" s="161">
        <f t="shared" si="1465"/>
        <v>0</v>
      </c>
      <c r="DC447" s="161">
        <f t="shared" si="1466"/>
        <v>0</v>
      </c>
      <c r="DD447" s="161">
        <f t="shared" si="1467"/>
        <v>0</v>
      </c>
      <c r="DE447" s="161">
        <f t="shared" si="1468"/>
        <v>0</v>
      </c>
      <c r="DF447" s="161">
        <f t="shared" si="1469"/>
        <v>0</v>
      </c>
      <c r="DG447" s="161">
        <f t="shared" si="1470"/>
        <v>0</v>
      </c>
      <c r="DH447" s="161">
        <f t="shared" si="1471"/>
        <v>0</v>
      </c>
      <c r="DI447" s="161">
        <f t="shared" si="1472"/>
        <v>0</v>
      </c>
      <c r="DJ447" s="161">
        <f t="shared" si="1473"/>
        <v>0</v>
      </c>
      <c r="DK447" s="161">
        <f t="shared" si="1474"/>
        <v>0</v>
      </c>
      <c r="DL447" s="161">
        <f t="shared" si="1475"/>
        <v>0</v>
      </c>
      <c r="DM447" s="161">
        <f t="shared" si="1476"/>
        <v>0</v>
      </c>
      <c r="DN447" s="161">
        <f t="shared" si="1477"/>
        <v>0</v>
      </c>
      <c r="DO447" s="161">
        <f t="shared" si="1478"/>
        <v>0</v>
      </c>
      <c r="DP447" s="161">
        <f t="shared" si="1479"/>
        <v>0</v>
      </c>
      <c r="DQ447" s="161">
        <f t="shared" si="1480"/>
        <v>0</v>
      </c>
      <c r="DR447" s="161">
        <f t="shared" si="1481"/>
        <v>0</v>
      </c>
      <c r="DS447" s="161">
        <f t="shared" si="1482"/>
        <v>0</v>
      </c>
      <c r="DT447" s="161">
        <f t="shared" si="1483"/>
        <v>0</v>
      </c>
      <c r="DU447" s="161">
        <f t="shared" si="1484"/>
        <v>0</v>
      </c>
      <c r="DV447" s="161">
        <f t="shared" si="1485"/>
        <v>0</v>
      </c>
      <c r="DW447" s="161">
        <f t="shared" si="1486"/>
        <v>0</v>
      </c>
      <c r="DX447" s="161">
        <f t="shared" si="1487"/>
        <v>0</v>
      </c>
      <c r="DY447" s="161">
        <f t="shared" si="1488"/>
        <v>0</v>
      </c>
      <c r="DZ447" s="161">
        <f t="shared" si="1489"/>
        <v>0</v>
      </c>
      <c r="EA447" s="161">
        <f t="shared" si="1490"/>
        <v>0</v>
      </c>
      <c r="EB447" s="161">
        <f t="shared" si="1491"/>
        <v>0</v>
      </c>
      <c r="EC447" s="161">
        <f t="shared" si="1492"/>
        <v>0</v>
      </c>
      <c r="ED447" s="161">
        <f t="shared" si="1493"/>
        <v>0</v>
      </c>
      <c r="EE447" s="161">
        <f t="shared" si="1494"/>
        <v>0</v>
      </c>
      <c r="EF447" s="161">
        <f t="shared" si="1495"/>
        <v>0</v>
      </c>
      <c r="EG447" s="161">
        <f t="shared" si="1496"/>
        <v>0</v>
      </c>
      <c r="EH447" s="161">
        <f t="shared" si="1497"/>
        <v>0</v>
      </c>
      <c r="EI447" s="161">
        <f t="shared" si="1498"/>
        <v>0</v>
      </c>
      <c r="EJ447" s="65"/>
      <c r="EK447" s="161">
        <f t="shared" si="1569"/>
        <v>0</v>
      </c>
      <c r="EL447" s="161">
        <f t="shared" si="1570"/>
        <v>0</v>
      </c>
      <c r="EM447" s="161">
        <f t="shared" si="1571"/>
        <v>0</v>
      </c>
    </row>
    <row r="448" spans="1:143" ht="12" hidden="1" customHeight="1" outlineLevel="2">
      <c r="A448" s="77">
        <v>20</v>
      </c>
      <c r="B448" s="137" t="str">
        <f t="shared" si="1499"/>
        <v>EST_III - Equipe_01</v>
      </c>
      <c r="C448" s="65"/>
      <c r="D448" s="623"/>
      <c r="E448" s="65"/>
      <c r="F448" s="584"/>
      <c r="G448" s="77" t="str">
        <f>IF(INDEX(Tarefas!$BT$30:$FK$30,MATCH(A448,Tarefas!$BT$28:$FK$28,0))=0,"",INDEX(Tarefas!$BT$30:$FK$30,MATCH(A448,Tarefas!$BT$28:$FK$28,0)))</f>
        <v>EST_III</v>
      </c>
      <c r="H448" s="107" cm="1">
        <f t="array" ref="H448">IFERROR((SUMPRODUCT((Tarefas!$N$32:$N$54='Cronog. e Histog.'!$F$429)*(Tarefas!$BQ$30:$FK$30='Cronog. e Histog.'!$G448)*(Tarefas!$BQ$32:$FK$54)))/SUMIF(Tarefas!$N$32:$N$54,'Cronog. e Histog.'!$F$429,Tarefas!$K$32:$K$54),0)</f>
        <v>0</v>
      </c>
      <c r="I448" s="79">
        <f t="shared" si="1500"/>
        <v>0</v>
      </c>
      <c r="J448" s="65"/>
      <c r="K448" s="160">
        <f t="shared" si="1572"/>
        <v>0</v>
      </c>
      <c r="L448" s="160">
        <f t="shared" si="1574"/>
        <v>0</v>
      </c>
      <c r="M448" s="160">
        <f t="shared" si="1574"/>
        <v>0</v>
      </c>
      <c r="N448" s="160">
        <f t="shared" si="1574"/>
        <v>0</v>
      </c>
      <c r="O448" s="160">
        <f t="shared" si="1574"/>
        <v>0</v>
      </c>
      <c r="P448" s="160">
        <f t="shared" si="1574"/>
        <v>0</v>
      </c>
      <c r="Q448" s="160">
        <f t="shared" si="1574"/>
        <v>0</v>
      </c>
      <c r="R448" s="160">
        <f t="shared" si="1574"/>
        <v>0</v>
      </c>
      <c r="S448" s="160">
        <f t="shared" si="1574"/>
        <v>0</v>
      </c>
      <c r="T448" s="160">
        <f t="shared" si="1574"/>
        <v>0</v>
      </c>
      <c r="U448" s="160">
        <f t="shared" si="1574"/>
        <v>0</v>
      </c>
      <c r="V448" s="160">
        <f t="shared" si="1574"/>
        <v>0</v>
      </c>
      <c r="W448" s="160">
        <f t="shared" si="1574"/>
        <v>0</v>
      </c>
      <c r="X448" s="160">
        <f t="shared" si="1574"/>
        <v>0</v>
      </c>
      <c r="Y448" s="160">
        <f t="shared" si="1574"/>
        <v>0</v>
      </c>
      <c r="Z448" s="160">
        <f t="shared" si="1574"/>
        <v>0</v>
      </c>
      <c r="AA448" s="160">
        <f t="shared" si="1574"/>
        <v>0</v>
      </c>
      <c r="AB448" s="160">
        <f t="shared" si="1574"/>
        <v>0</v>
      </c>
      <c r="AC448" s="160">
        <f t="shared" si="1574"/>
        <v>0</v>
      </c>
      <c r="AD448" s="160">
        <f t="shared" si="1574"/>
        <v>0</v>
      </c>
      <c r="AE448" s="160">
        <f t="shared" si="1574"/>
        <v>0</v>
      </c>
      <c r="AF448" s="160">
        <f t="shared" si="1574"/>
        <v>0</v>
      </c>
      <c r="AG448" s="160">
        <f t="shared" si="1574"/>
        <v>0</v>
      </c>
      <c r="AH448" s="160">
        <f t="shared" si="1574"/>
        <v>0</v>
      </c>
      <c r="AI448" s="160">
        <f t="shared" si="1574"/>
        <v>0</v>
      </c>
      <c r="AJ448" s="160">
        <f t="shared" si="1574"/>
        <v>0</v>
      </c>
      <c r="AK448" s="160">
        <f t="shared" si="1574"/>
        <v>0</v>
      </c>
      <c r="AL448" s="160">
        <f t="shared" si="1574"/>
        <v>0</v>
      </c>
      <c r="AM448" s="160">
        <f t="shared" si="1574"/>
        <v>0</v>
      </c>
      <c r="AN448" s="160">
        <f t="shared" si="1574"/>
        <v>0</v>
      </c>
      <c r="AO448" s="160">
        <f t="shared" si="1574"/>
        <v>0</v>
      </c>
      <c r="AP448" s="160">
        <f t="shared" si="1574"/>
        <v>0</v>
      </c>
      <c r="AQ448" s="160">
        <f t="shared" si="1574"/>
        <v>0</v>
      </c>
      <c r="AR448" s="160">
        <f t="shared" si="1574"/>
        <v>0</v>
      </c>
      <c r="AS448" s="160">
        <f t="shared" si="1574"/>
        <v>0</v>
      </c>
      <c r="AT448" s="160">
        <f t="shared" si="1574"/>
        <v>0</v>
      </c>
      <c r="AU448" s="160">
        <f t="shared" si="1574"/>
        <v>0</v>
      </c>
      <c r="AV448" s="160">
        <f t="shared" si="1574"/>
        <v>0</v>
      </c>
      <c r="AW448" s="160">
        <f t="shared" si="1574"/>
        <v>0</v>
      </c>
      <c r="AX448" s="160">
        <f t="shared" si="1574"/>
        <v>0</v>
      </c>
      <c r="AY448" s="160">
        <f t="shared" si="1574"/>
        <v>0</v>
      </c>
      <c r="AZ448" s="160">
        <f t="shared" si="1574"/>
        <v>0</v>
      </c>
      <c r="BA448" s="160">
        <f t="shared" si="1574"/>
        <v>0</v>
      </c>
      <c r="BB448" s="160">
        <f t="shared" si="1574"/>
        <v>0</v>
      </c>
      <c r="BC448" s="160">
        <f t="shared" si="1574"/>
        <v>0</v>
      </c>
      <c r="BD448" s="160">
        <f t="shared" si="1574"/>
        <v>0</v>
      </c>
      <c r="BE448" s="160">
        <f t="shared" si="1574"/>
        <v>0</v>
      </c>
      <c r="BF448" s="160">
        <f t="shared" si="1574"/>
        <v>0</v>
      </c>
      <c r="BG448" s="160">
        <f t="shared" si="1574"/>
        <v>0</v>
      </c>
      <c r="BH448" s="160">
        <f t="shared" si="1574"/>
        <v>0</v>
      </c>
      <c r="BI448" s="160">
        <f t="shared" si="1574"/>
        <v>0</v>
      </c>
      <c r="BJ448" s="160">
        <f t="shared" si="1574"/>
        <v>0</v>
      </c>
      <c r="BK448" s="160">
        <f t="shared" si="1574"/>
        <v>0</v>
      </c>
      <c r="BL448" s="160">
        <f t="shared" si="1574"/>
        <v>0</v>
      </c>
      <c r="BM448" s="160">
        <f t="shared" si="1574"/>
        <v>0</v>
      </c>
      <c r="BN448" s="160">
        <f t="shared" si="1574"/>
        <v>0</v>
      </c>
      <c r="BO448" s="160">
        <f t="shared" si="1574"/>
        <v>0</v>
      </c>
      <c r="BP448" s="160">
        <f t="shared" si="1574"/>
        <v>0</v>
      </c>
      <c r="BQ448" s="160">
        <f t="shared" si="1574"/>
        <v>0</v>
      </c>
      <c r="BR448" s="160">
        <f t="shared" si="1574"/>
        <v>0</v>
      </c>
      <c r="BS448" s="65"/>
      <c r="BT448" s="160">
        <f t="shared" si="1435"/>
        <v>0</v>
      </c>
      <c r="BU448" s="160">
        <f t="shared" si="1436"/>
        <v>0</v>
      </c>
      <c r="BV448" s="65"/>
      <c r="BW448" s="69"/>
      <c r="BX448" s="65"/>
      <c r="BY448" s="137">
        <f t="shared" si="1437"/>
        <v>1</v>
      </c>
      <c r="BZ448" s="137">
        <f>IF(BY448&gt;0,BY448+LARGE($BZ$213:BZ447,1),0)</f>
        <v>200</v>
      </c>
      <c r="CA448" s="137" t="str">
        <f t="shared" si="1438"/>
        <v>EST_III</v>
      </c>
      <c r="CB448" s="161">
        <f t="shared" si="1439"/>
        <v>0</v>
      </c>
      <c r="CC448" s="161">
        <f t="shared" si="1440"/>
        <v>0</v>
      </c>
      <c r="CD448" s="161">
        <f t="shared" si="1441"/>
        <v>0</v>
      </c>
      <c r="CE448" s="161">
        <f t="shared" si="1442"/>
        <v>0</v>
      </c>
      <c r="CF448" s="161">
        <f t="shared" si="1443"/>
        <v>0</v>
      </c>
      <c r="CG448" s="161">
        <f t="shared" si="1444"/>
        <v>0</v>
      </c>
      <c r="CH448" s="161">
        <f t="shared" si="1445"/>
        <v>0</v>
      </c>
      <c r="CI448" s="161">
        <f t="shared" si="1446"/>
        <v>0</v>
      </c>
      <c r="CJ448" s="161">
        <f t="shared" si="1447"/>
        <v>0</v>
      </c>
      <c r="CK448" s="161">
        <f t="shared" si="1448"/>
        <v>0</v>
      </c>
      <c r="CL448" s="161">
        <f t="shared" si="1449"/>
        <v>0</v>
      </c>
      <c r="CM448" s="161">
        <f t="shared" si="1450"/>
        <v>0</v>
      </c>
      <c r="CN448" s="161">
        <f t="shared" si="1451"/>
        <v>0</v>
      </c>
      <c r="CO448" s="161">
        <f t="shared" si="1452"/>
        <v>0</v>
      </c>
      <c r="CP448" s="161">
        <f t="shared" si="1453"/>
        <v>0</v>
      </c>
      <c r="CQ448" s="161">
        <f t="shared" si="1454"/>
        <v>0</v>
      </c>
      <c r="CR448" s="161">
        <f t="shared" si="1455"/>
        <v>0</v>
      </c>
      <c r="CS448" s="161">
        <f t="shared" si="1456"/>
        <v>0</v>
      </c>
      <c r="CT448" s="161">
        <f t="shared" si="1457"/>
        <v>0</v>
      </c>
      <c r="CU448" s="161">
        <f t="shared" si="1458"/>
        <v>0</v>
      </c>
      <c r="CV448" s="161">
        <f t="shared" si="1459"/>
        <v>0</v>
      </c>
      <c r="CW448" s="161">
        <f t="shared" si="1460"/>
        <v>0</v>
      </c>
      <c r="CX448" s="161">
        <f t="shared" si="1461"/>
        <v>0</v>
      </c>
      <c r="CY448" s="161">
        <f t="shared" si="1462"/>
        <v>0</v>
      </c>
      <c r="CZ448" s="161">
        <f t="shared" si="1463"/>
        <v>0</v>
      </c>
      <c r="DA448" s="161">
        <f t="shared" si="1464"/>
        <v>0</v>
      </c>
      <c r="DB448" s="161">
        <f t="shared" si="1465"/>
        <v>0</v>
      </c>
      <c r="DC448" s="161">
        <f t="shared" si="1466"/>
        <v>0</v>
      </c>
      <c r="DD448" s="161">
        <f t="shared" si="1467"/>
        <v>0</v>
      </c>
      <c r="DE448" s="161">
        <f t="shared" si="1468"/>
        <v>0</v>
      </c>
      <c r="DF448" s="161">
        <f t="shared" si="1469"/>
        <v>0</v>
      </c>
      <c r="DG448" s="161">
        <f t="shared" si="1470"/>
        <v>0</v>
      </c>
      <c r="DH448" s="161">
        <f t="shared" si="1471"/>
        <v>0</v>
      </c>
      <c r="DI448" s="161">
        <f t="shared" si="1472"/>
        <v>0</v>
      </c>
      <c r="DJ448" s="161">
        <f t="shared" si="1473"/>
        <v>0</v>
      </c>
      <c r="DK448" s="161">
        <f t="shared" si="1474"/>
        <v>0</v>
      </c>
      <c r="DL448" s="161">
        <f t="shared" si="1475"/>
        <v>0</v>
      </c>
      <c r="DM448" s="161">
        <f t="shared" si="1476"/>
        <v>0</v>
      </c>
      <c r="DN448" s="161">
        <f t="shared" si="1477"/>
        <v>0</v>
      </c>
      <c r="DO448" s="161">
        <f t="shared" si="1478"/>
        <v>0</v>
      </c>
      <c r="DP448" s="161">
        <f t="shared" si="1479"/>
        <v>0</v>
      </c>
      <c r="DQ448" s="161">
        <f t="shared" si="1480"/>
        <v>0</v>
      </c>
      <c r="DR448" s="161">
        <f t="shared" si="1481"/>
        <v>0</v>
      </c>
      <c r="DS448" s="161">
        <f t="shared" si="1482"/>
        <v>0</v>
      </c>
      <c r="DT448" s="161">
        <f t="shared" si="1483"/>
        <v>0</v>
      </c>
      <c r="DU448" s="161">
        <f t="shared" si="1484"/>
        <v>0</v>
      </c>
      <c r="DV448" s="161">
        <f t="shared" si="1485"/>
        <v>0</v>
      </c>
      <c r="DW448" s="161">
        <f t="shared" si="1486"/>
        <v>0</v>
      </c>
      <c r="DX448" s="161">
        <f t="shared" si="1487"/>
        <v>0</v>
      </c>
      <c r="DY448" s="161">
        <f t="shared" si="1488"/>
        <v>0</v>
      </c>
      <c r="DZ448" s="161">
        <f t="shared" si="1489"/>
        <v>0</v>
      </c>
      <c r="EA448" s="161">
        <f t="shared" si="1490"/>
        <v>0</v>
      </c>
      <c r="EB448" s="161">
        <f t="shared" si="1491"/>
        <v>0</v>
      </c>
      <c r="EC448" s="161">
        <f t="shared" si="1492"/>
        <v>0</v>
      </c>
      <c r="ED448" s="161">
        <f t="shared" si="1493"/>
        <v>0</v>
      </c>
      <c r="EE448" s="161">
        <f t="shared" si="1494"/>
        <v>0</v>
      </c>
      <c r="EF448" s="161">
        <f t="shared" si="1495"/>
        <v>0</v>
      </c>
      <c r="EG448" s="161">
        <f t="shared" si="1496"/>
        <v>0</v>
      </c>
      <c r="EH448" s="161">
        <f t="shared" si="1497"/>
        <v>0</v>
      </c>
      <c r="EI448" s="161">
        <f t="shared" si="1498"/>
        <v>0</v>
      </c>
      <c r="EJ448" s="65"/>
      <c r="EK448" s="161">
        <f t="shared" si="1569"/>
        <v>0</v>
      </c>
      <c r="EL448" s="161">
        <f t="shared" si="1570"/>
        <v>0</v>
      </c>
      <c r="EM448" s="161">
        <f t="shared" si="1571"/>
        <v>0</v>
      </c>
    </row>
    <row r="449" spans="1:143" ht="12" hidden="1" customHeight="1" outlineLevel="1">
      <c r="B449" s="65"/>
      <c r="C449" s="65"/>
      <c r="D449" s="65"/>
      <c r="E449" s="65"/>
      <c r="F449" s="73" t="s">
        <v>380</v>
      </c>
      <c r="G449" s="162" t="str">
        <f>"Pico = "&amp;MAX(K449:BR449)</f>
        <v>Pico = 0,07</v>
      </c>
      <c r="H449" s="163">
        <f>SUM(H429:H448)</f>
        <v>1</v>
      </c>
      <c r="I449" s="148">
        <f>SUM(I429:I448)</f>
        <v>1</v>
      </c>
      <c r="J449" s="65"/>
      <c r="K449" s="146">
        <f>SUM(K429:K448)</f>
        <v>6.9999999999999993E-2</v>
      </c>
      <c r="L449" s="146">
        <f t="shared" ref="L449:BR449" si="1575">SUM(L429:L448)</f>
        <v>6.9999999999999993E-2</v>
      </c>
      <c r="M449" s="146">
        <f t="shared" si="1575"/>
        <v>6.9999999999999993E-2</v>
      </c>
      <c r="N449" s="146">
        <f t="shared" si="1575"/>
        <v>6.9999999999999993E-2</v>
      </c>
      <c r="O449" s="146">
        <f t="shared" si="1575"/>
        <v>6.9999999999999993E-2</v>
      </c>
      <c r="P449" s="146">
        <f t="shared" si="1575"/>
        <v>6.9999999999999993E-2</v>
      </c>
      <c r="Q449" s="146">
        <f t="shared" si="1575"/>
        <v>6.9999999999999993E-2</v>
      </c>
      <c r="R449" s="146">
        <f t="shared" si="1575"/>
        <v>6.9999999999999993E-2</v>
      </c>
      <c r="S449" s="146">
        <f t="shared" si="1575"/>
        <v>6.9999999999999993E-2</v>
      </c>
      <c r="T449" s="146">
        <f t="shared" si="1575"/>
        <v>6.9999999999999993E-2</v>
      </c>
      <c r="U449" s="146">
        <f t="shared" si="1575"/>
        <v>0</v>
      </c>
      <c r="V449" s="146">
        <f t="shared" si="1575"/>
        <v>0</v>
      </c>
      <c r="W449" s="146">
        <f t="shared" si="1575"/>
        <v>0</v>
      </c>
      <c r="X449" s="146">
        <f t="shared" si="1575"/>
        <v>0</v>
      </c>
      <c r="Y449" s="146">
        <f t="shared" si="1575"/>
        <v>0</v>
      </c>
      <c r="Z449" s="146">
        <f t="shared" si="1575"/>
        <v>0</v>
      </c>
      <c r="AA449" s="146">
        <f t="shared" si="1575"/>
        <v>0</v>
      </c>
      <c r="AB449" s="146">
        <f t="shared" si="1575"/>
        <v>0</v>
      </c>
      <c r="AC449" s="146">
        <f t="shared" si="1575"/>
        <v>0</v>
      </c>
      <c r="AD449" s="146">
        <f t="shared" si="1575"/>
        <v>0</v>
      </c>
      <c r="AE449" s="146">
        <f t="shared" si="1575"/>
        <v>0</v>
      </c>
      <c r="AF449" s="146">
        <f t="shared" si="1575"/>
        <v>0</v>
      </c>
      <c r="AG449" s="146">
        <f t="shared" si="1575"/>
        <v>0</v>
      </c>
      <c r="AH449" s="146">
        <f t="shared" si="1575"/>
        <v>0</v>
      </c>
      <c r="AI449" s="146">
        <f t="shared" si="1575"/>
        <v>0</v>
      </c>
      <c r="AJ449" s="146">
        <f t="shared" si="1575"/>
        <v>0</v>
      </c>
      <c r="AK449" s="146">
        <f t="shared" si="1575"/>
        <v>0</v>
      </c>
      <c r="AL449" s="146">
        <f t="shared" si="1575"/>
        <v>0</v>
      </c>
      <c r="AM449" s="146">
        <f t="shared" si="1575"/>
        <v>0</v>
      </c>
      <c r="AN449" s="146">
        <f t="shared" si="1575"/>
        <v>0</v>
      </c>
      <c r="AO449" s="146">
        <f t="shared" si="1575"/>
        <v>0</v>
      </c>
      <c r="AP449" s="146">
        <f t="shared" si="1575"/>
        <v>0</v>
      </c>
      <c r="AQ449" s="146">
        <f t="shared" si="1575"/>
        <v>0</v>
      </c>
      <c r="AR449" s="146">
        <f t="shared" si="1575"/>
        <v>0</v>
      </c>
      <c r="AS449" s="146">
        <f t="shared" si="1575"/>
        <v>0</v>
      </c>
      <c r="AT449" s="146">
        <f t="shared" si="1575"/>
        <v>0</v>
      </c>
      <c r="AU449" s="146">
        <f t="shared" si="1575"/>
        <v>0</v>
      </c>
      <c r="AV449" s="146">
        <f t="shared" si="1575"/>
        <v>0</v>
      </c>
      <c r="AW449" s="146">
        <f t="shared" si="1575"/>
        <v>0</v>
      </c>
      <c r="AX449" s="146">
        <f t="shared" si="1575"/>
        <v>0</v>
      </c>
      <c r="AY449" s="146">
        <f t="shared" si="1575"/>
        <v>0</v>
      </c>
      <c r="AZ449" s="146">
        <f t="shared" si="1575"/>
        <v>0</v>
      </c>
      <c r="BA449" s="146">
        <f t="shared" si="1575"/>
        <v>0</v>
      </c>
      <c r="BB449" s="146">
        <f t="shared" si="1575"/>
        <v>0</v>
      </c>
      <c r="BC449" s="146">
        <f t="shared" si="1575"/>
        <v>0</v>
      </c>
      <c r="BD449" s="146">
        <f t="shared" si="1575"/>
        <v>0</v>
      </c>
      <c r="BE449" s="146">
        <f t="shared" si="1575"/>
        <v>0</v>
      </c>
      <c r="BF449" s="146">
        <f t="shared" si="1575"/>
        <v>0</v>
      </c>
      <c r="BG449" s="146">
        <f t="shared" si="1575"/>
        <v>0</v>
      </c>
      <c r="BH449" s="146">
        <f t="shared" si="1575"/>
        <v>0</v>
      </c>
      <c r="BI449" s="146">
        <f t="shared" si="1575"/>
        <v>0</v>
      </c>
      <c r="BJ449" s="146">
        <f t="shared" si="1575"/>
        <v>0</v>
      </c>
      <c r="BK449" s="146">
        <f t="shared" si="1575"/>
        <v>0</v>
      </c>
      <c r="BL449" s="146">
        <f t="shared" si="1575"/>
        <v>0</v>
      </c>
      <c r="BM449" s="146">
        <f t="shared" si="1575"/>
        <v>0</v>
      </c>
      <c r="BN449" s="146">
        <f t="shared" si="1575"/>
        <v>0</v>
      </c>
      <c r="BO449" s="146">
        <f t="shared" si="1575"/>
        <v>0</v>
      </c>
      <c r="BP449" s="146">
        <f t="shared" si="1575"/>
        <v>0</v>
      </c>
      <c r="BQ449" s="146">
        <f t="shared" si="1575"/>
        <v>0</v>
      </c>
      <c r="BR449" s="146">
        <f t="shared" si="1575"/>
        <v>0</v>
      </c>
      <c r="BS449" s="65"/>
      <c r="BT449" s="146">
        <f t="shared" ref="BT449" si="1576">SUM(BT429:BT448)</f>
        <v>7.0000000000000007E-2</v>
      </c>
      <c r="BU449" s="65"/>
      <c r="BV449" s="65"/>
      <c r="BW449" s="69"/>
      <c r="BX449" s="65"/>
      <c r="BY449" s="65"/>
      <c r="BZ449" s="65"/>
      <c r="CA449" s="65"/>
      <c r="CB449" s="65"/>
      <c r="CC449" s="65"/>
      <c r="CD449" s="65"/>
      <c r="CE449" s="65"/>
      <c r="CF449" s="65"/>
      <c r="CG449" s="65"/>
      <c r="CH449" s="65"/>
      <c r="CI449" s="65"/>
      <c r="CJ449" s="65"/>
      <c r="CK449" s="65"/>
      <c r="CL449" s="65"/>
      <c r="CM449" s="65"/>
      <c r="CN449" s="65"/>
      <c r="CO449" s="65"/>
      <c r="CP449" s="65"/>
      <c r="CQ449" s="65"/>
      <c r="CR449" s="65"/>
      <c r="CS449" s="65"/>
      <c r="CT449" s="65"/>
      <c r="CU449" s="65"/>
      <c r="CV449" s="65"/>
      <c r="CW449" s="65"/>
      <c r="CX449" s="65"/>
      <c r="CY449" s="65"/>
      <c r="CZ449" s="65"/>
      <c r="DA449" s="65"/>
      <c r="DB449" s="65"/>
      <c r="DC449" s="65"/>
      <c r="DD449" s="65"/>
      <c r="DE449" s="65"/>
      <c r="DF449" s="65"/>
      <c r="DG449" s="65"/>
      <c r="DH449" s="65"/>
      <c r="DI449" s="65"/>
      <c r="DJ449" s="65"/>
      <c r="DK449" s="65"/>
      <c r="DL449" s="65"/>
      <c r="DM449" s="65"/>
      <c r="DN449" s="65"/>
      <c r="DO449" s="65"/>
      <c r="DP449" s="65"/>
      <c r="DQ449" s="65"/>
      <c r="DR449" s="65"/>
      <c r="DS449" s="65"/>
      <c r="DT449" s="65"/>
      <c r="DU449" s="65"/>
      <c r="DV449" s="65"/>
      <c r="DW449" s="65"/>
      <c r="DX449" s="65"/>
      <c r="DY449" s="65"/>
      <c r="DZ449" s="65"/>
      <c r="EA449" s="65"/>
      <c r="EB449" s="65"/>
      <c r="EC449" s="65"/>
      <c r="ED449" s="65"/>
      <c r="EE449" s="65"/>
      <c r="EF449" s="65"/>
      <c r="EG449" s="65"/>
      <c r="EH449" s="65"/>
      <c r="EI449" s="65"/>
      <c r="EJ449" s="65"/>
      <c r="EK449" s="65"/>
      <c r="EL449" s="65"/>
      <c r="EM449" s="65"/>
    </row>
    <row r="450" spans="1:143" ht="12" hidden="1" customHeight="1" outlineLevel="1"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  <c r="AT450" s="65"/>
      <c r="AU450" s="65"/>
      <c r="AV450" s="65"/>
      <c r="AW450" s="65"/>
      <c r="AX450" s="65"/>
      <c r="AY450" s="65"/>
      <c r="AZ450" s="65"/>
      <c r="BA450" s="65"/>
      <c r="BB450" s="65"/>
      <c r="BC450" s="65"/>
      <c r="BD450" s="65"/>
      <c r="BE450" s="65"/>
      <c r="BF450" s="65"/>
      <c r="BG450" s="65"/>
      <c r="BH450" s="65"/>
      <c r="BI450" s="65"/>
      <c r="BJ450" s="65"/>
      <c r="BK450" s="65"/>
      <c r="BL450" s="65"/>
      <c r="BM450" s="65"/>
      <c r="BN450" s="65"/>
      <c r="BO450" s="65"/>
      <c r="BP450" s="65"/>
      <c r="BQ450" s="65"/>
      <c r="BR450" s="65"/>
      <c r="BS450" s="65"/>
      <c r="BT450" s="65"/>
      <c r="BU450" s="65"/>
      <c r="BV450" s="65"/>
      <c r="BW450" s="69"/>
      <c r="BX450" s="65"/>
      <c r="BY450" s="65"/>
      <c r="BZ450" s="65"/>
      <c r="CA450" s="65"/>
      <c r="CB450" s="65"/>
      <c r="CC450" s="65"/>
      <c r="CD450" s="65"/>
      <c r="CE450" s="65"/>
      <c r="CF450" s="65"/>
      <c r="CG450" s="65"/>
      <c r="CH450" s="65"/>
      <c r="CI450" s="65"/>
      <c r="CJ450" s="65"/>
      <c r="CK450" s="65"/>
      <c r="CL450" s="65"/>
      <c r="CM450" s="65"/>
      <c r="CN450" s="65"/>
      <c r="CO450" s="65"/>
      <c r="CP450" s="65"/>
      <c r="CQ450" s="65"/>
      <c r="CR450" s="65"/>
      <c r="CS450" s="65"/>
      <c r="CT450" s="65"/>
      <c r="CU450" s="65"/>
      <c r="CV450" s="65"/>
      <c r="CW450" s="65"/>
      <c r="CX450" s="65"/>
      <c r="CY450" s="65"/>
      <c r="CZ450" s="65"/>
      <c r="DA450" s="65"/>
      <c r="DB450" s="65"/>
      <c r="DC450" s="65"/>
      <c r="DD450" s="65"/>
      <c r="DE450" s="65"/>
      <c r="DF450" s="65"/>
      <c r="DG450" s="65"/>
      <c r="DH450" s="65"/>
      <c r="DI450" s="65"/>
      <c r="DJ450" s="65"/>
      <c r="DK450" s="65"/>
      <c r="DL450" s="65"/>
      <c r="DM450" s="65"/>
      <c r="DN450" s="65"/>
      <c r="DO450" s="65"/>
      <c r="DP450" s="65"/>
      <c r="DQ450" s="65"/>
      <c r="DR450" s="65"/>
      <c r="DS450" s="65"/>
      <c r="DT450" s="65"/>
      <c r="DU450" s="65"/>
      <c r="DV450" s="65"/>
      <c r="DW450" s="65"/>
      <c r="DX450" s="65"/>
      <c r="DY450" s="65"/>
      <c r="DZ450" s="65"/>
      <c r="EA450" s="65"/>
      <c r="EB450" s="65"/>
      <c r="EC450" s="65"/>
      <c r="ED450" s="65"/>
      <c r="EE450" s="65"/>
      <c r="EF450" s="65"/>
      <c r="EG450" s="65"/>
      <c r="EH450" s="65"/>
      <c r="EI450" s="65"/>
      <c r="EJ450" s="65"/>
      <c r="EK450" s="65"/>
      <c r="EL450" s="65"/>
      <c r="EM450" s="65"/>
    </row>
    <row r="451" spans="1:143" ht="24" hidden="1" customHeight="1" outlineLevel="1">
      <c r="B451" s="593" t="s">
        <v>395</v>
      </c>
      <c r="C451" s="65"/>
      <c r="D451" s="65"/>
      <c r="E451" s="65"/>
      <c r="F451" s="149" t="str">
        <f>IF($G$61&gt;0,$G$61,"")</f>
        <v>Equipe11</v>
      </c>
      <c r="G451" s="149"/>
      <c r="H451" s="149"/>
      <c r="I451" s="149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  <c r="AV451" s="65"/>
      <c r="AW451" s="65"/>
      <c r="AX451" s="65"/>
      <c r="AY451" s="65"/>
      <c r="AZ451" s="65"/>
      <c r="BA451" s="65"/>
      <c r="BB451" s="65"/>
      <c r="BC451" s="65"/>
      <c r="BD451" s="65"/>
      <c r="BE451" s="65"/>
      <c r="BF451" s="65"/>
      <c r="BG451" s="65"/>
      <c r="BH451" s="65"/>
      <c r="BI451" s="65"/>
      <c r="BJ451" s="65"/>
      <c r="BK451" s="65"/>
      <c r="BL451" s="65"/>
      <c r="BM451" s="65"/>
      <c r="BN451" s="65"/>
      <c r="BO451" s="65"/>
      <c r="BP451" s="65"/>
      <c r="BQ451" s="65"/>
      <c r="BR451" s="65"/>
      <c r="BS451" s="65"/>
      <c r="BT451" s="601" t="s">
        <v>396</v>
      </c>
      <c r="BU451" s="601" t="s">
        <v>397</v>
      </c>
      <c r="BV451" s="65"/>
      <c r="BW451" s="69"/>
      <c r="BX451" s="65"/>
      <c r="BY451" s="593" t="s">
        <v>398</v>
      </c>
      <c r="BZ451" s="593" t="s">
        <v>399</v>
      </c>
      <c r="CA451" s="593" t="s">
        <v>400</v>
      </c>
      <c r="CB451" s="592" t="s">
        <v>401</v>
      </c>
      <c r="CC451" s="592" t="s">
        <v>402</v>
      </c>
      <c r="CD451" s="592" t="s">
        <v>403</v>
      </c>
      <c r="CE451" s="592" t="s">
        <v>404</v>
      </c>
      <c r="CF451" s="592" t="s">
        <v>405</v>
      </c>
      <c r="CG451" s="592" t="s">
        <v>406</v>
      </c>
      <c r="CH451" s="592" t="s">
        <v>407</v>
      </c>
      <c r="CI451" s="592" t="s">
        <v>408</v>
      </c>
      <c r="CJ451" s="592" t="s">
        <v>409</v>
      </c>
      <c r="CK451" s="592" t="s">
        <v>410</v>
      </c>
      <c r="CL451" s="592" t="s">
        <v>411</v>
      </c>
      <c r="CM451" s="592" t="s">
        <v>412</v>
      </c>
      <c r="CN451" s="592" t="s">
        <v>413</v>
      </c>
      <c r="CO451" s="592" t="s">
        <v>414</v>
      </c>
      <c r="CP451" s="592" t="s">
        <v>415</v>
      </c>
      <c r="CQ451" s="592" t="s">
        <v>416</v>
      </c>
      <c r="CR451" s="592" t="s">
        <v>417</v>
      </c>
      <c r="CS451" s="592" t="s">
        <v>418</v>
      </c>
      <c r="CT451" s="592" t="s">
        <v>419</v>
      </c>
      <c r="CU451" s="592" t="s">
        <v>420</v>
      </c>
      <c r="CV451" s="592" t="s">
        <v>421</v>
      </c>
      <c r="CW451" s="592" t="s">
        <v>422</v>
      </c>
      <c r="CX451" s="592" t="s">
        <v>423</v>
      </c>
      <c r="CY451" s="592" t="s">
        <v>424</v>
      </c>
      <c r="CZ451" s="592" t="s">
        <v>425</v>
      </c>
      <c r="DA451" s="592" t="s">
        <v>426</v>
      </c>
      <c r="DB451" s="592" t="s">
        <v>427</v>
      </c>
      <c r="DC451" s="592" t="s">
        <v>428</v>
      </c>
      <c r="DD451" s="592" t="s">
        <v>429</v>
      </c>
      <c r="DE451" s="592" t="s">
        <v>430</v>
      </c>
      <c r="DF451" s="592" t="s">
        <v>431</v>
      </c>
      <c r="DG451" s="592" t="s">
        <v>432</v>
      </c>
      <c r="DH451" s="592" t="s">
        <v>433</v>
      </c>
      <c r="DI451" s="592" t="s">
        <v>434</v>
      </c>
      <c r="DJ451" s="592" t="s">
        <v>435</v>
      </c>
      <c r="DK451" s="592" t="s">
        <v>436</v>
      </c>
      <c r="DL451" s="592" t="s">
        <v>437</v>
      </c>
      <c r="DM451" s="592" t="s">
        <v>438</v>
      </c>
      <c r="DN451" s="592" t="s">
        <v>439</v>
      </c>
      <c r="DO451" s="592" t="s">
        <v>440</v>
      </c>
      <c r="DP451" s="592" t="s">
        <v>441</v>
      </c>
      <c r="DQ451" s="592" t="s">
        <v>442</v>
      </c>
      <c r="DR451" s="592" t="s">
        <v>443</v>
      </c>
      <c r="DS451" s="592" t="s">
        <v>444</v>
      </c>
      <c r="DT451" s="592" t="s">
        <v>445</v>
      </c>
      <c r="DU451" s="592" t="s">
        <v>446</v>
      </c>
      <c r="DV451" s="592" t="s">
        <v>447</v>
      </c>
      <c r="DW451" s="592" t="s">
        <v>448</v>
      </c>
      <c r="DX451" s="592" t="s">
        <v>449</v>
      </c>
      <c r="DY451" s="592" t="s">
        <v>450</v>
      </c>
      <c r="DZ451" s="592" t="s">
        <v>451</v>
      </c>
      <c r="EA451" s="592" t="s">
        <v>452</v>
      </c>
      <c r="EB451" s="592" t="s">
        <v>453</v>
      </c>
      <c r="EC451" s="592" t="s">
        <v>454</v>
      </c>
      <c r="ED451" s="592" t="s">
        <v>455</v>
      </c>
      <c r="EE451" s="592" t="s">
        <v>456</v>
      </c>
      <c r="EF451" s="592" t="s">
        <v>457</v>
      </c>
      <c r="EG451" s="592" t="s">
        <v>458</v>
      </c>
      <c r="EH451" s="592" t="s">
        <v>459</v>
      </c>
      <c r="EI451" s="592" t="s">
        <v>460</v>
      </c>
      <c r="EJ451" s="65"/>
      <c r="EK451" s="157" t="s">
        <v>376</v>
      </c>
      <c r="EL451" s="157" t="s">
        <v>461</v>
      </c>
      <c r="EM451" s="157" t="s">
        <v>383</v>
      </c>
    </row>
    <row r="452" spans="1:143" ht="12" hidden="1" customHeight="1" outlineLevel="1" collapsed="1">
      <c r="B452" s="593"/>
      <c r="C452" s="65"/>
      <c r="D452" s="65"/>
      <c r="E452" s="65"/>
      <c r="F452" s="158" t="s">
        <v>198</v>
      </c>
      <c r="G452" s="158" t="s">
        <v>462</v>
      </c>
      <c r="H452" s="158" t="s">
        <v>255</v>
      </c>
      <c r="I452" s="158" t="s">
        <v>68</v>
      </c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  <c r="AQ452" s="65"/>
      <c r="AR452" s="65"/>
      <c r="AS452" s="65"/>
      <c r="AT452" s="65"/>
      <c r="AU452" s="65"/>
      <c r="AV452" s="65"/>
      <c r="AW452" s="65"/>
      <c r="AX452" s="65"/>
      <c r="AY452" s="65"/>
      <c r="AZ452" s="65"/>
      <c r="BA452" s="65"/>
      <c r="BB452" s="65"/>
      <c r="BC452" s="65"/>
      <c r="BD452" s="65"/>
      <c r="BE452" s="65"/>
      <c r="BF452" s="65"/>
      <c r="BG452" s="65"/>
      <c r="BH452" s="65"/>
      <c r="BI452" s="65"/>
      <c r="BJ452" s="65"/>
      <c r="BK452" s="65"/>
      <c r="BL452" s="65"/>
      <c r="BM452" s="65"/>
      <c r="BN452" s="65"/>
      <c r="BO452" s="65"/>
      <c r="BP452" s="65"/>
      <c r="BQ452" s="65"/>
      <c r="BR452" s="65"/>
      <c r="BS452" s="65"/>
      <c r="BT452" s="602"/>
      <c r="BU452" s="602"/>
      <c r="BV452" s="65"/>
      <c r="BW452" s="69"/>
      <c r="BX452" s="65"/>
      <c r="BY452" s="593"/>
      <c r="BZ452" s="593"/>
      <c r="CA452" s="593"/>
      <c r="CB452" s="592"/>
      <c r="CC452" s="592"/>
      <c r="CD452" s="592"/>
      <c r="CE452" s="592"/>
      <c r="CF452" s="592"/>
      <c r="CG452" s="592"/>
      <c r="CH452" s="592"/>
      <c r="CI452" s="592"/>
      <c r="CJ452" s="592"/>
      <c r="CK452" s="592"/>
      <c r="CL452" s="592"/>
      <c r="CM452" s="592"/>
      <c r="CN452" s="592"/>
      <c r="CO452" s="592"/>
      <c r="CP452" s="592"/>
      <c r="CQ452" s="592"/>
      <c r="CR452" s="592"/>
      <c r="CS452" s="592"/>
      <c r="CT452" s="592"/>
      <c r="CU452" s="592"/>
      <c r="CV452" s="592"/>
      <c r="CW452" s="592"/>
      <c r="CX452" s="592"/>
      <c r="CY452" s="592"/>
      <c r="CZ452" s="592"/>
      <c r="DA452" s="592"/>
      <c r="DB452" s="592"/>
      <c r="DC452" s="592"/>
      <c r="DD452" s="592"/>
      <c r="DE452" s="592"/>
      <c r="DF452" s="592"/>
      <c r="DG452" s="592"/>
      <c r="DH452" s="592"/>
      <c r="DI452" s="592"/>
      <c r="DJ452" s="592"/>
      <c r="DK452" s="592"/>
      <c r="DL452" s="592"/>
      <c r="DM452" s="592"/>
      <c r="DN452" s="592"/>
      <c r="DO452" s="592"/>
      <c r="DP452" s="592"/>
      <c r="DQ452" s="592"/>
      <c r="DR452" s="592"/>
      <c r="DS452" s="592"/>
      <c r="DT452" s="592"/>
      <c r="DU452" s="592"/>
      <c r="DV452" s="592"/>
      <c r="DW452" s="592"/>
      <c r="DX452" s="592"/>
      <c r="DY452" s="592"/>
      <c r="DZ452" s="592"/>
      <c r="EA452" s="592"/>
      <c r="EB452" s="592"/>
      <c r="EC452" s="592"/>
      <c r="ED452" s="592"/>
      <c r="EE452" s="592"/>
      <c r="EF452" s="592"/>
      <c r="EG452" s="592"/>
      <c r="EH452" s="592"/>
      <c r="EI452" s="592"/>
      <c r="EJ452" s="65"/>
      <c r="EK452" s="159">
        <f>IFERROR(ROUNDUP(SUMPRODUCT($K473:$BR473,$K$116:$BR$116)/SUM($K473:$BR473),2),0)</f>
        <v>0</v>
      </c>
      <c r="EL452" s="159">
        <f>IFERROR(ROUNDUP(SUMPRODUCT($K473:$BR473,$K$140:$BR$140)/SUM($K473:$BR473),2),0)</f>
        <v>0</v>
      </c>
      <c r="EM452" s="159">
        <f>IFERROR(ROUNDUP(SUMPRODUCT($K473:$BR473,$K$164:$BR$164)/SUM($K473:$BR473),2),0)</f>
        <v>0</v>
      </c>
    </row>
    <row r="453" spans="1:143" ht="12" hidden="1" customHeight="1" outlineLevel="2">
      <c r="A453" s="77">
        <v>1</v>
      </c>
      <c r="B453" s="137" t="str">
        <f>IF(G453&gt;0,G453&amp;" - "&amp;$F$213,"")</f>
        <v>GER. (OBRA/PROJ) - Equipe_01</v>
      </c>
      <c r="C453" s="65"/>
      <c r="D453" s="620" t="s">
        <v>463</v>
      </c>
      <c r="E453" s="65"/>
      <c r="F453" s="584" t="str">
        <f>IFERROR(VLOOKUP(F451,Tarefas!$F$3:$G$22,2,0),"")</f>
        <v>Equipe_11</v>
      </c>
      <c r="G453" s="77" t="str">
        <f>IF(INDEX(Tarefas!$BT$30:$FK$30,MATCH(A453,Tarefas!$BT$28:$FK$28,0))=0,"",INDEX(Tarefas!$BT$30:$FK$30,MATCH(A453,Tarefas!$BT$28:$FK$28,0)))</f>
        <v>GER. (OBRA/PROJ)</v>
      </c>
      <c r="H453" s="107" cm="1">
        <f t="array" ref="H453">IFERROR((SUMPRODUCT((Tarefas!$N$32:$N$54='Cronog. e Histog.'!$F$453)*(Tarefas!$BQ$30:$FK$30='Cronog. e Histog.'!$G453)*(Tarefas!$BQ$32:$FK$54)))/SUMIF(Tarefas!$N$32:$N$54,'Cronog. e Histog.'!$F$453,Tarefas!$K$32:$K$54),0)</f>
        <v>0</v>
      </c>
      <c r="I453" s="79">
        <f>IFERROR(H453/$H$473,0)</f>
        <v>0</v>
      </c>
      <c r="J453" s="65"/>
      <c r="K453" s="160">
        <f>ROUND($I453*K$193,2)</f>
        <v>0</v>
      </c>
      <c r="L453" s="160">
        <f t="shared" ref="L453:BR467" si="1577">ROUND($I453*L$193,2)</f>
        <v>0</v>
      </c>
      <c r="M453" s="160">
        <f t="shared" si="1577"/>
        <v>0</v>
      </c>
      <c r="N453" s="160">
        <f t="shared" si="1577"/>
        <v>0</v>
      </c>
      <c r="O453" s="160">
        <f t="shared" si="1577"/>
        <v>0</v>
      </c>
      <c r="P453" s="160">
        <f t="shared" si="1577"/>
        <v>0</v>
      </c>
      <c r="Q453" s="160">
        <f t="shared" si="1577"/>
        <v>0</v>
      </c>
      <c r="R453" s="160">
        <f t="shared" si="1577"/>
        <v>0</v>
      </c>
      <c r="S453" s="160">
        <f t="shared" si="1577"/>
        <v>0</v>
      </c>
      <c r="T453" s="160">
        <f t="shared" si="1577"/>
        <v>0</v>
      </c>
      <c r="U453" s="160">
        <f t="shared" si="1577"/>
        <v>0</v>
      </c>
      <c r="V453" s="160">
        <f t="shared" si="1577"/>
        <v>0</v>
      </c>
      <c r="W453" s="160">
        <f t="shared" si="1577"/>
        <v>0</v>
      </c>
      <c r="X453" s="160">
        <f t="shared" si="1577"/>
        <v>0</v>
      </c>
      <c r="Y453" s="160">
        <f t="shared" si="1577"/>
        <v>0</v>
      </c>
      <c r="Z453" s="160">
        <f t="shared" si="1577"/>
        <v>0</v>
      </c>
      <c r="AA453" s="160">
        <f t="shared" si="1577"/>
        <v>0</v>
      </c>
      <c r="AB453" s="160">
        <f t="shared" si="1577"/>
        <v>0</v>
      </c>
      <c r="AC453" s="160">
        <f t="shared" si="1577"/>
        <v>0</v>
      </c>
      <c r="AD453" s="160">
        <f t="shared" si="1577"/>
        <v>0</v>
      </c>
      <c r="AE453" s="160">
        <f t="shared" si="1577"/>
        <v>0</v>
      </c>
      <c r="AF453" s="160">
        <f t="shared" si="1577"/>
        <v>0</v>
      </c>
      <c r="AG453" s="160">
        <f t="shared" si="1577"/>
        <v>0</v>
      </c>
      <c r="AH453" s="160">
        <f t="shared" si="1577"/>
        <v>0</v>
      </c>
      <c r="AI453" s="160">
        <f t="shared" si="1577"/>
        <v>0</v>
      </c>
      <c r="AJ453" s="160">
        <f t="shared" si="1577"/>
        <v>0</v>
      </c>
      <c r="AK453" s="160">
        <f t="shared" si="1577"/>
        <v>0</v>
      </c>
      <c r="AL453" s="160">
        <f t="shared" si="1577"/>
        <v>0</v>
      </c>
      <c r="AM453" s="160">
        <f t="shared" si="1577"/>
        <v>0</v>
      </c>
      <c r="AN453" s="160">
        <f t="shared" si="1577"/>
        <v>0</v>
      </c>
      <c r="AO453" s="160">
        <f t="shared" si="1577"/>
        <v>0</v>
      </c>
      <c r="AP453" s="160">
        <f t="shared" si="1577"/>
        <v>0</v>
      </c>
      <c r="AQ453" s="160">
        <f t="shared" si="1577"/>
        <v>0</v>
      </c>
      <c r="AR453" s="160">
        <f t="shared" si="1577"/>
        <v>0</v>
      </c>
      <c r="AS453" s="160">
        <f t="shared" si="1577"/>
        <v>0</v>
      </c>
      <c r="AT453" s="160">
        <f t="shared" si="1577"/>
        <v>0</v>
      </c>
      <c r="AU453" s="160">
        <f t="shared" si="1577"/>
        <v>0</v>
      </c>
      <c r="AV453" s="160">
        <f t="shared" si="1577"/>
        <v>0</v>
      </c>
      <c r="AW453" s="160">
        <f t="shared" si="1577"/>
        <v>0</v>
      </c>
      <c r="AX453" s="160">
        <f t="shared" si="1577"/>
        <v>0</v>
      </c>
      <c r="AY453" s="160">
        <f t="shared" si="1577"/>
        <v>0</v>
      </c>
      <c r="AZ453" s="160">
        <f t="shared" si="1577"/>
        <v>0</v>
      </c>
      <c r="BA453" s="160">
        <f t="shared" si="1577"/>
        <v>0</v>
      </c>
      <c r="BB453" s="160">
        <f t="shared" si="1577"/>
        <v>0</v>
      </c>
      <c r="BC453" s="160">
        <f t="shared" si="1577"/>
        <v>0</v>
      </c>
      <c r="BD453" s="160">
        <f t="shared" si="1577"/>
        <v>0</v>
      </c>
      <c r="BE453" s="160">
        <f t="shared" si="1577"/>
        <v>0</v>
      </c>
      <c r="BF453" s="160">
        <f t="shared" si="1577"/>
        <v>0</v>
      </c>
      <c r="BG453" s="160">
        <f t="shared" si="1577"/>
        <v>0</v>
      </c>
      <c r="BH453" s="160">
        <f t="shared" si="1577"/>
        <v>0</v>
      </c>
      <c r="BI453" s="160">
        <f t="shared" si="1577"/>
        <v>0</v>
      </c>
      <c r="BJ453" s="160">
        <f t="shared" si="1577"/>
        <v>0</v>
      </c>
      <c r="BK453" s="160">
        <f t="shared" si="1577"/>
        <v>0</v>
      </c>
      <c r="BL453" s="160">
        <f t="shared" si="1577"/>
        <v>0</v>
      </c>
      <c r="BM453" s="160">
        <f t="shared" si="1577"/>
        <v>0</v>
      </c>
      <c r="BN453" s="160">
        <f t="shared" si="1577"/>
        <v>0</v>
      </c>
      <c r="BO453" s="160">
        <f t="shared" si="1577"/>
        <v>0</v>
      </c>
      <c r="BP453" s="160">
        <f t="shared" si="1577"/>
        <v>0</v>
      </c>
      <c r="BQ453" s="160">
        <f t="shared" si="1577"/>
        <v>0</v>
      </c>
      <c r="BR453" s="160">
        <f t="shared" si="1577"/>
        <v>0</v>
      </c>
      <c r="BS453" s="65"/>
      <c r="BT453" s="160">
        <f t="shared" ref="BT453:BT472" si="1578">IFERROR(SUM(K453:BR453)/COUNTIF(K453:BR453,"&gt;0"),0)</f>
        <v>0</v>
      </c>
      <c r="BU453" s="160">
        <f t="shared" ref="BU453:BU472" si="1579">COUNTIF(K453:BR453,"&gt;0")</f>
        <v>0</v>
      </c>
      <c r="BV453" s="65"/>
      <c r="BW453" s="69"/>
      <c r="BX453" s="65"/>
      <c r="BY453" s="137">
        <f t="shared" ref="BY453:BY472" si="1580">IF(G453&gt;0,1,0)</f>
        <v>1</v>
      </c>
      <c r="BZ453" s="137">
        <f>IF(BY453&gt;0,BY453+LARGE($BZ$213:BZ452,1),0)</f>
        <v>201</v>
      </c>
      <c r="CA453" s="137" t="str">
        <f t="shared" ref="CA453:CA472" si="1581">G453</f>
        <v>GER. (OBRA/PROJ)</v>
      </c>
      <c r="CB453" s="161">
        <f t="shared" ref="CB453:CB472" si="1582">K453</f>
        <v>0</v>
      </c>
      <c r="CC453" s="161">
        <f t="shared" ref="CC453:CC472" si="1583">L453</f>
        <v>0</v>
      </c>
      <c r="CD453" s="161">
        <f t="shared" ref="CD453:CD472" si="1584">M453</f>
        <v>0</v>
      </c>
      <c r="CE453" s="161">
        <f t="shared" ref="CE453:CE472" si="1585">N453</f>
        <v>0</v>
      </c>
      <c r="CF453" s="161">
        <f t="shared" ref="CF453:CF472" si="1586">O453</f>
        <v>0</v>
      </c>
      <c r="CG453" s="161">
        <f t="shared" ref="CG453:CG472" si="1587">P453</f>
        <v>0</v>
      </c>
      <c r="CH453" s="161">
        <f t="shared" ref="CH453:CH472" si="1588">Q453</f>
        <v>0</v>
      </c>
      <c r="CI453" s="161">
        <f t="shared" ref="CI453:CI472" si="1589">R453</f>
        <v>0</v>
      </c>
      <c r="CJ453" s="161">
        <f t="shared" ref="CJ453:CJ472" si="1590">S453</f>
        <v>0</v>
      </c>
      <c r="CK453" s="161">
        <f t="shared" ref="CK453:CK472" si="1591">T453</f>
        <v>0</v>
      </c>
      <c r="CL453" s="161">
        <f t="shared" ref="CL453:CL472" si="1592">U453</f>
        <v>0</v>
      </c>
      <c r="CM453" s="161">
        <f t="shared" ref="CM453:CM472" si="1593">V453</f>
        <v>0</v>
      </c>
      <c r="CN453" s="161">
        <f t="shared" ref="CN453:CN472" si="1594">W453</f>
        <v>0</v>
      </c>
      <c r="CO453" s="161">
        <f t="shared" ref="CO453:CO472" si="1595">X453</f>
        <v>0</v>
      </c>
      <c r="CP453" s="161">
        <f t="shared" ref="CP453:CP472" si="1596">Y453</f>
        <v>0</v>
      </c>
      <c r="CQ453" s="161">
        <f t="shared" ref="CQ453:CQ472" si="1597">Z453</f>
        <v>0</v>
      </c>
      <c r="CR453" s="161">
        <f t="shared" ref="CR453:CR472" si="1598">AA453</f>
        <v>0</v>
      </c>
      <c r="CS453" s="161">
        <f t="shared" ref="CS453:CS472" si="1599">AB453</f>
        <v>0</v>
      </c>
      <c r="CT453" s="161">
        <f t="shared" ref="CT453:CT472" si="1600">AC453</f>
        <v>0</v>
      </c>
      <c r="CU453" s="161">
        <f t="shared" ref="CU453:CU472" si="1601">AD453</f>
        <v>0</v>
      </c>
      <c r="CV453" s="161">
        <f t="shared" ref="CV453:CV472" si="1602">AE453</f>
        <v>0</v>
      </c>
      <c r="CW453" s="161">
        <f t="shared" ref="CW453:CW472" si="1603">AF453</f>
        <v>0</v>
      </c>
      <c r="CX453" s="161">
        <f t="shared" ref="CX453:CX472" si="1604">AG453</f>
        <v>0</v>
      </c>
      <c r="CY453" s="161">
        <f t="shared" ref="CY453:CY472" si="1605">AH453</f>
        <v>0</v>
      </c>
      <c r="CZ453" s="161">
        <f t="shared" ref="CZ453:CZ472" si="1606">AI453</f>
        <v>0</v>
      </c>
      <c r="DA453" s="161">
        <f t="shared" ref="DA453:DA472" si="1607">AJ453</f>
        <v>0</v>
      </c>
      <c r="DB453" s="161">
        <f t="shared" ref="DB453:DB472" si="1608">AK453</f>
        <v>0</v>
      </c>
      <c r="DC453" s="161">
        <f t="shared" ref="DC453:DC472" si="1609">AL453</f>
        <v>0</v>
      </c>
      <c r="DD453" s="161">
        <f t="shared" ref="DD453:DD472" si="1610">AM453</f>
        <v>0</v>
      </c>
      <c r="DE453" s="161">
        <f t="shared" ref="DE453:DE472" si="1611">AN453</f>
        <v>0</v>
      </c>
      <c r="DF453" s="161">
        <f t="shared" ref="DF453:DF472" si="1612">AO453</f>
        <v>0</v>
      </c>
      <c r="DG453" s="161">
        <f t="shared" ref="DG453:DG472" si="1613">AP453</f>
        <v>0</v>
      </c>
      <c r="DH453" s="161">
        <f t="shared" ref="DH453:DH472" si="1614">AQ453</f>
        <v>0</v>
      </c>
      <c r="DI453" s="161">
        <f t="shared" ref="DI453:DI472" si="1615">AR453</f>
        <v>0</v>
      </c>
      <c r="DJ453" s="161">
        <f t="shared" ref="DJ453:DJ472" si="1616">AS453</f>
        <v>0</v>
      </c>
      <c r="DK453" s="161">
        <f t="shared" ref="DK453:DK472" si="1617">AT453</f>
        <v>0</v>
      </c>
      <c r="DL453" s="161">
        <f t="shared" ref="DL453:DL472" si="1618">AU453</f>
        <v>0</v>
      </c>
      <c r="DM453" s="161">
        <f t="shared" ref="DM453:DM472" si="1619">AV453</f>
        <v>0</v>
      </c>
      <c r="DN453" s="161">
        <f t="shared" ref="DN453:DN472" si="1620">AW453</f>
        <v>0</v>
      </c>
      <c r="DO453" s="161">
        <f t="shared" ref="DO453:DO472" si="1621">AX453</f>
        <v>0</v>
      </c>
      <c r="DP453" s="161">
        <f t="shared" ref="DP453:DP472" si="1622">AY453</f>
        <v>0</v>
      </c>
      <c r="DQ453" s="161">
        <f t="shared" ref="DQ453:DQ472" si="1623">AZ453</f>
        <v>0</v>
      </c>
      <c r="DR453" s="161">
        <f t="shared" ref="DR453:DR472" si="1624">BA453</f>
        <v>0</v>
      </c>
      <c r="DS453" s="161">
        <f t="shared" ref="DS453:DS472" si="1625">BB453</f>
        <v>0</v>
      </c>
      <c r="DT453" s="161">
        <f t="shared" ref="DT453:DT472" si="1626">BC453</f>
        <v>0</v>
      </c>
      <c r="DU453" s="161">
        <f t="shared" ref="DU453:DU472" si="1627">BD453</f>
        <v>0</v>
      </c>
      <c r="DV453" s="161">
        <f t="shared" ref="DV453:DV472" si="1628">BE453</f>
        <v>0</v>
      </c>
      <c r="DW453" s="161">
        <f t="shared" ref="DW453:DW472" si="1629">BF453</f>
        <v>0</v>
      </c>
      <c r="DX453" s="161">
        <f t="shared" ref="DX453:DX472" si="1630">BG453</f>
        <v>0</v>
      </c>
      <c r="DY453" s="161">
        <f t="shared" ref="DY453:DY472" si="1631">BH453</f>
        <v>0</v>
      </c>
      <c r="DZ453" s="161">
        <f t="shared" ref="DZ453:DZ472" si="1632">BI453</f>
        <v>0</v>
      </c>
      <c r="EA453" s="161">
        <f t="shared" ref="EA453:EA472" si="1633">BJ453</f>
        <v>0</v>
      </c>
      <c r="EB453" s="161">
        <f t="shared" ref="EB453:EB472" si="1634">BK453</f>
        <v>0</v>
      </c>
      <c r="EC453" s="161">
        <f t="shared" ref="EC453:EC472" si="1635">BL453</f>
        <v>0</v>
      </c>
      <c r="ED453" s="161">
        <f t="shared" ref="ED453:ED472" si="1636">BM453</f>
        <v>0</v>
      </c>
      <c r="EE453" s="161">
        <f t="shared" ref="EE453:EE472" si="1637">BN453</f>
        <v>0</v>
      </c>
      <c r="EF453" s="161">
        <f t="shared" ref="EF453:EF472" si="1638">BO453</f>
        <v>0</v>
      </c>
      <c r="EG453" s="161">
        <f t="shared" ref="EG453:EG472" si="1639">BP453</f>
        <v>0</v>
      </c>
      <c r="EH453" s="161">
        <f t="shared" ref="EH453:EH472" si="1640">BQ453</f>
        <v>0</v>
      </c>
      <c r="EI453" s="161">
        <f t="shared" ref="EI453:EI472" si="1641">BR453</f>
        <v>0</v>
      </c>
      <c r="EJ453" s="65"/>
      <c r="EK453" s="161">
        <f>$EK$452</f>
        <v>0</v>
      </c>
      <c r="EL453" s="161">
        <f>$EL$452</f>
        <v>0</v>
      </c>
      <c r="EM453" s="161">
        <f>$EM$452</f>
        <v>0</v>
      </c>
    </row>
    <row r="454" spans="1:143" ht="12" hidden="1" customHeight="1" outlineLevel="2">
      <c r="A454" s="77">
        <v>2</v>
      </c>
      <c r="B454" s="137" t="str">
        <f t="shared" ref="B454:B472" si="1642">IF(G454&gt;0,G454&amp;" - "&amp;$F$213,"")</f>
        <v>COORD. - Equipe_01</v>
      </c>
      <c r="C454" s="65"/>
      <c r="D454" s="621"/>
      <c r="E454" s="65"/>
      <c r="F454" s="584"/>
      <c r="G454" s="77" t="str">
        <f>IF(INDEX(Tarefas!$BT$30:$FK$30,MATCH(A454,Tarefas!$BT$28:$FK$28,0))=0,"",INDEX(Tarefas!$BT$30:$FK$30,MATCH(A454,Tarefas!$BT$28:$FK$28,0)))</f>
        <v>COORD.</v>
      </c>
      <c r="H454" s="107" cm="1">
        <f t="array" ref="H454">IFERROR((SUMPRODUCT((Tarefas!$N$32:$N$54='Cronog. e Histog.'!$F$453)*(Tarefas!$BQ$30:$FK$30='Cronog. e Histog.'!$G454)*(Tarefas!$BQ$32:$FK$54)))/SUMIF(Tarefas!$N$32:$N$54,'Cronog. e Histog.'!$F$453,Tarefas!$K$32:$K$54),0)</f>
        <v>0</v>
      </c>
      <c r="I454" s="79">
        <f t="shared" ref="I454:I472" si="1643">IFERROR(H454/$H$473,0)</f>
        <v>0</v>
      </c>
      <c r="J454" s="65"/>
      <c r="K454" s="160">
        <f t="shared" ref="K454:Z463" si="1644">ROUND($I454*K$193,2)</f>
        <v>0</v>
      </c>
      <c r="L454" s="160">
        <f t="shared" si="1644"/>
        <v>0</v>
      </c>
      <c r="M454" s="160">
        <f t="shared" si="1644"/>
        <v>0</v>
      </c>
      <c r="N454" s="160">
        <f t="shared" si="1644"/>
        <v>0</v>
      </c>
      <c r="O454" s="160">
        <f t="shared" si="1644"/>
        <v>0</v>
      </c>
      <c r="P454" s="160">
        <f t="shared" si="1644"/>
        <v>0</v>
      </c>
      <c r="Q454" s="160">
        <f t="shared" si="1644"/>
        <v>0</v>
      </c>
      <c r="R454" s="160">
        <f t="shared" si="1644"/>
        <v>0</v>
      </c>
      <c r="S454" s="160">
        <f t="shared" si="1644"/>
        <v>0</v>
      </c>
      <c r="T454" s="160">
        <f t="shared" si="1644"/>
        <v>0</v>
      </c>
      <c r="U454" s="160">
        <f t="shared" si="1644"/>
        <v>0</v>
      </c>
      <c r="V454" s="160">
        <f t="shared" si="1644"/>
        <v>0</v>
      </c>
      <c r="W454" s="160">
        <f t="shared" si="1644"/>
        <v>0</v>
      </c>
      <c r="X454" s="160">
        <f t="shared" si="1644"/>
        <v>0</v>
      </c>
      <c r="Y454" s="160">
        <f t="shared" si="1644"/>
        <v>0</v>
      </c>
      <c r="Z454" s="160">
        <f t="shared" si="1644"/>
        <v>0</v>
      </c>
      <c r="AA454" s="160">
        <f t="shared" ref="AA454:AP463" si="1645">ROUND($I454*AA$193,2)</f>
        <v>0</v>
      </c>
      <c r="AB454" s="160">
        <f t="shared" si="1645"/>
        <v>0</v>
      </c>
      <c r="AC454" s="160">
        <f t="shared" si="1645"/>
        <v>0</v>
      </c>
      <c r="AD454" s="160">
        <f t="shared" si="1645"/>
        <v>0</v>
      </c>
      <c r="AE454" s="160">
        <f t="shared" si="1645"/>
        <v>0</v>
      </c>
      <c r="AF454" s="160">
        <f t="shared" si="1645"/>
        <v>0</v>
      </c>
      <c r="AG454" s="160">
        <f t="shared" si="1645"/>
        <v>0</v>
      </c>
      <c r="AH454" s="160">
        <f t="shared" si="1645"/>
        <v>0</v>
      </c>
      <c r="AI454" s="160">
        <f t="shared" si="1645"/>
        <v>0</v>
      </c>
      <c r="AJ454" s="160">
        <f t="shared" si="1645"/>
        <v>0</v>
      </c>
      <c r="AK454" s="160">
        <f t="shared" si="1645"/>
        <v>0</v>
      </c>
      <c r="AL454" s="160">
        <f t="shared" si="1645"/>
        <v>0</v>
      </c>
      <c r="AM454" s="160">
        <f t="shared" si="1645"/>
        <v>0</v>
      </c>
      <c r="AN454" s="160">
        <f t="shared" si="1645"/>
        <v>0</v>
      </c>
      <c r="AO454" s="160">
        <f t="shared" si="1645"/>
        <v>0</v>
      </c>
      <c r="AP454" s="160">
        <f t="shared" si="1645"/>
        <v>0</v>
      </c>
      <c r="AQ454" s="160">
        <f t="shared" ref="AQ454:BF463" si="1646">ROUND($I454*AQ$193,2)</f>
        <v>0</v>
      </c>
      <c r="AR454" s="160">
        <f t="shared" si="1646"/>
        <v>0</v>
      </c>
      <c r="AS454" s="160">
        <f t="shared" si="1646"/>
        <v>0</v>
      </c>
      <c r="AT454" s="160">
        <f t="shared" si="1646"/>
        <v>0</v>
      </c>
      <c r="AU454" s="160">
        <f t="shared" si="1646"/>
        <v>0</v>
      </c>
      <c r="AV454" s="160">
        <f t="shared" si="1646"/>
        <v>0</v>
      </c>
      <c r="AW454" s="160">
        <f t="shared" si="1646"/>
        <v>0</v>
      </c>
      <c r="AX454" s="160">
        <f t="shared" si="1646"/>
        <v>0</v>
      </c>
      <c r="AY454" s="160">
        <f t="shared" si="1646"/>
        <v>0</v>
      </c>
      <c r="AZ454" s="160">
        <f t="shared" si="1646"/>
        <v>0</v>
      </c>
      <c r="BA454" s="160">
        <f t="shared" si="1646"/>
        <v>0</v>
      </c>
      <c r="BB454" s="160">
        <f t="shared" si="1646"/>
        <v>0</v>
      </c>
      <c r="BC454" s="160">
        <f t="shared" si="1646"/>
        <v>0</v>
      </c>
      <c r="BD454" s="160">
        <f t="shared" si="1646"/>
        <v>0</v>
      </c>
      <c r="BE454" s="160">
        <f t="shared" si="1646"/>
        <v>0</v>
      </c>
      <c r="BF454" s="160">
        <f t="shared" si="1646"/>
        <v>0</v>
      </c>
      <c r="BG454" s="160">
        <f t="shared" ref="BG454:BR463" si="1647">ROUND($I454*BG$193,2)</f>
        <v>0</v>
      </c>
      <c r="BH454" s="160">
        <f t="shared" si="1647"/>
        <v>0</v>
      </c>
      <c r="BI454" s="160">
        <f t="shared" si="1647"/>
        <v>0</v>
      </c>
      <c r="BJ454" s="160">
        <f t="shared" si="1647"/>
        <v>0</v>
      </c>
      <c r="BK454" s="160">
        <f t="shared" si="1647"/>
        <v>0</v>
      </c>
      <c r="BL454" s="160">
        <f t="shared" si="1647"/>
        <v>0</v>
      </c>
      <c r="BM454" s="160">
        <f t="shared" si="1647"/>
        <v>0</v>
      </c>
      <c r="BN454" s="160">
        <f t="shared" si="1647"/>
        <v>0</v>
      </c>
      <c r="BO454" s="160">
        <f t="shared" si="1647"/>
        <v>0</v>
      </c>
      <c r="BP454" s="160">
        <f t="shared" si="1647"/>
        <v>0</v>
      </c>
      <c r="BQ454" s="160">
        <f t="shared" si="1647"/>
        <v>0</v>
      </c>
      <c r="BR454" s="160">
        <f t="shared" si="1647"/>
        <v>0</v>
      </c>
      <c r="BS454" s="65"/>
      <c r="BT454" s="160">
        <f t="shared" ref="BT454:BT463" si="1648">IFERROR(SUM(K454:BR454)/COUNTIF(K454:BR454,"&gt;0"),0)</f>
        <v>0</v>
      </c>
      <c r="BU454" s="160">
        <f t="shared" ref="BU454:BU463" si="1649">COUNTIF(K454:BR454,"&gt;0")</f>
        <v>0</v>
      </c>
      <c r="BV454" s="65"/>
      <c r="BW454" s="69"/>
      <c r="BX454" s="65"/>
      <c r="BY454" s="137">
        <f t="shared" ref="BY454:BY463" si="1650">IF(G454&gt;0,1,0)</f>
        <v>1</v>
      </c>
      <c r="BZ454" s="137">
        <f>IF(BY454&gt;0,BY454+LARGE($BZ$213:BZ453,1),0)</f>
        <v>202</v>
      </c>
      <c r="CA454" s="137" t="str">
        <f t="shared" ref="CA454:CA463" si="1651">G454</f>
        <v>COORD.</v>
      </c>
      <c r="CB454" s="161">
        <f t="shared" ref="CB454:CB463" si="1652">K454</f>
        <v>0</v>
      </c>
      <c r="CC454" s="161">
        <f t="shared" ref="CC454:CC463" si="1653">L454</f>
        <v>0</v>
      </c>
      <c r="CD454" s="161">
        <f t="shared" ref="CD454:CD463" si="1654">M454</f>
        <v>0</v>
      </c>
      <c r="CE454" s="161">
        <f t="shared" ref="CE454:CE463" si="1655">N454</f>
        <v>0</v>
      </c>
      <c r="CF454" s="161">
        <f t="shared" ref="CF454:CF463" si="1656">O454</f>
        <v>0</v>
      </c>
      <c r="CG454" s="161">
        <f t="shared" ref="CG454:CG463" si="1657">P454</f>
        <v>0</v>
      </c>
      <c r="CH454" s="161">
        <f t="shared" ref="CH454:CH463" si="1658">Q454</f>
        <v>0</v>
      </c>
      <c r="CI454" s="161">
        <f t="shared" ref="CI454:CI463" si="1659">R454</f>
        <v>0</v>
      </c>
      <c r="CJ454" s="161">
        <f t="shared" ref="CJ454:CJ463" si="1660">S454</f>
        <v>0</v>
      </c>
      <c r="CK454" s="161">
        <f t="shared" ref="CK454:CK463" si="1661">T454</f>
        <v>0</v>
      </c>
      <c r="CL454" s="161">
        <f t="shared" ref="CL454:CL463" si="1662">U454</f>
        <v>0</v>
      </c>
      <c r="CM454" s="161">
        <f t="shared" ref="CM454:CM463" si="1663">V454</f>
        <v>0</v>
      </c>
      <c r="CN454" s="161">
        <f t="shared" ref="CN454:CN463" si="1664">W454</f>
        <v>0</v>
      </c>
      <c r="CO454" s="161">
        <f t="shared" ref="CO454:CO463" si="1665">X454</f>
        <v>0</v>
      </c>
      <c r="CP454" s="161">
        <f t="shared" ref="CP454:CP463" si="1666">Y454</f>
        <v>0</v>
      </c>
      <c r="CQ454" s="161">
        <f t="shared" ref="CQ454:CQ463" si="1667">Z454</f>
        <v>0</v>
      </c>
      <c r="CR454" s="161">
        <f t="shared" ref="CR454:CR463" si="1668">AA454</f>
        <v>0</v>
      </c>
      <c r="CS454" s="161">
        <f t="shared" ref="CS454:CS463" si="1669">AB454</f>
        <v>0</v>
      </c>
      <c r="CT454" s="161">
        <f t="shared" ref="CT454:CT463" si="1670">AC454</f>
        <v>0</v>
      </c>
      <c r="CU454" s="161">
        <f t="shared" ref="CU454:CU463" si="1671">AD454</f>
        <v>0</v>
      </c>
      <c r="CV454" s="161">
        <f t="shared" ref="CV454:CV463" si="1672">AE454</f>
        <v>0</v>
      </c>
      <c r="CW454" s="161">
        <f t="shared" ref="CW454:CW463" si="1673">AF454</f>
        <v>0</v>
      </c>
      <c r="CX454" s="161">
        <f t="shared" ref="CX454:CX463" si="1674">AG454</f>
        <v>0</v>
      </c>
      <c r="CY454" s="161">
        <f t="shared" ref="CY454:CY463" si="1675">AH454</f>
        <v>0</v>
      </c>
      <c r="CZ454" s="161">
        <f t="shared" ref="CZ454:CZ463" si="1676">AI454</f>
        <v>0</v>
      </c>
      <c r="DA454" s="161">
        <f t="shared" ref="DA454:DA463" si="1677">AJ454</f>
        <v>0</v>
      </c>
      <c r="DB454" s="161">
        <f t="shared" ref="DB454:DB463" si="1678">AK454</f>
        <v>0</v>
      </c>
      <c r="DC454" s="161">
        <f t="shared" ref="DC454:DC463" si="1679">AL454</f>
        <v>0</v>
      </c>
      <c r="DD454" s="161">
        <f t="shared" ref="DD454:DD463" si="1680">AM454</f>
        <v>0</v>
      </c>
      <c r="DE454" s="161">
        <f t="shared" ref="DE454:DE463" si="1681">AN454</f>
        <v>0</v>
      </c>
      <c r="DF454" s="161">
        <f t="shared" ref="DF454:DF463" si="1682">AO454</f>
        <v>0</v>
      </c>
      <c r="DG454" s="161">
        <f t="shared" ref="DG454:DG463" si="1683">AP454</f>
        <v>0</v>
      </c>
      <c r="DH454" s="161">
        <f t="shared" ref="DH454:DH463" si="1684">AQ454</f>
        <v>0</v>
      </c>
      <c r="DI454" s="161">
        <f t="shared" ref="DI454:DI463" si="1685">AR454</f>
        <v>0</v>
      </c>
      <c r="DJ454" s="161">
        <f t="shared" ref="DJ454:DJ463" si="1686">AS454</f>
        <v>0</v>
      </c>
      <c r="DK454" s="161">
        <f t="shared" ref="DK454:DK463" si="1687">AT454</f>
        <v>0</v>
      </c>
      <c r="DL454" s="161">
        <f t="shared" ref="DL454:DL463" si="1688">AU454</f>
        <v>0</v>
      </c>
      <c r="DM454" s="161">
        <f t="shared" ref="DM454:DM463" si="1689">AV454</f>
        <v>0</v>
      </c>
      <c r="DN454" s="161">
        <f t="shared" ref="DN454:DN463" si="1690">AW454</f>
        <v>0</v>
      </c>
      <c r="DO454" s="161">
        <f t="shared" ref="DO454:DO463" si="1691">AX454</f>
        <v>0</v>
      </c>
      <c r="DP454" s="161">
        <f t="shared" ref="DP454:DP463" si="1692">AY454</f>
        <v>0</v>
      </c>
      <c r="DQ454" s="161">
        <f t="shared" ref="DQ454:DQ463" si="1693">AZ454</f>
        <v>0</v>
      </c>
      <c r="DR454" s="161">
        <f t="shared" ref="DR454:DR463" si="1694">BA454</f>
        <v>0</v>
      </c>
      <c r="DS454" s="161">
        <f t="shared" ref="DS454:DS463" si="1695">BB454</f>
        <v>0</v>
      </c>
      <c r="DT454" s="161">
        <f t="shared" ref="DT454:DT463" si="1696">BC454</f>
        <v>0</v>
      </c>
      <c r="DU454" s="161">
        <f t="shared" ref="DU454:DU463" si="1697">BD454</f>
        <v>0</v>
      </c>
      <c r="DV454" s="161">
        <f t="shared" ref="DV454:DV463" si="1698">BE454</f>
        <v>0</v>
      </c>
      <c r="DW454" s="161">
        <f t="shared" ref="DW454:DW463" si="1699">BF454</f>
        <v>0</v>
      </c>
      <c r="DX454" s="161">
        <f t="shared" ref="DX454:DX463" si="1700">BG454</f>
        <v>0</v>
      </c>
      <c r="DY454" s="161">
        <f t="shared" ref="DY454:DY463" si="1701">BH454</f>
        <v>0</v>
      </c>
      <c r="DZ454" s="161">
        <f t="shared" ref="DZ454:DZ463" si="1702">BI454</f>
        <v>0</v>
      </c>
      <c r="EA454" s="161">
        <f t="shared" ref="EA454:EA463" si="1703">BJ454</f>
        <v>0</v>
      </c>
      <c r="EB454" s="161">
        <f t="shared" ref="EB454:EB463" si="1704">BK454</f>
        <v>0</v>
      </c>
      <c r="EC454" s="161">
        <f t="shared" ref="EC454:EC463" si="1705">BL454</f>
        <v>0</v>
      </c>
      <c r="ED454" s="161">
        <f t="shared" ref="ED454:ED463" si="1706">BM454</f>
        <v>0</v>
      </c>
      <c r="EE454" s="161">
        <f t="shared" ref="EE454:EE463" si="1707">BN454</f>
        <v>0</v>
      </c>
      <c r="EF454" s="161">
        <f t="shared" ref="EF454:EF463" si="1708">BO454</f>
        <v>0</v>
      </c>
      <c r="EG454" s="161">
        <f t="shared" ref="EG454:EG463" si="1709">BP454</f>
        <v>0</v>
      </c>
      <c r="EH454" s="161">
        <f t="shared" ref="EH454:EH463" si="1710">BQ454</f>
        <v>0</v>
      </c>
      <c r="EI454" s="161">
        <f t="shared" ref="EI454:EI463" si="1711">BR454</f>
        <v>0</v>
      </c>
      <c r="EJ454" s="65"/>
      <c r="EK454" s="161">
        <f t="shared" ref="EK454:EK472" si="1712">$EK$452</f>
        <v>0</v>
      </c>
      <c r="EL454" s="161">
        <f t="shared" ref="EL454:EL472" si="1713">$EL$452</f>
        <v>0</v>
      </c>
      <c r="EM454" s="161">
        <f t="shared" ref="EM454:EM472" si="1714">$EM$452</f>
        <v>0</v>
      </c>
    </row>
    <row r="455" spans="1:143" ht="12" hidden="1" customHeight="1" outlineLevel="2">
      <c r="A455" s="77">
        <v>3</v>
      </c>
      <c r="B455" s="137" t="str">
        <f t="shared" si="1642"/>
        <v>SUP.-ESP - Equipe_01</v>
      </c>
      <c r="C455" s="65"/>
      <c r="D455" s="621"/>
      <c r="E455" s="65"/>
      <c r="F455" s="584"/>
      <c r="G455" s="77" t="str">
        <f>IF(INDEX(Tarefas!$BT$30:$FK$30,MATCH(A455,Tarefas!$BT$28:$FK$28,0))=0,"",INDEX(Tarefas!$BT$30:$FK$30,MATCH(A455,Tarefas!$BT$28:$FK$28,0)))</f>
        <v>SUP.-ESP</v>
      </c>
      <c r="H455" s="107" cm="1">
        <f t="array" ref="H455">IFERROR((SUMPRODUCT((Tarefas!$N$32:$N$54='Cronog. e Histog.'!$F$453)*(Tarefas!$BQ$30:$FK$30='Cronog. e Histog.'!$G455)*(Tarefas!$BQ$32:$FK$54)))/SUMIF(Tarefas!$N$32:$N$54,'Cronog. e Histog.'!$F$453,Tarefas!$K$32:$K$54),0)</f>
        <v>0</v>
      </c>
      <c r="I455" s="79">
        <f t="shared" si="1643"/>
        <v>0</v>
      </c>
      <c r="J455" s="65"/>
      <c r="K455" s="160">
        <f t="shared" si="1644"/>
        <v>0</v>
      </c>
      <c r="L455" s="160">
        <f t="shared" si="1644"/>
        <v>0</v>
      </c>
      <c r="M455" s="160">
        <f t="shared" si="1644"/>
        <v>0</v>
      </c>
      <c r="N455" s="160">
        <f t="shared" si="1644"/>
        <v>0</v>
      </c>
      <c r="O455" s="160">
        <f t="shared" si="1644"/>
        <v>0</v>
      </c>
      <c r="P455" s="160">
        <f t="shared" si="1644"/>
        <v>0</v>
      </c>
      <c r="Q455" s="160">
        <f t="shared" si="1644"/>
        <v>0</v>
      </c>
      <c r="R455" s="160">
        <f t="shared" si="1644"/>
        <v>0</v>
      </c>
      <c r="S455" s="160">
        <f t="shared" si="1644"/>
        <v>0</v>
      </c>
      <c r="T455" s="160">
        <f t="shared" si="1644"/>
        <v>0</v>
      </c>
      <c r="U455" s="160">
        <f t="shared" si="1644"/>
        <v>0</v>
      </c>
      <c r="V455" s="160">
        <f t="shared" si="1644"/>
        <v>0</v>
      </c>
      <c r="W455" s="160">
        <f t="shared" si="1644"/>
        <v>0</v>
      </c>
      <c r="X455" s="160">
        <f t="shared" si="1644"/>
        <v>0</v>
      </c>
      <c r="Y455" s="160">
        <f t="shared" si="1644"/>
        <v>0</v>
      </c>
      <c r="Z455" s="160">
        <f t="shared" si="1644"/>
        <v>0</v>
      </c>
      <c r="AA455" s="160">
        <f t="shared" si="1645"/>
        <v>0</v>
      </c>
      <c r="AB455" s="160">
        <f t="shared" si="1645"/>
        <v>0</v>
      </c>
      <c r="AC455" s="160">
        <f t="shared" si="1645"/>
        <v>0</v>
      </c>
      <c r="AD455" s="160">
        <f t="shared" si="1645"/>
        <v>0</v>
      </c>
      <c r="AE455" s="160">
        <f t="shared" si="1645"/>
        <v>0</v>
      </c>
      <c r="AF455" s="160">
        <f t="shared" si="1645"/>
        <v>0</v>
      </c>
      <c r="AG455" s="160">
        <f t="shared" si="1645"/>
        <v>0</v>
      </c>
      <c r="AH455" s="160">
        <f t="shared" si="1645"/>
        <v>0</v>
      </c>
      <c r="AI455" s="160">
        <f t="shared" si="1645"/>
        <v>0</v>
      </c>
      <c r="AJ455" s="160">
        <f t="shared" si="1645"/>
        <v>0</v>
      </c>
      <c r="AK455" s="160">
        <f t="shared" si="1645"/>
        <v>0</v>
      </c>
      <c r="AL455" s="160">
        <f t="shared" si="1645"/>
        <v>0</v>
      </c>
      <c r="AM455" s="160">
        <f t="shared" si="1645"/>
        <v>0</v>
      </c>
      <c r="AN455" s="160">
        <f t="shared" si="1645"/>
        <v>0</v>
      </c>
      <c r="AO455" s="160">
        <f t="shared" si="1645"/>
        <v>0</v>
      </c>
      <c r="AP455" s="160">
        <f t="shared" si="1645"/>
        <v>0</v>
      </c>
      <c r="AQ455" s="160">
        <f t="shared" si="1646"/>
        <v>0</v>
      </c>
      <c r="AR455" s="160">
        <f t="shared" si="1646"/>
        <v>0</v>
      </c>
      <c r="AS455" s="160">
        <f t="shared" si="1646"/>
        <v>0</v>
      </c>
      <c r="AT455" s="160">
        <f t="shared" si="1646"/>
        <v>0</v>
      </c>
      <c r="AU455" s="160">
        <f t="shared" si="1646"/>
        <v>0</v>
      </c>
      <c r="AV455" s="160">
        <f t="shared" si="1646"/>
        <v>0</v>
      </c>
      <c r="AW455" s="160">
        <f t="shared" si="1646"/>
        <v>0</v>
      </c>
      <c r="AX455" s="160">
        <f t="shared" si="1646"/>
        <v>0</v>
      </c>
      <c r="AY455" s="160">
        <f t="shared" si="1646"/>
        <v>0</v>
      </c>
      <c r="AZ455" s="160">
        <f t="shared" si="1646"/>
        <v>0</v>
      </c>
      <c r="BA455" s="160">
        <f t="shared" si="1646"/>
        <v>0</v>
      </c>
      <c r="BB455" s="160">
        <f t="shared" si="1646"/>
        <v>0</v>
      </c>
      <c r="BC455" s="160">
        <f t="shared" si="1646"/>
        <v>0</v>
      </c>
      <c r="BD455" s="160">
        <f t="shared" si="1646"/>
        <v>0</v>
      </c>
      <c r="BE455" s="160">
        <f t="shared" si="1646"/>
        <v>0</v>
      </c>
      <c r="BF455" s="160">
        <f t="shared" si="1646"/>
        <v>0</v>
      </c>
      <c r="BG455" s="160">
        <f t="shared" si="1647"/>
        <v>0</v>
      </c>
      <c r="BH455" s="160">
        <f t="shared" si="1647"/>
        <v>0</v>
      </c>
      <c r="BI455" s="160">
        <f t="shared" si="1647"/>
        <v>0</v>
      </c>
      <c r="BJ455" s="160">
        <f t="shared" si="1647"/>
        <v>0</v>
      </c>
      <c r="BK455" s="160">
        <f t="shared" si="1647"/>
        <v>0</v>
      </c>
      <c r="BL455" s="160">
        <f t="shared" si="1647"/>
        <v>0</v>
      </c>
      <c r="BM455" s="160">
        <f t="shared" si="1647"/>
        <v>0</v>
      </c>
      <c r="BN455" s="160">
        <f t="shared" si="1647"/>
        <v>0</v>
      </c>
      <c r="BO455" s="160">
        <f t="shared" si="1647"/>
        <v>0</v>
      </c>
      <c r="BP455" s="160">
        <f t="shared" si="1647"/>
        <v>0</v>
      </c>
      <c r="BQ455" s="160">
        <f t="shared" si="1647"/>
        <v>0</v>
      </c>
      <c r="BR455" s="160">
        <f t="shared" si="1647"/>
        <v>0</v>
      </c>
      <c r="BS455" s="65"/>
      <c r="BT455" s="160">
        <f t="shared" si="1648"/>
        <v>0</v>
      </c>
      <c r="BU455" s="160">
        <f t="shared" si="1649"/>
        <v>0</v>
      </c>
      <c r="BV455" s="65"/>
      <c r="BW455" s="69"/>
      <c r="BX455" s="65"/>
      <c r="BY455" s="137">
        <f t="shared" si="1650"/>
        <v>1</v>
      </c>
      <c r="BZ455" s="137">
        <f>IF(BY455&gt;0,BY455+LARGE($BZ$213:BZ454,1),0)</f>
        <v>203</v>
      </c>
      <c r="CA455" s="137" t="str">
        <f t="shared" si="1651"/>
        <v>SUP.-ESP</v>
      </c>
      <c r="CB455" s="161">
        <f t="shared" si="1652"/>
        <v>0</v>
      </c>
      <c r="CC455" s="161">
        <f t="shared" si="1653"/>
        <v>0</v>
      </c>
      <c r="CD455" s="161">
        <f t="shared" si="1654"/>
        <v>0</v>
      </c>
      <c r="CE455" s="161">
        <f t="shared" si="1655"/>
        <v>0</v>
      </c>
      <c r="CF455" s="161">
        <f t="shared" si="1656"/>
        <v>0</v>
      </c>
      <c r="CG455" s="161">
        <f t="shared" si="1657"/>
        <v>0</v>
      </c>
      <c r="CH455" s="161">
        <f t="shared" si="1658"/>
        <v>0</v>
      </c>
      <c r="CI455" s="161">
        <f t="shared" si="1659"/>
        <v>0</v>
      </c>
      <c r="CJ455" s="161">
        <f t="shared" si="1660"/>
        <v>0</v>
      </c>
      <c r="CK455" s="161">
        <f t="shared" si="1661"/>
        <v>0</v>
      </c>
      <c r="CL455" s="161">
        <f t="shared" si="1662"/>
        <v>0</v>
      </c>
      <c r="CM455" s="161">
        <f t="shared" si="1663"/>
        <v>0</v>
      </c>
      <c r="CN455" s="161">
        <f t="shared" si="1664"/>
        <v>0</v>
      </c>
      <c r="CO455" s="161">
        <f t="shared" si="1665"/>
        <v>0</v>
      </c>
      <c r="CP455" s="161">
        <f t="shared" si="1666"/>
        <v>0</v>
      </c>
      <c r="CQ455" s="161">
        <f t="shared" si="1667"/>
        <v>0</v>
      </c>
      <c r="CR455" s="161">
        <f t="shared" si="1668"/>
        <v>0</v>
      </c>
      <c r="CS455" s="161">
        <f t="shared" si="1669"/>
        <v>0</v>
      </c>
      <c r="CT455" s="161">
        <f t="shared" si="1670"/>
        <v>0</v>
      </c>
      <c r="CU455" s="161">
        <f t="shared" si="1671"/>
        <v>0</v>
      </c>
      <c r="CV455" s="161">
        <f t="shared" si="1672"/>
        <v>0</v>
      </c>
      <c r="CW455" s="161">
        <f t="shared" si="1673"/>
        <v>0</v>
      </c>
      <c r="CX455" s="161">
        <f t="shared" si="1674"/>
        <v>0</v>
      </c>
      <c r="CY455" s="161">
        <f t="shared" si="1675"/>
        <v>0</v>
      </c>
      <c r="CZ455" s="161">
        <f t="shared" si="1676"/>
        <v>0</v>
      </c>
      <c r="DA455" s="161">
        <f t="shared" si="1677"/>
        <v>0</v>
      </c>
      <c r="DB455" s="161">
        <f t="shared" si="1678"/>
        <v>0</v>
      </c>
      <c r="DC455" s="161">
        <f t="shared" si="1679"/>
        <v>0</v>
      </c>
      <c r="DD455" s="161">
        <f t="shared" si="1680"/>
        <v>0</v>
      </c>
      <c r="DE455" s="161">
        <f t="shared" si="1681"/>
        <v>0</v>
      </c>
      <c r="DF455" s="161">
        <f t="shared" si="1682"/>
        <v>0</v>
      </c>
      <c r="DG455" s="161">
        <f t="shared" si="1683"/>
        <v>0</v>
      </c>
      <c r="DH455" s="161">
        <f t="shared" si="1684"/>
        <v>0</v>
      </c>
      <c r="DI455" s="161">
        <f t="shared" si="1685"/>
        <v>0</v>
      </c>
      <c r="DJ455" s="161">
        <f t="shared" si="1686"/>
        <v>0</v>
      </c>
      <c r="DK455" s="161">
        <f t="shared" si="1687"/>
        <v>0</v>
      </c>
      <c r="DL455" s="161">
        <f t="shared" si="1688"/>
        <v>0</v>
      </c>
      <c r="DM455" s="161">
        <f t="shared" si="1689"/>
        <v>0</v>
      </c>
      <c r="DN455" s="161">
        <f t="shared" si="1690"/>
        <v>0</v>
      </c>
      <c r="DO455" s="161">
        <f t="shared" si="1691"/>
        <v>0</v>
      </c>
      <c r="DP455" s="161">
        <f t="shared" si="1692"/>
        <v>0</v>
      </c>
      <c r="DQ455" s="161">
        <f t="shared" si="1693"/>
        <v>0</v>
      </c>
      <c r="DR455" s="161">
        <f t="shared" si="1694"/>
        <v>0</v>
      </c>
      <c r="DS455" s="161">
        <f t="shared" si="1695"/>
        <v>0</v>
      </c>
      <c r="DT455" s="161">
        <f t="shared" si="1696"/>
        <v>0</v>
      </c>
      <c r="DU455" s="161">
        <f t="shared" si="1697"/>
        <v>0</v>
      </c>
      <c r="DV455" s="161">
        <f t="shared" si="1698"/>
        <v>0</v>
      </c>
      <c r="DW455" s="161">
        <f t="shared" si="1699"/>
        <v>0</v>
      </c>
      <c r="DX455" s="161">
        <f t="shared" si="1700"/>
        <v>0</v>
      </c>
      <c r="DY455" s="161">
        <f t="shared" si="1701"/>
        <v>0</v>
      </c>
      <c r="DZ455" s="161">
        <f t="shared" si="1702"/>
        <v>0</v>
      </c>
      <c r="EA455" s="161">
        <f t="shared" si="1703"/>
        <v>0</v>
      </c>
      <c r="EB455" s="161">
        <f t="shared" si="1704"/>
        <v>0</v>
      </c>
      <c r="EC455" s="161">
        <f t="shared" si="1705"/>
        <v>0</v>
      </c>
      <c r="ED455" s="161">
        <f t="shared" si="1706"/>
        <v>0</v>
      </c>
      <c r="EE455" s="161">
        <f t="shared" si="1707"/>
        <v>0</v>
      </c>
      <c r="EF455" s="161">
        <f t="shared" si="1708"/>
        <v>0</v>
      </c>
      <c r="EG455" s="161">
        <f t="shared" si="1709"/>
        <v>0</v>
      </c>
      <c r="EH455" s="161">
        <f t="shared" si="1710"/>
        <v>0</v>
      </c>
      <c r="EI455" s="161">
        <f t="shared" si="1711"/>
        <v>0</v>
      </c>
      <c r="EJ455" s="65"/>
      <c r="EK455" s="161">
        <f t="shared" si="1712"/>
        <v>0</v>
      </c>
      <c r="EL455" s="161">
        <f t="shared" si="1713"/>
        <v>0</v>
      </c>
      <c r="EM455" s="161">
        <f t="shared" si="1714"/>
        <v>0</v>
      </c>
    </row>
    <row r="456" spans="1:143" ht="12" hidden="1" customHeight="1" outlineLevel="2">
      <c r="A456" s="77">
        <v>4</v>
      </c>
      <c r="B456" s="137" t="str">
        <f t="shared" si="1642"/>
        <v>ENG/ARQ SR. - Equipe_01</v>
      </c>
      <c r="C456" s="65"/>
      <c r="D456" s="621"/>
      <c r="E456" s="65"/>
      <c r="F456" s="584"/>
      <c r="G456" s="77" t="str">
        <f>IF(INDEX(Tarefas!$BT$30:$FK$30,MATCH(A456,Tarefas!$BT$28:$FK$28,0))=0,"",INDEX(Tarefas!$BT$30:$FK$30,MATCH(A456,Tarefas!$BT$28:$FK$28,0)))</f>
        <v>ENG/ARQ SR.</v>
      </c>
      <c r="H456" s="107" cm="1">
        <f t="array" ref="H456">IFERROR((SUMPRODUCT((Tarefas!$N$32:$N$54='Cronog. e Histog.'!$F$453)*(Tarefas!$BQ$30:$FK$30='Cronog. e Histog.'!$G456)*(Tarefas!$BQ$32:$FK$54)))/SUMIF(Tarefas!$N$32:$N$54,'Cronog. e Histog.'!$F$453,Tarefas!$K$32:$K$54),0)</f>
        <v>0</v>
      </c>
      <c r="I456" s="79">
        <f t="shared" si="1643"/>
        <v>0</v>
      </c>
      <c r="J456" s="65"/>
      <c r="K456" s="160">
        <f t="shared" si="1644"/>
        <v>0</v>
      </c>
      <c r="L456" s="160">
        <f t="shared" si="1644"/>
        <v>0</v>
      </c>
      <c r="M456" s="160">
        <f t="shared" si="1644"/>
        <v>0</v>
      </c>
      <c r="N456" s="160">
        <f t="shared" si="1644"/>
        <v>0</v>
      </c>
      <c r="O456" s="160">
        <f t="shared" si="1644"/>
        <v>0</v>
      </c>
      <c r="P456" s="160">
        <f t="shared" si="1644"/>
        <v>0</v>
      </c>
      <c r="Q456" s="160">
        <f t="shared" si="1644"/>
        <v>0</v>
      </c>
      <c r="R456" s="160">
        <f t="shared" si="1644"/>
        <v>0</v>
      </c>
      <c r="S456" s="160">
        <f t="shared" si="1644"/>
        <v>0</v>
      </c>
      <c r="T456" s="160">
        <f t="shared" si="1644"/>
        <v>0</v>
      </c>
      <c r="U456" s="160">
        <f t="shared" si="1644"/>
        <v>0</v>
      </c>
      <c r="V456" s="160">
        <f t="shared" si="1644"/>
        <v>0</v>
      </c>
      <c r="W456" s="160">
        <f t="shared" si="1644"/>
        <v>0</v>
      </c>
      <c r="X456" s="160">
        <f t="shared" si="1644"/>
        <v>0</v>
      </c>
      <c r="Y456" s="160">
        <f t="shared" si="1644"/>
        <v>0</v>
      </c>
      <c r="Z456" s="160">
        <f t="shared" si="1644"/>
        <v>0</v>
      </c>
      <c r="AA456" s="160">
        <f t="shared" si="1645"/>
        <v>0</v>
      </c>
      <c r="AB456" s="160">
        <f t="shared" si="1645"/>
        <v>0</v>
      </c>
      <c r="AC456" s="160">
        <f t="shared" si="1645"/>
        <v>0</v>
      </c>
      <c r="AD456" s="160">
        <f t="shared" si="1645"/>
        <v>0</v>
      </c>
      <c r="AE456" s="160">
        <f t="shared" si="1645"/>
        <v>0</v>
      </c>
      <c r="AF456" s="160">
        <f t="shared" si="1645"/>
        <v>0</v>
      </c>
      <c r="AG456" s="160">
        <f t="shared" si="1645"/>
        <v>0</v>
      </c>
      <c r="AH456" s="160">
        <f t="shared" si="1645"/>
        <v>0</v>
      </c>
      <c r="AI456" s="160">
        <f t="shared" si="1645"/>
        <v>0</v>
      </c>
      <c r="AJ456" s="160">
        <f t="shared" si="1645"/>
        <v>0</v>
      </c>
      <c r="AK456" s="160">
        <f t="shared" si="1645"/>
        <v>0</v>
      </c>
      <c r="AL456" s="160">
        <f t="shared" si="1645"/>
        <v>0</v>
      </c>
      <c r="AM456" s="160">
        <f t="shared" si="1645"/>
        <v>0</v>
      </c>
      <c r="AN456" s="160">
        <f t="shared" si="1645"/>
        <v>0</v>
      </c>
      <c r="AO456" s="160">
        <f t="shared" si="1645"/>
        <v>0</v>
      </c>
      <c r="AP456" s="160">
        <f t="shared" si="1645"/>
        <v>0</v>
      </c>
      <c r="AQ456" s="160">
        <f t="shared" si="1646"/>
        <v>0</v>
      </c>
      <c r="AR456" s="160">
        <f t="shared" si="1646"/>
        <v>0</v>
      </c>
      <c r="AS456" s="160">
        <f t="shared" si="1646"/>
        <v>0</v>
      </c>
      <c r="AT456" s="160">
        <f t="shared" si="1646"/>
        <v>0</v>
      </c>
      <c r="AU456" s="160">
        <f t="shared" si="1646"/>
        <v>0</v>
      </c>
      <c r="AV456" s="160">
        <f t="shared" si="1646"/>
        <v>0</v>
      </c>
      <c r="AW456" s="160">
        <f t="shared" si="1646"/>
        <v>0</v>
      </c>
      <c r="AX456" s="160">
        <f t="shared" si="1646"/>
        <v>0</v>
      </c>
      <c r="AY456" s="160">
        <f t="shared" si="1646"/>
        <v>0</v>
      </c>
      <c r="AZ456" s="160">
        <f t="shared" si="1646"/>
        <v>0</v>
      </c>
      <c r="BA456" s="160">
        <f t="shared" si="1646"/>
        <v>0</v>
      </c>
      <c r="BB456" s="160">
        <f t="shared" si="1646"/>
        <v>0</v>
      </c>
      <c r="BC456" s="160">
        <f t="shared" si="1646"/>
        <v>0</v>
      </c>
      <c r="BD456" s="160">
        <f t="shared" si="1646"/>
        <v>0</v>
      </c>
      <c r="BE456" s="160">
        <f t="shared" si="1646"/>
        <v>0</v>
      </c>
      <c r="BF456" s="160">
        <f t="shared" si="1646"/>
        <v>0</v>
      </c>
      <c r="BG456" s="160">
        <f t="shared" si="1647"/>
        <v>0</v>
      </c>
      <c r="BH456" s="160">
        <f t="shared" si="1647"/>
        <v>0</v>
      </c>
      <c r="BI456" s="160">
        <f t="shared" si="1647"/>
        <v>0</v>
      </c>
      <c r="BJ456" s="160">
        <f t="shared" si="1647"/>
        <v>0</v>
      </c>
      <c r="BK456" s="160">
        <f t="shared" si="1647"/>
        <v>0</v>
      </c>
      <c r="BL456" s="160">
        <f t="shared" si="1647"/>
        <v>0</v>
      </c>
      <c r="BM456" s="160">
        <f t="shared" si="1647"/>
        <v>0</v>
      </c>
      <c r="BN456" s="160">
        <f t="shared" si="1647"/>
        <v>0</v>
      </c>
      <c r="BO456" s="160">
        <f t="shared" si="1647"/>
        <v>0</v>
      </c>
      <c r="BP456" s="160">
        <f t="shared" si="1647"/>
        <v>0</v>
      </c>
      <c r="BQ456" s="160">
        <f t="shared" si="1647"/>
        <v>0</v>
      </c>
      <c r="BR456" s="160">
        <f t="shared" si="1647"/>
        <v>0</v>
      </c>
      <c r="BS456" s="65"/>
      <c r="BT456" s="160">
        <f t="shared" si="1648"/>
        <v>0</v>
      </c>
      <c r="BU456" s="160">
        <f t="shared" si="1649"/>
        <v>0</v>
      </c>
      <c r="BV456" s="65"/>
      <c r="BW456" s="69"/>
      <c r="BX456" s="65"/>
      <c r="BY456" s="137">
        <f t="shared" si="1650"/>
        <v>1</v>
      </c>
      <c r="BZ456" s="137">
        <f>IF(BY456&gt;0,BY456+LARGE($BZ$213:BZ455,1),0)</f>
        <v>204</v>
      </c>
      <c r="CA456" s="137" t="str">
        <f t="shared" si="1651"/>
        <v>ENG/ARQ SR.</v>
      </c>
      <c r="CB456" s="161">
        <f t="shared" si="1652"/>
        <v>0</v>
      </c>
      <c r="CC456" s="161">
        <f t="shared" si="1653"/>
        <v>0</v>
      </c>
      <c r="CD456" s="161">
        <f t="shared" si="1654"/>
        <v>0</v>
      </c>
      <c r="CE456" s="161">
        <f t="shared" si="1655"/>
        <v>0</v>
      </c>
      <c r="CF456" s="161">
        <f t="shared" si="1656"/>
        <v>0</v>
      </c>
      <c r="CG456" s="161">
        <f t="shared" si="1657"/>
        <v>0</v>
      </c>
      <c r="CH456" s="161">
        <f t="shared" si="1658"/>
        <v>0</v>
      </c>
      <c r="CI456" s="161">
        <f t="shared" si="1659"/>
        <v>0</v>
      </c>
      <c r="CJ456" s="161">
        <f t="shared" si="1660"/>
        <v>0</v>
      </c>
      <c r="CK456" s="161">
        <f t="shared" si="1661"/>
        <v>0</v>
      </c>
      <c r="CL456" s="161">
        <f t="shared" si="1662"/>
        <v>0</v>
      </c>
      <c r="CM456" s="161">
        <f t="shared" si="1663"/>
        <v>0</v>
      </c>
      <c r="CN456" s="161">
        <f t="shared" si="1664"/>
        <v>0</v>
      </c>
      <c r="CO456" s="161">
        <f t="shared" si="1665"/>
        <v>0</v>
      </c>
      <c r="CP456" s="161">
        <f t="shared" si="1666"/>
        <v>0</v>
      </c>
      <c r="CQ456" s="161">
        <f t="shared" si="1667"/>
        <v>0</v>
      </c>
      <c r="CR456" s="161">
        <f t="shared" si="1668"/>
        <v>0</v>
      </c>
      <c r="CS456" s="161">
        <f t="shared" si="1669"/>
        <v>0</v>
      </c>
      <c r="CT456" s="161">
        <f t="shared" si="1670"/>
        <v>0</v>
      </c>
      <c r="CU456" s="161">
        <f t="shared" si="1671"/>
        <v>0</v>
      </c>
      <c r="CV456" s="161">
        <f t="shared" si="1672"/>
        <v>0</v>
      </c>
      <c r="CW456" s="161">
        <f t="shared" si="1673"/>
        <v>0</v>
      </c>
      <c r="CX456" s="161">
        <f t="shared" si="1674"/>
        <v>0</v>
      </c>
      <c r="CY456" s="161">
        <f t="shared" si="1675"/>
        <v>0</v>
      </c>
      <c r="CZ456" s="161">
        <f t="shared" si="1676"/>
        <v>0</v>
      </c>
      <c r="DA456" s="161">
        <f t="shared" si="1677"/>
        <v>0</v>
      </c>
      <c r="DB456" s="161">
        <f t="shared" si="1678"/>
        <v>0</v>
      </c>
      <c r="DC456" s="161">
        <f t="shared" si="1679"/>
        <v>0</v>
      </c>
      <c r="DD456" s="161">
        <f t="shared" si="1680"/>
        <v>0</v>
      </c>
      <c r="DE456" s="161">
        <f t="shared" si="1681"/>
        <v>0</v>
      </c>
      <c r="DF456" s="161">
        <f t="shared" si="1682"/>
        <v>0</v>
      </c>
      <c r="DG456" s="161">
        <f t="shared" si="1683"/>
        <v>0</v>
      </c>
      <c r="DH456" s="161">
        <f t="shared" si="1684"/>
        <v>0</v>
      </c>
      <c r="DI456" s="161">
        <f t="shared" si="1685"/>
        <v>0</v>
      </c>
      <c r="DJ456" s="161">
        <f t="shared" si="1686"/>
        <v>0</v>
      </c>
      <c r="DK456" s="161">
        <f t="shared" si="1687"/>
        <v>0</v>
      </c>
      <c r="DL456" s="161">
        <f t="shared" si="1688"/>
        <v>0</v>
      </c>
      <c r="DM456" s="161">
        <f t="shared" si="1689"/>
        <v>0</v>
      </c>
      <c r="DN456" s="161">
        <f t="shared" si="1690"/>
        <v>0</v>
      </c>
      <c r="DO456" s="161">
        <f t="shared" si="1691"/>
        <v>0</v>
      </c>
      <c r="DP456" s="161">
        <f t="shared" si="1692"/>
        <v>0</v>
      </c>
      <c r="DQ456" s="161">
        <f t="shared" si="1693"/>
        <v>0</v>
      </c>
      <c r="DR456" s="161">
        <f t="shared" si="1694"/>
        <v>0</v>
      </c>
      <c r="DS456" s="161">
        <f t="shared" si="1695"/>
        <v>0</v>
      </c>
      <c r="DT456" s="161">
        <f t="shared" si="1696"/>
        <v>0</v>
      </c>
      <c r="DU456" s="161">
        <f t="shared" si="1697"/>
        <v>0</v>
      </c>
      <c r="DV456" s="161">
        <f t="shared" si="1698"/>
        <v>0</v>
      </c>
      <c r="DW456" s="161">
        <f t="shared" si="1699"/>
        <v>0</v>
      </c>
      <c r="DX456" s="161">
        <f t="shared" si="1700"/>
        <v>0</v>
      </c>
      <c r="DY456" s="161">
        <f t="shared" si="1701"/>
        <v>0</v>
      </c>
      <c r="DZ456" s="161">
        <f t="shared" si="1702"/>
        <v>0</v>
      </c>
      <c r="EA456" s="161">
        <f t="shared" si="1703"/>
        <v>0</v>
      </c>
      <c r="EB456" s="161">
        <f t="shared" si="1704"/>
        <v>0</v>
      </c>
      <c r="EC456" s="161">
        <f t="shared" si="1705"/>
        <v>0</v>
      </c>
      <c r="ED456" s="161">
        <f t="shared" si="1706"/>
        <v>0</v>
      </c>
      <c r="EE456" s="161">
        <f t="shared" si="1707"/>
        <v>0</v>
      </c>
      <c r="EF456" s="161">
        <f t="shared" si="1708"/>
        <v>0</v>
      </c>
      <c r="EG456" s="161">
        <f t="shared" si="1709"/>
        <v>0</v>
      </c>
      <c r="EH456" s="161">
        <f t="shared" si="1710"/>
        <v>0</v>
      </c>
      <c r="EI456" s="161">
        <f t="shared" si="1711"/>
        <v>0</v>
      </c>
      <c r="EJ456" s="65"/>
      <c r="EK456" s="161">
        <f t="shared" si="1712"/>
        <v>0</v>
      </c>
      <c r="EL456" s="161">
        <f t="shared" si="1713"/>
        <v>0</v>
      </c>
      <c r="EM456" s="161">
        <f t="shared" si="1714"/>
        <v>0</v>
      </c>
    </row>
    <row r="457" spans="1:143" ht="12" hidden="1" customHeight="1" outlineLevel="2">
      <c r="A457" s="77">
        <v>5</v>
      </c>
      <c r="B457" s="137" t="str">
        <f t="shared" si="1642"/>
        <v>ENG/ARQ PL. - Equipe_01</v>
      </c>
      <c r="C457" s="65"/>
      <c r="D457" s="621"/>
      <c r="E457" s="65"/>
      <c r="F457" s="584"/>
      <c r="G457" s="77" t="str">
        <f>IF(INDEX(Tarefas!$BT$30:$FK$30,MATCH(A457,Tarefas!$BT$28:$FK$28,0))=0,"",INDEX(Tarefas!$BT$30:$FK$30,MATCH(A457,Tarefas!$BT$28:$FK$28,0)))</f>
        <v>ENG/ARQ PL.</v>
      </c>
      <c r="H457" s="107" cm="1">
        <f t="array" ref="H457">IFERROR((SUMPRODUCT((Tarefas!$N$32:$N$54='Cronog. e Histog.'!$F$453)*(Tarefas!$BQ$30:$FK$30='Cronog. e Histog.'!$G457)*(Tarefas!$BQ$32:$FK$54)))/SUMIF(Tarefas!$N$32:$N$54,'Cronog. e Histog.'!$F$453,Tarefas!$K$32:$K$54),0)</f>
        <v>0</v>
      </c>
      <c r="I457" s="79">
        <f t="shared" si="1643"/>
        <v>0</v>
      </c>
      <c r="J457" s="65"/>
      <c r="K457" s="160">
        <f t="shared" si="1644"/>
        <v>0</v>
      </c>
      <c r="L457" s="160">
        <f t="shared" si="1644"/>
        <v>0</v>
      </c>
      <c r="M457" s="160">
        <f t="shared" si="1644"/>
        <v>0</v>
      </c>
      <c r="N457" s="160">
        <f t="shared" si="1644"/>
        <v>0</v>
      </c>
      <c r="O457" s="160">
        <f t="shared" si="1644"/>
        <v>0</v>
      </c>
      <c r="P457" s="160">
        <f t="shared" si="1644"/>
        <v>0</v>
      </c>
      <c r="Q457" s="160">
        <f t="shared" si="1644"/>
        <v>0</v>
      </c>
      <c r="R457" s="160">
        <f t="shared" si="1644"/>
        <v>0</v>
      </c>
      <c r="S457" s="160">
        <f t="shared" si="1644"/>
        <v>0</v>
      </c>
      <c r="T457" s="160">
        <f t="shared" si="1644"/>
        <v>0</v>
      </c>
      <c r="U457" s="160">
        <f t="shared" si="1644"/>
        <v>0</v>
      </c>
      <c r="V457" s="160">
        <f t="shared" si="1644"/>
        <v>0</v>
      </c>
      <c r="W457" s="160">
        <f t="shared" si="1644"/>
        <v>0</v>
      </c>
      <c r="X457" s="160">
        <f t="shared" si="1644"/>
        <v>0</v>
      </c>
      <c r="Y457" s="160">
        <f t="shared" si="1644"/>
        <v>0</v>
      </c>
      <c r="Z457" s="160">
        <f t="shared" si="1644"/>
        <v>0</v>
      </c>
      <c r="AA457" s="160">
        <f t="shared" si="1645"/>
        <v>0</v>
      </c>
      <c r="AB457" s="160">
        <f t="shared" si="1645"/>
        <v>0</v>
      </c>
      <c r="AC457" s="160">
        <f t="shared" si="1645"/>
        <v>0</v>
      </c>
      <c r="AD457" s="160">
        <f t="shared" si="1645"/>
        <v>0</v>
      </c>
      <c r="AE457" s="160">
        <f t="shared" si="1645"/>
        <v>0</v>
      </c>
      <c r="AF457" s="160">
        <f t="shared" si="1645"/>
        <v>0</v>
      </c>
      <c r="AG457" s="160">
        <f t="shared" si="1645"/>
        <v>0</v>
      </c>
      <c r="AH457" s="160">
        <f t="shared" si="1645"/>
        <v>0</v>
      </c>
      <c r="AI457" s="160">
        <f t="shared" si="1645"/>
        <v>0</v>
      </c>
      <c r="AJ457" s="160">
        <f t="shared" si="1645"/>
        <v>0</v>
      </c>
      <c r="AK457" s="160">
        <f t="shared" si="1645"/>
        <v>0</v>
      </c>
      <c r="AL457" s="160">
        <f t="shared" si="1645"/>
        <v>0</v>
      </c>
      <c r="AM457" s="160">
        <f t="shared" si="1645"/>
        <v>0</v>
      </c>
      <c r="AN457" s="160">
        <f t="shared" si="1645"/>
        <v>0</v>
      </c>
      <c r="AO457" s="160">
        <f t="shared" si="1645"/>
        <v>0</v>
      </c>
      <c r="AP457" s="160">
        <f t="shared" si="1645"/>
        <v>0</v>
      </c>
      <c r="AQ457" s="160">
        <f t="shared" si="1646"/>
        <v>0</v>
      </c>
      <c r="AR457" s="160">
        <f t="shared" si="1646"/>
        <v>0</v>
      </c>
      <c r="AS457" s="160">
        <f t="shared" si="1646"/>
        <v>0</v>
      </c>
      <c r="AT457" s="160">
        <f t="shared" si="1646"/>
        <v>0</v>
      </c>
      <c r="AU457" s="160">
        <f t="shared" si="1646"/>
        <v>0</v>
      </c>
      <c r="AV457" s="160">
        <f t="shared" si="1646"/>
        <v>0</v>
      </c>
      <c r="AW457" s="160">
        <f t="shared" si="1646"/>
        <v>0</v>
      </c>
      <c r="AX457" s="160">
        <f t="shared" si="1646"/>
        <v>0</v>
      </c>
      <c r="AY457" s="160">
        <f t="shared" si="1646"/>
        <v>0</v>
      </c>
      <c r="AZ457" s="160">
        <f t="shared" si="1646"/>
        <v>0</v>
      </c>
      <c r="BA457" s="160">
        <f t="shared" si="1646"/>
        <v>0</v>
      </c>
      <c r="BB457" s="160">
        <f t="shared" si="1646"/>
        <v>0</v>
      </c>
      <c r="BC457" s="160">
        <f t="shared" si="1646"/>
        <v>0</v>
      </c>
      <c r="BD457" s="160">
        <f t="shared" si="1646"/>
        <v>0</v>
      </c>
      <c r="BE457" s="160">
        <f t="shared" si="1646"/>
        <v>0</v>
      </c>
      <c r="BF457" s="160">
        <f t="shared" si="1646"/>
        <v>0</v>
      </c>
      <c r="BG457" s="160">
        <f t="shared" si="1647"/>
        <v>0</v>
      </c>
      <c r="BH457" s="160">
        <f t="shared" si="1647"/>
        <v>0</v>
      </c>
      <c r="BI457" s="160">
        <f t="shared" si="1647"/>
        <v>0</v>
      </c>
      <c r="BJ457" s="160">
        <f t="shared" si="1647"/>
        <v>0</v>
      </c>
      <c r="BK457" s="160">
        <f t="shared" si="1647"/>
        <v>0</v>
      </c>
      <c r="BL457" s="160">
        <f t="shared" si="1647"/>
        <v>0</v>
      </c>
      <c r="BM457" s="160">
        <f t="shared" si="1647"/>
        <v>0</v>
      </c>
      <c r="BN457" s="160">
        <f t="shared" si="1647"/>
        <v>0</v>
      </c>
      <c r="BO457" s="160">
        <f t="shared" si="1647"/>
        <v>0</v>
      </c>
      <c r="BP457" s="160">
        <f t="shared" si="1647"/>
        <v>0</v>
      </c>
      <c r="BQ457" s="160">
        <f t="shared" si="1647"/>
        <v>0</v>
      </c>
      <c r="BR457" s="160">
        <f t="shared" si="1647"/>
        <v>0</v>
      </c>
      <c r="BS457" s="65"/>
      <c r="BT457" s="160">
        <f t="shared" si="1648"/>
        <v>0</v>
      </c>
      <c r="BU457" s="160">
        <f t="shared" si="1649"/>
        <v>0</v>
      </c>
      <c r="BV457" s="65"/>
      <c r="BW457" s="69"/>
      <c r="BX457" s="65"/>
      <c r="BY457" s="137">
        <f t="shared" si="1650"/>
        <v>1</v>
      </c>
      <c r="BZ457" s="137">
        <f>IF(BY457&gt;0,BY457+LARGE($BZ$213:BZ456,1),0)</f>
        <v>205</v>
      </c>
      <c r="CA457" s="137" t="str">
        <f t="shared" si="1651"/>
        <v>ENG/ARQ PL.</v>
      </c>
      <c r="CB457" s="161">
        <f t="shared" si="1652"/>
        <v>0</v>
      </c>
      <c r="CC457" s="161">
        <f t="shared" si="1653"/>
        <v>0</v>
      </c>
      <c r="CD457" s="161">
        <f t="shared" si="1654"/>
        <v>0</v>
      </c>
      <c r="CE457" s="161">
        <f t="shared" si="1655"/>
        <v>0</v>
      </c>
      <c r="CF457" s="161">
        <f t="shared" si="1656"/>
        <v>0</v>
      </c>
      <c r="CG457" s="161">
        <f t="shared" si="1657"/>
        <v>0</v>
      </c>
      <c r="CH457" s="161">
        <f t="shared" si="1658"/>
        <v>0</v>
      </c>
      <c r="CI457" s="161">
        <f t="shared" si="1659"/>
        <v>0</v>
      </c>
      <c r="CJ457" s="161">
        <f t="shared" si="1660"/>
        <v>0</v>
      </c>
      <c r="CK457" s="161">
        <f t="shared" si="1661"/>
        <v>0</v>
      </c>
      <c r="CL457" s="161">
        <f t="shared" si="1662"/>
        <v>0</v>
      </c>
      <c r="CM457" s="161">
        <f t="shared" si="1663"/>
        <v>0</v>
      </c>
      <c r="CN457" s="161">
        <f t="shared" si="1664"/>
        <v>0</v>
      </c>
      <c r="CO457" s="161">
        <f t="shared" si="1665"/>
        <v>0</v>
      </c>
      <c r="CP457" s="161">
        <f t="shared" si="1666"/>
        <v>0</v>
      </c>
      <c r="CQ457" s="161">
        <f t="shared" si="1667"/>
        <v>0</v>
      </c>
      <c r="CR457" s="161">
        <f t="shared" si="1668"/>
        <v>0</v>
      </c>
      <c r="CS457" s="161">
        <f t="shared" si="1669"/>
        <v>0</v>
      </c>
      <c r="CT457" s="161">
        <f t="shared" si="1670"/>
        <v>0</v>
      </c>
      <c r="CU457" s="161">
        <f t="shared" si="1671"/>
        <v>0</v>
      </c>
      <c r="CV457" s="161">
        <f t="shared" si="1672"/>
        <v>0</v>
      </c>
      <c r="CW457" s="161">
        <f t="shared" si="1673"/>
        <v>0</v>
      </c>
      <c r="CX457" s="161">
        <f t="shared" si="1674"/>
        <v>0</v>
      </c>
      <c r="CY457" s="161">
        <f t="shared" si="1675"/>
        <v>0</v>
      </c>
      <c r="CZ457" s="161">
        <f t="shared" si="1676"/>
        <v>0</v>
      </c>
      <c r="DA457" s="161">
        <f t="shared" si="1677"/>
        <v>0</v>
      </c>
      <c r="DB457" s="161">
        <f t="shared" si="1678"/>
        <v>0</v>
      </c>
      <c r="DC457" s="161">
        <f t="shared" si="1679"/>
        <v>0</v>
      </c>
      <c r="DD457" s="161">
        <f t="shared" si="1680"/>
        <v>0</v>
      </c>
      <c r="DE457" s="161">
        <f t="shared" si="1681"/>
        <v>0</v>
      </c>
      <c r="DF457" s="161">
        <f t="shared" si="1682"/>
        <v>0</v>
      </c>
      <c r="DG457" s="161">
        <f t="shared" si="1683"/>
        <v>0</v>
      </c>
      <c r="DH457" s="161">
        <f t="shared" si="1684"/>
        <v>0</v>
      </c>
      <c r="DI457" s="161">
        <f t="shared" si="1685"/>
        <v>0</v>
      </c>
      <c r="DJ457" s="161">
        <f t="shared" si="1686"/>
        <v>0</v>
      </c>
      <c r="DK457" s="161">
        <f t="shared" si="1687"/>
        <v>0</v>
      </c>
      <c r="DL457" s="161">
        <f t="shared" si="1688"/>
        <v>0</v>
      </c>
      <c r="DM457" s="161">
        <f t="shared" si="1689"/>
        <v>0</v>
      </c>
      <c r="DN457" s="161">
        <f t="shared" si="1690"/>
        <v>0</v>
      </c>
      <c r="DO457" s="161">
        <f t="shared" si="1691"/>
        <v>0</v>
      </c>
      <c r="DP457" s="161">
        <f t="shared" si="1692"/>
        <v>0</v>
      </c>
      <c r="DQ457" s="161">
        <f t="shared" si="1693"/>
        <v>0</v>
      </c>
      <c r="DR457" s="161">
        <f t="shared" si="1694"/>
        <v>0</v>
      </c>
      <c r="DS457" s="161">
        <f t="shared" si="1695"/>
        <v>0</v>
      </c>
      <c r="DT457" s="161">
        <f t="shared" si="1696"/>
        <v>0</v>
      </c>
      <c r="DU457" s="161">
        <f t="shared" si="1697"/>
        <v>0</v>
      </c>
      <c r="DV457" s="161">
        <f t="shared" si="1698"/>
        <v>0</v>
      </c>
      <c r="DW457" s="161">
        <f t="shared" si="1699"/>
        <v>0</v>
      </c>
      <c r="DX457" s="161">
        <f t="shared" si="1700"/>
        <v>0</v>
      </c>
      <c r="DY457" s="161">
        <f t="shared" si="1701"/>
        <v>0</v>
      </c>
      <c r="DZ457" s="161">
        <f t="shared" si="1702"/>
        <v>0</v>
      </c>
      <c r="EA457" s="161">
        <f t="shared" si="1703"/>
        <v>0</v>
      </c>
      <c r="EB457" s="161">
        <f t="shared" si="1704"/>
        <v>0</v>
      </c>
      <c r="EC457" s="161">
        <f t="shared" si="1705"/>
        <v>0</v>
      </c>
      <c r="ED457" s="161">
        <f t="shared" si="1706"/>
        <v>0</v>
      </c>
      <c r="EE457" s="161">
        <f t="shared" si="1707"/>
        <v>0</v>
      </c>
      <c r="EF457" s="161">
        <f t="shared" si="1708"/>
        <v>0</v>
      </c>
      <c r="EG457" s="161">
        <f t="shared" si="1709"/>
        <v>0</v>
      </c>
      <c r="EH457" s="161">
        <f t="shared" si="1710"/>
        <v>0</v>
      </c>
      <c r="EI457" s="161">
        <f t="shared" si="1711"/>
        <v>0</v>
      </c>
      <c r="EJ457" s="65"/>
      <c r="EK457" s="161">
        <f t="shared" si="1712"/>
        <v>0</v>
      </c>
      <c r="EL457" s="161">
        <f t="shared" si="1713"/>
        <v>0</v>
      </c>
      <c r="EM457" s="161">
        <f t="shared" si="1714"/>
        <v>0</v>
      </c>
    </row>
    <row r="458" spans="1:143" ht="12" hidden="1" customHeight="1" outlineLevel="2">
      <c r="A458" s="77">
        <v>6</v>
      </c>
      <c r="B458" s="137" t="str">
        <f t="shared" si="1642"/>
        <v>ENG/ARQ JR. - Equipe_01</v>
      </c>
      <c r="C458" s="65"/>
      <c r="D458" s="621"/>
      <c r="E458" s="65"/>
      <c r="F458" s="584"/>
      <c r="G458" s="77" t="str">
        <f>IF(INDEX(Tarefas!$BT$30:$FK$30,MATCH(A458,Tarefas!$BT$28:$FK$28,0))=0,"",INDEX(Tarefas!$BT$30:$FK$30,MATCH(A458,Tarefas!$BT$28:$FK$28,0)))</f>
        <v>ENG/ARQ JR.</v>
      </c>
      <c r="H458" s="107" cm="1">
        <f t="array" ref="H458">IFERROR((SUMPRODUCT((Tarefas!$N$32:$N$54='Cronog. e Histog.'!$F$453)*(Tarefas!$BQ$30:$FK$30='Cronog. e Histog.'!$G458)*(Tarefas!$BQ$32:$FK$54)))/SUMIF(Tarefas!$N$32:$N$54,'Cronog. e Histog.'!$F$453,Tarefas!$K$32:$K$54),0)</f>
        <v>0</v>
      </c>
      <c r="I458" s="79">
        <f t="shared" si="1643"/>
        <v>0</v>
      </c>
      <c r="J458" s="65"/>
      <c r="K458" s="160">
        <f t="shared" si="1644"/>
        <v>0</v>
      </c>
      <c r="L458" s="160">
        <f t="shared" si="1644"/>
        <v>0</v>
      </c>
      <c r="M458" s="160">
        <f t="shared" si="1644"/>
        <v>0</v>
      </c>
      <c r="N458" s="160">
        <f t="shared" si="1644"/>
        <v>0</v>
      </c>
      <c r="O458" s="160">
        <f t="shared" si="1644"/>
        <v>0</v>
      </c>
      <c r="P458" s="160">
        <f t="shared" si="1644"/>
        <v>0</v>
      </c>
      <c r="Q458" s="160">
        <f t="shared" si="1644"/>
        <v>0</v>
      </c>
      <c r="R458" s="160">
        <f t="shared" si="1644"/>
        <v>0</v>
      </c>
      <c r="S458" s="160">
        <f t="shared" si="1644"/>
        <v>0</v>
      </c>
      <c r="T458" s="160">
        <f t="shared" si="1644"/>
        <v>0</v>
      </c>
      <c r="U458" s="160">
        <f t="shared" si="1644"/>
        <v>0</v>
      </c>
      <c r="V458" s="160">
        <f t="shared" si="1644"/>
        <v>0</v>
      </c>
      <c r="W458" s="160">
        <f t="shared" si="1644"/>
        <v>0</v>
      </c>
      <c r="X458" s="160">
        <f t="shared" si="1644"/>
        <v>0</v>
      </c>
      <c r="Y458" s="160">
        <f t="shared" si="1644"/>
        <v>0</v>
      </c>
      <c r="Z458" s="160">
        <f t="shared" si="1644"/>
        <v>0</v>
      </c>
      <c r="AA458" s="160">
        <f t="shared" si="1645"/>
        <v>0</v>
      </c>
      <c r="AB458" s="160">
        <f t="shared" si="1645"/>
        <v>0</v>
      </c>
      <c r="AC458" s="160">
        <f t="shared" si="1645"/>
        <v>0</v>
      </c>
      <c r="AD458" s="160">
        <f t="shared" si="1645"/>
        <v>0</v>
      </c>
      <c r="AE458" s="160">
        <f t="shared" si="1645"/>
        <v>0</v>
      </c>
      <c r="AF458" s="160">
        <f t="shared" si="1645"/>
        <v>0</v>
      </c>
      <c r="AG458" s="160">
        <f t="shared" si="1645"/>
        <v>0</v>
      </c>
      <c r="AH458" s="160">
        <f t="shared" si="1645"/>
        <v>0</v>
      </c>
      <c r="AI458" s="160">
        <f t="shared" si="1645"/>
        <v>0</v>
      </c>
      <c r="AJ458" s="160">
        <f t="shared" si="1645"/>
        <v>0</v>
      </c>
      <c r="AK458" s="160">
        <f t="shared" si="1645"/>
        <v>0</v>
      </c>
      <c r="AL458" s="160">
        <f t="shared" si="1645"/>
        <v>0</v>
      </c>
      <c r="AM458" s="160">
        <f t="shared" si="1645"/>
        <v>0</v>
      </c>
      <c r="AN458" s="160">
        <f t="shared" si="1645"/>
        <v>0</v>
      </c>
      <c r="AO458" s="160">
        <f t="shared" si="1645"/>
        <v>0</v>
      </c>
      <c r="AP458" s="160">
        <f t="shared" si="1645"/>
        <v>0</v>
      </c>
      <c r="AQ458" s="160">
        <f t="shared" si="1646"/>
        <v>0</v>
      </c>
      <c r="AR458" s="160">
        <f t="shared" si="1646"/>
        <v>0</v>
      </c>
      <c r="AS458" s="160">
        <f t="shared" si="1646"/>
        <v>0</v>
      </c>
      <c r="AT458" s="160">
        <f t="shared" si="1646"/>
        <v>0</v>
      </c>
      <c r="AU458" s="160">
        <f t="shared" si="1646"/>
        <v>0</v>
      </c>
      <c r="AV458" s="160">
        <f t="shared" si="1646"/>
        <v>0</v>
      </c>
      <c r="AW458" s="160">
        <f t="shared" si="1646"/>
        <v>0</v>
      </c>
      <c r="AX458" s="160">
        <f t="shared" si="1646"/>
        <v>0</v>
      </c>
      <c r="AY458" s="160">
        <f t="shared" si="1646"/>
        <v>0</v>
      </c>
      <c r="AZ458" s="160">
        <f t="shared" si="1646"/>
        <v>0</v>
      </c>
      <c r="BA458" s="160">
        <f t="shared" si="1646"/>
        <v>0</v>
      </c>
      <c r="BB458" s="160">
        <f t="shared" si="1646"/>
        <v>0</v>
      </c>
      <c r="BC458" s="160">
        <f t="shared" si="1646"/>
        <v>0</v>
      </c>
      <c r="BD458" s="160">
        <f t="shared" si="1646"/>
        <v>0</v>
      </c>
      <c r="BE458" s="160">
        <f t="shared" si="1646"/>
        <v>0</v>
      </c>
      <c r="BF458" s="160">
        <f t="shared" si="1646"/>
        <v>0</v>
      </c>
      <c r="BG458" s="160">
        <f t="shared" si="1647"/>
        <v>0</v>
      </c>
      <c r="BH458" s="160">
        <f t="shared" si="1647"/>
        <v>0</v>
      </c>
      <c r="BI458" s="160">
        <f t="shared" si="1647"/>
        <v>0</v>
      </c>
      <c r="BJ458" s="160">
        <f t="shared" si="1647"/>
        <v>0</v>
      </c>
      <c r="BK458" s="160">
        <f t="shared" si="1647"/>
        <v>0</v>
      </c>
      <c r="BL458" s="160">
        <f t="shared" si="1647"/>
        <v>0</v>
      </c>
      <c r="BM458" s="160">
        <f t="shared" si="1647"/>
        <v>0</v>
      </c>
      <c r="BN458" s="160">
        <f t="shared" si="1647"/>
        <v>0</v>
      </c>
      <c r="BO458" s="160">
        <f t="shared" si="1647"/>
        <v>0</v>
      </c>
      <c r="BP458" s="160">
        <f t="shared" si="1647"/>
        <v>0</v>
      </c>
      <c r="BQ458" s="160">
        <f t="shared" si="1647"/>
        <v>0</v>
      </c>
      <c r="BR458" s="160">
        <f t="shared" si="1647"/>
        <v>0</v>
      </c>
      <c r="BS458" s="65"/>
      <c r="BT458" s="160">
        <f t="shared" si="1648"/>
        <v>0</v>
      </c>
      <c r="BU458" s="160">
        <f t="shared" si="1649"/>
        <v>0</v>
      </c>
      <c r="BV458" s="65"/>
      <c r="BW458" s="69"/>
      <c r="BX458" s="65"/>
      <c r="BY458" s="137">
        <f t="shared" si="1650"/>
        <v>1</v>
      </c>
      <c r="BZ458" s="137">
        <f>IF(BY458&gt;0,BY458+LARGE($BZ$213:BZ457,1),0)</f>
        <v>206</v>
      </c>
      <c r="CA458" s="137" t="str">
        <f t="shared" si="1651"/>
        <v>ENG/ARQ JR.</v>
      </c>
      <c r="CB458" s="161">
        <f t="shared" si="1652"/>
        <v>0</v>
      </c>
      <c r="CC458" s="161">
        <f t="shared" si="1653"/>
        <v>0</v>
      </c>
      <c r="CD458" s="161">
        <f t="shared" si="1654"/>
        <v>0</v>
      </c>
      <c r="CE458" s="161">
        <f t="shared" si="1655"/>
        <v>0</v>
      </c>
      <c r="CF458" s="161">
        <f t="shared" si="1656"/>
        <v>0</v>
      </c>
      <c r="CG458" s="161">
        <f t="shared" si="1657"/>
        <v>0</v>
      </c>
      <c r="CH458" s="161">
        <f t="shared" si="1658"/>
        <v>0</v>
      </c>
      <c r="CI458" s="161">
        <f t="shared" si="1659"/>
        <v>0</v>
      </c>
      <c r="CJ458" s="161">
        <f t="shared" si="1660"/>
        <v>0</v>
      </c>
      <c r="CK458" s="161">
        <f t="shared" si="1661"/>
        <v>0</v>
      </c>
      <c r="CL458" s="161">
        <f t="shared" si="1662"/>
        <v>0</v>
      </c>
      <c r="CM458" s="161">
        <f t="shared" si="1663"/>
        <v>0</v>
      </c>
      <c r="CN458" s="161">
        <f t="shared" si="1664"/>
        <v>0</v>
      </c>
      <c r="CO458" s="161">
        <f t="shared" si="1665"/>
        <v>0</v>
      </c>
      <c r="CP458" s="161">
        <f t="shared" si="1666"/>
        <v>0</v>
      </c>
      <c r="CQ458" s="161">
        <f t="shared" si="1667"/>
        <v>0</v>
      </c>
      <c r="CR458" s="161">
        <f t="shared" si="1668"/>
        <v>0</v>
      </c>
      <c r="CS458" s="161">
        <f t="shared" si="1669"/>
        <v>0</v>
      </c>
      <c r="CT458" s="161">
        <f t="shared" si="1670"/>
        <v>0</v>
      </c>
      <c r="CU458" s="161">
        <f t="shared" si="1671"/>
        <v>0</v>
      </c>
      <c r="CV458" s="161">
        <f t="shared" si="1672"/>
        <v>0</v>
      </c>
      <c r="CW458" s="161">
        <f t="shared" si="1673"/>
        <v>0</v>
      </c>
      <c r="CX458" s="161">
        <f t="shared" si="1674"/>
        <v>0</v>
      </c>
      <c r="CY458" s="161">
        <f t="shared" si="1675"/>
        <v>0</v>
      </c>
      <c r="CZ458" s="161">
        <f t="shared" si="1676"/>
        <v>0</v>
      </c>
      <c r="DA458" s="161">
        <f t="shared" si="1677"/>
        <v>0</v>
      </c>
      <c r="DB458" s="161">
        <f t="shared" si="1678"/>
        <v>0</v>
      </c>
      <c r="DC458" s="161">
        <f t="shared" si="1679"/>
        <v>0</v>
      </c>
      <c r="DD458" s="161">
        <f t="shared" si="1680"/>
        <v>0</v>
      </c>
      <c r="DE458" s="161">
        <f t="shared" si="1681"/>
        <v>0</v>
      </c>
      <c r="DF458" s="161">
        <f t="shared" si="1682"/>
        <v>0</v>
      </c>
      <c r="DG458" s="161">
        <f t="shared" si="1683"/>
        <v>0</v>
      </c>
      <c r="DH458" s="161">
        <f t="shared" si="1684"/>
        <v>0</v>
      </c>
      <c r="DI458" s="161">
        <f t="shared" si="1685"/>
        <v>0</v>
      </c>
      <c r="DJ458" s="161">
        <f t="shared" si="1686"/>
        <v>0</v>
      </c>
      <c r="DK458" s="161">
        <f t="shared" si="1687"/>
        <v>0</v>
      </c>
      <c r="DL458" s="161">
        <f t="shared" si="1688"/>
        <v>0</v>
      </c>
      <c r="DM458" s="161">
        <f t="shared" si="1689"/>
        <v>0</v>
      </c>
      <c r="DN458" s="161">
        <f t="shared" si="1690"/>
        <v>0</v>
      </c>
      <c r="DO458" s="161">
        <f t="shared" si="1691"/>
        <v>0</v>
      </c>
      <c r="DP458" s="161">
        <f t="shared" si="1692"/>
        <v>0</v>
      </c>
      <c r="DQ458" s="161">
        <f t="shared" si="1693"/>
        <v>0</v>
      </c>
      <c r="DR458" s="161">
        <f t="shared" si="1694"/>
        <v>0</v>
      </c>
      <c r="DS458" s="161">
        <f t="shared" si="1695"/>
        <v>0</v>
      </c>
      <c r="DT458" s="161">
        <f t="shared" si="1696"/>
        <v>0</v>
      </c>
      <c r="DU458" s="161">
        <f t="shared" si="1697"/>
        <v>0</v>
      </c>
      <c r="DV458" s="161">
        <f t="shared" si="1698"/>
        <v>0</v>
      </c>
      <c r="DW458" s="161">
        <f t="shared" si="1699"/>
        <v>0</v>
      </c>
      <c r="DX458" s="161">
        <f t="shared" si="1700"/>
        <v>0</v>
      </c>
      <c r="DY458" s="161">
        <f t="shared" si="1701"/>
        <v>0</v>
      </c>
      <c r="DZ458" s="161">
        <f t="shared" si="1702"/>
        <v>0</v>
      </c>
      <c r="EA458" s="161">
        <f t="shared" si="1703"/>
        <v>0</v>
      </c>
      <c r="EB458" s="161">
        <f t="shared" si="1704"/>
        <v>0</v>
      </c>
      <c r="EC458" s="161">
        <f t="shared" si="1705"/>
        <v>0</v>
      </c>
      <c r="ED458" s="161">
        <f t="shared" si="1706"/>
        <v>0</v>
      </c>
      <c r="EE458" s="161">
        <f t="shared" si="1707"/>
        <v>0</v>
      </c>
      <c r="EF458" s="161">
        <f t="shared" si="1708"/>
        <v>0</v>
      </c>
      <c r="EG458" s="161">
        <f t="shared" si="1709"/>
        <v>0</v>
      </c>
      <c r="EH458" s="161">
        <f t="shared" si="1710"/>
        <v>0</v>
      </c>
      <c r="EI458" s="161">
        <f t="shared" si="1711"/>
        <v>0</v>
      </c>
      <c r="EJ458" s="65"/>
      <c r="EK458" s="161">
        <f t="shared" si="1712"/>
        <v>0</v>
      </c>
      <c r="EL458" s="161">
        <f t="shared" si="1713"/>
        <v>0</v>
      </c>
      <c r="EM458" s="161">
        <f t="shared" si="1714"/>
        <v>0</v>
      </c>
    </row>
    <row r="459" spans="1:143" ht="12" hidden="1" customHeight="1" outlineLevel="2">
      <c r="A459" s="77">
        <v>7</v>
      </c>
      <c r="B459" s="137" t="str">
        <f t="shared" si="1642"/>
        <v>AN SR. ENG/ARQ - Equipe_01</v>
      </c>
      <c r="C459" s="65"/>
      <c r="D459" s="621"/>
      <c r="E459" s="65"/>
      <c r="F459" s="584"/>
      <c r="G459" s="77" t="str">
        <f>IF(INDEX(Tarefas!$BT$30:$FK$30,MATCH(A459,Tarefas!$BT$28:$FK$28,0))=0,"",INDEX(Tarefas!$BT$30:$FK$30,MATCH(A459,Tarefas!$BT$28:$FK$28,0)))</f>
        <v>AN SR. ENG/ARQ</v>
      </c>
      <c r="H459" s="107" cm="1">
        <f t="array" ref="H459">IFERROR((SUMPRODUCT((Tarefas!$N$32:$N$54='Cronog. e Histog.'!$F$453)*(Tarefas!$BQ$30:$FK$30='Cronog. e Histog.'!$G459)*(Tarefas!$BQ$32:$FK$54)))/SUMIF(Tarefas!$N$32:$N$54,'Cronog. e Histog.'!$F$453,Tarefas!$K$32:$K$54),0)</f>
        <v>0</v>
      </c>
      <c r="I459" s="79">
        <f t="shared" si="1643"/>
        <v>0</v>
      </c>
      <c r="J459" s="65"/>
      <c r="K459" s="160">
        <f t="shared" si="1644"/>
        <v>0</v>
      </c>
      <c r="L459" s="160">
        <f t="shared" si="1644"/>
        <v>0</v>
      </c>
      <c r="M459" s="160">
        <f t="shared" si="1644"/>
        <v>0</v>
      </c>
      <c r="N459" s="160">
        <f t="shared" si="1644"/>
        <v>0</v>
      </c>
      <c r="O459" s="160">
        <f t="shared" si="1644"/>
        <v>0</v>
      </c>
      <c r="P459" s="160">
        <f t="shared" si="1644"/>
        <v>0</v>
      </c>
      <c r="Q459" s="160">
        <f t="shared" si="1644"/>
        <v>0</v>
      </c>
      <c r="R459" s="160">
        <f t="shared" si="1644"/>
        <v>0</v>
      </c>
      <c r="S459" s="160">
        <f t="shared" si="1644"/>
        <v>0</v>
      </c>
      <c r="T459" s="160">
        <f t="shared" si="1644"/>
        <v>0</v>
      </c>
      <c r="U459" s="160">
        <f t="shared" si="1644"/>
        <v>0</v>
      </c>
      <c r="V459" s="160">
        <f t="shared" si="1644"/>
        <v>0</v>
      </c>
      <c r="W459" s="160">
        <f t="shared" si="1644"/>
        <v>0</v>
      </c>
      <c r="X459" s="160">
        <f t="shared" si="1644"/>
        <v>0</v>
      </c>
      <c r="Y459" s="160">
        <f t="shared" si="1644"/>
        <v>0</v>
      </c>
      <c r="Z459" s="160">
        <f t="shared" si="1644"/>
        <v>0</v>
      </c>
      <c r="AA459" s="160">
        <f t="shared" si="1645"/>
        <v>0</v>
      </c>
      <c r="AB459" s="160">
        <f t="shared" si="1645"/>
        <v>0</v>
      </c>
      <c r="AC459" s="160">
        <f t="shared" si="1645"/>
        <v>0</v>
      </c>
      <c r="AD459" s="160">
        <f t="shared" si="1645"/>
        <v>0</v>
      </c>
      <c r="AE459" s="160">
        <f t="shared" si="1645"/>
        <v>0</v>
      </c>
      <c r="AF459" s="160">
        <f t="shared" si="1645"/>
        <v>0</v>
      </c>
      <c r="AG459" s="160">
        <f t="shared" si="1645"/>
        <v>0</v>
      </c>
      <c r="AH459" s="160">
        <f t="shared" si="1645"/>
        <v>0</v>
      </c>
      <c r="AI459" s="160">
        <f t="shared" si="1645"/>
        <v>0</v>
      </c>
      <c r="AJ459" s="160">
        <f t="shared" si="1645"/>
        <v>0</v>
      </c>
      <c r="AK459" s="160">
        <f t="shared" si="1645"/>
        <v>0</v>
      </c>
      <c r="AL459" s="160">
        <f t="shared" si="1645"/>
        <v>0</v>
      </c>
      <c r="AM459" s="160">
        <f t="shared" si="1645"/>
        <v>0</v>
      </c>
      <c r="AN459" s="160">
        <f t="shared" si="1645"/>
        <v>0</v>
      </c>
      <c r="AO459" s="160">
        <f t="shared" si="1645"/>
        <v>0</v>
      </c>
      <c r="AP459" s="160">
        <f t="shared" si="1645"/>
        <v>0</v>
      </c>
      <c r="AQ459" s="160">
        <f t="shared" si="1646"/>
        <v>0</v>
      </c>
      <c r="AR459" s="160">
        <f t="shared" si="1646"/>
        <v>0</v>
      </c>
      <c r="AS459" s="160">
        <f t="shared" si="1646"/>
        <v>0</v>
      </c>
      <c r="AT459" s="160">
        <f t="shared" si="1646"/>
        <v>0</v>
      </c>
      <c r="AU459" s="160">
        <f t="shared" si="1646"/>
        <v>0</v>
      </c>
      <c r="AV459" s="160">
        <f t="shared" si="1646"/>
        <v>0</v>
      </c>
      <c r="AW459" s="160">
        <f t="shared" si="1646"/>
        <v>0</v>
      </c>
      <c r="AX459" s="160">
        <f t="shared" si="1646"/>
        <v>0</v>
      </c>
      <c r="AY459" s="160">
        <f t="shared" si="1646"/>
        <v>0</v>
      </c>
      <c r="AZ459" s="160">
        <f t="shared" si="1646"/>
        <v>0</v>
      </c>
      <c r="BA459" s="160">
        <f t="shared" si="1646"/>
        <v>0</v>
      </c>
      <c r="BB459" s="160">
        <f t="shared" si="1646"/>
        <v>0</v>
      </c>
      <c r="BC459" s="160">
        <f t="shared" si="1646"/>
        <v>0</v>
      </c>
      <c r="BD459" s="160">
        <f t="shared" si="1646"/>
        <v>0</v>
      </c>
      <c r="BE459" s="160">
        <f t="shared" si="1646"/>
        <v>0</v>
      </c>
      <c r="BF459" s="160">
        <f t="shared" si="1646"/>
        <v>0</v>
      </c>
      <c r="BG459" s="160">
        <f t="shared" si="1647"/>
        <v>0</v>
      </c>
      <c r="BH459" s="160">
        <f t="shared" si="1647"/>
        <v>0</v>
      </c>
      <c r="BI459" s="160">
        <f t="shared" si="1647"/>
        <v>0</v>
      </c>
      <c r="BJ459" s="160">
        <f t="shared" si="1647"/>
        <v>0</v>
      </c>
      <c r="BK459" s="160">
        <f t="shared" si="1647"/>
        <v>0</v>
      </c>
      <c r="BL459" s="160">
        <f t="shared" si="1647"/>
        <v>0</v>
      </c>
      <c r="BM459" s="160">
        <f t="shared" si="1647"/>
        <v>0</v>
      </c>
      <c r="BN459" s="160">
        <f t="shared" si="1647"/>
        <v>0</v>
      </c>
      <c r="BO459" s="160">
        <f t="shared" si="1647"/>
        <v>0</v>
      </c>
      <c r="BP459" s="160">
        <f t="shared" si="1647"/>
        <v>0</v>
      </c>
      <c r="BQ459" s="160">
        <f t="shared" si="1647"/>
        <v>0</v>
      </c>
      <c r="BR459" s="160">
        <f t="shared" si="1647"/>
        <v>0</v>
      </c>
      <c r="BS459" s="65"/>
      <c r="BT459" s="160">
        <f t="shared" si="1648"/>
        <v>0</v>
      </c>
      <c r="BU459" s="160">
        <f t="shared" si="1649"/>
        <v>0</v>
      </c>
      <c r="BV459" s="65"/>
      <c r="BW459" s="69"/>
      <c r="BX459" s="65"/>
      <c r="BY459" s="137">
        <f t="shared" si="1650"/>
        <v>1</v>
      </c>
      <c r="BZ459" s="137">
        <f>IF(BY459&gt;0,BY459+LARGE($BZ$213:BZ458,1),0)</f>
        <v>207</v>
      </c>
      <c r="CA459" s="137" t="str">
        <f t="shared" si="1651"/>
        <v>AN SR. ENG/ARQ</v>
      </c>
      <c r="CB459" s="161">
        <f t="shared" si="1652"/>
        <v>0</v>
      </c>
      <c r="CC459" s="161">
        <f t="shared" si="1653"/>
        <v>0</v>
      </c>
      <c r="CD459" s="161">
        <f t="shared" si="1654"/>
        <v>0</v>
      </c>
      <c r="CE459" s="161">
        <f t="shared" si="1655"/>
        <v>0</v>
      </c>
      <c r="CF459" s="161">
        <f t="shared" si="1656"/>
        <v>0</v>
      </c>
      <c r="CG459" s="161">
        <f t="shared" si="1657"/>
        <v>0</v>
      </c>
      <c r="CH459" s="161">
        <f t="shared" si="1658"/>
        <v>0</v>
      </c>
      <c r="CI459" s="161">
        <f t="shared" si="1659"/>
        <v>0</v>
      </c>
      <c r="CJ459" s="161">
        <f t="shared" si="1660"/>
        <v>0</v>
      </c>
      <c r="CK459" s="161">
        <f t="shared" si="1661"/>
        <v>0</v>
      </c>
      <c r="CL459" s="161">
        <f t="shared" si="1662"/>
        <v>0</v>
      </c>
      <c r="CM459" s="161">
        <f t="shared" si="1663"/>
        <v>0</v>
      </c>
      <c r="CN459" s="161">
        <f t="shared" si="1664"/>
        <v>0</v>
      </c>
      <c r="CO459" s="161">
        <f t="shared" si="1665"/>
        <v>0</v>
      </c>
      <c r="CP459" s="161">
        <f t="shared" si="1666"/>
        <v>0</v>
      </c>
      <c r="CQ459" s="161">
        <f t="shared" si="1667"/>
        <v>0</v>
      </c>
      <c r="CR459" s="161">
        <f t="shared" si="1668"/>
        <v>0</v>
      </c>
      <c r="CS459" s="161">
        <f t="shared" si="1669"/>
        <v>0</v>
      </c>
      <c r="CT459" s="161">
        <f t="shared" si="1670"/>
        <v>0</v>
      </c>
      <c r="CU459" s="161">
        <f t="shared" si="1671"/>
        <v>0</v>
      </c>
      <c r="CV459" s="161">
        <f t="shared" si="1672"/>
        <v>0</v>
      </c>
      <c r="CW459" s="161">
        <f t="shared" si="1673"/>
        <v>0</v>
      </c>
      <c r="CX459" s="161">
        <f t="shared" si="1674"/>
        <v>0</v>
      </c>
      <c r="CY459" s="161">
        <f t="shared" si="1675"/>
        <v>0</v>
      </c>
      <c r="CZ459" s="161">
        <f t="shared" si="1676"/>
        <v>0</v>
      </c>
      <c r="DA459" s="161">
        <f t="shared" si="1677"/>
        <v>0</v>
      </c>
      <c r="DB459" s="161">
        <f t="shared" si="1678"/>
        <v>0</v>
      </c>
      <c r="DC459" s="161">
        <f t="shared" si="1679"/>
        <v>0</v>
      </c>
      <c r="DD459" s="161">
        <f t="shared" si="1680"/>
        <v>0</v>
      </c>
      <c r="DE459" s="161">
        <f t="shared" si="1681"/>
        <v>0</v>
      </c>
      <c r="DF459" s="161">
        <f t="shared" si="1682"/>
        <v>0</v>
      </c>
      <c r="DG459" s="161">
        <f t="shared" si="1683"/>
        <v>0</v>
      </c>
      <c r="DH459" s="161">
        <f t="shared" si="1684"/>
        <v>0</v>
      </c>
      <c r="DI459" s="161">
        <f t="shared" si="1685"/>
        <v>0</v>
      </c>
      <c r="DJ459" s="161">
        <f t="shared" si="1686"/>
        <v>0</v>
      </c>
      <c r="DK459" s="161">
        <f t="shared" si="1687"/>
        <v>0</v>
      </c>
      <c r="DL459" s="161">
        <f t="shared" si="1688"/>
        <v>0</v>
      </c>
      <c r="DM459" s="161">
        <f t="shared" si="1689"/>
        <v>0</v>
      </c>
      <c r="DN459" s="161">
        <f t="shared" si="1690"/>
        <v>0</v>
      </c>
      <c r="DO459" s="161">
        <f t="shared" si="1691"/>
        <v>0</v>
      </c>
      <c r="DP459" s="161">
        <f t="shared" si="1692"/>
        <v>0</v>
      </c>
      <c r="DQ459" s="161">
        <f t="shared" si="1693"/>
        <v>0</v>
      </c>
      <c r="DR459" s="161">
        <f t="shared" si="1694"/>
        <v>0</v>
      </c>
      <c r="DS459" s="161">
        <f t="shared" si="1695"/>
        <v>0</v>
      </c>
      <c r="DT459" s="161">
        <f t="shared" si="1696"/>
        <v>0</v>
      </c>
      <c r="DU459" s="161">
        <f t="shared" si="1697"/>
        <v>0</v>
      </c>
      <c r="DV459" s="161">
        <f t="shared" si="1698"/>
        <v>0</v>
      </c>
      <c r="DW459" s="161">
        <f t="shared" si="1699"/>
        <v>0</v>
      </c>
      <c r="DX459" s="161">
        <f t="shared" si="1700"/>
        <v>0</v>
      </c>
      <c r="DY459" s="161">
        <f t="shared" si="1701"/>
        <v>0</v>
      </c>
      <c r="DZ459" s="161">
        <f t="shared" si="1702"/>
        <v>0</v>
      </c>
      <c r="EA459" s="161">
        <f t="shared" si="1703"/>
        <v>0</v>
      </c>
      <c r="EB459" s="161">
        <f t="shared" si="1704"/>
        <v>0</v>
      </c>
      <c r="EC459" s="161">
        <f t="shared" si="1705"/>
        <v>0</v>
      </c>
      <c r="ED459" s="161">
        <f t="shared" si="1706"/>
        <v>0</v>
      </c>
      <c r="EE459" s="161">
        <f t="shared" si="1707"/>
        <v>0</v>
      </c>
      <c r="EF459" s="161">
        <f t="shared" si="1708"/>
        <v>0</v>
      </c>
      <c r="EG459" s="161">
        <f t="shared" si="1709"/>
        <v>0</v>
      </c>
      <c r="EH459" s="161">
        <f t="shared" si="1710"/>
        <v>0</v>
      </c>
      <c r="EI459" s="161">
        <f t="shared" si="1711"/>
        <v>0</v>
      </c>
      <c r="EJ459" s="65"/>
      <c r="EK459" s="161">
        <f t="shared" si="1712"/>
        <v>0</v>
      </c>
      <c r="EL459" s="161">
        <f t="shared" si="1713"/>
        <v>0</v>
      </c>
      <c r="EM459" s="161">
        <f t="shared" si="1714"/>
        <v>0</v>
      </c>
    </row>
    <row r="460" spans="1:143" ht="12" hidden="1" customHeight="1" outlineLevel="2">
      <c r="A460" s="77">
        <v>8</v>
      </c>
      <c r="B460" s="137" t="str">
        <f t="shared" si="1642"/>
        <v>AN PL. ENG/ARQ - Equipe_01</v>
      </c>
      <c r="C460" s="65"/>
      <c r="D460" s="621"/>
      <c r="E460" s="65"/>
      <c r="F460" s="584"/>
      <c r="G460" s="77" t="str">
        <f>IF(INDEX(Tarefas!$BT$30:$FK$30,MATCH(A460,Tarefas!$BT$28:$FK$28,0))=0,"",INDEX(Tarefas!$BT$30:$FK$30,MATCH(A460,Tarefas!$BT$28:$FK$28,0)))</f>
        <v>AN PL. ENG/ARQ</v>
      </c>
      <c r="H460" s="107" cm="1">
        <f t="array" ref="H460">IFERROR((SUMPRODUCT((Tarefas!$N$32:$N$54='Cronog. e Histog.'!$F$453)*(Tarefas!$BQ$30:$FK$30='Cronog. e Histog.'!$G460)*(Tarefas!$BQ$32:$FK$54)))/SUMIF(Tarefas!$N$32:$N$54,'Cronog. e Histog.'!$F$453,Tarefas!$K$32:$K$54),0)</f>
        <v>0</v>
      </c>
      <c r="I460" s="79">
        <f t="shared" si="1643"/>
        <v>0</v>
      </c>
      <c r="J460" s="65"/>
      <c r="K460" s="160">
        <f t="shared" si="1644"/>
        <v>0</v>
      </c>
      <c r="L460" s="160">
        <f t="shared" si="1644"/>
        <v>0</v>
      </c>
      <c r="M460" s="160">
        <f t="shared" si="1644"/>
        <v>0</v>
      </c>
      <c r="N460" s="160">
        <f t="shared" si="1644"/>
        <v>0</v>
      </c>
      <c r="O460" s="160">
        <f t="shared" si="1644"/>
        <v>0</v>
      </c>
      <c r="P460" s="160">
        <f t="shared" si="1644"/>
        <v>0</v>
      </c>
      <c r="Q460" s="160">
        <f t="shared" si="1644"/>
        <v>0</v>
      </c>
      <c r="R460" s="160">
        <f t="shared" si="1644"/>
        <v>0</v>
      </c>
      <c r="S460" s="160">
        <f t="shared" si="1644"/>
        <v>0</v>
      </c>
      <c r="T460" s="160">
        <f t="shared" si="1644"/>
        <v>0</v>
      </c>
      <c r="U460" s="160">
        <f t="shared" si="1644"/>
        <v>0</v>
      </c>
      <c r="V460" s="160">
        <f t="shared" si="1644"/>
        <v>0</v>
      </c>
      <c r="W460" s="160">
        <f t="shared" si="1644"/>
        <v>0</v>
      </c>
      <c r="X460" s="160">
        <f t="shared" si="1644"/>
        <v>0</v>
      </c>
      <c r="Y460" s="160">
        <f t="shared" si="1644"/>
        <v>0</v>
      </c>
      <c r="Z460" s="160">
        <f t="shared" si="1644"/>
        <v>0</v>
      </c>
      <c r="AA460" s="160">
        <f t="shared" si="1645"/>
        <v>0</v>
      </c>
      <c r="AB460" s="160">
        <f t="shared" si="1645"/>
        <v>0</v>
      </c>
      <c r="AC460" s="160">
        <f t="shared" si="1645"/>
        <v>0</v>
      </c>
      <c r="AD460" s="160">
        <f t="shared" si="1645"/>
        <v>0</v>
      </c>
      <c r="AE460" s="160">
        <f t="shared" si="1645"/>
        <v>0</v>
      </c>
      <c r="AF460" s="160">
        <f t="shared" si="1645"/>
        <v>0</v>
      </c>
      <c r="AG460" s="160">
        <f t="shared" si="1645"/>
        <v>0</v>
      </c>
      <c r="AH460" s="160">
        <f t="shared" si="1645"/>
        <v>0</v>
      </c>
      <c r="AI460" s="160">
        <f t="shared" si="1645"/>
        <v>0</v>
      </c>
      <c r="AJ460" s="160">
        <f t="shared" si="1645"/>
        <v>0</v>
      </c>
      <c r="AK460" s="160">
        <f t="shared" si="1645"/>
        <v>0</v>
      </c>
      <c r="AL460" s="160">
        <f t="shared" si="1645"/>
        <v>0</v>
      </c>
      <c r="AM460" s="160">
        <f t="shared" si="1645"/>
        <v>0</v>
      </c>
      <c r="AN460" s="160">
        <f t="shared" si="1645"/>
        <v>0</v>
      </c>
      <c r="AO460" s="160">
        <f t="shared" si="1645"/>
        <v>0</v>
      </c>
      <c r="AP460" s="160">
        <f t="shared" si="1645"/>
        <v>0</v>
      </c>
      <c r="AQ460" s="160">
        <f t="shared" si="1646"/>
        <v>0</v>
      </c>
      <c r="AR460" s="160">
        <f t="shared" si="1646"/>
        <v>0</v>
      </c>
      <c r="AS460" s="160">
        <f t="shared" si="1646"/>
        <v>0</v>
      </c>
      <c r="AT460" s="160">
        <f t="shared" si="1646"/>
        <v>0</v>
      </c>
      <c r="AU460" s="160">
        <f t="shared" si="1646"/>
        <v>0</v>
      </c>
      <c r="AV460" s="160">
        <f t="shared" si="1646"/>
        <v>0</v>
      </c>
      <c r="AW460" s="160">
        <f t="shared" si="1646"/>
        <v>0</v>
      </c>
      <c r="AX460" s="160">
        <f t="shared" si="1646"/>
        <v>0</v>
      </c>
      <c r="AY460" s="160">
        <f t="shared" si="1646"/>
        <v>0</v>
      </c>
      <c r="AZ460" s="160">
        <f t="shared" si="1646"/>
        <v>0</v>
      </c>
      <c r="BA460" s="160">
        <f t="shared" si="1646"/>
        <v>0</v>
      </c>
      <c r="BB460" s="160">
        <f t="shared" si="1646"/>
        <v>0</v>
      </c>
      <c r="BC460" s="160">
        <f t="shared" si="1646"/>
        <v>0</v>
      </c>
      <c r="BD460" s="160">
        <f t="shared" si="1646"/>
        <v>0</v>
      </c>
      <c r="BE460" s="160">
        <f t="shared" si="1646"/>
        <v>0</v>
      </c>
      <c r="BF460" s="160">
        <f t="shared" si="1646"/>
        <v>0</v>
      </c>
      <c r="BG460" s="160">
        <f t="shared" si="1647"/>
        <v>0</v>
      </c>
      <c r="BH460" s="160">
        <f t="shared" si="1647"/>
        <v>0</v>
      </c>
      <c r="BI460" s="160">
        <f t="shared" si="1647"/>
        <v>0</v>
      </c>
      <c r="BJ460" s="160">
        <f t="shared" si="1647"/>
        <v>0</v>
      </c>
      <c r="BK460" s="160">
        <f t="shared" si="1647"/>
        <v>0</v>
      </c>
      <c r="BL460" s="160">
        <f t="shared" si="1647"/>
        <v>0</v>
      </c>
      <c r="BM460" s="160">
        <f t="shared" si="1647"/>
        <v>0</v>
      </c>
      <c r="BN460" s="160">
        <f t="shared" si="1647"/>
        <v>0</v>
      </c>
      <c r="BO460" s="160">
        <f t="shared" si="1647"/>
        <v>0</v>
      </c>
      <c r="BP460" s="160">
        <f t="shared" si="1647"/>
        <v>0</v>
      </c>
      <c r="BQ460" s="160">
        <f t="shared" si="1647"/>
        <v>0</v>
      </c>
      <c r="BR460" s="160">
        <f t="shared" si="1647"/>
        <v>0</v>
      </c>
      <c r="BS460" s="65"/>
      <c r="BT460" s="160">
        <f t="shared" si="1648"/>
        <v>0</v>
      </c>
      <c r="BU460" s="160">
        <f t="shared" si="1649"/>
        <v>0</v>
      </c>
      <c r="BV460" s="65"/>
      <c r="BW460" s="69"/>
      <c r="BX460" s="65"/>
      <c r="BY460" s="137">
        <f t="shared" si="1650"/>
        <v>1</v>
      </c>
      <c r="BZ460" s="137">
        <f>IF(BY460&gt;0,BY460+LARGE($BZ$213:BZ459,1),0)</f>
        <v>208</v>
      </c>
      <c r="CA460" s="137" t="str">
        <f t="shared" si="1651"/>
        <v>AN PL. ENG/ARQ</v>
      </c>
      <c r="CB460" s="161">
        <f t="shared" si="1652"/>
        <v>0</v>
      </c>
      <c r="CC460" s="161">
        <f t="shared" si="1653"/>
        <v>0</v>
      </c>
      <c r="CD460" s="161">
        <f t="shared" si="1654"/>
        <v>0</v>
      </c>
      <c r="CE460" s="161">
        <f t="shared" si="1655"/>
        <v>0</v>
      </c>
      <c r="CF460" s="161">
        <f t="shared" si="1656"/>
        <v>0</v>
      </c>
      <c r="CG460" s="161">
        <f t="shared" si="1657"/>
        <v>0</v>
      </c>
      <c r="CH460" s="161">
        <f t="shared" si="1658"/>
        <v>0</v>
      </c>
      <c r="CI460" s="161">
        <f t="shared" si="1659"/>
        <v>0</v>
      </c>
      <c r="CJ460" s="161">
        <f t="shared" si="1660"/>
        <v>0</v>
      </c>
      <c r="CK460" s="161">
        <f t="shared" si="1661"/>
        <v>0</v>
      </c>
      <c r="CL460" s="161">
        <f t="shared" si="1662"/>
        <v>0</v>
      </c>
      <c r="CM460" s="161">
        <f t="shared" si="1663"/>
        <v>0</v>
      </c>
      <c r="CN460" s="161">
        <f t="shared" si="1664"/>
        <v>0</v>
      </c>
      <c r="CO460" s="161">
        <f t="shared" si="1665"/>
        <v>0</v>
      </c>
      <c r="CP460" s="161">
        <f t="shared" si="1666"/>
        <v>0</v>
      </c>
      <c r="CQ460" s="161">
        <f t="shared" si="1667"/>
        <v>0</v>
      </c>
      <c r="CR460" s="161">
        <f t="shared" si="1668"/>
        <v>0</v>
      </c>
      <c r="CS460" s="161">
        <f t="shared" si="1669"/>
        <v>0</v>
      </c>
      <c r="CT460" s="161">
        <f t="shared" si="1670"/>
        <v>0</v>
      </c>
      <c r="CU460" s="161">
        <f t="shared" si="1671"/>
        <v>0</v>
      </c>
      <c r="CV460" s="161">
        <f t="shared" si="1672"/>
        <v>0</v>
      </c>
      <c r="CW460" s="161">
        <f t="shared" si="1673"/>
        <v>0</v>
      </c>
      <c r="CX460" s="161">
        <f t="shared" si="1674"/>
        <v>0</v>
      </c>
      <c r="CY460" s="161">
        <f t="shared" si="1675"/>
        <v>0</v>
      </c>
      <c r="CZ460" s="161">
        <f t="shared" si="1676"/>
        <v>0</v>
      </c>
      <c r="DA460" s="161">
        <f t="shared" si="1677"/>
        <v>0</v>
      </c>
      <c r="DB460" s="161">
        <f t="shared" si="1678"/>
        <v>0</v>
      </c>
      <c r="DC460" s="161">
        <f t="shared" si="1679"/>
        <v>0</v>
      </c>
      <c r="DD460" s="161">
        <f t="shared" si="1680"/>
        <v>0</v>
      </c>
      <c r="DE460" s="161">
        <f t="shared" si="1681"/>
        <v>0</v>
      </c>
      <c r="DF460" s="161">
        <f t="shared" si="1682"/>
        <v>0</v>
      </c>
      <c r="DG460" s="161">
        <f t="shared" si="1683"/>
        <v>0</v>
      </c>
      <c r="DH460" s="161">
        <f t="shared" si="1684"/>
        <v>0</v>
      </c>
      <c r="DI460" s="161">
        <f t="shared" si="1685"/>
        <v>0</v>
      </c>
      <c r="DJ460" s="161">
        <f t="shared" si="1686"/>
        <v>0</v>
      </c>
      <c r="DK460" s="161">
        <f t="shared" si="1687"/>
        <v>0</v>
      </c>
      <c r="DL460" s="161">
        <f t="shared" si="1688"/>
        <v>0</v>
      </c>
      <c r="DM460" s="161">
        <f t="shared" si="1689"/>
        <v>0</v>
      </c>
      <c r="DN460" s="161">
        <f t="shared" si="1690"/>
        <v>0</v>
      </c>
      <c r="DO460" s="161">
        <f t="shared" si="1691"/>
        <v>0</v>
      </c>
      <c r="DP460" s="161">
        <f t="shared" si="1692"/>
        <v>0</v>
      </c>
      <c r="DQ460" s="161">
        <f t="shared" si="1693"/>
        <v>0</v>
      </c>
      <c r="DR460" s="161">
        <f t="shared" si="1694"/>
        <v>0</v>
      </c>
      <c r="DS460" s="161">
        <f t="shared" si="1695"/>
        <v>0</v>
      </c>
      <c r="DT460" s="161">
        <f t="shared" si="1696"/>
        <v>0</v>
      </c>
      <c r="DU460" s="161">
        <f t="shared" si="1697"/>
        <v>0</v>
      </c>
      <c r="DV460" s="161">
        <f t="shared" si="1698"/>
        <v>0</v>
      </c>
      <c r="DW460" s="161">
        <f t="shared" si="1699"/>
        <v>0</v>
      </c>
      <c r="DX460" s="161">
        <f t="shared" si="1700"/>
        <v>0</v>
      </c>
      <c r="DY460" s="161">
        <f t="shared" si="1701"/>
        <v>0</v>
      </c>
      <c r="DZ460" s="161">
        <f t="shared" si="1702"/>
        <v>0</v>
      </c>
      <c r="EA460" s="161">
        <f t="shared" si="1703"/>
        <v>0</v>
      </c>
      <c r="EB460" s="161">
        <f t="shared" si="1704"/>
        <v>0</v>
      </c>
      <c r="EC460" s="161">
        <f t="shared" si="1705"/>
        <v>0</v>
      </c>
      <c r="ED460" s="161">
        <f t="shared" si="1706"/>
        <v>0</v>
      </c>
      <c r="EE460" s="161">
        <f t="shared" si="1707"/>
        <v>0</v>
      </c>
      <c r="EF460" s="161">
        <f t="shared" si="1708"/>
        <v>0</v>
      </c>
      <c r="EG460" s="161">
        <f t="shared" si="1709"/>
        <v>0</v>
      </c>
      <c r="EH460" s="161">
        <f t="shared" si="1710"/>
        <v>0</v>
      </c>
      <c r="EI460" s="161">
        <f t="shared" si="1711"/>
        <v>0</v>
      </c>
      <c r="EJ460" s="65"/>
      <c r="EK460" s="161">
        <f t="shared" si="1712"/>
        <v>0</v>
      </c>
      <c r="EL460" s="161">
        <f t="shared" si="1713"/>
        <v>0</v>
      </c>
      <c r="EM460" s="161">
        <f t="shared" si="1714"/>
        <v>0</v>
      </c>
    </row>
    <row r="461" spans="1:143" ht="12" hidden="1" customHeight="1" outlineLevel="2">
      <c r="A461" s="77">
        <v>9</v>
      </c>
      <c r="B461" s="137" t="str">
        <f t="shared" si="1642"/>
        <v>AN JR. ENG/ARQ - Equipe_01</v>
      </c>
      <c r="C461" s="65"/>
      <c r="D461" s="621"/>
      <c r="E461" s="65"/>
      <c r="F461" s="584"/>
      <c r="G461" s="77" t="str">
        <f>IF(INDEX(Tarefas!$BT$30:$FK$30,MATCH(A461,Tarefas!$BT$28:$FK$28,0))=0,"",INDEX(Tarefas!$BT$30:$FK$30,MATCH(A461,Tarefas!$BT$28:$FK$28,0)))</f>
        <v>AN JR. ENG/ARQ</v>
      </c>
      <c r="H461" s="107" cm="1">
        <f t="array" ref="H461">IFERROR((SUMPRODUCT((Tarefas!$N$32:$N$54='Cronog. e Histog.'!$F$453)*(Tarefas!$BQ$30:$FK$30='Cronog. e Histog.'!$G461)*(Tarefas!$BQ$32:$FK$54)))/SUMIF(Tarefas!$N$32:$N$54,'Cronog. e Histog.'!$F$453,Tarefas!$K$32:$K$54),0)</f>
        <v>0</v>
      </c>
      <c r="I461" s="79">
        <f t="shared" si="1643"/>
        <v>0</v>
      </c>
      <c r="J461" s="65"/>
      <c r="K461" s="160">
        <f t="shared" si="1644"/>
        <v>0</v>
      </c>
      <c r="L461" s="160">
        <f t="shared" si="1644"/>
        <v>0</v>
      </c>
      <c r="M461" s="160">
        <f t="shared" si="1644"/>
        <v>0</v>
      </c>
      <c r="N461" s="160">
        <f t="shared" si="1644"/>
        <v>0</v>
      </c>
      <c r="O461" s="160">
        <f t="shared" si="1644"/>
        <v>0</v>
      </c>
      <c r="P461" s="160">
        <f t="shared" si="1644"/>
        <v>0</v>
      </c>
      <c r="Q461" s="160">
        <f t="shared" si="1644"/>
        <v>0</v>
      </c>
      <c r="R461" s="160">
        <f t="shared" si="1644"/>
        <v>0</v>
      </c>
      <c r="S461" s="160">
        <f t="shared" si="1644"/>
        <v>0</v>
      </c>
      <c r="T461" s="160">
        <f t="shared" si="1644"/>
        <v>0</v>
      </c>
      <c r="U461" s="160">
        <f t="shared" si="1644"/>
        <v>0</v>
      </c>
      <c r="V461" s="160">
        <f t="shared" si="1644"/>
        <v>0</v>
      </c>
      <c r="W461" s="160">
        <f t="shared" si="1644"/>
        <v>0</v>
      </c>
      <c r="X461" s="160">
        <f t="shared" si="1644"/>
        <v>0</v>
      </c>
      <c r="Y461" s="160">
        <f t="shared" si="1644"/>
        <v>0</v>
      </c>
      <c r="Z461" s="160">
        <f t="shared" si="1644"/>
        <v>0</v>
      </c>
      <c r="AA461" s="160">
        <f t="shared" si="1645"/>
        <v>0</v>
      </c>
      <c r="AB461" s="160">
        <f t="shared" si="1645"/>
        <v>0</v>
      </c>
      <c r="AC461" s="160">
        <f t="shared" si="1645"/>
        <v>0</v>
      </c>
      <c r="AD461" s="160">
        <f t="shared" si="1645"/>
        <v>0</v>
      </c>
      <c r="AE461" s="160">
        <f t="shared" si="1645"/>
        <v>0</v>
      </c>
      <c r="AF461" s="160">
        <f t="shared" si="1645"/>
        <v>0</v>
      </c>
      <c r="AG461" s="160">
        <f t="shared" si="1645"/>
        <v>0</v>
      </c>
      <c r="AH461" s="160">
        <f t="shared" si="1645"/>
        <v>0</v>
      </c>
      <c r="AI461" s="160">
        <f t="shared" si="1645"/>
        <v>0</v>
      </c>
      <c r="AJ461" s="160">
        <f t="shared" si="1645"/>
        <v>0</v>
      </c>
      <c r="AK461" s="160">
        <f t="shared" si="1645"/>
        <v>0</v>
      </c>
      <c r="AL461" s="160">
        <f t="shared" si="1645"/>
        <v>0</v>
      </c>
      <c r="AM461" s="160">
        <f t="shared" si="1645"/>
        <v>0</v>
      </c>
      <c r="AN461" s="160">
        <f t="shared" si="1645"/>
        <v>0</v>
      </c>
      <c r="AO461" s="160">
        <f t="shared" si="1645"/>
        <v>0</v>
      </c>
      <c r="AP461" s="160">
        <f t="shared" si="1645"/>
        <v>0</v>
      </c>
      <c r="AQ461" s="160">
        <f t="shared" si="1646"/>
        <v>0</v>
      </c>
      <c r="AR461" s="160">
        <f t="shared" si="1646"/>
        <v>0</v>
      </c>
      <c r="AS461" s="160">
        <f t="shared" si="1646"/>
        <v>0</v>
      </c>
      <c r="AT461" s="160">
        <f t="shared" si="1646"/>
        <v>0</v>
      </c>
      <c r="AU461" s="160">
        <f t="shared" si="1646"/>
        <v>0</v>
      </c>
      <c r="AV461" s="160">
        <f t="shared" si="1646"/>
        <v>0</v>
      </c>
      <c r="AW461" s="160">
        <f t="shared" si="1646"/>
        <v>0</v>
      </c>
      <c r="AX461" s="160">
        <f t="shared" si="1646"/>
        <v>0</v>
      </c>
      <c r="AY461" s="160">
        <f t="shared" si="1646"/>
        <v>0</v>
      </c>
      <c r="AZ461" s="160">
        <f t="shared" si="1646"/>
        <v>0</v>
      </c>
      <c r="BA461" s="160">
        <f t="shared" si="1646"/>
        <v>0</v>
      </c>
      <c r="BB461" s="160">
        <f t="shared" si="1646"/>
        <v>0</v>
      </c>
      <c r="BC461" s="160">
        <f t="shared" si="1646"/>
        <v>0</v>
      </c>
      <c r="BD461" s="160">
        <f t="shared" si="1646"/>
        <v>0</v>
      </c>
      <c r="BE461" s="160">
        <f t="shared" si="1646"/>
        <v>0</v>
      </c>
      <c r="BF461" s="160">
        <f t="shared" si="1646"/>
        <v>0</v>
      </c>
      <c r="BG461" s="160">
        <f t="shared" si="1647"/>
        <v>0</v>
      </c>
      <c r="BH461" s="160">
        <f t="shared" si="1647"/>
        <v>0</v>
      </c>
      <c r="BI461" s="160">
        <f t="shared" si="1647"/>
        <v>0</v>
      </c>
      <c r="BJ461" s="160">
        <f t="shared" si="1647"/>
        <v>0</v>
      </c>
      <c r="BK461" s="160">
        <f t="shared" si="1647"/>
        <v>0</v>
      </c>
      <c r="BL461" s="160">
        <f t="shared" si="1647"/>
        <v>0</v>
      </c>
      <c r="BM461" s="160">
        <f t="shared" si="1647"/>
        <v>0</v>
      </c>
      <c r="BN461" s="160">
        <f t="shared" si="1647"/>
        <v>0</v>
      </c>
      <c r="BO461" s="160">
        <f t="shared" si="1647"/>
        <v>0</v>
      </c>
      <c r="BP461" s="160">
        <f t="shared" si="1647"/>
        <v>0</v>
      </c>
      <c r="BQ461" s="160">
        <f t="shared" si="1647"/>
        <v>0</v>
      </c>
      <c r="BR461" s="160">
        <f t="shared" si="1647"/>
        <v>0</v>
      </c>
      <c r="BS461" s="65"/>
      <c r="BT461" s="160">
        <f t="shared" si="1648"/>
        <v>0</v>
      </c>
      <c r="BU461" s="160">
        <f t="shared" si="1649"/>
        <v>0</v>
      </c>
      <c r="BV461" s="65"/>
      <c r="BW461" s="69"/>
      <c r="BX461" s="65"/>
      <c r="BY461" s="137">
        <f t="shared" si="1650"/>
        <v>1</v>
      </c>
      <c r="BZ461" s="137">
        <f>IF(BY461&gt;0,BY461+LARGE($BZ$213:BZ460,1),0)</f>
        <v>209</v>
      </c>
      <c r="CA461" s="137" t="str">
        <f t="shared" si="1651"/>
        <v>AN JR. ENG/ARQ</v>
      </c>
      <c r="CB461" s="161">
        <f t="shared" si="1652"/>
        <v>0</v>
      </c>
      <c r="CC461" s="161">
        <f t="shared" si="1653"/>
        <v>0</v>
      </c>
      <c r="CD461" s="161">
        <f t="shared" si="1654"/>
        <v>0</v>
      </c>
      <c r="CE461" s="161">
        <f t="shared" si="1655"/>
        <v>0</v>
      </c>
      <c r="CF461" s="161">
        <f t="shared" si="1656"/>
        <v>0</v>
      </c>
      <c r="CG461" s="161">
        <f t="shared" si="1657"/>
        <v>0</v>
      </c>
      <c r="CH461" s="161">
        <f t="shared" si="1658"/>
        <v>0</v>
      </c>
      <c r="CI461" s="161">
        <f t="shared" si="1659"/>
        <v>0</v>
      </c>
      <c r="CJ461" s="161">
        <f t="shared" si="1660"/>
        <v>0</v>
      </c>
      <c r="CK461" s="161">
        <f t="shared" si="1661"/>
        <v>0</v>
      </c>
      <c r="CL461" s="161">
        <f t="shared" si="1662"/>
        <v>0</v>
      </c>
      <c r="CM461" s="161">
        <f t="shared" si="1663"/>
        <v>0</v>
      </c>
      <c r="CN461" s="161">
        <f t="shared" si="1664"/>
        <v>0</v>
      </c>
      <c r="CO461" s="161">
        <f t="shared" si="1665"/>
        <v>0</v>
      </c>
      <c r="CP461" s="161">
        <f t="shared" si="1666"/>
        <v>0</v>
      </c>
      <c r="CQ461" s="161">
        <f t="shared" si="1667"/>
        <v>0</v>
      </c>
      <c r="CR461" s="161">
        <f t="shared" si="1668"/>
        <v>0</v>
      </c>
      <c r="CS461" s="161">
        <f t="shared" si="1669"/>
        <v>0</v>
      </c>
      <c r="CT461" s="161">
        <f t="shared" si="1670"/>
        <v>0</v>
      </c>
      <c r="CU461" s="161">
        <f t="shared" si="1671"/>
        <v>0</v>
      </c>
      <c r="CV461" s="161">
        <f t="shared" si="1672"/>
        <v>0</v>
      </c>
      <c r="CW461" s="161">
        <f t="shared" si="1673"/>
        <v>0</v>
      </c>
      <c r="CX461" s="161">
        <f t="shared" si="1674"/>
        <v>0</v>
      </c>
      <c r="CY461" s="161">
        <f t="shared" si="1675"/>
        <v>0</v>
      </c>
      <c r="CZ461" s="161">
        <f t="shared" si="1676"/>
        <v>0</v>
      </c>
      <c r="DA461" s="161">
        <f t="shared" si="1677"/>
        <v>0</v>
      </c>
      <c r="DB461" s="161">
        <f t="shared" si="1678"/>
        <v>0</v>
      </c>
      <c r="DC461" s="161">
        <f t="shared" si="1679"/>
        <v>0</v>
      </c>
      <c r="DD461" s="161">
        <f t="shared" si="1680"/>
        <v>0</v>
      </c>
      <c r="DE461" s="161">
        <f t="shared" si="1681"/>
        <v>0</v>
      </c>
      <c r="DF461" s="161">
        <f t="shared" si="1682"/>
        <v>0</v>
      </c>
      <c r="DG461" s="161">
        <f t="shared" si="1683"/>
        <v>0</v>
      </c>
      <c r="DH461" s="161">
        <f t="shared" si="1684"/>
        <v>0</v>
      </c>
      <c r="DI461" s="161">
        <f t="shared" si="1685"/>
        <v>0</v>
      </c>
      <c r="DJ461" s="161">
        <f t="shared" si="1686"/>
        <v>0</v>
      </c>
      <c r="DK461" s="161">
        <f t="shared" si="1687"/>
        <v>0</v>
      </c>
      <c r="DL461" s="161">
        <f t="shared" si="1688"/>
        <v>0</v>
      </c>
      <c r="DM461" s="161">
        <f t="shared" si="1689"/>
        <v>0</v>
      </c>
      <c r="DN461" s="161">
        <f t="shared" si="1690"/>
        <v>0</v>
      </c>
      <c r="DO461" s="161">
        <f t="shared" si="1691"/>
        <v>0</v>
      </c>
      <c r="DP461" s="161">
        <f t="shared" si="1692"/>
        <v>0</v>
      </c>
      <c r="DQ461" s="161">
        <f t="shared" si="1693"/>
        <v>0</v>
      </c>
      <c r="DR461" s="161">
        <f t="shared" si="1694"/>
        <v>0</v>
      </c>
      <c r="DS461" s="161">
        <f t="shared" si="1695"/>
        <v>0</v>
      </c>
      <c r="DT461" s="161">
        <f t="shared" si="1696"/>
        <v>0</v>
      </c>
      <c r="DU461" s="161">
        <f t="shared" si="1697"/>
        <v>0</v>
      </c>
      <c r="DV461" s="161">
        <f t="shared" si="1698"/>
        <v>0</v>
      </c>
      <c r="DW461" s="161">
        <f t="shared" si="1699"/>
        <v>0</v>
      </c>
      <c r="DX461" s="161">
        <f t="shared" si="1700"/>
        <v>0</v>
      </c>
      <c r="DY461" s="161">
        <f t="shared" si="1701"/>
        <v>0</v>
      </c>
      <c r="DZ461" s="161">
        <f t="shared" si="1702"/>
        <v>0</v>
      </c>
      <c r="EA461" s="161">
        <f t="shared" si="1703"/>
        <v>0</v>
      </c>
      <c r="EB461" s="161">
        <f t="shared" si="1704"/>
        <v>0</v>
      </c>
      <c r="EC461" s="161">
        <f t="shared" si="1705"/>
        <v>0</v>
      </c>
      <c r="ED461" s="161">
        <f t="shared" si="1706"/>
        <v>0</v>
      </c>
      <c r="EE461" s="161">
        <f t="shared" si="1707"/>
        <v>0</v>
      </c>
      <c r="EF461" s="161">
        <f t="shared" si="1708"/>
        <v>0</v>
      </c>
      <c r="EG461" s="161">
        <f t="shared" si="1709"/>
        <v>0</v>
      </c>
      <c r="EH461" s="161">
        <f t="shared" si="1710"/>
        <v>0</v>
      </c>
      <c r="EI461" s="161">
        <f t="shared" si="1711"/>
        <v>0</v>
      </c>
      <c r="EJ461" s="65"/>
      <c r="EK461" s="161">
        <f t="shared" si="1712"/>
        <v>0</v>
      </c>
      <c r="EL461" s="161">
        <f t="shared" si="1713"/>
        <v>0</v>
      </c>
      <c r="EM461" s="161">
        <f t="shared" si="1714"/>
        <v>0</v>
      </c>
    </row>
    <row r="462" spans="1:143" ht="12" hidden="1" customHeight="1" outlineLevel="2">
      <c r="A462" s="77">
        <v>10</v>
      </c>
      <c r="B462" s="137" t="str">
        <f t="shared" si="1642"/>
        <v>AN SR. ADM/CRP - Equipe_01</v>
      </c>
      <c r="C462" s="65"/>
      <c r="D462" s="621"/>
      <c r="E462" s="65"/>
      <c r="F462" s="584"/>
      <c r="G462" s="77" t="str">
        <f>IF(INDEX(Tarefas!$BT$30:$FK$30,MATCH(A462,Tarefas!$BT$28:$FK$28,0))=0,"",INDEX(Tarefas!$BT$30:$FK$30,MATCH(A462,Tarefas!$BT$28:$FK$28,0)))</f>
        <v>AN SR. ADM/CRP</v>
      </c>
      <c r="H462" s="107" cm="1">
        <f t="array" ref="H462">IFERROR((SUMPRODUCT((Tarefas!$N$32:$N$54='Cronog. e Histog.'!$F$453)*(Tarefas!$BQ$30:$FK$30='Cronog. e Histog.'!$G462)*(Tarefas!$BQ$32:$FK$54)))/SUMIF(Tarefas!$N$32:$N$54,'Cronog. e Histog.'!$F$453,Tarefas!$K$32:$K$54),0)</f>
        <v>0</v>
      </c>
      <c r="I462" s="79">
        <f t="shared" si="1643"/>
        <v>0</v>
      </c>
      <c r="J462" s="65"/>
      <c r="K462" s="160">
        <f t="shared" si="1644"/>
        <v>0</v>
      </c>
      <c r="L462" s="160">
        <f t="shared" si="1644"/>
        <v>0</v>
      </c>
      <c r="M462" s="160">
        <f t="shared" si="1644"/>
        <v>0</v>
      </c>
      <c r="N462" s="160">
        <f t="shared" si="1644"/>
        <v>0</v>
      </c>
      <c r="O462" s="160">
        <f t="shared" si="1644"/>
        <v>0</v>
      </c>
      <c r="P462" s="160">
        <f t="shared" si="1644"/>
        <v>0</v>
      </c>
      <c r="Q462" s="160">
        <f t="shared" si="1644"/>
        <v>0</v>
      </c>
      <c r="R462" s="160">
        <f t="shared" si="1644"/>
        <v>0</v>
      </c>
      <c r="S462" s="160">
        <f t="shared" si="1644"/>
        <v>0</v>
      </c>
      <c r="T462" s="160">
        <f t="shared" si="1644"/>
        <v>0</v>
      </c>
      <c r="U462" s="160">
        <f t="shared" si="1644"/>
        <v>0</v>
      </c>
      <c r="V462" s="160">
        <f t="shared" si="1644"/>
        <v>0</v>
      </c>
      <c r="W462" s="160">
        <f t="shared" si="1644"/>
        <v>0</v>
      </c>
      <c r="X462" s="160">
        <f t="shared" si="1644"/>
        <v>0</v>
      </c>
      <c r="Y462" s="160">
        <f t="shared" si="1644"/>
        <v>0</v>
      </c>
      <c r="Z462" s="160">
        <f t="shared" si="1644"/>
        <v>0</v>
      </c>
      <c r="AA462" s="160">
        <f t="shared" si="1645"/>
        <v>0</v>
      </c>
      <c r="AB462" s="160">
        <f t="shared" si="1645"/>
        <v>0</v>
      </c>
      <c r="AC462" s="160">
        <f t="shared" si="1645"/>
        <v>0</v>
      </c>
      <c r="AD462" s="160">
        <f t="shared" si="1645"/>
        <v>0</v>
      </c>
      <c r="AE462" s="160">
        <f t="shared" si="1645"/>
        <v>0</v>
      </c>
      <c r="AF462" s="160">
        <f t="shared" si="1645"/>
        <v>0</v>
      </c>
      <c r="AG462" s="160">
        <f t="shared" si="1645"/>
        <v>0</v>
      </c>
      <c r="AH462" s="160">
        <f t="shared" si="1645"/>
        <v>0</v>
      </c>
      <c r="AI462" s="160">
        <f t="shared" si="1645"/>
        <v>0</v>
      </c>
      <c r="AJ462" s="160">
        <f t="shared" si="1645"/>
        <v>0</v>
      </c>
      <c r="AK462" s="160">
        <f t="shared" si="1645"/>
        <v>0</v>
      </c>
      <c r="AL462" s="160">
        <f t="shared" si="1645"/>
        <v>0</v>
      </c>
      <c r="AM462" s="160">
        <f t="shared" si="1645"/>
        <v>0</v>
      </c>
      <c r="AN462" s="160">
        <f t="shared" si="1645"/>
        <v>0</v>
      </c>
      <c r="AO462" s="160">
        <f t="shared" si="1645"/>
        <v>0</v>
      </c>
      <c r="AP462" s="160">
        <f t="shared" si="1645"/>
        <v>0</v>
      </c>
      <c r="AQ462" s="160">
        <f t="shared" si="1646"/>
        <v>0</v>
      </c>
      <c r="AR462" s="160">
        <f t="shared" si="1646"/>
        <v>0</v>
      </c>
      <c r="AS462" s="160">
        <f t="shared" si="1646"/>
        <v>0</v>
      </c>
      <c r="AT462" s="160">
        <f t="shared" si="1646"/>
        <v>0</v>
      </c>
      <c r="AU462" s="160">
        <f t="shared" si="1646"/>
        <v>0</v>
      </c>
      <c r="AV462" s="160">
        <f t="shared" si="1646"/>
        <v>0</v>
      </c>
      <c r="AW462" s="160">
        <f t="shared" si="1646"/>
        <v>0</v>
      </c>
      <c r="AX462" s="160">
        <f t="shared" si="1646"/>
        <v>0</v>
      </c>
      <c r="AY462" s="160">
        <f t="shared" si="1646"/>
        <v>0</v>
      </c>
      <c r="AZ462" s="160">
        <f t="shared" si="1646"/>
        <v>0</v>
      </c>
      <c r="BA462" s="160">
        <f t="shared" si="1646"/>
        <v>0</v>
      </c>
      <c r="BB462" s="160">
        <f t="shared" si="1646"/>
        <v>0</v>
      </c>
      <c r="BC462" s="160">
        <f t="shared" si="1646"/>
        <v>0</v>
      </c>
      <c r="BD462" s="160">
        <f t="shared" si="1646"/>
        <v>0</v>
      </c>
      <c r="BE462" s="160">
        <f t="shared" si="1646"/>
        <v>0</v>
      </c>
      <c r="BF462" s="160">
        <f t="shared" si="1646"/>
        <v>0</v>
      </c>
      <c r="BG462" s="160">
        <f t="shared" si="1647"/>
        <v>0</v>
      </c>
      <c r="BH462" s="160">
        <f t="shared" si="1647"/>
        <v>0</v>
      </c>
      <c r="BI462" s="160">
        <f t="shared" si="1647"/>
        <v>0</v>
      </c>
      <c r="BJ462" s="160">
        <f t="shared" si="1647"/>
        <v>0</v>
      </c>
      <c r="BK462" s="160">
        <f t="shared" si="1647"/>
        <v>0</v>
      </c>
      <c r="BL462" s="160">
        <f t="shared" si="1647"/>
        <v>0</v>
      </c>
      <c r="BM462" s="160">
        <f t="shared" si="1647"/>
        <v>0</v>
      </c>
      <c r="BN462" s="160">
        <f t="shared" si="1647"/>
        <v>0</v>
      </c>
      <c r="BO462" s="160">
        <f t="shared" si="1647"/>
        <v>0</v>
      </c>
      <c r="BP462" s="160">
        <f t="shared" si="1647"/>
        <v>0</v>
      </c>
      <c r="BQ462" s="160">
        <f t="shared" si="1647"/>
        <v>0</v>
      </c>
      <c r="BR462" s="160">
        <f t="shared" si="1647"/>
        <v>0</v>
      </c>
      <c r="BS462" s="65"/>
      <c r="BT462" s="160">
        <f t="shared" si="1648"/>
        <v>0</v>
      </c>
      <c r="BU462" s="160">
        <f t="shared" si="1649"/>
        <v>0</v>
      </c>
      <c r="BV462" s="65"/>
      <c r="BW462" s="69"/>
      <c r="BX462" s="65"/>
      <c r="BY462" s="137">
        <f t="shared" si="1650"/>
        <v>1</v>
      </c>
      <c r="BZ462" s="137">
        <f>IF(BY462&gt;0,BY462+LARGE($BZ$213:BZ461,1),0)</f>
        <v>210</v>
      </c>
      <c r="CA462" s="137" t="str">
        <f t="shared" si="1651"/>
        <v>AN SR. ADM/CRP</v>
      </c>
      <c r="CB462" s="161">
        <f t="shared" si="1652"/>
        <v>0</v>
      </c>
      <c r="CC462" s="161">
        <f t="shared" si="1653"/>
        <v>0</v>
      </c>
      <c r="CD462" s="161">
        <f t="shared" si="1654"/>
        <v>0</v>
      </c>
      <c r="CE462" s="161">
        <f t="shared" si="1655"/>
        <v>0</v>
      </c>
      <c r="CF462" s="161">
        <f t="shared" si="1656"/>
        <v>0</v>
      </c>
      <c r="CG462" s="161">
        <f t="shared" si="1657"/>
        <v>0</v>
      </c>
      <c r="CH462" s="161">
        <f t="shared" si="1658"/>
        <v>0</v>
      </c>
      <c r="CI462" s="161">
        <f t="shared" si="1659"/>
        <v>0</v>
      </c>
      <c r="CJ462" s="161">
        <f t="shared" si="1660"/>
        <v>0</v>
      </c>
      <c r="CK462" s="161">
        <f t="shared" si="1661"/>
        <v>0</v>
      </c>
      <c r="CL462" s="161">
        <f t="shared" si="1662"/>
        <v>0</v>
      </c>
      <c r="CM462" s="161">
        <f t="shared" si="1663"/>
        <v>0</v>
      </c>
      <c r="CN462" s="161">
        <f t="shared" si="1664"/>
        <v>0</v>
      </c>
      <c r="CO462" s="161">
        <f t="shared" si="1665"/>
        <v>0</v>
      </c>
      <c r="CP462" s="161">
        <f t="shared" si="1666"/>
        <v>0</v>
      </c>
      <c r="CQ462" s="161">
        <f t="shared" si="1667"/>
        <v>0</v>
      </c>
      <c r="CR462" s="161">
        <f t="shared" si="1668"/>
        <v>0</v>
      </c>
      <c r="CS462" s="161">
        <f t="shared" si="1669"/>
        <v>0</v>
      </c>
      <c r="CT462" s="161">
        <f t="shared" si="1670"/>
        <v>0</v>
      </c>
      <c r="CU462" s="161">
        <f t="shared" si="1671"/>
        <v>0</v>
      </c>
      <c r="CV462" s="161">
        <f t="shared" si="1672"/>
        <v>0</v>
      </c>
      <c r="CW462" s="161">
        <f t="shared" si="1673"/>
        <v>0</v>
      </c>
      <c r="CX462" s="161">
        <f t="shared" si="1674"/>
        <v>0</v>
      </c>
      <c r="CY462" s="161">
        <f t="shared" si="1675"/>
        <v>0</v>
      </c>
      <c r="CZ462" s="161">
        <f t="shared" si="1676"/>
        <v>0</v>
      </c>
      <c r="DA462" s="161">
        <f t="shared" si="1677"/>
        <v>0</v>
      </c>
      <c r="DB462" s="161">
        <f t="shared" si="1678"/>
        <v>0</v>
      </c>
      <c r="DC462" s="161">
        <f t="shared" si="1679"/>
        <v>0</v>
      </c>
      <c r="DD462" s="161">
        <f t="shared" si="1680"/>
        <v>0</v>
      </c>
      <c r="DE462" s="161">
        <f t="shared" si="1681"/>
        <v>0</v>
      </c>
      <c r="DF462" s="161">
        <f t="shared" si="1682"/>
        <v>0</v>
      </c>
      <c r="DG462" s="161">
        <f t="shared" si="1683"/>
        <v>0</v>
      </c>
      <c r="DH462" s="161">
        <f t="shared" si="1684"/>
        <v>0</v>
      </c>
      <c r="DI462" s="161">
        <f t="shared" si="1685"/>
        <v>0</v>
      </c>
      <c r="DJ462" s="161">
        <f t="shared" si="1686"/>
        <v>0</v>
      </c>
      <c r="DK462" s="161">
        <f t="shared" si="1687"/>
        <v>0</v>
      </c>
      <c r="DL462" s="161">
        <f t="shared" si="1688"/>
        <v>0</v>
      </c>
      <c r="DM462" s="161">
        <f t="shared" si="1689"/>
        <v>0</v>
      </c>
      <c r="DN462" s="161">
        <f t="shared" si="1690"/>
        <v>0</v>
      </c>
      <c r="DO462" s="161">
        <f t="shared" si="1691"/>
        <v>0</v>
      </c>
      <c r="DP462" s="161">
        <f t="shared" si="1692"/>
        <v>0</v>
      </c>
      <c r="DQ462" s="161">
        <f t="shared" si="1693"/>
        <v>0</v>
      </c>
      <c r="DR462" s="161">
        <f t="shared" si="1694"/>
        <v>0</v>
      </c>
      <c r="DS462" s="161">
        <f t="shared" si="1695"/>
        <v>0</v>
      </c>
      <c r="DT462" s="161">
        <f t="shared" si="1696"/>
        <v>0</v>
      </c>
      <c r="DU462" s="161">
        <f t="shared" si="1697"/>
        <v>0</v>
      </c>
      <c r="DV462" s="161">
        <f t="shared" si="1698"/>
        <v>0</v>
      </c>
      <c r="DW462" s="161">
        <f t="shared" si="1699"/>
        <v>0</v>
      </c>
      <c r="DX462" s="161">
        <f t="shared" si="1700"/>
        <v>0</v>
      </c>
      <c r="DY462" s="161">
        <f t="shared" si="1701"/>
        <v>0</v>
      </c>
      <c r="DZ462" s="161">
        <f t="shared" si="1702"/>
        <v>0</v>
      </c>
      <c r="EA462" s="161">
        <f t="shared" si="1703"/>
        <v>0</v>
      </c>
      <c r="EB462" s="161">
        <f t="shared" si="1704"/>
        <v>0</v>
      </c>
      <c r="EC462" s="161">
        <f t="shared" si="1705"/>
        <v>0</v>
      </c>
      <c r="ED462" s="161">
        <f t="shared" si="1706"/>
        <v>0</v>
      </c>
      <c r="EE462" s="161">
        <f t="shared" si="1707"/>
        <v>0</v>
      </c>
      <c r="EF462" s="161">
        <f t="shared" si="1708"/>
        <v>0</v>
      </c>
      <c r="EG462" s="161">
        <f t="shared" si="1709"/>
        <v>0</v>
      </c>
      <c r="EH462" s="161">
        <f t="shared" si="1710"/>
        <v>0</v>
      </c>
      <c r="EI462" s="161">
        <f t="shared" si="1711"/>
        <v>0</v>
      </c>
      <c r="EJ462" s="65"/>
      <c r="EK462" s="161">
        <f t="shared" si="1712"/>
        <v>0</v>
      </c>
      <c r="EL462" s="161">
        <f t="shared" si="1713"/>
        <v>0</v>
      </c>
      <c r="EM462" s="161">
        <f t="shared" si="1714"/>
        <v>0</v>
      </c>
    </row>
    <row r="463" spans="1:143" ht="12" hidden="1" customHeight="1" outlineLevel="2">
      <c r="A463" s="77">
        <v>11</v>
      </c>
      <c r="B463" s="137" t="str">
        <f t="shared" si="1642"/>
        <v>AN PL. ADM/CRP - Equipe_01</v>
      </c>
      <c r="C463" s="65"/>
      <c r="D463" s="621"/>
      <c r="E463" s="65"/>
      <c r="F463" s="584"/>
      <c r="G463" s="77" t="str">
        <f>IF(INDEX(Tarefas!$BT$30:$FK$30,MATCH(A463,Tarefas!$BT$28:$FK$28,0))=0,"",INDEX(Tarefas!$BT$30:$FK$30,MATCH(A463,Tarefas!$BT$28:$FK$28,0)))</f>
        <v>AN PL. ADM/CRP</v>
      </c>
      <c r="H463" s="107" cm="1">
        <f t="array" ref="H463">IFERROR((SUMPRODUCT((Tarefas!$N$32:$N$54='Cronog. e Histog.'!$F$453)*(Tarefas!$BQ$30:$FK$30='Cronog. e Histog.'!$G463)*(Tarefas!$BQ$32:$FK$54)))/SUMIF(Tarefas!$N$32:$N$54,'Cronog. e Histog.'!$F$453,Tarefas!$K$32:$K$54),0)</f>
        <v>0</v>
      </c>
      <c r="I463" s="79">
        <f t="shared" si="1643"/>
        <v>0</v>
      </c>
      <c r="J463" s="65"/>
      <c r="K463" s="160">
        <f t="shared" si="1644"/>
        <v>0</v>
      </c>
      <c r="L463" s="160">
        <f t="shared" si="1644"/>
        <v>0</v>
      </c>
      <c r="M463" s="160">
        <f t="shared" si="1644"/>
        <v>0</v>
      </c>
      <c r="N463" s="160">
        <f t="shared" si="1644"/>
        <v>0</v>
      </c>
      <c r="O463" s="160">
        <f t="shared" si="1644"/>
        <v>0</v>
      </c>
      <c r="P463" s="160">
        <f t="shared" si="1644"/>
        <v>0</v>
      </c>
      <c r="Q463" s="160">
        <f t="shared" si="1644"/>
        <v>0</v>
      </c>
      <c r="R463" s="160">
        <f t="shared" si="1644"/>
        <v>0</v>
      </c>
      <c r="S463" s="160">
        <f t="shared" si="1644"/>
        <v>0</v>
      </c>
      <c r="T463" s="160">
        <f t="shared" si="1644"/>
        <v>0</v>
      </c>
      <c r="U463" s="160">
        <f t="shared" si="1644"/>
        <v>0</v>
      </c>
      <c r="V463" s="160">
        <f t="shared" si="1644"/>
        <v>0</v>
      </c>
      <c r="W463" s="160">
        <f t="shared" si="1644"/>
        <v>0</v>
      </c>
      <c r="X463" s="160">
        <f t="shared" si="1644"/>
        <v>0</v>
      </c>
      <c r="Y463" s="160">
        <f t="shared" si="1644"/>
        <v>0</v>
      </c>
      <c r="Z463" s="160">
        <f t="shared" si="1644"/>
        <v>0</v>
      </c>
      <c r="AA463" s="160">
        <f t="shared" si="1645"/>
        <v>0</v>
      </c>
      <c r="AB463" s="160">
        <f t="shared" si="1645"/>
        <v>0</v>
      </c>
      <c r="AC463" s="160">
        <f t="shared" si="1645"/>
        <v>0</v>
      </c>
      <c r="AD463" s="160">
        <f t="shared" si="1645"/>
        <v>0</v>
      </c>
      <c r="AE463" s="160">
        <f t="shared" si="1645"/>
        <v>0</v>
      </c>
      <c r="AF463" s="160">
        <f t="shared" si="1645"/>
        <v>0</v>
      </c>
      <c r="AG463" s="160">
        <f t="shared" si="1645"/>
        <v>0</v>
      </c>
      <c r="AH463" s="160">
        <f t="shared" si="1645"/>
        <v>0</v>
      </c>
      <c r="AI463" s="160">
        <f t="shared" si="1645"/>
        <v>0</v>
      </c>
      <c r="AJ463" s="160">
        <f t="shared" si="1645"/>
        <v>0</v>
      </c>
      <c r="AK463" s="160">
        <f t="shared" si="1645"/>
        <v>0</v>
      </c>
      <c r="AL463" s="160">
        <f t="shared" si="1645"/>
        <v>0</v>
      </c>
      <c r="AM463" s="160">
        <f t="shared" si="1645"/>
        <v>0</v>
      </c>
      <c r="AN463" s="160">
        <f t="shared" si="1645"/>
        <v>0</v>
      </c>
      <c r="AO463" s="160">
        <f t="shared" si="1645"/>
        <v>0</v>
      </c>
      <c r="AP463" s="160">
        <f t="shared" si="1645"/>
        <v>0</v>
      </c>
      <c r="AQ463" s="160">
        <f t="shared" si="1646"/>
        <v>0</v>
      </c>
      <c r="AR463" s="160">
        <f t="shared" si="1646"/>
        <v>0</v>
      </c>
      <c r="AS463" s="160">
        <f t="shared" si="1646"/>
        <v>0</v>
      </c>
      <c r="AT463" s="160">
        <f t="shared" si="1646"/>
        <v>0</v>
      </c>
      <c r="AU463" s="160">
        <f t="shared" si="1646"/>
        <v>0</v>
      </c>
      <c r="AV463" s="160">
        <f t="shared" si="1646"/>
        <v>0</v>
      </c>
      <c r="AW463" s="160">
        <f t="shared" si="1646"/>
        <v>0</v>
      </c>
      <c r="AX463" s="160">
        <f t="shared" si="1646"/>
        <v>0</v>
      </c>
      <c r="AY463" s="160">
        <f t="shared" si="1646"/>
        <v>0</v>
      </c>
      <c r="AZ463" s="160">
        <f t="shared" si="1646"/>
        <v>0</v>
      </c>
      <c r="BA463" s="160">
        <f t="shared" si="1646"/>
        <v>0</v>
      </c>
      <c r="BB463" s="160">
        <f t="shared" si="1646"/>
        <v>0</v>
      </c>
      <c r="BC463" s="160">
        <f t="shared" si="1646"/>
        <v>0</v>
      </c>
      <c r="BD463" s="160">
        <f t="shared" si="1646"/>
        <v>0</v>
      </c>
      <c r="BE463" s="160">
        <f t="shared" si="1646"/>
        <v>0</v>
      </c>
      <c r="BF463" s="160">
        <f t="shared" si="1646"/>
        <v>0</v>
      </c>
      <c r="BG463" s="160">
        <f t="shared" si="1647"/>
        <v>0</v>
      </c>
      <c r="BH463" s="160">
        <f t="shared" si="1647"/>
        <v>0</v>
      </c>
      <c r="BI463" s="160">
        <f t="shared" si="1647"/>
        <v>0</v>
      </c>
      <c r="BJ463" s="160">
        <f t="shared" si="1647"/>
        <v>0</v>
      </c>
      <c r="BK463" s="160">
        <f t="shared" si="1647"/>
        <v>0</v>
      </c>
      <c r="BL463" s="160">
        <f t="shared" si="1647"/>
        <v>0</v>
      </c>
      <c r="BM463" s="160">
        <f t="shared" si="1647"/>
        <v>0</v>
      </c>
      <c r="BN463" s="160">
        <f t="shared" si="1647"/>
        <v>0</v>
      </c>
      <c r="BO463" s="160">
        <f t="shared" si="1647"/>
        <v>0</v>
      </c>
      <c r="BP463" s="160">
        <f t="shared" si="1647"/>
        <v>0</v>
      </c>
      <c r="BQ463" s="160">
        <f t="shared" si="1647"/>
        <v>0</v>
      </c>
      <c r="BR463" s="160">
        <f t="shared" si="1647"/>
        <v>0</v>
      </c>
      <c r="BS463" s="65"/>
      <c r="BT463" s="160">
        <f t="shared" si="1648"/>
        <v>0</v>
      </c>
      <c r="BU463" s="160">
        <f t="shared" si="1649"/>
        <v>0</v>
      </c>
      <c r="BV463" s="65"/>
      <c r="BW463" s="69"/>
      <c r="BX463" s="65"/>
      <c r="BY463" s="137">
        <f t="shared" si="1650"/>
        <v>1</v>
      </c>
      <c r="BZ463" s="137">
        <f>IF(BY463&gt;0,BY463+LARGE($BZ$213:BZ462,1),0)</f>
        <v>211</v>
      </c>
      <c r="CA463" s="137" t="str">
        <f t="shared" si="1651"/>
        <v>AN PL. ADM/CRP</v>
      </c>
      <c r="CB463" s="161">
        <f t="shared" si="1652"/>
        <v>0</v>
      </c>
      <c r="CC463" s="161">
        <f t="shared" si="1653"/>
        <v>0</v>
      </c>
      <c r="CD463" s="161">
        <f t="shared" si="1654"/>
        <v>0</v>
      </c>
      <c r="CE463" s="161">
        <f t="shared" si="1655"/>
        <v>0</v>
      </c>
      <c r="CF463" s="161">
        <f t="shared" si="1656"/>
        <v>0</v>
      </c>
      <c r="CG463" s="161">
        <f t="shared" si="1657"/>
        <v>0</v>
      </c>
      <c r="CH463" s="161">
        <f t="shared" si="1658"/>
        <v>0</v>
      </c>
      <c r="CI463" s="161">
        <f t="shared" si="1659"/>
        <v>0</v>
      </c>
      <c r="CJ463" s="161">
        <f t="shared" si="1660"/>
        <v>0</v>
      </c>
      <c r="CK463" s="161">
        <f t="shared" si="1661"/>
        <v>0</v>
      </c>
      <c r="CL463" s="161">
        <f t="shared" si="1662"/>
        <v>0</v>
      </c>
      <c r="CM463" s="161">
        <f t="shared" si="1663"/>
        <v>0</v>
      </c>
      <c r="CN463" s="161">
        <f t="shared" si="1664"/>
        <v>0</v>
      </c>
      <c r="CO463" s="161">
        <f t="shared" si="1665"/>
        <v>0</v>
      </c>
      <c r="CP463" s="161">
        <f t="shared" si="1666"/>
        <v>0</v>
      </c>
      <c r="CQ463" s="161">
        <f t="shared" si="1667"/>
        <v>0</v>
      </c>
      <c r="CR463" s="161">
        <f t="shared" si="1668"/>
        <v>0</v>
      </c>
      <c r="CS463" s="161">
        <f t="shared" si="1669"/>
        <v>0</v>
      </c>
      <c r="CT463" s="161">
        <f t="shared" si="1670"/>
        <v>0</v>
      </c>
      <c r="CU463" s="161">
        <f t="shared" si="1671"/>
        <v>0</v>
      </c>
      <c r="CV463" s="161">
        <f t="shared" si="1672"/>
        <v>0</v>
      </c>
      <c r="CW463" s="161">
        <f t="shared" si="1673"/>
        <v>0</v>
      </c>
      <c r="CX463" s="161">
        <f t="shared" si="1674"/>
        <v>0</v>
      </c>
      <c r="CY463" s="161">
        <f t="shared" si="1675"/>
        <v>0</v>
      </c>
      <c r="CZ463" s="161">
        <f t="shared" si="1676"/>
        <v>0</v>
      </c>
      <c r="DA463" s="161">
        <f t="shared" si="1677"/>
        <v>0</v>
      </c>
      <c r="DB463" s="161">
        <f t="shared" si="1678"/>
        <v>0</v>
      </c>
      <c r="DC463" s="161">
        <f t="shared" si="1679"/>
        <v>0</v>
      </c>
      <c r="DD463" s="161">
        <f t="shared" si="1680"/>
        <v>0</v>
      </c>
      <c r="DE463" s="161">
        <f t="shared" si="1681"/>
        <v>0</v>
      </c>
      <c r="DF463" s="161">
        <f t="shared" si="1682"/>
        <v>0</v>
      </c>
      <c r="DG463" s="161">
        <f t="shared" si="1683"/>
        <v>0</v>
      </c>
      <c r="DH463" s="161">
        <f t="shared" si="1684"/>
        <v>0</v>
      </c>
      <c r="DI463" s="161">
        <f t="shared" si="1685"/>
        <v>0</v>
      </c>
      <c r="DJ463" s="161">
        <f t="shared" si="1686"/>
        <v>0</v>
      </c>
      <c r="DK463" s="161">
        <f t="shared" si="1687"/>
        <v>0</v>
      </c>
      <c r="DL463" s="161">
        <f t="shared" si="1688"/>
        <v>0</v>
      </c>
      <c r="DM463" s="161">
        <f t="shared" si="1689"/>
        <v>0</v>
      </c>
      <c r="DN463" s="161">
        <f t="shared" si="1690"/>
        <v>0</v>
      </c>
      <c r="DO463" s="161">
        <f t="shared" si="1691"/>
        <v>0</v>
      </c>
      <c r="DP463" s="161">
        <f t="shared" si="1692"/>
        <v>0</v>
      </c>
      <c r="DQ463" s="161">
        <f t="shared" si="1693"/>
        <v>0</v>
      </c>
      <c r="DR463" s="161">
        <f t="shared" si="1694"/>
        <v>0</v>
      </c>
      <c r="DS463" s="161">
        <f t="shared" si="1695"/>
        <v>0</v>
      </c>
      <c r="DT463" s="161">
        <f t="shared" si="1696"/>
        <v>0</v>
      </c>
      <c r="DU463" s="161">
        <f t="shared" si="1697"/>
        <v>0</v>
      </c>
      <c r="DV463" s="161">
        <f t="shared" si="1698"/>
        <v>0</v>
      </c>
      <c r="DW463" s="161">
        <f t="shared" si="1699"/>
        <v>0</v>
      </c>
      <c r="DX463" s="161">
        <f t="shared" si="1700"/>
        <v>0</v>
      </c>
      <c r="DY463" s="161">
        <f t="shared" si="1701"/>
        <v>0</v>
      </c>
      <c r="DZ463" s="161">
        <f t="shared" si="1702"/>
        <v>0</v>
      </c>
      <c r="EA463" s="161">
        <f t="shared" si="1703"/>
        <v>0</v>
      </c>
      <c r="EB463" s="161">
        <f t="shared" si="1704"/>
        <v>0</v>
      </c>
      <c r="EC463" s="161">
        <f t="shared" si="1705"/>
        <v>0</v>
      </c>
      <c r="ED463" s="161">
        <f t="shared" si="1706"/>
        <v>0</v>
      </c>
      <c r="EE463" s="161">
        <f t="shared" si="1707"/>
        <v>0</v>
      </c>
      <c r="EF463" s="161">
        <f t="shared" si="1708"/>
        <v>0</v>
      </c>
      <c r="EG463" s="161">
        <f t="shared" si="1709"/>
        <v>0</v>
      </c>
      <c r="EH463" s="161">
        <f t="shared" si="1710"/>
        <v>0</v>
      </c>
      <c r="EI463" s="161">
        <f t="shared" si="1711"/>
        <v>0</v>
      </c>
      <c r="EJ463" s="65"/>
      <c r="EK463" s="161">
        <f t="shared" si="1712"/>
        <v>0</v>
      </c>
      <c r="EL463" s="161">
        <f t="shared" si="1713"/>
        <v>0</v>
      </c>
      <c r="EM463" s="161">
        <f t="shared" si="1714"/>
        <v>0</v>
      </c>
    </row>
    <row r="464" spans="1:143" ht="12" hidden="1" customHeight="1" outlineLevel="2">
      <c r="A464" s="77">
        <v>12</v>
      </c>
      <c r="B464" s="137" t="str">
        <f t="shared" si="1642"/>
        <v>AN JR. ADM/CRP - Equipe_01</v>
      </c>
      <c r="C464" s="65"/>
      <c r="D464" s="622"/>
      <c r="E464" s="65"/>
      <c r="F464" s="584"/>
      <c r="G464" s="77" t="str">
        <f>IF(INDEX(Tarefas!$BT$30:$FK$30,MATCH(A464,Tarefas!$BT$28:$FK$28,0))=0,"",INDEX(Tarefas!$BT$30:$FK$30,MATCH(A464,Tarefas!$BT$28:$FK$28,0)))</f>
        <v>AN JR. ADM/CRP</v>
      </c>
      <c r="H464" s="107" cm="1">
        <f t="array" ref="H464">IFERROR((SUMPRODUCT((Tarefas!$N$32:$N$54='Cronog. e Histog.'!$F$453)*(Tarefas!$BQ$30:$FK$30='Cronog. e Histog.'!$G464)*(Tarefas!$BQ$32:$FK$54)))/SUMIF(Tarefas!$N$32:$N$54,'Cronog. e Histog.'!$F$453,Tarefas!$K$32:$K$54),0)</f>
        <v>0</v>
      </c>
      <c r="I464" s="79">
        <f t="shared" si="1643"/>
        <v>0</v>
      </c>
      <c r="J464" s="65"/>
      <c r="K464" s="160">
        <f t="shared" ref="K464:Z472" si="1715">ROUND($I464*K$193,2)</f>
        <v>0</v>
      </c>
      <c r="L464" s="160">
        <f t="shared" si="1715"/>
        <v>0</v>
      </c>
      <c r="M464" s="160">
        <f t="shared" si="1715"/>
        <v>0</v>
      </c>
      <c r="N464" s="160">
        <f t="shared" si="1715"/>
        <v>0</v>
      </c>
      <c r="O464" s="160">
        <f t="shared" si="1715"/>
        <v>0</v>
      </c>
      <c r="P464" s="160">
        <f t="shared" si="1715"/>
        <v>0</v>
      </c>
      <c r="Q464" s="160">
        <f t="shared" si="1715"/>
        <v>0</v>
      </c>
      <c r="R464" s="160">
        <f t="shared" si="1715"/>
        <v>0</v>
      </c>
      <c r="S464" s="160">
        <f t="shared" si="1715"/>
        <v>0</v>
      </c>
      <c r="T464" s="160">
        <f t="shared" si="1715"/>
        <v>0</v>
      </c>
      <c r="U464" s="160">
        <f t="shared" si="1715"/>
        <v>0</v>
      </c>
      <c r="V464" s="160">
        <f t="shared" si="1715"/>
        <v>0</v>
      </c>
      <c r="W464" s="160">
        <f t="shared" si="1715"/>
        <v>0</v>
      </c>
      <c r="X464" s="160">
        <f t="shared" si="1715"/>
        <v>0</v>
      </c>
      <c r="Y464" s="160">
        <f t="shared" si="1715"/>
        <v>0</v>
      </c>
      <c r="Z464" s="160">
        <f t="shared" si="1715"/>
        <v>0</v>
      </c>
      <c r="AA464" s="160">
        <f t="shared" si="1577"/>
        <v>0</v>
      </c>
      <c r="AB464" s="160">
        <f t="shared" si="1577"/>
        <v>0</v>
      </c>
      <c r="AC464" s="160">
        <f t="shared" si="1577"/>
        <v>0</v>
      </c>
      <c r="AD464" s="160">
        <f t="shared" si="1577"/>
        <v>0</v>
      </c>
      <c r="AE464" s="160">
        <f t="shared" si="1577"/>
        <v>0</v>
      </c>
      <c r="AF464" s="160">
        <f t="shared" si="1577"/>
        <v>0</v>
      </c>
      <c r="AG464" s="160">
        <f t="shared" si="1577"/>
        <v>0</v>
      </c>
      <c r="AH464" s="160">
        <f t="shared" si="1577"/>
        <v>0</v>
      </c>
      <c r="AI464" s="160">
        <f t="shared" si="1577"/>
        <v>0</v>
      </c>
      <c r="AJ464" s="160">
        <f t="shared" si="1577"/>
        <v>0</v>
      </c>
      <c r="AK464" s="160">
        <f t="shared" si="1577"/>
        <v>0</v>
      </c>
      <c r="AL464" s="160">
        <f t="shared" si="1577"/>
        <v>0</v>
      </c>
      <c r="AM464" s="160">
        <f t="shared" si="1577"/>
        <v>0</v>
      </c>
      <c r="AN464" s="160">
        <f t="shared" si="1577"/>
        <v>0</v>
      </c>
      <c r="AO464" s="160">
        <f t="shared" si="1577"/>
        <v>0</v>
      </c>
      <c r="AP464" s="160">
        <f t="shared" si="1577"/>
        <v>0</v>
      </c>
      <c r="AQ464" s="160">
        <f t="shared" si="1577"/>
        <v>0</v>
      </c>
      <c r="AR464" s="160">
        <f t="shared" si="1577"/>
        <v>0</v>
      </c>
      <c r="AS464" s="160">
        <f t="shared" si="1577"/>
        <v>0</v>
      </c>
      <c r="AT464" s="160">
        <f t="shared" si="1577"/>
        <v>0</v>
      </c>
      <c r="AU464" s="160">
        <f t="shared" si="1577"/>
        <v>0</v>
      </c>
      <c r="AV464" s="160">
        <f t="shared" si="1577"/>
        <v>0</v>
      </c>
      <c r="AW464" s="160">
        <f t="shared" si="1577"/>
        <v>0</v>
      </c>
      <c r="AX464" s="160">
        <f t="shared" si="1577"/>
        <v>0</v>
      </c>
      <c r="AY464" s="160">
        <f t="shared" si="1577"/>
        <v>0</v>
      </c>
      <c r="AZ464" s="160">
        <f t="shared" si="1577"/>
        <v>0</v>
      </c>
      <c r="BA464" s="160">
        <f t="shared" si="1577"/>
        <v>0</v>
      </c>
      <c r="BB464" s="160">
        <f t="shared" si="1577"/>
        <v>0</v>
      </c>
      <c r="BC464" s="160">
        <f t="shared" si="1577"/>
        <v>0</v>
      </c>
      <c r="BD464" s="160">
        <f t="shared" si="1577"/>
        <v>0</v>
      </c>
      <c r="BE464" s="160">
        <f t="shared" si="1577"/>
        <v>0</v>
      </c>
      <c r="BF464" s="160">
        <f t="shared" si="1577"/>
        <v>0</v>
      </c>
      <c r="BG464" s="160">
        <f t="shared" si="1577"/>
        <v>0</v>
      </c>
      <c r="BH464" s="160">
        <f t="shared" si="1577"/>
        <v>0</v>
      </c>
      <c r="BI464" s="160">
        <f t="shared" si="1577"/>
        <v>0</v>
      </c>
      <c r="BJ464" s="160">
        <f t="shared" si="1577"/>
        <v>0</v>
      </c>
      <c r="BK464" s="160">
        <f t="shared" si="1577"/>
        <v>0</v>
      </c>
      <c r="BL464" s="160">
        <f t="shared" si="1577"/>
        <v>0</v>
      </c>
      <c r="BM464" s="160">
        <f t="shared" si="1577"/>
        <v>0</v>
      </c>
      <c r="BN464" s="160">
        <f t="shared" si="1577"/>
        <v>0</v>
      </c>
      <c r="BO464" s="160">
        <f t="shared" si="1577"/>
        <v>0</v>
      </c>
      <c r="BP464" s="160">
        <f t="shared" si="1577"/>
        <v>0</v>
      </c>
      <c r="BQ464" s="160">
        <f t="shared" si="1577"/>
        <v>0</v>
      </c>
      <c r="BR464" s="160">
        <f t="shared" si="1577"/>
        <v>0</v>
      </c>
      <c r="BS464" s="65"/>
      <c r="BT464" s="160">
        <f t="shared" si="1578"/>
        <v>0</v>
      </c>
      <c r="BU464" s="160">
        <f t="shared" si="1579"/>
        <v>0</v>
      </c>
      <c r="BV464" s="65"/>
      <c r="BW464" s="69"/>
      <c r="BX464" s="65"/>
      <c r="BY464" s="137">
        <f t="shared" si="1580"/>
        <v>1</v>
      </c>
      <c r="BZ464" s="137">
        <f>IF(BY464&gt;0,BY464+LARGE($BZ$213:BZ463,1),0)</f>
        <v>212</v>
      </c>
      <c r="CA464" s="137" t="str">
        <f t="shared" si="1581"/>
        <v>AN JR. ADM/CRP</v>
      </c>
      <c r="CB464" s="161">
        <f t="shared" si="1582"/>
        <v>0</v>
      </c>
      <c r="CC464" s="161">
        <f t="shared" si="1583"/>
        <v>0</v>
      </c>
      <c r="CD464" s="161">
        <f t="shared" si="1584"/>
        <v>0</v>
      </c>
      <c r="CE464" s="161">
        <f t="shared" si="1585"/>
        <v>0</v>
      </c>
      <c r="CF464" s="161">
        <f t="shared" si="1586"/>
        <v>0</v>
      </c>
      <c r="CG464" s="161">
        <f t="shared" si="1587"/>
        <v>0</v>
      </c>
      <c r="CH464" s="161">
        <f t="shared" si="1588"/>
        <v>0</v>
      </c>
      <c r="CI464" s="161">
        <f t="shared" si="1589"/>
        <v>0</v>
      </c>
      <c r="CJ464" s="161">
        <f t="shared" si="1590"/>
        <v>0</v>
      </c>
      <c r="CK464" s="161">
        <f t="shared" si="1591"/>
        <v>0</v>
      </c>
      <c r="CL464" s="161">
        <f t="shared" si="1592"/>
        <v>0</v>
      </c>
      <c r="CM464" s="161">
        <f t="shared" si="1593"/>
        <v>0</v>
      </c>
      <c r="CN464" s="161">
        <f t="shared" si="1594"/>
        <v>0</v>
      </c>
      <c r="CO464" s="161">
        <f t="shared" si="1595"/>
        <v>0</v>
      </c>
      <c r="CP464" s="161">
        <f t="shared" si="1596"/>
        <v>0</v>
      </c>
      <c r="CQ464" s="161">
        <f t="shared" si="1597"/>
        <v>0</v>
      </c>
      <c r="CR464" s="161">
        <f t="shared" si="1598"/>
        <v>0</v>
      </c>
      <c r="CS464" s="161">
        <f t="shared" si="1599"/>
        <v>0</v>
      </c>
      <c r="CT464" s="161">
        <f t="shared" si="1600"/>
        <v>0</v>
      </c>
      <c r="CU464" s="161">
        <f t="shared" si="1601"/>
        <v>0</v>
      </c>
      <c r="CV464" s="161">
        <f t="shared" si="1602"/>
        <v>0</v>
      </c>
      <c r="CW464" s="161">
        <f t="shared" si="1603"/>
        <v>0</v>
      </c>
      <c r="CX464" s="161">
        <f t="shared" si="1604"/>
        <v>0</v>
      </c>
      <c r="CY464" s="161">
        <f t="shared" si="1605"/>
        <v>0</v>
      </c>
      <c r="CZ464" s="161">
        <f t="shared" si="1606"/>
        <v>0</v>
      </c>
      <c r="DA464" s="161">
        <f t="shared" si="1607"/>
        <v>0</v>
      </c>
      <c r="DB464" s="161">
        <f t="shared" si="1608"/>
        <v>0</v>
      </c>
      <c r="DC464" s="161">
        <f t="shared" si="1609"/>
        <v>0</v>
      </c>
      <c r="DD464" s="161">
        <f t="shared" si="1610"/>
        <v>0</v>
      </c>
      <c r="DE464" s="161">
        <f t="shared" si="1611"/>
        <v>0</v>
      </c>
      <c r="DF464" s="161">
        <f t="shared" si="1612"/>
        <v>0</v>
      </c>
      <c r="DG464" s="161">
        <f t="shared" si="1613"/>
        <v>0</v>
      </c>
      <c r="DH464" s="161">
        <f t="shared" si="1614"/>
        <v>0</v>
      </c>
      <c r="DI464" s="161">
        <f t="shared" si="1615"/>
        <v>0</v>
      </c>
      <c r="DJ464" s="161">
        <f t="shared" si="1616"/>
        <v>0</v>
      </c>
      <c r="DK464" s="161">
        <f t="shared" si="1617"/>
        <v>0</v>
      </c>
      <c r="DL464" s="161">
        <f t="shared" si="1618"/>
        <v>0</v>
      </c>
      <c r="DM464" s="161">
        <f t="shared" si="1619"/>
        <v>0</v>
      </c>
      <c r="DN464" s="161">
        <f t="shared" si="1620"/>
        <v>0</v>
      </c>
      <c r="DO464" s="161">
        <f t="shared" si="1621"/>
        <v>0</v>
      </c>
      <c r="DP464" s="161">
        <f t="shared" si="1622"/>
        <v>0</v>
      </c>
      <c r="DQ464" s="161">
        <f t="shared" si="1623"/>
        <v>0</v>
      </c>
      <c r="DR464" s="161">
        <f t="shared" si="1624"/>
        <v>0</v>
      </c>
      <c r="DS464" s="161">
        <f t="shared" si="1625"/>
        <v>0</v>
      </c>
      <c r="DT464" s="161">
        <f t="shared" si="1626"/>
        <v>0</v>
      </c>
      <c r="DU464" s="161">
        <f t="shared" si="1627"/>
        <v>0</v>
      </c>
      <c r="DV464" s="161">
        <f t="shared" si="1628"/>
        <v>0</v>
      </c>
      <c r="DW464" s="161">
        <f t="shared" si="1629"/>
        <v>0</v>
      </c>
      <c r="DX464" s="161">
        <f t="shared" si="1630"/>
        <v>0</v>
      </c>
      <c r="DY464" s="161">
        <f t="shared" si="1631"/>
        <v>0</v>
      </c>
      <c r="DZ464" s="161">
        <f t="shared" si="1632"/>
        <v>0</v>
      </c>
      <c r="EA464" s="161">
        <f t="shared" si="1633"/>
        <v>0</v>
      </c>
      <c r="EB464" s="161">
        <f t="shared" si="1634"/>
        <v>0</v>
      </c>
      <c r="EC464" s="161">
        <f t="shared" si="1635"/>
        <v>0</v>
      </c>
      <c r="ED464" s="161">
        <f t="shared" si="1636"/>
        <v>0</v>
      </c>
      <c r="EE464" s="161">
        <f t="shared" si="1637"/>
        <v>0</v>
      </c>
      <c r="EF464" s="161">
        <f t="shared" si="1638"/>
        <v>0</v>
      </c>
      <c r="EG464" s="161">
        <f t="shared" si="1639"/>
        <v>0</v>
      </c>
      <c r="EH464" s="161">
        <f t="shared" si="1640"/>
        <v>0</v>
      </c>
      <c r="EI464" s="161">
        <f t="shared" si="1641"/>
        <v>0</v>
      </c>
      <c r="EJ464" s="65"/>
      <c r="EK464" s="161">
        <f t="shared" si="1712"/>
        <v>0</v>
      </c>
      <c r="EL464" s="161">
        <f t="shared" si="1713"/>
        <v>0</v>
      </c>
      <c r="EM464" s="161">
        <f t="shared" si="1714"/>
        <v>0</v>
      </c>
    </row>
    <row r="465" spans="1:143" ht="12" hidden="1" customHeight="1" outlineLevel="2">
      <c r="A465" s="77">
        <v>13</v>
      </c>
      <c r="B465" s="137" t="str">
        <f t="shared" si="1642"/>
        <v>TEC III - Equipe_01</v>
      </c>
      <c r="C465" s="65"/>
      <c r="D465" s="622"/>
      <c r="E465" s="65"/>
      <c r="F465" s="584"/>
      <c r="G465" s="77" t="str">
        <f>IF(INDEX(Tarefas!$BT$30:$FK$30,MATCH(A465,Tarefas!$BT$28:$FK$28,0))=0,"",INDEX(Tarefas!$BT$30:$FK$30,MATCH(A465,Tarefas!$BT$28:$FK$28,0)))</f>
        <v>TEC III</v>
      </c>
      <c r="H465" s="107" cm="1">
        <f t="array" ref="H465">IFERROR((SUMPRODUCT((Tarefas!$N$32:$N$54='Cronog. e Histog.'!$F$453)*(Tarefas!$BQ$30:$FK$30='Cronog. e Histog.'!$G465)*(Tarefas!$BQ$32:$FK$54)))/SUMIF(Tarefas!$N$32:$N$54,'Cronog. e Histog.'!$F$453,Tarefas!$K$32:$K$54),0)</f>
        <v>0</v>
      </c>
      <c r="I465" s="79">
        <f t="shared" si="1643"/>
        <v>0</v>
      </c>
      <c r="J465" s="65"/>
      <c r="K465" s="160">
        <f t="shared" si="1715"/>
        <v>0</v>
      </c>
      <c r="L465" s="160">
        <f t="shared" si="1577"/>
        <v>0</v>
      </c>
      <c r="M465" s="160">
        <f t="shared" si="1577"/>
        <v>0</v>
      </c>
      <c r="N465" s="160">
        <f t="shared" si="1577"/>
        <v>0</v>
      </c>
      <c r="O465" s="160">
        <f t="shared" si="1577"/>
        <v>0</v>
      </c>
      <c r="P465" s="160">
        <f t="shared" si="1577"/>
        <v>0</v>
      </c>
      <c r="Q465" s="160">
        <f t="shared" si="1577"/>
        <v>0</v>
      </c>
      <c r="R465" s="160">
        <f t="shared" si="1577"/>
        <v>0</v>
      </c>
      <c r="S465" s="160">
        <f t="shared" si="1577"/>
        <v>0</v>
      </c>
      <c r="T465" s="160">
        <f t="shared" si="1577"/>
        <v>0</v>
      </c>
      <c r="U465" s="160">
        <f t="shared" si="1577"/>
        <v>0</v>
      </c>
      <c r="V465" s="160">
        <f t="shared" si="1577"/>
        <v>0</v>
      </c>
      <c r="W465" s="160">
        <f t="shared" si="1577"/>
        <v>0</v>
      </c>
      <c r="X465" s="160">
        <f t="shared" si="1577"/>
        <v>0</v>
      </c>
      <c r="Y465" s="160">
        <f t="shared" si="1577"/>
        <v>0</v>
      </c>
      <c r="Z465" s="160">
        <f t="shared" si="1577"/>
        <v>0</v>
      </c>
      <c r="AA465" s="160">
        <f t="shared" si="1577"/>
        <v>0</v>
      </c>
      <c r="AB465" s="160">
        <f t="shared" si="1577"/>
        <v>0</v>
      </c>
      <c r="AC465" s="160">
        <f t="shared" si="1577"/>
        <v>0</v>
      </c>
      <c r="AD465" s="160">
        <f t="shared" si="1577"/>
        <v>0</v>
      </c>
      <c r="AE465" s="160">
        <f t="shared" si="1577"/>
        <v>0</v>
      </c>
      <c r="AF465" s="160">
        <f t="shared" si="1577"/>
        <v>0</v>
      </c>
      <c r="AG465" s="160">
        <f t="shared" si="1577"/>
        <v>0</v>
      </c>
      <c r="AH465" s="160">
        <f t="shared" si="1577"/>
        <v>0</v>
      </c>
      <c r="AI465" s="160">
        <f t="shared" si="1577"/>
        <v>0</v>
      </c>
      <c r="AJ465" s="160">
        <f t="shared" si="1577"/>
        <v>0</v>
      </c>
      <c r="AK465" s="160">
        <f t="shared" si="1577"/>
        <v>0</v>
      </c>
      <c r="AL465" s="160">
        <f t="shared" si="1577"/>
        <v>0</v>
      </c>
      <c r="AM465" s="160">
        <f t="shared" si="1577"/>
        <v>0</v>
      </c>
      <c r="AN465" s="160">
        <f t="shared" si="1577"/>
        <v>0</v>
      </c>
      <c r="AO465" s="160">
        <f t="shared" si="1577"/>
        <v>0</v>
      </c>
      <c r="AP465" s="160">
        <f t="shared" si="1577"/>
        <v>0</v>
      </c>
      <c r="AQ465" s="160">
        <f t="shared" si="1577"/>
        <v>0</v>
      </c>
      <c r="AR465" s="160">
        <f t="shared" si="1577"/>
        <v>0</v>
      </c>
      <c r="AS465" s="160">
        <f t="shared" si="1577"/>
        <v>0</v>
      </c>
      <c r="AT465" s="160">
        <f t="shared" si="1577"/>
        <v>0</v>
      </c>
      <c r="AU465" s="160">
        <f t="shared" si="1577"/>
        <v>0</v>
      </c>
      <c r="AV465" s="160">
        <f t="shared" si="1577"/>
        <v>0</v>
      </c>
      <c r="AW465" s="160">
        <f t="shared" si="1577"/>
        <v>0</v>
      </c>
      <c r="AX465" s="160">
        <f t="shared" si="1577"/>
        <v>0</v>
      </c>
      <c r="AY465" s="160">
        <f t="shared" si="1577"/>
        <v>0</v>
      </c>
      <c r="AZ465" s="160">
        <f t="shared" si="1577"/>
        <v>0</v>
      </c>
      <c r="BA465" s="160">
        <f t="shared" si="1577"/>
        <v>0</v>
      </c>
      <c r="BB465" s="160">
        <f t="shared" si="1577"/>
        <v>0</v>
      </c>
      <c r="BC465" s="160">
        <f t="shared" si="1577"/>
        <v>0</v>
      </c>
      <c r="BD465" s="160">
        <f t="shared" si="1577"/>
        <v>0</v>
      </c>
      <c r="BE465" s="160">
        <f t="shared" si="1577"/>
        <v>0</v>
      </c>
      <c r="BF465" s="160">
        <f t="shared" si="1577"/>
        <v>0</v>
      </c>
      <c r="BG465" s="160">
        <f t="shared" si="1577"/>
        <v>0</v>
      </c>
      <c r="BH465" s="160">
        <f t="shared" si="1577"/>
        <v>0</v>
      </c>
      <c r="BI465" s="160">
        <f t="shared" si="1577"/>
        <v>0</v>
      </c>
      <c r="BJ465" s="160">
        <f t="shared" si="1577"/>
        <v>0</v>
      </c>
      <c r="BK465" s="160">
        <f t="shared" si="1577"/>
        <v>0</v>
      </c>
      <c r="BL465" s="160">
        <f t="shared" si="1577"/>
        <v>0</v>
      </c>
      <c r="BM465" s="160">
        <f t="shared" si="1577"/>
        <v>0</v>
      </c>
      <c r="BN465" s="160">
        <f t="shared" si="1577"/>
        <v>0</v>
      </c>
      <c r="BO465" s="160">
        <f t="shared" si="1577"/>
        <v>0</v>
      </c>
      <c r="BP465" s="160">
        <f t="shared" si="1577"/>
        <v>0</v>
      </c>
      <c r="BQ465" s="160">
        <f t="shared" si="1577"/>
        <v>0</v>
      </c>
      <c r="BR465" s="160">
        <f t="shared" si="1577"/>
        <v>0</v>
      </c>
      <c r="BS465" s="65"/>
      <c r="BT465" s="160">
        <f t="shared" si="1578"/>
        <v>0</v>
      </c>
      <c r="BU465" s="160">
        <f t="shared" si="1579"/>
        <v>0</v>
      </c>
      <c r="BV465" s="65"/>
      <c r="BW465" s="69"/>
      <c r="BX465" s="65"/>
      <c r="BY465" s="137">
        <f t="shared" si="1580"/>
        <v>1</v>
      </c>
      <c r="BZ465" s="137">
        <f>IF(BY465&gt;0,BY465+LARGE($BZ$213:BZ464,1),0)</f>
        <v>213</v>
      </c>
      <c r="CA465" s="137" t="str">
        <f t="shared" si="1581"/>
        <v>TEC III</v>
      </c>
      <c r="CB465" s="161">
        <f t="shared" si="1582"/>
        <v>0</v>
      </c>
      <c r="CC465" s="161">
        <f t="shared" si="1583"/>
        <v>0</v>
      </c>
      <c r="CD465" s="161">
        <f t="shared" si="1584"/>
        <v>0</v>
      </c>
      <c r="CE465" s="161">
        <f t="shared" si="1585"/>
        <v>0</v>
      </c>
      <c r="CF465" s="161">
        <f t="shared" si="1586"/>
        <v>0</v>
      </c>
      <c r="CG465" s="161">
        <f t="shared" si="1587"/>
        <v>0</v>
      </c>
      <c r="CH465" s="161">
        <f t="shared" si="1588"/>
        <v>0</v>
      </c>
      <c r="CI465" s="161">
        <f t="shared" si="1589"/>
        <v>0</v>
      </c>
      <c r="CJ465" s="161">
        <f t="shared" si="1590"/>
        <v>0</v>
      </c>
      <c r="CK465" s="161">
        <f t="shared" si="1591"/>
        <v>0</v>
      </c>
      <c r="CL465" s="161">
        <f t="shared" si="1592"/>
        <v>0</v>
      </c>
      <c r="CM465" s="161">
        <f t="shared" si="1593"/>
        <v>0</v>
      </c>
      <c r="CN465" s="161">
        <f t="shared" si="1594"/>
        <v>0</v>
      </c>
      <c r="CO465" s="161">
        <f t="shared" si="1595"/>
        <v>0</v>
      </c>
      <c r="CP465" s="161">
        <f t="shared" si="1596"/>
        <v>0</v>
      </c>
      <c r="CQ465" s="161">
        <f t="shared" si="1597"/>
        <v>0</v>
      </c>
      <c r="CR465" s="161">
        <f t="shared" si="1598"/>
        <v>0</v>
      </c>
      <c r="CS465" s="161">
        <f t="shared" si="1599"/>
        <v>0</v>
      </c>
      <c r="CT465" s="161">
        <f t="shared" si="1600"/>
        <v>0</v>
      </c>
      <c r="CU465" s="161">
        <f t="shared" si="1601"/>
        <v>0</v>
      </c>
      <c r="CV465" s="161">
        <f t="shared" si="1602"/>
        <v>0</v>
      </c>
      <c r="CW465" s="161">
        <f t="shared" si="1603"/>
        <v>0</v>
      </c>
      <c r="CX465" s="161">
        <f t="shared" si="1604"/>
        <v>0</v>
      </c>
      <c r="CY465" s="161">
        <f t="shared" si="1605"/>
        <v>0</v>
      </c>
      <c r="CZ465" s="161">
        <f t="shared" si="1606"/>
        <v>0</v>
      </c>
      <c r="DA465" s="161">
        <f t="shared" si="1607"/>
        <v>0</v>
      </c>
      <c r="DB465" s="161">
        <f t="shared" si="1608"/>
        <v>0</v>
      </c>
      <c r="DC465" s="161">
        <f t="shared" si="1609"/>
        <v>0</v>
      </c>
      <c r="DD465" s="161">
        <f t="shared" si="1610"/>
        <v>0</v>
      </c>
      <c r="DE465" s="161">
        <f t="shared" si="1611"/>
        <v>0</v>
      </c>
      <c r="DF465" s="161">
        <f t="shared" si="1612"/>
        <v>0</v>
      </c>
      <c r="DG465" s="161">
        <f t="shared" si="1613"/>
        <v>0</v>
      </c>
      <c r="DH465" s="161">
        <f t="shared" si="1614"/>
        <v>0</v>
      </c>
      <c r="DI465" s="161">
        <f t="shared" si="1615"/>
        <v>0</v>
      </c>
      <c r="DJ465" s="161">
        <f t="shared" si="1616"/>
        <v>0</v>
      </c>
      <c r="DK465" s="161">
        <f t="shared" si="1617"/>
        <v>0</v>
      </c>
      <c r="DL465" s="161">
        <f t="shared" si="1618"/>
        <v>0</v>
      </c>
      <c r="DM465" s="161">
        <f t="shared" si="1619"/>
        <v>0</v>
      </c>
      <c r="DN465" s="161">
        <f t="shared" si="1620"/>
        <v>0</v>
      </c>
      <c r="DO465" s="161">
        <f t="shared" si="1621"/>
        <v>0</v>
      </c>
      <c r="DP465" s="161">
        <f t="shared" si="1622"/>
        <v>0</v>
      </c>
      <c r="DQ465" s="161">
        <f t="shared" si="1623"/>
        <v>0</v>
      </c>
      <c r="DR465" s="161">
        <f t="shared" si="1624"/>
        <v>0</v>
      </c>
      <c r="DS465" s="161">
        <f t="shared" si="1625"/>
        <v>0</v>
      </c>
      <c r="DT465" s="161">
        <f t="shared" si="1626"/>
        <v>0</v>
      </c>
      <c r="DU465" s="161">
        <f t="shared" si="1627"/>
        <v>0</v>
      </c>
      <c r="DV465" s="161">
        <f t="shared" si="1628"/>
        <v>0</v>
      </c>
      <c r="DW465" s="161">
        <f t="shared" si="1629"/>
        <v>0</v>
      </c>
      <c r="DX465" s="161">
        <f t="shared" si="1630"/>
        <v>0</v>
      </c>
      <c r="DY465" s="161">
        <f t="shared" si="1631"/>
        <v>0</v>
      </c>
      <c r="DZ465" s="161">
        <f t="shared" si="1632"/>
        <v>0</v>
      </c>
      <c r="EA465" s="161">
        <f t="shared" si="1633"/>
        <v>0</v>
      </c>
      <c r="EB465" s="161">
        <f t="shared" si="1634"/>
        <v>0</v>
      </c>
      <c r="EC465" s="161">
        <f t="shared" si="1635"/>
        <v>0</v>
      </c>
      <c r="ED465" s="161">
        <f t="shared" si="1636"/>
        <v>0</v>
      </c>
      <c r="EE465" s="161">
        <f t="shared" si="1637"/>
        <v>0</v>
      </c>
      <c r="EF465" s="161">
        <f t="shared" si="1638"/>
        <v>0</v>
      </c>
      <c r="EG465" s="161">
        <f t="shared" si="1639"/>
        <v>0</v>
      </c>
      <c r="EH465" s="161">
        <f t="shared" si="1640"/>
        <v>0</v>
      </c>
      <c r="EI465" s="161">
        <f t="shared" si="1641"/>
        <v>0</v>
      </c>
      <c r="EJ465" s="65"/>
      <c r="EK465" s="161">
        <f t="shared" si="1712"/>
        <v>0</v>
      </c>
      <c r="EL465" s="161">
        <f t="shared" si="1713"/>
        <v>0</v>
      </c>
      <c r="EM465" s="161">
        <f t="shared" si="1714"/>
        <v>0</v>
      </c>
    </row>
    <row r="466" spans="1:143" ht="12" hidden="1" customHeight="1" outlineLevel="2">
      <c r="A466" s="77">
        <v>14</v>
      </c>
      <c r="B466" s="137" t="str">
        <f t="shared" si="1642"/>
        <v>TEC II - Equipe_01</v>
      </c>
      <c r="C466" s="65"/>
      <c r="D466" s="622"/>
      <c r="E466" s="65"/>
      <c r="F466" s="584"/>
      <c r="G466" s="77" t="str">
        <f>IF(INDEX(Tarefas!$BT$30:$FK$30,MATCH(A466,Tarefas!$BT$28:$FK$28,0))=0,"",INDEX(Tarefas!$BT$30:$FK$30,MATCH(A466,Tarefas!$BT$28:$FK$28,0)))</f>
        <v>TEC II</v>
      </c>
      <c r="H466" s="107" cm="1">
        <f t="array" ref="H466">IFERROR((SUMPRODUCT((Tarefas!$N$32:$N$54='Cronog. e Histog.'!$F$453)*(Tarefas!$BQ$30:$FK$30='Cronog. e Histog.'!$G466)*(Tarefas!$BQ$32:$FK$54)))/SUMIF(Tarefas!$N$32:$N$54,'Cronog. e Histog.'!$F$453,Tarefas!$K$32:$K$54),0)</f>
        <v>0</v>
      </c>
      <c r="I466" s="79">
        <f t="shared" si="1643"/>
        <v>0</v>
      </c>
      <c r="J466" s="65"/>
      <c r="K466" s="160">
        <f t="shared" si="1715"/>
        <v>0</v>
      </c>
      <c r="L466" s="160">
        <f t="shared" si="1577"/>
        <v>0</v>
      </c>
      <c r="M466" s="160">
        <f t="shared" si="1577"/>
        <v>0</v>
      </c>
      <c r="N466" s="160">
        <f t="shared" si="1577"/>
        <v>0</v>
      </c>
      <c r="O466" s="160">
        <f t="shared" si="1577"/>
        <v>0</v>
      </c>
      <c r="P466" s="160">
        <f t="shared" si="1577"/>
        <v>0</v>
      </c>
      <c r="Q466" s="160">
        <f t="shared" si="1577"/>
        <v>0</v>
      </c>
      <c r="R466" s="160">
        <f t="shared" si="1577"/>
        <v>0</v>
      </c>
      <c r="S466" s="160">
        <f t="shared" si="1577"/>
        <v>0</v>
      </c>
      <c r="T466" s="160">
        <f t="shared" si="1577"/>
        <v>0</v>
      </c>
      <c r="U466" s="160">
        <f t="shared" si="1577"/>
        <v>0</v>
      </c>
      <c r="V466" s="160">
        <f t="shared" si="1577"/>
        <v>0</v>
      </c>
      <c r="W466" s="160">
        <f t="shared" si="1577"/>
        <v>0</v>
      </c>
      <c r="X466" s="160">
        <f t="shared" si="1577"/>
        <v>0</v>
      </c>
      <c r="Y466" s="160">
        <f t="shared" si="1577"/>
        <v>0</v>
      </c>
      <c r="Z466" s="160">
        <f t="shared" si="1577"/>
        <v>0</v>
      </c>
      <c r="AA466" s="160">
        <f t="shared" si="1577"/>
        <v>0</v>
      </c>
      <c r="AB466" s="160">
        <f t="shared" si="1577"/>
        <v>0</v>
      </c>
      <c r="AC466" s="160">
        <f t="shared" si="1577"/>
        <v>0</v>
      </c>
      <c r="AD466" s="160">
        <f t="shared" si="1577"/>
        <v>0</v>
      </c>
      <c r="AE466" s="160">
        <f t="shared" si="1577"/>
        <v>0</v>
      </c>
      <c r="AF466" s="160">
        <f t="shared" si="1577"/>
        <v>0</v>
      </c>
      <c r="AG466" s="160">
        <f t="shared" si="1577"/>
        <v>0</v>
      </c>
      <c r="AH466" s="160">
        <f t="shared" si="1577"/>
        <v>0</v>
      </c>
      <c r="AI466" s="160">
        <f t="shared" si="1577"/>
        <v>0</v>
      </c>
      <c r="AJ466" s="160">
        <f t="shared" si="1577"/>
        <v>0</v>
      </c>
      <c r="AK466" s="160">
        <f t="shared" si="1577"/>
        <v>0</v>
      </c>
      <c r="AL466" s="160">
        <f t="shared" si="1577"/>
        <v>0</v>
      </c>
      <c r="AM466" s="160">
        <f t="shared" si="1577"/>
        <v>0</v>
      </c>
      <c r="AN466" s="160">
        <f t="shared" si="1577"/>
        <v>0</v>
      </c>
      <c r="AO466" s="160">
        <f t="shared" si="1577"/>
        <v>0</v>
      </c>
      <c r="AP466" s="160">
        <f t="shared" si="1577"/>
        <v>0</v>
      </c>
      <c r="AQ466" s="160">
        <f t="shared" si="1577"/>
        <v>0</v>
      </c>
      <c r="AR466" s="160">
        <f t="shared" si="1577"/>
        <v>0</v>
      </c>
      <c r="AS466" s="160">
        <f t="shared" si="1577"/>
        <v>0</v>
      </c>
      <c r="AT466" s="160">
        <f t="shared" si="1577"/>
        <v>0</v>
      </c>
      <c r="AU466" s="160">
        <f t="shared" si="1577"/>
        <v>0</v>
      </c>
      <c r="AV466" s="160">
        <f t="shared" si="1577"/>
        <v>0</v>
      </c>
      <c r="AW466" s="160">
        <f t="shared" si="1577"/>
        <v>0</v>
      </c>
      <c r="AX466" s="160">
        <f t="shared" si="1577"/>
        <v>0</v>
      </c>
      <c r="AY466" s="160">
        <f t="shared" si="1577"/>
        <v>0</v>
      </c>
      <c r="AZ466" s="160">
        <f t="shared" si="1577"/>
        <v>0</v>
      </c>
      <c r="BA466" s="160">
        <f t="shared" si="1577"/>
        <v>0</v>
      </c>
      <c r="BB466" s="160">
        <f t="shared" si="1577"/>
        <v>0</v>
      </c>
      <c r="BC466" s="160">
        <f t="shared" si="1577"/>
        <v>0</v>
      </c>
      <c r="BD466" s="160">
        <f t="shared" si="1577"/>
        <v>0</v>
      </c>
      <c r="BE466" s="160">
        <f t="shared" si="1577"/>
        <v>0</v>
      </c>
      <c r="BF466" s="160">
        <f t="shared" si="1577"/>
        <v>0</v>
      </c>
      <c r="BG466" s="160">
        <f t="shared" si="1577"/>
        <v>0</v>
      </c>
      <c r="BH466" s="160">
        <f t="shared" si="1577"/>
        <v>0</v>
      </c>
      <c r="BI466" s="160">
        <f t="shared" si="1577"/>
        <v>0</v>
      </c>
      <c r="BJ466" s="160">
        <f t="shared" si="1577"/>
        <v>0</v>
      </c>
      <c r="BK466" s="160">
        <f t="shared" si="1577"/>
        <v>0</v>
      </c>
      <c r="BL466" s="160">
        <f t="shared" si="1577"/>
        <v>0</v>
      </c>
      <c r="BM466" s="160">
        <f t="shared" si="1577"/>
        <v>0</v>
      </c>
      <c r="BN466" s="160">
        <f t="shared" si="1577"/>
        <v>0</v>
      </c>
      <c r="BO466" s="160">
        <f t="shared" si="1577"/>
        <v>0</v>
      </c>
      <c r="BP466" s="160">
        <f t="shared" si="1577"/>
        <v>0</v>
      </c>
      <c r="BQ466" s="160">
        <f t="shared" si="1577"/>
        <v>0</v>
      </c>
      <c r="BR466" s="160">
        <f t="shared" si="1577"/>
        <v>0</v>
      </c>
      <c r="BS466" s="65"/>
      <c r="BT466" s="160">
        <f t="shared" si="1578"/>
        <v>0</v>
      </c>
      <c r="BU466" s="160">
        <f t="shared" si="1579"/>
        <v>0</v>
      </c>
      <c r="BV466" s="65"/>
      <c r="BW466" s="69"/>
      <c r="BX466" s="65"/>
      <c r="BY466" s="137">
        <f t="shared" si="1580"/>
        <v>1</v>
      </c>
      <c r="BZ466" s="137">
        <f>IF(BY466&gt;0,BY466+LARGE($BZ$213:BZ465,1),0)</f>
        <v>214</v>
      </c>
      <c r="CA466" s="137" t="str">
        <f t="shared" si="1581"/>
        <v>TEC II</v>
      </c>
      <c r="CB466" s="161">
        <f t="shared" si="1582"/>
        <v>0</v>
      </c>
      <c r="CC466" s="161">
        <f t="shared" si="1583"/>
        <v>0</v>
      </c>
      <c r="CD466" s="161">
        <f t="shared" si="1584"/>
        <v>0</v>
      </c>
      <c r="CE466" s="161">
        <f t="shared" si="1585"/>
        <v>0</v>
      </c>
      <c r="CF466" s="161">
        <f t="shared" si="1586"/>
        <v>0</v>
      </c>
      <c r="CG466" s="161">
        <f t="shared" si="1587"/>
        <v>0</v>
      </c>
      <c r="CH466" s="161">
        <f t="shared" si="1588"/>
        <v>0</v>
      </c>
      <c r="CI466" s="161">
        <f t="shared" si="1589"/>
        <v>0</v>
      </c>
      <c r="CJ466" s="161">
        <f t="shared" si="1590"/>
        <v>0</v>
      </c>
      <c r="CK466" s="161">
        <f t="shared" si="1591"/>
        <v>0</v>
      </c>
      <c r="CL466" s="161">
        <f t="shared" si="1592"/>
        <v>0</v>
      </c>
      <c r="CM466" s="161">
        <f t="shared" si="1593"/>
        <v>0</v>
      </c>
      <c r="CN466" s="161">
        <f t="shared" si="1594"/>
        <v>0</v>
      </c>
      <c r="CO466" s="161">
        <f t="shared" si="1595"/>
        <v>0</v>
      </c>
      <c r="CP466" s="161">
        <f t="shared" si="1596"/>
        <v>0</v>
      </c>
      <c r="CQ466" s="161">
        <f t="shared" si="1597"/>
        <v>0</v>
      </c>
      <c r="CR466" s="161">
        <f t="shared" si="1598"/>
        <v>0</v>
      </c>
      <c r="CS466" s="161">
        <f t="shared" si="1599"/>
        <v>0</v>
      </c>
      <c r="CT466" s="161">
        <f t="shared" si="1600"/>
        <v>0</v>
      </c>
      <c r="CU466" s="161">
        <f t="shared" si="1601"/>
        <v>0</v>
      </c>
      <c r="CV466" s="161">
        <f t="shared" si="1602"/>
        <v>0</v>
      </c>
      <c r="CW466" s="161">
        <f t="shared" si="1603"/>
        <v>0</v>
      </c>
      <c r="CX466" s="161">
        <f t="shared" si="1604"/>
        <v>0</v>
      </c>
      <c r="CY466" s="161">
        <f t="shared" si="1605"/>
        <v>0</v>
      </c>
      <c r="CZ466" s="161">
        <f t="shared" si="1606"/>
        <v>0</v>
      </c>
      <c r="DA466" s="161">
        <f t="shared" si="1607"/>
        <v>0</v>
      </c>
      <c r="DB466" s="161">
        <f t="shared" si="1608"/>
        <v>0</v>
      </c>
      <c r="DC466" s="161">
        <f t="shared" si="1609"/>
        <v>0</v>
      </c>
      <c r="DD466" s="161">
        <f t="shared" si="1610"/>
        <v>0</v>
      </c>
      <c r="DE466" s="161">
        <f t="shared" si="1611"/>
        <v>0</v>
      </c>
      <c r="DF466" s="161">
        <f t="shared" si="1612"/>
        <v>0</v>
      </c>
      <c r="DG466" s="161">
        <f t="shared" si="1613"/>
        <v>0</v>
      </c>
      <c r="DH466" s="161">
        <f t="shared" si="1614"/>
        <v>0</v>
      </c>
      <c r="DI466" s="161">
        <f t="shared" si="1615"/>
        <v>0</v>
      </c>
      <c r="DJ466" s="161">
        <f t="shared" si="1616"/>
        <v>0</v>
      </c>
      <c r="DK466" s="161">
        <f t="shared" si="1617"/>
        <v>0</v>
      </c>
      <c r="DL466" s="161">
        <f t="shared" si="1618"/>
        <v>0</v>
      </c>
      <c r="DM466" s="161">
        <f t="shared" si="1619"/>
        <v>0</v>
      </c>
      <c r="DN466" s="161">
        <f t="shared" si="1620"/>
        <v>0</v>
      </c>
      <c r="DO466" s="161">
        <f t="shared" si="1621"/>
        <v>0</v>
      </c>
      <c r="DP466" s="161">
        <f t="shared" si="1622"/>
        <v>0</v>
      </c>
      <c r="DQ466" s="161">
        <f t="shared" si="1623"/>
        <v>0</v>
      </c>
      <c r="DR466" s="161">
        <f t="shared" si="1624"/>
        <v>0</v>
      </c>
      <c r="DS466" s="161">
        <f t="shared" si="1625"/>
        <v>0</v>
      </c>
      <c r="DT466" s="161">
        <f t="shared" si="1626"/>
        <v>0</v>
      </c>
      <c r="DU466" s="161">
        <f t="shared" si="1627"/>
        <v>0</v>
      </c>
      <c r="DV466" s="161">
        <f t="shared" si="1628"/>
        <v>0</v>
      </c>
      <c r="DW466" s="161">
        <f t="shared" si="1629"/>
        <v>0</v>
      </c>
      <c r="DX466" s="161">
        <f t="shared" si="1630"/>
        <v>0</v>
      </c>
      <c r="DY466" s="161">
        <f t="shared" si="1631"/>
        <v>0</v>
      </c>
      <c r="DZ466" s="161">
        <f t="shared" si="1632"/>
        <v>0</v>
      </c>
      <c r="EA466" s="161">
        <f t="shared" si="1633"/>
        <v>0</v>
      </c>
      <c r="EB466" s="161">
        <f t="shared" si="1634"/>
        <v>0</v>
      </c>
      <c r="EC466" s="161">
        <f t="shared" si="1635"/>
        <v>0</v>
      </c>
      <c r="ED466" s="161">
        <f t="shared" si="1636"/>
        <v>0</v>
      </c>
      <c r="EE466" s="161">
        <f t="shared" si="1637"/>
        <v>0</v>
      </c>
      <c r="EF466" s="161">
        <f t="shared" si="1638"/>
        <v>0</v>
      </c>
      <c r="EG466" s="161">
        <f t="shared" si="1639"/>
        <v>0</v>
      </c>
      <c r="EH466" s="161">
        <f t="shared" si="1640"/>
        <v>0</v>
      </c>
      <c r="EI466" s="161">
        <f t="shared" si="1641"/>
        <v>0</v>
      </c>
      <c r="EJ466" s="65"/>
      <c r="EK466" s="161">
        <f t="shared" si="1712"/>
        <v>0</v>
      </c>
      <c r="EL466" s="161">
        <f t="shared" si="1713"/>
        <v>0</v>
      </c>
      <c r="EM466" s="161">
        <f t="shared" si="1714"/>
        <v>0</v>
      </c>
    </row>
    <row r="467" spans="1:143" ht="12" hidden="1" customHeight="1" outlineLevel="2">
      <c r="A467" s="77">
        <v>15</v>
      </c>
      <c r="B467" s="137" t="str">
        <f t="shared" si="1642"/>
        <v>TEC I - Equipe_01</v>
      </c>
      <c r="C467" s="65"/>
      <c r="D467" s="622"/>
      <c r="E467" s="65"/>
      <c r="F467" s="584"/>
      <c r="G467" s="77" t="str">
        <f>IF(INDEX(Tarefas!$BT$30:$FK$30,MATCH(A467,Tarefas!$BT$28:$FK$28,0))=0,"",INDEX(Tarefas!$BT$30:$FK$30,MATCH(A467,Tarefas!$BT$28:$FK$28,0)))</f>
        <v>TEC I</v>
      </c>
      <c r="H467" s="107" cm="1">
        <f t="array" ref="H467">IFERROR((SUMPRODUCT((Tarefas!$N$32:$N$54='Cronog. e Histog.'!$F$453)*(Tarefas!$BQ$30:$FK$30='Cronog. e Histog.'!$G467)*(Tarefas!$BQ$32:$FK$54)))/SUMIF(Tarefas!$N$32:$N$54,'Cronog. e Histog.'!$F$453,Tarefas!$K$32:$K$54),0)</f>
        <v>0</v>
      </c>
      <c r="I467" s="79">
        <f t="shared" si="1643"/>
        <v>0</v>
      </c>
      <c r="J467" s="65"/>
      <c r="K467" s="160">
        <f t="shared" si="1715"/>
        <v>0</v>
      </c>
      <c r="L467" s="160">
        <f t="shared" si="1577"/>
        <v>0</v>
      </c>
      <c r="M467" s="160">
        <f t="shared" si="1577"/>
        <v>0</v>
      </c>
      <c r="N467" s="160">
        <f t="shared" si="1577"/>
        <v>0</v>
      </c>
      <c r="O467" s="160">
        <f t="shared" si="1577"/>
        <v>0</v>
      </c>
      <c r="P467" s="160">
        <f t="shared" si="1577"/>
        <v>0</v>
      </c>
      <c r="Q467" s="160">
        <f t="shared" si="1577"/>
        <v>0</v>
      </c>
      <c r="R467" s="160">
        <f t="shared" si="1577"/>
        <v>0</v>
      </c>
      <c r="S467" s="160">
        <f t="shared" si="1577"/>
        <v>0</v>
      </c>
      <c r="T467" s="160">
        <f t="shared" si="1577"/>
        <v>0</v>
      </c>
      <c r="U467" s="160">
        <f t="shared" si="1577"/>
        <v>0</v>
      </c>
      <c r="V467" s="160">
        <f t="shared" si="1577"/>
        <v>0</v>
      </c>
      <c r="W467" s="160">
        <f t="shared" si="1577"/>
        <v>0</v>
      </c>
      <c r="X467" s="160">
        <f t="shared" si="1577"/>
        <v>0</v>
      </c>
      <c r="Y467" s="160">
        <f t="shared" si="1577"/>
        <v>0</v>
      </c>
      <c r="Z467" s="160">
        <f t="shared" si="1577"/>
        <v>0</v>
      </c>
      <c r="AA467" s="160">
        <f t="shared" si="1577"/>
        <v>0</v>
      </c>
      <c r="AB467" s="160">
        <f t="shared" si="1577"/>
        <v>0</v>
      </c>
      <c r="AC467" s="160">
        <f t="shared" si="1577"/>
        <v>0</v>
      </c>
      <c r="AD467" s="160">
        <f t="shared" si="1577"/>
        <v>0</v>
      </c>
      <c r="AE467" s="160">
        <f t="shared" si="1577"/>
        <v>0</v>
      </c>
      <c r="AF467" s="160">
        <f t="shared" si="1577"/>
        <v>0</v>
      </c>
      <c r="AG467" s="160">
        <f t="shared" si="1577"/>
        <v>0</v>
      </c>
      <c r="AH467" s="160">
        <f t="shared" si="1577"/>
        <v>0</v>
      </c>
      <c r="AI467" s="160">
        <f t="shared" si="1577"/>
        <v>0</v>
      </c>
      <c r="AJ467" s="160">
        <f t="shared" si="1577"/>
        <v>0</v>
      </c>
      <c r="AK467" s="160">
        <f t="shared" si="1577"/>
        <v>0</v>
      </c>
      <c r="AL467" s="160">
        <f t="shared" si="1577"/>
        <v>0</v>
      </c>
      <c r="AM467" s="160">
        <f t="shared" si="1577"/>
        <v>0</v>
      </c>
      <c r="AN467" s="160">
        <f t="shared" si="1577"/>
        <v>0</v>
      </c>
      <c r="AO467" s="160">
        <f t="shared" si="1577"/>
        <v>0</v>
      </c>
      <c r="AP467" s="160">
        <f t="shared" si="1577"/>
        <v>0</v>
      </c>
      <c r="AQ467" s="160">
        <f t="shared" si="1577"/>
        <v>0</v>
      </c>
      <c r="AR467" s="160">
        <f t="shared" si="1577"/>
        <v>0</v>
      </c>
      <c r="AS467" s="160">
        <f t="shared" si="1577"/>
        <v>0</v>
      </c>
      <c r="AT467" s="160">
        <f t="shared" ref="L467:BR471" si="1716">ROUND($I467*AT$193,2)</f>
        <v>0</v>
      </c>
      <c r="AU467" s="160">
        <f t="shared" si="1716"/>
        <v>0</v>
      </c>
      <c r="AV467" s="160">
        <f t="shared" si="1716"/>
        <v>0</v>
      </c>
      <c r="AW467" s="160">
        <f t="shared" si="1716"/>
        <v>0</v>
      </c>
      <c r="AX467" s="160">
        <f t="shared" si="1716"/>
        <v>0</v>
      </c>
      <c r="AY467" s="160">
        <f t="shared" si="1716"/>
        <v>0</v>
      </c>
      <c r="AZ467" s="160">
        <f t="shared" si="1716"/>
        <v>0</v>
      </c>
      <c r="BA467" s="160">
        <f t="shared" si="1716"/>
        <v>0</v>
      </c>
      <c r="BB467" s="160">
        <f t="shared" si="1716"/>
        <v>0</v>
      </c>
      <c r="BC467" s="160">
        <f t="shared" si="1716"/>
        <v>0</v>
      </c>
      <c r="BD467" s="160">
        <f t="shared" si="1716"/>
        <v>0</v>
      </c>
      <c r="BE467" s="160">
        <f t="shared" si="1716"/>
        <v>0</v>
      </c>
      <c r="BF467" s="160">
        <f t="shared" si="1716"/>
        <v>0</v>
      </c>
      <c r="BG467" s="160">
        <f t="shared" si="1716"/>
        <v>0</v>
      </c>
      <c r="BH467" s="160">
        <f t="shared" si="1716"/>
        <v>0</v>
      </c>
      <c r="BI467" s="160">
        <f t="shared" si="1716"/>
        <v>0</v>
      </c>
      <c r="BJ467" s="160">
        <f t="shared" si="1716"/>
        <v>0</v>
      </c>
      <c r="BK467" s="160">
        <f t="shared" si="1716"/>
        <v>0</v>
      </c>
      <c r="BL467" s="160">
        <f t="shared" si="1716"/>
        <v>0</v>
      </c>
      <c r="BM467" s="160">
        <f t="shared" si="1716"/>
        <v>0</v>
      </c>
      <c r="BN467" s="160">
        <f t="shared" si="1716"/>
        <v>0</v>
      </c>
      <c r="BO467" s="160">
        <f t="shared" si="1716"/>
        <v>0</v>
      </c>
      <c r="BP467" s="160">
        <f t="shared" si="1716"/>
        <v>0</v>
      </c>
      <c r="BQ467" s="160">
        <f t="shared" si="1716"/>
        <v>0</v>
      </c>
      <c r="BR467" s="160">
        <f t="shared" si="1716"/>
        <v>0</v>
      </c>
      <c r="BS467" s="65"/>
      <c r="BT467" s="160">
        <f t="shared" si="1578"/>
        <v>0</v>
      </c>
      <c r="BU467" s="160">
        <f t="shared" si="1579"/>
        <v>0</v>
      </c>
      <c r="BV467" s="65"/>
      <c r="BW467" s="69"/>
      <c r="BX467" s="65"/>
      <c r="BY467" s="137">
        <f t="shared" si="1580"/>
        <v>1</v>
      </c>
      <c r="BZ467" s="137">
        <f>IF(BY467&gt;0,BY467+LARGE($BZ$213:BZ466,1),0)</f>
        <v>215</v>
      </c>
      <c r="CA467" s="137" t="str">
        <f t="shared" si="1581"/>
        <v>TEC I</v>
      </c>
      <c r="CB467" s="161">
        <f t="shared" si="1582"/>
        <v>0</v>
      </c>
      <c r="CC467" s="161">
        <f t="shared" si="1583"/>
        <v>0</v>
      </c>
      <c r="CD467" s="161">
        <f t="shared" si="1584"/>
        <v>0</v>
      </c>
      <c r="CE467" s="161">
        <f t="shared" si="1585"/>
        <v>0</v>
      </c>
      <c r="CF467" s="161">
        <f t="shared" si="1586"/>
        <v>0</v>
      </c>
      <c r="CG467" s="161">
        <f t="shared" si="1587"/>
        <v>0</v>
      </c>
      <c r="CH467" s="161">
        <f t="shared" si="1588"/>
        <v>0</v>
      </c>
      <c r="CI467" s="161">
        <f t="shared" si="1589"/>
        <v>0</v>
      </c>
      <c r="CJ467" s="161">
        <f t="shared" si="1590"/>
        <v>0</v>
      </c>
      <c r="CK467" s="161">
        <f t="shared" si="1591"/>
        <v>0</v>
      </c>
      <c r="CL467" s="161">
        <f t="shared" si="1592"/>
        <v>0</v>
      </c>
      <c r="CM467" s="161">
        <f t="shared" si="1593"/>
        <v>0</v>
      </c>
      <c r="CN467" s="161">
        <f t="shared" si="1594"/>
        <v>0</v>
      </c>
      <c r="CO467" s="161">
        <f t="shared" si="1595"/>
        <v>0</v>
      </c>
      <c r="CP467" s="161">
        <f t="shared" si="1596"/>
        <v>0</v>
      </c>
      <c r="CQ467" s="161">
        <f t="shared" si="1597"/>
        <v>0</v>
      </c>
      <c r="CR467" s="161">
        <f t="shared" si="1598"/>
        <v>0</v>
      </c>
      <c r="CS467" s="161">
        <f t="shared" si="1599"/>
        <v>0</v>
      </c>
      <c r="CT467" s="161">
        <f t="shared" si="1600"/>
        <v>0</v>
      </c>
      <c r="CU467" s="161">
        <f t="shared" si="1601"/>
        <v>0</v>
      </c>
      <c r="CV467" s="161">
        <f t="shared" si="1602"/>
        <v>0</v>
      </c>
      <c r="CW467" s="161">
        <f t="shared" si="1603"/>
        <v>0</v>
      </c>
      <c r="CX467" s="161">
        <f t="shared" si="1604"/>
        <v>0</v>
      </c>
      <c r="CY467" s="161">
        <f t="shared" si="1605"/>
        <v>0</v>
      </c>
      <c r="CZ467" s="161">
        <f t="shared" si="1606"/>
        <v>0</v>
      </c>
      <c r="DA467" s="161">
        <f t="shared" si="1607"/>
        <v>0</v>
      </c>
      <c r="DB467" s="161">
        <f t="shared" si="1608"/>
        <v>0</v>
      </c>
      <c r="DC467" s="161">
        <f t="shared" si="1609"/>
        <v>0</v>
      </c>
      <c r="DD467" s="161">
        <f t="shared" si="1610"/>
        <v>0</v>
      </c>
      <c r="DE467" s="161">
        <f t="shared" si="1611"/>
        <v>0</v>
      </c>
      <c r="DF467" s="161">
        <f t="shared" si="1612"/>
        <v>0</v>
      </c>
      <c r="DG467" s="161">
        <f t="shared" si="1613"/>
        <v>0</v>
      </c>
      <c r="DH467" s="161">
        <f t="shared" si="1614"/>
        <v>0</v>
      </c>
      <c r="DI467" s="161">
        <f t="shared" si="1615"/>
        <v>0</v>
      </c>
      <c r="DJ467" s="161">
        <f t="shared" si="1616"/>
        <v>0</v>
      </c>
      <c r="DK467" s="161">
        <f t="shared" si="1617"/>
        <v>0</v>
      </c>
      <c r="DL467" s="161">
        <f t="shared" si="1618"/>
        <v>0</v>
      </c>
      <c r="DM467" s="161">
        <f t="shared" si="1619"/>
        <v>0</v>
      </c>
      <c r="DN467" s="161">
        <f t="shared" si="1620"/>
        <v>0</v>
      </c>
      <c r="DO467" s="161">
        <f t="shared" si="1621"/>
        <v>0</v>
      </c>
      <c r="DP467" s="161">
        <f t="shared" si="1622"/>
        <v>0</v>
      </c>
      <c r="DQ467" s="161">
        <f t="shared" si="1623"/>
        <v>0</v>
      </c>
      <c r="DR467" s="161">
        <f t="shared" si="1624"/>
        <v>0</v>
      </c>
      <c r="DS467" s="161">
        <f t="shared" si="1625"/>
        <v>0</v>
      </c>
      <c r="DT467" s="161">
        <f t="shared" si="1626"/>
        <v>0</v>
      </c>
      <c r="DU467" s="161">
        <f t="shared" si="1627"/>
        <v>0</v>
      </c>
      <c r="DV467" s="161">
        <f t="shared" si="1628"/>
        <v>0</v>
      </c>
      <c r="DW467" s="161">
        <f t="shared" si="1629"/>
        <v>0</v>
      </c>
      <c r="DX467" s="161">
        <f t="shared" si="1630"/>
        <v>0</v>
      </c>
      <c r="DY467" s="161">
        <f t="shared" si="1631"/>
        <v>0</v>
      </c>
      <c r="DZ467" s="161">
        <f t="shared" si="1632"/>
        <v>0</v>
      </c>
      <c r="EA467" s="161">
        <f t="shared" si="1633"/>
        <v>0</v>
      </c>
      <c r="EB467" s="161">
        <f t="shared" si="1634"/>
        <v>0</v>
      </c>
      <c r="EC467" s="161">
        <f t="shared" si="1635"/>
        <v>0</v>
      </c>
      <c r="ED467" s="161">
        <f t="shared" si="1636"/>
        <v>0</v>
      </c>
      <c r="EE467" s="161">
        <f t="shared" si="1637"/>
        <v>0</v>
      </c>
      <c r="EF467" s="161">
        <f t="shared" si="1638"/>
        <v>0</v>
      </c>
      <c r="EG467" s="161">
        <f t="shared" si="1639"/>
        <v>0</v>
      </c>
      <c r="EH467" s="161">
        <f t="shared" si="1640"/>
        <v>0</v>
      </c>
      <c r="EI467" s="161">
        <f t="shared" si="1641"/>
        <v>0</v>
      </c>
      <c r="EJ467" s="65"/>
      <c r="EK467" s="161">
        <f t="shared" si="1712"/>
        <v>0</v>
      </c>
      <c r="EL467" s="161">
        <f t="shared" si="1713"/>
        <v>0</v>
      </c>
      <c r="EM467" s="161">
        <f t="shared" si="1714"/>
        <v>0</v>
      </c>
    </row>
    <row r="468" spans="1:143" ht="12" hidden="1" customHeight="1" outlineLevel="2">
      <c r="A468" s="77">
        <v>16</v>
      </c>
      <c r="B468" s="137" t="str">
        <f t="shared" si="1642"/>
        <v>AUX TEC - Equipe_01</v>
      </c>
      <c r="C468" s="65"/>
      <c r="D468" s="622"/>
      <c r="E468" s="65"/>
      <c r="F468" s="584"/>
      <c r="G468" s="77" t="str">
        <f>IF(INDEX(Tarefas!$BT$30:$FK$30,MATCH(A468,Tarefas!$BT$28:$FK$28,0))=0,"",INDEX(Tarefas!$BT$30:$FK$30,MATCH(A468,Tarefas!$BT$28:$FK$28,0)))</f>
        <v>AUX TEC</v>
      </c>
      <c r="H468" s="107" cm="1">
        <f t="array" ref="H468">IFERROR((SUMPRODUCT((Tarefas!$N$32:$N$54='Cronog. e Histog.'!$F$453)*(Tarefas!$BQ$30:$FK$30='Cronog. e Histog.'!$G468)*(Tarefas!$BQ$32:$FK$54)))/SUMIF(Tarefas!$N$32:$N$54,'Cronog. e Histog.'!$F$453,Tarefas!$K$32:$K$54),0)</f>
        <v>0</v>
      </c>
      <c r="I468" s="79">
        <f t="shared" si="1643"/>
        <v>0</v>
      </c>
      <c r="J468" s="65"/>
      <c r="K468" s="160">
        <f t="shared" si="1715"/>
        <v>0</v>
      </c>
      <c r="L468" s="160">
        <f t="shared" si="1716"/>
        <v>0</v>
      </c>
      <c r="M468" s="160">
        <f t="shared" si="1716"/>
        <v>0</v>
      </c>
      <c r="N468" s="160">
        <f t="shared" si="1716"/>
        <v>0</v>
      </c>
      <c r="O468" s="160">
        <f t="shared" si="1716"/>
        <v>0</v>
      </c>
      <c r="P468" s="160">
        <f t="shared" si="1716"/>
        <v>0</v>
      </c>
      <c r="Q468" s="160">
        <f t="shared" si="1716"/>
        <v>0</v>
      </c>
      <c r="R468" s="160">
        <f t="shared" si="1716"/>
        <v>0</v>
      </c>
      <c r="S468" s="160">
        <f t="shared" si="1716"/>
        <v>0</v>
      </c>
      <c r="T468" s="160">
        <f t="shared" si="1716"/>
        <v>0</v>
      </c>
      <c r="U468" s="160">
        <f t="shared" si="1716"/>
        <v>0</v>
      </c>
      <c r="V468" s="160">
        <f t="shared" si="1716"/>
        <v>0</v>
      </c>
      <c r="W468" s="160">
        <f t="shared" si="1716"/>
        <v>0</v>
      </c>
      <c r="X468" s="160">
        <f t="shared" si="1716"/>
        <v>0</v>
      </c>
      <c r="Y468" s="160">
        <f t="shared" si="1716"/>
        <v>0</v>
      </c>
      <c r="Z468" s="160">
        <f t="shared" si="1716"/>
        <v>0</v>
      </c>
      <c r="AA468" s="160">
        <f t="shared" si="1716"/>
        <v>0</v>
      </c>
      <c r="AB468" s="160">
        <f t="shared" si="1716"/>
        <v>0</v>
      </c>
      <c r="AC468" s="160">
        <f t="shared" si="1716"/>
        <v>0</v>
      </c>
      <c r="AD468" s="160">
        <f t="shared" si="1716"/>
        <v>0</v>
      </c>
      <c r="AE468" s="160">
        <f t="shared" si="1716"/>
        <v>0</v>
      </c>
      <c r="AF468" s="160">
        <f t="shared" si="1716"/>
        <v>0</v>
      </c>
      <c r="AG468" s="160">
        <f t="shared" si="1716"/>
        <v>0</v>
      </c>
      <c r="AH468" s="160">
        <f t="shared" si="1716"/>
        <v>0</v>
      </c>
      <c r="AI468" s="160">
        <f t="shared" si="1716"/>
        <v>0</v>
      </c>
      <c r="AJ468" s="160">
        <f t="shared" si="1716"/>
        <v>0</v>
      </c>
      <c r="AK468" s="160">
        <f t="shared" si="1716"/>
        <v>0</v>
      </c>
      <c r="AL468" s="160">
        <f t="shared" si="1716"/>
        <v>0</v>
      </c>
      <c r="AM468" s="160">
        <f t="shared" si="1716"/>
        <v>0</v>
      </c>
      <c r="AN468" s="160">
        <f t="shared" si="1716"/>
        <v>0</v>
      </c>
      <c r="AO468" s="160">
        <f t="shared" si="1716"/>
        <v>0</v>
      </c>
      <c r="AP468" s="160">
        <f t="shared" si="1716"/>
        <v>0</v>
      </c>
      <c r="AQ468" s="160">
        <f t="shared" si="1716"/>
        <v>0</v>
      </c>
      <c r="AR468" s="160">
        <f t="shared" si="1716"/>
        <v>0</v>
      </c>
      <c r="AS468" s="160">
        <f t="shared" si="1716"/>
        <v>0</v>
      </c>
      <c r="AT468" s="160">
        <f t="shared" si="1716"/>
        <v>0</v>
      </c>
      <c r="AU468" s="160">
        <f t="shared" si="1716"/>
        <v>0</v>
      </c>
      <c r="AV468" s="160">
        <f t="shared" si="1716"/>
        <v>0</v>
      </c>
      <c r="AW468" s="160">
        <f t="shared" si="1716"/>
        <v>0</v>
      </c>
      <c r="AX468" s="160">
        <f t="shared" si="1716"/>
        <v>0</v>
      </c>
      <c r="AY468" s="160">
        <f t="shared" si="1716"/>
        <v>0</v>
      </c>
      <c r="AZ468" s="160">
        <f t="shared" si="1716"/>
        <v>0</v>
      </c>
      <c r="BA468" s="160">
        <f t="shared" si="1716"/>
        <v>0</v>
      </c>
      <c r="BB468" s="160">
        <f t="shared" si="1716"/>
        <v>0</v>
      </c>
      <c r="BC468" s="160">
        <f t="shared" si="1716"/>
        <v>0</v>
      </c>
      <c r="BD468" s="160">
        <f t="shared" si="1716"/>
        <v>0</v>
      </c>
      <c r="BE468" s="160">
        <f t="shared" si="1716"/>
        <v>0</v>
      </c>
      <c r="BF468" s="160">
        <f t="shared" si="1716"/>
        <v>0</v>
      </c>
      <c r="BG468" s="160">
        <f t="shared" si="1716"/>
        <v>0</v>
      </c>
      <c r="BH468" s="160">
        <f t="shared" si="1716"/>
        <v>0</v>
      </c>
      <c r="BI468" s="160">
        <f t="shared" si="1716"/>
        <v>0</v>
      </c>
      <c r="BJ468" s="160">
        <f t="shared" si="1716"/>
        <v>0</v>
      </c>
      <c r="BK468" s="160">
        <f t="shared" si="1716"/>
        <v>0</v>
      </c>
      <c r="BL468" s="160">
        <f t="shared" si="1716"/>
        <v>0</v>
      </c>
      <c r="BM468" s="160">
        <f t="shared" si="1716"/>
        <v>0</v>
      </c>
      <c r="BN468" s="160">
        <f t="shared" si="1716"/>
        <v>0</v>
      </c>
      <c r="BO468" s="160">
        <f t="shared" si="1716"/>
        <v>0</v>
      </c>
      <c r="BP468" s="160">
        <f t="shared" si="1716"/>
        <v>0</v>
      </c>
      <c r="BQ468" s="160">
        <f t="shared" si="1716"/>
        <v>0</v>
      </c>
      <c r="BR468" s="160">
        <f t="shared" si="1716"/>
        <v>0</v>
      </c>
      <c r="BS468" s="65"/>
      <c r="BT468" s="160">
        <f t="shared" si="1578"/>
        <v>0</v>
      </c>
      <c r="BU468" s="160">
        <f t="shared" si="1579"/>
        <v>0</v>
      </c>
      <c r="BV468" s="65"/>
      <c r="BW468" s="69"/>
      <c r="BX468" s="65"/>
      <c r="BY468" s="137">
        <f t="shared" si="1580"/>
        <v>1</v>
      </c>
      <c r="BZ468" s="137">
        <f>IF(BY468&gt;0,BY468+LARGE($BZ$213:BZ467,1),0)</f>
        <v>216</v>
      </c>
      <c r="CA468" s="137" t="str">
        <f t="shared" si="1581"/>
        <v>AUX TEC</v>
      </c>
      <c r="CB468" s="161">
        <f t="shared" si="1582"/>
        <v>0</v>
      </c>
      <c r="CC468" s="161">
        <f t="shared" si="1583"/>
        <v>0</v>
      </c>
      <c r="CD468" s="161">
        <f t="shared" si="1584"/>
        <v>0</v>
      </c>
      <c r="CE468" s="161">
        <f t="shared" si="1585"/>
        <v>0</v>
      </c>
      <c r="CF468" s="161">
        <f t="shared" si="1586"/>
        <v>0</v>
      </c>
      <c r="CG468" s="161">
        <f t="shared" si="1587"/>
        <v>0</v>
      </c>
      <c r="CH468" s="161">
        <f t="shared" si="1588"/>
        <v>0</v>
      </c>
      <c r="CI468" s="161">
        <f t="shared" si="1589"/>
        <v>0</v>
      </c>
      <c r="CJ468" s="161">
        <f t="shared" si="1590"/>
        <v>0</v>
      </c>
      <c r="CK468" s="161">
        <f t="shared" si="1591"/>
        <v>0</v>
      </c>
      <c r="CL468" s="161">
        <f t="shared" si="1592"/>
        <v>0</v>
      </c>
      <c r="CM468" s="161">
        <f t="shared" si="1593"/>
        <v>0</v>
      </c>
      <c r="CN468" s="161">
        <f t="shared" si="1594"/>
        <v>0</v>
      </c>
      <c r="CO468" s="161">
        <f t="shared" si="1595"/>
        <v>0</v>
      </c>
      <c r="CP468" s="161">
        <f t="shared" si="1596"/>
        <v>0</v>
      </c>
      <c r="CQ468" s="161">
        <f t="shared" si="1597"/>
        <v>0</v>
      </c>
      <c r="CR468" s="161">
        <f t="shared" si="1598"/>
        <v>0</v>
      </c>
      <c r="CS468" s="161">
        <f t="shared" si="1599"/>
        <v>0</v>
      </c>
      <c r="CT468" s="161">
        <f t="shared" si="1600"/>
        <v>0</v>
      </c>
      <c r="CU468" s="161">
        <f t="shared" si="1601"/>
        <v>0</v>
      </c>
      <c r="CV468" s="161">
        <f t="shared" si="1602"/>
        <v>0</v>
      </c>
      <c r="CW468" s="161">
        <f t="shared" si="1603"/>
        <v>0</v>
      </c>
      <c r="CX468" s="161">
        <f t="shared" si="1604"/>
        <v>0</v>
      </c>
      <c r="CY468" s="161">
        <f t="shared" si="1605"/>
        <v>0</v>
      </c>
      <c r="CZ468" s="161">
        <f t="shared" si="1606"/>
        <v>0</v>
      </c>
      <c r="DA468" s="161">
        <f t="shared" si="1607"/>
        <v>0</v>
      </c>
      <c r="DB468" s="161">
        <f t="shared" si="1608"/>
        <v>0</v>
      </c>
      <c r="DC468" s="161">
        <f t="shared" si="1609"/>
        <v>0</v>
      </c>
      <c r="DD468" s="161">
        <f t="shared" si="1610"/>
        <v>0</v>
      </c>
      <c r="DE468" s="161">
        <f t="shared" si="1611"/>
        <v>0</v>
      </c>
      <c r="DF468" s="161">
        <f t="shared" si="1612"/>
        <v>0</v>
      </c>
      <c r="DG468" s="161">
        <f t="shared" si="1613"/>
        <v>0</v>
      </c>
      <c r="DH468" s="161">
        <f t="shared" si="1614"/>
        <v>0</v>
      </c>
      <c r="DI468" s="161">
        <f t="shared" si="1615"/>
        <v>0</v>
      </c>
      <c r="DJ468" s="161">
        <f t="shared" si="1616"/>
        <v>0</v>
      </c>
      <c r="DK468" s="161">
        <f t="shared" si="1617"/>
        <v>0</v>
      </c>
      <c r="DL468" s="161">
        <f t="shared" si="1618"/>
        <v>0</v>
      </c>
      <c r="DM468" s="161">
        <f t="shared" si="1619"/>
        <v>0</v>
      </c>
      <c r="DN468" s="161">
        <f t="shared" si="1620"/>
        <v>0</v>
      </c>
      <c r="DO468" s="161">
        <f t="shared" si="1621"/>
        <v>0</v>
      </c>
      <c r="DP468" s="161">
        <f t="shared" si="1622"/>
        <v>0</v>
      </c>
      <c r="DQ468" s="161">
        <f t="shared" si="1623"/>
        <v>0</v>
      </c>
      <c r="DR468" s="161">
        <f t="shared" si="1624"/>
        <v>0</v>
      </c>
      <c r="DS468" s="161">
        <f t="shared" si="1625"/>
        <v>0</v>
      </c>
      <c r="DT468" s="161">
        <f t="shared" si="1626"/>
        <v>0</v>
      </c>
      <c r="DU468" s="161">
        <f t="shared" si="1627"/>
        <v>0</v>
      </c>
      <c r="DV468" s="161">
        <f t="shared" si="1628"/>
        <v>0</v>
      </c>
      <c r="DW468" s="161">
        <f t="shared" si="1629"/>
        <v>0</v>
      </c>
      <c r="DX468" s="161">
        <f t="shared" si="1630"/>
        <v>0</v>
      </c>
      <c r="DY468" s="161">
        <f t="shared" si="1631"/>
        <v>0</v>
      </c>
      <c r="DZ468" s="161">
        <f t="shared" si="1632"/>
        <v>0</v>
      </c>
      <c r="EA468" s="161">
        <f t="shared" si="1633"/>
        <v>0</v>
      </c>
      <c r="EB468" s="161">
        <f t="shared" si="1634"/>
        <v>0</v>
      </c>
      <c r="EC468" s="161">
        <f t="shared" si="1635"/>
        <v>0</v>
      </c>
      <c r="ED468" s="161">
        <f t="shared" si="1636"/>
        <v>0</v>
      </c>
      <c r="EE468" s="161">
        <f t="shared" si="1637"/>
        <v>0</v>
      </c>
      <c r="EF468" s="161">
        <f t="shared" si="1638"/>
        <v>0</v>
      </c>
      <c r="EG468" s="161">
        <f t="shared" si="1639"/>
        <v>0</v>
      </c>
      <c r="EH468" s="161">
        <f t="shared" si="1640"/>
        <v>0</v>
      </c>
      <c r="EI468" s="161">
        <f t="shared" si="1641"/>
        <v>0</v>
      </c>
      <c r="EJ468" s="65"/>
      <c r="EK468" s="161">
        <f t="shared" si="1712"/>
        <v>0</v>
      </c>
      <c r="EL468" s="161">
        <f t="shared" si="1713"/>
        <v>0</v>
      </c>
      <c r="EM468" s="161">
        <f t="shared" si="1714"/>
        <v>0</v>
      </c>
    </row>
    <row r="469" spans="1:143" ht="12" hidden="1" customHeight="1" outlineLevel="2">
      <c r="A469" s="77">
        <v>17</v>
      </c>
      <c r="B469" s="137" t="str">
        <f t="shared" si="1642"/>
        <v>AUX ADM - Equipe_01</v>
      </c>
      <c r="C469" s="65"/>
      <c r="D469" s="622"/>
      <c r="E469" s="65"/>
      <c r="F469" s="584"/>
      <c r="G469" s="77" t="str">
        <f>IF(INDEX(Tarefas!$BT$30:$FK$30,MATCH(A469,Tarefas!$BT$28:$FK$28,0))=0,"",INDEX(Tarefas!$BT$30:$FK$30,MATCH(A469,Tarefas!$BT$28:$FK$28,0)))</f>
        <v>AUX ADM</v>
      </c>
      <c r="H469" s="107" cm="1">
        <f t="array" ref="H469">IFERROR((SUMPRODUCT((Tarefas!$N$32:$N$54='Cronog. e Histog.'!$F$453)*(Tarefas!$BQ$30:$FK$30='Cronog. e Histog.'!$G469)*(Tarefas!$BQ$32:$FK$54)))/SUMIF(Tarefas!$N$32:$N$54,'Cronog. e Histog.'!$F$453,Tarefas!$K$32:$K$54),0)</f>
        <v>0</v>
      </c>
      <c r="I469" s="79">
        <f t="shared" si="1643"/>
        <v>0</v>
      </c>
      <c r="J469" s="65"/>
      <c r="K469" s="160">
        <f t="shared" si="1715"/>
        <v>0</v>
      </c>
      <c r="L469" s="160">
        <f t="shared" si="1716"/>
        <v>0</v>
      </c>
      <c r="M469" s="160">
        <f t="shared" si="1716"/>
        <v>0</v>
      </c>
      <c r="N469" s="160">
        <f t="shared" si="1716"/>
        <v>0</v>
      </c>
      <c r="O469" s="160">
        <f t="shared" si="1716"/>
        <v>0</v>
      </c>
      <c r="P469" s="160">
        <f t="shared" si="1716"/>
        <v>0</v>
      </c>
      <c r="Q469" s="160">
        <f t="shared" si="1716"/>
        <v>0</v>
      </c>
      <c r="R469" s="160">
        <f t="shared" si="1716"/>
        <v>0</v>
      </c>
      <c r="S469" s="160">
        <f t="shared" si="1716"/>
        <v>0</v>
      </c>
      <c r="T469" s="160">
        <f t="shared" si="1716"/>
        <v>0</v>
      </c>
      <c r="U469" s="160">
        <f t="shared" si="1716"/>
        <v>0</v>
      </c>
      <c r="V469" s="160">
        <f t="shared" si="1716"/>
        <v>0</v>
      </c>
      <c r="W469" s="160">
        <f t="shared" si="1716"/>
        <v>0</v>
      </c>
      <c r="X469" s="160">
        <f t="shared" si="1716"/>
        <v>0</v>
      </c>
      <c r="Y469" s="160">
        <f t="shared" si="1716"/>
        <v>0</v>
      </c>
      <c r="Z469" s="160">
        <f t="shared" si="1716"/>
        <v>0</v>
      </c>
      <c r="AA469" s="160">
        <f t="shared" si="1716"/>
        <v>0</v>
      </c>
      <c r="AB469" s="160">
        <f t="shared" si="1716"/>
        <v>0</v>
      </c>
      <c r="AC469" s="160">
        <f t="shared" si="1716"/>
        <v>0</v>
      </c>
      <c r="AD469" s="160">
        <f t="shared" si="1716"/>
        <v>0</v>
      </c>
      <c r="AE469" s="160">
        <f t="shared" si="1716"/>
        <v>0</v>
      </c>
      <c r="AF469" s="160">
        <f t="shared" si="1716"/>
        <v>0</v>
      </c>
      <c r="AG469" s="160">
        <f t="shared" si="1716"/>
        <v>0</v>
      </c>
      <c r="AH469" s="160">
        <f t="shared" si="1716"/>
        <v>0</v>
      </c>
      <c r="AI469" s="160">
        <f t="shared" si="1716"/>
        <v>0</v>
      </c>
      <c r="AJ469" s="160">
        <f t="shared" si="1716"/>
        <v>0</v>
      </c>
      <c r="AK469" s="160">
        <f t="shared" si="1716"/>
        <v>0</v>
      </c>
      <c r="AL469" s="160">
        <f t="shared" si="1716"/>
        <v>0</v>
      </c>
      <c r="AM469" s="160">
        <f t="shared" si="1716"/>
        <v>0</v>
      </c>
      <c r="AN469" s="160">
        <f t="shared" si="1716"/>
        <v>0</v>
      </c>
      <c r="AO469" s="160">
        <f t="shared" si="1716"/>
        <v>0</v>
      </c>
      <c r="AP469" s="160">
        <f t="shared" si="1716"/>
        <v>0</v>
      </c>
      <c r="AQ469" s="160">
        <f t="shared" si="1716"/>
        <v>0</v>
      </c>
      <c r="AR469" s="160">
        <f t="shared" si="1716"/>
        <v>0</v>
      </c>
      <c r="AS469" s="160">
        <f t="shared" si="1716"/>
        <v>0</v>
      </c>
      <c r="AT469" s="160">
        <f t="shared" si="1716"/>
        <v>0</v>
      </c>
      <c r="AU469" s="160">
        <f t="shared" si="1716"/>
        <v>0</v>
      </c>
      <c r="AV469" s="160">
        <f t="shared" si="1716"/>
        <v>0</v>
      </c>
      <c r="AW469" s="160">
        <f t="shared" si="1716"/>
        <v>0</v>
      </c>
      <c r="AX469" s="160">
        <f t="shared" si="1716"/>
        <v>0</v>
      </c>
      <c r="AY469" s="160">
        <f t="shared" si="1716"/>
        <v>0</v>
      </c>
      <c r="AZ469" s="160">
        <f t="shared" si="1716"/>
        <v>0</v>
      </c>
      <c r="BA469" s="160">
        <f t="shared" si="1716"/>
        <v>0</v>
      </c>
      <c r="BB469" s="160">
        <f t="shared" si="1716"/>
        <v>0</v>
      </c>
      <c r="BC469" s="160">
        <f t="shared" si="1716"/>
        <v>0</v>
      </c>
      <c r="BD469" s="160">
        <f t="shared" si="1716"/>
        <v>0</v>
      </c>
      <c r="BE469" s="160">
        <f t="shared" si="1716"/>
        <v>0</v>
      </c>
      <c r="BF469" s="160">
        <f t="shared" si="1716"/>
        <v>0</v>
      </c>
      <c r="BG469" s="160">
        <f t="shared" si="1716"/>
        <v>0</v>
      </c>
      <c r="BH469" s="160">
        <f t="shared" si="1716"/>
        <v>0</v>
      </c>
      <c r="BI469" s="160">
        <f t="shared" si="1716"/>
        <v>0</v>
      </c>
      <c r="BJ469" s="160">
        <f t="shared" si="1716"/>
        <v>0</v>
      </c>
      <c r="BK469" s="160">
        <f t="shared" si="1716"/>
        <v>0</v>
      </c>
      <c r="BL469" s="160">
        <f t="shared" si="1716"/>
        <v>0</v>
      </c>
      <c r="BM469" s="160">
        <f t="shared" si="1716"/>
        <v>0</v>
      </c>
      <c r="BN469" s="160">
        <f t="shared" si="1716"/>
        <v>0</v>
      </c>
      <c r="BO469" s="160">
        <f t="shared" si="1716"/>
        <v>0</v>
      </c>
      <c r="BP469" s="160">
        <f t="shared" si="1716"/>
        <v>0</v>
      </c>
      <c r="BQ469" s="160">
        <f t="shared" si="1716"/>
        <v>0</v>
      </c>
      <c r="BR469" s="160">
        <f t="shared" si="1716"/>
        <v>0</v>
      </c>
      <c r="BS469" s="65"/>
      <c r="BT469" s="160">
        <f t="shared" si="1578"/>
        <v>0</v>
      </c>
      <c r="BU469" s="160">
        <f t="shared" si="1579"/>
        <v>0</v>
      </c>
      <c r="BV469" s="65"/>
      <c r="BW469" s="69"/>
      <c r="BX469" s="65"/>
      <c r="BY469" s="137">
        <f t="shared" si="1580"/>
        <v>1</v>
      </c>
      <c r="BZ469" s="137">
        <f>IF(BY469&gt;0,BY469+LARGE($BZ$213:BZ468,1),0)</f>
        <v>217</v>
      </c>
      <c r="CA469" s="137" t="str">
        <f t="shared" si="1581"/>
        <v>AUX ADM</v>
      </c>
      <c r="CB469" s="161">
        <f t="shared" si="1582"/>
        <v>0</v>
      </c>
      <c r="CC469" s="161">
        <f t="shared" si="1583"/>
        <v>0</v>
      </c>
      <c r="CD469" s="161">
        <f t="shared" si="1584"/>
        <v>0</v>
      </c>
      <c r="CE469" s="161">
        <f t="shared" si="1585"/>
        <v>0</v>
      </c>
      <c r="CF469" s="161">
        <f t="shared" si="1586"/>
        <v>0</v>
      </c>
      <c r="CG469" s="161">
        <f t="shared" si="1587"/>
        <v>0</v>
      </c>
      <c r="CH469" s="161">
        <f t="shared" si="1588"/>
        <v>0</v>
      </c>
      <c r="CI469" s="161">
        <f t="shared" si="1589"/>
        <v>0</v>
      </c>
      <c r="CJ469" s="161">
        <f t="shared" si="1590"/>
        <v>0</v>
      </c>
      <c r="CK469" s="161">
        <f t="shared" si="1591"/>
        <v>0</v>
      </c>
      <c r="CL469" s="161">
        <f t="shared" si="1592"/>
        <v>0</v>
      </c>
      <c r="CM469" s="161">
        <f t="shared" si="1593"/>
        <v>0</v>
      </c>
      <c r="CN469" s="161">
        <f t="shared" si="1594"/>
        <v>0</v>
      </c>
      <c r="CO469" s="161">
        <f t="shared" si="1595"/>
        <v>0</v>
      </c>
      <c r="CP469" s="161">
        <f t="shared" si="1596"/>
        <v>0</v>
      </c>
      <c r="CQ469" s="161">
        <f t="shared" si="1597"/>
        <v>0</v>
      </c>
      <c r="CR469" s="161">
        <f t="shared" si="1598"/>
        <v>0</v>
      </c>
      <c r="CS469" s="161">
        <f t="shared" si="1599"/>
        <v>0</v>
      </c>
      <c r="CT469" s="161">
        <f t="shared" si="1600"/>
        <v>0</v>
      </c>
      <c r="CU469" s="161">
        <f t="shared" si="1601"/>
        <v>0</v>
      </c>
      <c r="CV469" s="161">
        <f t="shared" si="1602"/>
        <v>0</v>
      </c>
      <c r="CW469" s="161">
        <f t="shared" si="1603"/>
        <v>0</v>
      </c>
      <c r="CX469" s="161">
        <f t="shared" si="1604"/>
        <v>0</v>
      </c>
      <c r="CY469" s="161">
        <f t="shared" si="1605"/>
        <v>0</v>
      </c>
      <c r="CZ469" s="161">
        <f t="shared" si="1606"/>
        <v>0</v>
      </c>
      <c r="DA469" s="161">
        <f t="shared" si="1607"/>
        <v>0</v>
      </c>
      <c r="DB469" s="161">
        <f t="shared" si="1608"/>
        <v>0</v>
      </c>
      <c r="DC469" s="161">
        <f t="shared" si="1609"/>
        <v>0</v>
      </c>
      <c r="DD469" s="161">
        <f t="shared" si="1610"/>
        <v>0</v>
      </c>
      <c r="DE469" s="161">
        <f t="shared" si="1611"/>
        <v>0</v>
      </c>
      <c r="DF469" s="161">
        <f t="shared" si="1612"/>
        <v>0</v>
      </c>
      <c r="DG469" s="161">
        <f t="shared" si="1613"/>
        <v>0</v>
      </c>
      <c r="DH469" s="161">
        <f t="shared" si="1614"/>
        <v>0</v>
      </c>
      <c r="DI469" s="161">
        <f t="shared" si="1615"/>
        <v>0</v>
      </c>
      <c r="DJ469" s="161">
        <f t="shared" si="1616"/>
        <v>0</v>
      </c>
      <c r="DK469" s="161">
        <f t="shared" si="1617"/>
        <v>0</v>
      </c>
      <c r="DL469" s="161">
        <f t="shared" si="1618"/>
        <v>0</v>
      </c>
      <c r="DM469" s="161">
        <f t="shared" si="1619"/>
        <v>0</v>
      </c>
      <c r="DN469" s="161">
        <f t="shared" si="1620"/>
        <v>0</v>
      </c>
      <c r="DO469" s="161">
        <f t="shared" si="1621"/>
        <v>0</v>
      </c>
      <c r="DP469" s="161">
        <f t="shared" si="1622"/>
        <v>0</v>
      </c>
      <c r="DQ469" s="161">
        <f t="shared" si="1623"/>
        <v>0</v>
      </c>
      <c r="DR469" s="161">
        <f t="shared" si="1624"/>
        <v>0</v>
      </c>
      <c r="DS469" s="161">
        <f t="shared" si="1625"/>
        <v>0</v>
      </c>
      <c r="DT469" s="161">
        <f t="shared" si="1626"/>
        <v>0</v>
      </c>
      <c r="DU469" s="161">
        <f t="shared" si="1627"/>
        <v>0</v>
      </c>
      <c r="DV469" s="161">
        <f t="shared" si="1628"/>
        <v>0</v>
      </c>
      <c r="DW469" s="161">
        <f t="shared" si="1629"/>
        <v>0</v>
      </c>
      <c r="DX469" s="161">
        <f t="shared" si="1630"/>
        <v>0</v>
      </c>
      <c r="DY469" s="161">
        <f t="shared" si="1631"/>
        <v>0</v>
      </c>
      <c r="DZ469" s="161">
        <f t="shared" si="1632"/>
        <v>0</v>
      </c>
      <c r="EA469" s="161">
        <f t="shared" si="1633"/>
        <v>0</v>
      </c>
      <c r="EB469" s="161">
        <f t="shared" si="1634"/>
        <v>0</v>
      </c>
      <c r="EC469" s="161">
        <f t="shared" si="1635"/>
        <v>0</v>
      </c>
      <c r="ED469" s="161">
        <f t="shared" si="1636"/>
        <v>0</v>
      </c>
      <c r="EE469" s="161">
        <f t="shared" si="1637"/>
        <v>0</v>
      </c>
      <c r="EF469" s="161">
        <f t="shared" si="1638"/>
        <v>0</v>
      </c>
      <c r="EG469" s="161">
        <f t="shared" si="1639"/>
        <v>0</v>
      </c>
      <c r="EH469" s="161">
        <f t="shared" si="1640"/>
        <v>0</v>
      </c>
      <c r="EI469" s="161">
        <f t="shared" si="1641"/>
        <v>0</v>
      </c>
      <c r="EJ469" s="65"/>
      <c r="EK469" s="161">
        <f t="shared" si="1712"/>
        <v>0</v>
      </c>
      <c r="EL469" s="161">
        <f t="shared" si="1713"/>
        <v>0</v>
      </c>
      <c r="EM469" s="161">
        <f t="shared" si="1714"/>
        <v>0</v>
      </c>
    </row>
    <row r="470" spans="1:143" ht="12" hidden="1" customHeight="1" outlineLevel="2">
      <c r="A470" s="77">
        <v>18</v>
      </c>
      <c r="B470" s="137" t="str">
        <f t="shared" si="1642"/>
        <v>EST - Equipe_01</v>
      </c>
      <c r="C470" s="65"/>
      <c r="D470" s="622"/>
      <c r="E470" s="65"/>
      <c r="F470" s="584"/>
      <c r="G470" s="77" t="str">
        <f>IF(INDEX(Tarefas!$BT$30:$FK$30,MATCH(A470,Tarefas!$BT$28:$FK$28,0))=0,"",INDEX(Tarefas!$BT$30:$FK$30,MATCH(A470,Tarefas!$BT$28:$FK$28,0)))</f>
        <v>EST</v>
      </c>
      <c r="H470" s="107" cm="1">
        <f t="array" ref="H470">IFERROR((SUMPRODUCT((Tarefas!$N$32:$N$54='Cronog. e Histog.'!$F$453)*(Tarefas!$BQ$30:$FK$30='Cronog. e Histog.'!$G470)*(Tarefas!$BQ$32:$FK$54)))/SUMIF(Tarefas!$N$32:$N$54,'Cronog. e Histog.'!$F$453,Tarefas!$K$32:$K$54),0)</f>
        <v>0</v>
      </c>
      <c r="I470" s="79">
        <f t="shared" si="1643"/>
        <v>0</v>
      </c>
      <c r="J470" s="65"/>
      <c r="K470" s="160">
        <f t="shared" si="1715"/>
        <v>0</v>
      </c>
      <c r="L470" s="160">
        <f t="shared" si="1716"/>
        <v>0</v>
      </c>
      <c r="M470" s="160">
        <f t="shared" si="1716"/>
        <v>0</v>
      </c>
      <c r="N470" s="160">
        <f t="shared" si="1716"/>
        <v>0</v>
      </c>
      <c r="O470" s="160">
        <f t="shared" si="1716"/>
        <v>0</v>
      </c>
      <c r="P470" s="160">
        <f t="shared" si="1716"/>
        <v>0</v>
      </c>
      <c r="Q470" s="160">
        <f t="shared" si="1716"/>
        <v>0</v>
      </c>
      <c r="R470" s="160">
        <f t="shared" si="1716"/>
        <v>0</v>
      </c>
      <c r="S470" s="160">
        <f t="shared" si="1716"/>
        <v>0</v>
      </c>
      <c r="T470" s="160">
        <f t="shared" si="1716"/>
        <v>0</v>
      </c>
      <c r="U470" s="160">
        <f t="shared" si="1716"/>
        <v>0</v>
      </c>
      <c r="V470" s="160">
        <f t="shared" si="1716"/>
        <v>0</v>
      </c>
      <c r="W470" s="160">
        <f t="shared" si="1716"/>
        <v>0</v>
      </c>
      <c r="X470" s="160">
        <f t="shared" si="1716"/>
        <v>0</v>
      </c>
      <c r="Y470" s="160">
        <f t="shared" si="1716"/>
        <v>0</v>
      </c>
      <c r="Z470" s="160">
        <f t="shared" si="1716"/>
        <v>0</v>
      </c>
      <c r="AA470" s="160">
        <f t="shared" si="1716"/>
        <v>0</v>
      </c>
      <c r="AB470" s="160">
        <f t="shared" si="1716"/>
        <v>0</v>
      </c>
      <c r="AC470" s="160">
        <f t="shared" si="1716"/>
        <v>0</v>
      </c>
      <c r="AD470" s="160">
        <f t="shared" si="1716"/>
        <v>0</v>
      </c>
      <c r="AE470" s="160">
        <f t="shared" si="1716"/>
        <v>0</v>
      </c>
      <c r="AF470" s="160">
        <f t="shared" si="1716"/>
        <v>0</v>
      </c>
      <c r="AG470" s="160">
        <f t="shared" si="1716"/>
        <v>0</v>
      </c>
      <c r="AH470" s="160">
        <f t="shared" si="1716"/>
        <v>0</v>
      </c>
      <c r="AI470" s="160">
        <f t="shared" si="1716"/>
        <v>0</v>
      </c>
      <c r="AJ470" s="160">
        <f t="shared" si="1716"/>
        <v>0</v>
      </c>
      <c r="AK470" s="160">
        <f t="shared" si="1716"/>
        <v>0</v>
      </c>
      <c r="AL470" s="160">
        <f t="shared" si="1716"/>
        <v>0</v>
      </c>
      <c r="AM470" s="160">
        <f t="shared" si="1716"/>
        <v>0</v>
      </c>
      <c r="AN470" s="160">
        <f t="shared" si="1716"/>
        <v>0</v>
      </c>
      <c r="AO470" s="160">
        <f t="shared" si="1716"/>
        <v>0</v>
      </c>
      <c r="AP470" s="160">
        <f t="shared" si="1716"/>
        <v>0</v>
      </c>
      <c r="AQ470" s="160">
        <f t="shared" si="1716"/>
        <v>0</v>
      </c>
      <c r="AR470" s="160">
        <f t="shared" si="1716"/>
        <v>0</v>
      </c>
      <c r="AS470" s="160">
        <f t="shared" si="1716"/>
        <v>0</v>
      </c>
      <c r="AT470" s="160">
        <f t="shared" si="1716"/>
        <v>0</v>
      </c>
      <c r="AU470" s="160">
        <f t="shared" si="1716"/>
        <v>0</v>
      </c>
      <c r="AV470" s="160">
        <f t="shared" si="1716"/>
        <v>0</v>
      </c>
      <c r="AW470" s="160">
        <f t="shared" si="1716"/>
        <v>0</v>
      </c>
      <c r="AX470" s="160">
        <f t="shared" si="1716"/>
        <v>0</v>
      </c>
      <c r="AY470" s="160">
        <f t="shared" si="1716"/>
        <v>0</v>
      </c>
      <c r="AZ470" s="160">
        <f t="shared" si="1716"/>
        <v>0</v>
      </c>
      <c r="BA470" s="160">
        <f t="shared" si="1716"/>
        <v>0</v>
      </c>
      <c r="BB470" s="160">
        <f t="shared" si="1716"/>
        <v>0</v>
      </c>
      <c r="BC470" s="160">
        <f t="shared" si="1716"/>
        <v>0</v>
      </c>
      <c r="BD470" s="160">
        <f t="shared" si="1716"/>
        <v>0</v>
      </c>
      <c r="BE470" s="160">
        <f t="shared" si="1716"/>
        <v>0</v>
      </c>
      <c r="BF470" s="160">
        <f t="shared" si="1716"/>
        <v>0</v>
      </c>
      <c r="BG470" s="160">
        <f t="shared" si="1716"/>
        <v>0</v>
      </c>
      <c r="BH470" s="160">
        <f t="shared" si="1716"/>
        <v>0</v>
      </c>
      <c r="BI470" s="160">
        <f t="shared" si="1716"/>
        <v>0</v>
      </c>
      <c r="BJ470" s="160">
        <f t="shared" si="1716"/>
        <v>0</v>
      </c>
      <c r="BK470" s="160">
        <f t="shared" si="1716"/>
        <v>0</v>
      </c>
      <c r="BL470" s="160">
        <f t="shared" si="1716"/>
        <v>0</v>
      </c>
      <c r="BM470" s="160">
        <f t="shared" si="1716"/>
        <v>0</v>
      </c>
      <c r="BN470" s="160">
        <f t="shared" si="1716"/>
        <v>0</v>
      </c>
      <c r="BO470" s="160">
        <f t="shared" si="1716"/>
        <v>0</v>
      </c>
      <c r="BP470" s="160">
        <f t="shared" si="1716"/>
        <v>0</v>
      </c>
      <c r="BQ470" s="160">
        <f t="shared" si="1716"/>
        <v>0</v>
      </c>
      <c r="BR470" s="160">
        <f t="shared" si="1716"/>
        <v>0</v>
      </c>
      <c r="BS470" s="65"/>
      <c r="BT470" s="160">
        <f t="shared" si="1578"/>
        <v>0</v>
      </c>
      <c r="BU470" s="160">
        <f t="shared" si="1579"/>
        <v>0</v>
      </c>
      <c r="BV470" s="65"/>
      <c r="BW470" s="69"/>
      <c r="BX470" s="65"/>
      <c r="BY470" s="137">
        <f t="shared" si="1580"/>
        <v>1</v>
      </c>
      <c r="BZ470" s="137">
        <f>IF(BY470&gt;0,BY470+LARGE($BZ$213:BZ469,1),0)</f>
        <v>218</v>
      </c>
      <c r="CA470" s="137" t="str">
        <f t="shared" si="1581"/>
        <v>EST</v>
      </c>
      <c r="CB470" s="161">
        <f t="shared" si="1582"/>
        <v>0</v>
      </c>
      <c r="CC470" s="161">
        <f t="shared" si="1583"/>
        <v>0</v>
      </c>
      <c r="CD470" s="161">
        <f t="shared" si="1584"/>
        <v>0</v>
      </c>
      <c r="CE470" s="161">
        <f t="shared" si="1585"/>
        <v>0</v>
      </c>
      <c r="CF470" s="161">
        <f t="shared" si="1586"/>
        <v>0</v>
      </c>
      <c r="CG470" s="161">
        <f t="shared" si="1587"/>
        <v>0</v>
      </c>
      <c r="CH470" s="161">
        <f t="shared" si="1588"/>
        <v>0</v>
      </c>
      <c r="CI470" s="161">
        <f t="shared" si="1589"/>
        <v>0</v>
      </c>
      <c r="CJ470" s="161">
        <f t="shared" si="1590"/>
        <v>0</v>
      </c>
      <c r="CK470" s="161">
        <f t="shared" si="1591"/>
        <v>0</v>
      </c>
      <c r="CL470" s="161">
        <f t="shared" si="1592"/>
        <v>0</v>
      </c>
      <c r="CM470" s="161">
        <f t="shared" si="1593"/>
        <v>0</v>
      </c>
      <c r="CN470" s="161">
        <f t="shared" si="1594"/>
        <v>0</v>
      </c>
      <c r="CO470" s="161">
        <f t="shared" si="1595"/>
        <v>0</v>
      </c>
      <c r="CP470" s="161">
        <f t="shared" si="1596"/>
        <v>0</v>
      </c>
      <c r="CQ470" s="161">
        <f t="shared" si="1597"/>
        <v>0</v>
      </c>
      <c r="CR470" s="161">
        <f t="shared" si="1598"/>
        <v>0</v>
      </c>
      <c r="CS470" s="161">
        <f t="shared" si="1599"/>
        <v>0</v>
      </c>
      <c r="CT470" s="161">
        <f t="shared" si="1600"/>
        <v>0</v>
      </c>
      <c r="CU470" s="161">
        <f t="shared" si="1601"/>
        <v>0</v>
      </c>
      <c r="CV470" s="161">
        <f t="shared" si="1602"/>
        <v>0</v>
      </c>
      <c r="CW470" s="161">
        <f t="shared" si="1603"/>
        <v>0</v>
      </c>
      <c r="CX470" s="161">
        <f t="shared" si="1604"/>
        <v>0</v>
      </c>
      <c r="CY470" s="161">
        <f t="shared" si="1605"/>
        <v>0</v>
      </c>
      <c r="CZ470" s="161">
        <f t="shared" si="1606"/>
        <v>0</v>
      </c>
      <c r="DA470" s="161">
        <f t="shared" si="1607"/>
        <v>0</v>
      </c>
      <c r="DB470" s="161">
        <f t="shared" si="1608"/>
        <v>0</v>
      </c>
      <c r="DC470" s="161">
        <f t="shared" si="1609"/>
        <v>0</v>
      </c>
      <c r="DD470" s="161">
        <f t="shared" si="1610"/>
        <v>0</v>
      </c>
      <c r="DE470" s="161">
        <f t="shared" si="1611"/>
        <v>0</v>
      </c>
      <c r="DF470" s="161">
        <f t="shared" si="1612"/>
        <v>0</v>
      </c>
      <c r="DG470" s="161">
        <f t="shared" si="1613"/>
        <v>0</v>
      </c>
      <c r="DH470" s="161">
        <f t="shared" si="1614"/>
        <v>0</v>
      </c>
      <c r="DI470" s="161">
        <f t="shared" si="1615"/>
        <v>0</v>
      </c>
      <c r="DJ470" s="161">
        <f t="shared" si="1616"/>
        <v>0</v>
      </c>
      <c r="DK470" s="161">
        <f t="shared" si="1617"/>
        <v>0</v>
      </c>
      <c r="DL470" s="161">
        <f t="shared" si="1618"/>
        <v>0</v>
      </c>
      <c r="DM470" s="161">
        <f t="shared" si="1619"/>
        <v>0</v>
      </c>
      <c r="DN470" s="161">
        <f t="shared" si="1620"/>
        <v>0</v>
      </c>
      <c r="DO470" s="161">
        <f t="shared" si="1621"/>
        <v>0</v>
      </c>
      <c r="DP470" s="161">
        <f t="shared" si="1622"/>
        <v>0</v>
      </c>
      <c r="DQ470" s="161">
        <f t="shared" si="1623"/>
        <v>0</v>
      </c>
      <c r="DR470" s="161">
        <f t="shared" si="1624"/>
        <v>0</v>
      </c>
      <c r="DS470" s="161">
        <f t="shared" si="1625"/>
        <v>0</v>
      </c>
      <c r="DT470" s="161">
        <f t="shared" si="1626"/>
        <v>0</v>
      </c>
      <c r="DU470" s="161">
        <f t="shared" si="1627"/>
        <v>0</v>
      </c>
      <c r="DV470" s="161">
        <f t="shared" si="1628"/>
        <v>0</v>
      </c>
      <c r="DW470" s="161">
        <f t="shared" si="1629"/>
        <v>0</v>
      </c>
      <c r="DX470" s="161">
        <f t="shared" si="1630"/>
        <v>0</v>
      </c>
      <c r="DY470" s="161">
        <f t="shared" si="1631"/>
        <v>0</v>
      </c>
      <c r="DZ470" s="161">
        <f t="shared" si="1632"/>
        <v>0</v>
      </c>
      <c r="EA470" s="161">
        <f t="shared" si="1633"/>
        <v>0</v>
      </c>
      <c r="EB470" s="161">
        <f t="shared" si="1634"/>
        <v>0</v>
      </c>
      <c r="EC470" s="161">
        <f t="shared" si="1635"/>
        <v>0</v>
      </c>
      <c r="ED470" s="161">
        <f t="shared" si="1636"/>
        <v>0</v>
      </c>
      <c r="EE470" s="161">
        <f t="shared" si="1637"/>
        <v>0</v>
      </c>
      <c r="EF470" s="161">
        <f t="shared" si="1638"/>
        <v>0</v>
      </c>
      <c r="EG470" s="161">
        <f t="shared" si="1639"/>
        <v>0</v>
      </c>
      <c r="EH470" s="161">
        <f t="shared" si="1640"/>
        <v>0</v>
      </c>
      <c r="EI470" s="161">
        <f t="shared" si="1641"/>
        <v>0</v>
      </c>
      <c r="EJ470" s="65"/>
      <c r="EK470" s="161">
        <f t="shared" si="1712"/>
        <v>0</v>
      </c>
      <c r="EL470" s="161">
        <f t="shared" si="1713"/>
        <v>0</v>
      </c>
      <c r="EM470" s="161">
        <f t="shared" si="1714"/>
        <v>0</v>
      </c>
    </row>
    <row r="471" spans="1:143" ht="12" hidden="1" customHeight="1" outlineLevel="2">
      <c r="A471" s="77">
        <v>19</v>
      </c>
      <c r="B471" s="137" t="str">
        <f t="shared" si="1642"/>
        <v>EST_II - Equipe_01</v>
      </c>
      <c r="C471" s="65"/>
      <c r="D471" s="622"/>
      <c r="E471" s="65"/>
      <c r="F471" s="584"/>
      <c r="G471" s="77" t="str">
        <f>IF(INDEX(Tarefas!$BT$30:$FK$30,MATCH(A471,Tarefas!$BT$28:$FK$28,0))=0,"",INDEX(Tarefas!$BT$30:$FK$30,MATCH(A471,Tarefas!$BT$28:$FK$28,0)))</f>
        <v>EST_II</v>
      </c>
      <c r="H471" s="107" cm="1">
        <f t="array" ref="H471">IFERROR((SUMPRODUCT((Tarefas!$N$32:$N$54='Cronog. e Histog.'!$F$453)*(Tarefas!$BQ$30:$FK$30='Cronog. e Histog.'!$G471)*(Tarefas!$BQ$32:$FK$54)))/SUMIF(Tarefas!$N$32:$N$54,'Cronog. e Histog.'!$F$453,Tarefas!$K$32:$K$54),0)</f>
        <v>0</v>
      </c>
      <c r="I471" s="79">
        <f t="shared" si="1643"/>
        <v>0</v>
      </c>
      <c r="J471" s="65"/>
      <c r="K471" s="160">
        <f t="shared" si="1715"/>
        <v>0</v>
      </c>
      <c r="L471" s="160">
        <f t="shared" si="1716"/>
        <v>0</v>
      </c>
      <c r="M471" s="160">
        <f t="shared" si="1716"/>
        <v>0</v>
      </c>
      <c r="N471" s="160">
        <f t="shared" si="1716"/>
        <v>0</v>
      </c>
      <c r="O471" s="160">
        <f t="shared" si="1716"/>
        <v>0</v>
      </c>
      <c r="P471" s="160">
        <f t="shared" si="1716"/>
        <v>0</v>
      </c>
      <c r="Q471" s="160">
        <f t="shared" si="1716"/>
        <v>0</v>
      </c>
      <c r="R471" s="160">
        <f t="shared" si="1716"/>
        <v>0</v>
      </c>
      <c r="S471" s="160">
        <f t="shared" si="1716"/>
        <v>0</v>
      </c>
      <c r="T471" s="160">
        <f t="shared" si="1716"/>
        <v>0</v>
      </c>
      <c r="U471" s="160">
        <f t="shared" si="1716"/>
        <v>0</v>
      </c>
      <c r="V471" s="160">
        <f t="shared" si="1716"/>
        <v>0</v>
      </c>
      <c r="W471" s="160">
        <f t="shared" si="1716"/>
        <v>0</v>
      </c>
      <c r="X471" s="160">
        <f t="shared" si="1716"/>
        <v>0</v>
      </c>
      <c r="Y471" s="160">
        <f t="shared" si="1716"/>
        <v>0</v>
      </c>
      <c r="Z471" s="160">
        <f t="shared" si="1716"/>
        <v>0</v>
      </c>
      <c r="AA471" s="160">
        <f t="shared" si="1716"/>
        <v>0</v>
      </c>
      <c r="AB471" s="160">
        <f t="shared" si="1716"/>
        <v>0</v>
      </c>
      <c r="AC471" s="160">
        <f t="shared" si="1716"/>
        <v>0</v>
      </c>
      <c r="AD471" s="160">
        <f t="shared" si="1716"/>
        <v>0</v>
      </c>
      <c r="AE471" s="160">
        <f t="shared" si="1716"/>
        <v>0</v>
      </c>
      <c r="AF471" s="160">
        <f t="shared" si="1716"/>
        <v>0</v>
      </c>
      <c r="AG471" s="160">
        <f t="shared" si="1716"/>
        <v>0</v>
      </c>
      <c r="AH471" s="160">
        <f t="shared" si="1716"/>
        <v>0</v>
      </c>
      <c r="AI471" s="160">
        <f t="shared" si="1716"/>
        <v>0</v>
      </c>
      <c r="AJ471" s="160">
        <f t="shared" si="1716"/>
        <v>0</v>
      </c>
      <c r="AK471" s="160">
        <f t="shared" si="1716"/>
        <v>0</v>
      </c>
      <c r="AL471" s="160">
        <f t="shared" si="1716"/>
        <v>0</v>
      </c>
      <c r="AM471" s="160">
        <f t="shared" si="1716"/>
        <v>0</v>
      </c>
      <c r="AN471" s="160">
        <f t="shared" si="1716"/>
        <v>0</v>
      </c>
      <c r="AO471" s="160">
        <f t="shared" si="1716"/>
        <v>0</v>
      </c>
      <c r="AP471" s="160">
        <f t="shared" si="1716"/>
        <v>0</v>
      </c>
      <c r="AQ471" s="160">
        <f t="shared" si="1716"/>
        <v>0</v>
      </c>
      <c r="AR471" s="160">
        <f t="shared" si="1716"/>
        <v>0</v>
      </c>
      <c r="AS471" s="160">
        <f t="shared" si="1716"/>
        <v>0</v>
      </c>
      <c r="AT471" s="160">
        <f t="shared" si="1716"/>
        <v>0</v>
      </c>
      <c r="AU471" s="160">
        <f t="shared" si="1716"/>
        <v>0</v>
      </c>
      <c r="AV471" s="160">
        <f t="shared" si="1716"/>
        <v>0</v>
      </c>
      <c r="AW471" s="160">
        <f t="shared" si="1716"/>
        <v>0</v>
      </c>
      <c r="AX471" s="160">
        <f t="shared" si="1716"/>
        <v>0</v>
      </c>
      <c r="AY471" s="160">
        <f t="shared" si="1716"/>
        <v>0</v>
      </c>
      <c r="AZ471" s="160">
        <f t="shared" si="1716"/>
        <v>0</v>
      </c>
      <c r="BA471" s="160">
        <f t="shared" si="1716"/>
        <v>0</v>
      </c>
      <c r="BB471" s="160">
        <f t="shared" si="1716"/>
        <v>0</v>
      </c>
      <c r="BC471" s="160">
        <f t="shared" si="1716"/>
        <v>0</v>
      </c>
      <c r="BD471" s="160">
        <f t="shared" si="1716"/>
        <v>0</v>
      </c>
      <c r="BE471" s="160">
        <f t="shared" si="1716"/>
        <v>0</v>
      </c>
      <c r="BF471" s="160">
        <f t="shared" si="1716"/>
        <v>0</v>
      </c>
      <c r="BG471" s="160">
        <f t="shared" si="1716"/>
        <v>0</v>
      </c>
      <c r="BH471" s="160">
        <f t="shared" si="1716"/>
        <v>0</v>
      </c>
      <c r="BI471" s="160">
        <f t="shared" si="1716"/>
        <v>0</v>
      </c>
      <c r="BJ471" s="160">
        <f t="shared" si="1716"/>
        <v>0</v>
      </c>
      <c r="BK471" s="160">
        <f t="shared" si="1716"/>
        <v>0</v>
      </c>
      <c r="BL471" s="160">
        <f t="shared" si="1716"/>
        <v>0</v>
      </c>
      <c r="BM471" s="160">
        <f t="shared" ref="L471:BR472" si="1717">ROUND($I471*BM$193,2)</f>
        <v>0</v>
      </c>
      <c r="BN471" s="160">
        <f t="shared" si="1717"/>
        <v>0</v>
      </c>
      <c r="BO471" s="160">
        <f t="shared" si="1717"/>
        <v>0</v>
      </c>
      <c r="BP471" s="160">
        <f t="shared" si="1717"/>
        <v>0</v>
      </c>
      <c r="BQ471" s="160">
        <f t="shared" si="1717"/>
        <v>0</v>
      </c>
      <c r="BR471" s="160">
        <f t="shared" si="1717"/>
        <v>0</v>
      </c>
      <c r="BS471" s="65"/>
      <c r="BT471" s="160">
        <f t="shared" si="1578"/>
        <v>0</v>
      </c>
      <c r="BU471" s="160">
        <f t="shared" si="1579"/>
        <v>0</v>
      </c>
      <c r="BV471" s="65"/>
      <c r="BW471" s="69"/>
      <c r="BX471" s="65"/>
      <c r="BY471" s="137">
        <f t="shared" si="1580"/>
        <v>1</v>
      </c>
      <c r="BZ471" s="137">
        <f>IF(BY471&gt;0,BY471+LARGE($BZ$213:BZ470,1),0)</f>
        <v>219</v>
      </c>
      <c r="CA471" s="137" t="str">
        <f t="shared" si="1581"/>
        <v>EST_II</v>
      </c>
      <c r="CB471" s="161">
        <f t="shared" si="1582"/>
        <v>0</v>
      </c>
      <c r="CC471" s="161">
        <f t="shared" si="1583"/>
        <v>0</v>
      </c>
      <c r="CD471" s="161">
        <f t="shared" si="1584"/>
        <v>0</v>
      </c>
      <c r="CE471" s="161">
        <f t="shared" si="1585"/>
        <v>0</v>
      </c>
      <c r="CF471" s="161">
        <f t="shared" si="1586"/>
        <v>0</v>
      </c>
      <c r="CG471" s="161">
        <f t="shared" si="1587"/>
        <v>0</v>
      </c>
      <c r="CH471" s="161">
        <f t="shared" si="1588"/>
        <v>0</v>
      </c>
      <c r="CI471" s="161">
        <f t="shared" si="1589"/>
        <v>0</v>
      </c>
      <c r="CJ471" s="161">
        <f t="shared" si="1590"/>
        <v>0</v>
      </c>
      <c r="CK471" s="161">
        <f t="shared" si="1591"/>
        <v>0</v>
      </c>
      <c r="CL471" s="161">
        <f t="shared" si="1592"/>
        <v>0</v>
      </c>
      <c r="CM471" s="161">
        <f t="shared" si="1593"/>
        <v>0</v>
      </c>
      <c r="CN471" s="161">
        <f t="shared" si="1594"/>
        <v>0</v>
      </c>
      <c r="CO471" s="161">
        <f t="shared" si="1595"/>
        <v>0</v>
      </c>
      <c r="CP471" s="161">
        <f t="shared" si="1596"/>
        <v>0</v>
      </c>
      <c r="CQ471" s="161">
        <f t="shared" si="1597"/>
        <v>0</v>
      </c>
      <c r="CR471" s="161">
        <f t="shared" si="1598"/>
        <v>0</v>
      </c>
      <c r="CS471" s="161">
        <f t="shared" si="1599"/>
        <v>0</v>
      </c>
      <c r="CT471" s="161">
        <f t="shared" si="1600"/>
        <v>0</v>
      </c>
      <c r="CU471" s="161">
        <f t="shared" si="1601"/>
        <v>0</v>
      </c>
      <c r="CV471" s="161">
        <f t="shared" si="1602"/>
        <v>0</v>
      </c>
      <c r="CW471" s="161">
        <f t="shared" si="1603"/>
        <v>0</v>
      </c>
      <c r="CX471" s="161">
        <f t="shared" si="1604"/>
        <v>0</v>
      </c>
      <c r="CY471" s="161">
        <f t="shared" si="1605"/>
        <v>0</v>
      </c>
      <c r="CZ471" s="161">
        <f t="shared" si="1606"/>
        <v>0</v>
      </c>
      <c r="DA471" s="161">
        <f t="shared" si="1607"/>
        <v>0</v>
      </c>
      <c r="DB471" s="161">
        <f t="shared" si="1608"/>
        <v>0</v>
      </c>
      <c r="DC471" s="161">
        <f t="shared" si="1609"/>
        <v>0</v>
      </c>
      <c r="DD471" s="161">
        <f t="shared" si="1610"/>
        <v>0</v>
      </c>
      <c r="DE471" s="161">
        <f t="shared" si="1611"/>
        <v>0</v>
      </c>
      <c r="DF471" s="161">
        <f t="shared" si="1612"/>
        <v>0</v>
      </c>
      <c r="DG471" s="161">
        <f t="shared" si="1613"/>
        <v>0</v>
      </c>
      <c r="DH471" s="161">
        <f t="shared" si="1614"/>
        <v>0</v>
      </c>
      <c r="DI471" s="161">
        <f t="shared" si="1615"/>
        <v>0</v>
      </c>
      <c r="DJ471" s="161">
        <f t="shared" si="1616"/>
        <v>0</v>
      </c>
      <c r="DK471" s="161">
        <f t="shared" si="1617"/>
        <v>0</v>
      </c>
      <c r="DL471" s="161">
        <f t="shared" si="1618"/>
        <v>0</v>
      </c>
      <c r="DM471" s="161">
        <f t="shared" si="1619"/>
        <v>0</v>
      </c>
      <c r="DN471" s="161">
        <f t="shared" si="1620"/>
        <v>0</v>
      </c>
      <c r="DO471" s="161">
        <f t="shared" si="1621"/>
        <v>0</v>
      </c>
      <c r="DP471" s="161">
        <f t="shared" si="1622"/>
        <v>0</v>
      </c>
      <c r="DQ471" s="161">
        <f t="shared" si="1623"/>
        <v>0</v>
      </c>
      <c r="DR471" s="161">
        <f t="shared" si="1624"/>
        <v>0</v>
      </c>
      <c r="DS471" s="161">
        <f t="shared" si="1625"/>
        <v>0</v>
      </c>
      <c r="DT471" s="161">
        <f t="shared" si="1626"/>
        <v>0</v>
      </c>
      <c r="DU471" s="161">
        <f t="shared" si="1627"/>
        <v>0</v>
      </c>
      <c r="DV471" s="161">
        <f t="shared" si="1628"/>
        <v>0</v>
      </c>
      <c r="DW471" s="161">
        <f t="shared" si="1629"/>
        <v>0</v>
      </c>
      <c r="DX471" s="161">
        <f t="shared" si="1630"/>
        <v>0</v>
      </c>
      <c r="DY471" s="161">
        <f t="shared" si="1631"/>
        <v>0</v>
      </c>
      <c r="DZ471" s="161">
        <f t="shared" si="1632"/>
        <v>0</v>
      </c>
      <c r="EA471" s="161">
        <f t="shared" si="1633"/>
        <v>0</v>
      </c>
      <c r="EB471" s="161">
        <f t="shared" si="1634"/>
        <v>0</v>
      </c>
      <c r="EC471" s="161">
        <f t="shared" si="1635"/>
        <v>0</v>
      </c>
      <c r="ED471" s="161">
        <f t="shared" si="1636"/>
        <v>0</v>
      </c>
      <c r="EE471" s="161">
        <f t="shared" si="1637"/>
        <v>0</v>
      </c>
      <c r="EF471" s="161">
        <f t="shared" si="1638"/>
        <v>0</v>
      </c>
      <c r="EG471" s="161">
        <f t="shared" si="1639"/>
        <v>0</v>
      </c>
      <c r="EH471" s="161">
        <f t="shared" si="1640"/>
        <v>0</v>
      </c>
      <c r="EI471" s="161">
        <f t="shared" si="1641"/>
        <v>0</v>
      </c>
      <c r="EJ471" s="65"/>
      <c r="EK471" s="161">
        <f t="shared" si="1712"/>
        <v>0</v>
      </c>
      <c r="EL471" s="161">
        <f t="shared" si="1713"/>
        <v>0</v>
      </c>
      <c r="EM471" s="161">
        <f t="shared" si="1714"/>
        <v>0</v>
      </c>
    </row>
    <row r="472" spans="1:143" ht="12" hidden="1" customHeight="1" outlineLevel="2">
      <c r="A472" s="77">
        <v>20</v>
      </c>
      <c r="B472" s="137" t="str">
        <f t="shared" si="1642"/>
        <v>EST_III - Equipe_01</v>
      </c>
      <c r="C472" s="65"/>
      <c r="D472" s="623"/>
      <c r="E472" s="65"/>
      <c r="F472" s="584"/>
      <c r="G472" s="77" t="str">
        <f>IF(INDEX(Tarefas!$BT$30:$FK$30,MATCH(A472,Tarefas!$BT$28:$FK$28,0))=0,"",INDEX(Tarefas!$BT$30:$FK$30,MATCH(A472,Tarefas!$BT$28:$FK$28,0)))</f>
        <v>EST_III</v>
      </c>
      <c r="H472" s="107" cm="1">
        <f t="array" ref="H472">IFERROR((SUMPRODUCT((Tarefas!$N$32:$N$54='Cronog. e Histog.'!$F$453)*(Tarefas!$BQ$30:$FK$30='Cronog. e Histog.'!$G472)*(Tarefas!$BQ$32:$FK$54)))/SUMIF(Tarefas!$N$32:$N$54,'Cronog. e Histog.'!$F$453,Tarefas!$K$32:$K$54),0)</f>
        <v>0</v>
      </c>
      <c r="I472" s="79">
        <f t="shared" si="1643"/>
        <v>0</v>
      </c>
      <c r="J472" s="65"/>
      <c r="K472" s="160">
        <f t="shared" si="1715"/>
        <v>0</v>
      </c>
      <c r="L472" s="160">
        <f t="shared" si="1717"/>
        <v>0</v>
      </c>
      <c r="M472" s="160">
        <f t="shared" si="1717"/>
        <v>0</v>
      </c>
      <c r="N472" s="160">
        <f t="shared" si="1717"/>
        <v>0</v>
      </c>
      <c r="O472" s="160">
        <f t="shared" si="1717"/>
        <v>0</v>
      </c>
      <c r="P472" s="160">
        <f t="shared" si="1717"/>
        <v>0</v>
      </c>
      <c r="Q472" s="160">
        <f t="shared" si="1717"/>
        <v>0</v>
      </c>
      <c r="R472" s="160">
        <f t="shared" si="1717"/>
        <v>0</v>
      </c>
      <c r="S472" s="160">
        <f t="shared" si="1717"/>
        <v>0</v>
      </c>
      <c r="T472" s="160">
        <f t="shared" si="1717"/>
        <v>0</v>
      </c>
      <c r="U472" s="160">
        <f t="shared" si="1717"/>
        <v>0</v>
      </c>
      <c r="V472" s="160">
        <f t="shared" si="1717"/>
        <v>0</v>
      </c>
      <c r="W472" s="160">
        <f t="shared" si="1717"/>
        <v>0</v>
      </c>
      <c r="X472" s="160">
        <f t="shared" si="1717"/>
        <v>0</v>
      </c>
      <c r="Y472" s="160">
        <f t="shared" si="1717"/>
        <v>0</v>
      </c>
      <c r="Z472" s="160">
        <f t="shared" si="1717"/>
        <v>0</v>
      </c>
      <c r="AA472" s="160">
        <f t="shared" si="1717"/>
        <v>0</v>
      </c>
      <c r="AB472" s="160">
        <f t="shared" si="1717"/>
        <v>0</v>
      </c>
      <c r="AC472" s="160">
        <f t="shared" si="1717"/>
        <v>0</v>
      </c>
      <c r="AD472" s="160">
        <f t="shared" si="1717"/>
        <v>0</v>
      </c>
      <c r="AE472" s="160">
        <f t="shared" si="1717"/>
        <v>0</v>
      </c>
      <c r="AF472" s="160">
        <f t="shared" si="1717"/>
        <v>0</v>
      </c>
      <c r="AG472" s="160">
        <f t="shared" si="1717"/>
        <v>0</v>
      </c>
      <c r="AH472" s="160">
        <f t="shared" si="1717"/>
        <v>0</v>
      </c>
      <c r="AI472" s="160">
        <f t="shared" si="1717"/>
        <v>0</v>
      </c>
      <c r="AJ472" s="160">
        <f t="shared" si="1717"/>
        <v>0</v>
      </c>
      <c r="AK472" s="160">
        <f t="shared" si="1717"/>
        <v>0</v>
      </c>
      <c r="AL472" s="160">
        <f t="shared" si="1717"/>
        <v>0</v>
      </c>
      <c r="AM472" s="160">
        <f t="shared" si="1717"/>
        <v>0</v>
      </c>
      <c r="AN472" s="160">
        <f t="shared" si="1717"/>
        <v>0</v>
      </c>
      <c r="AO472" s="160">
        <f t="shared" si="1717"/>
        <v>0</v>
      </c>
      <c r="AP472" s="160">
        <f t="shared" si="1717"/>
        <v>0</v>
      </c>
      <c r="AQ472" s="160">
        <f t="shared" si="1717"/>
        <v>0</v>
      </c>
      <c r="AR472" s="160">
        <f t="shared" si="1717"/>
        <v>0</v>
      </c>
      <c r="AS472" s="160">
        <f t="shared" si="1717"/>
        <v>0</v>
      </c>
      <c r="AT472" s="160">
        <f t="shared" si="1717"/>
        <v>0</v>
      </c>
      <c r="AU472" s="160">
        <f t="shared" si="1717"/>
        <v>0</v>
      </c>
      <c r="AV472" s="160">
        <f t="shared" si="1717"/>
        <v>0</v>
      </c>
      <c r="AW472" s="160">
        <f t="shared" si="1717"/>
        <v>0</v>
      </c>
      <c r="AX472" s="160">
        <f t="shared" si="1717"/>
        <v>0</v>
      </c>
      <c r="AY472" s="160">
        <f t="shared" si="1717"/>
        <v>0</v>
      </c>
      <c r="AZ472" s="160">
        <f t="shared" si="1717"/>
        <v>0</v>
      </c>
      <c r="BA472" s="160">
        <f t="shared" si="1717"/>
        <v>0</v>
      </c>
      <c r="BB472" s="160">
        <f t="shared" si="1717"/>
        <v>0</v>
      </c>
      <c r="BC472" s="160">
        <f t="shared" si="1717"/>
        <v>0</v>
      </c>
      <c r="BD472" s="160">
        <f t="shared" si="1717"/>
        <v>0</v>
      </c>
      <c r="BE472" s="160">
        <f t="shared" si="1717"/>
        <v>0</v>
      </c>
      <c r="BF472" s="160">
        <f t="shared" si="1717"/>
        <v>0</v>
      </c>
      <c r="BG472" s="160">
        <f t="shared" si="1717"/>
        <v>0</v>
      </c>
      <c r="BH472" s="160">
        <f t="shared" si="1717"/>
        <v>0</v>
      </c>
      <c r="BI472" s="160">
        <f t="shared" si="1717"/>
        <v>0</v>
      </c>
      <c r="BJ472" s="160">
        <f t="shared" si="1717"/>
        <v>0</v>
      </c>
      <c r="BK472" s="160">
        <f t="shared" si="1717"/>
        <v>0</v>
      </c>
      <c r="BL472" s="160">
        <f t="shared" si="1717"/>
        <v>0</v>
      </c>
      <c r="BM472" s="160">
        <f t="shared" si="1717"/>
        <v>0</v>
      </c>
      <c r="BN472" s="160">
        <f t="shared" si="1717"/>
        <v>0</v>
      </c>
      <c r="BO472" s="160">
        <f t="shared" si="1717"/>
        <v>0</v>
      </c>
      <c r="BP472" s="160">
        <f t="shared" si="1717"/>
        <v>0</v>
      </c>
      <c r="BQ472" s="160">
        <f t="shared" si="1717"/>
        <v>0</v>
      </c>
      <c r="BR472" s="160">
        <f t="shared" si="1717"/>
        <v>0</v>
      </c>
      <c r="BS472" s="65"/>
      <c r="BT472" s="160">
        <f t="shared" si="1578"/>
        <v>0</v>
      </c>
      <c r="BU472" s="160">
        <f t="shared" si="1579"/>
        <v>0</v>
      </c>
      <c r="BV472" s="65"/>
      <c r="BW472" s="69"/>
      <c r="BX472" s="65"/>
      <c r="BY472" s="137">
        <f t="shared" si="1580"/>
        <v>1</v>
      </c>
      <c r="BZ472" s="137">
        <f>IF(BY472&gt;0,BY472+LARGE($BZ$213:BZ471,1),0)</f>
        <v>220</v>
      </c>
      <c r="CA472" s="137" t="str">
        <f t="shared" si="1581"/>
        <v>EST_III</v>
      </c>
      <c r="CB472" s="161">
        <f t="shared" si="1582"/>
        <v>0</v>
      </c>
      <c r="CC472" s="161">
        <f t="shared" si="1583"/>
        <v>0</v>
      </c>
      <c r="CD472" s="161">
        <f t="shared" si="1584"/>
        <v>0</v>
      </c>
      <c r="CE472" s="161">
        <f t="shared" si="1585"/>
        <v>0</v>
      </c>
      <c r="CF472" s="161">
        <f t="shared" si="1586"/>
        <v>0</v>
      </c>
      <c r="CG472" s="161">
        <f t="shared" si="1587"/>
        <v>0</v>
      </c>
      <c r="CH472" s="161">
        <f t="shared" si="1588"/>
        <v>0</v>
      </c>
      <c r="CI472" s="161">
        <f t="shared" si="1589"/>
        <v>0</v>
      </c>
      <c r="CJ472" s="161">
        <f t="shared" si="1590"/>
        <v>0</v>
      </c>
      <c r="CK472" s="161">
        <f t="shared" si="1591"/>
        <v>0</v>
      </c>
      <c r="CL472" s="161">
        <f t="shared" si="1592"/>
        <v>0</v>
      </c>
      <c r="CM472" s="161">
        <f t="shared" si="1593"/>
        <v>0</v>
      </c>
      <c r="CN472" s="161">
        <f t="shared" si="1594"/>
        <v>0</v>
      </c>
      <c r="CO472" s="161">
        <f t="shared" si="1595"/>
        <v>0</v>
      </c>
      <c r="CP472" s="161">
        <f t="shared" si="1596"/>
        <v>0</v>
      </c>
      <c r="CQ472" s="161">
        <f t="shared" si="1597"/>
        <v>0</v>
      </c>
      <c r="CR472" s="161">
        <f t="shared" si="1598"/>
        <v>0</v>
      </c>
      <c r="CS472" s="161">
        <f t="shared" si="1599"/>
        <v>0</v>
      </c>
      <c r="CT472" s="161">
        <f t="shared" si="1600"/>
        <v>0</v>
      </c>
      <c r="CU472" s="161">
        <f t="shared" si="1601"/>
        <v>0</v>
      </c>
      <c r="CV472" s="161">
        <f t="shared" si="1602"/>
        <v>0</v>
      </c>
      <c r="CW472" s="161">
        <f t="shared" si="1603"/>
        <v>0</v>
      </c>
      <c r="CX472" s="161">
        <f t="shared" si="1604"/>
        <v>0</v>
      </c>
      <c r="CY472" s="161">
        <f t="shared" si="1605"/>
        <v>0</v>
      </c>
      <c r="CZ472" s="161">
        <f t="shared" si="1606"/>
        <v>0</v>
      </c>
      <c r="DA472" s="161">
        <f t="shared" si="1607"/>
        <v>0</v>
      </c>
      <c r="DB472" s="161">
        <f t="shared" si="1608"/>
        <v>0</v>
      </c>
      <c r="DC472" s="161">
        <f t="shared" si="1609"/>
        <v>0</v>
      </c>
      <c r="DD472" s="161">
        <f t="shared" si="1610"/>
        <v>0</v>
      </c>
      <c r="DE472" s="161">
        <f t="shared" si="1611"/>
        <v>0</v>
      </c>
      <c r="DF472" s="161">
        <f t="shared" si="1612"/>
        <v>0</v>
      </c>
      <c r="DG472" s="161">
        <f t="shared" si="1613"/>
        <v>0</v>
      </c>
      <c r="DH472" s="161">
        <f t="shared" si="1614"/>
        <v>0</v>
      </c>
      <c r="DI472" s="161">
        <f t="shared" si="1615"/>
        <v>0</v>
      </c>
      <c r="DJ472" s="161">
        <f t="shared" si="1616"/>
        <v>0</v>
      </c>
      <c r="DK472" s="161">
        <f t="shared" si="1617"/>
        <v>0</v>
      </c>
      <c r="DL472" s="161">
        <f t="shared" si="1618"/>
        <v>0</v>
      </c>
      <c r="DM472" s="161">
        <f t="shared" si="1619"/>
        <v>0</v>
      </c>
      <c r="DN472" s="161">
        <f t="shared" si="1620"/>
        <v>0</v>
      </c>
      <c r="DO472" s="161">
        <f t="shared" si="1621"/>
        <v>0</v>
      </c>
      <c r="DP472" s="161">
        <f t="shared" si="1622"/>
        <v>0</v>
      </c>
      <c r="DQ472" s="161">
        <f t="shared" si="1623"/>
        <v>0</v>
      </c>
      <c r="DR472" s="161">
        <f t="shared" si="1624"/>
        <v>0</v>
      </c>
      <c r="DS472" s="161">
        <f t="shared" si="1625"/>
        <v>0</v>
      </c>
      <c r="DT472" s="161">
        <f t="shared" si="1626"/>
        <v>0</v>
      </c>
      <c r="DU472" s="161">
        <f t="shared" si="1627"/>
        <v>0</v>
      </c>
      <c r="DV472" s="161">
        <f t="shared" si="1628"/>
        <v>0</v>
      </c>
      <c r="DW472" s="161">
        <f t="shared" si="1629"/>
        <v>0</v>
      </c>
      <c r="DX472" s="161">
        <f t="shared" si="1630"/>
        <v>0</v>
      </c>
      <c r="DY472" s="161">
        <f t="shared" si="1631"/>
        <v>0</v>
      </c>
      <c r="DZ472" s="161">
        <f t="shared" si="1632"/>
        <v>0</v>
      </c>
      <c r="EA472" s="161">
        <f t="shared" si="1633"/>
        <v>0</v>
      </c>
      <c r="EB472" s="161">
        <f t="shared" si="1634"/>
        <v>0</v>
      </c>
      <c r="EC472" s="161">
        <f t="shared" si="1635"/>
        <v>0</v>
      </c>
      <c r="ED472" s="161">
        <f t="shared" si="1636"/>
        <v>0</v>
      </c>
      <c r="EE472" s="161">
        <f t="shared" si="1637"/>
        <v>0</v>
      </c>
      <c r="EF472" s="161">
        <f t="shared" si="1638"/>
        <v>0</v>
      </c>
      <c r="EG472" s="161">
        <f t="shared" si="1639"/>
        <v>0</v>
      </c>
      <c r="EH472" s="161">
        <f t="shared" si="1640"/>
        <v>0</v>
      </c>
      <c r="EI472" s="161">
        <f t="shared" si="1641"/>
        <v>0</v>
      </c>
      <c r="EJ472" s="65"/>
      <c r="EK472" s="161">
        <f t="shared" si="1712"/>
        <v>0</v>
      </c>
      <c r="EL472" s="161">
        <f t="shared" si="1713"/>
        <v>0</v>
      </c>
      <c r="EM472" s="161">
        <f t="shared" si="1714"/>
        <v>0</v>
      </c>
    </row>
    <row r="473" spans="1:143" ht="12" hidden="1" customHeight="1" outlineLevel="1">
      <c r="B473" s="65"/>
      <c r="C473" s="65"/>
      <c r="D473" s="65"/>
      <c r="E473" s="65"/>
      <c r="F473" s="73" t="s">
        <v>380</v>
      </c>
      <c r="G473" s="162" t="str">
        <f>"Pico = "&amp;MAX(K473:BR473)</f>
        <v>Pico = 0</v>
      </c>
      <c r="H473" s="163">
        <f>SUM(H453:H472)</f>
        <v>0</v>
      </c>
      <c r="I473" s="148">
        <f>SUM(I453:I472)</f>
        <v>0</v>
      </c>
      <c r="J473" s="65"/>
      <c r="K473" s="146">
        <f>SUM(K453:K472)</f>
        <v>0</v>
      </c>
      <c r="L473" s="146">
        <f t="shared" ref="L473:BR473" si="1718">SUM(L453:L472)</f>
        <v>0</v>
      </c>
      <c r="M473" s="146">
        <f t="shared" si="1718"/>
        <v>0</v>
      </c>
      <c r="N473" s="146">
        <f t="shared" si="1718"/>
        <v>0</v>
      </c>
      <c r="O473" s="146">
        <f t="shared" si="1718"/>
        <v>0</v>
      </c>
      <c r="P473" s="146">
        <f t="shared" si="1718"/>
        <v>0</v>
      </c>
      <c r="Q473" s="146">
        <f t="shared" si="1718"/>
        <v>0</v>
      </c>
      <c r="R473" s="146">
        <f t="shared" si="1718"/>
        <v>0</v>
      </c>
      <c r="S473" s="146">
        <f t="shared" si="1718"/>
        <v>0</v>
      </c>
      <c r="T473" s="146">
        <f t="shared" si="1718"/>
        <v>0</v>
      </c>
      <c r="U473" s="146">
        <f t="shared" si="1718"/>
        <v>0</v>
      </c>
      <c r="V473" s="146">
        <f t="shared" si="1718"/>
        <v>0</v>
      </c>
      <c r="W473" s="146">
        <f t="shared" si="1718"/>
        <v>0</v>
      </c>
      <c r="X473" s="146">
        <f t="shared" si="1718"/>
        <v>0</v>
      </c>
      <c r="Y473" s="146">
        <f t="shared" si="1718"/>
        <v>0</v>
      </c>
      <c r="Z473" s="146">
        <f t="shared" si="1718"/>
        <v>0</v>
      </c>
      <c r="AA473" s="146">
        <f t="shared" si="1718"/>
        <v>0</v>
      </c>
      <c r="AB473" s="146">
        <f t="shared" si="1718"/>
        <v>0</v>
      </c>
      <c r="AC473" s="146">
        <f t="shared" si="1718"/>
        <v>0</v>
      </c>
      <c r="AD473" s="146">
        <f t="shared" si="1718"/>
        <v>0</v>
      </c>
      <c r="AE473" s="146">
        <f t="shared" si="1718"/>
        <v>0</v>
      </c>
      <c r="AF473" s="146">
        <f t="shared" si="1718"/>
        <v>0</v>
      </c>
      <c r="AG473" s="146">
        <f t="shared" si="1718"/>
        <v>0</v>
      </c>
      <c r="AH473" s="146">
        <f t="shared" si="1718"/>
        <v>0</v>
      </c>
      <c r="AI473" s="146">
        <f t="shared" si="1718"/>
        <v>0</v>
      </c>
      <c r="AJ473" s="146">
        <f t="shared" si="1718"/>
        <v>0</v>
      </c>
      <c r="AK473" s="146">
        <f t="shared" si="1718"/>
        <v>0</v>
      </c>
      <c r="AL473" s="146">
        <f t="shared" si="1718"/>
        <v>0</v>
      </c>
      <c r="AM473" s="146">
        <f t="shared" si="1718"/>
        <v>0</v>
      </c>
      <c r="AN473" s="146">
        <f t="shared" si="1718"/>
        <v>0</v>
      </c>
      <c r="AO473" s="146">
        <f t="shared" si="1718"/>
        <v>0</v>
      </c>
      <c r="AP473" s="146">
        <f t="shared" si="1718"/>
        <v>0</v>
      </c>
      <c r="AQ473" s="146">
        <f t="shared" si="1718"/>
        <v>0</v>
      </c>
      <c r="AR473" s="146">
        <f t="shared" si="1718"/>
        <v>0</v>
      </c>
      <c r="AS473" s="146">
        <f t="shared" si="1718"/>
        <v>0</v>
      </c>
      <c r="AT473" s="146">
        <f t="shared" si="1718"/>
        <v>0</v>
      </c>
      <c r="AU473" s="146">
        <f t="shared" si="1718"/>
        <v>0</v>
      </c>
      <c r="AV473" s="146">
        <f t="shared" si="1718"/>
        <v>0</v>
      </c>
      <c r="AW473" s="146">
        <f t="shared" si="1718"/>
        <v>0</v>
      </c>
      <c r="AX473" s="146">
        <f t="shared" si="1718"/>
        <v>0</v>
      </c>
      <c r="AY473" s="146">
        <f t="shared" si="1718"/>
        <v>0</v>
      </c>
      <c r="AZ473" s="146">
        <f t="shared" si="1718"/>
        <v>0</v>
      </c>
      <c r="BA473" s="146">
        <f t="shared" si="1718"/>
        <v>0</v>
      </c>
      <c r="BB473" s="146">
        <f t="shared" si="1718"/>
        <v>0</v>
      </c>
      <c r="BC473" s="146">
        <f t="shared" si="1718"/>
        <v>0</v>
      </c>
      <c r="BD473" s="146">
        <f t="shared" si="1718"/>
        <v>0</v>
      </c>
      <c r="BE473" s="146">
        <f t="shared" si="1718"/>
        <v>0</v>
      </c>
      <c r="BF473" s="146">
        <f t="shared" si="1718"/>
        <v>0</v>
      </c>
      <c r="BG473" s="146">
        <f t="shared" si="1718"/>
        <v>0</v>
      </c>
      <c r="BH473" s="146">
        <f t="shared" si="1718"/>
        <v>0</v>
      </c>
      <c r="BI473" s="146">
        <f t="shared" si="1718"/>
        <v>0</v>
      </c>
      <c r="BJ473" s="146">
        <f t="shared" si="1718"/>
        <v>0</v>
      </c>
      <c r="BK473" s="146">
        <f t="shared" si="1718"/>
        <v>0</v>
      </c>
      <c r="BL473" s="146">
        <f t="shared" si="1718"/>
        <v>0</v>
      </c>
      <c r="BM473" s="146">
        <f t="shared" si="1718"/>
        <v>0</v>
      </c>
      <c r="BN473" s="146">
        <f t="shared" si="1718"/>
        <v>0</v>
      </c>
      <c r="BO473" s="146">
        <f t="shared" si="1718"/>
        <v>0</v>
      </c>
      <c r="BP473" s="146">
        <f t="shared" si="1718"/>
        <v>0</v>
      </c>
      <c r="BQ473" s="146">
        <f t="shared" si="1718"/>
        <v>0</v>
      </c>
      <c r="BR473" s="146">
        <f t="shared" si="1718"/>
        <v>0</v>
      </c>
      <c r="BS473" s="65"/>
      <c r="BT473" s="146">
        <f>SUM(BT453:BT472)</f>
        <v>0</v>
      </c>
      <c r="BU473" s="65"/>
      <c r="BV473" s="65"/>
      <c r="BW473" s="69"/>
      <c r="BX473" s="65"/>
      <c r="BY473" s="65"/>
      <c r="BZ473" s="65"/>
      <c r="CA473" s="65"/>
      <c r="CB473" s="65"/>
      <c r="CC473" s="65"/>
      <c r="CD473" s="65"/>
      <c r="CE473" s="65"/>
      <c r="CF473" s="65"/>
      <c r="CG473" s="65"/>
      <c r="CH473" s="65"/>
      <c r="CI473" s="65"/>
      <c r="CJ473" s="65"/>
      <c r="CK473" s="65"/>
      <c r="CL473" s="65"/>
      <c r="CM473" s="65"/>
      <c r="CN473" s="65"/>
      <c r="CO473" s="65"/>
      <c r="CP473" s="65"/>
      <c r="CQ473" s="65"/>
      <c r="CR473" s="65"/>
      <c r="CS473" s="65"/>
      <c r="CT473" s="65"/>
      <c r="CU473" s="65"/>
      <c r="CV473" s="65"/>
      <c r="CW473" s="65"/>
      <c r="CX473" s="65"/>
      <c r="CY473" s="65"/>
      <c r="CZ473" s="65"/>
      <c r="DA473" s="65"/>
      <c r="DB473" s="65"/>
      <c r="DC473" s="65"/>
      <c r="DD473" s="65"/>
      <c r="DE473" s="65"/>
      <c r="DF473" s="65"/>
      <c r="DG473" s="65"/>
      <c r="DH473" s="65"/>
      <c r="DI473" s="65"/>
      <c r="DJ473" s="65"/>
      <c r="DK473" s="65"/>
      <c r="DL473" s="65"/>
      <c r="DM473" s="65"/>
      <c r="DN473" s="65"/>
      <c r="DO473" s="65"/>
      <c r="DP473" s="65"/>
      <c r="DQ473" s="65"/>
      <c r="DR473" s="65"/>
      <c r="DS473" s="65"/>
      <c r="DT473" s="65"/>
      <c r="DU473" s="65"/>
      <c r="DV473" s="65"/>
      <c r="DW473" s="65"/>
      <c r="DX473" s="65"/>
      <c r="DY473" s="65"/>
      <c r="DZ473" s="65"/>
      <c r="EA473" s="65"/>
      <c r="EB473" s="65"/>
      <c r="EC473" s="65"/>
      <c r="ED473" s="65"/>
      <c r="EE473" s="65"/>
      <c r="EF473" s="65"/>
      <c r="EG473" s="65"/>
      <c r="EH473" s="65"/>
      <c r="EI473" s="65"/>
      <c r="EJ473" s="65"/>
      <c r="EK473" s="65"/>
      <c r="EL473" s="65"/>
      <c r="EM473" s="65"/>
    </row>
    <row r="474" spans="1:143" ht="12" hidden="1" customHeight="1" outlineLevel="1"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  <c r="AQ474" s="65"/>
      <c r="AR474" s="65"/>
      <c r="AS474" s="65"/>
      <c r="AT474" s="65"/>
      <c r="AU474" s="65"/>
      <c r="AV474" s="65"/>
      <c r="AW474" s="65"/>
      <c r="AX474" s="65"/>
      <c r="AY474" s="65"/>
      <c r="AZ474" s="65"/>
      <c r="BA474" s="65"/>
      <c r="BB474" s="65"/>
      <c r="BC474" s="65"/>
      <c r="BD474" s="65"/>
      <c r="BE474" s="65"/>
      <c r="BF474" s="65"/>
      <c r="BG474" s="65"/>
      <c r="BH474" s="65"/>
      <c r="BI474" s="65"/>
      <c r="BJ474" s="65"/>
      <c r="BK474" s="65"/>
      <c r="BL474" s="65"/>
      <c r="BM474" s="65"/>
      <c r="BN474" s="65"/>
      <c r="BO474" s="65"/>
      <c r="BP474" s="65"/>
      <c r="BQ474" s="65"/>
      <c r="BR474" s="65"/>
      <c r="BS474" s="65"/>
      <c r="BT474" s="65"/>
      <c r="BU474" s="65"/>
      <c r="BV474" s="65"/>
      <c r="BW474" s="69"/>
      <c r="BX474" s="65"/>
      <c r="BY474" s="65"/>
      <c r="BZ474" s="65"/>
      <c r="CA474" s="65"/>
      <c r="CB474" s="65"/>
      <c r="CC474" s="65"/>
      <c r="CD474" s="65"/>
      <c r="CE474" s="65"/>
      <c r="CF474" s="65"/>
      <c r="CG474" s="65"/>
      <c r="CH474" s="65"/>
      <c r="CI474" s="65"/>
      <c r="CJ474" s="65"/>
      <c r="CK474" s="65"/>
      <c r="CL474" s="65"/>
      <c r="CM474" s="65"/>
      <c r="CN474" s="65"/>
      <c r="CO474" s="65"/>
      <c r="CP474" s="65"/>
      <c r="CQ474" s="65"/>
      <c r="CR474" s="65"/>
      <c r="CS474" s="65"/>
      <c r="CT474" s="65"/>
      <c r="CU474" s="65"/>
      <c r="CV474" s="65"/>
      <c r="CW474" s="65"/>
      <c r="CX474" s="65"/>
      <c r="CY474" s="65"/>
      <c r="CZ474" s="65"/>
      <c r="DA474" s="65"/>
      <c r="DB474" s="65"/>
      <c r="DC474" s="65"/>
      <c r="DD474" s="65"/>
      <c r="DE474" s="65"/>
      <c r="DF474" s="65"/>
      <c r="DG474" s="65"/>
      <c r="DH474" s="65"/>
      <c r="DI474" s="65"/>
      <c r="DJ474" s="65"/>
      <c r="DK474" s="65"/>
      <c r="DL474" s="65"/>
      <c r="DM474" s="65"/>
      <c r="DN474" s="65"/>
      <c r="DO474" s="65"/>
      <c r="DP474" s="65"/>
      <c r="DQ474" s="65"/>
      <c r="DR474" s="65"/>
      <c r="DS474" s="65"/>
      <c r="DT474" s="65"/>
      <c r="DU474" s="65"/>
      <c r="DV474" s="65"/>
      <c r="DW474" s="65"/>
      <c r="DX474" s="65"/>
      <c r="DY474" s="65"/>
      <c r="DZ474" s="65"/>
      <c r="EA474" s="65"/>
      <c r="EB474" s="65"/>
      <c r="EC474" s="65"/>
      <c r="ED474" s="65"/>
      <c r="EE474" s="65"/>
      <c r="EF474" s="65"/>
      <c r="EG474" s="65"/>
      <c r="EH474" s="65"/>
      <c r="EI474" s="65"/>
      <c r="EJ474" s="65"/>
      <c r="EK474" s="65"/>
      <c r="EL474" s="65"/>
      <c r="EM474" s="65"/>
    </row>
    <row r="475" spans="1:143" ht="24" hidden="1" customHeight="1" outlineLevel="1">
      <c r="B475" s="593" t="s">
        <v>395</v>
      </c>
      <c r="C475" s="65"/>
      <c r="D475" s="65"/>
      <c r="E475" s="65"/>
      <c r="F475" s="149" t="str">
        <f>IF($G$62&gt;0,$G$62,"")</f>
        <v>Equipe12</v>
      </c>
      <c r="G475" s="149"/>
      <c r="H475" s="149"/>
      <c r="I475" s="149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  <c r="AQ475" s="65"/>
      <c r="AR475" s="65"/>
      <c r="AS475" s="65"/>
      <c r="AT475" s="65"/>
      <c r="AU475" s="65"/>
      <c r="AV475" s="65"/>
      <c r="AW475" s="65"/>
      <c r="AX475" s="65"/>
      <c r="AY475" s="65"/>
      <c r="AZ475" s="65"/>
      <c r="BA475" s="65"/>
      <c r="BB475" s="65"/>
      <c r="BC475" s="65"/>
      <c r="BD475" s="65"/>
      <c r="BE475" s="65"/>
      <c r="BF475" s="65"/>
      <c r="BG475" s="65"/>
      <c r="BH475" s="65"/>
      <c r="BI475" s="65"/>
      <c r="BJ475" s="65"/>
      <c r="BK475" s="65"/>
      <c r="BL475" s="65"/>
      <c r="BM475" s="65"/>
      <c r="BN475" s="65"/>
      <c r="BO475" s="65"/>
      <c r="BP475" s="65"/>
      <c r="BQ475" s="65"/>
      <c r="BR475" s="65"/>
      <c r="BS475" s="65"/>
      <c r="BT475" s="601" t="s">
        <v>396</v>
      </c>
      <c r="BU475" s="601" t="s">
        <v>397</v>
      </c>
      <c r="BV475" s="65"/>
      <c r="BW475" s="69"/>
      <c r="BX475" s="65"/>
      <c r="BY475" s="593" t="s">
        <v>398</v>
      </c>
      <c r="BZ475" s="593" t="s">
        <v>399</v>
      </c>
      <c r="CA475" s="593" t="s">
        <v>400</v>
      </c>
      <c r="CB475" s="592" t="s">
        <v>401</v>
      </c>
      <c r="CC475" s="592" t="s">
        <v>402</v>
      </c>
      <c r="CD475" s="592" t="s">
        <v>403</v>
      </c>
      <c r="CE475" s="592" t="s">
        <v>404</v>
      </c>
      <c r="CF475" s="592" t="s">
        <v>405</v>
      </c>
      <c r="CG475" s="592" t="s">
        <v>406</v>
      </c>
      <c r="CH475" s="592" t="s">
        <v>407</v>
      </c>
      <c r="CI475" s="592" t="s">
        <v>408</v>
      </c>
      <c r="CJ475" s="592" t="s">
        <v>409</v>
      </c>
      <c r="CK475" s="592" t="s">
        <v>410</v>
      </c>
      <c r="CL475" s="592" t="s">
        <v>411</v>
      </c>
      <c r="CM475" s="592" t="s">
        <v>412</v>
      </c>
      <c r="CN475" s="592" t="s">
        <v>413</v>
      </c>
      <c r="CO475" s="592" t="s">
        <v>414</v>
      </c>
      <c r="CP475" s="592" t="s">
        <v>415</v>
      </c>
      <c r="CQ475" s="592" t="s">
        <v>416</v>
      </c>
      <c r="CR475" s="592" t="s">
        <v>417</v>
      </c>
      <c r="CS475" s="592" t="s">
        <v>418</v>
      </c>
      <c r="CT475" s="592" t="s">
        <v>419</v>
      </c>
      <c r="CU475" s="592" t="s">
        <v>420</v>
      </c>
      <c r="CV475" s="592" t="s">
        <v>421</v>
      </c>
      <c r="CW475" s="592" t="s">
        <v>422</v>
      </c>
      <c r="CX475" s="592" t="s">
        <v>423</v>
      </c>
      <c r="CY475" s="592" t="s">
        <v>424</v>
      </c>
      <c r="CZ475" s="592" t="s">
        <v>425</v>
      </c>
      <c r="DA475" s="592" t="s">
        <v>426</v>
      </c>
      <c r="DB475" s="592" t="s">
        <v>427</v>
      </c>
      <c r="DC475" s="592" t="s">
        <v>428</v>
      </c>
      <c r="DD475" s="592" t="s">
        <v>429</v>
      </c>
      <c r="DE475" s="592" t="s">
        <v>430</v>
      </c>
      <c r="DF475" s="592" t="s">
        <v>431</v>
      </c>
      <c r="DG475" s="592" t="s">
        <v>432</v>
      </c>
      <c r="DH475" s="592" t="s">
        <v>433</v>
      </c>
      <c r="DI475" s="592" t="s">
        <v>434</v>
      </c>
      <c r="DJ475" s="592" t="s">
        <v>435</v>
      </c>
      <c r="DK475" s="592" t="s">
        <v>436</v>
      </c>
      <c r="DL475" s="592" t="s">
        <v>437</v>
      </c>
      <c r="DM475" s="592" t="s">
        <v>438</v>
      </c>
      <c r="DN475" s="592" t="s">
        <v>439</v>
      </c>
      <c r="DO475" s="592" t="s">
        <v>440</v>
      </c>
      <c r="DP475" s="592" t="s">
        <v>441</v>
      </c>
      <c r="DQ475" s="592" t="s">
        <v>442</v>
      </c>
      <c r="DR475" s="592" t="s">
        <v>443</v>
      </c>
      <c r="DS475" s="592" t="s">
        <v>444</v>
      </c>
      <c r="DT475" s="592" t="s">
        <v>445</v>
      </c>
      <c r="DU475" s="592" t="s">
        <v>446</v>
      </c>
      <c r="DV475" s="592" t="s">
        <v>447</v>
      </c>
      <c r="DW475" s="592" t="s">
        <v>448</v>
      </c>
      <c r="DX475" s="592" t="s">
        <v>449</v>
      </c>
      <c r="DY475" s="592" t="s">
        <v>450</v>
      </c>
      <c r="DZ475" s="592" t="s">
        <v>451</v>
      </c>
      <c r="EA475" s="592" t="s">
        <v>452</v>
      </c>
      <c r="EB475" s="592" t="s">
        <v>453</v>
      </c>
      <c r="EC475" s="592" t="s">
        <v>454</v>
      </c>
      <c r="ED475" s="592" t="s">
        <v>455</v>
      </c>
      <c r="EE475" s="592" t="s">
        <v>456</v>
      </c>
      <c r="EF475" s="592" t="s">
        <v>457</v>
      </c>
      <c r="EG475" s="592" t="s">
        <v>458</v>
      </c>
      <c r="EH475" s="592" t="s">
        <v>459</v>
      </c>
      <c r="EI475" s="592" t="s">
        <v>460</v>
      </c>
      <c r="EJ475" s="65"/>
      <c r="EK475" s="157" t="s">
        <v>376</v>
      </c>
      <c r="EL475" s="157" t="s">
        <v>461</v>
      </c>
      <c r="EM475" s="157" t="s">
        <v>383</v>
      </c>
    </row>
    <row r="476" spans="1:143" ht="12" hidden="1" customHeight="1" outlineLevel="1" collapsed="1">
      <c r="B476" s="593"/>
      <c r="C476" s="65"/>
      <c r="D476" s="65"/>
      <c r="E476" s="65"/>
      <c r="F476" s="158" t="s">
        <v>198</v>
      </c>
      <c r="G476" s="158" t="s">
        <v>462</v>
      </c>
      <c r="H476" s="158" t="s">
        <v>255</v>
      </c>
      <c r="I476" s="158" t="s">
        <v>68</v>
      </c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5"/>
      <c r="AT476" s="65"/>
      <c r="AU476" s="65"/>
      <c r="AV476" s="65"/>
      <c r="AW476" s="65"/>
      <c r="AX476" s="65"/>
      <c r="AY476" s="65"/>
      <c r="AZ476" s="65"/>
      <c r="BA476" s="65"/>
      <c r="BB476" s="65"/>
      <c r="BC476" s="65"/>
      <c r="BD476" s="65"/>
      <c r="BE476" s="65"/>
      <c r="BF476" s="65"/>
      <c r="BG476" s="65"/>
      <c r="BH476" s="65"/>
      <c r="BI476" s="65"/>
      <c r="BJ476" s="65"/>
      <c r="BK476" s="65"/>
      <c r="BL476" s="65"/>
      <c r="BM476" s="65"/>
      <c r="BN476" s="65"/>
      <c r="BO476" s="65"/>
      <c r="BP476" s="65"/>
      <c r="BQ476" s="65"/>
      <c r="BR476" s="65"/>
      <c r="BS476" s="65"/>
      <c r="BT476" s="602"/>
      <c r="BU476" s="602"/>
      <c r="BV476" s="65"/>
      <c r="BW476" s="69"/>
      <c r="BX476" s="65"/>
      <c r="BY476" s="593"/>
      <c r="BZ476" s="593"/>
      <c r="CA476" s="593"/>
      <c r="CB476" s="592"/>
      <c r="CC476" s="592"/>
      <c r="CD476" s="592"/>
      <c r="CE476" s="592"/>
      <c r="CF476" s="592"/>
      <c r="CG476" s="592"/>
      <c r="CH476" s="592"/>
      <c r="CI476" s="592"/>
      <c r="CJ476" s="592"/>
      <c r="CK476" s="592"/>
      <c r="CL476" s="592"/>
      <c r="CM476" s="592"/>
      <c r="CN476" s="592"/>
      <c r="CO476" s="592"/>
      <c r="CP476" s="592"/>
      <c r="CQ476" s="592"/>
      <c r="CR476" s="592"/>
      <c r="CS476" s="592"/>
      <c r="CT476" s="592"/>
      <c r="CU476" s="592"/>
      <c r="CV476" s="592"/>
      <c r="CW476" s="592"/>
      <c r="CX476" s="592"/>
      <c r="CY476" s="592"/>
      <c r="CZ476" s="592"/>
      <c r="DA476" s="592"/>
      <c r="DB476" s="592"/>
      <c r="DC476" s="592"/>
      <c r="DD476" s="592"/>
      <c r="DE476" s="592"/>
      <c r="DF476" s="592"/>
      <c r="DG476" s="592"/>
      <c r="DH476" s="592"/>
      <c r="DI476" s="592"/>
      <c r="DJ476" s="592"/>
      <c r="DK476" s="592"/>
      <c r="DL476" s="592"/>
      <c r="DM476" s="592"/>
      <c r="DN476" s="592"/>
      <c r="DO476" s="592"/>
      <c r="DP476" s="592"/>
      <c r="DQ476" s="592"/>
      <c r="DR476" s="592"/>
      <c r="DS476" s="592"/>
      <c r="DT476" s="592"/>
      <c r="DU476" s="592"/>
      <c r="DV476" s="592"/>
      <c r="DW476" s="592"/>
      <c r="DX476" s="592"/>
      <c r="DY476" s="592"/>
      <c r="DZ476" s="592"/>
      <c r="EA476" s="592"/>
      <c r="EB476" s="592"/>
      <c r="EC476" s="592"/>
      <c r="ED476" s="592"/>
      <c r="EE476" s="592"/>
      <c r="EF476" s="592"/>
      <c r="EG476" s="592"/>
      <c r="EH476" s="592"/>
      <c r="EI476" s="592"/>
      <c r="EJ476" s="65"/>
      <c r="EK476" s="159">
        <f>IFERROR(ROUNDUP(SUMPRODUCT($K497:$BR497,$K$117:$BR$117)/SUM($K497:$BR497),2),0)</f>
        <v>0</v>
      </c>
      <c r="EL476" s="159">
        <f>IFERROR(ROUNDUP(SUMPRODUCT($K497:$BR497,$K$141:$BR$141)/SUM($K497:$BR497),2),0)</f>
        <v>0</v>
      </c>
      <c r="EM476" s="159">
        <f>IFERROR(ROUNDUP(SUMPRODUCT($K497:$BR497,$K$165:$BR$165)/SUM($K497:$BR497),2),0)</f>
        <v>0</v>
      </c>
    </row>
    <row r="477" spans="1:143" ht="12" hidden="1" customHeight="1" outlineLevel="2">
      <c r="A477" s="77">
        <v>1</v>
      </c>
      <c r="B477" s="137" t="str">
        <f>IF(G477&gt;0,G477&amp;" - "&amp;$F$213,"")</f>
        <v>GER. (OBRA/PROJ) - Equipe_01</v>
      </c>
      <c r="C477" s="65"/>
      <c r="D477" s="620" t="s">
        <v>463</v>
      </c>
      <c r="E477" s="65"/>
      <c r="F477" s="584" t="str">
        <f>IFERROR(VLOOKUP(F475,Tarefas!$F$3:$G$22,2,0),"")</f>
        <v>Equipe_12</v>
      </c>
      <c r="G477" s="77" t="str">
        <f>IF(INDEX(Tarefas!$BT$30:$FK$30,MATCH(A477,Tarefas!$BT$28:$FK$28,0))=0,"",INDEX(Tarefas!$BT$30:$FK$30,MATCH(A477,Tarefas!$BT$28:$FK$28,0)))</f>
        <v>GER. (OBRA/PROJ)</v>
      </c>
      <c r="H477" s="107" cm="1">
        <f t="array" ref="H477">IFERROR((SUMPRODUCT((Tarefas!$N$32:$N$54='Cronog. e Histog.'!$F$477)*(Tarefas!$BQ$30:$FK$30='Cronog. e Histog.'!$G477)*(Tarefas!$BQ$32:$FK$54)))/SUMIF(Tarefas!$N$32:$N$54,'Cronog. e Histog.'!$F$477,Tarefas!$K$32:$K$54),0)</f>
        <v>0</v>
      </c>
      <c r="I477" s="79">
        <f>IFERROR(H477/$H$497,0)</f>
        <v>0</v>
      </c>
      <c r="J477" s="65"/>
      <c r="K477" s="160">
        <f>ROUND($I477*K$194,2)</f>
        <v>0</v>
      </c>
      <c r="L477" s="160">
        <f t="shared" ref="L477:BR491" si="1719">ROUND($I477*L$194,2)</f>
        <v>0</v>
      </c>
      <c r="M477" s="160">
        <f t="shared" si="1719"/>
        <v>0</v>
      </c>
      <c r="N477" s="160">
        <f t="shared" si="1719"/>
        <v>0</v>
      </c>
      <c r="O477" s="160">
        <f t="shared" si="1719"/>
        <v>0</v>
      </c>
      <c r="P477" s="160">
        <f t="shared" si="1719"/>
        <v>0</v>
      </c>
      <c r="Q477" s="160">
        <f t="shared" si="1719"/>
        <v>0</v>
      </c>
      <c r="R477" s="160">
        <f t="shared" si="1719"/>
        <v>0</v>
      </c>
      <c r="S477" s="160">
        <f t="shared" si="1719"/>
        <v>0</v>
      </c>
      <c r="T477" s="160">
        <f t="shared" si="1719"/>
        <v>0</v>
      </c>
      <c r="U477" s="160">
        <f t="shared" si="1719"/>
        <v>0</v>
      </c>
      <c r="V477" s="160">
        <f t="shared" si="1719"/>
        <v>0</v>
      </c>
      <c r="W477" s="160">
        <f t="shared" si="1719"/>
        <v>0</v>
      </c>
      <c r="X477" s="160">
        <f t="shared" si="1719"/>
        <v>0</v>
      </c>
      <c r="Y477" s="160">
        <f t="shared" si="1719"/>
        <v>0</v>
      </c>
      <c r="Z477" s="160">
        <f t="shared" si="1719"/>
        <v>0</v>
      </c>
      <c r="AA477" s="160">
        <f t="shared" si="1719"/>
        <v>0</v>
      </c>
      <c r="AB477" s="160">
        <f t="shared" si="1719"/>
        <v>0</v>
      </c>
      <c r="AC477" s="160">
        <f t="shared" si="1719"/>
        <v>0</v>
      </c>
      <c r="AD477" s="160">
        <f t="shared" si="1719"/>
        <v>0</v>
      </c>
      <c r="AE477" s="160">
        <f t="shared" si="1719"/>
        <v>0</v>
      </c>
      <c r="AF477" s="160">
        <f t="shared" si="1719"/>
        <v>0</v>
      </c>
      <c r="AG477" s="160">
        <f t="shared" si="1719"/>
        <v>0</v>
      </c>
      <c r="AH477" s="160">
        <f t="shared" si="1719"/>
        <v>0</v>
      </c>
      <c r="AI477" s="160">
        <f t="shared" si="1719"/>
        <v>0</v>
      </c>
      <c r="AJ477" s="160">
        <f t="shared" si="1719"/>
        <v>0</v>
      </c>
      <c r="AK477" s="160">
        <f t="shared" si="1719"/>
        <v>0</v>
      </c>
      <c r="AL477" s="160">
        <f t="shared" si="1719"/>
        <v>0</v>
      </c>
      <c r="AM477" s="160">
        <f t="shared" si="1719"/>
        <v>0</v>
      </c>
      <c r="AN477" s="160">
        <f t="shared" si="1719"/>
        <v>0</v>
      </c>
      <c r="AO477" s="160">
        <f t="shared" si="1719"/>
        <v>0</v>
      </c>
      <c r="AP477" s="160">
        <f t="shared" si="1719"/>
        <v>0</v>
      </c>
      <c r="AQ477" s="160">
        <f t="shared" si="1719"/>
        <v>0</v>
      </c>
      <c r="AR477" s="160">
        <f t="shared" si="1719"/>
        <v>0</v>
      </c>
      <c r="AS477" s="160">
        <f t="shared" si="1719"/>
        <v>0</v>
      </c>
      <c r="AT477" s="160">
        <f t="shared" si="1719"/>
        <v>0</v>
      </c>
      <c r="AU477" s="160">
        <f t="shared" si="1719"/>
        <v>0</v>
      </c>
      <c r="AV477" s="160">
        <f t="shared" si="1719"/>
        <v>0</v>
      </c>
      <c r="AW477" s="160">
        <f t="shared" si="1719"/>
        <v>0</v>
      </c>
      <c r="AX477" s="160">
        <f t="shared" si="1719"/>
        <v>0</v>
      </c>
      <c r="AY477" s="160">
        <f t="shared" si="1719"/>
        <v>0</v>
      </c>
      <c r="AZ477" s="160">
        <f t="shared" si="1719"/>
        <v>0</v>
      </c>
      <c r="BA477" s="160">
        <f t="shared" si="1719"/>
        <v>0</v>
      </c>
      <c r="BB477" s="160">
        <f t="shared" si="1719"/>
        <v>0</v>
      </c>
      <c r="BC477" s="160">
        <f t="shared" si="1719"/>
        <v>0</v>
      </c>
      <c r="BD477" s="160">
        <f t="shared" si="1719"/>
        <v>0</v>
      </c>
      <c r="BE477" s="160">
        <f t="shared" si="1719"/>
        <v>0</v>
      </c>
      <c r="BF477" s="160">
        <f t="shared" si="1719"/>
        <v>0</v>
      </c>
      <c r="BG477" s="160">
        <f t="shared" si="1719"/>
        <v>0</v>
      </c>
      <c r="BH477" s="160">
        <f t="shared" si="1719"/>
        <v>0</v>
      </c>
      <c r="BI477" s="160">
        <f t="shared" si="1719"/>
        <v>0</v>
      </c>
      <c r="BJ477" s="160">
        <f t="shared" si="1719"/>
        <v>0</v>
      </c>
      <c r="BK477" s="160">
        <f t="shared" si="1719"/>
        <v>0</v>
      </c>
      <c r="BL477" s="160">
        <f t="shared" si="1719"/>
        <v>0</v>
      </c>
      <c r="BM477" s="160">
        <f t="shared" si="1719"/>
        <v>0</v>
      </c>
      <c r="BN477" s="160">
        <f t="shared" si="1719"/>
        <v>0</v>
      </c>
      <c r="BO477" s="160">
        <f t="shared" si="1719"/>
        <v>0</v>
      </c>
      <c r="BP477" s="160">
        <f t="shared" si="1719"/>
        <v>0</v>
      </c>
      <c r="BQ477" s="160">
        <f t="shared" si="1719"/>
        <v>0</v>
      </c>
      <c r="BR477" s="160">
        <f t="shared" si="1719"/>
        <v>0</v>
      </c>
      <c r="BS477" s="65"/>
      <c r="BT477" s="160">
        <f t="shared" ref="BT477:BT496" si="1720">IFERROR(SUM(K477:BR477)/COUNTIF(K477:BR477,"&gt;0"),0)</f>
        <v>0</v>
      </c>
      <c r="BU477" s="160">
        <f t="shared" ref="BU477:BU496" si="1721">COUNTIF(K477:BR477,"&gt;0")</f>
        <v>0</v>
      </c>
      <c r="BV477" s="65"/>
      <c r="BW477" s="69"/>
      <c r="BX477" s="65"/>
      <c r="BY477" s="137">
        <f t="shared" ref="BY477:BY496" si="1722">IF(G477&gt;0,1,0)</f>
        <v>1</v>
      </c>
      <c r="BZ477" s="137">
        <f>IF(BY477&gt;0,BY477+LARGE($BZ$213:BZ476,1),0)</f>
        <v>221</v>
      </c>
      <c r="CA477" s="137" t="str">
        <f t="shared" ref="CA477:CA496" si="1723">G477</f>
        <v>GER. (OBRA/PROJ)</v>
      </c>
      <c r="CB477" s="161">
        <f t="shared" ref="CB477:CB496" si="1724">K477</f>
        <v>0</v>
      </c>
      <c r="CC477" s="161">
        <f t="shared" ref="CC477:CC496" si="1725">L477</f>
        <v>0</v>
      </c>
      <c r="CD477" s="161">
        <f t="shared" ref="CD477:CD496" si="1726">M477</f>
        <v>0</v>
      </c>
      <c r="CE477" s="161">
        <f t="shared" ref="CE477:CE496" si="1727">N477</f>
        <v>0</v>
      </c>
      <c r="CF477" s="161">
        <f t="shared" ref="CF477:CF496" si="1728">O477</f>
        <v>0</v>
      </c>
      <c r="CG477" s="161">
        <f t="shared" ref="CG477:CG496" si="1729">P477</f>
        <v>0</v>
      </c>
      <c r="CH477" s="161">
        <f t="shared" ref="CH477:CH496" si="1730">Q477</f>
        <v>0</v>
      </c>
      <c r="CI477" s="161">
        <f t="shared" ref="CI477:CI496" si="1731">R477</f>
        <v>0</v>
      </c>
      <c r="CJ477" s="161">
        <f t="shared" ref="CJ477:CJ496" si="1732">S477</f>
        <v>0</v>
      </c>
      <c r="CK477" s="161">
        <f t="shared" ref="CK477:CK496" si="1733">T477</f>
        <v>0</v>
      </c>
      <c r="CL477" s="161">
        <f t="shared" ref="CL477:CL496" si="1734">U477</f>
        <v>0</v>
      </c>
      <c r="CM477" s="161">
        <f t="shared" ref="CM477:CM496" si="1735">V477</f>
        <v>0</v>
      </c>
      <c r="CN477" s="161">
        <f t="shared" ref="CN477:CN496" si="1736">W477</f>
        <v>0</v>
      </c>
      <c r="CO477" s="161">
        <f t="shared" ref="CO477:CO496" si="1737">X477</f>
        <v>0</v>
      </c>
      <c r="CP477" s="161">
        <f t="shared" ref="CP477:CP496" si="1738">Y477</f>
        <v>0</v>
      </c>
      <c r="CQ477" s="161">
        <f t="shared" ref="CQ477:CQ496" si="1739">Z477</f>
        <v>0</v>
      </c>
      <c r="CR477" s="161">
        <f t="shared" ref="CR477:CR496" si="1740">AA477</f>
        <v>0</v>
      </c>
      <c r="CS477" s="161">
        <f t="shared" ref="CS477:CS496" si="1741">AB477</f>
        <v>0</v>
      </c>
      <c r="CT477" s="161">
        <f t="shared" ref="CT477:CT496" si="1742">AC477</f>
        <v>0</v>
      </c>
      <c r="CU477" s="161">
        <f t="shared" ref="CU477:CU496" si="1743">AD477</f>
        <v>0</v>
      </c>
      <c r="CV477" s="161">
        <f t="shared" ref="CV477:CV496" si="1744">AE477</f>
        <v>0</v>
      </c>
      <c r="CW477" s="161">
        <f t="shared" ref="CW477:CW496" si="1745">AF477</f>
        <v>0</v>
      </c>
      <c r="CX477" s="161">
        <f t="shared" ref="CX477:CX496" si="1746">AG477</f>
        <v>0</v>
      </c>
      <c r="CY477" s="161">
        <f t="shared" ref="CY477:CY496" si="1747">AH477</f>
        <v>0</v>
      </c>
      <c r="CZ477" s="161">
        <f t="shared" ref="CZ477:CZ496" si="1748">AI477</f>
        <v>0</v>
      </c>
      <c r="DA477" s="161">
        <f t="shared" ref="DA477:DA496" si="1749">AJ477</f>
        <v>0</v>
      </c>
      <c r="DB477" s="161">
        <f t="shared" ref="DB477:DB496" si="1750">AK477</f>
        <v>0</v>
      </c>
      <c r="DC477" s="161">
        <f t="shared" ref="DC477:DC496" si="1751">AL477</f>
        <v>0</v>
      </c>
      <c r="DD477" s="161">
        <f t="shared" ref="DD477:DD496" si="1752">AM477</f>
        <v>0</v>
      </c>
      <c r="DE477" s="161">
        <f t="shared" ref="DE477:DE496" si="1753">AN477</f>
        <v>0</v>
      </c>
      <c r="DF477" s="161">
        <f t="shared" ref="DF477:DF496" si="1754">AO477</f>
        <v>0</v>
      </c>
      <c r="DG477" s="161">
        <f t="shared" ref="DG477:DG496" si="1755">AP477</f>
        <v>0</v>
      </c>
      <c r="DH477" s="161">
        <f t="shared" ref="DH477:DH496" si="1756">AQ477</f>
        <v>0</v>
      </c>
      <c r="DI477" s="161">
        <f t="shared" ref="DI477:DI496" si="1757">AR477</f>
        <v>0</v>
      </c>
      <c r="DJ477" s="161">
        <f t="shared" ref="DJ477:DJ496" si="1758">AS477</f>
        <v>0</v>
      </c>
      <c r="DK477" s="161">
        <f t="shared" ref="DK477:DK496" si="1759">AT477</f>
        <v>0</v>
      </c>
      <c r="DL477" s="161">
        <f t="shared" ref="DL477:DL496" si="1760">AU477</f>
        <v>0</v>
      </c>
      <c r="DM477" s="161">
        <f t="shared" ref="DM477:DM496" si="1761">AV477</f>
        <v>0</v>
      </c>
      <c r="DN477" s="161">
        <f t="shared" ref="DN477:DN496" si="1762">AW477</f>
        <v>0</v>
      </c>
      <c r="DO477" s="161">
        <f t="shared" ref="DO477:DO496" si="1763">AX477</f>
        <v>0</v>
      </c>
      <c r="DP477" s="161">
        <f t="shared" ref="DP477:DP496" si="1764">AY477</f>
        <v>0</v>
      </c>
      <c r="DQ477" s="161">
        <f t="shared" ref="DQ477:DQ496" si="1765">AZ477</f>
        <v>0</v>
      </c>
      <c r="DR477" s="161">
        <f t="shared" ref="DR477:DR496" si="1766">BA477</f>
        <v>0</v>
      </c>
      <c r="DS477" s="161">
        <f t="shared" ref="DS477:DS496" si="1767">BB477</f>
        <v>0</v>
      </c>
      <c r="DT477" s="161">
        <f t="shared" ref="DT477:DT496" si="1768">BC477</f>
        <v>0</v>
      </c>
      <c r="DU477" s="161">
        <f t="shared" ref="DU477:DU496" si="1769">BD477</f>
        <v>0</v>
      </c>
      <c r="DV477" s="161">
        <f t="shared" ref="DV477:DV496" si="1770">BE477</f>
        <v>0</v>
      </c>
      <c r="DW477" s="161">
        <f t="shared" ref="DW477:DW496" si="1771">BF477</f>
        <v>0</v>
      </c>
      <c r="DX477" s="161">
        <f t="shared" ref="DX477:DX496" si="1772">BG477</f>
        <v>0</v>
      </c>
      <c r="DY477" s="161">
        <f t="shared" ref="DY477:DY496" si="1773">BH477</f>
        <v>0</v>
      </c>
      <c r="DZ477" s="161">
        <f t="shared" ref="DZ477:DZ496" si="1774">BI477</f>
        <v>0</v>
      </c>
      <c r="EA477" s="161">
        <f t="shared" ref="EA477:EA496" si="1775">BJ477</f>
        <v>0</v>
      </c>
      <c r="EB477" s="161">
        <f t="shared" ref="EB477:EB496" si="1776">BK477</f>
        <v>0</v>
      </c>
      <c r="EC477" s="161">
        <f t="shared" ref="EC477:EC496" si="1777">BL477</f>
        <v>0</v>
      </c>
      <c r="ED477" s="161">
        <f t="shared" ref="ED477:ED496" si="1778">BM477</f>
        <v>0</v>
      </c>
      <c r="EE477" s="161">
        <f t="shared" ref="EE477:EE496" si="1779">BN477</f>
        <v>0</v>
      </c>
      <c r="EF477" s="161">
        <f t="shared" ref="EF477:EF496" si="1780">BO477</f>
        <v>0</v>
      </c>
      <c r="EG477" s="161">
        <f t="shared" ref="EG477:EG496" si="1781">BP477</f>
        <v>0</v>
      </c>
      <c r="EH477" s="161">
        <f t="shared" ref="EH477:EH496" si="1782">BQ477</f>
        <v>0</v>
      </c>
      <c r="EI477" s="161">
        <f t="shared" ref="EI477:EI496" si="1783">BR477</f>
        <v>0</v>
      </c>
      <c r="EJ477" s="65"/>
      <c r="EK477" s="161">
        <f>$EK$476</f>
        <v>0</v>
      </c>
      <c r="EL477" s="161">
        <f>$EL$476</f>
        <v>0</v>
      </c>
      <c r="EM477" s="161">
        <f>$EM$476</f>
        <v>0</v>
      </c>
    </row>
    <row r="478" spans="1:143" ht="12" hidden="1" customHeight="1" outlineLevel="2">
      <c r="A478" s="77">
        <v>2</v>
      </c>
      <c r="B478" s="137" t="str">
        <f t="shared" ref="B478:B496" si="1784">IF(G478&gt;0,G478&amp;" - "&amp;$F$213,"")</f>
        <v>COORD. - Equipe_01</v>
      </c>
      <c r="C478" s="65"/>
      <c r="D478" s="621"/>
      <c r="E478" s="65"/>
      <c r="F478" s="584"/>
      <c r="G478" s="77" t="str">
        <f>IF(INDEX(Tarefas!$BT$30:$FK$30,MATCH(A478,Tarefas!$BT$28:$FK$28,0))=0,"",INDEX(Tarefas!$BT$30:$FK$30,MATCH(A478,Tarefas!$BT$28:$FK$28,0)))</f>
        <v>COORD.</v>
      </c>
      <c r="H478" s="107" cm="1">
        <f t="array" ref="H478">IFERROR((SUMPRODUCT((Tarefas!$N$32:$N$54='Cronog. e Histog.'!$F$477)*(Tarefas!$BQ$30:$FK$30='Cronog. e Histog.'!$G478)*(Tarefas!$BQ$32:$FK$54)))/SUMIF(Tarefas!$N$32:$N$54,'Cronog. e Histog.'!$F$477,Tarefas!$K$32:$K$54),0)</f>
        <v>0</v>
      </c>
      <c r="I478" s="79">
        <f t="shared" ref="I478:I496" si="1785">IFERROR(H478/$H$497,0)</f>
        <v>0</v>
      </c>
      <c r="J478" s="65"/>
      <c r="K478" s="160">
        <f t="shared" ref="K478:Z487" si="1786">ROUND($I478*K$194,2)</f>
        <v>0</v>
      </c>
      <c r="L478" s="160">
        <f t="shared" si="1786"/>
        <v>0</v>
      </c>
      <c r="M478" s="160">
        <f t="shared" si="1786"/>
        <v>0</v>
      </c>
      <c r="N478" s="160">
        <f t="shared" si="1786"/>
        <v>0</v>
      </c>
      <c r="O478" s="160">
        <f t="shared" si="1786"/>
        <v>0</v>
      </c>
      <c r="P478" s="160">
        <f t="shared" si="1786"/>
        <v>0</v>
      </c>
      <c r="Q478" s="160">
        <f t="shared" si="1786"/>
        <v>0</v>
      </c>
      <c r="R478" s="160">
        <f t="shared" si="1786"/>
        <v>0</v>
      </c>
      <c r="S478" s="160">
        <f t="shared" si="1786"/>
        <v>0</v>
      </c>
      <c r="T478" s="160">
        <f t="shared" si="1786"/>
        <v>0</v>
      </c>
      <c r="U478" s="160">
        <f t="shared" si="1786"/>
        <v>0</v>
      </c>
      <c r="V478" s="160">
        <f t="shared" si="1786"/>
        <v>0</v>
      </c>
      <c r="W478" s="160">
        <f t="shared" si="1786"/>
        <v>0</v>
      </c>
      <c r="X478" s="160">
        <f t="shared" si="1786"/>
        <v>0</v>
      </c>
      <c r="Y478" s="160">
        <f t="shared" si="1786"/>
        <v>0</v>
      </c>
      <c r="Z478" s="160">
        <f t="shared" si="1786"/>
        <v>0</v>
      </c>
      <c r="AA478" s="160">
        <f t="shared" ref="AA478:AP487" si="1787">ROUND($I478*AA$194,2)</f>
        <v>0</v>
      </c>
      <c r="AB478" s="160">
        <f t="shared" si="1787"/>
        <v>0</v>
      </c>
      <c r="AC478" s="160">
        <f t="shared" si="1787"/>
        <v>0</v>
      </c>
      <c r="AD478" s="160">
        <f t="shared" si="1787"/>
        <v>0</v>
      </c>
      <c r="AE478" s="160">
        <f t="shared" si="1787"/>
        <v>0</v>
      </c>
      <c r="AF478" s="160">
        <f t="shared" si="1787"/>
        <v>0</v>
      </c>
      <c r="AG478" s="160">
        <f t="shared" si="1787"/>
        <v>0</v>
      </c>
      <c r="AH478" s="160">
        <f t="shared" si="1787"/>
        <v>0</v>
      </c>
      <c r="AI478" s="160">
        <f t="shared" si="1787"/>
        <v>0</v>
      </c>
      <c r="AJ478" s="160">
        <f t="shared" si="1787"/>
        <v>0</v>
      </c>
      <c r="AK478" s="160">
        <f t="shared" si="1787"/>
        <v>0</v>
      </c>
      <c r="AL478" s="160">
        <f t="shared" si="1787"/>
        <v>0</v>
      </c>
      <c r="AM478" s="160">
        <f t="shared" si="1787"/>
        <v>0</v>
      </c>
      <c r="AN478" s="160">
        <f t="shared" si="1787"/>
        <v>0</v>
      </c>
      <c r="AO478" s="160">
        <f t="shared" si="1787"/>
        <v>0</v>
      </c>
      <c r="AP478" s="160">
        <f t="shared" si="1787"/>
        <v>0</v>
      </c>
      <c r="AQ478" s="160">
        <f t="shared" ref="AQ478:BF487" si="1788">ROUND($I478*AQ$194,2)</f>
        <v>0</v>
      </c>
      <c r="AR478" s="160">
        <f t="shared" si="1788"/>
        <v>0</v>
      </c>
      <c r="AS478" s="160">
        <f t="shared" si="1788"/>
        <v>0</v>
      </c>
      <c r="AT478" s="160">
        <f t="shared" si="1788"/>
        <v>0</v>
      </c>
      <c r="AU478" s="160">
        <f t="shared" si="1788"/>
        <v>0</v>
      </c>
      <c r="AV478" s="160">
        <f t="shared" si="1788"/>
        <v>0</v>
      </c>
      <c r="AW478" s="160">
        <f t="shared" si="1788"/>
        <v>0</v>
      </c>
      <c r="AX478" s="160">
        <f t="shared" si="1788"/>
        <v>0</v>
      </c>
      <c r="AY478" s="160">
        <f t="shared" si="1788"/>
        <v>0</v>
      </c>
      <c r="AZ478" s="160">
        <f t="shared" si="1788"/>
        <v>0</v>
      </c>
      <c r="BA478" s="160">
        <f t="shared" si="1788"/>
        <v>0</v>
      </c>
      <c r="BB478" s="160">
        <f t="shared" si="1788"/>
        <v>0</v>
      </c>
      <c r="BC478" s="160">
        <f t="shared" si="1788"/>
        <v>0</v>
      </c>
      <c r="BD478" s="160">
        <f t="shared" si="1788"/>
        <v>0</v>
      </c>
      <c r="BE478" s="160">
        <f t="shared" si="1788"/>
        <v>0</v>
      </c>
      <c r="BF478" s="160">
        <f t="shared" si="1788"/>
        <v>0</v>
      </c>
      <c r="BG478" s="160">
        <f t="shared" ref="BG478:BR487" si="1789">ROUND($I478*BG$194,2)</f>
        <v>0</v>
      </c>
      <c r="BH478" s="160">
        <f t="shared" si="1789"/>
        <v>0</v>
      </c>
      <c r="BI478" s="160">
        <f t="shared" si="1789"/>
        <v>0</v>
      </c>
      <c r="BJ478" s="160">
        <f t="shared" si="1789"/>
        <v>0</v>
      </c>
      <c r="BK478" s="160">
        <f t="shared" si="1789"/>
        <v>0</v>
      </c>
      <c r="BL478" s="160">
        <f t="shared" si="1789"/>
        <v>0</v>
      </c>
      <c r="BM478" s="160">
        <f t="shared" si="1789"/>
        <v>0</v>
      </c>
      <c r="BN478" s="160">
        <f t="shared" si="1789"/>
        <v>0</v>
      </c>
      <c r="BO478" s="160">
        <f t="shared" si="1789"/>
        <v>0</v>
      </c>
      <c r="BP478" s="160">
        <f t="shared" si="1789"/>
        <v>0</v>
      </c>
      <c r="BQ478" s="160">
        <f t="shared" si="1789"/>
        <v>0</v>
      </c>
      <c r="BR478" s="160">
        <f t="shared" si="1789"/>
        <v>0</v>
      </c>
      <c r="BS478" s="65"/>
      <c r="BT478" s="160">
        <f t="shared" ref="BT478:BT487" si="1790">IFERROR(SUM(K478:BR478)/COUNTIF(K478:BR478,"&gt;0"),0)</f>
        <v>0</v>
      </c>
      <c r="BU478" s="160">
        <f t="shared" ref="BU478:BU487" si="1791">COUNTIF(K478:BR478,"&gt;0")</f>
        <v>0</v>
      </c>
      <c r="BV478" s="65"/>
      <c r="BW478" s="69"/>
      <c r="BX478" s="65"/>
      <c r="BY478" s="137">
        <f t="shared" ref="BY478:BY487" si="1792">IF(G478&gt;0,1,0)</f>
        <v>1</v>
      </c>
      <c r="BZ478" s="137">
        <f>IF(BY478&gt;0,BY478+LARGE($BZ$213:BZ477,1),0)</f>
        <v>222</v>
      </c>
      <c r="CA478" s="137" t="str">
        <f t="shared" ref="CA478:CA487" si="1793">G478</f>
        <v>COORD.</v>
      </c>
      <c r="CB478" s="161">
        <f t="shared" ref="CB478:CB487" si="1794">K478</f>
        <v>0</v>
      </c>
      <c r="CC478" s="161">
        <f t="shared" ref="CC478:CC487" si="1795">L478</f>
        <v>0</v>
      </c>
      <c r="CD478" s="161">
        <f t="shared" ref="CD478:CD487" si="1796">M478</f>
        <v>0</v>
      </c>
      <c r="CE478" s="161">
        <f t="shared" ref="CE478:CE487" si="1797">N478</f>
        <v>0</v>
      </c>
      <c r="CF478" s="161">
        <f t="shared" ref="CF478:CF487" si="1798">O478</f>
        <v>0</v>
      </c>
      <c r="CG478" s="161">
        <f t="shared" ref="CG478:CG487" si="1799">P478</f>
        <v>0</v>
      </c>
      <c r="CH478" s="161">
        <f t="shared" ref="CH478:CH487" si="1800">Q478</f>
        <v>0</v>
      </c>
      <c r="CI478" s="161">
        <f t="shared" ref="CI478:CI487" si="1801">R478</f>
        <v>0</v>
      </c>
      <c r="CJ478" s="161">
        <f t="shared" ref="CJ478:CJ487" si="1802">S478</f>
        <v>0</v>
      </c>
      <c r="CK478" s="161">
        <f t="shared" ref="CK478:CK487" si="1803">T478</f>
        <v>0</v>
      </c>
      <c r="CL478" s="161">
        <f t="shared" ref="CL478:CL487" si="1804">U478</f>
        <v>0</v>
      </c>
      <c r="CM478" s="161">
        <f t="shared" ref="CM478:CM487" si="1805">V478</f>
        <v>0</v>
      </c>
      <c r="CN478" s="161">
        <f t="shared" ref="CN478:CN487" si="1806">W478</f>
        <v>0</v>
      </c>
      <c r="CO478" s="161">
        <f t="shared" ref="CO478:CO487" si="1807">X478</f>
        <v>0</v>
      </c>
      <c r="CP478" s="161">
        <f t="shared" ref="CP478:CP487" si="1808">Y478</f>
        <v>0</v>
      </c>
      <c r="CQ478" s="161">
        <f t="shared" ref="CQ478:CQ487" si="1809">Z478</f>
        <v>0</v>
      </c>
      <c r="CR478" s="161">
        <f t="shared" ref="CR478:CR487" si="1810">AA478</f>
        <v>0</v>
      </c>
      <c r="CS478" s="161">
        <f t="shared" ref="CS478:CS487" si="1811">AB478</f>
        <v>0</v>
      </c>
      <c r="CT478" s="161">
        <f t="shared" ref="CT478:CT487" si="1812">AC478</f>
        <v>0</v>
      </c>
      <c r="CU478" s="161">
        <f t="shared" ref="CU478:CU487" si="1813">AD478</f>
        <v>0</v>
      </c>
      <c r="CV478" s="161">
        <f t="shared" ref="CV478:CV487" si="1814">AE478</f>
        <v>0</v>
      </c>
      <c r="CW478" s="161">
        <f t="shared" ref="CW478:CW487" si="1815">AF478</f>
        <v>0</v>
      </c>
      <c r="CX478" s="161">
        <f t="shared" ref="CX478:CX487" si="1816">AG478</f>
        <v>0</v>
      </c>
      <c r="CY478" s="161">
        <f t="shared" ref="CY478:CY487" si="1817">AH478</f>
        <v>0</v>
      </c>
      <c r="CZ478" s="161">
        <f t="shared" ref="CZ478:CZ487" si="1818">AI478</f>
        <v>0</v>
      </c>
      <c r="DA478" s="161">
        <f t="shared" ref="DA478:DA487" si="1819">AJ478</f>
        <v>0</v>
      </c>
      <c r="DB478" s="161">
        <f t="shared" ref="DB478:DB487" si="1820">AK478</f>
        <v>0</v>
      </c>
      <c r="DC478" s="161">
        <f t="shared" ref="DC478:DC487" si="1821">AL478</f>
        <v>0</v>
      </c>
      <c r="DD478" s="161">
        <f t="shared" ref="DD478:DD487" si="1822">AM478</f>
        <v>0</v>
      </c>
      <c r="DE478" s="161">
        <f t="shared" ref="DE478:DE487" si="1823">AN478</f>
        <v>0</v>
      </c>
      <c r="DF478" s="161">
        <f t="shared" ref="DF478:DF487" si="1824">AO478</f>
        <v>0</v>
      </c>
      <c r="DG478" s="161">
        <f t="shared" ref="DG478:DG487" si="1825">AP478</f>
        <v>0</v>
      </c>
      <c r="DH478" s="161">
        <f t="shared" ref="DH478:DH487" si="1826">AQ478</f>
        <v>0</v>
      </c>
      <c r="DI478" s="161">
        <f t="shared" ref="DI478:DI487" si="1827">AR478</f>
        <v>0</v>
      </c>
      <c r="DJ478" s="161">
        <f t="shared" ref="DJ478:DJ487" si="1828">AS478</f>
        <v>0</v>
      </c>
      <c r="DK478" s="161">
        <f t="shared" ref="DK478:DK487" si="1829">AT478</f>
        <v>0</v>
      </c>
      <c r="DL478" s="161">
        <f t="shared" ref="DL478:DL487" si="1830">AU478</f>
        <v>0</v>
      </c>
      <c r="DM478" s="161">
        <f t="shared" ref="DM478:DM487" si="1831">AV478</f>
        <v>0</v>
      </c>
      <c r="DN478" s="161">
        <f t="shared" ref="DN478:DN487" si="1832">AW478</f>
        <v>0</v>
      </c>
      <c r="DO478" s="161">
        <f t="shared" ref="DO478:DO487" si="1833">AX478</f>
        <v>0</v>
      </c>
      <c r="DP478" s="161">
        <f t="shared" ref="DP478:DP487" si="1834">AY478</f>
        <v>0</v>
      </c>
      <c r="DQ478" s="161">
        <f t="shared" ref="DQ478:DQ487" si="1835">AZ478</f>
        <v>0</v>
      </c>
      <c r="DR478" s="161">
        <f t="shared" ref="DR478:DR487" si="1836">BA478</f>
        <v>0</v>
      </c>
      <c r="DS478" s="161">
        <f t="shared" ref="DS478:DS487" si="1837">BB478</f>
        <v>0</v>
      </c>
      <c r="DT478" s="161">
        <f t="shared" ref="DT478:DT487" si="1838">BC478</f>
        <v>0</v>
      </c>
      <c r="DU478" s="161">
        <f t="shared" ref="DU478:DU487" si="1839">BD478</f>
        <v>0</v>
      </c>
      <c r="DV478" s="161">
        <f t="shared" ref="DV478:DV487" si="1840">BE478</f>
        <v>0</v>
      </c>
      <c r="DW478" s="161">
        <f t="shared" ref="DW478:DW487" si="1841">BF478</f>
        <v>0</v>
      </c>
      <c r="DX478" s="161">
        <f t="shared" ref="DX478:DX487" si="1842">BG478</f>
        <v>0</v>
      </c>
      <c r="DY478" s="161">
        <f t="shared" ref="DY478:DY487" si="1843">BH478</f>
        <v>0</v>
      </c>
      <c r="DZ478" s="161">
        <f t="shared" ref="DZ478:DZ487" si="1844">BI478</f>
        <v>0</v>
      </c>
      <c r="EA478" s="161">
        <f t="shared" ref="EA478:EA487" si="1845">BJ478</f>
        <v>0</v>
      </c>
      <c r="EB478" s="161">
        <f t="shared" ref="EB478:EB487" si="1846">BK478</f>
        <v>0</v>
      </c>
      <c r="EC478" s="161">
        <f t="shared" ref="EC478:EC487" si="1847">BL478</f>
        <v>0</v>
      </c>
      <c r="ED478" s="161">
        <f t="shared" ref="ED478:ED487" si="1848">BM478</f>
        <v>0</v>
      </c>
      <c r="EE478" s="161">
        <f t="shared" ref="EE478:EE487" si="1849">BN478</f>
        <v>0</v>
      </c>
      <c r="EF478" s="161">
        <f t="shared" ref="EF478:EF487" si="1850">BO478</f>
        <v>0</v>
      </c>
      <c r="EG478" s="161">
        <f t="shared" ref="EG478:EG487" si="1851">BP478</f>
        <v>0</v>
      </c>
      <c r="EH478" s="161">
        <f t="shared" ref="EH478:EH487" si="1852">BQ478</f>
        <v>0</v>
      </c>
      <c r="EI478" s="161">
        <f t="shared" ref="EI478:EI487" si="1853">BR478</f>
        <v>0</v>
      </c>
      <c r="EJ478" s="65"/>
      <c r="EK478" s="161">
        <f t="shared" ref="EK478:EK496" si="1854">$EK$476</f>
        <v>0</v>
      </c>
      <c r="EL478" s="161">
        <f t="shared" ref="EL478:EL496" si="1855">$EL$476</f>
        <v>0</v>
      </c>
      <c r="EM478" s="161">
        <f t="shared" ref="EM478:EM496" si="1856">$EM$476</f>
        <v>0</v>
      </c>
    </row>
    <row r="479" spans="1:143" ht="12" hidden="1" customHeight="1" outlineLevel="2">
      <c r="A479" s="77">
        <v>3</v>
      </c>
      <c r="B479" s="137" t="str">
        <f t="shared" si="1784"/>
        <v>SUP.-ESP - Equipe_01</v>
      </c>
      <c r="C479" s="65"/>
      <c r="D479" s="621"/>
      <c r="E479" s="65"/>
      <c r="F479" s="584"/>
      <c r="G479" s="77" t="str">
        <f>IF(INDEX(Tarefas!$BT$30:$FK$30,MATCH(A479,Tarefas!$BT$28:$FK$28,0))=0,"",INDEX(Tarefas!$BT$30:$FK$30,MATCH(A479,Tarefas!$BT$28:$FK$28,0)))</f>
        <v>SUP.-ESP</v>
      </c>
      <c r="H479" s="107" cm="1">
        <f t="array" ref="H479">IFERROR((SUMPRODUCT((Tarefas!$N$32:$N$54='Cronog. e Histog.'!$F$477)*(Tarefas!$BQ$30:$FK$30='Cronog. e Histog.'!$G479)*(Tarefas!$BQ$32:$FK$54)))/SUMIF(Tarefas!$N$32:$N$54,'Cronog. e Histog.'!$F$477,Tarefas!$K$32:$K$54),0)</f>
        <v>0</v>
      </c>
      <c r="I479" s="79">
        <f t="shared" si="1785"/>
        <v>0</v>
      </c>
      <c r="J479" s="65"/>
      <c r="K479" s="160">
        <f t="shared" si="1786"/>
        <v>0</v>
      </c>
      <c r="L479" s="160">
        <f t="shared" si="1786"/>
        <v>0</v>
      </c>
      <c r="M479" s="160">
        <f t="shared" si="1786"/>
        <v>0</v>
      </c>
      <c r="N479" s="160">
        <f t="shared" si="1786"/>
        <v>0</v>
      </c>
      <c r="O479" s="160">
        <f t="shared" si="1786"/>
        <v>0</v>
      </c>
      <c r="P479" s="160">
        <f t="shared" si="1786"/>
        <v>0</v>
      </c>
      <c r="Q479" s="160">
        <f t="shared" si="1786"/>
        <v>0</v>
      </c>
      <c r="R479" s="160">
        <f t="shared" si="1786"/>
        <v>0</v>
      </c>
      <c r="S479" s="160">
        <f t="shared" si="1786"/>
        <v>0</v>
      </c>
      <c r="T479" s="160">
        <f t="shared" si="1786"/>
        <v>0</v>
      </c>
      <c r="U479" s="160">
        <f t="shared" si="1786"/>
        <v>0</v>
      </c>
      <c r="V479" s="160">
        <f t="shared" si="1786"/>
        <v>0</v>
      </c>
      <c r="W479" s="160">
        <f t="shared" si="1786"/>
        <v>0</v>
      </c>
      <c r="X479" s="160">
        <f t="shared" si="1786"/>
        <v>0</v>
      </c>
      <c r="Y479" s="160">
        <f t="shared" si="1786"/>
        <v>0</v>
      </c>
      <c r="Z479" s="160">
        <f t="shared" si="1786"/>
        <v>0</v>
      </c>
      <c r="AA479" s="160">
        <f t="shared" si="1787"/>
        <v>0</v>
      </c>
      <c r="AB479" s="160">
        <f t="shared" si="1787"/>
        <v>0</v>
      </c>
      <c r="AC479" s="160">
        <f t="shared" si="1787"/>
        <v>0</v>
      </c>
      <c r="AD479" s="160">
        <f t="shared" si="1787"/>
        <v>0</v>
      </c>
      <c r="AE479" s="160">
        <f t="shared" si="1787"/>
        <v>0</v>
      </c>
      <c r="AF479" s="160">
        <f t="shared" si="1787"/>
        <v>0</v>
      </c>
      <c r="AG479" s="160">
        <f t="shared" si="1787"/>
        <v>0</v>
      </c>
      <c r="AH479" s="160">
        <f t="shared" si="1787"/>
        <v>0</v>
      </c>
      <c r="AI479" s="160">
        <f t="shared" si="1787"/>
        <v>0</v>
      </c>
      <c r="AJ479" s="160">
        <f t="shared" si="1787"/>
        <v>0</v>
      </c>
      <c r="AK479" s="160">
        <f t="shared" si="1787"/>
        <v>0</v>
      </c>
      <c r="AL479" s="160">
        <f t="shared" si="1787"/>
        <v>0</v>
      </c>
      <c r="AM479" s="160">
        <f t="shared" si="1787"/>
        <v>0</v>
      </c>
      <c r="AN479" s="160">
        <f t="shared" si="1787"/>
        <v>0</v>
      </c>
      <c r="AO479" s="160">
        <f t="shared" si="1787"/>
        <v>0</v>
      </c>
      <c r="AP479" s="160">
        <f t="shared" si="1787"/>
        <v>0</v>
      </c>
      <c r="AQ479" s="160">
        <f t="shared" si="1788"/>
        <v>0</v>
      </c>
      <c r="AR479" s="160">
        <f t="shared" si="1788"/>
        <v>0</v>
      </c>
      <c r="AS479" s="160">
        <f t="shared" si="1788"/>
        <v>0</v>
      </c>
      <c r="AT479" s="160">
        <f t="shared" si="1788"/>
        <v>0</v>
      </c>
      <c r="AU479" s="160">
        <f t="shared" si="1788"/>
        <v>0</v>
      </c>
      <c r="AV479" s="160">
        <f t="shared" si="1788"/>
        <v>0</v>
      </c>
      <c r="AW479" s="160">
        <f t="shared" si="1788"/>
        <v>0</v>
      </c>
      <c r="AX479" s="160">
        <f t="shared" si="1788"/>
        <v>0</v>
      </c>
      <c r="AY479" s="160">
        <f t="shared" si="1788"/>
        <v>0</v>
      </c>
      <c r="AZ479" s="160">
        <f t="shared" si="1788"/>
        <v>0</v>
      </c>
      <c r="BA479" s="160">
        <f t="shared" si="1788"/>
        <v>0</v>
      </c>
      <c r="BB479" s="160">
        <f t="shared" si="1788"/>
        <v>0</v>
      </c>
      <c r="BC479" s="160">
        <f t="shared" si="1788"/>
        <v>0</v>
      </c>
      <c r="BD479" s="160">
        <f t="shared" si="1788"/>
        <v>0</v>
      </c>
      <c r="BE479" s="160">
        <f t="shared" si="1788"/>
        <v>0</v>
      </c>
      <c r="BF479" s="160">
        <f t="shared" si="1788"/>
        <v>0</v>
      </c>
      <c r="BG479" s="160">
        <f t="shared" si="1789"/>
        <v>0</v>
      </c>
      <c r="BH479" s="160">
        <f t="shared" si="1789"/>
        <v>0</v>
      </c>
      <c r="BI479" s="160">
        <f t="shared" si="1789"/>
        <v>0</v>
      </c>
      <c r="BJ479" s="160">
        <f t="shared" si="1789"/>
        <v>0</v>
      </c>
      <c r="BK479" s="160">
        <f t="shared" si="1789"/>
        <v>0</v>
      </c>
      <c r="BL479" s="160">
        <f t="shared" si="1789"/>
        <v>0</v>
      </c>
      <c r="BM479" s="160">
        <f t="shared" si="1789"/>
        <v>0</v>
      </c>
      <c r="BN479" s="160">
        <f t="shared" si="1789"/>
        <v>0</v>
      </c>
      <c r="BO479" s="160">
        <f t="shared" si="1789"/>
        <v>0</v>
      </c>
      <c r="BP479" s="160">
        <f t="shared" si="1789"/>
        <v>0</v>
      </c>
      <c r="BQ479" s="160">
        <f t="shared" si="1789"/>
        <v>0</v>
      </c>
      <c r="BR479" s="160">
        <f t="shared" si="1789"/>
        <v>0</v>
      </c>
      <c r="BS479" s="65"/>
      <c r="BT479" s="160">
        <f t="shared" si="1790"/>
        <v>0</v>
      </c>
      <c r="BU479" s="160">
        <f t="shared" si="1791"/>
        <v>0</v>
      </c>
      <c r="BV479" s="65"/>
      <c r="BW479" s="69"/>
      <c r="BX479" s="65"/>
      <c r="BY479" s="137">
        <f t="shared" si="1792"/>
        <v>1</v>
      </c>
      <c r="BZ479" s="137">
        <f>IF(BY479&gt;0,BY479+LARGE($BZ$213:BZ478,1),0)</f>
        <v>223</v>
      </c>
      <c r="CA479" s="137" t="str">
        <f t="shared" si="1793"/>
        <v>SUP.-ESP</v>
      </c>
      <c r="CB479" s="161">
        <f t="shared" si="1794"/>
        <v>0</v>
      </c>
      <c r="CC479" s="161">
        <f t="shared" si="1795"/>
        <v>0</v>
      </c>
      <c r="CD479" s="161">
        <f t="shared" si="1796"/>
        <v>0</v>
      </c>
      <c r="CE479" s="161">
        <f t="shared" si="1797"/>
        <v>0</v>
      </c>
      <c r="CF479" s="161">
        <f t="shared" si="1798"/>
        <v>0</v>
      </c>
      <c r="CG479" s="161">
        <f t="shared" si="1799"/>
        <v>0</v>
      </c>
      <c r="CH479" s="161">
        <f t="shared" si="1800"/>
        <v>0</v>
      </c>
      <c r="CI479" s="161">
        <f t="shared" si="1801"/>
        <v>0</v>
      </c>
      <c r="CJ479" s="161">
        <f t="shared" si="1802"/>
        <v>0</v>
      </c>
      <c r="CK479" s="161">
        <f t="shared" si="1803"/>
        <v>0</v>
      </c>
      <c r="CL479" s="161">
        <f t="shared" si="1804"/>
        <v>0</v>
      </c>
      <c r="CM479" s="161">
        <f t="shared" si="1805"/>
        <v>0</v>
      </c>
      <c r="CN479" s="161">
        <f t="shared" si="1806"/>
        <v>0</v>
      </c>
      <c r="CO479" s="161">
        <f t="shared" si="1807"/>
        <v>0</v>
      </c>
      <c r="CP479" s="161">
        <f t="shared" si="1808"/>
        <v>0</v>
      </c>
      <c r="CQ479" s="161">
        <f t="shared" si="1809"/>
        <v>0</v>
      </c>
      <c r="CR479" s="161">
        <f t="shared" si="1810"/>
        <v>0</v>
      </c>
      <c r="CS479" s="161">
        <f t="shared" si="1811"/>
        <v>0</v>
      </c>
      <c r="CT479" s="161">
        <f t="shared" si="1812"/>
        <v>0</v>
      </c>
      <c r="CU479" s="161">
        <f t="shared" si="1813"/>
        <v>0</v>
      </c>
      <c r="CV479" s="161">
        <f t="shared" si="1814"/>
        <v>0</v>
      </c>
      <c r="CW479" s="161">
        <f t="shared" si="1815"/>
        <v>0</v>
      </c>
      <c r="CX479" s="161">
        <f t="shared" si="1816"/>
        <v>0</v>
      </c>
      <c r="CY479" s="161">
        <f t="shared" si="1817"/>
        <v>0</v>
      </c>
      <c r="CZ479" s="161">
        <f t="shared" si="1818"/>
        <v>0</v>
      </c>
      <c r="DA479" s="161">
        <f t="shared" si="1819"/>
        <v>0</v>
      </c>
      <c r="DB479" s="161">
        <f t="shared" si="1820"/>
        <v>0</v>
      </c>
      <c r="DC479" s="161">
        <f t="shared" si="1821"/>
        <v>0</v>
      </c>
      <c r="DD479" s="161">
        <f t="shared" si="1822"/>
        <v>0</v>
      </c>
      <c r="DE479" s="161">
        <f t="shared" si="1823"/>
        <v>0</v>
      </c>
      <c r="DF479" s="161">
        <f t="shared" si="1824"/>
        <v>0</v>
      </c>
      <c r="DG479" s="161">
        <f t="shared" si="1825"/>
        <v>0</v>
      </c>
      <c r="DH479" s="161">
        <f t="shared" si="1826"/>
        <v>0</v>
      </c>
      <c r="DI479" s="161">
        <f t="shared" si="1827"/>
        <v>0</v>
      </c>
      <c r="DJ479" s="161">
        <f t="shared" si="1828"/>
        <v>0</v>
      </c>
      <c r="DK479" s="161">
        <f t="shared" si="1829"/>
        <v>0</v>
      </c>
      <c r="DL479" s="161">
        <f t="shared" si="1830"/>
        <v>0</v>
      </c>
      <c r="DM479" s="161">
        <f t="shared" si="1831"/>
        <v>0</v>
      </c>
      <c r="DN479" s="161">
        <f t="shared" si="1832"/>
        <v>0</v>
      </c>
      <c r="DO479" s="161">
        <f t="shared" si="1833"/>
        <v>0</v>
      </c>
      <c r="DP479" s="161">
        <f t="shared" si="1834"/>
        <v>0</v>
      </c>
      <c r="DQ479" s="161">
        <f t="shared" si="1835"/>
        <v>0</v>
      </c>
      <c r="DR479" s="161">
        <f t="shared" si="1836"/>
        <v>0</v>
      </c>
      <c r="DS479" s="161">
        <f t="shared" si="1837"/>
        <v>0</v>
      </c>
      <c r="DT479" s="161">
        <f t="shared" si="1838"/>
        <v>0</v>
      </c>
      <c r="DU479" s="161">
        <f t="shared" si="1839"/>
        <v>0</v>
      </c>
      <c r="DV479" s="161">
        <f t="shared" si="1840"/>
        <v>0</v>
      </c>
      <c r="DW479" s="161">
        <f t="shared" si="1841"/>
        <v>0</v>
      </c>
      <c r="DX479" s="161">
        <f t="shared" si="1842"/>
        <v>0</v>
      </c>
      <c r="DY479" s="161">
        <f t="shared" si="1843"/>
        <v>0</v>
      </c>
      <c r="DZ479" s="161">
        <f t="shared" si="1844"/>
        <v>0</v>
      </c>
      <c r="EA479" s="161">
        <f t="shared" si="1845"/>
        <v>0</v>
      </c>
      <c r="EB479" s="161">
        <f t="shared" si="1846"/>
        <v>0</v>
      </c>
      <c r="EC479" s="161">
        <f t="shared" si="1847"/>
        <v>0</v>
      </c>
      <c r="ED479" s="161">
        <f t="shared" si="1848"/>
        <v>0</v>
      </c>
      <c r="EE479" s="161">
        <f t="shared" si="1849"/>
        <v>0</v>
      </c>
      <c r="EF479" s="161">
        <f t="shared" si="1850"/>
        <v>0</v>
      </c>
      <c r="EG479" s="161">
        <f t="shared" si="1851"/>
        <v>0</v>
      </c>
      <c r="EH479" s="161">
        <f t="shared" si="1852"/>
        <v>0</v>
      </c>
      <c r="EI479" s="161">
        <f t="shared" si="1853"/>
        <v>0</v>
      </c>
      <c r="EJ479" s="65"/>
      <c r="EK479" s="161">
        <f t="shared" si="1854"/>
        <v>0</v>
      </c>
      <c r="EL479" s="161">
        <f t="shared" si="1855"/>
        <v>0</v>
      </c>
      <c r="EM479" s="161">
        <f t="shared" si="1856"/>
        <v>0</v>
      </c>
    </row>
    <row r="480" spans="1:143" ht="12" hidden="1" customHeight="1" outlineLevel="2">
      <c r="A480" s="77">
        <v>4</v>
      </c>
      <c r="B480" s="137" t="str">
        <f t="shared" si="1784"/>
        <v>ENG/ARQ SR. - Equipe_01</v>
      </c>
      <c r="C480" s="65"/>
      <c r="D480" s="621"/>
      <c r="E480" s="65"/>
      <c r="F480" s="584"/>
      <c r="G480" s="77" t="str">
        <f>IF(INDEX(Tarefas!$BT$30:$FK$30,MATCH(A480,Tarefas!$BT$28:$FK$28,0))=0,"",INDEX(Tarefas!$BT$30:$FK$30,MATCH(A480,Tarefas!$BT$28:$FK$28,0)))</f>
        <v>ENG/ARQ SR.</v>
      </c>
      <c r="H480" s="107" cm="1">
        <f t="array" ref="H480">IFERROR((SUMPRODUCT((Tarefas!$N$32:$N$54='Cronog. e Histog.'!$F$477)*(Tarefas!$BQ$30:$FK$30='Cronog. e Histog.'!$G480)*(Tarefas!$BQ$32:$FK$54)))/SUMIF(Tarefas!$N$32:$N$54,'Cronog. e Histog.'!$F$477,Tarefas!$K$32:$K$54),0)</f>
        <v>0</v>
      </c>
      <c r="I480" s="79">
        <f t="shared" si="1785"/>
        <v>0</v>
      </c>
      <c r="J480" s="65"/>
      <c r="K480" s="160">
        <f t="shared" si="1786"/>
        <v>0</v>
      </c>
      <c r="L480" s="160">
        <f t="shared" si="1786"/>
        <v>0</v>
      </c>
      <c r="M480" s="160">
        <f t="shared" si="1786"/>
        <v>0</v>
      </c>
      <c r="N480" s="160">
        <f t="shared" si="1786"/>
        <v>0</v>
      </c>
      <c r="O480" s="160">
        <f t="shared" si="1786"/>
        <v>0</v>
      </c>
      <c r="P480" s="160">
        <f t="shared" si="1786"/>
        <v>0</v>
      </c>
      <c r="Q480" s="160">
        <f t="shared" si="1786"/>
        <v>0</v>
      </c>
      <c r="R480" s="160">
        <f t="shared" si="1786"/>
        <v>0</v>
      </c>
      <c r="S480" s="160">
        <f t="shared" si="1786"/>
        <v>0</v>
      </c>
      <c r="T480" s="160">
        <f t="shared" si="1786"/>
        <v>0</v>
      </c>
      <c r="U480" s="160">
        <f t="shared" si="1786"/>
        <v>0</v>
      </c>
      <c r="V480" s="160">
        <f t="shared" si="1786"/>
        <v>0</v>
      </c>
      <c r="W480" s="160">
        <f t="shared" si="1786"/>
        <v>0</v>
      </c>
      <c r="X480" s="160">
        <f t="shared" si="1786"/>
        <v>0</v>
      </c>
      <c r="Y480" s="160">
        <f t="shared" si="1786"/>
        <v>0</v>
      </c>
      <c r="Z480" s="160">
        <f t="shared" si="1786"/>
        <v>0</v>
      </c>
      <c r="AA480" s="160">
        <f t="shared" si="1787"/>
        <v>0</v>
      </c>
      <c r="AB480" s="160">
        <f t="shared" si="1787"/>
        <v>0</v>
      </c>
      <c r="AC480" s="160">
        <f t="shared" si="1787"/>
        <v>0</v>
      </c>
      <c r="AD480" s="160">
        <f t="shared" si="1787"/>
        <v>0</v>
      </c>
      <c r="AE480" s="160">
        <f t="shared" si="1787"/>
        <v>0</v>
      </c>
      <c r="AF480" s="160">
        <f t="shared" si="1787"/>
        <v>0</v>
      </c>
      <c r="AG480" s="160">
        <f t="shared" si="1787"/>
        <v>0</v>
      </c>
      <c r="AH480" s="160">
        <f t="shared" si="1787"/>
        <v>0</v>
      </c>
      <c r="AI480" s="160">
        <f t="shared" si="1787"/>
        <v>0</v>
      </c>
      <c r="AJ480" s="160">
        <f t="shared" si="1787"/>
        <v>0</v>
      </c>
      <c r="AK480" s="160">
        <f t="shared" si="1787"/>
        <v>0</v>
      </c>
      <c r="AL480" s="160">
        <f t="shared" si="1787"/>
        <v>0</v>
      </c>
      <c r="AM480" s="160">
        <f t="shared" si="1787"/>
        <v>0</v>
      </c>
      <c r="AN480" s="160">
        <f t="shared" si="1787"/>
        <v>0</v>
      </c>
      <c r="AO480" s="160">
        <f t="shared" si="1787"/>
        <v>0</v>
      </c>
      <c r="AP480" s="160">
        <f t="shared" si="1787"/>
        <v>0</v>
      </c>
      <c r="AQ480" s="160">
        <f t="shared" si="1788"/>
        <v>0</v>
      </c>
      <c r="AR480" s="160">
        <f t="shared" si="1788"/>
        <v>0</v>
      </c>
      <c r="AS480" s="160">
        <f t="shared" si="1788"/>
        <v>0</v>
      </c>
      <c r="AT480" s="160">
        <f t="shared" si="1788"/>
        <v>0</v>
      </c>
      <c r="AU480" s="160">
        <f t="shared" si="1788"/>
        <v>0</v>
      </c>
      <c r="AV480" s="160">
        <f t="shared" si="1788"/>
        <v>0</v>
      </c>
      <c r="AW480" s="160">
        <f t="shared" si="1788"/>
        <v>0</v>
      </c>
      <c r="AX480" s="160">
        <f t="shared" si="1788"/>
        <v>0</v>
      </c>
      <c r="AY480" s="160">
        <f t="shared" si="1788"/>
        <v>0</v>
      </c>
      <c r="AZ480" s="160">
        <f t="shared" si="1788"/>
        <v>0</v>
      </c>
      <c r="BA480" s="160">
        <f t="shared" si="1788"/>
        <v>0</v>
      </c>
      <c r="BB480" s="160">
        <f t="shared" si="1788"/>
        <v>0</v>
      </c>
      <c r="BC480" s="160">
        <f t="shared" si="1788"/>
        <v>0</v>
      </c>
      <c r="BD480" s="160">
        <f t="shared" si="1788"/>
        <v>0</v>
      </c>
      <c r="BE480" s="160">
        <f t="shared" si="1788"/>
        <v>0</v>
      </c>
      <c r="BF480" s="160">
        <f t="shared" si="1788"/>
        <v>0</v>
      </c>
      <c r="BG480" s="160">
        <f t="shared" si="1789"/>
        <v>0</v>
      </c>
      <c r="BH480" s="160">
        <f t="shared" si="1789"/>
        <v>0</v>
      </c>
      <c r="BI480" s="160">
        <f t="shared" si="1789"/>
        <v>0</v>
      </c>
      <c r="BJ480" s="160">
        <f t="shared" si="1789"/>
        <v>0</v>
      </c>
      <c r="BK480" s="160">
        <f t="shared" si="1789"/>
        <v>0</v>
      </c>
      <c r="BL480" s="160">
        <f t="shared" si="1789"/>
        <v>0</v>
      </c>
      <c r="BM480" s="160">
        <f t="shared" si="1789"/>
        <v>0</v>
      </c>
      <c r="BN480" s="160">
        <f t="shared" si="1789"/>
        <v>0</v>
      </c>
      <c r="BO480" s="160">
        <f t="shared" si="1789"/>
        <v>0</v>
      </c>
      <c r="BP480" s="160">
        <f t="shared" si="1789"/>
        <v>0</v>
      </c>
      <c r="BQ480" s="160">
        <f t="shared" si="1789"/>
        <v>0</v>
      </c>
      <c r="BR480" s="160">
        <f t="shared" si="1789"/>
        <v>0</v>
      </c>
      <c r="BS480" s="65"/>
      <c r="BT480" s="160">
        <f t="shared" si="1790"/>
        <v>0</v>
      </c>
      <c r="BU480" s="160">
        <f t="shared" si="1791"/>
        <v>0</v>
      </c>
      <c r="BV480" s="65"/>
      <c r="BW480" s="69"/>
      <c r="BX480" s="65"/>
      <c r="BY480" s="137">
        <f t="shared" si="1792"/>
        <v>1</v>
      </c>
      <c r="BZ480" s="137">
        <f>IF(BY480&gt;0,BY480+LARGE($BZ$213:BZ479,1),0)</f>
        <v>224</v>
      </c>
      <c r="CA480" s="137" t="str">
        <f t="shared" si="1793"/>
        <v>ENG/ARQ SR.</v>
      </c>
      <c r="CB480" s="161">
        <f t="shared" si="1794"/>
        <v>0</v>
      </c>
      <c r="CC480" s="161">
        <f t="shared" si="1795"/>
        <v>0</v>
      </c>
      <c r="CD480" s="161">
        <f t="shared" si="1796"/>
        <v>0</v>
      </c>
      <c r="CE480" s="161">
        <f t="shared" si="1797"/>
        <v>0</v>
      </c>
      <c r="CF480" s="161">
        <f t="shared" si="1798"/>
        <v>0</v>
      </c>
      <c r="CG480" s="161">
        <f t="shared" si="1799"/>
        <v>0</v>
      </c>
      <c r="CH480" s="161">
        <f t="shared" si="1800"/>
        <v>0</v>
      </c>
      <c r="CI480" s="161">
        <f t="shared" si="1801"/>
        <v>0</v>
      </c>
      <c r="CJ480" s="161">
        <f t="shared" si="1802"/>
        <v>0</v>
      </c>
      <c r="CK480" s="161">
        <f t="shared" si="1803"/>
        <v>0</v>
      </c>
      <c r="CL480" s="161">
        <f t="shared" si="1804"/>
        <v>0</v>
      </c>
      <c r="CM480" s="161">
        <f t="shared" si="1805"/>
        <v>0</v>
      </c>
      <c r="CN480" s="161">
        <f t="shared" si="1806"/>
        <v>0</v>
      </c>
      <c r="CO480" s="161">
        <f t="shared" si="1807"/>
        <v>0</v>
      </c>
      <c r="CP480" s="161">
        <f t="shared" si="1808"/>
        <v>0</v>
      </c>
      <c r="CQ480" s="161">
        <f t="shared" si="1809"/>
        <v>0</v>
      </c>
      <c r="CR480" s="161">
        <f t="shared" si="1810"/>
        <v>0</v>
      </c>
      <c r="CS480" s="161">
        <f t="shared" si="1811"/>
        <v>0</v>
      </c>
      <c r="CT480" s="161">
        <f t="shared" si="1812"/>
        <v>0</v>
      </c>
      <c r="CU480" s="161">
        <f t="shared" si="1813"/>
        <v>0</v>
      </c>
      <c r="CV480" s="161">
        <f t="shared" si="1814"/>
        <v>0</v>
      </c>
      <c r="CW480" s="161">
        <f t="shared" si="1815"/>
        <v>0</v>
      </c>
      <c r="CX480" s="161">
        <f t="shared" si="1816"/>
        <v>0</v>
      </c>
      <c r="CY480" s="161">
        <f t="shared" si="1817"/>
        <v>0</v>
      </c>
      <c r="CZ480" s="161">
        <f t="shared" si="1818"/>
        <v>0</v>
      </c>
      <c r="DA480" s="161">
        <f t="shared" si="1819"/>
        <v>0</v>
      </c>
      <c r="DB480" s="161">
        <f t="shared" si="1820"/>
        <v>0</v>
      </c>
      <c r="DC480" s="161">
        <f t="shared" si="1821"/>
        <v>0</v>
      </c>
      <c r="DD480" s="161">
        <f t="shared" si="1822"/>
        <v>0</v>
      </c>
      <c r="DE480" s="161">
        <f t="shared" si="1823"/>
        <v>0</v>
      </c>
      <c r="DF480" s="161">
        <f t="shared" si="1824"/>
        <v>0</v>
      </c>
      <c r="DG480" s="161">
        <f t="shared" si="1825"/>
        <v>0</v>
      </c>
      <c r="DH480" s="161">
        <f t="shared" si="1826"/>
        <v>0</v>
      </c>
      <c r="DI480" s="161">
        <f t="shared" si="1827"/>
        <v>0</v>
      </c>
      <c r="DJ480" s="161">
        <f t="shared" si="1828"/>
        <v>0</v>
      </c>
      <c r="DK480" s="161">
        <f t="shared" si="1829"/>
        <v>0</v>
      </c>
      <c r="DL480" s="161">
        <f t="shared" si="1830"/>
        <v>0</v>
      </c>
      <c r="DM480" s="161">
        <f t="shared" si="1831"/>
        <v>0</v>
      </c>
      <c r="DN480" s="161">
        <f t="shared" si="1832"/>
        <v>0</v>
      </c>
      <c r="DO480" s="161">
        <f t="shared" si="1833"/>
        <v>0</v>
      </c>
      <c r="DP480" s="161">
        <f t="shared" si="1834"/>
        <v>0</v>
      </c>
      <c r="DQ480" s="161">
        <f t="shared" si="1835"/>
        <v>0</v>
      </c>
      <c r="DR480" s="161">
        <f t="shared" si="1836"/>
        <v>0</v>
      </c>
      <c r="DS480" s="161">
        <f t="shared" si="1837"/>
        <v>0</v>
      </c>
      <c r="DT480" s="161">
        <f t="shared" si="1838"/>
        <v>0</v>
      </c>
      <c r="DU480" s="161">
        <f t="shared" si="1839"/>
        <v>0</v>
      </c>
      <c r="DV480" s="161">
        <f t="shared" si="1840"/>
        <v>0</v>
      </c>
      <c r="DW480" s="161">
        <f t="shared" si="1841"/>
        <v>0</v>
      </c>
      <c r="DX480" s="161">
        <f t="shared" si="1842"/>
        <v>0</v>
      </c>
      <c r="DY480" s="161">
        <f t="shared" si="1843"/>
        <v>0</v>
      </c>
      <c r="DZ480" s="161">
        <f t="shared" si="1844"/>
        <v>0</v>
      </c>
      <c r="EA480" s="161">
        <f t="shared" si="1845"/>
        <v>0</v>
      </c>
      <c r="EB480" s="161">
        <f t="shared" si="1846"/>
        <v>0</v>
      </c>
      <c r="EC480" s="161">
        <f t="shared" si="1847"/>
        <v>0</v>
      </c>
      <c r="ED480" s="161">
        <f t="shared" si="1848"/>
        <v>0</v>
      </c>
      <c r="EE480" s="161">
        <f t="shared" si="1849"/>
        <v>0</v>
      </c>
      <c r="EF480" s="161">
        <f t="shared" si="1850"/>
        <v>0</v>
      </c>
      <c r="EG480" s="161">
        <f t="shared" si="1851"/>
        <v>0</v>
      </c>
      <c r="EH480" s="161">
        <f t="shared" si="1852"/>
        <v>0</v>
      </c>
      <c r="EI480" s="161">
        <f t="shared" si="1853"/>
        <v>0</v>
      </c>
      <c r="EJ480" s="65"/>
      <c r="EK480" s="161">
        <f t="shared" si="1854"/>
        <v>0</v>
      </c>
      <c r="EL480" s="161">
        <f t="shared" si="1855"/>
        <v>0</v>
      </c>
      <c r="EM480" s="161">
        <f t="shared" si="1856"/>
        <v>0</v>
      </c>
    </row>
    <row r="481" spans="1:143" ht="12" hidden="1" customHeight="1" outlineLevel="2">
      <c r="A481" s="77">
        <v>5</v>
      </c>
      <c r="B481" s="137" t="str">
        <f t="shared" si="1784"/>
        <v>ENG/ARQ PL. - Equipe_01</v>
      </c>
      <c r="C481" s="65"/>
      <c r="D481" s="621"/>
      <c r="E481" s="65"/>
      <c r="F481" s="584"/>
      <c r="G481" s="77" t="str">
        <f>IF(INDEX(Tarefas!$BT$30:$FK$30,MATCH(A481,Tarefas!$BT$28:$FK$28,0))=0,"",INDEX(Tarefas!$BT$30:$FK$30,MATCH(A481,Tarefas!$BT$28:$FK$28,0)))</f>
        <v>ENG/ARQ PL.</v>
      </c>
      <c r="H481" s="107" cm="1">
        <f t="array" ref="H481">IFERROR((SUMPRODUCT((Tarefas!$N$32:$N$54='Cronog. e Histog.'!$F$477)*(Tarefas!$BQ$30:$FK$30='Cronog. e Histog.'!$G481)*(Tarefas!$BQ$32:$FK$54)))/SUMIF(Tarefas!$N$32:$N$54,'Cronog. e Histog.'!$F$477,Tarefas!$K$32:$K$54),0)</f>
        <v>0</v>
      </c>
      <c r="I481" s="79">
        <f t="shared" si="1785"/>
        <v>0</v>
      </c>
      <c r="J481" s="65"/>
      <c r="K481" s="160">
        <f t="shared" si="1786"/>
        <v>0</v>
      </c>
      <c r="L481" s="160">
        <f t="shared" si="1786"/>
        <v>0</v>
      </c>
      <c r="M481" s="160">
        <f t="shared" si="1786"/>
        <v>0</v>
      </c>
      <c r="N481" s="160">
        <f t="shared" si="1786"/>
        <v>0</v>
      </c>
      <c r="O481" s="160">
        <f t="shared" si="1786"/>
        <v>0</v>
      </c>
      <c r="P481" s="160">
        <f t="shared" si="1786"/>
        <v>0</v>
      </c>
      <c r="Q481" s="160">
        <f t="shared" si="1786"/>
        <v>0</v>
      </c>
      <c r="R481" s="160">
        <f t="shared" si="1786"/>
        <v>0</v>
      </c>
      <c r="S481" s="160">
        <f t="shared" si="1786"/>
        <v>0</v>
      </c>
      <c r="T481" s="160">
        <f t="shared" si="1786"/>
        <v>0</v>
      </c>
      <c r="U481" s="160">
        <f t="shared" si="1786"/>
        <v>0</v>
      </c>
      <c r="V481" s="160">
        <f t="shared" si="1786"/>
        <v>0</v>
      </c>
      <c r="W481" s="160">
        <f t="shared" si="1786"/>
        <v>0</v>
      </c>
      <c r="X481" s="160">
        <f t="shared" si="1786"/>
        <v>0</v>
      </c>
      <c r="Y481" s="160">
        <f t="shared" si="1786"/>
        <v>0</v>
      </c>
      <c r="Z481" s="160">
        <f t="shared" si="1786"/>
        <v>0</v>
      </c>
      <c r="AA481" s="160">
        <f t="shared" si="1787"/>
        <v>0</v>
      </c>
      <c r="AB481" s="160">
        <f t="shared" si="1787"/>
        <v>0</v>
      </c>
      <c r="AC481" s="160">
        <f t="shared" si="1787"/>
        <v>0</v>
      </c>
      <c r="AD481" s="160">
        <f t="shared" si="1787"/>
        <v>0</v>
      </c>
      <c r="AE481" s="160">
        <f t="shared" si="1787"/>
        <v>0</v>
      </c>
      <c r="AF481" s="160">
        <f t="shared" si="1787"/>
        <v>0</v>
      </c>
      <c r="AG481" s="160">
        <f t="shared" si="1787"/>
        <v>0</v>
      </c>
      <c r="AH481" s="160">
        <f t="shared" si="1787"/>
        <v>0</v>
      </c>
      <c r="AI481" s="160">
        <f t="shared" si="1787"/>
        <v>0</v>
      </c>
      <c r="AJ481" s="160">
        <f t="shared" si="1787"/>
        <v>0</v>
      </c>
      <c r="AK481" s="160">
        <f t="shared" si="1787"/>
        <v>0</v>
      </c>
      <c r="AL481" s="160">
        <f t="shared" si="1787"/>
        <v>0</v>
      </c>
      <c r="AM481" s="160">
        <f t="shared" si="1787"/>
        <v>0</v>
      </c>
      <c r="AN481" s="160">
        <f t="shared" si="1787"/>
        <v>0</v>
      </c>
      <c r="AO481" s="160">
        <f t="shared" si="1787"/>
        <v>0</v>
      </c>
      <c r="AP481" s="160">
        <f t="shared" si="1787"/>
        <v>0</v>
      </c>
      <c r="AQ481" s="160">
        <f t="shared" si="1788"/>
        <v>0</v>
      </c>
      <c r="AR481" s="160">
        <f t="shared" si="1788"/>
        <v>0</v>
      </c>
      <c r="AS481" s="160">
        <f t="shared" si="1788"/>
        <v>0</v>
      </c>
      <c r="AT481" s="160">
        <f t="shared" si="1788"/>
        <v>0</v>
      </c>
      <c r="AU481" s="160">
        <f t="shared" si="1788"/>
        <v>0</v>
      </c>
      <c r="AV481" s="160">
        <f t="shared" si="1788"/>
        <v>0</v>
      </c>
      <c r="AW481" s="160">
        <f t="shared" si="1788"/>
        <v>0</v>
      </c>
      <c r="AX481" s="160">
        <f t="shared" si="1788"/>
        <v>0</v>
      </c>
      <c r="AY481" s="160">
        <f t="shared" si="1788"/>
        <v>0</v>
      </c>
      <c r="AZ481" s="160">
        <f t="shared" si="1788"/>
        <v>0</v>
      </c>
      <c r="BA481" s="160">
        <f t="shared" si="1788"/>
        <v>0</v>
      </c>
      <c r="BB481" s="160">
        <f t="shared" si="1788"/>
        <v>0</v>
      </c>
      <c r="BC481" s="160">
        <f t="shared" si="1788"/>
        <v>0</v>
      </c>
      <c r="BD481" s="160">
        <f t="shared" si="1788"/>
        <v>0</v>
      </c>
      <c r="BE481" s="160">
        <f t="shared" si="1788"/>
        <v>0</v>
      </c>
      <c r="BF481" s="160">
        <f t="shared" si="1788"/>
        <v>0</v>
      </c>
      <c r="BG481" s="160">
        <f t="shared" si="1789"/>
        <v>0</v>
      </c>
      <c r="BH481" s="160">
        <f t="shared" si="1789"/>
        <v>0</v>
      </c>
      <c r="BI481" s="160">
        <f t="shared" si="1789"/>
        <v>0</v>
      </c>
      <c r="BJ481" s="160">
        <f t="shared" si="1789"/>
        <v>0</v>
      </c>
      <c r="BK481" s="160">
        <f t="shared" si="1789"/>
        <v>0</v>
      </c>
      <c r="BL481" s="160">
        <f t="shared" si="1789"/>
        <v>0</v>
      </c>
      <c r="BM481" s="160">
        <f t="shared" si="1789"/>
        <v>0</v>
      </c>
      <c r="BN481" s="160">
        <f t="shared" si="1789"/>
        <v>0</v>
      </c>
      <c r="BO481" s="160">
        <f t="shared" si="1789"/>
        <v>0</v>
      </c>
      <c r="BP481" s="160">
        <f t="shared" si="1789"/>
        <v>0</v>
      </c>
      <c r="BQ481" s="160">
        <f t="shared" si="1789"/>
        <v>0</v>
      </c>
      <c r="BR481" s="160">
        <f t="shared" si="1789"/>
        <v>0</v>
      </c>
      <c r="BS481" s="65"/>
      <c r="BT481" s="160">
        <f t="shared" si="1790"/>
        <v>0</v>
      </c>
      <c r="BU481" s="160">
        <f t="shared" si="1791"/>
        <v>0</v>
      </c>
      <c r="BV481" s="65"/>
      <c r="BW481" s="69"/>
      <c r="BX481" s="65"/>
      <c r="BY481" s="137">
        <f t="shared" si="1792"/>
        <v>1</v>
      </c>
      <c r="BZ481" s="137">
        <f>IF(BY481&gt;0,BY481+LARGE($BZ$213:BZ480,1),0)</f>
        <v>225</v>
      </c>
      <c r="CA481" s="137" t="str">
        <f t="shared" si="1793"/>
        <v>ENG/ARQ PL.</v>
      </c>
      <c r="CB481" s="161">
        <f t="shared" si="1794"/>
        <v>0</v>
      </c>
      <c r="CC481" s="161">
        <f t="shared" si="1795"/>
        <v>0</v>
      </c>
      <c r="CD481" s="161">
        <f t="shared" si="1796"/>
        <v>0</v>
      </c>
      <c r="CE481" s="161">
        <f t="shared" si="1797"/>
        <v>0</v>
      </c>
      <c r="CF481" s="161">
        <f t="shared" si="1798"/>
        <v>0</v>
      </c>
      <c r="CG481" s="161">
        <f t="shared" si="1799"/>
        <v>0</v>
      </c>
      <c r="CH481" s="161">
        <f t="shared" si="1800"/>
        <v>0</v>
      </c>
      <c r="CI481" s="161">
        <f t="shared" si="1801"/>
        <v>0</v>
      </c>
      <c r="CJ481" s="161">
        <f t="shared" si="1802"/>
        <v>0</v>
      </c>
      <c r="CK481" s="161">
        <f t="shared" si="1803"/>
        <v>0</v>
      </c>
      <c r="CL481" s="161">
        <f t="shared" si="1804"/>
        <v>0</v>
      </c>
      <c r="CM481" s="161">
        <f t="shared" si="1805"/>
        <v>0</v>
      </c>
      <c r="CN481" s="161">
        <f t="shared" si="1806"/>
        <v>0</v>
      </c>
      <c r="CO481" s="161">
        <f t="shared" si="1807"/>
        <v>0</v>
      </c>
      <c r="CP481" s="161">
        <f t="shared" si="1808"/>
        <v>0</v>
      </c>
      <c r="CQ481" s="161">
        <f t="shared" si="1809"/>
        <v>0</v>
      </c>
      <c r="CR481" s="161">
        <f t="shared" si="1810"/>
        <v>0</v>
      </c>
      <c r="CS481" s="161">
        <f t="shared" si="1811"/>
        <v>0</v>
      </c>
      <c r="CT481" s="161">
        <f t="shared" si="1812"/>
        <v>0</v>
      </c>
      <c r="CU481" s="161">
        <f t="shared" si="1813"/>
        <v>0</v>
      </c>
      <c r="CV481" s="161">
        <f t="shared" si="1814"/>
        <v>0</v>
      </c>
      <c r="CW481" s="161">
        <f t="shared" si="1815"/>
        <v>0</v>
      </c>
      <c r="CX481" s="161">
        <f t="shared" si="1816"/>
        <v>0</v>
      </c>
      <c r="CY481" s="161">
        <f t="shared" si="1817"/>
        <v>0</v>
      </c>
      <c r="CZ481" s="161">
        <f t="shared" si="1818"/>
        <v>0</v>
      </c>
      <c r="DA481" s="161">
        <f t="shared" si="1819"/>
        <v>0</v>
      </c>
      <c r="DB481" s="161">
        <f t="shared" si="1820"/>
        <v>0</v>
      </c>
      <c r="DC481" s="161">
        <f t="shared" si="1821"/>
        <v>0</v>
      </c>
      <c r="DD481" s="161">
        <f t="shared" si="1822"/>
        <v>0</v>
      </c>
      <c r="DE481" s="161">
        <f t="shared" si="1823"/>
        <v>0</v>
      </c>
      <c r="DF481" s="161">
        <f t="shared" si="1824"/>
        <v>0</v>
      </c>
      <c r="DG481" s="161">
        <f t="shared" si="1825"/>
        <v>0</v>
      </c>
      <c r="DH481" s="161">
        <f t="shared" si="1826"/>
        <v>0</v>
      </c>
      <c r="DI481" s="161">
        <f t="shared" si="1827"/>
        <v>0</v>
      </c>
      <c r="DJ481" s="161">
        <f t="shared" si="1828"/>
        <v>0</v>
      </c>
      <c r="DK481" s="161">
        <f t="shared" si="1829"/>
        <v>0</v>
      </c>
      <c r="DL481" s="161">
        <f t="shared" si="1830"/>
        <v>0</v>
      </c>
      <c r="DM481" s="161">
        <f t="shared" si="1831"/>
        <v>0</v>
      </c>
      <c r="DN481" s="161">
        <f t="shared" si="1832"/>
        <v>0</v>
      </c>
      <c r="DO481" s="161">
        <f t="shared" si="1833"/>
        <v>0</v>
      </c>
      <c r="DP481" s="161">
        <f t="shared" si="1834"/>
        <v>0</v>
      </c>
      <c r="DQ481" s="161">
        <f t="shared" si="1835"/>
        <v>0</v>
      </c>
      <c r="DR481" s="161">
        <f t="shared" si="1836"/>
        <v>0</v>
      </c>
      <c r="DS481" s="161">
        <f t="shared" si="1837"/>
        <v>0</v>
      </c>
      <c r="DT481" s="161">
        <f t="shared" si="1838"/>
        <v>0</v>
      </c>
      <c r="DU481" s="161">
        <f t="shared" si="1839"/>
        <v>0</v>
      </c>
      <c r="DV481" s="161">
        <f t="shared" si="1840"/>
        <v>0</v>
      </c>
      <c r="DW481" s="161">
        <f t="shared" si="1841"/>
        <v>0</v>
      </c>
      <c r="DX481" s="161">
        <f t="shared" si="1842"/>
        <v>0</v>
      </c>
      <c r="DY481" s="161">
        <f t="shared" si="1843"/>
        <v>0</v>
      </c>
      <c r="DZ481" s="161">
        <f t="shared" si="1844"/>
        <v>0</v>
      </c>
      <c r="EA481" s="161">
        <f t="shared" si="1845"/>
        <v>0</v>
      </c>
      <c r="EB481" s="161">
        <f t="shared" si="1846"/>
        <v>0</v>
      </c>
      <c r="EC481" s="161">
        <f t="shared" si="1847"/>
        <v>0</v>
      </c>
      <c r="ED481" s="161">
        <f t="shared" si="1848"/>
        <v>0</v>
      </c>
      <c r="EE481" s="161">
        <f t="shared" si="1849"/>
        <v>0</v>
      </c>
      <c r="EF481" s="161">
        <f t="shared" si="1850"/>
        <v>0</v>
      </c>
      <c r="EG481" s="161">
        <f t="shared" si="1851"/>
        <v>0</v>
      </c>
      <c r="EH481" s="161">
        <f t="shared" si="1852"/>
        <v>0</v>
      </c>
      <c r="EI481" s="161">
        <f t="shared" si="1853"/>
        <v>0</v>
      </c>
      <c r="EJ481" s="65"/>
      <c r="EK481" s="161">
        <f t="shared" si="1854"/>
        <v>0</v>
      </c>
      <c r="EL481" s="161">
        <f t="shared" si="1855"/>
        <v>0</v>
      </c>
      <c r="EM481" s="161">
        <f t="shared" si="1856"/>
        <v>0</v>
      </c>
    </row>
    <row r="482" spans="1:143" ht="12" hidden="1" customHeight="1" outlineLevel="2">
      <c r="A482" s="77">
        <v>6</v>
      </c>
      <c r="B482" s="137" t="str">
        <f t="shared" si="1784"/>
        <v>ENG/ARQ JR. - Equipe_01</v>
      </c>
      <c r="C482" s="65"/>
      <c r="D482" s="621"/>
      <c r="E482" s="65"/>
      <c r="F482" s="584"/>
      <c r="G482" s="77" t="str">
        <f>IF(INDEX(Tarefas!$BT$30:$FK$30,MATCH(A482,Tarefas!$BT$28:$FK$28,0))=0,"",INDEX(Tarefas!$BT$30:$FK$30,MATCH(A482,Tarefas!$BT$28:$FK$28,0)))</f>
        <v>ENG/ARQ JR.</v>
      </c>
      <c r="H482" s="107" cm="1">
        <f t="array" ref="H482">IFERROR((SUMPRODUCT((Tarefas!$N$32:$N$54='Cronog. e Histog.'!$F$477)*(Tarefas!$BQ$30:$FK$30='Cronog. e Histog.'!$G482)*(Tarefas!$BQ$32:$FK$54)))/SUMIF(Tarefas!$N$32:$N$54,'Cronog. e Histog.'!$F$477,Tarefas!$K$32:$K$54),0)</f>
        <v>0</v>
      </c>
      <c r="I482" s="79">
        <f t="shared" si="1785"/>
        <v>0</v>
      </c>
      <c r="J482" s="65"/>
      <c r="K482" s="160">
        <f t="shared" si="1786"/>
        <v>0</v>
      </c>
      <c r="L482" s="160">
        <f t="shared" si="1786"/>
        <v>0</v>
      </c>
      <c r="M482" s="160">
        <f t="shared" si="1786"/>
        <v>0</v>
      </c>
      <c r="N482" s="160">
        <f t="shared" si="1786"/>
        <v>0</v>
      </c>
      <c r="O482" s="160">
        <f t="shared" si="1786"/>
        <v>0</v>
      </c>
      <c r="P482" s="160">
        <f t="shared" si="1786"/>
        <v>0</v>
      </c>
      <c r="Q482" s="160">
        <f t="shared" si="1786"/>
        <v>0</v>
      </c>
      <c r="R482" s="160">
        <f t="shared" si="1786"/>
        <v>0</v>
      </c>
      <c r="S482" s="160">
        <f t="shared" si="1786"/>
        <v>0</v>
      </c>
      <c r="T482" s="160">
        <f t="shared" si="1786"/>
        <v>0</v>
      </c>
      <c r="U482" s="160">
        <f t="shared" si="1786"/>
        <v>0</v>
      </c>
      <c r="V482" s="160">
        <f t="shared" si="1786"/>
        <v>0</v>
      </c>
      <c r="W482" s="160">
        <f t="shared" si="1786"/>
        <v>0</v>
      </c>
      <c r="X482" s="160">
        <f t="shared" si="1786"/>
        <v>0</v>
      </c>
      <c r="Y482" s="160">
        <f t="shared" si="1786"/>
        <v>0</v>
      </c>
      <c r="Z482" s="160">
        <f t="shared" si="1786"/>
        <v>0</v>
      </c>
      <c r="AA482" s="160">
        <f t="shared" si="1787"/>
        <v>0</v>
      </c>
      <c r="AB482" s="160">
        <f t="shared" si="1787"/>
        <v>0</v>
      </c>
      <c r="AC482" s="160">
        <f t="shared" si="1787"/>
        <v>0</v>
      </c>
      <c r="AD482" s="160">
        <f t="shared" si="1787"/>
        <v>0</v>
      </c>
      <c r="AE482" s="160">
        <f t="shared" si="1787"/>
        <v>0</v>
      </c>
      <c r="AF482" s="160">
        <f t="shared" si="1787"/>
        <v>0</v>
      </c>
      <c r="AG482" s="160">
        <f t="shared" si="1787"/>
        <v>0</v>
      </c>
      <c r="AH482" s="160">
        <f t="shared" si="1787"/>
        <v>0</v>
      </c>
      <c r="AI482" s="160">
        <f t="shared" si="1787"/>
        <v>0</v>
      </c>
      <c r="AJ482" s="160">
        <f t="shared" si="1787"/>
        <v>0</v>
      </c>
      <c r="AK482" s="160">
        <f t="shared" si="1787"/>
        <v>0</v>
      </c>
      <c r="AL482" s="160">
        <f t="shared" si="1787"/>
        <v>0</v>
      </c>
      <c r="AM482" s="160">
        <f t="shared" si="1787"/>
        <v>0</v>
      </c>
      <c r="AN482" s="160">
        <f t="shared" si="1787"/>
        <v>0</v>
      </c>
      <c r="AO482" s="160">
        <f t="shared" si="1787"/>
        <v>0</v>
      </c>
      <c r="AP482" s="160">
        <f t="shared" si="1787"/>
        <v>0</v>
      </c>
      <c r="AQ482" s="160">
        <f t="shared" si="1788"/>
        <v>0</v>
      </c>
      <c r="AR482" s="160">
        <f t="shared" si="1788"/>
        <v>0</v>
      </c>
      <c r="AS482" s="160">
        <f t="shared" si="1788"/>
        <v>0</v>
      </c>
      <c r="AT482" s="160">
        <f t="shared" si="1788"/>
        <v>0</v>
      </c>
      <c r="AU482" s="160">
        <f t="shared" si="1788"/>
        <v>0</v>
      </c>
      <c r="AV482" s="160">
        <f t="shared" si="1788"/>
        <v>0</v>
      </c>
      <c r="AW482" s="160">
        <f t="shared" si="1788"/>
        <v>0</v>
      </c>
      <c r="AX482" s="160">
        <f t="shared" si="1788"/>
        <v>0</v>
      </c>
      <c r="AY482" s="160">
        <f t="shared" si="1788"/>
        <v>0</v>
      </c>
      <c r="AZ482" s="160">
        <f t="shared" si="1788"/>
        <v>0</v>
      </c>
      <c r="BA482" s="160">
        <f t="shared" si="1788"/>
        <v>0</v>
      </c>
      <c r="BB482" s="160">
        <f t="shared" si="1788"/>
        <v>0</v>
      </c>
      <c r="BC482" s="160">
        <f t="shared" si="1788"/>
        <v>0</v>
      </c>
      <c r="BD482" s="160">
        <f t="shared" si="1788"/>
        <v>0</v>
      </c>
      <c r="BE482" s="160">
        <f t="shared" si="1788"/>
        <v>0</v>
      </c>
      <c r="BF482" s="160">
        <f t="shared" si="1788"/>
        <v>0</v>
      </c>
      <c r="BG482" s="160">
        <f t="shared" si="1789"/>
        <v>0</v>
      </c>
      <c r="BH482" s="160">
        <f t="shared" si="1789"/>
        <v>0</v>
      </c>
      <c r="BI482" s="160">
        <f t="shared" si="1789"/>
        <v>0</v>
      </c>
      <c r="BJ482" s="160">
        <f t="shared" si="1789"/>
        <v>0</v>
      </c>
      <c r="BK482" s="160">
        <f t="shared" si="1789"/>
        <v>0</v>
      </c>
      <c r="BL482" s="160">
        <f t="shared" si="1789"/>
        <v>0</v>
      </c>
      <c r="BM482" s="160">
        <f t="shared" si="1789"/>
        <v>0</v>
      </c>
      <c r="BN482" s="160">
        <f t="shared" si="1789"/>
        <v>0</v>
      </c>
      <c r="BO482" s="160">
        <f t="shared" si="1789"/>
        <v>0</v>
      </c>
      <c r="BP482" s="160">
        <f t="shared" si="1789"/>
        <v>0</v>
      </c>
      <c r="BQ482" s="160">
        <f t="shared" si="1789"/>
        <v>0</v>
      </c>
      <c r="BR482" s="160">
        <f t="shared" si="1789"/>
        <v>0</v>
      </c>
      <c r="BS482" s="65"/>
      <c r="BT482" s="160">
        <f t="shared" si="1790"/>
        <v>0</v>
      </c>
      <c r="BU482" s="160">
        <f t="shared" si="1791"/>
        <v>0</v>
      </c>
      <c r="BV482" s="65"/>
      <c r="BW482" s="69"/>
      <c r="BX482" s="65"/>
      <c r="BY482" s="137">
        <f t="shared" si="1792"/>
        <v>1</v>
      </c>
      <c r="BZ482" s="137">
        <f>IF(BY482&gt;0,BY482+LARGE($BZ$213:BZ481,1),0)</f>
        <v>226</v>
      </c>
      <c r="CA482" s="137" t="str">
        <f t="shared" si="1793"/>
        <v>ENG/ARQ JR.</v>
      </c>
      <c r="CB482" s="161">
        <f t="shared" si="1794"/>
        <v>0</v>
      </c>
      <c r="CC482" s="161">
        <f t="shared" si="1795"/>
        <v>0</v>
      </c>
      <c r="CD482" s="161">
        <f t="shared" si="1796"/>
        <v>0</v>
      </c>
      <c r="CE482" s="161">
        <f t="shared" si="1797"/>
        <v>0</v>
      </c>
      <c r="CF482" s="161">
        <f t="shared" si="1798"/>
        <v>0</v>
      </c>
      <c r="CG482" s="161">
        <f t="shared" si="1799"/>
        <v>0</v>
      </c>
      <c r="CH482" s="161">
        <f t="shared" si="1800"/>
        <v>0</v>
      </c>
      <c r="CI482" s="161">
        <f t="shared" si="1801"/>
        <v>0</v>
      </c>
      <c r="CJ482" s="161">
        <f t="shared" si="1802"/>
        <v>0</v>
      </c>
      <c r="CK482" s="161">
        <f t="shared" si="1803"/>
        <v>0</v>
      </c>
      <c r="CL482" s="161">
        <f t="shared" si="1804"/>
        <v>0</v>
      </c>
      <c r="CM482" s="161">
        <f t="shared" si="1805"/>
        <v>0</v>
      </c>
      <c r="CN482" s="161">
        <f t="shared" si="1806"/>
        <v>0</v>
      </c>
      <c r="CO482" s="161">
        <f t="shared" si="1807"/>
        <v>0</v>
      </c>
      <c r="CP482" s="161">
        <f t="shared" si="1808"/>
        <v>0</v>
      </c>
      <c r="CQ482" s="161">
        <f t="shared" si="1809"/>
        <v>0</v>
      </c>
      <c r="CR482" s="161">
        <f t="shared" si="1810"/>
        <v>0</v>
      </c>
      <c r="CS482" s="161">
        <f t="shared" si="1811"/>
        <v>0</v>
      </c>
      <c r="CT482" s="161">
        <f t="shared" si="1812"/>
        <v>0</v>
      </c>
      <c r="CU482" s="161">
        <f t="shared" si="1813"/>
        <v>0</v>
      </c>
      <c r="CV482" s="161">
        <f t="shared" si="1814"/>
        <v>0</v>
      </c>
      <c r="CW482" s="161">
        <f t="shared" si="1815"/>
        <v>0</v>
      </c>
      <c r="CX482" s="161">
        <f t="shared" si="1816"/>
        <v>0</v>
      </c>
      <c r="CY482" s="161">
        <f t="shared" si="1817"/>
        <v>0</v>
      </c>
      <c r="CZ482" s="161">
        <f t="shared" si="1818"/>
        <v>0</v>
      </c>
      <c r="DA482" s="161">
        <f t="shared" si="1819"/>
        <v>0</v>
      </c>
      <c r="DB482" s="161">
        <f t="shared" si="1820"/>
        <v>0</v>
      </c>
      <c r="DC482" s="161">
        <f t="shared" si="1821"/>
        <v>0</v>
      </c>
      <c r="DD482" s="161">
        <f t="shared" si="1822"/>
        <v>0</v>
      </c>
      <c r="DE482" s="161">
        <f t="shared" si="1823"/>
        <v>0</v>
      </c>
      <c r="DF482" s="161">
        <f t="shared" si="1824"/>
        <v>0</v>
      </c>
      <c r="DG482" s="161">
        <f t="shared" si="1825"/>
        <v>0</v>
      </c>
      <c r="DH482" s="161">
        <f t="shared" si="1826"/>
        <v>0</v>
      </c>
      <c r="DI482" s="161">
        <f t="shared" si="1827"/>
        <v>0</v>
      </c>
      <c r="DJ482" s="161">
        <f t="shared" si="1828"/>
        <v>0</v>
      </c>
      <c r="DK482" s="161">
        <f t="shared" si="1829"/>
        <v>0</v>
      </c>
      <c r="DL482" s="161">
        <f t="shared" si="1830"/>
        <v>0</v>
      </c>
      <c r="DM482" s="161">
        <f t="shared" si="1831"/>
        <v>0</v>
      </c>
      <c r="DN482" s="161">
        <f t="shared" si="1832"/>
        <v>0</v>
      </c>
      <c r="DO482" s="161">
        <f t="shared" si="1833"/>
        <v>0</v>
      </c>
      <c r="DP482" s="161">
        <f t="shared" si="1834"/>
        <v>0</v>
      </c>
      <c r="DQ482" s="161">
        <f t="shared" si="1835"/>
        <v>0</v>
      </c>
      <c r="DR482" s="161">
        <f t="shared" si="1836"/>
        <v>0</v>
      </c>
      <c r="DS482" s="161">
        <f t="shared" si="1837"/>
        <v>0</v>
      </c>
      <c r="DT482" s="161">
        <f t="shared" si="1838"/>
        <v>0</v>
      </c>
      <c r="DU482" s="161">
        <f t="shared" si="1839"/>
        <v>0</v>
      </c>
      <c r="DV482" s="161">
        <f t="shared" si="1840"/>
        <v>0</v>
      </c>
      <c r="DW482" s="161">
        <f t="shared" si="1841"/>
        <v>0</v>
      </c>
      <c r="DX482" s="161">
        <f t="shared" si="1842"/>
        <v>0</v>
      </c>
      <c r="DY482" s="161">
        <f t="shared" si="1843"/>
        <v>0</v>
      </c>
      <c r="DZ482" s="161">
        <f t="shared" si="1844"/>
        <v>0</v>
      </c>
      <c r="EA482" s="161">
        <f t="shared" si="1845"/>
        <v>0</v>
      </c>
      <c r="EB482" s="161">
        <f t="shared" si="1846"/>
        <v>0</v>
      </c>
      <c r="EC482" s="161">
        <f t="shared" si="1847"/>
        <v>0</v>
      </c>
      <c r="ED482" s="161">
        <f t="shared" si="1848"/>
        <v>0</v>
      </c>
      <c r="EE482" s="161">
        <f t="shared" si="1849"/>
        <v>0</v>
      </c>
      <c r="EF482" s="161">
        <f t="shared" si="1850"/>
        <v>0</v>
      </c>
      <c r="EG482" s="161">
        <f t="shared" si="1851"/>
        <v>0</v>
      </c>
      <c r="EH482" s="161">
        <f t="shared" si="1852"/>
        <v>0</v>
      </c>
      <c r="EI482" s="161">
        <f t="shared" si="1853"/>
        <v>0</v>
      </c>
      <c r="EJ482" s="65"/>
      <c r="EK482" s="161">
        <f t="shared" si="1854"/>
        <v>0</v>
      </c>
      <c r="EL482" s="161">
        <f t="shared" si="1855"/>
        <v>0</v>
      </c>
      <c r="EM482" s="161">
        <f t="shared" si="1856"/>
        <v>0</v>
      </c>
    </row>
    <row r="483" spans="1:143" ht="12" hidden="1" customHeight="1" outlineLevel="2">
      <c r="A483" s="77">
        <v>7</v>
      </c>
      <c r="B483" s="137" t="str">
        <f t="shared" si="1784"/>
        <v>AN SR. ENG/ARQ - Equipe_01</v>
      </c>
      <c r="C483" s="65"/>
      <c r="D483" s="621"/>
      <c r="E483" s="65"/>
      <c r="F483" s="584"/>
      <c r="G483" s="77" t="str">
        <f>IF(INDEX(Tarefas!$BT$30:$FK$30,MATCH(A483,Tarefas!$BT$28:$FK$28,0))=0,"",INDEX(Tarefas!$BT$30:$FK$30,MATCH(A483,Tarefas!$BT$28:$FK$28,0)))</f>
        <v>AN SR. ENG/ARQ</v>
      </c>
      <c r="H483" s="107" cm="1">
        <f t="array" ref="H483">IFERROR((SUMPRODUCT((Tarefas!$N$32:$N$54='Cronog. e Histog.'!$F$477)*(Tarefas!$BQ$30:$FK$30='Cronog. e Histog.'!$G483)*(Tarefas!$BQ$32:$FK$54)))/SUMIF(Tarefas!$N$32:$N$54,'Cronog. e Histog.'!$F$477,Tarefas!$K$32:$K$54),0)</f>
        <v>0</v>
      </c>
      <c r="I483" s="79">
        <f t="shared" si="1785"/>
        <v>0</v>
      </c>
      <c r="J483" s="65"/>
      <c r="K483" s="160">
        <f t="shared" si="1786"/>
        <v>0</v>
      </c>
      <c r="L483" s="160">
        <f t="shared" si="1786"/>
        <v>0</v>
      </c>
      <c r="M483" s="160">
        <f t="shared" si="1786"/>
        <v>0</v>
      </c>
      <c r="N483" s="160">
        <f t="shared" si="1786"/>
        <v>0</v>
      </c>
      <c r="O483" s="160">
        <f t="shared" si="1786"/>
        <v>0</v>
      </c>
      <c r="P483" s="160">
        <f t="shared" si="1786"/>
        <v>0</v>
      </c>
      <c r="Q483" s="160">
        <f t="shared" si="1786"/>
        <v>0</v>
      </c>
      <c r="R483" s="160">
        <f t="shared" si="1786"/>
        <v>0</v>
      </c>
      <c r="S483" s="160">
        <f t="shared" si="1786"/>
        <v>0</v>
      </c>
      <c r="T483" s="160">
        <f t="shared" si="1786"/>
        <v>0</v>
      </c>
      <c r="U483" s="160">
        <f t="shared" si="1786"/>
        <v>0</v>
      </c>
      <c r="V483" s="160">
        <f t="shared" si="1786"/>
        <v>0</v>
      </c>
      <c r="W483" s="160">
        <f t="shared" si="1786"/>
        <v>0</v>
      </c>
      <c r="X483" s="160">
        <f t="shared" si="1786"/>
        <v>0</v>
      </c>
      <c r="Y483" s="160">
        <f t="shared" si="1786"/>
        <v>0</v>
      </c>
      <c r="Z483" s="160">
        <f t="shared" si="1786"/>
        <v>0</v>
      </c>
      <c r="AA483" s="160">
        <f t="shared" si="1787"/>
        <v>0</v>
      </c>
      <c r="AB483" s="160">
        <f t="shared" si="1787"/>
        <v>0</v>
      </c>
      <c r="AC483" s="160">
        <f t="shared" si="1787"/>
        <v>0</v>
      </c>
      <c r="AD483" s="160">
        <f t="shared" si="1787"/>
        <v>0</v>
      </c>
      <c r="AE483" s="160">
        <f t="shared" si="1787"/>
        <v>0</v>
      </c>
      <c r="AF483" s="160">
        <f t="shared" si="1787"/>
        <v>0</v>
      </c>
      <c r="AG483" s="160">
        <f t="shared" si="1787"/>
        <v>0</v>
      </c>
      <c r="AH483" s="160">
        <f t="shared" si="1787"/>
        <v>0</v>
      </c>
      <c r="AI483" s="160">
        <f t="shared" si="1787"/>
        <v>0</v>
      </c>
      <c r="AJ483" s="160">
        <f t="shared" si="1787"/>
        <v>0</v>
      </c>
      <c r="AK483" s="160">
        <f t="shared" si="1787"/>
        <v>0</v>
      </c>
      <c r="AL483" s="160">
        <f t="shared" si="1787"/>
        <v>0</v>
      </c>
      <c r="AM483" s="160">
        <f t="shared" si="1787"/>
        <v>0</v>
      </c>
      <c r="AN483" s="160">
        <f t="shared" si="1787"/>
        <v>0</v>
      </c>
      <c r="AO483" s="160">
        <f t="shared" si="1787"/>
        <v>0</v>
      </c>
      <c r="AP483" s="160">
        <f t="shared" si="1787"/>
        <v>0</v>
      </c>
      <c r="AQ483" s="160">
        <f t="shared" si="1788"/>
        <v>0</v>
      </c>
      <c r="AR483" s="160">
        <f t="shared" si="1788"/>
        <v>0</v>
      </c>
      <c r="AS483" s="160">
        <f t="shared" si="1788"/>
        <v>0</v>
      </c>
      <c r="AT483" s="160">
        <f t="shared" si="1788"/>
        <v>0</v>
      </c>
      <c r="AU483" s="160">
        <f t="shared" si="1788"/>
        <v>0</v>
      </c>
      <c r="AV483" s="160">
        <f t="shared" si="1788"/>
        <v>0</v>
      </c>
      <c r="AW483" s="160">
        <f t="shared" si="1788"/>
        <v>0</v>
      </c>
      <c r="AX483" s="160">
        <f t="shared" si="1788"/>
        <v>0</v>
      </c>
      <c r="AY483" s="160">
        <f t="shared" si="1788"/>
        <v>0</v>
      </c>
      <c r="AZ483" s="160">
        <f t="shared" si="1788"/>
        <v>0</v>
      </c>
      <c r="BA483" s="160">
        <f t="shared" si="1788"/>
        <v>0</v>
      </c>
      <c r="BB483" s="160">
        <f t="shared" si="1788"/>
        <v>0</v>
      </c>
      <c r="BC483" s="160">
        <f t="shared" si="1788"/>
        <v>0</v>
      </c>
      <c r="BD483" s="160">
        <f t="shared" si="1788"/>
        <v>0</v>
      </c>
      <c r="BE483" s="160">
        <f t="shared" si="1788"/>
        <v>0</v>
      </c>
      <c r="BF483" s="160">
        <f t="shared" si="1788"/>
        <v>0</v>
      </c>
      <c r="BG483" s="160">
        <f t="shared" si="1789"/>
        <v>0</v>
      </c>
      <c r="BH483" s="160">
        <f t="shared" si="1789"/>
        <v>0</v>
      </c>
      <c r="BI483" s="160">
        <f t="shared" si="1789"/>
        <v>0</v>
      </c>
      <c r="BJ483" s="160">
        <f t="shared" si="1789"/>
        <v>0</v>
      </c>
      <c r="BK483" s="160">
        <f t="shared" si="1789"/>
        <v>0</v>
      </c>
      <c r="BL483" s="160">
        <f t="shared" si="1789"/>
        <v>0</v>
      </c>
      <c r="BM483" s="160">
        <f t="shared" si="1789"/>
        <v>0</v>
      </c>
      <c r="BN483" s="160">
        <f t="shared" si="1789"/>
        <v>0</v>
      </c>
      <c r="BO483" s="160">
        <f t="shared" si="1789"/>
        <v>0</v>
      </c>
      <c r="BP483" s="160">
        <f t="shared" si="1789"/>
        <v>0</v>
      </c>
      <c r="BQ483" s="160">
        <f t="shared" si="1789"/>
        <v>0</v>
      </c>
      <c r="BR483" s="160">
        <f t="shared" si="1789"/>
        <v>0</v>
      </c>
      <c r="BS483" s="65"/>
      <c r="BT483" s="160">
        <f t="shared" si="1790"/>
        <v>0</v>
      </c>
      <c r="BU483" s="160">
        <f t="shared" si="1791"/>
        <v>0</v>
      </c>
      <c r="BV483" s="65"/>
      <c r="BW483" s="69"/>
      <c r="BX483" s="65"/>
      <c r="BY483" s="137">
        <f t="shared" si="1792"/>
        <v>1</v>
      </c>
      <c r="BZ483" s="137">
        <f>IF(BY483&gt;0,BY483+LARGE($BZ$213:BZ482,1),0)</f>
        <v>227</v>
      </c>
      <c r="CA483" s="137" t="str">
        <f t="shared" si="1793"/>
        <v>AN SR. ENG/ARQ</v>
      </c>
      <c r="CB483" s="161">
        <f t="shared" si="1794"/>
        <v>0</v>
      </c>
      <c r="CC483" s="161">
        <f t="shared" si="1795"/>
        <v>0</v>
      </c>
      <c r="CD483" s="161">
        <f t="shared" si="1796"/>
        <v>0</v>
      </c>
      <c r="CE483" s="161">
        <f t="shared" si="1797"/>
        <v>0</v>
      </c>
      <c r="CF483" s="161">
        <f t="shared" si="1798"/>
        <v>0</v>
      </c>
      <c r="CG483" s="161">
        <f t="shared" si="1799"/>
        <v>0</v>
      </c>
      <c r="CH483" s="161">
        <f t="shared" si="1800"/>
        <v>0</v>
      </c>
      <c r="CI483" s="161">
        <f t="shared" si="1801"/>
        <v>0</v>
      </c>
      <c r="CJ483" s="161">
        <f t="shared" si="1802"/>
        <v>0</v>
      </c>
      <c r="CK483" s="161">
        <f t="shared" si="1803"/>
        <v>0</v>
      </c>
      <c r="CL483" s="161">
        <f t="shared" si="1804"/>
        <v>0</v>
      </c>
      <c r="CM483" s="161">
        <f t="shared" si="1805"/>
        <v>0</v>
      </c>
      <c r="CN483" s="161">
        <f t="shared" si="1806"/>
        <v>0</v>
      </c>
      <c r="CO483" s="161">
        <f t="shared" si="1807"/>
        <v>0</v>
      </c>
      <c r="CP483" s="161">
        <f t="shared" si="1808"/>
        <v>0</v>
      </c>
      <c r="CQ483" s="161">
        <f t="shared" si="1809"/>
        <v>0</v>
      </c>
      <c r="CR483" s="161">
        <f t="shared" si="1810"/>
        <v>0</v>
      </c>
      <c r="CS483" s="161">
        <f t="shared" si="1811"/>
        <v>0</v>
      </c>
      <c r="CT483" s="161">
        <f t="shared" si="1812"/>
        <v>0</v>
      </c>
      <c r="CU483" s="161">
        <f t="shared" si="1813"/>
        <v>0</v>
      </c>
      <c r="CV483" s="161">
        <f t="shared" si="1814"/>
        <v>0</v>
      </c>
      <c r="CW483" s="161">
        <f t="shared" si="1815"/>
        <v>0</v>
      </c>
      <c r="CX483" s="161">
        <f t="shared" si="1816"/>
        <v>0</v>
      </c>
      <c r="CY483" s="161">
        <f t="shared" si="1817"/>
        <v>0</v>
      </c>
      <c r="CZ483" s="161">
        <f t="shared" si="1818"/>
        <v>0</v>
      </c>
      <c r="DA483" s="161">
        <f t="shared" si="1819"/>
        <v>0</v>
      </c>
      <c r="DB483" s="161">
        <f t="shared" si="1820"/>
        <v>0</v>
      </c>
      <c r="DC483" s="161">
        <f t="shared" si="1821"/>
        <v>0</v>
      </c>
      <c r="DD483" s="161">
        <f t="shared" si="1822"/>
        <v>0</v>
      </c>
      <c r="DE483" s="161">
        <f t="shared" si="1823"/>
        <v>0</v>
      </c>
      <c r="DF483" s="161">
        <f t="shared" si="1824"/>
        <v>0</v>
      </c>
      <c r="DG483" s="161">
        <f t="shared" si="1825"/>
        <v>0</v>
      </c>
      <c r="DH483" s="161">
        <f t="shared" si="1826"/>
        <v>0</v>
      </c>
      <c r="DI483" s="161">
        <f t="shared" si="1827"/>
        <v>0</v>
      </c>
      <c r="DJ483" s="161">
        <f t="shared" si="1828"/>
        <v>0</v>
      </c>
      <c r="DK483" s="161">
        <f t="shared" si="1829"/>
        <v>0</v>
      </c>
      <c r="DL483" s="161">
        <f t="shared" si="1830"/>
        <v>0</v>
      </c>
      <c r="DM483" s="161">
        <f t="shared" si="1831"/>
        <v>0</v>
      </c>
      <c r="DN483" s="161">
        <f t="shared" si="1832"/>
        <v>0</v>
      </c>
      <c r="DO483" s="161">
        <f t="shared" si="1833"/>
        <v>0</v>
      </c>
      <c r="DP483" s="161">
        <f t="shared" si="1834"/>
        <v>0</v>
      </c>
      <c r="DQ483" s="161">
        <f t="shared" si="1835"/>
        <v>0</v>
      </c>
      <c r="DR483" s="161">
        <f t="shared" si="1836"/>
        <v>0</v>
      </c>
      <c r="DS483" s="161">
        <f t="shared" si="1837"/>
        <v>0</v>
      </c>
      <c r="DT483" s="161">
        <f t="shared" si="1838"/>
        <v>0</v>
      </c>
      <c r="DU483" s="161">
        <f t="shared" si="1839"/>
        <v>0</v>
      </c>
      <c r="DV483" s="161">
        <f t="shared" si="1840"/>
        <v>0</v>
      </c>
      <c r="DW483" s="161">
        <f t="shared" si="1841"/>
        <v>0</v>
      </c>
      <c r="DX483" s="161">
        <f t="shared" si="1842"/>
        <v>0</v>
      </c>
      <c r="DY483" s="161">
        <f t="shared" si="1843"/>
        <v>0</v>
      </c>
      <c r="DZ483" s="161">
        <f t="shared" si="1844"/>
        <v>0</v>
      </c>
      <c r="EA483" s="161">
        <f t="shared" si="1845"/>
        <v>0</v>
      </c>
      <c r="EB483" s="161">
        <f t="shared" si="1846"/>
        <v>0</v>
      </c>
      <c r="EC483" s="161">
        <f t="shared" si="1847"/>
        <v>0</v>
      </c>
      <c r="ED483" s="161">
        <f t="shared" si="1848"/>
        <v>0</v>
      </c>
      <c r="EE483" s="161">
        <f t="shared" si="1849"/>
        <v>0</v>
      </c>
      <c r="EF483" s="161">
        <f t="shared" si="1850"/>
        <v>0</v>
      </c>
      <c r="EG483" s="161">
        <f t="shared" si="1851"/>
        <v>0</v>
      </c>
      <c r="EH483" s="161">
        <f t="shared" si="1852"/>
        <v>0</v>
      </c>
      <c r="EI483" s="161">
        <f t="shared" si="1853"/>
        <v>0</v>
      </c>
      <c r="EJ483" s="65"/>
      <c r="EK483" s="161">
        <f t="shared" si="1854"/>
        <v>0</v>
      </c>
      <c r="EL483" s="161">
        <f t="shared" si="1855"/>
        <v>0</v>
      </c>
      <c r="EM483" s="161">
        <f t="shared" si="1856"/>
        <v>0</v>
      </c>
    </row>
    <row r="484" spans="1:143" ht="12" hidden="1" customHeight="1" outlineLevel="2">
      <c r="A484" s="77">
        <v>8</v>
      </c>
      <c r="B484" s="137" t="str">
        <f t="shared" si="1784"/>
        <v>AN PL. ENG/ARQ - Equipe_01</v>
      </c>
      <c r="C484" s="65"/>
      <c r="D484" s="621"/>
      <c r="E484" s="65"/>
      <c r="F484" s="584"/>
      <c r="G484" s="77" t="str">
        <f>IF(INDEX(Tarefas!$BT$30:$FK$30,MATCH(A484,Tarefas!$BT$28:$FK$28,0))=0,"",INDEX(Tarefas!$BT$30:$FK$30,MATCH(A484,Tarefas!$BT$28:$FK$28,0)))</f>
        <v>AN PL. ENG/ARQ</v>
      </c>
      <c r="H484" s="107" cm="1">
        <f t="array" ref="H484">IFERROR((SUMPRODUCT((Tarefas!$N$32:$N$54='Cronog. e Histog.'!$F$477)*(Tarefas!$BQ$30:$FK$30='Cronog. e Histog.'!$G484)*(Tarefas!$BQ$32:$FK$54)))/SUMIF(Tarefas!$N$32:$N$54,'Cronog. e Histog.'!$F$477,Tarefas!$K$32:$K$54),0)</f>
        <v>0</v>
      </c>
      <c r="I484" s="79">
        <f t="shared" si="1785"/>
        <v>0</v>
      </c>
      <c r="J484" s="65"/>
      <c r="K484" s="160">
        <f t="shared" si="1786"/>
        <v>0</v>
      </c>
      <c r="L484" s="160">
        <f t="shared" si="1786"/>
        <v>0</v>
      </c>
      <c r="M484" s="160">
        <f t="shared" si="1786"/>
        <v>0</v>
      </c>
      <c r="N484" s="160">
        <f t="shared" si="1786"/>
        <v>0</v>
      </c>
      <c r="O484" s="160">
        <f t="shared" si="1786"/>
        <v>0</v>
      </c>
      <c r="P484" s="160">
        <f t="shared" si="1786"/>
        <v>0</v>
      </c>
      <c r="Q484" s="160">
        <f t="shared" si="1786"/>
        <v>0</v>
      </c>
      <c r="R484" s="160">
        <f t="shared" si="1786"/>
        <v>0</v>
      </c>
      <c r="S484" s="160">
        <f t="shared" si="1786"/>
        <v>0</v>
      </c>
      <c r="T484" s="160">
        <f t="shared" si="1786"/>
        <v>0</v>
      </c>
      <c r="U484" s="160">
        <f t="shared" si="1786"/>
        <v>0</v>
      </c>
      <c r="V484" s="160">
        <f t="shared" si="1786"/>
        <v>0</v>
      </c>
      <c r="W484" s="160">
        <f t="shared" si="1786"/>
        <v>0</v>
      </c>
      <c r="X484" s="160">
        <f t="shared" si="1786"/>
        <v>0</v>
      </c>
      <c r="Y484" s="160">
        <f t="shared" si="1786"/>
        <v>0</v>
      </c>
      <c r="Z484" s="160">
        <f t="shared" si="1786"/>
        <v>0</v>
      </c>
      <c r="AA484" s="160">
        <f t="shared" si="1787"/>
        <v>0</v>
      </c>
      <c r="AB484" s="160">
        <f t="shared" si="1787"/>
        <v>0</v>
      </c>
      <c r="AC484" s="160">
        <f t="shared" si="1787"/>
        <v>0</v>
      </c>
      <c r="AD484" s="160">
        <f t="shared" si="1787"/>
        <v>0</v>
      </c>
      <c r="AE484" s="160">
        <f t="shared" si="1787"/>
        <v>0</v>
      </c>
      <c r="AF484" s="160">
        <f t="shared" si="1787"/>
        <v>0</v>
      </c>
      <c r="AG484" s="160">
        <f t="shared" si="1787"/>
        <v>0</v>
      </c>
      <c r="AH484" s="160">
        <f t="shared" si="1787"/>
        <v>0</v>
      </c>
      <c r="AI484" s="160">
        <f t="shared" si="1787"/>
        <v>0</v>
      </c>
      <c r="AJ484" s="160">
        <f t="shared" si="1787"/>
        <v>0</v>
      </c>
      <c r="AK484" s="160">
        <f t="shared" si="1787"/>
        <v>0</v>
      </c>
      <c r="AL484" s="160">
        <f t="shared" si="1787"/>
        <v>0</v>
      </c>
      <c r="AM484" s="160">
        <f t="shared" si="1787"/>
        <v>0</v>
      </c>
      <c r="AN484" s="160">
        <f t="shared" si="1787"/>
        <v>0</v>
      </c>
      <c r="AO484" s="160">
        <f t="shared" si="1787"/>
        <v>0</v>
      </c>
      <c r="AP484" s="160">
        <f t="shared" si="1787"/>
        <v>0</v>
      </c>
      <c r="AQ484" s="160">
        <f t="shared" si="1788"/>
        <v>0</v>
      </c>
      <c r="AR484" s="160">
        <f t="shared" si="1788"/>
        <v>0</v>
      </c>
      <c r="AS484" s="160">
        <f t="shared" si="1788"/>
        <v>0</v>
      </c>
      <c r="AT484" s="160">
        <f t="shared" si="1788"/>
        <v>0</v>
      </c>
      <c r="AU484" s="160">
        <f t="shared" si="1788"/>
        <v>0</v>
      </c>
      <c r="AV484" s="160">
        <f t="shared" si="1788"/>
        <v>0</v>
      </c>
      <c r="AW484" s="160">
        <f t="shared" si="1788"/>
        <v>0</v>
      </c>
      <c r="AX484" s="160">
        <f t="shared" si="1788"/>
        <v>0</v>
      </c>
      <c r="AY484" s="160">
        <f t="shared" si="1788"/>
        <v>0</v>
      </c>
      <c r="AZ484" s="160">
        <f t="shared" si="1788"/>
        <v>0</v>
      </c>
      <c r="BA484" s="160">
        <f t="shared" si="1788"/>
        <v>0</v>
      </c>
      <c r="BB484" s="160">
        <f t="shared" si="1788"/>
        <v>0</v>
      </c>
      <c r="BC484" s="160">
        <f t="shared" si="1788"/>
        <v>0</v>
      </c>
      <c r="BD484" s="160">
        <f t="shared" si="1788"/>
        <v>0</v>
      </c>
      <c r="BE484" s="160">
        <f t="shared" si="1788"/>
        <v>0</v>
      </c>
      <c r="BF484" s="160">
        <f t="shared" si="1788"/>
        <v>0</v>
      </c>
      <c r="BG484" s="160">
        <f t="shared" si="1789"/>
        <v>0</v>
      </c>
      <c r="BH484" s="160">
        <f t="shared" si="1789"/>
        <v>0</v>
      </c>
      <c r="BI484" s="160">
        <f t="shared" si="1789"/>
        <v>0</v>
      </c>
      <c r="BJ484" s="160">
        <f t="shared" si="1789"/>
        <v>0</v>
      </c>
      <c r="BK484" s="160">
        <f t="shared" si="1789"/>
        <v>0</v>
      </c>
      <c r="BL484" s="160">
        <f t="shared" si="1789"/>
        <v>0</v>
      </c>
      <c r="BM484" s="160">
        <f t="shared" si="1789"/>
        <v>0</v>
      </c>
      <c r="BN484" s="160">
        <f t="shared" si="1789"/>
        <v>0</v>
      </c>
      <c r="BO484" s="160">
        <f t="shared" si="1789"/>
        <v>0</v>
      </c>
      <c r="BP484" s="160">
        <f t="shared" si="1789"/>
        <v>0</v>
      </c>
      <c r="BQ484" s="160">
        <f t="shared" si="1789"/>
        <v>0</v>
      </c>
      <c r="BR484" s="160">
        <f t="shared" si="1789"/>
        <v>0</v>
      </c>
      <c r="BS484" s="65"/>
      <c r="BT484" s="160">
        <f t="shared" si="1790"/>
        <v>0</v>
      </c>
      <c r="BU484" s="160">
        <f t="shared" si="1791"/>
        <v>0</v>
      </c>
      <c r="BV484" s="65"/>
      <c r="BW484" s="69"/>
      <c r="BX484" s="65"/>
      <c r="BY484" s="137">
        <f t="shared" si="1792"/>
        <v>1</v>
      </c>
      <c r="BZ484" s="137">
        <f>IF(BY484&gt;0,BY484+LARGE($BZ$213:BZ483,1),0)</f>
        <v>228</v>
      </c>
      <c r="CA484" s="137" t="str">
        <f t="shared" si="1793"/>
        <v>AN PL. ENG/ARQ</v>
      </c>
      <c r="CB484" s="161">
        <f t="shared" si="1794"/>
        <v>0</v>
      </c>
      <c r="CC484" s="161">
        <f t="shared" si="1795"/>
        <v>0</v>
      </c>
      <c r="CD484" s="161">
        <f t="shared" si="1796"/>
        <v>0</v>
      </c>
      <c r="CE484" s="161">
        <f t="shared" si="1797"/>
        <v>0</v>
      </c>
      <c r="CF484" s="161">
        <f t="shared" si="1798"/>
        <v>0</v>
      </c>
      <c r="CG484" s="161">
        <f t="shared" si="1799"/>
        <v>0</v>
      </c>
      <c r="CH484" s="161">
        <f t="shared" si="1800"/>
        <v>0</v>
      </c>
      <c r="CI484" s="161">
        <f t="shared" si="1801"/>
        <v>0</v>
      </c>
      <c r="CJ484" s="161">
        <f t="shared" si="1802"/>
        <v>0</v>
      </c>
      <c r="CK484" s="161">
        <f t="shared" si="1803"/>
        <v>0</v>
      </c>
      <c r="CL484" s="161">
        <f t="shared" si="1804"/>
        <v>0</v>
      </c>
      <c r="CM484" s="161">
        <f t="shared" si="1805"/>
        <v>0</v>
      </c>
      <c r="CN484" s="161">
        <f t="shared" si="1806"/>
        <v>0</v>
      </c>
      <c r="CO484" s="161">
        <f t="shared" si="1807"/>
        <v>0</v>
      </c>
      <c r="CP484" s="161">
        <f t="shared" si="1808"/>
        <v>0</v>
      </c>
      <c r="CQ484" s="161">
        <f t="shared" si="1809"/>
        <v>0</v>
      </c>
      <c r="CR484" s="161">
        <f t="shared" si="1810"/>
        <v>0</v>
      </c>
      <c r="CS484" s="161">
        <f t="shared" si="1811"/>
        <v>0</v>
      </c>
      <c r="CT484" s="161">
        <f t="shared" si="1812"/>
        <v>0</v>
      </c>
      <c r="CU484" s="161">
        <f t="shared" si="1813"/>
        <v>0</v>
      </c>
      <c r="CV484" s="161">
        <f t="shared" si="1814"/>
        <v>0</v>
      </c>
      <c r="CW484" s="161">
        <f t="shared" si="1815"/>
        <v>0</v>
      </c>
      <c r="CX484" s="161">
        <f t="shared" si="1816"/>
        <v>0</v>
      </c>
      <c r="CY484" s="161">
        <f t="shared" si="1817"/>
        <v>0</v>
      </c>
      <c r="CZ484" s="161">
        <f t="shared" si="1818"/>
        <v>0</v>
      </c>
      <c r="DA484" s="161">
        <f t="shared" si="1819"/>
        <v>0</v>
      </c>
      <c r="DB484" s="161">
        <f t="shared" si="1820"/>
        <v>0</v>
      </c>
      <c r="DC484" s="161">
        <f t="shared" si="1821"/>
        <v>0</v>
      </c>
      <c r="DD484" s="161">
        <f t="shared" si="1822"/>
        <v>0</v>
      </c>
      <c r="DE484" s="161">
        <f t="shared" si="1823"/>
        <v>0</v>
      </c>
      <c r="DF484" s="161">
        <f t="shared" si="1824"/>
        <v>0</v>
      </c>
      <c r="DG484" s="161">
        <f t="shared" si="1825"/>
        <v>0</v>
      </c>
      <c r="DH484" s="161">
        <f t="shared" si="1826"/>
        <v>0</v>
      </c>
      <c r="DI484" s="161">
        <f t="shared" si="1827"/>
        <v>0</v>
      </c>
      <c r="DJ484" s="161">
        <f t="shared" si="1828"/>
        <v>0</v>
      </c>
      <c r="DK484" s="161">
        <f t="shared" si="1829"/>
        <v>0</v>
      </c>
      <c r="DL484" s="161">
        <f t="shared" si="1830"/>
        <v>0</v>
      </c>
      <c r="DM484" s="161">
        <f t="shared" si="1831"/>
        <v>0</v>
      </c>
      <c r="DN484" s="161">
        <f t="shared" si="1832"/>
        <v>0</v>
      </c>
      <c r="DO484" s="161">
        <f t="shared" si="1833"/>
        <v>0</v>
      </c>
      <c r="DP484" s="161">
        <f t="shared" si="1834"/>
        <v>0</v>
      </c>
      <c r="DQ484" s="161">
        <f t="shared" si="1835"/>
        <v>0</v>
      </c>
      <c r="DR484" s="161">
        <f t="shared" si="1836"/>
        <v>0</v>
      </c>
      <c r="DS484" s="161">
        <f t="shared" si="1837"/>
        <v>0</v>
      </c>
      <c r="DT484" s="161">
        <f t="shared" si="1838"/>
        <v>0</v>
      </c>
      <c r="DU484" s="161">
        <f t="shared" si="1839"/>
        <v>0</v>
      </c>
      <c r="DV484" s="161">
        <f t="shared" si="1840"/>
        <v>0</v>
      </c>
      <c r="DW484" s="161">
        <f t="shared" si="1841"/>
        <v>0</v>
      </c>
      <c r="DX484" s="161">
        <f t="shared" si="1842"/>
        <v>0</v>
      </c>
      <c r="DY484" s="161">
        <f t="shared" si="1843"/>
        <v>0</v>
      </c>
      <c r="DZ484" s="161">
        <f t="shared" si="1844"/>
        <v>0</v>
      </c>
      <c r="EA484" s="161">
        <f t="shared" si="1845"/>
        <v>0</v>
      </c>
      <c r="EB484" s="161">
        <f t="shared" si="1846"/>
        <v>0</v>
      </c>
      <c r="EC484" s="161">
        <f t="shared" si="1847"/>
        <v>0</v>
      </c>
      <c r="ED484" s="161">
        <f t="shared" si="1848"/>
        <v>0</v>
      </c>
      <c r="EE484" s="161">
        <f t="shared" si="1849"/>
        <v>0</v>
      </c>
      <c r="EF484" s="161">
        <f t="shared" si="1850"/>
        <v>0</v>
      </c>
      <c r="EG484" s="161">
        <f t="shared" si="1851"/>
        <v>0</v>
      </c>
      <c r="EH484" s="161">
        <f t="shared" si="1852"/>
        <v>0</v>
      </c>
      <c r="EI484" s="161">
        <f t="shared" si="1853"/>
        <v>0</v>
      </c>
      <c r="EJ484" s="65"/>
      <c r="EK484" s="161">
        <f t="shared" si="1854"/>
        <v>0</v>
      </c>
      <c r="EL484" s="161">
        <f t="shared" si="1855"/>
        <v>0</v>
      </c>
      <c r="EM484" s="161">
        <f t="shared" si="1856"/>
        <v>0</v>
      </c>
    </row>
    <row r="485" spans="1:143" ht="12" hidden="1" customHeight="1" outlineLevel="2">
      <c r="A485" s="77">
        <v>9</v>
      </c>
      <c r="B485" s="137" t="str">
        <f t="shared" si="1784"/>
        <v>AN JR. ENG/ARQ - Equipe_01</v>
      </c>
      <c r="C485" s="65"/>
      <c r="D485" s="621"/>
      <c r="E485" s="65"/>
      <c r="F485" s="584"/>
      <c r="G485" s="77" t="str">
        <f>IF(INDEX(Tarefas!$BT$30:$FK$30,MATCH(A485,Tarefas!$BT$28:$FK$28,0))=0,"",INDEX(Tarefas!$BT$30:$FK$30,MATCH(A485,Tarefas!$BT$28:$FK$28,0)))</f>
        <v>AN JR. ENG/ARQ</v>
      </c>
      <c r="H485" s="107" cm="1">
        <f t="array" ref="H485">IFERROR((SUMPRODUCT((Tarefas!$N$32:$N$54='Cronog. e Histog.'!$F$477)*(Tarefas!$BQ$30:$FK$30='Cronog. e Histog.'!$G485)*(Tarefas!$BQ$32:$FK$54)))/SUMIF(Tarefas!$N$32:$N$54,'Cronog. e Histog.'!$F$477,Tarefas!$K$32:$K$54),0)</f>
        <v>0</v>
      </c>
      <c r="I485" s="79">
        <f t="shared" si="1785"/>
        <v>0</v>
      </c>
      <c r="J485" s="65"/>
      <c r="K485" s="160">
        <f t="shared" si="1786"/>
        <v>0</v>
      </c>
      <c r="L485" s="160">
        <f t="shared" si="1786"/>
        <v>0</v>
      </c>
      <c r="M485" s="160">
        <f t="shared" si="1786"/>
        <v>0</v>
      </c>
      <c r="N485" s="160">
        <f t="shared" si="1786"/>
        <v>0</v>
      </c>
      <c r="O485" s="160">
        <f t="shared" si="1786"/>
        <v>0</v>
      </c>
      <c r="P485" s="160">
        <f t="shared" si="1786"/>
        <v>0</v>
      </c>
      <c r="Q485" s="160">
        <f t="shared" si="1786"/>
        <v>0</v>
      </c>
      <c r="R485" s="160">
        <f t="shared" si="1786"/>
        <v>0</v>
      </c>
      <c r="S485" s="160">
        <f t="shared" si="1786"/>
        <v>0</v>
      </c>
      <c r="T485" s="160">
        <f t="shared" si="1786"/>
        <v>0</v>
      </c>
      <c r="U485" s="160">
        <f t="shared" si="1786"/>
        <v>0</v>
      </c>
      <c r="V485" s="160">
        <f t="shared" si="1786"/>
        <v>0</v>
      </c>
      <c r="W485" s="160">
        <f t="shared" si="1786"/>
        <v>0</v>
      </c>
      <c r="X485" s="160">
        <f t="shared" si="1786"/>
        <v>0</v>
      </c>
      <c r="Y485" s="160">
        <f t="shared" si="1786"/>
        <v>0</v>
      </c>
      <c r="Z485" s="160">
        <f t="shared" si="1786"/>
        <v>0</v>
      </c>
      <c r="AA485" s="160">
        <f t="shared" si="1787"/>
        <v>0</v>
      </c>
      <c r="AB485" s="160">
        <f t="shared" si="1787"/>
        <v>0</v>
      </c>
      <c r="AC485" s="160">
        <f t="shared" si="1787"/>
        <v>0</v>
      </c>
      <c r="AD485" s="160">
        <f t="shared" si="1787"/>
        <v>0</v>
      </c>
      <c r="AE485" s="160">
        <f t="shared" si="1787"/>
        <v>0</v>
      </c>
      <c r="AF485" s="160">
        <f t="shared" si="1787"/>
        <v>0</v>
      </c>
      <c r="AG485" s="160">
        <f t="shared" si="1787"/>
        <v>0</v>
      </c>
      <c r="AH485" s="160">
        <f t="shared" si="1787"/>
        <v>0</v>
      </c>
      <c r="AI485" s="160">
        <f t="shared" si="1787"/>
        <v>0</v>
      </c>
      <c r="AJ485" s="160">
        <f t="shared" si="1787"/>
        <v>0</v>
      </c>
      <c r="AK485" s="160">
        <f t="shared" si="1787"/>
        <v>0</v>
      </c>
      <c r="AL485" s="160">
        <f t="shared" si="1787"/>
        <v>0</v>
      </c>
      <c r="AM485" s="160">
        <f t="shared" si="1787"/>
        <v>0</v>
      </c>
      <c r="AN485" s="160">
        <f t="shared" si="1787"/>
        <v>0</v>
      </c>
      <c r="AO485" s="160">
        <f t="shared" si="1787"/>
        <v>0</v>
      </c>
      <c r="AP485" s="160">
        <f t="shared" si="1787"/>
        <v>0</v>
      </c>
      <c r="AQ485" s="160">
        <f t="shared" si="1788"/>
        <v>0</v>
      </c>
      <c r="AR485" s="160">
        <f t="shared" si="1788"/>
        <v>0</v>
      </c>
      <c r="AS485" s="160">
        <f t="shared" si="1788"/>
        <v>0</v>
      </c>
      <c r="AT485" s="160">
        <f t="shared" si="1788"/>
        <v>0</v>
      </c>
      <c r="AU485" s="160">
        <f t="shared" si="1788"/>
        <v>0</v>
      </c>
      <c r="AV485" s="160">
        <f t="shared" si="1788"/>
        <v>0</v>
      </c>
      <c r="AW485" s="160">
        <f t="shared" si="1788"/>
        <v>0</v>
      </c>
      <c r="AX485" s="160">
        <f t="shared" si="1788"/>
        <v>0</v>
      </c>
      <c r="AY485" s="160">
        <f t="shared" si="1788"/>
        <v>0</v>
      </c>
      <c r="AZ485" s="160">
        <f t="shared" si="1788"/>
        <v>0</v>
      </c>
      <c r="BA485" s="160">
        <f t="shared" si="1788"/>
        <v>0</v>
      </c>
      <c r="BB485" s="160">
        <f t="shared" si="1788"/>
        <v>0</v>
      </c>
      <c r="BC485" s="160">
        <f t="shared" si="1788"/>
        <v>0</v>
      </c>
      <c r="BD485" s="160">
        <f t="shared" si="1788"/>
        <v>0</v>
      </c>
      <c r="BE485" s="160">
        <f t="shared" si="1788"/>
        <v>0</v>
      </c>
      <c r="BF485" s="160">
        <f t="shared" si="1788"/>
        <v>0</v>
      </c>
      <c r="BG485" s="160">
        <f t="shared" si="1789"/>
        <v>0</v>
      </c>
      <c r="BH485" s="160">
        <f t="shared" si="1789"/>
        <v>0</v>
      </c>
      <c r="BI485" s="160">
        <f t="shared" si="1789"/>
        <v>0</v>
      </c>
      <c r="BJ485" s="160">
        <f t="shared" si="1789"/>
        <v>0</v>
      </c>
      <c r="BK485" s="160">
        <f t="shared" si="1789"/>
        <v>0</v>
      </c>
      <c r="BL485" s="160">
        <f t="shared" si="1789"/>
        <v>0</v>
      </c>
      <c r="BM485" s="160">
        <f t="shared" si="1789"/>
        <v>0</v>
      </c>
      <c r="BN485" s="160">
        <f t="shared" si="1789"/>
        <v>0</v>
      </c>
      <c r="BO485" s="160">
        <f t="shared" si="1789"/>
        <v>0</v>
      </c>
      <c r="BP485" s="160">
        <f t="shared" si="1789"/>
        <v>0</v>
      </c>
      <c r="BQ485" s="160">
        <f t="shared" si="1789"/>
        <v>0</v>
      </c>
      <c r="BR485" s="160">
        <f t="shared" si="1789"/>
        <v>0</v>
      </c>
      <c r="BS485" s="65"/>
      <c r="BT485" s="160">
        <f t="shared" si="1790"/>
        <v>0</v>
      </c>
      <c r="BU485" s="160">
        <f t="shared" si="1791"/>
        <v>0</v>
      </c>
      <c r="BV485" s="65"/>
      <c r="BW485" s="69"/>
      <c r="BX485" s="65"/>
      <c r="BY485" s="137">
        <f t="shared" si="1792"/>
        <v>1</v>
      </c>
      <c r="BZ485" s="137">
        <f>IF(BY485&gt;0,BY485+LARGE($BZ$213:BZ484,1),0)</f>
        <v>229</v>
      </c>
      <c r="CA485" s="137" t="str">
        <f t="shared" si="1793"/>
        <v>AN JR. ENG/ARQ</v>
      </c>
      <c r="CB485" s="161">
        <f t="shared" si="1794"/>
        <v>0</v>
      </c>
      <c r="CC485" s="161">
        <f t="shared" si="1795"/>
        <v>0</v>
      </c>
      <c r="CD485" s="161">
        <f t="shared" si="1796"/>
        <v>0</v>
      </c>
      <c r="CE485" s="161">
        <f t="shared" si="1797"/>
        <v>0</v>
      </c>
      <c r="CF485" s="161">
        <f t="shared" si="1798"/>
        <v>0</v>
      </c>
      <c r="CG485" s="161">
        <f t="shared" si="1799"/>
        <v>0</v>
      </c>
      <c r="CH485" s="161">
        <f t="shared" si="1800"/>
        <v>0</v>
      </c>
      <c r="CI485" s="161">
        <f t="shared" si="1801"/>
        <v>0</v>
      </c>
      <c r="CJ485" s="161">
        <f t="shared" si="1802"/>
        <v>0</v>
      </c>
      <c r="CK485" s="161">
        <f t="shared" si="1803"/>
        <v>0</v>
      </c>
      <c r="CL485" s="161">
        <f t="shared" si="1804"/>
        <v>0</v>
      </c>
      <c r="CM485" s="161">
        <f t="shared" si="1805"/>
        <v>0</v>
      </c>
      <c r="CN485" s="161">
        <f t="shared" si="1806"/>
        <v>0</v>
      </c>
      <c r="CO485" s="161">
        <f t="shared" si="1807"/>
        <v>0</v>
      </c>
      <c r="CP485" s="161">
        <f t="shared" si="1808"/>
        <v>0</v>
      </c>
      <c r="CQ485" s="161">
        <f t="shared" si="1809"/>
        <v>0</v>
      </c>
      <c r="CR485" s="161">
        <f t="shared" si="1810"/>
        <v>0</v>
      </c>
      <c r="CS485" s="161">
        <f t="shared" si="1811"/>
        <v>0</v>
      </c>
      <c r="CT485" s="161">
        <f t="shared" si="1812"/>
        <v>0</v>
      </c>
      <c r="CU485" s="161">
        <f t="shared" si="1813"/>
        <v>0</v>
      </c>
      <c r="CV485" s="161">
        <f t="shared" si="1814"/>
        <v>0</v>
      </c>
      <c r="CW485" s="161">
        <f t="shared" si="1815"/>
        <v>0</v>
      </c>
      <c r="CX485" s="161">
        <f t="shared" si="1816"/>
        <v>0</v>
      </c>
      <c r="CY485" s="161">
        <f t="shared" si="1817"/>
        <v>0</v>
      </c>
      <c r="CZ485" s="161">
        <f t="shared" si="1818"/>
        <v>0</v>
      </c>
      <c r="DA485" s="161">
        <f t="shared" si="1819"/>
        <v>0</v>
      </c>
      <c r="DB485" s="161">
        <f t="shared" si="1820"/>
        <v>0</v>
      </c>
      <c r="DC485" s="161">
        <f t="shared" si="1821"/>
        <v>0</v>
      </c>
      <c r="DD485" s="161">
        <f t="shared" si="1822"/>
        <v>0</v>
      </c>
      <c r="DE485" s="161">
        <f t="shared" si="1823"/>
        <v>0</v>
      </c>
      <c r="DF485" s="161">
        <f t="shared" si="1824"/>
        <v>0</v>
      </c>
      <c r="DG485" s="161">
        <f t="shared" si="1825"/>
        <v>0</v>
      </c>
      <c r="DH485" s="161">
        <f t="shared" si="1826"/>
        <v>0</v>
      </c>
      <c r="DI485" s="161">
        <f t="shared" si="1827"/>
        <v>0</v>
      </c>
      <c r="DJ485" s="161">
        <f t="shared" si="1828"/>
        <v>0</v>
      </c>
      <c r="DK485" s="161">
        <f t="shared" si="1829"/>
        <v>0</v>
      </c>
      <c r="DL485" s="161">
        <f t="shared" si="1830"/>
        <v>0</v>
      </c>
      <c r="DM485" s="161">
        <f t="shared" si="1831"/>
        <v>0</v>
      </c>
      <c r="DN485" s="161">
        <f t="shared" si="1832"/>
        <v>0</v>
      </c>
      <c r="DO485" s="161">
        <f t="shared" si="1833"/>
        <v>0</v>
      </c>
      <c r="DP485" s="161">
        <f t="shared" si="1834"/>
        <v>0</v>
      </c>
      <c r="DQ485" s="161">
        <f t="shared" si="1835"/>
        <v>0</v>
      </c>
      <c r="DR485" s="161">
        <f t="shared" si="1836"/>
        <v>0</v>
      </c>
      <c r="DS485" s="161">
        <f t="shared" si="1837"/>
        <v>0</v>
      </c>
      <c r="DT485" s="161">
        <f t="shared" si="1838"/>
        <v>0</v>
      </c>
      <c r="DU485" s="161">
        <f t="shared" si="1839"/>
        <v>0</v>
      </c>
      <c r="DV485" s="161">
        <f t="shared" si="1840"/>
        <v>0</v>
      </c>
      <c r="DW485" s="161">
        <f t="shared" si="1841"/>
        <v>0</v>
      </c>
      <c r="DX485" s="161">
        <f t="shared" si="1842"/>
        <v>0</v>
      </c>
      <c r="DY485" s="161">
        <f t="shared" si="1843"/>
        <v>0</v>
      </c>
      <c r="DZ485" s="161">
        <f t="shared" si="1844"/>
        <v>0</v>
      </c>
      <c r="EA485" s="161">
        <f t="shared" si="1845"/>
        <v>0</v>
      </c>
      <c r="EB485" s="161">
        <f t="shared" si="1846"/>
        <v>0</v>
      </c>
      <c r="EC485" s="161">
        <f t="shared" si="1847"/>
        <v>0</v>
      </c>
      <c r="ED485" s="161">
        <f t="shared" si="1848"/>
        <v>0</v>
      </c>
      <c r="EE485" s="161">
        <f t="shared" si="1849"/>
        <v>0</v>
      </c>
      <c r="EF485" s="161">
        <f t="shared" si="1850"/>
        <v>0</v>
      </c>
      <c r="EG485" s="161">
        <f t="shared" si="1851"/>
        <v>0</v>
      </c>
      <c r="EH485" s="161">
        <f t="shared" si="1852"/>
        <v>0</v>
      </c>
      <c r="EI485" s="161">
        <f t="shared" si="1853"/>
        <v>0</v>
      </c>
      <c r="EJ485" s="65"/>
      <c r="EK485" s="161">
        <f t="shared" si="1854"/>
        <v>0</v>
      </c>
      <c r="EL485" s="161">
        <f t="shared" si="1855"/>
        <v>0</v>
      </c>
      <c r="EM485" s="161">
        <f t="shared" si="1856"/>
        <v>0</v>
      </c>
    </row>
    <row r="486" spans="1:143" ht="12" hidden="1" customHeight="1" outlineLevel="2">
      <c r="A486" s="77">
        <v>10</v>
      </c>
      <c r="B486" s="137" t="str">
        <f t="shared" si="1784"/>
        <v>AN SR. ADM/CRP - Equipe_01</v>
      </c>
      <c r="C486" s="65"/>
      <c r="D486" s="621"/>
      <c r="E486" s="65"/>
      <c r="F486" s="584"/>
      <c r="G486" s="77" t="str">
        <f>IF(INDEX(Tarefas!$BT$30:$FK$30,MATCH(A486,Tarefas!$BT$28:$FK$28,0))=0,"",INDEX(Tarefas!$BT$30:$FK$30,MATCH(A486,Tarefas!$BT$28:$FK$28,0)))</f>
        <v>AN SR. ADM/CRP</v>
      </c>
      <c r="H486" s="107" cm="1">
        <f t="array" ref="H486">IFERROR((SUMPRODUCT((Tarefas!$N$32:$N$54='Cronog. e Histog.'!$F$477)*(Tarefas!$BQ$30:$FK$30='Cronog. e Histog.'!$G486)*(Tarefas!$BQ$32:$FK$54)))/SUMIF(Tarefas!$N$32:$N$54,'Cronog. e Histog.'!$F$477,Tarefas!$K$32:$K$54),0)</f>
        <v>0</v>
      </c>
      <c r="I486" s="79">
        <f t="shared" si="1785"/>
        <v>0</v>
      </c>
      <c r="J486" s="65"/>
      <c r="K486" s="160">
        <f t="shared" si="1786"/>
        <v>0</v>
      </c>
      <c r="L486" s="160">
        <f t="shared" si="1786"/>
        <v>0</v>
      </c>
      <c r="M486" s="160">
        <f t="shared" si="1786"/>
        <v>0</v>
      </c>
      <c r="N486" s="160">
        <f t="shared" si="1786"/>
        <v>0</v>
      </c>
      <c r="O486" s="160">
        <f t="shared" si="1786"/>
        <v>0</v>
      </c>
      <c r="P486" s="160">
        <f t="shared" si="1786"/>
        <v>0</v>
      </c>
      <c r="Q486" s="160">
        <f t="shared" si="1786"/>
        <v>0</v>
      </c>
      <c r="R486" s="160">
        <f t="shared" si="1786"/>
        <v>0</v>
      </c>
      <c r="S486" s="160">
        <f t="shared" si="1786"/>
        <v>0</v>
      </c>
      <c r="T486" s="160">
        <f t="shared" si="1786"/>
        <v>0</v>
      </c>
      <c r="U486" s="160">
        <f t="shared" si="1786"/>
        <v>0</v>
      </c>
      <c r="V486" s="160">
        <f t="shared" si="1786"/>
        <v>0</v>
      </c>
      <c r="W486" s="160">
        <f t="shared" si="1786"/>
        <v>0</v>
      </c>
      <c r="X486" s="160">
        <f t="shared" si="1786"/>
        <v>0</v>
      </c>
      <c r="Y486" s="160">
        <f t="shared" si="1786"/>
        <v>0</v>
      </c>
      <c r="Z486" s="160">
        <f t="shared" si="1786"/>
        <v>0</v>
      </c>
      <c r="AA486" s="160">
        <f t="shared" si="1787"/>
        <v>0</v>
      </c>
      <c r="AB486" s="160">
        <f t="shared" si="1787"/>
        <v>0</v>
      </c>
      <c r="AC486" s="160">
        <f t="shared" si="1787"/>
        <v>0</v>
      </c>
      <c r="AD486" s="160">
        <f t="shared" si="1787"/>
        <v>0</v>
      </c>
      <c r="AE486" s="160">
        <f t="shared" si="1787"/>
        <v>0</v>
      </c>
      <c r="AF486" s="160">
        <f t="shared" si="1787"/>
        <v>0</v>
      </c>
      <c r="AG486" s="160">
        <f t="shared" si="1787"/>
        <v>0</v>
      </c>
      <c r="AH486" s="160">
        <f t="shared" si="1787"/>
        <v>0</v>
      </c>
      <c r="AI486" s="160">
        <f t="shared" si="1787"/>
        <v>0</v>
      </c>
      <c r="AJ486" s="160">
        <f t="shared" si="1787"/>
        <v>0</v>
      </c>
      <c r="AK486" s="160">
        <f t="shared" si="1787"/>
        <v>0</v>
      </c>
      <c r="AL486" s="160">
        <f t="shared" si="1787"/>
        <v>0</v>
      </c>
      <c r="AM486" s="160">
        <f t="shared" si="1787"/>
        <v>0</v>
      </c>
      <c r="AN486" s="160">
        <f t="shared" si="1787"/>
        <v>0</v>
      </c>
      <c r="AO486" s="160">
        <f t="shared" si="1787"/>
        <v>0</v>
      </c>
      <c r="AP486" s="160">
        <f t="shared" si="1787"/>
        <v>0</v>
      </c>
      <c r="AQ486" s="160">
        <f t="shared" si="1788"/>
        <v>0</v>
      </c>
      <c r="AR486" s="160">
        <f t="shared" si="1788"/>
        <v>0</v>
      </c>
      <c r="AS486" s="160">
        <f t="shared" si="1788"/>
        <v>0</v>
      </c>
      <c r="AT486" s="160">
        <f t="shared" si="1788"/>
        <v>0</v>
      </c>
      <c r="AU486" s="160">
        <f t="shared" si="1788"/>
        <v>0</v>
      </c>
      <c r="AV486" s="160">
        <f t="shared" si="1788"/>
        <v>0</v>
      </c>
      <c r="AW486" s="160">
        <f t="shared" si="1788"/>
        <v>0</v>
      </c>
      <c r="AX486" s="160">
        <f t="shared" si="1788"/>
        <v>0</v>
      </c>
      <c r="AY486" s="160">
        <f t="shared" si="1788"/>
        <v>0</v>
      </c>
      <c r="AZ486" s="160">
        <f t="shared" si="1788"/>
        <v>0</v>
      </c>
      <c r="BA486" s="160">
        <f t="shared" si="1788"/>
        <v>0</v>
      </c>
      <c r="BB486" s="160">
        <f t="shared" si="1788"/>
        <v>0</v>
      </c>
      <c r="BC486" s="160">
        <f t="shared" si="1788"/>
        <v>0</v>
      </c>
      <c r="BD486" s="160">
        <f t="shared" si="1788"/>
        <v>0</v>
      </c>
      <c r="BE486" s="160">
        <f t="shared" si="1788"/>
        <v>0</v>
      </c>
      <c r="BF486" s="160">
        <f t="shared" si="1788"/>
        <v>0</v>
      </c>
      <c r="BG486" s="160">
        <f t="shared" si="1789"/>
        <v>0</v>
      </c>
      <c r="BH486" s="160">
        <f t="shared" si="1789"/>
        <v>0</v>
      </c>
      <c r="BI486" s="160">
        <f t="shared" si="1789"/>
        <v>0</v>
      </c>
      <c r="BJ486" s="160">
        <f t="shared" si="1789"/>
        <v>0</v>
      </c>
      <c r="BK486" s="160">
        <f t="shared" si="1789"/>
        <v>0</v>
      </c>
      <c r="BL486" s="160">
        <f t="shared" si="1789"/>
        <v>0</v>
      </c>
      <c r="BM486" s="160">
        <f t="shared" si="1789"/>
        <v>0</v>
      </c>
      <c r="BN486" s="160">
        <f t="shared" si="1789"/>
        <v>0</v>
      </c>
      <c r="BO486" s="160">
        <f t="shared" si="1789"/>
        <v>0</v>
      </c>
      <c r="BP486" s="160">
        <f t="shared" si="1789"/>
        <v>0</v>
      </c>
      <c r="BQ486" s="160">
        <f t="shared" si="1789"/>
        <v>0</v>
      </c>
      <c r="BR486" s="160">
        <f t="shared" si="1789"/>
        <v>0</v>
      </c>
      <c r="BS486" s="65"/>
      <c r="BT486" s="160">
        <f t="shared" si="1790"/>
        <v>0</v>
      </c>
      <c r="BU486" s="160">
        <f t="shared" si="1791"/>
        <v>0</v>
      </c>
      <c r="BV486" s="65"/>
      <c r="BW486" s="69"/>
      <c r="BX486" s="65"/>
      <c r="BY486" s="137">
        <f t="shared" si="1792"/>
        <v>1</v>
      </c>
      <c r="BZ486" s="137">
        <f>IF(BY486&gt;0,BY486+LARGE($BZ$213:BZ485,1),0)</f>
        <v>230</v>
      </c>
      <c r="CA486" s="137" t="str">
        <f t="shared" si="1793"/>
        <v>AN SR. ADM/CRP</v>
      </c>
      <c r="CB486" s="161">
        <f t="shared" si="1794"/>
        <v>0</v>
      </c>
      <c r="CC486" s="161">
        <f t="shared" si="1795"/>
        <v>0</v>
      </c>
      <c r="CD486" s="161">
        <f t="shared" si="1796"/>
        <v>0</v>
      </c>
      <c r="CE486" s="161">
        <f t="shared" si="1797"/>
        <v>0</v>
      </c>
      <c r="CF486" s="161">
        <f t="shared" si="1798"/>
        <v>0</v>
      </c>
      <c r="CG486" s="161">
        <f t="shared" si="1799"/>
        <v>0</v>
      </c>
      <c r="CH486" s="161">
        <f t="shared" si="1800"/>
        <v>0</v>
      </c>
      <c r="CI486" s="161">
        <f t="shared" si="1801"/>
        <v>0</v>
      </c>
      <c r="CJ486" s="161">
        <f t="shared" si="1802"/>
        <v>0</v>
      </c>
      <c r="CK486" s="161">
        <f t="shared" si="1803"/>
        <v>0</v>
      </c>
      <c r="CL486" s="161">
        <f t="shared" si="1804"/>
        <v>0</v>
      </c>
      <c r="CM486" s="161">
        <f t="shared" si="1805"/>
        <v>0</v>
      </c>
      <c r="CN486" s="161">
        <f t="shared" si="1806"/>
        <v>0</v>
      </c>
      <c r="CO486" s="161">
        <f t="shared" si="1807"/>
        <v>0</v>
      </c>
      <c r="CP486" s="161">
        <f t="shared" si="1808"/>
        <v>0</v>
      </c>
      <c r="CQ486" s="161">
        <f t="shared" si="1809"/>
        <v>0</v>
      </c>
      <c r="CR486" s="161">
        <f t="shared" si="1810"/>
        <v>0</v>
      </c>
      <c r="CS486" s="161">
        <f t="shared" si="1811"/>
        <v>0</v>
      </c>
      <c r="CT486" s="161">
        <f t="shared" si="1812"/>
        <v>0</v>
      </c>
      <c r="CU486" s="161">
        <f t="shared" si="1813"/>
        <v>0</v>
      </c>
      <c r="CV486" s="161">
        <f t="shared" si="1814"/>
        <v>0</v>
      </c>
      <c r="CW486" s="161">
        <f t="shared" si="1815"/>
        <v>0</v>
      </c>
      <c r="CX486" s="161">
        <f t="shared" si="1816"/>
        <v>0</v>
      </c>
      <c r="CY486" s="161">
        <f t="shared" si="1817"/>
        <v>0</v>
      </c>
      <c r="CZ486" s="161">
        <f t="shared" si="1818"/>
        <v>0</v>
      </c>
      <c r="DA486" s="161">
        <f t="shared" si="1819"/>
        <v>0</v>
      </c>
      <c r="DB486" s="161">
        <f t="shared" si="1820"/>
        <v>0</v>
      </c>
      <c r="DC486" s="161">
        <f t="shared" si="1821"/>
        <v>0</v>
      </c>
      <c r="DD486" s="161">
        <f t="shared" si="1822"/>
        <v>0</v>
      </c>
      <c r="DE486" s="161">
        <f t="shared" si="1823"/>
        <v>0</v>
      </c>
      <c r="DF486" s="161">
        <f t="shared" si="1824"/>
        <v>0</v>
      </c>
      <c r="DG486" s="161">
        <f t="shared" si="1825"/>
        <v>0</v>
      </c>
      <c r="DH486" s="161">
        <f t="shared" si="1826"/>
        <v>0</v>
      </c>
      <c r="DI486" s="161">
        <f t="shared" si="1827"/>
        <v>0</v>
      </c>
      <c r="DJ486" s="161">
        <f t="shared" si="1828"/>
        <v>0</v>
      </c>
      <c r="DK486" s="161">
        <f t="shared" si="1829"/>
        <v>0</v>
      </c>
      <c r="DL486" s="161">
        <f t="shared" si="1830"/>
        <v>0</v>
      </c>
      <c r="DM486" s="161">
        <f t="shared" si="1831"/>
        <v>0</v>
      </c>
      <c r="DN486" s="161">
        <f t="shared" si="1832"/>
        <v>0</v>
      </c>
      <c r="DO486" s="161">
        <f t="shared" si="1833"/>
        <v>0</v>
      </c>
      <c r="DP486" s="161">
        <f t="shared" si="1834"/>
        <v>0</v>
      </c>
      <c r="DQ486" s="161">
        <f t="shared" si="1835"/>
        <v>0</v>
      </c>
      <c r="DR486" s="161">
        <f t="shared" si="1836"/>
        <v>0</v>
      </c>
      <c r="DS486" s="161">
        <f t="shared" si="1837"/>
        <v>0</v>
      </c>
      <c r="DT486" s="161">
        <f t="shared" si="1838"/>
        <v>0</v>
      </c>
      <c r="DU486" s="161">
        <f t="shared" si="1839"/>
        <v>0</v>
      </c>
      <c r="DV486" s="161">
        <f t="shared" si="1840"/>
        <v>0</v>
      </c>
      <c r="DW486" s="161">
        <f t="shared" si="1841"/>
        <v>0</v>
      </c>
      <c r="DX486" s="161">
        <f t="shared" si="1842"/>
        <v>0</v>
      </c>
      <c r="DY486" s="161">
        <f t="shared" si="1843"/>
        <v>0</v>
      </c>
      <c r="DZ486" s="161">
        <f t="shared" si="1844"/>
        <v>0</v>
      </c>
      <c r="EA486" s="161">
        <f t="shared" si="1845"/>
        <v>0</v>
      </c>
      <c r="EB486" s="161">
        <f t="shared" si="1846"/>
        <v>0</v>
      </c>
      <c r="EC486" s="161">
        <f t="shared" si="1847"/>
        <v>0</v>
      </c>
      <c r="ED486" s="161">
        <f t="shared" si="1848"/>
        <v>0</v>
      </c>
      <c r="EE486" s="161">
        <f t="shared" si="1849"/>
        <v>0</v>
      </c>
      <c r="EF486" s="161">
        <f t="shared" si="1850"/>
        <v>0</v>
      </c>
      <c r="EG486" s="161">
        <f t="shared" si="1851"/>
        <v>0</v>
      </c>
      <c r="EH486" s="161">
        <f t="shared" si="1852"/>
        <v>0</v>
      </c>
      <c r="EI486" s="161">
        <f t="shared" si="1853"/>
        <v>0</v>
      </c>
      <c r="EJ486" s="65"/>
      <c r="EK486" s="161">
        <f t="shared" si="1854"/>
        <v>0</v>
      </c>
      <c r="EL486" s="161">
        <f t="shared" si="1855"/>
        <v>0</v>
      </c>
      <c r="EM486" s="161">
        <f t="shared" si="1856"/>
        <v>0</v>
      </c>
    </row>
    <row r="487" spans="1:143" ht="12" hidden="1" customHeight="1" outlineLevel="2">
      <c r="A487" s="77">
        <v>11</v>
      </c>
      <c r="B487" s="137" t="str">
        <f t="shared" si="1784"/>
        <v>AN PL. ADM/CRP - Equipe_01</v>
      </c>
      <c r="C487" s="65"/>
      <c r="D487" s="621"/>
      <c r="E487" s="65"/>
      <c r="F487" s="584"/>
      <c r="G487" s="77" t="str">
        <f>IF(INDEX(Tarefas!$BT$30:$FK$30,MATCH(A487,Tarefas!$BT$28:$FK$28,0))=0,"",INDEX(Tarefas!$BT$30:$FK$30,MATCH(A487,Tarefas!$BT$28:$FK$28,0)))</f>
        <v>AN PL. ADM/CRP</v>
      </c>
      <c r="H487" s="107" cm="1">
        <f t="array" ref="H487">IFERROR((SUMPRODUCT((Tarefas!$N$32:$N$54='Cronog. e Histog.'!$F$477)*(Tarefas!$BQ$30:$FK$30='Cronog. e Histog.'!$G487)*(Tarefas!$BQ$32:$FK$54)))/SUMIF(Tarefas!$N$32:$N$54,'Cronog. e Histog.'!$F$477,Tarefas!$K$32:$K$54),0)</f>
        <v>0</v>
      </c>
      <c r="I487" s="79">
        <f t="shared" si="1785"/>
        <v>0</v>
      </c>
      <c r="J487" s="65"/>
      <c r="K487" s="160">
        <f t="shared" si="1786"/>
        <v>0</v>
      </c>
      <c r="L487" s="160">
        <f t="shared" si="1786"/>
        <v>0</v>
      </c>
      <c r="M487" s="160">
        <f t="shared" si="1786"/>
        <v>0</v>
      </c>
      <c r="N487" s="160">
        <f t="shared" si="1786"/>
        <v>0</v>
      </c>
      <c r="O487" s="160">
        <f t="shared" si="1786"/>
        <v>0</v>
      </c>
      <c r="P487" s="160">
        <f t="shared" si="1786"/>
        <v>0</v>
      </c>
      <c r="Q487" s="160">
        <f t="shared" si="1786"/>
        <v>0</v>
      </c>
      <c r="R487" s="160">
        <f t="shared" si="1786"/>
        <v>0</v>
      </c>
      <c r="S487" s="160">
        <f t="shared" si="1786"/>
        <v>0</v>
      </c>
      <c r="T487" s="160">
        <f t="shared" si="1786"/>
        <v>0</v>
      </c>
      <c r="U487" s="160">
        <f t="shared" si="1786"/>
        <v>0</v>
      </c>
      <c r="V487" s="160">
        <f t="shared" si="1786"/>
        <v>0</v>
      </c>
      <c r="W487" s="160">
        <f t="shared" si="1786"/>
        <v>0</v>
      </c>
      <c r="X487" s="160">
        <f t="shared" si="1786"/>
        <v>0</v>
      </c>
      <c r="Y487" s="160">
        <f t="shared" si="1786"/>
        <v>0</v>
      </c>
      <c r="Z487" s="160">
        <f t="shared" si="1786"/>
        <v>0</v>
      </c>
      <c r="AA487" s="160">
        <f t="shared" si="1787"/>
        <v>0</v>
      </c>
      <c r="AB487" s="160">
        <f t="shared" si="1787"/>
        <v>0</v>
      </c>
      <c r="AC487" s="160">
        <f t="shared" si="1787"/>
        <v>0</v>
      </c>
      <c r="AD487" s="160">
        <f t="shared" si="1787"/>
        <v>0</v>
      </c>
      <c r="AE487" s="160">
        <f t="shared" si="1787"/>
        <v>0</v>
      </c>
      <c r="AF487" s="160">
        <f t="shared" si="1787"/>
        <v>0</v>
      </c>
      <c r="AG487" s="160">
        <f t="shared" si="1787"/>
        <v>0</v>
      </c>
      <c r="AH487" s="160">
        <f t="shared" si="1787"/>
        <v>0</v>
      </c>
      <c r="AI487" s="160">
        <f t="shared" si="1787"/>
        <v>0</v>
      </c>
      <c r="AJ487" s="160">
        <f t="shared" si="1787"/>
        <v>0</v>
      </c>
      <c r="AK487" s="160">
        <f t="shared" si="1787"/>
        <v>0</v>
      </c>
      <c r="AL487" s="160">
        <f t="shared" si="1787"/>
        <v>0</v>
      </c>
      <c r="AM487" s="160">
        <f t="shared" si="1787"/>
        <v>0</v>
      </c>
      <c r="AN487" s="160">
        <f t="shared" si="1787"/>
        <v>0</v>
      </c>
      <c r="AO487" s="160">
        <f t="shared" si="1787"/>
        <v>0</v>
      </c>
      <c r="AP487" s="160">
        <f t="shared" si="1787"/>
        <v>0</v>
      </c>
      <c r="AQ487" s="160">
        <f t="shared" si="1788"/>
        <v>0</v>
      </c>
      <c r="AR487" s="160">
        <f t="shared" si="1788"/>
        <v>0</v>
      </c>
      <c r="AS487" s="160">
        <f t="shared" si="1788"/>
        <v>0</v>
      </c>
      <c r="AT487" s="160">
        <f t="shared" si="1788"/>
        <v>0</v>
      </c>
      <c r="AU487" s="160">
        <f t="shared" si="1788"/>
        <v>0</v>
      </c>
      <c r="AV487" s="160">
        <f t="shared" si="1788"/>
        <v>0</v>
      </c>
      <c r="AW487" s="160">
        <f t="shared" si="1788"/>
        <v>0</v>
      </c>
      <c r="AX487" s="160">
        <f t="shared" si="1788"/>
        <v>0</v>
      </c>
      <c r="AY487" s="160">
        <f t="shared" si="1788"/>
        <v>0</v>
      </c>
      <c r="AZ487" s="160">
        <f t="shared" si="1788"/>
        <v>0</v>
      </c>
      <c r="BA487" s="160">
        <f t="shared" si="1788"/>
        <v>0</v>
      </c>
      <c r="BB487" s="160">
        <f t="shared" si="1788"/>
        <v>0</v>
      </c>
      <c r="BC487" s="160">
        <f t="shared" si="1788"/>
        <v>0</v>
      </c>
      <c r="BD487" s="160">
        <f t="shared" si="1788"/>
        <v>0</v>
      </c>
      <c r="BE487" s="160">
        <f t="shared" si="1788"/>
        <v>0</v>
      </c>
      <c r="BF487" s="160">
        <f t="shared" si="1788"/>
        <v>0</v>
      </c>
      <c r="BG487" s="160">
        <f t="shared" si="1789"/>
        <v>0</v>
      </c>
      <c r="BH487" s="160">
        <f t="shared" si="1789"/>
        <v>0</v>
      </c>
      <c r="BI487" s="160">
        <f t="shared" si="1789"/>
        <v>0</v>
      </c>
      <c r="BJ487" s="160">
        <f t="shared" si="1789"/>
        <v>0</v>
      </c>
      <c r="BK487" s="160">
        <f t="shared" si="1789"/>
        <v>0</v>
      </c>
      <c r="BL487" s="160">
        <f t="shared" si="1789"/>
        <v>0</v>
      </c>
      <c r="BM487" s="160">
        <f t="shared" si="1789"/>
        <v>0</v>
      </c>
      <c r="BN487" s="160">
        <f t="shared" si="1789"/>
        <v>0</v>
      </c>
      <c r="BO487" s="160">
        <f t="shared" si="1789"/>
        <v>0</v>
      </c>
      <c r="BP487" s="160">
        <f t="shared" si="1789"/>
        <v>0</v>
      </c>
      <c r="BQ487" s="160">
        <f t="shared" si="1789"/>
        <v>0</v>
      </c>
      <c r="BR487" s="160">
        <f t="shared" si="1789"/>
        <v>0</v>
      </c>
      <c r="BS487" s="65"/>
      <c r="BT487" s="160">
        <f t="shared" si="1790"/>
        <v>0</v>
      </c>
      <c r="BU487" s="160">
        <f t="shared" si="1791"/>
        <v>0</v>
      </c>
      <c r="BV487" s="65"/>
      <c r="BW487" s="69"/>
      <c r="BX487" s="65"/>
      <c r="BY487" s="137">
        <f t="shared" si="1792"/>
        <v>1</v>
      </c>
      <c r="BZ487" s="137">
        <f>IF(BY487&gt;0,BY487+LARGE($BZ$213:BZ486,1),0)</f>
        <v>231</v>
      </c>
      <c r="CA487" s="137" t="str">
        <f t="shared" si="1793"/>
        <v>AN PL. ADM/CRP</v>
      </c>
      <c r="CB487" s="161">
        <f t="shared" si="1794"/>
        <v>0</v>
      </c>
      <c r="CC487" s="161">
        <f t="shared" si="1795"/>
        <v>0</v>
      </c>
      <c r="CD487" s="161">
        <f t="shared" si="1796"/>
        <v>0</v>
      </c>
      <c r="CE487" s="161">
        <f t="shared" si="1797"/>
        <v>0</v>
      </c>
      <c r="CF487" s="161">
        <f t="shared" si="1798"/>
        <v>0</v>
      </c>
      <c r="CG487" s="161">
        <f t="shared" si="1799"/>
        <v>0</v>
      </c>
      <c r="CH487" s="161">
        <f t="shared" si="1800"/>
        <v>0</v>
      </c>
      <c r="CI487" s="161">
        <f t="shared" si="1801"/>
        <v>0</v>
      </c>
      <c r="CJ487" s="161">
        <f t="shared" si="1802"/>
        <v>0</v>
      </c>
      <c r="CK487" s="161">
        <f t="shared" si="1803"/>
        <v>0</v>
      </c>
      <c r="CL487" s="161">
        <f t="shared" si="1804"/>
        <v>0</v>
      </c>
      <c r="CM487" s="161">
        <f t="shared" si="1805"/>
        <v>0</v>
      </c>
      <c r="CN487" s="161">
        <f t="shared" si="1806"/>
        <v>0</v>
      </c>
      <c r="CO487" s="161">
        <f t="shared" si="1807"/>
        <v>0</v>
      </c>
      <c r="CP487" s="161">
        <f t="shared" si="1808"/>
        <v>0</v>
      </c>
      <c r="CQ487" s="161">
        <f t="shared" si="1809"/>
        <v>0</v>
      </c>
      <c r="CR487" s="161">
        <f t="shared" si="1810"/>
        <v>0</v>
      </c>
      <c r="CS487" s="161">
        <f t="shared" si="1811"/>
        <v>0</v>
      </c>
      <c r="CT487" s="161">
        <f t="shared" si="1812"/>
        <v>0</v>
      </c>
      <c r="CU487" s="161">
        <f t="shared" si="1813"/>
        <v>0</v>
      </c>
      <c r="CV487" s="161">
        <f t="shared" si="1814"/>
        <v>0</v>
      </c>
      <c r="CW487" s="161">
        <f t="shared" si="1815"/>
        <v>0</v>
      </c>
      <c r="CX487" s="161">
        <f t="shared" si="1816"/>
        <v>0</v>
      </c>
      <c r="CY487" s="161">
        <f t="shared" si="1817"/>
        <v>0</v>
      </c>
      <c r="CZ487" s="161">
        <f t="shared" si="1818"/>
        <v>0</v>
      </c>
      <c r="DA487" s="161">
        <f t="shared" si="1819"/>
        <v>0</v>
      </c>
      <c r="DB487" s="161">
        <f t="shared" si="1820"/>
        <v>0</v>
      </c>
      <c r="DC487" s="161">
        <f t="shared" si="1821"/>
        <v>0</v>
      </c>
      <c r="DD487" s="161">
        <f t="shared" si="1822"/>
        <v>0</v>
      </c>
      <c r="DE487" s="161">
        <f t="shared" si="1823"/>
        <v>0</v>
      </c>
      <c r="DF487" s="161">
        <f t="shared" si="1824"/>
        <v>0</v>
      </c>
      <c r="DG487" s="161">
        <f t="shared" si="1825"/>
        <v>0</v>
      </c>
      <c r="DH487" s="161">
        <f t="shared" si="1826"/>
        <v>0</v>
      </c>
      <c r="DI487" s="161">
        <f t="shared" si="1827"/>
        <v>0</v>
      </c>
      <c r="DJ487" s="161">
        <f t="shared" si="1828"/>
        <v>0</v>
      </c>
      <c r="DK487" s="161">
        <f t="shared" si="1829"/>
        <v>0</v>
      </c>
      <c r="DL487" s="161">
        <f t="shared" si="1830"/>
        <v>0</v>
      </c>
      <c r="DM487" s="161">
        <f t="shared" si="1831"/>
        <v>0</v>
      </c>
      <c r="DN487" s="161">
        <f t="shared" si="1832"/>
        <v>0</v>
      </c>
      <c r="DO487" s="161">
        <f t="shared" si="1833"/>
        <v>0</v>
      </c>
      <c r="DP487" s="161">
        <f t="shared" si="1834"/>
        <v>0</v>
      </c>
      <c r="DQ487" s="161">
        <f t="shared" si="1835"/>
        <v>0</v>
      </c>
      <c r="DR487" s="161">
        <f t="shared" si="1836"/>
        <v>0</v>
      </c>
      <c r="DS487" s="161">
        <f t="shared" si="1837"/>
        <v>0</v>
      </c>
      <c r="DT487" s="161">
        <f t="shared" si="1838"/>
        <v>0</v>
      </c>
      <c r="DU487" s="161">
        <f t="shared" si="1839"/>
        <v>0</v>
      </c>
      <c r="DV487" s="161">
        <f t="shared" si="1840"/>
        <v>0</v>
      </c>
      <c r="DW487" s="161">
        <f t="shared" si="1841"/>
        <v>0</v>
      </c>
      <c r="DX487" s="161">
        <f t="shared" si="1842"/>
        <v>0</v>
      </c>
      <c r="DY487" s="161">
        <f t="shared" si="1843"/>
        <v>0</v>
      </c>
      <c r="DZ487" s="161">
        <f t="shared" si="1844"/>
        <v>0</v>
      </c>
      <c r="EA487" s="161">
        <f t="shared" si="1845"/>
        <v>0</v>
      </c>
      <c r="EB487" s="161">
        <f t="shared" si="1846"/>
        <v>0</v>
      </c>
      <c r="EC487" s="161">
        <f t="shared" si="1847"/>
        <v>0</v>
      </c>
      <c r="ED487" s="161">
        <f t="shared" si="1848"/>
        <v>0</v>
      </c>
      <c r="EE487" s="161">
        <f t="shared" si="1849"/>
        <v>0</v>
      </c>
      <c r="EF487" s="161">
        <f t="shared" si="1850"/>
        <v>0</v>
      </c>
      <c r="EG487" s="161">
        <f t="shared" si="1851"/>
        <v>0</v>
      </c>
      <c r="EH487" s="161">
        <f t="shared" si="1852"/>
        <v>0</v>
      </c>
      <c r="EI487" s="161">
        <f t="shared" si="1853"/>
        <v>0</v>
      </c>
      <c r="EJ487" s="65"/>
      <c r="EK487" s="161">
        <f t="shared" si="1854"/>
        <v>0</v>
      </c>
      <c r="EL487" s="161">
        <f t="shared" si="1855"/>
        <v>0</v>
      </c>
      <c r="EM487" s="161">
        <f t="shared" si="1856"/>
        <v>0</v>
      </c>
    </row>
    <row r="488" spans="1:143" ht="12" hidden="1" customHeight="1" outlineLevel="2">
      <c r="A488" s="77">
        <v>12</v>
      </c>
      <c r="B488" s="137" t="str">
        <f t="shared" si="1784"/>
        <v>AN JR. ADM/CRP - Equipe_01</v>
      </c>
      <c r="C488" s="65"/>
      <c r="D488" s="622"/>
      <c r="E488" s="65"/>
      <c r="F488" s="584"/>
      <c r="G488" s="77" t="str">
        <f>IF(INDEX(Tarefas!$BT$30:$FK$30,MATCH(A488,Tarefas!$BT$28:$FK$28,0))=0,"",INDEX(Tarefas!$BT$30:$FK$30,MATCH(A488,Tarefas!$BT$28:$FK$28,0)))</f>
        <v>AN JR. ADM/CRP</v>
      </c>
      <c r="H488" s="107" cm="1">
        <f t="array" ref="H488">IFERROR((SUMPRODUCT((Tarefas!$N$32:$N$54='Cronog. e Histog.'!$F$477)*(Tarefas!$BQ$30:$FK$30='Cronog. e Histog.'!$G488)*(Tarefas!$BQ$32:$FK$54)))/SUMIF(Tarefas!$N$32:$N$54,'Cronog. e Histog.'!$F$477,Tarefas!$K$32:$K$54),0)</f>
        <v>0</v>
      </c>
      <c r="I488" s="79">
        <f t="shared" si="1785"/>
        <v>0</v>
      </c>
      <c r="J488" s="65"/>
      <c r="K488" s="160">
        <f t="shared" ref="K488:Z496" si="1857">ROUND($I488*K$194,2)</f>
        <v>0</v>
      </c>
      <c r="L488" s="160">
        <f t="shared" si="1857"/>
        <v>0</v>
      </c>
      <c r="M488" s="160">
        <f t="shared" si="1857"/>
        <v>0</v>
      </c>
      <c r="N488" s="160">
        <f t="shared" si="1857"/>
        <v>0</v>
      </c>
      <c r="O488" s="160">
        <f t="shared" si="1857"/>
        <v>0</v>
      </c>
      <c r="P488" s="160">
        <f t="shared" si="1857"/>
        <v>0</v>
      </c>
      <c r="Q488" s="160">
        <f t="shared" si="1857"/>
        <v>0</v>
      </c>
      <c r="R488" s="160">
        <f t="shared" si="1857"/>
        <v>0</v>
      </c>
      <c r="S488" s="160">
        <f t="shared" si="1857"/>
        <v>0</v>
      </c>
      <c r="T488" s="160">
        <f t="shared" si="1857"/>
        <v>0</v>
      </c>
      <c r="U488" s="160">
        <f t="shared" si="1857"/>
        <v>0</v>
      </c>
      <c r="V488" s="160">
        <f t="shared" si="1857"/>
        <v>0</v>
      </c>
      <c r="W488" s="160">
        <f t="shared" si="1857"/>
        <v>0</v>
      </c>
      <c r="X488" s="160">
        <f t="shared" si="1857"/>
        <v>0</v>
      </c>
      <c r="Y488" s="160">
        <f t="shared" si="1857"/>
        <v>0</v>
      </c>
      <c r="Z488" s="160">
        <f t="shared" si="1857"/>
        <v>0</v>
      </c>
      <c r="AA488" s="160">
        <f t="shared" si="1719"/>
        <v>0</v>
      </c>
      <c r="AB488" s="160">
        <f t="shared" si="1719"/>
        <v>0</v>
      </c>
      <c r="AC488" s="160">
        <f t="shared" si="1719"/>
        <v>0</v>
      </c>
      <c r="AD488" s="160">
        <f t="shared" si="1719"/>
        <v>0</v>
      </c>
      <c r="AE488" s="160">
        <f t="shared" si="1719"/>
        <v>0</v>
      </c>
      <c r="AF488" s="160">
        <f t="shared" si="1719"/>
        <v>0</v>
      </c>
      <c r="AG488" s="160">
        <f t="shared" si="1719"/>
        <v>0</v>
      </c>
      <c r="AH488" s="160">
        <f t="shared" si="1719"/>
        <v>0</v>
      </c>
      <c r="AI488" s="160">
        <f t="shared" si="1719"/>
        <v>0</v>
      </c>
      <c r="AJ488" s="160">
        <f t="shared" si="1719"/>
        <v>0</v>
      </c>
      <c r="AK488" s="160">
        <f t="shared" si="1719"/>
        <v>0</v>
      </c>
      <c r="AL488" s="160">
        <f t="shared" si="1719"/>
        <v>0</v>
      </c>
      <c r="AM488" s="160">
        <f t="shared" si="1719"/>
        <v>0</v>
      </c>
      <c r="AN488" s="160">
        <f t="shared" si="1719"/>
        <v>0</v>
      </c>
      <c r="AO488" s="160">
        <f t="shared" si="1719"/>
        <v>0</v>
      </c>
      <c r="AP488" s="160">
        <f t="shared" si="1719"/>
        <v>0</v>
      </c>
      <c r="AQ488" s="160">
        <f t="shared" si="1719"/>
        <v>0</v>
      </c>
      <c r="AR488" s="160">
        <f t="shared" si="1719"/>
        <v>0</v>
      </c>
      <c r="AS488" s="160">
        <f t="shared" si="1719"/>
        <v>0</v>
      </c>
      <c r="AT488" s="160">
        <f t="shared" si="1719"/>
        <v>0</v>
      </c>
      <c r="AU488" s="160">
        <f t="shared" si="1719"/>
        <v>0</v>
      </c>
      <c r="AV488" s="160">
        <f t="shared" si="1719"/>
        <v>0</v>
      </c>
      <c r="AW488" s="160">
        <f t="shared" si="1719"/>
        <v>0</v>
      </c>
      <c r="AX488" s="160">
        <f t="shared" si="1719"/>
        <v>0</v>
      </c>
      <c r="AY488" s="160">
        <f t="shared" si="1719"/>
        <v>0</v>
      </c>
      <c r="AZ488" s="160">
        <f t="shared" si="1719"/>
        <v>0</v>
      </c>
      <c r="BA488" s="160">
        <f t="shared" si="1719"/>
        <v>0</v>
      </c>
      <c r="BB488" s="160">
        <f t="shared" si="1719"/>
        <v>0</v>
      </c>
      <c r="BC488" s="160">
        <f t="shared" si="1719"/>
        <v>0</v>
      </c>
      <c r="BD488" s="160">
        <f t="shared" si="1719"/>
        <v>0</v>
      </c>
      <c r="BE488" s="160">
        <f t="shared" si="1719"/>
        <v>0</v>
      </c>
      <c r="BF488" s="160">
        <f t="shared" si="1719"/>
        <v>0</v>
      </c>
      <c r="BG488" s="160">
        <f t="shared" si="1719"/>
        <v>0</v>
      </c>
      <c r="BH488" s="160">
        <f t="shared" si="1719"/>
        <v>0</v>
      </c>
      <c r="BI488" s="160">
        <f t="shared" si="1719"/>
        <v>0</v>
      </c>
      <c r="BJ488" s="160">
        <f t="shared" si="1719"/>
        <v>0</v>
      </c>
      <c r="BK488" s="160">
        <f t="shared" si="1719"/>
        <v>0</v>
      </c>
      <c r="BL488" s="160">
        <f t="shared" si="1719"/>
        <v>0</v>
      </c>
      <c r="BM488" s="160">
        <f t="shared" si="1719"/>
        <v>0</v>
      </c>
      <c r="BN488" s="160">
        <f t="shared" si="1719"/>
        <v>0</v>
      </c>
      <c r="BO488" s="160">
        <f t="shared" si="1719"/>
        <v>0</v>
      </c>
      <c r="BP488" s="160">
        <f t="shared" si="1719"/>
        <v>0</v>
      </c>
      <c r="BQ488" s="160">
        <f t="shared" si="1719"/>
        <v>0</v>
      </c>
      <c r="BR488" s="160">
        <f t="shared" si="1719"/>
        <v>0</v>
      </c>
      <c r="BS488" s="65"/>
      <c r="BT488" s="160">
        <f t="shared" si="1720"/>
        <v>0</v>
      </c>
      <c r="BU488" s="160">
        <f t="shared" si="1721"/>
        <v>0</v>
      </c>
      <c r="BV488" s="65"/>
      <c r="BW488" s="69"/>
      <c r="BX488" s="65"/>
      <c r="BY488" s="137">
        <f t="shared" si="1722"/>
        <v>1</v>
      </c>
      <c r="BZ488" s="137">
        <f>IF(BY488&gt;0,BY488+LARGE($BZ$213:BZ487,1),0)</f>
        <v>232</v>
      </c>
      <c r="CA488" s="137" t="str">
        <f t="shared" si="1723"/>
        <v>AN JR. ADM/CRP</v>
      </c>
      <c r="CB488" s="161">
        <f t="shared" si="1724"/>
        <v>0</v>
      </c>
      <c r="CC488" s="161">
        <f t="shared" si="1725"/>
        <v>0</v>
      </c>
      <c r="CD488" s="161">
        <f t="shared" si="1726"/>
        <v>0</v>
      </c>
      <c r="CE488" s="161">
        <f t="shared" si="1727"/>
        <v>0</v>
      </c>
      <c r="CF488" s="161">
        <f t="shared" si="1728"/>
        <v>0</v>
      </c>
      <c r="CG488" s="161">
        <f t="shared" si="1729"/>
        <v>0</v>
      </c>
      <c r="CH488" s="161">
        <f t="shared" si="1730"/>
        <v>0</v>
      </c>
      <c r="CI488" s="161">
        <f t="shared" si="1731"/>
        <v>0</v>
      </c>
      <c r="CJ488" s="161">
        <f t="shared" si="1732"/>
        <v>0</v>
      </c>
      <c r="CK488" s="161">
        <f t="shared" si="1733"/>
        <v>0</v>
      </c>
      <c r="CL488" s="161">
        <f t="shared" si="1734"/>
        <v>0</v>
      </c>
      <c r="CM488" s="161">
        <f t="shared" si="1735"/>
        <v>0</v>
      </c>
      <c r="CN488" s="161">
        <f t="shared" si="1736"/>
        <v>0</v>
      </c>
      <c r="CO488" s="161">
        <f t="shared" si="1737"/>
        <v>0</v>
      </c>
      <c r="CP488" s="161">
        <f t="shared" si="1738"/>
        <v>0</v>
      </c>
      <c r="CQ488" s="161">
        <f t="shared" si="1739"/>
        <v>0</v>
      </c>
      <c r="CR488" s="161">
        <f t="shared" si="1740"/>
        <v>0</v>
      </c>
      <c r="CS488" s="161">
        <f t="shared" si="1741"/>
        <v>0</v>
      </c>
      <c r="CT488" s="161">
        <f t="shared" si="1742"/>
        <v>0</v>
      </c>
      <c r="CU488" s="161">
        <f t="shared" si="1743"/>
        <v>0</v>
      </c>
      <c r="CV488" s="161">
        <f t="shared" si="1744"/>
        <v>0</v>
      </c>
      <c r="CW488" s="161">
        <f t="shared" si="1745"/>
        <v>0</v>
      </c>
      <c r="CX488" s="161">
        <f t="shared" si="1746"/>
        <v>0</v>
      </c>
      <c r="CY488" s="161">
        <f t="shared" si="1747"/>
        <v>0</v>
      </c>
      <c r="CZ488" s="161">
        <f t="shared" si="1748"/>
        <v>0</v>
      </c>
      <c r="DA488" s="161">
        <f t="shared" si="1749"/>
        <v>0</v>
      </c>
      <c r="DB488" s="161">
        <f t="shared" si="1750"/>
        <v>0</v>
      </c>
      <c r="DC488" s="161">
        <f t="shared" si="1751"/>
        <v>0</v>
      </c>
      <c r="DD488" s="161">
        <f t="shared" si="1752"/>
        <v>0</v>
      </c>
      <c r="DE488" s="161">
        <f t="shared" si="1753"/>
        <v>0</v>
      </c>
      <c r="DF488" s="161">
        <f t="shared" si="1754"/>
        <v>0</v>
      </c>
      <c r="DG488" s="161">
        <f t="shared" si="1755"/>
        <v>0</v>
      </c>
      <c r="DH488" s="161">
        <f t="shared" si="1756"/>
        <v>0</v>
      </c>
      <c r="DI488" s="161">
        <f t="shared" si="1757"/>
        <v>0</v>
      </c>
      <c r="DJ488" s="161">
        <f t="shared" si="1758"/>
        <v>0</v>
      </c>
      <c r="DK488" s="161">
        <f t="shared" si="1759"/>
        <v>0</v>
      </c>
      <c r="DL488" s="161">
        <f t="shared" si="1760"/>
        <v>0</v>
      </c>
      <c r="DM488" s="161">
        <f t="shared" si="1761"/>
        <v>0</v>
      </c>
      <c r="DN488" s="161">
        <f t="shared" si="1762"/>
        <v>0</v>
      </c>
      <c r="DO488" s="161">
        <f t="shared" si="1763"/>
        <v>0</v>
      </c>
      <c r="DP488" s="161">
        <f t="shared" si="1764"/>
        <v>0</v>
      </c>
      <c r="DQ488" s="161">
        <f t="shared" si="1765"/>
        <v>0</v>
      </c>
      <c r="DR488" s="161">
        <f t="shared" si="1766"/>
        <v>0</v>
      </c>
      <c r="DS488" s="161">
        <f t="shared" si="1767"/>
        <v>0</v>
      </c>
      <c r="DT488" s="161">
        <f t="shared" si="1768"/>
        <v>0</v>
      </c>
      <c r="DU488" s="161">
        <f t="shared" si="1769"/>
        <v>0</v>
      </c>
      <c r="DV488" s="161">
        <f t="shared" si="1770"/>
        <v>0</v>
      </c>
      <c r="DW488" s="161">
        <f t="shared" si="1771"/>
        <v>0</v>
      </c>
      <c r="DX488" s="161">
        <f t="shared" si="1772"/>
        <v>0</v>
      </c>
      <c r="DY488" s="161">
        <f t="shared" si="1773"/>
        <v>0</v>
      </c>
      <c r="DZ488" s="161">
        <f t="shared" si="1774"/>
        <v>0</v>
      </c>
      <c r="EA488" s="161">
        <f t="shared" si="1775"/>
        <v>0</v>
      </c>
      <c r="EB488" s="161">
        <f t="shared" si="1776"/>
        <v>0</v>
      </c>
      <c r="EC488" s="161">
        <f t="shared" si="1777"/>
        <v>0</v>
      </c>
      <c r="ED488" s="161">
        <f t="shared" si="1778"/>
        <v>0</v>
      </c>
      <c r="EE488" s="161">
        <f t="shared" si="1779"/>
        <v>0</v>
      </c>
      <c r="EF488" s="161">
        <f t="shared" si="1780"/>
        <v>0</v>
      </c>
      <c r="EG488" s="161">
        <f t="shared" si="1781"/>
        <v>0</v>
      </c>
      <c r="EH488" s="161">
        <f t="shared" si="1782"/>
        <v>0</v>
      </c>
      <c r="EI488" s="161">
        <f t="shared" si="1783"/>
        <v>0</v>
      </c>
      <c r="EJ488" s="65"/>
      <c r="EK488" s="161">
        <f t="shared" si="1854"/>
        <v>0</v>
      </c>
      <c r="EL488" s="161">
        <f t="shared" si="1855"/>
        <v>0</v>
      </c>
      <c r="EM488" s="161">
        <f t="shared" si="1856"/>
        <v>0</v>
      </c>
    </row>
    <row r="489" spans="1:143" ht="12" hidden="1" customHeight="1" outlineLevel="2">
      <c r="A489" s="77">
        <v>13</v>
      </c>
      <c r="B489" s="137" t="str">
        <f t="shared" si="1784"/>
        <v>TEC III - Equipe_01</v>
      </c>
      <c r="C489" s="65"/>
      <c r="D489" s="622"/>
      <c r="E489" s="65"/>
      <c r="F489" s="584"/>
      <c r="G489" s="77" t="str">
        <f>IF(INDEX(Tarefas!$BT$30:$FK$30,MATCH(A489,Tarefas!$BT$28:$FK$28,0))=0,"",INDEX(Tarefas!$BT$30:$FK$30,MATCH(A489,Tarefas!$BT$28:$FK$28,0)))</f>
        <v>TEC III</v>
      </c>
      <c r="H489" s="107" cm="1">
        <f t="array" ref="H489">IFERROR((SUMPRODUCT((Tarefas!$N$32:$N$54='Cronog. e Histog.'!$F$477)*(Tarefas!$BQ$30:$FK$30='Cronog. e Histog.'!$G489)*(Tarefas!$BQ$32:$FK$54)))/SUMIF(Tarefas!$N$32:$N$54,'Cronog. e Histog.'!$F$477,Tarefas!$K$32:$K$54),0)</f>
        <v>0</v>
      </c>
      <c r="I489" s="79">
        <f t="shared" si="1785"/>
        <v>0</v>
      </c>
      <c r="J489" s="65"/>
      <c r="K489" s="160">
        <f t="shared" si="1857"/>
        <v>0</v>
      </c>
      <c r="L489" s="160">
        <f t="shared" si="1719"/>
        <v>0</v>
      </c>
      <c r="M489" s="160">
        <f t="shared" si="1719"/>
        <v>0</v>
      </c>
      <c r="N489" s="160">
        <f t="shared" si="1719"/>
        <v>0</v>
      </c>
      <c r="O489" s="160">
        <f t="shared" si="1719"/>
        <v>0</v>
      </c>
      <c r="P489" s="160">
        <f t="shared" si="1719"/>
        <v>0</v>
      </c>
      <c r="Q489" s="160">
        <f t="shared" si="1719"/>
        <v>0</v>
      </c>
      <c r="R489" s="160">
        <f t="shared" si="1719"/>
        <v>0</v>
      </c>
      <c r="S489" s="160">
        <f t="shared" si="1719"/>
        <v>0</v>
      </c>
      <c r="T489" s="160">
        <f t="shared" si="1719"/>
        <v>0</v>
      </c>
      <c r="U489" s="160">
        <f t="shared" si="1719"/>
        <v>0</v>
      </c>
      <c r="V489" s="160">
        <f t="shared" si="1719"/>
        <v>0</v>
      </c>
      <c r="W489" s="160">
        <f t="shared" si="1719"/>
        <v>0</v>
      </c>
      <c r="X489" s="160">
        <f t="shared" si="1719"/>
        <v>0</v>
      </c>
      <c r="Y489" s="160">
        <f t="shared" si="1719"/>
        <v>0</v>
      </c>
      <c r="Z489" s="160">
        <f t="shared" si="1719"/>
        <v>0</v>
      </c>
      <c r="AA489" s="160">
        <f t="shared" si="1719"/>
        <v>0</v>
      </c>
      <c r="AB489" s="160">
        <f t="shared" si="1719"/>
        <v>0</v>
      </c>
      <c r="AC489" s="160">
        <f t="shared" si="1719"/>
        <v>0</v>
      </c>
      <c r="AD489" s="160">
        <f t="shared" si="1719"/>
        <v>0</v>
      </c>
      <c r="AE489" s="160">
        <f t="shared" si="1719"/>
        <v>0</v>
      </c>
      <c r="AF489" s="160">
        <f t="shared" si="1719"/>
        <v>0</v>
      </c>
      <c r="AG489" s="160">
        <f t="shared" si="1719"/>
        <v>0</v>
      </c>
      <c r="AH489" s="160">
        <f t="shared" si="1719"/>
        <v>0</v>
      </c>
      <c r="AI489" s="160">
        <f t="shared" si="1719"/>
        <v>0</v>
      </c>
      <c r="AJ489" s="160">
        <f t="shared" si="1719"/>
        <v>0</v>
      </c>
      <c r="AK489" s="160">
        <f t="shared" si="1719"/>
        <v>0</v>
      </c>
      <c r="AL489" s="160">
        <f t="shared" si="1719"/>
        <v>0</v>
      </c>
      <c r="AM489" s="160">
        <f t="shared" si="1719"/>
        <v>0</v>
      </c>
      <c r="AN489" s="160">
        <f t="shared" si="1719"/>
        <v>0</v>
      </c>
      <c r="AO489" s="160">
        <f t="shared" si="1719"/>
        <v>0</v>
      </c>
      <c r="AP489" s="160">
        <f t="shared" si="1719"/>
        <v>0</v>
      </c>
      <c r="AQ489" s="160">
        <f t="shared" si="1719"/>
        <v>0</v>
      </c>
      <c r="AR489" s="160">
        <f t="shared" si="1719"/>
        <v>0</v>
      </c>
      <c r="AS489" s="160">
        <f t="shared" si="1719"/>
        <v>0</v>
      </c>
      <c r="AT489" s="160">
        <f t="shared" si="1719"/>
        <v>0</v>
      </c>
      <c r="AU489" s="160">
        <f t="shared" si="1719"/>
        <v>0</v>
      </c>
      <c r="AV489" s="160">
        <f t="shared" si="1719"/>
        <v>0</v>
      </c>
      <c r="AW489" s="160">
        <f t="shared" si="1719"/>
        <v>0</v>
      </c>
      <c r="AX489" s="160">
        <f t="shared" si="1719"/>
        <v>0</v>
      </c>
      <c r="AY489" s="160">
        <f t="shared" si="1719"/>
        <v>0</v>
      </c>
      <c r="AZ489" s="160">
        <f t="shared" si="1719"/>
        <v>0</v>
      </c>
      <c r="BA489" s="160">
        <f t="shared" si="1719"/>
        <v>0</v>
      </c>
      <c r="BB489" s="160">
        <f t="shared" si="1719"/>
        <v>0</v>
      </c>
      <c r="BC489" s="160">
        <f t="shared" si="1719"/>
        <v>0</v>
      </c>
      <c r="BD489" s="160">
        <f t="shared" si="1719"/>
        <v>0</v>
      </c>
      <c r="BE489" s="160">
        <f t="shared" si="1719"/>
        <v>0</v>
      </c>
      <c r="BF489" s="160">
        <f t="shared" si="1719"/>
        <v>0</v>
      </c>
      <c r="BG489" s="160">
        <f t="shared" si="1719"/>
        <v>0</v>
      </c>
      <c r="BH489" s="160">
        <f t="shared" si="1719"/>
        <v>0</v>
      </c>
      <c r="BI489" s="160">
        <f t="shared" si="1719"/>
        <v>0</v>
      </c>
      <c r="BJ489" s="160">
        <f t="shared" si="1719"/>
        <v>0</v>
      </c>
      <c r="BK489" s="160">
        <f t="shared" si="1719"/>
        <v>0</v>
      </c>
      <c r="BL489" s="160">
        <f t="shared" si="1719"/>
        <v>0</v>
      </c>
      <c r="BM489" s="160">
        <f t="shared" si="1719"/>
        <v>0</v>
      </c>
      <c r="BN489" s="160">
        <f t="shared" si="1719"/>
        <v>0</v>
      </c>
      <c r="BO489" s="160">
        <f t="shared" si="1719"/>
        <v>0</v>
      </c>
      <c r="BP489" s="160">
        <f t="shared" si="1719"/>
        <v>0</v>
      </c>
      <c r="BQ489" s="160">
        <f t="shared" si="1719"/>
        <v>0</v>
      </c>
      <c r="BR489" s="160">
        <f t="shared" si="1719"/>
        <v>0</v>
      </c>
      <c r="BS489" s="65"/>
      <c r="BT489" s="160">
        <f t="shared" si="1720"/>
        <v>0</v>
      </c>
      <c r="BU489" s="160">
        <f t="shared" si="1721"/>
        <v>0</v>
      </c>
      <c r="BV489" s="65"/>
      <c r="BW489" s="69"/>
      <c r="BX489" s="65"/>
      <c r="BY489" s="137">
        <f t="shared" si="1722"/>
        <v>1</v>
      </c>
      <c r="BZ489" s="137">
        <f>IF(BY489&gt;0,BY489+LARGE($BZ$213:BZ488,1),0)</f>
        <v>233</v>
      </c>
      <c r="CA489" s="137" t="str">
        <f t="shared" si="1723"/>
        <v>TEC III</v>
      </c>
      <c r="CB489" s="161">
        <f t="shared" si="1724"/>
        <v>0</v>
      </c>
      <c r="CC489" s="161">
        <f t="shared" si="1725"/>
        <v>0</v>
      </c>
      <c r="CD489" s="161">
        <f t="shared" si="1726"/>
        <v>0</v>
      </c>
      <c r="CE489" s="161">
        <f t="shared" si="1727"/>
        <v>0</v>
      </c>
      <c r="CF489" s="161">
        <f t="shared" si="1728"/>
        <v>0</v>
      </c>
      <c r="CG489" s="161">
        <f t="shared" si="1729"/>
        <v>0</v>
      </c>
      <c r="CH489" s="161">
        <f t="shared" si="1730"/>
        <v>0</v>
      </c>
      <c r="CI489" s="161">
        <f t="shared" si="1731"/>
        <v>0</v>
      </c>
      <c r="CJ489" s="161">
        <f t="shared" si="1732"/>
        <v>0</v>
      </c>
      <c r="CK489" s="161">
        <f t="shared" si="1733"/>
        <v>0</v>
      </c>
      <c r="CL489" s="161">
        <f t="shared" si="1734"/>
        <v>0</v>
      </c>
      <c r="CM489" s="161">
        <f t="shared" si="1735"/>
        <v>0</v>
      </c>
      <c r="CN489" s="161">
        <f t="shared" si="1736"/>
        <v>0</v>
      </c>
      <c r="CO489" s="161">
        <f t="shared" si="1737"/>
        <v>0</v>
      </c>
      <c r="CP489" s="161">
        <f t="shared" si="1738"/>
        <v>0</v>
      </c>
      <c r="CQ489" s="161">
        <f t="shared" si="1739"/>
        <v>0</v>
      </c>
      <c r="CR489" s="161">
        <f t="shared" si="1740"/>
        <v>0</v>
      </c>
      <c r="CS489" s="161">
        <f t="shared" si="1741"/>
        <v>0</v>
      </c>
      <c r="CT489" s="161">
        <f t="shared" si="1742"/>
        <v>0</v>
      </c>
      <c r="CU489" s="161">
        <f t="shared" si="1743"/>
        <v>0</v>
      </c>
      <c r="CV489" s="161">
        <f t="shared" si="1744"/>
        <v>0</v>
      </c>
      <c r="CW489" s="161">
        <f t="shared" si="1745"/>
        <v>0</v>
      </c>
      <c r="CX489" s="161">
        <f t="shared" si="1746"/>
        <v>0</v>
      </c>
      <c r="CY489" s="161">
        <f t="shared" si="1747"/>
        <v>0</v>
      </c>
      <c r="CZ489" s="161">
        <f t="shared" si="1748"/>
        <v>0</v>
      </c>
      <c r="DA489" s="161">
        <f t="shared" si="1749"/>
        <v>0</v>
      </c>
      <c r="DB489" s="161">
        <f t="shared" si="1750"/>
        <v>0</v>
      </c>
      <c r="DC489" s="161">
        <f t="shared" si="1751"/>
        <v>0</v>
      </c>
      <c r="DD489" s="161">
        <f t="shared" si="1752"/>
        <v>0</v>
      </c>
      <c r="DE489" s="161">
        <f t="shared" si="1753"/>
        <v>0</v>
      </c>
      <c r="DF489" s="161">
        <f t="shared" si="1754"/>
        <v>0</v>
      </c>
      <c r="DG489" s="161">
        <f t="shared" si="1755"/>
        <v>0</v>
      </c>
      <c r="DH489" s="161">
        <f t="shared" si="1756"/>
        <v>0</v>
      </c>
      <c r="DI489" s="161">
        <f t="shared" si="1757"/>
        <v>0</v>
      </c>
      <c r="DJ489" s="161">
        <f t="shared" si="1758"/>
        <v>0</v>
      </c>
      <c r="DK489" s="161">
        <f t="shared" si="1759"/>
        <v>0</v>
      </c>
      <c r="DL489" s="161">
        <f t="shared" si="1760"/>
        <v>0</v>
      </c>
      <c r="DM489" s="161">
        <f t="shared" si="1761"/>
        <v>0</v>
      </c>
      <c r="DN489" s="161">
        <f t="shared" si="1762"/>
        <v>0</v>
      </c>
      <c r="DO489" s="161">
        <f t="shared" si="1763"/>
        <v>0</v>
      </c>
      <c r="DP489" s="161">
        <f t="shared" si="1764"/>
        <v>0</v>
      </c>
      <c r="DQ489" s="161">
        <f t="shared" si="1765"/>
        <v>0</v>
      </c>
      <c r="DR489" s="161">
        <f t="shared" si="1766"/>
        <v>0</v>
      </c>
      <c r="DS489" s="161">
        <f t="shared" si="1767"/>
        <v>0</v>
      </c>
      <c r="DT489" s="161">
        <f t="shared" si="1768"/>
        <v>0</v>
      </c>
      <c r="DU489" s="161">
        <f t="shared" si="1769"/>
        <v>0</v>
      </c>
      <c r="DV489" s="161">
        <f t="shared" si="1770"/>
        <v>0</v>
      </c>
      <c r="DW489" s="161">
        <f t="shared" si="1771"/>
        <v>0</v>
      </c>
      <c r="DX489" s="161">
        <f t="shared" si="1772"/>
        <v>0</v>
      </c>
      <c r="DY489" s="161">
        <f t="shared" si="1773"/>
        <v>0</v>
      </c>
      <c r="DZ489" s="161">
        <f t="shared" si="1774"/>
        <v>0</v>
      </c>
      <c r="EA489" s="161">
        <f t="shared" si="1775"/>
        <v>0</v>
      </c>
      <c r="EB489" s="161">
        <f t="shared" si="1776"/>
        <v>0</v>
      </c>
      <c r="EC489" s="161">
        <f t="shared" si="1777"/>
        <v>0</v>
      </c>
      <c r="ED489" s="161">
        <f t="shared" si="1778"/>
        <v>0</v>
      </c>
      <c r="EE489" s="161">
        <f t="shared" si="1779"/>
        <v>0</v>
      </c>
      <c r="EF489" s="161">
        <f t="shared" si="1780"/>
        <v>0</v>
      </c>
      <c r="EG489" s="161">
        <f t="shared" si="1781"/>
        <v>0</v>
      </c>
      <c r="EH489" s="161">
        <f t="shared" si="1782"/>
        <v>0</v>
      </c>
      <c r="EI489" s="161">
        <f t="shared" si="1783"/>
        <v>0</v>
      </c>
      <c r="EJ489" s="65"/>
      <c r="EK489" s="161">
        <f t="shared" si="1854"/>
        <v>0</v>
      </c>
      <c r="EL489" s="161">
        <f t="shared" si="1855"/>
        <v>0</v>
      </c>
      <c r="EM489" s="161">
        <f t="shared" si="1856"/>
        <v>0</v>
      </c>
    </row>
    <row r="490" spans="1:143" ht="12" hidden="1" customHeight="1" outlineLevel="2">
      <c r="A490" s="77">
        <v>14</v>
      </c>
      <c r="B490" s="137" t="str">
        <f t="shared" si="1784"/>
        <v>TEC II - Equipe_01</v>
      </c>
      <c r="C490" s="65"/>
      <c r="D490" s="622"/>
      <c r="E490" s="65"/>
      <c r="F490" s="584"/>
      <c r="G490" s="77" t="str">
        <f>IF(INDEX(Tarefas!$BT$30:$FK$30,MATCH(A490,Tarefas!$BT$28:$FK$28,0))=0,"",INDEX(Tarefas!$BT$30:$FK$30,MATCH(A490,Tarefas!$BT$28:$FK$28,0)))</f>
        <v>TEC II</v>
      </c>
      <c r="H490" s="107" cm="1">
        <f t="array" ref="H490">IFERROR((SUMPRODUCT((Tarefas!$N$32:$N$54='Cronog. e Histog.'!$F$477)*(Tarefas!$BQ$30:$FK$30='Cronog. e Histog.'!$G490)*(Tarefas!$BQ$32:$FK$54)))/SUMIF(Tarefas!$N$32:$N$54,'Cronog. e Histog.'!$F$477,Tarefas!$K$32:$K$54),0)</f>
        <v>0</v>
      </c>
      <c r="I490" s="79">
        <f t="shared" si="1785"/>
        <v>0</v>
      </c>
      <c r="J490" s="65"/>
      <c r="K490" s="160">
        <f t="shared" si="1857"/>
        <v>0</v>
      </c>
      <c r="L490" s="160">
        <f t="shared" si="1719"/>
        <v>0</v>
      </c>
      <c r="M490" s="160">
        <f t="shared" si="1719"/>
        <v>0</v>
      </c>
      <c r="N490" s="160">
        <f t="shared" si="1719"/>
        <v>0</v>
      </c>
      <c r="O490" s="160">
        <f t="shared" si="1719"/>
        <v>0</v>
      </c>
      <c r="P490" s="160">
        <f t="shared" si="1719"/>
        <v>0</v>
      </c>
      <c r="Q490" s="160">
        <f t="shared" si="1719"/>
        <v>0</v>
      </c>
      <c r="R490" s="160">
        <f t="shared" si="1719"/>
        <v>0</v>
      </c>
      <c r="S490" s="160">
        <f t="shared" si="1719"/>
        <v>0</v>
      </c>
      <c r="T490" s="160">
        <f t="shared" si="1719"/>
        <v>0</v>
      </c>
      <c r="U490" s="160">
        <f t="shared" si="1719"/>
        <v>0</v>
      </c>
      <c r="V490" s="160">
        <f t="shared" si="1719"/>
        <v>0</v>
      </c>
      <c r="W490" s="160">
        <f t="shared" si="1719"/>
        <v>0</v>
      </c>
      <c r="X490" s="160">
        <f t="shared" si="1719"/>
        <v>0</v>
      </c>
      <c r="Y490" s="160">
        <f t="shared" si="1719"/>
        <v>0</v>
      </c>
      <c r="Z490" s="160">
        <f t="shared" si="1719"/>
        <v>0</v>
      </c>
      <c r="AA490" s="160">
        <f t="shared" si="1719"/>
        <v>0</v>
      </c>
      <c r="AB490" s="160">
        <f t="shared" si="1719"/>
        <v>0</v>
      </c>
      <c r="AC490" s="160">
        <f t="shared" si="1719"/>
        <v>0</v>
      </c>
      <c r="AD490" s="160">
        <f t="shared" si="1719"/>
        <v>0</v>
      </c>
      <c r="AE490" s="160">
        <f t="shared" si="1719"/>
        <v>0</v>
      </c>
      <c r="AF490" s="160">
        <f t="shared" si="1719"/>
        <v>0</v>
      </c>
      <c r="AG490" s="160">
        <f t="shared" si="1719"/>
        <v>0</v>
      </c>
      <c r="AH490" s="160">
        <f t="shared" si="1719"/>
        <v>0</v>
      </c>
      <c r="AI490" s="160">
        <f t="shared" si="1719"/>
        <v>0</v>
      </c>
      <c r="AJ490" s="160">
        <f t="shared" si="1719"/>
        <v>0</v>
      </c>
      <c r="AK490" s="160">
        <f t="shared" si="1719"/>
        <v>0</v>
      </c>
      <c r="AL490" s="160">
        <f t="shared" si="1719"/>
        <v>0</v>
      </c>
      <c r="AM490" s="160">
        <f t="shared" si="1719"/>
        <v>0</v>
      </c>
      <c r="AN490" s="160">
        <f t="shared" si="1719"/>
        <v>0</v>
      </c>
      <c r="AO490" s="160">
        <f t="shared" si="1719"/>
        <v>0</v>
      </c>
      <c r="AP490" s="160">
        <f t="shared" si="1719"/>
        <v>0</v>
      </c>
      <c r="AQ490" s="160">
        <f t="shared" si="1719"/>
        <v>0</v>
      </c>
      <c r="AR490" s="160">
        <f t="shared" si="1719"/>
        <v>0</v>
      </c>
      <c r="AS490" s="160">
        <f t="shared" si="1719"/>
        <v>0</v>
      </c>
      <c r="AT490" s="160">
        <f t="shared" si="1719"/>
        <v>0</v>
      </c>
      <c r="AU490" s="160">
        <f t="shared" si="1719"/>
        <v>0</v>
      </c>
      <c r="AV490" s="160">
        <f t="shared" si="1719"/>
        <v>0</v>
      </c>
      <c r="AW490" s="160">
        <f t="shared" si="1719"/>
        <v>0</v>
      </c>
      <c r="AX490" s="160">
        <f t="shared" si="1719"/>
        <v>0</v>
      </c>
      <c r="AY490" s="160">
        <f t="shared" si="1719"/>
        <v>0</v>
      </c>
      <c r="AZ490" s="160">
        <f t="shared" si="1719"/>
        <v>0</v>
      </c>
      <c r="BA490" s="160">
        <f t="shared" si="1719"/>
        <v>0</v>
      </c>
      <c r="BB490" s="160">
        <f t="shared" si="1719"/>
        <v>0</v>
      </c>
      <c r="BC490" s="160">
        <f t="shared" si="1719"/>
        <v>0</v>
      </c>
      <c r="BD490" s="160">
        <f t="shared" si="1719"/>
        <v>0</v>
      </c>
      <c r="BE490" s="160">
        <f t="shared" si="1719"/>
        <v>0</v>
      </c>
      <c r="BF490" s="160">
        <f t="shared" si="1719"/>
        <v>0</v>
      </c>
      <c r="BG490" s="160">
        <f t="shared" si="1719"/>
        <v>0</v>
      </c>
      <c r="BH490" s="160">
        <f t="shared" si="1719"/>
        <v>0</v>
      </c>
      <c r="BI490" s="160">
        <f t="shared" si="1719"/>
        <v>0</v>
      </c>
      <c r="BJ490" s="160">
        <f t="shared" si="1719"/>
        <v>0</v>
      </c>
      <c r="BK490" s="160">
        <f t="shared" si="1719"/>
        <v>0</v>
      </c>
      <c r="BL490" s="160">
        <f t="shared" si="1719"/>
        <v>0</v>
      </c>
      <c r="BM490" s="160">
        <f t="shared" si="1719"/>
        <v>0</v>
      </c>
      <c r="BN490" s="160">
        <f t="shared" si="1719"/>
        <v>0</v>
      </c>
      <c r="BO490" s="160">
        <f t="shared" si="1719"/>
        <v>0</v>
      </c>
      <c r="BP490" s="160">
        <f t="shared" si="1719"/>
        <v>0</v>
      </c>
      <c r="BQ490" s="160">
        <f t="shared" si="1719"/>
        <v>0</v>
      </c>
      <c r="BR490" s="160">
        <f t="shared" si="1719"/>
        <v>0</v>
      </c>
      <c r="BS490" s="65"/>
      <c r="BT490" s="160">
        <f t="shared" si="1720"/>
        <v>0</v>
      </c>
      <c r="BU490" s="160">
        <f t="shared" si="1721"/>
        <v>0</v>
      </c>
      <c r="BV490" s="65"/>
      <c r="BW490" s="69"/>
      <c r="BX490" s="65"/>
      <c r="BY490" s="137">
        <f t="shared" si="1722"/>
        <v>1</v>
      </c>
      <c r="BZ490" s="137">
        <f>IF(BY490&gt;0,BY490+LARGE($BZ$213:BZ489,1),0)</f>
        <v>234</v>
      </c>
      <c r="CA490" s="137" t="str">
        <f t="shared" si="1723"/>
        <v>TEC II</v>
      </c>
      <c r="CB490" s="161">
        <f t="shared" si="1724"/>
        <v>0</v>
      </c>
      <c r="CC490" s="161">
        <f t="shared" si="1725"/>
        <v>0</v>
      </c>
      <c r="CD490" s="161">
        <f t="shared" si="1726"/>
        <v>0</v>
      </c>
      <c r="CE490" s="161">
        <f t="shared" si="1727"/>
        <v>0</v>
      </c>
      <c r="CF490" s="161">
        <f t="shared" si="1728"/>
        <v>0</v>
      </c>
      <c r="CG490" s="161">
        <f t="shared" si="1729"/>
        <v>0</v>
      </c>
      <c r="CH490" s="161">
        <f t="shared" si="1730"/>
        <v>0</v>
      </c>
      <c r="CI490" s="161">
        <f t="shared" si="1731"/>
        <v>0</v>
      </c>
      <c r="CJ490" s="161">
        <f t="shared" si="1732"/>
        <v>0</v>
      </c>
      <c r="CK490" s="161">
        <f t="shared" si="1733"/>
        <v>0</v>
      </c>
      <c r="CL490" s="161">
        <f t="shared" si="1734"/>
        <v>0</v>
      </c>
      <c r="CM490" s="161">
        <f t="shared" si="1735"/>
        <v>0</v>
      </c>
      <c r="CN490" s="161">
        <f t="shared" si="1736"/>
        <v>0</v>
      </c>
      <c r="CO490" s="161">
        <f t="shared" si="1737"/>
        <v>0</v>
      </c>
      <c r="CP490" s="161">
        <f t="shared" si="1738"/>
        <v>0</v>
      </c>
      <c r="CQ490" s="161">
        <f t="shared" si="1739"/>
        <v>0</v>
      </c>
      <c r="CR490" s="161">
        <f t="shared" si="1740"/>
        <v>0</v>
      </c>
      <c r="CS490" s="161">
        <f t="shared" si="1741"/>
        <v>0</v>
      </c>
      <c r="CT490" s="161">
        <f t="shared" si="1742"/>
        <v>0</v>
      </c>
      <c r="CU490" s="161">
        <f t="shared" si="1743"/>
        <v>0</v>
      </c>
      <c r="CV490" s="161">
        <f t="shared" si="1744"/>
        <v>0</v>
      </c>
      <c r="CW490" s="161">
        <f t="shared" si="1745"/>
        <v>0</v>
      </c>
      <c r="CX490" s="161">
        <f t="shared" si="1746"/>
        <v>0</v>
      </c>
      <c r="CY490" s="161">
        <f t="shared" si="1747"/>
        <v>0</v>
      </c>
      <c r="CZ490" s="161">
        <f t="shared" si="1748"/>
        <v>0</v>
      </c>
      <c r="DA490" s="161">
        <f t="shared" si="1749"/>
        <v>0</v>
      </c>
      <c r="DB490" s="161">
        <f t="shared" si="1750"/>
        <v>0</v>
      </c>
      <c r="DC490" s="161">
        <f t="shared" si="1751"/>
        <v>0</v>
      </c>
      <c r="DD490" s="161">
        <f t="shared" si="1752"/>
        <v>0</v>
      </c>
      <c r="DE490" s="161">
        <f t="shared" si="1753"/>
        <v>0</v>
      </c>
      <c r="DF490" s="161">
        <f t="shared" si="1754"/>
        <v>0</v>
      </c>
      <c r="DG490" s="161">
        <f t="shared" si="1755"/>
        <v>0</v>
      </c>
      <c r="DH490" s="161">
        <f t="shared" si="1756"/>
        <v>0</v>
      </c>
      <c r="DI490" s="161">
        <f t="shared" si="1757"/>
        <v>0</v>
      </c>
      <c r="DJ490" s="161">
        <f t="shared" si="1758"/>
        <v>0</v>
      </c>
      <c r="DK490" s="161">
        <f t="shared" si="1759"/>
        <v>0</v>
      </c>
      <c r="DL490" s="161">
        <f t="shared" si="1760"/>
        <v>0</v>
      </c>
      <c r="DM490" s="161">
        <f t="shared" si="1761"/>
        <v>0</v>
      </c>
      <c r="DN490" s="161">
        <f t="shared" si="1762"/>
        <v>0</v>
      </c>
      <c r="DO490" s="161">
        <f t="shared" si="1763"/>
        <v>0</v>
      </c>
      <c r="DP490" s="161">
        <f t="shared" si="1764"/>
        <v>0</v>
      </c>
      <c r="DQ490" s="161">
        <f t="shared" si="1765"/>
        <v>0</v>
      </c>
      <c r="DR490" s="161">
        <f t="shared" si="1766"/>
        <v>0</v>
      </c>
      <c r="DS490" s="161">
        <f t="shared" si="1767"/>
        <v>0</v>
      </c>
      <c r="DT490" s="161">
        <f t="shared" si="1768"/>
        <v>0</v>
      </c>
      <c r="DU490" s="161">
        <f t="shared" si="1769"/>
        <v>0</v>
      </c>
      <c r="DV490" s="161">
        <f t="shared" si="1770"/>
        <v>0</v>
      </c>
      <c r="DW490" s="161">
        <f t="shared" si="1771"/>
        <v>0</v>
      </c>
      <c r="DX490" s="161">
        <f t="shared" si="1772"/>
        <v>0</v>
      </c>
      <c r="DY490" s="161">
        <f t="shared" si="1773"/>
        <v>0</v>
      </c>
      <c r="DZ490" s="161">
        <f t="shared" si="1774"/>
        <v>0</v>
      </c>
      <c r="EA490" s="161">
        <f t="shared" si="1775"/>
        <v>0</v>
      </c>
      <c r="EB490" s="161">
        <f t="shared" si="1776"/>
        <v>0</v>
      </c>
      <c r="EC490" s="161">
        <f t="shared" si="1777"/>
        <v>0</v>
      </c>
      <c r="ED490" s="161">
        <f t="shared" si="1778"/>
        <v>0</v>
      </c>
      <c r="EE490" s="161">
        <f t="shared" si="1779"/>
        <v>0</v>
      </c>
      <c r="EF490" s="161">
        <f t="shared" si="1780"/>
        <v>0</v>
      </c>
      <c r="EG490" s="161">
        <f t="shared" si="1781"/>
        <v>0</v>
      </c>
      <c r="EH490" s="161">
        <f t="shared" si="1782"/>
        <v>0</v>
      </c>
      <c r="EI490" s="161">
        <f t="shared" si="1783"/>
        <v>0</v>
      </c>
      <c r="EJ490" s="65"/>
      <c r="EK490" s="161">
        <f t="shared" si="1854"/>
        <v>0</v>
      </c>
      <c r="EL490" s="161">
        <f t="shared" si="1855"/>
        <v>0</v>
      </c>
      <c r="EM490" s="161">
        <f t="shared" si="1856"/>
        <v>0</v>
      </c>
    </row>
    <row r="491" spans="1:143" ht="12" hidden="1" customHeight="1" outlineLevel="2">
      <c r="A491" s="77">
        <v>15</v>
      </c>
      <c r="B491" s="137" t="str">
        <f t="shared" si="1784"/>
        <v>TEC I - Equipe_01</v>
      </c>
      <c r="C491" s="65"/>
      <c r="D491" s="622"/>
      <c r="E491" s="65"/>
      <c r="F491" s="584"/>
      <c r="G491" s="77" t="str">
        <f>IF(INDEX(Tarefas!$BT$30:$FK$30,MATCH(A491,Tarefas!$BT$28:$FK$28,0))=0,"",INDEX(Tarefas!$BT$30:$FK$30,MATCH(A491,Tarefas!$BT$28:$FK$28,0)))</f>
        <v>TEC I</v>
      </c>
      <c r="H491" s="107" cm="1">
        <f t="array" ref="H491">IFERROR((SUMPRODUCT((Tarefas!$N$32:$N$54='Cronog. e Histog.'!$F$477)*(Tarefas!$BQ$30:$FK$30='Cronog. e Histog.'!$G491)*(Tarefas!$BQ$32:$FK$54)))/SUMIF(Tarefas!$N$32:$N$54,'Cronog. e Histog.'!$F$477,Tarefas!$K$32:$K$54),0)</f>
        <v>0</v>
      </c>
      <c r="I491" s="79">
        <f t="shared" si="1785"/>
        <v>0</v>
      </c>
      <c r="J491" s="65"/>
      <c r="K491" s="160">
        <f t="shared" si="1857"/>
        <v>0</v>
      </c>
      <c r="L491" s="160">
        <f t="shared" si="1719"/>
        <v>0</v>
      </c>
      <c r="M491" s="160">
        <f t="shared" si="1719"/>
        <v>0</v>
      </c>
      <c r="N491" s="160">
        <f t="shared" si="1719"/>
        <v>0</v>
      </c>
      <c r="O491" s="160">
        <f t="shared" si="1719"/>
        <v>0</v>
      </c>
      <c r="P491" s="160">
        <f t="shared" si="1719"/>
        <v>0</v>
      </c>
      <c r="Q491" s="160">
        <f t="shared" si="1719"/>
        <v>0</v>
      </c>
      <c r="R491" s="160">
        <f t="shared" si="1719"/>
        <v>0</v>
      </c>
      <c r="S491" s="160">
        <f t="shared" si="1719"/>
        <v>0</v>
      </c>
      <c r="T491" s="160">
        <f t="shared" si="1719"/>
        <v>0</v>
      </c>
      <c r="U491" s="160">
        <f t="shared" si="1719"/>
        <v>0</v>
      </c>
      <c r="V491" s="160">
        <f t="shared" si="1719"/>
        <v>0</v>
      </c>
      <c r="W491" s="160">
        <f t="shared" si="1719"/>
        <v>0</v>
      </c>
      <c r="X491" s="160">
        <f t="shared" si="1719"/>
        <v>0</v>
      </c>
      <c r="Y491" s="160">
        <f t="shared" si="1719"/>
        <v>0</v>
      </c>
      <c r="Z491" s="160">
        <f t="shared" si="1719"/>
        <v>0</v>
      </c>
      <c r="AA491" s="160">
        <f t="shared" si="1719"/>
        <v>0</v>
      </c>
      <c r="AB491" s="160">
        <f t="shared" si="1719"/>
        <v>0</v>
      </c>
      <c r="AC491" s="160">
        <f t="shared" si="1719"/>
        <v>0</v>
      </c>
      <c r="AD491" s="160">
        <f t="shared" si="1719"/>
        <v>0</v>
      </c>
      <c r="AE491" s="160">
        <f t="shared" si="1719"/>
        <v>0</v>
      </c>
      <c r="AF491" s="160">
        <f t="shared" si="1719"/>
        <v>0</v>
      </c>
      <c r="AG491" s="160">
        <f t="shared" si="1719"/>
        <v>0</v>
      </c>
      <c r="AH491" s="160">
        <f t="shared" si="1719"/>
        <v>0</v>
      </c>
      <c r="AI491" s="160">
        <f t="shared" si="1719"/>
        <v>0</v>
      </c>
      <c r="AJ491" s="160">
        <f t="shared" si="1719"/>
        <v>0</v>
      </c>
      <c r="AK491" s="160">
        <f t="shared" si="1719"/>
        <v>0</v>
      </c>
      <c r="AL491" s="160">
        <f t="shared" si="1719"/>
        <v>0</v>
      </c>
      <c r="AM491" s="160">
        <f t="shared" si="1719"/>
        <v>0</v>
      </c>
      <c r="AN491" s="160">
        <f t="shared" si="1719"/>
        <v>0</v>
      </c>
      <c r="AO491" s="160">
        <f t="shared" si="1719"/>
        <v>0</v>
      </c>
      <c r="AP491" s="160">
        <f t="shared" si="1719"/>
        <v>0</v>
      </c>
      <c r="AQ491" s="160">
        <f t="shared" si="1719"/>
        <v>0</v>
      </c>
      <c r="AR491" s="160">
        <f t="shared" si="1719"/>
        <v>0</v>
      </c>
      <c r="AS491" s="160">
        <f t="shared" si="1719"/>
        <v>0</v>
      </c>
      <c r="AT491" s="160">
        <f t="shared" ref="L491:BR495" si="1858">ROUND($I491*AT$194,2)</f>
        <v>0</v>
      </c>
      <c r="AU491" s="160">
        <f t="shared" si="1858"/>
        <v>0</v>
      </c>
      <c r="AV491" s="160">
        <f t="shared" si="1858"/>
        <v>0</v>
      </c>
      <c r="AW491" s="160">
        <f t="shared" si="1858"/>
        <v>0</v>
      </c>
      <c r="AX491" s="160">
        <f t="shared" si="1858"/>
        <v>0</v>
      </c>
      <c r="AY491" s="160">
        <f t="shared" si="1858"/>
        <v>0</v>
      </c>
      <c r="AZ491" s="160">
        <f t="shared" si="1858"/>
        <v>0</v>
      </c>
      <c r="BA491" s="160">
        <f t="shared" si="1858"/>
        <v>0</v>
      </c>
      <c r="BB491" s="160">
        <f t="shared" si="1858"/>
        <v>0</v>
      </c>
      <c r="BC491" s="160">
        <f t="shared" si="1858"/>
        <v>0</v>
      </c>
      <c r="BD491" s="160">
        <f t="shared" si="1858"/>
        <v>0</v>
      </c>
      <c r="BE491" s="160">
        <f t="shared" si="1858"/>
        <v>0</v>
      </c>
      <c r="BF491" s="160">
        <f t="shared" si="1858"/>
        <v>0</v>
      </c>
      <c r="BG491" s="160">
        <f t="shared" si="1858"/>
        <v>0</v>
      </c>
      <c r="BH491" s="160">
        <f t="shared" si="1858"/>
        <v>0</v>
      </c>
      <c r="BI491" s="160">
        <f t="shared" si="1858"/>
        <v>0</v>
      </c>
      <c r="BJ491" s="160">
        <f t="shared" si="1858"/>
        <v>0</v>
      </c>
      <c r="BK491" s="160">
        <f t="shared" si="1858"/>
        <v>0</v>
      </c>
      <c r="BL491" s="160">
        <f t="shared" si="1858"/>
        <v>0</v>
      </c>
      <c r="BM491" s="160">
        <f t="shared" si="1858"/>
        <v>0</v>
      </c>
      <c r="BN491" s="160">
        <f t="shared" si="1858"/>
        <v>0</v>
      </c>
      <c r="BO491" s="160">
        <f t="shared" si="1858"/>
        <v>0</v>
      </c>
      <c r="BP491" s="160">
        <f t="shared" si="1858"/>
        <v>0</v>
      </c>
      <c r="BQ491" s="160">
        <f t="shared" si="1858"/>
        <v>0</v>
      </c>
      <c r="BR491" s="160">
        <f t="shared" si="1858"/>
        <v>0</v>
      </c>
      <c r="BS491" s="65"/>
      <c r="BT491" s="160">
        <f t="shared" si="1720"/>
        <v>0</v>
      </c>
      <c r="BU491" s="160">
        <f t="shared" si="1721"/>
        <v>0</v>
      </c>
      <c r="BV491" s="65"/>
      <c r="BW491" s="69"/>
      <c r="BX491" s="65"/>
      <c r="BY491" s="137">
        <f t="shared" si="1722"/>
        <v>1</v>
      </c>
      <c r="BZ491" s="137">
        <f>IF(BY491&gt;0,BY491+LARGE($BZ$213:BZ490,1),0)</f>
        <v>235</v>
      </c>
      <c r="CA491" s="137" t="str">
        <f t="shared" si="1723"/>
        <v>TEC I</v>
      </c>
      <c r="CB491" s="161">
        <f t="shared" si="1724"/>
        <v>0</v>
      </c>
      <c r="CC491" s="161">
        <f t="shared" si="1725"/>
        <v>0</v>
      </c>
      <c r="CD491" s="161">
        <f t="shared" si="1726"/>
        <v>0</v>
      </c>
      <c r="CE491" s="161">
        <f t="shared" si="1727"/>
        <v>0</v>
      </c>
      <c r="CF491" s="161">
        <f t="shared" si="1728"/>
        <v>0</v>
      </c>
      <c r="CG491" s="161">
        <f t="shared" si="1729"/>
        <v>0</v>
      </c>
      <c r="CH491" s="161">
        <f t="shared" si="1730"/>
        <v>0</v>
      </c>
      <c r="CI491" s="161">
        <f t="shared" si="1731"/>
        <v>0</v>
      </c>
      <c r="CJ491" s="161">
        <f t="shared" si="1732"/>
        <v>0</v>
      </c>
      <c r="CK491" s="161">
        <f t="shared" si="1733"/>
        <v>0</v>
      </c>
      <c r="CL491" s="161">
        <f t="shared" si="1734"/>
        <v>0</v>
      </c>
      <c r="CM491" s="161">
        <f t="shared" si="1735"/>
        <v>0</v>
      </c>
      <c r="CN491" s="161">
        <f t="shared" si="1736"/>
        <v>0</v>
      </c>
      <c r="CO491" s="161">
        <f t="shared" si="1737"/>
        <v>0</v>
      </c>
      <c r="CP491" s="161">
        <f t="shared" si="1738"/>
        <v>0</v>
      </c>
      <c r="CQ491" s="161">
        <f t="shared" si="1739"/>
        <v>0</v>
      </c>
      <c r="CR491" s="161">
        <f t="shared" si="1740"/>
        <v>0</v>
      </c>
      <c r="CS491" s="161">
        <f t="shared" si="1741"/>
        <v>0</v>
      </c>
      <c r="CT491" s="161">
        <f t="shared" si="1742"/>
        <v>0</v>
      </c>
      <c r="CU491" s="161">
        <f t="shared" si="1743"/>
        <v>0</v>
      </c>
      <c r="CV491" s="161">
        <f t="shared" si="1744"/>
        <v>0</v>
      </c>
      <c r="CW491" s="161">
        <f t="shared" si="1745"/>
        <v>0</v>
      </c>
      <c r="CX491" s="161">
        <f t="shared" si="1746"/>
        <v>0</v>
      </c>
      <c r="CY491" s="161">
        <f t="shared" si="1747"/>
        <v>0</v>
      </c>
      <c r="CZ491" s="161">
        <f t="shared" si="1748"/>
        <v>0</v>
      </c>
      <c r="DA491" s="161">
        <f t="shared" si="1749"/>
        <v>0</v>
      </c>
      <c r="DB491" s="161">
        <f t="shared" si="1750"/>
        <v>0</v>
      </c>
      <c r="DC491" s="161">
        <f t="shared" si="1751"/>
        <v>0</v>
      </c>
      <c r="DD491" s="161">
        <f t="shared" si="1752"/>
        <v>0</v>
      </c>
      <c r="DE491" s="161">
        <f t="shared" si="1753"/>
        <v>0</v>
      </c>
      <c r="DF491" s="161">
        <f t="shared" si="1754"/>
        <v>0</v>
      </c>
      <c r="DG491" s="161">
        <f t="shared" si="1755"/>
        <v>0</v>
      </c>
      <c r="DH491" s="161">
        <f t="shared" si="1756"/>
        <v>0</v>
      </c>
      <c r="DI491" s="161">
        <f t="shared" si="1757"/>
        <v>0</v>
      </c>
      <c r="DJ491" s="161">
        <f t="shared" si="1758"/>
        <v>0</v>
      </c>
      <c r="DK491" s="161">
        <f t="shared" si="1759"/>
        <v>0</v>
      </c>
      <c r="DL491" s="161">
        <f t="shared" si="1760"/>
        <v>0</v>
      </c>
      <c r="DM491" s="161">
        <f t="shared" si="1761"/>
        <v>0</v>
      </c>
      <c r="DN491" s="161">
        <f t="shared" si="1762"/>
        <v>0</v>
      </c>
      <c r="DO491" s="161">
        <f t="shared" si="1763"/>
        <v>0</v>
      </c>
      <c r="DP491" s="161">
        <f t="shared" si="1764"/>
        <v>0</v>
      </c>
      <c r="DQ491" s="161">
        <f t="shared" si="1765"/>
        <v>0</v>
      </c>
      <c r="DR491" s="161">
        <f t="shared" si="1766"/>
        <v>0</v>
      </c>
      <c r="DS491" s="161">
        <f t="shared" si="1767"/>
        <v>0</v>
      </c>
      <c r="DT491" s="161">
        <f t="shared" si="1768"/>
        <v>0</v>
      </c>
      <c r="DU491" s="161">
        <f t="shared" si="1769"/>
        <v>0</v>
      </c>
      <c r="DV491" s="161">
        <f t="shared" si="1770"/>
        <v>0</v>
      </c>
      <c r="DW491" s="161">
        <f t="shared" si="1771"/>
        <v>0</v>
      </c>
      <c r="DX491" s="161">
        <f t="shared" si="1772"/>
        <v>0</v>
      </c>
      <c r="DY491" s="161">
        <f t="shared" si="1773"/>
        <v>0</v>
      </c>
      <c r="DZ491" s="161">
        <f t="shared" si="1774"/>
        <v>0</v>
      </c>
      <c r="EA491" s="161">
        <f t="shared" si="1775"/>
        <v>0</v>
      </c>
      <c r="EB491" s="161">
        <f t="shared" si="1776"/>
        <v>0</v>
      </c>
      <c r="EC491" s="161">
        <f t="shared" si="1777"/>
        <v>0</v>
      </c>
      <c r="ED491" s="161">
        <f t="shared" si="1778"/>
        <v>0</v>
      </c>
      <c r="EE491" s="161">
        <f t="shared" si="1779"/>
        <v>0</v>
      </c>
      <c r="EF491" s="161">
        <f t="shared" si="1780"/>
        <v>0</v>
      </c>
      <c r="EG491" s="161">
        <f t="shared" si="1781"/>
        <v>0</v>
      </c>
      <c r="EH491" s="161">
        <f t="shared" si="1782"/>
        <v>0</v>
      </c>
      <c r="EI491" s="161">
        <f t="shared" si="1783"/>
        <v>0</v>
      </c>
      <c r="EJ491" s="65"/>
      <c r="EK491" s="161">
        <f t="shared" si="1854"/>
        <v>0</v>
      </c>
      <c r="EL491" s="161">
        <f t="shared" si="1855"/>
        <v>0</v>
      </c>
      <c r="EM491" s="161">
        <f t="shared" si="1856"/>
        <v>0</v>
      </c>
    </row>
    <row r="492" spans="1:143" ht="12" hidden="1" customHeight="1" outlineLevel="2">
      <c r="A492" s="77">
        <v>16</v>
      </c>
      <c r="B492" s="137" t="str">
        <f t="shared" si="1784"/>
        <v>AUX TEC - Equipe_01</v>
      </c>
      <c r="C492" s="65"/>
      <c r="D492" s="622"/>
      <c r="E492" s="65"/>
      <c r="F492" s="584"/>
      <c r="G492" s="77" t="str">
        <f>IF(INDEX(Tarefas!$BT$30:$FK$30,MATCH(A492,Tarefas!$BT$28:$FK$28,0))=0,"",INDEX(Tarefas!$BT$30:$FK$30,MATCH(A492,Tarefas!$BT$28:$FK$28,0)))</f>
        <v>AUX TEC</v>
      </c>
      <c r="H492" s="107" cm="1">
        <f t="array" ref="H492">IFERROR((SUMPRODUCT((Tarefas!$N$32:$N$54='Cronog. e Histog.'!$F$477)*(Tarefas!$BQ$30:$FK$30='Cronog. e Histog.'!$G492)*(Tarefas!$BQ$32:$FK$54)))/SUMIF(Tarefas!$N$32:$N$54,'Cronog. e Histog.'!$F$477,Tarefas!$K$32:$K$54),0)</f>
        <v>0</v>
      </c>
      <c r="I492" s="79">
        <f t="shared" si="1785"/>
        <v>0</v>
      </c>
      <c r="J492" s="65"/>
      <c r="K492" s="160">
        <f t="shared" si="1857"/>
        <v>0</v>
      </c>
      <c r="L492" s="160">
        <f t="shared" si="1858"/>
        <v>0</v>
      </c>
      <c r="M492" s="160">
        <f t="shared" si="1858"/>
        <v>0</v>
      </c>
      <c r="N492" s="160">
        <f t="shared" si="1858"/>
        <v>0</v>
      </c>
      <c r="O492" s="160">
        <f t="shared" si="1858"/>
        <v>0</v>
      </c>
      <c r="P492" s="160">
        <f t="shared" si="1858"/>
        <v>0</v>
      </c>
      <c r="Q492" s="160">
        <f t="shared" si="1858"/>
        <v>0</v>
      </c>
      <c r="R492" s="160">
        <f t="shared" si="1858"/>
        <v>0</v>
      </c>
      <c r="S492" s="160">
        <f t="shared" si="1858"/>
        <v>0</v>
      </c>
      <c r="T492" s="160">
        <f t="shared" si="1858"/>
        <v>0</v>
      </c>
      <c r="U492" s="160">
        <f t="shared" si="1858"/>
        <v>0</v>
      </c>
      <c r="V492" s="160">
        <f t="shared" si="1858"/>
        <v>0</v>
      </c>
      <c r="W492" s="160">
        <f t="shared" si="1858"/>
        <v>0</v>
      </c>
      <c r="X492" s="160">
        <f t="shared" si="1858"/>
        <v>0</v>
      </c>
      <c r="Y492" s="160">
        <f t="shared" si="1858"/>
        <v>0</v>
      </c>
      <c r="Z492" s="160">
        <f t="shared" si="1858"/>
        <v>0</v>
      </c>
      <c r="AA492" s="160">
        <f t="shared" si="1858"/>
        <v>0</v>
      </c>
      <c r="AB492" s="160">
        <f t="shared" si="1858"/>
        <v>0</v>
      </c>
      <c r="AC492" s="160">
        <f t="shared" si="1858"/>
        <v>0</v>
      </c>
      <c r="AD492" s="160">
        <f t="shared" si="1858"/>
        <v>0</v>
      </c>
      <c r="AE492" s="160">
        <f t="shared" si="1858"/>
        <v>0</v>
      </c>
      <c r="AF492" s="160">
        <f t="shared" si="1858"/>
        <v>0</v>
      </c>
      <c r="AG492" s="160">
        <f t="shared" si="1858"/>
        <v>0</v>
      </c>
      <c r="AH492" s="160">
        <f t="shared" si="1858"/>
        <v>0</v>
      </c>
      <c r="AI492" s="160">
        <f t="shared" si="1858"/>
        <v>0</v>
      </c>
      <c r="AJ492" s="160">
        <f t="shared" si="1858"/>
        <v>0</v>
      </c>
      <c r="AK492" s="160">
        <f t="shared" si="1858"/>
        <v>0</v>
      </c>
      <c r="AL492" s="160">
        <f t="shared" si="1858"/>
        <v>0</v>
      </c>
      <c r="AM492" s="160">
        <f t="shared" si="1858"/>
        <v>0</v>
      </c>
      <c r="AN492" s="160">
        <f t="shared" si="1858"/>
        <v>0</v>
      </c>
      <c r="AO492" s="160">
        <f t="shared" si="1858"/>
        <v>0</v>
      </c>
      <c r="AP492" s="160">
        <f t="shared" si="1858"/>
        <v>0</v>
      </c>
      <c r="AQ492" s="160">
        <f t="shared" si="1858"/>
        <v>0</v>
      </c>
      <c r="AR492" s="160">
        <f t="shared" si="1858"/>
        <v>0</v>
      </c>
      <c r="AS492" s="160">
        <f t="shared" si="1858"/>
        <v>0</v>
      </c>
      <c r="AT492" s="160">
        <f t="shared" si="1858"/>
        <v>0</v>
      </c>
      <c r="AU492" s="160">
        <f t="shared" si="1858"/>
        <v>0</v>
      </c>
      <c r="AV492" s="160">
        <f t="shared" si="1858"/>
        <v>0</v>
      </c>
      <c r="AW492" s="160">
        <f t="shared" si="1858"/>
        <v>0</v>
      </c>
      <c r="AX492" s="160">
        <f t="shared" si="1858"/>
        <v>0</v>
      </c>
      <c r="AY492" s="160">
        <f t="shared" si="1858"/>
        <v>0</v>
      </c>
      <c r="AZ492" s="160">
        <f t="shared" si="1858"/>
        <v>0</v>
      </c>
      <c r="BA492" s="160">
        <f t="shared" si="1858"/>
        <v>0</v>
      </c>
      <c r="BB492" s="160">
        <f t="shared" si="1858"/>
        <v>0</v>
      </c>
      <c r="BC492" s="160">
        <f t="shared" si="1858"/>
        <v>0</v>
      </c>
      <c r="BD492" s="160">
        <f t="shared" si="1858"/>
        <v>0</v>
      </c>
      <c r="BE492" s="160">
        <f t="shared" si="1858"/>
        <v>0</v>
      </c>
      <c r="BF492" s="160">
        <f t="shared" si="1858"/>
        <v>0</v>
      </c>
      <c r="BG492" s="160">
        <f t="shared" si="1858"/>
        <v>0</v>
      </c>
      <c r="BH492" s="160">
        <f t="shared" si="1858"/>
        <v>0</v>
      </c>
      <c r="BI492" s="160">
        <f t="shared" si="1858"/>
        <v>0</v>
      </c>
      <c r="BJ492" s="160">
        <f t="shared" si="1858"/>
        <v>0</v>
      </c>
      <c r="BK492" s="160">
        <f t="shared" si="1858"/>
        <v>0</v>
      </c>
      <c r="BL492" s="160">
        <f t="shared" si="1858"/>
        <v>0</v>
      </c>
      <c r="BM492" s="160">
        <f t="shared" si="1858"/>
        <v>0</v>
      </c>
      <c r="BN492" s="160">
        <f t="shared" si="1858"/>
        <v>0</v>
      </c>
      <c r="BO492" s="160">
        <f t="shared" si="1858"/>
        <v>0</v>
      </c>
      <c r="BP492" s="160">
        <f t="shared" si="1858"/>
        <v>0</v>
      </c>
      <c r="BQ492" s="160">
        <f t="shared" si="1858"/>
        <v>0</v>
      </c>
      <c r="BR492" s="160">
        <f t="shared" si="1858"/>
        <v>0</v>
      </c>
      <c r="BS492" s="65"/>
      <c r="BT492" s="160">
        <f t="shared" si="1720"/>
        <v>0</v>
      </c>
      <c r="BU492" s="160">
        <f t="shared" si="1721"/>
        <v>0</v>
      </c>
      <c r="BV492" s="65"/>
      <c r="BW492" s="69"/>
      <c r="BX492" s="65"/>
      <c r="BY492" s="137">
        <f t="shared" si="1722"/>
        <v>1</v>
      </c>
      <c r="BZ492" s="137">
        <f>IF(BY492&gt;0,BY492+LARGE($BZ$213:BZ491,1),0)</f>
        <v>236</v>
      </c>
      <c r="CA492" s="137" t="str">
        <f t="shared" si="1723"/>
        <v>AUX TEC</v>
      </c>
      <c r="CB492" s="161">
        <f t="shared" si="1724"/>
        <v>0</v>
      </c>
      <c r="CC492" s="161">
        <f t="shared" si="1725"/>
        <v>0</v>
      </c>
      <c r="CD492" s="161">
        <f t="shared" si="1726"/>
        <v>0</v>
      </c>
      <c r="CE492" s="161">
        <f t="shared" si="1727"/>
        <v>0</v>
      </c>
      <c r="CF492" s="161">
        <f t="shared" si="1728"/>
        <v>0</v>
      </c>
      <c r="CG492" s="161">
        <f t="shared" si="1729"/>
        <v>0</v>
      </c>
      <c r="CH492" s="161">
        <f t="shared" si="1730"/>
        <v>0</v>
      </c>
      <c r="CI492" s="161">
        <f t="shared" si="1731"/>
        <v>0</v>
      </c>
      <c r="CJ492" s="161">
        <f t="shared" si="1732"/>
        <v>0</v>
      </c>
      <c r="CK492" s="161">
        <f t="shared" si="1733"/>
        <v>0</v>
      </c>
      <c r="CL492" s="161">
        <f t="shared" si="1734"/>
        <v>0</v>
      </c>
      <c r="CM492" s="161">
        <f t="shared" si="1735"/>
        <v>0</v>
      </c>
      <c r="CN492" s="161">
        <f t="shared" si="1736"/>
        <v>0</v>
      </c>
      <c r="CO492" s="161">
        <f t="shared" si="1737"/>
        <v>0</v>
      </c>
      <c r="CP492" s="161">
        <f t="shared" si="1738"/>
        <v>0</v>
      </c>
      <c r="CQ492" s="161">
        <f t="shared" si="1739"/>
        <v>0</v>
      </c>
      <c r="CR492" s="161">
        <f t="shared" si="1740"/>
        <v>0</v>
      </c>
      <c r="CS492" s="161">
        <f t="shared" si="1741"/>
        <v>0</v>
      </c>
      <c r="CT492" s="161">
        <f t="shared" si="1742"/>
        <v>0</v>
      </c>
      <c r="CU492" s="161">
        <f t="shared" si="1743"/>
        <v>0</v>
      </c>
      <c r="CV492" s="161">
        <f t="shared" si="1744"/>
        <v>0</v>
      </c>
      <c r="CW492" s="161">
        <f t="shared" si="1745"/>
        <v>0</v>
      </c>
      <c r="CX492" s="161">
        <f t="shared" si="1746"/>
        <v>0</v>
      </c>
      <c r="CY492" s="161">
        <f t="shared" si="1747"/>
        <v>0</v>
      </c>
      <c r="CZ492" s="161">
        <f t="shared" si="1748"/>
        <v>0</v>
      </c>
      <c r="DA492" s="161">
        <f t="shared" si="1749"/>
        <v>0</v>
      </c>
      <c r="DB492" s="161">
        <f t="shared" si="1750"/>
        <v>0</v>
      </c>
      <c r="DC492" s="161">
        <f t="shared" si="1751"/>
        <v>0</v>
      </c>
      <c r="DD492" s="161">
        <f t="shared" si="1752"/>
        <v>0</v>
      </c>
      <c r="DE492" s="161">
        <f t="shared" si="1753"/>
        <v>0</v>
      </c>
      <c r="DF492" s="161">
        <f t="shared" si="1754"/>
        <v>0</v>
      </c>
      <c r="DG492" s="161">
        <f t="shared" si="1755"/>
        <v>0</v>
      </c>
      <c r="DH492" s="161">
        <f t="shared" si="1756"/>
        <v>0</v>
      </c>
      <c r="DI492" s="161">
        <f t="shared" si="1757"/>
        <v>0</v>
      </c>
      <c r="DJ492" s="161">
        <f t="shared" si="1758"/>
        <v>0</v>
      </c>
      <c r="DK492" s="161">
        <f t="shared" si="1759"/>
        <v>0</v>
      </c>
      <c r="DL492" s="161">
        <f t="shared" si="1760"/>
        <v>0</v>
      </c>
      <c r="DM492" s="161">
        <f t="shared" si="1761"/>
        <v>0</v>
      </c>
      <c r="DN492" s="161">
        <f t="shared" si="1762"/>
        <v>0</v>
      </c>
      <c r="DO492" s="161">
        <f t="shared" si="1763"/>
        <v>0</v>
      </c>
      <c r="DP492" s="161">
        <f t="shared" si="1764"/>
        <v>0</v>
      </c>
      <c r="DQ492" s="161">
        <f t="shared" si="1765"/>
        <v>0</v>
      </c>
      <c r="DR492" s="161">
        <f t="shared" si="1766"/>
        <v>0</v>
      </c>
      <c r="DS492" s="161">
        <f t="shared" si="1767"/>
        <v>0</v>
      </c>
      <c r="DT492" s="161">
        <f t="shared" si="1768"/>
        <v>0</v>
      </c>
      <c r="DU492" s="161">
        <f t="shared" si="1769"/>
        <v>0</v>
      </c>
      <c r="DV492" s="161">
        <f t="shared" si="1770"/>
        <v>0</v>
      </c>
      <c r="DW492" s="161">
        <f t="shared" si="1771"/>
        <v>0</v>
      </c>
      <c r="DX492" s="161">
        <f t="shared" si="1772"/>
        <v>0</v>
      </c>
      <c r="DY492" s="161">
        <f t="shared" si="1773"/>
        <v>0</v>
      </c>
      <c r="DZ492" s="161">
        <f t="shared" si="1774"/>
        <v>0</v>
      </c>
      <c r="EA492" s="161">
        <f t="shared" si="1775"/>
        <v>0</v>
      </c>
      <c r="EB492" s="161">
        <f t="shared" si="1776"/>
        <v>0</v>
      </c>
      <c r="EC492" s="161">
        <f t="shared" si="1777"/>
        <v>0</v>
      </c>
      <c r="ED492" s="161">
        <f t="shared" si="1778"/>
        <v>0</v>
      </c>
      <c r="EE492" s="161">
        <f t="shared" si="1779"/>
        <v>0</v>
      </c>
      <c r="EF492" s="161">
        <f t="shared" si="1780"/>
        <v>0</v>
      </c>
      <c r="EG492" s="161">
        <f t="shared" si="1781"/>
        <v>0</v>
      </c>
      <c r="EH492" s="161">
        <f t="shared" si="1782"/>
        <v>0</v>
      </c>
      <c r="EI492" s="161">
        <f t="shared" si="1783"/>
        <v>0</v>
      </c>
      <c r="EJ492" s="65"/>
      <c r="EK492" s="161">
        <f t="shared" si="1854"/>
        <v>0</v>
      </c>
      <c r="EL492" s="161">
        <f t="shared" si="1855"/>
        <v>0</v>
      </c>
      <c r="EM492" s="161">
        <f t="shared" si="1856"/>
        <v>0</v>
      </c>
    </row>
    <row r="493" spans="1:143" ht="12" hidden="1" customHeight="1" outlineLevel="2">
      <c r="A493" s="77">
        <v>17</v>
      </c>
      <c r="B493" s="137" t="str">
        <f t="shared" si="1784"/>
        <v>AUX ADM - Equipe_01</v>
      </c>
      <c r="C493" s="65"/>
      <c r="D493" s="622"/>
      <c r="E493" s="65"/>
      <c r="F493" s="584"/>
      <c r="G493" s="77" t="str">
        <f>IF(INDEX(Tarefas!$BT$30:$FK$30,MATCH(A493,Tarefas!$BT$28:$FK$28,0))=0,"",INDEX(Tarefas!$BT$30:$FK$30,MATCH(A493,Tarefas!$BT$28:$FK$28,0)))</f>
        <v>AUX ADM</v>
      </c>
      <c r="H493" s="107" cm="1">
        <f t="array" ref="H493">IFERROR((SUMPRODUCT((Tarefas!$N$32:$N$54='Cronog. e Histog.'!$F$477)*(Tarefas!$BQ$30:$FK$30='Cronog. e Histog.'!$G493)*(Tarefas!$BQ$32:$FK$54)))/SUMIF(Tarefas!$N$32:$N$54,'Cronog. e Histog.'!$F$477,Tarefas!$K$32:$K$54),0)</f>
        <v>0</v>
      </c>
      <c r="I493" s="79">
        <f t="shared" si="1785"/>
        <v>0</v>
      </c>
      <c r="J493" s="65"/>
      <c r="K493" s="160">
        <f t="shared" si="1857"/>
        <v>0</v>
      </c>
      <c r="L493" s="160">
        <f t="shared" si="1858"/>
        <v>0</v>
      </c>
      <c r="M493" s="160">
        <f t="shared" si="1858"/>
        <v>0</v>
      </c>
      <c r="N493" s="160">
        <f t="shared" si="1858"/>
        <v>0</v>
      </c>
      <c r="O493" s="160">
        <f t="shared" si="1858"/>
        <v>0</v>
      </c>
      <c r="P493" s="160">
        <f t="shared" si="1858"/>
        <v>0</v>
      </c>
      <c r="Q493" s="160">
        <f t="shared" si="1858"/>
        <v>0</v>
      </c>
      <c r="R493" s="160">
        <f t="shared" si="1858"/>
        <v>0</v>
      </c>
      <c r="S493" s="160">
        <f t="shared" si="1858"/>
        <v>0</v>
      </c>
      <c r="T493" s="160">
        <f t="shared" si="1858"/>
        <v>0</v>
      </c>
      <c r="U493" s="160">
        <f t="shared" si="1858"/>
        <v>0</v>
      </c>
      <c r="V493" s="160">
        <f t="shared" si="1858"/>
        <v>0</v>
      </c>
      <c r="W493" s="160">
        <f t="shared" si="1858"/>
        <v>0</v>
      </c>
      <c r="X493" s="160">
        <f t="shared" si="1858"/>
        <v>0</v>
      </c>
      <c r="Y493" s="160">
        <f t="shared" si="1858"/>
        <v>0</v>
      </c>
      <c r="Z493" s="160">
        <f t="shared" si="1858"/>
        <v>0</v>
      </c>
      <c r="AA493" s="160">
        <f t="shared" si="1858"/>
        <v>0</v>
      </c>
      <c r="AB493" s="160">
        <f t="shared" si="1858"/>
        <v>0</v>
      </c>
      <c r="AC493" s="160">
        <f t="shared" si="1858"/>
        <v>0</v>
      </c>
      <c r="AD493" s="160">
        <f t="shared" si="1858"/>
        <v>0</v>
      </c>
      <c r="AE493" s="160">
        <f t="shared" si="1858"/>
        <v>0</v>
      </c>
      <c r="AF493" s="160">
        <f t="shared" si="1858"/>
        <v>0</v>
      </c>
      <c r="AG493" s="160">
        <f t="shared" si="1858"/>
        <v>0</v>
      </c>
      <c r="AH493" s="160">
        <f t="shared" si="1858"/>
        <v>0</v>
      </c>
      <c r="AI493" s="160">
        <f t="shared" si="1858"/>
        <v>0</v>
      </c>
      <c r="AJ493" s="160">
        <f t="shared" si="1858"/>
        <v>0</v>
      </c>
      <c r="AK493" s="160">
        <f t="shared" si="1858"/>
        <v>0</v>
      </c>
      <c r="AL493" s="160">
        <f t="shared" si="1858"/>
        <v>0</v>
      </c>
      <c r="AM493" s="160">
        <f t="shared" si="1858"/>
        <v>0</v>
      </c>
      <c r="AN493" s="160">
        <f t="shared" si="1858"/>
        <v>0</v>
      </c>
      <c r="AO493" s="160">
        <f t="shared" si="1858"/>
        <v>0</v>
      </c>
      <c r="AP493" s="160">
        <f t="shared" si="1858"/>
        <v>0</v>
      </c>
      <c r="AQ493" s="160">
        <f t="shared" si="1858"/>
        <v>0</v>
      </c>
      <c r="AR493" s="160">
        <f t="shared" si="1858"/>
        <v>0</v>
      </c>
      <c r="AS493" s="160">
        <f t="shared" si="1858"/>
        <v>0</v>
      </c>
      <c r="AT493" s="160">
        <f t="shared" si="1858"/>
        <v>0</v>
      </c>
      <c r="AU493" s="160">
        <f t="shared" si="1858"/>
        <v>0</v>
      </c>
      <c r="AV493" s="160">
        <f t="shared" si="1858"/>
        <v>0</v>
      </c>
      <c r="AW493" s="160">
        <f t="shared" si="1858"/>
        <v>0</v>
      </c>
      <c r="AX493" s="160">
        <f t="shared" si="1858"/>
        <v>0</v>
      </c>
      <c r="AY493" s="160">
        <f t="shared" si="1858"/>
        <v>0</v>
      </c>
      <c r="AZ493" s="160">
        <f t="shared" si="1858"/>
        <v>0</v>
      </c>
      <c r="BA493" s="160">
        <f t="shared" si="1858"/>
        <v>0</v>
      </c>
      <c r="BB493" s="160">
        <f t="shared" si="1858"/>
        <v>0</v>
      </c>
      <c r="BC493" s="160">
        <f t="shared" si="1858"/>
        <v>0</v>
      </c>
      <c r="BD493" s="160">
        <f t="shared" si="1858"/>
        <v>0</v>
      </c>
      <c r="BE493" s="160">
        <f t="shared" si="1858"/>
        <v>0</v>
      </c>
      <c r="BF493" s="160">
        <f t="shared" si="1858"/>
        <v>0</v>
      </c>
      <c r="BG493" s="160">
        <f t="shared" si="1858"/>
        <v>0</v>
      </c>
      <c r="BH493" s="160">
        <f t="shared" si="1858"/>
        <v>0</v>
      </c>
      <c r="BI493" s="160">
        <f t="shared" si="1858"/>
        <v>0</v>
      </c>
      <c r="BJ493" s="160">
        <f t="shared" si="1858"/>
        <v>0</v>
      </c>
      <c r="BK493" s="160">
        <f t="shared" si="1858"/>
        <v>0</v>
      </c>
      <c r="BL493" s="160">
        <f t="shared" si="1858"/>
        <v>0</v>
      </c>
      <c r="BM493" s="160">
        <f t="shared" si="1858"/>
        <v>0</v>
      </c>
      <c r="BN493" s="160">
        <f t="shared" si="1858"/>
        <v>0</v>
      </c>
      <c r="BO493" s="160">
        <f t="shared" si="1858"/>
        <v>0</v>
      </c>
      <c r="BP493" s="160">
        <f t="shared" si="1858"/>
        <v>0</v>
      </c>
      <c r="BQ493" s="160">
        <f t="shared" si="1858"/>
        <v>0</v>
      </c>
      <c r="BR493" s="160">
        <f t="shared" si="1858"/>
        <v>0</v>
      </c>
      <c r="BS493" s="65"/>
      <c r="BT493" s="160">
        <f t="shared" si="1720"/>
        <v>0</v>
      </c>
      <c r="BU493" s="160">
        <f t="shared" si="1721"/>
        <v>0</v>
      </c>
      <c r="BV493" s="65"/>
      <c r="BW493" s="69"/>
      <c r="BX493" s="65"/>
      <c r="BY493" s="137">
        <f t="shared" si="1722"/>
        <v>1</v>
      </c>
      <c r="BZ493" s="137">
        <f>IF(BY493&gt;0,BY493+LARGE($BZ$213:BZ492,1),0)</f>
        <v>237</v>
      </c>
      <c r="CA493" s="137" t="str">
        <f t="shared" si="1723"/>
        <v>AUX ADM</v>
      </c>
      <c r="CB493" s="161">
        <f t="shared" si="1724"/>
        <v>0</v>
      </c>
      <c r="CC493" s="161">
        <f t="shared" si="1725"/>
        <v>0</v>
      </c>
      <c r="CD493" s="161">
        <f t="shared" si="1726"/>
        <v>0</v>
      </c>
      <c r="CE493" s="161">
        <f t="shared" si="1727"/>
        <v>0</v>
      </c>
      <c r="CF493" s="161">
        <f t="shared" si="1728"/>
        <v>0</v>
      </c>
      <c r="CG493" s="161">
        <f t="shared" si="1729"/>
        <v>0</v>
      </c>
      <c r="CH493" s="161">
        <f t="shared" si="1730"/>
        <v>0</v>
      </c>
      <c r="CI493" s="161">
        <f t="shared" si="1731"/>
        <v>0</v>
      </c>
      <c r="CJ493" s="161">
        <f t="shared" si="1732"/>
        <v>0</v>
      </c>
      <c r="CK493" s="161">
        <f t="shared" si="1733"/>
        <v>0</v>
      </c>
      <c r="CL493" s="161">
        <f t="shared" si="1734"/>
        <v>0</v>
      </c>
      <c r="CM493" s="161">
        <f t="shared" si="1735"/>
        <v>0</v>
      </c>
      <c r="CN493" s="161">
        <f t="shared" si="1736"/>
        <v>0</v>
      </c>
      <c r="CO493" s="161">
        <f t="shared" si="1737"/>
        <v>0</v>
      </c>
      <c r="CP493" s="161">
        <f t="shared" si="1738"/>
        <v>0</v>
      </c>
      <c r="CQ493" s="161">
        <f t="shared" si="1739"/>
        <v>0</v>
      </c>
      <c r="CR493" s="161">
        <f t="shared" si="1740"/>
        <v>0</v>
      </c>
      <c r="CS493" s="161">
        <f t="shared" si="1741"/>
        <v>0</v>
      </c>
      <c r="CT493" s="161">
        <f t="shared" si="1742"/>
        <v>0</v>
      </c>
      <c r="CU493" s="161">
        <f t="shared" si="1743"/>
        <v>0</v>
      </c>
      <c r="CV493" s="161">
        <f t="shared" si="1744"/>
        <v>0</v>
      </c>
      <c r="CW493" s="161">
        <f t="shared" si="1745"/>
        <v>0</v>
      </c>
      <c r="CX493" s="161">
        <f t="shared" si="1746"/>
        <v>0</v>
      </c>
      <c r="CY493" s="161">
        <f t="shared" si="1747"/>
        <v>0</v>
      </c>
      <c r="CZ493" s="161">
        <f t="shared" si="1748"/>
        <v>0</v>
      </c>
      <c r="DA493" s="161">
        <f t="shared" si="1749"/>
        <v>0</v>
      </c>
      <c r="DB493" s="161">
        <f t="shared" si="1750"/>
        <v>0</v>
      </c>
      <c r="DC493" s="161">
        <f t="shared" si="1751"/>
        <v>0</v>
      </c>
      <c r="DD493" s="161">
        <f t="shared" si="1752"/>
        <v>0</v>
      </c>
      <c r="DE493" s="161">
        <f t="shared" si="1753"/>
        <v>0</v>
      </c>
      <c r="DF493" s="161">
        <f t="shared" si="1754"/>
        <v>0</v>
      </c>
      <c r="DG493" s="161">
        <f t="shared" si="1755"/>
        <v>0</v>
      </c>
      <c r="DH493" s="161">
        <f t="shared" si="1756"/>
        <v>0</v>
      </c>
      <c r="DI493" s="161">
        <f t="shared" si="1757"/>
        <v>0</v>
      </c>
      <c r="DJ493" s="161">
        <f t="shared" si="1758"/>
        <v>0</v>
      </c>
      <c r="DK493" s="161">
        <f t="shared" si="1759"/>
        <v>0</v>
      </c>
      <c r="DL493" s="161">
        <f t="shared" si="1760"/>
        <v>0</v>
      </c>
      <c r="DM493" s="161">
        <f t="shared" si="1761"/>
        <v>0</v>
      </c>
      <c r="DN493" s="161">
        <f t="shared" si="1762"/>
        <v>0</v>
      </c>
      <c r="DO493" s="161">
        <f t="shared" si="1763"/>
        <v>0</v>
      </c>
      <c r="DP493" s="161">
        <f t="shared" si="1764"/>
        <v>0</v>
      </c>
      <c r="DQ493" s="161">
        <f t="shared" si="1765"/>
        <v>0</v>
      </c>
      <c r="DR493" s="161">
        <f t="shared" si="1766"/>
        <v>0</v>
      </c>
      <c r="DS493" s="161">
        <f t="shared" si="1767"/>
        <v>0</v>
      </c>
      <c r="DT493" s="161">
        <f t="shared" si="1768"/>
        <v>0</v>
      </c>
      <c r="DU493" s="161">
        <f t="shared" si="1769"/>
        <v>0</v>
      </c>
      <c r="DV493" s="161">
        <f t="shared" si="1770"/>
        <v>0</v>
      </c>
      <c r="DW493" s="161">
        <f t="shared" si="1771"/>
        <v>0</v>
      </c>
      <c r="DX493" s="161">
        <f t="shared" si="1772"/>
        <v>0</v>
      </c>
      <c r="DY493" s="161">
        <f t="shared" si="1773"/>
        <v>0</v>
      </c>
      <c r="DZ493" s="161">
        <f t="shared" si="1774"/>
        <v>0</v>
      </c>
      <c r="EA493" s="161">
        <f t="shared" si="1775"/>
        <v>0</v>
      </c>
      <c r="EB493" s="161">
        <f t="shared" si="1776"/>
        <v>0</v>
      </c>
      <c r="EC493" s="161">
        <f t="shared" si="1777"/>
        <v>0</v>
      </c>
      <c r="ED493" s="161">
        <f t="shared" si="1778"/>
        <v>0</v>
      </c>
      <c r="EE493" s="161">
        <f t="shared" si="1779"/>
        <v>0</v>
      </c>
      <c r="EF493" s="161">
        <f t="shared" si="1780"/>
        <v>0</v>
      </c>
      <c r="EG493" s="161">
        <f t="shared" si="1781"/>
        <v>0</v>
      </c>
      <c r="EH493" s="161">
        <f t="shared" si="1782"/>
        <v>0</v>
      </c>
      <c r="EI493" s="161">
        <f t="shared" si="1783"/>
        <v>0</v>
      </c>
      <c r="EJ493" s="65"/>
      <c r="EK493" s="161">
        <f t="shared" si="1854"/>
        <v>0</v>
      </c>
      <c r="EL493" s="161">
        <f t="shared" si="1855"/>
        <v>0</v>
      </c>
      <c r="EM493" s="161">
        <f t="shared" si="1856"/>
        <v>0</v>
      </c>
    </row>
    <row r="494" spans="1:143" ht="12" hidden="1" customHeight="1" outlineLevel="2">
      <c r="A494" s="77">
        <v>18</v>
      </c>
      <c r="B494" s="137" t="str">
        <f t="shared" si="1784"/>
        <v>EST - Equipe_01</v>
      </c>
      <c r="C494" s="65"/>
      <c r="D494" s="622"/>
      <c r="E494" s="65"/>
      <c r="F494" s="584"/>
      <c r="G494" s="77" t="str">
        <f>IF(INDEX(Tarefas!$BT$30:$FK$30,MATCH(A494,Tarefas!$BT$28:$FK$28,0))=0,"",INDEX(Tarefas!$BT$30:$FK$30,MATCH(A494,Tarefas!$BT$28:$FK$28,0)))</f>
        <v>EST</v>
      </c>
      <c r="H494" s="107" cm="1">
        <f t="array" ref="H494">IFERROR((SUMPRODUCT((Tarefas!$N$32:$N$54='Cronog. e Histog.'!$F$477)*(Tarefas!$BQ$30:$FK$30='Cronog. e Histog.'!$G494)*(Tarefas!$BQ$32:$FK$54)))/SUMIF(Tarefas!$N$32:$N$54,'Cronog. e Histog.'!$F$477,Tarefas!$K$32:$K$54),0)</f>
        <v>0</v>
      </c>
      <c r="I494" s="79">
        <f t="shared" si="1785"/>
        <v>0</v>
      </c>
      <c r="J494" s="65"/>
      <c r="K494" s="160">
        <f t="shared" si="1857"/>
        <v>0</v>
      </c>
      <c r="L494" s="160">
        <f t="shared" si="1858"/>
        <v>0</v>
      </c>
      <c r="M494" s="160">
        <f t="shared" si="1858"/>
        <v>0</v>
      </c>
      <c r="N494" s="160">
        <f t="shared" si="1858"/>
        <v>0</v>
      </c>
      <c r="O494" s="160">
        <f t="shared" si="1858"/>
        <v>0</v>
      </c>
      <c r="P494" s="160">
        <f t="shared" si="1858"/>
        <v>0</v>
      </c>
      <c r="Q494" s="160">
        <f t="shared" si="1858"/>
        <v>0</v>
      </c>
      <c r="R494" s="160">
        <f t="shared" si="1858"/>
        <v>0</v>
      </c>
      <c r="S494" s="160">
        <f t="shared" si="1858"/>
        <v>0</v>
      </c>
      <c r="T494" s="160">
        <f t="shared" si="1858"/>
        <v>0</v>
      </c>
      <c r="U494" s="160">
        <f t="shared" si="1858"/>
        <v>0</v>
      </c>
      <c r="V494" s="160">
        <f t="shared" si="1858"/>
        <v>0</v>
      </c>
      <c r="W494" s="160">
        <f t="shared" si="1858"/>
        <v>0</v>
      </c>
      <c r="X494" s="160">
        <f t="shared" si="1858"/>
        <v>0</v>
      </c>
      <c r="Y494" s="160">
        <f t="shared" si="1858"/>
        <v>0</v>
      </c>
      <c r="Z494" s="160">
        <f t="shared" si="1858"/>
        <v>0</v>
      </c>
      <c r="AA494" s="160">
        <f t="shared" si="1858"/>
        <v>0</v>
      </c>
      <c r="AB494" s="160">
        <f t="shared" si="1858"/>
        <v>0</v>
      </c>
      <c r="AC494" s="160">
        <f t="shared" si="1858"/>
        <v>0</v>
      </c>
      <c r="AD494" s="160">
        <f t="shared" si="1858"/>
        <v>0</v>
      </c>
      <c r="AE494" s="160">
        <f t="shared" si="1858"/>
        <v>0</v>
      </c>
      <c r="AF494" s="160">
        <f t="shared" si="1858"/>
        <v>0</v>
      </c>
      <c r="AG494" s="160">
        <f t="shared" si="1858"/>
        <v>0</v>
      </c>
      <c r="AH494" s="160">
        <f t="shared" si="1858"/>
        <v>0</v>
      </c>
      <c r="AI494" s="160">
        <f t="shared" si="1858"/>
        <v>0</v>
      </c>
      <c r="AJ494" s="160">
        <f t="shared" si="1858"/>
        <v>0</v>
      </c>
      <c r="AK494" s="160">
        <f t="shared" si="1858"/>
        <v>0</v>
      </c>
      <c r="AL494" s="160">
        <f t="shared" si="1858"/>
        <v>0</v>
      </c>
      <c r="AM494" s="160">
        <f t="shared" si="1858"/>
        <v>0</v>
      </c>
      <c r="AN494" s="160">
        <f t="shared" si="1858"/>
        <v>0</v>
      </c>
      <c r="AO494" s="160">
        <f t="shared" si="1858"/>
        <v>0</v>
      </c>
      <c r="AP494" s="160">
        <f t="shared" si="1858"/>
        <v>0</v>
      </c>
      <c r="AQ494" s="160">
        <f t="shared" si="1858"/>
        <v>0</v>
      </c>
      <c r="AR494" s="160">
        <f t="shared" si="1858"/>
        <v>0</v>
      </c>
      <c r="AS494" s="160">
        <f t="shared" si="1858"/>
        <v>0</v>
      </c>
      <c r="AT494" s="160">
        <f t="shared" si="1858"/>
        <v>0</v>
      </c>
      <c r="AU494" s="160">
        <f t="shared" si="1858"/>
        <v>0</v>
      </c>
      <c r="AV494" s="160">
        <f t="shared" si="1858"/>
        <v>0</v>
      </c>
      <c r="AW494" s="160">
        <f t="shared" si="1858"/>
        <v>0</v>
      </c>
      <c r="AX494" s="160">
        <f t="shared" si="1858"/>
        <v>0</v>
      </c>
      <c r="AY494" s="160">
        <f t="shared" si="1858"/>
        <v>0</v>
      </c>
      <c r="AZ494" s="160">
        <f t="shared" si="1858"/>
        <v>0</v>
      </c>
      <c r="BA494" s="160">
        <f t="shared" si="1858"/>
        <v>0</v>
      </c>
      <c r="BB494" s="160">
        <f t="shared" si="1858"/>
        <v>0</v>
      </c>
      <c r="BC494" s="160">
        <f t="shared" si="1858"/>
        <v>0</v>
      </c>
      <c r="BD494" s="160">
        <f t="shared" si="1858"/>
        <v>0</v>
      </c>
      <c r="BE494" s="160">
        <f t="shared" si="1858"/>
        <v>0</v>
      </c>
      <c r="BF494" s="160">
        <f t="shared" si="1858"/>
        <v>0</v>
      </c>
      <c r="BG494" s="160">
        <f t="shared" si="1858"/>
        <v>0</v>
      </c>
      <c r="BH494" s="160">
        <f t="shared" si="1858"/>
        <v>0</v>
      </c>
      <c r="BI494" s="160">
        <f t="shared" si="1858"/>
        <v>0</v>
      </c>
      <c r="BJ494" s="160">
        <f t="shared" si="1858"/>
        <v>0</v>
      </c>
      <c r="BK494" s="160">
        <f t="shared" si="1858"/>
        <v>0</v>
      </c>
      <c r="BL494" s="160">
        <f t="shared" si="1858"/>
        <v>0</v>
      </c>
      <c r="BM494" s="160">
        <f t="shared" si="1858"/>
        <v>0</v>
      </c>
      <c r="BN494" s="160">
        <f t="shared" si="1858"/>
        <v>0</v>
      </c>
      <c r="BO494" s="160">
        <f t="shared" si="1858"/>
        <v>0</v>
      </c>
      <c r="BP494" s="160">
        <f t="shared" si="1858"/>
        <v>0</v>
      </c>
      <c r="BQ494" s="160">
        <f t="shared" si="1858"/>
        <v>0</v>
      </c>
      <c r="BR494" s="160">
        <f t="shared" si="1858"/>
        <v>0</v>
      </c>
      <c r="BS494" s="65"/>
      <c r="BT494" s="160">
        <f t="shared" si="1720"/>
        <v>0</v>
      </c>
      <c r="BU494" s="160">
        <f t="shared" si="1721"/>
        <v>0</v>
      </c>
      <c r="BV494" s="65"/>
      <c r="BW494" s="69"/>
      <c r="BX494" s="65"/>
      <c r="BY494" s="137">
        <f t="shared" si="1722"/>
        <v>1</v>
      </c>
      <c r="BZ494" s="137">
        <f>IF(BY494&gt;0,BY494+LARGE($BZ$213:BZ493,1),0)</f>
        <v>238</v>
      </c>
      <c r="CA494" s="137" t="str">
        <f t="shared" si="1723"/>
        <v>EST</v>
      </c>
      <c r="CB494" s="161">
        <f t="shared" si="1724"/>
        <v>0</v>
      </c>
      <c r="CC494" s="161">
        <f t="shared" si="1725"/>
        <v>0</v>
      </c>
      <c r="CD494" s="161">
        <f t="shared" si="1726"/>
        <v>0</v>
      </c>
      <c r="CE494" s="161">
        <f t="shared" si="1727"/>
        <v>0</v>
      </c>
      <c r="CF494" s="161">
        <f t="shared" si="1728"/>
        <v>0</v>
      </c>
      <c r="CG494" s="161">
        <f t="shared" si="1729"/>
        <v>0</v>
      </c>
      <c r="CH494" s="161">
        <f t="shared" si="1730"/>
        <v>0</v>
      </c>
      <c r="CI494" s="161">
        <f t="shared" si="1731"/>
        <v>0</v>
      </c>
      <c r="CJ494" s="161">
        <f t="shared" si="1732"/>
        <v>0</v>
      </c>
      <c r="CK494" s="161">
        <f t="shared" si="1733"/>
        <v>0</v>
      </c>
      <c r="CL494" s="161">
        <f t="shared" si="1734"/>
        <v>0</v>
      </c>
      <c r="CM494" s="161">
        <f t="shared" si="1735"/>
        <v>0</v>
      </c>
      <c r="CN494" s="161">
        <f t="shared" si="1736"/>
        <v>0</v>
      </c>
      <c r="CO494" s="161">
        <f t="shared" si="1737"/>
        <v>0</v>
      </c>
      <c r="CP494" s="161">
        <f t="shared" si="1738"/>
        <v>0</v>
      </c>
      <c r="CQ494" s="161">
        <f t="shared" si="1739"/>
        <v>0</v>
      </c>
      <c r="CR494" s="161">
        <f t="shared" si="1740"/>
        <v>0</v>
      </c>
      <c r="CS494" s="161">
        <f t="shared" si="1741"/>
        <v>0</v>
      </c>
      <c r="CT494" s="161">
        <f t="shared" si="1742"/>
        <v>0</v>
      </c>
      <c r="CU494" s="161">
        <f t="shared" si="1743"/>
        <v>0</v>
      </c>
      <c r="CV494" s="161">
        <f t="shared" si="1744"/>
        <v>0</v>
      </c>
      <c r="CW494" s="161">
        <f t="shared" si="1745"/>
        <v>0</v>
      </c>
      <c r="CX494" s="161">
        <f t="shared" si="1746"/>
        <v>0</v>
      </c>
      <c r="CY494" s="161">
        <f t="shared" si="1747"/>
        <v>0</v>
      </c>
      <c r="CZ494" s="161">
        <f t="shared" si="1748"/>
        <v>0</v>
      </c>
      <c r="DA494" s="161">
        <f t="shared" si="1749"/>
        <v>0</v>
      </c>
      <c r="DB494" s="161">
        <f t="shared" si="1750"/>
        <v>0</v>
      </c>
      <c r="DC494" s="161">
        <f t="shared" si="1751"/>
        <v>0</v>
      </c>
      <c r="DD494" s="161">
        <f t="shared" si="1752"/>
        <v>0</v>
      </c>
      <c r="DE494" s="161">
        <f t="shared" si="1753"/>
        <v>0</v>
      </c>
      <c r="DF494" s="161">
        <f t="shared" si="1754"/>
        <v>0</v>
      </c>
      <c r="DG494" s="161">
        <f t="shared" si="1755"/>
        <v>0</v>
      </c>
      <c r="DH494" s="161">
        <f t="shared" si="1756"/>
        <v>0</v>
      </c>
      <c r="DI494" s="161">
        <f t="shared" si="1757"/>
        <v>0</v>
      </c>
      <c r="DJ494" s="161">
        <f t="shared" si="1758"/>
        <v>0</v>
      </c>
      <c r="DK494" s="161">
        <f t="shared" si="1759"/>
        <v>0</v>
      </c>
      <c r="DL494" s="161">
        <f t="shared" si="1760"/>
        <v>0</v>
      </c>
      <c r="DM494" s="161">
        <f t="shared" si="1761"/>
        <v>0</v>
      </c>
      <c r="DN494" s="161">
        <f t="shared" si="1762"/>
        <v>0</v>
      </c>
      <c r="DO494" s="161">
        <f t="shared" si="1763"/>
        <v>0</v>
      </c>
      <c r="DP494" s="161">
        <f t="shared" si="1764"/>
        <v>0</v>
      </c>
      <c r="DQ494" s="161">
        <f t="shared" si="1765"/>
        <v>0</v>
      </c>
      <c r="DR494" s="161">
        <f t="shared" si="1766"/>
        <v>0</v>
      </c>
      <c r="DS494" s="161">
        <f t="shared" si="1767"/>
        <v>0</v>
      </c>
      <c r="DT494" s="161">
        <f t="shared" si="1768"/>
        <v>0</v>
      </c>
      <c r="DU494" s="161">
        <f t="shared" si="1769"/>
        <v>0</v>
      </c>
      <c r="DV494" s="161">
        <f t="shared" si="1770"/>
        <v>0</v>
      </c>
      <c r="DW494" s="161">
        <f t="shared" si="1771"/>
        <v>0</v>
      </c>
      <c r="DX494" s="161">
        <f t="shared" si="1772"/>
        <v>0</v>
      </c>
      <c r="DY494" s="161">
        <f t="shared" si="1773"/>
        <v>0</v>
      </c>
      <c r="DZ494" s="161">
        <f t="shared" si="1774"/>
        <v>0</v>
      </c>
      <c r="EA494" s="161">
        <f t="shared" si="1775"/>
        <v>0</v>
      </c>
      <c r="EB494" s="161">
        <f t="shared" si="1776"/>
        <v>0</v>
      </c>
      <c r="EC494" s="161">
        <f t="shared" si="1777"/>
        <v>0</v>
      </c>
      <c r="ED494" s="161">
        <f t="shared" si="1778"/>
        <v>0</v>
      </c>
      <c r="EE494" s="161">
        <f t="shared" si="1779"/>
        <v>0</v>
      </c>
      <c r="EF494" s="161">
        <f t="shared" si="1780"/>
        <v>0</v>
      </c>
      <c r="EG494" s="161">
        <f t="shared" si="1781"/>
        <v>0</v>
      </c>
      <c r="EH494" s="161">
        <f t="shared" si="1782"/>
        <v>0</v>
      </c>
      <c r="EI494" s="161">
        <f t="shared" si="1783"/>
        <v>0</v>
      </c>
      <c r="EJ494" s="65"/>
      <c r="EK494" s="161">
        <f t="shared" si="1854"/>
        <v>0</v>
      </c>
      <c r="EL494" s="161">
        <f t="shared" si="1855"/>
        <v>0</v>
      </c>
      <c r="EM494" s="161">
        <f t="shared" si="1856"/>
        <v>0</v>
      </c>
    </row>
    <row r="495" spans="1:143" ht="12" hidden="1" customHeight="1" outlineLevel="2">
      <c r="A495" s="77">
        <v>19</v>
      </c>
      <c r="B495" s="137" t="str">
        <f t="shared" si="1784"/>
        <v>EST_II - Equipe_01</v>
      </c>
      <c r="C495" s="65"/>
      <c r="D495" s="622"/>
      <c r="E495" s="65"/>
      <c r="F495" s="584"/>
      <c r="G495" s="77" t="str">
        <f>IF(INDEX(Tarefas!$BT$30:$FK$30,MATCH(A495,Tarefas!$BT$28:$FK$28,0))=0,"",INDEX(Tarefas!$BT$30:$FK$30,MATCH(A495,Tarefas!$BT$28:$FK$28,0)))</f>
        <v>EST_II</v>
      </c>
      <c r="H495" s="107" cm="1">
        <f t="array" ref="H495">IFERROR((SUMPRODUCT((Tarefas!$N$32:$N$54='Cronog. e Histog.'!$F$477)*(Tarefas!$BQ$30:$FK$30='Cronog. e Histog.'!$G495)*(Tarefas!$BQ$32:$FK$54)))/SUMIF(Tarefas!$N$32:$N$54,'Cronog. e Histog.'!$F$477,Tarefas!$K$32:$K$54),0)</f>
        <v>0</v>
      </c>
      <c r="I495" s="79">
        <f t="shared" si="1785"/>
        <v>0</v>
      </c>
      <c r="J495" s="65"/>
      <c r="K495" s="160">
        <f t="shared" si="1857"/>
        <v>0</v>
      </c>
      <c r="L495" s="160">
        <f t="shared" si="1858"/>
        <v>0</v>
      </c>
      <c r="M495" s="160">
        <f t="shared" si="1858"/>
        <v>0</v>
      </c>
      <c r="N495" s="160">
        <f t="shared" si="1858"/>
        <v>0</v>
      </c>
      <c r="O495" s="160">
        <f t="shared" si="1858"/>
        <v>0</v>
      </c>
      <c r="P495" s="160">
        <f t="shared" si="1858"/>
        <v>0</v>
      </c>
      <c r="Q495" s="160">
        <f t="shared" si="1858"/>
        <v>0</v>
      </c>
      <c r="R495" s="160">
        <f t="shared" si="1858"/>
        <v>0</v>
      </c>
      <c r="S495" s="160">
        <f t="shared" si="1858"/>
        <v>0</v>
      </c>
      <c r="T495" s="160">
        <f t="shared" si="1858"/>
        <v>0</v>
      </c>
      <c r="U495" s="160">
        <f t="shared" si="1858"/>
        <v>0</v>
      </c>
      <c r="V495" s="160">
        <f t="shared" si="1858"/>
        <v>0</v>
      </c>
      <c r="W495" s="160">
        <f t="shared" si="1858"/>
        <v>0</v>
      </c>
      <c r="X495" s="160">
        <f t="shared" si="1858"/>
        <v>0</v>
      </c>
      <c r="Y495" s="160">
        <f t="shared" si="1858"/>
        <v>0</v>
      </c>
      <c r="Z495" s="160">
        <f t="shared" si="1858"/>
        <v>0</v>
      </c>
      <c r="AA495" s="160">
        <f t="shared" si="1858"/>
        <v>0</v>
      </c>
      <c r="AB495" s="160">
        <f t="shared" si="1858"/>
        <v>0</v>
      </c>
      <c r="AC495" s="160">
        <f t="shared" si="1858"/>
        <v>0</v>
      </c>
      <c r="AD495" s="160">
        <f t="shared" si="1858"/>
        <v>0</v>
      </c>
      <c r="AE495" s="160">
        <f t="shared" si="1858"/>
        <v>0</v>
      </c>
      <c r="AF495" s="160">
        <f t="shared" si="1858"/>
        <v>0</v>
      </c>
      <c r="AG495" s="160">
        <f t="shared" si="1858"/>
        <v>0</v>
      </c>
      <c r="AH495" s="160">
        <f t="shared" si="1858"/>
        <v>0</v>
      </c>
      <c r="AI495" s="160">
        <f t="shared" si="1858"/>
        <v>0</v>
      </c>
      <c r="AJ495" s="160">
        <f t="shared" si="1858"/>
        <v>0</v>
      </c>
      <c r="AK495" s="160">
        <f t="shared" si="1858"/>
        <v>0</v>
      </c>
      <c r="AL495" s="160">
        <f t="shared" si="1858"/>
        <v>0</v>
      </c>
      <c r="AM495" s="160">
        <f t="shared" si="1858"/>
        <v>0</v>
      </c>
      <c r="AN495" s="160">
        <f t="shared" si="1858"/>
        <v>0</v>
      </c>
      <c r="AO495" s="160">
        <f t="shared" si="1858"/>
        <v>0</v>
      </c>
      <c r="AP495" s="160">
        <f t="shared" si="1858"/>
        <v>0</v>
      </c>
      <c r="AQ495" s="160">
        <f t="shared" si="1858"/>
        <v>0</v>
      </c>
      <c r="AR495" s="160">
        <f t="shared" si="1858"/>
        <v>0</v>
      </c>
      <c r="AS495" s="160">
        <f t="shared" si="1858"/>
        <v>0</v>
      </c>
      <c r="AT495" s="160">
        <f t="shared" si="1858"/>
        <v>0</v>
      </c>
      <c r="AU495" s="160">
        <f t="shared" si="1858"/>
        <v>0</v>
      </c>
      <c r="AV495" s="160">
        <f t="shared" si="1858"/>
        <v>0</v>
      </c>
      <c r="AW495" s="160">
        <f t="shared" si="1858"/>
        <v>0</v>
      </c>
      <c r="AX495" s="160">
        <f t="shared" si="1858"/>
        <v>0</v>
      </c>
      <c r="AY495" s="160">
        <f t="shared" si="1858"/>
        <v>0</v>
      </c>
      <c r="AZ495" s="160">
        <f t="shared" si="1858"/>
        <v>0</v>
      </c>
      <c r="BA495" s="160">
        <f t="shared" si="1858"/>
        <v>0</v>
      </c>
      <c r="BB495" s="160">
        <f t="shared" si="1858"/>
        <v>0</v>
      </c>
      <c r="BC495" s="160">
        <f t="shared" si="1858"/>
        <v>0</v>
      </c>
      <c r="BD495" s="160">
        <f t="shared" si="1858"/>
        <v>0</v>
      </c>
      <c r="BE495" s="160">
        <f t="shared" si="1858"/>
        <v>0</v>
      </c>
      <c r="BF495" s="160">
        <f t="shared" si="1858"/>
        <v>0</v>
      </c>
      <c r="BG495" s="160">
        <f t="shared" si="1858"/>
        <v>0</v>
      </c>
      <c r="BH495" s="160">
        <f t="shared" si="1858"/>
        <v>0</v>
      </c>
      <c r="BI495" s="160">
        <f t="shared" si="1858"/>
        <v>0</v>
      </c>
      <c r="BJ495" s="160">
        <f t="shared" si="1858"/>
        <v>0</v>
      </c>
      <c r="BK495" s="160">
        <f t="shared" si="1858"/>
        <v>0</v>
      </c>
      <c r="BL495" s="160">
        <f t="shared" si="1858"/>
        <v>0</v>
      </c>
      <c r="BM495" s="160">
        <f t="shared" ref="L495:BR496" si="1859">ROUND($I495*BM$194,2)</f>
        <v>0</v>
      </c>
      <c r="BN495" s="160">
        <f t="shared" si="1859"/>
        <v>0</v>
      </c>
      <c r="BO495" s="160">
        <f t="shared" si="1859"/>
        <v>0</v>
      </c>
      <c r="BP495" s="160">
        <f t="shared" si="1859"/>
        <v>0</v>
      </c>
      <c r="BQ495" s="160">
        <f t="shared" si="1859"/>
        <v>0</v>
      </c>
      <c r="BR495" s="160">
        <f t="shared" si="1859"/>
        <v>0</v>
      </c>
      <c r="BS495" s="65"/>
      <c r="BT495" s="160">
        <f t="shared" si="1720"/>
        <v>0</v>
      </c>
      <c r="BU495" s="160">
        <f t="shared" si="1721"/>
        <v>0</v>
      </c>
      <c r="BV495" s="65"/>
      <c r="BW495" s="69"/>
      <c r="BX495" s="65"/>
      <c r="BY495" s="137">
        <f t="shared" si="1722"/>
        <v>1</v>
      </c>
      <c r="BZ495" s="137">
        <f>IF(BY495&gt;0,BY495+LARGE($BZ$213:BZ494,1),0)</f>
        <v>239</v>
      </c>
      <c r="CA495" s="137" t="str">
        <f t="shared" si="1723"/>
        <v>EST_II</v>
      </c>
      <c r="CB495" s="161">
        <f t="shared" si="1724"/>
        <v>0</v>
      </c>
      <c r="CC495" s="161">
        <f t="shared" si="1725"/>
        <v>0</v>
      </c>
      <c r="CD495" s="161">
        <f t="shared" si="1726"/>
        <v>0</v>
      </c>
      <c r="CE495" s="161">
        <f t="shared" si="1727"/>
        <v>0</v>
      </c>
      <c r="CF495" s="161">
        <f t="shared" si="1728"/>
        <v>0</v>
      </c>
      <c r="CG495" s="161">
        <f t="shared" si="1729"/>
        <v>0</v>
      </c>
      <c r="CH495" s="161">
        <f t="shared" si="1730"/>
        <v>0</v>
      </c>
      <c r="CI495" s="161">
        <f t="shared" si="1731"/>
        <v>0</v>
      </c>
      <c r="CJ495" s="161">
        <f t="shared" si="1732"/>
        <v>0</v>
      </c>
      <c r="CK495" s="161">
        <f t="shared" si="1733"/>
        <v>0</v>
      </c>
      <c r="CL495" s="161">
        <f t="shared" si="1734"/>
        <v>0</v>
      </c>
      <c r="CM495" s="161">
        <f t="shared" si="1735"/>
        <v>0</v>
      </c>
      <c r="CN495" s="161">
        <f t="shared" si="1736"/>
        <v>0</v>
      </c>
      <c r="CO495" s="161">
        <f t="shared" si="1737"/>
        <v>0</v>
      </c>
      <c r="CP495" s="161">
        <f t="shared" si="1738"/>
        <v>0</v>
      </c>
      <c r="CQ495" s="161">
        <f t="shared" si="1739"/>
        <v>0</v>
      </c>
      <c r="CR495" s="161">
        <f t="shared" si="1740"/>
        <v>0</v>
      </c>
      <c r="CS495" s="161">
        <f t="shared" si="1741"/>
        <v>0</v>
      </c>
      <c r="CT495" s="161">
        <f t="shared" si="1742"/>
        <v>0</v>
      </c>
      <c r="CU495" s="161">
        <f t="shared" si="1743"/>
        <v>0</v>
      </c>
      <c r="CV495" s="161">
        <f t="shared" si="1744"/>
        <v>0</v>
      </c>
      <c r="CW495" s="161">
        <f t="shared" si="1745"/>
        <v>0</v>
      </c>
      <c r="CX495" s="161">
        <f t="shared" si="1746"/>
        <v>0</v>
      </c>
      <c r="CY495" s="161">
        <f t="shared" si="1747"/>
        <v>0</v>
      </c>
      <c r="CZ495" s="161">
        <f t="shared" si="1748"/>
        <v>0</v>
      </c>
      <c r="DA495" s="161">
        <f t="shared" si="1749"/>
        <v>0</v>
      </c>
      <c r="DB495" s="161">
        <f t="shared" si="1750"/>
        <v>0</v>
      </c>
      <c r="DC495" s="161">
        <f t="shared" si="1751"/>
        <v>0</v>
      </c>
      <c r="DD495" s="161">
        <f t="shared" si="1752"/>
        <v>0</v>
      </c>
      <c r="DE495" s="161">
        <f t="shared" si="1753"/>
        <v>0</v>
      </c>
      <c r="DF495" s="161">
        <f t="shared" si="1754"/>
        <v>0</v>
      </c>
      <c r="DG495" s="161">
        <f t="shared" si="1755"/>
        <v>0</v>
      </c>
      <c r="DH495" s="161">
        <f t="shared" si="1756"/>
        <v>0</v>
      </c>
      <c r="DI495" s="161">
        <f t="shared" si="1757"/>
        <v>0</v>
      </c>
      <c r="DJ495" s="161">
        <f t="shared" si="1758"/>
        <v>0</v>
      </c>
      <c r="DK495" s="161">
        <f t="shared" si="1759"/>
        <v>0</v>
      </c>
      <c r="DL495" s="161">
        <f t="shared" si="1760"/>
        <v>0</v>
      </c>
      <c r="DM495" s="161">
        <f t="shared" si="1761"/>
        <v>0</v>
      </c>
      <c r="DN495" s="161">
        <f t="shared" si="1762"/>
        <v>0</v>
      </c>
      <c r="DO495" s="161">
        <f t="shared" si="1763"/>
        <v>0</v>
      </c>
      <c r="DP495" s="161">
        <f t="shared" si="1764"/>
        <v>0</v>
      </c>
      <c r="DQ495" s="161">
        <f t="shared" si="1765"/>
        <v>0</v>
      </c>
      <c r="DR495" s="161">
        <f t="shared" si="1766"/>
        <v>0</v>
      </c>
      <c r="DS495" s="161">
        <f t="shared" si="1767"/>
        <v>0</v>
      </c>
      <c r="DT495" s="161">
        <f t="shared" si="1768"/>
        <v>0</v>
      </c>
      <c r="DU495" s="161">
        <f t="shared" si="1769"/>
        <v>0</v>
      </c>
      <c r="DV495" s="161">
        <f t="shared" si="1770"/>
        <v>0</v>
      </c>
      <c r="DW495" s="161">
        <f t="shared" si="1771"/>
        <v>0</v>
      </c>
      <c r="DX495" s="161">
        <f t="shared" si="1772"/>
        <v>0</v>
      </c>
      <c r="DY495" s="161">
        <f t="shared" si="1773"/>
        <v>0</v>
      </c>
      <c r="DZ495" s="161">
        <f t="shared" si="1774"/>
        <v>0</v>
      </c>
      <c r="EA495" s="161">
        <f t="shared" si="1775"/>
        <v>0</v>
      </c>
      <c r="EB495" s="161">
        <f t="shared" si="1776"/>
        <v>0</v>
      </c>
      <c r="EC495" s="161">
        <f t="shared" si="1777"/>
        <v>0</v>
      </c>
      <c r="ED495" s="161">
        <f t="shared" si="1778"/>
        <v>0</v>
      </c>
      <c r="EE495" s="161">
        <f t="shared" si="1779"/>
        <v>0</v>
      </c>
      <c r="EF495" s="161">
        <f t="shared" si="1780"/>
        <v>0</v>
      </c>
      <c r="EG495" s="161">
        <f t="shared" si="1781"/>
        <v>0</v>
      </c>
      <c r="EH495" s="161">
        <f t="shared" si="1782"/>
        <v>0</v>
      </c>
      <c r="EI495" s="161">
        <f t="shared" si="1783"/>
        <v>0</v>
      </c>
      <c r="EJ495" s="65"/>
      <c r="EK495" s="161">
        <f t="shared" si="1854"/>
        <v>0</v>
      </c>
      <c r="EL495" s="161">
        <f t="shared" si="1855"/>
        <v>0</v>
      </c>
      <c r="EM495" s="161">
        <f t="shared" si="1856"/>
        <v>0</v>
      </c>
    </row>
    <row r="496" spans="1:143" ht="12" hidden="1" customHeight="1" outlineLevel="2">
      <c r="A496" s="77">
        <v>20</v>
      </c>
      <c r="B496" s="137" t="str">
        <f t="shared" si="1784"/>
        <v>EST_III - Equipe_01</v>
      </c>
      <c r="C496" s="65"/>
      <c r="D496" s="623"/>
      <c r="E496" s="65"/>
      <c r="F496" s="584"/>
      <c r="G496" s="77" t="str">
        <f>IF(INDEX(Tarefas!$BT$30:$FK$30,MATCH(A496,Tarefas!$BT$28:$FK$28,0))=0,"",INDEX(Tarefas!$BT$30:$FK$30,MATCH(A496,Tarefas!$BT$28:$FK$28,0)))</f>
        <v>EST_III</v>
      </c>
      <c r="H496" s="107" cm="1">
        <f t="array" ref="H496">IFERROR((SUMPRODUCT((Tarefas!$N$32:$N$54='Cronog. e Histog.'!$F$477)*(Tarefas!$BQ$30:$FK$30='Cronog. e Histog.'!$G496)*(Tarefas!$BQ$32:$FK$54)))/SUMIF(Tarefas!$N$32:$N$54,'Cronog. e Histog.'!$F$477,Tarefas!$K$32:$K$54),0)</f>
        <v>0</v>
      </c>
      <c r="I496" s="79">
        <f t="shared" si="1785"/>
        <v>0</v>
      </c>
      <c r="J496" s="65"/>
      <c r="K496" s="160">
        <f t="shared" si="1857"/>
        <v>0</v>
      </c>
      <c r="L496" s="160">
        <f t="shared" si="1859"/>
        <v>0</v>
      </c>
      <c r="M496" s="160">
        <f t="shared" si="1859"/>
        <v>0</v>
      </c>
      <c r="N496" s="160">
        <f t="shared" si="1859"/>
        <v>0</v>
      </c>
      <c r="O496" s="160">
        <f t="shared" si="1859"/>
        <v>0</v>
      </c>
      <c r="P496" s="160">
        <f t="shared" si="1859"/>
        <v>0</v>
      </c>
      <c r="Q496" s="160">
        <f t="shared" si="1859"/>
        <v>0</v>
      </c>
      <c r="R496" s="160">
        <f t="shared" si="1859"/>
        <v>0</v>
      </c>
      <c r="S496" s="160">
        <f t="shared" si="1859"/>
        <v>0</v>
      </c>
      <c r="T496" s="160">
        <f t="shared" si="1859"/>
        <v>0</v>
      </c>
      <c r="U496" s="160">
        <f t="shared" si="1859"/>
        <v>0</v>
      </c>
      <c r="V496" s="160">
        <f t="shared" si="1859"/>
        <v>0</v>
      </c>
      <c r="W496" s="160">
        <f t="shared" si="1859"/>
        <v>0</v>
      </c>
      <c r="X496" s="160">
        <f t="shared" si="1859"/>
        <v>0</v>
      </c>
      <c r="Y496" s="160">
        <f t="shared" si="1859"/>
        <v>0</v>
      </c>
      <c r="Z496" s="160">
        <f t="shared" si="1859"/>
        <v>0</v>
      </c>
      <c r="AA496" s="160">
        <f t="shared" si="1859"/>
        <v>0</v>
      </c>
      <c r="AB496" s="160">
        <f t="shared" si="1859"/>
        <v>0</v>
      </c>
      <c r="AC496" s="160">
        <f t="shared" si="1859"/>
        <v>0</v>
      </c>
      <c r="AD496" s="160">
        <f t="shared" si="1859"/>
        <v>0</v>
      </c>
      <c r="AE496" s="160">
        <f t="shared" si="1859"/>
        <v>0</v>
      </c>
      <c r="AF496" s="160">
        <f t="shared" si="1859"/>
        <v>0</v>
      </c>
      <c r="AG496" s="160">
        <f t="shared" si="1859"/>
        <v>0</v>
      </c>
      <c r="AH496" s="160">
        <f t="shared" si="1859"/>
        <v>0</v>
      </c>
      <c r="AI496" s="160">
        <f t="shared" si="1859"/>
        <v>0</v>
      </c>
      <c r="AJ496" s="160">
        <f t="shared" si="1859"/>
        <v>0</v>
      </c>
      <c r="AK496" s="160">
        <f t="shared" si="1859"/>
        <v>0</v>
      </c>
      <c r="AL496" s="160">
        <f t="shared" si="1859"/>
        <v>0</v>
      </c>
      <c r="AM496" s="160">
        <f t="shared" si="1859"/>
        <v>0</v>
      </c>
      <c r="AN496" s="160">
        <f t="shared" si="1859"/>
        <v>0</v>
      </c>
      <c r="AO496" s="160">
        <f t="shared" si="1859"/>
        <v>0</v>
      </c>
      <c r="AP496" s="160">
        <f t="shared" si="1859"/>
        <v>0</v>
      </c>
      <c r="AQ496" s="160">
        <f t="shared" si="1859"/>
        <v>0</v>
      </c>
      <c r="AR496" s="160">
        <f t="shared" si="1859"/>
        <v>0</v>
      </c>
      <c r="AS496" s="160">
        <f t="shared" si="1859"/>
        <v>0</v>
      </c>
      <c r="AT496" s="160">
        <f t="shared" si="1859"/>
        <v>0</v>
      </c>
      <c r="AU496" s="160">
        <f t="shared" si="1859"/>
        <v>0</v>
      </c>
      <c r="AV496" s="160">
        <f t="shared" si="1859"/>
        <v>0</v>
      </c>
      <c r="AW496" s="160">
        <f t="shared" si="1859"/>
        <v>0</v>
      </c>
      <c r="AX496" s="160">
        <f t="shared" si="1859"/>
        <v>0</v>
      </c>
      <c r="AY496" s="160">
        <f t="shared" si="1859"/>
        <v>0</v>
      </c>
      <c r="AZ496" s="160">
        <f t="shared" si="1859"/>
        <v>0</v>
      </c>
      <c r="BA496" s="160">
        <f t="shared" si="1859"/>
        <v>0</v>
      </c>
      <c r="BB496" s="160">
        <f t="shared" si="1859"/>
        <v>0</v>
      </c>
      <c r="BC496" s="160">
        <f t="shared" si="1859"/>
        <v>0</v>
      </c>
      <c r="BD496" s="160">
        <f t="shared" si="1859"/>
        <v>0</v>
      </c>
      <c r="BE496" s="160">
        <f t="shared" si="1859"/>
        <v>0</v>
      </c>
      <c r="BF496" s="160">
        <f t="shared" si="1859"/>
        <v>0</v>
      </c>
      <c r="BG496" s="160">
        <f t="shared" si="1859"/>
        <v>0</v>
      </c>
      <c r="BH496" s="160">
        <f t="shared" si="1859"/>
        <v>0</v>
      </c>
      <c r="BI496" s="160">
        <f t="shared" si="1859"/>
        <v>0</v>
      </c>
      <c r="BJ496" s="160">
        <f t="shared" si="1859"/>
        <v>0</v>
      </c>
      <c r="BK496" s="160">
        <f t="shared" si="1859"/>
        <v>0</v>
      </c>
      <c r="BL496" s="160">
        <f t="shared" si="1859"/>
        <v>0</v>
      </c>
      <c r="BM496" s="160">
        <f t="shared" si="1859"/>
        <v>0</v>
      </c>
      <c r="BN496" s="160">
        <f t="shared" si="1859"/>
        <v>0</v>
      </c>
      <c r="BO496" s="160">
        <f t="shared" si="1859"/>
        <v>0</v>
      </c>
      <c r="BP496" s="160">
        <f t="shared" si="1859"/>
        <v>0</v>
      </c>
      <c r="BQ496" s="160">
        <f t="shared" si="1859"/>
        <v>0</v>
      </c>
      <c r="BR496" s="160">
        <f t="shared" si="1859"/>
        <v>0</v>
      </c>
      <c r="BS496" s="65"/>
      <c r="BT496" s="160">
        <f t="shared" si="1720"/>
        <v>0</v>
      </c>
      <c r="BU496" s="160">
        <f t="shared" si="1721"/>
        <v>0</v>
      </c>
      <c r="BV496" s="65"/>
      <c r="BW496" s="69"/>
      <c r="BX496" s="65"/>
      <c r="BY496" s="137">
        <f t="shared" si="1722"/>
        <v>1</v>
      </c>
      <c r="BZ496" s="137">
        <f>IF(BY496&gt;0,BY496+LARGE($BZ$213:BZ495,1),0)</f>
        <v>240</v>
      </c>
      <c r="CA496" s="137" t="str">
        <f t="shared" si="1723"/>
        <v>EST_III</v>
      </c>
      <c r="CB496" s="161">
        <f t="shared" si="1724"/>
        <v>0</v>
      </c>
      <c r="CC496" s="161">
        <f t="shared" si="1725"/>
        <v>0</v>
      </c>
      <c r="CD496" s="161">
        <f t="shared" si="1726"/>
        <v>0</v>
      </c>
      <c r="CE496" s="161">
        <f t="shared" si="1727"/>
        <v>0</v>
      </c>
      <c r="CF496" s="161">
        <f t="shared" si="1728"/>
        <v>0</v>
      </c>
      <c r="CG496" s="161">
        <f t="shared" si="1729"/>
        <v>0</v>
      </c>
      <c r="CH496" s="161">
        <f t="shared" si="1730"/>
        <v>0</v>
      </c>
      <c r="CI496" s="161">
        <f t="shared" si="1731"/>
        <v>0</v>
      </c>
      <c r="CJ496" s="161">
        <f t="shared" si="1732"/>
        <v>0</v>
      </c>
      <c r="CK496" s="161">
        <f t="shared" si="1733"/>
        <v>0</v>
      </c>
      <c r="CL496" s="161">
        <f t="shared" si="1734"/>
        <v>0</v>
      </c>
      <c r="CM496" s="161">
        <f t="shared" si="1735"/>
        <v>0</v>
      </c>
      <c r="CN496" s="161">
        <f t="shared" si="1736"/>
        <v>0</v>
      </c>
      <c r="CO496" s="161">
        <f t="shared" si="1737"/>
        <v>0</v>
      </c>
      <c r="CP496" s="161">
        <f t="shared" si="1738"/>
        <v>0</v>
      </c>
      <c r="CQ496" s="161">
        <f t="shared" si="1739"/>
        <v>0</v>
      </c>
      <c r="CR496" s="161">
        <f t="shared" si="1740"/>
        <v>0</v>
      </c>
      <c r="CS496" s="161">
        <f t="shared" si="1741"/>
        <v>0</v>
      </c>
      <c r="CT496" s="161">
        <f t="shared" si="1742"/>
        <v>0</v>
      </c>
      <c r="CU496" s="161">
        <f t="shared" si="1743"/>
        <v>0</v>
      </c>
      <c r="CV496" s="161">
        <f t="shared" si="1744"/>
        <v>0</v>
      </c>
      <c r="CW496" s="161">
        <f t="shared" si="1745"/>
        <v>0</v>
      </c>
      <c r="CX496" s="161">
        <f t="shared" si="1746"/>
        <v>0</v>
      </c>
      <c r="CY496" s="161">
        <f t="shared" si="1747"/>
        <v>0</v>
      </c>
      <c r="CZ496" s="161">
        <f t="shared" si="1748"/>
        <v>0</v>
      </c>
      <c r="DA496" s="161">
        <f t="shared" si="1749"/>
        <v>0</v>
      </c>
      <c r="DB496" s="161">
        <f t="shared" si="1750"/>
        <v>0</v>
      </c>
      <c r="DC496" s="161">
        <f t="shared" si="1751"/>
        <v>0</v>
      </c>
      <c r="DD496" s="161">
        <f t="shared" si="1752"/>
        <v>0</v>
      </c>
      <c r="DE496" s="161">
        <f t="shared" si="1753"/>
        <v>0</v>
      </c>
      <c r="DF496" s="161">
        <f t="shared" si="1754"/>
        <v>0</v>
      </c>
      <c r="DG496" s="161">
        <f t="shared" si="1755"/>
        <v>0</v>
      </c>
      <c r="DH496" s="161">
        <f t="shared" si="1756"/>
        <v>0</v>
      </c>
      <c r="DI496" s="161">
        <f t="shared" si="1757"/>
        <v>0</v>
      </c>
      <c r="DJ496" s="161">
        <f t="shared" si="1758"/>
        <v>0</v>
      </c>
      <c r="DK496" s="161">
        <f t="shared" si="1759"/>
        <v>0</v>
      </c>
      <c r="DL496" s="161">
        <f t="shared" si="1760"/>
        <v>0</v>
      </c>
      <c r="DM496" s="161">
        <f t="shared" si="1761"/>
        <v>0</v>
      </c>
      <c r="DN496" s="161">
        <f t="shared" si="1762"/>
        <v>0</v>
      </c>
      <c r="DO496" s="161">
        <f t="shared" si="1763"/>
        <v>0</v>
      </c>
      <c r="DP496" s="161">
        <f t="shared" si="1764"/>
        <v>0</v>
      </c>
      <c r="DQ496" s="161">
        <f t="shared" si="1765"/>
        <v>0</v>
      </c>
      <c r="DR496" s="161">
        <f t="shared" si="1766"/>
        <v>0</v>
      </c>
      <c r="DS496" s="161">
        <f t="shared" si="1767"/>
        <v>0</v>
      </c>
      <c r="DT496" s="161">
        <f t="shared" si="1768"/>
        <v>0</v>
      </c>
      <c r="DU496" s="161">
        <f t="shared" si="1769"/>
        <v>0</v>
      </c>
      <c r="DV496" s="161">
        <f t="shared" si="1770"/>
        <v>0</v>
      </c>
      <c r="DW496" s="161">
        <f t="shared" si="1771"/>
        <v>0</v>
      </c>
      <c r="DX496" s="161">
        <f t="shared" si="1772"/>
        <v>0</v>
      </c>
      <c r="DY496" s="161">
        <f t="shared" si="1773"/>
        <v>0</v>
      </c>
      <c r="DZ496" s="161">
        <f t="shared" si="1774"/>
        <v>0</v>
      </c>
      <c r="EA496" s="161">
        <f t="shared" si="1775"/>
        <v>0</v>
      </c>
      <c r="EB496" s="161">
        <f t="shared" si="1776"/>
        <v>0</v>
      </c>
      <c r="EC496" s="161">
        <f t="shared" si="1777"/>
        <v>0</v>
      </c>
      <c r="ED496" s="161">
        <f t="shared" si="1778"/>
        <v>0</v>
      </c>
      <c r="EE496" s="161">
        <f t="shared" si="1779"/>
        <v>0</v>
      </c>
      <c r="EF496" s="161">
        <f t="shared" si="1780"/>
        <v>0</v>
      </c>
      <c r="EG496" s="161">
        <f t="shared" si="1781"/>
        <v>0</v>
      </c>
      <c r="EH496" s="161">
        <f t="shared" si="1782"/>
        <v>0</v>
      </c>
      <c r="EI496" s="161">
        <f t="shared" si="1783"/>
        <v>0</v>
      </c>
      <c r="EJ496" s="65"/>
      <c r="EK496" s="161">
        <f t="shared" si="1854"/>
        <v>0</v>
      </c>
      <c r="EL496" s="161">
        <f t="shared" si="1855"/>
        <v>0</v>
      </c>
      <c r="EM496" s="161">
        <f t="shared" si="1856"/>
        <v>0</v>
      </c>
    </row>
    <row r="497" spans="1:143" ht="12" hidden="1" customHeight="1" outlineLevel="1">
      <c r="B497" s="65"/>
      <c r="C497" s="65"/>
      <c r="D497" s="65"/>
      <c r="E497" s="65"/>
      <c r="F497" s="73" t="s">
        <v>380</v>
      </c>
      <c r="G497" s="162" t="str">
        <f>"Pico = "&amp;MAX(K497:BR497)</f>
        <v>Pico = 0</v>
      </c>
      <c r="H497" s="163">
        <f>SUM(H477:H496)</f>
        <v>0</v>
      </c>
      <c r="I497" s="148">
        <f>SUM(I477:I496)</f>
        <v>0</v>
      </c>
      <c r="J497" s="65"/>
      <c r="K497" s="146">
        <f>SUM(K477:K496)</f>
        <v>0</v>
      </c>
      <c r="L497" s="146">
        <f t="shared" ref="L497:BR497" si="1860">SUM(L477:L496)</f>
        <v>0</v>
      </c>
      <c r="M497" s="146">
        <f t="shared" si="1860"/>
        <v>0</v>
      </c>
      <c r="N497" s="146">
        <f t="shared" si="1860"/>
        <v>0</v>
      </c>
      <c r="O497" s="146">
        <f t="shared" si="1860"/>
        <v>0</v>
      </c>
      <c r="P497" s="146">
        <f t="shared" si="1860"/>
        <v>0</v>
      </c>
      <c r="Q497" s="146">
        <f t="shared" si="1860"/>
        <v>0</v>
      </c>
      <c r="R497" s="146">
        <f t="shared" si="1860"/>
        <v>0</v>
      </c>
      <c r="S497" s="146">
        <f t="shared" si="1860"/>
        <v>0</v>
      </c>
      <c r="T497" s="146">
        <f t="shared" si="1860"/>
        <v>0</v>
      </c>
      <c r="U497" s="146">
        <f t="shared" si="1860"/>
        <v>0</v>
      </c>
      <c r="V497" s="146">
        <f t="shared" si="1860"/>
        <v>0</v>
      </c>
      <c r="W497" s="146">
        <f t="shared" si="1860"/>
        <v>0</v>
      </c>
      <c r="X497" s="146">
        <f t="shared" si="1860"/>
        <v>0</v>
      </c>
      <c r="Y497" s="146">
        <f t="shared" si="1860"/>
        <v>0</v>
      </c>
      <c r="Z497" s="146">
        <f t="shared" si="1860"/>
        <v>0</v>
      </c>
      <c r="AA497" s="146">
        <f t="shared" si="1860"/>
        <v>0</v>
      </c>
      <c r="AB497" s="146">
        <f t="shared" si="1860"/>
        <v>0</v>
      </c>
      <c r="AC497" s="146">
        <f t="shared" si="1860"/>
        <v>0</v>
      </c>
      <c r="AD497" s="146">
        <f t="shared" si="1860"/>
        <v>0</v>
      </c>
      <c r="AE497" s="146">
        <f t="shared" si="1860"/>
        <v>0</v>
      </c>
      <c r="AF497" s="146">
        <f t="shared" si="1860"/>
        <v>0</v>
      </c>
      <c r="AG497" s="146">
        <f t="shared" si="1860"/>
        <v>0</v>
      </c>
      <c r="AH497" s="146">
        <f t="shared" si="1860"/>
        <v>0</v>
      </c>
      <c r="AI497" s="146">
        <f t="shared" si="1860"/>
        <v>0</v>
      </c>
      <c r="AJ497" s="146">
        <f t="shared" si="1860"/>
        <v>0</v>
      </c>
      <c r="AK497" s="146">
        <f t="shared" si="1860"/>
        <v>0</v>
      </c>
      <c r="AL497" s="146">
        <f t="shared" si="1860"/>
        <v>0</v>
      </c>
      <c r="AM497" s="146">
        <f t="shared" si="1860"/>
        <v>0</v>
      </c>
      <c r="AN497" s="146">
        <f t="shared" si="1860"/>
        <v>0</v>
      </c>
      <c r="AO497" s="146">
        <f t="shared" si="1860"/>
        <v>0</v>
      </c>
      <c r="AP497" s="146">
        <f t="shared" si="1860"/>
        <v>0</v>
      </c>
      <c r="AQ497" s="146">
        <f t="shared" si="1860"/>
        <v>0</v>
      </c>
      <c r="AR497" s="146">
        <f t="shared" si="1860"/>
        <v>0</v>
      </c>
      <c r="AS497" s="146">
        <f t="shared" si="1860"/>
        <v>0</v>
      </c>
      <c r="AT497" s="146">
        <f t="shared" si="1860"/>
        <v>0</v>
      </c>
      <c r="AU497" s="146">
        <f t="shared" si="1860"/>
        <v>0</v>
      </c>
      <c r="AV497" s="146">
        <f t="shared" si="1860"/>
        <v>0</v>
      </c>
      <c r="AW497" s="146">
        <f t="shared" si="1860"/>
        <v>0</v>
      </c>
      <c r="AX497" s="146">
        <f t="shared" si="1860"/>
        <v>0</v>
      </c>
      <c r="AY497" s="146">
        <f t="shared" si="1860"/>
        <v>0</v>
      </c>
      <c r="AZ497" s="146">
        <f t="shared" si="1860"/>
        <v>0</v>
      </c>
      <c r="BA497" s="146">
        <f t="shared" si="1860"/>
        <v>0</v>
      </c>
      <c r="BB497" s="146">
        <f t="shared" si="1860"/>
        <v>0</v>
      </c>
      <c r="BC497" s="146">
        <f t="shared" si="1860"/>
        <v>0</v>
      </c>
      <c r="BD497" s="146">
        <f t="shared" si="1860"/>
        <v>0</v>
      </c>
      <c r="BE497" s="146">
        <f t="shared" si="1860"/>
        <v>0</v>
      </c>
      <c r="BF497" s="146">
        <f t="shared" si="1860"/>
        <v>0</v>
      </c>
      <c r="BG497" s="146">
        <f t="shared" si="1860"/>
        <v>0</v>
      </c>
      <c r="BH497" s="146">
        <f t="shared" si="1860"/>
        <v>0</v>
      </c>
      <c r="BI497" s="146">
        <f t="shared" si="1860"/>
        <v>0</v>
      </c>
      <c r="BJ497" s="146">
        <f t="shared" si="1860"/>
        <v>0</v>
      </c>
      <c r="BK497" s="146">
        <f t="shared" si="1860"/>
        <v>0</v>
      </c>
      <c r="BL497" s="146">
        <f t="shared" si="1860"/>
        <v>0</v>
      </c>
      <c r="BM497" s="146">
        <f t="shared" si="1860"/>
        <v>0</v>
      </c>
      <c r="BN497" s="146">
        <f t="shared" si="1860"/>
        <v>0</v>
      </c>
      <c r="BO497" s="146">
        <f t="shared" si="1860"/>
        <v>0</v>
      </c>
      <c r="BP497" s="146">
        <f t="shared" si="1860"/>
        <v>0</v>
      </c>
      <c r="BQ497" s="146">
        <f t="shared" si="1860"/>
        <v>0</v>
      </c>
      <c r="BR497" s="146">
        <f t="shared" si="1860"/>
        <v>0</v>
      </c>
      <c r="BS497" s="65"/>
      <c r="BT497" s="146">
        <f t="shared" ref="BT497" si="1861">SUM(BT477:BT496)</f>
        <v>0</v>
      </c>
      <c r="BU497" s="65"/>
      <c r="BV497" s="65"/>
      <c r="BW497" s="69"/>
      <c r="BX497" s="65"/>
      <c r="BY497" s="65"/>
      <c r="BZ497" s="65"/>
      <c r="CA497" s="65"/>
      <c r="CB497" s="65"/>
      <c r="CC497" s="65"/>
      <c r="CD497" s="65"/>
      <c r="CE497" s="65"/>
      <c r="CF497" s="65"/>
      <c r="CG497" s="65"/>
      <c r="CH497" s="65"/>
      <c r="CI497" s="65"/>
      <c r="CJ497" s="65"/>
      <c r="CK497" s="65"/>
      <c r="CL497" s="65"/>
      <c r="CM497" s="65"/>
      <c r="CN497" s="65"/>
      <c r="CO497" s="65"/>
      <c r="CP497" s="65"/>
      <c r="CQ497" s="65"/>
      <c r="CR497" s="65"/>
      <c r="CS497" s="65"/>
      <c r="CT497" s="65"/>
      <c r="CU497" s="65"/>
      <c r="CV497" s="65"/>
      <c r="CW497" s="65"/>
      <c r="CX497" s="65"/>
      <c r="CY497" s="65"/>
      <c r="CZ497" s="65"/>
      <c r="DA497" s="65"/>
      <c r="DB497" s="65"/>
      <c r="DC497" s="65"/>
      <c r="DD497" s="65"/>
      <c r="DE497" s="65"/>
      <c r="DF497" s="65"/>
      <c r="DG497" s="65"/>
      <c r="DH497" s="65"/>
      <c r="DI497" s="65"/>
      <c r="DJ497" s="65"/>
      <c r="DK497" s="65"/>
      <c r="DL497" s="65"/>
      <c r="DM497" s="65"/>
      <c r="DN497" s="65"/>
      <c r="DO497" s="65"/>
      <c r="DP497" s="65"/>
      <c r="DQ497" s="65"/>
      <c r="DR497" s="65"/>
      <c r="DS497" s="65"/>
      <c r="DT497" s="65"/>
      <c r="DU497" s="65"/>
      <c r="DV497" s="65"/>
      <c r="DW497" s="65"/>
      <c r="DX497" s="65"/>
      <c r="DY497" s="65"/>
      <c r="DZ497" s="65"/>
      <c r="EA497" s="65"/>
      <c r="EB497" s="65"/>
      <c r="EC497" s="65"/>
      <c r="ED497" s="65"/>
      <c r="EE497" s="65"/>
      <c r="EF497" s="65"/>
      <c r="EG497" s="65"/>
      <c r="EH497" s="65"/>
      <c r="EI497" s="65"/>
      <c r="EJ497" s="65"/>
      <c r="EK497" s="65"/>
      <c r="EL497" s="65"/>
      <c r="EM497" s="65"/>
    </row>
    <row r="498" spans="1:143" ht="12" hidden="1" customHeight="1" outlineLevel="1"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  <c r="AT498" s="65"/>
      <c r="AU498" s="65"/>
      <c r="AV498" s="65"/>
      <c r="AW498" s="65"/>
      <c r="AX498" s="65"/>
      <c r="AY498" s="65"/>
      <c r="AZ498" s="65"/>
      <c r="BA498" s="65"/>
      <c r="BB498" s="65"/>
      <c r="BC498" s="65"/>
      <c r="BD498" s="65"/>
      <c r="BE498" s="65"/>
      <c r="BF498" s="65"/>
      <c r="BG498" s="65"/>
      <c r="BH498" s="65"/>
      <c r="BI498" s="65"/>
      <c r="BJ498" s="65"/>
      <c r="BK498" s="65"/>
      <c r="BL498" s="65"/>
      <c r="BM498" s="65"/>
      <c r="BN498" s="65"/>
      <c r="BO498" s="65"/>
      <c r="BP498" s="65"/>
      <c r="BQ498" s="65"/>
      <c r="BR498" s="65"/>
      <c r="BS498" s="65"/>
      <c r="BT498" s="65"/>
      <c r="BU498" s="65"/>
      <c r="BV498" s="65"/>
      <c r="BW498" s="69"/>
      <c r="BX498" s="65"/>
      <c r="BY498" s="65"/>
      <c r="BZ498" s="65"/>
      <c r="CA498" s="65"/>
      <c r="CB498" s="65"/>
      <c r="CC498" s="65"/>
      <c r="CD498" s="65"/>
      <c r="CE498" s="65"/>
      <c r="CF498" s="65"/>
      <c r="CG498" s="65"/>
      <c r="CH498" s="65"/>
      <c r="CI498" s="65"/>
      <c r="CJ498" s="65"/>
      <c r="CK498" s="65"/>
      <c r="CL498" s="65"/>
      <c r="CM498" s="65"/>
      <c r="CN498" s="65"/>
      <c r="CO498" s="65"/>
      <c r="CP498" s="65"/>
      <c r="CQ498" s="65"/>
      <c r="CR498" s="65"/>
      <c r="CS498" s="65"/>
      <c r="CT498" s="65"/>
      <c r="CU498" s="65"/>
      <c r="CV498" s="65"/>
      <c r="CW498" s="65"/>
      <c r="CX498" s="65"/>
      <c r="CY498" s="65"/>
      <c r="CZ498" s="65"/>
      <c r="DA498" s="65"/>
      <c r="DB498" s="65"/>
      <c r="DC498" s="65"/>
      <c r="DD498" s="65"/>
      <c r="DE498" s="65"/>
      <c r="DF498" s="65"/>
      <c r="DG498" s="65"/>
      <c r="DH498" s="65"/>
      <c r="DI498" s="65"/>
      <c r="DJ498" s="65"/>
      <c r="DK498" s="65"/>
      <c r="DL498" s="65"/>
      <c r="DM498" s="65"/>
      <c r="DN498" s="65"/>
      <c r="DO498" s="65"/>
      <c r="DP498" s="65"/>
      <c r="DQ498" s="65"/>
      <c r="DR498" s="65"/>
      <c r="DS498" s="65"/>
      <c r="DT498" s="65"/>
      <c r="DU498" s="65"/>
      <c r="DV498" s="65"/>
      <c r="DW498" s="65"/>
      <c r="DX498" s="65"/>
      <c r="DY498" s="65"/>
      <c r="DZ498" s="65"/>
      <c r="EA498" s="65"/>
      <c r="EB498" s="65"/>
      <c r="EC498" s="65"/>
      <c r="ED498" s="65"/>
      <c r="EE498" s="65"/>
      <c r="EF498" s="65"/>
      <c r="EG498" s="65"/>
      <c r="EH498" s="65"/>
      <c r="EI498" s="65"/>
      <c r="EJ498" s="65"/>
      <c r="EK498" s="65"/>
      <c r="EL498" s="65"/>
      <c r="EM498" s="65"/>
    </row>
    <row r="499" spans="1:143" ht="24" hidden="1" customHeight="1" outlineLevel="1">
      <c r="B499" s="593" t="s">
        <v>395</v>
      </c>
      <c r="C499" s="65"/>
      <c r="D499" s="65"/>
      <c r="E499" s="65"/>
      <c r="F499" s="149" t="str">
        <f>IF($G$63&gt;0,$G$63,"")</f>
        <v>Equipe13</v>
      </c>
      <c r="G499" s="149"/>
      <c r="H499" s="149"/>
      <c r="I499" s="149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5"/>
      <c r="AT499" s="65"/>
      <c r="AU499" s="65"/>
      <c r="AV499" s="65"/>
      <c r="AW499" s="65"/>
      <c r="AX499" s="65"/>
      <c r="AY499" s="65"/>
      <c r="AZ499" s="65"/>
      <c r="BA499" s="65"/>
      <c r="BB499" s="65"/>
      <c r="BC499" s="65"/>
      <c r="BD499" s="65"/>
      <c r="BE499" s="65"/>
      <c r="BF499" s="65"/>
      <c r="BG499" s="65"/>
      <c r="BH499" s="65"/>
      <c r="BI499" s="65"/>
      <c r="BJ499" s="65"/>
      <c r="BK499" s="65"/>
      <c r="BL499" s="65"/>
      <c r="BM499" s="65"/>
      <c r="BN499" s="65"/>
      <c r="BO499" s="65"/>
      <c r="BP499" s="65"/>
      <c r="BQ499" s="65"/>
      <c r="BR499" s="65"/>
      <c r="BS499" s="65"/>
      <c r="BT499" s="601" t="s">
        <v>396</v>
      </c>
      <c r="BU499" s="601" t="s">
        <v>397</v>
      </c>
      <c r="BV499" s="65"/>
      <c r="BW499" s="69"/>
      <c r="BX499" s="65"/>
      <c r="BY499" s="593" t="s">
        <v>398</v>
      </c>
      <c r="BZ499" s="593" t="s">
        <v>399</v>
      </c>
      <c r="CA499" s="593" t="s">
        <v>400</v>
      </c>
      <c r="CB499" s="592" t="s">
        <v>401</v>
      </c>
      <c r="CC499" s="592" t="s">
        <v>402</v>
      </c>
      <c r="CD499" s="592" t="s">
        <v>403</v>
      </c>
      <c r="CE499" s="592" t="s">
        <v>404</v>
      </c>
      <c r="CF499" s="592" t="s">
        <v>405</v>
      </c>
      <c r="CG499" s="592" t="s">
        <v>406</v>
      </c>
      <c r="CH499" s="592" t="s">
        <v>407</v>
      </c>
      <c r="CI499" s="592" t="s">
        <v>408</v>
      </c>
      <c r="CJ499" s="592" t="s">
        <v>409</v>
      </c>
      <c r="CK499" s="592" t="s">
        <v>410</v>
      </c>
      <c r="CL499" s="592" t="s">
        <v>411</v>
      </c>
      <c r="CM499" s="592" t="s">
        <v>412</v>
      </c>
      <c r="CN499" s="592" t="s">
        <v>413</v>
      </c>
      <c r="CO499" s="592" t="s">
        <v>414</v>
      </c>
      <c r="CP499" s="592" t="s">
        <v>415</v>
      </c>
      <c r="CQ499" s="592" t="s">
        <v>416</v>
      </c>
      <c r="CR499" s="592" t="s">
        <v>417</v>
      </c>
      <c r="CS499" s="592" t="s">
        <v>418</v>
      </c>
      <c r="CT499" s="592" t="s">
        <v>419</v>
      </c>
      <c r="CU499" s="592" t="s">
        <v>420</v>
      </c>
      <c r="CV499" s="592" t="s">
        <v>421</v>
      </c>
      <c r="CW499" s="592" t="s">
        <v>422</v>
      </c>
      <c r="CX499" s="592" t="s">
        <v>423</v>
      </c>
      <c r="CY499" s="592" t="s">
        <v>424</v>
      </c>
      <c r="CZ499" s="592" t="s">
        <v>425</v>
      </c>
      <c r="DA499" s="592" t="s">
        <v>426</v>
      </c>
      <c r="DB499" s="592" t="s">
        <v>427</v>
      </c>
      <c r="DC499" s="592" t="s">
        <v>428</v>
      </c>
      <c r="DD499" s="592" t="s">
        <v>429</v>
      </c>
      <c r="DE499" s="592" t="s">
        <v>430</v>
      </c>
      <c r="DF499" s="592" t="s">
        <v>431</v>
      </c>
      <c r="DG499" s="592" t="s">
        <v>432</v>
      </c>
      <c r="DH499" s="592" t="s">
        <v>433</v>
      </c>
      <c r="DI499" s="592" t="s">
        <v>434</v>
      </c>
      <c r="DJ499" s="592" t="s">
        <v>435</v>
      </c>
      <c r="DK499" s="592" t="s">
        <v>436</v>
      </c>
      <c r="DL499" s="592" t="s">
        <v>437</v>
      </c>
      <c r="DM499" s="592" t="s">
        <v>438</v>
      </c>
      <c r="DN499" s="592" t="s">
        <v>439</v>
      </c>
      <c r="DO499" s="592" t="s">
        <v>440</v>
      </c>
      <c r="DP499" s="592" t="s">
        <v>441</v>
      </c>
      <c r="DQ499" s="592" t="s">
        <v>442</v>
      </c>
      <c r="DR499" s="592" t="s">
        <v>443</v>
      </c>
      <c r="DS499" s="592" t="s">
        <v>444</v>
      </c>
      <c r="DT499" s="592" t="s">
        <v>445</v>
      </c>
      <c r="DU499" s="592" t="s">
        <v>446</v>
      </c>
      <c r="DV499" s="592" t="s">
        <v>447</v>
      </c>
      <c r="DW499" s="592" t="s">
        <v>448</v>
      </c>
      <c r="DX499" s="592" t="s">
        <v>449</v>
      </c>
      <c r="DY499" s="592" t="s">
        <v>450</v>
      </c>
      <c r="DZ499" s="592" t="s">
        <v>451</v>
      </c>
      <c r="EA499" s="592" t="s">
        <v>452</v>
      </c>
      <c r="EB499" s="592" t="s">
        <v>453</v>
      </c>
      <c r="EC499" s="592" t="s">
        <v>454</v>
      </c>
      <c r="ED499" s="592" t="s">
        <v>455</v>
      </c>
      <c r="EE499" s="592" t="s">
        <v>456</v>
      </c>
      <c r="EF499" s="592" t="s">
        <v>457</v>
      </c>
      <c r="EG499" s="592" t="s">
        <v>458</v>
      </c>
      <c r="EH499" s="592" t="s">
        <v>459</v>
      </c>
      <c r="EI499" s="592" t="s">
        <v>460</v>
      </c>
      <c r="EJ499" s="65"/>
      <c r="EK499" s="157" t="s">
        <v>376</v>
      </c>
      <c r="EL499" s="157" t="s">
        <v>461</v>
      </c>
      <c r="EM499" s="157" t="s">
        <v>383</v>
      </c>
    </row>
    <row r="500" spans="1:143" ht="12" hidden="1" customHeight="1" outlineLevel="1" collapsed="1">
      <c r="B500" s="593"/>
      <c r="C500" s="65"/>
      <c r="D500" s="65"/>
      <c r="E500" s="65"/>
      <c r="F500" s="158" t="s">
        <v>198</v>
      </c>
      <c r="G500" s="158" t="s">
        <v>462</v>
      </c>
      <c r="H500" s="158" t="s">
        <v>255</v>
      </c>
      <c r="I500" s="158" t="s">
        <v>68</v>
      </c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5"/>
      <c r="AT500" s="65"/>
      <c r="AU500" s="65"/>
      <c r="AV500" s="65"/>
      <c r="AW500" s="65"/>
      <c r="AX500" s="65"/>
      <c r="AY500" s="65"/>
      <c r="AZ500" s="65"/>
      <c r="BA500" s="65"/>
      <c r="BB500" s="65"/>
      <c r="BC500" s="65"/>
      <c r="BD500" s="65"/>
      <c r="BE500" s="65"/>
      <c r="BF500" s="65"/>
      <c r="BG500" s="65"/>
      <c r="BH500" s="65"/>
      <c r="BI500" s="65"/>
      <c r="BJ500" s="65"/>
      <c r="BK500" s="65"/>
      <c r="BL500" s="65"/>
      <c r="BM500" s="65"/>
      <c r="BN500" s="65"/>
      <c r="BO500" s="65"/>
      <c r="BP500" s="65"/>
      <c r="BQ500" s="65"/>
      <c r="BR500" s="65"/>
      <c r="BS500" s="65"/>
      <c r="BT500" s="602"/>
      <c r="BU500" s="602"/>
      <c r="BV500" s="65"/>
      <c r="BW500" s="69"/>
      <c r="BX500" s="65"/>
      <c r="BY500" s="593"/>
      <c r="BZ500" s="593"/>
      <c r="CA500" s="593"/>
      <c r="CB500" s="592"/>
      <c r="CC500" s="592"/>
      <c r="CD500" s="592"/>
      <c r="CE500" s="592"/>
      <c r="CF500" s="592"/>
      <c r="CG500" s="592"/>
      <c r="CH500" s="592"/>
      <c r="CI500" s="592"/>
      <c r="CJ500" s="592"/>
      <c r="CK500" s="592"/>
      <c r="CL500" s="592"/>
      <c r="CM500" s="592"/>
      <c r="CN500" s="592"/>
      <c r="CO500" s="592"/>
      <c r="CP500" s="592"/>
      <c r="CQ500" s="592"/>
      <c r="CR500" s="592"/>
      <c r="CS500" s="592"/>
      <c r="CT500" s="592"/>
      <c r="CU500" s="592"/>
      <c r="CV500" s="592"/>
      <c r="CW500" s="592"/>
      <c r="CX500" s="592"/>
      <c r="CY500" s="592"/>
      <c r="CZ500" s="592"/>
      <c r="DA500" s="592"/>
      <c r="DB500" s="592"/>
      <c r="DC500" s="592"/>
      <c r="DD500" s="592"/>
      <c r="DE500" s="592"/>
      <c r="DF500" s="592"/>
      <c r="DG500" s="592"/>
      <c r="DH500" s="592"/>
      <c r="DI500" s="592"/>
      <c r="DJ500" s="592"/>
      <c r="DK500" s="592"/>
      <c r="DL500" s="592"/>
      <c r="DM500" s="592"/>
      <c r="DN500" s="592"/>
      <c r="DO500" s="592"/>
      <c r="DP500" s="592"/>
      <c r="DQ500" s="592"/>
      <c r="DR500" s="592"/>
      <c r="DS500" s="592"/>
      <c r="DT500" s="592"/>
      <c r="DU500" s="592"/>
      <c r="DV500" s="592"/>
      <c r="DW500" s="592"/>
      <c r="DX500" s="592"/>
      <c r="DY500" s="592"/>
      <c r="DZ500" s="592"/>
      <c r="EA500" s="592"/>
      <c r="EB500" s="592"/>
      <c r="EC500" s="592"/>
      <c r="ED500" s="592"/>
      <c r="EE500" s="592"/>
      <c r="EF500" s="592"/>
      <c r="EG500" s="592"/>
      <c r="EH500" s="592"/>
      <c r="EI500" s="592"/>
      <c r="EJ500" s="65"/>
      <c r="EK500" s="159">
        <f>IFERROR(ROUNDUP(SUMPRODUCT($K521:$BR521,$K$118:$BR$118)/SUM($K521:$BR521),2),0)</f>
        <v>0</v>
      </c>
      <c r="EL500" s="159">
        <f>IFERROR(ROUNDUP(SUMPRODUCT($K521:$BR521,$K$142:$BR$142)/SUM($K521:$BR521),2),0)</f>
        <v>0</v>
      </c>
      <c r="EM500" s="159">
        <f>IFERROR(ROUNDUP(SUMPRODUCT($K521:$BR521,$K$166:$BR$166)/SUM($K521:$BR521),2),0)</f>
        <v>0</v>
      </c>
    </row>
    <row r="501" spans="1:143" ht="12" hidden="1" customHeight="1" outlineLevel="2">
      <c r="A501" s="77">
        <v>1</v>
      </c>
      <c r="B501" s="137" t="str">
        <f>IF(G501&gt;0,G501&amp;" - "&amp;$F$213,"")</f>
        <v>GER. (OBRA/PROJ) - Equipe_01</v>
      </c>
      <c r="C501" s="65"/>
      <c r="D501" s="620" t="s">
        <v>463</v>
      </c>
      <c r="E501" s="65"/>
      <c r="F501" s="584" t="str">
        <f>IFERROR(VLOOKUP(F499,Tarefas!$F$3:$G$22,2,0),"")</f>
        <v>Equipe_13</v>
      </c>
      <c r="G501" s="77" t="str">
        <f>IF(INDEX(Tarefas!$BT$30:$FK$30,MATCH(A501,Tarefas!$BT$28:$FK$28,0))=0,"",INDEX(Tarefas!$BT$30:$FK$30,MATCH(A501,Tarefas!$BT$28:$FK$28,0)))</f>
        <v>GER. (OBRA/PROJ)</v>
      </c>
      <c r="H501" s="107" cm="1">
        <f t="array" ref="H501">IFERROR((SUMPRODUCT((Tarefas!$N$32:$N$54='Cronog. e Histog.'!$F$501)*(Tarefas!$BQ$30:$FK$30='Cronog. e Histog.'!$G501)*(Tarefas!$BQ$32:$FK$54)))/SUMIF(Tarefas!$N$32:$N$54,'Cronog. e Histog.'!$F$501,Tarefas!$K$32:$K$54),0)</f>
        <v>0</v>
      </c>
      <c r="I501" s="79">
        <f>IFERROR(H501/$H$521,0)</f>
        <v>0</v>
      </c>
      <c r="J501" s="65"/>
      <c r="K501" s="160">
        <f>ROUND($I501*K$195,2)</f>
        <v>0</v>
      </c>
      <c r="L501" s="160">
        <f t="shared" ref="L501:BR515" si="1862">ROUND($I501*L$195,2)</f>
        <v>0</v>
      </c>
      <c r="M501" s="160">
        <f t="shared" si="1862"/>
        <v>0</v>
      </c>
      <c r="N501" s="160">
        <f t="shared" si="1862"/>
        <v>0</v>
      </c>
      <c r="O501" s="160">
        <f t="shared" si="1862"/>
        <v>0</v>
      </c>
      <c r="P501" s="160">
        <f t="shared" si="1862"/>
        <v>0</v>
      </c>
      <c r="Q501" s="160">
        <f t="shared" si="1862"/>
        <v>0</v>
      </c>
      <c r="R501" s="160">
        <f t="shared" si="1862"/>
        <v>0</v>
      </c>
      <c r="S501" s="160">
        <f t="shared" si="1862"/>
        <v>0</v>
      </c>
      <c r="T501" s="160">
        <f t="shared" si="1862"/>
        <v>0</v>
      </c>
      <c r="U501" s="160">
        <f t="shared" si="1862"/>
        <v>0</v>
      </c>
      <c r="V501" s="160">
        <f t="shared" si="1862"/>
        <v>0</v>
      </c>
      <c r="W501" s="160">
        <f t="shared" si="1862"/>
        <v>0</v>
      </c>
      <c r="X501" s="160">
        <f t="shared" si="1862"/>
        <v>0</v>
      </c>
      <c r="Y501" s="160">
        <f t="shared" si="1862"/>
        <v>0</v>
      </c>
      <c r="Z501" s="160">
        <f t="shared" si="1862"/>
        <v>0</v>
      </c>
      <c r="AA501" s="160">
        <f t="shared" si="1862"/>
        <v>0</v>
      </c>
      <c r="AB501" s="160">
        <f t="shared" si="1862"/>
        <v>0</v>
      </c>
      <c r="AC501" s="160">
        <f t="shared" si="1862"/>
        <v>0</v>
      </c>
      <c r="AD501" s="160">
        <f t="shared" si="1862"/>
        <v>0</v>
      </c>
      <c r="AE501" s="160">
        <f t="shared" si="1862"/>
        <v>0</v>
      </c>
      <c r="AF501" s="160">
        <f t="shared" si="1862"/>
        <v>0</v>
      </c>
      <c r="AG501" s="160">
        <f t="shared" si="1862"/>
        <v>0</v>
      </c>
      <c r="AH501" s="160">
        <f t="shared" si="1862"/>
        <v>0</v>
      </c>
      <c r="AI501" s="160">
        <f t="shared" si="1862"/>
        <v>0</v>
      </c>
      <c r="AJ501" s="160">
        <f t="shared" si="1862"/>
        <v>0</v>
      </c>
      <c r="AK501" s="160">
        <f t="shared" si="1862"/>
        <v>0</v>
      </c>
      <c r="AL501" s="160">
        <f t="shared" si="1862"/>
        <v>0</v>
      </c>
      <c r="AM501" s="160">
        <f t="shared" si="1862"/>
        <v>0</v>
      </c>
      <c r="AN501" s="160">
        <f t="shared" si="1862"/>
        <v>0</v>
      </c>
      <c r="AO501" s="160">
        <f t="shared" si="1862"/>
        <v>0</v>
      </c>
      <c r="AP501" s="160">
        <f t="shared" si="1862"/>
        <v>0</v>
      </c>
      <c r="AQ501" s="160">
        <f t="shared" si="1862"/>
        <v>0</v>
      </c>
      <c r="AR501" s="160">
        <f t="shared" si="1862"/>
        <v>0</v>
      </c>
      <c r="AS501" s="160">
        <f t="shared" si="1862"/>
        <v>0</v>
      </c>
      <c r="AT501" s="160">
        <f t="shared" si="1862"/>
        <v>0</v>
      </c>
      <c r="AU501" s="160">
        <f t="shared" si="1862"/>
        <v>0</v>
      </c>
      <c r="AV501" s="160">
        <f t="shared" si="1862"/>
        <v>0</v>
      </c>
      <c r="AW501" s="160">
        <f t="shared" si="1862"/>
        <v>0</v>
      </c>
      <c r="AX501" s="160">
        <f t="shared" si="1862"/>
        <v>0</v>
      </c>
      <c r="AY501" s="160">
        <f t="shared" si="1862"/>
        <v>0</v>
      </c>
      <c r="AZ501" s="160">
        <f t="shared" si="1862"/>
        <v>0</v>
      </c>
      <c r="BA501" s="160">
        <f t="shared" si="1862"/>
        <v>0</v>
      </c>
      <c r="BB501" s="160">
        <f t="shared" si="1862"/>
        <v>0</v>
      </c>
      <c r="BC501" s="160">
        <f t="shared" si="1862"/>
        <v>0</v>
      </c>
      <c r="BD501" s="160">
        <f t="shared" si="1862"/>
        <v>0</v>
      </c>
      <c r="BE501" s="160">
        <f t="shared" si="1862"/>
        <v>0</v>
      </c>
      <c r="BF501" s="160">
        <f t="shared" si="1862"/>
        <v>0</v>
      </c>
      <c r="BG501" s="160">
        <f t="shared" si="1862"/>
        <v>0</v>
      </c>
      <c r="BH501" s="160">
        <f t="shared" si="1862"/>
        <v>0</v>
      </c>
      <c r="BI501" s="160">
        <f t="shared" si="1862"/>
        <v>0</v>
      </c>
      <c r="BJ501" s="160">
        <f t="shared" si="1862"/>
        <v>0</v>
      </c>
      <c r="BK501" s="160">
        <f t="shared" si="1862"/>
        <v>0</v>
      </c>
      <c r="BL501" s="160">
        <f t="shared" si="1862"/>
        <v>0</v>
      </c>
      <c r="BM501" s="160">
        <f t="shared" si="1862"/>
        <v>0</v>
      </c>
      <c r="BN501" s="160">
        <f t="shared" si="1862"/>
        <v>0</v>
      </c>
      <c r="BO501" s="160">
        <f t="shared" si="1862"/>
        <v>0</v>
      </c>
      <c r="BP501" s="160">
        <f t="shared" si="1862"/>
        <v>0</v>
      </c>
      <c r="BQ501" s="160">
        <f t="shared" si="1862"/>
        <v>0</v>
      </c>
      <c r="BR501" s="160">
        <f t="shared" si="1862"/>
        <v>0</v>
      </c>
      <c r="BS501" s="65"/>
      <c r="BT501" s="160">
        <f t="shared" ref="BT501:BT520" si="1863">IFERROR(SUM(K501:BR501)/COUNTIF(K501:BR501,"&gt;0"),0)</f>
        <v>0</v>
      </c>
      <c r="BU501" s="160">
        <f t="shared" ref="BU501:BU520" si="1864">COUNTIF(K501:BR501,"&gt;0")</f>
        <v>0</v>
      </c>
      <c r="BV501" s="65"/>
      <c r="BW501" s="69"/>
      <c r="BX501" s="65"/>
      <c r="BY501" s="137">
        <f t="shared" ref="BY501:BY520" si="1865">IF(G501&gt;0,1,0)</f>
        <v>1</v>
      </c>
      <c r="BZ501" s="137">
        <f>IF(BY501&gt;0,BY501+LARGE($BZ$213:BZ500,1),0)</f>
        <v>241</v>
      </c>
      <c r="CA501" s="137" t="str">
        <f t="shared" ref="CA501:CA520" si="1866">G501</f>
        <v>GER. (OBRA/PROJ)</v>
      </c>
      <c r="CB501" s="161">
        <f t="shared" ref="CB501:CB520" si="1867">K501</f>
        <v>0</v>
      </c>
      <c r="CC501" s="161">
        <f t="shared" ref="CC501:CC520" si="1868">L501</f>
        <v>0</v>
      </c>
      <c r="CD501" s="161">
        <f t="shared" ref="CD501:CD520" si="1869">M501</f>
        <v>0</v>
      </c>
      <c r="CE501" s="161">
        <f t="shared" ref="CE501:CE520" si="1870">N501</f>
        <v>0</v>
      </c>
      <c r="CF501" s="161">
        <f t="shared" ref="CF501:CF520" si="1871">O501</f>
        <v>0</v>
      </c>
      <c r="CG501" s="161">
        <f t="shared" ref="CG501:CG520" si="1872">P501</f>
        <v>0</v>
      </c>
      <c r="CH501" s="161">
        <f t="shared" ref="CH501:CH520" si="1873">Q501</f>
        <v>0</v>
      </c>
      <c r="CI501" s="161">
        <f t="shared" ref="CI501:CI520" si="1874">R501</f>
        <v>0</v>
      </c>
      <c r="CJ501" s="161">
        <f t="shared" ref="CJ501:CJ520" si="1875">S501</f>
        <v>0</v>
      </c>
      <c r="CK501" s="161">
        <f t="shared" ref="CK501:CK520" si="1876">T501</f>
        <v>0</v>
      </c>
      <c r="CL501" s="161">
        <f t="shared" ref="CL501:CL520" si="1877">U501</f>
        <v>0</v>
      </c>
      <c r="CM501" s="161">
        <f t="shared" ref="CM501:CM520" si="1878">V501</f>
        <v>0</v>
      </c>
      <c r="CN501" s="161">
        <f t="shared" ref="CN501:CN520" si="1879">W501</f>
        <v>0</v>
      </c>
      <c r="CO501" s="161">
        <f t="shared" ref="CO501:CO520" si="1880">X501</f>
        <v>0</v>
      </c>
      <c r="CP501" s="161">
        <f t="shared" ref="CP501:CP520" si="1881">Y501</f>
        <v>0</v>
      </c>
      <c r="CQ501" s="161">
        <f t="shared" ref="CQ501:CQ520" si="1882">Z501</f>
        <v>0</v>
      </c>
      <c r="CR501" s="161">
        <f t="shared" ref="CR501:CR520" si="1883">AA501</f>
        <v>0</v>
      </c>
      <c r="CS501" s="161">
        <f t="shared" ref="CS501:CS520" si="1884">AB501</f>
        <v>0</v>
      </c>
      <c r="CT501" s="161">
        <f t="shared" ref="CT501:CT520" si="1885">AC501</f>
        <v>0</v>
      </c>
      <c r="CU501" s="161">
        <f t="shared" ref="CU501:CU520" si="1886">AD501</f>
        <v>0</v>
      </c>
      <c r="CV501" s="161">
        <f t="shared" ref="CV501:CV520" si="1887">AE501</f>
        <v>0</v>
      </c>
      <c r="CW501" s="161">
        <f t="shared" ref="CW501:CW520" si="1888">AF501</f>
        <v>0</v>
      </c>
      <c r="CX501" s="161">
        <f t="shared" ref="CX501:CX520" si="1889">AG501</f>
        <v>0</v>
      </c>
      <c r="CY501" s="161">
        <f t="shared" ref="CY501:CY520" si="1890">AH501</f>
        <v>0</v>
      </c>
      <c r="CZ501" s="161">
        <f t="shared" ref="CZ501:CZ520" si="1891">AI501</f>
        <v>0</v>
      </c>
      <c r="DA501" s="161">
        <f t="shared" ref="DA501:DA520" si="1892">AJ501</f>
        <v>0</v>
      </c>
      <c r="DB501" s="161">
        <f t="shared" ref="DB501:DB520" si="1893">AK501</f>
        <v>0</v>
      </c>
      <c r="DC501" s="161">
        <f t="shared" ref="DC501:DC520" si="1894">AL501</f>
        <v>0</v>
      </c>
      <c r="DD501" s="161">
        <f t="shared" ref="DD501:DD520" si="1895">AM501</f>
        <v>0</v>
      </c>
      <c r="DE501" s="161">
        <f t="shared" ref="DE501:DE520" si="1896">AN501</f>
        <v>0</v>
      </c>
      <c r="DF501" s="161">
        <f t="shared" ref="DF501:DF520" si="1897">AO501</f>
        <v>0</v>
      </c>
      <c r="DG501" s="161">
        <f t="shared" ref="DG501:DG520" si="1898">AP501</f>
        <v>0</v>
      </c>
      <c r="DH501" s="161">
        <f t="shared" ref="DH501:DH520" si="1899">AQ501</f>
        <v>0</v>
      </c>
      <c r="DI501" s="161">
        <f t="shared" ref="DI501:DI520" si="1900">AR501</f>
        <v>0</v>
      </c>
      <c r="DJ501" s="161">
        <f t="shared" ref="DJ501:DJ520" si="1901">AS501</f>
        <v>0</v>
      </c>
      <c r="DK501" s="161">
        <f t="shared" ref="DK501:DK520" si="1902">AT501</f>
        <v>0</v>
      </c>
      <c r="DL501" s="161">
        <f t="shared" ref="DL501:DL520" si="1903">AU501</f>
        <v>0</v>
      </c>
      <c r="DM501" s="161">
        <f t="shared" ref="DM501:DM520" si="1904">AV501</f>
        <v>0</v>
      </c>
      <c r="DN501" s="161">
        <f t="shared" ref="DN501:DN520" si="1905">AW501</f>
        <v>0</v>
      </c>
      <c r="DO501" s="161">
        <f t="shared" ref="DO501:DO520" si="1906">AX501</f>
        <v>0</v>
      </c>
      <c r="DP501" s="161">
        <f t="shared" ref="DP501:DP520" si="1907">AY501</f>
        <v>0</v>
      </c>
      <c r="DQ501" s="161">
        <f t="shared" ref="DQ501:DQ520" si="1908">AZ501</f>
        <v>0</v>
      </c>
      <c r="DR501" s="161">
        <f t="shared" ref="DR501:DR520" si="1909">BA501</f>
        <v>0</v>
      </c>
      <c r="DS501" s="161">
        <f t="shared" ref="DS501:DS520" si="1910">BB501</f>
        <v>0</v>
      </c>
      <c r="DT501" s="161">
        <f t="shared" ref="DT501:DT520" si="1911">BC501</f>
        <v>0</v>
      </c>
      <c r="DU501" s="161">
        <f t="shared" ref="DU501:DU520" si="1912">BD501</f>
        <v>0</v>
      </c>
      <c r="DV501" s="161">
        <f t="shared" ref="DV501:DV520" si="1913">BE501</f>
        <v>0</v>
      </c>
      <c r="DW501" s="161">
        <f t="shared" ref="DW501:DW520" si="1914">BF501</f>
        <v>0</v>
      </c>
      <c r="DX501" s="161">
        <f t="shared" ref="DX501:DX520" si="1915">BG501</f>
        <v>0</v>
      </c>
      <c r="DY501" s="161">
        <f t="shared" ref="DY501:DY520" si="1916">BH501</f>
        <v>0</v>
      </c>
      <c r="DZ501" s="161">
        <f t="shared" ref="DZ501:DZ520" si="1917">BI501</f>
        <v>0</v>
      </c>
      <c r="EA501" s="161">
        <f t="shared" ref="EA501:EA520" si="1918">BJ501</f>
        <v>0</v>
      </c>
      <c r="EB501" s="161">
        <f t="shared" ref="EB501:EB520" si="1919">BK501</f>
        <v>0</v>
      </c>
      <c r="EC501" s="161">
        <f t="shared" ref="EC501:EC520" si="1920">BL501</f>
        <v>0</v>
      </c>
      <c r="ED501" s="161">
        <f t="shared" ref="ED501:ED520" si="1921">BM501</f>
        <v>0</v>
      </c>
      <c r="EE501" s="161">
        <f t="shared" ref="EE501:EE520" si="1922">BN501</f>
        <v>0</v>
      </c>
      <c r="EF501" s="161">
        <f t="shared" ref="EF501:EF520" si="1923">BO501</f>
        <v>0</v>
      </c>
      <c r="EG501" s="161">
        <f t="shared" ref="EG501:EG520" si="1924">BP501</f>
        <v>0</v>
      </c>
      <c r="EH501" s="161">
        <f t="shared" ref="EH501:EH520" si="1925">BQ501</f>
        <v>0</v>
      </c>
      <c r="EI501" s="161">
        <f t="shared" ref="EI501:EI520" si="1926">BR501</f>
        <v>0</v>
      </c>
      <c r="EJ501" s="65"/>
      <c r="EK501" s="161">
        <f>$EK$500</f>
        <v>0</v>
      </c>
      <c r="EL501" s="161">
        <f>$EL$500</f>
        <v>0</v>
      </c>
      <c r="EM501" s="161">
        <f>$EM$500</f>
        <v>0</v>
      </c>
    </row>
    <row r="502" spans="1:143" ht="12" hidden="1" customHeight="1" outlineLevel="2">
      <c r="A502" s="77">
        <v>2</v>
      </c>
      <c r="B502" s="137" t="str">
        <f t="shared" ref="B502:B520" si="1927">IF(G502&gt;0,G502&amp;" - "&amp;$F$213,"")</f>
        <v>COORD. - Equipe_01</v>
      </c>
      <c r="C502" s="65"/>
      <c r="D502" s="621"/>
      <c r="E502" s="65"/>
      <c r="F502" s="584"/>
      <c r="G502" s="77" t="str">
        <f>IF(INDEX(Tarefas!$BT$30:$FK$30,MATCH(A502,Tarefas!$BT$28:$FK$28,0))=0,"",INDEX(Tarefas!$BT$30:$FK$30,MATCH(A502,Tarefas!$BT$28:$FK$28,0)))</f>
        <v>COORD.</v>
      </c>
      <c r="H502" s="107" cm="1">
        <f t="array" ref="H502">IFERROR((SUMPRODUCT((Tarefas!$N$32:$N$54='Cronog. e Histog.'!$F$501)*(Tarefas!$BQ$30:$FK$30='Cronog. e Histog.'!$G502)*(Tarefas!$BQ$32:$FK$54)))/SUMIF(Tarefas!$N$32:$N$54,'Cronog. e Histog.'!$F$501,Tarefas!$K$32:$K$54),0)</f>
        <v>0</v>
      </c>
      <c r="I502" s="79">
        <f t="shared" ref="I502:I520" si="1928">IFERROR(H502/$H$521,0)</f>
        <v>0</v>
      </c>
      <c r="J502" s="65"/>
      <c r="K502" s="160">
        <f t="shared" ref="K502:Z511" si="1929">ROUND($I502*K$195,2)</f>
        <v>0</v>
      </c>
      <c r="L502" s="160">
        <f t="shared" si="1929"/>
        <v>0</v>
      </c>
      <c r="M502" s="160">
        <f t="shared" si="1929"/>
        <v>0</v>
      </c>
      <c r="N502" s="160">
        <f t="shared" si="1929"/>
        <v>0</v>
      </c>
      <c r="O502" s="160">
        <f t="shared" si="1929"/>
        <v>0</v>
      </c>
      <c r="P502" s="160">
        <f t="shared" si="1929"/>
        <v>0</v>
      </c>
      <c r="Q502" s="160">
        <f t="shared" si="1929"/>
        <v>0</v>
      </c>
      <c r="R502" s="160">
        <f t="shared" si="1929"/>
        <v>0</v>
      </c>
      <c r="S502" s="160">
        <f t="shared" si="1929"/>
        <v>0</v>
      </c>
      <c r="T502" s="160">
        <f t="shared" si="1929"/>
        <v>0</v>
      </c>
      <c r="U502" s="160">
        <f t="shared" si="1929"/>
        <v>0</v>
      </c>
      <c r="V502" s="160">
        <f t="shared" si="1929"/>
        <v>0</v>
      </c>
      <c r="W502" s="160">
        <f t="shared" si="1929"/>
        <v>0</v>
      </c>
      <c r="X502" s="160">
        <f t="shared" si="1929"/>
        <v>0</v>
      </c>
      <c r="Y502" s="160">
        <f t="shared" si="1929"/>
        <v>0</v>
      </c>
      <c r="Z502" s="160">
        <f t="shared" si="1929"/>
        <v>0</v>
      </c>
      <c r="AA502" s="160">
        <f t="shared" ref="AA502:AP511" si="1930">ROUND($I502*AA$195,2)</f>
        <v>0</v>
      </c>
      <c r="AB502" s="160">
        <f t="shared" si="1930"/>
        <v>0</v>
      </c>
      <c r="AC502" s="160">
        <f t="shared" si="1930"/>
        <v>0</v>
      </c>
      <c r="AD502" s="160">
        <f t="shared" si="1930"/>
        <v>0</v>
      </c>
      <c r="AE502" s="160">
        <f t="shared" si="1930"/>
        <v>0</v>
      </c>
      <c r="AF502" s="160">
        <f t="shared" si="1930"/>
        <v>0</v>
      </c>
      <c r="AG502" s="160">
        <f t="shared" si="1930"/>
        <v>0</v>
      </c>
      <c r="AH502" s="160">
        <f t="shared" si="1930"/>
        <v>0</v>
      </c>
      <c r="AI502" s="160">
        <f t="shared" si="1930"/>
        <v>0</v>
      </c>
      <c r="AJ502" s="160">
        <f t="shared" si="1930"/>
        <v>0</v>
      </c>
      <c r="AK502" s="160">
        <f t="shared" si="1930"/>
        <v>0</v>
      </c>
      <c r="AL502" s="160">
        <f t="shared" si="1930"/>
        <v>0</v>
      </c>
      <c r="AM502" s="160">
        <f t="shared" si="1930"/>
        <v>0</v>
      </c>
      <c r="AN502" s="160">
        <f t="shared" si="1930"/>
        <v>0</v>
      </c>
      <c r="AO502" s="160">
        <f t="shared" si="1930"/>
        <v>0</v>
      </c>
      <c r="AP502" s="160">
        <f t="shared" si="1930"/>
        <v>0</v>
      </c>
      <c r="AQ502" s="160">
        <f t="shared" ref="AQ502:BF511" si="1931">ROUND($I502*AQ$195,2)</f>
        <v>0</v>
      </c>
      <c r="AR502" s="160">
        <f t="shared" si="1931"/>
        <v>0</v>
      </c>
      <c r="AS502" s="160">
        <f t="shared" si="1931"/>
        <v>0</v>
      </c>
      <c r="AT502" s="160">
        <f t="shared" si="1931"/>
        <v>0</v>
      </c>
      <c r="AU502" s="160">
        <f t="shared" si="1931"/>
        <v>0</v>
      </c>
      <c r="AV502" s="160">
        <f t="shared" si="1931"/>
        <v>0</v>
      </c>
      <c r="AW502" s="160">
        <f t="shared" si="1931"/>
        <v>0</v>
      </c>
      <c r="AX502" s="160">
        <f t="shared" si="1931"/>
        <v>0</v>
      </c>
      <c r="AY502" s="160">
        <f t="shared" si="1931"/>
        <v>0</v>
      </c>
      <c r="AZ502" s="160">
        <f t="shared" si="1931"/>
        <v>0</v>
      </c>
      <c r="BA502" s="160">
        <f t="shared" si="1931"/>
        <v>0</v>
      </c>
      <c r="BB502" s="160">
        <f t="shared" si="1931"/>
        <v>0</v>
      </c>
      <c r="BC502" s="160">
        <f t="shared" si="1931"/>
        <v>0</v>
      </c>
      <c r="BD502" s="160">
        <f t="shared" si="1931"/>
        <v>0</v>
      </c>
      <c r="BE502" s="160">
        <f t="shared" si="1931"/>
        <v>0</v>
      </c>
      <c r="BF502" s="160">
        <f t="shared" si="1931"/>
        <v>0</v>
      </c>
      <c r="BG502" s="160">
        <f t="shared" ref="BG502:BR511" si="1932">ROUND($I502*BG$195,2)</f>
        <v>0</v>
      </c>
      <c r="BH502" s="160">
        <f t="shared" si="1932"/>
        <v>0</v>
      </c>
      <c r="BI502" s="160">
        <f t="shared" si="1932"/>
        <v>0</v>
      </c>
      <c r="BJ502" s="160">
        <f t="shared" si="1932"/>
        <v>0</v>
      </c>
      <c r="BK502" s="160">
        <f t="shared" si="1932"/>
        <v>0</v>
      </c>
      <c r="BL502" s="160">
        <f t="shared" si="1932"/>
        <v>0</v>
      </c>
      <c r="BM502" s="160">
        <f t="shared" si="1932"/>
        <v>0</v>
      </c>
      <c r="BN502" s="160">
        <f t="shared" si="1932"/>
        <v>0</v>
      </c>
      <c r="BO502" s="160">
        <f t="shared" si="1932"/>
        <v>0</v>
      </c>
      <c r="BP502" s="160">
        <f t="shared" si="1932"/>
        <v>0</v>
      </c>
      <c r="BQ502" s="160">
        <f t="shared" si="1932"/>
        <v>0</v>
      </c>
      <c r="BR502" s="160">
        <f t="shared" si="1932"/>
        <v>0</v>
      </c>
      <c r="BS502" s="65"/>
      <c r="BT502" s="160">
        <f t="shared" ref="BT502:BT511" si="1933">IFERROR(SUM(K502:BR502)/COUNTIF(K502:BR502,"&gt;0"),0)</f>
        <v>0</v>
      </c>
      <c r="BU502" s="160">
        <f t="shared" ref="BU502:BU511" si="1934">COUNTIF(K502:BR502,"&gt;0")</f>
        <v>0</v>
      </c>
      <c r="BV502" s="65"/>
      <c r="BW502" s="69"/>
      <c r="BX502" s="65"/>
      <c r="BY502" s="137">
        <f t="shared" ref="BY502:BY511" si="1935">IF(G502&gt;0,1,0)</f>
        <v>1</v>
      </c>
      <c r="BZ502" s="137">
        <f>IF(BY502&gt;0,BY502+LARGE($BZ$213:BZ501,1),0)</f>
        <v>242</v>
      </c>
      <c r="CA502" s="137" t="str">
        <f t="shared" ref="CA502:CA511" si="1936">G502</f>
        <v>COORD.</v>
      </c>
      <c r="CB502" s="161">
        <f t="shared" ref="CB502:CB511" si="1937">K502</f>
        <v>0</v>
      </c>
      <c r="CC502" s="161">
        <f t="shared" ref="CC502:CC511" si="1938">L502</f>
        <v>0</v>
      </c>
      <c r="CD502" s="161">
        <f t="shared" ref="CD502:CD511" si="1939">M502</f>
        <v>0</v>
      </c>
      <c r="CE502" s="161">
        <f t="shared" ref="CE502:CE511" si="1940">N502</f>
        <v>0</v>
      </c>
      <c r="CF502" s="161">
        <f t="shared" ref="CF502:CF511" si="1941">O502</f>
        <v>0</v>
      </c>
      <c r="CG502" s="161">
        <f t="shared" ref="CG502:CG511" si="1942">P502</f>
        <v>0</v>
      </c>
      <c r="CH502" s="161">
        <f t="shared" ref="CH502:CH511" si="1943">Q502</f>
        <v>0</v>
      </c>
      <c r="CI502" s="161">
        <f t="shared" ref="CI502:CI511" si="1944">R502</f>
        <v>0</v>
      </c>
      <c r="CJ502" s="161">
        <f t="shared" ref="CJ502:CJ511" si="1945">S502</f>
        <v>0</v>
      </c>
      <c r="CK502" s="161">
        <f t="shared" ref="CK502:CK511" si="1946">T502</f>
        <v>0</v>
      </c>
      <c r="CL502" s="161">
        <f t="shared" ref="CL502:CL511" si="1947">U502</f>
        <v>0</v>
      </c>
      <c r="CM502" s="161">
        <f t="shared" ref="CM502:CM511" si="1948">V502</f>
        <v>0</v>
      </c>
      <c r="CN502" s="161">
        <f t="shared" ref="CN502:CN511" si="1949">W502</f>
        <v>0</v>
      </c>
      <c r="CO502" s="161">
        <f t="shared" ref="CO502:CO511" si="1950">X502</f>
        <v>0</v>
      </c>
      <c r="CP502" s="161">
        <f t="shared" ref="CP502:CP511" si="1951">Y502</f>
        <v>0</v>
      </c>
      <c r="CQ502" s="161">
        <f t="shared" ref="CQ502:CQ511" si="1952">Z502</f>
        <v>0</v>
      </c>
      <c r="CR502" s="161">
        <f t="shared" ref="CR502:CR511" si="1953">AA502</f>
        <v>0</v>
      </c>
      <c r="CS502" s="161">
        <f t="shared" ref="CS502:CS511" si="1954">AB502</f>
        <v>0</v>
      </c>
      <c r="CT502" s="161">
        <f t="shared" ref="CT502:CT511" si="1955">AC502</f>
        <v>0</v>
      </c>
      <c r="CU502" s="161">
        <f t="shared" ref="CU502:CU511" si="1956">AD502</f>
        <v>0</v>
      </c>
      <c r="CV502" s="161">
        <f t="shared" ref="CV502:CV511" si="1957">AE502</f>
        <v>0</v>
      </c>
      <c r="CW502" s="161">
        <f t="shared" ref="CW502:CW511" si="1958">AF502</f>
        <v>0</v>
      </c>
      <c r="CX502" s="161">
        <f t="shared" ref="CX502:CX511" si="1959">AG502</f>
        <v>0</v>
      </c>
      <c r="CY502" s="161">
        <f t="shared" ref="CY502:CY511" si="1960">AH502</f>
        <v>0</v>
      </c>
      <c r="CZ502" s="161">
        <f t="shared" ref="CZ502:CZ511" si="1961">AI502</f>
        <v>0</v>
      </c>
      <c r="DA502" s="161">
        <f t="shared" ref="DA502:DA511" si="1962">AJ502</f>
        <v>0</v>
      </c>
      <c r="DB502" s="161">
        <f t="shared" ref="DB502:DB511" si="1963">AK502</f>
        <v>0</v>
      </c>
      <c r="DC502" s="161">
        <f t="shared" ref="DC502:DC511" si="1964">AL502</f>
        <v>0</v>
      </c>
      <c r="DD502" s="161">
        <f t="shared" ref="DD502:DD511" si="1965">AM502</f>
        <v>0</v>
      </c>
      <c r="DE502" s="161">
        <f t="shared" ref="DE502:DE511" si="1966">AN502</f>
        <v>0</v>
      </c>
      <c r="DF502" s="161">
        <f t="shared" ref="DF502:DF511" si="1967">AO502</f>
        <v>0</v>
      </c>
      <c r="DG502" s="161">
        <f t="shared" ref="DG502:DG511" si="1968">AP502</f>
        <v>0</v>
      </c>
      <c r="DH502" s="161">
        <f t="shared" ref="DH502:DH511" si="1969">AQ502</f>
        <v>0</v>
      </c>
      <c r="DI502" s="161">
        <f t="shared" ref="DI502:DI511" si="1970">AR502</f>
        <v>0</v>
      </c>
      <c r="DJ502" s="161">
        <f t="shared" ref="DJ502:DJ511" si="1971">AS502</f>
        <v>0</v>
      </c>
      <c r="DK502" s="161">
        <f t="shared" ref="DK502:DK511" si="1972">AT502</f>
        <v>0</v>
      </c>
      <c r="DL502" s="161">
        <f t="shared" ref="DL502:DL511" si="1973">AU502</f>
        <v>0</v>
      </c>
      <c r="DM502" s="161">
        <f t="shared" ref="DM502:DM511" si="1974">AV502</f>
        <v>0</v>
      </c>
      <c r="DN502" s="161">
        <f t="shared" ref="DN502:DN511" si="1975">AW502</f>
        <v>0</v>
      </c>
      <c r="DO502" s="161">
        <f t="shared" ref="DO502:DO511" si="1976">AX502</f>
        <v>0</v>
      </c>
      <c r="DP502" s="161">
        <f t="shared" ref="DP502:DP511" si="1977">AY502</f>
        <v>0</v>
      </c>
      <c r="DQ502" s="161">
        <f t="shared" ref="DQ502:DQ511" si="1978">AZ502</f>
        <v>0</v>
      </c>
      <c r="DR502" s="161">
        <f t="shared" ref="DR502:DR511" si="1979">BA502</f>
        <v>0</v>
      </c>
      <c r="DS502" s="161">
        <f t="shared" ref="DS502:DS511" si="1980">BB502</f>
        <v>0</v>
      </c>
      <c r="DT502" s="161">
        <f t="shared" ref="DT502:DT511" si="1981">BC502</f>
        <v>0</v>
      </c>
      <c r="DU502" s="161">
        <f t="shared" ref="DU502:DU511" si="1982">BD502</f>
        <v>0</v>
      </c>
      <c r="DV502" s="161">
        <f t="shared" ref="DV502:DV511" si="1983">BE502</f>
        <v>0</v>
      </c>
      <c r="DW502" s="161">
        <f t="shared" ref="DW502:DW511" si="1984">BF502</f>
        <v>0</v>
      </c>
      <c r="DX502" s="161">
        <f t="shared" ref="DX502:DX511" si="1985">BG502</f>
        <v>0</v>
      </c>
      <c r="DY502" s="161">
        <f t="shared" ref="DY502:DY511" si="1986">BH502</f>
        <v>0</v>
      </c>
      <c r="DZ502" s="161">
        <f t="shared" ref="DZ502:DZ511" si="1987">BI502</f>
        <v>0</v>
      </c>
      <c r="EA502" s="161">
        <f t="shared" ref="EA502:EA511" si="1988">BJ502</f>
        <v>0</v>
      </c>
      <c r="EB502" s="161">
        <f t="shared" ref="EB502:EB511" si="1989">BK502</f>
        <v>0</v>
      </c>
      <c r="EC502" s="161">
        <f t="shared" ref="EC502:EC511" si="1990">BL502</f>
        <v>0</v>
      </c>
      <c r="ED502" s="161">
        <f t="shared" ref="ED502:ED511" si="1991">BM502</f>
        <v>0</v>
      </c>
      <c r="EE502" s="161">
        <f t="shared" ref="EE502:EE511" si="1992">BN502</f>
        <v>0</v>
      </c>
      <c r="EF502" s="161">
        <f t="shared" ref="EF502:EF511" si="1993">BO502</f>
        <v>0</v>
      </c>
      <c r="EG502" s="161">
        <f t="shared" ref="EG502:EG511" si="1994">BP502</f>
        <v>0</v>
      </c>
      <c r="EH502" s="161">
        <f t="shared" ref="EH502:EH511" si="1995">BQ502</f>
        <v>0</v>
      </c>
      <c r="EI502" s="161">
        <f t="shared" ref="EI502:EI511" si="1996">BR502</f>
        <v>0</v>
      </c>
      <c r="EJ502" s="65"/>
      <c r="EK502" s="161">
        <f t="shared" ref="EK502:EK520" si="1997">$EK$500</f>
        <v>0</v>
      </c>
      <c r="EL502" s="161">
        <f t="shared" ref="EL502:EL520" si="1998">$EL$500</f>
        <v>0</v>
      </c>
      <c r="EM502" s="161">
        <f t="shared" ref="EM502:EM520" si="1999">$EM$500</f>
        <v>0</v>
      </c>
    </row>
    <row r="503" spans="1:143" ht="12" hidden="1" customHeight="1" outlineLevel="2">
      <c r="A503" s="77">
        <v>3</v>
      </c>
      <c r="B503" s="137" t="str">
        <f t="shared" si="1927"/>
        <v>SUP.-ESP - Equipe_01</v>
      </c>
      <c r="C503" s="65"/>
      <c r="D503" s="621"/>
      <c r="E503" s="65"/>
      <c r="F503" s="584"/>
      <c r="G503" s="77" t="str">
        <f>IF(INDEX(Tarefas!$BT$30:$FK$30,MATCH(A503,Tarefas!$BT$28:$FK$28,0))=0,"",INDEX(Tarefas!$BT$30:$FK$30,MATCH(A503,Tarefas!$BT$28:$FK$28,0)))</f>
        <v>SUP.-ESP</v>
      </c>
      <c r="H503" s="107" cm="1">
        <f t="array" ref="H503">IFERROR((SUMPRODUCT((Tarefas!$N$32:$N$54='Cronog. e Histog.'!$F$501)*(Tarefas!$BQ$30:$FK$30='Cronog. e Histog.'!$G503)*(Tarefas!$BQ$32:$FK$54)))/SUMIF(Tarefas!$N$32:$N$54,'Cronog. e Histog.'!$F$501,Tarefas!$K$32:$K$54),0)</f>
        <v>0</v>
      </c>
      <c r="I503" s="79">
        <f t="shared" si="1928"/>
        <v>0</v>
      </c>
      <c r="J503" s="65"/>
      <c r="K503" s="160">
        <f t="shared" si="1929"/>
        <v>0</v>
      </c>
      <c r="L503" s="160">
        <f t="shared" si="1929"/>
        <v>0</v>
      </c>
      <c r="M503" s="160">
        <f t="shared" si="1929"/>
        <v>0</v>
      </c>
      <c r="N503" s="160">
        <f t="shared" si="1929"/>
        <v>0</v>
      </c>
      <c r="O503" s="160">
        <f t="shared" si="1929"/>
        <v>0</v>
      </c>
      <c r="P503" s="160">
        <f t="shared" si="1929"/>
        <v>0</v>
      </c>
      <c r="Q503" s="160">
        <f t="shared" si="1929"/>
        <v>0</v>
      </c>
      <c r="R503" s="160">
        <f t="shared" si="1929"/>
        <v>0</v>
      </c>
      <c r="S503" s="160">
        <f t="shared" si="1929"/>
        <v>0</v>
      </c>
      <c r="T503" s="160">
        <f t="shared" si="1929"/>
        <v>0</v>
      </c>
      <c r="U503" s="160">
        <f t="shared" si="1929"/>
        <v>0</v>
      </c>
      <c r="V503" s="160">
        <f t="shared" si="1929"/>
        <v>0</v>
      </c>
      <c r="W503" s="160">
        <f t="shared" si="1929"/>
        <v>0</v>
      </c>
      <c r="X503" s="160">
        <f t="shared" si="1929"/>
        <v>0</v>
      </c>
      <c r="Y503" s="160">
        <f t="shared" si="1929"/>
        <v>0</v>
      </c>
      <c r="Z503" s="160">
        <f t="shared" si="1929"/>
        <v>0</v>
      </c>
      <c r="AA503" s="160">
        <f t="shared" si="1930"/>
        <v>0</v>
      </c>
      <c r="AB503" s="160">
        <f t="shared" si="1930"/>
        <v>0</v>
      </c>
      <c r="AC503" s="160">
        <f t="shared" si="1930"/>
        <v>0</v>
      </c>
      <c r="AD503" s="160">
        <f t="shared" si="1930"/>
        <v>0</v>
      </c>
      <c r="AE503" s="160">
        <f t="shared" si="1930"/>
        <v>0</v>
      </c>
      <c r="AF503" s="160">
        <f t="shared" si="1930"/>
        <v>0</v>
      </c>
      <c r="AG503" s="160">
        <f t="shared" si="1930"/>
        <v>0</v>
      </c>
      <c r="AH503" s="160">
        <f t="shared" si="1930"/>
        <v>0</v>
      </c>
      <c r="AI503" s="160">
        <f t="shared" si="1930"/>
        <v>0</v>
      </c>
      <c r="AJ503" s="160">
        <f t="shared" si="1930"/>
        <v>0</v>
      </c>
      <c r="AK503" s="160">
        <f t="shared" si="1930"/>
        <v>0</v>
      </c>
      <c r="AL503" s="160">
        <f t="shared" si="1930"/>
        <v>0</v>
      </c>
      <c r="AM503" s="160">
        <f t="shared" si="1930"/>
        <v>0</v>
      </c>
      <c r="AN503" s="160">
        <f t="shared" si="1930"/>
        <v>0</v>
      </c>
      <c r="AO503" s="160">
        <f t="shared" si="1930"/>
        <v>0</v>
      </c>
      <c r="AP503" s="160">
        <f t="shared" si="1930"/>
        <v>0</v>
      </c>
      <c r="AQ503" s="160">
        <f t="shared" si="1931"/>
        <v>0</v>
      </c>
      <c r="AR503" s="160">
        <f t="shared" si="1931"/>
        <v>0</v>
      </c>
      <c r="AS503" s="160">
        <f t="shared" si="1931"/>
        <v>0</v>
      </c>
      <c r="AT503" s="160">
        <f t="shared" si="1931"/>
        <v>0</v>
      </c>
      <c r="AU503" s="160">
        <f t="shared" si="1931"/>
        <v>0</v>
      </c>
      <c r="AV503" s="160">
        <f t="shared" si="1931"/>
        <v>0</v>
      </c>
      <c r="AW503" s="160">
        <f t="shared" si="1931"/>
        <v>0</v>
      </c>
      <c r="AX503" s="160">
        <f t="shared" si="1931"/>
        <v>0</v>
      </c>
      <c r="AY503" s="160">
        <f t="shared" si="1931"/>
        <v>0</v>
      </c>
      <c r="AZ503" s="160">
        <f t="shared" si="1931"/>
        <v>0</v>
      </c>
      <c r="BA503" s="160">
        <f t="shared" si="1931"/>
        <v>0</v>
      </c>
      <c r="BB503" s="160">
        <f t="shared" si="1931"/>
        <v>0</v>
      </c>
      <c r="BC503" s="160">
        <f t="shared" si="1931"/>
        <v>0</v>
      </c>
      <c r="BD503" s="160">
        <f t="shared" si="1931"/>
        <v>0</v>
      </c>
      <c r="BE503" s="160">
        <f t="shared" si="1931"/>
        <v>0</v>
      </c>
      <c r="BF503" s="160">
        <f t="shared" si="1931"/>
        <v>0</v>
      </c>
      <c r="BG503" s="160">
        <f t="shared" si="1932"/>
        <v>0</v>
      </c>
      <c r="BH503" s="160">
        <f t="shared" si="1932"/>
        <v>0</v>
      </c>
      <c r="BI503" s="160">
        <f t="shared" si="1932"/>
        <v>0</v>
      </c>
      <c r="BJ503" s="160">
        <f t="shared" si="1932"/>
        <v>0</v>
      </c>
      <c r="BK503" s="160">
        <f t="shared" si="1932"/>
        <v>0</v>
      </c>
      <c r="BL503" s="160">
        <f t="shared" si="1932"/>
        <v>0</v>
      </c>
      <c r="BM503" s="160">
        <f t="shared" si="1932"/>
        <v>0</v>
      </c>
      <c r="BN503" s="160">
        <f t="shared" si="1932"/>
        <v>0</v>
      </c>
      <c r="BO503" s="160">
        <f t="shared" si="1932"/>
        <v>0</v>
      </c>
      <c r="BP503" s="160">
        <f t="shared" si="1932"/>
        <v>0</v>
      </c>
      <c r="BQ503" s="160">
        <f t="shared" si="1932"/>
        <v>0</v>
      </c>
      <c r="BR503" s="160">
        <f t="shared" si="1932"/>
        <v>0</v>
      </c>
      <c r="BS503" s="65"/>
      <c r="BT503" s="160">
        <f t="shared" si="1933"/>
        <v>0</v>
      </c>
      <c r="BU503" s="160">
        <f t="shared" si="1934"/>
        <v>0</v>
      </c>
      <c r="BV503" s="65"/>
      <c r="BW503" s="69"/>
      <c r="BX503" s="65"/>
      <c r="BY503" s="137">
        <f t="shared" si="1935"/>
        <v>1</v>
      </c>
      <c r="BZ503" s="137">
        <f>IF(BY503&gt;0,BY503+LARGE($BZ$213:BZ502,1),0)</f>
        <v>243</v>
      </c>
      <c r="CA503" s="137" t="str">
        <f t="shared" si="1936"/>
        <v>SUP.-ESP</v>
      </c>
      <c r="CB503" s="161">
        <f t="shared" si="1937"/>
        <v>0</v>
      </c>
      <c r="CC503" s="161">
        <f t="shared" si="1938"/>
        <v>0</v>
      </c>
      <c r="CD503" s="161">
        <f t="shared" si="1939"/>
        <v>0</v>
      </c>
      <c r="CE503" s="161">
        <f t="shared" si="1940"/>
        <v>0</v>
      </c>
      <c r="CF503" s="161">
        <f t="shared" si="1941"/>
        <v>0</v>
      </c>
      <c r="CG503" s="161">
        <f t="shared" si="1942"/>
        <v>0</v>
      </c>
      <c r="CH503" s="161">
        <f t="shared" si="1943"/>
        <v>0</v>
      </c>
      <c r="CI503" s="161">
        <f t="shared" si="1944"/>
        <v>0</v>
      </c>
      <c r="CJ503" s="161">
        <f t="shared" si="1945"/>
        <v>0</v>
      </c>
      <c r="CK503" s="161">
        <f t="shared" si="1946"/>
        <v>0</v>
      </c>
      <c r="CL503" s="161">
        <f t="shared" si="1947"/>
        <v>0</v>
      </c>
      <c r="CM503" s="161">
        <f t="shared" si="1948"/>
        <v>0</v>
      </c>
      <c r="CN503" s="161">
        <f t="shared" si="1949"/>
        <v>0</v>
      </c>
      <c r="CO503" s="161">
        <f t="shared" si="1950"/>
        <v>0</v>
      </c>
      <c r="CP503" s="161">
        <f t="shared" si="1951"/>
        <v>0</v>
      </c>
      <c r="CQ503" s="161">
        <f t="shared" si="1952"/>
        <v>0</v>
      </c>
      <c r="CR503" s="161">
        <f t="shared" si="1953"/>
        <v>0</v>
      </c>
      <c r="CS503" s="161">
        <f t="shared" si="1954"/>
        <v>0</v>
      </c>
      <c r="CT503" s="161">
        <f t="shared" si="1955"/>
        <v>0</v>
      </c>
      <c r="CU503" s="161">
        <f t="shared" si="1956"/>
        <v>0</v>
      </c>
      <c r="CV503" s="161">
        <f t="shared" si="1957"/>
        <v>0</v>
      </c>
      <c r="CW503" s="161">
        <f t="shared" si="1958"/>
        <v>0</v>
      </c>
      <c r="CX503" s="161">
        <f t="shared" si="1959"/>
        <v>0</v>
      </c>
      <c r="CY503" s="161">
        <f t="shared" si="1960"/>
        <v>0</v>
      </c>
      <c r="CZ503" s="161">
        <f t="shared" si="1961"/>
        <v>0</v>
      </c>
      <c r="DA503" s="161">
        <f t="shared" si="1962"/>
        <v>0</v>
      </c>
      <c r="DB503" s="161">
        <f t="shared" si="1963"/>
        <v>0</v>
      </c>
      <c r="DC503" s="161">
        <f t="shared" si="1964"/>
        <v>0</v>
      </c>
      <c r="DD503" s="161">
        <f t="shared" si="1965"/>
        <v>0</v>
      </c>
      <c r="DE503" s="161">
        <f t="shared" si="1966"/>
        <v>0</v>
      </c>
      <c r="DF503" s="161">
        <f t="shared" si="1967"/>
        <v>0</v>
      </c>
      <c r="DG503" s="161">
        <f t="shared" si="1968"/>
        <v>0</v>
      </c>
      <c r="DH503" s="161">
        <f t="shared" si="1969"/>
        <v>0</v>
      </c>
      <c r="DI503" s="161">
        <f t="shared" si="1970"/>
        <v>0</v>
      </c>
      <c r="DJ503" s="161">
        <f t="shared" si="1971"/>
        <v>0</v>
      </c>
      <c r="DK503" s="161">
        <f t="shared" si="1972"/>
        <v>0</v>
      </c>
      <c r="DL503" s="161">
        <f t="shared" si="1973"/>
        <v>0</v>
      </c>
      <c r="DM503" s="161">
        <f t="shared" si="1974"/>
        <v>0</v>
      </c>
      <c r="DN503" s="161">
        <f t="shared" si="1975"/>
        <v>0</v>
      </c>
      <c r="DO503" s="161">
        <f t="shared" si="1976"/>
        <v>0</v>
      </c>
      <c r="DP503" s="161">
        <f t="shared" si="1977"/>
        <v>0</v>
      </c>
      <c r="DQ503" s="161">
        <f t="shared" si="1978"/>
        <v>0</v>
      </c>
      <c r="DR503" s="161">
        <f t="shared" si="1979"/>
        <v>0</v>
      </c>
      <c r="DS503" s="161">
        <f t="shared" si="1980"/>
        <v>0</v>
      </c>
      <c r="DT503" s="161">
        <f t="shared" si="1981"/>
        <v>0</v>
      </c>
      <c r="DU503" s="161">
        <f t="shared" si="1982"/>
        <v>0</v>
      </c>
      <c r="DV503" s="161">
        <f t="shared" si="1983"/>
        <v>0</v>
      </c>
      <c r="DW503" s="161">
        <f t="shared" si="1984"/>
        <v>0</v>
      </c>
      <c r="DX503" s="161">
        <f t="shared" si="1985"/>
        <v>0</v>
      </c>
      <c r="DY503" s="161">
        <f t="shared" si="1986"/>
        <v>0</v>
      </c>
      <c r="DZ503" s="161">
        <f t="shared" si="1987"/>
        <v>0</v>
      </c>
      <c r="EA503" s="161">
        <f t="shared" si="1988"/>
        <v>0</v>
      </c>
      <c r="EB503" s="161">
        <f t="shared" si="1989"/>
        <v>0</v>
      </c>
      <c r="EC503" s="161">
        <f t="shared" si="1990"/>
        <v>0</v>
      </c>
      <c r="ED503" s="161">
        <f t="shared" si="1991"/>
        <v>0</v>
      </c>
      <c r="EE503" s="161">
        <f t="shared" si="1992"/>
        <v>0</v>
      </c>
      <c r="EF503" s="161">
        <f t="shared" si="1993"/>
        <v>0</v>
      </c>
      <c r="EG503" s="161">
        <f t="shared" si="1994"/>
        <v>0</v>
      </c>
      <c r="EH503" s="161">
        <f t="shared" si="1995"/>
        <v>0</v>
      </c>
      <c r="EI503" s="161">
        <f t="shared" si="1996"/>
        <v>0</v>
      </c>
      <c r="EJ503" s="65"/>
      <c r="EK503" s="161">
        <f t="shared" si="1997"/>
        <v>0</v>
      </c>
      <c r="EL503" s="161">
        <f t="shared" si="1998"/>
        <v>0</v>
      </c>
      <c r="EM503" s="161">
        <f t="shared" si="1999"/>
        <v>0</v>
      </c>
    </row>
    <row r="504" spans="1:143" ht="12" hidden="1" customHeight="1" outlineLevel="2">
      <c r="A504" s="77">
        <v>4</v>
      </c>
      <c r="B504" s="137" t="str">
        <f t="shared" si="1927"/>
        <v>ENG/ARQ SR. - Equipe_01</v>
      </c>
      <c r="C504" s="65"/>
      <c r="D504" s="621"/>
      <c r="E504" s="65"/>
      <c r="F504" s="584"/>
      <c r="G504" s="77" t="str">
        <f>IF(INDEX(Tarefas!$BT$30:$FK$30,MATCH(A504,Tarefas!$BT$28:$FK$28,0))=0,"",INDEX(Tarefas!$BT$30:$FK$30,MATCH(A504,Tarefas!$BT$28:$FK$28,0)))</f>
        <v>ENG/ARQ SR.</v>
      </c>
      <c r="H504" s="107" cm="1">
        <f t="array" ref="H504">IFERROR((SUMPRODUCT((Tarefas!$N$32:$N$54='Cronog. e Histog.'!$F$501)*(Tarefas!$BQ$30:$FK$30='Cronog. e Histog.'!$G504)*(Tarefas!$BQ$32:$FK$54)))/SUMIF(Tarefas!$N$32:$N$54,'Cronog. e Histog.'!$F$501,Tarefas!$K$32:$K$54),0)</f>
        <v>0</v>
      </c>
      <c r="I504" s="79">
        <f t="shared" si="1928"/>
        <v>0</v>
      </c>
      <c r="J504" s="65"/>
      <c r="K504" s="160">
        <f t="shared" si="1929"/>
        <v>0</v>
      </c>
      <c r="L504" s="160">
        <f t="shared" si="1929"/>
        <v>0</v>
      </c>
      <c r="M504" s="160">
        <f t="shared" si="1929"/>
        <v>0</v>
      </c>
      <c r="N504" s="160">
        <f t="shared" si="1929"/>
        <v>0</v>
      </c>
      <c r="O504" s="160">
        <f t="shared" si="1929"/>
        <v>0</v>
      </c>
      <c r="P504" s="160">
        <f t="shared" si="1929"/>
        <v>0</v>
      </c>
      <c r="Q504" s="160">
        <f t="shared" si="1929"/>
        <v>0</v>
      </c>
      <c r="R504" s="160">
        <f t="shared" si="1929"/>
        <v>0</v>
      </c>
      <c r="S504" s="160">
        <f t="shared" si="1929"/>
        <v>0</v>
      </c>
      <c r="T504" s="160">
        <f t="shared" si="1929"/>
        <v>0</v>
      </c>
      <c r="U504" s="160">
        <f t="shared" si="1929"/>
        <v>0</v>
      </c>
      <c r="V504" s="160">
        <f t="shared" si="1929"/>
        <v>0</v>
      </c>
      <c r="W504" s="160">
        <f t="shared" si="1929"/>
        <v>0</v>
      </c>
      <c r="X504" s="160">
        <f t="shared" si="1929"/>
        <v>0</v>
      </c>
      <c r="Y504" s="160">
        <f t="shared" si="1929"/>
        <v>0</v>
      </c>
      <c r="Z504" s="160">
        <f t="shared" si="1929"/>
        <v>0</v>
      </c>
      <c r="AA504" s="160">
        <f t="shared" si="1930"/>
        <v>0</v>
      </c>
      <c r="AB504" s="160">
        <f t="shared" si="1930"/>
        <v>0</v>
      </c>
      <c r="AC504" s="160">
        <f t="shared" si="1930"/>
        <v>0</v>
      </c>
      <c r="AD504" s="160">
        <f t="shared" si="1930"/>
        <v>0</v>
      </c>
      <c r="AE504" s="160">
        <f t="shared" si="1930"/>
        <v>0</v>
      </c>
      <c r="AF504" s="160">
        <f t="shared" si="1930"/>
        <v>0</v>
      </c>
      <c r="AG504" s="160">
        <f t="shared" si="1930"/>
        <v>0</v>
      </c>
      <c r="AH504" s="160">
        <f t="shared" si="1930"/>
        <v>0</v>
      </c>
      <c r="AI504" s="160">
        <f t="shared" si="1930"/>
        <v>0</v>
      </c>
      <c r="AJ504" s="160">
        <f t="shared" si="1930"/>
        <v>0</v>
      </c>
      <c r="AK504" s="160">
        <f t="shared" si="1930"/>
        <v>0</v>
      </c>
      <c r="AL504" s="160">
        <f t="shared" si="1930"/>
        <v>0</v>
      </c>
      <c r="AM504" s="160">
        <f t="shared" si="1930"/>
        <v>0</v>
      </c>
      <c r="AN504" s="160">
        <f t="shared" si="1930"/>
        <v>0</v>
      </c>
      <c r="AO504" s="160">
        <f t="shared" si="1930"/>
        <v>0</v>
      </c>
      <c r="AP504" s="160">
        <f t="shared" si="1930"/>
        <v>0</v>
      </c>
      <c r="AQ504" s="160">
        <f t="shared" si="1931"/>
        <v>0</v>
      </c>
      <c r="AR504" s="160">
        <f t="shared" si="1931"/>
        <v>0</v>
      </c>
      <c r="AS504" s="160">
        <f t="shared" si="1931"/>
        <v>0</v>
      </c>
      <c r="AT504" s="160">
        <f t="shared" si="1931"/>
        <v>0</v>
      </c>
      <c r="AU504" s="160">
        <f t="shared" si="1931"/>
        <v>0</v>
      </c>
      <c r="AV504" s="160">
        <f t="shared" si="1931"/>
        <v>0</v>
      </c>
      <c r="AW504" s="160">
        <f t="shared" si="1931"/>
        <v>0</v>
      </c>
      <c r="AX504" s="160">
        <f t="shared" si="1931"/>
        <v>0</v>
      </c>
      <c r="AY504" s="160">
        <f t="shared" si="1931"/>
        <v>0</v>
      </c>
      <c r="AZ504" s="160">
        <f t="shared" si="1931"/>
        <v>0</v>
      </c>
      <c r="BA504" s="160">
        <f t="shared" si="1931"/>
        <v>0</v>
      </c>
      <c r="BB504" s="160">
        <f t="shared" si="1931"/>
        <v>0</v>
      </c>
      <c r="BC504" s="160">
        <f t="shared" si="1931"/>
        <v>0</v>
      </c>
      <c r="BD504" s="160">
        <f t="shared" si="1931"/>
        <v>0</v>
      </c>
      <c r="BE504" s="160">
        <f t="shared" si="1931"/>
        <v>0</v>
      </c>
      <c r="BF504" s="160">
        <f t="shared" si="1931"/>
        <v>0</v>
      </c>
      <c r="BG504" s="160">
        <f t="shared" si="1932"/>
        <v>0</v>
      </c>
      <c r="BH504" s="160">
        <f t="shared" si="1932"/>
        <v>0</v>
      </c>
      <c r="BI504" s="160">
        <f t="shared" si="1932"/>
        <v>0</v>
      </c>
      <c r="BJ504" s="160">
        <f t="shared" si="1932"/>
        <v>0</v>
      </c>
      <c r="BK504" s="160">
        <f t="shared" si="1932"/>
        <v>0</v>
      </c>
      <c r="BL504" s="160">
        <f t="shared" si="1932"/>
        <v>0</v>
      </c>
      <c r="BM504" s="160">
        <f t="shared" si="1932"/>
        <v>0</v>
      </c>
      <c r="BN504" s="160">
        <f t="shared" si="1932"/>
        <v>0</v>
      </c>
      <c r="BO504" s="160">
        <f t="shared" si="1932"/>
        <v>0</v>
      </c>
      <c r="BP504" s="160">
        <f t="shared" si="1932"/>
        <v>0</v>
      </c>
      <c r="BQ504" s="160">
        <f t="shared" si="1932"/>
        <v>0</v>
      </c>
      <c r="BR504" s="160">
        <f t="shared" si="1932"/>
        <v>0</v>
      </c>
      <c r="BS504" s="65"/>
      <c r="BT504" s="160">
        <f t="shared" si="1933"/>
        <v>0</v>
      </c>
      <c r="BU504" s="160">
        <f t="shared" si="1934"/>
        <v>0</v>
      </c>
      <c r="BV504" s="65"/>
      <c r="BW504" s="69"/>
      <c r="BX504" s="65"/>
      <c r="BY504" s="137">
        <f t="shared" si="1935"/>
        <v>1</v>
      </c>
      <c r="BZ504" s="137">
        <f>IF(BY504&gt;0,BY504+LARGE($BZ$213:BZ503,1),0)</f>
        <v>244</v>
      </c>
      <c r="CA504" s="137" t="str">
        <f t="shared" si="1936"/>
        <v>ENG/ARQ SR.</v>
      </c>
      <c r="CB504" s="161">
        <f t="shared" si="1937"/>
        <v>0</v>
      </c>
      <c r="CC504" s="161">
        <f t="shared" si="1938"/>
        <v>0</v>
      </c>
      <c r="CD504" s="161">
        <f t="shared" si="1939"/>
        <v>0</v>
      </c>
      <c r="CE504" s="161">
        <f t="shared" si="1940"/>
        <v>0</v>
      </c>
      <c r="CF504" s="161">
        <f t="shared" si="1941"/>
        <v>0</v>
      </c>
      <c r="CG504" s="161">
        <f t="shared" si="1942"/>
        <v>0</v>
      </c>
      <c r="CH504" s="161">
        <f t="shared" si="1943"/>
        <v>0</v>
      </c>
      <c r="CI504" s="161">
        <f t="shared" si="1944"/>
        <v>0</v>
      </c>
      <c r="CJ504" s="161">
        <f t="shared" si="1945"/>
        <v>0</v>
      </c>
      <c r="CK504" s="161">
        <f t="shared" si="1946"/>
        <v>0</v>
      </c>
      <c r="CL504" s="161">
        <f t="shared" si="1947"/>
        <v>0</v>
      </c>
      <c r="CM504" s="161">
        <f t="shared" si="1948"/>
        <v>0</v>
      </c>
      <c r="CN504" s="161">
        <f t="shared" si="1949"/>
        <v>0</v>
      </c>
      <c r="CO504" s="161">
        <f t="shared" si="1950"/>
        <v>0</v>
      </c>
      <c r="CP504" s="161">
        <f t="shared" si="1951"/>
        <v>0</v>
      </c>
      <c r="CQ504" s="161">
        <f t="shared" si="1952"/>
        <v>0</v>
      </c>
      <c r="CR504" s="161">
        <f t="shared" si="1953"/>
        <v>0</v>
      </c>
      <c r="CS504" s="161">
        <f t="shared" si="1954"/>
        <v>0</v>
      </c>
      <c r="CT504" s="161">
        <f t="shared" si="1955"/>
        <v>0</v>
      </c>
      <c r="CU504" s="161">
        <f t="shared" si="1956"/>
        <v>0</v>
      </c>
      <c r="CV504" s="161">
        <f t="shared" si="1957"/>
        <v>0</v>
      </c>
      <c r="CW504" s="161">
        <f t="shared" si="1958"/>
        <v>0</v>
      </c>
      <c r="CX504" s="161">
        <f t="shared" si="1959"/>
        <v>0</v>
      </c>
      <c r="CY504" s="161">
        <f t="shared" si="1960"/>
        <v>0</v>
      </c>
      <c r="CZ504" s="161">
        <f t="shared" si="1961"/>
        <v>0</v>
      </c>
      <c r="DA504" s="161">
        <f t="shared" si="1962"/>
        <v>0</v>
      </c>
      <c r="DB504" s="161">
        <f t="shared" si="1963"/>
        <v>0</v>
      </c>
      <c r="DC504" s="161">
        <f t="shared" si="1964"/>
        <v>0</v>
      </c>
      <c r="DD504" s="161">
        <f t="shared" si="1965"/>
        <v>0</v>
      </c>
      <c r="DE504" s="161">
        <f t="shared" si="1966"/>
        <v>0</v>
      </c>
      <c r="DF504" s="161">
        <f t="shared" si="1967"/>
        <v>0</v>
      </c>
      <c r="DG504" s="161">
        <f t="shared" si="1968"/>
        <v>0</v>
      </c>
      <c r="DH504" s="161">
        <f t="shared" si="1969"/>
        <v>0</v>
      </c>
      <c r="DI504" s="161">
        <f t="shared" si="1970"/>
        <v>0</v>
      </c>
      <c r="DJ504" s="161">
        <f t="shared" si="1971"/>
        <v>0</v>
      </c>
      <c r="DK504" s="161">
        <f t="shared" si="1972"/>
        <v>0</v>
      </c>
      <c r="DL504" s="161">
        <f t="shared" si="1973"/>
        <v>0</v>
      </c>
      <c r="DM504" s="161">
        <f t="shared" si="1974"/>
        <v>0</v>
      </c>
      <c r="DN504" s="161">
        <f t="shared" si="1975"/>
        <v>0</v>
      </c>
      <c r="DO504" s="161">
        <f t="shared" si="1976"/>
        <v>0</v>
      </c>
      <c r="DP504" s="161">
        <f t="shared" si="1977"/>
        <v>0</v>
      </c>
      <c r="DQ504" s="161">
        <f t="shared" si="1978"/>
        <v>0</v>
      </c>
      <c r="DR504" s="161">
        <f t="shared" si="1979"/>
        <v>0</v>
      </c>
      <c r="DS504" s="161">
        <f t="shared" si="1980"/>
        <v>0</v>
      </c>
      <c r="DT504" s="161">
        <f t="shared" si="1981"/>
        <v>0</v>
      </c>
      <c r="DU504" s="161">
        <f t="shared" si="1982"/>
        <v>0</v>
      </c>
      <c r="DV504" s="161">
        <f t="shared" si="1983"/>
        <v>0</v>
      </c>
      <c r="DW504" s="161">
        <f t="shared" si="1984"/>
        <v>0</v>
      </c>
      <c r="DX504" s="161">
        <f t="shared" si="1985"/>
        <v>0</v>
      </c>
      <c r="DY504" s="161">
        <f t="shared" si="1986"/>
        <v>0</v>
      </c>
      <c r="DZ504" s="161">
        <f t="shared" si="1987"/>
        <v>0</v>
      </c>
      <c r="EA504" s="161">
        <f t="shared" si="1988"/>
        <v>0</v>
      </c>
      <c r="EB504" s="161">
        <f t="shared" si="1989"/>
        <v>0</v>
      </c>
      <c r="EC504" s="161">
        <f t="shared" si="1990"/>
        <v>0</v>
      </c>
      <c r="ED504" s="161">
        <f t="shared" si="1991"/>
        <v>0</v>
      </c>
      <c r="EE504" s="161">
        <f t="shared" si="1992"/>
        <v>0</v>
      </c>
      <c r="EF504" s="161">
        <f t="shared" si="1993"/>
        <v>0</v>
      </c>
      <c r="EG504" s="161">
        <f t="shared" si="1994"/>
        <v>0</v>
      </c>
      <c r="EH504" s="161">
        <f t="shared" si="1995"/>
        <v>0</v>
      </c>
      <c r="EI504" s="161">
        <f t="shared" si="1996"/>
        <v>0</v>
      </c>
      <c r="EJ504" s="65"/>
      <c r="EK504" s="161">
        <f t="shared" si="1997"/>
        <v>0</v>
      </c>
      <c r="EL504" s="161">
        <f t="shared" si="1998"/>
        <v>0</v>
      </c>
      <c r="EM504" s="161">
        <f t="shared" si="1999"/>
        <v>0</v>
      </c>
    </row>
    <row r="505" spans="1:143" ht="12" hidden="1" customHeight="1" outlineLevel="2">
      <c r="A505" s="77">
        <v>5</v>
      </c>
      <c r="B505" s="137" t="str">
        <f t="shared" si="1927"/>
        <v>ENG/ARQ PL. - Equipe_01</v>
      </c>
      <c r="C505" s="65"/>
      <c r="D505" s="621"/>
      <c r="E505" s="65"/>
      <c r="F505" s="584"/>
      <c r="G505" s="77" t="str">
        <f>IF(INDEX(Tarefas!$BT$30:$FK$30,MATCH(A505,Tarefas!$BT$28:$FK$28,0))=0,"",INDEX(Tarefas!$BT$30:$FK$30,MATCH(A505,Tarefas!$BT$28:$FK$28,0)))</f>
        <v>ENG/ARQ PL.</v>
      </c>
      <c r="H505" s="107" cm="1">
        <f t="array" ref="H505">IFERROR((SUMPRODUCT((Tarefas!$N$32:$N$54='Cronog. e Histog.'!$F$501)*(Tarefas!$BQ$30:$FK$30='Cronog. e Histog.'!$G505)*(Tarefas!$BQ$32:$FK$54)))/SUMIF(Tarefas!$N$32:$N$54,'Cronog. e Histog.'!$F$501,Tarefas!$K$32:$K$54),0)</f>
        <v>0</v>
      </c>
      <c r="I505" s="79">
        <f t="shared" si="1928"/>
        <v>0</v>
      </c>
      <c r="J505" s="65"/>
      <c r="K505" s="160">
        <f t="shared" si="1929"/>
        <v>0</v>
      </c>
      <c r="L505" s="160">
        <f t="shared" si="1929"/>
        <v>0</v>
      </c>
      <c r="M505" s="160">
        <f t="shared" si="1929"/>
        <v>0</v>
      </c>
      <c r="N505" s="160">
        <f t="shared" si="1929"/>
        <v>0</v>
      </c>
      <c r="O505" s="160">
        <f t="shared" si="1929"/>
        <v>0</v>
      </c>
      <c r="P505" s="160">
        <f t="shared" si="1929"/>
        <v>0</v>
      </c>
      <c r="Q505" s="160">
        <f t="shared" si="1929"/>
        <v>0</v>
      </c>
      <c r="R505" s="160">
        <f t="shared" si="1929"/>
        <v>0</v>
      </c>
      <c r="S505" s="160">
        <f t="shared" si="1929"/>
        <v>0</v>
      </c>
      <c r="T505" s="160">
        <f t="shared" si="1929"/>
        <v>0</v>
      </c>
      <c r="U505" s="160">
        <f t="shared" si="1929"/>
        <v>0</v>
      </c>
      <c r="V505" s="160">
        <f t="shared" si="1929"/>
        <v>0</v>
      </c>
      <c r="W505" s="160">
        <f t="shared" si="1929"/>
        <v>0</v>
      </c>
      <c r="X505" s="160">
        <f t="shared" si="1929"/>
        <v>0</v>
      </c>
      <c r="Y505" s="160">
        <f t="shared" si="1929"/>
        <v>0</v>
      </c>
      <c r="Z505" s="160">
        <f t="shared" si="1929"/>
        <v>0</v>
      </c>
      <c r="AA505" s="160">
        <f t="shared" si="1930"/>
        <v>0</v>
      </c>
      <c r="AB505" s="160">
        <f t="shared" si="1930"/>
        <v>0</v>
      </c>
      <c r="AC505" s="160">
        <f t="shared" si="1930"/>
        <v>0</v>
      </c>
      <c r="AD505" s="160">
        <f t="shared" si="1930"/>
        <v>0</v>
      </c>
      <c r="AE505" s="160">
        <f t="shared" si="1930"/>
        <v>0</v>
      </c>
      <c r="AF505" s="160">
        <f t="shared" si="1930"/>
        <v>0</v>
      </c>
      <c r="AG505" s="160">
        <f t="shared" si="1930"/>
        <v>0</v>
      </c>
      <c r="AH505" s="160">
        <f t="shared" si="1930"/>
        <v>0</v>
      </c>
      <c r="AI505" s="160">
        <f t="shared" si="1930"/>
        <v>0</v>
      </c>
      <c r="AJ505" s="160">
        <f t="shared" si="1930"/>
        <v>0</v>
      </c>
      <c r="AK505" s="160">
        <f t="shared" si="1930"/>
        <v>0</v>
      </c>
      <c r="AL505" s="160">
        <f t="shared" si="1930"/>
        <v>0</v>
      </c>
      <c r="AM505" s="160">
        <f t="shared" si="1930"/>
        <v>0</v>
      </c>
      <c r="AN505" s="160">
        <f t="shared" si="1930"/>
        <v>0</v>
      </c>
      <c r="AO505" s="160">
        <f t="shared" si="1930"/>
        <v>0</v>
      </c>
      <c r="AP505" s="160">
        <f t="shared" si="1930"/>
        <v>0</v>
      </c>
      <c r="AQ505" s="160">
        <f t="shared" si="1931"/>
        <v>0</v>
      </c>
      <c r="AR505" s="160">
        <f t="shared" si="1931"/>
        <v>0</v>
      </c>
      <c r="AS505" s="160">
        <f t="shared" si="1931"/>
        <v>0</v>
      </c>
      <c r="AT505" s="160">
        <f t="shared" si="1931"/>
        <v>0</v>
      </c>
      <c r="AU505" s="160">
        <f t="shared" si="1931"/>
        <v>0</v>
      </c>
      <c r="AV505" s="160">
        <f t="shared" si="1931"/>
        <v>0</v>
      </c>
      <c r="AW505" s="160">
        <f t="shared" si="1931"/>
        <v>0</v>
      </c>
      <c r="AX505" s="160">
        <f t="shared" si="1931"/>
        <v>0</v>
      </c>
      <c r="AY505" s="160">
        <f t="shared" si="1931"/>
        <v>0</v>
      </c>
      <c r="AZ505" s="160">
        <f t="shared" si="1931"/>
        <v>0</v>
      </c>
      <c r="BA505" s="160">
        <f t="shared" si="1931"/>
        <v>0</v>
      </c>
      <c r="BB505" s="160">
        <f t="shared" si="1931"/>
        <v>0</v>
      </c>
      <c r="BC505" s="160">
        <f t="shared" si="1931"/>
        <v>0</v>
      </c>
      <c r="BD505" s="160">
        <f t="shared" si="1931"/>
        <v>0</v>
      </c>
      <c r="BE505" s="160">
        <f t="shared" si="1931"/>
        <v>0</v>
      </c>
      <c r="BF505" s="160">
        <f t="shared" si="1931"/>
        <v>0</v>
      </c>
      <c r="BG505" s="160">
        <f t="shared" si="1932"/>
        <v>0</v>
      </c>
      <c r="BH505" s="160">
        <f t="shared" si="1932"/>
        <v>0</v>
      </c>
      <c r="BI505" s="160">
        <f t="shared" si="1932"/>
        <v>0</v>
      </c>
      <c r="BJ505" s="160">
        <f t="shared" si="1932"/>
        <v>0</v>
      </c>
      <c r="BK505" s="160">
        <f t="shared" si="1932"/>
        <v>0</v>
      </c>
      <c r="BL505" s="160">
        <f t="shared" si="1932"/>
        <v>0</v>
      </c>
      <c r="BM505" s="160">
        <f t="shared" si="1932"/>
        <v>0</v>
      </c>
      <c r="BN505" s="160">
        <f t="shared" si="1932"/>
        <v>0</v>
      </c>
      <c r="BO505" s="160">
        <f t="shared" si="1932"/>
        <v>0</v>
      </c>
      <c r="BP505" s="160">
        <f t="shared" si="1932"/>
        <v>0</v>
      </c>
      <c r="BQ505" s="160">
        <f t="shared" si="1932"/>
        <v>0</v>
      </c>
      <c r="BR505" s="160">
        <f t="shared" si="1932"/>
        <v>0</v>
      </c>
      <c r="BS505" s="65"/>
      <c r="BT505" s="160">
        <f t="shared" si="1933"/>
        <v>0</v>
      </c>
      <c r="BU505" s="160">
        <f t="shared" si="1934"/>
        <v>0</v>
      </c>
      <c r="BV505" s="65"/>
      <c r="BW505" s="69"/>
      <c r="BX505" s="65"/>
      <c r="BY505" s="137">
        <f t="shared" si="1935"/>
        <v>1</v>
      </c>
      <c r="BZ505" s="137">
        <f>IF(BY505&gt;0,BY505+LARGE($BZ$213:BZ504,1),0)</f>
        <v>245</v>
      </c>
      <c r="CA505" s="137" t="str">
        <f t="shared" si="1936"/>
        <v>ENG/ARQ PL.</v>
      </c>
      <c r="CB505" s="161">
        <f t="shared" si="1937"/>
        <v>0</v>
      </c>
      <c r="CC505" s="161">
        <f t="shared" si="1938"/>
        <v>0</v>
      </c>
      <c r="CD505" s="161">
        <f t="shared" si="1939"/>
        <v>0</v>
      </c>
      <c r="CE505" s="161">
        <f t="shared" si="1940"/>
        <v>0</v>
      </c>
      <c r="CF505" s="161">
        <f t="shared" si="1941"/>
        <v>0</v>
      </c>
      <c r="CG505" s="161">
        <f t="shared" si="1942"/>
        <v>0</v>
      </c>
      <c r="CH505" s="161">
        <f t="shared" si="1943"/>
        <v>0</v>
      </c>
      <c r="CI505" s="161">
        <f t="shared" si="1944"/>
        <v>0</v>
      </c>
      <c r="CJ505" s="161">
        <f t="shared" si="1945"/>
        <v>0</v>
      </c>
      <c r="CK505" s="161">
        <f t="shared" si="1946"/>
        <v>0</v>
      </c>
      <c r="CL505" s="161">
        <f t="shared" si="1947"/>
        <v>0</v>
      </c>
      <c r="CM505" s="161">
        <f t="shared" si="1948"/>
        <v>0</v>
      </c>
      <c r="CN505" s="161">
        <f t="shared" si="1949"/>
        <v>0</v>
      </c>
      <c r="CO505" s="161">
        <f t="shared" si="1950"/>
        <v>0</v>
      </c>
      <c r="CP505" s="161">
        <f t="shared" si="1951"/>
        <v>0</v>
      </c>
      <c r="CQ505" s="161">
        <f t="shared" si="1952"/>
        <v>0</v>
      </c>
      <c r="CR505" s="161">
        <f t="shared" si="1953"/>
        <v>0</v>
      </c>
      <c r="CS505" s="161">
        <f t="shared" si="1954"/>
        <v>0</v>
      </c>
      <c r="CT505" s="161">
        <f t="shared" si="1955"/>
        <v>0</v>
      </c>
      <c r="CU505" s="161">
        <f t="shared" si="1956"/>
        <v>0</v>
      </c>
      <c r="CV505" s="161">
        <f t="shared" si="1957"/>
        <v>0</v>
      </c>
      <c r="CW505" s="161">
        <f t="shared" si="1958"/>
        <v>0</v>
      </c>
      <c r="CX505" s="161">
        <f t="shared" si="1959"/>
        <v>0</v>
      </c>
      <c r="CY505" s="161">
        <f t="shared" si="1960"/>
        <v>0</v>
      </c>
      <c r="CZ505" s="161">
        <f t="shared" si="1961"/>
        <v>0</v>
      </c>
      <c r="DA505" s="161">
        <f t="shared" si="1962"/>
        <v>0</v>
      </c>
      <c r="DB505" s="161">
        <f t="shared" si="1963"/>
        <v>0</v>
      </c>
      <c r="DC505" s="161">
        <f t="shared" si="1964"/>
        <v>0</v>
      </c>
      <c r="DD505" s="161">
        <f t="shared" si="1965"/>
        <v>0</v>
      </c>
      <c r="DE505" s="161">
        <f t="shared" si="1966"/>
        <v>0</v>
      </c>
      <c r="DF505" s="161">
        <f t="shared" si="1967"/>
        <v>0</v>
      </c>
      <c r="DG505" s="161">
        <f t="shared" si="1968"/>
        <v>0</v>
      </c>
      <c r="DH505" s="161">
        <f t="shared" si="1969"/>
        <v>0</v>
      </c>
      <c r="DI505" s="161">
        <f t="shared" si="1970"/>
        <v>0</v>
      </c>
      <c r="DJ505" s="161">
        <f t="shared" si="1971"/>
        <v>0</v>
      </c>
      <c r="DK505" s="161">
        <f t="shared" si="1972"/>
        <v>0</v>
      </c>
      <c r="DL505" s="161">
        <f t="shared" si="1973"/>
        <v>0</v>
      </c>
      <c r="DM505" s="161">
        <f t="shared" si="1974"/>
        <v>0</v>
      </c>
      <c r="DN505" s="161">
        <f t="shared" si="1975"/>
        <v>0</v>
      </c>
      <c r="DO505" s="161">
        <f t="shared" si="1976"/>
        <v>0</v>
      </c>
      <c r="DP505" s="161">
        <f t="shared" si="1977"/>
        <v>0</v>
      </c>
      <c r="DQ505" s="161">
        <f t="shared" si="1978"/>
        <v>0</v>
      </c>
      <c r="DR505" s="161">
        <f t="shared" si="1979"/>
        <v>0</v>
      </c>
      <c r="DS505" s="161">
        <f t="shared" si="1980"/>
        <v>0</v>
      </c>
      <c r="DT505" s="161">
        <f t="shared" si="1981"/>
        <v>0</v>
      </c>
      <c r="DU505" s="161">
        <f t="shared" si="1982"/>
        <v>0</v>
      </c>
      <c r="DV505" s="161">
        <f t="shared" si="1983"/>
        <v>0</v>
      </c>
      <c r="DW505" s="161">
        <f t="shared" si="1984"/>
        <v>0</v>
      </c>
      <c r="DX505" s="161">
        <f t="shared" si="1985"/>
        <v>0</v>
      </c>
      <c r="DY505" s="161">
        <f t="shared" si="1986"/>
        <v>0</v>
      </c>
      <c r="DZ505" s="161">
        <f t="shared" si="1987"/>
        <v>0</v>
      </c>
      <c r="EA505" s="161">
        <f t="shared" si="1988"/>
        <v>0</v>
      </c>
      <c r="EB505" s="161">
        <f t="shared" si="1989"/>
        <v>0</v>
      </c>
      <c r="EC505" s="161">
        <f t="shared" si="1990"/>
        <v>0</v>
      </c>
      <c r="ED505" s="161">
        <f t="shared" si="1991"/>
        <v>0</v>
      </c>
      <c r="EE505" s="161">
        <f t="shared" si="1992"/>
        <v>0</v>
      </c>
      <c r="EF505" s="161">
        <f t="shared" si="1993"/>
        <v>0</v>
      </c>
      <c r="EG505" s="161">
        <f t="shared" si="1994"/>
        <v>0</v>
      </c>
      <c r="EH505" s="161">
        <f t="shared" si="1995"/>
        <v>0</v>
      </c>
      <c r="EI505" s="161">
        <f t="shared" si="1996"/>
        <v>0</v>
      </c>
      <c r="EJ505" s="65"/>
      <c r="EK505" s="161">
        <f t="shared" si="1997"/>
        <v>0</v>
      </c>
      <c r="EL505" s="161">
        <f t="shared" si="1998"/>
        <v>0</v>
      </c>
      <c r="EM505" s="161">
        <f t="shared" si="1999"/>
        <v>0</v>
      </c>
    </row>
    <row r="506" spans="1:143" ht="12" hidden="1" customHeight="1" outlineLevel="2">
      <c r="A506" s="77">
        <v>6</v>
      </c>
      <c r="B506" s="137" t="str">
        <f t="shared" si="1927"/>
        <v>ENG/ARQ JR. - Equipe_01</v>
      </c>
      <c r="C506" s="65"/>
      <c r="D506" s="621"/>
      <c r="E506" s="65"/>
      <c r="F506" s="584"/>
      <c r="G506" s="77" t="str">
        <f>IF(INDEX(Tarefas!$BT$30:$FK$30,MATCH(A506,Tarefas!$BT$28:$FK$28,0))=0,"",INDEX(Tarefas!$BT$30:$FK$30,MATCH(A506,Tarefas!$BT$28:$FK$28,0)))</f>
        <v>ENG/ARQ JR.</v>
      </c>
      <c r="H506" s="107" cm="1">
        <f t="array" ref="H506">IFERROR((SUMPRODUCT((Tarefas!$N$32:$N$54='Cronog. e Histog.'!$F$501)*(Tarefas!$BQ$30:$FK$30='Cronog. e Histog.'!$G506)*(Tarefas!$BQ$32:$FK$54)))/SUMIF(Tarefas!$N$32:$N$54,'Cronog. e Histog.'!$F$501,Tarefas!$K$32:$K$54),0)</f>
        <v>0</v>
      </c>
      <c r="I506" s="79">
        <f t="shared" si="1928"/>
        <v>0</v>
      </c>
      <c r="J506" s="65"/>
      <c r="K506" s="160">
        <f t="shared" si="1929"/>
        <v>0</v>
      </c>
      <c r="L506" s="160">
        <f t="shared" si="1929"/>
        <v>0</v>
      </c>
      <c r="M506" s="160">
        <f t="shared" si="1929"/>
        <v>0</v>
      </c>
      <c r="N506" s="160">
        <f t="shared" si="1929"/>
        <v>0</v>
      </c>
      <c r="O506" s="160">
        <f t="shared" si="1929"/>
        <v>0</v>
      </c>
      <c r="P506" s="160">
        <f t="shared" si="1929"/>
        <v>0</v>
      </c>
      <c r="Q506" s="160">
        <f t="shared" si="1929"/>
        <v>0</v>
      </c>
      <c r="R506" s="160">
        <f t="shared" si="1929"/>
        <v>0</v>
      </c>
      <c r="S506" s="160">
        <f t="shared" si="1929"/>
        <v>0</v>
      </c>
      <c r="T506" s="160">
        <f t="shared" si="1929"/>
        <v>0</v>
      </c>
      <c r="U506" s="160">
        <f t="shared" si="1929"/>
        <v>0</v>
      </c>
      <c r="V506" s="160">
        <f t="shared" si="1929"/>
        <v>0</v>
      </c>
      <c r="W506" s="160">
        <f t="shared" si="1929"/>
        <v>0</v>
      </c>
      <c r="X506" s="160">
        <f t="shared" si="1929"/>
        <v>0</v>
      </c>
      <c r="Y506" s="160">
        <f t="shared" si="1929"/>
        <v>0</v>
      </c>
      <c r="Z506" s="160">
        <f t="shared" si="1929"/>
        <v>0</v>
      </c>
      <c r="AA506" s="160">
        <f t="shared" si="1930"/>
        <v>0</v>
      </c>
      <c r="AB506" s="160">
        <f t="shared" si="1930"/>
        <v>0</v>
      </c>
      <c r="AC506" s="160">
        <f t="shared" si="1930"/>
        <v>0</v>
      </c>
      <c r="AD506" s="160">
        <f t="shared" si="1930"/>
        <v>0</v>
      </c>
      <c r="AE506" s="160">
        <f t="shared" si="1930"/>
        <v>0</v>
      </c>
      <c r="AF506" s="160">
        <f t="shared" si="1930"/>
        <v>0</v>
      </c>
      <c r="AG506" s="160">
        <f t="shared" si="1930"/>
        <v>0</v>
      </c>
      <c r="AH506" s="160">
        <f t="shared" si="1930"/>
        <v>0</v>
      </c>
      <c r="AI506" s="160">
        <f t="shared" si="1930"/>
        <v>0</v>
      </c>
      <c r="AJ506" s="160">
        <f t="shared" si="1930"/>
        <v>0</v>
      </c>
      <c r="AK506" s="160">
        <f t="shared" si="1930"/>
        <v>0</v>
      </c>
      <c r="AL506" s="160">
        <f t="shared" si="1930"/>
        <v>0</v>
      </c>
      <c r="AM506" s="160">
        <f t="shared" si="1930"/>
        <v>0</v>
      </c>
      <c r="AN506" s="160">
        <f t="shared" si="1930"/>
        <v>0</v>
      </c>
      <c r="AO506" s="160">
        <f t="shared" si="1930"/>
        <v>0</v>
      </c>
      <c r="AP506" s="160">
        <f t="shared" si="1930"/>
        <v>0</v>
      </c>
      <c r="AQ506" s="160">
        <f t="shared" si="1931"/>
        <v>0</v>
      </c>
      <c r="AR506" s="160">
        <f t="shared" si="1931"/>
        <v>0</v>
      </c>
      <c r="AS506" s="160">
        <f t="shared" si="1931"/>
        <v>0</v>
      </c>
      <c r="AT506" s="160">
        <f t="shared" si="1931"/>
        <v>0</v>
      </c>
      <c r="AU506" s="160">
        <f t="shared" si="1931"/>
        <v>0</v>
      </c>
      <c r="AV506" s="160">
        <f t="shared" si="1931"/>
        <v>0</v>
      </c>
      <c r="AW506" s="160">
        <f t="shared" si="1931"/>
        <v>0</v>
      </c>
      <c r="AX506" s="160">
        <f t="shared" si="1931"/>
        <v>0</v>
      </c>
      <c r="AY506" s="160">
        <f t="shared" si="1931"/>
        <v>0</v>
      </c>
      <c r="AZ506" s="160">
        <f t="shared" si="1931"/>
        <v>0</v>
      </c>
      <c r="BA506" s="160">
        <f t="shared" si="1931"/>
        <v>0</v>
      </c>
      <c r="BB506" s="160">
        <f t="shared" si="1931"/>
        <v>0</v>
      </c>
      <c r="BC506" s="160">
        <f t="shared" si="1931"/>
        <v>0</v>
      </c>
      <c r="BD506" s="160">
        <f t="shared" si="1931"/>
        <v>0</v>
      </c>
      <c r="BE506" s="160">
        <f t="shared" si="1931"/>
        <v>0</v>
      </c>
      <c r="BF506" s="160">
        <f t="shared" si="1931"/>
        <v>0</v>
      </c>
      <c r="BG506" s="160">
        <f t="shared" si="1932"/>
        <v>0</v>
      </c>
      <c r="BH506" s="160">
        <f t="shared" si="1932"/>
        <v>0</v>
      </c>
      <c r="BI506" s="160">
        <f t="shared" si="1932"/>
        <v>0</v>
      </c>
      <c r="BJ506" s="160">
        <f t="shared" si="1932"/>
        <v>0</v>
      </c>
      <c r="BK506" s="160">
        <f t="shared" si="1932"/>
        <v>0</v>
      </c>
      <c r="BL506" s="160">
        <f t="shared" si="1932"/>
        <v>0</v>
      </c>
      <c r="BM506" s="160">
        <f t="shared" si="1932"/>
        <v>0</v>
      </c>
      <c r="BN506" s="160">
        <f t="shared" si="1932"/>
        <v>0</v>
      </c>
      <c r="BO506" s="160">
        <f t="shared" si="1932"/>
        <v>0</v>
      </c>
      <c r="BP506" s="160">
        <f t="shared" si="1932"/>
        <v>0</v>
      </c>
      <c r="BQ506" s="160">
        <f t="shared" si="1932"/>
        <v>0</v>
      </c>
      <c r="BR506" s="160">
        <f t="shared" si="1932"/>
        <v>0</v>
      </c>
      <c r="BS506" s="65"/>
      <c r="BT506" s="160">
        <f t="shared" si="1933"/>
        <v>0</v>
      </c>
      <c r="BU506" s="160">
        <f t="shared" si="1934"/>
        <v>0</v>
      </c>
      <c r="BV506" s="65"/>
      <c r="BW506" s="69"/>
      <c r="BX506" s="65"/>
      <c r="BY506" s="137">
        <f t="shared" si="1935"/>
        <v>1</v>
      </c>
      <c r="BZ506" s="137">
        <f>IF(BY506&gt;0,BY506+LARGE($BZ$213:BZ505,1),0)</f>
        <v>246</v>
      </c>
      <c r="CA506" s="137" t="str">
        <f t="shared" si="1936"/>
        <v>ENG/ARQ JR.</v>
      </c>
      <c r="CB506" s="161">
        <f t="shared" si="1937"/>
        <v>0</v>
      </c>
      <c r="CC506" s="161">
        <f t="shared" si="1938"/>
        <v>0</v>
      </c>
      <c r="CD506" s="161">
        <f t="shared" si="1939"/>
        <v>0</v>
      </c>
      <c r="CE506" s="161">
        <f t="shared" si="1940"/>
        <v>0</v>
      </c>
      <c r="CF506" s="161">
        <f t="shared" si="1941"/>
        <v>0</v>
      </c>
      <c r="CG506" s="161">
        <f t="shared" si="1942"/>
        <v>0</v>
      </c>
      <c r="CH506" s="161">
        <f t="shared" si="1943"/>
        <v>0</v>
      </c>
      <c r="CI506" s="161">
        <f t="shared" si="1944"/>
        <v>0</v>
      </c>
      <c r="CJ506" s="161">
        <f t="shared" si="1945"/>
        <v>0</v>
      </c>
      <c r="CK506" s="161">
        <f t="shared" si="1946"/>
        <v>0</v>
      </c>
      <c r="CL506" s="161">
        <f t="shared" si="1947"/>
        <v>0</v>
      </c>
      <c r="CM506" s="161">
        <f t="shared" si="1948"/>
        <v>0</v>
      </c>
      <c r="CN506" s="161">
        <f t="shared" si="1949"/>
        <v>0</v>
      </c>
      <c r="CO506" s="161">
        <f t="shared" si="1950"/>
        <v>0</v>
      </c>
      <c r="CP506" s="161">
        <f t="shared" si="1951"/>
        <v>0</v>
      </c>
      <c r="CQ506" s="161">
        <f t="shared" si="1952"/>
        <v>0</v>
      </c>
      <c r="CR506" s="161">
        <f t="shared" si="1953"/>
        <v>0</v>
      </c>
      <c r="CS506" s="161">
        <f t="shared" si="1954"/>
        <v>0</v>
      </c>
      <c r="CT506" s="161">
        <f t="shared" si="1955"/>
        <v>0</v>
      </c>
      <c r="CU506" s="161">
        <f t="shared" si="1956"/>
        <v>0</v>
      </c>
      <c r="CV506" s="161">
        <f t="shared" si="1957"/>
        <v>0</v>
      </c>
      <c r="CW506" s="161">
        <f t="shared" si="1958"/>
        <v>0</v>
      </c>
      <c r="CX506" s="161">
        <f t="shared" si="1959"/>
        <v>0</v>
      </c>
      <c r="CY506" s="161">
        <f t="shared" si="1960"/>
        <v>0</v>
      </c>
      <c r="CZ506" s="161">
        <f t="shared" si="1961"/>
        <v>0</v>
      </c>
      <c r="DA506" s="161">
        <f t="shared" si="1962"/>
        <v>0</v>
      </c>
      <c r="DB506" s="161">
        <f t="shared" si="1963"/>
        <v>0</v>
      </c>
      <c r="DC506" s="161">
        <f t="shared" si="1964"/>
        <v>0</v>
      </c>
      <c r="DD506" s="161">
        <f t="shared" si="1965"/>
        <v>0</v>
      </c>
      <c r="DE506" s="161">
        <f t="shared" si="1966"/>
        <v>0</v>
      </c>
      <c r="DF506" s="161">
        <f t="shared" si="1967"/>
        <v>0</v>
      </c>
      <c r="DG506" s="161">
        <f t="shared" si="1968"/>
        <v>0</v>
      </c>
      <c r="DH506" s="161">
        <f t="shared" si="1969"/>
        <v>0</v>
      </c>
      <c r="DI506" s="161">
        <f t="shared" si="1970"/>
        <v>0</v>
      </c>
      <c r="DJ506" s="161">
        <f t="shared" si="1971"/>
        <v>0</v>
      </c>
      <c r="DK506" s="161">
        <f t="shared" si="1972"/>
        <v>0</v>
      </c>
      <c r="DL506" s="161">
        <f t="shared" si="1973"/>
        <v>0</v>
      </c>
      <c r="DM506" s="161">
        <f t="shared" si="1974"/>
        <v>0</v>
      </c>
      <c r="DN506" s="161">
        <f t="shared" si="1975"/>
        <v>0</v>
      </c>
      <c r="DO506" s="161">
        <f t="shared" si="1976"/>
        <v>0</v>
      </c>
      <c r="DP506" s="161">
        <f t="shared" si="1977"/>
        <v>0</v>
      </c>
      <c r="DQ506" s="161">
        <f t="shared" si="1978"/>
        <v>0</v>
      </c>
      <c r="DR506" s="161">
        <f t="shared" si="1979"/>
        <v>0</v>
      </c>
      <c r="DS506" s="161">
        <f t="shared" si="1980"/>
        <v>0</v>
      </c>
      <c r="DT506" s="161">
        <f t="shared" si="1981"/>
        <v>0</v>
      </c>
      <c r="DU506" s="161">
        <f t="shared" si="1982"/>
        <v>0</v>
      </c>
      <c r="DV506" s="161">
        <f t="shared" si="1983"/>
        <v>0</v>
      </c>
      <c r="DW506" s="161">
        <f t="shared" si="1984"/>
        <v>0</v>
      </c>
      <c r="DX506" s="161">
        <f t="shared" si="1985"/>
        <v>0</v>
      </c>
      <c r="DY506" s="161">
        <f t="shared" si="1986"/>
        <v>0</v>
      </c>
      <c r="DZ506" s="161">
        <f t="shared" si="1987"/>
        <v>0</v>
      </c>
      <c r="EA506" s="161">
        <f t="shared" si="1988"/>
        <v>0</v>
      </c>
      <c r="EB506" s="161">
        <f t="shared" si="1989"/>
        <v>0</v>
      </c>
      <c r="EC506" s="161">
        <f t="shared" si="1990"/>
        <v>0</v>
      </c>
      <c r="ED506" s="161">
        <f t="shared" si="1991"/>
        <v>0</v>
      </c>
      <c r="EE506" s="161">
        <f t="shared" si="1992"/>
        <v>0</v>
      </c>
      <c r="EF506" s="161">
        <f t="shared" si="1993"/>
        <v>0</v>
      </c>
      <c r="EG506" s="161">
        <f t="shared" si="1994"/>
        <v>0</v>
      </c>
      <c r="EH506" s="161">
        <f t="shared" si="1995"/>
        <v>0</v>
      </c>
      <c r="EI506" s="161">
        <f t="shared" si="1996"/>
        <v>0</v>
      </c>
      <c r="EJ506" s="65"/>
      <c r="EK506" s="161">
        <f t="shared" si="1997"/>
        <v>0</v>
      </c>
      <c r="EL506" s="161">
        <f t="shared" si="1998"/>
        <v>0</v>
      </c>
      <c r="EM506" s="161">
        <f t="shared" si="1999"/>
        <v>0</v>
      </c>
    </row>
    <row r="507" spans="1:143" ht="12" hidden="1" customHeight="1" outlineLevel="2">
      <c r="A507" s="77">
        <v>7</v>
      </c>
      <c r="B507" s="137" t="str">
        <f t="shared" si="1927"/>
        <v>AN SR. ENG/ARQ - Equipe_01</v>
      </c>
      <c r="C507" s="65"/>
      <c r="D507" s="621"/>
      <c r="E507" s="65"/>
      <c r="F507" s="584"/>
      <c r="G507" s="77" t="str">
        <f>IF(INDEX(Tarefas!$BT$30:$FK$30,MATCH(A507,Tarefas!$BT$28:$FK$28,0))=0,"",INDEX(Tarefas!$BT$30:$FK$30,MATCH(A507,Tarefas!$BT$28:$FK$28,0)))</f>
        <v>AN SR. ENG/ARQ</v>
      </c>
      <c r="H507" s="107" cm="1">
        <f t="array" ref="H507">IFERROR((SUMPRODUCT((Tarefas!$N$32:$N$54='Cronog. e Histog.'!$F$501)*(Tarefas!$BQ$30:$FK$30='Cronog. e Histog.'!$G507)*(Tarefas!$BQ$32:$FK$54)))/SUMIF(Tarefas!$N$32:$N$54,'Cronog. e Histog.'!$F$501,Tarefas!$K$32:$K$54),0)</f>
        <v>0</v>
      </c>
      <c r="I507" s="79">
        <f t="shared" si="1928"/>
        <v>0</v>
      </c>
      <c r="J507" s="65"/>
      <c r="K507" s="160">
        <f t="shared" si="1929"/>
        <v>0</v>
      </c>
      <c r="L507" s="160">
        <f t="shared" si="1929"/>
        <v>0</v>
      </c>
      <c r="M507" s="160">
        <f t="shared" si="1929"/>
        <v>0</v>
      </c>
      <c r="N507" s="160">
        <f t="shared" si="1929"/>
        <v>0</v>
      </c>
      <c r="O507" s="160">
        <f t="shared" si="1929"/>
        <v>0</v>
      </c>
      <c r="P507" s="160">
        <f t="shared" si="1929"/>
        <v>0</v>
      </c>
      <c r="Q507" s="160">
        <f t="shared" si="1929"/>
        <v>0</v>
      </c>
      <c r="R507" s="160">
        <f t="shared" si="1929"/>
        <v>0</v>
      </c>
      <c r="S507" s="160">
        <f t="shared" si="1929"/>
        <v>0</v>
      </c>
      <c r="T507" s="160">
        <f t="shared" si="1929"/>
        <v>0</v>
      </c>
      <c r="U507" s="160">
        <f t="shared" si="1929"/>
        <v>0</v>
      </c>
      <c r="V507" s="160">
        <f t="shared" si="1929"/>
        <v>0</v>
      </c>
      <c r="W507" s="160">
        <f t="shared" si="1929"/>
        <v>0</v>
      </c>
      <c r="X507" s="160">
        <f t="shared" si="1929"/>
        <v>0</v>
      </c>
      <c r="Y507" s="160">
        <f t="shared" si="1929"/>
        <v>0</v>
      </c>
      <c r="Z507" s="160">
        <f t="shared" si="1929"/>
        <v>0</v>
      </c>
      <c r="AA507" s="160">
        <f t="shared" si="1930"/>
        <v>0</v>
      </c>
      <c r="AB507" s="160">
        <f t="shared" si="1930"/>
        <v>0</v>
      </c>
      <c r="AC507" s="160">
        <f t="shared" si="1930"/>
        <v>0</v>
      </c>
      <c r="AD507" s="160">
        <f t="shared" si="1930"/>
        <v>0</v>
      </c>
      <c r="AE507" s="160">
        <f t="shared" si="1930"/>
        <v>0</v>
      </c>
      <c r="AF507" s="160">
        <f t="shared" si="1930"/>
        <v>0</v>
      </c>
      <c r="AG507" s="160">
        <f t="shared" si="1930"/>
        <v>0</v>
      </c>
      <c r="AH507" s="160">
        <f t="shared" si="1930"/>
        <v>0</v>
      </c>
      <c r="AI507" s="160">
        <f t="shared" si="1930"/>
        <v>0</v>
      </c>
      <c r="AJ507" s="160">
        <f t="shared" si="1930"/>
        <v>0</v>
      </c>
      <c r="AK507" s="160">
        <f t="shared" si="1930"/>
        <v>0</v>
      </c>
      <c r="AL507" s="160">
        <f t="shared" si="1930"/>
        <v>0</v>
      </c>
      <c r="AM507" s="160">
        <f t="shared" si="1930"/>
        <v>0</v>
      </c>
      <c r="AN507" s="160">
        <f t="shared" si="1930"/>
        <v>0</v>
      </c>
      <c r="AO507" s="160">
        <f t="shared" si="1930"/>
        <v>0</v>
      </c>
      <c r="AP507" s="160">
        <f t="shared" si="1930"/>
        <v>0</v>
      </c>
      <c r="AQ507" s="160">
        <f t="shared" si="1931"/>
        <v>0</v>
      </c>
      <c r="AR507" s="160">
        <f t="shared" si="1931"/>
        <v>0</v>
      </c>
      <c r="AS507" s="160">
        <f t="shared" si="1931"/>
        <v>0</v>
      </c>
      <c r="AT507" s="160">
        <f t="shared" si="1931"/>
        <v>0</v>
      </c>
      <c r="AU507" s="160">
        <f t="shared" si="1931"/>
        <v>0</v>
      </c>
      <c r="AV507" s="160">
        <f t="shared" si="1931"/>
        <v>0</v>
      </c>
      <c r="AW507" s="160">
        <f t="shared" si="1931"/>
        <v>0</v>
      </c>
      <c r="AX507" s="160">
        <f t="shared" si="1931"/>
        <v>0</v>
      </c>
      <c r="AY507" s="160">
        <f t="shared" si="1931"/>
        <v>0</v>
      </c>
      <c r="AZ507" s="160">
        <f t="shared" si="1931"/>
        <v>0</v>
      </c>
      <c r="BA507" s="160">
        <f t="shared" si="1931"/>
        <v>0</v>
      </c>
      <c r="BB507" s="160">
        <f t="shared" si="1931"/>
        <v>0</v>
      </c>
      <c r="BC507" s="160">
        <f t="shared" si="1931"/>
        <v>0</v>
      </c>
      <c r="BD507" s="160">
        <f t="shared" si="1931"/>
        <v>0</v>
      </c>
      <c r="BE507" s="160">
        <f t="shared" si="1931"/>
        <v>0</v>
      </c>
      <c r="BF507" s="160">
        <f t="shared" si="1931"/>
        <v>0</v>
      </c>
      <c r="BG507" s="160">
        <f t="shared" si="1932"/>
        <v>0</v>
      </c>
      <c r="BH507" s="160">
        <f t="shared" si="1932"/>
        <v>0</v>
      </c>
      <c r="BI507" s="160">
        <f t="shared" si="1932"/>
        <v>0</v>
      </c>
      <c r="BJ507" s="160">
        <f t="shared" si="1932"/>
        <v>0</v>
      </c>
      <c r="BK507" s="160">
        <f t="shared" si="1932"/>
        <v>0</v>
      </c>
      <c r="BL507" s="160">
        <f t="shared" si="1932"/>
        <v>0</v>
      </c>
      <c r="BM507" s="160">
        <f t="shared" si="1932"/>
        <v>0</v>
      </c>
      <c r="BN507" s="160">
        <f t="shared" si="1932"/>
        <v>0</v>
      </c>
      <c r="BO507" s="160">
        <f t="shared" si="1932"/>
        <v>0</v>
      </c>
      <c r="BP507" s="160">
        <f t="shared" si="1932"/>
        <v>0</v>
      </c>
      <c r="BQ507" s="160">
        <f t="shared" si="1932"/>
        <v>0</v>
      </c>
      <c r="BR507" s="160">
        <f t="shared" si="1932"/>
        <v>0</v>
      </c>
      <c r="BS507" s="65"/>
      <c r="BT507" s="160">
        <f t="shared" si="1933"/>
        <v>0</v>
      </c>
      <c r="BU507" s="160">
        <f t="shared" si="1934"/>
        <v>0</v>
      </c>
      <c r="BV507" s="65"/>
      <c r="BW507" s="69"/>
      <c r="BX507" s="65"/>
      <c r="BY507" s="137">
        <f t="shared" si="1935"/>
        <v>1</v>
      </c>
      <c r="BZ507" s="137">
        <f>IF(BY507&gt;0,BY507+LARGE($BZ$213:BZ506,1),0)</f>
        <v>247</v>
      </c>
      <c r="CA507" s="137" t="str">
        <f t="shared" si="1936"/>
        <v>AN SR. ENG/ARQ</v>
      </c>
      <c r="CB507" s="161">
        <f t="shared" si="1937"/>
        <v>0</v>
      </c>
      <c r="CC507" s="161">
        <f t="shared" si="1938"/>
        <v>0</v>
      </c>
      <c r="CD507" s="161">
        <f t="shared" si="1939"/>
        <v>0</v>
      </c>
      <c r="CE507" s="161">
        <f t="shared" si="1940"/>
        <v>0</v>
      </c>
      <c r="CF507" s="161">
        <f t="shared" si="1941"/>
        <v>0</v>
      </c>
      <c r="CG507" s="161">
        <f t="shared" si="1942"/>
        <v>0</v>
      </c>
      <c r="CH507" s="161">
        <f t="shared" si="1943"/>
        <v>0</v>
      </c>
      <c r="CI507" s="161">
        <f t="shared" si="1944"/>
        <v>0</v>
      </c>
      <c r="CJ507" s="161">
        <f t="shared" si="1945"/>
        <v>0</v>
      </c>
      <c r="CK507" s="161">
        <f t="shared" si="1946"/>
        <v>0</v>
      </c>
      <c r="CL507" s="161">
        <f t="shared" si="1947"/>
        <v>0</v>
      </c>
      <c r="CM507" s="161">
        <f t="shared" si="1948"/>
        <v>0</v>
      </c>
      <c r="CN507" s="161">
        <f t="shared" si="1949"/>
        <v>0</v>
      </c>
      <c r="CO507" s="161">
        <f t="shared" si="1950"/>
        <v>0</v>
      </c>
      <c r="CP507" s="161">
        <f t="shared" si="1951"/>
        <v>0</v>
      </c>
      <c r="CQ507" s="161">
        <f t="shared" si="1952"/>
        <v>0</v>
      </c>
      <c r="CR507" s="161">
        <f t="shared" si="1953"/>
        <v>0</v>
      </c>
      <c r="CS507" s="161">
        <f t="shared" si="1954"/>
        <v>0</v>
      </c>
      <c r="CT507" s="161">
        <f t="shared" si="1955"/>
        <v>0</v>
      </c>
      <c r="CU507" s="161">
        <f t="shared" si="1956"/>
        <v>0</v>
      </c>
      <c r="CV507" s="161">
        <f t="shared" si="1957"/>
        <v>0</v>
      </c>
      <c r="CW507" s="161">
        <f t="shared" si="1958"/>
        <v>0</v>
      </c>
      <c r="CX507" s="161">
        <f t="shared" si="1959"/>
        <v>0</v>
      </c>
      <c r="CY507" s="161">
        <f t="shared" si="1960"/>
        <v>0</v>
      </c>
      <c r="CZ507" s="161">
        <f t="shared" si="1961"/>
        <v>0</v>
      </c>
      <c r="DA507" s="161">
        <f t="shared" si="1962"/>
        <v>0</v>
      </c>
      <c r="DB507" s="161">
        <f t="shared" si="1963"/>
        <v>0</v>
      </c>
      <c r="DC507" s="161">
        <f t="shared" si="1964"/>
        <v>0</v>
      </c>
      <c r="DD507" s="161">
        <f t="shared" si="1965"/>
        <v>0</v>
      </c>
      <c r="DE507" s="161">
        <f t="shared" si="1966"/>
        <v>0</v>
      </c>
      <c r="DF507" s="161">
        <f t="shared" si="1967"/>
        <v>0</v>
      </c>
      <c r="DG507" s="161">
        <f t="shared" si="1968"/>
        <v>0</v>
      </c>
      <c r="DH507" s="161">
        <f t="shared" si="1969"/>
        <v>0</v>
      </c>
      <c r="DI507" s="161">
        <f t="shared" si="1970"/>
        <v>0</v>
      </c>
      <c r="DJ507" s="161">
        <f t="shared" si="1971"/>
        <v>0</v>
      </c>
      <c r="DK507" s="161">
        <f t="shared" si="1972"/>
        <v>0</v>
      </c>
      <c r="DL507" s="161">
        <f t="shared" si="1973"/>
        <v>0</v>
      </c>
      <c r="DM507" s="161">
        <f t="shared" si="1974"/>
        <v>0</v>
      </c>
      <c r="DN507" s="161">
        <f t="shared" si="1975"/>
        <v>0</v>
      </c>
      <c r="DO507" s="161">
        <f t="shared" si="1976"/>
        <v>0</v>
      </c>
      <c r="DP507" s="161">
        <f t="shared" si="1977"/>
        <v>0</v>
      </c>
      <c r="DQ507" s="161">
        <f t="shared" si="1978"/>
        <v>0</v>
      </c>
      <c r="DR507" s="161">
        <f t="shared" si="1979"/>
        <v>0</v>
      </c>
      <c r="DS507" s="161">
        <f t="shared" si="1980"/>
        <v>0</v>
      </c>
      <c r="DT507" s="161">
        <f t="shared" si="1981"/>
        <v>0</v>
      </c>
      <c r="DU507" s="161">
        <f t="shared" si="1982"/>
        <v>0</v>
      </c>
      <c r="DV507" s="161">
        <f t="shared" si="1983"/>
        <v>0</v>
      </c>
      <c r="DW507" s="161">
        <f t="shared" si="1984"/>
        <v>0</v>
      </c>
      <c r="DX507" s="161">
        <f t="shared" si="1985"/>
        <v>0</v>
      </c>
      <c r="DY507" s="161">
        <f t="shared" si="1986"/>
        <v>0</v>
      </c>
      <c r="DZ507" s="161">
        <f t="shared" si="1987"/>
        <v>0</v>
      </c>
      <c r="EA507" s="161">
        <f t="shared" si="1988"/>
        <v>0</v>
      </c>
      <c r="EB507" s="161">
        <f t="shared" si="1989"/>
        <v>0</v>
      </c>
      <c r="EC507" s="161">
        <f t="shared" si="1990"/>
        <v>0</v>
      </c>
      <c r="ED507" s="161">
        <f t="shared" si="1991"/>
        <v>0</v>
      </c>
      <c r="EE507" s="161">
        <f t="shared" si="1992"/>
        <v>0</v>
      </c>
      <c r="EF507" s="161">
        <f t="shared" si="1993"/>
        <v>0</v>
      </c>
      <c r="EG507" s="161">
        <f t="shared" si="1994"/>
        <v>0</v>
      </c>
      <c r="EH507" s="161">
        <f t="shared" si="1995"/>
        <v>0</v>
      </c>
      <c r="EI507" s="161">
        <f t="shared" si="1996"/>
        <v>0</v>
      </c>
      <c r="EJ507" s="65"/>
      <c r="EK507" s="161">
        <f t="shared" si="1997"/>
        <v>0</v>
      </c>
      <c r="EL507" s="161">
        <f t="shared" si="1998"/>
        <v>0</v>
      </c>
      <c r="EM507" s="161">
        <f t="shared" si="1999"/>
        <v>0</v>
      </c>
    </row>
    <row r="508" spans="1:143" ht="12" hidden="1" customHeight="1" outlineLevel="2">
      <c r="A508" s="77">
        <v>8</v>
      </c>
      <c r="B508" s="137" t="str">
        <f t="shared" si="1927"/>
        <v>AN PL. ENG/ARQ - Equipe_01</v>
      </c>
      <c r="C508" s="65"/>
      <c r="D508" s="621"/>
      <c r="E508" s="65"/>
      <c r="F508" s="584"/>
      <c r="G508" s="77" t="str">
        <f>IF(INDEX(Tarefas!$BT$30:$FK$30,MATCH(A508,Tarefas!$BT$28:$FK$28,0))=0,"",INDEX(Tarefas!$BT$30:$FK$30,MATCH(A508,Tarefas!$BT$28:$FK$28,0)))</f>
        <v>AN PL. ENG/ARQ</v>
      </c>
      <c r="H508" s="107" cm="1">
        <f t="array" ref="H508">IFERROR((SUMPRODUCT((Tarefas!$N$32:$N$54='Cronog. e Histog.'!$F$501)*(Tarefas!$BQ$30:$FK$30='Cronog. e Histog.'!$G508)*(Tarefas!$BQ$32:$FK$54)))/SUMIF(Tarefas!$N$32:$N$54,'Cronog. e Histog.'!$F$501,Tarefas!$K$32:$K$54),0)</f>
        <v>0</v>
      </c>
      <c r="I508" s="79">
        <f t="shared" si="1928"/>
        <v>0</v>
      </c>
      <c r="J508" s="65"/>
      <c r="K508" s="160">
        <f t="shared" si="1929"/>
        <v>0</v>
      </c>
      <c r="L508" s="160">
        <f t="shared" si="1929"/>
        <v>0</v>
      </c>
      <c r="M508" s="160">
        <f t="shared" si="1929"/>
        <v>0</v>
      </c>
      <c r="N508" s="160">
        <f t="shared" si="1929"/>
        <v>0</v>
      </c>
      <c r="O508" s="160">
        <f t="shared" si="1929"/>
        <v>0</v>
      </c>
      <c r="P508" s="160">
        <f t="shared" si="1929"/>
        <v>0</v>
      </c>
      <c r="Q508" s="160">
        <f t="shared" si="1929"/>
        <v>0</v>
      </c>
      <c r="R508" s="160">
        <f t="shared" si="1929"/>
        <v>0</v>
      </c>
      <c r="S508" s="160">
        <f t="shared" si="1929"/>
        <v>0</v>
      </c>
      <c r="T508" s="160">
        <f t="shared" si="1929"/>
        <v>0</v>
      </c>
      <c r="U508" s="160">
        <f t="shared" si="1929"/>
        <v>0</v>
      </c>
      <c r="V508" s="160">
        <f t="shared" si="1929"/>
        <v>0</v>
      </c>
      <c r="W508" s="160">
        <f t="shared" si="1929"/>
        <v>0</v>
      </c>
      <c r="X508" s="160">
        <f t="shared" si="1929"/>
        <v>0</v>
      </c>
      <c r="Y508" s="160">
        <f t="shared" si="1929"/>
        <v>0</v>
      </c>
      <c r="Z508" s="160">
        <f t="shared" si="1929"/>
        <v>0</v>
      </c>
      <c r="AA508" s="160">
        <f t="shared" si="1930"/>
        <v>0</v>
      </c>
      <c r="AB508" s="160">
        <f t="shared" si="1930"/>
        <v>0</v>
      </c>
      <c r="AC508" s="160">
        <f t="shared" si="1930"/>
        <v>0</v>
      </c>
      <c r="AD508" s="160">
        <f t="shared" si="1930"/>
        <v>0</v>
      </c>
      <c r="AE508" s="160">
        <f t="shared" si="1930"/>
        <v>0</v>
      </c>
      <c r="AF508" s="160">
        <f t="shared" si="1930"/>
        <v>0</v>
      </c>
      <c r="AG508" s="160">
        <f t="shared" si="1930"/>
        <v>0</v>
      </c>
      <c r="AH508" s="160">
        <f t="shared" si="1930"/>
        <v>0</v>
      </c>
      <c r="AI508" s="160">
        <f t="shared" si="1930"/>
        <v>0</v>
      </c>
      <c r="AJ508" s="160">
        <f t="shared" si="1930"/>
        <v>0</v>
      </c>
      <c r="AK508" s="160">
        <f t="shared" si="1930"/>
        <v>0</v>
      </c>
      <c r="AL508" s="160">
        <f t="shared" si="1930"/>
        <v>0</v>
      </c>
      <c r="AM508" s="160">
        <f t="shared" si="1930"/>
        <v>0</v>
      </c>
      <c r="AN508" s="160">
        <f t="shared" si="1930"/>
        <v>0</v>
      </c>
      <c r="AO508" s="160">
        <f t="shared" si="1930"/>
        <v>0</v>
      </c>
      <c r="AP508" s="160">
        <f t="shared" si="1930"/>
        <v>0</v>
      </c>
      <c r="AQ508" s="160">
        <f t="shared" si="1931"/>
        <v>0</v>
      </c>
      <c r="AR508" s="160">
        <f t="shared" si="1931"/>
        <v>0</v>
      </c>
      <c r="AS508" s="160">
        <f t="shared" si="1931"/>
        <v>0</v>
      </c>
      <c r="AT508" s="160">
        <f t="shared" si="1931"/>
        <v>0</v>
      </c>
      <c r="AU508" s="160">
        <f t="shared" si="1931"/>
        <v>0</v>
      </c>
      <c r="AV508" s="160">
        <f t="shared" si="1931"/>
        <v>0</v>
      </c>
      <c r="AW508" s="160">
        <f t="shared" si="1931"/>
        <v>0</v>
      </c>
      <c r="AX508" s="160">
        <f t="shared" si="1931"/>
        <v>0</v>
      </c>
      <c r="AY508" s="160">
        <f t="shared" si="1931"/>
        <v>0</v>
      </c>
      <c r="AZ508" s="160">
        <f t="shared" si="1931"/>
        <v>0</v>
      </c>
      <c r="BA508" s="160">
        <f t="shared" si="1931"/>
        <v>0</v>
      </c>
      <c r="BB508" s="160">
        <f t="shared" si="1931"/>
        <v>0</v>
      </c>
      <c r="BC508" s="160">
        <f t="shared" si="1931"/>
        <v>0</v>
      </c>
      <c r="BD508" s="160">
        <f t="shared" si="1931"/>
        <v>0</v>
      </c>
      <c r="BE508" s="160">
        <f t="shared" si="1931"/>
        <v>0</v>
      </c>
      <c r="BF508" s="160">
        <f t="shared" si="1931"/>
        <v>0</v>
      </c>
      <c r="BG508" s="160">
        <f t="shared" si="1932"/>
        <v>0</v>
      </c>
      <c r="BH508" s="160">
        <f t="shared" si="1932"/>
        <v>0</v>
      </c>
      <c r="BI508" s="160">
        <f t="shared" si="1932"/>
        <v>0</v>
      </c>
      <c r="BJ508" s="160">
        <f t="shared" si="1932"/>
        <v>0</v>
      </c>
      <c r="BK508" s="160">
        <f t="shared" si="1932"/>
        <v>0</v>
      </c>
      <c r="BL508" s="160">
        <f t="shared" si="1932"/>
        <v>0</v>
      </c>
      <c r="BM508" s="160">
        <f t="shared" si="1932"/>
        <v>0</v>
      </c>
      <c r="BN508" s="160">
        <f t="shared" si="1932"/>
        <v>0</v>
      </c>
      <c r="BO508" s="160">
        <f t="shared" si="1932"/>
        <v>0</v>
      </c>
      <c r="BP508" s="160">
        <f t="shared" si="1932"/>
        <v>0</v>
      </c>
      <c r="BQ508" s="160">
        <f t="shared" si="1932"/>
        <v>0</v>
      </c>
      <c r="BR508" s="160">
        <f t="shared" si="1932"/>
        <v>0</v>
      </c>
      <c r="BS508" s="65"/>
      <c r="BT508" s="160">
        <f t="shared" si="1933"/>
        <v>0</v>
      </c>
      <c r="BU508" s="160">
        <f t="shared" si="1934"/>
        <v>0</v>
      </c>
      <c r="BV508" s="65"/>
      <c r="BW508" s="69"/>
      <c r="BX508" s="65"/>
      <c r="BY508" s="137">
        <f t="shared" si="1935"/>
        <v>1</v>
      </c>
      <c r="BZ508" s="137">
        <f>IF(BY508&gt;0,BY508+LARGE($BZ$213:BZ507,1),0)</f>
        <v>248</v>
      </c>
      <c r="CA508" s="137" t="str">
        <f t="shared" si="1936"/>
        <v>AN PL. ENG/ARQ</v>
      </c>
      <c r="CB508" s="161">
        <f t="shared" si="1937"/>
        <v>0</v>
      </c>
      <c r="CC508" s="161">
        <f t="shared" si="1938"/>
        <v>0</v>
      </c>
      <c r="CD508" s="161">
        <f t="shared" si="1939"/>
        <v>0</v>
      </c>
      <c r="CE508" s="161">
        <f t="shared" si="1940"/>
        <v>0</v>
      </c>
      <c r="CF508" s="161">
        <f t="shared" si="1941"/>
        <v>0</v>
      </c>
      <c r="CG508" s="161">
        <f t="shared" si="1942"/>
        <v>0</v>
      </c>
      <c r="CH508" s="161">
        <f t="shared" si="1943"/>
        <v>0</v>
      </c>
      <c r="CI508" s="161">
        <f t="shared" si="1944"/>
        <v>0</v>
      </c>
      <c r="CJ508" s="161">
        <f t="shared" si="1945"/>
        <v>0</v>
      </c>
      <c r="CK508" s="161">
        <f t="shared" si="1946"/>
        <v>0</v>
      </c>
      <c r="CL508" s="161">
        <f t="shared" si="1947"/>
        <v>0</v>
      </c>
      <c r="CM508" s="161">
        <f t="shared" si="1948"/>
        <v>0</v>
      </c>
      <c r="CN508" s="161">
        <f t="shared" si="1949"/>
        <v>0</v>
      </c>
      <c r="CO508" s="161">
        <f t="shared" si="1950"/>
        <v>0</v>
      </c>
      <c r="CP508" s="161">
        <f t="shared" si="1951"/>
        <v>0</v>
      </c>
      <c r="CQ508" s="161">
        <f t="shared" si="1952"/>
        <v>0</v>
      </c>
      <c r="CR508" s="161">
        <f t="shared" si="1953"/>
        <v>0</v>
      </c>
      <c r="CS508" s="161">
        <f t="shared" si="1954"/>
        <v>0</v>
      </c>
      <c r="CT508" s="161">
        <f t="shared" si="1955"/>
        <v>0</v>
      </c>
      <c r="CU508" s="161">
        <f t="shared" si="1956"/>
        <v>0</v>
      </c>
      <c r="CV508" s="161">
        <f t="shared" si="1957"/>
        <v>0</v>
      </c>
      <c r="CW508" s="161">
        <f t="shared" si="1958"/>
        <v>0</v>
      </c>
      <c r="CX508" s="161">
        <f t="shared" si="1959"/>
        <v>0</v>
      </c>
      <c r="CY508" s="161">
        <f t="shared" si="1960"/>
        <v>0</v>
      </c>
      <c r="CZ508" s="161">
        <f t="shared" si="1961"/>
        <v>0</v>
      </c>
      <c r="DA508" s="161">
        <f t="shared" si="1962"/>
        <v>0</v>
      </c>
      <c r="DB508" s="161">
        <f t="shared" si="1963"/>
        <v>0</v>
      </c>
      <c r="DC508" s="161">
        <f t="shared" si="1964"/>
        <v>0</v>
      </c>
      <c r="DD508" s="161">
        <f t="shared" si="1965"/>
        <v>0</v>
      </c>
      <c r="DE508" s="161">
        <f t="shared" si="1966"/>
        <v>0</v>
      </c>
      <c r="DF508" s="161">
        <f t="shared" si="1967"/>
        <v>0</v>
      </c>
      <c r="DG508" s="161">
        <f t="shared" si="1968"/>
        <v>0</v>
      </c>
      <c r="DH508" s="161">
        <f t="shared" si="1969"/>
        <v>0</v>
      </c>
      <c r="DI508" s="161">
        <f t="shared" si="1970"/>
        <v>0</v>
      </c>
      <c r="DJ508" s="161">
        <f t="shared" si="1971"/>
        <v>0</v>
      </c>
      <c r="DK508" s="161">
        <f t="shared" si="1972"/>
        <v>0</v>
      </c>
      <c r="DL508" s="161">
        <f t="shared" si="1973"/>
        <v>0</v>
      </c>
      <c r="DM508" s="161">
        <f t="shared" si="1974"/>
        <v>0</v>
      </c>
      <c r="DN508" s="161">
        <f t="shared" si="1975"/>
        <v>0</v>
      </c>
      <c r="DO508" s="161">
        <f t="shared" si="1976"/>
        <v>0</v>
      </c>
      <c r="DP508" s="161">
        <f t="shared" si="1977"/>
        <v>0</v>
      </c>
      <c r="DQ508" s="161">
        <f t="shared" si="1978"/>
        <v>0</v>
      </c>
      <c r="DR508" s="161">
        <f t="shared" si="1979"/>
        <v>0</v>
      </c>
      <c r="DS508" s="161">
        <f t="shared" si="1980"/>
        <v>0</v>
      </c>
      <c r="DT508" s="161">
        <f t="shared" si="1981"/>
        <v>0</v>
      </c>
      <c r="DU508" s="161">
        <f t="shared" si="1982"/>
        <v>0</v>
      </c>
      <c r="DV508" s="161">
        <f t="shared" si="1983"/>
        <v>0</v>
      </c>
      <c r="DW508" s="161">
        <f t="shared" si="1984"/>
        <v>0</v>
      </c>
      <c r="DX508" s="161">
        <f t="shared" si="1985"/>
        <v>0</v>
      </c>
      <c r="DY508" s="161">
        <f t="shared" si="1986"/>
        <v>0</v>
      </c>
      <c r="DZ508" s="161">
        <f t="shared" si="1987"/>
        <v>0</v>
      </c>
      <c r="EA508" s="161">
        <f t="shared" si="1988"/>
        <v>0</v>
      </c>
      <c r="EB508" s="161">
        <f t="shared" si="1989"/>
        <v>0</v>
      </c>
      <c r="EC508" s="161">
        <f t="shared" si="1990"/>
        <v>0</v>
      </c>
      <c r="ED508" s="161">
        <f t="shared" si="1991"/>
        <v>0</v>
      </c>
      <c r="EE508" s="161">
        <f t="shared" si="1992"/>
        <v>0</v>
      </c>
      <c r="EF508" s="161">
        <f t="shared" si="1993"/>
        <v>0</v>
      </c>
      <c r="EG508" s="161">
        <f t="shared" si="1994"/>
        <v>0</v>
      </c>
      <c r="EH508" s="161">
        <f t="shared" si="1995"/>
        <v>0</v>
      </c>
      <c r="EI508" s="161">
        <f t="shared" si="1996"/>
        <v>0</v>
      </c>
      <c r="EJ508" s="65"/>
      <c r="EK508" s="161">
        <f t="shared" si="1997"/>
        <v>0</v>
      </c>
      <c r="EL508" s="161">
        <f t="shared" si="1998"/>
        <v>0</v>
      </c>
      <c r="EM508" s="161">
        <f t="shared" si="1999"/>
        <v>0</v>
      </c>
    </row>
    <row r="509" spans="1:143" ht="12" hidden="1" customHeight="1" outlineLevel="2">
      <c r="A509" s="77">
        <v>9</v>
      </c>
      <c r="B509" s="137" t="str">
        <f t="shared" si="1927"/>
        <v>AN JR. ENG/ARQ - Equipe_01</v>
      </c>
      <c r="C509" s="65"/>
      <c r="D509" s="621"/>
      <c r="E509" s="65"/>
      <c r="F509" s="584"/>
      <c r="G509" s="77" t="str">
        <f>IF(INDEX(Tarefas!$BT$30:$FK$30,MATCH(A509,Tarefas!$BT$28:$FK$28,0))=0,"",INDEX(Tarefas!$BT$30:$FK$30,MATCH(A509,Tarefas!$BT$28:$FK$28,0)))</f>
        <v>AN JR. ENG/ARQ</v>
      </c>
      <c r="H509" s="107" cm="1">
        <f t="array" ref="H509">IFERROR((SUMPRODUCT((Tarefas!$N$32:$N$54='Cronog. e Histog.'!$F$501)*(Tarefas!$BQ$30:$FK$30='Cronog. e Histog.'!$G509)*(Tarefas!$BQ$32:$FK$54)))/SUMIF(Tarefas!$N$32:$N$54,'Cronog. e Histog.'!$F$501,Tarefas!$K$32:$K$54),0)</f>
        <v>0</v>
      </c>
      <c r="I509" s="79">
        <f t="shared" si="1928"/>
        <v>0</v>
      </c>
      <c r="J509" s="65"/>
      <c r="K509" s="160">
        <f t="shared" si="1929"/>
        <v>0</v>
      </c>
      <c r="L509" s="160">
        <f t="shared" si="1929"/>
        <v>0</v>
      </c>
      <c r="M509" s="160">
        <f t="shared" si="1929"/>
        <v>0</v>
      </c>
      <c r="N509" s="160">
        <f t="shared" si="1929"/>
        <v>0</v>
      </c>
      <c r="O509" s="160">
        <f t="shared" si="1929"/>
        <v>0</v>
      </c>
      <c r="P509" s="160">
        <f t="shared" si="1929"/>
        <v>0</v>
      </c>
      <c r="Q509" s="160">
        <f t="shared" si="1929"/>
        <v>0</v>
      </c>
      <c r="R509" s="160">
        <f t="shared" si="1929"/>
        <v>0</v>
      </c>
      <c r="S509" s="160">
        <f t="shared" si="1929"/>
        <v>0</v>
      </c>
      <c r="T509" s="160">
        <f t="shared" si="1929"/>
        <v>0</v>
      </c>
      <c r="U509" s="160">
        <f t="shared" si="1929"/>
        <v>0</v>
      </c>
      <c r="V509" s="160">
        <f t="shared" si="1929"/>
        <v>0</v>
      </c>
      <c r="W509" s="160">
        <f t="shared" si="1929"/>
        <v>0</v>
      </c>
      <c r="X509" s="160">
        <f t="shared" si="1929"/>
        <v>0</v>
      </c>
      <c r="Y509" s="160">
        <f t="shared" si="1929"/>
        <v>0</v>
      </c>
      <c r="Z509" s="160">
        <f t="shared" si="1929"/>
        <v>0</v>
      </c>
      <c r="AA509" s="160">
        <f t="shared" si="1930"/>
        <v>0</v>
      </c>
      <c r="AB509" s="160">
        <f t="shared" si="1930"/>
        <v>0</v>
      </c>
      <c r="AC509" s="160">
        <f t="shared" si="1930"/>
        <v>0</v>
      </c>
      <c r="AD509" s="160">
        <f t="shared" si="1930"/>
        <v>0</v>
      </c>
      <c r="AE509" s="160">
        <f t="shared" si="1930"/>
        <v>0</v>
      </c>
      <c r="AF509" s="160">
        <f t="shared" si="1930"/>
        <v>0</v>
      </c>
      <c r="AG509" s="160">
        <f t="shared" si="1930"/>
        <v>0</v>
      </c>
      <c r="AH509" s="160">
        <f t="shared" si="1930"/>
        <v>0</v>
      </c>
      <c r="AI509" s="160">
        <f t="shared" si="1930"/>
        <v>0</v>
      </c>
      <c r="AJ509" s="160">
        <f t="shared" si="1930"/>
        <v>0</v>
      </c>
      <c r="AK509" s="160">
        <f t="shared" si="1930"/>
        <v>0</v>
      </c>
      <c r="AL509" s="160">
        <f t="shared" si="1930"/>
        <v>0</v>
      </c>
      <c r="AM509" s="160">
        <f t="shared" si="1930"/>
        <v>0</v>
      </c>
      <c r="AN509" s="160">
        <f t="shared" si="1930"/>
        <v>0</v>
      </c>
      <c r="AO509" s="160">
        <f t="shared" si="1930"/>
        <v>0</v>
      </c>
      <c r="AP509" s="160">
        <f t="shared" si="1930"/>
        <v>0</v>
      </c>
      <c r="AQ509" s="160">
        <f t="shared" si="1931"/>
        <v>0</v>
      </c>
      <c r="AR509" s="160">
        <f t="shared" si="1931"/>
        <v>0</v>
      </c>
      <c r="AS509" s="160">
        <f t="shared" si="1931"/>
        <v>0</v>
      </c>
      <c r="AT509" s="160">
        <f t="shared" si="1931"/>
        <v>0</v>
      </c>
      <c r="AU509" s="160">
        <f t="shared" si="1931"/>
        <v>0</v>
      </c>
      <c r="AV509" s="160">
        <f t="shared" si="1931"/>
        <v>0</v>
      </c>
      <c r="AW509" s="160">
        <f t="shared" si="1931"/>
        <v>0</v>
      </c>
      <c r="AX509" s="160">
        <f t="shared" si="1931"/>
        <v>0</v>
      </c>
      <c r="AY509" s="160">
        <f t="shared" si="1931"/>
        <v>0</v>
      </c>
      <c r="AZ509" s="160">
        <f t="shared" si="1931"/>
        <v>0</v>
      </c>
      <c r="BA509" s="160">
        <f t="shared" si="1931"/>
        <v>0</v>
      </c>
      <c r="BB509" s="160">
        <f t="shared" si="1931"/>
        <v>0</v>
      </c>
      <c r="BC509" s="160">
        <f t="shared" si="1931"/>
        <v>0</v>
      </c>
      <c r="BD509" s="160">
        <f t="shared" si="1931"/>
        <v>0</v>
      </c>
      <c r="BE509" s="160">
        <f t="shared" si="1931"/>
        <v>0</v>
      </c>
      <c r="BF509" s="160">
        <f t="shared" si="1931"/>
        <v>0</v>
      </c>
      <c r="BG509" s="160">
        <f t="shared" si="1932"/>
        <v>0</v>
      </c>
      <c r="BH509" s="160">
        <f t="shared" si="1932"/>
        <v>0</v>
      </c>
      <c r="BI509" s="160">
        <f t="shared" si="1932"/>
        <v>0</v>
      </c>
      <c r="BJ509" s="160">
        <f t="shared" si="1932"/>
        <v>0</v>
      </c>
      <c r="BK509" s="160">
        <f t="shared" si="1932"/>
        <v>0</v>
      </c>
      <c r="BL509" s="160">
        <f t="shared" si="1932"/>
        <v>0</v>
      </c>
      <c r="BM509" s="160">
        <f t="shared" si="1932"/>
        <v>0</v>
      </c>
      <c r="BN509" s="160">
        <f t="shared" si="1932"/>
        <v>0</v>
      </c>
      <c r="BO509" s="160">
        <f t="shared" si="1932"/>
        <v>0</v>
      </c>
      <c r="BP509" s="160">
        <f t="shared" si="1932"/>
        <v>0</v>
      </c>
      <c r="BQ509" s="160">
        <f t="shared" si="1932"/>
        <v>0</v>
      </c>
      <c r="BR509" s="160">
        <f t="shared" si="1932"/>
        <v>0</v>
      </c>
      <c r="BS509" s="65"/>
      <c r="BT509" s="160">
        <f t="shared" si="1933"/>
        <v>0</v>
      </c>
      <c r="BU509" s="160">
        <f t="shared" si="1934"/>
        <v>0</v>
      </c>
      <c r="BV509" s="65"/>
      <c r="BW509" s="69"/>
      <c r="BX509" s="65"/>
      <c r="BY509" s="137">
        <f t="shared" si="1935"/>
        <v>1</v>
      </c>
      <c r="BZ509" s="137">
        <f>IF(BY509&gt;0,BY509+LARGE($BZ$213:BZ508,1),0)</f>
        <v>249</v>
      </c>
      <c r="CA509" s="137" t="str">
        <f t="shared" si="1936"/>
        <v>AN JR. ENG/ARQ</v>
      </c>
      <c r="CB509" s="161">
        <f t="shared" si="1937"/>
        <v>0</v>
      </c>
      <c r="CC509" s="161">
        <f t="shared" si="1938"/>
        <v>0</v>
      </c>
      <c r="CD509" s="161">
        <f t="shared" si="1939"/>
        <v>0</v>
      </c>
      <c r="CE509" s="161">
        <f t="shared" si="1940"/>
        <v>0</v>
      </c>
      <c r="CF509" s="161">
        <f t="shared" si="1941"/>
        <v>0</v>
      </c>
      <c r="CG509" s="161">
        <f t="shared" si="1942"/>
        <v>0</v>
      </c>
      <c r="CH509" s="161">
        <f t="shared" si="1943"/>
        <v>0</v>
      </c>
      <c r="CI509" s="161">
        <f t="shared" si="1944"/>
        <v>0</v>
      </c>
      <c r="CJ509" s="161">
        <f t="shared" si="1945"/>
        <v>0</v>
      </c>
      <c r="CK509" s="161">
        <f t="shared" si="1946"/>
        <v>0</v>
      </c>
      <c r="CL509" s="161">
        <f t="shared" si="1947"/>
        <v>0</v>
      </c>
      <c r="CM509" s="161">
        <f t="shared" si="1948"/>
        <v>0</v>
      </c>
      <c r="CN509" s="161">
        <f t="shared" si="1949"/>
        <v>0</v>
      </c>
      <c r="CO509" s="161">
        <f t="shared" si="1950"/>
        <v>0</v>
      </c>
      <c r="CP509" s="161">
        <f t="shared" si="1951"/>
        <v>0</v>
      </c>
      <c r="CQ509" s="161">
        <f t="shared" si="1952"/>
        <v>0</v>
      </c>
      <c r="CR509" s="161">
        <f t="shared" si="1953"/>
        <v>0</v>
      </c>
      <c r="CS509" s="161">
        <f t="shared" si="1954"/>
        <v>0</v>
      </c>
      <c r="CT509" s="161">
        <f t="shared" si="1955"/>
        <v>0</v>
      </c>
      <c r="CU509" s="161">
        <f t="shared" si="1956"/>
        <v>0</v>
      </c>
      <c r="CV509" s="161">
        <f t="shared" si="1957"/>
        <v>0</v>
      </c>
      <c r="CW509" s="161">
        <f t="shared" si="1958"/>
        <v>0</v>
      </c>
      <c r="CX509" s="161">
        <f t="shared" si="1959"/>
        <v>0</v>
      </c>
      <c r="CY509" s="161">
        <f t="shared" si="1960"/>
        <v>0</v>
      </c>
      <c r="CZ509" s="161">
        <f t="shared" si="1961"/>
        <v>0</v>
      </c>
      <c r="DA509" s="161">
        <f t="shared" si="1962"/>
        <v>0</v>
      </c>
      <c r="DB509" s="161">
        <f t="shared" si="1963"/>
        <v>0</v>
      </c>
      <c r="DC509" s="161">
        <f t="shared" si="1964"/>
        <v>0</v>
      </c>
      <c r="DD509" s="161">
        <f t="shared" si="1965"/>
        <v>0</v>
      </c>
      <c r="DE509" s="161">
        <f t="shared" si="1966"/>
        <v>0</v>
      </c>
      <c r="DF509" s="161">
        <f t="shared" si="1967"/>
        <v>0</v>
      </c>
      <c r="DG509" s="161">
        <f t="shared" si="1968"/>
        <v>0</v>
      </c>
      <c r="DH509" s="161">
        <f t="shared" si="1969"/>
        <v>0</v>
      </c>
      <c r="DI509" s="161">
        <f t="shared" si="1970"/>
        <v>0</v>
      </c>
      <c r="DJ509" s="161">
        <f t="shared" si="1971"/>
        <v>0</v>
      </c>
      <c r="DK509" s="161">
        <f t="shared" si="1972"/>
        <v>0</v>
      </c>
      <c r="DL509" s="161">
        <f t="shared" si="1973"/>
        <v>0</v>
      </c>
      <c r="DM509" s="161">
        <f t="shared" si="1974"/>
        <v>0</v>
      </c>
      <c r="DN509" s="161">
        <f t="shared" si="1975"/>
        <v>0</v>
      </c>
      <c r="DO509" s="161">
        <f t="shared" si="1976"/>
        <v>0</v>
      </c>
      <c r="DP509" s="161">
        <f t="shared" si="1977"/>
        <v>0</v>
      </c>
      <c r="DQ509" s="161">
        <f t="shared" si="1978"/>
        <v>0</v>
      </c>
      <c r="DR509" s="161">
        <f t="shared" si="1979"/>
        <v>0</v>
      </c>
      <c r="DS509" s="161">
        <f t="shared" si="1980"/>
        <v>0</v>
      </c>
      <c r="DT509" s="161">
        <f t="shared" si="1981"/>
        <v>0</v>
      </c>
      <c r="DU509" s="161">
        <f t="shared" si="1982"/>
        <v>0</v>
      </c>
      <c r="DV509" s="161">
        <f t="shared" si="1983"/>
        <v>0</v>
      </c>
      <c r="DW509" s="161">
        <f t="shared" si="1984"/>
        <v>0</v>
      </c>
      <c r="DX509" s="161">
        <f t="shared" si="1985"/>
        <v>0</v>
      </c>
      <c r="DY509" s="161">
        <f t="shared" si="1986"/>
        <v>0</v>
      </c>
      <c r="DZ509" s="161">
        <f t="shared" si="1987"/>
        <v>0</v>
      </c>
      <c r="EA509" s="161">
        <f t="shared" si="1988"/>
        <v>0</v>
      </c>
      <c r="EB509" s="161">
        <f t="shared" si="1989"/>
        <v>0</v>
      </c>
      <c r="EC509" s="161">
        <f t="shared" si="1990"/>
        <v>0</v>
      </c>
      <c r="ED509" s="161">
        <f t="shared" si="1991"/>
        <v>0</v>
      </c>
      <c r="EE509" s="161">
        <f t="shared" si="1992"/>
        <v>0</v>
      </c>
      <c r="EF509" s="161">
        <f t="shared" si="1993"/>
        <v>0</v>
      </c>
      <c r="EG509" s="161">
        <f t="shared" si="1994"/>
        <v>0</v>
      </c>
      <c r="EH509" s="161">
        <f t="shared" si="1995"/>
        <v>0</v>
      </c>
      <c r="EI509" s="161">
        <f t="shared" si="1996"/>
        <v>0</v>
      </c>
      <c r="EJ509" s="65"/>
      <c r="EK509" s="161">
        <f t="shared" si="1997"/>
        <v>0</v>
      </c>
      <c r="EL509" s="161">
        <f t="shared" si="1998"/>
        <v>0</v>
      </c>
      <c r="EM509" s="161">
        <f t="shared" si="1999"/>
        <v>0</v>
      </c>
    </row>
    <row r="510" spans="1:143" ht="12" hidden="1" customHeight="1" outlineLevel="2">
      <c r="A510" s="77">
        <v>10</v>
      </c>
      <c r="B510" s="137" t="str">
        <f t="shared" si="1927"/>
        <v>AN SR. ADM/CRP - Equipe_01</v>
      </c>
      <c r="C510" s="65"/>
      <c r="D510" s="621"/>
      <c r="E510" s="65"/>
      <c r="F510" s="584"/>
      <c r="G510" s="77" t="str">
        <f>IF(INDEX(Tarefas!$BT$30:$FK$30,MATCH(A510,Tarefas!$BT$28:$FK$28,0))=0,"",INDEX(Tarefas!$BT$30:$FK$30,MATCH(A510,Tarefas!$BT$28:$FK$28,0)))</f>
        <v>AN SR. ADM/CRP</v>
      </c>
      <c r="H510" s="107" cm="1">
        <f t="array" ref="H510">IFERROR((SUMPRODUCT((Tarefas!$N$32:$N$54='Cronog. e Histog.'!$F$501)*(Tarefas!$BQ$30:$FK$30='Cronog. e Histog.'!$G510)*(Tarefas!$BQ$32:$FK$54)))/SUMIF(Tarefas!$N$32:$N$54,'Cronog. e Histog.'!$F$501,Tarefas!$K$32:$K$54),0)</f>
        <v>0</v>
      </c>
      <c r="I510" s="79">
        <f t="shared" si="1928"/>
        <v>0</v>
      </c>
      <c r="J510" s="65"/>
      <c r="K510" s="160">
        <f t="shared" si="1929"/>
        <v>0</v>
      </c>
      <c r="L510" s="160">
        <f t="shared" si="1929"/>
        <v>0</v>
      </c>
      <c r="M510" s="160">
        <f t="shared" si="1929"/>
        <v>0</v>
      </c>
      <c r="N510" s="160">
        <f t="shared" si="1929"/>
        <v>0</v>
      </c>
      <c r="O510" s="160">
        <f t="shared" si="1929"/>
        <v>0</v>
      </c>
      <c r="P510" s="160">
        <f t="shared" si="1929"/>
        <v>0</v>
      </c>
      <c r="Q510" s="160">
        <f t="shared" si="1929"/>
        <v>0</v>
      </c>
      <c r="R510" s="160">
        <f t="shared" si="1929"/>
        <v>0</v>
      </c>
      <c r="S510" s="160">
        <f t="shared" si="1929"/>
        <v>0</v>
      </c>
      <c r="T510" s="160">
        <f t="shared" si="1929"/>
        <v>0</v>
      </c>
      <c r="U510" s="160">
        <f t="shared" si="1929"/>
        <v>0</v>
      </c>
      <c r="V510" s="160">
        <f t="shared" si="1929"/>
        <v>0</v>
      </c>
      <c r="W510" s="160">
        <f t="shared" si="1929"/>
        <v>0</v>
      </c>
      <c r="X510" s="160">
        <f t="shared" si="1929"/>
        <v>0</v>
      </c>
      <c r="Y510" s="160">
        <f t="shared" si="1929"/>
        <v>0</v>
      </c>
      <c r="Z510" s="160">
        <f t="shared" si="1929"/>
        <v>0</v>
      </c>
      <c r="AA510" s="160">
        <f t="shared" si="1930"/>
        <v>0</v>
      </c>
      <c r="AB510" s="160">
        <f t="shared" si="1930"/>
        <v>0</v>
      </c>
      <c r="AC510" s="160">
        <f t="shared" si="1930"/>
        <v>0</v>
      </c>
      <c r="AD510" s="160">
        <f t="shared" si="1930"/>
        <v>0</v>
      </c>
      <c r="AE510" s="160">
        <f t="shared" si="1930"/>
        <v>0</v>
      </c>
      <c r="AF510" s="160">
        <f t="shared" si="1930"/>
        <v>0</v>
      </c>
      <c r="AG510" s="160">
        <f t="shared" si="1930"/>
        <v>0</v>
      </c>
      <c r="AH510" s="160">
        <f t="shared" si="1930"/>
        <v>0</v>
      </c>
      <c r="AI510" s="160">
        <f t="shared" si="1930"/>
        <v>0</v>
      </c>
      <c r="AJ510" s="160">
        <f t="shared" si="1930"/>
        <v>0</v>
      </c>
      <c r="AK510" s="160">
        <f t="shared" si="1930"/>
        <v>0</v>
      </c>
      <c r="AL510" s="160">
        <f t="shared" si="1930"/>
        <v>0</v>
      </c>
      <c r="AM510" s="160">
        <f t="shared" si="1930"/>
        <v>0</v>
      </c>
      <c r="AN510" s="160">
        <f t="shared" si="1930"/>
        <v>0</v>
      </c>
      <c r="AO510" s="160">
        <f t="shared" si="1930"/>
        <v>0</v>
      </c>
      <c r="AP510" s="160">
        <f t="shared" si="1930"/>
        <v>0</v>
      </c>
      <c r="AQ510" s="160">
        <f t="shared" si="1931"/>
        <v>0</v>
      </c>
      <c r="AR510" s="160">
        <f t="shared" si="1931"/>
        <v>0</v>
      </c>
      <c r="AS510" s="160">
        <f t="shared" si="1931"/>
        <v>0</v>
      </c>
      <c r="AT510" s="160">
        <f t="shared" si="1931"/>
        <v>0</v>
      </c>
      <c r="AU510" s="160">
        <f t="shared" si="1931"/>
        <v>0</v>
      </c>
      <c r="AV510" s="160">
        <f t="shared" si="1931"/>
        <v>0</v>
      </c>
      <c r="AW510" s="160">
        <f t="shared" si="1931"/>
        <v>0</v>
      </c>
      <c r="AX510" s="160">
        <f t="shared" si="1931"/>
        <v>0</v>
      </c>
      <c r="AY510" s="160">
        <f t="shared" si="1931"/>
        <v>0</v>
      </c>
      <c r="AZ510" s="160">
        <f t="shared" si="1931"/>
        <v>0</v>
      </c>
      <c r="BA510" s="160">
        <f t="shared" si="1931"/>
        <v>0</v>
      </c>
      <c r="BB510" s="160">
        <f t="shared" si="1931"/>
        <v>0</v>
      </c>
      <c r="BC510" s="160">
        <f t="shared" si="1931"/>
        <v>0</v>
      </c>
      <c r="BD510" s="160">
        <f t="shared" si="1931"/>
        <v>0</v>
      </c>
      <c r="BE510" s="160">
        <f t="shared" si="1931"/>
        <v>0</v>
      </c>
      <c r="BF510" s="160">
        <f t="shared" si="1931"/>
        <v>0</v>
      </c>
      <c r="BG510" s="160">
        <f t="shared" si="1932"/>
        <v>0</v>
      </c>
      <c r="BH510" s="160">
        <f t="shared" si="1932"/>
        <v>0</v>
      </c>
      <c r="BI510" s="160">
        <f t="shared" si="1932"/>
        <v>0</v>
      </c>
      <c r="BJ510" s="160">
        <f t="shared" si="1932"/>
        <v>0</v>
      </c>
      <c r="BK510" s="160">
        <f t="shared" si="1932"/>
        <v>0</v>
      </c>
      <c r="BL510" s="160">
        <f t="shared" si="1932"/>
        <v>0</v>
      </c>
      <c r="BM510" s="160">
        <f t="shared" si="1932"/>
        <v>0</v>
      </c>
      <c r="BN510" s="160">
        <f t="shared" si="1932"/>
        <v>0</v>
      </c>
      <c r="BO510" s="160">
        <f t="shared" si="1932"/>
        <v>0</v>
      </c>
      <c r="BP510" s="160">
        <f t="shared" si="1932"/>
        <v>0</v>
      </c>
      <c r="BQ510" s="160">
        <f t="shared" si="1932"/>
        <v>0</v>
      </c>
      <c r="BR510" s="160">
        <f t="shared" si="1932"/>
        <v>0</v>
      </c>
      <c r="BS510" s="65"/>
      <c r="BT510" s="160">
        <f t="shared" si="1933"/>
        <v>0</v>
      </c>
      <c r="BU510" s="160">
        <f t="shared" si="1934"/>
        <v>0</v>
      </c>
      <c r="BV510" s="65"/>
      <c r="BW510" s="69"/>
      <c r="BX510" s="65"/>
      <c r="BY510" s="137">
        <f t="shared" si="1935"/>
        <v>1</v>
      </c>
      <c r="BZ510" s="137">
        <f>IF(BY510&gt;0,BY510+LARGE($BZ$213:BZ509,1),0)</f>
        <v>250</v>
      </c>
      <c r="CA510" s="137" t="str">
        <f t="shared" si="1936"/>
        <v>AN SR. ADM/CRP</v>
      </c>
      <c r="CB510" s="161">
        <f t="shared" si="1937"/>
        <v>0</v>
      </c>
      <c r="CC510" s="161">
        <f t="shared" si="1938"/>
        <v>0</v>
      </c>
      <c r="CD510" s="161">
        <f t="shared" si="1939"/>
        <v>0</v>
      </c>
      <c r="CE510" s="161">
        <f t="shared" si="1940"/>
        <v>0</v>
      </c>
      <c r="CF510" s="161">
        <f t="shared" si="1941"/>
        <v>0</v>
      </c>
      <c r="CG510" s="161">
        <f t="shared" si="1942"/>
        <v>0</v>
      </c>
      <c r="CH510" s="161">
        <f t="shared" si="1943"/>
        <v>0</v>
      </c>
      <c r="CI510" s="161">
        <f t="shared" si="1944"/>
        <v>0</v>
      </c>
      <c r="CJ510" s="161">
        <f t="shared" si="1945"/>
        <v>0</v>
      </c>
      <c r="CK510" s="161">
        <f t="shared" si="1946"/>
        <v>0</v>
      </c>
      <c r="CL510" s="161">
        <f t="shared" si="1947"/>
        <v>0</v>
      </c>
      <c r="CM510" s="161">
        <f t="shared" si="1948"/>
        <v>0</v>
      </c>
      <c r="CN510" s="161">
        <f t="shared" si="1949"/>
        <v>0</v>
      </c>
      <c r="CO510" s="161">
        <f t="shared" si="1950"/>
        <v>0</v>
      </c>
      <c r="CP510" s="161">
        <f t="shared" si="1951"/>
        <v>0</v>
      </c>
      <c r="CQ510" s="161">
        <f t="shared" si="1952"/>
        <v>0</v>
      </c>
      <c r="CR510" s="161">
        <f t="shared" si="1953"/>
        <v>0</v>
      </c>
      <c r="CS510" s="161">
        <f t="shared" si="1954"/>
        <v>0</v>
      </c>
      <c r="CT510" s="161">
        <f t="shared" si="1955"/>
        <v>0</v>
      </c>
      <c r="CU510" s="161">
        <f t="shared" si="1956"/>
        <v>0</v>
      </c>
      <c r="CV510" s="161">
        <f t="shared" si="1957"/>
        <v>0</v>
      </c>
      <c r="CW510" s="161">
        <f t="shared" si="1958"/>
        <v>0</v>
      </c>
      <c r="CX510" s="161">
        <f t="shared" si="1959"/>
        <v>0</v>
      </c>
      <c r="CY510" s="161">
        <f t="shared" si="1960"/>
        <v>0</v>
      </c>
      <c r="CZ510" s="161">
        <f t="shared" si="1961"/>
        <v>0</v>
      </c>
      <c r="DA510" s="161">
        <f t="shared" si="1962"/>
        <v>0</v>
      </c>
      <c r="DB510" s="161">
        <f t="shared" si="1963"/>
        <v>0</v>
      </c>
      <c r="DC510" s="161">
        <f t="shared" si="1964"/>
        <v>0</v>
      </c>
      <c r="DD510" s="161">
        <f t="shared" si="1965"/>
        <v>0</v>
      </c>
      <c r="DE510" s="161">
        <f t="shared" si="1966"/>
        <v>0</v>
      </c>
      <c r="DF510" s="161">
        <f t="shared" si="1967"/>
        <v>0</v>
      </c>
      <c r="DG510" s="161">
        <f t="shared" si="1968"/>
        <v>0</v>
      </c>
      <c r="DH510" s="161">
        <f t="shared" si="1969"/>
        <v>0</v>
      </c>
      <c r="DI510" s="161">
        <f t="shared" si="1970"/>
        <v>0</v>
      </c>
      <c r="DJ510" s="161">
        <f t="shared" si="1971"/>
        <v>0</v>
      </c>
      <c r="DK510" s="161">
        <f t="shared" si="1972"/>
        <v>0</v>
      </c>
      <c r="DL510" s="161">
        <f t="shared" si="1973"/>
        <v>0</v>
      </c>
      <c r="DM510" s="161">
        <f t="shared" si="1974"/>
        <v>0</v>
      </c>
      <c r="DN510" s="161">
        <f t="shared" si="1975"/>
        <v>0</v>
      </c>
      <c r="DO510" s="161">
        <f t="shared" si="1976"/>
        <v>0</v>
      </c>
      <c r="DP510" s="161">
        <f t="shared" si="1977"/>
        <v>0</v>
      </c>
      <c r="DQ510" s="161">
        <f t="shared" si="1978"/>
        <v>0</v>
      </c>
      <c r="DR510" s="161">
        <f t="shared" si="1979"/>
        <v>0</v>
      </c>
      <c r="DS510" s="161">
        <f t="shared" si="1980"/>
        <v>0</v>
      </c>
      <c r="DT510" s="161">
        <f t="shared" si="1981"/>
        <v>0</v>
      </c>
      <c r="DU510" s="161">
        <f t="shared" si="1982"/>
        <v>0</v>
      </c>
      <c r="DV510" s="161">
        <f t="shared" si="1983"/>
        <v>0</v>
      </c>
      <c r="DW510" s="161">
        <f t="shared" si="1984"/>
        <v>0</v>
      </c>
      <c r="DX510" s="161">
        <f t="shared" si="1985"/>
        <v>0</v>
      </c>
      <c r="DY510" s="161">
        <f t="shared" si="1986"/>
        <v>0</v>
      </c>
      <c r="DZ510" s="161">
        <f t="shared" si="1987"/>
        <v>0</v>
      </c>
      <c r="EA510" s="161">
        <f t="shared" si="1988"/>
        <v>0</v>
      </c>
      <c r="EB510" s="161">
        <f t="shared" si="1989"/>
        <v>0</v>
      </c>
      <c r="EC510" s="161">
        <f t="shared" si="1990"/>
        <v>0</v>
      </c>
      <c r="ED510" s="161">
        <f t="shared" si="1991"/>
        <v>0</v>
      </c>
      <c r="EE510" s="161">
        <f t="shared" si="1992"/>
        <v>0</v>
      </c>
      <c r="EF510" s="161">
        <f t="shared" si="1993"/>
        <v>0</v>
      </c>
      <c r="EG510" s="161">
        <f t="shared" si="1994"/>
        <v>0</v>
      </c>
      <c r="EH510" s="161">
        <f t="shared" si="1995"/>
        <v>0</v>
      </c>
      <c r="EI510" s="161">
        <f t="shared" si="1996"/>
        <v>0</v>
      </c>
      <c r="EJ510" s="65"/>
      <c r="EK510" s="161">
        <f t="shared" si="1997"/>
        <v>0</v>
      </c>
      <c r="EL510" s="161">
        <f t="shared" si="1998"/>
        <v>0</v>
      </c>
      <c r="EM510" s="161">
        <f t="shared" si="1999"/>
        <v>0</v>
      </c>
    </row>
    <row r="511" spans="1:143" ht="12" hidden="1" customHeight="1" outlineLevel="2">
      <c r="A511" s="77">
        <v>11</v>
      </c>
      <c r="B511" s="137" t="str">
        <f t="shared" si="1927"/>
        <v>AN PL. ADM/CRP - Equipe_01</v>
      </c>
      <c r="C511" s="65"/>
      <c r="D511" s="621"/>
      <c r="E511" s="65"/>
      <c r="F511" s="584"/>
      <c r="G511" s="77" t="str">
        <f>IF(INDEX(Tarefas!$BT$30:$FK$30,MATCH(A511,Tarefas!$BT$28:$FK$28,0))=0,"",INDEX(Tarefas!$BT$30:$FK$30,MATCH(A511,Tarefas!$BT$28:$FK$28,0)))</f>
        <v>AN PL. ADM/CRP</v>
      </c>
      <c r="H511" s="107" cm="1">
        <f t="array" ref="H511">IFERROR((SUMPRODUCT((Tarefas!$N$32:$N$54='Cronog. e Histog.'!$F$501)*(Tarefas!$BQ$30:$FK$30='Cronog. e Histog.'!$G511)*(Tarefas!$BQ$32:$FK$54)))/SUMIF(Tarefas!$N$32:$N$54,'Cronog. e Histog.'!$F$501,Tarefas!$K$32:$K$54),0)</f>
        <v>0</v>
      </c>
      <c r="I511" s="79">
        <f t="shared" si="1928"/>
        <v>0</v>
      </c>
      <c r="J511" s="65"/>
      <c r="K511" s="160">
        <f t="shared" si="1929"/>
        <v>0</v>
      </c>
      <c r="L511" s="160">
        <f t="shared" si="1929"/>
        <v>0</v>
      </c>
      <c r="M511" s="160">
        <f t="shared" si="1929"/>
        <v>0</v>
      </c>
      <c r="N511" s="160">
        <f t="shared" si="1929"/>
        <v>0</v>
      </c>
      <c r="O511" s="160">
        <f t="shared" si="1929"/>
        <v>0</v>
      </c>
      <c r="P511" s="160">
        <f t="shared" si="1929"/>
        <v>0</v>
      </c>
      <c r="Q511" s="160">
        <f t="shared" si="1929"/>
        <v>0</v>
      </c>
      <c r="R511" s="160">
        <f t="shared" si="1929"/>
        <v>0</v>
      </c>
      <c r="S511" s="160">
        <f t="shared" si="1929"/>
        <v>0</v>
      </c>
      <c r="T511" s="160">
        <f t="shared" si="1929"/>
        <v>0</v>
      </c>
      <c r="U511" s="160">
        <f t="shared" si="1929"/>
        <v>0</v>
      </c>
      <c r="V511" s="160">
        <f t="shared" si="1929"/>
        <v>0</v>
      </c>
      <c r="W511" s="160">
        <f t="shared" si="1929"/>
        <v>0</v>
      </c>
      <c r="X511" s="160">
        <f t="shared" si="1929"/>
        <v>0</v>
      </c>
      <c r="Y511" s="160">
        <f t="shared" si="1929"/>
        <v>0</v>
      </c>
      <c r="Z511" s="160">
        <f t="shared" si="1929"/>
        <v>0</v>
      </c>
      <c r="AA511" s="160">
        <f t="shared" si="1930"/>
        <v>0</v>
      </c>
      <c r="AB511" s="160">
        <f t="shared" si="1930"/>
        <v>0</v>
      </c>
      <c r="AC511" s="160">
        <f t="shared" si="1930"/>
        <v>0</v>
      </c>
      <c r="AD511" s="160">
        <f t="shared" si="1930"/>
        <v>0</v>
      </c>
      <c r="AE511" s="160">
        <f t="shared" si="1930"/>
        <v>0</v>
      </c>
      <c r="AF511" s="160">
        <f t="shared" si="1930"/>
        <v>0</v>
      </c>
      <c r="AG511" s="160">
        <f t="shared" si="1930"/>
        <v>0</v>
      </c>
      <c r="AH511" s="160">
        <f t="shared" si="1930"/>
        <v>0</v>
      </c>
      <c r="AI511" s="160">
        <f t="shared" si="1930"/>
        <v>0</v>
      </c>
      <c r="AJ511" s="160">
        <f t="shared" si="1930"/>
        <v>0</v>
      </c>
      <c r="AK511" s="160">
        <f t="shared" si="1930"/>
        <v>0</v>
      </c>
      <c r="AL511" s="160">
        <f t="shared" si="1930"/>
        <v>0</v>
      </c>
      <c r="AM511" s="160">
        <f t="shared" si="1930"/>
        <v>0</v>
      </c>
      <c r="AN511" s="160">
        <f t="shared" si="1930"/>
        <v>0</v>
      </c>
      <c r="AO511" s="160">
        <f t="shared" si="1930"/>
        <v>0</v>
      </c>
      <c r="AP511" s="160">
        <f t="shared" si="1930"/>
        <v>0</v>
      </c>
      <c r="AQ511" s="160">
        <f t="shared" si="1931"/>
        <v>0</v>
      </c>
      <c r="AR511" s="160">
        <f t="shared" si="1931"/>
        <v>0</v>
      </c>
      <c r="AS511" s="160">
        <f t="shared" si="1931"/>
        <v>0</v>
      </c>
      <c r="AT511" s="160">
        <f t="shared" si="1931"/>
        <v>0</v>
      </c>
      <c r="AU511" s="160">
        <f t="shared" si="1931"/>
        <v>0</v>
      </c>
      <c r="AV511" s="160">
        <f t="shared" si="1931"/>
        <v>0</v>
      </c>
      <c r="AW511" s="160">
        <f t="shared" si="1931"/>
        <v>0</v>
      </c>
      <c r="AX511" s="160">
        <f t="shared" si="1931"/>
        <v>0</v>
      </c>
      <c r="AY511" s="160">
        <f t="shared" si="1931"/>
        <v>0</v>
      </c>
      <c r="AZ511" s="160">
        <f t="shared" si="1931"/>
        <v>0</v>
      </c>
      <c r="BA511" s="160">
        <f t="shared" si="1931"/>
        <v>0</v>
      </c>
      <c r="BB511" s="160">
        <f t="shared" si="1931"/>
        <v>0</v>
      </c>
      <c r="BC511" s="160">
        <f t="shared" si="1931"/>
        <v>0</v>
      </c>
      <c r="BD511" s="160">
        <f t="shared" si="1931"/>
        <v>0</v>
      </c>
      <c r="BE511" s="160">
        <f t="shared" si="1931"/>
        <v>0</v>
      </c>
      <c r="BF511" s="160">
        <f t="shared" si="1931"/>
        <v>0</v>
      </c>
      <c r="BG511" s="160">
        <f t="shared" si="1932"/>
        <v>0</v>
      </c>
      <c r="BH511" s="160">
        <f t="shared" si="1932"/>
        <v>0</v>
      </c>
      <c r="BI511" s="160">
        <f t="shared" si="1932"/>
        <v>0</v>
      </c>
      <c r="BJ511" s="160">
        <f t="shared" si="1932"/>
        <v>0</v>
      </c>
      <c r="BK511" s="160">
        <f t="shared" si="1932"/>
        <v>0</v>
      </c>
      <c r="BL511" s="160">
        <f t="shared" si="1932"/>
        <v>0</v>
      </c>
      <c r="BM511" s="160">
        <f t="shared" si="1932"/>
        <v>0</v>
      </c>
      <c r="BN511" s="160">
        <f t="shared" si="1932"/>
        <v>0</v>
      </c>
      <c r="BO511" s="160">
        <f t="shared" si="1932"/>
        <v>0</v>
      </c>
      <c r="BP511" s="160">
        <f t="shared" si="1932"/>
        <v>0</v>
      </c>
      <c r="BQ511" s="160">
        <f t="shared" si="1932"/>
        <v>0</v>
      </c>
      <c r="BR511" s="160">
        <f t="shared" si="1932"/>
        <v>0</v>
      </c>
      <c r="BS511" s="65"/>
      <c r="BT511" s="160">
        <f t="shared" si="1933"/>
        <v>0</v>
      </c>
      <c r="BU511" s="160">
        <f t="shared" si="1934"/>
        <v>0</v>
      </c>
      <c r="BV511" s="65"/>
      <c r="BW511" s="69"/>
      <c r="BX511" s="65"/>
      <c r="BY511" s="137">
        <f t="shared" si="1935"/>
        <v>1</v>
      </c>
      <c r="BZ511" s="137">
        <f>IF(BY511&gt;0,BY511+LARGE($BZ$213:BZ510,1),0)</f>
        <v>251</v>
      </c>
      <c r="CA511" s="137" t="str">
        <f t="shared" si="1936"/>
        <v>AN PL. ADM/CRP</v>
      </c>
      <c r="CB511" s="161">
        <f t="shared" si="1937"/>
        <v>0</v>
      </c>
      <c r="CC511" s="161">
        <f t="shared" si="1938"/>
        <v>0</v>
      </c>
      <c r="CD511" s="161">
        <f t="shared" si="1939"/>
        <v>0</v>
      </c>
      <c r="CE511" s="161">
        <f t="shared" si="1940"/>
        <v>0</v>
      </c>
      <c r="CF511" s="161">
        <f t="shared" si="1941"/>
        <v>0</v>
      </c>
      <c r="CG511" s="161">
        <f t="shared" si="1942"/>
        <v>0</v>
      </c>
      <c r="CH511" s="161">
        <f t="shared" si="1943"/>
        <v>0</v>
      </c>
      <c r="CI511" s="161">
        <f t="shared" si="1944"/>
        <v>0</v>
      </c>
      <c r="CJ511" s="161">
        <f t="shared" si="1945"/>
        <v>0</v>
      </c>
      <c r="CK511" s="161">
        <f t="shared" si="1946"/>
        <v>0</v>
      </c>
      <c r="CL511" s="161">
        <f t="shared" si="1947"/>
        <v>0</v>
      </c>
      <c r="CM511" s="161">
        <f t="shared" si="1948"/>
        <v>0</v>
      </c>
      <c r="CN511" s="161">
        <f t="shared" si="1949"/>
        <v>0</v>
      </c>
      <c r="CO511" s="161">
        <f t="shared" si="1950"/>
        <v>0</v>
      </c>
      <c r="CP511" s="161">
        <f t="shared" si="1951"/>
        <v>0</v>
      </c>
      <c r="CQ511" s="161">
        <f t="shared" si="1952"/>
        <v>0</v>
      </c>
      <c r="CR511" s="161">
        <f t="shared" si="1953"/>
        <v>0</v>
      </c>
      <c r="CS511" s="161">
        <f t="shared" si="1954"/>
        <v>0</v>
      </c>
      <c r="CT511" s="161">
        <f t="shared" si="1955"/>
        <v>0</v>
      </c>
      <c r="CU511" s="161">
        <f t="shared" si="1956"/>
        <v>0</v>
      </c>
      <c r="CV511" s="161">
        <f t="shared" si="1957"/>
        <v>0</v>
      </c>
      <c r="CW511" s="161">
        <f t="shared" si="1958"/>
        <v>0</v>
      </c>
      <c r="CX511" s="161">
        <f t="shared" si="1959"/>
        <v>0</v>
      </c>
      <c r="CY511" s="161">
        <f t="shared" si="1960"/>
        <v>0</v>
      </c>
      <c r="CZ511" s="161">
        <f t="shared" si="1961"/>
        <v>0</v>
      </c>
      <c r="DA511" s="161">
        <f t="shared" si="1962"/>
        <v>0</v>
      </c>
      <c r="DB511" s="161">
        <f t="shared" si="1963"/>
        <v>0</v>
      </c>
      <c r="DC511" s="161">
        <f t="shared" si="1964"/>
        <v>0</v>
      </c>
      <c r="DD511" s="161">
        <f t="shared" si="1965"/>
        <v>0</v>
      </c>
      <c r="DE511" s="161">
        <f t="shared" si="1966"/>
        <v>0</v>
      </c>
      <c r="DF511" s="161">
        <f t="shared" si="1967"/>
        <v>0</v>
      </c>
      <c r="DG511" s="161">
        <f t="shared" si="1968"/>
        <v>0</v>
      </c>
      <c r="DH511" s="161">
        <f t="shared" si="1969"/>
        <v>0</v>
      </c>
      <c r="DI511" s="161">
        <f t="shared" si="1970"/>
        <v>0</v>
      </c>
      <c r="DJ511" s="161">
        <f t="shared" si="1971"/>
        <v>0</v>
      </c>
      <c r="DK511" s="161">
        <f t="shared" si="1972"/>
        <v>0</v>
      </c>
      <c r="DL511" s="161">
        <f t="shared" si="1973"/>
        <v>0</v>
      </c>
      <c r="DM511" s="161">
        <f t="shared" si="1974"/>
        <v>0</v>
      </c>
      <c r="DN511" s="161">
        <f t="shared" si="1975"/>
        <v>0</v>
      </c>
      <c r="DO511" s="161">
        <f t="shared" si="1976"/>
        <v>0</v>
      </c>
      <c r="DP511" s="161">
        <f t="shared" si="1977"/>
        <v>0</v>
      </c>
      <c r="DQ511" s="161">
        <f t="shared" si="1978"/>
        <v>0</v>
      </c>
      <c r="DR511" s="161">
        <f t="shared" si="1979"/>
        <v>0</v>
      </c>
      <c r="DS511" s="161">
        <f t="shared" si="1980"/>
        <v>0</v>
      </c>
      <c r="DT511" s="161">
        <f t="shared" si="1981"/>
        <v>0</v>
      </c>
      <c r="DU511" s="161">
        <f t="shared" si="1982"/>
        <v>0</v>
      </c>
      <c r="DV511" s="161">
        <f t="shared" si="1983"/>
        <v>0</v>
      </c>
      <c r="DW511" s="161">
        <f t="shared" si="1984"/>
        <v>0</v>
      </c>
      <c r="DX511" s="161">
        <f t="shared" si="1985"/>
        <v>0</v>
      </c>
      <c r="DY511" s="161">
        <f t="shared" si="1986"/>
        <v>0</v>
      </c>
      <c r="DZ511" s="161">
        <f t="shared" si="1987"/>
        <v>0</v>
      </c>
      <c r="EA511" s="161">
        <f t="shared" si="1988"/>
        <v>0</v>
      </c>
      <c r="EB511" s="161">
        <f t="shared" si="1989"/>
        <v>0</v>
      </c>
      <c r="EC511" s="161">
        <f t="shared" si="1990"/>
        <v>0</v>
      </c>
      <c r="ED511" s="161">
        <f t="shared" si="1991"/>
        <v>0</v>
      </c>
      <c r="EE511" s="161">
        <f t="shared" si="1992"/>
        <v>0</v>
      </c>
      <c r="EF511" s="161">
        <f t="shared" si="1993"/>
        <v>0</v>
      </c>
      <c r="EG511" s="161">
        <f t="shared" si="1994"/>
        <v>0</v>
      </c>
      <c r="EH511" s="161">
        <f t="shared" si="1995"/>
        <v>0</v>
      </c>
      <c r="EI511" s="161">
        <f t="shared" si="1996"/>
        <v>0</v>
      </c>
      <c r="EJ511" s="65"/>
      <c r="EK511" s="161">
        <f t="shared" si="1997"/>
        <v>0</v>
      </c>
      <c r="EL511" s="161">
        <f t="shared" si="1998"/>
        <v>0</v>
      </c>
      <c r="EM511" s="161">
        <f t="shared" si="1999"/>
        <v>0</v>
      </c>
    </row>
    <row r="512" spans="1:143" ht="12" hidden="1" customHeight="1" outlineLevel="2">
      <c r="A512" s="77">
        <v>12</v>
      </c>
      <c r="B512" s="137" t="str">
        <f t="shared" si="1927"/>
        <v>AN JR. ADM/CRP - Equipe_01</v>
      </c>
      <c r="C512" s="65"/>
      <c r="D512" s="622"/>
      <c r="E512" s="65"/>
      <c r="F512" s="584"/>
      <c r="G512" s="77" t="str">
        <f>IF(INDEX(Tarefas!$BT$30:$FK$30,MATCH(A512,Tarefas!$BT$28:$FK$28,0))=0,"",INDEX(Tarefas!$BT$30:$FK$30,MATCH(A512,Tarefas!$BT$28:$FK$28,0)))</f>
        <v>AN JR. ADM/CRP</v>
      </c>
      <c r="H512" s="107" cm="1">
        <f t="array" ref="H512">IFERROR((SUMPRODUCT((Tarefas!$N$32:$N$54='Cronog. e Histog.'!$F$501)*(Tarefas!$BQ$30:$FK$30='Cronog. e Histog.'!$G512)*(Tarefas!$BQ$32:$FK$54)))/SUMIF(Tarefas!$N$32:$N$54,'Cronog. e Histog.'!$F$501,Tarefas!$K$32:$K$54),0)</f>
        <v>0</v>
      </c>
      <c r="I512" s="79">
        <f t="shared" si="1928"/>
        <v>0</v>
      </c>
      <c r="J512" s="65"/>
      <c r="K512" s="160">
        <f t="shared" ref="K512:Z520" si="2000">ROUND($I512*K$195,2)</f>
        <v>0</v>
      </c>
      <c r="L512" s="160">
        <f t="shared" si="2000"/>
        <v>0</v>
      </c>
      <c r="M512" s="160">
        <f t="shared" si="2000"/>
        <v>0</v>
      </c>
      <c r="N512" s="160">
        <f t="shared" si="2000"/>
        <v>0</v>
      </c>
      <c r="O512" s="160">
        <f t="shared" si="2000"/>
        <v>0</v>
      </c>
      <c r="P512" s="160">
        <f t="shared" si="2000"/>
        <v>0</v>
      </c>
      <c r="Q512" s="160">
        <f t="shared" si="2000"/>
        <v>0</v>
      </c>
      <c r="R512" s="160">
        <f t="shared" si="2000"/>
        <v>0</v>
      </c>
      <c r="S512" s="160">
        <f t="shared" si="2000"/>
        <v>0</v>
      </c>
      <c r="T512" s="160">
        <f t="shared" si="2000"/>
        <v>0</v>
      </c>
      <c r="U512" s="160">
        <f t="shared" si="2000"/>
        <v>0</v>
      </c>
      <c r="V512" s="160">
        <f t="shared" si="2000"/>
        <v>0</v>
      </c>
      <c r="W512" s="160">
        <f t="shared" si="2000"/>
        <v>0</v>
      </c>
      <c r="X512" s="160">
        <f t="shared" si="2000"/>
        <v>0</v>
      </c>
      <c r="Y512" s="160">
        <f t="shared" si="2000"/>
        <v>0</v>
      </c>
      <c r="Z512" s="160">
        <f t="shared" si="2000"/>
        <v>0</v>
      </c>
      <c r="AA512" s="160">
        <f t="shared" si="1862"/>
        <v>0</v>
      </c>
      <c r="AB512" s="160">
        <f t="shared" si="1862"/>
        <v>0</v>
      </c>
      <c r="AC512" s="160">
        <f t="shared" si="1862"/>
        <v>0</v>
      </c>
      <c r="AD512" s="160">
        <f t="shared" si="1862"/>
        <v>0</v>
      </c>
      <c r="AE512" s="160">
        <f t="shared" si="1862"/>
        <v>0</v>
      </c>
      <c r="AF512" s="160">
        <f t="shared" si="1862"/>
        <v>0</v>
      </c>
      <c r="AG512" s="160">
        <f t="shared" si="1862"/>
        <v>0</v>
      </c>
      <c r="AH512" s="160">
        <f t="shared" si="1862"/>
        <v>0</v>
      </c>
      <c r="AI512" s="160">
        <f t="shared" si="1862"/>
        <v>0</v>
      </c>
      <c r="AJ512" s="160">
        <f t="shared" si="1862"/>
        <v>0</v>
      </c>
      <c r="AK512" s="160">
        <f t="shared" si="1862"/>
        <v>0</v>
      </c>
      <c r="AL512" s="160">
        <f t="shared" si="1862"/>
        <v>0</v>
      </c>
      <c r="AM512" s="160">
        <f t="shared" si="1862"/>
        <v>0</v>
      </c>
      <c r="AN512" s="160">
        <f t="shared" si="1862"/>
        <v>0</v>
      </c>
      <c r="AO512" s="160">
        <f t="shared" si="1862"/>
        <v>0</v>
      </c>
      <c r="AP512" s="160">
        <f t="shared" si="1862"/>
        <v>0</v>
      </c>
      <c r="AQ512" s="160">
        <f t="shared" si="1862"/>
        <v>0</v>
      </c>
      <c r="AR512" s="160">
        <f t="shared" si="1862"/>
        <v>0</v>
      </c>
      <c r="AS512" s="160">
        <f t="shared" si="1862"/>
        <v>0</v>
      </c>
      <c r="AT512" s="160">
        <f t="shared" si="1862"/>
        <v>0</v>
      </c>
      <c r="AU512" s="160">
        <f t="shared" si="1862"/>
        <v>0</v>
      </c>
      <c r="AV512" s="160">
        <f t="shared" si="1862"/>
        <v>0</v>
      </c>
      <c r="AW512" s="160">
        <f t="shared" si="1862"/>
        <v>0</v>
      </c>
      <c r="AX512" s="160">
        <f t="shared" si="1862"/>
        <v>0</v>
      </c>
      <c r="AY512" s="160">
        <f t="shared" si="1862"/>
        <v>0</v>
      </c>
      <c r="AZ512" s="160">
        <f t="shared" si="1862"/>
        <v>0</v>
      </c>
      <c r="BA512" s="160">
        <f t="shared" si="1862"/>
        <v>0</v>
      </c>
      <c r="BB512" s="160">
        <f t="shared" si="1862"/>
        <v>0</v>
      </c>
      <c r="BC512" s="160">
        <f t="shared" si="1862"/>
        <v>0</v>
      </c>
      <c r="BD512" s="160">
        <f t="shared" si="1862"/>
        <v>0</v>
      </c>
      <c r="BE512" s="160">
        <f t="shared" si="1862"/>
        <v>0</v>
      </c>
      <c r="BF512" s="160">
        <f t="shared" si="1862"/>
        <v>0</v>
      </c>
      <c r="BG512" s="160">
        <f t="shared" si="1862"/>
        <v>0</v>
      </c>
      <c r="BH512" s="160">
        <f t="shared" si="1862"/>
        <v>0</v>
      </c>
      <c r="BI512" s="160">
        <f t="shared" si="1862"/>
        <v>0</v>
      </c>
      <c r="BJ512" s="160">
        <f t="shared" si="1862"/>
        <v>0</v>
      </c>
      <c r="BK512" s="160">
        <f t="shared" si="1862"/>
        <v>0</v>
      </c>
      <c r="BL512" s="160">
        <f t="shared" si="1862"/>
        <v>0</v>
      </c>
      <c r="BM512" s="160">
        <f t="shared" si="1862"/>
        <v>0</v>
      </c>
      <c r="BN512" s="160">
        <f t="shared" si="1862"/>
        <v>0</v>
      </c>
      <c r="BO512" s="160">
        <f t="shared" si="1862"/>
        <v>0</v>
      </c>
      <c r="BP512" s="160">
        <f t="shared" si="1862"/>
        <v>0</v>
      </c>
      <c r="BQ512" s="160">
        <f t="shared" si="1862"/>
        <v>0</v>
      </c>
      <c r="BR512" s="160">
        <f t="shared" si="1862"/>
        <v>0</v>
      </c>
      <c r="BS512" s="65"/>
      <c r="BT512" s="160">
        <f t="shared" si="1863"/>
        <v>0</v>
      </c>
      <c r="BU512" s="160">
        <f t="shared" si="1864"/>
        <v>0</v>
      </c>
      <c r="BV512" s="65"/>
      <c r="BW512" s="69"/>
      <c r="BX512" s="65"/>
      <c r="BY512" s="137">
        <f t="shared" si="1865"/>
        <v>1</v>
      </c>
      <c r="BZ512" s="137">
        <f>IF(BY512&gt;0,BY512+LARGE($BZ$213:BZ511,1),0)</f>
        <v>252</v>
      </c>
      <c r="CA512" s="137" t="str">
        <f t="shared" si="1866"/>
        <v>AN JR. ADM/CRP</v>
      </c>
      <c r="CB512" s="161">
        <f t="shared" si="1867"/>
        <v>0</v>
      </c>
      <c r="CC512" s="161">
        <f t="shared" si="1868"/>
        <v>0</v>
      </c>
      <c r="CD512" s="161">
        <f t="shared" si="1869"/>
        <v>0</v>
      </c>
      <c r="CE512" s="161">
        <f t="shared" si="1870"/>
        <v>0</v>
      </c>
      <c r="CF512" s="161">
        <f t="shared" si="1871"/>
        <v>0</v>
      </c>
      <c r="CG512" s="161">
        <f t="shared" si="1872"/>
        <v>0</v>
      </c>
      <c r="CH512" s="161">
        <f t="shared" si="1873"/>
        <v>0</v>
      </c>
      <c r="CI512" s="161">
        <f t="shared" si="1874"/>
        <v>0</v>
      </c>
      <c r="CJ512" s="161">
        <f t="shared" si="1875"/>
        <v>0</v>
      </c>
      <c r="CK512" s="161">
        <f t="shared" si="1876"/>
        <v>0</v>
      </c>
      <c r="CL512" s="161">
        <f t="shared" si="1877"/>
        <v>0</v>
      </c>
      <c r="CM512" s="161">
        <f t="shared" si="1878"/>
        <v>0</v>
      </c>
      <c r="CN512" s="161">
        <f t="shared" si="1879"/>
        <v>0</v>
      </c>
      <c r="CO512" s="161">
        <f t="shared" si="1880"/>
        <v>0</v>
      </c>
      <c r="CP512" s="161">
        <f t="shared" si="1881"/>
        <v>0</v>
      </c>
      <c r="CQ512" s="161">
        <f t="shared" si="1882"/>
        <v>0</v>
      </c>
      <c r="CR512" s="161">
        <f t="shared" si="1883"/>
        <v>0</v>
      </c>
      <c r="CS512" s="161">
        <f t="shared" si="1884"/>
        <v>0</v>
      </c>
      <c r="CT512" s="161">
        <f t="shared" si="1885"/>
        <v>0</v>
      </c>
      <c r="CU512" s="161">
        <f t="shared" si="1886"/>
        <v>0</v>
      </c>
      <c r="CV512" s="161">
        <f t="shared" si="1887"/>
        <v>0</v>
      </c>
      <c r="CW512" s="161">
        <f t="shared" si="1888"/>
        <v>0</v>
      </c>
      <c r="CX512" s="161">
        <f t="shared" si="1889"/>
        <v>0</v>
      </c>
      <c r="CY512" s="161">
        <f t="shared" si="1890"/>
        <v>0</v>
      </c>
      <c r="CZ512" s="161">
        <f t="shared" si="1891"/>
        <v>0</v>
      </c>
      <c r="DA512" s="161">
        <f t="shared" si="1892"/>
        <v>0</v>
      </c>
      <c r="DB512" s="161">
        <f t="shared" si="1893"/>
        <v>0</v>
      </c>
      <c r="DC512" s="161">
        <f t="shared" si="1894"/>
        <v>0</v>
      </c>
      <c r="DD512" s="161">
        <f t="shared" si="1895"/>
        <v>0</v>
      </c>
      <c r="DE512" s="161">
        <f t="shared" si="1896"/>
        <v>0</v>
      </c>
      <c r="DF512" s="161">
        <f t="shared" si="1897"/>
        <v>0</v>
      </c>
      <c r="DG512" s="161">
        <f t="shared" si="1898"/>
        <v>0</v>
      </c>
      <c r="DH512" s="161">
        <f t="shared" si="1899"/>
        <v>0</v>
      </c>
      <c r="DI512" s="161">
        <f t="shared" si="1900"/>
        <v>0</v>
      </c>
      <c r="DJ512" s="161">
        <f t="shared" si="1901"/>
        <v>0</v>
      </c>
      <c r="DK512" s="161">
        <f t="shared" si="1902"/>
        <v>0</v>
      </c>
      <c r="DL512" s="161">
        <f t="shared" si="1903"/>
        <v>0</v>
      </c>
      <c r="DM512" s="161">
        <f t="shared" si="1904"/>
        <v>0</v>
      </c>
      <c r="DN512" s="161">
        <f t="shared" si="1905"/>
        <v>0</v>
      </c>
      <c r="DO512" s="161">
        <f t="shared" si="1906"/>
        <v>0</v>
      </c>
      <c r="DP512" s="161">
        <f t="shared" si="1907"/>
        <v>0</v>
      </c>
      <c r="DQ512" s="161">
        <f t="shared" si="1908"/>
        <v>0</v>
      </c>
      <c r="DR512" s="161">
        <f t="shared" si="1909"/>
        <v>0</v>
      </c>
      <c r="DS512" s="161">
        <f t="shared" si="1910"/>
        <v>0</v>
      </c>
      <c r="DT512" s="161">
        <f t="shared" si="1911"/>
        <v>0</v>
      </c>
      <c r="DU512" s="161">
        <f t="shared" si="1912"/>
        <v>0</v>
      </c>
      <c r="DV512" s="161">
        <f t="shared" si="1913"/>
        <v>0</v>
      </c>
      <c r="DW512" s="161">
        <f t="shared" si="1914"/>
        <v>0</v>
      </c>
      <c r="DX512" s="161">
        <f t="shared" si="1915"/>
        <v>0</v>
      </c>
      <c r="DY512" s="161">
        <f t="shared" si="1916"/>
        <v>0</v>
      </c>
      <c r="DZ512" s="161">
        <f t="shared" si="1917"/>
        <v>0</v>
      </c>
      <c r="EA512" s="161">
        <f t="shared" si="1918"/>
        <v>0</v>
      </c>
      <c r="EB512" s="161">
        <f t="shared" si="1919"/>
        <v>0</v>
      </c>
      <c r="EC512" s="161">
        <f t="shared" si="1920"/>
        <v>0</v>
      </c>
      <c r="ED512" s="161">
        <f t="shared" si="1921"/>
        <v>0</v>
      </c>
      <c r="EE512" s="161">
        <f t="shared" si="1922"/>
        <v>0</v>
      </c>
      <c r="EF512" s="161">
        <f t="shared" si="1923"/>
        <v>0</v>
      </c>
      <c r="EG512" s="161">
        <f t="shared" si="1924"/>
        <v>0</v>
      </c>
      <c r="EH512" s="161">
        <f t="shared" si="1925"/>
        <v>0</v>
      </c>
      <c r="EI512" s="161">
        <f t="shared" si="1926"/>
        <v>0</v>
      </c>
      <c r="EJ512" s="65"/>
      <c r="EK512" s="161">
        <f t="shared" si="1997"/>
        <v>0</v>
      </c>
      <c r="EL512" s="161">
        <f t="shared" si="1998"/>
        <v>0</v>
      </c>
      <c r="EM512" s="161">
        <f t="shared" si="1999"/>
        <v>0</v>
      </c>
    </row>
    <row r="513" spans="1:143" ht="12" hidden="1" customHeight="1" outlineLevel="2">
      <c r="A513" s="77">
        <v>13</v>
      </c>
      <c r="B513" s="137" t="str">
        <f t="shared" si="1927"/>
        <v>TEC III - Equipe_01</v>
      </c>
      <c r="C513" s="65"/>
      <c r="D513" s="622"/>
      <c r="E513" s="65"/>
      <c r="F513" s="584"/>
      <c r="G513" s="77" t="str">
        <f>IF(INDEX(Tarefas!$BT$30:$FK$30,MATCH(A513,Tarefas!$BT$28:$FK$28,0))=0,"",INDEX(Tarefas!$BT$30:$FK$30,MATCH(A513,Tarefas!$BT$28:$FK$28,0)))</f>
        <v>TEC III</v>
      </c>
      <c r="H513" s="107" cm="1">
        <f t="array" ref="H513">IFERROR((SUMPRODUCT((Tarefas!$N$32:$N$54='Cronog. e Histog.'!$F$501)*(Tarefas!$BQ$30:$FK$30='Cronog. e Histog.'!$G513)*(Tarefas!$BQ$32:$FK$54)))/SUMIF(Tarefas!$N$32:$N$54,'Cronog. e Histog.'!$F$501,Tarefas!$K$32:$K$54),0)</f>
        <v>0</v>
      </c>
      <c r="I513" s="79">
        <f t="shared" si="1928"/>
        <v>0</v>
      </c>
      <c r="J513" s="65"/>
      <c r="K513" s="160">
        <f t="shared" si="2000"/>
        <v>0</v>
      </c>
      <c r="L513" s="160">
        <f t="shared" si="1862"/>
        <v>0</v>
      </c>
      <c r="M513" s="160">
        <f t="shared" si="1862"/>
        <v>0</v>
      </c>
      <c r="N513" s="160">
        <f t="shared" si="1862"/>
        <v>0</v>
      </c>
      <c r="O513" s="160">
        <f t="shared" si="1862"/>
        <v>0</v>
      </c>
      <c r="P513" s="160">
        <f t="shared" si="1862"/>
        <v>0</v>
      </c>
      <c r="Q513" s="160">
        <f t="shared" si="1862"/>
        <v>0</v>
      </c>
      <c r="R513" s="160">
        <f t="shared" si="1862"/>
        <v>0</v>
      </c>
      <c r="S513" s="160">
        <f t="shared" si="1862"/>
        <v>0</v>
      </c>
      <c r="T513" s="160">
        <f t="shared" si="1862"/>
        <v>0</v>
      </c>
      <c r="U513" s="160">
        <f t="shared" si="1862"/>
        <v>0</v>
      </c>
      <c r="V513" s="160">
        <f t="shared" si="1862"/>
        <v>0</v>
      </c>
      <c r="W513" s="160">
        <f t="shared" si="1862"/>
        <v>0</v>
      </c>
      <c r="X513" s="160">
        <f t="shared" si="1862"/>
        <v>0</v>
      </c>
      <c r="Y513" s="160">
        <f t="shared" si="1862"/>
        <v>0</v>
      </c>
      <c r="Z513" s="160">
        <f t="shared" si="1862"/>
        <v>0</v>
      </c>
      <c r="AA513" s="160">
        <f t="shared" si="1862"/>
        <v>0</v>
      </c>
      <c r="AB513" s="160">
        <f t="shared" si="1862"/>
        <v>0</v>
      </c>
      <c r="AC513" s="160">
        <f t="shared" si="1862"/>
        <v>0</v>
      </c>
      <c r="AD513" s="160">
        <f t="shared" si="1862"/>
        <v>0</v>
      </c>
      <c r="AE513" s="160">
        <f t="shared" si="1862"/>
        <v>0</v>
      </c>
      <c r="AF513" s="160">
        <f t="shared" si="1862"/>
        <v>0</v>
      </c>
      <c r="AG513" s="160">
        <f t="shared" si="1862"/>
        <v>0</v>
      </c>
      <c r="AH513" s="160">
        <f t="shared" si="1862"/>
        <v>0</v>
      </c>
      <c r="AI513" s="160">
        <f t="shared" si="1862"/>
        <v>0</v>
      </c>
      <c r="AJ513" s="160">
        <f t="shared" si="1862"/>
        <v>0</v>
      </c>
      <c r="AK513" s="160">
        <f t="shared" si="1862"/>
        <v>0</v>
      </c>
      <c r="AL513" s="160">
        <f t="shared" si="1862"/>
        <v>0</v>
      </c>
      <c r="AM513" s="160">
        <f t="shared" si="1862"/>
        <v>0</v>
      </c>
      <c r="AN513" s="160">
        <f t="shared" si="1862"/>
        <v>0</v>
      </c>
      <c r="AO513" s="160">
        <f t="shared" si="1862"/>
        <v>0</v>
      </c>
      <c r="AP513" s="160">
        <f t="shared" si="1862"/>
        <v>0</v>
      </c>
      <c r="AQ513" s="160">
        <f t="shared" si="1862"/>
        <v>0</v>
      </c>
      <c r="AR513" s="160">
        <f t="shared" si="1862"/>
        <v>0</v>
      </c>
      <c r="AS513" s="160">
        <f t="shared" si="1862"/>
        <v>0</v>
      </c>
      <c r="AT513" s="160">
        <f t="shared" si="1862"/>
        <v>0</v>
      </c>
      <c r="AU513" s="160">
        <f t="shared" si="1862"/>
        <v>0</v>
      </c>
      <c r="AV513" s="160">
        <f t="shared" si="1862"/>
        <v>0</v>
      </c>
      <c r="AW513" s="160">
        <f t="shared" si="1862"/>
        <v>0</v>
      </c>
      <c r="AX513" s="160">
        <f t="shared" si="1862"/>
        <v>0</v>
      </c>
      <c r="AY513" s="160">
        <f t="shared" si="1862"/>
        <v>0</v>
      </c>
      <c r="AZ513" s="160">
        <f t="shared" si="1862"/>
        <v>0</v>
      </c>
      <c r="BA513" s="160">
        <f t="shared" si="1862"/>
        <v>0</v>
      </c>
      <c r="BB513" s="160">
        <f t="shared" si="1862"/>
        <v>0</v>
      </c>
      <c r="BC513" s="160">
        <f t="shared" si="1862"/>
        <v>0</v>
      </c>
      <c r="BD513" s="160">
        <f t="shared" si="1862"/>
        <v>0</v>
      </c>
      <c r="BE513" s="160">
        <f t="shared" si="1862"/>
        <v>0</v>
      </c>
      <c r="BF513" s="160">
        <f t="shared" si="1862"/>
        <v>0</v>
      </c>
      <c r="BG513" s="160">
        <f t="shared" si="1862"/>
        <v>0</v>
      </c>
      <c r="BH513" s="160">
        <f t="shared" si="1862"/>
        <v>0</v>
      </c>
      <c r="BI513" s="160">
        <f t="shared" si="1862"/>
        <v>0</v>
      </c>
      <c r="BJ513" s="160">
        <f t="shared" si="1862"/>
        <v>0</v>
      </c>
      <c r="BK513" s="160">
        <f t="shared" si="1862"/>
        <v>0</v>
      </c>
      <c r="BL513" s="160">
        <f t="shared" si="1862"/>
        <v>0</v>
      </c>
      <c r="BM513" s="160">
        <f t="shared" si="1862"/>
        <v>0</v>
      </c>
      <c r="BN513" s="160">
        <f t="shared" si="1862"/>
        <v>0</v>
      </c>
      <c r="BO513" s="160">
        <f t="shared" si="1862"/>
        <v>0</v>
      </c>
      <c r="BP513" s="160">
        <f t="shared" si="1862"/>
        <v>0</v>
      </c>
      <c r="BQ513" s="160">
        <f t="shared" si="1862"/>
        <v>0</v>
      </c>
      <c r="BR513" s="160">
        <f t="shared" si="1862"/>
        <v>0</v>
      </c>
      <c r="BS513" s="65"/>
      <c r="BT513" s="160">
        <f t="shared" si="1863"/>
        <v>0</v>
      </c>
      <c r="BU513" s="160">
        <f t="shared" si="1864"/>
        <v>0</v>
      </c>
      <c r="BV513" s="65"/>
      <c r="BW513" s="69"/>
      <c r="BX513" s="65"/>
      <c r="BY513" s="137">
        <f t="shared" si="1865"/>
        <v>1</v>
      </c>
      <c r="BZ513" s="137">
        <f>IF(BY513&gt;0,BY513+LARGE($BZ$213:BZ512,1),0)</f>
        <v>253</v>
      </c>
      <c r="CA513" s="137" t="str">
        <f t="shared" si="1866"/>
        <v>TEC III</v>
      </c>
      <c r="CB513" s="161">
        <f t="shared" si="1867"/>
        <v>0</v>
      </c>
      <c r="CC513" s="161">
        <f t="shared" si="1868"/>
        <v>0</v>
      </c>
      <c r="CD513" s="161">
        <f t="shared" si="1869"/>
        <v>0</v>
      </c>
      <c r="CE513" s="161">
        <f t="shared" si="1870"/>
        <v>0</v>
      </c>
      <c r="CF513" s="161">
        <f t="shared" si="1871"/>
        <v>0</v>
      </c>
      <c r="CG513" s="161">
        <f t="shared" si="1872"/>
        <v>0</v>
      </c>
      <c r="CH513" s="161">
        <f t="shared" si="1873"/>
        <v>0</v>
      </c>
      <c r="CI513" s="161">
        <f t="shared" si="1874"/>
        <v>0</v>
      </c>
      <c r="CJ513" s="161">
        <f t="shared" si="1875"/>
        <v>0</v>
      </c>
      <c r="CK513" s="161">
        <f t="shared" si="1876"/>
        <v>0</v>
      </c>
      <c r="CL513" s="161">
        <f t="shared" si="1877"/>
        <v>0</v>
      </c>
      <c r="CM513" s="161">
        <f t="shared" si="1878"/>
        <v>0</v>
      </c>
      <c r="CN513" s="161">
        <f t="shared" si="1879"/>
        <v>0</v>
      </c>
      <c r="CO513" s="161">
        <f t="shared" si="1880"/>
        <v>0</v>
      </c>
      <c r="CP513" s="161">
        <f t="shared" si="1881"/>
        <v>0</v>
      </c>
      <c r="CQ513" s="161">
        <f t="shared" si="1882"/>
        <v>0</v>
      </c>
      <c r="CR513" s="161">
        <f t="shared" si="1883"/>
        <v>0</v>
      </c>
      <c r="CS513" s="161">
        <f t="shared" si="1884"/>
        <v>0</v>
      </c>
      <c r="CT513" s="161">
        <f t="shared" si="1885"/>
        <v>0</v>
      </c>
      <c r="CU513" s="161">
        <f t="shared" si="1886"/>
        <v>0</v>
      </c>
      <c r="CV513" s="161">
        <f t="shared" si="1887"/>
        <v>0</v>
      </c>
      <c r="CW513" s="161">
        <f t="shared" si="1888"/>
        <v>0</v>
      </c>
      <c r="CX513" s="161">
        <f t="shared" si="1889"/>
        <v>0</v>
      </c>
      <c r="CY513" s="161">
        <f t="shared" si="1890"/>
        <v>0</v>
      </c>
      <c r="CZ513" s="161">
        <f t="shared" si="1891"/>
        <v>0</v>
      </c>
      <c r="DA513" s="161">
        <f t="shared" si="1892"/>
        <v>0</v>
      </c>
      <c r="DB513" s="161">
        <f t="shared" si="1893"/>
        <v>0</v>
      </c>
      <c r="DC513" s="161">
        <f t="shared" si="1894"/>
        <v>0</v>
      </c>
      <c r="DD513" s="161">
        <f t="shared" si="1895"/>
        <v>0</v>
      </c>
      <c r="DE513" s="161">
        <f t="shared" si="1896"/>
        <v>0</v>
      </c>
      <c r="DF513" s="161">
        <f t="shared" si="1897"/>
        <v>0</v>
      </c>
      <c r="DG513" s="161">
        <f t="shared" si="1898"/>
        <v>0</v>
      </c>
      <c r="DH513" s="161">
        <f t="shared" si="1899"/>
        <v>0</v>
      </c>
      <c r="DI513" s="161">
        <f t="shared" si="1900"/>
        <v>0</v>
      </c>
      <c r="DJ513" s="161">
        <f t="shared" si="1901"/>
        <v>0</v>
      </c>
      <c r="DK513" s="161">
        <f t="shared" si="1902"/>
        <v>0</v>
      </c>
      <c r="DL513" s="161">
        <f t="shared" si="1903"/>
        <v>0</v>
      </c>
      <c r="DM513" s="161">
        <f t="shared" si="1904"/>
        <v>0</v>
      </c>
      <c r="DN513" s="161">
        <f t="shared" si="1905"/>
        <v>0</v>
      </c>
      <c r="DO513" s="161">
        <f t="shared" si="1906"/>
        <v>0</v>
      </c>
      <c r="DP513" s="161">
        <f t="shared" si="1907"/>
        <v>0</v>
      </c>
      <c r="DQ513" s="161">
        <f t="shared" si="1908"/>
        <v>0</v>
      </c>
      <c r="DR513" s="161">
        <f t="shared" si="1909"/>
        <v>0</v>
      </c>
      <c r="DS513" s="161">
        <f t="shared" si="1910"/>
        <v>0</v>
      </c>
      <c r="DT513" s="161">
        <f t="shared" si="1911"/>
        <v>0</v>
      </c>
      <c r="DU513" s="161">
        <f t="shared" si="1912"/>
        <v>0</v>
      </c>
      <c r="DV513" s="161">
        <f t="shared" si="1913"/>
        <v>0</v>
      </c>
      <c r="DW513" s="161">
        <f t="shared" si="1914"/>
        <v>0</v>
      </c>
      <c r="DX513" s="161">
        <f t="shared" si="1915"/>
        <v>0</v>
      </c>
      <c r="DY513" s="161">
        <f t="shared" si="1916"/>
        <v>0</v>
      </c>
      <c r="DZ513" s="161">
        <f t="shared" si="1917"/>
        <v>0</v>
      </c>
      <c r="EA513" s="161">
        <f t="shared" si="1918"/>
        <v>0</v>
      </c>
      <c r="EB513" s="161">
        <f t="shared" si="1919"/>
        <v>0</v>
      </c>
      <c r="EC513" s="161">
        <f t="shared" si="1920"/>
        <v>0</v>
      </c>
      <c r="ED513" s="161">
        <f t="shared" si="1921"/>
        <v>0</v>
      </c>
      <c r="EE513" s="161">
        <f t="shared" si="1922"/>
        <v>0</v>
      </c>
      <c r="EF513" s="161">
        <f t="shared" si="1923"/>
        <v>0</v>
      </c>
      <c r="EG513" s="161">
        <f t="shared" si="1924"/>
        <v>0</v>
      </c>
      <c r="EH513" s="161">
        <f t="shared" si="1925"/>
        <v>0</v>
      </c>
      <c r="EI513" s="161">
        <f t="shared" si="1926"/>
        <v>0</v>
      </c>
      <c r="EJ513" s="65"/>
      <c r="EK513" s="161">
        <f t="shared" si="1997"/>
        <v>0</v>
      </c>
      <c r="EL513" s="161">
        <f t="shared" si="1998"/>
        <v>0</v>
      </c>
      <c r="EM513" s="161">
        <f t="shared" si="1999"/>
        <v>0</v>
      </c>
    </row>
    <row r="514" spans="1:143" ht="12" hidden="1" customHeight="1" outlineLevel="2">
      <c r="A514" s="77">
        <v>14</v>
      </c>
      <c r="B514" s="137" t="str">
        <f t="shared" si="1927"/>
        <v>TEC II - Equipe_01</v>
      </c>
      <c r="C514" s="65"/>
      <c r="D514" s="622"/>
      <c r="E514" s="65"/>
      <c r="F514" s="584"/>
      <c r="G514" s="77" t="str">
        <f>IF(INDEX(Tarefas!$BT$30:$FK$30,MATCH(A514,Tarefas!$BT$28:$FK$28,0))=0,"",INDEX(Tarefas!$BT$30:$FK$30,MATCH(A514,Tarefas!$BT$28:$FK$28,0)))</f>
        <v>TEC II</v>
      </c>
      <c r="H514" s="107" cm="1">
        <f t="array" ref="H514">IFERROR((SUMPRODUCT((Tarefas!$N$32:$N$54='Cronog. e Histog.'!$F$501)*(Tarefas!$BQ$30:$FK$30='Cronog. e Histog.'!$G514)*(Tarefas!$BQ$32:$FK$54)))/SUMIF(Tarefas!$N$32:$N$54,'Cronog. e Histog.'!$F$501,Tarefas!$K$32:$K$54),0)</f>
        <v>0</v>
      </c>
      <c r="I514" s="79">
        <f t="shared" si="1928"/>
        <v>0</v>
      </c>
      <c r="J514" s="65"/>
      <c r="K514" s="160">
        <f t="shared" si="2000"/>
        <v>0</v>
      </c>
      <c r="L514" s="160">
        <f t="shared" si="1862"/>
        <v>0</v>
      </c>
      <c r="M514" s="160">
        <f t="shared" si="1862"/>
        <v>0</v>
      </c>
      <c r="N514" s="160">
        <f t="shared" si="1862"/>
        <v>0</v>
      </c>
      <c r="O514" s="160">
        <f t="shared" si="1862"/>
        <v>0</v>
      </c>
      <c r="P514" s="160">
        <f t="shared" si="1862"/>
        <v>0</v>
      </c>
      <c r="Q514" s="160">
        <f t="shared" si="1862"/>
        <v>0</v>
      </c>
      <c r="R514" s="160">
        <f t="shared" si="1862"/>
        <v>0</v>
      </c>
      <c r="S514" s="160">
        <f t="shared" si="1862"/>
        <v>0</v>
      </c>
      <c r="T514" s="160">
        <f t="shared" si="1862"/>
        <v>0</v>
      </c>
      <c r="U514" s="160">
        <f t="shared" si="1862"/>
        <v>0</v>
      </c>
      <c r="V514" s="160">
        <f t="shared" si="1862"/>
        <v>0</v>
      </c>
      <c r="W514" s="160">
        <f t="shared" si="1862"/>
        <v>0</v>
      </c>
      <c r="X514" s="160">
        <f t="shared" si="1862"/>
        <v>0</v>
      </c>
      <c r="Y514" s="160">
        <f t="shared" si="1862"/>
        <v>0</v>
      </c>
      <c r="Z514" s="160">
        <f t="shared" si="1862"/>
        <v>0</v>
      </c>
      <c r="AA514" s="160">
        <f t="shared" si="1862"/>
        <v>0</v>
      </c>
      <c r="AB514" s="160">
        <f t="shared" si="1862"/>
        <v>0</v>
      </c>
      <c r="AC514" s="160">
        <f t="shared" si="1862"/>
        <v>0</v>
      </c>
      <c r="AD514" s="160">
        <f t="shared" si="1862"/>
        <v>0</v>
      </c>
      <c r="AE514" s="160">
        <f t="shared" si="1862"/>
        <v>0</v>
      </c>
      <c r="AF514" s="160">
        <f t="shared" si="1862"/>
        <v>0</v>
      </c>
      <c r="AG514" s="160">
        <f t="shared" si="1862"/>
        <v>0</v>
      </c>
      <c r="AH514" s="160">
        <f t="shared" si="1862"/>
        <v>0</v>
      </c>
      <c r="AI514" s="160">
        <f t="shared" si="1862"/>
        <v>0</v>
      </c>
      <c r="AJ514" s="160">
        <f t="shared" si="1862"/>
        <v>0</v>
      </c>
      <c r="AK514" s="160">
        <f t="shared" si="1862"/>
        <v>0</v>
      </c>
      <c r="AL514" s="160">
        <f t="shared" si="1862"/>
        <v>0</v>
      </c>
      <c r="AM514" s="160">
        <f t="shared" si="1862"/>
        <v>0</v>
      </c>
      <c r="AN514" s="160">
        <f t="shared" si="1862"/>
        <v>0</v>
      </c>
      <c r="AO514" s="160">
        <f t="shared" si="1862"/>
        <v>0</v>
      </c>
      <c r="AP514" s="160">
        <f t="shared" si="1862"/>
        <v>0</v>
      </c>
      <c r="AQ514" s="160">
        <f t="shared" si="1862"/>
        <v>0</v>
      </c>
      <c r="AR514" s="160">
        <f t="shared" si="1862"/>
        <v>0</v>
      </c>
      <c r="AS514" s="160">
        <f t="shared" si="1862"/>
        <v>0</v>
      </c>
      <c r="AT514" s="160">
        <f t="shared" si="1862"/>
        <v>0</v>
      </c>
      <c r="AU514" s="160">
        <f t="shared" si="1862"/>
        <v>0</v>
      </c>
      <c r="AV514" s="160">
        <f t="shared" si="1862"/>
        <v>0</v>
      </c>
      <c r="AW514" s="160">
        <f t="shared" si="1862"/>
        <v>0</v>
      </c>
      <c r="AX514" s="160">
        <f t="shared" si="1862"/>
        <v>0</v>
      </c>
      <c r="AY514" s="160">
        <f t="shared" si="1862"/>
        <v>0</v>
      </c>
      <c r="AZ514" s="160">
        <f t="shared" si="1862"/>
        <v>0</v>
      </c>
      <c r="BA514" s="160">
        <f t="shared" si="1862"/>
        <v>0</v>
      </c>
      <c r="BB514" s="160">
        <f t="shared" si="1862"/>
        <v>0</v>
      </c>
      <c r="BC514" s="160">
        <f t="shared" si="1862"/>
        <v>0</v>
      </c>
      <c r="BD514" s="160">
        <f t="shared" si="1862"/>
        <v>0</v>
      </c>
      <c r="BE514" s="160">
        <f t="shared" si="1862"/>
        <v>0</v>
      </c>
      <c r="BF514" s="160">
        <f t="shared" si="1862"/>
        <v>0</v>
      </c>
      <c r="BG514" s="160">
        <f t="shared" si="1862"/>
        <v>0</v>
      </c>
      <c r="BH514" s="160">
        <f t="shared" si="1862"/>
        <v>0</v>
      </c>
      <c r="BI514" s="160">
        <f t="shared" si="1862"/>
        <v>0</v>
      </c>
      <c r="BJ514" s="160">
        <f t="shared" si="1862"/>
        <v>0</v>
      </c>
      <c r="BK514" s="160">
        <f t="shared" si="1862"/>
        <v>0</v>
      </c>
      <c r="BL514" s="160">
        <f t="shared" si="1862"/>
        <v>0</v>
      </c>
      <c r="BM514" s="160">
        <f t="shared" si="1862"/>
        <v>0</v>
      </c>
      <c r="BN514" s="160">
        <f t="shared" si="1862"/>
        <v>0</v>
      </c>
      <c r="BO514" s="160">
        <f t="shared" si="1862"/>
        <v>0</v>
      </c>
      <c r="BP514" s="160">
        <f t="shared" si="1862"/>
        <v>0</v>
      </c>
      <c r="BQ514" s="160">
        <f t="shared" si="1862"/>
        <v>0</v>
      </c>
      <c r="BR514" s="160">
        <f t="shared" si="1862"/>
        <v>0</v>
      </c>
      <c r="BS514" s="65"/>
      <c r="BT514" s="160">
        <f t="shared" si="1863"/>
        <v>0</v>
      </c>
      <c r="BU514" s="160">
        <f t="shared" si="1864"/>
        <v>0</v>
      </c>
      <c r="BV514" s="65"/>
      <c r="BW514" s="69"/>
      <c r="BX514" s="65"/>
      <c r="BY514" s="137">
        <f t="shared" si="1865"/>
        <v>1</v>
      </c>
      <c r="BZ514" s="137">
        <f>IF(BY514&gt;0,BY514+LARGE($BZ$213:BZ513,1),0)</f>
        <v>254</v>
      </c>
      <c r="CA514" s="137" t="str">
        <f t="shared" si="1866"/>
        <v>TEC II</v>
      </c>
      <c r="CB514" s="161">
        <f t="shared" si="1867"/>
        <v>0</v>
      </c>
      <c r="CC514" s="161">
        <f t="shared" si="1868"/>
        <v>0</v>
      </c>
      <c r="CD514" s="161">
        <f t="shared" si="1869"/>
        <v>0</v>
      </c>
      <c r="CE514" s="161">
        <f t="shared" si="1870"/>
        <v>0</v>
      </c>
      <c r="CF514" s="161">
        <f t="shared" si="1871"/>
        <v>0</v>
      </c>
      <c r="CG514" s="161">
        <f t="shared" si="1872"/>
        <v>0</v>
      </c>
      <c r="CH514" s="161">
        <f t="shared" si="1873"/>
        <v>0</v>
      </c>
      <c r="CI514" s="161">
        <f t="shared" si="1874"/>
        <v>0</v>
      </c>
      <c r="CJ514" s="161">
        <f t="shared" si="1875"/>
        <v>0</v>
      </c>
      <c r="CK514" s="161">
        <f t="shared" si="1876"/>
        <v>0</v>
      </c>
      <c r="CL514" s="161">
        <f t="shared" si="1877"/>
        <v>0</v>
      </c>
      <c r="CM514" s="161">
        <f t="shared" si="1878"/>
        <v>0</v>
      </c>
      <c r="CN514" s="161">
        <f t="shared" si="1879"/>
        <v>0</v>
      </c>
      <c r="CO514" s="161">
        <f t="shared" si="1880"/>
        <v>0</v>
      </c>
      <c r="CP514" s="161">
        <f t="shared" si="1881"/>
        <v>0</v>
      </c>
      <c r="CQ514" s="161">
        <f t="shared" si="1882"/>
        <v>0</v>
      </c>
      <c r="CR514" s="161">
        <f t="shared" si="1883"/>
        <v>0</v>
      </c>
      <c r="CS514" s="161">
        <f t="shared" si="1884"/>
        <v>0</v>
      </c>
      <c r="CT514" s="161">
        <f t="shared" si="1885"/>
        <v>0</v>
      </c>
      <c r="CU514" s="161">
        <f t="shared" si="1886"/>
        <v>0</v>
      </c>
      <c r="CV514" s="161">
        <f t="shared" si="1887"/>
        <v>0</v>
      </c>
      <c r="CW514" s="161">
        <f t="shared" si="1888"/>
        <v>0</v>
      </c>
      <c r="CX514" s="161">
        <f t="shared" si="1889"/>
        <v>0</v>
      </c>
      <c r="CY514" s="161">
        <f t="shared" si="1890"/>
        <v>0</v>
      </c>
      <c r="CZ514" s="161">
        <f t="shared" si="1891"/>
        <v>0</v>
      </c>
      <c r="DA514" s="161">
        <f t="shared" si="1892"/>
        <v>0</v>
      </c>
      <c r="DB514" s="161">
        <f t="shared" si="1893"/>
        <v>0</v>
      </c>
      <c r="DC514" s="161">
        <f t="shared" si="1894"/>
        <v>0</v>
      </c>
      <c r="DD514" s="161">
        <f t="shared" si="1895"/>
        <v>0</v>
      </c>
      <c r="DE514" s="161">
        <f t="shared" si="1896"/>
        <v>0</v>
      </c>
      <c r="DF514" s="161">
        <f t="shared" si="1897"/>
        <v>0</v>
      </c>
      <c r="DG514" s="161">
        <f t="shared" si="1898"/>
        <v>0</v>
      </c>
      <c r="DH514" s="161">
        <f t="shared" si="1899"/>
        <v>0</v>
      </c>
      <c r="DI514" s="161">
        <f t="shared" si="1900"/>
        <v>0</v>
      </c>
      <c r="DJ514" s="161">
        <f t="shared" si="1901"/>
        <v>0</v>
      </c>
      <c r="DK514" s="161">
        <f t="shared" si="1902"/>
        <v>0</v>
      </c>
      <c r="DL514" s="161">
        <f t="shared" si="1903"/>
        <v>0</v>
      </c>
      <c r="DM514" s="161">
        <f t="shared" si="1904"/>
        <v>0</v>
      </c>
      <c r="DN514" s="161">
        <f t="shared" si="1905"/>
        <v>0</v>
      </c>
      <c r="DO514" s="161">
        <f t="shared" si="1906"/>
        <v>0</v>
      </c>
      <c r="DP514" s="161">
        <f t="shared" si="1907"/>
        <v>0</v>
      </c>
      <c r="DQ514" s="161">
        <f t="shared" si="1908"/>
        <v>0</v>
      </c>
      <c r="DR514" s="161">
        <f t="shared" si="1909"/>
        <v>0</v>
      </c>
      <c r="DS514" s="161">
        <f t="shared" si="1910"/>
        <v>0</v>
      </c>
      <c r="DT514" s="161">
        <f t="shared" si="1911"/>
        <v>0</v>
      </c>
      <c r="DU514" s="161">
        <f t="shared" si="1912"/>
        <v>0</v>
      </c>
      <c r="DV514" s="161">
        <f t="shared" si="1913"/>
        <v>0</v>
      </c>
      <c r="DW514" s="161">
        <f t="shared" si="1914"/>
        <v>0</v>
      </c>
      <c r="DX514" s="161">
        <f t="shared" si="1915"/>
        <v>0</v>
      </c>
      <c r="DY514" s="161">
        <f t="shared" si="1916"/>
        <v>0</v>
      </c>
      <c r="DZ514" s="161">
        <f t="shared" si="1917"/>
        <v>0</v>
      </c>
      <c r="EA514" s="161">
        <f t="shared" si="1918"/>
        <v>0</v>
      </c>
      <c r="EB514" s="161">
        <f t="shared" si="1919"/>
        <v>0</v>
      </c>
      <c r="EC514" s="161">
        <f t="shared" si="1920"/>
        <v>0</v>
      </c>
      <c r="ED514" s="161">
        <f t="shared" si="1921"/>
        <v>0</v>
      </c>
      <c r="EE514" s="161">
        <f t="shared" si="1922"/>
        <v>0</v>
      </c>
      <c r="EF514" s="161">
        <f t="shared" si="1923"/>
        <v>0</v>
      </c>
      <c r="EG514" s="161">
        <f t="shared" si="1924"/>
        <v>0</v>
      </c>
      <c r="EH514" s="161">
        <f t="shared" si="1925"/>
        <v>0</v>
      </c>
      <c r="EI514" s="161">
        <f t="shared" si="1926"/>
        <v>0</v>
      </c>
      <c r="EJ514" s="65"/>
      <c r="EK514" s="161">
        <f t="shared" si="1997"/>
        <v>0</v>
      </c>
      <c r="EL514" s="161">
        <f t="shared" si="1998"/>
        <v>0</v>
      </c>
      <c r="EM514" s="161">
        <f t="shared" si="1999"/>
        <v>0</v>
      </c>
    </row>
    <row r="515" spans="1:143" ht="12" hidden="1" customHeight="1" outlineLevel="2">
      <c r="A515" s="77">
        <v>15</v>
      </c>
      <c r="B515" s="137" t="str">
        <f t="shared" si="1927"/>
        <v>TEC I - Equipe_01</v>
      </c>
      <c r="C515" s="65"/>
      <c r="D515" s="622"/>
      <c r="E515" s="65"/>
      <c r="F515" s="584"/>
      <c r="G515" s="77" t="str">
        <f>IF(INDEX(Tarefas!$BT$30:$FK$30,MATCH(A515,Tarefas!$BT$28:$FK$28,0))=0,"",INDEX(Tarefas!$BT$30:$FK$30,MATCH(A515,Tarefas!$BT$28:$FK$28,0)))</f>
        <v>TEC I</v>
      </c>
      <c r="H515" s="107" cm="1">
        <f t="array" ref="H515">IFERROR((SUMPRODUCT((Tarefas!$N$32:$N$54='Cronog. e Histog.'!$F$501)*(Tarefas!$BQ$30:$FK$30='Cronog. e Histog.'!$G515)*(Tarefas!$BQ$32:$FK$54)))/SUMIF(Tarefas!$N$32:$N$54,'Cronog. e Histog.'!$F$501,Tarefas!$K$32:$K$54),0)</f>
        <v>0</v>
      </c>
      <c r="I515" s="79">
        <f t="shared" si="1928"/>
        <v>0</v>
      </c>
      <c r="J515" s="65"/>
      <c r="K515" s="160">
        <f t="shared" si="2000"/>
        <v>0</v>
      </c>
      <c r="L515" s="160">
        <f t="shared" si="1862"/>
        <v>0</v>
      </c>
      <c r="M515" s="160">
        <f t="shared" si="1862"/>
        <v>0</v>
      </c>
      <c r="N515" s="160">
        <f t="shared" si="1862"/>
        <v>0</v>
      </c>
      <c r="O515" s="160">
        <f t="shared" si="1862"/>
        <v>0</v>
      </c>
      <c r="P515" s="160">
        <f t="shared" si="1862"/>
        <v>0</v>
      </c>
      <c r="Q515" s="160">
        <f t="shared" si="1862"/>
        <v>0</v>
      </c>
      <c r="R515" s="160">
        <f t="shared" si="1862"/>
        <v>0</v>
      </c>
      <c r="S515" s="160">
        <f t="shared" si="1862"/>
        <v>0</v>
      </c>
      <c r="T515" s="160">
        <f t="shared" si="1862"/>
        <v>0</v>
      </c>
      <c r="U515" s="160">
        <f t="shared" si="1862"/>
        <v>0</v>
      </c>
      <c r="V515" s="160">
        <f t="shared" si="1862"/>
        <v>0</v>
      </c>
      <c r="W515" s="160">
        <f t="shared" si="1862"/>
        <v>0</v>
      </c>
      <c r="X515" s="160">
        <f t="shared" si="1862"/>
        <v>0</v>
      </c>
      <c r="Y515" s="160">
        <f t="shared" si="1862"/>
        <v>0</v>
      </c>
      <c r="Z515" s="160">
        <f t="shared" si="1862"/>
        <v>0</v>
      </c>
      <c r="AA515" s="160">
        <f t="shared" si="1862"/>
        <v>0</v>
      </c>
      <c r="AB515" s="160">
        <f t="shared" si="1862"/>
        <v>0</v>
      </c>
      <c r="AC515" s="160">
        <f t="shared" si="1862"/>
        <v>0</v>
      </c>
      <c r="AD515" s="160">
        <f t="shared" si="1862"/>
        <v>0</v>
      </c>
      <c r="AE515" s="160">
        <f t="shared" si="1862"/>
        <v>0</v>
      </c>
      <c r="AF515" s="160">
        <f t="shared" si="1862"/>
        <v>0</v>
      </c>
      <c r="AG515" s="160">
        <f t="shared" si="1862"/>
        <v>0</v>
      </c>
      <c r="AH515" s="160">
        <f t="shared" si="1862"/>
        <v>0</v>
      </c>
      <c r="AI515" s="160">
        <f t="shared" si="1862"/>
        <v>0</v>
      </c>
      <c r="AJ515" s="160">
        <f t="shared" si="1862"/>
        <v>0</v>
      </c>
      <c r="AK515" s="160">
        <f t="shared" si="1862"/>
        <v>0</v>
      </c>
      <c r="AL515" s="160">
        <f t="shared" si="1862"/>
        <v>0</v>
      </c>
      <c r="AM515" s="160">
        <f t="shared" si="1862"/>
        <v>0</v>
      </c>
      <c r="AN515" s="160">
        <f t="shared" si="1862"/>
        <v>0</v>
      </c>
      <c r="AO515" s="160">
        <f t="shared" si="1862"/>
        <v>0</v>
      </c>
      <c r="AP515" s="160">
        <f t="shared" si="1862"/>
        <v>0</v>
      </c>
      <c r="AQ515" s="160">
        <f t="shared" si="1862"/>
        <v>0</v>
      </c>
      <c r="AR515" s="160">
        <f t="shared" si="1862"/>
        <v>0</v>
      </c>
      <c r="AS515" s="160">
        <f t="shared" si="1862"/>
        <v>0</v>
      </c>
      <c r="AT515" s="160">
        <f t="shared" ref="L515:BR519" si="2001">ROUND($I515*AT$195,2)</f>
        <v>0</v>
      </c>
      <c r="AU515" s="160">
        <f t="shared" si="2001"/>
        <v>0</v>
      </c>
      <c r="AV515" s="160">
        <f t="shared" si="2001"/>
        <v>0</v>
      </c>
      <c r="AW515" s="160">
        <f t="shared" si="2001"/>
        <v>0</v>
      </c>
      <c r="AX515" s="160">
        <f t="shared" si="2001"/>
        <v>0</v>
      </c>
      <c r="AY515" s="160">
        <f t="shared" si="2001"/>
        <v>0</v>
      </c>
      <c r="AZ515" s="160">
        <f t="shared" si="2001"/>
        <v>0</v>
      </c>
      <c r="BA515" s="160">
        <f t="shared" si="2001"/>
        <v>0</v>
      </c>
      <c r="BB515" s="160">
        <f t="shared" si="2001"/>
        <v>0</v>
      </c>
      <c r="BC515" s="160">
        <f t="shared" si="2001"/>
        <v>0</v>
      </c>
      <c r="BD515" s="160">
        <f t="shared" si="2001"/>
        <v>0</v>
      </c>
      <c r="BE515" s="160">
        <f t="shared" si="2001"/>
        <v>0</v>
      </c>
      <c r="BF515" s="160">
        <f t="shared" si="2001"/>
        <v>0</v>
      </c>
      <c r="BG515" s="160">
        <f t="shared" si="2001"/>
        <v>0</v>
      </c>
      <c r="BH515" s="160">
        <f t="shared" si="2001"/>
        <v>0</v>
      </c>
      <c r="BI515" s="160">
        <f t="shared" si="2001"/>
        <v>0</v>
      </c>
      <c r="BJ515" s="160">
        <f t="shared" si="2001"/>
        <v>0</v>
      </c>
      <c r="BK515" s="160">
        <f t="shared" si="2001"/>
        <v>0</v>
      </c>
      <c r="BL515" s="160">
        <f t="shared" si="2001"/>
        <v>0</v>
      </c>
      <c r="BM515" s="160">
        <f t="shared" si="2001"/>
        <v>0</v>
      </c>
      <c r="BN515" s="160">
        <f t="shared" si="2001"/>
        <v>0</v>
      </c>
      <c r="BO515" s="160">
        <f t="shared" si="2001"/>
        <v>0</v>
      </c>
      <c r="BP515" s="160">
        <f t="shared" si="2001"/>
        <v>0</v>
      </c>
      <c r="BQ515" s="160">
        <f t="shared" si="2001"/>
        <v>0</v>
      </c>
      <c r="BR515" s="160">
        <f t="shared" si="2001"/>
        <v>0</v>
      </c>
      <c r="BS515" s="65"/>
      <c r="BT515" s="160">
        <f t="shared" si="1863"/>
        <v>0</v>
      </c>
      <c r="BU515" s="160">
        <f t="shared" si="1864"/>
        <v>0</v>
      </c>
      <c r="BV515" s="65"/>
      <c r="BW515" s="69"/>
      <c r="BX515" s="65"/>
      <c r="BY515" s="137">
        <f t="shared" si="1865"/>
        <v>1</v>
      </c>
      <c r="BZ515" s="137">
        <f>IF(BY515&gt;0,BY515+LARGE($BZ$213:BZ514,1),0)</f>
        <v>255</v>
      </c>
      <c r="CA515" s="137" t="str">
        <f t="shared" si="1866"/>
        <v>TEC I</v>
      </c>
      <c r="CB515" s="161">
        <f t="shared" si="1867"/>
        <v>0</v>
      </c>
      <c r="CC515" s="161">
        <f t="shared" si="1868"/>
        <v>0</v>
      </c>
      <c r="CD515" s="161">
        <f t="shared" si="1869"/>
        <v>0</v>
      </c>
      <c r="CE515" s="161">
        <f t="shared" si="1870"/>
        <v>0</v>
      </c>
      <c r="CF515" s="161">
        <f t="shared" si="1871"/>
        <v>0</v>
      </c>
      <c r="CG515" s="161">
        <f t="shared" si="1872"/>
        <v>0</v>
      </c>
      <c r="CH515" s="161">
        <f t="shared" si="1873"/>
        <v>0</v>
      </c>
      <c r="CI515" s="161">
        <f t="shared" si="1874"/>
        <v>0</v>
      </c>
      <c r="CJ515" s="161">
        <f t="shared" si="1875"/>
        <v>0</v>
      </c>
      <c r="CK515" s="161">
        <f t="shared" si="1876"/>
        <v>0</v>
      </c>
      <c r="CL515" s="161">
        <f t="shared" si="1877"/>
        <v>0</v>
      </c>
      <c r="CM515" s="161">
        <f t="shared" si="1878"/>
        <v>0</v>
      </c>
      <c r="CN515" s="161">
        <f t="shared" si="1879"/>
        <v>0</v>
      </c>
      <c r="CO515" s="161">
        <f t="shared" si="1880"/>
        <v>0</v>
      </c>
      <c r="CP515" s="161">
        <f t="shared" si="1881"/>
        <v>0</v>
      </c>
      <c r="CQ515" s="161">
        <f t="shared" si="1882"/>
        <v>0</v>
      </c>
      <c r="CR515" s="161">
        <f t="shared" si="1883"/>
        <v>0</v>
      </c>
      <c r="CS515" s="161">
        <f t="shared" si="1884"/>
        <v>0</v>
      </c>
      <c r="CT515" s="161">
        <f t="shared" si="1885"/>
        <v>0</v>
      </c>
      <c r="CU515" s="161">
        <f t="shared" si="1886"/>
        <v>0</v>
      </c>
      <c r="CV515" s="161">
        <f t="shared" si="1887"/>
        <v>0</v>
      </c>
      <c r="CW515" s="161">
        <f t="shared" si="1888"/>
        <v>0</v>
      </c>
      <c r="CX515" s="161">
        <f t="shared" si="1889"/>
        <v>0</v>
      </c>
      <c r="CY515" s="161">
        <f t="shared" si="1890"/>
        <v>0</v>
      </c>
      <c r="CZ515" s="161">
        <f t="shared" si="1891"/>
        <v>0</v>
      </c>
      <c r="DA515" s="161">
        <f t="shared" si="1892"/>
        <v>0</v>
      </c>
      <c r="DB515" s="161">
        <f t="shared" si="1893"/>
        <v>0</v>
      </c>
      <c r="DC515" s="161">
        <f t="shared" si="1894"/>
        <v>0</v>
      </c>
      <c r="DD515" s="161">
        <f t="shared" si="1895"/>
        <v>0</v>
      </c>
      <c r="DE515" s="161">
        <f t="shared" si="1896"/>
        <v>0</v>
      </c>
      <c r="DF515" s="161">
        <f t="shared" si="1897"/>
        <v>0</v>
      </c>
      <c r="DG515" s="161">
        <f t="shared" si="1898"/>
        <v>0</v>
      </c>
      <c r="DH515" s="161">
        <f t="shared" si="1899"/>
        <v>0</v>
      </c>
      <c r="DI515" s="161">
        <f t="shared" si="1900"/>
        <v>0</v>
      </c>
      <c r="DJ515" s="161">
        <f t="shared" si="1901"/>
        <v>0</v>
      </c>
      <c r="DK515" s="161">
        <f t="shared" si="1902"/>
        <v>0</v>
      </c>
      <c r="DL515" s="161">
        <f t="shared" si="1903"/>
        <v>0</v>
      </c>
      <c r="DM515" s="161">
        <f t="shared" si="1904"/>
        <v>0</v>
      </c>
      <c r="DN515" s="161">
        <f t="shared" si="1905"/>
        <v>0</v>
      </c>
      <c r="DO515" s="161">
        <f t="shared" si="1906"/>
        <v>0</v>
      </c>
      <c r="DP515" s="161">
        <f t="shared" si="1907"/>
        <v>0</v>
      </c>
      <c r="DQ515" s="161">
        <f t="shared" si="1908"/>
        <v>0</v>
      </c>
      <c r="DR515" s="161">
        <f t="shared" si="1909"/>
        <v>0</v>
      </c>
      <c r="DS515" s="161">
        <f t="shared" si="1910"/>
        <v>0</v>
      </c>
      <c r="DT515" s="161">
        <f t="shared" si="1911"/>
        <v>0</v>
      </c>
      <c r="DU515" s="161">
        <f t="shared" si="1912"/>
        <v>0</v>
      </c>
      <c r="DV515" s="161">
        <f t="shared" si="1913"/>
        <v>0</v>
      </c>
      <c r="DW515" s="161">
        <f t="shared" si="1914"/>
        <v>0</v>
      </c>
      <c r="DX515" s="161">
        <f t="shared" si="1915"/>
        <v>0</v>
      </c>
      <c r="DY515" s="161">
        <f t="shared" si="1916"/>
        <v>0</v>
      </c>
      <c r="DZ515" s="161">
        <f t="shared" si="1917"/>
        <v>0</v>
      </c>
      <c r="EA515" s="161">
        <f t="shared" si="1918"/>
        <v>0</v>
      </c>
      <c r="EB515" s="161">
        <f t="shared" si="1919"/>
        <v>0</v>
      </c>
      <c r="EC515" s="161">
        <f t="shared" si="1920"/>
        <v>0</v>
      </c>
      <c r="ED515" s="161">
        <f t="shared" si="1921"/>
        <v>0</v>
      </c>
      <c r="EE515" s="161">
        <f t="shared" si="1922"/>
        <v>0</v>
      </c>
      <c r="EF515" s="161">
        <f t="shared" si="1923"/>
        <v>0</v>
      </c>
      <c r="EG515" s="161">
        <f t="shared" si="1924"/>
        <v>0</v>
      </c>
      <c r="EH515" s="161">
        <f t="shared" si="1925"/>
        <v>0</v>
      </c>
      <c r="EI515" s="161">
        <f t="shared" si="1926"/>
        <v>0</v>
      </c>
      <c r="EJ515" s="65"/>
      <c r="EK515" s="161">
        <f t="shared" si="1997"/>
        <v>0</v>
      </c>
      <c r="EL515" s="161">
        <f t="shared" si="1998"/>
        <v>0</v>
      </c>
      <c r="EM515" s="161">
        <f t="shared" si="1999"/>
        <v>0</v>
      </c>
    </row>
    <row r="516" spans="1:143" ht="12" hidden="1" customHeight="1" outlineLevel="2">
      <c r="A516" s="77">
        <v>16</v>
      </c>
      <c r="B516" s="137" t="str">
        <f t="shared" si="1927"/>
        <v>AUX TEC - Equipe_01</v>
      </c>
      <c r="C516" s="65"/>
      <c r="D516" s="622"/>
      <c r="E516" s="65"/>
      <c r="F516" s="584"/>
      <c r="G516" s="77" t="str">
        <f>IF(INDEX(Tarefas!$BT$30:$FK$30,MATCH(A516,Tarefas!$BT$28:$FK$28,0))=0,"",INDEX(Tarefas!$BT$30:$FK$30,MATCH(A516,Tarefas!$BT$28:$FK$28,0)))</f>
        <v>AUX TEC</v>
      </c>
      <c r="H516" s="107" cm="1">
        <f t="array" ref="H516">IFERROR((SUMPRODUCT((Tarefas!$N$32:$N$54='Cronog. e Histog.'!$F$501)*(Tarefas!$BQ$30:$FK$30='Cronog. e Histog.'!$G516)*(Tarefas!$BQ$32:$FK$54)))/SUMIF(Tarefas!$N$32:$N$54,'Cronog. e Histog.'!$F$501,Tarefas!$K$32:$K$54),0)</f>
        <v>0</v>
      </c>
      <c r="I516" s="79">
        <f t="shared" si="1928"/>
        <v>0</v>
      </c>
      <c r="J516" s="65"/>
      <c r="K516" s="160">
        <f t="shared" si="2000"/>
        <v>0</v>
      </c>
      <c r="L516" s="160">
        <f t="shared" si="2001"/>
        <v>0</v>
      </c>
      <c r="M516" s="160">
        <f t="shared" si="2001"/>
        <v>0</v>
      </c>
      <c r="N516" s="160">
        <f t="shared" si="2001"/>
        <v>0</v>
      </c>
      <c r="O516" s="160">
        <f t="shared" si="2001"/>
        <v>0</v>
      </c>
      <c r="P516" s="160">
        <f t="shared" si="2001"/>
        <v>0</v>
      </c>
      <c r="Q516" s="160">
        <f t="shared" si="2001"/>
        <v>0</v>
      </c>
      <c r="R516" s="160">
        <f t="shared" si="2001"/>
        <v>0</v>
      </c>
      <c r="S516" s="160">
        <f t="shared" si="2001"/>
        <v>0</v>
      </c>
      <c r="T516" s="160">
        <f t="shared" si="2001"/>
        <v>0</v>
      </c>
      <c r="U516" s="160">
        <f t="shared" si="2001"/>
        <v>0</v>
      </c>
      <c r="V516" s="160">
        <f t="shared" si="2001"/>
        <v>0</v>
      </c>
      <c r="W516" s="160">
        <f t="shared" si="2001"/>
        <v>0</v>
      </c>
      <c r="X516" s="160">
        <f t="shared" si="2001"/>
        <v>0</v>
      </c>
      <c r="Y516" s="160">
        <f t="shared" si="2001"/>
        <v>0</v>
      </c>
      <c r="Z516" s="160">
        <f t="shared" si="2001"/>
        <v>0</v>
      </c>
      <c r="AA516" s="160">
        <f t="shared" si="2001"/>
        <v>0</v>
      </c>
      <c r="AB516" s="160">
        <f t="shared" si="2001"/>
        <v>0</v>
      </c>
      <c r="AC516" s="160">
        <f t="shared" si="2001"/>
        <v>0</v>
      </c>
      <c r="AD516" s="160">
        <f t="shared" si="2001"/>
        <v>0</v>
      </c>
      <c r="AE516" s="160">
        <f t="shared" si="2001"/>
        <v>0</v>
      </c>
      <c r="AF516" s="160">
        <f t="shared" si="2001"/>
        <v>0</v>
      </c>
      <c r="AG516" s="160">
        <f t="shared" si="2001"/>
        <v>0</v>
      </c>
      <c r="AH516" s="160">
        <f t="shared" si="2001"/>
        <v>0</v>
      </c>
      <c r="AI516" s="160">
        <f t="shared" si="2001"/>
        <v>0</v>
      </c>
      <c r="AJ516" s="160">
        <f t="shared" si="2001"/>
        <v>0</v>
      </c>
      <c r="AK516" s="160">
        <f t="shared" si="2001"/>
        <v>0</v>
      </c>
      <c r="AL516" s="160">
        <f t="shared" si="2001"/>
        <v>0</v>
      </c>
      <c r="AM516" s="160">
        <f t="shared" si="2001"/>
        <v>0</v>
      </c>
      <c r="AN516" s="160">
        <f t="shared" si="2001"/>
        <v>0</v>
      </c>
      <c r="AO516" s="160">
        <f t="shared" si="2001"/>
        <v>0</v>
      </c>
      <c r="AP516" s="160">
        <f t="shared" si="2001"/>
        <v>0</v>
      </c>
      <c r="AQ516" s="160">
        <f t="shared" si="2001"/>
        <v>0</v>
      </c>
      <c r="AR516" s="160">
        <f t="shared" si="2001"/>
        <v>0</v>
      </c>
      <c r="AS516" s="160">
        <f t="shared" si="2001"/>
        <v>0</v>
      </c>
      <c r="AT516" s="160">
        <f t="shared" si="2001"/>
        <v>0</v>
      </c>
      <c r="AU516" s="160">
        <f t="shared" si="2001"/>
        <v>0</v>
      </c>
      <c r="AV516" s="160">
        <f t="shared" si="2001"/>
        <v>0</v>
      </c>
      <c r="AW516" s="160">
        <f t="shared" si="2001"/>
        <v>0</v>
      </c>
      <c r="AX516" s="160">
        <f t="shared" si="2001"/>
        <v>0</v>
      </c>
      <c r="AY516" s="160">
        <f t="shared" si="2001"/>
        <v>0</v>
      </c>
      <c r="AZ516" s="160">
        <f t="shared" si="2001"/>
        <v>0</v>
      </c>
      <c r="BA516" s="160">
        <f t="shared" si="2001"/>
        <v>0</v>
      </c>
      <c r="BB516" s="160">
        <f t="shared" si="2001"/>
        <v>0</v>
      </c>
      <c r="BC516" s="160">
        <f t="shared" si="2001"/>
        <v>0</v>
      </c>
      <c r="BD516" s="160">
        <f t="shared" si="2001"/>
        <v>0</v>
      </c>
      <c r="BE516" s="160">
        <f t="shared" si="2001"/>
        <v>0</v>
      </c>
      <c r="BF516" s="160">
        <f t="shared" si="2001"/>
        <v>0</v>
      </c>
      <c r="BG516" s="160">
        <f t="shared" si="2001"/>
        <v>0</v>
      </c>
      <c r="BH516" s="160">
        <f t="shared" si="2001"/>
        <v>0</v>
      </c>
      <c r="BI516" s="160">
        <f t="shared" si="2001"/>
        <v>0</v>
      </c>
      <c r="BJ516" s="160">
        <f t="shared" si="2001"/>
        <v>0</v>
      </c>
      <c r="BK516" s="160">
        <f t="shared" si="2001"/>
        <v>0</v>
      </c>
      <c r="BL516" s="160">
        <f t="shared" si="2001"/>
        <v>0</v>
      </c>
      <c r="BM516" s="160">
        <f t="shared" si="2001"/>
        <v>0</v>
      </c>
      <c r="BN516" s="160">
        <f t="shared" si="2001"/>
        <v>0</v>
      </c>
      <c r="BO516" s="160">
        <f t="shared" si="2001"/>
        <v>0</v>
      </c>
      <c r="BP516" s="160">
        <f t="shared" si="2001"/>
        <v>0</v>
      </c>
      <c r="BQ516" s="160">
        <f t="shared" si="2001"/>
        <v>0</v>
      </c>
      <c r="BR516" s="160">
        <f t="shared" si="2001"/>
        <v>0</v>
      </c>
      <c r="BS516" s="65"/>
      <c r="BT516" s="160">
        <f t="shared" si="1863"/>
        <v>0</v>
      </c>
      <c r="BU516" s="160">
        <f t="shared" si="1864"/>
        <v>0</v>
      </c>
      <c r="BV516" s="65"/>
      <c r="BW516" s="69"/>
      <c r="BX516" s="65"/>
      <c r="BY516" s="137">
        <f t="shared" si="1865"/>
        <v>1</v>
      </c>
      <c r="BZ516" s="137">
        <f>IF(BY516&gt;0,BY516+LARGE($BZ$213:BZ515,1),0)</f>
        <v>256</v>
      </c>
      <c r="CA516" s="137" t="str">
        <f t="shared" si="1866"/>
        <v>AUX TEC</v>
      </c>
      <c r="CB516" s="161">
        <f t="shared" si="1867"/>
        <v>0</v>
      </c>
      <c r="CC516" s="161">
        <f t="shared" si="1868"/>
        <v>0</v>
      </c>
      <c r="CD516" s="161">
        <f t="shared" si="1869"/>
        <v>0</v>
      </c>
      <c r="CE516" s="161">
        <f t="shared" si="1870"/>
        <v>0</v>
      </c>
      <c r="CF516" s="161">
        <f t="shared" si="1871"/>
        <v>0</v>
      </c>
      <c r="CG516" s="161">
        <f t="shared" si="1872"/>
        <v>0</v>
      </c>
      <c r="CH516" s="161">
        <f t="shared" si="1873"/>
        <v>0</v>
      </c>
      <c r="CI516" s="161">
        <f t="shared" si="1874"/>
        <v>0</v>
      </c>
      <c r="CJ516" s="161">
        <f t="shared" si="1875"/>
        <v>0</v>
      </c>
      <c r="CK516" s="161">
        <f t="shared" si="1876"/>
        <v>0</v>
      </c>
      <c r="CL516" s="161">
        <f t="shared" si="1877"/>
        <v>0</v>
      </c>
      <c r="CM516" s="161">
        <f t="shared" si="1878"/>
        <v>0</v>
      </c>
      <c r="CN516" s="161">
        <f t="shared" si="1879"/>
        <v>0</v>
      </c>
      <c r="CO516" s="161">
        <f t="shared" si="1880"/>
        <v>0</v>
      </c>
      <c r="CP516" s="161">
        <f t="shared" si="1881"/>
        <v>0</v>
      </c>
      <c r="CQ516" s="161">
        <f t="shared" si="1882"/>
        <v>0</v>
      </c>
      <c r="CR516" s="161">
        <f t="shared" si="1883"/>
        <v>0</v>
      </c>
      <c r="CS516" s="161">
        <f t="shared" si="1884"/>
        <v>0</v>
      </c>
      <c r="CT516" s="161">
        <f t="shared" si="1885"/>
        <v>0</v>
      </c>
      <c r="CU516" s="161">
        <f t="shared" si="1886"/>
        <v>0</v>
      </c>
      <c r="CV516" s="161">
        <f t="shared" si="1887"/>
        <v>0</v>
      </c>
      <c r="CW516" s="161">
        <f t="shared" si="1888"/>
        <v>0</v>
      </c>
      <c r="CX516" s="161">
        <f t="shared" si="1889"/>
        <v>0</v>
      </c>
      <c r="CY516" s="161">
        <f t="shared" si="1890"/>
        <v>0</v>
      </c>
      <c r="CZ516" s="161">
        <f t="shared" si="1891"/>
        <v>0</v>
      </c>
      <c r="DA516" s="161">
        <f t="shared" si="1892"/>
        <v>0</v>
      </c>
      <c r="DB516" s="161">
        <f t="shared" si="1893"/>
        <v>0</v>
      </c>
      <c r="DC516" s="161">
        <f t="shared" si="1894"/>
        <v>0</v>
      </c>
      <c r="DD516" s="161">
        <f t="shared" si="1895"/>
        <v>0</v>
      </c>
      <c r="DE516" s="161">
        <f t="shared" si="1896"/>
        <v>0</v>
      </c>
      <c r="DF516" s="161">
        <f t="shared" si="1897"/>
        <v>0</v>
      </c>
      <c r="DG516" s="161">
        <f t="shared" si="1898"/>
        <v>0</v>
      </c>
      <c r="DH516" s="161">
        <f t="shared" si="1899"/>
        <v>0</v>
      </c>
      <c r="DI516" s="161">
        <f t="shared" si="1900"/>
        <v>0</v>
      </c>
      <c r="DJ516" s="161">
        <f t="shared" si="1901"/>
        <v>0</v>
      </c>
      <c r="DK516" s="161">
        <f t="shared" si="1902"/>
        <v>0</v>
      </c>
      <c r="DL516" s="161">
        <f t="shared" si="1903"/>
        <v>0</v>
      </c>
      <c r="DM516" s="161">
        <f t="shared" si="1904"/>
        <v>0</v>
      </c>
      <c r="DN516" s="161">
        <f t="shared" si="1905"/>
        <v>0</v>
      </c>
      <c r="DO516" s="161">
        <f t="shared" si="1906"/>
        <v>0</v>
      </c>
      <c r="DP516" s="161">
        <f t="shared" si="1907"/>
        <v>0</v>
      </c>
      <c r="DQ516" s="161">
        <f t="shared" si="1908"/>
        <v>0</v>
      </c>
      <c r="DR516" s="161">
        <f t="shared" si="1909"/>
        <v>0</v>
      </c>
      <c r="DS516" s="161">
        <f t="shared" si="1910"/>
        <v>0</v>
      </c>
      <c r="DT516" s="161">
        <f t="shared" si="1911"/>
        <v>0</v>
      </c>
      <c r="DU516" s="161">
        <f t="shared" si="1912"/>
        <v>0</v>
      </c>
      <c r="DV516" s="161">
        <f t="shared" si="1913"/>
        <v>0</v>
      </c>
      <c r="DW516" s="161">
        <f t="shared" si="1914"/>
        <v>0</v>
      </c>
      <c r="DX516" s="161">
        <f t="shared" si="1915"/>
        <v>0</v>
      </c>
      <c r="DY516" s="161">
        <f t="shared" si="1916"/>
        <v>0</v>
      </c>
      <c r="DZ516" s="161">
        <f t="shared" si="1917"/>
        <v>0</v>
      </c>
      <c r="EA516" s="161">
        <f t="shared" si="1918"/>
        <v>0</v>
      </c>
      <c r="EB516" s="161">
        <f t="shared" si="1919"/>
        <v>0</v>
      </c>
      <c r="EC516" s="161">
        <f t="shared" si="1920"/>
        <v>0</v>
      </c>
      <c r="ED516" s="161">
        <f t="shared" si="1921"/>
        <v>0</v>
      </c>
      <c r="EE516" s="161">
        <f t="shared" si="1922"/>
        <v>0</v>
      </c>
      <c r="EF516" s="161">
        <f t="shared" si="1923"/>
        <v>0</v>
      </c>
      <c r="EG516" s="161">
        <f t="shared" si="1924"/>
        <v>0</v>
      </c>
      <c r="EH516" s="161">
        <f t="shared" si="1925"/>
        <v>0</v>
      </c>
      <c r="EI516" s="161">
        <f t="shared" si="1926"/>
        <v>0</v>
      </c>
      <c r="EJ516" s="65"/>
      <c r="EK516" s="161">
        <f t="shared" si="1997"/>
        <v>0</v>
      </c>
      <c r="EL516" s="161">
        <f t="shared" si="1998"/>
        <v>0</v>
      </c>
      <c r="EM516" s="161">
        <f t="shared" si="1999"/>
        <v>0</v>
      </c>
    </row>
    <row r="517" spans="1:143" ht="12" hidden="1" customHeight="1" outlineLevel="2">
      <c r="A517" s="77">
        <v>17</v>
      </c>
      <c r="B517" s="137" t="str">
        <f t="shared" si="1927"/>
        <v>AUX ADM - Equipe_01</v>
      </c>
      <c r="C517" s="65"/>
      <c r="D517" s="622"/>
      <c r="E517" s="65"/>
      <c r="F517" s="584"/>
      <c r="G517" s="77" t="str">
        <f>IF(INDEX(Tarefas!$BT$30:$FK$30,MATCH(A517,Tarefas!$BT$28:$FK$28,0))=0,"",INDEX(Tarefas!$BT$30:$FK$30,MATCH(A517,Tarefas!$BT$28:$FK$28,0)))</f>
        <v>AUX ADM</v>
      </c>
      <c r="H517" s="107" cm="1">
        <f t="array" ref="H517">IFERROR((SUMPRODUCT((Tarefas!$N$32:$N$54='Cronog. e Histog.'!$F$501)*(Tarefas!$BQ$30:$FK$30='Cronog. e Histog.'!$G517)*(Tarefas!$BQ$32:$FK$54)))/SUMIF(Tarefas!$N$32:$N$54,'Cronog. e Histog.'!$F$501,Tarefas!$K$32:$K$54),0)</f>
        <v>0</v>
      </c>
      <c r="I517" s="79">
        <f t="shared" si="1928"/>
        <v>0</v>
      </c>
      <c r="J517" s="65"/>
      <c r="K517" s="160">
        <f t="shared" si="2000"/>
        <v>0</v>
      </c>
      <c r="L517" s="160">
        <f t="shared" si="2001"/>
        <v>0</v>
      </c>
      <c r="M517" s="160">
        <f t="shared" si="2001"/>
        <v>0</v>
      </c>
      <c r="N517" s="160">
        <f t="shared" si="2001"/>
        <v>0</v>
      </c>
      <c r="O517" s="160">
        <f t="shared" si="2001"/>
        <v>0</v>
      </c>
      <c r="P517" s="160">
        <f t="shared" si="2001"/>
        <v>0</v>
      </c>
      <c r="Q517" s="160">
        <f t="shared" si="2001"/>
        <v>0</v>
      </c>
      <c r="R517" s="160">
        <f t="shared" si="2001"/>
        <v>0</v>
      </c>
      <c r="S517" s="160">
        <f t="shared" si="2001"/>
        <v>0</v>
      </c>
      <c r="T517" s="160">
        <f t="shared" si="2001"/>
        <v>0</v>
      </c>
      <c r="U517" s="160">
        <f t="shared" si="2001"/>
        <v>0</v>
      </c>
      <c r="V517" s="160">
        <f t="shared" si="2001"/>
        <v>0</v>
      </c>
      <c r="W517" s="160">
        <f t="shared" si="2001"/>
        <v>0</v>
      </c>
      <c r="X517" s="160">
        <f t="shared" si="2001"/>
        <v>0</v>
      </c>
      <c r="Y517" s="160">
        <f t="shared" si="2001"/>
        <v>0</v>
      </c>
      <c r="Z517" s="160">
        <f t="shared" si="2001"/>
        <v>0</v>
      </c>
      <c r="AA517" s="160">
        <f t="shared" si="2001"/>
        <v>0</v>
      </c>
      <c r="AB517" s="160">
        <f t="shared" si="2001"/>
        <v>0</v>
      </c>
      <c r="AC517" s="160">
        <f t="shared" si="2001"/>
        <v>0</v>
      </c>
      <c r="AD517" s="160">
        <f t="shared" si="2001"/>
        <v>0</v>
      </c>
      <c r="AE517" s="160">
        <f t="shared" si="2001"/>
        <v>0</v>
      </c>
      <c r="AF517" s="160">
        <f t="shared" si="2001"/>
        <v>0</v>
      </c>
      <c r="AG517" s="160">
        <f t="shared" si="2001"/>
        <v>0</v>
      </c>
      <c r="AH517" s="160">
        <f t="shared" si="2001"/>
        <v>0</v>
      </c>
      <c r="AI517" s="160">
        <f t="shared" si="2001"/>
        <v>0</v>
      </c>
      <c r="AJ517" s="160">
        <f t="shared" si="2001"/>
        <v>0</v>
      </c>
      <c r="AK517" s="160">
        <f t="shared" si="2001"/>
        <v>0</v>
      </c>
      <c r="AL517" s="160">
        <f t="shared" si="2001"/>
        <v>0</v>
      </c>
      <c r="AM517" s="160">
        <f t="shared" si="2001"/>
        <v>0</v>
      </c>
      <c r="AN517" s="160">
        <f t="shared" si="2001"/>
        <v>0</v>
      </c>
      <c r="AO517" s="160">
        <f t="shared" si="2001"/>
        <v>0</v>
      </c>
      <c r="AP517" s="160">
        <f t="shared" si="2001"/>
        <v>0</v>
      </c>
      <c r="AQ517" s="160">
        <f t="shared" si="2001"/>
        <v>0</v>
      </c>
      <c r="AR517" s="160">
        <f t="shared" si="2001"/>
        <v>0</v>
      </c>
      <c r="AS517" s="160">
        <f t="shared" si="2001"/>
        <v>0</v>
      </c>
      <c r="AT517" s="160">
        <f t="shared" si="2001"/>
        <v>0</v>
      </c>
      <c r="AU517" s="160">
        <f t="shared" si="2001"/>
        <v>0</v>
      </c>
      <c r="AV517" s="160">
        <f t="shared" si="2001"/>
        <v>0</v>
      </c>
      <c r="AW517" s="160">
        <f t="shared" si="2001"/>
        <v>0</v>
      </c>
      <c r="AX517" s="160">
        <f t="shared" si="2001"/>
        <v>0</v>
      </c>
      <c r="AY517" s="160">
        <f t="shared" si="2001"/>
        <v>0</v>
      </c>
      <c r="AZ517" s="160">
        <f t="shared" si="2001"/>
        <v>0</v>
      </c>
      <c r="BA517" s="160">
        <f t="shared" si="2001"/>
        <v>0</v>
      </c>
      <c r="BB517" s="160">
        <f t="shared" si="2001"/>
        <v>0</v>
      </c>
      <c r="BC517" s="160">
        <f t="shared" si="2001"/>
        <v>0</v>
      </c>
      <c r="BD517" s="160">
        <f t="shared" si="2001"/>
        <v>0</v>
      </c>
      <c r="BE517" s="160">
        <f t="shared" si="2001"/>
        <v>0</v>
      </c>
      <c r="BF517" s="160">
        <f t="shared" si="2001"/>
        <v>0</v>
      </c>
      <c r="BG517" s="160">
        <f t="shared" si="2001"/>
        <v>0</v>
      </c>
      <c r="BH517" s="160">
        <f t="shared" si="2001"/>
        <v>0</v>
      </c>
      <c r="BI517" s="160">
        <f t="shared" si="2001"/>
        <v>0</v>
      </c>
      <c r="BJ517" s="160">
        <f t="shared" si="2001"/>
        <v>0</v>
      </c>
      <c r="BK517" s="160">
        <f t="shared" si="2001"/>
        <v>0</v>
      </c>
      <c r="BL517" s="160">
        <f t="shared" si="2001"/>
        <v>0</v>
      </c>
      <c r="BM517" s="160">
        <f t="shared" si="2001"/>
        <v>0</v>
      </c>
      <c r="BN517" s="160">
        <f t="shared" si="2001"/>
        <v>0</v>
      </c>
      <c r="BO517" s="160">
        <f t="shared" si="2001"/>
        <v>0</v>
      </c>
      <c r="BP517" s="160">
        <f t="shared" si="2001"/>
        <v>0</v>
      </c>
      <c r="BQ517" s="160">
        <f t="shared" si="2001"/>
        <v>0</v>
      </c>
      <c r="BR517" s="160">
        <f t="shared" si="2001"/>
        <v>0</v>
      </c>
      <c r="BS517" s="65"/>
      <c r="BT517" s="160">
        <f t="shared" si="1863"/>
        <v>0</v>
      </c>
      <c r="BU517" s="160">
        <f t="shared" si="1864"/>
        <v>0</v>
      </c>
      <c r="BV517" s="65"/>
      <c r="BW517" s="69"/>
      <c r="BX517" s="65"/>
      <c r="BY517" s="137">
        <f t="shared" si="1865"/>
        <v>1</v>
      </c>
      <c r="BZ517" s="137">
        <f>IF(BY517&gt;0,BY517+LARGE($BZ$213:BZ516,1),0)</f>
        <v>257</v>
      </c>
      <c r="CA517" s="137" t="str">
        <f t="shared" si="1866"/>
        <v>AUX ADM</v>
      </c>
      <c r="CB517" s="161">
        <f t="shared" si="1867"/>
        <v>0</v>
      </c>
      <c r="CC517" s="161">
        <f t="shared" si="1868"/>
        <v>0</v>
      </c>
      <c r="CD517" s="161">
        <f t="shared" si="1869"/>
        <v>0</v>
      </c>
      <c r="CE517" s="161">
        <f t="shared" si="1870"/>
        <v>0</v>
      </c>
      <c r="CF517" s="161">
        <f t="shared" si="1871"/>
        <v>0</v>
      </c>
      <c r="CG517" s="161">
        <f t="shared" si="1872"/>
        <v>0</v>
      </c>
      <c r="CH517" s="161">
        <f t="shared" si="1873"/>
        <v>0</v>
      </c>
      <c r="CI517" s="161">
        <f t="shared" si="1874"/>
        <v>0</v>
      </c>
      <c r="CJ517" s="161">
        <f t="shared" si="1875"/>
        <v>0</v>
      </c>
      <c r="CK517" s="161">
        <f t="shared" si="1876"/>
        <v>0</v>
      </c>
      <c r="CL517" s="161">
        <f t="shared" si="1877"/>
        <v>0</v>
      </c>
      <c r="CM517" s="161">
        <f t="shared" si="1878"/>
        <v>0</v>
      </c>
      <c r="CN517" s="161">
        <f t="shared" si="1879"/>
        <v>0</v>
      </c>
      <c r="CO517" s="161">
        <f t="shared" si="1880"/>
        <v>0</v>
      </c>
      <c r="CP517" s="161">
        <f t="shared" si="1881"/>
        <v>0</v>
      </c>
      <c r="CQ517" s="161">
        <f t="shared" si="1882"/>
        <v>0</v>
      </c>
      <c r="CR517" s="161">
        <f t="shared" si="1883"/>
        <v>0</v>
      </c>
      <c r="CS517" s="161">
        <f t="shared" si="1884"/>
        <v>0</v>
      </c>
      <c r="CT517" s="161">
        <f t="shared" si="1885"/>
        <v>0</v>
      </c>
      <c r="CU517" s="161">
        <f t="shared" si="1886"/>
        <v>0</v>
      </c>
      <c r="CV517" s="161">
        <f t="shared" si="1887"/>
        <v>0</v>
      </c>
      <c r="CW517" s="161">
        <f t="shared" si="1888"/>
        <v>0</v>
      </c>
      <c r="CX517" s="161">
        <f t="shared" si="1889"/>
        <v>0</v>
      </c>
      <c r="CY517" s="161">
        <f t="shared" si="1890"/>
        <v>0</v>
      </c>
      <c r="CZ517" s="161">
        <f t="shared" si="1891"/>
        <v>0</v>
      </c>
      <c r="DA517" s="161">
        <f t="shared" si="1892"/>
        <v>0</v>
      </c>
      <c r="DB517" s="161">
        <f t="shared" si="1893"/>
        <v>0</v>
      </c>
      <c r="DC517" s="161">
        <f t="shared" si="1894"/>
        <v>0</v>
      </c>
      <c r="DD517" s="161">
        <f t="shared" si="1895"/>
        <v>0</v>
      </c>
      <c r="DE517" s="161">
        <f t="shared" si="1896"/>
        <v>0</v>
      </c>
      <c r="DF517" s="161">
        <f t="shared" si="1897"/>
        <v>0</v>
      </c>
      <c r="DG517" s="161">
        <f t="shared" si="1898"/>
        <v>0</v>
      </c>
      <c r="DH517" s="161">
        <f t="shared" si="1899"/>
        <v>0</v>
      </c>
      <c r="DI517" s="161">
        <f t="shared" si="1900"/>
        <v>0</v>
      </c>
      <c r="DJ517" s="161">
        <f t="shared" si="1901"/>
        <v>0</v>
      </c>
      <c r="DK517" s="161">
        <f t="shared" si="1902"/>
        <v>0</v>
      </c>
      <c r="DL517" s="161">
        <f t="shared" si="1903"/>
        <v>0</v>
      </c>
      <c r="DM517" s="161">
        <f t="shared" si="1904"/>
        <v>0</v>
      </c>
      <c r="DN517" s="161">
        <f t="shared" si="1905"/>
        <v>0</v>
      </c>
      <c r="DO517" s="161">
        <f t="shared" si="1906"/>
        <v>0</v>
      </c>
      <c r="DP517" s="161">
        <f t="shared" si="1907"/>
        <v>0</v>
      </c>
      <c r="DQ517" s="161">
        <f t="shared" si="1908"/>
        <v>0</v>
      </c>
      <c r="DR517" s="161">
        <f t="shared" si="1909"/>
        <v>0</v>
      </c>
      <c r="DS517" s="161">
        <f t="shared" si="1910"/>
        <v>0</v>
      </c>
      <c r="DT517" s="161">
        <f t="shared" si="1911"/>
        <v>0</v>
      </c>
      <c r="DU517" s="161">
        <f t="shared" si="1912"/>
        <v>0</v>
      </c>
      <c r="DV517" s="161">
        <f t="shared" si="1913"/>
        <v>0</v>
      </c>
      <c r="DW517" s="161">
        <f t="shared" si="1914"/>
        <v>0</v>
      </c>
      <c r="DX517" s="161">
        <f t="shared" si="1915"/>
        <v>0</v>
      </c>
      <c r="DY517" s="161">
        <f t="shared" si="1916"/>
        <v>0</v>
      </c>
      <c r="DZ517" s="161">
        <f t="shared" si="1917"/>
        <v>0</v>
      </c>
      <c r="EA517" s="161">
        <f t="shared" si="1918"/>
        <v>0</v>
      </c>
      <c r="EB517" s="161">
        <f t="shared" si="1919"/>
        <v>0</v>
      </c>
      <c r="EC517" s="161">
        <f t="shared" si="1920"/>
        <v>0</v>
      </c>
      <c r="ED517" s="161">
        <f t="shared" si="1921"/>
        <v>0</v>
      </c>
      <c r="EE517" s="161">
        <f t="shared" si="1922"/>
        <v>0</v>
      </c>
      <c r="EF517" s="161">
        <f t="shared" si="1923"/>
        <v>0</v>
      </c>
      <c r="EG517" s="161">
        <f t="shared" si="1924"/>
        <v>0</v>
      </c>
      <c r="EH517" s="161">
        <f t="shared" si="1925"/>
        <v>0</v>
      </c>
      <c r="EI517" s="161">
        <f t="shared" si="1926"/>
        <v>0</v>
      </c>
      <c r="EJ517" s="65"/>
      <c r="EK517" s="161">
        <f t="shared" si="1997"/>
        <v>0</v>
      </c>
      <c r="EL517" s="161">
        <f t="shared" si="1998"/>
        <v>0</v>
      </c>
      <c r="EM517" s="161">
        <f t="shared" si="1999"/>
        <v>0</v>
      </c>
    </row>
    <row r="518" spans="1:143" ht="12" hidden="1" customHeight="1" outlineLevel="2">
      <c r="A518" s="77">
        <v>18</v>
      </c>
      <c r="B518" s="137" t="str">
        <f t="shared" si="1927"/>
        <v>EST - Equipe_01</v>
      </c>
      <c r="C518" s="65"/>
      <c r="D518" s="622"/>
      <c r="E518" s="65"/>
      <c r="F518" s="584"/>
      <c r="G518" s="77" t="str">
        <f>IF(INDEX(Tarefas!$BT$30:$FK$30,MATCH(A518,Tarefas!$BT$28:$FK$28,0))=0,"",INDEX(Tarefas!$BT$30:$FK$30,MATCH(A518,Tarefas!$BT$28:$FK$28,0)))</f>
        <v>EST</v>
      </c>
      <c r="H518" s="107" cm="1">
        <f t="array" ref="H518">IFERROR((SUMPRODUCT((Tarefas!$N$32:$N$54='Cronog. e Histog.'!$F$501)*(Tarefas!$BQ$30:$FK$30='Cronog. e Histog.'!$G518)*(Tarefas!$BQ$32:$FK$54)))/SUMIF(Tarefas!$N$32:$N$54,'Cronog. e Histog.'!$F$501,Tarefas!$K$32:$K$54),0)</f>
        <v>0</v>
      </c>
      <c r="I518" s="79">
        <f t="shared" si="1928"/>
        <v>0</v>
      </c>
      <c r="J518" s="65"/>
      <c r="K518" s="160">
        <f t="shared" si="2000"/>
        <v>0</v>
      </c>
      <c r="L518" s="160">
        <f t="shared" si="2001"/>
        <v>0</v>
      </c>
      <c r="M518" s="160">
        <f t="shared" si="2001"/>
        <v>0</v>
      </c>
      <c r="N518" s="160">
        <f t="shared" si="2001"/>
        <v>0</v>
      </c>
      <c r="O518" s="160">
        <f t="shared" si="2001"/>
        <v>0</v>
      </c>
      <c r="P518" s="160">
        <f t="shared" si="2001"/>
        <v>0</v>
      </c>
      <c r="Q518" s="160">
        <f t="shared" si="2001"/>
        <v>0</v>
      </c>
      <c r="R518" s="160">
        <f t="shared" si="2001"/>
        <v>0</v>
      </c>
      <c r="S518" s="160">
        <f t="shared" si="2001"/>
        <v>0</v>
      </c>
      <c r="T518" s="160">
        <f t="shared" si="2001"/>
        <v>0</v>
      </c>
      <c r="U518" s="160">
        <f t="shared" si="2001"/>
        <v>0</v>
      </c>
      <c r="V518" s="160">
        <f t="shared" si="2001"/>
        <v>0</v>
      </c>
      <c r="W518" s="160">
        <f t="shared" si="2001"/>
        <v>0</v>
      </c>
      <c r="X518" s="160">
        <f t="shared" si="2001"/>
        <v>0</v>
      </c>
      <c r="Y518" s="160">
        <f t="shared" si="2001"/>
        <v>0</v>
      </c>
      <c r="Z518" s="160">
        <f t="shared" si="2001"/>
        <v>0</v>
      </c>
      <c r="AA518" s="160">
        <f t="shared" si="2001"/>
        <v>0</v>
      </c>
      <c r="AB518" s="160">
        <f t="shared" si="2001"/>
        <v>0</v>
      </c>
      <c r="AC518" s="160">
        <f t="shared" si="2001"/>
        <v>0</v>
      </c>
      <c r="AD518" s="160">
        <f t="shared" si="2001"/>
        <v>0</v>
      </c>
      <c r="AE518" s="160">
        <f t="shared" si="2001"/>
        <v>0</v>
      </c>
      <c r="AF518" s="160">
        <f t="shared" si="2001"/>
        <v>0</v>
      </c>
      <c r="AG518" s="160">
        <f t="shared" si="2001"/>
        <v>0</v>
      </c>
      <c r="AH518" s="160">
        <f t="shared" si="2001"/>
        <v>0</v>
      </c>
      <c r="AI518" s="160">
        <f t="shared" si="2001"/>
        <v>0</v>
      </c>
      <c r="AJ518" s="160">
        <f t="shared" si="2001"/>
        <v>0</v>
      </c>
      <c r="AK518" s="160">
        <f t="shared" si="2001"/>
        <v>0</v>
      </c>
      <c r="AL518" s="160">
        <f t="shared" si="2001"/>
        <v>0</v>
      </c>
      <c r="AM518" s="160">
        <f t="shared" si="2001"/>
        <v>0</v>
      </c>
      <c r="AN518" s="160">
        <f t="shared" si="2001"/>
        <v>0</v>
      </c>
      <c r="AO518" s="160">
        <f t="shared" si="2001"/>
        <v>0</v>
      </c>
      <c r="AP518" s="160">
        <f t="shared" si="2001"/>
        <v>0</v>
      </c>
      <c r="AQ518" s="160">
        <f t="shared" si="2001"/>
        <v>0</v>
      </c>
      <c r="AR518" s="160">
        <f t="shared" si="2001"/>
        <v>0</v>
      </c>
      <c r="AS518" s="160">
        <f t="shared" si="2001"/>
        <v>0</v>
      </c>
      <c r="AT518" s="160">
        <f t="shared" si="2001"/>
        <v>0</v>
      </c>
      <c r="AU518" s="160">
        <f t="shared" si="2001"/>
        <v>0</v>
      </c>
      <c r="AV518" s="160">
        <f t="shared" si="2001"/>
        <v>0</v>
      </c>
      <c r="AW518" s="160">
        <f t="shared" si="2001"/>
        <v>0</v>
      </c>
      <c r="AX518" s="160">
        <f t="shared" si="2001"/>
        <v>0</v>
      </c>
      <c r="AY518" s="160">
        <f t="shared" si="2001"/>
        <v>0</v>
      </c>
      <c r="AZ518" s="160">
        <f t="shared" si="2001"/>
        <v>0</v>
      </c>
      <c r="BA518" s="160">
        <f t="shared" si="2001"/>
        <v>0</v>
      </c>
      <c r="BB518" s="160">
        <f t="shared" si="2001"/>
        <v>0</v>
      </c>
      <c r="BC518" s="160">
        <f t="shared" si="2001"/>
        <v>0</v>
      </c>
      <c r="BD518" s="160">
        <f t="shared" si="2001"/>
        <v>0</v>
      </c>
      <c r="BE518" s="160">
        <f t="shared" si="2001"/>
        <v>0</v>
      </c>
      <c r="BF518" s="160">
        <f t="shared" si="2001"/>
        <v>0</v>
      </c>
      <c r="BG518" s="160">
        <f t="shared" si="2001"/>
        <v>0</v>
      </c>
      <c r="BH518" s="160">
        <f t="shared" si="2001"/>
        <v>0</v>
      </c>
      <c r="BI518" s="160">
        <f t="shared" si="2001"/>
        <v>0</v>
      </c>
      <c r="BJ518" s="160">
        <f t="shared" si="2001"/>
        <v>0</v>
      </c>
      <c r="BK518" s="160">
        <f t="shared" si="2001"/>
        <v>0</v>
      </c>
      <c r="BL518" s="160">
        <f t="shared" si="2001"/>
        <v>0</v>
      </c>
      <c r="BM518" s="160">
        <f t="shared" si="2001"/>
        <v>0</v>
      </c>
      <c r="BN518" s="160">
        <f t="shared" si="2001"/>
        <v>0</v>
      </c>
      <c r="BO518" s="160">
        <f t="shared" si="2001"/>
        <v>0</v>
      </c>
      <c r="BP518" s="160">
        <f t="shared" si="2001"/>
        <v>0</v>
      </c>
      <c r="BQ518" s="160">
        <f t="shared" si="2001"/>
        <v>0</v>
      </c>
      <c r="BR518" s="160">
        <f t="shared" si="2001"/>
        <v>0</v>
      </c>
      <c r="BS518" s="65"/>
      <c r="BT518" s="160">
        <f t="shared" si="1863"/>
        <v>0</v>
      </c>
      <c r="BU518" s="160">
        <f t="shared" si="1864"/>
        <v>0</v>
      </c>
      <c r="BV518" s="65"/>
      <c r="BW518" s="69"/>
      <c r="BX518" s="65"/>
      <c r="BY518" s="137">
        <f t="shared" si="1865"/>
        <v>1</v>
      </c>
      <c r="BZ518" s="137">
        <f>IF(BY518&gt;0,BY518+LARGE($BZ$213:BZ517,1),0)</f>
        <v>258</v>
      </c>
      <c r="CA518" s="137" t="str">
        <f t="shared" si="1866"/>
        <v>EST</v>
      </c>
      <c r="CB518" s="161">
        <f t="shared" si="1867"/>
        <v>0</v>
      </c>
      <c r="CC518" s="161">
        <f t="shared" si="1868"/>
        <v>0</v>
      </c>
      <c r="CD518" s="161">
        <f t="shared" si="1869"/>
        <v>0</v>
      </c>
      <c r="CE518" s="161">
        <f t="shared" si="1870"/>
        <v>0</v>
      </c>
      <c r="CF518" s="161">
        <f t="shared" si="1871"/>
        <v>0</v>
      </c>
      <c r="CG518" s="161">
        <f t="shared" si="1872"/>
        <v>0</v>
      </c>
      <c r="CH518" s="161">
        <f t="shared" si="1873"/>
        <v>0</v>
      </c>
      <c r="CI518" s="161">
        <f t="shared" si="1874"/>
        <v>0</v>
      </c>
      <c r="CJ518" s="161">
        <f t="shared" si="1875"/>
        <v>0</v>
      </c>
      <c r="CK518" s="161">
        <f t="shared" si="1876"/>
        <v>0</v>
      </c>
      <c r="CL518" s="161">
        <f t="shared" si="1877"/>
        <v>0</v>
      </c>
      <c r="CM518" s="161">
        <f t="shared" si="1878"/>
        <v>0</v>
      </c>
      <c r="CN518" s="161">
        <f t="shared" si="1879"/>
        <v>0</v>
      </c>
      <c r="CO518" s="161">
        <f t="shared" si="1880"/>
        <v>0</v>
      </c>
      <c r="CP518" s="161">
        <f t="shared" si="1881"/>
        <v>0</v>
      </c>
      <c r="CQ518" s="161">
        <f t="shared" si="1882"/>
        <v>0</v>
      </c>
      <c r="CR518" s="161">
        <f t="shared" si="1883"/>
        <v>0</v>
      </c>
      <c r="CS518" s="161">
        <f t="shared" si="1884"/>
        <v>0</v>
      </c>
      <c r="CT518" s="161">
        <f t="shared" si="1885"/>
        <v>0</v>
      </c>
      <c r="CU518" s="161">
        <f t="shared" si="1886"/>
        <v>0</v>
      </c>
      <c r="CV518" s="161">
        <f t="shared" si="1887"/>
        <v>0</v>
      </c>
      <c r="CW518" s="161">
        <f t="shared" si="1888"/>
        <v>0</v>
      </c>
      <c r="CX518" s="161">
        <f t="shared" si="1889"/>
        <v>0</v>
      </c>
      <c r="CY518" s="161">
        <f t="shared" si="1890"/>
        <v>0</v>
      </c>
      <c r="CZ518" s="161">
        <f t="shared" si="1891"/>
        <v>0</v>
      </c>
      <c r="DA518" s="161">
        <f t="shared" si="1892"/>
        <v>0</v>
      </c>
      <c r="DB518" s="161">
        <f t="shared" si="1893"/>
        <v>0</v>
      </c>
      <c r="DC518" s="161">
        <f t="shared" si="1894"/>
        <v>0</v>
      </c>
      <c r="DD518" s="161">
        <f t="shared" si="1895"/>
        <v>0</v>
      </c>
      <c r="DE518" s="161">
        <f t="shared" si="1896"/>
        <v>0</v>
      </c>
      <c r="DF518" s="161">
        <f t="shared" si="1897"/>
        <v>0</v>
      </c>
      <c r="DG518" s="161">
        <f t="shared" si="1898"/>
        <v>0</v>
      </c>
      <c r="DH518" s="161">
        <f t="shared" si="1899"/>
        <v>0</v>
      </c>
      <c r="DI518" s="161">
        <f t="shared" si="1900"/>
        <v>0</v>
      </c>
      <c r="DJ518" s="161">
        <f t="shared" si="1901"/>
        <v>0</v>
      </c>
      <c r="DK518" s="161">
        <f t="shared" si="1902"/>
        <v>0</v>
      </c>
      <c r="DL518" s="161">
        <f t="shared" si="1903"/>
        <v>0</v>
      </c>
      <c r="DM518" s="161">
        <f t="shared" si="1904"/>
        <v>0</v>
      </c>
      <c r="DN518" s="161">
        <f t="shared" si="1905"/>
        <v>0</v>
      </c>
      <c r="DO518" s="161">
        <f t="shared" si="1906"/>
        <v>0</v>
      </c>
      <c r="DP518" s="161">
        <f t="shared" si="1907"/>
        <v>0</v>
      </c>
      <c r="DQ518" s="161">
        <f t="shared" si="1908"/>
        <v>0</v>
      </c>
      <c r="DR518" s="161">
        <f t="shared" si="1909"/>
        <v>0</v>
      </c>
      <c r="DS518" s="161">
        <f t="shared" si="1910"/>
        <v>0</v>
      </c>
      <c r="DT518" s="161">
        <f t="shared" si="1911"/>
        <v>0</v>
      </c>
      <c r="DU518" s="161">
        <f t="shared" si="1912"/>
        <v>0</v>
      </c>
      <c r="DV518" s="161">
        <f t="shared" si="1913"/>
        <v>0</v>
      </c>
      <c r="DW518" s="161">
        <f t="shared" si="1914"/>
        <v>0</v>
      </c>
      <c r="DX518" s="161">
        <f t="shared" si="1915"/>
        <v>0</v>
      </c>
      <c r="DY518" s="161">
        <f t="shared" si="1916"/>
        <v>0</v>
      </c>
      <c r="DZ518" s="161">
        <f t="shared" si="1917"/>
        <v>0</v>
      </c>
      <c r="EA518" s="161">
        <f t="shared" si="1918"/>
        <v>0</v>
      </c>
      <c r="EB518" s="161">
        <f t="shared" si="1919"/>
        <v>0</v>
      </c>
      <c r="EC518" s="161">
        <f t="shared" si="1920"/>
        <v>0</v>
      </c>
      <c r="ED518" s="161">
        <f t="shared" si="1921"/>
        <v>0</v>
      </c>
      <c r="EE518" s="161">
        <f t="shared" si="1922"/>
        <v>0</v>
      </c>
      <c r="EF518" s="161">
        <f t="shared" si="1923"/>
        <v>0</v>
      </c>
      <c r="EG518" s="161">
        <f t="shared" si="1924"/>
        <v>0</v>
      </c>
      <c r="EH518" s="161">
        <f t="shared" si="1925"/>
        <v>0</v>
      </c>
      <c r="EI518" s="161">
        <f t="shared" si="1926"/>
        <v>0</v>
      </c>
      <c r="EJ518" s="65"/>
      <c r="EK518" s="161">
        <f t="shared" si="1997"/>
        <v>0</v>
      </c>
      <c r="EL518" s="161">
        <f t="shared" si="1998"/>
        <v>0</v>
      </c>
      <c r="EM518" s="161">
        <f t="shared" si="1999"/>
        <v>0</v>
      </c>
    </row>
    <row r="519" spans="1:143" ht="12" hidden="1" customHeight="1" outlineLevel="2">
      <c r="A519" s="77">
        <v>19</v>
      </c>
      <c r="B519" s="137" t="str">
        <f t="shared" si="1927"/>
        <v>EST_II - Equipe_01</v>
      </c>
      <c r="C519" s="65"/>
      <c r="D519" s="622"/>
      <c r="E519" s="65"/>
      <c r="F519" s="584"/>
      <c r="G519" s="77" t="str">
        <f>IF(INDEX(Tarefas!$BT$30:$FK$30,MATCH(A519,Tarefas!$BT$28:$FK$28,0))=0,"",INDEX(Tarefas!$BT$30:$FK$30,MATCH(A519,Tarefas!$BT$28:$FK$28,0)))</f>
        <v>EST_II</v>
      </c>
      <c r="H519" s="107" cm="1">
        <f t="array" ref="H519">IFERROR((SUMPRODUCT((Tarefas!$N$32:$N$54='Cronog. e Histog.'!$F$501)*(Tarefas!$BQ$30:$FK$30='Cronog. e Histog.'!$G519)*(Tarefas!$BQ$32:$FK$54)))/SUMIF(Tarefas!$N$32:$N$54,'Cronog. e Histog.'!$F$501,Tarefas!$K$32:$K$54),0)</f>
        <v>0</v>
      </c>
      <c r="I519" s="79">
        <f t="shared" si="1928"/>
        <v>0</v>
      </c>
      <c r="J519" s="65"/>
      <c r="K519" s="160">
        <f t="shared" si="2000"/>
        <v>0</v>
      </c>
      <c r="L519" s="160">
        <f t="shared" si="2001"/>
        <v>0</v>
      </c>
      <c r="M519" s="160">
        <f t="shared" si="2001"/>
        <v>0</v>
      </c>
      <c r="N519" s="160">
        <f t="shared" si="2001"/>
        <v>0</v>
      </c>
      <c r="O519" s="160">
        <f t="shared" si="2001"/>
        <v>0</v>
      </c>
      <c r="P519" s="160">
        <f t="shared" si="2001"/>
        <v>0</v>
      </c>
      <c r="Q519" s="160">
        <f t="shared" si="2001"/>
        <v>0</v>
      </c>
      <c r="R519" s="160">
        <f t="shared" si="2001"/>
        <v>0</v>
      </c>
      <c r="S519" s="160">
        <f t="shared" si="2001"/>
        <v>0</v>
      </c>
      <c r="T519" s="160">
        <f t="shared" si="2001"/>
        <v>0</v>
      </c>
      <c r="U519" s="160">
        <f t="shared" si="2001"/>
        <v>0</v>
      </c>
      <c r="V519" s="160">
        <f t="shared" si="2001"/>
        <v>0</v>
      </c>
      <c r="W519" s="160">
        <f t="shared" si="2001"/>
        <v>0</v>
      </c>
      <c r="X519" s="160">
        <f t="shared" si="2001"/>
        <v>0</v>
      </c>
      <c r="Y519" s="160">
        <f t="shared" si="2001"/>
        <v>0</v>
      </c>
      <c r="Z519" s="160">
        <f t="shared" si="2001"/>
        <v>0</v>
      </c>
      <c r="AA519" s="160">
        <f t="shared" si="2001"/>
        <v>0</v>
      </c>
      <c r="AB519" s="160">
        <f t="shared" si="2001"/>
        <v>0</v>
      </c>
      <c r="AC519" s="160">
        <f t="shared" si="2001"/>
        <v>0</v>
      </c>
      <c r="AD519" s="160">
        <f t="shared" si="2001"/>
        <v>0</v>
      </c>
      <c r="AE519" s="160">
        <f t="shared" si="2001"/>
        <v>0</v>
      </c>
      <c r="AF519" s="160">
        <f t="shared" si="2001"/>
        <v>0</v>
      </c>
      <c r="AG519" s="160">
        <f t="shared" si="2001"/>
        <v>0</v>
      </c>
      <c r="AH519" s="160">
        <f t="shared" si="2001"/>
        <v>0</v>
      </c>
      <c r="AI519" s="160">
        <f t="shared" si="2001"/>
        <v>0</v>
      </c>
      <c r="AJ519" s="160">
        <f t="shared" si="2001"/>
        <v>0</v>
      </c>
      <c r="AK519" s="160">
        <f t="shared" si="2001"/>
        <v>0</v>
      </c>
      <c r="AL519" s="160">
        <f t="shared" si="2001"/>
        <v>0</v>
      </c>
      <c r="AM519" s="160">
        <f t="shared" si="2001"/>
        <v>0</v>
      </c>
      <c r="AN519" s="160">
        <f t="shared" si="2001"/>
        <v>0</v>
      </c>
      <c r="AO519" s="160">
        <f t="shared" si="2001"/>
        <v>0</v>
      </c>
      <c r="AP519" s="160">
        <f t="shared" si="2001"/>
        <v>0</v>
      </c>
      <c r="AQ519" s="160">
        <f t="shared" si="2001"/>
        <v>0</v>
      </c>
      <c r="AR519" s="160">
        <f t="shared" si="2001"/>
        <v>0</v>
      </c>
      <c r="AS519" s="160">
        <f t="shared" si="2001"/>
        <v>0</v>
      </c>
      <c r="AT519" s="160">
        <f t="shared" si="2001"/>
        <v>0</v>
      </c>
      <c r="AU519" s="160">
        <f t="shared" si="2001"/>
        <v>0</v>
      </c>
      <c r="AV519" s="160">
        <f t="shared" si="2001"/>
        <v>0</v>
      </c>
      <c r="AW519" s="160">
        <f t="shared" si="2001"/>
        <v>0</v>
      </c>
      <c r="AX519" s="160">
        <f t="shared" si="2001"/>
        <v>0</v>
      </c>
      <c r="AY519" s="160">
        <f t="shared" si="2001"/>
        <v>0</v>
      </c>
      <c r="AZ519" s="160">
        <f t="shared" si="2001"/>
        <v>0</v>
      </c>
      <c r="BA519" s="160">
        <f t="shared" si="2001"/>
        <v>0</v>
      </c>
      <c r="BB519" s="160">
        <f t="shared" si="2001"/>
        <v>0</v>
      </c>
      <c r="BC519" s="160">
        <f t="shared" si="2001"/>
        <v>0</v>
      </c>
      <c r="BD519" s="160">
        <f t="shared" si="2001"/>
        <v>0</v>
      </c>
      <c r="BE519" s="160">
        <f t="shared" si="2001"/>
        <v>0</v>
      </c>
      <c r="BF519" s="160">
        <f t="shared" si="2001"/>
        <v>0</v>
      </c>
      <c r="BG519" s="160">
        <f t="shared" si="2001"/>
        <v>0</v>
      </c>
      <c r="BH519" s="160">
        <f t="shared" si="2001"/>
        <v>0</v>
      </c>
      <c r="BI519" s="160">
        <f t="shared" si="2001"/>
        <v>0</v>
      </c>
      <c r="BJ519" s="160">
        <f t="shared" si="2001"/>
        <v>0</v>
      </c>
      <c r="BK519" s="160">
        <f t="shared" si="2001"/>
        <v>0</v>
      </c>
      <c r="BL519" s="160">
        <f t="shared" si="2001"/>
        <v>0</v>
      </c>
      <c r="BM519" s="160">
        <f t="shared" ref="L519:BR520" si="2002">ROUND($I519*BM$195,2)</f>
        <v>0</v>
      </c>
      <c r="BN519" s="160">
        <f t="shared" si="2002"/>
        <v>0</v>
      </c>
      <c r="BO519" s="160">
        <f t="shared" si="2002"/>
        <v>0</v>
      </c>
      <c r="BP519" s="160">
        <f t="shared" si="2002"/>
        <v>0</v>
      </c>
      <c r="BQ519" s="160">
        <f t="shared" si="2002"/>
        <v>0</v>
      </c>
      <c r="BR519" s="160">
        <f t="shared" si="2002"/>
        <v>0</v>
      </c>
      <c r="BS519" s="65"/>
      <c r="BT519" s="160">
        <f t="shared" si="1863"/>
        <v>0</v>
      </c>
      <c r="BU519" s="160">
        <f t="shared" si="1864"/>
        <v>0</v>
      </c>
      <c r="BV519" s="65"/>
      <c r="BW519" s="69"/>
      <c r="BX519" s="65"/>
      <c r="BY519" s="137">
        <f t="shared" si="1865"/>
        <v>1</v>
      </c>
      <c r="BZ519" s="137">
        <f>IF(BY519&gt;0,BY519+LARGE($BZ$213:BZ518,1),0)</f>
        <v>259</v>
      </c>
      <c r="CA519" s="137" t="str">
        <f t="shared" si="1866"/>
        <v>EST_II</v>
      </c>
      <c r="CB519" s="161">
        <f t="shared" si="1867"/>
        <v>0</v>
      </c>
      <c r="CC519" s="161">
        <f t="shared" si="1868"/>
        <v>0</v>
      </c>
      <c r="CD519" s="161">
        <f t="shared" si="1869"/>
        <v>0</v>
      </c>
      <c r="CE519" s="161">
        <f t="shared" si="1870"/>
        <v>0</v>
      </c>
      <c r="CF519" s="161">
        <f t="shared" si="1871"/>
        <v>0</v>
      </c>
      <c r="CG519" s="161">
        <f t="shared" si="1872"/>
        <v>0</v>
      </c>
      <c r="CH519" s="161">
        <f t="shared" si="1873"/>
        <v>0</v>
      </c>
      <c r="CI519" s="161">
        <f t="shared" si="1874"/>
        <v>0</v>
      </c>
      <c r="CJ519" s="161">
        <f t="shared" si="1875"/>
        <v>0</v>
      </c>
      <c r="CK519" s="161">
        <f t="shared" si="1876"/>
        <v>0</v>
      </c>
      <c r="CL519" s="161">
        <f t="shared" si="1877"/>
        <v>0</v>
      </c>
      <c r="CM519" s="161">
        <f t="shared" si="1878"/>
        <v>0</v>
      </c>
      <c r="CN519" s="161">
        <f t="shared" si="1879"/>
        <v>0</v>
      </c>
      <c r="CO519" s="161">
        <f t="shared" si="1880"/>
        <v>0</v>
      </c>
      <c r="CP519" s="161">
        <f t="shared" si="1881"/>
        <v>0</v>
      </c>
      <c r="CQ519" s="161">
        <f t="shared" si="1882"/>
        <v>0</v>
      </c>
      <c r="CR519" s="161">
        <f t="shared" si="1883"/>
        <v>0</v>
      </c>
      <c r="CS519" s="161">
        <f t="shared" si="1884"/>
        <v>0</v>
      </c>
      <c r="CT519" s="161">
        <f t="shared" si="1885"/>
        <v>0</v>
      </c>
      <c r="CU519" s="161">
        <f t="shared" si="1886"/>
        <v>0</v>
      </c>
      <c r="CV519" s="161">
        <f t="shared" si="1887"/>
        <v>0</v>
      </c>
      <c r="CW519" s="161">
        <f t="shared" si="1888"/>
        <v>0</v>
      </c>
      <c r="CX519" s="161">
        <f t="shared" si="1889"/>
        <v>0</v>
      </c>
      <c r="CY519" s="161">
        <f t="shared" si="1890"/>
        <v>0</v>
      </c>
      <c r="CZ519" s="161">
        <f t="shared" si="1891"/>
        <v>0</v>
      </c>
      <c r="DA519" s="161">
        <f t="shared" si="1892"/>
        <v>0</v>
      </c>
      <c r="DB519" s="161">
        <f t="shared" si="1893"/>
        <v>0</v>
      </c>
      <c r="DC519" s="161">
        <f t="shared" si="1894"/>
        <v>0</v>
      </c>
      <c r="DD519" s="161">
        <f t="shared" si="1895"/>
        <v>0</v>
      </c>
      <c r="DE519" s="161">
        <f t="shared" si="1896"/>
        <v>0</v>
      </c>
      <c r="DF519" s="161">
        <f t="shared" si="1897"/>
        <v>0</v>
      </c>
      <c r="DG519" s="161">
        <f t="shared" si="1898"/>
        <v>0</v>
      </c>
      <c r="DH519" s="161">
        <f t="shared" si="1899"/>
        <v>0</v>
      </c>
      <c r="DI519" s="161">
        <f t="shared" si="1900"/>
        <v>0</v>
      </c>
      <c r="DJ519" s="161">
        <f t="shared" si="1901"/>
        <v>0</v>
      </c>
      <c r="DK519" s="161">
        <f t="shared" si="1902"/>
        <v>0</v>
      </c>
      <c r="DL519" s="161">
        <f t="shared" si="1903"/>
        <v>0</v>
      </c>
      <c r="DM519" s="161">
        <f t="shared" si="1904"/>
        <v>0</v>
      </c>
      <c r="DN519" s="161">
        <f t="shared" si="1905"/>
        <v>0</v>
      </c>
      <c r="DO519" s="161">
        <f t="shared" si="1906"/>
        <v>0</v>
      </c>
      <c r="DP519" s="161">
        <f t="shared" si="1907"/>
        <v>0</v>
      </c>
      <c r="DQ519" s="161">
        <f t="shared" si="1908"/>
        <v>0</v>
      </c>
      <c r="DR519" s="161">
        <f t="shared" si="1909"/>
        <v>0</v>
      </c>
      <c r="DS519" s="161">
        <f t="shared" si="1910"/>
        <v>0</v>
      </c>
      <c r="DT519" s="161">
        <f t="shared" si="1911"/>
        <v>0</v>
      </c>
      <c r="DU519" s="161">
        <f t="shared" si="1912"/>
        <v>0</v>
      </c>
      <c r="DV519" s="161">
        <f t="shared" si="1913"/>
        <v>0</v>
      </c>
      <c r="DW519" s="161">
        <f t="shared" si="1914"/>
        <v>0</v>
      </c>
      <c r="DX519" s="161">
        <f t="shared" si="1915"/>
        <v>0</v>
      </c>
      <c r="DY519" s="161">
        <f t="shared" si="1916"/>
        <v>0</v>
      </c>
      <c r="DZ519" s="161">
        <f t="shared" si="1917"/>
        <v>0</v>
      </c>
      <c r="EA519" s="161">
        <f t="shared" si="1918"/>
        <v>0</v>
      </c>
      <c r="EB519" s="161">
        <f t="shared" si="1919"/>
        <v>0</v>
      </c>
      <c r="EC519" s="161">
        <f t="shared" si="1920"/>
        <v>0</v>
      </c>
      <c r="ED519" s="161">
        <f t="shared" si="1921"/>
        <v>0</v>
      </c>
      <c r="EE519" s="161">
        <f t="shared" si="1922"/>
        <v>0</v>
      </c>
      <c r="EF519" s="161">
        <f t="shared" si="1923"/>
        <v>0</v>
      </c>
      <c r="EG519" s="161">
        <f t="shared" si="1924"/>
        <v>0</v>
      </c>
      <c r="EH519" s="161">
        <f t="shared" si="1925"/>
        <v>0</v>
      </c>
      <c r="EI519" s="161">
        <f t="shared" si="1926"/>
        <v>0</v>
      </c>
      <c r="EJ519" s="65"/>
      <c r="EK519" s="161">
        <f t="shared" si="1997"/>
        <v>0</v>
      </c>
      <c r="EL519" s="161">
        <f t="shared" si="1998"/>
        <v>0</v>
      </c>
      <c r="EM519" s="161">
        <f t="shared" si="1999"/>
        <v>0</v>
      </c>
    </row>
    <row r="520" spans="1:143" ht="12" hidden="1" customHeight="1" outlineLevel="2">
      <c r="A520" s="77">
        <v>20</v>
      </c>
      <c r="B520" s="137" t="str">
        <f t="shared" si="1927"/>
        <v>EST_III - Equipe_01</v>
      </c>
      <c r="C520" s="65"/>
      <c r="D520" s="623"/>
      <c r="E520" s="65"/>
      <c r="F520" s="584"/>
      <c r="G520" s="77" t="str">
        <f>IF(INDEX(Tarefas!$BT$30:$FK$30,MATCH(A520,Tarefas!$BT$28:$FK$28,0))=0,"",INDEX(Tarefas!$BT$30:$FK$30,MATCH(A520,Tarefas!$BT$28:$FK$28,0)))</f>
        <v>EST_III</v>
      </c>
      <c r="H520" s="107" cm="1">
        <f t="array" ref="H520">IFERROR((SUMPRODUCT((Tarefas!$N$32:$N$54='Cronog. e Histog.'!$F$501)*(Tarefas!$BQ$30:$FK$30='Cronog. e Histog.'!$G520)*(Tarefas!$BQ$32:$FK$54)))/SUMIF(Tarefas!$N$32:$N$54,'Cronog. e Histog.'!$F$501,Tarefas!$K$32:$K$54),0)</f>
        <v>0</v>
      </c>
      <c r="I520" s="79">
        <f t="shared" si="1928"/>
        <v>0</v>
      </c>
      <c r="J520" s="65"/>
      <c r="K520" s="160">
        <f t="shared" si="2000"/>
        <v>0</v>
      </c>
      <c r="L520" s="160">
        <f t="shared" si="2002"/>
        <v>0</v>
      </c>
      <c r="M520" s="160">
        <f t="shared" si="2002"/>
        <v>0</v>
      </c>
      <c r="N520" s="160">
        <f t="shared" si="2002"/>
        <v>0</v>
      </c>
      <c r="O520" s="160">
        <f t="shared" si="2002"/>
        <v>0</v>
      </c>
      <c r="P520" s="160">
        <f t="shared" si="2002"/>
        <v>0</v>
      </c>
      <c r="Q520" s="160">
        <f t="shared" si="2002"/>
        <v>0</v>
      </c>
      <c r="R520" s="160">
        <f t="shared" si="2002"/>
        <v>0</v>
      </c>
      <c r="S520" s="160">
        <f t="shared" si="2002"/>
        <v>0</v>
      </c>
      <c r="T520" s="160">
        <f t="shared" si="2002"/>
        <v>0</v>
      </c>
      <c r="U520" s="160">
        <f t="shared" si="2002"/>
        <v>0</v>
      </c>
      <c r="V520" s="160">
        <f t="shared" si="2002"/>
        <v>0</v>
      </c>
      <c r="W520" s="160">
        <f t="shared" si="2002"/>
        <v>0</v>
      </c>
      <c r="X520" s="160">
        <f t="shared" si="2002"/>
        <v>0</v>
      </c>
      <c r="Y520" s="160">
        <f t="shared" si="2002"/>
        <v>0</v>
      </c>
      <c r="Z520" s="160">
        <f t="shared" si="2002"/>
        <v>0</v>
      </c>
      <c r="AA520" s="160">
        <f t="shared" si="2002"/>
        <v>0</v>
      </c>
      <c r="AB520" s="160">
        <f t="shared" si="2002"/>
        <v>0</v>
      </c>
      <c r="AC520" s="160">
        <f t="shared" si="2002"/>
        <v>0</v>
      </c>
      <c r="AD520" s="160">
        <f t="shared" si="2002"/>
        <v>0</v>
      </c>
      <c r="AE520" s="160">
        <f t="shared" si="2002"/>
        <v>0</v>
      </c>
      <c r="AF520" s="160">
        <f t="shared" si="2002"/>
        <v>0</v>
      </c>
      <c r="AG520" s="160">
        <f t="shared" si="2002"/>
        <v>0</v>
      </c>
      <c r="AH520" s="160">
        <f t="shared" si="2002"/>
        <v>0</v>
      </c>
      <c r="AI520" s="160">
        <f t="shared" si="2002"/>
        <v>0</v>
      </c>
      <c r="AJ520" s="160">
        <f t="shared" si="2002"/>
        <v>0</v>
      </c>
      <c r="AK520" s="160">
        <f t="shared" si="2002"/>
        <v>0</v>
      </c>
      <c r="AL520" s="160">
        <f t="shared" si="2002"/>
        <v>0</v>
      </c>
      <c r="AM520" s="160">
        <f t="shared" si="2002"/>
        <v>0</v>
      </c>
      <c r="AN520" s="160">
        <f t="shared" si="2002"/>
        <v>0</v>
      </c>
      <c r="AO520" s="160">
        <f t="shared" si="2002"/>
        <v>0</v>
      </c>
      <c r="AP520" s="160">
        <f t="shared" si="2002"/>
        <v>0</v>
      </c>
      <c r="AQ520" s="160">
        <f t="shared" si="2002"/>
        <v>0</v>
      </c>
      <c r="AR520" s="160">
        <f t="shared" si="2002"/>
        <v>0</v>
      </c>
      <c r="AS520" s="160">
        <f t="shared" si="2002"/>
        <v>0</v>
      </c>
      <c r="AT520" s="160">
        <f t="shared" si="2002"/>
        <v>0</v>
      </c>
      <c r="AU520" s="160">
        <f t="shared" si="2002"/>
        <v>0</v>
      </c>
      <c r="AV520" s="160">
        <f t="shared" si="2002"/>
        <v>0</v>
      </c>
      <c r="AW520" s="160">
        <f t="shared" si="2002"/>
        <v>0</v>
      </c>
      <c r="AX520" s="160">
        <f t="shared" si="2002"/>
        <v>0</v>
      </c>
      <c r="AY520" s="160">
        <f t="shared" si="2002"/>
        <v>0</v>
      </c>
      <c r="AZ520" s="160">
        <f t="shared" si="2002"/>
        <v>0</v>
      </c>
      <c r="BA520" s="160">
        <f t="shared" si="2002"/>
        <v>0</v>
      </c>
      <c r="BB520" s="160">
        <f t="shared" si="2002"/>
        <v>0</v>
      </c>
      <c r="BC520" s="160">
        <f t="shared" si="2002"/>
        <v>0</v>
      </c>
      <c r="BD520" s="160">
        <f t="shared" si="2002"/>
        <v>0</v>
      </c>
      <c r="BE520" s="160">
        <f t="shared" si="2002"/>
        <v>0</v>
      </c>
      <c r="BF520" s="160">
        <f t="shared" si="2002"/>
        <v>0</v>
      </c>
      <c r="BG520" s="160">
        <f t="shared" si="2002"/>
        <v>0</v>
      </c>
      <c r="BH520" s="160">
        <f t="shared" si="2002"/>
        <v>0</v>
      </c>
      <c r="BI520" s="160">
        <f t="shared" si="2002"/>
        <v>0</v>
      </c>
      <c r="BJ520" s="160">
        <f t="shared" si="2002"/>
        <v>0</v>
      </c>
      <c r="BK520" s="160">
        <f t="shared" si="2002"/>
        <v>0</v>
      </c>
      <c r="BL520" s="160">
        <f t="shared" si="2002"/>
        <v>0</v>
      </c>
      <c r="BM520" s="160">
        <f t="shared" si="2002"/>
        <v>0</v>
      </c>
      <c r="BN520" s="160">
        <f t="shared" si="2002"/>
        <v>0</v>
      </c>
      <c r="BO520" s="160">
        <f t="shared" si="2002"/>
        <v>0</v>
      </c>
      <c r="BP520" s="160">
        <f t="shared" si="2002"/>
        <v>0</v>
      </c>
      <c r="BQ520" s="160">
        <f t="shared" si="2002"/>
        <v>0</v>
      </c>
      <c r="BR520" s="160">
        <f t="shared" si="2002"/>
        <v>0</v>
      </c>
      <c r="BS520" s="65"/>
      <c r="BT520" s="160">
        <f t="shared" si="1863"/>
        <v>0</v>
      </c>
      <c r="BU520" s="160">
        <f t="shared" si="1864"/>
        <v>0</v>
      </c>
      <c r="BV520" s="65"/>
      <c r="BW520" s="69"/>
      <c r="BX520" s="65"/>
      <c r="BY520" s="137">
        <f t="shared" si="1865"/>
        <v>1</v>
      </c>
      <c r="BZ520" s="137">
        <f>IF(BY520&gt;0,BY520+LARGE($BZ$213:BZ519,1),0)</f>
        <v>260</v>
      </c>
      <c r="CA520" s="137" t="str">
        <f t="shared" si="1866"/>
        <v>EST_III</v>
      </c>
      <c r="CB520" s="161">
        <f t="shared" si="1867"/>
        <v>0</v>
      </c>
      <c r="CC520" s="161">
        <f t="shared" si="1868"/>
        <v>0</v>
      </c>
      <c r="CD520" s="161">
        <f t="shared" si="1869"/>
        <v>0</v>
      </c>
      <c r="CE520" s="161">
        <f t="shared" si="1870"/>
        <v>0</v>
      </c>
      <c r="CF520" s="161">
        <f t="shared" si="1871"/>
        <v>0</v>
      </c>
      <c r="CG520" s="161">
        <f t="shared" si="1872"/>
        <v>0</v>
      </c>
      <c r="CH520" s="161">
        <f t="shared" si="1873"/>
        <v>0</v>
      </c>
      <c r="CI520" s="161">
        <f t="shared" si="1874"/>
        <v>0</v>
      </c>
      <c r="CJ520" s="161">
        <f t="shared" si="1875"/>
        <v>0</v>
      </c>
      <c r="CK520" s="161">
        <f t="shared" si="1876"/>
        <v>0</v>
      </c>
      <c r="CL520" s="161">
        <f t="shared" si="1877"/>
        <v>0</v>
      </c>
      <c r="CM520" s="161">
        <f t="shared" si="1878"/>
        <v>0</v>
      </c>
      <c r="CN520" s="161">
        <f t="shared" si="1879"/>
        <v>0</v>
      </c>
      <c r="CO520" s="161">
        <f t="shared" si="1880"/>
        <v>0</v>
      </c>
      <c r="CP520" s="161">
        <f t="shared" si="1881"/>
        <v>0</v>
      </c>
      <c r="CQ520" s="161">
        <f t="shared" si="1882"/>
        <v>0</v>
      </c>
      <c r="CR520" s="161">
        <f t="shared" si="1883"/>
        <v>0</v>
      </c>
      <c r="CS520" s="161">
        <f t="shared" si="1884"/>
        <v>0</v>
      </c>
      <c r="CT520" s="161">
        <f t="shared" si="1885"/>
        <v>0</v>
      </c>
      <c r="CU520" s="161">
        <f t="shared" si="1886"/>
        <v>0</v>
      </c>
      <c r="CV520" s="161">
        <f t="shared" si="1887"/>
        <v>0</v>
      </c>
      <c r="CW520" s="161">
        <f t="shared" si="1888"/>
        <v>0</v>
      </c>
      <c r="CX520" s="161">
        <f t="shared" si="1889"/>
        <v>0</v>
      </c>
      <c r="CY520" s="161">
        <f t="shared" si="1890"/>
        <v>0</v>
      </c>
      <c r="CZ520" s="161">
        <f t="shared" si="1891"/>
        <v>0</v>
      </c>
      <c r="DA520" s="161">
        <f t="shared" si="1892"/>
        <v>0</v>
      </c>
      <c r="DB520" s="161">
        <f t="shared" si="1893"/>
        <v>0</v>
      </c>
      <c r="DC520" s="161">
        <f t="shared" si="1894"/>
        <v>0</v>
      </c>
      <c r="DD520" s="161">
        <f t="shared" si="1895"/>
        <v>0</v>
      </c>
      <c r="DE520" s="161">
        <f t="shared" si="1896"/>
        <v>0</v>
      </c>
      <c r="DF520" s="161">
        <f t="shared" si="1897"/>
        <v>0</v>
      </c>
      <c r="DG520" s="161">
        <f t="shared" si="1898"/>
        <v>0</v>
      </c>
      <c r="DH520" s="161">
        <f t="shared" si="1899"/>
        <v>0</v>
      </c>
      <c r="DI520" s="161">
        <f t="shared" si="1900"/>
        <v>0</v>
      </c>
      <c r="DJ520" s="161">
        <f t="shared" si="1901"/>
        <v>0</v>
      </c>
      <c r="DK520" s="161">
        <f t="shared" si="1902"/>
        <v>0</v>
      </c>
      <c r="DL520" s="161">
        <f t="shared" si="1903"/>
        <v>0</v>
      </c>
      <c r="DM520" s="161">
        <f t="shared" si="1904"/>
        <v>0</v>
      </c>
      <c r="DN520" s="161">
        <f t="shared" si="1905"/>
        <v>0</v>
      </c>
      <c r="DO520" s="161">
        <f t="shared" si="1906"/>
        <v>0</v>
      </c>
      <c r="DP520" s="161">
        <f t="shared" si="1907"/>
        <v>0</v>
      </c>
      <c r="DQ520" s="161">
        <f t="shared" si="1908"/>
        <v>0</v>
      </c>
      <c r="DR520" s="161">
        <f t="shared" si="1909"/>
        <v>0</v>
      </c>
      <c r="DS520" s="161">
        <f t="shared" si="1910"/>
        <v>0</v>
      </c>
      <c r="DT520" s="161">
        <f t="shared" si="1911"/>
        <v>0</v>
      </c>
      <c r="DU520" s="161">
        <f t="shared" si="1912"/>
        <v>0</v>
      </c>
      <c r="DV520" s="161">
        <f t="shared" si="1913"/>
        <v>0</v>
      </c>
      <c r="DW520" s="161">
        <f t="shared" si="1914"/>
        <v>0</v>
      </c>
      <c r="DX520" s="161">
        <f t="shared" si="1915"/>
        <v>0</v>
      </c>
      <c r="DY520" s="161">
        <f t="shared" si="1916"/>
        <v>0</v>
      </c>
      <c r="DZ520" s="161">
        <f t="shared" si="1917"/>
        <v>0</v>
      </c>
      <c r="EA520" s="161">
        <f t="shared" si="1918"/>
        <v>0</v>
      </c>
      <c r="EB520" s="161">
        <f t="shared" si="1919"/>
        <v>0</v>
      </c>
      <c r="EC520" s="161">
        <f t="shared" si="1920"/>
        <v>0</v>
      </c>
      <c r="ED520" s="161">
        <f t="shared" si="1921"/>
        <v>0</v>
      </c>
      <c r="EE520" s="161">
        <f t="shared" si="1922"/>
        <v>0</v>
      </c>
      <c r="EF520" s="161">
        <f t="shared" si="1923"/>
        <v>0</v>
      </c>
      <c r="EG520" s="161">
        <f t="shared" si="1924"/>
        <v>0</v>
      </c>
      <c r="EH520" s="161">
        <f t="shared" si="1925"/>
        <v>0</v>
      </c>
      <c r="EI520" s="161">
        <f t="shared" si="1926"/>
        <v>0</v>
      </c>
      <c r="EJ520" s="65"/>
      <c r="EK520" s="161">
        <f t="shared" si="1997"/>
        <v>0</v>
      </c>
      <c r="EL520" s="161">
        <f t="shared" si="1998"/>
        <v>0</v>
      </c>
      <c r="EM520" s="161">
        <f t="shared" si="1999"/>
        <v>0</v>
      </c>
    </row>
    <row r="521" spans="1:143" ht="12" hidden="1" customHeight="1" outlineLevel="1">
      <c r="B521" s="65"/>
      <c r="C521" s="65"/>
      <c r="D521" s="65"/>
      <c r="E521" s="65"/>
      <c r="F521" s="73" t="s">
        <v>380</v>
      </c>
      <c r="G521" s="162" t="str">
        <f>"Pico = "&amp;MAX(K521:BR521)</f>
        <v>Pico = 0</v>
      </c>
      <c r="H521" s="163">
        <f>SUM(H501:H520)</f>
        <v>0</v>
      </c>
      <c r="I521" s="148">
        <f>SUM(I501:I520)</f>
        <v>0</v>
      </c>
      <c r="J521" s="65"/>
      <c r="K521" s="146">
        <f>SUM(K501:K520)</f>
        <v>0</v>
      </c>
      <c r="L521" s="146">
        <f t="shared" ref="L521:BR521" si="2003">SUM(L501:L520)</f>
        <v>0</v>
      </c>
      <c r="M521" s="146">
        <f t="shared" si="2003"/>
        <v>0</v>
      </c>
      <c r="N521" s="146">
        <f t="shared" si="2003"/>
        <v>0</v>
      </c>
      <c r="O521" s="146">
        <f t="shared" si="2003"/>
        <v>0</v>
      </c>
      <c r="P521" s="146">
        <f t="shared" si="2003"/>
        <v>0</v>
      </c>
      <c r="Q521" s="146">
        <f t="shared" si="2003"/>
        <v>0</v>
      </c>
      <c r="R521" s="146">
        <f t="shared" si="2003"/>
        <v>0</v>
      </c>
      <c r="S521" s="146">
        <f t="shared" si="2003"/>
        <v>0</v>
      </c>
      <c r="T521" s="146">
        <f t="shared" si="2003"/>
        <v>0</v>
      </c>
      <c r="U521" s="146">
        <f t="shared" si="2003"/>
        <v>0</v>
      </c>
      <c r="V521" s="146">
        <f t="shared" si="2003"/>
        <v>0</v>
      </c>
      <c r="W521" s="146">
        <f t="shared" si="2003"/>
        <v>0</v>
      </c>
      <c r="X521" s="146">
        <f t="shared" si="2003"/>
        <v>0</v>
      </c>
      <c r="Y521" s="146">
        <f t="shared" si="2003"/>
        <v>0</v>
      </c>
      <c r="Z521" s="146">
        <f t="shared" si="2003"/>
        <v>0</v>
      </c>
      <c r="AA521" s="146">
        <f t="shared" si="2003"/>
        <v>0</v>
      </c>
      <c r="AB521" s="146">
        <f t="shared" si="2003"/>
        <v>0</v>
      </c>
      <c r="AC521" s="146">
        <f t="shared" si="2003"/>
        <v>0</v>
      </c>
      <c r="AD521" s="146">
        <f t="shared" si="2003"/>
        <v>0</v>
      </c>
      <c r="AE521" s="146">
        <f t="shared" si="2003"/>
        <v>0</v>
      </c>
      <c r="AF521" s="146">
        <f t="shared" si="2003"/>
        <v>0</v>
      </c>
      <c r="AG521" s="146">
        <f t="shared" si="2003"/>
        <v>0</v>
      </c>
      <c r="AH521" s="146">
        <f t="shared" si="2003"/>
        <v>0</v>
      </c>
      <c r="AI521" s="146">
        <f t="shared" si="2003"/>
        <v>0</v>
      </c>
      <c r="AJ521" s="146">
        <f t="shared" si="2003"/>
        <v>0</v>
      </c>
      <c r="AK521" s="146">
        <f t="shared" si="2003"/>
        <v>0</v>
      </c>
      <c r="AL521" s="146">
        <f t="shared" si="2003"/>
        <v>0</v>
      </c>
      <c r="AM521" s="146">
        <f t="shared" si="2003"/>
        <v>0</v>
      </c>
      <c r="AN521" s="146">
        <f t="shared" si="2003"/>
        <v>0</v>
      </c>
      <c r="AO521" s="146">
        <f t="shared" si="2003"/>
        <v>0</v>
      </c>
      <c r="AP521" s="146">
        <f t="shared" si="2003"/>
        <v>0</v>
      </c>
      <c r="AQ521" s="146">
        <f t="shared" si="2003"/>
        <v>0</v>
      </c>
      <c r="AR521" s="146">
        <f t="shared" si="2003"/>
        <v>0</v>
      </c>
      <c r="AS521" s="146">
        <f t="shared" si="2003"/>
        <v>0</v>
      </c>
      <c r="AT521" s="146">
        <f t="shared" si="2003"/>
        <v>0</v>
      </c>
      <c r="AU521" s="146">
        <f t="shared" si="2003"/>
        <v>0</v>
      </c>
      <c r="AV521" s="146">
        <f t="shared" si="2003"/>
        <v>0</v>
      </c>
      <c r="AW521" s="146">
        <f t="shared" si="2003"/>
        <v>0</v>
      </c>
      <c r="AX521" s="146">
        <f t="shared" si="2003"/>
        <v>0</v>
      </c>
      <c r="AY521" s="146">
        <f t="shared" si="2003"/>
        <v>0</v>
      </c>
      <c r="AZ521" s="146">
        <f t="shared" si="2003"/>
        <v>0</v>
      </c>
      <c r="BA521" s="146">
        <f t="shared" si="2003"/>
        <v>0</v>
      </c>
      <c r="BB521" s="146">
        <f t="shared" si="2003"/>
        <v>0</v>
      </c>
      <c r="BC521" s="146">
        <f t="shared" si="2003"/>
        <v>0</v>
      </c>
      <c r="BD521" s="146">
        <f t="shared" si="2003"/>
        <v>0</v>
      </c>
      <c r="BE521" s="146">
        <f t="shared" si="2003"/>
        <v>0</v>
      </c>
      <c r="BF521" s="146">
        <f t="shared" si="2003"/>
        <v>0</v>
      </c>
      <c r="BG521" s="146">
        <f t="shared" si="2003"/>
        <v>0</v>
      </c>
      <c r="BH521" s="146">
        <f t="shared" si="2003"/>
        <v>0</v>
      </c>
      <c r="BI521" s="146">
        <f t="shared" si="2003"/>
        <v>0</v>
      </c>
      <c r="BJ521" s="146">
        <f t="shared" si="2003"/>
        <v>0</v>
      </c>
      <c r="BK521" s="146">
        <f t="shared" si="2003"/>
        <v>0</v>
      </c>
      <c r="BL521" s="146">
        <f t="shared" si="2003"/>
        <v>0</v>
      </c>
      <c r="BM521" s="146">
        <f t="shared" si="2003"/>
        <v>0</v>
      </c>
      <c r="BN521" s="146">
        <f t="shared" si="2003"/>
        <v>0</v>
      </c>
      <c r="BO521" s="146">
        <f t="shared" si="2003"/>
        <v>0</v>
      </c>
      <c r="BP521" s="146">
        <f t="shared" si="2003"/>
        <v>0</v>
      </c>
      <c r="BQ521" s="146">
        <f t="shared" si="2003"/>
        <v>0</v>
      </c>
      <c r="BR521" s="146">
        <f t="shared" si="2003"/>
        <v>0</v>
      </c>
      <c r="BS521" s="65"/>
      <c r="BT521" s="146">
        <f t="shared" ref="BT521" si="2004">SUM(BT501:BT520)</f>
        <v>0</v>
      </c>
      <c r="BU521" s="65"/>
      <c r="BV521" s="65"/>
      <c r="BW521" s="69"/>
      <c r="BX521" s="65"/>
      <c r="BY521" s="65"/>
      <c r="BZ521" s="65"/>
      <c r="CA521" s="65"/>
      <c r="CB521" s="65"/>
      <c r="CC521" s="65"/>
      <c r="CD521" s="65"/>
      <c r="CE521" s="65"/>
      <c r="CF521" s="65"/>
      <c r="CG521" s="65"/>
      <c r="CH521" s="65"/>
      <c r="CI521" s="65"/>
      <c r="CJ521" s="65"/>
      <c r="CK521" s="65"/>
      <c r="CL521" s="65"/>
      <c r="CM521" s="65"/>
      <c r="CN521" s="65"/>
      <c r="CO521" s="65"/>
      <c r="CP521" s="65"/>
      <c r="CQ521" s="65"/>
      <c r="CR521" s="65"/>
      <c r="CS521" s="65"/>
      <c r="CT521" s="65"/>
      <c r="CU521" s="65"/>
      <c r="CV521" s="65"/>
      <c r="CW521" s="65"/>
      <c r="CX521" s="65"/>
      <c r="CY521" s="65"/>
      <c r="CZ521" s="65"/>
      <c r="DA521" s="65"/>
      <c r="DB521" s="65"/>
      <c r="DC521" s="65"/>
      <c r="DD521" s="65"/>
      <c r="DE521" s="65"/>
      <c r="DF521" s="65"/>
      <c r="DG521" s="65"/>
      <c r="DH521" s="65"/>
      <c r="DI521" s="65"/>
      <c r="DJ521" s="65"/>
      <c r="DK521" s="65"/>
      <c r="DL521" s="65"/>
      <c r="DM521" s="65"/>
      <c r="DN521" s="65"/>
      <c r="DO521" s="65"/>
      <c r="DP521" s="65"/>
      <c r="DQ521" s="65"/>
      <c r="DR521" s="65"/>
      <c r="DS521" s="65"/>
      <c r="DT521" s="65"/>
      <c r="DU521" s="65"/>
      <c r="DV521" s="65"/>
      <c r="DW521" s="65"/>
      <c r="DX521" s="65"/>
      <c r="DY521" s="65"/>
      <c r="DZ521" s="65"/>
      <c r="EA521" s="65"/>
      <c r="EB521" s="65"/>
      <c r="EC521" s="65"/>
      <c r="ED521" s="65"/>
      <c r="EE521" s="65"/>
      <c r="EF521" s="65"/>
      <c r="EG521" s="65"/>
      <c r="EH521" s="65"/>
      <c r="EI521" s="65"/>
      <c r="EJ521" s="65"/>
      <c r="EK521" s="65"/>
      <c r="EL521" s="65"/>
      <c r="EM521" s="65"/>
    </row>
    <row r="522" spans="1:143" ht="12" hidden="1" customHeight="1" outlineLevel="1"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  <c r="AT522" s="65"/>
      <c r="AU522" s="65"/>
      <c r="AV522" s="65"/>
      <c r="AW522" s="65"/>
      <c r="AX522" s="65"/>
      <c r="AY522" s="65"/>
      <c r="AZ522" s="65"/>
      <c r="BA522" s="65"/>
      <c r="BB522" s="65"/>
      <c r="BC522" s="65"/>
      <c r="BD522" s="65"/>
      <c r="BE522" s="65"/>
      <c r="BF522" s="65"/>
      <c r="BG522" s="65"/>
      <c r="BH522" s="65"/>
      <c r="BI522" s="65"/>
      <c r="BJ522" s="65"/>
      <c r="BK522" s="65"/>
      <c r="BL522" s="65"/>
      <c r="BM522" s="65"/>
      <c r="BN522" s="65"/>
      <c r="BO522" s="65"/>
      <c r="BP522" s="65"/>
      <c r="BQ522" s="65"/>
      <c r="BR522" s="65"/>
      <c r="BS522" s="65"/>
      <c r="BT522" s="65"/>
      <c r="BU522" s="65"/>
      <c r="BV522" s="65"/>
      <c r="BW522" s="69"/>
      <c r="BX522" s="65"/>
      <c r="BY522" s="65"/>
      <c r="BZ522" s="65"/>
      <c r="CA522" s="65"/>
      <c r="CB522" s="65"/>
      <c r="CC522" s="65"/>
      <c r="CD522" s="65"/>
      <c r="CE522" s="65"/>
      <c r="CF522" s="65"/>
      <c r="CG522" s="65"/>
      <c r="CH522" s="65"/>
      <c r="CI522" s="65"/>
      <c r="CJ522" s="65"/>
      <c r="CK522" s="65"/>
      <c r="CL522" s="65"/>
      <c r="CM522" s="65"/>
      <c r="CN522" s="65"/>
      <c r="CO522" s="65"/>
      <c r="CP522" s="65"/>
      <c r="CQ522" s="65"/>
      <c r="CR522" s="65"/>
      <c r="CS522" s="65"/>
      <c r="CT522" s="65"/>
      <c r="CU522" s="65"/>
      <c r="CV522" s="65"/>
      <c r="CW522" s="65"/>
      <c r="CX522" s="65"/>
      <c r="CY522" s="65"/>
      <c r="CZ522" s="65"/>
      <c r="DA522" s="65"/>
      <c r="DB522" s="65"/>
      <c r="DC522" s="65"/>
      <c r="DD522" s="65"/>
      <c r="DE522" s="65"/>
      <c r="DF522" s="65"/>
      <c r="DG522" s="65"/>
      <c r="DH522" s="65"/>
      <c r="DI522" s="65"/>
      <c r="DJ522" s="65"/>
      <c r="DK522" s="65"/>
      <c r="DL522" s="65"/>
      <c r="DM522" s="65"/>
      <c r="DN522" s="65"/>
      <c r="DO522" s="65"/>
      <c r="DP522" s="65"/>
      <c r="DQ522" s="65"/>
      <c r="DR522" s="65"/>
      <c r="DS522" s="65"/>
      <c r="DT522" s="65"/>
      <c r="DU522" s="65"/>
      <c r="DV522" s="65"/>
      <c r="DW522" s="65"/>
      <c r="DX522" s="65"/>
      <c r="DY522" s="65"/>
      <c r="DZ522" s="65"/>
      <c r="EA522" s="65"/>
      <c r="EB522" s="65"/>
      <c r="EC522" s="65"/>
      <c r="ED522" s="65"/>
      <c r="EE522" s="65"/>
      <c r="EF522" s="65"/>
      <c r="EG522" s="65"/>
      <c r="EH522" s="65"/>
      <c r="EI522" s="65"/>
      <c r="EJ522" s="65"/>
      <c r="EK522" s="65"/>
      <c r="EL522" s="65"/>
      <c r="EM522" s="65"/>
    </row>
    <row r="523" spans="1:143" ht="24" hidden="1" customHeight="1" outlineLevel="1">
      <c r="B523" s="593" t="s">
        <v>395</v>
      </c>
      <c r="C523" s="65"/>
      <c r="D523" s="65"/>
      <c r="E523" s="65"/>
      <c r="F523" s="471" t="str">
        <f>IF($G$64&gt;0,$G$64,"")</f>
        <v>Equipe14</v>
      </c>
      <c r="G523" s="471"/>
      <c r="H523" s="471"/>
      <c r="I523" s="471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  <c r="AT523" s="65"/>
      <c r="AU523" s="65"/>
      <c r="AV523" s="65"/>
      <c r="AW523" s="65"/>
      <c r="AX523" s="65"/>
      <c r="AY523" s="65"/>
      <c r="AZ523" s="65"/>
      <c r="BA523" s="65"/>
      <c r="BB523" s="65"/>
      <c r="BC523" s="65"/>
      <c r="BD523" s="65"/>
      <c r="BE523" s="65"/>
      <c r="BF523" s="65"/>
      <c r="BG523" s="65"/>
      <c r="BH523" s="65"/>
      <c r="BI523" s="65"/>
      <c r="BJ523" s="65"/>
      <c r="BK523" s="65"/>
      <c r="BL523" s="65"/>
      <c r="BM523" s="65"/>
      <c r="BN523" s="65"/>
      <c r="BO523" s="65"/>
      <c r="BP523" s="65"/>
      <c r="BQ523" s="65"/>
      <c r="BR523" s="65"/>
      <c r="BS523" s="65"/>
      <c r="BT523" s="601" t="s">
        <v>396</v>
      </c>
      <c r="BU523" s="601" t="s">
        <v>397</v>
      </c>
      <c r="BV523" s="65"/>
      <c r="BW523" s="69"/>
      <c r="BX523" s="65"/>
      <c r="BY523" s="593" t="s">
        <v>398</v>
      </c>
      <c r="BZ523" s="593" t="s">
        <v>399</v>
      </c>
      <c r="CA523" s="593" t="s">
        <v>400</v>
      </c>
      <c r="CB523" s="592" t="s">
        <v>401</v>
      </c>
      <c r="CC523" s="592" t="s">
        <v>402</v>
      </c>
      <c r="CD523" s="592" t="s">
        <v>403</v>
      </c>
      <c r="CE523" s="592" t="s">
        <v>404</v>
      </c>
      <c r="CF523" s="592" t="s">
        <v>405</v>
      </c>
      <c r="CG523" s="592" t="s">
        <v>406</v>
      </c>
      <c r="CH523" s="592" t="s">
        <v>407</v>
      </c>
      <c r="CI523" s="592" t="s">
        <v>408</v>
      </c>
      <c r="CJ523" s="592" t="s">
        <v>409</v>
      </c>
      <c r="CK523" s="592" t="s">
        <v>410</v>
      </c>
      <c r="CL523" s="592" t="s">
        <v>411</v>
      </c>
      <c r="CM523" s="592" t="s">
        <v>412</v>
      </c>
      <c r="CN523" s="592" t="s">
        <v>413</v>
      </c>
      <c r="CO523" s="592" t="s">
        <v>414</v>
      </c>
      <c r="CP523" s="592" t="s">
        <v>415</v>
      </c>
      <c r="CQ523" s="592" t="s">
        <v>416</v>
      </c>
      <c r="CR523" s="592" t="s">
        <v>417</v>
      </c>
      <c r="CS523" s="592" t="s">
        <v>418</v>
      </c>
      <c r="CT523" s="592" t="s">
        <v>419</v>
      </c>
      <c r="CU523" s="592" t="s">
        <v>420</v>
      </c>
      <c r="CV523" s="592" t="s">
        <v>421</v>
      </c>
      <c r="CW523" s="592" t="s">
        <v>422</v>
      </c>
      <c r="CX523" s="592" t="s">
        <v>423</v>
      </c>
      <c r="CY523" s="592" t="s">
        <v>424</v>
      </c>
      <c r="CZ523" s="592" t="s">
        <v>425</v>
      </c>
      <c r="DA523" s="592" t="s">
        <v>426</v>
      </c>
      <c r="DB523" s="592" t="s">
        <v>427</v>
      </c>
      <c r="DC523" s="592" t="s">
        <v>428</v>
      </c>
      <c r="DD523" s="592" t="s">
        <v>429</v>
      </c>
      <c r="DE523" s="592" t="s">
        <v>430</v>
      </c>
      <c r="DF523" s="592" t="s">
        <v>431</v>
      </c>
      <c r="DG523" s="592" t="s">
        <v>432</v>
      </c>
      <c r="DH523" s="592" t="s">
        <v>433</v>
      </c>
      <c r="DI523" s="592" t="s">
        <v>434</v>
      </c>
      <c r="DJ523" s="592" t="s">
        <v>435</v>
      </c>
      <c r="DK523" s="592" t="s">
        <v>436</v>
      </c>
      <c r="DL523" s="592" t="s">
        <v>437</v>
      </c>
      <c r="DM523" s="592" t="s">
        <v>438</v>
      </c>
      <c r="DN523" s="592" t="s">
        <v>439</v>
      </c>
      <c r="DO523" s="592" t="s">
        <v>440</v>
      </c>
      <c r="DP523" s="592" t="s">
        <v>441</v>
      </c>
      <c r="DQ523" s="592" t="s">
        <v>442</v>
      </c>
      <c r="DR523" s="592" t="s">
        <v>443</v>
      </c>
      <c r="DS523" s="592" t="s">
        <v>444</v>
      </c>
      <c r="DT523" s="592" t="s">
        <v>445</v>
      </c>
      <c r="DU523" s="592" t="s">
        <v>446</v>
      </c>
      <c r="DV523" s="592" t="s">
        <v>447</v>
      </c>
      <c r="DW523" s="592" t="s">
        <v>448</v>
      </c>
      <c r="DX523" s="592" t="s">
        <v>449</v>
      </c>
      <c r="DY523" s="592" t="s">
        <v>450</v>
      </c>
      <c r="DZ523" s="592" t="s">
        <v>451</v>
      </c>
      <c r="EA523" s="592" t="s">
        <v>452</v>
      </c>
      <c r="EB523" s="592" t="s">
        <v>453</v>
      </c>
      <c r="EC523" s="592" t="s">
        <v>454</v>
      </c>
      <c r="ED523" s="592" t="s">
        <v>455</v>
      </c>
      <c r="EE523" s="592" t="s">
        <v>456</v>
      </c>
      <c r="EF523" s="592" t="s">
        <v>457</v>
      </c>
      <c r="EG523" s="592" t="s">
        <v>458</v>
      </c>
      <c r="EH523" s="592" t="s">
        <v>459</v>
      </c>
      <c r="EI523" s="592" t="s">
        <v>460</v>
      </c>
      <c r="EJ523" s="65"/>
      <c r="EK523" s="157" t="s">
        <v>376</v>
      </c>
      <c r="EL523" s="157" t="s">
        <v>461</v>
      </c>
      <c r="EM523" s="157" t="s">
        <v>383</v>
      </c>
    </row>
    <row r="524" spans="1:143" ht="12" hidden="1" customHeight="1" outlineLevel="1" collapsed="1">
      <c r="B524" s="593"/>
      <c r="C524" s="65"/>
      <c r="D524" s="65"/>
      <c r="E524" s="65"/>
      <c r="F524" s="158" t="s">
        <v>198</v>
      </c>
      <c r="G524" s="158" t="s">
        <v>462</v>
      </c>
      <c r="H524" s="158" t="s">
        <v>255</v>
      </c>
      <c r="I524" s="158" t="s">
        <v>68</v>
      </c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5"/>
      <c r="AT524" s="65"/>
      <c r="AU524" s="65"/>
      <c r="AV524" s="65"/>
      <c r="AW524" s="65"/>
      <c r="AX524" s="65"/>
      <c r="AY524" s="65"/>
      <c r="AZ524" s="65"/>
      <c r="BA524" s="65"/>
      <c r="BB524" s="65"/>
      <c r="BC524" s="65"/>
      <c r="BD524" s="65"/>
      <c r="BE524" s="65"/>
      <c r="BF524" s="65"/>
      <c r="BG524" s="65"/>
      <c r="BH524" s="65"/>
      <c r="BI524" s="65"/>
      <c r="BJ524" s="65"/>
      <c r="BK524" s="65"/>
      <c r="BL524" s="65"/>
      <c r="BM524" s="65"/>
      <c r="BN524" s="65"/>
      <c r="BO524" s="65"/>
      <c r="BP524" s="65"/>
      <c r="BQ524" s="65"/>
      <c r="BR524" s="65"/>
      <c r="BS524" s="65"/>
      <c r="BT524" s="602"/>
      <c r="BU524" s="602"/>
      <c r="BV524" s="65"/>
      <c r="BW524" s="69"/>
      <c r="BX524" s="65"/>
      <c r="BY524" s="593"/>
      <c r="BZ524" s="593"/>
      <c r="CA524" s="593"/>
      <c r="CB524" s="592"/>
      <c r="CC524" s="592"/>
      <c r="CD524" s="592"/>
      <c r="CE524" s="592"/>
      <c r="CF524" s="592"/>
      <c r="CG524" s="592"/>
      <c r="CH524" s="592"/>
      <c r="CI524" s="592"/>
      <c r="CJ524" s="592"/>
      <c r="CK524" s="592"/>
      <c r="CL524" s="592"/>
      <c r="CM524" s="592"/>
      <c r="CN524" s="592"/>
      <c r="CO524" s="592"/>
      <c r="CP524" s="592"/>
      <c r="CQ524" s="592"/>
      <c r="CR524" s="592"/>
      <c r="CS524" s="592"/>
      <c r="CT524" s="592"/>
      <c r="CU524" s="592"/>
      <c r="CV524" s="592"/>
      <c r="CW524" s="592"/>
      <c r="CX524" s="592"/>
      <c r="CY524" s="592"/>
      <c r="CZ524" s="592"/>
      <c r="DA524" s="592"/>
      <c r="DB524" s="592"/>
      <c r="DC524" s="592"/>
      <c r="DD524" s="592"/>
      <c r="DE524" s="592"/>
      <c r="DF524" s="592"/>
      <c r="DG524" s="592"/>
      <c r="DH524" s="592"/>
      <c r="DI524" s="592"/>
      <c r="DJ524" s="592"/>
      <c r="DK524" s="592"/>
      <c r="DL524" s="592"/>
      <c r="DM524" s="592"/>
      <c r="DN524" s="592"/>
      <c r="DO524" s="592"/>
      <c r="DP524" s="592"/>
      <c r="DQ524" s="592"/>
      <c r="DR524" s="592"/>
      <c r="DS524" s="592"/>
      <c r="DT524" s="592"/>
      <c r="DU524" s="592"/>
      <c r="DV524" s="592"/>
      <c r="DW524" s="592"/>
      <c r="DX524" s="592"/>
      <c r="DY524" s="592"/>
      <c r="DZ524" s="592"/>
      <c r="EA524" s="592"/>
      <c r="EB524" s="592"/>
      <c r="EC524" s="592"/>
      <c r="ED524" s="592"/>
      <c r="EE524" s="592"/>
      <c r="EF524" s="592"/>
      <c r="EG524" s="592"/>
      <c r="EH524" s="592"/>
      <c r="EI524" s="592"/>
      <c r="EJ524" s="65"/>
      <c r="EK524" s="159">
        <f>IFERROR(ROUNDUP(SUMPRODUCT($K545:$BR545,$K$119:$BR$119)/SUM($K545:$BR545),2),0)</f>
        <v>0</v>
      </c>
      <c r="EL524" s="159">
        <f>IFERROR(ROUNDUP(SUMPRODUCT($K545:$BR545,$K$143:$BR$143)/SUM($K545:$BR545),2),0)</f>
        <v>0</v>
      </c>
      <c r="EM524" s="159">
        <f>IFERROR(ROUNDUP(SUMPRODUCT($K545:$BR545,$K$167:$BR$167)/SUM($K545:$BR545),2),0)</f>
        <v>0</v>
      </c>
    </row>
    <row r="525" spans="1:143" ht="12" hidden="1" customHeight="1" outlineLevel="2">
      <c r="A525" s="77">
        <v>1</v>
      </c>
      <c r="B525" s="137" t="str">
        <f>IF(G525&gt;0,G525&amp;" - "&amp;$F$213,"")</f>
        <v>GER. (OBRA/PROJ) - Equipe_01</v>
      </c>
      <c r="C525" s="65"/>
      <c r="D525" s="620" t="s">
        <v>463</v>
      </c>
      <c r="E525" s="65"/>
      <c r="F525" s="603" t="str">
        <f>IFERROR(VLOOKUP(F523,Tarefas!$F$3:$G$22,2,0),"")</f>
        <v>Equipe_14</v>
      </c>
      <c r="G525" s="77" t="str">
        <f>IF(INDEX(Tarefas!$BT$30:$FK$30,MATCH(A525,Tarefas!$BT$28:$FK$28,0))=0,"",INDEX(Tarefas!$BT$30:$FK$30,MATCH(A525,Tarefas!$BT$28:$FK$28,0)))</f>
        <v>GER. (OBRA/PROJ)</v>
      </c>
      <c r="H525" s="107" cm="1">
        <f t="array" ref="H525">IFERROR((SUMPRODUCT((Tarefas!$N$32:$N$54='Cronog. e Histog.'!$F$525)*(Tarefas!$BQ$30:$FK$30='Cronog. e Histog.'!$G525)*(Tarefas!$BQ$32:$FK$54)))/SUMIF(Tarefas!$N$32:$N$54,'Cronog. e Histog.'!$F$525,Tarefas!$K$32:$K$54),0)</f>
        <v>0</v>
      </c>
      <c r="I525" s="79">
        <f>IFERROR(H525/$H$545,0)</f>
        <v>0</v>
      </c>
      <c r="J525" s="65"/>
      <c r="K525" s="160">
        <f>ROUND($I525*K$196,2)</f>
        <v>0</v>
      </c>
      <c r="L525" s="160">
        <f t="shared" ref="L525:BR539" si="2005">ROUND($I525*L$196,2)</f>
        <v>0</v>
      </c>
      <c r="M525" s="160">
        <f t="shared" si="2005"/>
        <v>0</v>
      </c>
      <c r="N525" s="160">
        <f t="shared" si="2005"/>
        <v>0</v>
      </c>
      <c r="O525" s="160">
        <f t="shared" si="2005"/>
        <v>0</v>
      </c>
      <c r="P525" s="160">
        <f t="shared" si="2005"/>
        <v>0</v>
      </c>
      <c r="Q525" s="160">
        <f t="shared" si="2005"/>
        <v>0</v>
      </c>
      <c r="R525" s="160">
        <f t="shared" si="2005"/>
        <v>0</v>
      </c>
      <c r="S525" s="160">
        <f t="shared" si="2005"/>
        <v>0</v>
      </c>
      <c r="T525" s="160">
        <f t="shared" si="2005"/>
        <v>0</v>
      </c>
      <c r="U525" s="160">
        <f t="shared" si="2005"/>
        <v>0</v>
      </c>
      <c r="V525" s="160">
        <f t="shared" si="2005"/>
        <v>0</v>
      </c>
      <c r="W525" s="160">
        <f t="shared" si="2005"/>
        <v>0</v>
      </c>
      <c r="X525" s="160">
        <f t="shared" si="2005"/>
        <v>0</v>
      </c>
      <c r="Y525" s="160">
        <f t="shared" si="2005"/>
        <v>0</v>
      </c>
      <c r="Z525" s="160">
        <f t="shared" si="2005"/>
        <v>0</v>
      </c>
      <c r="AA525" s="160">
        <f t="shared" si="2005"/>
        <v>0</v>
      </c>
      <c r="AB525" s="160">
        <f t="shared" si="2005"/>
        <v>0</v>
      </c>
      <c r="AC525" s="160">
        <f t="shared" si="2005"/>
        <v>0</v>
      </c>
      <c r="AD525" s="160">
        <f t="shared" si="2005"/>
        <v>0</v>
      </c>
      <c r="AE525" s="160">
        <f t="shared" si="2005"/>
        <v>0</v>
      </c>
      <c r="AF525" s="160">
        <f t="shared" si="2005"/>
        <v>0</v>
      </c>
      <c r="AG525" s="160">
        <f t="shared" si="2005"/>
        <v>0</v>
      </c>
      <c r="AH525" s="160">
        <f t="shared" si="2005"/>
        <v>0</v>
      </c>
      <c r="AI525" s="160">
        <f t="shared" si="2005"/>
        <v>0</v>
      </c>
      <c r="AJ525" s="160">
        <f t="shared" si="2005"/>
        <v>0</v>
      </c>
      <c r="AK525" s="160">
        <f t="shared" si="2005"/>
        <v>0</v>
      </c>
      <c r="AL525" s="160">
        <f t="shared" si="2005"/>
        <v>0</v>
      </c>
      <c r="AM525" s="160">
        <f t="shared" si="2005"/>
        <v>0</v>
      </c>
      <c r="AN525" s="160">
        <f t="shared" si="2005"/>
        <v>0</v>
      </c>
      <c r="AO525" s="160">
        <f t="shared" si="2005"/>
        <v>0</v>
      </c>
      <c r="AP525" s="160">
        <f t="shared" si="2005"/>
        <v>0</v>
      </c>
      <c r="AQ525" s="160">
        <f t="shared" si="2005"/>
        <v>0</v>
      </c>
      <c r="AR525" s="160">
        <f t="shared" si="2005"/>
        <v>0</v>
      </c>
      <c r="AS525" s="160">
        <f t="shared" si="2005"/>
        <v>0</v>
      </c>
      <c r="AT525" s="160">
        <f t="shared" si="2005"/>
        <v>0</v>
      </c>
      <c r="AU525" s="160">
        <f t="shared" si="2005"/>
        <v>0</v>
      </c>
      <c r="AV525" s="160">
        <f t="shared" si="2005"/>
        <v>0</v>
      </c>
      <c r="AW525" s="160">
        <f t="shared" si="2005"/>
        <v>0</v>
      </c>
      <c r="AX525" s="160">
        <f t="shared" si="2005"/>
        <v>0</v>
      </c>
      <c r="AY525" s="160">
        <f t="shared" si="2005"/>
        <v>0</v>
      </c>
      <c r="AZ525" s="160">
        <f t="shared" si="2005"/>
        <v>0</v>
      </c>
      <c r="BA525" s="160">
        <f t="shared" si="2005"/>
        <v>0</v>
      </c>
      <c r="BB525" s="160">
        <f t="shared" si="2005"/>
        <v>0</v>
      </c>
      <c r="BC525" s="160">
        <f t="shared" si="2005"/>
        <v>0</v>
      </c>
      <c r="BD525" s="160">
        <f t="shared" si="2005"/>
        <v>0</v>
      </c>
      <c r="BE525" s="160">
        <f t="shared" si="2005"/>
        <v>0</v>
      </c>
      <c r="BF525" s="160">
        <f t="shared" si="2005"/>
        <v>0</v>
      </c>
      <c r="BG525" s="160">
        <f t="shared" si="2005"/>
        <v>0</v>
      </c>
      <c r="BH525" s="160">
        <f t="shared" si="2005"/>
        <v>0</v>
      </c>
      <c r="BI525" s="160">
        <f t="shared" si="2005"/>
        <v>0</v>
      </c>
      <c r="BJ525" s="160">
        <f t="shared" si="2005"/>
        <v>0</v>
      </c>
      <c r="BK525" s="160">
        <f t="shared" si="2005"/>
        <v>0</v>
      </c>
      <c r="BL525" s="160">
        <f t="shared" si="2005"/>
        <v>0</v>
      </c>
      <c r="BM525" s="160">
        <f t="shared" si="2005"/>
        <v>0</v>
      </c>
      <c r="BN525" s="160">
        <f t="shared" si="2005"/>
        <v>0</v>
      </c>
      <c r="BO525" s="160">
        <f t="shared" si="2005"/>
        <v>0</v>
      </c>
      <c r="BP525" s="160">
        <f t="shared" si="2005"/>
        <v>0</v>
      </c>
      <c r="BQ525" s="160">
        <f t="shared" si="2005"/>
        <v>0</v>
      </c>
      <c r="BR525" s="160">
        <f t="shared" si="2005"/>
        <v>0</v>
      </c>
      <c r="BS525" s="65"/>
      <c r="BT525" s="160">
        <f t="shared" ref="BT525:BT544" si="2006">IFERROR(SUM(K525:BR525)/COUNTIF(K525:BR525,"&gt;0"),0)</f>
        <v>0</v>
      </c>
      <c r="BU525" s="160">
        <f t="shared" ref="BU525:BU544" si="2007">COUNTIF(K525:BR525,"&gt;0")</f>
        <v>0</v>
      </c>
      <c r="BV525" s="65"/>
      <c r="BW525" s="69"/>
      <c r="BX525" s="65"/>
      <c r="BY525" s="137">
        <f t="shared" ref="BY525:BY544" si="2008">IF(G525&gt;0,1,0)</f>
        <v>1</v>
      </c>
      <c r="BZ525" s="137">
        <f>IF(BY525&gt;0,BY525+LARGE($BZ$213:BZ524,1),0)</f>
        <v>261</v>
      </c>
      <c r="CA525" s="137" t="str">
        <f t="shared" ref="CA525:CA544" si="2009">G525</f>
        <v>GER. (OBRA/PROJ)</v>
      </c>
      <c r="CB525" s="161">
        <f t="shared" ref="CB525:CB544" si="2010">K525</f>
        <v>0</v>
      </c>
      <c r="CC525" s="161">
        <f t="shared" ref="CC525:CC544" si="2011">L525</f>
        <v>0</v>
      </c>
      <c r="CD525" s="161">
        <f t="shared" ref="CD525:CD544" si="2012">M525</f>
        <v>0</v>
      </c>
      <c r="CE525" s="161">
        <f t="shared" ref="CE525:CE544" si="2013">N525</f>
        <v>0</v>
      </c>
      <c r="CF525" s="161">
        <f t="shared" ref="CF525:CF544" si="2014">O525</f>
        <v>0</v>
      </c>
      <c r="CG525" s="161">
        <f t="shared" ref="CG525:CG544" si="2015">P525</f>
        <v>0</v>
      </c>
      <c r="CH525" s="161">
        <f t="shared" ref="CH525:CH544" si="2016">Q525</f>
        <v>0</v>
      </c>
      <c r="CI525" s="161">
        <f t="shared" ref="CI525:CI544" si="2017">R525</f>
        <v>0</v>
      </c>
      <c r="CJ525" s="161">
        <f t="shared" ref="CJ525:CJ544" si="2018">S525</f>
        <v>0</v>
      </c>
      <c r="CK525" s="161">
        <f t="shared" ref="CK525:CK544" si="2019">T525</f>
        <v>0</v>
      </c>
      <c r="CL525" s="161">
        <f t="shared" ref="CL525:CL544" si="2020">U525</f>
        <v>0</v>
      </c>
      <c r="CM525" s="161">
        <f t="shared" ref="CM525:CM544" si="2021">V525</f>
        <v>0</v>
      </c>
      <c r="CN525" s="161">
        <f t="shared" ref="CN525:CN544" si="2022">W525</f>
        <v>0</v>
      </c>
      <c r="CO525" s="161">
        <f t="shared" ref="CO525:CO544" si="2023">X525</f>
        <v>0</v>
      </c>
      <c r="CP525" s="161">
        <f t="shared" ref="CP525:CP544" si="2024">Y525</f>
        <v>0</v>
      </c>
      <c r="CQ525" s="161">
        <f t="shared" ref="CQ525:CQ544" si="2025">Z525</f>
        <v>0</v>
      </c>
      <c r="CR525" s="161">
        <f t="shared" ref="CR525:CR544" si="2026">AA525</f>
        <v>0</v>
      </c>
      <c r="CS525" s="161">
        <f t="shared" ref="CS525:CS544" si="2027">AB525</f>
        <v>0</v>
      </c>
      <c r="CT525" s="161">
        <f t="shared" ref="CT525:CT544" si="2028">AC525</f>
        <v>0</v>
      </c>
      <c r="CU525" s="161">
        <f t="shared" ref="CU525:CU544" si="2029">AD525</f>
        <v>0</v>
      </c>
      <c r="CV525" s="161">
        <f t="shared" ref="CV525:CV544" si="2030">AE525</f>
        <v>0</v>
      </c>
      <c r="CW525" s="161">
        <f t="shared" ref="CW525:CW544" si="2031">AF525</f>
        <v>0</v>
      </c>
      <c r="CX525" s="161">
        <f t="shared" ref="CX525:CX544" si="2032">AG525</f>
        <v>0</v>
      </c>
      <c r="CY525" s="161">
        <f t="shared" ref="CY525:CY544" si="2033">AH525</f>
        <v>0</v>
      </c>
      <c r="CZ525" s="161">
        <f t="shared" ref="CZ525:CZ544" si="2034">AI525</f>
        <v>0</v>
      </c>
      <c r="DA525" s="161">
        <f t="shared" ref="DA525:DA544" si="2035">AJ525</f>
        <v>0</v>
      </c>
      <c r="DB525" s="161">
        <f t="shared" ref="DB525:DB544" si="2036">AK525</f>
        <v>0</v>
      </c>
      <c r="DC525" s="161">
        <f t="shared" ref="DC525:DC544" si="2037">AL525</f>
        <v>0</v>
      </c>
      <c r="DD525" s="161">
        <f t="shared" ref="DD525:DD544" si="2038">AM525</f>
        <v>0</v>
      </c>
      <c r="DE525" s="161">
        <f t="shared" ref="DE525:DE544" si="2039">AN525</f>
        <v>0</v>
      </c>
      <c r="DF525" s="161">
        <f t="shared" ref="DF525:DF544" si="2040">AO525</f>
        <v>0</v>
      </c>
      <c r="DG525" s="161">
        <f t="shared" ref="DG525:DG544" si="2041">AP525</f>
        <v>0</v>
      </c>
      <c r="DH525" s="161">
        <f t="shared" ref="DH525:DH544" si="2042">AQ525</f>
        <v>0</v>
      </c>
      <c r="DI525" s="161">
        <f t="shared" ref="DI525:DI544" si="2043">AR525</f>
        <v>0</v>
      </c>
      <c r="DJ525" s="161">
        <f t="shared" ref="DJ525:DJ544" si="2044">AS525</f>
        <v>0</v>
      </c>
      <c r="DK525" s="161">
        <f t="shared" ref="DK525:DK544" si="2045">AT525</f>
        <v>0</v>
      </c>
      <c r="DL525" s="161">
        <f t="shared" ref="DL525:DL544" si="2046">AU525</f>
        <v>0</v>
      </c>
      <c r="DM525" s="161">
        <f t="shared" ref="DM525:DM544" si="2047">AV525</f>
        <v>0</v>
      </c>
      <c r="DN525" s="161">
        <f t="shared" ref="DN525:DN544" si="2048">AW525</f>
        <v>0</v>
      </c>
      <c r="DO525" s="161">
        <f t="shared" ref="DO525:DO544" si="2049">AX525</f>
        <v>0</v>
      </c>
      <c r="DP525" s="161">
        <f t="shared" ref="DP525:DP544" si="2050">AY525</f>
        <v>0</v>
      </c>
      <c r="DQ525" s="161">
        <f t="shared" ref="DQ525:DQ544" si="2051">AZ525</f>
        <v>0</v>
      </c>
      <c r="DR525" s="161">
        <f t="shared" ref="DR525:DR544" si="2052">BA525</f>
        <v>0</v>
      </c>
      <c r="DS525" s="161">
        <f t="shared" ref="DS525:DS544" si="2053">BB525</f>
        <v>0</v>
      </c>
      <c r="DT525" s="161">
        <f t="shared" ref="DT525:DT544" si="2054">BC525</f>
        <v>0</v>
      </c>
      <c r="DU525" s="161">
        <f t="shared" ref="DU525:DU544" si="2055">BD525</f>
        <v>0</v>
      </c>
      <c r="DV525" s="161">
        <f t="shared" ref="DV525:DV544" si="2056">BE525</f>
        <v>0</v>
      </c>
      <c r="DW525" s="161">
        <f t="shared" ref="DW525:DW544" si="2057">BF525</f>
        <v>0</v>
      </c>
      <c r="DX525" s="161">
        <f t="shared" ref="DX525:DX544" si="2058">BG525</f>
        <v>0</v>
      </c>
      <c r="DY525" s="161">
        <f t="shared" ref="DY525:DY544" si="2059">BH525</f>
        <v>0</v>
      </c>
      <c r="DZ525" s="161">
        <f t="shared" ref="DZ525:DZ544" si="2060">BI525</f>
        <v>0</v>
      </c>
      <c r="EA525" s="161">
        <f t="shared" ref="EA525:EA544" si="2061">BJ525</f>
        <v>0</v>
      </c>
      <c r="EB525" s="161">
        <f t="shared" ref="EB525:EB544" si="2062">BK525</f>
        <v>0</v>
      </c>
      <c r="EC525" s="161">
        <f t="shared" ref="EC525:EC544" si="2063">BL525</f>
        <v>0</v>
      </c>
      <c r="ED525" s="161">
        <f t="shared" ref="ED525:ED544" si="2064">BM525</f>
        <v>0</v>
      </c>
      <c r="EE525" s="161">
        <f t="shared" ref="EE525:EE544" si="2065">BN525</f>
        <v>0</v>
      </c>
      <c r="EF525" s="161">
        <f t="shared" ref="EF525:EF544" si="2066">BO525</f>
        <v>0</v>
      </c>
      <c r="EG525" s="161">
        <f t="shared" ref="EG525:EG544" si="2067">BP525</f>
        <v>0</v>
      </c>
      <c r="EH525" s="161">
        <f t="shared" ref="EH525:EH544" si="2068">BQ525</f>
        <v>0</v>
      </c>
      <c r="EI525" s="161">
        <f t="shared" ref="EI525:EI544" si="2069">BR525</f>
        <v>0</v>
      </c>
      <c r="EJ525" s="65"/>
      <c r="EK525" s="161">
        <f>$EK$524</f>
        <v>0</v>
      </c>
      <c r="EL525" s="161">
        <f>$EL$524</f>
        <v>0</v>
      </c>
      <c r="EM525" s="161">
        <f>$EM$524</f>
        <v>0</v>
      </c>
    </row>
    <row r="526" spans="1:143" ht="12" hidden="1" customHeight="1" outlineLevel="2">
      <c r="A526" s="77">
        <v>2</v>
      </c>
      <c r="B526" s="137" t="str">
        <f t="shared" ref="B526:B544" si="2070">IF(G526&gt;0,G526&amp;" - "&amp;$F$213,"")</f>
        <v>COORD. - Equipe_01</v>
      </c>
      <c r="C526" s="65"/>
      <c r="D526" s="621"/>
      <c r="E526" s="65"/>
      <c r="F526" s="603"/>
      <c r="G526" s="77" t="str">
        <f>IF(INDEX(Tarefas!$BT$30:$FK$30,MATCH(A526,Tarefas!$BT$28:$FK$28,0))=0,"",INDEX(Tarefas!$BT$30:$FK$30,MATCH(A526,Tarefas!$BT$28:$FK$28,0)))</f>
        <v>COORD.</v>
      </c>
      <c r="H526" s="107" cm="1">
        <f t="array" ref="H526">IFERROR((SUMPRODUCT((Tarefas!$N$32:$N$54='Cronog. e Histog.'!$F$525)*(Tarefas!$BQ$30:$FK$30='Cronog. e Histog.'!$G526)*(Tarefas!$BQ$32:$FK$54)))/SUMIF(Tarefas!$N$32:$N$54,'Cronog. e Histog.'!$F$525,Tarefas!$K$32:$K$54),0)</f>
        <v>0</v>
      </c>
      <c r="I526" s="79">
        <f t="shared" ref="I526:I544" si="2071">IFERROR(H526/$H$545,0)</f>
        <v>0</v>
      </c>
      <c r="J526" s="65"/>
      <c r="K526" s="160">
        <f t="shared" ref="K526:Z535" si="2072">ROUND($I526*K$196,2)</f>
        <v>0</v>
      </c>
      <c r="L526" s="160">
        <f t="shared" si="2072"/>
        <v>0</v>
      </c>
      <c r="M526" s="160">
        <f t="shared" si="2072"/>
        <v>0</v>
      </c>
      <c r="N526" s="160">
        <f t="shared" si="2072"/>
        <v>0</v>
      </c>
      <c r="O526" s="160">
        <f t="shared" si="2072"/>
        <v>0</v>
      </c>
      <c r="P526" s="160">
        <f t="shared" si="2072"/>
        <v>0</v>
      </c>
      <c r="Q526" s="160">
        <f t="shared" si="2072"/>
        <v>0</v>
      </c>
      <c r="R526" s="160">
        <f t="shared" si="2072"/>
        <v>0</v>
      </c>
      <c r="S526" s="160">
        <f t="shared" si="2072"/>
        <v>0</v>
      </c>
      <c r="T526" s="160">
        <f t="shared" si="2072"/>
        <v>0</v>
      </c>
      <c r="U526" s="160">
        <f t="shared" si="2072"/>
        <v>0</v>
      </c>
      <c r="V526" s="160">
        <f t="shared" si="2072"/>
        <v>0</v>
      </c>
      <c r="W526" s="160">
        <f t="shared" si="2072"/>
        <v>0</v>
      </c>
      <c r="X526" s="160">
        <f t="shared" si="2072"/>
        <v>0</v>
      </c>
      <c r="Y526" s="160">
        <f t="shared" si="2072"/>
        <v>0</v>
      </c>
      <c r="Z526" s="160">
        <f t="shared" si="2072"/>
        <v>0</v>
      </c>
      <c r="AA526" s="160">
        <f t="shared" ref="AA526:AP535" si="2073">ROUND($I526*AA$196,2)</f>
        <v>0</v>
      </c>
      <c r="AB526" s="160">
        <f t="shared" si="2073"/>
        <v>0</v>
      </c>
      <c r="AC526" s="160">
        <f t="shared" si="2073"/>
        <v>0</v>
      </c>
      <c r="AD526" s="160">
        <f t="shared" si="2073"/>
        <v>0</v>
      </c>
      <c r="AE526" s="160">
        <f t="shared" si="2073"/>
        <v>0</v>
      </c>
      <c r="AF526" s="160">
        <f t="shared" si="2073"/>
        <v>0</v>
      </c>
      <c r="AG526" s="160">
        <f t="shared" si="2073"/>
        <v>0</v>
      </c>
      <c r="AH526" s="160">
        <f t="shared" si="2073"/>
        <v>0</v>
      </c>
      <c r="AI526" s="160">
        <f t="shared" si="2073"/>
        <v>0</v>
      </c>
      <c r="AJ526" s="160">
        <f t="shared" si="2073"/>
        <v>0</v>
      </c>
      <c r="AK526" s="160">
        <f t="shared" si="2073"/>
        <v>0</v>
      </c>
      <c r="AL526" s="160">
        <f t="shared" si="2073"/>
        <v>0</v>
      </c>
      <c r="AM526" s="160">
        <f t="shared" si="2073"/>
        <v>0</v>
      </c>
      <c r="AN526" s="160">
        <f t="shared" si="2073"/>
        <v>0</v>
      </c>
      <c r="AO526" s="160">
        <f t="shared" si="2073"/>
        <v>0</v>
      </c>
      <c r="AP526" s="160">
        <f t="shared" si="2073"/>
        <v>0</v>
      </c>
      <c r="AQ526" s="160">
        <f t="shared" ref="AQ526:BF535" si="2074">ROUND($I526*AQ$196,2)</f>
        <v>0</v>
      </c>
      <c r="AR526" s="160">
        <f t="shared" si="2074"/>
        <v>0</v>
      </c>
      <c r="AS526" s="160">
        <f t="shared" si="2074"/>
        <v>0</v>
      </c>
      <c r="AT526" s="160">
        <f t="shared" si="2074"/>
        <v>0</v>
      </c>
      <c r="AU526" s="160">
        <f t="shared" si="2074"/>
        <v>0</v>
      </c>
      <c r="AV526" s="160">
        <f t="shared" si="2074"/>
        <v>0</v>
      </c>
      <c r="AW526" s="160">
        <f t="shared" si="2074"/>
        <v>0</v>
      </c>
      <c r="AX526" s="160">
        <f t="shared" si="2074"/>
        <v>0</v>
      </c>
      <c r="AY526" s="160">
        <f t="shared" si="2074"/>
        <v>0</v>
      </c>
      <c r="AZ526" s="160">
        <f t="shared" si="2074"/>
        <v>0</v>
      </c>
      <c r="BA526" s="160">
        <f t="shared" si="2074"/>
        <v>0</v>
      </c>
      <c r="BB526" s="160">
        <f t="shared" si="2074"/>
        <v>0</v>
      </c>
      <c r="BC526" s="160">
        <f t="shared" si="2074"/>
        <v>0</v>
      </c>
      <c r="BD526" s="160">
        <f t="shared" si="2074"/>
        <v>0</v>
      </c>
      <c r="BE526" s="160">
        <f t="shared" si="2074"/>
        <v>0</v>
      </c>
      <c r="BF526" s="160">
        <f t="shared" si="2074"/>
        <v>0</v>
      </c>
      <c r="BG526" s="160">
        <f t="shared" ref="BG526:BR535" si="2075">ROUND($I526*BG$196,2)</f>
        <v>0</v>
      </c>
      <c r="BH526" s="160">
        <f t="shared" si="2075"/>
        <v>0</v>
      </c>
      <c r="BI526" s="160">
        <f t="shared" si="2075"/>
        <v>0</v>
      </c>
      <c r="BJ526" s="160">
        <f t="shared" si="2075"/>
        <v>0</v>
      </c>
      <c r="BK526" s="160">
        <f t="shared" si="2075"/>
        <v>0</v>
      </c>
      <c r="BL526" s="160">
        <f t="shared" si="2075"/>
        <v>0</v>
      </c>
      <c r="BM526" s="160">
        <f t="shared" si="2075"/>
        <v>0</v>
      </c>
      <c r="BN526" s="160">
        <f t="shared" si="2075"/>
        <v>0</v>
      </c>
      <c r="BO526" s="160">
        <f t="shared" si="2075"/>
        <v>0</v>
      </c>
      <c r="BP526" s="160">
        <f t="shared" si="2075"/>
        <v>0</v>
      </c>
      <c r="BQ526" s="160">
        <f t="shared" si="2075"/>
        <v>0</v>
      </c>
      <c r="BR526" s="160">
        <f t="shared" si="2075"/>
        <v>0</v>
      </c>
      <c r="BS526" s="65"/>
      <c r="BT526" s="160">
        <f t="shared" ref="BT526:BT535" si="2076">IFERROR(SUM(K526:BR526)/COUNTIF(K526:BR526,"&gt;0"),0)</f>
        <v>0</v>
      </c>
      <c r="BU526" s="160">
        <f t="shared" ref="BU526:BU535" si="2077">COUNTIF(K526:BR526,"&gt;0")</f>
        <v>0</v>
      </c>
      <c r="BV526" s="65"/>
      <c r="BW526" s="69"/>
      <c r="BX526" s="65"/>
      <c r="BY526" s="137">
        <f t="shared" ref="BY526:BY535" si="2078">IF(G526&gt;0,1,0)</f>
        <v>1</v>
      </c>
      <c r="BZ526" s="137">
        <f>IF(BY526&gt;0,BY526+LARGE($BZ$213:BZ525,1),0)</f>
        <v>262</v>
      </c>
      <c r="CA526" s="137" t="str">
        <f t="shared" ref="CA526:CA535" si="2079">G526</f>
        <v>COORD.</v>
      </c>
      <c r="CB526" s="161">
        <f t="shared" ref="CB526:CB535" si="2080">K526</f>
        <v>0</v>
      </c>
      <c r="CC526" s="161">
        <f t="shared" ref="CC526:CC535" si="2081">L526</f>
        <v>0</v>
      </c>
      <c r="CD526" s="161">
        <f t="shared" ref="CD526:CD535" si="2082">M526</f>
        <v>0</v>
      </c>
      <c r="CE526" s="161">
        <f t="shared" ref="CE526:CE535" si="2083">N526</f>
        <v>0</v>
      </c>
      <c r="CF526" s="161">
        <f t="shared" ref="CF526:CF535" si="2084">O526</f>
        <v>0</v>
      </c>
      <c r="CG526" s="161">
        <f t="shared" ref="CG526:CG535" si="2085">P526</f>
        <v>0</v>
      </c>
      <c r="CH526" s="161">
        <f t="shared" ref="CH526:CH535" si="2086">Q526</f>
        <v>0</v>
      </c>
      <c r="CI526" s="161">
        <f t="shared" ref="CI526:CI535" si="2087">R526</f>
        <v>0</v>
      </c>
      <c r="CJ526" s="161">
        <f t="shared" ref="CJ526:CJ535" si="2088">S526</f>
        <v>0</v>
      </c>
      <c r="CK526" s="161">
        <f t="shared" ref="CK526:CK535" si="2089">T526</f>
        <v>0</v>
      </c>
      <c r="CL526" s="161">
        <f t="shared" ref="CL526:CL535" si="2090">U526</f>
        <v>0</v>
      </c>
      <c r="CM526" s="161">
        <f t="shared" ref="CM526:CM535" si="2091">V526</f>
        <v>0</v>
      </c>
      <c r="CN526" s="161">
        <f t="shared" ref="CN526:CN535" si="2092">W526</f>
        <v>0</v>
      </c>
      <c r="CO526" s="161">
        <f t="shared" ref="CO526:CO535" si="2093">X526</f>
        <v>0</v>
      </c>
      <c r="CP526" s="161">
        <f t="shared" ref="CP526:CP535" si="2094">Y526</f>
        <v>0</v>
      </c>
      <c r="CQ526" s="161">
        <f t="shared" ref="CQ526:CQ535" si="2095">Z526</f>
        <v>0</v>
      </c>
      <c r="CR526" s="161">
        <f t="shared" ref="CR526:CR535" si="2096">AA526</f>
        <v>0</v>
      </c>
      <c r="CS526" s="161">
        <f t="shared" ref="CS526:CS535" si="2097">AB526</f>
        <v>0</v>
      </c>
      <c r="CT526" s="161">
        <f t="shared" ref="CT526:CT535" si="2098">AC526</f>
        <v>0</v>
      </c>
      <c r="CU526" s="161">
        <f t="shared" ref="CU526:CU535" si="2099">AD526</f>
        <v>0</v>
      </c>
      <c r="CV526" s="161">
        <f t="shared" ref="CV526:CV535" si="2100">AE526</f>
        <v>0</v>
      </c>
      <c r="CW526" s="161">
        <f t="shared" ref="CW526:CW535" si="2101">AF526</f>
        <v>0</v>
      </c>
      <c r="CX526" s="161">
        <f t="shared" ref="CX526:CX535" si="2102">AG526</f>
        <v>0</v>
      </c>
      <c r="CY526" s="161">
        <f t="shared" ref="CY526:CY535" si="2103">AH526</f>
        <v>0</v>
      </c>
      <c r="CZ526" s="161">
        <f t="shared" ref="CZ526:CZ535" si="2104">AI526</f>
        <v>0</v>
      </c>
      <c r="DA526" s="161">
        <f t="shared" ref="DA526:DA535" si="2105">AJ526</f>
        <v>0</v>
      </c>
      <c r="DB526" s="161">
        <f t="shared" ref="DB526:DB535" si="2106">AK526</f>
        <v>0</v>
      </c>
      <c r="DC526" s="161">
        <f t="shared" ref="DC526:DC535" si="2107">AL526</f>
        <v>0</v>
      </c>
      <c r="DD526" s="161">
        <f t="shared" ref="DD526:DD535" si="2108">AM526</f>
        <v>0</v>
      </c>
      <c r="DE526" s="161">
        <f t="shared" ref="DE526:DE535" si="2109">AN526</f>
        <v>0</v>
      </c>
      <c r="DF526" s="161">
        <f t="shared" ref="DF526:DF535" si="2110">AO526</f>
        <v>0</v>
      </c>
      <c r="DG526" s="161">
        <f t="shared" ref="DG526:DG535" si="2111">AP526</f>
        <v>0</v>
      </c>
      <c r="DH526" s="161">
        <f t="shared" ref="DH526:DH535" si="2112">AQ526</f>
        <v>0</v>
      </c>
      <c r="DI526" s="161">
        <f t="shared" ref="DI526:DI535" si="2113">AR526</f>
        <v>0</v>
      </c>
      <c r="DJ526" s="161">
        <f t="shared" ref="DJ526:DJ535" si="2114">AS526</f>
        <v>0</v>
      </c>
      <c r="DK526" s="161">
        <f t="shared" ref="DK526:DK535" si="2115">AT526</f>
        <v>0</v>
      </c>
      <c r="DL526" s="161">
        <f t="shared" ref="DL526:DL535" si="2116">AU526</f>
        <v>0</v>
      </c>
      <c r="DM526" s="161">
        <f t="shared" ref="DM526:DM535" si="2117">AV526</f>
        <v>0</v>
      </c>
      <c r="DN526" s="161">
        <f t="shared" ref="DN526:DN535" si="2118">AW526</f>
        <v>0</v>
      </c>
      <c r="DO526" s="161">
        <f t="shared" ref="DO526:DO535" si="2119">AX526</f>
        <v>0</v>
      </c>
      <c r="DP526" s="161">
        <f t="shared" ref="DP526:DP535" si="2120">AY526</f>
        <v>0</v>
      </c>
      <c r="DQ526" s="161">
        <f t="shared" ref="DQ526:DQ535" si="2121">AZ526</f>
        <v>0</v>
      </c>
      <c r="DR526" s="161">
        <f t="shared" ref="DR526:DR535" si="2122">BA526</f>
        <v>0</v>
      </c>
      <c r="DS526" s="161">
        <f t="shared" ref="DS526:DS535" si="2123">BB526</f>
        <v>0</v>
      </c>
      <c r="DT526" s="161">
        <f t="shared" ref="DT526:DT535" si="2124">BC526</f>
        <v>0</v>
      </c>
      <c r="DU526" s="161">
        <f t="shared" ref="DU526:DU535" si="2125">BD526</f>
        <v>0</v>
      </c>
      <c r="DV526" s="161">
        <f t="shared" ref="DV526:DV535" si="2126">BE526</f>
        <v>0</v>
      </c>
      <c r="DW526" s="161">
        <f t="shared" ref="DW526:DW535" si="2127">BF526</f>
        <v>0</v>
      </c>
      <c r="DX526" s="161">
        <f t="shared" ref="DX526:DX535" si="2128">BG526</f>
        <v>0</v>
      </c>
      <c r="DY526" s="161">
        <f t="shared" ref="DY526:DY535" si="2129">BH526</f>
        <v>0</v>
      </c>
      <c r="DZ526" s="161">
        <f t="shared" ref="DZ526:DZ535" si="2130">BI526</f>
        <v>0</v>
      </c>
      <c r="EA526" s="161">
        <f t="shared" ref="EA526:EA535" si="2131">BJ526</f>
        <v>0</v>
      </c>
      <c r="EB526" s="161">
        <f t="shared" ref="EB526:EB535" si="2132">BK526</f>
        <v>0</v>
      </c>
      <c r="EC526" s="161">
        <f t="shared" ref="EC526:EC535" si="2133">BL526</f>
        <v>0</v>
      </c>
      <c r="ED526" s="161">
        <f t="shared" ref="ED526:ED535" si="2134">BM526</f>
        <v>0</v>
      </c>
      <c r="EE526" s="161">
        <f t="shared" ref="EE526:EE535" si="2135">BN526</f>
        <v>0</v>
      </c>
      <c r="EF526" s="161">
        <f t="shared" ref="EF526:EF535" si="2136">BO526</f>
        <v>0</v>
      </c>
      <c r="EG526" s="161">
        <f t="shared" ref="EG526:EG535" si="2137">BP526</f>
        <v>0</v>
      </c>
      <c r="EH526" s="161">
        <f t="shared" ref="EH526:EH535" si="2138">BQ526</f>
        <v>0</v>
      </c>
      <c r="EI526" s="161">
        <f t="shared" ref="EI526:EI535" si="2139">BR526</f>
        <v>0</v>
      </c>
      <c r="EJ526" s="65"/>
      <c r="EK526" s="161">
        <f t="shared" ref="EK526:EK544" si="2140">$EK$524</f>
        <v>0</v>
      </c>
      <c r="EL526" s="161">
        <f t="shared" ref="EL526:EL544" si="2141">$EL$524</f>
        <v>0</v>
      </c>
      <c r="EM526" s="161">
        <f t="shared" ref="EM526:EM544" si="2142">$EM$524</f>
        <v>0</v>
      </c>
    </row>
    <row r="527" spans="1:143" ht="12" hidden="1" customHeight="1" outlineLevel="2">
      <c r="A527" s="77">
        <v>3</v>
      </c>
      <c r="B527" s="137" t="str">
        <f t="shared" si="2070"/>
        <v>SUP.-ESP - Equipe_01</v>
      </c>
      <c r="C527" s="65"/>
      <c r="D527" s="621"/>
      <c r="E527" s="65"/>
      <c r="F527" s="603"/>
      <c r="G527" s="77" t="str">
        <f>IF(INDEX(Tarefas!$BT$30:$FK$30,MATCH(A527,Tarefas!$BT$28:$FK$28,0))=0,"",INDEX(Tarefas!$BT$30:$FK$30,MATCH(A527,Tarefas!$BT$28:$FK$28,0)))</f>
        <v>SUP.-ESP</v>
      </c>
      <c r="H527" s="107" cm="1">
        <f t="array" ref="H527">IFERROR((SUMPRODUCT((Tarefas!$N$32:$N$54='Cronog. e Histog.'!$F$525)*(Tarefas!$BQ$30:$FK$30='Cronog. e Histog.'!$G527)*(Tarefas!$BQ$32:$FK$54)))/SUMIF(Tarefas!$N$32:$N$54,'Cronog. e Histog.'!$F$525,Tarefas!$K$32:$K$54),0)</f>
        <v>0</v>
      </c>
      <c r="I527" s="79">
        <f t="shared" si="2071"/>
        <v>0</v>
      </c>
      <c r="J527" s="65"/>
      <c r="K527" s="160">
        <f t="shared" si="2072"/>
        <v>0</v>
      </c>
      <c r="L527" s="160">
        <f t="shared" si="2072"/>
        <v>0</v>
      </c>
      <c r="M527" s="160">
        <f t="shared" si="2072"/>
        <v>0</v>
      </c>
      <c r="N527" s="160">
        <f t="shared" si="2072"/>
        <v>0</v>
      </c>
      <c r="O527" s="160">
        <f t="shared" si="2072"/>
        <v>0</v>
      </c>
      <c r="P527" s="160">
        <f t="shared" si="2072"/>
        <v>0</v>
      </c>
      <c r="Q527" s="160">
        <f t="shared" si="2072"/>
        <v>0</v>
      </c>
      <c r="R527" s="160">
        <f t="shared" si="2072"/>
        <v>0</v>
      </c>
      <c r="S527" s="160">
        <f t="shared" si="2072"/>
        <v>0</v>
      </c>
      <c r="T527" s="160">
        <f t="shared" si="2072"/>
        <v>0</v>
      </c>
      <c r="U527" s="160">
        <f t="shared" si="2072"/>
        <v>0</v>
      </c>
      <c r="V527" s="160">
        <f t="shared" si="2072"/>
        <v>0</v>
      </c>
      <c r="W527" s="160">
        <f t="shared" si="2072"/>
        <v>0</v>
      </c>
      <c r="X527" s="160">
        <f t="shared" si="2072"/>
        <v>0</v>
      </c>
      <c r="Y527" s="160">
        <f t="shared" si="2072"/>
        <v>0</v>
      </c>
      <c r="Z527" s="160">
        <f t="shared" si="2072"/>
        <v>0</v>
      </c>
      <c r="AA527" s="160">
        <f t="shared" si="2073"/>
        <v>0</v>
      </c>
      <c r="AB527" s="160">
        <f t="shared" si="2073"/>
        <v>0</v>
      </c>
      <c r="AC527" s="160">
        <f t="shared" si="2073"/>
        <v>0</v>
      </c>
      <c r="AD527" s="160">
        <f t="shared" si="2073"/>
        <v>0</v>
      </c>
      <c r="AE527" s="160">
        <f t="shared" si="2073"/>
        <v>0</v>
      </c>
      <c r="AF527" s="160">
        <f t="shared" si="2073"/>
        <v>0</v>
      </c>
      <c r="AG527" s="160">
        <f t="shared" si="2073"/>
        <v>0</v>
      </c>
      <c r="AH527" s="160">
        <f t="shared" si="2073"/>
        <v>0</v>
      </c>
      <c r="AI527" s="160">
        <f t="shared" si="2073"/>
        <v>0</v>
      </c>
      <c r="AJ527" s="160">
        <f t="shared" si="2073"/>
        <v>0</v>
      </c>
      <c r="AK527" s="160">
        <f t="shared" si="2073"/>
        <v>0</v>
      </c>
      <c r="AL527" s="160">
        <f t="shared" si="2073"/>
        <v>0</v>
      </c>
      <c r="AM527" s="160">
        <f t="shared" si="2073"/>
        <v>0</v>
      </c>
      <c r="AN527" s="160">
        <f t="shared" si="2073"/>
        <v>0</v>
      </c>
      <c r="AO527" s="160">
        <f t="shared" si="2073"/>
        <v>0</v>
      </c>
      <c r="AP527" s="160">
        <f t="shared" si="2073"/>
        <v>0</v>
      </c>
      <c r="AQ527" s="160">
        <f t="shared" si="2074"/>
        <v>0</v>
      </c>
      <c r="AR527" s="160">
        <f t="shared" si="2074"/>
        <v>0</v>
      </c>
      <c r="AS527" s="160">
        <f t="shared" si="2074"/>
        <v>0</v>
      </c>
      <c r="AT527" s="160">
        <f t="shared" si="2074"/>
        <v>0</v>
      </c>
      <c r="AU527" s="160">
        <f t="shared" si="2074"/>
        <v>0</v>
      </c>
      <c r="AV527" s="160">
        <f t="shared" si="2074"/>
        <v>0</v>
      </c>
      <c r="AW527" s="160">
        <f t="shared" si="2074"/>
        <v>0</v>
      </c>
      <c r="AX527" s="160">
        <f t="shared" si="2074"/>
        <v>0</v>
      </c>
      <c r="AY527" s="160">
        <f t="shared" si="2074"/>
        <v>0</v>
      </c>
      <c r="AZ527" s="160">
        <f t="shared" si="2074"/>
        <v>0</v>
      </c>
      <c r="BA527" s="160">
        <f t="shared" si="2074"/>
        <v>0</v>
      </c>
      <c r="BB527" s="160">
        <f t="shared" si="2074"/>
        <v>0</v>
      </c>
      <c r="BC527" s="160">
        <f t="shared" si="2074"/>
        <v>0</v>
      </c>
      <c r="BD527" s="160">
        <f t="shared" si="2074"/>
        <v>0</v>
      </c>
      <c r="BE527" s="160">
        <f t="shared" si="2074"/>
        <v>0</v>
      </c>
      <c r="BF527" s="160">
        <f t="shared" si="2074"/>
        <v>0</v>
      </c>
      <c r="BG527" s="160">
        <f t="shared" si="2075"/>
        <v>0</v>
      </c>
      <c r="BH527" s="160">
        <f t="shared" si="2075"/>
        <v>0</v>
      </c>
      <c r="BI527" s="160">
        <f t="shared" si="2075"/>
        <v>0</v>
      </c>
      <c r="BJ527" s="160">
        <f t="shared" si="2075"/>
        <v>0</v>
      </c>
      <c r="BK527" s="160">
        <f t="shared" si="2075"/>
        <v>0</v>
      </c>
      <c r="BL527" s="160">
        <f t="shared" si="2075"/>
        <v>0</v>
      </c>
      <c r="BM527" s="160">
        <f t="shared" si="2075"/>
        <v>0</v>
      </c>
      <c r="BN527" s="160">
        <f t="shared" si="2075"/>
        <v>0</v>
      </c>
      <c r="BO527" s="160">
        <f t="shared" si="2075"/>
        <v>0</v>
      </c>
      <c r="BP527" s="160">
        <f t="shared" si="2075"/>
        <v>0</v>
      </c>
      <c r="BQ527" s="160">
        <f t="shared" si="2075"/>
        <v>0</v>
      </c>
      <c r="BR527" s="160">
        <f t="shared" si="2075"/>
        <v>0</v>
      </c>
      <c r="BS527" s="65"/>
      <c r="BT527" s="160">
        <f t="shared" si="2076"/>
        <v>0</v>
      </c>
      <c r="BU527" s="160">
        <f t="shared" si="2077"/>
        <v>0</v>
      </c>
      <c r="BV527" s="65"/>
      <c r="BW527" s="69"/>
      <c r="BX527" s="65"/>
      <c r="BY527" s="137">
        <f t="shared" si="2078"/>
        <v>1</v>
      </c>
      <c r="BZ527" s="137">
        <f>IF(BY527&gt;0,BY527+LARGE($BZ$213:BZ526,1),0)</f>
        <v>263</v>
      </c>
      <c r="CA527" s="137" t="str">
        <f t="shared" si="2079"/>
        <v>SUP.-ESP</v>
      </c>
      <c r="CB527" s="161">
        <f t="shared" si="2080"/>
        <v>0</v>
      </c>
      <c r="CC527" s="161">
        <f t="shared" si="2081"/>
        <v>0</v>
      </c>
      <c r="CD527" s="161">
        <f t="shared" si="2082"/>
        <v>0</v>
      </c>
      <c r="CE527" s="161">
        <f t="shared" si="2083"/>
        <v>0</v>
      </c>
      <c r="CF527" s="161">
        <f t="shared" si="2084"/>
        <v>0</v>
      </c>
      <c r="CG527" s="161">
        <f t="shared" si="2085"/>
        <v>0</v>
      </c>
      <c r="CH527" s="161">
        <f t="shared" si="2086"/>
        <v>0</v>
      </c>
      <c r="CI527" s="161">
        <f t="shared" si="2087"/>
        <v>0</v>
      </c>
      <c r="CJ527" s="161">
        <f t="shared" si="2088"/>
        <v>0</v>
      </c>
      <c r="CK527" s="161">
        <f t="shared" si="2089"/>
        <v>0</v>
      </c>
      <c r="CL527" s="161">
        <f t="shared" si="2090"/>
        <v>0</v>
      </c>
      <c r="CM527" s="161">
        <f t="shared" si="2091"/>
        <v>0</v>
      </c>
      <c r="CN527" s="161">
        <f t="shared" si="2092"/>
        <v>0</v>
      </c>
      <c r="CO527" s="161">
        <f t="shared" si="2093"/>
        <v>0</v>
      </c>
      <c r="CP527" s="161">
        <f t="shared" si="2094"/>
        <v>0</v>
      </c>
      <c r="CQ527" s="161">
        <f t="shared" si="2095"/>
        <v>0</v>
      </c>
      <c r="CR527" s="161">
        <f t="shared" si="2096"/>
        <v>0</v>
      </c>
      <c r="CS527" s="161">
        <f t="shared" si="2097"/>
        <v>0</v>
      </c>
      <c r="CT527" s="161">
        <f t="shared" si="2098"/>
        <v>0</v>
      </c>
      <c r="CU527" s="161">
        <f t="shared" si="2099"/>
        <v>0</v>
      </c>
      <c r="CV527" s="161">
        <f t="shared" si="2100"/>
        <v>0</v>
      </c>
      <c r="CW527" s="161">
        <f t="shared" si="2101"/>
        <v>0</v>
      </c>
      <c r="CX527" s="161">
        <f t="shared" si="2102"/>
        <v>0</v>
      </c>
      <c r="CY527" s="161">
        <f t="shared" si="2103"/>
        <v>0</v>
      </c>
      <c r="CZ527" s="161">
        <f t="shared" si="2104"/>
        <v>0</v>
      </c>
      <c r="DA527" s="161">
        <f t="shared" si="2105"/>
        <v>0</v>
      </c>
      <c r="DB527" s="161">
        <f t="shared" si="2106"/>
        <v>0</v>
      </c>
      <c r="DC527" s="161">
        <f t="shared" si="2107"/>
        <v>0</v>
      </c>
      <c r="DD527" s="161">
        <f t="shared" si="2108"/>
        <v>0</v>
      </c>
      <c r="DE527" s="161">
        <f t="shared" si="2109"/>
        <v>0</v>
      </c>
      <c r="DF527" s="161">
        <f t="shared" si="2110"/>
        <v>0</v>
      </c>
      <c r="DG527" s="161">
        <f t="shared" si="2111"/>
        <v>0</v>
      </c>
      <c r="DH527" s="161">
        <f t="shared" si="2112"/>
        <v>0</v>
      </c>
      <c r="DI527" s="161">
        <f t="shared" si="2113"/>
        <v>0</v>
      </c>
      <c r="DJ527" s="161">
        <f t="shared" si="2114"/>
        <v>0</v>
      </c>
      <c r="DK527" s="161">
        <f t="shared" si="2115"/>
        <v>0</v>
      </c>
      <c r="DL527" s="161">
        <f t="shared" si="2116"/>
        <v>0</v>
      </c>
      <c r="DM527" s="161">
        <f t="shared" si="2117"/>
        <v>0</v>
      </c>
      <c r="DN527" s="161">
        <f t="shared" si="2118"/>
        <v>0</v>
      </c>
      <c r="DO527" s="161">
        <f t="shared" si="2119"/>
        <v>0</v>
      </c>
      <c r="DP527" s="161">
        <f t="shared" si="2120"/>
        <v>0</v>
      </c>
      <c r="DQ527" s="161">
        <f t="shared" si="2121"/>
        <v>0</v>
      </c>
      <c r="DR527" s="161">
        <f t="shared" si="2122"/>
        <v>0</v>
      </c>
      <c r="DS527" s="161">
        <f t="shared" si="2123"/>
        <v>0</v>
      </c>
      <c r="DT527" s="161">
        <f t="shared" si="2124"/>
        <v>0</v>
      </c>
      <c r="DU527" s="161">
        <f t="shared" si="2125"/>
        <v>0</v>
      </c>
      <c r="DV527" s="161">
        <f t="shared" si="2126"/>
        <v>0</v>
      </c>
      <c r="DW527" s="161">
        <f t="shared" si="2127"/>
        <v>0</v>
      </c>
      <c r="DX527" s="161">
        <f t="shared" si="2128"/>
        <v>0</v>
      </c>
      <c r="DY527" s="161">
        <f t="shared" si="2129"/>
        <v>0</v>
      </c>
      <c r="DZ527" s="161">
        <f t="shared" si="2130"/>
        <v>0</v>
      </c>
      <c r="EA527" s="161">
        <f t="shared" si="2131"/>
        <v>0</v>
      </c>
      <c r="EB527" s="161">
        <f t="shared" si="2132"/>
        <v>0</v>
      </c>
      <c r="EC527" s="161">
        <f t="shared" si="2133"/>
        <v>0</v>
      </c>
      <c r="ED527" s="161">
        <f t="shared" si="2134"/>
        <v>0</v>
      </c>
      <c r="EE527" s="161">
        <f t="shared" si="2135"/>
        <v>0</v>
      </c>
      <c r="EF527" s="161">
        <f t="shared" si="2136"/>
        <v>0</v>
      </c>
      <c r="EG527" s="161">
        <f t="shared" si="2137"/>
        <v>0</v>
      </c>
      <c r="EH527" s="161">
        <f t="shared" si="2138"/>
        <v>0</v>
      </c>
      <c r="EI527" s="161">
        <f t="shared" si="2139"/>
        <v>0</v>
      </c>
      <c r="EJ527" s="65"/>
      <c r="EK527" s="161">
        <f t="shared" si="2140"/>
        <v>0</v>
      </c>
      <c r="EL527" s="161">
        <f t="shared" si="2141"/>
        <v>0</v>
      </c>
      <c r="EM527" s="161">
        <f t="shared" si="2142"/>
        <v>0</v>
      </c>
    </row>
    <row r="528" spans="1:143" ht="12" hidden="1" customHeight="1" outlineLevel="2">
      <c r="A528" s="77">
        <v>4</v>
      </c>
      <c r="B528" s="137" t="str">
        <f t="shared" si="2070"/>
        <v>ENG/ARQ SR. - Equipe_01</v>
      </c>
      <c r="C528" s="65"/>
      <c r="D528" s="621"/>
      <c r="E528" s="65"/>
      <c r="F528" s="603"/>
      <c r="G528" s="77" t="str">
        <f>IF(INDEX(Tarefas!$BT$30:$FK$30,MATCH(A528,Tarefas!$BT$28:$FK$28,0))=0,"",INDEX(Tarefas!$BT$30:$FK$30,MATCH(A528,Tarefas!$BT$28:$FK$28,0)))</f>
        <v>ENG/ARQ SR.</v>
      </c>
      <c r="H528" s="107" cm="1">
        <f t="array" ref="H528">IFERROR((SUMPRODUCT((Tarefas!$N$32:$N$54='Cronog. e Histog.'!$F$525)*(Tarefas!$BQ$30:$FK$30='Cronog. e Histog.'!$G528)*(Tarefas!$BQ$32:$FK$54)))/SUMIF(Tarefas!$N$32:$N$54,'Cronog. e Histog.'!$F$525,Tarefas!$K$32:$K$54),0)</f>
        <v>0</v>
      </c>
      <c r="I528" s="79">
        <f t="shared" si="2071"/>
        <v>0</v>
      </c>
      <c r="J528" s="65"/>
      <c r="K528" s="160">
        <f t="shared" si="2072"/>
        <v>0</v>
      </c>
      <c r="L528" s="160">
        <f t="shared" si="2072"/>
        <v>0</v>
      </c>
      <c r="M528" s="160">
        <f t="shared" si="2072"/>
        <v>0</v>
      </c>
      <c r="N528" s="160">
        <f t="shared" si="2072"/>
        <v>0</v>
      </c>
      <c r="O528" s="160">
        <f t="shared" si="2072"/>
        <v>0</v>
      </c>
      <c r="P528" s="160">
        <f t="shared" si="2072"/>
        <v>0</v>
      </c>
      <c r="Q528" s="160">
        <f t="shared" si="2072"/>
        <v>0</v>
      </c>
      <c r="R528" s="160">
        <f t="shared" si="2072"/>
        <v>0</v>
      </c>
      <c r="S528" s="160">
        <f t="shared" si="2072"/>
        <v>0</v>
      </c>
      <c r="T528" s="160">
        <f t="shared" si="2072"/>
        <v>0</v>
      </c>
      <c r="U528" s="160">
        <f t="shared" si="2072"/>
        <v>0</v>
      </c>
      <c r="V528" s="160">
        <f t="shared" si="2072"/>
        <v>0</v>
      </c>
      <c r="W528" s="160">
        <f t="shared" si="2072"/>
        <v>0</v>
      </c>
      <c r="X528" s="160">
        <f t="shared" si="2072"/>
        <v>0</v>
      </c>
      <c r="Y528" s="160">
        <f t="shared" si="2072"/>
        <v>0</v>
      </c>
      <c r="Z528" s="160">
        <f t="shared" si="2072"/>
        <v>0</v>
      </c>
      <c r="AA528" s="160">
        <f t="shared" si="2073"/>
        <v>0</v>
      </c>
      <c r="AB528" s="160">
        <f t="shared" si="2073"/>
        <v>0</v>
      </c>
      <c r="AC528" s="160">
        <f t="shared" si="2073"/>
        <v>0</v>
      </c>
      <c r="AD528" s="160">
        <f t="shared" si="2073"/>
        <v>0</v>
      </c>
      <c r="AE528" s="160">
        <f t="shared" si="2073"/>
        <v>0</v>
      </c>
      <c r="AF528" s="160">
        <f t="shared" si="2073"/>
        <v>0</v>
      </c>
      <c r="AG528" s="160">
        <f t="shared" si="2073"/>
        <v>0</v>
      </c>
      <c r="AH528" s="160">
        <f t="shared" si="2073"/>
        <v>0</v>
      </c>
      <c r="AI528" s="160">
        <f t="shared" si="2073"/>
        <v>0</v>
      </c>
      <c r="AJ528" s="160">
        <f t="shared" si="2073"/>
        <v>0</v>
      </c>
      <c r="AK528" s="160">
        <f t="shared" si="2073"/>
        <v>0</v>
      </c>
      <c r="AL528" s="160">
        <f t="shared" si="2073"/>
        <v>0</v>
      </c>
      <c r="AM528" s="160">
        <f t="shared" si="2073"/>
        <v>0</v>
      </c>
      <c r="AN528" s="160">
        <f t="shared" si="2073"/>
        <v>0</v>
      </c>
      <c r="AO528" s="160">
        <f t="shared" si="2073"/>
        <v>0</v>
      </c>
      <c r="AP528" s="160">
        <f t="shared" si="2073"/>
        <v>0</v>
      </c>
      <c r="AQ528" s="160">
        <f t="shared" si="2074"/>
        <v>0</v>
      </c>
      <c r="AR528" s="160">
        <f t="shared" si="2074"/>
        <v>0</v>
      </c>
      <c r="AS528" s="160">
        <f t="shared" si="2074"/>
        <v>0</v>
      </c>
      <c r="AT528" s="160">
        <f t="shared" si="2074"/>
        <v>0</v>
      </c>
      <c r="AU528" s="160">
        <f t="shared" si="2074"/>
        <v>0</v>
      </c>
      <c r="AV528" s="160">
        <f t="shared" si="2074"/>
        <v>0</v>
      </c>
      <c r="AW528" s="160">
        <f t="shared" si="2074"/>
        <v>0</v>
      </c>
      <c r="AX528" s="160">
        <f t="shared" si="2074"/>
        <v>0</v>
      </c>
      <c r="AY528" s="160">
        <f t="shared" si="2074"/>
        <v>0</v>
      </c>
      <c r="AZ528" s="160">
        <f t="shared" si="2074"/>
        <v>0</v>
      </c>
      <c r="BA528" s="160">
        <f t="shared" si="2074"/>
        <v>0</v>
      </c>
      <c r="BB528" s="160">
        <f t="shared" si="2074"/>
        <v>0</v>
      </c>
      <c r="BC528" s="160">
        <f t="shared" si="2074"/>
        <v>0</v>
      </c>
      <c r="BD528" s="160">
        <f t="shared" si="2074"/>
        <v>0</v>
      </c>
      <c r="BE528" s="160">
        <f t="shared" si="2074"/>
        <v>0</v>
      </c>
      <c r="BF528" s="160">
        <f t="shared" si="2074"/>
        <v>0</v>
      </c>
      <c r="BG528" s="160">
        <f t="shared" si="2075"/>
        <v>0</v>
      </c>
      <c r="BH528" s="160">
        <f t="shared" si="2075"/>
        <v>0</v>
      </c>
      <c r="BI528" s="160">
        <f t="shared" si="2075"/>
        <v>0</v>
      </c>
      <c r="BJ528" s="160">
        <f t="shared" si="2075"/>
        <v>0</v>
      </c>
      <c r="BK528" s="160">
        <f t="shared" si="2075"/>
        <v>0</v>
      </c>
      <c r="BL528" s="160">
        <f t="shared" si="2075"/>
        <v>0</v>
      </c>
      <c r="BM528" s="160">
        <f t="shared" si="2075"/>
        <v>0</v>
      </c>
      <c r="BN528" s="160">
        <f t="shared" si="2075"/>
        <v>0</v>
      </c>
      <c r="BO528" s="160">
        <f t="shared" si="2075"/>
        <v>0</v>
      </c>
      <c r="BP528" s="160">
        <f t="shared" si="2075"/>
        <v>0</v>
      </c>
      <c r="BQ528" s="160">
        <f t="shared" si="2075"/>
        <v>0</v>
      </c>
      <c r="BR528" s="160">
        <f t="shared" si="2075"/>
        <v>0</v>
      </c>
      <c r="BS528" s="65"/>
      <c r="BT528" s="160">
        <f t="shared" si="2076"/>
        <v>0</v>
      </c>
      <c r="BU528" s="160">
        <f t="shared" si="2077"/>
        <v>0</v>
      </c>
      <c r="BV528" s="65"/>
      <c r="BW528" s="69"/>
      <c r="BX528" s="65"/>
      <c r="BY528" s="137">
        <f t="shared" si="2078"/>
        <v>1</v>
      </c>
      <c r="BZ528" s="137">
        <f>IF(BY528&gt;0,BY528+LARGE($BZ$213:BZ527,1),0)</f>
        <v>264</v>
      </c>
      <c r="CA528" s="137" t="str">
        <f t="shared" si="2079"/>
        <v>ENG/ARQ SR.</v>
      </c>
      <c r="CB528" s="161">
        <f t="shared" si="2080"/>
        <v>0</v>
      </c>
      <c r="CC528" s="161">
        <f t="shared" si="2081"/>
        <v>0</v>
      </c>
      <c r="CD528" s="161">
        <f t="shared" si="2082"/>
        <v>0</v>
      </c>
      <c r="CE528" s="161">
        <f t="shared" si="2083"/>
        <v>0</v>
      </c>
      <c r="CF528" s="161">
        <f t="shared" si="2084"/>
        <v>0</v>
      </c>
      <c r="CG528" s="161">
        <f t="shared" si="2085"/>
        <v>0</v>
      </c>
      <c r="CH528" s="161">
        <f t="shared" si="2086"/>
        <v>0</v>
      </c>
      <c r="CI528" s="161">
        <f t="shared" si="2087"/>
        <v>0</v>
      </c>
      <c r="CJ528" s="161">
        <f t="shared" si="2088"/>
        <v>0</v>
      </c>
      <c r="CK528" s="161">
        <f t="shared" si="2089"/>
        <v>0</v>
      </c>
      <c r="CL528" s="161">
        <f t="shared" si="2090"/>
        <v>0</v>
      </c>
      <c r="CM528" s="161">
        <f t="shared" si="2091"/>
        <v>0</v>
      </c>
      <c r="CN528" s="161">
        <f t="shared" si="2092"/>
        <v>0</v>
      </c>
      <c r="CO528" s="161">
        <f t="shared" si="2093"/>
        <v>0</v>
      </c>
      <c r="CP528" s="161">
        <f t="shared" si="2094"/>
        <v>0</v>
      </c>
      <c r="CQ528" s="161">
        <f t="shared" si="2095"/>
        <v>0</v>
      </c>
      <c r="CR528" s="161">
        <f t="shared" si="2096"/>
        <v>0</v>
      </c>
      <c r="CS528" s="161">
        <f t="shared" si="2097"/>
        <v>0</v>
      </c>
      <c r="CT528" s="161">
        <f t="shared" si="2098"/>
        <v>0</v>
      </c>
      <c r="CU528" s="161">
        <f t="shared" si="2099"/>
        <v>0</v>
      </c>
      <c r="CV528" s="161">
        <f t="shared" si="2100"/>
        <v>0</v>
      </c>
      <c r="CW528" s="161">
        <f t="shared" si="2101"/>
        <v>0</v>
      </c>
      <c r="CX528" s="161">
        <f t="shared" si="2102"/>
        <v>0</v>
      </c>
      <c r="CY528" s="161">
        <f t="shared" si="2103"/>
        <v>0</v>
      </c>
      <c r="CZ528" s="161">
        <f t="shared" si="2104"/>
        <v>0</v>
      </c>
      <c r="DA528" s="161">
        <f t="shared" si="2105"/>
        <v>0</v>
      </c>
      <c r="DB528" s="161">
        <f t="shared" si="2106"/>
        <v>0</v>
      </c>
      <c r="DC528" s="161">
        <f t="shared" si="2107"/>
        <v>0</v>
      </c>
      <c r="DD528" s="161">
        <f t="shared" si="2108"/>
        <v>0</v>
      </c>
      <c r="DE528" s="161">
        <f t="shared" si="2109"/>
        <v>0</v>
      </c>
      <c r="DF528" s="161">
        <f t="shared" si="2110"/>
        <v>0</v>
      </c>
      <c r="DG528" s="161">
        <f t="shared" si="2111"/>
        <v>0</v>
      </c>
      <c r="DH528" s="161">
        <f t="shared" si="2112"/>
        <v>0</v>
      </c>
      <c r="DI528" s="161">
        <f t="shared" si="2113"/>
        <v>0</v>
      </c>
      <c r="DJ528" s="161">
        <f t="shared" si="2114"/>
        <v>0</v>
      </c>
      <c r="DK528" s="161">
        <f t="shared" si="2115"/>
        <v>0</v>
      </c>
      <c r="DL528" s="161">
        <f t="shared" si="2116"/>
        <v>0</v>
      </c>
      <c r="DM528" s="161">
        <f t="shared" si="2117"/>
        <v>0</v>
      </c>
      <c r="DN528" s="161">
        <f t="shared" si="2118"/>
        <v>0</v>
      </c>
      <c r="DO528" s="161">
        <f t="shared" si="2119"/>
        <v>0</v>
      </c>
      <c r="DP528" s="161">
        <f t="shared" si="2120"/>
        <v>0</v>
      </c>
      <c r="DQ528" s="161">
        <f t="shared" si="2121"/>
        <v>0</v>
      </c>
      <c r="DR528" s="161">
        <f t="shared" si="2122"/>
        <v>0</v>
      </c>
      <c r="DS528" s="161">
        <f t="shared" si="2123"/>
        <v>0</v>
      </c>
      <c r="DT528" s="161">
        <f t="shared" si="2124"/>
        <v>0</v>
      </c>
      <c r="DU528" s="161">
        <f t="shared" si="2125"/>
        <v>0</v>
      </c>
      <c r="DV528" s="161">
        <f t="shared" si="2126"/>
        <v>0</v>
      </c>
      <c r="DW528" s="161">
        <f t="shared" si="2127"/>
        <v>0</v>
      </c>
      <c r="DX528" s="161">
        <f t="shared" si="2128"/>
        <v>0</v>
      </c>
      <c r="DY528" s="161">
        <f t="shared" si="2129"/>
        <v>0</v>
      </c>
      <c r="DZ528" s="161">
        <f t="shared" si="2130"/>
        <v>0</v>
      </c>
      <c r="EA528" s="161">
        <f t="shared" si="2131"/>
        <v>0</v>
      </c>
      <c r="EB528" s="161">
        <f t="shared" si="2132"/>
        <v>0</v>
      </c>
      <c r="EC528" s="161">
        <f t="shared" si="2133"/>
        <v>0</v>
      </c>
      <c r="ED528" s="161">
        <f t="shared" si="2134"/>
        <v>0</v>
      </c>
      <c r="EE528" s="161">
        <f t="shared" si="2135"/>
        <v>0</v>
      </c>
      <c r="EF528" s="161">
        <f t="shared" si="2136"/>
        <v>0</v>
      </c>
      <c r="EG528" s="161">
        <f t="shared" si="2137"/>
        <v>0</v>
      </c>
      <c r="EH528" s="161">
        <f t="shared" si="2138"/>
        <v>0</v>
      </c>
      <c r="EI528" s="161">
        <f t="shared" si="2139"/>
        <v>0</v>
      </c>
      <c r="EJ528" s="65"/>
      <c r="EK528" s="161">
        <f t="shared" si="2140"/>
        <v>0</v>
      </c>
      <c r="EL528" s="161">
        <f t="shared" si="2141"/>
        <v>0</v>
      </c>
      <c r="EM528" s="161">
        <f t="shared" si="2142"/>
        <v>0</v>
      </c>
    </row>
    <row r="529" spans="1:143" ht="12" hidden="1" customHeight="1" outlineLevel="2">
      <c r="A529" s="77">
        <v>5</v>
      </c>
      <c r="B529" s="137" t="str">
        <f t="shared" si="2070"/>
        <v>ENG/ARQ PL. - Equipe_01</v>
      </c>
      <c r="C529" s="65"/>
      <c r="D529" s="621"/>
      <c r="E529" s="65"/>
      <c r="F529" s="603"/>
      <c r="G529" s="77" t="str">
        <f>IF(INDEX(Tarefas!$BT$30:$FK$30,MATCH(A529,Tarefas!$BT$28:$FK$28,0))=0,"",INDEX(Tarefas!$BT$30:$FK$30,MATCH(A529,Tarefas!$BT$28:$FK$28,0)))</f>
        <v>ENG/ARQ PL.</v>
      </c>
      <c r="H529" s="107" cm="1">
        <f t="array" ref="H529">IFERROR((SUMPRODUCT((Tarefas!$N$32:$N$54='Cronog. e Histog.'!$F$525)*(Tarefas!$BQ$30:$FK$30='Cronog. e Histog.'!$G529)*(Tarefas!$BQ$32:$FK$54)))/SUMIF(Tarefas!$N$32:$N$54,'Cronog. e Histog.'!$F$525,Tarefas!$K$32:$K$54),0)</f>
        <v>0</v>
      </c>
      <c r="I529" s="79">
        <f t="shared" si="2071"/>
        <v>0</v>
      </c>
      <c r="J529" s="65"/>
      <c r="K529" s="160">
        <f t="shared" si="2072"/>
        <v>0</v>
      </c>
      <c r="L529" s="160">
        <f t="shared" si="2072"/>
        <v>0</v>
      </c>
      <c r="M529" s="160">
        <f t="shared" si="2072"/>
        <v>0</v>
      </c>
      <c r="N529" s="160">
        <f t="shared" si="2072"/>
        <v>0</v>
      </c>
      <c r="O529" s="160">
        <f t="shared" si="2072"/>
        <v>0</v>
      </c>
      <c r="P529" s="160">
        <f t="shared" si="2072"/>
        <v>0</v>
      </c>
      <c r="Q529" s="160">
        <f t="shared" si="2072"/>
        <v>0</v>
      </c>
      <c r="R529" s="160">
        <f t="shared" si="2072"/>
        <v>0</v>
      </c>
      <c r="S529" s="160">
        <f t="shared" si="2072"/>
        <v>0</v>
      </c>
      <c r="T529" s="160">
        <f t="shared" si="2072"/>
        <v>0</v>
      </c>
      <c r="U529" s="160">
        <f t="shared" si="2072"/>
        <v>0</v>
      </c>
      <c r="V529" s="160">
        <f t="shared" si="2072"/>
        <v>0</v>
      </c>
      <c r="W529" s="160">
        <f t="shared" si="2072"/>
        <v>0</v>
      </c>
      <c r="X529" s="160">
        <f t="shared" si="2072"/>
        <v>0</v>
      </c>
      <c r="Y529" s="160">
        <f t="shared" si="2072"/>
        <v>0</v>
      </c>
      <c r="Z529" s="160">
        <f t="shared" si="2072"/>
        <v>0</v>
      </c>
      <c r="AA529" s="160">
        <f t="shared" si="2073"/>
        <v>0</v>
      </c>
      <c r="AB529" s="160">
        <f t="shared" si="2073"/>
        <v>0</v>
      </c>
      <c r="AC529" s="160">
        <f t="shared" si="2073"/>
        <v>0</v>
      </c>
      <c r="AD529" s="160">
        <f t="shared" si="2073"/>
        <v>0</v>
      </c>
      <c r="AE529" s="160">
        <f t="shared" si="2073"/>
        <v>0</v>
      </c>
      <c r="AF529" s="160">
        <f t="shared" si="2073"/>
        <v>0</v>
      </c>
      <c r="AG529" s="160">
        <f t="shared" si="2073"/>
        <v>0</v>
      </c>
      <c r="AH529" s="160">
        <f t="shared" si="2073"/>
        <v>0</v>
      </c>
      <c r="AI529" s="160">
        <f t="shared" si="2073"/>
        <v>0</v>
      </c>
      <c r="AJ529" s="160">
        <f t="shared" si="2073"/>
        <v>0</v>
      </c>
      <c r="AK529" s="160">
        <f t="shared" si="2073"/>
        <v>0</v>
      </c>
      <c r="AL529" s="160">
        <f t="shared" si="2073"/>
        <v>0</v>
      </c>
      <c r="AM529" s="160">
        <f t="shared" si="2073"/>
        <v>0</v>
      </c>
      <c r="AN529" s="160">
        <f t="shared" si="2073"/>
        <v>0</v>
      </c>
      <c r="AO529" s="160">
        <f t="shared" si="2073"/>
        <v>0</v>
      </c>
      <c r="AP529" s="160">
        <f t="shared" si="2073"/>
        <v>0</v>
      </c>
      <c r="AQ529" s="160">
        <f t="shared" si="2074"/>
        <v>0</v>
      </c>
      <c r="AR529" s="160">
        <f t="shared" si="2074"/>
        <v>0</v>
      </c>
      <c r="AS529" s="160">
        <f t="shared" si="2074"/>
        <v>0</v>
      </c>
      <c r="AT529" s="160">
        <f t="shared" si="2074"/>
        <v>0</v>
      </c>
      <c r="AU529" s="160">
        <f t="shared" si="2074"/>
        <v>0</v>
      </c>
      <c r="AV529" s="160">
        <f t="shared" si="2074"/>
        <v>0</v>
      </c>
      <c r="AW529" s="160">
        <f t="shared" si="2074"/>
        <v>0</v>
      </c>
      <c r="AX529" s="160">
        <f t="shared" si="2074"/>
        <v>0</v>
      </c>
      <c r="AY529" s="160">
        <f t="shared" si="2074"/>
        <v>0</v>
      </c>
      <c r="AZ529" s="160">
        <f t="shared" si="2074"/>
        <v>0</v>
      </c>
      <c r="BA529" s="160">
        <f t="shared" si="2074"/>
        <v>0</v>
      </c>
      <c r="BB529" s="160">
        <f t="shared" si="2074"/>
        <v>0</v>
      </c>
      <c r="BC529" s="160">
        <f t="shared" si="2074"/>
        <v>0</v>
      </c>
      <c r="BD529" s="160">
        <f t="shared" si="2074"/>
        <v>0</v>
      </c>
      <c r="BE529" s="160">
        <f t="shared" si="2074"/>
        <v>0</v>
      </c>
      <c r="BF529" s="160">
        <f t="shared" si="2074"/>
        <v>0</v>
      </c>
      <c r="BG529" s="160">
        <f t="shared" si="2075"/>
        <v>0</v>
      </c>
      <c r="BH529" s="160">
        <f t="shared" si="2075"/>
        <v>0</v>
      </c>
      <c r="BI529" s="160">
        <f t="shared" si="2075"/>
        <v>0</v>
      </c>
      <c r="BJ529" s="160">
        <f t="shared" si="2075"/>
        <v>0</v>
      </c>
      <c r="BK529" s="160">
        <f t="shared" si="2075"/>
        <v>0</v>
      </c>
      <c r="BL529" s="160">
        <f t="shared" si="2075"/>
        <v>0</v>
      </c>
      <c r="BM529" s="160">
        <f t="shared" si="2075"/>
        <v>0</v>
      </c>
      <c r="BN529" s="160">
        <f t="shared" si="2075"/>
        <v>0</v>
      </c>
      <c r="BO529" s="160">
        <f t="shared" si="2075"/>
        <v>0</v>
      </c>
      <c r="BP529" s="160">
        <f t="shared" si="2075"/>
        <v>0</v>
      </c>
      <c r="BQ529" s="160">
        <f t="shared" si="2075"/>
        <v>0</v>
      </c>
      <c r="BR529" s="160">
        <f t="shared" si="2075"/>
        <v>0</v>
      </c>
      <c r="BS529" s="65"/>
      <c r="BT529" s="160">
        <f t="shared" si="2076"/>
        <v>0</v>
      </c>
      <c r="BU529" s="160">
        <f t="shared" si="2077"/>
        <v>0</v>
      </c>
      <c r="BV529" s="65"/>
      <c r="BW529" s="69"/>
      <c r="BX529" s="65"/>
      <c r="BY529" s="137">
        <f t="shared" si="2078"/>
        <v>1</v>
      </c>
      <c r="BZ529" s="137">
        <f>IF(BY529&gt;0,BY529+LARGE($BZ$213:BZ528,1),0)</f>
        <v>265</v>
      </c>
      <c r="CA529" s="137" t="str">
        <f t="shared" si="2079"/>
        <v>ENG/ARQ PL.</v>
      </c>
      <c r="CB529" s="161">
        <f t="shared" si="2080"/>
        <v>0</v>
      </c>
      <c r="CC529" s="161">
        <f t="shared" si="2081"/>
        <v>0</v>
      </c>
      <c r="CD529" s="161">
        <f t="shared" si="2082"/>
        <v>0</v>
      </c>
      <c r="CE529" s="161">
        <f t="shared" si="2083"/>
        <v>0</v>
      </c>
      <c r="CF529" s="161">
        <f t="shared" si="2084"/>
        <v>0</v>
      </c>
      <c r="CG529" s="161">
        <f t="shared" si="2085"/>
        <v>0</v>
      </c>
      <c r="CH529" s="161">
        <f t="shared" si="2086"/>
        <v>0</v>
      </c>
      <c r="CI529" s="161">
        <f t="shared" si="2087"/>
        <v>0</v>
      </c>
      <c r="CJ529" s="161">
        <f t="shared" si="2088"/>
        <v>0</v>
      </c>
      <c r="CK529" s="161">
        <f t="shared" si="2089"/>
        <v>0</v>
      </c>
      <c r="CL529" s="161">
        <f t="shared" si="2090"/>
        <v>0</v>
      </c>
      <c r="CM529" s="161">
        <f t="shared" si="2091"/>
        <v>0</v>
      </c>
      <c r="CN529" s="161">
        <f t="shared" si="2092"/>
        <v>0</v>
      </c>
      <c r="CO529" s="161">
        <f t="shared" si="2093"/>
        <v>0</v>
      </c>
      <c r="CP529" s="161">
        <f t="shared" si="2094"/>
        <v>0</v>
      </c>
      <c r="CQ529" s="161">
        <f t="shared" si="2095"/>
        <v>0</v>
      </c>
      <c r="CR529" s="161">
        <f t="shared" si="2096"/>
        <v>0</v>
      </c>
      <c r="CS529" s="161">
        <f t="shared" si="2097"/>
        <v>0</v>
      </c>
      <c r="CT529" s="161">
        <f t="shared" si="2098"/>
        <v>0</v>
      </c>
      <c r="CU529" s="161">
        <f t="shared" si="2099"/>
        <v>0</v>
      </c>
      <c r="CV529" s="161">
        <f t="shared" si="2100"/>
        <v>0</v>
      </c>
      <c r="CW529" s="161">
        <f t="shared" si="2101"/>
        <v>0</v>
      </c>
      <c r="CX529" s="161">
        <f t="shared" si="2102"/>
        <v>0</v>
      </c>
      <c r="CY529" s="161">
        <f t="shared" si="2103"/>
        <v>0</v>
      </c>
      <c r="CZ529" s="161">
        <f t="shared" si="2104"/>
        <v>0</v>
      </c>
      <c r="DA529" s="161">
        <f t="shared" si="2105"/>
        <v>0</v>
      </c>
      <c r="DB529" s="161">
        <f t="shared" si="2106"/>
        <v>0</v>
      </c>
      <c r="DC529" s="161">
        <f t="shared" si="2107"/>
        <v>0</v>
      </c>
      <c r="DD529" s="161">
        <f t="shared" si="2108"/>
        <v>0</v>
      </c>
      <c r="DE529" s="161">
        <f t="shared" si="2109"/>
        <v>0</v>
      </c>
      <c r="DF529" s="161">
        <f t="shared" si="2110"/>
        <v>0</v>
      </c>
      <c r="DG529" s="161">
        <f t="shared" si="2111"/>
        <v>0</v>
      </c>
      <c r="DH529" s="161">
        <f t="shared" si="2112"/>
        <v>0</v>
      </c>
      <c r="DI529" s="161">
        <f t="shared" si="2113"/>
        <v>0</v>
      </c>
      <c r="DJ529" s="161">
        <f t="shared" si="2114"/>
        <v>0</v>
      </c>
      <c r="DK529" s="161">
        <f t="shared" si="2115"/>
        <v>0</v>
      </c>
      <c r="DL529" s="161">
        <f t="shared" si="2116"/>
        <v>0</v>
      </c>
      <c r="DM529" s="161">
        <f t="shared" si="2117"/>
        <v>0</v>
      </c>
      <c r="DN529" s="161">
        <f t="shared" si="2118"/>
        <v>0</v>
      </c>
      <c r="DO529" s="161">
        <f t="shared" si="2119"/>
        <v>0</v>
      </c>
      <c r="DP529" s="161">
        <f t="shared" si="2120"/>
        <v>0</v>
      </c>
      <c r="DQ529" s="161">
        <f t="shared" si="2121"/>
        <v>0</v>
      </c>
      <c r="DR529" s="161">
        <f t="shared" si="2122"/>
        <v>0</v>
      </c>
      <c r="DS529" s="161">
        <f t="shared" si="2123"/>
        <v>0</v>
      </c>
      <c r="DT529" s="161">
        <f t="shared" si="2124"/>
        <v>0</v>
      </c>
      <c r="DU529" s="161">
        <f t="shared" si="2125"/>
        <v>0</v>
      </c>
      <c r="DV529" s="161">
        <f t="shared" si="2126"/>
        <v>0</v>
      </c>
      <c r="DW529" s="161">
        <f t="shared" si="2127"/>
        <v>0</v>
      </c>
      <c r="DX529" s="161">
        <f t="shared" si="2128"/>
        <v>0</v>
      </c>
      <c r="DY529" s="161">
        <f t="shared" si="2129"/>
        <v>0</v>
      </c>
      <c r="DZ529" s="161">
        <f t="shared" si="2130"/>
        <v>0</v>
      </c>
      <c r="EA529" s="161">
        <f t="shared" si="2131"/>
        <v>0</v>
      </c>
      <c r="EB529" s="161">
        <f t="shared" si="2132"/>
        <v>0</v>
      </c>
      <c r="EC529" s="161">
        <f t="shared" si="2133"/>
        <v>0</v>
      </c>
      <c r="ED529" s="161">
        <f t="shared" si="2134"/>
        <v>0</v>
      </c>
      <c r="EE529" s="161">
        <f t="shared" si="2135"/>
        <v>0</v>
      </c>
      <c r="EF529" s="161">
        <f t="shared" si="2136"/>
        <v>0</v>
      </c>
      <c r="EG529" s="161">
        <f t="shared" si="2137"/>
        <v>0</v>
      </c>
      <c r="EH529" s="161">
        <f t="shared" si="2138"/>
        <v>0</v>
      </c>
      <c r="EI529" s="161">
        <f t="shared" si="2139"/>
        <v>0</v>
      </c>
      <c r="EJ529" s="65"/>
      <c r="EK529" s="161">
        <f t="shared" si="2140"/>
        <v>0</v>
      </c>
      <c r="EL529" s="161">
        <f t="shared" si="2141"/>
        <v>0</v>
      </c>
      <c r="EM529" s="161">
        <f t="shared" si="2142"/>
        <v>0</v>
      </c>
    </row>
    <row r="530" spans="1:143" ht="12" hidden="1" customHeight="1" outlineLevel="2">
      <c r="A530" s="77">
        <v>6</v>
      </c>
      <c r="B530" s="137" t="str">
        <f t="shared" si="2070"/>
        <v>ENG/ARQ JR. - Equipe_01</v>
      </c>
      <c r="C530" s="65"/>
      <c r="D530" s="621"/>
      <c r="E530" s="65"/>
      <c r="F530" s="603"/>
      <c r="G530" s="77" t="str">
        <f>IF(INDEX(Tarefas!$BT$30:$FK$30,MATCH(A530,Tarefas!$BT$28:$FK$28,0))=0,"",INDEX(Tarefas!$BT$30:$FK$30,MATCH(A530,Tarefas!$BT$28:$FK$28,0)))</f>
        <v>ENG/ARQ JR.</v>
      </c>
      <c r="H530" s="107" cm="1">
        <f t="array" ref="H530">IFERROR((SUMPRODUCT((Tarefas!$N$32:$N$54='Cronog. e Histog.'!$F$525)*(Tarefas!$BQ$30:$FK$30='Cronog. e Histog.'!$G530)*(Tarefas!$BQ$32:$FK$54)))/SUMIF(Tarefas!$N$32:$N$54,'Cronog. e Histog.'!$F$525,Tarefas!$K$32:$K$54),0)</f>
        <v>0</v>
      </c>
      <c r="I530" s="79">
        <f t="shared" si="2071"/>
        <v>0</v>
      </c>
      <c r="J530" s="65"/>
      <c r="K530" s="160">
        <f t="shared" si="2072"/>
        <v>0</v>
      </c>
      <c r="L530" s="160">
        <f t="shared" si="2072"/>
        <v>0</v>
      </c>
      <c r="M530" s="160">
        <f t="shared" si="2072"/>
        <v>0</v>
      </c>
      <c r="N530" s="160">
        <f t="shared" si="2072"/>
        <v>0</v>
      </c>
      <c r="O530" s="160">
        <f t="shared" si="2072"/>
        <v>0</v>
      </c>
      <c r="P530" s="160">
        <f t="shared" si="2072"/>
        <v>0</v>
      </c>
      <c r="Q530" s="160">
        <f t="shared" si="2072"/>
        <v>0</v>
      </c>
      <c r="R530" s="160">
        <f t="shared" si="2072"/>
        <v>0</v>
      </c>
      <c r="S530" s="160">
        <f t="shared" si="2072"/>
        <v>0</v>
      </c>
      <c r="T530" s="160">
        <f t="shared" si="2072"/>
        <v>0</v>
      </c>
      <c r="U530" s="160">
        <f t="shared" si="2072"/>
        <v>0</v>
      </c>
      <c r="V530" s="160">
        <f t="shared" si="2072"/>
        <v>0</v>
      </c>
      <c r="W530" s="160">
        <f t="shared" si="2072"/>
        <v>0</v>
      </c>
      <c r="X530" s="160">
        <f t="shared" si="2072"/>
        <v>0</v>
      </c>
      <c r="Y530" s="160">
        <f t="shared" si="2072"/>
        <v>0</v>
      </c>
      <c r="Z530" s="160">
        <f t="shared" si="2072"/>
        <v>0</v>
      </c>
      <c r="AA530" s="160">
        <f t="shared" si="2073"/>
        <v>0</v>
      </c>
      <c r="AB530" s="160">
        <f t="shared" si="2073"/>
        <v>0</v>
      </c>
      <c r="AC530" s="160">
        <f t="shared" si="2073"/>
        <v>0</v>
      </c>
      <c r="AD530" s="160">
        <f t="shared" si="2073"/>
        <v>0</v>
      </c>
      <c r="AE530" s="160">
        <f t="shared" si="2073"/>
        <v>0</v>
      </c>
      <c r="AF530" s="160">
        <f t="shared" si="2073"/>
        <v>0</v>
      </c>
      <c r="AG530" s="160">
        <f t="shared" si="2073"/>
        <v>0</v>
      </c>
      <c r="AH530" s="160">
        <f t="shared" si="2073"/>
        <v>0</v>
      </c>
      <c r="AI530" s="160">
        <f t="shared" si="2073"/>
        <v>0</v>
      </c>
      <c r="AJ530" s="160">
        <f t="shared" si="2073"/>
        <v>0</v>
      </c>
      <c r="AK530" s="160">
        <f t="shared" si="2073"/>
        <v>0</v>
      </c>
      <c r="AL530" s="160">
        <f t="shared" si="2073"/>
        <v>0</v>
      </c>
      <c r="AM530" s="160">
        <f t="shared" si="2073"/>
        <v>0</v>
      </c>
      <c r="AN530" s="160">
        <f t="shared" si="2073"/>
        <v>0</v>
      </c>
      <c r="AO530" s="160">
        <f t="shared" si="2073"/>
        <v>0</v>
      </c>
      <c r="AP530" s="160">
        <f t="shared" si="2073"/>
        <v>0</v>
      </c>
      <c r="AQ530" s="160">
        <f t="shared" si="2074"/>
        <v>0</v>
      </c>
      <c r="AR530" s="160">
        <f t="shared" si="2074"/>
        <v>0</v>
      </c>
      <c r="AS530" s="160">
        <f t="shared" si="2074"/>
        <v>0</v>
      </c>
      <c r="AT530" s="160">
        <f t="shared" si="2074"/>
        <v>0</v>
      </c>
      <c r="AU530" s="160">
        <f t="shared" si="2074"/>
        <v>0</v>
      </c>
      <c r="AV530" s="160">
        <f t="shared" si="2074"/>
        <v>0</v>
      </c>
      <c r="AW530" s="160">
        <f t="shared" si="2074"/>
        <v>0</v>
      </c>
      <c r="AX530" s="160">
        <f t="shared" si="2074"/>
        <v>0</v>
      </c>
      <c r="AY530" s="160">
        <f t="shared" si="2074"/>
        <v>0</v>
      </c>
      <c r="AZ530" s="160">
        <f t="shared" si="2074"/>
        <v>0</v>
      </c>
      <c r="BA530" s="160">
        <f t="shared" si="2074"/>
        <v>0</v>
      </c>
      <c r="BB530" s="160">
        <f t="shared" si="2074"/>
        <v>0</v>
      </c>
      <c r="BC530" s="160">
        <f t="shared" si="2074"/>
        <v>0</v>
      </c>
      <c r="BD530" s="160">
        <f t="shared" si="2074"/>
        <v>0</v>
      </c>
      <c r="BE530" s="160">
        <f t="shared" si="2074"/>
        <v>0</v>
      </c>
      <c r="BF530" s="160">
        <f t="shared" si="2074"/>
        <v>0</v>
      </c>
      <c r="BG530" s="160">
        <f t="shared" si="2075"/>
        <v>0</v>
      </c>
      <c r="BH530" s="160">
        <f t="shared" si="2075"/>
        <v>0</v>
      </c>
      <c r="BI530" s="160">
        <f t="shared" si="2075"/>
        <v>0</v>
      </c>
      <c r="BJ530" s="160">
        <f t="shared" si="2075"/>
        <v>0</v>
      </c>
      <c r="BK530" s="160">
        <f t="shared" si="2075"/>
        <v>0</v>
      </c>
      <c r="BL530" s="160">
        <f t="shared" si="2075"/>
        <v>0</v>
      </c>
      <c r="BM530" s="160">
        <f t="shared" si="2075"/>
        <v>0</v>
      </c>
      <c r="BN530" s="160">
        <f t="shared" si="2075"/>
        <v>0</v>
      </c>
      <c r="BO530" s="160">
        <f t="shared" si="2075"/>
        <v>0</v>
      </c>
      <c r="BP530" s="160">
        <f t="shared" si="2075"/>
        <v>0</v>
      </c>
      <c r="BQ530" s="160">
        <f t="shared" si="2075"/>
        <v>0</v>
      </c>
      <c r="BR530" s="160">
        <f t="shared" si="2075"/>
        <v>0</v>
      </c>
      <c r="BS530" s="65"/>
      <c r="BT530" s="160">
        <f t="shared" si="2076"/>
        <v>0</v>
      </c>
      <c r="BU530" s="160">
        <f t="shared" si="2077"/>
        <v>0</v>
      </c>
      <c r="BV530" s="65"/>
      <c r="BW530" s="69"/>
      <c r="BX530" s="65"/>
      <c r="BY530" s="137">
        <f t="shared" si="2078"/>
        <v>1</v>
      </c>
      <c r="BZ530" s="137">
        <f>IF(BY530&gt;0,BY530+LARGE($BZ$213:BZ529,1),0)</f>
        <v>266</v>
      </c>
      <c r="CA530" s="137" t="str">
        <f t="shared" si="2079"/>
        <v>ENG/ARQ JR.</v>
      </c>
      <c r="CB530" s="161">
        <f t="shared" si="2080"/>
        <v>0</v>
      </c>
      <c r="CC530" s="161">
        <f t="shared" si="2081"/>
        <v>0</v>
      </c>
      <c r="CD530" s="161">
        <f t="shared" si="2082"/>
        <v>0</v>
      </c>
      <c r="CE530" s="161">
        <f t="shared" si="2083"/>
        <v>0</v>
      </c>
      <c r="CF530" s="161">
        <f t="shared" si="2084"/>
        <v>0</v>
      </c>
      <c r="CG530" s="161">
        <f t="shared" si="2085"/>
        <v>0</v>
      </c>
      <c r="CH530" s="161">
        <f t="shared" si="2086"/>
        <v>0</v>
      </c>
      <c r="CI530" s="161">
        <f t="shared" si="2087"/>
        <v>0</v>
      </c>
      <c r="CJ530" s="161">
        <f t="shared" si="2088"/>
        <v>0</v>
      </c>
      <c r="CK530" s="161">
        <f t="shared" si="2089"/>
        <v>0</v>
      </c>
      <c r="CL530" s="161">
        <f t="shared" si="2090"/>
        <v>0</v>
      </c>
      <c r="CM530" s="161">
        <f t="shared" si="2091"/>
        <v>0</v>
      </c>
      <c r="CN530" s="161">
        <f t="shared" si="2092"/>
        <v>0</v>
      </c>
      <c r="CO530" s="161">
        <f t="shared" si="2093"/>
        <v>0</v>
      </c>
      <c r="CP530" s="161">
        <f t="shared" si="2094"/>
        <v>0</v>
      </c>
      <c r="CQ530" s="161">
        <f t="shared" si="2095"/>
        <v>0</v>
      </c>
      <c r="CR530" s="161">
        <f t="shared" si="2096"/>
        <v>0</v>
      </c>
      <c r="CS530" s="161">
        <f t="shared" si="2097"/>
        <v>0</v>
      </c>
      <c r="CT530" s="161">
        <f t="shared" si="2098"/>
        <v>0</v>
      </c>
      <c r="CU530" s="161">
        <f t="shared" si="2099"/>
        <v>0</v>
      </c>
      <c r="CV530" s="161">
        <f t="shared" si="2100"/>
        <v>0</v>
      </c>
      <c r="CW530" s="161">
        <f t="shared" si="2101"/>
        <v>0</v>
      </c>
      <c r="CX530" s="161">
        <f t="shared" si="2102"/>
        <v>0</v>
      </c>
      <c r="CY530" s="161">
        <f t="shared" si="2103"/>
        <v>0</v>
      </c>
      <c r="CZ530" s="161">
        <f t="shared" si="2104"/>
        <v>0</v>
      </c>
      <c r="DA530" s="161">
        <f t="shared" si="2105"/>
        <v>0</v>
      </c>
      <c r="DB530" s="161">
        <f t="shared" si="2106"/>
        <v>0</v>
      </c>
      <c r="DC530" s="161">
        <f t="shared" si="2107"/>
        <v>0</v>
      </c>
      <c r="DD530" s="161">
        <f t="shared" si="2108"/>
        <v>0</v>
      </c>
      <c r="DE530" s="161">
        <f t="shared" si="2109"/>
        <v>0</v>
      </c>
      <c r="DF530" s="161">
        <f t="shared" si="2110"/>
        <v>0</v>
      </c>
      <c r="DG530" s="161">
        <f t="shared" si="2111"/>
        <v>0</v>
      </c>
      <c r="DH530" s="161">
        <f t="shared" si="2112"/>
        <v>0</v>
      </c>
      <c r="DI530" s="161">
        <f t="shared" si="2113"/>
        <v>0</v>
      </c>
      <c r="DJ530" s="161">
        <f t="shared" si="2114"/>
        <v>0</v>
      </c>
      <c r="DK530" s="161">
        <f t="shared" si="2115"/>
        <v>0</v>
      </c>
      <c r="DL530" s="161">
        <f t="shared" si="2116"/>
        <v>0</v>
      </c>
      <c r="DM530" s="161">
        <f t="shared" si="2117"/>
        <v>0</v>
      </c>
      <c r="DN530" s="161">
        <f t="shared" si="2118"/>
        <v>0</v>
      </c>
      <c r="DO530" s="161">
        <f t="shared" si="2119"/>
        <v>0</v>
      </c>
      <c r="DP530" s="161">
        <f t="shared" si="2120"/>
        <v>0</v>
      </c>
      <c r="DQ530" s="161">
        <f t="shared" si="2121"/>
        <v>0</v>
      </c>
      <c r="DR530" s="161">
        <f t="shared" si="2122"/>
        <v>0</v>
      </c>
      <c r="DS530" s="161">
        <f t="shared" si="2123"/>
        <v>0</v>
      </c>
      <c r="DT530" s="161">
        <f t="shared" si="2124"/>
        <v>0</v>
      </c>
      <c r="DU530" s="161">
        <f t="shared" si="2125"/>
        <v>0</v>
      </c>
      <c r="DV530" s="161">
        <f t="shared" si="2126"/>
        <v>0</v>
      </c>
      <c r="DW530" s="161">
        <f t="shared" si="2127"/>
        <v>0</v>
      </c>
      <c r="DX530" s="161">
        <f t="shared" si="2128"/>
        <v>0</v>
      </c>
      <c r="DY530" s="161">
        <f t="shared" si="2129"/>
        <v>0</v>
      </c>
      <c r="DZ530" s="161">
        <f t="shared" si="2130"/>
        <v>0</v>
      </c>
      <c r="EA530" s="161">
        <f t="shared" si="2131"/>
        <v>0</v>
      </c>
      <c r="EB530" s="161">
        <f t="shared" si="2132"/>
        <v>0</v>
      </c>
      <c r="EC530" s="161">
        <f t="shared" si="2133"/>
        <v>0</v>
      </c>
      <c r="ED530" s="161">
        <f t="shared" si="2134"/>
        <v>0</v>
      </c>
      <c r="EE530" s="161">
        <f t="shared" si="2135"/>
        <v>0</v>
      </c>
      <c r="EF530" s="161">
        <f t="shared" si="2136"/>
        <v>0</v>
      </c>
      <c r="EG530" s="161">
        <f t="shared" si="2137"/>
        <v>0</v>
      </c>
      <c r="EH530" s="161">
        <f t="shared" si="2138"/>
        <v>0</v>
      </c>
      <c r="EI530" s="161">
        <f t="shared" si="2139"/>
        <v>0</v>
      </c>
      <c r="EJ530" s="65"/>
      <c r="EK530" s="161">
        <f t="shared" si="2140"/>
        <v>0</v>
      </c>
      <c r="EL530" s="161">
        <f t="shared" si="2141"/>
        <v>0</v>
      </c>
      <c r="EM530" s="161">
        <f t="shared" si="2142"/>
        <v>0</v>
      </c>
    </row>
    <row r="531" spans="1:143" ht="12" hidden="1" customHeight="1" outlineLevel="2">
      <c r="A531" s="77">
        <v>7</v>
      </c>
      <c r="B531" s="137" t="str">
        <f t="shared" si="2070"/>
        <v>AN SR. ENG/ARQ - Equipe_01</v>
      </c>
      <c r="C531" s="65"/>
      <c r="D531" s="621"/>
      <c r="E531" s="65"/>
      <c r="F531" s="603"/>
      <c r="G531" s="77" t="str">
        <f>IF(INDEX(Tarefas!$BT$30:$FK$30,MATCH(A531,Tarefas!$BT$28:$FK$28,0))=0,"",INDEX(Tarefas!$BT$30:$FK$30,MATCH(A531,Tarefas!$BT$28:$FK$28,0)))</f>
        <v>AN SR. ENG/ARQ</v>
      </c>
      <c r="H531" s="107" cm="1">
        <f t="array" ref="H531">IFERROR((SUMPRODUCT((Tarefas!$N$32:$N$54='Cronog. e Histog.'!$F$525)*(Tarefas!$BQ$30:$FK$30='Cronog. e Histog.'!$G531)*(Tarefas!$BQ$32:$FK$54)))/SUMIF(Tarefas!$N$32:$N$54,'Cronog. e Histog.'!$F$525,Tarefas!$K$32:$K$54),0)</f>
        <v>0</v>
      </c>
      <c r="I531" s="79">
        <f t="shared" si="2071"/>
        <v>0</v>
      </c>
      <c r="J531" s="65"/>
      <c r="K531" s="160">
        <f t="shared" si="2072"/>
        <v>0</v>
      </c>
      <c r="L531" s="160">
        <f t="shared" si="2072"/>
        <v>0</v>
      </c>
      <c r="M531" s="160">
        <f t="shared" si="2072"/>
        <v>0</v>
      </c>
      <c r="N531" s="160">
        <f t="shared" si="2072"/>
        <v>0</v>
      </c>
      <c r="O531" s="160">
        <f t="shared" si="2072"/>
        <v>0</v>
      </c>
      <c r="P531" s="160">
        <f t="shared" si="2072"/>
        <v>0</v>
      </c>
      <c r="Q531" s="160">
        <f t="shared" si="2072"/>
        <v>0</v>
      </c>
      <c r="R531" s="160">
        <f t="shared" si="2072"/>
        <v>0</v>
      </c>
      <c r="S531" s="160">
        <f t="shared" si="2072"/>
        <v>0</v>
      </c>
      <c r="T531" s="160">
        <f t="shared" si="2072"/>
        <v>0</v>
      </c>
      <c r="U531" s="160">
        <f t="shared" si="2072"/>
        <v>0</v>
      </c>
      <c r="V531" s="160">
        <f t="shared" si="2072"/>
        <v>0</v>
      </c>
      <c r="W531" s="160">
        <f t="shared" si="2072"/>
        <v>0</v>
      </c>
      <c r="X531" s="160">
        <f t="shared" si="2072"/>
        <v>0</v>
      </c>
      <c r="Y531" s="160">
        <f t="shared" si="2072"/>
        <v>0</v>
      </c>
      <c r="Z531" s="160">
        <f t="shared" si="2072"/>
        <v>0</v>
      </c>
      <c r="AA531" s="160">
        <f t="shared" si="2073"/>
        <v>0</v>
      </c>
      <c r="AB531" s="160">
        <f t="shared" si="2073"/>
        <v>0</v>
      </c>
      <c r="AC531" s="160">
        <f t="shared" si="2073"/>
        <v>0</v>
      </c>
      <c r="AD531" s="160">
        <f t="shared" si="2073"/>
        <v>0</v>
      </c>
      <c r="AE531" s="160">
        <f t="shared" si="2073"/>
        <v>0</v>
      </c>
      <c r="AF531" s="160">
        <f t="shared" si="2073"/>
        <v>0</v>
      </c>
      <c r="AG531" s="160">
        <f t="shared" si="2073"/>
        <v>0</v>
      </c>
      <c r="AH531" s="160">
        <f t="shared" si="2073"/>
        <v>0</v>
      </c>
      <c r="AI531" s="160">
        <f t="shared" si="2073"/>
        <v>0</v>
      </c>
      <c r="AJ531" s="160">
        <f t="shared" si="2073"/>
        <v>0</v>
      </c>
      <c r="AK531" s="160">
        <f t="shared" si="2073"/>
        <v>0</v>
      </c>
      <c r="AL531" s="160">
        <f t="shared" si="2073"/>
        <v>0</v>
      </c>
      <c r="AM531" s="160">
        <f t="shared" si="2073"/>
        <v>0</v>
      </c>
      <c r="AN531" s="160">
        <f t="shared" si="2073"/>
        <v>0</v>
      </c>
      <c r="AO531" s="160">
        <f t="shared" si="2073"/>
        <v>0</v>
      </c>
      <c r="AP531" s="160">
        <f t="shared" si="2073"/>
        <v>0</v>
      </c>
      <c r="AQ531" s="160">
        <f t="shared" si="2074"/>
        <v>0</v>
      </c>
      <c r="AR531" s="160">
        <f t="shared" si="2074"/>
        <v>0</v>
      </c>
      <c r="AS531" s="160">
        <f t="shared" si="2074"/>
        <v>0</v>
      </c>
      <c r="AT531" s="160">
        <f t="shared" si="2074"/>
        <v>0</v>
      </c>
      <c r="AU531" s="160">
        <f t="shared" si="2074"/>
        <v>0</v>
      </c>
      <c r="AV531" s="160">
        <f t="shared" si="2074"/>
        <v>0</v>
      </c>
      <c r="AW531" s="160">
        <f t="shared" si="2074"/>
        <v>0</v>
      </c>
      <c r="AX531" s="160">
        <f t="shared" si="2074"/>
        <v>0</v>
      </c>
      <c r="AY531" s="160">
        <f t="shared" si="2074"/>
        <v>0</v>
      </c>
      <c r="AZ531" s="160">
        <f t="shared" si="2074"/>
        <v>0</v>
      </c>
      <c r="BA531" s="160">
        <f t="shared" si="2074"/>
        <v>0</v>
      </c>
      <c r="BB531" s="160">
        <f t="shared" si="2074"/>
        <v>0</v>
      </c>
      <c r="BC531" s="160">
        <f t="shared" si="2074"/>
        <v>0</v>
      </c>
      <c r="BD531" s="160">
        <f t="shared" si="2074"/>
        <v>0</v>
      </c>
      <c r="BE531" s="160">
        <f t="shared" si="2074"/>
        <v>0</v>
      </c>
      <c r="BF531" s="160">
        <f t="shared" si="2074"/>
        <v>0</v>
      </c>
      <c r="BG531" s="160">
        <f t="shared" si="2075"/>
        <v>0</v>
      </c>
      <c r="BH531" s="160">
        <f t="shared" si="2075"/>
        <v>0</v>
      </c>
      <c r="BI531" s="160">
        <f t="shared" si="2075"/>
        <v>0</v>
      </c>
      <c r="BJ531" s="160">
        <f t="shared" si="2075"/>
        <v>0</v>
      </c>
      <c r="BK531" s="160">
        <f t="shared" si="2075"/>
        <v>0</v>
      </c>
      <c r="BL531" s="160">
        <f t="shared" si="2075"/>
        <v>0</v>
      </c>
      <c r="BM531" s="160">
        <f t="shared" si="2075"/>
        <v>0</v>
      </c>
      <c r="BN531" s="160">
        <f t="shared" si="2075"/>
        <v>0</v>
      </c>
      <c r="BO531" s="160">
        <f t="shared" si="2075"/>
        <v>0</v>
      </c>
      <c r="BP531" s="160">
        <f t="shared" si="2075"/>
        <v>0</v>
      </c>
      <c r="BQ531" s="160">
        <f t="shared" si="2075"/>
        <v>0</v>
      </c>
      <c r="BR531" s="160">
        <f t="shared" si="2075"/>
        <v>0</v>
      </c>
      <c r="BS531" s="65"/>
      <c r="BT531" s="160">
        <f t="shared" si="2076"/>
        <v>0</v>
      </c>
      <c r="BU531" s="160">
        <f t="shared" si="2077"/>
        <v>0</v>
      </c>
      <c r="BV531" s="65"/>
      <c r="BW531" s="69"/>
      <c r="BX531" s="65"/>
      <c r="BY531" s="137">
        <f t="shared" si="2078"/>
        <v>1</v>
      </c>
      <c r="BZ531" s="137">
        <f>IF(BY531&gt;0,BY531+LARGE($BZ$213:BZ530,1),0)</f>
        <v>267</v>
      </c>
      <c r="CA531" s="137" t="str">
        <f t="shared" si="2079"/>
        <v>AN SR. ENG/ARQ</v>
      </c>
      <c r="CB531" s="161">
        <f t="shared" si="2080"/>
        <v>0</v>
      </c>
      <c r="CC531" s="161">
        <f t="shared" si="2081"/>
        <v>0</v>
      </c>
      <c r="CD531" s="161">
        <f t="shared" si="2082"/>
        <v>0</v>
      </c>
      <c r="CE531" s="161">
        <f t="shared" si="2083"/>
        <v>0</v>
      </c>
      <c r="CF531" s="161">
        <f t="shared" si="2084"/>
        <v>0</v>
      </c>
      <c r="CG531" s="161">
        <f t="shared" si="2085"/>
        <v>0</v>
      </c>
      <c r="CH531" s="161">
        <f t="shared" si="2086"/>
        <v>0</v>
      </c>
      <c r="CI531" s="161">
        <f t="shared" si="2087"/>
        <v>0</v>
      </c>
      <c r="CJ531" s="161">
        <f t="shared" si="2088"/>
        <v>0</v>
      </c>
      <c r="CK531" s="161">
        <f t="shared" si="2089"/>
        <v>0</v>
      </c>
      <c r="CL531" s="161">
        <f t="shared" si="2090"/>
        <v>0</v>
      </c>
      <c r="CM531" s="161">
        <f t="shared" si="2091"/>
        <v>0</v>
      </c>
      <c r="CN531" s="161">
        <f t="shared" si="2092"/>
        <v>0</v>
      </c>
      <c r="CO531" s="161">
        <f t="shared" si="2093"/>
        <v>0</v>
      </c>
      <c r="CP531" s="161">
        <f t="shared" si="2094"/>
        <v>0</v>
      </c>
      <c r="CQ531" s="161">
        <f t="shared" si="2095"/>
        <v>0</v>
      </c>
      <c r="CR531" s="161">
        <f t="shared" si="2096"/>
        <v>0</v>
      </c>
      <c r="CS531" s="161">
        <f t="shared" si="2097"/>
        <v>0</v>
      </c>
      <c r="CT531" s="161">
        <f t="shared" si="2098"/>
        <v>0</v>
      </c>
      <c r="CU531" s="161">
        <f t="shared" si="2099"/>
        <v>0</v>
      </c>
      <c r="CV531" s="161">
        <f t="shared" si="2100"/>
        <v>0</v>
      </c>
      <c r="CW531" s="161">
        <f t="shared" si="2101"/>
        <v>0</v>
      </c>
      <c r="CX531" s="161">
        <f t="shared" si="2102"/>
        <v>0</v>
      </c>
      <c r="CY531" s="161">
        <f t="shared" si="2103"/>
        <v>0</v>
      </c>
      <c r="CZ531" s="161">
        <f t="shared" si="2104"/>
        <v>0</v>
      </c>
      <c r="DA531" s="161">
        <f t="shared" si="2105"/>
        <v>0</v>
      </c>
      <c r="DB531" s="161">
        <f t="shared" si="2106"/>
        <v>0</v>
      </c>
      <c r="DC531" s="161">
        <f t="shared" si="2107"/>
        <v>0</v>
      </c>
      <c r="DD531" s="161">
        <f t="shared" si="2108"/>
        <v>0</v>
      </c>
      <c r="DE531" s="161">
        <f t="shared" si="2109"/>
        <v>0</v>
      </c>
      <c r="DF531" s="161">
        <f t="shared" si="2110"/>
        <v>0</v>
      </c>
      <c r="DG531" s="161">
        <f t="shared" si="2111"/>
        <v>0</v>
      </c>
      <c r="DH531" s="161">
        <f t="shared" si="2112"/>
        <v>0</v>
      </c>
      <c r="DI531" s="161">
        <f t="shared" si="2113"/>
        <v>0</v>
      </c>
      <c r="DJ531" s="161">
        <f t="shared" si="2114"/>
        <v>0</v>
      </c>
      <c r="DK531" s="161">
        <f t="shared" si="2115"/>
        <v>0</v>
      </c>
      <c r="DL531" s="161">
        <f t="shared" si="2116"/>
        <v>0</v>
      </c>
      <c r="DM531" s="161">
        <f t="shared" si="2117"/>
        <v>0</v>
      </c>
      <c r="DN531" s="161">
        <f t="shared" si="2118"/>
        <v>0</v>
      </c>
      <c r="DO531" s="161">
        <f t="shared" si="2119"/>
        <v>0</v>
      </c>
      <c r="DP531" s="161">
        <f t="shared" si="2120"/>
        <v>0</v>
      </c>
      <c r="DQ531" s="161">
        <f t="shared" si="2121"/>
        <v>0</v>
      </c>
      <c r="DR531" s="161">
        <f t="shared" si="2122"/>
        <v>0</v>
      </c>
      <c r="DS531" s="161">
        <f t="shared" si="2123"/>
        <v>0</v>
      </c>
      <c r="DT531" s="161">
        <f t="shared" si="2124"/>
        <v>0</v>
      </c>
      <c r="DU531" s="161">
        <f t="shared" si="2125"/>
        <v>0</v>
      </c>
      <c r="DV531" s="161">
        <f t="shared" si="2126"/>
        <v>0</v>
      </c>
      <c r="DW531" s="161">
        <f t="shared" si="2127"/>
        <v>0</v>
      </c>
      <c r="DX531" s="161">
        <f t="shared" si="2128"/>
        <v>0</v>
      </c>
      <c r="DY531" s="161">
        <f t="shared" si="2129"/>
        <v>0</v>
      </c>
      <c r="DZ531" s="161">
        <f t="shared" si="2130"/>
        <v>0</v>
      </c>
      <c r="EA531" s="161">
        <f t="shared" si="2131"/>
        <v>0</v>
      </c>
      <c r="EB531" s="161">
        <f t="shared" si="2132"/>
        <v>0</v>
      </c>
      <c r="EC531" s="161">
        <f t="shared" si="2133"/>
        <v>0</v>
      </c>
      <c r="ED531" s="161">
        <f t="shared" si="2134"/>
        <v>0</v>
      </c>
      <c r="EE531" s="161">
        <f t="shared" si="2135"/>
        <v>0</v>
      </c>
      <c r="EF531" s="161">
        <f t="shared" si="2136"/>
        <v>0</v>
      </c>
      <c r="EG531" s="161">
        <f t="shared" si="2137"/>
        <v>0</v>
      </c>
      <c r="EH531" s="161">
        <f t="shared" si="2138"/>
        <v>0</v>
      </c>
      <c r="EI531" s="161">
        <f t="shared" si="2139"/>
        <v>0</v>
      </c>
      <c r="EJ531" s="65"/>
      <c r="EK531" s="161">
        <f t="shared" si="2140"/>
        <v>0</v>
      </c>
      <c r="EL531" s="161">
        <f t="shared" si="2141"/>
        <v>0</v>
      </c>
      <c r="EM531" s="161">
        <f t="shared" si="2142"/>
        <v>0</v>
      </c>
    </row>
    <row r="532" spans="1:143" ht="12" hidden="1" customHeight="1" outlineLevel="2">
      <c r="A532" s="77">
        <v>8</v>
      </c>
      <c r="B532" s="137" t="str">
        <f t="shared" si="2070"/>
        <v>AN PL. ENG/ARQ - Equipe_01</v>
      </c>
      <c r="C532" s="65"/>
      <c r="D532" s="621"/>
      <c r="E532" s="65"/>
      <c r="F532" s="603"/>
      <c r="G532" s="77" t="str">
        <f>IF(INDEX(Tarefas!$BT$30:$FK$30,MATCH(A532,Tarefas!$BT$28:$FK$28,0))=0,"",INDEX(Tarefas!$BT$30:$FK$30,MATCH(A532,Tarefas!$BT$28:$FK$28,0)))</f>
        <v>AN PL. ENG/ARQ</v>
      </c>
      <c r="H532" s="107" cm="1">
        <f t="array" ref="H532">IFERROR((SUMPRODUCT((Tarefas!$N$32:$N$54='Cronog. e Histog.'!$F$525)*(Tarefas!$BQ$30:$FK$30='Cronog. e Histog.'!$G532)*(Tarefas!$BQ$32:$FK$54)))/SUMIF(Tarefas!$N$32:$N$54,'Cronog. e Histog.'!$F$525,Tarefas!$K$32:$K$54),0)</f>
        <v>0</v>
      </c>
      <c r="I532" s="79">
        <f t="shared" si="2071"/>
        <v>0</v>
      </c>
      <c r="J532" s="65"/>
      <c r="K532" s="160">
        <f t="shared" si="2072"/>
        <v>0</v>
      </c>
      <c r="L532" s="160">
        <f t="shared" si="2072"/>
        <v>0</v>
      </c>
      <c r="M532" s="160">
        <f t="shared" si="2072"/>
        <v>0</v>
      </c>
      <c r="N532" s="160">
        <f t="shared" si="2072"/>
        <v>0</v>
      </c>
      <c r="O532" s="160">
        <f t="shared" si="2072"/>
        <v>0</v>
      </c>
      <c r="P532" s="160">
        <f t="shared" si="2072"/>
        <v>0</v>
      </c>
      <c r="Q532" s="160">
        <f t="shared" si="2072"/>
        <v>0</v>
      </c>
      <c r="R532" s="160">
        <f t="shared" si="2072"/>
        <v>0</v>
      </c>
      <c r="S532" s="160">
        <f t="shared" si="2072"/>
        <v>0</v>
      </c>
      <c r="T532" s="160">
        <f t="shared" si="2072"/>
        <v>0</v>
      </c>
      <c r="U532" s="160">
        <f t="shared" si="2072"/>
        <v>0</v>
      </c>
      <c r="V532" s="160">
        <f t="shared" si="2072"/>
        <v>0</v>
      </c>
      <c r="W532" s="160">
        <f t="shared" si="2072"/>
        <v>0</v>
      </c>
      <c r="X532" s="160">
        <f t="shared" si="2072"/>
        <v>0</v>
      </c>
      <c r="Y532" s="160">
        <f t="shared" si="2072"/>
        <v>0</v>
      </c>
      <c r="Z532" s="160">
        <f t="shared" si="2072"/>
        <v>0</v>
      </c>
      <c r="AA532" s="160">
        <f t="shared" si="2073"/>
        <v>0</v>
      </c>
      <c r="AB532" s="160">
        <f t="shared" si="2073"/>
        <v>0</v>
      </c>
      <c r="AC532" s="160">
        <f t="shared" si="2073"/>
        <v>0</v>
      </c>
      <c r="AD532" s="160">
        <f t="shared" si="2073"/>
        <v>0</v>
      </c>
      <c r="AE532" s="160">
        <f t="shared" si="2073"/>
        <v>0</v>
      </c>
      <c r="AF532" s="160">
        <f t="shared" si="2073"/>
        <v>0</v>
      </c>
      <c r="AG532" s="160">
        <f t="shared" si="2073"/>
        <v>0</v>
      </c>
      <c r="AH532" s="160">
        <f t="shared" si="2073"/>
        <v>0</v>
      </c>
      <c r="AI532" s="160">
        <f t="shared" si="2073"/>
        <v>0</v>
      </c>
      <c r="AJ532" s="160">
        <f t="shared" si="2073"/>
        <v>0</v>
      </c>
      <c r="AK532" s="160">
        <f t="shared" si="2073"/>
        <v>0</v>
      </c>
      <c r="AL532" s="160">
        <f t="shared" si="2073"/>
        <v>0</v>
      </c>
      <c r="AM532" s="160">
        <f t="shared" si="2073"/>
        <v>0</v>
      </c>
      <c r="AN532" s="160">
        <f t="shared" si="2073"/>
        <v>0</v>
      </c>
      <c r="AO532" s="160">
        <f t="shared" si="2073"/>
        <v>0</v>
      </c>
      <c r="AP532" s="160">
        <f t="shared" si="2073"/>
        <v>0</v>
      </c>
      <c r="AQ532" s="160">
        <f t="shared" si="2074"/>
        <v>0</v>
      </c>
      <c r="AR532" s="160">
        <f t="shared" si="2074"/>
        <v>0</v>
      </c>
      <c r="AS532" s="160">
        <f t="shared" si="2074"/>
        <v>0</v>
      </c>
      <c r="AT532" s="160">
        <f t="shared" si="2074"/>
        <v>0</v>
      </c>
      <c r="AU532" s="160">
        <f t="shared" si="2074"/>
        <v>0</v>
      </c>
      <c r="AV532" s="160">
        <f t="shared" si="2074"/>
        <v>0</v>
      </c>
      <c r="AW532" s="160">
        <f t="shared" si="2074"/>
        <v>0</v>
      </c>
      <c r="AX532" s="160">
        <f t="shared" si="2074"/>
        <v>0</v>
      </c>
      <c r="AY532" s="160">
        <f t="shared" si="2074"/>
        <v>0</v>
      </c>
      <c r="AZ532" s="160">
        <f t="shared" si="2074"/>
        <v>0</v>
      </c>
      <c r="BA532" s="160">
        <f t="shared" si="2074"/>
        <v>0</v>
      </c>
      <c r="BB532" s="160">
        <f t="shared" si="2074"/>
        <v>0</v>
      </c>
      <c r="BC532" s="160">
        <f t="shared" si="2074"/>
        <v>0</v>
      </c>
      <c r="BD532" s="160">
        <f t="shared" si="2074"/>
        <v>0</v>
      </c>
      <c r="BE532" s="160">
        <f t="shared" si="2074"/>
        <v>0</v>
      </c>
      <c r="BF532" s="160">
        <f t="shared" si="2074"/>
        <v>0</v>
      </c>
      <c r="BG532" s="160">
        <f t="shared" si="2075"/>
        <v>0</v>
      </c>
      <c r="BH532" s="160">
        <f t="shared" si="2075"/>
        <v>0</v>
      </c>
      <c r="BI532" s="160">
        <f t="shared" si="2075"/>
        <v>0</v>
      </c>
      <c r="BJ532" s="160">
        <f t="shared" si="2075"/>
        <v>0</v>
      </c>
      <c r="BK532" s="160">
        <f t="shared" si="2075"/>
        <v>0</v>
      </c>
      <c r="BL532" s="160">
        <f t="shared" si="2075"/>
        <v>0</v>
      </c>
      <c r="BM532" s="160">
        <f t="shared" si="2075"/>
        <v>0</v>
      </c>
      <c r="BN532" s="160">
        <f t="shared" si="2075"/>
        <v>0</v>
      </c>
      <c r="BO532" s="160">
        <f t="shared" si="2075"/>
        <v>0</v>
      </c>
      <c r="BP532" s="160">
        <f t="shared" si="2075"/>
        <v>0</v>
      </c>
      <c r="BQ532" s="160">
        <f t="shared" si="2075"/>
        <v>0</v>
      </c>
      <c r="BR532" s="160">
        <f t="shared" si="2075"/>
        <v>0</v>
      </c>
      <c r="BS532" s="65"/>
      <c r="BT532" s="160">
        <f t="shared" si="2076"/>
        <v>0</v>
      </c>
      <c r="BU532" s="160">
        <f t="shared" si="2077"/>
        <v>0</v>
      </c>
      <c r="BV532" s="65"/>
      <c r="BW532" s="69"/>
      <c r="BX532" s="65"/>
      <c r="BY532" s="137">
        <f t="shared" si="2078"/>
        <v>1</v>
      </c>
      <c r="BZ532" s="137">
        <f>IF(BY532&gt;0,BY532+LARGE($BZ$213:BZ531,1),0)</f>
        <v>268</v>
      </c>
      <c r="CA532" s="137" t="str">
        <f t="shared" si="2079"/>
        <v>AN PL. ENG/ARQ</v>
      </c>
      <c r="CB532" s="161">
        <f t="shared" si="2080"/>
        <v>0</v>
      </c>
      <c r="CC532" s="161">
        <f t="shared" si="2081"/>
        <v>0</v>
      </c>
      <c r="CD532" s="161">
        <f t="shared" si="2082"/>
        <v>0</v>
      </c>
      <c r="CE532" s="161">
        <f t="shared" si="2083"/>
        <v>0</v>
      </c>
      <c r="CF532" s="161">
        <f t="shared" si="2084"/>
        <v>0</v>
      </c>
      <c r="CG532" s="161">
        <f t="shared" si="2085"/>
        <v>0</v>
      </c>
      <c r="CH532" s="161">
        <f t="shared" si="2086"/>
        <v>0</v>
      </c>
      <c r="CI532" s="161">
        <f t="shared" si="2087"/>
        <v>0</v>
      </c>
      <c r="CJ532" s="161">
        <f t="shared" si="2088"/>
        <v>0</v>
      </c>
      <c r="CK532" s="161">
        <f t="shared" si="2089"/>
        <v>0</v>
      </c>
      <c r="CL532" s="161">
        <f t="shared" si="2090"/>
        <v>0</v>
      </c>
      <c r="CM532" s="161">
        <f t="shared" si="2091"/>
        <v>0</v>
      </c>
      <c r="CN532" s="161">
        <f t="shared" si="2092"/>
        <v>0</v>
      </c>
      <c r="CO532" s="161">
        <f t="shared" si="2093"/>
        <v>0</v>
      </c>
      <c r="CP532" s="161">
        <f t="shared" si="2094"/>
        <v>0</v>
      </c>
      <c r="CQ532" s="161">
        <f t="shared" si="2095"/>
        <v>0</v>
      </c>
      <c r="CR532" s="161">
        <f t="shared" si="2096"/>
        <v>0</v>
      </c>
      <c r="CS532" s="161">
        <f t="shared" si="2097"/>
        <v>0</v>
      </c>
      <c r="CT532" s="161">
        <f t="shared" si="2098"/>
        <v>0</v>
      </c>
      <c r="CU532" s="161">
        <f t="shared" si="2099"/>
        <v>0</v>
      </c>
      <c r="CV532" s="161">
        <f t="shared" si="2100"/>
        <v>0</v>
      </c>
      <c r="CW532" s="161">
        <f t="shared" si="2101"/>
        <v>0</v>
      </c>
      <c r="CX532" s="161">
        <f t="shared" si="2102"/>
        <v>0</v>
      </c>
      <c r="CY532" s="161">
        <f t="shared" si="2103"/>
        <v>0</v>
      </c>
      <c r="CZ532" s="161">
        <f t="shared" si="2104"/>
        <v>0</v>
      </c>
      <c r="DA532" s="161">
        <f t="shared" si="2105"/>
        <v>0</v>
      </c>
      <c r="DB532" s="161">
        <f t="shared" si="2106"/>
        <v>0</v>
      </c>
      <c r="DC532" s="161">
        <f t="shared" si="2107"/>
        <v>0</v>
      </c>
      <c r="DD532" s="161">
        <f t="shared" si="2108"/>
        <v>0</v>
      </c>
      <c r="DE532" s="161">
        <f t="shared" si="2109"/>
        <v>0</v>
      </c>
      <c r="DF532" s="161">
        <f t="shared" si="2110"/>
        <v>0</v>
      </c>
      <c r="DG532" s="161">
        <f t="shared" si="2111"/>
        <v>0</v>
      </c>
      <c r="DH532" s="161">
        <f t="shared" si="2112"/>
        <v>0</v>
      </c>
      <c r="DI532" s="161">
        <f t="shared" si="2113"/>
        <v>0</v>
      </c>
      <c r="DJ532" s="161">
        <f t="shared" si="2114"/>
        <v>0</v>
      </c>
      <c r="DK532" s="161">
        <f t="shared" si="2115"/>
        <v>0</v>
      </c>
      <c r="DL532" s="161">
        <f t="shared" si="2116"/>
        <v>0</v>
      </c>
      <c r="DM532" s="161">
        <f t="shared" si="2117"/>
        <v>0</v>
      </c>
      <c r="DN532" s="161">
        <f t="shared" si="2118"/>
        <v>0</v>
      </c>
      <c r="DO532" s="161">
        <f t="shared" si="2119"/>
        <v>0</v>
      </c>
      <c r="DP532" s="161">
        <f t="shared" si="2120"/>
        <v>0</v>
      </c>
      <c r="DQ532" s="161">
        <f t="shared" si="2121"/>
        <v>0</v>
      </c>
      <c r="DR532" s="161">
        <f t="shared" si="2122"/>
        <v>0</v>
      </c>
      <c r="DS532" s="161">
        <f t="shared" si="2123"/>
        <v>0</v>
      </c>
      <c r="DT532" s="161">
        <f t="shared" si="2124"/>
        <v>0</v>
      </c>
      <c r="DU532" s="161">
        <f t="shared" si="2125"/>
        <v>0</v>
      </c>
      <c r="DV532" s="161">
        <f t="shared" si="2126"/>
        <v>0</v>
      </c>
      <c r="DW532" s="161">
        <f t="shared" si="2127"/>
        <v>0</v>
      </c>
      <c r="DX532" s="161">
        <f t="shared" si="2128"/>
        <v>0</v>
      </c>
      <c r="DY532" s="161">
        <f t="shared" si="2129"/>
        <v>0</v>
      </c>
      <c r="DZ532" s="161">
        <f t="shared" si="2130"/>
        <v>0</v>
      </c>
      <c r="EA532" s="161">
        <f t="shared" si="2131"/>
        <v>0</v>
      </c>
      <c r="EB532" s="161">
        <f t="shared" si="2132"/>
        <v>0</v>
      </c>
      <c r="EC532" s="161">
        <f t="shared" si="2133"/>
        <v>0</v>
      </c>
      <c r="ED532" s="161">
        <f t="shared" si="2134"/>
        <v>0</v>
      </c>
      <c r="EE532" s="161">
        <f t="shared" si="2135"/>
        <v>0</v>
      </c>
      <c r="EF532" s="161">
        <f t="shared" si="2136"/>
        <v>0</v>
      </c>
      <c r="EG532" s="161">
        <f t="shared" si="2137"/>
        <v>0</v>
      </c>
      <c r="EH532" s="161">
        <f t="shared" si="2138"/>
        <v>0</v>
      </c>
      <c r="EI532" s="161">
        <f t="shared" si="2139"/>
        <v>0</v>
      </c>
      <c r="EJ532" s="65"/>
      <c r="EK532" s="161">
        <f t="shared" si="2140"/>
        <v>0</v>
      </c>
      <c r="EL532" s="161">
        <f t="shared" si="2141"/>
        <v>0</v>
      </c>
      <c r="EM532" s="161">
        <f t="shared" si="2142"/>
        <v>0</v>
      </c>
    </row>
    <row r="533" spans="1:143" ht="12" hidden="1" customHeight="1" outlineLevel="2">
      <c r="A533" s="77">
        <v>9</v>
      </c>
      <c r="B533" s="137" t="str">
        <f t="shared" si="2070"/>
        <v>AN JR. ENG/ARQ - Equipe_01</v>
      </c>
      <c r="C533" s="65"/>
      <c r="D533" s="621"/>
      <c r="E533" s="65"/>
      <c r="F533" s="603"/>
      <c r="G533" s="77" t="str">
        <f>IF(INDEX(Tarefas!$BT$30:$FK$30,MATCH(A533,Tarefas!$BT$28:$FK$28,0))=0,"",INDEX(Tarefas!$BT$30:$FK$30,MATCH(A533,Tarefas!$BT$28:$FK$28,0)))</f>
        <v>AN JR. ENG/ARQ</v>
      </c>
      <c r="H533" s="107" cm="1">
        <f t="array" ref="H533">IFERROR((SUMPRODUCT((Tarefas!$N$32:$N$54='Cronog. e Histog.'!$F$525)*(Tarefas!$BQ$30:$FK$30='Cronog. e Histog.'!$G533)*(Tarefas!$BQ$32:$FK$54)))/SUMIF(Tarefas!$N$32:$N$54,'Cronog. e Histog.'!$F$525,Tarefas!$K$32:$K$54),0)</f>
        <v>0</v>
      </c>
      <c r="I533" s="79">
        <f t="shared" si="2071"/>
        <v>0</v>
      </c>
      <c r="J533" s="65"/>
      <c r="K533" s="160">
        <f t="shared" si="2072"/>
        <v>0</v>
      </c>
      <c r="L533" s="160">
        <f t="shared" si="2072"/>
        <v>0</v>
      </c>
      <c r="M533" s="160">
        <f t="shared" si="2072"/>
        <v>0</v>
      </c>
      <c r="N533" s="160">
        <f t="shared" si="2072"/>
        <v>0</v>
      </c>
      <c r="O533" s="160">
        <f t="shared" si="2072"/>
        <v>0</v>
      </c>
      <c r="P533" s="160">
        <f t="shared" si="2072"/>
        <v>0</v>
      </c>
      <c r="Q533" s="160">
        <f t="shared" si="2072"/>
        <v>0</v>
      </c>
      <c r="R533" s="160">
        <f t="shared" si="2072"/>
        <v>0</v>
      </c>
      <c r="S533" s="160">
        <f t="shared" si="2072"/>
        <v>0</v>
      </c>
      <c r="T533" s="160">
        <f t="shared" si="2072"/>
        <v>0</v>
      </c>
      <c r="U533" s="160">
        <f t="shared" si="2072"/>
        <v>0</v>
      </c>
      <c r="V533" s="160">
        <f t="shared" si="2072"/>
        <v>0</v>
      </c>
      <c r="W533" s="160">
        <f t="shared" si="2072"/>
        <v>0</v>
      </c>
      <c r="X533" s="160">
        <f t="shared" si="2072"/>
        <v>0</v>
      </c>
      <c r="Y533" s="160">
        <f t="shared" si="2072"/>
        <v>0</v>
      </c>
      <c r="Z533" s="160">
        <f t="shared" si="2072"/>
        <v>0</v>
      </c>
      <c r="AA533" s="160">
        <f t="shared" si="2073"/>
        <v>0</v>
      </c>
      <c r="AB533" s="160">
        <f t="shared" si="2073"/>
        <v>0</v>
      </c>
      <c r="AC533" s="160">
        <f t="shared" si="2073"/>
        <v>0</v>
      </c>
      <c r="AD533" s="160">
        <f t="shared" si="2073"/>
        <v>0</v>
      </c>
      <c r="AE533" s="160">
        <f t="shared" si="2073"/>
        <v>0</v>
      </c>
      <c r="AF533" s="160">
        <f t="shared" si="2073"/>
        <v>0</v>
      </c>
      <c r="AG533" s="160">
        <f t="shared" si="2073"/>
        <v>0</v>
      </c>
      <c r="AH533" s="160">
        <f t="shared" si="2073"/>
        <v>0</v>
      </c>
      <c r="AI533" s="160">
        <f t="shared" si="2073"/>
        <v>0</v>
      </c>
      <c r="AJ533" s="160">
        <f t="shared" si="2073"/>
        <v>0</v>
      </c>
      <c r="AK533" s="160">
        <f t="shared" si="2073"/>
        <v>0</v>
      </c>
      <c r="AL533" s="160">
        <f t="shared" si="2073"/>
        <v>0</v>
      </c>
      <c r="AM533" s="160">
        <f t="shared" si="2073"/>
        <v>0</v>
      </c>
      <c r="AN533" s="160">
        <f t="shared" si="2073"/>
        <v>0</v>
      </c>
      <c r="AO533" s="160">
        <f t="shared" si="2073"/>
        <v>0</v>
      </c>
      <c r="AP533" s="160">
        <f t="shared" si="2073"/>
        <v>0</v>
      </c>
      <c r="AQ533" s="160">
        <f t="shared" si="2074"/>
        <v>0</v>
      </c>
      <c r="AR533" s="160">
        <f t="shared" si="2074"/>
        <v>0</v>
      </c>
      <c r="AS533" s="160">
        <f t="shared" si="2074"/>
        <v>0</v>
      </c>
      <c r="AT533" s="160">
        <f t="shared" si="2074"/>
        <v>0</v>
      </c>
      <c r="AU533" s="160">
        <f t="shared" si="2074"/>
        <v>0</v>
      </c>
      <c r="AV533" s="160">
        <f t="shared" si="2074"/>
        <v>0</v>
      </c>
      <c r="AW533" s="160">
        <f t="shared" si="2074"/>
        <v>0</v>
      </c>
      <c r="AX533" s="160">
        <f t="shared" si="2074"/>
        <v>0</v>
      </c>
      <c r="AY533" s="160">
        <f t="shared" si="2074"/>
        <v>0</v>
      </c>
      <c r="AZ533" s="160">
        <f t="shared" si="2074"/>
        <v>0</v>
      </c>
      <c r="BA533" s="160">
        <f t="shared" si="2074"/>
        <v>0</v>
      </c>
      <c r="BB533" s="160">
        <f t="shared" si="2074"/>
        <v>0</v>
      </c>
      <c r="BC533" s="160">
        <f t="shared" si="2074"/>
        <v>0</v>
      </c>
      <c r="BD533" s="160">
        <f t="shared" si="2074"/>
        <v>0</v>
      </c>
      <c r="BE533" s="160">
        <f t="shared" si="2074"/>
        <v>0</v>
      </c>
      <c r="BF533" s="160">
        <f t="shared" si="2074"/>
        <v>0</v>
      </c>
      <c r="BG533" s="160">
        <f t="shared" si="2075"/>
        <v>0</v>
      </c>
      <c r="BH533" s="160">
        <f t="shared" si="2075"/>
        <v>0</v>
      </c>
      <c r="BI533" s="160">
        <f t="shared" si="2075"/>
        <v>0</v>
      </c>
      <c r="BJ533" s="160">
        <f t="shared" si="2075"/>
        <v>0</v>
      </c>
      <c r="BK533" s="160">
        <f t="shared" si="2075"/>
        <v>0</v>
      </c>
      <c r="BL533" s="160">
        <f t="shared" si="2075"/>
        <v>0</v>
      </c>
      <c r="BM533" s="160">
        <f t="shared" si="2075"/>
        <v>0</v>
      </c>
      <c r="BN533" s="160">
        <f t="shared" si="2075"/>
        <v>0</v>
      </c>
      <c r="BO533" s="160">
        <f t="shared" si="2075"/>
        <v>0</v>
      </c>
      <c r="BP533" s="160">
        <f t="shared" si="2075"/>
        <v>0</v>
      </c>
      <c r="BQ533" s="160">
        <f t="shared" si="2075"/>
        <v>0</v>
      </c>
      <c r="BR533" s="160">
        <f t="shared" si="2075"/>
        <v>0</v>
      </c>
      <c r="BS533" s="65"/>
      <c r="BT533" s="160">
        <f t="shared" si="2076"/>
        <v>0</v>
      </c>
      <c r="BU533" s="160">
        <f t="shared" si="2077"/>
        <v>0</v>
      </c>
      <c r="BV533" s="65"/>
      <c r="BW533" s="69"/>
      <c r="BX533" s="65"/>
      <c r="BY533" s="137">
        <f t="shared" si="2078"/>
        <v>1</v>
      </c>
      <c r="BZ533" s="137">
        <f>IF(BY533&gt;0,BY533+LARGE($BZ$213:BZ532,1),0)</f>
        <v>269</v>
      </c>
      <c r="CA533" s="137" t="str">
        <f t="shared" si="2079"/>
        <v>AN JR. ENG/ARQ</v>
      </c>
      <c r="CB533" s="161">
        <f t="shared" si="2080"/>
        <v>0</v>
      </c>
      <c r="CC533" s="161">
        <f t="shared" si="2081"/>
        <v>0</v>
      </c>
      <c r="CD533" s="161">
        <f t="shared" si="2082"/>
        <v>0</v>
      </c>
      <c r="CE533" s="161">
        <f t="shared" si="2083"/>
        <v>0</v>
      </c>
      <c r="CF533" s="161">
        <f t="shared" si="2084"/>
        <v>0</v>
      </c>
      <c r="CG533" s="161">
        <f t="shared" si="2085"/>
        <v>0</v>
      </c>
      <c r="CH533" s="161">
        <f t="shared" si="2086"/>
        <v>0</v>
      </c>
      <c r="CI533" s="161">
        <f t="shared" si="2087"/>
        <v>0</v>
      </c>
      <c r="CJ533" s="161">
        <f t="shared" si="2088"/>
        <v>0</v>
      </c>
      <c r="CK533" s="161">
        <f t="shared" si="2089"/>
        <v>0</v>
      </c>
      <c r="CL533" s="161">
        <f t="shared" si="2090"/>
        <v>0</v>
      </c>
      <c r="CM533" s="161">
        <f t="shared" si="2091"/>
        <v>0</v>
      </c>
      <c r="CN533" s="161">
        <f t="shared" si="2092"/>
        <v>0</v>
      </c>
      <c r="CO533" s="161">
        <f t="shared" si="2093"/>
        <v>0</v>
      </c>
      <c r="CP533" s="161">
        <f t="shared" si="2094"/>
        <v>0</v>
      </c>
      <c r="CQ533" s="161">
        <f t="shared" si="2095"/>
        <v>0</v>
      </c>
      <c r="CR533" s="161">
        <f t="shared" si="2096"/>
        <v>0</v>
      </c>
      <c r="CS533" s="161">
        <f t="shared" si="2097"/>
        <v>0</v>
      </c>
      <c r="CT533" s="161">
        <f t="shared" si="2098"/>
        <v>0</v>
      </c>
      <c r="CU533" s="161">
        <f t="shared" si="2099"/>
        <v>0</v>
      </c>
      <c r="CV533" s="161">
        <f t="shared" si="2100"/>
        <v>0</v>
      </c>
      <c r="CW533" s="161">
        <f t="shared" si="2101"/>
        <v>0</v>
      </c>
      <c r="CX533" s="161">
        <f t="shared" si="2102"/>
        <v>0</v>
      </c>
      <c r="CY533" s="161">
        <f t="shared" si="2103"/>
        <v>0</v>
      </c>
      <c r="CZ533" s="161">
        <f t="shared" si="2104"/>
        <v>0</v>
      </c>
      <c r="DA533" s="161">
        <f t="shared" si="2105"/>
        <v>0</v>
      </c>
      <c r="DB533" s="161">
        <f t="shared" si="2106"/>
        <v>0</v>
      </c>
      <c r="DC533" s="161">
        <f t="shared" si="2107"/>
        <v>0</v>
      </c>
      <c r="DD533" s="161">
        <f t="shared" si="2108"/>
        <v>0</v>
      </c>
      <c r="DE533" s="161">
        <f t="shared" si="2109"/>
        <v>0</v>
      </c>
      <c r="DF533" s="161">
        <f t="shared" si="2110"/>
        <v>0</v>
      </c>
      <c r="DG533" s="161">
        <f t="shared" si="2111"/>
        <v>0</v>
      </c>
      <c r="DH533" s="161">
        <f t="shared" si="2112"/>
        <v>0</v>
      </c>
      <c r="DI533" s="161">
        <f t="shared" si="2113"/>
        <v>0</v>
      </c>
      <c r="DJ533" s="161">
        <f t="shared" si="2114"/>
        <v>0</v>
      </c>
      <c r="DK533" s="161">
        <f t="shared" si="2115"/>
        <v>0</v>
      </c>
      <c r="DL533" s="161">
        <f t="shared" si="2116"/>
        <v>0</v>
      </c>
      <c r="DM533" s="161">
        <f t="shared" si="2117"/>
        <v>0</v>
      </c>
      <c r="DN533" s="161">
        <f t="shared" si="2118"/>
        <v>0</v>
      </c>
      <c r="DO533" s="161">
        <f t="shared" si="2119"/>
        <v>0</v>
      </c>
      <c r="DP533" s="161">
        <f t="shared" si="2120"/>
        <v>0</v>
      </c>
      <c r="DQ533" s="161">
        <f t="shared" si="2121"/>
        <v>0</v>
      </c>
      <c r="DR533" s="161">
        <f t="shared" si="2122"/>
        <v>0</v>
      </c>
      <c r="DS533" s="161">
        <f t="shared" si="2123"/>
        <v>0</v>
      </c>
      <c r="DT533" s="161">
        <f t="shared" si="2124"/>
        <v>0</v>
      </c>
      <c r="DU533" s="161">
        <f t="shared" si="2125"/>
        <v>0</v>
      </c>
      <c r="DV533" s="161">
        <f t="shared" si="2126"/>
        <v>0</v>
      </c>
      <c r="DW533" s="161">
        <f t="shared" si="2127"/>
        <v>0</v>
      </c>
      <c r="DX533" s="161">
        <f t="shared" si="2128"/>
        <v>0</v>
      </c>
      <c r="DY533" s="161">
        <f t="shared" si="2129"/>
        <v>0</v>
      </c>
      <c r="DZ533" s="161">
        <f t="shared" si="2130"/>
        <v>0</v>
      </c>
      <c r="EA533" s="161">
        <f t="shared" si="2131"/>
        <v>0</v>
      </c>
      <c r="EB533" s="161">
        <f t="shared" si="2132"/>
        <v>0</v>
      </c>
      <c r="EC533" s="161">
        <f t="shared" si="2133"/>
        <v>0</v>
      </c>
      <c r="ED533" s="161">
        <f t="shared" si="2134"/>
        <v>0</v>
      </c>
      <c r="EE533" s="161">
        <f t="shared" si="2135"/>
        <v>0</v>
      </c>
      <c r="EF533" s="161">
        <f t="shared" si="2136"/>
        <v>0</v>
      </c>
      <c r="EG533" s="161">
        <f t="shared" si="2137"/>
        <v>0</v>
      </c>
      <c r="EH533" s="161">
        <f t="shared" si="2138"/>
        <v>0</v>
      </c>
      <c r="EI533" s="161">
        <f t="shared" si="2139"/>
        <v>0</v>
      </c>
      <c r="EJ533" s="65"/>
      <c r="EK533" s="161">
        <f t="shared" si="2140"/>
        <v>0</v>
      </c>
      <c r="EL533" s="161">
        <f t="shared" si="2141"/>
        <v>0</v>
      </c>
      <c r="EM533" s="161">
        <f t="shared" si="2142"/>
        <v>0</v>
      </c>
    </row>
    <row r="534" spans="1:143" ht="12" hidden="1" customHeight="1" outlineLevel="2">
      <c r="A534" s="77">
        <v>10</v>
      </c>
      <c r="B534" s="137" t="str">
        <f t="shared" si="2070"/>
        <v>AN SR. ADM/CRP - Equipe_01</v>
      </c>
      <c r="C534" s="65"/>
      <c r="D534" s="621"/>
      <c r="E534" s="65"/>
      <c r="F534" s="603"/>
      <c r="G534" s="77" t="str">
        <f>IF(INDEX(Tarefas!$BT$30:$FK$30,MATCH(A534,Tarefas!$BT$28:$FK$28,0))=0,"",INDEX(Tarefas!$BT$30:$FK$30,MATCH(A534,Tarefas!$BT$28:$FK$28,0)))</f>
        <v>AN SR. ADM/CRP</v>
      </c>
      <c r="H534" s="107" cm="1">
        <f t="array" ref="H534">IFERROR((SUMPRODUCT((Tarefas!$N$32:$N$54='Cronog. e Histog.'!$F$525)*(Tarefas!$BQ$30:$FK$30='Cronog. e Histog.'!$G534)*(Tarefas!$BQ$32:$FK$54)))/SUMIF(Tarefas!$N$32:$N$54,'Cronog. e Histog.'!$F$525,Tarefas!$K$32:$K$54),0)</f>
        <v>0</v>
      </c>
      <c r="I534" s="79">
        <f t="shared" si="2071"/>
        <v>0</v>
      </c>
      <c r="J534" s="65"/>
      <c r="K534" s="160">
        <f t="shared" si="2072"/>
        <v>0</v>
      </c>
      <c r="L534" s="160">
        <f t="shared" si="2072"/>
        <v>0</v>
      </c>
      <c r="M534" s="160">
        <f t="shared" si="2072"/>
        <v>0</v>
      </c>
      <c r="N534" s="160">
        <f t="shared" si="2072"/>
        <v>0</v>
      </c>
      <c r="O534" s="160">
        <f t="shared" si="2072"/>
        <v>0</v>
      </c>
      <c r="P534" s="160">
        <f t="shared" si="2072"/>
        <v>0</v>
      </c>
      <c r="Q534" s="160">
        <f t="shared" si="2072"/>
        <v>0</v>
      </c>
      <c r="R534" s="160">
        <f t="shared" si="2072"/>
        <v>0</v>
      </c>
      <c r="S534" s="160">
        <f t="shared" si="2072"/>
        <v>0</v>
      </c>
      <c r="T534" s="160">
        <f t="shared" si="2072"/>
        <v>0</v>
      </c>
      <c r="U534" s="160">
        <f t="shared" si="2072"/>
        <v>0</v>
      </c>
      <c r="V534" s="160">
        <f t="shared" si="2072"/>
        <v>0</v>
      </c>
      <c r="W534" s="160">
        <f t="shared" si="2072"/>
        <v>0</v>
      </c>
      <c r="X534" s="160">
        <f t="shared" si="2072"/>
        <v>0</v>
      </c>
      <c r="Y534" s="160">
        <f t="shared" si="2072"/>
        <v>0</v>
      </c>
      <c r="Z534" s="160">
        <f t="shared" si="2072"/>
        <v>0</v>
      </c>
      <c r="AA534" s="160">
        <f t="shared" si="2073"/>
        <v>0</v>
      </c>
      <c r="AB534" s="160">
        <f t="shared" si="2073"/>
        <v>0</v>
      </c>
      <c r="AC534" s="160">
        <f t="shared" si="2073"/>
        <v>0</v>
      </c>
      <c r="AD534" s="160">
        <f t="shared" si="2073"/>
        <v>0</v>
      </c>
      <c r="AE534" s="160">
        <f t="shared" si="2073"/>
        <v>0</v>
      </c>
      <c r="AF534" s="160">
        <f t="shared" si="2073"/>
        <v>0</v>
      </c>
      <c r="AG534" s="160">
        <f t="shared" si="2073"/>
        <v>0</v>
      </c>
      <c r="AH534" s="160">
        <f t="shared" si="2073"/>
        <v>0</v>
      </c>
      <c r="AI534" s="160">
        <f t="shared" si="2073"/>
        <v>0</v>
      </c>
      <c r="AJ534" s="160">
        <f t="shared" si="2073"/>
        <v>0</v>
      </c>
      <c r="AK534" s="160">
        <f t="shared" si="2073"/>
        <v>0</v>
      </c>
      <c r="AL534" s="160">
        <f t="shared" si="2073"/>
        <v>0</v>
      </c>
      <c r="AM534" s="160">
        <f t="shared" si="2073"/>
        <v>0</v>
      </c>
      <c r="AN534" s="160">
        <f t="shared" si="2073"/>
        <v>0</v>
      </c>
      <c r="AO534" s="160">
        <f t="shared" si="2073"/>
        <v>0</v>
      </c>
      <c r="AP534" s="160">
        <f t="shared" si="2073"/>
        <v>0</v>
      </c>
      <c r="AQ534" s="160">
        <f t="shared" si="2074"/>
        <v>0</v>
      </c>
      <c r="AR534" s="160">
        <f t="shared" si="2074"/>
        <v>0</v>
      </c>
      <c r="AS534" s="160">
        <f t="shared" si="2074"/>
        <v>0</v>
      </c>
      <c r="AT534" s="160">
        <f t="shared" si="2074"/>
        <v>0</v>
      </c>
      <c r="AU534" s="160">
        <f t="shared" si="2074"/>
        <v>0</v>
      </c>
      <c r="AV534" s="160">
        <f t="shared" si="2074"/>
        <v>0</v>
      </c>
      <c r="AW534" s="160">
        <f t="shared" si="2074"/>
        <v>0</v>
      </c>
      <c r="AX534" s="160">
        <f t="shared" si="2074"/>
        <v>0</v>
      </c>
      <c r="AY534" s="160">
        <f t="shared" si="2074"/>
        <v>0</v>
      </c>
      <c r="AZ534" s="160">
        <f t="shared" si="2074"/>
        <v>0</v>
      </c>
      <c r="BA534" s="160">
        <f t="shared" si="2074"/>
        <v>0</v>
      </c>
      <c r="BB534" s="160">
        <f t="shared" si="2074"/>
        <v>0</v>
      </c>
      <c r="BC534" s="160">
        <f t="shared" si="2074"/>
        <v>0</v>
      </c>
      <c r="BD534" s="160">
        <f t="shared" si="2074"/>
        <v>0</v>
      </c>
      <c r="BE534" s="160">
        <f t="shared" si="2074"/>
        <v>0</v>
      </c>
      <c r="BF534" s="160">
        <f t="shared" si="2074"/>
        <v>0</v>
      </c>
      <c r="BG534" s="160">
        <f t="shared" si="2075"/>
        <v>0</v>
      </c>
      <c r="BH534" s="160">
        <f t="shared" si="2075"/>
        <v>0</v>
      </c>
      <c r="BI534" s="160">
        <f t="shared" si="2075"/>
        <v>0</v>
      </c>
      <c r="BJ534" s="160">
        <f t="shared" si="2075"/>
        <v>0</v>
      </c>
      <c r="BK534" s="160">
        <f t="shared" si="2075"/>
        <v>0</v>
      </c>
      <c r="BL534" s="160">
        <f t="shared" si="2075"/>
        <v>0</v>
      </c>
      <c r="BM534" s="160">
        <f t="shared" si="2075"/>
        <v>0</v>
      </c>
      <c r="BN534" s="160">
        <f t="shared" si="2075"/>
        <v>0</v>
      </c>
      <c r="BO534" s="160">
        <f t="shared" si="2075"/>
        <v>0</v>
      </c>
      <c r="BP534" s="160">
        <f t="shared" si="2075"/>
        <v>0</v>
      </c>
      <c r="BQ534" s="160">
        <f t="shared" si="2075"/>
        <v>0</v>
      </c>
      <c r="BR534" s="160">
        <f t="shared" si="2075"/>
        <v>0</v>
      </c>
      <c r="BS534" s="65"/>
      <c r="BT534" s="160">
        <f t="shared" si="2076"/>
        <v>0</v>
      </c>
      <c r="BU534" s="160">
        <f t="shared" si="2077"/>
        <v>0</v>
      </c>
      <c r="BV534" s="65"/>
      <c r="BW534" s="69"/>
      <c r="BX534" s="65"/>
      <c r="BY534" s="137">
        <f t="shared" si="2078"/>
        <v>1</v>
      </c>
      <c r="BZ534" s="137">
        <f>IF(BY534&gt;0,BY534+LARGE($BZ$213:BZ533,1),0)</f>
        <v>270</v>
      </c>
      <c r="CA534" s="137" t="str">
        <f t="shared" si="2079"/>
        <v>AN SR. ADM/CRP</v>
      </c>
      <c r="CB534" s="161">
        <f t="shared" si="2080"/>
        <v>0</v>
      </c>
      <c r="CC534" s="161">
        <f t="shared" si="2081"/>
        <v>0</v>
      </c>
      <c r="CD534" s="161">
        <f t="shared" si="2082"/>
        <v>0</v>
      </c>
      <c r="CE534" s="161">
        <f t="shared" si="2083"/>
        <v>0</v>
      </c>
      <c r="CF534" s="161">
        <f t="shared" si="2084"/>
        <v>0</v>
      </c>
      <c r="CG534" s="161">
        <f t="shared" si="2085"/>
        <v>0</v>
      </c>
      <c r="CH534" s="161">
        <f t="shared" si="2086"/>
        <v>0</v>
      </c>
      <c r="CI534" s="161">
        <f t="shared" si="2087"/>
        <v>0</v>
      </c>
      <c r="CJ534" s="161">
        <f t="shared" si="2088"/>
        <v>0</v>
      </c>
      <c r="CK534" s="161">
        <f t="shared" si="2089"/>
        <v>0</v>
      </c>
      <c r="CL534" s="161">
        <f t="shared" si="2090"/>
        <v>0</v>
      </c>
      <c r="CM534" s="161">
        <f t="shared" si="2091"/>
        <v>0</v>
      </c>
      <c r="CN534" s="161">
        <f t="shared" si="2092"/>
        <v>0</v>
      </c>
      <c r="CO534" s="161">
        <f t="shared" si="2093"/>
        <v>0</v>
      </c>
      <c r="CP534" s="161">
        <f t="shared" si="2094"/>
        <v>0</v>
      </c>
      <c r="CQ534" s="161">
        <f t="shared" si="2095"/>
        <v>0</v>
      </c>
      <c r="CR534" s="161">
        <f t="shared" si="2096"/>
        <v>0</v>
      </c>
      <c r="CS534" s="161">
        <f t="shared" si="2097"/>
        <v>0</v>
      </c>
      <c r="CT534" s="161">
        <f t="shared" si="2098"/>
        <v>0</v>
      </c>
      <c r="CU534" s="161">
        <f t="shared" si="2099"/>
        <v>0</v>
      </c>
      <c r="CV534" s="161">
        <f t="shared" si="2100"/>
        <v>0</v>
      </c>
      <c r="CW534" s="161">
        <f t="shared" si="2101"/>
        <v>0</v>
      </c>
      <c r="CX534" s="161">
        <f t="shared" si="2102"/>
        <v>0</v>
      </c>
      <c r="CY534" s="161">
        <f t="shared" si="2103"/>
        <v>0</v>
      </c>
      <c r="CZ534" s="161">
        <f t="shared" si="2104"/>
        <v>0</v>
      </c>
      <c r="DA534" s="161">
        <f t="shared" si="2105"/>
        <v>0</v>
      </c>
      <c r="DB534" s="161">
        <f t="shared" si="2106"/>
        <v>0</v>
      </c>
      <c r="DC534" s="161">
        <f t="shared" si="2107"/>
        <v>0</v>
      </c>
      <c r="DD534" s="161">
        <f t="shared" si="2108"/>
        <v>0</v>
      </c>
      <c r="DE534" s="161">
        <f t="shared" si="2109"/>
        <v>0</v>
      </c>
      <c r="DF534" s="161">
        <f t="shared" si="2110"/>
        <v>0</v>
      </c>
      <c r="DG534" s="161">
        <f t="shared" si="2111"/>
        <v>0</v>
      </c>
      <c r="DH534" s="161">
        <f t="shared" si="2112"/>
        <v>0</v>
      </c>
      <c r="DI534" s="161">
        <f t="shared" si="2113"/>
        <v>0</v>
      </c>
      <c r="DJ534" s="161">
        <f t="shared" si="2114"/>
        <v>0</v>
      </c>
      <c r="DK534" s="161">
        <f t="shared" si="2115"/>
        <v>0</v>
      </c>
      <c r="DL534" s="161">
        <f t="shared" si="2116"/>
        <v>0</v>
      </c>
      <c r="DM534" s="161">
        <f t="shared" si="2117"/>
        <v>0</v>
      </c>
      <c r="DN534" s="161">
        <f t="shared" si="2118"/>
        <v>0</v>
      </c>
      <c r="DO534" s="161">
        <f t="shared" si="2119"/>
        <v>0</v>
      </c>
      <c r="DP534" s="161">
        <f t="shared" si="2120"/>
        <v>0</v>
      </c>
      <c r="DQ534" s="161">
        <f t="shared" si="2121"/>
        <v>0</v>
      </c>
      <c r="DR534" s="161">
        <f t="shared" si="2122"/>
        <v>0</v>
      </c>
      <c r="DS534" s="161">
        <f t="shared" si="2123"/>
        <v>0</v>
      </c>
      <c r="DT534" s="161">
        <f t="shared" si="2124"/>
        <v>0</v>
      </c>
      <c r="DU534" s="161">
        <f t="shared" si="2125"/>
        <v>0</v>
      </c>
      <c r="DV534" s="161">
        <f t="shared" si="2126"/>
        <v>0</v>
      </c>
      <c r="DW534" s="161">
        <f t="shared" si="2127"/>
        <v>0</v>
      </c>
      <c r="DX534" s="161">
        <f t="shared" si="2128"/>
        <v>0</v>
      </c>
      <c r="DY534" s="161">
        <f t="shared" si="2129"/>
        <v>0</v>
      </c>
      <c r="DZ534" s="161">
        <f t="shared" si="2130"/>
        <v>0</v>
      </c>
      <c r="EA534" s="161">
        <f t="shared" si="2131"/>
        <v>0</v>
      </c>
      <c r="EB534" s="161">
        <f t="shared" si="2132"/>
        <v>0</v>
      </c>
      <c r="EC534" s="161">
        <f t="shared" si="2133"/>
        <v>0</v>
      </c>
      <c r="ED534" s="161">
        <f t="shared" si="2134"/>
        <v>0</v>
      </c>
      <c r="EE534" s="161">
        <f t="shared" si="2135"/>
        <v>0</v>
      </c>
      <c r="EF534" s="161">
        <f t="shared" si="2136"/>
        <v>0</v>
      </c>
      <c r="EG534" s="161">
        <f t="shared" si="2137"/>
        <v>0</v>
      </c>
      <c r="EH534" s="161">
        <f t="shared" si="2138"/>
        <v>0</v>
      </c>
      <c r="EI534" s="161">
        <f t="shared" si="2139"/>
        <v>0</v>
      </c>
      <c r="EJ534" s="65"/>
      <c r="EK534" s="161">
        <f t="shared" si="2140"/>
        <v>0</v>
      </c>
      <c r="EL534" s="161">
        <f t="shared" si="2141"/>
        <v>0</v>
      </c>
      <c r="EM534" s="161">
        <f t="shared" si="2142"/>
        <v>0</v>
      </c>
    </row>
    <row r="535" spans="1:143" ht="12" hidden="1" customHeight="1" outlineLevel="2">
      <c r="A535" s="77">
        <v>11</v>
      </c>
      <c r="B535" s="137" t="str">
        <f t="shared" si="2070"/>
        <v>AN PL. ADM/CRP - Equipe_01</v>
      </c>
      <c r="C535" s="65"/>
      <c r="D535" s="621"/>
      <c r="E535" s="65"/>
      <c r="F535" s="603"/>
      <c r="G535" s="77" t="str">
        <f>IF(INDEX(Tarefas!$BT$30:$FK$30,MATCH(A535,Tarefas!$BT$28:$FK$28,0))=0,"",INDEX(Tarefas!$BT$30:$FK$30,MATCH(A535,Tarefas!$BT$28:$FK$28,0)))</f>
        <v>AN PL. ADM/CRP</v>
      </c>
      <c r="H535" s="107" cm="1">
        <f t="array" ref="H535">IFERROR((SUMPRODUCT((Tarefas!$N$32:$N$54='Cronog. e Histog.'!$F$525)*(Tarefas!$BQ$30:$FK$30='Cronog. e Histog.'!$G535)*(Tarefas!$BQ$32:$FK$54)))/SUMIF(Tarefas!$N$32:$N$54,'Cronog. e Histog.'!$F$525,Tarefas!$K$32:$K$54),0)</f>
        <v>0</v>
      </c>
      <c r="I535" s="79">
        <f t="shared" si="2071"/>
        <v>0</v>
      </c>
      <c r="J535" s="65"/>
      <c r="K535" s="160">
        <f t="shared" si="2072"/>
        <v>0</v>
      </c>
      <c r="L535" s="160">
        <f t="shared" si="2072"/>
        <v>0</v>
      </c>
      <c r="M535" s="160">
        <f t="shared" si="2072"/>
        <v>0</v>
      </c>
      <c r="N535" s="160">
        <f t="shared" si="2072"/>
        <v>0</v>
      </c>
      <c r="O535" s="160">
        <f t="shared" si="2072"/>
        <v>0</v>
      </c>
      <c r="P535" s="160">
        <f t="shared" si="2072"/>
        <v>0</v>
      </c>
      <c r="Q535" s="160">
        <f t="shared" si="2072"/>
        <v>0</v>
      </c>
      <c r="R535" s="160">
        <f t="shared" si="2072"/>
        <v>0</v>
      </c>
      <c r="S535" s="160">
        <f t="shared" si="2072"/>
        <v>0</v>
      </c>
      <c r="T535" s="160">
        <f t="shared" si="2072"/>
        <v>0</v>
      </c>
      <c r="U535" s="160">
        <f t="shared" si="2072"/>
        <v>0</v>
      </c>
      <c r="V535" s="160">
        <f t="shared" si="2072"/>
        <v>0</v>
      </c>
      <c r="W535" s="160">
        <f t="shared" si="2072"/>
        <v>0</v>
      </c>
      <c r="X535" s="160">
        <f t="shared" si="2072"/>
        <v>0</v>
      </c>
      <c r="Y535" s="160">
        <f t="shared" si="2072"/>
        <v>0</v>
      </c>
      <c r="Z535" s="160">
        <f t="shared" si="2072"/>
        <v>0</v>
      </c>
      <c r="AA535" s="160">
        <f t="shared" si="2073"/>
        <v>0</v>
      </c>
      <c r="AB535" s="160">
        <f t="shared" si="2073"/>
        <v>0</v>
      </c>
      <c r="AC535" s="160">
        <f t="shared" si="2073"/>
        <v>0</v>
      </c>
      <c r="AD535" s="160">
        <f t="shared" si="2073"/>
        <v>0</v>
      </c>
      <c r="AE535" s="160">
        <f t="shared" si="2073"/>
        <v>0</v>
      </c>
      <c r="AF535" s="160">
        <f t="shared" si="2073"/>
        <v>0</v>
      </c>
      <c r="AG535" s="160">
        <f t="shared" si="2073"/>
        <v>0</v>
      </c>
      <c r="AH535" s="160">
        <f t="shared" si="2073"/>
        <v>0</v>
      </c>
      <c r="AI535" s="160">
        <f t="shared" si="2073"/>
        <v>0</v>
      </c>
      <c r="AJ535" s="160">
        <f t="shared" si="2073"/>
        <v>0</v>
      </c>
      <c r="AK535" s="160">
        <f t="shared" si="2073"/>
        <v>0</v>
      </c>
      <c r="AL535" s="160">
        <f t="shared" si="2073"/>
        <v>0</v>
      </c>
      <c r="AM535" s="160">
        <f t="shared" si="2073"/>
        <v>0</v>
      </c>
      <c r="AN535" s="160">
        <f t="shared" si="2073"/>
        <v>0</v>
      </c>
      <c r="AO535" s="160">
        <f t="shared" si="2073"/>
        <v>0</v>
      </c>
      <c r="AP535" s="160">
        <f t="shared" si="2073"/>
        <v>0</v>
      </c>
      <c r="AQ535" s="160">
        <f t="shared" si="2074"/>
        <v>0</v>
      </c>
      <c r="AR535" s="160">
        <f t="shared" si="2074"/>
        <v>0</v>
      </c>
      <c r="AS535" s="160">
        <f t="shared" si="2074"/>
        <v>0</v>
      </c>
      <c r="AT535" s="160">
        <f t="shared" si="2074"/>
        <v>0</v>
      </c>
      <c r="AU535" s="160">
        <f t="shared" si="2074"/>
        <v>0</v>
      </c>
      <c r="AV535" s="160">
        <f t="shared" si="2074"/>
        <v>0</v>
      </c>
      <c r="AW535" s="160">
        <f t="shared" si="2074"/>
        <v>0</v>
      </c>
      <c r="AX535" s="160">
        <f t="shared" si="2074"/>
        <v>0</v>
      </c>
      <c r="AY535" s="160">
        <f t="shared" si="2074"/>
        <v>0</v>
      </c>
      <c r="AZ535" s="160">
        <f t="shared" si="2074"/>
        <v>0</v>
      </c>
      <c r="BA535" s="160">
        <f t="shared" si="2074"/>
        <v>0</v>
      </c>
      <c r="BB535" s="160">
        <f t="shared" si="2074"/>
        <v>0</v>
      </c>
      <c r="BC535" s="160">
        <f t="shared" si="2074"/>
        <v>0</v>
      </c>
      <c r="BD535" s="160">
        <f t="shared" si="2074"/>
        <v>0</v>
      </c>
      <c r="BE535" s="160">
        <f t="shared" si="2074"/>
        <v>0</v>
      </c>
      <c r="BF535" s="160">
        <f t="shared" si="2074"/>
        <v>0</v>
      </c>
      <c r="BG535" s="160">
        <f t="shared" si="2075"/>
        <v>0</v>
      </c>
      <c r="BH535" s="160">
        <f t="shared" si="2075"/>
        <v>0</v>
      </c>
      <c r="BI535" s="160">
        <f t="shared" si="2075"/>
        <v>0</v>
      </c>
      <c r="BJ535" s="160">
        <f t="shared" si="2075"/>
        <v>0</v>
      </c>
      <c r="BK535" s="160">
        <f t="shared" si="2075"/>
        <v>0</v>
      </c>
      <c r="BL535" s="160">
        <f t="shared" si="2075"/>
        <v>0</v>
      </c>
      <c r="BM535" s="160">
        <f t="shared" si="2075"/>
        <v>0</v>
      </c>
      <c r="BN535" s="160">
        <f t="shared" si="2075"/>
        <v>0</v>
      </c>
      <c r="BO535" s="160">
        <f t="shared" si="2075"/>
        <v>0</v>
      </c>
      <c r="BP535" s="160">
        <f t="shared" si="2075"/>
        <v>0</v>
      </c>
      <c r="BQ535" s="160">
        <f t="shared" si="2075"/>
        <v>0</v>
      </c>
      <c r="BR535" s="160">
        <f t="shared" si="2075"/>
        <v>0</v>
      </c>
      <c r="BS535" s="65"/>
      <c r="BT535" s="160">
        <f t="shared" si="2076"/>
        <v>0</v>
      </c>
      <c r="BU535" s="160">
        <f t="shared" si="2077"/>
        <v>0</v>
      </c>
      <c r="BV535" s="65"/>
      <c r="BW535" s="69"/>
      <c r="BX535" s="65"/>
      <c r="BY535" s="137">
        <f t="shared" si="2078"/>
        <v>1</v>
      </c>
      <c r="BZ535" s="137">
        <f>IF(BY535&gt;0,BY535+LARGE($BZ$213:BZ534,1),0)</f>
        <v>271</v>
      </c>
      <c r="CA535" s="137" t="str">
        <f t="shared" si="2079"/>
        <v>AN PL. ADM/CRP</v>
      </c>
      <c r="CB535" s="161">
        <f t="shared" si="2080"/>
        <v>0</v>
      </c>
      <c r="CC535" s="161">
        <f t="shared" si="2081"/>
        <v>0</v>
      </c>
      <c r="CD535" s="161">
        <f t="shared" si="2082"/>
        <v>0</v>
      </c>
      <c r="CE535" s="161">
        <f t="shared" si="2083"/>
        <v>0</v>
      </c>
      <c r="CF535" s="161">
        <f t="shared" si="2084"/>
        <v>0</v>
      </c>
      <c r="CG535" s="161">
        <f t="shared" si="2085"/>
        <v>0</v>
      </c>
      <c r="CH535" s="161">
        <f t="shared" si="2086"/>
        <v>0</v>
      </c>
      <c r="CI535" s="161">
        <f t="shared" si="2087"/>
        <v>0</v>
      </c>
      <c r="CJ535" s="161">
        <f t="shared" si="2088"/>
        <v>0</v>
      </c>
      <c r="CK535" s="161">
        <f t="shared" si="2089"/>
        <v>0</v>
      </c>
      <c r="CL535" s="161">
        <f t="shared" si="2090"/>
        <v>0</v>
      </c>
      <c r="CM535" s="161">
        <f t="shared" si="2091"/>
        <v>0</v>
      </c>
      <c r="CN535" s="161">
        <f t="shared" si="2092"/>
        <v>0</v>
      </c>
      <c r="CO535" s="161">
        <f t="shared" si="2093"/>
        <v>0</v>
      </c>
      <c r="CP535" s="161">
        <f t="shared" si="2094"/>
        <v>0</v>
      </c>
      <c r="CQ535" s="161">
        <f t="shared" si="2095"/>
        <v>0</v>
      </c>
      <c r="CR535" s="161">
        <f t="shared" si="2096"/>
        <v>0</v>
      </c>
      <c r="CS535" s="161">
        <f t="shared" si="2097"/>
        <v>0</v>
      </c>
      <c r="CT535" s="161">
        <f t="shared" si="2098"/>
        <v>0</v>
      </c>
      <c r="CU535" s="161">
        <f t="shared" si="2099"/>
        <v>0</v>
      </c>
      <c r="CV535" s="161">
        <f t="shared" si="2100"/>
        <v>0</v>
      </c>
      <c r="CW535" s="161">
        <f t="shared" si="2101"/>
        <v>0</v>
      </c>
      <c r="CX535" s="161">
        <f t="shared" si="2102"/>
        <v>0</v>
      </c>
      <c r="CY535" s="161">
        <f t="shared" si="2103"/>
        <v>0</v>
      </c>
      <c r="CZ535" s="161">
        <f t="shared" si="2104"/>
        <v>0</v>
      </c>
      <c r="DA535" s="161">
        <f t="shared" si="2105"/>
        <v>0</v>
      </c>
      <c r="DB535" s="161">
        <f t="shared" si="2106"/>
        <v>0</v>
      </c>
      <c r="DC535" s="161">
        <f t="shared" si="2107"/>
        <v>0</v>
      </c>
      <c r="DD535" s="161">
        <f t="shared" si="2108"/>
        <v>0</v>
      </c>
      <c r="DE535" s="161">
        <f t="shared" si="2109"/>
        <v>0</v>
      </c>
      <c r="DF535" s="161">
        <f t="shared" si="2110"/>
        <v>0</v>
      </c>
      <c r="DG535" s="161">
        <f t="shared" si="2111"/>
        <v>0</v>
      </c>
      <c r="DH535" s="161">
        <f t="shared" si="2112"/>
        <v>0</v>
      </c>
      <c r="DI535" s="161">
        <f t="shared" si="2113"/>
        <v>0</v>
      </c>
      <c r="DJ535" s="161">
        <f t="shared" si="2114"/>
        <v>0</v>
      </c>
      <c r="DK535" s="161">
        <f t="shared" si="2115"/>
        <v>0</v>
      </c>
      <c r="DL535" s="161">
        <f t="shared" si="2116"/>
        <v>0</v>
      </c>
      <c r="DM535" s="161">
        <f t="shared" si="2117"/>
        <v>0</v>
      </c>
      <c r="DN535" s="161">
        <f t="shared" si="2118"/>
        <v>0</v>
      </c>
      <c r="DO535" s="161">
        <f t="shared" si="2119"/>
        <v>0</v>
      </c>
      <c r="DP535" s="161">
        <f t="shared" si="2120"/>
        <v>0</v>
      </c>
      <c r="DQ535" s="161">
        <f t="shared" si="2121"/>
        <v>0</v>
      </c>
      <c r="DR535" s="161">
        <f t="shared" si="2122"/>
        <v>0</v>
      </c>
      <c r="DS535" s="161">
        <f t="shared" si="2123"/>
        <v>0</v>
      </c>
      <c r="DT535" s="161">
        <f t="shared" si="2124"/>
        <v>0</v>
      </c>
      <c r="DU535" s="161">
        <f t="shared" si="2125"/>
        <v>0</v>
      </c>
      <c r="DV535" s="161">
        <f t="shared" si="2126"/>
        <v>0</v>
      </c>
      <c r="DW535" s="161">
        <f t="shared" si="2127"/>
        <v>0</v>
      </c>
      <c r="DX535" s="161">
        <f t="shared" si="2128"/>
        <v>0</v>
      </c>
      <c r="DY535" s="161">
        <f t="shared" si="2129"/>
        <v>0</v>
      </c>
      <c r="DZ535" s="161">
        <f t="shared" si="2130"/>
        <v>0</v>
      </c>
      <c r="EA535" s="161">
        <f t="shared" si="2131"/>
        <v>0</v>
      </c>
      <c r="EB535" s="161">
        <f t="shared" si="2132"/>
        <v>0</v>
      </c>
      <c r="EC535" s="161">
        <f t="shared" si="2133"/>
        <v>0</v>
      </c>
      <c r="ED535" s="161">
        <f t="shared" si="2134"/>
        <v>0</v>
      </c>
      <c r="EE535" s="161">
        <f t="shared" si="2135"/>
        <v>0</v>
      </c>
      <c r="EF535" s="161">
        <f t="shared" si="2136"/>
        <v>0</v>
      </c>
      <c r="EG535" s="161">
        <f t="shared" si="2137"/>
        <v>0</v>
      </c>
      <c r="EH535" s="161">
        <f t="shared" si="2138"/>
        <v>0</v>
      </c>
      <c r="EI535" s="161">
        <f t="shared" si="2139"/>
        <v>0</v>
      </c>
      <c r="EJ535" s="65"/>
      <c r="EK535" s="161">
        <f t="shared" si="2140"/>
        <v>0</v>
      </c>
      <c r="EL535" s="161">
        <f t="shared" si="2141"/>
        <v>0</v>
      </c>
      <c r="EM535" s="161">
        <f t="shared" si="2142"/>
        <v>0</v>
      </c>
    </row>
    <row r="536" spans="1:143" ht="12" hidden="1" customHeight="1" outlineLevel="2">
      <c r="A536" s="77">
        <v>12</v>
      </c>
      <c r="B536" s="137" t="str">
        <f t="shared" si="2070"/>
        <v>AN JR. ADM/CRP - Equipe_01</v>
      </c>
      <c r="C536" s="65"/>
      <c r="D536" s="622"/>
      <c r="E536" s="65"/>
      <c r="F536" s="603"/>
      <c r="G536" s="77" t="str">
        <f>IF(INDEX(Tarefas!$BT$30:$FK$30,MATCH(A536,Tarefas!$BT$28:$FK$28,0))=0,"",INDEX(Tarefas!$BT$30:$FK$30,MATCH(A536,Tarefas!$BT$28:$FK$28,0)))</f>
        <v>AN JR. ADM/CRP</v>
      </c>
      <c r="H536" s="107" cm="1">
        <f t="array" ref="H536">IFERROR((SUMPRODUCT((Tarefas!$N$32:$N$54='Cronog. e Histog.'!$F$525)*(Tarefas!$BQ$30:$FK$30='Cronog. e Histog.'!$G536)*(Tarefas!$BQ$32:$FK$54)))/SUMIF(Tarefas!$N$32:$N$54,'Cronog. e Histog.'!$F$525,Tarefas!$K$32:$K$54),0)</f>
        <v>0</v>
      </c>
      <c r="I536" s="79">
        <f t="shared" si="2071"/>
        <v>0</v>
      </c>
      <c r="J536" s="65"/>
      <c r="K536" s="160">
        <f t="shared" ref="K536:Z544" si="2143">ROUND($I536*K$196,2)</f>
        <v>0</v>
      </c>
      <c r="L536" s="160">
        <f t="shared" si="2143"/>
        <v>0</v>
      </c>
      <c r="M536" s="160">
        <f t="shared" si="2143"/>
        <v>0</v>
      </c>
      <c r="N536" s="160">
        <f t="shared" si="2143"/>
        <v>0</v>
      </c>
      <c r="O536" s="160">
        <f t="shared" si="2143"/>
        <v>0</v>
      </c>
      <c r="P536" s="160">
        <f t="shared" si="2143"/>
        <v>0</v>
      </c>
      <c r="Q536" s="160">
        <f t="shared" si="2143"/>
        <v>0</v>
      </c>
      <c r="R536" s="160">
        <f t="shared" si="2143"/>
        <v>0</v>
      </c>
      <c r="S536" s="160">
        <f t="shared" si="2143"/>
        <v>0</v>
      </c>
      <c r="T536" s="160">
        <f t="shared" si="2143"/>
        <v>0</v>
      </c>
      <c r="U536" s="160">
        <f t="shared" si="2143"/>
        <v>0</v>
      </c>
      <c r="V536" s="160">
        <f t="shared" si="2143"/>
        <v>0</v>
      </c>
      <c r="W536" s="160">
        <f t="shared" si="2143"/>
        <v>0</v>
      </c>
      <c r="X536" s="160">
        <f t="shared" si="2143"/>
        <v>0</v>
      </c>
      <c r="Y536" s="160">
        <f t="shared" si="2143"/>
        <v>0</v>
      </c>
      <c r="Z536" s="160">
        <f t="shared" si="2143"/>
        <v>0</v>
      </c>
      <c r="AA536" s="160">
        <f t="shared" si="2005"/>
        <v>0</v>
      </c>
      <c r="AB536" s="160">
        <f t="shared" si="2005"/>
        <v>0</v>
      </c>
      <c r="AC536" s="160">
        <f t="shared" si="2005"/>
        <v>0</v>
      </c>
      <c r="AD536" s="160">
        <f t="shared" si="2005"/>
        <v>0</v>
      </c>
      <c r="AE536" s="160">
        <f t="shared" si="2005"/>
        <v>0</v>
      </c>
      <c r="AF536" s="160">
        <f t="shared" si="2005"/>
        <v>0</v>
      </c>
      <c r="AG536" s="160">
        <f t="shared" si="2005"/>
        <v>0</v>
      </c>
      <c r="AH536" s="160">
        <f t="shared" si="2005"/>
        <v>0</v>
      </c>
      <c r="AI536" s="160">
        <f t="shared" si="2005"/>
        <v>0</v>
      </c>
      <c r="AJ536" s="160">
        <f t="shared" si="2005"/>
        <v>0</v>
      </c>
      <c r="AK536" s="160">
        <f t="shared" si="2005"/>
        <v>0</v>
      </c>
      <c r="AL536" s="160">
        <f t="shared" si="2005"/>
        <v>0</v>
      </c>
      <c r="AM536" s="160">
        <f t="shared" si="2005"/>
        <v>0</v>
      </c>
      <c r="AN536" s="160">
        <f t="shared" si="2005"/>
        <v>0</v>
      </c>
      <c r="AO536" s="160">
        <f t="shared" si="2005"/>
        <v>0</v>
      </c>
      <c r="AP536" s="160">
        <f t="shared" si="2005"/>
        <v>0</v>
      </c>
      <c r="AQ536" s="160">
        <f t="shared" si="2005"/>
        <v>0</v>
      </c>
      <c r="AR536" s="160">
        <f t="shared" si="2005"/>
        <v>0</v>
      </c>
      <c r="AS536" s="160">
        <f t="shared" si="2005"/>
        <v>0</v>
      </c>
      <c r="AT536" s="160">
        <f t="shared" si="2005"/>
        <v>0</v>
      </c>
      <c r="AU536" s="160">
        <f t="shared" si="2005"/>
        <v>0</v>
      </c>
      <c r="AV536" s="160">
        <f t="shared" si="2005"/>
        <v>0</v>
      </c>
      <c r="AW536" s="160">
        <f t="shared" si="2005"/>
        <v>0</v>
      </c>
      <c r="AX536" s="160">
        <f t="shared" si="2005"/>
        <v>0</v>
      </c>
      <c r="AY536" s="160">
        <f t="shared" si="2005"/>
        <v>0</v>
      </c>
      <c r="AZ536" s="160">
        <f t="shared" si="2005"/>
        <v>0</v>
      </c>
      <c r="BA536" s="160">
        <f t="shared" si="2005"/>
        <v>0</v>
      </c>
      <c r="BB536" s="160">
        <f t="shared" si="2005"/>
        <v>0</v>
      </c>
      <c r="BC536" s="160">
        <f t="shared" si="2005"/>
        <v>0</v>
      </c>
      <c r="BD536" s="160">
        <f t="shared" si="2005"/>
        <v>0</v>
      </c>
      <c r="BE536" s="160">
        <f t="shared" si="2005"/>
        <v>0</v>
      </c>
      <c r="BF536" s="160">
        <f t="shared" si="2005"/>
        <v>0</v>
      </c>
      <c r="BG536" s="160">
        <f t="shared" si="2005"/>
        <v>0</v>
      </c>
      <c r="BH536" s="160">
        <f t="shared" si="2005"/>
        <v>0</v>
      </c>
      <c r="BI536" s="160">
        <f t="shared" si="2005"/>
        <v>0</v>
      </c>
      <c r="BJ536" s="160">
        <f t="shared" si="2005"/>
        <v>0</v>
      </c>
      <c r="BK536" s="160">
        <f t="shared" si="2005"/>
        <v>0</v>
      </c>
      <c r="BL536" s="160">
        <f t="shared" si="2005"/>
        <v>0</v>
      </c>
      <c r="BM536" s="160">
        <f t="shared" si="2005"/>
        <v>0</v>
      </c>
      <c r="BN536" s="160">
        <f t="shared" si="2005"/>
        <v>0</v>
      </c>
      <c r="BO536" s="160">
        <f t="shared" si="2005"/>
        <v>0</v>
      </c>
      <c r="BP536" s="160">
        <f t="shared" si="2005"/>
        <v>0</v>
      </c>
      <c r="BQ536" s="160">
        <f t="shared" si="2005"/>
        <v>0</v>
      </c>
      <c r="BR536" s="160">
        <f t="shared" si="2005"/>
        <v>0</v>
      </c>
      <c r="BS536" s="65"/>
      <c r="BT536" s="160">
        <f t="shared" si="2006"/>
        <v>0</v>
      </c>
      <c r="BU536" s="160">
        <f t="shared" si="2007"/>
        <v>0</v>
      </c>
      <c r="BV536" s="65"/>
      <c r="BW536" s="69"/>
      <c r="BX536" s="65"/>
      <c r="BY536" s="137">
        <f t="shared" si="2008"/>
        <v>1</v>
      </c>
      <c r="BZ536" s="137">
        <f>IF(BY536&gt;0,BY536+LARGE($BZ$213:BZ535,1),0)</f>
        <v>272</v>
      </c>
      <c r="CA536" s="137" t="str">
        <f t="shared" si="2009"/>
        <v>AN JR. ADM/CRP</v>
      </c>
      <c r="CB536" s="161">
        <f t="shared" si="2010"/>
        <v>0</v>
      </c>
      <c r="CC536" s="161">
        <f t="shared" si="2011"/>
        <v>0</v>
      </c>
      <c r="CD536" s="161">
        <f t="shared" si="2012"/>
        <v>0</v>
      </c>
      <c r="CE536" s="161">
        <f t="shared" si="2013"/>
        <v>0</v>
      </c>
      <c r="CF536" s="161">
        <f t="shared" si="2014"/>
        <v>0</v>
      </c>
      <c r="CG536" s="161">
        <f t="shared" si="2015"/>
        <v>0</v>
      </c>
      <c r="CH536" s="161">
        <f t="shared" si="2016"/>
        <v>0</v>
      </c>
      <c r="CI536" s="161">
        <f t="shared" si="2017"/>
        <v>0</v>
      </c>
      <c r="CJ536" s="161">
        <f t="shared" si="2018"/>
        <v>0</v>
      </c>
      <c r="CK536" s="161">
        <f t="shared" si="2019"/>
        <v>0</v>
      </c>
      <c r="CL536" s="161">
        <f t="shared" si="2020"/>
        <v>0</v>
      </c>
      <c r="CM536" s="161">
        <f t="shared" si="2021"/>
        <v>0</v>
      </c>
      <c r="CN536" s="161">
        <f t="shared" si="2022"/>
        <v>0</v>
      </c>
      <c r="CO536" s="161">
        <f t="shared" si="2023"/>
        <v>0</v>
      </c>
      <c r="CP536" s="161">
        <f t="shared" si="2024"/>
        <v>0</v>
      </c>
      <c r="CQ536" s="161">
        <f t="shared" si="2025"/>
        <v>0</v>
      </c>
      <c r="CR536" s="161">
        <f t="shared" si="2026"/>
        <v>0</v>
      </c>
      <c r="CS536" s="161">
        <f t="shared" si="2027"/>
        <v>0</v>
      </c>
      <c r="CT536" s="161">
        <f t="shared" si="2028"/>
        <v>0</v>
      </c>
      <c r="CU536" s="161">
        <f t="shared" si="2029"/>
        <v>0</v>
      </c>
      <c r="CV536" s="161">
        <f t="shared" si="2030"/>
        <v>0</v>
      </c>
      <c r="CW536" s="161">
        <f t="shared" si="2031"/>
        <v>0</v>
      </c>
      <c r="CX536" s="161">
        <f t="shared" si="2032"/>
        <v>0</v>
      </c>
      <c r="CY536" s="161">
        <f t="shared" si="2033"/>
        <v>0</v>
      </c>
      <c r="CZ536" s="161">
        <f t="shared" si="2034"/>
        <v>0</v>
      </c>
      <c r="DA536" s="161">
        <f t="shared" si="2035"/>
        <v>0</v>
      </c>
      <c r="DB536" s="161">
        <f t="shared" si="2036"/>
        <v>0</v>
      </c>
      <c r="DC536" s="161">
        <f t="shared" si="2037"/>
        <v>0</v>
      </c>
      <c r="DD536" s="161">
        <f t="shared" si="2038"/>
        <v>0</v>
      </c>
      <c r="DE536" s="161">
        <f t="shared" si="2039"/>
        <v>0</v>
      </c>
      <c r="DF536" s="161">
        <f t="shared" si="2040"/>
        <v>0</v>
      </c>
      <c r="DG536" s="161">
        <f t="shared" si="2041"/>
        <v>0</v>
      </c>
      <c r="DH536" s="161">
        <f t="shared" si="2042"/>
        <v>0</v>
      </c>
      <c r="DI536" s="161">
        <f t="shared" si="2043"/>
        <v>0</v>
      </c>
      <c r="DJ536" s="161">
        <f t="shared" si="2044"/>
        <v>0</v>
      </c>
      <c r="DK536" s="161">
        <f t="shared" si="2045"/>
        <v>0</v>
      </c>
      <c r="DL536" s="161">
        <f t="shared" si="2046"/>
        <v>0</v>
      </c>
      <c r="DM536" s="161">
        <f t="shared" si="2047"/>
        <v>0</v>
      </c>
      <c r="DN536" s="161">
        <f t="shared" si="2048"/>
        <v>0</v>
      </c>
      <c r="DO536" s="161">
        <f t="shared" si="2049"/>
        <v>0</v>
      </c>
      <c r="DP536" s="161">
        <f t="shared" si="2050"/>
        <v>0</v>
      </c>
      <c r="DQ536" s="161">
        <f t="shared" si="2051"/>
        <v>0</v>
      </c>
      <c r="DR536" s="161">
        <f t="shared" si="2052"/>
        <v>0</v>
      </c>
      <c r="DS536" s="161">
        <f t="shared" si="2053"/>
        <v>0</v>
      </c>
      <c r="DT536" s="161">
        <f t="shared" si="2054"/>
        <v>0</v>
      </c>
      <c r="DU536" s="161">
        <f t="shared" si="2055"/>
        <v>0</v>
      </c>
      <c r="DV536" s="161">
        <f t="shared" si="2056"/>
        <v>0</v>
      </c>
      <c r="DW536" s="161">
        <f t="shared" si="2057"/>
        <v>0</v>
      </c>
      <c r="DX536" s="161">
        <f t="shared" si="2058"/>
        <v>0</v>
      </c>
      <c r="DY536" s="161">
        <f t="shared" si="2059"/>
        <v>0</v>
      </c>
      <c r="DZ536" s="161">
        <f t="shared" si="2060"/>
        <v>0</v>
      </c>
      <c r="EA536" s="161">
        <f t="shared" si="2061"/>
        <v>0</v>
      </c>
      <c r="EB536" s="161">
        <f t="shared" si="2062"/>
        <v>0</v>
      </c>
      <c r="EC536" s="161">
        <f t="shared" si="2063"/>
        <v>0</v>
      </c>
      <c r="ED536" s="161">
        <f t="shared" si="2064"/>
        <v>0</v>
      </c>
      <c r="EE536" s="161">
        <f t="shared" si="2065"/>
        <v>0</v>
      </c>
      <c r="EF536" s="161">
        <f t="shared" si="2066"/>
        <v>0</v>
      </c>
      <c r="EG536" s="161">
        <f t="shared" si="2067"/>
        <v>0</v>
      </c>
      <c r="EH536" s="161">
        <f t="shared" si="2068"/>
        <v>0</v>
      </c>
      <c r="EI536" s="161">
        <f t="shared" si="2069"/>
        <v>0</v>
      </c>
      <c r="EJ536" s="65"/>
      <c r="EK536" s="161">
        <f t="shared" si="2140"/>
        <v>0</v>
      </c>
      <c r="EL536" s="161">
        <f t="shared" si="2141"/>
        <v>0</v>
      </c>
      <c r="EM536" s="161">
        <f t="shared" si="2142"/>
        <v>0</v>
      </c>
    </row>
    <row r="537" spans="1:143" ht="12" hidden="1" customHeight="1" outlineLevel="2">
      <c r="A537" s="77">
        <v>13</v>
      </c>
      <c r="B537" s="137" t="str">
        <f t="shared" si="2070"/>
        <v>TEC III - Equipe_01</v>
      </c>
      <c r="C537" s="65"/>
      <c r="D537" s="622"/>
      <c r="E537" s="65"/>
      <c r="F537" s="603"/>
      <c r="G537" s="77" t="str">
        <f>IF(INDEX(Tarefas!$BT$30:$FK$30,MATCH(A537,Tarefas!$BT$28:$FK$28,0))=0,"",INDEX(Tarefas!$BT$30:$FK$30,MATCH(A537,Tarefas!$BT$28:$FK$28,0)))</f>
        <v>TEC III</v>
      </c>
      <c r="H537" s="107" cm="1">
        <f t="array" ref="H537">IFERROR((SUMPRODUCT((Tarefas!$N$32:$N$54='Cronog. e Histog.'!$F$525)*(Tarefas!$BQ$30:$FK$30='Cronog. e Histog.'!$G537)*(Tarefas!$BQ$32:$FK$54)))/SUMIF(Tarefas!$N$32:$N$54,'Cronog. e Histog.'!$F$525,Tarefas!$K$32:$K$54),0)</f>
        <v>0</v>
      </c>
      <c r="I537" s="79">
        <f t="shared" si="2071"/>
        <v>0</v>
      </c>
      <c r="J537" s="65"/>
      <c r="K537" s="160">
        <f t="shared" si="2143"/>
        <v>0</v>
      </c>
      <c r="L537" s="160">
        <f t="shared" si="2005"/>
        <v>0</v>
      </c>
      <c r="M537" s="160">
        <f t="shared" si="2005"/>
        <v>0</v>
      </c>
      <c r="N537" s="160">
        <f t="shared" si="2005"/>
        <v>0</v>
      </c>
      <c r="O537" s="160">
        <f t="shared" si="2005"/>
        <v>0</v>
      </c>
      <c r="P537" s="160">
        <f t="shared" si="2005"/>
        <v>0</v>
      </c>
      <c r="Q537" s="160">
        <f t="shared" si="2005"/>
        <v>0</v>
      </c>
      <c r="R537" s="160">
        <f t="shared" si="2005"/>
        <v>0</v>
      </c>
      <c r="S537" s="160">
        <f t="shared" si="2005"/>
        <v>0</v>
      </c>
      <c r="T537" s="160">
        <f t="shared" si="2005"/>
        <v>0</v>
      </c>
      <c r="U537" s="160">
        <f t="shared" si="2005"/>
        <v>0</v>
      </c>
      <c r="V537" s="160">
        <f t="shared" si="2005"/>
        <v>0</v>
      </c>
      <c r="W537" s="160">
        <f t="shared" si="2005"/>
        <v>0</v>
      </c>
      <c r="X537" s="160">
        <f t="shared" si="2005"/>
        <v>0</v>
      </c>
      <c r="Y537" s="160">
        <f t="shared" si="2005"/>
        <v>0</v>
      </c>
      <c r="Z537" s="160">
        <f t="shared" si="2005"/>
        <v>0</v>
      </c>
      <c r="AA537" s="160">
        <f t="shared" si="2005"/>
        <v>0</v>
      </c>
      <c r="AB537" s="160">
        <f t="shared" si="2005"/>
        <v>0</v>
      </c>
      <c r="AC537" s="160">
        <f t="shared" si="2005"/>
        <v>0</v>
      </c>
      <c r="AD537" s="160">
        <f t="shared" si="2005"/>
        <v>0</v>
      </c>
      <c r="AE537" s="160">
        <f t="shared" si="2005"/>
        <v>0</v>
      </c>
      <c r="AF537" s="160">
        <f t="shared" si="2005"/>
        <v>0</v>
      </c>
      <c r="AG537" s="160">
        <f t="shared" si="2005"/>
        <v>0</v>
      </c>
      <c r="AH537" s="160">
        <f t="shared" si="2005"/>
        <v>0</v>
      </c>
      <c r="AI537" s="160">
        <f t="shared" si="2005"/>
        <v>0</v>
      </c>
      <c r="AJ537" s="160">
        <f t="shared" si="2005"/>
        <v>0</v>
      </c>
      <c r="AK537" s="160">
        <f t="shared" si="2005"/>
        <v>0</v>
      </c>
      <c r="AL537" s="160">
        <f t="shared" si="2005"/>
        <v>0</v>
      </c>
      <c r="AM537" s="160">
        <f t="shared" si="2005"/>
        <v>0</v>
      </c>
      <c r="AN537" s="160">
        <f t="shared" si="2005"/>
        <v>0</v>
      </c>
      <c r="AO537" s="160">
        <f t="shared" si="2005"/>
        <v>0</v>
      </c>
      <c r="AP537" s="160">
        <f t="shared" si="2005"/>
        <v>0</v>
      </c>
      <c r="AQ537" s="160">
        <f t="shared" si="2005"/>
        <v>0</v>
      </c>
      <c r="AR537" s="160">
        <f t="shared" si="2005"/>
        <v>0</v>
      </c>
      <c r="AS537" s="160">
        <f t="shared" si="2005"/>
        <v>0</v>
      </c>
      <c r="AT537" s="160">
        <f t="shared" si="2005"/>
        <v>0</v>
      </c>
      <c r="AU537" s="160">
        <f t="shared" si="2005"/>
        <v>0</v>
      </c>
      <c r="AV537" s="160">
        <f t="shared" si="2005"/>
        <v>0</v>
      </c>
      <c r="AW537" s="160">
        <f t="shared" si="2005"/>
        <v>0</v>
      </c>
      <c r="AX537" s="160">
        <f t="shared" si="2005"/>
        <v>0</v>
      </c>
      <c r="AY537" s="160">
        <f t="shared" si="2005"/>
        <v>0</v>
      </c>
      <c r="AZ537" s="160">
        <f t="shared" si="2005"/>
        <v>0</v>
      </c>
      <c r="BA537" s="160">
        <f t="shared" si="2005"/>
        <v>0</v>
      </c>
      <c r="BB537" s="160">
        <f t="shared" si="2005"/>
        <v>0</v>
      </c>
      <c r="BC537" s="160">
        <f t="shared" si="2005"/>
        <v>0</v>
      </c>
      <c r="BD537" s="160">
        <f t="shared" si="2005"/>
        <v>0</v>
      </c>
      <c r="BE537" s="160">
        <f t="shared" si="2005"/>
        <v>0</v>
      </c>
      <c r="BF537" s="160">
        <f t="shared" si="2005"/>
        <v>0</v>
      </c>
      <c r="BG537" s="160">
        <f t="shared" si="2005"/>
        <v>0</v>
      </c>
      <c r="BH537" s="160">
        <f t="shared" si="2005"/>
        <v>0</v>
      </c>
      <c r="BI537" s="160">
        <f t="shared" si="2005"/>
        <v>0</v>
      </c>
      <c r="BJ537" s="160">
        <f t="shared" si="2005"/>
        <v>0</v>
      </c>
      <c r="BK537" s="160">
        <f t="shared" si="2005"/>
        <v>0</v>
      </c>
      <c r="BL537" s="160">
        <f t="shared" si="2005"/>
        <v>0</v>
      </c>
      <c r="BM537" s="160">
        <f t="shared" si="2005"/>
        <v>0</v>
      </c>
      <c r="BN537" s="160">
        <f t="shared" si="2005"/>
        <v>0</v>
      </c>
      <c r="BO537" s="160">
        <f t="shared" si="2005"/>
        <v>0</v>
      </c>
      <c r="BP537" s="160">
        <f t="shared" si="2005"/>
        <v>0</v>
      </c>
      <c r="BQ537" s="160">
        <f t="shared" si="2005"/>
        <v>0</v>
      </c>
      <c r="BR537" s="160">
        <f t="shared" si="2005"/>
        <v>0</v>
      </c>
      <c r="BS537" s="65"/>
      <c r="BT537" s="160">
        <f t="shared" si="2006"/>
        <v>0</v>
      </c>
      <c r="BU537" s="160">
        <f t="shared" si="2007"/>
        <v>0</v>
      </c>
      <c r="BV537" s="65"/>
      <c r="BW537" s="69"/>
      <c r="BX537" s="65"/>
      <c r="BY537" s="137">
        <f t="shared" si="2008"/>
        <v>1</v>
      </c>
      <c r="BZ537" s="137">
        <f>IF(BY537&gt;0,BY537+LARGE($BZ$213:BZ536,1),0)</f>
        <v>273</v>
      </c>
      <c r="CA537" s="137" t="str">
        <f t="shared" si="2009"/>
        <v>TEC III</v>
      </c>
      <c r="CB537" s="161">
        <f t="shared" si="2010"/>
        <v>0</v>
      </c>
      <c r="CC537" s="161">
        <f t="shared" si="2011"/>
        <v>0</v>
      </c>
      <c r="CD537" s="161">
        <f t="shared" si="2012"/>
        <v>0</v>
      </c>
      <c r="CE537" s="161">
        <f t="shared" si="2013"/>
        <v>0</v>
      </c>
      <c r="CF537" s="161">
        <f t="shared" si="2014"/>
        <v>0</v>
      </c>
      <c r="CG537" s="161">
        <f t="shared" si="2015"/>
        <v>0</v>
      </c>
      <c r="CH537" s="161">
        <f t="shared" si="2016"/>
        <v>0</v>
      </c>
      <c r="CI537" s="161">
        <f t="shared" si="2017"/>
        <v>0</v>
      </c>
      <c r="CJ537" s="161">
        <f t="shared" si="2018"/>
        <v>0</v>
      </c>
      <c r="CK537" s="161">
        <f t="shared" si="2019"/>
        <v>0</v>
      </c>
      <c r="CL537" s="161">
        <f t="shared" si="2020"/>
        <v>0</v>
      </c>
      <c r="CM537" s="161">
        <f t="shared" si="2021"/>
        <v>0</v>
      </c>
      <c r="CN537" s="161">
        <f t="shared" si="2022"/>
        <v>0</v>
      </c>
      <c r="CO537" s="161">
        <f t="shared" si="2023"/>
        <v>0</v>
      </c>
      <c r="CP537" s="161">
        <f t="shared" si="2024"/>
        <v>0</v>
      </c>
      <c r="CQ537" s="161">
        <f t="shared" si="2025"/>
        <v>0</v>
      </c>
      <c r="CR537" s="161">
        <f t="shared" si="2026"/>
        <v>0</v>
      </c>
      <c r="CS537" s="161">
        <f t="shared" si="2027"/>
        <v>0</v>
      </c>
      <c r="CT537" s="161">
        <f t="shared" si="2028"/>
        <v>0</v>
      </c>
      <c r="CU537" s="161">
        <f t="shared" si="2029"/>
        <v>0</v>
      </c>
      <c r="CV537" s="161">
        <f t="shared" si="2030"/>
        <v>0</v>
      </c>
      <c r="CW537" s="161">
        <f t="shared" si="2031"/>
        <v>0</v>
      </c>
      <c r="CX537" s="161">
        <f t="shared" si="2032"/>
        <v>0</v>
      </c>
      <c r="CY537" s="161">
        <f t="shared" si="2033"/>
        <v>0</v>
      </c>
      <c r="CZ537" s="161">
        <f t="shared" si="2034"/>
        <v>0</v>
      </c>
      <c r="DA537" s="161">
        <f t="shared" si="2035"/>
        <v>0</v>
      </c>
      <c r="DB537" s="161">
        <f t="shared" si="2036"/>
        <v>0</v>
      </c>
      <c r="DC537" s="161">
        <f t="shared" si="2037"/>
        <v>0</v>
      </c>
      <c r="DD537" s="161">
        <f t="shared" si="2038"/>
        <v>0</v>
      </c>
      <c r="DE537" s="161">
        <f t="shared" si="2039"/>
        <v>0</v>
      </c>
      <c r="DF537" s="161">
        <f t="shared" si="2040"/>
        <v>0</v>
      </c>
      <c r="DG537" s="161">
        <f t="shared" si="2041"/>
        <v>0</v>
      </c>
      <c r="DH537" s="161">
        <f t="shared" si="2042"/>
        <v>0</v>
      </c>
      <c r="DI537" s="161">
        <f t="shared" si="2043"/>
        <v>0</v>
      </c>
      <c r="DJ537" s="161">
        <f t="shared" si="2044"/>
        <v>0</v>
      </c>
      <c r="DK537" s="161">
        <f t="shared" si="2045"/>
        <v>0</v>
      </c>
      <c r="DL537" s="161">
        <f t="shared" si="2046"/>
        <v>0</v>
      </c>
      <c r="DM537" s="161">
        <f t="shared" si="2047"/>
        <v>0</v>
      </c>
      <c r="DN537" s="161">
        <f t="shared" si="2048"/>
        <v>0</v>
      </c>
      <c r="DO537" s="161">
        <f t="shared" si="2049"/>
        <v>0</v>
      </c>
      <c r="DP537" s="161">
        <f t="shared" si="2050"/>
        <v>0</v>
      </c>
      <c r="DQ537" s="161">
        <f t="shared" si="2051"/>
        <v>0</v>
      </c>
      <c r="DR537" s="161">
        <f t="shared" si="2052"/>
        <v>0</v>
      </c>
      <c r="DS537" s="161">
        <f t="shared" si="2053"/>
        <v>0</v>
      </c>
      <c r="DT537" s="161">
        <f t="shared" si="2054"/>
        <v>0</v>
      </c>
      <c r="DU537" s="161">
        <f t="shared" si="2055"/>
        <v>0</v>
      </c>
      <c r="DV537" s="161">
        <f t="shared" si="2056"/>
        <v>0</v>
      </c>
      <c r="DW537" s="161">
        <f t="shared" si="2057"/>
        <v>0</v>
      </c>
      <c r="DX537" s="161">
        <f t="shared" si="2058"/>
        <v>0</v>
      </c>
      <c r="DY537" s="161">
        <f t="shared" si="2059"/>
        <v>0</v>
      </c>
      <c r="DZ537" s="161">
        <f t="shared" si="2060"/>
        <v>0</v>
      </c>
      <c r="EA537" s="161">
        <f t="shared" si="2061"/>
        <v>0</v>
      </c>
      <c r="EB537" s="161">
        <f t="shared" si="2062"/>
        <v>0</v>
      </c>
      <c r="EC537" s="161">
        <f t="shared" si="2063"/>
        <v>0</v>
      </c>
      <c r="ED537" s="161">
        <f t="shared" si="2064"/>
        <v>0</v>
      </c>
      <c r="EE537" s="161">
        <f t="shared" si="2065"/>
        <v>0</v>
      </c>
      <c r="EF537" s="161">
        <f t="shared" si="2066"/>
        <v>0</v>
      </c>
      <c r="EG537" s="161">
        <f t="shared" si="2067"/>
        <v>0</v>
      </c>
      <c r="EH537" s="161">
        <f t="shared" si="2068"/>
        <v>0</v>
      </c>
      <c r="EI537" s="161">
        <f t="shared" si="2069"/>
        <v>0</v>
      </c>
      <c r="EJ537" s="65"/>
      <c r="EK537" s="161">
        <f t="shared" si="2140"/>
        <v>0</v>
      </c>
      <c r="EL537" s="161">
        <f t="shared" si="2141"/>
        <v>0</v>
      </c>
      <c r="EM537" s="161">
        <f t="shared" si="2142"/>
        <v>0</v>
      </c>
    </row>
    <row r="538" spans="1:143" ht="12" hidden="1" customHeight="1" outlineLevel="2">
      <c r="A538" s="77">
        <v>14</v>
      </c>
      <c r="B538" s="137" t="str">
        <f t="shared" si="2070"/>
        <v>TEC II - Equipe_01</v>
      </c>
      <c r="C538" s="65"/>
      <c r="D538" s="622"/>
      <c r="E538" s="65"/>
      <c r="F538" s="603"/>
      <c r="G538" s="77" t="str">
        <f>IF(INDEX(Tarefas!$BT$30:$FK$30,MATCH(A538,Tarefas!$BT$28:$FK$28,0))=0,"",INDEX(Tarefas!$BT$30:$FK$30,MATCH(A538,Tarefas!$BT$28:$FK$28,0)))</f>
        <v>TEC II</v>
      </c>
      <c r="H538" s="107" cm="1">
        <f t="array" ref="H538">IFERROR((SUMPRODUCT((Tarefas!$N$32:$N$54='Cronog. e Histog.'!$F$525)*(Tarefas!$BQ$30:$FK$30='Cronog. e Histog.'!$G538)*(Tarefas!$BQ$32:$FK$54)))/SUMIF(Tarefas!$N$32:$N$54,'Cronog. e Histog.'!$F$525,Tarefas!$K$32:$K$54),0)</f>
        <v>0</v>
      </c>
      <c r="I538" s="79">
        <f t="shared" si="2071"/>
        <v>0</v>
      </c>
      <c r="J538" s="65"/>
      <c r="K538" s="160">
        <f t="shared" si="2143"/>
        <v>0</v>
      </c>
      <c r="L538" s="160">
        <f t="shared" si="2005"/>
        <v>0</v>
      </c>
      <c r="M538" s="160">
        <f t="shared" si="2005"/>
        <v>0</v>
      </c>
      <c r="N538" s="160">
        <f t="shared" si="2005"/>
        <v>0</v>
      </c>
      <c r="O538" s="160">
        <f t="shared" si="2005"/>
        <v>0</v>
      </c>
      <c r="P538" s="160">
        <f t="shared" si="2005"/>
        <v>0</v>
      </c>
      <c r="Q538" s="160">
        <f t="shared" si="2005"/>
        <v>0</v>
      </c>
      <c r="R538" s="160">
        <f t="shared" si="2005"/>
        <v>0</v>
      </c>
      <c r="S538" s="160">
        <f t="shared" si="2005"/>
        <v>0</v>
      </c>
      <c r="T538" s="160">
        <f t="shared" si="2005"/>
        <v>0</v>
      </c>
      <c r="U538" s="160">
        <f t="shared" si="2005"/>
        <v>0</v>
      </c>
      <c r="V538" s="160">
        <f t="shared" si="2005"/>
        <v>0</v>
      </c>
      <c r="W538" s="160">
        <f t="shared" si="2005"/>
        <v>0</v>
      </c>
      <c r="X538" s="160">
        <f t="shared" si="2005"/>
        <v>0</v>
      </c>
      <c r="Y538" s="160">
        <f t="shared" si="2005"/>
        <v>0</v>
      </c>
      <c r="Z538" s="160">
        <f t="shared" si="2005"/>
        <v>0</v>
      </c>
      <c r="AA538" s="160">
        <f t="shared" si="2005"/>
        <v>0</v>
      </c>
      <c r="AB538" s="160">
        <f t="shared" si="2005"/>
        <v>0</v>
      </c>
      <c r="AC538" s="160">
        <f t="shared" si="2005"/>
        <v>0</v>
      </c>
      <c r="AD538" s="160">
        <f t="shared" si="2005"/>
        <v>0</v>
      </c>
      <c r="AE538" s="160">
        <f t="shared" si="2005"/>
        <v>0</v>
      </c>
      <c r="AF538" s="160">
        <f t="shared" si="2005"/>
        <v>0</v>
      </c>
      <c r="AG538" s="160">
        <f t="shared" si="2005"/>
        <v>0</v>
      </c>
      <c r="AH538" s="160">
        <f t="shared" si="2005"/>
        <v>0</v>
      </c>
      <c r="AI538" s="160">
        <f t="shared" si="2005"/>
        <v>0</v>
      </c>
      <c r="AJ538" s="160">
        <f t="shared" si="2005"/>
        <v>0</v>
      </c>
      <c r="AK538" s="160">
        <f t="shared" si="2005"/>
        <v>0</v>
      </c>
      <c r="AL538" s="160">
        <f t="shared" si="2005"/>
        <v>0</v>
      </c>
      <c r="AM538" s="160">
        <f t="shared" si="2005"/>
        <v>0</v>
      </c>
      <c r="AN538" s="160">
        <f t="shared" si="2005"/>
        <v>0</v>
      </c>
      <c r="AO538" s="160">
        <f t="shared" si="2005"/>
        <v>0</v>
      </c>
      <c r="AP538" s="160">
        <f t="shared" si="2005"/>
        <v>0</v>
      </c>
      <c r="AQ538" s="160">
        <f t="shared" si="2005"/>
        <v>0</v>
      </c>
      <c r="AR538" s="160">
        <f t="shared" si="2005"/>
        <v>0</v>
      </c>
      <c r="AS538" s="160">
        <f t="shared" si="2005"/>
        <v>0</v>
      </c>
      <c r="AT538" s="160">
        <f t="shared" si="2005"/>
        <v>0</v>
      </c>
      <c r="AU538" s="160">
        <f t="shared" si="2005"/>
        <v>0</v>
      </c>
      <c r="AV538" s="160">
        <f t="shared" si="2005"/>
        <v>0</v>
      </c>
      <c r="AW538" s="160">
        <f t="shared" si="2005"/>
        <v>0</v>
      </c>
      <c r="AX538" s="160">
        <f t="shared" si="2005"/>
        <v>0</v>
      </c>
      <c r="AY538" s="160">
        <f t="shared" si="2005"/>
        <v>0</v>
      </c>
      <c r="AZ538" s="160">
        <f t="shared" si="2005"/>
        <v>0</v>
      </c>
      <c r="BA538" s="160">
        <f t="shared" si="2005"/>
        <v>0</v>
      </c>
      <c r="BB538" s="160">
        <f t="shared" si="2005"/>
        <v>0</v>
      </c>
      <c r="BC538" s="160">
        <f t="shared" si="2005"/>
        <v>0</v>
      </c>
      <c r="BD538" s="160">
        <f t="shared" si="2005"/>
        <v>0</v>
      </c>
      <c r="BE538" s="160">
        <f t="shared" si="2005"/>
        <v>0</v>
      </c>
      <c r="BF538" s="160">
        <f t="shared" si="2005"/>
        <v>0</v>
      </c>
      <c r="BG538" s="160">
        <f t="shared" si="2005"/>
        <v>0</v>
      </c>
      <c r="BH538" s="160">
        <f t="shared" si="2005"/>
        <v>0</v>
      </c>
      <c r="BI538" s="160">
        <f t="shared" si="2005"/>
        <v>0</v>
      </c>
      <c r="BJ538" s="160">
        <f t="shared" si="2005"/>
        <v>0</v>
      </c>
      <c r="BK538" s="160">
        <f t="shared" si="2005"/>
        <v>0</v>
      </c>
      <c r="BL538" s="160">
        <f t="shared" si="2005"/>
        <v>0</v>
      </c>
      <c r="BM538" s="160">
        <f t="shared" si="2005"/>
        <v>0</v>
      </c>
      <c r="BN538" s="160">
        <f t="shared" si="2005"/>
        <v>0</v>
      </c>
      <c r="BO538" s="160">
        <f t="shared" si="2005"/>
        <v>0</v>
      </c>
      <c r="BP538" s="160">
        <f t="shared" si="2005"/>
        <v>0</v>
      </c>
      <c r="BQ538" s="160">
        <f t="shared" si="2005"/>
        <v>0</v>
      </c>
      <c r="BR538" s="160">
        <f t="shared" si="2005"/>
        <v>0</v>
      </c>
      <c r="BS538" s="65"/>
      <c r="BT538" s="160">
        <f t="shared" si="2006"/>
        <v>0</v>
      </c>
      <c r="BU538" s="160">
        <f t="shared" si="2007"/>
        <v>0</v>
      </c>
      <c r="BV538" s="65"/>
      <c r="BW538" s="69"/>
      <c r="BX538" s="65"/>
      <c r="BY538" s="137">
        <f t="shared" si="2008"/>
        <v>1</v>
      </c>
      <c r="BZ538" s="137">
        <f>IF(BY538&gt;0,BY538+LARGE($BZ$213:BZ537,1),0)</f>
        <v>274</v>
      </c>
      <c r="CA538" s="137" t="str">
        <f t="shared" si="2009"/>
        <v>TEC II</v>
      </c>
      <c r="CB538" s="161">
        <f t="shared" si="2010"/>
        <v>0</v>
      </c>
      <c r="CC538" s="161">
        <f t="shared" si="2011"/>
        <v>0</v>
      </c>
      <c r="CD538" s="161">
        <f t="shared" si="2012"/>
        <v>0</v>
      </c>
      <c r="CE538" s="161">
        <f t="shared" si="2013"/>
        <v>0</v>
      </c>
      <c r="CF538" s="161">
        <f t="shared" si="2014"/>
        <v>0</v>
      </c>
      <c r="CG538" s="161">
        <f t="shared" si="2015"/>
        <v>0</v>
      </c>
      <c r="CH538" s="161">
        <f t="shared" si="2016"/>
        <v>0</v>
      </c>
      <c r="CI538" s="161">
        <f t="shared" si="2017"/>
        <v>0</v>
      </c>
      <c r="CJ538" s="161">
        <f t="shared" si="2018"/>
        <v>0</v>
      </c>
      <c r="CK538" s="161">
        <f t="shared" si="2019"/>
        <v>0</v>
      </c>
      <c r="CL538" s="161">
        <f t="shared" si="2020"/>
        <v>0</v>
      </c>
      <c r="CM538" s="161">
        <f t="shared" si="2021"/>
        <v>0</v>
      </c>
      <c r="CN538" s="161">
        <f t="shared" si="2022"/>
        <v>0</v>
      </c>
      <c r="CO538" s="161">
        <f t="shared" si="2023"/>
        <v>0</v>
      </c>
      <c r="CP538" s="161">
        <f t="shared" si="2024"/>
        <v>0</v>
      </c>
      <c r="CQ538" s="161">
        <f t="shared" si="2025"/>
        <v>0</v>
      </c>
      <c r="CR538" s="161">
        <f t="shared" si="2026"/>
        <v>0</v>
      </c>
      <c r="CS538" s="161">
        <f t="shared" si="2027"/>
        <v>0</v>
      </c>
      <c r="CT538" s="161">
        <f t="shared" si="2028"/>
        <v>0</v>
      </c>
      <c r="CU538" s="161">
        <f t="shared" si="2029"/>
        <v>0</v>
      </c>
      <c r="CV538" s="161">
        <f t="shared" si="2030"/>
        <v>0</v>
      </c>
      <c r="CW538" s="161">
        <f t="shared" si="2031"/>
        <v>0</v>
      </c>
      <c r="CX538" s="161">
        <f t="shared" si="2032"/>
        <v>0</v>
      </c>
      <c r="CY538" s="161">
        <f t="shared" si="2033"/>
        <v>0</v>
      </c>
      <c r="CZ538" s="161">
        <f t="shared" si="2034"/>
        <v>0</v>
      </c>
      <c r="DA538" s="161">
        <f t="shared" si="2035"/>
        <v>0</v>
      </c>
      <c r="DB538" s="161">
        <f t="shared" si="2036"/>
        <v>0</v>
      </c>
      <c r="DC538" s="161">
        <f t="shared" si="2037"/>
        <v>0</v>
      </c>
      <c r="DD538" s="161">
        <f t="shared" si="2038"/>
        <v>0</v>
      </c>
      <c r="DE538" s="161">
        <f t="shared" si="2039"/>
        <v>0</v>
      </c>
      <c r="DF538" s="161">
        <f t="shared" si="2040"/>
        <v>0</v>
      </c>
      <c r="DG538" s="161">
        <f t="shared" si="2041"/>
        <v>0</v>
      </c>
      <c r="DH538" s="161">
        <f t="shared" si="2042"/>
        <v>0</v>
      </c>
      <c r="DI538" s="161">
        <f t="shared" si="2043"/>
        <v>0</v>
      </c>
      <c r="DJ538" s="161">
        <f t="shared" si="2044"/>
        <v>0</v>
      </c>
      <c r="DK538" s="161">
        <f t="shared" si="2045"/>
        <v>0</v>
      </c>
      <c r="DL538" s="161">
        <f t="shared" si="2046"/>
        <v>0</v>
      </c>
      <c r="DM538" s="161">
        <f t="shared" si="2047"/>
        <v>0</v>
      </c>
      <c r="DN538" s="161">
        <f t="shared" si="2048"/>
        <v>0</v>
      </c>
      <c r="DO538" s="161">
        <f t="shared" si="2049"/>
        <v>0</v>
      </c>
      <c r="DP538" s="161">
        <f t="shared" si="2050"/>
        <v>0</v>
      </c>
      <c r="DQ538" s="161">
        <f t="shared" si="2051"/>
        <v>0</v>
      </c>
      <c r="DR538" s="161">
        <f t="shared" si="2052"/>
        <v>0</v>
      </c>
      <c r="DS538" s="161">
        <f t="shared" si="2053"/>
        <v>0</v>
      </c>
      <c r="DT538" s="161">
        <f t="shared" si="2054"/>
        <v>0</v>
      </c>
      <c r="DU538" s="161">
        <f t="shared" si="2055"/>
        <v>0</v>
      </c>
      <c r="DV538" s="161">
        <f t="shared" si="2056"/>
        <v>0</v>
      </c>
      <c r="DW538" s="161">
        <f t="shared" si="2057"/>
        <v>0</v>
      </c>
      <c r="DX538" s="161">
        <f t="shared" si="2058"/>
        <v>0</v>
      </c>
      <c r="DY538" s="161">
        <f t="shared" si="2059"/>
        <v>0</v>
      </c>
      <c r="DZ538" s="161">
        <f t="shared" si="2060"/>
        <v>0</v>
      </c>
      <c r="EA538" s="161">
        <f t="shared" si="2061"/>
        <v>0</v>
      </c>
      <c r="EB538" s="161">
        <f t="shared" si="2062"/>
        <v>0</v>
      </c>
      <c r="EC538" s="161">
        <f t="shared" si="2063"/>
        <v>0</v>
      </c>
      <c r="ED538" s="161">
        <f t="shared" si="2064"/>
        <v>0</v>
      </c>
      <c r="EE538" s="161">
        <f t="shared" si="2065"/>
        <v>0</v>
      </c>
      <c r="EF538" s="161">
        <f t="shared" si="2066"/>
        <v>0</v>
      </c>
      <c r="EG538" s="161">
        <f t="shared" si="2067"/>
        <v>0</v>
      </c>
      <c r="EH538" s="161">
        <f t="shared" si="2068"/>
        <v>0</v>
      </c>
      <c r="EI538" s="161">
        <f t="shared" si="2069"/>
        <v>0</v>
      </c>
      <c r="EJ538" s="65"/>
      <c r="EK538" s="161">
        <f t="shared" si="2140"/>
        <v>0</v>
      </c>
      <c r="EL538" s="161">
        <f t="shared" si="2141"/>
        <v>0</v>
      </c>
      <c r="EM538" s="161">
        <f t="shared" si="2142"/>
        <v>0</v>
      </c>
    </row>
    <row r="539" spans="1:143" ht="12" hidden="1" customHeight="1" outlineLevel="2">
      <c r="A539" s="77">
        <v>15</v>
      </c>
      <c r="B539" s="137" t="str">
        <f t="shared" si="2070"/>
        <v>TEC I - Equipe_01</v>
      </c>
      <c r="C539" s="65"/>
      <c r="D539" s="622"/>
      <c r="E539" s="65"/>
      <c r="F539" s="603"/>
      <c r="G539" s="77" t="str">
        <f>IF(INDEX(Tarefas!$BT$30:$FK$30,MATCH(A539,Tarefas!$BT$28:$FK$28,0))=0,"",INDEX(Tarefas!$BT$30:$FK$30,MATCH(A539,Tarefas!$BT$28:$FK$28,0)))</f>
        <v>TEC I</v>
      </c>
      <c r="H539" s="107" cm="1">
        <f t="array" ref="H539">IFERROR((SUMPRODUCT((Tarefas!$N$32:$N$54='Cronog. e Histog.'!$F$525)*(Tarefas!$BQ$30:$FK$30='Cronog. e Histog.'!$G539)*(Tarefas!$BQ$32:$FK$54)))/SUMIF(Tarefas!$N$32:$N$54,'Cronog. e Histog.'!$F$525,Tarefas!$K$32:$K$54),0)</f>
        <v>0</v>
      </c>
      <c r="I539" s="79">
        <f t="shared" si="2071"/>
        <v>0</v>
      </c>
      <c r="J539" s="65"/>
      <c r="K539" s="160">
        <f t="shared" si="2143"/>
        <v>0</v>
      </c>
      <c r="L539" s="160">
        <f t="shared" si="2005"/>
        <v>0</v>
      </c>
      <c r="M539" s="160">
        <f t="shared" si="2005"/>
        <v>0</v>
      </c>
      <c r="N539" s="160">
        <f t="shared" si="2005"/>
        <v>0</v>
      </c>
      <c r="O539" s="160">
        <f t="shared" si="2005"/>
        <v>0</v>
      </c>
      <c r="P539" s="160">
        <f t="shared" si="2005"/>
        <v>0</v>
      </c>
      <c r="Q539" s="160">
        <f t="shared" si="2005"/>
        <v>0</v>
      </c>
      <c r="R539" s="160">
        <f t="shared" si="2005"/>
        <v>0</v>
      </c>
      <c r="S539" s="160">
        <f t="shared" si="2005"/>
        <v>0</v>
      </c>
      <c r="T539" s="160">
        <f t="shared" si="2005"/>
        <v>0</v>
      </c>
      <c r="U539" s="160">
        <f t="shared" si="2005"/>
        <v>0</v>
      </c>
      <c r="V539" s="160">
        <f t="shared" si="2005"/>
        <v>0</v>
      </c>
      <c r="W539" s="160">
        <f t="shared" si="2005"/>
        <v>0</v>
      </c>
      <c r="X539" s="160">
        <f t="shared" si="2005"/>
        <v>0</v>
      </c>
      <c r="Y539" s="160">
        <f t="shared" si="2005"/>
        <v>0</v>
      </c>
      <c r="Z539" s="160">
        <f t="shared" si="2005"/>
        <v>0</v>
      </c>
      <c r="AA539" s="160">
        <f t="shared" si="2005"/>
        <v>0</v>
      </c>
      <c r="AB539" s="160">
        <f t="shared" si="2005"/>
        <v>0</v>
      </c>
      <c r="AC539" s="160">
        <f t="shared" si="2005"/>
        <v>0</v>
      </c>
      <c r="AD539" s="160">
        <f t="shared" si="2005"/>
        <v>0</v>
      </c>
      <c r="AE539" s="160">
        <f t="shared" si="2005"/>
        <v>0</v>
      </c>
      <c r="AF539" s="160">
        <f t="shared" si="2005"/>
        <v>0</v>
      </c>
      <c r="AG539" s="160">
        <f t="shared" si="2005"/>
        <v>0</v>
      </c>
      <c r="AH539" s="160">
        <f t="shared" si="2005"/>
        <v>0</v>
      </c>
      <c r="AI539" s="160">
        <f t="shared" si="2005"/>
        <v>0</v>
      </c>
      <c r="AJ539" s="160">
        <f t="shared" si="2005"/>
        <v>0</v>
      </c>
      <c r="AK539" s="160">
        <f t="shared" si="2005"/>
        <v>0</v>
      </c>
      <c r="AL539" s="160">
        <f t="shared" si="2005"/>
        <v>0</v>
      </c>
      <c r="AM539" s="160">
        <f t="shared" si="2005"/>
        <v>0</v>
      </c>
      <c r="AN539" s="160">
        <f t="shared" si="2005"/>
        <v>0</v>
      </c>
      <c r="AO539" s="160">
        <f t="shared" si="2005"/>
        <v>0</v>
      </c>
      <c r="AP539" s="160">
        <f t="shared" si="2005"/>
        <v>0</v>
      </c>
      <c r="AQ539" s="160">
        <f t="shared" si="2005"/>
        <v>0</v>
      </c>
      <c r="AR539" s="160">
        <f t="shared" si="2005"/>
        <v>0</v>
      </c>
      <c r="AS539" s="160">
        <f t="shared" si="2005"/>
        <v>0</v>
      </c>
      <c r="AT539" s="160">
        <f t="shared" ref="L539:BR543" si="2144">ROUND($I539*AT$196,2)</f>
        <v>0</v>
      </c>
      <c r="AU539" s="160">
        <f t="shared" si="2144"/>
        <v>0</v>
      </c>
      <c r="AV539" s="160">
        <f t="shared" si="2144"/>
        <v>0</v>
      </c>
      <c r="AW539" s="160">
        <f t="shared" si="2144"/>
        <v>0</v>
      </c>
      <c r="AX539" s="160">
        <f t="shared" si="2144"/>
        <v>0</v>
      </c>
      <c r="AY539" s="160">
        <f t="shared" si="2144"/>
        <v>0</v>
      </c>
      <c r="AZ539" s="160">
        <f t="shared" si="2144"/>
        <v>0</v>
      </c>
      <c r="BA539" s="160">
        <f t="shared" si="2144"/>
        <v>0</v>
      </c>
      <c r="BB539" s="160">
        <f t="shared" si="2144"/>
        <v>0</v>
      </c>
      <c r="BC539" s="160">
        <f t="shared" si="2144"/>
        <v>0</v>
      </c>
      <c r="BD539" s="160">
        <f t="shared" si="2144"/>
        <v>0</v>
      </c>
      <c r="BE539" s="160">
        <f t="shared" si="2144"/>
        <v>0</v>
      </c>
      <c r="BF539" s="160">
        <f t="shared" si="2144"/>
        <v>0</v>
      </c>
      <c r="BG539" s="160">
        <f t="shared" si="2144"/>
        <v>0</v>
      </c>
      <c r="BH539" s="160">
        <f t="shared" si="2144"/>
        <v>0</v>
      </c>
      <c r="BI539" s="160">
        <f t="shared" si="2144"/>
        <v>0</v>
      </c>
      <c r="BJ539" s="160">
        <f t="shared" si="2144"/>
        <v>0</v>
      </c>
      <c r="BK539" s="160">
        <f t="shared" si="2144"/>
        <v>0</v>
      </c>
      <c r="BL539" s="160">
        <f t="shared" si="2144"/>
        <v>0</v>
      </c>
      <c r="BM539" s="160">
        <f t="shared" si="2144"/>
        <v>0</v>
      </c>
      <c r="BN539" s="160">
        <f t="shared" si="2144"/>
        <v>0</v>
      </c>
      <c r="BO539" s="160">
        <f t="shared" si="2144"/>
        <v>0</v>
      </c>
      <c r="BP539" s="160">
        <f t="shared" si="2144"/>
        <v>0</v>
      </c>
      <c r="BQ539" s="160">
        <f t="shared" si="2144"/>
        <v>0</v>
      </c>
      <c r="BR539" s="160">
        <f t="shared" si="2144"/>
        <v>0</v>
      </c>
      <c r="BS539" s="65"/>
      <c r="BT539" s="160">
        <f t="shared" si="2006"/>
        <v>0</v>
      </c>
      <c r="BU539" s="160">
        <f t="shared" si="2007"/>
        <v>0</v>
      </c>
      <c r="BV539" s="65"/>
      <c r="BW539" s="69"/>
      <c r="BX539" s="65"/>
      <c r="BY539" s="137">
        <f t="shared" si="2008"/>
        <v>1</v>
      </c>
      <c r="BZ539" s="137">
        <f>IF(BY539&gt;0,BY539+LARGE($BZ$213:BZ538,1),0)</f>
        <v>275</v>
      </c>
      <c r="CA539" s="137" t="str">
        <f t="shared" si="2009"/>
        <v>TEC I</v>
      </c>
      <c r="CB539" s="161">
        <f t="shared" si="2010"/>
        <v>0</v>
      </c>
      <c r="CC539" s="161">
        <f t="shared" si="2011"/>
        <v>0</v>
      </c>
      <c r="CD539" s="161">
        <f t="shared" si="2012"/>
        <v>0</v>
      </c>
      <c r="CE539" s="161">
        <f t="shared" si="2013"/>
        <v>0</v>
      </c>
      <c r="CF539" s="161">
        <f t="shared" si="2014"/>
        <v>0</v>
      </c>
      <c r="CG539" s="161">
        <f t="shared" si="2015"/>
        <v>0</v>
      </c>
      <c r="CH539" s="161">
        <f t="shared" si="2016"/>
        <v>0</v>
      </c>
      <c r="CI539" s="161">
        <f t="shared" si="2017"/>
        <v>0</v>
      </c>
      <c r="CJ539" s="161">
        <f t="shared" si="2018"/>
        <v>0</v>
      </c>
      <c r="CK539" s="161">
        <f t="shared" si="2019"/>
        <v>0</v>
      </c>
      <c r="CL539" s="161">
        <f t="shared" si="2020"/>
        <v>0</v>
      </c>
      <c r="CM539" s="161">
        <f t="shared" si="2021"/>
        <v>0</v>
      </c>
      <c r="CN539" s="161">
        <f t="shared" si="2022"/>
        <v>0</v>
      </c>
      <c r="CO539" s="161">
        <f t="shared" si="2023"/>
        <v>0</v>
      </c>
      <c r="CP539" s="161">
        <f t="shared" si="2024"/>
        <v>0</v>
      </c>
      <c r="CQ539" s="161">
        <f t="shared" si="2025"/>
        <v>0</v>
      </c>
      <c r="CR539" s="161">
        <f t="shared" si="2026"/>
        <v>0</v>
      </c>
      <c r="CS539" s="161">
        <f t="shared" si="2027"/>
        <v>0</v>
      </c>
      <c r="CT539" s="161">
        <f t="shared" si="2028"/>
        <v>0</v>
      </c>
      <c r="CU539" s="161">
        <f t="shared" si="2029"/>
        <v>0</v>
      </c>
      <c r="CV539" s="161">
        <f t="shared" si="2030"/>
        <v>0</v>
      </c>
      <c r="CW539" s="161">
        <f t="shared" si="2031"/>
        <v>0</v>
      </c>
      <c r="CX539" s="161">
        <f t="shared" si="2032"/>
        <v>0</v>
      </c>
      <c r="CY539" s="161">
        <f t="shared" si="2033"/>
        <v>0</v>
      </c>
      <c r="CZ539" s="161">
        <f t="shared" si="2034"/>
        <v>0</v>
      </c>
      <c r="DA539" s="161">
        <f t="shared" si="2035"/>
        <v>0</v>
      </c>
      <c r="DB539" s="161">
        <f t="shared" si="2036"/>
        <v>0</v>
      </c>
      <c r="DC539" s="161">
        <f t="shared" si="2037"/>
        <v>0</v>
      </c>
      <c r="DD539" s="161">
        <f t="shared" si="2038"/>
        <v>0</v>
      </c>
      <c r="DE539" s="161">
        <f t="shared" si="2039"/>
        <v>0</v>
      </c>
      <c r="DF539" s="161">
        <f t="shared" si="2040"/>
        <v>0</v>
      </c>
      <c r="DG539" s="161">
        <f t="shared" si="2041"/>
        <v>0</v>
      </c>
      <c r="DH539" s="161">
        <f t="shared" si="2042"/>
        <v>0</v>
      </c>
      <c r="DI539" s="161">
        <f t="shared" si="2043"/>
        <v>0</v>
      </c>
      <c r="DJ539" s="161">
        <f t="shared" si="2044"/>
        <v>0</v>
      </c>
      <c r="DK539" s="161">
        <f t="shared" si="2045"/>
        <v>0</v>
      </c>
      <c r="DL539" s="161">
        <f t="shared" si="2046"/>
        <v>0</v>
      </c>
      <c r="DM539" s="161">
        <f t="shared" si="2047"/>
        <v>0</v>
      </c>
      <c r="DN539" s="161">
        <f t="shared" si="2048"/>
        <v>0</v>
      </c>
      <c r="DO539" s="161">
        <f t="shared" si="2049"/>
        <v>0</v>
      </c>
      <c r="DP539" s="161">
        <f t="shared" si="2050"/>
        <v>0</v>
      </c>
      <c r="DQ539" s="161">
        <f t="shared" si="2051"/>
        <v>0</v>
      </c>
      <c r="DR539" s="161">
        <f t="shared" si="2052"/>
        <v>0</v>
      </c>
      <c r="DS539" s="161">
        <f t="shared" si="2053"/>
        <v>0</v>
      </c>
      <c r="DT539" s="161">
        <f t="shared" si="2054"/>
        <v>0</v>
      </c>
      <c r="DU539" s="161">
        <f t="shared" si="2055"/>
        <v>0</v>
      </c>
      <c r="DV539" s="161">
        <f t="shared" si="2056"/>
        <v>0</v>
      </c>
      <c r="DW539" s="161">
        <f t="shared" si="2057"/>
        <v>0</v>
      </c>
      <c r="DX539" s="161">
        <f t="shared" si="2058"/>
        <v>0</v>
      </c>
      <c r="DY539" s="161">
        <f t="shared" si="2059"/>
        <v>0</v>
      </c>
      <c r="DZ539" s="161">
        <f t="shared" si="2060"/>
        <v>0</v>
      </c>
      <c r="EA539" s="161">
        <f t="shared" si="2061"/>
        <v>0</v>
      </c>
      <c r="EB539" s="161">
        <f t="shared" si="2062"/>
        <v>0</v>
      </c>
      <c r="EC539" s="161">
        <f t="shared" si="2063"/>
        <v>0</v>
      </c>
      <c r="ED539" s="161">
        <f t="shared" si="2064"/>
        <v>0</v>
      </c>
      <c r="EE539" s="161">
        <f t="shared" si="2065"/>
        <v>0</v>
      </c>
      <c r="EF539" s="161">
        <f t="shared" si="2066"/>
        <v>0</v>
      </c>
      <c r="EG539" s="161">
        <f t="shared" si="2067"/>
        <v>0</v>
      </c>
      <c r="EH539" s="161">
        <f t="shared" si="2068"/>
        <v>0</v>
      </c>
      <c r="EI539" s="161">
        <f t="shared" si="2069"/>
        <v>0</v>
      </c>
      <c r="EJ539" s="65"/>
      <c r="EK539" s="161">
        <f t="shared" si="2140"/>
        <v>0</v>
      </c>
      <c r="EL539" s="161">
        <f t="shared" si="2141"/>
        <v>0</v>
      </c>
      <c r="EM539" s="161">
        <f t="shared" si="2142"/>
        <v>0</v>
      </c>
    </row>
    <row r="540" spans="1:143" ht="12" hidden="1" customHeight="1" outlineLevel="2">
      <c r="A540" s="77">
        <v>16</v>
      </c>
      <c r="B540" s="137" t="str">
        <f t="shared" si="2070"/>
        <v>AUX TEC - Equipe_01</v>
      </c>
      <c r="C540" s="65"/>
      <c r="D540" s="622"/>
      <c r="E540" s="65"/>
      <c r="F540" s="603"/>
      <c r="G540" s="77" t="str">
        <f>IF(INDEX(Tarefas!$BT$30:$FK$30,MATCH(A540,Tarefas!$BT$28:$FK$28,0))=0,"",INDEX(Tarefas!$BT$30:$FK$30,MATCH(A540,Tarefas!$BT$28:$FK$28,0)))</f>
        <v>AUX TEC</v>
      </c>
      <c r="H540" s="107" cm="1">
        <f t="array" ref="H540">IFERROR((SUMPRODUCT((Tarefas!$N$32:$N$54='Cronog. e Histog.'!$F$525)*(Tarefas!$BQ$30:$FK$30='Cronog. e Histog.'!$G540)*(Tarefas!$BQ$32:$FK$54)))/SUMIF(Tarefas!$N$32:$N$54,'Cronog. e Histog.'!$F$525,Tarefas!$K$32:$K$54),0)</f>
        <v>0</v>
      </c>
      <c r="I540" s="79">
        <f t="shared" si="2071"/>
        <v>0</v>
      </c>
      <c r="J540" s="65"/>
      <c r="K540" s="160">
        <f t="shared" si="2143"/>
        <v>0</v>
      </c>
      <c r="L540" s="160">
        <f t="shared" si="2144"/>
        <v>0</v>
      </c>
      <c r="M540" s="160">
        <f t="shared" si="2144"/>
        <v>0</v>
      </c>
      <c r="N540" s="160">
        <f t="shared" si="2144"/>
        <v>0</v>
      </c>
      <c r="O540" s="160">
        <f t="shared" si="2144"/>
        <v>0</v>
      </c>
      <c r="P540" s="160">
        <f t="shared" si="2144"/>
        <v>0</v>
      </c>
      <c r="Q540" s="160">
        <f t="shared" si="2144"/>
        <v>0</v>
      </c>
      <c r="R540" s="160">
        <f t="shared" si="2144"/>
        <v>0</v>
      </c>
      <c r="S540" s="160">
        <f t="shared" si="2144"/>
        <v>0</v>
      </c>
      <c r="T540" s="160">
        <f t="shared" si="2144"/>
        <v>0</v>
      </c>
      <c r="U540" s="160">
        <f t="shared" si="2144"/>
        <v>0</v>
      </c>
      <c r="V540" s="160">
        <f t="shared" si="2144"/>
        <v>0</v>
      </c>
      <c r="W540" s="160">
        <f t="shared" si="2144"/>
        <v>0</v>
      </c>
      <c r="X540" s="160">
        <f t="shared" si="2144"/>
        <v>0</v>
      </c>
      <c r="Y540" s="160">
        <f t="shared" si="2144"/>
        <v>0</v>
      </c>
      <c r="Z540" s="160">
        <f t="shared" si="2144"/>
        <v>0</v>
      </c>
      <c r="AA540" s="160">
        <f t="shared" si="2144"/>
        <v>0</v>
      </c>
      <c r="AB540" s="160">
        <f t="shared" si="2144"/>
        <v>0</v>
      </c>
      <c r="AC540" s="160">
        <f t="shared" si="2144"/>
        <v>0</v>
      </c>
      <c r="AD540" s="160">
        <f t="shared" si="2144"/>
        <v>0</v>
      </c>
      <c r="AE540" s="160">
        <f t="shared" si="2144"/>
        <v>0</v>
      </c>
      <c r="AF540" s="160">
        <f t="shared" si="2144"/>
        <v>0</v>
      </c>
      <c r="AG540" s="160">
        <f t="shared" si="2144"/>
        <v>0</v>
      </c>
      <c r="AH540" s="160">
        <f t="shared" si="2144"/>
        <v>0</v>
      </c>
      <c r="AI540" s="160">
        <f t="shared" si="2144"/>
        <v>0</v>
      </c>
      <c r="AJ540" s="160">
        <f t="shared" si="2144"/>
        <v>0</v>
      </c>
      <c r="AK540" s="160">
        <f t="shared" si="2144"/>
        <v>0</v>
      </c>
      <c r="AL540" s="160">
        <f t="shared" si="2144"/>
        <v>0</v>
      </c>
      <c r="AM540" s="160">
        <f t="shared" si="2144"/>
        <v>0</v>
      </c>
      <c r="AN540" s="160">
        <f t="shared" si="2144"/>
        <v>0</v>
      </c>
      <c r="AO540" s="160">
        <f t="shared" si="2144"/>
        <v>0</v>
      </c>
      <c r="AP540" s="160">
        <f t="shared" si="2144"/>
        <v>0</v>
      </c>
      <c r="AQ540" s="160">
        <f t="shared" si="2144"/>
        <v>0</v>
      </c>
      <c r="AR540" s="160">
        <f t="shared" si="2144"/>
        <v>0</v>
      </c>
      <c r="AS540" s="160">
        <f t="shared" si="2144"/>
        <v>0</v>
      </c>
      <c r="AT540" s="160">
        <f t="shared" si="2144"/>
        <v>0</v>
      </c>
      <c r="AU540" s="160">
        <f t="shared" si="2144"/>
        <v>0</v>
      </c>
      <c r="AV540" s="160">
        <f t="shared" si="2144"/>
        <v>0</v>
      </c>
      <c r="AW540" s="160">
        <f t="shared" si="2144"/>
        <v>0</v>
      </c>
      <c r="AX540" s="160">
        <f t="shared" si="2144"/>
        <v>0</v>
      </c>
      <c r="AY540" s="160">
        <f t="shared" si="2144"/>
        <v>0</v>
      </c>
      <c r="AZ540" s="160">
        <f t="shared" si="2144"/>
        <v>0</v>
      </c>
      <c r="BA540" s="160">
        <f t="shared" si="2144"/>
        <v>0</v>
      </c>
      <c r="BB540" s="160">
        <f t="shared" si="2144"/>
        <v>0</v>
      </c>
      <c r="BC540" s="160">
        <f t="shared" si="2144"/>
        <v>0</v>
      </c>
      <c r="BD540" s="160">
        <f t="shared" si="2144"/>
        <v>0</v>
      </c>
      <c r="BE540" s="160">
        <f t="shared" si="2144"/>
        <v>0</v>
      </c>
      <c r="BF540" s="160">
        <f t="shared" si="2144"/>
        <v>0</v>
      </c>
      <c r="BG540" s="160">
        <f t="shared" si="2144"/>
        <v>0</v>
      </c>
      <c r="BH540" s="160">
        <f t="shared" si="2144"/>
        <v>0</v>
      </c>
      <c r="BI540" s="160">
        <f t="shared" si="2144"/>
        <v>0</v>
      </c>
      <c r="BJ540" s="160">
        <f t="shared" si="2144"/>
        <v>0</v>
      </c>
      <c r="BK540" s="160">
        <f t="shared" si="2144"/>
        <v>0</v>
      </c>
      <c r="BL540" s="160">
        <f t="shared" si="2144"/>
        <v>0</v>
      </c>
      <c r="BM540" s="160">
        <f t="shared" si="2144"/>
        <v>0</v>
      </c>
      <c r="BN540" s="160">
        <f t="shared" si="2144"/>
        <v>0</v>
      </c>
      <c r="BO540" s="160">
        <f t="shared" si="2144"/>
        <v>0</v>
      </c>
      <c r="BP540" s="160">
        <f t="shared" si="2144"/>
        <v>0</v>
      </c>
      <c r="BQ540" s="160">
        <f t="shared" si="2144"/>
        <v>0</v>
      </c>
      <c r="BR540" s="160">
        <f t="shared" si="2144"/>
        <v>0</v>
      </c>
      <c r="BS540" s="65"/>
      <c r="BT540" s="160">
        <f t="shared" si="2006"/>
        <v>0</v>
      </c>
      <c r="BU540" s="160">
        <f t="shared" si="2007"/>
        <v>0</v>
      </c>
      <c r="BV540" s="65"/>
      <c r="BW540" s="69"/>
      <c r="BX540" s="65"/>
      <c r="BY540" s="137">
        <f t="shared" si="2008"/>
        <v>1</v>
      </c>
      <c r="BZ540" s="137">
        <f>IF(BY540&gt;0,BY540+LARGE($BZ$213:BZ539,1),0)</f>
        <v>276</v>
      </c>
      <c r="CA540" s="137" t="str">
        <f t="shared" si="2009"/>
        <v>AUX TEC</v>
      </c>
      <c r="CB540" s="161">
        <f t="shared" si="2010"/>
        <v>0</v>
      </c>
      <c r="CC540" s="161">
        <f t="shared" si="2011"/>
        <v>0</v>
      </c>
      <c r="CD540" s="161">
        <f t="shared" si="2012"/>
        <v>0</v>
      </c>
      <c r="CE540" s="161">
        <f t="shared" si="2013"/>
        <v>0</v>
      </c>
      <c r="CF540" s="161">
        <f t="shared" si="2014"/>
        <v>0</v>
      </c>
      <c r="CG540" s="161">
        <f t="shared" si="2015"/>
        <v>0</v>
      </c>
      <c r="CH540" s="161">
        <f t="shared" si="2016"/>
        <v>0</v>
      </c>
      <c r="CI540" s="161">
        <f t="shared" si="2017"/>
        <v>0</v>
      </c>
      <c r="CJ540" s="161">
        <f t="shared" si="2018"/>
        <v>0</v>
      </c>
      <c r="CK540" s="161">
        <f t="shared" si="2019"/>
        <v>0</v>
      </c>
      <c r="CL540" s="161">
        <f t="shared" si="2020"/>
        <v>0</v>
      </c>
      <c r="CM540" s="161">
        <f t="shared" si="2021"/>
        <v>0</v>
      </c>
      <c r="CN540" s="161">
        <f t="shared" si="2022"/>
        <v>0</v>
      </c>
      <c r="CO540" s="161">
        <f t="shared" si="2023"/>
        <v>0</v>
      </c>
      <c r="CP540" s="161">
        <f t="shared" si="2024"/>
        <v>0</v>
      </c>
      <c r="CQ540" s="161">
        <f t="shared" si="2025"/>
        <v>0</v>
      </c>
      <c r="CR540" s="161">
        <f t="shared" si="2026"/>
        <v>0</v>
      </c>
      <c r="CS540" s="161">
        <f t="shared" si="2027"/>
        <v>0</v>
      </c>
      <c r="CT540" s="161">
        <f t="shared" si="2028"/>
        <v>0</v>
      </c>
      <c r="CU540" s="161">
        <f t="shared" si="2029"/>
        <v>0</v>
      </c>
      <c r="CV540" s="161">
        <f t="shared" si="2030"/>
        <v>0</v>
      </c>
      <c r="CW540" s="161">
        <f t="shared" si="2031"/>
        <v>0</v>
      </c>
      <c r="CX540" s="161">
        <f t="shared" si="2032"/>
        <v>0</v>
      </c>
      <c r="CY540" s="161">
        <f t="shared" si="2033"/>
        <v>0</v>
      </c>
      <c r="CZ540" s="161">
        <f t="shared" si="2034"/>
        <v>0</v>
      </c>
      <c r="DA540" s="161">
        <f t="shared" si="2035"/>
        <v>0</v>
      </c>
      <c r="DB540" s="161">
        <f t="shared" si="2036"/>
        <v>0</v>
      </c>
      <c r="DC540" s="161">
        <f t="shared" si="2037"/>
        <v>0</v>
      </c>
      <c r="DD540" s="161">
        <f t="shared" si="2038"/>
        <v>0</v>
      </c>
      <c r="DE540" s="161">
        <f t="shared" si="2039"/>
        <v>0</v>
      </c>
      <c r="DF540" s="161">
        <f t="shared" si="2040"/>
        <v>0</v>
      </c>
      <c r="DG540" s="161">
        <f t="shared" si="2041"/>
        <v>0</v>
      </c>
      <c r="DH540" s="161">
        <f t="shared" si="2042"/>
        <v>0</v>
      </c>
      <c r="DI540" s="161">
        <f t="shared" si="2043"/>
        <v>0</v>
      </c>
      <c r="DJ540" s="161">
        <f t="shared" si="2044"/>
        <v>0</v>
      </c>
      <c r="DK540" s="161">
        <f t="shared" si="2045"/>
        <v>0</v>
      </c>
      <c r="DL540" s="161">
        <f t="shared" si="2046"/>
        <v>0</v>
      </c>
      <c r="DM540" s="161">
        <f t="shared" si="2047"/>
        <v>0</v>
      </c>
      <c r="DN540" s="161">
        <f t="shared" si="2048"/>
        <v>0</v>
      </c>
      <c r="DO540" s="161">
        <f t="shared" si="2049"/>
        <v>0</v>
      </c>
      <c r="DP540" s="161">
        <f t="shared" si="2050"/>
        <v>0</v>
      </c>
      <c r="DQ540" s="161">
        <f t="shared" si="2051"/>
        <v>0</v>
      </c>
      <c r="DR540" s="161">
        <f t="shared" si="2052"/>
        <v>0</v>
      </c>
      <c r="DS540" s="161">
        <f t="shared" si="2053"/>
        <v>0</v>
      </c>
      <c r="DT540" s="161">
        <f t="shared" si="2054"/>
        <v>0</v>
      </c>
      <c r="DU540" s="161">
        <f t="shared" si="2055"/>
        <v>0</v>
      </c>
      <c r="DV540" s="161">
        <f t="shared" si="2056"/>
        <v>0</v>
      </c>
      <c r="DW540" s="161">
        <f t="shared" si="2057"/>
        <v>0</v>
      </c>
      <c r="DX540" s="161">
        <f t="shared" si="2058"/>
        <v>0</v>
      </c>
      <c r="DY540" s="161">
        <f t="shared" si="2059"/>
        <v>0</v>
      </c>
      <c r="DZ540" s="161">
        <f t="shared" si="2060"/>
        <v>0</v>
      </c>
      <c r="EA540" s="161">
        <f t="shared" si="2061"/>
        <v>0</v>
      </c>
      <c r="EB540" s="161">
        <f t="shared" si="2062"/>
        <v>0</v>
      </c>
      <c r="EC540" s="161">
        <f t="shared" si="2063"/>
        <v>0</v>
      </c>
      <c r="ED540" s="161">
        <f t="shared" si="2064"/>
        <v>0</v>
      </c>
      <c r="EE540" s="161">
        <f t="shared" si="2065"/>
        <v>0</v>
      </c>
      <c r="EF540" s="161">
        <f t="shared" si="2066"/>
        <v>0</v>
      </c>
      <c r="EG540" s="161">
        <f t="shared" si="2067"/>
        <v>0</v>
      </c>
      <c r="EH540" s="161">
        <f t="shared" si="2068"/>
        <v>0</v>
      </c>
      <c r="EI540" s="161">
        <f t="shared" si="2069"/>
        <v>0</v>
      </c>
      <c r="EJ540" s="65"/>
      <c r="EK540" s="161">
        <f t="shared" si="2140"/>
        <v>0</v>
      </c>
      <c r="EL540" s="161">
        <f t="shared" si="2141"/>
        <v>0</v>
      </c>
      <c r="EM540" s="161">
        <f t="shared" si="2142"/>
        <v>0</v>
      </c>
    </row>
    <row r="541" spans="1:143" ht="12" hidden="1" customHeight="1" outlineLevel="2">
      <c r="A541" s="77">
        <v>17</v>
      </c>
      <c r="B541" s="137" t="str">
        <f t="shared" si="2070"/>
        <v>AUX ADM - Equipe_01</v>
      </c>
      <c r="C541" s="65"/>
      <c r="D541" s="622"/>
      <c r="E541" s="65"/>
      <c r="F541" s="603"/>
      <c r="G541" s="77" t="str">
        <f>IF(INDEX(Tarefas!$BT$30:$FK$30,MATCH(A541,Tarefas!$BT$28:$FK$28,0))=0,"",INDEX(Tarefas!$BT$30:$FK$30,MATCH(A541,Tarefas!$BT$28:$FK$28,0)))</f>
        <v>AUX ADM</v>
      </c>
      <c r="H541" s="107" cm="1">
        <f t="array" ref="H541">IFERROR((SUMPRODUCT((Tarefas!$N$32:$N$54='Cronog. e Histog.'!$F$525)*(Tarefas!$BQ$30:$FK$30='Cronog. e Histog.'!$G541)*(Tarefas!$BQ$32:$FK$54)))/SUMIF(Tarefas!$N$32:$N$54,'Cronog. e Histog.'!$F$525,Tarefas!$K$32:$K$54),0)</f>
        <v>0</v>
      </c>
      <c r="I541" s="79">
        <f t="shared" si="2071"/>
        <v>0</v>
      </c>
      <c r="J541" s="65"/>
      <c r="K541" s="160">
        <f t="shared" si="2143"/>
        <v>0</v>
      </c>
      <c r="L541" s="160">
        <f t="shared" si="2144"/>
        <v>0</v>
      </c>
      <c r="M541" s="160">
        <f t="shared" si="2144"/>
        <v>0</v>
      </c>
      <c r="N541" s="160">
        <f t="shared" si="2144"/>
        <v>0</v>
      </c>
      <c r="O541" s="160">
        <f t="shared" si="2144"/>
        <v>0</v>
      </c>
      <c r="P541" s="160">
        <f t="shared" si="2144"/>
        <v>0</v>
      </c>
      <c r="Q541" s="160">
        <f t="shared" si="2144"/>
        <v>0</v>
      </c>
      <c r="R541" s="160">
        <f t="shared" si="2144"/>
        <v>0</v>
      </c>
      <c r="S541" s="160">
        <f t="shared" si="2144"/>
        <v>0</v>
      </c>
      <c r="T541" s="160">
        <f t="shared" si="2144"/>
        <v>0</v>
      </c>
      <c r="U541" s="160">
        <f t="shared" si="2144"/>
        <v>0</v>
      </c>
      <c r="V541" s="160">
        <f t="shared" si="2144"/>
        <v>0</v>
      </c>
      <c r="W541" s="160">
        <f t="shared" si="2144"/>
        <v>0</v>
      </c>
      <c r="X541" s="160">
        <f t="shared" si="2144"/>
        <v>0</v>
      </c>
      <c r="Y541" s="160">
        <f t="shared" si="2144"/>
        <v>0</v>
      </c>
      <c r="Z541" s="160">
        <f t="shared" si="2144"/>
        <v>0</v>
      </c>
      <c r="AA541" s="160">
        <f t="shared" si="2144"/>
        <v>0</v>
      </c>
      <c r="AB541" s="160">
        <f t="shared" si="2144"/>
        <v>0</v>
      </c>
      <c r="AC541" s="160">
        <f t="shared" si="2144"/>
        <v>0</v>
      </c>
      <c r="AD541" s="160">
        <f t="shared" si="2144"/>
        <v>0</v>
      </c>
      <c r="AE541" s="160">
        <f t="shared" si="2144"/>
        <v>0</v>
      </c>
      <c r="AF541" s="160">
        <f t="shared" si="2144"/>
        <v>0</v>
      </c>
      <c r="AG541" s="160">
        <f t="shared" si="2144"/>
        <v>0</v>
      </c>
      <c r="AH541" s="160">
        <f t="shared" si="2144"/>
        <v>0</v>
      </c>
      <c r="AI541" s="160">
        <f t="shared" si="2144"/>
        <v>0</v>
      </c>
      <c r="AJ541" s="160">
        <f t="shared" si="2144"/>
        <v>0</v>
      </c>
      <c r="AK541" s="160">
        <f t="shared" si="2144"/>
        <v>0</v>
      </c>
      <c r="AL541" s="160">
        <f t="shared" si="2144"/>
        <v>0</v>
      </c>
      <c r="AM541" s="160">
        <f t="shared" si="2144"/>
        <v>0</v>
      </c>
      <c r="AN541" s="160">
        <f t="shared" si="2144"/>
        <v>0</v>
      </c>
      <c r="AO541" s="160">
        <f t="shared" si="2144"/>
        <v>0</v>
      </c>
      <c r="AP541" s="160">
        <f t="shared" si="2144"/>
        <v>0</v>
      </c>
      <c r="AQ541" s="160">
        <f t="shared" si="2144"/>
        <v>0</v>
      </c>
      <c r="AR541" s="160">
        <f t="shared" si="2144"/>
        <v>0</v>
      </c>
      <c r="AS541" s="160">
        <f t="shared" si="2144"/>
        <v>0</v>
      </c>
      <c r="AT541" s="160">
        <f t="shared" si="2144"/>
        <v>0</v>
      </c>
      <c r="AU541" s="160">
        <f t="shared" si="2144"/>
        <v>0</v>
      </c>
      <c r="AV541" s="160">
        <f t="shared" si="2144"/>
        <v>0</v>
      </c>
      <c r="AW541" s="160">
        <f t="shared" si="2144"/>
        <v>0</v>
      </c>
      <c r="AX541" s="160">
        <f t="shared" si="2144"/>
        <v>0</v>
      </c>
      <c r="AY541" s="160">
        <f t="shared" si="2144"/>
        <v>0</v>
      </c>
      <c r="AZ541" s="160">
        <f t="shared" si="2144"/>
        <v>0</v>
      </c>
      <c r="BA541" s="160">
        <f t="shared" si="2144"/>
        <v>0</v>
      </c>
      <c r="BB541" s="160">
        <f t="shared" si="2144"/>
        <v>0</v>
      </c>
      <c r="BC541" s="160">
        <f t="shared" si="2144"/>
        <v>0</v>
      </c>
      <c r="BD541" s="160">
        <f t="shared" si="2144"/>
        <v>0</v>
      </c>
      <c r="BE541" s="160">
        <f t="shared" si="2144"/>
        <v>0</v>
      </c>
      <c r="BF541" s="160">
        <f t="shared" si="2144"/>
        <v>0</v>
      </c>
      <c r="BG541" s="160">
        <f t="shared" si="2144"/>
        <v>0</v>
      </c>
      <c r="BH541" s="160">
        <f t="shared" si="2144"/>
        <v>0</v>
      </c>
      <c r="BI541" s="160">
        <f t="shared" si="2144"/>
        <v>0</v>
      </c>
      <c r="BJ541" s="160">
        <f t="shared" si="2144"/>
        <v>0</v>
      </c>
      <c r="BK541" s="160">
        <f t="shared" si="2144"/>
        <v>0</v>
      </c>
      <c r="BL541" s="160">
        <f t="shared" si="2144"/>
        <v>0</v>
      </c>
      <c r="BM541" s="160">
        <f t="shared" si="2144"/>
        <v>0</v>
      </c>
      <c r="BN541" s="160">
        <f t="shared" si="2144"/>
        <v>0</v>
      </c>
      <c r="BO541" s="160">
        <f t="shared" si="2144"/>
        <v>0</v>
      </c>
      <c r="BP541" s="160">
        <f t="shared" si="2144"/>
        <v>0</v>
      </c>
      <c r="BQ541" s="160">
        <f t="shared" si="2144"/>
        <v>0</v>
      </c>
      <c r="BR541" s="160">
        <f t="shared" si="2144"/>
        <v>0</v>
      </c>
      <c r="BS541" s="65"/>
      <c r="BT541" s="160">
        <f t="shared" si="2006"/>
        <v>0</v>
      </c>
      <c r="BU541" s="160">
        <f t="shared" si="2007"/>
        <v>0</v>
      </c>
      <c r="BV541" s="65"/>
      <c r="BW541" s="69"/>
      <c r="BX541" s="65"/>
      <c r="BY541" s="137">
        <f t="shared" si="2008"/>
        <v>1</v>
      </c>
      <c r="BZ541" s="137">
        <f>IF(BY541&gt;0,BY541+LARGE($BZ$213:BZ540,1),0)</f>
        <v>277</v>
      </c>
      <c r="CA541" s="137" t="str">
        <f t="shared" si="2009"/>
        <v>AUX ADM</v>
      </c>
      <c r="CB541" s="161">
        <f t="shared" si="2010"/>
        <v>0</v>
      </c>
      <c r="CC541" s="161">
        <f t="shared" si="2011"/>
        <v>0</v>
      </c>
      <c r="CD541" s="161">
        <f t="shared" si="2012"/>
        <v>0</v>
      </c>
      <c r="CE541" s="161">
        <f t="shared" si="2013"/>
        <v>0</v>
      </c>
      <c r="CF541" s="161">
        <f t="shared" si="2014"/>
        <v>0</v>
      </c>
      <c r="CG541" s="161">
        <f t="shared" si="2015"/>
        <v>0</v>
      </c>
      <c r="CH541" s="161">
        <f t="shared" si="2016"/>
        <v>0</v>
      </c>
      <c r="CI541" s="161">
        <f t="shared" si="2017"/>
        <v>0</v>
      </c>
      <c r="CJ541" s="161">
        <f t="shared" si="2018"/>
        <v>0</v>
      </c>
      <c r="CK541" s="161">
        <f t="shared" si="2019"/>
        <v>0</v>
      </c>
      <c r="CL541" s="161">
        <f t="shared" si="2020"/>
        <v>0</v>
      </c>
      <c r="CM541" s="161">
        <f t="shared" si="2021"/>
        <v>0</v>
      </c>
      <c r="CN541" s="161">
        <f t="shared" si="2022"/>
        <v>0</v>
      </c>
      <c r="CO541" s="161">
        <f t="shared" si="2023"/>
        <v>0</v>
      </c>
      <c r="CP541" s="161">
        <f t="shared" si="2024"/>
        <v>0</v>
      </c>
      <c r="CQ541" s="161">
        <f t="shared" si="2025"/>
        <v>0</v>
      </c>
      <c r="CR541" s="161">
        <f t="shared" si="2026"/>
        <v>0</v>
      </c>
      <c r="CS541" s="161">
        <f t="shared" si="2027"/>
        <v>0</v>
      </c>
      <c r="CT541" s="161">
        <f t="shared" si="2028"/>
        <v>0</v>
      </c>
      <c r="CU541" s="161">
        <f t="shared" si="2029"/>
        <v>0</v>
      </c>
      <c r="CV541" s="161">
        <f t="shared" si="2030"/>
        <v>0</v>
      </c>
      <c r="CW541" s="161">
        <f t="shared" si="2031"/>
        <v>0</v>
      </c>
      <c r="CX541" s="161">
        <f t="shared" si="2032"/>
        <v>0</v>
      </c>
      <c r="CY541" s="161">
        <f t="shared" si="2033"/>
        <v>0</v>
      </c>
      <c r="CZ541" s="161">
        <f t="shared" si="2034"/>
        <v>0</v>
      </c>
      <c r="DA541" s="161">
        <f t="shared" si="2035"/>
        <v>0</v>
      </c>
      <c r="DB541" s="161">
        <f t="shared" si="2036"/>
        <v>0</v>
      </c>
      <c r="DC541" s="161">
        <f t="shared" si="2037"/>
        <v>0</v>
      </c>
      <c r="DD541" s="161">
        <f t="shared" si="2038"/>
        <v>0</v>
      </c>
      <c r="DE541" s="161">
        <f t="shared" si="2039"/>
        <v>0</v>
      </c>
      <c r="DF541" s="161">
        <f t="shared" si="2040"/>
        <v>0</v>
      </c>
      <c r="DG541" s="161">
        <f t="shared" si="2041"/>
        <v>0</v>
      </c>
      <c r="DH541" s="161">
        <f t="shared" si="2042"/>
        <v>0</v>
      </c>
      <c r="DI541" s="161">
        <f t="shared" si="2043"/>
        <v>0</v>
      </c>
      <c r="DJ541" s="161">
        <f t="shared" si="2044"/>
        <v>0</v>
      </c>
      <c r="DK541" s="161">
        <f t="shared" si="2045"/>
        <v>0</v>
      </c>
      <c r="DL541" s="161">
        <f t="shared" si="2046"/>
        <v>0</v>
      </c>
      <c r="DM541" s="161">
        <f t="shared" si="2047"/>
        <v>0</v>
      </c>
      <c r="DN541" s="161">
        <f t="shared" si="2048"/>
        <v>0</v>
      </c>
      <c r="DO541" s="161">
        <f t="shared" si="2049"/>
        <v>0</v>
      </c>
      <c r="DP541" s="161">
        <f t="shared" si="2050"/>
        <v>0</v>
      </c>
      <c r="DQ541" s="161">
        <f t="shared" si="2051"/>
        <v>0</v>
      </c>
      <c r="DR541" s="161">
        <f t="shared" si="2052"/>
        <v>0</v>
      </c>
      <c r="DS541" s="161">
        <f t="shared" si="2053"/>
        <v>0</v>
      </c>
      <c r="DT541" s="161">
        <f t="shared" si="2054"/>
        <v>0</v>
      </c>
      <c r="DU541" s="161">
        <f t="shared" si="2055"/>
        <v>0</v>
      </c>
      <c r="DV541" s="161">
        <f t="shared" si="2056"/>
        <v>0</v>
      </c>
      <c r="DW541" s="161">
        <f t="shared" si="2057"/>
        <v>0</v>
      </c>
      <c r="DX541" s="161">
        <f t="shared" si="2058"/>
        <v>0</v>
      </c>
      <c r="DY541" s="161">
        <f t="shared" si="2059"/>
        <v>0</v>
      </c>
      <c r="DZ541" s="161">
        <f t="shared" si="2060"/>
        <v>0</v>
      </c>
      <c r="EA541" s="161">
        <f t="shared" si="2061"/>
        <v>0</v>
      </c>
      <c r="EB541" s="161">
        <f t="shared" si="2062"/>
        <v>0</v>
      </c>
      <c r="EC541" s="161">
        <f t="shared" si="2063"/>
        <v>0</v>
      </c>
      <c r="ED541" s="161">
        <f t="shared" si="2064"/>
        <v>0</v>
      </c>
      <c r="EE541" s="161">
        <f t="shared" si="2065"/>
        <v>0</v>
      </c>
      <c r="EF541" s="161">
        <f t="shared" si="2066"/>
        <v>0</v>
      </c>
      <c r="EG541" s="161">
        <f t="shared" si="2067"/>
        <v>0</v>
      </c>
      <c r="EH541" s="161">
        <f t="shared" si="2068"/>
        <v>0</v>
      </c>
      <c r="EI541" s="161">
        <f t="shared" si="2069"/>
        <v>0</v>
      </c>
      <c r="EJ541" s="65"/>
      <c r="EK541" s="161">
        <f t="shared" si="2140"/>
        <v>0</v>
      </c>
      <c r="EL541" s="161">
        <f t="shared" si="2141"/>
        <v>0</v>
      </c>
      <c r="EM541" s="161">
        <f t="shared" si="2142"/>
        <v>0</v>
      </c>
    </row>
    <row r="542" spans="1:143" ht="12" hidden="1" customHeight="1" outlineLevel="2">
      <c r="A542" s="77">
        <v>18</v>
      </c>
      <c r="B542" s="137" t="str">
        <f t="shared" si="2070"/>
        <v>EST - Equipe_01</v>
      </c>
      <c r="C542" s="65"/>
      <c r="D542" s="622"/>
      <c r="E542" s="65"/>
      <c r="F542" s="603"/>
      <c r="G542" s="77" t="str">
        <f>IF(INDEX(Tarefas!$BT$30:$FK$30,MATCH(A542,Tarefas!$BT$28:$FK$28,0))=0,"",INDEX(Tarefas!$BT$30:$FK$30,MATCH(A542,Tarefas!$BT$28:$FK$28,0)))</f>
        <v>EST</v>
      </c>
      <c r="H542" s="107" cm="1">
        <f t="array" ref="H542">IFERROR((SUMPRODUCT((Tarefas!$N$32:$N$54='Cronog. e Histog.'!$F$525)*(Tarefas!$BQ$30:$FK$30='Cronog. e Histog.'!$G542)*(Tarefas!$BQ$32:$FK$54)))/SUMIF(Tarefas!$N$32:$N$54,'Cronog. e Histog.'!$F$525,Tarefas!$K$32:$K$54),0)</f>
        <v>0</v>
      </c>
      <c r="I542" s="79">
        <f t="shared" si="2071"/>
        <v>0</v>
      </c>
      <c r="J542" s="65"/>
      <c r="K542" s="160">
        <f t="shared" si="2143"/>
        <v>0</v>
      </c>
      <c r="L542" s="160">
        <f t="shared" si="2144"/>
        <v>0</v>
      </c>
      <c r="M542" s="160">
        <f t="shared" si="2144"/>
        <v>0</v>
      </c>
      <c r="N542" s="160">
        <f t="shared" si="2144"/>
        <v>0</v>
      </c>
      <c r="O542" s="160">
        <f t="shared" si="2144"/>
        <v>0</v>
      </c>
      <c r="P542" s="160">
        <f t="shared" si="2144"/>
        <v>0</v>
      </c>
      <c r="Q542" s="160">
        <f t="shared" si="2144"/>
        <v>0</v>
      </c>
      <c r="R542" s="160">
        <f t="shared" si="2144"/>
        <v>0</v>
      </c>
      <c r="S542" s="160">
        <f t="shared" si="2144"/>
        <v>0</v>
      </c>
      <c r="T542" s="160">
        <f t="shared" si="2144"/>
        <v>0</v>
      </c>
      <c r="U542" s="160">
        <f t="shared" si="2144"/>
        <v>0</v>
      </c>
      <c r="V542" s="160">
        <f t="shared" si="2144"/>
        <v>0</v>
      </c>
      <c r="W542" s="160">
        <f t="shared" si="2144"/>
        <v>0</v>
      </c>
      <c r="X542" s="160">
        <f t="shared" si="2144"/>
        <v>0</v>
      </c>
      <c r="Y542" s="160">
        <f t="shared" si="2144"/>
        <v>0</v>
      </c>
      <c r="Z542" s="160">
        <f t="shared" si="2144"/>
        <v>0</v>
      </c>
      <c r="AA542" s="160">
        <f t="shared" si="2144"/>
        <v>0</v>
      </c>
      <c r="AB542" s="160">
        <f t="shared" si="2144"/>
        <v>0</v>
      </c>
      <c r="AC542" s="160">
        <f t="shared" si="2144"/>
        <v>0</v>
      </c>
      <c r="AD542" s="160">
        <f t="shared" si="2144"/>
        <v>0</v>
      </c>
      <c r="AE542" s="160">
        <f t="shared" si="2144"/>
        <v>0</v>
      </c>
      <c r="AF542" s="160">
        <f t="shared" si="2144"/>
        <v>0</v>
      </c>
      <c r="AG542" s="160">
        <f t="shared" si="2144"/>
        <v>0</v>
      </c>
      <c r="AH542" s="160">
        <f t="shared" si="2144"/>
        <v>0</v>
      </c>
      <c r="AI542" s="160">
        <f t="shared" si="2144"/>
        <v>0</v>
      </c>
      <c r="AJ542" s="160">
        <f t="shared" si="2144"/>
        <v>0</v>
      </c>
      <c r="AK542" s="160">
        <f t="shared" si="2144"/>
        <v>0</v>
      </c>
      <c r="AL542" s="160">
        <f t="shared" si="2144"/>
        <v>0</v>
      </c>
      <c r="AM542" s="160">
        <f t="shared" si="2144"/>
        <v>0</v>
      </c>
      <c r="AN542" s="160">
        <f t="shared" si="2144"/>
        <v>0</v>
      </c>
      <c r="AO542" s="160">
        <f t="shared" si="2144"/>
        <v>0</v>
      </c>
      <c r="AP542" s="160">
        <f t="shared" si="2144"/>
        <v>0</v>
      </c>
      <c r="AQ542" s="160">
        <f t="shared" si="2144"/>
        <v>0</v>
      </c>
      <c r="AR542" s="160">
        <f t="shared" si="2144"/>
        <v>0</v>
      </c>
      <c r="AS542" s="160">
        <f t="shared" si="2144"/>
        <v>0</v>
      </c>
      <c r="AT542" s="160">
        <f t="shared" si="2144"/>
        <v>0</v>
      </c>
      <c r="AU542" s="160">
        <f t="shared" si="2144"/>
        <v>0</v>
      </c>
      <c r="AV542" s="160">
        <f t="shared" si="2144"/>
        <v>0</v>
      </c>
      <c r="AW542" s="160">
        <f t="shared" si="2144"/>
        <v>0</v>
      </c>
      <c r="AX542" s="160">
        <f t="shared" si="2144"/>
        <v>0</v>
      </c>
      <c r="AY542" s="160">
        <f t="shared" si="2144"/>
        <v>0</v>
      </c>
      <c r="AZ542" s="160">
        <f t="shared" si="2144"/>
        <v>0</v>
      </c>
      <c r="BA542" s="160">
        <f t="shared" si="2144"/>
        <v>0</v>
      </c>
      <c r="BB542" s="160">
        <f t="shared" si="2144"/>
        <v>0</v>
      </c>
      <c r="BC542" s="160">
        <f t="shared" si="2144"/>
        <v>0</v>
      </c>
      <c r="BD542" s="160">
        <f t="shared" si="2144"/>
        <v>0</v>
      </c>
      <c r="BE542" s="160">
        <f t="shared" si="2144"/>
        <v>0</v>
      </c>
      <c r="BF542" s="160">
        <f t="shared" si="2144"/>
        <v>0</v>
      </c>
      <c r="BG542" s="160">
        <f t="shared" si="2144"/>
        <v>0</v>
      </c>
      <c r="BH542" s="160">
        <f t="shared" si="2144"/>
        <v>0</v>
      </c>
      <c r="BI542" s="160">
        <f t="shared" si="2144"/>
        <v>0</v>
      </c>
      <c r="BJ542" s="160">
        <f t="shared" si="2144"/>
        <v>0</v>
      </c>
      <c r="BK542" s="160">
        <f t="shared" si="2144"/>
        <v>0</v>
      </c>
      <c r="BL542" s="160">
        <f t="shared" si="2144"/>
        <v>0</v>
      </c>
      <c r="BM542" s="160">
        <f t="shared" si="2144"/>
        <v>0</v>
      </c>
      <c r="BN542" s="160">
        <f t="shared" si="2144"/>
        <v>0</v>
      </c>
      <c r="BO542" s="160">
        <f t="shared" si="2144"/>
        <v>0</v>
      </c>
      <c r="BP542" s="160">
        <f t="shared" si="2144"/>
        <v>0</v>
      </c>
      <c r="BQ542" s="160">
        <f t="shared" si="2144"/>
        <v>0</v>
      </c>
      <c r="BR542" s="160">
        <f t="shared" si="2144"/>
        <v>0</v>
      </c>
      <c r="BS542" s="65"/>
      <c r="BT542" s="160">
        <f t="shared" si="2006"/>
        <v>0</v>
      </c>
      <c r="BU542" s="160">
        <f t="shared" si="2007"/>
        <v>0</v>
      </c>
      <c r="BV542" s="65"/>
      <c r="BW542" s="69"/>
      <c r="BX542" s="65"/>
      <c r="BY542" s="137">
        <f t="shared" si="2008"/>
        <v>1</v>
      </c>
      <c r="BZ542" s="137">
        <f>IF(BY542&gt;0,BY542+LARGE($BZ$213:BZ541,1),0)</f>
        <v>278</v>
      </c>
      <c r="CA542" s="137" t="str">
        <f t="shared" si="2009"/>
        <v>EST</v>
      </c>
      <c r="CB542" s="161">
        <f t="shared" si="2010"/>
        <v>0</v>
      </c>
      <c r="CC542" s="161">
        <f t="shared" si="2011"/>
        <v>0</v>
      </c>
      <c r="CD542" s="161">
        <f t="shared" si="2012"/>
        <v>0</v>
      </c>
      <c r="CE542" s="161">
        <f t="shared" si="2013"/>
        <v>0</v>
      </c>
      <c r="CF542" s="161">
        <f t="shared" si="2014"/>
        <v>0</v>
      </c>
      <c r="CG542" s="161">
        <f t="shared" si="2015"/>
        <v>0</v>
      </c>
      <c r="CH542" s="161">
        <f t="shared" si="2016"/>
        <v>0</v>
      </c>
      <c r="CI542" s="161">
        <f t="shared" si="2017"/>
        <v>0</v>
      </c>
      <c r="CJ542" s="161">
        <f t="shared" si="2018"/>
        <v>0</v>
      </c>
      <c r="CK542" s="161">
        <f t="shared" si="2019"/>
        <v>0</v>
      </c>
      <c r="CL542" s="161">
        <f t="shared" si="2020"/>
        <v>0</v>
      </c>
      <c r="CM542" s="161">
        <f t="shared" si="2021"/>
        <v>0</v>
      </c>
      <c r="CN542" s="161">
        <f t="shared" si="2022"/>
        <v>0</v>
      </c>
      <c r="CO542" s="161">
        <f t="shared" si="2023"/>
        <v>0</v>
      </c>
      <c r="CP542" s="161">
        <f t="shared" si="2024"/>
        <v>0</v>
      </c>
      <c r="CQ542" s="161">
        <f t="shared" si="2025"/>
        <v>0</v>
      </c>
      <c r="CR542" s="161">
        <f t="shared" si="2026"/>
        <v>0</v>
      </c>
      <c r="CS542" s="161">
        <f t="shared" si="2027"/>
        <v>0</v>
      </c>
      <c r="CT542" s="161">
        <f t="shared" si="2028"/>
        <v>0</v>
      </c>
      <c r="CU542" s="161">
        <f t="shared" si="2029"/>
        <v>0</v>
      </c>
      <c r="CV542" s="161">
        <f t="shared" si="2030"/>
        <v>0</v>
      </c>
      <c r="CW542" s="161">
        <f t="shared" si="2031"/>
        <v>0</v>
      </c>
      <c r="CX542" s="161">
        <f t="shared" si="2032"/>
        <v>0</v>
      </c>
      <c r="CY542" s="161">
        <f t="shared" si="2033"/>
        <v>0</v>
      </c>
      <c r="CZ542" s="161">
        <f t="shared" si="2034"/>
        <v>0</v>
      </c>
      <c r="DA542" s="161">
        <f t="shared" si="2035"/>
        <v>0</v>
      </c>
      <c r="DB542" s="161">
        <f t="shared" si="2036"/>
        <v>0</v>
      </c>
      <c r="DC542" s="161">
        <f t="shared" si="2037"/>
        <v>0</v>
      </c>
      <c r="DD542" s="161">
        <f t="shared" si="2038"/>
        <v>0</v>
      </c>
      <c r="DE542" s="161">
        <f t="shared" si="2039"/>
        <v>0</v>
      </c>
      <c r="DF542" s="161">
        <f t="shared" si="2040"/>
        <v>0</v>
      </c>
      <c r="DG542" s="161">
        <f t="shared" si="2041"/>
        <v>0</v>
      </c>
      <c r="DH542" s="161">
        <f t="shared" si="2042"/>
        <v>0</v>
      </c>
      <c r="DI542" s="161">
        <f t="shared" si="2043"/>
        <v>0</v>
      </c>
      <c r="DJ542" s="161">
        <f t="shared" si="2044"/>
        <v>0</v>
      </c>
      <c r="DK542" s="161">
        <f t="shared" si="2045"/>
        <v>0</v>
      </c>
      <c r="DL542" s="161">
        <f t="shared" si="2046"/>
        <v>0</v>
      </c>
      <c r="DM542" s="161">
        <f t="shared" si="2047"/>
        <v>0</v>
      </c>
      <c r="DN542" s="161">
        <f t="shared" si="2048"/>
        <v>0</v>
      </c>
      <c r="DO542" s="161">
        <f t="shared" si="2049"/>
        <v>0</v>
      </c>
      <c r="DP542" s="161">
        <f t="shared" si="2050"/>
        <v>0</v>
      </c>
      <c r="DQ542" s="161">
        <f t="shared" si="2051"/>
        <v>0</v>
      </c>
      <c r="DR542" s="161">
        <f t="shared" si="2052"/>
        <v>0</v>
      </c>
      <c r="DS542" s="161">
        <f t="shared" si="2053"/>
        <v>0</v>
      </c>
      <c r="DT542" s="161">
        <f t="shared" si="2054"/>
        <v>0</v>
      </c>
      <c r="DU542" s="161">
        <f t="shared" si="2055"/>
        <v>0</v>
      </c>
      <c r="DV542" s="161">
        <f t="shared" si="2056"/>
        <v>0</v>
      </c>
      <c r="DW542" s="161">
        <f t="shared" si="2057"/>
        <v>0</v>
      </c>
      <c r="DX542" s="161">
        <f t="shared" si="2058"/>
        <v>0</v>
      </c>
      <c r="DY542" s="161">
        <f t="shared" si="2059"/>
        <v>0</v>
      </c>
      <c r="DZ542" s="161">
        <f t="shared" si="2060"/>
        <v>0</v>
      </c>
      <c r="EA542" s="161">
        <f t="shared" si="2061"/>
        <v>0</v>
      </c>
      <c r="EB542" s="161">
        <f t="shared" si="2062"/>
        <v>0</v>
      </c>
      <c r="EC542" s="161">
        <f t="shared" si="2063"/>
        <v>0</v>
      </c>
      <c r="ED542" s="161">
        <f t="shared" si="2064"/>
        <v>0</v>
      </c>
      <c r="EE542" s="161">
        <f t="shared" si="2065"/>
        <v>0</v>
      </c>
      <c r="EF542" s="161">
        <f t="shared" si="2066"/>
        <v>0</v>
      </c>
      <c r="EG542" s="161">
        <f t="shared" si="2067"/>
        <v>0</v>
      </c>
      <c r="EH542" s="161">
        <f t="shared" si="2068"/>
        <v>0</v>
      </c>
      <c r="EI542" s="161">
        <f t="shared" si="2069"/>
        <v>0</v>
      </c>
      <c r="EJ542" s="65"/>
      <c r="EK542" s="161">
        <f t="shared" si="2140"/>
        <v>0</v>
      </c>
      <c r="EL542" s="161">
        <f t="shared" si="2141"/>
        <v>0</v>
      </c>
      <c r="EM542" s="161">
        <f t="shared" si="2142"/>
        <v>0</v>
      </c>
    </row>
    <row r="543" spans="1:143" ht="12" hidden="1" customHeight="1" outlineLevel="2">
      <c r="A543" s="77">
        <v>19</v>
      </c>
      <c r="B543" s="137" t="str">
        <f t="shared" si="2070"/>
        <v>EST_II - Equipe_01</v>
      </c>
      <c r="C543" s="65"/>
      <c r="D543" s="622"/>
      <c r="E543" s="65"/>
      <c r="F543" s="603"/>
      <c r="G543" s="77" t="str">
        <f>IF(INDEX(Tarefas!$BT$30:$FK$30,MATCH(A543,Tarefas!$BT$28:$FK$28,0))=0,"",INDEX(Tarefas!$BT$30:$FK$30,MATCH(A543,Tarefas!$BT$28:$FK$28,0)))</f>
        <v>EST_II</v>
      </c>
      <c r="H543" s="107" cm="1">
        <f t="array" ref="H543">IFERROR((SUMPRODUCT((Tarefas!$N$32:$N$54='Cronog. e Histog.'!$F$525)*(Tarefas!$BQ$30:$FK$30='Cronog. e Histog.'!$G543)*(Tarefas!$BQ$32:$FK$54)))/SUMIF(Tarefas!$N$32:$N$54,'Cronog. e Histog.'!$F$525,Tarefas!$K$32:$K$54),0)</f>
        <v>0</v>
      </c>
      <c r="I543" s="79">
        <f t="shared" si="2071"/>
        <v>0</v>
      </c>
      <c r="J543" s="65"/>
      <c r="K543" s="160">
        <f t="shared" si="2143"/>
        <v>0</v>
      </c>
      <c r="L543" s="160">
        <f t="shared" si="2144"/>
        <v>0</v>
      </c>
      <c r="M543" s="160">
        <f t="shared" si="2144"/>
        <v>0</v>
      </c>
      <c r="N543" s="160">
        <f t="shared" si="2144"/>
        <v>0</v>
      </c>
      <c r="O543" s="160">
        <f t="shared" si="2144"/>
        <v>0</v>
      </c>
      <c r="P543" s="160">
        <f t="shared" si="2144"/>
        <v>0</v>
      </c>
      <c r="Q543" s="160">
        <f t="shared" si="2144"/>
        <v>0</v>
      </c>
      <c r="R543" s="160">
        <f t="shared" si="2144"/>
        <v>0</v>
      </c>
      <c r="S543" s="160">
        <f t="shared" si="2144"/>
        <v>0</v>
      </c>
      <c r="T543" s="160">
        <f t="shared" si="2144"/>
        <v>0</v>
      </c>
      <c r="U543" s="160">
        <f t="shared" si="2144"/>
        <v>0</v>
      </c>
      <c r="V543" s="160">
        <f t="shared" si="2144"/>
        <v>0</v>
      </c>
      <c r="W543" s="160">
        <f t="shared" si="2144"/>
        <v>0</v>
      </c>
      <c r="X543" s="160">
        <f t="shared" si="2144"/>
        <v>0</v>
      </c>
      <c r="Y543" s="160">
        <f t="shared" si="2144"/>
        <v>0</v>
      </c>
      <c r="Z543" s="160">
        <f t="shared" si="2144"/>
        <v>0</v>
      </c>
      <c r="AA543" s="160">
        <f t="shared" si="2144"/>
        <v>0</v>
      </c>
      <c r="AB543" s="160">
        <f t="shared" si="2144"/>
        <v>0</v>
      </c>
      <c r="AC543" s="160">
        <f t="shared" si="2144"/>
        <v>0</v>
      </c>
      <c r="AD543" s="160">
        <f t="shared" si="2144"/>
        <v>0</v>
      </c>
      <c r="AE543" s="160">
        <f t="shared" si="2144"/>
        <v>0</v>
      </c>
      <c r="AF543" s="160">
        <f t="shared" si="2144"/>
        <v>0</v>
      </c>
      <c r="AG543" s="160">
        <f t="shared" si="2144"/>
        <v>0</v>
      </c>
      <c r="AH543" s="160">
        <f t="shared" si="2144"/>
        <v>0</v>
      </c>
      <c r="AI543" s="160">
        <f t="shared" si="2144"/>
        <v>0</v>
      </c>
      <c r="AJ543" s="160">
        <f t="shared" si="2144"/>
        <v>0</v>
      </c>
      <c r="AK543" s="160">
        <f t="shared" si="2144"/>
        <v>0</v>
      </c>
      <c r="AL543" s="160">
        <f t="shared" si="2144"/>
        <v>0</v>
      </c>
      <c r="AM543" s="160">
        <f t="shared" si="2144"/>
        <v>0</v>
      </c>
      <c r="AN543" s="160">
        <f t="shared" si="2144"/>
        <v>0</v>
      </c>
      <c r="AO543" s="160">
        <f t="shared" si="2144"/>
        <v>0</v>
      </c>
      <c r="AP543" s="160">
        <f t="shared" si="2144"/>
        <v>0</v>
      </c>
      <c r="AQ543" s="160">
        <f t="shared" si="2144"/>
        <v>0</v>
      </c>
      <c r="AR543" s="160">
        <f t="shared" si="2144"/>
        <v>0</v>
      </c>
      <c r="AS543" s="160">
        <f t="shared" si="2144"/>
        <v>0</v>
      </c>
      <c r="AT543" s="160">
        <f t="shared" si="2144"/>
        <v>0</v>
      </c>
      <c r="AU543" s="160">
        <f t="shared" si="2144"/>
        <v>0</v>
      </c>
      <c r="AV543" s="160">
        <f t="shared" si="2144"/>
        <v>0</v>
      </c>
      <c r="AW543" s="160">
        <f t="shared" si="2144"/>
        <v>0</v>
      </c>
      <c r="AX543" s="160">
        <f t="shared" si="2144"/>
        <v>0</v>
      </c>
      <c r="AY543" s="160">
        <f t="shared" si="2144"/>
        <v>0</v>
      </c>
      <c r="AZ543" s="160">
        <f t="shared" si="2144"/>
        <v>0</v>
      </c>
      <c r="BA543" s="160">
        <f t="shared" si="2144"/>
        <v>0</v>
      </c>
      <c r="BB543" s="160">
        <f t="shared" si="2144"/>
        <v>0</v>
      </c>
      <c r="BC543" s="160">
        <f t="shared" si="2144"/>
        <v>0</v>
      </c>
      <c r="BD543" s="160">
        <f t="shared" si="2144"/>
        <v>0</v>
      </c>
      <c r="BE543" s="160">
        <f t="shared" si="2144"/>
        <v>0</v>
      </c>
      <c r="BF543" s="160">
        <f t="shared" si="2144"/>
        <v>0</v>
      </c>
      <c r="BG543" s="160">
        <f t="shared" si="2144"/>
        <v>0</v>
      </c>
      <c r="BH543" s="160">
        <f t="shared" si="2144"/>
        <v>0</v>
      </c>
      <c r="BI543" s="160">
        <f t="shared" si="2144"/>
        <v>0</v>
      </c>
      <c r="BJ543" s="160">
        <f t="shared" si="2144"/>
        <v>0</v>
      </c>
      <c r="BK543" s="160">
        <f t="shared" si="2144"/>
        <v>0</v>
      </c>
      <c r="BL543" s="160">
        <f t="shared" si="2144"/>
        <v>0</v>
      </c>
      <c r="BM543" s="160">
        <f t="shared" ref="L543:BR544" si="2145">ROUND($I543*BM$196,2)</f>
        <v>0</v>
      </c>
      <c r="BN543" s="160">
        <f t="shared" si="2145"/>
        <v>0</v>
      </c>
      <c r="BO543" s="160">
        <f t="shared" si="2145"/>
        <v>0</v>
      </c>
      <c r="BP543" s="160">
        <f t="shared" si="2145"/>
        <v>0</v>
      </c>
      <c r="BQ543" s="160">
        <f t="shared" si="2145"/>
        <v>0</v>
      </c>
      <c r="BR543" s="160">
        <f t="shared" si="2145"/>
        <v>0</v>
      </c>
      <c r="BS543" s="65"/>
      <c r="BT543" s="160">
        <f t="shared" si="2006"/>
        <v>0</v>
      </c>
      <c r="BU543" s="160">
        <f t="shared" si="2007"/>
        <v>0</v>
      </c>
      <c r="BV543" s="65"/>
      <c r="BW543" s="69"/>
      <c r="BX543" s="65"/>
      <c r="BY543" s="137">
        <f t="shared" si="2008"/>
        <v>1</v>
      </c>
      <c r="BZ543" s="137">
        <f>IF(BY543&gt;0,BY543+LARGE($BZ$213:BZ542,1),0)</f>
        <v>279</v>
      </c>
      <c r="CA543" s="137" t="str">
        <f t="shared" si="2009"/>
        <v>EST_II</v>
      </c>
      <c r="CB543" s="161">
        <f t="shared" si="2010"/>
        <v>0</v>
      </c>
      <c r="CC543" s="161">
        <f t="shared" si="2011"/>
        <v>0</v>
      </c>
      <c r="CD543" s="161">
        <f t="shared" si="2012"/>
        <v>0</v>
      </c>
      <c r="CE543" s="161">
        <f t="shared" si="2013"/>
        <v>0</v>
      </c>
      <c r="CF543" s="161">
        <f t="shared" si="2014"/>
        <v>0</v>
      </c>
      <c r="CG543" s="161">
        <f t="shared" si="2015"/>
        <v>0</v>
      </c>
      <c r="CH543" s="161">
        <f t="shared" si="2016"/>
        <v>0</v>
      </c>
      <c r="CI543" s="161">
        <f t="shared" si="2017"/>
        <v>0</v>
      </c>
      <c r="CJ543" s="161">
        <f t="shared" si="2018"/>
        <v>0</v>
      </c>
      <c r="CK543" s="161">
        <f t="shared" si="2019"/>
        <v>0</v>
      </c>
      <c r="CL543" s="161">
        <f t="shared" si="2020"/>
        <v>0</v>
      </c>
      <c r="CM543" s="161">
        <f t="shared" si="2021"/>
        <v>0</v>
      </c>
      <c r="CN543" s="161">
        <f t="shared" si="2022"/>
        <v>0</v>
      </c>
      <c r="CO543" s="161">
        <f t="shared" si="2023"/>
        <v>0</v>
      </c>
      <c r="CP543" s="161">
        <f t="shared" si="2024"/>
        <v>0</v>
      </c>
      <c r="CQ543" s="161">
        <f t="shared" si="2025"/>
        <v>0</v>
      </c>
      <c r="CR543" s="161">
        <f t="shared" si="2026"/>
        <v>0</v>
      </c>
      <c r="CS543" s="161">
        <f t="shared" si="2027"/>
        <v>0</v>
      </c>
      <c r="CT543" s="161">
        <f t="shared" si="2028"/>
        <v>0</v>
      </c>
      <c r="CU543" s="161">
        <f t="shared" si="2029"/>
        <v>0</v>
      </c>
      <c r="CV543" s="161">
        <f t="shared" si="2030"/>
        <v>0</v>
      </c>
      <c r="CW543" s="161">
        <f t="shared" si="2031"/>
        <v>0</v>
      </c>
      <c r="CX543" s="161">
        <f t="shared" si="2032"/>
        <v>0</v>
      </c>
      <c r="CY543" s="161">
        <f t="shared" si="2033"/>
        <v>0</v>
      </c>
      <c r="CZ543" s="161">
        <f t="shared" si="2034"/>
        <v>0</v>
      </c>
      <c r="DA543" s="161">
        <f t="shared" si="2035"/>
        <v>0</v>
      </c>
      <c r="DB543" s="161">
        <f t="shared" si="2036"/>
        <v>0</v>
      </c>
      <c r="DC543" s="161">
        <f t="shared" si="2037"/>
        <v>0</v>
      </c>
      <c r="DD543" s="161">
        <f t="shared" si="2038"/>
        <v>0</v>
      </c>
      <c r="DE543" s="161">
        <f t="shared" si="2039"/>
        <v>0</v>
      </c>
      <c r="DF543" s="161">
        <f t="shared" si="2040"/>
        <v>0</v>
      </c>
      <c r="DG543" s="161">
        <f t="shared" si="2041"/>
        <v>0</v>
      </c>
      <c r="DH543" s="161">
        <f t="shared" si="2042"/>
        <v>0</v>
      </c>
      <c r="DI543" s="161">
        <f t="shared" si="2043"/>
        <v>0</v>
      </c>
      <c r="DJ543" s="161">
        <f t="shared" si="2044"/>
        <v>0</v>
      </c>
      <c r="DK543" s="161">
        <f t="shared" si="2045"/>
        <v>0</v>
      </c>
      <c r="DL543" s="161">
        <f t="shared" si="2046"/>
        <v>0</v>
      </c>
      <c r="DM543" s="161">
        <f t="shared" si="2047"/>
        <v>0</v>
      </c>
      <c r="DN543" s="161">
        <f t="shared" si="2048"/>
        <v>0</v>
      </c>
      <c r="DO543" s="161">
        <f t="shared" si="2049"/>
        <v>0</v>
      </c>
      <c r="DP543" s="161">
        <f t="shared" si="2050"/>
        <v>0</v>
      </c>
      <c r="DQ543" s="161">
        <f t="shared" si="2051"/>
        <v>0</v>
      </c>
      <c r="DR543" s="161">
        <f t="shared" si="2052"/>
        <v>0</v>
      </c>
      <c r="DS543" s="161">
        <f t="shared" si="2053"/>
        <v>0</v>
      </c>
      <c r="DT543" s="161">
        <f t="shared" si="2054"/>
        <v>0</v>
      </c>
      <c r="DU543" s="161">
        <f t="shared" si="2055"/>
        <v>0</v>
      </c>
      <c r="DV543" s="161">
        <f t="shared" si="2056"/>
        <v>0</v>
      </c>
      <c r="DW543" s="161">
        <f t="shared" si="2057"/>
        <v>0</v>
      </c>
      <c r="DX543" s="161">
        <f t="shared" si="2058"/>
        <v>0</v>
      </c>
      <c r="DY543" s="161">
        <f t="shared" si="2059"/>
        <v>0</v>
      </c>
      <c r="DZ543" s="161">
        <f t="shared" si="2060"/>
        <v>0</v>
      </c>
      <c r="EA543" s="161">
        <f t="shared" si="2061"/>
        <v>0</v>
      </c>
      <c r="EB543" s="161">
        <f t="shared" si="2062"/>
        <v>0</v>
      </c>
      <c r="EC543" s="161">
        <f t="shared" si="2063"/>
        <v>0</v>
      </c>
      <c r="ED543" s="161">
        <f t="shared" si="2064"/>
        <v>0</v>
      </c>
      <c r="EE543" s="161">
        <f t="shared" si="2065"/>
        <v>0</v>
      </c>
      <c r="EF543" s="161">
        <f t="shared" si="2066"/>
        <v>0</v>
      </c>
      <c r="EG543" s="161">
        <f t="shared" si="2067"/>
        <v>0</v>
      </c>
      <c r="EH543" s="161">
        <f t="shared" si="2068"/>
        <v>0</v>
      </c>
      <c r="EI543" s="161">
        <f t="shared" si="2069"/>
        <v>0</v>
      </c>
      <c r="EJ543" s="65"/>
      <c r="EK543" s="161">
        <f t="shared" si="2140"/>
        <v>0</v>
      </c>
      <c r="EL543" s="161">
        <f t="shared" si="2141"/>
        <v>0</v>
      </c>
      <c r="EM543" s="161">
        <f t="shared" si="2142"/>
        <v>0</v>
      </c>
    </row>
    <row r="544" spans="1:143" ht="12" hidden="1" customHeight="1" outlineLevel="2">
      <c r="A544" s="77">
        <v>20</v>
      </c>
      <c r="B544" s="137" t="str">
        <f t="shared" si="2070"/>
        <v>EST_III - Equipe_01</v>
      </c>
      <c r="C544" s="65"/>
      <c r="D544" s="623"/>
      <c r="E544" s="65"/>
      <c r="F544" s="603"/>
      <c r="G544" s="77" t="str">
        <f>IF(INDEX(Tarefas!$BT$30:$FK$30,MATCH(A544,Tarefas!$BT$28:$FK$28,0))=0,"",INDEX(Tarefas!$BT$30:$FK$30,MATCH(A544,Tarefas!$BT$28:$FK$28,0)))</f>
        <v>EST_III</v>
      </c>
      <c r="H544" s="107" cm="1">
        <f t="array" ref="H544">IFERROR((SUMPRODUCT((Tarefas!$N$32:$N$54='Cronog. e Histog.'!$F$525)*(Tarefas!$BQ$30:$FK$30='Cronog. e Histog.'!$G544)*(Tarefas!$BQ$32:$FK$54)))/SUMIF(Tarefas!$N$32:$N$54,'Cronog. e Histog.'!$F$525,Tarefas!$K$32:$K$54),0)</f>
        <v>0</v>
      </c>
      <c r="I544" s="79">
        <f t="shared" si="2071"/>
        <v>0</v>
      </c>
      <c r="J544" s="65"/>
      <c r="K544" s="160">
        <f t="shared" si="2143"/>
        <v>0</v>
      </c>
      <c r="L544" s="160">
        <f t="shared" si="2145"/>
        <v>0</v>
      </c>
      <c r="M544" s="160">
        <f t="shared" si="2145"/>
        <v>0</v>
      </c>
      <c r="N544" s="160">
        <f t="shared" si="2145"/>
        <v>0</v>
      </c>
      <c r="O544" s="160">
        <f t="shared" si="2145"/>
        <v>0</v>
      </c>
      <c r="P544" s="160">
        <f t="shared" si="2145"/>
        <v>0</v>
      </c>
      <c r="Q544" s="160">
        <f t="shared" si="2145"/>
        <v>0</v>
      </c>
      <c r="R544" s="160">
        <f t="shared" si="2145"/>
        <v>0</v>
      </c>
      <c r="S544" s="160">
        <f t="shared" si="2145"/>
        <v>0</v>
      </c>
      <c r="T544" s="160">
        <f t="shared" si="2145"/>
        <v>0</v>
      </c>
      <c r="U544" s="160">
        <f t="shared" si="2145"/>
        <v>0</v>
      </c>
      <c r="V544" s="160">
        <f t="shared" si="2145"/>
        <v>0</v>
      </c>
      <c r="W544" s="160">
        <f t="shared" si="2145"/>
        <v>0</v>
      </c>
      <c r="X544" s="160">
        <f t="shared" si="2145"/>
        <v>0</v>
      </c>
      <c r="Y544" s="160">
        <f t="shared" si="2145"/>
        <v>0</v>
      </c>
      <c r="Z544" s="160">
        <f t="shared" si="2145"/>
        <v>0</v>
      </c>
      <c r="AA544" s="160">
        <f t="shared" si="2145"/>
        <v>0</v>
      </c>
      <c r="AB544" s="160">
        <f t="shared" si="2145"/>
        <v>0</v>
      </c>
      <c r="AC544" s="160">
        <f t="shared" si="2145"/>
        <v>0</v>
      </c>
      <c r="AD544" s="160">
        <f t="shared" si="2145"/>
        <v>0</v>
      </c>
      <c r="AE544" s="160">
        <f t="shared" si="2145"/>
        <v>0</v>
      </c>
      <c r="AF544" s="160">
        <f t="shared" si="2145"/>
        <v>0</v>
      </c>
      <c r="AG544" s="160">
        <f t="shared" si="2145"/>
        <v>0</v>
      </c>
      <c r="AH544" s="160">
        <f t="shared" si="2145"/>
        <v>0</v>
      </c>
      <c r="AI544" s="160">
        <f t="shared" si="2145"/>
        <v>0</v>
      </c>
      <c r="AJ544" s="160">
        <f t="shared" si="2145"/>
        <v>0</v>
      </c>
      <c r="AK544" s="160">
        <f t="shared" si="2145"/>
        <v>0</v>
      </c>
      <c r="AL544" s="160">
        <f t="shared" si="2145"/>
        <v>0</v>
      </c>
      <c r="AM544" s="160">
        <f t="shared" si="2145"/>
        <v>0</v>
      </c>
      <c r="AN544" s="160">
        <f t="shared" si="2145"/>
        <v>0</v>
      </c>
      <c r="AO544" s="160">
        <f t="shared" si="2145"/>
        <v>0</v>
      </c>
      <c r="AP544" s="160">
        <f t="shared" si="2145"/>
        <v>0</v>
      </c>
      <c r="AQ544" s="160">
        <f t="shared" si="2145"/>
        <v>0</v>
      </c>
      <c r="AR544" s="160">
        <f t="shared" si="2145"/>
        <v>0</v>
      </c>
      <c r="AS544" s="160">
        <f t="shared" si="2145"/>
        <v>0</v>
      </c>
      <c r="AT544" s="160">
        <f t="shared" si="2145"/>
        <v>0</v>
      </c>
      <c r="AU544" s="160">
        <f t="shared" si="2145"/>
        <v>0</v>
      </c>
      <c r="AV544" s="160">
        <f t="shared" si="2145"/>
        <v>0</v>
      </c>
      <c r="AW544" s="160">
        <f t="shared" si="2145"/>
        <v>0</v>
      </c>
      <c r="AX544" s="160">
        <f t="shared" si="2145"/>
        <v>0</v>
      </c>
      <c r="AY544" s="160">
        <f t="shared" si="2145"/>
        <v>0</v>
      </c>
      <c r="AZ544" s="160">
        <f t="shared" si="2145"/>
        <v>0</v>
      </c>
      <c r="BA544" s="160">
        <f t="shared" si="2145"/>
        <v>0</v>
      </c>
      <c r="BB544" s="160">
        <f t="shared" si="2145"/>
        <v>0</v>
      </c>
      <c r="BC544" s="160">
        <f t="shared" si="2145"/>
        <v>0</v>
      </c>
      <c r="BD544" s="160">
        <f t="shared" si="2145"/>
        <v>0</v>
      </c>
      <c r="BE544" s="160">
        <f t="shared" si="2145"/>
        <v>0</v>
      </c>
      <c r="BF544" s="160">
        <f t="shared" si="2145"/>
        <v>0</v>
      </c>
      <c r="BG544" s="160">
        <f t="shared" si="2145"/>
        <v>0</v>
      </c>
      <c r="BH544" s="160">
        <f t="shared" si="2145"/>
        <v>0</v>
      </c>
      <c r="BI544" s="160">
        <f t="shared" si="2145"/>
        <v>0</v>
      </c>
      <c r="BJ544" s="160">
        <f t="shared" si="2145"/>
        <v>0</v>
      </c>
      <c r="BK544" s="160">
        <f t="shared" si="2145"/>
        <v>0</v>
      </c>
      <c r="BL544" s="160">
        <f t="shared" si="2145"/>
        <v>0</v>
      </c>
      <c r="BM544" s="160">
        <f t="shared" si="2145"/>
        <v>0</v>
      </c>
      <c r="BN544" s="160">
        <f t="shared" si="2145"/>
        <v>0</v>
      </c>
      <c r="BO544" s="160">
        <f t="shared" si="2145"/>
        <v>0</v>
      </c>
      <c r="BP544" s="160">
        <f t="shared" si="2145"/>
        <v>0</v>
      </c>
      <c r="BQ544" s="160">
        <f t="shared" si="2145"/>
        <v>0</v>
      </c>
      <c r="BR544" s="160">
        <f t="shared" si="2145"/>
        <v>0</v>
      </c>
      <c r="BS544" s="65"/>
      <c r="BT544" s="160">
        <f t="shared" si="2006"/>
        <v>0</v>
      </c>
      <c r="BU544" s="160">
        <f t="shared" si="2007"/>
        <v>0</v>
      </c>
      <c r="BV544" s="65"/>
      <c r="BW544" s="69"/>
      <c r="BX544" s="65"/>
      <c r="BY544" s="137">
        <f t="shared" si="2008"/>
        <v>1</v>
      </c>
      <c r="BZ544" s="137">
        <f>IF(BY544&gt;0,BY544+LARGE($BZ$213:BZ543,1),0)</f>
        <v>280</v>
      </c>
      <c r="CA544" s="137" t="str">
        <f t="shared" si="2009"/>
        <v>EST_III</v>
      </c>
      <c r="CB544" s="161">
        <f t="shared" si="2010"/>
        <v>0</v>
      </c>
      <c r="CC544" s="161">
        <f t="shared" si="2011"/>
        <v>0</v>
      </c>
      <c r="CD544" s="161">
        <f t="shared" si="2012"/>
        <v>0</v>
      </c>
      <c r="CE544" s="161">
        <f t="shared" si="2013"/>
        <v>0</v>
      </c>
      <c r="CF544" s="161">
        <f t="shared" si="2014"/>
        <v>0</v>
      </c>
      <c r="CG544" s="161">
        <f t="shared" si="2015"/>
        <v>0</v>
      </c>
      <c r="CH544" s="161">
        <f t="shared" si="2016"/>
        <v>0</v>
      </c>
      <c r="CI544" s="161">
        <f t="shared" si="2017"/>
        <v>0</v>
      </c>
      <c r="CJ544" s="161">
        <f t="shared" si="2018"/>
        <v>0</v>
      </c>
      <c r="CK544" s="161">
        <f t="shared" si="2019"/>
        <v>0</v>
      </c>
      <c r="CL544" s="161">
        <f t="shared" si="2020"/>
        <v>0</v>
      </c>
      <c r="CM544" s="161">
        <f t="shared" si="2021"/>
        <v>0</v>
      </c>
      <c r="CN544" s="161">
        <f t="shared" si="2022"/>
        <v>0</v>
      </c>
      <c r="CO544" s="161">
        <f t="shared" si="2023"/>
        <v>0</v>
      </c>
      <c r="CP544" s="161">
        <f t="shared" si="2024"/>
        <v>0</v>
      </c>
      <c r="CQ544" s="161">
        <f t="shared" si="2025"/>
        <v>0</v>
      </c>
      <c r="CR544" s="161">
        <f t="shared" si="2026"/>
        <v>0</v>
      </c>
      <c r="CS544" s="161">
        <f t="shared" si="2027"/>
        <v>0</v>
      </c>
      <c r="CT544" s="161">
        <f t="shared" si="2028"/>
        <v>0</v>
      </c>
      <c r="CU544" s="161">
        <f t="shared" si="2029"/>
        <v>0</v>
      </c>
      <c r="CV544" s="161">
        <f t="shared" si="2030"/>
        <v>0</v>
      </c>
      <c r="CW544" s="161">
        <f t="shared" si="2031"/>
        <v>0</v>
      </c>
      <c r="CX544" s="161">
        <f t="shared" si="2032"/>
        <v>0</v>
      </c>
      <c r="CY544" s="161">
        <f t="shared" si="2033"/>
        <v>0</v>
      </c>
      <c r="CZ544" s="161">
        <f t="shared" si="2034"/>
        <v>0</v>
      </c>
      <c r="DA544" s="161">
        <f t="shared" si="2035"/>
        <v>0</v>
      </c>
      <c r="DB544" s="161">
        <f t="shared" si="2036"/>
        <v>0</v>
      </c>
      <c r="DC544" s="161">
        <f t="shared" si="2037"/>
        <v>0</v>
      </c>
      <c r="DD544" s="161">
        <f t="shared" si="2038"/>
        <v>0</v>
      </c>
      <c r="DE544" s="161">
        <f t="shared" si="2039"/>
        <v>0</v>
      </c>
      <c r="DF544" s="161">
        <f t="shared" si="2040"/>
        <v>0</v>
      </c>
      <c r="DG544" s="161">
        <f t="shared" si="2041"/>
        <v>0</v>
      </c>
      <c r="DH544" s="161">
        <f t="shared" si="2042"/>
        <v>0</v>
      </c>
      <c r="DI544" s="161">
        <f t="shared" si="2043"/>
        <v>0</v>
      </c>
      <c r="DJ544" s="161">
        <f t="shared" si="2044"/>
        <v>0</v>
      </c>
      <c r="DK544" s="161">
        <f t="shared" si="2045"/>
        <v>0</v>
      </c>
      <c r="DL544" s="161">
        <f t="shared" si="2046"/>
        <v>0</v>
      </c>
      <c r="DM544" s="161">
        <f t="shared" si="2047"/>
        <v>0</v>
      </c>
      <c r="DN544" s="161">
        <f t="shared" si="2048"/>
        <v>0</v>
      </c>
      <c r="DO544" s="161">
        <f t="shared" si="2049"/>
        <v>0</v>
      </c>
      <c r="DP544" s="161">
        <f t="shared" si="2050"/>
        <v>0</v>
      </c>
      <c r="DQ544" s="161">
        <f t="shared" si="2051"/>
        <v>0</v>
      </c>
      <c r="DR544" s="161">
        <f t="shared" si="2052"/>
        <v>0</v>
      </c>
      <c r="DS544" s="161">
        <f t="shared" si="2053"/>
        <v>0</v>
      </c>
      <c r="DT544" s="161">
        <f t="shared" si="2054"/>
        <v>0</v>
      </c>
      <c r="DU544" s="161">
        <f t="shared" si="2055"/>
        <v>0</v>
      </c>
      <c r="DV544" s="161">
        <f t="shared" si="2056"/>
        <v>0</v>
      </c>
      <c r="DW544" s="161">
        <f t="shared" si="2057"/>
        <v>0</v>
      </c>
      <c r="DX544" s="161">
        <f t="shared" si="2058"/>
        <v>0</v>
      </c>
      <c r="DY544" s="161">
        <f t="shared" si="2059"/>
        <v>0</v>
      </c>
      <c r="DZ544" s="161">
        <f t="shared" si="2060"/>
        <v>0</v>
      </c>
      <c r="EA544" s="161">
        <f t="shared" si="2061"/>
        <v>0</v>
      </c>
      <c r="EB544" s="161">
        <f t="shared" si="2062"/>
        <v>0</v>
      </c>
      <c r="EC544" s="161">
        <f t="shared" si="2063"/>
        <v>0</v>
      </c>
      <c r="ED544" s="161">
        <f t="shared" si="2064"/>
        <v>0</v>
      </c>
      <c r="EE544" s="161">
        <f t="shared" si="2065"/>
        <v>0</v>
      </c>
      <c r="EF544" s="161">
        <f t="shared" si="2066"/>
        <v>0</v>
      </c>
      <c r="EG544" s="161">
        <f t="shared" si="2067"/>
        <v>0</v>
      </c>
      <c r="EH544" s="161">
        <f t="shared" si="2068"/>
        <v>0</v>
      </c>
      <c r="EI544" s="161">
        <f t="shared" si="2069"/>
        <v>0</v>
      </c>
      <c r="EJ544" s="65"/>
      <c r="EK544" s="161">
        <f t="shared" si="2140"/>
        <v>0</v>
      </c>
      <c r="EL544" s="161">
        <f t="shared" si="2141"/>
        <v>0</v>
      </c>
      <c r="EM544" s="161">
        <f t="shared" si="2142"/>
        <v>0</v>
      </c>
    </row>
    <row r="545" spans="1:143" ht="12" hidden="1" customHeight="1" outlineLevel="1">
      <c r="B545" s="65"/>
      <c r="C545" s="65"/>
      <c r="D545" s="65"/>
      <c r="E545" s="65"/>
      <c r="F545" s="470" t="s">
        <v>380</v>
      </c>
      <c r="G545" s="162" t="str">
        <f>"Pico = "&amp;MAX(K545:BR545)</f>
        <v>Pico = 0</v>
      </c>
      <c r="H545" s="163">
        <f>SUM(H525:H544)</f>
        <v>0</v>
      </c>
      <c r="I545" s="148">
        <f>SUM(I525:I544)</f>
        <v>0</v>
      </c>
      <c r="J545" s="65"/>
      <c r="K545" s="146">
        <f>SUM(K525:K544)</f>
        <v>0</v>
      </c>
      <c r="L545" s="146">
        <f t="shared" ref="L545:BR545" si="2146">SUM(L525:L544)</f>
        <v>0</v>
      </c>
      <c r="M545" s="146">
        <f t="shared" si="2146"/>
        <v>0</v>
      </c>
      <c r="N545" s="146">
        <f t="shared" si="2146"/>
        <v>0</v>
      </c>
      <c r="O545" s="146">
        <f t="shared" si="2146"/>
        <v>0</v>
      </c>
      <c r="P545" s="146">
        <f t="shared" si="2146"/>
        <v>0</v>
      </c>
      <c r="Q545" s="146">
        <f t="shared" si="2146"/>
        <v>0</v>
      </c>
      <c r="R545" s="146">
        <f t="shared" si="2146"/>
        <v>0</v>
      </c>
      <c r="S545" s="146">
        <f t="shared" si="2146"/>
        <v>0</v>
      </c>
      <c r="T545" s="146">
        <f t="shared" si="2146"/>
        <v>0</v>
      </c>
      <c r="U545" s="146">
        <f t="shared" si="2146"/>
        <v>0</v>
      </c>
      <c r="V545" s="146">
        <f t="shared" si="2146"/>
        <v>0</v>
      </c>
      <c r="W545" s="146">
        <f t="shared" si="2146"/>
        <v>0</v>
      </c>
      <c r="X545" s="146">
        <f t="shared" si="2146"/>
        <v>0</v>
      </c>
      <c r="Y545" s="146">
        <f t="shared" si="2146"/>
        <v>0</v>
      </c>
      <c r="Z545" s="146">
        <f t="shared" si="2146"/>
        <v>0</v>
      </c>
      <c r="AA545" s="146">
        <f t="shared" si="2146"/>
        <v>0</v>
      </c>
      <c r="AB545" s="146">
        <f t="shared" si="2146"/>
        <v>0</v>
      </c>
      <c r="AC545" s="146">
        <f t="shared" si="2146"/>
        <v>0</v>
      </c>
      <c r="AD545" s="146">
        <f t="shared" si="2146"/>
        <v>0</v>
      </c>
      <c r="AE545" s="146">
        <f t="shared" si="2146"/>
        <v>0</v>
      </c>
      <c r="AF545" s="146">
        <f t="shared" si="2146"/>
        <v>0</v>
      </c>
      <c r="AG545" s="146">
        <f t="shared" si="2146"/>
        <v>0</v>
      </c>
      <c r="AH545" s="146">
        <f t="shared" si="2146"/>
        <v>0</v>
      </c>
      <c r="AI545" s="146">
        <f t="shared" si="2146"/>
        <v>0</v>
      </c>
      <c r="AJ545" s="146">
        <f t="shared" si="2146"/>
        <v>0</v>
      </c>
      <c r="AK545" s="146">
        <f t="shared" si="2146"/>
        <v>0</v>
      </c>
      <c r="AL545" s="146">
        <f t="shared" si="2146"/>
        <v>0</v>
      </c>
      <c r="AM545" s="146">
        <f t="shared" si="2146"/>
        <v>0</v>
      </c>
      <c r="AN545" s="146">
        <f t="shared" si="2146"/>
        <v>0</v>
      </c>
      <c r="AO545" s="146">
        <f t="shared" si="2146"/>
        <v>0</v>
      </c>
      <c r="AP545" s="146">
        <f t="shared" si="2146"/>
        <v>0</v>
      </c>
      <c r="AQ545" s="146">
        <f t="shared" si="2146"/>
        <v>0</v>
      </c>
      <c r="AR545" s="146">
        <f t="shared" si="2146"/>
        <v>0</v>
      </c>
      <c r="AS545" s="146">
        <f t="shared" si="2146"/>
        <v>0</v>
      </c>
      <c r="AT545" s="146">
        <f t="shared" si="2146"/>
        <v>0</v>
      </c>
      <c r="AU545" s="146">
        <f t="shared" si="2146"/>
        <v>0</v>
      </c>
      <c r="AV545" s="146">
        <f t="shared" si="2146"/>
        <v>0</v>
      </c>
      <c r="AW545" s="146">
        <f t="shared" si="2146"/>
        <v>0</v>
      </c>
      <c r="AX545" s="146">
        <f t="shared" si="2146"/>
        <v>0</v>
      </c>
      <c r="AY545" s="146">
        <f t="shared" si="2146"/>
        <v>0</v>
      </c>
      <c r="AZ545" s="146">
        <f t="shared" si="2146"/>
        <v>0</v>
      </c>
      <c r="BA545" s="146">
        <f t="shared" si="2146"/>
        <v>0</v>
      </c>
      <c r="BB545" s="146">
        <f t="shared" si="2146"/>
        <v>0</v>
      </c>
      <c r="BC545" s="146">
        <f t="shared" si="2146"/>
        <v>0</v>
      </c>
      <c r="BD545" s="146">
        <f t="shared" si="2146"/>
        <v>0</v>
      </c>
      <c r="BE545" s="146">
        <f t="shared" si="2146"/>
        <v>0</v>
      </c>
      <c r="BF545" s="146">
        <f t="shared" si="2146"/>
        <v>0</v>
      </c>
      <c r="BG545" s="146">
        <f t="shared" si="2146"/>
        <v>0</v>
      </c>
      <c r="BH545" s="146">
        <f t="shared" si="2146"/>
        <v>0</v>
      </c>
      <c r="BI545" s="146">
        <f t="shared" si="2146"/>
        <v>0</v>
      </c>
      <c r="BJ545" s="146">
        <f t="shared" si="2146"/>
        <v>0</v>
      </c>
      <c r="BK545" s="146">
        <f t="shared" si="2146"/>
        <v>0</v>
      </c>
      <c r="BL545" s="146">
        <f t="shared" si="2146"/>
        <v>0</v>
      </c>
      <c r="BM545" s="146">
        <f t="shared" si="2146"/>
        <v>0</v>
      </c>
      <c r="BN545" s="146">
        <f t="shared" si="2146"/>
        <v>0</v>
      </c>
      <c r="BO545" s="146">
        <f t="shared" si="2146"/>
        <v>0</v>
      </c>
      <c r="BP545" s="146">
        <f t="shared" si="2146"/>
        <v>0</v>
      </c>
      <c r="BQ545" s="146">
        <f t="shared" si="2146"/>
        <v>0</v>
      </c>
      <c r="BR545" s="146">
        <f t="shared" si="2146"/>
        <v>0</v>
      </c>
      <c r="BS545" s="65"/>
      <c r="BT545" s="146">
        <f t="shared" ref="BT545" si="2147">SUM(BT525:BT544)</f>
        <v>0</v>
      </c>
      <c r="BU545" s="65"/>
      <c r="BV545" s="65"/>
      <c r="BW545" s="69"/>
      <c r="BX545" s="65"/>
      <c r="BY545" s="65"/>
      <c r="BZ545" s="65"/>
      <c r="CA545" s="65"/>
      <c r="CB545" s="65"/>
      <c r="CC545" s="65"/>
      <c r="CD545" s="65"/>
      <c r="CE545" s="65"/>
      <c r="CF545" s="65"/>
      <c r="CG545" s="65"/>
      <c r="CH545" s="65"/>
      <c r="CI545" s="65"/>
      <c r="CJ545" s="65"/>
      <c r="CK545" s="65"/>
      <c r="CL545" s="65"/>
      <c r="CM545" s="65"/>
      <c r="CN545" s="65"/>
      <c r="CO545" s="65"/>
      <c r="CP545" s="65"/>
      <c r="CQ545" s="65"/>
      <c r="CR545" s="65"/>
      <c r="CS545" s="65"/>
      <c r="CT545" s="65"/>
      <c r="CU545" s="65"/>
      <c r="CV545" s="65"/>
      <c r="CW545" s="65"/>
      <c r="CX545" s="65"/>
      <c r="CY545" s="65"/>
      <c r="CZ545" s="65"/>
      <c r="DA545" s="65"/>
      <c r="DB545" s="65"/>
      <c r="DC545" s="65"/>
      <c r="DD545" s="65"/>
      <c r="DE545" s="65"/>
      <c r="DF545" s="65"/>
      <c r="DG545" s="65"/>
      <c r="DH545" s="65"/>
      <c r="DI545" s="65"/>
      <c r="DJ545" s="65"/>
      <c r="DK545" s="65"/>
      <c r="DL545" s="65"/>
      <c r="DM545" s="65"/>
      <c r="DN545" s="65"/>
      <c r="DO545" s="65"/>
      <c r="DP545" s="65"/>
      <c r="DQ545" s="65"/>
      <c r="DR545" s="65"/>
      <c r="DS545" s="65"/>
      <c r="DT545" s="65"/>
      <c r="DU545" s="65"/>
      <c r="DV545" s="65"/>
      <c r="DW545" s="65"/>
      <c r="DX545" s="65"/>
      <c r="DY545" s="65"/>
      <c r="DZ545" s="65"/>
      <c r="EA545" s="65"/>
      <c r="EB545" s="65"/>
      <c r="EC545" s="65"/>
      <c r="ED545" s="65"/>
      <c r="EE545" s="65"/>
      <c r="EF545" s="65"/>
      <c r="EG545" s="65"/>
      <c r="EH545" s="65"/>
      <c r="EI545" s="65"/>
      <c r="EJ545" s="65"/>
      <c r="EK545" s="65"/>
      <c r="EL545" s="65"/>
      <c r="EM545" s="65"/>
    </row>
    <row r="546" spans="1:143" ht="12" hidden="1" customHeight="1" outlineLevel="1"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5"/>
      <c r="AT546" s="65"/>
      <c r="AU546" s="65"/>
      <c r="AV546" s="65"/>
      <c r="AW546" s="65"/>
      <c r="AX546" s="65"/>
      <c r="AY546" s="65"/>
      <c r="AZ546" s="65"/>
      <c r="BA546" s="65"/>
      <c r="BB546" s="65"/>
      <c r="BC546" s="65"/>
      <c r="BD546" s="65"/>
      <c r="BE546" s="65"/>
      <c r="BF546" s="65"/>
      <c r="BG546" s="65"/>
      <c r="BH546" s="65"/>
      <c r="BI546" s="65"/>
      <c r="BJ546" s="65"/>
      <c r="BK546" s="65"/>
      <c r="BL546" s="65"/>
      <c r="BM546" s="65"/>
      <c r="BN546" s="65"/>
      <c r="BO546" s="65"/>
      <c r="BP546" s="65"/>
      <c r="BQ546" s="65"/>
      <c r="BR546" s="65"/>
      <c r="BS546" s="65"/>
      <c r="BT546" s="65"/>
      <c r="BU546" s="65"/>
      <c r="BV546" s="65"/>
      <c r="BW546" s="69"/>
      <c r="BX546" s="65"/>
      <c r="BY546" s="65"/>
      <c r="BZ546" s="65"/>
      <c r="CA546" s="65"/>
      <c r="CB546" s="65"/>
      <c r="CC546" s="65"/>
      <c r="CD546" s="65"/>
      <c r="CE546" s="65"/>
      <c r="CF546" s="65"/>
      <c r="CG546" s="65"/>
      <c r="CH546" s="65"/>
      <c r="CI546" s="65"/>
      <c r="CJ546" s="65"/>
      <c r="CK546" s="65"/>
      <c r="CL546" s="65"/>
      <c r="CM546" s="65"/>
      <c r="CN546" s="65"/>
      <c r="CO546" s="65"/>
      <c r="CP546" s="65"/>
      <c r="CQ546" s="65"/>
      <c r="CR546" s="65"/>
      <c r="CS546" s="65"/>
      <c r="CT546" s="65"/>
      <c r="CU546" s="65"/>
      <c r="CV546" s="65"/>
      <c r="CW546" s="65"/>
      <c r="CX546" s="65"/>
      <c r="CY546" s="65"/>
      <c r="CZ546" s="65"/>
      <c r="DA546" s="65"/>
      <c r="DB546" s="65"/>
      <c r="DC546" s="65"/>
      <c r="DD546" s="65"/>
      <c r="DE546" s="65"/>
      <c r="DF546" s="65"/>
      <c r="DG546" s="65"/>
      <c r="DH546" s="65"/>
      <c r="DI546" s="65"/>
      <c r="DJ546" s="65"/>
      <c r="DK546" s="65"/>
      <c r="DL546" s="65"/>
      <c r="DM546" s="65"/>
      <c r="DN546" s="65"/>
      <c r="DO546" s="65"/>
      <c r="DP546" s="65"/>
      <c r="DQ546" s="65"/>
      <c r="DR546" s="65"/>
      <c r="DS546" s="65"/>
      <c r="DT546" s="65"/>
      <c r="DU546" s="65"/>
      <c r="DV546" s="65"/>
      <c r="DW546" s="65"/>
      <c r="DX546" s="65"/>
      <c r="DY546" s="65"/>
      <c r="DZ546" s="65"/>
      <c r="EA546" s="65"/>
      <c r="EB546" s="65"/>
      <c r="EC546" s="65"/>
      <c r="ED546" s="65"/>
      <c r="EE546" s="65"/>
      <c r="EF546" s="65"/>
      <c r="EG546" s="65"/>
      <c r="EH546" s="65"/>
      <c r="EI546" s="65"/>
      <c r="EJ546" s="65"/>
      <c r="EK546" s="65"/>
      <c r="EL546" s="65"/>
      <c r="EM546" s="65"/>
    </row>
    <row r="547" spans="1:143" ht="24" hidden="1" customHeight="1" outlineLevel="1">
      <c r="B547" s="593" t="s">
        <v>395</v>
      </c>
      <c r="C547" s="65"/>
      <c r="D547" s="65"/>
      <c r="E547" s="65"/>
      <c r="F547" s="471" t="str">
        <f>IF($G$65&gt;0,$G$65,"")</f>
        <v>Equipe15</v>
      </c>
      <c r="G547" s="471"/>
      <c r="H547" s="471"/>
      <c r="I547" s="471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  <c r="AT547" s="65"/>
      <c r="AU547" s="65"/>
      <c r="AV547" s="65"/>
      <c r="AW547" s="65"/>
      <c r="AX547" s="65"/>
      <c r="AY547" s="65"/>
      <c r="AZ547" s="65"/>
      <c r="BA547" s="65"/>
      <c r="BB547" s="65"/>
      <c r="BC547" s="65"/>
      <c r="BD547" s="65"/>
      <c r="BE547" s="65"/>
      <c r="BF547" s="65"/>
      <c r="BG547" s="65"/>
      <c r="BH547" s="65"/>
      <c r="BI547" s="65"/>
      <c r="BJ547" s="65"/>
      <c r="BK547" s="65"/>
      <c r="BL547" s="65"/>
      <c r="BM547" s="65"/>
      <c r="BN547" s="65"/>
      <c r="BO547" s="65"/>
      <c r="BP547" s="65"/>
      <c r="BQ547" s="65"/>
      <c r="BR547" s="65"/>
      <c r="BS547" s="65"/>
      <c r="BT547" s="601" t="s">
        <v>396</v>
      </c>
      <c r="BU547" s="601" t="s">
        <v>397</v>
      </c>
      <c r="BV547" s="65"/>
      <c r="BW547" s="69"/>
      <c r="BX547" s="65"/>
      <c r="BY547" s="593" t="s">
        <v>398</v>
      </c>
      <c r="BZ547" s="593" t="s">
        <v>399</v>
      </c>
      <c r="CA547" s="593" t="s">
        <v>400</v>
      </c>
      <c r="CB547" s="592" t="s">
        <v>401</v>
      </c>
      <c r="CC547" s="592" t="s">
        <v>402</v>
      </c>
      <c r="CD547" s="592" t="s">
        <v>403</v>
      </c>
      <c r="CE547" s="592" t="s">
        <v>404</v>
      </c>
      <c r="CF547" s="592" t="s">
        <v>405</v>
      </c>
      <c r="CG547" s="592" t="s">
        <v>406</v>
      </c>
      <c r="CH547" s="592" t="s">
        <v>407</v>
      </c>
      <c r="CI547" s="592" t="s">
        <v>408</v>
      </c>
      <c r="CJ547" s="592" t="s">
        <v>409</v>
      </c>
      <c r="CK547" s="592" t="s">
        <v>410</v>
      </c>
      <c r="CL547" s="592" t="s">
        <v>411</v>
      </c>
      <c r="CM547" s="592" t="s">
        <v>412</v>
      </c>
      <c r="CN547" s="592" t="s">
        <v>413</v>
      </c>
      <c r="CO547" s="592" t="s">
        <v>414</v>
      </c>
      <c r="CP547" s="592" t="s">
        <v>415</v>
      </c>
      <c r="CQ547" s="592" t="s">
        <v>416</v>
      </c>
      <c r="CR547" s="592" t="s">
        <v>417</v>
      </c>
      <c r="CS547" s="592" t="s">
        <v>418</v>
      </c>
      <c r="CT547" s="592" t="s">
        <v>419</v>
      </c>
      <c r="CU547" s="592" t="s">
        <v>420</v>
      </c>
      <c r="CV547" s="592" t="s">
        <v>421</v>
      </c>
      <c r="CW547" s="592" t="s">
        <v>422</v>
      </c>
      <c r="CX547" s="592" t="s">
        <v>423</v>
      </c>
      <c r="CY547" s="592" t="s">
        <v>424</v>
      </c>
      <c r="CZ547" s="592" t="s">
        <v>425</v>
      </c>
      <c r="DA547" s="592" t="s">
        <v>426</v>
      </c>
      <c r="DB547" s="592" t="s">
        <v>427</v>
      </c>
      <c r="DC547" s="592" t="s">
        <v>428</v>
      </c>
      <c r="DD547" s="592" t="s">
        <v>429</v>
      </c>
      <c r="DE547" s="592" t="s">
        <v>430</v>
      </c>
      <c r="DF547" s="592" t="s">
        <v>431</v>
      </c>
      <c r="DG547" s="592" t="s">
        <v>432</v>
      </c>
      <c r="DH547" s="592" t="s">
        <v>433</v>
      </c>
      <c r="DI547" s="592" t="s">
        <v>434</v>
      </c>
      <c r="DJ547" s="592" t="s">
        <v>435</v>
      </c>
      <c r="DK547" s="592" t="s">
        <v>436</v>
      </c>
      <c r="DL547" s="592" t="s">
        <v>437</v>
      </c>
      <c r="DM547" s="592" t="s">
        <v>438</v>
      </c>
      <c r="DN547" s="592" t="s">
        <v>439</v>
      </c>
      <c r="DO547" s="592" t="s">
        <v>440</v>
      </c>
      <c r="DP547" s="592" t="s">
        <v>441</v>
      </c>
      <c r="DQ547" s="592" t="s">
        <v>442</v>
      </c>
      <c r="DR547" s="592" t="s">
        <v>443</v>
      </c>
      <c r="DS547" s="592" t="s">
        <v>444</v>
      </c>
      <c r="DT547" s="592" t="s">
        <v>445</v>
      </c>
      <c r="DU547" s="592" t="s">
        <v>446</v>
      </c>
      <c r="DV547" s="592" t="s">
        <v>447</v>
      </c>
      <c r="DW547" s="592" t="s">
        <v>448</v>
      </c>
      <c r="DX547" s="592" t="s">
        <v>449</v>
      </c>
      <c r="DY547" s="592" t="s">
        <v>450</v>
      </c>
      <c r="DZ547" s="592" t="s">
        <v>451</v>
      </c>
      <c r="EA547" s="592" t="s">
        <v>452</v>
      </c>
      <c r="EB547" s="592" t="s">
        <v>453</v>
      </c>
      <c r="EC547" s="592" t="s">
        <v>454</v>
      </c>
      <c r="ED547" s="592" t="s">
        <v>455</v>
      </c>
      <c r="EE547" s="592" t="s">
        <v>456</v>
      </c>
      <c r="EF547" s="592" t="s">
        <v>457</v>
      </c>
      <c r="EG547" s="592" t="s">
        <v>458</v>
      </c>
      <c r="EH547" s="592" t="s">
        <v>459</v>
      </c>
      <c r="EI547" s="592" t="s">
        <v>460</v>
      </c>
      <c r="EJ547" s="65"/>
      <c r="EK547" s="157" t="s">
        <v>376</v>
      </c>
      <c r="EL547" s="157" t="s">
        <v>461</v>
      </c>
      <c r="EM547" s="157" t="s">
        <v>383</v>
      </c>
    </row>
    <row r="548" spans="1:143" ht="12" hidden="1" customHeight="1" outlineLevel="1" collapsed="1">
      <c r="B548" s="593"/>
      <c r="C548" s="65"/>
      <c r="D548" s="65"/>
      <c r="E548" s="65"/>
      <c r="F548" s="158" t="s">
        <v>198</v>
      </c>
      <c r="G548" s="158" t="s">
        <v>462</v>
      </c>
      <c r="H548" s="158" t="s">
        <v>255</v>
      </c>
      <c r="I548" s="158" t="s">
        <v>68</v>
      </c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5"/>
      <c r="AT548" s="65"/>
      <c r="AU548" s="65"/>
      <c r="AV548" s="65"/>
      <c r="AW548" s="65"/>
      <c r="AX548" s="65"/>
      <c r="AY548" s="65"/>
      <c r="AZ548" s="65"/>
      <c r="BA548" s="65"/>
      <c r="BB548" s="65"/>
      <c r="BC548" s="65"/>
      <c r="BD548" s="65"/>
      <c r="BE548" s="65"/>
      <c r="BF548" s="65"/>
      <c r="BG548" s="65"/>
      <c r="BH548" s="65"/>
      <c r="BI548" s="65"/>
      <c r="BJ548" s="65"/>
      <c r="BK548" s="65"/>
      <c r="BL548" s="65"/>
      <c r="BM548" s="65"/>
      <c r="BN548" s="65"/>
      <c r="BO548" s="65"/>
      <c r="BP548" s="65"/>
      <c r="BQ548" s="65"/>
      <c r="BR548" s="65"/>
      <c r="BS548" s="65"/>
      <c r="BT548" s="602"/>
      <c r="BU548" s="602"/>
      <c r="BV548" s="65"/>
      <c r="BW548" s="69"/>
      <c r="BX548" s="65"/>
      <c r="BY548" s="593"/>
      <c r="BZ548" s="593"/>
      <c r="CA548" s="593"/>
      <c r="CB548" s="592"/>
      <c r="CC548" s="592"/>
      <c r="CD548" s="592"/>
      <c r="CE548" s="592"/>
      <c r="CF548" s="592"/>
      <c r="CG548" s="592"/>
      <c r="CH548" s="592"/>
      <c r="CI548" s="592"/>
      <c r="CJ548" s="592"/>
      <c r="CK548" s="592"/>
      <c r="CL548" s="592"/>
      <c r="CM548" s="592"/>
      <c r="CN548" s="592"/>
      <c r="CO548" s="592"/>
      <c r="CP548" s="592"/>
      <c r="CQ548" s="592"/>
      <c r="CR548" s="592"/>
      <c r="CS548" s="592"/>
      <c r="CT548" s="592"/>
      <c r="CU548" s="592"/>
      <c r="CV548" s="592"/>
      <c r="CW548" s="592"/>
      <c r="CX548" s="592"/>
      <c r="CY548" s="592"/>
      <c r="CZ548" s="592"/>
      <c r="DA548" s="592"/>
      <c r="DB548" s="592"/>
      <c r="DC548" s="592"/>
      <c r="DD548" s="592"/>
      <c r="DE548" s="592"/>
      <c r="DF548" s="592"/>
      <c r="DG548" s="592"/>
      <c r="DH548" s="592"/>
      <c r="DI548" s="592"/>
      <c r="DJ548" s="592"/>
      <c r="DK548" s="592"/>
      <c r="DL548" s="592"/>
      <c r="DM548" s="592"/>
      <c r="DN548" s="592"/>
      <c r="DO548" s="592"/>
      <c r="DP548" s="592"/>
      <c r="DQ548" s="592"/>
      <c r="DR548" s="592"/>
      <c r="DS548" s="592"/>
      <c r="DT548" s="592"/>
      <c r="DU548" s="592"/>
      <c r="DV548" s="592"/>
      <c r="DW548" s="592"/>
      <c r="DX548" s="592"/>
      <c r="DY548" s="592"/>
      <c r="DZ548" s="592"/>
      <c r="EA548" s="592"/>
      <c r="EB548" s="592"/>
      <c r="EC548" s="592"/>
      <c r="ED548" s="592"/>
      <c r="EE548" s="592"/>
      <c r="EF548" s="592"/>
      <c r="EG548" s="592"/>
      <c r="EH548" s="592"/>
      <c r="EI548" s="592"/>
      <c r="EJ548" s="65"/>
      <c r="EK548" s="159">
        <f>IFERROR(ROUNDUP(SUMPRODUCT($K569:$BR569,$K$120:$BR$120)/SUM($K569:$BR569),2),0)</f>
        <v>0</v>
      </c>
      <c r="EL548" s="159">
        <f>IFERROR(ROUNDUP(SUMPRODUCT($K569:$BR569,$K$144:$BR$144)/SUM($K569:$BR569),2),0)</f>
        <v>0</v>
      </c>
      <c r="EM548" s="159">
        <f>IFERROR(ROUNDUP(SUMPRODUCT($K569:$BR569,$K$168:$BR$168)/SUM($K569:$BR569),2),0)</f>
        <v>0</v>
      </c>
    </row>
    <row r="549" spans="1:143" ht="12" hidden="1" customHeight="1" outlineLevel="2">
      <c r="A549" s="77">
        <v>1</v>
      </c>
      <c r="B549" s="137" t="str">
        <f>IF(G549&gt;0,G549&amp;" - "&amp;$F$213,"")</f>
        <v>GER. (OBRA/PROJ) - Equipe_01</v>
      </c>
      <c r="C549" s="65"/>
      <c r="D549" s="620" t="s">
        <v>463</v>
      </c>
      <c r="E549" s="65"/>
      <c r="F549" s="603" t="str">
        <f>IFERROR(VLOOKUP(F547,Tarefas!$F$3:$G$22,2,0),"")</f>
        <v>Equipe_15</v>
      </c>
      <c r="G549" s="77" t="str">
        <f>IF(INDEX(Tarefas!$BT$30:$FK$30,MATCH(A549,Tarefas!$BT$28:$FK$28,0))=0,"",INDEX(Tarefas!$BT$30:$FK$30,MATCH(A549,Tarefas!$BT$28:$FK$28,0)))</f>
        <v>GER. (OBRA/PROJ)</v>
      </c>
      <c r="H549" s="107" cm="1">
        <f t="array" ref="H549">IFERROR((SUMPRODUCT((Tarefas!$N$32:$N$54='Cronog. e Histog.'!$F$549)*(Tarefas!$BQ$30:$FK$30='Cronog. e Histog.'!$G549)*(Tarefas!$BQ$32:$FK$54)))/SUMIF(Tarefas!$N$32:$N$54,'Cronog. e Histog.'!$F$549,Tarefas!$K$32:$K$54),0)</f>
        <v>0</v>
      </c>
      <c r="I549" s="79">
        <f>IFERROR(H549/$H$569,0)</f>
        <v>0</v>
      </c>
      <c r="J549" s="65"/>
      <c r="K549" s="160">
        <f>ROUND($I549*K$197,2)</f>
        <v>0</v>
      </c>
      <c r="L549" s="160">
        <f t="shared" ref="L549:BR563" si="2148">ROUND($I549*L$197,2)</f>
        <v>0</v>
      </c>
      <c r="M549" s="160">
        <f t="shared" si="2148"/>
        <v>0</v>
      </c>
      <c r="N549" s="160">
        <f t="shared" si="2148"/>
        <v>0</v>
      </c>
      <c r="O549" s="160">
        <f t="shared" si="2148"/>
        <v>0</v>
      </c>
      <c r="P549" s="160">
        <f t="shared" si="2148"/>
        <v>0</v>
      </c>
      <c r="Q549" s="160">
        <f t="shared" si="2148"/>
        <v>0</v>
      </c>
      <c r="R549" s="160">
        <f t="shared" si="2148"/>
        <v>0</v>
      </c>
      <c r="S549" s="160">
        <f t="shared" si="2148"/>
        <v>0</v>
      </c>
      <c r="T549" s="160">
        <f t="shared" si="2148"/>
        <v>0</v>
      </c>
      <c r="U549" s="160">
        <f t="shared" si="2148"/>
        <v>0</v>
      </c>
      <c r="V549" s="160">
        <f t="shared" si="2148"/>
        <v>0</v>
      </c>
      <c r="W549" s="160">
        <f t="shared" si="2148"/>
        <v>0</v>
      </c>
      <c r="X549" s="160">
        <f t="shared" si="2148"/>
        <v>0</v>
      </c>
      <c r="Y549" s="160">
        <f t="shared" si="2148"/>
        <v>0</v>
      </c>
      <c r="Z549" s="160">
        <f t="shared" si="2148"/>
        <v>0</v>
      </c>
      <c r="AA549" s="160">
        <f t="shared" si="2148"/>
        <v>0</v>
      </c>
      <c r="AB549" s="160">
        <f t="shared" si="2148"/>
        <v>0</v>
      </c>
      <c r="AC549" s="160">
        <f t="shared" si="2148"/>
        <v>0</v>
      </c>
      <c r="AD549" s="160">
        <f t="shared" si="2148"/>
        <v>0</v>
      </c>
      <c r="AE549" s="160">
        <f t="shared" si="2148"/>
        <v>0</v>
      </c>
      <c r="AF549" s="160">
        <f t="shared" si="2148"/>
        <v>0</v>
      </c>
      <c r="AG549" s="160">
        <f t="shared" si="2148"/>
        <v>0</v>
      </c>
      <c r="AH549" s="160">
        <f t="shared" si="2148"/>
        <v>0</v>
      </c>
      <c r="AI549" s="160">
        <f t="shared" si="2148"/>
        <v>0</v>
      </c>
      <c r="AJ549" s="160">
        <f t="shared" si="2148"/>
        <v>0</v>
      </c>
      <c r="AK549" s="160">
        <f t="shared" si="2148"/>
        <v>0</v>
      </c>
      <c r="AL549" s="160">
        <f t="shared" si="2148"/>
        <v>0</v>
      </c>
      <c r="AM549" s="160">
        <f t="shared" si="2148"/>
        <v>0</v>
      </c>
      <c r="AN549" s="160">
        <f t="shared" si="2148"/>
        <v>0</v>
      </c>
      <c r="AO549" s="160">
        <f t="shared" si="2148"/>
        <v>0</v>
      </c>
      <c r="AP549" s="160">
        <f t="shared" si="2148"/>
        <v>0</v>
      </c>
      <c r="AQ549" s="160">
        <f t="shared" si="2148"/>
        <v>0</v>
      </c>
      <c r="AR549" s="160">
        <f t="shared" si="2148"/>
        <v>0</v>
      </c>
      <c r="AS549" s="160">
        <f t="shared" si="2148"/>
        <v>0</v>
      </c>
      <c r="AT549" s="160">
        <f t="shared" si="2148"/>
        <v>0</v>
      </c>
      <c r="AU549" s="160">
        <f t="shared" si="2148"/>
        <v>0</v>
      </c>
      <c r="AV549" s="160">
        <f t="shared" si="2148"/>
        <v>0</v>
      </c>
      <c r="AW549" s="160">
        <f t="shared" si="2148"/>
        <v>0</v>
      </c>
      <c r="AX549" s="160">
        <f t="shared" si="2148"/>
        <v>0</v>
      </c>
      <c r="AY549" s="160">
        <f t="shared" si="2148"/>
        <v>0</v>
      </c>
      <c r="AZ549" s="160">
        <f t="shared" si="2148"/>
        <v>0</v>
      </c>
      <c r="BA549" s="160">
        <f t="shared" si="2148"/>
        <v>0</v>
      </c>
      <c r="BB549" s="160">
        <f t="shared" si="2148"/>
        <v>0</v>
      </c>
      <c r="BC549" s="160">
        <f t="shared" si="2148"/>
        <v>0</v>
      </c>
      <c r="BD549" s="160">
        <f t="shared" si="2148"/>
        <v>0</v>
      </c>
      <c r="BE549" s="160">
        <f t="shared" si="2148"/>
        <v>0</v>
      </c>
      <c r="BF549" s="160">
        <f t="shared" si="2148"/>
        <v>0</v>
      </c>
      <c r="BG549" s="160">
        <f t="shared" si="2148"/>
        <v>0</v>
      </c>
      <c r="BH549" s="160">
        <f t="shared" si="2148"/>
        <v>0</v>
      </c>
      <c r="BI549" s="160">
        <f t="shared" si="2148"/>
        <v>0</v>
      </c>
      <c r="BJ549" s="160">
        <f t="shared" si="2148"/>
        <v>0</v>
      </c>
      <c r="BK549" s="160">
        <f t="shared" si="2148"/>
        <v>0</v>
      </c>
      <c r="BL549" s="160">
        <f t="shared" si="2148"/>
        <v>0</v>
      </c>
      <c r="BM549" s="160">
        <f t="shared" si="2148"/>
        <v>0</v>
      </c>
      <c r="BN549" s="160">
        <f t="shared" si="2148"/>
        <v>0</v>
      </c>
      <c r="BO549" s="160">
        <f t="shared" si="2148"/>
        <v>0</v>
      </c>
      <c r="BP549" s="160">
        <f t="shared" si="2148"/>
        <v>0</v>
      </c>
      <c r="BQ549" s="160">
        <f t="shared" si="2148"/>
        <v>0</v>
      </c>
      <c r="BR549" s="160">
        <f t="shared" si="2148"/>
        <v>0</v>
      </c>
      <c r="BS549" s="65"/>
      <c r="BT549" s="160">
        <f t="shared" ref="BT549:BT568" si="2149">IFERROR(SUM(K549:BR549)/COUNTIF(K549:BR549,"&gt;0"),0)</f>
        <v>0</v>
      </c>
      <c r="BU549" s="160">
        <f t="shared" ref="BU549:BU568" si="2150">COUNTIF(K549:BR549,"&gt;0")</f>
        <v>0</v>
      </c>
      <c r="BV549" s="65"/>
      <c r="BW549" s="69"/>
      <c r="BX549" s="65"/>
      <c r="BY549" s="137">
        <f t="shared" ref="BY549:BY568" si="2151">IF(G549&gt;0,1,0)</f>
        <v>1</v>
      </c>
      <c r="BZ549" s="137">
        <f>IF(BY549&gt;0,BY549+LARGE($BZ$213:BZ548,1),0)</f>
        <v>281</v>
      </c>
      <c r="CA549" s="137" t="str">
        <f t="shared" ref="CA549:CA568" si="2152">G549</f>
        <v>GER. (OBRA/PROJ)</v>
      </c>
      <c r="CB549" s="161">
        <f t="shared" ref="CB549:CB568" si="2153">K549</f>
        <v>0</v>
      </c>
      <c r="CC549" s="161">
        <f t="shared" ref="CC549:CC568" si="2154">L549</f>
        <v>0</v>
      </c>
      <c r="CD549" s="161">
        <f t="shared" ref="CD549:CD568" si="2155">M549</f>
        <v>0</v>
      </c>
      <c r="CE549" s="161">
        <f t="shared" ref="CE549:CE568" si="2156">N549</f>
        <v>0</v>
      </c>
      <c r="CF549" s="161">
        <f t="shared" ref="CF549:CF568" si="2157">O549</f>
        <v>0</v>
      </c>
      <c r="CG549" s="161">
        <f t="shared" ref="CG549:CG568" si="2158">P549</f>
        <v>0</v>
      </c>
      <c r="CH549" s="161">
        <f t="shared" ref="CH549:CH568" si="2159">Q549</f>
        <v>0</v>
      </c>
      <c r="CI549" s="161">
        <f t="shared" ref="CI549:CI568" si="2160">R549</f>
        <v>0</v>
      </c>
      <c r="CJ549" s="161">
        <f t="shared" ref="CJ549:CJ568" si="2161">S549</f>
        <v>0</v>
      </c>
      <c r="CK549" s="161">
        <f t="shared" ref="CK549:CK568" si="2162">T549</f>
        <v>0</v>
      </c>
      <c r="CL549" s="161">
        <f t="shared" ref="CL549:CL568" si="2163">U549</f>
        <v>0</v>
      </c>
      <c r="CM549" s="161">
        <f t="shared" ref="CM549:CM568" si="2164">V549</f>
        <v>0</v>
      </c>
      <c r="CN549" s="161">
        <f t="shared" ref="CN549:CN568" si="2165">W549</f>
        <v>0</v>
      </c>
      <c r="CO549" s="161">
        <f t="shared" ref="CO549:CO568" si="2166">X549</f>
        <v>0</v>
      </c>
      <c r="CP549" s="161">
        <f t="shared" ref="CP549:CP568" si="2167">Y549</f>
        <v>0</v>
      </c>
      <c r="CQ549" s="161">
        <f t="shared" ref="CQ549:CQ568" si="2168">Z549</f>
        <v>0</v>
      </c>
      <c r="CR549" s="161">
        <f t="shared" ref="CR549:CR568" si="2169">AA549</f>
        <v>0</v>
      </c>
      <c r="CS549" s="161">
        <f t="shared" ref="CS549:CS568" si="2170">AB549</f>
        <v>0</v>
      </c>
      <c r="CT549" s="161">
        <f t="shared" ref="CT549:CT568" si="2171">AC549</f>
        <v>0</v>
      </c>
      <c r="CU549" s="161">
        <f t="shared" ref="CU549:CU568" si="2172">AD549</f>
        <v>0</v>
      </c>
      <c r="CV549" s="161">
        <f t="shared" ref="CV549:CV568" si="2173">AE549</f>
        <v>0</v>
      </c>
      <c r="CW549" s="161">
        <f t="shared" ref="CW549:CW568" si="2174">AF549</f>
        <v>0</v>
      </c>
      <c r="CX549" s="161">
        <f t="shared" ref="CX549:CX568" si="2175">AG549</f>
        <v>0</v>
      </c>
      <c r="CY549" s="161">
        <f t="shared" ref="CY549:CY568" si="2176">AH549</f>
        <v>0</v>
      </c>
      <c r="CZ549" s="161">
        <f t="shared" ref="CZ549:CZ568" si="2177">AI549</f>
        <v>0</v>
      </c>
      <c r="DA549" s="161">
        <f t="shared" ref="DA549:DA568" si="2178">AJ549</f>
        <v>0</v>
      </c>
      <c r="DB549" s="161">
        <f t="shared" ref="DB549:DB568" si="2179">AK549</f>
        <v>0</v>
      </c>
      <c r="DC549" s="161">
        <f t="shared" ref="DC549:DC568" si="2180">AL549</f>
        <v>0</v>
      </c>
      <c r="DD549" s="161">
        <f t="shared" ref="DD549:DD568" si="2181">AM549</f>
        <v>0</v>
      </c>
      <c r="DE549" s="161">
        <f t="shared" ref="DE549:DE568" si="2182">AN549</f>
        <v>0</v>
      </c>
      <c r="DF549" s="161">
        <f t="shared" ref="DF549:DF568" si="2183">AO549</f>
        <v>0</v>
      </c>
      <c r="DG549" s="161">
        <f t="shared" ref="DG549:DG568" si="2184">AP549</f>
        <v>0</v>
      </c>
      <c r="DH549" s="161">
        <f t="shared" ref="DH549:DH568" si="2185">AQ549</f>
        <v>0</v>
      </c>
      <c r="DI549" s="161">
        <f t="shared" ref="DI549:DI568" si="2186">AR549</f>
        <v>0</v>
      </c>
      <c r="DJ549" s="161">
        <f t="shared" ref="DJ549:DJ568" si="2187">AS549</f>
        <v>0</v>
      </c>
      <c r="DK549" s="161">
        <f t="shared" ref="DK549:DK568" si="2188">AT549</f>
        <v>0</v>
      </c>
      <c r="DL549" s="161">
        <f t="shared" ref="DL549:DL568" si="2189">AU549</f>
        <v>0</v>
      </c>
      <c r="DM549" s="161">
        <f t="shared" ref="DM549:DM568" si="2190">AV549</f>
        <v>0</v>
      </c>
      <c r="DN549" s="161">
        <f t="shared" ref="DN549:DN568" si="2191">AW549</f>
        <v>0</v>
      </c>
      <c r="DO549" s="161">
        <f t="shared" ref="DO549:DO568" si="2192">AX549</f>
        <v>0</v>
      </c>
      <c r="DP549" s="161">
        <f t="shared" ref="DP549:DP568" si="2193">AY549</f>
        <v>0</v>
      </c>
      <c r="DQ549" s="161">
        <f t="shared" ref="DQ549:DQ568" si="2194">AZ549</f>
        <v>0</v>
      </c>
      <c r="DR549" s="161">
        <f t="shared" ref="DR549:DR568" si="2195">BA549</f>
        <v>0</v>
      </c>
      <c r="DS549" s="161">
        <f t="shared" ref="DS549:DS568" si="2196">BB549</f>
        <v>0</v>
      </c>
      <c r="DT549" s="161">
        <f t="shared" ref="DT549:DT568" si="2197">BC549</f>
        <v>0</v>
      </c>
      <c r="DU549" s="161">
        <f t="shared" ref="DU549:DU568" si="2198">BD549</f>
        <v>0</v>
      </c>
      <c r="DV549" s="161">
        <f t="shared" ref="DV549:DV568" si="2199">BE549</f>
        <v>0</v>
      </c>
      <c r="DW549" s="161">
        <f t="shared" ref="DW549:DW568" si="2200">BF549</f>
        <v>0</v>
      </c>
      <c r="DX549" s="161">
        <f t="shared" ref="DX549:DX568" si="2201">BG549</f>
        <v>0</v>
      </c>
      <c r="DY549" s="161">
        <f t="shared" ref="DY549:DY568" si="2202">BH549</f>
        <v>0</v>
      </c>
      <c r="DZ549" s="161">
        <f t="shared" ref="DZ549:DZ568" si="2203">BI549</f>
        <v>0</v>
      </c>
      <c r="EA549" s="161">
        <f t="shared" ref="EA549:EA568" si="2204">BJ549</f>
        <v>0</v>
      </c>
      <c r="EB549" s="161">
        <f t="shared" ref="EB549:EB568" si="2205">BK549</f>
        <v>0</v>
      </c>
      <c r="EC549" s="161">
        <f t="shared" ref="EC549:EC568" si="2206">BL549</f>
        <v>0</v>
      </c>
      <c r="ED549" s="161">
        <f t="shared" ref="ED549:ED568" si="2207">BM549</f>
        <v>0</v>
      </c>
      <c r="EE549" s="161">
        <f t="shared" ref="EE549:EE568" si="2208">BN549</f>
        <v>0</v>
      </c>
      <c r="EF549" s="161">
        <f t="shared" ref="EF549:EF568" si="2209">BO549</f>
        <v>0</v>
      </c>
      <c r="EG549" s="161">
        <f t="shared" ref="EG549:EG568" si="2210">BP549</f>
        <v>0</v>
      </c>
      <c r="EH549" s="161">
        <f t="shared" ref="EH549:EH568" si="2211">BQ549</f>
        <v>0</v>
      </c>
      <c r="EI549" s="161">
        <f t="shared" ref="EI549:EI568" si="2212">BR549</f>
        <v>0</v>
      </c>
      <c r="EJ549" s="65"/>
      <c r="EK549" s="161">
        <f>$EK$548</f>
        <v>0</v>
      </c>
      <c r="EL549" s="161">
        <f>$EL$548</f>
        <v>0</v>
      </c>
      <c r="EM549" s="161">
        <f>$EM$548</f>
        <v>0</v>
      </c>
    </row>
    <row r="550" spans="1:143" ht="12" hidden="1" customHeight="1" outlineLevel="2">
      <c r="A550" s="77">
        <v>2</v>
      </c>
      <c r="B550" s="137" t="str">
        <f t="shared" ref="B550:B568" si="2213">IF(G550&gt;0,G550&amp;" - "&amp;$F$213,"")</f>
        <v>COORD. - Equipe_01</v>
      </c>
      <c r="C550" s="65"/>
      <c r="D550" s="621"/>
      <c r="E550" s="65"/>
      <c r="F550" s="603"/>
      <c r="G550" s="77" t="str">
        <f>IF(INDEX(Tarefas!$BT$30:$FK$30,MATCH(A550,Tarefas!$BT$28:$FK$28,0))=0,"",INDEX(Tarefas!$BT$30:$FK$30,MATCH(A550,Tarefas!$BT$28:$FK$28,0)))</f>
        <v>COORD.</v>
      </c>
      <c r="H550" s="107" cm="1">
        <f t="array" ref="H550">IFERROR((SUMPRODUCT((Tarefas!$N$32:$N$54='Cronog. e Histog.'!$F$549)*(Tarefas!$BQ$30:$FK$30='Cronog. e Histog.'!$G550)*(Tarefas!$BQ$32:$FK$54)))/SUMIF(Tarefas!$N$32:$N$54,'Cronog. e Histog.'!$F$549,Tarefas!$K$32:$K$54),0)</f>
        <v>0</v>
      </c>
      <c r="I550" s="79">
        <f t="shared" ref="I550:I568" si="2214">IFERROR(H550/$H$569,0)</f>
        <v>0</v>
      </c>
      <c r="J550" s="65"/>
      <c r="K550" s="160">
        <f t="shared" ref="K550:Z559" si="2215">ROUND($I550*K$197,2)</f>
        <v>0</v>
      </c>
      <c r="L550" s="160">
        <f t="shared" si="2215"/>
        <v>0</v>
      </c>
      <c r="M550" s="160">
        <f t="shared" si="2215"/>
        <v>0</v>
      </c>
      <c r="N550" s="160">
        <f t="shared" si="2215"/>
        <v>0</v>
      </c>
      <c r="O550" s="160">
        <f t="shared" si="2215"/>
        <v>0</v>
      </c>
      <c r="P550" s="160">
        <f t="shared" si="2215"/>
        <v>0</v>
      </c>
      <c r="Q550" s="160">
        <f t="shared" si="2215"/>
        <v>0</v>
      </c>
      <c r="R550" s="160">
        <f t="shared" si="2215"/>
        <v>0</v>
      </c>
      <c r="S550" s="160">
        <f t="shared" si="2215"/>
        <v>0</v>
      </c>
      <c r="T550" s="160">
        <f t="shared" si="2215"/>
        <v>0</v>
      </c>
      <c r="U550" s="160">
        <f t="shared" si="2215"/>
        <v>0</v>
      </c>
      <c r="V550" s="160">
        <f t="shared" si="2215"/>
        <v>0</v>
      </c>
      <c r="W550" s="160">
        <f t="shared" si="2215"/>
        <v>0</v>
      </c>
      <c r="X550" s="160">
        <f t="shared" si="2215"/>
        <v>0</v>
      </c>
      <c r="Y550" s="160">
        <f t="shared" si="2215"/>
        <v>0</v>
      </c>
      <c r="Z550" s="160">
        <f t="shared" si="2215"/>
        <v>0</v>
      </c>
      <c r="AA550" s="160">
        <f t="shared" ref="AA550:AP559" si="2216">ROUND($I550*AA$197,2)</f>
        <v>0</v>
      </c>
      <c r="AB550" s="160">
        <f t="shared" si="2216"/>
        <v>0</v>
      </c>
      <c r="AC550" s="160">
        <f t="shared" si="2216"/>
        <v>0</v>
      </c>
      <c r="AD550" s="160">
        <f t="shared" si="2216"/>
        <v>0</v>
      </c>
      <c r="AE550" s="160">
        <f t="shared" si="2216"/>
        <v>0</v>
      </c>
      <c r="AF550" s="160">
        <f t="shared" si="2216"/>
        <v>0</v>
      </c>
      <c r="AG550" s="160">
        <f t="shared" si="2216"/>
        <v>0</v>
      </c>
      <c r="AH550" s="160">
        <f t="shared" si="2216"/>
        <v>0</v>
      </c>
      <c r="AI550" s="160">
        <f t="shared" si="2216"/>
        <v>0</v>
      </c>
      <c r="AJ550" s="160">
        <f t="shared" si="2216"/>
        <v>0</v>
      </c>
      <c r="AK550" s="160">
        <f t="shared" si="2216"/>
        <v>0</v>
      </c>
      <c r="AL550" s="160">
        <f t="shared" si="2216"/>
        <v>0</v>
      </c>
      <c r="AM550" s="160">
        <f t="shared" si="2216"/>
        <v>0</v>
      </c>
      <c r="AN550" s="160">
        <f t="shared" si="2216"/>
        <v>0</v>
      </c>
      <c r="AO550" s="160">
        <f t="shared" si="2216"/>
        <v>0</v>
      </c>
      <c r="AP550" s="160">
        <f t="shared" si="2216"/>
        <v>0</v>
      </c>
      <c r="AQ550" s="160">
        <f t="shared" ref="AQ550:BF559" si="2217">ROUND($I550*AQ$197,2)</f>
        <v>0</v>
      </c>
      <c r="AR550" s="160">
        <f t="shared" si="2217"/>
        <v>0</v>
      </c>
      <c r="AS550" s="160">
        <f t="shared" si="2217"/>
        <v>0</v>
      </c>
      <c r="AT550" s="160">
        <f t="shared" si="2217"/>
        <v>0</v>
      </c>
      <c r="AU550" s="160">
        <f t="shared" si="2217"/>
        <v>0</v>
      </c>
      <c r="AV550" s="160">
        <f t="shared" si="2217"/>
        <v>0</v>
      </c>
      <c r="AW550" s="160">
        <f t="shared" si="2217"/>
        <v>0</v>
      </c>
      <c r="AX550" s="160">
        <f t="shared" si="2217"/>
        <v>0</v>
      </c>
      <c r="AY550" s="160">
        <f t="shared" si="2217"/>
        <v>0</v>
      </c>
      <c r="AZ550" s="160">
        <f t="shared" si="2217"/>
        <v>0</v>
      </c>
      <c r="BA550" s="160">
        <f t="shared" si="2217"/>
        <v>0</v>
      </c>
      <c r="BB550" s="160">
        <f t="shared" si="2217"/>
        <v>0</v>
      </c>
      <c r="BC550" s="160">
        <f t="shared" si="2217"/>
        <v>0</v>
      </c>
      <c r="BD550" s="160">
        <f t="shared" si="2217"/>
        <v>0</v>
      </c>
      <c r="BE550" s="160">
        <f t="shared" si="2217"/>
        <v>0</v>
      </c>
      <c r="BF550" s="160">
        <f t="shared" si="2217"/>
        <v>0</v>
      </c>
      <c r="BG550" s="160">
        <f t="shared" ref="BG550:BR559" si="2218">ROUND($I550*BG$197,2)</f>
        <v>0</v>
      </c>
      <c r="BH550" s="160">
        <f t="shared" si="2218"/>
        <v>0</v>
      </c>
      <c r="BI550" s="160">
        <f t="shared" si="2218"/>
        <v>0</v>
      </c>
      <c r="BJ550" s="160">
        <f t="shared" si="2218"/>
        <v>0</v>
      </c>
      <c r="BK550" s="160">
        <f t="shared" si="2218"/>
        <v>0</v>
      </c>
      <c r="BL550" s="160">
        <f t="shared" si="2218"/>
        <v>0</v>
      </c>
      <c r="BM550" s="160">
        <f t="shared" si="2218"/>
        <v>0</v>
      </c>
      <c r="BN550" s="160">
        <f t="shared" si="2218"/>
        <v>0</v>
      </c>
      <c r="BO550" s="160">
        <f t="shared" si="2218"/>
        <v>0</v>
      </c>
      <c r="BP550" s="160">
        <f t="shared" si="2218"/>
        <v>0</v>
      </c>
      <c r="BQ550" s="160">
        <f t="shared" si="2218"/>
        <v>0</v>
      </c>
      <c r="BR550" s="160">
        <f t="shared" si="2218"/>
        <v>0</v>
      </c>
      <c r="BS550" s="65"/>
      <c r="BT550" s="160">
        <f t="shared" ref="BT550:BT559" si="2219">IFERROR(SUM(K550:BR550)/COUNTIF(K550:BR550,"&gt;0"),0)</f>
        <v>0</v>
      </c>
      <c r="BU550" s="160">
        <f t="shared" ref="BU550:BU559" si="2220">COUNTIF(K550:BR550,"&gt;0")</f>
        <v>0</v>
      </c>
      <c r="BV550" s="65"/>
      <c r="BW550" s="69"/>
      <c r="BX550" s="65"/>
      <c r="BY550" s="137">
        <f t="shared" ref="BY550:BY559" si="2221">IF(G550&gt;0,1,0)</f>
        <v>1</v>
      </c>
      <c r="BZ550" s="137">
        <f>IF(BY550&gt;0,BY550+LARGE($BZ$213:BZ549,1),0)</f>
        <v>282</v>
      </c>
      <c r="CA550" s="137" t="str">
        <f t="shared" ref="CA550:CA559" si="2222">G550</f>
        <v>COORD.</v>
      </c>
      <c r="CB550" s="161">
        <f t="shared" ref="CB550:CB559" si="2223">K550</f>
        <v>0</v>
      </c>
      <c r="CC550" s="161">
        <f t="shared" ref="CC550:CC559" si="2224">L550</f>
        <v>0</v>
      </c>
      <c r="CD550" s="161">
        <f t="shared" ref="CD550:CD559" si="2225">M550</f>
        <v>0</v>
      </c>
      <c r="CE550" s="161">
        <f t="shared" ref="CE550:CE559" si="2226">N550</f>
        <v>0</v>
      </c>
      <c r="CF550" s="161">
        <f t="shared" ref="CF550:CF559" si="2227">O550</f>
        <v>0</v>
      </c>
      <c r="CG550" s="161">
        <f t="shared" ref="CG550:CG559" si="2228">P550</f>
        <v>0</v>
      </c>
      <c r="CH550" s="161">
        <f t="shared" ref="CH550:CH559" si="2229">Q550</f>
        <v>0</v>
      </c>
      <c r="CI550" s="161">
        <f t="shared" ref="CI550:CI559" si="2230">R550</f>
        <v>0</v>
      </c>
      <c r="CJ550" s="161">
        <f t="shared" ref="CJ550:CJ559" si="2231">S550</f>
        <v>0</v>
      </c>
      <c r="CK550" s="161">
        <f t="shared" ref="CK550:CK559" si="2232">T550</f>
        <v>0</v>
      </c>
      <c r="CL550" s="161">
        <f t="shared" ref="CL550:CL559" si="2233">U550</f>
        <v>0</v>
      </c>
      <c r="CM550" s="161">
        <f t="shared" ref="CM550:CM559" si="2234">V550</f>
        <v>0</v>
      </c>
      <c r="CN550" s="161">
        <f t="shared" ref="CN550:CN559" si="2235">W550</f>
        <v>0</v>
      </c>
      <c r="CO550" s="161">
        <f t="shared" ref="CO550:CO559" si="2236">X550</f>
        <v>0</v>
      </c>
      <c r="CP550" s="161">
        <f t="shared" ref="CP550:CP559" si="2237">Y550</f>
        <v>0</v>
      </c>
      <c r="CQ550" s="161">
        <f t="shared" ref="CQ550:CQ559" si="2238">Z550</f>
        <v>0</v>
      </c>
      <c r="CR550" s="161">
        <f t="shared" ref="CR550:CR559" si="2239">AA550</f>
        <v>0</v>
      </c>
      <c r="CS550" s="161">
        <f t="shared" ref="CS550:CS559" si="2240">AB550</f>
        <v>0</v>
      </c>
      <c r="CT550" s="161">
        <f t="shared" ref="CT550:CT559" si="2241">AC550</f>
        <v>0</v>
      </c>
      <c r="CU550" s="161">
        <f t="shared" ref="CU550:CU559" si="2242">AD550</f>
        <v>0</v>
      </c>
      <c r="CV550" s="161">
        <f t="shared" ref="CV550:CV559" si="2243">AE550</f>
        <v>0</v>
      </c>
      <c r="CW550" s="161">
        <f t="shared" ref="CW550:CW559" si="2244">AF550</f>
        <v>0</v>
      </c>
      <c r="CX550" s="161">
        <f t="shared" ref="CX550:CX559" si="2245">AG550</f>
        <v>0</v>
      </c>
      <c r="CY550" s="161">
        <f t="shared" ref="CY550:CY559" si="2246">AH550</f>
        <v>0</v>
      </c>
      <c r="CZ550" s="161">
        <f t="shared" ref="CZ550:CZ559" si="2247">AI550</f>
        <v>0</v>
      </c>
      <c r="DA550" s="161">
        <f t="shared" ref="DA550:DA559" si="2248">AJ550</f>
        <v>0</v>
      </c>
      <c r="DB550" s="161">
        <f t="shared" ref="DB550:DB559" si="2249">AK550</f>
        <v>0</v>
      </c>
      <c r="DC550" s="161">
        <f t="shared" ref="DC550:DC559" si="2250">AL550</f>
        <v>0</v>
      </c>
      <c r="DD550" s="161">
        <f t="shared" ref="DD550:DD559" si="2251">AM550</f>
        <v>0</v>
      </c>
      <c r="DE550" s="161">
        <f t="shared" ref="DE550:DE559" si="2252">AN550</f>
        <v>0</v>
      </c>
      <c r="DF550" s="161">
        <f t="shared" ref="DF550:DF559" si="2253">AO550</f>
        <v>0</v>
      </c>
      <c r="DG550" s="161">
        <f t="shared" ref="DG550:DG559" si="2254">AP550</f>
        <v>0</v>
      </c>
      <c r="DH550" s="161">
        <f t="shared" ref="DH550:DH559" si="2255">AQ550</f>
        <v>0</v>
      </c>
      <c r="DI550" s="161">
        <f t="shared" ref="DI550:DI559" si="2256">AR550</f>
        <v>0</v>
      </c>
      <c r="DJ550" s="161">
        <f t="shared" ref="DJ550:DJ559" si="2257">AS550</f>
        <v>0</v>
      </c>
      <c r="DK550" s="161">
        <f t="shared" ref="DK550:DK559" si="2258">AT550</f>
        <v>0</v>
      </c>
      <c r="DL550" s="161">
        <f t="shared" ref="DL550:DL559" si="2259">AU550</f>
        <v>0</v>
      </c>
      <c r="DM550" s="161">
        <f t="shared" ref="DM550:DM559" si="2260">AV550</f>
        <v>0</v>
      </c>
      <c r="DN550" s="161">
        <f t="shared" ref="DN550:DN559" si="2261">AW550</f>
        <v>0</v>
      </c>
      <c r="DO550" s="161">
        <f t="shared" ref="DO550:DO559" si="2262">AX550</f>
        <v>0</v>
      </c>
      <c r="DP550" s="161">
        <f t="shared" ref="DP550:DP559" si="2263">AY550</f>
        <v>0</v>
      </c>
      <c r="DQ550" s="161">
        <f t="shared" ref="DQ550:DQ559" si="2264">AZ550</f>
        <v>0</v>
      </c>
      <c r="DR550" s="161">
        <f t="shared" ref="DR550:DR559" si="2265">BA550</f>
        <v>0</v>
      </c>
      <c r="DS550" s="161">
        <f t="shared" ref="DS550:DS559" si="2266">BB550</f>
        <v>0</v>
      </c>
      <c r="DT550" s="161">
        <f t="shared" ref="DT550:DT559" si="2267">BC550</f>
        <v>0</v>
      </c>
      <c r="DU550" s="161">
        <f t="shared" ref="DU550:DU559" si="2268">BD550</f>
        <v>0</v>
      </c>
      <c r="DV550" s="161">
        <f t="shared" ref="DV550:DV559" si="2269">BE550</f>
        <v>0</v>
      </c>
      <c r="DW550" s="161">
        <f t="shared" ref="DW550:DW559" si="2270">BF550</f>
        <v>0</v>
      </c>
      <c r="DX550" s="161">
        <f t="shared" ref="DX550:DX559" si="2271">BG550</f>
        <v>0</v>
      </c>
      <c r="DY550" s="161">
        <f t="shared" ref="DY550:DY559" si="2272">BH550</f>
        <v>0</v>
      </c>
      <c r="DZ550" s="161">
        <f t="shared" ref="DZ550:DZ559" si="2273">BI550</f>
        <v>0</v>
      </c>
      <c r="EA550" s="161">
        <f t="shared" ref="EA550:EA559" si="2274">BJ550</f>
        <v>0</v>
      </c>
      <c r="EB550" s="161">
        <f t="shared" ref="EB550:EB559" si="2275">BK550</f>
        <v>0</v>
      </c>
      <c r="EC550" s="161">
        <f t="shared" ref="EC550:EC559" si="2276">BL550</f>
        <v>0</v>
      </c>
      <c r="ED550" s="161">
        <f t="shared" ref="ED550:ED559" si="2277">BM550</f>
        <v>0</v>
      </c>
      <c r="EE550" s="161">
        <f t="shared" ref="EE550:EE559" si="2278">BN550</f>
        <v>0</v>
      </c>
      <c r="EF550" s="161">
        <f t="shared" ref="EF550:EF559" si="2279">BO550</f>
        <v>0</v>
      </c>
      <c r="EG550" s="161">
        <f t="shared" ref="EG550:EG559" si="2280">BP550</f>
        <v>0</v>
      </c>
      <c r="EH550" s="161">
        <f t="shared" ref="EH550:EH559" si="2281">BQ550</f>
        <v>0</v>
      </c>
      <c r="EI550" s="161">
        <f t="shared" ref="EI550:EI559" si="2282">BR550</f>
        <v>0</v>
      </c>
      <c r="EJ550" s="65"/>
      <c r="EK550" s="161">
        <f t="shared" ref="EK550:EK568" si="2283">$EK$548</f>
        <v>0</v>
      </c>
      <c r="EL550" s="161">
        <f t="shared" ref="EL550:EL568" si="2284">$EL$548</f>
        <v>0</v>
      </c>
      <c r="EM550" s="161">
        <f t="shared" ref="EM550:EM568" si="2285">$EM$548</f>
        <v>0</v>
      </c>
    </row>
    <row r="551" spans="1:143" ht="12" hidden="1" customHeight="1" outlineLevel="2">
      <c r="A551" s="77">
        <v>3</v>
      </c>
      <c r="B551" s="137" t="str">
        <f t="shared" si="2213"/>
        <v>SUP.-ESP - Equipe_01</v>
      </c>
      <c r="C551" s="65"/>
      <c r="D551" s="621"/>
      <c r="E551" s="65"/>
      <c r="F551" s="603"/>
      <c r="G551" s="77" t="str">
        <f>IF(INDEX(Tarefas!$BT$30:$FK$30,MATCH(A551,Tarefas!$BT$28:$FK$28,0))=0,"",INDEX(Tarefas!$BT$30:$FK$30,MATCH(A551,Tarefas!$BT$28:$FK$28,0)))</f>
        <v>SUP.-ESP</v>
      </c>
      <c r="H551" s="107" cm="1">
        <f t="array" ref="H551">IFERROR((SUMPRODUCT((Tarefas!$N$32:$N$54='Cronog. e Histog.'!$F$549)*(Tarefas!$BQ$30:$FK$30='Cronog. e Histog.'!$G551)*(Tarefas!$BQ$32:$FK$54)))/SUMIF(Tarefas!$N$32:$N$54,'Cronog. e Histog.'!$F$549,Tarefas!$K$32:$K$54),0)</f>
        <v>0</v>
      </c>
      <c r="I551" s="79">
        <f t="shared" si="2214"/>
        <v>0</v>
      </c>
      <c r="J551" s="65"/>
      <c r="K551" s="160">
        <f t="shared" si="2215"/>
        <v>0</v>
      </c>
      <c r="L551" s="160">
        <f t="shared" si="2215"/>
        <v>0</v>
      </c>
      <c r="M551" s="160">
        <f t="shared" si="2215"/>
        <v>0</v>
      </c>
      <c r="N551" s="160">
        <f t="shared" si="2215"/>
        <v>0</v>
      </c>
      <c r="O551" s="160">
        <f t="shared" si="2215"/>
        <v>0</v>
      </c>
      <c r="P551" s="160">
        <f t="shared" si="2215"/>
        <v>0</v>
      </c>
      <c r="Q551" s="160">
        <f t="shared" si="2215"/>
        <v>0</v>
      </c>
      <c r="R551" s="160">
        <f t="shared" si="2215"/>
        <v>0</v>
      </c>
      <c r="S551" s="160">
        <f t="shared" si="2215"/>
        <v>0</v>
      </c>
      <c r="T551" s="160">
        <f t="shared" si="2215"/>
        <v>0</v>
      </c>
      <c r="U551" s="160">
        <f t="shared" si="2215"/>
        <v>0</v>
      </c>
      <c r="V551" s="160">
        <f t="shared" si="2215"/>
        <v>0</v>
      </c>
      <c r="W551" s="160">
        <f t="shared" si="2215"/>
        <v>0</v>
      </c>
      <c r="X551" s="160">
        <f t="shared" si="2215"/>
        <v>0</v>
      </c>
      <c r="Y551" s="160">
        <f t="shared" si="2215"/>
        <v>0</v>
      </c>
      <c r="Z551" s="160">
        <f t="shared" si="2215"/>
        <v>0</v>
      </c>
      <c r="AA551" s="160">
        <f t="shared" si="2216"/>
        <v>0</v>
      </c>
      <c r="AB551" s="160">
        <f t="shared" si="2216"/>
        <v>0</v>
      </c>
      <c r="AC551" s="160">
        <f t="shared" si="2216"/>
        <v>0</v>
      </c>
      <c r="AD551" s="160">
        <f t="shared" si="2216"/>
        <v>0</v>
      </c>
      <c r="AE551" s="160">
        <f t="shared" si="2216"/>
        <v>0</v>
      </c>
      <c r="AF551" s="160">
        <f t="shared" si="2216"/>
        <v>0</v>
      </c>
      <c r="AG551" s="160">
        <f t="shared" si="2216"/>
        <v>0</v>
      </c>
      <c r="AH551" s="160">
        <f t="shared" si="2216"/>
        <v>0</v>
      </c>
      <c r="AI551" s="160">
        <f t="shared" si="2216"/>
        <v>0</v>
      </c>
      <c r="AJ551" s="160">
        <f t="shared" si="2216"/>
        <v>0</v>
      </c>
      <c r="AK551" s="160">
        <f t="shared" si="2216"/>
        <v>0</v>
      </c>
      <c r="AL551" s="160">
        <f t="shared" si="2216"/>
        <v>0</v>
      </c>
      <c r="AM551" s="160">
        <f t="shared" si="2216"/>
        <v>0</v>
      </c>
      <c r="AN551" s="160">
        <f t="shared" si="2216"/>
        <v>0</v>
      </c>
      <c r="AO551" s="160">
        <f t="shared" si="2216"/>
        <v>0</v>
      </c>
      <c r="AP551" s="160">
        <f t="shared" si="2216"/>
        <v>0</v>
      </c>
      <c r="AQ551" s="160">
        <f t="shared" si="2217"/>
        <v>0</v>
      </c>
      <c r="AR551" s="160">
        <f t="shared" si="2217"/>
        <v>0</v>
      </c>
      <c r="AS551" s="160">
        <f t="shared" si="2217"/>
        <v>0</v>
      </c>
      <c r="AT551" s="160">
        <f t="shared" si="2217"/>
        <v>0</v>
      </c>
      <c r="AU551" s="160">
        <f t="shared" si="2217"/>
        <v>0</v>
      </c>
      <c r="AV551" s="160">
        <f t="shared" si="2217"/>
        <v>0</v>
      </c>
      <c r="AW551" s="160">
        <f t="shared" si="2217"/>
        <v>0</v>
      </c>
      <c r="AX551" s="160">
        <f t="shared" si="2217"/>
        <v>0</v>
      </c>
      <c r="AY551" s="160">
        <f t="shared" si="2217"/>
        <v>0</v>
      </c>
      <c r="AZ551" s="160">
        <f t="shared" si="2217"/>
        <v>0</v>
      </c>
      <c r="BA551" s="160">
        <f t="shared" si="2217"/>
        <v>0</v>
      </c>
      <c r="BB551" s="160">
        <f t="shared" si="2217"/>
        <v>0</v>
      </c>
      <c r="BC551" s="160">
        <f t="shared" si="2217"/>
        <v>0</v>
      </c>
      <c r="BD551" s="160">
        <f t="shared" si="2217"/>
        <v>0</v>
      </c>
      <c r="BE551" s="160">
        <f t="shared" si="2217"/>
        <v>0</v>
      </c>
      <c r="BF551" s="160">
        <f t="shared" si="2217"/>
        <v>0</v>
      </c>
      <c r="BG551" s="160">
        <f t="shared" si="2218"/>
        <v>0</v>
      </c>
      <c r="BH551" s="160">
        <f t="shared" si="2218"/>
        <v>0</v>
      </c>
      <c r="BI551" s="160">
        <f t="shared" si="2218"/>
        <v>0</v>
      </c>
      <c r="BJ551" s="160">
        <f t="shared" si="2218"/>
        <v>0</v>
      </c>
      <c r="BK551" s="160">
        <f t="shared" si="2218"/>
        <v>0</v>
      </c>
      <c r="BL551" s="160">
        <f t="shared" si="2218"/>
        <v>0</v>
      </c>
      <c r="BM551" s="160">
        <f t="shared" si="2218"/>
        <v>0</v>
      </c>
      <c r="BN551" s="160">
        <f t="shared" si="2218"/>
        <v>0</v>
      </c>
      <c r="BO551" s="160">
        <f t="shared" si="2218"/>
        <v>0</v>
      </c>
      <c r="BP551" s="160">
        <f t="shared" si="2218"/>
        <v>0</v>
      </c>
      <c r="BQ551" s="160">
        <f t="shared" si="2218"/>
        <v>0</v>
      </c>
      <c r="BR551" s="160">
        <f t="shared" si="2218"/>
        <v>0</v>
      </c>
      <c r="BS551" s="65"/>
      <c r="BT551" s="160">
        <f t="shared" si="2219"/>
        <v>0</v>
      </c>
      <c r="BU551" s="160">
        <f t="shared" si="2220"/>
        <v>0</v>
      </c>
      <c r="BV551" s="65"/>
      <c r="BW551" s="69"/>
      <c r="BX551" s="65"/>
      <c r="BY551" s="137">
        <f t="shared" si="2221"/>
        <v>1</v>
      </c>
      <c r="BZ551" s="137">
        <f>IF(BY551&gt;0,BY551+LARGE($BZ$213:BZ550,1),0)</f>
        <v>283</v>
      </c>
      <c r="CA551" s="137" t="str">
        <f t="shared" si="2222"/>
        <v>SUP.-ESP</v>
      </c>
      <c r="CB551" s="161">
        <f t="shared" si="2223"/>
        <v>0</v>
      </c>
      <c r="CC551" s="161">
        <f t="shared" si="2224"/>
        <v>0</v>
      </c>
      <c r="CD551" s="161">
        <f t="shared" si="2225"/>
        <v>0</v>
      </c>
      <c r="CE551" s="161">
        <f t="shared" si="2226"/>
        <v>0</v>
      </c>
      <c r="CF551" s="161">
        <f t="shared" si="2227"/>
        <v>0</v>
      </c>
      <c r="CG551" s="161">
        <f t="shared" si="2228"/>
        <v>0</v>
      </c>
      <c r="CH551" s="161">
        <f t="shared" si="2229"/>
        <v>0</v>
      </c>
      <c r="CI551" s="161">
        <f t="shared" si="2230"/>
        <v>0</v>
      </c>
      <c r="CJ551" s="161">
        <f t="shared" si="2231"/>
        <v>0</v>
      </c>
      <c r="CK551" s="161">
        <f t="shared" si="2232"/>
        <v>0</v>
      </c>
      <c r="CL551" s="161">
        <f t="shared" si="2233"/>
        <v>0</v>
      </c>
      <c r="CM551" s="161">
        <f t="shared" si="2234"/>
        <v>0</v>
      </c>
      <c r="CN551" s="161">
        <f t="shared" si="2235"/>
        <v>0</v>
      </c>
      <c r="CO551" s="161">
        <f t="shared" si="2236"/>
        <v>0</v>
      </c>
      <c r="CP551" s="161">
        <f t="shared" si="2237"/>
        <v>0</v>
      </c>
      <c r="CQ551" s="161">
        <f t="shared" si="2238"/>
        <v>0</v>
      </c>
      <c r="CR551" s="161">
        <f t="shared" si="2239"/>
        <v>0</v>
      </c>
      <c r="CS551" s="161">
        <f t="shared" si="2240"/>
        <v>0</v>
      </c>
      <c r="CT551" s="161">
        <f t="shared" si="2241"/>
        <v>0</v>
      </c>
      <c r="CU551" s="161">
        <f t="shared" si="2242"/>
        <v>0</v>
      </c>
      <c r="CV551" s="161">
        <f t="shared" si="2243"/>
        <v>0</v>
      </c>
      <c r="CW551" s="161">
        <f t="shared" si="2244"/>
        <v>0</v>
      </c>
      <c r="CX551" s="161">
        <f t="shared" si="2245"/>
        <v>0</v>
      </c>
      <c r="CY551" s="161">
        <f t="shared" si="2246"/>
        <v>0</v>
      </c>
      <c r="CZ551" s="161">
        <f t="shared" si="2247"/>
        <v>0</v>
      </c>
      <c r="DA551" s="161">
        <f t="shared" si="2248"/>
        <v>0</v>
      </c>
      <c r="DB551" s="161">
        <f t="shared" si="2249"/>
        <v>0</v>
      </c>
      <c r="DC551" s="161">
        <f t="shared" si="2250"/>
        <v>0</v>
      </c>
      <c r="DD551" s="161">
        <f t="shared" si="2251"/>
        <v>0</v>
      </c>
      <c r="DE551" s="161">
        <f t="shared" si="2252"/>
        <v>0</v>
      </c>
      <c r="DF551" s="161">
        <f t="shared" si="2253"/>
        <v>0</v>
      </c>
      <c r="DG551" s="161">
        <f t="shared" si="2254"/>
        <v>0</v>
      </c>
      <c r="DH551" s="161">
        <f t="shared" si="2255"/>
        <v>0</v>
      </c>
      <c r="DI551" s="161">
        <f t="shared" si="2256"/>
        <v>0</v>
      </c>
      <c r="DJ551" s="161">
        <f t="shared" si="2257"/>
        <v>0</v>
      </c>
      <c r="DK551" s="161">
        <f t="shared" si="2258"/>
        <v>0</v>
      </c>
      <c r="DL551" s="161">
        <f t="shared" si="2259"/>
        <v>0</v>
      </c>
      <c r="DM551" s="161">
        <f t="shared" si="2260"/>
        <v>0</v>
      </c>
      <c r="DN551" s="161">
        <f t="shared" si="2261"/>
        <v>0</v>
      </c>
      <c r="DO551" s="161">
        <f t="shared" si="2262"/>
        <v>0</v>
      </c>
      <c r="DP551" s="161">
        <f t="shared" si="2263"/>
        <v>0</v>
      </c>
      <c r="DQ551" s="161">
        <f t="shared" si="2264"/>
        <v>0</v>
      </c>
      <c r="DR551" s="161">
        <f t="shared" si="2265"/>
        <v>0</v>
      </c>
      <c r="DS551" s="161">
        <f t="shared" si="2266"/>
        <v>0</v>
      </c>
      <c r="DT551" s="161">
        <f t="shared" si="2267"/>
        <v>0</v>
      </c>
      <c r="DU551" s="161">
        <f t="shared" si="2268"/>
        <v>0</v>
      </c>
      <c r="DV551" s="161">
        <f t="shared" si="2269"/>
        <v>0</v>
      </c>
      <c r="DW551" s="161">
        <f t="shared" si="2270"/>
        <v>0</v>
      </c>
      <c r="DX551" s="161">
        <f t="shared" si="2271"/>
        <v>0</v>
      </c>
      <c r="DY551" s="161">
        <f t="shared" si="2272"/>
        <v>0</v>
      </c>
      <c r="DZ551" s="161">
        <f t="shared" si="2273"/>
        <v>0</v>
      </c>
      <c r="EA551" s="161">
        <f t="shared" si="2274"/>
        <v>0</v>
      </c>
      <c r="EB551" s="161">
        <f t="shared" si="2275"/>
        <v>0</v>
      </c>
      <c r="EC551" s="161">
        <f t="shared" si="2276"/>
        <v>0</v>
      </c>
      <c r="ED551" s="161">
        <f t="shared" si="2277"/>
        <v>0</v>
      </c>
      <c r="EE551" s="161">
        <f t="shared" si="2278"/>
        <v>0</v>
      </c>
      <c r="EF551" s="161">
        <f t="shared" si="2279"/>
        <v>0</v>
      </c>
      <c r="EG551" s="161">
        <f t="shared" si="2280"/>
        <v>0</v>
      </c>
      <c r="EH551" s="161">
        <f t="shared" si="2281"/>
        <v>0</v>
      </c>
      <c r="EI551" s="161">
        <f t="shared" si="2282"/>
        <v>0</v>
      </c>
      <c r="EJ551" s="65"/>
      <c r="EK551" s="161">
        <f t="shared" si="2283"/>
        <v>0</v>
      </c>
      <c r="EL551" s="161">
        <f t="shared" si="2284"/>
        <v>0</v>
      </c>
      <c r="EM551" s="161">
        <f t="shared" si="2285"/>
        <v>0</v>
      </c>
    </row>
    <row r="552" spans="1:143" ht="12" hidden="1" customHeight="1" outlineLevel="2">
      <c r="A552" s="77">
        <v>4</v>
      </c>
      <c r="B552" s="137" t="str">
        <f t="shared" si="2213"/>
        <v>ENG/ARQ SR. - Equipe_01</v>
      </c>
      <c r="C552" s="65"/>
      <c r="D552" s="621"/>
      <c r="E552" s="65"/>
      <c r="F552" s="603"/>
      <c r="G552" s="77" t="str">
        <f>IF(INDEX(Tarefas!$BT$30:$FK$30,MATCH(A552,Tarefas!$BT$28:$FK$28,0))=0,"",INDEX(Tarefas!$BT$30:$FK$30,MATCH(A552,Tarefas!$BT$28:$FK$28,0)))</f>
        <v>ENG/ARQ SR.</v>
      </c>
      <c r="H552" s="107" cm="1">
        <f t="array" ref="H552">IFERROR((SUMPRODUCT((Tarefas!$N$32:$N$54='Cronog. e Histog.'!$F$549)*(Tarefas!$BQ$30:$FK$30='Cronog. e Histog.'!$G552)*(Tarefas!$BQ$32:$FK$54)))/SUMIF(Tarefas!$N$32:$N$54,'Cronog. e Histog.'!$F$549,Tarefas!$K$32:$K$54),0)</f>
        <v>0</v>
      </c>
      <c r="I552" s="79">
        <f t="shared" si="2214"/>
        <v>0</v>
      </c>
      <c r="J552" s="65"/>
      <c r="K552" s="160">
        <f t="shared" si="2215"/>
        <v>0</v>
      </c>
      <c r="L552" s="160">
        <f t="shared" si="2215"/>
        <v>0</v>
      </c>
      <c r="M552" s="160">
        <f t="shared" si="2215"/>
        <v>0</v>
      </c>
      <c r="N552" s="160">
        <f t="shared" si="2215"/>
        <v>0</v>
      </c>
      <c r="O552" s="160">
        <f t="shared" si="2215"/>
        <v>0</v>
      </c>
      <c r="P552" s="160">
        <f t="shared" si="2215"/>
        <v>0</v>
      </c>
      <c r="Q552" s="160">
        <f t="shared" si="2215"/>
        <v>0</v>
      </c>
      <c r="R552" s="160">
        <f t="shared" si="2215"/>
        <v>0</v>
      </c>
      <c r="S552" s="160">
        <f t="shared" si="2215"/>
        <v>0</v>
      </c>
      <c r="T552" s="160">
        <f t="shared" si="2215"/>
        <v>0</v>
      </c>
      <c r="U552" s="160">
        <f t="shared" si="2215"/>
        <v>0</v>
      </c>
      <c r="V552" s="160">
        <f t="shared" si="2215"/>
        <v>0</v>
      </c>
      <c r="W552" s="160">
        <f t="shared" si="2215"/>
        <v>0</v>
      </c>
      <c r="X552" s="160">
        <f t="shared" si="2215"/>
        <v>0</v>
      </c>
      <c r="Y552" s="160">
        <f t="shared" si="2215"/>
        <v>0</v>
      </c>
      <c r="Z552" s="160">
        <f t="shared" si="2215"/>
        <v>0</v>
      </c>
      <c r="AA552" s="160">
        <f t="shared" si="2216"/>
        <v>0</v>
      </c>
      <c r="AB552" s="160">
        <f t="shared" si="2216"/>
        <v>0</v>
      </c>
      <c r="AC552" s="160">
        <f t="shared" si="2216"/>
        <v>0</v>
      </c>
      <c r="AD552" s="160">
        <f t="shared" si="2216"/>
        <v>0</v>
      </c>
      <c r="AE552" s="160">
        <f t="shared" si="2216"/>
        <v>0</v>
      </c>
      <c r="AF552" s="160">
        <f t="shared" si="2216"/>
        <v>0</v>
      </c>
      <c r="AG552" s="160">
        <f t="shared" si="2216"/>
        <v>0</v>
      </c>
      <c r="AH552" s="160">
        <f t="shared" si="2216"/>
        <v>0</v>
      </c>
      <c r="AI552" s="160">
        <f t="shared" si="2216"/>
        <v>0</v>
      </c>
      <c r="AJ552" s="160">
        <f t="shared" si="2216"/>
        <v>0</v>
      </c>
      <c r="AK552" s="160">
        <f t="shared" si="2216"/>
        <v>0</v>
      </c>
      <c r="AL552" s="160">
        <f t="shared" si="2216"/>
        <v>0</v>
      </c>
      <c r="AM552" s="160">
        <f t="shared" si="2216"/>
        <v>0</v>
      </c>
      <c r="AN552" s="160">
        <f t="shared" si="2216"/>
        <v>0</v>
      </c>
      <c r="AO552" s="160">
        <f t="shared" si="2216"/>
        <v>0</v>
      </c>
      <c r="AP552" s="160">
        <f t="shared" si="2216"/>
        <v>0</v>
      </c>
      <c r="AQ552" s="160">
        <f t="shared" si="2217"/>
        <v>0</v>
      </c>
      <c r="AR552" s="160">
        <f t="shared" si="2217"/>
        <v>0</v>
      </c>
      <c r="AS552" s="160">
        <f t="shared" si="2217"/>
        <v>0</v>
      </c>
      <c r="AT552" s="160">
        <f t="shared" si="2217"/>
        <v>0</v>
      </c>
      <c r="AU552" s="160">
        <f t="shared" si="2217"/>
        <v>0</v>
      </c>
      <c r="AV552" s="160">
        <f t="shared" si="2217"/>
        <v>0</v>
      </c>
      <c r="AW552" s="160">
        <f t="shared" si="2217"/>
        <v>0</v>
      </c>
      <c r="AX552" s="160">
        <f t="shared" si="2217"/>
        <v>0</v>
      </c>
      <c r="AY552" s="160">
        <f t="shared" si="2217"/>
        <v>0</v>
      </c>
      <c r="AZ552" s="160">
        <f t="shared" si="2217"/>
        <v>0</v>
      </c>
      <c r="BA552" s="160">
        <f t="shared" si="2217"/>
        <v>0</v>
      </c>
      <c r="BB552" s="160">
        <f t="shared" si="2217"/>
        <v>0</v>
      </c>
      <c r="BC552" s="160">
        <f t="shared" si="2217"/>
        <v>0</v>
      </c>
      <c r="BD552" s="160">
        <f t="shared" si="2217"/>
        <v>0</v>
      </c>
      <c r="BE552" s="160">
        <f t="shared" si="2217"/>
        <v>0</v>
      </c>
      <c r="BF552" s="160">
        <f t="shared" si="2217"/>
        <v>0</v>
      </c>
      <c r="BG552" s="160">
        <f t="shared" si="2218"/>
        <v>0</v>
      </c>
      <c r="BH552" s="160">
        <f t="shared" si="2218"/>
        <v>0</v>
      </c>
      <c r="BI552" s="160">
        <f t="shared" si="2218"/>
        <v>0</v>
      </c>
      <c r="BJ552" s="160">
        <f t="shared" si="2218"/>
        <v>0</v>
      </c>
      <c r="BK552" s="160">
        <f t="shared" si="2218"/>
        <v>0</v>
      </c>
      <c r="BL552" s="160">
        <f t="shared" si="2218"/>
        <v>0</v>
      </c>
      <c r="BM552" s="160">
        <f t="shared" si="2218"/>
        <v>0</v>
      </c>
      <c r="BN552" s="160">
        <f t="shared" si="2218"/>
        <v>0</v>
      </c>
      <c r="BO552" s="160">
        <f t="shared" si="2218"/>
        <v>0</v>
      </c>
      <c r="BP552" s="160">
        <f t="shared" si="2218"/>
        <v>0</v>
      </c>
      <c r="BQ552" s="160">
        <f t="shared" si="2218"/>
        <v>0</v>
      </c>
      <c r="BR552" s="160">
        <f t="shared" si="2218"/>
        <v>0</v>
      </c>
      <c r="BS552" s="65"/>
      <c r="BT552" s="160">
        <f t="shared" si="2219"/>
        <v>0</v>
      </c>
      <c r="BU552" s="160">
        <f t="shared" si="2220"/>
        <v>0</v>
      </c>
      <c r="BV552" s="65"/>
      <c r="BW552" s="69"/>
      <c r="BX552" s="65"/>
      <c r="BY552" s="137">
        <f t="shared" si="2221"/>
        <v>1</v>
      </c>
      <c r="BZ552" s="137">
        <f>IF(BY552&gt;0,BY552+LARGE($BZ$213:BZ551,1),0)</f>
        <v>284</v>
      </c>
      <c r="CA552" s="137" t="str">
        <f t="shared" si="2222"/>
        <v>ENG/ARQ SR.</v>
      </c>
      <c r="CB552" s="161">
        <f t="shared" si="2223"/>
        <v>0</v>
      </c>
      <c r="CC552" s="161">
        <f t="shared" si="2224"/>
        <v>0</v>
      </c>
      <c r="CD552" s="161">
        <f t="shared" si="2225"/>
        <v>0</v>
      </c>
      <c r="CE552" s="161">
        <f t="shared" si="2226"/>
        <v>0</v>
      </c>
      <c r="CF552" s="161">
        <f t="shared" si="2227"/>
        <v>0</v>
      </c>
      <c r="CG552" s="161">
        <f t="shared" si="2228"/>
        <v>0</v>
      </c>
      <c r="CH552" s="161">
        <f t="shared" si="2229"/>
        <v>0</v>
      </c>
      <c r="CI552" s="161">
        <f t="shared" si="2230"/>
        <v>0</v>
      </c>
      <c r="CJ552" s="161">
        <f t="shared" si="2231"/>
        <v>0</v>
      </c>
      <c r="CK552" s="161">
        <f t="shared" si="2232"/>
        <v>0</v>
      </c>
      <c r="CL552" s="161">
        <f t="shared" si="2233"/>
        <v>0</v>
      </c>
      <c r="CM552" s="161">
        <f t="shared" si="2234"/>
        <v>0</v>
      </c>
      <c r="CN552" s="161">
        <f t="shared" si="2235"/>
        <v>0</v>
      </c>
      <c r="CO552" s="161">
        <f t="shared" si="2236"/>
        <v>0</v>
      </c>
      <c r="CP552" s="161">
        <f t="shared" si="2237"/>
        <v>0</v>
      </c>
      <c r="CQ552" s="161">
        <f t="shared" si="2238"/>
        <v>0</v>
      </c>
      <c r="CR552" s="161">
        <f t="shared" si="2239"/>
        <v>0</v>
      </c>
      <c r="CS552" s="161">
        <f t="shared" si="2240"/>
        <v>0</v>
      </c>
      <c r="CT552" s="161">
        <f t="shared" si="2241"/>
        <v>0</v>
      </c>
      <c r="CU552" s="161">
        <f t="shared" si="2242"/>
        <v>0</v>
      </c>
      <c r="CV552" s="161">
        <f t="shared" si="2243"/>
        <v>0</v>
      </c>
      <c r="CW552" s="161">
        <f t="shared" si="2244"/>
        <v>0</v>
      </c>
      <c r="CX552" s="161">
        <f t="shared" si="2245"/>
        <v>0</v>
      </c>
      <c r="CY552" s="161">
        <f t="shared" si="2246"/>
        <v>0</v>
      </c>
      <c r="CZ552" s="161">
        <f t="shared" si="2247"/>
        <v>0</v>
      </c>
      <c r="DA552" s="161">
        <f t="shared" si="2248"/>
        <v>0</v>
      </c>
      <c r="DB552" s="161">
        <f t="shared" si="2249"/>
        <v>0</v>
      </c>
      <c r="DC552" s="161">
        <f t="shared" si="2250"/>
        <v>0</v>
      </c>
      <c r="DD552" s="161">
        <f t="shared" si="2251"/>
        <v>0</v>
      </c>
      <c r="DE552" s="161">
        <f t="shared" si="2252"/>
        <v>0</v>
      </c>
      <c r="DF552" s="161">
        <f t="shared" si="2253"/>
        <v>0</v>
      </c>
      <c r="DG552" s="161">
        <f t="shared" si="2254"/>
        <v>0</v>
      </c>
      <c r="DH552" s="161">
        <f t="shared" si="2255"/>
        <v>0</v>
      </c>
      <c r="DI552" s="161">
        <f t="shared" si="2256"/>
        <v>0</v>
      </c>
      <c r="DJ552" s="161">
        <f t="shared" si="2257"/>
        <v>0</v>
      </c>
      <c r="DK552" s="161">
        <f t="shared" si="2258"/>
        <v>0</v>
      </c>
      <c r="DL552" s="161">
        <f t="shared" si="2259"/>
        <v>0</v>
      </c>
      <c r="DM552" s="161">
        <f t="shared" si="2260"/>
        <v>0</v>
      </c>
      <c r="DN552" s="161">
        <f t="shared" si="2261"/>
        <v>0</v>
      </c>
      <c r="DO552" s="161">
        <f t="shared" si="2262"/>
        <v>0</v>
      </c>
      <c r="DP552" s="161">
        <f t="shared" si="2263"/>
        <v>0</v>
      </c>
      <c r="DQ552" s="161">
        <f t="shared" si="2264"/>
        <v>0</v>
      </c>
      <c r="DR552" s="161">
        <f t="shared" si="2265"/>
        <v>0</v>
      </c>
      <c r="DS552" s="161">
        <f t="shared" si="2266"/>
        <v>0</v>
      </c>
      <c r="DT552" s="161">
        <f t="shared" si="2267"/>
        <v>0</v>
      </c>
      <c r="DU552" s="161">
        <f t="shared" si="2268"/>
        <v>0</v>
      </c>
      <c r="DV552" s="161">
        <f t="shared" si="2269"/>
        <v>0</v>
      </c>
      <c r="DW552" s="161">
        <f t="shared" si="2270"/>
        <v>0</v>
      </c>
      <c r="DX552" s="161">
        <f t="shared" si="2271"/>
        <v>0</v>
      </c>
      <c r="DY552" s="161">
        <f t="shared" si="2272"/>
        <v>0</v>
      </c>
      <c r="DZ552" s="161">
        <f t="shared" si="2273"/>
        <v>0</v>
      </c>
      <c r="EA552" s="161">
        <f t="shared" si="2274"/>
        <v>0</v>
      </c>
      <c r="EB552" s="161">
        <f t="shared" si="2275"/>
        <v>0</v>
      </c>
      <c r="EC552" s="161">
        <f t="shared" si="2276"/>
        <v>0</v>
      </c>
      <c r="ED552" s="161">
        <f t="shared" si="2277"/>
        <v>0</v>
      </c>
      <c r="EE552" s="161">
        <f t="shared" si="2278"/>
        <v>0</v>
      </c>
      <c r="EF552" s="161">
        <f t="shared" si="2279"/>
        <v>0</v>
      </c>
      <c r="EG552" s="161">
        <f t="shared" si="2280"/>
        <v>0</v>
      </c>
      <c r="EH552" s="161">
        <f t="shared" si="2281"/>
        <v>0</v>
      </c>
      <c r="EI552" s="161">
        <f t="shared" si="2282"/>
        <v>0</v>
      </c>
      <c r="EJ552" s="65"/>
      <c r="EK552" s="161">
        <f t="shared" si="2283"/>
        <v>0</v>
      </c>
      <c r="EL552" s="161">
        <f t="shared" si="2284"/>
        <v>0</v>
      </c>
      <c r="EM552" s="161">
        <f t="shared" si="2285"/>
        <v>0</v>
      </c>
    </row>
    <row r="553" spans="1:143" ht="12" hidden="1" customHeight="1" outlineLevel="2">
      <c r="A553" s="77">
        <v>5</v>
      </c>
      <c r="B553" s="137" t="str">
        <f t="shared" si="2213"/>
        <v>ENG/ARQ PL. - Equipe_01</v>
      </c>
      <c r="C553" s="65"/>
      <c r="D553" s="621"/>
      <c r="E553" s="65"/>
      <c r="F553" s="603"/>
      <c r="G553" s="77" t="str">
        <f>IF(INDEX(Tarefas!$BT$30:$FK$30,MATCH(A553,Tarefas!$BT$28:$FK$28,0))=0,"",INDEX(Tarefas!$BT$30:$FK$30,MATCH(A553,Tarefas!$BT$28:$FK$28,0)))</f>
        <v>ENG/ARQ PL.</v>
      </c>
      <c r="H553" s="107" cm="1">
        <f t="array" ref="H553">IFERROR((SUMPRODUCT((Tarefas!$N$32:$N$54='Cronog. e Histog.'!$F$549)*(Tarefas!$BQ$30:$FK$30='Cronog. e Histog.'!$G553)*(Tarefas!$BQ$32:$FK$54)))/SUMIF(Tarefas!$N$32:$N$54,'Cronog. e Histog.'!$F$549,Tarefas!$K$32:$K$54),0)</f>
        <v>0</v>
      </c>
      <c r="I553" s="79">
        <f t="shared" si="2214"/>
        <v>0</v>
      </c>
      <c r="J553" s="65"/>
      <c r="K553" s="160">
        <f t="shared" si="2215"/>
        <v>0</v>
      </c>
      <c r="L553" s="160">
        <f t="shared" si="2215"/>
        <v>0</v>
      </c>
      <c r="M553" s="160">
        <f t="shared" si="2215"/>
        <v>0</v>
      </c>
      <c r="N553" s="160">
        <f t="shared" si="2215"/>
        <v>0</v>
      </c>
      <c r="O553" s="160">
        <f t="shared" si="2215"/>
        <v>0</v>
      </c>
      <c r="P553" s="160">
        <f t="shared" si="2215"/>
        <v>0</v>
      </c>
      <c r="Q553" s="160">
        <f t="shared" si="2215"/>
        <v>0</v>
      </c>
      <c r="R553" s="160">
        <f t="shared" si="2215"/>
        <v>0</v>
      </c>
      <c r="S553" s="160">
        <f t="shared" si="2215"/>
        <v>0</v>
      </c>
      <c r="T553" s="160">
        <f t="shared" si="2215"/>
        <v>0</v>
      </c>
      <c r="U553" s="160">
        <f t="shared" si="2215"/>
        <v>0</v>
      </c>
      <c r="V553" s="160">
        <f t="shared" si="2215"/>
        <v>0</v>
      </c>
      <c r="W553" s="160">
        <f t="shared" si="2215"/>
        <v>0</v>
      </c>
      <c r="X553" s="160">
        <f t="shared" si="2215"/>
        <v>0</v>
      </c>
      <c r="Y553" s="160">
        <f t="shared" si="2215"/>
        <v>0</v>
      </c>
      <c r="Z553" s="160">
        <f t="shared" si="2215"/>
        <v>0</v>
      </c>
      <c r="AA553" s="160">
        <f t="shared" si="2216"/>
        <v>0</v>
      </c>
      <c r="AB553" s="160">
        <f t="shared" si="2216"/>
        <v>0</v>
      </c>
      <c r="AC553" s="160">
        <f t="shared" si="2216"/>
        <v>0</v>
      </c>
      <c r="AD553" s="160">
        <f t="shared" si="2216"/>
        <v>0</v>
      </c>
      <c r="AE553" s="160">
        <f t="shared" si="2216"/>
        <v>0</v>
      </c>
      <c r="AF553" s="160">
        <f t="shared" si="2216"/>
        <v>0</v>
      </c>
      <c r="AG553" s="160">
        <f t="shared" si="2216"/>
        <v>0</v>
      </c>
      <c r="AH553" s="160">
        <f t="shared" si="2216"/>
        <v>0</v>
      </c>
      <c r="AI553" s="160">
        <f t="shared" si="2216"/>
        <v>0</v>
      </c>
      <c r="AJ553" s="160">
        <f t="shared" si="2216"/>
        <v>0</v>
      </c>
      <c r="AK553" s="160">
        <f t="shared" si="2216"/>
        <v>0</v>
      </c>
      <c r="AL553" s="160">
        <f t="shared" si="2216"/>
        <v>0</v>
      </c>
      <c r="AM553" s="160">
        <f t="shared" si="2216"/>
        <v>0</v>
      </c>
      <c r="AN553" s="160">
        <f t="shared" si="2216"/>
        <v>0</v>
      </c>
      <c r="AO553" s="160">
        <f t="shared" si="2216"/>
        <v>0</v>
      </c>
      <c r="AP553" s="160">
        <f t="shared" si="2216"/>
        <v>0</v>
      </c>
      <c r="AQ553" s="160">
        <f t="shared" si="2217"/>
        <v>0</v>
      </c>
      <c r="AR553" s="160">
        <f t="shared" si="2217"/>
        <v>0</v>
      </c>
      <c r="AS553" s="160">
        <f t="shared" si="2217"/>
        <v>0</v>
      </c>
      <c r="AT553" s="160">
        <f t="shared" si="2217"/>
        <v>0</v>
      </c>
      <c r="AU553" s="160">
        <f t="shared" si="2217"/>
        <v>0</v>
      </c>
      <c r="AV553" s="160">
        <f t="shared" si="2217"/>
        <v>0</v>
      </c>
      <c r="AW553" s="160">
        <f t="shared" si="2217"/>
        <v>0</v>
      </c>
      <c r="AX553" s="160">
        <f t="shared" si="2217"/>
        <v>0</v>
      </c>
      <c r="AY553" s="160">
        <f t="shared" si="2217"/>
        <v>0</v>
      </c>
      <c r="AZ553" s="160">
        <f t="shared" si="2217"/>
        <v>0</v>
      </c>
      <c r="BA553" s="160">
        <f t="shared" si="2217"/>
        <v>0</v>
      </c>
      <c r="BB553" s="160">
        <f t="shared" si="2217"/>
        <v>0</v>
      </c>
      <c r="BC553" s="160">
        <f t="shared" si="2217"/>
        <v>0</v>
      </c>
      <c r="BD553" s="160">
        <f t="shared" si="2217"/>
        <v>0</v>
      </c>
      <c r="BE553" s="160">
        <f t="shared" si="2217"/>
        <v>0</v>
      </c>
      <c r="BF553" s="160">
        <f t="shared" si="2217"/>
        <v>0</v>
      </c>
      <c r="BG553" s="160">
        <f t="shared" si="2218"/>
        <v>0</v>
      </c>
      <c r="BH553" s="160">
        <f t="shared" si="2218"/>
        <v>0</v>
      </c>
      <c r="BI553" s="160">
        <f t="shared" si="2218"/>
        <v>0</v>
      </c>
      <c r="BJ553" s="160">
        <f t="shared" si="2218"/>
        <v>0</v>
      </c>
      <c r="BK553" s="160">
        <f t="shared" si="2218"/>
        <v>0</v>
      </c>
      <c r="BL553" s="160">
        <f t="shared" si="2218"/>
        <v>0</v>
      </c>
      <c r="BM553" s="160">
        <f t="shared" si="2218"/>
        <v>0</v>
      </c>
      <c r="BN553" s="160">
        <f t="shared" si="2218"/>
        <v>0</v>
      </c>
      <c r="BO553" s="160">
        <f t="shared" si="2218"/>
        <v>0</v>
      </c>
      <c r="BP553" s="160">
        <f t="shared" si="2218"/>
        <v>0</v>
      </c>
      <c r="BQ553" s="160">
        <f t="shared" si="2218"/>
        <v>0</v>
      </c>
      <c r="BR553" s="160">
        <f t="shared" si="2218"/>
        <v>0</v>
      </c>
      <c r="BS553" s="65"/>
      <c r="BT553" s="160">
        <f t="shared" si="2219"/>
        <v>0</v>
      </c>
      <c r="BU553" s="160">
        <f t="shared" si="2220"/>
        <v>0</v>
      </c>
      <c r="BV553" s="65"/>
      <c r="BW553" s="69"/>
      <c r="BX553" s="65"/>
      <c r="BY553" s="137">
        <f t="shared" si="2221"/>
        <v>1</v>
      </c>
      <c r="BZ553" s="137">
        <f>IF(BY553&gt;0,BY553+LARGE($BZ$213:BZ552,1),0)</f>
        <v>285</v>
      </c>
      <c r="CA553" s="137" t="str">
        <f t="shared" si="2222"/>
        <v>ENG/ARQ PL.</v>
      </c>
      <c r="CB553" s="161">
        <f t="shared" si="2223"/>
        <v>0</v>
      </c>
      <c r="CC553" s="161">
        <f t="shared" si="2224"/>
        <v>0</v>
      </c>
      <c r="CD553" s="161">
        <f t="shared" si="2225"/>
        <v>0</v>
      </c>
      <c r="CE553" s="161">
        <f t="shared" si="2226"/>
        <v>0</v>
      </c>
      <c r="CF553" s="161">
        <f t="shared" si="2227"/>
        <v>0</v>
      </c>
      <c r="CG553" s="161">
        <f t="shared" si="2228"/>
        <v>0</v>
      </c>
      <c r="CH553" s="161">
        <f t="shared" si="2229"/>
        <v>0</v>
      </c>
      <c r="CI553" s="161">
        <f t="shared" si="2230"/>
        <v>0</v>
      </c>
      <c r="CJ553" s="161">
        <f t="shared" si="2231"/>
        <v>0</v>
      </c>
      <c r="CK553" s="161">
        <f t="shared" si="2232"/>
        <v>0</v>
      </c>
      <c r="CL553" s="161">
        <f t="shared" si="2233"/>
        <v>0</v>
      </c>
      <c r="CM553" s="161">
        <f t="shared" si="2234"/>
        <v>0</v>
      </c>
      <c r="CN553" s="161">
        <f t="shared" si="2235"/>
        <v>0</v>
      </c>
      <c r="CO553" s="161">
        <f t="shared" si="2236"/>
        <v>0</v>
      </c>
      <c r="CP553" s="161">
        <f t="shared" si="2237"/>
        <v>0</v>
      </c>
      <c r="CQ553" s="161">
        <f t="shared" si="2238"/>
        <v>0</v>
      </c>
      <c r="CR553" s="161">
        <f t="shared" si="2239"/>
        <v>0</v>
      </c>
      <c r="CS553" s="161">
        <f t="shared" si="2240"/>
        <v>0</v>
      </c>
      <c r="CT553" s="161">
        <f t="shared" si="2241"/>
        <v>0</v>
      </c>
      <c r="CU553" s="161">
        <f t="shared" si="2242"/>
        <v>0</v>
      </c>
      <c r="CV553" s="161">
        <f t="shared" si="2243"/>
        <v>0</v>
      </c>
      <c r="CW553" s="161">
        <f t="shared" si="2244"/>
        <v>0</v>
      </c>
      <c r="CX553" s="161">
        <f t="shared" si="2245"/>
        <v>0</v>
      </c>
      <c r="CY553" s="161">
        <f t="shared" si="2246"/>
        <v>0</v>
      </c>
      <c r="CZ553" s="161">
        <f t="shared" si="2247"/>
        <v>0</v>
      </c>
      <c r="DA553" s="161">
        <f t="shared" si="2248"/>
        <v>0</v>
      </c>
      <c r="DB553" s="161">
        <f t="shared" si="2249"/>
        <v>0</v>
      </c>
      <c r="DC553" s="161">
        <f t="shared" si="2250"/>
        <v>0</v>
      </c>
      <c r="DD553" s="161">
        <f t="shared" si="2251"/>
        <v>0</v>
      </c>
      <c r="DE553" s="161">
        <f t="shared" si="2252"/>
        <v>0</v>
      </c>
      <c r="DF553" s="161">
        <f t="shared" si="2253"/>
        <v>0</v>
      </c>
      <c r="DG553" s="161">
        <f t="shared" si="2254"/>
        <v>0</v>
      </c>
      <c r="DH553" s="161">
        <f t="shared" si="2255"/>
        <v>0</v>
      </c>
      <c r="DI553" s="161">
        <f t="shared" si="2256"/>
        <v>0</v>
      </c>
      <c r="DJ553" s="161">
        <f t="shared" si="2257"/>
        <v>0</v>
      </c>
      <c r="DK553" s="161">
        <f t="shared" si="2258"/>
        <v>0</v>
      </c>
      <c r="DL553" s="161">
        <f t="shared" si="2259"/>
        <v>0</v>
      </c>
      <c r="DM553" s="161">
        <f t="shared" si="2260"/>
        <v>0</v>
      </c>
      <c r="DN553" s="161">
        <f t="shared" si="2261"/>
        <v>0</v>
      </c>
      <c r="DO553" s="161">
        <f t="shared" si="2262"/>
        <v>0</v>
      </c>
      <c r="DP553" s="161">
        <f t="shared" si="2263"/>
        <v>0</v>
      </c>
      <c r="DQ553" s="161">
        <f t="shared" si="2264"/>
        <v>0</v>
      </c>
      <c r="DR553" s="161">
        <f t="shared" si="2265"/>
        <v>0</v>
      </c>
      <c r="DS553" s="161">
        <f t="shared" si="2266"/>
        <v>0</v>
      </c>
      <c r="DT553" s="161">
        <f t="shared" si="2267"/>
        <v>0</v>
      </c>
      <c r="DU553" s="161">
        <f t="shared" si="2268"/>
        <v>0</v>
      </c>
      <c r="DV553" s="161">
        <f t="shared" si="2269"/>
        <v>0</v>
      </c>
      <c r="DW553" s="161">
        <f t="shared" si="2270"/>
        <v>0</v>
      </c>
      <c r="DX553" s="161">
        <f t="shared" si="2271"/>
        <v>0</v>
      </c>
      <c r="DY553" s="161">
        <f t="shared" si="2272"/>
        <v>0</v>
      </c>
      <c r="DZ553" s="161">
        <f t="shared" si="2273"/>
        <v>0</v>
      </c>
      <c r="EA553" s="161">
        <f t="shared" si="2274"/>
        <v>0</v>
      </c>
      <c r="EB553" s="161">
        <f t="shared" si="2275"/>
        <v>0</v>
      </c>
      <c r="EC553" s="161">
        <f t="shared" si="2276"/>
        <v>0</v>
      </c>
      <c r="ED553" s="161">
        <f t="shared" si="2277"/>
        <v>0</v>
      </c>
      <c r="EE553" s="161">
        <f t="shared" si="2278"/>
        <v>0</v>
      </c>
      <c r="EF553" s="161">
        <f t="shared" si="2279"/>
        <v>0</v>
      </c>
      <c r="EG553" s="161">
        <f t="shared" si="2280"/>
        <v>0</v>
      </c>
      <c r="EH553" s="161">
        <f t="shared" si="2281"/>
        <v>0</v>
      </c>
      <c r="EI553" s="161">
        <f t="shared" si="2282"/>
        <v>0</v>
      </c>
      <c r="EJ553" s="65"/>
      <c r="EK553" s="161">
        <f t="shared" si="2283"/>
        <v>0</v>
      </c>
      <c r="EL553" s="161">
        <f t="shared" si="2284"/>
        <v>0</v>
      </c>
      <c r="EM553" s="161">
        <f t="shared" si="2285"/>
        <v>0</v>
      </c>
    </row>
    <row r="554" spans="1:143" ht="12" hidden="1" customHeight="1" outlineLevel="2">
      <c r="A554" s="77">
        <v>6</v>
      </c>
      <c r="B554" s="137" t="str">
        <f t="shared" si="2213"/>
        <v>ENG/ARQ JR. - Equipe_01</v>
      </c>
      <c r="C554" s="65"/>
      <c r="D554" s="621"/>
      <c r="E554" s="65"/>
      <c r="F554" s="603"/>
      <c r="G554" s="77" t="str">
        <f>IF(INDEX(Tarefas!$BT$30:$FK$30,MATCH(A554,Tarefas!$BT$28:$FK$28,0))=0,"",INDEX(Tarefas!$BT$30:$FK$30,MATCH(A554,Tarefas!$BT$28:$FK$28,0)))</f>
        <v>ENG/ARQ JR.</v>
      </c>
      <c r="H554" s="107" cm="1">
        <f t="array" ref="H554">IFERROR((SUMPRODUCT((Tarefas!$N$32:$N$54='Cronog. e Histog.'!$F$549)*(Tarefas!$BQ$30:$FK$30='Cronog. e Histog.'!$G554)*(Tarefas!$BQ$32:$FK$54)))/SUMIF(Tarefas!$N$32:$N$54,'Cronog. e Histog.'!$F$549,Tarefas!$K$32:$K$54),0)</f>
        <v>0</v>
      </c>
      <c r="I554" s="79">
        <f t="shared" si="2214"/>
        <v>0</v>
      </c>
      <c r="J554" s="65"/>
      <c r="K554" s="160">
        <f t="shared" si="2215"/>
        <v>0</v>
      </c>
      <c r="L554" s="160">
        <f t="shared" si="2215"/>
        <v>0</v>
      </c>
      <c r="M554" s="160">
        <f t="shared" si="2215"/>
        <v>0</v>
      </c>
      <c r="N554" s="160">
        <f t="shared" si="2215"/>
        <v>0</v>
      </c>
      <c r="O554" s="160">
        <f t="shared" si="2215"/>
        <v>0</v>
      </c>
      <c r="P554" s="160">
        <f t="shared" si="2215"/>
        <v>0</v>
      </c>
      <c r="Q554" s="160">
        <f t="shared" si="2215"/>
        <v>0</v>
      </c>
      <c r="R554" s="160">
        <f t="shared" si="2215"/>
        <v>0</v>
      </c>
      <c r="S554" s="160">
        <f t="shared" si="2215"/>
        <v>0</v>
      </c>
      <c r="T554" s="160">
        <f t="shared" si="2215"/>
        <v>0</v>
      </c>
      <c r="U554" s="160">
        <f t="shared" si="2215"/>
        <v>0</v>
      </c>
      <c r="V554" s="160">
        <f t="shared" si="2215"/>
        <v>0</v>
      </c>
      <c r="W554" s="160">
        <f t="shared" si="2215"/>
        <v>0</v>
      </c>
      <c r="X554" s="160">
        <f t="shared" si="2215"/>
        <v>0</v>
      </c>
      <c r="Y554" s="160">
        <f t="shared" si="2215"/>
        <v>0</v>
      </c>
      <c r="Z554" s="160">
        <f t="shared" si="2215"/>
        <v>0</v>
      </c>
      <c r="AA554" s="160">
        <f t="shared" si="2216"/>
        <v>0</v>
      </c>
      <c r="AB554" s="160">
        <f t="shared" si="2216"/>
        <v>0</v>
      </c>
      <c r="AC554" s="160">
        <f t="shared" si="2216"/>
        <v>0</v>
      </c>
      <c r="AD554" s="160">
        <f t="shared" si="2216"/>
        <v>0</v>
      </c>
      <c r="AE554" s="160">
        <f t="shared" si="2216"/>
        <v>0</v>
      </c>
      <c r="AF554" s="160">
        <f t="shared" si="2216"/>
        <v>0</v>
      </c>
      <c r="AG554" s="160">
        <f t="shared" si="2216"/>
        <v>0</v>
      </c>
      <c r="AH554" s="160">
        <f t="shared" si="2216"/>
        <v>0</v>
      </c>
      <c r="AI554" s="160">
        <f t="shared" si="2216"/>
        <v>0</v>
      </c>
      <c r="AJ554" s="160">
        <f t="shared" si="2216"/>
        <v>0</v>
      </c>
      <c r="AK554" s="160">
        <f t="shared" si="2216"/>
        <v>0</v>
      </c>
      <c r="AL554" s="160">
        <f t="shared" si="2216"/>
        <v>0</v>
      </c>
      <c r="AM554" s="160">
        <f t="shared" si="2216"/>
        <v>0</v>
      </c>
      <c r="AN554" s="160">
        <f t="shared" si="2216"/>
        <v>0</v>
      </c>
      <c r="AO554" s="160">
        <f t="shared" si="2216"/>
        <v>0</v>
      </c>
      <c r="AP554" s="160">
        <f t="shared" si="2216"/>
        <v>0</v>
      </c>
      <c r="AQ554" s="160">
        <f t="shared" si="2217"/>
        <v>0</v>
      </c>
      <c r="AR554" s="160">
        <f t="shared" si="2217"/>
        <v>0</v>
      </c>
      <c r="AS554" s="160">
        <f t="shared" si="2217"/>
        <v>0</v>
      </c>
      <c r="AT554" s="160">
        <f t="shared" si="2217"/>
        <v>0</v>
      </c>
      <c r="AU554" s="160">
        <f t="shared" si="2217"/>
        <v>0</v>
      </c>
      <c r="AV554" s="160">
        <f t="shared" si="2217"/>
        <v>0</v>
      </c>
      <c r="AW554" s="160">
        <f t="shared" si="2217"/>
        <v>0</v>
      </c>
      <c r="AX554" s="160">
        <f t="shared" si="2217"/>
        <v>0</v>
      </c>
      <c r="AY554" s="160">
        <f t="shared" si="2217"/>
        <v>0</v>
      </c>
      <c r="AZ554" s="160">
        <f t="shared" si="2217"/>
        <v>0</v>
      </c>
      <c r="BA554" s="160">
        <f t="shared" si="2217"/>
        <v>0</v>
      </c>
      <c r="BB554" s="160">
        <f t="shared" si="2217"/>
        <v>0</v>
      </c>
      <c r="BC554" s="160">
        <f t="shared" si="2217"/>
        <v>0</v>
      </c>
      <c r="BD554" s="160">
        <f t="shared" si="2217"/>
        <v>0</v>
      </c>
      <c r="BE554" s="160">
        <f t="shared" si="2217"/>
        <v>0</v>
      </c>
      <c r="BF554" s="160">
        <f t="shared" si="2217"/>
        <v>0</v>
      </c>
      <c r="BG554" s="160">
        <f t="shared" si="2218"/>
        <v>0</v>
      </c>
      <c r="BH554" s="160">
        <f t="shared" si="2218"/>
        <v>0</v>
      </c>
      <c r="BI554" s="160">
        <f t="shared" si="2218"/>
        <v>0</v>
      </c>
      <c r="BJ554" s="160">
        <f t="shared" si="2218"/>
        <v>0</v>
      </c>
      <c r="BK554" s="160">
        <f t="shared" si="2218"/>
        <v>0</v>
      </c>
      <c r="BL554" s="160">
        <f t="shared" si="2218"/>
        <v>0</v>
      </c>
      <c r="BM554" s="160">
        <f t="shared" si="2218"/>
        <v>0</v>
      </c>
      <c r="BN554" s="160">
        <f t="shared" si="2218"/>
        <v>0</v>
      </c>
      <c r="BO554" s="160">
        <f t="shared" si="2218"/>
        <v>0</v>
      </c>
      <c r="BP554" s="160">
        <f t="shared" si="2218"/>
        <v>0</v>
      </c>
      <c r="BQ554" s="160">
        <f t="shared" si="2218"/>
        <v>0</v>
      </c>
      <c r="BR554" s="160">
        <f t="shared" si="2218"/>
        <v>0</v>
      </c>
      <c r="BS554" s="65"/>
      <c r="BT554" s="160">
        <f t="shared" si="2219"/>
        <v>0</v>
      </c>
      <c r="BU554" s="160">
        <f t="shared" si="2220"/>
        <v>0</v>
      </c>
      <c r="BV554" s="65"/>
      <c r="BW554" s="69"/>
      <c r="BX554" s="65"/>
      <c r="BY554" s="137">
        <f t="shared" si="2221"/>
        <v>1</v>
      </c>
      <c r="BZ554" s="137">
        <f>IF(BY554&gt;0,BY554+LARGE($BZ$213:BZ553,1),0)</f>
        <v>286</v>
      </c>
      <c r="CA554" s="137" t="str">
        <f t="shared" si="2222"/>
        <v>ENG/ARQ JR.</v>
      </c>
      <c r="CB554" s="161">
        <f t="shared" si="2223"/>
        <v>0</v>
      </c>
      <c r="CC554" s="161">
        <f t="shared" si="2224"/>
        <v>0</v>
      </c>
      <c r="CD554" s="161">
        <f t="shared" si="2225"/>
        <v>0</v>
      </c>
      <c r="CE554" s="161">
        <f t="shared" si="2226"/>
        <v>0</v>
      </c>
      <c r="CF554" s="161">
        <f t="shared" si="2227"/>
        <v>0</v>
      </c>
      <c r="CG554" s="161">
        <f t="shared" si="2228"/>
        <v>0</v>
      </c>
      <c r="CH554" s="161">
        <f t="shared" si="2229"/>
        <v>0</v>
      </c>
      <c r="CI554" s="161">
        <f t="shared" si="2230"/>
        <v>0</v>
      </c>
      <c r="CJ554" s="161">
        <f t="shared" si="2231"/>
        <v>0</v>
      </c>
      <c r="CK554" s="161">
        <f t="shared" si="2232"/>
        <v>0</v>
      </c>
      <c r="CL554" s="161">
        <f t="shared" si="2233"/>
        <v>0</v>
      </c>
      <c r="CM554" s="161">
        <f t="shared" si="2234"/>
        <v>0</v>
      </c>
      <c r="CN554" s="161">
        <f t="shared" si="2235"/>
        <v>0</v>
      </c>
      <c r="CO554" s="161">
        <f t="shared" si="2236"/>
        <v>0</v>
      </c>
      <c r="CP554" s="161">
        <f t="shared" si="2237"/>
        <v>0</v>
      </c>
      <c r="CQ554" s="161">
        <f t="shared" si="2238"/>
        <v>0</v>
      </c>
      <c r="CR554" s="161">
        <f t="shared" si="2239"/>
        <v>0</v>
      </c>
      <c r="CS554" s="161">
        <f t="shared" si="2240"/>
        <v>0</v>
      </c>
      <c r="CT554" s="161">
        <f t="shared" si="2241"/>
        <v>0</v>
      </c>
      <c r="CU554" s="161">
        <f t="shared" si="2242"/>
        <v>0</v>
      </c>
      <c r="CV554" s="161">
        <f t="shared" si="2243"/>
        <v>0</v>
      </c>
      <c r="CW554" s="161">
        <f t="shared" si="2244"/>
        <v>0</v>
      </c>
      <c r="CX554" s="161">
        <f t="shared" si="2245"/>
        <v>0</v>
      </c>
      <c r="CY554" s="161">
        <f t="shared" si="2246"/>
        <v>0</v>
      </c>
      <c r="CZ554" s="161">
        <f t="shared" si="2247"/>
        <v>0</v>
      </c>
      <c r="DA554" s="161">
        <f t="shared" si="2248"/>
        <v>0</v>
      </c>
      <c r="DB554" s="161">
        <f t="shared" si="2249"/>
        <v>0</v>
      </c>
      <c r="DC554" s="161">
        <f t="shared" si="2250"/>
        <v>0</v>
      </c>
      <c r="DD554" s="161">
        <f t="shared" si="2251"/>
        <v>0</v>
      </c>
      <c r="DE554" s="161">
        <f t="shared" si="2252"/>
        <v>0</v>
      </c>
      <c r="DF554" s="161">
        <f t="shared" si="2253"/>
        <v>0</v>
      </c>
      <c r="DG554" s="161">
        <f t="shared" si="2254"/>
        <v>0</v>
      </c>
      <c r="DH554" s="161">
        <f t="shared" si="2255"/>
        <v>0</v>
      </c>
      <c r="DI554" s="161">
        <f t="shared" si="2256"/>
        <v>0</v>
      </c>
      <c r="DJ554" s="161">
        <f t="shared" si="2257"/>
        <v>0</v>
      </c>
      <c r="DK554" s="161">
        <f t="shared" si="2258"/>
        <v>0</v>
      </c>
      <c r="DL554" s="161">
        <f t="shared" si="2259"/>
        <v>0</v>
      </c>
      <c r="DM554" s="161">
        <f t="shared" si="2260"/>
        <v>0</v>
      </c>
      <c r="DN554" s="161">
        <f t="shared" si="2261"/>
        <v>0</v>
      </c>
      <c r="DO554" s="161">
        <f t="shared" si="2262"/>
        <v>0</v>
      </c>
      <c r="DP554" s="161">
        <f t="shared" si="2263"/>
        <v>0</v>
      </c>
      <c r="DQ554" s="161">
        <f t="shared" si="2264"/>
        <v>0</v>
      </c>
      <c r="DR554" s="161">
        <f t="shared" si="2265"/>
        <v>0</v>
      </c>
      <c r="DS554" s="161">
        <f t="shared" si="2266"/>
        <v>0</v>
      </c>
      <c r="DT554" s="161">
        <f t="shared" si="2267"/>
        <v>0</v>
      </c>
      <c r="DU554" s="161">
        <f t="shared" si="2268"/>
        <v>0</v>
      </c>
      <c r="DV554" s="161">
        <f t="shared" si="2269"/>
        <v>0</v>
      </c>
      <c r="DW554" s="161">
        <f t="shared" si="2270"/>
        <v>0</v>
      </c>
      <c r="DX554" s="161">
        <f t="shared" si="2271"/>
        <v>0</v>
      </c>
      <c r="DY554" s="161">
        <f t="shared" si="2272"/>
        <v>0</v>
      </c>
      <c r="DZ554" s="161">
        <f t="shared" si="2273"/>
        <v>0</v>
      </c>
      <c r="EA554" s="161">
        <f t="shared" si="2274"/>
        <v>0</v>
      </c>
      <c r="EB554" s="161">
        <f t="shared" si="2275"/>
        <v>0</v>
      </c>
      <c r="EC554" s="161">
        <f t="shared" si="2276"/>
        <v>0</v>
      </c>
      <c r="ED554" s="161">
        <f t="shared" si="2277"/>
        <v>0</v>
      </c>
      <c r="EE554" s="161">
        <f t="shared" si="2278"/>
        <v>0</v>
      </c>
      <c r="EF554" s="161">
        <f t="shared" si="2279"/>
        <v>0</v>
      </c>
      <c r="EG554" s="161">
        <f t="shared" si="2280"/>
        <v>0</v>
      </c>
      <c r="EH554" s="161">
        <f t="shared" si="2281"/>
        <v>0</v>
      </c>
      <c r="EI554" s="161">
        <f t="shared" si="2282"/>
        <v>0</v>
      </c>
      <c r="EJ554" s="65"/>
      <c r="EK554" s="161">
        <f t="shared" si="2283"/>
        <v>0</v>
      </c>
      <c r="EL554" s="161">
        <f t="shared" si="2284"/>
        <v>0</v>
      </c>
      <c r="EM554" s="161">
        <f t="shared" si="2285"/>
        <v>0</v>
      </c>
    </row>
    <row r="555" spans="1:143" ht="12" hidden="1" customHeight="1" outlineLevel="2">
      <c r="A555" s="77">
        <v>7</v>
      </c>
      <c r="B555" s="137" t="str">
        <f t="shared" si="2213"/>
        <v>AN SR. ENG/ARQ - Equipe_01</v>
      </c>
      <c r="C555" s="65"/>
      <c r="D555" s="621"/>
      <c r="E555" s="65"/>
      <c r="F555" s="603"/>
      <c r="G555" s="77" t="str">
        <f>IF(INDEX(Tarefas!$BT$30:$FK$30,MATCH(A555,Tarefas!$BT$28:$FK$28,0))=0,"",INDEX(Tarefas!$BT$30:$FK$30,MATCH(A555,Tarefas!$BT$28:$FK$28,0)))</f>
        <v>AN SR. ENG/ARQ</v>
      </c>
      <c r="H555" s="107" cm="1">
        <f t="array" ref="H555">IFERROR((SUMPRODUCT((Tarefas!$N$32:$N$54='Cronog. e Histog.'!$F$549)*(Tarefas!$BQ$30:$FK$30='Cronog. e Histog.'!$G555)*(Tarefas!$BQ$32:$FK$54)))/SUMIF(Tarefas!$N$32:$N$54,'Cronog. e Histog.'!$F$549,Tarefas!$K$32:$K$54),0)</f>
        <v>0</v>
      </c>
      <c r="I555" s="79">
        <f t="shared" si="2214"/>
        <v>0</v>
      </c>
      <c r="J555" s="65"/>
      <c r="K555" s="160">
        <f t="shared" si="2215"/>
        <v>0</v>
      </c>
      <c r="L555" s="160">
        <f t="shared" si="2215"/>
        <v>0</v>
      </c>
      <c r="M555" s="160">
        <f t="shared" si="2215"/>
        <v>0</v>
      </c>
      <c r="N555" s="160">
        <f t="shared" si="2215"/>
        <v>0</v>
      </c>
      <c r="O555" s="160">
        <f t="shared" si="2215"/>
        <v>0</v>
      </c>
      <c r="P555" s="160">
        <f t="shared" si="2215"/>
        <v>0</v>
      </c>
      <c r="Q555" s="160">
        <f t="shared" si="2215"/>
        <v>0</v>
      </c>
      <c r="R555" s="160">
        <f t="shared" si="2215"/>
        <v>0</v>
      </c>
      <c r="S555" s="160">
        <f t="shared" si="2215"/>
        <v>0</v>
      </c>
      <c r="T555" s="160">
        <f t="shared" si="2215"/>
        <v>0</v>
      </c>
      <c r="U555" s="160">
        <f t="shared" si="2215"/>
        <v>0</v>
      </c>
      <c r="V555" s="160">
        <f t="shared" si="2215"/>
        <v>0</v>
      </c>
      <c r="W555" s="160">
        <f t="shared" si="2215"/>
        <v>0</v>
      </c>
      <c r="X555" s="160">
        <f t="shared" si="2215"/>
        <v>0</v>
      </c>
      <c r="Y555" s="160">
        <f t="shared" si="2215"/>
        <v>0</v>
      </c>
      <c r="Z555" s="160">
        <f t="shared" si="2215"/>
        <v>0</v>
      </c>
      <c r="AA555" s="160">
        <f t="shared" si="2216"/>
        <v>0</v>
      </c>
      <c r="AB555" s="160">
        <f t="shared" si="2216"/>
        <v>0</v>
      </c>
      <c r="AC555" s="160">
        <f t="shared" si="2216"/>
        <v>0</v>
      </c>
      <c r="AD555" s="160">
        <f t="shared" si="2216"/>
        <v>0</v>
      </c>
      <c r="AE555" s="160">
        <f t="shared" si="2216"/>
        <v>0</v>
      </c>
      <c r="AF555" s="160">
        <f t="shared" si="2216"/>
        <v>0</v>
      </c>
      <c r="AG555" s="160">
        <f t="shared" si="2216"/>
        <v>0</v>
      </c>
      <c r="AH555" s="160">
        <f t="shared" si="2216"/>
        <v>0</v>
      </c>
      <c r="AI555" s="160">
        <f t="shared" si="2216"/>
        <v>0</v>
      </c>
      <c r="AJ555" s="160">
        <f t="shared" si="2216"/>
        <v>0</v>
      </c>
      <c r="AK555" s="160">
        <f t="shared" si="2216"/>
        <v>0</v>
      </c>
      <c r="AL555" s="160">
        <f t="shared" si="2216"/>
        <v>0</v>
      </c>
      <c r="AM555" s="160">
        <f t="shared" si="2216"/>
        <v>0</v>
      </c>
      <c r="AN555" s="160">
        <f t="shared" si="2216"/>
        <v>0</v>
      </c>
      <c r="AO555" s="160">
        <f t="shared" si="2216"/>
        <v>0</v>
      </c>
      <c r="AP555" s="160">
        <f t="shared" si="2216"/>
        <v>0</v>
      </c>
      <c r="AQ555" s="160">
        <f t="shared" si="2217"/>
        <v>0</v>
      </c>
      <c r="AR555" s="160">
        <f t="shared" si="2217"/>
        <v>0</v>
      </c>
      <c r="AS555" s="160">
        <f t="shared" si="2217"/>
        <v>0</v>
      </c>
      <c r="AT555" s="160">
        <f t="shared" si="2217"/>
        <v>0</v>
      </c>
      <c r="AU555" s="160">
        <f t="shared" si="2217"/>
        <v>0</v>
      </c>
      <c r="AV555" s="160">
        <f t="shared" si="2217"/>
        <v>0</v>
      </c>
      <c r="AW555" s="160">
        <f t="shared" si="2217"/>
        <v>0</v>
      </c>
      <c r="AX555" s="160">
        <f t="shared" si="2217"/>
        <v>0</v>
      </c>
      <c r="AY555" s="160">
        <f t="shared" si="2217"/>
        <v>0</v>
      </c>
      <c r="AZ555" s="160">
        <f t="shared" si="2217"/>
        <v>0</v>
      </c>
      <c r="BA555" s="160">
        <f t="shared" si="2217"/>
        <v>0</v>
      </c>
      <c r="BB555" s="160">
        <f t="shared" si="2217"/>
        <v>0</v>
      </c>
      <c r="BC555" s="160">
        <f t="shared" si="2217"/>
        <v>0</v>
      </c>
      <c r="BD555" s="160">
        <f t="shared" si="2217"/>
        <v>0</v>
      </c>
      <c r="BE555" s="160">
        <f t="shared" si="2217"/>
        <v>0</v>
      </c>
      <c r="BF555" s="160">
        <f t="shared" si="2217"/>
        <v>0</v>
      </c>
      <c r="BG555" s="160">
        <f t="shared" si="2218"/>
        <v>0</v>
      </c>
      <c r="BH555" s="160">
        <f t="shared" si="2218"/>
        <v>0</v>
      </c>
      <c r="BI555" s="160">
        <f t="shared" si="2218"/>
        <v>0</v>
      </c>
      <c r="BJ555" s="160">
        <f t="shared" si="2218"/>
        <v>0</v>
      </c>
      <c r="BK555" s="160">
        <f t="shared" si="2218"/>
        <v>0</v>
      </c>
      <c r="BL555" s="160">
        <f t="shared" si="2218"/>
        <v>0</v>
      </c>
      <c r="BM555" s="160">
        <f t="shared" si="2218"/>
        <v>0</v>
      </c>
      <c r="BN555" s="160">
        <f t="shared" si="2218"/>
        <v>0</v>
      </c>
      <c r="BO555" s="160">
        <f t="shared" si="2218"/>
        <v>0</v>
      </c>
      <c r="BP555" s="160">
        <f t="shared" si="2218"/>
        <v>0</v>
      </c>
      <c r="BQ555" s="160">
        <f t="shared" si="2218"/>
        <v>0</v>
      </c>
      <c r="BR555" s="160">
        <f t="shared" si="2218"/>
        <v>0</v>
      </c>
      <c r="BS555" s="65"/>
      <c r="BT555" s="160">
        <f t="shared" si="2219"/>
        <v>0</v>
      </c>
      <c r="BU555" s="160">
        <f t="shared" si="2220"/>
        <v>0</v>
      </c>
      <c r="BV555" s="65"/>
      <c r="BW555" s="69"/>
      <c r="BX555" s="65"/>
      <c r="BY555" s="137">
        <f t="shared" si="2221"/>
        <v>1</v>
      </c>
      <c r="BZ555" s="137">
        <f>IF(BY555&gt;0,BY555+LARGE($BZ$213:BZ554,1),0)</f>
        <v>287</v>
      </c>
      <c r="CA555" s="137" t="str">
        <f t="shared" si="2222"/>
        <v>AN SR. ENG/ARQ</v>
      </c>
      <c r="CB555" s="161">
        <f t="shared" si="2223"/>
        <v>0</v>
      </c>
      <c r="CC555" s="161">
        <f t="shared" si="2224"/>
        <v>0</v>
      </c>
      <c r="CD555" s="161">
        <f t="shared" si="2225"/>
        <v>0</v>
      </c>
      <c r="CE555" s="161">
        <f t="shared" si="2226"/>
        <v>0</v>
      </c>
      <c r="CF555" s="161">
        <f t="shared" si="2227"/>
        <v>0</v>
      </c>
      <c r="CG555" s="161">
        <f t="shared" si="2228"/>
        <v>0</v>
      </c>
      <c r="CH555" s="161">
        <f t="shared" si="2229"/>
        <v>0</v>
      </c>
      <c r="CI555" s="161">
        <f t="shared" si="2230"/>
        <v>0</v>
      </c>
      <c r="CJ555" s="161">
        <f t="shared" si="2231"/>
        <v>0</v>
      </c>
      <c r="CK555" s="161">
        <f t="shared" si="2232"/>
        <v>0</v>
      </c>
      <c r="CL555" s="161">
        <f t="shared" si="2233"/>
        <v>0</v>
      </c>
      <c r="CM555" s="161">
        <f t="shared" si="2234"/>
        <v>0</v>
      </c>
      <c r="CN555" s="161">
        <f t="shared" si="2235"/>
        <v>0</v>
      </c>
      <c r="CO555" s="161">
        <f t="shared" si="2236"/>
        <v>0</v>
      </c>
      <c r="CP555" s="161">
        <f t="shared" si="2237"/>
        <v>0</v>
      </c>
      <c r="CQ555" s="161">
        <f t="shared" si="2238"/>
        <v>0</v>
      </c>
      <c r="CR555" s="161">
        <f t="shared" si="2239"/>
        <v>0</v>
      </c>
      <c r="CS555" s="161">
        <f t="shared" si="2240"/>
        <v>0</v>
      </c>
      <c r="CT555" s="161">
        <f t="shared" si="2241"/>
        <v>0</v>
      </c>
      <c r="CU555" s="161">
        <f t="shared" si="2242"/>
        <v>0</v>
      </c>
      <c r="CV555" s="161">
        <f t="shared" si="2243"/>
        <v>0</v>
      </c>
      <c r="CW555" s="161">
        <f t="shared" si="2244"/>
        <v>0</v>
      </c>
      <c r="CX555" s="161">
        <f t="shared" si="2245"/>
        <v>0</v>
      </c>
      <c r="CY555" s="161">
        <f t="shared" si="2246"/>
        <v>0</v>
      </c>
      <c r="CZ555" s="161">
        <f t="shared" si="2247"/>
        <v>0</v>
      </c>
      <c r="DA555" s="161">
        <f t="shared" si="2248"/>
        <v>0</v>
      </c>
      <c r="DB555" s="161">
        <f t="shared" si="2249"/>
        <v>0</v>
      </c>
      <c r="DC555" s="161">
        <f t="shared" si="2250"/>
        <v>0</v>
      </c>
      <c r="DD555" s="161">
        <f t="shared" si="2251"/>
        <v>0</v>
      </c>
      <c r="DE555" s="161">
        <f t="shared" si="2252"/>
        <v>0</v>
      </c>
      <c r="DF555" s="161">
        <f t="shared" si="2253"/>
        <v>0</v>
      </c>
      <c r="DG555" s="161">
        <f t="shared" si="2254"/>
        <v>0</v>
      </c>
      <c r="DH555" s="161">
        <f t="shared" si="2255"/>
        <v>0</v>
      </c>
      <c r="DI555" s="161">
        <f t="shared" si="2256"/>
        <v>0</v>
      </c>
      <c r="DJ555" s="161">
        <f t="shared" si="2257"/>
        <v>0</v>
      </c>
      <c r="DK555" s="161">
        <f t="shared" si="2258"/>
        <v>0</v>
      </c>
      <c r="DL555" s="161">
        <f t="shared" si="2259"/>
        <v>0</v>
      </c>
      <c r="DM555" s="161">
        <f t="shared" si="2260"/>
        <v>0</v>
      </c>
      <c r="DN555" s="161">
        <f t="shared" si="2261"/>
        <v>0</v>
      </c>
      <c r="DO555" s="161">
        <f t="shared" si="2262"/>
        <v>0</v>
      </c>
      <c r="DP555" s="161">
        <f t="shared" si="2263"/>
        <v>0</v>
      </c>
      <c r="DQ555" s="161">
        <f t="shared" si="2264"/>
        <v>0</v>
      </c>
      <c r="DR555" s="161">
        <f t="shared" si="2265"/>
        <v>0</v>
      </c>
      <c r="DS555" s="161">
        <f t="shared" si="2266"/>
        <v>0</v>
      </c>
      <c r="DT555" s="161">
        <f t="shared" si="2267"/>
        <v>0</v>
      </c>
      <c r="DU555" s="161">
        <f t="shared" si="2268"/>
        <v>0</v>
      </c>
      <c r="DV555" s="161">
        <f t="shared" si="2269"/>
        <v>0</v>
      </c>
      <c r="DW555" s="161">
        <f t="shared" si="2270"/>
        <v>0</v>
      </c>
      <c r="DX555" s="161">
        <f t="shared" si="2271"/>
        <v>0</v>
      </c>
      <c r="DY555" s="161">
        <f t="shared" si="2272"/>
        <v>0</v>
      </c>
      <c r="DZ555" s="161">
        <f t="shared" si="2273"/>
        <v>0</v>
      </c>
      <c r="EA555" s="161">
        <f t="shared" si="2274"/>
        <v>0</v>
      </c>
      <c r="EB555" s="161">
        <f t="shared" si="2275"/>
        <v>0</v>
      </c>
      <c r="EC555" s="161">
        <f t="shared" si="2276"/>
        <v>0</v>
      </c>
      <c r="ED555" s="161">
        <f t="shared" si="2277"/>
        <v>0</v>
      </c>
      <c r="EE555" s="161">
        <f t="shared" si="2278"/>
        <v>0</v>
      </c>
      <c r="EF555" s="161">
        <f t="shared" si="2279"/>
        <v>0</v>
      </c>
      <c r="EG555" s="161">
        <f t="shared" si="2280"/>
        <v>0</v>
      </c>
      <c r="EH555" s="161">
        <f t="shared" si="2281"/>
        <v>0</v>
      </c>
      <c r="EI555" s="161">
        <f t="shared" si="2282"/>
        <v>0</v>
      </c>
      <c r="EJ555" s="65"/>
      <c r="EK555" s="161">
        <f t="shared" si="2283"/>
        <v>0</v>
      </c>
      <c r="EL555" s="161">
        <f t="shared" si="2284"/>
        <v>0</v>
      </c>
      <c r="EM555" s="161">
        <f t="shared" si="2285"/>
        <v>0</v>
      </c>
    </row>
    <row r="556" spans="1:143" ht="12" hidden="1" customHeight="1" outlineLevel="2">
      <c r="A556" s="77">
        <v>8</v>
      </c>
      <c r="B556" s="137" t="str">
        <f t="shared" si="2213"/>
        <v>AN PL. ENG/ARQ - Equipe_01</v>
      </c>
      <c r="C556" s="65"/>
      <c r="D556" s="621"/>
      <c r="E556" s="65"/>
      <c r="F556" s="603"/>
      <c r="G556" s="77" t="str">
        <f>IF(INDEX(Tarefas!$BT$30:$FK$30,MATCH(A556,Tarefas!$BT$28:$FK$28,0))=0,"",INDEX(Tarefas!$BT$30:$FK$30,MATCH(A556,Tarefas!$BT$28:$FK$28,0)))</f>
        <v>AN PL. ENG/ARQ</v>
      </c>
      <c r="H556" s="107" cm="1">
        <f t="array" ref="H556">IFERROR((SUMPRODUCT((Tarefas!$N$32:$N$54='Cronog. e Histog.'!$F$549)*(Tarefas!$BQ$30:$FK$30='Cronog. e Histog.'!$G556)*(Tarefas!$BQ$32:$FK$54)))/SUMIF(Tarefas!$N$32:$N$54,'Cronog. e Histog.'!$F$549,Tarefas!$K$32:$K$54),0)</f>
        <v>0</v>
      </c>
      <c r="I556" s="79">
        <f t="shared" si="2214"/>
        <v>0</v>
      </c>
      <c r="J556" s="65"/>
      <c r="K556" s="160">
        <f t="shared" si="2215"/>
        <v>0</v>
      </c>
      <c r="L556" s="160">
        <f t="shared" si="2215"/>
        <v>0</v>
      </c>
      <c r="M556" s="160">
        <f t="shared" si="2215"/>
        <v>0</v>
      </c>
      <c r="N556" s="160">
        <f t="shared" si="2215"/>
        <v>0</v>
      </c>
      <c r="O556" s="160">
        <f t="shared" si="2215"/>
        <v>0</v>
      </c>
      <c r="P556" s="160">
        <f t="shared" si="2215"/>
        <v>0</v>
      </c>
      <c r="Q556" s="160">
        <f t="shared" si="2215"/>
        <v>0</v>
      </c>
      <c r="R556" s="160">
        <f t="shared" si="2215"/>
        <v>0</v>
      </c>
      <c r="S556" s="160">
        <f t="shared" si="2215"/>
        <v>0</v>
      </c>
      <c r="T556" s="160">
        <f t="shared" si="2215"/>
        <v>0</v>
      </c>
      <c r="U556" s="160">
        <f t="shared" si="2215"/>
        <v>0</v>
      </c>
      <c r="V556" s="160">
        <f t="shared" si="2215"/>
        <v>0</v>
      </c>
      <c r="W556" s="160">
        <f t="shared" si="2215"/>
        <v>0</v>
      </c>
      <c r="X556" s="160">
        <f t="shared" si="2215"/>
        <v>0</v>
      </c>
      <c r="Y556" s="160">
        <f t="shared" si="2215"/>
        <v>0</v>
      </c>
      <c r="Z556" s="160">
        <f t="shared" si="2215"/>
        <v>0</v>
      </c>
      <c r="AA556" s="160">
        <f t="shared" si="2216"/>
        <v>0</v>
      </c>
      <c r="AB556" s="160">
        <f t="shared" si="2216"/>
        <v>0</v>
      </c>
      <c r="AC556" s="160">
        <f t="shared" si="2216"/>
        <v>0</v>
      </c>
      <c r="AD556" s="160">
        <f t="shared" si="2216"/>
        <v>0</v>
      </c>
      <c r="AE556" s="160">
        <f t="shared" si="2216"/>
        <v>0</v>
      </c>
      <c r="AF556" s="160">
        <f t="shared" si="2216"/>
        <v>0</v>
      </c>
      <c r="AG556" s="160">
        <f t="shared" si="2216"/>
        <v>0</v>
      </c>
      <c r="AH556" s="160">
        <f t="shared" si="2216"/>
        <v>0</v>
      </c>
      <c r="AI556" s="160">
        <f t="shared" si="2216"/>
        <v>0</v>
      </c>
      <c r="AJ556" s="160">
        <f t="shared" si="2216"/>
        <v>0</v>
      </c>
      <c r="AK556" s="160">
        <f t="shared" si="2216"/>
        <v>0</v>
      </c>
      <c r="AL556" s="160">
        <f t="shared" si="2216"/>
        <v>0</v>
      </c>
      <c r="AM556" s="160">
        <f t="shared" si="2216"/>
        <v>0</v>
      </c>
      <c r="AN556" s="160">
        <f t="shared" si="2216"/>
        <v>0</v>
      </c>
      <c r="AO556" s="160">
        <f t="shared" si="2216"/>
        <v>0</v>
      </c>
      <c r="AP556" s="160">
        <f t="shared" si="2216"/>
        <v>0</v>
      </c>
      <c r="AQ556" s="160">
        <f t="shared" si="2217"/>
        <v>0</v>
      </c>
      <c r="AR556" s="160">
        <f t="shared" si="2217"/>
        <v>0</v>
      </c>
      <c r="AS556" s="160">
        <f t="shared" si="2217"/>
        <v>0</v>
      </c>
      <c r="AT556" s="160">
        <f t="shared" si="2217"/>
        <v>0</v>
      </c>
      <c r="AU556" s="160">
        <f t="shared" si="2217"/>
        <v>0</v>
      </c>
      <c r="AV556" s="160">
        <f t="shared" si="2217"/>
        <v>0</v>
      </c>
      <c r="AW556" s="160">
        <f t="shared" si="2217"/>
        <v>0</v>
      </c>
      <c r="AX556" s="160">
        <f t="shared" si="2217"/>
        <v>0</v>
      </c>
      <c r="AY556" s="160">
        <f t="shared" si="2217"/>
        <v>0</v>
      </c>
      <c r="AZ556" s="160">
        <f t="shared" si="2217"/>
        <v>0</v>
      </c>
      <c r="BA556" s="160">
        <f t="shared" si="2217"/>
        <v>0</v>
      </c>
      <c r="BB556" s="160">
        <f t="shared" si="2217"/>
        <v>0</v>
      </c>
      <c r="BC556" s="160">
        <f t="shared" si="2217"/>
        <v>0</v>
      </c>
      <c r="BD556" s="160">
        <f t="shared" si="2217"/>
        <v>0</v>
      </c>
      <c r="BE556" s="160">
        <f t="shared" si="2217"/>
        <v>0</v>
      </c>
      <c r="BF556" s="160">
        <f t="shared" si="2217"/>
        <v>0</v>
      </c>
      <c r="BG556" s="160">
        <f t="shared" si="2218"/>
        <v>0</v>
      </c>
      <c r="BH556" s="160">
        <f t="shared" si="2218"/>
        <v>0</v>
      </c>
      <c r="BI556" s="160">
        <f t="shared" si="2218"/>
        <v>0</v>
      </c>
      <c r="BJ556" s="160">
        <f t="shared" si="2218"/>
        <v>0</v>
      </c>
      <c r="BK556" s="160">
        <f t="shared" si="2218"/>
        <v>0</v>
      </c>
      <c r="BL556" s="160">
        <f t="shared" si="2218"/>
        <v>0</v>
      </c>
      <c r="BM556" s="160">
        <f t="shared" si="2218"/>
        <v>0</v>
      </c>
      <c r="BN556" s="160">
        <f t="shared" si="2218"/>
        <v>0</v>
      </c>
      <c r="BO556" s="160">
        <f t="shared" si="2218"/>
        <v>0</v>
      </c>
      <c r="BP556" s="160">
        <f t="shared" si="2218"/>
        <v>0</v>
      </c>
      <c r="BQ556" s="160">
        <f t="shared" si="2218"/>
        <v>0</v>
      </c>
      <c r="BR556" s="160">
        <f t="shared" si="2218"/>
        <v>0</v>
      </c>
      <c r="BS556" s="65"/>
      <c r="BT556" s="160">
        <f t="shared" si="2219"/>
        <v>0</v>
      </c>
      <c r="BU556" s="160">
        <f t="shared" si="2220"/>
        <v>0</v>
      </c>
      <c r="BV556" s="65"/>
      <c r="BW556" s="69"/>
      <c r="BX556" s="65"/>
      <c r="BY556" s="137">
        <f t="shared" si="2221"/>
        <v>1</v>
      </c>
      <c r="BZ556" s="137">
        <f>IF(BY556&gt;0,BY556+LARGE($BZ$213:BZ555,1),0)</f>
        <v>288</v>
      </c>
      <c r="CA556" s="137" t="str">
        <f t="shared" si="2222"/>
        <v>AN PL. ENG/ARQ</v>
      </c>
      <c r="CB556" s="161">
        <f t="shared" si="2223"/>
        <v>0</v>
      </c>
      <c r="CC556" s="161">
        <f t="shared" si="2224"/>
        <v>0</v>
      </c>
      <c r="CD556" s="161">
        <f t="shared" si="2225"/>
        <v>0</v>
      </c>
      <c r="CE556" s="161">
        <f t="shared" si="2226"/>
        <v>0</v>
      </c>
      <c r="CF556" s="161">
        <f t="shared" si="2227"/>
        <v>0</v>
      </c>
      <c r="CG556" s="161">
        <f t="shared" si="2228"/>
        <v>0</v>
      </c>
      <c r="CH556" s="161">
        <f t="shared" si="2229"/>
        <v>0</v>
      </c>
      <c r="CI556" s="161">
        <f t="shared" si="2230"/>
        <v>0</v>
      </c>
      <c r="CJ556" s="161">
        <f t="shared" si="2231"/>
        <v>0</v>
      </c>
      <c r="CK556" s="161">
        <f t="shared" si="2232"/>
        <v>0</v>
      </c>
      <c r="CL556" s="161">
        <f t="shared" si="2233"/>
        <v>0</v>
      </c>
      <c r="CM556" s="161">
        <f t="shared" si="2234"/>
        <v>0</v>
      </c>
      <c r="CN556" s="161">
        <f t="shared" si="2235"/>
        <v>0</v>
      </c>
      <c r="CO556" s="161">
        <f t="shared" si="2236"/>
        <v>0</v>
      </c>
      <c r="CP556" s="161">
        <f t="shared" si="2237"/>
        <v>0</v>
      </c>
      <c r="CQ556" s="161">
        <f t="shared" si="2238"/>
        <v>0</v>
      </c>
      <c r="CR556" s="161">
        <f t="shared" si="2239"/>
        <v>0</v>
      </c>
      <c r="CS556" s="161">
        <f t="shared" si="2240"/>
        <v>0</v>
      </c>
      <c r="CT556" s="161">
        <f t="shared" si="2241"/>
        <v>0</v>
      </c>
      <c r="CU556" s="161">
        <f t="shared" si="2242"/>
        <v>0</v>
      </c>
      <c r="CV556" s="161">
        <f t="shared" si="2243"/>
        <v>0</v>
      </c>
      <c r="CW556" s="161">
        <f t="shared" si="2244"/>
        <v>0</v>
      </c>
      <c r="CX556" s="161">
        <f t="shared" si="2245"/>
        <v>0</v>
      </c>
      <c r="CY556" s="161">
        <f t="shared" si="2246"/>
        <v>0</v>
      </c>
      <c r="CZ556" s="161">
        <f t="shared" si="2247"/>
        <v>0</v>
      </c>
      <c r="DA556" s="161">
        <f t="shared" si="2248"/>
        <v>0</v>
      </c>
      <c r="DB556" s="161">
        <f t="shared" si="2249"/>
        <v>0</v>
      </c>
      <c r="DC556" s="161">
        <f t="shared" si="2250"/>
        <v>0</v>
      </c>
      <c r="DD556" s="161">
        <f t="shared" si="2251"/>
        <v>0</v>
      </c>
      <c r="DE556" s="161">
        <f t="shared" si="2252"/>
        <v>0</v>
      </c>
      <c r="DF556" s="161">
        <f t="shared" si="2253"/>
        <v>0</v>
      </c>
      <c r="DG556" s="161">
        <f t="shared" si="2254"/>
        <v>0</v>
      </c>
      <c r="DH556" s="161">
        <f t="shared" si="2255"/>
        <v>0</v>
      </c>
      <c r="DI556" s="161">
        <f t="shared" si="2256"/>
        <v>0</v>
      </c>
      <c r="DJ556" s="161">
        <f t="shared" si="2257"/>
        <v>0</v>
      </c>
      <c r="DK556" s="161">
        <f t="shared" si="2258"/>
        <v>0</v>
      </c>
      <c r="DL556" s="161">
        <f t="shared" si="2259"/>
        <v>0</v>
      </c>
      <c r="DM556" s="161">
        <f t="shared" si="2260"/>
        <v>0</v>
      </c>
      <c r="DN556" s="161">
        <f t="shared" si="2261"/>
        <v>0</v>
      </c>
      <c r="DO556" s="161">
        <f t="shared" si="2262"/>
        <v>0</v>
      </c>
      <c r="DP556" s="161">
        <f t="shared" si="2263"/>
        <v>0</v>
      </c>
      <c r="DQ556" s="161">
        <f t="shared" si="2264"/>
        <v>0</v>
      </c>
      <c r="DR556" s="161">
        <f t="shared" si="2265"/>
        <v>0</v>
      </c>
      <c r="DS556" s="161">
        <f t="shared" si="2266"/>
        <v>0</v>
      </c>
      <c r="DT556" s="161">
        <f t="shared" si="2267"/>
        <v>0</v>
      </c>
      <c r="DU556" s="161">
        <f t="shared" si="2268"/>
        <v>0</v>
      </c>
      <c r="DV556" s="161">
        <f t="shared" si="2269"/>
        <v>0</v>
      </c>
      <c r="DW556" s="161">
        <f t="shared" si="2270"/>
        <v>0</v>
      </c>
      <c r="DX556" s="161">
        <f t="shared" si="2271"/>
        <v>0</v>
      </c>
      <c r="DY556" s="161">
        <f t="shared" si="2272"/>
        <v>0</v>
      </c>
      <c r="DZ556" s="161">
        <f t="shared" si="2273"/>
        <v>0</v>
      </c>
      <c r="EA556" s="161">
        <f t="shared" si="2274"/>
        <v>0</v>
      </c>
      <c r="EB556" s="161">
        <f t="shared" si="2275"/>
        <v>0</v>
      </c>
      <c r="EC556" s="161">
        <f t="shared" si="2276"/>
        <v>0</v>
      </c>
      <c r="ED556" s="161">
        <f t="shared" si="2277"/>
        <v>0</v>
      </c>
      <c r="EE556" s="161">
        <f t="shared" si="2278"/>
        <v>0</v>
      </c>
      <c r="EF556" s="161">
        <f t="shared" si="2279"/>
        <v>0</v>
      </c>
      <c r="EG556" s="161">
        <f t="shared" si="2280"/>
        <v>0</v>
      </c>
      <c r="EH556" s="161">
        <f t="shared" si="2281"/>
        <v>0</v>
      </c>
      <c r="EI556" s="161">
        <f t="shared" si="2282"/>
        <v>0</v>
      </c>
      <c r="EJ556" s="65"/>
      <c r="EK556" s="161">
        <f t="shared" si="2283"/>
        <v>0</v>
      </c>
      <c r="EL556" s="161">
        <f t="shared" si="2284"/>
        <v>0</v>
      </c>
      <c r="EM556" s="161">
        <f t="shared" si="2285"/>
        <v>0</v>
      </c>
    </row>
    <row r="557" spans="1:143" ht="12" hidden="1" customHeight="1" outlineLevel="2">
      <c r="A557" s="77">
        <v>9</v>
      </c>
      <c r="B557" s="137" t="str">
        <f t="shared" si="2213"/>
        <v>AN JR. ENG/ARQ - Equipe_01</v>
      </c>
      <c r="C557" s="65"/>
      <c r="D557" s="621"/>
      <c r="E557" s="65"/>
      <c r="F557" s="603"/>
      <c r="G557" s="77" t="str">
        <f>IF(INDEX(Tarefas!$BT$30:$FK$30,MATCH(A557,Tarefas!$BT$28:$FK$28,0))=0,"",INDEX(Tarefas!$BT$30:$FK$30,MATCH(A557,Tarefas!$BT$28:$FK$28,0)))</f>
        <v>AN JR. ENG/ARQ</v>
      </c>
      <c r="H557" s="107" cm="1">
        <f t="array" ref="H557">IFERROR((SUMPRODUCT((Tarefas!$N$32:$N$54='Cronog. e Histog.'!$F$549)*(Tarefas!$BQ$30:$FK$30='Cronog. e Histog.'!$G557)*(Tarefas!$BQ$32:$FK$54)))/SUMIF(Tarefas!$N$32:$N$54,'Cronog. e Histog.'!$F$549,Tarefas!$K$32:$K$54),0)</f>
        <v>0</v>
      </c>
      <c r="I557" s="79">
        <f t="shared" si="2214"/>
        <v>0</v>
      </c>
      <c r="J557" s="65"/>
      <c r="K557" s="160">
        <f t="shared" si="2215"/>
        <v>0</v>
      </c>
      <c r="L557" s="160">
        <f t="shared" si="2215"/>
        <v>0</v>
      </c>
      <c r="M557" s="160">
        <f t="shared" si="2215"/>
        <v>0</v>
      </c>
      <c r="N557" s="160">
        <f t="shared" si="2215"/>
        <v>0</v>
      </c>
      <c r="O557" s="160">
        <f t="shared" si="2215"/>
        <v>0</v>
      </c>
      <c r="P557" s="160">
        <f t="shared" si="2215"/>
        <v>0</v>
      </c>
      <c r="Q557" s="160">
        <f t="shared" si="2215"/>
        <v>0</v>
      </c>
      <c r="R557" s="160">
        <f t="shared" si="2215"/>
        <v>0</v>
      </c>
      <c r="S557" s="160">
        <f t="shared" si="2215"/>
        <v>0</v>
      </c>
      <c r="T557" s="160">
        <f t="shared" si="2215"/>
        <v>0</v>
      </c>
      <c r="U557" s="160">
        <f t="shared" si="2215"/>
        <v>0</v>
      </c>
      <c r="V557" s="160">
        <f t="shared" si="2215"/>
        <v>0</v>
      </c>
      <c r="W557" s="160">
        <f t="shared" si="2215"/>
        <v>0</v>
      </c>
      <c r="X557" s="160">
        <f t="shared" si="2215"/>
        <v>0</v>
      </c>
      <c r="Y557" s="160">
        <f t="shared" si="2215"/>
        <v>0</v>
      </c>
      <c r="Z557" s="160">
        <f t="shared" si="2215"/>
        <v>0</v>
      </c>
      <c r="AA557" s="160">
        <f t="shared" si="2216"/>
        <v>0</v>
      </c>
      <c r="AB557" s="160">
        <f t="shared" si="2216"/>
        <v>0</v>
      </c>
      <c r="AC557" s="160">
        <f t="shared" si="2216"/>
        <v>0</v>
      </c>
      <c r="AD557" s="160">
        <f t="shared" si="2216"/>
        <v>0</v>
      </c>
      <c r="AE557" s="160">
        <f t="shared" si="2216"/>
        <v>0</v>
      </c>
      <c r="AF557" s="160">
        <f t="shared" si="2216"/>
        <v>0</v>
      </c>
      <c r="AG557" s="160">
        <f t="shared" si="2216"/>
        <v>0</v>
      </c>
      <c r="AH557" s="160">
        <f t="shared" si="2216"/>
        <v>0</v>
      </c>
      <c r="AI557" s="160">
        <f t="shared" si="2216"/>
        <v>0</v>
      </c>
      <c r="AJ557" s="160">
        <f t="shared" si="2216"/>
        <v>0</v>
      </c>
      <c r="AK557" s="160">
        <f t="shared" si="2216"/>
        <v>0</v>
      </c>
      <c r="AL557" s="160">
        <f t="shared" si="2216"/>
        <v>0</v>
      </c>
      <c r="AM557" s="160">
        <f t="shared" si="2216"/>
        <v>0</v>
      </c>
      <c r="AN557" s="160">
        <f t="shared" si="2216"/>
        <v>0</v>
      </c>
      <c r="AO557" s="160">
        <f t="shared" si="2216"/>
        <v>0</v>
      </c>
      <c r="AP557" s="160">
        <f t="shared" si="2216"/>
        <v>0</v>
      </c>
      <c r="AQ557" s="160">
        <f t="shared" si="2217"/>
        <v>0</v>
      </c>
      <c r="AR557" s="160">
        <f t="shared" si="2217"/>
        <v>0</v>
      </c>
      <c r="AS557" s="160">
        <f t="shared" si="2217"/>
        <v>0</v>
      </c>
      <c r="AT557" s="160">
        <f t="shared" si="2217"/>
        <v>0</v>
      </c>
      <c r="AU557" s="160">
        <f t="shared" si="2217"/>
        <v>0</v>
      </c>
      <c r="AV557" s="160">
        <f t="shared" si="2217"/>
        <v>0</v>
      </c>
      <c r="AW557" s="160">
        <f t="shared" si="2217"/>
        <v>0</v>
      </c>
      <c r="AX557" s="160">
        <f t="shared" si="2217"/>
        <v>0</v>
      </c>
      <c r="AY557" s="160">
        <f t="shared" si="2217"/>
        <v>0</v>
      </c>
      <c r="AZ557" s="160">
        <f t="shared" si="2217"/>
        <v>0</v>
      </c>
      <c r="BA557" s="160">
        <f t="shared" si="2217"/>
        <v>0</v>
      </c>
      <c r="BB557" s="160">
        <f t="shared" si="2217"/>
        <v>0</v>
      </c>
      <c r="BC557" s="160">
        <f t="shared" si="2217"/>
        <v>0</v>
      </c>
      <c r="BD557" s="160">
        <f t="shared" si="2217"/>
        <v>0</v>
      </c>
      <c r="BE557" s="160">
        <f t="shared" si="2217"/>
        <v>0</v>
      </c>
      <c r="BF557" s="160">
        <f t="shared" si="2217"/>
        <v>0</v>
      </c>
      <c r="BG557" s="160">
        <f t="shared" si="2218"/>
        <v>0</v>
      </c>
      <c r="BH557" s="160">
        <f t="shared" si="2218"/>
        <v>0</v>
      </c>
      <c r="BI557" s="160">
        <f t="shared" si="2218"/>
        <v>0</v>
      </c>
      <c r="BJ557" s="160">
        <f t="shared" si="2218"/>
        <v>0</v>
      </c>
      <c r="BK557" s="160">
        <f t="shared" si="2218"/>
        <v>0</v>
      </c>
      <c r="BL557" s="160">
        <f t="shared" si="2218"/>
        <v>0</v>
      </c>
      <c r="BM557" s="160">
        <f t="shared" si="2218"/>
        <v>0</v>
      </c>
      <c r="BN557" s="160">
        <f t="shared" si="2218"/>
        <v>0</v>
      </c>
      <c r="BO557" s="160">
        <f t="shared" si="2218"/>
        <v>0</v>
      </c>
      <c r="BP557" s="160">
        <f t="shared" si="2218"/>
        <v>0</v>
      </c>
      <c r="BQ557" s="160">
        <f t="shared" si="2218"/>
        <v>0</v>
      </c>
      <c r="BR557" s="160">
        <f t="shared" si="2218"/>
        <v>0</v>
      </c>
      <c r="BS557" s="65"/>
      <c r="BT557" s="160">
        <f t="shared" si="2219"/>
        <v>0</v>
      </c>
      <c r="BU557" s="160">
        <f t="shared" si="2220"/>
        <v>0</v>
      </c>
      <c r="BV557" s="65"/>
      <c r="BW557" s="69"/>
      <c r="BX557" s="65"/>
      <c r="BY557" s="137">
        <f t="shared" si="2221"/>
        <v>1</v>
      </c>
      <c r="BZ557" s="137">
        <f>IF(BY557&gt;0,BY557+LARGE($BZ$213:BZ556,1),0)</f>
        <v>289</v>
      </c>
      <c r="CA557" s="137" t="str">
        <f t="shared" si="2222"/>
        <v>AN JR. ENG/ARQ</v>
      </c>
      <c r="CB557" s="161">
        <f t="shared" si="2223"/>
        <v>0</v>
      </c>
      <c r="CC557" s="161">
        <f t="shared" si="2224"/>
        <v>0</v>
      </c>
      <c r="CD557" s="161">
        <f t="shared" si="2225"/>
        <v>0</v>
      </c>
      <c r="CE557" s="161">
        <f t="shared" si="2226"/>
        <v>0</v>
      </c>
      <c r="CF557" s="161">
        <f t="shared" si="2227"/>
        <v>0</v>
      </c>
      <c r="CG557" s="161">
        <f t="shared" si="2228"/>
        <v>0</v>
      </c>
      <c r="CH557" s="161">
        <f t="shared" si="2229"/>
        <v>0</v>
      </c>
      <c r="CI557" s="161">
        <f t="shared" si="2230"/>
        <v>0</v>
      </c>
      <c r="CJ557" s="161">
        <f t="shared" si="2231"/>
        <v>0</v>
      </c>
      <c r="CK557" s="161">
        <f t="shared" si="2232"/>
        <v>0</v>
      </c>
      <c r="CL557" s="161">
        <f t="shared" si="2233"/>
        <v>0</v>
      </c>
      <c r="CM557" s="161">
        <f t="shared" si="2234"/>
        <v>0</v>
      </c>
      <c r="CN557" s="161">
        <f t="shared" si="2235"/>
        <v>0</v>
      </c>
      <c r="CO557" s="161">
        <f t="shared" si="2236"/>
        <v>0</v>
      </c>
      <c r="CP557" s="161">
        <f t="shared" si="2237"/>
        <v>0</v>
      </c>
      <c r="CQ557" s="161">
        <f t="shared" si="2238"/>
        <v>0</v>
      </c>
      <c r="CR557" s="161">
        <f t="shared" si="2239"/>
        <v>0</v>
      </c>
      <c r="CS557" s="161">
        <f t="shared" si="2240"/>
        <v>0</v>
      </c>
      <c r="CT557" s="161">
        <f t="shared" si="2241"/>
        <v>0</v>
      </c>
      <c r="CU557" s="161">
        <f t="shared" si="2242"/>
        <v>0</v>
      </c>
      <c r="CV557" s="161">
        <f t="shared" si="2243"/>
        <v>0</v>
      </c>
      <c r="CW557" s="161">
        <f t="shared" si="2244"/>
        <v>0</v>
      </c>
      <c r="CX557" s="161">
        <f t="shared" si="2245"/>
        <v>0</v>
      </c>
      <c r="CY557" s="161">
        <f t="shared" si="2246"/>
        <v>0</v>
      </c>
      <c r="CZ557" s="161">
        <f t="shared" si="2247"/>
        <v>0</v>
      </c>
      <c r="DA557" s="161">
        <f t="shared" si="2248"/>
        <v>0</v>
      </c>
      <c r="DB557" s="161">
        <f t="shared" si="2249"/>
        <v>0</v>
      </c>
      <c r="DC557" s="161">
        <f t="shared" si="2250"/>
        <v>0</v>
      </c>
      <c r="DD557" s="161">
        <f t="shared" si="2251"/>
        <v>0</v>
      </c>
      <c r="DE557" s="161">
        <f t="shared" si="2252"/>
        <v>0</v>
      </c>
      <c r="DF557" s="161">
        <f t="shared" si="2253"/>
        <v>0</v>
      </c>
      <c r="DG557" s="161">
        <f t="shared" si="2254"/>
        <v>0</v>
      </c>
      <c r="DH557" s="161">
        <f t="shared" si="2255"/>
        <v>0</v>
      </c>
      <c r="DI557" s="161">
        <f t="shared" si="2256"/>
        <v>0</v>
      </c>
      <c r="DJ557" s="161">
        <f t="shared" si="2257"/>
        <v>0</v>
      </c>
      <c r="DK557" s="161">
        <f t="shared" si="2258"/>
        <v>0</v>
      </c>
      <c r="DL557" s="161">
        <f t="shared" si="2259"/>
        <v>0</v>
      </c>
      <c r="DM557" s="161">
        <f t="shared" si="2260"/>
        <v>0</v>
      </c>
      <c r="DN557" s="161">
        <f t="shared" si="2261"/>
        <v>0</v>
      </c>
      <c r="DO557" s="161">
        <f t="shared" si="2262"/>
        <v>0</v>
      </c>
      <c r="DP557" s="161">
        <f t="shared" si="2263"/>
        <v>0</v>
      </c>
      <c r="DQ557" s="161">
        <f t="shared" si="2264"/>
        <v>0</v>
      </c>
      <c r="DR557" s="161">
        <f t="shared" si="2265"/>
        <v>0</v>
      </c>
      <c r="DS557" s="161">
        <f t="shared" si="2266"/>
        <v>0</v>
      </c>
      <c r="DT557" s="161">
        <f t="shared" si="2267"/>
        <v>0</v>
      </c>
      <c r="DU557" s="161">
        <f t="shared" si="2268"/>
        <v>0</v>
      </c>
      <c r="DV557" s="161">
        <f t="shared" si="2269"/>
        <v>0</v>
      </c>
      <c r="DW557" s="161">
        <f t="shared" si="2270"/>
        <v>0</v>
      </c>
      <c r="DX557" s="161">
        <f t="shared" si="2271"/>
        <v>0</v>
      </c>
      <c r="DY557" s="161">
        <f t="shared" si="2272"/>
        <v>0</v>
      </c>
      <c r="DZ557" s="161">
        <f t="shared" si="2273"/>
        <v>0</v>
      </c>
      <c r="EA557" s="161">
        <f t="shared" si="2274"/>
        <v>0</v>
      </c>
      <c r="EB557" s="161">
        <f t="shared" si="2275"/>
        <v>0</v>
      </c>
      <c r="EC557" s="161">
        <f t="shared" si="2276"/>
        <v>0</v>
      </c>
      <c r="ED557" s="161">
        <f t="shared" si="2277"/>
        <v>0</v>
      </c>
      <c r="EE557" s="161">
        <f t="shared" si="2278"/>
        <v>0</v>
      </c>
      <c r="EF557" s="161">
        <f t="shared" si="2279"/>
        <v>0</v>
      </c>
      <c r="EG557" s="161">
        <f t="shared" si="2280"/>
        <v>0</v>
      </c>
      <c r="EH557" s="161">
        <f t="shared" si="2281"/>
        <v>0</v>
      </c>
      <c r="EI557" s="161">
        <f t="shared" si="2282"/>
        <v>0</v>
      </c>
      <c r="EJ557" s="65"/>
      <c r="EK557" s="161">
        <f t="shared" si="2283"/>
        <v>0</v>
      </c>
      <c r="EL557" s="161">
        <f t="shared" si="2284"/>
        <v>0</v>
      </c>
      <c r="EM557" s="161">
        <f t="shared" si="2285"/>
        <v>0</v>
      </c>
    </row>
    <row r="558" spans="1:143" ht="12" hidden="1" customHeight="1" outlineLevel="2">
      <c r="A558" s="77">
        <v>10</v>
      </c>
      <c r="B558" s="137" t="str">
        <f t="shared" si="2213"/>
        <v>AN SR. ADM/CRP - Equipe_01</v>
      </c>
      <c r="C558" s="65"/>
      <c r="D558" s="621"/>
      <c r="E558" s="65"/>
      <c r="F558" s="603"/>
      <c r="G558" s="77" t="str">
        <f>IF(INDEX(Tarefas!$BT$30:$FK$30,MATCH(A558,Tarefas!$BT$28:$FK$28,0))=0,"",INDEX(Tarefas!$BT$30:$FK$30,MATCH(A558,Tarefas!$BT$28:$FK$28,0)))</f>
        <v>AN SR. ADM/CRP</v>
      </c>
      <c r="H558" s="107" cm="1">
        <f t="array" ref="H558">IFERROR((SUMPRODUCT((Tarefas!$N$32:$N$54='Cronog. e Histog.'!$F$549)*(Tarefas!$BQ$30:$FK$30='Cronog. e Histog.'!$G558)*(Tarefas!$BQ$32:$FK$54)))/SUMIF(Tarefas!$N$32:$N$54,'Cronog. e Histog.'!$F$549,Tarefas!$K$32:$K$54),0)</f>
        <v>0</v>
      </c>
      <c r="I558" s="79">
        <f t="shared" si="2214"/>
        <v>0</v>
      </c>
      <c r="J558" s="65"/>
      <c r="K558" s="160">
        <f t="shared" si="2215"/>
        <v>0</v>
      </c>
      <c r="L558" s="160">
        <f t="shared" si="2215"/>
        <v>0</v>
      </c>
      <c r="M558" s="160">
        <f t="shared" si="2215"/>
        <v>0</v>
      </c>
      <c r="N558" s="160">
        <f t="shared" si="2215"/>
        <v>0</v>
      </c>
      <c r="O558" s="160">
        <f t="shared" si="2215"/>
        <v>0</v>
      </c>
      <c r="P558" s="160">
        <f t="shared" si="2215"/>
        <v>0</v>
      </c>
      <c r="Q558" s="160">
        <f t="shared" si="2215"/>
        <v>0</v>
      </c>
      <c r="R558" s="160">
        <f t="shared" si="2215"/>
        <v>0</v>
      </c>
      <c r="S558" s="160">
        <f t="shared" si="2215"/>
        <v>0</v>
      </c>
      <c r="T558" s="160">
        <f t="shared" si="2215"/>
        <v>0</v>
      </c>
      <c r="U558" s="160">
        <f t="shared" si="2215"/>
        <v>0</v>
      </c>
      <c r="V558" s="160">
        <f t="shared" si="2215"/>
        <v>0</v>
      </c>
      <c r="W558" s="160">
        <f t="shared" si="2215"/>
        <v>0</v>
      </c>
      <c r="X558" s="160">
        <f t="shared" si="2215"/>
        <v>0</v>
      </c>
      <c r="Y558" s="160">
        <f t="shared" si="2215"/>
        <v>0</v>
      </c>
      <c r="Z558" s="160">
        <f t="shared" si="2215"/>
        <v>0</v>
      </c>
      <c r="AA558" s="160">
        <f t="shared" si="2216"/>
        <v>0</v>
      </c>
      <c r="AB558" s="160">
        <f t="shared" si="2216"/>
        <v>0</v>
      </c>
      <c r="AC558" s="160">
        <f t="shared" si="2216"/>
        <v>0</v>
      </c>
      <c r="AD558" s="160">
        <f t="shared" si="2216"/>
        <v>0</v>
      </c>
      <c r="AE558" s="160">
        <f t="shared" si="2216"/>
        <v>0</v>
      </c>
      <c r="AF558" s="160">
        <f t="shared" si="2216"/>
        <v>0</v>
      </c>
      <c r="AG558" s="160">
        <f t="shared" si="2216"/>
        <v>0</v>
      </c>
      <c r="AH558" s="160">
        <f t="shared" si="2216"/>
        <v>0</v>
      </c>
      <c r="AI558" s="160">
        <f t="shared" si="2216"/>
        <v>0</v>
      </c>
      <c r="AJ558" s="160">
        <f t="shared" si="2216"/>
        <v>0</v>
      </c>
      <c r="AK558" s="160">
        <f t="shared" si="2216"/>
        <v>0</v>
      </c>
      <c r="AL558" s="160">
        <f t="shared" si="2216"/>
        <v>0</v>
      </c>
      <c r="AM558" s="160">
        <f t="shared" si="2216"/>
        <v>0</v>
      </c>
      <c r="AN558" s="160">
        <f t="shared" si="2216"/>
        <v>0</v>
      </c>
      <c r="AO558" s="160">
        <f t="shared" si="2216"/>
        <v>0</v>
      </c>
      <c r="AP558" s="160">
        <f t="shared" si="2216"/>
        <v>0</v>
      </c>
      <c r="AQ558" s="160">
        <f t="shared" si="2217"/>
        <v>0</v>
      </c>
      <c r="AR558" s="160">
        <f t="shared" si="2217"/>
        <v>0</v>
      </c>
      <c r="AS558" s="160">
        <f t="shared" si="2217"/>
        <v>0</v>
      </c>
      <c r="AT558" s="160">
        <f t="shared" si="2217"/>
        <v>0</v>
      </c>
      <c r="AU558" s="160">
        <f t="shared" si="2217"/>
        <v>0</v>
      </c>
      <c r="AV558" s="160">
        <f t="shared" si="2217"/>
        <v>0</v>
      </c>
      <c r="AW558" s="160">
        <f t="shared" si="2217"/>
        <v>0</v>
      </c>
      <c r="AX558" s="160">
        <f t="shared" si="2217"/>
        <v>0</v>
      </c>
      <c r="AY558" s="160">
        <f t="shared" si="2217"/>
        <v>0</v>
      </c>
      <c r="AZ558" s="160">
        <f t="shared" si="2217"/>
        <v>0</v>
      </c>
      <c r="BA558" s="160">
        <f t="shared" si="2217"/>
        <v>0</v>
      </c>
      <c r="BB558" s="160">
        <f t="shared" si="2217"/>
        <v>0</v>
      </c>
      <c r="BC558" s="160">
        <f t="shared" si="2217"/>
        <v>0</v>
      </c>
      <c r="BD558" s="160">
        <f t="shared" si="2217"/>
        <v>0</v>
      </c>
      <c r="BE558" s="160">
        <f t="shared" si="2217"/>
        <v>0</v>
      </c>
      <c r="BF558" s="160">
        <f t="shared" si="2217"/>
        <v>0</v>
      </c>
      <c r="BG558" s="160">
        <f t="shared" si="2218"/>
        <v>0</v>
      </c>
      <c r="BH558" s="160">
        <f t="shared" si="2218"/>
        <v>0</v>
      </c>
      <c r="BI558" s="160">
        <f t="shared" si="2218"/>
        <v>0</v>
      </c>
      <c r="BJ558" s="160">
        <f t="shared" si="2218"/>
        <v>0</v>
      </c>
      <c r="BK558" s="160">
        <f t="shared" si="2218"/>
        <v>0</v>
      </c>
      <c r="BL558" s="160">
        <f t="shared" si="2218"/>
        <v>0</v>
      </c>
      <c r="BM558" s="160">
        <f t="shared" si="2218"/>
        <v>0</v>
      </c>
      <c r="BN558" s="160">
        <f t="shared" si="2218"/>
        <v>0</v>
      </c>
      <c r="BO558" s="160">
        <f t="shared" si="2218"/>
        <v>0</v>
      </c>
      <c r="BP558" s="160">
        <f t="shared" si="2218"/>
        <v>0</v>
      </c>
      <c r="BQ558" s="160">
        <f t="shared" si="2218"/>
        <v>0</v>
      </c>
      <c r="BR558" s="160">
        <f t="shared" si="2218"/>
        <v>0</v>
      </c>
      <c r="BS558" s="65"/>
      <c r="BT558" s="160">
        <f t="shared" si="2219"/>
        <v>0</v>
      </c>
      <c r="BU558" s="160">
        <f t="shared" si="2220"/>
        <v>0</v>
      </c>
      <c r="BV558" s="65"/>
      <c r="BW558" s="69"/>
      <c r="BX558" s="65"/>
      <c r="BY558" s="137">
        <f t="shared" si="2221"/>
        <v>1</v>
      </c>
      <c r="BZ558" s="137">
        <f>IF(BY558&gt;0,BY558+LARGE($BZ$213:BZ557,1),0)</f>
        <v>290</v>
      </c>
      <c r="CA558" s="137" t="str">
        <f t="shared" si="2222"/>
        <v>AN SR. ADM/CRP</v>
      </c>
      <c r="CB558" s="161">
        <f t="shared" si="2223"/>
        <v>0</v>
      </c>
      <c r="CC558" s="161">
        <f t="shared" si="2224"/>
        <v>0</v>
      </c>
      <c r="CD558" s="161">
        <f t="shared" si="2225"/>
        <v>0</v>
      </c>
      <c r="CE558" s="161">
        <f t="shared" si="2226"/>
        <v>0</v>
      </c>
      <c r="CF558" s="161">
        <f t="shared" si="2227"/>
        <v>0</v>
      </c>
      <c r="CG558" s="161">
        <f t="shared" si="2228"/>
        <v>0</v>
      </c>
      <c r="CH558" s="161">
        <f t="shared" si="2229"/>
        <v>0</v>
      </c>
      <c r="CI558" s="161">
        <f t="shared" si="2230"/>
        <v>0</v>
      </c>
      <c r="CJ558" s="161">
        <f t="shared" si="2231"/>
        <v>0</v>
      </c>
      <c r="CK558" s="161">
        <f t="shared" si="2232"/>
        <v>0</v>
      </c>
      <c r="CL558" s="161">
        <f t="shared" si="2233"/>
        <v>0</v>
      </c>
      <c r="CM558" s="161">
        <f t="shared" si="2234"/>
        <v>0</v>
      </c>
      <c r="CN558" s="161">
        <f t="shared" si="2235"/>
        <v>0</v>
      </c>
      <c r="CO558" s="161">
        <f t="shared" si="2236"/>
        <v>0</v>
      </c>
      <c r="CP558" s="161">
        <f t="shared" si="2237"/>
        <v>0</v>
      </c>
      <c r="CQ558" s="161">
        <f t="shared" si="2238"/>
        <v>0</v>
      </c>
      <c r="CR558" s="161">
        <f t="shared" si="2239"/>
        <v>0</v>
      </c>
      <c r="CS558" s="161">
        <f t="shared" si="2240"/>
        <v>0</v>
      </c>
      <c r="CT558" s="161">
        <f t="shared" si="2241"/>
        <v>0</v>
      </c>
      <c r="CU558" s="161">
        <f t="shared" si="2242"/>
        <v>0</v>
      </c>
      <c r="CV558" s="161">
        <f t="shared" si="2243"/>
        <v>0</v>
      </c>
      <c r="CW558" s="161">
        <f t="shared" si="2244"/>
        <v>0</v>
      </c>
      <c r="CX558" s="161">
        <f t="shared" si="2245"/>
        <v>0</v>
      </c>
      <c r="CY558" s="161">
        <f t="shared" si="2246"/>
        <v>0</v>
      </c>
      <c r="CZ558" s="161">
        <f t="shared" si="2247"/>
        <v>0</v>
      </c>
      <c r="DA558" s="161">
        <f t="shared" si="2248"/>
        <v>0</v>
      </c>
      <c r="DB558" s="161">
        <f t="shared" si="2249"/>
        <v>0</v>
      </c>
      <c r="DC558" s="161">
        <f t="shared" si="2250"/>
        <v>0</v>
      </c>
      <c r="DD558" s="161">
        <f t="shared" si="2251"/>
        <v>0</v>
      </c>
      <c r="DE558" s="161">
        <f t="shared" si="2252"/>
        <v>0</v>
      </c>
      <c r="DF558" s="161">
        <f t="shared" si="2253"/>
        <v>0</v>
      </c>
      <c r="DG558" s="161">
        <f t="shared" si="2254"/>
        <v>0</v>
      </c>
      <c r="DH558" s="161">
        <f t="shared" si="2255"/>
        <v>0</v>
      </c>
      <c r="DI558" s="161">
        <f t="shared" si="2256"/>
        <v>0</v>
      </c>
      <c r="DJ558" s="161">
        <f t="shared" si="2257"/>
        <v>0</v>
      </c>
      <c r="DK558" s="161">
        <f t="shared" si="2258"/>
        <v>0</v>
      </c>
      <c r="DL558" s="161">
        <f t="shared" si="2259"/>
        <v>0</v>
      </c>
      <c r="DM558" s="161">
        <f t="shared" si="2260"/>
        <v>0</v>
      </c>
      <c r="DN558" s="161">
        <f t="shared" si="2261"/>
        <v>0</v>
      </c>
      <c r="DO558" s="161">
        <f t="shared" si="2262"/>
        <v>0</v>
      </c>
      <c r="DP558" s="161">
        <f t="shared" si="2263"/>
        <v>0</v>
      </c>
      <c r="DQ558" s="161">
        <f t="shared" si="2264"/>
        <v>0</v>
      </c>
      <c r="DR558" s="161">
        <f t="shared" si="2265"/>
        <v>0</v>
      </c>
      <c r="DS558" s="161">
        <f t="shared" si="2266"/>
        <v>0</v>
      </c>
      <c r="DT558" s="161">
        <f t="shared" si="2267"/>
        <v>0</v>
      </c>
      <c r="DU558" s="161">
        <f t="shared" si="2268"/>
        <v>0</v>
      </c>
      <c r="DV558" s="161">
        <f t="shared" si="2269"/>
        <v>0</v>
      </c>
      <c r="DW558" s="161">
        <f t="shared" si="2270"/>
        <v>0</v>
      </c>
      <c r="DX558" s="161">
        <f t="shared" si="2271"/>
        <v>0</v>
      </c>
      <c r="DY558" s="161">
        <f t="shared" si="2272"/>
        <v>0</v>
      </c>
      <c r="DZ558" s="161">
        <f t="shared" si="2273"/>
        <v>0</v>
      </c>
      <c r="EA558" s="161">
        <f t="shared" si="2274"/>
        <v>0</v>
      </c>
      <c r="EB558" s="161">
        <f t="shared" si="2275"/>
        <v>0</v>
      </c>
      <c r="EC558" s="161">
        <f t="shared" si="2276"/>
        <v>0</v>
      </c>
      <c r="ED558" s="161">
        <f t="shared" si="2277"/>
        <v>0</v>
      </c>
      <c r="EE558" s="161">
        <f t="shared" si="2278"/>
        <v>0</v>
      </c>
      <c r="EF558" s="161">
        <f t="shared" si="2279"/>
        <v>0</v>
      </c>
      <c r="EG558" s="161">
        <f t="shared" si="2280"/>
        <v>0</v>
      </c>
      <c r="EH558" s="161">
        <f t="shared" si="2281"/>
        <v>0</v>
      </c>
      <c r="EI558" s="161">
        <f t="shared" si="2282"/>
        <v>0</v>
      </c>
      <c r="EJ558" s="65"/>
      <c r="EK558" s="161">
        <f t="shared" si="2283"/>
        <v>0</v>
      </c>
      <c r="EL558" s="161">
        <f t="shared" si="2284"/>
        <v>0</v>
      </c>
      <c r="EM558" s="161">
        <f t="shared" si="2285"/>
        <v>0</v>
      </c>
    </row>
    <row r="559" spans="1:143" ht="12" hidden="1" customHeight="1" outlineLevel="2">
      <c r="A559" s="77">
        <v>11</v>
      </c>
      <c r="B559" s="137" t="str">
        <f t="shared" si="2213"/>
        <v>AN PL. ADM/CRP - Equipe_01</v>
      </c>
      <c r="C559" s="65"/>
      <c r="D559" s="621"/>
      <c r="E559" s="65"/>
      <c r="F559" s="603"/>
      <c r="G559" s="77" t="str">
        <f>IF(INDEX(Tarefas!$BT$30:$FK$30,MATCH(A559,Tarefas!$BT$28:$FK$28,0))=0,"",INDEX(Tarefas!$BT$30:$FK$30,MATCH(A559,Tarefas!$BT$28:$FK$28,0)))</f>
        <v>AN PL. ADM/CRP</v>
      </c>
      <c r="H559" s="107" cm="1">
        <f t="array" ref="H559">IFERROR((SUMPRODUCT((Tarefas!$N$32:$N$54='Cronog. e Histog.'!$F$549)*(Tarefas!$BQ$30:$FK$30='Cronog. e Histog.'!$G559)*(Tarefas!$BQ$32:$FK$54)))/SUMIF(Tarefas!$N$32:$N$54,'Cronog. e Histog.'!$F$549,Tarefas!$K$32:$K$54),0)</f>
        <v>0</v>
      </c>
      <c r="I559" s="79">
        <f t="shared" si="2214"/>
        <v>0</v>
      </c>
      <c r="J559" s="65"/>
      <c r="K559" s="160">
        <f t="shared" si="2215"/>
        <v>0</v>
      </c>
      <c r="L559" s="160">
        <f t="shared" si="2215"/>
        <v>0</v>
      </c>
      <c r="M559" s="160">
        <f t="shared" si="2215"/>
        <v>0</v>
      </c>
      <c r="N559" s="160">
        <f t="shared" si="2215"/>
        <v>0</v>
      </c>
      <c r="O559" s="160">
        <f t="shared" si="2215"/>
        <v>0</v>
      </c>
      <c r="P559" s="160">
        <f t="shared" si="2215"/>
        <v>0</v>
      </c>
      <c r="Q559" s="160">
        <f t="shared" si="2215"/>
        <v>0</v>
      </c>
      <c r="R559" s="160">
        <f t="shared" si="2215"/>
        <v>0</v>
      </c>
      <c r="S559" s="160">
        <f t="shared" si="2215"/>
        <v>0</v>
      </c>
      <c r="T559" s="160">
        <f t="shared" si="2215"/>
        <v>0</v>
      </c>
      <c r="U559" s="160">
        <f t="shared" si="2215"/>
        <v>0</v>
      </c>
      <c r="V559" s="160">
        <f t="shared" si="2215"/>
        <v>0</v>
      </c>
      <c r="W559" s="160">
        <f t="shared" si="2215"/>
        <v>0</v>
      </c>
      <c r="X559" s="160">
        <f t="shared" si="2215"/>
        <v>0</v>
      </c>
      <c r="Y559" s="160">
        <f t="shared" si="2215"/>
        <v>0</v>
      </c>
      <c r="Z559" s="160">
        <f t="shared" si="2215"/>
        <v>0</v>
      </c>
      <c r="AA559" s="160">
        <f t="shared" si="2216"/>
        <v>0</v>
      </c>
      <c r="AB559" s="160">
        <f t="shared" si="2216"/>
        <v>0</v>
      </c>
      <c r="AC559" s="160">
        <f t="shared" si="2216"/>
        <v>0</v>
      </c>
      <c r="AD559" s="160">
        <f t="shared" si="2216"/>
        <v>0</v>
      </c>
      <c r="AE559" s="160">
        <f t="shared" si="2216"/>
        <v>0</v>
      </c>
      <c r="AF559" s="160">
        <f t="shared" si="2216"/>
        <v>0</v>
      </c>
      <c r="AG559" s="160">
        <f t="shared" si="2216"/>
        <v>0</v>
      </c>
      <c r="AH559" s="160">
        <f t="shared" si="2216"/>
        <v>0</v>
      </c>
      <c r="AI559" s="160">
        <f t="shared" si="2216"/>
        <v>0</v>
      </c>
      <c r="AJ559" s="160">
        <f t="shared" si="2216"/>
        <v>0</v>
      </c>
      <c r="AK559" s="160">
        <f t="shared" si="2216"/>
        <v>0</v>
      </c>
      <c r="AL559" s="160">
        <f t="shared" si="2216"/>
        <v>0</v>
      </c>
      <c r="AM559" s="160">
        <f t="shared" si="2216"/>
        <v>0</v>
      </c>
      <c r="AN559" s="160">
        <f t="shared" si="2216"/>
        <v>0</v>
      </c>
      <c r="AO559" s="160">
        <f t="shared" si="2216"/>
        <v>0</v>
      </c>
      <c r="AP559" s="160">
        <f t="shared" si="2216"/>
        <v>0</v>
      </c>
      <c r="AQ559" s="160">
        <f t="shared" si="2217"/>
        <v>0</v>
      </c>
      <c r="AR559" s="160">
        <f t="shared" si="2217"/>
        <v>0</v>
      </c>
      <c r="AS559" s="160">
        <f t="shared" si="2217"/>
        <v>0</v>
      </c>
      <c r="AT559" s="160">
        <f t="shared" si="2217"/>
        <v>0</v>
      </c>
      <c r="AU559" s="160">
        <f t="shared" si="2217"/>
        <v>0</v>
      </c>
      <c r="AV559" s="160">
        <f t="shared" si="2217"/>
        <v>0</v>
      </c>
      <c r="AW559" s="160">
        <f t="shared" si="2217"/>
        <v>0</v>
      </c>
      <c r="AX559" s="160">
        <f t="shared" si="2217"/>
        <v>0</v>
      </c>
      <c r="AY559" s="160">
        <f t="shared" si="2217"/>
        <v>0</v>
      </c>
      <c r="AZ559" s="160">
        <f t="shared" si="2217"/>
        <v>0</v>
      </c>
      <c r="BA559" s="160">
        <f t="shared" si="2217"/>
        <v>0</v>
      </c>
      <c r="BB559" s="160">
        <f t="shared" si="2217"/>
        <v>0</v>
      </c>
      <c r="BC559" s="160">
        <f t="shared" si="2217"/>
        <v>0</v>
      </c>
      <c r="BD559" s="160">
        <f t="shared" si="2217"/>
        <v>0</v>
      </c>
      <c r="BE559" s="160">
        <f t="shared" si="2217"/>
        <v>0</v>
      </c>
      <c r="BF559" s="160">
        <f t="shared" si="2217"/>
        <v>0</v>
      </c>
      <c r="BG559" s="160">
        <f t="shared" si="2218"/>
        <v>0</v>
      </c>
      <c r="BH559" s="160">
        <f t="shared" si="2218"/>
        <v>0</v>
      </c>
      <c r="BI559" s="160">
        <f t="shared" si="2218"/>
        <v>0</v>
      </c>
      <c r="BJ559" s="160">
        <f t="shared" si="2218"/>
        <v>0</v>
      </c>
      <c r="BK559" s="160">
        <f t="shared" si="2218"/>
        <v>0</v>
      </c>
      <c r="BL559" s="160">
        <f t="shared" si="2218"/>
        <v>0</v>
      </c>
      <c r="BM559" s="160">
        <f t="shared" si="2218"/>
        <v>0</v>
      </c>
      <c r="BN559" s="160">
        <f t="shared" si="2218"/>
        <v>0</v>
      </c>
      <c r="BO559" s="160">
        <f t="shared" si="2218"/>
        <v>0</v>
      </c>
      <c r="BP559" s="160">
        <f t="shared" si="2218"/>
        <v>0</v>
      </c>
      <c r="BQ559" s="160">
        <f t="shared" si="2218"/>
        <v>0</v>
      </c>
      <c r="BR559" s="160">
        <f t="shared" si="2218"/>
        <v>0</v>
      </c>
      <c r="BS559" s="65"/>
      <c r="BT559" s="160">
        <f t="shared" si="2219"/>
        <v>0</v>
      </c>
      <c r="BU559" s="160">
        <f t="shared" si="2220"/>
        <v>0</v>
      </c>
      <c r="BV559" s="65"/>
      <c r="BW559" s="69"/>
      <c r="BX559" s="65"/>
      <c r="BY559" s="137">
        <f t="shared" si="2221"/>
        <v>1</v>
      </c>
      <c r="BZ559" s="137">
        <f>IF(BY559&gt;0,BY559+LARGE($BZ$213:BZ558,1),0)</f>
        <v>291</v>
      </c>
      <c r="CA559" s="137" t="str">
        <f t="shared" si="2222"/>
        <v>AN PL. ADM/CRP</v>
      </c>
      <c r="CB559" s="161">
        <f t="shared" si="2223"/>
        <v>0</v>
      </c>
      <c r="CC559" s="161">
        <f t="shared" si="2224"/>
        <v>0</v>
      </c>
      <c r="CD559" s="161">
        <f t="shared" si="2225"/>
        <v>0</v>
      </c>
      <c r="CE559" s="161">
        <f t="shared" si="2226"/>
        <v>0</v>
      </c>
      <c r="CF559" s="161">
        <f t="shared" si="2227"/>
        <v>0</v>
      </c>
      <c r="CG559" s="161">
        <f t="shared" si="2228"/>
        <v>0</v>
      </c>
      <c r="CH559" s="161">
        <f t="shared" si="2229"/>
        <v>0</v>
      </c>
      <c r="CI559" s="161">
        <f t="shared" si="2230"/>
        <v>0</v>
      </c>
      <c r="CJ559" s="161">
        <f t="shared" si="2231"/>
        <v>0</v>
      </c>
      <c r="CK559" s="161">
        <f t="shared" si="2232"/>
        <v>0</v>
      </c>
      <c r="CL559" s="161">
        <f t="shared" si="2233"/>
        <v>0</v>
      </c>
      <c r="CM559" s="161">
        <f t="shared" si="2234"/>
        <v>0</v>
      </c>
      <c r="CN559" s="161">
        <f t="shared" si="2235"/>
        <v>0</v>
      </c>
      <c r="CO559" s="161">
        <f t="shared" si="2236"/>
        <v>0</v>
      </c>
      <c r="CP559" s="161">
        <f t="shared" si="2237"/>
        <v>0</v>
      </c>
      <c r="CQ559" s="161">
        <f t="shared" si="2238"/>
        <v>0</v>
      </c>
      <c r="CR559" s="161">
        <f t="shared" si="2239"/>
        <v>0</v>
      </c>
      <c r="CS559" s="161">
        <f t="shared" si="2240"/>
        <v>0</v>
      </c>
      <c r="CT559" s="161">
        <f t="shared" si="2241"/>
        <v>0</v>
      </c>
      <c r="CU559" s="161">
        <f t="shared" si="2242"/>
        <v>0</v>
      </c>
      <c r="CV559" s="161">
        <f t="shared" si="2243"/>
        <v>0</v>
      </c>
      <c r="CW559" s="161">
        <f t="shared" si="2244"/>
        <v>0</v>
      </c>
      <c r="CX559" s="161">
        <f t="shared" si="2245"/>
        <v>0</v>
      </c>
      <c r="CY559" s="161">
        <f t="shared" si="2246"/>
        <v>0</v>
      </c>
      <c r="CZ559" s="161">
        <f t="shared" si="2247"/>
        <v>0</v>
      </c>
      <c r="DA559" s="161">
        <f t="shared" si="2248"/>
        <v>0</v>
      </c>
      <c r="DB559" s="161">
        <f t="shared" si="2249"/>
        <v>0</v>
      </c>
      <c r="DC559" s="161">
        <f t="shared" si="2250"/>
        <v>0</v>
      </c>
      <c r="DD559" s="161">
        <f t="shared" si="2251"/>
        <v>0</v>
      </c>
      <c r="DE559" s="161">
        <f t="shared" si="2252"/>
        <v>0</v>
      </c>
      <c r="DF559" s="161">
        <f t="shared" si="2253"/>
        <v>0</v>
      </c>
      <c r="DG559" s="161">
        <f t="shared" si="2254"/>
        <v>0</v>
      </c>
      <c r="DH559" s="161">
        <f t="shared" si="2255"/>
        <v>0</v>
      </c>
      <c r="DI559" s="161">
        <f t="shared" si="2256"/>
        <v>0</v>
      </c>
      <c r="DJ559" s="161">
        <f t="shared" si="2257"/>
        <v>0</v>
      </c>
      <c r="DK559" s="161">
        <f t="shared" si="2258"/>
        <v>0</v>
      </c>
      <c r="DL559" s="161">
        <f t="shared" si="2259"/>
        <v>0</v>
      </c>
      <c r="DM559" s="161">
        <f t="shared" si="2260"/>
        <v>0</v>
      </c>
      <c r="DN559" s="161">
        <f t="shared" si="2261"/>
        <v>0</v>
      </c>
      <c r="DO559" s="161">
        <f t="shared" si="2262"/>
        <v>0</v>
      </c>
      <c r="DP559" s="161">
        <f t="shared" si="2263"/>
        <v>0</v>
      </c>
      <c r="DQ559" s="161">
        <f t="shared" si="2264"/>
        <v>0</v>
      </c>
      <c r="DR559" s="161">
        <f t="shared" si="2265"/>
        <v>0</v>
      </c>
      <c r="DS559" s="161">
        <f t="shared" si="2266"/>
        <v>0</v>
      </c>
      <c r="DT559" s="161">
        <f t="shared" si="2267"/>
        <v>0</v>
      </c>
      <c r="DU559" s="161">
        <f t="shared" si="2268"/>
        <v>0</v>
      </c>
      <c r="DV559" s="161">
        <f t="shared" si="2269"/>
        <v>0</v>
      </c>
      <c r="DW559" s="161">
        <f t="shared" si="2270"/>
        <v>0</v>
      </c>
      <c r="DX559" s="161">
        <f t="shared" si="2271"/>
        <v>0</v>
      </c>
      <c r="DY559" s="161">
        <f t="shared" si="2272"/>
        <v>0</v>
      </c>
      <c r="DZ559" s="161">
        <f t="shared" si="2273"/>
        <v>0</v>
      </c>
      <c r="EA559" s="161">
        <f t="shared" si="2274"/>
        <v>0</v>
      </c>
      <c r="EB559" s="161">
        <f t="shared" si="2275"/>
        <v>0</v>
      </c>
      <c r="EC559" s="161">
        <f t="shared" si="2276"/>
        <v>0</v>
      </c>
      <c r="ED559" s="161">
        <f t="shared" si="2277"/>
        <v>0</v>
      </c>
      <c r="EE559" s="161">
        <f t="shared" si="2278"/>
        <v>0</v>
      </c>
      <c r="EF559" s="161">
        <f t="shared" si="2279"/>
        <v>0</v>
      </c>
      <c r="EG559" s="161">
        <f t="shared" si="2280"/>
        <v>0</v>
      </c>
      <c r="EH559" s="161">
        <f t="shared" si="2281"/>
        <v>0</v>
      </c>
      <c r="EI559" s="161">
        <f t="shared" si="2282"/>
        <v>0</v>
      </c>
      <c r="EJ559" s="65"/>
      <c r="EK559" s="161">
        <f t="shared" si="2283"/>
        <v>0</v>
      </c>
      <c r="EL559" s="161">
        <f t="shared" si="2284"/>
        <v>0</v>
      </c>
      <c r="EM559" s="161">
        <f t="shared" si="2285"/>
        <v>0</v>
      </c>
    </row>
    <row r="560" spans="1:143" ht="12" hidden="1" customHeight="1" outlineLevel="2">
      <c r="A560" s="77">
        <v>12</v>
      </c>
      <c r="B560" s="137" t="str">
        <f t="shared" si="2213"/>
        <v>AN JR. ADM/CRP - Equipe_01</v>
      </c>
      <c r="C560" s="65"/>
      <c r="D560" s="622"/>
      <c r="E560" s="65"/>
      <c r="F560" s="603"/>
      <c r="G560" s="77" t="str">
        <f>IF(INDEX(Tarefas!$BT$30:$FK$30,MATCH(A560,Tarefas!$BT$28:$FK$28,0))=0,"",INDEX(Tarefas!$BT$30:$FK$30,MATCH(A560,Tarefas!$BT$28:$FK$28,0)))</f>
        <v>AN JR. ADM/CRP</v>
      </c>
      <c r="H560" s="107" cm="1">
        <f t="array" ref="H560">IFERROR((SUMPRODUCT((Tarefas!$N$32:$N$54='Cronog. e Histog.'!$F$549)*(Tarefas!$BQ$30:$FK$30='Cronog. e Histog.'!$G560)*(Tarefas!$BQ$32:$FK$54)))/SUMIF(Tarefas!$N$32:$N$54,'Cronog. e Histog.'!$F$549,Tarefas!$K$32:$K$54),0)</f>
        <v>0</v>
      </c>
      <c r="I560" s="79">
        <f t="shared" si="2214"/>
        <v>0</v>
      </c>
      <c r="J560" s="65"/>
      <c r="K560" s="160">
        <f t="shared" ref="K560:Z568" si="2286">ROUND($I560*K$197,2)</f>
        <v>0</v>
      </c>
      <c r="L560" s="160">
        <f t="shared" si="2286"/>
        <v>0</v>
      </c>
      <c r="M560" s="160">
        <f t="shared" si="2286"/>
        <v>0</v>
      </c>
      <c r="N560" s="160">
        <f t="shared" si="2286"/>
        <v>0</v>
      </c>
      <c r="O560" s="160">
        <f t="shared" si="2286"/>
        <v>0</v>
      </c>
      <c r="P560" s="160">
        <f t="shared" si="2286"/>
        <v>0</v>
      </c>
      <c r="Q560" s="160">
        <f t="shared" si="2286"/>
        <v>0</v>
      </c>
      <c r="R560" s="160">
        <f t="shared" si="2286"/>
        <v>0</v>
      </c>
      <c r="S560" s="160">
        <f t="shared" si="2286"/>
        <v>0</v>
      </c>
      <c r="T560" s="160">
        <f t="shared" si="2286"/>
        <v>0</v>
      </c>
      <c r="U560" s="160">
        <f t="shared" si="2286"/>
        <v>0</v>
      </c>
      <c r="V560" s="160">
        <f t="shared" si="2286"/>
        <v>0</v>
      </c>
      <c r="W560" s="160">
        <f t="shared" si="2286"/>
        <v>0</v>
      </c>
      <c r="X560" s="160">
        <f t="shared" si="2286"/>
        <v>0</v>
      </c>
      <c r="Y560" s="160">
        <f t="shared" si="2286"/>
        <v>0</v>
      </c>
      <c r="Z560" s="160">
        <f t="shared" si="2286"/>
        <v>0</v>
      </c>
      <c r="AA560" s="160">
        <f t="shared" si="2148"/>
        <v>0</v>
      </c>
      <c r="AB560" s="160">
        <f t="shared" si="2148"/>
        <v>0</v>
      </c>
      <c r="AC560" s="160">
        <f t="shared" si="2148"/>
        <v>0</v>
      </c>
      <c r="AD560" s="160">
        <f t="shared" si="2148"/>
        <v>0</v>
      </c>
      <c r="AE560" s="160">
        <f t="shared" si="2148"/>
        <v>0</v>
      </c>
      <c r="AF560" s="160">
        <f t="shared" si="2148"/>
        <v>0</v>
      </c>
      <c r="AG560" s="160">
        <f t="shared" si="2148"/>
        <v>0</v>
      </c>
      <c r="AH560" s="160">
        <f t="shared" si="2148"/>
        <v>0</v>
      </c>
      <c r="AI560" s="160">
        <f t="shared" si="2148"/>
        <v>0</v>
      </c>
      <c r="AJ560" s="160">
        <f t="shared" si="2148"/>
        <v>0</v>
      </c>
      <c r="AK560" s="160">
        <f t="shared" si="2148"/>
        <v>0</v>
      </c>
      <c r="AL560" s="160">
        <f t="shared" si="2148"/>
        <v>0</v>
      </c>
      <c r="AM560" s="160">
        <f t="shared" si="2148"/>
        <v>0</v>
      </c>
      <c r="AN560" s="160">
        <f t="shared" si="2148"/>
        <v>0</v>
      </c>
      <c r="AO560" s="160">
        <f t="shared" si="2148"/>
        <v>0</v>
      </c>
      <c r="AP560" s="160">
        <f t="shared" si="2148"/>
        <v>0</v>
      </c>
      <c r="AQ560" s="160">
        <f t="shared" si="2148"/>
        <v>0</v>
      </c>
      <c r="AR560" s="160">
        <f t="shared" si="2148"/>
        <v>0</v>
      </c>
      <c r="AS560" s="160">
        <f t="shared" si="2148"/>
        <v>0</v>
      </c>
      <c r="AT560" s="160">
        <f t="shared" si="2148"/>
        <v>0</v>
      </c>
      <c r="AU560" s="160">
        <f t="shared" si="2148"/>
        <v>0</v>
      </c>
      <c r="AV560" s="160">
        <f t="shared" si="2148"/>
        <v>0</v>
      </c>
      <c r="AW560" s="160">
        <f t="shared" si="2148"/>
        <v>0</v>
      </c>
      <c r="AX560" s="160">
        <f t="shared" si="2148"/>
        <v>0</v>
      </c>
      <c r="AY560" s="160">
        <f t="shared" si="2148"/>
        <v>0</v>
      </c>
      <c r="AZ560" s="160">
        <f t="shared" si="2148"/>
        <v>0</v>
      </c>
      <c r="BA560" s="160">
        <f t="shared" si="2148"/>
        <v>0</v>
      </c>
      <c r="BB560" s="160">
        <f t="shared" si="2148"/>
        <v>0</v>
      </c>
      <c r="BC560" s="160">
        <f t="shared" si="2148"/>
        <v>0</v>
      </c>
      <c r="BD560" s="160">
        <f t="shared" si="2148"/>
        <v>0</v>
      </c>
      <c r="BE560" s="160">
        <f t="shared" si="2148"/>
        <v>0</v>
      </c>
      <c r="BF560" s="160">
        <f t="shared" si="2148"/>
        <v>0</v>
      </c>
      <c r="BG560" s="160">
        <f t="shared" si="2148"/>
        <v>0</v>
      </c>
      <c r="BH560" s="160">
        <f t="shared" si="2148"/>
        <v>0</v>
      </c>
      <c r="BI560" s="160">
        <f t="shared" si="2148"/>
        <v>0</v>
      </c>
      <c r="BJ560" s="160">
        <f t="shared" si="2148"/>
        <v>0</v>
      </c>
      <c r="BK560" s="160">
        <f t="shared" si="2148"/>
        <v>0</v>
      </c>
      <c r="BL560" s="160">
        <f t="shared" si="2148"/>
        <v>0</v>
      </c>
      <c r="BM560" s="160">
        <f t="shared" si="2148"/>
        <v>0</v>
      </c>
      <c r="BN560" s="160">
        <f t="shared" si="2148"/>
        <v>0</v>
      </c>
      <c r="BO560" s="160">
        <f t="shared" si="2148"/>
        <v>0</v>
      </c>
      <c r="BP560" s="160">
        <f t="shared" si="2148"/>
        <v>0</v>
      </c>
      <c r="BQ560" s="160">
        <f t="shared" si="2148"/>
        <v>0</v>
      </c>
      <c r="BR560" s="160">
        <f t="shared" si="2148"/>
        <v>0</v>
      </c>
      <c r="BS560" s="65"/>
      <c r="BT560" s="160">
        <f t="shared" si="2149"/>
        <v>0</v>
      </c>
      <c r="BU560" s="160">
        <f t="shared" si="2150"/>
        <v>0</v>
      </c>
      <c r="BV560" s="65"/>
      <c r="BW560" s="69"/>
      <c r="BX560" s="65"/>
      <c r="BY560" s="137">
        <f t="shared" si="2151"/>
        <v>1</v>
      </c>
      <c r="BZ560" s="137">
        <f>IF(BY560&gt;0,BY560+LARGE($BZ$213:BZ559,1),0)</f>
        <v>292</v>
      </c>
      <c r="CA560" s="137" t="str">
        <f t="shared" si="2152"/>
        <v>AN JR. ADM/CRP</v>
      </c>
      <c r="CB560" s="161">
        <f t="shared" si="2153"/>
        <v>0</v>
      </c>
      <c r="CC560" s="161">
        <f t="shared" si="2154"/>
        <v>0</v>
      </c>
      <c r="CD560" s="161">
        <f t="shared" si="2155"/>
        <v>0</v>
      </c>
      <c r="CE560" s="161">
        <f t="shared" si="2156"/>
        <v>0</v>
      </c>
      <c r="CF560" s="161">
        <f t="shared" si="2157"/>
        <v>0</v>
      </c>
      <c r="CG560" s="161">
        <f t="shared" si="2158"/>
        <v>0</v>
      </c>
      <c r="CH560" s="161">
        <f t="shared" si="2159"/>
        <v>0</v>
      </c>
      <c r="CI560" s="161">
        <f t="shared" si="2160"/>
        <v>0</v>
      </c>
      <c r="CJ560" s="161">
        <f t="shared" si="2161"/>
        <v>0</v>
      </c>
      <c r="CK560" s="161">
        <f t="shared" si="2162"/>
        <v>0</v>
      </c>
      <c r="CL560" s="161">
        <f t="shared" si="2163"/>
        <v>0</v>
      </c>
      <c r="CM560" s="161">
        <f t="shared" si="2164"/>
        <v>0</v>
      </c>
      <c r="CN560" s="161">
        <f t="shared" si="2165"/>
        <v>0</v>
      </c>
      <c r="CO560" s="161">
        <f t="shared" si="2166"/>
        <v>0</v>
      </c>
      <c r="CP560" s="161">
        <f t="shared" si="2167"/>
        <v>0</v>
      </c>
      <c r="CQ560" s="161">
        <f t="shared" si="2168"/>
        <v>0</v>
      </c>
      <c r="CR560" s="161">
        <f t="shared" si="2169"/>
        <v>0</v>
      </c>
      <c r="CS560" s="161">
        <f t="shared" si="2170"/>
        <v>0</v>
      </c>
      <c r="CT560" s="161">
        <f t="shared" si="2171"/>
        <v>0</v>
      </c>
      <c r="CU560" s="161">
        <f t="shared" si="2172"/>
        <v>0</v>
      </c>
      <c r="CV560" s="161">
        <f t="shared" si="2173"/>
        <v>0</v>
      </c>
      <c r="CW560" s="161">
        <f t="shared" si="2174"/>
        <v>0</v>
      </c>
      <c r="CX560" s="161">
        <f t="shared" si="2175"/>
        <v>0</v>
      </c>
      <c r="CY560" s="161">
        <f t="shared" si="2176"/>
        <v>0</v>
      </c>
      <c r="CZ560" s="161">
        <f t="shared" si="2177"/>
        <v>0</v>
      </c>
      <c r="DA560" s="161">
        <f t="shared" si="2178"/>
        <v>0</v>
      </c>
      <c r="DB560" s="161">
        <f t="shared" si="2179"/>
        <v>0</v>
      </c>
      <c r="DC560" s="161">
        <f t="shared" si="2180"/>
        <v>0</v>
      </c>
      <c r="DD560" s="161">
        <f t="shared" si="2181"/>
        <v>0</v>
      </c>
      <c r="DE560" s="161">
        <f t="shared" si="2182"/>
        <v>0</v>
      </c>
      <c r="DF560" s="161">
        <f t="shared" si="2183"/>
        <v>0</v>
      </c>
      <c r="DG560" s="161">
        <f t="shared" si="2184"/>
        <v>0</v>
      </c>
      <c r="DH560" s="161">
        <f t="shared" si="2185"/>
        <v>0</v>
      </c>
      <c r="DI560" s="161">
        <f t="shared" si="2186"/>
        <v>0</v>
      </c>
      <c r="DJ560" s="161">
        <f t="shared" si="2187"/>
        <v>0</v>
      </c>
      <c r="DK560" s="161">
        <f t="shared" si="2188"/>
        <v>0</v>
      </c>
      <c r="DL560" s="161">
        <f t="shared" si="2189"/>
        <v>0</v>
      </c>
      <c r="DM560" s="161">
        <f t="shared" si="2190"/>
        <v>0</v>
      </c>
      <c r="DN560" s="161">
        <f t="shared" si="2191"/>
        <v>0</v>
      </c>
      <c r="DO560" s="161">
        <f t="shared" si="2192"/>
        <v>0</v>
      </c>
      <c r="DP560" s="161">
        <f t="shared" si="2193"/>
        <v>0</v>
      </c>
      <c r="DQ560" s="161">
        <f t="shared" si="2194"/>
        <v>0</v>
      </c>
      <c r="DR560" s="161">
        <f t="shared" si="2195"/>
        <v>0</v>
      </c>
      <c r="DS560" s="161">
        <f t="shared" si="2196"/>
        <v>0</v>
      </c>
      <c r="DT560" s="161">
        <f t="shared" si="2197"/>
        <v>0</v>
      </c>
      <c r="DU560" s="161">
        <f t="shared" si="2198"/>
        <v>0</v>
      </c>
      <c r="DV560" s="161">
        <f t="shared" si="2199"/>
        <v>0</v>
      </c>
      <c r="DW560" s="161">
        <f t="shared" si="2200"/>
        <v>0</v>
      </c>
      <c r="DX560" s="161">
        <f t="shared" si="2201"/>
        <v>0</v>
      </c>
      <c r="DY560" s="161">
        <f t="shared" si="2202"/>
        <v>0</v>
      </c>
      <c r="DZ560" s="161">
        <f t="shared" si="2203"/>
        <v>0</v>
      </c>
      <c r="EA560" s="161">
        <f t="shared" si="2204"/>
        <v>0</v>
      </c>
      <c r="EB560" s="161">
        <f t="shared" si="2205"/>
        <v>0</v>
      </c>
      <c r="EC560" s="161">
        <f t="shared" si="2206"/>
        <v>0</v>
      </c>
      <c r="ED560" s="161">
        <f t="shared" si="2207"/>
        <v>0</v>
      </c>
      <c r="EE560" s="161">
        <f t="shared" si="2208"/>
        <v>0</v>
      </c>
      <c r="EF560" s="161">
        <f t="shared" si="2209"/>
        <v>0</v>
      </c>
      <c r="EG560" s="161">
        <f t="shared" si="2210"/>
        <v>0</v>
      </c>
      <c r="EH560" s="161">
        <f t="shared" si="2211"/>
        <v>0</v>
      </c>
      <c r="EI560" s="161">
        <f t="shared" si="2212"/>
        <v>0</v>
      </c>
      <c r="EJ560" s="65"/>
      <c r="EK560" s="161">
        <f t="shared" si="2283"/>
        <v>0</v>
      </c>
      <c r="EL560" s="161">
        <f t="shared" si="2284"/>
        <v>0</v>
      </c>
      <c r="EM560" s="161">
        <f t="shared" si="2285"/>
        <v>0</v>
      </c>
    </row>
    <row r="561" spans="1:143" ht="12" hidden="1" customHeight="1" outlineLevel="2">
      <c r="A561" s="77">
        <v>13</v>
      </c>
      <c r="B561" s="137" t="str">
        <f t="shared" si="2213"/>
        <v>TEC III - Equipe_01</v>
      </c>
      <c r="C561" s="65"/>
      <c r="D561" s="622"/>
      <c r="E561" s="65"/>
      <c r="F561" s="603"/>
      <c r="G561" s="77" t="str">
        <f>IF(INDEX(Tarefas!$BT$30:$FK$30,MATCH(A561,Tarefas!$BT$28:$FK$28,0))=0,"",INDEX(Tarefas!$BT$30:$FK$30,MATCH(A561,Tarefas!$BT$28:$FK$28,0)))</f>
        <v>TEC III</v>
      </c>
      <c r="H561" s="107" cm="1">
        <f t="array" ref="H561">IFERROR((SUMPRODUCT((Tarefas!$N$32:$N$54='Cronog. e Histog.'!$F$549)*(Tarefas!$BQ$30:$FK$30='Cronog. e Histog.'!$G561)*(Tarefas!$BQ$32:$FK$54)))/SUMIF(Tarefas!$N$32:$N$54,'Cronog. e Histog.'!$F$549,Tarefas!$K$32:$K$54),0)</f>
        <v>0</v>
      </c>
      <c r="I561" s="79">
        <f t="shared" si="2214"/>
        <v>0</v>
      </c>
      <c r="J561" s="65"/>
      <c r="K561" s="160">
        <f t="shared" si="2286"/>
        <v>0</v>
      </c>
      <c r="L561" s="160">
        <f t="shared" si="2148"/>
        <v>0</v>
      </c>
      <c r="M561" s="160">
        <f t="shared" si="2148"/>
        <v>0</v>
      </c>
      <c r="N561" s="160">
        <f t="shared" si="2148"/>
        <v>0</v>
      </c>
      <c r="O561" s="160">
        <f t="shared" si="2148"/>
        <v>0</v>
      </c>
      <c r="P561" s="160">
        <f t="shared" si="2148"/>
        <v>0</v>
      </c>
      <c r="Q561" s="160">
        <f t="shared" si="2148"/>
        <v>0</v>
      </c>
      <c r="R561" s="160">
        <f t="shared" si="2148"/>
        <v>0</v>
      </c>
      <c r="S561" s="160">
        <f t="shared" si="2148"/>
        <v>0</v>
      </c>
      <c r="T561" s="160">
        <f t="shared" si="2148"/>
        <v>0</v>
      </c>
      <c r="U561" s="160">
        <f t="shared" si="2148"/>
        <v>0</v>
      </c>
      <c r="V561" s="160">
        <f t="shared" si="2148"/>
        <v>0</v>
      </c>
      <c r="W561" s="160">
        <f t="shared" si="2148"/>
        <v>0</v>
      </c>
      <c r="X561" s="160">
        <f t="shared" si="2148"/>
        <v>0</v>
      </c>
      <c r="Y561" s="160">
        <f t="shared" si="2148"/>
        <v>0</v>
      </c>
      <c r="Z561" s="160">
        <f t="shared" si="2148"/>
        <v>0</v>
      </c>
      <c r="AA561" s="160">
        <f t="shared" si="2148"/>
        <v>0</v>
      </c>
      <c r="AB561" s="160">
        <f t="shared" si="2148"/>
        <v>0</v>
      </c>
      <c r="AC561" s="160">
        <f t="shared" si="2148"/>
        <v>0</v>
      </c>
      <c r="AD561" s="160">
        <f t="shared" si="2148"/>
        <v>0</v>
      </c>
      <c r="AE561" s="160">
        <f t="shared" si="2148"/>
        <v>0</v>
      </c>
      <c r="AF561" s="160">
        <f t="shared" si="2148"/>
        <v>0</v>
      </c>
      <c r="AG561" s="160">
        <f t="shared" si="2148"/>
        <v>0</v>
      </c>
      <c r="AH561" s="160">
        <f t="shared" si="2148"/>
        <v>0</v>
      </c>
      <c r="AI561" s="160">
        <f t="shared" si="2148"/>
        <v>0</v>
      </c>
      <c r="AJ561" s="160">
        <f t="shared" si="2148"/>
        <v>0</v>
      </c>
      <c r="AK561" s="160">
        <f t="shared" si="2148"/>
        <v>0</v>
      </c>
      <c r="AL561" s="160">
        <f t="shared" si="2148"/>
        <v>0</v>
      </c>
      <c r="AM561" s="160">
        <f t="shared" si="2148"/>
        <v>0</v>
      </c>
      <c r="AN561" s="160">
        <f t="shared" si="2148"/>
        <v>0</v>
      </c>
      <c r="AO561" s="160">
        <f t="shared" si="2148"/>
        <v>0</v>
      </c>
      <c r="AP561" s="160">
        <f t="shared" si="2148"/>
        <v>0</v>
      </c>
      <c r="AQ561" s="160">
        <f t="shared" si="2148"/>
        <v>0</v>
      </c>
      <c r="AR561" s="160">
        <f t="shared" si="2148"/>
        <v>0</v>
      </c>
      <c r="AS561" s="160">
        <f t="shared" si="2148"/>
        <v>0</v>
      </c>
      <c r="AT561" s="160">
        <f t="shared" si="2148"/>
        <v>0</v>
      </c>
      <c r="AU561" s="160">
        <f t="shared" si="2148"/>
        <v>0</v>
      </c>
      <c r="AV561" s="160">
        <f t="shared" si="2148"/>
        <v>0</v>
      </c>
      <c r="AW561" s="160">
        <f t="shared" si="2148"/>
        <v>0</v>
      </c>
      <c r="AX561" s="160">
        <f t="shared" si="2148"/>
        <v>0</v>
      </c>
      <c r="AY561" s="160">
        <f t="shared" si="2148"/>
        <v>0</v>
      </c>
      <c r="AZ561" s="160">
        <f t="shared" si="2148"/>
        <v>0</v>
      </c>
      <c r="BA561" s="160">
        <f t="shared" si="2148"/>
        <v>0</v>
      </c>
      <c r="BB561" s="160">
        <f t="shared" si="2148"/>
        <v>0</v>
      </c>
      <c r="BC561" s="160">
        <f t="shared" si="2148"/>
        <v>0</v>
      </c>
      <c r="BD561" s="160">
        <f t="shared" si="2148"/>
        <v>0</v>
      </c>
      <c r="BE561" s="160">
        <f t="shared" si="2148"/>
        <v>0</v>
      </c>
      <c r="BF561" s="160">
        <f t="shared" si="2148"/>
        <v>0</v>
      </c>
      <c r="BG561" s="160">
        <f t="shared" si="2148"/>
        <v>0</v>
      </c>
      <c r="BH561" s="160">
        <f t="shared" si="2148"/>
        <v>0</v>
      </c>
      <c r="BI561" s="160">
        <f t="shared" si="2148"/>
        <v>0</v>
      </c>
      <c r="BJ561" s="160">
        <f t="shared" si="2148"/>
        <v>0</v>
      </c>
      <c r="BK561" s="160">
        <f t="shared" si="2148"/>
        <v>0</v>
      </c>
      <c r="BL561" s="160">
        <f t="shared" si="2148"/>
        <v>0</v>
      </c>
      <c r="BM561" s="160">
        <f t="shared" si="2148"/>
        <v>0</v>
      </c>
      <c r="BN561" s="160">
        <f t="shared" si="2148"/>
        <v>0</v>
      </c>
      <c r="BO561" s="160">
        <f t="shared" si="2148"/>
        <v>0</v>
      </c>
      <c r="BP561" s="160">
        <f t="shared" si="2148"/>
        <v>0</v>
      </c>
      <c r="BQ561" s="160">
        <f t="shared" si="2148"/>
        <v>0</v>
      </c>
      <c r="BR561" s="160">
        <f t="shared" si="2148"/>
        <v>0</v>
      </c>
      <c r="BS561" s="65"/>
      <c r="BT561" s="160">
        <f t="shared" si="2149"/>
        <v>0</v>
      </c>
      <c r="BU561" s="160">
        <f t="shared" si="2150"/>
        <v>0</v>
      </c>
      <c r="BV561" s="65"/>
      <c r="BW561" s="69"/>
      <c r="BX561" s="65"/>
      <c r="BY561" s="137">
        <f t="shared" si="2151"/>
        <v>1</v>
      </c>
      <c r="BZ561" s="137">
        <f>IF(BY561&gt;0,BY561+LARGE($BZ$213:BZ560,1),0)</f>
        <v>293</v>
      </c>
      <c r="CA561" s="137" t="str">
        <f t="shared" si="2152"/>
        <v>TEC III</v>
      </c>
      <c r="CB561" s="161">
        <f t="shared" si="2153"/>
        <v>0</v>
      </c>
      <c r="CC561" s="161">
        <f t="shared" si="2154"/>
        <v>0</v>
      </c>
      <c r="CD561" s="161">
        <f t="shared" si="2155"/>
        <v>0</v>
      </c>
      <c r="CE561" s="161">
        <f t="shared" si="2156"/>
        <v>0</v>
      </c>
      <c r="CF561" s="161">
        <f t="shared" si="2157"/>
        <v>0</v>
      </c>
      <c r="CG561" s="161">
        <f t="shared" si="2158"/>
        <v>0</v>
      </c>
      <c r="CH561" s="161">
        <f t="shared" si="2159"/>
        <v>0</v>
      </c>
      <c r="CI561" s="161">
        <f t="shared" si="2160"/>
        <v>0</v>
      </c>
      <c r="CJ561" s="161">
        <f t="shared" si="2161"/>
        <v>0</v>
      </c>
      <c r="CK561" s="161">
        <f t="shared" si="2162"/>
        <v>0</v>
      </c>
      <c r="CL561" s="161">
        <f t="shared" si="2163"/>
        <v>0</v>
      </c>
      <c r="CM561" s="161">
        <f t="shared" si="2164"/>
        <v>0</v>
      </c>
      <c r="CN561" s="161">
        <f t="shared" si="2165"/>
        <v>0</v>
      </c>
      <c r="CO561" s="161">
        <f t="shared" si="2166"/>
        <v>0</v>
      </c>
      <c r="CP561" s="161">
        <f t="shared" si="2167"/>
        <v>0</v>
      </c>
      <c r="CQ561" s="161">
        <f t="shared" si="2168"/>
        <v>0</v>
      </c>
      <c r="CR561" s="161">
        <f t="shared" si="2169"/>
        <v>0</v>
      </c>
      <c r="CS561" s="161">
        <f t="shared" si="2170"/>
        <v>0</v>
      </c>
      <c r="CT561" s="161">
        <f t="shared" si="2171"/>
        <v>0</v>
      </c>
      <c r="CU561" s="161">
        <f t="shared" si="2172"/>
        <v>0</v>
      </c>
      <c r="CV561" s="161">
        <f t="shared" si="2173"/>
        <v>0</v>
      </c>
      <c r="CW561" s="161">
        <f t="shared" si="2174"/>
        <v>0</v>
      </c>
      <c r="CX561" s="161">
        <f t="shared" si="2175"/>
        <v>0</v>
      </c>
      <c r="CY561" s="161">
        <f t="shared" si="2176"/>
        <v>0</v>
      </c>
      <c r="CZ561" s="161">
        <f t="shared" si="2177"/>
        <v>0</v>
      </c>
      <c r="DA561" s="161">
        <f t="shared" si="2178"/>
        <v>0</v>
      </c>
      <c r="DB561" s="161">
        <f t="shared" si="2179"/>
        <v>0</v>
      </c>
      <c r="DC561" s="161">
        <f t="shared" si="2180"/>
        <v>0</v>
      </c>
      <c r="DD561" s="161">
        <f t="shared" si="2181"/>
        <v>0</v>
      </c>
      <c r="DE561" s="161">
        <f t="shared" si="2182"/>
        <v>0</v>
      </c>
      <c r="DF561" s="161">
        <f t="shared" si="2183"/>
        <v>0</v>
      </c>
      <c r="DG561" s="161">
        <f t="shared" si="2184"/>
        <v>0</v>
      </c>
      <c r="DH561" s="161">
        <f t="shared" si="2185"/>
        <v>0</v>
      </c>
      <c r="DI561" s="161">
        <f t="shared" si="2186"/>
        <v>0</v>
      </c>
      <c r="DJ561" s="161">
        <f t="shared" si="2187"/>
        <v>0</v>
      </c>
      <c r="DK561" s="161">
        <f t="shared" si="2188"/>
        <v>0</v>
      </c>
      <c r="DL561" s="161">
        <f t="shared" si="2189"/>
        <v>0</v>
      </c>
      <c r="DM561" s="161">
        <f t="shared" si="2190"/>
        <v>0</v>
      </c>
      <c r="DN561" s="161">
        <f t="shared" si="2191"/>
        <v>0</v>
      </c>
      <c r="DO561" s="161">
        <f t="shared" si="2192"/>
        <v>0</v>
      </c>
      <c r="DP561" s="161">
        <f t="shared" si="2193"/>
        <v>0</v>
      </c>
      <c r="DQ561" s="161">
        <f t="shared" si="2194"/>
        <v>0</v>
      </c>
      <c r="DR561" s="161">
        <f t="shared" si="2195"/>
        <v>0</v>
      </c>
      <c r="DS561" s="161">
        <f t="shared" si="2196"/>
        <v>0</v>
      </c>
      <c r="DT561" s="161">
        <f t="shared" si="2197"/>
        <v>0</v>
      </c>
      <c r="DU561" s="161">
        <f t="shared" si="2198"/>
        <v>0</v>
      </c>
      <c r="DV561" s="161">
        <f t="shared" si="2199"/>
        <v>0</v>
      </c>
      <c r="DW561" s="161">
        <f t="shared" si="2200"/>
        <v>0</v>
      </c>
      <c r="DX561" s="161">
        <f t="shared" si="2201"/>
        <v>0</v>
      </c>
      <c r="DY561" s="161">
        <f t="shared" si="2202"/>
        <v>0</v>
      </c>
      <c r="DZ561" s="161">
        <f t="shared" si="2203"/>
        <v>0</v>
      </c>
      <c r="EA561" s="161">
        <f t="shared" si="2204"/>
        <v>0</v>
      </c>
      <c r="EB561" s="161">
        <f t="shared" si="2205"/>
        <v>0</v>
      </c>
      <c r="EC561" s="161">
        <f t="shared" si="2206"/>
        <v>0</v>
      </c>
      <c r="ED561" s="161">
        <f t="shared" si="2207"/>
        <v>0</v>
      </c>
      <c r="EE561" s="161">
        <f t="shared" si="2208"/>
        <v>0</v>
      </c>
      <c r="EF561" s="161">
        <f t="shared" si="2209"/>
        <v>0</v>
      </c>
      <c r="EG561" s="161">
        <f t="shared" si="2210"/>
        <v>0</v>
      </c>
      <c r="EH561" s="161">
        <f t="shared" si="2211"/>
        <v>0</v>
      </c>
      <c r="EI561" s="161">
        <f t="shared" si="2212"/>
        <v>0</v>
      </c>
      <c r="EJ561" s="65"/>
      <c r="EK561" s="161">
        <f t="shared" si="2283"/>
        <v>0</v>
      </c>
      <c r="EL561" s="161">
        <f t="shared" si="2284"/>
        <v>0</v>
      </c>
      <c r="EM561" s="161">
        <f t="shared" si="2285"/>
        <v>0</v>
      </c>
    </row>
    <row r="562" spans="1:143" ht="12" hidden="1" customHeight="1" outlineLevel="2">
      <c r="A562" s="77">
        <v>14</v>
      </c>
      <c r="B562" s="137" t="str">
        <f t="shared" si="2213"/>
        <v>TEC II - Equipe_01</v>
      </c>
      <c r="C562" s="65"/>
      <c r="D562" s="622"/>
      <c r="E562" s="65"/>
      <c r="F562" s="603"/>
      <c r="G562" s="77" t="str">
        <f>IF(INDEX(Tarefas!$BT$30:$FK$30,MATCH(A562,Tarefas!$BT$28:$FK$28,0))=0,"",INDEX(Tarefas!$BT$30:$FK$30,MATCH(A562,Tarefas!$BT$28:$FK$28,0)))</f>
        <v>TEC II</v>
      </c>
      <c r="H562" s="107" cm="1">
        <f t="array" ref="H562">IFERROR((SUMPRODUCT((Tarefas!$N$32:$N$54='Cronog. e Histog.'!$F$549)*(Tarefas!$BQ$30:$FK$30='Cronog. e Histog.'!$G562)*(Tarefas!$BQ$32:$FK$54)))/SUMIF(Tarefas!$N$32:$N$54,'Cronog. e Histog.'!$F$549,Tarefas!$K$32:$K$54),0)</f>
        <v>0</v>
      </c>
      <c r="I562" s="79">
        <f t="shared" si="2214"/>
        <v>0</v>
      </c>
      <c r="J562" s="65"/>
      <c r="K562" s="160">
        <f t="shared" si="2286"/>
        <v>0</v>
      </c>
      <c r="L562" s="160">
        <f t="shared" si="2148"/>
        <v>0</v>
      </c>
      <c r="M562" s="160">
        <f t="shared" si="2148"/>
        <v>0</v>
      </c>
      <c r="N562" s="160">
        <f t="shared" si="2148"/>
        <v>0</v>
      </c>
      <c r="O562" s="160">
        <f t="shared" si="2148"/>
        <v>0</v>
      </c>
      <c r="P562" s="160">
        <f t="shared" si="2148"/>
        <v>0</v>
      </c>
      <c r="Q562" s="160">
        <f t="shared" si="2148"/>
        <v>0</v>
      </c>
      <c r="R562" s="160">
        <f t="shared" si="2148"/>
        <v>0</v>
      </c>
      <c r="S562" s="160">
        <f t="shared" si="2148"/>
        <v>0</v>
      </c>
      <c r="T562" s="160">
        <f t="shared" si="2148"/>
        <v>0</v>
      </c>
      <c r="U562" s="160">
        <f t="shared" si="2148"/>
        <v>0</v>
      </c>
      <c r="V562" s="160">
        <f t="shared" si="2148"/>
        <v>0</v>
      </c>
      <c r="W562" s="160">
        <f t="shared" si="2148"/>
        <v>0</v>
      </c>
      <c r="X562" s="160">
        <f t="shared" si="2148"/>
        <v>0</v>
      </c>
      <c r="Y562" s="160">
        <f t="shared" si="2148"/>
        <v>0</v>
      </c>
      <c r="Z562" s="160">
        <f t="shared" si="2148"/>
        <v>0</v>
      </c>
      <c r="AA562" s="160">
        <f t="shared" si="2148"/>
        <v>0</v>
      </c>
      <c r="AB562" s="160">
        <f t="shared" si="2148"/>
        <v>0</v>
      </c>
      <c r="AC562" s="160">
        <f t="shared" si="2148"/>
        <v>0</v>
      </c>
      <c r="AD562" s="160">
        <f t="shared" si="2148"/>
        <v>0</v>
      </c>
      <c r="AE562" s="160">
        <f t="shared" si="2148"/>
        <v>0</v>
      </c>
      <c r="AF562" s="160">
        <f t="shared" si="2148"/>
        <v>0</v>
      </c>
      <c r="AG562" s="160">
        <f t="shared" si="2148"/>
        <v>0</v>
      </c>
      <c r="AH562" s="160">
        <f t="shared" si="2148"/>
        <v>0</v>
      </c>
      <c r="AI562" s="160">
        <f t="shared" si="2148"/>
        <v>0</v>
      </c>
      <c r="AJ562" s="160">
        <f t="shared" si="2148"/>
        <v>0</v>
      </c>
      <c r="AK562" s="160">
        <f t="shared" si="2148"/>
        <v>0</v>
      </c>
      <c r="AL562" s="160">
        <f t="shared" si="2148"/>
        <v>0</v>
      </c>
      <c r="AM562" s="160">
        <f t="shared" si="2148"/>
        <v>0</v>
      </c>
      <c r="AN562" s="160">
        <f t="shared" si="2148"/>
        <v>0</v>
      </c>
      <c r="AO562" s="160">
        <f t="shared" si="2148"/>
        <v>0</v>
      </c>
      <c r="AP562" s="160">
        <f t="shared" si="2148"/>
        <v>0</v>
      </c>
      <c r="AQ562" s="160">
        <f t="shared" si="2148"/>
        <v>0</v>
      </c>
      <c r="AR562" s="160">
        <f t="shared" si="2148"/>
        <v>0</v>
      </c>
      <c r="AS562" s="160">
        <f t="shared" si="2148"/>
        <v>0</v>
      </c>
      <c r="AT562" s="160">
        <f t="shared" si="2148"/>
        <v>0</v>
      </c>
      <c r="AU562" s="160">
        <f t="shared" si="2148"/>
        <v>0</v>
      </c>
      <c r="AV562" s="160">
        <f t="shared" si="2148"/>
        <v>0</v>
      </c>
      <c r="AW562" s="160">
        <f t="shared" si="2148"/>
        <v>0</v>
      </c>
      <c r="AX562" s="160">
        <f t="shared" si="2148"/>
        <v>0</v>
      </c>
      <c r="AY562" s="160">
        <f t="shared" si="2148"/>
        <v>0</v>
      </c>
      <c r="AZ562" s="160">
        <f t="shared" si="2148"/>
        <v>0</v>
      </c>
      <c r="BA562" s="160">
        <f t="shared" si="2148"/>
        <v>0</v>
      </c>
      <c r="BB562" s="160">
        <f t="shared" si="2148"/>
        <v>0</v>
      </c>
      <c r="BC562" s="160">
        <f t="shared" si="2148"/>
        <v>0</v>
      </c>
      <c r="BD562" s="160">
        <f t="shared" si="2148"/>
        <v>0</v>
      </c>
      <c r="BE562" s="160">
        <f t="shared" si="2148"/>
        <v>0</v>
      </c>
      <c r="BF562" s="160">
        <f t="shared" si="2148"/>
        <v>0</v>
      </c>
      <c r="BG562" s="160">
        <f t="shared" si="2148"/>
        <v>0</v>
      </c>
      <c r="BH562" s="160">
        <f t="shared" si="2148"/>
        <v>0</v>
      </c>
      <c r="BI562" s="160">
        <f t="shared" si="2148"/>
        <v>0</v>
      </c>
      <c r="BJ562" s="160">
        <f t="shared" si="2148"/>
        <v>0</v>
      </c>
      <c r="BK562" s="160">
        <f t="shared" si="2148"/>
        <v>0</v>
      </c>
      <c r="BL562" s="160">
        <f t="shared" si="2148"/>
        <v>0</v>
      </c>
      <c r="BM562" s="160">
        <f t="shared" si="2148"/>
        <v>0</v>
      </c>
      <c r="BN562" s="160">
        <f t="shared" si="2148"/>
        <v>0</v>
      </c>
      <c r="BO562" s="160">
        <f t="shared" si="2148"/>
        <v>0</v>
      </c>
      <c r="BP562" s="160">
        <f t="shared" si="2148"/>
        <v>0</v>
      </c>
      <c r="BQ562" s="160">
        <f t="shared" si="2148"/>
        <v>0</v>
      </c>
      <c r="BR562" s="160">
        <f t="shared" si="2148"/>
        <v>0</v>
      </c>
      <c r="BS562" s="65"/>
      <c r="BT562" s="160">
        <f t="shared" si="2149"/>
        <v>0</v>
      </c>
      <c r="BU562" s="160">
        <f t="shared" si="2150"/>
        <v>0</v>
      </c>
      <c r="BV562" s="65"/>
      <c r="BW562" s="69"/>
      <c r="BX562" s="65"/>
      <c r="BY562" s="137">
        <f t="shared" si="2151"/>
        <v>1</v>
      </c>
      <c r="BZ562" s="137">
        <f>IF(BY562&gt;0,BY562+LARGE($BZ$213:BZ561,1),0)</f>
        <v>294</v>
      </c>
      <c r="CA562" s="137" t="str">
        <f t="shared" si="2152"/>
        <v>TEC II</v>
      </c>
      <c r="CB562" s="161">
        <f t="shared" si="2153"/>
        <v>0</v>
      </c>
      <c r="CC562" s="161">
        <f t="shared" si="2154"/>
        <v>0</v>
      </c>
      <c r="CD562" s="161">
        <f t="shared" si="2155"/>
        <v>0</v>
      </c>
      <c r="CE562" s="161">
        <f t="shared" si="2156"/>
        <v>0</v>
      </c>
      <c r="CF562" s="161">
        <f t="shared" si="2157"/>
        <v>0</v>
      </c>
      <c r="CG562" s="161">
        <f t="shared" si="2158"/>
        <v>0</v>
      </c>
      <c r="CH562" s="161">
        <f t="shared" si="2159"/>
        <v>0</v>
      </c>
      <c r="CI562" s="161">
        <f t="shared" si="2160"/>
        <v>0</v>
      </c>
      <c r="CJ562" s="161">
        <f t="shared" si="2161"/>
        <v>0</v>
      </c>
      <c r="CK562" s="161">
        <f t="shared" si="2162"/>
        <v>0</v>
      </c>
      <c r="CL562" s="161">
        <f t="shared" si="2163"/>
        <v>0</v>
      </c>
      <c r="CM562" s="161">
        <f t="shared" si="2164"/>
        <v>0</v>
      </c>
      <c r="CN562" s="161">
        <f t="shared" si="2165"/>
        <v>0</v>
      </c>
      <c r="CO562" s="161">
        <f t="shared" si="2166"/>
        <v>0</v>
      </c>
      <c r="CP562" s="161">
        <f t="shared" si="2167"/>
        <v>0</v>
      </c>
      <c r="CQ562" s="161">
        <f t="shared" si="2168"/>
        <v>0</v>
      </c>
      <c r="CR562" s="161">
        <f t="shared" si="2169"/>
        <v>0</v>
      </c>
      <c r="CS562" s="161">
        <f t="shared" si="2170"/>
        <v>0</v>
      </c>
      <c r="CT562" s="161">
        <f t="shared" si="2171"/>
        <v>0</v>
      </c>
      <c r="CU562" s="161">
        <f t="shared" si="2172"/>
        <v>0</v>
      </c>
      <c r="CV562" s="161">
        <f t="shared" si="2173"/>
        <v>0</v>
      </c>
      <c r="CW562" s="161">
        <f t="shared" si="2174"/>
        <v>0</v>
      </c>
      <c r="CX562" s="161">
        <f t="shared" si="2175"/>
        <v>0</v>
      </c>
      <c r="CY562" s="161">
        <f t="shared" si="2176"/>
        <v>0</v>
      </c>
      <c r="CZ562" s="161">
        <f t="shared" si="2177"/>
        <v>0</v>
      </c>
      <c r="DA562" s="161">
        <f t="shared" si="2178"/>
        <v>0</v>
      </c>
      <c r="DB562" s="161">
        <f t="shared" si="2179"/>
        <v>0</v>
      </c>
      <c r="DC562" s="161">
        <f t="shared" si="2180"/>
        <v>0</v>
      </c>
      <c r="DD562" s="161">
        <f t="shared" si="2181"/>
        <v>0</v>
      </c>
      <c r="DE562" s="161">
        <f t="shared" si="2182"/>
        <v>0</v>
      </c>
      <c r="DF562" s="161">
        <f t="shared" si="2183"/>
        <v>0</v>
      </c>
      <c r="DG562" s="161">
        <f t="shared" si="2184"/>
        <v>0</v>
      </c>
      <c r="DH562" s="161">
        <f t="shared" si="2185"/>
        <v>0</v>
      </c>
      <c r="DI562" s="161">
        <f t="shared" si="2186"/>
        <v>0</v>
      </c>
      <c r="DJ562" s="161">
        <f t="shared" si="2187"/>
        <v>0</v>
      </c>
      <c r="DK562" s="161">
        <f t="shared" si="2188"/>
        <v>0</v>
      </c>
      <c r="DL562" s="161">
        <f t="shared" si="2189"/>
        <v>0</v>
      </c>
      <c r="DM562" s="161">
        <f t="shared" si="2190"/>
        <v>0</v>
      </c>
      <c r="DN562" s="161">
        <f t="shared" si="2191"/>
        <v>0</v>
      </c>
      <c r="DO562" s="161">
        <f t="shared" si="2192"/>
        <v>0</v>
      </c>
      <c r="DP562" s="161">
        <f t="shared" si="2193"/>
        <v>0</v>
      </c>
      <c r="DQ562" s="161">
        <f t="shared" si="2194"/>
        <v>0</v>
      </c>
      <c r="DR562" s="161">
        <f t="shared" si="2195"/>
        <v>0</v>
      </c>
      <c r="DS562" s="161">
        <f t="shared" si="2196"/>
        <v>0</v>
      </c>
      <c r="DT562" s="161">
        <f t="shared" si="2197"/>
        <v>0</v>
      </c>
      <c r="DU562" s="161">
        <f t="shared" si="2198"/>
        <v>0</v>
      </c>
      <c r="DV562" s="161">
        <f t="shared" si="2199"/>
        <v>0</v>
      </c>
      <c r="DW562" s="161">
        <f t="shared" si="2200"/>
        <v>0</v>
      </c>
      <c r="DX562" s="161">
        <f t="shared" si="2201"/>
        <v>0</v>
      </c>
      <c r="DY562" s="161">
        <f t="shared" si="2202"/>
        <v>0</v>
      </c>
      <c r="DZ562" s="161">
        <f t="shared" si="2203"/>
        <v>0</v>
      </c>
      <c r="EA562" s="161">
        <f t="shared" si="2204"/>
        <v>0</v>
      </c>
      <c r="EB562" s="161">
        <f t="shared" si="2205"/>
        <v>0</v>
      </c>
      <c r="EC562" s="161">
        <f t="shared" si="2206"/>
        <v>0</v>
      </c>
      <c r="ED562" s="161">
        <f t="shared" si="2207"/>
        <v>0</v>
      </c>
      <c r="EE562" s="161">
        <f t="shared" si="2208"/>
        <v>0</v>
      </c>
      <c r="EF562" s="161">
        <f t="shared" si="2209"/>
        <v>0</v>
      </c>
      <c r="EG562" s="161">
        <f t="shared" si="2210"/>
        <v>0</v>
      </c>
      <c r="EH562" s="161">
        <f t="shared" si="2211"/>
        <v>0</v>
      </c>
      <c r="EI562" s="161">
        <f t="shared" si="2212"/>
        <v>0</v>
      </c>
      <c r="EJ562" s="65"/>
      <c r="EK562" s="161">
        <f t="shared" si="2283"/>
        <v>0</v>
      </c>
      <c r="EL562" s="161">
        <f t="shared" si="2284"/>
        <v>0</v>
      </c>
      <c r="EM562" s="161">
        <f t="shared" si="2285"/>
        <v>0</v>
      </c>
    </row>
    <row r="563" spans="1:143" ht="12" hidden="1" customHeight="1" outlineLevel="2">
      <c r="A563" s="77">
        <v>15</v>
      </c>
      <c r="B563" s="137" t="str">
        <f t="shared" si="2213"/>
        <v>TEC I - Equipe_01</v>
      </c>
      <c r="C563" s="65"/>
      <c r="D563" s="622"/>
      <c r="E563" s="65"/>
      <c r="F563" s="603"/>
      <c r="G563" s="77" t="str">
        <f>IF(INDEX(Tarefas!$BT$30:$FK$30,MATCH(A563,Tarefas!$BT$28:$FK$28,0))=0,"",INDEX(Tarefas!$BT$30:$FK$30,MATCH(A563,Tarefas!$BT$28:$FK$28,0)))</f>
        <v>TEC I</v>
      </c>
      <c r="H563" s="107" cm="1">
        <f t="array" ref="H563">IFERROR((SUMPRODUCT((Tarefas!$N$32:$N$54='Cronog. e Histog.'!$F$549)*(Tarefas!$BQ$30:$FK$30='Cronog. e Histog.'!$G563)*(Tarefas!$BQ$32:$FK$54)))/SUMIF(Tarefas!$N$32:$N$54,'Cronog. e Histog.'!$F$549,Tarefas!$K$32:$K$54),0)</f>
        <v>0</v>
      </c>
      <c r="I563" s="79">
        <f t="shared" si="2214"/>
        <v>0</v>
      </c>
      <c r="J563" s="65"/>
      <c r="K563" s="160">
        <f t="shared" si="2286"/>
        <v>0</v>
      </c>
      <c r="L563" s="160">
        <f t="shared" si="2148"/>
        <v>0</v>
      </c>
      <c r="M563" s="160">
        <f t="shared" si="2148"/>
        <v>0</v>
      </c>
      <c r="N563" s="160">
        <f t="shared" si="2148"/>
        <v>0</v>
      </c>
      <c r="O563" s="160">
        <f t="shared" si="2148"/>
        <v>0</v>
      </c>
      <c r="P563" s="160">
        <f t="shared" si="2148"/>
        <v>0</v>
      </c>
      <c r="Q563" s="160">
        <f t="shared" si="2148"/>
        <v>0</v>
      </c>
      <c r="R563" s="160">
        <f t="shared" si="2148"/>
        <v>0</v>
      </c>
      <c r="S563" s="160">
        <f t="shared" si="2148"/>
        <v>0</v>
      </c>
      <c r="T563" s="160">
        <f t="shared" si="2148"/>
        <v>0</v>
      </c>
      <c r="U563" s="160">
        <f t="shared" si="2148"/>
        <v>0</v>
      </c>
      <c r="V563" s="160">
        <f t="shared" si="2148"/>
        <v>0</v>
      </c>
      <c r="W563" s="160">
        <f t="shared" si="2148"/>
        <v>0</v>
      </c>
      <c r="X563" s="160">
        <f t="shared" si="2148"/>
        <v>0</v>
      </c>
      <c r="Y563" s="160">
        <f t="shared" si="2148"/>
        <v>0</v>
      </c>
      <c r="Z563" s="160">
        <f t="shared" si="2148"/>
        <v>0</v>
      </c>
      <c r="AA563" s="160">
        <f t="shared" si="2148"/>
        <v>0</v>
      </c>
      <c r="AB563" s="160">
        <f t="shared" si="2148"/>
        <v>0</v>
      </c>
      <c r="AC563" s="160">
        <f t="shared" si="2148"/>
        <v>0</v>
      </c>
      <c r="AD563" s="160">
        <f t="shared" si="2148"/>
        <v>0</v>
      </c>
      <c r="AE563" s="160">
        <f t="shared" si="2148"/>
        <v>0</v>
      </c>
      <c r="AF563" s="160">
        <f t="shared" si="2148"/>
        <v>0</v>
      </c>
      <c r="AG563" s="160">
        <f t="shared" si="2148"/>
        <v>0</v>
      </c>
      <c r="AH563" s="160">
        <f t="shared" si="2148"/>
        <v>0</v>
      </c>
      <c r="AI563" s="160">
        <f t="shared" si="2148"/>
        <v>0</v>
      </c>
      <c r="AJ563" s="160">
        <f t="shared" si="2148"/>
        <v>0</v>
      </c>
      <c r="AK563" s="160">
        <f t="shared" si="2148"/>
        <v>0</v>
      </c>
      <c r="AL563" s="160">
        <f t="shared" si="2148"/>
        <v>0</v>
      </c>
      <c r="AM563" s="160">
        <f t="shared" si="2148"/>
        <v>0</v>
      </c>
      <c r="AN563" s="160">
        <f t="shared" si="2148"/>
        <v>0</v>
      </c>
      <c r="AO563" s="160">
        <f t="shared" si="2148"/>
        <v>0</v>
      </c>
      <c r="AP563" s="160">
        <f t="shared" si="2148"/>
        <v>0</v>
      </c>
      <c r="AQ563" s="160">
        <f t="shared" si="2148"/>
        <v>0</v>
      </c>
      <c r="AR563" s="160">
        <f t="shared" si="2148"/>
        <v>0</v>
      </c>
      <c r="AS563" s="160">
        <f t="shared" si="2148"/>
        <v>0</v>
      </c>
      <c r="AT563" s="160">
        <f t="shared" ref="L563:BR567" si="2287">ROUND($I563*AT$197,2)</f>
        <v>0</v>
      </c>
      <c r="AU563" s="160">
        <f t="shared" si="2287"/>
        <v>0</v>
      </c>
      <c r="AV563" s="160">
        <f t="shared" si="2287"/>
        <v>0</v>
      </c>
      <c r="AW563" s="160">
        <f t="shared" si="2287"/>
        <v>0</v>
      </c>
      <c r="AX563" s="160">
        <f t="shared" si="2287"/>
        <v>0</v>
      </c>
      <c r="AY563" s="160">
        <f t="shared" si="2287"/>
        <v>0</v>
      </c>
      <c r="AZ563" s="160">
        <f t="shared" si="2287"/>
        <v>0</v>
      </c>
      <c r="BA563" s="160">
        <f t="shared" si="2287"/>
        <v>0</v>
      </c>
      <c r="BB563" s="160">
        <f t="shared" si="2287"/>
        <v>0</v>
      </c>
      <c r="BC563" s="160">
        <f t="shared" si="2287"/>
        <v>0</v>
      </c>
      <c r="BD563" s="160">
        <f t="shared" si="2287"/>
        <v>0</v>
      </c>
      <c r="BE563" s="160">
        <f t="shared" si="2287"/>
        <v>0</v>
      </c>
      <c r="BF563" s="160">
        <f t="shared" si="2287"/>
        <v>0</v>
      </c>
      <c r="BG563" s="160">
        <f t="shared" si="2287"/>
        <v>0</v>
      </c>
      <c r="BH563" s="160">
        <f t="shared" si="2287"/>
        <v>0</v>
      </c>
      <c r="BI563" s="160">
        <f t="shared" si="2287"/>
        <v>0</v>
      </c>
      <c r="BJ563" s="160">
        <f t="shared" si="2287"/>
        <v>0</v>
      </c>
      <c r="BK563" s="160">
        <f t="shared" si="2287"/>
        <v>0</v>
      </c>
      <c r="BL563" s="160">
        <f t="shared" si="2287"/>
        <v>0</v>
      </c>
      <c r="BM563" s="160">
        <f t="shared" si="2287"/>
        <v>0</v>
      </c>
      <c r="BN563" s="160">
        <f t="shared" si="2287"/>
        <v>0</v>
      </c>
      <c r="BO563" s="160">
        <f t="shared" si="2287"/>
        <v>0</v>
      </c>
      <c r="BP563" s="160">
        <f t="shared" si="2287"/>
        <v>0</v>
      </c>
      <c r="BQ563" s="160">
        <f t="shared" si="2287"/>
        <v>0</v>
      </c>
      <c r="BR563" s="160">
        <f t="shared" si="2287"/>
        <v>0</v>
      </c>
      <c r="BS563" s="65"/>
      <c r="BT563" s="160">
        <f t="shared" si="2149"/>
        <v>0</v>
      </c>
      <c r="BU563" s="160">
        <f t="shared" si="2150"/>
        <v>0</v>
      </c>
      <c r="BV563" s="65"/>
      <c r="BW563" s="69"/>
      <c r="BX563" s="65"/>
      <c r="BY563" s="137">
        <f t="shared" si="2151"/>
        <v>1</v>
      </c>
      <c r="BZ563" s="137">
        <f>IF(BY563&gt;0,BY563+LARGE($BZ$213:BZ562,1),0)</f>
        <v>295</v>
      </c>
      <c r="CA563" s="137" t="str">
        <f t="shared" si="2152"/>
        <v>TEC I</v>
      </c>
      <c r="CB563" s="161">
        <f t="shared" si="2153"/>
        <v>0</v>
      </c>
      <c r="CC563" s="161">
        <f t="shared" si="2154"/>
        <v>0</v>
      </c>
      <c r="CD563" s="161">
        <f t="shared" si="2155"/>
        <v>0</v>
      </c>
      <c r="CE563" s="161">
        <f t="shared" si="2156"/>
        <v>0</v>
      </c>
      <c r="CF563" s="161">
        <f t="shared" si="2157"/>
        <v>0</v>
      </c>
      <c r="CG563" s="161">
        <f t="shared" si="2158"/>
        <v>0</v>
      </c>
      <c r="CH563" s="161">
        <f t="shared" si="2159"/>
        <v>0</v>
      </c>
      <c r="CI563" s="161">
        <f t="shared" si="2160"/>
        <v>0</v>
      </c>
      <c r="CJ563" s="161">
        <f t="shared" si="2161"/>
        <v>0</v>
      </c>
      <c r="CK563" s="161">
        <f t="shared" si="2162"/>
        <v>0</v>
      </c>
      <c r="CL563" s="161">
        <f t="shared" si="2163"/>
        <v>0</v>
      </c>
      <c r="CM563" s="161">
        <f t="shared" si="2164"/>
        <v>0</v>
      </c>
      <c r="CN563" s="161">
        <f t="shared" si="2165"/>
        <v>0</v>
      </c>
      <c r="CO563" s="161">
        <f t="shared" si="2166"/>
        <v>0</v>
      </c>
      <c r="CP563" s="161">
        <f t="shared" si="2167"/>
        <v>0</v>
      </c>
      <c r="CQ563" s="161">
        <f t="shared" si="2168"/>
        <v>0</v>
      </c>
      <c r="CR563" s="161">
        <f t="shared" si="2169"/>
        <v>0</v>
      </c>
      <c r="CS563" s="161">
        <f t="shared" si="2170"/>
        <v>0</v>
      </c>
      <c r="CT563" s="161">
        <f t="shared" si="2171"/>
        <v>0</v>
      </c>
      <c r="CU563" s="161">
        <f t="shared" si="2172"/>
        <v>0</v>
      </c>
      <c r="CV563" s="161">
        <f t="shared" si="2173"/>
        <v>0</v>
      </c>
      <c r="CW563" s="161">
        <f t="shared" si="2174"/>
        <v>0</v>
      </c>
      <c r="CX563" s="161">
        <f t="shared" si="2175"/>
        <v>0</v>
      </c>
      <c r="CY563" s="161">
        <f t="shared" si="2176"/>
        <v>0</v>
      </c>
      <c r="CZ563" s="161">
        <f t="shared" si="2177"/>
        <v>0</v>
      </c>
      <c r="DA563" s="161">
        <f t="shared" si="2178"/>
        <v>0</v>
      </c>
      <c r="DB563" s="161">
        <f t="shared" si="2179"/>
        <v>0</v>
      </c>
      <c r="DC563" s="161">
        <f t="shared" si="2180"/>
        <v>0</v>
      </c>
      <c r="DD563" s="161">
        <f t="shared" si="2181"/>
        <v>0</v>
      </c>
      <c r="DE563" s="161">
        <f t="shared" si="2182"/>
        <v>0</v>
      </c>
      <c r="DF563" s="161">
        <f t="shared" si="2183"/>
        <v>0</v>
      </c>
      <c r="DG563" s="161">
        <f t="shared" si="2184"/>
        <v>0</v>
      </c>
      <c r="DH563" s="161">
        <f t="shared" si="2185"/>
        <v>0</v>
      </c>
      <c r="DI563" s="161">
        <f t="shared" si="2186"/>
        <v>0</v>
      </c>
      <c r="DJ563" s="161">
        <f t="shared" si="2187"/>
        <v>0</v>
      </c>
      <c r="DK563" s="161">
        <f t="shared" si="2188"/>
        <v>0</v>
      </c>
      <c r="DL563" s="161">
        <f t="shared" si="2189"/>
        <v>0</v>
      </c>
      <c r="DM563" s="161">
        <f t="shared" si="2190"/>
        <v>0</v>
      </c>
      <c r="DN563" s="161">
        <f t="shared" si="2191"/>
        <v>0</v>
      </c>
      <c r="DO563" s="161">
        <f t="shared" si="2192"/>
        <v>0</v>
      </c>
      <c r="DP563" s="161">
        <f t="shared" si="2193"/>
        <v>0</v>
      </c>
      <c r="DQ563" s="161">
        <f t="shared" si="2194"/>
        <v>0</v>
      </c>
      <c r="DR563" s="161">
        <f t="shared" si="2195"/>
        <v>0</v>
      </c>
      <c r="DS563" s="161">
        <f t="shared" si="2196"/>
        <v>0</v>
      </c>
      <c r="DT563" s="161">
        <f t="shared" si="2197"/>
        <v>0</v>
      </c>
      <c r="DU563" s="161">
        <f t="shared" si="2198"/>
        <v>0</v>
      </c>
      <c r="DV563" s="161">
        <f t="shared" si="2199"/>
        <v>0</v>
      </c>
      <c r="DW563" s="161">
        <f t="shared" si="2200"/>
        <v>0</v>
      </c>
      <c r="DX563" s="161">
        <f t="shared" si="2201"/>
        <v>0</v>
      </c>
      <c r="DY563" s="161">
        <f t="shared" si="2202"/>
        <v>0</v>
      </c>
      <c r="DZ563" s="161">
        <f t="shared" si="2203"/>
        <v>0</v>
      </c>
      <c r="EA563" s="161">
        <f t="shared" si="2204"/>
        <v>0</v>
      </c>
      <c r="EB563" s="161">
        <f t="shared" si="2205"/>
        <v>0</v>
      </c>
      <c r="EC563" s="161">
        <f t="shared" si="2206"/>
        <v>0</v>
      </c>
      <c r="ED563" s="161">
        <f t="shared" si="2207"/>
        <v>0</v>
      </c>
      <c r="EE563" s="161">
        <f t="shared" si="2208"/>
        <v>0</v>
      </c>
      <c r="EF563" s="161">
        <f t="shared" si="2209"/>
        <v>0</v>
      </c>
      <c r="EG563" s="161">
        <f t="shared" si="2210"/>
        <v>0</v>
      </c>
      <c r="EH563" s="161">
        <f t="shared" si="2211"/>
        <v>0</v>
      </c>
      <c r="EI563" s="161">
        <f t="shared" si="2212"/>
        <v>0</v>
      </c>
      <c r="EJ563" s="65"/>
      <c r="EK563" s="161">
        <f t="shared" si="2283"/>
        <v>0</v>
      </c>
      <c r="EL563" s="161">
        <f t="shared" si="2284"/>
        <v>0</v>
      </c>
      <c r="EM563" s="161">
        <f t="shared" si="2285"/>
        <v>0</v>
      </c>
    </row>
    <row r="564" spans="1:143" ht="12" hidden="1" customHeight="1" outlineLevel="2">
      <c r="A564" s="77">
        <v>16</v>
      </c>
      <c r="B564" s="137" t="str">
        <f t="shared" si="2213"/>
        <v>AUX TEC - Equipe_01</v>
      </c>
      <c r="C564" s="65"/>
      <c r="D564" s="622"/>
      <c r="E564" s="65"/>
      <c r="F564" s="603"/>
      <c r="G564" s="77" t="str">
        <f>IF(INDEX(Tarefas!$BT$30:$FK$30,MATCH(A564,Tarefas!$BT$28:$FK$28,0))=0,"",INDEX(Tarefas!$BT$30:$FK$30,MATCH(A564,Tarefas!$BT$28:$FK$28,0)))</f>
        <v>AUX TEC</v>
      </c>
      <c r="H564" s="107" cm="1">
        <f t="array" ref="H564">IFERROR((SUMPRODUCT((Tarefas!$N$32:$N$54='Cronog. e Histog.'!$F$549)*(Tarefas!$BQ$30:$FK$30='Cronog. e Histog.'!$G564)*(Tarefas!$BQ$32:$FK$54)))/SUMIF(Tarefas!$N$32:$N$54,'Cronog. e Histog.'!$F$549,Tarefas!$K$32:$K$54),0)</f>
        <v>0</v>
      </c>
      <c r="I564" s="79">
        <f t="shared" si="2214"/>
        <v>0</v>
      </c>
      <c r="J564" s="65"/>
      <c r="K564" s="160">
        <f t="shared" si="2286"/>
        <v>0</v>
      </c>
      <c r="L564" s="160">
        <f t="shared" si="2287"/>
        <v>0</v>
      </c>
      <c r="M564" s="160">
        <f t="shared" si="2287"/>
        <v>0</v>
      </c>
      <c r="N564" s="160">
        <f t="shared" si="2287"/>
        <v>0</v>
      </c>
      <c r="O564" s="160">
        <f t="shared" si="2287"/>
        <v>0</v>
      </c>
      <c r="P564" s="160">
        <f t="shared" si="2287"/>
        <v>0</v>
      </c>
      <c r="Q564" s="160">
        <f t="shared" si="2287"/>
        <v>0</v>
      </c>
      <c r="R564" s="160">
        <f t="shared" si="2287"/>
        <v>0</v>
      </c>
      <c r="S564" s="160">
        <f t="shared" si="2287"/>
        <v>0</v>
      </c>
      <c r="T564" s="160">
        <f t="shared" si="2287"/>
        <v>0</v>
      </c>
      <c r="U564" s="160">
        <f t="shared" si="2287"/>
        <v>0</v>
      </c>
      <c r="V564" s="160">
        <f t="shared" si="2287"/>
        <v>0</v>
      </c>
      <c r="W564" s="160">
        <f t="shared" si="2287"/>
        <v>0</v>
      </c>
      <c r="X564" s="160">
        <f t="shared" si="2287"/>
        <v>0</v>
      </c>
      <c r="Y564" s="160">
        <f t="shared" si="2287"/>
        <v>0</v>
      </c>
      <c r="Z564" s="160">
        <f t="shared" si="2287"/>
        <v>0</v>
      </c>
      <c r="AA564" s="160">
        <f t="shared" si="2287"/>
        <v>0</v>
      </c>
      <c r="AB564" s="160">
        <f t="shared" si="2287"/>
        <v>0</v>
      </c>
      <c r="AC564" s="160">
        <f t="shared" si="2287"/>
        <v>0</v>
      </c>
      <c r="AD564" s="160">
        <f t="shared" si="2287"/>
        <v>0</v>
      </c>
      <c r="AE564" s="160">
        <f t="shared" si="2287"/>
        <v>0</v>
      </c>
      <c r="AF564" s="160">
        <f t="shared" si="2287"/>
        <v>0</v>
      </c>
      <c r="AG564" s="160">
        <f t="shared" si="2287"/>
        <v>0</v>
      </c>
      <c r="AH564" s="160">
        <f t="shared" si="2287"/>
        <v>0</v>
      </c>
      <c r="AI564" s="160">
        <f t="shared" si="2287"/>
        <v>0</v>
      </c>
      <c r="AJ564" s="160">
        <f t="shared" si="2287"/>
        <v>0</v>
      </c>
      <c r="AK564" s="160">
        <f t="shared" si="2287"/>
        <v>0</v>
      </c>
      <c r="AL564" s="160">
        <f t="shared" si="2287"/>
        <v>0</v>
      </c>
      <c r="AM564" s="160">
        <f t="shared" si="2287"/>
        <v>0</v>
      </c>
      <c r="AN564" s="160">
        <f t="shared" si="2287"/>
        <v>0</v>
      </c>
      <c r="AO564" s="160">
        <f t="shared" si="2287"/>
        <v>0</v>
      </c>
      <c r="AP564" s="160">
        <f t="shared" si="2287"/>
        <v>0</v>
      </c>
      <c r="AQ564" s="160">
        <f t="shared" si="2287"/>
        <v>0</v>
      </c>
      <c r="AR564" s="160">
        <f t="shared" si="2287"/>
        <v>0</v>
      </c>
      <c r="AS564" s="160">
        <f t="shared" si="2287"/>
        <v>0</v>
      </c>
      <c r="AT564" s="160">
        <f t="shared" si="2287"/>
        <v>0</v>
      </c>
      <c r="AU564" s="160">
        <f t="shared" si="2287"/>
        <v>0</v>
      </c>
      <c r="AV564" s="160">
        <f t="shared" si="2287"/>
        <v>0</v>
      </c>
      <c r="AW564" s="160">
        <f t="shared" si="2287"/>
        <v>0</v>
      </c>
      <c r="AX564" s="160">
        <f t="shared" si="2287"/>
        <v>0</v>
      </c>
      <c r="AY564" s="160">
        <f t="shared" si="2287"/>
        <v>0</v>
      </c>
      <c r="AZ564" s="160">
        <f t="shared" si="2287"/>
        <v>0</v>
      </c>
      <c r="BA564" s="160">
        <f t="shared" si="2287"/>
        <v>0</v>
      </c>
      <c r="BB564" s="160">
        <f t="shared" si="2287"/>
        <v>0</v>
      </c>
      <c r="BC564" s="160">
        <f t="shared" si="2287"/>
        <v>0</v>
      </c>
      <c r="BD564" s="160">
        <f t="shared" si="2287"/>
        <v>0</v>
      </c>
      <c r="BE564" s="160">
        <f t="shared" si="2287"/>
        <v>0</v>
      </c>
      <c r="BF564" s="160">
        <f t="shared" si="2287"/>
        <v>0</v>
      </c>
      <c r="BG564" s="160">
        <f t="shared" si="2287"/>
        <v>0</v>
      </c>
      <c r="BH564" s="160">
        <f t="shared" si="2287"/>
        <v>0</v>
      </c>
      <c r="BI564" s="160">
        <f t="shared" si="2287"/>
        <v>0</v>
      </c>
      <c r="BJ564" s="160">
        <f t="shared" si="2287"/>
        <v>0</v>
      </c>
      <c r="BK564" s="160">
        <f t="shared" si="2287"/>
        <v>0</v>
      </c>
      <c r="BL564" s="160">
        <f t="shared" si="2287"/>
        <v>0</v>
      </c>
      <c r="BM564" s="160">
        <f t="shared" si="2287"/>
        <v>0</v>
      </c>
      <c r="BN564" s="160">
        <f t="shared" si="2287"/>
        <v>0</v>
      </c>
      <c r="BO564" s="160">
        <f t="shared" si="2287"/>
        <v>0</v>
      </c>
      <c r="BP564" s="160">
        <f t="shared" si="2287"/>
        <v>0</v>
      </c>
      <c r="BQ564" s="160">
        <f t="shared" si="2287"/>
        <v>0</v>
      </c>
      <c r="BR564" s="160">
        <f t="shared" si="2287"/>
        <v>0</v>
      </c>
      <c r="BS564" s="65"/>
      <c r="BT564" s="160">
        <f t="shared" si="2149"/>
        <v>0</v>
      </c>
      <c r="BU564" s="160">
        <f t="shared" si="2150"/>
        <v>0</v>
      </c>
      <c r="BV564" s="65"/>
      <c r="BW564" s="69"/>
      <c r="BX564" s="65"/>
      <c r="BY564" s="137">
        <f t="shared" si="2151"/>
        <v>1</v>
      </c>
      <c r="BZ564" s="137">
        <f>IF(BY564&gt;0,BY564+LARGE($BZ$213:BZ563,1),0)</f>
        <v>296</v>
      </c>
      <c r="CA564" s="137" t="str">
        <f t="shared" si="2152"/>
        <v>AUX TEC</v>
      </c>
      <c r="CB564" s="161">
        <f t="shared" si="2153"/>
        <v>0</v>
      </c>
      <c r="CC564" s="161">
        <f t="shared" si="2154"/>
        <v>0</v>
      </c>
      <c r="CD564" s="161">
        <f t="shared" si="2155"/>
        <v>0</v>
      </c>
      <c r="CE564" s="161">
        <f t="shared" si="2156"/>
        <v>0</v>
      </c>
      <c r="CF564" s="161">
        <f t="shared" si="2157"/>
        <v>0</v>
      </c>
      <c r="CG564" s="161">
        <f t="shared" si="2158"/>
        <v>0</v>
      </c>
      <c r="CH564" s="161">
        <f t="shared" si="2159"/>
        <v>0</v>
      </c>
      <c r="CI564" s="161">
        <f t="shared" si="2160"/>
        <v>0</v>
      </c>
      <c r="CJ564" s="161">
        <f t="shared" si="2161"/>
        <v>0</v>
      </c>
      <c r="CK564" s="161">
        <f t="shared" si="2162"/>
        <v>0</v>
      </c>
      <c r="CL564" s="161">
        <f t="shared" si="2163"/>
        <v>0</v>
      </c>
      <c r="CM564" s="161">
        <f t="shared" si="2164"/>
        <v>0</v>
      </c>
      <c r="CN564" s="161">
        <f t="shared" si="2165"/>
        <v>0</v>
      </c>
      <c r="CO564" s="161">
        <f t="shared" si="2166"/>
        <v>0</v>
      </c>
      <c r="CP564" s="161">
        <f t="shared" si="2167"/>
        <v>0</v>
      </c>
      <c r="CQ564" s="161">
        <f t="shared" si="2168"/>
        <v>0</v>
      </c>
      <c r="CR564" s="161">
        <f t="shared" si="2169"/>
        <v>0</v>
      </c>
      <c r="CS564" s="161">
        <f t="shared" si="2170"/>
        <v>0</v>
      </c>
      <c r="CT564" s="161">
        <f t="shared" si="2171"/>
        <v>0</v>
      </c>
      <c r="CU564" s="161">
        <f t="shared" si="2172"/>
        <v>0</v>
      </c>
      <c r="CV564" s="161">
        <f t="shared" si="2173"/>
        <v>0</v>
      </c>
      <c r="CW564" s="161">
        <f t="shared" si="2174"/>
        <v>0</v>
      </c>
      <c r="CX564" s="161">
        <f t="shared" si="2175"/>
        <v>0</v>
      </c>
      <c r="CY564" s="161">
        <f t="shared" si="2176"/>
        <v>0</v>
      </c>
      <c r="CZ564" s="161">
        <f t="shared" si="2177"/>
        <v>0</v>
      </c>
      <c r="DA564" s="161">
        <f t="shared" si="2178"/>
        <v>0</v>
      </c>
      <c r="DB564" s="161">
        <f t="shared" si="2179"/>
        <v>0</v>
      </c>
      <c r="DC564" s="161">
        <f t="shared" si="2180"/>
        <v>0</v>
      </c>
      <c r="DD564" s="161">
        <f t="shared" si="2181"/>
        <v>0</v>
      </c>
      <c r="DE564" s="161">
        <f t="shared" si="2182"/>
        <v>0</v>
      </c>
      <c r="DF564" s="161">
        <f t="shared" si="2183"/>
        <v>0</v>
      </c>
      <c r="DG564" s="161">
        <f t="shared" si="2184"/>
        <v>0</v>
      </c>
      <c r="DH564" s="161">
        <f t="shared" si="2185"/>
        <v>0</v>
      </c>
      <c r="DI564" s="161">
        <f t="shared" si="2186"/>
        <v>0</v>
      </c>
      <c r="DJ564" s="161">
        <f t="shared" si="2187"/>
        <v>0</v>
      </c>
      <c r="DK564" s="161">
        <f t="shared" si="2188"/>
        <v>0</v>
      </c>
      <c r="DL564" s="161">
        <f t="shared" si="2189"/>
        <v>0</v>
      </c>
      <c r="DM564" s="161">
        <f t="shared" si="2190"/>
        <v>0</v>
      </c>
      <c r="DN564" s="161">
        <f t="shared" si="2191"/>
        <v>0</v>
      </c>
      <c r="DO564" s="161">
        <f t="shared" si="2192"/>
        <v>0</v>
      </c>
      <c r="DP564" s="161">
        <f t="shared" si="2193"/>
        <v>0</v>
      </c>
      <c r="DQ564" s="161">
        <f t="shared" si="2194"/>
        <v>0</v>
      </c>
      <c r="DR564" s="161">
        <f t="shared" si="2195"/>
        <v>0</v>
      </c>
      <c r="DS564" s="161">
        <f t="shared" si="2196"/>
        <v>0</v>
      </c>
      <c r="DT564" s="161">
        <f t="shared" si="2197"/>
        <v>0</v>
      </c>
      <c r="DU564" s="161">
        <f t="shared" si="2198"/>
        <v>0</v>
      </c>
      <c r="DV564" s="161">
        <f t="shared" si="2199"/>
        <v>0</v>
      </c>
      <c r="DW564" s="161">
        <f t="shared" si="2200"/>
        <v>0</v>
      </c>
      <c r="DX564" s="161">
        <f t="shared" si="2201"/>
        <v>0</v>
      </c>
      <c r="DY564" s="161">
        <f t="shared" si="2202"/>
        <v>0</v>
      </c>
      <c r="DZ564" s="161">
        <f t="shared" si="2203"/>
        <v>0</v>
      </c>
      <c r="EA564" s="161">
        <f t="shared" si="2204"/>
        <v>0</v>
      </c>
      <c r="EB564" s="161">
        <f t="shared" si="2205"/>
        <v>0</v>
      </c>
      <c r="EC564" s="161">
        <f t="shared" si="2206"/>
        <v>0</v>
      </c>
      <c r="ED564" s="161">
        <f t="shared" si="2207"/>
        <v>0</v>
      </c>
      <c r="EE564" s="161">
        <f t="shared" si="2208"/>
        <v>0</v>
      </c>
      <c r="EF564" s="161">
        <f t="shared" si="2209"/>
        <v>0</v>
      </c>
      <c r="EG564" s="161">
        <f t="shared" si="2210"/>
        <v>0</v>
      </c>
      <c r="EH564" s="161">
        <f t="shared" si="2211"/>
        <v>0</v>
      </c>
      <c r="EI564" s="161">
        <f t="shared" si="2212"/>
        <v>0</v>
      </c>
      <c r="EJ564" s="65"/>
      <c r="EK564" s="161">
        <f t="shared" si="2283"/>
        <v>0</v>
      </c>
      <c r="EL564" s="161">
        <f t="shared" si="2284"/>
        <v>0</v>
      </c>
      <c r="EM564" s="161">
        <f t="shared" si="2285"/>
        <v>0</v>
      </c>
    </row>
    <row r="565" spans="1:143" ht="12" hidden="1" customHeight="1" outlineLevel="2">
      <c r="A565" s="77">
        <v>17</v>
      </c>
      <c r="B565" s="137" t="str">
        <f t="shared" si="2213"/>
        <v>AUX ADM - Equipe_01</v>
      </c>
      <c r="C565" s="65"/>
      <c r="D565" s="622"/>
      <c r="E565" s="65"/>
      <c r="F565" s="603"/>
      <c r="G565" s="77" t="str">
        <f>IF(INDEX(Tarefas!$BT$30:$FK$30,MATCH(A565,Tarefas!$BT$28:$FK$28,0))=0,"",INDEX(Tarefas!$BT$30:$FK$30,MATCH(A565,Tarefas!$BT$28:$FK$28,0)))</f>
        <v>AUX ADM</v>
      </c>
      <c r="H565" s="107" cm="1">
        <f t="array" ref="H565">IFERROR((SUMPRODUCT((Tarefas!$N$32:$N$54='Cronog. e Histog.'!$F$549)*(Tarefas!$BQ$30:$FK$30='Cronog. e Histog.'!$G565)*(Tarefas!$BQ$32:$FK$54)))/SUMIF(Tarefas!$N$32:$N$54,'Cronog. e Histog.'!$F$549,Tarefas!$K$32:$K$54),0)</f>
        <v>0</v>
      </c>
      <c r="I565" s="79">
        <f t="shared" si="2214"/>
        <v>0</v>
      </c>
      <c r="J565" s="65"/>
      <c r="K565" s="160">
        <f t="shared" si="2286"/>
        <v>0</v>
      </c>
      <c r="L565" s="160">
        <f t="shared" si="2287"/>
        <v>0</v>
      </c>
      <c r="M565" s="160">
        <f t="shared" si="2287"/>
        <v>0</v>
      </c>
      <c r="N565" s="160">
        <f t="shared" si="2287"/>
        <v>0</v>
      </c>
      <c r="O565" s="160">
        <f t="shared" si="2287"/>
        <v>0</v>
      </c>
      <c r="P565" s="160">
        <f t="shared" si="2287"/>
        <v>0</v>
      </c>
      <c r="Q565" s="160">
        <f t="shared" si="2287"/>
        <v>0</v>
      </c>
      <c r="R565" s="160">
        <f t="shared" si="2287"/>
        <v>0</v>
      </c>
      <c r="S565" s="160">
        <f t="shared" si="2287"/>
        <v>0</v>
      </c>
      <c r="T565" s="160">
        <f t="shared" si="2287"/>
        <v>0</v>
      </c>
      <c r="U565" s="160">
        <f t="shared" si="2287"/>
        <v>0</v>
      </c>
      <c r="V565" s="160">
        <f t="shared" si="2287"/>
        <v>0</v>
      </c>
      <c r="W565" s="160">
        <f t="shared" si="2287"/>
        <v>0</v>
      </c>
      <c r="X565" s="160">
        <f t="shared" si="2287"/>
        <v>0</v>
      </c>
      <c r="Y565" s="160">
        <f t="shared" si="2287"/>
        <v>0</v>
      </c>
      <c r="Z565" s="160">
        <f t="shared" si="2287"/>
        <v>0</v>
      </c>
      <c r="AA565" s="160">
        <f t="shared" si="2287"/>
        <v>0</v>
      </c>
      <c r="AB565" s="160">
        <f t="shared" si="2287"/>
        <v>0</v>
      </c>
      <c r="AC565" s="160">
        <f t="shared" si="2287"/>
        <v>0</v>
      </c>
      <c r="AD565" s="160">
        <f t="shared" si="2287"/>
        <v>0</v>
      </c>
      <c r="AE565" s="160">
        <f t="shared" si="2287"/>
        <v>0</v>
      </c>
      <c r="AF565" s="160">
        <f t="shared" si="2287"/>
        <v>0</v>
      </c>
      <c r="AG565" s="160">
        <f t="shared" si="2287"/>
        <v>0</v>
      </c>
      <c r="AH565" s="160">
        <f t="shared" si="2287"/>
        <v>0</v>
      </c>
      <c r="AI565" s="160">
        <f t="shared" si="2287"/>
        <v>0</v>
      </c>
      <c r="AJ565" s="160">
        <f t="shared" si="2287"/>
        <v>0</v>
      </c>
      <c r="AK565" s="160">
        <f t="shared" si="2287"/>
        <v>0</v>
      </c>
      <c r="AL565" s="160">
        <f t="shared" si="2287"/>
        <v>0</v>
      </c>
      <c r="AM565" s="160">
        <f t="shared" si="2287"/>
        <v>0</v>
      </c>
      <c r="AN565" s="160">
        <f t="shared" si="2287"/>
        <v>0</v>
      </c>
      <c r="AO565" s="160">
        <f t="shared" si="2287"/>
        <v>0</v>
      </c>
      <c r="AP565" s="160">
        <f t="shared" si="2287"/>
        <v>0</v>
      </c>
      <c r="AQ565" s="160">
        <f t="shared" si="2287"/>
        <v>0</v>
      </c>
      <c r="AR565" s="160">
        <f t="shared" si="2287"/>
        <v>0</v>
      </c>
      <c r="AS565" s="160">
        <f t="shared" si="2287"/>
        <v>0</v>
      </c>
      <c r="AT565" s="160">
        <f t="shared" si="2287"/>
        <v>0</v>
      </c>
      <c r="AU565" s="160">
        <f t="shared" si="2287"/>
        <v>0</v>
      </c>
      <c r="AV565" s="160">
        <f t="shared" si="2287"/>
        <v>0</v>
      </c>
      <c r="AW565" s="160">
        <f t="shared" si="2287"/>
        <v>0</v>
      </c>
      <c r="AX565" s="160">
        <f t="shared" si="2287"/>
        <v>0</v>
      </c>
      <c r="AY565" s="160">
        <f t="shared" si="2287"/>
        <v>0</v>
      </c>
      <c r="AZ565" s="160">
        <f t="shared" si="2287"/>
        <v>0</v>
      </c>
      <c r="BA565" s="160">
        <f t="shared" si="2287"/>
        <v>0</v>
      </c>
      <c r="BB565" s="160">
        <f t="shared" si="2287"/>
        <v>0</v>
      </c>
      <c r="BC565" s="160">
        <f t="shared" si="2287"/>
        <v>0</v>
      </c>
      <c r="BD565" s="160">
        <f t="shared" si="2287"/>
        <v>0</v>
      </c>
      <c r="BE565" s="160">
        <f t="shared" si="2287"/>
        <v>0</v>
      </c>
      <c r="BF565" s="160">
        <f t="shared" si="2287"/>
        <v>0</v>
      </c>
      <c r="BG565" s="160">
        <f t="shared" si="2287"/>
        <v>0</v>
      </c>
      <c r="BH565" s="160">
        <f t="shared" si="2287"/>
        <v>0</v>
      </c>
      <c r="BI565" s="160">
        <f t="shared" si="2287"/>
        <v>0</v>
      </c>
      <c r="BJ565" s="160">
        <f t="shared" si="2287"/>
        <v>0</v>
      </c>
      <c r="BK565" s="160">
        <f t="shared" si="2287"/>
        <v>0</v>
      </c>
      <c r="BL565" s="160">
        <f t="shared" si="2287"/>
        <v>0</v>
      </c>
      <c r="BM565" s="160">
        <f t="shared" si="2287"/>
        <v>0</v>
      </c>
      <c r="BN565" s="160">
        <f t="shared" si="2287"/>
        <v>0</v>
      </c>
      <c r="BO565" s="160">
        <f t="shared" si="2287"/>
        <v>0</v>
      </c>
      <c r="BP565" s="160">
        <f t="shared" si="2287"/>
        <v>0</v>
      </c>
      <c r="BQ565" s="160">
        <f t="shared" si="2287"/>
        <v>0</v>
      </c>
      <c r="BR565" s="160">
        <f t="shared" si="2287"/>
        <v>0</v>
      </c>
      <c r="BS565" s="65"/>
      <c r="BT565" s="160">
        <f t="shared" si="2149"/>
        <v>0</v>
      </c>
      <c r="BU565" s="160">
        <f t="shared" si="2150"/>
        <v>0</v>
      </c>
      <c r="BV565" s="65"/>
      <c r="BW565" s="69"/>
      <c r="BX565" s="65"/>
      <c r="BY565" s="137">
        <f t="shared" si="2151"/>
        <v>1</v>
      </c>
      <c r="BZ565" s="137">
        <f>IF(BY565&gt;0,BY565+LARGE($BZ$213:BZ564,1),0)</f>
        <v>297</v>
      </c>
      <c r="CA565" s="137" t="str">
        <f t="shared" si="2152"/>
        <v>AUX ADM</v>
      </c>
      <c r="CB565" s="161">
        <f t="shared" si="2153"/>
        <v>0</v>
      </c>
      <c r="CC565" s="161">
        <f t="shared" si="2154"/>
        <v>0</v>
      </c>
      <c r="CD565" s="161">
        <f t="shared" si="2155"/>
        <v>0</v>
      </c>
      <c r="CE565" s="161">
        <f t="shared" si="2156"/>
        <v>0</v>
      </c>
      <c r="CF565" s="161">
        <f t="shared" si="2157"/>
        <v>0</v>
      </c>
      <c r="CG565" s="161">
        <f t="shared" si="2158"/>
        <v>0</v>
      </c>
      <c r="CH565" s="161">
        <f t="shared" si="2159"/>
        <v>0</v>
      </c>
      <c r="CI565" s="161">
        <f t="shared" si="2160"/>
        <v>0</v>
      </c>
      <c r="CJ565" s="161">
        <f t="shared" si="2161"/>
        <v>0</v>
      </c>
      <c r="CK565" s="161">
        <f t="shared" si="2162"/>
        <v>0</v>
      </c>
      <c r="CL565" s="161">
        <f t="shared" si="2163"/>
        <v>0</v>
      </c>
      <c r="CM565" s="161">
        <f t="shared" si="2164"/>
        <v>0</v>
      </c>
      <c r="CN565" s="161">
        <f t="shared" si="2165"/>
        <v>0</v>
      </c>
      <c r="CO565" s="161">
        <f t="shared" si="2166"/>
        <v>0</v>
      </c>
      <c r="CP565" s="161">
        <f t="shared" si="2167"/>
        <v>0</v>
      </c>
      <c r="CQ565" s="161">
        <f t="shared" si="2168"/>
        <v>0</v>
      </c>
      <c r="CR565" s="161">
        <f t="shared" si="2169"/>
        <v>0</v>
      </c>
      <c r="CS565" s="161">
        <f t="shared" si="2170"/>
        <v>0</v>
      </c>
      <c r="CT565" s="161">
        <f t="shared" si="2171"/>
        <v>0</v>
      </c>
      <c r="CU565" s="161">
        <f t="shared" si="2172"/>
        <v>0</v>
      </c>
      <c r="CV565" s="161">
        <f t="shared" si="2173"/>
        <v>0</v>
      </c>
      <c r="CW565" s="161">
        <f t="shared" si="2174"/>
        <v>0</v>
      </c>
      <c r="CX565" s="161">
        <f t="shared" si="2175"/>
        <v>0</v>
      </c>
      <c r="CY565" s="161">
        <f t="shared" si="2176"/>
        <v>0</v>
      </c>
      <c r="CZ565" s="161">
        <f t="shared" si="2177"/>
        <v>0</v>
      </c>
      <c r="DA565" s="161">
        <f t="shared" si="2178"/>
        <v>0</v>
      </c>
      <c r="DB565" s="161">
        <f t="shared" si="2179"/>
        <v>0</v>
      </c>
      <c r="DC565" s="161">
        <f t="shared" si="2180"/>
        <v>0</v>
      </c>
      <c r="DD565" s="161">
        <f t="shared" si="2181"/>
        <v>0</v>
      </c>
      <c r="DE565" s="161">
        <f t="shared" si="2182"/>
        <v>0</v>
      </c>
      <c r="DF565" s="161">
        <f t="shared" si="2183"/>
        <v>0</v>
      </c>
      <c r="DG565" s="161">
        <f t="shared" si="2184"/>
        <v>0</v>
      </c>
      <c r="DH565" s="161">
        <f t="shared" si="2185"/>
        <v>0</v>
      </c>
      <c r="DI565" s="161">
        <f t="shared" si="2186"/>
        <v>0</v>
      </c>
      <c r="DJ565" s="161">
        <f t="shared" si="2187"/>
        <v>0</v>
      </c>
      <c r="DK565" s="161">
        <f t="shared" si="2188"/>
        <v>0</v>
      </c>
      <c r="DL565" s="161">
        <f t="shared" si="2189"/>
        <v>0</v>
      </c>
      <c r="DM565" s="161">
        <f t="shared" si="2190"/>
        <v>0</v>
      </c>
      <c r="DN565" s="161">
        <f t="shared" si="2191"/>
        <v>0</v>
      </c>
      <c r="DO565" s="161">
        <f t="shared" si="2192"/>
        <v>0</v>
      </c>
      <c r="DP565" s="161">
        <f t="shared" si="2193"/>
        <v>0</v>
      </c>
      <c r="DQ565" s="161">
        <f t="shared" si="2194"/>
        <v>0</v>
      </c>
      <c r="DR565" s="161">
        <f t="shared" si="2195"/>
        <v>0</v>
      </c>
      <c r="DS565" s="161">
        <f t="shared" si="2196"/>
        <v>0</v>
      </c>
      <c r="DT565" s="161">
        <f t="shared" si="2197"/>
        <v>0</v>
      </c>
      <c r="DU565" s="161">
        <f t="shared" si="2198"/>
        <v>0</v>
      </c>
      <c r="DV565" s="161">
        <f t="shared" si="2199"/>
        <v>0</v>
      </c>
      <c r="DW565" s="161">
        <f t="shared" si="2200"/>
        <v>0</v>
      </c>
      <c r="DX565" s="161">
        <f t="shared" si="2201"/>
        <v>0</v>
      </c>
      <c r="DY565" s="161">
        <f t="shared" si="2202"/>
        <v>0</v>
      </c>
      <c r="DZ565" s="161">
        <f t="shared" si="2203"/>
        <v>0</v>
      </c>
      <c r="EA565" s="161">
        <f t="shared" si="2204"/>
        <v>0</v>
      </c>
      <c r="EB565" s="161">
        <f t="shared" si="2205"/>
        <v>0</v>
      </c>
      <c r="EC565" s="161">
        <f t="shared" si="2206"/>
        <v>0</v>
      </c>
      <c r="ED565" s="161">
        <f t="shared" si="2207"/>
        <v>0</v>
      </c>
      <c r="EE565" s="161">
        <f t="shared" si="2208"/>
        <v>0</v>
      </c>
      <c r="EF565" s="161">
        <f t="shared" si="2209"/>
        <v>0</v>
      </c>
      <c r="EG565" s="161">
        <f t="shared" si="2210"/>
        <v>0</v>
      </c>
      <c r="EH565" s="161">
        <f t="shared" si="2211"/>
        <v>0</v>
      </c>
      <c r="EI565" s="161">
        <f t="shared" si="2212"/>
        <v>0</v>
      </c>
      <c r="EJ565" s="65"/>
      <c r="EK565" s="161">
        <f t="shared" si="2283"/>
        <v>0</v>
      </c>
      <c r="EL565" s="161">
        <f t="shared" si="2284"/>
        <v>0</v>
      </c>
      <c r="EM565" s="161">
        <f t="shared" si="2285"/>
        <v>0</v>
      </c>
    </row>
    <row r="566" spans="1:143" ht="12" hidden="1" customHeight="1" outlineLevel="2">
      <c r="A566" s="77">
        <v>18</v>
      </c>
      <c r="B566" s="137" t="str">
        <f t="shared" si="2213"/>
        <v>EST - Equipe_01</v>
      </c>
      <c r="C566" s="65"/>
      <c r="D566" s="622"/>
      <c r="E566" s="65"/>
      <c r="F566" s="603"/>
      <c r="G566" s="77" t="str">
        <f>IF(INDEX(Tarefas!$BT$30:$FK$30,MATCH(A566,Tarefas!$BT$28:$FK$28,0))=0,"",INDEX(Tarefas!$BT$30:$FK$30,MATCH(A566,Tarefas!$BT$28:$FK$28,0)))</f>
        <v>EST</v>
      </c>
      <c r="H566" s="107" cm="1">
        <f t="array" ref="H566">IFERROR((SUMPRODUCT((Tarefas!$N$32:$N$54='Cronog. e Histog.'!$F$549)*(Tarefas!$BQ$30:$FK$30='Cronog. e Histog.'!$G566)*(Tarefas!$BQ$32:$FK$54)))/SUMIF(Tarefas!$N$32:$N$54,'Cronog. e Histog.'!$F$549,Tarefas!$K$32:$K$54),0)</f>
        <v>0</v>
      </c>
      <c r="I566" s="79">
        <f t="shared" si="2214"/>
        <v>0</v>
      </c>
      <c r="J566" s="65"/>
      <c r="K566" s="160">
        <f t="shared" si="2286"/>
        <v>0</v>
      </c>
      <c r="L566" s="160">
        <f t="shared" si="2287"/>
        <v>0</v>
      </c>
      <c r="M566" s="160">
        <f t="shared" si="2287"/>
        <v>0</v>
      </c>
      <c r="N566" s="160">
        <f t="shared" si="2287"/>
        <v>0</v>
      </c>
      <c r="O566" s="160">
        <f t="shared" si="2287"/>
        <v>0</v>
      </c>
      <c r="P566" s="160">
        <f t="shared" si="2287"/>
        <v>0</v>
      </c>
      <c r="Q566" s="160">
        <f t="shared" si="2287"/>
        <v>0</v>
      </c>
      <c r="R566" s="160">
        <f t="shared" si="2287"/>
        <v>0</v>
      </c>
      <c r="S566" s="160">
        <f t="shared" si="2287"/>
        <v>0</v>
      </c>
      <c r="T566" s="160">
        <f t="shared" si="2287"/>
        <v>0</v>
      </c>
      <c r="U566" s="160">
        <f t="shared" si="2287"/>
        <v>0</v>
      </c>
      <c r="V566" s="160">
        <f t="shared" si="2287"/>
        <v>0</v>
      </c>
      <c r="W566" s="160">
        <f t="shared" si="2287"/>
        <v>0</v>
      </c>
      <c r="X566" s="160">
        <f t="shared" si="2287"/>
        <v>0</v>
      </c>
      <c r="Y566" s="160">
        <f t="shared" si="2287"/>
        <v>0</v>
      </c>
      <c r="Z566" s="160">
        <f t="shared" si="2287"/>
        <v>0</v>
      </c>
      <c r="AA566" s="160">
        <f t="shared" si="2287"/>
        <v>0</v>
      </c>
      <c r="AB566" s="160">
        <f t="shared" si="2287"/>
        <v>0</v>
      </c>
      <c r="AC566" s="160">
        <f t="shared" si="2287"/>
        <v>0</v>
      </c>
      <c r="AD566" s="160">
        <f t="shared" si="2287"/>
        <v>0</v>
      </c>
      <c r="AE566" s="160">
        <f t="shared" si="2287"/>
        <v>0</v>
      </c>
      <c r="AF566" s="160">
        <f t="shared" si="2287"/>
        <v>0</v>
      </c>
      <c r="AG566" s="160">
        <f t="shared" si="2287"/>
        <v>0</v>
      </c>
      <c r="AH566" s="160">
        <f t="shared" si="2287"/>
        <v>0</v>
      </c>
      <c r="AI566" s="160">
        <f t="shared" si="2287"/>
        <v>0</v>
      </c>
      <c r="AJ566" s="160">
        <f t="shared" si="2287"/>
        <v>0</v>
      </c>
      <c r="AK566" s="160">
        <f t="shared" si="2287"/>
        <v>0</v>
      </c>
      <c r="AL566" s="160">
        <f t="shared" si="2287"/>
        <v>0</v>
      </c>
      <c r="AM566" s="160">
        <f t="shared" si="2287"/>
        <v>0</v>
      </c>
      <c r="AN566" s="160">
        <f t="shared" si="2287"/>
        <v>0</v>
      </c>
      <c r="AO566" s="160">
        <f t="shared" si="2287"/>
        <v>0</v>
      </c>
      <c r="AP566" s="160">
        <f t="shared" si="2287"/>
        <v>0</v>
      </c>
      <c r="AQ566" s="160">
        <f t="shared" si="2287"/>
        <v>0</v>
      </c>
      <c r="AR566" s="160">
        <f t="shared" si="2287"/>
        <v>0</v>
      </c>
      <c r="AS566" s="160">
        <f t="shared" si="2287"/>
        <v>0</v>
      </c>
      <c r="AT566" s="160">
        <f t="shared" si="2287"/>
        <v>0</v>
      </c>
      <c r="AU566" s="160">
        <f t="shared" si="2287"/>
        <v>0</v>
      </c>
      <c r="AV566" s="160">
        <f t="shared" si="2287"/>
        <v>0</v>
      </c>
      <c r="AW566" s="160">
        <f t="shared" si="2287"/>
        <v>0</v>
      </c>
      <c r="AX566" s="160">
        <f t="shared" si="2287"/>
        <v>0</v>
      </c>
      <c r="AY566" s="160">
        <f t="shared" si="2287"/>
        <v>0</v>
      </c>
      <c r="AZ566" s="160">
        <f t="shared" si="2287"/>
        <v>0</v>
      </c>
      <c r="BA566" s="160">
        <f t="shared" si="2287"/>
        <v>0</v>
      </c>
      <c r="BB566" s="160">
        <f t="shared" si="2287"/>
        <v>0</v>
      </c>
      <c r="BC566" s="160">
        <f t="shared" si="2287"/>
        <v>0</v>
      </c>
      <c r="BD566" s="160">
        <f t="shared" si="2287"/>
        <v>0</v>
      </c>
      <c r="BE566" s="160">
        <f t="shared" si="2287"/>
        <v>0</v>
      </c>
      <c r="BF566" s="160">
        <f t="shared" si="2287"/>
        <v>0</v>
      </c>
      <c r="BG566" s="160">
        <f t="shared" si="2287"/>
        <v>0</v>
      </c>
      <c r="BH566" s="160">
        <f t="shared" si="2287"/>
        <v>0</v>
      </c>
      <c r="BI566" s="160">
        <f t="shared" si="2287"/>
        <v>0</v>
      </c>
      <c r="BJ566" s="160">
        <f t="shared" si="2287"/>
        <v>0</v>
      </c>
      <c r="BK566" s="160">
        <f t="shared" si="2287"/>
        <v>0</v>
      </c>
      <c r="BL566" s="160">
        <f t="shared" si="2287"/>
        <v>0</v>
      </c>
      <c r="BM566" s="160">
        <f t="shared" si="2287"/>
        <v>0</v>
      </c>
      <c r="BN566" s="160">
        <f t="shared" si="2287"/>
        <v>0</v>
      </c>
      <c r="BO566" s="160">
        <f t="shared" si="2287"/>
        <v>0</v>
      </c>
      <c r="BP566" s="160">
        <f t="shared" si="2287"/>
        <v>0</v>
      </c>
      <c r="BQ566" s="160">
        <f t="shared" si="2287"/>
        <v>0</v>
      </c>
      <c r="BR566" s="160">
        <f t="shared" si="2287"/>
        <v>0</v>
      </c>
      <c r="BS566" s="65"/>
      <c r="BT566" s="160">
        <f t="shared" si="2149"/>
        <v>0</v>
      </c>
      <c r="BU566" s="160">
        <f t="shared" si="2150"/>
        <v>0</v>
      </c>
      <c r="BV566" s="65"/>
      <c r="BW566" s="69"/>
      <c r="BX566" s="65"/>
      <c r="BY566" s="137">
        <f t="shared" si="2151"/>
        <v>1</v>
      </c>
      <c r="BZ566" s="137">
        <f>IF(BY566&gt;0,BY566+LARGE($BZ$213:BZ565,1),0)</f>
        <v>298</v>
      </c>
      <c r="CA566" s="137" t="str">
        <f t="shared" si="2152"/>
        <v>EST</v>
      </c>
      <c r="CB566" s="161">
        <f t="shared" si="2153"/>
        <v>0</v>
      </c>
      <c r="CC566" s="161">
        <f t="shared" si="2154"/>
        <v>0</v>
      </c>
      <c r="CD566" s="161">
        <f t="shared" si="2155"/>
        <v>0</v>
      </c>
      <c r="CE566" s="161">
        <f t="shared" si="2156"/>
        <v>0</v>
      </c>
      <c r="CF566" s="161">
        <f t="shared" si="2157"/>
        <v>0</v>
      </c>
      <c r="CG566" s="161">
        <f t="shared" si="2158"/>
        <v>0</v>
      </c>
      <c r="CH566" s="161">
        <f t="shared" si="2159"/>
        <v>0</v>
      </c>
      <c r="CI566" s="161">
        <f t="shared" si="2160"/>
        <v>0</v>
      </c>
      <c r="CJ566" s="161">
        <f t="shared" si="2161"/>
        <v>0</v>
      </c>
      <c r="CK566" s="161">
        <f t="shared" si="2162"/>
        <v>0</v>
      </c>
      <c r="CL566" s="161">
        <f t="shared" si="2163"/>
        <v>0</v>
      </c>
      <c r="CM566" s="161">
        <f t="shared" si="2164"/>
        <v>0</v>
      </c>
      <c r="CN566" s="161">
        <f t="shared" si="2165"/>
        <v>0</v>
      </c>
      <c r="CO566" s="161">
        <f t="shared" si="2166"/>
        <v>0</v>
      </c>
      <c r="CP566" s="161">
        <f t="shared" si="2167"/>
        <v>0</v>
      </c>
      <c r="CQ566" s="161">
        <f t="shared" si="2168"/>
        <v>0</v>
      </c>
      <c r="CR566" s="161">
        <f t="shared" si="2169"/>
        <v>0</v>
      </c>
      <c r="CS566" s="161">
        <f t="shared" si="2170"/>
        <v>0</v>
      </c>
      <c r="CT566" s="161">
        <f t="shared" si="2171"/>
        <v>0</v>
      </c>
      <c r="CU566" s="161">
        <f t="shared" si="2172"/>
        <v>0</v>
      </c>
      <c r="CV566" s="161">
        <f t="shared" si="2173"/>
        <v>0</v>
      </c>
      <c r="CW566" s="161">
        <f t="shared" si="2174"/>
        <v>0</v>
      </c>
      <c r="CX566" s="161">
        <f t="shared" si="2175"/>
        <v>0</v>
      </c>
      <c r="CY566" s="161">
        <f t="shared" si="2176"/>
        <v>0</v>
      </c>
      <c r="CZ566" s="161">
        <f t="shared" si="2177"/>
        <v>0</v>
      </c>
      <c r="DA566" s="161">
        <f t="shared" si="2178"/>
        <v>0</v>
      </c>
      <c r="DB566" s="161">
        <f t="shared" si="2179"/>
        <v>0</v>
      </c>
      <c r="DC566" s="161">
        <f t="shared" si="2180"/>
        <v>0</v>
      </c>
      <c r="DD566" s="161">
        <f t="shared" si="2181"/>
        <v>0</v>
      </c>
      <c r="DE566" s="161">
        <f t="shared" si="2182"/>
        <v>0</v>
      </c>
      <c r="DF566" s="161">
        <f t="shared" si="2183"/>
        <v>0</v>
      </c>
      <c r="DG566" s="161">
        <f t="shared" si="2184"/>
        <v>0</v>
      </c>
      <c r="DH566" s="161">
        <f t="shared" si="2185"/>
        <v>0</v>
      </c>
      <c r="DI566" s="161">
        <f t="shared" si="2186"/>
        <v>0</v>
      </c>
      <c r="DJ566" s="161">
        <f t="shared" si="2187"/>
        <v>0</v>
      </c>
      <c r="DK566" s="161">
        <f t="shared" si="2188"/>
        <v>0</v>
      </c>
      <c r="DL566" s="161">
        <f t="shared" si="2189"/>
        <v>0</v>
      </c>
      <c r="DM566" s="161">
        <f t="shared" si="2190"/>
        <v>0</v>
      </c>
      <c r="DN566" s="161">
        <f t="shared" si="2191"/>
        <v>0</v>
      </c>
      <c r="DO566" s="161">
        <f t="shared" si="2192"/>
        <v>0</v>
      </c>
      <c r="DP566" s="161">
        <f t="shared" si="2193"/>
        <v>0</v>
      </c>
      <c r="DQ566" s="161">
        <f t="shared" si="2194"/>
        <v>0</v>
      </c>
      <c r="DR566" s="161">
        <f t="shared" si="2195"/>
        <v>0</v>
      </c>
      <c r="DS566" s="161">
        <f t="shared" si="2196"/>
        <v>0</v>
      </c>
      <c r="DT566" s="161">
        <f t="shared" si="2197"/>
        <v>0</v>
      </c>
      <c r="DU566" s="161">
        <f t="shared" si="2198"/>
        <v>0</v>
      </c>
      <c r="DV566" s="161">
        <f t="shared" si="2199"/>
        <v>0</v>
      </c>
      <c r="DW566" s="161">
        <f t="shared" si="2200"/>
        <v>0</v>
      </c>
      <c r="DX566" s="161">
        <f t="shared" si="2201"/>
        <v>0</v>
      </c>
      <c r="DY566" s="161">
        <f t="shared" si="2202"/>
        <v>0</v>
      </c>
      <c r="DZ566" s="161">
        <f t="shared" si="2203"/>
        <v>0</v>
      </c>
      <c r="EA566" s="161">
        <f t="shared" si="2204"/>
        <v>0</v>
      </c>
      <c r="EB566" s="161">
        <f t="shared" si="2205"/>
        <v>0</v>
      </c>
      <c r="EC566" s="161">
        <f t="shared" si="2206"/>
        <v>0</v>
      </c>
      <c r="ED566" s="161">
        <f t="shared" si="2207"/>
        <v>0</v>
      </c>
      <c r="EE566" s="161">
        <f t="shared" si="2208"/>
        <v>0</v>
      </c>
      <c r="EF566" s="161">
        <f t="shared" si="2209"/>
        <v>0</v>
      </c>
      <c r="EG566" s="161">
        <f t="shared" si="2210"/>
        <v>0</v>
      </c>
      <c r="EH566" s="161">
        <f t="shared" si="2211"/>
        <v>0</v>
      </c>
      <c r="EI566" s="161">
        <f t="shared" si="2212"/>
        <v>0</v>
      </c>
      <c r="EJ566" s="65"/>
      <c r="EK566" s="161">
        <f t="shared" si="2283"/>
        <v>0</v>
      </c>
      <c r="EL566" s="161">
        <f t="shared" si="2284"/>
        <v>0</v>
      </c>
      <c r="EM566" s="161">
        <f t="shared" si="2285"/>
        <v>0</v>
      </c>
    </row>
    <row r="567" spans="1:143" ht="12" hidden="1" customHeight="1" outlineLevel="2">
      <c r="A567" s="77">
        <v>19</v>
      </c>
      <c r="B567" s="137" t="str">
        <f t="shared" si="2213"/>
        <v>EST_II - Equipe_01</v>
      </c>
      <c r="C567" s="65"/>
      <c r="D567" s="622"/>
      <c r="E567" s="65"/>
      <c r="F567" s="603"/>
      <c r="G567" s="77" t="str">
        <f>IF(INDEX(Tarefas!$BT$30:$FK$30,MATCH(A567,Tarefas!$BT$28:$FK$28,0))=0,"",INDEX(Tarefas!$BT$30:$FK$30,MATCH(A567,Tarefas!$BT$28:$FK$28,0)))</f>
        <v>EST_II</v>
      </c>
      <c r="H567" s="107" cm="1">
        <f t="array" ref="H567">IFERROR((SUMPRODUCT((Tarefas!$N$32:$N$54='Cronog. e Histog.'!$F$549)*(Tarefas!$BQ$30:$FK$30='Cronog. e Histog.'!$G567)*(Tarefas!$BQ$32:$FK$54)))/SUMIF(Tarefas!$N$32:$N$54,'Cronog. e Histog.'!$F$549,Tarefas!$K$32:$K$54),0)</f>
        <v>0</v>
      </c>
      <c r="I567" s="79">
        <f t="shared" si="2214"/>
        <v>0</v>
      </c>
      <c r="J567" s="65"/>
      <c r="K567" s="160">
        <f t="shared" si="2286"/>
        <v>0</v>
      </c>
      <c r="L567" s="160">
        <f t="shared" si="2287"/>
        <v>0</v>
      </c>
      <c r="M567" s="160">
        <f t="shared" si="2287"/>
        <v>0</v>
      </c>
      <c r="N567" s="160">
        <f t="shared" si="2287"/>
        <v>0</v>
      </c>
      <c r="O567" s="160">
        <f t="shared" si="2287"/>
        <v>0</v>
      </c>
      <c r="P567" s="160">
        <f t="shared" si="2287"/>
        <v>0</v>
      </c>
      <c r="Q567" s="160">
        <f t="shared" si="2287"/>
        <v>0</v>
      </c>
      <c r="R567" s="160">
        <f t="shared" si="2287"/>
        <v>0</v>
      </c>
      <c r="S567" s="160">
        <f t="shared" si="2287"/>
        <v>0</v>
      </c>
      <c r="T567" s="160">
        <f t="shared" si="2287"/>
        <v>0</v>
      </c>
      <c r="U567" s="160">
        <f t="shared" si="2287"/>
        <v>0</v>
      </c>
      <c r="V567" s="160">
        <f t="shared" si="2287"/>
        <v>0</v>
      </c>
      <c r="W567" s="160">
        <f t="shared" si="2287"/>
        <v>0</v>
      </c>
      <c r="X567" s="160">
        <f t="shared" si="2287"/>
        <v>0</v>
      </c>
      <c r="Y567" s="160">
        <f t="shared" si="2287"/>
        <v>0</v>
      </c>
      <c r="Z567" s="160">
        <f t="shared" si="2287"/>
        <v>0</v>
      </c>
      <c r="AA567" s="160">
        <f t="shared" si="2287"/>
        <v>0</v>
      </c>
      <c r="AB567" s="160">
        <f t="shared" si="2287"/>
        <v>0</v>
      </c>
      <c r="AC567" s="160">
        <f t="shared" si="2287"/>
        <v>0</v>
      </c>
      <c r="AD567" s="160">
        <f t="shared" si="2287"/>
        <v>0</v>
      </c>
      <c r="AE567" s="160">
        <f t="shared" si="2287"/>
        <v>0</v>
      </c>
      <c r="AF567" s="160">
        <f t="shared" si="2287"/>
        <v>0</v>
      </c>
      <c r="AG567" s="160">
        <f t="shared" si="2287"/>
        <v>0</v>
      </c>
      <c r="AH567" s="160">
        <f t="shared" si="2287"/>
        <v>0</v>
      </c>
      <c r="AI567" s="160">
        <f t="shared" si="2287"/>
        <v>0</v>
      </c>
      <c r="AJ567" s="160">
        <f t="shared" si="2287"/>
        <v>0</v>
      </c>
      <c r="AK567" s="160">
        <f t="shared" si="2287"/>
        <v>0</v>
      </c>
      <c r="AL567" s="160">
        <f t="shared" si="2287"/>
        <v>0</v>
      </c>
      <c r="AM567" s="160">
        <f t="shared" si="2287"/>
        <v>0</v>
      </c>
      <c r="AN567" s="160">
        <f t="shared" si="2287"/>
        <v>0</v>
      </c>
      <c r="AO567" s="160">
        <f t="shared" si="2287"/>
        <v>0</v>
      </c>
      <c r="AP567" s="160">
        <f t="shared" si="2287"/>
        <v>0</v>
      </c>
      <c r="AQ567" s="160">
        <f t="shared" si="2287"/>
        <v>0</v>
      </c>
      <c r="AR567" s="160">
        <f t="shared" si="2287"/>
        <v>0</v>
      </c>
      <c r="AS567" s="160">
        <f t="shared" si="2287"/>
        <v>0</v>
      </c>
      <c r="AT567" s="160">
        <f t="shared" si="2287"/>
        <v>0</v>
      </c>
      <c r="AU567" s="160">
        <f t="shared" si="2287"/>
        <v>0</v>
      </c>
      <c r="AV567" s="160">
        <f t="shared" si="2287"/>
        <v>0</v>
      </c>
      <c r="AW567" s="160">
        <f t="shared" si="2287"/>
        <v>0</v>
      </c>
      <c r="AX567" s="160">
        <f t="shared" si="2287"/>
        <v>0</v>
      </c>
      <c r="AY567" s="160">
        <f t="shared" si="2287"/>
        <v>0</v>
      </c>
      <c r="AZ567" s="160">
        <f t="shared" si="2287"/>
        <v>0</v>
      </c>
      <c r="BA567" s="160">
        <f t="shared" si="2287"/>
        <v>0</v>
      </c>
      <c r="BB567" s="160">
        <f t="shared" si="2287"/>
        <v>0</v>
      </c>
      <c r="BC567" s="160">
        <f t="shared" si="2287"/>
        <v>0</v>
      </c>
      <c r="BD567" s="160">
        <f t="shared" si="2287"/>
        <v>0</v>
      </c>
      <c r="BE567" s="160">
        <f t="shared" si="2287"/>
        <v>0</v>
      </c>
      <c r="BF567" s="160">
        <f t="shared" si="2287"/>
        <v>0</v>
      </c>
      <c r="BG567" s="160">
        <f t="shared" si="2287"/>
        <v>0</v>
      </c>
      <c r="BH567" s="160">
        <f t="shared" si="2287"/>
        <v>0</v>
      </c>
      <c r="BI567" s="160">
        <f t="shared" si="2287"/>
        <v>0</v>
      </c>
      <c r="BJ567" s="160">
        <f t="shared" si="2287"/>
        <v>0</v>
      </c>
      <c r="BK567" s="160">
        <f t="shared" si="2287"/>
        <v>0</v>
      </c>
      <c r="BL567" s="160">
        <f t="shared" si="2287"/>
        <v>0</v>
      </c>
      <c r="BM567" s="160">
        <f t="shared" ref="L567:BR568" si="2288">ROUND($I567*BM$197,2)</f>
        <v>0</v>
      </c>
      <c r="BN567" s="160">
        <f t="shared" si="2288"/>
        <v>0</v>
      </c>
      <c r="BO567" s="160">
        <f t="shared" si="2288"/>
        <v>0</v>
      </c>
      <c r="BP567" s="160">
        <f t="shared" si="2288"/>
        <v>0</v>
      </c>
      <c r="BQ567" s="160">
        <f t="shared" si="2288"/>
        <v>0</v>
      </c>
      <c r="BR567" s="160">
        <f t="shared" si="2288"/>
        <v>0</v>
      </c>
      <c r="BS567" s="65"/>
      <c r="BT567" s="160">
        <f t="shared" si="2149"/>
        <v>0</v>
      </c>
      <c r="BU567" s="160">
        <f t="shared" si="2150"/>
        <v>0</v>
      </c>
      <c r="BV567" s="65"/>
      <c r="BW567" s="69"/>
      <c r="BX567" s="65"/>
      <c r="BY567" s="137">
        <f t="shared" si="2151"/>
        <v>1</v>
      </c>
      <c r="BZ567" s="137">
        <f>IF(BY567&gt;0,BY567+LARGE($BZ$213:BZ566,1),0)</f>
        <v>299</v>
      </c>
      <c r="CA567" s="137" t="str">
        <f t="shared" si="2152"/>
        <v>EST_II</v>
      </c>
      <c r="CB567" s="161">
        <f t="shared" si="2153"/>
        <v>0</v>
      </c>
      <c r="CC567" s="161">
        <f t="shared" si="2154"/>
        <v>0</v>
      </c>
      <c r="CD567" s="161">
        <f t="shared" si="2155"/>
        <v>0</v>
      </c>
      <c r="CE567" s="161">
        <f t="shared" si="2156"/>
        <v>0</v>
      </c>
      <c r="CF567" s="161">
        <f t="shared" si="2157"/>
        <v>0</v>
      </c>
      <c r="CG567" s="161">
        <f t="shared" si="2158"/>
        <v>0</v>
      </c>
      <c r="CH567" s="161">
        <f t="shared" si="2159"/>
        <v>0</v>
      </c>
      <c r="CI567" s="161">
        <f t="shared" si="2160"/>
        <v>0</v>
      </c>
      <c r="CJ567" s="161">
        <f t="shared" si="2161"/>
        <v>0</v>
      </c>
      <c r="CK567" s="161">
        <f t="shared" si="2162"/>
        <v>0</v>
      </c>
      <c r="CL567" s="161">
        <f t="shared" si="2163"/>
        <v>0</v>
      </c>
      <c r="CM567" s="161">
        <f t="shared" si="2164"/>
        <v>0</v>
      </c>
      <c r="CN567" s="161">
        <f t="shared" si="2165"/>
        <v>0</v>
      </c>
      <c r="CO567" s="161">
        <f t="shared" si="2166"/>
        <v>0</v>
      </c>
      <c r="CP567" s="161">
        <f t="shared" si="2167"/>
        <v>0</v>
      </c>
      <c r="CQ567" s="161">
        <f t="shared" si="2168"/>
        <v>0</v>
      </c>
      <c r="CR567" s="161">
        <f t="shared" si="2169"/>
        <v>0</v>
      </c>
      <c r="CS567" s="161">
        <f t="shared" si="2170"/>
        <v>0</v>
      </c>
      <c r="CT567" s="161">
        <f t="shared" si="2171"/>
        <v>0</v>
      </c>
      <c r="CU567" s="161">
        <f t="shared" si="2172"/>
        <v>0</v>
      </c>
      <c r="CV567" s="161">
        <f t="shared" si="2173"/>
        <v>0</v>
      </c>
      <c r="CW567" s="161">
        <f t="shared" si="2174"/>
        <v>0</v>
      </c>
      <c r="CX567" s="161">
        <f t="shared" si="2175"/>
        <v>0</v>
      </c>
      <c r="CY567" s="161">
        <f t="shared" si="2176"/>
        <v>0</v>
      </c>
      <c r="CZ567" s="161">
        <f t="shared" si="2177"/>
        <v>0</v>
      </c>
      <c r="DA567" s="161">
        <f t="shared" si="2178"/>
        <v>0</v>
      </c>
      <c r="DB567" s="161">
        <f t="shared" si="2179"/>
        <v>0</v>
      </c>
      <c r="DC567" s="161">
        <f t="shared" si="2180"/>
        <v>0</v>
      </c>
      <c r="DD567" s="161">
        <f t="shared" si="2181"/>
        <v>0</v>
      </c>
      <c r="DE567" s="161">
        <f t="shared" si="2182"/>
        <v>0</v>
      </c>
      <c r="DF567" s="161">
        <f t="shared" si="2183"/>
        <v>0</v>
      </c>
      <c r="DG567" s="161">
        <f t="shared" si="2184"/>
        <v>0</v>
      </c>
      <c r="DH567" s="161">
        <f t="shared" si="2185"/>
        <v>0</v>
      </c>
      <c r="DI567" s="161">
        <f t="shared" si="2186"/>
        <v>0</v>
      </c>
      <c r="DJ567" s="161">
        <f t="shared" si="2187"/>
        <v>0</v>
      </c>
      <c r="DK567" s="161">
        <f t="shared" si="2188"/>
        <v>0</v>
      </c>
      <c r="DL567" s="161">
        <f t="shared" si="2189"/>
        <v>0</v>
      </c>
      <c r="DM567" s="161">
        <f t="shared" si="2190"/>
        <v>0</v>
      </c>
      <c r="DN567" s="161">
        <f t="shared" si="2191"/>
        <v>0</v>
      </c>
      <c r="DO567" s="161">
        <f t="shared" si="2192"/>
        <v>0</v>
      </c>
      <c r="DP567" s="161">
        <f t="shared" si="2193"/>
        <v>0</v>
      </c>
      <c r="DQ567" s="161">
        <f t="shared" si="2194"/>
        <v>0</v>
      </c>
      <c r="DR567" s="161">
        <f t="shared" si="2195"/>
        <v>0</v>
      </c>
      <c r="DS567" s="161">
        <f t="shared" si="2196"/>
        <v>0</v>
      </c>
      <c r="DT567" s="161">
        <f t="shared" si="2197"/>
        <v>0</v>
      </c>
      <c r="DU567" s="161">
        <f t="shared" si="2198"/>
        <v>0</v>
      </c>
      <c r="DV567" s="161">
        <f t="shared" si="2199"/>
        <v>0</v>
      </c>
      <c r="DW567" s="161">
        <f t="shared" si="2200"/>
        <v>0</v>
      </c>
      <c r="DX567" s="161">
        <f t="shared" si="2201"/>
        <v>0</v>
      </c>
      <c r="DY567" s="161">
        <f t="shared" si="2202"/>
        <v>0</v>
      </c>
      <c r="DZ567" s="161">
        <f t="shared" si="2203"/>
        <v>0</v>
      </c>
      <c r="EA567" s="161">
        <f t="shared" si="2204"/>
        <v>0</v>
      </c>
      <c r="EB567" s="161">
        <f t="shared" si="2205"/>
        <v>0</v>
      </c>
      <c r="EC567" s="161">
        <f t="shared" si="2206"/>
        <v>0</v>
      </c>
      <c r="ED567" s="161">
        <f t="shared" si="2207"/>
        <v>0</v>
      </c>
      <c r="EE567" s="161">
        <f t="shared" si="2208"/>
        <v>0</v>
      </c>
      <c r="EF567" s="161">
        <f t="shared" si="2209"/>
        <v>0</v>
      </c>
      <c r="EG567" s="161">
        <f t="shared" si="2210"/>
        <v>0</v>
      </c>
      <c r="EH567" s="161">
        <f t="shared" si="2211"/>
        <v>0</v>
      </c>
      <c r="EI567" s="161">
        <f t="shared" si="2212"/>
        <v>0</v>
      </c>
      <c r="EJ567" s="65"/>
      <c r="EK567" s="161">
        <f t="shared" si="2283"/>
        <v>0</v>
      </c>
      <c r="EL567" s="161">
        <f t="shared" si="2284"/>
        <v>0</v>
      </c>
      <c r="EM567" s="161">
        <f t="shared" si="2285"/>
        <v>0</v>
      </c>
    </row>
    <row r="568" spans="1:143" ht="12" hidden="1" customHeight="1" outlineLevel="2">
      <c r="A568" s="77">
        <v>20</v>
      </c>
      <c r="B568" s="137" t="str">
        <f t="shared" si="2213"/>
        <v>EST_III - Equipe_01</v>
      </c>
      <c r="C568" s="65"/>
      <c r="D568" s="623"/>
      <c r="E568" s="65"/>
      <c r="F568" s="603"/>
      <c r="G568" s="77" t="str">
        <f>IF(INDEX(Tarefas!$BT$30:$FK$30,MATCH(A568,Tarefas!$BT$28:$FK$28,0))=0,"",INDEX(Tarefas!$BT$30:$FK$30,MATCH(A568,Tarefas!$BT$28:$FK$28,0)))</f>
        <v>EST_III</v>
      </c>
      <c r="H568" s="107" cm="1">
        <f t="array" ref="H568">IFERROR((SUMPRODUCT((Tarefas!$N$32:$N$54='Cronog. e Histog.'!$F$549)*(Tarefas!$BQ$30:$FK$30='Cronog. e Histog.'!$G568)*(Tarefas!$BQ$32:$FK$54)))/SUMIF(Tarefas!$N$32:$N$54,'Cronog. e Histog.'!$F$549,Tarefas!$K$32:$K$54),0)</f>
        <v>0</v>
      </c>
      <c r="I568" s="79">
        <f t="shared" si="2214"/>
        <v>0</v>
      </c>
      <c r="J568" s="65"/>
      <c r="K568" s="160">
        <f t="shared" si="2286"/>
        <v>0</v>
      </c>
      <c r="L568" s="160">
        <f t="shared" si="2288"/>
        <v>0</v>
      </c>
      <c r="M568" s="160">
        <f t="shared" si="2288"/>
        <v>0</v>
      </c>
      <c r="N568" s="160">
        <f t="shared" si="2288"/>
        <v>0</v>
      </c>
      <c r="O568" s="160">
        <f t="shared" si="2288"/>
        <v>0</v>
      </c>
      <c r="P568" s="160">
        <f t="shared" si="2288"/>
        <v>0</v>
      </c>
      <c r="Q568" s="160">
        <f t="shared" si="2288"/>
        <v>0</v>
      </c>
      <c r="R568" s="160">
        <f t="shared" si="2288"/>
        <v>0</v>
      </c>
      <c r="S568" s="160">
        <f t="shared" si="2288"/>
        <v>0</v>
      </c>
      <c r="T568" s="160">
        <f t="shared" si="2288"/>
        <v>0</v>
      </c>
      <c r="U568" s="160">
        <f t="shared" si="2288"/>
        <v>0</v>
      </c>
      <c r="V568" s="160">
        <f t="shared" si="2288"/>
        <v>0</v>
      </c>
      <c r="W568" s="160">
        <f t="shared" si="2288"/>
        <v>0</v>
      </c>
      <c r="X568" s="160">
        <f t="shared" si="2288"/>
        <v>0</v>
      </c>
      <c r="Y568" s="160">
        <f t="shared" si="2288"/>
        <v>0</v>
      </c>
      <c r="Z568" s="160">
        <f t="shared" si="2288"/>
        <v>0</v>
      </c>
      <c r="AA568" s="160">
        <f t="shared" si="2288"/>
        <v>0</v>
      </c>
      <c r="AB568" s="160">
        <f t="shared" si="2288"/>
        <v>0</v>
      </c>
      <c r="AC568" s="160">
        <f t="shared" si="2288"/>
        <v>0</v>
      </c>
      <c r="AD568" s="160">
        <f t="shared" si="2288"/>
        <v>0</v>
      </c>
      <c r="AE568" s="160">
        <f t="shared" si="2288"/>
        <v>0</v>
      </c>
      <c r="AF568" s="160">
        <f t="shared" si="2288"/>
        <v>0</v>
      </c>
      <c r="AG568" s="160">
        <f t="shared" si="2288"/>
        <v>0</v>
      </c>
      <c r="AH568" s="160">
        <f t="shared" si="2288"/>
        <v>0</v>
      </c>
      <c r="AI568" s="160">
        <f t="shared" si="2288"/>
        <v>0</v>
      </c>
      <c r="AJ568" s="160">
        <f t="shared" si="2288"/>
        <v>0</v>
      </c>
      <c r="AK568" s="160">
        <f t="shared" si="2288"/>
        <v>0</v>
      </c>
      <c r="AL568" s="160">
        <f t="shared" si="2288"/>
        <v>0</v>
      </c>
      <c r="AM568" s="160">
        <f t="shared" si="2288"/>
        <v>0</v>
      </c>
      <c r="AN568" s="160">
        <f t="shared" si="2288"/>
        <v>0</v>
      </c>
      <c r="AO568" s="160">
        <f t="shared" si="2288"/>
        <v>0</v>
      </c>
      <c r="AP568" s="160">
        <f t="shared" si="2288"/>
        <v>0</v>
      </c>
      <c r="AQ568" s="160">
        <f t="shared" si="2288"/>
        <v>0</v>
      </c>
      <c r="AR568" s="160">
        <f t="shared" si="2288"/>
        <v>0</v>
      </c>
      <c r="AS568" s="160">
        <f t="shared" si="2288"/>
        <v>0</v>
      </c>
      <c r="AT568" s="160">
        <f t="shared" si="2288"/>
        <v>0</v>
      </c>
      <c r="AU568" s="160">
        <f t="shared" si="2288"/>
        <v>0</v>
      </c>
      <c r="AV568" s="160">
        <f t="shared" si="2288"/>
        <v>0</v>
      </c>
      <c r="AW568" s="160">
        <f t="shared" si="2288"/>
        <v>0</v>
      </c>
      <c r="AX568" s="160">
        <f t="shared" si="2288"/>
        <v>0</v>
      </c>
      <c r="AY568" s="160">
        <f t="shared" si="2288"/>
        <v>0</v>
      </c>
      <c r="AZ568" s="160">
        <f t="shared" si="2288"/>
        <v>0</v>
      </c>
      <c r="BA568" s="160">
        <f t="shared" si="2288"/>
        <v>0</v>
      </c>
      <c r="BB568" s="160">
        <f t="shared" si="2288"/>
        <v>0</v>
      </c>
      <c r="BC568" s="160">
        <f t="shared" si="2288"/>
        <v>0</v>
      </c>
      <c r="BD568" s="160">
        <f t="shared" si="2288"/>
        <v>0</v>
      </c>
      <c r="BE568" s="160">
        <f t="shared" si="2288"/>
        <v>0</v>
      </c>
      <c r="BF568" s="160">
        <f t="shared" si="2288"/>
        <v>0</v>
      </c>
      <c r="BG568" s="160">
        <f t="shared" si="2288"/>
        <v>0</v>
      </c>
      <c r="BH568" s="160">
        <f t="shared" si="2288"/>
        <v>0</v>
      </c>
      <c r="BI568" s="160">
        <f t="shared" si="2288"/>
        <v>0</v>
      </c>
      <c r="BJ568" s="160">
        <f t="shared" si="2288"/>
        <v>0</v>
      </c>
      <c r="BK568" s="160">
        <f t="shared" si="2288"/>
        <v>0</v>
      </c>
      <c r="BL568" s="160">
        <f t="shared" si="2288"/>
        <v>0</v>
      </c>
      <c r="BM568" s="160">
        <f t="shared" si="2288"/>
        <v>0</v>
      </c>
      <c r="BN568" s="160">
        <f t="shared" si="2288"/>
        <v>0</v>
      </c>
      <c r="BO568" s="160">
        <f t="shared" si="2288"/>
        <v>0</v>
      </c>
      <c r="BP568" s="160">
        <f t="shared" si="2288"/>
        <v>0</v>
      </c>
      <c r="BQ568" s="160">
        <f t="shared" si="2288"/>
        <v>0</v>
      </c>
      <c r="BR568" s="160">
        <f t="shared" si="2288"/>
        <v>0</v>
      </c>
      <c r="BS568" s="65"/>
      <c r="BT568" s="160">
        <f t="shared" si="2149"/>
        <v>0</v>
      </c>
      <c r="BU568" s="160">
        <f t="shared" si="2150"/>
        <v>0</v>
      </c>
      <c r="BV568" s="65"/>
      <c r="BW568" s="69"/>
      <c r="BX568" s="65"/>
      <c r="BY568" s="137">
        <f t="shared" si="2151"/>
        <v>1</v>
      </c>
      <c r="BZ568" s="137">
        <f>IF(BY568&gt;0,BY568+LARGE($BZ$213:BZ567,1),0)</f>
        <v>300</v>
      </c>
      <c r="CA568" s="137" t="str">
        <f t="shared" si="2152"/>
        <v>EST_III</v>
      </c>
      <c r="CB568" s="161">
        <f t="shared" si="2153"/>
        <v>0</v>
      </c>
      <c r="CC568" s="161">
        <f t="shared" si="2154"/>
        <v>0</v>
      </c>
      <c r="CD568" s="161">
        <f t="shared" si="2155"/>
        <v>0</v>
      </c>
      <c r="CE568" s="161">
        <f t="shared" si="2156"/>
        <v>0</v>
      </c>
      <c r="CF568" s="161">
        <f t="shared" si="2157"/>
        <v>0</v>
      </c>
      <c r="CG568" s="161">
        <f t="shared" si="2158"/>
        <v>0</v>
      </c>
      <c r="CH568" s="161">
        <f t="shared" si="2159"/>
        <v>0</v>
      </c>
      <c r="CI568" s="161">
        <f t="shared" si="2160"/>
        <v>0</v>
      </c>
      <c r="CJ568" s="161">
        <f t="shared" si="2161"/>
        <v>0</v>
      </c>
      <c r="CK568" s="161">
        <f t="shared" si="2162"/>
        <v>0</v>
      </c>
      <c r="CL568" s="161">
        <f t="shared" si="2163"/>
        <v>0</v>
      </c>
      <c r="CM568" s="161">
        <f t="shared" si="2164"/>
        <v>0</v>
      </c>
      <c r="CN568" s="161">
        <f t="shared" si="2165"/>
        <v>0</v>
      </c>
      <c r="CO568" s="161">
        <f t="shared" si="2166"/>
        <v>0</v>
      </c>
      <c r="CP568" s="161">
        <f t="shared" si="2167"/>
        <v>0</v>
      </c>
      <c r="CQ568" s="161">
        <f t="shared" si="2168"/>
        <v>0</v>
      </c>
      <c r="CR568" s="161">
        <f t="shared" si="2169"/>
        <v>0</v>
      </c>
      <c r="CS568" s="161">
        <f t="shared" si="2170"/>
        <v>0</v>
      </c>
      <c r="CT568" s="161">
        <f t="shared" si="2171"/>
        <v>0</v>
      </c>
      <c r="CU568" s="161">
        <f t="shared" si="2172"/>
        <v>0</v>
      </c>
      <c r="CV568" s="161">
        <f t="shared" si="2173"/>
        <v>0</v>
      </c>
      <c r="CW568" s="161">
        <f t="shared" si="2174"/>
        <v>0</v>
      </c>
      <c r="CX568" s="161">
        <f t="shared" si="2175"/>
        <v>0</v>
      </c>
      <c r="CY568" s="161">
        <f t="shared" si="2176"/>
        <v>0</v>
      </c>
      <c r="CZ568" s="161">
        <f t="shared" si="2177"/>
        <v>0</v>
      </c>
      <c r="DA568" s="161">
        <f t="shared" si="2178"/>
        <v>0</v>
      </c>
      <c r="DB568" s="161">
        <f t="shared" si="2179"/>
        <v>0</v>
      </c>
      <c r="DC568" s="161">
        <f t="shared" si="2180"/>
        <v>0</v>
      </c>
      <c r="DD568" s="161">
        <f t="shared" si="2181"/>
        <v>0</v>
      </c>
      <c r="DE568" s="161">
        <f t="shared" si="2182"/>
        <v>0</v>
      </c>
      <c r="DF568" s="161">
        <f t="shared" si="2183"/>
        <v>0</v>
      </c>
      <c r="DG568" s="161">
        <f t="shared" si="2184"/>
        <v>0</v>
      </c>
      <c r="DH568" s="161">
        <f t="shared" si="2185"/>
        <v>0</v>
      </c>
      <c r="DI568" s="161">
        <f t="shared" si="2186"/>
        <v>0</v>
      </c>
      <c r="DJ568" s="161">
        <f t="shared" si="2187"/>
        <v>0</v>
      </c>
      <c r="DK568" s="161">
        <f t="shared" si="2188"/>
        <v>0</v>
      </c>
      <c r="DL568" s="161">
        <f t="shared" si="2189"/>
        <v>0</v>
      </c>
      <c r="DM568" s="161">
        <f t="shared" si="2190"/>
        <v>0</v>
      </c>
      <c r="DN568" s="161">
        <f t="shared" si="2191"/>
        <v>0</v>
      </c>
      <c r="DO568" s="161">
        <f t="shared" si="2192"/>
        <v>0</v>
      </c>
      <c r="DP568" s="161">
        <f t="shared" si="2193"/>
        <v>0</v>
      </c>
      <c r="DQ568" s="161">
        <f t="shared" si="2194"/>
        <v>0</v>
      </c>
      <c r="DR568" s="161">
        <f t="shared" si="2195"/>
        <v>0</v>
      </c>
      <c r="DS568" s="161">
        <f t="shared" si="2196"/>
        <v>0</v>
      </c>
      <c r="DT568" s="161">
        <f t="shared" si="2197"/>
        <v>0</v>
      </c>
      <c r="DU568" s="161">
        <f t="shared" si="2198"/>
        <v>0</v>
      </c>
      <c r="DV568" s="161">
        <f t="shared" si="2199"/>
        <v>0</v>
      </c>
      <c r="DW568" s="161">
        <f t="shared" si="2200"/>
        <v>0</v>
      </c>
      <c r="DX568" s="161">
        <f t="shared" si="2201"/>
        <v>0</v>
      </c>
      <c r="DY568" s="161">
        <f t="shared" si="2202"/>
        <v>0</v>
      </c>
      <c r="DZ568" s="161">
        <f t="shared" si="2203"/>
        <v>0</v>
      </c>
      <c r="EA568" s="161">
        <f t="shared" si="2204"/>
        <v>0</v>
      </c>
      <c r="EB568" s="161">
        <f t="shared" si="2205"/>
        <v>0</v>
      </c>
      <c r="EC568" s="161">
        <f t="shared" si="2206"/>
        <v>0</v>
      </c>
      <c r="ED568" s="161">
        <f t="shared" si="2207"/>
        <v>0</v>
      </c>
      <c r="EE568" s="161">
        <f t="shared" si="2208"/>
        <v>0</v>
      </c>
      <c r="EF568" s="161">
        <f t="shared" si="2209"/>
        <v>0</v>
      </c>
      <c r="EG568" s="161">
        <f t="shared" si="2210"/>
        <v>0</v>
      </c>
      <c r="EH568" s="161">
        <f t="shared" si="2211"/>
        <v>0</v>
      </c>
      <c r="EI568" s="161">
        <f t="shared" si="2212"/>
        <v>0</v>
      </c>
      <c r="EJ568" s="65"/>
      <c r="EK568" s="161">
        <f t="shared" si="2283"/>
        <v>0</v>
      </c>
      <c r="EL568" s="161">
        <f t="shared" si="2284"/>
        <v>0</v>
      </c>
      <c r="EM568" s="161">
        <f t="shared" si="2285"/>
        <v>0</v>
      </c>
    </row>
    <row r="569" spans="1:143" ht="12" hidden="1" customHeight="1" outlineLevel="1">
      <c r="B569" s="65"/>
      <c r="C569" s="65"/>
      <c r="D569" s="65"/>
      <c r="E569" s="65"/>
      <c r="F569" s="470" t="s">
        <v>380</v>
      </c>
      <c r="G569" s="162" t="str">
        <f>"Pico = "&amp;MAX(K569:BR569)</f>
        <v>Pico = 0</v>
      </c>
      <c r="H569" s="163">
        <f>SUM(H549:H568)</f>
        <v>0</v>
      </c>
      <c r="I569" s="148">
        <f>SUM(I549:I568)</f>
        <v>0</v>
      </c>
      <c r="J569" s="65"/>
      <c r="K569" s="146">
        <f>SUM(K549:K568)</f>
        <v>0</v>
      </c>
      <c r="L569" s="146">
        <f t="shared" ref="L569:BR569" si="2289">SUM(L549:L568)</f>
        <v>0</v>
      </c>
      <c r="M569" s="146">
        <f t="shared" si="2289"/>
        <v>0</v>
      </c>
      <c r="N569" s="146">
        <f t="shared" si="2289"/>
        <v>0</v>
      </c>
      <c r="O569" s="146">
        <f t="shared" si="2289"/>
        <v>0</v>
      </c>
      <c r="P569" s="146">
        <f t="shared" si="2289"/>
        <v>0</v>
      </c>
      <c r="Q569" s="146">
        <f t="shared" si="2289"/>
        <v>0</v>
      </c>
      <c r="R569" s="146">
        <f t="shared" si="2289"/>
        <v>0</v>
      </c>
      <c r="S569" s="146">
        <f t="shared" si="2289"/>
        <v>0</v>
      </c>
      <c r="T569" s="146">
        <f t="shared" si="2289"/>
        <v>0</v>
      </c>
      <c r="U569" s="146">
        <f t="shared" si="2289"/>
        <v>0</v>
      </c>
      <c r="V569" s="146">
        <f t="shared" si="2289"/>
        <v>0</v>
      </c>
      <c r="W569" s="146">
        <f t="shared" si="2289"/>
        <v>0</v>
      </c>
      <c r="X569" s="146">
        <f t="shared" si="2289"/>
        <v>0</v>
      </c>
      <c r="Y569" s="146">
        <f t="shared" si="2289"/>
        <v>0</v>
      </c>
      <c r="Z569" s="146">
        <f t="shared" si="2289"/>
        <v>0</v>
      </c>
      <c r="AA569" s="146">
        <f t="shared" si="2289"/>
        <v>0</v>
      </c>
      <c r="AB569" s="146">
        <f t="shared" si="2289"/>
        <v>0</v>
      </c>
      <c r="AC569" s="146">
        <f t="shared" si="2289"/>
        <v>0</v>
      </c>
      <c r="AD569" s="146">
        <f t="shared" si="2289"/>
        <v>0</v>
      </c>
      <c r="AE569" s="146">
        <f t="shared" si="2289"/>
        <v>0</v>
      </c>
      <c r="AF569" s="146">
        <f t="shared" si="2289"/>
        <v>0</v>
      </c>
      <c r="AG569" s="146">
        <f t="shared" si="2289"/>
        <v>0</v>
      </c>
      <c r="AH569" s="146">
        <f t="shared" si="2289"/>
        <v>0</v>
      </c>
      <c r="AI569" s="146">
        <f t="shared" si="2289"/>
        <v>0</v>
      </c>
      <c r="AJ569" s="146">
        <f t="shared" si="2289"/>
        <v>0</v>
      </c>
      <c r="AK569" s="146">
        <f t="shared" si="2289"/>
        <v>0</v>
      </c>
      <c r="AL569" s="146">
        <f t="shared" si="2289"/>
        <v>0</v>
      </c>
      <c r="AM569" s="146">
        <f t="shared" si="2289"/>
        <v>0</v>
      </c>
      <c r="AN569" s="146">
        <f t="shared" si="2289"/>
        <v>0</v>
      </c>
      <c r="AO569" s="146">
        <f t="shared" si="2289"/>
        <v>0</v>
      </c>
      <c r="AP569" s="146">
        <f t="shared" si="2289"/>
        <v>0</v>
      </c>
      <c r="AQ569" s="146">
        <f t="shared" si="2289"/>
        <v>0</v>
      </c>
      <c r="AR569" s="146">
        <f t="shared" si="2289"/>
        <v>0</v>
      </c>
      <c r="AS569" s="146">
        <f t="shared" si="2289"/>
        <v>0</v>
      </c>
      <c r="AT569" s="146">
        <f t="shared" si="2289"/>
        <v>0</v>
      </c>
      <c r="AU569" s="146">
        <f t="shared" si="2289"/>
        <v>0</v>
      </c>
      <c r="AV569" s="146">
        <f t="shared" si="2289"/>
        <v>0</v>
      </c>
      <c r="AW569" s="146">
        <f t="shared" si="2289"/>
        <v>0</v>
      </c>
      <c r="AX569" s="146">
        <f t="shared" si="2289"/>
        <v>0</v>
      </c>
      <c r="AY569" s="146">
        <f t="shared" si="2289"/>
        <v>0</v>
      </c>
      <c r="AZ569" s="146">
        <f t="shared" si="2289"/>
        <v>0</v>
      </c>
      <c r="BA569" s="146">
        <f t="shared" si="2289"/>
        <v>0</v>
      </c>
      <c r="BB569" s="146">
        <f t="shared" si="2289"/>
        <v>0</v>
      </c>
      <c r="BC569" s="146">
        <f t="shared" si="2289"/>
        <v>0</v>
      </c>
      <c r="BD569" s="146">
        <f t="shared" si="2289"/>
        <v>0</v>
      </c>
      <c r="BE569" s="146">
        <f t="shared" si="2289"/>
        <v>0</v>
      </c>
      <c r="BF569" s="146">
        <f t="shared" si="2289"/>
        <v>0</v>
      </c>
      <c r="BG569" s="146">
        <f t="shared" si="2289"/>
        <v>0</v>
      </c>
      <c r="BH569" s="146">
        <f t="shared" si="2289"/>
        <v>0</v>
      </c>
      <c r="BI569" s="146">
        <f t="shared" si="2289"/>
        <v>0</v>
      </c>
      <c r="BJ569" s="146">
        <f t="shared" si="2289"/>
        <v>0</v>
      </c>
      <c r="BK569" s="146">
        <f t="shared" si="2289"/>
        <v>0</v>
      </c>
      <c r="BL569" s="146">
        <f t="shared" si="2289"/>
        <v>0</v>
      </c>
      <c r="BM569" s="146">
        <f t="shared" si="2289"/>
        <v>0</v>
      </c>
      <c r="BN569" s="146">
        <f t="shared" si="2289"/>
        <v>0</v>
      </c>
      <c r="BO569" s="146">
        <f t="shared" si="2289"/>
        <v>0</v>
      </c>
      <c r="BP569" s="146">
        <f t="shared" si="2289"/>
        <v>0</v>
      </c>
      <c r="BQ569" s="146">
        <f t="shared" si="2289"/>
        <v>0</v>
      </c>
      <c r="BR569" s="146">
        <f t="shared" si="2289"/>
        <v>0</v>
      </c>
      <c r="BS569" s="65"/>
      <c r="BT569" s="146">
        <f t="shared" ref="BT569" si="2290">SUM(BT549:BT568)</f>
        <v>0</v>
      </c>
      <c r="BU569" s="65"/>
      <c r="BV569" s="65"/>
      <c r="BW569" s="69"/>
      <c r="BX569" s="65"/>
      <c r="BY569" s="65"/>
      <c r="BZ569" s="65"/>
      <c r="CA569" s="65"/>
      <c r="CB569" s="65"/>
      <c r="CC569" s="65"/>
      <c r="CD569" s="65"/>
      <c r="CE569" s="65"/>
      <c r="CF569" s="65"/>
      <c r="CG569" s="65"/>
      <c r="CH569" s="65"/>
      <c r="CI569" s="65"/>
      <c r="CJ569" s="65"/>
      <c r="CK569" s="65"/>
      <c r="CL569" s="65"/>
      <c r="CM569" s="65"/>
      <c r="CN569" s="65"/>
      <c r="CO569" s="65"/>
      <c r="CP569" s="65"/>
      <c r="CQ569" s="65"/>
      <c r="CR569" s="65"/>
      <c r="CS569" s="65"/>
      <c r="CT569" s="65"/>
      <c r="CU569" s="65"/>
      <c r="CV569" s="65"/>
      <c r="CW569" s="65"/>
      <c r="CX569" s="65"/>
      <c r="CY569" s="65"/>
      <c r="CZ569" s="65"/>
      <c r="DA569" s="65"/>
      <c r="DB569" s="65"/>
      <c r="DC569" s="65"/>
      <c r="DD569" s="65"/>
      <c r="DE569" s="65"/>
      <c r="DF569" s="65"/>
      <c r="DG569" s="65"/>
      <c r="DH569" s="65"/>
      <c r="DI569" s="65"/>
      <c r="DJ569" s="65"/>
      <c r="DK569" s="65"/>
      <c r="DL569" s="65"/>
      <c r="DM569" s="65"/>
      <c r="DN569" s="65"/>
      <c r="DO569" s="65"/>
      <c r="DP569" s="65"/>
      <c r="DQ569" s="65"/>
      <c r="DR569" s="65"/>
      <c r="DS569" s="65"/>
      <c r="DT569" s="65"/>
      <c r="DU569" s="65"/>
      <c r="DV569" s="65"/>
      <c r="DW569" s="65"/>
      <c r="DX569" s="65"/>
      <c r="DY569" s="65"/>
      <c r="DZ569" s="65"/>
      <c r="EA569" s="65"/>
      <c r="EB569" s="65"/>
      <c r="EC569" s="65"/>
      <c r="ED569" s="65"/>
      <c r="EE569" s="65"/>
      <c r="EF569" s="65"/>
      <c r="EG569" s="65"/>
      <c r="EH569" s="65"/>
      <c r="EI569" s="65"/>
      <c r="EJ569" s="65"/>
      <c r="EK569" s="65"/>
      <c r="EL569" s="65"/>
      <c r="EM569" s="65"/>
    </row>
    <row r="570" spans="1:143" ht="12" hidden="1" customHeight="1" outlineLevel="1"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5"/>
      <c r="AT570" s="65"/>
      <c r="AU570" s="65"/>
      <c r="AV570" s="65"/>
      <c r="AW570" s="65"/>
      <c r="AX570" s="65"/>
      <c r="AY570" s="65"/>
      <c r="AZ570" s="65"/>
      <c r="BA570" s="65"/>
      <c r="BB570" s="65"/>
      <c r="BC570" s="65"/>
      <c r="BD570" s="65"/>
      <c r="BE570" s="65"/>
      <c r="BF570" s="65"/>
      <c r="BG570" s="65"/>
      <c r="BH570" s="65"/>
      <c r="BI570" s="65"/>
      <c r="BJ570" s="65"/>
      <c r="BK570" s="65"/>
      <c r="BL570" s="65"/>
      <c r="BM570" s="65"/>
      <c r="BN570" s="65"/>
      <c r="BO570" s="65"/>
      <c r="BP570" s="65"/>
      <c r="BQ570" s="65"/>
      <c r="BR570" s="65"/>
      <c r="BS570" s="65"/>
      <c r="BT570" s="65"/>
      <c r="BU570" s="65"/>
      <c r="BV570" s="65"/>
      <c r="BW570" s="69"/>
      <c r="BX570" s="65"/>
      <c r="BY570" s="65"/>
      <c r="BZ570" s="65"/>
      <c r="CA570" s="65"/>
      <c r="CB570" s="65"/>
      <c r="CC570" s="65"/>
      <c r="CD570" s="65"/>
      <c r="CE570" s="65"/>
      <c r="CF570" s="65"/>
      <c r="CG570" s="65"/>
      <c r="CH570" s="65"/>
      <c r="CI570" s="65"/>
      <c r="CJ570" s="65"/>
      <c r="CK570" s="65"/>
      <c r="CL570" s="65"/>
      <c r="CM570" s="65"/>
      <c r="CN570" s="65"/>
      <c r="CO570" s="65"/>
      <c r="CP570" s="65"/>
      <c r="CQ570" s="65"/>
      <c r="CR570" s="65"/>
      <c r="CS570" s="65"/>
      <c r="CT570" s="65"/>
      <c r="CU570" s="65"/>
      <c r="CV570" s="65"/>
      <c r="CW570" s="65"/>
      <c r="CX570" s="65"/>
      <c r="CY570" s="65"/>
      <c r="CZ570" s="65"/>
      <c r="DA570" s="65"/>
      <c r="DB570" s="65"/>
      <c r="DC570" s="65"/>
      <c r="DD570" s="65"/>
      <c r="DE570" s="65"/>
      <c r="DF570" s="65"/>
      <c r="DG570" s="65"/>
      <c r="DH570" s="65"/>
      <c r="DI570" s="65"/>
      <c r="DJ570" s="65"/>
      <c r="DK570" s="65"/>
      <c r="DL570" s="65"/>
      <c r="DM570" s="65"/>
      <c r="DN570" s="65"/>
      <c r="DO570" s="65"/>
      <c r="DP570" s="65"/>
      <c r="DQ570" s="65"/>
      <c r="DR570" s="65"/>
      <c r="DS570" s="65"/>
      <c r="DT570" s="65"/>
      <c r="DU570" s="65"/>
      <c r="DV570" s="65"/>
      <c r="DW570" s="65"/>
      <c r="DX570" s="65"/>
      <c r="DY570" s="65"/>
      <c r="DZ570" s="65"/>
      <c r="EA570" s="65"/>
      <c r="EB570" s="65"/>
      <c r="EC570" s="65"/>
      <c r="ED570" s="65"/>
      <c r="EE570" s="65"/>
      <c r="EF570" s="65"/>
      <c r="EG570" s="65"/>
      <c r="EH570" s="65"/>
      <c r="EI570" s="65"/>
      <c r="EJ570" s="65"/>
      <c r="EK570" s="65"/>
      <c r="EL570" s="65"/>
      <c r="EM570" s="65"/>
    </row>
    <row r="571" spans="1:143" ht="24" hidden="1" customHeight="1" outlineLevel="1">
      <c r="B571" s="593" t="s">
        <v>395</v>
      </c>
      <c r="C571" s="65"/>
      <c r="D571" s="65"/>
      <c r="E571" s="65"/>
      <c r="F571" s="471" t="str">
        <f>IF($G$66&gt;0,$G$66,"")</f>
        <v>Equipe16</v>
      </c>
      <c r="G571" s="471"/>
      <c r="H571" s="471"/>
      <c r="I571" s="471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5"/>
      <c r="AT571" s="65"/>
      <c r="AU571" s="65"/>
      <c r="AV571" s="65"/>
      <c r="AW571" s="65"/>
      <c r="AX571" s="65"/>
      <c r="AY571" s="65"/>
      <c r="AZ571" s="65"/>
      <c r="BA571" s="65"/>
      <c r="BB571" s="65"/>
      <c r="BC571" s="65"/>
      <c r="BD571" s="65"/>
      <c r="BE571" s="65"/>
      <c r="BF571" s="65"/>
      <c r="BG571" s="65"/>
      <c r="BH571" s="65"/>
      <c r="BI571" s="65"/>
      <c r="BJ571" s="65"/>
      <c r="BK571" s="65"/>
      <c r="BL571" s="65"/>
      <c r="BM571" s="65"/>
      <c r="BN571" s="65"/>
      <c r="BO571" s="65"/>
      <c r="BP571" s="65"/>
      <c r="BQ571" s="65"/>
      <c r="BR571" s="65"/>
      <c r="BS571" s="65"/>
      <c r="BT571" s="601" t="s">
        <v>396</v>
      </c>
      <c r="BU571" s="601" t="s">
        <v>397</v>
      </c>
      <c r="BV571" s="65"/>
      <c r="BW571" s="69"/>
      <c r="BX571" s="65"/>
      <c r="BY571" s="593" t="s">
        <v>398</v>
      </c>
      <c r="BZ571" s="593" t="s">
        <v>399</v>
      </c>
      <c r="CA571" s="593" t="s">
        <v>400</v>
      </c>
      <c r="CB571" s="592" t="s">
        <v>401</v>
      </c>
      <c r="CC571" s="592" t="s">
        <v>402</v>
      </c>
      <c r="CD571" s="592" t="s">
        <v>403</v>
      </c>
      <c r="CE571" s="592" t="s">
        <v>404</v>
      </c>
      <c r="CF571" s="592" t="s">
        <v>405</v>
      </c>
      <c r="CG571" s="592" t="s">
        <v>406</v>
      </c>
      <c r="CH571" s="592" t="s">
        <v>407</v>
      </c>
      <c r="CI571" s="592" t="s">
        <v>408</v>
      </c>
      <c r="CJ571" s="592" t="s">
        <v>409</v>
      </c>
      <c r="CK571" s="592" t="s">
        <v>410</v>
      </c>
      <c r="CL571" s="592" t="s">
        <v>411</v>
      </c>
      <c r="CM571" s="592" t="s">
        <v>412</v>
      </c>
      <c r="CN571" s="592" t="s">
        <v>413</v>
      </c>
      <c r="CO571" s="592" t="s">
        <v>414</v>
      </c>
      <c r="CP571" s="592" t="s">
        <v>415</v>
      </c>
      <c r="CQ571" s="592" t="s">
        <v>416</v>
      </c>
      <c r="CR571" s="592" t="s">
        <v>417</v>
      </c>
      <c r="CS571" s="592" t="s">
        <v>418</v>
      </c>
      <c r="CT571" s="592" t="s">
        <v>419</v>
      </c>
      <c r="CU571" s="592" t="s">
        <v>420</v>
      </c>
      <c r="CV571" s="592" t="s">
        <v>421</v>
      </c>
      <c r="CW571" s="592" t="s">
        <v>422</v>
      </c>
      <c r="CX571" s="592" t="s">
        <v>423</v>
      </c>
      <c r="CY571" s="592" t="s">
        <v>424</v>
      </c>
      <c r="CZ571" s="592" t="s">
        <v>425</v>
      </c>
      <c r="DA571" s="592" t="s">
        <v>426</v>
      </c>
      <c r="DB571" s="592" t="s">
        <v>427</v>
      </c>
      <c r="DC571" s="592" t="s">
        <v>428</v>
      </c>
      <c r="DD571" s="592" t="s">
        <v>429</v>
      </c>
      <c r="DE571" s="592" t="s">
        <v>430</v>
      </c>
      <c r="DF571" s="592" t="s">
        <v>431</v>
      </c>
      <c r="DG571" s="592" t="s">
        <v>432</v>
      </c>
      <c r="DH571" s="592" t="s">
        <v>433</v>
      </c>
      <c r="DI571" s="592" t="s">
        <v>434</v>
      </c>
      <c r="DJ571" s="592" t="s">
        <v>435</v>
      </c>
      <c r="DK571" s="592" t="s">
        <v>436</v>
      </c>
      <c r="DL571" s="592" t="s">
        <v>437</v>
      </c>
      <c r="DM571" s="592" t="s">
        <v>438</v>
      </c>
      <c r="DN571" s="592" t="s">
        <v>439</v>
      </c>
      <c r="DO571" s="592" t="s">
        <v>440</v>
      </c>
      <c r="DP571" s="592" t="s">
        <v>441</v>
      </c>
      <c r="DQ571" s="592" t="s">
        <v>442</v>
      </c>
      <c r="DR571" s="592" t="s">
        <v>443</v>
      </c>
      <c r="DS571" s="592" t="s">
        <v>444</v>
      </c>
      <c r="DT571" s="592" t="s">
        <v>445</v>
      </c>
      <c r="DU571" s="592" t="s">
        <v>446</v>
      </c>
      <c r="DV571" s="592" t="s">
        <v>447</v>
      </c>
      <c r="DW571" s="592" t="s">
        <v>448</v>
      </c>
      <c r="DX571" s="592" t="s">
        <v>449</v>
      </c>
      <c r="DY571" s="592" t="s">
        <v>450</v>
      </c>
      <c r="DZ571" s="592" t="s">
        <v>451</v>
      </c>
      <c r="EA571" s="592" t="s">
        <v>452</v>
      </c>
      <c r="EB571" s="592" t="s">
        <v>453</v>
      </c>
      <c r="EC571" s="592" t="s">
        <v>454</v>
      </c>
      <c r="ED571" s="592" t="s">
        <v>455</v>
      </c>
      <c r="EE571" s="592" t="s">
        <v>456</v>
      </c>
      <c r="EF571" s="592" t="s">
        <v>457</v>
      </c>
      <c r="EG571" s="592" t="s">
        <v>458</v>
      </c>
      <c r="EH571" s="592" t="s">
        <v>459</v>
      </c>
      <c r="EI571" s="592" t="s">
        <v>460</v>
      </c>
      <c r="EJ571" s="65"/>
      <c r="EK571" s="157" t="s">
        <v>376</v>
      </c>
      <c r="EL571" s="157" t="s">
        <v>461</v>
      </c>
      <c r="EM571" s="157" t="s">
        <v>383</v>
      </c>
    </row>
    <row r="572" spans="1:143" ht="12" hidden="1" customHeight="1" outlineLevel="1" collapsed="1">
      <c r="B572" s="593"/>
      <c r="C572" s="65"/>
      <c r="D572" s="65"/>
      <c r="E572" s="65"/>
      <c r="F572" s="158" t="s">
        <v>198</v>
      </c>
      <c r="G572" s="158" t="s">
        <v>462</v>
      </c>
      <c r="H572" s="158" t="s">
        <v>255</v>
      </c>
      <c r="I572" s="158" t="s">
        <v>68</v>
      </c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5"/>
      <c r="AT572" s="65"/>
      <c r="AU572" s="65"/>
      <c r="AV572" s="65"/>
      <c r="AW572" s="65"/>
      <c r="AX572" s="65"/>
      <c r="AY572" s="65"/>
      <c r="AZ572" s="65"/>
      <c r="BA572" s="65"/>
      <c r="BB572" s="65"/>
      <c r="BC572" s="65"/>
      <c r="BD572" s="65"/>
      <c r="BE572" s="65"/>
      <c r="BF572" s="65"/>
      <c r="BG572" s="65"/>
      <c r="BH572" s="65"/>
      <c r="BI572" s="65"/>
      <c r="BJ572" s="65"/>
      <c r="BK572" s="65"/>
      <c r="BL572" s="65"/>
      <c r="BM572" s="65"/>
      <c r="BN572" s="65"/>
      <c r="BO572" s="65"/>
      <c r="BP572" s="65"/>
      <c r="BQ572" s="65"/>
      <c r="BR572" s="65"/>
      <c r="BS572" s="65"/>
      <c r="BT572" s="602"/>
      <c r="BU572" s="602"/>
      <c r="BV572" s="65"/>
      <c r="BW572" s="69"/>
      <c r="BX572" s="65"/>
      <c r="BY572" s="593"/>
      <c r="BZ572" s="593"/>
      <c r="CA572" s="593"/>
      <c r="CB572" s="592"/>
      <c r="CC572" s="592"/>
      <c r="CD572" s="592"/>
      <c r="CE572" s="592"/>
      <c r="CF572" s="592"/>
      <c r="CG572" s="592"/>
      <c r="CH572" s="592"/>
      <c r="CI572" s="592"/>
      <c r="CJ572" s="592"/>
      <c r="CK572" s="592"/>
      <c r="CL572" s="592"/>
      <c r="CM572" s="592"/>
      <c r="CN572" s="592"/>
      <c r="CO572" s="592"/>
      <c r="CP572" s="592"/>
      <c r="CQ572" s="592"/>
      <c r="CR572" s="592"/>
      <c r="CS572" s="592"/>
      <c r="CT572" s="592"/>
      <c r="CU572" s="592"/>
      <c r="CV572" s="592"/>
      <c r="CW572" s="592"/>
      <c r="CX572" s="592"/>
      <c r="CY572" s="592"/>
      <c r="CZ572" s="592"/>
      <c r="DA572" s="592"/>
      <c r="DB572" s="592"/>
      <c r="DC572" s="592"/>
      <c r="DD572" s="592"/>
      <c r="DE572" s="592"/>
      <c r="DF572" s="592"/>
      <c r="DG572" s="592"/>
      <c r="DH572" s="592"/>
      <c r="DI572" s="592"/>
      <c r="DJ572" s="592"/>
      <c r="DK572" s="592"/>
      <c r="DL572" s="592"/>
      <c r="DM572" s="592"/>
      <c r="DN572" s="592"/>
      <c r="DO572" s="592"/>
      <c r="DP572" s="592"/>
      <c r="DQ572" s="592"/>
      <c r="DR572" s="592"/>
      <c r="DS572" s="592"/>
      <c r="DT572" s="592"/>
      <c r="DU572" s="592"/>
      <c r="DV572" s="592"/>
      <c r="DW572" s="592"/>
      <c r="DX572" s="592"/>
      <c r="DY572" s="592"/>
      <c r="DZ572" s="592"/>
      <c r="EA572" s="592"/>
      <c r="EB572" s="592"/>
      <c r="EC572" s="592"/>
      <c r="ED572" s="592"/>
      <c r="EE572" s="592"/>
      <c r="EF572" s="592"/>
      <c r="EG572" s="592"/>
      <c r="EH572" s="592"/>
      <c r="EI572" s="592"/>
      <c r="EJ572" s="65"/>
      <c r="EK572" s="159">
        <f>IFERROR(ROUNDUP(SUMPRODUCT($K593:$BR593,$K$121:$BR$121)/SUM($K593:$BR593),2),0)</f>
        <v>0</v>
      </c>
      <c r="EL572" s="159">
        <f>IFERROR(ROUNDUP(SUMPRODUCT($K593:$BR593,$K$145:$BR$145)/SUM($K593:$BR593),2),0)</f>
        <v>0</v>
      </c>
      <c r="EM572" s="159">
        <f>IFERROR(ROUNDUP(SUMPRODUCT($K593:$BR593,$K$169:$BR$169)/SUM($K593:$BR593),2),0)</f>
        <v>0</v>
      </c>
    </row>
    <row r="573" spans="1:143" ht="12" hidden="1" customHeight="1" outlineLevel="2">
      <c r="A573" s="77">
        <v>1</v>
      </c>
      <c r="B573" s="137" t="str">
        <f>IF(G573&gt;0,G573&amp;" - "&amp;$F$213,"")</f>
        <v>GER. (OBRA/PROJ) - Equipe_01</v>
      </c>
      <c r="C573" s="65"/>
      <c r="D573" s="620" t="s">
        <v>463</v>
      </c>
      <c r="E573" s="65"/>
      <c r="F573" s="603" t="str">
        <f>IFERROR(VLOOKUP(F571,Tarefas!$F$3:$G$22,2,0),"")</f>
        <v>Equipe_16</v>
      </c>
      <c r="G573" s="77" t="str">
        <f>IF(INDEX(Tarefas!$BT$30:$FK$30,MATCH(A573,Tarefas!$BT$28:$FK$28,0))=0,"",INDEX(Tarefas!$BT$30:$FK$30,MATCH(A573,Tarefas!$BT$28:$FK$28,0)))</f>
        <v>GER. (OBRA/PROJ)</v>
      </c>
      <c r="H573" s="107" cm="1">
        <f t="array" ref="H573">IFERROR((SUMPRODUCT((Tarefas!$N$32:$N$54='Cronog. e Histog.'!$F$573)*(Tarefas!$BQ$30:$FK$30='Cronog. e Histog.'!$G573)*(Tarefas!$BQ$32:$FK$54)))/SUMIF(Tarefas!$N$32:$N$54,'Cronog. e Histog.'!$F$573,Tarefas!$K$32:$K$54),0)</f>
        <v>0</v>
      </c>
      <c r="I573" s="79">
        <f>IFERROR(H573/$H$593,0)</f>
        <v>0</v>
      </c>
      <c r="J573" s="65"/>
      <c r="K573" s="160">
        <f>ROUND($I573*K$198,2)</f>
        <v>0</v>
      </c>
      <c r="L573" s="160">
        <f t="shared" ref="L573:BR587" si="2291">ROUND($I573*L$198,2)</f>
        <v>0</v>
      </c>
      <c r="M573" s="160">
        <f t="shared" si="2291"/>
        <v>0</v>
      </c>
      <c r="N573" s="160">
        <f t="shared" si="2291"/>
        <v>0</v>
      </c>
      <c r="O573" s="160">
        <f t="shared" si="2291"/>
        <v>0</v>
      </c>
      <c r="P573" s="160">
        <f t="shared" si="2291"/>
        <v>0</v>
      </c>
      <c r="Q573" s="160">
        <f t="shared" si="2291"/>
        <v>0</v>
      </c>
      <c r="R573" s="160">
        <f t="shared" si="2291"/>
        <v>0</v>
      </c>
      <c r="S573" s="160">
        <f t="shared" si="2291"/>
        <v>0</v>
      </c>
      <c r="T573" s="160">
        <f t="shared" si="2291"/>
        <v>0</v>
      </c>
      <c r="U573" s="160">
        <f t="shared" si="2291"/>
        <v>0</v>
      </c>
      <c r="V573" s="160">
        <f t="shared" si="2291"/>
        <v>0</v>
      </c>
      <c r="W573" s="160">
        <f t="shared" si="2291"/>
        <v>0</v>
      </c>
      <c r="X573" s="160">
        <f t="shared" si="2291"/>
        <v>0</v>
      </c>
      <c r="Y573" s="160">
        <f t="shared" si="2291"/>
        <v>0</v>
      </c>
      <c r="Z573" s="160">
        <f t="shared" si="2291"/>
        <v>0</v>
      </c>
      <c r="AA573" s="160">
        <f t="shared" si="2291"/>
        <v>0</v>
      </c>
      <c r="AB573" s="160">
        <f t="shared" si="2291"/>
        <v>0</v>
      </c>
      <c r="AC573" s="160">
        <f t="shared" si="2291"/>
        <v>0</v>
      </c>
      <c r="AD573" s="160">
        <f t="shared" si="2291"/>
        <v>0</v>
      </c>
      <c r="AE573" s="160">
        <f t="shared" si="2291"/>
        <v>0</v>
      </c>
      <c r="AF573" s="160">
        <f t="shared" si="2291"/>
        <v>0</v>
      </c>
      <c r="AG573" s="160">
        <f t="shared" si="2291"/>
        <v>0</v>
      </c>
      <c r="AH573" s="160">
        <f t="shared" si="2291"/>
        <v>0</v>
      </c>
      <c r="AI573" s="160">
        <f t="shared" si="2291"/>
        <v>0</v>
      </c>
      <c r="AJ573" s="160">
        <f t="shared" si="2291"/>
        <v>0</v>
      </c>
      <c r="AK573" s="160">
        <f t="shared" si="2291"/>
        <v>0</v>
      </c>
      <c r="AL573" s="160">
        <f t="shared" si="2291"/>
        <v>0</v>
      </c>
      <c r="AM573" s="160">
        <f t="shared" si="2291"/>
        <v>0</v>
      </c>
      <c r="AN573" s="160">
        <f t="shared" si="2291"/>
        <v>0</v>
      </c>
      <c r="AO573" s="160">
        <f t="shared" si="2291"/>
        <v>0</v>
      </c>
      <c r="AP573" s="160">
        <f t="shared" si="2291"/>
        <v>0</v>
      </c>
      <c r="AQ573" s="160">
        <f t="shared" si="2291"/>
        <v>0</v>
      </c>
      <c r="AR573" s="160">
        <f t="shared" si="2291"/>
        <v>0</v>
      </c>
      <c r="AS573" s="160">
        <f t="shared" si="2291"/>
        <v>0</v>
      </c>
      <c r="AT573" s="160">
        <f t="shared" si="2291"/>
        <v>0</v>
      </c>
      <c r="AU573" s="160">
        <f t="shared" si="2291"/>
        <v>0</v>
      </c>
      <c r="AV573" s="160">
        <f t="shared" si="2291"/>
        <v>0</v>
      </c>
      <c r="AW573" s="160">
        <f t="shared" si="2291"/>
        <v>0</v>
      </c>
      <c r="AX573" s="160">
        <f t="shared" si="2291"/>
        <v>0</v>
      </c>
      <c r="AY573" s="160">
        <f t="shared" si="2291"/>
        <v>0</v>
      </c>
      <c r="AZ573" s="160">
        <f t="shared" si="2291"/>
        <v>0</v>
      </c>
      <c r="BA573" s="160">
        <f t="shared" si="2291"/>
        <v>0</v>
      </c>
      <c r="BB573" s="160">
        <f t="shared" si="2291"/>
        <v>0</v>
      </c>
      <c r="BC573" s="160">
        <f t="shared" si="2291"/>
        <v>0</v>
      </c>
      <c r="BD573" s="160">
        <f t="shared" si="2291"/>
        <v>0</v>
      </c>
      <c r="BE573" s="160">
        <f t="shared" si="2291"/>
        <v>0</v>
      </c>
      <c r="BF573" s="160">
        <f t="shared" si="2291"/>
        <v>0</v>
      </c>
      <c r="BG573" s="160">
        <f t="shared" si="2291"/>
        <v>0</v>
      </c>
      <c r="BH573" s="160">
        <f t="shared" si="2291"/>
        <v>0</v>
      </c>
      <c r="BI573" s="160">
        <f t="shared" si="2291"/>
        <v>0</v>
      </c>
      <c r="BJ573" s="160">
        <f t="shared" si="2291"/>
        <v>0</v>
      </c>
      <c r="BK573" s="160">
        <f t="shared" si="2291"/>
        <v>0</v>
      </c>
      <c r="BL573" s="160">
        <f t="shared" si="2291"/>
        <v>0</v>
      </c>
      <c r="BM573" s="160">
        <f t="shared" si="2291"/>
        <v>0</v>
      </c>
      <c r="BN573" s="160">
        <f t="shared" si="2291"/>
        <v>0</v>
      </c>
      <c r="BO573" s="160">
        <f t="shared" si="2291"/>
        <v>0</v>
      </c>
      <c r="BP573" s="160">
        <f t="shared" si="2291"/>
        <v>0</v>
      </c>
      <c r="BQ573" s="160">
        <f t="shared" si="2291"/>
        <v>0</v>
      </c>
      <c r="BR573" s="160">
        <f t="shared" si="2291"/>
        <v>0</v>
      </c>
      <c r="BS573" s="65"/>
      <c r="BT573" s="160">
        <f t="shared" ref="BT573:BT592" si="2292">IFERROR(SUM(K573:BR573)/COUNTIF(K573:BR573,"&gt;0"),0)</f>
        <v>0</v>
      </c>
      <c r="BU573" s="160">
        <f t="shared" ref="BU573:BU592" si="2293">COUNTIF(K573:BR573,"&gt;0")</f>
        <v>0</v>
      </c>
      <c r="BV573" s="65"/>
      <c r="BW573" s="69"/>
      <c r="BX573" s="65"/>
      <c r="BY573" s="137">
        <f t="shared" ref="BY573:BY592" si="2294">IF(G573&gt;0,1,0)</f>
        <v>1</v>
      </c>
      <c r="BZ573" s="137">
        <f>IF(BY573&gt;0,BY573+LARGE($BZ$213:BZ572,1),0)</f>
        <v>301</v>
      </c>
      <c r="CA573" s="137" t="str">
        <f t="shared" ref="CA573:CA592" si="2295">G573</f>
        <v>GER. (OBRA/PROJ)</v>
      </c>
      <c r="CB573" s="161">
        <f t="shared" ref="CB573:CB592" si="2296">K573</f>
        <v>0</v>
      </c>
      <c r="CC573" s="161">
        <f t="shared" ref="CC573:CC592" si="2297">L573</f>
        <v>0</v>
      </c>
      <c r="CD573" s="161">
        <f t="shared" ref="CD573:CD592" si="2298">M573</f>
        <v>0</v>
      </c>
      <c r="CE573" s="161">
        <f t="shared" ref="CE573:CE592" si="2299">N573</f>
        <v>0</v>
      </c>
      <c r="CF573" s="161">
        <f t="shared" ref="CF573:CF592" si="2300">O573</f>
        <v>0</v>
      </c>
      <c r="CG573" s="161">
        <f t="shared" ref="CG573:CG592" si="2301">P573</f>
        <v>0</v>
      </c>
      <c r="CH573" s="161">
        <f t="shared" ref="CH573:CH592" si="2302">Q573</f>
        <v>0</v>
      </c>
      <c r="CI573" s="161">
        <f t="shared" ref="CI573:CI592" si="2303">R573</f>
        <v>0</v>
      </c>
      <c r="CJ573" s="161">
        <f t="shared" ref="CJ573:CJ592" si="2304">S573</f>
        <v>0</v>
      </c>
      <c r="CK573" s="161">
        <f t="shared" ref="CK573:CK592" si="2305">T573</f>
        <v>0</v>
      </c>
      <c r="CL573" s="161">
        <f t="shared" ref="CL573:CL592" si="2306">U573</f>
        <v>0</v>
      </c>
      <c r="CM573" s="161">
        <f t="shared" ref="CM573:CM592" si="2307">V573</f>
        <v>0</v>
      </c>
      <c r="CN573" s="161">
        <f t="shared" ref="CN573:CN592" si="2308">W573</f>
        <v>0</v>
      </c>
      <c r="CO573" s="161">
        <f t="shared" ref="CO573:CO592" si="2309">X573</f>
        <v>0</v>
      </c>
      <c r="CP573" s="161">
        <f t="shared" ref="CP573:CP592" si="2310">Y573</f>
        <v>0</v>
      </c>
      <c r="CQ573" s="161">
        <f t="shared" ref="CQ573:CQ592" si="2311">Z573</f>
        <v>0</v>
      </c>
      <c r="CR573" s="161">
        <f t="shared" ref="CR573:CR592" si="2312">AA573</f>
        <v>0</v>
      </c>
      <c r="CS573" s="161">
        <f t="shared" ref="CS573:CS592" si="2313">AB573</f>
        <v>0</v>
      </c>
      <c r="CT573" s="161">
        <f t="shared" ref="CT573:CT592" si="2314">AC573</f>
        <v>0</v>
      </c>
      <c r="CU573" s="161">
        <f t="shared" ref="CU573:CU592" si="2315">AD573</f>
        <v>0</v>
      </c>
      <c r="CV573" s="161">
        <f t="shared" ref="CV573:CV592" si="2316">AE573</f>
        <v>0</v>
      </c>
      <c r="CW573" s="161">
        <f t="shared" ref="CW573:CW592" si="2317">AF573</f>
        <v>0</v>
      </c>
      <c r="CX573" s="161">
        <f t="shared" ref="CX573:CX592" si="2318">AG573</f>
        <v>0</v>
      </c>
      <c r="CY573" s="161">
        <f t="shared" ref="CY573:CY592" si="2319">AH573</f>
        <v>0</v>
      </c>
      <c r="CZ573" s="161">
        <f t="shared" ref="CZ573:CZ592" si="2320">AI573</f>
        <v>0</v>
      </c>
      <c r="DA573" s="161">
        <f t="shared" ref="DA573:DA592" si="2321">AJ573</f>
        <v>0</v>
      </c>
      <c r="DB573" s="161">
        <f t="shared" ref="DB573:DB592" si="2322">AK573</f>
        <v>0</v>
      </c>
      <c r="DC573" s="161">
        <f t="shared" ref="DC573:DC592" si="2323">AL573</f>
        <v>0</v>
      </c>
      <c r="DD573" s="161">
        <f t="shared" ref="DD573:DD592" si="2324">AM573</f>
        <v>0</v>
      </c>
      <c r="DE573" s="161">
        <f t="shared" ref="DE573:DE592" si="2325">AN573</f>
        <v>0</v>
      </c>
      <c r="DF573" s="161">
        <f t="shared" ref="DF573:DF592" si="2326">AO573</f>
        <v>0</v>
      </c>
      <c r="DG573" s="161">
        <f t="shared" ref="DG573:DG592" si="2327">AP573</f>
        <v>0</v>
      </c>
      <c r="DH573" s="161">
        <f t="shared" ref="DH573:DH592" si="2328">AQ573</f>
        <v>0</v>
      </c>
      <c r="DI573" s="161">
        <f t="shared" ref="DI573:DI592" si="2329">AR573</f>
        <v>0</v>
      </c>
      <c r="DJ573" s="161">
        <f t="shared" ref="DJ573:DJ592" si="2330">AS573</f>
        <v>0</v>
      </c>
      <c r="DK573" s="161">
        <f t="shared" ref="DK573:DK592" si="2331">AT573</f>
        <v>0</v>
      </c>
      <c r="DL573" s="161">
        <f t="shared" ref="DL573:DL592" si="2332">AU573</f>
        <v>0</v>
      </c>
      <c r="DM573" s="161">
        <f t="shared" ref="DM573:DM592" si="2333">AV573</f>
        <v>0</v>
      </c>
      <c r="DN573" s="161">
        <f t="shared" ref="DN573:DN592" si="2334">AW573</f>
        <v>0</v>
      </c>
      <c r="DO573" s="161">
        <f t="shared" ref="DO573:DO592" si="2335">AX573</f>
        <v>0</v>
      </c>
      <c r="DP573" s="161">
        <f t="shared" ref="DP573:DP592" si="2336">AY573</f>
        <v>0</v>
      </c>
      <c r="DQ573" s="161">
        <f t="shared" ref="DQ573:DQ592" si="2337">AZ573</f>
        <v>0</v>
      </c>
      <c r="DR573" s="161">
        <f t="shared" ref="DR573:DR592" si="2338">BA573</f>
        <v>0</v>
      </c>
      <c r="DS573" s="161">
        <f t="shared" ref="DS573:DS592" si="2339">BB573</f>
        <v>0</v>
      </c>
      <c r="DT573" s="161">
        <f t="shared" ref="DT573:DT592" si="2340">BC573</f>
        <v>0</v>
      </c>
      <c r="DU573" s="161">
        <f t="shared" ref="DU573:DU592" si="2341">BD573</f>
        <v>0</v>
      </c>
      <c r="DV573" s="161">
        <f t="shared" ref="DV573:DV592" si="2342">BE573</f>
        <v>0</v>
      </c>
      <c r="DW573" s="161">
        <f t="shared" ref="DW573:DW592" si="2343">BF573</f>
        <v>0</v>
      </c>
      <c r="DX573" s="161">
        <f t="shared" ref="DX573:DX592" si="2344">BG573</f>
        <v>0</v>
      </c>
      <c r="DY573" s="161">
        <f t="shared" ref="DY573:DY592" si="2345">BH573</f>
        <v>0</v>
      </c>
      <c r="DZ573" s="161">
        <f t="shared" ref="DZ573:DZ592" si="2346">BI573</f>
        <v>0</v>
      </c>
      <c r="EA573" s="161">
        <f t="shared" ref="EA573:EA592" si="2347">BJ573</f>
        <v>0</v>
      </c>
      <c r="EB573" s="161">
        <f t="shared" ref="EB573:EB592" si="2348">BK573</f>
        <v>0</v>
      </c>
      <c r="EC573" s="161">
        <f t="shared" ref="EC573:EC592" si="2349">BL573</f>
        <v>0</v>
      </c>
      <c r="ED573" s="161">
        <f t="shared" ref="ED573:ED592" si="2350">BM573</f>
        <v>0</v>
      </c>
      <c r="EE573" s="161">
        <f t="shared" ref="EE573:EE592" si="2351">BN573</f>
        <v>0</v>
      </c>
      <c r="EF573" s="161">
        <f t="shared" ref="EF573:EF592" si="2352">BO573</f>
        <v>0</v>
      </c>
      <c r="EG573" s="161">
        <f t="shared" ref="EG573:EG592" si="2353">BP573</f>
        <v>0</v>
      </c>
      <c r="EH573" s="161">
        <f t="shared" ref="EH573:EH592" si="2354">BQ573</f>
        <v>0</v>
      </c>
      <c r="EI573" s="161">
        <f t="shared" ref="EI573:EI592" si="2355">BR573</f>
        <v>0</v>
      </c>
      <c r="EJ573" s="65"/>
      <c r="EK573" s="161">
        <f>$EK$572</f>
        <v>0</v>
      </c>
      <c r="EL573" s="161">
        <f>EL572</f>
        <v>0</v>
      </c>
      <c r="EM573" s="161">
        <f>EM572</f>
        <v>0</v>
      </c>
    </row>
    <row r="574" spans="1:143" ht="12" hidden="1" customHeight="1" outlineLevel="2">
      <c r="A574" s="77">
        <v>2</v>
      </c>
      <c r="B574" s="137" t="str">
        <f t="shared" ref="B574:B592" si="2356">IF(G574&gt;0,G574&amp;" - "&amp;$F$213,"")</f>
        <v>COORD. - Equipe_01</v>
      </c>
      <c r="C574" s="65"/>
      <c r="D574" s="621"/>
      <c r="E574" s="65"/>
      <c r="F574" s="603"/>
      <c r="G574" s="77" t="str">
        <f>IF(INDEX(Tarefas!$BT$30:$FK$30,MATCH(A574,Tarefas!$BT$28:$FK$28,0))=0,"",INDEX(Tarefas!$BT$30:$FK$30,MATCH(A574,Tarefas!$BT$28:$FK$28,0)))</f>
        <v>COORD.</v>
      </c>
      <c r="H574" s="107" cm="1">
        <f t="array" ref="H574">IFERROR((SUMPRODUCT((Tarefas!$N$32:$N$54='Cronog. e Histog.'!$F$573)*(Tarefas!$BQ$30:$FK$30='Cronog. e Histog.'!$G574)*(Tarefas!$BQ$32:$FK$54)))/SUMIF(Tarefas!$N$32:$N$54,'Cronog. e Histog.'!$F$573,Tarefas!$K$32:$K$54),0)</f>
        <v>1</v>
      </c>
      <c r="I574" s="79">
        <f t="shared" ref="I574:I592" si="2357">IFERROR(H574/$H$593,0)</f>
        <v>1</v>
      </c>
      <c r="J574" s="65"/>
      <c r="K574" s="160">
        <f t="shared" ref="K574:Z583" si="2358">ROUND($I574*K$198,2)</f>
        <v>0.1</v>
      </c>
      <c r="L574" s="160">
        <f t="shared" si="2358"/>
        <v>0.1</v>
      </c>
      <c r="M574" s="160">
        <f t="shared" si="2358"/>
        <v>0.1</v>
      </c>
      <c r="N574" s="160">
        <f t="shared" si="2358"/>
        <v>0.1</v>
      </c>
      <c r="O574" s="160">
        <f t="shared" si="2358"/>
        <v>0.1</v>
      </c>
      <c r="P574" s="160">
        <f t="shared" si="2358"/>
        <v>0.1</v>
      </c>
      <c r="Q574" s="160">
        <f t="shared" si="2358"/>
        <v>0.1</v>
      </c>
      <c r="R574" s="160">
        <f t="shared" si="2358"/>
        <v>0.1</v>
      </c>
      <c r="S574" s="160">
        <f t="shared" si="2358"/>
        <v>0.1</v>
      </c>
      <c r="T574" s="160">
        <f t="shared" si="2358"/>
        <v>0.1</v>
      </c>
      <c r="U574" s="160">
        <f t="shared" si="2358"/>
        <v>0</v>
      </c>
      <c r="V574" s="160">
        <f t="shared" si="2358"/>
        <v>0</v>
      </c>
      <c r="W574" s="160">
        <f t="shared" si="2358"/>
        <v>0</v>
      </c>
      <c r="X574" s="160">
        <f t="shared" si="2358"/>
        <v>0</v>
      </c>
      <c r="Y574" s="160">
        <f t="shared" si="2358"/>
        <v>0</v>
      </c>
      <c r="Z574" s="160">
        <f t="shared" si="2358"/>
        <v>0</v>
      </c>
      <c r="AA574" s="160">
        <f t="shared" ref="AA574:AP583" si="2359">ROUND($I574*AA$198,2)</f>
        <v>0</v>
      </c>
      <c r="AB574" s="160">
        <f t="shared" si="2359"/>
        <v>0</v>
      </c>
      <c r="AC574" s="160">
        <f t="shared" si="2359"/>
        <v>0</v>
      </c>
      <c r="AD574" s="160">
        <f t="shared" si="2359"/>
        <v>0</v>
      </c>
      <c r="AE574" s="160">
        <f t="shared" si="2359"/>
        <v>0</v>
      </c>
      <c r="AF574" s="160">
        <f t="shared" si="2359"/>
        <v>0</v>
      </c>
      <c r="AG574" s="160">
        <f t="shared" si="2359"/>
        <v>0</v>
      </c>
      <c r="AH574" s="160">
        <f t="shared" si="2359"/>
        <v>0</v>
      </c>
      <c r="AI574" s="160">
        <f t="shared" si="2359"/>
        <v>0</v>
      </c>
      <c r="AJ574" s="160">
        <f t="shared" si="2359"/>
        <v>0</v>
      </c>
      <c r="AK574" s="160">
        <f t="shared" si="2359"/>
        <v>0</v>
      </c>
      <c r="AL574" s="160">
        <f t="shared" si="2359"/>
        <v>0</v>
      </c>
      <c r="AM574" s="160">
        <f t="shared" si="2359"/>
        <v>0</v>
      </c>
      <c r="AN574" s="160">
        <f t="shared" si="2359"/>
        <v>0</v>
      </c>
      <c r="AO574" s="160">
        <f t="shared" si="2359"/>
        <v>0</v>
      </c>
      <c r="AP574" s="160">
        <f t="shared" si="2359"/>
        <v>0</v>
      </c>
      <c r="AQ574" s="160">
        <f t="shared" ref="AQ574:BF583" si="2360">ROUND($I574*AQ$198,2)</f>
        <v>0</v>
      </c>
      <c r="AR574" s="160">
        <f t="shared" si="2360"/>
        <v>0</v>
      </c>
      <c r="AS574" s="160">
        <f t="shared" si="2360"/>
        <v>0</v>
      </c>
      <c r="AT574" s="160">
        <f t="shared" si="2360"/>
        <v>0</v>
      </c>
      <c r="AU574" s="160">
        <f t="shared" si="2360"/>
        <v>0</v>
      </c>
      <c r="AV574" s="160">
        <f t="shared" si="2360"/>
        <v>0</v>
      </c>
      <c r="AW574" s="160">
        <f t="shared" si="2360"/>
        <v>0</v>
      </c>
      <c r="AX574" s="160">
        <f t="shared" si="2360"/>
        <v>0</v>
      </c>
      <c r="AY574" s="160">
        <f t="shared" si="2360"/>
        <v>0</v>
      </c>
      <c r="AZ574" s="160">
        <f t="shared" si="2360"/>
        <v>0</v>
      </c>
      <c r="BA574" s="160">
        <f t="shared" si="2360"/>
        <v>0</v>
      </c>
      <c r="BB574" s="160">
        <f t="shared" si="2360"/>
        <v>0</v>
      </c>
      <c r="BC574" s="160">
        <f t="shared" si="2360"/>
        <v>0</v>
      </c>
      <c r="BD574" s="160">
        <f t="shared" si="2360"/>
        <v>0</v>
      </c>
      <c r="BE574" s="160">
        <f t="shared" si="2360"/>
        <v>0</v>
      </c>
      <c r="BF574" s="160">
        <f t="shared" si="2360"/>
        <v>0</v>
      </c>
      <c r="BG574" s="160">
        <f t="shared" ref="BG574:BR583" si="2361">ROUND($I574*BG$198,2)</f>
        <v>0</v>
      </c>
      <c r="BH574" s="160">
        <f t="shared" si="2361"/>
        <v>0</v>
      </c>
      <c r="BI574" s="160">
        <f t="shared" si="2361"/>
        <v>0</v>
      </c>
      <c r="BJ574" s="160">
        <f t="shared" si="2361"/>
        <v>0</v>
      </c>
      <c r="BK574" s="160">
        <f t="shared" si="2361"/>
        <v>0</v>
      </c>
      <c r="BL574" s="160">
        <f t="shared" si="2361"/>
        <v>0</v>
      </c>
      <c r="BM574" s="160">
        <f t="shared" si="2361"/>
        <v>0</v>
      </c>
      <c r="BN574" s="160">
        <f t="shared" si="2361"/>
        <v>0</v>
      </c>
      <c r="BO574" s="160">
        <f t="shared" si="2361"/>
        <v>0</v>
      </c>
      <c r="BP574" s="160">
        <f t="shared" si="2361"/>
        <v>0</v>
      </c>
      <c r="BQ574" s="160">
        <f t="shared" si="2361"/>
        <v>0</v>
      </c>
      <c r="BR574" s="160">
        <f t="shared" si="2361"/>
        <v>0</v>
      </c>
      <c r="BS574" s="65"/>
      <c r="BT574" s="160">
        <f t="shared" ref="BT574:BT583" si="2362">IFERROR(SUM(K574:BR574)/COUNTIF(K574:BR574,"&gt;0"),0)</f>
        <v>9.9999999999999992E-2</v>
      </c>
      <c r="BU574" s="160">
        <f t="shared" ref="BU574:BU583" si="2363">COUNTIF(K574:BR574,"&gt;0")</f>
        <v>10</v>
      </c>
      <c r="BV574" s="65"/>
      <c r="BW574" s="69"/>
      <c r="BX574" s="65"/>
      <c r="BY574" s="137">
        <f t="shared" ref="BY574:BY583" si="2364">IF(G574&gt;0,1,0)</f>
        <v>1</v>
      </c>
      <c r="BZ574" s="137">
        <f>IF(BY574&gt;0,BY574+LARGE($BZ$213:BZ573,1),0)</f>
        <v>302</v>
      </c>
      <c r="CA574" s="137" t="str">
        <f t="shared" ref="CA574:CA583" si="2365">G574</f>
        <v>COORD.</v>
      </c>
      <c r="CB574" s="161">
        <f t="shared" ref="CB574:CB583" si="2366">K574</f>
        <v>0.1</v>
      </c>
      <c r="CC574" s="161">
        <f t="shared" ref="CC574:CC583" si="2367">L574</f>
        <v>0.1</v>
      </c>
      <c r="CD574" s="161">
        <f t="shared" ref="CD574:CD583" si="2368">M574</f>
        <v>0.1</v>
      </c>
      <c r="CE574" s="161">
        <f t="shared" ref="CE574:CE583" si="2369">N574</f>
        <v>0.1</v>
      </c>
      <c r="CF574" s="161">
        <f t="shared" ref="CF574:CF583" si="2370">O574</f>
        <v>0.1</v>
      </c>
      <c r="CG574" s="161">
        <f t="shared" ref="CG574:CG583" si="2371">P574</f>
        <v>0.1</v>
      </c>
      <c r="CH574" s="161">
        <f t="shared" ref="CH574:CH583" si="2372">Q574</f>
        <v>0.1</v>
      </c>
      <c r="CI574" s="161">
        <f t="shared" ref="CI574:CI583" si="2373">R574</f>
        <v>0.1</v>
      </c>
      <c r="CJ574" s="161">
        <f t="shared" ref="CJ574:CJ583" si="2374">S574</f>
        <v>0.1</v>
      </c>
      <c r="CK574" s="161">
        <f t="shared" ref="CK574:CK583" si="2375">T574</f>
        <v>0.1</v>
      </c>
      <c r="CL574" s="161">
        <f t="shared" ref="CL574:CL583" si="2376">U574</f>
        <v>0</v>
      </c>
      <c r="CM574" s="161">
        <f t="shared" ref="CM574:CM583" si="2377">V574</f>
        <v>0</v>
      </c>
      <c r="CN574" s="161">
        <f t="shared" ref="CN574:CN583" si="2378">W574</f>
        <v>0</v>
      </c>
      <c r="CO574" s="161">
        <f t="shared" ref="CO574:CO583" si="2379">X574</f>
        <v>0</v>
      </c>
      <c r="CP574" s="161">
        <f t="shared" ref="CP574:CP583" si="2380">Y574</f>
        <v>0</v>
      </c>
      <c r="CQ574" s="161">
        <f t="shared" ref="CQ574:CQ583" si="2381">Z574</f>
        <v>0</v>
      </c>
      <c r="CR574" s="161">
        <f t="shared" ref="CR574:CR583" si="2382">AA574</f>
        <v>0</v>
      </c>
      <c r="CS574" s="161">
        <f t="shared" ref="CS574:CS583" si="2383">AB574</f>
        <v>0</v>
      </c>
      <c r="CT574" s="161">
        <f t="shared" ref="CT574:CT583" si="2384">AC574</f>
        <v>0</v>
      </c>
      <c r="CU574" s="161">
        <f t="shared" ref="CU574:CU583" si="2385">AD574</f>
        <v>0</v>
      </c>
      <c r="CV574" s="161">
        <f t="shared" ref="CV574:CV583" si="2386">AE574</f>
        <v>0</v>
      </c>
      <c r="CW574" s="161">
        <f t="shared" ref="CW574:CW583" si="2387">AF574</f>
        <v>0</v>
      </c>
      <c r="CX574" s="161">
        <f t="shared" ref="CX574:CX583" si="2388">AG574</f>
        <v>0</v>
      </c>
      <c r="CY574" s="161">
        <f t="shared" ref="CY574:CY583" si="2389">AH574</f>
        <v>0</v>
      </c>
      <c r="CZ574" s="161">
        <f t="shared" ref="CZ574:CZ583" si="2390">AI574</f>
        <v>0</v>
      </c>
      <c r="DA574" s="161">
        <f t="shared" ref="DA574:DA583" si="2391">AJ574</f>
        <v>0</v>
      </c>
      <c r="DB574" s="161">
        <f t="shared" ref="DB574:DB583" si="2392">AK574</f>
        <v>0</v>
      </c>
      <c r="DC574" s="161">
        <f t="shared" ref="DC574:DC583" si="2393">AL574</f>
        <v>0</v>
      </c>
      <c r="DD574" s="161">
        <f t="shared" ref="DD574:DD583" si="2394">AM574</f>
        <v>0</v>
      </c>
      <c r="DE574" s="161">
        <f t="shared" ref="DE574:DE583" si="2395">AN574</f>
        <v>0</v>
      </c>
      <c r="DF574" s="161">
        <f t="shared" ref="DF574:DF583" si="2396">AO574</f>
        <v>0</v>
      </c>
      <c r="DG574" s="161">
        <f t="shared" ref="DG574:DG583" si="2397">AP574</f>
        <v>0</v>
      </c>
      <c r="DH574" s="161">
        <f t="shared" ref="DH574:DH583" si="2398">AQ574</f>
        <v>0</v>
      </c>
      <c r="DI574" s="161">
        <f t="shared" ref="DI574:DI583" si="2399">AR574</f>
        <v>0</v>
      </c>
      <c r="DJ574" s="161">
        <f t="shared" ref="DJ574:DJ583" si="2400">AS574</f>
        <v>0</v>
      </c>
      <c r="DK574" s="161">
        <f t="shared" ref="DK574:DK583" si="2401">AT574</f>
        <v>0</v>
      </c>
      <c r="DL574" s="161">
        <f t="shared" ref="DL574:DL583" si="2402">AU574</f>
        <v>0</v>
      </c>
      <c r="DM574" s="161">
        <f t="shared" ref="DM574:DM583" si="2403">AV574</f>
        <v>0</v>
      </c>
      <c r="DN574" s="161">
        <f t="shared" ref="DN574:DN583" si="2404">AW574</f>
        <v>0</v>
      </c>
      <c r="DO574" s="161">
        <f t="shared" ref="DO574:DO583" si="2405">AX574</f>
        <v>0</v>
      </c>
      <c r="DP574" s="161">
        <f t="shared" ref="DP574:DP583" si="2406">AY574</f>
        <v>0</v>
      </c>
      <c r="DQ574" s="161">
        <f t="shared" ref="DQ574:DQ583" si="2407">AZ574</f>
        <v>0</v>
      </c>
      <c r="DR574" s="161">
        <f t="shared" ref="DR574:DR583" si="2408">BA574</f>
        <v>0</v>
      </c>
      <c r="DS574" s="161">
        <f t="shared" ref="DS574:DS583" si="2409">BB574</f>
        <v>0</v>
      </c>
      <c r="DT574" s="161">
        <f t="shared" ref="DT574:DT583" si="2410">BC574</f>
        <v>0</v>
      </c>
      <c r="DU574" s="161">
        <f t="shared" ref="DU574:DU583" si="2411">BD574</f>
        <v>0</v>
      </c>
      <c r="DV574" s="161">
        <f t="shared" ref="DV574:DV583" si="2412">BE574</f>
        <v>0</v>
      </c>
      <c r="DW574" s="161">
        <f t="shared" ref="DW574:DW583" si="2413">BF574</f>
        <v>0</v>
      </c>
      <c r="DX574" s="161">
        <f t="shared" ref="DX574:DX583" si="2414">BG574</f>
        <v>0</v>
      </c>
      <c r="DY574" s="161">
        <f t="shared" ref="DY574:DY583" si="2415">BH574</f>
        <v>0</v>
      </c>
      <c r="DZ574" s="161">
        <f t="shared" ref="DZ574:DZ583" si="2416">BI574</f>
        <v>0</v>
      </c>
      <c r="EA574" s="161">
        <f t="shared" ref="EA574:EA583" si="2417">BJ574</f>
        <v>0</v>
      </c>
      <c r="EB574" s="161">
        <f t="shared" ref="EB574:EB583" si="2418">BK574</f>
        <v>0</v>
      </c>
      <c r="EC574" s="161">
        <f t="shared" ref="EC574:EC583" si="2419">BL574</f>
        <v>0</v>
      </c>
      <c r="ED574" s="161">
        <f t="shared" ref="ED574:ED583" si="2420">BM574</f>
        <v>0</v>
      </c>
      <c r="EE574" s="161">
        <f t="shared" ref="EE574:EE583" si="2421">BN574</f>
        <v>0</v>
      </c>
      <c r="EF574" s="161">
        <f t="shared" ref="EF574:EF583" si="2422">BO574</f>
        <v>0</v>
      </c>
      <c r="EG574" s="161">
        <f t="shared" ref="EG574:EG583" si="2423">BP574</f>
        <v>0</v>
      </c>
      <c r="EH574" s="161">
        <f t="shared" ref="EH574:EH583" si="2424">BQ574</f>
        <v>0</v>
      </c>
      <c r="EI574" s="161">
        <f t="shared" ref="EI574:EI583" si="2425">BR574</f>
        <v>0</v>
      </c>
      <c r="EJ574" s="65"/>
      <c r="EK574" s="161">
        <f t="shared" ref="EK574:EK592" si="2426">$EK$572</f>
        <v>0</v>
      </c>
      <c r="EL574" s="161">
        <f t="shared" ref="EL574:EL592" si="2427">EL573</f>
        <v>0</v>
      </c>
      <c r="EM574" s="161">
        <f t="shared" ref="EM574:EM592" si="2428">EM573</f>
        <v>0</v>
      </c>
    </row>
    <row r="575" spans="1:143" ht="12" hidden="1" customHeight="1" outlineLevel="2">
      <c r="A575" s="77">
        <v>3</v>
      </c>
      <c r="B575" s="137" t="str">
        <f t="shared" si="2356"/>
        <v>SUP.-ESP - Equipe_01</v>
      </c>
      <c r="C575" s="65"/>
      <c r="D575" s="621"/>
      <c r="E575" s="65"/>
      <c r="F575" s="603"/>
      <c r="G575" s="77" t="str">
        <f>IF(INDEX(Tarefas!$BT$30:$FK$30,MATCH(A575,Tarefas!$BT$28:$FK$28,0))=0,"",INDEX(Tarefas!$BT$30:$FK$30,MATCH(A575,Tarefas!$BT$28:$FK$28,0)))</f>
        <v>SUP.-ESP</v>
      </c>
      <c r="H575" s="107" cm="1">
        <f t="array" ref="H575">IFERROR((SUMPRODUCT((Tarefas!$N$32:$N$54='Cronog. e Histog.'!$F$573)*(Tarefas!$BQ$30:$FK$30='Cronog. e Histog.'!$G575)*(Tarefas!$BQ$32:$FK$54)))/SUMIF(Tarefas!$N$32:$N$54,'Cronog. e Histog.'!$F$573,Tarefas!$K$32:$K$54),0)</f>
        <v>0</v>
      </c>
      <c r="I575" s="79">
        <f t="shared" si="2357"/>
        <v>0</v>
      </c>
      <c r="J575" s="65"/>
      <c r="K575" s="160">
        <f t="shared" si="2358"/>
        <v>0</v>
      </c>
      <c r="L575" s="160">
        <f t="shared" si="2358"/>
        <v>0</v>
      </c>
      <c r="M575" s="160">
        <f t="shared" si="2358"/>
        <v>0</v>
      </c>
      <c r="N575" s="160">
        <f t="shared" si="2358"/>
        <v>0</v>
      </c>
      <c r="O575" s="160">
        <f t="shared" si="2358"/>
        <v>0</v>
      </c>
      <c r="P575" s="160">
        <f t="shared" si="2358"/>
        <v>0</v>
      </c>
      <c r="Q575" s="160">
        <f t="shared" si="2358"/>
        <v>0</v>
      </c>
      <c r="R575" s="160">
        <f t="shared" si="2358"/>
        <v>0</v>
      </c>
      <c r="S575" s="160">
        <f t="shared" si="2358"/>
        <v>0</v>
      </c>
      <c r="T575" s="160">
        <f t="shared" si="2358"/>
        <v>0</v>
      </c>
      <c r="U575" s="160">
        <f t="shared" si="2358"/>
        <v>0</v>
      </c>
      <c r="V575" s="160">
        <f t="shared" si="2358"/>
        <v>0</v>
      </c>
      <c r="W575" s="160">
        <f t="shared" si="2358"/>
        <v>0</v>
      </c>
      <c r="X575" s="160">
        <f t="shared" si="2358"/>
        <v>0</v>
      </c>
      <c r="Y575" s="160">
        <f t="shared" si="2358"/>
        <v>0</v>
      </c>
      <c r="Z575" s="160">
        <f t="shared" si="2358"/>
        <v>0</v>
      </c>
      <c r="AA575" s="160">
        <f t="shared" si="2359"/>
        <v>0</v>
      </c>
      <c r="AB575" s="160">
        <f t="shared" si="2359"/>
        <v>0</v>
      </c>
      <c r="AC575" s="160">
        <f t="shared" si="2359"/>
        <v>0</v>
      </c>
      <c r="AD575" s="160">
        <f t="shared" si="2359"/>
        <v>0</v>
      </c>
      <c r="AE575" s="160">
        <f t="shared" si="2359"/>
        <v>0</v>
      </c>
      <c r="AF575" s="160">
        <f t="shared" si="2359"/>
        <v>0</v>
      </c>
      <c r="AG575" s="160">
        <f t="shared" si="2359"/>
        <v>0</v>
      </c>
      <c r="AH575" s="160">
        <f t="shared" si="2359"/>
        <v>0</v>
      </c>
      <c r="AI575" s="160">
        <f t="shared" si="2359"/>
        <v>0</v>
      </c>
      <c r="AJ575" s="160">
        <f t="shared" si="2359"/>
        <v>0</v>
      </c>
      <c r="AK575" s="160">
        <f t="shared" si="2359"/>
        <v>0</v>
      </c>
      <c r="AL575" s="160">
        <f t="shared" si="2359"/>
        <v>0</v>
      </c>
      <c r="AM575" s="160">
        <f t="shared" si="2359"/>
        <v>0</v>
      </c>
      <c r="AN575" s="160">
        <f t="shared" si="2359"/>
        <v>0</v>
      </c>
      <c r="AO575" s="160">
        <f t="shared" si="2359"/>
        <v>0</v>
      </c>
      <c r="AP575" s="160">
        <f t="shared" si="2359"/>
        <v>0</v>
      </c>
      <c r="AQ575" s="160">
        <f t="shared" si="2360"/>
        <v>0</v>
      </c>
      <c r="AR575" s="160">
        <f t="shared" si="2360"/>
        <v>0</v>
      </c>
      <c r="AS575" s="160">
        <f t="shared" si="2360"/>
        <v>0</v>
      </c>
      <c r="AT575" s="160">
        <f t="shared" si="2360"/>
        <v>0</v>
      </c>
      <c r="AU575" s="160">
        <f t="shared" si="2360"/>
        <v>0</v>
      </c>
      <c r="AV575" s="160">
        <f t="shared" si="2360"/>
        <v>0</v>
      </c>
      <c r="AW575" s="160">
        <f t="shared" si="2360"/>
        <v>0</v>
      </c>
      <c r="AX575" s="160">
        <f t="shared" si="2360"/>
        <v>0</v>
      </c>
      <c r="AY575" s="160">
        <f t="shared" si="2360"/>
        <v>0</v>
      </c>
      <c r="AZ575" s="160">
        <f t="shared" si="2360"/>
        <v>0</v>
      </c>
      <c r="BA575" s="160">
        <f t="shared" si="2360"/>
        <v>0</v>
      </c>
      <c r="BB575" s="160">
        <f t="shared" si="2360"/>
        <v>0</v>
      </c>
      <c r="BC575" s="160">
        <f t="shared" si="2360"/>
        <v>0</v>
      </c>
      <c r="BD575" s="160">
        <f t="shared" si="2360"/>
        <v>0</v>
      </c>
      <c r="BE575" s="160">
        <f t="shared" si="2360"/>
        <v>0</v>
      </c>
      <c r="BF575" s="160">
        <f t="shared" si="2360"/>
        <v>0</v>
      </c>
      <c r="BG575" s="160">
        <f t="shared" si="2361"/>
        <v>0</v>
      </c>
      <c r="BH575" s="160">
        <f t="shared" si="2361"/>
        <v>0</v>
      </c>
      <c r="BI575" s="160">
        <f t="shared" si="2361"/>
        <v>0</v>
      </c>
      <c r="BJ575" s="160">
        <f t="shared" si="2361"/>
        <v>0</v>
      </c>
      <c r="BK575" s="160">
        <f t="shared" si="2361"/>
        <v>0</v>
      </c>
      <c r="BL575" s="160">
        <f t="shared" si="2361"/>
        <v>0</v>
      </c>
      <c r="BM575" s="160">
        <f t="shared" si="2361"/>
        <v>0</v>
      </c>
      <c r="BN575" s="160">
        <f t="shared" si="2361"/>
        <v>0</v>
      </c>
      <c r="BO575" s="160">
        <f t="shared" si="2361"/>
        <v>0</v>
      </c>
      <c r="BP575" s="160">
        <f t="shared" si="2361"/>
        <v>0</v>
      </c>
      <c r="BQ575" s="160">
        <f t="shared" si="2361"/>
        <v>0</v>
      </c>
      <c r="BR575" s="160">
        <f t="shared" si="2361"/>
        <v>0</v>
      </c>
      <c r="BS575" s="65"/>
      <c r="BT575" s="160">
        <f t="shared" si="2362"/>
        <v>0</v>
      </c>
      <c r="BU575" s="160">
        <f t="shared" si="2363"/>
        <v>0</v>
      </c>
      <c r="BV575" s="65"/>
      <c r="BW575" s="69"/>
      <c r="BX575" s="65"/>
      <c r="BY575" s="137">
        <f t="shared" si="2364"/>
        <v>1</v>
      </c>
      <c r="BZ575" s="137">
        <f>IF(BY575&gt;0,BY575+LARGE($BZ$213:BZ574,1),0)</f>
        <v>303</v>
      </c>
      <c r="CA575" s="137" t="str">
        <f t="shared" si="2365"/>
        <v>SUP.-ESP</v>
      </c>
      <c r="CB575" s="161">
        <f t="shared" si="2366"/>
        <v>0</v>
      </c>
      <c r="CC575" s="161">
        <f t="shared" si="2367"/>
        <v>0</v>
      </c>
      <c r="CD575" s="161">
        <f t="shared" si="2368"/>
        <v>0</v>
      </c>
      <c r="CE575" s="161">
        <f t="shared" si="2369"/>
        <v>0</v>
      </c>
      <c r="CF575" s="161">
        <f t="shared" si="2370"/>
        <v>0</v>
      </c>
      <c r="CG575" s="161">
        <f t="shared" si="2371"/>
        <v>0</v>
      </c>
      <c r="CH575" s="161">
        <f t="shared" si="2372"/>
        <v>0</v>
      </c>
      <c r="CI575" s="161">
        <f t="shared" si="2373"/>
        <v>0</v>
      </c>
      <c r="CJ575" s="161">
        <f t="shared" si="2374"/>
        <v>0</v>
      </c>
      <c r="CK575" s="161">
        <f t="shared" si="2375"/>
        <v>0</v>
      </c>
      <c r="CL575" s="161">
        <f t="shared" si="2376"/>
        <v>0</v>
      </c>
      <c r="CM575" s="161">
        <f t="shared" si="2377"/>
        <v>0</v>
      </c>
      <c r="CN575" s="161">
        <f t="shared" si="2378"/>
        <v>0</v>
      </c>
      <c r="CO575" s="161">
        <f t="shared" si="2379"/>
        <v>0</v>
      </c>
      <c r="CP575" s="161">
        <f t="shared" si="2380"/>
        <v>0</v>
      </c>
      <c r="CQ575" s="161">
        <f t="shared" si="2381"/>
        <v>0</v>
      </c>
      <c r="CR575" s="161">
        <f t="shared" si="2382"/>
        <v>0</v>
      </c>
      <c r="CS575" s="161">
        <f t="shared" si="2383"/>
        <v>0</v>
      </c>
      <c r="CT575" s="161">
        <f t="shared" si="2384"/>
        <v>0</v>
      </c>
      <c r="CU575" s="161">
        <f t="shared" si="2385"/>
        <v>0</v>
      </c>
      <c r="CV575" s="161">
        <f t="shared" si="2386"/>
        <v>0</v>
      </c>
      <c r="CW575" s="161">
        <f t="shared" si="2387"/>
        <v>0</v>
      </c>
      <c r="CX575" s="161">
        <f t="shared" si="2388"/>
        <v>0</v>
      </c>
      <c r="CY575" s="161">
        <f t="shared" si="2389"/>
        <v>0</v>
      </c>
      <c r="CZ575" s="161">
        <f t="shared" si="2390"/>
        <v>0</v>
      </c>
      <c r="DA575" s="161">
        <f t="shared" si="2391"/>
        <v>0</v>
      </c>
      <c r="DB575" s="161">
        <f t="shared" si="2392"/>
        <v>0</v>
      </c>
      <c r="DC575" s="161">
        <f t="shared" si="2393"/>
        <v>0</v>
      </c>
      <c r="DD575" s="161">
        <f t="shared" si="2394"/>
        <v>0</v>
      </c>
      <c r="DE575" s="161">
        <f t="shared" si="2395"/>
        <v>0</v>
      </c>
      <c r="DF575" s="161">
        <f t="shared" si="2396"/>
        <v>0</v>
      </c>
      <c r="DG575" s="161">
        <f t="shared" si="2397"/>
        <v>0</v>
      </c>
      <c r="DH575" s="161">
        <f t="shared" si="2398"/>
        <v>0</v>
      </c>
      <c r="DI575" s="161">
        <f t="shared" si="2399"/>
        <v>0</v>
      </c>
      <c r="DJ575" s="161">
        <f t="shared" si="2400"/>
        <v>0</v>
      </c>
      <c r="DK575" s="161">
        <f t="shared" si="2401"/>
        <v>0</v>
      </c>
      <c r="DL575" s="161">
        <f t="shared" si="2402"/>
        <v>0</v>
      </c>
      <c r="DM575" s="161">
        <f t="shared" si="2403"/>
        <v>0</v>
      </c>
      <c r="DN575" s="161">
        <f t="shared" si="2404"/>
        <v>0</v>
      </c>
      <c r="DO575" s="161">
        <f t="shared" si="2405"/>
        <v>0</v>
      </c>
      <c r="DP575" s="161">
        <f t="shared" si="2406"/>
        <v>0</v>
      </c>
      <c r="DQ575" s="161">
        <f t="shared" si="2407"/>
        <v>0</v>
      </c>
      <c r="DR575" s="161">
        <f t="shared" si="2408"/>
        <v>0</v>
      </c>
      <c r="DS575" s="161">
        <f t="shared" si="2409"/>
        <v>0</v>
      </c>
      <c r="DT575" s="161">
        <f t="shared" si="2410"/>
        <v>0</v>
      </c>
      <c r="DU575" s="161">
        <f t="shared" si="2411"/>
        <v>0</v>
      </c>
      <c r="DV575" s="161">
        <f t="shared" si="2412"/>
        <v>0</v>
      </c>
      <c r="DW575" s="161">
        <f t="shared" si="2413"/>
        <v>0</v>
      </c>
      <c r="DX575" s="161">
        <f t="shared" si="2414"/>
        <v>0</v>
      </c>
      <c r="DY575" s="161">
        <f t="shared" si="2415"/>
        <v>0</v>
      </c>
      <c r="DZ575" s="161">
        <f t="shared" si="2416"/>
        <v>0</v>
      </c>
      <c r="EA575" s="161">
        <f t="shared" si="2417"/>
        <v>0</v>
      </c>
      <c r="EB575" s="161">
        <f t="shared" si="2418"/>
        <v>0</v>
      </c>
      <c r="EC575" s="161">
        <f t="shared" si="2419"/>
        <v>0</v>
      </c>
      <c r="ED575" s="161">
        <f t="shared" si="2420"/>
        <v>0</v>
      </c>
      <c r="EE575" s="161">
        <f t="shared" si="2421"/>
        <v>0</v>
      </c>
      <c r="EF575" s="161">
        <f t="shared" si="2422"/>
        <v>0</v>
      </c>
      <c r="EG575" s="161">
        <f t="shared" si="2423"/>
        <v>0</v>
      </c>
      <c r="EH575" s="161">
        <f t="shared" si="2424"/>
        <v>0</v>
      </c>
      <c r="EI575" s="161">
        <f t="shared" si="2425"/>
        <v>0</v>
      </c>
      <c r="EJ575" s="65"/>
      <c r="EK575" s="161">
        <f t="shared" si="2426"/>
        <v>0</v>
      </c>
      <c r="EL575" s="161">
        <f t="shared" si="2427"/>
        <v>0</v>
      </c>
      <c r="EM575" s="161">
        <f t="shared" si="2428"/>
        <v>0</v>
      </c>
    </row>
    <row r="576" spans="1:143" ht="12" hidden="1" customHeight="1" outlineLevel="2">
      <c r="A576" s="77">
        <v>4</v>
      </c>
      <c r="B576" s="137" t="str">
        <f t="shared" si="2356"/>
        <v>ENG/ARQ SR. - Equipe_01</v>
      </c>
      <c r="C576" s="65"/>
      <c r="D576" s="621"/>
      <c r="E576" s="65"/>
      <c r="F576" s="603"/>
      <c r="G576" s="77" t="str">
        <f>IF(INDEX(Tarefas!$BT$30:$FK$30,MATCH(A576,Tarefas!$BT$28:$FK$28,0))=0,"",INDEX(Tarefas!$BT$30:$FK$30,MATCH(A576,Tarefas!$BT$28:$FK$28,0)))</f>
        <v>ENG/ARQ SR.</v>
      </c>
      <c r="H576" s="107" cm="1">
        <f t="array" ref="H576">IFERROR((SUMPRODUCT((Tarefas!$N$32:$N$54='Cronog. e Histog.'!$F$573)*(Tarefas!$BQ$30:$FK$30='Cronog. e Histog.'!$G576)*(Tarefas!$BQ$32:$FK$54)))/SUMIF(Tarefas!$N$32:$N$54,'Cronog. e Histog.'!$F$573,Tarefas!$K$32:$K$54),0)</f>
        <v>0</v>
      </c>
      <c r="I576" s="79">
        <f t="shared" si="2357"/>
        <v>0</v>
      </c>
      <c r="J576" s="65"/>
      <c r="K576" s="160">
        <f t="shared" si="2358"/>
        <v>0</v>
      </c>
      <c r="L576" s="160">
        <f t="shared" si="2358"/>
        <v>0</v>
      </c>
      <c r="M576" s="160">
        <f t="shared" si="2358"/>
        <v>0</v>
      </c>
      <c r="N576" s="160">
        <f t="shared" si="2358"/>
        <v>0</v>
      </c>
      <c r="O576" s="160">
        <f t="shared" si="2358"/>
        <v>0</v>
      </c>
      <c r="P576" s="160">
        <f t="shared" si="2358"/>
        <v>0</v>
      </c>
      <c r="Q576" s="160">
        <f t="shared" si="2358"/>
        <v>0</v>
      </c>
      <c r="R576" s="160">
        <f t="shared" si="2358"/>
        <v>0</v>
      </c>
      <c r="S576" s="160">
        <f t="shared" si="2358"/>
        <v>0</v>
      </c>
      <c r="T576" s="160">
        <f t="shared" si="2358"/>
        <v>0</v>
      </c>
      <c r="U576" s="160">
        <f t="shared" si="2358"/>
        <v>0</v>
      </c>
      <c r="V576" s="160">
        <f t="shared" si="2358"/>
        <v>0</v>
      </c>
      <c r="W576" s="160">
        <f t="shared" si="2358"/>
        <v>0</v>
      </c>
      <c r="X576" s="160">
        <f t="shared" si="2358"/>
        <v>0</v>
      </c>
      <c r="Y576" s="160">
        <f t="shared" si="2358"/>
        <v>0</v>
      </c>
      <c r="Z576" s="160">
        <f t="shared" si="2358"/>
        <v>0</v>
      </c>
      <c r="AA576" s="160">
        <f t="shared" si="2359"/>
        <v>0</v>
      </c>
      <c r="AB576" s="160">
        <f t="shared" si="2359"/>
        <v>0</v>
      </c>
      <c r="AC576" s="160">
        <f t="shared" si="2359"/>
        <v>0</v>
      </c>
      <c r="AD576" s="160">
        <f t="shared" si="2359"/>
        <v>0</v>
      </c>
      <c r="AE576" s="160">
        <f t="shared" si="2359"/>
        <v>0</v>
      </c>
      <c r="AF576" s="160">
        <f t="shared" si="2359"/>
        <v>0</v>
      </c>
      <c r="AG576" s="160">
        <f t="shared" si="2359"/>
        <v>0</v>
      </c>
      <c r="AH576" s="160">
        <f t="shared" si="2359"/>
        <v>0</v>
      </c>
      <c r="AI576" s="160">
        <f t="shared" si="2359"/>
        <v>0</v>
      </c>
      <c r="AJ576" s="160">
        <f t="shared" si="2359"/>
        <v>0</v>
      </c>
      <c r="AK576" s="160">
        <f t="shared" si="2359"/>
        <v>0</v>
      </c>
      <c r="AL576" s="160">
        <f t="shared" si="2359"/>
        <v>0</v>
      </c>
      <c r="AM576" s="160">
        <f t="shared" si="2359"/>
        <v>0</v>
      </c>
      <c r="AN576" s="160">
        <f t="shared" si="2359"/>
        <v>0</v>
      </c>
      <c r="AO576" s="160">
        <f t="shared" si="2359"/>
        <v>0</v>
      </c>
      <c r="AP576" s="160">
        <f t="shared" si="2359"/>
        <v>0</v>
      </c>
      <c r="AQ576" s="160">
        <f t="shared" si="2360"/>
        <v>0</v>
      </c>
      <c r="AR576" s="160">
        <f t="shared" si="2360"/>
        <v>0</v>
      </c>
      <c r="AS576" s="160">
        <f t="shared" si="2360"/>
        <v>0</v>
      </c>
      <c r="AT576" s="160">
        <f t="shared" si="2360"/>
        <v>0</v>
      </c>
      <c r="AU576" s="160">
        <f t="shared" si="2360"/>
        <v>0</v>
      </c>
      <c r="AV576" s="160">
        <f t="shared" si="2360"/>
        <v>0</v>
      </c>
      <c r="AW576" s="160">
        <f t="shared" si="2360"/>
        <v>0</v>
      </c>
      <c r="AX576" s="160">
        <f t="shared" si="2360"/>
        <v>0</v>
      </c>
      <c r="AY576" s="160">
        <f t="shared" si="2360"/>
        <v>0</v>
      </c>
      <c r="AZ576" s="160">
        <f t="shared" si="2360"/>
        <v>0</v>
      </c>
      <c r="BA576" s="160">
        <f t="shared" si="2360"/>
        <v>0</v>
      </c>
      <c r="BB576" s="160">
        <f t="shared" si="2360"/>
        <v>0</v>
      </c>
      <c r="BC576" s="160">
        <f t="shared" si="2360"/>
        <v>0</v>
      </c>
      <c r="BD576" s="160">
        <f t="shared" si="2360"/>
        <v>0</v>
      </c>
      <c r="BE576" s="160">
        <f t="shared" si="2360"/>
        <v>0</v>
      </c>
      <c r="BF576" s="160">
        <f t="shared" si="2360"/>
        <v>0</v>
      </c>
      <c r="BG576" s="160">
        <f t="shared" si="2361"/>
        <v>0</v>
      </c>
      <c r="BH576" s="160">
        <f t="shared" si="2361"/>
        <v>0</v>
      </c>
      <c r="BI576" s="160">
        <f t="shared" si="2361"/>
        <v>0</v>
      </c>
      <c r="BJ576" s="160">
        <f t="shared" si="2361"/>
        <v>0</v>
      </c>
      <c r="BK576" s="160">
        <f t="shared" si="2361"/>
        <v>0</v>
      </c>
      <c r="BL576" s="160">
        <f t="shared" si="2361"/>
        <v>0</v>
      </c>
      <c r="BM576" s="160">
        <f t="shared" si="2361"/>
        <v>0</v>
      </c>
      <c r="BN576" s="160">
        <f t="shared" si="2361"/>
        <v>0</v>
      </c>
      <c r="BO576" s="160">
        <f t="shared" si="2361"/>
        <v>0</v>
      </c>
      <c r="BP576" s="160">
        <f t="shared" si="2361"/>
        <v>0</v>
      </c>
      <c r="BQ576" s="160">
        <f t="shared" si="2361"/>
        <v>0</v>
      </c>
      <c r="BR576" s="160">
        <f t="shared" si="2361"/>
        <v>0</v>
      </c>
      <c r="BS576" s="65"/>
      <c r="BT576" s="160">
        <f t="shared" si="2362"/>
        <v>0</v>
      </c>
      <c r="BU576" s="160">
        <f t="shared" si="2363"/>
        <v>0</v>
      </c>
      <c r="BV576" s="65"/>
      <c r="BW576" s="69"/>
      <c r="BX576" s="65"/>
      <c r="BY576" s="137">
        <f t="shared" si="2364"/>
        <v>1</v>
      </c>
      <c r="BZ576" s="137">
        <f>IF(BY576&gt;0,BY576+LARGE($BZ$213:BZ575,1),0)</f>
        <v>304</v>
      </c>
      <c r="CA576" s="137" t="str">
        <f t="shared" si="2365"/>
        <v>ENG/ARQ SR.</v>
      </c>
      <c r="CB576" s="161">
        <f t="shared" si="2366"/>
        <v>0</v>
      </c>
      <c r="CC576" s="161">
        <f t="shared" si="2367"/>
        <v>0</v>
      </c>
      <c r="CD576" s="161">
        <f t="shared" si="2368"/>
        <v>0</v>
      </c>
      <c r="CE576" s="161">
        <f t="shared" si="2369"/>
        <v>0</v>
      </c>
      <c r="CF576" s="161">
        <f t="shared" si="2370"/>
        <v>0</v>
      </c>
      <c r="CG576" s="161">
        <f t="shared" si="2371"/>
        <v>0</v>
      </c>
      <c r="CH576" s="161">
        <f t="shared" si="2372"/>
        <v>0</v>
      </c>
      <c r="CI576" s="161">
        <f t="shared" si="2373"/>
        <v>0</v>
      </c>
      <c r="CJ576" s="161">
        <f t="shared" si="2374"/>
        <v>0</v>
      </c>
      <c r="CK576" s="161">
        <f t="shared" si="2375"/>
        <v>0</v>
      </c>
      <c r="CL576" s="161">
        <f t="shared" si="2376"/>
        <v>0</v>
      </c>
      <c r="CM576" s="161">
        <f t="shared" si="2377"/>
        <v>0</v>
      </c>
      <c r="CN576" s="161">
        <f t="shared" si="2378"/>
        <v>0</v>
      </c>
      <c r="CO576" s="161">
        <f t="shared" si="2379"/>
        <v>0</v>
      </c>
      <c r="CP576" s="161">
        <f t="shared" si="2380"/>
        <v>0</v>
      </c>
      <c r="CQ576" s="161">
        <f t="shared" si="2381"/>
        <v>0</v>
      </c>
      <c r="CR576" s="161">
        <f t="shared" si="2382"/>
        <v>0</v>
      </c>
      <c r="CS576" s="161">
        <f t="shared" si="2383"/>
        <v>0</v>
      </c>
      <c r="CT576" s="161">
        <f t="shared" si="2384"/>
        <v>0</v>
      </c>
      <c r="CU576" s="161">
        <f t="shared" si="2385"/>
        <v>0</v>
      </c>
      <c r="CV576" s="161">
        <f t="shared" si="2386"/>
        <v>0</v>
      </c>
      <c r="CW576" s="161">
        <f t="shared" si="2387"/>
        <v>0</v>
      </c>
      <c r="CX576" s="161">
        <f t="shared" si="2388"/>
        <v>0</v>
      </c>
      <c r="CY576" s="161">
        <f t="shared" si="2389"/>
        <v>0</v>
      </c>
      <c r="CZ576" s="161">
        <f t="shared" si="2390"/>
        <v>0</v>
      </c>
      <c r="DA576" s="161">
        <f t="shared" si="2391"/>
        <v>0</v>
      </c>
      <c r="DB576" s="161">
        <f t="shared" si="2392"/>
        <v>0</v>
      </c>
      <c r="DC576" s="161">
        <f t="shared" si="2393"/>
        <v>0</v>
      </c>
      <c r="DD576" s="161">
        <f t="shared" si="2394"/>
        <v>0</v>
      </c>
      <c r="DE576" s="161">
        <f t="shared" si="2395"/>
        <v>0</v>
      </c>
      <c r="DF576" s="161">
        <f t="shared" si="2396"/>
        <v>0</v>
      </c>
      <c r="DG576" s="161">
        <f t="shared" si="2397"/>
        <v>0</v>
      </c>
      <c r="DH576" s="161">
        <f t="shared" si="2398"/>
        <v>0</v>
      </c>
      <c r="DI576" s="161">
        <f t="shared" si="2399"/>
        <v>0</v>
      </c>
      <c r="DJ576" s="161">
        <f t="shared" si="2400"/>
        <v>0</v>
      </c>
      <c r="DK576" s="161">
        <f t="shared" si="2401"/>
        <v>0</v>
      </c>
      <c r="DL576" s="161">
        <f t="shared" si="2402"/>
        <v>0</v>
      </c>
      <c r="DM576" s="161">
        <f t="shared" si="2403"/>
        <v>0</v>
      </c>
      <c r="DN576" s="161">
        <f t="shared" si="2404"/>
        <v>0</v>
      </c>
      <c r="DO576" s="161">
        <f t="shared" si="2405"/>
        <v>0</v>
      </c>
      <c r="DP576" s="161">
        <f t="shared" si="2406"/>
        <v>0</v>
      </c>
      <c r="DQ576" s="161">
        <f t="shared" si="2407"/>
        <v>0</v>
      </c>
      <c r="DR576" s="161">
        <f t="shared" si="2408"/>
        <v>0</v>
      </c>
      <c r="DS576" s="161">
        <f t="shared" si="2409"/>
        <v>0</v>
      </c>
      <c r="DT576" s="161">
        <f t="shared" si="2410"/>
        <v>0</v>
      </c>
      <c r="DU576" s="161">
        <f t="shared" si="2411"/>
        <v>0</v>
      </c>
      <c r="DV576" s="161">
        <f t="shared" si="2412"/>
        <v>0</v>
      </c>
      <c r="DW576" s="161">
        <f t="shared" si="2413"/>
        <v>0</v>
      </c>
      <c r="DX576" s="161">
        <f t="shared" si="2414"/>
        <v>0</v>
      </c>
      <c r="DY576" s="161">
        <f t="shared" si="2415"/>
        <v>0</v>
      </c>
      <c r="DZ576" s="161">
        <f t="shared" si="2416"/>
        <v>0</v>
      </c>
      <c r="EA576" s="161">
        <f t="shared" si="2417"/>
        <v>0</v>
      </c>
      <c r="EB576" s="161">
        <f t="shared" si="2418"/>
        <v>0</v>
      </c>
      <c r="EC576" s="161">
        <f t="shared" si="2419"/>
        <v>0</v>
      </c>
      <c r="ED576" s="161">
        <f t="shared" si="2420"/>
        <v>0</v>
      </c>
      <c r="EE576" s="161">
        <f t="shared" si="2421"/>
        <v>0</v>
      </c>
      <c r="EF576" s="161">
        <f t="shared" si="2422"/>
        <v>0</v>
      </c>
      <c r="EG576" s="161">
        <f t="shared" si="2423"/>
        <v>0</v>
      </c>
      <c r="EH576" s="161">
        <f t="shared" si="2424"/>
        <v>0</v>
      </c>
      <c r="EI576" s="161">
        <f t="shared" si="2425"/>
        <v>0</v>
      </c>
      <c r="EJ576" s="65"/>
      <c r="EK576" s="161">
        <f t="shared" si="2426"/>
        <v>0</v>
      </c>
      <c r="EL576" s="161">
        <f t="shared" si="2427"/>
        <v>0</v>
      </c>
      <c r="EM576" s="161">
        <f t="shared" si="2428"/>
        <v>0</v>
      </c>
    </row>
    <row r="577" spans="1:143" ht="12" hidden="1" customHeight="1" outlineLevel="2">
      <c r="A577" s="77">
        <v>5</v>
      </c>
      <c r="B577" s="137" t="str">
        <f t="shared" si="2356"/>
        <v>ENG/ARQ PL. - Equipe_01</v>
      </c>
      <c r="C577" s="65"/>
      <c r="D577" s="621"/>
      <c r="E577" s="65"/>
      <c r="F577" s="603"/>
      <c r="G577" s="77" t="str">
        <f>IF(INDEX(Tarefas!$BT$30:$FK$30,MATCH(A577,Tarefas!$BT$28:$FK$28,0))=0,"",INDEX(Tarefas!$BT$30:$FK$30,MATCH(A577,Tarefas!$BT$28:$FK$28,0)))</f>
        <v>ENG/ARQ PL.</v>
      </c>
      <c r="H577" s="107" cm="1">
        <f t="array" ref="H577">IFERROR((SUMPRODUCT((Tarefas!$N$32:$N$54='Cronog. e Histog.'!$F$573)*(Tarefas!$BQ$30:$FK$30='Cronog. e Histog.'!$G577)*(Tarefas!$BQ$32:$FK$54)))/SUMIF(Tarefas!$N$32:$N$54,'Cronog. e Histog.'!$F$573,Tarefas!$K$32:$K$54),0)</f>
        <v>0</v>
      </c>
      <c r="I577" s="79">
        <f t="shared" si="2357"/>
        <v>0</v>
      </c>
      <c r="J577" s="65"/>
      <c r="K577" s="160">
        <f t="shared" si="2358"/>
        <v>0</v>
      </c>
      <c r="L577" s="160">
        <f t="shared" si="2358"/>
        <v>0</v>
      </c>
      <c r="M577" s="160">
        <f t="shared" si="2358"/>
        <v>0</v>
      </c>
      <c r="N577" s="160">
        <f t="shared" si="2358"/>
        <v>0</v>
      </c>
      <c r="O577" s="160">
        <f t="shared" si="2358"/>
        <v>0</v>
      </c>
      <c r="P577" s="160">
        <f t="shared" si="2358"/>
        <v>0</v>
      </c>
      <c r="Q577" s="160">
        <f t="shared" si="2358"/>
        <v>0</v>
      </c>
      <c r="R577" s="160">
        <f t="shared" si="2358"/>
        <v>0</v>
      </c>
      <c r="S577" s="160">
        <f t="shared" si="2358"/>
        <v>0</v>
      </c>
      <c r="T577" s="160">
        <f t="shared" si="2358"/>
        <v>0</v>
      </c>
      <c r="U577" s="160">
        <f t="shared" si="2358"/>
        <v>0</v>
      </c>
      <c r="V577" s="160">
        <f t="shared" si="2358"/>
        <v>0</v>
      </c>
      <c r="W577" s="160">
        <f t="shared" si="2358"/>
        <v>0</v>
      </c>
      <c r="X577" s="160">
        <f t="shared" si="2358"/>
        <v>0</v>
      </c>
      <c r="Y577" s="160">
        <f t="shared" si="2358"/>
        <v>0</v>
      </c>
      <c r="Z577" s="160">
        <f t="shared" si="2358"/>
        <v>0</v>
      </c>
      <c r="AA577" s="160">
        <f t="shared" si="2359"/>
        <v>0</v>
      </c>
      <c r="AB577" s="160">
        <f t="shared" si="2359"/>
        <v>0</v>
      </c>
      <c r="AC577" s="160">
        <f t="shared" si="2359"/>
        <v>0</v>
      </c>
      <c r="AD577" s="160">
        <f t="shared" si="2359"/>
        <v>0</v>
      </c>
      <c r="AE577" s="160">
        <f t="shared" si="2359"/>
        <v>0</v>
      </c>
      <c r="AF577" s="160">
        <f t="shared" si="2359"/>
        <v>0</v>
      </c>
      <c r="AG577" s="160">
        <f t="shared" si="2359"/>
        <v>0</v>
      </c>
      <c r="AH577" s="160">
        <f t="shared" si="2359"/>
        <v>0</v>
      </c>
      <c r="AI577" s="160">
        <f t="shared" si="2359"/>
        <v>0</v>
      </c>
      <c r="AJ577" s="160">
        <f t="shared" si="2359"/>
        <v>0</v>
      </c>
      <c r="AK577" s="160">
        <f t="shared" si="2359"/>
        <v>0</v>
      </c>
      <c r="AL577" s="160">
        <f t="shared" si="2359"/>
        <v>0</v>
      </c>
      <c r="AM577" s="160">
        <f t="shared" si="2359"/>
        <v>0</v>
      </c>
      <c r="AN577" s="160">
        <f t="shared" si="2359"/>
        <v>0</v>
      </c>
      <c r="AO577" s="160">
        <f t="shared" si="2359"/>
        <v>0</v>
      </c>
      <c r="AP577" s="160">
        <f t="shared" si="2359"/>
        <v>0</v>
      </c>
      <c r="AQ577" s="160">
        <f t="shared" si="2360"/>
        <v>0</v>
      </c>
      <c r="AR577" s="160">
        <f t="shared" si="2360"/>
        <v>0</v>
      </c>
      <c r="AS577" s="160">
        <f t="shared" si="2360"/>
        <v>0</v>
      </c>
      <c r="AT577" s="160">
        <f t="shared" si="2360"/>
        <v>0</v>
      </c>
      <c r="AU577" s="160">
        <f t="shared" si="2360"/>
        <v>0</v>
      </c>
      <c r="AV577" s="160">
        <f t="shared" si="2360"/>
        <v>0</v>
      </c>
      <c r="AW577" s="160">
        <f t="shared" si="2360"/>
        <v>0</v>
      </c>
      <c r="AX577" s="160">
        <f t="shared" si="2360"/>
        <v>0</v>
      </c>
      <c r="AY577" s="160">
        <f t="shared" si="2360"/>
        <v>0</v>
      </c>
      <c r="AZ577" s="160">
        <f t="shared" si="2360"/>
        <v>0</v>
      </c>
      <c r="BA577" s="160">
        <f t="shared" si="2360"/>
        <v>0</v>
      </c>
      <c r="BB577" s="160">
        <f t="shared" si="2360"/>
        <v>0</v>
      </c>
      <c r="BC577" s="160">
        <f t="shared" si="2360"/>
        <v>0</v>
      </c>
      <c r="BD577" s="160">
        <f t="shared" si="2360"/>
        <v>0</v>
      </c>
      <c r="BE577" s="160">
        <f t="shared" si="2360"/>
        <v>0</v>
      </c>
      <c r="BF577" s="160">
        <f t="shared" si="2360"/>
        <v>0</v>
      </c>
      <c r="BG577" s="160">
        <f t="shared" si="2361"/>
        <v>0</v>
      </c>
      <c r="BH577" s="160">
        <f t="shared" si="2361"/>
        <v>0</v>
      </c>
      <c r="BI577" s="160">
        <f t="shared" si="2361"/>
        <v>0</v>
      </c>
      <c r="BJ577" s="160">
        <f t="shared" si="2361"/>
        <v>0</v>
      </c>
      <c r="BK577" s="160">
        <f t="shared" si="2361"/>
        <v>0</v>
      </c>
      <c r="BL577" s="160">
        <f t="shared" si="2361"/>
        <v>0</v>
      </c>
      <c r="BM577" s="160">
        <f t="shared" si="2361"/>
        <v>0</v>
      </c>
      <c r="BN577" s="160">
        <f t="shared" si="2361"/>
        <v>0</v>
      </c>
      <c r="BO577" s="160">
        <f t="shared" si="2361"/>
        <v>0</v>
      </c>
      <c r="BP577" s="160">
        <f t="shared" si="2361"/>
        <v>0</v>
      </c>
      <c r="BQ577" s="160">
        <f t="shared" si="2361"/>
        <v>0</v>
      </c>
      <c r="BR577" s="160">
        <f t="shared" si="2361"/>
        <v>0</v>
      </c>
      <c r="BS577" s="65"/>
      <c r="BT577" s="160">
        <f t="shared" si="2362"/>
        <v>0</v>
      </c>
      <c r="BU577" s="160">
        <f t="shared" si="2363"/>
        <v>0</v>
      </c>
      <c r="BV577" s="65"/>
      <c r="BW577" s="69"/>
      <c r="BX577" s="65"/>
      <c r="BY577" s="137">
        <f t="shared" si="2364"/>
        <v>1</v>
      </c>
      <c r="BZ577" s="137">
        <f>IF(BY577&gt;0,BY577+LARGE($BZ$213:BZ576,1),0)</f>
        <v>305</v>
      </c>
      <c r="CA577" s="137" t="str">
        <f t="shared" si="2365"/>
        <v>ENG/ARQ PL.</v>
      </c>
      <c r="CB577" s="161">
        <f t="shared" si="2366"/>
        <v>0</v>
      </c>
      <c r="CC577" s="161">
        <f t="shared" si="2367"/>
        <v>0</v>
      </c>
      <c r="CD577" s="161">
        <f t="shared" si="2368"/>
        <v>0</v>
      </c>
      <c r="CE577" s="161">
        <f t="shared" si="2369"/>
        <v>0</v>
      </c>
      <c r="CF577" s="161">
        <f t="shared" si="2370"/>
        <v>0</v>
      </c>
      <c r="CG577" s="161">
        <f t="shared" si="2371"/>
        <v>0</v>
      </c>
      <c r="CH577" s="161">
        <f t="shared" si="2372"/>
        <v>0</v>
      </c>
      <c r="CI577" s="161">
        <f t="shared" si="2373"/>
        <v>0</v>
      </c>
      <c r="CJ577" s="161">
        <f t="shared" si="2374"/>
        <v>0</v>
      </c>
      <c r="CK577" s="161">
        <f t="shared" si="2375"/>
        <v>0</v>
      </c>
      <c r="CL577" s="161">
        <f t="shared" si="2376"/>
        <v>0</v>
      </c>
      <c r="CM577" s="161">
        <f t="shared" si="2377"/>
        <v>0</v>
      </c>
      <c r="CN577" s="161">
        <f t="shared" si="2378"/>
        <v>0</v>
      </c>
      <c r="CO577" s="161">
        <f t="shared" si="2379"/>
        <v>0</v>
      </c>
      <c r="CP577" s="161">
        <f t="shared" si="2380"/>
        <v>0</v>
      </c>
      <c r="CQ577" s="161">
        <f t="shared" si="2381"/>
        <v>0</v>
      </c>
      <c r="CR577" s="161">
        <f t="shared" si="2382"/>
        <v>0</v>
      </c>
      <c r="CS577" s="161">
        <f t="shared" si="2383"/>
        <v>0</v>
      </c>
      <c r="CT577" s="161">
        <f t="shared" si="2384"/>
        <v>0</v>
      </c>
      <c r="CU577" s="161">
        <f t="shared" si="2385"/>
        <v>0</v>
      </c>
      <c r="CV577" s="161">
        <f t="shared" si="2386"/>
        <v>0</v>
      </c>
      <c r="CW577" s="161">
        <f t="shared" si="2387"/>
        <v>0</v>
      </c>
      <c r="CX577" s="161">
        <f t="shared" si="2388"/>
        <v>0</v>
      </c>
      <c r="CY577" s="161">
        <f t="shared" si="2389"/>
        <v>0</v>
      </c>
      <c r="CZ577" s="161">
        <f t="shared" si="2390"/>
        <v>0</v>
      </c>
      <c r="DA577" s="161">
        <f t="shared" si="2391"/>
        <v>0</v>
      </c>
      <c r="DB577" s="161">
        <f t="shared" si="2392"/>
        <v>0</v>
      </c>
      <c r="DC577" s="161">
        <f t="shared" si="2393"/>
        <v>0</v>
      </c>
      <c r="DD577" s="161">
        <f t="shared" si="2394"/>
        <v>0</v>
      </c>
      <c r="DE577" s="161">
        <f t="shared" si="2395"/>
        <v>0</v>
      </c>
      <c r="DF577" s="161">
        <f t="shared" si="2396"/>
        <v>0</v>
      </c>
      <c r="DG577" s="161">
        <f t="shared" si="2397"/>
        <v>0</v>
      </c>
      <c r="DH577" s="161">
        <f t="shared" si="2398"/>
        <v>0</v>
      </c>
      <c r="DI577" s="161">
        <f t="shared" si="2399"/>
        <v>0</v>
      </c>
      <c r="DJ577" s="161">
        <f t="shared" si="2400"/>
        <v>0</v>
      </c>
      <c r="DK577" s="161">
        <f t="shared" si="2401"/>
        <v>0</v>
      </c>
      <c r="DL577" s="161">
        <f t="shared" si="2402"/>
        <v>0</v>
      </c>
      <c r="DM577" s="161">
        <f t="shared" si="2403"/>
        <v>0</v>
      </c>
      <c r="DN577" s="161">
        <f t="shared" si="2404"/>
        <v>0</v>
      </c>
      <c r="DO577" s="161">
        <f t="shared" si="2405"/>
        <v>0</v>
      </c>
      <c r="DP577" s="161">
        <f t="shared" si="2406"/>
        <v>0</v>
      </c>
      <c r="DQ577" s="161">
        <f t="shared" si="2407"/>
        <v>0</v>
      </c>
      <c r="DR577" s="161">
        <f t="shared" si="2408"/>
        <v>0</v>
      </c>
      <c r="DS577" s="161">
        <f t="shared" si="2409"/>
        <v>0</v>
      </c>
      <c r="DT577" s="161">
        <f t="shared" si="2410"/>
        <v>0</v>
      </c>
      <c r="DU577" s="161">
        <f t="shared" si="2411"/>
        <v>0</v>
      </c>
      <c r="DV577" s="161">
        <f t="shared" si="2412"/>
        <v>0</v>
      </c>
      <c r="DW577" s="161">
        <f t="shared" si="2413"/>
        <v>0</v>
      </c>
      <c r="DX577" s="161">
        <f t="shared" si="2414"/>
        <v>0</v>
      </c>
      <c r="DY577" s="161">
        <f t="shared" si="2415"/>
        <v>0</v>
      </c>
      <c r="DZ577" s="161">
        <f t="shared" si="2416"/>
        <v>0</v>
      </c>
      <c r="EA577" s="161">
        <f t="shared" si="2417"/>
        <v>0</v>
      </c>
      <c r="EB577" s="161">
        <f t="shared" si="2418"/>
        <v>0</v>
      </c>
      <c r="EC577" s="161">
        <f t="shared" si="2419"/>
        <v>0</v>
      </c>
      <c r="ED577" s="161">
        <f t="shared" si="2420"/>
        <v>0</v>
      </c>
      <c r="EE577" s="161">
        <f t="shared" si="2421"/>
        <v>0</v>
      </c>
      <c r="EF577" s="161">
        <f t="shared" si="2422"/>
        <v>0</v>
      </c>
      <c r="EG577" s="161">
        <f t="shared" si="2423"/>
        <v>0</v>
      </c>
      <c r="EH577" s="161">
        <f t="shared" si="2424"/>
        <v>0</v>
      </c>
      <c r="EI577" s="161">
        <f t="shared" si="2425"/>
        <v>0</v>
      </c>
      <c r="EJ577" s="65"/>
      <c r="EK577" s="161">
        <f t="shared" si="2426"/>
        <v>0</v>
      </c>
      <c r="EL577" s="161">
        <f t="shared" si="2427"/>
        <v>0</v>
      </c>
      <c r="EM577" s="161">
        <f t="shared" si="2428"/>
        <v>0</v>
      </c>
    </row>
    <row r="578" spans="1:143" ht="12" hidden="1" customHeight="1" outlineLevel="2">
      <c r="A578" s="77">
        <v>6</v>
      </c>
      <c r="B578" s="137" t="str">
        <f t="shared" si="2356"/>
        <v>ENG/ARQ JR. - Equipe_01</v>
      </c>
      <c r="C578" s="65"/>
      <c r="D578" s="621"/>
      <c r="E578" s="65"/>
      <c r="F578" s="603"/>
      <c r="G578" s="77" t="str">
        <f>IF(INDEX(Tarefas!$BT$30:$FK$30,MATCH(A578,Tarefas!$BT$28:$FK$28,0))=0,"",INDEX(Tarefas!$BT$30:$FK$30,MATCH(A578,Tarefas!$BT$28:$FK$28,0)))</f>
        <v>ENG/ARQ JR.</v>
      </c>
      <c r="H578" s="107" cm="1">
        <f t="array" ref="H578">IFERROR((SUMPRODUCT((Tarefas!$N$32:$N$54='Cronog. e Histog.'!$F$573)*(Tarefas!$BQ$30:$FK$30='Cronog. e Histog.'!$G578)*(Tarefas!$BQ$32:$FK$54)))/SUMIF(Tarefas!$N$32:$N$54,'Cronog. e Histog.'!$F$573,Tarefas!$K$32:$K$54),0)</f>
        <v>0</v>
      </c>
      <c r="I578" s="79">
        <f t="shared" si="2357"/>
        <v>0</v>
      </c>
      <c r="J578" s="65"/>
      <c r="K578" s="160">
        <f t="shared" si="2358"/>
        <v>0</v>
      </c>
      <c r="L578" s="160">
        <f t="shared" si="2358"/>
        <v>0</v>
      </c>
      <c r="M578" s="160">
        <f t="shared" si="2358"/>
        <v>0</v>
      </c>
      <c r="N578" s="160">
        <f t="shared" si="2358"/>
        <v>0</v>
      </c>
      <c r="O578" s="160">
        <f t="shared" si="2358"/>
        <v>0</v>
      </c>
      <c r="P578" s="160">
        <f t="shared" si="2358"/>
        <v>0</v>
      </c>
      <c r="Q578" s="160">
        <f t="shared" si="2358"/>
        <v>0</v>
      </c>
      <c r="R578" s="160">
        <f t="shared" si="2358"/>
        <v>0</v>
      </c>
      <c r="S578" s="160">
        <f t="shared" si="2358"/>
        <v>0</v>
      </c>
      <c r="T578" s="160">
        <f t="shared" si="2358"/>
        <v>0</v>
      </c>
      <c r="U578" s="160">
        <f t="shared" si="2358"/>
        <v>0</v>
      </c>
      <c r="V578" s="160">
        <f t="shared" si="2358"/>
        <v>0</v>
      </c>
      <c r="W578" s="160">
        <f t="shared" si="2358"/>
        <v>0</v>
      </c>
      <c r="X578" s="160">
        <f t="shared" si="2358"/>
        <v>0</v>
      </c>
      <c r="Y578" s="160">
        <f t="shared" si="2358"/>
        <v>0</v>
      </c>
      <c r="Z578" s="160">
        <f t="shared" si="2358"/>
        <v>0</v>
      </c>
      <c r="AA578" s="160">
        <f t="shared" si="2359"/>
        <v>0</v>
      </c>
      <c r="AB578" s="160">
        <f t="shared" si="2359"/>
        <v>0</v>
      </c>
      <c r="AC578" s="160">
        <f t="shared" si="2359"/>
        <v>0</v>
      </c>
      <c r="AD578" s="160">
        <f t="shared" si="2359"/>
        <v>0</v>
      </c>
      <c r="AE578" s="160">
        <f t="shared" si="2359"/>
        <v>0</v>
      </c>
      <c r="AF578" s="160">
        <f t="shared" si="2359"/>
        <v>0</v>
      </c>
      <c r="AG578" s="160">
        <f t="shared" si="2359"/>
        <v>0</v>
      </c>
      <c r="AH578" s="160">
        <f t="shared" si="2359"/>
        <v>0</v>
      </c>
      <c r="AI578" s="160">
        <f t="shared" si="2359"/>
        <v>0</v>
      </c>
      <c r="AJ578" s="160">
        <f t="shared" si="2359"/>
        <v>0</v>
      </c>
      <c r="AK578" s="160">
        <f t="shared" si="2359"/>
        <v>0</v>
      </c>
      <c r="AL578" s="160">
        <f t="shared" si="2359"/>
        <v>0</v>
      </c>
      <c r="AM578" s="160">
        <f t="shared" si="2359"/>
        <v>0</v>
      </c>
      <c r="AN578" s="160">
        <f t="shared" si="2359"/>
        <v>0</v>
      </c>
      <c r="AO578" s="160">
        <f t="shared" si="2359"/>
        <v>0</v>
      </c>
      <c r="AP578" s="160">
        <f t="shared" si="2359"/>
        <v>0</v>
      </c>
      <c r="AQ578" s="160">
        <f t="shared" si="2360"/>
        <v>0</v>
      </c>
      <c r="AR578" s="160">
        <f t="shared" si="2360"/>
        <v>0</v>
      </c>
      <c r="AS578" s="160">
        <f t="shared" si="2360"/>
        <v>0</v>
      </c>
      <c r="AT578" s="160">
        <f t="shared" si="2360"/>
        <v>0</v>
      </c>
      <c r="AU578" s="160">
        <f t="shared" si="2360"/>
        <v>0</v>
      </c>
      <c r="AV578" s="160">
        <f t="shared" si="2360"/>
        <v>0</v>
      </c>
      <c r="AW578" s="160">
        <f t="shared" si="2360"/>
        <v>0</v>
      </c>
      <c r="AX578" s="160">
        <f t="shared" si="2360"/>
        <v>0</v>
      </c>
      <c r="AY578" s="160">
        <f t="shared" si="2360"/>
        <v>0</v>
      </c>
      <c r="AZ578" s="160">
        <f t="shared" si="2360"/>
        <v>0</v>
      </c>
      <c r="BA578" s="160">
        <f t="shared" si="2360"/>
        <v>0</v>
      </c>
      <c r="BB578" s="160">
        <f t="shared" si="2360"/>
        <v>0</v>
      </c>
      <c r="BC578" s="160">
        <f t="shared" si="2360"/>
        <v>0</v>
      </c>
      <c r="BD578" s="160">
        <f t="shared" si="2360"/>
        <v>0</v>
      </c>
      <c r="BE578" s="160">
        <f t="shared" si="2360"/>
        <v>0</v>
      </c>
      <c r="BF578" s="160">
        <f t="shared" si="2360"/>
        <v>0</v>
      </c>
      <c r="BG578" s="160">
        <f t="shared" si="2361"/>
        <v>0</v>
      </c>
      <c r="BH578" s="160">
        <f t="shared" si="2361"/>
        <v>0</v>
      </c>
      <c r="BI578" s="160">
        <f t="shared" si="2361"/>
        <v>0</v>
      </c>
      <c r="BJ578" s="160">
        <f t="shared" si="2361"/>
        <v>0</v>
      </c>
      <c r="BK578" s="160">
        <f t="shared" si="2361"/>
        <v>0</v>
      </c>
      <c r="BL578" s="160">
        <f t="shared" si="2361"/>
        <v>0</v>
      </c>
      <c r="BM578" s="160">
        <f t="shared" si="2361"/>
        <v>0</v>
      </c>
      <c r="BN578" s="160">
        <f t="shared" si="2361"/>
        <v>0</v>
      </c>
      <c r="BO578" s="160">
        <f t="shared" si="2361"/>
        <v>0</v>
      </c>
      <c r="BP578" s="160">
        <f t="shared" si="2361"/>
        <v>0</v>
      </c>
      <c r="BQ578" s="160">
        <f t="shared" si="2361"/>
        <v>0</v>
      </c>
      <c r="BR578" s="160">
        <f t="shared" si="2361"/>
        <v>0</v>
      </c>
      <c r="BS578" s="65"/>
      <c r="BT578" s="160">
        <f t="shared" si="2362"/>
        <v>0</v>
      </c>
      <c r="BU578" s="160">
        <f t="shared" si="2363"/>
        <v>0</v>
      </c>
      <c r="BV578" s="65"/>
      <c r="BW578" s="69"/>
      <c r="BX578" s="65"/>
      <c r="BY578" s="137">
        <f t="shared" si="2364"/>
        <v>1</v>
      </c>
      <c r="BZ578" s="137">
        <f>IF(BY578&gt;0,BY578+LARGE($BZ$213:BZ577,1),0)</f>
        <v>306</v>
      </c>
      <c r="CA578" s="137" t="str">
        <f t="shared" si="2365"/>
        <v>ENG/ARQ JR.</v>
      </c>
      <c r="CB578" s="161">
        <f t="shared" si="2366"/>
        <v>0</v>
      </c>
      <c r="CC578" s="161">
        <f t="shared" si="2367"/>
        <v>0</v>
      </c>
      <c r="CD578" s="161">
        <f t="shared" si="2368"/>
        <v>0</v>
      </c>
      <c r="CE578" s="161">
        <f t="shared" si="2369"/>
        <v>0</v>
      </c>
      <c r="CF578" s="161">
        <f t="shared" si="2370"/>
        <v>0</v>
      </c>
      <c r="CG578" s="161">
        <f t="shared" si="2371"/>
        <v>0</v>
      </c>
      <c r="CH578" s="161">
        <f t="shared" si="2372"/>
        <v>0</v>
      </c>
      <c r="CI578" s="161">
        <f t="shared" si="2373"/>
        <v>0</v>
      </c>
      <c r="CJ578" s="161">
        <f t="shared" si="2374"/>
        <v>0</v>
      </c>
      <c r="CK578" s="161">
        <f t="shared" si="2375"/>
        <v>0</v>
      </c>
      <c r="CL578" s="161">
        <f t="shared" si="2376"/>
        <v>0</v>
      </c>
      <c r="CM578" s="161">
        <f t="shared" si="2377"/>
        <v>0</v>
      </c>
      <c r="CN578" s="161">
        <f t="shared" si="2378"/>
        <v>0</v>
      </c>
      <c r="CO578" s="161">
        <f t="shared" si="2379"/>
        <v>0</v>
      </c>
      <c r="CP578" s="161">
        <f t="shared" si="2380"/>
        <v>0</v>
      </c>
      <c r="CQ578" s="161">
        <f t="shared" si="2381"/>
        <v>0</v>
      </c>
      <c r="CR578" s="161">
        <f t="shared" si="2382"/>
        <v>0</v>
      </c>
      <c r="CS578" s="161">
        <f t="shared" si="2383"/>
        <v>0</v>
      </c>
      <c r="CT578" s="161">
        <f t="shared" si="2384"/>
        <v>0</v>
      </c>
      <c r="CU578" s="161">
        <f t="shared" si="2385"/>
        <v>0</v>
      </c>
      <c r="CV578" s="161">
        <f t="shared" si="2386"/>
        <v>0</v>
      </c>
      <c r="CW578" s="161">
        <f t="shared" si="2387"/>
        <v>0</v>
      </c>
      <c r="CX578" s="161">
        <f t="shared" si="2388"/>
        <v>0</v>
      </c>
      <c r="CY578" s="161">
        <f t="shared" si="2389"/>
        <v>0</v>
      </c>
      <c r="CZ578" s="161">
        <f t="shared" si="2390"/>
        <v>0</v>
      </c>
      <c r="DA578" s="161">
        <f t="shared" si="2391"/>
        <v>0</v>
      </c>
      <c r="DB578" s="161">
        <f t="shared" si="2392"/>
        <v>0</v>
      </c>
      <c r="DC578" s="161">
        <f t="shared" si="2393"/>
        <v>0</v>
      </c>
      <c r="DD578" s="161">
        <f t="shared" si="2394"/>
        <v>0</v>
      </c>
      <c r="DE578" s="161">
        <f t="shared" si="2395"/>
        <v>0</v>
      </c>
      <c r="DF578" s="161">
        <f t="shared" si="2396"/>
        <v>0</v>
      </c>
      <c r="DG578" s="161">
        <f t="shared" si="2397"/>
        <v>0</v>
      </c>
      <c r="DH578" s="161">
        <f t="shared" si="2398"/>
        <v>0</v>
      </c>
      <c r="DI578" s="161">
        <f t="shared" si="2399"/>
        <v>0</v>
      </c>
      <c r="DJ578" s="161">
        <f t="shared" si="2400"/>
        <v>0</v>
      </c>
      <c r="DK578" s="161">
        <f t="shared" si="2401"/>
        <v>0</v>
      </c>
      <c r="DL578" s="161">
        <f t="shared" si="2402"/>
        <v>0</v>
      </c>
      <c r="DM578" s="161">
        <f t="shared" si="2403"/>
        <v>0</v>
      </c>
      <c r="DN578" s="161">
        <f t="shared" si="2404"/>
        <v>0</v>
      </c>
      <c r="DO578" s="161">
        <f t="shared" si="2405"/>
        <v>0</v>
      </c>
      <c r="DP578" s="161">
        <f t="shared" si="2406"/>
        <v>0</v>
      </c>
      <c r="DQ578" s="161">
        <f t="shared" si="2407"/>
        <v>0</v>
      </c>
      <c r="DR578" s="161">
        <f t="shared" si="2408"/>
        <v>0</v>
      </c>
      <c r="DS578" s="161">
        <f t="shared" si="2409"/>
        <v>0</v>
      </c>
      <c r="DT578" s="161">
        <f t="shared" si="2410"/>
        <v>0</v>
      </c>
      <c r="DU578" s="161">
        <f t="shared" si="2411"/>
        <v>0</v>
      </c>
      <c r="DV578" s="161">
        <f t="shared" si="2412"/>
        <v>0</v>
      </c>
      <c r="DW578" s="161">
        <f t="shared" si="2413"/>
        <v>0</v>
      </c>
      <c r="DX578" s="161">
        <f t="shared" si="2414"/>
        <v>0</v>
      </c>
      <c r="DY578" s="161">
        <f t="shared" si="2415"/>
        <v>0</v>
      </c>
      <c r="DZ578" s="161">
        <f t="shared" si="2416"/>
        <v>0</v>
      </c>
      <c r="EA578" s="161">
        <f t="shared" si="2417"/>
        <v>0</v>
      </c>
      <c r="EB578" s="161">
        <f t="shared" si="2418"/>
        <v>0</v>
      </c>
      <c r="EC578" s="161">
        <f t="shared" si="2419"/>
        <v>0</v>
      </c>
      <c r="ED578" s="161">
        <f t="shared" si="2420"/>
        <v>0</v>
      </c>
      <c r="EE578" s="161">
        <f t="shared" si="2421"/>
        <v>0</v>
      </c>
      <c r="EF578" s="161">
        <f t="shared" si="2422"/>
        <v>0</v>
      </c>
      <c r="EG578" s="161">
        <f t="shared" si="2423"/>
        <v>0</v>
      </c>
      <c r="EH578" s="161">
        <f t="shared" si="2424"/>
        <v>0</v>
      </c>
      <c r="EI578" s="161">
        <f t="shared" si="2425"/>
        <v>0</v>
      </c>
      <c r="EJ578" s="65"/>
      <c r="EK578" s="161">
        <f t="shared" si="2426"/>
        <v>0</v>
      </c>
      <c r="EL578" s="161">
        <f t="shared" si="2427"/>
        <v>0</v>
      </c>
      <c r="EM578" s="161">
        <f t="shared" si="2428"/>
        <v>0</v>
      </c>
    </row>
    <row r="579" spans="1:143" ht="12" hidden="1" customHeight="1" outlineLevel="2">
      <c r="A579" s="77">
        <v>7</v>
      </c>
      <c r="B579" s="137" t="str">
        <f t="shared" si="2356"/>
        <v>AN SR. ENG/ARQ - Equipe_01</v>
      </c>
      <c r="C579" s="65"/>
      <c r="D579" s="621"/>
      <c r="E579" s="65"/>
      <c r="F579" s="603"/>
      <c r="G579" s="77" t="str">
        <f>IF(INDEX(Tarefas!$BT$30:$FK$30,MATCH(A579,Tarefas!$BT$28:$FK$28,0))=0,"",INDEX(Tarefas!$BT$30:$FK$30,MATCH(A579,Tarefas!$BT$28:$FK$28,0)))</f>
        <v>AN SR. ENG/ARQ</v>
      </c>
      <c r="H579" s="107" cm="1">
        <f t="array" ref="H579">IFERROR((SUMPRODUCT((Tarefas!$N$32:$N$54='Cronog. e Histog.'!$F$573)*(Tarefas!$BQ$30:$FK$30='Cronog. e Histog.'!$G579)*(Tarefas!$BQ$32:$FK$54)))/SUMIF(Tarefas!$N$32:$N$54,'Cronog. e Histog.'!$F$573,Tarefas!$K$32:$K$54),0)</f>
        <v>0</v>
      </c>
      <c r="I579" s="79">
        <f t="shared" si="2357"/>
        <v>0</v>
      </c>
      <c r="J579" s="65"/>
      <c r="K579" s="160">
        <f t="shared" si="2358"/>
        <v>0</v>
      </c>
      <c r="L579" s="160">
        <f t="shared" si="2358"/>
        <v>0</v>
      </c>
      <c r="M579" s="160">
        <f t="shared" si="2358"/>
        <v>0</v>
      </c>
      <c r="N579" s="160">
        <f t="shared" si="2358"/>
        <v>0</v>
      </c>
      <c r="O579" s="160">
        <f t="shared" si="2358"/>
        <v>0</v>
      </c>
      <c r="P579" s="160">
        <f t="shared" si="2358"/>
        <v>0</v>
      </c>
      <c r="Q579" s="160">
        <f t="shared" si="2358"/>
        <v>0</v>
      </c>
      <c r="R579" s="160">
        <f t="shared" si="2358"/>
        <v>0</v>
      </c>
      <c r="S579" s="160">
        <f t="shared" si="2358"/>
        <v>0</v>
      </c>
      <c r="T579" s="160">
        <f t="shared" si="2358"/>
        <v>0</v>
      </c>
      <c r="U579" s="160">
        <f t="shared" si="2358"/>
        <v>0</v>
      </c>
      <c r="V579" s="160">
        <f t="shared" si="2358"/>
        <v>0</v>
      </c>
      <c r="W579" s="160">
        <f t="shared" si="2358"/>
        <v>0</v>
      </c>
      <c r="X579" s="160">
        <f t="shared" si="2358"/>
        <v>0</v>
      </c>
      <c r="Y579" s="160">
        <f t="shared" si="2358"/>
        <v>0</v>
      </c>
      <c r="Z579" s="160">
        <f t="shared" si="2358"/>
        <v>0</v>
      </c>
      <c r="AA579" s="160">
        <f t="shared" si="2359"/>
        <v>0</v>
      </c>
      <c r="AB579" s="160">
        <f t="shared" si="2359"/>
        <v>0</v>
      </c>
      <c r="AC579" s="160">
        <f t="shared" si="2359"/>
        <v>0</v>
      </c>
      <c r="AD579" s="160">
        <f t="shared" si="2359"/>
        <v>0</v>
      </c>
      <c r="AE579" s="160">
        <f t="shared" si="2359"/>
        <v>0</v>
      </c>
      <c r="AF579" s="160">
        <f t="shared" si="2359"/>
        <v>0</v>
      </c>
      <c r="AG579" s="160">
        <f t="shared" si="2359"/>
        <v>0</v>
      </c>
      <c r="AH579" s="160">
        <f t="shared" si="2359"/>
        <v>0</v>
      </c>
      <c r="AI579" s="160">
        <f t="shared" si="2359"/>
        <v>0</v>
      </c>
      <c r="AJ579" s="160">
        <f t="shared" si="2359"/>
        <v>0</v>
      </c>
      <c r="AK579" s="160">
        <f t="shared" si="2359"/>
        <v>0</v>
      </c>
      <c r="AL579" s="160">
        <f t="shared" si="2359"/>
        <v>0</v>
      </c>
      <c r="AM579" s="160">
        <f t="shared" si="2359"/>
        <v>0</v>
      </c>
      <c r="AN579" s="160">
        <f t="shared" si="2359"/>
        <v>0</v>
      </c>
      <c r="AO579" s="160">
        <f t="shared" si="2359"/>
        <v>0</v>
      </c>
      <c r="AP579" s="160">
        <f t="shared" si="2359"/>
        <v>0</v>
      </c>
      <c r="AQ579" s="160">
        <f t="shared" si="2360"/>
        <v>0</v>
      </c>
      <c r="AR579" s="160">
        <f t="shared" si="2360"/>
        <v>0</v>
      </c>
      <c r="AS579" s="160">
        <f t="shared" si="2360"/>
        <v>0</v>
      </c>
      <c r="AT579" s="160">
        <f t="shared" si="2360"/>
        <v>0</v>
      </c>
      <c r="AU579" s="160">
        <f t="shared" si="2360"/>
        <v>0</v>
      </c>
      <c r="AV579" s="160">
        <f t="shared" si="2360"/>
        <v>0</v>
      </c>
      <c r="AW579" s="160">
        <f t="shared" si="2360"/>
        <v>0</v>
      </c>
      <c r="AX579" s="160">
        <f t="shared" si="2360"/>
        <v>0</v>
      </c>
      <c r="AY579" s="160">
        <f t="shared" si="2360"/>
        <v>0</v>
      </c>
      <c r="AZ579" s="160">
        <f t="shared" si="2360"/>
        <v>0</v>
      </c>
      <c r="BA579" s="160">
        <f t="shared" si="2360"/>
        <v>0</v>
      </c>
      <c r="BB579" s="160">
        <f t="shared" si="2360"/>
        <v>0</v>
      </c>
      <c r="BC579" s="160">
        <f t="shared" si="2360"/>
        <v>0</v>
      </c>
      <c r="BD579" s="160">
        <f t="shared" si="2360"/>
        <v>0</v>
      </c>
      <c r="BE579" s="160">
        <f t="shared" si="2360"/>
        <v>0</v>
      </c>
      <c r="BF579" s="160">
        <f t="shared" si="2360"/>
        <v>0</v>
      </c>
      <c r="BG579" s="160">
        <f t="shared" si="2361"/>
        <v>0</v>
      </c>
      <c r="BH579" s="160">
        <f t="shared" si="2361"/>
        <v>0</v>
      </c>
      <c r="BI579" s="160">
        <f t="shared" si="2361"/>
        <v>0</v>
      </c>
      <c r="BJ579" s="160">
        <f t="shared" si="2361"/>
        <v>0</v>
      </c>
      <c r="BK579" s="160">
        <f t="shared" si="2361"/>
        <v>0</v>
      </c>
      <c r="BL579" s="160">
        <f t="shared" si="2361"/>
        <v>0</v>
      </c>
      <c r="BM579" s="160">
        <f t="shared" si="2361"/>
        <v>0</v>
      </c>
      <c r="BN579" s="160">
        <f t="shared" si="2361"/>
        <v>0</v>
      </c>
      <c r="BO579" s="160">
        <f t="shared" si="2361"/>
        <v>0</v>
      </c>
      <c r="BP579" s="160">
        <f t="shared" si="2361"/>
        <v>0</v>
      </c>
      <c r="BQ579" s="160">
        <f t="shared" si="2361"/>
        <v>0</v>
      </c>
      <c r="BR579" s="160">
        <f t="shared" si="2361"/>
        <v>0</v>
      </c>
      <c r="BS579" s="65"/>
      <c r="BT579" s="160">
        <f t="shared" si="2362"/>
        <v>0</v>
      </c>
      <c r="BU579" s="160">
        <f t="shared" si="2363"/>
        <v>0</v>
      </c>
      <c r="BV579" s="65"/>
      <c r="BW579" s="69"/>
      <c r="BX579" s="65"/>
      <c r="BY579" s="137">
        <f t="shared" si="2364"/>
        <v>1</v>
      </c>
      <c r="BZ579" s="137">
        <f>IF(BY579&gt;0,BY579+LARGE($BZ$213:BZ578,1),0)</f>
        <v>307</v>
      </c>
      <c r="CA579" s="137" t="str">
        <f t="shared" si="2365"/>
        <v>AN SR. ENG/ARQ</v>
      </c>
      <c r="CB579" s="161">
        <f t="shared" si="2366"/>
        <v>0</v>
      </c>
      <c r="CC579" s="161">
        <f t="shared" si="2367"/>
        <v>0</v>
      </c>
      <c r="CD579" s="161">
        <f t="shared" si="2368"/>
        <v>0</v>
      </c>
      <c r="CE579" s="161">
        <f t="shared" si="2369"/>
        <v>0</v>
      </c>
      <c r="CF579" s="161">
        <f t="shared" si="2370"/>
        <v>0</v>
      </c>
      <c r="CG579" s="161">
        <f t="shared" si="2371"/>
        <v>0</v>
      </c>
      <c r="CH579" s="161">
        <f t="shared" si="2372"/>
        <v>0</v>
      </c>
      <c r="CI579" s="161">
        <f t="shared" si="2373"/>
        <v>0</v>
      </c>
      <c r="CJ579" s="161">
        <f t="shared" si="2374"/>
        <v>0</v>
      </c>
      <c r="CK579" s="161">
        <f t="shared" si="2375"/>
        <v>0</v>
      </c>
      <c r="CL579" s="161">
        <f t="shared" si="2376"/>
        <v>0</v>
      </c>
      <c r="CM579" s="161">
        <f t="shared" si="2377"/>
        <v>0</v>
      </c>
      <c r="CN579" s="161">
        <f t="shared" si="2378"/>
        <v>0</v>
      </c>
      <c r="CO579" s="161">
        <f t="shared" si="2379"/>
        <v>0</v>
      </c>
      <c r="CP579" s="161">
        <f t="shared" si="2380"/>
        <v>0</v>
      </c>
      <c r="CQ579" s="161">
        <f t="shared" si="2381"/>
        <v>0</v>
      </c>
      <c r="CR579" s="161">
        <f t="shared" si="2382"/>
        <v>0</v>
      </c>
      <c r="CS579" s="161">
        <f t="shared" si="2383"/>
        <v>0</v>
      </c>
      <c r="CT579" s="161">
        <f t="shared" si="2384"/>
        <v>0</v>
      </c>
      <c r="CU579" s="161">
        <f t="shared" si="2385"/>
        <v>0</v>
      </c>
      <c r="CV579" s="161">
        <f t="shared" si="2386"/>
        <v>0</v>
      </c>
      <c r="CW579" s="161">
        <f t="shared" si="2387"/>
        <v>0</v>
      </c>
      <c r="CX579" s="161">
        <f t="shared" si="2388"/>
        <v>0</v>
      </c>
      <c r="CY579" s="161">
        <f t="shared" si="2389"/>
        <v>0</v>
      </c>
      <c r="CZ579" s="161">
        <f t="shared" si="2390"/>
        <v>0</v>
      </c>
      <c r="DA579" s="161">
        <f t="shared" si="2391"/>
        <v>0</v>
      </c>
      <c r="DB579" s="161">
        <f t="shared" si="2392"/>
        <v>0</v>
      </c>
      <c r="DC579" s="161">
        <f t="shared" si="2393"/>
        <v>0</v>
      </c>
      <c r="DD579" s="161">
        <f t="shared" si="2394"/>
        <v>0</v>
      </c>
      <c r="DE579" s="161">
        <f t="shared" si="2395"/>
        <v>0</v>
      </c>
      <c r="DF579" s="161">
        <f t="shared" si="2396"/>
        <v>0</v>
      </c>
      <c r="DG579" s="161">
        <f t="shared" si="2397"/>
        <v>0</v>
      </c>
      <c r="DH579" s="161">
        <f t="shared" si="2398"/>
        <v>0</v>
      </c>
      <c r="DI579" s="161">
        <f t="shared" si="2399"/>
        <v>0</v>
      </c>
      <c r="DJ579" s="161">
        <f t="shared" si="2400"/>
        <v>0</v>
      </c>
      <c r="DK579" s="161">
        <f t="shared" si="2401"/>
        <v>0</v>
      </c>
      <c r="DL579" s="161">
        <f t="shared" si="2402"/>
        <v>0</v>
      </c>
      <c r="DM579" s="161">
        <f t="shared" si="2403"/>
        <v>0</v>
      </c>
      <c r="DN579" s="161">
        <f t="shared" si="2404"/>
        <v>0</v>
      </c>
      <c r="DO579" s="161">
        <f t="shared" si="2405"/>
        <v>0</v>
      </c>
      <c r="DP579" s="161">
        <f t="shared" si="2406"/>
        <v>0</v>
      </c>
      <c r="DQ579" s="161">
        <f t="shared" si="2407"/>
        <v>0</v>
      </c>
      <c r="DR579" s="161">
        <f t="shared" si="2408"/>
        <v>0</v>
      </c>
      <c r="DS579" s="161">
        <f t="shared" si="2409"/>
        <v>0</v>
      </c>
      <c r="DT579" s="161">
        <f t="shared" si="2410"/>
        <v>0</v>
      </c>
      <c r="DU579" s="161">
        <f t="shared" si="2411"/>
        <v>0</v>
      </c>
      <c r="DV579" s="161">
        <f t="shared" si="2412"/>
        <v>0</v>
      </c>
      <c r="DW579" s="161">
        <f t="shared" si="2413"/>
        <v>0</v>
      </c>
      <c r="DX579" s="161">
        <f t="shared" si="2414"/>
        <v>0</v>
      </c>
      <c r="DY579" s="161">
        <f t="shared" si="2415"/>
        <v>0</v>
      </c>
      <c r="DZ579" s="161">
        <f t="shared" si="2416"/>
        <v>0</v>
      </c>
      <c r="EA579" s="161">
        <f t="shared" si="2417"/>
        <v>0</v>
      </c>
      <c r="EB579" s="161">
        <f t="shared" si="2418"/>
        <v>0</v>
      </c>
      <c r="EC579" s="161">
        <f t="shared" si="2419"/>
        <v>0</v>
      </c>
      <c r="ED579" s="161">
        <f t="shared" si="2420"/>
        <v>0</v>
      </c>
      <c r="EE579" s="161">
        <f t="shared" si="2421"/>
        <v>0</v>
      </c>
      <c r="EF579" s="161">
        <f t="shared" si="2422"/>
        <v>0</v>
      </c>
      <c r="EG579" s="161">
        <f t="shared" si="2423"/>
        <v>0</v>
      </c>
      <c r="EH579" s="161">
        <f t="shared" si="2424"/>
        <v>0</v>
      </c>
      <c r="EI579" s="161">
        <f t="shared" si="2425"/>
        <v>0</v>
      </c>
      <c r="EJ579" s="65"/>
      <c r="EK579" s="161">
        <f t="shared" si="2426"/>
        <v>0</v>
      </c>
      <c r="EL579" s="161">
        <f t="shared" si="2427"/>
        <v>0</v>
      </c>
      <c r="EM579" s="161">
        <f t="shared" si="2428"/>
        <v>0</v>
      </c>
    </row>
    <row r="580" spans="1:143" ht="12" hidden="1" customHeight="1" outlineLevel="2">
      <c r="A580" s="77">
        <v>8</v>
      </c>
      <c r="B580" s="137" t="str">
        <f t="shared" si="2356"/>
        <v>AN PL. ENG/ARQ - Equipe_01</v>
      </c>
      <c r="C580" s="65"/>
      <c r="D580" s="621"/>
      <c r="E580" s="65"/>
      <c r="F580" s="603"/>
      <c r="G580" s="77" t="str">
        <f>IF(INDEX(Tarefas!$BT$30:$FK$30,MATCH(A580,Tarefas!$BT$28:$FK$28,0))=0,"",INDEX(Tarefas!$BT$30:$FK$30,MATCH(A580,Tarefas!$BT$28:$FK$28,0)))</f>
        <v>AN PL. ENG/ARQ</v>
      </c>
      <c r="H580" s="107" cm="1">
        <f t="array" ref="H580">IFERROR((SUMPRODUCT((Tarefas!$N$32:$N$54='Cronog. e Histog.'!$F$573)*(Tarefas!$BQ$30:$FK$30='Cronog. e Histog.'!$G580)*(Tarefas!$BQ$32:$FK$54)))/SUMIF(Tarefas!$N$32:$N$54,'Cronog. e Histog.'!$F$573,Tarefas!$K$32:$K$54),0)</f>
        <v>0</v>
      </c>
      <c r="I580" s="79">
        <f t="shared" si="2357"/>
        <v>0</v>
      </c>
      <c r="J580" s="65"/>
      <c r="K580" s="160">
        <f t="shared" si="2358"/>
        <v>0</v>
      </c>
      <c r="L580" s="160">
        <f t="shared" si="2358"/>
        <v>0</v>
      </c>
      <c r="M580" s="160">
        <f t="shared" si="2358"/>
        <v>0</v>
      </c>
      <c r="N580" s="160">
        <f t="shared" si="2358"/>
        <v>0</v>
      </c>
      <c r="O580" s="160">
        <f t="shared" si="2358"/>
        <v>0</v>
      </c>
      <c r="P580" s="160">
        <f t="shared" si="2358"/>
        <v>0</v>
      </c>
      <c r="Q580" s="160">
        <f t="shared" si="2358"/>
        <v>0</v>
      </c>
      <c r="R580" s="160">
        <f t="shared" si="2358"/>
        <v>0</v>
      </c>
      <c r="S580" s="160">
        <f t="shared" si="2358"/>
        <v>0</v>
      </c>
      <c r="T580" s="160">
        <f t="shared" si="2358"/>
        <v>0</v>
      </c>
      <c r="U580" s="160">
        <f t="shared" si="2358"/>
        <v>0</v>
      </c>
      <c r="V580" s="160">
        <f t="shared" si="2358"/>
        <v>0</v>
      </c>
      <c r="W580" s="160">
        <f t="shared" si="2358"/>
        <v>0</v>
      </c>
      <c r="X580" s="160">
        <f t="shared" si="2358"/>
        <v>0</v>
      </c>
      <c r="Y580" s="160">
        <f t="shared" si="2358"/>
        <v>0</v>
      </c>
      <c r="Z580" s="160">
        <f t="shared" si="2358"/>
        <v>0</v>
      </c>
      <c r="AA580" s="160">
        <f t="shared" si="2359"/>
        <v>0</v>
      </c>
      <c r="AB580" s="160">
        <f t="shared" si="2359"/>
        <v>0</v>
      </c>
      <c r="AC580" s="160">
        <f t="shared" si="2359"/>
        <v>0</v>
      </c>
      <c r="AD580" s="160">
        <f t="shared" si="2359"/>
        <v>0</v>
      </c>
      <c r="AE580" s="160">
        <f t="shared" si="2359"/>
        <v>0</v>
      </c>
      <c r="AF580" s="160">
        <f t="shared" si="2359"/>
        <v>0</v>
      </c>
      <c r="AG580" s="160">
        <f t="shared" si="2359"/>
        <v>0</v>
      </c>
      <c r="AH580" s="160">
        <f t="shared" si="2359"/>
        <v>0</v>
      </c>
      <c r="AI580" s="160">
        <f t="shared" si="2359"/>
        <v>0</v>
      </c>
      <c r="AJ580" s="160">
        <f t="shared" si="2359"/>
        <v>0</v>
      </c>
      <c r="AK580" s="160">
        <f t="shared" si="2359"/>
        <v>0</v>
      </c>
      <c r="AL580" s="160">
        <f t="shared" si="2359"/>
        <v>0</v>
      </c>
      <c r="AM580" s="160">
        <f t="shared" si="2359"/>
        <v>0</v>
      </c>
      <c r="AN580" s="160">
        <f t="shared" si="2359"/>
        <v>0</v>
      </c>
      <c r="AO580" s="160">
        <f t="shared" si="2359"/>
        <v>0</v>
      </c>
      <c r="AP580" s="160">
        <f t="shared" si="2359"/>
        <v>0</v>
      </c>
      <c r="AQ580" s="160">
        <f t="shared" si="2360"/>
        <v>0</v>
      </c>
      <c r="AR580" s="160">
        <f t="shared" si="2360"/>
        <v>0</v>
      </c>
      <c r="AS580" s="160">
        <f t="shared" si="2360"/>
        <v>0</v>
      </c>
      <c r="AT580" s="160">
        <f t="shared" si="2360"/>
        <v>0</v>
      </c>
      <c r="AU580" s="160">
        <f t="shared" si="2360"/>
        <v>0</v>
      </c>
      <c r="AV580" s="160">
        <f t="shared" si="2360"/>
        <v>0</v>
      </c>
      <c r="AW580" s="160">
        <f t="shared" si="2360"/>
        <v>0</v>
      </c>
      <c r="AX580" s="160">
        <f t="shared" si="2360"/>
        <v>0</v>
      </c>
      <c r="AY580" s="160">
        <f t="shared" si="2360"/>
        <v>0</v>
      </c>
      <c r="AZ580" s="160">
        <f t="shared" si="2360"/>
        <v>0</v>
      </c>
      <c r="BA580" s="160">
        <f t="shared" si="2360"/>
        <v>0</v>
      </c>
      <c r="BB580" s="160">
        <f t="shared" si="2360"/>
        <v>0</v>
      </c>
      <c r="BC580" s="160">
        <f t="shared" si="2360"/>
        <v>0</v>
      </c>
      <c r="BD580" s="160">
        <f t="shared" si="2360"/>
        <v>0</v>
      </c>
      <c r="BE580" s="160">
        <f t="shared" si="2360"/>
        <v>0</v>
      </c>
      <c r="BF580" s="160">
        <f t="shared" si="2360"/>
        <v>0</v>
      </c>
      <c r="BG580" s="160">
        <f t="shared" si="2361"/>
        <v>0</v>
      </c>
      <c r="BH580" s="160">
        <f t="shared" si="2361"/>
        <v>0</v>
      </c>
      <c r="BI580" s="160">
        <f t="shared" si="2361"/>
        <v>0</v>
      </c>
      <c r="BJ580" s="160">
        <f t="shared" si="2361"/>
        <v>0</v>
      </c>
      <c r="BK580" s="160">
        <f t="shared" si="2361"/>
        <v>0</v>
      </c>
      <c r="BL580" s="160">
        <f t="shared" si="2361"/>
        <v>0</v>
      </c>
      <c r="BM580" s="160">
        <f t="shared" si="2361"/>
        <v>0</v>
      </c>
      <c r="BN580" s="160">
        <f t="shared" si="2361"/>
        <v>0</v>
      </c>
      <c r="BO580" s="160">
        <f t="shared" si="2361"/>
        <v>0</v>
      </c>
      <c r="BP580" s="160">
        <f t="shared" si="2361"/>
        <v>0</v>
      </c>
      <c r="BQ580" s="160">
        <f t="shared" si="2361"/>
        <v>0</v>
      </c>
      <c r="BR580" s="160">
        <f t="shared" si="2361"/>
        <v>0</v>
      </c>
      <c r="BS580" s="65"/>
      <c r="BT580" s="160">
        <f t="shared" si="2362"/>
        <v>0</v>
      </c>
      <c r="BU580" s="160">
        <f t="shared" si="2363"/>
        <v>0</v>
      </c>
      <c r="BV580" s="65"/>
      <c r="BW580" s="69"/>
      <c r="BX580" s="65"/>
      <c r="BY580" s="137">
        <f t="shared" si="2364"/>
        <v>1</v>
      </c>
      <c r="BZ580" s="137">
        <f>IF(BY580&gt;0,BY580+LARGE($BZ$213:BZ579,1),0)</f>
        <v>308</v>
      </c>
      <c r="CA580" s="137" t="str">
        <f t="shared" si="2365"/>
        <v>AN PL. ENG/ARQ</v>
      </c>
      <c r="CB580" s="161">
        <f t="shared" si="2366"/>
        <v>0</v>
      </c>
      <c r="CC580" s="161">
        <f t="shared" si="2367"/>
        <v>0</v>
      </c>
      <c r="CD580" s="161">
        <f t="shared" si="2368"/>
        <v>0</v>
      </c>
      <c r="CE580" s="161">
        <f t="shared" si="2369"/>
        <v>0</v>
      </c>
      <c r="CF580" s="161">
        <f t="shared" si="2370"/>
        <v>0</v>
      </c>
      <c r="CG580" s="161">
        <f t="shared" si="2371"/>
        <v>0</v>
      </c>
      <c r="CH580" s="161">
        <f t="shared" si="2372"/>
        <v>0</v>
      </c>
      <c r="CI580" s="161">
        <f t="shared" si="2373"/>
        <v>0</v>
      </c>
      <c r="CJ580" s="161">
        <f t="shared" si="2374"/>
        <v>0</v>
      </c>
      <c r="CK580" s="161">
        <f t="shared" si="2375"/>
        <v>0</v>
      </c>
      <c r="CL580" s="161">
        <f t="shared" si="2376"/>
        <v>0</v>
      </c>
      <c r="CM580" s="161">
        <f t="shared" si="2377"/>
        <v>0</v>
      </c>
      <c r="CN580" s="161">
        <f t="shared" si="2378"/>
        <v>0</v>
      </c>
      <c r="CO580" s="161">
        <f t="shared" si="2379"/>
        <v>0</v>
      </c>
      <c r="CP580" s="161">
        <f t="shared" si="2380"/>
        <v>0</v>
      </c>
      <c r="CQ580" s="161">
        <f t="shared" si="2381"/>
        <v>0</v>
      </c>
      <c r="CR580" s="161">
        <f t="shared" si="2382"/>
        <v>0</v>
      </c>
      <c r="CS580" s="161">
        <f t="shared" si="2383"/>
        <v>0</v>
      </c>
      <c r="CT580" s="161">
        <f t="shared" si="2384"/>
        <v>0</v>
      </c>
      <c r="CU580" s="161">
        <f t="shared" si="2385"/>
        <v>0</v>
      </c>
      <c r="CV580" s="161">
        <f t="shared" si="2386"/>
        <v>0</v>
      </c>
      <c r="CW580" s="161">
        <f t="shared" si="2387"/>
        <v>0</v>
      </c>
      <c r="CX580" s="161">
        <f t="shared" si="2388"/>
        <v>0</v>
      </c>
      <c r="CY580" s="161">
        <f t="shared" si="2389"/>
        <v>0</v>
      </c>
      <c r="CZ580" s="161">
        <f t="shared" si="2390"/>
        <v>0</v>
      </c>
      <c r="DA580" s="161">
        <f t="shared" si="2391"/>
        <v>0</v>
      </c>
      <c r="DB580" s="161">
        <f t="shared" si="2392"/>
        <v>0</v>
      </c>
      <c r="DC580" s="161">
        <f t="shared" si="2393"/>
        <v>0</v>
      </c>
      <c r="DD580" s="161">
        <f t="shared" si="2394"/>
        <v>0</v>
      </c>
      <c r="DE580" s="161">
        <f t="shared" si="2395"/>
        <v>0</v>
      </c>
      <c r="DF580" s="161">
        <f t="shared" si="2396"/>
        <v>0</v>
      </c>
      <c r="DG580" s="161">
        <f t="shared" si="2397"/>
        <v>0</v>
      </c>
      <c r="DH580" s="161">
        <f t="shared" si="2398"/>
        <v>0</v>
      </c>
      <c r="DI580" s="161">
        <f t="shared" si="2399"/>
        <v>0</v>
      </c>
      <c r="DJ580" s="161">
        <f t="shared" si="2400"/>
        <v>0</v>
      </c>
      <c r="DK580" s="161">
        <f t="shared" si="2401"/>
        <v>0</v>
      </c>
      <c r="DL580" s="161">
        <f t="shared" si="2402"/>
        <v>0</v>
      </c>
      <c r="DM580" s="161">
        <f t="shared" si="2403"/>
        <v>0</v>
      </c>
      <c r="DN580" s="161">
        <f t="shared" si="2404"/>
        <v>0</v>
      </c>
      <c r="DO580" s="161">
        <f t="shared" si="2405"/>
        <v>0</v>
      </c>
      <c r="DP580" s="161">
        <f t="shared" si="2406"/>
        <v>0</v>
      </c>
      <c r="DQ580" s="161">
        <f t="shared" si="2407"/>
        <v>0</v>
      </c>
      <c r="DR580" s="161">
        <f t="shared" si="2408"/>
        <v>0</v>
      </c>
      <c r="DS580" s="161">
        <f t="shared" si="2409"/>
        <v>0</v>
      </c>
      <c r="DT580" s="161">
        <f t="shared" si="2410"/>
        <v>0</v>
      </c>
      <c r="DU580" s="161">
        <f t="shared" si="2411"/>
        <v>0</v>
      </c>
      <c r="DV580" s="161">
        <f t="shared" si="2412"/>
        <v>0</v>
      </c>
      <c r="DW580" s="161">
        <f t="shared" si="2413"/>
        <v>0</v>
      </c>
      <c r="DX580" s="161">
        <f t="shared" si="2414"/>
        <v>0</v>
      </c>
      <c r="DY580" s="161">
        <f t="shared" si="2415"/>
        <v>0</v>
      </c>
      <c r="DZ580" s="161">
        <f t="shared" si="2416"/>
        <v>0</v>
      </c>
      <c r="EA580" s="161">
        <f t="shared" si="2417"/>
        <v>0</v>
      </c>
      <c r="EB580" s="161">
        <f t="shared" si="2418"/>
        <v>0</v>
      </c>
      <c r="EC580" s="161">
        <f t="shared" si="2419"/>
        <v>0</v>
      </c>
      <c r="ED580" s="161">
        <f t="shared" si="2420"/>
        <v>0</v>
      </c>
      <c r="EE580" s="161">
        <f t="shared" si="2421"/>
        <v>0</v>
      </c>
      <c r="EF580" s="161">
        <f t="shared" si="2422"/>
        <v>0</v>
      </c>
      <c r="EG580" s="161">
        <f t="shared" si="2423"/>
        <v>0</v>
      </c>
      <c r="EH580" s="161">
        <f t="shared" si="2424"/>
        <v>0</v>
      </c>
      <c r="EI580" s="161">
        <f t="shared" si="2425"/>
        <v>0</v>
      </c>
      <c r="EJ580" s="65"/>
      <c r="EK580" s="161">
        <f t="shared" si="2426"/>
        <v>0</v>
      </c>
      <c r="EL580" s="161">
        <f t="shared" si="2427"/>
        <v>0</v>
      </c>
      <c r="EM580" s="161">
        <f t="shared" si="2428"/>
        <v>0</v>
      </c>
    </row>
    <row r="581" spans="1:143" ht="12" hidden="1" customHeight="1" outlineLevel="2">
      <c r="A581" s="77">
        <v>9</v>
      </c>
      <c r="B581" s="137" t="str">
        <f t="shared" si="2356"/>
        <v>AN JR. ENG/ARQ - Equipe_01</v>
      </c>
      <c r="C581" s="65"/>
      <c r="D581" s="621"/>
      <c r="E581" s="65"/>
      <c r="F581" s="603"/>
      <c r="G581" s="77" t="str">
        <f>IF(INDEX(Tarefas!$BT$30:$FK$30,MATCH(A581,Tarefas!$BT$28:$FK$28,0))=0,"",INDEX(Tarefas!$BT$30:$FK$30,MATCH(A581,Tarefas!$BT$28:$FK$28,0)))</f>
        <v>AN JR. ENG/ARQ</v>
      </c>
      <c r="H581" s="107" cm="1">
        <f t="array" ref="H581">IFERROR((SUMPRODUCT((Tarefas!$N$32:$N$54='Cronog. e Histog.'!$F$573)*(Tarefas!$BQ$30:$FK$30='Cronog. e Histog.'!$G581)*(Tarefas!$BQ$32:$FK$54)))/SUMIF(Tarefas!$N$32:$N$54,'Cronog. e Histog.'!$F$573,Tarefas!$K$32:$K$54),0)</f>
        <v>0</v>
      </c>
      <c r="I581" s="79">
        <f t="shared" si="2357"/>
        <v>0</v>
      </c>
      <c r="J581" s="65"/>
      <c r="K581" s="160">
        <f t="shared" si="2358"/>
        <v>0</v>
      </c>
      <c r="L581" s="160">
        <f t="shared" si="2358"/>
        <v>0</v>
      </c>
      <c r="M581" s="160">
        <f t="shared" si="2358"/>
        <v>0</v>
      </c>
      <c r="N581" s="160">
        <f t="shared" si="2358"/>
        <v>0</v>
      </c>
      <c r="O581" s="160">
        <f t="shared" si="2358"/>
        <v>0</v>
      </c>
      <c r="P581" s="160">
        <f t="shared" si="2358"/>
        <v>0</v>
      </c>
      <c r="Q581" s="160">
        <f t="shared" si="2358"/>
        <v>0</v>
      </c>
      <c r="R581" s="160">
        <f t="shared" si="2358"/>
        <v>0</v>
      </c>
      <c r="S581" s="160">
        <f t="shared" si="2358"/>
        <v>0</v>
      </c>
      <c r="T581" s="160">
        <f t="shared" si="2358"/>
        <v>0</v>
      </c>
      <c r="U581" s="160">
        <f t="shared" si="2358"/>
        <v>0</v>
      </c>
      <c r="V581" s="160">
        <f t="shared" si="2358"/>
        <v>0</v>
      </c>
      <c r="W581" s="160">
        <f t="shared" si="2358"/>
        <v>0</v>
      </c>
      <c r="X581" s="160">
        <f t="shared" si="2358"/>
        <v>0</v>
      </c>
      <c r="Y581" s="160">
        <f t="shared" si="2358"/>
        <v>0</v>
      </c>
      <c r="Z581" s="160">
        <f t="shared" si="2358"/>
        <v>0</v>
      </c>
      <c r="AA581" s="160">
        <f t="shared" si="2359"/>
        <v>0</v>
      </c>
      <c r="AB581" s="160">
        <f t="shared" si="2359"/>
        <v>0</v>
      </c>
      <c r="AC581" s="160">
        <f t="shared" si="2359"/>
        <v>0</v>
      </c>
      <c r="AD581" s="160">
        <f t="shared" si="2359"/>
        <v>0</v>
      </c>
      <c r="AE581" s="160">
        <f t="shared" si="2359"/>
        <v>0</v>
      </c>
      <c r="AF581" s="160">
        <f t="shared" si="2359"/>
        <v>0</v>
      </c>
      <c r="AG581" s="160">
        <f t="shared" si="2359"/>
        <v>0</v>
      </c>
      <c r="AH581" s="160">
        <f t="shared" si="2359"/>
        <v>0</v>
      </c>
      <c r="AI581" s="160">
        <f t="shared" si="2359"/>
        <v>0</v>
      </c>
      <c r="AJ581" s="160">
        <f t="shared" si="2359"/>
        <v>0</v>
      </c>
      <c r="AK581" s="160">
        <f t="shared" si="2359"/>
        <v>0</v>
      </c>
      <c r="AL581" s="160">
        <f t="shared" si="2359"/>
        <v>0</v>
      </c>
      <c r="AM581" s="160">
        <f t="shared" si="2359"/>
        <v>0</v>
      </c>
      <c r="AN581" s="160">
        <f t="shared" si="2359"/>
        <v>0</v>
      </c>
      <c r="AO581" s="160">
        <f t="shared" si="2359"/>
        <v>0</v>
      </c>
      <c r="AP581" s="160">
        <f t="shared" si="2359"/>
        <v>0</v>
      </c>
      <c r="AQ581" s="160">
        <f t="shared" si="2360"/>
        <v>0</v>
      </c>
      <c r="AR581" s="160">
        <f t="shared" si="2360"/>
        <v>0</v>
      </c>
      <c r="AS581" s="160">
        <f t="shared" si="2360"/>
        <v>0</v>
      </c>
      <c r="AT581" s="160">
        <f t="shared" si="2360"/>
        <v>0</v>
      </c>
      <c r="AU581" s="160">
        <f t="shared" si="2360"/>
        <v>0</v>
      </c>
      <c r="AV581" s="160">
        <f t="shared" si="2360"/>
        <v>0</v>
      </c>
      <c r="AW581" s="160">
        <f t="shared" si="2360"/>
        <v>0</v>
      </c>
      <c r="AX581" s="160">
        <f t="shared" si="2360"/>
        <v>0</v>
      </c>
      <c r="AY581" s="160">
        <f t="shared" si="2360"/>
        <v>0</v>
      </c>
      <c r="AZ581" s="160">
        <f t="shared" si="2360"/>
        <v>0</v>
      </c>
      <c r="BA581" s="160">
        <f t="shared" si="2360"/>
        <v>0</v>
      </c>
      <c r="BB581" s="160">
        <f t="shared" si="2360"/>
        <v>0</v>
      </c>
      <c r="BC581" s="160">
        <f t="shared" si="2360"/>
        <v>0</v>
      </c>
      <c r="BD581" s="160">
        <f t="shared" si="2360"/>
        <v>0</v>
      </c>
      <c r="BE581" s="160">
        <f t="shared" si="2360"/>
        <v>0</v>
      </c>
      <c r="BF581" s="160">
        <f t="shared" si="2360"/>
        <v>0</v>
      </c>
      <c r="BG581" s="160">
        <f t="shared" si="2361"/>
        <v>0</v>
      </c>
      <c r="BH581" s="160">
        <f t="shared" si="2361"/>
        <v>0</v>
      </c>
      <c r="BI581" s="160">
        <f t="shared" si="2361"/>
        <v>0</v>
      </c>
      <c r="BJ581" s="160">
        <f t="shared" si="2361"/>
        <v>0</v>
      </c>
      <c r="BK581" s="160">
        <f t="shared" si="2361"/>
        <v>0</v>
      </c>
      <c r="BL581" s="160">
        <f t="shared" si="2361"/>
        <v>0</v>
      </c>
      <c r="BM581" s="160">
        <f t="shared" si="2361"/>
        <v>0</v>
      </c>
      <c r="BN581" s="160">
        <f t="shared" si="2361"/>
        <v>0</v>
      </c>
      <c r="BO581" s="160">
        <f t="shared" si="2361"/>
        <v>0</v>
      </c>
      <c r="BP581" s="160">
        <f t="shared" si="2361"/>
        <v>0</v>
      </c>
      <c r="BQ581" s="160">
        <f t="shared" si="2361"/>
        <v>0</v>
      </c>
      <c r="BR581" s="160">
        <f t="shared" si="2361"/>
        <v>0</v>
      </c>
      <c r="BS581" s="65"/>
      <c r="BT581" s="160">
        <f t="shared" si="2362"/>
        <v>0</v>
      </c>
      <c r="BU581" s="160">
        <f t="shared" si="2363"/>
        <v>0</v>
      </c>
      <c r="BV581" s="65"/>
      <c r="BW581" s="69"/>
      <c r="BX581" s="65"/>
      <c r="BY581" s="137">
        <f t="shared" si="2364"/>
        <v>1</v>
      </c>
      <c r="BZ581" s="137">
        <f>IF(BY581&gt;0,BY581+LARGE($BZ$213:BZ580,1),0)</f>
        <v>309</v>
      </c>
      <c r="CA581" s="137" t="str">
        <f t="shared" si="2365"/>
        <v>AN JR. ENG/ARQ</v>
      </c>
      <c r="CB581" s="161">
        <f t="shared" si="2366"/>
        <v>0</v>
      </c>
      <c r="CC581" s="161">
        <f t="shared" si="2367"/>
        <v>0</v>
      </c>
      <c r="CD581" s="161">
        <f t="shared" si="2368"/>
        <v>0</v>
      </c>
      <c r="CE581" s="161">
        <f t="shared" si="2369"/>
        <v>0</v>
      </c>
      <c r="CF581" s="161">
        <f t="shared" si="2370"/>
        <v>0</v>
      </c>
      <c r="CG581" s="161">
        <f t="shared" si="2371"/>
        <v>0</v>
      </c>
      <c r="CH581" s="161">
        <f t="shared" si="2372"/>
        <v>0</v>
      </c>
      <c r="CI581" s="161">
        <f t="shared" si="2373"/>
        <v>0</v>
      </c>
      <c r="CJ581" s="161">
        <f t="shared" si="2374"/>
        <v>0</v>
      </c>
      <c r="CK581" s="161">
        <f t="shared" si="2375"/>
        <v>0</v>
      </c>
      <c r="CL581" s="161">
        <f t="shared" si="2376"/>
        <v>0</v>
      </c>
      <c r="CM581" s="161">
        <f t="shared" si="2377"/>
        <v>0</v>
      </c>
      <c r="CN581" s="161">
        <f t="shared" si="2378"/>
        <v>0</v>
      </c>
      <c r="CO581" s="161">
        <f t="shared" si="2379"/>
        <v>0</v>
      </c>
      <c r="CP581" s="161">
        <f t="shared" si="2380"/>
        <v>0</v>
      </c>
      <c r="CQ581" s="161">
        <f t="shared" si="2381"/>
        <v>0</v>
      </c>
      <c r="CR581" s="161">
        <f t="shared" si="2382"/>
        <v>0</v>
      </c>
      <c r="CS581" s="161">
        <f t="shared" si="2383"/>
        <v>0</v>
      </c>
      <c r="CT581" s="161">
        <f t="shared" si="2384"/>
        <v>0</v>
      </c>
      <c r="CU581" s="161">
        <f t="shared" si="2385"/>
        <v>0</v>
      </c>
      <c r="CV581" s="161">
        <f t="shared" si="2386"/>
        <v>0</v>
      </c>
      <c r="CW581" s="161">
        <f t="shared" si="2387"/>
        <v>0</v>
      </c>
      <c r="CX581" s="161">
        <f t="shared" si="2388"/>
        <v>0</v>
      </c>
      <c r="CY581" s="161">
        <f t="shared" si="2389"/>
        <v>0</v>
      </c>
      <c r="CZ581" s="161">
        <f t="shared" si="2390"/>
        <v>0</v>
      </c>
      <c r="DA581" s="161">
        <f t="shared" si="2391"/>
        <v>0</v>
      </c>
      <c r="DB581" s="161">
        <f t="shared" si="2392"/>
        <v>0</v>
      </c>
      <c r="DC581" s="161">
        <f t="shared" si="2393"/>
        <v>0</v>
      </c>
      <c r="DD581" s="161">
        <f t="shared" si="2394"/>
        <v>0</v>
      </c>
      <c r="DE581" s="161">
        <f t="shared" si="2395"/>
        <v>0</v>
      </c>
      <c r="DF581" s="161">
        <f t="shared" si="2396"/>
        <v>0</v>
      </c>
      <c r="DG581" s="161">
        <f t="shared" si="2397"/>
        <v>0</v>
      </c>
      <c r="DH581" s="161">
        <f t="shared" si="2398"/>
        <v>0</v>
      </c>
      <c r="DI581" s="161">
        <f t="shared" si="2399"/>
        <v>0</v>
      </c>
      <c r="DJ581" s="161">
        <f t="shared" si="2400"/>
        <v>0</v>
      </c>
      <c r="DK581" s="161">
        <f t="shared" si="2401"/>
        <v>0</v>
      </c>
      <c r="DL581" s="161">
        <f t="shared" si="2402"/>
        <v>0</v>
      </c>
      <c r="DM581" s="161">
        <f t="shared" si="2403"/>
        <v>0</v>
      </c>
      <c r="DN581" s="161">
        <f t="shared" si="2404"/>
        <v>0</v>
      </c>
      <c r="DO581" s="161">
        <f t="shared" si="2405"/>
        <v>0</v>
      </c>
      <c r="DP581" s="161">
        <f t="shared" si="2406"/>
        <v>0</v>
      </c>
      <c r="DQ581" s="161">
        <f t="shared" si="2407"/>
        <v>0</v>
      </c>
      <c r="DR581" s="161">
        <f t="shared" si="2408"/>
        <v>0</v>
      </c>
      <c r="DS581" s="161">
        <f t="shared" si="2409"/>
        <v>0</v>
      </c>
      <c r="DT581" s="161">
        <f t="shared" si="2410"/>
        <v>0</v>
      </c>
      <c r="DU581" s="161">
        <f t="shared" si="2411"/>
        <v>0</v>
      </c>
      <c r="DV581" s="161">
        <f t="shared" si="2412"/>
        <v>0</v>
      </c>
      <c r="DW581" s="161">
        <f t="shared" si="2413"/>
        <v>0</v>
      </c>
      <c r="DX581" s="161">
        <f t="shared" si="2414"/>
        <v>0</v>
      </c>
      <c r="DY581" s="161">
        <f t="shared" si="2415"/>
        <v>0</v>
      </c>
      <c r="DZ581" s="161">
        <f t="shared" si="2416"/>
        <v>0</v>
      </c>
      <c r="EA581" s="161">
        <f t="shared" si="2417"/>
        <v>0</v>
      </c>
      <c r="EB581" s="161">
        <f t="shared" si="2418"/>
        <v>0</v>
      </c>
      <c r="EC581" s="161">
        <f t="shared" si="2419"/>
        <v>0</v>
      </c>
      <c r="ED581" s="161">
        <f t="shared" si="2420"/>
        <v>0</v>
      </c>
      <c r="EE581" s="161">
        <f t="shared" si="2421"/>
        <v>0</v>
      </c>
      <c r="EF581" s="161">
        <f t="shared" si="2422"/>
        <v>0</v>
      </c>
      <c r="EG581" s="161">
        <f t="shared" si="2423"/>
        <v>0</v>
      </c>
      <c r="EH581" s="161">
        <f t="shared" si="2424"/>
        <v>0</v>
      </c>
      <c r="EI581" s="161">
        <f t="shared" si="2425"/>
        <v>0</v>
      </c>
      <c r="EJ581" s="65"/>
      <c r="EK581" s="161">
        <f t="shared" si="2426"/>
        <v>0</v>
      </c>
      <c r="EL581" s="161">
        <f t="shared" si="2427"/>
        <v>0</v>
      </c>
      <c r="EM581" s="161">
        <f t="shared" si="2428"/>
        <v>0</v>
      </c>
    </row>
    <row r="582" spans="1:143" ht="12" hidden="1" customHeight="1" outlineLevel="2">
      <c r="A582" s="77">
        <v>10</v>
      </c>
      <c r="B582" s="137" t="str">
        <f t="shared" si="2356"/>
        <v>AN SR. ADM/CRP - Equipe_01</v>
      </c>
      <c r="C582" s="65"/>
      <c r="D582" s="621"/>
      <c r="E582" s="65"/>
      <c r="F582" s="603"/>
      <c r="G582" s="77" t="str">
        <f>IF(INDEX(Tarefas!$BT$30:$FK$30,MATCH(A582,Tarefas!$BT$28:$FK$28,0))=0,"",INDEX(Tarefas!$BT$30:$FK$30,MATCH(A582,Tarefas!$BT$28:$FK$28,0)))</f>
        <v>AN SR. ADM/CRP</v>
      </c>
      <c r="H582" s="107" cm="1">
        <f t="array" ref="H582">IFERROR((SUMPRODUCT((Tarefas!$N$32:$N$54='Cronog. e Histog.'!$F$573)*(Tarefas!$BQ$30:$FK$30='Cronog. e Histog.'!$G582)*(Tarefas!$BQ$32:$FK$54)))/SUMIF(Tarefas!$N$32:$N$54,'Cronog. e Histog.'!$F$573,Tarefas!$K$32:$K$54),0)</f>
        <v>0</v>
      </c>
      <c r="I582" s="79">
        <f t="shared" si="2357"/>
        <v>0</v>
      </c>
      <c r="J582" s="65"/>
      <c r="K582" s="160">
        <f t="shared" si="2358"/>
        <v>0</v>
      </c>
      <c r="L582" s="160">
        <f t="shared" si="2358"/>
        <v>0</v>
      </c>
      <c r="M582" s="160">
        <f t="shared" si="2358"/>
        <v>0</v>
      </c>
      <c r="N582" s="160">
        <f t="shared" si="2358"/>
        <v>0</v>
      </c>
      <c r="O582" s="160">
        <f t="shared" si="2358"/>
        <v>0</v>
      </c>
      <c r="P582" s="160">
        <f t="shared" si="2358"/>
        <v>0</v>
      </c>
      <c r="Q582" s="160">
        <f t="shared" si="2358"/>
        <v>0</v>
      </c>
      <c r="R582" s="160">
        <f t="shared" si="2358"/>
        <v>0</v>
      </c>
      <c r="S582" s="160">
        <f t="shared" si="2358"/>
        <v>0</v>
      </c>
      <c r="T582" s="160">
        <f t="shared" si="2358"/>
        <v>0</v>
      </c>
      <c r="U582" s="160">
        <f t="shared" si="2358"/>
        <v>0</v>
      </c>
      <c r="V582" s="160">
        <f t="shared" si="2358"/>
        <v>0</v>
      </c>
      <c r="W582" s="160">
        <f t="shared" si="2358"/>
        <v>0</v>
      </c>
      <c r="X582" s="160">
        <f t="shared" si="2358"/>
        <v>0</v>
      </c>
      <c r="Y582" s="160">
        <f t="shared" si="2358"/>
        <v>0</v>
      </c>
      <c r="Z582" s="160">
        <f t="shared" si="2358"/>
        <v>0</v>
      </c>
      <c r="AA582" s="160">
        <f t="shared" si="2359"/>
        <v>0</v>
      </c>
      <c r="AB582" s="160">
        <f t="shared" si="2359"/>
        <v>0</v>
      </c>
      <c r="AC582" s="160">
        <f t="shared" si="2359"/>
        <v>0</v>
      </c>
      <c r="AD582" s="160">
        <f t="shared" si="2359"/>
        <v>0</v>
      </c>
      <c r="AE582" s="160">
        <f t="shared" si="2359"/>
        <v>0</v>
      </c>
      <c r="AF582" s="160">
        <f t="shared" si="2359"/>
        <v>0</v>
      </c>
      <c r="AG582" s="160">
        <f t="shared" si="2359"/>
        <v>0</v>
      </c>
      <c r="AH582" s="160">
        <f t="shared" si="2359"/>
        <v>0</v>
      </c>
      <c r="AI582" s="160">
        <f t="shared" si="2359"/>
        <v>0</v>
      </c>
      <c r="AJ582" s="160">
        <f t="shared" si="2359"/>
        <v>0</v>
      </c>
      <c r="AK582" s="160">
        <f t="shared" si="2359"/>
        <v>0</v>
      </c>
      <c r="AL582" s="160">
        <f t="shared" si="2359"/>
        <v>0</v>
      </c>
      <c r="AM582" s="160">
        <f t="shared" si="2359"/>
        <v>0</v>
      </c>
      <c r="AN582" s="160">
        <f t="shared" si="2359"/>
        <v>0</v>
      </c>
      <c r="AO582" s="160">
        <f t="shared" si="2359"/>
        <v>0</v>
      </c>
      <c r="AP582" s="160">
        <f t="shared" si="2359"/>
        <v>0</v>
      </c>
      <c r="AQ582" s="160">
        <f t="shared" si="2360"/>
        <v>0</v>
      </c>
      <c r="AR582" s="160">
        <f t="shared" si="2360"/>
        <v>0</v>
      </c>
      <c r="AS582" s="160">
        <f t="shared" si="2360"/>
        <v>0</v>
      </c>
      <c r="AT582" s="160">
        <f t="shared" si="2360"/>
        <v>0</v>
      </c>
      <c r="AU582" s="160">
        <f t="shared" si="2360"/>
        <v>0</v>
      </c>
      <c r="AV582" s="160">
        <f t="shared" si="2360"/>
        <v>0</v>
      </c>
      <c r="AW582" s="160">
        <f t="shared" si="2360"/>
        <v>0</v>
      </c>
      <c r="AX582" s="160">
        <f t="shared" si="2360"/>
        <v>0</v>
      </c>
      <c r="AY582" s="160">
        <f t="shared" si="2360"/>
        <v>0</v>
      </c>
      <c r="AZ582" s="160">
        <f t="shared" si="2360"/>
        <v>0</v>
      </c>
      <c r="BA582" s="160">
        <f t="shared" si="2360"/>
        <v>0</v>
      </c>
      <c r="BB582" s="160">
        <f t="shared" si="2360"/>
        <v>0</v>
      </c>
      <c r="BC582" s="160">
        <f t="shared" si="2360"/>
        <v>0</v>
      </c>
      <c r="BD582" s="160">
        <f t="shared" si="2360"/>
        <v>0</v>
      </c>
      <c r="BE582" s="160">
        <f t="shared" si="2360"/>
        <v>0</v>
      </c>
      <c r="BF582" s="160">
        <f t="shared" si="2360"/>
        <v>0</v>
      </c>
      <c r="BG582" s="160">
        <f t="shared" si="2361"/>
        <v>0</v>
      </c>
      <c r="BH582" s="160">
        <f t="shared" si="2361"/>
        <v>0</v>
      </c>
      <c r="BI582" s="160">
        <f t="shared" si="2361"/>
        <v>0</v>
      </c>
      <c r="BJ582" s="160">
        <f t="shared" si="2361"/>
        <v>0</v>
      </c>
      <c r="BK582" s="160">
        <f t="shared" si="2361"/>
        <v>0</v>
      </c>
      <c r="BL582" s="160">
        <f t="shared" si="2361"/>
        <v>0</v>
      </c>
      <c r="BM582" s="160">
        <f t="shared" si="2361"/>
        <v>0</v>
      </c>
      <c r="BN582" s="160">
        <f t="shared" si="2361"/>
        <v>0</v>
      </c>
      <c r="BO582" s="160">
        <f t="shared" si="2361"/>
        <v>0</v>
      </c>
      <c r="BP582" s="160">
        <f t="shared" si="2361"/>
        <v>0</v>
      </c>
      <c r="BQ582" s="160">
        <f t="shared" si="2361"/>
        <v>0</v>
      </c>
      <c r="BR582" s="160">
        <f t="shared" si="2361"/>
        <v>0</v>
      </c>
      <c r="BS582" s="65"/>
      <c r="BT582" s="160">
        <f t="shared" si="2362"/>
        <v>0</v>
      </c>
      <c r="BU582" s="160">
        <f t="shared" si="2363"/>
        <v>0</v>
      </c>
      <c r="BV582" s="65"/>
      <c r="BW582" s="69"/>
      <c r="BX582" s="65"/>
      <c r="BY582" s="137">
        <f t="shared" si="2364"/>
        <v>1</v>
      </c>
      <c r="BZ582" s="137">
        <f>IF(BY582&gt;0,BY582+LARGE($BZ$213:BZ581,1),0)</f>
        <v>310</v>
      </c>
      <c r="CA582" s="137" t="str">
        <f t="shared" si="2365"/>
        <v>AN SR. ADM/CRP</v>
      </c>
      <c r="CB582" s="161">
        <f t="shared" si="2366"/>
        <v>0</v>
      </c>
      <c r="CC582" s="161">
        <f t="shared" si="2367"/>
        <v>0</v>
      </c>
      <c r="CD582" s="161">
        <f t="shared" si="2368"/>
        <v>0</v>
      </c>
      <c r="CE582" s="161">
        <f t="shared" si="2369"/>
        <v>0</v>
      </c>
      <c r="CF582" s="161">
        <f t="shared" si="2370"/>
        <v>0</v>
      </c>
      <c r="CG582" s="161">
        <f t="shared" si="2371"/>
        <v>0</v>
      </c>
      <c r="CH582" s="161">
        <f t="shared" si="2372"/>
        <v>0</v>
      </c>
      <c r="CI582" s="161">
        <f t="shared" si="2373"/>
        <v>0</v>
      </c>
      <c r="CJ582" s="161">
        <f t="shared" si="2374"/>
        <v>0</v>
      </c>
      <c r="CK582" s="161">
        <f t="shared" si="2375"/>
        <v>0</v>
      </c>
      <c r="CL582" s="161">
        <f t="shared" si="2376"/>
        <v>0</v>
      </c>
      <c r="CM582" s="161">
        <f t="shared" si="2377"/>
        <v>0</v>
      </c>
      <c r="CN582" s="161">
        <f t="shared" si="2378"/>
        <v>0</v>
      </c>
      <c r="CO582" s="161">
        <f t="shared" si="2379"/>
        <v>0</v>
      </c>
      <c r="CP582" s="161">
        <f t="shared" si="2380"/>
        <v>0</v>
      </c>
      <c r="CQ582" s="161">
        <f t="shared" si="2381"/>
        <v>0</v>
      </c>
      <c r="CR582" s="161">
        <f t="shared" si="2382"/>
        <v>0</v>
      </c>
      <c r="CS582" s="161">
        <f t="shared" si="2383"/>
        <v>0</v>
      </c>
      <c r="CT582" s="161">
        <f t="shared" si="2384"/>
        <v>0</v>
      </c>
      <c r="CU582" s="161">
        <f t="shared" si="2385"/>
        <v>0</v>
      </c>
      <c r="CV582" s="161">
        <f t="shared" si="2386"/>
        <v>0</v>
      </c>
      <c r="CW582" s="161">
        <f t="shared" si="2387"/>
        <v>0</v>
      </c>
      <c r="CX582" s="161">
        <f t="shared" si="2388"/>
        <v>0</v>
      </c>
      <c r="CY582" s="161">
        <f t="shared" si="2389"/>
        <v>0</v>
      </c>
      <c r="CZ582" s="161">
        <f t="shared" si="2390"/>
        <v>0</v>
      </c>
      <c r="DA582" s="161">
        <f t="shared" si="2391"/>
        <v>0</v>
      </c>
      <c r="DB582" s="161">
        <f t="shared" si="2392"/>
        <v>0</v>
      </c>
      <c r="DC582" s="161">
        <f t="shared" si="2393"/>
        <v>0</v>
      </c>
      <c r="DD582" s="161">
        <f t="shared" si="2394"/>
        <v>0</v>
      </c>
      <c r="DE582" s="161">
        <f t="shared" si="2395"/>
        <v>0</v>
      </c>
      <c r="DF582" s="161">
        <f t="shared" si="2396"/>
        <v>0</v>
      </c>
      <c r="DG582" s="161">
        <f t="shared" si="2397"/>
        <v>0</v>
      </c>
      <c r="DH582" s="161">
        <f t="shared" si="2398"/>
        <v>0</v>
      </c>
      <c r="DI582" s="161">
        <f t="shared" si="2399"/>
        <v>0</v>
      </c>
      <c r="DJ582" s="161">
        <f t="shared" si="2400"/>
        <v>0</v>
      </c>
      <c r="DK582" s="161">
        <f t="shared" si="2401"/>
        <v>0</v>
      </c>
      <c r="DL582" s="161">
        <f t="shared" si="2402"/>
        <v>0</v>
      </c>
      <c r="DM582" s="161">
        <f t="shared" si="2403"/>
        <v>0</v>
      </c>
      <c r="DN582" s="161">
        <f t="shared" si="2404"/>
        <v>0</v>
      </c>
      <c r="DO582" s="161">
        <f t="shared" si="2405"/>
        <v>0</v>
      </c>
      <c r="DP582" s="161">
        <f t="shared" si="2406"/>
        <v>0</v>
      </c>
      <c r="DQ582" s="161">
        <f t="shared" si="2407"/>
        <v>0</v>
      </c>
      <c r="DR582" s="161">
        <f t="shared" si="2408"/>
        <v>0</v>
      </c>
      <c r="DS582" s="161">
        <f t="shared" si="2409"/>
        <v>0</v>
      </c>
      <c r="DT582" s="161">
        <f t="shared" si="2410"/>
        <v>0</v>
      </c>
      <c r="DU582" s="161">
        <f t="shared" si="2411"/>
        <v>0</v>
      </c>
      <c r="DV582" s="161">
        <f t="shared" si="2412"/>
        <v>0</v>
      </c>
      <c r="DW582" s="161">
        <f t="shared" si="2413"/>
        <v>0</v>
      </c>
      <c r="DX582" s="161">
        <f t="shared" si="2414"/>
        <v>0</v>
      </c>
      <c r="DY582" s="161">
        <f t="shared" si="2415"/>
        <v>0</v>
      </c>
      <c r="DZ582" s="161">
        <f t="shared" si="2416"/>
        <v>0</v>
      </c>
      <c r="EA582" s="161">
        <f t="shared" si="2417"/>
        <v>0</v>
      </c>
      <c r="EB582" s="161">
        <f t="shared" si="2418"/>
        <v>0</v>
      </c>
      <c r="EC582" s="161">
        <f t="shared" si="2419"/>
        <v>0</v>
      </c>
      <c r="ED582" s="161">
        <f t="shared" si="2420"/>
        <v>0</v>
      </c>
      <c r="EE582" s="161">
        <f t="shared" si="2421"/>
        <v>0</v>
      </c>
      <c r="EF582" s="161">
        <f t="shared" si="2422"/>
        <v>0</v>
      </c>
      <c r="EG582" s="161">
        <f t="shared" si="2423"/>
        <v>0</v>
      </c>
      <c r="EH582" s="161">
        <f t="shared" si="2424"/>
        <v>0</v>
      </c>
      <c r="EI582" s="161">
        <f t="shared" si="2425"/>
        <v>0</v>
      </c>
      <c r="EJ582" s="65"/>
      <c r="EK582" s="161">
        <f t="shared" si="2426"/>
        <v>0</v>
      </c>
      <c r="EL582" s="161">
        <f t="shared" si="2427"/>
        <v>0</v>
      </c>
      <c r="EM582" s="161">
        <f t="shared" si="2428"/>
        <v>0</v>
      </c>
    </row>
    <row r="583" spans="1:143" ht="12" hidden="1" customHeight="1" outlineLevel="2">
      <c r="A583" s="77">
        <v>11</v>
      </c>
      <c r="B583" s="137" t="str">
        <f t="shared" si="2356"/>
        <v>AN PL. ADM/CRP - Equipe_01</v>
      </c>
      <c r="C583" s="65"/>
      <c r="D583" s="621"/>
      <c r="E583" s="65"/>
      <c r="F583" s="603"/>
      <c r="G583" s="77" t="str">
        <f>IF(INDEX(Tarefas!$BT$30:$FK$30,MATCH(A583,Tarefas!$BT$28:$FK$28,0))=0,"",INDEX(Tarefas!$BT$30:$FK$30,MATCH(A583,Tarefas!$BT$28:$FK$28,0)))</f>
        <v>AN PL. ADM/CRP</v>
      </c>
      <c r="H583" s="107" cm="1">
        <f t="array" ref="H583">IFERROR((SUMPRODUCT((Tarefas!$N$32:$N$54='Cronog. e Histog.'!$F$573)*(Tarefas!$BQ$30:$FK$30='Cronog. e Histog.'!$G583)*(Tarefas!$BQ$32:$FK$54)))/SUMIF(Tarefas!$N$32:$N$54,'Cronog. e Histog.'!$F$573,Tarefas!$K$32:$K$54),0)</f>
        <v>0</v>
      </c>
      <c r="I583" s="79">
        <f t="shared" si="2357"/>
        <v>0</v>
      </c>
      <c r="J583" s="65"/>
      <c r="K583" s="160">
        <f t="shared" si="2358"/>
        <v>0</v>
      </c>
      <c r="L583" s="160">
        <f t="shared" si="2358"/>
        <v>0</v>
      </c>
      <c r="M583" s="160">
        <f t="shared" si="2358"/>
        <v>0</v>
      </c>
      <c r="N583" s="160">
        <f t="shared" si="2358"/>
        <v>0</v>
      </c>
      <c r="O583" s="160">
        <f t="shared" si="2358"/>
        <v>0</v>
      </c>
      <c r="P583" s="160">
        <f t="shared" si="2358"/>
        <v>0</v>
      </c>
      <c r="Q583" s="160">
        <f t="shared" si="2358"/>
        <v>0</v>
      </c>
      <c r="R583" s="160">
        <f t="shared" si="2358"/>
        <v>0</v>
      </c>
      <c r="S583" s="160">
        <f t="shared" si="2358"/>
        <v>0</v>
      </c>
      <c r="T583" s="160">
        <f t="shared" si="2358"/>
        <v>0</v>
      </c>
      <c r="U583" s="160">
        <f t="shared" si="2358"/>
        <v>0</v>
      </c>
      <c r="V583" s="160">
        <f t="shared" si="2358"/>
        <v>0</v>
      </c>
      <c r="W583" s="160">
        <f t="shared" si="2358"/>
        <v>0</v>
      </c>
      <c r="X583" s="160">
        <f t="shared" si="2358"/>
        <v>0</v>
      </c>
      <c r="Y583" s="160">
        <f t="shared" si="2358"/>
        <v>0</v>
      </c>
      <c r="Z583" s="160">
        <f t="shared" si="2358"/>
        <v>0</v>
      </c>
      <c r="AA583" s="160">
        <f t="shared" si="2359"/>
        <v>0</v>
      </c>
      <c r="AB583" s="160">
        <f t="shared" si="2359"/>
        <v>0</v>
      </c>
      <c r="AC583" s="160">
        <f t="shared" si="2359"/>
        <v>0</v>
      </c>
      <c r="AD583" s="160">
        <f t="shared" si="2359"/>
        <v>0</v>
      </c>
      <c r="AE583" s="160">
        <f t="shared" si="2359"/>
        <v>0</v>
      </c>
      <c r="AF583" s="160">
        <f t="shared" si="2359"/>
        <v>0</v>
      </c>
      <c r="AG583" s="160">
        <f t="shared" si="2359"/>
        <v>0</v>
      </c>
      <c r="AH583" s="160">
        <f t="shared" si="2359"/>
        <v>0</v>
      </c>
      <c r="AI583" s="160">
        <f t="shared" si="2359"/>
        <v>0</v>
      </c>
      <c r="AJ583" s="160">
        <f t="shared" si="2359"/>
        <v>0</v>
      </c>
      <c r="AK583" s="160">
        <f t="shared" si="2359"/>
        <v>0</v>
      </c>
      <c r="AL583" s="160">
        <f t="shared" si="2359"/>
        <v>0</v>
      </c>
      <c r="AM583" s="160">
        <f t="shared" si="2359"/>
        <v>0</v>
      </c>
      <c r="AN583" s="160">
        <f t="shared" si="2359"/>
        <v>0</v>
      </c>
      <c r="AO583" s="160">
        <f t="shared" si="2359"/>
        <v>0</v>
      </c>
      <c r="AP583" s="160">
        <f t="shared" si="2359"/>
        <v>0</v>
      </c>
      <c r="AQ583" s="160">
        <f t="shared" si="2360"/>
        <v>0</v>
      </c>
      <c r="AR583" s="160">
        <f t="shared" si="2360"/>
        <v>0</v>
      </c>
      <c r="AS583" s="160">
        <f t="shared" si="2360"/>
        <v>0</v>
      </c>
      <c r="AT583" s="160">
        <f t="shared" si="2360"/>
        <v>0</v>
      </c>
      <c r="AU583" s="160">
        <f t="shared" si="2360"/>
        <v>0</v>
      </c>
      <c r="AV583" s="160">
        <f t="shared" si="2360"/>
        <v>0</v>
      </c>
      <c r="AW583" s="160">
        <f t="shared" si="2360"/>
        <v>0</v>
      </c>
      <c r="AX583" s="160">
        <f t="shared" si="2360"/>
        <v>0</v>
      </c>
      <c r="AY583" s="160">
        <f t="shared" si="2360"/>
        <v>0</v>
      </c>
      <c r="AZ583" s="160">
        <f t="shared" si="2360"/>
        <v>0</v>
      </c>
      <c r="BA583" s="160">
        <f t="shared" si="2360"/>
        <v>0</v>
      </c>
      <c r="BB583" s="160">
        <f t="shared" si="2360"/>
        <v>0</v>
      </c>
      <c r="BC583" s="160">
        <f t="shared" si="2360"/>
        <v>0</v>
      </c>
      <c r="BD583" s="160">
        <f t="shared" si="2360"/>
        <v>0</v>
      </c>
      <c r="BE583" s="160">
        <f t="shared" si="2360"/>
        <v>0</v>
      </c>
      <c r="BF583" s="160">
        <f t="shared" si="2360"/>
        <v>0</v>
      </c>
      <c r="BG583" s="160">
        <f t="shared" si="2361"/>
        <v>0</v>
      </c>
      <c r="BH583" s="160">
        <f t="shared" si="2361"/>
        <v>0</v>
      </c>
      <c r="BI583" s="160">
        <f t="shared" si="2361"/>
        <v>0</v>
      </c>
      <c r="BJ583" s="160">
        <f t="shared" si="2361"/>
        <v>0</v>
      </c>
      <c r="BK583" s="160">
        <f t="shared" si="2361"/>
        <v>0</v>
      </c>
      <c r="BL583" s="160">
        <f t="shared" si="2361"/>
        <v>0</v>
      </c>
      <c r="BM583" s="160">
        <f t="shared" si="2361"/>
        <v>0</v>
      </c>
      <c r="BN583" s="160">
        <f t="shared" si="2361"/>
        <v>0</v>
      </c>
      <c r="BO583" s="160">
        <f t="shared" si="2361"/>
        <v>0</v>
      </c>
      <c r="BP583" s="160">
        <f t="shared" si="2361"/>
        <v>0</v>
      </c>
      <c r="BQ583" s="160">
        <f t="shared" si="2361"/>
        <v>0</v>
      </c>
      <c r="BR583" s="160">
        <f t="shared" si="2361"/>
        <v>0</v>
      </c>
      <c r="BS583" s="65"/>
      <c r="BT583" s="160">
        <f t="shared" si="2362"/>
        <v>0</v>
      </c>
      <c r="BU583" s="160">
        <f t="shared" si="2363"/>
        <v>0</v>
      </c>
      <c r="BV583" s="65"/>
      <c r="BW583" s="69"/>
      <c r="BX583" s="65"/>
      <c r="BY583" s="137">
        <f t="shared" si="2364"/>
        <v>1</v>
      </c>
      <c r="BZ583" s="137">
        <f>IF(BY583&gt;0,BY583+LARGE($BZ$213:BZ582,1),0)</f>
        <v>311</v>
      </c>
      <c r="CA583" s="137" t="str">
        <f t="shared" si="2365"/>
        <v>AN PL. ADM/CRP</v>
      </c>
      <c r="CB583" s="161">
        <f t="shared" si="2366"/>
        <v>0</v>
      </c>
      <c r="CC583" s="161">
        <f t="shared" si="2367"/>
        <v>0</v>
      </c>
      <c r="CD583" s="161">
        <f t="shared" si="2368"/>
        <v>0</v>
      </c>
      <c r="CE583" s="161">
        <f t="shared" si="2369"/>
        <v>0</v>
      </c>
      <c r="CF583" s="161">
        <f t="shared" si="2370"/>
        <v>0</v>
      </c>
      <c r="CG583" s="161">
        <f t="shared" si="2371"/>
        <v>0</v>
      </c>
      <c r="CH583" s="161">
        <f t="shared" si="2372"/>
        <v>0</v>
      </c>
      <c r="CI583" s="161">
        <f t="shared" si="2373"/>
        <v>0</v>
      </c>
      <c r="CJ583" s="161">
        <f t="shared" si="2374"/>
        <v>0</v>
      </c>
      <c r="CK583" s="161">
        <f t="shared" si="2375"/>
        <v>0</v>
      </c>
      <c r="CL583" s="161">
        <f t="shared" si="2376"/>
        <v>0</v>
      </c>
      <c r="CM583" s="161">
        <f t="shared" si="2377"/>
        <v>0</v>
      </c>
      <c r="CN583" s="161">
        <f t="shared" si="2378"/>
        <v>0</v>
      </c>
      <c r="CO583" s="161">
        <f t="shared" si="2379"/>
        <v>0</v>
      </c>
      <c r="CP583" s="161">
        <f t="shared" si="2380"/>
        <v>0</v>
      </c>
      <c r="CQ583" s="161">
        <f t="shared" si="2381"/>
        <v>0</v>
      </c>
      <c r="CR583" s="161">
        <f t="shared" si="2382"/>
        <v>0</v>
      </c>
      <c r="CS583" s="161">
        <f t="shared" si="2383"/>
        <v>0</v>
      </c>
      <c r="CT583" s="161">
        <f t="shared" si="2384"/>
        <v>0</v>
      </c>
      <c r="CU583" s="161">
        <f t="shared" si="2385"/>
        <v>0</v>
      </c>
      <c r="CV583" s="161">
        <f t="shared" si="2386"/>
        <v>0</v>
      </c>
      <c r="CW583" s="161">
        <f t="shared" si="2387"/>
        <v>0</v>
      </c>
      <c r="CX583" s="161">
        <f t="shared" si="2388"/>
        <v>0</v>
      </c>
      <c r="CY583" s="161">
        <f t="shared" si="2389"/>
        <v>0</v>
      </c>
      <c r="CZ583" s="161">
        <f t="shared" si="2390"/>
        <v>0</v>
      </c>
      <c r="DA583" s="161">
        <f t="shared" si="2391"/>
        <v>0</v>
      </c>
      <c r="DB583" s="161">
        <f t="shared" si="2392"/>
        <v>0</v>
      </c>
      <c r="DC583" s="161">
        <f t="shared" si="2393"/>
        <v>0</v>
      </c>
      <c r="DD583" s="161">
        <f t="shared" si="2394"/>
        <v>0</v>
      </c>
      <c r="DE583" s="161">
        <f t="shared" si="2395"/>
        <v>0</v>
      </c>
      <c r="DF583" s="161">
        <f t="shared" si="2396"/>
        <v>0</v>
      </c>
      <c r="DG583" s="161">
        <f t="shared" si="2397"/>
        <v>0</v>
      </c>
      <c r="DH583" s="161">
        <f t="shared" si="2398"/>
        <v>0</v>
      </c>
      <c r="DI583" s="161">
        <f t="shared" si="2399"/>
        <v>0</v>
      </c>
      <c r="DJ583" s="161">
        <f t="shared" si="2400"/>
        <v>0</v>
      </c>
      <c r="DK583" s="161">
        <f t="shared" si="2401"/>
        <v>0</v>
      </c>
      <c r="DL583" s="161">
        <f t="shared" si="2402"/>
        <v>0</v>
      </c>
      <c r="DM583" s="161">
        <f t="shared" si="2403"/>
        <v>0</v>
      </c>
      <c r="DN583" s="161">
        <f t="shared" si="2404"/>
        <v>0</v>
      </c>
      <c r="DO583" s="161">
        <f t="shared" si="2405"/>
        <v>0</v>
      </c>
      <c r="DP583" s="161">
        <f t="shared" si="2406"/>
        <v>0</v>
      </c>
      <c r="DQ583" s="161">
        <f t="shared" si="2407"/>
        <v>0</v>
      </c>
      <c r="DR583" s="161">
        <f t="shared" si="2408"/>
        <v>0</v>
      </c>
      <c r="DS583" s="161">
        <f t="shared" si="2409"/>
        <v>0</v>
      </c>
      <c r="DT583" s="161">
        <f t="shared" si="2410"/>
        <v>0</v>
      </c>
      <c r="DU583" s="161">
        <f t="shared" si="2411"/>
        <v>0</v>
      </c>
      <c r="DV583" s="161">
        <f t="shared" si="2412"/>
        <v>0</v>
      </c>
      <c r="DW583" s="161">
        <f t="shared" si="2413"/>
        <v>0</v>
      </c>
      <c r="DX583" s="161">
        <f t="shared" si="2414"/>
        <v>0</v>
      </c>
      <c r="DY583" s="161">
        <f t="shared" si="2415"/>
        <v>0</v>
      </c>
      <c r="DZ583" s="161">
        <f t="shared" si="2416"/>
        <v>0</v>
      </c>
      <c r="EA583" s="161">
        <f t="shared" si="2417"/>
        <v>0</v>
      </c>
      <c r="EB583" s="161">
        <f t="shared" si="2418"/>
        <v>0</v>
      </c>
      <c r="EC583" s="161">
        <f t="shared" si="2419"/>
        <v>0</v>
      </c>
      <c r="ED583" s="161">
        <f t="shared" si="2420"/>
        <v>0</v>
      </c>
      <c r="EE583" s="161">
        <f t="shared" si="2421"/>
        <v>0</v>
      </c>
      <c r="EF583" s="161">
        <f t="shared" si="2422"/>
        <v>0</v>
      </c>
      <c r="EG583" s="161">
        <f t="shared" si="2423"/>
        <v>0</v>
      </c>
      <c r="EH583" s="161">
        <f t="shared" si="2424"/>
        <v>0</v>
      </c>
      <c r="EI583" s="161">
        <f t="shared" si="2425"/>
        <v>0</v>
      </c>
      <c r="EJ583" s="65"/>
      <c r="EK583" s="161">
        <f t="shared" si="2426"/>
        <v>0</v>
      </c>
      <c r="EL583" s="161">
        <f t="shared" si="2427"/>
        <v>0</v>
      </c>
      <c r="EM583" s="161">
        <f t="shared" si="2428"/>
        <v>0</v>
      </c>
    </row>
    <row r="584" spans="1:143" ht="12" hidden="1" customHeight="1" outlineLevel="2">
      <c r="A584" s="77">
        <v>12</v>
      </c>
      <c r="B584" s="137" t="str">
        <f t="shared" si="2356"/>
        <v>AN JR. ADM/CRP - Equipe_01</v>
      </c>
      <c r="C584" s="65"/>
      <c r="D584" s="622"/>
      <c r="E584" s="65"/>
      <c r="F584" s="603"/>
      <c r="G584" s="77" t="str">
        <f>IF(INDEX(Tarefas!$BT$30:$FK$30,MATCH(A584,Tarefas!$BT$28:$FK$28,0))=0,"",INDEX(Tarefas!$BT$30:$FK$30,MATCH(A584,Tarefas!$BT$28:$FK$28,0)))</f>
        <v>AN JR. ADM/CRP</v>
      </c>
      <c r="H584" s="107" cm="1">
        <f t="array" ref="H584">IFERROR((SUMPRODUCT((Tarefas!$N$32:$N$54='Cronog. e Histog.'!$F$573)*(Tarefas!$BQ$30:$FK$30='Cronog. e Histog.'!$G584)*(Tarefas!$BQ$32:$FK$54)))/SUMIF(Tarefas!$N$32:$N$54,'Cronog. e Histog.'!$F$573,Tarefas!$K$32:$K$54),0)</f>
        <v>0</v>
      </c>
      <c r="I584" s="79">
        <f t="shared" si="2357"/>
        <v>0</v>
      </c>
      <c r="J584" s="65"/>
      <c r="K584" s="160">
        <f t="shared" ref="K584:Z592" si="2429">ROUND($I584*K$198,2)</f>
        <v>0</v>
      </c>
      <c r="L584" s="160">
        <f t="shared" si="2429"/>
        <v>0</v>
      </c>
      <c r="M584" s="160">
        <f t="shared" si="2429"/>
        <v>0</v>
      </c>
      <c r="N584" s="160">
        <f t="shared" si="2429"/>
        <v>0</v>
      </c>
      <c r="O584" s="160">
        <f t="shared" si="2429"/>
        <v>0</v>
      </c>
      <c r="P584" s="160">
        <f t="shared" si="2429"/>
        <v>0</v>
      </c>
      <c r="Q584" s="160">
        <f t="shared" si="2429"/>
        <v>0</v>
      </c>
      <c r="R584" s="160">
        <f t="shared" si="2429"/>
        <v>0</v>
      </c>
      <c r="S584" s="160">
        <f t="shared" si="2429"/>
        <v>0</v>
      </c>
      <c r="T584" s="160">
        <f t="shared" si="2429"/>
        <v>0</v>
      </c>
      <c r="U584" s="160">
        <f t="shared" si="2429"/>
        <v>0</v>
      </c>
      <c r="V584" s="160">
        <f t="shared" si="2429"/>
        <v>0</v>
      </c>
      <c r="W584" s="160">
        <f t="shared" si="2429"/>
        <v>0</v>
      </c>
      <c r="X584" s="160">
        <f t="shared" si="2429"/>
        <v>0</v>
      </c>
      <c r="Y584" s="160">
        <f t="shared" si="2429"/>
        <v>0</v>
      </c>
      <c r="Z584" s="160">
        <f t="shared" si="2429"/>
        <v>0</v>
      </c>
      <c r="AA584" s="160">
        <f t="shared" si="2291"/>
        <v>0</v>
      </c>
      <c r="AB584" s="160">
        <f t="shared" si="2291"/>
        <v>0</v>
      </c>
      <c r="AC584" s="160">
        <f t="shared" si="2291"/>
        <v>0</v>
      </c>
      <c r="AD584" s="160">
        <f t="shared" si="2291"/>
        <v>0</v>
      </c>
      <c r="AE584" s="160">
        <f t="shared" si="2291"/>
        <v>0</v>
      </c>
      <c r="AF584" s="160">
        <f t="shared" si="2291"/>
        <v>0</v>
      </c>
      <c r="AG584" s="160">
        <f t="shared" si="2291"/>
        <v>0</v>
      </c>
      <c r="AH584" s="160">
        <f t="shared" si="2291"/>
        <v>0</v>
      </c>
      <c r="AI584" s="160">
        <f t="shared" si="2291"/>
        <v>0</v>
      </c>
      <c r="AJ584" s="160">
        <f t="shared" si="2291"/>
        <v>0</v>
      </c>
      <c r="AK584" s="160">
        <f t="shared" si="2291"/>
        <v>0</v>
      </c>
      <c r="AL584" s="160">
        <f t="shared" si="2291"/>
        <v>0</v>
      </c>
      <c r="AM584" s="160">
        <f t="shared" si="2291"/>
        <v>0</v>
      </c>
      <c r="AN584" s="160">
        <f t="shared" si="2291"/>
        <v>0</v>
      </c>
      <c r="AO584" s="160">
        <f t="shared" si="2291"/>
        <v>0</v>
      </c>
      <c r="AP584" s="160">
        <f t="shared" si="2291"/>
        <v>0</v>
      </c>
      <c r="AQ584" s="160">
        <f t="shared" si="2291"/>
        <v>0</v>
      </c>
      <c r="AR584" s="160">
        <f t="shared" si="2291"/>
        <v>0</v>
      </c>
      <c r="AS584" s="160">
        <f t="shared" si="2291"/>
        <v>0</v>
      </c>
      <c r="AT584" s="160">
        <f t="shared" si="2291"/>
        <v>0</v>
      </c>
      <c r="AU584" s="160">
        <f t="shared" si="2291"/>
        <v>0</v>
      </c>
      <c r="AV584" s="160">
        <f t="shared" si="2291"/>
        <v>0</v>
      </c>
      <c r="AW584" s="160">
        <f t="shared" si="2291"/>
        <v>0</v>
      </c>
      <c r="AX584" s="160">
        <f t="shared" si="2291"/>
        <v>0</v>
      </c>
      <c r="AY584" s="160">
        <f t="shared" si="2291"/>
        <v>0</v>
      </c>
      <c r="AZ584" s="160">
        <f t="shared" si="2291"/>
        <v>0</v>
      </c>
      <c r="BA584" s="160">
        <f t="shared" si="2291"/>
        <v>0</v>
      </c>
      <c r="BB584" s="160">
        <f t="shared" si="2291"/>
        <v>0</v>
      </c>
      <c r="BC584" s="160">
        <f t="shared" si="2291"/>
        <v>0</v>
      </c>
      <c r="BD584" s="160">
        <f t="shared" si="2291"/>
        <v>0</v>
      </c>
      <c r="BE584" s="160">
        <f t="shared" si="2291"/>
        <v>0</v>
      </c>
      <c r="BF584" s="160">
        <f t="shared" si="2291"/>
        <v>0</v>
      </c>
      <c r="BG584" s="160">
        <f t="shared" si="2291"/>
        <v>0</v>
      </c>
      <c r="BH584" s="160">
        <f t="shared" si="2291"/>
        <v>0</v>
      </c>
      <c r="BI584" s="160">
        <f t="shared" si="2291"/>
        <v>0</v>
      </c>
      <c r="BJ584" s="160">
        <f t="shared" si="2291"/>
        <v>0</v>
      </c>
      <c r="BK584" s="160">
        <f t="shared" si="2291"/>
        <v>0</v>
      </c>
      <c r="BL584" s="160">
        <f t="shared" si="2291"/>
        <v>0</v>
      </c>
      <c r="BM584" s="160">
        <f t="shared" si="2291"/>
        <v>0</v>
      </c>
      <c r="BN584" s="160">
        <f t="shared" si="2291"/>
        <v>0</v>
      </c>
      <c r="BO584" s="160">
        <f t="shared" si="2291"/>
        <v>0</v>
      </c>
      <c r="BP584" s="160">
        <f t="shared" si="2291"/>
        <v>0</v>
      </c>
      <c r="BQ584" s="160">
        <f t="shared" si="2291"/>
        <v>0</v>
      </c>
      <c r="BR584" s="160">
        <f t="shared" si="2291"/>
        <v>0</v>
      </c>
      <c r="BS584" s="65"/>
      <c r="BT584" s="160">
        <f t="shared" si="2292"/>
        <v>0</v>
      </c>
      <c r="BU584" s="160">
        <f t="shared" si="2293"/>
        <v>0</v>
      </c>
      <c r="BV584" s="65"/>
      <c r="BW584" s="69"/>
      <c r="BX584" s="65"/>
      <c r="BY584" s="137">
        <f t="shared" si="2294"/>
        <v>1</v>
      </c>
      <c r="BZ584" s="137">
        <f>IF(BY584&gt;0,BY584+LARGE($BZ$213:BZ583,1),0)</f>
        <v>312</v>
      </c>
      <c r="CA584" s="137" t="str">
        <f t="shared" si="2295"/>
        <v>AN JR. ADM/CRP</v>
      </c>
      <c r="CB584" s="161">
        <f t="shared" si="2296"/>
        <v>0</v>
      </c>
      <c r="CC584" s="161">
        <f t="shared" si="2297"/>
        <v>0</v>
      </c>
      <c r="CD584" s="161">
        <f t="shared" si="2298"/>
        <v>0</v>
      </c>
      <c r="CE584" s="161">
        <f t="shared" si="2299"/>
        <v>0</v>
      </c>
      <c r="CF584" s="161">
        <f t="shared" si="2300"/>
        <v>0</v>
      </c>
      <c r="CG584" s="161">
        <f t="shared" si="2301"/>
        <v>0</v>
      </c>
      <c r="CH584" s="161">
        <f t="shared" si="2302"/>
        <v>0</v>
      </c>
      <c r="CI584" s="161">
        <f t="shared" si="2303"/>
        <v>0</v>
      </c>
      <c r="CJ584" s="161">
        <f t="shared" si="2304"/>
        <v>0</v>
      </c>
      <c r="CK584" s="161">
        <f t="shared" si="2305"/>
        <v>0</v>
      </c>
      <c r="CL584" s="161">
        <f t="shared" si="2306"/>
        <v>0</v>
      </c>
      <c r="CM584" s="161">
        <f t="shared" si="2307"/>
        <v>0</v>
      </c>
      <c r="CN584" s="161">
        <f t="shared" si="2308"/>
        <v>0</v>
      </c>
      <c r="CO584" s="161">
        <f t="shared" si="2309"/>
        <v>0</v>
      </c>
      <c r="CP584" s="161">
        <f t="shared" si="2310"/>
        <v>0</v>
      </c>
      <c r="CQ584" s="161">
        <f t="shared" si="2311"/>
        <v>0</v>
      </c>
      <c r="CR584" s="161">
        <f t="shared" si="2312"/>
        <v>0</v>
      </c>
      <c r="CS584" s="161">
        <f t="shared" si="2313"/>
        <v>0</v>
      </c>
      <c r="CT584" s="161">
        <f t="shared" si="2314"/>
        <v>0</v>
      </c>
      <c r="CU584" s="161">
        <f t="shared" si="2315"/>
        <v>0</v>
      </c>
      <c r="CV584" s="161">
        <f t="shared" si="2316"/>
        <v>0</v>
      </c>
      <c r="CW584" s="161">
        <f t="shared" si="2317"/>
        <v>0</v>
      </c>
      <c r="CX584" s="161">
        <f t="shared" si="2318"/>
        <v>0</v>
      </c>
      <c r="CY584" s="161">
        <f t="shared" si="2319"/>
        <v>0</v>
      </c>
      <c r="CZ584" s="161">
        <f t="shared" si="2320"/>
        <v>0</v>
      </c>
      <c r="DA584" s="161">
        <f t="shared" si="2321"/>
        <v>0</v>
      </c>
      <c r="DB584" s="161">
        <f t="shared" si="2322"/>
        <v>0</v>
      </c>
      <c r="DC584" s="161">
        <f t="shared" si="2323"/>
        <v>0</v>
      </c>
      <c r="DD584" s="161">
        <f t="shared" si="2324"/>
        <v>0</v>
      </c>
      <c r="DE584" s="161">
        <f t="shared" si="2325"/>
        <v>0</v>
      </c>
      <c r="DF584" s="161">
        <f t="shared" si="2326"/>
        <v>0</v>
      </c>
      <c r="DG584" s="161">
        <f t="shared" si="2327"/>
        <v>0</v>
      </c>
      <c r="DH584" s="161">
        <f t="shared" si="2328"/>
        <v>0</v>
      </c>
      <c r="DI584" s="161">
        <f t="shared" si="2329"/>
        <v>0</v>
      </c>
      <c r="DJ584" s="161">
        <f t="shared" si="2330"/>
        <v>0</v>
      </c>
      <c r="DK584" s="161">
        <f t="shared" si="2331"/>
        <v>0</v>
      </c>
      <c r="DL584" s="161">
        <f t="shared" si="2332"/>
        <v>0</v>
      </c>
      <c r="DM584" s="161">
        <f t="shared" si="2333"/>
        <v>0</v>
      </c>
      <c r="DN584" s="161">
        <f t="shared" si="2334"/>
        <v>0</v>
      </c>
      <c r="DO584" s="161">
        <f t="shared" si="2335"/>
        <v>0</v>
      </c>
      <c r="DP584" s="161">
        <f t="shared" si="2336"/>
        <v>0</v>
      </c>
      <c r="DQ584" s="161">
        <f t="shared" si="2337"/>
        <v>0</v>
      </c>
      <c r="DR584" s="161">
        <f t="shared" si="2338"/>
        <v>0</v>
      </c>
      <c r="DS584" s="161">
        <f t="shared" si="2339"/>
        <v>0</v>
      </c>
      <c r="DT584" s="161">
        <f t="shared" si="2340"/>
        <v>0</v>
      </c>
      <c r="DU584" s="161">
        <f t="shared" si="2341"/>
        <v>0</v>
      </c>
      <c r="DV584" s="161">
        <f t="shared" si="2342"/>
        <v>0</v>
      </c>
      <c r="DW584" s="161">
        <f t="shared" si="2343"/>
        <v>0</v>
      </c>
      <c r="DX584" s="161">
        <f t="shared" si="2344"/>
        <v>0</v>
      </c>
      <c r="DY584" s="161">
        <f t="shared" si="2345"/>
        <v>0</v>
      </c>
      <c r="DZ584" s="161">
        <f t="shared" si="2346"/>
        <v>0</v>
      </c>
      <c r="EA584" s="161">
        <f t="shared" si="2347"/>
        <v>0</v>
      </c>
      <c r="EB584" s="161">
        <f t="shared" si="2348"/>
        <v>0</v>
      </c>
      <c r="EC584" s="161">
        <f t="shared" si="2349"/>
        <v>0</v>
      </c>
      <c r="ED584" s="161">
        <f t="shared" si="2350"/>
        <v>0</v>
      </c>
      <c r="EE584" s="161">
        <f t="shared" si="2351"/>
        <v>0</v>
      </c>
      <c r="EF584" s="161">
        <f t="shared" si="2352"/>
        <v>0</v>
      </c>
      <c r="EG584" s="161">
        <f t="shared" si="2353"/>
        <v>0</v>
      </c>
      <c r="EH584" s="161">
        <f t="shared" si="2354"/>
        <v>0</v>
      </c>
      <c r="EI584" s="161">
        <f t="shared" si="2355"/>
        <v>0</v>
      </c>
      <c r="EJ584" s="65"/>
      <c r="EK584" s="161">
        <f t="shared" si="2426"/>
        <v>0</v>
      </c>
      <c r="EL584" s="161">
        <f t="shared" si="2427"/>
        <v>0</v>
      </c>
      <c r="EM584" s="161">
        <f t="shared" si="2428"/>
        <v>0</v>
      </c>
    </row>
    <row r="585" spans="1:143" ht="12" hidden="1" customHeight="1" outlineLevel="2">
      <c r="A585" s="77">
        <v>13</v>
      </c>
      <c r="B585" s="137" t="str">
        <f t="shared" si="2356"/>
        <v>TEC III - Equipe_01</v>
      </c>
      <c r="C585" s="65"/>
      <c r="D585" s="622"/>
      <c r="E585" s="65"/>
      <c r="F585" s="603"/>
      <c r="G585" s="77" t="str">
        <f>IF(INDEX(Tarefas!$BT$30:$FK$30,MATCH(A585,Tarefas!$BT$28:$FK$28,0))=0,"",INDEX(Tarefas!$BT$30:$FK$30,MATCH(A585,Tarefas!$BT$28:$FK$28,0)))</f>
        <v>TEC III</v>
      </c>
      <c r="H585" s="107" cm="1">
        <f t="array" ref="H585">IFERROR((SUMPRODUCT((Tarefas!$N$32:$N$54='Cronog. e Histog.'!$F$573)*(Tarefas!$BQ$30:$FK$30='Cronog. e Histog.'!$G585)*(Tarefas!$BQ$32:$FK$54)))/SUMIF(Tarefas!$N$32:$N$54,'Cronog. e Histog.'!$F$573,Tarefas!$K$32:$K$54),0)</f>
        <v>0</v>
      </c>
      <c r="I585" s="79">
        <f t="shared" si="2357"/>
        <v>0</v>
      </c>
      <c r="J585" s="65"/>
      <c r="K585" s="160">
        <f t="shared" si="2429"/>
        <v>0</v>
      </c>
      <c r="L585" s="160">
        <f t="shared" si="2291"/>
        <v>0</v>
      </c>
      <c r="M585" s="160">
        <f t="shared" si="2291"/>
        <v>0</v>
      </c>
      <c r="N585" s="160">
        <f t="shared" si="2291"/>
        <v>0</v>
      </c>
      <c r="O585" s="160">
        <f t="shared" si="2291"/>
        <v>0</v>
      </c>
      <c r="P585" s="160">
        <f t="shared" si="2291"/>
        <v>0</v>
      </c>
      <c r="Q585" s="160">
        <f t="shared" si="2291"/>
        <v>0</v>
      </c>
      <c r="R585" s="160">
        <f t="shared" si="2291"/>
        <v>0</v>
      </c>
      <c r="S585" s="160">
        <f t="shared" si="2291"/>
        <v>0</v>
      </c>
      <c r="T585" s="160">
        <f t="shared" si="2291"/>
        <v>0</v>
      </c>
      <c r="U585" s="160">
        <f t="shared" si="2291"/>
        <v>0</v>
      </c>
      <c r="V585" s="160">
        <f t="shared" si="2291"/>
        <v>0</v>
      </c>
      <c r="W585" s="160">
        <f t="shared" si="2291"/>
        <v>0</v>
      </c>
      <c r="X585" s="160">
        <f t="shared" si="2291"/>
        <v>0</v>
      </c>
      <c r="Y585" s="160">
        <f t="shared" si="2291"/>
        <v>0</v>
      </c>
      <c r="Z585" s="160">
        <f t="shared" si="2291"/>
        <v>0</v>
      </c>
      <c r="AA585" s="160">
        <f t="shared" si="2291"/>
        <v>0</v>
      </c>
      <c r="AB585" s="160">
        <f t="shared" si="2291"/>
        <v>0</v>
      </c>
      <c r="AC585" s="160">
        <f t="shared" si="2291"/>
        <v>0</v>
      </c>
      <c r="AD585" s="160">
        <f t="shared" si="2291"/>
        <v>0</v>
      </c>
      <c r="AE585" s="160">
        <f t="shared" si="2291"/>
        <v>0</v>
      </c>
      <c r="AF585" s="160">
        <f t="shared" si="2291"/>
        <v>0</v>
      </c>
      <c r="AG585" s="160">
        <f t="shared" si="2291"/>
        <v>0</v>
      </c>
      <c r="AH585" s="160">
        <f t="shared" si="2291"/>
        <v>0</v>
      </c>
      <c r="AI585" s="160">
        <f t="shared" si="2291"/>
        <v>0</v>
      </c>
      <c r="AJ585" s="160">
        <f t="shared" si="2291"/>
        <v>0</v>
      </c>
      <c r="AK585" s="160">
        <f t="shared" si="2291"/>
        <v>0</v>
      </c>
      <c r="AL585" s="160">
        <f t="shared" si="2291"/>
        <v>0</v>
      </c>
      <c r="AM585" s="160">
        <f t="shared" si="2291"/>
        <v>0</v>
      </c>
      <c r="AN585" s="160">
        <f t="shared" si="2291"/>
        <v>0</v>
      </c>
      <c r="AO585" s="160">
        <f t="shared" si="2291"/>
        <v>0</v>
      </c>
      <c r="AP585" s="160">
        <f t="shared" si="2291"/>
        <v>0</v>
      </c>
      <c r="AQ585" s="160">
        <f t="shared" si="2291"/>
        <v>0</v>
      </c>
      <c r="AR585" s="160">
        <f t="shared" si="2291"/>
        <v>0</v>
      </c>
      <c r="AS585" s="160">
        <f t="shared" si="2291"/>
        <v>0</v>
      </c>
      <c r="AT585" s="160">
        <f t="shared" si="2291"/>
        <v>0</v>
      </c>
      <c r="AU585" s="160">
        <f t="shared" si="2291"/>
        <v>0</v>
      </c>
      <c r="AV585" s="160">
        <f t="shared" si="2291"/>
        <v>0</v>
      </c>
      <c r="AW585" s="160">
        <f t="shared" si="2291"/>
        <v>0</v>
      </c>
      <c r="AX585" s="160">
        <f t="shared" si="2291"/>
        <v>0</v>
      </c>
      <c r="AY585" s="160">
        <f t="shared" si="2291"/>
        <v>0</v>
      </c>
      <c r="AZ585" s="160">
        <f t="shared" si="2291"/>
        <v>0</v>
      </c>
      <c r="BA585" s="160">
        <f t="shared" si="2291"/>
        <v>0</v>
      </c>
      <c r="BB585" s="160">
        <f t="shared" si="2291"/>
        <v>0</v>
      </c>
      <c r="BC585" s="160">
        <f t="shared" si="2291"/>
        <v>0</v>
      </c>
      <c r="BD585" s="160">
        <f t="shared" si="2291"/>
        <v>0</v>
      </c>
      <c r="BE585" s="160">
        <f t="shared" si="2291"/>
        <v>0</v>
      </c>
      <c r="BF585" s="160">
        <f t="shared" si="2291"/>
        <v>0</v>
      </c>
      <c r="BG585" s="160">
        <f t="shared" si="2291"/>
        <v>0</v>
      </c>
      <c r="BH585" s="160">
        <f t="shared" si="2291"/>
        <v>0</v>
      </c>
      <c r="BI585" s="160">
        <f t="shared" si="2291"/>
        <v>0</v>
      </c>
      <c r="BJ585" s="160">
        <f t="shared" si="2291"/>
        <v>0</v>
      </c>
      <c r="BK585" s="160">
        <f t="shared" si="2291"/>
        <v>0</v>
      </c>
      <c r="BL585" s="160">
        <f t="shared" si="2291"/>
        <v>0</v>
      </c>
      <c r="BM585" s="160">
        <f t="shared" si="2291"/>
        <v>0</v>
      </c>
      <c r="BN585" s="160">
        <f t="shared" si="2291"/>
        <v>0</v>
      </c>
      <c r="BO585" s="160">
        <f t="shared" si="2291"/>
        <v>0</v>
      </c>
      <c r="BP585" s="160">
        <f t="shared" si="2291"/>
        <v>0</v>
      </c>
      <c r="BQ585" s="160">
        <f t="shared" si="2291"/>
        <v>0</v>
      </c>
      <c r="BR585" s="160">
        <f t="shared" si="2291"/>
        <v>0</v>
      </c>
      <c r="BS585" s="65"/>
      <c r="BT585" s="160">
        <f t="shared" si="2292"/>
        <v>0</v>
      </c>
      <c r="BU585" s="160">
        <f t="shared" si="2293"/>
        <v>0</v>
      </c>
      <c r="BV585" s="65"/>
      <c r="BW585" s="69"/>
      <c r="BX585" s="65"/>
      <c r="BY585" s="137">
        <f t="shared" si="2294"/>
        <v>1</v>
      </c>
      <c r="BZ585" s="137">
        <f>IF(BY585&gt;0,BY585+LARGE($BZ$213:BZ584,1),0)</f>
        <v>313</v>
      </c>
      <c r="CA585" s="137" t="str">
        <f t="shared" si="2295"/>
        <v>TEC III</v>
      </c>
      <c r="CB585" s="161">
        <f t="shared" si="2296"/>
        <v>0</v>
      </c>
      <c r="CC585" s="161">
        <f t="shared" si="2297"/>
        <v>0</v>
      </c>
      <c r="CD585" s="161">
        <f t="shared" si="2298"/>
        <v>0</v>
      </c>
      <c r="CE585" s="161">
        <f t="shared" si="2299"/>
        <v>0</v>
      </c>
      <c r="CF585" s="161">
        <f t="shared" si="2300"/>
        <v>0</v>
      </c>
      <c r="CG585" s="161">
        <f t="shared" si="2301"/>
        <v>0</v>
      </c>
      <c r="CH585" s="161">
        <f t="shared" si="2302"/>
        <v>0</v>
      </c>
      <c r="CI585" s="161">
        <f t="shared" si="2303"/>
        <v>0</v>
      </c>
      <c r="CJ585" s="161">
        <f t="shared" si="2304"/>
        <v>0</v>
      </c>
      <c r="CK585" s="161">
        <f t="shared" si="2305"/>
        <v>0</v>
      </c>
      <c r="CL585" s="161">
        <f t="shared" si="2306"/>
        <v>0</v>
      </c>
      <c r="CM585" s="161">
        <f t="shared" si="2307"/>
        <v>0</v>
      </c>
      <c r="CN585" s="161">
        <f t="shared" si="2308"/>
        <v>0</v>
      </c>
      <c r="CO585" s="161">
        <f t="shared" si="2309"/>
        <v>0</v>
      </c>
      <c r="CP585" s="161">
        <f t="shared" si="2310"/>
        <v>0</v>
      </c>
      <c r="CQ585" s="161">
        <f t="shared" si="2311"/>
        <v>0</v>
      </c>
      <c r="CR585" s="161">
        <f t="shared" si="2312"/>
        <v>0</v>
      </c>
      <c r="CS585" s="161">
        <f t="shared" si="2313"/>
        <v>0</v>
      </c>
      <c r="CT585" s="161">
        <f t="shared" si="2314"/>
        <v>0</v>
      </c>
      <c r="CU585" s="161">
        <f t="shared" si="2315"/>
        <v>0</v>
      </c>
      <c r="CV585" s="161">
        <f t="shared" si="2316"/>
        <v>0</v>
      </c>
      <c r="CW585" s="161">
        <f t="shared" si="2317"/>
        <v>0</v>
      </c>
      <c r="CX585" s="161">
        <f t="shared" si="2318"/>
        <v>0</v>
      </c>
      <c r="CY585" s="161">
        <f t="shared" si="2319"/>
        <v>0</v>
      </c>
      <c r="CZ585" s="161">
        <f t="shared" si="2320"/>
        <v>0</v>
      </c>
      <c r="DA585" s="161">
        <f t="shared" si="2321"/>
        <v>0</v>
      </c>
      <c r="DB585" s="161">
        <f t="shared" si="2322"/>
        <v>0</v>
      </c>
      <c r="DC585" s="161">
        <f t="shared" si="2323"/>
        <v>0</v>
      </c>
      <c r="DD585" s="161">
        <f t="shared" si="2324"/>
        <v>0</v>
      </c>
      <c r="DE585" s="161">
        <f t="shared" si="2325"/>
        <v>0</v>
      </c>
      <c r="DF585" s="161">
        <f t="shared" si="2326"/>
        <v>0</v>
      </c>
      <c r="DG585" s="161">
        <f t="shared" si="2327"/>
        <v>0</v>
      </c>
      <c r="DH585" s="161">
        <f t="shared" si="2328"/>
        <v>0</v>
      </c>
      <c r="DI585" s="161">
        <f t="shared" si="2329"/>
        <v>0</v>
      </c>
      <c r="DJ585" s="161">
        <f t="shared" si="2330"/>
        <v>0</v>
      </c>
      <c r="DK585" s="161">
        <f t="shared" si="2331"/>
        <v>0</v>
      </c>
      <c r="DL585" s="161">
        <f t="shared" si="2332"/>
        <v>0</v>
      </c>
      <c r="DM585" s="161">
        <f t="shared" si="2333"/>
        <v>0</v>
      </c>
      <c r="DN585" s="161">
        <f t="shared" si="2334"/>
        <v>0</v>
      </c>
      <c r="DO585" s="161">
        <f t="shared" si="2335"/>
        <v>0</v>
      </c>
      <c r="DP585" s="161">
        <f t="shared" si="2336"/>
        <v>0</v>
      </c>
      <c r="DQ585" s="161">
        <f t="shared" si="2337"/>
        <v>0</v>
      </c>
      <c r="DR585" s="161">
        <f t="shared" si="2338"/>
        <v>0</v>
      </c>
      <c r="DS585" s="161">
        <f t="shared" si="2339"/>
        <v>0</v>
      </c>
      <c r="DT585" s="161">
        <f t="shared" si="2340"/>
        <v>0</v>
      </c>
      <c r="DU585" s="161">
        <f t="shared" si="2341"/>
        <v>0</v>
      </c>
      <c r="DV585" s="161">
        <f t="shared" si="2342"/>
        <v>0</v>
      </c>
      <c r="DW585" s="161">
        <f t="shared" si="2343"/>
        <v>0</v>
      </c>
      <c r="DX585" s="161">
        <f t="shared" si="2344"/>
        <v>0</v>
      </c>
      <c r="DY585" s="161">
        <f t="shared" si="2345"/>
        <v>0</v>
      </c>
      <c r="DZ585" s="161">
        <f t="shared" si="2346"/>
        <v>0</v>
      </c>
      <c r="EA585" s="161">
        <f t="shared" si="2347"/>
        <v>0</v>
      </c>
      <c r="EB585" s="161">
        <f t="shared" si="2348"/>
        <v>0</v>
      </c>
      <c r="EC585" s="161">
        <f t="shared" si="2349"/>
        <v>0</v>
      </c>
      <c r="ED585" s="161">
        <f t="shared" si="2350"/>
        <v>0</v>
      </c>
      <c r="EE585" s="161">
        <f t="shared" si="2351"/>
        <v>0</v>
      </c>
      <c r="EF585" s="161">
        <f t="shared" si="2352"/>
        <v>0</v>
      </c>
      <c r="EG585" s="161">
        <f t="shared" si="2353"/>
        <v>0</v>
      </c>
      <c r="EH585" s="161">
        <f t="shared" si="2354"/>
        <v>0</v>
      </c>
      <c r="EI585" s="161">
        <f t="shared" si="2355"/>
        <v>0</v>
      </c>
      <c r="EJ585" s="65"/>
      <c r="EK585" s="161">
        <f t="shared" si="2426"/>
        <v>0</v>
      </c>
      <c r="EL585" s="161">
        <f t="shared" si="2427"/>
        <v>0</v>
      </c>
      <c r="EM585" s="161">
        <f t="shared" si="2428"/>
        <v>0</v>
      </c>
    </row>
    <row r="586" spans="1:143" ht="12" hidden="1" customHeight="1" outlineLevel="2">
      <c r="A586" s="77">
        <v>14</v>
      </c>
      <c r="B586" s="137" t="str">
        <f t="shared" si="2356"/>
        <v>TEC II - Equipe_01</v>
      </c>
      <c r="C586" s="65"/>
      <c r="D586" s="622"/>
      <c r="E586" s="65"/>
      <c r="F586" s="603"/>
      <c r="G586" s="77" t="str">
        <f>IF(INDEX(Tarefas!$BT$30:$FK$30,MATCH(A586,Tarefas!$BT$28:$FK$28,0))=0,"",INDEX(Tarefas!$BT$30:$FK$30,MATCH(A586,Tarefas!$BT$28:$FK$28,0)))</f>
        <v>TEC II</v>
      </c>
      <c r="H586" s="107" cm="1">
        <f t="array" ref="H586">IFERROR((SUMPRODUCT((Tarefas!$N$32:$N$54='Cronog. e Histog.'!$F$573)*(Tarefas!$BQ$30:$FK$30='Cronog. e Histog.'!$G586)*(Tarefas!$BQ$32:$FK$54)))/SUMIF(Tarefas!$N$32:$N$54,'Cronog. e Histog.'!$F$573,Tarefas!$K$32:$K$54),0)</f>
        <v>0</v>
      </c>
      <c r="I586" s="79">
        <f t="shared" si="2357"/>
        <v>0</v>
      </c>
      <c r="J586" s="65"/>
      <c r="K586" s="160">
        <f t="shared" si="2429"/>
        <v>0</v>
      </c>
      <c r="L586" s="160">
        <f t="shared" si="2291"/>
        <v>0</v>
      </c>
      <c r="M586" s="160">
        <f t="shared" si="2291"/>
        <v>0</v>
      </c>
      <c r="N586" s="160">
        <f t="shared" si="2291"/>
        <v>0</v>
      </c>
      <c r="O586" s="160">
        <f t="shared" si="2291"/>
        <v>0</v>
      </c>
      <c r="P586" s="160">
        <f t="shared" si="2291"/>
        <v>0</v>
      </c>
      <c r="Q586" s="160">
        <f t="shared" si="2291"/>
        <v>0</v>
      </c>
      <c r="R586" s="160">
        <f t="shared" si="2291"/>
        <v>0</v>
      </c>
      <c r="S586" s="160">
        <f t="shared" si="2291"/>
        <v>0</v>
      </c>
      <c r="T586" s="160">
        <f t="shared" si="2291"/>
        <v>0</v>
      </c>
      <c r="U586" s="160">
        <f t="shared" si="2291"/>
        <v>0</v>
      </c>
      <c r="V586" s="160">
        <f t="shared" si="2291"/>
        <v>0</v>
      </c>
      <c r="W586" s="160">
        <f t="shared" si="2291"/>
        <v>0</v>
      </c>
      <c r="X586" s="160">
        <f t="shared" si="2291"/>
        <v>0</v>
      </c>
      <c r="Y586" s="160">
        <f t="shared" si="2291"/>
        <v>0</v>
      </c>
      <c r="Z586" s="160">
        <f t="shared" si="2291"/>
        <v>0</v>
      </c>
      <c r="AA586" s="160">
        <f t="shared" si="2291"/>
        <v>0</v>
      </c>
      <c r="AB586" s="160">
        <f t="shared" si="2291"/>
        <v>0</v>
      </c>
      <c r="AC586" s="160">
        <f t="shared" si="2291"/>
        <v>0</v>
      </c>
      <c r="AD586" s="160">
        <f t="shared" si="2291"/>
        <v>0</v>
      </c>
      <c r="AE586" s="160">
        <f t="shared" si="2291"/>
        <v>0</v>
      </c>
      <c r="AF586" s="160">
        <f t="shared" si="2291"/>
        <v>0</v>
      </c>
      <c r="AG586" s="160">
        <f t="shared" si="2291"/>
        <v>0</v>
      </c>
      <c r="AH586" s="160">
        <f t="shared" si="2291"/>
        <v>0</v>
      </c>
      <c r="AI586" s="160">
        <f t="shared" si="2291"/>
        <v>0</v>
      </c>
      <c r="AJ586" s="160">
        <f t="shared" si="2291"/>
        <v>0</v>
      </c>
      <c r="AK586" s="160">
        <f t="shared" si="2291"/>
        <v>0</v>
      </c>
      <c r="AL586" s="160">
        <f t="shared" si="2291"/>
        <v>0</v>
      </c>
      <c r="AM586" s="160">
        <f t="shared" si="2291"/>
        <v>0</v>
      </c>
      <c r="AN586" s="160">
        <f t="shared" si="2291"/>
        <v>0</v>
      </c>
      <c r="AO586" s="160">
        <f t="shared" si="2291"/>
        <v>0</v>
      </c>
      <c r="AP586" s="160">
        <f t="shared" si="2291"/>
        <v>0</v>
      </c>
      <c r="AQ586" s="160">
        <f t="shared" si="2291"/>
        <v>0</v>
      </c>
      <c r="AR586" s="160">
        <f t="shared" si="2291"/>
        <v>0</v>
      </c>
      <c r="AS586" s="160">
        <f t="shared" si="2291"/>
        <v>0</v>
      </c>
      <c r="AT586" s="160">
        <f t="shared" si="2291"/>
        <v>0</v>
      </c>
      <c r="AU586" s="160">
        <f t="shared" si="2291"/>
        <v>0</v>
      </c>
      <c r="AV586" s="160">
        <f t="shared" si="2291"/>
        <v>0</v>
      </c>
      <c r="AW586" s="160">
        <f t="shared" si="2291"/>
        <v>0</v>
      </c>
      <c r="AX586" s="160">
        <f t="shared" si="2291"/>
        <v>0</v>
      </c>
      <c r="AY586" s="160">
        <f t="shared" si="2291"/>
        <v>0</v>
      </c>
      <c r="AZ586" s="160">
        <f t="shared" si="2291"/>
        <v>0</v>
      </c>
      <c r="BA586" s="160">
        <f t="shared" si="2291"/>
        <v>0</v>
      </c>
      <c r="BB586" s="160">
        <f t="shared" si="2291"/>
        <v>0</v>
      </c>
      <c r="BC586" s="160">
        <f t="shared" si="2291"/>
        <v>0</v>
      </c>
      <c r="BD586" s="160">
        <f t="shared" si="2291"/>
        <v>0</v>
      </c>
      <c r="BE586" s="160">
        <f t="shared" si="2291"/>
        <v>0</v>
      </c>
      <c r="BF586" s="160">
        <f t="shared" si="2291"/>
        <v>0</v>
      </c>
      <c r="BG586" s="160">
        <f t="shared" si="2291"/>
        <v>0</v>
      </c>
      <c r="BH586" s="160">
        <f t="shared" si="2291"/>
        <v>0</v>
      </c>
      <c r="BI586" s="160">
        <f t="shared" si="2291"/>
        <v>0</v>
      </c>
      <c r="BJ586" s="160">
        <f t="shared" si="2291"/>
        <v>0</v>
      </c>
      <c r="BK586" s="160">
        <f t="shared" si="2291"/>
        <v>0</v>
      </c>
      <c r="BL586" s="160">
        <f t="shared" si="2291"/>
        <v>0</v>
      </c>
      <c r="BM586" s="160">
        <f t="shared" si="2291"/>
        <v>0</v>
      </c>
      <c r="BN586" s="160">
        <f t="shared" si="2291"/>
        <v>0</v>
      </c>
      <c r="BO586" s="160">
        <f t="shared" si="2291"/>
        <v>0</v>
      </c>
      <c r="BP586" s="160">
        <f t="shared" si="2291"/>
        <v>0</v>
      </c>
      <c r="BQ586" s="160">
        <f t="shared" si="2291"/>
        <v>0</v>
      </c>
      <c r="BR586" s="160">
        <f t="shared" si="2291"/>
        <v>0</v>
      </c>
      <c r="BS586" s="65"/>
      <c r="BT586" s="160">
        <f t="shared" si="2292"/>
        <v>0</v>
      </c>
      <c r="BU586" s="160">
        <f t="shared" si="2293"/>
        <v>0</v>
      </c>
      <c r="BV586" s="65"/>
      <c r="BW586" s="69"/>
      <c r="BX586" s="65"/>
      <c r="BY586" s="137">
        <f t="shared" si="2294"/>
        <v>1</v>
      </c>
      <c r="BZ586" s="137">
        <f>IF(BY586&gt;0,BY586+LARGE($BZ$213:BZ585,1),0)</f>
        <v>314</v>
      </c>
      <c r="CA586" s="137" t="str">
        <f t="shared" si="2295"/>
        <v>TEC II</v>
      </c>
      <c r="CB586" s="161">
        <f t="shared" si="2296"/>
        <v>0</v>
      </c>
      <c r="CC586" s="161">
        <f t="shared" si="2297"/>
        <v>0</v>
      </c>
      <c r="CD586" s="161">
        <f t="shared" si="2298"/>
        <v>0</v>
      </c>
      <c r="CE586" s="161">
        <f t="shared" si="2299"/>
        <v>0</v>
      </c>
      <c r="CF586" s="161">
        <f t="shared" si="2300"/>
        <v>0</v>
      </c>
      <c r="CG586" s="161">
        <f t="shared" si="2301"/>
        <v>0</v>
      </c>
      <c r="CH586" s="161">
        <f t="shared" si="2302"/>
        <v>0</v>
      </c>
      <c r="CI586" s="161">
        <f t="shared" si="2303"/>
        <v>0</v>
      </c>
      <c r="CJ586" s="161">
        <f t="shared" si="2304"/>
        <v>0</v>
      </c>
      <c r="CK586" s="161">
        <f t="shared" si="2305"/>
        <v>0</v>
      </c>
      <c r="CL586" s="161">
        <f t="shared" si="2306"/>
        <v>0</v>
      </c>
      <c r="CM586" s="161">
        <f t="shared" si="2307"/>
        <v>0</v>
      </c>
      <c r="CN586" s="161">
        <f t="shared" si="2308"/>
        <v>0</v>
      </c>
      <c r="CO586" s="161">
        <f t="shared" si="2309"/>
        <v>0</v>
      </c>
      <c r="CP586" s="161">
        <f t="shared" si="2310"/>
        <v>0</v>
      </c>
      <c r="CQ586" s="161">
        <f t="shared" si="2311"/>
        <v>0</v>
      </c>
      <c r="CR586" s="161">
        <f t="shared" si="2312"/>
        <v>0</v>
      </c>
      <c r="CS586" s="161">
        <f t="shared" si="2313"/>
        <v>0</v>
      </c>
      <c r="CT586" s="161">
        <f t="shared" si="2314"/>
        <v>0</v>
      </c>
      <c r="CU586" s="161">
        <f t="shared" si="2315"/>
        <v>0</v>
      </c>
      <c r="CV586" s="161">
        <f t="shared" si="2316"/>
        <v>0</v>
      </c>
      <c r="CW586" s="161">
        <f t="shared" si="2317"/>
        <v>0</v>
      </c>
      <c r="CX586" s="161">
        <f t="shared" si="2318"/>
        <v>0</v>
      </c>
      <c r="CY586" s="161">
        <f t="shared" si="2319"/>
        <v>0</v>
      </c>
      <c r="CZ586" s="161">
        <f t="shared" si="2320"/>
        <v>0</v>
      </c>
      <c r="DA586" s="161">
        <f t="shared" si="2321"/>
        <v>0</v>
      </c>
      <c r="DB586" s="161">
        <f t="shared" si="2322"/>
        <v>0</v>
      </c>
      <c r="DC586" s="161">
        <f t="shared" si="2323"/>
        <v>0</v>
      </c>
      <c r="DD586" s="161">
        <f t="shared" si="2324"/>
        <v>0</v>
      </c>
      <c r="DE586" s="161">
        <f t="shared" si="2325"/>
        <v>0</v>
      </c>
      <c r="DF586" s="161">
        <f t="shared" si="2326"/>
        <v>0</v>
      </c>
      <c r="DG586" s="161">
        <f t="shared" si="2327"/>
        <v>0</v>
      </c>
      <c r="DH586" s="161">
        <f t="shared" si="2328"/>
        <v>0</v>
      </c>
      <c r="DI586" s="161">
        <f t="shared" si="2329"/>
        <v>0</v>
      </c>
      <c r="DJ586" s="161">
        <f t="shared" si="2330"/>
        <v>0</v>
      </c>
      <c r="DK586" s="161">
        <f t="shared" si="2331"/>
        <v>0</v>
      </c>
      <c r="DL586" s="161">
        <f t="shared" si="2332"/>
        <v>0</v>
      </c>
      <c r="DM586" s="161">
        <f t="shared" si="2333"/>
        <v>0</v>
      </c>
      <c r="DN586" s="161">
        <f t="shared" si="2334"/>
        <v>0</v>
      </c>
      <c r="DO586" s="161">
        <f t="shared" si="2335"/>
        <v>0</v>
      </c>
      <c r="DP586" s="161">
        <f t="shared" si="2336"/>
        <v>0</v>
      </c>
      <c r="DQ586" s="161">
        <f t="shared" si="2337"/>
        <v>0</v>
      </c>
      <c r="DR586" s="161">
        <f t="shared" si="2338"/>
        <v>0</v>
      </c>
      <c r="DS586" s="161">
        <f t="shared" si="2339"/>
        <v>0</v>
      </c>
      <c r="DT586" s="161">
        <f t="shared" si="2340"/>
        <v>0</v>
      </c>
      <c r="DU586" s="161">
        <f t="shared" si="2341"/>
        <v>0</v>
      </c>
      <c r="DV586" s="161">
        <f t="shared" si="2342"/>
        <v>0</v>
      </c>
      <c r="DW586" s="161">
        <f t="shared" si="2343"/>
        <v>0</v>
      </c>
      <c r="DX586" s="161">
        <f t="shared" si="2344"/>
        <v>0</v>
      </c>
      <c r="DY586" s="161">
        <f t="shared" si="2345"/>
        <v>0</v>
      </c>
      <c r="DZ586" s="161">
        <f t="shared" si="2346"/>
        <v>0</v>
      </c>
      <c r="EA586" s="161">
        <f t="shared" si="2347"/>
        <v>0</v>
      </c>
      <c r="EB586" s="161">
        <f t="shared" si="2348"/>
        <v>0</v>
      </c>
      <c r="EC586" s="161">
        <f t="shared" si="2349"/>
        <v>0</v>
      </c>
      <c r="ED586" s="161">
        <f t="shared" si="2350"/>
        <v>0</v>
      </c>
      <c r="EE586" s="161">
        <f t="shared" si="2351"/>
        <v>0</v>
      </c>
      <c r="EF586" s="161">
        <f t="shared" si="2352"/>
        <v>0</v>
      </c>
      <c r="EG586" s="161">
        <f t="shared" si="2353"/>
        <v>0</v>
      </c>
      <c r="EH586" s="161">
        <f t="shared" si="2354"/>
        <v>0</v>
      </c>
      <c r="EI586" s="161">
        <f t="shared" si="2355"/>
        <v>0</v>
      </c>
      <c r="EJ586" s="65"/>
      <c r="EK586" s="161">
        <f t="shared" si="2426"/>
        <v>0</v>
      </c>
      <c r="EL586" s="161">
        <f t="shared" si="2427"/>
        <v>0</v>
      </c>
      <c r="EM586" s="161">
        <f t="shared" si="2428"/>
        <v>0</v>
      </c>
    </row>
    <row r="587" spans="1:143" ht="12" hidden="1" customHeight="1" outlineLevel="2">
      <c r="A587" s="77">
        <v>15</v>
      </c>
      <c r="B587" s="137" t="str">
        <f t="shared" si="2356"/>
        <v>TEC I - Equipe_01</v>
      </c>
      <c r="C587" s="65"/>
      <c r="D587" s="622"/>
      <c r="E587" s="65"/>
      <c r="F587" s="603"/>
      <c r="G587" s="77" t="str">
        <f>IF(INDEX(Tarefas!$BT$30:$FK$30,MATCH(A587,Tarefas!$BT$28:$FK$28,0))=0,"",INDEX(Tarefas!$BT$30:$FK$30,MATCH(A587,Tarefas!$BT$28:$FK$28,0)))</f>
        <v>TEC I</v>
      </c>
      <c r="H587" s="107" cm="1">
        <f t="array" ref="H587">IFERROR((SUMPRODUCT((Tarefas!$N$32:$N$54='Cronog. e Histog.'!$F$573)*(Tarefas!$BQ$30:$FK$30='Cronog. e Histog.'!$G587)*(Tarefas!$BQ$32:$FK$54)))/SUMIF(Tarefas!$N$32:$N$54,'Cronog. e Histog.'!$F$573,Tarefas!$K$32:$K$54),0)</f>
        <v>0</v>
      </c>
      <c r="I587" s="79">
        <f t="shared" si="2357"/>
        <v>0</v>
      </c>
      <c r="J587" s="65"/>
      <c r="K587" s="160">
        <f t="shared" si="2429"/>
        <v>0</v>
      </c>
      <c r="L587" s="160">
        <f t="shared" si="2291"/>
        <v>0</v>
      </c>
      <c r="M587" s="160">
        <f t="shared" si="2291"/>
        <v>0</v>
      </c>
      <c r="N587" s="160">
        <f t="shared" si="2291"/>
        <v>0</v>
      </c>
      <c r="O587" s="160">
        <f t="shared" si="2291"/>
        <v>0</v>
      </c>
      <c r="P587" s="160">
        <f t="shared" si="2291"/>
        <v>0</v>
      </c>
      <c r="Q587" s="160">
        <f t="shared" si="2291"/>
        <v>0</v>
      </c>
      <c r="R587" s="160">
        <f t="shared" si="2291"/>
        <v>0</v>
      </c>
      <c r="S587" s="160">
        <f t="shared" si="2291"/>
        <v>0</v>
      </c>
      <c r="T587" s="160">
        <f t="shared" si="2291"/>
        <v>0</v>
      </c>
      <c r="U587" s="160">
        <f t="shared" si="2291"/>
        <v>0</v>
      </c>
      <c r="V587" s="160">
        <f t="shared" si="2291"/>
        <v>0</v>
      </c>
      <c r="W587" s="160">
        <f t="shared" si="2291"/>
        <v>0</v>
      </c>
      <c r="X587" s="160">
        <f t="shared" si="2291"/>
        <v>0</v>
      </c>
      <c r="Y587" s="160">
        <f t="shared" si="2291"/>
        <v>0</v>
      </c>
      <c r="Z587" s="160">
        <f t="shared" si="2291"/>
        <v>0</v>
      </c>
      <c r="AA587" s="160">
        <f t="shared" si="2291"/>
        <v>0</v>
      </c>
      <c r="AB587" s="160">
        <f t="shared" si="2291"/>
        <v>0</v>
      </c>
      <c r="AC587" s="160">
        <f t="shared" si="2291"/>
        <v>0</v>
      </c>
      <c r="AD587" s="160">
        <f t="shared" si="2291"/>
        <v>0</v>
      </c>
      <c r="AE587" s="160">
        <f t="shared" si="2291"/>
        <v>0</v>
      </c>
      <c r="AF587" s="160">
        <f t="shared" si="2291"/>
        <v>0</v>
      </c>
      <c r="AG587" s="160">
        <f t="shared" si="2291"/>
        <v>0</v>
      </c>
      <c r="AH587" s="160">
        <f t="shared" si="2291"/>
        <v>0</v>
      </c>
      <c r="AI587" s="160">
        <f t="shared" si="2291"/>
        <v>0</v>
      </c>
      <c r="AJ587" s="160">
        <f t="shared" si="2291"/>
        <v>0</v>
      </c>
      <c r="AK587" s="160">
        <f t="shared" si="2291"/>
        <v>0</v>
      </c>
      <c r="AL587" s="160">
        <f t="shared" si="2291"/>
        <v>0</v>
      </c>
      <c r="AM587" s="160">
        <f t="shared" si="2291"/>
        <v>0</v>
      </c>
      <c r="AN587" s="160">
        <f t="shared" si="2291"/>
        <v>0</v>
      </c>
      <c r="AO587" s="160">
        <f t="shared" si="2291"/>
        <v>0</v>
      </c>
      <c r="AP587" s="160">
        <f t="shared" si="2291"/>
        <v>0</v>
      </c>
      <c r="AQ587" s="160">
        <f t="shared" si="2291"/>
        <v>0</v>
      </c>
      <c r="AR587" s="160">
        <f t="shared" si="2291"/>
        <v>0</v>
      </c>
      <c r="AS587" s="160">
        <f t="shared" si="2291"/>
        <v>0</v>
      </c>
      <c r="AT587" s="160">
        <f t="shared" ref="L587:BR591" si="2430">ROUND($I587*AT$198,2)</f>
        <v>0</v>
      </c>
      <c r="AU587" s="160">
        <f t="shared" si="2430"/>
        <v>0</v>
      </c>
      <c r="AV587" s="160">
        <f t="shared" si="2430"/>
        <v>0</v>
      </c>
      <c r="AW587" s="160">
        <f t="shared" si="2430"/>
        <v>0</v>
      </c>
      <c r="AX587" s="160">
        <f t="shared" si="2430"/>
        <v>0</v>
      </c>
      <c r="AY587" s="160">
        <f t="shared" si="2430"/>
        <v>0</v>
      </c>
      <c r="AZ587" s="160">
        <f t="shared" si="2430"/>
        <v>0</v>
      </c>
      <c r="BA587" s="160">
        <f t="shared" si="2430"/>
        <v>0</v>
      </c>
      <c r="BB587" s="160">
        <f t="shared" si="2430"/>
        <v>0</v>
      </c>
      <c r="BC587" s="160">
        <f t="shared" si="2430"/>
        <v>0</v>
      </c>
      <c r="BD587" s="160">
        <f t="shared" si="2430"/>
        <v>0</v>
      </c>
      <c r="BE587" s="160">
        <f t="shared" si="2430"/>
        <v>0</v>
      </c>
      <c r="BF587" s="160">
        <f t="shared" si="2430"/>
        <v>0</v>
      </c>
      <c r="BG587" s="160">
        <f t="shared" si="2430"/>
        <v>0</v>
      </c>
      <c r="BH587" s="160">
        <f t="shared" si="2430"/>
        <v>0</v>
      </c>
      <c r="BI587" s="160">
        <f t="shared" si="2430"/>
        <v>0</v>
      </c>
      <c r="BJ587" s="160">
        <f t="shared" si="2430"/>
        <v>0</v>
      </c>
      <c r="BK587" s="160">
        <f t="shared" si="2430"/>
        <v>0</v>
      </c>
      <c r="BL587" s="160">
        <f t="shared" si="2430"/>
        <v>0</v>
      </c>
      <c r="BM587" s="160">
        <f t="shared" si="2430"/>
        <v>0</v>
      </c>
      <c r="BN587" s="160">
        <f t="shared" si="2430"/>
        <v>0</v>
      </c>
      <c r="BO587" s="160">
        <f t="shared" si="2430"/>
        <v>0</v>
      </c>
      <c r="BP587" s="160">
        <f t="shared" si="2430"/>
        <v>0</v>
      </c>
      <c r="BQ587" s="160">
        <f t="shared" si="2430"/>
        <v>0</v>
      </c>
      <c r="BR587" s="160">
        <f t="shared" si="2430"/>
        <v>0</v>
      </c>
      <c r="BS587" s="65"/>
      <c r="BT587" s="160">
        <f t="shared" si="2292"/>
        <v>0</v>
      </c>
      <c r="BU587" s="160">
        <f t="shared" si="2293"/>
        <v>0</v>
      </c>
      <c r="BV587" s="65"/>
      <c r="BW587" s="69"/>
      <c r="BX587" s="65"/>
      <c r="BY587" s="137">
        <f t="shared" si="2294"/>
        <v>1</v>
      </c>
      <c r="BZ587" s="137">
        <f>IF(BY587&gt;0,BY587+LARGE($BZ$213:BZ586,1),0)</f>
        <v>315</v>
      </c>
      <c r="CA587" s="137" t="str">
        <f t="shared" si="2295"/>
        <v>TEC I</v>
      </c>
      <c r="CB587" s="161">
        <f t="shared" si="2296"/>
        <v>0</v>
      </c>
      <c r="CC587" s="161">
        <f t="shared" si="2297"/>
        <v>0</v>
      </c>
      <c r="CD587" s="161">
        <f t="shared" si="2298"/>
        <v>0</v>
      </c>
      <c r="CE587" s="161">
        <f t="shared" si="2299"/>
        <v>0</v>
      </c>
      <c r="CF587" s="161">
        <f t="shared" si="2300"/>
        <v>0</v>
      </c>
      <c r="CG587" s="161">
        <f t="shared" si="2301"/>
        <v>0</v>
      </c>
      <c r="CH587" s="161">
        <f t="shared" si="2302"/>
        <v>0</v>
      </c>
      <c r="CI587" s="161">
        <f t="shared" si="2303"/>
        <v>0</v>
      </c>
      <c r="CJ587" s="161">
        <f t="shared" si="2304"/>
        <v>0</v>
      </c>
      <c r="CK587" s="161">
        <f t="shared" si="2305"/>
        <v>0</v>
      </c>
      <c r="CL587" s="161">
        <f t="shared" si="2306"/>
        <v>0</v>
      </c>
      <c r="CM587" s="161">
        <f t="shared" si="2307"/>
        <v>0</v>
      </c>
      <c r="CN587" s="161">
        <f t="shared" si="2308"/>
        <v>0</v>
      </c>
      <c r="CO587" s="161">
        <f t="shared" si="2309"/>
        <v>0</v>
      </c>
      <c r="CP587" s="161">
        <f t="shared" si="2310"/>
        <v>0</v>
      </c>
      <c r="CQ587" s="161">
        <f t="shared" si="2311"/>
        <v>0</v>
      </c>
      <c r="CR587" s="161">
        <f t="shared" si="2312"/>
        <v>0</v>
      </c>
      <c r="CS587" s="161">
        <f t="shared" si="2313"/>
        <v>0</v>
      </c>
      <c r="CT587" s="161">
        <f t="shared" si="2314"/>
        <v>0</v>
      </c>
      <c r="CU587" s="161">
        <f t="shared" si="2315"/>
        <v>0</v>
      </c>
      <c r="CV587" s="161">
        <f t="shared" si="2316"/>
        <v>0</v>
      </c>
      <c r="CW587" s="161">
        <f t="shared" si="2317"/>
        <v>0</v>
      </c>
      <c r="CX587" s="161">
        <f t="shared" si="2318"/>
        <v>0</v>
      </c>
      <c r="CY587" s="161">
        <f t="shared" si="2319"/>
        <v>0</v>
      </c>
      <c r="CZ587" s="161">
        <f t="shared" si="2320"/>
        <v>0</v>
      </c>
      <c r="DA587" s="161">
        <f t="shared" si="2321"/>
        <v>0</v>
      </c>
      <c r="DB587" s="161">
        <f t="shared" si="2322"/>
        <v>0</v>
      </c>
      <c r="DC587" s="161">
        <f t="shared" si="2323"/>
        <v>0</v>
      </c>
      <c r="DD587" s="161">
        <f t="shared" si="2324"/>
        <v>0</v>
      </c>
      <c r="DE587" s="161">
        <f t="shared" si="2325"/>
        <v>0</v>
      </c>
      <c r="DF587" s="161">
        <f t="shared" si="2326"/>
        <v>0</v>
      </c>
      <c r="DG587" s="161">
        <f t="shared" si="2327"/>
        <v>0</v>
      </c>
      <c r="DH587" s="161">
        <f t="shared" si="2328"/>
        <v>0</v>
      </c>
      <c r="DI587" s="161">
        <f t="shared" si="2329"/>
        <v>0</v>
      </c>
      <c r="DJ587" s="161">
        <f t="shared" si="2330"/>
        <v>0</v>
      </c>
      <c r="DK587" s="161">
        <f t="shared" si="2331"/>
        <v>0</v>
      </c>
      <c r="DL587" s="161">
        <f t="shared" si="2332"/>
        <v>0</v>
      </c>
      <c r="DM587" s="161">
        <f t="shared" si="2333"/>
        <v>0</v>
      </c>
      <c r="DN587" s="161">
        <f t="shared" si="2334"/>
        <v>0</v>
      </c>
      <c r="DO587" s="161">
        <f t="shared" si="2335"/>
        <v>0</v>
      </c>
      <c r="DP587" s="161">
        <f t="shared" si="2336"/>
        <v>0</v>
      </c>
      <c r="DQ587" s="161">
        <f t="shared" si="2337"/>
        <v>0</v>
      </c>
      <c r="DR587" s="161">
        <f t="shared" si="2338"/>
        <v>0</v>
      </c>
      <c r="DS587" s="161">
        <f t="shared" si="2339"/>
        <v>0</v>
      </c>
      <c r="DT587" s="161">
        <f t="shared" si="2340"/>
        <v>0</v>
      </c>
      <c r="DU587" s="161">
        <f t="shared" si="2341"/>
        <v>0</v>
      </c>
      <c r="DV587" s="161">
        <f t="shared" si="2342"/>
        <v>0</v>
      </c>
      <c r="DW587" s="161">
        <f t="shared" si="2343"/>
        <v>0</v>
      </c>
      <c r="DX587" s="161">
        <f t="shared" si="2344"/>
        <v>0</v>
      </c>
      <c r="DY587" s="161">
        <f t="shared" si="2345"/>
        <v>0</v>
      </c>
      <c r="DZ587" s="161">
        <f t="shared" si="2346"/>
        <v>0</v>
      </c>
      <c r="EA587" s="161">
        <f t="shared" si="2347"/>
        <v>0</v>
      </c>
      <c r="EB587" s="161">
        <f t="shared" si="2348"/>
        <v>0</v>
      </c>
      <c r="EC587" s="161">
        <f t="shared" si="2349"/>
        <v>0</v>
      </c>
      <c r="ED587" s="161">
        <f t="shared" si="2350"/>
        <v>0</v>
      </c>
      <c r="EE587" s="161">
        <f t="shared" si="2351"/>
        <v>0</v>
      </c>
      <c r="EF587" s="161">
        <f t="shared" si="2352"/>
        <v>0</v>
      </c>
      <c r="EG587" s="161">
        <f t="shared" si="2353"/>
        <v>0</v>
      </c>
      <c r="EH587" s="161">
        <f t="shared" si="2354"/>
        <v>0</v>
      </c>
      <c r="EI587" s="161">
        <f t="shared" si="2355"/>
        <v>0</v>
      </c>
      <c r="EJ587" s="65"/>
      <c r="EK587" s="161">
        <f t="shared" si="2426"/>
        <v>0</v>
      </c>
      <c r="EL587" s="161">
        <f t="shared" si="2427"/>
        <v>0</v>
      </c>
      <c r="EM587" s="161">
        <f t="shared" si="2428"/>
        <v>0</v>
      </c>
    </row>
    <row r="588" spans="1:143" ht="12" hidden="1" customHeight="1" outlineLevel="2">
      <c r="A588" s="77">
        <v>16</v>
      </c>
      <c r="B588" s="137" t="str">
        <f t="shared" si="2356"/>
        <v>AUX TEC - Equipe_01</v>
      </c>
      <c r="C588" s="65"/>
      <c r="D588" s="622"/>
      <c r="E588" s="65"/>
      <c r="F588" s="603"/>
      <c r="G588" s="77" t="str">
        <f>IF(INDEX(Tarefas!$BT$30:$FK$30,MATCH(A588,Tarefas!$BT$28:$FK$28,0))=0,"",INDEX(Tarefas!$BT$30:$FK$30,MATCH(A588,Tarefas!$BT$28:$FK$28,0)))</f>
        <v>AUX TEC</v>
      </c>
      <c r="H588" s="107" cm="1">
        <f t="array" ref="H588">IFERROR((SUMPRODUCT((Tarefas!$N$32:$N$54='Cronog. e Histog.'!$F$573)*(Tarefas!$BQ$30:$FK$30='Cronog. e Histog.'!$G588)*(Tarefas!$BQ$32:$FK$54)))/SUMIF(Tarefas!$N$32:$N$54,'Cronog. e Histog.'!$F$573,Tarefas!$K$32:$K$54),0)</f>
        <v>0</v>
      </c>
      <c r="I588" s="79">
        <f t="shared" si="2357"/>
        <v>0</v>
      </c>
      <c r="J588" s="65"/>
      <c r="K588" s="160">
        <f t="shared" si="2429"/>
        <v>0</v>
      </c>
      <c r="L588" s="160">
        <f t="shared" si="2430"/>
        <v>0</v>
      </c>
      <c r="M588" s="160">
        <f t="shared" si="2430"/>
        <v>0</v>
      </c>
      <c r="N588" s="160">
        <f t="shared" si="2430"/>
        <v>0</v>
      </c>
      <c r="O588" s="160">
        <f t="shared" si="2430"/>
        <v>0</v>
      </c>
      <c r="P588" s="160">
        <f t="shared" si="2430"/>
        <v>0</v>
      </c>
      <c r="Q588" s="160">
        <f t="shared" si="2430"/>
        <v>0</v>
      </c>
      <c r="R588" s="160">
        <f t="shared" si="2430"/>
        <v>0</v>
      </c>
      <c r="S588" s="160">
        <f t="shared" si="2430"/>
        <v>0</v>
      </c>
      <c r="T588" s="160">
        <f t="shared" si="2430"/>
        <v>0</v>
      </c>
      <c r="U588" s="160">
        <f t="shared" si="2430"/>
        <v>0</v>
      </c>
      <c r="V588" s="160">
        <f t="shared" si="2430"/>
        <v>0</v>
      </c>
      <c r="W588" s="160">
        <f t="shared" si="2430"/>
        <v>0</v>
      </c>
      <c r="X588" s="160">
        <f t="shared" si="2430"/>
        <v>0</v>
      </c>
      <c r="Y588" s="160">
        <f t="shared" si="2430"/>
        <v>0</v>
      </c>
      <c r="Z588" s="160">
        <f t="shared" si="2430"/>
        <v>0</v>
      </c>
      <c r="AA588" s="160">
        <f t="shared" si="2430"/>
        <v>0</v>
      </c>
      <c r="AB588" s="160">
        <f t="shared" si="2430"/>
        <v>0</v>
      </c>
      <c r="AC588" s="160">
        <f t="shared" si="2430"/>
        <v>0</v>
      </c>
      <c r="AD588" s="160">
        <f t="shared" si="2430"/>
        <v>0</v>
      </c>
      <c r="AE588" s="160">
        <f t="shared" si="2430"/>
        <v>0</v>
      </c>
      <c r="AF588" s="160">
        <f t="shared" si="2430"/>
        <v>0</v>
      </c>
      <c r="AG588" s="160">
        <f t="shared" si="2430"/>
        <v>0</v>
      </c>
      <c r="AH588" s="160">
        <f t="shared" si="2430"/>
        <v>0</v>
      </c>
      <c r="AI588" s="160">
        <f t="shared" si="2430"/>
        <v>0</v>
      </c>
      <c r="AJ588" s="160">
        <f t="shared" si="2430"/>
        <v>0</v>
      </c>
      <c r="AK588" s="160">
        <f t="shared" si="2430"/>
        <v>0</v>
      </c>
      <c r="AL588" s="160">
        <f t="shared" si="2430"/>
        <v>0</v>
      </c>
      <c r="AM588" s="160">
        <f t="shared" si="2430"/>
        <v>0</v>
      </c>
      <c r="AN588" s="160">
        <f t="shared" si="2430"/>
        <v>0</v>
      </c>
      <c r="AO588" s="160">
        <f t="shared" si="2430"/>
        <v>0</v>
      </c>
      <c r="AP588" s="160">
        <f t="shared" si="2430"/>
        <v>0</v>
      </c>
      <c r="AQ588" s="160">
        <f t="shared" si="2430"/>
        <v>0</v>
      </c>
      <c r="AR588" s="160">
        <f t="shared" si="2430"/>
        <v>0</v>
      </c>
      <c r="AS588" s="160">
        <f t="shared" si="2430"/>
        <v>0</v>
      </c>
      <c r="AT588" s="160">
        <f t="shared" si="2430"/>
        <v>0</v>
      </c>
      <c r="AU588" s="160">
        <f t="shared" si="2430"/>
        <v>0</v>
      </c>
      <c r="AV588" s="160">
        <f t="shared" si="2430"/>
        <v>0</v>
      </c>
      <c r="AW588" s="160">
        <f t="shared" si="2430"/>
        <v>0</v>
      </c>
      <c r="AX588" s="160">
        <f t="shared" si="2430"/>
        <v>0</v>
      </c>
      <c r="AY588" s="160">
        <f t="shared" si="2430"/>
        <v>0</v>
      </c>
      <c r="AZ588" s="160">
        <f t="shared" si="2430"/>
        <v>0</v>
      </c>
      <c r="BA588" s="160">
        <f t="shared" si="2430"/>
        <v>0</v>
      </c>
      <c r="BB588" s="160">
        <f t="shared" si="2430"/>
        <v>0</v>
      </c>
      <c r="BC588" s="160">
        <f t="shared" si="2430"/>
        <v>0</v>
      </c>
      <c r="BD588" s="160">
        <f t="shared" si="2430"/>
        <v>0</v>
      </c>
      <c r="BE588" s="160">
        <f t="shared" si="2430"/>
        <v>0</v>
      </c>
      <c r="BF588" s="160">
        <f t="shared" si="2430"/>
        <v>0</v>
      </c>
      <c r="BG588" s="160">
        <f t="shared" si="2430"/>
        <v>0</v>
      </c>
      <c r="BH588" s="160">
        <f t="shared" si="2430"/>
        <v>0</v>
      </c>
      <c r="BI588" s="160">
        <f t="shared" si="2430"/>
        <v>0</v>
      </c>
      <c r="BJ588" s="160">
        <f t="shared" si="2430"/>
        <v>0</v>
      </c>
      <c r="BK588" s="160">
        <f t="shared" si="2430"/>
        <v>0</v>
      </c>
      <c r="BL588" s="160">
        <f t="shared" si="2430"/>
        <v>0</v>
      </c>
      <c r="BM588" s="160">
        <f t="shared" si="2430"/>
        <v>0</v>
      </c>
      <c r="BN588" s="160">
        <f t="shared" si="2430"/>
        <v>0</v>
      </c>
      <c r="BO588" s="160">
        <f t="shared" si="2430"/>
        <v>0</v>
      </c>
      <c r="BP588" s="160">
        <f t="shared" si="2430"/>
        <v>0</v>
      </c>
      <c r="BQ588" s="160">
        <f t="shared" si="2430"/>
        <v>0</v>
      </c>
      <c r="BR588" s="160">
        <f t="shared" si="2430"/>
        <v>0</v>
      </c>
      <c r="BS588" s="65"/>
      <c r="BT588" s="160">
        <f t="shared" si="2292"/>
        <v>0</v>
      </c>
      <c r="BU588" s="160">
        <f t="shared" si="2293"/>
        <v>0</v>
      </c>
      <c r="BV588" s="65"/>
      <c r="BW588" s="69"/>
      <c r="BX588" s="65"/>
      <c r="BY588" s="137">
        <f t="shared" si="2294"/>
        <v>1</v>
      </c>
      <c r="BZ588" s="137">
        <f>IF(BY588&gt;0,BY588+LARGE($BZ$213:BZ587,1),0)</f>
        <v>316</v>
      </c>
      <c r="CA588" s="137" t="str">
        <f t="shared" si="2295"/>
        <v>AUX TEC</v>
      </c>
      <c r="CB588" s="161">
        <f t="shared" si="2296"/>
        <v>0</v>
      </c>
      <c r="CC588" s="161">
        <f t="shared" si="2297"/>
        <v>0</v>
      </c>
      <c r="CD588" s="161">
        <f t="shared" si="2298"/>
        <v>0</v>
      </c>
      <c r="CE588" s="161">
        <f t="shared" si="2299"/>
        <v>0</v>
      </c>
      <c r="CF588" s="161">
        <f t="shared" si="2300"/>
        <v>0</v>
      </c>
      <c r="CG588" s="161">
        <f t="shared" si="2301"/>
        <v>0</v>
      </c>
      <c r="CH588" s="161">
        <f t="shared" si="2302"/>
        <v>0</v>
      </c>
      <c r="CI588" s="161">
        <f t="shared" si="2303"/>
        <v>0</v>
      </c>
      <c r="CJ588" s="161">
        <f t="shared" si="2304"/>
        <v>0</v>
      </c>
      <c r="CK588" s="161">
        <f t="shared" si="2305"/>
        <v>0</v>
      </c>
      <c r="CL588" s="161">
        <f t="shared" si="2306"/>
        <v>0</v>
      </c>
      <c r="CM588" s="161">
        <f t="shared" si="2307"/>
        <v>0</v>
      </c>
      <c r="CN588" s="161">
        <f t="shared" si="2308"/>
        <v>0</v>
      </c>
      <c r="CO588" s="161">
        <f t="shared" si="2309"/>
        <v>0</v>
      </c>
      <c r="CP588" s="161">
        <f t="shared" si="2310"/>
        <v>0</v>
      </c>
      <c r="CQ588" s="161">
        <f t="shared" si="2311"/>
        <v>0</v>
      </c>
      <c r="CR588" s="161">
        <f t="shared" si="2312"/>
        <v>0</v>
      </c>
      <c r="CS588" s="161">
        <f t="shared" si="2313"/>
        <v>0</v>
      </c>
      <c r="CT588" s="161">
        <f t="shared" si="2314"/>
        <v>0</v>
      </c>
      <c r="CU588" s="161">
        <f t="shared" si="2315"/>
        <v>0</v>
      </c>
      <c r="CV588" s="161">
        <f t="shared" si="2316"/>
        <v>0</v>
      </c>
      <c r="CW588" s="161">
        <f t="shared" si="2317"/>
        <v>0</v>
      </c>
      <c r="CX588" s="161">
        <f t="shared" si="2318"/>
        <v>0</v>
      </c>
      <c r="CY588" s="161">
        <f t="shared" si="2319"/>
        <v>0</v>
      </c>
      <c r="CZ588" s="161">
        <f t="shared" si="2320"/>
        <v>0</v>
      </c>
      <c r="DA588" s="161">
        <f t="shared" si="2321"/>
        <v>0</v>
      </c>
      <c r="DB588" s="161">
        <f t="shared" si="2322"/>
        <v>0</v>
      </c>
      <c r="DC588" s="161">
        <f t="shared" si="2323"/>
        <v>0</v>
      </c>
      <c r="DD588" s="161">
        <f t="shared" si="2324"/>
        <v>0</v>
      </c>
      <c r="DE588" s="161">
        <f t="shared" si="2325"/>
        <v>0</v>
      </c>
      <c r="DF588" s="161">
        <f t="shared" si="2326"/>
        <v>0</v>
      </c>
      <c r="DG588" s="161">
        <f t="shared" si="2327"/>
        <v>0</v>
      </c>
      <c r="DH588" s="161">
        <f t="shared" si="2328"/>
        <v>0</v>
      </c>
      <c r="DI588" s="161">
        <f t="shared" si="2329"/>
        <v>0</v>
      </c>
      <c r="DJ588" s="161">
        <f t="shared" si="2330"/>
        <v>0</v>
      </c>
      <c r="DK588" s="161">
        <f t="shared" si="2331"/>
        <v>0</v>
      </c>
      <c r="DL588" s="161">
        <f t="shared" si="2332"/>
        <v>0</v>
      </c>
      <c r="DM588" s="161">
        <f t="shared" si="2333"/>
        <v>0</v>
      </c>
      <c r="DN588" s="161">
        <f t="shared" si="2334"/>
        <v>0</v>
      </c>
      <c r="DO588" s="161">
        <f t="shared" si="2335"/>
        <v>0</v>
      </c>
      <c r="DP588" s="161">
        <f t="shared" si="2336"/>
        <v>0</v>
      </c>
      <c r="DQ588" s="161">
        <f t="shared" si="2337"/>
        <v>0</v>
      </c>
      <c r="DR588" s="161">
        <f t="shared" si="2338"/>
        <v>0</v>
      </c>
      <c r="DS588" s="161">
        <f t="shared" si="2339"/>
        <v>0</v>
      </c>
      <c r="DT588" s="161">
        <f t="shared" si="2340"/>
        <v>0</v>
      </c>
      <c r="DU588" s="161">
        <f t="shared" si="2341"/>
        <v>0</v>
      </c>
      <c r="DV588" s="161">
        <f t="shared" si="2342"/>
        <v>0</v>
      </c>
      <c r="DW588" s="161">
        <f t="shared" si="2343"/>
        <v>0</v>
      </c>
      <c r="DX588" s="161">
        <f t="shared" si="2344"/>
        <v>0</v>
      </c>
      <c r="DY588" s="161">
        <f t="shared" si="2345"/>
        <v>0</v>
      </c>
      <c r="DZ588" s="161">
        <f t="shared" si="2346"/>
        <v>0</v>
      </c>
      <c r="EA588" s="161">
        <f t="shared" si="2347"/>
        <v>0</v>
      </c>
      <c r="EB588" s="161">
        <f t="shared" si="2348"/>
        <v>0</v>
      </c>
      <c r="EC588" s="161">
        <f t="shared" si="2349"/>
        <v>0</v>
      </c>
      <c r="ED588" s="161">
        <f t="shared" si="2350"/>
        <v>0</v>
      </c>
      <c r="EE588" s="161">
        <f t="shared" si="2351"/>
        <v>0</v>
      </c>
      <c r="EF588" s="161">
        <f t="shared" si="2352"/>
        <v>0</v>
      </c>
      <c r="EG588" s="161">
        <f t="shared" si="2353"/>
        <v>0</v>
      </c>
      <c r="EH588" s="161">
        <f t="shared" si="2354"/>
        <v>0</v>
      </c>
      <c r="EI588" s="161">
        <f t="shared" si="2355"/>
        <v>0</v>
      </c>
      <c r="EJ588" s="65"/>
      <c r="EK588" s="161">
        <f t="shared" si="2426"/>
        <v>0</v>
      </c>
      <c r="EL588" s="161">
        <f t="shared" si="2427"/>
        <v>0</v>
      </c>
      <c r="EM588" s="161">
        <f t="shared" si="2428"/>
        <v>0</v>
      </c>
    </row>
    <row r="589" spans="1:143" ht="12" hidden="1" customHeight="1" outlineLevel="2">
      <c r="A589" s="77">
        <v>17</v>
      </c>
      <c r="B589" s="137" t="str">
        <f t="shared" si="2356"/>
        <v>AUX ADM - Equipe_01</v>
      </c>
      <c r="C589" s="65"/>
      <c r="D589" s="622"/>
      <c r="E589" s="65"/>
      <c r="F589" s="603"/>
      <c r="G589" s="77" t="str">
        <f>IF(INDEX(Tarefas!$BT$30:$FK$30,MATCH(A589,Tarefas!$BT$28:$FK$28,0))=0,"",INDEX(Tarefas!$BT$30:$FK$30,MATCH(A589,Tarefas!$BT$28:$FK$28,0)))</f>
        <v>AUX ADM</v>
      </c>
      <c r="H589" s="107" cm="1">
        <f t="array" ref="H589">IFERROR((SUMPRODUCT((Tarefas!$N$32:$N$54='Cronog. e Histog.'!$F$573)*(Tarefas!$BQ$30:$FK$30='Cronog. e Histog.'!$G589)*(Tarefas!$BQ$32:$FK$54)))/SUMIF(Tarefas!$N$32:$N$54,'Cronog. e Histog.'!$F$573,Tarefas!$K$32:$K$54),0)</f>
        <v>0</v>
      </c>
      <c r="I589" s="79">
        <f t="shared" si="2357"/>
        <v>0</v>
      </c>
      <c r="J589" s="65"/>
      <c r="K589" s="160">
        <f t="shared" si="2429"/>
        <v>0</v>
      </c>
      <c r="L589" s="160">
        <f t="shared" si="2430"/>
        <v>0</v>
      </c>
      <c r="M589" s="160">
        <f t="shared" si="2430"/>
        <v>0</v>
      </c>
      <c r="N589" s="160">
        <f t="shared" si="2430"/>
        <v>0</v>
      </c>
      <c r="O589" s="160">
        <f t="shared" si="2430"/>
        <v>0</v>
      </c>
      <c r="P589" s="160">
        <f t="shared" si="2430"/>
        <v>0</v>
      </c>
      <c r="Q589" s="160">
        <f t="shared" si="2430"/>
        <v>0</v>
      </c>
      <c r="R589" s="160">
        <f t="shared" si="2430"/>
        <v>0</v>
      </c>
      <c r="S589" s="160">
        <f t="shared" si="2430"/>
        <v>0</v>
      </c>
      <c r="T589" s="160">
        <f t="shared" si="2430"/>
        <v>0</v>
      </c>
      <c r="U589" s="160">
        <f t="shared" si="2430"/>
        <v>0</v>
      </c>
      <c r="V589" s="160">
        <f t="shared" si="2430"/>
        <v>0</v>
      </c>
      <c r="W589" s="160">
        <f t="shared" si="2430"/>
        <v>0</v>
      </c>
      <c r="X589" s="160">
        <f t="shared" si="2430"/>
        <v>0</v>
      </c>
      <c r="Y589" s="160">
        <f t="shared" si="2430"/>
        <v>0</v>
      </c>
      <c r="Z589" s="160">
        <f t="shared" si="2430"/>
        <v>0</v>
      </c>
      <c r="AA589" s="160">
        <f t="shared" si="2430"/>
        <v>0</v>
      </c>
      <c r="AB589" s="160">
        <f t="shared" si="2430"/>
        <v>0</v>
      </c>
      <c r="AC589" s="160">
        <f t="shared" si="2430"/>
        <v>0</v>
      </c>
      <c r="AD589" s="160">
        <f t="shared" si="2430"/>
        <v>0</v>
      </c>
      <c r="AE589" s="160">
        <f t="shared" si="2430"/>
        <v>0</v>
      </c>
      <c r="AF589" s="160">
        <f t="shared" si="2430"/>
        <v>0</v>
      </c>
      <c r="AG589" s="160">
        <f t="shared" si="2430"/>
        <v>0</v>
      </c>
      <c r="AH589" s="160">
        <f t="shared" si="2430"/>
        <v>0</v>
      </c>
      <c r="AI589" s="160">
        <f t="shared" si="2430"/>
        <v>0</v>
      </c>
      <c r="AJ589" s="160">
        <f t="shared" si="2430"/>
        <v>0</v>
      </c>
      <c r="AK589" s="160">
        <f t="shared" si="2430"/>
        <v>0</v>
      </c>
      <c r="AL589" s="160">
        <f t="shared" si="2430"/>
        <v>0</v>
      </c>
      <c r="AM589" s="160">
        <f t="shared" si="2430"/>
        <v>0</v>
      </c>
      <c r="AN589" s="160">
        <f t="shared" si="2430"/>
        <v>0</v>
      </c>
      <c r="AO589" s="160">
        <f t="shared" si="2430"/>
        <v>0</v>
      </c>
      <c r="AP589" s="160">
        <f t="shared" si="2430"/>
        <v>0</v>
      </c>
      <c r="AQ589" s="160">
        <f t="shared" si="2430"/>
        <v>0</v>
      </c>
      <c r="AR589" s="160">
        <f t="shared" si="2430"/>
        <v>0</v>
      </c>
      <c r="AS589" s="160">
        <f t="shared" si="2430"/>
        <v>0</v>
      </c>
      <c r="AT589" s="160">
        <f t="shared" si="2430"/>
        <v>0</v>
      </c>
      <c r="AU589" s="160">
        <f t="shared" si="2430"/>
        <v>0</v>
      </c>
      <c r="AV589" s="160">
        <f t="shared" si="2430"/>
        <v>0</v>
      </c>
      <c r="AW589" s="160">
        <f t="shared" si="2430"/>
        <v>0</v>
      </c>
      <c r="AX589" s="160">
        <f t="shared" si="2430"/>
        <v>0</v>
      </c>
      <c r="AY589" s="160">
        <f t="shared" si="2430"/>
        <v>0</v>
      </c>
      <c r="AZ589" s="160">
        <f t="shared" si="2430"/>
        <v>0</v>
      </c>
      <c r="BA589" s="160">
        <f t="shared" si="2430"/>
        <v>0</v>
      </c>
      <c r="BB589" s="160">
        <f t="shared" si="2430"/>
        <v>0</v>
      </c>
      <c r="BC589" s="160">
        <f t="shared" si="2430"/>
        <v>0</v>
      </c>
      <c r="BD589" s="160">
        <f t="shared" si="2430"/>
        <v>0</v>
      </c>
      <c r="BE589" s="160">
        <f t="shared" si="2430"/>
        <v>0</v>
      </c>
      <c r="BF589" s="160">
        <f t="shared" si="2430"/>
        <v>0</v>
      </c>
      <c r="BG589" s="160">
        <f t="shared" si="2430"/>
        <v>0</v>
      </c>
      <c r="BH589" s="160">
        <f t="shared" si="2430"/>
        <v>0</v>
      </c>
      <c r="BI589" s="160">
        <f t="shared" si="2430"/>
        <v>0</v>
      </c>
      <c r="BJ589" s="160">
        <f t="shared" si="2430"/>
        <v>0</v>
      </c>
      <c r="BK589" s="160">
        <f t="shared" si="2430"/>
        <v>0</v>
      </c>
      <c r="BL589" s="160">
        <f t="shared" si="2430"/>
        <v>0</v>
      </c>
      <c r="BM589" s="160">
        <f t="shared" si="2430"/>
        <v>0</v>
      </c>
      <c r="BN589" s="160">
        <f t="shared" si="2430"/>
        <v>0</v>
      </c>
      <c r="BO589" s="160">
        <f t="shared" si="2430"/>
        <v>0</v>
      </c>
      <c r="BP589" s="160">
        <f t="shared" si="2430"/>
        <v>0</v>
      </c>
      <c r="BQ589" s="160">
        <f t="shared" si="2430"/>
        <v>0</v>
      </c>
      <c r="BR589" s="160">
        <f t="shared" si="2430"/>
        <v>0</v>
      </c>
      <c r="BS589" s="65"/>
      <c r="BT589" s="160">
        <f t="shared" si="2292"/>
        <v>0</v>
      </c>
      <c r="BU589" s="160">
        <f t="shared" si="2293"/>
        <v>0</v>
      </c>
      <c r="BV589" s="65"/>
      <c r="BW589" s="69"/>
      <c r="BX589" s="65"/>
      <c r="BY589" s="137">
        <f t="shared" si="2294"/>
        <v>1</v>
      </c>
      <c r="BZ589" s="137">
        <f>IF(BY589&gt;0,BY589+LARGE($BZ$213:BZ588,1),0)</f>
        <v>317</v>
      </c>
      <c r="CA589" s="137" t="str">
        <f t="shared" si="2295"/>
        <v>AUX ADM</v>
      </c>
      <c r="CB589" s="161">
        <f t="shared" si="2296"/>
        <v>0</v>
      </c>
      <c r="CC589" s="161">
        <f t="shared" si="2297"/>
        <v>0</v>
      </c>
      <c r="CD589" s="161">
        <f t="shared" si="2298"/>
        <v>0</v>
      </c>
      <c r="CE589" s="161">
        <f t="shared" si="2299"/>
        <v>0</v>
      </c>
      <c r="CF589" s="161">
        <f t="shared" si="2300"/>
        <v>0</v>
      </c>
      <c r="CG589" s="161">
        <f t="shared" si="2301"/>
        <v>0</v>
      </c>
      <c r="CH589" s="161">
        <f t="shared" si="2302"/>
        <v>0</v>
      </c>
      <c r="CI589" s="161">
        <f t="shared" si="2303"/>
        <v>0</v>
      </c>
      <c r="CJ589" s="161">
        <f t="shared" si="2304"/>
        <v>0</v>
      </c>
      <c r="CK589" s="161">
        <f t="shared" si="2305"/>
        <v>0</v>
      </c>
      <c r="CL589" s="161">
        <f t="shared" si="2306"/>
        <v>0</v>
      </c>
      <c r="CM589" s="161">
        <f t="shared" si="2307"/>
        <v>0</v>
      </c>
      <c r="CN589" s="161">
        <f t="shared" si="2308"/>
        <v>0</v>
      </c>
      <c r="CO589" s="161">
        <f t="shared" si="2309"/>
        <v>0</v>
      </c>
      <c r="CP589" s="161">
        <f t="shared" si="2310"/>
        <v>0</v>
      </c>
      <c r="CQ589" s="161">
        <f t="shared" si="2311"/>
        <v>0</v>
      </c>
      <c r="CR589" s="161">
        <f t="shared" si="2312"/>
        <v>0</v>
      </c>
      <c r="CS589" s="161">
        <f t="shared" si="2313"/>
        <v>0</v>
      </c>
      <c r="CT589" s="161">
        <f t="shared" si="2314"/>
        <v>0</v>
      </c>
      <c r="CU589" s="161">
        <f t="shared" si="2315"/>
        <v>0</v>
      </c>
      <c r="CV589" s="161">
        <f t="shared" si="2316"/>
        <v>0</v>
      </c>
      <c r="CW589" s="161">
        <f t="shared" si="2317"/>
        <v>0</v>
      </c>
      <c r="CX589" s="161">
        <f t="shared" si="2318"/>
        <v>0</v>
      </c>
      <c r="CY589" s="161">
        <f t="shared" si="2319"/>
        <v>0</v>
      </c>
      <c r="CZ589" s="161">
        <f t="shared" si="2320"/>
        <v>0</v>
      </c>
      <c r="DA589" s="161">
        <f t="shared" si="2321"/>
        <v>0</v>
      </c>
      <c r="DB589" s="161">
        <f t="shared" si="2322"/>
        <v>0</v>
      </c>
      <c r="DC589" s="161">
        <f t="shared" si="2323"/>
        <v>0</v>
      </c>
      <c r="DD589" s="161">
        <f t="shared" si="2324"/>
        <v>0</v>
      </c>
      <c r="DE589" s="161">
        <f t="shared" si="2325"/>
        <v>0</v>
      </c>
      <c r="DF589" s="161">
        <f t="shared" si="2326"/>
        <v>0</v>
      </c>
      <c r="DG589" s="161">
        <f t="shared" si="2327"/>
        <v>0</v>
      </c>
      <c r="DH589" s="161">
        <f t="shared" si="2328"/>
        <v>0</v>
      </c>
      <c r="DI589" s="161">
        <f t="shared" si="2329"/>
        <v>0</v>
      </c>
      <c r="DJ589" s="161">
        <f t="shared" si="2330"/>
        <v>0</v>
      </c>
      <c r="DK589" s="161">
        <f t="shared" si="2331"/>
        <v>0</v>
      </c>
      <c r="DL589" s="161">
        <f t="shared" si="2332"/>
        <v>0</v>
      </c>
      <c r="DM589" s="161">
        <f t="shared" si="2333"/>
        <v>0</v>
      </c>
      <c r="DN589" s="161">
        <f t="shared" si="2334"/>
        <v>0</v>
      </c>
      <c r="DO589" s="161">
        <f t="shared" si="2335"/>
        <v>0</v>
      </c>
      <c r="DP589" s="161">
        <f t="shared" si="2336"/>
        <v>0</v>
      </c>
      <c r="DQ589" s="161">
        <f t="shared" si="2337"/>
        <v>0</v>
      </c>
      <c r="DR589" s="161">
        <f t="shared" si="2338"/>
        <v>0</v>
      </c>
      <c r="DS589" s="161">
        <f t="shared" si="2339"/>
        <v>0</v>
      </c>
      <c r="DT589" s="161">
        <f t="shared" si="2340"/>
        <v>0</v>
      </c>
      <c r="DU589" s="161">
        <f t="shared" si="2341"/>
        <v>0</v>
      </c>
      <c r="DV589" s="161">
        <f t="shared" si="2342"/>
        <v>0</v>
      </c>
      <c r="DW589" s="161">
        <f t="shared" si="2343"/>
        <v>0</v>
      </c>
      <c r="DX589" s="161">
        <f t="shared" si="2344"/>
        <v>0</v>
      </c>
      <c r="DY589" s="161">
        <f t="shared" si="2345"/>
        <v>0</v>
      </c>
      <c r="DZ589" s="161">
        <f t="shared" si="2346"/>
        <v>0</v>
      </c>
      <c r="EA589" s="161">
        <f t="shared" si="2347"/>
        <v>0</v>
      </c>
      <c r="EB589" s="161">
        <f t="shared" si="2348"/>
        <v>0</v>
      </c>
      <c r="EC589" s="161">
        <f t="shared" si="2349"/>
        <v>0</v>
      </c>
      <c r="ED589" s="161">
        <f t="shared" si="2350"/>
        <v>0</v>
      </c>
      <c r="EE589" s="161">
        <f t="shared" si="2351"/>
        <v>0</v>
      </c>
      <c r="EF589" s="161">
        <f t="shared" si="2352"/>
        <v>0</v>
      </c>
      <c r="EG589" s="161">
        <f t="shared" si="2353"/>
        <v>0</v>
      </c>
      <c r="EH589" s="161">
        <f t="shared" si="2354"/>
        <v>0</v>
      </c>
      <c r="EI589" s="161">
        <f t="shared" si="2355"/>
        <v>0</v>
      </c>
      <c r="EJ589" s="65"/>
      <c r="EK589" s="161">
        <f t="shared" si="2426"/>
        <v>0</v>
      </c>
      <c r="EL589" s="161">
        <f t="shared" si="2427"/>
        <v>0</v>
      </c>
      <c r="EM589" s="161">
        <f t="shared" si="2428"/>
        <v>0</v>
      </c>
    </row>
    <row r="590" spans="1:143" ht="12" hidden="1" customHeight="1" outlineLevel="2">
      <c r="A590" s="77">
        <v>18</v>
      </c>
      <c r="B590" s="137" t="str">
        <f t="shared" si="2356"/>
        <v>EST - Equipe_01</v>
      </c>
      <c r="C590" s="65"/>
      <c r="D590" s="622"/>
      <c r="E590" s="65"/>
      <c r="F590" s="603"/>
      <c r="G590" s="77" t="str">
        <f>IF(INDEX(Tarefas!$BT$30:$FK$30,MATCH(A590,Tarefas!$BT$28:$FK$28,0))=0,"",INDEX(Tarefas!$BT$30:$FK$30,MATCH(A590,Tarefas!$BT$28:$FK$28,0)))</f>
        <v>EST</v>
      </c>
      <c r="H590" s="107" cm="1">
        <f t="array" ref="H590">IFERROR((SUMPRODUCT((Tarefas!$N$32:$N$54='Cronog. e Histog.'!$F$573)*(Tarefas!$BQ$30:$FK$30='Cronog. e Histog.'!$G590)*(Tarefas!$BQ$32:$FK$54)))/SUMIF(Tarefas!$N$32:$N$54,'Cronog. e Histog.'!$F$573,Tarefas!$K$32:$K$54),0)</f>
        <v>0</v>
      </c>
      <c r="I590" s="79">
        <f t="shared" si="2357"/>
        <v>0</v>
      </c>
      <c r="J590" s="65"/>
      <c r="K590" s="160">
        <f t="shared" si="2429"/>
        <v>0</v>
      </c>
      <c r="L590" s="160">
        <f t="shared" si="2430"/>
        <v>0</v>
      </c>
      <c r="M590" s="160">
        <f t="shared" si="2430"/>
        <v>0</v>
      </c>
      <c r="N590" s="160">
        <f t="shared" si="2430"/>
        <v>0</v>
      </c>
      <c r="O590" s="160">
        <f t="shared" si="2430"/>
        <v>0</v>
      </c>
      <c r="P590" s="160">
        <f t="shared" si="2430"/>
        <v>0</v>
      </c>
      <c r="Q590" s="160">
        <f t="shared" si="2430"/>
        <v>0</v>
      </c>
      <c r="R590" s="160">
        <f t="shared" si="2430"/>
        <v>0</v>
      </c>
      <c r="S590" s="160">
        <f t="shared" si="2430"/>
        <v>0</v>
      </c>
      <c r="T590" s="160">
        <f t="shared" si="2430"/>
        <v>0</v>
      </c>
      <c r="U590" s="160">
        <f t="shared" si="2430"/>
        <v>0</v>
      </c>
      <c r="V590" s="160">
        <f t="shared" si="2430"/>
        <v>0</v>
      </c>
      <c r="W590" s="160">
        <f t="shared" si="2430"/>
        <v>0</v>
      </c>
      <c r="X590" s="160">
        <f t="shared" si="2430"/>
        <v>0</v>
      </c>
      <c r="Y590" s="160">
        <f t="shared" si="2430"/>
        <v>0</v>
      </c>
      <c r="Z590" s="160">
        <f t="shared" si="2430"/>
        <v>0</v>
      </c>
      <c r="AA590" s="160">
        <f t="shared" si="2430"/>
        <v>0</v>
      </c>
      <c r="AB590" s="160">
        <f t="shared" si="2430"/>
        <v>0</v>
      </c>
      <c r="AC590" s="160">
        <f t="shared" si="2430"/>
        <v>0</v>
      </c>
      <c r="AD590" s="160">
        <f t="shared" si="2430"/>
        <v>0</v>
      </c>
      <c r="AE590" s="160">
        <f t="shared" si="2430"/>
        <v>0</v>
      </c>
      <c r="AF590" s="160">
        <f t="shared" si="2430"/>
        <v>0</v>
      </c>
      <c r="AG590" s="160">
        <f t="shared" si="2430"/>
        <v>0</v>
      </c>
      <c r="AH590" s="160">
        <f t="shared" si="2430"/>
        <v>0</v>
      </c>
      <c r="AI590" s="160">
        <f t="shared" si="2430"/>
        <v>0</v>
      </c>
      <c r="AJ590" s="160">
        <f t="shared" si="2430"/>
        <v>0</v>
      </c>
      <c r="AK590" s="160">
        <f t="shared" si="2430"/>
        <v>0</v>
      </c>
      <c r="AL590" s="160">
        <f t="shared" si="2430"/>
        <v>0</v>
      </c>
      <c r="AM590" s="160">
        <f t="shared" si="2430"/>
        <v>0</v>
      </c>
      <c r="AN590" s="160">
        <f t="shared" si="2430"/>
        <v>0</v>
      </c>
      <c r="AO590" s="160">
        <f t="shared" si="2430"/>
        <v>0</v>
      </c>
      <c r="AP590" s="160">
        <f t="shared" si="2430"/>
        <v>0</v>
      </c>
      <c r="AQ590" s="160">
        <f t="shared" si="2430"/>
        <v>0</v>
      </c>
      <c r="AR590" s="160">
        <f t="shared" si="2430"/>
        <v>0</v>
      </c>
      <c r="AS590" s="160">
        <f t="shared" si="2430"/>
        <v>0</v>
      </c>
      <c r="AT590" s="160">
        <f t="shared" si="2430"/>
        <v>0</v>
      </c>
      <c r="AU590" s="160">
        <f t="shared" si="2430"/>
        <v>0</v>
      </c>
      <c r="AV590" s="160">
        <f t="shared" si="2430"/>
        <v>0</v>
      </c>
      <c r="AW590" s="160">
        <f t="shared" si="2430"/>
        <v>0</v>
      </c>
      <c r="AX590" s="160">
        <f t="shared" si="2430"/>
        <v>0</v>
      </c>
      <c r="AY590" s="160">
        <f t="shared" si="2430"/>
        <v>0</v>
      </c>
      <c r="AZ590" s="160">
        <f t="shared" si="2430"/>
        <v>0</v>
      </c>
      <c r="BA590" s="160">
        <f t="shared" si="2430"/>
        <v>0</v>
      </c>
      <c r="BB590" s="160">
        <f t="shared" si="2430"/>
        <v>0</v>
      </c>
      <c r="BC590" s="160">
        <f t="shared" si="2430"/>
        <v>0</v>
      </c>
      <c r="BD590" s="160">
        <f t="shared" si="2430"/>
        <v>0</v>
      </c>
      <c r="BE590" s="160">
        <f t="shared" si="2430"/>
        <v>0</v>
      </c>
      <c r="BF590" s="160">
        <f t="shared" si="2430"/>
        <v>0</v>
      </c>
      <c r="BG590" s="160">
        <f t="shared" si="2430"/>
        <v>0</v>
      </c>
      <c r="BH590" s="160">
        <f t="shared" si="2430"/>
        <v>0</v>
      </c>
      <c r="BI590" s="160">
        <f t="shared" si="2430"/>
        <v>0</v>
      </c>
      <c r="BJ590" s="160">
        <f t="shared" si="2430"/>
        <v>0</v>
      </c>
      <c r="BK590" s="160">
        <f t="shared" si="2430"/>
        <v>0</v>
      </c>
      <c r="BL590" s="160">
        <f t="shared" si="2430"/>
        <v>0</v>
      </c>
      <c r="BM590" s="160">
        <f t="shared" si="2430"/>
        <v>0</v>
      </c>
      <c r="BN590" s="160">
        <f t="shared" si="2430"/>
        <v>0</v>
      </c>
      <c r="BO590" s="160">
        <f t="shared" si="2430"/>
        <v>0</v>
      </c>
      <c r="BP590" s="160">
        <f t="shared" si="2430"/>
        <v>0</v>
      </c>
      <c r="BQ590" s="160">
        <f t="shared" si="2430"/>
        <v>0</v>
      </c>
      <c r="BR590" s="160">
        <f t="shared" si="2430"/>
        <v>0</v>
      </c>
      <c r="BS590" s="65"/>
      <c r="BT590" s="160">
        <f t="shared" si="2292"/>
        <v>0</v>
      </c>
      <c r="BU590" s="160">
        <f t="shared" si="2293"/>
        <v>0</v>
      </c>
      <c r="BV590" s="65"/>
      <c r="BW590" s="69"/>
      <c r="BX590" s="65"/>
      <c r="BY590" s="137">
        <f t="shared" si="2294"/>
        <v>1</v>
      </c>
      <c r="BZ590" s="137">
        <f>IF(BY590&gt;0,BY590+LARGE($BZ$213:BZ589,1),0)</f>
        <v>318</v>
      </c>
      <c r="CA590" s="137" t="str">
        <f t="shared" si="2295"/>
        <v>EST</v>
      </c>
      <c r="CB590" s="161">
        <f t="shared" si="2296"/>
        <v>0</v>
      </c>
      <c r="CC590" s="161">
        <f t="shared" si="2297"/>
        <v>0</v>
      </c>
      <c r="CD590" s="161">
        <f t="shared" si="2298"/>
        <v>0</v>
      </c>
      <c r="CE590" s="161">
        <f t="shared" si="2299"/>
        <v>0</v>
      </c>
      <c r="CF590" s="161">
        <f t="shared" si="2300"/>
        <v>0</v>
      </c>
      <c r="CG590" s="161">
        <f t="shared" si="2301"/>
        <v>0</v>
      </c>
      <c r="CH590" s="161">
        <f t="shared" si="2302"/>
        <v>0</v>
      </c>
      <c r="CI590" s="161">
        <f t="shared" si="2303"/>
        <v>0</v>
      </c>
      <c r="CJ590" s="161">
        <f t="shared" si="2304"/>
        <v>0</v>
      </c>
      <c r="CK590" s="161">
        <f t="shared" si="2305"/>
        <v>0</v>
      </c>
      <c r="CL590" s="161">
        <f t="shared" si="2306"/>
        <v>0</v>
      </c>
      <c r="CM590" s="161">
        <f t="shared" si="2307"/>
        <v>0</v>
      </c>
      <c r="CN590" s="161">
        <f t="shared" si="2308"/>
        <v>0</v>
      </c>
      <c r="CO590" s="161">
        <f t="shared" si="2309"/>
        <v>0</v>
      </c>
      <c r="CP590" s="161">
        <f t="shared" si="2310"/>
        <v>0</v>
      </c>
      <c r="CQ590" s="161">
        <f t="shared" si="2311"/>
        <v>0</v>
      </c>
      <c r="CR590" s="161">
        <f t="shared" si="2312"/>
        <v>0</v>
      </c>
      <c r="CS590" s="161">
        <f t="shared" si="2313"/>
        <v>0</v>
      </c>
      <c r="CT590" s="161">
        <f t="shared" si="2314"/>
        <v>0</v>
      </c>
      <c r="CU590" s="161">
        <f t="shared" si="2315"/>
        <v>0</v>
      </c>
      <c r="CV590" s="161">
        <f t="shared" si="2316"/>
        <v>0</v>
      </c>
      <c r="CW590" s="161">
        <f t="shared" si="2317"/>
        <v>0</v>
      </c>
      <c r="CX590" s="161">
        <f t="shared" si="2318"/>
        <v>0</v>
      </c>
      <c r="CY590" s="161">
        <f t="shared" si="2319"/>
        <v>0</v>
      </c>
      <c r="CZ590" s="161">
        <f t="shared" si="2320"/>
        <v>0</v>
      </c>
      <c r="DA590" s="161">
        <f t="shared" si="2321"/>
        <v>0</v>
      </c>
      <c r="DB590" s="161">
        <f t="shared" si="2322"/>
        <v>0</v>
      </c>
      <c r="DC590" s="161">
        <f t="shared" si="2323"/>
        <v>0</v>
      </c>
      <c r="DD590" s="161">
        <f t="shared" si="2324"/>
        <v>0</v>
      </c>
      <c r="DE590" s="161">
        <f t="shared" si="2325"/>
        <v>0</v>
      </c>
      <c r="DF590" s="161">
        <f t="shared" si="2326"/>
        <v>0</v>
      </c>
      <c r="DG590" s="161">
        <f t="shared" si="2327"/>
        <v>0</v>
      </c>
      <c r="DH590" s="161">
        <f t="shared" si="2328"/>
        <v>0</v>
      </c>
      <c r="DI590" s="161">
        <f t="shared" si="2329"/>
        <v>0</v>
      </c>
      <c r="DJ590" s="161">
        <f t="shared" si="2330"/>
        <v>0</v>
      </c>
      <c r="DK590" s="161">
        <f t="shared" si="2331"/>
        <v>0</v>
      </c>
      <c r="DL590" s="161">
        <f t="shared" si="2332"/>
        <v>0</v>
      </c>
      <c r="DM590" s="161">
        <f t="shared" si="2333"/>
        <v>0</v>
      </c>
      <c r="DN590" s="161">
        <f t="shared" si="2334"/>
        <v>0</v>
      </c>
      <c r="DO590" s="161">
        <f t="shared" si="2335"/>
        <v>0</v>
      </c>
      <c r="DP590" s="161">
        <f t="shared" si="2336"/>
        <v>0</v>
      </c>
      <c r="DQ590" s="161">
        <f t="shared" si="2337"/>
        <v>0</v>
      </c>
      <c r="DR590" s="161">
        <f t="shared" si="2338"/>
        <v>0</v>
      </c>
      <c r="DS590" s="161">
        <f t="shared" si="2339"/>
        <v>0</v>
      </c>
      <c r="DT590" s="161">
        <f t="shared" si="2340"/>
        <v>0</v>
      </c>
      <c r="DU590" s="161">
        <f t="shared" si="2341"/>
        <v>0</v>
      </c>
      <c r="DV590" s="161">
        <f t="shared" si="2342"/>
        <v>0</v>
      </c>
      <c r="DW590" s="161">
        <f t="shared" si="2343"/>
        <v>0</v>
      </c>
      <c r="DX590" s="161">
        <f t="shared" si="2344"/>
        <v>0</v>
      </c>
      <c r="DY590" s="161">
        <f t="shared" si="2345"/>
        <v>0</v>
      </c>
      <c r="DZ590" s="161">
        <f t="shared" si="2346"/>
        <v>0</v>
      </c>
      <c r="EA590" s="161">
        <f t="shared" si="2347"/>
        <v>0</v>
      </c>
      <c r="EB590" s="161">
        <f t="shared" si="2348"/>
        <v>0</v>
      </c>
      <c r="EC590" s="161">
        <f t="shared" si="2349"/>
        <v>0</v>
      </c>
      <c r="ED590" s="161">
        <f t="shared" si="2350"/>
        <v>0</v>
      </c>
      <c r="EE590" s="161">
        <f t="shared" si="2351"/>
        <v>0</v>
      </c>
      <c r="EF590" s="161">
        <f t="shared" si="2352"/>
        <v>0</v>
      </c>
      <c r="EG590" s="161">
        <f t="shared" si="2353"/>
        <v>0</v>
      </c>
      <c r="EH590" s="161">
        <f t="shared" si="2354"/>
        <v>0</v>
      </c>
      <c r="EI590" s="161">
        <f t="shared" si="2355"/>
        <v>0</v>
      </c>
      <c r="EJ590" s="65"/>
      <c r="EK590" s="161">
        <f t="shared" si="2426"/>
        <v>0</v>
      </c>
      <c r="EL590" s="161">
        <f t="shared" si="2427"/>
        <v>0</v>
      </c>
      <c r="EM590" s="161">
        <f t="shared" si="2428"/>
        <v>0</v>
      </c>
    </row>
    <row r="591" spans="1:143" ht="12" hidden="1" customHeight="1" outlineLevel="2">
      <c r="A591" s="77">
        <v>19</v>
      </c>
      <c r="B591" s="137" t="str">
        <f t="shared" si="2356"/>
        <v>EST_II - Equipe_01</v>
      </c>
      <c r="C591" s="65"/>
      <c r="D591" s="622"/>
      <c r="E591" s="65"/>
      <c r="F591" s="603"/>
      <c r="G591" s="77" t="str">
        <f>IF(INDEX(Tarefas!$BT$30:$FK$30,MATCH(A591,Tarefas!$BT$28:$FK$28,0))=0,"",INDEX(Tarefas!$BT$30:$FK$30,MATCH(A591,Tarefas!$BT$28:$FK$28,0)))</f>
        <v>EST_II</v>
      </c>
      <c r="H591" s="107" cm="1">
        <f t="array" ref="H591">IFERROR((SUMPRODUCT((Tarefas!$N$32:$N$54='Cronog. e Histog.'!$F$573)*(Tarefas!$BQ$30:$FK$30='Cronog. e Histog.'!$G591)*(Tarefas!$BQ$32:$FK$54)))/SUMIF(Tarefas!$N$32:$N$54,'Cronog. e Histog.'!$F$573,Tarefas!$K$32:$K$54),0)</f>
        <v>0</v>
      </c>
      <c r="I591" s="79">
        <f t="shared" si="2357"/>
        <v>0</v>
      </c>
      <c r="J591" s="65"/>
      <c r="K591" s="160">
        <f t="shared" si="2429"/>
        <v>0</v>
      </c>
      <c r="L591" s="160">
        <f t="shared" si="2430"/>
        <v>0</v>
      </c>
      <c r="M591" s="160">
        <f t="shared" si="2430"/>
        <v>0</v>
      </c>
      <c r="N591" s="160">
        <f t="shared" si="2430"/>
        <v>0</v>
      </c>
      <c r="O591" s="160">
        <f t="shared" si="2430"/>
        <v>0</v>
      </c>
      <c r="P591" s="160">
        <f t="shared" si="2430"/>
        <v>0</v>
      </c>
      <c r="Q591" s="160">
        <f t="shared" si="2430"/>
        <v>0</v>
      </c>
      <c r="R591" s="160">
        <f t="shared" si="2430"/>
        <v>0</v>
      </c>
      <c r="S591" s="160">
        <f t="shared" si="2430"/>
        <v>0</v>
      </c>
      <c r="T591" s="160">
        <f t="shared" si="2430"/>
        <v>0</v>
      </c>
      <c r="U591" s="160">
        <f t="shared" si="2430"/>
        <v>0</v>
      </c>
      <c r="V591" s="160">
        <f t="shared" si="2430"/>
        <v>0</v>
      </c>
      <c r="W591" s="160">
        <f t="shared" si="2430"/>
        <v>0</v>
      </c>
      <c r="X591" s="160">
        <f t="shared" si="2430"/>
        <v>0</v>
      </c>
      <c r="Y591" s="160">
        <f t="shared" si="2430"/>
        <v>0</v>
      </c>
      <c r="Z591" s="160">
        <f t="shared" si="2430"/>
        <v>0</v>
      </c>
      <c r="AA591" s="160">
        <f t="shared" si="2430"/>
        <v>0</v>
      </c>
      <c r="AB591" s="160">
        <f t="shared" si="2430"/>
        <v>0</v>
      </c>
      <c r="AC591" s="160">
        <f t="shared" si="2430"/>
        <v>0</v>
      </c>
      <c r="AD591" s="160">
        <f t="shared" si="2430"/>
        <v>0</v>
      </c>
      <c r="AE591" s="160">
        <f t="shared" si="2430"/>
        <v>0</v>
      </c>
      <c r="AF591" s="160">
        <f t="shared" si="2430"/>
        <v>0</v>
      </c>
      <c r="AG591" s="160">
        <f t="shared" si="2430"/>
        <v>0</v>
      </c>
      <c r="AH591" s="160">
        <f t="shared" si="2430"/>
        <v>0</v>
      </c>
      <c r="AI591" s="160">
        <f t="shared" si="2430"/>
        <v>0</v>
      </c>
      <c r="AJ591" s="160">
        <f t="shared" si="2430"/>
        <v>0</v>
      </c>
      <c r="AK591" s="160">
        <f t="shared" si="2430"/>
        <v>0</v>
      </c>
      <c r="AL591" s="160">
        <f t="shared" si="2430"/>
        <v>0</v>
      </c>
      <c r="AM591" s="160">
        <f t="shared" si="2430"/>
        <v>0</v>
      </c>
      <c r="AN591" s="160">
        <f t="shared" si="2430"/>
        <v>0</v>
      </c>
      <c r="AO591" s="160">
        <f t="shared" si="2430"/>
        <v>0</v>
      </c>
      <c r="AP591" s="160">
        <f t="shared" si="2430"/>
        <v>0</v>
      </c>
      <c r="AQ591" s="160">
        <f t="shared" si="2430"/>
        <v>0</v>
      </c>
      <c r="AR591" s="160">
        <f t="shared" si="2430"/>
        <v>0</v>
      </c>
      <c r="AS591" s="160">
        <f t="shared" si="2430"/>
        <v>0</v>
      </c>
      <c r="AT591" s="160">
        <f t="shared" si="2430"/>
        <v>0</v>
      </c>
      <c r="AU591" s="160">
        <f t="shared" si="2430"/>
        <v>0</v>
      </c>
      <c r="AV591" s="160">
        <f t="shared" si="2430"/>
        <v>0</v>
      </c>
      <c r="AW591" s="160">
        <f t="shared" si="2430"/>
        <v>0</v>
      </c>
      <c r="AX591" s="160">
        <f t="shared" si="2430"/>
        <v>0</v>
      </c>
      <c r="AY591" s="160">
        <f t="shared" si="2430"/>
        <v>0</v>
      </c>
      <c r="AZ591" s="160">
        <f t="shared" si="2430"/>
        <v>0</v>
      </c>
      <c r="BA591" s="160">
        <f t="shared" si="2430"/>
        <v>0</v>
      </c>
      <c r="BB591" s="160">
        <f t="shared" si="2430"/>
        <v>0</v>
      </c>
      <c r="BC591" s="160">
        <f t="shared" si="2430"/>
        <v>0</v>
      </c>
      <c r="BD591" s="160">
        <f t="shared" si="2430"/>
        <v>0</v>
      </c>
      <c r="BE591" s="160">
        <f t="shared" si="2430"/>
        <v>0</v>
      </c>
      <c r="BF591" s="160">
        <f t="shared" si="2430"/>
        <v>0</v>
      </c>
      <c r="BG591" s="160">
        <f t="shared" si="2430"/>
        <v>0</v>
      </c>
      <c r="BH591" s="160">
        <f t="shared" si="2430"/>
        <v>0</v>
      </c>
      <c r="BI591" s="160">
        <f t="shared" si="2430"/>
        <v>0</v>
      </c>
      <c r="BJ591" s="160">
        <f t="shared" si="2430"/>
        <v>0</v>
      </c>
      <c r="BK591" s="160">
        <f t="shared" si="2430"/>
        <v>0</v>
      </c>
      <c r="BL591" s="160">
        <f t="shared" si="2430"/>
        <v>0</v>
      </c>
      <c r="BM591" s="160">
        <f t="shared" ref="L591:BR592" si="2431">ROUND($I591*BM$198,2)</f>
        <v>0</v>
      </c>
      <c r="BN591" s="160">
        <f t="shared" si="2431"/>
        <v>0</v>
      </c>
      <c r="BO591" s="160">
        <f t="shared" si="2431"/>
        <v>0</v>
      </c>
      <c r="BP591" s="160">
        <f t="shared" si="2431"/>
        <v>0</v>
      </c>
      <c r="BQ591" s="160">
        <f t="shared" si="2431"/>
        <v>0</v>
      </c>
      <c r="BR591" s="160">
        <f t="shared" si="2431"/>
        <v>0</v>
      </c>
      <c r="BS591" s="65"/>
      <c r="BT591" s="160">
        <f t="shared" si="2292"/>
        <v>0</v>
      </c>
      <c r="BU591" s="160">
        <f t="shared" si="2293"/>
        <v>0</v>
      </c>
      <c r="BV591" s="65"/>
      <c r="BW591" s="69"/>
      <c r="BX591" s="65"/>
      <c r="BY591" s="137">
        <f t="shared" si="2294"/>
        <v>1</v>
      </c>
      <c r="BZ591" s="137">
        <f>IF(BY591&gt;0,BY591+LARGE($BZ$213:BZ590,1),0)</f>
        <v>319</v>
      </c>
      <c r="CA591" s="137" t="str">
        <f t="shared" si="2295"/>
        <v>EST_II</v>
      </c>
      <c r="CB591" s="161">
        <f t="shared" si="2296"/>
        <v>0</v>
      </c>
      <c r="CC591" s="161">
        <f t="shared" si="2297"/>
        <v>0</v>
      </c>
      <c r="CD591" s="161">
        <f t="shared" si="2298"/>
        <v>0</v>
      </c>
      <c r="CE591" s="161">
        <f t="shared" si="2299"/>
        <v>0</v>
      </c>
      <c r="CF591" s="161">
        <f t="shared" si="2300"/>
        <v>0</v>
      </c>
      <c r="CG591" s="161">
        <f t="shared" si="2301"/>
        <v>0</v>
      </c>
      <c r="CH591" s="161">
        <f t="shared" si="2302"/>
        <v>0</v>
      </c>
      <c r="CI591" s="161">
        <f t="shared" si="2303"/>
        <v>0</v>
      </c>
      <c r="CJ591" s="161">
        <f t="shared" si="2304"/>
        <v>0</v>
      </c>
      <c r="CK591" s="161">
        <f t="shared" si="2305"/>
        <v>0</v>
      </c>
      <c r="CL591" s="161">
        <f t="shared" si="2306"/>
        <v>0</v>
      </c>
      <c r="CM591" s="161">
        <f t="shared" si="2307"/>
        <v>0</v>
      </c>
      <c r="CN591" s="161">
        <f t="shared" si="2308"/>
        <v>0</v>
      </c>
      <c r="CO591" s="161">
        <f t="shared" si="2309"/>
        <v>0</v>
      </c>
      <c r="CP591" s="161">
        <f t="shared" si="2310"/>
        <v>0</v>
      </c>
      <c r="CQ591" s="161">
        <f t="shared" si="2311"/>
        <v>0</v>
      </c>
      <c r="CR591" s="161">
        <f t="shared" si="2312"/>
        <v>0</v>
      </c>
      <c r="CS591" s="161">
        <f t="shared" si="2313"/>
        <v>0</v>
      </c>
      <c r="CT591" s="161">
        <f t="shared" si="2314"/>
        <v>0</v>
      </c>
      <c r="CU591" s="161">
        <f t="shared" si="2315"/>
        <v>0</v>
      </c>
      <c r="CV591" s="161">
        <f t="shared" si="2316"/>
        <v>0</v>
      </c>
      <c r="CW591" s="161">
        <f t="shared" si="2317"/>
        <v>0</v>
      </c>
      <c r="CX591" s="161">
        <f t="shared" si="2318"/>
        <v>0</v>
      </c>
      <c r="CY591" s="161">
        <f t="shared" si="2319"/>
        <v>0</v>
      </c>
      <c r="CZ591" s="161">
        <f t="shared" si="2320"/>
        <v>0</v>
      </c>
      <c r="DA591" s="161">
        <f t="shared" si="2321"/>
        <v>0</v>
      </c>
      <c r="DB591" s="161">
        <f t="shared" si="2322"/>
        <v>0</v>
      </c>
      <c r="DC591" s="161">
        <f t="shared" si="2323"/>
        <v>0</v>
      </c>
      <c r="DD591" s="161">
        <f t="shared" si="2324"/>
        <v>0</v>
      </c>
      <c r="DE591" s="161">
        <f t="shared" si="2325"/>
        <v>0</v>
      </c>
      <c r="DF591" s="161">
        <f t="shared" si="2326"/>
        <v>0</v>
      </c>
      <c r="DG591" s="161">
        <f t="shared" si="2327"/>
        <v>0</v>
      </c>
      <c r="DH591" s="161">
        <f t="shared" si="2328"/>
        <v>0</v>
      </c>
      <c r="DI591" s="161">
        <f t="shared" si="2329"/>
        <v>0</v>
      </c>
      <c r="DJ591" s="161">
        <f t="shared" si="2330"/>
        <v>0</v>
      </c>
      <c r="DK591" s="161">
        <f t="shared" si="2331"/>
        <v>0</v>
      </c>
      <c r="DL591" s="161">
        <f t="shared" si="2332"/>
        <v>0</v>
      </c>
      <c r="DM591" s="161">
        <f t="shared" si="2333"/>
        <v>0</v>
      </c>
      <c r="DN591" s="161">
        <f t="shared" si="2334"/>
        <v>0</v>
      </c>
      <c r="DO591" s="161">
        <f t="shared" si="2335"/>
        <v>0</v>
      </c>
      <c r="DP591" s="161">
        <f t="shared" si="2336"/>
        <v>0</v>
      </c>
      <c r="DQ591" s="161">
        <f t="shared" si="2337"/>
        <v>0</v>
      </c>
      <c r="DR591" s="161">
        <f t="shared" si="2338"/>
        <v>0</v>
      </c>
      <c r="DS591" s="161">
        <f t="shared" si="2339"/>
        <v>0</v>
      </c>
      <c r="DT591" s="161">
        <f t="shared" si="2340"/>
        <v>0</v>
      </c>
      <c r="DU591" s="161">
        <f t="shared" si="2341"/>
        <v>0</v>
      </c>
      <c r="DV591" s="161">
        <f t="shared" si="2342"/>
        <v>0</v>
      </c>
      <c r="DW591" s="161">
        <f t="shared" si="2343"/>
        <v>0</v>
      </c>
      <c r="DX591" s="161">
        <f t="shared" si="2344"/>
        <v>0</v>
      </c>
      <c r="DY591" s="161">
        <f t="shared" si="2345"/>
        <v>0</v>
      </c>
      <c r="DZ591" s="161">
        <f t="shared" si="2346"/>
        <v>0</v>
      </c>
      <c r="EA591" s="161">
        <f t="shared" si="2347"/>
        <v>0</v>
      </c>
      <c r="EB591" s="161">
        <f t="shared" si="2348"/>
        <v>0</v>
      </c>
      <c r="EC591" s="161">
        <f t="shared" si="2349"/>
        <v>0</v>
      </c>
      <c r="ED591" s="161">
        <f t="shared" si="2350"/>
        <v>0</v>
      </c>
      <c r="EE591" s="161">
        <f t="shared" si="2351"/>
        <v>0</v>
      </c>
      <c r="EF591" s="161">
        <f t="shared" si="2352"/>
        <v>0</v>
      </c>
      <c r="EG591" s="161">
        <f t="shared" si="2353"/>
        <v>0</v>
      </c>
      <c r="EH591" s="161">
        <f t="shared" si="2354"/>
        <v>0</v>
      </c>
      <c r="EI591" s="161">
        <f t="shared" si="2355"/>
        <v>0</v>
      </c>
      <c r="EJ591" s="65"/>
      <c r="EK591" s="161">
        <f t="shared" si="2426"/>
        <v>0</v>
      </c>
      <c r="EL591" s="161">
        <f t="shared" si="2427"/>
        <v>0</v>
      </c>
      <c r="EM591" s="161">
        <f t="shared" si="2428"/>
        <v>0</v>
      </c>
    </row>
    <row r="592" spans="1:143" ht="12" hidden="1" customHeight="1" outlineLevel="2">
      <c r="A592" s="77">
        <v>20</v>
      </c>
      <c r="B592" s="137" t="str">
        <f t="shared" si="2356"/>
        <v>EST_III - Equipe_01</v>
      </c>
      <c r="C592" s="65"/>
      <c r="D592" s="623"/>
      <c r="E592" s="65"/>
      <c r="F592" s="603"/>
      <c r="G592" s="77" t="str">
        <f>IF(INDEX(Tarefas!$BT$30:$FK$30,MATCH(A592,Tarefas!$BT$28:$FK$28,0))=0,"",INDEX(Tarefas!$BT$30:$FK$30,MATCH(A592,Tarefas!$BT$28:$FK$28,0)))</f>
        <v>EST_III</v>
      </c>
      <c r="H592" s="107" cm="1">
        <f t="array" ref="H592">IFERROR((SUMPRODUCT((Tarefas!$N$32:$N$54='Cronog. e Histog.'!$F$573)*(Tarefas!$BQ$30:$FK$30='Cronog. e Histog.'!$G592)*(Tarefas!$BQ$32:$FK$54)))/SUMIF(Tarefas!$N$32:$N$54,'Cronog. e Histog.'!$F$573,Tarefas!$K$32:$K$54),0)</f>
        <v>0</v>
      </c>
      <c r="I592" s="79">
        <f t="shared" si="2357"/>
        <v>0</v>
      </c>
      <c r="J592" s="65"/>
      <c r="K592" s="160">
        <f t="shared" si="2429"/>
        <v>0</v>
      </c>
      <c r="L592" s="160">
        <f t="shared" si="2431"/>
        <v>0</v>
      </c>
      <c r="M592" s="160">
        <f t="shared" si="2431"/>
        <v>0</v>
      </c>
      <c r="N592" s="160">
        <f t="shared" si="2431"/>
        <v>0</v>
      </c>
      <c r="O592" s="160">
        <f t="shared" si="2431"/>
        <v>0</v>
      </c>
      <c r="P592" s="160">
        <f t="shared" si="2431"/>
        <v>0</v>
      </c>
      <c r="Q592" s="160">
        <f t="shared" si="2431"/>
        <v>0</v>
      </c>
      <c r="R592" s="160">
        <f t="shared" si="2431"/>
        <v>0</v>
      </c>
      <c r="S592" s="160">
        <f t="shared" si="2431"/>
        <v>0</v>
      </c>
      <c r="T592" s="160">
        <f t="shared" si="2431"/>
        <v>0</v>
      </c>
      <c r="U592" s="160">
        <f t="shared" si="2431"/>
        <v>0</v>
      </c>
      <c r="V592" s="160">
        <f t="shared" si="2431"/>
        <v>0</v>
      </c>
      <c r="W592" s="160">
        <f t="shared" si="2431"/>
        <v>0</v>
      </c>
      <c r="X592" s="160">
        <f t="shared" si="2431"/>
        <v>0</v>
      </c>
      <c r="Y592" s="160">
        <f t="shared" si="2431"/>
        <v>0</v>
      </c>
      <c r="Z592" s="160">
        <f t="shared" si="2431"/>
        <v>0</v>
      </c>
      <c r="AA592" s="160">
        <f t="shared" si="2431"/>
        <v>0</v>
      </c>
      <c r="AB592" s="160">
        <f t="shared" si="2431"/>
        <v>0</v>
      </c>
      <c r="AC592" s="160">
        <f t="shared" si="2431"/>
        <v>0</v>
      </c>
      <c r="AD592" s="160">
        <f t="shared" si="2431"/>
        <v>0</v>
      </c>
      <c r="AE592" s="160">
        <f t="shared" si="2431"/>
        <v>0</v>
      </c>
      <c r="AF592" s="160">
        <f t="shared" si="2431"/>
        <v>0</v>
      </c>
      <c r="AG592" s="160">
        <f t="shared" si="2431"/>
        <v>0</v>
      </c>
      <c r="AH592" s="160">
        <f t="shared" si="2431"/>
        <v>0</v>
      </c>
      <c r="AI592" s="160">
        <f t="shared" si="2431"/>
        <v>0</v>
      </c>
      <c r="AJ592" s="160">
        <f t="shared" si="2431"/>
        <v>0</v>
      </c>
      <c r="AK592" s="160">
        <f t="shared" si="2431"/>
        <v>0</v>
      </c>
      <c r="AL592" s="160">
        <f t="shared" si="2431"/>
        <v>0</v>
      </c>
      <c r="AM592" s="160">
        <f t="shared" si="2431"/>
        <v>0</v>
      </c>
      <c r="AN592" s="160">
        <f t="shared" si="2431"/>
        <v>0</v>
      </c>
      <c r="AO592" s="160">
        <f t="shared" si="2431"/>
        <v>0</v>
      </c>
      <c r="AP592" s="160">
        <f t="shared" si="2431"/>
        <v>0</v>
      </c>
      <c r="AQ592" s="160">
        <f t="shared" si="2431"/>
        <v>0</v>
      </c>
      <c r="AR592" s="160">
        <f t="shared" si="2431"/>
        <v>0</v>
      </c>
      <c r="AS592" s="160">
        <f t="shared" si="2431"/>
        <v>0</v>
      </c>
      <c r="AT592" s="160">
        <f t="shared" si="2431"/>
        <v>0</v>
      </c>
      <c r="AU592" s="160">
        <f t="shared" si="2431"/>
        <v>0</v>
      </c>
      <c r="AV592" s="160">
        <f t="shared" si="2431"/>
        <v>0</v>
      </c>
      <c r="AW592" s="160">
        <f t="shared" si="2431"/>
        <v>0</v>
      </c>
      <c r="AX592" s="160">
        <f t="shared" si="2431"/>
        <v>0</v>
      </c>
      <c r="AY592" s="160">
        <f t="shared" si="2431"/>
        <v>0</v>
      </c>
      <c r="AZ592" s="160">
        <f t="shared" si="2431"/>
        <v>0</v>
      </c>
      <c r="BA592" s="160">
        <f t="shared" si="2431"/>
        <v>0</v>
      </c>
      <c r="BB592" s="160">
        <f t="shared" si="2431"/>
        <v>0</v>
      </c>
      <c r="BC592" s="160">
        <f t="shared" si="2431"/>
        <v>0</v>
      </c>
      <c r="BD592" s="160">
        <f t="shared" si="2431"/>
        <v>0</v>
      </c>
      <c r="BE592" s="160">
        <f t="shared" si="2431"/>
        <v>0</v>
      </c>
      <c r="BF592" s="160">
        <f t="shared" si="2431"/>
        <v>0</v>
      </c>
      <c r="BG592" s="160">
        <f t="shared" si="2431"/>
        <v>0</v>
      </c>
      <c r="BH592" s="160">
        <f t="shared" si="2431"/>
        <v>0</v>
      </c>
      <c r="BI592" s="160">
        <f t="shared" si="2431"/>
        <v>0</v>
      </c>
      <c r="BJ592" s="160">
        <f t="shared" si="2431"/>
        <v>0</v>
      </c>
      <c r="BK592" s="160">
        <f t="shared" si="2431"/>
        <v>0</v>
      </c>
      <c r="BL592" s="160">
        <f t="shared" si="2431"/>
        <v>0</v>
      </c>
      <c r="BM592" s="160">
        <f t="shared" si="2431"/>
        <v>0</v>
      </c>
      <c r="BN592" s="160">
        <f t="shared" si="2431"/>
        <v>0</v>
      </c>
      <c r="BO592" s="160">
        <f t="shared" si="2431"/>
        <v>0</v>
      </c>
      <c r="BP592" s="160">
        <f t="shared" si="2431"/>
        <v>0</v>
      </c>
      <c r="BQ592" s="160">
        <f t="shared" si="2431"/>
        <v>0</v>
      </c>
      <c r="BR592" s="160">
        <f t="shared" si="2431"/>
        <v>0</v>
      </c>
      <c r="BS592" s="65"/>
      <c r="BT592" s="160">
        <f t="shared" si="2292"/>
        <v>0</v>
      </c>
      <c r="BU592" s="160">
        <f t="shared" si="2293"/>
        <v>0</v>
      </c>
      <c r="BV592" s="65"/>
      <c r="BW592" s="69"/>
      <c r="BX592" s="65"/>
      <c r="BY592" s="137">
        <f t="shared" si="2294"/>
        <v>1</v>
      </c>
      <c r="BZ592" s="137">
        <f>IF(BY592&gt;0,BY592+LARGE($BZ$213:BZ591,1),0)</f>
        <v>320</v>
      </c>
      <c r="CA592" s="137" t="str">
        <f t="shared" si="2295"/>
        <v>EST_III</v>
      </c>
      <c r="CB592" s="161">
        <f t="shared" si="2296"/>
        <v>0</v>
      </c>
      <c r="CC592" s="161">
        <f t="shared" si="2297"/>
        <v>0</v>
      </c>
      <c r="CD592" s="161">
        <f t="shared" si="2298"/>
        <v>0</v>
      </c>
      <c r="CE592" s="161">
        <f t="shared" si="2299"/>
        <v>0</v>
      </c>
      <c r="CF592" s="161">
        <f t="shared" si="2300"/>
        <v>0</v>
      </c>
      <c r="CG592" s="161">
        <f t="shared" si="2301"/>
        <v>0</v>
      </c>
      <c r="CH592" s="161">
        <f t="shared" si="2302"/>
        <v>0</v>
      </c>
      <c r="CI592" s="161">
        <f t="shared" si="2303"/>
        <v>0</v>
      </c>
      <c r="CJ592" s="161">
        <f t="shared" si="2304"/>
        <v>0</v>
      </c>
      <c r="CK592" s="161">
        <f t="shared" si="2305"/>
        <v>0</v>
      </c>
      <c r="CL592" s="161">
        <f t="shared" si="2306"/>
        <v>0</v>
      </c>
      <c r="CM592" s="161">
        <f t="shared" si="2307"/>
        <v>0</v>
      </c>
      <c r="CN592" s="161">
        <f t="shared" si="2308"/>
        <v>0</v>
      </c>
      <c r="CO592" s="161">
        <f t="shared" si="2309"/>
        <v>0</v>
      </c>
      <c r="CP592" s="161">
        <f t="shared" si="2310"/>
        <v>0</v>
      </c>
      <c r="CQ592" s="161">
        <f t="shared" si="2311"/>
        <v>0</v>
      </c>
      <c r="CR592" s="161">
        <f t="shared" si="2312"/>
        <v>0</v>
      </c>
      <c r="CS592" s="161">
        <f t="shared" si="2313"/>
        <v>0</v>
      </c>
      <c r="CT592" s="161">
        <f t="shared" si="2314"/>
        <v>0</v>
      </c>
      <c r="CU592" s="161">
        <f t="shared" si="2315"/>
        <v>0</v>
      </c>
      <c r="CV592" s="161">
        <f t="shared" si="2316"/>
        <v>0</v>
      </c>
      <c r="CW592" s="161">
        <f t="shared" si="2317"/>
        <v>0</v>
      </c>
      <c r="CX592" s="161">
        <f t="shared" si="2318"/>
        <v>0</v>
      </c>
      <c r="CY592" s="161">
        <f t="shared" si="2319"/>
        <v>0</v>
      </c>
      <c r="CZ592" s="161">
        <f t="shared" si="2320"/>
        <v>0</v>
      </c>
      <c r="DA592" s="161">
        <f t="shared" si="2321"/>
        <v>0</v>
      </c>
      <c r="DB592" s="161">
        <f t="shared" si="2322"/>
        <v>0</v>
      </c>
      <c r="DC592" s="161">
        <f t="shared" si="2323"/>
        <v>0</v>
      </c>
      <c r="DD592" s="161">
        <f t="shared" si="2324"/>
        <v>0</v>
      </c>
      <c r="DE592" s="161">
        <f t="shared" si="2325"/>
        <v>0</v>
      </c>
      <c r="DF592" s="161">
        <f t="shared" si="2326"/>
        <v>0</v>
      </c>
      <c r="DG592" s="161">
        <f t="shared" si="2327"/>
        <v>0</v>
      </c>
      <c r="DH592" s="161">
        <f t="shared" si="2328"/>
        <v>0</v>
      </c>
      <c r="DI592" s="161">
        <f t="shared" si="2329"/>
        <v>0</v>
      </c>
      <c r="DJ592" s="161">
        <f t="shared" si="2330"/>
        <v>0</v>
      </c>
      <c r="DK592" s="161">
        <f t="shared" si="2331"/>
        <v>0</v>
      </c>
      <c r="DL592" s="161">
        <f t="shared" si="2332"/>
        <v>0</v>
      </c>
      <c r="DM592" s="161">
        <f t="shared" si="2333"/>
        <v>0</v>
      </c>
      <c r="DN592" s="161">
        <f t="shared" si="2334"/>
        <v>0</v>
      </c>
      <c r="DO592" s="161">
        <f t="shared" si="2335"/>
        <v>0</v>
      </c>
      <c r="DP592" s="161">
        <f t="shared" si="2336"/>
        <v>0</v>
      </c>
      <c r="DQ592" s="161">
        <f t="shared" si="2337"/>
        <v>0</v>
      </c>
      <c r="DR592" s="161">
        <f t="shared" si="2338"/>
        <v>0</v>
      </c>
      <c r="DS592" s="161">
        <f t="shared" si="2339"/>
        <v>0</v>
      </c>
      <c r="DT592" s="161">
        <f t="shared" si="2340"/>
        <v>0</v>
      </c>
      <c r="DU592" s="161">
        <f t="shared" si="2341"/>
        <v>0</v>
      </c>
      <c r="DV592" s="161">
        <f t="shared" si="2342"/>
        <v>0</v>
      </c>
      <c r="DW592" s="161">
        <f t="shared" si="2343"/>
        <v>0</v>
      </c>
      <c r="DX592" s="161">
        <f t="shared" si="2344"/>
        <v>0</v>
      </c>
      <c r="DY592" s="161">
        <f t="shared" si="2345"/>
        <v>0</v>
      </c>
      <c r="DZ592" s="161">
        <f t="shared" si="2346"/>
        <v>0</v>
      </c>
      <c r="EA592" s="161">
        <f t="shared" si="2347"/>
        <v>0</v>
      </c>
      <c r="EB592" s="161">
        <f t="shared" si="2348"/>
        <v>0</v>
      </c>
      <c r="EC592" s="161">
        <f t="shared" si="2349"/>
        <v>0</v>
      </c>
      <c r="ED592" s="161">
        <f t="shared" si="2350"/>
        <v>0</v>
      </c>
      <c r="EE592" s="161">
        <f t="shared" si="2351"/>
        <v>0</v>
      </c>
      <c r="EF592" s="161">
        <f t="shared" si="2352"/>
        <v>0</v>
      </c>
      <c r="EG592" s="161">
        <f t="shared" si="2353"/>
        <v>0</v>
      </c>
      <c r="EH592" s="161">
        <f t="shared" si="2354"/>
        <v>0</v>
      </c>
      <c r="EI592" s="161">
        <f t="shared" si="2355"/>
        <v>0</v>
      </c>
      <c r="EJ592" s="65"/>
      <c r="EK592" s="161">
        <f t="shared" si="2426"/>
        <v>0</v>
      </c>
      <c r="EL592" s="161">
        <f t="shared" si="2427"/>
        <v>0</v>
      </c>
      <c r="EM592" s="161">
        <f t="shared" si="2428"/>
        <v>0</v>
      </c>
    </row>
    <row r="593" spans="1:143" ht="12" hidden="1" customHeight="1" outlineLevel="1">
      <c r="B593" s="65"/>
      <c r="C593" s="65"/>
      <c r="D593" s="65"/>
      <c r="E593" s="65"/>
      <c r="F593" s="470" t="s">
        <v>380</v>
      </c>
      <c r="G593" s="162" t="str">
        <f>"Pico = "&amp;MAX(K593:BR593)</f>
        <v>Pico = 0,1</v>
      </c>
      <c r="H593" s="163">
        <f>SUM(H573:H592)</f>
        <v>1</v>
      </c>
      <c r="I593" s="148">
        <f>SUM(I573:I592)</f>
        <v>1</v>
      </c>
      <c r="J593" s="65"/>
      <c r="K593" s="146">
        <f>SUM(K573:K592)</f>
        <v>0.1</v>
      </c>
      <c r="L593" s="146">
        <f t="shared" ref="L593:BR593" si="2432">SUM(L573:L592)</f>
        <v>0.1</v>
      </c>
      <c r="M593" s="146">
        <f t="shared" si="2432"/>
        <v>0.1</v>
      </c>
      <c r="N593" s="146">
        <f t="shared" si="2432"/>
        <v>0.1</v>
      </c>
      <c r="O593" s="146">
        <f t="shared" si="2432"/>
        <v>0.1</v>
      </c>
      <c r="P593" s="146">
        <f t="shared" si="2432"/>
        <v>0.1</v>
      </c>
      <c r="Q593" s="146">
        <f t="shared" si="2432"/>
        <v>0.1</v>
      </c>
      <c r="R593" s="146">
        <f t="shared" si="2432"/>
        <v>0.1</v>
      </c>
      <c r="S593" s="146">
        <f t="shared" si="2432"/>
        <v>0.1</v>
      </c>
      <c r="T593" s="146">
        <f t="shared" si="2432"/>
        <v>0.1</v>
      </c>
      <c r="U593" s="146">
        <f t="shared" si="2432"/>
        <v>0</v>
      </c>
      <c r="V593" s="146">
        <f t="shared" si="2432"/>
        <v>0</v>
      </c>
      <c r="W593" s="146">
        <f t="shared" si="2432"/>
        <v>0</v>
      </c>
      <c r="X593" s="146">
        <f t="shared" si="2432"/>
        <v>0</v>
      </c>
      <c r="Y593" s="146">
        <f t="shared" si="2432"/>
        <v>0</v>
      </c>
      <c r="Z593" s="146">
        <f t="shared" si="2432"/>
        <v>0</v>
      </c>
      <c r="AA593" s="146">
        <f t="shared" si="2432"/>
        <v>0</v>
      </c>
      <c r="AB593" s="146">
        <f t="shared" si="2432"/>
        <v>0</v>
      </c>
      <c r="AC593" s="146">
        <f t="shared" si="2432"/>
        <v>0</v>
      </c>
      <c r="AD593" s="146">
        <f t="shared" si="2432"/>
        <v>0</v>
      </c>
      <c r="AE593" s="146">
        <f t="shared" si="2432"/>
        <v>0</v>
      </c>
      <c r="AF593" s="146">
        <f t="shared" si="2432"/>
        <v>0</v>
      </c>
      <c r="AG593" s="146">
        <f t="shared" si="2432"/>
        <v>0</v>
      </c>
      <c r="AH593" s="146">
        <f t="shared" si="2432"/>
        <v>0</v>
      </c>
      <c r="AI593" s="146">
        <f t="shared" si="2432"/>
        <v>0</v>
      </c>
      <c r="AJ593" s="146">
        <f t="shared" si="2432"/>
        <v>0</v>
      </c>
      <c r="AK593" s="146">
        <f t="shared" si="2432"/>
        <v>0</v>
      </c>
      <c r="AL593" s="146">
        <f t="shared" si="2432"/>
        <v>0</v>
      </c>
      <c r="AM593" s="146">
        <f t="shared" si="2432"/>
        <v>0</v>
      </c>
      <c r="AN593" s="146">
        <f t="shared" si="2432"/>
        <v>0</v>
      </c>
      <c r="AO593" s="146">
        <f t="shared" si="2432"/>
        <v>0</v>
      </c>
      <c r="AP593" s="146">
        <f t="shared" si="2432"/>
        <v>0</v>
      </c>
      <c r="AQ593" s="146">
        <f t="shared" si="2432"/>
        <v>0</v>
      </c>
      <c r="AR593" s="146">
        <f t="shared" si="2432"/>
        <v>0</v>
      </c>
      <c r="AS593" s="146">
        <f t="shared" si="2432"/>
        <v>0</v>
      </c>
      <c r="AT593" s="146">
        <f t="shared" si="2432"/>
        <v>0</v>
      </c>
      <c r="AU593" s="146">
        <f t="shared" si="2432"/>
        <v>0</v>
      </c>
      <c r="AV593" s="146">
        <f t="shared" si="2432"/>
        <v>0</v>
      </c>
      <c r="AW593" s="146">
        <f t="shared" si="2432"/>
        <v>0</v>
      </c>
      <c r="AX593" s="146">
        <f t="shared" si="2432"/>
        <v>0</v>
      </c>
      <c r="AY593" s="146">
        <f t="shared" si="2432"/>
        <v>0</v>
      </c>
      <c r="AZ593" s="146">
        <f t="shared" si="2432"/>
        <v>0</v>
      </c>
      <c r="BA593" s="146">
        <f t="shared" si="2432"/>
        <v>0</v>
      </c>
      <c r="BB593" s="146">
        <f t="shared" si="2432"/>
        <v>0</v>
      </c>
      <c r="BC593" s="146">
        <f t="shared" si="2432"/>
        <v>0</v>
      </c>
      <c r="BD593" s="146">
        <f t="shared" si="2432"/>
        <v>0</v>
      </c>
      <c r="BE593" s="146">
        <f t="shared" si="2432"/>
        <v>0</v>
      </c>
      <c r="BF593" s="146">
        <f t="shared" si="2432"/>
        <v>0</v>
      </c>
      <c r="BG593" s="146">
        <f t="shared" si="2432"/>
        <v>0</v>
      </c>
      <c r="BH593" s="146">
        <f t="shared" si="2432"/>
        <v>0</v>
      </c>
      <c r="BI593" s="146">
        <f t="shared" si="2432"/>
        <v>0</v>
      </c>
      <c r="BJ593" s="146">
        <f t="shared" si="2432"/>
        <v>0</v>
      </c>
      <c r="BK593" s="146">
        <f t="shared" si="2432"/>
        <v>0</v>
      </c>
      <c r="BL593" s="146">
        <f t="shared" si="2432"/>
        <v>0</v>
      </c>
      <c r="BM593" s="146">
        <f t="shared" si="2432"/>
        <v>0</v>
      </c>
      <c r="BN593" s="146">
        <f t="shared" si="2432"/>
        <v>0</v>
      </c>
      <c r="BO593" s="146">
        <f t="shared" si="2432"/>
        <v>0</v>
      </c>
      <c r="BP593" s="146">
        <f t="shared" si="2432"/>
        <v>0</v>
      </c>
      <c r="BQ593" s="146">
        <f t="shared" si="2432"/>
        <v>0</v>
      </c>
      <c r="BR593" s="146">
        <f t="shared" si="2432"/>
        <v>0</v>
      </c>
      <c r="BS593" s="65"/>
      <c r="BT593" s="146">
        <f t="shared" ref="BT593" si="2433">SUM(BT573:BT592)</f>
        <v>9.9999999999999992E-2</v>
      </c>
      <c r="BU593" s="65"/>
      <c r="BV593" s="65"/>
      <c r="BW593" s="69"/>
      <c r="BX593" s="65"/>
      <c r="BY593" s="65"/>
      <c r="BZ593" s="65"/>
      <c r="CA593" s="65"/>
      <c r="CB593" s="65"/>
      <c r="CC593" s="65"/>
      <c r="CD593" s="65"/>
      <c r="CE593" s="65"/>
      <c r="CF593" s="65"/>
      <c r="CG593" s="65"/>
      <c r="CH593" s="65"/>
      <c r="CI593" s="65"/>
      <c r="CJ593" s="65"/>
      <c r="CK593" s="65"/>
      <c r="CL593" s="65"/>
      <c r="CM593" s="65"/>
      <c r="CN593" s="65"/>
      <c r="CO593" s="65"/>
      <c r="CP593" s="65"/>
      <c r="CQ593" s="65"/>
      <c r="CR593" s="65"/>
      <c r="CS593" s="65"/>
      <c r="CT593" s="65"/>
      <c r="CU593" s="65"/>
      <c r="CV593" s="65"/>
      <c r="CW593" s="65"/>
      <c r="CX593" s="65"/>
      <c r="CY593" s="65"/>
      <c r="CZ593" s="65"/>
      <c r="DA593" s="65"/>
      <c r="DB593" s="65"/>
      <c r="DC593" s="65"/>
      <c r="DD593" s="65"/>
      <c r="DE593" s="65"/>
      <c r="DF593" s="65"/>
      <c r="DG593" s="65"/>
      <c r="DH593" s="65"/>
      <c r="DI593" s="65"/>
      <c r="DJ593" s="65"/>
      <c r="DK593" s="65"/>
      <c r="DL593" s="65"/>
      <c r="DM593" s="65"/>
      <c r="DN593" s="65"/>
      <c r="DO593" s="65"/>
      <c r="DP593" s="65"/>
      <c r="DQ593" s="65"/>
      <c r="DR593" s="65"/>
      <c r="DS593" s="65"/>
      <c r="DT593" s="65"/>
      <c r="DU593" s="65"/>
      <c r="DV593" s="65"/>
      <c r="DW593" s="65"/>
      <c r="DX593" s="65"/>
      <c r="DY593" s="65"/>
      <c r="DZ593" s="65"/>
      <c r="EA593" s="65"/>
      <c r="EB593" s="65"/>
      <c r="EC593" s="65"/>
      <c r="ED593" s="65"/>
      <c r="EE593" s="65"/>
      <c r="EF593" s="65"/>
      <c r="EG593" s="65"/>
      <c r="EH593" s="65"/>
      <c r="EI593" s="65"/>
      <c r="EJ593" s="65"/>
      <c r="EK593" s="65"/>
      <c r="EL593" s="65"/>
      <c r="EM593" s="65"/>
    </row>
    <row r="594" spans="1:143" ht="12" hidden="1" customHeight="1" outlineLevel="1"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  <c r="AT594" s="65"/>
      <c r="AU594" s="65"/>
      <c r="AV594" s="65"/>
      <c r="AW594" s="65"/>
      <c r="AX594" s="65"/>
      <c r="AY594" s="65"/>
      <c r="AZ594" s="65"/>
      <c r="BA594" s="65"/>
      <c r="BB594" s="65"/>
      <c r="BC594" s="65"/>
      <c r="BD594" s="65"/>
      <c r="BE594" s="65"/>
      <c r="BF594" s="65"/>
      <c r="BG594" s="65"/>
      <c r="BH594" s="65"/>
      <c r="BI594" s="65"/>
      <c r="BJ594" s="65"/>
      <c r="BK594" s="65"/>
      <c r="BL594" s="65"/>
      <c r="BM594" s="65"/>
      <c r="BN594" s="65"/>
      <c r="BO594" s="65"/>
      <c r="BP594" s="65"/>
      <c r="BQ594" s="65"/>
      <c r="BR594" s="65"/>
      <c r="BS594" s="65"/>
      <c r="BT594" s="65"/>
      <c r="BU594" s="65"/>
      <c r="BV594" s="65"/>
      <c r="BW594" s="69"/>
      <c r="BX594" s="65"/>
      <c r="BY594" s="65"/>
      <c r="BZ594" s="65"/>
      <c r="CA594" s="65"/>
      <c r="CB594" s="65"/>
      <c r="CC594" s="65"/>
      <c r="CD594" s="65"/>
      <c r="CE594" s="65"/>
      <c r="CF594" s="65"/>
      <c r="CG594" s="65"/>
      <c r="CH594" s="65"/>
      <c r="CI594" s="65"/>
      <c r="CJ594" s="65"/>
      <c r="CK594" s="65"/>
      <c r="CL594" s="65"/>
      <c r="CM594" s="65"/>
      <c r="CN594" s="65"/>
      <c r="CO594" s="65"/>
      <c r="CP594" s="65"/>
      <c r="CQ594" s="65"/>
      <c r="CR594" s="65"/>
      <c r="CS594" s="65"/>
      <c r="CT594" s="65"/>
      <c r="CU594" s="65"/>
      <c r="CV594" s="65"/>
      <c r="CW594" s="65"/>
      <c r="CX594" s="65"/>
      <c r="CY594" s="65"/>
      <c r="CZ594" s="65"/>
      <c r="DA594" s="65"/>
      <c r="DB594" s="65"/>
      <c r="DC594" s="65"/>
      <c r="DD594" s="65"/>
      <c r="DE594" s="65"/>
      <c r="DF594" s="65"/>
      <c r="DG594" s="65"/>
      <c r="DH594" s="65"/>
      <c r="DI594" s="65"/>
      <c r="DJ594" s="65"/>
      <c r="DK594" s="65"/>
      <c r="DL594" s="65"/>
      <c r="DM594" s="65"/>
      <c r="DN594" s="65"/>
      <c r="DO594" s="65"/>
      <c r="DP594" s="65"/>
      <c r="DQ594" s="65"/>
      <c r="DR594" s="65"/>
      <c r="DS594" s="65"/>
      <c r="DT594" s="65"/>
      <c r="DU594" s="65"/>
      <c r="DV594" s="65"/>
      <c r="DW594" s="65"/>
      <c r="DX594" s="65"/>
      <c r="DY594" s="65"/>
      <c r="DZ594" s="65"/>
      <c r="EA594" s="65"/>
      <c r="EB594" s="65"/>
      <c r="EC594" s="65"/>
      <c r="ED594" s="65"/>
      <c r="EE594" s="65"/>
      <c r="EF594" s="65"/>
      <c r="EG594" s="65"/>
      <c r="EH594" s="65"/>
      <c r="EI594" s="65"/>
      <c r="EJ594" s="65"/>
      <c r="EK594" s="65"/>
      <c r="EL594" s="65"/>
      <c r="EM594" s="65"/>
    </row>
    <row r="595" spans="1:143" ht="24" hidden="1" customHeight="1" outlineLevel="1">
      <c r="B595" s="593" t="s">
        <v>395</v>
      </c>
      <c r="C595" s="65"/>
      <c r="D595" s="65"/>
      <c r="E595" s="65"/>
      <c r="F595" s="471" t="str">
        <f>IF($G$67&gt;0,$G$67,"")</f>
        <v>Equipe17</v>
      </c>
      <c r="G595" s="471"/>
      <c r="H595" s="471"/>
      <c r="I595" s="471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5"/>
      <c r="AT595" s="65"/>
      <c r="AU595" s="65"/>
      <c r="AV595" s="65"/>
      <c r="AW595" s="65"/>
      <c r="AX595" s="65"/>
      <c r="AY595" s="65"/>
      <c r="AZ595" s="65"/>
      <c r="BA595" s="65"/>
      <c r="BB595" s="65"/>
      <c r="BC595" s="65"/>
      <c r="BD595" s="65"/>
      <c r="BE595" s="65"/>
      <c r="BF595" s="65"/>
      <c r="BG595" s="65"/>
      <c r="BH595" s="65"/>
      <c r="BI595" s="65"/>
      <c r="BJ595" s="65"/>
      <c r="BK595" s="65"/>
      <c r="BL595" s="65"/>
      <c r="BM595" s="65"/>
      <c r="BN595" s="65"/>
      <c r="BO595" s="65"/>
      <c r="BP595" s="65"/>
      <c r="BQ595" s="65"/>
      <c r="BR595" s="65"/>
      <c r="BS595" s="65"/>
      <c r="BT595" s="601" t="s">
        <v>396</v>
      </c>
      <c r="BU595" s="601" t="s">
        <v>397</v>
      </c>
      <c r="BV595" s="65"/>
      <c r="BW595" s="69"/>
      <c r="BX595" s="65"/>
      <c r="BY595" s="593" t="s">
        <v>398</v>
      </c>
      <c r="BZ595" s="593" t="s">
        <v>399</v>
      </c>
      <c r="CA595" s="593" t="s">
        <v>400</v>
      </c>
      <c r="CB595" s="592" t="s">
        <v>401</v>
      </c>
      <c r="CC595" s="592" t="s">
        <v>402</v>
      </c>
      <c r="CD595" s="592" t="s">
        <v>403</v>
      </c>
      <c r="CE595" s="592" t="s">
        <v>404</v>
      </c>
      <c r="CF595" s="592" t="s">
        <v>405</v>
      </c>
      <c r="CG595" s="592" t="s">
        <v>406</v>
      </c>
      <c r="CH595" s="592" t="s">
        <v>407</v>
      </c>
      <c r="CI595" s="592" t="s">
        <v>408</v>
      </c>
      <c r="CJ595" s="592" t="s">
        <v>409</v>
      </c>
      <c r="CK595" s="592" t="s">
        <v>410</v>
      </c>
      <c r="CL595" s="592" t="s">
        <v>411</v>
      </c>
      <c r="CM595" s="592" t="s">
        <v>412</v>
      </c>
      <c r="CN595" s="592" t="s">
        <v>413</v>
      </c>
      <c r="CO595" s="592" t="s">
        <v>414</v>
      </c>
      <c r="CP595" s="592" t="s">
        <v>415</v>
      </c>
      <c r="CQ595" s="592" t="s">
        <v>416</v>
      </c>
      <c r="CR595" s="592" t="s">
        <v>417</v>
      </c>
      <c r="CS595" s="592" t="s">
        <v>418</v>
      </c>
      <c r="CT595" s="592" t="s">
        <v>419</v>
      </c>
      <c r="CU595" s="592" t="s">
        <v>420</v>
      </c>
      <c r="CV595" s="592" t="s">
        <v>421</v>
      </c>
      <c r="CW595" s="592" t="s">
        <v>422</v>
      </c>
      <c r="CX595" s="592" t="s">
        <v>423</v>
      </c>
      <c r="CY595" s="592" t="s">
        <v>424</v>
      </c>
      <c r="CZ595" s="592" t="s">
        <v>425</v>
      </c>
      <c r="DA595" s="592" t="s">
        <v>426</v>
      </c>
      <c r="DB595" s="592" t="s">
        <v>427</v>
      </c>
      <c r="DC595" s="592" t="s">
        <v>428</v>
      </c>
      <c r="DD595" s="592" t="s">
        <v>429</v>
      </c>
      <c r="DE595" s="592" t="s">
        <v>430</v>
      </c>
      <c r="DF595" s="592" t="s">
        <v>431</v>
      </c>
      <c r="DG595" s="592" t="s">
        <v>432</v>
      </c>
      <c r="DH595" s="592" t="s">
        <v>433</v>
      </c>
      <c r="DI595" s="592" t="s">
        <v>434</v>
      </c>
      <c r="DJ595" s="592" t="s">
        <v>435</v>
      </c>
      <c r="DK595" s="592" t="s">
        <v>436</v>
      </c>
      <c r="DL595" s="592" t="s">
        <v>437</v>
      </c>
      <c r="DM595" s="592" t="s">
        <v>438</v>
      </c>
      <c r="DN595" s="592" t="s">
        <v>439</v>
      </c>
      <c r="DO595" s="592" t="s">
        <v>440</v>
      </c>
      <c r="DP595" s="592" t="s">
        <v>441</v>
      </c>
      <c r="DQ595" s="592" t="s">
        <v>442</v>
      </c>
      <c r="DR595" s="592" t="s">
        <v>443</v>
      </c>
      <c r="DS595" s="592" t="s">
        <v>444</v>
      </c>
      <c r="DT595" s="592" t="s">
        <v>445</v>
      </c>
      <c r="DU595" s="592" t="s">
        <v>446</v>
      </c>
      <c r="DV595" s="592" t="s">
        <v>447</v>
      </c>
      <c r="DW595" s="592" t="s">
        <v>448</v>
      </c>
      <c r="DX595" s="592" t="s">
        <v>449</v>
      </c>
      <c r="DY595" s="592" t="s">
        <v>450</v>
      </c>
      <c r="DZ595" s="592" t="s">
        <v>451</v>
      </c>
      <c r="EA595" s="592" t="s">
        <v>452</v>
      </c>
      <c r="EB595" s="592" t="s">
        <v>453</v>
      </c>
      <c r="EC595" s="592" t="s">
        <v>454</v>
      </c>
      <c r="ED595" s="592" t="s">
        <v>455</v>
      </c>
      <c r="EE595" s="592" t="s">
        <v>456</v>
      </c>
      <c r="EF595" s="592" t="s">
        <v>457</v>
      </c>
      <c r="EG595" s="592" t="s">
        <v>458</v>
      </c>
      <c r="EH595" s="592" t="s">
        <v>459</v>
      </c>
      <c r="EI595" s="592" t="s">
        <v>460</v>
      </c>
      <c r="EJ595" s="65"/>
      <c r="EK595" s="157" t="s">
        <v>376</v>
      </c>
      <c r="EL595" s="157" t="s">
        <v>461</v>
      </c>
      <c r="EM595" s="157" t="s">
        <v>383</v>
      </c>
    </row>
    <row r="596" spans="1:143" ht="12" hidden="1" customHeight="1" outlineLevel="1" collapsed="1">
      <c r="B596" s="593"/>
      <c r="C596" s="65"/>
      <c r="D596" s="65"/>
      <c r="E596" s="65"/>
      <c r="F596" s="158" t="s">
        <v>198</v>
      </c>
      <c r="G596" s="158" t="s">
        <v>462</v>
      </c>
      <c r="H596" s="158" t="s">
        <v>255</v>
      </c>
      <c r="I596" s="158" t="s">
        <v>68</v>
      </c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5"/>
      <c r="AT596" s="65"/>
      <c r="AU596" s="65"/>
      <c r="AV596" s="65"/>
      <c r="AW596" s="65"/>
      <c r="AX596" s="65"/>
      <c r="AY596" s="65"/>
      <c r="AZ596" s="65"/>
      <c r="BA596" s="65"/>
      <c r="BB596" s="65"/>
      <c r="BC596" s="65"/>
      <c r="BD596" s="65"/>
      <c r="BE596" s="65"/>
      <c r="BF596" s="65"/>
      <c r="BG596" s="65"/>
      <c r="BH596" s="65"/>
      <c r="BI596" s="65"/>
      <c r="BJ596" s="65"/>
      <c r="BK596" s="65"/>
      <c r="BL596" s="65"/>
      <c r="BM596" s="65"/>
      <c r="BN596" s="65"/>
      <c r="BO596" s="65"/>
      <c r="BP596" s="65"/>
      <c r="BQ596" s="65"/>
      <c r="BR596" s="65"/>
      <c r="BS596" s="65"/>
      <c r="BT596" s="602"/>
      <c r="BU596" s="602"/>
      <c r="BV596" s="65"/>
      <c r="BW596" s="69"/>
      <c r="BX596" s="65"/>
      <c r="BY596" s="593"/>
      <c r="BZ596" s="593"/>
      <c r="CA596" s="593"/>
      <c r="CB596" s="592"/>
      <c r="CC596" s="592"/>
      <c r="CD596" s="592"/>
      <c r="CE596" s="592"/>
      <c r="CF596" s="592"/>
      <c r="CG596" s="592"/>
      <c r="CH596" s="592"/>
      <c r="CI596" s="592"/>
      <c r="CJ596" s="592"/>
      <c r="CK596" s="592"/>
      <c r="CL596" s="592"/>
      <c r="CM596" s="592"/>
      <c r="CN596" s="592"/>
      <c r="CO596" s="592"/>
      <c r="CP596" s="592"/>
      <c r="CQ596" s="592"/>
      <c r="CR596" s="592"/>
      <c r="CS596" s="592"/>
      <c r="CT596" s="592"/>
      <c r="CU596" s="592"/>
      <c r="CV596" s="592"/>
      <c r="CW596" s="592"/>
      <c r="CX596" s="592"/>
      <c r="CY596" s="592"/>
      <c r="CZ596" s="592"/>
      <c r="DA596" s="592"/>
      <c r="DB596" s="592"/>
      <c r="DC596" s="592"/>
      <c r="DD596" s="592"/>
      <c r="DE596" s="592"/>
      <c r="DF596" s="592"/>
      <c r="DG596" s="592"/>
      <c r="DH596" s="592"/>
      <c r="DI596" s="592"/>
      <c r="DJ596" s="592"/>
      <c r="DK596" s="592"/>
      <c r="DL596" s="592"/>
      <c r="DM596" s="592"/>
      <c r="DN596" s="592"/>
      <c r="DO596" s="592"/>
      <c r="DP596" s="592"/>
      <c r="DQ596" s="592"/>
      <c r="DR596" s="592"/>
      <c r="DS596" s="592"/>
      <c r="DT596" s="592"/>
      <c r="DU596" s="592"/>
      <c r="DV596" s="592"/>
      <c r="DW596" s="592"/>
      <c r="DX596" s="592"/>
      <c r="DY596" s="592"/>
      <c r="DZ596" s="592"/>
      <c r="EA596" s="592"/>
      <c r="EB596" s="592"/>
      <c r="EC596" s="592"/>
      <c r="ED596" s="592"/>
      <c r="EE596" s="592"/>
      <c r="EF596" s="592"/>
      <c r="EG596" s="592"/>
      <c r="EH596" s="592"/>
      <c r="EI596" s="592"/>
      <c r="EJ596" s="65"/>
      <c r="EK596" s="159">
        <f>IFERROR(ROUNDUP(SUMPRODUCT($K617:$BR617,$K$122:$BR$122)/SUM($K617:$BR617),2),0)</f>
        <v>0</v>
      </c>
      <c r="EL596" s="159">
        <f>IFERROR(ROUNDUP(SUMPRODUCT($K617:$BR617,$K$146:$BR$146)/SUM($K617:$BR617),2),0)</f>
        <v>0</v>
      </c>
      <c r="EM596" s="159">
        <f>IFERROR(ROUNDUP(SUMPRODUCT($K617:$BR617,$K$170:$BR$170)/SUM($K617:$BR617),2),0)</f>
        <v>0</v>
      </c>
    </row>
    <row r="597" spans="1:143" ht="12" hidden="1" customHeight="1" outlineLevel="2">
      <c r="A597" s="77">
        <v>1</v>
      </c>
      <c r="B597" s="137" t="str">
        <f>IF(G597&gt;0,G597&amp;" - "&amp;$F$213,"")</f>
        <v>GER. (OBRA/PROJ) - Equipe_01</v>
      </c>
      <c r="C597" s="65"/>
      <c r="D597" s="620" t="s">
        <v>463</v>
      </c>
      <c r="E597" s="65"/>
      <c r="F597" s="603" t="str">
        <f>IFERROR(VLOOKUP(F595,Tarefas!$F$3:$G$22,2,0),"")</f>
        <v>Equipe_17</v>
      </c>
      <c r="G597" s="77" t="str">
        <f>IF(INDEX(Tarefas!$BT$30:$FK$30,MATCH(A597,Tarefas!$BT$28:$FK$28,0))=0,"",INDEX(Tarefas!$BT$30:$FK$30,MATCH(A597,Tarefas!$BT$28:$FK$28,0)))</f>
        <v>GER. (OBRA/PROJ)</v>
      </c>
      <c r="H597" s="107" cm="1">
        <f t="array" ref="H597">IFERROR((SUMPRODUCT((Tarefas!$N$32:$N$54='Cronog. e Histog.'!$F$597)*(Tarefas!$BQ$30:$FK$30='Cronog. e Histog.'!$G597)*(Tarefas!$BQ$32:$FK$54)))/SUMIF(Tarefas!$N$32:$N$54,'Cronog. e Histog.'!$F$597,Tarefas!$K$32:$K$54),0)</f>
        <v>0</v>
      </c>
      <c r="I597" s="79">
        <f>IFERROR(H597/$H$617,0)</f>
        <v>0</v>
      </c>
      <c r="J597" s="65"/>
      <c r="K597" s="160">
        <f>ROUND($I597*K$199,2)</f>
        <v>0</v>
      </c>
      <c r="L597" s="160">
        <f t="shared" ref="L597:BR611" si="2434">ROUND($I597*L$199,2)</f>
        <v>0</v>
      </c>
      <c r="M597" s="160">
        <f t="shared" si="2434"/>
        <v>0</v>
      </c>
      <c r="N597" s="160">
        <f t="shared" si="2434"/>
        <v>0</v>
      </c>
      <c r="O597" s="160">
        <f t="shared" si="2434"/>
        <v>0</v>
      </c>
      <c r="P597" s="160">
        <f t="shared" si="2434"/>
        <v>0</v>
      </c>
      <c r="Q597" s="160">
        <f t="shared" si="2434"/>
        <v>0</v>
      </c>
      <c r="R597" s="160">
        <f t="shared" si="2434"/>
        <v>0</v>
      </c>
      <c r="S597" s="160">
        <f t="shared" si="2434"/>
        <v>0</v>
      </c>
      <c r="T597" s="160">
        <f t="shared" si="2434"/>
        <v>0</v>
      </c>
      <c r="U597" s="160">
        <f t="shared" si="2434"/>
        <v>0</v>
      </c>
      <c r="V597" s="160">
        <f t="shared" si="2434"/>
        <v>0</v>
      </c>
      <c r="W597" s="160">
        <f t="shared" si="2434"/>
        <v>0</v>
      </c>
      <c r="X597" s="160">
        <f t="shared" si="2434"/>
        <v>0</v>
      </c>
      <c r="Y597" s="160">
        <f t="shared" si="2434"/>
        <v>0</v>
      </c>
      <c r="Z597" s="160">
        <f t="shared" si="2434"/>
        <v>0</v>
      </c>
      <c r="AA597" s="160">
        <f t="shared" si="2434"/>
        <v>0</v>
      </c>
      <c r="AB597" s="160">
        <f t="shared" si="2434"/>
        <v>0</v>
      </c>
      <c r="AC597" s="160">
        <f t="shared" si="2434"/>
        <v>0</v>
      </c>
      <c r="AD597" s="160">
        <f t="shared" si="2434"/>
        <v>0</v>
      </c>
      <c r="AE597" s="160">
        <f t="shared" si="2434"/>
        <v>0</v>
      </c>
      <c r="AF597" s="160">
        <f t="shared" si="2434"/>
        <v>0</v>
      </c>
      <c r="AG597" s="160">
        <f t="shared" si="2434"/>
        <v>0</v>
      </c>
      <c r="AH597" s="160">
        <f t="shared" si="2434"/>
        <v>0</v>
      </c>
      <c r="AI597" s="160">
        <f t="shared" si="2434"/>
        <v>0</v>
      </c>
      <c r="AJ597" s="160">
        <f t="shared" si="2434"/>
        <v>0</v>
      </c>
      <c r="AK597" s="160">
        <f t="shared" si="2434"/>
        <v>0</v>
      </c>
      <c r="AL597" s="160">
        <f t="shared" si="2434"/>
        <v>0</v>
      </c>
      <c r="AM597" s="160">
        <f t="shared" si="2434"/>
        <v>0</v>
      </c>
      <c r="AN597" s="160">
        <f t="shared" si="2434"/>
        <v>0</v>
      </c>
      <c r="AO597" s="160">
        <f t="shared" si="2434"/>
        <v>0</v>
      </c>
      <c r="AP597" s="160">
        <f t="shared" si="2434"/>
        <v>0</v>
      </c>
      <c r="AQ597" s="160">
        <f t="shared" si="2434"/>
        <v>0</v>
      </c>
      <c r="AR597" s="160">
        <f t="shared" si="2434"/>
        <v>0</v>
      </c>
      <c r="AS597" s="160">
        <f t="shared" si="2434"/>
        <v>0</v>
      </c>
      <c r="AT597" s="160">
        <f t="shared" si="2434"/>
        <v>0</v>
      </c>
      <c r="AU597" s="160">
        <f t="shared" si="2434"/>
        <v>0</v>
      </c>
      <c r="AV597" s="160">
        <f t="shared" si="2434"/>
        <v>0</v>
      </c>
      <c r="AW597" s="160">
        <f t="shared" si="2434"/>
        <v>0</v>
      </c>
      <c r="AX597" s="160">
        <f t="shared" si="2434"/>
        <v>0</v>
      </c>
      <c r="AY597" s="160">
        <f t="shared" si="2434"/>
        <v>0</v>
      </c>
      <c r="AZ597" s="160">
        <f t="shared" si="2434"/>
        <v>0</v>
      </c>
      <c r="BA597" s="160">
        <f t="shared" si="2434"/>
        <v>0</v>
      </c>
      <c r="BB597" s="160">
        <f t="shared" si="2434"/>
        <v>0</v>
      </c>
      <c r="BC597" s="160">
        <f t="shared" si="2434"/>
        <v>0</v>
      </c>
      <c r="BD597" s="160">
        <f t="shared" si="2434"/>
        <v>0</v>
      </c>
      <c r="BE597" s="160">
        <f t="shared" si="2434"/>
        <v>0</v>
      </c>
      <c r="BF597" s="160">
        <f t="shared" si="2434"/>
        <v>0</v>
      </c>
      <c r="BG597" s="160">
        <f t="shared" si="2434"/>
        <v>0</v>
      </c>
      <c r="BH597" s="160">
        <f t="shared" si="2434"/>
        <v>0</v>
      </c>
      <c r="BI597" s="160">
        <f t="shared" si="2434"/>
        <v>0</v>
      </c>
      <c r="BJ597" s="160">
        <f t="shared" si="2434"/>
        <v>0</v>
      </c>
      <c r="BK597" s="160">
        <f t="shared" si="2434"/>
        <v>0</v>
      </c>
      <c r="BL597" s="160">
        <f t="shared" si="2434"/>
        <v>0</v>
      </c>
      <c r="BM597" s="160">
        <f t="shared" si="2434"/>
        <v>0</v>
      </c>
      <c r="BN597" s="160">
        <f t="shared" si="2434"/>
        <v>0</v>
      </c>
      <c r="BO597" s="160">
        <f t="shared" si="2434"/>
        <v>0</v>
      </c>
      <c r="BP597" s="160">
        <f t="shared" si="2434"/>
        <v>0</v>
      </c>
      <c r="BQ597" s="160">
        <f t="shared" si="2434"/>
        <v>0</v>
      </c>
      <c r="BR597" s="160">
        <f t="shared" si="2434"/>
        <v>0</v>
      </c>
      <c r="BS597" s="65"/>
      <c r="BT597" s="160">
        <f t="shared" ref="BT597:BT616" si="2435">IFERROR(SUM(K597:BR597)/COUNTIF(K597:BR597,"&gt;0"),0)</f>
        <v>0</v>
      </c>
      <c r="BU597" s="160">
        <f t="shared" ref="BU597:BU616" si="2436">COUNTIF(K597:BR597,"&gt;0")</f>
        <v>0</v>
      </c>
      <c r="BV597" s="65"/>
      <c r="BW597" s="69"/>
      <c r="BX597" s="65"/>
      <c r="BY597" s="137">
        <f t="shared" ref="BY597:BY616" si="2437">IF(G597&gt;0,1,0)</f>
        <v>1</v>
      </c>
      <c r="BZ597" s="137">
        <f>IF(BY597&gt;0,BY597+LARGE($BZ$213:BZ596,1),0)</f>
        <v>321</v>
      </c>
      <c r="CA597" s="137" t="str">
        <f t="shared" ref="CA597:CA616" si="2438">G597</f>
        <v>GER. (OBRA/PROJ)</v>
      </c>
      <c r="CB597" s="161">
        <f t="shared" ref="CB597:CB616" si="2439">K597</f>
        <v>0</v>
      </c>
      <c r="CC597" s="161">
        <f t="shared" ref="CC597:CC616" si="2440">L597</f>
        <v>0</v>
      </c>
      <c r="CD597" s="161">
        <f t="shared" ref="CD597:CD616" si="2441">M597</f>
        <v>0</v>
      </c>
      <c r="CE597" s="161">
        <f t="shared" ref="CE597:CE616" si="2442">N597</f>
        <v>0</v>
      </c>
      <c r="CF597" s="161">
        <f t="shared" ref="CF597:CF616" si="2443">O597</f>
        <v>0</v>
      </c>
      <c r="CG597" s="161">
        <f t="shared" ref="CG597:CG616" si="2444">P597</f>
        <v>0</v>
      </c>
      <c r="CH597" s="161">
        <f t="shared" ref="CH597:CH616" si="2445">Q597</f>
        <v>0</v>
      </c>
      <c r="CI597" s="161">
        <f t="shared" ref="CI597:CI616" si="2446">R597</f>
        <v>0</v>
      </c>
      <c r="CJ597" s="161">
        <f t="shared" ref="CJ597:CJ616" si="2447">S597</f>
        <v>0</v>
      </c>
      <c r="CK597" s="161">
        <f t="shared" ref="CK597:CK616" si="2448">T597</f>
        <v>0</v>
      </c>
      <c r="CL597" s="161">
        <f t="shared" ref="CL597:CL616" si="2449">U597</f>
        <v>0</v>
      </c>
      <c r="CM597" s="161">
        <f t="shared" ref="CM597:CM616" si="2450">V597</f>
        <v>0</v>
      </c>
      <c r="CN597" s="161">
        <f t="shared" ref="CN597:CN616" si="2451">W597</f>
        <v>0</v>
      </c>
      <c r="CO597" s="161">
        <f t="shared" ref="CO597:CO616" si="2452">X597</f>
        <v>0</v>
      </c>
      <c r="CP597" s="161">
        <f t="shared" ref="CP597:CP616" si="2453">Y597</f>
        <v>0</v>
      </c>
      <c r="CQ597" s="161">
        <f t="shared" ref="CQ597:CQ616" si="2454">Z597</f>
        <v>0</v>
      </c>
      <c r="CR597" s="161">
        <f t="shared" ref="CR597:CR616" si="2455">AA597</f>
        <v>0</v>
      </c>
      <c r="CS597" s="161">
        <f t="shared" ref="CS597:CS616" si="2456">AB597</f>
        <v>0</v>
      </c>
      <c r="CT597" s="161">
        <f t="shared" ref="CT597:CT616" si="2457">AC597</f>
        <v>0</v>
      </c>
      <c r="CU597" s="161">
        <f t="shared" ref="CU597:CU616" si="2458">AD597</f>
        <v>0</v>
      </c>
      <c r="CV597" s="161">
        <f t="shared" ref="CV597:CV616" si="2459">AE597</f>
        <v>0</v>
      </c>
      <c r="CW597" s="161">
        <f t="shared" ref="CW597:CW616" si="2460">AF597</f>
        <v>0</v>
      </c>
      <c r="CX597" s="161">
        <f t="shared" ref="CX597:CX616" si="2461">AG597</f>
        <v>0</v>
      </c>
      <c r="CY597" s="161">
        <f t="shared" ref="CY597:CY616" si="2462">AH597</f>
        <v>0</v>
      </c>
      <c r="CZ597" s="161">
        <f t="shared" ref="CZ597:CZ616" si="2463">AI597</f>
        <v>0</v>
      </c>
      <c r="DA597" s="161">
        <f t="shared" ref="DA597:DA616" si="2464">AJ597</f>
        <v>0</v>
      </c>
      <c r="DB597" s="161">
        <f t="shared" ref="DB597:DB616" si="2465">AK597</f>
        <v>0</v>
      </c>
      <c r="DC597" s="161">
        <f t="shared" ref="DC597:DC616" si="2466">AL597</f>
        <v>0</v>
      </c>
      <c r="DD597" s="161">
        <f t="shared" ref="DD597:DD616" si="2467">AM597</f>
        <v>0</v>
      </c>
      <c r="DE597" s="161">
        <f t="shared" ref="DE597:DE616" si="2468">AN597</f>
        <v>0</v>
      </c>
      <c r="DF597" s="161">
        <f t="shared" ref="DF597:DF616" si="2469">AO597</f>
        <v>0</v>
      </c>
      <c r="DG597" s="161">
        <f t="shared" ref="DG597:DG616" si="2470">AP597</f>
        <v>0</v>
      </c>
      <c r="DH597" s="161">
        <f t="shared" ref="DH597:DH616" si="2471">AQ597</f>
        <v>0</v>
      </c>
      <c r="DI597" s="161">
        <f t="shared" ref="DI597:DI616" si="2472">AR597</f>
        <v>0</v>
      </c>
      <c r="DJ597" s="161">
        <f t="shared" ref="DJ597:DJ616" si="2473">AS597</f>
        <v>0</v>
      </c>
      <c r="DK597" s="161">
        <f t="shared" ref="DK597:DK616" si="2474">AT597</f>
        <v>0</v>
      </c>
      <c r="DL597" s="161">
        <f t="shared" ref="DL597:DL616" si="2475">AU597</f>
        <v>0</v>
      </c>
      <c r="DM597" s="161">
        <f t="shared" ref="DM597:DM616" si="2476">AV597</f>
        <v>0</v>
      </c>
      <c r="DN597" s="161">
        <f t="shared" ref="DN597:DN616" si="2477">AW597</f>
        <v>0</v>
      </c>
      <c r="DO597" s="161">
        <f t="shared" ref="DO597:DO616" si="2478">AX597</f>
        <v>0</v>
      </c>
      <c r="DP597" s="161">
        <f t="shared" ref="DP597:DP616" si="2479">AY597</f>
        <v>0</v>
      </c>
      <c r="DQ597" s="161">
        <f t="shared" ref="DQ597:DQ616" si="2480">AZ597</f>
        <v>0</v>
      </c>
      <c r="DR597" s="161">
        <f t="shared" ref="DR597:DR616" si="2481">BA597</f>
        <v>0</v>
      </c>
      <c r="DS597" s="161">
        <f t="shared" ref="DS597:DS616" si="2482">BB597</f>
        <v>0</v>
      </c>
      <c r="DT597" s="161">
        <f t="shared" ref="DT597:DT616" si="2483">BC597</f>
        <v>0</v>
      </c>
      <c r="DU597" s="161">
        <f t="shared" ref="DU597:DU616" si="2484">BD597</f>
        <v>0</v>
      </c>
      <c r="DV597" s="161">
        <f t="shared" ref="DV597:DV616" si="2485">BE597</f>
        <v>0</v>
      </c>
      <c r="DW597" s="161">
        <f t="shared" ref="DW597:DW616" si="2486">BF597</f>
        <v>0</v>
      </c>
      <c r="DX597" s="161">
        <f t="shared" ref="DX597:DX616" si="2487">BG597</f>
        <v>0</v>
      </c>
      <c r="DY597" s="161">
        <f t="shared" ref="DY597:DY616" si="2488">BH597</f>
        <v>0</v>
      </c>
      <c r="DZ597" s="161">
        <f t="shared" ref="DZ597:DZ616" si="2489">BI597</f>
        <v>0</v>
      </c>
      <c r="EA597" s="161">
        <f t="shared" ref="EA597:EA616" si="2490">BJ597</f>
        <v>0</v>
      </c>
      <c r="EB597" s="161">
        <f t="shared" ref="EB597:EB616" si="2491">BK597</f>
        <v>0</v>
      </c>
      <c r="EC597" s="161">
        <f t="shared" ref="EC597:EC616" si="2492">BL597</f>
        <v>0</v>
      </c>
      <c r="ED597" s="161">
        <f t="shared" ref="ED597:ED616" si="2493">BM597</f>
        <v>0</v>
      </c>
      <c r="EE597" s="161">
        <f t="shared" ref="EE597:EE616" si="2494">BN597</f>
        <v>0</v>
      </c>
      <c r="EF597" s="161">
        <f t="shared" ref="EF597:EF616" si="2495">BO597</f>
        <v>0</v>
      </c>
      <c r="EG597" s="161">
        <f t="shared" ref="EG597:EG616" si="2496">BP597</f>
        <v>0</v>
      </c>
      <c r="EH597" s="161">
        <f t="shared" ref="EH597:EH616" si="2497">BQ597</f>
        <v>0</v>
      </c>
      <c r="EI597" s="161">
        <f t="shared" ref="EI597:EI616" si="2498">BR597</f>
        <v>0</v>
      </c>
      <c r="EJ597" s="65"/>
      <c r="EK597" s="161">
        <f>$EK$596</f>
        <v>0</v>
      </c>
      <c r="EL597" s="161">
        <f>$EL$596</f>
        <v>0</v>
      </c>
      <c r="EM597" s="161">
        <f>$EM$596</f>
        <v>0</v>
      </c>
    </row>
    <row r="598" spans="1:143" ht="12" hidden="1" customHeight="1" outlineLevel="2">
      <c r="A598" s="77">
        <v>2</v>
      </c>
      <c r="B598" s="137" t="str">
        <f t="shared" ref="B598:B616" si="2499">IF(G598&gt;0,G598&amp;" - "&amp;$F$213,"")</f>
        <v>COORD. - Equipe_01</v>
      </c>
      <c r="C598" s="65"/>
      <c r="D598" s="621"/>
      <c r="E598" s="65"/>
      <c r="F598" s="603"/>
      <c r="G598" s="77" t="str">
        <f>IF(INDEX(Tarefas!$BT$30:$FK$30,MATCH(A598,Tarefas!$BT$28:$FK$28,0))=0,"",INDEX(Tarefas!$BT$30:$FK$30,MATCH(A598,Tarefas!$BT$28:$FK$28,0)))</f>
        <v>COORD.</v>
      </c>
      <c r="H598" s="107" cm="1">
        <f t="array" ref="H598">IFERROR((SUMPRODUCT((Tarefas!$N$32:$N$54='Cronog. e Histog.'!$F$597)*(Tarefas!$BQ$30:$FK$30='Cronog. e Histog.'!$G598)*(Tarefas!$BQ$32:$FK$54)))/SUMIF(Tarefas!$N$32:$N$54,'Cronog. e Histog.'!$F$597,Tarefas!$K$32:$K$54),0)</f>
        <v>0</v>
      </c>
      <c r="I598" s="79">
        <f t="shared" ref="I598:I616" si="2500">IFERROR(H598/$H$617,0)</f>
        <v>0</v>
      </c>
      <c r="J598" s="65"/>
      <c r="K598" s="160">
        <f t="shared" ref="K598:Z607" si="2501">ROUND($I598*K$199,2)</f>
        <v>0</v>
      </c>
      <c r="L598" s="160">
        <f t="shared" si="2501"/>
        <v>0</v>
      </c>
      <c r="M598" s="160">
        <f t="shared" si="2501"/>
        <v>0</v>
      </c>
      <c r="N598" s="160">
        <f t="shared" si="2501"/>
        <v>0</v>
      </c>
      <c r="O598" s="160">
        <f t="shared" si="2501"/>
        <v>0</v>
      </c>
      <c r="P598" s="160">
        <f t="shared" si="2501"/>
        <v>0</v>
      </c>
      <c r="Q598" s="160">
        <f t="shared" si="2501"/>
        <v>0</v>
      </c>
      <c r="R598" s="160">
        <f t="shared" si="2501"/>
        <v>0</v>
      </c>
      <c r="S598" s="160">
        <f t="shared" si="2501"/>
        <v>0</v>
      </c>
      <c r="T598" s="160">
        <f t="shared" si="2501"/>
        <v>0</v>
      </c>
      <c r="U598" s="160">
        <f t="shared" si="2501"/>
        <v>0</v>
      </c>
      <c r="V598" s="160">
        <f t="shared" si="2501"/>
        <v>0</v>
      </c>
      <c r="W598" s="160">
        <f t="shared" si="2501"/>
        <v>0</v>
      </c>
      <c r="X598" s="160">
        <f t="shared" si="2501"/>
        <v>0</v>
      </c>
      <c r="Y598" s="160">
        <f t="shared" si="2501"/>
        <v>0</v>
      </c>
      <c r="Z598" s="160">
        <f t="shared" si="2501"/>
        <v>0</v>
      </c>
      <c r="AA598" s="160">
        <f t="shared" ref="AA598:AP607" si="2502">ROUND($I598*AA$199,2)</f>
        <v>0</v>
      </c>
      <c r="AB598" s="160">
        <f t="shared" si="2502"/>
        <v>0</v>
      </c>
      <c r="AC598" s="160">
        <f t="shared" si="2502"/>
        <v>0</v>
      </c>
      <c r="AD598" s="160">
        <f t="shared" si="2502"/>
        <v>0</v>
      </c>
      <c r="AE598" s="160">
        <f t="shared" si="2502"/>
        <v>0</v>
      </c>
      <c r="AF598" s="160">
        <f t="shared" si="2502"/>
        <v>0</v>
      </c>
      <c r="AG598" s="160">
        <f t="shared" si="2502"/>
        <v>0</v>
      </c>
      <c r="AH598" s="160">
        <f t="shared" si="2502"/>
        <v>0</v>
      </c>
      <c r="AI598" s="160">
        <f t="shared" si="2502"/>
        <v>0</v>
      </c>
      <c r="AJ598" s="160">
        <f t="shared" si="2502"/>
        <v>0</v>
      </c>
      <c r="AK598" s="160">
        <f t="shared" si="2502"/>
        <v>0</v>
      </c>
      <c r="AL598" s="160">
        <f t="shared" si="2502"/>
        <v>0</v>
      </c>
      <c r="AM598" s="160">
        <f t="shared" si="2502"/>
        <v>0</v>
      </c>
      <c r="AN598" s="160">
        <f t="shared" si="2502"/>
        <v>0</v>
      </c>
      <c r="AO598" s="160">
        <f t="shared" si="2502"/>
        <v>0</v>
      </c>
      <c r="AP598" s="160">
        <f t="shared" si="2502"/>
        <v>0</v>
      </c>
      <c r="AQ598" s="160">
        <f t="shared" ref="AQ598:BF607" si="2503">ROUND($I598*AQ$199,2)</f>
        <v>0</v>
      </c>
      <c r="AR598" s="160">
        <f t="shared" si="2503"/>
        <v>0</v>
      </c>
      <c r="AS598" s="160">
        <f t="shared" si="2503"/>
        <v>0</v>
      </c>
      <c r="AT598" s="160">
        <f t="shared" si="2503"/>
        <v>0</v>
      </c>
      <c r="AU598" s="160">
        <f t="shared" si="2503"/>
        <v>0</v>
      </c>
      <c r="AV598" s="160">
        <f t="shared" si="2503"/>
        <v>0</v>
      </c>
      <c r="AW598" s="160">
        <f t="shared" si="2503"/>
        <v>0</v>
      </c>
      <c r="AX598" s="160">
        <f t="shared" si="2503"/>
        <v>0</v>
      </c>
      <c r="AY598" s="160">
        <f t="shared" si="2503"/>
        <v>0</v>
      </c>
      <c r="AZ598" s="160">
        <f t="shared" si="2503"/>
        <v>0</v>
      </c>
      <c r="BA598" s="160">
        <f t="shared" si="2503"/>
        <v>0</v>
      </c>
      <c r="BB598" s="160">
        <f t="shared" si="2503"/>
        <v>0</v>
      </c>
      <c r="BC598" s="160">
        <f t="shared" si="2503"/>
        <v>0</v>
      </c>
      <c r="BD598" s="160">
        <f t="shared" si="2503"/>
        <v>0</v>
      </c>
      <c r="BE598" s="160">
        <f t="shared" si="2503"/>
        <v>0</v>
      </c>
      <c r="BF598" s="160">
        <f t="shared" si="2503"/>
        <v>0</v>
      </c>
      <c r="BG598" s="160">
        <f t="shared" ref="BG598:BR607" si="2504">ROUND($I598*BG$199,2)</f>
        <v>0</v>
      </c>
      <c r="BH598" s="160">
        <f t="shared" si="2504"/>
        <v>0</v>
      </c>
      <c r="BI598" s="160">
        <f t="shared" si="2504"/>
        <v>0</v>
      </c>
      <c r="BJ598" s="160">
        <f t="shared" si="2504"/>
        <v>0</v>
      </c>
      <c r="BK598" s="160">
        <f t="shared" si="2504"/>
        <v>0</v>
      </c>
      <c r="BL598" s="160">
        <f t="shared" si="2504"/>
        <v>0</v>
      </c>
      <c r="BM598" s="160">
        <f t="shared" si="2504"/>
        <v>0</v>
      </c>
      <c r="BN598" s="160">
        <f t="shared" si="2504"/>
        <v>0</v>
      </c>
      <c r="BO598" s="160">
        <f t="shared" si="2504"/>
        <v>0</v>
      </c>
      <c r="BP598" s="160">
        <f t="shared" si="2504"/>
        <v>0</v>
      </c>
      <c r="BQ598" s="160">
        <f t="shared" si="2504"/>
        <v>0</v>
      </c>
      <c r="BR598" s="160">
        <f t="shared" si="2504"/>
        <v>0</v>
      </c>
      <c r="BS598" s="65"/>
      <c r="BT598" s="160">
        <f t="shared" ref="BT598:BT607" si="2505">IFERROR(SUM(K598:BR598)/COUNTIF(K598:BR598,"&gt;0"),0)</f>
        <v>0</v>
      </c>
      <c r="BU598" s="160">
        <f t="shared" ref="BU598:BU607" si="2506">COUNTIF(K598:BR598,"&gt;0")</f>
        <v>0</v>
      </c>
      <c r="BV598" s="65"/>
      <c r="BW598" s="69"/>
      <c r="BX598" s="65"/>
      <c r="BY598" s="137">
        <f t="shared" ref="BY598:BY607" si="2507">IF(G598&gt;0,1,0)</f>
        <v>1</v>
      </c>
      <c r="BZ598" s="137">
        <f>IF(BY598&gt;0,BY598+LARGE($BZ$213:BZ597,1),0)</f>
        <v>322</v>
      </c>
      <c r="CA598" s="137" t="str">
        <f t="shared" ref="CA598:CA607" si="2508">G598</f>
        <v>COORD.</v>
      </c>
      <c r="CB598" s="161">
        <f t="shared" ref="CB598:CB607" si="2509">K598</f>
        <v>0</v>
      </c>
      <c r="CC598" s="161">
        <f t="shared" ref="CC598:CC607" si="2510">L598</f>
        <v>0</v>
      </c>
      <c r="CD598" s="161">
        <f t="shared" ref="CD598:CD607" si="2511">M598</f>
        <v>0</v>
      </c>
      <c r="CE598" s="161">
        <f t="shared" ref="CE598:CE607" si="2512">N598</f>
        <v>0</v>
      </c>
      <c r="CF598" s="161">
        <f t="shared" ref="CF598:CF607" si="2513">O598</f>
        <v>0</v>
      </c>
      <c r="CG598" s="161">
        <f t="shared" ref="CG598:CG607" si="2514">P598</f>
        <v>0</v>
      </c>
      <c r="CH598" s="161">
        <f t="shared" ref="CH598:CH607" si="2515">Q598</f>
        <v>0</v>
      </c>
      <c r="CI598" s="161">
        <f t="shared" ref="CI598:CI607" si="2516">R598</f>
        <v>0</v>
      </c>
      <c r="CJ598" s="161">
        <f t="shared" ref="CJ598:CJ607" si="2517">S598</f>
        <v>0</v>
      </c>
      <c r="CK598" s="161">
        <f t="shared" ref="CK598:CK607" si="2518">T598</f>
        <v>0</v>
      </c>
      <c r="CL598" s="161">
        <f t="shared" ref="CL598:CL607" si="2519">U598</f>
        <v>0</v>
      </c>
      <c r="CM598" s="161">
        <f t="shared" ref="CM598:CM607" si="2520">V598</f>
        <v>0</v>
      </c>
      <c r="CN598" s="161">
        <f t="shared" ref="CN598:CN607" si="2521">W598</f>
        <v>0</v>
      </c>
      <c r="CO598" s="161">
        <f t="shared" ref="CO598:CO607" si="2522">X598</f>
        <v>0</v>
      </c>
      <c r="CP598" s="161">
        <f t="shared" ref="CP598:CP607" si="2523">Y598</f>
        <v>0</v>
      </c>
      <c r="CQ598" s="161">
        <f t="shared" ref="CQ598:CQ607" si="2524">Z598</f>
        <v>0</v>
      </c>
      <c r="CR598" s="161">
        <f t="shared" ref="CR598:CR607" si="2525">AA598</f>
        <v>0</v>
      </c>
      <c r="CS598" s="161">
        <f t="shared" ref="CS598:CS607" si="2526">AB598</f>
        <v>0</v>
      </c>
      <c r="CT598" s="161">
        <f t="shared" ref="CT598:CT607" si="2527">AC598</f>
        <v>0</v>
      </c>
      <c r="CU598" s="161">
        <f t="shared" ref="CU598:CU607" si="2528">AD598</f>
        <v>0</v>
      </c>
      <c r="CV598" s="161">
        <f t="shared" ref="CV598:CV607" si="2529">AE598</f>
        <v>0</v>
      </c>
      <c r="CW598" s="161">
        <f t="shared" ref="CW598:CW607" si="2530">AF598</f>
        <v>0</v>
      </c>
      <c r="CX598" s="161">
        <f t="shared" ref="CX598:CX607" si="2531">AG598</f>
        <v>0</v>
      </c>
      <c r="CY598" s="161">
        <f t="shared" ref="CY598:CY607" si="2532">AH598</f>
        <v>0</v>
      </c>
      <c r="CZ598" s="161">
        <f t="shared" ref="CZ598:CZ607" si="2533">AI598</f>
        <v>0</v>
      </c>
      <c r="DA598" s="161">
        <f t="shared" ref="DA598:DA607" si="2534">AJ598</f>
        <v>0</v>
      </c>
      <c r="DB598" s="161">
        <f t="shared" ref="DB598:DB607" si="2535">AK598</f>
        <v>0</v>
      </c>
      <c r="DC598" s="161">
        <f t="shared" ref="DC598:DC607" si="2536">AL598</f>
        <v>0</v>
      </c>
      <c r="DD598" s="161">
        <f t="shared" ref="DD598:DD607" si="2537">AM598</f>
        <v>0</v>
      </c>
      <c r="DE598" s="161">
        <f t="shared" ref="DE598:DE607" si="2538">AN598</f>
        <v>0</v>
      </c>
      <c r="DF598" s="161">
        <f t="shared" ref="DF598:DF607" si="2539">AO598</f>
        <v>0</v>
      </c>
      <c r="DG598" s="161">
        <f t="shared" ref="DG598:DG607" si="2540">AP598</f>
        <v>0</v>
      </c>
      <c r="DH598" s="161">
        <f t="shared" ref="DH598:DH607" si="2541">AQ598</f>
        <v>0</v>
      </c>
      <c r="DI598" s="161">
        <f t="shared" ref="DI598:DI607" si="2542">AR598</f>
        <v>0</v>
      </c>
      <c r="DJ598" s="161">
        <f t="shared" ref="DJ598:DJ607" si="2543">AS598</f>
        <v>0</v>
      </c>
      <c r="DK598" s="161">
        <f t="shared" ref="DK598:DK607" si="2544">AT598</f>
        <v>0</v>
      </c>
      <c r="DL598" s="161">
        <f t="shared" ref="DL598:DL607" si="2545">AU598</f>
        <v>0</v>
      </c>
      <c r="DM598" s="161">
        <f t="shared" ref="DM598:DM607" si="2546">AV598</f>
        <v>0</v>
      </c>
      <c r="DN598" s="161">
        <f t="shared" ref="DN598:DN607" si="2547">AW598</f>
        <v>0</v>
      </c>
      <c r="DO598" s="161">
        <f t="shared" ref="DO598:DO607" si="2548">AX598</f>
        <v>0</v>
      </c>
      <c r="DP598" s="161">
        <f t="shared" ref="DP598:DP607" si="2549">AY598</f>
        <v>0</v>
      </c>
      <c r="DQ598" s="161">
        <f t="shared" ref="DQ598:DQ607" si="2550">AZ598</f>
        <v>0</v>
      </c>
      <c r="DR598" s="161">
        <f t="shared" ref="DR598:DR607" si="2551">BA598</f>
        <v>0</v>
      </c>
      <c r="DS598" s="161">
        <f t="shared" ref="DS598:DS607" si="2552">BB598</f>
        <v>0</v>
      </c>
      <c r="DT598" s="161">
        <f t="shared" ref="DT598:DT607" si="2553">BC598</f>
        <v>0</v>
      </c>
      <c r="DU598" s="161">
        <f t="shared" ref="DU598:DU607" si="2554">BD598</f>
        <v>0</v>
      </c>
      <c r="DV598" s="161">
        <f t="shared" ref="DV598:DV607" si="2555">BE598</f>
        <v>0</v>
      </c>
      <c r="DW598" s="161">
        <f t="shared" ref="DW598:DW607" si="2556">BF598</f>
        <v>0</v>
      </c>
      <c r="DX598" s="161">
        <f t="shared" ref="DX598:DX607" si="2557">BG598</f>
        <v>0</v>
      </c>
      <c r="DY598" s="161">
        <f t="shared" ref="DY598:DY607" si="2558">BH598</f>
        <v>0</v>
      </c>
      <c r="DZ598" s="161">
        <f t="shared" ref="DZ598:DZ607" si="2559">BI598</f>
        <v>0</v>
      </c>
      <c r="EA598" s="161">
        <f t="shared" ref="EA598:EA607" si="2560">BJ598</f>
        <v>0</v>
      </c>
      <c r="EB598" s="161">
        <f t="shared" ref="EB598:EB607" si="2561">BK598</f>
        <v>0</v>
      </c>
      <c r="EC598" s="161">
        <f t="shared" ref="EC598:EC607" si="2562">BL598</f>
        <v>0</v>
      </c>
      <c r="ED598" s="161">
        <f t="shared" ref="ED598:ED607" si="2563">BM598</f>
        <v>0</v>
      </c>
      <c r="EE598" s="161">
        <f t="shared" ref="EE598:EE607" si="2564">BN598</f>
        <v>0</v>
      </c>
      <c r="EF598" s="161">
        <f t="shared" ref="EF598:EF607" si="2565">BO598</f>
        <v>0</v>
      </c>
      <c r="EG598" s="161">
        <f t="shared" ref="EG598:EG607" si="2566">BP598</f>
        <v>0</v>
      </c>
      <c r="EH598" s="161">
        <f t="shared" ref="EH598:EH607" si="2567">BQ598</f>
        <v>0</v>
      </c>
      <c r="EI598" s="161">
        <f t="shared" ref="EI598:EI607" si="2568">BR598</f>
        <v>0</v>
      </c>
      <c r="EJ598" s="65"/>
      <c r="EK598" s="161">
        <f t="shared" ref="EK598:EK616" si="2569">$EK$596</f>
        <v>0</v>
      </c>
      <c r="EL598" s="161">
        <f t="shared" ref="EL598:EL616" si="2570">$EL$596</f>
        <v>0</v>
      </c>
      <c r="EM598" s="161">
        <f t="shared" ref="EM598:EM616" si="2571">$EM$596</f>
        <v>0</v>
      </c>
    </row>
    <row r="599" spans="1:143" ht="12" hidden="1" customHeight="1" outlineLevel="2">
      <c r="A599" s="77">
        <v>3</v>
      </c>
      <c r="B599" s="137" t="str">
        <f t="shared" si="2499"/>
        <v>SUP.-ESP - Equipe_01</v>
      </c>
      <c r="C599" s="65"/>
      <c r="D599" s="621"/>
      <c r="E599" s="65"/>
      <c r="F599" s="603"/>
      <c r="G599" s="77" t="str">
        <f>IF(INDEX(Tarefas!$BT$30:$FK$30,MATCH(A599,Tarefas!$BT$28:$FK$28,0))=0,"",INDEX(Tarefas!$BT$30:$FK$30,MATCH(A599,Tarefas!$BT$28:$FK$28,0)))</f>
        <v>SUP.-ESP</v>
      </c>
      <c r="H599" s="107" cm="1">
        <f t="array" ref="H599">IFERROR((SUMPRODUCT((Tarefas!$N$32:$N$54='Cronog. e Histog.'!$F$597)*(Tarefas!$BQ$30:$FK$30='Cronog. e Histog.'!$G599)*(Tarefas!$BQ$32:$FK$54)))/SUMIF(Tarefas!$N$32:$N$54,'Cronog. e Histog.'!$F$597,Tarefas!$K$32:$K$54),0)</f>
        <v>0</v>
      </c>
      <c r="I599" s="79">
        <f t="shared" si="2500"/>
        <v>0</v>
      </c>
      <c r="J599" s="65"/>
      <c r="K599" s="160">
        <f t="shared" si="2501"/>
        <v>0</v>
      </c>
      <c r="L599" s="160">
        <f t="shared" si="2501"/>
        <v>0</v>
      </c>
      <c r="M599" s="160">
        <f t="shared" si="2501"/>
        <v>0</v>
      </c>
      <c r="N599" s="160">
        <f t="shared" si="2501"/>
        <v>0</v>
      </c>
      <c r="O599" s="160">
        <f t="shared" si="2501"/>
        <v>0</v>
      </c>
      <c r="P599" s="160">
        <f t="shared" si="2501"/>
        <v>0</v>
      </c>
      <c r="Q599" s="160">
        <f t="shared" si="2501"/>
        <v>0</v>
      </c>
      <c r="R599" s="160">
        <f t="shared" si="2501"/>
        <v>0</v>
      </c>
      <c r="S599" s="160">
        <f t="shared" si="2501"/>
        <v>0</v>
      </c>
      <c r="T599" s="160">
        <f t="shared" si="2501"/>
        <v>0</v>
      </c>
      <c r="U599" s="160">
        <f t="shared" si="2501"/>
        <v>0</v>
      </c>
      <c r="V599" s="160">
        <f t="shared" si="2501"/>
        <v>0</v>
      </c>
      <c r="W599" s="160">
        <f t="shared" si="2501"/>
        <v>0</v>
      </c>
      <c r="X599" s="160">
        <f t="shared" si="2501"/>
        <v>0</v>
      </c>
      <c r="Y599" s="160">
        <f t="shared" si="2501"/>
        <v>0</v>
      </c>
      <c r="Z599" s="160">
        <f t="shared" si="2501"/>
        <v>0</v>
      </c>
      <c r="AA599" s="160">
        <f t="shared" si="2502"/>
        <v>0</v>
      </c>
      <c r="AB599" s="160">
        <f t="shared" si="2502"/>
        <v>0</v>
      </c>
      <c r="AC599" s="160">
        <f t="shared" si="2502"/>
        <v>0</v>
      </c>
      <c r="AD599" s="160">
        <f t="shared" si="2502"/>
        <v>0</v>
      </c>
      <c r="AE599" s="160">
        <f t="shared" si="2502"/>
        <v>0</v>
      </c>
      <c r="AF599" s="160">
        <f t="shared" si="2502"/>
        <v>0</v>
      </c>
      <c r="AG599" s="160">
        <f t="shared" si="2502"/>
        <v>0</v>
      </c>
      <c r="AH599" s="160">
        <f t="shared" si="2502"/>
        <v>0</v>
      </c>
      <c r="AI599" s="160">
        <f t="shared" si="2502"/>
        <v>0</v>
      </c>
      <c r="AJ599" s="160">
        <f t="shared" si="2502"/>
        <v>0</v>
      </c>
      <c r="AK599" s="160">
        <f t="shared" si="2502"/>
        <v>0</v>
      </c>
      <c r="AL599" s="160">
        <f t="shared" si="2502"/>
        <v>0</v>
      </c>
      <c r="AM599" s="160">
        <f t="shared" si="2502"/>
        <v>0</v>
      </c>
      <c r="AN599" s="160">
        <f t="shared" si="2502"/>
        <v>0</v>
      </c>
      <c r="AO599" s="160">
        <f t="shared" si="2502"/>
        <v>0</v>
      </c>
      <c r="AP599" s="160">
        <f t="shared" si="2502"/>
        <v>0</v>
      </c>
      <c r="AQ599" s="160">
        <f t="shared" si="2503"/>
        <v>0</v>
      </c>
      <c r="AR599" s="160">
        <f t="shared" si="2503"/>
        <v>0</v>
      </c>
      <c r="AS599" s="160">
        <f t="shared" si="2503"/>
        <v>0</v>
      </c>
      <c r="AT599" s="160">
        <f t="shared" si="2503"/>
        <v>0</v>
      </c>
      <c r="AU599" s="160">
        <f t="shared" si="2503"/>
        <v>0</v>
      </c>
      <c r="AV599" s="160">
        <f t="shared" si="2503"/>
        <v>0</v>
      </c>
      <c r="AW599" s="160">
        <f t="shared" si="2503"/>
        <v>0</v>
      </c>
      <c r="AX599" s="160">
        <f t="shared" si="2503"/>
        <v>0</v>
      </c>
      <c r="AY599" s="160">
        <f t="shared" si="2503"/>
        <v>0</v>
      </c>
      <c r="AZ599" s="160">
        <f t="shared" si="2503"/>
        <v>0</v>
      </c>
      <c r="BA599" s="160">
        <f t="shared" si="2503"/>
        <v>0</v>
      </c>
      <c r="BB599" s="160">
        <f t="shared" si="2503"/>
        <v>0</v>
      </c>
      <c r="BC599" s="160">
        <f t="shared" si="2503"/>
        <v>0</v>
      </c>
      <c r="BD599" s="160">
        <f t="shared" si="2503"/>
        <v>0</v>
      </c>
      <c r="BE599" s="160">
        <f t="shared" si="2503"/>
        <v>0</v>
      </c>
      <c r="BF599" s="160">
        <f t="shared" si="2503"/>
        <v>0</v>
      </c>
      <c r="BG599" s="160">
        <f t="shared" si="2504"/>
        <v>0</v>
      </c>
      <c r="BH599" s="160">
        <f t="shared" si="2504"/>
        <v>0</v>
      </c>
      <c r="BI599" s="160">
        <f t="shared" si="2504"/>
        <v>0</v>
      </c>
      <c r="BJ599" s="160">
        <f t="shared" si="2504"/>
        <v>0</v>
      </c>
      <c r="BK599" s="160">
        <f t="shared" si="2504"/>
        <v>0</v>
      </c>
      <c r="BL599" s="160">
        <f t="shared" si="2504"/>
        <v>0</v>
      </c>
      <c r="BM599" s="160">
        <f t="shared" si="2504"/>
        <v>0</v>
      </c>
      <c r="BN599" s="160">
        <f t="shared" si="2504"/>
        <v>0</v>
      </c>
      <c r="BO599" s="160">
        <f t="shared" si="2504"/>
        <v>0</v>
      </c>
      <c r="BP599" s="160">
        <f t="shared" si="2504"/>
        <v>0</v>
      </c>
      <c r="BQ599" s="160">
        <f t="shared" si="2504"/>
        <v>0</v>
      </c>
      <c r="BR599" s="160">
        <f t="shared" si="2504"/>
        <v>0</v>
      </c>
      <c r="BS599" s="65"/>
      <c r="BT599" s="160">
        <f t="shared" si="2505"/>
        <v>0</v>
      </c>
      <c r="BU599" s="160">
        <f t="shared" si="2506"/>
        <v>0</v>
      </c>
      <c r="BV599" s="65"/>
      <c r="BW599" s="69"/>
      <c r="BX599" s="65"/>
      <c r="BY599" s="137">
        <f t="shared" si="2507"/>
        <v>1</v>
      </c>
      <c r="BZ599" s="137">
        <f>IF(BY599&gt;0,BY599+LARGE($BZ$213:BZ598,1),0)</f>
        <v>323</v>
      </c>
      <c r="CA599" s="137" t="str">
        <f t="shared" si="2508"/>
        <v>SUP.-ESP</v>
      </c>
      <c r="CB599" s="161">
        <f t="shared" si="2509"/>
        <v>0</v>
      </c>
      <c r="CC599" s="161">
        <f t="shared" si="2510"/>
        <v>0</v>
      </c>
      <c r="CD599" s="161">
        <f t="shared" si="2511"/>
        <v>0</v>
      </c>
      <c r="CE599" s="161">
        <f t="shared" si="2512"/>
        <v>0</v>
      </c>
      <c r="CF599" s="161">
        <f t="shared" si="2513"/>
        <v>0</v>
      </c>
      <c r="CG599" s="161">
        <f t="shared" si="2514"/>
        <v>0</v>
      </c>
      <c r="CH599" s="161">
        <f t="shared" si="2515"/>
        <v>0</v>
      </c>
      <c r="CI599" s="161">
        <f t="shared" si="2516"/>
        <v>0</v>
      </c>
      <c r="CJ599" s="161">
        <f t="shared" si="2517"/>
        <v>0</v>
      </c>
      <c r="CK599" s="161">
        <f t="shared" si="2518"/>
        <v>0</v>
      </c>
      <c r="CL599" s="161">
        <f t="shared" si="2519"/>
        <v>0</v>
      </c>
      <c r="CM599" s="161">
        <f t="shared" si="2520"/>
        <v>0</v>
      </c>
      <c r="CN599" s="161">
        <f t="shared" si="2521"/>
        <v>0</v>
      </c>
      <c r="CO599" s="161">
        <f t="shared" si="2522"/>
        <v>0</v>
      </c>
      <c r="CP599" s="161">
        <f t="shared" si="2523"/>
        <v>0</v>
      </c>
      <c r="CQ599" s="161">
        <f t="shared" si="2524"/>
        <v>0</v>
      </c>
      <c r="CR599" s="161">
        <f t="shared" si="2525"/>
        <v>0</v>
      </c>
      <c r="CS599" s="161">
        <f t="shared" si="2526"/>
        <v>0</v>
      </c>
      <c r="CT599" s="161">
        <f t="shared" si="2527"/>
        <v>0</v>
      </c>
      <c r="CU599" s="161">
        <f t="shared" si="2528"/>
        <v>0</v>
      </c>
      <c r="CV599" s="161">
        <f t="shared" si="2529"/>
        <v>0</v>
      </c>
      <c r="CW599" s="161">
        <f t="shared" si="2530"/>
        <v>0</v>
      </c>
      <c r="CX599" s="161">
        <f t="shared" si="2531"/>
        <v>0</v>
      </c>
      <c r="CY599" s="161">
        <f t="shared" si="2532"/>
        <v>0</v>
      </c>
      <c r="CZ599" s="161">
        <f t="shared" si="2533"/>
        <v>0</v>
      </c>
      <c r="DA599" s="161">
        <f t="shared" si="2534"/>
        <v>0</v>
      </c>
      <c r="DB599" s="161">
        <f t="shared" si="2535"/>
        <v>0</v>
      </c>
      <c r="DC599" s="161">
        <f t="shared" si="2536"/>
        <v>0</v>
      </c>
      <c r="DD599" s="161">
        <f t="shared" si="2537"/>
        <v>0</v>
      </c>
      <c r="DE599" s="161">
        <f t="shared" si="2538"/>
        <v>0</v>
      </c>
      <c r="DF599" s="161">
        <f t="shared" si="2539"/>
        <v>0</v>
      </c>
      <c r="DG599" s="161">
        <f t="shared" si="2540"/>
        <v>0</v>
      </c>
      <c r="DH599" s="161">
        <f t="shared" si="2541"/>
        <v>0</v>
      </c>
      <c r="DI599" s="161">
        <f t="shared" si="2542"/>
        <v>0</v>
      </c>
      <c r="DJ599" s="161">
        <f t="shared" si="2543"/>
        <v>0</v>
      </c>
      <c r="DK599" s="161">
        <f t="shared" si="2544"/>
        <v>0</v>
      </c>
      <c r="DL599" s="161">
        <f t="shared" si="2545"/>
        <v>0</v>
      </c>
      <c r="DM599" s="161">
        <f t="shared" si="2546"/>
        <v>0</v>
      </c>
      <c r="DN599" s="161">
        <f t="shared" si="2547"/>
        <v>0</v>
      </c>
      <c r="DO599" s="161">
        <f t="shared" si="2548"/>
        <v>0</v>
      </c>
      <c r="DP599" s="161">
        <f t="shared" si="2549"/>
        <v>0</v>
      </c>
      <c r="DQ599" s="161">
        <f t="shared" si="2550"/>
        <v>0</v>
      </c>
      <c r="DR599" s="161">
        <f t="shared" si="2551"/>
        <v>0</v>
      </c>
      <c r="DS599" s="161">
        <f t="shared" si="2552"/>
        <v>0</v>
      </c>
      <c r="DT599" s="161">
        <f t="shared" si="2553"/>
        <v>0</v>
      </c>
      <c r="DU599" s="161">
        <f t="shared" si="2554"/>
        <v>0</v>
      </c>
      <c r="DV599" s="161">
        <f t="shared" si="2555"/>
        <v>0</v>
      </c>
      <c r="DW599" s="161">
        <f t="shared" si="2556"/>
        <v>0</v>
      </c>
      <c r="DX599" s="161">
        <f t="shared" si="2557"/>
        <v>0</v>
      </c>
      <c r="DY599" s="161">
        <f t="shared" si="2558"/>
        <v>0</v>
      </c>
      <c r="DZ599" s="161">
        <f t="shared" si="2559"/>
        <v>0</v>
      </c>
      <c r="EA599" s="161">
        <f t="shared" si="2560"/>
        <v>0</v>
      </c>
      <c r="EB599" s="161">
        <f t="shared" si="2561"/>
        <v>0</v>
      </c>
      <c r="EC599" s="161">
        <f t="shared" si="2562"/>
        <v>0</v>
      </c>
      <c r="ED599" s="161">
        <f t="shared" si="2563"/>
        <v>0</v>
      </c>
      <c r="EE599" s="161">
        <f t="shared" si="2564"/>
        <v>0</v>
      </c>
      <c r="EF599" s="161">
        <f t="shared" si="2565"/>
        <v>0</v>
      </c>
      <c r="EG599" s="161">
        <f t="shared" si="2566"/>
        <v>0</v>
      </c>
      <c r="EH599" s="161">
        <f t="shared" si="2567"/>
        <v>0</v>
      </c>
      <c r="EI599" s="161">
        <f t="shared" si="2568"/>
        <v>0</v>
      </c>
      <c r="EJ599" s="65"/>
      <c r="EK599" s="161">
        <f t="shared" si="2569"/>
        <v>0</v>
      </c>
      <c r="EL599" s="161">
        <f t="shared" si="2570"/>
        <v>0</v>
      </c>
      <c r="EM599" s="161">
        <f t="shared" si="2571"/>
        <v>0</v>
      </c>
    </row>
    <row r="600" spans="1:143" ht="12" hidden="1" customHeight="1" outlineLevel="2">
      <c r="A600" s="77">
        <v>4</v>
      </c>
      <c r="B600" s="137" t="str">
        <f t="shared" si="2499"/>
        <v>ENG/ARQ SR. - Equipe_01</v>
      </c>
      <c r="C600" s="65"/>
      <c r="D600" s="621"/>
      <c r="E600" s="65"/>
      <c r="F600" s="603"/>
      <c r="G600" s="77" t="str">
        <f>IF(INDEX(Tarefas!$BT$30:$FK$30,MATCH(A600,Tarefas!$BT$28:$FK$28,0))=0,"",INDEX(Tarefas!$BT$30:$FK$30,MATCH(A600,Tarefas!$BT$28:$FK$28,0)))</f>
        <v>ENG/ARQ SR.</v>
      </c>
      <c r="H600" s="107" cm="1">
        <f t="array" ref="H600">IFERROR((SUMPRODUCT((Tarefas!$N$32:$N$54='Cronog. e Histog.'!$F$597)*(Tarefas!$BQ$30:$FK$30='Cronog. e Histog.'!$G600)*(Tarefas!$BQ$32:$FK$54)))/SUMIF(Tarefas!$N$32:$N$54,'Cronog. e Histog.'!$F$597,Tarefas!$K$32:$K$54),0)</f>
        <v>0</v>
      </c>
      <c r="I600" s="79">
        <f t="shared" si="2500"/>
        <v>0</v>
      </c>
      <c r="J600" s="65"/>
      <c r="K600" s="160">
        <f t="shared" si="2501"/>
        <v>0</v>
      </c>
      <c r="L600" s="160">
        <f t="shared" si="2501"/>
        <v>0</v>
      </c>
      <c r="M600" s="160">
        <f t="shared" si="2501"/>
        <v>0</v>
      </c>
      <c r="N600" s="160">
        <f t="shared" si="2501"/>
        <v>0</v>
      </c>
      <c r="O600" s="160">
        <f t="shared" si="2501"/>
        <v>0</v>
      </c>
      <c r="P600" s="160">
        <f t="shared" si="2501"/>
        <v>0</v>
      </c>
      <c r="Q600" s="160">
        <f t="shared" si="2501"/>
        <v>0</v>
      </c>
      <c r="R600" s="160">
        <f t="shared" si="2501"/>
        <v>0</v>
      </c>
      <c r="S600" s="160">
        <f t="shared" si="2501"/>
        <v>0</v>
      </c>
      <c r="T600" s="160">
        <f t="shared" si="2501"/>
        <v>0</v>
      </c>
      <c r="U600" s="160">
        <f t="shared" si="2501"/>
        <v>0</v>
      </c>
      <c r="V600" s="160">
        <f t="shared" si="2501"/>
        <v>0</v>
      </c>
      <c r="W600" s="160">
        <f t="shared" si="2501"/>
        <v>0</v>
      </c>
      <c r="X600" s="160">
        <f t="shared" si="2501"/>
        <v>0</v>
      </c>
      <c r="Y600" s="160">
        <f t="shared" si="2501"/>
        <v>0</v>
      </c>
      <c r="Z600" s="160">
        <f t="shared" si="2501"/>
        <v>0</v>
      </c>
      <c r="AA600" s="160">
        <f t="shared" si="2502"/>
        <v>0</v>
      </c>
      <c r="AB600" s="160">
        <f t="shared" si="2502"/>
        <v>0</v>
      </c>
      <c r="AC600" s="160">
        <f t="shared" si="2502"/>
        <v>0</v>
      </c>
      <c r="AD600" s="160">
        <f t="shared" si="2502"/>
        <v>0</v>
      </c>
      <c r="AE600" s="160">
        <f t="shared" si="2502"/>
        <v>0</v>
      </c>
      <c r="AF600" s="160">
        <f t="shared" si="2502"/>
        <v>0</v>
      </c>
      <c r="AG600" s="160">
        <f t="shared" si="2502"/>
        <v>0</v>
      </c>
      <c r="AH600" s="160">
        <f t="shared" si="2502"/>
        <v>0</v>
      </c>
      <c r="AI600" s="160">
        <f t="shared" si="2502"/>
        <v>0</v>
      </c>
      <c r="AJ600" s="160">
        <f t="shared" si="2502"/>
        <v>0</v>
      </c>
      <c r="AK600" s="160">
        <f t="shared" si="2502"/>
        <v>0</v>
      </c>
      <c r="AL600" s="160">
        <f t="shared" si="2502"/>
        <v>0</v>
      </c>
      <c r="AM600" s="160">
        <f t="shared" si="2502"/>
        <v>0</v>
      </c>
      <c r="AN600" s="160">
        <f t="shared" si="2502"/>
        <v>0</v>
      </c>
      <c r="AO600" s="160">
        <f t="shared" si="2502"/>
        <v>0</v>
      </c>
      <c r="AP600" s="160">
        <f t="shared" si="2502"/>
        <v>0</v>
      </c>
      <c r="AQ600" s="160">
        <f t="shared" si="2503"/>
        <v>0</v>
      </c>
      <c r="AR600" s="160">
        <f t="shared" si="2503"/>
        <v>0</v>
      </c>
      <c r="AS600" s="160">
        <f t="shared" si="2503"/>
        <v>0</v>
      </c>
      <c r="AT600" s="160">
        <f t="shared" si="2503"/>
        <v>0</v>
      </c>
      <c r="AU600" s="160">
        <f t="shared" si="2503"/>
        <v>0</v>
      </c>
      <c r="AV600" s="160">
        <f t="shared" si="2503"/>
        <v>0</v>
      </c>
      <c r="AW600" s="160">
        <f t="shared" si="2503"/>
        <v>0</v>
      </c>
      <c r="AX600" s="160">
        <f t="shared" si="2503"/>
        <v>0</v>
      </c>
      <c r="AY600" s="160">
        <f t="shared" si="2503"/>
        <v>0</v>
      </c>
      <c r="AZ600" s="160">
        <f t="shared" si="2503"/>
        <v>0</v>
      </c>
      <c r="BA600" s="160">
        <f t="shared" si="2503"/>
        <v>0</v>
      </c>
      <c r="BB600" s="160">
        <f t="shared" si="2503"/>
        <v>0</v>
      </c>
      <c r="BC600" s="160">
        <f t="shared" si="2503"/>
        <v>0</v>
      </c>
      <c r="BD600" s="160">
        <f t="shared" si="2503"/>
        <v>0</v>
      </c>
      <c r="BE600" s="160">
        <f t="shared" si="2503"/>
        <v>0</v>
      </c>
      <c r="BF600" s="160">
        <f t="shared" si="2503"/>
        <v>0</v>
      </c>
      <c r="BG600" s="160">
        <f t="shared" si="2504"/>
        <v>0</v>
      </c>
      <c r="BH600" s="160">
        <f t="shared" si="2504"/>
        <v>0</v>
      </c>
      <c r="BI600" s="160">
        <f t="shared" si="2504"/>
        <v>0</v>
      </c>
      <c r="BJ600" s="160">
        <f t="shared" si="2504"/>
        <v>0</v>
      </c>
      <c r="BK600" s="160">
        <f t="shared" si="2504"/>
        <v>0</v>
      </c>
      <c r="BL600" s="160">
        <f t="shared" si="2504"/>
        <v>0</v>
      </c>
      <c r="BM600" s="160">
        <f t="shared" si="2504"/>
        <v>0</v>
      </c>
      <c r="BN600" s="160">
        <f t="shared" si="2504"/>
        <v>0</v>
      </c>
      <c r="BO600" s="160">
        <f t="shared" si="2504"/>
        <v>0</v>
      </c>
      <c r="BP600" s="160">
        <f t="shared" si="2504"/>
        <v>0</v>
      </c>
      <c r="BQ600" s="160">
        <f t="shared" si="2504"/>
        <v>0</v>
      </c>
      <c r="BR600" s="160">
        <f t="shared" si="2504"/>
        <v>0</v>
      </c>
      <c r="BS600" s="65"/>
      <c r="BT600" s="160">
        <f t="shared" si="2505"/>
        <v>0</v>
      </c>
      <c r="BU600" s="160">
        <f t="shared" si="2506"/>
        <v>0</v>
      </c>
      <c r="BV600" s="65"/>
      <c r="BW600" s="69"/>
      <c r="BX600" s="65"/>
      <c r="BY600" s="137">
        <f t="shared" si="2507"/>
        <v>1</v>
      </c>
      <c r="BZ600" s="137">
        <f>IF(BY600&gt;0,BY600+LARGE($BZ$213:BZ599,1),0)</f>
        <v>324</v>
      </c>
      <c r="CA600" s="137" t="str">
        <f t="shared" si="2508"/>
        <v>ENG/ARQ SR.</v>
      </c>
      <c r="CB600" s="161">
        <f t="shared" si="2509"/>
        <v>0</v>
      </c>
      <c r="CC600" s="161">
        <f t="shared" si="2510"/>
        <v>0</v>
      </c>
      <c r="CD600" s="161">
        <f t="shared" si="2511"/>
        <v>0</v>
      </c>
      <c r="CE600" s="161">
        <f t="shared" si="2512"/>
        <v>0</v>
      </c>
      <c r="CF600" s="161">
        <f t="shared" si="2513"/>
        <v>0</v>
      </c>
      <c r="CG600" s="161">
        <f t="shared" si="2514"/>
        <v>0</v>
      </c>
      <c r="CH600" s="161">
        <f t="shared" si="2515"/>
        <v>0</v>
      </c>
      <c r="CI600" s="161">
        <f t="shared" si="2516"/>
        <v>0</v>
      </c>
      <c r="CJ600" s="161">
        <f t="shared" si="2517"/>
        <v>0</v>
      </c>
      <c r="CK600" s="161">
        <f t="shared" si="2518"/>
        <v>0</v>
      </c>
      <c r="CL600" s="161">
        <f t="shared" si="2519"/>
        <v>0</v>
      </c>
      <c r="CM600" s="161">
        <f t="shared" si="2520"/>
        <v>0</v>
      </c>
      <c r="CN600" s="161">
        <f t="shared" si="2521"/>
        <v>0</v>
      </c>
      <c r="CO600" s="161">
        <f t="shared" si="2522"/>
        <v>0</v>
      </c>
      <c r="CP600" s="161">
        <f t="shared" si="2523"/>
        <v>0</v>
      </c>
      <c r="CQ600" s="161">
        <f t="shared" si="2524"/>
        <v>0</v>
      </c>
      <c r="CR600" s="161">
        <f t="shared" si="2525"/>
        <v>0</v>
      </c>
      <c r="CS600" s="161">
        <f t="shared" si="2526"/>
        <v>0</v>
      </c>
      <c r="CT600" s="161">
        <f t="shared" si="2527"/>
        <v>0</v>
      </c>
      <c r="CU600" s="161">
        <f t="shared" si="2528"/>
        <v>0</v>
      </c>
      <c r="CV600" s="161">
        <f t="shared" si="2529"/>
        <v>0</v>
      </c>
      <c r="CW600" s="161">
        <f t="shared" si="2530"/>
        <v>0</v>
      </c>
      <c r="CX600" s="161">
        <f t="shared" si="2531"/>
        <v>0</v>
      </c>
      <c r="CY600" s="161">
        <f t="shared" si="2532"/>
        <v>0</v>
      </c>
      <c r="CZ600" s="161">
        <f t="shared" si="2533"/>
        <v>0</v>
      </c>
      <c r="DA600" s="161">
        <f t="shared" si="2534"/>
        <v>0</v>
      </c>
      <c r="DB600" s="161">
        <f t="shared" si="2535"/>
        <v>0</v>
      </c>
      <c r="DC600" s="161">
        <f t="shared" si="2536"/>
        <v>0</v>
      </c>
      <c r="DD600" s="161">
        <f t="shared" si="2537"/>
        <v>0</v>
      </c>
      <c r="DE600" s="161">
        <f t="shared" si="2538"/>
        <v>0</v>
      </c>
      <c r="DF600" s="161">
        <f t="shared" si="2539"/>
        <v>0</v>
      </c>
      <c r="DG600" s="161">
        <f t="shared" si="2540"/>
        <v>0</v>
      </c>
      <c r="DH600" s="161">
        <f t="shared" si="2541"/>
        <v>0</v>
      </c>
      <c r="DI600" s="161">
        <f t="shared" si="2542"/>
        <v>0</v>
      </c>
      <c r="DJ600" s="161">
        <f t="shared" si="2543"/>
        <v>0</v>
      </c>
      <c r="DK600" s="161">
        <f t="shared" si="2544"/>
        <v>0</v>
      </c>
      <c r="DL600" s="161">
        <f t="shared" si="2545"/>
        <v>0</v>
      </c>
      <c r="DM600" s="161">
        <f t="shared" si="2546"/>
        <v>0</v>
      </c>
      <c r="DN600" s="161">
        <f t="shared" si="2547"/>
        <v>0</v>
      </c>
      <c r="DO600" s="161">
        <f t="shared" si="2548"/>
        <v>0</v>
      </c>
      <c r="DP600" s="161">
        <f t="shared" si="2549"/>
        <v>0</v>
      </c>
      <c r="DQ600" s="161">
        <f t="shared" si="2550"/>
        <v>0</v>
      </c>
      <c r="DR600" s="161">
        <f t="shared" si="2551"/>
        <v>0</v>
      </c>
      <c r="DS600" s="161">
        <f t="shared" si="2552"/>
        <v>0</v>
      </c>
      <c r="DT600" s="161">
        <f t="shared" si="2553"/>
        <v>0</v>
      </c>
      <c r="DU600" s="161">
        <f t="shared" si="2554"/>
        <v>0</v>
      </c>
      <c r="DV600" s="161">
        <f t="shared" si="2555"/>
        <v>0</v>
      </c>
      <c r="DW600" s="161">
        <f t="shared" si="2556"/>
        <v>0</v>
      </c>
      <c r="DX600" s="161">
        <f t="shared" si="2557"/>
        <v>0</v>
      </c>
      <c r="DY600" s="161">
        <f t="shared" si="2558"/>
        <v>0</v>
      </c>
      <c r="DZ600" s="161">
        <f t="shared" si="2559"/>
        <v>0</v>
      </c>
      <c r="EA600" s="161">
        <f t="shared" si="2560"/>
        <v>0</v>
      </c>
      <c r="EB600" s="161">
        <f t="shared" si="2561"/>
        <v>0</v>
      </c>
      <c r="EC600" s="161">
        <f t="shared" si="2562"/>
        <v>0</v>
      </c>
      <c r="ED600" s="161">
        <f t="shared" si="2563"/>
        <v>0</v>
      </c>
      <c r="EE600" s="161">
        <f t="shared" si="2564"/>
        <v>0</v>
      </c>
      <c r="EF600" s="161">
        <f t="shared" si="2565"/>
        <v>0</v>
      </c>
      <c r="EG600" s="161">
        <f t="shared" si="2566"/>
        <v>0</v>
      </c>
      <c r="EH600" s="161">
        <f t="shared" si="2567"/>
        <v>0</v>
      </c>
      <c r="EI600" s="161">
        <f t="shared" si="2568"/>
        <v>0</v>
      </c>
      <c r="EJ600" s="65"/>
      <c r="EK600" s="161">
        <f t="shared" si="2569"/>
        <v>0</v>
      </c>
      <c r="EL600" s="161">
        <f t="shared" si="2570"/>
        <v>0</v>
      </c>
      <c r="EM600" s="161">
        <f t="shared" si="2571"/>
        <v>0</v>
      </c>
    </row>
    <row r="601" spans="1:143" ht="12" hidden="1" customHeight="1" outlineLevel="2">
      <c r="A601" s="77">
        <v>5</v>
      </c>
      <c r="B601" s="137" t="str">
        <f t="shared" si="2499"/>
        <v>ENG/ARQ PL. - Equipe_01</v>
      </c>
      <c r="C601" s="65"/>
      <c r="D601" s="621"/>
      <c r="E601" s="65"/>
      <c r="F601" s="603"/>
      <c r="G601" s="77" t="str">
        <f>IF(INDEX(Tarefas!$BT$30:$FK$30,MATCH(A601,Tarefas!$BT$28:$FK$28,0))=0,"",INDEX(Tarefas!$BT$30:$FK$30,MATCH(A601,Tarefas!$BT$28:$FK$28,0)))</f>
        <v>ENG/ARQ PL.</v>
      </c>
      <c r="H601" s="107" cm="1">
        <f t="array" ref="H601">IFERROR((SUMPRODUCT((Tarefas!$N$32:$N$54='Cronog. e Histog.'!$F$597)*(Tarefas!$BQ$30:$FK$30='Cronog. e Histog.'!$G601)*(Tarefas!$BQ$32:$FK$54)))/SUMIF(Tarefas!$N$32:$N$54,'Cronog. e Histog.'!$F$597,Tarefas!$K$32:$K$54),0)</f>
        <v>1</v>
      </c>
      <c r="I601" s="79">
        <f t="shared" si="2500"/>
        <v>1</v>
      </c>
      <c r="J601" s="65"/>
      <c r="K601" s="160">
        <f t="shared" si="2501"/>
        <v>0.04</v>
      </c>
      <c r="L601" s="160">
        <f t="shared" si="2501"/>
        <v>0.04</v>
      </c>
      <c r="M601" s="160">
        <f t="shared" si="2501"/>
        <v>0.04</v>
      </c>
      <c r="N601" s="160">
        <f t="shared" si="2501"/>
        <v>0.04</v>
      </c>
      <c r="O601" s="160">
        <f t="shared" si="2501"/>
        <v>0.04</v>
      </c>
      <c r="P601" s="160">
        <f t="shared" si="2501"/>
        <v>0.04</v>
      </c>
      <c r="Q601" s="160">
        <f t="shared" si="2501"/>
        <v>0.04</v>
      </c>
      <c r="R601" s="160">
        <f t="shared" si="2501"/>
        <v>0.04</v>
      </c>
      <c r="S601" s="160">
        <f t="shared" si="2501"/>
        <v>0.04</v>
      </c>
      <c r="T601" s="160">
        <f t="shared" si="2501"/>
        <v>0.04</v>
      </c>
      <c r="U601" s="160">
        <f t="shared" si="2501"/>
        <v>0</v>
      </c>
      <c r="V601" s="160">
        <f t="shared" si="2501"/>
        <v>0</v>
      </c>
      <c r="W601" s="160">
        <f t="shared" si="2501"/>
        <v>0</v>
      </c>
      <c r="X601" s="160">
        <f t="shared" si="2501"/>
        <v>0</v>
      </c>
      <c r="Y601" s="160">
        <f t="shared" si="2501"/>
        <v>0</v>
      </c>
      <c r="Z601" s="160">
        <f t="shared" si="2501"/>
        <v>0</v>
      </c>
      <c r="AA601" s="160">
        <f t="shared" si="2502"/>
        <v>0</v>
      </c>
      <c r="AB601" s="160">
        <f t="shared" si="2502"/>
        <v>0</v>
      </c>
      <c r="AC601" s="160">
        <f t="shared" si="2502"/>
        <v>0</v>
      </c>
      <c r="AD601" s="160">
        <f t="shared" si="2502"/>
        <v>0</v>
      </c>
      <c r="AE601" s="160">
        <f t="shared" si="2502"/>
        <v>0</v>
      </c>
      <c r="AF601" s="160">
        <f t="shared" si="2502"/>
        <v>0</v>
      </c>
      <c r="AG601" s="160">
        <f t="shared" si="2502"/>
        <v>0</v>
      </c>
      <c r="AH601" s="160">
        <f t="shared" si="2502"/>
        <v>0</v>
      </c>
      <c r="AI601" s="160">
        <f t="shared" si="2502"/>
        <v>0</v>
      </c>
      <c r="AJ601" s="160">
        <f t="shared" si="2502"/>
        <v>0</v>
      </c>
      <c r="AK601" s="160">
        <f t="shared" si="2502"/>
        <v>0</v>
      </c>
      <c r="AL601" s="160">
        <f t="shared" si="2502"/>
        <v>0</v>
      </c>
      <c r="AM601" s="160">
        <f t="shared" si="2502"/>
        <v>0</v>
      </c>
      <c r="AN601" s="160">
        <f t="shared" si="2502"/>
        <v>0</v>
      </c>
      <c r="AO601" s="160">
        <f t="shared" si="2502"/>
        <v>0</v>
      </c>
      <c r="AP601" s="160">
        <f t="shared" si="2502"/>
        <v>0</v>
      </c>
      <c r="AQ601" s="160">
        <f t="shared" si="2503"/>
        <v>0</v>
      </c>
      <c r="AR601" s="160">
        <f t="shared" si="2503"/>
        <v>0</v>
      </c>
      <c r="AS601" s="160">
        <f t="shared" si="2503"/>
        <v>0</v>
      </c>
      <c r="AT601" s="160">
        <f t="shared" si="2503"/>
        <v>0</v>
      </c>
      <c r="AU601" s="160">
        <f t="shared" si="2503"/>
        <v>0</v>
      </c>
      <c r="AV601" s="160">
        <f t="shared" si="2503"/>
        <v>0</v>
      </c>
      <c r="AW601" s="160">
        <f t="shared" si="2503"/>
        <v>0</v>
      </c>
      <c r="AX601" s="160">
        <f t="shared" si="2503"/>
        <v>0</v>
      </c>
      <c r="AY601" s="160">
        <f t="shared" si="2503"/>
        <v>0</v>
      </c>
      <c r="AZ601" s="160">
        <f t="shared" si="2503"/>
        <v>0</v>
      </c>
      <c r="BA601" s="160">
        <f t="shared" si="2503"/>
        <v>0</v>
      </c>
      <c r="BB601" s="160">
        <f t="shared" si="2503"/>
        <v>0</v>
      </c>
      <c r="BC601" s="160">
        <f t="shared" si="2503"/>
        <v>0</v>
      </c>
      <c r="BD601" s="160">
        <f t="shared" si="2503"/>
        <v>0</v>
      </c>
      <c r="BE601" s="160">
        <f t="shared" si="2503"/>
        <v>0</v>
      </c>
      <c r="BF601" s="160">
        <f t="shared" si="2503"/>
        <v>0</v>
      </c>
      <c r="BG601" s="160">
        <f t="shared" si="2504"/>
        <v>0</v>
      </c>
      <c r="BH601" s="160">
        <f t="shared" si="2504"/>
        <v>0</v>
      </c>
      <c r="BI601" s="160">
        <f t="shared" si="2504"/>
        <v>0</v>
      </c>
      <c r="BJ601" s="160">
        <f t="shared" si="2504"/>
        <v>0</v>
      </c>
      <c r="BK601" s="160">
        <f t="shared" si="2504"/>
        <v>0</v>
      </c>
      <c r="BL601" s="160">
        <f t="shared" si="2504"/>
        <v>0</v>
      </c>
      <c r="BM601" s="160">
        <f t="shared" si="2504"/>
        <v>0</v>
      </c>
      <c r="BN601" s="160">
        <f t="shared" si="2504"/>
        <v>0</v>
      </c>
      <c r="BO601" s="160">
        <f t="shared" si="2504"/>
        <v>0</v>
      </c>
      <c r="BP601" s="160">
        <f t="shared" si="2504"/>
        <v>0</v>
      </c>
      <c r="BQ601" s="160">
        <f t="shared" si="2504"/>
        <v>0</v>
      </c>
      <c r="BR601" s="160">
        <f t="shared" si="2504"/>
        <v>0</v>
      </c>
      <c r="BS601" s="65"/>
      <c r="BT601" s="160">
        <f t="shared" si="2505"/>
        <v>3.9999999999999994E-2</v>
      </c>
      <c r="BU601" s="160">
        <f t="shared" si="2506"/>
        <v>10</v>
      </c>
      <c r="BV601" s="65"/>
      <c r="BW601" s="69"/>
      <c r="BX601" s="65"/>
      <c r="BY601" s="137">
        <f t="shared" si="2507"/>
        <v>1</v>
      </c>
      <c r="BZ601" s="137">
        <f>IF(BY601&gt;0,BY601+LARGE($BZ$213:BZ600,1),0)</f>
        <v>325</v>
      </c>
      <c r="CA601" s="137" t="str">
        <f t="shared" si="2508"/>
        <v>ENG/ARQ PL.</v>
      </c>
      <c r="CB601" s="161">
        <f t="shared" si="2509"/>
        <v>0.04</v>
      </c>
      <c r="CC601" s="161">
        <f t="shared" si="2510"/>
        <v>0.04</v>
      </c>
      <c r="CD601" s="161">
        <f t="shared" si="2511"/>
        <v>0.04</v>
      </c>
      <c r="CE601" s="161">
        <f t="shared" si="2512"/>
        <v>0.04</v>
      </c>
      <c r="CF601" s="161">
        <f t="shared" si="2513"/>
        <v>0.04</v>
      </c>
      <c r="CG601" s="161">
        <f t="shared" si="2514"/>
        <v>0.04</v>
      </c>
      <c r="CH601" s="161">
        <f t="shared" si="2515"/>
        <v>0.04</v>
      </c>
      <c r="CI601" s="161">
        <f t="shared" si="2516"/>
        <v>0.04</v>
      </c>
      <c r="CJ601" s="161">
        <f t="shared" si="2517"/>
        <v>0.04</v>
      </c>
      <c r="CK601" s="161">
        <f t="shared" si="2518"/>
        <v>0.04</v>
      </c>
      <c r="CL601" s="161">
        <f t="shared" si="2519"/>
        <v>0</v>
      </c>
      <c r="CM601" s="161">
        <f t="shared" si="2520"/>
        <v>0</v>
      </c>
      <c r="CN601" s="161">
        <f t="shared" si="2521"/>
        <v>0</v>
      </c>
      <c r="CO601" s="161">
        <f t="shared" si="2522"/>
        <v>0</v>
      </c>
      <c r="CP601" s="161">
        <f t="shared" si="2523"/>
        <v>0</v>
      </c>
      <c r="CQ601" s="161">
        <f t="shared" si="2524"/>
        <v>0</v>
      </c>
      <c r="CR601" s="161">
        <f t="shared" si="2525"/>
        <v>0</v>
      </c>
      <c r="CS601" s="161">
        <f t="shared" si="2526"/>
        <v>0</v>
      </c>
      <c r="CT601" s="161">
        <f t="shared" si="2527"/>
        <v>0</v>
      </c>
      <c r="CU601" s="161">
        <f t="shared" si="2528"/>
        <v>0</v>
      </c>
      <c r="CV601" s="161">
        <f t="shared" si="2529"/>
        <v>0</v>
      </c>
      <c r="CW601" s="161">
        <f t="shared" si="2530"/>
        <v>0</v>
      </c>
      <c r="CX601" s="161">
        <f t="shared" si="2531"/>
        <v>0</v>
      </c>
      <c r="CY601" s="161">
        <f t="shared" si="2532"/>
        <v>0</v>
      </c>
      <c r="CZ601" s="161">
        <f t="shared" si="2533"/>
        <v>0</v>
      </c>
      <c r="DA601" s="161">
        <f t="shared" si="2534"/>
        <v>0</v>
      </c>
      <c r="DB601" s="161">
        <f t="shared" si="2535"/>
        <v>0</v>
      </c>
      <c r="DC601" s="161">
        <f t="shared" si="2536"/>
        <v>0</v>
      </c>
      <c r="DD601" s="161">
        <f t="shared" si="2537"/>
        <v>0</v>
      </c>
      <c r="DE601" s="161">
        <f t="shared" si="2538"/>
        <v>0</v>
      </c>
      <c r="DF601" s="161">
        <f t="shared" si="2539"/>
        <v>0</v>
      </c>
      <c r="DG601" s="161">
        <f t="shared" si="2540"/>
        <v>0</v>
      </c>
      <c r="DH601" s="161">
        <f t="shared" si="2541"/>
        <v>0</v>
      </c>
      <c r="DI601" s="161">
        <f t="shared" si="2542"/>
        <v>0</v>
      </c>
      <c r="DJ601" s="161">
        <f t="shared" si="2543"/>
        <v>0</v>
      </c>
      <c r="DK601" s="161">
        <f t="shared" si="2544"/>
        <v>0</v>
      </c>
      <c r="DL601" s="161">
        <f t="shared" si="2545"/>
        <v>0</v>
      </c>
      <c r="DM601" s="161">
        <f t="shared" si="2546"/>
        <v>0</v>
      </c>
      <c r="DN601" s="161">
        <f t="shared" si="2547"/>
        <v>0</v>
      </c>
      <c r="DO601" s="161">
        <f t="shared" si="2548"/>
        <v>0</v>
      </c>
      <c r="DP601" s="161">
        <f t="shared" si="2549"/>
        <v>0</v>
      </c>
      <c r="DQ601" s="161">
        <f t="shared" si="2550"/>
        <v>0</v>
      </c>
      <c r="DR601" s="161">
        <f t="shared" si="2551"/>
        <v>0</v>
      </c>
      <c r="DS601" s="161">
        <f t="shared" si="2552"/>
        <v>0</v>
      </c>
      <c r="DT601" s="161">
        <f t="shared" si="2553"/>
        <v>0</v>
      </c>
      <c r="DU601" s="161">
        <f t="shared" si="2554"/>
        <v>0</v>
      </c>
      <c r="DV601" s="161">
        <f t="shared" si="2555"/>
        <v>0</v>
      </c>
      <c r="DW601" s="161">
        <f t="shared" si="2556"/>
        <v>0</v>
      </c>
      <c r="DX601" s="161">
        <f t="shared" si="2557"/>
        <v>0</v>
      </c>
      <c r="DY601" s="161">
        <f t="shared" si="2558"/>
        <v>0</v>
      </c>
      <c r="DZ601" s="161">
        <f t="shared" si="2559"/>
        <v>0</v>
      </c>
      <c r="EA601" s="161">
        <f t="shared" si="2560"/>
        <v>0</v>
      </c>
      <c r="EB601" s="161">
        <f t="shared" si="2561"/>
        <v>0</v>
      </c>
      <c r="EC601" s="161">
        <f t="shared" si="2562"/>
        <v>0</v>
      </c>
      <c r="ED601" s="161">
        <f t="shared" si="2563"/>
        <v>0</v>
      </c>
      <c r="EE601" s="161">
        <f t="shared" si="2564"/>
        <v>0</v>
      </c>
      <c r="EF601" s="161">
        <f t="shared" si="2565"/>
        <v>0</v>
      </c>
      <c r="EG601" s="161">
        <f t="shared" si="2566"/>
        <v>0</v>
      </c>
      <c r="EH601" s="161">
        <f t="shared" si="2567"/>
        <v>0</v>
      </c>
      <c r="EI601" s="161">
        <f t="shared" si="2568"/>
        <v>0</v>
      </c>
      <c r="EJ601" s="65"/>
      <c r="EK601" s="161">
        <f t="shared" si="2569"/>
        <v>0</v>
      </c>
      <c r="EL601" s="161">
        <f t="shared" si="2570"/>
        <v>0</v>
      </c>
      <c r="EM601" s="161">
        <f t="shared" si="2571"/>
        <v>0</v>
      </c>
    </row>
    <row r="602" spans="1:143" ht="12" hidden="1" customHeight="1" outlineLevel="2">
      <c r="A602" s="77">
        <v>6</v>
      </c>
      <c r="B602" s="137" t="str">
        <f t="shared" si="2499"/>
        <v>ENG/ARQ JR. - Equipe_01</v>
      </c>
      <c r="C602" s="65"/>
      <c r="D602" s="621"/>
      <c r="E602" s="65"/>
      <c r="F602" s="603"/>
      <c r="G602" s="77" t="str">
        <f>IF(INDEX(Tarefas!$BT$30:$FK$30,MATCH(A602,Tarefas!$BT$28:$FK$28,0))=0,"",INDEX(Tarefas!$BT$30:$FK$30,MATCH(A602,Tarefas!$BT$28:$FK$28,0)))</f>
        <v>ENG/ARQ JR.</v>
      </c>
      <c r="H602" s="107" cm="1">
        <f t="array" ref="H602">IFERROR((SUMPRODUCT((Tarefas!$N$32:$N$54='Cronog. e Histog.'!$F$597)*(Tarefas!$BQ$30:$FK$30='Cronog. e Histog.'!$G602)*(Tarefas!$BQ$32:$FK$54)))/SUMIF(Tarefas!$N$32:$N$54,'Cronog. e Histog.'!$F$597,Tarefas!$K$32:$K$54),0)</f>
        <v>0</v>
      </c>
      <c r="I602" s="79">
        <f t="shared" si="2500"/>
        <v>0</v>
      </c>
      <c r="J602" s="65"/>
      <c r="K602" s="160">
        <f t="shared" si="2501"/>
        <v>0</v>
      </c>
      <c r="L602" s="160">
        <f t="shared" si="2501"/>
        <v>0</v>
      </c>
      <c r="M602" s="160">
        <f t="shared" si="2501"/>
        <v>0</v>
      </c>
      <c r="N602" s="160">
        <f t="shared" si="2501"/>
        <v>0</v>
      </c>
      <c r="O602" s="160">
        <f t="shared" si="2501"/>
        <v>0</v>
      </c>
      <c r="P602" s="160">
        <f t="shared" si="2501"/>
        <v>0</v>
      </c>
      <c r="Q602" s="160">
        <f t="shared" si="2501"/>
        <v>0</v>
      </c>
      <c r="R602" s="160">
        <f t="shared" si="2501"/>
        <v>0</v>
      </c>
      <c r="S602" s="160">
        <f t="shared" si="2501"/>
        <v>0</v>
      </c>
      <c r="T602" s="160">
        <f t="shared" si="2501"/>
        <v>0</v>
      </c>
      <c r="U602" s="160">
        <f t="shared" si="2501"/>
        <v>0</v>
      </c>
      <c r="V602" s="160">
        <f t="shared" si="2501"/>
        <v>0</v>
      </c>
      <c r="W602" s="160">
        <f t="shared" si="2501"/>
        <v>0</v>
      </c>
      <c r="X602" s="160">
        <f t="shared" si="2501"/>
        <v>0</v>
      </c>
      <c r="Y602" s="160">
        <f t="shared" si="2501"/>
        <v>0</v>
      </c>
      <c r="Z602" s="160">
        <f t="shared" si="2501"/>
        <v>0</v>
      </c>
      <c r="AA602" s="160">
        <f t="shared" si="2502"/>
        <v>0</v>
      </c>
      <c r="AB602" s="160">
        <f t="shared" si="2502"/>
        <v>0</v>
      </c>
      <c r="AC602" s="160">
        <f t="shared" si="2502"/>
        <v>0</v>
      </c>
      <c r="AD602" s="160">
        <f t="shared" si="2502"/>
        <v>0</v>
      </c>
      <c r="AE602" s="160">
        <f t="shared" si="2502"/>
        <v>0</v>
      </c>
      <c r="AF602" s="160">
        <f t="shared" si="2502"/>
        <v>0</v>
      </c>
      <c r="AG602" s="160">
        <f t="shared" si="2502"/>
        <v>0</v>
      </c>
      <c r="AH602" s="160">
        <f t="shared" si="2502"/>
        <v>0</v>
      </c>
      <c r="AI602" s="160">
        <f t="shared" si="2502"/>
        <v>0</v>
      </c>
      <c r="AJ602" s="160">
        <f t="shared" si="2502"/>
        <v>0</v>
      </c>
      <c r="AK602" s="160">
        <f t="shared" si="2502"/>
        <v>0</v>
      </c>
      <c r="AL602" s="160">
        <f t="shared" si="2502"/>
        <v>0</v>
      </c>
      <c r="AM602" s="160">
        <f t="shared" si="2502"/>
        <v>0</v>
      </c>
      <c r="AN602" s="160">
        <f t="shared" si="2502"/>
        <v>0</v>
      </c>
      <c r="AO602" s="160">
        <f t="shared" si="2502"/>
        <v>0</v>
      </c>
      <c r="AP602" s="160">
        <f t="shared" si="2502"/>
        <v>0</v>
      </c>
      <c r="AQ602" s="160">
        <f t="shared" si="2503"/>
        <v>0</v>
      </c>
      <c r="AR602" s="160">
        <f t="shared" si="2503"/>
        <v>0</v>
      </c>
      <c r="AS602" s="160">
        <f t="shared" si="2503"/>
        <v>0</v>
      </c>
      <c r="AT602" s="160">
        <f t="shared" si="2503"/>
        <v>0</v>
      </c>
      <c r="AU602" s="160">
        <f t="shared" si="2503"/>
        <v>0</v>
      </c>
      <c r="AV602" s="160">
        <f t="shared" si="2503"/>
        <v>0</v>
      </c>
      <c r="AW602" s="160">
        <f t="shared" si="2503"/>
        <v>0</v>
      </c>
      <c r="AX602" s="160">
        <f t="shared" si="2503"/>
        <v>0</v>
      </c>
      <c r="AY602" s="160">
        <f t="shared" si="2503"/>
        <v>0</v>
      </c>
      <c r="AZ602" s="160">
        <f t="shared" si="2503"/>
        <v>0</v>
      </c>
      <c r="BA602" s="160">
        <f t="shared" si="2503"/>
        <v>0</v>
      </c>
      <c r="BB602" s="160">
        <f t="shared" si="2503"/>
        <v>0</v>
      </c>
      <c r="BC602" s="160">
        <f t="shared" si="2503"/>
        <v>0</v>
      </c>
      <c r="BD602" s="160">
        <f t="shared" si="2503"/>
        <v>0</v>
      </c>
      <c r="BE602" s="160">
        <f t="shared" si="2503"/>
        <v>0</v>
      </c>
      <c r="BF602" s="160">
        <f t="shared" si="2503"/>
        <v>0</v>
      </c>
      <c r="BG602" s="160">
        <f t="shared" si="2504"/>
        <v>0</v>
      </c>
      <c r="BH602" s="160">
        <f t="shared" si="2504"/>
        <v>0</v>
      </c>
      <c r="BI602" s="160">
        <f t="shared" si="2504"/>
        <v>0</v>
      </c>
      <c r="BJ602" s="160">
        <f t="shared" si="2504"/>
        <v>0</v>
      </c>
      <c r="BK602" s="160">
        <f t="shared" si="2504"/>
        <v>0</v>
      </c>
      <c r="BL602" s="160">
        <f t="shared" si="2504"/>
        <v>0</v>
      </c>
      <c r="BM602" s="160">
        <f t="shared" si="2504"/>
        <v>0</v>
      </c>
      <c r="BN602" s="160">
        <f t="shared" si="2504"/>
        <v>0</v>
      </c>
      <c r="BO602" s="160">
        <f t="shared" si="2504"/>
        <v>0</v>
      </c>
      <c r="BP602" s="160">
        <f t="shared" si="2504"/>
        <v>0</v>
      </c>
      <c r="BQ602" s="160">
        <f t="shared" si="2504"/>
        <v>0</v>
      </c>
      <c r="BR602" s="160">
        <f t="shared" si="2504"/>
        <v>0</v>
      </c>
      <c r="BS602" s="65"/>
      <c r="BT602" s="160">
        <f t="shared" si="2505"/>
        <v>0</v>
      </c>
      <c r="BU602" s="160">
        <f t="shared" si="2506"/>
        <v>0</v>
      </c>
      <c r="BV602" s="65"/>
      <c r="BW602" s="69"/>
      <c r="BX602" s="65"/>
      <c r="BY602" s="137">
        <f t="shared" si="2507"/>
        <v>1</v>
      </c>
      <c r="BZ602" s="137">
        <f>IF(BY602&gt;0,BY602+LARGE($BZ$213:BZ601,1),0)</f>
        <v>326</v>
      </c>
      <c r="CA602" s="137" t="str">
        <f t="shared" si="2508"/>
        <v>ENG/ARQ JR.</v>
      </c>
      <c r="CB602" s="161">
        <f t="shared" si="2509"/>
        <v>0</v>
      </c>
      <c r="CC602" s="161">
        <f t="shared" si="2510"/>
        <v>0</v>
      </c>
      <c r="CD602" s="161">
        <f t="shared" si="2511"/>
        <v>0</v>
      </c>
      <c r="CE602" s="161">
        <f t="shared" si="2512"/>
        <v>0</v>
      </c>
      <c r="CF602" s="161">
        <f t="shared" si="2513"/>
        <v>0</v>
      </c>
      <c r="CG602" s="161">
        <f t="shared" si="2514"/>
        <v>0</v>
      </c>
      <c r="CH602" s="161">
        <f t="shared" si="2515"/>
        <v>0</v>
      </c>
      <c r="CI602" s="161">
        <f t="shared" si="2516"/>
        <v>0</v>
      </c>
      <c r="CJ602" s="161">
        <f t="shared" si="2517"/>
        <v>0</v>
      </c>
      <c r="CK602" s="161">
        <f t="shared" si="2518"/>
        <v>0</v>
      </c>
      <c r="CL602" s="161">
        <f t="shared" si="2519"/>
        <v>0</v>
      </c>
      <c r="CM602" s="161">
        <f t="shared" si="2520"/>
        <v>0</v>
      </c>
      <c r="CN602" s="161">
        <f t="shared" si="2521"/>
        <v>0</v>
      </c>
      <c r="CO602" s="161">
        <f t="shared" si="2522"/>
        <v>0</v>
      </c>
      <c r="CP602" s="161">
        <f t="shared" si="2523"/>
        <v>0</v>
      </c>
      <c r="CQ602" s="161">
        <f t="shared" si="2524"/>
        <v>0</v>
      </c>
      <c r="CR602" s="161">
        <f t="shared" si="2525"/>
        <v>0</v>
      </c>
      <c r="CS602" s="161">
        <f t="shared" si="2526"/>
        <v>0</v>
      </c>
      <c r="CT602" s="161">
        <f t="shared" si="2527"/>
        <v>0</v>
      </c>
      <c r="CU602" s="161">
        <f t="shared" si="2528"/>
        <v>0</v>
      </c>
      <c r="CV602" s="161">
        <f t="shared" si="2529"/>
        <v>0</v>
      </c>
      <c r="CW602" s="161">
        <f t="shared" si="2530"/>
        <v>0</v>
      </c>
      <c r="CX602" s="161">
        <f t="shared" si="2531"/>
        <v>0</v>
      </c>
      <c r="CY602" s="161">
        <f t="shared" si="2532"/>
        <v>0</v>
      </c>
      <c r="CZ602" s="161">
        <f t="shared" si="2533"/>
        <v>0</v>
      </c>
      <c r="DA602" s="161">
        <f t="shared" si="2534"/>
        <v>0</v>
      </c>
      <c r="DB602" s="161">
        <f t="shared" si="2535"/>
        <v>0</v>
      </c>
      <c r="DC602" s="161">
        <f t="shared" si="2536"/>
        <v>0</v>
      </c>
      <c r="DD602" s="161">
        <f t="shared" si="2537"/>
        <v>0</v>
      </c>
      <c r="DE602" s="161">
        <f t="shared" si="2538"/>
        <v>0</v>
      </c>
      <c r="DF602" s="161">
        <f t="shared" si="2539"/>
        <v>0</v>
      </c>
      <c r="DG602" s="161">
        <f t="shared" si="2540"/>
        <v>0</v>
      </c>
      <c r="DH602" s="161">
        <f t="shared" si="2541"/>
        <v>0</v>
      </c>
      <c r="DI602" s="161">
        <f t="shared" si="2542"/>
        <v>0</v>
      </c>
      <c r="DJ602" s="161">
        <f t="shared" si="2543"/>
        <v>0</v>
      </c>
      <c r="DK602" s="161">
        <f t="shared" si="2544"/>
        <v>0</v>
      </c>
      <c r="DL602" s="161">
        <f t="shared" si="2545"/>
        <v>0</v>
      </c>
      <c r="DM602" s="161">
        <f t="shared" si="2546"/>
        <v>0</v>
      </c>
      <c r="DN602" s="161">
        <f t="shared" si="2547"/>
        <v>0</v>
      </c>
      <c r="DO602" s="161">
        <f t="shared" si="2548"/>
        <v>0</v>
      </c>
      <c r="DP602" s="161">
        <f t="shared" si="2549"/>
        <v>0</v>
      </c>
      <c r="DQ602" s="161">
        <f t="shared" si="2550"/>
        <v>0</v>
      </c>
      <c r="DR602" s="161">
        <f t="shared" si="2551"/>
        <v>0</v>
      </c>
      <c r="DS602" s="161">
        <f t="shared" si="2552"/>
        <v>0</v>
      </c>
      <c r="DT602" s="161">
        <f t="shared" si="2553"/>
        <v>0</v>
      </c>
      <c r="DU602" s="161">
        <f t="shared" si="2554"/>
        <v>0</v>
      </c>
      <c r="DV602" s="161">
        <f t="shared" si="2555"/>
        <v>0</v>
      </c>
      <c r="DW602" s="161">
        <f t="shared" si="2556"/>
        <v>0</v>
      </c>
      <c r="DX602" s="161">
        <f t="shared" si="2557"/>
        <v>0</v>
      </c>
      <c r="DY602" s="161">
        <f t="shared" si="2558"/>
        <v>0</v>
      </c>
      <c r="DZ602" s="161">
        <f t="shared" si="2559"/>
        <v>0</v>
      </c>
      <c r="EA602" s="161">
        <f t="shared" si="2560"/>
        <v>0</v>
      </c>
      <c r="EB602" s="161">
        <f t="shared" si="2561"/>
        <v>0</v>
      </c>
      <c r="EC602" s="161">
        <f t="shared" si="2562"/>
        <v>0</v>
      </c>
      <c r="ED602" s="161">
        <f t="shared" si="2563"/>
        <v>0</v>
      </c>
      <c r="EE602" s="161">
        <f t="shared" si="2564"/>
        <v>0</v>
      </c>
      <c r="EF602" s="161">
        <f t="shared" si="2565"/>
        <v>0</v>
      </c>
      <c r="EG602" s="161">
        <f t="shared" si="2566"/>
        <v>0</v>
      </c>
      <c r="EH602" s="161">
        <f t="shared" si="2567"/>
        <v>0</v>
      </c>
      <c r="EI602" s="161">
        <f t="shared" si="2568"/>
        <v>0</v>
      </c>
      <c r="EJ602" s="65"/>
      <c r="EK602" s="161">
        <f t="shared" si="2569"/>
        <v>0</v>
      </c>
      <c r="EL602" s="161">
        <f t="shared" si="2570"/>
        <v>0</v>
      </c>
      <c r="EM602" s="161">
        <f t="shared" si="2571"/>
        <v>0</v>
      </c>
    </row>
    <row r="603" spans="1:143" ht="12" hidden="1" customHeight="1" outlineLevel="2">
      <c r="A603" s="77">
        <v>7</v>
      </c>
      <c r="B603" s="137" t="str">
        <f t="shared" si="2499"/>
        <v>AN SR. ENG/ARQ - Equipe_01</v>
      </c>
      <c r="C603" s="65"/>
      <c r="D603" s="621"/>
      <c r="E603" s="65"/>
      <c r="F603" s="603"/>
      <c r="G603" s="77" t="str">
        <f>IF(INDEX(Tarefas!$BT$30:$FK$30,MATCH(A603,Tarefas!$BT$28:$FK$28,0))=0,"",INDEX(Tarefas!$BT$30:$FK$30,MATCH(A603,Tarefas!$BT$28:$FK$28,0)))</f>
        <v>AN SR. ENG/ARQ</v>
      </c>
      <c r="H603" s="107" cm="1">
        <f t="array" ref="H603">IFERROR((SUMPRODUCT((Tarefas!$N$32:$N$54='Cronog. e Histog.'!$F$597)*(Tarefas!$BQ$30:$FK$30='Cronog. e Histog.'!$G603)*(Tarefas!$BQ$32:$FK$54)))/SUMIF(Tarefas!$N$32:$N$54,'Cronog. e Histog.'!$F$597,Tarefas!$K$32:$K$54),0)</f>
        <v>0</v>
      </c>
      <c r="I603" s="79">
        <f t="shared" si="2500"/>
        <v>0</v>
      </c>
      <c r="J603" s="65"/>
      <c r="K603" s="160">
        <f t="shared" si="2501"/>
        <v>0</v>
      </c>
      <c r="L603" s="160">
        <f t="shared" si="2501"/>
        <v>0</v>
      </c>
      <c r="M603" s="160">
        <f t="shared" si="2501"/>
        <v>0</v>
      </c>
      <c r="N603" s="160">
        <f t="shared" si="2501"/>
        <v>0</v>
      </c>
      <c r="O603" s="160">
        <f t="shared" si="2501"/>
        <v>0</v>
      </c>
      <c r="P603" s="160">
        <f t="shared" si="2501"/>
        <v>0</v>
      </c>
      <c r="Q603" s="160">
        <f t="shared" si="2501"/>
        <v>0</v>
      </c>
      <c r="R603" s="160">
        <f t="shared" si="2501"/>
        <v>0</v>
      </c>
      <c r="S603" s="160">
        <f t="shared" si="2501"/>
        <v>0</v>
      </c>
      <c r="T603" s="160">
        <f t="shared" si="2501"/>
        <v>0</v>
      </c>
      <c r="U603" s="160">
        <f t="shared" si="2501"/>
        <v>0</v>
      </c>
      <c r="V603" s="160">
        <f t="shared" si="2501"/>
        <v>0</v>
      </c>
      <c r="W603" s="160">
        <f t="shared" si="2501"/>
        <v>0</v>
      </c>
      <c r="X603" s="160">
        <f t="shared" si="2501"/>
        <v>0</v>
      </c>
      <c r="Y603" s="160">
        <f t="shared" si="2501"/>
        <v>0</v>
      </c>
      <c r="Z603" s="160">
        <f t="shared" si="2501"/>
        <v>0</v>
      </c>
      <c r="AA603" s="160">
        <f t="shared" si="2502"/>
        <v>0</v>
      </c>
      <c r="AB603" s="160">
        <f t="shared" si="2502"/>
        <v>0</v>
      </c>
      <c r="AC603" s="160">
        <f t="shared" si="2502"/>
        <v>0</v>
      </c>
      <c r="AD603" s="160">
        <f t="shared" si="2502"/>
        <v>0</v>
      </c>
      <c r="AE603" s="160">
        <f t="shared" si="2502"/>
        <v>0</v>
      </c>
      <c r="AF603" s="160">
        <f t="shared" si="2502"/>
        <v>0</v>
      </c>
      <c r="AG603" s="160">
        <f t="shared" si="2502"/>
        <v>0</v>
      </c>
      <c r="AH603" s="160">
        <f t="shared" si="2502"/>
        <v>0</v>
      </c>
      <c r="AI603" s="160">
        <f t="shared" si="2502"/>
        <v>0</v>
      </c>
      <c r="AJ603" s="160">
        <f t="shared" si="2502"/>
        <v>0</v>
      </c>
      <c r="AK603" s="160">
        <f t="shared" si="2502"/>
        <v>0</v>
      </c>
      <c r="AL603" s="160">
        <f t="shared" si="2502"/>
        <v>0</v>
      </c>
      <c r="AM603" s="160">
        <f t="shared" si="2502"/>
        <v>0</v>
      </c>
      <c r="AN603" s="160">
        <f t="shared" si="2502"/>
        <v>0</v>
      </c>
      <c r="AO603" s="160">
        <f t="shared" si="2502"/>
        <v>0</v>
      </c>
      <c r="AP603" s="160">
        <f t="shared" si="2502"/>
        <v>0</v>
      </c>
      <c r="AQ603" s="160">
        <f t="shared" si="2503"/>
        <v>0</v>
      </c>
      <c r="AR603" s="160">
        <f t="shared" si="2503"/>
        <v>0</v>
      </c>
      <c r="AS603" s="160">
        <f t="shared" si="2503"/>
        <v>0</v>
      </c>
      <c r="AT603" s="160">
        <f t="shared" si="2503"/>
        <v>0</v>
      </c>
      <c r="AU603" s="160">
        <f t="shared" si="2503"/>
        <v>0</v>
      </c>
      <c r="AV603" s="160">
        <f t="shared" si="2503"/>
        <v>0</v>
      </c>
      <c r="AW603" s="160">
        <f t="shared" si="2503"/>
        <v>0</v>
      </c>
      <c r="AX603" s="160">
        <f t="shared" si="2503"/>
        <v>0</v>
      </c>
      <c r="AY603" s="160">
        <f t="shared" si="2503"/>
        <v>0</v>
      </c>
      <c r="AZ603" s="160">
        <f t="shared" si="2503"/>
        <v>0</v>
      </c>
      <c r="BA603" s="160">
        <f t="shared" si="2503"/>
        <v>0</v>
      </c>
      <c r="BB603" s="160">
        <f t="shared" si="2503"/>
        <v>0</v>
      </c>
      <c r="BC603" s="160">
        <f t="shared" si="2503"/>
        <v>0</v>
      </c>
      <c r="BD603" s="160">
        <f t="shared" si="2503"/>
        <v>0</v>
      </c>
      <c r="BE603" s="160">
        <f t="shared" si="2503"/>
        <v>0</v>
      </c>
      <c r="BF603" s="160">
        <f t="shared" si="2503"/>
        <v>0</v>
      </c>
      <c r="BG603" s="160">
        <f t="shared" si="2504"/>
        <v>0</v>
      </c>
      <c r="BH603" s="160">
        <f t="shared" si="2504"/>
        <v>0</v>
      </c>
      <c r="BI603" s="160">
        <f t="shared" si="2504"/>
        <v>0</v>
      </c>
      <c r="BJ603" s="160">
        <f t="shared" si="2504"/>
        <v>0</v>
      </c>
      <c r="BK603" s="160">
        <f t="shared" si="2504"/>
        <v>0</v>
      </c>
      <c r="BL603" s="160">
        <f t="shared" si="2504"/>
        <v>0</v>
      </c>
      <c r="BM603" s="160">
        <f t="shared" si="2504"/>
        <v>0</v>
      </c>
      <c r="BN603" s="160">
        <f t="shared" si="2504"/>
        <v>0</v>
      </c>
      <c r="BO603" s="160">
        <f t="shared" si="2504"/>
        <v>0</v>
      </c>
      <c r="BP603" s="160">
        <f t="shared" si="2504"/>
        <v>0</v>
      </c>
      <c r="BQ603" s="160">
        <f t="shared" si="2504"/>
        <v>0</v>
      </c>
      <c r="BR603" s="160">
        <f t="shared" si="2504"/>
        <v>0</v>
      </c>
      <c r="BS603" s="65"/>
      <c r="BT603" s="160">
        <f t="shared" si="2505"/>
        <v>0</v>
      </c>
      <c r="BU603" s="160">
        <f t="shared" si="2506"/>
        <v>0</v>
      </c>
      <c r="BV603" s="65"/>
      <c r="BW603" s="69"/>
      <c r="BX603" s="65"/>
      <c r="BY603" s="137">
        <f t="shared" si="2507"/>
        <v>1</v>
      </c>
      <c r="BZ603" s="137">
        <f>IF(BY603&gt;0,BY603+LARGE($BZ$213:BZ602,1),0)</f>
        <v>327</v>
      </c>
      <c r="CA603" s="137" t="str">
        <f t="shared" si="2508"/>
        <v>AN SR. ENG/ARQ</v>
      </c>
      <c r="CB603" s="161">
        <f t="shared" si="2509"/>
        <v>0</v>
      </c>
      <c r="CC603" s="161">
        <f t="shared" si="2510"/>
        <v>0</v>
      </c>
      <c r="CD603" s="161">
        <f t="shared" si="2511"/>
        <v>0</v>
      </c>
      <c r="CE603" s="161">
        <f t="shared" si="2512"/>
        <v>0</v>
      </c>
      <c r="CF603" s="161">
        <f t="shared" si="2513"/>
        <v>0</v>
      </c>
      <c r="CG603" s="161">
        <f t="shared" si="2514"/>
        <v>0</v>
      </c>
      <c r="CH603" s="161">
        <f t="shared" si="2515"/>
        <v>0</v>
      </c>
      <c r="CI603" s="161">
        <f t="shared" si="2516"/>
        <v>0</v>
      </c>
      <c r="CJ603" s="161">
        <f t="shared" si="2517"/>
        <v>0</v>
      </c>
      <c r="CK603" s="161">
        <f t="shared" si="2518"/>
        <v>0</v>
      </c>
      <c r="CL603" s="161">
        <f t="shared" si="2519"/>
        <v>0</v>
      </c>
      <c r="CM603" s="161">
        <f t="shared" si="2520"/>
        <v>0</v>
      </c>
      <c r="CN603" s="161">
        <f t="shared" si="2521"/>
        <v>0</v>
      </c>
      <c r="CO603" s="161">
        <f t="shared" si="2522"/>
        <v>0</v>
      </c>
      <c r="CP603" s="161">
        <f t="shared" si="2523"/>
        <v>0</v>
      </c>
      <c r="CQ603" s="161">
        <f t="shared" si="2524"/>
        <v>0</v>
      </c>
      <c r="CR603" s="161">
        <f t="shared" si="2525"/>
        <v>0</v>
      </c>
      <c r="CS603" s="161">
        <f t="shared" si="2526"/>
        <v>0</v>
      </c>
      <c r="CT603" s="161">
        <f t="shared" si="2527"/>
        <v>0</v>
      </c>
      <c r="CU603" s="161">
        <f t="shared" si="2528"/>
        <v>0</v>
      </c>
      <c r="CV603" s="161">
        <f t="shared" si="2529"/>
        <v>0</v>
      </c>
      <c r="CW603" s="161">
        <f t="shared" si="2530"/>
        <v>0</v>
      </c>
      <c r="CX603" s="161">
        <f t="shared" si="2531"/>
        <v>0</v>
      </c>
      <c r="CY603" s="161">
        <f t="shared" si="2532"/>
        <v>0</v>
      </c>
      <c r="CZ603" s="161">
        <f t="shared" si="2533"/>
        <v>0</v>
      </c>
      <c r="DA603" s="161">
        <f t="shared" si="2534"/>
        <v>0</v>
      </c>
      <c r="DB603" s="161">
        <f t="shared" si="2535"/>
        <v>0</v>
      </c>
      <c r="DC603" s="161">
        <f t="shared" si="2536"/>
        <v>0</v>
      </c>
      <c r="DD603" s="161">
        <f t="shared" si="2537"/>
        <v>0</v>
      </c>
      <c r="DE603" s="161">
        <f t="shared" si="2538"/>
        <v>0</v>
      </c>
      <c r="DF603" s="161">
        <f t="shared" si="2539"/>
        <v>0</v>
      </c>
      <c r="DG603" s="161">
        <f t="shared" si="2540"/>
        <v>0</v>
      </c>
      <c r="DH603" s="161">
        <f t="shared" si="2541"/>
        <v>0</v>
      </c>
      <c r="DI603" s="161">
        <f t="shared" si="2542"/>
        <v>0</v>
      </c>
      <c r="DJ603" s="161">
        <f t="shared" si="2543"/>
        <v>0</v>
      </c>
      <c r="DK603" s="161">
        <f t="shared" si="2544"/>
        <v>0</v>
      </c>
      <c r="DL603" s="161">
        <f t="shared" si="2545"/>
        <v>0</v>
      </c>
      <c r="DM603" s="161">
        <f t="shared" si="2546"/>
        <v>0</v>
      </c>
      <c r="DN603" s="161">
        <f t="shared" si="2547"/>
        <v>0</v>
      </c>
      <c r="DO603" s="161">
        <f t="shared" si="2548"/>
        <v>0</v>
      </c>
      <c r="DP603" s="161">
        <f t="shared" si="2549"/>
        <v>0</v>
      </c>
      <c r="DQ603" s="161">
        <f t="shared" si="2550"/>
        <v>0</v>
      </c>
      <c r="DR603" s="161">
        <f t="shared" si="2551"/>
        <v>0</v>
      </c>
      <c r="DS603" s="161">
        <f t="shared" si="2552"/>
        <v>0</v>
      </c>
      <c r="DT603" s="161">
        <f t="shared" si="2553"/>
        <v>0</v>
      </c>
      <c r="DU603" s="161">
        <f t="shared" si="2554"/>
        <v>0</v>
      </c>
      <c r="DV603" s="161">
        <f t="shared" si="2555"/>
        <v>0</v>
      </c>
      <c r="DW603" s="161">
        <f t="shared" si="2556"/>
        <v>0</v>
      </c>
      <c r="DX603" s="161">
        <f t="shared" si="2557"/>
        <v>0</v>
      </c>
      <c r="DY603" s="161">
        <f t="shared" si="2558"/>
        <v>0</v>
      </c>
      <c r="DZ603" s="161">
        <f t="shared" si="2559"/>
        <v>0</v>
      </c>
      <c r="EA603" s="161">
        <f t="shared" si="2560"/>
        <v>0</v>
      </c>
      <c r="EB603" s="161">
        <f t="shared" si="2561"/>
        <v>0</v>
      </c>
      <c r="EC603" s="161">
        <f t="shared" si="2562"/>
        <v>0</v>
      </c>
      <c r="ED603" s="161">
        <f t="shared" si="2563"/>
        <v>0</v>
      </c>
      <c r="EE603" s="161">
        <f t="shared" si="2564"/>
        <v>0</v>
      </c>
      <c r="EF603" s="161">
        <f t="shared" si="2565"/>
        <v>0</v>
      </c>
      <c r="EG603" s="161">
        <f t="shared" si="2566"/>
        <v>0</v>
      </c>
      <c r="EH603" s="161">
        <f t="shared" si="2567"/>
        <v>0</v>
      </c>
      <c r="EI603" s="161">
        <f t="shared" si="2568"/>
        <v>0</v>
      </c>
      <c r="EJ603" s="65"/>
      <c r="EK603" s="161">
        <f t="shared" si="2569"/>
        <v>0</v>
      </c>
      <c r="EL603" s="161">
        <f t="shared" si="2570"/>
        <v>0</v>
      </c>
      <c r="EM603" s="161">
        <f t="shared" si="2571"/>
        <v>0</v>
      </c>
    </row>
    <row r="604" spans="1:143" ht="12" hidden="1" customHeight="1" outlineLevel="2">
      <c r="A604" s="77">
        <v>8</v>
      </c>
      <c r="B604" s="137" t="str">
        <f t="shared" si="2499"/>
        <v>AN PL. ENG/ARQ - Equipe_01</v>
      </c>
      <c r="C604" s="65"/>
      <c r="D604" s="621"/>
      <c r="E604" s="65"/>
      <c r="F604" s="603"/>
      <c r="G604" s="77" t="str">
        <f>IF(INDEX(Tarefas!$BT$30:$FK$30,MATCH(A604,Tarefas!$BT$28:$FK$28,0))=0,"",INDEX(Tarefas!$BT$30:$FK$30,MATCH(A604,Tarefas!$BT$28:$FK$28,0)))</f>
        <v>AN PL. ENG/ARQ</v>
      </c>
      <c r="H604" s="107" cm="1">
        <f t="array" ref="H604">IFERROR((SUMPRODUCT((Tarefas!$N$32:$N$54='Cronog. e Histog.'!$F$597)*(Tarefas!$BQ$30:$FK$30='Cronog. e Histog.'!$G604)*(Tarefas!$BQ$32:$FK$54)))/SUMIF(Tarefas!$N$32:$N$54,'Cronog. e Histog.'!$F$597,Tarefas!$K$32:$K$54),0)</f>
        <v>0</v>
      </c>
      <c r="I604" s="79">
        <f t="shared" si="2500"/>
        <v>0</v>
      </c>
      <c r="J604" s="65"/>
      <c r="K604" s="160">
        <f t="shared" si="2501"/>
        <v>0</v>
      </c>
      <c r="L604" s="160">
        <f t="shared" si="2501"/>
        <v>0</v>
      </c>
      <c r="M604" s="160">
        <f t="shared" si="2501"/>
        <v>0</v>
      </c>
      <c r="N604" s="160">
        <f t="shared" si="2501"/>
        <v>0</v>
      </c>
      <c r="O604" s="160">
        <f t="shared" si="2501"/>
        <v>0</v>
      </c>
      <c r="P604" s="160">
        <f t="shared" si="2501"/>
        <v>0</v>
      </c>
      <c r="Q604" s="160">
        <f t="shared" si="2501"/>
        <v>0</v>
      </c>
      <c r="R604" s="160">
        <f t="shared" si="2501"/>
        <v>0</v>
      </c>
      <c r="S604" s="160">
        <f t="shared" si="2501"/>
        <v>0</v>
      </c>
      <c r="T604" s="160">
        <f t="shared" si="2501"/>
        <v>0</v>
      </c>
      <c r="U604" s="160">
        <f t="shared" si="2501"/>
        <v>0</v>
      </c>
      <c r="V604" s="160">
        <f t="shared" si="2501"/>
        <v>0</v>
      </c>
      <c r="W604" s="160">
        <f t="shared" si="2501"/>
        <v>0</v>
      </c>
      <c r="X604" s="160">
        <f t="shared" si="2501"/>
        <v>0</v>
      </c>
      <c r="Y604" s="160">
        <f t="shared" si="2501"/>
        <v>0</v>
      </c>
      <c r="Z604" s="160">
        <f t="shared" si="2501"/>
        <v>0</v>
      </c>
      <c r="AA604" s="160">
        <f t="shared" si="2502"/>
        <v>0</v>
      </c>
      <c r="AB604" s="160">
        <f t="shared" si="2502"/>
        <v>0</v>
      </c>
      <c r="AC604" s="160">
        <f t="shared" si="2502"/>
        <v>0</v>
      </c>
      <c r="AD604" s="160">
        <f t="shared" si="2502"/>
        <v>0</v>
      </c>
      <c r="AE604" s="160">
        <f t="shared" si="2502"/>
        <v>0</v>
      </c>
      <c r="AF604" s="160">
        <f t="shared" si="2502"/>
        <v>0</v>
      </c>
      <c r="AG604" s="160">
        <f t="shared" si="2502"/>
        <v>0</v>
      </c>
      <c r="AH604" s="160">
        <f t="shared" si="2502"/>
        <v>0</v>
      </c>
      <c r="AI604" s="160">
        <f t="shared" si="2502"/>
        <v>0</v>
      </c>
      <c r="AJ604" s="160">
        <f t="shared" si="2502"/>
        <v>0</v>
      </c>
      <c r="AK604" s="160">
        <f t="shared" si="2502"/>
        <v>0</v>
      </c>
      <c r="AL604" s="160">
        <f t="shared" si="2502"/>
        <v>0</v>
      </c>
      <c r="AM604" s="160">
        <f t="shared" si="2502"/>
        <v>0</v>
      </c>
      <c r="AN604" s="160">
        <f t="shared" si="2502"/>
        <v>0</v>
      </c>
      <c r="AO604" s="160">
        <f t="shared" si="2502"/>
        <v>0</v>
      </c>
      <c r="AP604" s="160">
        <f t="shared" si="2502"/>
        <v>0</v>
      </c>
      <c r="AQ604" s="160">
        <f t="shared" si="2503"/>
        <v>0</v>
      </c>
      <c r="AR604" s="160">
        <f t="shared" si="2503"/>
        <v>0</v>
      </c>
      <c r="AS604" s="160">
        <f t="shared" si="2503"/>
        <v>0</v>
      </c>
      <c r="AT604" s="160">
        <f t="shared" si="2503"/>
        <v>0</v>
      </c>
      <c r="AU604" s="160">
        <f t="shared" si="2503"/>
        <v>0</v>
      </c>
      <c r="AV604" s="160">
        <f t="shared" si="2503"/>
        <v>0</v>
      </c>
      <c r="AW604" s="160">
        <f t="shared" si="2503"/>
        <v>0</v>
      </c>
      <c r="AX604" s="160">
        <f t="shared" si="2503"/>
        <v>0</v>
      </c>
      <c r="AY604" s="160">
        <f t="shared" si="2503"/>
        <v>0</v>
      </c>
      <c r="AZ604" s="160">
        <f t="shared" si="2503"/>
        <v>0</v>
      </c>
      <c r="BA604" s="160">
        <f t="shared" si="2503"/>
        <v>0</v>
      </c>
      <c r="BB604" s="160">
        <f t="shared" si="2503"/>
        <v>0</v>
      </c>
      <c r="BC604" s="160">
        <f t="shared" si="2503"/>
        <v>0</v>
      </c>
      <c r="BD604" s="160">
        <f t="shared" si="2503"/>
        <v>0</v>
      </c>
      <c r="BE604" s="160">
        <f t="shared" si="2503"/>
        <v>0</v>
      </c>
      <c r="BF604" s="160">
        <f t="shared" si="2503"/>
        <v>0</v>
      </c>
      <c r="BG604" s="160">
        <f t="shared" si="2504"/>
        <v>0</v>
      </c>
      <c r="BH604" s="160">
        <f t="shared" si="2504"/>
        <v>0</v>
      </c>
      <c r="BI604" s="160">
        <f t="shared" si="2504"/>
        <v>0</v>
      </c>
      <c r="BJ604" s="160">
        <f t="shared" si="2504"/>
        <v>0</v>
      </c>
      <c r="BK604" s="160">
        <f t="shared" si="2504"/>
        <v>0</v>
      </c>
      <c r="BL604" s="160">
        <f t="shared" si="2504"/>
        <v>0</v>
      </c>
      <c r="BM604" s="160">
        <f t="shared" si="2504"/>
        <v>0</v>
      </c>
      <c r="BN604" s="160">
        <f t="shared" si="2504"/>
        <v>0</v>
      </c>
      <c r="BO604" s="160">
        <f t="shared" si="2504"/>
        <v>0</v>
      </c>
      <c r="BP604" s="160">
        <f t="shared" si="2504"/>
        <v>0</v>
      </c>
      <c r="BQ604" s="160">
        <f t="shared" si="2504"/>
        <v>0</v>
      </c>
      <c r="BR604" s="160">
        <f t="shared" si="2504"/>
        <v>0</v>
      </c>
      <c r="BS604" s="65"/>
      <c r="BT604" s="160">
        <f t="shared" si="2505"/>
        <v>0</v>
      </c>
      <c r="BU604" s="160">
        <f t="shared" si="2506"/>
        <v>0</v>
      </c>
      <c r="BV604" s="65"/>
      <c r="BW604" s="69"/>
      <c r="BX604" s="65"/>
      <c r="BY604" s="137">
        <f t="shared" si="2507"/>
        <v>1</v>
      </c>
      <c r="BZ604" s="137">
        <f>IF(BY604&gt;0,BY604+LARGE($BZ$213:BZ603,1),0)</f>
        <v>328</v>
      </c>
      <c r="CA604" s="137" t="str">
        <f t="shared" si="2508"/>
        <v>AN PL. ENG/ARQ</v>
      </c>
      <c r="CB604" s="161">
        <f t="shared" si="2509"/>
        <v>0</v>
      </c>
      <c r="CC604" s="161">
        <f t="shared" si="2510"/>
        <v>0</v>
      </c>
      <c r="CD604" s="161">
        <f t="shared" si="2511"/>
        <v>0</v>
      </c>
      <c r="CE604" s="161">
        <f t="shared" si="2512"/>
        <v>0</v>
      </c>
      <c r="CF604" s="161">
        <f t="shared" si="2513"/>
        <v>0</v>
      </c>
      <c r="CG604" s="161">
        <f t="shared" si="2514"/>
        <v>0</v>
      </c>
      <c r="CH604" s="161">
        <f t="shared" si="2515"/>
        <v>0</v>
      </c>
      <c r="CI604" s="161">
        <f t="shared" si="2516"/>
        <v>0</v>
      </c>
      <c r="CJ604" s="161">
        <f t="shared" si="2517"/>
        <v>0</v>
      </c>
      <c r="CK604" s="161">
        <f t="shared" si="2518"/>
        <v>0</v>
      </c>
      <c r="CL604" s="161">
        <f t="shared" si="2519"/>
        <v>0</v>
      </c>
      <c r="CM604" s="161">
        <f t="shared" si="2520"/>
        <v>0</v>
      </c>
      <c r="CN604" s="161">
        <f t="shared" si="2521"/>
        <v>0</v>
      </c>
      <c r="CO604" s="161">
        <f t="shared" si="2522"/>
        <v>0</v>
      </c>
      <c r="CP604" s="161">
        <f t="shared" si="2523"/>
        <v>0</v>
      </c>
      <c r="CQ604" s="161">
        <f t="shared" si="2524"/>
        <v>0</v>
      </c>
      <c r="CR604" s="161">
        <f t="shared" si="2525"/>
        <v>0</v>
      </c>
      <c r="CS604" s="161">
        <f t="shared" si="2526"/>
        <v>0</v>
      </c>
      <c r="CT604" s="161">
        <f t="shared" si="2527"/>
        <v>0</v>
      </c>
      <c r="CU604" s="161">
        <f t="shared" si="2528"/>
        <v>0</v>
      </c>
      <c r="CV604" s="161">
        <f t="shared" si="2529"/>
        <v>0</v>
      </c>
      <c r="CW604" s="161">
        <f t="shared" si="2530"/>
        <v>0</v>
      </c>
      <c r="CX604" s="161">
        <f t="shared" si="2531"/>
        <v>0</v>
      </c>
      <c r="CY604" s="161">
        <f t="shared" si="2532"/>
        <v>0</v>
      </c>
      <c r="CZ604" s="161">
        <f t="shared" si="2533"/>
        <v>0</v>
      </c>
      <c r="DA604" s="161">
        <f t="shared" si="2534"/>
        <v>0</v>
      </c>
      <c r="DB604" s="161">
        <f t="shared" si="2535"/>
        <v>0</v>
      </c>
      <c r="DC604" s="161">
        <f t="shared" si="2536"/>
        <v>0</v>
      </c>
      <c r="DD604" s="161">
        <f t="shared" si="2537"/>
        <v>0</v>
      </c>
      <c r="DE604" s="161">
        <f t="shared" si="2538"/>
        <v>0</v>
      </c>
      <c r="DF604" s="161">
        <f t="shared" si="2539"/>
        <v>0</v>
      </c>
      <c r="DG604" s="161">
        <f t="shared" si="2540"/>
        <v>0</v>
      </c>
      <c r="DH604" s="161">
        <f t="shared" si="2541"/>
        <v>0</v>
      </c>
      <c r="DI604" s="161">
        <f t="shared" si="2542"/>
        <v>0</v>
      </c>
      <c r="DJ604" s="161">
        <f t="shared" si="2543"/>
        <v>0</v>
      </c>
      <c r="DK604" s="161">
        <f t="shared" si="2544"/>
        <v>0</v>
      </c>
      <c r="DL604" s="161">
        <f t="shared" si="2545"/>
        <v>0</v>
      </c>
      <c r="DM604" s="161">
        <f t="shared" si="2546"/>
        <v>0</v>
      </c>
      <c r="DN604" s="161">
        <f t="shared" si="2547"/>
        <v>0</v>
      </c>
      <c r="DO604" s="161">
        <f t="shared" si="2548"/>
        <v>0</v>
      </c>
      <c r="DP604" s="161">
        <f t="shared" si="2549"/>
        <v>0</v>
      </c>
      <c r="DQ604" s="161">
        <f t="shared" si="2550"/>
        <v>0</v>
      </c>
      <c r="DR604" s="161">
        <f t="shared" si="2551"/>
        <v>0</v>
      </c>
      <c r="DS604" s="161">
        <f t="shared" si="2552"/>
        <v>0</v>
      </c>
      <c r="DT604" s="161">
        <f t="shared" si="2553"/>
        <v>0</v>
      </c>
      <c r="DU604" s="161">
        <f t="shared" si="2554"/>
        <v>0</v>
      </c>
      <c r="DV604" s="161">
        <f t="shared" si="2555"/>
        <v>0</v>
      </c>
      <c r="DW604" s="161">
        <f t="shared" si="2556"/>
        <v>0</v>
      </c>
      <c r="DX604" s="161">
        <f t="shared" si="2557"/>
        <v>0</v>
      </c>
      <c r="DY604" s="161">
        <f t="shared" si="2558"/>
        <v>0</v>
      </c>
      <c r="DZ604" s="161">
        <f t="shared" si="2559"/>
        <v>0</v>
      </c>
      <c r="EA604" s="161">
        <f t="shared" si="2560"/>
        <v>0</v>
      </c>
      <c r="EB604" s="161">
        <f t="shared" si="2561"/>
        <v>0</v>
      </c>
      <c r="EC604" s="161">
        <f t="shared" si="2562"/>
        <v>0</v>
      </c>
      <c r="ED604" s="161">
        <f t="shared" si="2563"/>
        <v>0</v>
      </c>
      <c r="EE604" s="161">
        <f t="shared" si="2564"/>
        <v>0</v>
      </c>
      <c r="EF604" s="161">
        <f t="shared" si="2565"/>
        <v>0</v>
      </c>
      <c r="EG604" s="161">
        <f t="shared" si="2566"/>
        <v>0</v>
      </c>
      <c r="EH604" s="161">
        <f t="shared" si="2567"/>
        <v>0</v>
      </c>
      <c r="EI604" s="161">
        <f t="shared" si="2568"/>
        <v>0</v>
      </c>
      <c r="EJ604" s="65"/>
      <c r="EK604" s="161">
        <f t="shared" si="2569"/>
        <v>0</v>
      </c>
      <c r="EL604" s="161">
        <f t="shared" si="2570"/>
        <v>0</v>
      </c>
      <c r="EM604" s="161">
        <f t="shared" si="2571"/>
        <v>0</v>
      </c>
    </row>
    <row r="605" spans="1:143" ht="12" hidden="1" customHeight="1" outlineLevel="2">
      <c r="A605" s="77">
        <v>9</v>
      </c>
      <c r="B605" s="137" t="str">
        <f t="shared" si="2499"/>
        <v>AN JR. ENG/ARQ - Equipe_01</v>
      </c>
      <c r="C605" s="65"/>
      <c r="D605" s="621"/>
      <c r="E605" s="65"/>
      <c r="F605" s="603"/>
      <c r="G605" s="77" t="str">
        <f>IF(INDEX(Tarefas!$BT$30:$FK$30,MATCH(A605,Tarefas!$BT$28:$FK$28,0))=0,"",INDEX(Tarefas!$BT$30:$FK$30,MATCH(A605,Tarefas!$BT$28:$FK$28,0)))</f>
        <v>AN JR. ENG/ARQ</v>
      </c>
      <c r="H605" s="107" cm="1">
        <f t="array" ref="H605">IFERROR((SUMPRODUCT((Tarefas!$N$32:$N$54='Cronog. e Histog.'!$F$597)*(Tarefas!$BQ$30:$FK$30='Cronog. e Histog.'!$G605)*(Tarefas!$BQ$32:$FK$54)))/SUMIF(Tarefas!$N$32:$N$54,'Cronog. e Histog.'!$F$597,Tarefas!$K$32:$K$54),0)</f>
        <v>0</v>
      </c>
      <c r="I605" s="79">
        <f t="shared" si="2500"/>
        <v>0</v>
      </c>
      <c r="J605" s="65"/>
      <c r="K605" s="160">
        <f t="shared" si="2501"/>
        <v>0</v>
      </c>
      <c r="L605" s="160">
        <f t="shared" si="2501"/>
        <v>0</v>
      </c>
      <c r="M605" s="160">
        <f t="shared" si="2501"/>
        <v>0</v>
      </c>
      <c r="N605" s="160">
        <f t="shared" si="2501"/>
        <v>0</v>
      </c>
      <c r="O605" s="160">
        <f t="shared" si="2501"/>
        <v>0</v>
      </c>
      <c r="P605" s="160">
        <f t="shared" si="2501"/>
        <v>0</v>
      </c>
      <c r="Q605" s="160">
        <f t="shared" si="2501"/>
        <v>0</v>
      </c>
      <c r="R605" s="160">
        <f t="shared" si="2501"/>
        <v>0</v>
      </c>
      <c r="S605" s="160">
        <f t="shared" si="2501"/>
        <v>0</v>
      </c>
      <c r="T605" s="160">
        <f t="shared" si="2501"/>
        <v>0</v>
      </c>
      <c r="U605" s="160">
        <f t="shared" si="2501"/>
        <v>0</v>
      </c>
      <c r="V605" s="160">
        <f t="shared" si="2501"/>
        <v>0</v>
      </c>
      <c r="W605" s="160">
        <f t="shared" si="2501"/>
        <v>0</v>
      </c>
      <c r="X605" s="160">
        <f t="shared" si="2501"/>
        <v>0</v>
      </c>
      <c r="Y605" s="160">
        <f t="shared" si="2501"/>
        <v>0</v>
      </c>
      <c r="Z605" s="160">
        <f t="shared" si="2501"/>
        <v>0</v>
      </c>
      <c r="AA605" s="160">
        <f t="shared" si="2502"/>
        <v>0</v>
      </c>
      <c r="AB605" s="160">
        <f t="shared" si="2502"/>
        <v>0</v>
      </c>
      <c r="AC605" s="160">
        <f t="shared" si="2502"/>
        <v>0</v>
      </c>
      <c r="AD605" s="160">
        <f t="shared" si="2502"/>
        <v>0</v>
      </c>
      <c r="AE605" s="160">
        <f t="shared" si="2502"/>
        <v>0</v>
      </c>
      <c r="AF605" s="160">
        <f t="shared" si="2502"/>
        <v>0</v>
      </c>
      <c r="AG605" s="160">
        <f t="shared" si="2502"/>
        <v>0</v>
      </c>
      <c r="AH605" s="160">
        <f t="shared" si="2502"/>
        <v>0</v>
      </c>
      <c r="AI605" s="160">
        <f t="shared" si="2502"/>
        <v>0</v>
      </c>
      <c r="AJ605" s="160">
        <f t="shared" si="2502"/>
        <v>0</v>
      </c>
      <c r="AK605" s="160">
        <f t="shared" si="2502"/>
        <v>0</v>
      </c>
      <c r="AL605" s="160">
        <f t="shared" si="2502"/>
        <v>0</v>
      </c>
      <c r="AM605" s="160">
        <f t="shared" si="2502"/>
        <v>0</v>
      </c>
      <c r="AN605" s="160">
        <f t="shared" si="2502"/>
        <v>0</v>
      </c>
      <c r="AO605" s="160">
        <f t="shared" si="2502"/>
        <v>0</v>
      </c>
      <c r="AP605" s="160">
        <f t="shared" si="2502"/>
        <v>0</v>
      </c>
      <c r="AQ605" s="160">
        <f t="shared" si="2503"/>
        <v>0</v>
      </c>
      <c r="AR605" s="160">
        <f t="shared" si="2503"/>
        <v>0</v>
      </c>
      <c r="AS605" s="160">
        <f t="shared" si="2503"/>
        <v>0</v>
      </c>
      <c r="AT605" s="160">
        <f t="shared" si="2503"/>
        <v>0</v>
      </c>
      <c r="AU605" s="160">
        <f t="shared" si="2503"/>
        <v>0</v>
      </c>
      <c r="AV605" s="160">
        <f t="shared" si="2503"/>
        <v>0</v>
      </c>
      <c r="AW605" s="160">
        <f t="shared" si="2503"/>
        <v>0</v>
      </c>
      <c r="AX605" s="160">
        <f t="shared" si="2503"/>
        <v>0</v>
      </c>
      <c r="AY605" s="160">
        <f t="shared" si="2503"/>
        <v>0</v>
      </c>
      <c r="AZ605" s="160">
        <f t="shared" si="2503"/>
        <v>0</v>
      </c>
      <c r="BA605" s="160">
        <f t="shared" si="2503"/>
        <v>0</v>
      </c>
      <c r="BB605" s="160">
        <f t="shared" si="2503"/>
        <v>0</v>
      </c>
      <c r="BC605" s="160">
        <f t="shared" si="2503"/>
        <v>0</v>
      </c>
      <c r="BD605" s="160">
        <f t="shared" si="2503"/>
        <v>0</v>
      </c>
      <c r="BE605" s="160">
        <f t="shared" si="2503"/>
        <v>0</v>
      </c>
      <c r="BF605" s="160">
        <f t="shared" si="2503"/>
        <v>0</v>
      </c>
      <c r="BG605" s="160">
        <f t="shared" si="2504"/>
        <v>0</v>
      </c>
      <c r="BH605" s="160">
        <f t="shared" si="2504"/>
        <v>0</v>
      </c>
      <c r="BI605" s="160">
        <f t="shared" si="2504"/>
        <v>0</v>
      </c>
      <c r="BJ605" s="160">
        <f t="shared" si="2504"/>
        <v>0</v>
      </c>
      <c r="BK605" s="160">
        <f t="shared" si="2504"/>
        <v>0</v>
      </c>
      <c r="BL605" s="160">
        <f t="shared" si="2504"/>
        <v>0</v>
      </c>
      <c r="BM605" s="160">
        <f t="shared" si="2504"/>
        <v>0</v>
      </c>
      <c r="BN605" s="160">
        <f t="shared" si="2504"/>
        <v>0</v>
      </c>
      <c r="BO605" s="160">
        <f t="shared" si="2504"/>
        <v>0</v>
      </c>
      <c r="BP605" s="160">
        <f t="shared" si="2504"/>
        <v>0</v>
      </c>
      <c r="BQ605" s="160">
        <f t="shared" si="2504"/>
        <v>0</v>
      </c>
      <c r="BR605" s="160">
        <f t="shared" si="2504"/>
        <v>0</v>
      </c>
      <c r="BS605" s="65"/>
      <c r="BT605" s="160">
        <f t="shared" si="2505"/>
        <v>0</v>
      </c>
      <c r="BU605" s="160">
        <f t="shared" si="2506"/>
        <v>0</v>
      </c>
      <c r="BV605" s="65"/>
      <c r="BW605" s="69"/>
      <c r="BX605" s="65"/>
      <c r="BY605" s="137">
        <f t="shared" si="2507"/>
        <v>1</v>
      </c>
      <c r="BZ605" s="137">
        <f>IF(BY605&gt;0,BY605+LARGE($BZ$213:BZ604,1),0)</f>
        <v>329</v>
      </c>
      <c r="CA605" s="137" t="str">
        <f t="shared" si="2508"/>
        <v>AN JR. ENG/ARQ</v>
      </c>
      <c r="CB605" s="161">
        <f t="shared" si="2509"/>
        <v>0</v>
      </c>
      <c r="CC605" s="161">
        <f t="shared" si="2510"/>
        <v>0</v>
      </c>
      <c r="CD605" s="161">
        <f t="shared" si="2511"/>
        <v>0</v>
      </c>
      <c r="CE605" s="161">
        <f t="shared" si="2512"/>
        <v>0</v>
      </c>
      <c r="CF605" s="161">
        <f t="shared" si="2513"/>
        <v>0</v>
      </c>
      <c r="CG605" s="161">
        <f t="shared" si="2514"/>
        <v>0</v>
      </c>
      <c r="CH605" s="161">
        <f t="shared" si="2515"/>
        <v>0</v>
      </c>
      <c r="CI605" s="161">
        <f t="shared" si="2516"/>
        <v>0</v>
      </c>
      <c r="CJ605" s="161">
        <f t="shared" si="2517"/>
        <v>0</v>
      </c>
      <c r="CK605" s="161">
        <f t="shared" si="2518"/>
        <v>0</v>
      </c>
      <c r="CL605" s="161">
        <f t="shared" si="2519"/>
        <v>0</v>
      </c>
      <c r="CM605" s="161">
        <f t="shared" si="2520"/>
        <v>0</v>
      </c>
      <c r="CN605" s="161">
        <f t="shared" si="2521"/>
        <v>0</v>
      </c>
      <c r="CO605" s="161">
        <f t="shared" si="2522"/>
        <v>0</v>
      </c>
      <c r="CP605" s="161">
        <f t="shared" si="2523"/>
        <v>0</v>
      </c>
      <c r="CQ605" s="161">
        <f t="shared" si="2524"/>
        <v>0</v>
      </c>
      <c r="CR605" s="161">
        <f t="shared" si="2525"/>
        <v>0</v>
      </c>
      <c r="CS605" s="161">
        <f t="shared" si="2526"/>
        <v>0</v>
      </c>
      <c r="CT605" s="161">
        <f t="shared" si="2527"/>
        <v>0</v>
      </c>
      <c r="CU605" s="161">
        <f t="shared" si="2528"/>
        <v>0</v>
      </c>
      <c r="CV605" s="161">
        <f t="shared" si="2529"/>
        <v>0</v>
      </c>
      <c r="CW605" s="161">
        <f t="shared" si="2530"/>
        <v>0</v>
      </c>
      <c r="CX605" s="161">
        <f t="shared" si="2531"/>
        <v>0</v>
      </c>
      <c r="CY605" s="161">
        <f t="shared" si="2532"/>
        <v>0</v>
      </c>
      <c r="CZ605" s="161">
        <f t="shared" si="2533"/>
        <v>0</v>
      </c>
      <c r="DA605" s="161">
        <f t="shared" si="2534"/>
        <v>0</v>
      </c>
      <c r="DB605" s="161">
        <f t="shared" si="2535"/>
        <v>0</v>
      </c>
      <c r="DC605" s="161">
        <f t="shared" si="2536"/>
        <v>0</v>
      </c>
      <c r="DD605" s="161">
        <f t="shared" si="2537"/>
        <v>0</v>
      </c>
      <c r="DE605" s="161">
        <f t="shared" si="2538"/>
        <v>0</v>
      </c>
      <c r="DF605" s="161">
        <f t="shared" si="2539"/>
        <v>0</v>
      </c>
      <c r="DG605" s="161">
        <f t="shared" si="2540"/>
        <v>0</v>
      </c>
      <c r="DH605" s="161">
        <f t="shared" si="2541"/>
        <v>0</v>
      </c>
      <c r="DI605" s="161">
        <f t="shared" si="2542"/>
        <v>0</v>
      </c>
      <c r="DJ605" s="161">
        <f t="shared" si="2543"/>
        <v>0</v>
      </c>
      <c r="DK605" s="161">
        <f t="shared" si="2544"/>
        <v>0</v>
      </c>
      <c r="DL605" s="161">
        <f t="shared" si="2545"/>
        <v>0</v>
      </c>
      <c r="DM605" s="161">
        <f t="shared" si="2546"/>
        <v>0</v>
      </c>
      <c r="DN605" s="161">
        <f t="shared" si="2547"/>
        <v>0</v>
      </c>
      <c r="DO605" s="161">
        <f t="shared" si="2548"/>
        <v>0</v>
      </c>
      <c r="DP605" s="161">
        <f t="shared" si="2549"/>
        <v>0</v>
      </c>
      <c r="DQ605" s="161">
        <f t="shared" si="2550"/>
        <v>0</v>
      </c>
      <c r="DR605" s="161">
        <f t="shared" si="2551"/>
        <v>0</v>
      </c>
      <c r="DS605" s="161">
        <f t="shared" si="2552"/>
        <v>0</v>
      </c>
      <c r="DT605" s="161">
        <f t="shared" si="2553"/>
        <v>0</v>
      </c>
      <c r="DU605" s="161">
        <f t="shared" si="2554"/>
        <v>0</v>
      </c>
      <c r="DV605" s="161">
        <f t="shared" si="2555"/>
        <v>0</v>
      </c>
      <c r="DW605" s="161">
        <f t="shared" si="2556"/>
        <v>0</v>
      </c>
      <c r="DX605" s="161">
        <f t="shared" si="2557"/>
        <v>0</v>
      </c>
      <c r="DY605" s="161">
        <f t="shared" si="2558"/>
        <v>0</v>
      </c>
      <c r="DZ605" s="161">
        <f t="shared" si="2559"/>
        <v>0</v>
      </c>
      <c r="EA605" s="161">
        <f t="shared" si="2560"/>
        <v>0</v>
      </c>
      <c r="EB605" s="161">
        <f t="shared" si="2561"/>
        <v>0</v>
      </c>
      <c r="EC605" s="161">
        <f t="shared" si="2562"/>
        <v>0</v>
      </c>
      <c r="ED605" s="161">
        <f t="shared" si="2563"/>
        <v>0</v>
      </c>
      <c r="EE605" s="161">
        <f t="shared" si="2564"/>
        <v>0</v>
      </c>
      <c r="EF605" s="161">
        <f t="shared" si="2565"/>
        <v>0</v>
      </c>
      <c r="EG605" s="161">
        <f t="shared" si="2566"/>
        <v>0</v>
      </c>
      <c r="EH605" s="161">
        <f t="shared" si="2567"/>
        <v>0</v>
      </c>
      <c r="EI605" s="161">
        <f t="shared" si="2568"/>
        <v>0</v>
      </c>
      <c r="EJ605" s="65"/>
      <c r="EK605" s="161">
        <f t="shared" si="2569"/>
        <v>0</v>
      </c>
      <c r="EL605" s="161">
        <f t="shared" si="2570"/>
        <v>0</v>
      </c>
      <c r="EM605" s="161">
        <f t="shared" si="2571"/>
        <v>0</v>
      </c>
    </row>
    <row r="606" spans="1:143" ht="12" hidden="1" customHeight="1" outlineLevel="2">
      <c r="A606" s="77">
        <v>10</v>
      </c>
      <c r="B606" s="137" t="str">
        <f t="shared" si="2499"/>
        <v>AN SR. ADM/CRP - Equipe_01</v>
      </c>
      <c r="C606" s="65"/>
      <c r="D606" s="621"/>
      <c r="E606" s="65"/>
      <c r="F606" s="603"/>
      <c r="G606" s="77" t="str">
        <f>IF(INDEX(Tarefas!$BT$30:$FK$30,MATCH(A606,Tarefas!$BT$28:$FK$28,0))=0,"",INDEX(Tarefas!$BT$30:$FK$30,MATCH(A606,Tarefas!$BT$28:$FK$28,0)))</f>
        <v>AN SR. ADM/CRP</v>
      </c>
      <c r="H606" s="107" cm="1">
        <f t="array" ref="H606">IFERROR((SUMPRODUCT((Tarefas!$N$32:$N$54='Cronog. e Histog.'!$F$597)*(Tarefas!$BQ$30:$FK$30='Cronog. e Histog.'!$G606)*(Tarefas!$BQ$32:$FK$54)))/SUMIF(Tarefas!$N$32:$N$54,'Cronog. e Histog.'!$F$597,Tarefas!$K$32:$K$54),0)</f>
        <v>0</v>
      </c>
      <c r="I606" s="79">
        <f t="shared" si="2500"/>
        <v>0</v>
      </c>
      <c r="J606" s="65"/>
      <c r="K606" s="160">
        <f t="shared" si="2501"/>
        <v>0</v>
      </c>
      <c r="L606" s="160">
        <f t="shared" si="2501"/>
        <v>0</v>
      </c>
      <c r="M606" s="160">
        <f t="shared" si="2501"/>
        <v>0</v>
      </c>
      <c r="N606" s="160">
        <f t="shared" si="2501"/>
        <v>0</v>
      </c>
      <c r="O606" s="160">
        <f t="shared" si="2501"/>
        <v>0</v>
      </c>
      <c r="P606" s="160">
        <f t="shared" si="2501"/>
        <v>0</v>
      </c>
      <c r="Q606" s="160">
        <f t="shared" si="2501"/>
        <v>0</v>
      </c>
      <c r="R606" s="160">
        <f t="shared" si="2501"/>
        <v>0</v>
      </c>
      <c r="S606" s="160">
        <f t="shared" si="2501"/>
        <v>0</v>
      </c>
      <c r="T606" s="160">
        <f t="shared" si="2501"/>
        <v>0</v>
      </c>
      <c r="U606" s="160">
        <f t="shared" si="2501"/>
        <v>0</v>
      </c>
      <c r="V606" s="160">
        <f t="shared" si="2501"/>
        <v>0</v>
      </c>
      <c r="W606" s="160">
        <f t="shared" si="2501"/>
        <v>0</v>
      </c>
      <c r="X606" s="160">
        <f t="shared" si="2501"/>
        <v>0</v>
      </c>
      <c r="Y606" s="160">
        <f t="shared" si="2501"/>
        <v>0</v>
      </c>
      <c r="Z606" s="160">
        <f t="shared" si="2501"/>
        <v>0</v>
      </c>
      <c r="AA606" s="160">
        <f t="shared" si="2502"/>
        <v>0</v>
      </c>
      <c r="AB606" s="160">
        <f t="shared" si="2502"/>
        <v>0</v>
      </c>
      <c r="AC606" s="160">
        <f t="shared" si="2502"/>
        <v>0</v>
      </c>
      <c r="AD606" s="160">
        <f t="shared" si="2502"/>
        <v>0</v>
      </c>
      <c r="AE606" s="160">
        <f t="shared" si="2502"/>
        <v>0</v>
      </c>
      <c r="AF606" s="160">
        <f t="shared" si="2502"/>
        <v>0</v>
      </c>
      <c r="AG606" s="160">
        <f t="shared" si="2502"/>
        <v>0</v>
      </c>
      <c r="AH606" s="160">
        <f t="shared" si="2502"/>
        <v>0</v>
      </c>
      <c r="AI606" s="160">
        <f t="shared" si="2502"/>
        <v>0</v>
      </c>
      <c r="AJ606" s="160">
        <f t="shared" si="2502"/>
        <v>0</v>
      </c>
      <c r="AK606" s="160">
        <f t="shared" si="2502"/>
        <v>0</v>
      </c>
      <c r="AL606" s="160">
        <f t="shared" si="2502"/>
        <v>0</v>
      </c>
      <c r="AM606" s="160">
        <f t="shared" si="2502"/>
        <v>0</v>
      </c>
      <c r="AN606" s="160">
        <f t="shared" si="2502"/>
        <v>0</v>
      </c>
      <c r="AO606" s="160">
        <f t="shared" si="2502"/>
        <v>0</v>
      </c>
      <c r="AP606" s="160">
        <f t="shared" si="2502"/>
        <v>0</v>
      </c>
      <c r="AQ606" s="160">
        <f t="shared" si="2503"/>
        <v>0</v>
      </c>
      <c r="AR606" s="160">
        <f t="shared" si="2503"/>
        <v>0</v>
      </c>
      <c r="AS606" s="160">
        <f t="shared" si="2503"/>
        <v>0</v>
      </c>
      <c r="AT606" s="160">
        <f t="shared" si="2503"/>
        <v>0</v>
      </c>
      <c r="AU606" s="160">
        <f t="shared" si="2503"/>
        <v>0</v>
      </c>
      <c r="AV606" s="160">
        <f t="shared" si="2503"/>
        <v>0</v>
      </c>
      <c r="AW606" s="160">
        <f t="shared" si="2503"/>
        <v>0</v>
      </c>
      <c r="AX606" s="160">
        <f t="shared" si="2503"/>
        <v>0</v>
      </c>
      <c r="AY606" s="160">
        <f t="shared" si="2503"/>
        <v>0</v>
      </c>
      <c r="AZ606" s="160">
        <f t="shared" si="2503"/>
        <v>0</v>
      </c>
      <c r="BA606" s="160">
        <f t="shared" si="2503"/>
        <v>0</v>
      </c>
      <c r="BB606" s="160">
        <f t="shared" si="2503"/>
        <v>0</v>
      </c>
      <c r="BC606" s="160">
        <f t="shared" si="2503"/>
        <v>0</v>
      </c>
      <c r="BD606" s="160">
        <f t="shared" si="2503"/>
        <v>0</v>
      </c>
      <c r="BE606" s="160">
        <f t="shared" si="2503"/>
        <v>0</v>
      </c>
      <c r="BF606" s="160">
        <f t="shared" si="2503"/>
        <v>0</v>
      </c>
      <c r="BG606" s="160">
        <f t="shared" si="2504"/>
        <v>0</v>
      </c>
      <c r="BH606" s="160">
        <f t="shared" si="2504"/>
        <v>0</v>
      </c>
      <c r="BI606" s="160">
        <f t="shared" si="2504"/>
        <v>0</v>
      </c>
      <c r="BJ606" s="160">
        <f t="shared" si="2504"/>
        <v>0</v>
      </c>
      <c r="BK606" s="160">
        <f t="shared" si="2504"/>
        <v>0</v>
      </c>
      <c r="BL606" s="160">
        <f t="shared" si="2504"/>
        <v>0</v>
      </c>
      <c r="BM606" s="160">
        <f t="shared" si="2504"/>
        <v>0</v>
      </c>
      <c r="BN606" s="160">
        <f t="shared" si="2504"/>
        <v>0</v>
      </c>
      <c r="BO606" s="160">
        <f t="shared" si="2504"/>
        <v>0</v>
      </c>
      <c r="BP606" s="160">
        <f t="shared" si="2504"/>
        <v>0</v>
      </c>
      <c r="BQ606" s="160">
        <f t="shared" si="2504"/>
        <v>0</v>
      </c>
      <c r="BR606" s="160">
        <f t="shared" si="2504"/>
        <v>0</v>
      </c>
      <c r="BS606" s="65"/>
      <c r="BT606" s="160">
        <f t="shared" si="2505"/>
        <v>0</v>
      </c>
      <c r="BU606" s="160">
        <f t="shared" si="2506"/>
        <v>0</v>
      </c>
      <c r="BV606" s="65"/>
      <c r="BW606" s="69"/>
      <c r="BX606" s="65"/>
      <c r="BY606" s="137">
        <f t="shared" si="2507"/>
        <v>1</v>
      </c>
      <c r="BZ606" s="137">
        <f>IF(BY606&gt;0,BY606+LARGE($BZ$213:BZ605,1),0)</f>
        <v>330</v>
      </c>
      <c r="CA606" s="137" t="str">
        <f t="shared" si="2508"/>
        <v>AN SR. ADM/CRP</v>
      </c>
      <c r="CB606" s="161">
        <f t="shared" si="2509"/>
        <v>0</v>
      </c>
      <c r="CC606" s="161">
        <f t="shared" si="2510"/>
        <v>0</v>
      </c>
      <c r="CD606" s="161">
        <f t="shared" si="2511"/>
        <v>0</v>
      </c>
      <c r="CE606" s="161">
        <f t="shared" si="2512"/>
        <v>0</v>
      </c>
      <c r="CF606" s="161">
        <f t="shared" si="2513"/>
        <v>0</v>
      </c>
      <c r="CG606" s="161">
        <f t="shared" si="2514"/>
        <v>0</v>
      </c>
      <c r="CH606" s="161">
        <f t="shared" si="2515"/>
        <v>0</v>
      </c>
      <c r="CI606" s="161">
        <f t="shared" si="2516"/>
        <v>0</v>
      </c>
      <c r="CJ606" s="161">
        <f t="shared" si="2517"/>
        <v>0</v>
      </c>
      <c r="CK606" s="161">
        <f t="shared" si="2518"/>
        <v>0</v>
      </c>
      <c r="CL606" s="161">
        <f t="shared" si="2519"/>
        <v>0</v>
      </c>
      <c r="CM606" s="161">
        <f t="shared" si="2520"/>
        <v>0</v>
      </c>
      <c r="CN606" s="161">
        <f t="shared" si="2521"/>
        <v>0</v>
      </c>
      <c r="CO606" s="161">
        <f t="shared" si="2522"/>
        <v>0</v>
      </c>
      <c r="CP606" s="161">
        <f t="shared" si="2523"/>
        <v>0</v>
      </c>
      <c r="CQ606" s="161">
        <f t="shared" si="2524"/>
        <v>0</v>
      </c>
      <c r="CR606" s="161">
        <f t="shared" si="2525"/>
        <v>0</v>
      </c>
      <c r="CS606" s="161">
        <f t="shared" si="2526"/>
        <v>0</v>
      </c>
      <c r="CT606" s="161">
        <f t="shared" si="2527"/>
        <v>0</v>
      </c>
      <c r="CU606" s="161">
        <f t="shared" si="2528"/>
        <v>0</v>
      </c>
      <c r="CV606" s="161">
        <f t="shared" si="2529"/>
        <v>0</v>
      </c>
      <c r="CW606" s="161">
        <f t="shared" si="2530"/>
        <v>0</v>
      </c>
      <c r="CX606" s="161">
        <f t="shared" si="2531"/>
        <v>0</v>
      </c>
      <c r="CY606" s="161">
        <f t="shared" si="2532"/>
        <v>0</v>
      </c>
      <c r="CZ606" s="161">
        <f t="shared" si="2533"/>
        <v>0</v>
      </c>
      <c r="DA606" s="161">
        <f t="shared" si="2534"/>
        <v>0</v>
      </c>
      <c r="DB606" s="161">
        <f t="shared" si="2535"/>
        <v>0</v>
      </c>
      <c r="DC606" s="161">
        <f t="shared" si="2536"/>
        <v>0</v>
      </c>
      <c r="DD606" s="161">
        <f t="shared" si="2537"/>
        <v>0</v>
      </c>
      <c r="DE606" s="161">
        <f t="shared" si="2538"/>
        <v>0</v>
      </c>
      <c r="DF606" s="161">
        <f t="shared" si="2539"/>
        <v>0</v>
      </c>
      <c r="DG606" s="161">
        <f t="shared" si="2540"/>
        <v>0</v>
      </c>
      <c r="DH606" s="161">
        <f t="shared" si="2541"/>
        <v>0</v>
      </c>
      <c r="DI606" s="161">
        <f t="shared" si="2542"/>
        <v>0</v>
      </c>
      <c r="DJ606" s="161">
        <f t="shared" si="2543"/>
        <v>0</v>
      </c>
      <c r="DK606" s="161">
        <f t="shared" si="2544"/>
        <v>0</v>
      </c>
      <c r="DL606" s="161">
        <f t="shared" si="2545"/>
        <v>0</v>
      </c>
      <c r="DM606" s="161">
        <f t="shared" si="2546"/>
        <v>0</v>
      </c>
      <c r="DN606" s="161">
        <f t="shared" si="2547"/>
        <v>0</v>
      </c>
      <c r="DO606" s="161">
        <f t="shared" si="2548"/>
        <v>0</v>
      </c>
      <c r="DP606" s="161">
        <f t="shared" si="2549"/>
        <v>0</v>
      </c>
      <c r="DQ606" s="161">
        <f t="shared" si="2550"/>
        <v>0</v>
      </c>
      <c r="DR606" s="161">
        <f t="shared" si="2551"/>
        <v>0</v>
      </c>
      <c r="DS606" s="161">
        <f t="shared" si="2552"/>
        <v>0</v>
      </c>
      <c r="DT606" s="161">
        <f t="shared" si="2553"/>
        <v>0</v>
      </c>
      <c r="DU606" s="161">
        <f t="shared" si="2554"/>
        <v>0</v>
      </c>
      <c r="DV606" s="161">
        <f t="shared" si="2555"/>
        <v>0</v>
      </c>
      <c r="DW606" s="161">
        <f t="shared" si="2556"/>
        <v>0</v>
      </c>
      <c r="DX606" s="161">
        <f t="shared" si="2557"/>
        <v>0</v>
      </c>
      <c r="DY606" s="161">
        <f t="shared" si="2558"/>
        <v>0</v>
      </c>
      <c r="DZ606" s="161">
        <f t="shared" si="2559"/>
        <v>0</v>
      </c>
      <c r="EA606" s="161">
        <f t="shared" si="2560"/>
        <v>0</v>
      </c>
      <c r="EB606" s="161">
        <f t="shared" si="2561"/>
        <v>0</v>
      </c>
      <c r="EC606" s="161">
        <f t="shared" si="2562"/>
        <v>0</v>
      </c>
      <c r="ED606" s="161">
        <f t="shared" si="2563"/>
        <v>0</v>
      </c>
      <c r="EE606" s="161">
        <f t="shared" si="2564"/>
        <v>0</v>
      </c>
      <c r="EF606" s="161">
        <f t="shared" si="2565"/>
        <v>0</v>
      </c>
      <c r="EG606" s="161">
        <f t="shared" si="2566"/>
        <v>0</v>
      </c>
      <c r="EH606" s="161">
        <f t="shared" si="2567"/>
        <v>0</v>
      </c>
      <c r="EI606" s="161">
        <f t="shared" si="2568"/>
        <v>0</v>
      </c>
      <c r="EJ606" s="65"/>
      <c r="EK606" s="161">
        <f t="shared" si="2569"/>
        <v>0</v>
      </c>
      <c r="EL606" s="161">
        <f t="shared" si="2570"/>
        <v>0</v>
      </c>
      <c r="EM606" s="161">
        <f t="shared" si="2571"/>
        <v>0</v>
      </c>
    </row>
    <row r="607" spans="1:143" ht="12" hidden="1" customHeight="1" outlineLevel="2">
      <c r="A607" s="77">
        <v>11</v>
      </c>
      <c r="B607" s="137" t="str">
        <f t="shared" si="2499"/>
        <v>AN PL. ADM/CRP - Equipe_01</v>
      </c>
      <c r="C607" s="65"/>
      <c r="D607" s="621"/>
      <c r="E607" s="65"/>
      <c r="F607" s="603"/>
      <c r="G607" s="77" t="str">
        <f>IF(INDEX(Tarefas!$BT$30:$FK$30,MATCH(A607,Tarefas!$BT$28:$FK$28,0))=0,"",INDEX(Tarefas!$BT$30:$FK$30,MATCH(A607,Tarefas!$BT$28:$FK$28,0)))</f>
        <v>AN PL. ADM/CRP</v>
      </c>
      <c r="H607" s="107" cm="1">
        <f t="array" ref="H607">IFERROR((SUMPRODUCT((Tarefas!$N$32:$N$54='Cronog. e Histog.'!$F$597)*(Tarefas!$BQ$30:$FK$30='Cronog. e Histog.'!$G607)*(Tarefas!$BQ$32:$FK$54)))/SUMIF(Tarefas!$N$32:$N$54,'Cronog. e Histog.'!$F$597,Tarefas!$K$32:$K$54),0)</f>
        <v>0</v>
      </c>
      <c r="I607" s="79">
        <f t="shared" si="2500"/>
        <v>0</v>
      </c>
      <c r="J607" s="65"/>
      <c r="K607" s="160">
        <f t="shared" si="2501"/>
        <v>0</v>
      </c>
      <c r="L607" s="160">
        <f t="shared" si="2501"/>
        <v>0</v>
      </c>
      <c r="M607" s="160">
        <f t="shared" si="2501"/>
        <v>0</v>
      </c>
      <c r="N607" s="160">
        <f t="shared" si="2501"/>
        <v>0</v>
      </c>
      <c r="O607" s="160">
        <f t="shared" si="2501"/>
        <v>0</v>
      </c>
      <c r="P607" s="160">
        <f t="shared" si="2501"/>
        <v>0</v>
      </c>
      <c r="Q607" s="160">
        <f t="shared" si="2501"/>
        <v>0</v>
      </c>
      <c r="R607" s="160">
        <f t="shared" si="2501"/>
        <v>0</v>
      </c>
      <c r="S607" s="160">
        <f t="shared" si="2501"/>
        <v>0</v>
      </c>
      <c r="T607" s="160">
        <f t="shared" si="2501"/>
        <v>0</v>
      </c>
      <c r="U607" s="160">
        <f t="shared" si="2501"/>
        <v>0</v>
      </c>
      <c r="V607" s="160">
        <f t="shared" si="2501"/>
        <v>0</v>
      </c>
      <c r="W607" s="160">
        <f t="shared" si="2501"/>
        <v>0</v>
      </c>
      <c r="X607" s="160">
        <f t="shared" si="2501"/>
        <v>0</v>
      </c>
      <c r="Y607" s="160">
        <f t="shared" si="2501"/>
        <v>0</v>
      </c>
      <c r="Z607" s="160">
        <f t="shared" si="2501"/>
        <v>0</v>
      </c>
      <c r="AA607" s="160">
        <f t="shared" si="2502"/>
        <v>0</v>
      </c>
      <c r="AB607" s="160">
        <f t="shared" si="2502"/>
        <v>0</v>
      </c>
      <c r="AC607" s="160">
        <f t="shared" si="2502"/>
        <v>0</v>
      </c>
      <c r="AD607" s="160">
        <f t="shared" si="2502"/>
        <v>0</v>
      </c>
      <c r="AE607" s="160">
        <f t="shared" si="2502"/>
        <v>0</v>
      </c>
      <c r="AF607" s="160">
        <f t="shared" si="2502"/>
        <v>0</v>
      </c>
      <c r="AG607" s="160">
        <f t="shared" si="2502"/>
        <v>0</v>
      </c>
      <c r="AH607" s="160">
        <f t="shared" si="2502"/>
        <v>0</v>
      </c>
      <c r="AI607" s="160">
        <f t="shared" si="2502"/>
        <v>0</v>
      </c>
      <c r="AJ607" s="160">
        <f t="shared" si="2502"/>
        <v>0</v>
      </c>
      <c r="AK607" s="160">
        <f t="shared" si="2502"/>
        <v>0</v>
      </c>
      <c r="AL607" s="160">
        <f t="shared" si="2502"/>
        <v>0</v>
      </c>
      <c r="AM607" s="160">
        <f t="shared" si="2502"/>
        <v>0</v>
      </c>
      <c r="AN607" s="160">
        <f t="shared" si="2502"/>
        <v>0</v>
      </c>
      <c r="AO607" s="160">
        <f t="shared" si="2502"/>
        <v>0</v>
      </c>
      <c r="AP607" s="160">
        <f t="shared" si="2502"/>
        <v>0</v>
      </c>
      <c r="AQ607" s="160">
        <f t="shared" si="2503"/>
        <v>0</v>
      </c>
      <c r="AR607" s="160">
        <f t="shared" si="2503"/>
        <v>0</v>
      </c>
      <c r="AS607" s="160">
        <f t="shared" si="2503"/>
        <v>0</v>
      </c>
      <c r="AT607" s="160">
        <f t="shared" si="2503"/>
        <v>0</v>
      </c>
      <c r="AU607" s="160">
        <f t="shared" si="2503"/>
        <v>0</v>
      </c>
      <c r="AV607" s="160">
        <f t="shared" si="2503"/>
        <v>0</v>
      </c>
      <c r="AW607" s="160">
        <f t="shared" si="2503"/>
        <v>0</v>
      </c>
      <c r="AX607" s="160">
        <f t="shared" si="2503"/>
        <v>0</v>
      </c>
      <c r="AY607" s="160">
        <f t="shared" si="2503"/>
        <v>0</v>
      </c>
      <c r="AZ607" s="160">
        <f t="shared" si="2503"/>
        <v>0</v>
      </c>
      <c r="BA607" s="160">
        <f t="shared" si="2503"/>
        <v>0</v>
      </c>
      <c r="BB607" s="160">
        <f t="shared" si="2503"/>
        <v>0</v>
      </c>
      <c r="BC607" s="160">
        <f t="shared" si="2503"/>
        <v>0</v>
      </c>
      <c r="BD607" s="160">
        <f t="shared" si="2503"/>
        <v>0</v>
      </c>
      <c r="BE607" s="160">
        <f t="shared" si="2503"/>
        <v>0</v>
      </c>
      <c r="BF607" s="160">
        <f t="shared" si="2503"/>
        <v>0</v>
      </c>
      <c r="BG607" s="160">
        <f t="shared" si="2504"/>
        <v>0</v>
      </c>
      <c r="BH607" s="160">
        <f t="shared" si="2504"/>
        <v>0</v>
      </c>
      <c r="BI607" s="160">
        <f t="shared" si="2504"/>
        <v>0</v>
      </c>
      <c r="BJ607" s="160">
        <f t="shared" si="2504"/>
        <v>0</v>
      </c>
      <c r="BK607" s="160">
        <f t="shared" si="2504"/>
        <v>0</v>
      </c>
      <c r="BL607" s="160">
        <f t="shared" si="2504"/>
        <v>0</v>
      </c>
      <c r="BM607" s="160">
        <f t="shared" si="2504"/>
        <v>0</v>
      </c>
      <c r="BN607" s="160">
        <f t="shared" si="2504"/>
        <v>0</v>
      </c>
      <c r="BO607" s="160">
        <f t="shared" si="2504"/>
        <v>0</v>
      </c>
      <c r="BP607" s="160">
        <f t="shared" si="2504"/>
        <v>0</v>
      </c>
      <c r="BQ607" s="160">
        <f t="shared" si="2504"/>
        <v>0</v>
      </c>
      <c r="BR607" s="160">
        <f t="shared" si="2504"/>
        <v>0</v>
      </c>
      <c r="BS607" s="65"/>
      <c r="BT607" s="160">
        <f t="shared" si="2505"/>
        <v>0</v>
      </c>
      <c r="BU607" s="160">
        <f t="shared" si="2506"/>
        <v>0</v>
      </c>
      <c r="BV607" s="65"/>
      <c r="BW607" s="69"/>
      <c r="BX607" s="65"/>
      <c r="BY607" s="137">
        <f t="shared" si="2507"/>
        <v>1</v>
      </c>
      <c r="BZ607" s="137">
        <f>IF(BY607&gt;0,BY607+LARGE($BZ$213:BZ606,1),0)</f>
        <v>331</v>
      </c>
      <c r="CA607" s="137" t="str">
        <f t="shared" si="2508"/>
        <v>AN PL. ADM/CRP</v>
      </c>
      <c r="CB607" s="161">
        <f t="shared" si="2509"/>
        <v>0</v>
      </c>
      <c r="CC607" s="161">
        <f t="shared" si="2510"/>
        <v>0</v>
      </c>
      <c r="CD607" s="161">
        <f t="shared" si="2511"/>
        <v>0</v>
      </c>
      <c r="CE607" s="161">
        <f t="shared" si="2512"/>
        <v>0</v>
      </c>
      <c r="CF607" s="161">
        <f t="shared" si="2513"/>
        <v>0</v>
      </c>
      <c r="CG607" s="161">
        <f t="shared" si="2514"/>
        <v>0</v>
      </c>
      <c r="CH607" s="161">
        <f t="shared" si="2515"/>
        <v>0</v>
      </c>
      <c r="CI607" s="161">
        <f t="shared" si="2516"/>
        <v>0</v>
      </c>
      <c r="CJ607" s="161">
        <f t="shared" si="2517"/>
        <v>0</v>
      </c>
      <c r="CK607" s="161">
        <f t="shared" si="2518"/>
        <v>0</v>
      </c>
      <c r="CL607" s="161">
        <f t="shared" si="2519"/>
        <v>0</v>
      </c>
      <c r="CM607" s="161">
        <f t="shared" si="2520"/>
        <v>0</v>
      </c>
      <c r="CN607" s="161">
        <f t="shared" si="2521"/>
        <v>0</v>
      </c>
      <c r="CO607" s="161">
        <f t="shared" si="2522"/>
        <v>0</v>
      </c>
      <c r="CP607" s="161">
        <f t="shared" si="2523"/>
        <v>0</v>
      </c>
      <c r="CQ607" s="161">
        <f t="shared" si="2524"/>
        <v>0</v>
      </c>
      <c r="CR607" s="161">
        <f t="shared" si="2525"/>
        <v>0</v>
      </c>
      <c r="CS607" s="161">
        <f t="shared" si="2526"/>
        <v>0</v>
      </c>
      <c r="CT607" s="161">
        <f t="shared" si="2527"/>
        <v>0</v>
      </c>
      <c r="CU607" s="161">
        <f t="shared" si="2528"/>
        <v>0</v>
      </c>
      <c r="CV607" s="161">
        <f t="shared" si="2529"/>
        <v>0</v>
      </c>
      <c r="CW607" s="161">
        <f t="shared" si="2530"/>
        <v>0</v>
      </c>
      <c r="CX607" s="161">
        <f t="shared" si="2531"/>
        <v>0</v>
      </c>
      <c r="CY607" s="161">
        <f t="shared" si="2532"/>
        <v>0</v>
      </c>
      <c r="CZ607" s="161">
        <f t="shared" si="2533"/>
        <v>0</v>
      </c>
      <c r="DA607" s="161">
        <f t="shared" si="2534"/>
        <v>0</v>
      </c>
      <c r="DB607" s="161">
        <f t="shared" si="2535"/>
        <v>0</v>
      </c>
      <c r="DC607" s="161">
        <f t="shared" si="2536"/>
        <v>0</v>
      </c>
      <c r="DD607" s="161">
        <f t="shared" si="2537"/>
        <v>0</v>
      </c>
      <c r="DE607" s="161">
        <f t="shared" si="2538"/>
        <v>0</v>
      </c>
      <c r="DF607" s="161">
        <f t="shared" si="2539"/>
        <v>0</v>
      </c>
      <c r="DG607" s="161">
        <f t="shared" si="2540"/>
        <v>0</v>
      </c>
      <c r="DH607" s="161">
        <f t="shared" si="2541"/>
        <v>0</v>
      </c>
      <c r="DI607" s="161">
        <f t="shared" si="2542"/>
        <v>0</v>
      </c>
      <c r="DJ607" s="161">
        <f t="shared" si="2543"/>
        <v>0</v>
      </c>
      <c r="DK607" s="161">
        <f t="shared" si="2544"/>
        <v>0</v>
      </c>
      <c r="DL607" s="161">
        <f t="shared" si="2545"/>
        <v>0</v>
      </c>
      <c r="DM607" s="161">
        <f t="shared" si="2546"/>
        <v>0</v>
      </c>
      <c r="DN607" s="161">
        <f t="shared" si="2547"/>
        <v>0</v>
      </c>
      <c r="DO607" s="161">
        <f t="shared" si="2548"/>
        <v>0</v>
      </c>
      <c r="DP607" s="161">
        <f t="shared" si="2549"/>
        <v>0</v>
      </c>
      <c r="DQ607" s="161">
        <f t="shared" si="2550"/>
        <v>0</v>
      </c>
      <c r="DR607" s="161">
        <f t="shared" si="2551"/>
        <v>0</v>
      </c>
      <c r="DS607" s="161">
        <f t="shared" si="2552"/>
        <v>0</v>
      </c>
      <c r="DT607" s="161">
        <f t="shared" si="2553"/>
        <v>0</v>
      </c>
      <c r="DU607" s="161">
        <f t="shared" si="2554"/>
        <v>0</v>
      </c>
      <c r="DV607" s="161">
        <f t="shared" si="2555"/>
        <v>0</v>
      </c>
      <c r="DW607" s="161">
        <f t="shared" si="2556"/>
        <v>0</v>
      </c>
      <c r="DX607" s="161">
        <f t="shared" si="2557"/>
        <v>0</v>
      </c>
      <c r="DY607" s="161">
        <f t="shared" si="2558"/>
        <v>0</v>
      </c>
      <c r="DZ607" s="161">
        <f t="shared" si="2559"/>
        <v>0</v>
      </c>
      <c r="EA607" s="161">
        <f t="shared" si="2560"/>
        <v>0</v>
      </c>
      <c r="EB607" s="161">
        <f t="shared" si="2561"/>
        <v>0</v>
      </c>
      <c r="EC607" s="161">
        <f t="shared" si="2562"/>
        <v>0</v>
      </c>
      <c r="ED607" s="161">
        <f t="shared" si="2563"/>
        <v>0</v>
      </c>
      <c r="EE607" s="161">
        <f t="shared" si="2564"/>
        <v>0</v>
      </c>
      <c r="EF607" s="161">
        <f t="shared" si="2565"/>
        <v>0</v>
      </c>
      <c r="EG607" s="161">
        <f t="shared" si="2566"/>
        <v>0</v>
      </c>
      <c r="EH607" s="161">
        <f t="shared" si="2567"/>
        <v>0</v>
      </c>
      <c r="EI607" s="161">
        <f t="shared" si="2568"/>
        <v>0</v>
      </c>
      <c r="EJ607" s="65"/>
      <c r="EK607" s="161">
        <f t="shared" si="2569"/>
        <v>0</v>
      </c>
      <c r="EL607" s="161">
        <f t="shared" si="2570"/>
        <v>0</v>
      </c>
      <c r="EM607" s="161">
        <f t="shared" si="2571"/>
        <v>0</v>
      </c>
    </row>
    <row r="608" spans="1:143" ht="12" hidden="1" customHeight="1" outlineLevel="2">
      <c r="A608" s="77">
        <v>12</v>
      </c>
      <c r="B608" s="137" t="str">
        <f t="shared" si="2499"/>
        <v>AN JR. ADM/CRP - Equipe_01</v>
      </c>
      <c r="C608" s="65"/>
      <c r="D608" s="622"/>
      <c r="E608" s="65"/>
      <c r="F608" s="603"/>
      <c r="G608" s="77" t="str">
        <f>IF(INDEX(Tarefas!$BT$30:$FK$30,MATCH(A608,Tarefas!$BT$28:$FK$28,0))=0,"",INDEX(Tarefas!$BT$30:$FK$30,MATCH(A608,Tarefas!$BT$28:$FK$28,0)))</f>
        <v>AN JR. ADM/CRP</v>
      </c>
      <c r="H608" s="107" cm="1">
        <f t="array" ref="H608">IFERROR((SUMPRODUCT((Tarefas!$N$32:$N$54='Cronog. e Histog.'!$F$597)*(Tarefas!$BQ$30:$FK$30='Cronog. e Histog.'!$G608)*(Tarefas!$BQ$32:$FK$54)))/SUMIF(Tarefas!$N$32:$N$54,'Cronog. e Histog.'!$F$597,Tarefas!$K$32:$K$54),0)</f>
        <v>0</v>
      </c>
      <c r="I608" s="79">
        <f t="shared" si="2500"/>
        <v>0</v>
      </c>
      <c r="J608" s="65"/>
      <c r="K608" s="160">
        <f t="shared" ref="K608:Z616" si="2572">ROUND($I608*K$199,2)</f>
        <v>0</v>
      </c>
      <c r="L608" s="160">
        <f t="shared" si="2572"/>
        <v>0</v>
      </c>
      <c r="M608" s="160">
        <f t="shared" si="2572"/>
        <v>0</v>
      </c>
      <c r="N608" s="160">
        <f t="shared" si="2572"/>
        <v>0</v>
      </c>
      <c r="O608" s="160">
        <f t="shared" si="2572"/>
        <v>0</v>
      </c>
      <c r="P608" s="160">
        <f t="shared" si="2572"/>
        <v>0</v>
      </c>
      <c r="Q608" s="160">
        <f t="shared" si="2572"/>
        <v>0</v>
      </c>
      <c r="R608" s="160">
        <f t="shared" si="2572"/>
        <v>0</v>
      </c>
      <c r="S608" s="160">
        <f t="shared" si="2572"/>
        <v>0</v>
      </c>
      <c r="T608" s="160">
        <f t="shared" si="2572"/>
        <v>0</v>
      </c>
      <c r="U608" s="160">
        <f t="shared" si="2572"/>
        <v>0</v>
      </c>
      <c r="V608" s="160">
        <f t="shared" si="2572"/>
        <v>0</v>
      </c>
      <c r="W608" s="160">
        <f t="shared" si="2572"/>
        <v>0</v>
      </c>
      <c r="X608" s="160">
        <f t="shared" si="2572"/>
        <v>0</v>
      </c>
      <c r="Y608" s="160">
        <f t="shared" si="2572"/>
        <v>0</v>
      </c>
      <c r="Z608" s="160">
        <f t="shared" si="2572"/>
        <v>0</v>
      </c>
      <c r="AA608" s="160">
        <f t="shared" si="2434"/>
        <v>0</v>
      </c>
      <c r="AB608" s="160">
        <f t="shared" si="2434"/>
        <v>0</v>
      </c>
      <c r="AC608" s="160">
        <f t="shared" si="2434"/>
        <v>0</v>
      </c>
      <c r="AD608" s="160">
        <f t="shared" si="2434"/>
        <v>0</v>
      </c>
      <c r="AE608" s="160">
        <f t="shared" si="2434"/>
        <v>0</v>
      </c>
      <c r="AF608" s="160">
        <f t="shared" si="2434"/>
        <v>0</v>
      </c>
      <c r="AG608" s="160">
        <f t="shared" si="2434"/>
        <v>0</v>
      </c>
      <c r="AH608" s="160">
        <f t="shared" si="2434"/>
        <v>0</v>
      </c>
      <c r="AI608" s="160">
        <f t="shared" si="2434"/>
        <v>0</v>
      </c>
      <c r="AJ608" s="160">
        <f t="shared" si="2434"/>
        <v>0</v>
      </c>
      <c r="AK608" s="160">
        <f t="shared" si="2434"/>
        <v>0</v>
      </c>
      <c r="AL608" s="160">
        <f t="shared" si="2434"/>
        <v>0</v>
      </c>
      <c r="AM608" s="160">
        <f t="shared" si="2434"/>
        <v>0</v>
      </c>
      <c r="AN608" s="160">
        <f t="shared" si="2434"/>
        <v>0</v>
      </c>
      <c r="AO608" s="160">
        <f t="shared" si="2434"/>
        <v>0</v>
      </c>
      <c r="AP608" s="160">
        <f t="shared" si="2434"/>
        <v>0</v>
      </c>
      <c r="AQ608" s="160">
        <f t="shared" si="2434"/>
        <v>0</v>
      </c>
      <c r="AR608" s="160">
        <f t="shared" si="2434"/>
        <v>0</v>
      </c>
      <c r="AS608" s="160">
        <f t="shared" si="2434"/>
        <v>0</v>
      </c>
      <c r="AT608" s="160">
        <f t="shared" si="2434"/>
        <v>0</v>
      </c>
      <c r="AU608" s="160">
        <f t="shared" si="2434"/>
        <v>0</v>
      </c>
      <c r="AV608" s="160">
        <f t="shared" si="2434"/>
        <v>0</v>
      </c>
      <c r="AW608" s="160">
        <f t="shared" si="2434"/>
        <v>0</v>
      </c>
      <c r="AX608" s="160">
        <f t="shared" si="2434"/>
        <v>0</v>
      </c>
      <c r="AY608" s="160">
        <f t="shared" si="2434"/>
        <v>0</v>
      </c>
      <c r="AZ608" s="160">
        <f t="shared" si="2434"/>
        <v>0</v>
      </c>
      <c r="BA608" s="160">
        <f t="shared" si="2434"/>
        <v>0</v>
      </c>
      <c r="BB608" s="160">
        <f t="shared" si="2434"/>
        <v>0</v>
      </c>
      <c r="BC608" s="160">
        <f t="shared" si="2434"/>
        <v>0</v>
      </c>
      <c r="BD608" s="160">
        <f t="shared" si="2434"/>
        <v>0</v>
      </c>
      <c r="BE608" s="160">
        <f t="shared" si="2434"/>
        <v>0</v>
      </c>
      <c r="BF608" s="160">
        <f t="shared" si="2434"/>
        <v>0</v>
      </c>
      <c r="BG608" s="160">
        <f t="shared" si="2434"/>
        <v>0</v>
      </c>
      <c r="BH608" s="160">
        <f t="shared" si="2434"/>
        <v>0</v>
      </c>
      <c r="BI608" s="160">
        <f t="shared" si="2434"/>
        <v>0</v>
      </c>
      <c r="BJ608" s="160">
        <f t="shared" si="2434"/>
        <v>0</v>
      </c>
      <c r="BK608" s="160">
        <f t="shared" si="2434"/>
        <v>0</v>
      </c>
      <c r="BL608" s="160">
        <f t="shared" si="2434"/>
        <v>0</v>
      </c>
      <c r="BM608" s="160">
        <f t="shared" si="2434"/>
        <v>0</v>
      </c>
      <c r="BN608" s="160">
        <f t="shared" si="2434"/>
        <v>0</v>
      </c>
      <c r="BO608" s="160">
        <f t="shared" si="2434"/>
        <v>0</v>
      </c>
      <c r="BP608" s="160">
        <f t="shared" si="2434"/>
        <v>0</v>
      </c>
      <c r="BQ608" s="160">
        <f t="shared" si="2434"/>
        <v>0</v>
      </c>
      <c r="BR608" s="160">
        <f t="shared" si="2434"/>
        <v>0</v>
      </c>
      <c r="BS608" s="65"/>
      <c r="BT608" s="160">
        <f t="shared" si="2435"/>
        <v>0</v>
      </c>
      <c r="BU608" s="160">
        <f t="shared" si="2436"/>
        <v>0</v>
      </c>
      <c r="BV608" s="65"/>
      <c r="BW608" s="69"/>
      <c r="BX608" s="65"/>
      <c r="BY608" s="137">
        <f t="shared" si="2437"/>
        <v>1</v>
      </c>
      <c r="BZ608" s="137">
        <f>IF(BY608&gt;0,BY608+LARGE($BZ$213:BZ607,1),0)</f>
        <v>332</v>
      </c>
      <c r="CA608" s="137" t="str">
        <f t="shared" si="2438"/>
        <v>AN JR. ADM/CRP</v>
      </c>
      <c r="CB608" s="161">
        <f t="shared" si="2439"/>
        <v>0</v>
      </c>
      <c r="CC608" s="161">
        <f t="shared" si="2440"/>
        <v>0</v>
      </c>
      <c r="CD608" s="161">
        <f t="shared" si="2441"/>
        <v>0</v>
      </c>
      <c r="CE608" s="161">
        <f t="shared" si="2442"/>
        <v>0</v>
      </c>
      <c r="CF608" s="161">
        <f t="shared" si="2443"/>
        <v>0</v>
      </c>
      <c r="CG608" s="161">
        <f t="shared" si="2444"/>
        <v>0</v>
      </c>
      <c r="CH608" s="161">
        <f t="shared" si="2445"/>
        <v>0</v>
      </c>
      <c r="CI608" s="161">
        <f t="shared" si="2446"/>
        <v>0</v>
      </c>
      <c r="CJ608" s="161">
        <f t="shared" si="2447"/>
        <v>0</v>
      </c>
      <c r="CK608" s="161">
        <f t="shared" si="2448"/>
        <v>0</v>
      </c>
      <c r="CL608" s="161">
        <f t="shared" si="2449"/>
        <v>0</v>
      </c>
      <c r="CM608" s="161">
        <f t="shared" si="2450"/>
        <v>0</v>
      </c>
      <c r="CN608" s="161">
        <f t="shared" si="2451"/>
        <v>0</v>
      </c>
      <c r="CO608" s="161">
        <f t="shared" si="2452"/>
        <v>0</v>
      </c>
      <c r="CP608" s="161">
        <f t="shared" si="2453"/>
        <v>0</v>
      </c>
      <c r="CQ608" s="161">
        <f t="shared" si="2454"/>
        <v>0</v>
      </c>
      <c r="CR608" s="161">
        <f t="shared" si="2455"/>
        <v>0</v>
      </c>
      <c r="CS608" s="161">
        <f t="shared" si="2456"/>
        <v>0</v>
      </c>
      <c r="CT608" s="161">
        <f t="shared" si="2457"/>
        <v>0</v>
      </c>
      <c r="CU608" s="161">
        <f t="shared" si="2458"/>
        <v>0</v>
      </c>
      <c r="CV608" s="161">
        <f t="shared" si="2459"/>
        <v>0</v>
      </c>
      <c r="CW608" s="161">
        <f t="shared" si="2460"/>
        <v>0</v>
      </c>
      <c r="CX608" s="161">
        <f t="shared" si="2461"/>
        <v>0</v>
      </c>
      <c r="CY608" s="161">
        <f t="shared" si="2462"/>
        <v>0</v>
      </c>
      <c r="CZ608" s="161">
        <f t="shared" si="2463"/>
        <v>0</v>
      </c>
      <c r="DA608" s="161">
        <f t="shared" si="2464"/>
        <v>0</v>
      </c>
      <c r="DB608" s="161">
        <f t="shared" si="2465"/>
        <v>0</v>
      </c>
      <c r="DC608" s="161">
        <f t="shared" si="2466"/>
        <v>0</v>
      </c>
      <c r="DD608" s="161">
        <f t="shared" si="2467"/>
        <v>0</v>
      </c>
      <c r="DE608" s="161">
        <f t="shared" si="2468"/>
        <v>0</v>
      </c>
      <c r="DF608" s="161">
        <f t="shared" si="2469"/>
        <v>0</v>
      </c>
      <c r="DG608" s="161">
        <f t="shared" si="2470"/>
        <v>0</v>
      </c>
      <c r="DH608" s="161">
        <f t="shared" si="2471"/>
        <v>0</v>
      </c>
      <c r="DI608" s="161">
        <f t="shared" si="2472"/>
        <v>0</v>
      </c>
      <c r="DJ608" s="161">
        <f t="shared" si="2473"/>
        <v>0</v>
      </c>
      <c r="DK608" s="161">
        <f t="shared" si="2474"/>
        <v>0</v>
      </c>
      <c r="DL608" s="161">
        <f t="shared" si="2475"/>
        <v>0</v>
      </c>
      <c r="DM608" s="161">
        <f t="shared" si="2476"/>
        <v>0</v>
      </c>
      <c r="DN608" s="161">
        <f t="shared" si="2477"/>
        <v>0</v>
      </c>
      <c r="DO608" s="161">
        <f t="shared" si="2478"/>
        <v>0</v>
      </c>
      <c r="DP608" s="161">
        <f t="shared" si="2479"/>
        <v>0</v>
      </c>
      <c r="DQ608" s="161">
        <f t="shared" si="2480"/>
        <v>0</v>
      </c>
      <c r="DR608" s="161">
        <f t="shared" si="2481"/>
        <v>0</v>
      </c>
      <c r="DS608" s="161">
        <f t="shared" si="2482"/>
        <v>0</v>
      </c>
      <c r="DT608" s="161">
        <f t="shared" si="2483"/>
        <v>0</v>
      </c>
      <c r="DU608" s="161">
        <f t="shared" si="2484"/>
        <v>0</v>
      </c>
      <c r="DV608" s="161">
        <f t="shared" si="2485"/>
        <v>0</v>
      </c>
      <c r="DW608" s="161">
        <f t="shared" si="2486"/>
        <v>0</v>
      </c>
      <c r="DX608" s="161">
        <f t="shared" si="2487"/>
        <v>0</v>
      </c>
      <c r="DY608" s="161">
        <f t="shared" si="2488"/>
        <v>0</v>
      </c>
      <c r="DZ608" s="161">
        <f t="shared" si="2489"/>
        <v>0</v>
      </c>
      <c r="EA608" s="161">
        <f t="shared" si="2490"/>
        <v>0</v>
      </c>
      <c r="EB608" s="161">
        <f t="shared" si="2491"/>
        <v>0</v>
      </c>
      <c r="EC608" s="161">
        <f t="shared" si="2492"/>
        <v>0</v>
      </c>
      <c r="ED608" s="161">
        <f t="shared" si="2493"/>
        <v>0</v>
      </c>
      <c r="EE608" s="161">
        <f t="shared" si="2494"/>
        <v>0</v>
      </c>
      <c r="EF608" s="161">
        <f t="shared" si="2495"/>
        <v>0</v>
      </c>
      <c r="EG608" s="161">
        <f t="shared" si="2496"/>
        <v>0</v>
      </c>
      <c r="EH608" s="161">
        <f t="shared" si="2497"/>
        <v>0</v>
      </c>
      <c r="EI608" s="161">
        <f t="shared" si="2498"/>
        <v>0</v>
      </c>
      <c r="EJ608" s="65"/>
      <c r="EK608" s="161">
        <f t="shared" si="2569"/>
        <v>0</v>
      </c>
      <c r="EL608" s="161">
        <f t="shared" si="2570"/>
        <v>0</v>
      </c>
      <c r="EM608" s="161">
        <f t="shared" si="2571"/>
        <v>0</v>
      </c>
    </row>
    <row r="609" spans="1:143" ht="12" hidden="1" customHeight="1" outlineLevel="2">
      <c r="A609" s="77">
        <v>13</v>
      </c>
      <c r="B609" s="137" t="str">
        <f t="shared" si="2499"/>
        <v>TEC III - Equipe_01</v>
      </c>
      <c r="C609" s="65"/>
      <c r="D609" s="622"/>
      <c r="E609" s="65"/>
      <c r="F609" s="603"/>
      <c r="G609" s="77" t="str">
        <f>IF(INDEX(Tarefas!$BT$30:$FK$30,MATCH(A609,Tarefas!$BT$28:$FK$28,0))=0,"",INDEX(Tarefas!$BT$30:$FK$30,MATCH(A609,Tarefas!$BT$28:$FK$28,0)))</f>
        <v>TEC III</v>
      </c>
      <c r="H609" s="107" cm="1">
        <f t="array" ref="H609">IFERROR((SUMPRODUCT((Tarefas!$N$32:$N$54='Cronog. e Histog.'!$F$597)*(Tarefas!$BQ$30:$FK$30='Cronog. e Histog.'!$G609)*(Tarefas!$BQ$32:$FK$54)))/SUMIF(Tarefas!$N$32:$N$54,'Cronog. e Histog.'!$F$597,Tarefas!$K$32:$K$54),0)</f>
        <v>0</v>
      </c>
      <c r="I609" s="79">
        <f t="shared" si="2500"/>
        <v>0</v>
      </c>
      <c r="J609" s="65"/>
      <c r="K609" s="160">
        <f t="shared" si="2572"/>
        <v>0</v>
      </c>
      <c r="L609" s="160">
        <f t="shared" si="2434"/>
        <v>0</v>
      </c>
      <c r="M609" s="160">
        <f t="shared" si="2434"/>
        <v>0</v>
      </c>
      <c r="N609" s="160">
        <f t="shared" si="2434"/>
        <v>0</v>
      </c>
      <c r="O609" s="160">
        <f t="shared" si="2434"/>
        <v>0</v>
      </c>
      <c r="P609" s="160">
        <f t="shared" si="2434"/>
        <v>0</v>
      </c>
      <c r="Q609" s="160">
        <f t="shared" si="2434"/>
        <v>0</v>
      </c>
      <c r="R609" s="160">
        <f t="shared" si="2434"/>
        <v>0</v>
      </c>
      <c r="S609" s="160">
        <f t="shared" si="2434"/>
        <v>0</v>
      </c>
      <c r="T609" s="160">
        <f t="shared" si="2434"/>
        <v>0</v>
      </c>
      <c r="U609" s="160">
        <f t="shared" si="2434"/>
        <v>0</v>
      </c>
      <c r="V609" s="160">
        <f t="shared" si="2434"/>
        <v>0</v>
      </c>
      <c r="W609" s="160">
        <f t="shared" si="2434"/>
        <v>0</v>
      </c>
      <c r="X609" s="160">
        <f t="shared" si="2434"/>
        <v>0</v>
      </c>
      <c r="Y609" s="160">
        <f t="shared" si="2434"/>
        <v>0</v>
      </c>
      <c r="Z609" s="160">
        <f t="shared" si="2434"/>
        <v>0</v>
      </c>
      <c r="AA609" s="160">
        <f t="shared" si="2434"/>
        <v>0</v>
      </c>
      <c r="AB609" s="160">
        <f t="shared" si="2434"/>
        <v>0</v>
      </c>
      <c r="AC609" s="160">
        <f t="shared" si="2434"/>
        <v>0</v>
      </c>
      <c r="AD609" s="160">
        <f t="shared" si="2434"/>
        <v>0</v>
      </c>
      <c r="AE609" s="160">
        <f t="shared" si="2434"/>
        <v>0</v>
      </c>
      <c r="AF609" s="160">
        <f t="shared" si="2434"/>
        <v>0</v>
      </c>
      <c r="AG609" s="160">
        <f t="shared" si="2434"/>
        <v>0</v>
      </c>
      <c r="AH609" s="160">
        <f t="shared" si="2434"/>
        <v>0</v>
      </c>
      <c r="AI609" s="160">
        <f t="shared" si="2434"/>
        <v>0</v>
      </c>
      <c r="AJ609" s="160">
        <f t="shared" si="2434"/>
        <v>0</v>
      </c>
      <c r="AK609" s="160">
        <f t="shared" si="2434"/>
        <v>0</v>
      </c>
      <c r="AL609" s="160">
        <f t="shared" si="2434"/>
        <v>0</v>
      </c>
      <c r="AM609" s="160">
        <f t="shared" si="2434"/>
        <v>0</v>
      </c>
      <c r="AN609" s="160">
        <f t="shared" si="2434"/>
        <v>0</v>
      </c>
      <c r="AO609" s="160">
        <f t="shared" si="2434"/>
        <v>0</v>
      </c>
      <c r="AP609" s="160">
        <f t="shared" si="2434"/>
        <v>0</v>
      </c>
      <c r="AQ609" s="160">
        <f t="shared" si="2434"/>
        <v>0</v>
      </c>
      <c r="AR609" s="160">
        <f t="shared" si="2434"/>
        <v>0</v>
      </c>
      <c r="AS609" s="160">
        <f t="shared" si="2434"/>
        <v>0</v>
      </c>
      <c r="AT609" s="160">
        <f t="shared" si="2434"/>
        <v>0</v>
      </c>
      <c r="AU609" s="160">
        <f t="shared" si="2434"/>
        <v>0</v>
      </c>
      <c r="AV609" s="160">
        <f t="shared" si="2434"/>
        <v>0</v>
      </c>
      <c r="AW609" s="160">
        <f t="shared" si="2434"/>
        <v>0</v>
      </c>
      <c r="AX609" s="160">
        <f t="shared" si="2434"/>
        <v>0</v>
      </c>
      <c r="AY609" s="160">
        <f t="shared" si="2434"/>
        <v>0</v>
      </c>
      <c r="AZ609" s="160">
        <f t="shared" si="2434"/>
        <v>0</v>
      </c>
      <c r="BA609" s="160">
        <f t="shared" si="2434"/>
        <v>0</v>
      </c>
      <c r="BB609" s="160">
        <f t="shared" si="2434"/>
        <v>0</v>
      </c>
      <c r="BC609" s="160">
        <f t="shared" si="2434"/>
        <v>0</v>
      </c>
      <c r="BD609" s="160">
        <f t="shared" si="2434"/>
        <v>0</v>
      </c>
      <c r="BE609" s="160">
        <f t="shared" si="2434"/>
        <v>0</v>
      </c>
      <c r="BF609" s="160">
        <f t="shared" si="2434"/>
        <v>0</v>
      </c>
      <c r="BG609" s="160">
        <f t="shared" si="2434"/>
        <v>0</v>
      </c>
      <c r="BH609" s="160">
        <f t="shared" si="2434"/>
        <v>0</v>
      </c>
      <c r="BI609" s="160">
        <f t="shared" si="2434"/>
        <v>0</v>
      </c>
      <c r="BJ609" s="160">
        <f t="shared" si="2434"/>
        <v>0</v>
      </c>
      <c r="BK609" s="160">
        <f t="shared" si="2434"/>
        <v>0</v>
      </c>
      <c r="BL609" s="160">
        <f t="shared" si="2434"/>
        <v>0</v>
      </c>
      <c r="BM609" s="160">
        <f t="shared" si="2434"/>
        <v>0</v>
      </c>
      <c r="BN609" s="160">
        <f t="shared" si="2434"/>
        <v>0</v>
      </c>
      <c r="BO609" s="160">
        <f t="shared" si="2434"/>
        <v>0</v>
      </c>
      <c r="BP609" s="160">
        <f t="shared" si="2434"/>
        <v>0</v>
      </c>
      <c r="BQ609" s="160">
        <f t="shared" si="2434"/>
        <v>0</v>
      </c>
      <c r="BR609" s="160">
        <f t="shared" si="2434"/>
        <v>0</v>
      </c>
      <c r="BS609" s="65"/>
      <c r="BT609" s="160">
        <f t="shared" si="2435"/>
        <v>0</v>
      </c>
      <c r="BU609" s="160">
        <f t="shared" si="2436"/>
        <v>0</v>
      </c>
      <c r="BV609" s="65"/>
      <c r="BW609" s="69"/>
      <c r="BX609" s="65"/>
      <c r="BY609" s="137">
        <f t="shared" si="2437"/>
        <v>1</v>
      </c>
      <c r="BZ609" s="137">
        <f>IF(BY609&gt;0,BY609+LARGE($BZ$213:BZ608,1),0)</f>
        <v>333</v>
      </c>
      <c r="CA609" s="137" t="str">
        <f t="shared" si="2438"/>
        <v>TEC III</v>
      </c>
      <c r="CB609" s="161">
        <f t="shared" si="2439"/>
        <v>0</v>
      </c>
      <c r="CC609" s="161">
        <f t="shared" si="2440"/>
        <v>0</v>
      </c>
      <c r="CD609" s="161">
        <f t="shared" si="2441"/>
        <v>0</v>
      </c>
      <c r="CE609" s="161">
        <f t="shared" si="2442"/>
        <v>0</v>
      </c>
      <c r="CF609" s="161">
        <f t="shared" si="2443"/>
        <v>0</v>
      </c>
      <c r="CG609" s="161">
        <f t="shared" si="2444"/>
        <v>0</v>
      </c>
      <c r="CH609" s="161">
        <f t="shared" si="2445"/>
        <v>0</v>
      </c>
      <c r="CI609" s="161">
        <f t="shared" si="2446"/>
        <v>0</v>
      </c>
      <c r="CJ609" s="161">
        <f t="shared" si="2447"/>
        <v>0</v>
      </c>
      <c r="CK609" s="161">
        <f t="shared" si="2448"/>
        <v>0</v>
      </c>
      <c r="CL609" s="161">
        <f t="shared" si="2449"/>
        <v>0</v>
      </c>
      <c r="CM609" s="161">
        <f t="shared" si="2450"/>
        <v>0</v>
      </c>
      <c r="CN609" s="161">
        <f t="shared" si="2451"/>
        <v>0</v>
      </c>
      <c r="CO609" s="161">
        <f t="shared" si="2452"/>
        <v>0</v>
      </c>
      <c r="CP609" s="161">
        <f t="shared" si="2453"/>
        <v>0</v>
      </c>
      <c r="CQ609" s="161">
        <f t="shared" si="2454"/>
        <v>0</v>
      </c>
      <c r="CR609" s="161">
        <f t="shared" si="2455"/>
        <v>0</v>
      </c>
      <c r="CS609" s="161">
        <f t="shared" si="2456"/>
        <v>0</v>
      </c>
      <c r="CT609" s="161">
        <f t="shared" si="2457"/>
        <v>0</v>
      </c>
      <c r="CU609" s="161">
        <f t="shared" si="2458"/>
        <v>0</v>
      </c>
      <c r="CV609" s="161">
        <f t="shared" si="2459"/>
        <v>0</v>
      </c>
      <c r="CW609" s="161">
        <f t="shared" si="2460"/>
        <v>0</v>
      </c>
      <c r="CX609" s="161">
        <f t="shared" si="2461"/>
        <v>0</v>
      </c>
      <c r="CY609" s="161">
        <f t="shared" si="2462"/>
        <v>0</v>
      </c>
      <c r="CZ609" s="161">
        <f t="shared" si="2463"/>
        <v>0</v>
      </c>
      <c r="DA609" s="161">
        <f t="shared" si="2464"/>
        <v>0</v>
      </c>
      <c r="DB609" s="161">
        <f t="shared" si="2465"/>
        <v>0</v>
      </c>
      <c r="DC609" s="161">
        <f t="shared" si="2466"/>
        <v>0</v>
      </c>
      <c r="DD609" s="161">
        <f t="shared" si="2467"/>
        <v>0</v>
      </c>
      <c r="DE609" s="161">
        <f t="shared" si="2468"/>
        <v>0</v>
      </c>
      <c r="DF609" s="161">
        <f t="shared" si="2469"/>
        <v>0</v>
      </c>
      <c r="DG609" s="161">
        <f t="shared" si="2470"/>
        <v>0</v>
      </c>
      <c r="DH609" s="161">
        <f t="shared" si="2471"/>
        <v>0</v>
      </c>
      <c r="DI609" s="161">
        <f t="shared" si="2472"/>
        <v>0</v>
      </c>
      <c r="DJ609" s="161">
        <f t="shared" si="2473"/>
        <v>0</v>
      </c>
      <c r="DK609" s="161">
        <f t="shared" si="2474"/>
        <v>0</v>
      </c>
      <c r="DL609" s="161">
        <f t="shared" si="2475"/>
        <v>0</v>
      </c>
      <c r="DM609" s="161">
        <f t="shared" si="2476"/>
        <v>0</v>
      </c>
      <c r="DN609" s="161">
        <f t="shared" si="2477"/>
        <v>0</v>
      </c>
      <c r="DO609" s="161">
        <f t="shared" si="2478"/>
        <v>0</v>
      </c>
      <c r="DP609" s="161">
        <f t="shared" si="2479"/>
        <v>0</v>
      </c>
      <c r="DQ609" s="161">
        <f t="shared" si="2480"/>
        <v>0</v>
      </c>
      <c r="DR609" s="161">
        <f t="shared" si="2481"/>
        <v>0</v>
      </c>
      <c r="DS609" s="161">
        <f t="shared" si="2482"/>
        <v>0</v>
      </c>
      <c r="DT609" s="161">
        <f t="shared" si="2483"/>
        <v>0</v>
      </c>
      <c r="DU609" s="161">
        <f t="shared" si="2484"/>
        <v>0</v>
      </c>
      <c r="DV609" s="161">
        <f t="shared" si="2485"/>
        <v>0</v>
      </c>
      <c r="DW609" s="161">
        <f t="shared" si="2486"/>
        <v>0</v>
      </c>
      <c r="DX609" s="161">
        <f t="shared" si="2487"/>
        <v>0</v>
      </c>
      <c r="DY609" s="161">
        <f t="shared" si="2488"/>
        <v>0</v>
      </c>
      <c r="DZ609" s="161">
        <f t="shared" si="2489"/>
        <v>0</v>
      </c>
      <c r="EA609" s="161">
        <f t="shared" si="2490"/>
        <v>0</v>
      </c>
      <c r="EB609" s="161">
        <f t="shared" si="2491"/>
        <v>0</v>
      </c>
      <c r="EC609" s="161">
        <f t="shared" si="2492"/>
        <v>0</v>
      </c>
      <c r="ED609" s="161">
        <f t="shared" si="2493"/>
        <v>0</v>
      </c>
      <c r="EE609" s="161">
        <f t="shared" si="2494"/>
        <v>0</v>
      </c>
      <c r="EF609" s="161">
        <f t="shared" si="2495"/>
        <v>0</v>
      </c>
      <c r="EG609" s="161">
        <f t="shared" si="2496"/>
        <v>0</v>
      </c>
      <c r="EH609" s="161">
        <f t="shared" si="2497"/>
        <v>0</v>
      </c>
      <c r="EI609" s="161">
        <f t="shared" si="2498"/>
        <v>0</v>
      </c>
      <c r="EJ609" s="65"/>
      <c r="EK609" s="161">
        <f t="shared" si="2569"/>
        <v>0</v>
      </c>
      <c r="EL609" s="161">
        <f t="shared" si="2570"/>
        <v>0</v>
      </c>
      <c r="EM609" s="161">
        <f t="shared" si="2571"/>
        <v>0</v>
      </c>
    </row>
    <row r="610" spans="1:143" ht="12" hidden="1" customHeight="1" outlineLevel="2">
      <c r="A610" s="77">
        <v>14</v>
      </c>
      <c r="B610" s="137" t="str">
        <f t="shared" si="2499"/>
        <v>TEC II - Equipe_01</v>
      </c>
      <c r="C610" s="65"/>
      <c r="D610" s="622"/>
      <c r="E610" s="65"/>
      <c r="F610" s="603"/>
      <c r="G610" s="77" t="str">
        <f>IF(INDEX(Tarefas!$BT$30:$FK$30,MATCH(A610,Tarefas!$BT$28:$FK$28,0))=0,"",INDEX(Tarefas!$BT$30:$FK$30,MATCH(A610,Tarefas!$BT$28:$FK$28,0)))</f>
        <v>TEC II</v>
      </c>
      <c r="H610" s="107" cm="1">
        <f t="array" ref="H610">IFERROR((SUMPRODUCT((Tarefas!$N$32:$N$54='Cronog. e Histog.'!$F$597)*(Tarefas!$BQ$30:$FK$30='Cronog. e Histog.'!$G610)*(Tarefas!$BQ$32:$FK$54)))/SUMIF(Tarefas!$N$32:$N$54,'Cronog. e Histog.'!$F$597,Tarefas!$K$32:$K$54),0)</f>
        <v>0</v>
      </c>
      <c r="I610" s="79">
        <f t="shared" si="2500"/>
        <v>0</v>
      </c>
      <c r="J610" s="65"/>
      <c r="K610" s="160">
        <f t="shared" si="2572"/>
        <v>0</v>
      </c>
      <c r="L610" s="160">
        <f t="shared" si="2434"/>
        <v>0</v>
      </c>
      <c r="M610" s="160">
        <f t="shared" si="2434"/>
        <v>0</v>
      </c>
      <c r="N610" s="160">
        <f t="shared" si="2434"/>
        <v>0</v>
      </c>
      <c r="O610" s="160">
        <f t="shared" si="2434"/>
        <v>0</v>
      </c>
      <c r="P610" s="160">
        <f t="shared" si="2434"/>
        <v>0</v>
      </c>
      <c r="Q610" s="160">
        <f t="shared" si="2434"/>
        <v>0</v>
      </c>
      <c r="R610" s="160">
        <f t="shared" si="2434"/>
        <v>0</v>
      </c>
      <c r="S610" s="160">
        <f t="shared" si="2434"/>
        <v>0</v>
      </c>
      <c r="T610" s="160">
        <f t="shared" si="2434"/>
        <v>0</v>
      </c>
      <c r="U610" s="160">
        <f t="shared" si="2434"/>
        <v>0</v>
      </c>
      <c r="V610" s="160">
        <f t="shared" si="2434"/>
        <v>0</v>
      </c>
      <c r="W610" s="160">
        <f t="shared" si="2434"/>
        <v>0</v>
      </c>
      <c r="X610" s="160">
        <f t="shared" si="2434"/>
        <v>0</v>
      </c>
      <c r="Y610" s="160">
        <f t="shared" si="2434"/>
        <v>0</v>
      </c>
      <c r="Z610" s="160">
        <f t="shared" si="2434"/>
        <v>0</v>
      </c>
      <c r="AA610" s="160">
        <f t="shared" si="2434"/>
        <v>0</v>
      </c>
      <c r="AB610" s="160">
        <f t="shared" si="2434"/>
        <v>0</v>
      </c>
      <c r="AC610" s="160">
        <f t="shared" si="2434"/>
        <v>0</v>
      </c>
      <c r="AD610" s="160">
        <f t="shared" si="2434"/>
        <v>0</v>
      </c>
      <c r="AE610" s="160">
        <f t="shared" si="2434"/>
        <v>0</v>
      </c>
      <c r="AF610" s="160">
        <f t="shared" si="2434"/>
        <v>0</v>
      </c>
      <c r="AG610" s="160">
        <f t="shared" si="2434"/>
        <v>0</v>
      </c>
      <c r="AH610" s="160">
        <f t="shared" si="2434"/>
        <v>0</v>
      </c>
      <c r="AI610" s="160">
        <f t="shared" si="2434"/>
        <v>0</v>
      </c>
      <c r="AJ610" s="160">
        <f t="shared" si="2434"/>
        <v>0</v>
      </c>
      <c r="AK610" s="160">
        <f t="shared" si="2434"/>
        <v>0</v>
      </c>
      <c r="AL610" s="160">
        <f t="shared" si="2434"/>
        <v>0</v>
      </c>
      <c r="AM610" s="160">
        <f t="shared" si="2434"/>
        <v>0</v>
      </c>
      <c r="AN610" s="160">
        <f t="shared" si="2434"/>
        <v>0</v>
      </c>
      <c r="AO610" s="160">
        <f t="shared" si="2434"/>
        <v>0</v>
      </c>
      <c r="AP610" s="160">
        <f t="shared" si="2434"/>
        <v>0</v>
      </c>
      <c r="AQ610" s="160">
        <f t="shared" si="2434"/>
        <v>0</v>
      </c>
      <c r="AR610" s="160">
        <f t="shared" si="2434"/>
        <v>0</v>
      </c>
      <c r="AS610" s="160">
        <f t="shared" si="2434"/>
        <v>0</v>
      </c>
      <c r="AT610" s="160">
        <f t="shared" si="2434"/>
        <v>0</v>
      </c>
      <c r="AU610" s="160">
        <f t="shared" si="2434"/>
        <v>0</v>
      </c>
      <c r="AV610" s="160">
        <f t="shared" si="2434"/>
        <v>0</v>
      </c>
      <c r="AW610" s="160">
        <f t="shared" si="2434"/>
        <v>0</v>
      </c>
      <c r="AX610" s="160">
        <f t="shared" si="2434"/>
        <v>0</v>
      </c>
      <c r="AY610" s="160">
        <f t="shared" si="2434"/>
        <v>0</v>
      </c>
      <c r="AZ610" s="160">
        <f t="shared" si="2434"/>
        <v>0</v>
      </c>
      <c r="BA610" s="160">
        <f t="shared" si="2434"/>
        <v>0</v>
      </c>
      <c r="BB610" s="160">
        <f t="shared" si="2434"/>
        <v>0</v>
      </c>
      <c r="BC610" s="160">
        <f t="shared" si="2434"/>
        <v>0</v>
      </c>
      <c r="BD610" s="160">
        <f t="shared" si="2434"/>
        <v>0</v>
      </c>
      <c r="BE610" s="160">
        <f t="shared" si="2434"/>
        <v>0</v>
      </c>
      <c r="BF610" s="160">
        <f t="shared" si="2434"/>
        <v>0</v>
      </c>
      <c r="BG610" s="160">
        <f t="shared" si="2434"/>
        <v>0</v>
      </c>
      <c r="BH610" s="160">
        <f t="shared" si="2434"/>
        <v>0</v>
      </c>
      <c r="BI610" s="160">
        <f t="shared" si="2434"/>
        <v>0</v>
      </c>
      <c r="BJ610" s="160">
        <f t="shared" si="2434"/>
        <v>0</v>
      </c>
      <c r="BK610" s="160">
        <f t="shared" si="2434"/>
        <v>0</v>
      </c>
      <c r="BL610" s="160">
        <f t="shared" si="2434"/>
        <v>0</v>
      </c>
      <c r="BM610" s="160">
        <f t="shared" si="2434"/>
        <v>0</v>
      </c>
      <c r="BN610" s="160">
        <f t="shared" si="2434"/>
        <v>0</v>
      </c>
      <c r="BO610" s="160">
        <f t="shared" si="2434"/>
        <v>0</v>
      </c>
      <c r="BP610" s="160">
        <f t="shared" si="2434"/>
        <v>0</v>
      </c>
      <c r="BQ610" s="160">
        <f t="shared" si="2434"/>
        <v>0</v>
      </c>
      <c r="BR610" s="160">
        <f t="shared" si="2434"/>
        <v>0</v>
      </c>
      <c r="BS610" s="65"/>
      <c r="BT610" s="160">
        <f t="shared" si="2435"/>
        <v>0</v>
      </c>
      <c r="BU610" s="160">
        <f t="shared" si="2436"/>
        <v>0</v>
      </c>
      <c r="BV610" s="65"/>
      <c r="BW610" s="69"/>
      <c r="BX610" s="65"/>
      <c r="BY610" s="137">
        <f t="shared" si="2437"/>
        <v>1</v>
      </c>
      <c r="BZ610" s="137">
        <f>IF(BY610&gt;0,BY610+LARGE($BZ$213:BZ609,1),0)</f>
        <v>334</v>
      </c>
      <c r="CA610" s="137" t="str">
        <f t="shared" si="2438"/>
        <v>TEC II</v>
      </c>
      <c r="CB610" s="161">
        <f t="shared" si="2439"/>
        <v>0</v>
      </c>
      <c r="CC610" s="161">
        <f t="shared" si="2440"/>
        <v>0</v>
      </c>
      <c r="CD610" s="161">
        <f t="shared" si="2441"/>
        <v>0</v>
      </c>
      <c r="CE610" s="161">
        <f t="shared" si="2442"/>
        <v>0</v>
      </c>
      <c r="CF610" s="161">
        <f t="shared" si="2443"/>
        <v>0</v>
      </c>
      <c r="CG610" s="161">
        <f t="shared" si="2444"/>
        <v>0</v>
      </c>
      <c r="CH610" s="161">
        <f t="shared" si="2445"/>
        <v>0</v>
      </c>
      <c r="CI610" s="161">
        <f t="shared" si="2446"/>
        <v>0</v>
      </c>
      <c r="CJ610" s="161">
        <f t="shared" si="2447"/>
        <v>0</v>
      </c>
      <c r="CK610" s="161">
        <f t="shared" si="2448"/>
        <v>0</v>
      </c>
      <c r="CL610" s="161">
        <f t="shared" si="2449"/>
        <v>0</v>
      </c>
      <c r="CM610" s="161">
        <f t="shared" si="2450"/>
        <v>0</v>
      </c>
      <c r="CN610" s="161">
        <f t="shared" si="2451"/>
        <v>0</v>
      </c>
      <c r="CO610" s="161">
        <f t="shared" si="2452"/>
        <v>0</v>
      </c>
      <c r="CP610" s="161">
        <f t="shared" si="2453"/>
        <v>0</v>
      </c>
      <c r="CQ610" s="161">
        <f t="shared" si="2454"/>
        <v>0</v>
      </c>
      <c r="CR610" s="161">
        <f t="shared" si="2455"/>
        <v>0</v>
      </c>
      <c r="CS610" s="161">
        <f t="shared" si="2456"/>
        <v>0</v>
      </c>
      <c r="CT610" s="161">
        <f t="shared" si="2457"/>
        <v>0</v>
      </c>
      <c r="CU610" s="161">
        <f t="shared" si="2458"/>
        <v>0</v>
      </c>
      <c r="CV610" s="161">
        <f t="shared" si="2459"/>
        <v>0</v>
      </c>
      <c r="CW610" s="161">
        <f t="shared" si="2460"/>
        <v>0</v>
      </c>
      <c r="CX610" s="161">
        <f t="shared" si="2461"/>
        <v>0</v>
      </c>
      <c r="CY610" s="161">
        <f t="shared" si="2462"/>
        <v>0</v>
      </c>
      <c r="CZ610" s="161">
        <f t="shared" si="2463"/>
        <v>0</v>
      </c>
      <c r="DA610" s="161">
        <f t="shared" si="2464"/>
        <v>0</v>
      </c>
      <c r="DB610" s="161">
        <f t="shared" si="2465"/>
        <v>0</v>
      </c>
      <c r="DC610" s="161">
        <f t="shared" si="2466"/>
        <v>0</v>
      </c>
      <c r="DD610" s="161">
        <f t="shared" si="2467"/>
        <v>0</v>
      </c>
      <c r="DE610" s="161">
        <f t="shared" si="2468"/>
        <v>0</v>
      </c>
      <c r="DF610" s="161">
        <f t="shared" si="2469"/>
        <v>0</v>
      </c>
      <c r="DG610" s="161">
        <f t="shared" si="2470"/>
        <v>0</v>
      </c>
      <c r="DH610" s="161">
        <f t="shared" si="2471"/>
        <v>0</v>
      </c>
      <c r="DI610" s="161">
        <f t="shared" si="2472"/>
        <v>0</v>
      </c>
      <c r="DJ610" s="161">
        <f t="shared" si="2473"/>
        <v>0</v>
      </c>
      <c r="DK610" s="161">
        <f t="shared" si="2474"/>
        <v>0</v>
      </c>
      <c r="DL610" s="161">
        <f t="shared" si="2475"/>
        <v>0</v>
      </c>
      <c r="DM610" s="161">
        <f t="shared" si="2476"/>
        <v>0</v>
      </c>
      <c r="DN610" s="161">
        <f t="shared" si="2477"/>
        <v>0</v>
      </c>
      <c r="DO610" s="161">
        <f t="shared" si="2478"/>
        <v>0</v>
      </c>
      <c r="DP610" s="161">
        <f t="shared" si="2479"/>
        <v>0</v>
      </c>
      <c r="DQ610" s="161">
        <f t="shared" si="2480"/>
        <v>0</v>
      </c>
      <c r="DR610" s="161">
        <f t="shared" si="2481"/>
        <v>0</v>
      </c>
      <c r="DS610" s="161">
        <f t="shared" si="2482"/>
        <v>0</v>
      </c>
      <c r="DT610" s="161">
        <f t="shared" si="2483"/>
        <v>0</v>
      </c>
      <c r="DU610" s="161">
        <f t="shared" si="2484"/>
        <v>0</v>
      </c>
      <c r="DV610" s="161">
        <f t="shared" si="2485"/>
        <v>0</v>
      </c>
      <c r="DW610" s="161">
        <f t="shared" si="2486"/>
        <v>0</v>
      </c>
      <c r="DX610" s="161">
        <f t="shared" si="2487"/>
        <v>0</v>
      </c>
      <c r="DY610" s="161">
        <f t="shared" si="2488"/>
        <v>0</v>
      </c>
      <c r="DZ610" s="161">
        <f t="shared" si="2489"/>
        <v>0</v>
      </c>
      <c r="EA610" s="161">
        <f t="shared" si="2490"/>
        <v>0</v>
      </c>
      <c r="EB610" s="161">
        <f t="shared" si="2491"/>
        <v>0</v>
      </c>
      <c r="EC610" s="161">
        <f t="shared" si="2492"/>
        <v>0</v>
      </c>
      <c r="ED610" s="161">
        <f t="shared" si="2493"/>
        <v>0</v>
      </c>
      <c r="EE610" s="161">
        <f t="shared" si="2494"/>
        <v>0</v>
      </c>
      <c r="EF610" s="161">
        <f t="shared" si="2495"/>
        <v>0</v>
      </c>
      <c r="EG610" s="161">
        <f t="shared" si="2496"/>
        <v>0</v>
      </c>
      <c r="EH610" s="161">
        <f t="shared" si="2497"/>
        <v>0</v>
      </c>
      <c r="EI610" s="161">
        <f t="shared" si="2498"/>
        <v>0</v>
      </c>
      <c r="EJ610" s="65"/>
      <c r="EK610" s="161">
        <f t="shared" si="2569"/>
        <v>0</v>
      </c>
      <c r="EL610" s="161">
        <f t="shared" si="2570"/>
        <v>0</v>
      </c>
      <c r="EM610" s="161">
        <f t="shared" si="2571"/>
        <v>0</v>
      </c>
    </row>
    <row r="611" spans="1:143" ht="12" hidden="1" customHeight="1" outlineLevel="2">
      <c r="A611" s="77">
        <v>15</v>
      </c>
      <c r="B611" s="137" t="str">
        <f t="shared" si="2499"/>
        <v>TEC I - Equipe_01</v>
      </c>
      <c r="C611" s="65"/>
      <c r="D611" s="622"/>
      <c r="E611" s="65"/>
      <c r="F611" s="603"/>
      <c r="G611" s="77" t="str">
        <f>IF(INDEX(Tarefas!$BT$30:$FK$30,MATCH(A611,Tarefas!$BT$28:$FK$28,0))=0,"",INDEX(Tarefas!$BT$30:$FK$30,MATCH(A611,Tarefas!$BT$28:$FK$28,0)))</f>
        <v>TEC I</v>
      </c>
      <c r="H611" s="107" cm="1">
        <f t="array" ref="H611">IFERROR((SUMPRODUCT((Tarefas!$N$32:$N$54='Cronog. e Histog.'!$F$597)*(Tarefas!$BQ$30:$FK$30='Cronog. e Histog.'!$G611)*(Tarefas!$BQ$32:$FK$54)))/SUMIF(Tarefas!$N$32:$N$54,'Cronog. e Histog.'!$F$597,Tarefas!$K$32:$K$54),0)</f>
        <v>0</v>
      </c>
      <c r="I611" s="79">
        <f t="shared" si="2500"/>
        <v>0</v>
      </c>
      <c r="J611" s="65"/>
      <c r="K611" s="160">
        <f t="shared" si="2572"/>
        <v>0</v>
      </c>
      <c r="L611" s="160">
        <f t="shared" si="2434"/>
        <v>0</v>
      </c>
      <c r="M611" s="160">
        <f t="shared" si="2434"/>
        <v>0</v>
      </c>
      <c r="N611" s="160">
        <f t="shared" si="2434"/>
        <v>0</v>
      </c>
      <c r="O611" s="160">
        <f t="shared" si="2434"/>
        <v>0</v>
      </c>
      <c r="P611" s="160">
        <f t="shared" si="2434"/>
        <v>0</v>
      </c>
      <c r="Q611" s="160">
        <f t="shared" si="2434"/>
        <v>0</v>
      </c>
      <c r="R611" s="160">
        <f t="shared" si="2434"/>
        <v>0</v>
      </c>
      <c r="S611" s="160">
        <f t="shared" si="2434"/>
        <v>0</v>
      </c>
      <c r="T611" s="160">
        <f t="shared" si="2434"/>
        <v>0</v>
      </c>
      <c r="U611" s="160">
        <f t="shared" si="2434"/>
        <v>0</v>
      </c>
      <c r="V611" s="160">
        <f t="shared" si="2434"/>
        <v>0</v>
      </c>
      <c r="W611" s="160">
        <f t="shared" si="2434"/>
        <v>0</v>
      </c>
      <c r="X611" s="160">
        <f t="shared" si="2434"/>
        <v>0</v>
      </c>
      <c r="Y611" s="160">
        <f t="shared" si="2434"/>
        <v>0</v>
      </c>
      <c r="Z611" s="160">
        <f t="shared" si="2434"/>
        <v>0</v>
      </c>
      <c r="AA611" s="160">
        <f t="shared" si="2434"/>
        <v>0</v>
      </c>
      <c r="AB611" s="160">
        <f t="shared" si="2434"/>
        <v>0</v>
      </c>
      <c r="AC611" s="160">
        <f t="shared" si="2434"/>
        <v>0</v>
      </c>
      <c r="AD611" s="160">
        <f t="shared" si="2434"/>
        <v>0</v>
      </c>
      <c r="AE611" s="160">
        <f t="shared" si="2434"/>
        <v>0</v>
      </c>
      <c r="AF611" s="160">
        <f t="shared" si="2434"/>
        <v>0</v>
      </c>
      <c r="AG611" s="160">
        <f t="shared" si="2434"/>
        <v>0</v>
      </c>
      <c r="AH611" s="160">
        <f t="shared" si="2434"/>
        <v>0</v>
      </c>
      <c r="AI611" s="160">
        <f t="shared" si="2434"/>
        <v>0</v>
      </c>
      <c r="AJ611" s="160">
        <f t="shared" si="2434"/>
        <v>0</v>
      </c>
      <c r="AK611" s="160">
        <f t="shared" si="2434"/>
        <v>0</v>
      </c>
      <c r="AL611" s="160">
        <f t="shared" si="2434"/>
        <v>0</v>
      </c>
      <c r="AM611" s="160">
        <f t="shared" si="2434"/>
        <v>0</v>
      </c>
      <c r="AN611" s="160">
        <f t="shared" si="2434"/>
        <v>0</v>
      </c>
      <c r="AO611" s="160">
        <f t="shared" si="2434"/>
        <v>0</v>
      </c>
      <c r="AP611" s="160">
        <f t="shared" si="2434"/>
        <v>0</v>
      </c>
      <c r="AQ611" s="160">
        <f t="shared" si="2434"/>
        <v>0</v>
      </c>
      <c r="AR611" s="160">
        <f t="shared" si="2434"/>
        <v>0</v>
      </c>
      <c r="AS611" s="160">
        <f t="shared" si="2434"/>
        <v>0</v>
      </c>
      <c r="AT611" s="160">
        <f t="shared" ref="L611:BR615" si="2573">ROUND($I611*AT$199,2)</f>
        <v>0</v>
      </c>
      <c r="AU611" s="160">
        <f t="shared" si="2573"/>
        <v>0</v>
      </c>
      <c r="AV611" s="160">
        <f t="shared" si="2573"/>
        <v>0</v>
      </c>
      <c r="AW611" s="160">
        <f t="shared" si="2573"/>
        <v>0</v>
      </c>
      <c r="AX611" s="160">
        <f t="shared" si="2573"/>
        <v>0</v>
      </c>
      <c r="AY611" s="160">
        <f t="shared" si="2573"/>
        <v>0</v>
      </c>
      <c r="AZ611" s="160">
        <f t="shared" si="2573"/>
        <v>0</v>
      </c>
      <c r="BA611" s="160">
        <f t="shared" si="2573"/>
        <v>0</v>
      </c>
      <c r="BB611" s="160">
        <f t="shared" si="2573"/>
        <v>0</v>
      </c>
      <c r="BC611" s="160">
        <f t="shared" si="2573"/>
        <v>0</v>
      </c>
      <c r="BD611" s="160">
        <f t="shared" si="2573"/>
        <v>0</v>
      </c>
      <c r="BE611" s="160">
        <f t="shared" si="2573"/>
        <v>0</v>
      </c>
      <c r="BF611" s="160">
        <f t="shared" si="2573"/>
        <v>0</v>
      </c>
      <c r="BG611" s="160">
        <f t="shared" si="2573"/>
        <v>0</v>
      </c>
      <c r="BH611" s="160">
        <f t="shared" si="2573"/>
        <v>0</v>
      </c>
      <c r="BI611" s="160">
        <f t="shared" si="2573"/>
        <v>0</v>
      </c>
      <c r="BJ611" s="160">
        <f t="shared" si="2573"/>
        <v>0</v>
      </c>
      <c r="BK611" s="160">
        <f t="shared" si="2573"/>
        <v>0</v>
      </c>
      <c r="BL611" s="160">
        <f t="shared" si="2573"/>
        <v>0</v>
      </c>
      <c r="BM611" s="160">
        <f t="shared" si="2573"/>
        <v>0</v>
      </c>
      <c r="BN611" s="160">
        <f t="shared" si="2573"/>
        <v>0</v>
      </c>
      <c r="BO611" s="160">
        <f t="shared" si="2573"/>
        <v>0</v>
      </c>
      <c r="BP611" s="160">
        <f t="shared" si="2573"/>
        <v>0</v>
      </c>
      <c r="BQ611" s="160">
        <f t="shared" si="2573"/>
        <v>0</v>
      </c>
      <c r="BR611" s="160">
        <f t="shared" si="2573"/>
        <v>0</v>
      </c>
      <c r="BS611" s="65"/>
      <c r="BT611" s="160">
        <f t="shared" si="2435"/>
        <v>0</v>
      </c>
      <c r="BU611" s="160">
        <f t="shared" si="2436"/>
        <v>0</v>
      </c>
      <c r="BV611" s="65"/>
      <c r="BW611" s="69"/>
      <c r="BX611" s="65"/>
      <c r="BY611" s="137">
        <f t="shared" si="2437"/>
        <v>1</v>
      </c>
      <c r="BZ611" s="137">
        <f>IF(BY611&gt;0,BY611+LARGE($BZ$213:BZ610,1),0)</f>
        <v>335</v>
      </c>
      <c r="CA611" s="137" t="str">
        <f t="shared" si="2438"/>
        <v>TEC I</v>
      </c>
      <c r="CB611" s="161">
        <f t="shared" si="2439"/>
        <v>0</v>
      </c>
      <c r="CC611" s="161">
        <f t="shared" si="2440"/>
        <v>0</v>
      </c>
      <c r="CD611" s="161">
        <f t="shared" si="2441"/>
        <v>0</v>
      </c>
      <c r="CE611" s="161">
        <f t="shared" si="2442"/>
        <v>0</v>
      </c>
      <c r="CF611" s="161">
        <f t="shared" si="2443"/>
        <v>0</v>
      </c>
      <c r="CG611" s="161">
        <f t="shared" si="2444"/>
        <v>0</v>
      </c>
      <c r="CH611" s="161">
        <f t="shared" si="2445"/>
        <v>0</v>
      </c>
      <c r="CI611" s="161">
        <f t="shared" si="2446"/>
        <v>0</v>
      </c>
      <c r="CJ611" s="161">
        <f t="shared" si="2447"/>
        <v>0</v>
      </c>
      <c r="CK611" s="161">
        <f t="shared" si="2448"/>
        <v>0</v>
      </c>
      <c r="CL611" s="161">
        <f t="shared" si="2449"/>
        <v>0</v>
      </c>
      <c r="CM611" s="161">
        <f t="shared" si="2450"/>
        <v>0</v>
      </c>
      <c r="CN611" s="161">
        <f t="shared" si="2451"/>
        <v>0</v>
      </c>
      <c r="CO611" s="161">
        <f t="shared" si="2452"/>
        <v>0</v>
      </c>
      <c r="CP611" s="161">
        <f t="shared" si="2453"/>
        <v>0</v>
      </c>
      <c r="CQ611" s="161">
        <f t="shared" si="2454"/>
        <v>0</v>
      </c>
      <c r="CR611" s="161">
        <f t="shared" si="2455"/>
        <v>0</v>
      </c>
      <c r="CS611" s="161">
        <f t="shared" si="2456"/>
        <v>0</v>
      </c>
      <c r="CT611" s="161">
        <f t="shared" si="2457"/>
        <v>0</v>
      </c>
      <c r="CU611" s="161">
        <f t="shared" si="2458"/>
        <v>0</v>
      </c>
      <c r="CV611" s="161">
        <f t="shared" si="2459"/>
        <v>0</v>
      </c>
      <c r="CW611" s="161">
        <f t="shared" si="2460"/>
        <v>0</v>
      </c>
      <c r="CX611" s="161">
        <f t="shared" si="2461"/>
        <v>0</v>
      </c>
      <c r="CY611" s="161">
        <f t="shared" si="2462"/>
        <v>0</v>
      </c>
      <c r="CZ611" s="161">
        <f t="shared" si="2463"/>
        <v>0</v>
      </c>
      <c r="DA611" s="161">
        <f t="shared" si="2464"/>
        <v>0</v>
      </c>
      <c r="DB611" s="161">
        <f t="shared" si="2465"/>
        <v>0</v>
      </c>
      <c r="DC611" s="161">
        <f t="shared" si="2466"/>
        <v>0</v>
      </c>
      <c r="DD611" s="161">
        <f t="shared" si="2467"/>
        <v>0</v>
      </c>
      <c r="DE611" s="161">
        <f t="shared" si="2468"/>
        <v>0</v>
      </c>
      <c r="DF611" s="161">
        <f t="shared" si="2469"/>
        <v>0</v>
      </c>
      <c r="DG611" s="161">
        <f t="shared" si="2470"/>
        <v>0</v>
      </c>
      <c r="DH611" s="161">
        <f t="shared" si="2471"/>
        <v>0</v>
      </c>
      <c r="DI611" s="161">
        <f t="shared" si="2472"/>
        <v>0</v>
      </c>
      <c r="DJ611" s="161">
        <f t="shared" si="2473"/>
        <v>0</v>
      </c>
      <c r="DK611" s="161">
        <f t="shared" si="2474"/>
        <v>0</v>
      </c>
      <c r="DL611" s="161">
        <f t="shared" si="2475"/>
        <v>0</v>
      </c>
      <c r="DM611" s="161">
        <f t="shared" si="2476"/>
        <v>0</v>
      </c>
      <c r="DN611" s="161">
        <f t="shared" si="2477"/>
        <v>0</v>
      </c>
      <c r="DO611" s="161">
        <f t="shared" si="2478"/>
        <v>0</v>
      </c>
      <c r="DP611" s="161">
        <f t="shared" si="2479"/>
        <v>0</v>
      </c>
      <c r="DQ611" s="161">
        <f t="shared" si="2480"/>
        <v>0</v>
      </c>
      <c r="DR611" s="161">
        <f t="shared" si="2481"/>
        <v>0</v>
      </c>
      <c r="DS611" s="161">
        <f t="shared" si="2482"/>
        <v>0</v>
      </c>
      <c r="DT611" s="161">
        <f t="shared" si="2483"/>
        <v>0</v>
      </c>
      <c r="DU611" s="161">
        <f t="shared" si="2484"/>
        <v>0</v>
      </c>
      <c r="DV611" s="161">
        <f t="shared" si="2485"/>
        <v>0</v>
      </c>
      <c r="DW611" s="161">
        <f t="shared" si="2486"/>
        <v>0</v>
      </c>
      <c r="DX611" s="161">
        <f t="shared" si="2487"/>
        <v>0</v>
      </c>
      <c r="DY611" s="161">
        <f t="shared" si="2488"/>
        <v>0</v>
      </c>
      <c r="DZ611" s="161">
        <f t="shared" si="2489"/>
        <v>0</v>
      </c>
      <c r="EA611" s="161">
        <f t="shared" si="2490"/>
        <v>0</v>
      </c>
      <c r="EB611" s="161">
        <f t="shared" si="2491"/>
        <v>0</v>
      </c>
      <c r="EC611" s="161">
        <f t="shared" si="2492"/>
        <v>0</v>
      </c>
      <c r="ED611" s="161">
        <f t="shared" si="2493"/>
        <v>0</v>
      </c>
      <c r="EE611" s="161">
        <f t="shared" si="2494"/>
        <v>0</v>
      </c>
      <c r="EF611" s="161">
        <f t="shared" si="2495"/>
        <v>0</v>
      </c>
      <c r="EG611" s="161">
        <f t="shared" si="2496"/>
        <v>0</v>
      </c>
      <c r="EH611" s="161">
        <f t="shared" si="2497"/>
        <v>0</v>
      </c>
      <c r="EI611" s="161">
        <f t="shared" si="2498"/>
        <v>0</v>
      </c>
      <c r="EJ611" s="65"/>
      <c r="EK611" s="161">
        <f t="shared" si="2569"/>
        <v>0</v>
      </c>
      <c r="EL611" s="161">
        <f t="shared" si="2570"/>
        <v>0</v>
      </c>
      <c r="EM611" s="161">
        <f t="shared" si="2571"/>
        <v>0</v>
      </c>
    </row>
    <row r="612" spans="1:143" ht="12" hidden="1" customHeight="1" outlineLevel="2">
      <c r="A612" s="77">
        <v>16</v>
      </c>
      <c r="B612" s="137" t="str">
        <f t="shared" si="2499"/>
        <v>AUX TEC - Equipe_01</v>
      </c>
      <c r="C612" s="65"/>
      <c r="D612" s="622"/>
      <c r="E612" s="65"/>
      <c r="F612" s="603"/>
      <c r="G612" s="77" t="str">
        <f>IF(INDEX(Tarefas!$BT$30:$FK$30,MATCH(A612,Tarefas!$BT$28:$FK$28,0))=0,"",INDEX(Tarefas!$BT$30:$FK$30,MATCH(A612,Tarefas!$BT$28:$FK$28,0)))</f>
        <v>AUX TEC</v>
      </c>
      <c r="H612" s="107" cm="1">
        <f t="array" ref="H612">IFERROR((SUMPRODUCT((Tarefas!$N$32:$N$54='Cronog. e Histog.'!$F$597)*(Tarefas!$BQ$30:$FK$30='Cronog. e Histog.'!$G612)*(Tarefas!$BQ$32:$FK$54)))/SUMIF(Tarefas!$N$32:$N$54,'Cronog. e Histog.'!$F$597,Tarefas!$K$32:$K$54),0)</f>
        <v>0</v>
      </c>
      <c r="I612" s="79">
        <f t="shared" si="2500"/>
        <v>0</v>
      </c>
      <c r="J612" s="65"/>
      <c r="K612" s="160">
        <f t="shared" si="2572"/>
        <v>0</v>
      </c>
      <c r="L612" s="160">
        <f t="shared" si="2573"/>
        <v>0</v>
      </c>
      <c r="M612" s="160">
        <f t="shared" si="2573"/>
        <v>0</v>
      </c>
      <c r="N612" s="160">
        <f t="shared" si="2573"/>
        <v>0</v>
      </c>
      <c r="O612" s="160">
        <f t="shared" si="2573"/>
        <v>0</v>
      </c>
      <c r="P612" s="160">
        <f t="shared" si="2573"/>
        <v>0</v>
      </c>
      <c r="Q612" s="160">
        <f t="shared" si="2573"/>
        <v>0</v>
      </c>
      <c r="R612" s="160">
        <f t="shared" si="2573"/>
        <v>0</v>
      </c>
      <c r="S612" s="160">
        <f t="shared" si="2573"/>
        <v>0</v>
      </c>
      <c r="T612" s="160">
        <f t="shared" si="2573"/>
        <v>0</v>
      </c>
      <c r="U612" s="160">
        <f t="shared" si="2573"/>
        <v>0</v>
      </c>
      <c r="V612" s="160">
        <f t="shared" si="2573"/>
        <v>0</v>
      </c>
      <c r="W612" s="160">
        <f t="shared" si="2573"/>
        <v>0</v>
      </c>
      <c r="X612" s="160">
        <f t="shared" si="2573"/>
        <v>0</v>
      </c>
      <c r="Y612" s="160">
        <f t="shared" si="2573"/>
        <v>0</v>
      </c>
      <c r="Z612" s="160">
        <f t="shared" si="2573"/>
        <v>0</v>
      </c>
      <c r="AA612" s="160">
        <f t="shared" si="2573"/>
        <v>0</v>
      </c>
      <c r="AB612" s="160">
        <f t="shared" si="2573"/>
        <v>0</v>
      </c>
      <c r="AC612" s="160">
        <f t="shared" si="2573"/>
        <v>0</v>
      </c>
      <c r="AD612" s="160">
        <f t="shared" si="2573"/>
        <v>0</v>
      </c>
      <c r="AE612" s="160">
        <f t="shared" si="2573"/>
        <v>0</v>
      </c>
      <c r="AF612" s="160">
        <f t="shared" si="2573"/>
        <v>0</v>
      </c>
      <c r="AG612" s="160">
        <f t="shared" si="2573"/>
        <v>0</v>
      </c>
      <c r="AH612" s="160">
        <f t="shared" si="2573"/>
        <v>0</v>
      </c>
      <c r="AI612" s="160">
        <f t="shared" si="2573"/>
        <v>0</v>
      </c>
      <c r="AJ612" s="160">
        <f t="shared" si="2573"/>
        <v>0</v>
      </c>
      <c r="AK612" s="160">
        <f t="shared" si="2573"/>
        <v>0</v>
      </c>
      <c r="AL612" s="160">
        <f t="shared" si="2573"/>
        <v>0</v>
      </c>
      <c r="AM612" s="160">
        <f t="shared" si="2573"/>
        <v>0</v>
      </c>
      <c r="AN612" s="160">
        <f t="shared" si="2573"/>
        <v>0</v>
      </c>
      <c r="AO612" s="160">
        <f t="shared" si="2573"/>
        <v>0</v>
      </c>
      <c r="AP612" s="160">
        <f t="shared" si="2573"/>
        <v>0</v>
      </c>
      <c r="AQ612" s="160">
        <f t="shared" si="2573"/>
        <v>0</v>
      </c>
      <c r="AR612" s="160">
        <f t="shared" si="2573"/>
        <v>0</v>
      </c>
      <c r="AS612" s="160">
        <f t="shared" si="2573"/>
        <v>0</v>
      </c>
      <c r="AT612" s="160">
        <f t="shared" si="2573"/>
        <v>0</v>
      </c>
      <c r="AU612" s="160">
        <f t="shared" si="2573"/>
        <v>0</v>
      </c>
      <c r="AV612" s="160">
        <f t="shared" si="2573"/>
        <v>0</v>
      </c>
      <c r="AW612" s="160">
        <f t="shared" si="2573"/>
        <v>0</v>
      </c>
      <c r="AX612" s="160">
        <f t="shared" si="2573"/>
        <v>0</v>
      </c>
      <c r="AY612" s="160">
        <f t="shared" si="2573"/>
        <v>0</v>
      </c>
      <c r="AZ612" s="160">
        <f t="shared" si="2573"/>
        <v>0</v>
      </c>
      <c r="BA612" s="160">
        <f t="shared" si="2573"/>
        <v>0</v>
      </c>
      <c r="BB612" s="160">
        <f t="shared" si="2573"/>
        <v>0</v>
      </c>
      <c r="BC612" s="160">
        <f t="shared" si="2573"/>
        <v>0</v>
      </c>
      <c r="BD612" s="160">
        <f t="shared" si="2573"/>
        <v>0</v>
      </c>
      <c r="BE612" s="160">
        <f t="shared" si="2573"/>
        <v>0</v>
      </c>
      <c r="BF612" s="160">
        <f t="shared" si="2573"/>
        <v>0</v>
      </c>
      <c r="BG612" s="160">
        <f t="shared" si="2573"/>
        <v>0</v>
      </c>
      <c r="BH612" s="160">
        <f t="shared" si="2573"/>
        <v>0</v>
      </c>
      <c r="BI612" s="160">
        <f t="shared" si="2573"/>
        <v>0</v>
      </c>
      <c r="BJ612" s="160">
        <f t="shared" si="2573"/>
        <v>0</v>
      </c>
      <c r="BK612" s="160">
        <f t="shared" si="2573"/>
        <v>0</v>
      </c>
      <c r="BL612" s="160">
        <f t="shared" si="2573"/>
        <v>0</v>
      </c>
      <c r="BM612" s="160">
        <f t="shared" si="2573"/>
        <v>0</v>
      </c>
      <c r="BN612" s="160">
        <f t="shared" si="2573"/>
        <v>0</v>
      </c>
      <c r="BO612" s="160">
        <f t="shared" si="2573"/>
        <v>0</v>
      </c>
      <c r="BP612" s="160">
        <f t="shared" si="2573"/>
        <v>0</v>
      </c>
      <c r="BQ612" s="160">
        <f t="shared" si="2573"/>
        <v>0</v>
      </c>
      <c r="BR612" s="160">
        <f t="shared" si="2573"/>
        <v>0</v>
      </c>
      <c r="BS612" s="65"/>
      <c r="BT612" s="160">
        <f t="shared" si="2435"/>
        <v>0</v>
      </c>
      <c r="BU612" s="160">
        <f t="shared" si="2436"/>
        <v>0</v>
      </c>
      <c r="BV612" s="65"/>
      <c r="BW612" s="69"/>
      <c r="BX612" s="65"/>
      <c r="BY612" s="137">
        <f t="shared" si="2437"/>
        <v>1</v>
      </c>
      <c r="BZ612" s="137">
        <f>IF(BY612&gt;0,BY612+LARGE($BZ$213:BZ611,1),0)</f>
        <v>336</v>
      </c>
      <c r="CA612" s="137" t="str">
        <f t="shared" si="2438"/>
        <v>AUX TEC</v>
      </c>
      <c r="CB612" s="161">
        <f t="shared" si="2439"/>
        <v>0</v>
      </c>
      <c r="CC612" s="161">
        <f t="shared" si="2440"/>
        <v>0</v>
      </c>
      <c r="CD612" s="161">
        <f t="shared" si="2441"/>
        <v>0</v>
      </c>
      <c r="CE612" s="161">
        <f t="shared" si="2442"/>
        <v>0</v>
      </c>
      <c r="CF612" s="161">
        <f t="shared" si="2443"/>
        <v>0</v>
      </c>
      <c r="CG612" s="161">
        <f t="shared" si="2444"/>
        <v>0</v>
      </c>
      <c r="CH612" s="161">
        <f t="shared" si="2445"/>
        <v>0</v>
      </c>
      <c r="CI612" s="161">
        <f t="shared" si="2446"/>
        <v>0</v>
      </c>
      <c r="CJ612" s="161">
        <f t="shared" si="2447"/>
        <v>0</v>
      </c>
      <c r="CK612" s="161">
        <f t="shared" si="2448"/>
        <v>0</v>
      </c>
      <c r="CL612" s="161">
        <f t="shared" si="2449"/>
        <v>0</v>
      </c>
      <c r="CM612" s="161">
        <f t="shared" si="2450"/>
        <v>0</v>
      </c>
      <c r="CN612" s="161">
        <f t="shared" si="2451"/>
        <v>0</v>
      </c>
      <c r="CO612" s="161">
        <f t="shared" si="2452"/>
        <v>0</v>
      </c>
      <c r="CP612" s="161">
        <f t="shared" si="2453"/>
        <v>0</v>
      </c>
      <c r="CQ612" s="161">
        <f t="shared" si="2454"/>
        <v>0</v>
      </c>
      <c r="CR612" s="161">
        <f t="shared" si="2455"/>
        <v>0</v>
      </c>
      <c r="CS612" s="161">
        <f t="shared" si="2456"/>
        <v>0</v>
      </c>
      <c r="CT612" s="161">
        <f t="shared" si="2457"/>
        <v>0</v>
      </c>
      <c r="CU612" s="161">
        <f t="shared" si="2458"/>
        <v>0</v>
      </c>
      <c r="CV612" s="161">
        <f t="shared" si="2459"/>
        <v>0</v>
      </c>
      <c r="CW612" s="161">
        <f t="shared" si="2460"/>
        <v>0</v>
      </c>
      <c r="CX612" s="161">
        <f t="shared" si="2461"/>
        <v>0</v>
      </c>
      <c r="CY612" s="161">
        <f t="shared" si="2462"/>
        <v>0</v>
      </c>
      <c r="CZ612" s="161">
        <f t="shared" si="2463"/>
        <v>0</v>
      </c>
      <c r="DA612" s="161">
        <f t="shared" si="2464"/>
        <v>0</v>
      </c>
      <c r="DB612" s="161">
        <f t="shared" si="2465"/>
        <v>0</v>
      </c>
      <c r="DC612" s="161">
        <f t="shared" si="2466"/>
        <v>0</v>
      </c>
      <c r="DD612" s="161">
        <f t="shared" si="2467"/>
        <v>0</v>
      </c>
      <c r="DE612" s="161">
        <f t="shared" si="2468"/>
        <v>0</v>
      </c>
      <c r="DF612" s="161">
        <f t="shared" si="2469"/>
        <v>0</v>
      </c>
      <c r="DG612" s="161">
        <f t="shared" si="2470"/>
        <v>0</v>
      </c>
      <c r="DH612" s="161">
        <f t="shared" si="2471"/>
        <v>0</v>
      </c>
      <c r="DI612" s="161">
        <f t="shared" si="2472"/>
        <v>0</v>
      </c>
      <c r="DJ612" s="161">
        <f t="shared" si="2473"/>
        <v>0</v>
      </c>
      <c r="DK612" s="161">
        <f t="shared" si="2474"/>
        <v>0</v>
      </c>
      <c r="DL612" s="161">
        <f t="shared" si="2475"/>
        <v>0</v>
      </c>
      <c r="DM612" s="161">
        <f t="shared" si="2476"/>
        <v>0</v>
      </c>
      <c r="DN612" s="161">
        <f t="shared" si="2477"/>
        <v>0</v>
      </c>
      <c r="DO612" s="161">
        <f t="shared" si="2478"/>
        <v>0</v>
      </c>
      <c r="DP612" s="161">
        <f t="shared" si="2479"/>
        <v>0</v>
      </c>
      <c r="DQ612" s="161">
        <f t="shared" si="2480"/>
        <v>0</v>
      </c>
      <c r="DR612" s="161">
        <f t="shared" si="2481"/>
        <v>0</v>
      </c>
      <c r="DS612" s="161">
        <f t="shared" si="2482"/>
        <v>0</v>
      </c>
      <c r="DT612" s="161">
        <f t="shared" si="2483"/>
        <v>0</v>
      </c>
      <c r="DU612" s="161">
        <f t="shared" si="2484"/>
        <v>0</v>
      </c>
      <c r="DV612" s="161">
        <f t="shared" si="2485"/>
        <v>0</v>
      </c>
      <c r="DW612" s="161">
        <f t="shared" si="2486"/>
        <v>0</v>
      </c>
      <c r="DX612" s="161">
        <f t="shared" si="2487"/>
        <v>0</v>
      </c>
      <c r="DY612" s="161">
        <f t="shared" si="2488"/>
        <v>0</v>
      </c>
      <c r="DZ612" s="161">
        <f t="shared" si="2489"/>
        <v>0</v>
      </c>
      <c r="EA612" s="161">
        <f t="shared" si="2490"/>
        <v>0</v>
      </c>
      <c r="EB612" s="161">
        <f t="shared" si="2491"/>
        <v>0</v>
      </c>
      <c r="EC612" s="161">
        <f t="shared" si="2492"/>
        <v>0</v>
      </c>
      <c r="ED612" s="161">
        <f t="shared" si="2493"/>
        <v>0</v>
      </c>
      <c r="EE612" s="161">
        <f t="shared" si="2494"/>
        <v>0</v>
      </c>
      <c r="EF612" s="161">
        <f t="shared" si="2495"/>
        <v>0</v>
      </c>
      <c r="EG612" s="161">
        <f t="shared" si="2496"/>
        <v>0</v>
      </c>
      <c r="EH612" s="161">
        <f t="shared" si="2497"/>
        <v>0</v>
      </c>
      <c r="EI612" s="161">
        <f t="shared" si="2498"/>
        <v>0</v>
      </c>
      <c r="EJ612" s="65"/>
      <c r="EK612" s="161">
        <f t="shared" si="2569"/>
        <v>0</v>
      </c>
      <c r="EL612" s="161">
        <f t="shared" si="2570"/>
        <v>0</v>
      </c>
      <c r="EM612" s="161">
        <f t="shared" si="2571"/>
        <v>0</v>
      </c>
    </row>
    <row r="613" spans="1:143" ht="12" hidden="1" customHeight="1" outlineLevel="2">
      <c r="A613" s="77">
        <v>17</v>
      </c>
      <c r="B613" s="137" t="str">
        <f t="shared" si="2499"/>
        <v>AUX ADM - Equipe_01</v>
      </c>
      <c r="C613" s="65"/>
      <c r="D613" s="622"/>
      <c r="E613" s="65"/>
      <c r="F613" s="603"/>
      <c r="G613" s="77" t="str">
        <f>IF(INDEX(Tarefas!$BT$30:$FK$30,MATCH(A613,Tarefas!$BT$28:$FK$28,0))=0,"",INDEX(Tarefas!$BT$30:$FK$30,MATCH(A613,Tarefas!$BT$28:$FK$28,0)))</f>
        <v>AUX ADM</v>
      </c>
      <c r="H613" s="107" cm="1">
        <f t="array" ref="H613">IFERROR((SUMPRODUCT((Tarefas!$N$32:$N$54='Cronog. e Histog.'!$F$597)*(Tarefas!$BQ$30:$FK$30='Cronog. e Histog.'!$G613)*(Tarefas!$BQ$32:$FK$54)))/SUMIF(Tarefas!$N$32:$N$54,'Cronog. e Histog.'!$F$597,Tarefas!$K$32:$K$54),0)</f>
        <v>0</v>
      </c>
      <c r="I613" s="79">
        <f t="shared" si="2500"/>
        <v>0</v>
      </c>
      <c r="J613" s="65"/>
      <c r="K613" s="160">
        <f t="shared" si="2572"/>
        <v>0</v>
      </c>
      <c r="L613" s="160">
        <f t="shared" si="2573"/>
        <v>0</v>
      </c>
      <c r="M613" s="160">
        <f t="shared" si="2573"/>
        <v>0</v>
      </c>
      <c r="N613" s="160">
        <f t="shared" si="2573"/>
        <v>0</v>
      </c>
      <c r="O613" s="160">
        <f t="shared" si="2573"/>
        <v>0</v>
      </c>
      <c r="P613" s="160">
        <f t="shared" si="2573"/>
        <v>0</v>
      </c>
      <c r="Q613" s="160">
        <f t="shared" si="2573"/>
        <v>0</v>
      </c>
      <c r="R613" s="160">
        <f t="shared" si="2573"/>
        <v>0</v>
      </c>
      <c r="S613" s="160">
        <f t="shared" si="2573"/>
        <v>0</v>
      </c>
      <c r="T613" s="160">
        <f t="shared" si="2573"/>
        <v>0</v>
      </c>
      <c r="U613" s="160">
        <f t="shared" si="2573"/>
        <v>0</v>
      </c>
      <c r="V613" s="160">
        <f t="shared" si="2573"/>
        <v>0</v>
      </c>
      <c r="W613" s="160">
        <f t="shared" si="2573"/>
        <v>0</v>
      </c>
      <c r="X613" s="160">
        <f t="shared" si="2573"/>
        <v>0</v>
      </c>
      <c r="Y613" s="160">
        <f t="shared" si="2573"/>
        <v>0</v>
      </c>
      <c r="Z613" s="160">
        <f t="shared" si="2573"/>
        <v>0</v>
      </c>
      <c r="AA613" s="160">
        <f t="shared" si="2573"/>
        <v>0</v>
      </c>
      <c r="AB613" s="160">
        <f t="shared" si="2573"/>
        <v>0</v>
      </c>
      <c r="AC613" s="160">
        <f t="shared" si="2573"/>
        <v>0</v>
      </c>
      <c r="AD613" s="160">
        <f t="shared" si="2573"/>
        <v>0</v>
      </c>
      <c r="AE613" s="160">
        <f t="shared" si="2573"/>
        <v>0</v>
      </c>
      <c r="AF613" s="160">
        <f t="shared" si="2573"/>
        <v>0</v>
      </c>
      <c r="AG613" s="160">
        <f t="shared" si="2573"/>
        <v>0</v>
      </c>
      <c r="AH613" s="160">
        <f t="shared" si="2573"/>
        <v>0</v>
      </c>
      <c r="AI613" s="160">
        <f t="shared" si="2573"/>
        <v>0</v>
      </c>
      <c r="AJ613" s="160">
        <f t="shared" si="2573"/>
        <v>0</v>
      </c>
      <c r="AK613" s="160">
        <f t="shared" si="2573"/>
        <v>0</v>
      </c>
      <c r="AL613" s="160">
        <f t="shared" si="2573"/>
        <v>0</v>
      </c>
      <c r="AM613" s="160">
        <f t="shared" si="2573"/>
        <v>0</v>
      </c>
      <c r="AN613" s="160">
        <f t="shared" si="2573"/>
        <v>0</v>
      </c>
      <c r="AO613" s="160">
        <f t="shared" si="2573"/>
        <v>0</v>
      </c>
      <c r="AP613" s="160">
        <f t="shared" si="2573"/>
        <v>0</v>
      </c>
      <c r="AQ613" s="160">
        <f t="shared" si="2573"/>
        <v>0</v>
      </c>
      <c r="AR613" s="160">
        <f t="shared" si="2573"/>
        <v>0</v>
      </c>
      <c r="AS613" s="160">
        <f t="shared" si="2573"/>
        <v>0</v>
      </c>
      <c r="AT613" s="160">
        <f t="shared" si="2573"/>
        <v>0</v>
      </c>
      <c r="AU613" s="160">
        <f t="shared" si="2573"/>
        <v>0</v>
      </c>
      <c r="AV613" s="160">
        <f t="shared" si="2573"/>
        <v>0</v>
      </c>
      <c r="AW613" s="160">
        <f t="shared" si="2573"/>
        <v>0</v>
      </c>
      <c r="AX613" s="160">
        <f t="shared" si="2573"/>
        <v>0</v>
      </c>
      <c r="AY613" s="160">
        <f t="shared" si="2573"/>
        <v>0</v>
      </c>
      <c r="AZ613" s="160">
        <f t="shared" si="2573"/>
        <v>0</v>
      </c>
      <c r="BA613" s="160">
        <f t="shared" si="2573"/>
        <v>0</v>
      </c>
      <c r="BB613" s="160">
        <f t="shared" si="2573"/>
        <v>0</v>
      </c>
      <c r="BC613" s="160">
        <f t="shared" si="2573"/>
        <v>0</v>
      </c>
      <c r="BD613" s="160">
        <f t="shared" si="2573"/>
        <v>0</v>
      </c>
      <c r="BE613" s="160">
        <f t="shared" si="2573"/>
        <v>0</v>
      </c>
      <c r="BF613" s="160">
        <f t="shared" si="2573"/>
        <v>0</v>
      </c>
      <c r="BG613" s="160">
        <f t="shared" si="2573"/>
        <v>0</v>
      </c>
      <c r="BH613" s="160">
        <f t="shared" si="2573"/>
        <v>0</v>
      </c>
      <c r="BI613" s="160">
        <f t="shared" si="2573"/>
        <v>0</v>
      </c>
      <c r="BJ613" s="160">
        <f t="shared" si="2573"/>
        <v>0</v>
      </c>
      <c r="BK613" s="160">
        <f t="shared" si="2573"/>
        <v>0</v>
      </c>
      <c r="BL613" s="160">
        <f t="shared" si="2573"/>
        <v>0</v>
      </c>
      <c r="BM613" s="160">
        <f t="shared" si="2573"/>
        <v>0</v>
      </c>
      <c r="BN613" s="160">
        <f t="shared" si="2573"/>
        <v>0</v>
      </c>
      <c r="BO613" s="160">
        <f t="shared" si="2573"/>
        <v>0</v>
      </c>
      <c r="BP613" s="160">
        <f t="shared" si="2573"/>
        <v>0</v>
      </c>
      <c r="BQ613" s="160">
        <f t="shared" si="2573"/>
        <v>0</v>
      </c>
      <c r="BR613" s="160">
        <f t="shared" si="2573"/>
        <v>0</v>
      </c>
      <c r="BS613" s="65"/>
      <c r="BT613" s="160">
        <f t="shared" si="2435"/>
        <v>0</v>
      </c>
      <c r="BU613" s="160">
        <f t="shared" si="2436"/>
        <v>0</v>
      </c>
      <c r="BV613" s="65"/>
      <c r="BW613" s="69"/>
      <c r="BX613" s="65"/>
      <c r="BY613" s="137">
        <f t="shared" si="2437"/>
        <v>1</v>
      </c>
      <c r="BZ613" s="137">
        <f>IF(BY613&gt;0,BY613+LARGE($BZ$213:BZ612,1),0)</f>
        <v>337</v>
      </c>
      <c r="CA613" s="137" t="str">
        <f t="shared" si="2438"/>
        <v>AUX ADM</v>
      </c>
      <c r="CB613" s="161">
        <f t="shared" si="2439"/>
        <v>0</v>
      </c>
      <c r="CC613" s="161">
        <f t="shared" si="2440"/>
        <v>0</v>
      </c>
      <c r="CD613" s="161">
        <f t="shared" si="2441"/>
        <v>0</v>
      </c>
      <c r="CE613" s="161">
        <f t="shared" si="2442"/>
        <v>0</v>
      </c>
      <c r="CF613" s="161">
        <f t="shared" si="2443"/>
        <v>0</v>
      </c>
      <c r="CG613" s="161">
        <f t="shared" si="2444"/>
        <v>0</v>
      </c>
      <c r="CH613" s="161">
        <f t="shared" si="2445"/>
        <v>0</v>
      </c>
      <c r="CI613" s="161">
        <f t="shared" si="2446"/>
        <v>0</v>
      </c>
      <c r="CJ613" s="161">
        <f t="shared" si="2447"/>
        <v>0</v>
      </c>
      <c r="CK613" s="161">
        <f t="shared" si="2448"/>
        <v>0</v>
      </c>
      <c r="CL613" s="161">
        <f t="shared" si="2449"/>
        <v>0</v>
      </c>
      <c r="CM613" s="161">
        <f t="shared" si="2450"/>
        <v>0</v>
      </c>
      <c r="CN613" s="161">
        <f t="shared" si="2451"/>
        <v>0</v>
      </c>
      <c r="CO613" s="161">
        <f t="shared" si="2452"/>
        <v>0</v>
      </c>
      <c r="CP613" s="161">
        <f t="shared" si="2453"/>
        <v>0</v>
      </c>
      <c r="CQ613" s="161">
        <f t="shared" si="2454"/>
        <v>0</v>
      </c>
      <c r="CR613" s="161">
        <f t="shared" si="2455"/>
        <v>0</v>
      </c>
      <c r="CS613" s="161">
        <f t="shared" si="2456"/>
        <v>0</v>
      </c>
      <c r="CT613" s="161">
        <f t="shared" si="2457"/>
        <v>0</v>
      </c>
      <c r="CU613" s="161">
        <f t="shared" si="2458"/>
        <v>0</v>
      </c>
      <c r="CV613" s="161">
        <f t="shared" si="2459"/>
        <v>0</v>
      </c>
      <c r="CW613" s="161">
        <f t="shared" si="2460"/>
        <v>0</v>
      </c>
      <c r="CX613" s="161">
        <f t="shared" si="2461"/>
        <v>0</v>
      </c>
      <c r="CY613" s="161">
        <f t="shared" si="2462"/>
        <v>0</v>
      </c>
      <c r="CZ613" s="161">
        <f t="shared" si="2463"/>
        <v>0</v>
      </c>
      <c r="DA613" s="161">
        <f t="shared" si="2464"/>
        <v>0</v>
      </c>
      <c r="DB613" s="161">
        <f t="shared" si="2465"/>
        <v>0</v>
      </c>
      <c r="DC613" s="161">
        <f t="shared" si="2466"/>
        <v>0</v>
      </c>
      <c r="DD613" s="161">
        <f t="shared" si="2467"/>
        <v>0</v>
      </c>
      <c r="DE613" s="161">
        <f t="shared" si="2468"/>
        <v>0</v>
      </c>
      <c r="DF613" s="161">
        <f t="shared" si="2469"/>
        <v>0</v>
      </c>
      <c r="DG613" s="161">
        <f t="shared" si="2470"/>
        <v>0</v>
      </c>
      <c r="DH613" s="161">
        <f t="shared" si="2471"/>
        <v>0</v>
      </c>
      <c r="DI613" s="161">
        <f t="shared" si="2472"/>
        <v>0</v>
      </c>
      <c r="DJ613" s="161">
        <f t="shared" si="2473"/>
        <v>0</v>
      </c>
      <c r="DK613" s="161">
        <f t="shared" si="2474"/>
        <v>0</v>
      </c>
      <c r="DL613" s="161">
        <f t="shared" si="2475"/>
        <v>0</v>
      </c>
      <c r="DM613" s="161">
        <f t="shared" si="2476"/>
        <v>0</v>
      </c>
      <c r="DN613" s="161">
        <f t="shared" si="2477"/>
        <v>0</v>
      </c>
      <c r="DO613" s="161">
        <f t="shared" si="2478"/>
        <v>0</v>
      </c>
      <c r="DP613" s="161">
        <f t="shared" si="2479"/>
        <v>0</v>
      </c>
      <c r="DQ613" s="161">
        <f t="shared" si="2480"/>
        <v>0</v>
      </c>
      <c r="DR613" s="161">
        <f t="shared" si="2481"/>
        <v>0</v>
      </c>
      <c r="DS613" s="161">
        <f t="shared" si="2482"/>
        <v>0</v>
      </c>
      <c r="DT613" s="161">
        <f t="shared" si="2483"/>
        <v>0</v>
      </c>
      <c r="DU613" s="161">
        <f t="shared" si="2484"/>
        <v>0</v>
      </c>
      <c r="DV613" s="161">
        <f t="shared" si="2485"/>
        <v>0</v>
      </c>
      <c r="DW613" s="161">
        <f t="shared" si="2486"/>
        <v>0</v>
      </c>
      <c r="DX613" s="161">
        <f t="shared" si="2487"/>
        <v>0</v>
      </c>
      <c r="DY613" s="161">
        <f t="shared" si="2488"/>
        <v>0</v>
      </c>
      <c r="DZ613" s="161">
        <f t="shared" si="2489"/>
        <v>0</v>
      </c>
      <c r="EA613" s="161">
        <f t="shared" si="2490"/>
        <v>0</v>
      </c>
      <c r="EB613" s="161">
        <f t="shared" si="2491"/>
        <v>0</v>
      </c>
      <c r="EC613" s="161">
        <f t="shared" si="2492"/>
        <v>0</v>
      </c>
      <c r="ED613" s="161">
        <f t="shared" si="2493"/>
        <v>0</v>
      </c>
      <c r="EE613" s="161">
        <f t="shared" si="2494"/>
        <v>0</v>
      </c>
      <c r="EF613" s="161">
        <f t="shared" si="2495"/>
        <v>0</v>
      </c>
      <c r="EG613" s="161">
        <f t="shared" si="2496"/>
        <v>0</v>
      </c>
      <c r="EH613" s="161">
        <f t="shared" si="2497"/>
        <v>0</v>
      </c>
      <c r="EI613" s="161">
        <f t="shared" si="2498"/>
        <v>0</v>
      </c>
      <c r="EJ613" s="65"/>
      <c r="EK613" s="161">
        <f t="shared" si="2569"/>
        <v>0</v>
      </c>
      <c r="EL613" s="161">
        <f t="shared" si="2570"/>
        <v>0</v>
      </c>
      <c r="EM613" s="161">
        <f t="shared" si="2571"/>
        <v>0</v>
      </c>
    </row>
    <row r="614" spans="1:143" ht="12" hidden="1" customHeight="1" outlineLevel="2">
      <c r="A614" s="77">
        <v>18</v>
      </c>
      <c r="B614" s="137" t="str">
        <f t="shared" si="2499"/>
        <v>EST - Equipe_01</v>
      </c>
      <c r="C614" s="65"/>
      <c r="D614" s="622"/>
      <c r="E614" s="65"/>
      <c r="F614" s="603"/>
      <c r="G614" s="77" t="str">
        <f>IF(INDEX(Tarefas!$BT$30:$FK$30,MATCH(A614,Tarefas!$BT$28:$FK$28,0))=0,"",INDEX(Tarefas!$BT$30:$FK$30,MATCH(A614,Tarefas!$BT$28:$FK$28,0)))</f>
        <v>EST</v>
      </c>
      <c r="H614" s="107" cm="1">
        <f t="array" ref="H614">IFERROR((SUMPRODUCT((Tarefas!$N$32:$N$54='Cronog. e Histog.'!$F$597)*(Tarefas!$BQ$30:$FK$30='Cronog. e Histog.'!$G614)*(Tarefas!$BQ$32:$FK$54)))/SUMIF(Tarefas!$N$32:$N$54,'Cronog. e Histog.'!$F$597,Tarefas!$K$32:$K$54),0)</f>
        <v>0</v>
      </c>
      <c r="I614" s="79">
        <f t="shared" si="2500"/>
        <v>0</v>
      </c>
      <c r="J614" s="65"/>
      <c r="K614" s="160">
        <f t="shared" si="2572"/>
        <v>0</v>
      </c>
      <c r="L614" s="160">
        <f t="shared" si="2573"/>
        <v>0</v>
      </c>
      <c r="M614" s="160">
        <f t="shared" si="2573"/>
        <v>0</v>
      </c>
      <c r="N614" s="160">
        <f t="shared" si="2573"/>
        <v>0</v>
      </c>
      <c r="O614" s="160">
        <f t="shared" si="2573"/>
        <v>0</v>
      </c>
      <c r="P614" s="160">
        <f t="shared" si="2573"/>
        <v>0</v>
      </c>
      <c r="Q614" s="160">
        <f t="shared" si="2573"/>
        <v>0</v>
      </c>
      <c r="R614" s="160">
        <f t="shared" si="2573"/>
        <v>0</v>
      </c>
      <c r="S614" s="160">
        <f t="shared" si="2573"/>
        <v>0</v>
      </c>
      <c r="T614" s="160">
        <f t="shared" si="2573"/>
        <v>0</v>
      </c>
      <c r="U614" s="160">
        <f t="shared" si="2573"/>
        <v>0</v>
      </c>
      <c r="V614" s="160">
        <f t="shared" si="2573"/>
        <v>0</v>
      </c>
      <c r="W614" s="160">
        <f t="shared" si="2573"/>
        <v>0</v>
      </c>
      <c r="X614" s="160">
        <f t="shared" si="2573"/>
        <v>0</v>
      </c>
      <c r="Y614" s="160">
        <f t="shared" si="2573"/>
        <v>0</v>
      </c>
      <c r="Z614" s="160">
        <f t="shared" si="2573"/>
        <v>0</v>
      </c>
      <c r="AA614" s="160">
        <f t="shared" si="2573"/>
        <v>0</v>
      </c>
      <c r="AB614" s="160">
        <f t="shared" si="2573"/>
        <v>0</v>
      </c>
      <c r="AC614" s="160">
        <f t="shared" si="2573"/>
        <v>0</v>
      </c>
      <c r="AD614" s="160">
        <f t="shared" si="2573"/>
        <v>0</v>
      </c>
      <c r="AE614" s="160">
        <f t="shared" si="2573"/>
        <v>0</v>
      </c>
      <c r="AF614" s="160">
        <f t="shared" si="2573"/>
        <v>0</v>
      </c>
      <c r="AG614" s="160">
        <f t="shared" si="2573"/>
        <v>0</v>
      </c>
      <c r="AH614" s="160">
        <f t="shared" si="2573"/>
        <v>0</v>
      </c>
      <c r="AI614" s="160">
        <f t="shared" si="2573"/>
        <v>0</v>
      </c>
      <c r="AJ614" s="160">
        <f t="shared" si="2573"/>
        <v>0</v>
      </c>
      <c r="AK614" s="160">
        <f t="shared" si="2573"/>
        <v>0</v>
      </c>
      <c r="AL614" s="160">
        <f t="shared" si="2573"/>
        <v>0</v>
      </c>
      <c r="AM614" s="160">
        <f t="shared" si="2573"/>
        <v>0</v>
      </c>
      <c r="AN614" s="160">
        <f t="shared" si="2573"/>
        <v>0</v>
      </c>
      <c r="AO614" s="160">
        <f t="shared" si="2573"/>
        <v>0</v>
      </c>
      <c r="AP614" s="160">
        <f t="shared" si="2573"/>
        <v>0</v>
      </c>
      <c r="AQ614" s="160">
        <f t="shared" si="2573"/>
        <v>0</v>
      </c>
      <c r="AR614" s="160">
        <f t="shared" si="2573"/>
        <v>0</v>
      </c>
      <c r="AS614" s="160">
        <f t="shared" si="2573"/>
        <v>0</v>
      </c>
      <c r="AT614" s="160">
        <f t="shared" si="2573"/>
        <v>0</v>
      </c>
      <c r="AU614" s="160">
        <f t="shared" si="2573"/>
        <v>0</v>
      </c>
      <c r="AV614" s="160">
        <f t="shared" si="2573"/>
        <v>0</v>
      </c>
      <c r="AW614" s="160">
        <f t="shared" si="2573"/>
        <v>0</v>
      </c>
      <c r="AX614" s="160">
        <f t="shared" si="2573"/>
        <v>0</v>
      </c>
      <c r="AY614" s="160">
        <f t="shared" si="2573"/>
        <v>0</v>
      </c>
      <c r="AZ614" s="160">
        <f t="shared" si="2573"/>
        <v>0</v>
      </c>
      <c r="BA614" s="160">
        <f t="shared" si="2573"/>
        <v>0</v>
      </c>
      <c r="BB614" s="160">
        <f t="shared" si="2573"/>
        <v>0</v>
      </c>
      <c r="BC614" s="160">
        <f t="shared" si="2573"/>
        <v>0</v>
      </c>
      <c r="BD614" s="160">
        <f t="shared" si="2573"/>
        <v>0</v>
      </c>
      <c r="BE614" s="160">
        <f t="shared" si="2573"/>
        <v>0</v>
      </c>
      <c r="BF614" s="160">
        <f t="shared" si="2573"/>
        <v>0</v>
      </c>
      <c r="BG614" s="160">
        <f t="shared" si="2573"/>
        <v>0</v>
      </c>
      <c r="BH614" s="160">
        <f t="shared" si="2573"/>
        <v>0</v>
      </c>
      <c r="BI614" s="160">
        <f t="shared" si="2573"/>
        <v>0</v>
      </c>
      <c r="BJ614" s="160">
        <f t="shared" si="2573"/>
        <v>0</v>
      </c>
      <c r="BK614" s="160">
        <f t="shared" si="2573"/>
        <v>0</v>
      </c>
      <c r="BL614" s="160">
        <f t="shared" si="2573"/>
        <v>0</v>
      </c>
      <c r="BM614" s="160">
        <f t="shared" si="2573"/>
        <v>0</v>
      </c>
      <c r="BN614" s="160">
        <f t="shared" si="2573"/>
        <v>0</v>
      </c>
      <c r="BO614" s="160">
        <f t="shared" si="2573"/>
        <v>0</v>
      </c>
      <c r="BP614" s="160">
        <f t="shared" si="2573"/>
        <v>0</v>
      </c>
      <c r="BQ614" s="160">
        <f t="shared" si="2573"/>
        <v>0</v>
      </c>
      <c r="BR614" s="160">
        <f t="shared" si="2573"/>
        <v>0</v>
      </c>
      <c r="BS614" s="65"/>
      <c r="BT614" s="160">
        <f t="shared" si="2435"/>
        <v>0</v>
      </c>
      <c r="BU614" s="160">
        <f t="shared" si="2436"/>
        <v>0</v>
      </c>
      <c r="BV614" s="65"/>
      <c r="BW614" s="69"/>
      <c r="BX614" s="65"/>
      <c r="BY614" s="137">
        <f t="shared" si="2437"/>
        <v>1</v>
      </c>
      <c r="BZ614" s="137">
        <f>IF(BY614&gt;0,BY614+LARGE($BZ$213:BZ613,1),0)</f>
        <v>338</v>
      </c>
      <c r="CA614" s="137" t="str">
        <f t="shared" si="2438"/>
        <v>EST</v>
      </c>
      <c r="CB614" s="161">
        <f t="shared" si="2439"/>
        <v>0</v>
      </c>
      <c r="CC614" s="161">
        <f t="shared" si="2440"/>
        <v>0</v>
      </c>
      <c r="CD614" s="161">
        <f t="shared" si="2441"/>
        <v>0</v>
      </c>
      <c r="CE614" s="161">
        <f t="shared" si="2442"/>
        <v>0</v>
      </c>
      <c r="CF614" s="161">
        <f t="shared" si="2443"/>
        <v>0</v>
      </c>
      <c r="CG614" s="161">
        <f t="shared" si="2444"/>
        <v>0</v>
      </c>
      <c r="CH614" s="161">
        <f t="shared" si="2445"/>
        <v>0</v>
      </c>
      <c r="CI614" s="161">
        <f t="shared" si="2446"/>
        <v>0</v>
      </c>
      <c r="CJ614" s="161">
        <f t="shared" si="2447"/>
        <v>0</v>
      </c>
      <c r="CK614" s="161">
        <f t="shared" si="2448"/>
        <v>0</v>
      </c>
      <c r="CL614" s="161">
        <f t="shared" si="2449"/>
        <v>0</v>
      </c>
      <c r="CM614" s="161">
        <f t="shared" si="2450"/>
        <v>0</v>
      </c>
      <c r="CN614" s="161">
        <f t="shared" si="2451"/>
        <v>0</v>
      </c>
      <c r="CO614" s="161">
        <f t="shared" si="2452"/>
        <v>0</v>
      </c>
      <c r="CP614" s="161">
        <f t="shared" si="2453"/>
        <v>0</v>
      </c>
      <c r="CQ614" s="161">
        <f t="shared" si="2454"/>
        <v>0</v>
      </c>
      <c r="CR614" s="161">
        <f t="shared" si="2455"/>
        <v>0</v>
      </c>
      <c r="CS614" s="161">
        <f t="shared" si="2456"/>
        <v>0</v>
      </c>
      <c r="CT614" s="161">
        <f t="shared" si="2457"/>
        <v>0</v>
      </c>
      <c r="CU614" s="161">
        <f t="shared" si="2458"/>
        <v>0</v>
      </c>
      <c r="CV614" s="161">
        <f t="shared" si="2459"/>
        <v>0</v>
      </c>
      <c r="CW614" s="161">
        <f t="shared" si="2460"/>
        <v>0</v>
      </c>
      <c r="CX614" s="161">
        <f t="shared" si="2461"/>
        <v>0</v>
      </c>
      <c r="CY614" s="161">
        <f t="shared" si="2462"/>
        <v>0</v>
      </c>
      <c r="CZ614" s="161">
        <f t="shared" si="2463"/>
        <v>0</v>
      </c>
      <c r="DA614" s="161">
        <f t="shared" si="2464"/>
        <v>0</v>
      </c>
      <c r="DB614" s="161">
        <f t="shared" si="2465"/>
        <v>0</v>
      </c>
      <c r="DC614" s="161">
        <f t="shared" si="2466"/>
        <v>0</v>
      </c>
      <c r="DD614" s="161">
        <f t="shared" si="2467"/>
        <v>0</v>
      </c>
      <c r="DE614" s="161">
        <f t="shared" si="2468"/>
        <v>0</v>
      </c>
      <c r="DF614" s="161">
        <f t="shared" si="2469"/>
        <v>0</v>
      </c>
      <c r="DG614" s="161">
        <f t="shared" si="2470"/>
        <v>0</v>
      </c>
      <c r="DH614" s="161">
        <f t="shared" si="2471"/>
        <v>0</v>
      </c>
      <c r="DI614" s="161">
        <f t="shared" si="2472"/>
        <v>0</v>
      </c>
      <c r="DJ614" s="161">
        <f t="shared" si="2473"/>
        <v>0</v>
      </c>
      <c r="DK614" s="161">
        <f t="shared" si="2474"/>
        <v>0</v>
      </c>
      <c r="DL614" s="161">
        <f t="shared" si="2475"/>
        <v>0</v>
      </c>
      <c r="DM614" s="161">
        <f t="shared" si="2476"/>
        <v>0</v>
      </c>
      <c r="DN614" s="161">
        <f t="shared" si="2477"/>
        <v>0</v>
      </c>
      <c r="DO614" s="161">
        <f t="shared" si="2478"/>
        <v>0</v>
      </c>
      <c r="DP614" s="161">
        <f t="shared" si="2479"/>
        <v>0</v>
      </c>
      <c r="DQ614" s="161">
        <f t="shared" si="2480"/>
        <v>0</v>
      </c>
      <c r="DR614" s="161">
        <f t="shared" si="2481"/>
        <v>0</v>
      </c>
      <c r="DS614" s="161">
        <f t="shared" si="2482"/>
        <v>0</v>
      </c>
      <c r="DT614" s="161">
        <f t="shared" si="2483"/>
        <v>0</v>
      </c>
      <c r="DU614" s="161">
        <f t="shared" si="2484"/>
        <v>0</v>
      </c>
      <c r="DV614" s="161">
        <f t="shared" si="2485"/>
        <v>0</v>
      </c>
      <c r="DW614" s="161">
        <f t="shared" si="2486"/>
        <v>0</v>
      </c>
      <c r="DX614" s="161">
        <f t="shared" si="2487"/>
        <v>0</v>
      </c>
      <c r="DY614" s="161">
        <f t="shared" si="2488"/>
        <v>0</v>
      </c>
      <c r="DZ614" s="161">
        <f t="shared" si="2489"/>
        <v>0</v>
      </c>
      <c r="EA614" s="161">
        <f t="shared" si="2490"/>
        <v>0</v>
      </c>
      <c r="EB614" s="161">
        <f t="shared" si="2491"/>
        <v>0</v>
      </c>
      <c r="EC614" s="161">
        <f t="shared" si="2492"/>
        <v>0</v>
      </c>
      <c r="ED614" s="161">
        <f t="shared" si="2493"/>
        <v>0</v>
      </c>
      <c r="EE614" s="161">
        <f t="shared" si="2494"/>
        <v>0</v>
      </c>
      <c r="EF614" s="161">
        <f t="shared" si="2495"/>
        <v>0</v>
      </c>
      <c r="EG614" s="161">
        <f t="shared" si="2496"/>
        <v>0</v>
      </c>
      <c r="EH614" s="161">
        <f t="shared" si="2497"/>
        <v>0</v>
      </c>
      <c r="EI614" s="161">
        <f t="shared" si="2498"/>
        <v>0</v>
      </c>
      <c r="EJ614" s="65"/>
      <c r="EK614" s="161">
        <f t="shared" si="2569"/>
        <v>0</v>
      </c>
      <c r="EL614" s="161">
        <f t="shared" si="2570"/>
        <v>0</v>
      </c>
      <c r="EM614" s="161">
        <f t="shared" si="2571"/>
        <v>0</v>
      </c>
    </row>
    <row r="615" spans="1:143" ht="12" hidden="1" customHeight="1" outlineLevel="2">
      <c r="A615" s="77">
        <v>19</v>
      </c>
      <c r="B615" s="137" t="str">
        <f t="shared" si="2499"/>
        <v>EST_II - Equipe_01</v>
      </c>
      <c r="C615" s="65"/>
      <c r="D615" s="622"/>
      <c r="E615" s="65"/>
      <c r="F615" s="603"/>
      <c r="G615" s="77" t="str">
        <f>IF(INDEX(Tarefas!$BT$30:$FK$30,MATCH(A615,Tarefas!$BT$28:$FK$28,0))=0,"",INDEX(Tarefas!$BT$30:$FK$30,MATCH(A615,Tarefas!$BT$28:$FK$28,0)))</f>
        <v>EST_II</v>
      </c>
      <c r="H615" s="107" cm="1">
        <f t="array" ref="H615">IFERROR((SUMPRODUCT((Tarefas!$N$32:$N$54='Cronog. e Histog.'!$F$597)*(Tarefas!$BQ$30:$FK$30='Cronog. e Histog.'!$G615)*(Tarefas!$BQ$32:$FK$54)))/SUMIF(Tarefas!$N$32:$N$54,'Cronog. e Histog.'!$F$597,Tarefas!$K$32:$K$54),0)</f>
        <v>0</v>
      </c>
      <c r="I615" s="79">
        <f t="shared" si="2500"/>
        <v>0</v>
      </c>
      <c r="J615" s="65"/>
      <c r="K615" s="160">
        <f t="shared" si="2572"/>
        <v>0</v>
      </c>
      <c r="L615" s="160">
        <f t="shared" si="2573"/>
        <v>0</v>
      </c>
      <c r="M615" s="160">
        <f t="shared" si="2573"/>
        <v>0</v>
      </c>
      <c r="N615" s="160">
        <f t="shared" si="2573"/>
        <v>0</v>
      </c>
      <c r="O615" s="160">
        <f t="shared" si="2573"/>
        <v>0</v>
      </c>
      <c r="P615" s="160">
        <f t="shared" si="2573"/>
        <v>0</v>
      </c>
      <c r="Q615" s="160">
        <f t="shared" si="2573"/>
        <v>0</v>
      </c>
      <c r="R615" s="160">
        <f t="shared" si="2573"/>
        <v>0</v>
      </c>
      <c r="S615" s="160">
        <f t="shared" si="2573"/>
        <v>0</v>
      </c>
      <c r="T615" s="160">
        <f t="shared" si="2573"/>
        <v>0</v>
      </c>
      <c r="U615" s="160">
        <f t="shared" si="2573"/>
        <v>0</v>
      </c>
      <c r="V615" s="160">
        <f t="shared" si="2573"/>
        <v>0</v>
      </c>
      <c r="W615" s="160">
        <f t="shared" si="2573"/>
        <v>0</v>
      </c>
      <c r="X615" s="160">
        <f t="shared" si="2573"/>
        <v>0</v>
      </c>
      <c r="Y615" s="160">
        <f t="shared" si="2573"/>
        <v>0</v>
      </c>
      <c r="Z615" s="160">
        <f t="shared" si="2573"/>
        <v>0</v>
      </c>
      <c r="AA615" s="160">
        <f t="shared" si="2573"/>
        <v>0</v>
      </c>
      <c r="AB615" s="160">
        <f t="shared" si="2573"/>
        <v>0</v>
      </c>
      <c r="AC615" s="160">
        <f t="shared" si="2573"/>
        <v>0</v>
      </c>
      <c r="AD615" s="160">
        <f t="shared" si="2573"/>
        <v>0</v>
      </c>
      <c r="AE615" s="160">
        <f t="shared" si="2573"/>
        <v>0</v>
      </c>
      <c r="AF615" s="160">
        <f t="shared" si="2573"/>
        <v>0</v>
      </c>
      <c r="AG615" s="160">
        <f t="shared" si="2573"/>
        <v>0</v>
      </c>
      <c r="AH615" s="160">
        <f t="shared" si="2573"/>
        <v>0</v>
      </c>
      <c r="AI615" s="160">
        <f t="shared" si="2573"/>
        <v>0</v>
      </c>
      <c r="AJ615" s="160">
        <f t="shared" si="2573"/>
        <v>0</v>
      </c>
      <c r="AK615" s="160">
        <f t="shared" si="2573"/>
        <v>0</v>
      </c>
      <c r="AL615" s="160">
        <f t="shared" si="2573"/>
        <v>0</v>
      </c>
      <c r="AM615" s="160">
        <f t="shared" si="2573"/>
        <v>0</v>
      </c>
      <c r="AN615" s="160">
        <f t="shared" si="2573"/>
        <v>0</v>
      </c>
      <c r="AO615" s="160">
        <f t="shared" si="2573"/>
        <v>0</v>
      </c>
      <c r="AP615" s="160">
        <f t="shared" si="2573"/>
        <v>0</v>
      </c>
      <c r="AQ615" s="160">
        <f t="shared" si="2573"/>
        <v>0</v>
      </c>
      <c r="AR615" s="160">
        <f t="shared" si="2573"/>
        <v>0</v>
      </c>
      <c r="AS615" s="160">
        <f t="shared" si="2573"/>
        <v>0</v>
      </c>
      <c r="AT615" s="160">
        <f t="shared" si="2573"/>
        <v>0</v>
      </c>
      <c r="AU615" s="160">
        <f t="shared" si="2573"/>
        <v>0</v>
      </c>
      <c r="AV615" s="160">
        <f t="shared" si="2573"/>
        <v>0</v>
      </c>
      <c r="AW615" s="160">
        <f t="shared" si="2573"/>
        <v>0</v>
      </c>
      <c r="AX615" s="160">
        <f t="shared" si="2573"/>
        <v>0</v>
      </c>
      <c r="AY615" s="160">
        <f t="shared" si="2573"/>
        <v>0</v>
      </c>
      <c r="AZ615" s="160">
        <f t="shared" si="2573"/>
        <v>0</v>
      </c>
      <c r="BA615" s="160">
        <f t="shared" si="2573"/>
        <v>0</v>
      </c>
      <c r="BB615" s="160">
        <f t="shared" si="2573"/>
        <v>0</v>
      </c>
      <c r="BC615" s="160">
        <f t="shared" si="2573"/>
        <v>0</v>
      </c>
      <c r="BD615" s="160">
        <f t="shared" si="2573"/>
        <v>0</v>
      </c>
      <c r="BE615" s="160">
        <f t="shared" si="2573"/>
        <v>0</v>
      </c>
      <c r="BF615" s="160">
        <f t="shared" si="2573"/>
        <v>0</v>
      </c>
      <c r="BG615" s="160">
        <f t="shared" si="2573"/>
        <v>0</v>
      </c>
      <c r="BH615" s="160">
        <f t="shared" si="2573"/>
        <v>0</v>
      </c>
      <c r="BI615" s="160">
        <f t="shared" si="2573"/>
        <v>0</v>
      </c>
      <c r="BJ615" s="160">
        <f t="shared" si="2573"/>
        <v>0</v>
      </c>
      <c r="BK615" s="160">
        <f t="shared" si="2573"/>
        <v>0</v>
      </c>
      <c r="BL615" s="160">
        <f t="shared" si="2573"/>
        <v>0</v>
      </c>
      <c r="BM615" s="160">
        <f t="shared" ref="L615:BR616" si="2574">ROUND($I615*BM$199,2)</f>
        <v>0</v>
      </c>
      <c r="BN615" s="160">
        <f t="shared" si="2574"/>
        <v>0</v>
      </c>
      <c r="BO615" s="160">
        <f t="shared" si="2574"/>
        <v>0</v>
      </c>
      <c r="BP615" s="160">
        <f t="shared" si="2574"/>
        <v>0</v>
      </c>
      <c r="BQ615" s="160">
        <f t="shared" si="2574"/>
        <v>0</v>
      </c>
      <c r="BR615" s="160">
        <f t="shared" si="2574"/>
        <v>0</v>
      </c>
      <c r="BS615" s="65"/>
      <c r="BT615" s="160">
        <f t="shared" si="2435"/>
        <v>0</v>
      </c>
      <c r="BU615" s="160">
        <f t="shared" si="2436"/>
        <v>0</v>
      </c>
      <c r="BV615" s="65"/>
      <c r="BW615" s="69"/>
      <c r="BX615" s="65"/>
      <c r="BY615" s="137">
        <f t="shared" si="2437"/>
        <v>1</v>
      </c>
      <c r="BZ615" s="137">
        <f>IF(BY615&gt;0,BY615+LARGE($BZ$213:BZ614,1),0)</f>
        <v>339</v>
      </c>
      <c r="CA615" s="137" t="str">
        <f t="shared" si="2438"/>
        <v>EST_II</v>
      </c>
      <c r="CB615" s="161">
        <f t="shared" si="2439"/>
        <v>0</v>
      </c>
      <c r="CC615" s="161">
        <f t="shared" si="2440"/>
        <v>0</v>
      </c>
      <c r="CD615" s="161">
        <f t="shared" si="2441"/>
        <v>0</v>
      </c>
      <c r="CE615" s="161">
        <f t="shared" si="2442"/>
        <v>0</v>
      </c>
      <c r="CF615" s="161">
        <f t="shared" si="2443"/>
        <v>0</v>
      </c>
      <c r="CG615" s="161">
        <f t="shared" si="2444"/>
        <v>0</v>
      </c>
      <c r="CH615" s="161">
        <f t="shared" si="2445"/>
        <v>0</v>
      </c>
      <c r="CI615" s="161">
        <f t="shared" si="2446"/>
        <v>0</v>
      </c>
      <c r="CJ615" s="161">
        <f t="shared" si="2447"/>
        <v>0</v>
      </c>
      <c r="CK615" s="161">
        <f t="shared" si="2448"/>
        <v>0</v>
      </c>
      <c r="CL615" s="161">
        <f t="shared" si="2449"/>
        <v>0</v>
      </c>
      <c r="CM615" s="161">
        <f t="shared" si="2450"/>
        <v>0</v>
      </c>
      <c r="CN615" s="161">
        <f t="shared" si="2451"/>
        <v>0</v>
      </c>
      <c r="CO615" s="161">
        <f t="shared" si="2452"/>
        <v>0</v>
      </c>
      <c r="CP615" s="161">
        <f t="shared" si="2453"/>
        <v>0</v>
      </c>
      <c r="CQ615" s="161">
        <f t="shared" si="2454"/>
        <v>0</v>
      </c>
      <c r="CR615" s="161">
        <f t="shared" si="2455"/>
        <v>0</v>
      </c>
      <c r="CS615" s="161">
        <f t="shared" si="2456"/>
        <v>0</v>
      </c>
      <c r="CT615" s="161">
        <f t="shared" si="2457"/>
        <v>0</v>
      </c>
      <c r="CU615" s="161">
        <f t="shared" si="2458"/>
        <v>0</v>
      </c>
      <c r="CV615" s="161">
        <f t="shared" si="2459"/>
        <v>0</v>
      </c>
      <c r="CW615" s="161">
        <f t="shared" si="2460"/>
        <v>0</v>
      </c>
      <c r="CX615" s="161">
        <f t="shared" si="2461"/>
        <v>0</v>
      </c>
      <c r="CY615" s="161">
        <f t="shared" si="2462"/>
        <v>0</v>
      </c>
      <c r="CZ615" s="161">
        <f t="shared" si="2463"/>
        <v>0</v>
      </c>
      <c r="DA615" s="161">
        <f t="shared" si="2464"/>
        <v>0</v>
      </c>
      <c r="DB615" s="161">
        <f t="shared" si="2465"/>
        <v>0</v>
      </c>
      <c r="DC615" s="161">
        <f t="shared" si="2466"/>
        <v>0</v>
      </c>
      <c r="DD615" s="161">
        <f t="shared" si="2467"/>
        <v>0</v>
      </c>
      <c r="DE615" s="161">
        <f t="shared" si="2468"/>
        <v>0</v>
      </c>
      <c r="DF615" s="161">
        <f t="shared" si="2469"/>
        <v>0</v>
      </c>
      <c r="DG615" s="161">
        <f t="shared" si="2470"/>
        <v>0</v>
      </c>
      <c r="DH615" s="161">
        <f t="shared" si="2471"/>
        <v>0</v>
      </c>
      <c r="DI615" s="161">
        <f t="shared" si="2472"/>
        <v>0</v>
      </c>
      <c r="DJ615" s="161">
        <f t="shared" si="2473"/>
        <v>0</v>
      </c>
      <c r="DK615" s="161">
        <f t="shared" si="2474"/>
        <v>0</v>
      </c>
      <c r="DL615" s="161">
        <f t="shared" si="2475"/>
        <v>0</v>
      </c>
      <c r="DM615" s="161">
        <f t="shared" si="2476"/>
        <v>0</v>
      </c>
      <c r="DN615" s="161">
        <f t="shared" si="2477"/>
        <v>0</v>
      </c>
      <c r="DO615" s="161">
        <f t="shared" si="2478"/>
        <v>0</v>
      </c>
      <c r="DP615" s="161">
        <f t="shared" si="2479"/>
        <v>0</v>
      </c>
      <c r="DQ615" s="161">
        <f t="shared" si="2480"/>
        <v>0</v>
      </c>
      <c r="DR615" s="161">
        <f t="shared" si="2481"/>
        <v>0</v>
      </c>
      <c r="DS615" s="161">
        <f t="shared" si="2482"/>
        <v>0</v>
      </c>
      <c r="DT615" s="161">
        <f t="shared" si="2483"/>
        <v>0</v>
      </c>
      <c r="DU615" s="161">
        <f t="shared" si="2484"/>
        <v>0</v>
      </c>
      <c r="DV615" s="161">
        <f t="shared" si="2485"/>
        <v>0</v>
      </c>
      <c r="DW615" s="161">
        <f t="shared" si="2486"/>
        <v>0</v>
      </c>
      <c r="DX615" s="161">
        <f t="shared" si="2487"/>
        <v>0</v>
      </c>
      <c r="DY615" s="161">
        <f t="shared" si="2488"/>
        <v>0</v>
      </c>
      <c r="DZ615" s="161">
        <f t="shared" si="2489"/>
        <v>0</v>
      </c>
      <c r="EA615" s="161">
        <f t="shared" si="2490"/>
        <v>0</v>
      </c>
      <c r="EB615" s="161">
        <f t="shared" si="2491"/>
        <v>0</v>
      </c>
      <c r="EC615" s="161">
        <f t="shared" si="2492"/>
        <v>0</v>
      </c>
      <c r="ED615" s="161">
        <f t="shared" si="2493"/>
        <v>0</v>
      </c>
      <c r="EE615" s="161">
        <f t="shared" si="2494"/>
        <v>0</v>
      </c>
      <c r="EF615" s="161">
        <f t="shared" si="2495"/>
        <v>0</v>
      </c>
      <c r="EG615" s="161">
        <f t="shared" si="2496"/>
        <v>0</v>
      </c>
      <c r="EH615" s="161">
        <f t="shared" si="2497"/>
        <v>0</v>
      </c>
      <c r="EI615" s="161">
        <f t="shared" si="2498"/>
        <v>0</v>
      </c>
      <c r="EJ615" s="65"/>
      <c r="EK615" s="161">
        <f t="shared" si="2569"/>
        <v>0</v>
      </c>
      <c r="EL615" s="161">
        <f t="shared" si="2570"/>
        <v>0</v>
      </c>
      <c r="EM615" s="161">
        <f t="shared" si="2571"/>
        <v>0</v>
      </c>
    </row>
    <row r="616" spans="1:143" ht="12" hidden="1" customHeight="1" outlineLevel="2">
      <c r="A616" s="77">
        <v>20</v>
      </c>
      <c r="B616" s="137" t="str">
        <f t="shared" si="2499"/>
        <v>EST_III - Equipe_01</v>
      </c>
      <c r="C616" s="65"/>
      <c r="D616" s="623"/>
      <c r="E616" s="65"/>
      <c r="F616" s="603"/>
      <c r="G616" s="77" t="str">
        <f>IF(INDEX(Tarefas!$BT$30:$FK$30,MATCH(A616,Tarefas!$BT$28:$FK$28,0))=0,"",INDEX(Tarefas!$BT$30:$FK$30,MATCH(A616,Tarefas!$BT$28:$FK$28,0)))</f>
        <v>EST_III</v>
      </c>
      <c r="H616" s="107" cm="1">
        <f t="array" ref="H616">IFERROR((SUMPRODUCT((Tarefas!$N$32:$N$54='Cronog. e Histog.'!$F$597)*(Tarefas!$BQ$30:$FK$30='Cronog. e Histog.'!$G616)*(Tarefas!$BQ$32:$FK$54)))/SUMIF(Tarefas!$N$32:$N$54,'Cronog. e Histog.'!$F$597,Tarefas!$K$32:$K$54),0)</f>
        <v>0</v>
      </c>
      <c r="I616" s="79">
        <f t="shared" si="2500"/>
        <v>0</v>
      </c>
      <c r="J616" s="65"/>
      <c r="K616" s="160">
        <f t="shared" si="2572"/>
        <v>0</v>
      </c>
      <c r="L616" s="160">
        <f t="shared" si="2574"/>
        <v>0</v>
      </c>
      <c r="M616" s="160">
        <f t="shared" si="2574"/>
        <v>0</v>
      </c>
      <c r="N616" s="160">
        <f t="shared" si="2574"/>
        <v>0</v>
      </c>
      <c r="O616" s="160">
        <f t="shared" si="2574"/>
        <v>0</v>
      </c>
      <c r="P616" s="160">
        <f t="shared" si="2574"/>
        <v>0</v>
      </c>
      <c r="Q616" s="160">
        <f t="shared" si="2574"/>
        <v>0</v>
      </c>
      <c r="R616" s="160">
        <f t="shared" si="2574"/>
        <v>0</v>
      </c>
      <c r="S616" s="160">
        <f t="shared" si="2574"/>
        <v>0</v>
      </c>
      <c r="T616" s="160">
        <f t="shared" si="2574"/>
        <v>0</v>
      </c>
      <c r="U616" s="160">
        <f t="shared" si="2574"/>
        <v>0</v>
      </c>
      <c r="V616" s="160">
        <f t="shared" si="2574"/>
        <v>0</v>
      </c>
      <c r="W616" s="160">
        <f t="shared" si="2574"/>
        <v>0</v>
      </c>
      <c r="X616" s="160">
        <f t="shared" si="2574"/>
        <v>0</v>
      </c>
      <c r="Y616" s="160">
        <f t="shared" si="2574"/>
        <v>0</v>
      </c>
      <c r="Z616" s="160">
        <f t="shared" si="2574"/>
        <v>0</v>
      </c>
      <c r="AA616" s="160">
        <f t="shared" si="2574"/>
        <v>0</v>
      </c>
      <c r="AB616" s="160">
        <f t="shared" si="2574"/>
        <v>0</v>
      </c>
      <c r="AC616" s="160">
        <f t="shared" si="2574"/>
        <v>0</v>
      </c>
      <c r="AD616" s="160">
        <f t="shared" si="2574"/>
        <v>0</v>
      </c>
      <c r="AE616" s="160">
        <f t="shared" si="2574"/>
        <v>0</v>
      </c>
      <c r="AF616" s="160">
        <f t="shared" si="2574"/>
        <v>0</v>
      </c>
      <c r="AG616" s="160">
        <f t="shared" si="2574"/>
        <v>0</v>
      </c>
      <c r="AH616" s="160">
        <f t="shared" si="2574"/>
        <v>0</v>
      </c>
      <c r="AI616" s="160">
        <f t="shared" si="2574"/>
        <v>0</v>
      </c>
      <c r="AJ616" s="160">
        <f t="shared" si="2574"/>
        <v>0</v>
      </c>
      <c r="AK616" s="160">
        <f t="shared" si="2574"/>
        <v>0</v>
      </c>
      <c r="AL616" s="160">
        <f t="shared" si="2574"/>
        <v>0</v>
      </c>
      <c r="AM616" s="160">
        <f t="shared" si="2574"/>
        <v>0</v>
      </c>
      <c r="AN616" s="160">
        <f t="shared" si="2574"/>
        <v>0</v>
      </c>
      <c r="AO616" s="160">
        <f t="shared" si="2574"/>
        <v>0</v>
      </c>
      <c r="AP616" s="160">
        <f t="shared" si="2574"/>
        <v>0</v>
      </c>
      <c r="AQ616" s="160">
        <f t="shared" si="2574"/>
        <v>0</v>
      </c>
      <c r="AR616" s="160">
        <f t="shared" si="2574"/>
        <v>0</v>
      </c>
      <c r="AS616" s="160">
        <f t="shared" si="2574"/>
        <v>0</v>
      </c>
      <c r="AT616" s="160">
        <f t="shared" si="2574"/>
        <v>0</v>
      </c>
      <c r="AU616" s="160">
        <f t="shared" si="2574"/>
        <v>0</v>
      </c>
      <c r="AV616" s="160">
        <f t="shared" si="2574"/>
        <v>0</v>
      </c>
      <c r="AW616" s="160">
        <f t="shared" si="2574"/>
        <v>0</v>
      </c>
      <c r="AX616" s="160">
        <f t="shared" si="2574"/>
        <v>0</v>
      </c>
      <c r="AY616" s="160">
        <f t="shared" si="2574"/>
        <v>0</v>
      </c>
      <c r="AZ616" s="160">
        <f t="shared" si="2574"/>
        <v>0</v>
      </c>
      <c r="BA616" s="160">
        <f t="shared" si="2574"/>
        <v>0</v>
      </c>
      <c r="BB616" s="160">
        <f t="shared" si="2574"/>
        <v>0</v>
      </c>
      <c r="BC616" s="160">
        <f t="shared" si="2574"/>
        <v>0</v>
      </c>
      <c r="BD616" s="160">
        <f t="shared" si="2574"/>
        <v>0</v>
      </c>
      <c r="BE616" s="160">
        <f t="shared" si="2574"/>
        <v>0</v>
      </c>
      <c r="BF616" s="160">
        <f t="shared" si="2574"/>
        <v>0</v>
      </c>
      <c r="BG616" s="160">
        <f t="shared" si="2574"/>
        <v>0</v>
      </c>
      <c r="BH616" s="160">
        <f t="shared" si="2574"/>
        <v>0</v>
      </c>
      <c r="BI616" s="160">
        <f t="shared" si="2574"/>
        <v>0</v>
      </c>
      <c r="BJ616" s="160">
        <f t="shared" si="2574"/>
        <v>0</v>
      </c>
      <c r="BK616" s="160">
        <f t="shared" si="2574"/>
        <v>0</v>
      </c>
      <c r="BL616" s="160">
        <f t="shared" si="2574"/>
        <v>0</v>
      </c>
      <c r="BM616" s="160">
        <f t="shared" si="2574"/>
        <v>0</v>
      </c>
      <c r="BN616" s="160">
        <f t="shared" si="2574"/>
        <v>0</v>
      </c>
      <c r="BO616" s="160">
        <f t="shared" si="2574"/>
        <v>0</v>
      </c>
      <c r="BP616" s="160">
        <f t="shared" si="2574"/>
        <v>0</v>
      </c>
      <c r="BQ616" s="160">
        <f t="shared" si="2574"/>
        <v>0</v>
      </c>
      <c r="BR616" s="160">
        <f t="shared" si="2574"/>
        <v>0</v>
      </c>
      <c r="BS616" s="65"/>
      <c r="BT616" s="160">
        <f t="shared" si="2435"/>
        <v>0</v>
      </c>
      <c r="BU616" s="160">
        <f t="shared" si="2436"/>
        <v>0</v>
      </c>
      <c r="BV616" s="65"/>
      <c r="BW616" s="69"/>
      <c r="BX616" s="65"/>
      <c r="BY616" s="137">
        <f t="shared" si="2437"/>
        <v>1</v>
      </c>
      <c r="BZ616" s="137">
        <f>IF(BY616&gt;0,BY616+LARGE($BZ$213:BZ615,1),0)</f>
        <v>340</v>
      </c>
      <c r="CA616" s="137" t="str">
        <f t="shared" si="2438"/>
        <v>EST_III</v>
      </c>
      <c r="CB616" s="161">
        <f t="shared" si="2439"/>
        <v>0</v>
      </c>
      <c r="CC616" s="161">
        <f t="shared" si="2440"/>
        <v>0</v>
      </c>
      <c r="CD616" s="161">
        <f t="shared" si="2441"/>
        <v>0</v>
      </c>
      <c r="CE616" s="161">
        <f t="shared" si="2442"/>
        <v>0</v>
      </c>
      <c r="CF616" s="161">
        <f t="shared" si="2443"/>
        <v>0</v>
      </c>
      <c r="CG616" s="161">
        <f t="shared" si="2444"/>
        <v>0</v>
      </c>
      <c r="CH616" s="161">
        <f t="shared" si="2445"/>
        <v>0</v>
      </c>
      <c r="CI616" s="161">
        <f t="shared" si="2446"/>
        <v>0</v>
      </c>
      <c r="CJ616" s="161">
        <f t="shared" si="2447"/>
        <v>0</v>
      </c>
      <c r="CK616" s="161">
        <f t="shared" si="2448"/>
        <v>0</v>
      </c>
      <c r="CL616" s="161">
        <f t="shared" si="2449"/>
        <v>0</v>
      </c>
      <c r="CM616" s="161">
        <f t="shared" si="2450"/>
        <v>0</v>
      </c>
      <c r="CN616" s="161">
        <f t="shared" si="2451"/>
        <v>0</v>
      </c>
      <c r="CO616" s="161">
        <f t="shared" si="2452"/>
        <v>0</v>
      </c>
      <c r="CP616" s="161">
        <f t="shared" si="2453"/>
        <v>0</v>
      </c>
      <c r="CQ616" s="161">
        <f t="shared" si="2454"/>
        <v>0</v>
      </c>
      <c r="CR616" s="161">
        <f t="shared" si="2455"/>
        <v>0</v>
      </c>
      <c r="CS616" s="161">
        <f t="shared" si="2456"/>
        <v>0</v>
      </c>
      <c r="CT616" s="161">
        <f t="shared" si="2457"/>
        <v>0</v>
      </c>
      <c r="CU616" s="161">
        <f t="shared" si="2458"/>
        <v>0</v>
      </c>
      <c r="CV616" s="161">
        <f t="shared" si="2459"/>
        <v>0</v>
      </c>
      <c r="CW616" s="161">
        <f t="shared" si="2460"/>
        <v>0</v>
      </c>
      <c r="CX616" s="161">
        <f t="shared" si="2461"/>
        <v>0</v>
      </c>
      <c r="CY616" s="161">
        <f t="shared" si="2462"/>
        <v>0</v>
      </c>
      <c r="CZ616" s="161">
        <f t="shared" si="2463"/>
        <v>0</v>
      </c>
      <c r="DA616" s="161">
        <f t="shared" si="2464"/>
        <v>0</v>
      </c>
      <c r="DB616" s="161">
        <f t="shared" si="2465"/>
        <v>0</v>
      </c>
      <c r="DC616" s="161">
        <f t="shared" si="2466"/>
        <v>0</v>
      </c>
      <c r="DD616" s="161">
        <f t="shared" si="2467"/>
        <v>0</v>
      </c>
      <c r="DE616" s="161">
        <f t="shared" si="2468"/>
        <v>0</v>
      </c>
      <c r="DF616" s="161">
        <f t="shared" si="2469"/>
        <v>0</v>
      </c>
      <c r="DG616" s="161">
        <f t="shared" si="2470"/>
        <v>0</v>
      </c>
      <c r="DH616" s="161">
        <f t="shared" si="2471"/>
        <v>0</v>
      </c>
      <c r="DI616" s="161">
        <f t="shared" si="2472"/>
        <v>0</v>
      </c>
      <c r="DJ616" s="161">
        <f t="shared" si="2473"/>
        <v>0</v>
      </c>
      <c r="DK616" s="161">
        <f t="shared" si="2474"/>
        <v>0</v>
      </c>
      <c r="DL616" s="161">
        <f t="shared" si="2475"/>
        <v>0</v>
      </c>
      <c r="DM616" s="161">
        <f t="shared" si="2476"/>
        <v>0</v>
      </c>
      <c r="DN616" s="161">
        <f t="shared" si="2477"/>
        <v>0</v>
      </c>
      <c r="DO616" s="161">
        <f t="shared" si="2478"/>
        <v>0</v>
      </c>
      <c r="DP616" s="161">
        <f t="shared" si="2479"/>
        <v>0</v>
      </c>
      <c r="DQ616" s="161">
        <f t="shared" si="2480"/>
        <v>0</v>
      </c>
      <c r="DR616" s="161">
        <f t="shared" si="2481"/>
        <v>0</v>
      </c>
      <c r="DS616" s="161">
        <f t="shared" si="2482"/>
        <v>0</v>
      </c>
      <c r="DT616" s="161">
        <f t="shared" si="2483"/>
        <v>0</v>
      </c>
      <c r="DU616" s="161">
        <f t="shared" si="2484"/>
        <v>0</v>
      </c>
      <c r="DV616" s="161">
        <f t="shared" si="2485"/>
        <v>0</v>
      </c>
      <c r="DW616" s="161">
        <f t="shared" si="2486"/>
        <v>0</v>
      </c>
      <c r="DX616" s="161">
        <f t="shared" si="2487"/>
        <v>0</v>
      </c>
      <c r="DY616" s="161">
        <f t="shared" si="2488"/>
        <v>0</v>
      </c>
      <c r="DZ616" s="161">
        <f t="shared" si="2489"/>
        <v>0</v>
      </c>
      <c r="EA616" s="161">
        <f t="shared" si="2490"/>
        <v>0</v>
      </c>
      <c r="EB616" s="161">
        <f t="shared" si="2491"/>
        <v>0</v>
      </c>
      <c r="EC616" s="161">
        <f t="shared" si="2492"/>
        <v>0</v>
      </c>
      <c r="ED616" s="161">
        <f t="shared" si="2493"/>
        <v>0</v>
      </c>
      <c r="EE616" s="161">
        <f t="shared" si="2494"/>
        <v>0</v>
      </c>
      <c r="EF616" s="161">
        <f t="shared" si="2495"/>
        <v>0</v>
      </c>
      <c r="EG616" s="161">
        <f t="shared" si="2496"/>
        <v>0</v>
      </c>
      <c r="EH616" s="161">
        <f t="shared" si="2497"/>
        <v>0</v>
      </c>
      <c r="EI616" s="161">
        <f t="shared" si="2498"/>
        <v>0</v>
      </c>
      <c r="EJ616" s="65"/>
      <c r="EK616" s="161">
        <f t="shared" si="2569"/>
        <v>0</v>
      </c>
      <c r="EL616" s="161">
        <f t="shared" si="2570"/>
        <v>0</v>
      </c>
      <c r="EM616" s="161">
        <f t="shared" si="2571"/>
        <v>0</v>
      </c>
    </row>
    <row r="617" spans="1:143" ht="12" hidden="1" customHeight="1" outlineLevel="1">
      <c r="B617" s="65"/>
      <c r="C617" s="65"/>
      <c r="D617" s="65"/>
      <c r="E617" s="65"/>
      <c r="F617" s="470" t="s">
        <v>380</v>
      </c>
      <c r="G617" s="162" t="str">
        <f>"Pico = "&amp;MAX(K617:BR617)</f>
        <v>Pico = 0,04</v>
      </c>
      <c r="H617" s="163">
        <f>SUM(H597:H616)</f>
        <v>1</v>
      </c>
      <c r="I617" s="148">
        <f>SUM(I597:I616)</f>
        <v>1</v>
      </c>
      <c r="J617" s="65"/>
      <c r="K617" s="146">
        <f>SUM(K597:K616)</f>
        <v>0.04</v>
      </c>
      <c r="L617" s="146">
        <f t="shared" ref="L617:BR617" si="2575">SUM(L597:L616)</f>
        <v>0.04</v>
      </c>
      <c r="M617" s="146">
        <f t="shared" si="2575"/>
        <v>0.04</v>
      </c>
      <c r="N617" s="146">
        <f t="shared" si="2575"/>
        <v>0.04</v>
      </c>
      <c r="O617" s="146">
        <f t="shared" si="2575"/>
        <v>0.04</v>
      </c>
      <c r="P617" s="146">
        <f t="shared" si="2575"/>
        <v>0.04</v>
      </c>
      <c r="Q617" s="146">
        <f t="shared" si="2575"/>
        <v>0.04</v>
      </c>
      <c r="R617" s="146">
        <f t="shared" si="2575"/>
        <v>0.04</v>
      </c>
      <c r="S617" s="146">
        <f t="shared" si="2575"/>
        <v>0.04</v>
      </c>
      <c r="T617" s="146">
        <f t="shared" si="2575"/>
        <v>0.04</v>
      </c>
      <c r="U617" s="146">
        <f t="shared" si="2575"/>
        <v>0</v>
      </c>
      <c r="V617" s="146">
        <f t="shared" si="2575"/>
        <v>0</v>
      </c>
      <c r="W617" s="146">
        <f t="shared" si="2575"/>
        <v>0</v>
      </c>
      <c r="X617" s="146">
        <f t="shared" si="2575"/>
        <v>0</v>
      </c>
      <c r="Y617" s="146">
        <f t="shared" si="2575"/>
        <v>0</v>
      </c>
      <c r="Z617" s="146">
        <f t="shared" si="2575"/>
        <v>0</v>
      </c>
      <c r="AA617" s="146">
        <f t="shared" si="2575"/>
        <v>0</v>
      </c>
      <c r="AB617" s="146">
        <f t="shared" si="2575"/>
        <v>0</v>
      </c>
      <c r="AC617" s="146">
        <f t="shared" si="2575"/>
        <v>0</v>
      </c>
      <c r="AD617" s="146">
        <f t="shared" si="2575"/>
        <v>0</v>
      </c>
      <c r="AE617" s="146">
        <f t="shared" si="2575"/>
        <v>0</v>
      </c>
      <c r="AF617" s="146">
        <f t="shared" si="2575"/>
        <v>0</v>
      </c>
      <c r="AG617" s="146">
        <f t="shared" si="2575"/>
        <v>0</v>
      </c>
      <c r="AH617" s="146">
        <f t="shared" si="2575"/>
        <v>0</v>
      </c>
      <c r="AI617" s="146">
        <f t="shared" si="2575"/>
        <v>0</v>
      </c>
      <c r="AJ617" s="146">
        <f t="shared" si="2575"/>
        <v>0</v>
      </c>
      <c r="AK617" s="146">
        <f t="shared" si="2575"/>
        <v>0</v>
      </c>
      <c r="AL617" s="146">
        <f t="shared" si="2575"/>
        <v>0</v>
      </c>
      <c r="AM617" s="146">
        <f t="shared" si="2575"/>
        <v>0</v>
      </c>
      <c r="AN617" s="146">
        <f t="shared" si="2575"/>
        <v>0</v>
      </c>
      <c r="AO617" s="146">
        <f t="shared" si="2575"/>
        <v>0</v>
      </c>
      <c r="AP617" s="146">
        <f t="shared" si="2575"/>
        <v>0</v>
      </c>
      <c r="AQ617" s="146">
        <f t="shared" si="2575"/>
        <v>0</v>
      </c>
      <c r="AR617" s="146">
        <f t="shared" si="2575"/>
        <v>0</v>
      </c>
      <c r="AS617" s="146">
        <f t="shared" si="2575"/>
        <v>0</v>
      </c>
      <c r="AT617" s="146">
        <f t="shared" si="2575"/>
        <v>0</v>
      </c>
      <c r="AU617" s="146">
        <f t="shared" si="2575"/>
        <v>0</v>
      </c>
      <c r="AV617" s="146">
        <f t="shared" si="2575"/>
        <v>0</v>
      </c>
      <c r="AW617" s="146">
        <f t="shared" si="2575"/>
        <v>0</v>
      </c>
      <c r="AX617" s="146">
        <f t="shared" si="2575"/>
        <v>0</v>
      </c>
      <c r="AY617" s="146">
        <f t="shared" si="2575"/>
        <v>0</v>
      </c>
      <c r="AZ617" s="146">
        <f t="shared" si="2575"/>
        <v>0</v>
      </c>
      <c r="BA617" s="146">
        <f t="shared" si="2575"/>
        <v>0</v>
      </c>
      <c r="BB617" s="146">
        <f t="shared" si="2575"/>
        <v>0</v>
      </c>
      <c r="BC617" s="146">
        <f t="shared" si="2575"/>
        <v>0</v>
      </c>
      <c r="BD617" s="146">
        <f t="shared" si="2575"/>
        <v>0</v>
      </c>
      <c r="BE617" s="146">
        <f t="shared" si="2575"/>
        <v>0</v>
      </c>
      <c r="BF617" s="146">
        <f t="shared" si="2575"/>
        <v>0</v>
      </c>
      <c r="BG617" s="146">
        <f t="shared" si="2575"/>
        <v>0</v>
      </c>
      <c r="BH617" s="146">
        <f t="shared" si="2575"/>
        <v>0</v>
      </c>
      <c r="BI617" s="146">
        <f t="shared" si="2575"/>
        <v>0</v>
      </c>
      <c r="BJ617" s="146">
        <f t="shared" si="2575"/>
        <v>0</v>
      </c>
      <c r="BK617" s="146">
        <f t="shared" si="2575"/>
        <v>0</v>
      </c>
      <c r="BL617" s="146">
        <f t="shared" si="2575"/>
        <v>0</v>
      </c>
      <c r="BM617" s="146">
        <f t="shared" si="2575"/>
        <v>0</v>
      </c>
      <c r="BN617" s="146">
        <f t="shared" si="2575"/>
        <v>0</v>
      </c>
      <c r="BO617" s="146">
        <f t="shared" si="2575"/>
        <v>0</v>
      </c>
      <c r="BP617" s="146">
        <f t="shared" si="2575"/>
        <v>0</v>
      </c>
      <c r="BQ617" s="146">
        <f t="shared" si="2575"/>
        <v>0</v>
      </c>
      <c r="BR617" s="146">
        <f t="shared" si="2575"/>
        <v>0</v>
      </c>
      <c r="BS617" s="65"/>
      <c r="BT617" s="146">
        <f t="shared" ref="BT617" si="2576">SUM(BT597:BT616)</f>
        <v>3.9999999999999994E-2</v>
      </c>
      <c r="BU617" s="65"/>
      <c r="BV617" s="65"/>
      <c r="BW617" s="69"/>
      <c r="BX617" s="65"/>
      <c r="BY617" s="65"/>
      <c r="BZ617" s="65"/>
      <c r="CA617" s="65"/>
      <c r="CB617" s="65"/>
      <c r="CC617" s="65"/>
      <c r="CD617" s="65"/>
      <c r="CE617" s="65"/>
      <c r="CF617" s="65"/>
      <c r="CG617" s="65"/>
      <c r="CH617" s="65"/>
      <c r="CI617" s="65"/>
      <c r="CJ617" s="65"/>
      <c r="CK617" s="65"/>
      <c r="CL617" s="65"/>
      <c r="CM617" s="65"/>
      <c r="CN617" s="65"/>
      <c r="CO617" s="65"/>
      <c r="CP617" s="65"/>
      <c r="CQ617" s="65"/>
      <c r="CR617" s="65"/>
      <c r="CS617" s="65"/>
      <c r="CT617" s="65"/>
      <c r="CU617" s="65"/>
      <c r="CV617" s="65"/>
      <c r="CW617" s="65"/>
      <c r="CX617" s="65"/>
      <c r="CY617" s="65"/>
      <c r="CZ617" s="65"/>
      <c r="DA617" s="65"/>
      <c r="DB617" s="65"/>
      <c r="DC617" s="65"/>
      <c r="DD617" s="65"/>
      <c r="DE617" s="65"/>
      <c r="DF617" s="65"/>
      <c r="DG617" s="65"/>
      <c r="DH617" s="65"/>
      <c r="DI617" s="65"/>
      <c r="DJ617" s="65"/>
      <c r="DK617" s="65"/>
      <c r="DL617" s="65"/>
      <c r="DM617" s="65"/>
      <c r="DN617" s="65"/>
      <c r="DO617" s="65"/>
      <c r="DP617" s="65"/>
      <c r="DQ617" s="65"/>
      <c r="DR617" s="65"/>
      <c r="DS617" s="65"/>
      <c r="DT617" s="65"/>
      <c r="DU617" s="65"/>
      <c r="DV617" s="65"/>
      <c r="DW617" s="65"/>
      <c r="DX617" s="65"/>
      <c r="DY617" s="65"/>
      <c r="DZ617" s="65"/>
      <c r="EA617" s="65"/>
      <c r="EB617" s="65"/>
      <c r="EC617" s="65"/>
      <c r="ED617" s="65"/>
      <c r="EE617" s="65"/>
      <c r="EF617" s="65"/>
      <c r="EG617" s="65"/>
      <c r="EH617" s="65"/>
      <c r="EI617" s="65"/>
      <c r="EJ617" s="65"/>
      <c r="EK617" s="65"/>
      <c r="EL617" s="65"/>
      <c r="EM617" s="65"/>
    </row>
    <row r="618" spans="1:143" ht="12" hidden="1" customHeight="1" outlineLevel="1"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5"/>
      <c r="AT618" s="65"/>
      <c r="AU618" s="65"/>
      <c r="AV618" s="65"/>
      <c r="AW618" s="65"/>
      <c r="AX618" s="65"/>
      <c r="AY618" s="65"/>
      <c r="AZ618" s="65"/>
      <c r="BA618" s="65"/>
      <c r="BB618" s="65"/>
      <c r="BC618" s="65"/>
      <c r="BD618" s="65"/>
      <c r="BE618" s="65"/>
      <c r="BF618" s="65"/>
      <c r="BG618" s="65"/>
      <c r="BH618" s="65"/>
      <c r="BI618" s="65"/>
      <c r="BJ618" s="65"/>
      <c r="BK618" s="65"/>
      <c r="BL618" s="65"/>
      <c r="BM618" s="65"/>
      <c r="BN618" s="65"/>
      <c r="BO618" s="65"/>
      <c r="BP618" s="65"/>
      <c r="BQ618" s="65"/>
      <c r="BR618" s="65"/>
      <c r="BS618" s="65"/>
      <c r="BT618" s="65"/>
      <c r="BU618" s="65"/>
      <c r="BV618" s="65"/>
      <c r="BW618" s="69"/>
      <c r="BX618" s="65"/>
      <c r="BY618" s="65"/>
      <c r="BZ618" s="65"/>
      <c r="CA618" s="65"/>
      <c r="CB618" s="65"/>
      <c r="CC618" s="65"/>
      <c r="CD618" s="65"/>
      <c r="CE618" s="65"/>
      <c r="CF618" s="65"/>
      <c r="CG618" s="65"/>
      <c r="CH618" s="65"/>
      <c r="CI618" s="65"/>
      <c r="CJ618" s="65"/>
      <c r="CK618" s="65"/>
      <c r="CL618" s="65"/>
      <c r="CM618" s="65"/>
      <c r="CN618" s="65"/>
      <c r="CO618" s="65"/>
      <c r="CP618" s="65"/>
      <c r="CQ618" s="65"/>
      <c r="CR618" s="65"/>
      <c r="CS618" s="65"/>
      <c r="CT618" s="65"/>
      <c r="CU618" s="65"/>
      <c r="CV618" s="65"/>
      <c r="CW618" s="65"/>
      <c r="CX618" s="65"/>
      <c r="CY618" s="65"/>
      <c r="CZ618" s="65"/>
      <c r="DA618" s="65"/>
      <c r="DB618" s="65"/>
      <c r="DC618" s="65"/>
      <c r="DD618" s="65"/>
      <c r="DE618" s="65"/>
      <c r="DF618" s="65"/>
      <c r="DG618" s="65"/>
      <c r="DH618" s="65"/>
      <c r="DI618" s="65"/>
      <c r="DJ618" s="65"/>
      <c r="DK618" s="65"/>
      <c r="DL618" s="65"/>
      <c r="DM618" s="65"/>
      <c r="DN618" s="65"/>
      <c r="DO618" s="65"/>
      <c r="DP618" s="65"/>
      <c r="DQ618" s="65"/>
      <c r="DR618" s="65"/>
      <c r="DS618" s="65"/>
      <c r="DT618" s="65"/>
      <c r="DU618" s="65"/>
      <c r="DV618" s="65"/>
      <c r="DW618" s="65"/>
      <c r="DX618" s="65"/>
      <c r="DY618" s="65"/>
      <c r="DZ618" s="65"/>
      <c r="EA618" s="65"/>
      <c r="EB618" s="65"/>
      <c r="EC618" s="65"/>
      <c r="ED618" s="65"/>
      <c r="EE618" s="65"/>
      <c r="EF618" s="65"/>
      <c r="EG618" s="65"/>
      <c r="EH618" s="65"/>
      <c r="EI618" s="65"/>
      <c r="EJ618" s="65"/>
      <c r="EK618" s="65"/>
      <c r="EL618" s="65"/>
      <c r="EM618" s="65"/>
    </row>
    <row r="619" spans="1:143" ht="24" hidden="1" customHeight="1" outlineLevel="1">
      <c r="B619" s="593" t="s">
        <v>395</v>
      </c>
      <c r="C619" s="65"/>
      <c r="D619" s="65"/>
      <c r="E619" s="65"/>
      <c r="F619" s="471" t="str">
        <f>IF($G$68&gt;0,$G$68,"")</f>
        <v>Equipe18</v>
      </c>
      <c r="G619" s="471"/>
      <c r="H619" s="471"/>
      <c r="I619" s="471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5"/>
      <c r="AT619" s="65"/>
      <c r="AU619" s="65"/>
      <c r="AV619" s="65"/>
      <c r="AW619" s="65"/>
      <c r="AX619" s="65"/>
      <c r="AY619" s="65"/>
      <c r="AZ619" s="65"/>
      <c r="BA619" s="65"/>
      <c r="BB619" s="65"/>
      <c r="BC619" s="65"/>
      <c r="BD619" s="65"/>
      <c r="BE619" s="65"/>
      <c r="BF619" s="65"/>
      <c r="BG619" s="65"/>
      <c r="BH619" s="65"/>
      <c r="BI619" s="65"/>
      <c r="BJ619" s="65"/>
      <c r="BK619" s="65"/>
      <c r="BL619" s="65"/>
      <c r="BM619" s="65"/>
      <c r="BN619" s="65"/>
      <c r="BO619" s="65"/>
      <c r="BP619" s="65"/>
      <c r="BQ619" s="65"/>
      <c r="BR619" s="65"/>
      <c r="BS619" s="65"/>
      <c r="BT619" s="601" t="s">
        <v>396</v>
      </c>
      <c r="BU619" s="601" t="s">
        <v>397</v>
      </c>
      <c r="BV619" s="65"/>
      <c r="BW619" s="69"/>
      <c r="BX619" s="65"/>
      <c r="BY619" s="593" t="s">
        <v>398</v>
      </c>
      <c r="BZ619" s="593" t="s">
        <v>399</v>
      </c>
      <c r="CA619" s="593" t="s">
        <v>400</v>
      </c>
      <c r="CB619" s="592" t="s">
        <v>401</v>
      </c>
      <c r="CC619" s="592" t="s">
        <v>402</v>
      </c>
      <c r="CD619" s="592" t="s">
        <v>403</v>
      </c>
      <c r="CE619" s="592" t="s">
        <v>404</v>
      </c>
      <c r="CF619" s="592" t="s">
        <v>405</v>
      </c>
      <c r="CG619" s="592" t="s">
        <v>406</v>
      </c>
      <c r="CH619" s="592" t="s">
        <v>407</v>
      </c>
      <c r="CI619" s="592" t="s">
        <v>408</v>
      </c>
      <c r="CJ619" s="592" t="s">
        <v>409</v>
      </c>
      <c r="CK619" s="592" t="s">
        <v>410</v>
      </c>
      <c r="CL619" s="592" t="s">
        <v>411</v>
      </c>
      <c r="CM619" s="592" t="s">
        <v>412</v>
      </c>
      <c r="CN619" s="592" t="s">
        <v>413</v>
      </c>
      <c r="CO619" s="592" t="s">
        <v>414</v>
      </c>
      <c r="CP619" s="592" t="s">
        <v>415</v>
      </c>
      <c r="CQ619" s="592" t="s">
        <v>416</v>
      </c>
      <c r="CR619" s="592" t="s">
        <v>417</v>
      </c>
      <c r="CS619" s="592" t="s">
        <v>418</v>
      </c>
      <c r="CT619" s="592" t="s">
        <v>419</v>
      </c>
      <c r="CU619" s="592" t="s">
        <v>420</v>
      </c>
      <c r="CV619" s="592" t="s">
        <v>421</v>
      </c>
      <c r="CW619" s="592" t="s">
        <v>422</v>
      </c>
      <c r="CX619" s="592" t="s">
        <v>423</v>
      </c>
      <c r="CY619" s="592" t="s">
        <v>424</v>
      </c>
      <c r="CZ619" s="592" t="s">
        <v>425</v>
      </c>
      <c r="DA619" s="592" t="s">
        <v>426</v>
      </c>
      <c r="DB619" s="592" t="s">
        <v>427</v>
      </c>
      <c r="DC619" s="592" t="s">
        <v>428</v>
      </c>
      <c r="DD619" s="592" t="s">
        <v>429</v>
      </c>
      <c r="DE619" s="592" t="s">
        <v>430</v>
      </c>
      <c r="DF619" s="592" t="s">
        <v>431</v>
      </c>
      <c r="DG619" s="592" t="s">
        <v>432</v>
      </c>
      <c r="DH619" s="592" t="s">
        <v>433</v>
      </c>
      <c r="DI619" s="592" t="s">
        <v>434</v>
      </c>
      <c r="DJ619" s="592" t="s">
        <v>435</v>
      </c>
      <c r="DK619" s="592" t="s">
        <v>436</v>
      </c>
      <c r="DL619" s="592" t="s">
        <v>437</v>
      </c>
      <c r="DM619" s="592" t="s">
        <v>438</v>
      </c>
      <c r="DN619" s="592" t="s">
        <v>439</v>
      </c>
      <c r="DO619" s="592" t="s">
        <v>440</v>
      </c>
      <c r="DP619" s="592" t="s">
        <v>441</v>
      </c>
      <c r="DQ619" s="592" t="s">
        <v>442</v>
      </c>
      <c r="DR619" s="592" t="s">
        <v>443</v>
      </c>
      <c r="DS619" s="592" t="s">
        <v>444</v>
      </c>
      <c r="DT619" s="592" t="s">
        <v>445</v>
      </c>
      <c r="DU619" s="592" t="s">
        <v>446</v>
      </c>
      <c r="DV619" s="592" t="s">
        <v>447</v>
      </c>
      <c r="DW619" s="592" t="s">
        <v>448</v>
      </c>
      <c r="DX619" s="592" t="s">
        <v>449</v>
      </c>
      <c r="DY619" s="592" t="s">
        <v>450</v>
      </c>
      <c r="DZ619" s="592" t="s">
        <v>451</v>
      </c>
      <c r="EA619" s="592" t="s">
        <v>452</v>
      </c>
      <c r="EB619" s="592" t="s">
        <v>453</v>
      </c>
      <c r="EC619" s="592" t="s">
        <v>454</v>
      </c>
      <c r="ED619" s="592" t="s">
        <v>455</v>
      </c>
      <c r="EE619" s="592" t="s">
        <v>456</v>
      </c>
      <c r="EF619" s="592" t="s">
        <v>457</v>
      </c>
      <c r="EG619" s="592" t="s">
        <v>458</v>
      </c>
      <c r="EH619" s="592" t="s">
        <v>459</v>
      </c>
      <c r="EI619" s="592" t="s">
        <v>460</v>
      </c>
      <c r="EJ619" s="65"/>
      <c r="EK619" s="157" t="s">
        <v>376</v>
      </c>
      <c r="EL619" s="157" t="s">
        <v>461</v>
      </c>
      <c r="EM619" s="157" t="s">
        <v>383</v>
      </c>
    </row>
    <row r="620" spans="1:143" ht="12" hidden="1" customHeight="1" outlineLevel="1" collapsed="1">
      <c r="B620" s="593"/>
      <c r="C620" s="65"/>
      <c r="D620" s="65"/>
      <c r="E620" s="65"/>
      <c r="F620" s="158" t="s">
        <v>198</v>
      </c>
      <c r="G620" s="158" t="s">
        <v>462</v>
      </c>
      <c r="H620" s="158" t="s">
        <v>255</v>
      </c>
      <c r="I620" s="158" t="s">
        <v>68</v>
      </c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5"/>
      <c r="AT620" s="65"/>
      <c r="AU620" s="65"/>
      <c r="AV620" s="65"/>
      <c r="AW620" s="65"/>
      <c r="AX620" s="65"/>
      <c r="AY620" s="65"/>
      <c r="AZ620" s="65"/>
      <c r="BA620" s="65"/>
      <c r="BB620" s="65"/>
      <c r="BC620" s="65"/>
      <c r="BD620" s="65"/>
      <c r="BE620" s="65"/>
      <c r="BF620" s="65"/>
      <c r="BG620" s="65"/>
      <c r="BH620" s="65"/>
      <c r="BI620" s="65"/>
      <c r="BJ620" s="65"/>
      <c r="BK620" s="65"/>
      <c r="BL620" s="65"/>
      <c r="BM620" s="65"/>
      <c r="BN620" s="65"/>
      <c r="BO620" s="65"/>
      <c r="BP620" s="65"/>
      <c r="BQ620" s="65"/>
      <c r="BR620" s="65"/>
      <c r="BS620" s="65"/>
      <c r="BT620" s="602"/>
      <c r="BU620" s="602"/>
      <c r="BV620" s="65"/>
      <c r="BW620" s="69"/>
      <c r="BX620" s="65"/>
      <c r="BY620" s="593"/>
      <c r="BZ620" s="593"/>
      <c r="CA620" s="593"/>
      <c r="CB620" s="592"/>
      <c r="CC620" s="592"/>
      <c r="CD620" s="592"/>
      <c r="CE620" s="592"/>
      <c r="CF620" s="592"/>
      <c r="CG620" s="592"/>
      <c r="CH620" s="592"/>
      <c r="CI620" s="592"/>
      <c r="CJ620" s="592"/>
      <c r="CK620" s="592"/>
      <c r="CL620" s="592"/>
      <c r="CM620" s="592"/>
      <c r="CN620" s="592"/>
      <c r="CO620" s="592"/>
      <c r="CP620" s="592"/>
      <c r="CQ620" s="592"/>
      <c r="CR620" s="592"/>
      <c r="CS620" s="592"/>
      <c r="CT620" s="592"/>
      <c r="CU620" s="592"/>
      <c r="CV620" s="592"/>
      <c r="CW620" s="592"/>
      <c r="CX620" s="592"/>
      <c r="CY620" s="592"/>
      <c r="CZ620" s="592"/>
      <c r="DA620" s="592"/>
      <c r="DB620" s="592"/>
      <c r="DC620" s="592"/>
      <c r="DD620" s="592"/>
      <c r="DE620" s="592"/>
      <c r="DF620" s="592"/>
      <c r="DG620" s="592"/>
      <c r="DH620" s="592"/>
      <c r="DI620" s="592"/>
      <c r="DJ620" s="592"/>
      <c r="DK620" s="592"/>
      <c r="DL620" s="592"/>
      <c r="DM620" s="592"/>
      <c r="DN620" s="592"/>
      <c r="DO620" s="592"/>
      <c r="DP620" s="592"/>
      <c r="DQ620" s="592"/>
      <c r="DR620" s="592"/>
      <c r="DS620" s="592"/>
      <c r="DT620" s="592"/>
      <c r="DU620" s="592"/>
      <c r="DV620" s="592"/>
      <c r="DW620" s="592"/>
      <c r="DX620" s="592"/>
      <c r="DY620" s="592"/>
      <c r="DZ620" s="592"/>
      <c r="EA620" s="592"/>
      <c r="EB620" s="592"/>
      <c r="EC620" s="592"/>
      <c r="ED620" s="592"/>
      <c r="EE620" s="592"/>
      <c r="EF620" s="592"/>
      <c r="EG620" s="592"/>
      <c r="EH620" s="592"/>
      <c r="EI620" s="592"/>
      <c r="EJ620" s="65"/>
      <c r="EK620" s="159">
        <f>IFERROR(ROUNDUP(SUMPRODUCT($K641:$BR641,$K$123:$BR$123)/SUM($K641:$BR641),2),0)</f>
        <v>0</v>
      </c>
      <c r="EL620" s="159">
        <f>IFERROR(ROUNDUP(SUMPRODUCT($K641:$BR641,$K$147:$BR$147)/SUM($K641:$BR641),2),0)</f>
        <v>0</v>
      </c>
      <c r="EM620" s="159">
        <f>IFERROR(ROUNDUP(SUMPRODUCT($K641:$BR641,$K$171:$BR$171)/SUM($K641:$BR641),2),0)</f>
        <v>0</v>
      </c>
    </row>
    <row r="621" spans="1:143" ht="12" hidden="1" customHeight="1" outlineLevel="2">
      <c r="A621" s="77">
        <v>1</v>
      </c>
      <c r="B621" s="137" t="str">
        <f>IF(G621&gt;0,G621&amp;" - "&amp;$F$213,"")</f>
        <v>GER. (OBRA/PROJ) - Equipe_01</v>
      </c>
      <c r="C621" s="65"/>
      <c r="D621" s="620" t="s">
        <v>463</v>
      </c>
      <c r="E621" s="65"/>
      <c r="F621" s="603" t="str">
        <f>IFERROR(VLOOKUP(F619,Tarefas!$F$3:$G$22,2,0),"")</f>
        <v>Equipe_18</v>
      </c>
      <c r="G621" s="77" t="str">
        <f>IF(INDEX(Tarefas!$BT$30:$FK$30,MATCH(A621,Tarefas!$BT$28:$FK$28,0))=0,"",INDEX(Tarefas!$BT$30:$FK$30,MATCH(A621,Tarefas!$BT$28:$FK$28,0)))</f>
        <v>GER. (OBRA/PROJ)</v>
      </c>
      <c r="H621" s="107" cm="1">
        <f t="array" ref="H621">IFERROR((SUMPRODUCT((Tarefas!$N$32:$N$54='Cronog. e Histog.'!$F$621)*(Tarefas!$BQ$30:$FK$30='Cronog. e Histog.'!$G621)*(Tarefas!$BQ$32:$FK$54)))/SUMIF(Tarefas!$N$32:$N$54,'Cronog. e Histog.'!$F$621,Tarefas!$K$32:$K$54),0)</f>
        <v>0</v>
      </c>
      <c r="I621" s="79">
        <f>IFERROR(H621/$H$641,0)</f>
        <v>0</v>
      </c>
      <c r="J621" s="65"/>
      <c r="K621" s="160">
        <f>ROUND($I621*K$200,2)</f>
        <v>0</v>
      </c>
      <c r="L621" s="160">
        <f t="shared" ref="L621:BR635" si="2577">ROUND($I621*L$200,2)</f>
        <v>0</v>
      </c>
      <c r="M621" s="160">
        <f t="shared" si="2577"/>
        <v>0</v>
      </c>
      <c r="N621" s="160">
        <f t="shared" si="2577"/>
        <v>0</v>
      </c>
      <c r="O621" s="160">
        <f t="shared" si="2577"/>
        <v>0</v>
      </c>
      <c r="P621" s="160">
        <f t="shared" si="2577"/>
        <v>0</v>
      </c>
      <c r="Q621" s="160">
        <f t="shared" si="2577"/>
        <v>0</v>
      </c>
      <c r="R621" s="160">
        <f t="shared" si="2577"/>
        <v>0</v>
      </c>
      <c r="S621" s="160">
        <f t="shared" si="2577"/>
        <v>0</v>
      </c>
      <c r="T621" s="160">
        <f t="shared" si="2577"/>
        <v>0</v>
      </c>
      <c r="U621" s="160">
        <f t="shared" si="2577"/>
        <v>0</v>
      </c>
      <c r="V621" s="160">
        <f t="shared" si="2577"/>
        <v>0</v>
      </c>
      <c r="W621" s="160">
        <f t="shared" si="2577"/>
        <v>0</v>
      </c>
      <c r="X621" s="160">
        <f t="shared" si="2577"/>
        <v>0</v>
      </c>
      <c r="Y621" s="160">
        <f t="shared" si="2577"/>
        <v>0</v>
      </c>
      <c r="Z621" s="160">
        <f t="shared" si="2577"/>
        <v>0</v>
      </c>
      <c r="AA621" s="160">
        <f t="shared" si="2577"/>
        <v>0</v>
      </c>
      <c r="AB621" s="160">
        <f t="shared" si="2577"/>
        <v>0</v>
      </c>
      <c r="AC621" s="160">
        <f t="shared" si="2577"/>
        <v>0</v>
      </c>
      <c r="AD621" s="160">
        <f t="shared" si="2577"/>
        <v>0</v>
      </c>
      <c r="AE621" s="160">
        <f t="shared" si="2577"/>
        <v>0</v>
      </c>
      <c r="AF621" s="160">
        <f t="shared" si="2577"/>
        <v>0</v>
      </c>
      <c r="AG621" s="160">
        <f t="shared" si="2577"/>
        <v>0</v>
      </c>
      <c r="AH621" s="160">
        <f t="shared" si="2577"/>
        <v>0</v>
      </c>
      <c r="AI621" s="160">
        <f t="shared" si="2577"/>
        <v>0</v>
      </c>
      <c r="AJ621" s="160">
        <f t="shared" si="2577"/>
        <v>0</v>
      </c>
      <c r="AK621" s="160">
        <f t="shared" si="2577"/>
        <v>0</v>
      </c>
      <c r="AL621" s="160">
        <f t="shared" si="2577"/>
        <v>0</v>
      </c>
      <c r="AM621" s="160">
        <f t="shared" si="2577"/>
        <v>0</v>
      </c>
      <c r="AN621" s="160">
        <f t="shared" si="2577"/>
        <v>0</v>
      </c>
      <c r="AO621" s="160">
        <f t="shared" si="2577"/>
        <v>0</v>
      </c>
      <c r="AP621" s="160">
        <f t="shared" si="2577"/>
        <v>0</v>
      </c>
      <c r="AQ621" s="160">
        <f t="shared" si="2577"/>
        <v>0</v>
      </c>
      <c r="AR621" s="160">
        <f t="shared" si="2577"/>
        <v>0</v>
      </c>
      <c r="AS621" s="160">
        <f t="shared" si="2577"/>
        <v>0</v>
      </c>
      <c r="AT621" s="160">
        <f t="shared" si="2577"/>
        <v>0</v>
      </c>
      <c r="AU621" s="160">
        <f t="shared" si="2577"/>
        <v>0</v>
      </c>
      <c r="AV621" s="160">
        <f t="shared" si="2577"/>
        <v>0</v>
      </c>
      <c r="AW621" s="160">
        <f t="shared" si="2577"/>
        <v>0</v>
      </c>
      <c r="AX621" s="160">
        <f t="shared" si="2577"/>
        <v>0</v>
      </c>
      <c r="AY621" s="160">
        <f t="shared" si="2577"/>
        <v>0</v>
      </c>
      <c r="AZ621" s="160">
        <f t="shared" si="2577"/>
        <v>0</v>
      </c>
      <c r="BA621" s="160">
        <f t="shared" si="2577"/>
        <v>0</v>
      </c>
      <c r="BB621" s="160">
        <f t="shared" si="2577"/>
        <v>0</v>
      </c>
      <c r="BC621" s="160">
        <f t="shared" si="2577"/>
        <v>0</v>
      </c>
      <c r="BD621" s="160">
        <f t="shared" si="2577"/>
        <v>0</v>
      </c>
      <c r="BE621" s="160">
        <f t="shared" si="2577"/>
        <v>0</v>
      </c>
      <c r="BF621" s="160">
        <f t="shared" si="2577"/>
        <v>0</v>
      </c>
      <c r="BG621" s="160">
        <f t="shared" si="2577"/>
        <v>0</v>
      </c>
      <c r="BH621" s="160">
        <f t="shared" si="2577"/>
        <v>0</v>
      </c>
      <c r="BI621" s="160">
        <f t="shared" si="2577"/>
        <v>0</v>
      </c>
      <c r="BJ621" s="160">
        <f t="shared" si="2577"/>
        <v>0</v>
      </c>
      <c r="BK621" s="160">
        <f t="shared" si="2577"/>
        <v>0</v>
      </c>
      <c r="BL621" s="160">
        <f t="shared" si="2577"/>
        <v>0</v>
      </c>
      <c r="BM621" s="160">
        <f t="shared" si="2577"/>
        <v>0</v>
      </c>
      <c r="BN621" s="160">
        <f t="shared" si="2577"/>
        <v>0</v>
      </c>
      <c r="BO621" s="160">
        <f t="shared" si="2577"/>
        <v>0</v>
      </c>
      <c r="BP621" s="160">
        <f t="shared" si="2577"/>
        <v>0</v>
      </c>
      <c r="BQ621" s="160">
        <f t="shared" si="2577"/>
        <v>0</v>
      </c>
      <c r="BR621" s="160">
        <f t="shared" si="2577"/>
        <v>0</v>
      </c>
      <c r="BS621" s="65"/>
      <c r="BT621" s="160">
        <f t="shared" ref="BT621:BT640" si="2578">IFERROR(SUM(K621:BR621)/COUNTIF(K621:BR621,"&gt;0"),0)</f>
        <v>0</v>
      </c>
      <c r="BU621" s="160">
        <f t="shared" ref="BU621:BU640" si="2579">COUNTIF(K621:BR621,"&gt;0")</f>
        <v>0</v>
      </c>
      <c r="BV621" s="65"/>
      <c r="BW621" s="69"/>
      <c r="BX621" s="65"/>
      <c r="BY621" s="137">
        <f t="shared" ref="BY621:BY640" si="2580">IF(G621&gt;0,1,0)</f>
        <v>1</v>
      </c>
      <c r="BZ621" s="137">
        <f>IF(BY621&gt;0,BY621+LARGE($BZ$213:BZ620,1),0)</f>
        <v>341</v>
      </c>
      <c r="CA621" s="137" t="str">
        <f t="shared" ref="CA621:CA640" si="2581">G621</f>
        <v>GER. (OBRA/PROJ)</v>
      </c>
      <c r="CB621" s="161">
        <f t="shared" ref="CB621:CB640" si="2582">K621</f>
        <v>0</v>
      </c>
      <c r="CC621" s="161">
        <f t="shared" ref="CC621:CC640" si="2583">L621</f>
        <v>0</v>
      </c>
      <c r="CD621" s="161">
        <f t="shared" ref="CD621:CD640" si="2584">M621</f>
        <v>0</v>
      </c>
      <c r="CE621" s="161">
        <f t="shared" ref="CE621:CE640" si="2585">N621</f>
        <v>0</v>
      </c>
      <c r="CF621" s="161">
        <f t="shared" ref="CF621:CF640" si="2586">O621</f>
        <v>0</v>
      </c>
      <c r="CG621" s="161">
        <f t="shared" ref="CG621:CG640" si="2587">P621</f>
        <v>0</v>
      </c>
      <c r="CH621" s="161">
        <f t="shared" ref="CH621:CH640" si="2588">Q621</f>
        <v>0</v>
      </c>
      <c r="CI621" s="161">
        <f t="shared" ref="CI621:CI640" si="2589">R621</f>
        <v>0</v>
      </c>
      <c r="CJ621" s="161">
        <f t="shared" ref="CJ621:CJ640" si="2590">S621</f>
        <v>0</v>
      </c>
      <c r="CK621" s="161">
        <f t="shared" ref="CK621:CK640" si="2591">T621</f>
        <v>0</v>
      </c>
      <c r="CL621" s="161">
        <f t="shared" ref="CL621:CL640" si="2592">U621</f>
        <v>0</v>
      </c>
      <c r="CM621" s="161">
        <f t="shared" ref="CM621:CM640" si="2593">V621</f>
        <v>0</v>
      </c>
      <c r="CN621" s="161">
        <f t="shared" ref="CN621:CN640" si="2594">W621</f>
        <v>0</v>
      </c>
      <c r="CO621" s="161">
        <f t="shared" ref="CO621:CO640" si="2595">X621</f>
        <v>0</v>
      </c>
      <c r="CP621" s="161">
        <f t="shared" ref="CP621:CP640" si="2596">Y621</f>
        <v>0</v>
      </c>
      <c r="CQ621" s="161">
        <f t="shared" ref="CQ621:CQ640" si="2597">Z621</f>
        <v>0</v>
      </c>
      <c r="CR621" s="161">
        <f t="shared" ref="CR621:CR640" si="2598">AA621</f>
        <v>0</v>
      </c>
      <c r="CS621" s="161">
        <f t="shared" ref="CS621:CS640" si="2599">AB621</f>
        <v>0</v>
      </c>
      <c r="CT621" s="161">
        <f t="shared" ref="CT621:CT640" si="2600">AC621</f>
        <v>0</v>
      </c>
      <c r="CU621" s="161">
        <f t="shared" ref="CU621:CU640" si="2601">AD621</f>
        <v>0</v>
      </c>
      <c r="CV621" s="161">
        <f t="shared" ref="CV621:CV640" si="2602">AE621</f>
        <v>0</v>
      </c>
      <c r="CW621" s="161">
        <f t="shared" ref="CW621:CW640" si="2603">AF621</f>
        <v>0</v>
      </c>
      <c r="CX621" s="161">
        <f t="shared" ref="CX621:CX640" si="2604">AG621</f>
        <v>0</v>
      </c>
      <c r="CY621" s="161">
        <f t="shared" ref="CY621:CY640" si="2605">AH621</f>
        <v>0</v>
      </c>
      <c r="CZ621" s="161">
        <f t="shared" ref="CZ621:CZ640" si="2606">AI621</f>
        <v>0</v>
      </c>
      <c r="DA621" s="161">
        <f t="shared" ref="DA621:DA640" si="2607">AJ621</f>
        <v>0</v>
      </c>
      <c r="DB621" s="161">
        <f t="shared" ref="DB621:DB640" si="2608">AK621</f>
        <v>0</v>
      </c>
      <c r="DC621" s="161">
        <f t="shared" ref="DC621:DC640" si="2609">AL621</f>
        <v>0</v>
      </c>
      <c r="DD621" s="161">
        <f t="shared" ref="DD621:DD640" si="2610">AM621</f>
        <v>0</v>
      </c>
      <c r="DE621" s="161">
        <f t="shared" ref="DE621:DE640" si="2611">AN621</f>
        <v>0</v>
      </c>
      <c r="DF621" s="161">
        <f t="shared" ref="DF621:DF640" si="2612">AO621</f>
        <v>0</v>
      </c>
      <c r="DG621" s="161">
        <f t="shared" ref="DG621:DG640" si="2613">AP621</f>
        <v>0</v>
      </c>
      <c r="DH621" s="161">
        <f t="shared" ref="DH621:DH640" si="2614">AQ621</f>
        <v>0</v>
      </c>
      <c r="DI621" s="161">
        <f t="shared" ref="DI621:DI640" si="2615">AR621</f>
        <v>0</v>
      </c>
      <c r="DJ621" s="161">
        <f t="shared" ref="DJ621:DJ640" si="2616">AS621</f>
        <v>0</v>
      </c>
      <c r="DK621" s="161">
        <f t="shared" ref="DK621:DK640" si="2617">AT621</f>
        <v>0</v>
      </c>
      <c r="DL621" s="161">
        <f t="shared" ref="DL621:DL640" si="2618">AU621</f>
        <v>0</v>
      </c>
      <c r="DM621" s="161">
        <f t="shared" ref="DM621:DM640" si="2619">AV621</f>
        <v>0</v>
      </c>
      <c r="DN621" s="161">
        <f t="shared" ref="DN621:DN640" si="2620">AW621</f>
        <v>0</v>
      </c>
      <c r="DO621" s="161">
        <f t="shared" ref="DO621:DO640" si="2621">AX621</f>
        <v>0</v>
      </c>
      <c r="DP621" s="161">
        <f t="shared" ref="DP621:DP640" si="2622">AY621</f>
        <v>0</v>
      </c>
      <c r="DQ621" s="161">
        <f t="shared" ref="DQ621:DQ640" si="2623">AZ621</f>
        <v>0</v>
      </c>
      <c r="DR621" s="161">
        <f t="shared" ref="DR621:DR640" si="2624">BA621</f>
        <v>0</v>
      </c>
      <c r="DS621" s="161">
        <f t="shared" ref="DS621:DS640" si="2625">BB621</f>
        <v>0</v>
      </c>
      <c r="DT621" s="161">
        <f t="shared" ref="DT621:DT640" si="2626">BC621</f>
        <v>0</v>
      </c>
      <c r="DU621" s="161">
        <f t="shared" ref="DU621:DU640" si="2627">BD621</f>
        <v>0</v>
      </c>
      <c r="DV621" s="161">
        <f t="shared" ref="DV621:DV640" si="2628">BE621</f>
        <v>0</v>
      </c>
      <c r="DW621" s="161">
        <f t="shared" ref="DW621:DW640" si="2629">BF621</f>
        <v>0</v>
      </c>
      <c r="DX621" s="161">
        <f t="shared" ref="DX621:DX640" si="2630">BG621</f>
        <v>0</v>
      </c>
      <c r="DY621" s="161">
        <f t="shared" ref="DY621:DY640" si="2631">BH621</f>
        <v>0</v>
      </c>
      <c r="DZ621" s="161">
        <f t="shared" ref="DZ621:DZ640" si="2632">BI621</f>
        <v>0</v>
      </c>
      <c r="EA621" s="161">
        <f t="shared" ref="EA621:EA640" si="2633">BJ621</f>
        <v>0</v>
      </c>
      <c r="EB621" s="161">
        <f t="shared" ref="EB621:EB640" si="2634">BK621</f>
        <v>0</v>
      </c>
      <c r="EC621" s="161">
        <f t="shared" ref="EC621:EC640" si="2635">BL621</f>
        <v>0</v>
      </c>
      <c r="ED621" s="161">
        <f t="shared" ref="ED621:ED640" si="2636">BM621</f>
        <v>0</v>
      </c>
      <c r="EE621" s="161">
        <f t="shared" ref="EE621:EE640" si="2637">BN621</f>
        <v>0</v>
      </c>
      <c r="EF621" s="161">
        <f t="shared" ref="EF621:EF640" si="2638">BO621</f>
        <v>0</v>
      </c>
      <c r="EG621" s="161">
        <f t="shared" ref="EG621:EG640" si="2639">BP621</f>
        <v>0</v>
      </c>
      <c r="EH621" s="161">
        <f t="shared" ref="EH621:EH640" si="2640">BQ621</f>
        <v>0</v>
      </c>
      <c r="EI621" s="161">
        <f t="shared" ref="EI621:EI640" si="2641">BR621</f>
        <v>0</v>
      </c>
      <c r="EJ621" s="65"/>
      <c r="EK621" s="161">
        <f>$EK$620</f>
        <v>0</v>
      </c>
      <c r="EL621" s="161">
        <f>$EL$620</f>
        <v>0</v>
      </c>
      <c r="EM621" s="161">
        <f>$EM$620</f>
        <v>0</v>
      </c>
    </row>
    <row r="622" spans="1:143" ht="12" hidden="1" customHeight="1" outlineLevel="2">
      <c r="A622" s="77">
        <v>2</v>
      </c>
      <c r="B622" s="137" t="str">
        <f t="shared" ref="B622:B640" si="2642">IF(G622&gt;0,G622&amp;" - "&amp;$F$213,"")</f>
        <v>COORD. - Equipe_01</v>
      </c>
      <c r="C622" s="65"/>
      <c r="D622" s="621"/>
      <c r="E622" s="65"/>
      <c r="F622" s="603"/>
      <c r="G622" s="77" t="str">
        <f>IF(INDEX(Tarefas!$BT$30:$FK$30,MATCH(A622,Tarefas!$BT$28:$FK$28,0))=0,"",INDEX(Tarefas!$BT$30:$FK$30,MATCH(A622,Tarefas!$BT$28:$FK$28,0)))</f>
        <v>COORD.</v>
      </c>
      <c r="H622" s="107" cm="1">
        <f t="array" ref="H622">IFERROR((SUMPRODUCT((Tarefas!$N$32:$N$54='Cronog. e Histog.'!$F$621)*(Tarefas!$BQ$30:$FK$30='Cronog. e Histog.'!$G622)*(Tarefas!$BQ$32:$FK$54)))/SUMIF(Tarefas!$N$32:$N$54,'Cronog. e Histog.'!$F$621,Tarefas!$K$32:$K$54),0)</f>
        <v>0</v>
      </c>
      <c r="I622" s="79">
        <f t="shared" ref="I622:I640" si="2643">IFERROR(H622/$H$641,0)</f>
        <v>0</v>
      </c>
      <c r="J622" s="65"/>
      <c r="K622" s="160">
        <f t="shared" ref="K622:Z631" si="2644">ROUND($I622*K$200,2)</f>
        <v>0</v>
      </c>
      <c r="L622" s="160">
        <f t="shared" si="2644"/>
        <v>0</v>
      </c>
      <c r="M622" s="160">
        <f t="shared" si="2644"/>
        <v>0</v>
      </c>
      <c r="N622" s="160">
        <f t="shared" si="2644"/>
        <v>0</v>
      </c>
      <c r="O622" s="160">
        <f t="shared" si="2644"/>
        <v>0</v>
      </c>
      <c r="P622" s="160">
        <f t="shared" si="2644"/>
        <v>0</v>
      </c>
      <c r="Q622" s="160">
        <f t="shared" si="2644"/>
        <v>0</v>
      </c>
      <c r="R622" s="160">
        <f t="shared" si="2644"/>
        <v>0</v>
      </c>
      <c r="S622" s="160">
        <f t="shared" si="2644"/>
        <v>0</v>
      </c>
      <c r="T622" s="160">
        <f t="shared" si="2644"/>
        <v>0</v>
      </c>
      <c r="U622" s="160">
        <f t="shared" si="2644"/>
        <v>0</v>
      </c>
      <c r="V622" s="160">
        <f t="shared" si="2644"/>
        <v>0</v>
      </c>
      <c r="W622" s="160">
        <f t="shared" si="2644"/>
        <v>0</v>
      </c>
      <c r="X622" s="160">
        <f t="shared" si="2644"/>
        <v>0</v>
      </c>
      <c r="Y622" s="160">
        <f t="shared" si="2644"/>
        <v>0</v>
      </c>
      <c r="Z622" s="160">
        <f t="shared" si="2644"/>
        <v>0</v>
      </c>
      <c r="AA622" s="160">
        <f t="shared" ref="AA622:AP631" si="2645">ROUND($I622*AA$200,2)</f>
        <v>0</v>
      </c>
      <c r="AB622" s="160">
        <f t="shared" si="2645"/>
        <v>0</v>
      </c>
      <c r="AC622" s="160">
        <f t="shared" si="2645"/>
        <v>0</v>
      </c>
      <c r="AD622" s="160">
        <f t="shared" si="2645"/>
        <v>0</v>
      </c>
      <c r="AE622" s="160">
        <f t="shared" si="2645"/>
        <v>0</v>
      </c>
      <c r="AF622" s="160">
        <f t="shared" si="2645"/>
        <v>0</v>
      </c>
      <c r="AG622" s="160">
        <f t="shared" si="2645"/>
        <v>0</v>
      </c>
      <c r="AH622" s="160">
        <f t="shared" si="2645"/>
        <v>0</v>
      </c>
      <c r="AI622" s="160">
        <f t="shared" si="2645"/>
        <v>0</v>
      </c>
      <c r="AJ622" s="160">
        <f t="shared" si="2645"/>
        <v>0</v>
      </c>
      <c r="AK622" s="160">
        <f t="shared" si="2645"/>
        <v>0</v>
      </c>
      <c r="AL622" s="160">
        <f t="shared" si="2645"/>
        <v>0</v>
      </c>
      <c r="AM622" s="160">
        <f t="shared" si="2645"/>
        <v>0</v>
      </c>
      <c r="AN622" s="160">
        <f t="shared" si="2645"/>
        <v>0</v>
      </c>
      <c r="AO622" s="160">
        <f t="shared" si="2645"/>
        <v>0</v>
      </c>
      <c r="AP622" s="160">
        <f t="shared" si="2645"/>
        <v>0</v>
      </c>
      <c r="AQ622" s="160">
        <f t="shared" ref="AQ622:BF631" si="2646">ROUND($I622*AQ$200,2)</f>
        <v>0</v>
      </c>
      <c r="AR622" s="160">
        <f t="shared" si="2646"/>
        <v>0</v>
      </c>
      <c r="AS622" s="160">
        <f t="shared" si="2646"/>
        <v>0</v>
      </c>
      <c r="AT622" s="160">
        <f t="shared" si="2646"/>
        <v>0</v>
      </c>
      <c r="AU622" s="160">
        <f t="shared" si="2646"/>
        <v>0</v>
      </c>
      <c r="AV622" s="160">
        <f t="shared" si="2646"/>
        <v>0</v>
      </c>
      <c r="AW622" s="160">
        <f t="shared" si="2646"/>
        <v>0</v>
      </c>
      <c r="AX622" s="160">
        <f t="shared" si="2646"/>
        <v>0</v>
      </c>
      <c r="AY622" s="160">
        <f t="shared" si="2646"/>
        <v>0</v>
      </c>
      <c r="AZ622" s="160">
        <f t="shared" si="2646"/>
        <v>0</v>
      </c>
      <c r="BA622" s="160">
        <f t="shared" si="2646"/>
        <v>0</v>
      </c>
      <c r="BB622" s="160">
        <f t="shared" si="2646"/>
        <v>0</v>
      </c>
      <c r="BC622" s="160">
        <f t="shared" si="2646"/>
        <v>0</v>
      </c>
      <c r="BD622" s="160">
        <f t="shared" si="2646"/>
        <v>0</v>
      </c>
      <c r="BE622" s="160">
        <f t="shared" si="2646"/>
        <v>0</v>
      </c>
      <c r="BF622" s="160">
        <f t="shared" si="2646"/>
        <v>0</v>
      </c>
      <c r="BG622" s="160">
        <f t="shared" ref="BG622:BR631" si="2647">ROUND($I622*BG$200,2)</f>
        <v>0</v>
      </c>
      <c r="BH622" s="160">
        <f t="shared" si="2647"/>
        <v>0</v>
      </c>
      <c r="BI622" s="160">
        <f t="shared" si="2647"/>
        <v>0</v>
      </c>
      <c r="BJ622" s="160">
        <f t="shared" si="2647"/>
        <v>0</v>
      </c>
      <c r="BK622" s="160">
        <f t="shared" si="2647"/>
        <v>0</v>
      </c>
      <c r="BL622" s="160">
        <f t="shared" si="2647"/>
        <v>0</v>
      </c>
      <c r="BM622" s="160">
        <f t="shared" si="2647"/>
        <v>0</v>
      </c>
      <c r="BN622" s="160">
        <f t="shared" si="2647"/>
        <v>0</v>
      </c>
      <c r="BO622" s="160">
        <f t="shared" si="2647"/>
        <v>0</v>
      </c>
      <c r="BP622" s="160">
        <f t="shared" si="2647"/>
        <v>0</v>
      </c>
      <c r="BQ622" s="160">
        <f t="shared" si="2647"/>
        <v>0</v>
      </c>
      <c r="BR622" s="160">
        <f t="shared" si="2647"/>
        <v>0</v>
      </c>
      <c r="BS622" s="65"/>
      <c r="BT622" s="160">
        <f t="shared" ref="BT622:BT631" si="2648">IFERROR(SUM(K622:BR622)/COUNTIF(K622:BR622,"&gt;0"),0)</f>
        <v>0</v>
      </c>
      <c r="BU622" s="160">
        <f t="shared" ref="BU622:BU631" si="2649">COUNTIF(K622:BR622,"&gt;0")</f>
        <v>0</v>
      </c>
      <c r="BV622" s="65"/>
      <c r="BW622" s="69"/>
      <c r="BX622" s="65"/>
      <c r="BY622" s="137">
        <f t="shared" ref="BY622:BY631" si="2650">IF(G622&gt;0,1,0)</f>
        <v>1</v>
      </c>
      <c r="BZ622" s="137">
        <f>IF(BY622&gt;0,BY622+LARGE($BZ$213:BZ621,1),0)</f>
        <v>342</v>
      </c>
      <c r="CA622" s="137" t="str">
        <f t="shared" ref="CA622:CA631" si="2651">G622</f>
        <v>COORD.</v>
      </c>
      <c r="CB622" s="161">
        <f t="shared" ref="CB622:CB631" si="2652">K622</f>
        <v>0</v>
      </c>
      <c r="CC622" s="161">
        <f t="shared" ref="CC622:CC631" si="2653">L622</f>
        <v>0</v>
      </c>
      <c r="CD622" s="161">
        <f t="shared" ref="CD622:CD631" si="2654">M622</f>
        <v>0</v>
      </c>
      <c r="CE622" s="161">
        <f t="shared" ref="CE622:CE631" si="2655">N622</f>
        <v>0</v>
      </c>
      <c r="CF622" s="161">
        <f t="shared" ref="CF622:CF631" si="2656">O622</f>
        <v>0</v>
      </c>
      <c r="CG622" s="161">
        <f t="shared" ref="CG622:CG631" si="2657">P622</f>
        <v>0</v>
      </c>
      <c r="CH622" s="161">
        <f t="shared" ref="CH622:CH631" si="2658">Q622</f>
        <v>0</v>
      </c>
      <c r="CI622" s="161">
        <f t="shared" ref="CI622:CI631" si="2659">R622</f>
        <v>0</v>
      </c>
      <c r="CJ622" s="161">
        <f t="shared" ref="CJ622:CJ631" si="2660">S622</f>
        <v>0</v>
      </c>
      <c r="CK622" s="161">
        <f t="shared" ref="CK622:CK631" si="2661">T622</f>
        <v>0</v>
      </c>
      <c r="CL622" s="161">
        <f t="shared" ref="CL622:CL631" si="2662">U622</f>
        <v>0</v>
      </c>
      <c r="CM622" s="161">
        <f t="shared" ref="CM622:CM631" si="2663">V622</f>
        <v>0</v>
      </c>
      <c r="CN622" s="161">
        <f t="shared" ref="CN622:CN631" si="2664">W622</f>
        <v>0</v>
      </c>
      <c r="CO622" s="161">
        <f t="shared" ref="CO622:CO631" si="2665">X622</f>
        <v>0</v>
      </c>
      <c r="CP622" s="161">
        <f t="shared" ref="CP622:CP631" si="2666">Y622</f>
        <v>0</v>
      </c>
      <c r="CQ622" s="161">
        <f t="shared" ref="CQ622:CQ631" si="2667">Z622</f>
        <v>0</v>
      </c>
      <c r="CR622" s="161">
        <f t="shared" ref="CR622:CR631" si="2668">AA622</f>
        <v>0</v>
      </c>
      <c r="CS622" s="161">
        <f t="shared" ref="CS622:CS631" si="2669">AB622</f>
        <v>0</v>
      </c>
      <c r="CT622" s="161">
        <f t="shared" ref="CT622:CT631" si="2670">AC622</f>
        <v>0</v>
      </c>
      <c r="CU622" s="161">
        <f t="shared" ref="CU622:CU631" si="2671">AD622</f>
        <v>0</v>
      </c>
      <c r="CV622" s="161">
        <f t="shared" ref="CV622:CV631" si="2672">AE622</f>
        <v>0</v>
      </c>
      <c r="CW622" s="161">
        <f t="shared" ref="CW622:CW631" si="2673">AF622</f>
        <v>0</v>
      </c>
      <c r="CX622" s="161">
        <f t="shared" ref="CX622:CX631" si="2674">AG622</f>
        <v>0</v>
      </c>
      <c r="CY622" s="161">
        <f t="shared" ref="CY622:CY631" si="2675">AH622</f>
        <v>0</v>
      </c>
      <c r="CZ622" s="161">
        <f t="shared" ref="CZ622:CZ631" si="2676">AI622</f>
        <v>0</v>
      </c>
      <c r="DA622" s="161">
        <f t="shared" ref="DA622:DA631" si="2677">AJ622</f>
        <v>0</v>
      </c>
      <c r="DB622" s="161">
        <f t="shared" ref="DB622:DB631" si="2678">AK622</f>
        <v>0</v>
      </c>
      <c r="DC622" s="161">
        <f t="shared" ref="DC622:DC631" si="2679">AL622</f>
        <v>0</v>
      </c>
      <c r="DD622" s="161">
        <f t="shared" ref="DD622:DD631" si="2680">AM622</f>
        <v>0</v>
      </c>
      <c r="DE622" s="161">
        <f t="shared" ref="DE622:DE631" si="2681">AN622</f>
        <v>0</v>
      </c>
      <c r="DF622" s="161">
        <f t="shared" ref="DF622:DF631" si="2682">AO622</f>
        <v>0</v>
      </c>
      <c r="DG622" s="161">
        <f t="shared" ref="DG622:DG631" si="2683">AP622</f>
        <v>0</v>
      </c>
      <c r="DH622" s="161">
        <f t="shared" ref="DH622:DH631" si="2684">AQ622</f>
        <v>0</v>
      </c>
      <c r="DI622" s="161">
        <f t="shared" ref="DI622:DI631" si="2685">AR622</f>
        <v>0</v>
      </c>
      <c r="DJ622" s="161">
        <f t="shared" ref="DJ622:DJ631" si="2686">AS622</f>
        <v>0</v>
      </c>
      <c r="DK622" s="161">
        <f t="shared" ref="DK622:DK631" si="2687">AT622</f>
        <v>0</v>
      </c>
      <c r="DL622" s="161">
        <f t="shared" ref="DL622:DL631" si="2688">AU622</f>
        <v>0</v>
      </c>
      <c r="DM622" s="161">
        <f t="shared" ref="DM622:DM631" si="2689">AV622</f>
        <v>0</v>
      </c>
      <c r="DN622" s="161">
        <f t="shared" ref="DN622:DN631" si="2690">AW622</f>
        <v>0</v>
      </c>
      <c r="DO622" s="161">
        <f t="shared" ref="DO622:DO631" si="2691">AX622</f>
        <v>0</v>
      </c>
      <c r="DP622" s="161">
        <f t="shared" ref="DP622:DP631" si="2692">AY622</f>
        <v>0</v>
      </c>
      <c r="DQ622" s="161">
        <f t="shared" ref="DQ622:DQ631" si="2693">AZ622</f>
        <v>0</v>
      </c>
      <c r="DR622" s="161">
        <f t="shared" ref="DR622:DR631" si="2694">BA622</f>
        <v>0</v>
      </c>
      <c r="DS622" s="161">
        <f t="shared" ref="DS622:DS631" si="2695">BB622</f>
        <v>0</v>
      </c>
      <c r="DT622" s="161">
        <f t="shared" ref="DT622:DT631" si="2696">BC622</f>
        <v>0</v>
      </c>
      <c r="DU622" s="161">
        <f t="shared" ref="DU622:DU631" si="2697">BD622</f>
        <v>0</v>
      </c>
      <c r="DV622" s="161">
        <f t="shared" ref="DV622:DV631" si="2698">BE622</f>
        <v>0</v>
      </c>
      <c r="DW622" s="161">
        <f t="shared" ref="DW622:DW631" si="2699">BF622</f>
        <v>0</v>
      </c>
      <c r="DX622" s="161">
        <f t="shared" ref="DX622:DX631" si="2700">BG622</f>
        <v>0</v>
      </c>
      <c r="DY622" s="161">
        <f t="shared" ref="DY622:DY631" si="2701">BH622</f>
        <v>0</v>
      </c>
      <c r="DZ622" s="161">
        <f t="shared" ref="DZ622:DZ631" si="2702">BI622</f>
        <v>0</v>
      </c>
      <c r="EA622" s="161">
        <f t="shared" ref="EA622:EA631" si="2703">BJ622</f>
        <v>0</v>
      </c>
      <c r="EB622" s="161">
        <f t="shared" ref="EB622:EB631" si="2704">BK622</f>
        <v>0</v>
      </c>
      <c r="EC622" s="161">
        <f t="shared" ref="EC622:EC631" si="2705">BL622</f>
        <v>0</v>
      </c>
      <c r="ED622" s="161">
        <f t="shared" ref="ED622:ED631" si="2706">BM622</f>
        <v>0</v>
      </c>
      <c r="EE622" s="161">
        <f t="shared" ref="EE622:EE631" si="2707">BN622</f>
        <v>0</v>
      </c>
      <c r="EF622" s="161">
        <f t="shared" ref="EF622:EF631" si="2708">BO622</f>
        <v>0</v>
      </c>
      <c r="EG622" s="161">
        <f t="shared" ref="EG622:EG631" si="2709">BP622</f>
        <v>0</v>
      </c>
      <c r="EH622" s="161">
        <f t="shared" ref="EH622:EH631" si="2710">BQ622</f>
        <v>0</v>
      </c>
      <c r="EI622" s="161">
        <f t="shared" ref="EI622:EI631" si="2711">BR622</f>
        <v>0</v>
      </c>
      <c r="EJ622" s="65"/>
      <c r="EK622" s="161">
        <f t="shared" ref="EK622:EK640" si="2712">$EK$620</f>
        <v>0</v>
      </c>
      <c r="EL622" s="161">
        <f t="shared" ref="EL622:EL640" si="2713">$EL$620</f>
        <v>0</v>
      </c>
      <c r="EM622" s="161">
        <f t="shared" ref="EM622:EM640" si="2714">$EM$620</f>
        <v>0</v>
      </c>
    </row>
    <row r="623" spans="1:143" ht="12" hidden="1" customHeight="1" outlineLevel="2">
      <c r="A623" s="77">
        <v>3</v>
      </c>
      <c r="B623" s="137" t="str">
        <f t="shared" si="2642"/>
        <v>SUP.-ESP - Equipe_01</v>
      </c>
      <c r="C623" s="65"/>
      <c r="D623" s="621"/>
      <c r="E623" s="65"/>
      <c r="F623" s="603"/>
      <c r="G623" s="77" t="str">
        <f>IF(INDEX(Tarefas!$BT$30:$FK$30,MATCH(A623,Tarefas!$BT$28:$FK$28,0))=0,"",INDEX(Tarefas!$BT$30:$FK$30,MATCH(A623,Tarefas!$BT$28:$FK$28,0)))</f>
        <v>SUP.-ESP</v>
      </c>
      <c r="H623" s="107" cm="1">
        <f t="array" ref="H623">IFERROR((SUMPRODUCT((Tarefas!$N$32:$N$54='Cronog. e Histog.'!$F$621)*(Tarefas!$BQ$30:$FK$30='Cronog. e Histog.'!$G623)*(Tarefas!$BQ$32:$FK$54)))/SUMIF(Tarefas!$N$32:$N$54,'Cronog. e Histog.'!$F$621,Tarefas!$K$32:$K$54),0)</f>
        <v>0</v>
      </c>
      <c r="I623" s="79">
        <f t="shared" si="2643"/>
        <v>0</v>
      </c>
      <c r="J623" s="65"/>
      <c r="K623" s="160">
        <f t="shared" si="2644"/>
        <v>0</v>
      </c>
      <c r="L623" s="160">
        <f t="shared" si="2644"/>
        <v>0</v>
      </c>
      <c r="M623" s="160">
        <f t="shared" si="2644"/>
        <v>0</v>
      </c>
      <c r="N623" s="160">
        <f t="shared" si="2644"/>
        <v>0</v>
      </c>
      <c r="O623" s="160">
        <f t="shared" si="2644"/>
        <v>0</v>
      </c>
      <c r="P623" s="160">
        <f t="shared" si="2644"/>
        <v>0</v>
      </c>
      <c r="Q623" s="160">
        <f t="shared" si="2644"/>
        <v>0</v>
      </c>
      <c r="R623" s="160">
        <f t="shared" si="2644"/>
        <v>0</v>
      </c>
      <c r="S623" s="160">
        <f t="shared" si="2644"/>
        <v>0</v>
      </c>
      <c r="T623" s="160">
        <f t="shared" si="2644"/>
        <v>0</v>
      </c>
      <c r="U623" s="160">
        <f t="shared" si="2644"/>
        <v>0</v>
      </c>
      <c r="V623" s="160">
        <f t="shared" si="2644"/>
        <v>0</v>
      </c>
      <c r="W623" s="160">
        <f t="shared" si="2644"/>
        <v>0</v>
      </c>
      <c r="X623" s="160">
        <f t="shared" si="2644"/>
        <v>0</v>
      </c>
      <c r="Y623" s="160">
        <f t="shared" si="2644"/>
        <v>0</v>
      </c>
      <c r="Z623" s="160">
        <f t="shared" si="2644"/>
        <v>0</v>
      </c>
      <c r="AA623" s="160">
        <f t="shared" si="2645"/>
        <v>0</v>
      </c>
      <c r="AB623" s="160">
        <f t="shared" si="2645"/>
        <v>0</v>
      </c>
      <c r="AC623" s="160">
        <f t="shared" si="2645"/>
        <v>0</v>
      </c>
      <c r="AD623" s="160">
        <f t="shared" si="2645"/>
        <v>0</v>
      </c>
      <c r="AE623" s="160">
        <f t="shared" si="2645"/>
        <v>0</v>
      </c>
      <c r="AF623" s="160">
        <f t="shared" si="2645"/>
        <v>0</v>
      </c>
      <c r="AG623" s="160">
        <f t="shared" si="2645"/>
        <v>0</v>
      </c>
      <c r="AH623" s="160">
        <f t="shared" si="2645"/>
        <v>0</v>
      </c>
      <c r="AI623" s="160">
        <f t="shared" si="2645"/>
        <v>0</v>
      </c>
      <c r="AJ623" s="160">
        <f t="shared" si="2645"/>
        <v>0</v>
      </c>
      <c r="AK623" s="160">
        <f t="shared" si="2645"/>
        <v>0</v>
      </c>
      <c r="AL623" s="160">
        <f t="shared" si="2645"/>
        <v>0</v>
      </c>
      <c r="AM623" s="160">
        <f t="shared" si="2645"/>
        <v>0</v>
      </c>
      <c r="AN623" s="160">
        <f t="shared" si="2645"/>
        <v>0</v>
      </c>
      <c r="AO623" s="160">
        <f t="shared" si="2645"/>
        <v>0</v>
      </c>
      <c r="AP623" s="160">
        <f t="shared" si="2645"/>
        <v>0</v>
      </c>
      <c r="AQ623" s="160">
        <f t="shared" si="2646"/>
        <v>0</v>
      </c>
      <c r="AR623" s="160">
        <f t="shared" si="2646"/>
        <v>0</v>
      </c>
      <c r="AS623" s="160">
        <f t="shared" si="2646"/>
        <v>0</v>
      </c>
      <c r="AT623" s="160">
        <f t="shared" si="2646"/>
        <v>0</v>
      </c>
      <c r="AU623" s="160">
        <f t="shared" si="2646"/>
        <v>0</v>
      </c>
      <c r="AV623" s="160">
        <f t="shared" si="2646"/>
        <v>0</v>
      </c>
      <c r="AW623" s="160">
        <f t="shared" si="2646"/>
        <v>0</v>
      </c>
      <c r="AX623" s="160">
        <f t="shared" si="2646"/>
        <v>0</v>
      </c>
      <c r="AY623" s="160">
        <f t="shared" si="2646"/>
        <v>0</v>
      </c>
      <c r="AZ623" s="160">
        <f t="shared" si="2646"/>
        <v>0</v>
      </c>
      <c r="BA623" s="160">
        <f t="shared" si="2646"/>
        <v>0</v>
      </c>
      <c r="BB623" s="160">
        <f t="shared" si="2646"/>
        <v>0</v>
      </c>
      <c r="BC623" s="160">
        <f t="shared" si="2646"/>
        <v>0</v>
      </c>
      <c r="BD623" s="160">
        <f t="shared" si="2646"/>
        <v>0</v>
      </c>
      <c r="BE623" s="160">
        <f t="shared" si="2646"/>
        <v>0</v>
      </c>
      <c r="BF623" s="160">
        <f t="shared" si="2646"/>
        <v>0</v>
      </c>
      <c r="BG623" s="160">
        <f t="shared" si="2647"/>
        <v>0</v>
      </c>
      <c r="BH623" s="160">
        <f t="shared" si="2647"/>
        <v>0</v>
      </c>
      <c r="BI623" s="160">
        <f t="shared" si="2647"/>
        <v>0</v>
      </c>
      <c r="BJ623" s="160">
        <f t="shared" si="2647"/>
        <v>0</v>
      </c>
      <c r="BK623" s="160">
        <f t="shared" si="2647"/>
        <v>0</v>
      </c>
      <c r="BL623" s="160">
        <f t="shared" si="2647"/>
        <v>0</v>
      </c>
      <c r="BM623" s="160">
        <f t="shared" si="2647"/>
        <v>0</v>
      </c>
      <c r="BN623" s="160">
        <f t="shared" si="2647"/>
        <v>0</v>
      </c>
      <c r="BO623" s="160">
        <f t="shared" si="2647"/>
        <v>0</v>
      </c>
      <c r="BP623" s="160">
        <f t="shared" si="2647"/>
        <v>0</v>
      </c>
      <c r="BQ623" s="160">
        <f t="shared" si="2647"/>
        <v>0</v>
      </c>
      <c r="BR623" s="160">
        <f t="shared" si="2647"/>
        <v>0</v>
      </c>
      <c r="BS623" s="65"/>
      <c r="BT623" s="160">
        <f t="shared" si="2648"/>
        <v>0</v>
      </c>
      <c r="BU623" s="160">
        <f t="shared" si="2649"/>
        <v>0</v>
      </c>
      <c r="BV623" s="65"/>
      <c r="BW623" s="69"/>
      <c r="BX623" s="65"/>
      <c r="BY623" s="137">
        <f t="shared" si="2650"/>
        <v>1</v>
      </c>
      <c r="BZ623" s="137">
        <f>IF(BY623&gt;0,BY623+LARGE($BZ$213:BZ622,1),0)</f>
        <v>343</v>
      </c>
      <c r="CA623" s="137" t="str">
        <f t="shared" si="2651"/>
        <v>SUP.-ESP</v>
      </c>
      <c r="CB623" s="161">
        <f t="shared" si="2652"/>
        <v>0</v>
      </c>
      <c r="CC623" s="161">
        <f t="shared" si="2653"/>
        <v>0</v>
      </c>
      <c r="CD623" s="161">
        <f t="shared" si="2654"/>
        <v>0</v>
      </c>
      <c r="CE623" s="161">
        <f t="shared" si="2655"/>
        <v>0</v>
      </c>
      <c r="CF623" s="161">
        <f t="shared" si="2656"/>
        <v>0</v>
      </c>
      <c r="CG623" s="161">
        <f t="shared" si="2657"/>
        <v>0</v>
      </c>
      <c r="CH623" s="161">
        <f t="shared" si="2658"/>
        <v>0</v>
      </c>
      <c r="CI623" s="161">
        <f t="shared" si="2659"/>
        <v>0</v>
      </c>
      <c r="CJ623" s="161">
        <f t="shared" si="2660"/>
        <v>0</v>
      </c>
      <c r="CK623" s="161">
        <f t="shared" si="2661"/>
        <v>0</v>
      </c>
      <c r="CL623" s="161">
        <f t="shared" si="2662"/>
        <v>0</v>
      </c>
      <c r="CM623" s="161">
        <f t="shared" si="2663"/>
        <v>0</v>
      </c>
      <c r="CN623" s="161">
        <f t="shared" si="2664"/>
        <v>0</v>
      </c>
      <c r="CO623" s="161">
        <f t="shared" si="2665"/>
        <v>0</v>
      </c>
      <c r="CP623" s="161">
        <f t="shared" si="2666"/>
        <v>0</v>
      </c>
      <c r="CQ623" s="161">
        <f t="shared" si="2667"/>
        <v>0</v>
      </c>
      <c r="CR623" s="161">
        <f t="shared" si="2668"/>
        <v>0</v>
      </c>
      <c r="CS623" s="161">
        <f t="shared" si="2669"/>
        <v>0</v>
      </c>
      <c r="CT623" s="161">
        <f t="shared" si="2670"/>
        <v>0</v>
      </c>
      <c r="CU623" s="161">
        <f t="shared" si="2671"/>
        <v>0</v>
      </c>
      <c r="CV623" s="161">
        <f t="shared" si="2672"/>
        <v>0</v>
      </c>
      <c r="CW623" s="161">
        <f t="shared" si="2673"/>
        <v>0</v>
      </c>
      <c r="CX623" s="161">
        <f t="shared" si="2674"/>
        <v>0</v>
      </c>
      <c r="CY623" s="161">
        <f t="shared" si="2675"/>
        <v>0</v>
      </c>
      <c r="CZ623" s="161">
        <f t="shared" si="2676"/>
        <v>0</v>
      </c>
      <c r="DA623" s="161">
        <f t="shared" si="2677"/>
        <v>0</v>
      </c>
      <c r="DB623" s="161">
        <f t="shared" si="2678"/>
        <v>0</v>
      </c>
      <c r="DC623" s="161">
        <f t="shared" si="2679"/>
        <v>0</v>
      </c>
      <c r="DD623" s="161">
        <f t="shared" si="2680"/>
        <v>0</v>
      </c>
      <c r="DE623" s="161">
        <f t="shared" si="2681"/>
        <v>0</v>
      </c>
      <c r="DF623" s="161">
        <f t="shared" si="2682"/>
        <v>0</v>
      </c>
      <c r="DG623" s="161">
        <f t="shared" si="2683"/>
        <v>0</v>
      </c>
      <c r="DH623" s="161">
        <f t="shared" si="2684"/>
        <v>0</v>
      </c>
      <c r="DI623" s="161">
        <f t="shared" si="2685"/>
        <v>0</v>
      </c>
      <c r="DJ623" s="161">
        <f t="shared" si="2686"/>
        <v>0</v>
      </c>
      <c r="DK623" s="161">
        <f t="shared" si="2687"/>
        <v>0</v>
      </c>
      <c r="DL623" s="161">
        <f t="shared" si="2688"/>
        <v>0</v>
      </c>
      <c r="DM623" s="161">
        <f t="shared" si="2689"/>
        <v>0</v>
      </c>
      <c r="DN623" s="161">
        <f t="shared" si="2690"/>
        <v>0</v>
      </c>
      <c r="DO623" s="161">
        <f t="shared" si="2691"/>
        <v>0</v>
      </c>
      <c r="DP623" s="161">
        <f t="shared" si="2692"/>
        <v>0</v>
      </c>
      <c r="DQ623" s="161">
        <f t="shared" si="2693"/>
        <v>0</v>
      </c>
      <c r="DR623" s="161">
        <f t="shared" si="2694"/>
        <v>0</v>
      </c>
      <c r="DS623" s="161">
        <f t="shared" si="2695"/>
        <v>0</v>
      </c>
      <c r="DT623" s="161">
        <f t="shared" si="2696"/>
        <v>0</v>
      </c>
      <c r="DU623" s="161">
        <f t="shared" si="2697"/>
        <v>0</v>
      </c>
      <c r="DV623" s="161">
        <f t="shared" si="2698"/>
        <v>0</v>
      </c>
      <c r="DW623" s="161">
        <f t="shared" si="2699"/>
        <v>0</v>
      </c>
      <c r="DX623" s="161">
        <f t="shared" si="2700"/>
        <v>0</v>
      </c>
      <c r="DY623" s="161">
        <f t="shared" si="2701"/>
        <v>0</v>
      </c>
      <c r="DZ623" s="161">
        <f t="shared" si="2702"/>
        <v>0</v>
      </c>
      <c r="EA623" s="161">
        <f t="shared" si="2703"/>
        <v>0</v>
      </c>
      <c r="EB623" s="161">
        <f t="shared" si="2704"/>
        <v>0</v>
      </c>
      <c r="EC623" s="161">
        <f t="shared" si="2705"/>
        <v>0</v>
      </c>
      <c r="ED623" s="161">
        <f t="shared" si="2706"/>
        <v>0</v>
      </c>
      <c r="EE623" s="161">
        <f t="shared" si="2707"/>
        <v>0</v>
      </c>
      <c r="EF623" s="161">
        <f t="shared" si="2708"/>
        <v>0</v>
      </c>
      <c r="EG623" s="161">
        <f t="shared" si="2709"/>
        <v>0</v>
      </c>
      <c r="EH623" s="161">
        <f t="shared" si="2710"/>
        <v>0</v>
      </c>
      <c r="EI623" s="161">
        <f t="shared" si="2711"/>
        <v>0</v>
      </c>
      <c r="EJ623" s="65"/>
      <c r="EK623" s="161">
        <f t="shared" si="2712"/>
        <v>0</v>
      </c>
      <c r="EL623" s="161">
        <f t="shared" si="2713"/>
        <v>0</v>
      </c>
      <c r="EM623" s="161">
        <f t="shared" si="2714"/>
        <v>0</v>
      </c>
    </row>
    <row r="624" spans="1:143" ht="12" hidden="1" customHeight="1" outlineLevel="2">
      <c r="A624" s="77">
        <v>4</v>
      </c>
      <c r="B624" s="137" t="str">
        <f t="shared" si="2642"/>
        <v>ENG/ARQ SR. - Equipe_01</v>
      </c>
      <c r="C624" s="65"/>
      <c r="D624" s="621"/>
      <c r="E624" s="65"/>
      <c r="F624" s="603"/>
      <c r="G624" s="77" t="str">
        <f>IF(INDEX(Tarefas!$BT$30:$FK$30,MATCH(A624,Tarefas!$BT$28:$FK$28,0))=0,"",INDEX(Tarefas!$BT$30:$FK$30,MATCH(A624,Tarefas!$BT$28:$FK$28,0)))</f>
        <v>ENG/ARQ SR.</v>
      </c>
      <c r="H624" s="107" cm="1">
        <f t="array" ref="H624">IFERROR((SUMPRODUCT((Tarefas!$N$32:$N$54='Cronog. e Histog.'!$F$621)*(Tarefas!$BQ$30:$FK$30='Cronog. e Histog.'!$G624)*(Tarefas!$BQ$32:$FK$54)))/SUMIF(Tarefas!$N$32:$N$54,'Cronog. e Histog.'!$F$621,Tarefas!$K$32:$K$54),0)</f>
        <v>0</v>
      </c>
      <c r="I624" s="79">
        <f t="shared" si="2643"/>
        <v>0</v>
      </c>
      <c r="J624" s="65"/>
      <c r="K624" s="160">
        <f t="shared" si="2644"/>
        <v>0</v>
      </c>
      <c r="L624" s="160">
        <f t="shared" si="2644"/>
        <v>0</v>
      </c>
      <c r="M624" s="160">
        <f t="shared" si="2644"/>
        <v>0</v>
      </c>
      <c r="N624" s="160">
        <f t="shared" si="2644"/>
        <v>0</v>
      </c>
      <c r="O624" s="160">
        <f t="shared" si="2644"/>
        <v>0</v>
      </c>
      <c r="P624" s="160">
        <f t="shared" si="2644"/>
        <v>0</v>
      </c>
      <c r="Q624" s="160">
        <f t="shared" si="2644"/>
        <v>0</v>
      </c>
      <c r="R624" s="160">
        <f t="shared" si="2644"/>
        <v>0</v>
      </c>
      <c r="S624" s="160">
        <f t="shared" si="2644"/>
        <v>0</v>
      </c>
      <c r="T624" s="160">
        <f t="shared" si="2644"/>
        <v>0</v>
      </c>
      <c r="U624" s="160">
        <f t="shared" si="2644"/>
        <v>0</v>
      </c>
      <c r="V624" s="160">
        <f t="shared" si="2644"/>
        <v>0</v>
      </c>
      <c r="W624" s="160">
        <f t="shared" si="2644"/>
        <v>0</v>
      </c>
      <c r="X624" s="160">
        <f t="shared" si="2644"/>
        <v>0</v>
      </c>
      <c r="Y624" s="160">
        <f t="shared" si="2644"/>
        <v>0</v>
      </c>
      <c r="Z624" s="160">
        <f t="shared" si="2644"/>
        <v>0</v>
      </c>
      <c r="AA624" s="160">
        <f t="shared" si="2645"/>
        <v>0</v>
      </c>
      <c r="AB624" s="160">
        <f t="shared" si="2645"/>
        <v>0</v>
      </c>
      <c r="AC624" s="160">
        <f t="shared" si="2645"/>
        <v>0</v>
      </c>
      <c r="AD624" s="160">
        <f t="shared" si="2645"/>
        <v>0</v>
      </c>
      <c r="AE624" s="160">
        <f t="shared" si="2645"/>
        <v>0</v>
      </c>
      <c r="AF624" s="160">
        <f t="shared" si="2645"/>
        <v>0</v>
      </c>
      <c r="AG624" s="160">
        <f t="shared" si="2645"/>
        <v>0</v>
      </c>
      <c r="AH624" s="160">
        <f t="shared" si="2645"/>
        <v>0</v>
      </c>
      <c r="AI624" s="160">
        <f t="shared" si="2645"/>
        <v>0</v>
      </c>
      <c r="AJ624" s="160">
        <f t="shared" si="2645"/>
        <v>0</v>
      </c>
      <c r="AK624" s="160">
        <f t="shared" si="2645"/>
        <v>0</v>
      </c>
      <c r="AL624" s="160">
        <f t="shared" si="2645"/>
        <v>0</v>
      </c>
      <c r="AM624" s="160">
        <f t="shared" si="2645"/>
        <v>0</v>
      </c>
      <c r="AN624" s="160">
        <f t="shared" si="2645"/>
        <v>0</v>
      </c>
      <c r="AO624" s="160">
        <f t="shared" si="2645"/>
        <v>0</v>
      </c>
      <c r="AP624" s="160">
        <f t="shared" si="2645"/>
        <v>0</v>
      </c>
      <c r="AQ624" s="160">
        <f t="shared" si="2646"/>
        <v>0</v>
      </c>
      <c r="AR624" s="160">
        <f t="shared" si="2646"/>
        <v>0</v>
      </c>
      <c r="AS624" s="160">
        <f t="shared" si="2646"/>
        <v>0</v>
      </c>
      <c r="AT624" s="160">
        <f t="shared" si="2646"/>
        <v>0</v>
      </c>
      <c r="AU624" s="160">
        <f t="shared" si="2646"/>
        <v>0</v>
      </c>
      <c r="AV624" s="160">
        <f t="shared" si="2646"/>
        <v>0</v>
      </c>
      <c r="AW624" s="160">
        <f t="shared" si="2646"/>
        <v>0</v>
      </c>
      <c r="AX624" s="160">
        <f t="shared" si="2646"/>
        <v>0</v>
      </c>
      <c r="AY624" s="160">
        <f t="shared" si="2646"/>
        <v>0</v>
      </c>
      <c r="AZ624" s="160">
        <f t="shared" si="2646"/>
        <v>0</v>
      </c>
      <c r="BA624" s="160">
        <f t="shared" si="2646"/>
        <v>0</v>
      </c>
      <c r="BB624" s="160">
        <f t="shared" si="2646"/>
        <v>0</v>
      </c>
      <c r="BC624" s="160">
        <f t="shared" si="2646"/>
        <v>0</v>
      </c>
      <c r="BD624" s="160">
        <f t="shared" si="2646"/>
        <v>0</v>
      </c>
      <c r="BE624" s="160">
        <f t="shared" si="2646"/>
        <v>0</v>
      </c>
      <c r="BF624" s="160">
        <f t="shared" si="2646"/>
        <v>0</v>
      </c>
      <c r="BG624" s="160">
        <f t="shared" si="2647"/>
        <v>0</v>
      </c>
      <c r="BH624" s="160">
        <f t="shared" si="2647"/>
        <v>0</v>
      </c>
      <c r="BI624" s="160">
        <f t="shared" si="2647"/>
        <v>0</v>
      </c>
      <c r="BJ624" s="160">
        <f t="shared" si="2647"/>
        <v>0</v>
      </c>
      <c r="BK624" s="160">
        <f t="shared" si="2647"/>
        <v>0</v>
      </c>
      <c r="BL624" s="160">
        <f t="shared" si="2647"/>
        <v>0</v>
      </c>
      <c r="BM624" s="160">
        <f t="shared" si="2647"/>
        <v>0</v>
      </c>
      <c r="BN624" s="160">
        <f t="shared" si="2647"/>
        <v>0</v>
      </c>
      <c r="BO624" s="160">
        <f t="shared" si="2647"/>
        <v>0</v>
      </c>
      <c r="BP624" s="160">
        <f t="shared" si="2647"/>
        <v>0</v>
      </c>
      <c r="BQ624" s="160">
        <f t="shared" si="2647"/>
        <v>0</v>
      </c>
      <c r="BR624" s="160">
        <f t="shared" si="2647"/>
        <v>0</v>
      </c>
      <c r="BS624" s="65"/>
      <c r="BT624" s="160">
        <f t="shared" si="2648"/>
        <v>0</v>
      </c>
      <c r="BU624" s="160">
        <f t="shared" si="2649"/>
        <v>0</v>
      </c>
      <c r="BV624" s="65"/>
      <c r="BW624" s="69"/>
      <c r="BX624" s="65"/>
      <c r="BY624" s="137">
        <f t="shared" si="2650"/>
        <v>1</v>
      </c>
      <c r="BZ624" s="137">
        <f>IF(BY624&gt;0,BY624+LARGE($BZ$213:BZ623,1),0)</f>
        <v>344</v>
      </c>
      <c r="CA624" s="137" t="str">
        <f t="shared" si="2651"/>
        <v>ENG/ARQ SR.</v>
      </c>
      <c r="CB624" s="161">
        <f t="shared" si="2652"/>
        <v>0</v>
      </c>
      <c r="CC624" s="161">
        <f t="shared" si="2653"/>
        <v>0</v>
      </c>
      <c r="CD624" s="161">
        <f t="shared" si="2654"/>
        <v>0</v>
      </c>
      <c r="CE624" s="161">
        <f t="shared" si="2655"/>
        <v>0</v>
      </c>
      <c r="CF624" s="161">
        <f t="shared" si="2656"/>
        <v>0</v>
      </c>
      <c r="CG624" s="161">
        <f t="shared" si="2657"/>
        <v>0</v>
      </c>
      <c r="CH624" s="161">
        <f t="shared" si="2658"/>
        <v>0</v>
      </c>
      <c r="CI624" s="161">
        <f t="shared" si="2659"/>
        <v>0</v>
      </c>
      <c r="CJ624" s="161">
        <f t="shared" si="2660"/>
        <v>0</v>
      </c>
      <c r="CK624" s="161">
        <f t="shared" si="2661"/>
        <v>0</v>
      </c>
      <c r="CL624" s="161">
        <f t="shared" si="2662"/>
        <v>0</v>
      </c>
      <c r="CM624" s="161">
        <f t="shared" si="2663"/>
        <v>0</v>
      </c>
      <c r="CN624" s="161">
        <f t="shared" si="2664"/>
        <v>0</v>
      </c>
      <c r="CO624" s="161">
        <f t="shared" si="2665"/>
        <v>0</v>
      </c>
      <c r="CP624" s="161">
        <f t="shared" si="2666"/>
        <v>0</v>
      </c>
      <c r="CQ624" s="161">
        <f t="shared" si="2667"/>
        <v>0</v>
      </c>
      <c r="CR624" s="161">
        <f t="shared" si="2668"/>
        <v>0</v>
      </c>
      <c r="CS624" s="161">
        <f t="shared" si="2669"/>
        <v>0</v>
      </c>
      <c r="CT624" s="161">
        <f t="shared" si="2670"/>
        <v>0</v>
      </c>
      <c r="CU624" s="161">
        <f t="shared" si="2671"/>
        <v>0</v>
      </c>
      <c r="CV624" s="161">
        <f t="shared" si="2672"/>
        <v>0</v>
      </c>
      <c r="CW624" s="161">
        <f t="shared" si="2673"/>
        <v>0</v>
      </c>
      <c r="CX624" s="161">
        <f t="shared" si="2674"/>
        <v>0</v>
      </c>
      <c r="CY624" s="161">
        <f t="shared" si="2675"/>
        <v>0</v>
      </c>
      <c r="CZ624" s="161">
        <f t="shared" si="2676"/>
        <v>0</v>
      </c>
      <c r="DA624" s="161">
        <f t="shared" si="2677"/>
        <v>0</v>
      </c>
      <c r="DB624" s="161">
        <f t="shared" si="2678"/>
        <v>0</v>
      </c>
      <c r="DC624" s="161">
        <f t="shared" si="2679"/>
        <v>0</v>
      </c>
      <c r="DD624" s="161">
        <f t="shared" si="2680"/>
        <v>0</v>
      </c>
      <c r="DE624" s="161">
        <f t="shared" si="2681"/>
        <v>0</v>
      </c>
      <c r="DF624" s="161">
        <f t="shared" si="2682"/>
        <v>0</v>
      </c>
      <c r="DG624" s="161">
        <f t="shared" si="2683"/>
        <v>0</v>
      </c>
      <c r="DH624" s="161">
        <f t="shared" si="2684"/>
        <v>0</v>
      </c>
      <c r="DI624" s="161">
        <f t="shared" si="2685"/>
        <v>0</v>
      </c>
      <c r="DJ624" s="161">
        <f t="shared" si="2686"/>
        <v>0</v>
      </c>
      <c r="DK624" s="161">
        <f t="shared" si="2687"/>
        <v>0</v>
      </c>
      <c r="DL624" s="161">
        <f t="shared" si="2688"/>
        <v>0</v>
      </c>
      <c r="DM624" s="161">
        <f t="shared" si="2689"/>
        <v>0</v>
      </c>
      <c r="DN624" s="161">
        <f t="shared" si="2690"/>
        <v>0</v>
      </c>
      <c r="DO624" s="161">
        <f t="shared" si="2691"/>
        <v>0</v>
      </c>
      <c r="DP624" s="161">
        <f t="shared" si="2692"/>
        <v>0</v>
      </c>
      <c r="DQ624" s="161">
        <f t="shared" si="2693"/>
        <v>0</v>
      </c>
      <c r="DR624" s="161">
        <f t="shared" si="2694"/>
        <v>0</v>
      </c>
      <c r="DS624" s="161">
        <f t="shared" si="2695"/>
        <v>0</v>
      </c>
      <c r="DT624" s="161">
        <f t="shared" si="2696"/>
        <v>0</v>
      </c>
      <c r="DU624" s="161">
        <f t="shared" si="2697"/>
        <v>0</v>
      </c>
      <c r="DV624" s="161">
        <f t="shared" si="2698"/>
        <v>0</v>
      </c>
      <c r="DW624" s="161">
        <f t="shared" si="2699"/>
        <v>0</v>
      </c>
      <c r="DX624" s="161">
        <f t="shared" si="2700"/>
        <v>0</v>
      </c>
      <c r="DY624" s="161">
        <f t="shared" si="2701"/>
        <v>0</v>
      </c>
      <c r="DZ624" s="161">
        <f t="shared" si="2702"/>
        <v>0</v>
      </c>
      <c r="EA624" s="161">
        <f t="shared" si="2703"/>
        <v>0</v>
      </c>
      <c r="EB624" s="161">
        <f t="shared" si="2704"/>
        <v>0</v>
      </c>
      <c r="EC624" s="161">
        <f t="shared" si="2705"/>
        <v>0</v>
      </c>
      <c r="ED624" s="161">
        <f t="shared" si="2706"/>
        <v>0</v>
      </c>
      <c r="EE624" s="161">
        <f t="shared" si="2707"/>
        <v>0</v>
      </c>
      <c r="EF624" s="161">
        <f t="shared" si="2708"/>
        <v>0</v>
      </c>
      <c r="EG624" s="161">
        <f t="shared" si="2709"/>
        <v>0</v>
      </c>
      <c r="EH624" s="161">
        <f t="shared" si="2710"/>
        <v>0</v>
      </c>
      <c r="EI624" s="161">
        <f t="shared" si="2711"/>
        <v>0</v>
      </c>
      <c r="EJ624" s="65"/>
      <c r="EK624" s="161">
        <f t="shared" si="2712"/>
        <v>0</v>
      </c>
      <c r="EL624" s="161">
        <f t="shared" si="2713"/>
        <v>0</v>
      </c>
      <c r="EM624" s="161">
        <f t="shared" si="2714"/>
        <v>0</v>
      </c>
    </row>
    <row r="625" spans="1:143" ht="12" hidden="1" customHeight="1" outlineLevel="2">
      <c r="A625" s="77">
        <v>5</v>
      </c>
      <c r="B625" s="137" t="str">
        <f t="shared" si="2642"/>
        <v>ENG/ARQ PL. - Equipe_01</v>
      </c>
      <c r="C625" s="65"/>
      <c r="D625" s="621"/>
      <c r="E625" s="65"/>
      <c r="F625" s="603"/>
      <c r="G625" s="77" t="str">
        <f>IF(INDEX(Tarefas!$BT$30:$FK$30,MATCH(A625,Tarefas!$BT$28:$FK$28,0))=0,"",INDEX(Tarefas!$BT$30:$FK$30,MATCH(A625,Tarefas!$BT$28:$FK$28,0)))</f>
        <v>ENG/ARQ PL.</v>
      </c>
      <c r="H625" s="107" cm="1">
        <f t="array" ref="H625">IFERROR((SUMPRODUCT((Tarefas!$N$32:$N$54='Cronog. e Histog.'!$F$621)*(Tarefas!$BQ$30:$FK$30='Cronog. e Histog.'!$G625)*(Tarefas!$BQ$32:$FK$54)))/SUMIF(Tarefas!$N$32:$N$54,'Cronog. e Histog.'!$F$621,Tarefas!$K$32:$K$54),0)</f>
        <v>1</v>
      </c>
      <c r="I625" s="79">
        <f t="shared" si="2643"/>
        <v>1</v>
      </c>
      <c r="J625" s="65"/>
      <c r="K625" s="160">
        <f t="shared" si="2644"/>
        <v>0.02</v>
      </c>
      <c r="L625" s="160">
        <f t="shared" si="2644"/>
        <v>0.02</v>
      </c>
      <c r="M625" s="160">
        <f t="shared" si="2644"/>
        <v>0.02</v>
      </c>
      <c r="N625" s="160">
        <f t="shared" si="2644"/>
        <v>0.02</v>
      </c>
      <c r="O625" s="160">
        <f t="shared" si="2644"/>
        <v>0.02</v>
      </c>
      <c r="P625" s="160">
        <f t="shared" si="2644"/>
        <v>0.02</v>
      </c>
      <c r="Q625" s="160">
        <f t="shared" si="2644"/>
        <v>0.02</v>
      </c>
      <c r="R625" s="160">
        <f t="shared" si="2644"/>
        <v>0.02</v>
      </c>
      <c r="S625" s="160">
        <f t="shared" si="2644"/>
        <v>0.02</v>
      </c>
      <c r="T625" s="160">
        <f t="shared" si="2644"/>
        <v>0.02</v>
      </c>
      <c r="U625" s="160">
        <f t="shared" si="2644"/>
        <v>0</v>
      </c>
      <c r="V625" s="160">
        <f t="shared" si="2644"/>
        <v>0</v>
      </c>
      <c r="W625" s="160">
        <f t="shared" si="2644"/>
        <v>0</v>
      </c>
      <c r="X625" s="160">
        <f t="shared" si="2644"/>
        <v>0</v>
      </c>
      <c r="Y625" s="160">
        <f t="shared" si="2644"/>
        <v>0</v>
      </c>
      <c r="Z625" s="160">
        <f t="shared" si="2644"/>
        <v>0</v>
      </c>
      <c r="AA625" s="160">
        <f t="shared" si="2645"/>
        <v>0</v>
      </c>
      <c r="AB625" s="160">
        <f t="shared" si="2645"/>
        <v>0</v>
      </c>
      <c r="AC625" s="160">
        <f t="shared" si="2645"/>
        <v>0</v>
      </c>
      <c r="AD625" s="160">
        <f t="shared" si="2645"/>
        <v>0</v>
      </c>
      <c r="AE625" s="160">
        <f t="shared" si="2645"/>
        <v>0</v>
      </c>
      <c r="AF625" s="160">
        <f t="shared" si="2645"/>
        <v>0</v>
      </c>
      <c r="AG625" s="160">
        <f t="shared" si="2645"/>
        <v>0</v>
      </c>
      <c r="AH625" s="160">
        <f t="shared" si="2645"/>
        <v>0</v>
      </c>
      <c r="AI625" s="160">
        <f t="shared" si="2645"/>
        <v>0</v>
      </c>
      <c r="AJ625" s="160">
        <f t="shared" si="2645"/>
        <v>0</v>
      </c>
      <c r="AK625" s="160">
        <f t="shared" si="2645"/>
        <v>0</v>
      </c>
      <c r="AL625" s="160">
        <f t="shared" si="2645"/>
        <v>0</v>
      </c>
      <c r="AM625" s="160">
        <f t="shared" si="2645"/>
        <v>0</v>
      </c>
      <c r="AN625" s="160">
        <f t="shared" si="2645"/>
        <v>0</v>
      </c>
      <c r="AO625" s="160">
        <f t="shared" si="2645"/>
        <v>0</v>
      </c>
      <c r="AP625" s="160">
        <f t="shared" si="2645"/>
        <v>0</v>
      </c>
      <c r="AQ625" s="160">
        <f t="shared" si="2646"/>
        <v>0</v>
      </c>
      <c r="AR625" s="160">
        <f t="shared" si="2646"/>
        <v>0</v>
      </c>
      <c r="AS625" s="160">
        <f t="shared" si="2646"/>
        <v>0</v>
      </c>
      <c r="AT625" s="160">
        <f t="shared" si="2646"/>
        <v>0</v>
      </c>
      <c r="AU625" s="160">
        <f t="shared" si="2646"/>
        <v>0</v>
      </c>
      <c r="AV625" s="160">
        <f t="shared" si="2646"/>
        <v>0</v>
      </c>
      <c r="AW625" s="160">
        <f t="shared" si="2646"/>
        <v>0</v>
      </c>
      <c r="AX625" s="160">
        <f t="shared" si="2646"/>
        <v>0</v>
      </c>
      <c r="AY625" s="160">
        <f t="shared" si="2646"/>
        <v>0</v>
      </c>
      <c r="AZ625" s="160">
        <f t="shared" si="2646"/>
        <v>0</v>
      </c>
      <c r="BA625" s="160">
        <f t="shared" si="2646"/>
        <v>0</v>
      </c>
      <c r="BB625" s="160">
        <f t="shared" si="2646"/>
        <v>0</v>
      </c>
      <c r="BC625" s="160">
        <f t="shared" si="2646"/>
        <v>0</v>
      </c>
      <c r="BD625" s="160">
        <f t="shared" si="2646"/>
        <v>0</v>
      </c>
      <c r="BE625" s="160">
        <f t="shared" si="2646"/>
        <v>0</v>
      </c>
      <c r="BF625" s="160">
        <f t="shared" si="2646"/>
        <v>0</v>
      </c>
      <c r="BG625" s="160">
        <f t="shared" si="2647"/>
        <v>0</v>
      </c>
      <c r="BH625" s="160">
        <f t="shared" si="2647"/>
        <v>0</v>
      </c>
      <c r="BI625" s="160">
        <f t="shared" si="2647"/>
        <v>0</v>
      </c>
      <c r="BJ625" s="160">
        <f t="shared" si="2647"/>
        <v>0</v>
      </c>
      <c r="BK625" s="160">
        <f t="shared" si="2647"/>
        <v>0</v>
      </c>
      <c r="BL625" s="160">
        <f t="shared" si="2647"/>
        <v>0</v>
      </c>
      <c r="BM625" s="160">
        <f t="shared" si="2647"/>
        <v>0</v>
      </c>
      <c r="BN625" s="160">
        <f t="shared" si="2647"/>
        <v>0</v>
      </c>
      <c r="BO625" s="160">
        <f t="shared" si="2647"/>
        <v>0</v>
      </c>
      <c r="BP625" s="160">
        <f t="shared" si="2647"/>
        <v>0</v>
      </c>
      <c r="BQ625" s="160">
        <f t="shared" si="2647"/>
        <v>0</v>
      </c>
      <c r="BR625" s="160">
        <f t="shared" si="2647"/>
        <v>0</v>
      </c>
      <c r="BS625" s="65"/>
      <c r="BT625" s="160">
        <f t="shared" si="2648"/>
        <v>1.9999999999999997E-2</v>
      </c>
      <c r="BU625" s="160">
        <f t="shared" si="2649"/>
        <v>10</v>
      </c>
      <c r="BV625" s="65"/>
      <c r="BW625" s="69"/>
      <c r="BX625" s="65"/>
      <c r="BY625" s="137">
        <f t="shared" si="2650"/>
        <v>1</v>
      </c>
      <c r="BZ625" s="137">
        <f>IF(BY625&gt;0,BY625+LARGE($BZ$213:BZ624,1),0)</f>
        <v>345</v>
      </c>
      <c r="CA625" s="137" t="str">
        <f t="shared" si="2651"/>
        <v>ENG/ARQ PL.</v>
      </c>
      <c r="CB625" s="161">
        <f t="shared" si="2652"/>
        <v>0.02</v>
      </c>
      <c r="CC625" s="161">
        <f t="shared" si="2653"/>
        <v>0.02</v>
      </c>
      <c r="CD625" s="161">
        <f t="shared" si="2654"/>
        <v>0.02</v>
      </c>
      <c r="CE625" s="161">
        <f t="shared" si="2655"/>
        <v>0.02</v>
      </c>
      <c r="CF625" s="161">
        <f t="shared" si="2656"/>
        <v>0.02</v>
      </c>
      <c r="CG625" s="161">
        <f t="shared" si="2657"/>
        <v>0.02</v>
      </c>
      <c r="CH625" s="161">
        <f t="shared" si="2658"/>
        <v>0.02</v>
      </c>
      <c r="CI625" s="161">
        <f t="shared" si="2659"/>
        <v>0.02</v>
      </c>
      <c r="CJ625" s="161">
        <f t="shared" si="2660"/>
        <v>0.02</v>
      </c>
      <c r="CK625" s="161">
        <f t="shared" si="2661"/>
        <v>0.02</v>
      </c>
      <c r="CL625" s="161">
        <f t="shared" si="2662"/>
        <v>0</v>
      </c>
      <c r="CM625" s="161">
        <f t="shared" si="2663"/>
        <v>0</v>
      </c>
      <c r="CN625" s="161">
        <f t="shared" si="2664"/>
        <v>0</v>
      </c>
      <c r="CO625" s="161">
        <f t="shared" si="2665"/>
        <v>0</v>
      </c>
      <c r="CP625" s="161">
        <f t="shared" si="2666"/>
        <v>0</v>
      </c>
      <c r="CQ625" s="161">
        <f t="shared" si="2667"/>
        <v>0</v>
      </c>
      <c r="CR625" s="161">
        <f t="shared" si="2668"/>
        <v>0</v>
      </c>
      <c r="CS625" s="161">
        <f t="shared" si="2669"/>
        <v>0</v>
      </c>
      <c r="CT625" s="161">
        <f t="shared" si="2670"/>
        <v>0</v>
      </c>
      <c r="CU625" s="161">
        <f t="shared" si="2671"/>
        <v>0</v>
      </c>
      <c r="CV625" s="161">
        <f t="shared" si="2672"/>
        <v>0</v>
      </c>
      <c r="CW625" s="161">
        <f t="shared" si="2673"/>
        <v>0</v>
      </c>
      <c r="CX625" s="161">
        <f t="shared" si="2674"/>
        <v>0</v>
      </c>
      <c r="CY625" s="161">
        <f t="shared" si="2675"/>
        <v>0</v>
      </c>
      <c r="CZ625" s="161">
        <f t="shared" si="2676"/>
        <v>0</v>
      </c>
      <c r="DA625" s="161">
        <f t="shared" si="2677"/>
        <v>0</v>
      </c>
      <c r="DB625" s="161">
        <f t="shared" si="2678"/>
        <v>0</v>
      </c>
      <c r="DC625" s="161">
        <f t="shared" si="2679"/>
        <v>0</v>
      </c>
      <c r="DD625" s="161">
        <f t="shared" si="2680"/>
        <v>0</v>
      </c>
      <c r="DE625" s="161">
        <f t="shared" si="2681"/>
        <v>0</v>
      </c>
      <c r="DF625" s="161">
        <f t="shared" si="2682"/>
        <v>0</v>
      </c>
      <c r="DG625" s="161">
        <f t="shared" si="2683"/>
        <v>0</v>
      </c>
      <c r="DH625" s="161">
        <f t="shared" si="2684"/>
        <v>0</v>
      </c>
      <c r="DI625" s="161">
        <f t="shared" si="2685"/>
        <v>0</v>
      </c>
      <c r="DJ625" s="161">
        <f t="shared" si="2686"/>
        <v>0</v>
      </c>
      <c r="DK625" s="161">
        <f t="shared" si="2687"/>
        <v>0</v>
      </c>
      <c r="DL625" s="161">
        <f t="shared" si="2688"/>
        <v>0</v>
      </c>
      <c r="DM625" s="161">
        <f t="shared" si="2689"/>
        <v>0</v>
      </c>
      <c r="DN625" s="161">
        <f t="shared" si="2690"/>
        <v>0</v>
      </c>
      <c r="DO625" s="161">
        <f t="shared" si="2691"/>
        <v>0</v>
      </c>
      <c r="DP625" s="161">
        <f t="shared" si="2692"/>
        <v>0</v>
      </c>
      <c r="DQ625" s="161">
        <f t="shared" si="2693"/>
        <v>0</v>
      </c>
      <c r="DR625" s="161">
        <f t="shared" si="2694"/>
        <v>0</v>
      </c>
      <c r="DS625" s="161">
        <f t="shared" si="2695"/>
        <v>0</v>
      </c>
      <c r="DT625" s="161">
        <f t="shared" si="2696"/>
        <v>0</v>
      </c>
      <c r="DU625" s="161">
        <f t="shared" si="2697"/>
        <v>0</v>
      </c>
      <c r="DV625" s="161">
        <f t="shared" si="2698"/>
        <v>0</v>
      </c>
      <c r="DW625" s="161">
        <f t="shared" si="2699"/>
        <v>0</v>
      </c>
      <c r="DX625" s="161">
        <f t="shared" si="2700"/>
        <v>0</v>
      </c>
      <c r="DY625" s="161">
        <f t="shared" si="2701"/>
        <v>0</v>
      </c>
      <c r="DZ625" s="161">
        <f t="shared" si="2702"/>
        <v>0</v>
      </c>
      <c r="EA625" s="161">
        <f t="shared" si="2703"/>
        <v>0</v>
      </c>
      <c r="EB625" s="161">
        <f t="shared" si="2704"/>
        <v>0</v>
      </c>
      <c r="EC625" s="161">
        <f t="shared" si="2705"/>
        <v>0</v>
      </c>
      <c r="ED625" s="161">
        <f t="shared" si="2706"/>
        <v>0</v>
      </c>
      <c r="EE625" s="161">
        <f t="shared" si="2707"/>
        <v>0</v>
      </c>
      <c r="EF625" s="161">
        <f t="shared" si="2708"/>
        <v>0</v>
      </c>
      <c r="EG625" s="161">
        <f t="shared" si="2709"/>
        <v>0</v>
      </c>
      <c r="EH625" s="161">
        <f t="shared" si="2710"/>
        <v>0</v>
      </c>
      <c r="EI625" s="161">
        <f t="shared" si="2711"/>
        <v>0</v>
      </c>
      <c r="EJ625" s="65"/>
      <c r="EK625" s="161">
        <f t="shared" si="2712"/>
        <v>0</v>
      </c>
      <c r="EL625" s="161">
        <f t="shared" si="2713"/>
        <v>0</v>
      </c>
      <c r="EM625" s="161">
        <f t="shared" si="2714"/>
        <v>0</v>
      </c>
    </row>
    <row r="626" spans="1:143" ht="12" hidden="1" customHeight="1" outlineLevel="2">
      <c r="A626" s="77">
        <v>6</v>
      </c>
      <c r="B626" s="137" t="str">
        <f t="shared" si="2642"/>
        <v>ENG/ARQ JR. - Equipe_01</v>
      </c>
      <c r="C626" s="65"/>
      <c r="D626" s="621"/>
      <c r="E626" s="65"/>
      <c r="F626" s="603"/>
      <c r="G626" s="77" t="str">
        <f>IF(INDEX(Tarefas!$BT$30:$FK$30,MATCH(A626,Tarefas!$BT$28:$FK$28,0))=0,"",INDEX(Tarefas!$BT$30:$FK$30,MATCH(A626,Tarefas!$BT$28:$FK$28,0)))</f>
        <v>ENG/ARQ JR.</v>
      </c>
      <c r="H626" s="107" cm="1">
        <f t="array" ref="H626">IFERROR((SUMPRODUCT((Tarefas!$N$32:$N$54='Cronog. e Histog.'!$F$621)*(Tarefas!$BQ$30:$FK$30='Cronog. e Histog.'!$G626)*(Tarefas!$BQ$32:$FK$54)))/SUMIF(Tarefas!$N$32:$N$54,'Cronog. e Histog.'!$F$621,Tarefas!$K$32:$K$54),0)</f>
        <v>0</v>
      </c>
      <c r="I626" s="79">
        <f t="shared" si="2643"/>
        <v>0</v>
      </c>
      <c r="J626" s="65"/>
      <c r="K626" s="160">
        <f t="shared" si="2644"/>
        <v>0</v>
      </c>
      <c r="L626" s="160">
        <f t="shared" si="2644"/>
        <v>0</v>
      </c>
      <c r="M626" s="160">
        <f t="shared" si="2644"/>
        <v>0</v>
      </c>
      <c r="N626" s="160">
        <f t="shared" si="2644"/>
        <v>0</v>
      </c>
      <c r="O626" s="160">
        <f t="shared" si="2644"/>
        <v>0</v>
      </c>
      <c r="P626" s="160">
        <f t="shared" si="2644"/>
        <v>0</v>
      </c>
      <c r="Q626" s="160">
        <f t="shared" si="2644"/>
        <v>0</v>
      </c>
      <c r="R626" s="160">
        <f t="shared" si="2644"/>
        <v>0</v>
      </c>
      <c r="S626" s="160">
        <f t="shared" si="2644"/>
        <v>0</v>
      </c>
      <c r="T626" s="160">
        <f t="shared" si="2644"/>
        <v>0</v>
      </c>
      <c r="U626" s="160">
        <f t="shared" si="2644"/>
        <v>0</v>
      </c>
      <c r="V626" s="160">
        <f t="shared" si="2644"/>
        <v>0</v>
      </c>
      <c r="W626" s="160">
        <f t="shared" si="2644"/>
        <v>0</v>
      </c>
      <c r="X626" s="160">
        <f t="shared" si="2644"/>
        <v>0</v>
      </c>
      <c r="Y626" s="160">
        <f t="shared" si="2644"/>
        <v>0</v>
      </c>
      <c r="Z626" s="160">
        <f t="shared" si="2644"/>
        <v>0</v>
      </c>
      <c r="AA626" s="160">
        <f t="shared" si="2645"/>
        <v>0</v>
      </c>
      <c r="AB626" s="160">
        <f t="shared" si="2645"/>
        <v>0</v>
      </c>
      <c r="AC626" s="160">
        <f t="shared" si="2645"/>
        <v>0</v>
      </c>
      <c r="AD626" s="160">
        <f t="shared" si="2645"/>
        <v>0</v>
      </c>
      <c r="AE626" s="160">
        <f t="shared" si="2645"/>
        <v>0</v>
      </c>
      <c r="AF626" s="160">
        <f t="shared" si="2645"/>
        <v>0</v>
      </c>
      <c r="AG626" s="160">
        <f t="shared" si="2645"/>
        <v>0</v>
      </c>
      <c r="AH626" s="160">
        <f t="shared" si="2645"/>
        <v>0</v>
      </c>
      <c r="AI626" s="160">
        <f t="shared" si="2645"/>
        <v>0</v>
      </c>
      <c r="AJ626" s="160">
        <f t="shared" si="2645"/>
        <v>0</v>
      </c>
      <c r="AK626" s="160">
        <f t="shared" si="2645"/>
        <v>0</v>
      </c>
      <c r="AL626" s="160">
        <f t="shared" si="2645"/>
        <v>0</v>
      </c>
      <c r="AM626" s="160">
        <f t="shared" si="2645"/>
        <v>0</v>
      </c>
      <c r="AN626" s="160">
        <f t="shared" si="2645"/>
        <v>0</v>
      </c>
      <c r="AO626" s="160">
        <f t="shared" si="2645"/>
        <v>0</v>
      </c>
      <c r="AP626" s="160">
        <f t="shared" si="2645"/>
        <v>0</v>
      </c>
      <c r="AQ626" s="160">
        <f t="shared" si="2646"/>
        <v>0</v>
      </c>
      <c r="AR626" s="160">
        <f t="shared" si="2646"/>
        <v>0</v>
      </c>
      <c r="AS626" s="160">
        <f t="shared" si="2646"/>
        <v>0</v>
      </c>
      <c r="AT626" s="160">
        <f t="shared" si="2646"/>
        <v>0</v>
      </c>
      <c r="AU626" s="160">
        <f t="shared" si="2646"/>
        <v>0</v>
      </c>
      <c r="AV626" s="160">
        <f t="shared" si="2646"/>
        <v>0</v>
      </c>
      <c r="AW626" s="160">
        <f t="shared" si="2646"/>
        <v>0</v>
      </c>
      <c r="AX626" s="160">
        <f t="shared" si="2646"/>
        <v>0</v>
      </c>
      <c r="AY626" s="160">
        <f t="shared" si="2646"/>
        <v>0</v>
      </c>
      <c r="AZ626" s="160">
        <f t="shared" si="2646"/>
        <v>0</v>
      </c>
      <c r="BA626" s="160">
        <f t="shared" si="2646"/>
        <v>0</v>
      </c>
      <c r="BB626" s="160">
        <f t="shared" si="2646"/>
        <v>0</v>
      </c>
      <c r="BC626" s="160">
        <f t="shared" si="2646"/>
        <v>0</v>
      </c>
      <c r="BD626" s="160">
        <f t="shared" si="2646"/>
        <v>0</v>
      </c>
      <c r="BE626" s="160">
        <f t="shared" si="2646"/>
        <v>0</v>
      </c>
      <c r="BF626" s="160">
        <f t="shared" si="2646"/>
        <v>0</v>
      </c>
      <c r="BG626" s="160">
        <f t="shared" si="2647"/>
        <v>0</v>
      </c>
      <c r="BH626" s="160">
        <f t="shared" si="2647"/>
        <v>0</v>
      </c>
      <c r="BI626" s="160">
        <f t="shared" si="2647"/>
        <v>0</v>
      </c>
      <c r="BJ626" s="160">
        <f t="shared" si="2647"/>
        <v>0</v>
      </c>
      <c r="BK626" s="160">
        <f t="shared" si="2647"/>
        <v>0</v>
      </c>
      <c r="BL626" s="160">
        <f t="shared" si="2647"/>
        <v>0</v>
      </c>
      <c r="BM626" s="160">
        <f t="shared" si="2647"/>
        <v>0</v>
      </c>
      <c r="BN626" s="160">
        <f t="shared" si="2647"/>
        <v>0</v>
      </c>
      <c r="BO626" s="160">
        <f t="shared" si="2647"/>
        <v>0</v>
      </c>
      <c r="BP626" s="160">
        <f t="shared" si="2647"/>
        <v>0</v>
      </c>
      <c r="BQ626" s="160">
        <f t="shared" si="2647"/>
        <v>0</v>
      </c>
      <c r="BR626" s="160">
        <f t="shared" si="2647"/>
        <v>0</v>
      </c>
      <c r="BS626" s="65"/>
      <c r="BT626" s="160">
        <f t="shared" si="2648"/>
        <v>0</v>
      </c>
      <c r="BU626" s="160">
        <f t="shared" si="2649"/>
        <v>0</v>
      </c>
      <c r="BV626" s="65"/>
      <c r="BW626" s="69"/>
      <c r="BX626" s="65"/>
      <c r="BY626" s="137">
        <f t="shared" si="2650"/>
        <v>1</v>
      </c>
      <c r="BZ626" s="137">
        <f>IF(BY626&gt;0,BY626+LARGE($BZ$213:BZ625,1),0)</f>
        <v>346</v>
      </c>
      <c r="CA626" s="137" t="str">
        <f t="shared" si="2651"/>
        <v>ENG/ARQ JR.</v>
      </c>
      <c r="CB626" s="161">
        <f t="shared" si="2652"/>
        <v>0</v>
      </c>
      <c r="CC626" s="161">
        <f t="shared" si="2653"/>
        <v>0</v>
      </c>
      <c r="CD626" s="161">
        <f t="shared" si="2654"/>
        <v>0</v>
      </c>
      <c r="CE626" s="161">
        <f t="shared" si="2655"/>
        <v>0</v>
      </c>
      <c r="CF626" s="161">
        <f t="shared" si="2656"/>
        <v>0</v>
      </c>
      <c r="CG626" s="161">
        <f t="shared" si="2657"/>
        <v>0</v>
      </c>
      <c r="CH626" s="161">
        <f t="shared" si="2658"/>
        <v>0</v>
      </c>
      <c r="CI626" s="161">
        <f t="shared" si="2659"/>
        <v>0</v>
      </c>
      <c r="CJ626" s="161">
        <f t="shared" si="2660"/>
        <v>0</v>
      </c>
      <c r="CK626" s="161">
        <f t="shared" si="2661"/>
        <v>0</v>
      </c>
      <c r="CL626" s="161">
        <f t="shared" si="2662"/>
        <v>0</v>
      </c>
      <c r="CM626" s="161">
        <f t="shared" si="2663"/>
        <v>0</v>
      </c>
      <c r="CN626" s="161">
        <f t="shared" si="2664"/>
        <v>0</v>
      </c>
      <c r="CO626" s="161">
        <f t="shared" si="2665"/>
        <v>0</v>
      </c>
      <c r="CP626" s="161">
        <f t="shared" si="2666"/>
        <v>0</v>
      </c>
      <c r="CQ626" s="161">
        <f t="shared" si="2667"/>
        <v>0</v>
      </c>
      <c r="CR626" s="161">
        <f t="shared" si="2668"/>
        <v>0</v>
      </c>
      <c r="CS626" s="161">
        <f t="shared" si="2669"/>
        <v>0</v>
      </c>
      <c r="CT626" s="161">
        <f t="shared" si="2670"/>
        <v>0</v>
      </c>
      <c r="CU626" s="161">
        <f t="shared" si="2671"/>
        <v>0</v>
      </c>
      <c r="CV626" s="161">
        <f t="shared" si="2672"/>
        <v>0</v>
      </c>
      <c r="CW626" s="161">
        <f t="shared" si="2673"/>
        <v>0</v>
      </c>
      <c r="CX626" s="161">
        <f t="shared" si="2674"/>
        <v>0</v>
      </c>
      <c r="CY626" s="161">
        <f t="shared" si="2675"/>
        <v>0</v>
      </c>
      <c r="CZ626" s="161">
        <f t="shared" si="2676"/>
        <v>0</v>
      </c>
      <c r="DA626" s="161">
        <f t="shared" si="2677"/>
        <v>0</v>
      </c>
      <c r="DB626" s="161">
        <f t="shared" si="2678"/>
        <v>0</v>
      </c>
      <c r="DC626" s="161">
        <f t="shared" si="2679"/>
        <v>0</v>
      </c>
      <c r="DD626" s="161">
        <f t="shared" si="2680"/>
        <v>0</v>
      </c>
      <c r="DE626" s="161">
        <f t="shared" si="2681"/>
        <v>0</v>
      </c>
      <c r="DF626" s="161">
        <f t="shared" si="2682"/>
        <v>0</v>
      </c>
      <c r="DG626" s="161">
        <f t="shared" si="2683"/>
        <v>0</v>
      </c>
      <c r="DH626" s="161">
        <f t="shared" si="2684"/>
        <v>0</v>
      </c>
      <c r="DI626" s="161">
        <f t="shared" si="2685"/>
        <v>0</v>
      </c>
      <c r="DJ626" s="161">
        <f t="shared" si="2686"/>
        <v>0</v>
      </c>
      <c r="DK626" s="161">
        <f t="shared" si="2687"/>
        <v>0</v>
      </c>
      <c r="DL626" s="161">
        <f t="shared" si="2688"/>
        <v>0</v>
      </c>
      <c r="DM626" s="161">
        <f t="shared" si="2689"/>
        <v>0</v>
      </c>
      <c r="DN626" s="161">
        <f t="shared" si="2690"/>
        <v>0</v>
      </c>
      <c r="DO626" s="161">
        <f t="shared" si="2691"/>
        <v>0</v>
      </c>
      <c r="DP626" s="161">
        <f t="shared" si="2692"/>
        <v>0</v>
      </c>
      <c r="DQ626" s="161">
        <f t="shared" si="2693"/>
        <v>0</v>
      </c>
      <c r="DR626" s="161">
        <f t="shared" si="2694"/>
        <v>0</v>
      </c>
      <c r="DS626" s="161">
        <f t="shared" si="2695"/>
        <v>0</v>
      </c>
      <c r="DT626" s="161">
        <f t="shared" si="2696"/>
        <v>0</v>
      </c>
      <c r="DU626" s="161">
        <f t="shared" si="2697"/>
        <v>0</v>
      </c>
      <c r="DV626" s="161">
        <f t="shared" si="2698"/>
        <v>0</v>
      </c>
      <c r="DW626" s="161">
        <f t="shared" si="2699"/>
        <v>0</v>
      </c>
      <c r="DX626" s="161">
        <f t="shared" si="2700"/>
        <v>0</v>
      </c>
      <c r="DY626" s="161">
        <f t="shared" si="2701"/>
        <v>0</v>
      </c>
      <c r="DZ626" s="161">
        <f t="shared" si="2702"/>
        <v>0</v>
      </c>
      <c r="EA626" s="161">
        <f t="shared" si="2703"/>
        <v>0</v>
      </c>
      <c r="EB626" s="161">
        <f t="shared" si="2704"/>
        <v>0</v>
      </c>
      <c r="EC626" s="161">
        <f t="shared" si="2705"/>
        <v>0</v>
      </c>
      <c r="ED626" s="161">
        <f t="shared" si="2706"/>
        <v>0</v>
      </c>
      <c r="EE626" s="161">
        <f t="shared" si="2707"/>
        <v>0</v>
      </c>
      <c r="EF626" s="161">
        <f t="shared" si="2708"/>
        <v>0</v>
      </c>
      <c r="EG626" s="161">
        <f t="shared" si="2709"/>
        <v>0</v>
      </c>
      <c r="EH626" s="161">
        <f t="shared" si="2710"/>
        <v>0</v>
      </c>
      <c r="EI626" s="161">
        <f t="shared" si="2711"/>
        <v>0</v>
      </c>
      <c r="EJ626" s="65"/>
      <c r="EK626" s="161">
        <f t="shared" si="2712"/>
        <v>0</v>
      </c>
      <c r="EL626" s="161">
        <f t="shared" si="2713"/>
        <v>0</v>
      </c>
      <c r="EM626" s="161">
        <f t="shared" si="2714"/>
        <v>0</v>
      </c>
    </row>
    <row r="627" spans="1:143" ht="12" hidden="1" customHeight="1" outlineLevel="2">
      <c r="A627" s="77">
        <v>7</v>
      </c>
      <c r="B627" s="137" t="str">
        <f t="shared" si="2642"/>
        <v>AN SR. ENG/ARQ - Equipe_01</v>
      </c>
      <c r="C627" s="65"/>
      <c r="D627" s="621"/>
      <c r="E627" s="65"/>
      <c r="F627" s="603"/>
      <c r="G627" s="77" t="str">
        <f>IF(INDEX(Tarefas!$BT$30:$FK$30,MATCH(A627,Tarefas!$BT$28:$FK$28,0))=0,"",INDEX(Tarefas!$BT$30:$FK$30,MATCH(A627,Tarefas!$BT$28:$FK$28,0)))</f>
        <v>AN SR. ENG/ARQ</v>
      </c>
      <c r="H627" s="107" cm="1">
        <f t="array" ref="H627">IFERROR((SUMPRODUCT((Tarefas!$N$32:$N$54='Cronog. e Histog.'!$F$621)*(Tarefas!$BQ$30:$FK$30='Cronog. e Histog.'!$G627)*(Tarefas!$BQ$32:$FK$54)))/SUMIF(Tarefas!$N$32:$N$54,'Cronog. e Histog.'!$F$621,Tarefas!$K$32:$K$54),0)</f>
        <v>0</v>
      </c>
      <c r="I627" s="79">
        <f t="shared" si="2643"/>
        <v>0</v>
      </c>
      <c r="J627" s="65"/>
      <c r="K627" s="160">
        <f t="shared" si="2644"/>
        <v>0</v>
      </c>
      <c r="L627" s="160">
        <f t="shared" si="2644"/>
        <v>0</v>
      </c>
      <c r="M627" s="160">
        <f t="shared" si="2644"/>
        <v>0</v>
      </c>
      <c r="N627" s="160">
        <f t="shared" si="2644"/>
        <v>0</v>
      </c>
      <c r="O627" s="160">
        <f t="shared" si="2644"/>
        <v>0</v>
      </c>
      <c r="P627" s="160">
        <f t="shared" si="2644"/>
        <v>0</v>
      </c>
      <c r="Q627" s="160">
        <f t="shared" si="2644"/>
        <v>0</v>
      </c>
      <c r="R627" s="160">
        <f t="shared" si="2644"/>
        <v>0</v>
      </c>
      <c r="S627" s="160">
        <f t="shared" si="2644"/>
        <v>0</v>
      </c>
      <c r="T627" s="160">
        <f t="shared" si="2644"/>
        <v>0</v>
      </c>
      <c r="U627" s="160">
        <f t="shared" si="2644"/>
        <v>0</v>
      </c>
      <c r="V627" s="160">
        <f t="shared" si="2644"/>
        <v>0</v>
      </c>
      <c r="W627" s="160">
        <f t="shared" si="2644"/>
        <v>0</v>
      </c>
      <c r="X627" s="160">
        <f t="shared" si="2644"/>
        <v>0</v>
      </c>
      <c r="Y627" s="160">
        <f t="shared" si="2644"/>
        <v>0</v>
      </c>
      <c r="Z627" s="160">
        <f t="shared" si="2644"/>
        <v>0</v>
      </c>
      <c r="AA627" s="160">
        <f t="shared" si="2645"/>
        <v>0</v>
      </c>
      <c r="AB627" s="160">
        <f t="shared" si="2645"/>
        <v>0</v>
      </c>
      <c r="AC627" s="160">
        <f t="shared" si="2645"/>
        <v>0</v>
      </c>
      <c r="AD627" s="160">
        <f t="shared" si="2645"/>
        <v>0</v>
      </c>
      <c r="AE627" s="160">
        <f t="shared" si="2645"/>
        <v>0</v>
      </c>
      <c r="AF627" s="160">
        <f t="shared" si="2645"/>
        <v>0</v>
      </c>
      <c r="AG627" s="160">
        <f t="shared" si="2645"/>
        <v>0</v>
      </c>
      <c r="AH627" s="160">
        <f t="shared" si="2645"/>
        <v>0</v>
      </c>
      <c r="AI627" s="160">
        <f t="shared" si="2645"/>
        <v>0</v>
      </c>
      <c r="AJ627" s="160">
        <f t="shared" si="2645"/>
        <v>0</v>
      </c>
      <c r="AK627" s="160">
        <f t="shared" si="2645"/>
        <v>0</v>
      </c>
      <c r="AL627" s="160">
        <f t="shared" si="2645"/>
        <v>0</v>
      </c>
      <c r="AM627" s="160">
        <f t="shared" si="2645"/>
        <v>0</v>
      </c>
      <c r="AN627" s="160">
        <f t="shared" si="2645"/>
        <v>0</v>
      </c>
      <c r="AO627" s="160">
        <f t="shared" si="2645"/>
        <v>0</v>
      </c>
      <c r="AP627" s="160">
        <f t="shared" si="2645"/>
        <v>0</v>
      </c>
      <c r="AQ627" s="160">
        <f t="shared" si="2646"/>
        <v>0</v>
      </c>
      <c r="AR627" s="160">
        <f t="shared" si="2646"/>
        <v>0</v>
      </c>
      <c r="AS627" s="160">
        <f t="shared" si="2646"/>
        <v>0</v>
      </c>
      <c r="AT627" s="160">
        <f t="shared" si="2646"/>
        <v>0</v>
      </c>
      <c r="AU627" s="160">
        <f t="shared" si="2646"/>
        <v>0</v>
      </c>
      <c r="AV627" s="160">
        <f t="shared" si="2646"/>
        <v>0</v>
      </c>
      <c r="AW627" s="160">
        <f t="shared" si="2646"/>
        <v>0</v>
      </c>
      <c r="AX627" s="160">
        <f t="shared" si="2646"/>
        <v>0</v>
      </c>
      <c r="AY627" s="160">
        <f t="shared" si="2646"/>
        <v>0</v>
      </c>
      <c r="AZ627" s="160">
        <f t="shared" si="2646"/>
        <v>0</v>
      </c>
      <c r="BA627" s="160">
        <f t="shared" si="2646"/>
        <v>0</v>
      </c>
      <c r="BB627" s="160">
        <f t="shared" si="2646"/>
        <v>0</v>
      </c>
      <c r="BC627" s="160">
        <f t="shared" si="2646"/>
        <v>0</v>
      </c>
      <c r="BD627" s="160">
        <f t="shared" si="2646"/>
        <v>0</v>
      </c>
      <c r="BE627" s="160">
        <f t="shared" si="2646"/>
        <v>0</v>
      </c>
      <c r="BF627" s="160">
        <f t="shared" si="2646"/>
        <v>0</v>
      </c>
      <c r="BG627" s="160">
        <f t="shared" si="2647"/>
        <v>0</v>
      </c>
      <c r="BH627" s="160">
        <f t="shared" si="2647"/>
        <v>0</v>
      </c>
      <c r="BI627" s="160">
        <f t="shared" si="2647"/>
        <v>0</v>
      </c>
      <c r="BJ627" s="160">
        <f t="shared" si="2647"/>
        <v>0</v>
      </c>
      <c r="BK627" s="160">
        <f t="shared" si="2647"/>
        <v>0</v>
      </c>
      <c r="BL627" s="160">
        <f t="shared" si="2647"/>
        <v>0</v>
      </c>
      <c r="BM627" s="160">
        <f t="shared" si="2647"/>
        <v>0</v>
      </c>
      <c r="BN627" s="160">
        <f t="shared" si="2647"/>
        <v>0</v>
      </c>
      <c r="BO627" s="160">
        <f t="shared" si="2647"/>
        <v>0</v>
      </c>
      <c r="BP627" s="160">
        <f t="shared" si="2647"/>
        <v>0</v>
      </c>
      <c r="BQ627" s="160">
        <f t="shared" si="2647"/>
        <v>0</v>
      </c>
      <c r="BR627" s="160">
        <f t="shared" si="2647"/>
        <v>0</v>
      </c>
      <c r="BS627" s="65"/>
      <c r="BT627" s="160">
        <f t="shared" si="2648"/>
        <v>0</v>
      </c>
      <c r="BU627" s="160">
        <f t="shared" si="2649"/>
        <v>0</v>
      </c>
      <c r="BV627" s="65"/>
      <c r="BW627" s="69"/>
      <c r="BX627" s="65"/>
      <c r="BY627" s="137">
        <f t="shared" si="2650"/>
        <v>1</v>
      </c>
      <c r="BZ627" s="137">
        <f>IF(BY627&gt;0,BY627+LARGE($BZ$213:BZ626,1),0)</f>
        <v>347</v>
      </c>
      <c r="CA627" s="137" t="str">
        <f t="shared" si="2651"/>
        <v>AN SR. ENG/ARQ</v>
      </c>
      <c r="CB627" s="161">
        <f t="shared" si="2652"/>
        <v>0</v>
      </c>
      <c r="CC627" s="161">
        <f t="shared" si="2653"/>
        <v>0</v>
      </c>
      <c r="CD627" s="161">
        <f t="shared" si="2654"/>
        <v>0</v>
      </c>
      <c r="CE627" s="161">
        <f t="shared" si="2655"/>
        <v>0</v>
      </c>
      <c r="CF627" s="161">
        <f t="shared" si="2656"/>
        <v>0</v>
      </c>
      <c r="CG627" s="161">
        <f t="shared" si="2657"/>
        <v>0</v>
      </c>
      <c r="CH627" s="161">
        <f t="shared" si="2658"/>
        <v>0</v>
      </c>
      <c r="CI627" s="161">
        <f t="shared" si="2659"/>
        <v>0</v>
      </c>
      <c r="CJ627" s="161">
        <f t="shared" si="2660"/>
        <v>0</v>
      </c>
      <c r="CK627" s="161">
        <f t="shared" si="2661"/>
        <v>0</v>
      </c>
      <c r="CL627" s="161">
        <f t="shared" si="2662"/>
        <v>0</v>
      </c>
      <c r="CM627" s="161">
        <f t="shared" si="2663"/>
        <v>0</v>
      </c>
      <c r="CN627" s="161">
        <f t="shared" si="2664"/>
        <v>0</v>
      </c>
      <c r="CO627" s="161">
        <f t="shared" si="2665"/>
        <v>0</v>
      </c>
      <c r="CP627" s="161">
        <f t="shared" si="2666"/>
        <v>0</v>
      </c>
      <c r="CQ627" s="161">
        <f t="shared" si="2667"/>
        <v>0</v>
      </c>
      <c r="CR627" s="161">
        <f t="shared" si="2668"/>
        <v>0</v>
      </c>
      <c r="CS627" s="161">
        <f t="shared" si="2669"/>
        <v>0</v>
      </c>
      <c r="CT627" s="161">
        <f t="shared" si="2670"/>
        <v>0</v>
      </c>
      <c r="CU627" s="161">
        <f t="shared" si="2671"/>
        <v>0</v>
      </c>
      <c r="CV627" s="161">
        <f t="shared" si="2672"/>
        <v>0</v>
      </c>
      <c r="CW627" s="161">
        <f t="shared" si="2673"/>
        <v>0</v>
      </c>
      <c r="CX627" s="161">
        <f t="shared" si="2674"/>
        <v>0</v>
      </c>
      <c r="CY627" s="161">
        <f t="shared" si="2675"/>
        <v>0</v>
      </c>
      <c r="CZ627" s="161">
        <f t="shared" si="2676"/>
        <v>0</v>
      </c>
      <c r="DA627" s="161">
        <f t="shared" si="2677"/>
        <v>0</v>
      </c>
      <c r="DB627" s="161">
        <f t="shared" si="2678"/>
        <v>0</v>
      </c>
      <c r="DC627" s="161">
        <f t="shared" si="2679"/>
        <v>0</v>
      </c>
      <c r="DD627" s="161">
        <f t="shared" si="2680"/>
        <v>0</v>
      </c>
      <c r="DE627" s="161">
        <f t="shared" si="2681"/>
        <v>0</v>
      </c>
      <c r="DF627" s="161">
        <f t="shared" si="2682"/>
        <v>0</v>
      </c>
      <c r="DG627" s="161">
        <f t="shared" si="2683"/>
        <v>0</v>
      </c>
      <c r="DH627" s="161">
        <f t="shared" si="2684"/>
        <v>0</v>
      </c>
      <c r="DI627" s="161">
        <f t="shared" si="2685"/>
        <v>0</v>
      </c>
      <c r="DJ627" s="161">
        <f t="shared" si="2686"/>
        <v>0</v>
      </c>
      <c r="DK627" s="161">
        <f t="shared" si="2687"/>
        <v>0</v>
      </c>
      <c r="DL627" s="161">
        <f t="shared" si="2688"/>
        <v>0</v>
      </c>
      <c r="DM627" s="161">
        <f t="shared" si="2689"/>
        <v>0</v>
      </c>
      <c r="DN627" s="161">
        <f t="shared" si="2690"/>
        <v>0</v>
      </c>
      <c r="DO627" s="161">
        <f t="shared" si="2691"/>
        <v>0</v>
      </c>
      <c r="DP627" s="161">
        <f t="shared" si="2692"/>
        <v>0</v>
      </c>
      <c r="DQ627" s="161">
        <f t="shared" si="2693"/>
        <v>0</v>
      </c>
      <c r="DR627" s="161">
        <f t="shared" si="2694"/>
        <v>0</v>
      </c>
      <c r="DS627" s="161">
        <f t="shared" si="2695"/>
        <v>0</v>
      </c>
      <c r="DT627" s="161">
        <f t="shared" si="2696"/>
        <v>0</v>
      </c>
      <c r="DU627" s="161">
        <f t="shared" si="2697"/>
        <v>0</v>
      </c>
      <c r="DV627" s="161">
        <f t="shared" si="2698"/>
        <v>0</v>
      </c>
      <c r="DW627" s="161">
        <f t="shared" si="2699"/>
        <v>0</v>
      </c>
      <c r="DX627" s="161">
        <f t="shared" si="2700"/>
        <v>0</v>
      </c>
      <c r="DY627" s="161">
        <f t="shared" si="2701"/>
        <v>0</v>
      </c>
      <c r="DZ627" s="161">
        <f t="shared" si="2702"/>
        <v>0</v>
      </c>
      <c r="EA627" s="161">
        <f t="shared" si="2703"/>
        <v>0</v>
      </c>
      <c r="EB627" s="161">
        <f t="shared" si="2704"/>
        <v>0</v>
      </c>
      <c r="EC627" s="161">
        <f t="shared" si="2705"/>
        <v>0</v>
      </c>
      <c r="ED627" s="161">
        <f t="shared" si="2706"/>
        <v>0</v>
      </c>
      <c r="EE627" s="161">
        <f t="shared" si="2707"/>
        <v>0</v>
      </c>
      <c r="EF627" s="161">
        <f t="shared" si="2708"/>
        <v>0</v>
      </c>
      <c r="EG627" s="161">
        <f t="shared" si="2709"/>
        <v>0</v>
      </c>
      <c r="EH627" s="161">
        <f t="shared" si="2710"/>
        <v>0</v>
      </c>
      <c r="EI627" s="161">
        <f t="shared" si="2711"/>
        <v>0</v>
      </c>
      <c r="EJ627" s="65"/>
      <c r="EK627" s="161">
        <f t="shared" si="2712"/>
        <v>0</v>
      </c>
      <c r="EL627" s="161">
        <f t="shared" si="2713"/>
        <v>0</v>
      </c>
      <c r="EM627" s="161">
        <f t="shared" si="2714"/>
        <v>0</v>
      </c>
    </row>
    <row r="628" spans="1:143" ht="12" hidden="1" customHeight="1" outlineLevel="2">
      <c r="A628" s="77">
        <v>8</v>
      </c>
      <c r="B628" s="137" t="str">
        <f t="shared" si="2642"/>
        <v>AN PL. ENG/ARQ - Equipe_01</v>
      </c>
      <c r="C628" s="65"/>
      <c r="D628" s="621"/>
      <c r="E628" s="65"/>
      <c r="F628" s="603"/>
      <c r="G628" s="77" t="str">
        <f>IF(INDEX(Tarefas!$BT$30:$FK$30,MATCH(A628,Tarefas!$BT$28:$FK$28,0))=0,"",INDEX(Tarefas!$BT$30:$FK$30,MATCH(A628,Tarefas!$BT$28:$FK$28,0)))</f>
        <v>AN PL. ENG/ARQ</v>
      </c>
      <c r="H628" s="107" cm="1">
        <f t="array" ref="H628">IFERROR((SUMPRODUCT((Tarefas!$N$32:$N$54='Cronog. e Histog.'!$F$621)*(Tarefas!$BQ$30:$FK$30='Cronog. e Histog.'!$G628)*(Tarefas!$BQ$32:$FK$54)))/SUMIF(Tarefas!$N$32:$N$54,'Cronog. e Histog.'!$F$621,Tarefas!$K$32:$K$54),0)</f>
        <v>0</v>
      </c>
      <c r="I628" s="79">
        <f t="shared" si="2643"/>
        <v>0</v>
      </c>
      <c r="J628" s="65"/>
      <c r="K628" s="160">
        <f t="shared" si="2644"/>
        <v>0</v>
      </c>
      <c r="L628" s="160">
        <f t="shared" si="2644"/>
        <v>0</v>
      </c>
      <c r="M628" s="160">
        <f t="shared" si="2644"/>
        <v>0</v>
      </c>
      <c r="N628" s="160">
        <f t="shared" si="2644"/>
        <v>0</v>
      </c>
      <c r="O628" s="160">
        <f t="shared" si="2644"/>
        <v>0</v>
      </c>
      <c r="P628" s="160">
        <f t="shared" si="2644"/>
        <v>0</v>
      </c>
      <c r="Q628" s="160">
        <f t="shared" si="2644"/>
        <v>0</v>
      </c>
      <c r="R628" s="160">
        <f t="shared" si="2644"/>
        <v>0</v>
      </c>
      <c r="S628" s="160">
        <f t="shared" si="2644"/>
        <v>0</v>
      </c>
      <c r="T628" s="160">
        <f t="shared" si="2644"/>
        <v>0</v>
      </c>
      <c r="U628" s="160">
        <f t="shared" si="2644"/>
        <v>0</v>
      </c>
      <c r="V628" s="160">
        <f t="shared" si="2644"/>
        <v>0</v>
      </c>
      <c r="W628" s="160">
        <f t="shared" si="2644"/>
        <v>0</v>
      </c>
      <c r="X628" s="160">
        <f t="shared" si="2644"/>
        <v>0</v>
      </c>
      <c r="Y628" s="160">
        <f t="shared" si="2644"/>
        <v>0</v>
      </c>
      <c r="Z628" s="160">
        <f t="shared" si="2644"/>
        <v>0</v>
      </c>
      <c r="AA628" s="160">
        <f t="shared" si="2645"/>
        <v>0</v>
      </c>
      <c r="AB628" s="160">
        <f t="shared" si="2645"/>
        <v>0</v>
      </c>
      <c r="AC628" s="160">
        <f t="shared" si="2645"/>
        <v>0</v>
      </c>
      <c r="AD628" s="160">
        <f t="shared" si="2645"/>
        <v>0</v>
      </c>
      <c r="AE628" s="160">
        <f t="shared" si="2645"/>
        <v>0</v>
      </c>
      <c r="AF628" s="160">
        <f t="shared" si="2645"/>
        <v>0</v>
      </c>
      <c r="AG628" s="160">
        <f t="shared" si="2645"/>
        <v>0</v>
      </c>
      <c r="AH628" s="160">
        <f t="shared" si="2645"/>
        <v>0</v>
      </c>
      <c r="AI628" s="160">
        <f t="shared" si="2645"/>
        <v>0</v>
      </c>
      <c r="AJ628" s="160">
        <f t="shared" si="2645"/>
        <v>0</v>
      </c>
      <c r="AK628" s="160">
        <f t="shared" si="2645"/>
        <v>0</v>
      </c>
      <c r="AL628" s="160">
        <f t="shared" si="2645"/>
        <v>0</v>
      </c>
      <c r="AM628" s="160">
        <f t="shared" si="2645"/>
        <v>0</v>
      </c>
      <c r="AN628" s="160">
        <f t="shared" si="2645"/>
        <v>0</v>
      </c>
      <c r="AO628" s="160">
        <f t="shared" si="2645"/>
        <v>0</v>
      </c>
      <c r="AP628" s="160">
        <f t="shared" si="2645"/>
        <v>0</v>
      </c>
      <c r="AQ628" s="160">
        <f t="shared" si="2646"/>
        <v>0</v>
      </c>
      <c r="AR628" s="160">
        <f t="shared" si="2646"/>
        <v>0</v>
      </c>
      <c r="AS628" s="160">
        <f t="shared" si="2646"/>
        <v>0</v>
      </c>
      <c r="AT628" s="160">
        <f t="shared" si="2646"/>
        <v>0</v>
      </c>
      <c r="AU628" s="160">
        <f t="shared" si="2646"/>
        <v>0</v>
      </c>
      <c r="AV628" s="160">
        <f t="shared" si="2646"/>
        <v>0</v>
      </c>
      <c r="AW628" s="160">
        <f t="shared" si="2646"/>
        <v>0</v>
      </c>
      <c r="AX628" s="160">
        <f t="shared" si="2646"/>
        <v>0</v>
      </c>
      <c r="AY628" s="160">
        <f t="shared" si="2646"/>
        <v>0</v>
      </c>
      <c r="AZ628" s="160">
        <f t="shared" si="2646"/>
        <v>0</v>
      </c>
      <c r="BA628" s="160">
        <f t="shared" si="2646"/>
        <v>0</v>
      </c>
      <c r="BB628" s="160">
        <f t="shared" si="2646"/>
        <v>0</v>
      </c>
      <c r="BC628" s="160">
        <f t="shared" si="2646"/>
        <v>0</v>
      </c>
      <c r="BD628" s="160">
        <f t="shared" si="2646"/>
        <v>0</v>
      </c>
      <c r="BE628" s="160">
        <f t="shared" si="2646"/>
        <v>0</v>
      </c>
      <c r="BF628" s="160">
        <f t="shared" si="2646"/>
        <v>0</v>
      </c>
      <c r="BG628" s="160">
        <f t="shared" si="2647"/>
        <v>0</v>
      </c>
      <c r="BH628" s="160">
        <f t="shared" si="2647"/>
        <v>0</v>
      </c>
      <c r="BI628" s="160">
        <f t="shared" si="2647"/>
        <v>0</v>
      </c>
      <c r="BJ628" s="160">
        <f t="shared" si="2647"/>
        <v>0</v>
      </c>
      <c r="BK628" s="160">
        <f t="shared" si="2647"/>
        <v>0</v>
      </c>
      <c r="BL628" s="160">
        <f t="shared" si="2647"/>
        <v>0</v>
      </c>
      <c r="BM628" s="160">
        <f t="shared" si="2647"/>
        <v>0</v>
      </c>
      <c r="BN628" s="160">
        <f t="shared" si="2647"/>
        <v>0</v>
      </c>
      <c r="BO628" s="160">
        <f t="shared" si="2647"/>
        <v>0</v>
      </c>
      <c r="BP628" s="160">
        <f t="shared" si="2647"/>
        <v>0</v>
      </c>
      <c r="BQ628" s="160">
        <f t="shared" si="2647"/>
        <v>0</v>
      </c>
      <c r="BR628" s="160">
        <f t="shared" si="2647"/>
        <v>0</v>
      </c>
      <c r="BS628" s="65"/>
      <c r="BT628" s="160">
        <f t="shared" si="2648"/>
        <v>0</v>
      </c>
      <c r="BU628" s="160">
        <f t="shared" si="2649"/>
        <v>0</v>
      </c>
      <c r="BV628" s="65"/>
      <c r="BW628" s="69"/>
      <c r="BX628" s="65"/>
      <c r="BY628" s="137">
        <f t="shared" si="2650"/>
        <v>1</v>
      </c>
      <c r="BZ628" s="137">
        <f>IF(BY628&gt;0,BY628+LARGE($BZ$213:BZ627,1),0)</f>
        <v>348</v>
      </c>
      <c r="CA628" s="137" t="str">
        <f t="shared" si="2651"/>
        <v>AN PL. ENG/ARQ</v>
      </c>
      <c r="CB628" s="161">
        <f t="shared" si="2652"/>
        <v>0</v>
      </c>
      <c r="CC628" s="161">
        <f t="shared" si="2653"/>
        <v>0</v>
      </c>
      <c r="CD628" s="161">
        <f t="shared" si="2654"/>
        <v>0</v>
      </c>
      <c r="CE628" s="161">
        <f t="shared" si="2655"/>
        <v>0</v>
      </c>
      <c r="CF628" s="161">
        <f t="shared" si="2656"/>
        <v>0</v>
      </c>
      <c r="CG628" s="161">
        <f t="shared" si="2657"/>
        <v>0</v>
      </c>
      <c r="CH628" s="161">
        <f t="shared" si="2658"/>
        <v>0</v>
      </c>
      <c r="CI628" s="161">
        <f t="shared" si="2659"/>
        <v>0</v>
      </c>
      <c r="CJ628" s="161">
        <f t="shared" si="2660"/>
        <v>0</v>
      </c>
      <c r="CK628" s="161">
        <f t="shared" si="2661"/>
        <v>0</v>
      </c>
      <c r="CL628" s="161">
        <f t="shared" si="2662"/>
        <v>0</v>
      </c>
      <c r="CM628" s="161">
        <f t="shared" si="2663"/>
        <v>0</v>
      </c>
      <c r="CN628" s="161">
        <f t="shared" si="2664"/>
        <v>0</v>
      </c>
      <c r="CO628" s="161">
        <f t="shared" si="2665"/>
        <v>0</v>
      </c>
      <c r="CP628" s="161">
        <f t="shared" si="2666"/>
        <v>0</v>
      </c>
      <c r="CQ628" s="161">
        <f t="shared" si="2667"/>
        <v>0</v>
      </c>
      <c r="CR628" s="161">
        <f t="shared" si="2668"/>
        <v>0</v>
      </c>
      <c r="CS628" s="161">
        <f t="shared" si="2669"/>
        <v>0</v>
      </c>
      <c r="CT628" s="161">
        <f t="shared" si="2670"/>
        <v>0</v>
      </c>
      <c r="CU628" s="161">
        <f t="shared" si="2671"/>
        <v>0</v>
      </c>
      <c r="CV628" s="161">
        <f t="shared" si="2672"/>
        <v>0</v>
      </c>
      <c r="CW628" s="161">
        <f t="shared" si="2673"/>
        <v>0</v>
      </c>
      <c r="CX628" s="161">
        <f t="shared" si="2674"/>
        <v>0</v>
      </c>
      <c r="CY628" s="161">
        <f t="shared" si="2675"/>
        <v>0</v>
      </c>
      <c r="CZ628" s="161">
        <f t="shared" si="2676"/>
        <v>0</v>
      </c>
      <c r="DA628" s="161">
        <f t="shared" si="2677"/>
        <v>0</v>
      </c>
      <c r="DB628" s="161">
        <f t="shared" si="2678"/>
        <v>0</v>
      </c>
      <c r="DC628" s="161">
        <f t="shared" si="2679"/>
        <v>0</v>
      </c>
      <c r="DD628" s="161">
        <f t="shared" si="2680"/>
        <v>0</v>
      </c>
      <c r="DE628" s="161">
        <f t="shared" si="2681"/>
        <v>0</v>
      </c>
      <c r="DF628" s="161">
        <f t="shared" si="2682"/>
        <v>0</v>
      </c>
      <c r="DG628" s="161">
        <f t="shared" si="2683"/>
        <v>0</v>
      </c>
      <c r="DH628" s="161">
        <f t="shared" si="2684"/>
        <v>0</v>
      </c>
      <c r="DI628" s="161">
        <f t="shared" si="2685"/>
        <v>0</v>
      </c>
      <c r="DJ628" s="161">
        <f t="shared" si="2686"/>
        <v>0</v>
      </c>
      <c r="DK628" s="161">
        <f t="shared" si="2687"/>
        <v>0</v>
      </c>
      <c r="DL628" s="161">
        <f t="shared" si="2688"/>
        <v>0</v>
      </c>
      <c r="DM628" s="161">
        <f t="shared" si="2689"/>
        <v>0</v>
      </c>
      <c r="DN628" s="161">
        <f t="shared" si="2690"/>
        <v>0</v>
      </c>
      <c r="DO628" s="161">
        <f t="shared" si="2691"/>
        <v>0</v>
      </c>
      <c r="DP628" s="161">
        <f t="shared" si="2692"/>
        <v>0</v>
      </c>
      <c r="DQ628" s="161">
        <f t="shared" si="2693"/>
        <v>0</v>
      </c>
      <c r="DR628" s="161">
        <f t="shared" si="2694"/>
        <v>0</v>
      </c>
      <c r="DS628" s="161">
        <f t="shared" si="2695"/>
        <v>0</v>
      </c>
      <c r="DT628" s="161">
        <f t="shared" si="2696"/>
        <v>0</v>
      </c>
      <c r="DU628" s="161">
        <f t="shared" si="2697"/>
        <v>0</v>
      </c>
      <c r="DV628" s="161">
        <f t="shared" si="2698"/>
        <v>0</v>
      </c>
      <c r="DW628" s="161">
        <f t="shared" si="2699"/>
        <v>0</v>
      </c>
      <c r="DX628" s="161">
        <f t="shared" si="2700"/>
        <v>0</v>
      </c>
      <c r="DY628" s="161">
        <f t="shared" si="2701"/>
        <v>0</v>
      </c>
      <c r="DZ628" s="161">
        <f t="shared" si="2702"/>
        <v>0</v>
      </c>
      <c r="EA628" s="161">
        <f t="shared" si="2703"/>
        <v>0</v>
      </c>
      <c r="EB628" s="161">
        <f t="shared" si="2704"/>
        <v>0</v>
      </c>
      <c r="EC628" s="161">
        <f t="shared" si="2705"/>
        <v>0</v>
      </c>
      <c r="ED628" s="161">
        <f t="shared" si="2706"/>
        <v>0</v>
      </c>
      <c r="EE628" s="161">
        <f t="shared" si="2707"/>
        <v>0</v>
      </c>
      <c r="EF628" s="161">
        <f t="shared" si="2708"/>
        <v>0</v>
      </c>
      <c r="EG628" s="161">
        <f t="shared" si="2709"/>
        <v>0</v>
      </c>
      <c r="EH628" s="161">
        <f t="shared" si="2710"/>
        <v>0</v>
      </c>
      <c r="EI628" s="161">
        <f t="shared" si="2711"/>
        <v>0</v>
      </c>
      <c r="EJ628" s="65"/>
      <c r="EK628" s="161">
        <f t="shared" si="2712"/>
        <v>0</v>
      </c>
      <c r="EL628" s="161">
        <f t="shared" si="2713"/>
        <v>0</v>
      </c>
      <c r="EM628" s="161">
        <f t="shared" si="2714"/>
        <v>0</v>
      </c>
    </row>
    <row r="629" spans="1:143" ht="12" hidden="1" customHeight="1" outlineLevel="2">
      <c r="A629" s="77">
        <v>9</v>
      </c>
      <c r="B629" s="137" t="str">
        <f t="shared" si="2642"/>
        <v>AN JR. ENG/ARQ - Equipe_01</v>
      </c>
      <c r="C629" s="65"/>
      <c r="D629" s="621"/>
      <c r="E629" s="65"/>
      <c r="F629" s="603"/>
      <c r="G629" s="77" t="str">
        <f>IF(INDEX(Tarefas!$BT$30:$FK$30,MATCH(A629,Tarefas!$BT$28:$FK$28,0))=0,"",INDEX(Tarefas!$BT$30:$FK$30,MATCH(A629,Tarefas!$BT$28:$FK$28,0)))</f>
        <v>AN JR. ENG/ARQ</v>
      </c>
      <c r="H629" s="107" cm="1">
        <f t="array" ref="H629">IFERROR((SUMPRODUCT((Tarefas!$N$32:$N$54='Cronog. e Histog.'!$F$621)*(Tarefas!$BQ$30:$FK$30='Cronog. e Histog.'!$G629)*(Tarefas!$BQ$32:$FK$54)))/SUMIF(Tarefas!$N$32:$N$54,'Cronog. e Histog.'!$F$621,Tarefas!$K$32:$K$54),0)</f>
        <v>0</v>
      </c>
      <c r="I629" s="79">
        <f t="shared" si="2643"/>
        <v>0</v>
      </c>
      <c r="J629" s="65"/>
      <c r="K629" s="160">
        <f t="shared" si="2644"/>
        <v>0</v>
      </c>
      <c r="L629" s="160">
        <f t="shared" si="2644"/>
        <v>0</v>
      </c>
      <c r="M629" s="160">
        <f t="shared" si="2644"/>
        <v>0</v>
      </c>
      <c r="N629" s="160">
        <f t="shared" si="2644"/>
        <v>0</v>
      </c>
      <c r="O629" s="160">
        <f t="shared" si="2644"/>
        <v>0</v>
      </c>
      <c r="P629" s="160">
        <f t="shared" si="2644"/>
        <v>0</v>
      </c>
      <c r="Q629" s="160">
        <f t="shared" si="2644"/>
        <v>0</v>
      </c>
      <c r="R629" s="160">
        <f t="shared" si="2644"/>
        <v>0</v>
      </c>
      <c r="S629" s="160">
        <f t="shared" si="2644"/>
        <v>0</v>
      </c>
      <c r="T629" s="160">
        <f t="shared" si="2644"/>
        <v>0</v>
      </c>
      <c r="U629" s="160">
        <f t="shared" si="2644"/>
        <v>0</v>
      </c>
      <c r="V629" s="160">
        <f t="shared" si="2644"/>
        <v>0</v>
      </c>
      <c r="W629" s="160">
        <f t="shared" si="2644"/>
        <v>0</v>
      </c>
      <c r="X629" s="160">
        <f t="shared" si="2644"/>
        <v>0</v>
      </c>
      <c r="Y629" s="160">
        <f t="shared" si="2644"/>
        <v>0</v>
      </c>
      <c r="Z629" s="160">
        <f t="shared" si="2644"/>
        <v>0</v>
      </c>
      <c r="AA629" s="160">
        <f t="shared" si="2645"/>
        <v>0</v>
      </c>
      <c r="AB629" s="160">
        <f t="shared" si="2645"/>
        <v>0</v>
      </c>
      <c r="AC629" s="160">
        <f t="shared" si="2645"/>
        <v>0</v>
      </c>
      <c r="AD629" s="160">
        <f t="shared" si="2645"/>
        <v>0</v>
      </c>
      <c r="AE629" s="160">
        <f t="shared" si="2645"/>
        <v>0</v>
      </c>
      <c r="AF629" s="160">
        <f t="shared" si="2645"/>
        <v>0</v>
      </c>
      <c r="AG629" s="160">
        <f t="shared" si="2645"/>
        <v>0</v>
      </c>
      <c r="AH629" s="160">
        <f t="shared" si="2645"/>
        <v>0</v>
      </c>
      <c r="AI629" s="160">
        <f t="shared" si="2645"/>
        <v>0</v>
      </c>
      <c r="AJ629" s="160">
        <f t="shared" si="2645"/>
        <v>0</v>
      </c>
      <c r="AK629" s="160">
        <f t="shared" si="2645"/>
        <v>0</v>
      </c>
      <c r="AL629" s="160">
        <f t="shared" si="2645"/>
        <v>0</v>
      </c>
      <c r="AM629" s="160">
        <f t="shared" si="2645"/>
        <v>0</v>
      </c>
      <c r="AN629" s="160">
        <f t="shared" si="2645"/>
        <v>0</v>
      </c>
      <c r="AO629" s="160">
        <f t="shared" si="2645"/>
        <v>0</v>
      </c>
      <c r="AP629" s="160">
        <f t="shared" si="2645"/>
        <v>0</v>
      </c>
      <c r="AQ629" s="160">
        <f t="shared" si="2646"/>
        <v>0</v>
      </c>
      <c r="AR629" s="160">
        <f t="shared" si="2646"/>
        <v>0</v>
      </c>
      <c r="AS629" s="160">
        <f t="shared" si="2646"/>
        <v>0</v>
      </c>
      <c r="AT629" s="160">
        <f t="shared" si="2646"/>
        <v>0</v>
      </c>
      <c r="AU629" s="160">
        <f t="shared" si="2646"/>
        <v>0</v>
      </c>
      <c r="AV629" s="160">
        <f t="shared" si="2646"/>
        <v>0</v>
      </c>
      <c r="AW629" s="160">
        <f t="shared" si="2646"/>
        <v>0</v>
      </c>
      <c r="AX629" s="160">
        <f t="shared" si="2646"/>
        <v>0</v>
      </c>
      <c r="AY629" s="160">
        <f t="shared" si="2646"/>
        <v>0</v>
      </c>
      <c r="AZ629" s="160">
        <f t="shared" si="2646"/>
        <v>0</v>
      </c>
      <c r="BA629" s="160">
        <f t="shared" si="2646"/>
        <v>0</v>
      </c>
      <c r="BB629" s="160">
        <f t="shared" si="2646"/>
        <v>0</v>
      </c>
      <c r="BC629" s="160">
        <f t="shared" si="2646"/>
        <v>0</v>
      </c>
      <c r="BD629" s="160">
        <f t="shared" si="2646"/>
        <v>0</v>
      </c>
      <c r="BE629" s="160">
        <f t="shared" si="2646"/>
        <v>0</v>
      </c>
      <c r="BF629" s="160">
        <f t="shared" si="2646"/>
        <v>0</v>
      </c>
      <c r="BG629" s="160">
        <f t="shared" si="2647"/>
        <v>0</v>
      </c>
      <c r="BH629" s="160">
        <f t="shared" si="2647"/>
        <v>0</v>
      </c>
      <c r="BI629" s="160">
        <f t="shared" si="2647"/>
        <v>0</v>
      </c>
      <c r="BJ629" s="160">
        <f t="shared" si="2647"/>
        <v>0</v>
      </c>
      <c r="BK629" s="160">
        <f t="shared" si="2647"/>
        <v>0</v>
      </c>
      <c r="BL629" s="160">
        <f t="shared" si="2647"/>
        <v>0</v>
      </c>
      <c r="BM629" s="160">
        <f t="shared" si="2647"/>
        <v>0</v>
      </c>
      <c r="BN629" s="160">
        <f t="shared" si="2647"/>
        <v>0</v>
      </c>
      <c r="BO629" s="160">
        <f t="shared" si="2647"/>
        <v>0</v>
      </c>
      <c r="BP629" s="160">
        <f t="shared" si="2647"/>
        <v>0</v>
      </c>
      <c r="BQ629" s="160">
        <f t="shared" si="2647"/>
        <v>0</v>
      </c>
      <c r="BR629" s="160">
        <f t="shared" si="2647"/>
        <v>0</v>
      </c>
      <c r="BS629" s="65"/>
      <c r="BT629" s="160">
        <f t="shared" si="2648"/>
        <v>0</v>
      </c>
      <c r="BU629" s="160">
        <f t="shared" si="2649"/>
        <v>0</v>
      </c>
      <c r="BV629" s="65"/>
      <c r="BW629" s="69"/>
      <c r="BX629" s="65"/>
      <c r="BY629" s="137">
        <f t="shared" si="2650"/>
        <v>1</v>
      </c>
      <c r="BZ629" s="137">
        <f>IF(BY629&gt;0,BY629+LARGE($BZ$213:BZ628,1),0)</f>
        <v>349</v>
      </c>
      <c r="CA629" s="137" t="str">
        <f t="shared" si="2651"/>
        <v>AN JR. ENG/ARQ</v>
      </c>
      <c r="CB629" s="161">
        <f t="shared" si="2652"/>
        <v>0</v>
      </c>
      <c r="CC629" s="161">
        <f t="shared" si="2653"/>
        <v>0</v>
      </c>
      <c r="CD629" s="161">
        <f t="shared" si="2654"/>
        <v>0</v>
      </c>
      <c r="CE629" s="161">
        <f t="shared" si="2655"/>
        <v>0</v>
      </c>
      <c r="CF629" s="161">
        <f t="shared" si="2656"/>
        <v>0</v>
      </c>
      <c r="CG629" s="161">
        <f t="shared" si="2657"/>
        <v>0</v>
      </c>
      <c r="CH629" s="161">
        <f t="shared" si="2658"/>
        <v>0</v>
      </c>
      <c r="CI629" s="161">
        <f t="shared" si="2659"/>
        <v>0</v>
      </c>
      <c r="CJ629" s="161">
        <f t="shared" si="2660"/>
        <v>0</v>
      </c>
      <c r="CK629" s="161">
        <f t="shared" si="2661"/>
        <v>0</v>
      </c>
      <c r="CL629" s="161">
        <f t="shared" si="2662"/>
        <v>0</v>
      </c>
      <c r="CM629" s="161">
        <f t="shared" si="2663"/>
        <v>0</v>
      </c>
      <c r="CN629" s="161">
        <f t="shared" si="2664"/>
        <v>0</v>
      </c>
      <c r="CO629" s="161">
        <f t="shared" si="2665"/>
        <v>0</v>
      </c>
      <c r="CP629" s="161">
        <f t="shared" si="2666"/>
        <v>0</v>
      </c>
      <c r="CQ629" s="161">
        <f t="shared" si="2667"/>
        <v>0</v>
      </c>
      <c r="CR629" s="161">
        <f t="shared" si="2668"/>
        <v>0</v>
      </c>
      <c r="CS629" s="161">
        <f t="shared" si="2669"/>
        <v>0</v>
      </c>
      <c r="CT629" s="161">
        <f t="shared" si="2670"/>
        <v>0</v>
      </c>
      <c r="CU629" s="161">
        <f t="shared" si="2671"/>
        <v>0</v>
      </c>
      <c r="CV629" s="161">
        <f t="shared" si="2672"/>
        <v>0</v>
      </c>
      <c r="CW629" s="161">
        <f t="shared" si="2673"/>
        <v>0</v>
      </c>
      <c r="CX629" s="161">
        <f t="shared" si="2674"/>
        <v>0</v>
      </c>
      <c r="CY629" s="161">
        <f t="shared" si="2675"/>
        <v>0</v>
      </c>
      <c r="CZ629" s="161">
        <f t="shared" si="2676"/>
        <v>0</v>
      </c>
      <c r="DA629" s="161">
        <f t="shared" si="2677"/>
        <v>0</v>
      </c>
      <c r="DB629" s="161">
        <f t="shared" si="2678"/>
        <v>0</v>
      </c>
      <c r="DC629" s="161">
        <f t="shared" si="2679"/>
        <v>0</v>
      </c>
      <c r="DD629" s="161">
        <f t="shared" si="2680"/>
        <v>0</v>
      </c>
      <c r="DE629" s="161">
        <f t="shared" si="2681"/>
        <v>0</v>
      </c>
      <c r="DF629" s="161">
        <f t="shared" si="2682"/>
        <v>0</v>
      </c>
      <c r="DG629" s="161">
        <f t="shared" si="2683"/>
        <v>0</v>
      </c>
      <c r="DH629" s="161">
        <f t="shared" si="2684"/>
        <v>0</v>
      </c>
      <c r="DI629" s="161">
        <f t="shared" si="2685"/>
        <v>0</v>
      </c>
      <c r="DJ629" s="161">
        <f t="shared" si="2686"/>
        <v>0</v>
      </c>
      <c r="DK629" s="161">
        <f t="shared" si="2687"/>
        <v>0</v>
      </c>
      <c r="DL629" s="161">
        <f t="shared" si="2688"/>
        <v>0</v>
      </c>
      <c r="DM629" s="161">
        <f t="shared" si="2689"/>
        <v>0</v>
      </c>
      <c r="DN629" s="161">
        <f t="shared" si="2690"/>
        <v>0</v>
      </c>
      <c r="DO629" s="161">
        <f t="shared" si="2691"/>
        <v>0</v>
      </c>
      <c r="DP629" s="161">
        <f t="shared" si="2692"/>
        <v>0</v>
      </c>
      <c r="DQ629" s="161">
        <f t="shared" si="2693"/>
        <v>0</v>
      </c>
      <c r="DR629" s="161">
        <f t="shared" si="2694"/>
        <v>0</v>
      </c>
      <c r="DS629" s="161">
        <f t="shared" si="2695"/>
        <v>0</v>
      </c>
      <c r="DT629" s="161">
        <f t="shared" si="2696"/>
        <v>0</v>
      </c>
      <c r="DU629" s="161">
        <f t="shared" si="2697"/>
        <v>0</v>
      </c>
      <c r="DV629" s="161">
        <f t="shared" si="2698"/>
        <v>0</v>
      </c>
      <c r="DW629" s="161">
        <f t="shared" si="2699"/>
        <v>0</v>
      </c>
      <c r="DX629" s="161">
        <f t="shared" si="2700"/>
        <v>0</v>
      </c>
      <c r="DY629" s="161">
        <f t="shared" si="2701"/>
        <v>0</v>
      </c>
      <c r="DZ629" s="161">
        <f t="shared" si="2702"/>
        <v>0</v>
      </c>
      <c r="EA629" s="161">
        <f t="shared" si="2703"/>
        <v>0</v>
      </c>
      <c r="EB629" s="161">
        <f t="shared" si="2704"/>
        <v>0</v>
      </c>
      <c r="EC629" s="161">
        <f t="shared" si="2705"/>
        <v>0</v>
      </c>
      <c r="ED629" s="161">
        <f t="shared" si="2706"/>
        <v>0</v>
      </c>
      <c r="EE629" s="161">
        <f t="shared" si="2707"/>
        <v>0</v>
      </c>
      <c r="EF629" s="161">
        <f t="shared" si="2708"/>
        <v>0</v>
      </c>
      <c r="EG629" s="161">
        <f t="shared" si="2709"/>
        <v>0</v>
      </c>
      <c r="EH629" s="161">
        <f t="shared" si="2710"/>
        <v>0</v>
      </c>
      <c r="EI629" s="161">
        <f t="shared" si="2711"/>
        <v>0</v>
      </c>
      <c r="EJ629" s="65"/>
      <c r="EK629" s="161">
        <f t="shared" si="2712"/>
        <v>0</v>
      </c>
      <c r="EL629" s="161">
        <f t="shared" si="2713"/>
        <v>0</v>
      </c>
      <c r="EM629" s="161">
        <f t="shared" si="2714"/>
        <v>0</v>
      </c>
    </row>
    <row r="630" spans="1:143" ht="12" hidden="1" customHeight="1" outlineLevel="2">
      <c r="A630" s="77">
        <v>10</v>
      </c>
      <c r="B630" s="137" t="str">
        <f t="shared" si="2642"/>
        <v>AN SR. ADM/CRP - Equipe_01</v>
      </c>
      <c r="C630" s="65"/>
      <c r="D630" s="621"/>
      <c r="E630" s="65"/>
      <c r="F630" s="603"/>
      <c r="G630" s="77" t="str">
        <f>IF(INDEX(Tarefas!$BT$30:$FK$30,MATCH(A630,Tarefas!$BT$28:$FK$28,0))=0,"",INDEX(Tarefas!$BT$30:$FK$30,MATCH(A630,Tarefas!$BT$28:$FK$28,0)))</f>
        <v>AN SR. ADM/CRP</v>
      </c>
      <c r="H630" s="107" cm="1">
        <f t="array" ref="H630">IFERROR((SUMPRODUCT((Tarefas!$N$32:$N$54='Cronog. e Histog.'!$F$621)*(Tarefas!$BQ$30:$FK$30='Cronog. e Histog.'!$G630)*(Tarefas!$BQ$32:$FK$54)))/SUMIF(Tarefas!$N$32:$N$54,'Cronog. e Histog.'!$F$621,Tarefas!$K$32:$K$54),0)</f>
        <v>0</v>
      </c>
      <c r="I630" s="79">
        <f t="shared" si="2643"/>
        <v>0</v>
      </c>
      <c r="J630" s="65"/>
      <c r="K630" s="160">
        <f t="shared" si="2644"/>
        <v>0</v>
      </c>
      <c r="L630" s="160">
        <f t="shared" si="2644"/>
        <v>0</v>
      </c>
      <c r="M630" s="160">
        <f t="shared" si="2644"/>
        <v>0</v>
      </c>
      <c r="N630" s="160">
        <f t="shared" si="2644"/>
        <v>0</v>
      </c>
      <c r="O630" s="160">
        <f t="shared" si="2644"/>
        <v>0</v>
      </c>
      <c r="P630" s="160">
        <f t="shared" si="2644"/>
        <v>0</v>
      </c>
      <c r="Q630" s="160">
        <f t="shared" si="2644"/>
        <v>0</v>
      </c>
      <c r="R630" s="160">
        <f t="shared" si="2644"/>
        <v>0</v>
      </c>
      <c r="S630" s="160">
        <f t="shared" si="2644"/>
        <v>0</v>
      </c>
      <c r="T630" s="160">
        <f t="shared" si="2644"/>
        <v>0</v>
      </c>
      <c r="U630" s="160">
        <f t="shared" si="2644"/>
        <v>0</v>
      </c>
      <c r="V630" s="160">
        <f t="shared" si="2644"/>
        <v>0</v>
      </c>
      <c r="W630" s="160">
        <f t="shared" si="2644"/>
        <v>0</v>
      </c>
      <c r="X630" s="160">
        <f t="shared" si="2644"/>
        <v>0</v>
      </c>
      <c r="Y630" s="160">
        <f t="shared" si="2644"/>
        <v>0</v>
      </c>
      <c r="Z630" s="160">
        <f t="shared" si="2644"/>
        <v>0</v>
      </c>
      <c r="AA630" s="160">
        <f t="shared" si="2645"/>
        <v>0</v>
      </c>
      <c r="AB630" s="160">
        <f t="shared" si="2645"/>
        <v>0</v>
      </c>
      <c r="AC630" s="160">
        <f t="shared" si="2645"/>
        <v>0</v>
      </c>
      <c r="AD630" s="160">
        <f t="shared" si="2645"/>
        <v>0</v>
      </c>
      <c r="AE630" s="160">
        <f t="shared" si="2645"/>
        <v>0</v>
      </c>
      <c r="AF630" s="160">
        <f t="shared" si="2645"/>
        <v>0</v>
      </c>
      <c r="AG630" s="160">
        <f t="shared" si="2645"/>
        <v>0</v>
      </c>
      <c r="AH630" s="160">
        <f t="shared" si="2645"/>
        <v>0</v>
      </c>
      <c r="AI630" s="160">
        <f t="shared" si="2645"/>
        <v>0</v>
      </c>
      <c r="AJ630" s="160">
        <f t="shared" si="2645"/>
        <v>0</v>
      </c>
      <c r="AK630" s="160">
        <f t="shared" si="2645"/>
        <v>0</v>
      </c>
      <c r="AL630" s="160">
        <f t="shared" si="2645"/>
        <v>0</v>
      </c>
      <c r="AM630" s="160">
        <f t="shared" si="2645"/>
        <v>0</v>
      </c>
      <c r="AN630" s="160">
        <f t="shared" si="2645"/>
        <v>0</v>
      </c>
      <c r="AO630" s="160">
        <f t="shared" si="2645"/>
        <v>0</v>
      </c>
      <c r="AP630" s="160">
        <f t="shared" si="2645"/>
        <v>0</v>
      </c>
      <c r="AQ630" s="160">
        <f t="shared" si="2646"/>
        <v>0</v>
      </c>
      <c r="AR630" s="160">
        <f t="shared" si="2646"/>
        <v>0</v>
      </c>
      <c r="AS630" s="160">
        <f t="shared" si="2646"/>
        <v>0</v>
      </c>
      <c r="AT630" s="160">
        <f t="shared" si="2646"/>
        <v>0</v>
      </c>
      <c r="AU630" s="160">
        <f t="shared" si="2646"/>
        <v>0</v>
      </c>
      <c r="AV630" s="160">
        <f t="shared" si="2646"/>
        <v>0</v>
      </c>
      <c r="AW630" s="160">
        <f t="shared" si="2646"/>
        <v>0</v>
      </c>
      <c r="AX630" s="160">
        <f t="shared" si="2646"/>
        <v>0</v>
      </c>
      <c r="AY630" s="160">
        <f t="shared" si="2646"/>
        <v>0</v>
      </c>
      <c r="AZ630" s="160">
        <f t="shared" si="2646"/>
        <v>0</v>
      </c>
      <c r="BA630" s="160">
        <f t="shared" si="2646"/>
        <v>0</v>
      </c>
      <c r="BB630" s="160">
        <f t="shared" si="2646"/>
        <v>0</v>
      </c>
      <c r="BC630" s="160">
        <f t="shared" si="2646"/>
        <v>0</v>
      </c>
      <c r="BD630" s="160">
        <f t="shared" si="2646"/>
        <v>0</v>
      </c>
      <c r="BE630" s="160">
        <f t="shared" si="2646"/>
        <v>0</v>
      </c>
      <c r="BF630" s="160">
        <f t="shared" si="2646"/>
        <v>0</v>
      </c>
      <c r="BG630" s="160">
        <f t="shared" si="2647"/>
        <v>0</v>
      </c>
      <c r="BH630" s="160">
        <f t="shared" si="2647"/>
        <v>0</v>
      </c>
      <c r="BI630" s="160">
        <f t="shared" si="2647"/>
        <v>0</v>
      </c>
      <c r="BJ630" s="160">
        <f t="shared" si="2647"/>
        <v>0</v>
      </c>
      <c r="BK630" s="160">
        <f t="shared" si="2647"/>
        <v>0</v>
      </c>
      <c r="BL630" s="160">
        <f t="shared" si="2647"/>
        <v>0</v>
      </c>
      <c r="BM630" s="160">
        <f t="shared" si="2647"/>
        <v>0</v>
      </c>
      <c r="BN630" s="160">
        <f t="shared" si="2647"/>
        <v>0</v>
      </c>
      <c r="BO630" s="160">
        <f t="shared" si="2647"/>
        <v>0</v>
      </c>
      <c r="BP630" s="160">
        <f t="shared" si="2647"/>
        <v>0</v>
      </c>
      <c r="BQ630" s="160">
        <f t="shared" si="2647"/>
        <v>0</v>
      </c>
      <c r="BR630" s="160">
        <f t="shared" si="2647"/>
        <v>0</v>
      </c>
      <c r="BS630" s="65"/>
      <c r="BT630" s="160">
        <f t="shared" si="2648"/>
        <v>0</v>
      </c>
      <c r="BU630" s="160">
        <f t="shared" si="2649"/>
        <v>0</v>
      </c>
      <c r="BV630" s="65"/>
      <c r="BW630" s="69"/>
      <c r="BX630" s="65"/>
      <c r="BY630" s="137">
        <f t="shared" si="2650"/>
        <v>1</v>
      </c>
      <c r="BZ630" s="137">
        <f>IF(BY630&gt;0,BY630+LARGE($BZ$213:BZ629,1),0)</f>
        <v>350</v>
      </c>
      <c r="CA630" s="137" t="str">
        <f t="shared" si="2651"/>
        <v>AN SR. ADM/CRP</v>
      </c>
      <c r="CB630" s="161">
        <f t="shared" si="2652"/>
        <v>0</v>
      </c>
      <c r="CC630" s="161">
        <f t="shared" si="2653"/>
        <v>0</v>
      </c>
      <c r="CD630" s="161">
        <f t="shared" si="2654"/>
        <v>0</v>
      </c>
      <c r="CE630" s="161">
        <f t="shared" si="2655"/>
        <v>0</v>
      </c>
      <c r="CF630" s="161">
        <f t="shared" si="2656"/>
        <v>0</v>
      </c>
      <c r="CG630" s="161">
        <f t="shared" si="2657"/>
        <v>0</v>
      </c>
      <c r="CH630" s="161">
        <f t="shared" si="2658"/>
        <v>0</v>
      </c>
      <c r="CI630" s="161">
        <f t="shared" si="2659"/>
        <v>0</v>
      </c>
      <c r="CJ630" s="161">
        <f t="shared" si="2660"/>
        <v>0</v>
      </c>
      <c r="CK630" s="161">
        <f t="shared" si="2661"/>
        <v>0</v>
      </c>
      <c r="CL630" s="161">
        <f t="shared" si="2662"/>
        <v>0</v>
      </c>
      <c r="CM630" s="161">
        <f t="shared" si="2663"/>
        <v>0</v>
      </c>
      <c r="CN630" s="161">
        <f t="shared" si="2664"/>
        <v>0</v>
      </c>
      <c r="CO630" s="161">
        <f t="shared" si="2665"/>
        <v>0</v>
      </c>
      <c r="CP630" s="161">
        <f t="shared" si="2666"/>
        <v>0</v>
      </c>
      <c r="CQ630" s="161">
        <f t="shared" si="2667"/>
        <v>0</v>
      </c>
      <c r="CR630" s="161">
        <f t="shared" si="2668"/>
        <v>0</v>
      </c>
      <c r="CS630" s="161">
        <f t="shared" si="2669"/>
        <v>0</v>
      </c>
      <c r="CT630" s="161">
        <f t="shared" si="2670"/>
        <v>0</v>
      </c>
      <c r="CU630" s="161">
        <f t="shared" si="2671"/>
        <v>0</v>
      </c>
      <c r="CV630" s="161">
        <f t="shared" si="2672"/>
        <v>0</v>
      </c>
      <c r="CW630" s="161">
        <f t="shared" si="2673"/>
        <v>0</v>
      </c>
      <c r="CX630" s="161">
        <f t="shared" si="2674"/>
        <v>0</v>
      </c>
      <c r="CY630" s="161">
        <f t="shared" si="2675"/>
        <v>0</v>
      </c>
      <c r="CZ630" s="161">
        <f t="shared" si="2676"/>
        <v>0</v>
      </c>
      <c r="DA630" s="161">
        <f t="shared" si="2677"/>
        <v>0</v>
      </c>
      <c r="DB630" s="161">
        <f t="shared" si="2678"/>
        <v>0</v>
      </c>
      <c r="DC630" s="161">
        <f t="shared" si="2679"/>
        <v>0</v>
      </c>
      <c r="DD630" s="161">
        <f t="shared" si="2680"/>
        <v>0</v>
      </c>
      <c r="DE630" s="161">
        <f t="shared" si="2681"/>
        <v>0</v>
      </c>
      <c r="DF630" s="161">
        <f t="shared" si="2682"/>
        <v>0</v>
      </c>
      <c r="DG630" s="161">
        <f t="shared" si="2683"/>
        <v>0</v>
      </c>
      <c r="DH630" s="161">
        <f t="shared" si="2684"/>
        <v>0</v>
      </c>
      <c r="DI630" s="161">
        <f t="shared" si="2685"/>
        <v>0</v>
      </c>
      <c r="DJ630" s="161">
        <f t="shared" si="2686"/>
        <v>0</v>
      </c>
      <c r="DK630" s="161">
        <f t="shared" si="2687"/>
        <v>0</v>
      </c>
      <c r="DL630" s="161">
        <f t="shared" si="2688"/>
        <v>0</v>
      </c>
      <c r="DM630" s="161">
        <f t="shared" si="2689"/>
        <v>0</v>
      </c>
      <c r="DN630" s="161">
        <f t="shared" si="2690"/>
        <v>0</v>
      </c>
      <c r="DO630" s="161">
        <f t="shared" si="2691"/>
        <v>0</v>
      </c>
      <c r="DP630" s="161">
        <f t="shared" si="2692"/>
        <v>0</v>
      </c>
      <c r="DQ630" s="161">
        <f t="shared" si="2693"/>
        <v>0</v>
      </c>
      <c r="DR630" s="161">
        <f t="shared" si="2694"/>
        <v>0</v>
      </c>
      <c r="DS630" s="161">
        <f t="shared" si="2695"/>
        <v>0</v>
      </c>
      <c r="DT630" s="161">
        <f t="shared" si="2696"/>
        <v>0</v>
      </c>
      <c r="DU630" s="161">
        <f t="shared" si="2697"/>
        <v>0</v>
      </c>
      <c r="DV630" s="161">
        <f t="shared" si="2698"/>
        <v>0</v>
      </c>
      <c r="DW630" s="161">
        <f t="shared" si="2699"/>
        <v>0</v>
      </c>
      <c r="DX630" s="161">
        <f t="shared" si="2700"/>
        <v>0</v>
      </c>
      <c r="DY630" s="161">
        <f t="shared" si="2701"/>
        <v>0</v>
      </c>
      <c r="DZ630" s="161">
        <f t="shared" si="2702"/>
        <v>0</v>
      </c>
      <c r="EA630" s="161">
        <f t="shared" si="2703"/>
        <v>0</v>
      </c>
      <c r="EB630" s="161">
        <f t="shared" si="2704"/>
        <v>0</v>
      </c>
      <c r="EC630" s="161">
        <f t="shared" si="2705"/>
        <v>0</v>
      </c>
      <c r="ED630" s="161">
        <f t="shared" si="2706"/>
        <v>0</v>
      </c>
      <c r="EE630" s="161">
        <f t="shared" si="2707"/>
        <v>0</v>
      </c>
      <c r="EF630" s="161">
        <f t="shared" si="2708"/>
        <v>0</v>
      </c>
      <c r="EG630" s="161">
        <f t="shared" si="2709"/>
        <v>0</v>
      </c>
      <c r="EH630" s="161">
        <f t="shared" si="2710"/>
        <v>0</v>
      </c>
      <c r="EI630" s="161">
        <f t="shared" si="2711"/>
        <v>0</v>
      </c>
      <c r="EJ630" s="65"/>
      <c r="EK630" s="161">
        <f t="shared" si="2712"/>
        <v>0</v>
      </c>
      <c r="EL630" s="161">
        <f t="shared" si="2713"/>
        <v>0</v>
      </c>
      <c r="EM630" s="161">
        <f t="shared" si="2714"/>
        <v>0</v>
      </c>
    </row>
    <row r="631" spans="1:143" ht="12" hidden="1" customHeight="1" outlineLevel="2">
      <c r="A631" s="77">
        <v>11</v>
      </c>
      <c r="B631" s="137" t="str">
        <f t="shared" si="2642"/>
        <v>AN PL. ADM/CRP - Equipe_01</v>
      </c>
      <c r="C631" s="65"/>
      <c r="D631" s="621"/>
      <c r="E631" s="65"/>
      <c r="F631" s="603"/>
      <c r="G631" s="77" t="str">
        <f>IF(INDEX(Tarefas!$BT$30:$FK$30,MATCH(A631,Tarefas!$BT$28:$FK$28,0))=0,"",INDEX(Tarefas!$BT$30:$FK$30,MATCH(A631,Tarefas!$BT$28:$FK$28,0)))</f>
        <v>AN PL. ADM/CRP</v>
      </c>
      <c r="H631" s="107" cm="1">
        <f t="array" ref="H631">IFERROR((SUMPRODUCT((Tarefas!$N$32:$N$54='Cronog. e Histog.'!$F$621)*(Tarefas!$BQ$30:$FK$30='Cronog. e Histog.'!$G631)*(Tarefas!$BQ$32:$FK$54)))/SUMIF(Tarefas!$N$32:$N$54,'Cronog. e Histog.'!$F$621,Tarefas!$K$32:$K$54),0)</f>
        <v>0</v>
      </c>
      <c r="I631" s="79">
        <f t="shared" si="2643"/>
        <v>0</v>
      </c>
      <c r="J631" s="65"/>
      <c r="K631" s="160">
        <f t="shared" si="2644"/>
        <v>0</v>
      </c>
      <c r="L631" s="160">
        <f t="shared" si="2644"/>
        <v>0</v>
      </c>
      <c r="M631" s="160">
        <f t="shared" si="2644"/>
        <v>0</v>
      </c>
      <c r="N631" s="160">
        <f t="shared" si="2644"/>
        <v>0</v>
      </c>
      <c r="O631" s="160">
        <f t="shared" si="2644"/>
        <v>0</v>
      </c>
      <c r="P631" s="160">
        <f t="shared" si="2644"/>
        <v>0</v>
      </c>
      <c r="Q631" s="160">
        <f t="shared" si="2644"/>
        <v>0</v>
      </c>
      <c r="R631" s="160">
        <f t="shared" si="2644"/>
        <v>0</v>
      </c>
      <c r="S631" s="160">
        <f t="shared" si="2644"/>
        <v>0</v>
      </c>
      <c r="T631" s="160">
        <f t="shared" si="2644"/>
        <v>0</v>
      </c>
      <c r="U631" s="160">
        <f t="shared" si="2644"/>
        <v>0</v>
      </c>
      <c r="V631" s="160">
        <f t="shared" si="2644"/>
        <v>0</v>
      </c>
      <c r="W631" s="160">
        <f t="shared" si="2644"/>
        <v>0</v>
      </c>
      <c r="X631" s="160">
        <f t="shared" si="2644"/>
        <v>0</v>
      </c>
      <c r="Y631" s="160">
        <f t="shared" si="2644"/>
        <v>0</v>
      </c>
      <c r="Z631" s="160">
        <f t="shared" si="2644"/>
        <v>0</v>
      </c>
      <c r="AA631" s="160">
        <f t="shared" si="2645"/>
        <v>0</v>
      </c>
      <c r="AB631" s="160">
        <f t="shared" si="2645"/>
        <v>0</v>
      </c>
      <c r="AC631" s="160">
        <f t="shared" si="2645"/>
        <v>0</v>
      </c>
      <c r="AD631" s="160">
        <f t="shared" si="2645"/>
        <v>0</v>
      </c>
      <c r="AE631" s="160">
        <f t="shared" si="2645"/>
        <v>0</v>
      </c>
      <c r="AF631" s="160">
        <f t="shared" si="2645"/>
        <v>0</v>
      </c>
      <c r="AG631" s="160">
        <f t="shared" si="2645"/>
        <v>0</v>
      </c>
      <c r="AH631" s="160">
        <f t="shared" si="2645"/>
        <v>0</v>
      </c>
      <c r="AI631" s="160">
        <f t="shared" si="2645"/>
        <v>0</v>
      </c>
      <c r="AJ631" s="160">
        <f t="shared" si="2645"/>
        <v>0</v>
      </c>
      <c r="AK631" s="160">
        <f t="shared" si="2645"/>
        <v>0</v>
      </c>
      <c r="AL631" s="160">
        <f t="shared" si="2645"/>
        <v>0</v>
      </c>
      <c r="AM631" s="160">
        <f t="shared" si="2645"/>
        <v>0</v>
      </c>
      <c r="AN631" s="160">
        <f t="shared" si="2645"/>
        <v>0</v>
      </c>
      <c r="AO631" s="160">
        <f t="shared" si="2645"/>
        <v>0</v>
      </c>
      <c r="AP631" s="160">
        <f t="shared" si="2645"/>
        <v>0</v>
      </c>
      <c r="AQ631" s="160">
        <f t="shared" si="2646"/>
        <v>0</v>
      </c>
      <c r="AR631" s="160">
        <f t="shared" si="2646"/>
        <v>0</v>
      </c>
      <c r="AS631" s="160">
        <f t="shared" si="2646"/>
        <v>0</v>
      </c>
      <c r="AT631" s="160">
        <f t="shared" si="2646"/>
        <v>0</v>
      </c>
      <c r="AU631" s="160">
        <f t="shared" si="2646"/>
        <v>0</v>
      </c>
      <c r="AV631" s="160">
        <f t="shared" si="2646"/>
        <v>0</v>
      </c>
      <c r="AW631" s="160">
        <f t="shared" si="2646"/>
        <v>0</v>
      </c>
      <c r="AX631" s="160">
        <f t="shared" si="2646"/>
        <v>0</v>
      </c>
      <c r="AY631" s="160">
        <f t="shared" si="2646"/>
        <v>0</v>
      </c>
      <c r="AZ631" s="160">
        <f t="shared" si="2646"/>
        <v>0</v>
      </c>
      <c r="BA631" s="160">
        <f t="shared" si="2646"/>
        <v>0</v>
      </c>
      <c r="BB631" s="160">
        <f t="shared" si="2646"/>
        <v>0</v>
      </c>
      <c r="BC631" s="160">
        <f t="shared" si="2646"/>
        <v>0</v>
      </c>
      <c r="BD631" s="160">
        <f t="shared" si="2646"/>
        <v>0</v>
      </c>
      <c r="BE631" s="160">
        <f t="shared" si="2646"/>
        <v>0</v>
      </c>
      <c r="BF631" s="160">
        <f t="shared" si="2646"/>
        <v>0</v>
      </c>
      <c r="BG631" s="160">
        <f t="shared" si="2647"/>
        <v>0</v>
      </c>
      <c r="BH631" s="160">
        <f t="shared" si="2647"/>
        <v>0</v>
      </c>
      <c r="BI631" s="160">
        <f t="shared" si="2647"/>
        <v>0</v>
      </c>
      <c r="BJ631" s="160">
        <f t="shared" si="2647"/>
        <v>0</v>
      </c>
      <c r="BK631" s="160">
        <f t="shared" si="2647"/>
        <v>0</v>
      </c>
      <c r="BL631" s="160">
        <f t="shared" si="2647"/>
        <v>0</v>
      </c>
      <c r="BM631" s="160">
        <f t="shared" si="2647"/>
        <v>0</v>
      </c>
      <c r="BN631" s="160">
        <f t="shared" si="2647"/>
        <v>0</v>
      </c>
      <c r="BO631" s="160">
        <f t="shared" si="2647"/>
        <v>0</v>
      </c>
      <c r="BP631" s="160">
        <f t="shared" si="2647"/>
        <v>0</v>
      </c>
      <c r="BQ631" s="160">
        <f t="shared" si="2647"/>
        <v>0</v>
      </c>
      <c r="BR631" s="160">
        <f t="shared" si="2647"/>
        <v>0</v>
      </c>
      <c r="BS631" s="65"/>
      <c r="BT631" s="160">
        <f t="shared" si="2648"/>
        <v>0</v>
      </c>
      <c r="BU631" s="160">
        <f t="shared" si="2649"/>
        <v>0</v>
      </c>
      <c r="BV631" s="65"/>
      <c r="BW631" s="69"/>
      <c r="BX631" s="65"/>
      <c r="BY631" s="137">
        <f t="shared" si="2650"/>
        <v>1</v>
      </c>
      <c r="BZ631" s="137">
        <f>IF(BY631&gt;0,BY631+LARGE($BZ$213:BZ630,1),0)</f>
        <v>351</v>
      </c>
      <c r="CA631" s="137" t="str">
        <f t="shared" si="2651"/>
        <v>AN PL. ADM/CRP</v>
      </c>
      <c r="CB631" s="161">
        <f t="shared" si="2652"/>
        <v>0</v>
      </c>
      <c r="CC631" s="161">
        <f t="shared" si="2653"/>
        <v>0</v>
      </c>
      <c r="CD631" s="161">
        <f t="shared" si="2654"/>
        <v>0</v>
      </c>
      <c r="CE631" s="161">
        <f t="shared" si="2655"/>
        <v>0</v>
      </c>
      <c r="CF631" s="161">
        <f t="shared" si="2656"/>
        <v>0</v>
      </c>
      <c r="CG631" s="161">
        <f t="shared" si="2657"/>
        <v>0</v>
      </c>
      <c r="CH631" s="161">
        <f t="shared" si="2658"/>
        <v>0</v>
      </c>
      <c r="CI631" s="161">
        <f t="shared" si="2659"/>
        <v>0</v>
      </c>
      <c r="CJ631" s="161">
        <f t="shared" si="2660"/>
        <v>0</v>
      </c>
      <c r="CK631" s="161">
        <f t="shared" si="2661"/>
        <v>0</v>
      </c>
      <c r="CL631" s="161">
        <f t="shared" si="2662"/>
        <v>0</v>
      </c>
      <c r="CM631" s="161">
        <f t="shared" si="2663"/>
        <v>0</v>
      </c>
      <c r="CN631" s="161">
        <f t="shared" si="2664"/>
        <v>0</v>
      </c>
      <c r="CO631" s="161">
        <f t="shared" si="2665"/>
        <v>0</v>
      </c>
      <c r="CP631" s="161">
        <f t="shared" si="2666"/>
        <v>0</v>
      </c>
      <c r="CQ631" s="161">
        <f t="shared" si="2667"/>
        <v>0</v>
      </c>
      <c r="CR631" s="161">
        <f t="shared" si="2668"/>
        <v>0</v>
      </c>
      <c r="CS631" s="161">
        <f t="shared" si="2669"/>
        <v>0</v>
      </c>
      <c r="CT631" s="161">
        <f t="shared" si="2670"/>
        <v>0</v>
      </c>
      <c r="CU631" s="161">
        <f t="shared" si="2671"/>
        <v>0</v>
      </c>
      <c r="CV631" s="161">
        <f t="shared" si="2672"/>
        <v>0</v>
      </c>
      <c r="CW631" s="161">
        <f t="shared" si="2673"/>
        <v>0</v>
      </c>
      <c r="CX631" s="161">
        <f t="shared" si="2674"/>
        <v>0</v>
      </c>
      <c r="CY631" s="161">
        <f t="shared" si="2675"/>
        <v>0</v>
      </c>
      <c r="CZ631" s="161">
        <f t="shared" si="2676"/>
        <v>0</v>
      </c>
      <c r="DA631" s="161">
        <f t="shared" si="2677"/>
        <v>0</v>
      </c>
      <c r="DB631" s="161">
        <f t="shared" si="2678"/>
        <v>0</v>
      </c>
      <c r="DC631" s="161">
        <f t="shared" si="2679"/>
        <v>0</v>
      </c>
      <c r="DD631" s="161">
        <f t="shared" si="2680"/>
        <v>0</v>
      </c>
      <c r="DE631" s="161">
        <f t="shared" si="2681"/>
        <v>0</v>
      </c>
      <c r="DF631" s="161">
        <f t="shared" si="2682"/>
        <v>0</v>
      </c>
      <c r="DG631" s="161">
        <f t="shared" si="2683"/>
        <v>0</v>
      </c>
      <c r="DH631" s="161">
        <f t="shared" si="2684"/>
        <v>0</v>
      </c>
      <c r="DI631" s="161">
        <f t="shared" si="2685"/>
        <v>0</v>
      </c>
      <c r="DJ631" s="161">
        <f t="shared" si="2686"/>
        <v>0</v>
      </c>
      <c r="DK631" s="161">
        <f t="shared" si="2687"/>
        <v>0</v>
      </c>
      <c r="DL631" s="161">
        <f t="shared" si="2688"/>
        <v>0</v>
      </c>
      <c r="DM631" s="161">
        <f t="shared" si="2689"/>
        <v>0</v>
      </c>
      <c r="DN631" s="161">
        <f t="shared" si="2690"/>
        <v>0</v>
      </c>
      <c r="DO631" s="161">
        <f t="shared" si="2691"/>
        <v>0</v>
      </c>
      <c r="DP631" s="161">
        <f t="shared" si="2692"/>
        <v>0</v>
      </c>
      <c r="DQ631" s="161">
        <f t="shared" si="2693"/>
        <v>0</v>
      </c>
      <c r="DR631" s="161">
        <f t="shared" si="2694"/>
        <v>0</v>
      </c>
      <c r="DS631" s="161">
        <f t="shared" si="2695"/>
        <v>0</v>
      </c>
      <c r="DT631" s="161">
        <f t="shared" si="2696"/>
        <v>0</v>
      </c>
      <c r="DU631" s="161">
        <f t="shared" si="2697"/>
        <v>0</v>
      </c>
      <c r="DV631" s="161">
        <f t="shared" si="2698"/>
        <v>0</v>
      </c>
      <c r="DW631" s="161">
        <f t="shared" si="2699"/>
        <v>0</v>
      </c>
      <c r="DX631" s="161">
        <f t="shared" si="2700"/>
        <v>0</v>
      </c>
      <c r="DY631" s="161">
        <f t="shared" si="2701"/>
        <v>0</v>
      </c>
      <c r="DZ631" s="161">
        <f t="shared" si="2702"/>
        <v>0</v>
      </c>
      <c r="EA631" s="161">
        <f t="shared" si="2703"/>
        <v>0</v>
      </c>
      <c r="EB631" s="161">
        <f t="shared" si="2704"/>
        <v>0</v>
      </c>
      <c r="EC631" s="161">
        <f t="shared" si="2705"/>
        <v>0</v>
      </c>
      <c r="ED631" s="161">
        <f t="shared" si="2706"/>
        <v>0</v>
      </c>
      <c r="EE631" s="161">
        <f t="shared" si="2707"/>
        <v>0</v>
      </c>
      <c r="EF631" s="161">
        <f t="shared" si="2708"/>
        <v>0</v>
      </c>
      <c r="EG631" s="161">
        <f t="shared" si="2709"/>
        <v>0</v>
      </c>
      <c r="EH631" s="161">
        <f t="shared" si="2710"/>
        <v>0</v>
      </c>
      <c r="EI631" s="161">
        <f t="shared" si="2711"/>
        <v>0</v>
      </c>
      <c r="EJ631" s="65"/>
      <c r="EK631" s="161">
        <f t="shared" si="2712"/>
        <v>0</v>
      </c>
      <c r="EL631" s="161">
        <f t="shared" si="2713"/>
        <v>0</v>
      </c>
      <c r="EM631" s="161">
        <f t="shared" si="2714"/>
        <v>0</v>
      </c>
    </row>
    <row r="632" spans="1:143" ht="12" hidden="1" customHeight="1" outlineLevel="2">
      <c r="A632" s="77">
        <v>12</v>
      </c>
      <c r="B632" s="137" t="str">
        <f t="shared" si="2642"/>
        <v>AN JR. ADM/CRP - Equipe_01</v>
      </c>
      <c r="C632" s="65"/>
      <c r="D632" s="622"/>
      <c r="E632" s="65"/>
      <c r="F632" s="603"/>
      <c r="G632" s="77" t="str">
        <f>IF(INDEX(Tarefas!$BT$30:$FK$30,MATCH(A632,Tarefas!$BT$28:$FK$28,0))=0,"",INDEX(Tarefas!$BT$30:$FK$30,MATCH(A632,Tarefas!$BT$28:$FK$28,0)))</f>
        <v>AN JR. ADM/CRP</v>
      </c>
      <c r="H632" s="107" cm="1">
        <f t="array" ref="H632">IFERROR((SUMPRODUCT((Tarefas!$N$32:$N$54='Cronog. e Histog.'!$F$621)*(Tarefas!$BQ$30:$FK$30='Cronog. e Histog.'!$G632)*(Tarefas!$BQ$32:$FK$54)))/SUMIF(Tarefas!$N$32:$N$54,'Cronog. e Histog.'!$F$621,Tarefas!$K$32:$K$54),0)</f>
        <v>0</v>
      </c>
      <c r="I632" s="79">
        <f t="shared" si="2643"/>
        <v>0</v>
      </c>
      <c r="J632" s="65"/>
      <c r="K632" s="160">
        <f t="shared" ref="K632:Z640" si="2715">ROUND($I632*K$200,2)</f>
        <v>0</v>
      </c>
      <c r="L632" s="160">
        <f t="shared" si="2715"/>
        <v>0</v>
      </c>
      <c r="M632" s="160">
        <f t="shared" si="2715"/>
        <v>0</v>
      </c>
      <c r="N632" s="160">
        <f t="shared" si="2715"/>
        <v>0</v>
      </c>
      <c r="O632" s="160">
        <f t="shared" si="2715"/>
        <v>0</v>
      </c>
      <c r="P632" s="160">
        <f t="shared" si="2715"/>
        <v>0</v>
      </c>
      <c r="Q632" s="160">
        <f t="shared" si="2715"/>
        <v>0</v>
      </c>
      <c r="R632" s="160">
        <f t="shared" si="2715"/>
        <v>0</v>
      </c>
      <c r="S632" s="160">
        <f t="shared" si="2715"/>
        <v>0</v>
      </c>
      <c r="T632" s="160">
        <f t="shared" si="2715"/>
        <v>0</v>
      </c>
      <c r="U632" s="160">
        <f t="shared" si="2715"/>
        <v>0</v>
      </c>
      <c r="V632" s="160">
        <f t="shared" si="2715"/>
        <v>0</v>
      </c>
      <c r="W632" s="160">
        <f t="shared" si="2715"/>
        <v>0</v>
      </c>
      <c r="X632" s="160">
        <f t="shared" si="2715"/>
        <v>0</v>
      </c>
      <c r="Y632" s="160">
        <f t="shared" si="2715"/>
        <v>0</v>
      </c>
      <c r="Z632" s="160">
        <f t="shared" si="2715"/>
        <v>0</v>
      </c>
      <c r="AA632" s="160">
        <f t="shared" si="2577"/>
        <v>0</v>
      </c>
      <c r="AB632" s="160">
        <f t="shared" si="2577"/>
        <v>0</v>
      </c>
      <c r="AC632" s="160">
        <f t="shared" si="2577"/>
        <v>0</v>
      </c>
      <c r="AD632" s="160">
        <f t="shared" si="2577"/>
        <v>0</v>
      </c>
      <c r="AE632" s="160">
        <f t="shared" si="2577"/>
        <v>0</v>
      </c>
      <c r="AF632" s="160">
        <f t="shared" si="2577"/>
        <v>0</v>
      </c>
      <c r="AG632" s="160">
        <f t="shared" si="2577"/>
        <v>0</v>
      </c>
      <c r="AH632" s="160">
        <f t="shared" si="2577"/>
        <v>0</v>
      </c>
      <c r="AI632" s="160">
        <f t="shared" si="2577"/>
        <v>0</v>
      </c>
      <c r="AJ632" s="160">
        <f t="shared" si="2577"/>
        <v>0</v>
      </c>
      <c r="AK632" s="160">
        <f t="shared" si="2577"/>
        <v>0</v>
      </c>
      <c r="AL632" s="160">
        <f t="shared" si="2577"/>
        <v>0</v>
      </c>
      <c r="AM632" s="160">
        <f t="shared" si="2577"/>
        <v>0</v>
      </c>
      <c r="AN632" s="160">
        <f t="shared" si="2577"/>
        <v>0</v>
      </c>
      <c r="AO632" s="160">
        <f t="shared" si="2577"/>
        <v>0</v>
      </c>
      <c r="AP632" s="160">
        <f t="shared" si="2577"/>
        <v>0</v>
      </c>
      <c r="AQ632" s="160">
        <f t="shared" si="2577"/>
        <v>0</v>
      </c>
      <c r="AR632" s="160">
        <f t="shared" si="2577"/>
        <v>0</v>
      </c>
      <c r="AS632" s="160">
        <f t="shared" si="2577"/>
        <v>0</v>
      </c>
      <c r="AT632" s="160">
        <f t="shared" si="2577"/>
        <v>0</v>
      </c>
      <c r="AU632" s="160">
        <f t="shared" si="2577"/>
        <v>0</v>
      </c>
      <c r="AV632" s="160">
        <f t="shared" si="2577"/>
        <v>0</v>
      </c>
      <c r="AW632" s="160">
        <f t="shared" si="2577"/>
        <v>0</v>
      </c>
      <c r="AX632" s="160">
        <f t="shared" si="2577"/>
        <v>0</v>
      </c>
      <c r="AY632" s="160">
        <f t="shared" si="2577"/>
        <v>0</v>
      </c>
      <c r="AZ632" s="160">
        <f t="shared" si="2577"/>
        <v>0</v>
      </c>
      <c r="BA632" s="160">
        <f t="shared" si="2577"/>
        <v>0</v>
      </c>
      <c r="BB632" s="160">
        <f t="shared" si="2577"/>
        <v>0</v>
      </c>
      <c r="BC632" s="160">
        <f t="shared" si="2577"/>
        <v>0</v>
      </c>
      <c r="BD632" s="160">
        <f t="shared" si="2577"/>
        <v>0</v>
      </c>
      <c r="BE632" s="160">
        <f t="shared" si="2577"/>
        <v>0</v>
      </c>
      <c r="BF632" s="160">
        <f t="shared" si="2577"/>
        <v>0</v>
      </c>
      <c r="BG632" s="160">
        <f t="shared" si="2577"/>
        <v>0</v>
      </c>
      <c r="BH632" s="160">
        <f t="shared" si="2577"/>
        <v>0</v>
      </c>
      <c r="BI632" s="160">
        <f t="shared" si="2577"/>
        <v>0</v>
      </c>
      <c r="BJ632" s="160">
        <f t="shared" si="2577"/>
        <v>0</v>
      </c>
      <c r="BK632" s="160">
        <f t="shared" si="2577"/>
        <v>0</v>
      </c>
      <c r="BL632" s="160">
        <f t="shared" si="2577"/>
        <v>0</v>
      </c>
      <c r="BM632" s="160">
        <f t="shared" si="2577"/>
        <v>0</v>
      </c>
      <c r="BN632" s="160">
        <f t="shared" si="2577"/>
        <v>0</v>
      </c>
      <c r="BO632" s="160">
        <f t="shared" si="2577"/>
        <v>0</v>
      </c>
      <c r="BP632" s="160">
        <f t="shared" si="2577"/>
        <v>0</v>
      </c>
      <c r="BQ632" s="160">
        <f t="shared" si="2577"/>
        <v>0</v>
      </c>
      <c r="BR632" s="160">
        <f t="shared" si="2577"/>
        <v>0</v>
      </c>
      <c r="BS632" s="65"/>
      <c r="BT632" s="160">
        <f t="shared" si="2578"/>
        <v>0</v>
      </c>
      <c r="BU632" s="160">
        <f t="shared" si="2579"/>
        <v>0</v>
      </c>
      <c r="BV632" s="65"/>
      <c r="BW632" s="69"/>
      <c r="BX632" s="65"/>
      <c r="BY632" s="137">
        <f t="shared" si="2580"/>
        <v>1</v>
      </c>
      <c r="BZ632" s="137">
        <f>IF(BY632&gt;0,BY632+LARGE($BZ$213:BZ631,1),0)</f>
        <v>352</v>
      </c>
      <c r="CA632" s="137" t="str">
        <f t="shared" si="2581"/>
        <v>AN JR. ADM/CRP</v>
      </c>
      <c r="CB632" s="161">
        <f t="shared" si="2582"/>
        <v>0</v>
      </c>
      <c r="CC632" s="161">
        <f t="shared" si="2583"/>
        <v>0</v>
      </c>
      <c r="CD632" s="161">
        <f t="shared" si="2584"/>
        <v>0</v>
      </c>
      <c r="CE632" s="161">
        <f t="shared" si="2585"/>
        <v>0</v>
      </c>
      <c r="CF632" s="161">
        <f t="shared" si="2586"/>
        <v>0</v>
      </c>
      <c r="CG632" s="161">
        <f t="shared" si="2587"/>
        <v>0</v>
      </c>
      <c r="CH632" s="161">
        <f t="shared" si="2588"/>
        <v>0</v>
      </c>
      <c r="CI632" s="161">
        <f t="shared" si="2589"/>
        <v>0</v>
      </c>
      <c r="CJ632" s="161">
        <f t="shared" si="2590"/>
        <v>0</v>
      </c>
      <c r="CK632" s="161">
        <f t="shared" si="2591"/>
        <v>0</v>
      </c>
      <c r="CL632" s="161">
        <f t="shared" si="2592"/>
        <v>0</v>
      </c>
      <c r="CM632" s="161">
        <f t="shared" si="2593"/>
        <v>0</v>
      </c>
      <c r="CN632" s="161">
        <f t="shared" si="2594"/>
        <v>0</v>
      </c>
      <c r="CO632" s="161">
        <f t="shared" si="2595"/>
        <v>0</v>
      </c>
      <c r="CP632" s="161">
        <f t="shared" si="2596"/>
        <v>0</v>
      </c>
      <c r="CQ632" s="161">
        <f t="shared" si="2597"/>
        <v>0</v>
      </c>
      <c r="CR632" s="161">
        <f t="shared" si="2598"/>
        <v>0</v>
      </c>
      <c r="CS632" s="161">
        <f t="shared" si="2599"/>
        <v>0</v>
      </c>
      <c r="CT632" s="161">
        <f t="shared" si="2600"/>
        <v>0</v>
      </c>
      <c r="CU632" s="161">
        <f t="shared" si="2601"/>
        <v>0</v>
      </c>
      <c r="CV632" s="161">
        <f t="shared" si="2602"/>
        <v>0</v>
      </c>
      <c r="CW632" s="161">
        <f t="shared" si="2603"/>
        <v>0</v>
      </c>
      <c r="CX632" s="161">
        <f t="shared" si="2604"/>
        <v>0</v>
      </c>
      <c r="CY632" s="161">
        <f t="shared" si="2605"/>
        <v>0</v>
      </c>
      <c r="CZ632" s="161">
        <f t="shared" si="2606"/>
        <v>0</v>
      </c>
      <c r="DA632" s="161">
        <f t="shared" si="2607"/>
        <v>0</v>
      </c>
      <c r="DB632" s="161">
        <f t="shared" si="2608"/>
        <v>0</v>
      </c>
      <c r="DC632" s="161">
        <f t="shared" si="2609"/>
        <v>0</v>
      </c>
      <c r="DD632" s="161">
        <f t="shared" si="2610"/>
        <v>0</v>
      </c>
      <c r="DE632" s="161">
        <f t="shared" si="2611"/>
        <v>0</v>
      </c>
      <c r="DF632" s="161">
        <f t="shared" si="2612"/>
        <v>0</v>
      </c>
      <c r="DG632" s="161">
        <f t="shared" si="2613"/>
        <v>0</v>
      </c>
      <c r="DH632" s="161">
        <f t="shared" si="2614"/>
        <v>0</v>
      </c>
      <c r="DI632" s="161">
        <f t="shared" si="2615"/>
        <v>0</v>
      </c>
      <c r="DJ632" s="161">
        <f t="shared" si="2616"/>
        <v>0</v>
      </c>
      <c r="DK632" s="161">
        <f t="shared" si="2617"/>
        <v>0</v>
      </c>
      <c r="DL632" s="161">
        <f t="shared" si="2618"/>
        <v>0</v>
      </c>
      <c r="DM632" s="161">
        <f t="shared" si="2619"/>
        <v>0</v>
      </c>
      <c r="DN632" s="161">
        <f t="shared" si="2620"/>
        <v>0</v>
      </c>
      <c r="DO632" s="161">
        <f t="shared" si="2621"/>
        <v>0</v>
      </c>
      <c r="DP632" s="161">
        <f t="shared" si="2622"/>
        <v>0</v>
      </c>
      <c r="DQ632" s="161">
        <f t="shared" si="2623"/>
        <v>0</v>
      </c>
      <c r="DR632" s="161">
        <f t="shared" si="2624"/>
        <v>0</v>
      </c>
      <c r="DS632" s="161">
        <f t="shared" si="2625"/>
        <v>0</v>
      </c>
      <c r="DT632" s="161">
        <f t="shared" si="2626"/>
        <v>0</v>
      </c>
      <c r="DU632" s="161">
        <f t="shared" si="2627"/>
        <v>0</v>
      </c>
      <c r="DV632" s="161">
        <f t="shared" si="2628"/>
        <v>0</v>
      </c>
      <c r="DW632" s="161">
        <f t="shared" si="2629"/>
        <v>0</v>
      </c>
      <c r="DX632" s="161">
        <f t="shared" si="2630"/>
        <v>0</v>
      </c>
      <c r="DY632" s="161">
        <f t="shared" si="2631"/>
        <v>0</v>
      </c>
      <c r="DZ632" s="161">
        <f t="shared" si="2632"/>
        <v>0</v>
      </c>
      <c r="EA632" s="161">
        <f t="shared" si="2633"/>
        <v>0</v>
      </c>
      <c r="EB632" s="161">
        <f t="shared" si="2634"/>
        <v>0</v>
      </c>
      <c r="EC632" s="161">
        <f t="shared" si="2635"/>
        <v>0</v>
      </c>
      <c r="ED632" s="161">
        <f t="shared" si="2636"/>
        <v>0</v>
      </c>
      <c r="EE632" s="161">
        <f t="shared" si="2637"/>
        <v>0</v>
      </c>
      <c r="EF632" s="161">
        <f t="shared" si="2638"/>
        <v>0</v>
      </c>
      <c r="EG632" s="161">
        <f t="shared" si="2639"/>
        <v>0</v>
      </c>
      <c r="EH632" s="161">
        <f t="shared" si="2640"/>
        <v>0</v>
      </c>
      <c r="EI632" s="161">
        <f t="shared" si="2641"/>
        <v>0</v>
      </c>
      <c r="EJ632" s="65"/>
      <c r="EK632" s="161">
        <f t="shared" si="2712"/>
        <v>0</v>
      </c>
      <c r="EL632" s="161">
        <f t="shared" si="2713"/>
        <v>0</v>
      </c>
      <c r="EM632" s="161">
        <f t="shared" si="2714"/>
        <v>0</v>
      </c>
    </row>
    <row r="633" spans="1:143" ht="12" hidden="1" customHeight="1" outlineLevel="2">
      <c r="A633" s="77">
        <v>13</v>
      </c>
      <c r="B633" s="137" t="str">
        <f t="shared" si="2642"/>
        <v>TEC III - Equipe_01</v>
      </c>
      <c r="C633" s="65"/>
      <c r="D633" s="622"/>
      <c r="E633" s="65"/>
      <c r="F633" s="603"/>
      <c r="G633" s="77" t="str">
        <f>IF(INDEX(Tarefas!$BT$30:$FK$30,MATCH(A633,Tarefas!$BT$28:$FK$28,0))=0,"",INDEX(Tarefas!$BT$30:$FK$30,MATCH(A633,Tarefas!$BT$28:$FK$28,0)))</f>
        <v>TEC III</v>
      </c>
      <c r="H633" s="107" cm="1">
        <f t="array" ref="H633">IFERROR((SUMPRODUCT((Tarefas!$N$32:$N$54='Cronog. e Histog.'!$F$621)*(Tarefas!$BQ$30:$FK$30='Cronog. e Histog.'!$G633)*(Tarefas!$BQ$32:$FK$54)))/SUMIF(Tarefas!$N$32:$N$54,'Cronog. e Histog.'!$F$621,Tarefas!$K$32:$K$54),0)</f>
        <v>0</v>
      </c>
      <c r="I633" s="79">
        <f t="shared" si="2643"/>
        <v>0</v>
      </c>
      <c r="J633" s="65"/>
      <c r="K633" s="160">
        <f t="shared" si="2715"/>
        <v>0</v>
      </c>
      <c r="L633" s="160">
        <f t="shared" si="2577"/>
        <v>0</v>
      </c>
      <c r="M633" s="160">
        <f t="shared" si="2577"/>
        <v>0</v>
      </c>
      <c r="N633" s="160">
        <f t="shared" si="2577"/>
        <v>0</v>
      </c>
      <c r="O633" s="160">
        <f t="shared" si="2577"/>
        <v>0</v>
      </c>
      <c r="P633" s="160">
        <f t="shared" si="2577"/>
        <v>0</v>
      </c>
      <c r="Q633" s="160">
        <f t="shared" si="2577"/>
        <v>0</v>
      </c>
      <c r="R633" s="160">
        <f t="shared" si="2577"/>
        <v>0</v>
      </c>
      <c r="S633" s="160">
        <f t="shared" si="2577"/>
        <v>0</v>
      </c>
      <c r="T633" s="160">
        <f t="shared" si="2577"/>
        <v>0</v>
      </c>
      <c r="U633" s="160">
        <f t="shared" si="2577"/>
        <v>0</v>
      </c>
      <c r="V633" s="160">
        <f t="shared" si="2577"/>
        <v>0</v>
      </c>
      <c r="W633" s="160">
        <f t="shared" si="2577"/>
        <v>0</v>
      </c>
      <c r="X633" s="160">
        <f t="shared" si="2577"/>
        <v>0</v>
      </c>
      <c r="Y633" s="160">
        <f t="shared" si="2577"/>
        <v>0</v>
      </c>
      <c r="Z633" s="160">
        <f t="shared" si="2577"/>
        <v>0</v>
      </c>
      <c r="AA633" s="160">
        <f t="shared" si="2577"/>
        <v>0</v>
      </c>
      <c r="AB633" s="160">
        <f t="shared" si="2577"/>
        <v>0</v>
      </c>
      <c r="AC633" s="160">
        <f t="shared" si="2577"/>
        <v>0</v>
      </c>
      <c r="AD633" s="160">
        <f t="shared" si="2577"/>
        <v>0</v>
      </c>
      <c r="AE633" s="160">
        <f t="shared" si="2577"/>
        <v>0</v>
      </c>
      <c r="AF633" s="160">
        <f t="shared" si="2577"/>
        <v>0</v>
      </c>
      <c r="AG633" s="160">
        <f t="shared" si="2577"/>
        <v>0</v>
      </c>
      <c r="AH633" s="160">
        <f t="shared" si="2577"/>
        <v>0</v>
      </c>
      <c r="AI633" s="160">
        <f t="shared" si="2577"/>
        <v>0</v>
      </c>
      <c r="AJ633" s="160">
        <f t="shared" si="2577"/>
        <v>0</v>
      </c>
      <c r="AK633" s="160">
        <f t="shared" si="2577"/>
        <v>0</v>
      </c>
      <c r="AL633" s="160">
        <f t="shared" si="2577"/>
        <v>0</v>
      </c>
      <c r="AM633" s="160">
        <f t="shared" si="2577"/>
        <v>0</v>
      </c>
      <c r="AN633" s="160">
        <f t="shared" si="2577"/>
        <v>0</v>
      </c>
      <c r="AO633" s="160">
        <f t="shared" si="2577"/>
        <v>0</v>
      </c>
      <c r="AP633" s="160">
        <f t="shared" si="2577"/>
        <v>0</v>
      </c>
      <c r="AQ633" s="160">
        <f t="shared" si="2577"/>
        <v>0</v>
      </c>
      <c r="AR633" s="160">
        <f t="shared" si="2577"/>
        <v>0</v>
      </c>
      <c r="AS633" s="160">
        <f t="shared" si="2577"/>
        <v>0</v>
      </c>
      <c r="AT633" s="160">
        <f t="shared" si="2577"/>
        <v>0</v>
      </c>
      <c r="AU633" s="160">
        <f t="shared" si="2577"/>
        <v>0</v>
      </c>
      <c r="AV633" s="160">
        <f t="shared" si="2577"/>
        <v>0</v>
      </c>
      <c r="AW633" s="160">
        <f t="shared" si="2577"/>
        <v>0</v>
      </c>
      <c r="AX633" s="160">
        <f t="shared" si="2577"/>
        <v>0</v>
      </c>
      <c r="AY633" s="160">
        <f t="shared" si="2577"/>
        <v>0</v>
      </c>
      <c r="AZ633" s="160">
        <f t="shared" si="2577"/>
        <v>0</v>
      </c>
      <c r="BA633" s="160">
        <f t="shared" si="2577"/>
        <v>0</v>
      </c>
      <c r="BB633" s="160">
        <f t="shared" si="2577"/>
        <v>0</v>
      </c>
      <c r="BC633" s="160">
        <f t="shared" si="2577"/>
        <v>0</v>
      </c>
      <c r="BD633" s="160">
        <f t="shared" si="2577"/>
        <v>0</v>
      </c>
      <c r="BE633" s="160">
        <f t="shared" si="2577"/>
        <v>0</v>
      </c>
      <c r="BF633" s="160">
        <f t="shared" si="2577"/>
        <v>0</v>
      </c>
      <c r="BG633" s="160">
        <f t="shared" si="2577"/>
        <v>0</v>
      </c>
      <c r="BH633" s="160">
        <f t="shared" si="2577"/>
        <v>0</v>
      </c>
      <c r="BI633" s="160">
        <f t="shared" si="2577"/>
        <v>0</v>
      </c>
      <c r="BJ633" s="160">
        <f t="shared" si="2577"/>
        <v>0</v>
      </c>
      <c r="BK633" s="160">
        <f t="shared" si="2577"/>
        <v>0</v>
      </c>
      <c r="BL633" s="160">
        <f t="shared" si="2577"/>
        <v>0</v>
      </c>
      <c r="BM633" s="160">
        <f t="shared" si="2577"/>
        <v>0</v>
      </c>
      <c r="BN633" s="160">
        <f t="shared" si="2577"/>
        <v>0</v>
      </c>
      <c r="BO633" s="160">
        <f t="shared" si="2577"/>
        <v>0</v>
      </c>
      <c r="BP633" s="160">
        <f t="shared" si="2577"/>
        <v>0</v>
      </c>
      <c r="BQ633" s="160">
        <f t="shared" si="2577"/>
        <v>0</v>
      </c>
      <c r="BR633" s="160">
        <f t="shared" si="2577"/>
        <v>0</v>
      </c>
      <c r="BS633" s="65"/>
      <c r="BT633" s="160">
        <f t="shared" si="2578"/>
        <v>0</v>
      </c>
      <c r="BU633" s="160">
        <f t="shared" si="2579"/>
        <v>0</v>
      </c>
      <c r="BV633" s="65"/>
      <c r="BW633" s="69"/>
      <c r="BX633" s="65"/>
      <c r="BY633" s="137">
        <f t="shared" si="2580"/>
        <v>1</v>
      </c>
      <c r="BZ633" s="137">
        <f>IF(BY633&gt;0,BY633+LARGE($BZ$213:BZ632,1),0)</f>
        <v>353</v>
      </c>
      <c r="CA633" s="137" t="str">
        <f t="shared" si="2581"/>
        <v>TEC III</v>
      </c>
      <c r="CB633" s="161">
        <f t="shared" si="2582"/>
        <v>0</v>
      </c>
      <c r="CC633" s="161">
        <f t="shared" si="2583"/>
        <v>0</v>
      </c>
      <c r="CD633" s="161">
        <f t="shared" si="2584"/>
        <v>0</v>
      </c>
      <c r="CE633" s="161">
        <f t="shared" si="2585"/>
        <v>0</v>
      </c>
      <c r="CF633" s="161">
        <f t="shared" si="2586"/>
        <v>0</v>
      </c>
      <c r="CG633" s="161">
        <f t="shared" si="2587"/>
        <v>0</v>
      </c>
      <c r="CH633" s="161">
        <f t="shared" si="2588"/>
        <v>0</v>
      </c>
      <c r="CI633" s="161">
        <f t="shared" si="2589"/>
        <v>0</v>
      </c>
      <c r="CJ633" s="161">
        <f t="shared" si="2590"/>
        <v>0</v>
      </c>
      <c r="CK633" s="161">
        <f t="shared" si="2591"/>
        <v>0</v>
      </c>
      <c r="CL633" s="161">
        <f t="shared" si="2592"/>
        <v>0</v>
      </c>
      <c r="CM633" s="161">
        <f t="shared" si="2593"/>
        <v>0</v>
      </c>
      <c r="CN633" s="161">
        <f t="shared" si="2594"/>
        <v>0</v>
      </c>
      <c r="CO633" s="161">
        <f t="shared" si="2595"/>
        <v>0</v>
      </c>
      <c r="CP633" s="161">
        <f t="shared" si="2596"/>
        <v>0</v>
      </c>
      <c r="CQ633" s="161">
        <f t="shared" si="2597"/>
        <v>0</v>
      </c>
      <c r="CR633" s="161">
        <f t="shared" si="2598"/>
        <v>0</v>
      </c>
      <c r="CS633" s="161">
        <f t="shared" si="2599"/>
        <v>0</v>
      </c>
      <c r="CT633" s="161">
        <f t="shared" si="2600"/>
        <v>0</v>
      </c>
      <c r="CU633" s="161">
        <f t="shared" si="2601"/>
        <v>0</v>
      </c>
      <c r="CV633" s="161">
        <f t="shared" si="2602"/>
        <v>0</v>
      </c>
      <c r="CW633" s="161">
        <f t="shared" si="2603"/>
        <v>0</v>
      </c>
      <c r="CX633" s="161">
        <f t="shared" si="2604"/>
        <v>0</v>
      </c>
      <c r="CY633" s="161">
        <f t="shared" si="2605"/>
        <v>0</v>
      </c>
      <c r="CZ633" s="161">
        <f t="shared" si="2606"/>
        <v>0</v>
      </c>
      <c r="DA633" s="161">
        <f t="shared" si="2607"/>
        <v>0</v>
      </c>
      <c r="DB633" s="161">
        <f t="shared" si="2608"/>
        <v>0</v>
      </c>
      <c r="DC633" s="161">
        <f t="shared" si="2609"/>
        <v>0</v>
      </c>
      <c r="DD633" s="161">
        <f t="shared" si="2610"/>
        <v>0</v>
      </c>
      <c r="DE633" s="161">
        <f t="shared" si="2611"/>
        <v>0</v>
      </c>
      <c r="DF633" s="161">
        <f t="shared" si="2612"/>
        <v>0</v>
      </c>
      <c r="DG633" s="161">
        <f t="shared" si="2613"/>
        <v>0</v>
      </c>
      <c r="DH633" s="161">
        <f t="shared" si="2614"/>
        <v>0</v>
      </c>
      <c r="DI633" s="161">
        <f t="shared" si="2615"/>
        <v>0</v>
      </c>
      <c r="DJ633" s="161">
        <f t="shared" si="2616"/>
        <v>0</v>
      </c>
      <c r="DK633" s="161">
        <f t="shared" si="2617"/>
        <v>0</v>
      </c>
      <c r="DL633" s="161">
        <f t="shared" si="2618"/>
        <v>0</v>
      </c>
      <c r="DM633" s="161">
        <f t="shared" si="2619"/>
        <v>0</v>
      </c>
      <c r="DN633" s="161">
        <f t="shared" si="2620"/>
        <v>0</v>
      </c>
      <c r="DO633" s="161">
        <f t="shared" si="2621"/>
        <v>0</v>
      </c>
      <c r="DP633" s="161">
        <f t="shared" si="2622"/>
        <v>0</v>
      </c>
      <c r="DQ633" s="161">
        <f t="shared" si="2623"/>
        <v>0</v>
      </c>
      <c r="DR633" s="161">
        <f t="shared" si="2624"/>
        <v>0</v>
      </c>
      <c r="DS633" s="161">
        <f t="shared" si="2625"/>
        <v>0</v>
      </c>
      <c r="DT633" s="161">
        <f t="shared" si="2626"/>
        <v>0</v>
      </c>
      <c r="DU633" s="161">
        <f t="shared" si="2627"/>
        <v>0</v>
      </c>
      <c r="DV633" s="161">
        <f t="shared" si="2628"/>
        <v>0</v>
      </c>
      <c r="DW633" s="161">
        <f t="shared" si="2629"/>
        <v>0</v>
      </c>
      <c r="DX633" s="161">
        <f t="shared" si="2630"/>
        <v>0</v>
      </c>
      <c r="DY633" s="161">
        <f t="shared" si="2631"/>
        <v>0</v>
      </c>
      <c r="DZ633" s="161">
        <f t="shared" si="2632"/>
        <v>0</v>
      </c>
      <c r="EA633" s="161">
        <f t="shared" si="2633"/>
        <v>0</v>
      </c>
      <c r="EB633" s="161">
        <f t="shared" si="2634"/>
        <v>0</v>
      </c>
      <c r="EC633" s="161">
        <f t="shared" si="2635"/>
        <v>0</v>
      </c>
      <c r="ED633" s="161">
        <f t="shared" si="2636"/>
        <v>0</v>
      </c>
      <c r="EE633" s="161">
        <f t="shared" si="2637"/>
        <v>0</v>
      </c>
      <c r="EF633" s="161">
        <f t="shared" si="2638"/>
        <v>0</v>
      </c>
      <c r="EG633" s="161">
        <f t="shared" si="2639"/>
        <v>0</v>
      </c>
      <c r="EH633" s="161">
        <f t="shared" si="2640"/>
        <v>0</v>
      </c>
      <c r="EI633" s="161">
        <f t="shared" si="2641"/>
        <v>0</v>
      </c>
      <c r="EJ633" s="65"/>
      <c r="EK633" s="161">
        <f t="shared" si="2712"/>
        <v>0</v>
      </c>
      <c r="EL633" s="161">
        <f t="shared" si="2713"/>
        <v>0</v>
      </c>
      <c r="EM633" s="161">
        <f t="shared" si="2714"/>
        <v>0</v>
      </c>
    </row>
    <row r="634" spans="1:143" ht="12" hidden="1" customHeight="1" outlineLevel="2">
      <c r="A634" s="77">
        <v>14</v>
      </c>
      <c r="B634" s="137" t="str">
        <f t="shared" si="2642"/>
        <v>TEC II - Equipe_01</v>
      </c>
      <c r="C634" s="65"/>
      <c r="D634" s="622"/>
      <c r="E634" s="65"/>
      <c r="F634" s="603"/>
      <c r="G634" s="77" t="str">
        <f>IF(INDEX(Tarefas!$BT$30:$FK$30,MATCH(A634,Tarefas!$BT$28:$FK$28,0))=0,"",INDEX(Tarefas!$BT$30:$FK$30,MATCH(A634,Tarefas!$BT$28:$FK$28,0)))</f>
        <v>TEC II</v>
      </c>
      <c r="H634" s="107" cm="1">
        <f t="array" ref="H634">IFERROR((SUMPRODUCT((Tarefas!$N$32:$N$54='Cronog. e Histog.'!$F$621)*(Tarefas!$BQ$30:$FK$30='Cronog. e Histog.'!$G634)*(Tarefas!$BQ$32:$FK$54)))/SUMIF(Tarefas!$N$32:$N$54,'Cronog. e Histog.'!$F$621,Tarefas!$K$32:$K$54),0)</f>
        <v>0</v>
      </c>
      <c r="I634" s="79">
        <f t="shared" si="2643"/>
        <v>0</v>
      </c>
      <c r="J634" s="65"/>
      <c r="K634" s="160">
        <f t="shared" si="2715"/>
        <v>0</v>
      </c>
      <c r="L634" s="160">
        <f t="shared" si="2577"/>
        <v>0</v>
      </c>
      <c r="M634" s="160">
        <f t="shared" si="2577"/>
        <v>0</v>
      </c>
      <c r="N634" s="160">
        <f t="shared" si="2577"/>
        <v>0</v>
      </c>
      <c r="O634" s="160">
        <f t="shared" si="2577"/>
        <v>0</v>
      </c>
      <c r="P634" s="160">
        <f t="shared" si="2577"/>
        <v>0</v>
      </c>
      <c r="Q634" s="160">
        <f t="shared" si="2577"/>
        <v>0</v>
      </c>
      <c r="R634" s="160">
        <f t="shared" si="2577"/>
        <v>0</v>
      </c>
      <c r="S634" s="160">
        <f t="shared" si="2577"/>
        <v>0</v>
      </c>
      <c r="T634" s="160">
        <f t="shared" si="2577"/>
        <v>0</v>
      </c>
      <c r="U634" s="160">
        <f t="shared" si="2577"/>
        <v>0</v>
      </c>
      <c r="V634" s="160">
        <f t="shared" si="2577"/>
        <v>0</v>
      </c>
      <c r="W634" s="160">
        <f t="shared" si="2577"/>
        <v>0</v>
      </c>
      <c r="X634" s="160">
        <f t="shared" si="2577"/>
        <v>0</v>
      </c>
      <c r="Y634" s="160">
        <f t="shared" si="2577"/>
        <v>0</v>
      </c>
      <c r="Z634" s="160">
        <f t="shared" si="2577"/>
        <v>0</v>
      </c>
      <c r="AA634" s="160">
        <f t="shared" si="2577"/>
        <v>0</v>
      </c>
      <c r="AB634" s="160">
        <f t="shared" si="2577"/>
        <v>0</v>
      </c>
      <c r="AC634" s="160">
        <f t="shared" si="2577"/>
        <v>0</v>
      </c>
      <c r="AD634" s="160">
        <f t="shared" si="2577"/>
        <v>0</v>
      </c>
      <c r="AE634" s="160">
        <f t="shared" si="2577"/>
        <v>0</v>
      </c>
      <c r="AF634" s="160">
        <f t="shared" si="2577"/>
        <v>0</v>
      </c>
      <c r="AG634" s="160">
        <f t="shared" si="2577"/>
        <v>0</v>
      </c>
      <c r="AH634" s="160">
        <f t="shared" si="2577"/>
        <v>0</v>
      </c>
      <c r="AI634" s="160">
        <f t="shared" si="2577"/>
        <v>0</v>
      </c>
      <c r="AJ634" s="160">
        <f t="shared" si="2577"/>
        <v>0</v>
      </c>
      <c r="AK634" s="160">
        <f t="shared" si="2577"/>
        <v>0</v>
      </c>
      <c r="AL634" s="160">
        <f t="shared" si="2577"/>
        <v>0</v>
      </c>
      <c r="AM634" s="160">
        <f t="shared" si="2577"/>
        <v>0</v>
      </c>
      <c r="AN634" s="160">
        <f t="shared" si="2577"/>
        <v>0</v>
      </c>
      <c r="AO634" s="160">
        <f t="shared" si="2577"/>
        <v>0</v>
      </c>
      <c r="AP634" s="160">
        <f t="shared" si="2577"/>
        <v>0</v>
      </c>
      <c r="AQ634" s="160">
        <f t="shared" si="2577"/>
        <v>0</v>
      </c>
      <c r="AR634" s="160">
        <f t="shared" si="2577"/>
        <v>0</v>
      </c>
      <c r="AS634" s="160">
        <f t="shared" si="2577"/>
        <v>0</v>
      </c>
      <c r="AT634" s="160">
        <f t="shared" si="2577"/>
        <v>0</v>
      </c>
      <c r="AU634" s="160">
        <f t="shared" si="2577"/>
        <v>0</v>
      </c>
      <c r="AV634" s="160">
        <f t="shared" si="2577"/>
        <v>0</v>
      </c>
      <c r="AW634" s="160">
        <f t="shared" si="2577"/>
        <v>0</v>
      </c>
      <c r="AX634" s="160">
        <f t="shared" si="2577"/>
        <v>0</v>
      </c>
      <c r="AY634" s="160">
        <f t="shared" si="2577"/>
        <v>0</v>
      </c>
      <c r="AZ634" s="160">
        <f t="shared" si="2577"/>
        <v>0</v>
      </c>
      <c r="BA634" s="160">
        <f t="shared" si="2577"/>
        <v>0</v>
      </c>
      <c r="BB634" s="160">
        <f t="shared" si="2577"/>
        <v>0</v>
      </c>
      <c r="BC634" s="160">
        <f t="shared" si="2577"/>
        <v>0</v>
      </c>
      <c r="BD634" s="160">
        <f t="shared" si="2577"/>
        <v>0</v>
      </c>
      <c r="BE634" s="160">
        <f t="shared" si="2577"/>
        <v>0</v>
      </c>
      <c r="BF634" s="160">
        <f t="shared" si="2577"/>
        <v>0</v>
      </c>
      <c r="BG634" s="160">
        <f t="shared" si="2577"/>
        <v>0</v>
      </c>
      <c r="BH634" s="160">
        <f t="shared" si="2577"/>
        <v>0</v>
      </c>
      <c r="BI634" s="160">
        <f t="shared" si="2577"/>
        <v>0</v>
      </c>
      <c r="BJ634" s="160">
        <f t="shared" si="2577"/>
        <v>0</v>
      </c>
      <c r="BK634" s="160">
        <f t="shared" si="2577"/>
        <v>0</v>
      </c>
      <c r="BL634" s="160">
        <f t="shared" si="2577"/>
        <v>0</v>
      </c>
      <c r="BM634" s="160">
        <f t="shared" si="2577"/>
        <v>0</v>
      </c>
      <c r="BN634" s="160">
        <f t="shared" si="2577"/>
        <v>0</v>
      </c>
      <c r="BO634" s="160">
        <f t="shared" si="2577"/>
        <v>0</v>
      </c>
      <c r="BP634" s="160">
        <f t="shared" si="2577"/>
        <v>0</v>
      </c>
      <c r="BQ634" s="160">
        <f t="shared" si="2577"/>
        <v>0</v>
      </c>
      <c r="BR634" s="160">
        <f t="shared" si="2577"/>
        <v>0</v>
      </c>
      <c r="BS634" s="65"/>
      <c r="BT634" s="160">
        <f t="shared" si="2578"/>
        <v>0</v>
      </c>
      <c r="BU634" s="160">
        <f t="shared" si="2579"/>
        <v>0</v>
      </c>
      <c r="BV634" s="65"/>
      <c r="BW634" s="69"/>
      <c r="BX634" s="65"/>
      <c r="BY634" s="137">
        <f t="shared" si="2580"/>
        <v>1</v>
      </c>
      <c r="BZ634" s="137">
        <f>IF(BY634&gt;0,BY634+LARGE($BZ$213:BZ633,1),0)</f>
        <v>354</v>
      </c>
      <c r="CA634" s="137" t="str">
        <f t="shared" si="2581"/>
        <v>TEC II</v>
      </c>
      <c r="CB634" s="161">
        <f t="shared" si="2582"/>
        <v>0</v>
      </c>
      <c r="CC634" s="161">
        <f t="shared" si="2583"/>
        <v>0</v>
      </c>
      <c r="CD634" s="161">
        <f t="shared" si="2584"/>
        <v>0</v>
      </c>
      <c r="CE634" s="161">
        <f t="shared" si="2585"/>
        <v>0</v>
      </c>
      <c r="CF634" s="161">
        <f t="shared" si="2586"/>
        <v>0</v>
      </c>
      <c r="CG634" s="161">
        <f t="shared" si="2587"/>
        <v>0</v>
      </c>
      <c r="CH634" s="161">
        <f t="shared" si="2588"/>
        <v>0</v>
      </c>
      <c r="CI634" s="161">
        <f t="shared" si="2589"/>
        <v>0</v>
      </c>
      <c r="CJ634" s="161">
        <f t="shared" si="2590"/>
        <v>0</v>
      </c>
      <c r="CK634" s="161">
        <f t="shared" si="2591"/>
        <v>0</v>
      </c>
      <c r="CL634" s="161">
        <f t="shared" si="2592"/>
        <v>0</v>
      </c>
      <c r="CM634" s="161">
        <f t="shared" si="2593"/>
        <v>0</v>
      </c>
      <c r="CN634" s="161">
        <f t="shared" si="2594"/>
        <v>0</v>
      </c>
      <c r="CO634" s="161">
        <f t="shared" si="2595"/>
        <v>0</v>
      </c>
      <c r="CP634" s="161">
        <f t="shared" si="2596"/>
        <v>0</v>
      </c>
      <c r="CQ634" s="161">
        <f t="shared" si="2597"/>
        <v>0</v>
      </c>
      <c r="CR634" s="161">
        <f t="shared" si="2598"/>
        <v>0</v>
      </c>
      <c r="CS634" s="161">
        <f t="shared" si="2599"/>
        <v>0</v>
      </c>
      <c r="CT634" s="161">
        <f t="shared" si="2600"/>
        <v>0</v>
      </c>
      <c r="CU634" s="161">
        <f t="shared" si="2601"/>
        <v>0</v>
      </c>
      <c r="CV634" s="161">
        <f t="shared" si="2602"/>
        <v>0</v>
      </c>
      <c r="CW634" s="161">
        <f t="shared" si="2603"/>
        <v>0</v>
      </c>
      <c r="CX634" s="161">
        <f t="shared" si="2604"/>
        <v>0</v>
      </c>
      <c r="CY634" s="161">
        <f t="shared" si="2605"/>
        <v>0</v>
      </c>
      <c r="CZ634" s="161">
        <f t="shared" si="2606"/>
        <v>0</v>
      </c>
      <c r="DA634" s="161">
        <f t="shared" si="2607"/>
        <v>0</v>
      </c>
      <c r="DB634" s="161">
        <f t="shared" si="2608"/>
        <v>0</v>
      </c>
      <c r="DC634" s="161">
        <f t="shared" si="2609"/>
        <v>0</v>
      </c>
      <c r="DD634" s="161">
        <f t="shared" si="2610"/>
        <v>0</v>
      </c>
      <c r="DE634" s="161">
        <f t="shared" si="2611"/>
        <v>0</v>
      </c>
      <c r="DF634" s="161">
        <f t="shared" si="2612"/>
        <v>0</v>
      </c>
      <c r="DG634" s="161">
        <f t="shared" si="2613"/>
        <v>0</v>
      </c>
      <c r="DH634" s="161">
        <f t="shared" si="2614"/>
        <v>0</v>
      </c>
      <c r="DI634" s="161">
        <f t="shared" si="2615"/>
        <v>0</v>
      </c>
      <c r="DJ634" s="161">
        <f t="shared" si="2616"/>
        <v>0</v>
      </c>
      <c r="DK634" s="161">
        <f t="shared" si="2617"/>
        <v>0</v>
      </c>
      <c r="DL634" s="161">
        <f t="shared" si="2618"/>
        <v>0</v>
      </c>
      <c r="DM634" s="161">
        <f t="shared" si="2619"/>
        <v>0</v>
      </c>
      <c r="DN634" s="161">
        <f t="shared" si="2620"/>
        <v>0</v>
      </c>
      <c r="DO634" s="161">
        <f t="shared" si="2621"/>
        <v>0</v>
      </c>
      <c r="DP634" s="161">
        <f t="shared" si="2622"/>
        <v>0</v>
      </c>
      <c r="DQ634" s="161">
        <f t="shared" si="2623"/>
        <v>0</v>
      </c>
      <c r="DR634" s="161">
        <f t="shared" si="2624"/>
        <v>0</v>
      </c>
      <c r="DS634" s="161">
        <f t="shared" si="2625"/>
        <v>0</v>
      </c>
      <c r="DT634" s="161">
        <f t="shared" si="2626"/>
        <v>0</v>
      </c>
      <c r="DU634" s="161">
        <f t="shared" si="2627"/>
        <v>0</v>
      </c>
      <c r="DV634" s="161">
        <f t="shared" si="2628"/>
        <v>0</v>
      </c>
      <c r="DW634" s="161">
        <f t="shared" si="2629"/>
        <v>0</v>
      </c>
      <c r="DX634" s="161">
        <f t="shared" si="2630"/>
        <v>0</v>
      </c>
      <c r="DY634" s="161">
        <f t="shared" si="2631"/>
        <v>0</v>
      </c>
      <c r="DZ634" s="161">
        <f t="shared" si="2632"/>
        <v>0</v>
      </c>
      <c r="EA634" s="161">
        <f t="shared" si="2633"/>
        <v>0</v>
      </c>
      <c r="EB634" s="161">
        <f t="shared" si="2634"/>
        <v>0</v>
      </c>
      <c r="EC634" s="161">
        <f t="shared" si="2635"/>
        <v>0</v>
      </c>
      <c r="ED634" s="161">
        <f t="shared" si="2636"/>
        <v>0</v>
      </c>
      <c r="EE634" s="161">
        <f t="shared" si="2637"/>
        <v>0</v>
      </c>
      <c r="EF634" s="161">
        <f t="shared" si="2638"/>
        <v>0</v>
      </c>
      <c r="EG634" s="161">
        <f t="shared" si="2639"/>
        <v>0</v>
      </c>
      <c r="EH634" s="161">
        <f t="shared" si="2640"/>
        <v>0</v>
      </c>
      <c r="EI634" s="161">
        <f t="shared" si="2641"/>
        <v>0</v>
      </c>
      <c r="EJ634" s="65"/>
      <c r="EK634" s="161">
        <f t="shared" si="2712"/>
        <v>0</v>
      </c>
      <c r="EL634" s="161">
        <f t="shared" si="2713"/>
        <v>0</v>
      </c>
      <c r="EM634" s="161">
        <f t="shared" si="2714"/>
        <v>0</v>
      </c>
    </row>
    <row r="635" spans="1:143" ht="12" hidden="1" customHeight="1" outlineLevel="2">
      <c r="A635" s="77">
        <v>15</v>
      </c>
      <c r="B635" s="137" t="str">
        <f t="shared" si="2642"/>
        <v>TEC I - Equipe_01</v>
      </c>
      <c r="C635" s="65"/>
      <c r="D635" s="622"/>
      <c r="E635" s="65"/>
      <c r="F635" s="603"/>
      <c r="G635" s="77" t="str">
        <f>IF(INDEX(Tarefas!$BT$30:$FK$30,MATCH(A635,Tarefas!$BT$28:$FK$28,0))=0,"",INDEX(Tarefas!$BT$30:$FK$30,MATCH(A635,Tarefas!$BT$28:$FK$28,0)))</f>
        <v>TEC I</v>
      </c>
      <c r="H635" s="107" cm="1">
        <f t="array" ref="H635">IFERROR((SUMPRODUCT((Tarefas!$N$32:$N$54='Cronog. e Histog.'!$F$621)*(Tarefas!$BQ$30:$FK$30='Cronog. e Histog.'!$G635)*(Tarefas!$BQ$32:$FK$54)))/SUMIF(Tarefas!$N$32:$N$54,'Cronog. e Histog.'!$F$621,Tarefas!$K$32:$K$54),0)</f>
        <v>0</v>
      </c>
      <c r="I635" s="79">
        <f t="shared" si="2643"/>
        <v>0</v>
      </c>
      <c r="J635" s="65"/>
      <c r="K635" s="160">
        <f t="shared" si="2715"/>
        <v>0</v>
      </c>
      <c r="L635" s="160">
        <f t="shared" si="2577"/>
        <v>0</v>
      </c>
      <c r="M635" s="160">
        <f t="shared" si="2577"/>
        <v>0</v>
      </c>
      <c r="N635" s="160">
        <f t="shared" si="2577"/>
        <v>0</v>
      </c>
      <c r="O635" s="160">
        <f t="shared" si="2577"/>
        <v>0</v>
      </c>
      <c r="P635" s="160">
        <f t="shared" si="2577"/>
        <v>0</v>
      </c>
      <c r="Q635" s="160">
        <f t="shared" si="2577"/>
        <v>0</v>
      </c>
      <c r="R635" s="160">
        <f t="shared" si="2577"/>
        <v>0</v>
      </c>
      <c r="S635" s="160">
        <f t="shared" si="2577"/>
        <v>0</v>
      </c>
      <c r="T635" s="160">
        <f t="shared" si="2577"/>
        <v>0</v>
      </c>
      <c r="U635" s="160">
        <f t="shared" si="2577"/>
        <v>0</v>
      </c>
      <c r="V635" s="160">
        <f t="shared" si="2577"/>
        <v>0</v>
      </c>
      <c r="W635" s="160">
        <f t="shared" si="2577"/>
        <v>0</v>
      </c>
      <c r="X635" s="160">
        <f t="shared" si="2577"/>
        <v>0</v>
      </c>
      <c r="Y635" s="160">
        <f t="shared" si="2577"/>
        <v>0</v>
      </c>
      <c r="Z635" s="160">
        <f t="shared" si="2577"/>
        <v>0</v>
      </c>
      <c r="AA635" s="160">
        <f t="shared" si="2577"/>
        <v>0</v>
      </c>
      <c r="AB635" s="160">
        <f t="shared" si="2577"/>
        <v>0</v>
      </c>
      <c r="AC635" s="160">
        <f t="shared" si="2577"/>
        <v>0</v>
      </c>
      <c r="AD635" s="160">
        <f t="shared" si="2577"/>
        <v>0</v>
      </c>
      <c r="AE635" s="160">
        <f t="shared" si="2577"/>
        <v>0</v>
      </c>
      <c r="AF635" s="160">
        <f t="shared" si="2577"/>
        <v>0</v>
      </c>
      <c r="AG635" s="160">
        <f t="shared" si="2577"/>
        <v>0</v>
      </c>
      <c r="AH635" s="160">
        <f t="shared" si="2577"/>
        <v>0</v>
      </c>
      <c r="AI635" s="160">
        <f t="shared" si="2577"/>
        <v>0</v>
      </c>
      <c r="AJ635" s="160">
        <f t="shared" si="2577"/>
        <v>0</v>
      </c>
      <c r="AK635" s="160">
        <f t="shared" si="2577"/>
        <v>0</v>
      </c>
      <c r="AL635" s="160">
        <f t="shared" si="2577"/>
        <v>0</v>
      </c>
      <c r="AM635" s="160">
        <f t="shared" si="2577"/>
        <v>0</v>
      </c>
      <c r="AN635" s="160">
        <f t="shared" si="2577"/>
        <v>0</v>
      </c>
      <c r="AO635" s="160">
        <f t="shared" si="2577"/>
        <v>0</v>
      </c>
      <c r="AP635" s="160">
        <f t="shared" si="2577"/>
        <v>0</v>
      </c>
      <c r="AQ635" s="160">
        <f t="shared" si="2577"/>
        <v>0</v>
      </c>
      <c r="AR635" s="160">
        <f t="shared" si="2577"/>
        <v>0</v>
      </c>
      <c r="AS635" s="160">
        <f t="shared" si="2577"/>
        <v>0</v>
      </c>
      <c r="AT635" s="160">
        <f t="shared" ref="L635:BR639" si="2716">ROUND($I635*AT$200,2)</f>
        <v>0</v>
      </c>
      <c r="AU635" s="160">
        <f t="shared" si="2716"/>
        <v>0</v>
      </c>
      <c r="AV635" s="160">
        <f t="shared" si="2716"/>
        <v>0</v>
      </c>
      <c r="AW635" s="160">
        <f t="shared" si="2716"/>
        <v>0</v>
      </c>
      <c r="AX635" s="160">
        <f t="shared" si="2716"/>
        <v>0</v>
      </c>
      <c r="AY635" s="160">
        <f t="shared" si="2716"/>
        <v>0</v>
      </c>
      <c r="AZ635" s="160">
        <f t="shared" si="2716"/>
        <v>0</v>
      </c>
      <c r="BA635" s="160">
        <f t="shared" si="2716"/>
        <v>0</v>
      </c>
      <c r="BB635" s="160">
        <f t="shared" si="2716"/>
        <v>0</v>
      </c>
      <c r="BC635" s="160">
        <f t="shared" si="2716"/>
        <v>0</v>
      </c>
      <c r="BD635" s="160">
        <f t="shared" si="2716"/>
        <v>0</v>
      </c>
      <c r="BE635" s="160">
        <f t="shared" si="2716"/>
        <v>0</v>
      </c>
      <c r="BF635" s="160">
        <f t="shared" si="2716"/>
        <v>0</v>
      </c>
      <c r="BG635" s="160">
        <f t="shared" si="2716"/>
        <v>0</v>
      </c>
      <c r="BH635" s="160">
        <f t="shared" si="2716"/>
        <v>0</v>
      </c>
      <c r="BI635" s="160">
        <f t="shared" si="2716"/>
        <v>0</v>
      </c>
      <c r="BJ635" s="160">
        <f t="shared" si="2716"/>
        <v>0</v>
      </c>
      <c r="BK635" s="160">
        <f t="shared" si="2716"/>
        <v>0</v>
      </c>
      <c r="BL635" s="160">
        <f t="shared" si="2716"/>
        <v>0</v>
      </c>
      <c r="BM635" s="160">
        <f t="shared" si="2716"/>
        <v>0</v>
      </c>
      <c r="BN635" s="160">
        <f t="shared" si="2716"/>
        <v>0</v>
      </c>
      <c r="BO635" s="160">
        <f t="shared" si="2716"/>
        <v>0</v>
      </c>
      <c r="BP635" s="160">
        <f t="shared" si="2716"/>
        <v>0</v>
      </c>
      <c r="BQ635" s="160">
        <f t="shared" si="2716"/>
        <v>0</v>
      </c>
      <c r="BR635" s="160">
        <f t="shared" si="2716"/>
        <v>0</v>
      </c>
      <c r="BS635" s="65"/>
      <c r="BT635" s="160">
        <f t="shared" si="2578"/>
        <v>0</v>
      </c>
      <c r="BU635" s="160">
        <f t="shared" si="2579"/>
        <v>0</v>
      </c>
      <c r="BV635" s="65"/>
      <c r="BW635" s="69"/>
      <c r="BX635" s="65"/>
      <c r="BY635" s="137">
        <f t="shared" si="2580"/>
        <v>1</v>
      </c>
      <c r="BZ635" s="137">
        <f>IF(BY635&gt;0,BY635+LARGE($BZ$213:BZ634,1),0)</f>
        <v>355</v>
      </c>
      <c r="CA635" s="137" t="str">
        <f t="shared" si="2581"/>
        <v>TEC I</v>
      </c>
      <c r="CB635" s="161">
        <f t="shared" si="2582"/>
        <v>0</v>
      </c>
      <c r="CC635" s="161">
        <f t="shared" si="2583"/>
        <v>0</v>
      </c>
      <c r="CD635" s="161">
        <f t="shared" si="2584"/>
        <v>0</v>
      </c>
      <c r="CE635" s="161">
        <f t="shared" si="2585"/>
        <v>0</v>
      </c>
      <c r="CF635" s="161">
        <f t="shared" si="2586"/>
        <v>0</v>
      </c>
      <c r="CG635" s="161">
        <f t="shared" si="2587"/>
        <v>0</v>
      </c>
      <c r="CH635" s="161">
        <f t="shared" si="2588"/>
        <v>0</v>
      </c>
      <c r="CI635" s="161">
        <f t="shared" si="2589"/>
        <v>0</v>
      </c>
      <c r="CJ635" s="161">
        <f t="shared" si="2590"/>
        <v>0</v>
      </c>
      <c r="CK635" s="161">
        <f t="shared" si="2591"/>
        <v>0</v>
      </c>
      <c r="CL635" s="161">
        <f t="shared" si="2592"/>
        <v>0</v>
      </c>
      <c r="CM635" s="161">
        <f t="shared" si="2593"/>
        <v>0</v>
      </c>
      <c r="CN635" s="161">
        <f t="shared" si="2594"/>
        <v>0</v>
      </c>
      <c r="CO635" s="161">
        <f t="shared" si="2595"/>
        <v>0</v>
      </c>
      <c r="CP635" s="161">
        <f t="shared" si="2596"/>
        <v>0</v>
      </c>
      <c r="CQ635" s="161">
        <f t="shared" si="2597"/>
        <v>0</v>
      </c>
      <c r="CR635" s="161">
        <f t="shared" si="2598"/>
        <v>0</v>
      </c>
      <c r="CS635" s="161">
        <f t="shared" si="2599"/>
        <v>0</v>
      </c>
      <c r="CT635" s="161">
        <f t="shared" si="2600"/>
        <v>0</v>
      </c>
      <c r="CU635" s="161">
        <f t="shared" si="2601"/>
        <v>0</v>
      </c>
      <c r="CV635" s="161">
        <f t="shared" si="2602"/>
        <v>0</v>
      </c>
      <c r="CW635" s="161">
        <f t="shared" si="2603"/>
        <v>0</v>
      </c>
      <c r="CX635" s="161">
        <f t="shared" si="2604"/>
        <v>0</v>
      </c>
      <c r="CY635" s="161">
        <f t="shared" si="2605"/>
        <v>0</v>
      </c>
      <c r="CZ635" s="161">
        <f t="shared" si="2606"/>
        <v>0</v>
      </c>
      <c r="DA635" s="161">
        <f t="shared" si="2607"/>
        <v>0</v>
      </c>
      <c r="DB635" s="161">
        <f t="shared" si="2608"/>
        <v>0</v>
      </c>
      <c r="DC635" s="161">
        <f t="shared" si="2609"/>
        <v>0</v>
      </c>
      <c r="DD635" s="161">
        <f t="shared" si="2610"/>
        <v>0</v>
      </c>
      <c r="DE635" s="161">
        <f t="shared" si="2611"/>
        <v>0</v>
      </c>
      <c r="DF635" s="161">
        <f t="shared" si="2612"/>
        <v>0</v>
      </c>
      <c r="DG635" s="161">
        <f t="shared" si="2613"/>
        <v>0</v>
      </c>
      <c r="DH635" s="161">
        <f t="shared" si="2614"/>
        <v>0</v>
      </c>
      <c r="DI635" s="161">
        <f t="shared" si="2615"/>
        <v>0</v>
      </c>
      <c r="DJ635" s="161">
        <f t="shared" si="2616"/>
        <v>0</v>
      </c>
      <c r="DK635" s="161">
        <f t="shared" si="2617"/>
        <v>0</v>
      </c>
      <c r="DL635" s="161">
        <f t="shared" si="2618"/>
        <v>0</v>
      </c>
      <c r="DM635" s="161">
        <f t="shared" si="2619"/>
        <v>0</v>
      </c>
      <c r="DN635" s="161">
        <f t="shared" si="2620"/>
        <v>0</v>
      </c>
      <c r="DO635" s="161">
        <f t="shared" si="2621"/>
        <v>0</v>
      </c>
      <c r="DP635" s="161">
        <f t="shared" si="2622"/>
        <v>0</v>
      </c>
      <c r="DQ635" s="161">
        <f t="shared" si="2623"/>
        <v>0</v>
      </c>
      <c r="DR635" s="161">
        <f t="shared" si="2624"/>
        <v>0</v>
      </c>
      <c r="DS635" s="161">
        <f t="shared" si="2625"/>
        <v>0</v>
      </c>
      <c r="DT635" s="161">
        <f t="shared" si="2626"/>
        <v>0</v>
      </c>
      <c r="DU635" s="161">
        <f t="shared" si="2627"/>
        <v>0</v>
      </c>
      <c r="DV635" s="161">
        <f t="shared" si="2628"/>
        <v>0</v>
      </c>
      <c r="DW635" s="161">
        <f t="shared" si="2629"/>
        <v>0</v>
      </c>
      <c r="DX635" s="161">
        <f t="shared" si="2630"/>
        <v>0</v>
      </c>
      <c r="DY635" s="161">
        <f t="shared" si="2631"/>
        <v>0</v>
      </c>
      <c r="DZ635" s="161">
        <f t="shared" si="2632"/>
        <v>0</v>
      </c>
      <c r="EA635" s="161">
        <f t="shared" si="2633"/>
        <v>0</v>
      </c>
      <c r="EB635" s="161">
        <f t="shared" si="2634"/>
        <v>0</v>
      </c>
      <c r="EC635" s="161">
        <f t="shared" si="2635"/>
        <v>0</v>
      </c>
      <c r="ED635" s="161">
        <f t="shared" si="2636"/>
        <v>0</v>
      </c>
      <c r="EE635" s="161">
        <f t="shared" si="2637"/>
        <v>0</v>
      </c>
      <c r="EF635" s="161">
        <f t="shared" si="2638"/>
        <v>0</v>
      </c>
      <c r="EG635" s="161">
        <f t="shared" si="2639"/>
        <v>0</v>
      </c>
      <c r="EH635" s="161">
        <f t="shared" si="2640"/>
        <v>0</v>
      </c>
      <c r="EI635" s="161">
        <f t="shared" si="2641"/>
        <v>0</v>
      </c>
      <c r="EJ635" s="65"/>
      <c r="EK635" s="161">
        <f t="shared" si="2712"/>
        <v>0</v>
      </c>
      <c r="EL635" s="161">
        <f t="shared" si="2713"/>
        <v>0</v>
      </c>
      <c r="EM635" s="161">
        <f t="shared" si="2714"/>
        <v>0</v>
      </c>
    </row>
    <row r="636" spans="1:143" ht="12" hidden="1" customHeight="1" outlineLevel="2">
      <c r="A636" s="77">
        <v>16</v>
      </c>
      <c r="B636" s="137" t="str">
        <f t="shared" si="2642"/>
        <v>AUX TEC - Equipe_01</v>
      </c>
      <c r="C636" s="65"/>
      <c r="D636" s="622"/>
      <c r="E636" s="65"/>
      <c r="F636" s="603"/>
      <c r="G636" s="77" t="str">
        <f>IF(INDEX(Tarefas!$BT$30:$FK$30,MATCH(A636,Tarefas!$BT$28:$FK$28,0))=0,"",INDEX(Tarefas!$BT$30:$FK$30,MATCH(A636,Tarefas!$BT$28:$FK$28,0)))</f>
        <v>AUX TEC</v>
      </c>
      <c r="H636" s="107" cm="1">
        <f t="array" ref="H636">IFERROR((SUMPRODUCT((Tarefas!$N$32:$N$54='Cronog. e Histog.'!$F$621)*(Tarefas!$BQ$30:$FK$30='Cronog. e Histog.'!$G636)*(Tarefas!$BQ$32:$FK$54)))/SUMIF(Tarefas!$N$32:$N$54,'Cronog. e Histog.'!$F$621,Tarefas!$K$32:$K$54),0)</f>
        <v>0</v>
      </c>
      <c r="I636" s="79">
        <f t="shared" si="2643"/>
        <v>0</v>
      </c>
      <c r="J636" s="65"/>
      <c r="K636" s="160">
        <f t="shared" si="2715"/>
        <v>0</v>
      </c>
      <c r="L636" s="160">
        <f t="shared" si="2716"/>
        <v>0</v>
      </c>
      <c r="M636" s="160">
        <f t="shared" si="2716"/>
        <v>0</v>
      </c>
      <c r="N636" s="160">
        <f t="shared" si="2716"/>
        <v>0</v>
      </c>
      <c r="O636" s="160">
        <f t="shared" si="2716"/>
        <v>0</v>
      </c>
      <c r="P636" s="160">
        <f t="shared" si="2716"/>
        <v>0</v>
      </c>
      <c r="Q636" s="160">
        <f t="shared" si="2716"/>
        <v>0</v>
      </c>
      <c r="R636" s="160">
        <f t="shared" si="2716"/>
        <v>0</v>
      </c>
      <c r="S636" s="160">
        <f t="shared" si="2716"/>
        <v>0</v>
      </c>
      <c r="T636" s="160">
        <f t="shared" si="2716"/>
        <v>0</v>
      </c>
      <c r="U636" s="160">
        <f t="shared" si="2716"/>
        <v>0</v>
      </c>
      <c r="V636" s="160">
        <f t="shared" si="2716"/>
        <v>0</v>
      </c>
      <c r="W636" s="160">
        <f t="shared" si="2716"/>
        <v>0</v>
      </c>
      <c r="X636" s="160">
        <f t="shared" si="2716"/>
        <v>0</v>
      </c>
      <c r="Y636" s="160">
        <f t="shared" si="2716"/>
        <v>0</v>
      </c>
      <c r="Z636" s="160">
        <f t="shared" si="2716"/>
        <v>0</v>
      </c>
      <c r="AA636" s="160">
        <f t="shared" si="2716"/>
        <v>0</v>
      </c>
      <c r="AB636" s="160">
        <f t="shared" si="2716"/>
        <v>0</v>
      </c>
      <c r="AC636" s="160">
        <f t="shared" si="2716"/>
        <v>0</v>
      </c>
      <c r="AD636" s="160">
        <f t="shared" si="2716"/>
        <v>0</v>
      </c>
      <c r="AE636" s="160">
        <f t="shared" si="2716"/>
        <v>0</v>
      </c>
      <c r="AF636" s="160">
        <f t="shared" si="2716"/>
        <v>0</v>
      </c>
      <c r="AG636" s="160">
        <f t="shared" si="2716"/>
        <v>0</v>
      </c>
      <c r="AH636" s="160">
        <f t="shared" si="2716"/>
        <v>0</v>
      </c>
      <c r="AI636" s="160">
        <f t="shared" si="2716"/>
        <v>0</v>
      </c>
      <c r="AJ636" s="160">
        <f t="shared" si="2716"/>
        <v>0</v>
      </c>
      <c r="AK636" s="160">
        <f t="shared" si="2716"/>
        <v>0</v>
      </c>
      <c r="AL636" s="160">
        <f t="shared" si="2716"/>
        <v>0</v>
      </c>
      <c r="AM636" s="160">
        <f t="shared" si="2716"/>
        <v>0</v>
      </c>
      <c r="AN636" s="160">
        <f t="shared" si="2716"/>
        <v>0</v>
      </c>
      <c r="AO636" s="160">
        <f t="shared" si="2716"/>
        <v>0</v>
      </c>
      <c r="AP636" s="160">
        <f t="shared" si="2716"/>
        <v>0</v>
      </c>
      <c r="AQ636" s="160">
        <f t="shared" si="2716"/>
        <v>0</v>
      </c>
      <c r="AR636" s="160">
        <f t="shared" si="2716"/>
        <v>0</v>
      </c>
      <c r="AS636" s="160">
        <f t="shared" si="2716"/>
        <v>0</v>
      </c>
      <c r="AT636" s="160">
        <f t="shared" si="2716"/>
        <v>0</v>
      </c>
      <c r="AU636" s="160">
        <f t="shared" si="2716"/>
        <v>0</v>
      </c>
      <c r="AV636" s="160">
        <f t="shared" si="2716"/>
        <v>0</v>
      </c>
      <c r="AW636" s="160">
        <f t="shared" si="2716"/>
        <v>0</v>
      </c>
      <c r="AX636" s="160">
        <f t="shared" si="2716"/>
        <v>0</v>
      </c>
      <c r="AY636" s="160">
        <f t="shared" si="2716"/>
        <v>0</v>
      </c>
      <c r="AZ636" s="160">
        <f t="shared" si="2716"/>
        <v>0</v>
      </c>
      <c r="BA636" s="160">
        <f t="shared" si="2716"/>
        <v>0</v>
      </c>
      <c r="BB636" s="160">
        <f t="shared" si="2716"/>
        <v>0</v>
      </c>
      <c r="BC636" s="160">
        <f t="shared" si="2716"/>
        <v>0</v>
      </c>
      <c r="BD636" s="160">
        <f t="shared" si="2716"/>
        <v>0</v>
      </c>
      <c r="BE636" s="160">
        <f t="shared" si="2716"/>
        <v>0</v>
      </c>
      <c r="BF636" s="160">
        <f t="shared" si="2716"/>
        <v>0</v>
      </c>
      <c r="BG636" s="160">
        <f t="shared" si="2716"/>
        <v>0</v>
      </c>
      <c r="BH636" s="160">
        <f t="shared" si="2716"/>
        <v>0</v>
      </c>
      <c r="BI636" s="160">
        <f t="shared" si="2716"/>
        <v>0</v>
      </c>
      <c r="BJ636" s="160">
        <f t="shared" si="2716"/>
        <v>0</v>
      </c>
      <c r="BK636" s="160">
        <f t="shared" si="2716"/>
        <v>0</v>
      </c>
      <c r="BL636" s="160">
        <f t="shared" si="2716"/>
        <v>0</v>
      </c>
      <c r="BM636" s="160">
        <f t="shared" si="2716"/>
        <v>0</v>
      </c>
      <c r="BN636" s="160">
        <f t="shared" si="2716"/>
        <v>0</v>
      </c>
      <c r="BO636" s="160">
        <f t="shared" si="2716"/>
        <v>0</v>
      </c>
      <c r="BP636" s="160">
        <f t="shared" si="2716"/>
        <v>0</v>
      </c>
      <c r="BQ636" s="160">
        <f t="shared" si="2716"/>
        <v>0</v>
      </c>
      <c r="BR636" s="160">
        <f t="shared" si="2716"/>
        <v>0</v>
      </c>
      <c r="BS636" s="65"/>
      <c r="BT636" s="160">
        <f t="shared" si="2578"/>
        <v>0</v>
      </c>
      <c r="BU636" s="160">
        <f t="shared" si="2579"/>
        <v>0</v>
      </c>
      <c r="BV636" s="65"/>
      <c r="BW636" s="69"/>
      <c r="BX636" s="65"/>
      <c r="BY636" s="137">
        <f t="shared" si="2580"/>
        <v>1</v>
      </c>
      <c r="BZ636" s="137">
        <f>IF(BY636&gt;0,BY636+LARGE($BZ$213:BZ635,1),0)</f>
        <v>356</v>
      </c>
      <c r="CA636" s="137" t="str">
        <f t="shared" si="2581"/>
        <v>AUX TEC</v>
      </c>
      <c r="CB636" s="161">
        <f t="shared" si="2582"/>
        <v>0</v>
      </c>
      <c r="CC636" s="161">
        <f t="shared" si="2583"/>
        <v>0</v>
      </c>
      <c r="CD636" s="161">
        <f t="shared" si="2584"/>
        <v>0</v>
      </c>
      <c r="CE636" s="161">
        <f t="shared" si="2585"/>
        <v>0</v>
      </c>
      <c r="CF636" s="161">
        <f t="shared" si="2586"/>
        <v>0</v>
      </c>
      <c r="CG636" s="161">
        <f t="shared" si="2587"/>
        <v>0</v>
      </c>
      <c r="CH636" s="161">
        <f t="shared" si="2588"/>
        <v>0</v>
      </c>
      <c r="CI636" s="161">
        <f t="shared" si="2589"/>
        <v>0</v>
      </c>
      <c r="CJ636" s="161">
        <f t="shared" si="2590"/>
        <v>0</v>
      </c>
      <c r="CK636" s="161">
        <f t="shared" si="2591"/>
        <v>0</v>
      </c>
      <c r="CL636" s="161">
        <f t="shared" si="2592"/>
        <v>0</v>
      </c>
      <c r="CM636" s="161">
        <f t="shared" si="2593"/>
        <v>0</v>
      </c>
      <c r="CN636" s="161">
        <f t="shared" si="2594"/>
        <v>0</v>
      </c>
      <c r="CO636" s="161">
        <f t="shared" si="2595"/>
        <v>0</v>
      </c>
      <c r="CP636" s="161">
        <f t="shared" si="2596"/>
        <v>0</v>
      </c>
      <c r="CQ636" s="161">
        <f t="shared" si="2597"/>
        <v>0</v>
      </c>
      <c r="CR636" s="161">
        <f t="shared" si="2598"/>
        <v>0</v>
      </c>
      <c r="CS636" s="161">
        <f t="shared" si="2599"/>
        <v>0</v>
      </c>
      <c r="CT636" s="161">
        <f t="shared" si="2600"/>
        <v>0</v>
      </c>
      <c r="CU636" s="161">
        <f t="shared" si="2601"/>
        <v>0</v>
      </c>
      <c r="CV636" s="161">
        <f t="shared" si="2602"/>
        <v>0</v>
      </c>
      <c r="CW636" s="161">
        <f t="shared" si="2603"/>
        <v>0</v>
      </c>
      <c r="CX636" s="161">
        <f t="shared" si="2604"/>
        <v>0</v>
      </c>
      <c r="CY636" s="161">
        <f t="shared" si="2605"/>
        <v>0</v>
      </c>
      <c r="CZ636" s="161">
        <f t="shared" si="2606"/>
        <v>0</v>
      </c>
      <c r="DA636" s="161">
        <f t="shared" si="2607"/>
        <v>0</v>
      </c>
      <c r="DB636" s="161">
        <f t="shared" si="2608"/>
        <v>0</v>
      </c>
      <c r="DC636" s="161">
        <f t="shared" si="2609"/>
        <v>0</v>
      </c>
      <c r="DD636" s="161">
        <f t="shared" si="2610"/>
        <v>0</v>
      </c>
      <c r="DE636" s="161">
        <f t="shared" si="2611"/>
        <v>0</v>
      </c>
      <c r="DF636" s="161">
        <f t="shared" si="2612"/>
        <v>0</v>
      </c>
      <c r="DG636" s="161">
        <f t="shared" si="2613"/>
        <v>0</v>
      </c>
      <c r="DH636" s="161">
        <f t="shared" si="2614"/>
        <v>0</v>
      </c>
      <c r="DI636" s="161">
        <f t="shared" si="2615"/>
        <v>0</v>
      </c>
      <c r="DJ636" s="161">
        <f t="shared" si="2616"/>
        <v>0</v>
      </c>
      <c r="DK636" s="161">
        <f t="shared" si="2617"/>
        <v>0</v>
      </c>
      <c r="DL636" s="161">
        <f t="shared" si="2618"/>
        <v>0</v>
      </c>
      <c r="DM636" s="161">
        <f t="shared" si="2619"/>
        <v>0</v>
      </c>
      <c r="DN636" s="161">
        <f t="shared" si="2620"/>
        <v>0</v>
      </c>
      <c r="DO636" s="161">
        <f t="shared" si="2621"/>
        <v>0</v>
      </c>
      <c r="DP636" s="161">
        <f t="shared" si="2622"/>
        <v>0</v>
      </c>
      <c r="DQ636" s="161">
        <f t="shared" si="2623"/>
        <v>0</v>
      </c>
      <c r="DR636" s="161">
        <f t="shared" si="2624"/>
        <v>0</v>
      </c>
      <c r="DS636" s="161">
        <f t="shared" si="2625"/>
        <v>0</v>
      </c>
      <c r="DT636" s="161">
        <f t="shared" si="2626"/>
        <v>0</v>
      </c>
      <c r="DU636" s="161">
        <f t="shared" si="2627"/>
        <v>0</v>
      </c>
      <c r="DV636" s="161">
        <f t="shared" si="2628"/>
        <v>0</v>
      </c>
      <c r="DW636" s="161">
        <f t="shared" si="2629"/>
        <v>0</v>
      </c>
      <c r="DX636" s="161">
        <f t="shared" si="2630"/>
        <v>0</v>
      </c>
      <c r="DY636" s="161">
        <f t="shared" si="2631"/>
        <v>0</v>
      </c>
      <c r="DZ636" s="161">
        <f t="shared" si="2632"/>
        <v>0</v>
      </c>
      <c r="EA636" s="161">
        <f t="shared" si="2633"/>
        <v>0</v>
      </c>
      <c r="EB636" s="161">
        <f t="shared" si="2634"/>
        <v>0</v>
      </c>
      <c r="EC636" s="161">
        <f t="shared" si="2635"/>
        <v>0</v>
      </c>
      <c r="ED636" s="161">
        <f t="shared" si="2636"/>
        <v>0</v>
      </c>
      <c r="EE636" s="161">
        <f t="shared" si="2637"/>
        <v>0</v>
      </c>
      <c r="EF636" s="161">
        <f t="shared" si="2638"/>
        <v>0</v>
      </c>
      <c r="EG636" s="161">
        <f t="shared" si="2639"/>
        <v>0</v>
      </c>
      <c r="EH636" s="161">
        <f t="shared" si="2640"/>
        <v>0</v>
      </c>
      <c r="EI636" s="161">
        <f t="shared" si="2641"/>
        <v>0</v>
      </c>
      <c r="EJ636" s="65"/>
      <c r="EK636" s="161">
        <f t="shared" si="2712"/>
        <v>0</v>
      </c>
      <c r="EL636" s="161">
        <f t="shared" si="2713"/>
        <v>0</v>
      </c>
      <c r="EM636" s="161">
        <f t="shared" si="2714"/>
        <v>0</v>
      </c>
    </row>
    <row r="637" spans="1:143" ht="12" hidden="1" customHeight="1" outlineLevel="2">
      <c r="A637" s="77">
        <v>17</v>
      </c>
      <c r="B637" s="137" t="str">
        <f t="shared" si="2642"/>
        <v>AUX ADM - Equipe_01</v>
      </c>
      <c r="C637" s="65"/>
      <c r="D637" s="622"/>
      <c r="E637" s="65"/>
      <c r="F637" s="603"/>
      <c r="G637" s="77" t="str">
        <f>IF(INDEX(Tarefas!$BT$30:$FK$30,MATCH(A637,Tarefas!$BT$28:$FK$28,0))=0,"",INDEX(Tarefas!$BT$30:$FK$30,MATCH(A637,Tarefas!$BT$28:$FK$28,0)))</f>
        <v>AUX ADM</v>
      </c>
      <c r="H637" s="107" cm="1">
        <f t="array" ref="H637">IFERROR((SUMPRODUCT((Tarefas!$N$32:$N$54='Cronog. e Histog.'!$F$621)*(Tarefas!$BQ$30:$FK$30='Cronog. e Histog.'!$G637)*(Tarefas!$BQ$32:$FK$54)))/SUMIF(Tarefas!$N$32:$N$54,'Cronog. e Histog.'!$F$621,Tarefas!$K$32:$K$54),0)</f>
        <v>0</v>
      </c>
      <c r="I637" s="79">
        <f t="shared" si="2643"/>
        <v>0</v>
      </c>
      <c r="J637" s="65"/>
      <c r="K637" s="160">
        <f t="shared" si="2715"/>
        <v>0</v>
      </c>
      <c r="L637" s="160">
        <f t="shared" si="2716"/>
        <v>0</v>
      </c>
      <c r="M637" s="160">
        <f t="shared" si="2716"/>
        <v>0</v>
      </c>
      <c r="N637" s="160">
        <f t="shared" si="2716"/>
        <v>0</v>
      </c>
      <c r="O637" s="160">
        <f t="shared" si="2716"/>
        <v>0</v>
      </c>
      <c r="P637" s="160">
        <f t="shared" si="2716"/>
        <v>0</v>
      </c>
      <c r="Q637" s="160">
        <f t="shared" si="2716"/>
        <v>0</v>
      </c>
      <c r="R637" s="160">
        <f t="shared" si="2716"/>
        <v>0</v>
      </c>
      <c r="S637" s="160">
        <f t="shared" si="2716"/>
        <v>0</v>
      </c>
      <c r="T637" s="160">
        <f t="shared" si="2716"/>
        <v>0</v>
      </c>
      <c r="U637" s="160">
        <f t="shared" si="2716"/>
        <v>0</v>
      </c>
      <c r="V637" s="160">
        <f t="shared" si="2716"/>
        <v>0</v>
      </c>
      <c r="W637" s="160">
        <f t="shared" si="2716"/>
        <v>0</v>
      </c>
      <c r="X637" s="160">
        <f t="shared" si="2716"/>
        <v>0</v>
      </c>
      <c r="Y637" s="160">
        <f t="shared" si="2716"/>
        <v>0</v>
      </c>
      <c r="Z637" s="160">
        <f t="shared" si="2716"/>
        <v>0</v>
      </c>
      <c r="AA637" s="160">
        <f t="shared" si="2716"/>
        <v>0</v>
      </c>
      <c r="AB637" s="160">
        <f t="shared" si="2716"/>
        <v>0</v>
      </c>
      <c r="AC637" s="160">
        <f t="shared" si="2716"/>
        <v>0</v>
      </c>
      <c r="AD637" s="160">
        <f t="shared" si="2716"/>
        <v>0</v>
      </c>
      <c r="AE637" s="160">
        <f t="shared" si="2716"/>
        <v>0</v>
      </c>
      <c r="AF637" s="160">
        <f t="shared" si="2716"/>
        <v>0</v>
      </c>
      <c r="AG637" s="160">
        <f t="shared" si="2716"/>
        <v>0</v>
      </c>
      <c r="AH637" s="160">
        <f t="shared" si="2716"/>
        <v>0</v>
      </c>
      <c r="AI637" s="160">
        <f t="shared" si="2716"/>
        <v>0</v>
      </c>
      <c r="AJ637" s="160">
        <f t="shared" si="2716"/>
        <v>0</v>
      </c>
      <c r="AK637" s="160">
        <f t="shared" si="2716"/>
        <v>0</v>
      </c>
      <c r="AL637" s="160">
        <f t="shared" si="2716"/>
        <v>0</v>
      </c>
      <c r="AM637" s="160">
        <f t="shared" si="2716"/>
        <v>0</v>
      </c>
      <c r="AN637" s="160">
        <f t="shared" si="2716"/>
        <v>0</v>
      </c>
      <c r="AO637" s="160">
        <f t="shared" si="2716"/>
        <v>0</v>
      </c>
      <c r="AP637" s="160">
        <f t="shared" si="2716"/>
        <v>0</v>
      </c>
      <c r="AQ637" s="160">
        <f t="shared" si="2716"/>
        <v>0</v>
      </c>
      <c r="AR637" s="160">
        <f t="shared" si="2716"/>
        <v>0</v>
      </c>
      <c r="AS637" s="160">
        <f t="shared" si="2716"/>
        <v>0</v>
      </c>
      <c r="AT637" s="160">
        <f t="shared" si="2716"/>
        <v>0</v>
      </c>
      <c r="AU637" s="160">
        <f t="shared" si="2716"/>
        <v>0</v>
      </c>
      <c r="AV637" s="160">
        <f t="shared" si="2716"/>
        <v>0</v>
      </c>
      <c r="AW637" s="160">
        <f t="shared" si="2716"/>
        <v>0</v>
      </c>
      <c r="AX637" s="160">
        <f t="shared" si="2716"/>
        <v>0</v>
      </c>
      <c r="AY637" s="160">
        <f t="shared" si="2716"/>
        <v>0</v>
      </c>
      <c r="AZ637" s="160">
        <f t="shared" si="2716"/>
        <v>0</v>
      </c>
      <c r="BA637" s="160">
        <f t="shared" si="2716"/>
        <v>0</v>
      </c>
      <c r="BB637" s="160">
        <f t="shared" si="2716"/>
        <v>0</v>
      </c>
      <c r="BC637" s="160">
        <f t="shared" si="2716"/>
        <v>0</v>
      </c>
      <c r="BD637" s="160">
        <f t="shared" si="2716"/>
        <v>0</v>
      </c>
      <c r="BE637" s="160">
        <f t="shared" si="2716"/>
        <v>0</v>
      </c>
      <c r="BF637" s="160">
        <f t="shared" si="2716"/>
        <v>0</v>
      </c>
      <c r="BG637" s="160">
        <f t="shared" si="2716"/>
        <v>0</v>
      </c>
      <c r="BH637" s="160">
        <f t="shared" si="2716"/>
        <v>0</v>
      </c>
      <c r="BI637" s="160">
        <f t="shared" si="2716"/>
        <v>0</v>
      </c>
      <c r="BJ637" s="160">
        <f t="shared" si="2716"/>
        <v>0</v>
      </c>
      <c r="BK637" s="160">
        <f t="shared" si="2716"/>
        <v>0</v>
      </c>
      <c r="BL637" s="160">
        <f t="shared" si="2716"/>
        <v>0</v>
      </c>
      <c r="BM637" s="160">
        <f t="shared" si="2716"/>
        <v>0</v>
      </c>
      <c r="BN637" s="160">
        <f t="shared" si="2716"/>
        <v>0</v>
      </c>
      <c r="BO637" s="160">
        <f t="shared" si="2716"/>
        <v>0</v>
      </c>
      <c r="BP637" s="160">
        <f t="shared" si="2716"/>
        <v>0</v>
      </c>
      <c r="BQ637" s="160">
        <f t="shared" si="2716"/>
        <v>0</v>
      </c>
      <c r="BR637" s="160">
        <f t="shared" si="2716"/>
        <v>0</v>
      </c>
      <c r="BS637" s="65"/>
      <c r="BT637" s="160">
        <f t="shared" si="2578"/>
        <v>0</v>
      </c>
      <c r="BU637" s="160">
        <f t="shared" si="2579"/>
        <v>0</v>
      </c>
      <c r="BV637" s="65"/>
      <c r="BW637" s="69"/>
      <c r="BX637" s="65"/>
      <c r="BY637" s="137">
        <f t="shared" si="2580"/>
        <v>1</v>
      </c>
      <c r="BZ637" s="137">
        <f>IF(BY637&gt;0,BY637+LARGE($BZ$213:BZ636,1),0)</f>
        <v>357</v>
      </c>
      <c r="CA637" s="137" t="str">
        <f t="shared" si="2581"/>
        <v>AUX ADM</v>
      </c>
      <c r="CB637" s="161">
        <f t="shared" si="2582"/>
        <v>0</v>
      </c>
      <c r="CC637" s="161">
        <f t="shared" si="2583"/>
        <v>0</v>
      </c>
      <c r="CD637" s="161">
        <f t="shared" si="2584"/>
        <v>0</v>
      </c>
      <c r="CE637" s="161">
        <f t="shared" si="2585"/>
        <v>0</v>
      </c>
      <c r="CF637" s="161">
        <f t="shared" si="2586"/>
        <v>0</v>
      </c>
      <c r="CG637" s="161">
        <f t="shared" si="2587"/>
        <v>0</v>
      </c>
      <c r="CH637" s="161">
        <f t="shared" si="2588"/>
        <v>0</v>
      </c>
      <c r="CI637" s="161">
        <f t="shared" si="2589"/>
        <v>0</v>
      </c>
      <c r="CJ637" s="161">
        <f t="shared" si="2590"/>
        <v>0</v>
      </c>
      <c r="CK637" s="161">
        <f t="shared" si="2591"/>
        <v>0</v>
      </c>
      <c r="CL637" s="161">
        <f t="shared" si="2592"/>
        <v>0</v>
      </c>
      <c r="CM637" s="161">
        <f t="shared" si="2593"/>
        <v>0</v>
      </c>
      <c r="CN637" s="161">
        <f t="shared" si="2594"/>
        <v>0</v>
      </c>
      <c r="CO637" s="161">
        <f t="shared" si="2595"/>
        <v>0</v>
      </c>
      <c r="CP637" s="161">
        <f t="shared" si="2596"/>
        <v>0</v>
      </c>
      <c r="CQ637" s="161">
        <f t="shared" si="2597"/>
        <v>0</v>
      </c>
      <c r="CR637" s="161">
        <f t="shared" si="2598"/>
        <v>0</v>
      </c>
      <c r="CS637" s="161">
        <f t="shared" si="2599"/>
        <v>0</v>
      </c>
      <c r="CT637" s="161">
        <f t="shared" si="2600"/>
        <v>0</v>
      </c>
      <c r="CU637" s="161">
        <f t="shared" si="2601"/>
        <v>0</v>
      </c>
      <c r="CV637" s="161">
        <f t="shared" si="2602"/>
        <v>0</v>
      </c>
      <c r="CW637" s="161">
        <f t="shared" si="2603"/>
        <v>0</v>
      </c>
      <c r="CX637" s="161">
        <f t="shared" si="2604"/>
        <v>0</v>
      </c>
      <c r="CY637" s="161">
        <f t="shared" si="2605"/>
        <v>0</v>
      </c>
      <c r="CZ637" s="161">
        <f t="shared" si="2606"/>
        <v>0</v>
      </c>
      <c r="DA637" s="161">
        <f t="shared" si="2607"/>
        <v>0</v>
      </c>
      <c r="DB637" s="161">
        <f t="shared" si="2608"/>
        <v>0</v>
      </c>
      <c r="DC637" s="161">
        <f t="shared" si="2609"/>
        <v>0</v>
      </c>
      <c r="DD637" s="161">
        <f t="shared" si="2610"/>
        <v>0</v>
      </c>
      <c r="DE637" s="161">
        <f t="shared" si="2611"/>
        <v>0</v>
      </c>
      <c r="DF637" s="161">
        <f t="shared" si="2612"/>
        <v>0</v>
      </c>
      <c r="DG637" s="161">
        <f t="shared" si="2613"/>
        <v>0</v>
      </c>
      <c r="DH637" s="161">
        <f t="shared" si="2614"/>
        <v>0</v>
      </c>
      <c r="DI637" s="161">
        <f t="shared" si="2615"/>
        <v>0</v>
      </c>
      <c r="DJ637" s="161">
        <f t="shared" si="2616"/>
        <v>0</v>
      </c>
      <c r="DK637" s="161">
        <f t="shared" si="2617"/>
        <v>0</v>
      </c>
      <c r="DL637" s="161">
        <f t="shared" si="2618"/>
        <v>0</v>
      </c>
      <c r="DM637" s="161">
        <f t="shared" si="2619"/>
        <v>0</v>
      </c>
      <c r="DN637" s="161">
        <f t="shared" si="2620"/>
        <v>0</v>
      </c>
      <c r="DO637" s="161">
        <f t="shared" si="2621"/>
        <v>0</v>
      </c>
      <c r="DP637" s="161">
        <f t="shared" si="2622"/>
        <v>0</v>
      </c>
      <c r="DQ637" s="161">
        <f t="shared" si="2623"/>
        <v>0</v>
      </c>
      <c r="DR637" s="161">
        <f t="shared" si="2624"/>
        <v>0</v>
      </c>
      <c r="DS637" s="161">
        <f t="shared" si="2625"/>
        <v>0</v>
      </c>
      <c r="DT637" s="161">
        <f t="shared" si="2626"/>
        <v>0</v>
      </c>
      <c r="DU637" s="161">
        <f t="shared" si="2627"/>
        <v>0</v>
      </c>
      <c r="DV637" s="161">
        <f t="shared" si="2628"/>
        <v>0</v>
      </c>
      <c r="DW637" s="161">
        <f t="shared" si="2629"/>
        <v>0</v>
      </c>
      <c r="DX637" s="161">
        <f t="shared" si="2630"/>
        <v>0</v>
      </c>
      <c r="DY637" s="161">
        <f t="shared" si="2631"/>
        <v>0</v>
      </c>
      <c r="DZ637" s="161">
        <f t="shared" si="2632"/>
        <v>0</v>
      </c>
      <c r="EA637" s="161">
        <f t="shared" si="2633"/>
        <v>0</v>
      </c>
      <c r="EB637" s="161">
        <f t="shared" si="2634"/>
        <v>0</v>
      </c>
      <c r="EC637" s="161">
        <f t="shared" si="2635"/>
        <v>0</v>
      </c>
      <c r="ED637" s="161">
        <f t="shared" si="2636"/>
        <v>0</v>
      </c>
      <c r="EE637" s="161">
        <f t="shared" si="2637"/>
        <v>0</v>
      </c>
      <c r="EF637" s="161">
        <f t="shared" si="2638"/>
        <v>0</v>
      </c>
      <c r="EG637" s="161">
        <f t="shared" si="2639"/>
        <v>0</v>
      </c>
      <c r="EH637" s="161">
        <f t="shared" si="2640"/>
        <v>0</v>
      </c>
      <c r="EI637" s="161">
        <f t="shared" si="2641"/>
        <v>0</v>
      </c>
      <c r="EJ637" s="65"/>
      <c r="EK637" s="161">
        <f t="shared" si="2712"/>
        <v>0</v>
      </c>
      <c r="EL637" s="161">
        <f t="shared" si="2713"/>
        <v>0</v>
      </c>
      <c r="EM637" s="161">
        <f t="shared" si="2714"/>
        <v>0</v>
      </c>
    </row>
    <row r="638" spans="1:143" ht="12" hidden="1" customHeight="1" outlineLevel="2">
      <c r="A638" s="77">
        <v>18</v>
      </c>
      <c r="B638" s="137" t="str">
        <f t="shared" si="2642"/>
        <v>EST - Equipe_01</v>
      </c>
      <c r="C638" s="65"/>
      <c r="D638" s="622"/>
      <c r="E638" s="65"/>
      <c r="F638" s="603"/>
      <c r="G638" s="77" t="str">
        <f>IF(INDEX(Tarefas!$BT$30:$FK$30,MATCH(A638,Tarefas!$BT$28:$FK$28,0))=0,"",INDEX(Tarefas!$BT$30:$FK$30,MATCH(A638,Tarefas!$BT$28:$FK$28,0)))</f>
        <v>EST</v>
      </c>
      <c r="H638" s="107" cm="1">
        <f t="array" ref="H638">IFERROR((SUMPRODUCT((Tarefas!$N$32:$N$54='Cronog. e Histog.'!$F$621)*(Tarefas!$BQ$30:$FK$30='Cronog. e Histog.'!$G638)*(Tarefas!$BQ$32:$FK$54)))/SUMIF(Tarefas!$N$32:$N$54,'Cronog. e Histog.'!$F$621,Tarefas!$K$32:$K$54),0)</f>
        <v>0</v>
      </c>
      <c r="I638" s="79">
        <f t="shared" si="2643"/>
        <v>0</v>
      </c>
      <c r="J638" s="65"/>
      <c r="K638" s="160">
        <f t="shared" si="2715"/>
        <v>0</v>
      </c>
      <c r="L638" s="160">
        <f t="shared" si="2716"/>
        <v>0</v>
      </c>
      <c r="M638" s="160">
        <f t="shared" si="2716"/>
        <v>0</v>
      </c>
      <c r="N638" s="160">
        <f t="shared" si="2716"/>
        <v>0</v>
      </c>
      <c r="O638" s="160">
        <f t="shared" si="2716"/>
        <v>0</v>
      </c>
      <c r="P638" s="160">
        <f t="shared" si="2716"/>
        <v>0</v>
      </c>
      <c r="Q638" s="160">
        <f t="shared" si="2716"/>
        <v>0</v>
      </c>
      <c r="R638" s="160">
        <f t="shared" si="2716"/>
        <v>0</v>
      </c>
      <c r="S638" s="160">
        <f t="shared" si="2716"/>
        <v>0</v>
      </c>
      <c r="T638" s="160">
        <f t="shared" si="2716"/>
        <v>0</v>
      </c>
      <c r="U638" s="160">
        <f t="shared" si="2716"/>
        <v>0</v>
      </c>
      <c r="V638" s="160">
        <f t="shared" si="2716"/>
        <v>0</v>
      </c>
      <c r="W638" s="160">
        <f t="shared" si="2716"/>
        <v>0</v>
      </c>
      <c r="X638" s="160">
        <f t="shared" si="2716"/>
        <v>0</v>
      </c>
      <c r="Y638" s="160">
        <f t="shared" si="2716"/>
        <v>0</v>
      </c>
      <c r="Z638" s="160">
        <f t="shared" si="2716"/>
        <v>0</v>
      </c>
      <c r="AA638" s="160">
        <f t="shared" si="2716"/>
        <v>0</v>
      </c>
      <c r="AB638" s="160">
        <f t="shared" si="2716"/>
        <v>0</v>
      </c>
      <c r="AC638" s="160">
        <f t="shared" si="2716"/>
        <v>0</v>
      </c>
      <c r="AD638" s="160">
        <f t="shared" si="2716"/>
        <v>0</v>
      </c>
      <c r="AE638" s="160">
        <f t="shared" si="2716"/>
        <v>0</v>
      </c>
      <c r="AF638" s="160">
        <f t="shared" si="2716"/>
        <v>0</v>
      </c>
      <c r="AG638" s="160">
        <f t="shared" si="2716"/>
        <v>0</v>
      </c>
      <c r="AH638" s="160">
        <f t="shared" si="2716"/>
        <v>0</v>
      </c>
      <c r="AI638" s="160">
        <f t="shared" si="2716"/>
        <v>0</v>
      </c>
      <c r="AJ638" s="160">
        <f t="shared" si="2716"/>
        <v>0</v>
      </c>
      <c r="AK638" s="160">
        <f t="shared" si="2716"/>
        <v>0</v>
      </c>
      <c r="AL638" s="160">
        <f t="shared" si="2716"/>
        <v>0</v>
      </c>
      <c r="AM638" s="160">
        <f t="shared" si="2716"/>
        <v>0</v>
      </c>
      <c r="AN638" s="160">
        <f t="shared" si="2716"/>
        <v>0</v>
      </c>
      <c r="AO638" s="160">
        <f t="shared" si="2716"/>
        <v>0</v>
      </c>
      <c r="AP638" s="160">
        <f t="shared" si="2716"/>
        <v>0</v>
      </c>
      <c r="AQ638" s="160">
        <f t="shared" si="2716"/>
        <v>0</v>
      </c>
      <c r="AR638" s="160">
        <f t="shared" si="2716"/>
        <v>0</v>
      </c>
      <c r="AS638" s="160">
        <f t="shared" si="2716"/>
        <v>0</v>
      </c>
      <c r="AT638" s="160">
        <f t="shared" si="2716"/>
        <v>0</v>
      </c>
      <c r="AU638" s="160">
        <f t="shared" si="2716"/>
        <v>0</v>
      </c>
      <c r="AV638" s="160">
        <f t="shared" si="2716"/>
        <v>0</v>
      </c>
      <c r="AW638" s="160">
        <f t="shared" si="2716"/>
        <v>0</v>
      </c>
      <c r="AX638" s="160">
        <f t="shared" si="2716"/>
        <v>0</v>
      </c>
      <c r="AY638" s="160">
        <f t="shared" si="2716"/>
        <v>0</v>
      </c>
      <c r="AZ638" s="160">
        <f t="shared" si="2716"/>
        <v>0</v>
      </c>
      <c r="BA638" s="160">
        <f t="shared" si="2716"/>
        <v>0</v>
      </c>
      <c r="BB638" s="160">
        <f t="shared" si="2716"/>
        <v>0</v>
      </c>
      <c r="BC638" s="160">
        <f t="shared" si="2716"/>
        <v>0</v>
      </c>
      <c r="BD638" s="160">
        <f t="shared" si="2716"/>
        <v>0</v>
      </c>
      <c r="BE638" s="160">
        <f t="shared" si="2716"/>
        <v>0</v>
      </c>
      <c r="BF638" s="160">
        <f t="shared" si="2716"/>
        <v>0</v>
      </c>
      <c r="BG638" s="160">
        <f t="shared" si="2716"/>
        <v>0</v>
      </c>
      <c r="BH638" s="160">
        <f t="shared" si="2716"/>
        <v>0</v>
      </c>
      <c r="BI638" s="160">
        <f t="shared" si="2716"/>
        <v>0</v>
      </c>
      <c r="BJ638" s="160">
        <f t="shared" si="2716"/>
        <v>0</v>
      </c>
      <c r="BK638" s="160">
        <f t="shared" si="2716"/>
        <v>0</v>
      </c>
      <c r="BL638" s="160">
        <f t="shared" si="2716"/>
        <v>0</v>
      </c>
      <c r="BM638" s="160">
        <f t="shared" si="2716"/>
        <v>0</v>
      </c>
      <c r="BN638" s="160">
        <f t="shared" si="2716"/>
        <v>0</v>
      </c>
      <c r="BO638" s="160">
        <f t="shared" si="2716"/>
        <v>0</v>
      </c>
      <c r="BP638" s="160">
        <f t="shared" si="2716"/>
        <v>0</v>
      </c>
      <c r="BQ638" s="160">
        <f t="shared" si="2716"/>
        <v>0</v>
      </c>
      <c r="BR638" s="160">
        <f t="shared" si="2716"/>
        <v>0</v>
      </c>
      <c r="BS638" s="65"/>
      <c r="BT638" s="160">
        <f t="shared" si="2578"/>
        <v>0</v>
      </c>
      <c r="BU638" s="160">
        <f t="shared" si="2579"/>
        <v>0</v>
      </c>
      <c r="BV638" s="65"/>
      <c r="BW638" s="69"/>
      <c r="BX638" s="65"/>
      <c r="BY638" s="137">
        <f t="shared" si="2580"/>
        <v>1</v>
      </c>
      <c r="BZ638" s="137">
        <f>IF(BY638&gt;0,BY638+LARGE($BZ$213:BZ637,1),0)</f>
        <v>358</v>
      </c>
      <c r="CA638" s="137" t="str">
        <f t="shared" si="2581"/>
        <v>EST</v>
      </c>
      <c r="CB638" s="161">
        <f t="shared" si="2582"/>
        <v>0</v>
      </c>
      <c r="CC638" s="161">
        <f t="shared" si="2583"/>
        <v>0</v>
      </c>
      <c r="CD638" s="161">
        <f t="shared" si="2584"/>
        <v>0</v>
      </c>
      <c r="CE638" s="161">
        <f t="shared" si="2585"/>
        <v>0</v>
      </c>
      <c r="CF638" s="161">
        <f t="shared" si="2586"/>
        <v>0</v>
      </c>
      <c r="CG638" s="161">
        <f t="shared" si="2587"/>
        <v>0</v>
      </c>
      <c r="CH638" s="161">
        <f t="shared" si="2588"/>
        <v>0</v>
      </c>
      <c r="CI638" s="161">
        <f t="shared" si="2589"/>
        <v>0</v>
      </c>
      <c r="CJ638" s="161">
        <f t="shared" si="2590"/>
        <v>0</v>
      </c>
      <c r="CK638" s="161">
        <f t="shared" si="2591"/>
        <v>0</v>
      </c>
      <c r="CL638" s="161">
        <f t="shared" si="2592"/>
        <v>0</v>
      </c>
      <c r="CM638" s="161">
        <f t="shared" si="2593"/>
        <v>0</v>
      </c>
      <c r="CN638" s="161">
        <f t="shared" si="2594"/>
        <v>0</v>
      </c>
      <c r="CO638" s="161">
        <f t="shared" si="2595"/>
        <v>0</v>
      </c>
      <c r="CP638" s="161">
        <f t="shared" si="2596"/>
        <v>0</v>
      </c>
      <c r="CQ638" s="161">
        <f t="shared" si="2597"/>
        <v>0</v>
      </c>
      <c r="CR638" s="161">
        <f t="shared" si="2598"/>
        <v>0</v>
      </c>
      <c r="CS638" s="161">
        <f t="shared" si="2599"/>
        <v>0</v>
      </c>
      <c r="CT638" s="161">
        <f t="shared" si="2600"/>
        <v>0</v>
      </c>
      <c r="CU638" s="161">
        <f t="shared" si="2601"/>
        <v>0</v>
      </c>
      <c r="CV638" s="161">
        <f t="shared" si="2602"/>
        <v>0</v>
      </c>
      <c r="CW638" s="161">
        <f t="shared" si="2603"/>
        <v>0</v>
      </c>
      <c r="CX638" s="161">
        <f t="shared" si="2604"/>
        <v>0</v>
      </c>
      <c r="CY638" s="161">
        <f t="shared" si="2605"/>
        <v>0</v>
      </c>
      <c r="CZ638" s="161">
        <f t="shared" si="2606"/>
        <v>0</v>
      </c>
      <c r="DA638" s="161">
        <f t="shared" si="2607"/>
        <v>0</v>
      </c>
      <c r="DB638" s="161">
        <f t="shared" si="2608"/>
        <v>0</v>
      </c>
      <c r="DC638" s="161">
        <f t="shared" si="2609"/>
        <v>0</v>
      </c>
      <c r="DD638" s="161">
        <f t="shared" si="2610"/>
        <v>0</v>
      </c>
      <c r="DE638" s="161">
        <f t="shared" si="2611"/>
        <v>0</v>
      </c>
      <c r="DF638" s="161">
        <f t="shared" si="2612"/>
        <v>0</v>
      </c>
      <c r="DG638" s="161">
        <f t="shared" si="2613"/>
        <v>0</v>
      </c>
      <c r="DH638" s="161">
        <f t="shared" si="2614"/>
        <v>0</v>
      </c>
      <c r="DI638" s="161">
        <f t="shared" si="2615"/>
        <v>0</v>
      </c>
      <c r="DJ638" s="161">
        <f t="shared" si="2616"/>
        <v>0</v>
      </c>
      <c r="DK638" s="161">
        <f t="shared" si="2617"/>
        <v>0</v>
      </c>
      <c r="DL638" s="161">
        <f t="shared" si="2618"/>
        <v>0</v>
      </c>
      <c r="DM638" s="161">
        <f t="shared" si="2619"/>
        <v>0</v>
      </c>
      <c r="DN638" s="161">
        <f t="shared" si="2620"/>
        <v>0</v>
      </c>
      <c r="DO638" s="161">
        <f t="shared" si="2621"/>
        <v>0</v>
      </c>
      <c r="DP638" s="161">
        <f t="shared" si="2622"/>
        <v>0</v>
      </c>
      <c r="DQ638" s="161">
        <f t="shared" si="2623"/>
        <v>0</v>
      </c>
      <c r="DR638" s="161">
        <f t="shared" si="2624"/>
        <v>0</v>
      </c>
      <c r="DS638" s="161">
        <f t="shared" si="2625"/>
        <v>0</v>
      </c>
      <c r="DT638" s="161">
        <f t="shared" si="2626"/>
        <v>0</v>
      </c>
      <c r="DU638" s="161">
        <f t="shared" si="2627"/>
        <v>0</v>
      </c>
      <c r="DV638" s="161">
        <f t="shared" si="2628"/>
        <v>0</v>
      </c>
      <c r="DW638" s="161">
        <f t="shared" si="2629"/>
        <v>0</v>
      </c>
      <c r="DX638" s="161">
        <f t="shared" si="2630"/>
        <v>0</v>
      </c>
      <c r="DY638" s="161">
        <f t="shared" si="2631"/>
        <v>0</v>
      </c>
      <c r="DZ638" s="161">
        <f t="shared" si="2632"/>
        <v>0</v>
      </c>
      <c r="EA638" s="161">
        <f t="shared" si="2633"/>
        <v>0</v>
      </c>
      <c r="EB638" s="161">
        <f t="shared" si="2634"/>
        <v>0</v>
      </c>
      <c r="EC638" s="161">
        <f t="shared" si="2635"/>
        <v>0</v>
      </c>
      <c r="ED638" s="161">
        <f t="shared" si="2636"/>
        <v>0</v>
      </c>
      <c r="EE638" s="161">
        <f t="shared" si="2637"/>
        <v>0</v>
      </c>
      <c r="EF638" s="161">
        <f t="shared" si="2638"/>
        <v>0</v>
      </c>
      <c r="EG638" s="161">
        <f t="shared" si="2639"/>
        <v>0</v>
      </c>
      <c r="EH638" s="161">
        <f t="shared" si="2640"/>
        <v>0</v>
      </c>
      <c r="EI638" s="161">
        <f t="shared" si="2641"/>
        <v>0</v>
      </c>
      <c r="EJ638" s="65"/>
      <c r="EK638" s="161">
        <f t="shared" si="2712"/>
        <v>0</v>
      </c>
      <c r="EL638" s="161">
        <f t="shared" si="2713"/>
        <v>0</v>
      </c>
      <c r="EM638" s="161">
        <f t="shared" si="2714"/>
        <v>0</v>
      </c>
    </row>
    <row r="639" spans="1:143" ht="12" hidden="1" customHeight="1" outlineLevel="2">
      <c r="A639" s="77">
        <v>19</v>
      </c>
      <c r="B639" s="137" t="str">
        <f t="shared" si="2642"/>
        <v>EST_II - Equipe_01</v>
      </c>
      <c r="C639" s="65"/>
      <c r="D639" s="622"/>
      <c r="E639" s="65"/>
      <c r="F639" s="603"/>
      <c r="G639" s="77" t="str">
        <f>IF(INDEX(Tarefas!$BT$30:$FK$30,MATCH(A639,Tarefas!$BT$28:$FK$28,0))=0,"",INDEX(Tarefas!$BT$30:$FK$30,MATCH(A639,Tarefas!$BT$28:$FK$28,0)))</f>
        <v>EST_II</v>
      </c>
      <c r="H639" s="107" cm="1">
        <f t="array" ref="H639">IFERROR((SUMPRODUCT((Tarefas!$N$32:$N$54='Cronog. e Histog.'!$F$621)*(Tarefas!$BQ$30:$FK$30='Cronog. e Histog.'!$G639)*(Tarefas!$BQ$32:$FK$54)))/SUMIF(Tarefas!$N$32:$N$54,'Cronog. e Histog.'!$F$621,Tarefas!$K$32:$K$54),0)</f>
        <v>0</v>
      </c>
      <c r="I639" s="79">
        <f t="shared" si="2643"/>
        <v>0</v>
      </c>
      <c r="J639" s="65"/>
      <c r="K639" s="160">
        <f t="shared" si="2715"/>
        <v>0</v>
      </c>
      <c r="L639" s="160">
        <f t="shared" si="2716"/>
        <v>0</v>
      </c>
      <c r="M639" s="160">
        <f t="shared" si="2716"/>
        <v>0</v>
      </c>
      <c r="N639" s="160">
        <f t="shared" si="2716"/>
        <v>0</v>
      </c>
      <c r="O639" s="160">
        <f t="shared" si="2716"/>
        <v>0</v>
      </c>
      <c r="P639" s="160">
        <f t="shared" si="2716"/>
        <v>0</v>
      </c>
      <c r="Q639" s="160">
        <f t="shared" si="2716"/>
        <v>0</v>
      </c>
      <c r="R639" s="160">
        <f t="shared" si="2716"/>
        <v>0</v>
      </c>
      <c r="S639" s="160">
        <f t="shared" si="2716"/>
        <v>0</v>
      </c>
      <c r="T639" s="160">
        <f t="shared" si="2716"/>
        <v>0</v>
      </c>
      <c r="U639" s="160">
        <f t="shared" si="2716"/>
        <v>0</v>
      </c>
      <c r="V639" s="160">
        <f t="shared" si="2716"/>
        <v>0</v>
      </c>
      <c r="W639" s="160">
        <f t="shared" si="2716"/>
        <v>0</v>
      </c>
      <c r="X639" s="160">
        <f t="shared" si="2716"/>
        <v>0</v>
      </c>
      <c r="Y639" s="160">
        <f t="shared" si="2716"/>
        <v>0</v>
      </c>
      <c r="Z639" s="160">
        <f t="shared" si="2716"/>
        <v>0</v>
      </c>
      <c r="AA639" s="160">
        <f t="shared" si="2716"/>
        <v>0</v>
      </c>
      <c r="AB639" s="160">
        <f t="shared" si="2716"/>
        <v>0</v>
      </c>
      <c r="AC639" s="160">
        <f t="shared" si="2716"/>
        <v>0</v>
      </c>
      <c r="AD639" s="160">
        <f t="shared" si="2716"/>
        <v>0</v>
      </c>
      <c r="AE639" s="160">
        <f t="shared" si="2716"/>
        <v>0</v>
      </c>
      <c r="AF639" s="160">
        <f t="shared" si="2716"/>
        <v>0</v>
      </c>
      <c r="AG639" s="160">
        <f t="shared" si="2716"/>
        <v>0</v>
      </c>
      <c r="AH639" s="160">
        <f t="shared" si="2716"/>
        <v>0</v>
      </c>
      <c r="AI639" s="160">
        <f t="shared" si="2716"/>
        <v>0</v>
      </c>
      <c r="AJ639" s="160">
        <f t="shared" si="2716"/>
        <v>0</v>
      </c>
      <c r="AK639" s="160">
        <f t="shared" si="2716"/>
        <v>0</v>
      </c>
      <c r="AL639" s="160">
        <f t="shared" si="2716"/>
        <v>0</v>
      </c>
      <c r="AM639" s="160">
        <f t="shared" si="2716"/>
        <v>0</v>
      </c>
      <c r="AN639" s="160">
        <f t="shared" si="2716"/>
        <v>0</v>
      </c>
      <c r="AO639" s="160">
        <f t="shared" si="2716"/>
        <v>0</v>
      </c>
      <c r="AP639" s="160">
        <f t="shared" si="2716"/>
        <v>0</v>
      </c>
      <c r="AQ639" s="160">
        <f t="shared" si="2716"/>
        <v>0</v>
      </c>
      <c r="AR639" s="160">
        <f t="shared" si="2716"/>
        <v>0</v>
      </c>
      <c r="AS639" s="160">
        <f t="shared" si="2716"/>
        <v>0</v>
      </c>
      <c r="AT639" s="160">
        <f t="shared" si="2716"/>
        <v>0</v>
      </c>
      <c r="AU639" s="160">
        <f t="shared" si="2716"/>
        <v>0</v>
      </c>
      <c r="AV639" s="160">
        <f t="shared" si="2716"/>
        <v>0</v>
      </c>
      <c r="AW639" s="160">
        <f t="shared" si="2716"/>
        <v>0</v>
      </c>
      <c r="AX639" s="160">
        <f t="shared" si="2716"/>
        <v>0</v>
      </c>
      <c r="AY639" s="160">
        <f t="shared" si="2716"/>
        <v>0</v>
      </c>
      <c r="AZ639" s="160">
        <f t="shared" si="2716"/>
        <v>0</v>
      </c>
      <c r="BA639" s="160">
        <f t="shared" si="2716"/>
        <v>0</v>
      </c>
      <c r="BB639" s="160">
        <f t="shared" si="2716"/>
        <v>0</v>
      </c>
      <c r="BC639" s="160">
        <f t="shared" si="2716"/>
        <v>0</v>
      </c>
      <c r="BD639" s="160">
        <f t="shared" si="2716"/>
        <v>0</v>
      </c>
      <c r="BE639" s="160">
        <f t="shared" si="2716"/>
        <v>0</v>
      </c>
      <c r="BF639" s="160">
        <f t="shared" si="2716"/>
        <v>0</v>
      </c>
      <c r="BG639" s="160">
        <f t="shared" si="2716"/>
        <v>0</v>
      </c>
      <c r="BH639" s="160">
        <f t="shared" si="2716"/>
        <v>0</v>
      </c>
      <c r="BI639" s="160">
        <f t="shared" si="2716"/>
        <v>0</v>
      </c>
      <c r="BJ639" s="160">
        <f t="shared" si="2716"/>
        <v>0</v>
      </c>
      <c r="BK639" s="160">
        <f t="shared" si="2716"/>
        <v>0</v>
      </c>
      <c r="BL639" s="160">
        <f t="shared" si="2716"/>
        <v>0</v>
      </c>
      <c r="BM639" s="160">
        <f t="shared" ref="L639:BR640" si="2717">ROUND($I639*BM$200,2)</f>
        <v>0</v>
      </c>
      <c r="BN639" s="160">
        <f t="shared" si="2717"/>
        <v>0</v>
      </c>
      <c r="BO639" s="160">
        <f t="shared" si="2717"/>
        <v>0</v>
      </c>
      <c r="BP639" s="160">
        <f t="shared" si="2717"/>
        <v>0</v>
      </c>
      <c r="BQ639" s="160">
        <f t="shared" si="2717"/>
        <v>0</v>
      </c>
      <c r="BR639" s="160">
        <f t="shared" si="2717"/>
        <v>0</v>
      </c>
      <c r="BS639" s="65"/>
      <c r="BT639" s="160">
        <f t="shared" si="2578"/>
        <v>0</v>
      </c>
      <c r="BU639" s="160">
        <f t="shared" si="2579"/>
        <v>0</v>
      </c>
      <c r="BV639" s="65"/>
      <c r="BW639" s="69"/>
      <c r="BX639" s="65"/>
      <c r="BY639" s="137">
        <f t="shared" si="2580"/>
        <v>1</v>
      </c>
      <c r="BZ639" s="137">
        <f>IF(BY639&gt;0,BY639+LARGE($BZ$213:BZ638,1),0)</f>
        <v>359</v>
      </c>
      <c r="CA639" s="137" t="str">
        <f t="shared" si="2581"/>
        <v>EST_II</v>
      </c>
      <c r="CB639" s="161">
        <f t="shared" si="2582"/>
        <v>0</v>
      </c>
      <c r="CC639" s="161">
        <f t="shared" si="2583"/>
        <v>0</v>
      </c>
      <c r="CD639" s="161">
        <f t="shared" si="2584"/>
        <v>0</v>
      </c>
      <c r="CE639" s="161">
        <f t="shared" si="2585"/>
        <v>0</v>
      </c>
      <c r="CF639" s="161">
        <f t="shared" si="2586"/>
        <v>0</v>
      </c>
      <c r="CG639" s="161">
        <f t="shared" si="2587"/>
        <v>0</v>
      </c>
      <c r="CH639" s="161">
        <f t="shared" si="2588"/>
        <v>0</v>
      </c>
      <c r="CI639" s="161">
        <f t="shared" si="2589"/>
        <v>0</v>
      </c>
      <c r="CJ639" s="161">
        <f t="shared" si="2590"/>
        <v>0</v>
      </c>
      <c r="CK639" s="161">
        <f t="shared" si="2591"/>
        <v>0</v>
      </c>
      <c r="CL639" s="161">
        <f t="shared" si="2592"/>
        <v>0</v>
      </c>
      <c r="CM639" s="161">
        <f t="shared" si="2593"/>
        <v>0</v>
      </c>
      <c r="CN639" s="161">
        <f t="shared" si="2594"/>
        <v>0</v>
      </c>
      <c r="CO639" s="161">
        <f t="shared" si="2595"/>
        <v>0</v>
      </c>
      <c r="CP639" s="161">
        <f t="shared" si="2596"/>
        <v>0</v>
      </c>
      <c r="CQ639" s="161">
        <f t="shared" si="2597"/>
        <v>0</v>
      </c>
      <c r="CR639" s="161">
        <f t="shared" si="2598"/>
        <v>0</v>
      </c>
      <c r="CS639" s="161">
        <f t="shared" si="2599"/>
        <v>0</v>
      </c>
      <c r="CT639" s="161">
        <f t="shared" si="2600"/>
        <v>0</v>
      </c>
      <c r="CU639" s="161">
        <f t="shared" si="2601"/>
        <v>0</v>
      </c>
      <c r="CV639" s="161">
        <f t="shared" si="2602"/>
        <v>0</v>
      </c>
      <c r="CW639" s="161">
        <f t="shared" si="2603"/>
        <v>0</v>
      </c>
      <c r="CX639" s="161">
        <f t="shared" si="2604"/>
        <v>0</v>
      </c>
      <c r="CY639" s="161">
        <f t="shared" si="2605"/>
        <v>0</v>
      </c>
      <c r="CZ639" s="161">
        <f t="shared" si="2606"/>
        <v>0</v>
      </c>
      <c r="DA639" s="161">
        <f t="shared" si="2607"/>
        <v>0</v>
      </c>
      <c r="DB639" s="161">
        <f t="shared" si="2608"/>
        <v>0</v>
      </c>
      <c r="DC639" s="161">
        <f t="shared" si="2609"/>
        <v>0</v>
      </c>
      <c r="DD639" s="161">
        <f t="shared" si="2610"/>
        <v>0</v>
      </c>
      <c r="DE639" s="161">
        <f t="shared" si="2611"/>
        <v>0</v>
      </c>
      <c r="DF639" s="161">
        <f t="shared" si="2612"/>
        <v>0</v>
      </c>
      <c r="DG639" s="161">
        <f t="shared" si="2613"/>
        <v>0</v>
      </c>
      <c r="DH639" s="161">
        <f t="shared" si="2614"/>
        <v>0</v>
      </c>
      <c r="DI639" s="161">
        <f t="shared" si="2615"/>
        <v>0</v>
      </c>
      <c r="DJ639" s="161">
        <f t="shared" si="2616"/>
        <v>0</v>
      </c>
      <c r="DK639" s="161">
        <f t="shared" si="2617"/>
        <v>0</v>
      </c>
      <c r="DL639" s="161">
        <f t="shared" si="2618"/>
        <v>0</v>
      </c>
      <c r="DM639" s="161">
        <f t="shared" si="2619"/>
        <v>0</v>
      </c>
      <c r="DN639" s="161">
        <f t="shared" si="2620"/>
        <v>0</v>
      </c>
      <c r="DO639" s="161">
        <f t="shared" si="2621"/>
        <v>0</v>
      </c>
      <c r="DP639" s="161">
        <f t="shared" si="2622"/>
        <v>0</v>
      </c>
      <c r="DQ639" s="161">
        <f t="shared" si="2623"/>
        <v>0</v>
      </c>
      <c r="DR639" s="161">
        <f t="shared" si="2624"/>
        <v>0</v>
      </c>
      <c r="DS639" s="161">
        <f t="shared" si="2625"/>
        <v>0</v>
      </c>
      <c r="DT639" s="161">
        <f t="shared" si="2626"/>
        <v>0</v>
      </c>
      <c r="DU639" s="161">
        <f t="shared" si="2627"/>
        <v>0</v>
      </c>
      <c r="DV639" s="161">
        <f t="shared" si="2628"/>
        <v>0</v>
      </c>
      <c r="DW639" s="161">
        <f t="shared" si="2629"/>
        <v>0</v>
      </c>
      <c r="DX639" s="161">
        <f t="shared" si="2630"/>
        <v>0</v>
      </c>
      <c r="DY639" s="161">
        <f t="shared" si="2631"/>
        <v>0</v>
      </c>
      <c r="DZ639" s="161">
        <f t="shared" si="2632"/>
        <v>0</v>
      </c>
      <c r="EA639" s="161">
        <f t="shared" si="2633"/>
        <v>0</v>
      </c>
      <c r="EB639" s="161">
        <f t="shared" si="2634"/>
        <v>0</v>
      </c>
      <c r="EC639" s="161">
        <f t="shared" si="2635"/>
        <v>0</v>
      </c>
      <c r="ED639" s="161">
        <f t="shared" si="2636"/>
        <v>0</v>
      </c>
      <c r="EE639" s="161">
        <f t="shared" si="2637"/>
        <v>0</v>
      </c>
      <c r="EF639" s="161">
        <f t="shared" si="2638"/>
        <v>0</v>
      </c>
      <c r="EG639" s="161">
        <f t="shared" si="2639"/>
        <v>0</v>
      </c>
      <c r="EH639" s="161">
        <f t="shared" si="2640"/>
        <v>0</v>
      </c>
      <c r="EI639" s="161">
        <f t="shared" si="2641"/>
        <v>0</v>
      </c>
      <c r="EJ639" s="65"/>
      <c r="EK639" s="161">
        <f t="shared" si="2712"/>
        <v>0</v>
      </c>
      <c r="EL639" s="161">
        <f t="shared" si="2713"/>
        <v>0</v>
      </c>
      <c r="EM639" s="161">
        <f t="shared" si="2714"/>
        <v>0</v>
      </c>
    </row>
    <row r="640" spans="1:143" ht="12" hidden="1" customHeight="1" outlineLevel="2">
      <c r="A640" s="77">
        <v>20</v>
      </c>
      <c r="B640" s="137" t="str">
        <f t="shared" si="2642"/>
        <v>EST_III - Equipe_01</v>
      </c>
      <c r="C640" s="65"/>
      <c r="D640" s="623"/>
      <c r="E640" s="65"/>
      <c r="F640" s="603"/>
      <c r="G640" s="77" t="str">
        <f>IF(INDEX(Tarefas!$BT$30:$FK$30,MATCH(A640,Tarefas!$BT$28:$FK$28,0))=0,"",INDEX(Tarefas!$BT$30:$FK$30,MATCH(A640,Tarefas!$BT$28:$FK$28,0)))</f>
        <v>EST_III</v>
      </c>
      <c r="H640" s="107" cm="1">
        <f t="array" ref="H640">IFERROR((SUMPRODUCT((Tarefas!$N$32:$N$54='Cronog. e Histog.'!$F$621)*(Tarefas!$BQ$30:$FK$30='Cronog. e Histog.'!$G640)*(Tarefas!$BQ$32:$FK$54)))/SUMIF(Tarefas!$N$32:$N$54,'Cronog. e Histog.'!$F$621,Tarefas!$K$32:$K$54),0)</f>
        <v>0</v>
      </c>
      <c r="I640" s="79">
        <f t="shared" si="2643"/>
        <v>0</v>
      </c>
      <c r="J640" s="65"/>
      <c r="K640" s="160">
        <f t="shared" si="2715"/>
        <v>0</v>
      </c>
      <c r="L640" s="160">
        <f t="shared" si="2717"/>
        <v>0</v>
      </c>
      <c r="M640" s="160">
        <f t="shared" si="2717"/>
        <v>0</v>
      </c>
      <c r="N640" s="160">
        <f t="shared" si="2717"/>
        <v>0</v>
      </c>
      <c r="O640" s="160">
        <f t="shared" si="2717"/>
        <v>0</v>
      </c>
      <c r="P640" s="160">
        <f t="shared" si="2717"/>
        <v>0</v>
      </c>
      <c r="Q640" s="160">
        <f t="shared" si="2717"/>
        <v>0</v>
      </c>
      <c r="R640" s="160">
        <f t="shared" si="2717"/>
        <v>0</v>
      </c>
      <c r="S640" s="160">
        <f t="shared" si="2717"/>
        <v>0</v>
      </c>
      <c r="T640" s="160">
        <f t="shared" si="2717"/>
        <v>0</v>
      </c>
      <c r="U640" s="160">
        <f t="shared" si="2717"/>
        <v>0</v>
      </c>
      <c r="V640" s="160">
        <f t="shared" si="2717"/>
        <v>0</v>
      </c>
      <c r="W640" s="160">
        <f t="shared" si="2717"/>
        <v>0</v>
      </c>
      <c r="X640" s="160">
        <f t="shared" si="2717"/>
        <v>0</v>
      </c>
      <c r="Y640" s="160">
        <f t="shared" si="2717"/>
        <v>0</v>
      </c>
      <c r="Z640" s="160">
        <f t="shared" si="2717"/>
        <v>0</v>
      </c>
      <c r="AA640" s="160">
        <f t="shared" si="2717"/>
        <v>0</v>
      </c>
      <c r="AB640" s="160">
        <f t="shared" si="2717"/>
        <v>0</v>
      </c>
      <c r="AC640" s="160">
        <f t="shared" si="2717"/>
        <v>0</v>
      </c>
      <c r="AD640" s="160">
        <f t="shared" si="2717"/>
        <v>0</v>
      </c>
      <c r="AE640" s="160">
        <f t="shared" si="2717"/>
        <v>0</v>
      </c>
      <c r="AF640" s="160">
        <f t="shared" si="2717"/>
        <v>0</v>
      </c>
      <c r="AG640" s="160">
        <f t="shared" si="2717"/>
        <v>0</v>
      </c>
      <c r="AH640" s="160">
        <f t="shared" si="2717"/>
        <v>0</v>
      </c>
      <c r="AI640" s="160">
        <f t="shared" si="2717"/>
        <v>0</v>
      </c>
      <c r="AJ640" s="160">
        <f t="shared" si="2717"/>
        <v>0</v>
      </c>
      <c r="AK640" s="160">
        <f t="shared" si="2717"/>
        <v>0</v>
      </c>
      <c r="AL640" s="160">
        <f t="shared" si="2717"/>
        <v>0</v>
      </c>
      <c r="AM640" s="160">
        <f t="shared" si="2717"/>
        <v>0</v>
      </c>
      <c r="AN640" s="160">
        <f t="shared" si="2717"/>
        <v>0</v>
      </c>
      <c r="AO640" s="160">
        <f t="shared" si="2717"/>
        <v>0</v>
      </c>
      <c r="AP640" s="160">
        <f t="shared" si="2717"/>
        <v>0</v>
      </c>
      <c r="AQ640" s="160">
        <f t="shared" si="2717"/>
        <v>0</v>
      </c>
      <c r="AR640" s="160">
        <f t="shared" si="2717"/>
        <v>0</v>
      </c>
      <c r="AS640" s="160">
        <f t="shared" si="2717"/>
        <v>0</v>
      </c>
      <c r="AT640" s="160">
        <f t="shared" si="2717"/>
        <v>0</v>
      </c>
      <c r="AU640" s="160">
        <f t="shared" si="2717"/>
        <v>0</v>
      </c>
      <c r="AV640" s="160">
        <f t="shared" si="2717"/>
        <v>0</v>
      </c>
      <c r="AW640" s="160">
        <f t="shared" si="2717"/>
        <v>0</v>
      </c>
      <c r="AX640" s="160">
        <f t="shared" si="2717"/>
        <v>0</v>
      </c>
      <c r="AY640" s="160">
        <f t="shared" si="2717"/>
        <v>0</v>
      </c>
      <c r="AZ640" s="160">
        <f t="shared" si="2717"/>
        <v>0</v>
      </c>
      <c r="BA640" s="160">
        <f t="shared" si="2717"/>
        <v>0</v>
      </c>
      <c r="BB640" s="160">
        <f t="shared" si="2717"/>
        <v>0</v>
      </c>
      <c r="BC640" s="160">
        <f t="shared" si="2717"/>
        <v>0</v>
      </c>
      <c r="BD640" s="160">
        <f t="shared" si="2717"/>
        <v>0</v>
      </c>
      <c r="BE640" s="160">
        <f t="shared" si="2717"/>
        <v>0</v>
      </c>
      <c r="BF640" s="160">
        <f t="shared" si="2717"/>
        <v>0</v>
      </c>
      <c r="BG640" s="160">
        <f t="shared" si="2717"/>
        <v>0</v>
      </c>
      <c r="BH640" s="160">
        <f t="shared" si="2717"/>
        <v>0</v>
      </c>
      <c r="BI640" s="160">
        <f t="shared" si="2717"/>
        <v>0</v>
      </c>
      <c r="BJ640" s="160">
        <f t="shared" si="2717"/>
        <v>0</v>
      </c>
      <c r="BK640" s="160">
        <f t="shared" si="2717"/>
        <v>0</v>
      </c>
      <c r="BL640" s="160">
        <f t="shared" si="2717"/>
        <v>0</v>
      </c>
      <c r="BM640" s="160">
        <f t="shared" si="2717"/>
        <v>0</v>
      </c>
      <c r="BN640" s="160">
        <f t="shared" si="2717"/>
        <v>0</v>
      </c>
      <c r="BO640" s="160">
        <f t="shared" si="2717"/>
        <v>0</v>
      </c>
      <c r="BP640" s="160">
        <f t="shared" si="2717"/>
        <v>0</v>
      </c>
      <c r="BQ640" s="160">
        <f t="shared" si="2717"/>
        <v>0</v>
      </c>
      <c r="BR640" s="160">
        <f t="shared" si="2717"/>
        <v>0</v>
      </c>
      <c r="BS640" s="65"/>
      <c r="BT640" s="160">
        <f t="shared" si="2578"/>
        <v>0</v>
      </c>
      <c r="BU640" s="160">
        <f t="shared" si="2579"/>
        <v>0</v>
      </c>
      <c r="BV640" s="65"/>
      <c r="BW640" s="69"/>
      <c r="BX640" s="65"/>
      <c r="BY640" s="137">
        <f t="shared" si="2580"/>
        <v>1</v>
      </c>
      <c r="BZ640" s="137">
        <f>IF(BY640&gt;0,BY640+LARGE($BZ$213:BZ639,1),0)</f>
        <v>360</v>
      </c>
      <c r="CA640" s="137" t="str">
        <f t="shared" si="2581"/>
        <v>EST_III</v>
      </c>
      <c r="CB640" s="161">
        <f t="shared" si="2582"/>
        <v>0</v>
      </c>
      <c r="CC640" s="161">
        <f t="shared" si="2583"/>
        <v>0</v>
      </c>
      <c r="CD640" s="161">
        <f t="shared" si="2584"/>
        <v>0</v>
      </c>
      <c r="CE640" s="161">
        <f t="shared" si="2585"/>
        <v>0</v>
      </c>
      <c r="CF640" s="161">
        <f t="shared" si="2586"/>
        <v>0</v>
      </c>
      <c r="CG640" s="161">
        <f t="shared" si="2587"/>
        <v>0</v>
      </c>
      <c r="CH640" s="161">
        <f t="shared" si="2588"/>
        <v>0</v>
      </c>
      <c r="CI640" s="161">
        <f t="shared" si="2589"/>
        <v>0</v>
      </c>
      <c r="CJ640" s="161">
        <f t="shared" si="2590"/>
        <v>0</v>
      </c>
      <c r="CK640" s="161">
        <f t="shared" si="2591"/>
        <v>0</v>
      </c>
      <c r="CL640" s="161">
        <f t="shared" si="2592"/>
        <v>0</v>
      </c>
      <c r="CM640" s="161">
        <f t="shared" si="2593"/>
        <v>0</v>
      </c>
      <c r="CN640" s="161">
        <f t="shared" si="2594"/>
        <v>0</v>
      </c>
      <c r="CO640" s="161">
        <f t="shared" si="2595"/>
        <v>0</v>
      </c>
      <c r="CP640" s="161">
        <f t="shared" si="2596"/>
        <v>0</v>
      </c>
      <c r="CQ640" s="161">
        <f t="shared" si="2597"/>
        <v>0</v>
      </c>
      <c r="CR640" s="161">
        <f t="shared" si="2598"/>
        <v>0</v>
      </c>
      <c r="CS640" s="161">
        <f t="shared" si="2599"/>
        <v>0</v>
      </c>
      <c r="CT640" s="161">
        <f t="shared" si="2600"/>
        <v>0</v>
      </c>
      <c r="CU640" s="161">
        <f t="shared" si="2601"/>
        <v>0</v>
      </c>
      <c r="CV640" s="161">
        <f t="shared" si="2602"/>
        <v>0</v>
      </c>
      <c r="CW640" s="161">
        <f t="shared" si="2603"/>
        <v>0</v>
      </c>
      <c r="CX640" s="161">
        <f t="shared" si="2604"/>
        <v>0</v>
      </c>
      <c r="CY640" s="161">
        <f t="shared" si="2605"/>
        <v>0</v>
      </c>
      <c r="CZ640" s="161">
        <f t="shared" si="2606"/>
        <v>0</v>
      </c>
      <c r="DA640" s="161">
        <f t="shared" si="2607"/>
        <v>0</v>
      </c>
      <c r="DB640" s="161">
        <f t="shared" si="2608"/>
        <v>0</v>
      </c>
      <c r="DC640" s="161">
        <f t="shared" si="2609"/>
        <v>0</v>
      </c>
      <c r="DD640" s="161">
        <f t="shared" si="2610"/>
        <v>0</v>
      </c>
      <c r="DE640" s="161">
        <f t="shared" si="2611"/>
        <v>0</v>
      </c>
      <c r="DF640" s="161">
        <f t="shared" si="2612"/>
        <v>0</v>
      </c>
      <c r="DG640" s="161">
        <f t="shared" si="2613"/>
        <v>0</v>
      </c>
      <c r="DH640" s="161">
        <f t="shared" si="2614"/>
        <v>0</v>
      </c>
      <c r="DI640" s="161">
        <f t="shared" si="2615"/>
        <v>0</v>
      </c>
      <c r="DJ640" s="161">
        <f t="shared" si="2616"/>
        <v>0</v>
      </c>
      <c r="DK640" s="161">
        <f t="shared" si="2617"/>
        <v>0</v>
      </c>
      <c r="DL640" s="161">
        <f t="shared" si="2618"/>
        <v>0</v>
      </c>
      <c r="DM640" s="161">
        <f t="shared" si="2619"/>
        <v>0</v>
      </c>
      <c r="DN640" s="161">
        <f t="shared" si="2620"/>
        <v>0</v>
      </c>
      <c r="DO640" s="161">
        <f t="shared" si="2621"/>
        <v>0</v>
      </c>
      <c r="DP640" s="161">
        <f t="shared" si="2622"/>
        <v>0</v>
      </c>
      <c r="DQ640" s="161">
        <f t="shared" si="2623"/>
        <v>0</v>
      </c>
      <c r="DR640" s="161">
        <f t="shared" si="2624"/>
        <v>0</v>
      </c>
      <c r="DS640" s="161">
        <f t="shared" si="2625"/>
        <v>0</v>
      </c>
      <c r="DT640" s="161">
        <f t="shared" si="2626"/>
        <v>0</v>
      </c>
      <c r="DU640" s="161">
        <f t="shared" si="2627"/>
        <v>0</v>
      </c>
      <c r="DV640" s="161">
        <f t="shared" si="2628"/>
        <v>0</v>
      </c>
      <c r="DW640" s="161">
        <f t="shared" si="2629"/>
        <v>0</v>
      </c>
      <c r="DX640" s="161">
        <f t="shared" si="2630"/>
        <v>0</v>
      </c>
      <c r="DY640" s="161">
        <f t="shared" si="2631"/>
        <v>0</v>
      </c>
      <c r="DZ640" s="161">
        <f t="shared" si="2632"/>
        <v>0</v>
      </c>
      <c r="EA640" s="161">
        <f t="shared" si="2633"/>
        <v>0</v>
      </c>
      <c r="EB640" s="161">
        <f t="shared" si="2634"/>
        <v>0</v>
      </c>
      <c r="EC640" s="161">
        <f t="shared" si="2635"/>
        <v>0</v>
      </c>
      <c r="ED640" s="161">
        <f t="shared" si="2636"/>
        <v>0</v>
      </c>
      <c r="EE640" s="161">
        <f t="shared" si="2637"/>
        <v>0</v>
      </c>
      <c r="EF640" s="161">
        <f t="shared" si="2638"/>
        <v>0</v>
      </c>
      <c r="EG640" s="161">
        <f t="shared" si="2639"/>
        <v>0</v>
      </c>
      <c r="EH640" s="161">
        <f t="shared" si="2640"/>
        <v>0</v>
      </c>
      <c r="EI640" s="161">
        <f t="shared" si="2641"/>
        <v>0</v>
      </c>
      <c r="EJ640" s="65"/>
      <c r="EK640" s="161">
        <f t="shared" si="2712"/>
        <v>0</v>
      </c>
      <c r="EL640" s="161">
        <f t="shared" si="2713"/>
        <v>0</v>
      </c>
      <c r="EM640" s="161">
        <f t="shared" si="2714"/>
        <v>0</v>
      </c>
    </row>
    <row r="641" spans="1:143" ht="12" hidden="1" customHeight="1" outlineLevel="1">
      <c r="B641" s="65"/>
      <c r="C641" s="65"/>
      <c r="D641" s="65"/>
      <c r="E641" s="65"/>
      <c r="F641" s="470" t="s">
        <v>380</v>
      </c>
      <c r="G641" s="162" t="str">
        <f>"Pico = "&amp;MAX(K641:BR641)</f>
        <v>Pico = 0,02</v>
      </c>
      <c r="H641" s="163">
        <f>SUM(H621:H640)</f>
        <v>1</v>
      </c>
      <c r="I641" s="148">
        <f>SUM(I621:I640)</f>
        <v>1</v>
      </c>
      <c r="J641" s="65"/>
      <c r="K641" s="146">
        <f>SUM(K621:K640)</f>
        <v>0.02</v>
      </c>
      <c r="L641" s="146">
        <f t="shared" ref="L641:BR641" si="2718">SUM(L621:L640)</f>
        <v>0.02</v>
      </c>
      <c r="M641" s="146">
        <f t="shared" si="2718"/>
        <v>0.02</v>
      </c>
      <c r="N641" s="146">
        <f t="shared" si="2718"/>
        <v>0.02</v>
      </c>
      <c r="O641" s="146">
        <f t="shared" si="2718"/>
        <v>0.02</v>
      </c>
      <c r="P641" s="146">
        <f t="shared" si="2718"/>
        <v>0.02</v>
      </c>
      <c r="Q641" s="146">
        <f t="shared" si="2718"/>
        <v>0.02</v>
      </c>
      <c r="R641" s="146">
        <f t="shared" si="2718"/>
        <v>0.02</v>
      </c>
      <c r="S641" s="146">
        <f t="shared" si="2718"/>
        <v>0.02</v>
      </c>
      <c r="T641" s="146">
        <f t="shared" si="2718"/>
        <v>0.02</v>
      </c>
      <c r="U641" s="146">
        <f t="shared" si="2718"/>
        <v>0</v>
      </c>
      <c r="V641" s="146">
        <f t="shared" si="2718"/>
        <v>0</v>
      </c>
      <c r="W641" s="146">
        <f t="shared" si="2718"/>
        <v>0</v>
      </c>
      <c r="X641" s="146">
        <f t="shared" si="2718"/>
        <v>0</v>
      </c>
      <c r="Y641" s="146">
        <f t="shared" si="2718"/>
        <v>0</v>
      </c>
      <c r="Z641" s="146">
        <f t="shared" si="2718"/>
        <v>0</v>
      </c>
      <c r="AA641" s="146">
        <f t="shared" si="2718"/>
        <v>0</v>
      </c>
      <c r="AB641" s="146">
        <f t="shared" si="2718"/>
        <v>0</v>
      </c>
      <c r="AC641" s="146">
        <f t="shared" si="2718"/>
        <v>0</v>
      </c>
      <c r="AD641" s="146">
        <f t="shared" si="2718"/>
        <v>0</v>
      </c>
      <c r="AE641" s="146">
        <f t="shared" si="2718"/>
        <v>0</v>
      </c>
      <c r="AF641" s="146">
        <f t="shared" si="2718"/>
        <v>0</v>
      </c>
      <c r="AG641" s="146">
        <f t="shared" si="2718"/>
        <v>0</v>
      </c>
      <c r="AH641" s="146">
        <f t="shared" si="2718"/>
        <v>0</v>
      </c>
      <c r="AI641" s="146">
        <f t="shared" si="2718"/>
        <v>0</v>
      </c>
      <c r="AJ641" s="146">
        <f t="shared" si="2718"/>
        <v>0</v>
      </c>
      <c r="AK641" s="146">
        <f t="shared" si="2718"/>
        <v>0</v>
      </c>
      <c r="AL641" s="146">
        <f t="shared" si="2718"/>
        <v>0</v>
      </c>
      <c r="AM641" s="146">
        <f t="shared" si="2718"/>
        <v>0</v>
      </c>
      <c r="AN641" s="146">
        <f t="shared" si="2718"/>
        <v>0</v>
      </c>
      <c r="AO641" s="146">
        <f t="shared" si="2718"/>
        <v>0</v>
      </c>
      <c r="AP641" s="146">
        <f t="shared" si="2718"/>
        <v>0</v>
      </c>
      <c r="AQ641" s="146">
        <f t="shared" si="2718"/>
        <v>0</v>
      </c>
      <c r="AR641" s="146">
        <f t="shared" si="2718"/>
        <v>0</v>
      </c>
      <c r="AS641" s="146">
        <f t="shared" si="2718"/>
        <v>0</v>
      </c>
      <c r="AT641" s="146">
        <f t="shared" si="2718"/>
        <v>0</v>
      </c>
      <c r="AU641" s="146">
        <f t="shared" si="2718"/>
        <v>0</v>
      </c>
      <c r="AV641" s="146">
        <f t="shared" si="2718"/>
        <v>0</v>
      </c>
      <c r="AW641" s="146">
        <f t="shared" si="2718"/>
        <v>0</v>
      </c>
      <c r="AX641" s="146">
        <f t="shared" si="2718"/>
        <v>0</v>
      </c>
      <c r="AY641" s="146">
        <f t="shared" si="2718"/>
        <v>0</v>
      </c>
      <c r="AZ641" s="146">
        <f t="shared" si="2718"/>
        <v>0</v>
      </c>
      <c r="BA641" s="146">
        <f t="shared" si="2718"/>
        <v>0</v>
      </c>
      <c r="BB641" s="146">
        <f t="shared" si="2718"/>
        <v>0</v>
      </c>
      <c r="BC641" s="146">
        <f t="shared" si="2718"/>
        <v>0</v>
      </c>
      <c r="BD641" s="146">
        <f t="shared" si="2718"/>
        <v>0</v>
      </c>
      <c r="BE641" s="146">
        <f t="shared" si="2718"/>
        <v>0</v>
      </c>
      <c r="BF641" s="146">
        <f t="shared" si="2718"/>
        <v>0</v>
      </c>
      <c r="BG641" s="146">
        <f t="shared" si="2718"/>
        <v>0</v>
      </c>
      <c r="BH641" s="146">
        <f t="shared" si="2718"/>
        <v>0</v>
      </c>
      <c r="BI641" s="146">
        <f t="shared" si="2718"/>
        <v>0</v>
      </c>
      <c r="BJ641" s="146">
        <f t="shared" si="2718"/>
        <v>0</v>
      </c>
      <c r="BK641" s="146">
        <f t="shared" si="2718"/>
        <v>0</v>
      </c>
      <c r="BL641" s="146">
        <f t="shared" si="2718"/>
        <v>0</v>
      </c>
      <c r="BM641" s="146">
        <f t="shared" si="2718"/>
        <v>0</v>
      </c>
      <c r="BN641" s="146">
        <f t="shared" si="2718"/>
        <v>0</v>
      </c>
      <c r="BO641" s="146">
        <f t="shared" si="2718"/>
        <v>0</v>
      </c>
      <c r="BP641" s="146">
        <f t="shared" si="2718"/>
        <v>0</v>
      </c>
      <c r="BQ641" s="146">
        <f t="shared" si="2718"/>
        <v>0</v>
      </c>
      <c r="BR641" s="146">
        <f t="shared" si="2718"/>
        <v>0</v>
      </c>
      <c r="BS641" s="65"/>
      <c r="BT641" s="146">
        <f t="shared" ref="BT641" si="2719">SUM(BT621:BT640)</f>
        <v>1.9999999999999997E-2</v>
      </c>
      <c r="BU641" s="65"/>
      <c r="BV641" s="65"/>
      <c r="BW641" s="69"/>
      <c r="BX641" s="65"/>
      <c r="BY641" s="65"/>
      <c r="BZ641" s="65"/>
      <c r="CA641" s="65"/>
      <c r="CB641" s="65"/>
      <c r="CC641" s="65"/>
      <c r="CD641" s="65"/>
      <c r="CE641" s="65"/>
      <c r="CF641" s="65"/>
      <c r="CG641" s="65"/>
      <c r="CH641" s="65"/>
      <c r="CI641" s="65"/>
      <c r="CJ641" s="65"/>
      <c r="CK641" s="65"/>
      <c r="CL641" s="65"/>
      <c r="CM641" s="65"/>
      <c r="CN641" s="65"/>
      <c r="CO641" s="65"/>
      <c r="CP641" s="65"/>
      <c r="CQ641" s="65"/>
      <c r="CR641" s="65"/>
      <c r="CS641" s="65"/>
      <c r="CT641" s="65"/>
      <c r="CU641" s="65"/>
      <c r="CV641" s="65"/>
      <c r="CW641" s="65"/>
      <c r="CX641" s="65"/>
      <c r="CY641" s="65"/>
      <c r="CZ641" s="65"/>
      <c r="DA641" s="65"/>
      <c r="DB641" s="65"/>
      <c r="DC641" s="65"/>
      <c r="DD641" s="65"/>
      <c r="DE641" s="65"/>
      <c r="DF641" s="65"/>
      <c r="DG641" s="65"/>
      <c r="DH641" s="65"/>
      <c r="DI641" s="65"/>
      <c r="DJ641" s="65"/>
      <c r="DK641" s="65"/>
      <c r="DL641" s="65"/>
      <c r="DM641" s="65"/>
      <c r="DN641" s="65"/>
      <c r="DO641" s="65"/>
      <c r="DP641" s="65"/>
      <c r="DQ641" s="65"/>
      <c r="DR641" s="65"/>
      <c r="DS641" s="65"/>
      <c r="DT641" s="65"/>
      <c r="DU641" s="65"/>
      <c r="DV641" s="65"/>
      <c r="DW641" s="65"/>
      <c r="DX641" s="65"/>
      <c r="DY641" s="65"/>
      <c r="DZ641" s="65"/>
      <c r="EA641" s="65"/>
      <c r="EB641" s="65"/>
      <c r="EC641" s="65"/>
      <c r="ED641" s="65"/>
      <c r="EE641" s="65"/>
      <c r="EF641" s="65"/>
      <c r="EG641" s="65"/>
      <c r="EH641" s="65"/>
      <c r="EI641" s="65"/>
      <c r="EJ641" s="65"/>
      <c r="EK641" s="65"/>
      <c r="EL641" s="65"/>
      <c r="EM641" s="65"/>
    </row>
    <row r="642" spans="1:143" ht="12" hidden="1" customHeight="1" outlineLevel="1"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  <c r="AT642" s="65"/>
      <c r="AU642" s="65"/>
      <c r="AV642" s="65"/>
      <c r="AW642" s="65"/>
      <c r="AX642" s="65"/>
      <c r="AY642" s="65"/>
      <c r="AZ642" s="65"/>
      <c r="BA642" s="65"/>
      <c r="BB642" s="65"/>
      <c r="BC642" s="65"/>
      <c r="BD642" s="65"/>
      <c r="BE642" s="65"/>
      <c r="BF642" s="65"/>
      <c r="BG642" s="65"/>
      <c r="BH642" s="65"/>
      <c r="BI642" s="65"/>
      <c r="BJ642" s="65"/>
      <c r="BK642" s="65"/>
      <c r="BL642" s="65"/>
      <c r="BM642" s="65"/>
      <c r="BN642" s="65"/>
      <c r="BO642" s="65"/>
      <c r="BP642" s="65"/>
      <c r="BQ642" s="65"/>
      <c r="BR642" s="65"/>
      <c r="BS642" s="65"/>
      <c r="BT642" s="65"/>
      <c r="BU642" s="65"/>
      <c r="BV642" s="65"/>
      <c r="BW642" s="69"/>
      <c r="BX642" s="65"/>
      <c r="BY642" s="65"/>
      <c r="BZ642" s="65"/>
      <c r="CA642" s="65"/>
      <c r="CB642" s="65"/>
      <c r="CC642" s="65"/>
      <c r="CD642" s="65"/>
      <c r="CE642" s="65"/>
      <c r="CF642" s="65"/>
      <c r="CG642" s="65"/>
      <c r="CH642" s="65"/>
      <c r="CI642" s="65"/>
      <c r="CJ642" s="65"/>
      <c r="CK642" s="65"/>
      <c r="CL642" s="65"/>
      <c r="CM642" s="65"/>
      <c r="CN642" s="65"/>
      <c r="CO642" s="65"/>
      <c r="CP642" s="65"/>
      <c r="CQ642" s="65"/>
      <c r="CR642" s="65"/>
      <c r="CS642" s="65"/>
      <c r="CT642" s="65"/>
      <c r="CU642" s="65"/>
      <c r="CV642" s="65"/>
      <c r="CW642" s="65"/>
      <c r="CX642" s="65"/>
      <c r="CY642" s="65"/>
      <c r="CZ642" s="65"/>
      <c r="DA642" s="65"/>
      <c r="DB642" s="65"/>
      <c r="DC642" s="65"/>
      <c r="DD642" s="65"/>
      <c r="DE642" s="65"/>
      <c r="DF642" s="65"/>
      <c r="DG642" s="65"/>
      <c r="DH642" s="65"/>
      <c r="DI642" s="65"/>
      <c r="DJ642" s="65"/>
      <c r="DK642" s="65"/>
      <c r="DL642" s="65"/>
      <c r="DM642" s="65"/>
      <c r="DN642" s="65"/>
      <c r="DO642" s="65"/>
      <c r="DP642" s="65"/>
      <c r="DQ642" s="65"/>
      <c r="DR642" s="65"/>
      <c r="DS642" s="65"/>
      <c r="DT642" s="65"/>
      <c r="DU642" s="65"/>
      <c r="DV642" s="65"/>
      <c r="DW642" s="65"/>
      <c r="DX642" s="65"/>
      <c r="DY642" s="65"/>
      <c r="DZ642" s="65"/>
      <c r="EA642" s="65"/>
      <c r="EB642" s="65"/>
      <c r="EC642" s="65"/>
      <c r="ED642" s="65"/>
      <c r="EE642" s="65"/>
      <c r="EF642" s="65"/>
      <c r="EG642" s="65"/>
      <c r="EH642" s="65"/>
      <c r="EI642" s="65"/>
      <c r="EJ642" s="65"/>
      <c r="EK642" s="65"/>
      <c r="EL642" s="65"/>
      <c r="EM642" s="65"/>
    </row>
    <row r="643" spans="1:143" ht="24" hidden="1" customHeight="1" outlineLevel="1">
      <c r="B643" s="593" t="s">
        <v>395</v>
      </c>
      <c r="C643" s="65"/>
      <c r="D643" s="65"/>
      <c r="E643" s="65"/>
      <c r="F643" s="471" t="str">
        <f>IF($G$69&gt;0,$G$69,"")</f>
        <v>Equipe19</v>
      </c>
      <c r="G643" s="471"/>
      <c r="H643" s="471"/>
      <c r="I643" s="471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5"/>
      <c r="AT643" s="65"/>
      <c r="AU643" s="65"/>
      <c r="AV643" s="65"/>
      <c r="AW643" s="65"/>
      <c r="AX643" s="65"/>
      <c r="AY643" s="65"/>
      <c r="AZ643" s="65"/>
      <c r="BA643" s="65"/>
      <c r="BB643" s="65"/>
      <c r="BC643" s="65"/>
      <c r="BD643" s="65"/>
      <c r="BE643" s="65"/>
      <c r="BF643" s="65"/>
      <c r="BG643" s="65"/>
      <c r="BH643" s="65"/>
      <c r="BI643" s="65"/>
      <c r="BJ643" s="65"/>
      <c r="BK643" s="65"/>
      <c r="BL643" s="65"/>
      <c r="BM643" s="65"/>
      <c r="BN643" s="65"/>
      <c r="BO643" s="65"/>
      <c r="BP643" s="65"/>
      <c r="BQ643" s="65"/>
      <c r="BR643" s="65"/>
      <c r="BS643" s="65"/>
      <c r="BT643" s="601" t="s">
        <v>396</v>
      </c>
      <c r="BU643" s="601" t="s">
        <v>397</v>
      </c>
      <c r="BV643" s="65"/>
      <c r="BW643" s="69"/>
      <c r="BX643" s="65"/>
      <c r="BY643" s="593" t="s">
        <v>398</v>
      </c>
      <c r="BZ643" s="593" t="s">
        <v>399</v>
      </c>
      <c r="CA643" s="593" t="s">
        <v>400</v>
      </c>
      <c r="CB643" s="592" t="s">
        <v>401</v>
      </c>
      <c r="CC643" s="592" t="s">
        <v>402</v>
      </c>
      <c r="CD643" s="592" t="s">
        <v>403</v>
      </c>
      <c r="CE643" s="592" t="s">
        <v>404</v>
      </c>
      <c r="CF643" s="592" t="s">
        <v>405</v>
      </c>
      <c r="CG643" s="592" t="s">
        <v>406</v>
      </c>
      <c r="CH643" s="592" t="s">
        <v>407</v>
      </c>
      <c r="CI643" s="592" t="s">
        <v>408</v>
      </c>
      <c r="CJ643" s="592" t="s">
        <v>409</v>
      </c>
      <c r="CK643" s="592" t="s">
        <v>410</v>
      </c>
      <c r="CL643" s="592" t="s">
        <v>411</v>
      </c>
      <c r="CM643" s="592" t="s">
        <v>412</v>
      </c>
      <c r="CN643" s="592" t="s">
        <v>413</v>
      </c>
      <c r="CO643" s="592" t="s">
        <v>414</v>
      </c>
      <c r="CP643" s="592" t="s">
        <v>415</v>
      </c>
      <c r="CQ643" s="592" t="s">
        <v>416</v>
      </c>
      <c r="CR643" s="592" t="s">
        <v>417</v>
      </c>
      <c r="CS643" s="592" t="s">
        <v>418</v>
      </c>
      <c r="CT643" s="592" t="s">
        <v>419</v>
      </c>
      <c r="CU643" s="592" t="s">
        <v>420</v>
      </c>
      <c r="CV643" s="592" t="s">
        <v>421</v>
      </c>
      <c r="CW643" s="592" t="s">
        <v>422</v>
      </c>
      <c r="CX643" s="592" t="s">
        <v>423</v>
      </c>
      <c r="CY643" s="592" t="s">
        <v>424</v>
      </c>
      <c r="CZ643" s="592" t="s">
        <v>425</v>
      </c>
      <c r="DA643" s="592" t="s">
        <v>426</v>
      </c>
      <c r="DB643" s="592" t="s">
        <v>427</v>
      </c>
      <c r="DC643" s="592" t="s">
        <v>428</v>
      </c>
      <c r="DD643" s="592" t="s">
        <v>429</v>
      </c>
      <c r="DE643" s="592" t="s">
        <v>430</v>
      </c>
      <c r="DF643" s="592" t="s">
        <v>431</v>
      </c>
      <c r="DG643" s="592" t="s">
        <v>432</v>
      </c>
      <c r="DH643" s="592" t="s">
        <v>433</v>
      </c>
      <c r="DI643" s="592" t="s">
        <v>434</v>
      </c>
      <c r="DJ643" s="592" t="s">
        <v>435</v>
      </c>
      <c r="DK643" s="592" t="s">
        <v>436</v>
      </c>
      <c r="DL643" s="592" t="s">
        <v>437</v>
      </c>
      <c r="DM643" s="592" t="s">
        <v>438</v>
      </c>
      <c r="DN643" s="592" t="s">
        <v>439</v>
      </c>
      <c r="DO643" s="592" t="s">
        <v>440</v>
      </c>
      <c r="DP643" s="592" t="s">
        <v>441</v>
      </c>
      <c r="DQ643" s="592" t="s">
        <v>442</v>
      </c>
      <c r="DR643" s="592" t="s">
        <v>443</v>
      </c>
      <c r="DS643" s="592" t="s">
        <v>444</v>
      </c>
      <c r="DT643" s="592" t="s">
        <v>445</v>
      </c>
      <c r="DU643" s="592" t="s">
        <v>446</v>
      </c>
      <c r="DV643" s="592" t="s">
        <v>447</v>
      </c>
      <c r="DW643" s="592" t="s">
        <v>448</v>
      </c>
      <c r="DX643" s="592" t="s">
        <v>449</v>
      </c>
      <c r="DY643" s="592" t="s">
        <v>450</v>
      </c>
      <c r="DZ643" s="592" t="s">
        <v>451</v>
      </c>
      <c r="EA643" s="592" t="s">
        <v>452</v>
      </c>
      <c r="EB643" s="592" t="s">
        <v>453</v>
      </c>
      <c r="EC643" s="592" t="s">
        <v>454</v>
      </c>
      <c r="ED643" s="592" t="s">
        <v>455</v>
      </c>
      <c r="EE643" s="592" t="s">
        <v>456</v>
      </c>
      <c r="EF643" s="592" t="s">
        <v>457</v>
      </c>
      <c r="EG643" s="592" t="s">
        <v>458</v>
      </c>
      <c r="EH643" s="592" t="s">
        <v>459</v>
      </c>
      <c r="EI643" s="592" t="s">
        <v>460</v>
      </c>
      <c r="EJ643" s="65"/>
      <c r="EK643" s="157" t="s">
        <v>376</v>
      </c>
      <c r="EL643" s="157" t="s">
        <v>461</v>
      </c>
      <c r="EM643" s="157" t="s">
        <v>383</v>
      </c>
    </row>
    <row r="644" spans="1:143" ht="12" hidden="1" customHeight="1" outlineLevel="1" collapsed="1">
      <c r="B644" s="593"/>
      <c r="C644" s="65"/>
      <c r="D644" s="65"/>
      <c r="E644" s="65"/>
      <c r="F644" s="158" t="s">
        <v>198</v>
      </c>
      <c r="G644" s="158" t="s">
        <v>462</v>
      </c>
      <c r="H644" s="158" t="s">
        <v>255</v>
      </c>
      <c r="I644" s="158" t="s">
        <v>68</v>
      </c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5"/>
      <c r="AT644" s="65"/>
      <c r="AU644" s="65"/>
      <c r="AV644" s="65"/>
      <c r="AW644" s="65"/>
      <c r="AX644" s="65"/>
      <c r="AY644" s="65"/>
      <c r="AZ644" s="65"/>
      <c r="BA644" s="65"/>
      <c r="BB644" s="65"/>
      <c r="BC644" s="65"/>
      <c r="BD644" s="65"/>
      <c r="BE644" s="65"/>
      <c r="BF644" s="65"/>
      <c r="BG644" s="65"/>
      <c r="BH644" s="65"/>
      <c r="BI644" s="65"/>
      <c r="BJ644" s="65"/>
      <c r="BK644" s="65"/>
      <c r="BL644" s="65"/>
      <c r="BM644" s="65"/>
      <c r="BN644" s="65"/>
      <c r="BO644" s="65"/>
      <c r="BP644" s="65"/>
      <c r="BQ644" s="65"/>
      <c r="BR644" s="65"/>
      <c r="BS644" s="65"/>
      <c r="BT644" s="602"/>
      <c r="BU644" s="602"/>
      <c r="BV644" s="65"/>
      <c r="BW644" s="69"/>
      <c r="BX644" s="65"/>
      <c r="BY644" s="593"/>
      <c r="BZ644" s="593"/>
      <c r="CA644" s="593"/>
      <c r="CB644" s="592"/>
      <c r="CC644" s="592"/>
      <c r="CD644" s="592"/>
      <c r="CE644" s="592"/>
      <c r="CF644" s="592"/>
      <c r="CG644" s="592"/>
      <c r="CH644" s="592"/>
      <c r="CI644" s="592"/>
      <c r="CJ644" s="592"/>
      <c r="CK644" s="592"/>
      <c r="CL644" s="592"/>
      <c r="CM644" s="592"/>
      <c r="CN644" s="592"/>
      <c r="CO644" s="592"/>
      <c r="CP644" s="592"/>
      <c r="CQ644" s="592"/>
      <c r="CR644" s="592"/>
      <c r="CS644" s="592"/>
      <c r="CT644" s="592"/>
      <c r="CU644" s="592"/>
      <c r="CV644" s="592"/>
      <c r="CW644" s="592"/>
      <c r="CX644" s="592"/>
      <c r="CY644" s="592"/>
      <c r="CZ644" s="592"/>
      <c r="DA644" s="592"/>
      <c r="DB644" s="592"/>
      <c r="DC644" s="592"/>
      <c r="DD644" s="592"/>
      <c r="DE644" s="592"/>
      <c r="DF644" s="592"/>
      <c r="DG644" s="592"/>
      <c r="DH644" s="592"/>
      <c r="DI644" s="592"/>
      <c r="DJ644" s="592"/>
      <c r="DK644" s="592"/>
      <c r="DL644" s="592"/>
      <c r="DM644" s="592"/>
      <c r="DN644" s="592"/>
      <c r="DO644" s="592"/>
      <c r="DP644" s="592"/>
      <c r="DQ644" s="592"/>
      <c r="DR644" s="592"/>
      <c r="DS644" s="592"/>
      <c r="DT644" s="592"/>
      <c r="DU644" s="592"/>
      <c r="DV644" s="592"/>
      <c r="DW644" s="592"/>
      <c r="DX644" s="592"/>
      <c r="DY644" s="592"/>
      <c r="DZ644" s="592"/>
      <c r="EA644" s="592"/>
      <c r="EB644" s="592"/>
      <c r="EC644" s="592"/>
      <c r="ED644" s="592"/>
      <c r="EE644" s="592"/>
      <c r="EF644" s="592"/>
      <c r="EG644" s="592"/>
      <c r="EH644" s="592"/>
      <c r="EI644" s="592"/>
      <c r="EJ644" s="65"/>
      <c r="EK644" s="159">
        <f>IFERROR(ROUNDUP(SUMPRODUCT($K665:$BR665,$K$124:$BR$124)/SUM($K665:$BR665),2),0)</f>
        <v>0</v>
      </c>
      <c r="EL644" s="159">
        <f>IFERROR(ROUNDUP(SUMPRODUCT($K665:$BR665,$K$148:$BR$148)/SUM($K665:$BR665),2),0)</f>
        <v>0</v>
      </c>
      <c r="EM644" s="159">
        <f>IFERROR(ROUNDUP(SUMPRODUCT($K665:$BR665,$K$172:$BR$172)/SUM($K665:$BR665),2),0)</f>
        <v>0</v>
      </c>
    </row>
    <row r="645" spans="1:143" ht="12" hidden="1" customHeight="1" outlineLevel="2">
      <c r="A645" s="77">
        <v>1</v>
      </c>
      <c r="B645" s="137" t="str">
        <f>IF(G645&gt;0,G645&amp;" - "&amp;$F$213,"")</f>
        <v>GER. (OBRA/PROJ) - Equipe_01</v>
      </c>
      <c r="C645" s="65"/>
      <c r="D645" s="620" t="s">
        <v>463</v>
      </c>
      <c r="E645" s="65"/>
      <c r="F645" s="603" t="str">
        <f>IFERROR(VLOOKUP(F643,Tarefas!$F$3:$G$22,2,0),"")</f>
        <v>Equipe_19</v>
      </c>
      <c r="G645" s="77" t="str">
        <f>IF(INDEX(Tarefas!$BT$30:$FK$30,MATCH(A645,Tarefas!$BT$28:$FK$28,0))=0,"",INDEX(Tarefas!$BT$30:$FK$30,MATCH(A645,Tarefas!$BT$28:$FK$28,0)))</f>
        <v>GER. (OBRA/PROJ)</v>
      </c>
      <c r="H645" s="107" cm="1">
        <f t="array" ref="H645">IFERROR((SUMPRODUCT((Tarefas!$N$32:$N$54='Cronog. e Histog.'!$F$645)*(Tarefas!$BQ$30:$FK$30='Cronog. e Histog.'!$G645)*(Tarefas!$BQ$32:$FK$54)))/SUMIF(Tarefas!$N$32:$N$54,'Cronog. e Histog.'!$F$645,Tarefas!$K$32:$K$54),0)</f>
        <v>0</v>
      </c>
      <c r="I645" s="79">
        <f>IFERROR(H645/$H$665,0)</f>
        <v>0</v>
      </c>
      <c r="J645" s="65"/>
      <c r="K645" s="160">
        <f t="shared" ref="K645:Z664" si="2720">ROUND($I645*K$201,2)</f>
        <v>0</v>
      </c>
      <c r="L645" s="160">
        <f t="shared" ref="L645:BR659" si="2721">ROUND($I645*L$201,2)</f>
        <v>0</v>
      </c>
      <c r="M645" s="160">
        <f t="shared" si="2721"/>
        <v>0</v>
      </c>
      <c r="N645" s="160">
        <f t="shared" si="2721"/>
        <v>0</v>
      </c>
      <c r="O645" s="160">
        <f t="shared" si="2721"/>
        <v>0</v>
      </c>
      <c r="P645" s="160">
        <f t="shared" si="2721"/>
        <v>0</v>
      </c>
      <c r="Q645" s="160">
        <f t="shared" si="2721"/>
        <v>0</v>
      </c>
      <c r="R645" s="160">
        <f t="shared" si="2721"/>
        <v>0</v>
      </c>
      <c r="S645" s="160">
        <f t="shared" si="2721"/>
        <v>0</v>
      </c>
      <c r="T645" s="160">
        <f t="shared" si="2721"/>
        <v>0</v>
      </c>
      <c r="U645" s="160">
        <f t="shared" si="2721"/>
        <v>0</v>
      </c>
      <c r="V645" s="160">
        <f t="shared" si="2721"/>
        <v>0</v>
      </c>
      <c r="W645" s="160">
        <f t="shared" si="2721"/>
        <v>0</v>
      </c>
      <c r="X645" s="160">
        <f t="shared" si="2721"/>
        <v>0</v>
      </c>
      <c r="Y645" s="160">
        <f t="shared" si="2721"/>
        <v>0</v>
      </c>
      <c r="Z645" s="160">
        <f t="shared" si="2721"/>
        <v>0</v>
      </c>
      <c r="AA645" s="160">
        <f t="shared" si="2721"/>
        <v>0</v>
      </c>
      <c r="AB645" s="160">
        <f t="shared" si="2721"/>
        <v>0</v>
      </c>
      <c r="AC645" s="160">
        <f t="shared" si="2721"/>
        <v>0</v>
      </c>
      <c r="AD645" s="160">
        <f t="shared" si="2721"/>
        <v>0</v>
      </c>
      <c r="AE645" s="160">
        <f t="shared" si="2721"/>
        <v>0</v>
      </c>
      <c r="AF645" s="160">
        <f t="shared" si="2721"/>
        <v>0</v>
      </c>
      <c r="AG645" s="160">
        <f t="shared" si="2721"/>
        <v>0</v>
      </c>
      <c r="AH645" s="160">
        <f t="shared" si="2721"/>
        <v>0</v>
      </c>
      <c r="AI645" s="160">
        <f t="shared" si="2721"/>
        <v>0</v>
      </c>
      <c r="AJ645" s="160">
        <f t="shared" si="2721"/>
        <v>0</v>
      </c>
      <c r="AK645" s="160">
        <f t="shared" si="2721"/>
        <v>0</v>
      </c>
      <c r="AL645" s="160">
        <f t="shared" si="2721"/>
        <v>0</v>
      </c>
      <c r="AM645" s="160">
        <f t="shared" si="2721"/>
        <v>0</v>
      </c>
      <c r="AN645" s="160">
        <f t="shared" si="2721"/>
        <v>0</v>
      </c>
      <c r="AO645" s="160">
        <f t="shared" si="2721"/>
        <v>0</v>
      </c>
      <c r="AP645" s="160">
        <f t="shared" si="2721"/>
        <v>0</v>
      </c>
      <c r="AQ645" s="160">
        <f t="shared" si="2721"/>
        <v>0</v>
      </c>
      <c r="AR645" s="160">
        <f t="shared" si="2721"/>
        <v>0</v>
      </c>
      <c r="AS645" s="160">
        <f t="shared" si="2721"/>
        <v>0</v>
      </c>
      <c r="AT645" s="160">
        <f t="shared" si="2721"/>
        <v>0</v>
      </c>
      <c r="AU645" s="160">
        <f t="shared" si="2721"/>
        <v>0</v>
      </c>
      <c r="AV645" s="160">
        <f t="shared" si="2721"/>
        <v>0</v>
      </c>
      <c r="AW645" s="160">
        <f t="shared" si="2721"/>
        <v>0</v>
      </c>
      <c r="AX645" s="160">
        <f t="shared" si="2721"/>
        <v>0</v>
      </c>
      <c r="AY645" s="160">
        <f t="shared" si="2721"/>
        <v>0</v>
      </c>
      <c r="AZ645" s="160">
        <f t="shared" si="2721"/>
        <v>0</v>
      </c>
      <c r="BA645" s="160">
        <f t="shared" si="2721"/>
        <v>0</v>
      </c>
      <c r="BB645" s="160">
        <f t="shared" si="2721"/>
        <v>0</v>
      </c>
      <c r="BC645" s="160">
        <f t="shared" si="2721"/>
        <v>0</v>
      </c>
      <c r="BD645" s="160">
        <f t="shared" si="2721"/>
        <v>0</v>
      </c>
      <c r="BE645" s="160">
        <f t="shared" si="2721"/>
        <v>0</v>
      </c>
      <c r="BF645" s="160">
        <f t="shared" si="2721"/>
        <v>0</v>
      </c>
      <c r="BG645" s="160">
        <f t="shared" si="2721"/>
        <v>0</v>
      </c>
      <c r="BH645" s="160">
        <f t="shared" si="2721"/>
        <v>0</v>
      </c>
      <c r="BI645" s="160">
        <f t="shared" si="2721"/>
        <v>0</v>
      </c>
      <c r="BJ645" s="160">
        <f t="shared" si="2721"/>
        <v>0</v>
      </c>
      <c r="BK645" s="160">
        <f t="shared" si="2721"/>
        <v>0</v>
      </c>
      <c r="BL645" s="160">
        <f t="shared" si="2721"/>
        <v>0</v>
      </c>
      <c r="BM645" s="160">
        <f t="shared" si="2721"/>
        <v>0</v>
      </c>
      <c r="BN645" s="160">
        <f t="shared" si="2721"/>
        <v>0</v>
      </c>
      <c r="BO645" s="160">
        <f t="shared" si="2721"/>
        <v>0</v>
      </c>
      <c r="BP645" s="160">
        <f t="shared" si="2721"/>
        <v>0</v>
      </c>
      <c r="BQ645" s="160">
        <f t="shared" si="2721"/>
        <v>0</v>
      </c>
      <c r="BR645" s="160">
        <f t="shared" si="2721"/>
        <v>0</v>
      </c>
      <c r="BS645" s="65"/>
      <c r="BT645" s="160">
        <f t="shared" ref="BT645:BT664" si="2722">IFERROR(SUM(K645:BR645)/COUNTIF(K645:BR645,"&gt;0"),0)</f>
        <v>0</v>
      </c>
      <c r="BU645" s="160">
        <f t="shared" ref="BU645:BU664" si="2723">COUNTIF(K645:BR645,"&gt;0")</f>
        <v>0</v>
      </c>
      <c r="BV645" s="65"/>
      <c r="BW645" s="69"/>
      <c r="BX645" s="65"/>
      <c r="BY645" s="137">
        <f t="shared" ref="BY645:BY664" si="2724">IF(G645&gt;0,1,0)</f>
        <v>1</v>
      </c>
      <c r="BZ645" s="137">
        <f>IF(BY645&gt;0,BY645+LARGE($BZ$213:BZ644,1),0)</f>
        <v>361</v>
      </c>
      <c r="CA645" s="137" t="str">
        <f t="shared" ref="CA645:CA664" si="2725">G645</f>
        <v>GER. (OBRA/PROJ)</v>
      </c>
      <c r="CB645" s="161">
        <f t="shared" ref="CB645:CB664" si="2726">K645</f>
        <v>0</v>
      </c>
      <c r="CC645" s="161">
        <f t="shared" ref="CC645:CC664" si="2727">L645</f>
        <v>0</v>
      </c>
      <c r="CD645" s="161">
        <f t="shared" ref="CD645:CD664" si="2728">M645</f>
        <v>0</v>
      </c>
      <c r="CE645" s="161">
        <f t="shared" ref="CE645:CE664" si="2729">N645</f>
        <v>0</v>
      </c>
      <c r="CF645" s="161">
        <f t="shared" ref="CF645:CF664" si="2730">O645</f>
        <v>0</v>
      </c>
      <c r="CG645" s="161">
        <f t="shared" ref="CG645:CG664" si="2731">P645</f>
        <v>0</v>
      </c>
      <c r="CH645" s="161">
        <f t="shared" ref="CH645:CH664" si="2732">Q645</f>
        <v>0</v>
      </c>
      <c r="CI645" s="161">
        <f t="shared" ref="CI645:CI664" si="2733">R645</f>
        <v>0</v>
      </c>
      <c r="CJ645" s="161">
        <f t="shared" ref="CJ645:CJ664" si="2734">S645</f>
        <v>0</v>
      </c>
      <c r="CK645" s="161">
        <f t="shared" ref="CK645:CK664" si="2735">T645</f>
        <v>0</v>
      </c>
      <c r="CL645" s="161">
        <f t="shared" ref="CL645:CL664" si="2736">U645</f>
        <v>0</v>
      </c>
      <c r="CM645" s="161">
        <f t="shared" ref="CM645:CM664" si="2737">V645</f>
        <v>0</v>
      </c>
      <c r="CN645" s="161">
        <f t="shared" ref="CN645:CN664" si="2738">W645</f>
        <v>0</v>
      </c>
      <c r="CO645" s="161">
        <f t="shared" ref="CO645:CO664" si="2739">X645</f>
        <v>0</v>
      </c>
      <c r="CP645" s="161">
        <f t="shared" ref="CP645:CP664" si="2740">Y645</f>
        <v>0</v>
      </c>
      <c r="CQ645" s="161">
        <f t="shared" ref="CQ645:CQ664" si="2741">Z645</f>
        <v>0</v>
      </c>
      <c r="CR645" s="161">
        <f t="shared" ref="CR645:CR664" si="2742">AA645</f>
        <v>0</v>
      </c>
      <c r="CS645" s="161">
        <f t="shared" ref="CS645:CS664" si="2743">AB645</f>
        <v>0</v>
      </c>
      <c r="CT645" s="161">
        <f t="shared" ref="CT645:CT664" si="2744">AC645</f>
        <v>0</v>
      </c>
      <c r="CU645" s="161">
        <f t="shared" ref="CU645:CU664" si="2745">AD645</f>
        <v>0</v>
      </c>
      <c r="CV645" s="161">
        <f t="shared" ref="CV645:CV664" si="2746">AE645</f>
        <v>0</v>
      </c>
      <c r="CW645" s="161">
        <f t="shared" ref="CW645:CW664" si="2747">AF645</f>
        <v>0</v>
      </c>
      <c r="CX645" s="161">
        <f t="shared" ref="CX645:CX664" si="2748">AG645</f>
        <v>0</v>
      </c>
      <c r="CY645" s="161">
        <f t="shared" ref="CY645:CY664" si="2749">AH645</f>
        <v>0</v>
      </c>
      <c r="CZ645" s="161">
        <f t="shared" ref="CZ645:CZ664" si="2750">AI645</f>
        <v>0</v>
      </c>
      <c r="DA645" s="161">
        <f t="shared" ref="DA645:DA664" si="2751">AJ645</f>
        <v>0</v>
      </c>
      <c r="DB645" s="161">
        <f t="shared" ref="DB645:DB664" si="2752">AK645</f>
        <v>0</v>
      </c>
      <c r="DC645" s="161">
        <f t="shared" ref="DC645:DC664" si="2753">AL645</f>
        <v>0</v>
      </c>
      <c r="DD645" s="161">
        <f t="shared" ref="DD645:DD664" si="2754">AM645</f>
        <v>0</v>
      </c>
      <c r="DE645" s="161">
        <f t="shared" ref="DE645:DE664" si="2755">AN645</f>
        <v>0</v>
      </c>
      <c r="DF645" s="161">
        <f t="shared" ref="DF645:DF664" si="2756">AO645</f>
        <v>0</v>
      </c>
      <c r="DG645" s="161">
        <f t="shared" ref="DG645:DG664" si="2757">AP645</f>
        <v>0</v>
      </c>
      <c r="DH645" s="161">
        <f t="shared" ref="DH645:DH664" si="2758">AQ645</f>
        <v>0</v>
      </c>
      <c r="DI645" s="161">
        <f t="shared" ref="DI645:DI664" si="2759">AR645</f>
        <v>0</v>
      </c>
      <c r="DJ645" s="161">
        <f t="shared" ref="DJ645:DJ664" si="2760">AS645</f>
        <v>0</v>
      </c>
      <c r="DK645" s="161">
        <f t="shared" ref="DK645:DK664" si="2761">AT645</f>
        <v>0</v>
      </c>
      <c r="DL645" s="161">
        <f t="shared" ref="DL645:DL664" si="2762">AU645</f>
        <v>0</v>
      </c>
      <c r="DM645" s="161">
        <f t="shared" ref="DM645:DM664" si="2763">AV645</f>
        <v>0</v>
      </c>
      <c r="DN645" s="161">
        <f t="shared" ref="DN645:DN664" si="2764">AW645</f>
        <v>0</v>
      </c>
      <c r="DO645" s="161">
        <f t="shared" ref="DO645:DO664" si="2765">AX645</f>
        <v>0</v>
      </c>
      <c r="DP645" s="161">
        <f t="shared" ref="DP645:DP664" si="2766">AY645</f>
        <v>0</v>
      </c>
      <c r="DQ645" s="161">
        <f t="shared" ref="DQ645:DQ664" si="2767">AZ645</f>
        <v>0</v>
      </c>
      <c r="DR645" s="161">
        <f t="shared" ref="DR645:DR664" si="2768">BA645</f>
        <v>0</v>
      </c>
      <c r="DS645" s="161">
        <f t="shared" ref="DS645:DS664" si="2769">BB645</f>
        <v>0</v>
      </c>
      <c r="DT645" s="161">
        <f t="shared" ref="DT645:DT664" si="2770">BC645</f>
        <v>0</v>
      </c>
      <c r="DU645" s="161">
        <f t="shared" ref="DU645:DU664" si="2771">BD645</f>
        <v>0</v>
      </c>
      <c r="DV645" s="161">
        <f t="shared" ref="DV645:DV664" si="2772">BE645</f>
        <v>0</v>
      </c>
      <c r="DW645" s="161">
        <f t="shared" ref="DW645:DW664" si="2773">BF645</f>
        <v>0</v>
      </c>
      <c r="DX645" s="161">
        <f t="shared" ref="DX645:DX664" si="2774">BG645</f>
        <v>0</v>
      </c>
      <c r="DY645" s="161">
        <f t="shared" ref="DY645:DY664" si="2775">BH645</f>
        <v>0</v>
      </c>
      <c r="DZ645" s="161">
        <f t="shared" ref="DZ645:DZ664" si="2776">BI645</f>
        <v>0</v>
      </c>
      <c r="EA645" s="161">
        <f t="shared" ref="EA645:EA664" si="2777">BJ645</f>
        <v>0</v>
      </c>
      <c r="EB645" s="161">
        <f t="shared" ref="EB645:EB664" si="2778">BK645</f>
        <v>0</v>
      </c>
      <c r="EC645" s="161">
        <f t="shared" ref="EC645:EC664" si="2779">BL645</f>
        <v>0</v>
      </c>
      <c r="ED645" s="161">
        <f t="shared" ref="ED645:ED664" si="2780">BM645</f>
        <v>0</v>
      </c>
      <c r="EE645" s="161">
        <f t="shared" ref="EE645:EE664" si="2781">BN645</f>
        <v>0</v>
      </c>
      <c r="EF645" s="161">
        <f t="shared" ref="EF645:EF664" si="2782">BO645</f>
        <v>0</v>
      </c>
      <c r="EG645" s="161">
        <f t="shared" ref="EG645:EG664" si="2783">BP645</f>
        <v>0</v>
      </c>
      <c r="EH645" s="161">
        <f t="shared" ref="EH645:EH664" si="2784">BQ645</f>
        <v>0</v>
      </c>
      <c r="EI645" s="161">
        <f t="shared" ref="EI645:EI664" si="2785">BR645</f>
        <v>0</v>
      </c>
      <c r="EJ645" s="65"/>
      <c r="EK645" s="161">
        <f>$EK$644</f>
        <v>0</v>
      </c>
      <c r="EL645" s="161">
        <f>$EL$644</f>
        <v>0</v>
      </c>
      <c r="EM645" s="161">
        <f>$EM$644</f>
        <v>0</v>
      </c>
    </row>
    <row r="646" spans="1:143" ht="12" hidden="1" customHeight="1" outlineLevel="2">
      <c r="A646" s="77">
        <v>2</v>
      </c>
      <c r="B646" s="137" t="str">
        <f t="shared" ref="B646:B664" si="2786">IF(G646&gt;0,G646&amp;" - "&amp;$F$213,"")</f>
        <v>COORD. - Equipe_01</v>
      </c>
      <c r="C646" s="65"/>
      <c r="D646" s="621"/>
      <c r="E646" s="65"/>
      <c r="F646" s="603"/>
      <c r="G646" s="77" t="str">
        <f>IF(INDEX(Tarefas!$BT$30:$FK$30,MATCH(A646,Tarefas!$BT$28:$FK$28,0))=0,"",INDEX(Tarefas!$BT$30:$FK$30,MATCH(A646,Tarefas!$BT$28:$FK$28,0)))</f>
        <v>COORD.</v>
      </c>
      <c r="H646" s="107" cm="1">
        <f t="array" ref="H646">IFERROR((SUMPRODUCT((Tarefas!$N$32:$N$54='Cronog. e Histog.'!$F$645)*(Tarefas!$BQ$30:$FK$30='Cronog. e Histog.'!$G646)*(Tarefas!$BQ$32:$FK$54)))/SUMIF(Tarefas!$N$32:$N$54,'Cronog. e Histog.'!$F$645,Tarefas!$K$32:$K$54),0)</f>
        <v>0</v>
      </c>
      <c r="I646" s="79">
        <f t="shared" ref="I646:I664" si="2787">IFERROR(H646/$H$665,0)</f>
        <v>0</v>
      </c>
      <c r="J646" s="65"/>
      <c r="K646" s="160">
        <f t="shared" si="2720"/>
        <v>0</v>
      </c>
      <c r="L646" s="160">
        <f t="shared" si="2720"/>
        <v>0</v>
      </c>
      <c r="M646" s="160">
        <f t="shared" si="2720"/>
        <v>0</v>
      </c>
      <c r="N646" s="160">
        <f t="shared" si="2720"/>
        <v>0</v>
      </c>
      <c r="O646" s="160">
        <f t="shared" si="2720"/>
        <v>0</v>
      </c>
      <c r="P646" s="160">
        <f t="shared" si="2720"/>
        <v>0</v>
      </c>
      <c r="Q646" s="160">
        <f t="shared" si="2720"/>
        <v>0</v>
      </c>
      <c r="R646" s="160">
        <f t="shared" si="2720"/>
        <v>0</v>
      </c>
      <c r="S646" s="160">
        <f t="shared" si="2720"/>
        <v>0</v>
      </c>
      <c r="T646" s="160">
        <f t="shared" si="2720"/>
        <v>0</v>
      </c>
      <c r="U646" s="160">
        <f t="shared" si="2720"/>
        <v>0</v>
      </c>
      <c r="V646" s="160">
        <f t="shared" si="2720"/>
        <v>0</v>
      </c>
      <c r="W646" s="160">
        <f t="shared" si="2720"/>
        <v>0</v>
      </c>
      <c r="X646" s="160">
        <f t="shared" si="2720"/>
        <v>0</v>
      </c>
      <c r="Y646" s="160">
        <f t="shared" si="2720"/>
        <v>0</v>
      </c>
      <c r="Z646" s="160">
        <f t="shared" si="2720"/>
        <v>0</v>
      </c>
      <c r="AA646" s="160">
        <f t="shared" ref="AA646:AP655" si="2788">ROUND($I646*AA$201,2)</f>
        <v>0</v>
      </c>
      <c r="AB646" s="160">
        <f t="shared" si="2788"/>
        <v>0</v>
      </c>
      <c r="AC646" s="160">
        <f t="shared" si="2788"/>
        <v>0</v>
      </c>
      <c r="AD646" s="160">
        <f t="shared" si="2788"/>
        <v>0</v>
      </c>
      <c r="AE646" s="160">
        <f t="shared" si="2788"/>
        <v>0</v>
      </c>
      <c r="AF646" s="160">
        <f t="shared" si="2788"/>
        <v>0</v>
      </c>
      <c r="AG646" s="160">
        <f t="shared" si="2788"/>
        <v>0</v>
      </c>
      <c r="AH646" s="160">
        <f t="shared" si="2788"/>
        <v>0</v>
      </c>
      <c r="AI646" s="160">
        <f t="shared" si="2788"/>
        <v>0</v>
      </c>
      <c r="AJ646" s="160">
        <f t="shared" si="2788"/>
        <v>0</v>
      </c>
      <c r="AK646" s="160">
        <f t="shared" si="2788"/>
        <v>0</v>
      </c>
      <c r="AL646" s="160">
        <f t="shared" si="2788"/>
        <v>0</v>
      </c>
      <c r="AM646" s="160">
        <f t="shared" si="2788"/>
        <v>0</v>
      </c>
      <c r="AN646" s="160">
        <f t="shared" si="2788"/>
        <v>0</v>
      </c>
      <c r="AO646" s="160">
        <f t="shared" si="2788"/>
        <v>0</v>
      </c>
      <c r="AP646" s="160">
        <f t="shared" si="2788"/>
        <v>0</v>
      </c>
      <c r="AQ646" s="160">
        <f t="shared" ref="AQ646:BF655" si="2789">ROUND($I646*AQ$201,2)</f>
        <v>0</v>
      </c>
      <c r="AR646" s="160">
        <f t="shared" si="2789"/>
        <v>0</v>
      </c>
      <c r="AS646" s="160">
        <f t="shared" si="2789"/>
        <v>0</v>
      </c>
      <c r="AT646" s="160">
        <f t="shared" si="2789"/>
        <v>0</v>
      </c>
      <c r="AU646" s="160">
        <f t="shared" si="2789"/>
        <v>0</v>
      </c>
      <c r="AV646" s="160">
        <f t="shared" si="2789"/>
        <v>0</v>
      </c>
      <c r="AW646" s="160">
        <f t="shared" si="2789"/>
        <v>0</v>
      </c>
      <c r="AX646" s="160">
        <f t="shared" si="2789"/>
        <v>0</v>
      </c>
      <c r="AY646" s="160">
        <f t="shared" si="2789"/>
        <v>0</v>
      </c>
      <c r="AZ646" s="160">
        <f t="shared" si="2789"/>
        <v>0</v>
      </c>
      <c r="BA646" s="160">
        <f t="shared" si="2789"/>
        <v>0</v>
      </c>
      <c r="BB646" s="160">
        <f t="shared" si="2789"/>
        <v>0</v>
      </c>
      <c r="BC646" s="160">
        <f t="shared" si="2789"/>
        <v>0</v>
      </c>
      <c r="BD646" s="160">
        <f t="shared" si="2789"/>
        <v>0</v>
      </c>
      <c r="BE646" s="160">
        <f t="shared" si="2789"/>
        <v>0</v>
      </c>
      <c r="BF646" s="160">
        <f t="shared" si="2789"/>
        <v>0</v>
      </c>
      <c r="BG646" s="160">
        <f t="shared" ref="BG646:BR655" si="2790">ROUND($I646*BG$201,2)</f>
        <v>0</v>
      </c>
      <c r="BH646" s="160">
        <f t="shared" si="2790"/>
        <v>0</v>
      </c>
      <c r="BI646" s="160">
        <f t="shared" si="2790"/>
        <v>0</v>
      </c>
      <c r="BJ646" s="160">
        <f t="shared" si="2790"/>
        <v>0</v>
      </c>
      <c r="BK646" s="160">
        <f t="shared" si="2790"/>
        <v>0</v>
      </c>
      <c r="BL646" s="160">
        <f t="shared" si="2790"/>
        <v>0</v>
      </c>
      <c r="BM646" s="160">
        <f t="shared" si="2790"/>
        <v>0</v>
      </c>
      <c r="BN646" s="160">
        <f t="shared" si="2790"/>
        <v>0</v>
      </c>
      <c r="BO646" s="160">
        <f t="shared" si="2790"/>
        <v>0</v>
      </c>
      <c r="BP646" s="160">
        <f t="shared" si="2790"/>
        <v>0</v>
      </c>
      <c r="BQ646" s="160">
        <f t="shared" si="2790"/>
        <v>0</v>
      </c>
      <c r="BR646" s="160">
        <f t="shared" si="2790"/>
        <v>0</v>
      </c>
      <c r="BS646" s="65"/>
      <c r="BT646" s="160">
        <f t="shared" ref="BT646:BT655" si="2791">IFERROR(SUM(K646:BR646)/COUNTIF(K646:BR646,"&gt;0"),0)</f>
        <v>0</v>
      </c>
      <c r="BU646" s="160">
        <f t="shared" ref="BU646:BU655" si="2792">COUNTIF(K646:BR646,"&gt;0")</f>
        <v>0</v>
      </c>
      <c r="BV646" s="65"/>
      <c r="BW646" s="69"/>
      <c r="BX646" s="65"/>
      <c r="BY646" s="137">
        <f t="shared" ref="BY646:BY655" si="2793">IF(G646&gt;0,1,0)</f>
        <v>1</v>
      </c>
      <c r="BZ646" s="137">
        <f>IF(BY646&gt;0,BY646+LARGE($BZ$213:BZ645,1),0)</f>
        <v>362</v>
      </c>
      <c r="CA646" s="137" t="str">
        <f t="shared" ref="CA646:CA655" si="2794">G646</f>
        <v>COORD.</v>
      </c>
      <c r="CB646" s="161">
        <f t="shared" ref="CB646:CB655" si="2795">K646</f>
        <v>0</v>
      </c>
      <c r="CC646" s="161">
        <f t="shared" ref="CC646:CC655" si="2796">L646</f>
        <v>0</v>
      </c>
      <c r="CD646" s="161">
        <f t="shared" ref="CD646:CD655" si="2797">M646</f>
        <v>0</v>
      </c>
      <c r="CE646" s="161">
        <f t="shared" ref="CE646:CE655" si="2798">N646</f>
        <v>0</v>
      </c>
      <c r="CF646" s="161">
        <f t="shared" ref="CF646:CF655" si="2799">O646</f>
        <v>0</v>
      </c>
      <c r="CG646" s="161">
        <f t="shared" ref="CG646:CG655" si="2800">P646</f>
        <v>0</v>
      </c>
      <c r="CH646" s="161">
        <f t="shared" ref="CH646:CH655" si="2801">Q646</f>
        <v>0</v>
      </c>
      <c r="CI646" s="161">
        <f t="shared" ref="CI646:CI655" si="2802">R646</f>
        <v>0</v>
      </c>
      <c r="CJ646" s="161">
        <f t="shared" ref="CJ646:CJ655" si="2803">S646</f>
        <v>0</v>
      </c>
      <c r="CK646" s="161">
        <f t="shared" ref="CK646:CK655" si="2804">T646</f>
        <v>0</v>
      </c>
      <c r="CL646" s="161">
        <f t="shared" ref="CL646:CL655" si="2805">U646</f>
        <v>0</v>
      </c>
      <c r="CM646" s="161">
        <f t="shared" ref="CM646:CM655" si="2806">V646</f>
        <v>0</v>
      </c>
      <c r="CN646" s="161">
        <f t="shared" ref="CN646:CN655" si="2807">W646</f>
        <v>0</v>
      </c>
      <c r="CO646" s="161">
        <f t="shared" ref="CO646:CO655" si="2808">X646</f>
        <v>0</v>
      </c>
      <c r="CP646" s="161">
        <f t="shared" ref="CP646:CP655" si="2809">Y646</f>
        <v>0</v>
      </c>
      <c r="CQ646" s="161">
        <f t="shared" ref="CQ646:CQ655" si="2810">Z646</f>
        <v>0</v>
      </c>
      <c r="CR646" s="161">
        <f t="shared" ref="CR646:CR655" si="2811">AA646</f>
        <v>0</v>
      </c>
      <c r="CS646" s="161">
        <f t="shared" ref="CS646:CS655" si="2812">AB646</f>
        <v>0</v>
      </c>
      <c r="CT646" s="161">
        <f t="shared" ref="CT646:CT655" si="2813">AC646</f>
        <v>0</v>
      </c>
      <c r="CU646" s="161">
        <f t="shared" ref="CU646:CU655" si="2814">AD646</f>
        <v>0</v>
      </c>
      <c r="CV646" s="161">
        <f t="shared" ref="CV646:CV655" si="2815">AE646</f>
        <v>0</v>
      </c>
      <c r="CW646" s="161">
        <f t="shared" ref="CW646:CW655" si="2816">AF646</f>
        <v>0</v>
      </c>
      <c r="CX646" s="161">
        <f t="shared" ref="CX646:CX655" si="2817">AG646</f>
        <v>0</v>
      </c>
      <c r="CY646" s="161">
        <f t="shared" ref="CY646:CY655" si="2818">AH646</f>
        <v>0</v>
      </c>
      <c r="CZ646" s="161">
        <f t="shared" ref="CZ646:CZ655" si="2819">AI646</f>
        <v>0</v>
      </c>
      <c r="DA646" s="161">
        <f t="shared" ref="DA646:DA655" si="2820">AJ646</f>
        <v>0</v>
      </c>
      <c r="DB646" s="161">
        <f t="shared" ref="DB646:DB655" si="2821">AK646</f>
        <v>0</v>
      </c>
      <c r="DC646" s="161">
        <f t="shared" ref="DC646:DC655" si="2822">AL646</f>
        <v>0</v>
      </c>
      <c r="DD646" s="161">
        <f t="shared" ref="DD646:DD655" si="2823">AM646</f>
        <v>0</v>
      </c>
      <c r="DE646" s="161">
        <f t="shared" ref="DE646:DE655" si="2824">AN646</f>
        <v>0</v>
      </c>
      <c r="DF646" s="161">
        <f t="shared" ref="DF646:DF655" si="2825">AO646</f>
        <v>0</v>
      </c>
      <c r="DG646" s="161">
        <f t="shared" ref="DG646:DG655" si="2826">AP646</f>
        <v>0</v>
      </c>
      <c r="DH646" s="161">
        <f t="shared" ref="DH646:DH655" si="2827">AQ646</f>
        <v>0</v>
      </c>
      <c r="DI646" s="161">
        <f t="shared" ref="DI646:DI655" si="2828">AR646</f>
        <v>0</v>
      </c>
      <c r="DJ646" s="161">
        <f t="shared" ref="DJ646:DJ655" si="2829">AS646</f>
        <v>0</v>
      </c>
      <c r="DK646" s="161">
        <f t="shared" ref="DK646:DK655" si="2830">AT646</f>
        <v>0</v>
      </c>
      <c r="DL646" s="161">
        <f t="shared" ref="DL646:DL655" si="2831">AU646</f>
        <v>0</v>
      </c>
      <c r="DM646" s="161">
        <f t="shared" ref="DM646:DM655" si="2832">AV646</f>
        <v>0</v>
      </c>
      <c r="DN646" s="161">
        <f t="shared" ref="DN646:DN655" si="2833">AW646</f>
        <v>0</v>
      </c>
      <c r="DO646" s="161">
        <f t="shared" ref="DO646:DO655" si="2834">AX646</f>
        <v>0</v>
      </c>
      <c r="DP646" s="161">
        <f t="shared" ref="DP646:DP655" si="2835">AY646</f>
        <v>0</v>
      </c>
      <c r="DQ646" s="161">
        <f t="shared" ref="DQ646:DQ655" si="2836">AZ646</f>
        <v>0</v>
      </c>
      <c r="DR646" s="161">
        <f t="shared" ref="DR646:DR655" si="2837">BA646</f>
        <v>0</v>
      </c>
      <c r="DS646" s="161">
        <f t="shared" ref="DS646:DS655" si="2838">BB646</f>
        <v>0</v>
      </c>
      <c r="DT646" s="161">
        <f t="shared" ref="DT646:DT655" si="2839">BC646</f>
        <v>0</v>
      </c>
      <c r="DU646" s="161">
        <f t="shared" ref="DU646:DU655" si="2840">BD646</f>
        <v>0</v>
      </c>
      <c r="DV646" s="161">
        <f t="shared" ref="DV646:DV655" si="2841">BE646</f>
        <v>0</v>
      </c>
      <c r="DW646" s="161">
        <f t="shared" ref="DW646:DW655" si="2842">BF646</f>
        <v>0</v>
      </c>
      <c r="DX646" s="161">
        <f t="shared" ref="DX646:DX655" si="2843">BG646</f>
        <v>0</v>
      </c>
      <c r="DY646" s="161">
        <f t="shared" ref="DY646:DY655" si="2844">BH646</f>
        <v>0</v>
      </c>
      <c r="DZ646" s="161">
        <f t="shared" ref="DZ646:DZ655" si="2845">BI646</f>
        <v>0</v>
      </c>
      <c r="EA646" s="161">
        <f t="shared" ref="EA646:EA655" si="2846">BJ646</f>
        <v>0</v>
      </c>
      <c r="EB646" s="161">
        <f t="shared" ref="EB646:EB655" si="2847">BK646</f>
        <v>0</v>
      </c>
      <c r="EC646" s="161">
        <f t="shared" ref="EC646:EC655" si="2848">BL646</f>
        <v>0</v>
      </c>
      <c r="ED646" s="161">
        <f t="shared" ref="ED646:ED655" si="2849">BM646</f>
        <v>0</v>
      </c>
      <c r="EE646" s="161">
        <f t="shared" ref="EE646:EE655" si="2850">BN646</f>
        <v>0</v>
      </c>
      <c r="EF646" s="161">
        <f t="shared" ref="EF646:EF655" si="2851">BO646</f>
        <v>0</v>
      </c>
      <c r="EG646" s="161">
        <f t="shared" ref="EG646:EG655" si="2852">BP646</f>
        <v>0</v>
      </c>
      <c r="EH646" s="161">
        <f t="shared" ref="EH646:EH655" si="2853">BQ646</f>
        <v>0</v>
      </c>
      <c r="EI646" s="161">
        <f t="shared" ref="EI646:EI655" si="2854">BR646</f>
        <v>0</v>
      </c>
      <c r="EJ646" s="65"/>
      <c r="EK646" s="161">
        <f t="shared" ref="EK646:EK664" si="2855">$EK$644</f>
        <v>0</v>
      </c>
      <c r="EL646" s="161">
        <f t="shared" ref="EL646:EL664" si="2856">$EL$644</f>
        <v>0</v>
      </c>
      <c r="EM646" s="161">
        <f t="shared" ref="EM646:EM664" si="2857">$EM$644</f>
        <v>0</v>
      </c>
    </row>
    <row r="647" spans="1:143" ht="12" hidden="1" customHeight="1" outlineLevel="2">
      <c r="A647" s="77">
        <v>3</v>
      </c>
      <c r="B647" s="137" t="str">
        <f t="shared" si="2786"/>
        <v>SUP.-ESP - Equipe_01</v>
      </c>
      <c r="C647" s="65"/>
      <c r="D647" s="621"/>
      <c r="E647" s="65"/>
      <c r="F647" s="603"/>
      <c r="G647" s="77" t="str">
        <f>IF(INDEX(Tarefas!$BT$30:$FK$30,MATCH(A647,Tarefas!$BT$28:$FK$28,0))=0,"",INDEX(Tarefas!$BT$30:$FK$30,MATCH(A647,Tarefas!$BT$28:$FK$28,0)))</f>
        <v>SUP.-ESP</v>
      </c>
      <c r="H647" s="107" cm="1">
        <f t="array" ref="H647">IFERROR((SUMPRODUCT((Tarefas!$N$32:$N$54='Cronog. e Histog.'!$F$645)*(Tarefas!$BQ$30:$FK$30='Cronog. e Histog.'!$G647)*(Tarefas!$BQ$32:$FK$54)))/SUMIF(Tarefas!$N$32:$N$54,'Cronog. e Histog.'!$F$645,Tarefas!$K$32:$K$54),0)</f>
        <v>0</v>
      </c>
      <c r="I647" s="79">
        <f t="shared" si="2787"/>
        <v>0</v>
      </c>
      <c r="J647" s="65"/>
      <c r="K647" s="160">
        <f t="shared" si="2720"/>
        <v>0</v>
      </c>
      <c r="L647" s="160">
        <f t="shared" si="2720"/>
        <v>0</v>
      </c>
      <c r="M647" s="160">
        <f t="shared" si="2720"/>
        <v>0</v>
      </c>
      <c r="N647" s="160">
        <f t="shared" si="2720"/>
        <v>0</v>
      </c>
      <c r="O647" s="160">
        <f t="shared" si="2720"/>
        <v>0</v>
      </c>
      <c r="P647" s="160">
        <f t="shared" si="2720"/>
        <v>0</v>
      </c>
      <c r="Q647" s="160">
        <f t="shared" si="2720"/>
        <v>0</v>
      </c>
      <c r="R647" s="160">
        <f t="shared" si="2720"/>
        <v>0</v>
      </c>
      <c r="S647" s="160">
        <f t="shared" si="2720"/>
        <v>0</v>
      </c>
      <c r="T647" s="160">
        <f t="shared" si="2720"/>
        <v>0</v>
      </c>
      <c r="U647" s="160">
        <f t="shared" si="2720"/>
        <v>0</v>
      </c>
      <c r="V647" s="160">
        <f t="shared" si="2720"/>
        <v>0</v>
      </c>
      <c r="W647" s="160">
        <f t="shared" si="2720"/>
        <v>0</v>
      </c>
      <c r="X647" s="160">
        <f t="shared" si="2720"/>
        <v>0</v>
      </c>
      <c r="Y647" s="160">
        <f t="shared" si="2720"/>
        <v>0</v>
      </c>
      <c r="Z647" s="160">
        <f t="shared" si="2720"/>
        <v>0</v>
      </c>
      <c r="AA647" s="160">
        <f t="shared" si="2788"/>
        <v>0</v>
      </c>
      <c r="AB647" s="160">
        <f t="shared" si="2788"/>
        <v>0</v>
      </c>
      <c r="AC647" s="160">
        <f t="shared" si="2788"/>
        <v>0</v>
      </c>
      <c r="AD647" s="160">
        <f t="shared" si="2788"/>
        <v>0</v>
      </c>
      <c r="AE647" s="160">
        <f t="shared" si="2788"/>
        <v>0</v>
      </c>
      <c r="AF647" s="160">
        <f t="shared" si="2788"/>
        <v>0</v>
      </c>
      <c r="AG647" s="160">
        <f t="shared" si="2788"/>
        <v>0</v>
      </c>
      <c r="AH647" s="160">
        <f t="shared" si="2788"/>
        <v>0</v>
      </c>
      <c r="AI647" s="160">
        <f t="shared" si="2788"/>
        <v>0</v>
      </c>
      <c r="AJ647" s="160">
        <f t="shared" si="2788"/>
        <v>0</v>
      </c>
      <c r="AK647" s="160">
        <f t="shared" si="2788"/>
        <v>0</v>
      </c>
      <c r="AL647" s="160">
        <f t="shared" si="2788"/>
        <v>0</v>
      </c>
      <c r="AM647" s="160">
        <f t="shared" si="2788"/>
        <v>0</v>
      </c>
      <c r="AN647" s="160">
        <f t="shared" si="2788"/>
        <v>0</v>
      </c>
      <c r="AO647" s="160">
        <f t="shared" si="2788"/>
        <v>0</v>
      </c>
      <c r="AP647" s="160">
        <f t="shared" si="2788"/>
        <v>0</v>
      </c>
      <c r="AQ647" s="160">
        <f t="shared" si="2789"/>
        <v>0</v>
      </c>
      <c r="AR647" s="160">
        <f t="shared" si="2789"/>
        <v>0</v>
      </c>
      <c r="AS647" s="160">
        <f t="shared" si="2789"/>
        <v>0</v>
      </c>
      <c r="AT647" s="160">
        <f t="shared" si="2789"/>
        <v>0</v>
      </c>
      <c r="AU647" s="160">
        <f t="shared" si="2789"/>
        <v>0</v>
      </c>
      <c r="AV647" s="160">
        <f t="shared" si="2789"/>
        <v>0</v>
      </c>
      <c r="AW647" s="160">
        <f t="shared" si="2789"/>
        <v>0</v>
      </c>
      <c r="AX647" s="160">
        <f t="shared" si="2789"/>
        <v>0</v>
      </c>
      <c r="AY647" s="160">
        <f t="shared" si="2789"/>
        <v>0</v>
      </c>
      <c r="AZ647" s="160">
        <f t="shared" si="2789"/>
        <v>0</v>
      </c>
      <c r="BA647" s="160">
        <f t="shared" si="2789"/>
        <v>0</v>
      </c>
      <c r="BB647" s="160">
        <f t="shared" si="2789"/>
        <v>0</v>
      </c>
      <c r="BC647" s="160">
        <f t="shared" si="2789"/>
        <v>0</v>
      </c>
      <c r="BD647" s="160">
        <f t="shared" si="2789"/>
        <v>0</v>
      </c>
      <c r="BE647" s="160">
        <f t="shared" si="2789"/>
        <v>0</v>
      </c>
      <c r="BF647" s="160">
        <f t="shared" si="2789"/>
        <v>0</v>
      </c>
      <c r="BG647" s="160">
        <f t="shared" si="2790"/>
        <v>0</v>
      </c>
      <c r="BH647" s="160">
        <f t="shared" si="2790"/>
        <v>0</v>
      </c>
      <c r="BI647" s="160">
        <f t="shared" si="2790"/>
        <v>0</v>
      </c>
      <c r="BJ647" s="160">
        <f t="shared" si="2790"/>
        <v>0</v>
      </c>
      <c r="BK647" s="160">
        <f t="shared" si="2790"/>
        <v>0</v>
      </c>
      <c r="BL647" s="160">
        <f t="shared" si="2790"/>
        <v>0</v>
      </c>
      <c r="BM647" s="160">
        <f t="shared" si="2790"/>
        <v>0</v>
      </c>
      <c r="BN647" s="160">
        <f t="shared" si="2790"/>
        <v>0</v>
      </c>
      <c r="BO647" s="160">
        <f t="shared" si="2790"/>
        <v>0</v>
      </c>
      <c r="BP647" s="160">
        <f t="shared" si="2790"/>
        <v>0</v>
      </c>
      <c r="BQ647" s="160">
        <f t="shared" si="2790"/>
        <v>0</v>
      </c>
      <c r="BR647" s="160">
        <f t="shared" si="2790"/>
        <v>0</v>
      </c>
      <c r="BS647" s="65"/>
      <c r="BT647" s="160">
        <f t="shared" si="2791"/>
        <v>0</v>
      </c>
      <c r="BU647" s="160">
        <f t="shared" si="2792"/>
        <v>0</v>
      </c>
      <c r="BV647" s="65"/>
      <c r="BW647" s="69"/>
      <c r="BX647" s="65"/>
      <c r="BY647" s="137">
        <f t="shared" si="2793"/>
        <v>1</v>
      </c>
      <c r="BZ647" s="137">
        <f>IF(BY647&gt;0,BY647+LARGE($BZ$213:BZ646,1),0)</f>
        <v>363</v>
      </c>
      <c r="CA647" s="137" t="str">
        <f t="shared" si="2794"/>
        <v>SUP.-ESP</v>
      </c>
      <c r="CB647" s="161">
        <f t="shared" si="2795"/>
        <v>0</v>
      </c>
      <c r="CC647" s="161">
        <f t="shared" si="2796"/>
        <v>0</v>
      </c>
      <c r="CD647" s="161">
        <f t="shared" si="2797"/>
        <v>0</v>
      </c>
      <c r="CE647" s="161">
        <f t="shared" si="2798"/>
        <v>0</v>
      </c>
      <c r="CF647" s="161">
        <f t="shared" si="2799"/>
        <v>0</v>
      </c>
      <c r="CG647" s="161">
        <f t="shared" si="2800"/>
        <v>0</v>
      </c>
      <c r="CH647" s="161">
        <f t="shared" si="2801"/>
        <v>0</v>
      </c>
      <c r="CI647" s="161">
        <f t="shared" si="2802"/>
        <v>0</v>
      </c>
      <c r="CJ647" s="161">
        <f t="shared" si="2803"/>
        <v>0</v>
      </c>
      <c r="CK647" s="161">
        <f t="shared" si="2804"/>
        <v>0</v>
      </c>
      <c r="CL647" s="161">
        <f t="shared" si="2805"/>
        <v>0</v>
      </c>
      <c r="CM647" s="161">
        <f t="shared" si="2806"/>
        <v>0</v>
      </c>
      <c r="CN647" s="161">
        <f t="shared" si="2807"/>
        <v>0</v>
      </c>
      <c r="CO647" s="161">
        <f t="shared" si="2808"/>
        <v>0</v>
      </c>
      <c r="CP647" s="161">
        <f t="shared" si="2809"/>
        <v>0</v>
      </c>
      <c r="CQ647" s="161">
        <f t="shared" si="2810"/>
        <v>0</v>
      </c>
      <c r="CR647" s="161">
        <f t="shared" si="2811"/>
        <v>0</v>
      </c>
      <c r="CS647" s="161">
        <f t="shared" si="2812"/>
        <v>0</v>
      </c>
      <c r="CT647" s="161">
        <f t="shared" si="2813"/>
        <v>0</v>
      </c>
      <c r="CU647" s="161">
        <f t="shared" si="2814"/>
        <v>0</v>
      </c>
      <c r="CV647" s="161">
        <f t="shared" si="2815"/>
        <v>0</v>
      </c>
      <c r="CW647" s="161">
        <f t="shared" si="2816"/>
        <v>0</v>
      </c>
      <c r="CX647" s="161">
        <f t="shared" si="2817"/>
        <v>0</v>
      </c>
      <c r="CY647" s="161">
        <f t="shared" si="2818"/>
        <v>0</v>
      </c>
      <c r="CZ647" s="161">
        <f t="shared" si="2819"/>
        <v>0</v>
      </c>
      <c r="DA647" s="161">
        <f t="shared" si="2820"/>
        <v>0</v>
      </c>
      <c r="DB647" s="161">
        <f t="shared" si="2821"/>
        <v>0</v>
      </c>
      <c r="DC647" s="161">
        <f t="shared" si="2822"/>
        <v>0</v>
      </c>
      <c r="DD647" s="161">
        <f t="shared" si="2823"/>
        <v>0</v>
      </c>
      <c r="DE647" s="161">
        <f t="shared" si="2824"/>
        <v>0</v>
      </c>
      <c r="DF647" s="161">
        <f t="shared" si="2825"/>
        <v>0</v>
      </c>
      <c r="DG647" s="161">
        <f t="shared" si="2826"/>
        <v>0</v>
      </c>
      <c r="DH647" s="161">
        <f t="shared" si="2827"/>
        <v>0</v>
      </c>
      <c r="DI647" s="161">
        <f t="shared" si="2828"/>
        <v>0</v>
      </c>
      <c r="DJ647" s="161">
        <f t="shared" si="2829"/>
        <v>0</v>
      </c>
      <c r="DK647" s="161">
        <f t="shared" si="2830"/>
        <v>0</v>
      </c>
      <c r="DL647" s="161">
        <f t="shared" si="2831"/>
        <v>0</v>
      </c>
      <c r="DM647" s="161">
        <f t="shared" si="2832"/>
        <v>0</v>
      </c>
      <c r="DN647" s="161">
        <f t="shared" si="2833"/>
        <v>0</v>
      </c>
      <c r="DO647" s="161">
        <f t="shared" si="2834"/>
        <v>0</v>
      </c>
      <c r="DP647" s="161">
        <f t="shared" si="2835"/>
        <v>0</v>
      </c>
      <c r="DQ647" s="161">
        <f t="shared" si="2836"/>
        <v>0</v>
      </c>
      <c r="DR647" s="161">
        <f t="shared" si="2837"/>
        <v>0</v>
      </c>
      <c r="DS647" s="161">
        <f t="shared" si="2838"/>
        <v>0</v>
      </c>
      <c r="DT647" s="161">
        <f t="shared" si="2839"/>
        <v>0</v>
      </c>
      <c r="DU647" s="161">
        <f t="shared" si="2840"/>
        <v>0</v>
      </c>
      <c r="DV647" s="161">
        <f t="shared" si="2841"/>
        <v>0</v>
      </c>
      <c r="DW647" s="161">
        <f t="shared" si="2842"/>
        <v>0</v>
      </c>
      <c r="DX647" s="161">
        <f t="shared" si="2843"/>
        <v>0</v>
      </c>
      <c r="DY647" s="161">
        <f t="shared" si="2844"/>
        <v>0</v>
      </c>
      <c r="DZ647" s="161">
        <f t="shared" si="2845"/>
        <v>0</v>
      </c>
      <c r="EA647" s="161">
        <f t="shared" si="2846"/>
        <v>0</v>
      </c>
      <c r="EB647" s="161">
        <f t="shared" si="2847"/>
        <v>0</v>
      </c>
      <c r="EC647" s="161">
        <f t="shared" si="2848"/>
        <v>0</v>
      </c>
      <c r="ED647" s="161">
        <f t="shared" si="2849"/>
        <v>0</v>
      </c>
      <c r="EE647" s="161">
        <f t="shared" si="2850"/>
        <v>0</v>
      </c>
      <c r="EF647" s="161">
        <f t="shared" si="2851"/>
        <v>0</v>
      </c>
      <c r="EG647" s="161">
        <f t="shared" si="2852"/>
        <v>0</v>
      </c>
      <c r="EH647" s="161">
        <f t="shared" si="2853"/>
        <v>0</v>
      </c>
      <c r="EI647" s="161">
        <f t="shared" si="2854"/>
        <v>0</v>
      </c>
      <c r="EJ647" s="65"/>
      <c r="EK647" s="161">
        <f t="shared" si="2855"/>
        <v>0</v>
      </c>
      <c r="EL647" s="161">
        <f t="shared" si="2856"/>
        <v>0</v>
      </c>
      <c r="EM647" s="161">
        <f t="shared" si="2857"/>
        <v>0</v>
      </c>
    </row>
    <row r="648" spans="1:143" ht="12" hidden="1" customHeight="1" outlineLevel="2">
      <c r="A648" s="77">
        <v>4</v>
      </c>
      <c r="B648" s="137" t="str">
        <f t="shared" si="2786"/>
        <v>ENG/ARQ SR. - Equipe_01</v>
      </c>
      <c r="C648" s="65"/>
      <c r="D648" s="621"/>
      <c r="E648" s="65"/>
      <c r="F648" s="603"/>
      <c r="G648" s="77" t="str">
        <f>IF(INDEX(Tarefas!$BT$30:$FK$30,MATCH(A648,Tarefas!$BT$28:$FK$28,0))=0,"",INDEX(Tarefas!$BT$30:$FK$30,MATCH(A648,Tarefas!$BT$28:$FK$28,0)))</f>
        <v>ENG/ARQ SR.</v>
      </c>
      <c r="H648" s="107" cm="1">
        <f t="array" ref="H648">IFERROR((SUMPRODUCT((Tarefas!$N$32:$N$54='Cronog. e Histog.'!$F$645)*(Tarefas!$BQ$30:$FK$30='Cronog. e Histog.'!$G648)*(Tarefas!$BQ$32:$FK$54)))/SUMIF(Tarefas!$N$32:$N$54,'Cronog. e Histog.'!$F$645,Tarefas!$K$32:$K$54),0)</f>
        <v>0</v>
      </c>
      <c r="I648" s="79">
        <f t="shared" si="2787"/>
        <v>0</v>
      </c>
      <c r="J648" s="65"/>
      <c r="K648" s="160">
        <f t="shared" si="2720"/>
        <v>0</v>
      </c>
      <c r="L648" s="160">
        <f t="shared" si="2720"/>
        <v>0</v>
      </c>
      <c r="M648" s="160">
        <f t="shared" si="2720"/>
        <v>0</v>
      </c>
      <c r="N648" s="160">
        <f t="shared" si="2720"/>
        <v>0</v>
      </c>
      <c r="O648" s="160">
        <f t="shared" si="2720"/>
        <v>0</v>
      </c>
      <c r="P648" s="160">
        <f t="shared" si="2720"/>
        <v>0</v>
      </c>
      <c r="Q648" s="160">
        <f t="shared" si="2720"/>
        <v>0</v>
      </c>
      <c r="R648" s="160">
        <f t="shared" si="2720"/>
        <v>0</v>
      </c>
      <c r="S648" s="160">
        <f t="shared" si="2720"/>
        <v>0</v>
      </c>
      <c r="T648" s="160">
        <f t="shared" si="2720"/>
        <v>0</v>
      </c>
      <c r="U648" s="160">
        <f t="shared" si="2720"/>
        <v>0</v>
      </c>
      <c r="V648" s="160">
        <f t="shared" si="2720"/>
        <v>0</v>
      </c>
      <c r="W648" s="160">
        <f t="shared" si="2720"/>
        <v>0</v>
      </c>
      <c r="X648" s="160">
        <f t="shared" si="2720"/>
        <v>0</v>
      </c>
      <c r="Y648" s="160">
        <f t="shared" si="2720"/>
        <v>0</v>
      </c>
      <c r="Z648" s="160">
        <f t="shared" si="2720"/>
        <v>0</v>
      </c>
      <c r="AA648" s="160">
        <f t="shared" si="2788"/>
        <v>0</v>
      </c>
      <c r="AB648" s="160">
        <f t="shared" si="2788"/>
        <v>0</v>
      </c>
      <c r="AC648" s="160">
        <f t="shared" si="2788"/>
        <v>0</v>
      </c>
      <c r="AD648" s="160">
        <f t="shared" si="2788"/>
        <v>0</v>
      </c>
      <c r="AE648" s="160">
        <f t="shared" si="2788"/>
        <v>0</v>
      </c>
      <c r="AF648" s="160">
        <f t="shared" si="2788"/>
        <v>0</v>
      </c>
      <c r="AG648" s="160">
        <f t="shared" si="2788"/>
        <v>0</v>
      </c>
      <c r="AH648" s="160">
        <f t="shared" si="2788"/>
        <v>0</v>
      </c>
      <c r="AI648" s="160">
        <f t="shared" si="2788"/>
        <v>0</v>
      </c>
      <c r="AJ648" s="160">
        <f t="shared" si="2788"/>
        <v>0</v>
      </c>
      <c r="AK648" s="160">
        <f t="shared" si="2788"/>
        <v>0</v>
      </c>
      <c r="AL648" s="160">
        <f t="shared" si="2788"/>
        <v>0</v>
      </c>
      <c r="AM648" s="160">
        <f t="shared" si="2788"/>
        <v>0</v>
      </c>
      <c r="AN648" s="160">
        <f t="shared" si="2788"/>
        <v>0</v>
      </c>
      <c r="AO648" s="160">
        <f t="shared" si="2788"/>
        <v>0</v>
      </c>
      <c r="AP648" s="160">
        <f t="shared" si="2788"/>
        <v>0</v>
      </c>
      <c r="AQ648" s="160">
        <f t="shared" si="2789"/>
        <v>0</v>
      </c>
      <c r="AR648" s="160">
        <f t="shared" si="2789"/>
        <v>0</v>
      </c>
      <c r="AS648" s="160">
        <f t="shared" si="2789"/>
        <v>0</v>
      </c>
      <c r="AT648" s="160">
        <f t="shared" si="2789"/>
        <v>0</v>
      </c>
      <c r="AU648" s="160">
        <f t="shared" si="2789"/>
        <v>0</v>
      </c>
      <c r="AV648" s="160">
        <f t="shared" si="2789"/>
        <v>0</v>
      </c>
      <c r="AW648" s="160">
        <f t="shared" si="2789"/>
        <v>0</v>
      </c>
      <c r="AX648" s="160">
        <f t="shared" si="2789"/>
        <v>0</v>
      </c>
      <c r="AY648" s="160">
        <f t="shared" si="2789"/>
        <v>0</v>
      </c>
      <c r="AZ648" s="160">
        <f t="shared" si="2789"/>
        <v>0</v>
      </c>
      <c r="BA648" s="160">
        <f t="shared" si="2789"/>
        <v>0</v>
      </c>
      <c r="BB648" s="160">
        <f t="shared" si="2789"/>
        <v>0</v>
      </c>
      <c r="BC648" s="160">
        <f t="shared" si="2789"/>
        <v>0</v>
      </c>
      <c r="BD648" s="160">
        <f t="shared" si="2789"/>
        <v>0</v>
      </c>
      <c r="BE648" s="160">
        <f t="shared" si="2789"/>
        <v>0</v>
      </c>
      <c r="BF648" s="160">
        <f t="shared" si="2789"/>
        <v>0</v>
      </c>
      <c r="BG648" s="160">
        <f t="shared" si="2790"/>
        <v>0</v>
      </c>
      <c r="BH648" s="160">
        <f t="shared" si="2790"/>
        <v>0</v>
      </c>
      <c r="BI648" s="160">
        <f t="shared" si="2790"/>
        <v>0</v>
      </c>
      <c r="BJ648" s="160">
        <f t="shared" si="2790"/>
        <v>0</v>
      </c>
      <c r="BK648" s="160">
        <f t="shared" si="2790"/>
        <v>0</v>
      </c>
      <c r="BL648" s="160">
        <f t="shared" si="2790"/>
        <v>0</v>
      </c>
      <c r="BM648" s="160">
        <f t="shared" si="2790"/>
        <v>0</v>
      </c>
      <c r="BN648" s="160">
        <f t="shared" si="2790"/>
        <v>0</v>
      </c>
      <c r="BO648" s="160">
        <f t="shared" si="2790"/>
        <v>0</v>
      </c>
      <c r="BP648" s="160">
        <f t="shared" si="2790"/>
        <v>0</v>
      </c>
      <c r="BQ648" s="160">
        <f t="shared" si="2790"/>
        <v>0</v>
      </c>
      <c r="BR648" s="160">
        <f t="shared" si="2790"/>
        <v>0</v>
      </c>
      <c r="BS648" s="65"/>
      <c r="BT648" s="160">
        <f t="shared" si="2791"/>
        <v>0</v>
      </c>
      <c r="BU648" s="160">
        <f t="shared" si="2792"/>
        <v>0</v>
      </c>
      <c r="BV648" s="65"/>
      <c r="BW648" s="69"/>
      <c r="BX648" s="65"/>
      <c r="BY648" s="137">
        <f t="shared" si="2793"/>
        <v>1</v>
      </c>
      <c r="BZ648" s="137">
        <f>IF(BY648&gt;0,BY648+LARGE($BZ$213:BZ647,1),0)</f>
        <v>364</v>
      </c>
      <c r="CA648" s="137" t="str">
        <f t="shared" si="2794"/>
        <v>ENG/ARQ SR.</v>
      </c>
      <c r="CB648" s="161">
        <f t="shared" si="2795"/>
        <v>0</v>
      </c>
      <c r="CC648" s="161">
        <f t="shared" si="2796"/>
        <v>0</v>
      </c>
      <c r="CD648" s="161">
        <f t="shared" si="2797"/>
        <v>0</v>
      </c>
      <c r="CE648" s="161">
        <f t="shared" si="2798"/>
        <v>0</v>
      </c>
      <c r="CF648" s="161">
        <f t="shared" si="2799"/>
        <v>0</v>
      </c>
      <c r="CG648" s="161">
        <f t="shared" si="2800"/>
        <v>0</v>
      </c>
      <c r="CH648" s="161">
        <f t="shared" si="2801"/>
        <v>0</v>
      </c>
      <c r="CI648" s="161">
        <f t="shared" si="2802"/>
        <v>0</v>
      </c>
      <c r="CJ648" s="161">
        <f t="shared" si="2803"/>
        <v>0</v>
      </c>
      <c r="CK648" s="161">
        <f t="shared" si="2804"/>
        <v>0</v>
      </c>
      <c r="CL648" s="161">
        <f t="shared" si="2805"/>
        <v>0</v>
      </c>
      <c r="CM648" s="161">
        <f t="shared" si="2806"/>
        <v>0</v>
      </c>
      <c r="CN648" s="161">
        <f t="shared" si="2807"/>
        <v>0</v>
      </c>
      <c r="CO648" s="161">
        <f t="shared" si="2808"/>
        <v>0</v>
      </c>
      <c r="CP648" s="161">
        <f t="shared" si="2809"/>
        <v>0</v>
      </c>
      <c r="CQ648" s="161">
        <f t="shared" si="2810"/>
        <v>0</v>
      </c>
      <c r="CR648" s="161">
        <f t="shared" si="2811"/>
        <v>0</v>
      </c>
      <c r="CS648" s="161">
        <f t="shared" si="2812"/>
        <v>0</v>
      </c>
      <c r="CT648" s="161">
        <f t="shared" si="2813"/>
        <v>0</v>
      </c>
      <c r="CU648" s="161">
        <f t="shared" si="2814"/>
        <v>0</v>
      </c>
      <c r="CV648" s="161">
        <f t="shared" si="2815"/>
        <v>0</v>
      </c>
      <c r="CW648" s="161">
        <f t="shared" si="2816"/>
        <v>0</v>
      </c>
      <c r="CX648" s="161">
        <f t="shared" si="2817"/>
        <v>0</v>
      </c>
      <c r="CY648" s="161">
        <f t="shared" si="2818"/>
        <v>0</v>
      </c>
      <c r="CZ648" s="161">
        <f t="shared" si="2819"/>
        <v>0</v>
      </c>
      <c r="DA648" s="161">
        <f t="shared" si="2820"/>
        <v>0</v>
      </c>
      <c r="DB648" s="161">
        <f t="shared" si="2821"/>
        <v>0</v>
      </c>
      <c r="DC648" s="161">
        <f t="shared" si="2822"/>
        <v>0</v>
      </c>
      <c r="DD648" s="161">
        <f t="shared" si="2823"/>
        <v>0</v>
      </c>
      <c r="DE648" s="161">
        <f t="shared" si="2824"/>
        <v>0</v>
      </c>
      <c r="DF648" s="161">
        <f t="shared" si="2825"/>
        <v>0</v>
      </c>
      <c r="DG648" s="161">
        <f t="shared" si="2826"/>
        <v>0</v>
      </c>
      <c r="DH648" s="161">
        <f t="shared" si="2827"/>
        <v>0</v>
      </c>
      <c r="DI648" s="161">
        <f t="shared" si="2828"/>
        <v>0</v>
      </c>
      <c r="DJ648" s="161">
        <f t="shared" si="2829"/>
        <v>0</v>
      </c>
      <c r="DK648" s="161">
        <f t="shared" si="2830"/>
        <v>0</v>
      </c>
      <c r="DL648" s="161">
        <f t="shared" si="2831"/>
        <v>0</v>
      </c>
      <c r="DM648" s="161">
        <f t="shared" si="2832"/>
        <v>0</v>
      </c>
      <c r="DN648" s="161">
        <f t="shared" si="2833"/>
        <v>0</v>
      </c>
      <c r="DO648" s="161">
        <f t="shared" si="2834"/>
        <v>0</v>
      </c>
      <c r="DP648" s="161">
        <f t="shared" si="2835"/>
        <v>0</v>
      </c>
      <c r="DQ648" s="161">
        <f t="shared" si="2836"/>
        <v>0</v>
      </c>
      <c r="DR648" s="161">
        <f t="shared" si="2837"/>
        <v>0</v>
      </c>
      <c r="DS648" s="161">
        <f t="shared" si="2838"/>
        <v>0</v>
      </c>
      <c r="DT648" s="161">
        <f t="shared" si="2839"/>
        <v>0</v>
      </c>
      <c r="DU648" s="161">
        <f t="shared" si="2840"/>
        <v>0</v>
      </c>
      <c r="DV648" s="161">
        <f t="shared" si="2841"/>
        <v>0</v>
      </c>
      <c r="DW648" s="161">
        <f t="shared" si="2842"/>
        <v>0</v>
      </c>
      <c r="DX648" s="161">
        <f t="shared" si="2843"/>
        <v>0</v>
      </c>
      <c r="DY648" s="161">
        <f t="shared" si="2844"/>
        <v>0</v>
      </c>
      <c r="DZ648" s="161">
        <f t="shared" si="2845"/>
        <v>0</v>
      </c>
      <c r="EA648" s="161">
        <f t="shared" si="2846"/>
        <v>0</v>
      </c>
      <c r="EB648" s="161">
        <f t="shared" si="2847"/>
        <v>0</v>
      </c>
      <c r="EC648" s="161">
        <f t="shared" si="2848"/>
        <v>0</v>
      </c>
      <c r="ED648" s="161">
        <f t="shared" si="2849"/>
        <v>0</v>
      </c>
      <c r="EE648" s="161">
        <f t="shared" si="2850"/>
        <v>0</v>
      </c>
      <c r="EF648" s="161">
        <f t="shared" si="2851"/>
        <v>0</v>
      </c>
      <c r="EG648" s="161">
        <f t="shared" si="2852"/>
        <v>0</v>
      </c>
      <c r="EH648" s="161">
        <f t="shared" si="2853"/>
        <v>0</v>
      </c>
      <c r="EI648" s="161">
        <f t="shared" si="2854"/>
        <v>0</v>
      </c>
      <c r="EJ648" s="65"/>
      <c r="EK648" s="161">
        <f t="shared" si="2855"/>
        <v>0</v>
      </c>
      <c r="EL648" s="161">
        <f t="shared" si="2856"/>
        <v>0</v>
      </c>
      <c r="EM648" s="161">
        <f t="shared" si="2857"/>
        <v>0</v>
      </c>
    </row>
    <row r="649" spans="1:143" ht="12" hidden="1" customHeight="1" outlineLevel="2">
      <c r="A649" s="77">
        <v>5</v>
      </c>
      <c r="B649" s="137" t="str">
        <f t="shared" si="2786"/>
        <v>ENG/ARQ PL. - Equipe_01</v>
      </c>
      <c r="C649" s="65"/>
      <c r="D649" s="621"/>
      <c r="E649" s="65"/>
      <c r="F649" s="603"/>
      <c r="G649" s="77" t="str">
        <f>IF(INDEX(Tarefas!$BT$30:$FK$30,MATCH(A649,Tarefas!$BT$28:$FK$28,0))=0,"",INDEX(Tarefas!$BT$30:$FK$30,MATCH(A649,Tarefas!$BT$28:$FK$28,0)))</f>
        <v>ENG/ARQ PL.</v>
      </c>
      <c r="H649" s="107" cm="1">
        <f t="array" ref="H649">IFERROR((SUMPRODUCT((Tarefas!$N$32:$N$54='Cronog. e Histog.'!$F$645)*(Tarefas!$BQ$30:$FK$30='Cronog. e Histog.'!$G649)*(Tarefas!$BQ$32:$FK$54)))/SUMIF(Tarefas!$N$32:$N$54,'Cronog. e Histog.'!$F$645,Tarefas!$K$32:$K$54),0)</f>
        <v>0</v>
      </c>
      <c r="I649" s="79">
        <f t="shared" si="2787"/>
        <v>0</v>
      </c>
      <c r="J649" s="65"/>
      <c r="K649" s="160">
        <f t="shared" si="2720"/>
        <v>0</v>
      </c>
      <c r="L649" s="160">
        <f t="shared" si="2720"/>
        <v>0</v>
      </c>
      <c r="M649" s="160">
        <f t="shared" si="2720"/>
        <v>0</v>
      </c>
      <c r="N649" s="160">
        <f t="shared" si="2720"/>
        <v>0</v>
      </c>
      <c r="O649" s="160">
        <f t="shared" si="2720"/>
        <v>0</v>
      </c>
      <c r="P649" s="160">
        <f t="shared" si="2720"/>
        <v>0</v>
      </c>
      <c r="Q649" s="160">
        <f t="shared" si="2720"/>
        <v>0</v>
      </c>
      <c r="R649" s="160">
        <f t="shared" si="2720"/>
        <v>0</v>
      </c>
      <c r="S649" s="160">
        <f t="shared" si="2720"/>
        <v>0</v>
      </c>
      <c r="T649" s="160">
        <f t="shared" si="2720"/>
        <v>0</v>
      </c>
      <c r="U649" s="160">
        <f t="shared" si="2720"/>
        <v>0</v>
      </c>
      <c r="V649" s="160">
        <f t="shared" si="2720"/>
        <v>0</v>
      </c>
      <c r="W649" s="160">
        <f t="shared" si="2720"/>
        <v>0</v>
      </c>
      <c r="X649" s="160">
        <f t="shared" si="2720"/>
        <v>0</v>
      </c>
      <c r="Y649" s="160">
        <f t="shared" si="2720"/>
        <v>0</v>
      </c>
      <c r="Z649" s="160">
        <f t="shared" si="2720"/>
        <v>0</v>
      </c>
      <c r="AA649" s="160">
        <f t="shared" si="2788"/>
        <v>0</v>
      </c>
      <c r="AB649" s="160">
        <f t="shared" si="2788"/>
        <v>0</v>
      </c>
      <c r="AC649" s="160">
        <f t="shared" si="2788"/>
        <v>0</v>
      </c>
      <c r="AD649" s="160">
        <f t="shared" si="2788"/>
        <v>0</v>
      </c>
      <c r="AE649" s="160">
        <f t="shared" si="2788"/>
        <v>0</v>
      </c>
      <c r="AF649" s="160">
        <f t="shared" si="2788"/>
        <v>0</v>
      </c>
      <c r="AG649" s="160">
        <f t="shared" si="2788"/>
        <v>0</v>
      </c>
      <c r="AH649" s="160">
        <f t="shared" si="2788"/>
        <v>0</v>
      </c>
      <c r="AI649" s="160">
        <f t="shared" si="2788"/>
        <v>0</v>
      </c>
      <c r="AJ649" s="160">
        <f t="shared" si="2788"/>
        <v>0</v>
      </c>
      <c r="AK649" s="160">
        <f t="shared" si="2788"/>
        <v>0</v>
      </c>
      <c r="AL649" s="160">
        <f t="shared" si="2788"/>
        <v>0</v>
      </c>
      <c r="AM649" s="160">
        <f t="shared" si="2788"/>
        <v>0</v>
      </c>
      <c r="AN649" s="160">
        <f t="shared" si="2788"/>
        <v>0</v>
      </c>
      <c r="AO649" s="160">
        <f t="shared" si="2788"/>
        <v>0</v>
      </c>
      <c r="AP649" s="160">
        <f t="shared" si="2788"/>
        <v>0</v>
      </c>
      <c r="AQ649" s="160">
        <f t="shared" si="2789"/>
        <v>0</v>
      </c>
      <c r="AR649" s="160">
        <f t="shared" si="2789"/>
        <v>0</v>
      </c>
      <c r="AS649" s="160">
        <f t="shared" si="2789"/>
        <v>0</v>
      </c>
      <c r="AT649" s="160">
        <f t="shared" si="2789"/>
        <v>0</v>
      </c>
      <c r="AU649" s="160">
        <f t="shared" si="2789"/>
        <v>0</v>
      </c>
      <c r="AV649" s="160">
        <f t="shared" si="2789"/>
        <v>0</v>
      </c>
      <c r="AW649" s="160">
        <f t="shared" si="2789"/>
        <v>0</v>
      </c>
      <c r="AX649" s="160">
        <f t="shared" si="2789"/>
        <v>0</v>
      </c>
      <c r="AY649" s="160">
        <f t="shared" si="2789"/>
        <v>0</v>
      </c>
      <c r="AZ649" s="160">
        <f t="shared" si="2789"/>
        <v>0</v>
      </c>
      <c r="BA649" s="160">
        <f t="shared" si="2789"/>
        <v>0</v>
      </c>
      <c r="BB649" s="160">
        <f t="shared" si="2789"/>
        <v>0</v>
      </c>
      <c r="BC649" s="160">
        <f t="shared" si="2789"/>
        <v>0</v>
      </c>
      <c r="BD649" s="160">
        <f t="shared" si="2789"/>
        <v>0</v>
      </c>
      <c r="BE649" s="160">
        <f t="shared" si="2789"/>
        <v>0</v>
      </c>
      <c r="BF649" s="160">
        <f t="shared" si="2789"/>
        <v>0</v>
      </c>
      <c r="BG649" s="160">
        <f t="shared" si="2790"/>
        <v>0</v>
      </c>
      <c r="BH649" s="160">
        <f t="shared" si="2790"/>
        <v>0</v>
      </c>
      <c r="BI649" s="160">
        <f t="shared" si="2790"/>
        <v>0</v>
      </c>
      <c r="BJ649" s="160">
        <f t="shared" si="2790"/>
        <v>0</v>
      </c>
      <c r="BK649" s="160">
        <f t="shared" si="2790"/>
        <v>0</v>
      </c>
      <c r="BL649" s="160">
        <f t="shared" si="2790"/>
        <v>0</v>
      </c>
      <c r="BM649" s="160">
        <f t="shared" si="2790"/>
        <v>0</v>
      </c>
      <c r="BN649" s="160">
        <f t="shared" si="2790"/>
        <v>0</v>
      </c>
      <c r="BO649" s="160">
        <f t="shared" si="2790"/>
        <v>0</v>
      </c>
      <c r="BP649" s="160">
        <f t="shared" si="2790"/>
        <v>0</v>
      </c>
      <c r="BQ649" s="160">
        <f t="shared" si="2790"/>
        <v>0</v>
      </c>
      <c r="BR649" s="160">
        <f t="shared" si="2790"/>
        <v>0</v>
      </c>
      <c r="BS649" s="65"/>
      <c r="BT649" s="160">
        <f t="shared" si="2791"/>
        <v>0</v>
      </c>
      <c r="BU649" s="160">
        <f t="shared" si="2792"/>
        <v>0</v>
      </c>
      <c r="BV649" s="65"/>
      <c r="BW649" s="69"/>
      <c r="BX649" s="65"/>
      <c r="BY649" s="137">
        <f t="shared" si="2793"/>
        <v>1</v>
      </c>
      <c r="BZ649" s="137">
        <f>IF(BY649&gt;0,BY649+LARGE($BZ$213:BZ648,1),0)</f>
        <v>365</v>
      </c>
      <c r="CA649" s="137" t="str">
        <f t="shared" si="2794"/>
        <v>ENG/ARQ PL.</v>
      </c>
      <c r="CB649" s="161">
        <f t="shared" si="2795"/>
        <v>0</v>
      </c>
      <c r="CC649" s="161">
        <f t="shared" si="2796"/>
        <v>0</v>
      </c>
      <c r="CD649" s="161">
        <f t="shared" si="2797"/>
        <v>0</v>
      </c>
      <c r="CE649" s="161">
        <f t="shared" si="2798"/>
        <v>0</v>
      </c>
      <c r="CF649" s="161">
        <f t="shared" si="2799"/>
        <v>0</v>
      </c>
      <c r="CG649" s="161">
        <f t="shared" si="2800"/>
        <v>0</v>
      </c>
      <c r="CH649" s="161">
        <f t="shared" si="2801"/>
        <v>0</v>
      </c>
      <c r="CI649" s="161">
        <f t="shared" si="2802"/>
        <v>0</v>
      </c>
      <c r="CJ649" s="161">
        <f t="shared" si="2803"/>
        <v>0</v>
      </c>
      <c r="CK649" s="161">
        <f t="shared" si="2804"/>
        <v>0</v>
      </c>
      <c r="CL649" s="161">
        <f t="shared" si="2805"/>
        <v>0</v>
      </c>
      <c r="CM649" s="161">
        <f t="shared" si="2806"/>
        <v>0</v>
      </c>
      <c r="CN649" s="161">
        <f t="shared" si="2807"/>
        <v>0</v>
      </c>
      <c r="CO649" s="161">
        <f t="shared" si="2808"/>
        <v>0</v>
      </c>
      <c r="CP649" s="161">
        <f t="shared" si="2809"/>
        <v>0</v>
      </c>
      <c r="CQ649" s="161">
        <f t="shared" si="2810"/>
        <v>0</v>
      </c>
      <c r="CR649" s="161">
        <f t="shared" si="2811"/>
        <v>0</v>
      </c>
      <c r="CS649" s="161">
        <f t="shared" si="2812"/>
        <v>0</v>
      </c>
      <c r="CT649" s="161">
        <f t="shared" si="2813"/>
        <v>0</v>
      </c>
      <c r="CU649" s="161">
        <f t="shared" si="2814"/>
        <v>0</v>
      </c>
      <c r="CV649" s="161">
        <f t="shared" si="2815"/>
        <v>0</v>
      </c>
      <c r="CW649" s="161">
        <f t="shared" si="2816"/>
        <v>0</v>
      </c>
      <c r="CX649" s="161">
        <f t="shared" si="2817"/>
        <v>0</v>
      </c>
      <c r="CY649" s="161">
        <f t="shared" si="2818"/>
        <v>0</v>
      </c>
      <c r="CZ649" s="161">
        <f t="shared" si="2819"/>
        <v>0</v>
      </c>
      <c r="DA649" s="161">
        <f t="shared" si="2820"/>
        <v>0</v>
      </c>
      <c r="DB649" s="161">
        <f t="shared" si="2821"/>
        <v>0</v>
      </c>
      <c r="DC649" s="161">
        <f t="shared" si="2822"/>
        <v>0</v>
      </c>
      <c r="DD649" s="161">
        <f t="shared" si="2823"/>
        <v>0</v>
      </c>
      <c r="DE649" s="161">
        <f t="shared" si="2824"/>
        <v>0</v>
      </c>
      <c r="DF649" s="161">
        <f t="shared" si="2825"/>
        <v>0</v>
      </c>
      <c r="DG649" s="161">
        <f t="shared" si="2826"/>
        <v>0</v>
      </c>
      <c r="DH649" s="161">
        <f t="shared" si="2827"/>
        <v>0</v>
      </c>
      <c r="DI649" s="161">
        <f t="shared" si="2828"/>
        <v>0</v>
      </c>
      <c r="DJ649" s="161">
        <f t="shared" si="2829"/>
        <v>0</v>
      </c>
      <c r="DK649" s="161">
        <f t="shared" si="2830"/>
        <v>0</v>
      </c>
      <c r="DL649" s="161">
        <f t="shared" si="2831"/>
        <v>0</v>
      </c>
      <c r="DM649" s="161">
        <f t="shared" si="2832"/>
        <v>0</v>
      </c>
      <c r="DN649" s="161">
        <f t="shared" si="2833"/>
        <v>0</v>
      </c>
      <c r="DO649" s="161">
        <f t="shared" si="2834"/>
        <v>0</v>
      </c>
      <c r="DP649" s="161">
        <f t="shared" si="2835"/>
        <v>0</v>
      </c>
      <c r="DQ649" s="161">
        <f t="shared" si="2836"/>
        <v>0</v>
      </c>
      <c r="DR649" s="161">
        <f t="shared" si="2837"/>
        <v>0</v>
      </c>
      <c r="DS649" s="161">
        <f t="shared" si="2838"/>
        <v>0</v>
      </c>
      <c r="DT649" s="161">
        <f t="shared" si="2839"/>
        <v>0</v>
      </c>
      <c r="DU649" s="161">
        <f t="shared" si="2840"/>
        <v>0</v>
      </c>
      <c r="DV649" s="161">
        <f t="shared" si="2841"/>
        <v>0</v>
      </c>
      <c r="DW649" s="161">
        <f t="shared" si="2842"/>
        <v>0</v>
      </c>
      <c r="DX649" s="161">
        <f t="shared" si="2843"/>
        <v>0</v>
      </c>
      <c r="DY649" s="161">
        <f t="shared" si="2844"/>
        <v>0</v>
      </c>
      <c r="DZ649" s="161">
        <f t="shared" si="2845"/>
        <v>0</v>
      </c>
      <c r="EA649" s="161">
        <f t="shared" si="2846"/>
        <v>0</v>
      </c>
      <c r="EB649" s="161">
        <f t="shared" si="2847"/>
        <v>0</v>
      </c>
      <c r="EC649" s="161">
        <f t="shared" si="2848"/>
        <v>0</v>
      </c>
      <c r="ED649" s="161">
        <f t="shared" si="2849"/>
        <v>0</v>
      </c>
      <c r="EE649" s="161">
        <f t="shared" si="2850"/>
        <v>0</v>
      </c>
      <c r="EF649" s="161">
        <f t="shared" si="2851"/>
        <v>0</v>
      </c>
      <c r="EG649" s="161">
        <f t="shared" si="2852"/>
        <v>0</v>
      </c>
      <c r="EH649" s="161">
        <f t="shared" si="2853"/>
        <v>0</v>
      </c>
      <c r="EI649" s="161">
        <f t="shared" si="2854"/>
        <v>0</v>
      </c>
      <c r="EJ649" s="65"/>
      <c r="EK649" s="161">
        <f t="shared" si="2855"/>
        <v>0</v>
      </c>
      <c r="EL649" s="161">
        <f t="shared" si="2856"/>
        <v>0</v>
      </c>
      <c r="EM649" s="161">
        <f t="shared" si="2857"/>
        <v>0</v>
      </c>
    </row>
    <row r="650" spans="1:143" ht="12" hidden="1" customHeight="1" outlineLevel="2">
      <c r="A650" s="77">
        <v>6</v>
      </c>
      <c r="B650" s="137" t="str">
        <f t="shared" si="2786"/>
        <v>ENG/ARQ JR. - Equipe_01</v>
      </c>
      <c r="C650" s="65"/>
      <c r="D650" s="621"/>
      <c r="E650" s="65"/>
      <c r="F650" s="603"/>
      <c r="G650" s="77" t="str">
        <f>IF(INDEX(Tarefas!$BT$30:$FK$30,MATCH(A650,Tarefas!$BT$28:$FK$28,0))=0,"",INDEX(Tarefas!$BT$30:$FK$30,MATCH(A650,Tarefas!$BT$28:$FK$28,0)))</f>
        <v>ENG/ARQ JR.</v>
      </c>
      <c r="H650" s="107" cm="1">
        <f t="array" ref="H650">IFERROR((SUMPRODUCT((Tarefas!$N$32:$N$54='Cronog. e Histog.'!$F$645)*(Tarefas!$BQ$30:$FK$30='Cronog. e Histog.'!$G650)*(Tarefas!$BQ$32:$FK$54)))/SUMIF(Tarefas!$N$32:$N$54,'Cronog. e Histog.'!$F$645,Tarefas!$K$32:$K$54),0)</f>
        <v>0</v>
      </c>
      <c r="I650" s="79">
        <f t="shared" si="2787"/>
        <v>0</v>
      </c>
      <c r="J650" s="65"/>
      <c r="K650" s="160">
        <f t="shared" si="2720"/>
        <v>0</v>
      </c>
      <c r="L650" s="160">
        <f t="shared" si="2720"/>
        <v>0</v>
      </c>
      <c r="M650" s="160">
        <f t="shared" si="2720"/>
        <v>0</v>
      </c>
      <c r="N650" s="160">
        <f t="shared" si="2720"/>
        <v>0</v>
      </c>
      <c r="O650" s="160">
        <f t="shared" si="2720"/>
        <v>0</v>
      </c>
      <c r="P650" s="160">
        <f t="shared" si="2720"/>
        <v>0</v>
      </c>
      <c r="Q650" s="160">
        <f t="shared" si="2720"/>
        <v>0</v>
      </c>
      <c r="R650" s="160">
        <f t="shared" si="2720"/>
        <v>0</v>
      </c>
      <c r="S650" s="160">
        <f t="shared" si="2720"/>
        <v>0</v>
      </c>
      <c r="T650" s="160">
        <f t="shared" si="2720"/>
        <v>0</v>
      </c>
      <c r="U650" s="160">
        <f t="shared" si="2720"/>
        <v>0</v>
      </c>
      <c r="V650" s="160">
        <f t="shared" si="2720"/>
        <v>0</v>
      </c>
      <c r="W650" s="160">
        <f t="shared" si="2720"/>
        <v>0</v>
      </c>
      <c r="X650" s="160">
        <f t="shared" si="2720"/>
        <v>0</v>
      </c>
      <c r="Y650" s="160">
        <f t="shared" si="2720"/>
        <v>0</v>
      </c>
      <c r="Z650" s="160">
        <f t="shared" si="2720"/>
        <v>0</v>
      </c>
      <c r="AA650" s="160">
        <f t="shared" si="2788"/>
        <v>0</v>
      </c>
      <c r="AB650" s="160">
        <f t="shared" si="2788"/>
        <v>0</v>
      </c>
      <c r="AC650" s="160">
        <f t="shared" si="2788"/>
        <v>0</v>
      </c>
      <c r="AD650" s="160">
        <f t="shared" si="2788"/>
        <v>0</v>
      </c>
      <c r="AE650" s="160">
        <f t="shared" si="2788"/>
        <v>0</v>
      </c>
      <c r="AF650" s="160">
        <f t="shared" si="2788"/>
        <v>0</v>
      </c>
      <c r="AG650" s="160">
        <f t="shared" si="2788"/>
        <v>0</v>
      </c>
      <c r="AH650" s="160">
        <f t="shared" si="2788"/>
        <v>0</v>
      </c>
      <c r="AI650" s="160">
        <f t="shared" si="2788"/>
        <v>0</v>
      </c>
      <c r="AJ650" s="160">
        <f t="shared" si="2788"/>
        <v>0</v>
      </c>
      <c r="AK650" s="160">
        <f t="shared" si="2788"/>
        <v>0</v>
      </c>
      <c r="AL650" s="160">
        <f t="shared" si="2788"/>
        <v>0</v>
      </c>
      <c r="AM650" s="160">
        <f t="shared" si="2788"/>
        <v>0</v>
      </c>
      <c r="AN650" s="160">
        <f t="shared" si="2788"/>
        <v>0</v>
      </c>
      <c r="AO650" s="160">
        <f t="shared" si="2788"/>
        <v>0</v>
      </c>
      <c r="AP650" s="160">
        <f t="shared" si="2788"/>
        <v>0</v>
      </c>
      <c r="AQ650" s="160">
        <f t="shared" si="2789"/>
        <v>0</v>
      </c>
      <c r="AR650" s="160">
        <f t="shared" si="2789"/>
        <v>0</v>
      </c>
      <c r="AS650" s="160">
        <f t="shared" si="2789"/>
        <v>0</v>
      </c>
      <c r="AT650" s="160">
        <f t="shared" si="2789"/>
        <v>0</v>
      </c>
      <c r="AU650" s="160">
        <f t="shared" si="2789"/>
        <v>0</v>
      </c>
      <c r="AV650" s="160">
        <f t="shared" si="2789"/>
        <v>0</v>
      </c>
      <c r="AW650" s="160">
        <f t="shared" si="2789"/>
        <v>0</v>
      </c>
      <c r="AX650" s="160">
        <f t="shared" si="2789"/>
        <v>0</v>
      </c>
      <c r="AY650" s="160">
        <f t="shared" si="2789"/>
        <v>0</v>
      </c>
      <c r="AZ650" s="160">
        <f t="shared" si="2789"/>
        <v>0</v>
      </c>
      <c r="BA650" s="160">
        <f t="shared" si="2789"/>
        <v>0</v>
      </c>
      <c r="BB650" s="160">
        <f t="shared" si="2789"/>
        <v>0</v>
      </c>
      <c r="BC650" s="160">
        <f t="shared" si="2789"/>
        <v>0</v>
      </c>
      <c r="BD650" s="160">
        <f t="shared" si="2789"/>
        <v>0</v>
      </c>
      <c r="BE650" s="160">
        <f t="shared" si="2789"/>
        <v>0</v>
      </c>
      <c r="BF650" s="160">
        <f t="shared" si="2789"/>
        <v>0</v>
      </c>
      <c r="BG650" s="160">
        <f t="shared" si="2790"/>
        <v>0</v>
      </c>
      <c r="BH650" s="160">
        <f t="shared" si="2790"/>
        <v>0</v>
      </c>
      <c r="BI650" s="160">
        <f t="shared" si="2790"/>
        <v>0</v>
      </c>
      <c r="BJ650" s="160">
        <f t="shared" si="2790"/>
        <v>0</v>
      </c>
      <c r="BK650" s="160">
        <f t="shared" si="2790"/>
        <v>0</v>
      </c>
      <c r="BL650" s="160">
        <f t="shared" si="2790"/>
        <v>0</v>
      </c>
      <c r="BM650" s="160">
        <f t="shared" si="2790"/>
        <v>0</v>
      </c>
      <c r="BN650" s="160">
        <f t="shared" si="2790"/>
        <v>0</v>
      </c>
      <c r="BO650" s="160">
        <f t="shared" si="2790"/>
        <v>0</v>
      </c>
      <c r="BP650" s="160">
        <f t="shared" si="2790"/>
        <v>0</v>
      </c>
      <c r="BQ650" s="160">
        <f t="shared" si="2790"/>
        <v>0</v>
      </c>
      <c r="BR650" s="160">
        <f t="shared" si="2790"/>
        <v>0</v>
      </c>
      <c r="BS650" s="65"/>
      <c r="BT650" s="160">
        <f t="shared" si="2791"/>
        <v>0</v>
      </c>
      <c r="BU650" s="160">
        <f t="shared" si="2792"/>
        <v>0</v>
      </c>
      <c r="BV650" s="65"/>
      <c r="BW650" s="69"/>
      <c r="BX650" s="65"/>
      <c r="BY650" s="137">
        <f t="shared" si="2793"/>
        <v>1</v>
      </c>
      <c r="BZ650" s="137">
        <f>IF(BY650&gt;0,BY650+LARGE($BZ$213:BZ649,1),0)</f>
        <v>366</v>
      </c>
      <c r="CA650" s="137" t="str">
        <f t="shared" si="2794"/>
        <v>ENG/ARQ JR.</v>
      </c>
      <c r="CB650" s="161">
        <f t="shared" si="2795"/>
        <v>0</v>
      </c>
      <c r="CC650" s="161">
        <f t="shared" si="2796"/>
        <v>0</v>
      </c>
      <c r="CD650" s="161">
        <f t="shared" si="2797"/>
        <v>0</v>
      </c>
      <c r="CE650" s="161">
        <f t="shared" si="2798"/>
        <v>0</v>
      </c>
      <c r="CF650" s="161">
        <f t="shared" si="2799"/>
        <v>0</v>
      </c>
      <c r="CG650" s="161">
        <f t="shared" si="2800"/>
        <v>0</v>
      </c>
      <c r="CH650" s="161">
        <f t="shared" si="2801"/>
        <v>0</v>
      </c>
      <c r="CI650" s="161">
        <f t="shared" si="2802"/>
        <v>0</v>
      </c>
      <c r="CJ650" s="161">
        <f t="shared" si="2803"/>
        <v>0</v>
      </c>
      <c r="CK650" s="161">
        <f t="shared" si="2804"/>
        <v>0</v>
      </c>
      <c r="CL650" s="161">
        <f t="shared" si="2805"/>
        <v>0</v>
      </c>
      <c r="CM650" s="161">
        <f t="shared" si="2806"/>
        <v>0</v>
      </c>
      <c r="CN650" s="161">
        <f t="shared" si="2807"/>
        <v>0</v>
      </c>
      <c r="CO650" s="161">
        <f t="shared" si="2808"/>
        <v>0</v>
      </c>
      <c r="CP650" s="161">
        <f t="shared" si="2809"/>
        <v>0</v>
      </c>
      <c r="CQ650" s="161">
        <f t="shared" si="2810"/>
        <v>0</v>
      </c>
      <c r="CR650" s="161">
        <f t="shared" si="2811"/>
        <v>0</v>
      </c>
      <c r="CS650" s="161">
        <f t="shared" si="2812"/>
        <v>0</v>
      </c>
      <c r="CT650" s="161">
        <f t="shared" si="2813"/>
        <v>0</v>
      </c>
      <c r="CU650" s="161">
        <f t="shared" si="2814"/>
        <v>0</v>
      </c>
      <c r="CV650" s="161">
        <f t="shared" si="2815"/>
        <v>0</v>
      </c>
      <c r="CW650" s="161">
        <f t="shared" si="2816"/>
        <v>0</v>
      </c>
      <c r="CX650" s="161">
        <f t="shared" si="2817"/>
        <v>0</v>
      </c>
      <c r="CY650" s="161">
        <f t="shared" si="2818"/>
        <v>0</v>
      </c>
      <c r="CZ650" s="161">
        <f t="shared" si="2819"/>
        <v>0</v>
      </c>
      <c r="DA650" s="161">
        <f t="shared" si="2820"/>
        <v>0</v>
      </c>
      <c r="DB650" s="161">
        <f t="shared" si="2821"/>
        <v>0</v>
      </c>
      <c r="DC650" s="161">
        <f t="shared" si="2822"/>
        <v>0</v>
      </c>
      <c r="DD650" s="161">
        <f t="shared" si="2823"/>
        <v>0</v>
      </c>
      <c r="DE650" s="161">
        <f t="shared" si="2824"/>
        <v>0</v>
      </c>
      <c r="DF650" s="161">
        <f t="shared" si="2825"/>
        <v>0</v>
      </c>
      <c r="DG650" s="161">
        <f t="shared" si="2826"/>
        <v>0</v>
      </c>
      <c r="DH650" s="161">
        <f t="shared" si="2827"/>
        <v>0</v>
      </c>
      <c r="DI650" s="161">
        <f t="shared" si="2828"/>
        <v>0</v>
      </c>
      <c r="DJ650" s="161">
        <f t="shared" si="2829"/>
        <v>0</v>
      </c>
      <c r="DK650" s="161">
        <f t="shared" si="2830"/>
        <v>0</v>
      </c>
      <c r="DL650" s="161">
        <f t="shared" si="2831"/>
        <v>0</v>
      </c>
      <c r="DM650" s="161">
        <f t="shared" si="2832"/>
        <v>0</v>
      </c>
      <c r="DN650" s="161">
        <f t="shared" si="2833"/>
        <v>0</v>
      </c>
      <c r="DO650" s="161">
        <f t="shared" si="2834"/>
        <v>0</v>
      </c>
      <c r="DP650" s="161">
        <f t="shared" si="2835"/>
        <v>0</v>
      </c>
      <c r="DQ650" s="161">
        <f t="shared" si="2836"/>
        <v>0</v>
      </c>
      <c r="DR650" s="161">
        <f t="shared" si="2837"/>
        <v>0</v>
      </c>
      <c r="DS650" s="161">
        <f t="shared" si="2838"/>
        <v>0</v>
      </c>
      <c r="DT650" s="161">
        <f t="shared" si="2839"/>
        <v>0</v>
      </c>
      <c r="DU650" s="161">
        <f t="shared" si="2840"/>
        <v>0</v>
      </c>
      <c r="DV650" s="161">
        <f t="shared" si="2841"/>
        <v>0</v>
      </c>
      <c r="DW650" s="161">
        <f t="shared" si="2842"/>
        <v>0</v>
      </c>
      <c r="DX650" s="161">
        <f t="shared" si="2843"/>
        <v>0</v>
      </c>
      <c r="DY650" s="161">
        <f t="shared" si="2844"/>
        <v>0</v>
      </c>
      <c r="DZ650" s="161">
        <f t="shared" si="2845"/>
        <v>0</v>
      </c>
      <c r="EA650" s="161">
        <f t="shared" si="2846"/>
        <v>0</v>
      </c>
      <c r="EB650" s="161">
        <f t="shared" si="2847"/>
        <v>0</v>
      </c>
      <c r="EC650" s="161">
        <f t="shared" si="2848"/>
        <v>0</v>
      </c>
      <c r="ED650" s="161">
        <f t="shared" si="2849"/>
        <v>0</v>
      </c>
      <c r="EE650" s="161">
        <f t="shared" si="2850"/>
        <v>0</v>
      </c>
      <c r="EF650" s="161">
        <f t="shared" si="2851"/>
        <v>0</v>
      </c>
      <c r="EG650" s="161">
        <f t="shared" si="2852"/>
        <v>0</v>
      </c>
      <c r="EH650" s="161">
        <f t="shared" si="2853"/>
        <v>0</v>
      </c>
      <c r="EI650" s="161">
        <f t="shared" si="2854"/>
        <v>0</v>
      </c>
      <c r="EJ650" s="65"/>
      <c r="EK650" s="161">
        <f t="shared" si="2855"/>
        <v>0</v>
      </c>
      <c r="EL650" s="161">
        <f t="shared" si="2856"/>
        <v>0</v>
      </c>
      <c r="EM650" s="161">
        <f t="shared" si="2857"/>
        <v>0</v>
      </c>
    </row>
    <row r="651" spans="1:143" ht="12" hidden="1" customHeight="1" outlineLevel="2">
      <c r="A651" s="77">
        <v>7</v>
      </c>
      <c r="B651" s="137" t="str">
        <f t="shared" si="2786"/>
        <v>AN SR. ENG/ARQ - Equipe_01</v>
      </c>
      <c r="C651" s="65"/>
      <c r="D651" s="621"/>
      <c r="E651" s="65"/>
      <c r="F651" s="603"/>
      <c r="G651" s="77" t="str">
        <f>IF(INDEX(Tarefas!$BT$30:$FK$30,MATCH(A651,Tarefas!$BT$28:$FK$28,0))=0,"",INDEX(Tarefas!$BT$30:$FK$30,MATCH(A651,Tarefas!$BT$28:$FK$28,0)))</f>
        <v>AN SR. ENG/ARQ</v>
      </c>
      <c r="H651" s="107" cm="1">
        <f t="array" ref="H651">IFERROR((SUMPRODUCT((Tarefas!$N$32:$N$54='Cronog. e Histog.'!$F$645)*(Tarefas!$BQ$30:$FK$30='Cronog. e Histog.'!$G651)*(Tarefas!$BQ$32:$FK$54)))/SUMIF(Tarefas!$N$32:$N$54,'Cronog. e Histog.'!$F$645,Tarefas!$K$32:$K$54),0)</f>
        <v>0</v>
      </c>
      <c r="I651" s="79">
        <f t="shared" si="2787"/>
        <v>0</v>
      </c>
      <c r="J651" s="65"/>
      <c r="K651" s="160">
        <f t="shared" si="2720"/>
        <v>0</v>
      </c>
      <c r="L651" s="160">
        <f t="shared" si="2720"/>
        <v>0</v>
      </c>
      <c r="M651" s="160">
        <f t="shared" si="2720"/>
        <v>0</v>
      </c>
      <c r="N651" s="160">
        <f t="shared" si="2720"/>
        <v>0</v>
      </c>
      <c r="O651" s="160">
        <f t="shared" si="2720"/>
        <v>0</v>
      </c>
      <c r="P651" s="160">
        <f t="shared" si="2720"/>
        <v>0</v>
      </c>
      <c r="Q651" s="160">
        <f t="shared" si="2720"/>
        <v>0</v>
      </c>
      <c r="R651" s="160">
        <f t="shared" si="2720"/>
        <v>0</v>
      </c>
      <c r="S651" s="160">
        <f t="shared" si="2720"/>
        <v>0</v>
      </c>
      <c r="T651" s="160">
        <f t="shared" si="2720"/>
        <v>0</v>
      </c>
      <c r="U651" s="160">
        <f t="shared" si="2720"/>
        <v>0</v>
      </c>
      <c r="V651" s="160">
        <f t="shared" si="2720"/>
        <v>0</v>
      </c>
      <c r="W651" s="160">
        <f t="shared" si="2720"/>
        <v>0</v>
      </c>
      <c r="X651" s="160">
        <f t="shared" si="2720"/>
        <v>0</v>
      </c>
      <c r="Y651" s="160">
        <f t="shared" si="2720"/>
        <v>0</v>
      </c>
      <c r="Z651" s="160">
        <f t="shared" si="2720"/>
        <v>0</v>
      </c>
      <c r="AA651" s="160">
        <f t="shared" si="2788"/>
        <v>0</v>
      </c>
      <c r="AB651" s="160">
        <f t="shared" si="2788"/>
        <v>0</v>
      </c>
      <c r="AC651" s="160">
        <f t="shared" si="2788"/>
        <v>0</v>
      </c>
      <c r="AD651" s="160">
        <f t="shared" si="2788"/>
        <v>0</v>
      </c>
      <c r="AE651" s="160">
        <f t="shared" si="2788"/>
        <v>0</v>
      </c>
      <c r="AF651" s="160">
        <f t="shared" si="2788"/>
        <v>0</v>
      </c>
      <c r="AG651" s="160">
        <f t="shared" si="2788"/>
        <v>0</v>
      </c>
      <c r="AH651" s="160">
        <f t="shared" si="2788"/>
        <v>0</v>
      </c>
      <c r="AI651" s="160">
        <f t="shared" si="2788"/>
        <v>0</v>
      </c>
      <c r="AJ651" s="160">
        <f t="shared" si="2788"/>
        <v>0</v>
      </c>
      <c r="AK651" s="160">
        <f t="shared" si="2788"/>
        <v>0</v>
      </c>
      <c r="AL651" s="160">
        <f t="shared" si="2788"/>
        <v>0</v>
      </c>
      <c r="AM651" s="160">
        <f t="shared" si="2788"/>
        <v>0</v>
      </c>
      <c r="AN651" s="160">
        <f t="shared" si="2788"/>
        <v>0</v>
      </c>
      <c r="AO651" s="160">
        <f t="shared" si="2788"/>
        <v>0</v>
      </c>
      <c r="AP651" s="160">
        <f t="shared" si="2788"/>
        <v>0</v>
      </c>
      <c r="AQ651" s="160">
        <f t="shared" si="2789"/>
        <v>0</v>
      </c>
      <c r="AR651" s="160">
        <f t="shared" si="2789"/>
        <v>0</v>
      </c>
      <c r="AS651" s="160">
        <f t="shared" si="2789"/>
        <v>0</v>
      </c>
      <c r="AT651" s="160">
        <f t="shared" si="2789"/>
        <v>0</v>
      </c>
      <c r="AU651" s="160">
        <f t="shared" si="2789"/>
        <v>0</v>
      </c>
      <c r="AV651" s="160">
        <f t="shared" si="2789"/>
        <v>0</v>
      </c>
      <c r="AW651" s="160">
        <f t="shared" si="2789"/>
        <v>0</v>
      </c>
      <c r="AX651" s="160">
        <f t="shared" si="2789"/>
        <v>0</v>
      </c>
      <c r="AY651" s="160">
        <f t="shared" si="2789"/>
        <v>0</v>
      </c>
      <c r="AZ651" s="160">
        <f t="shared" si="2789"/>
        <v>0</v>
      </c>
      <c r="BA651" s="160">
        <f t="shared" si="2789"/>
        <v>0</v>
      </c>
      <c r="BB651" s="160">
        <f t="shared" si="2789"/>
        <v>0</v>
      </c>
      <c r="BC651" s="160">
        <f t="shared" si="2789"/>
        <v>0</v>
      </c>
      <c r="BD651" s="160">
        <f t="shared" si="2789"/>
        <v>0</v>
      </c>
      <c r="BE651" s="160">
        <f t="shared" si="2789"/>
        <v>0</v>
      </c>
      <c r="BF651" s="160">
        <f t="shared" si="2789"/>
        <v>0</v>
      </c>
      <c r="BG651" s="160">
        <f t="shared" si="2790"/>
        <v>0</v>
      </c>
      <c r="BH651" s="160">
        <f t="shared" si="2790"/>
        <v>0</v>
      </c>
      <c r="BI651" s="160">
        <f t="shared" si="2790"/>
        <v>0</v>
      </c>
      <c r="BJ651" s="160">
        <f t="shared" si="2790"/>
        <v>0</v>
      </c>
      <c r="BK651" s="160">
        <f t="shared" si="2790"/>
        <v>0</v>
      </c>
      <c r="BL651" s="160">
        <f t="shared" si="2790"/>
        <v>0</v>
      </c>
      <c r="BM651" s="160">
        <f t="shared" si="2790"/>
        <v>0</v>
      </c>
      <c r="BN651" s="160">
        <f t="shared" si="2790"/>
        <v>0</v>
      </c>
      <c r="BO651" s="160">
        <f t="shared" si="2790"/>
        <v>0</v>
      </c>
      <c r="BP651" s="160">
        <f t="shared" si="2790"/>
        <v>0</v>
      </c>
      <c r="BQ651" s="160">
        <f t="shared" si="2790"/>
        <v>0</v>
      </c>
      <c r="BR651" s="160">
        <f t="shared" si="2790"/>
        <v>0</v>
      </c>
      <c r="BS651" s="65"/>
      <c r="BT651" s="160">
        <f t="shared" si="2791"/>
        <v>0</v>
      </c>
      <c r="BU651" s="160">
        <f t="shared" si="2792"/>
        <v>0</v>
      </c>
      <c r="BV651" s="65"/>
      <c r="BW651" s="69"/>
      <c r="BX651" s="65"/>
      <c r="BY651" s="137">
        <f t="shared" si="2793"/>
        <v>1</v>
      </c>
      <c r="BZ651" s="137">
        <f>IF(BY651&gt;0,BY651+LARGE($BZ$213:BZ650,1),0)</f>
        <v>367</v>
      </c>
      <c r="CA651" s="137" t="str">
        <f t="shared" si="2794"/>
        <v>AN SR. ENG/ARQ</v>
      </c>
      <c r="CB651" s="161">
        <f t="shared" si="2795"/>
        <v>0</v>
      </c>
      <c r="CC651" s="161">
        <f t="shared" si="2796"/>
        <v>0</v>
      </c>
      <c r="CD651" s="161">
        <f t="shared" si="2797"/>
        <v>0</v>
      </c>
      <c r="CE651" s="161">
        <f t="shared" si="2798"/>
        <v>0</v>
      </c>
      <c r="CF651" s="161">
        <f t="shared" si="2799"/>
        <v>0</v>
      </c>
      <c r="CG651" s="161">
        <f t="shared" si="2800"/>
        <v>0</v>
      </c>
      <c r="CH651" s="161">
        <f t="shared" si="2801"/>
        <v>0</v>
      </c>
      <c r="CI651" s="161">
        <f t="shared" si="2802"/>
        <v>0</v>
      </c>
      <c r="CJ651" s="161">
        <f t="shared" si="2803"/>
        <v>0</v>
      </c>
      <c r="CK651" s="161">
        <f t="shared" si="2804"/>
        <v>0</v>
      </c>
      <c r="CL651" s="161">
        <f t="shared" si="2805"/>
        <v>0</v>
      </c>
      <c r="CM651" s="161">
        <f t="shared" si="2806"/>
        <v>0</v>
      </c>
      <c r="CN651" s="161">
        <f t="shared" si="2807"/>
        <v>0</v>
      </c>
      <c r="CO651" s="161">
        <f t="shared" si="2808"/>
        <v>0</v>
      </c>
      <c r="CP651" s="161">
        <f t="shared" si="2809"/>
        <v>0</v>
      </c>
      <c r="CQ651" s="161">
        <f t="shared" si="2810"/>
        <v>0</v>
      </c>
      <c r="CR651" s="161">
        <f t="shared" si="2811"/>
        <v>0</v>
      </c>
      <c r="CS651" s="161">
        <f t="shared" si="2812"/>
        <v>0</v>
      </c>
      <c r="CT651" s="161">
        <f t="shared" si="2813"/>
        <v>0</v>
      </c>
      <c r="CU651" s="161">
        <f t="shared" si="2814"/>
        <v>0</v>
      </c>
      <c r="CV651" s="161">
        <f t="shared" si="2815"/>
        <v>0</v>
      </c>
      <c r="CW651" s="161">
        <f t="shared" si="2816"/>
        <v>0</v>
      </c>
      <c r="CX651" s="161">
        <f t="shared" si="2817"/>
        <v>0</v>
      </c>
      <c r="CY651" s="161">
        <f t="shared" si="2818"/>
        <v>0</v>
      </c>
      <c r="CZ651" s="161">
        <f t="shared" si="2819"/>
        <v>0</v>
      </c>
      <c r="DA651" s="161">
        <f t="shared" si="2820"/>
        <v>0</v>
      </c>
      <c r="DB651" s="161">
        <f t="shared" si="2821"/>
        <v>0</v>
      </c>
      <c r="DC651" s="161">
        <f t="shared" si="2822"/>
        <v>0</v>
      </c>
      <c r="DD651" s="161">
        <f t="shared" si="2823"/>
        <v>0</v>
      </c>
      <c r="DE651" s="161">
        <f t="shared" si="2824"/>
        <v>0</v>
      </c>
      <c r="DF651" s="161">
        <f t="shared" si="2825"/>
        <v>0</v>
      </c>
      <c r="DG651" s="161">
        <f t="shared" si="2826"/>
        <v>0</v>
      </c>
      <c r="DH651" s="161">
        <f t="shared" si="2827"/>
        <v>0</v>
      </c>
      <c r="DI651" s="161">
        <f t="shared" si="2828"/>
        <v>0</v>
      </c>
      <c r="DJ651" s="161">
        <f t="shared" si="2829"/>
        <v>0</v>
      </c>
      <c r="DK651" s="161">
        <f t="shared" si="2830"/>
        <v>0</v>
      </c>
      <c r="DL651" s="161">
        <f t="shared" si="2831"/>
        <v>0</v>
      </c>
      <c r="DM651" s="161">
        <f t="shared" si="2832"/>
        <v>0</v>
      </c>
      <c r="DN651" s="161">
        <f t="shared" si="2833"/>
        <v>0</v>
      </c>
      <c r="DO651" s="161">
        <f t="shared" si="2834"/>
        <v>0</v>
      </c>
      <c r="DP651" s="161">
        <f t="shared" si="2835"/>
        <v>0</v>
      </c>
      <c r="DQ651" s="161">
        <f t="shared" si="2836"/>
        <v>0</v>
      </c>
      <c r="DR651" s="161">
        <f t="shared" si="2837"/>
        <v>0</v>
      </c>
      <c r="DS651" s="161">
        <f t="shared" si="2838"/>
        <v>0</v>
      </c>
      <c r="DT651" s="161">
        <f t="shared" si="2839"/>
        <v>0</v>
      </c>
      <c r="DU651" s="161">
        <f t="shared" si="2840"/>
        <v>0</v>
      </c>
      <c r="DV651" s="161">
        <f t="shared" si="2841"/>
        <v>0</v>
      </c>
      <c r="DW651" s="161">
        <f t="shared" si="2842"/>
        <v>0</v>
      </c>
      <c r="DX651" s="161">
        <f t="shared" si="2843"/>
        <v>0</v>
      </c>
      <c r="DY651" s="161">
        <f t="shared" si="2844"/>
        <v>0</v>
      </c>
      <c r="DZ651" s="161">
        <f t="shared" si="2845"/>
        <v>0</v>
      </c>
      <c r="EA651" s="161">
        <f t="shared" si="2846"/>
        <v>0</v>
      </c>
      <c r="EB651" s="161">
        <f t="shared" si="2847"/>
        <v>0</v>
      </c>
      <c r="EC651" s="161">
        <f t="shared" si="2848"/>
        <v>0</v>
      </c>
      <c r="ED651" s="161">
        <f t="shared" si="2849"/>
        <v>0</v>
      </c>
      <c r="EE651" s="161">
        <f t="shared" si="2850"/>
        <v>0</v>
      </c>
      <c r="EF651" s="161">
        <f t="shared" si="2851"/>
        <v>0</v>
      </c>
      <c r="EG651" s="161">
        <f t="shared" si="2852"/>
        <v>0</v>
      </c>
      <c r="EH651" s="161">
        <f t="shared" si="2853"/>
        <v>0</v>
      </c>
      <c r="EI651" s="161">
        <f t="shared" si="2854"/>
        <v>0</v>
      </c>
      <c r="EJ651" s="65"/>
      <c r="EK651" s="161">
        <f t="shared" si="2855"/>
        <v>0</v>
      </c>
      <c r="EL651" s="161">
        <f t="shared" si="2856"/>
        <v>0</v>
      </c>
      <c r="EM651" s="161">
        <f t="shared" si="2857"/>
        <v>0</v>
      </c>
    </row>
    <row r="652" spans="1:143" ht="12" hidden="1" customHeight="1" outlineLevel="2">
      <c r="A652" s="77">
        <v>8</v>
      </c>
      <c r="B652" s="137" t="str">
        <f t="shared" si="2786"/>
        <v>AN PL. ENG/ARQ - Equipe_01</v>
      </c>
      <c r="C652" s="65"/>
      <c r="D652" s="621"/>
      <c r="E652" s="65"/>
      <c r="F652" s="603"/>
      <c r="G652" s="77" t="str">
        <f>IF(INDEX(Tarefas!$BT$30:$FK$30,MATCH(A652,Tarefas!$BT$28:$FK$28,0))=0,"",INDEX(Tarefas!$BT$30:$FK$30,MATCH(A652,Tarefas!$BT$28:$FK$28,0)))</f>
        <v>AN PL. ENG/ARQ</v>
      </c>
      <c r="H652" s="107" cm="1">
        <f t="array" ref="H652">IFERROR((SUMPRODUCT((Tarefas!$N$32:$N$54='Cronog. e Histog.'!$F$645)*(Tarefas!$BQ$30:$FK$30='Cronog. e Histog.'!$G652)*(Tarefas!$BQ$32:$FK$54)))/SUMIF(Tarefas!$N$32:$N$54,'Cronog. e Histog.'!$F$645,Tarefas!$K$32:$K$54),0)</f>
        <v>0</v>
      </c>
      <c r="I652" s="79">
        <f t="shared" si="2787"/>
        <v>0</v>
      </c>
      <c r="J652" s="65"/>
      <c r="K652" s="160">
        <f t="shared" si="2720"/>
        <v>0</v>
      </c>
      <c r="L652" s="160">
        <f t="shared" si="2720"/>
        <v>0</v>
      </c>
      <c r="M652" s="160">
        <f t="shared" si="2720"/>
        <v>0</v>
      </c>
      <c r="N652" s="160">
        <f t="shared" si="2720"/>
        <v>0</v>
      </c>
      <c r="O652" s="160">
        <f t="shared" si="2720"/>
        <v>0</v>
      </c>
      <c r="P652" s="160">
        <f t="shared" si="2720"/>
        <v>0</v>
      </c>
      <c r="Q652" s="160">
        <f t="shared" si="2720"/>
        <v>0</v>
      </c>
      <c r="R652" s="160">
        <f t="shared" si="2720"/>
        <v>0</v>
      </c>
      <c r="S652" s="160">
        <f t="shared" si="2720"/>
        <v>0</v>
      </c>
      <c r="T652" s="160">
        <f t="shared" si="2720"/>
        <v>0</v>
      </c>
      <c r="U652" s="160">
        <f t="shared" si="2720"/>
        <v>0</v>
      </c>
      <c r="V652" s="160">
        <f t="shared" si="2720"/>
        <v>0</v>
      </c>
      <c r="W652" s="160">
        <f t="shared" si="2720"/>
        <v>0</v>
      </c>
      <c r="X652" s="160">
        <f t="shared" si="2720"/>
        <v>0</v>
      </c>
      <c r="Y652" s="160">
        <f t="shared" si="2720"/>
        <v>0</v>
      </c>
      <c r="Z652" s="160">
        <f t="shared" si="2720"/>
        <v>0</v>
      </c>
      <c r="AA652" s="160">
        <f t="shared" si="2788"/>
        <v>0</v>
      </c>
      <c r="AB652" s="160">
        <f t="shared" si="2788"/>
        <v>0</v>
      </c>
      <c r="AC652" s="160">
        <f t="shared" si="2788"/>
        <v>0</v>
      </c>
      <c r="AD652" s="160">
        <f t="shared" si="2788"/>
        <v>0</v>
      </c>
      <c r="AE652" s="160">
        <f t="shared" si="2788"/>
        <v>0</v>
      </c>
      <c r="AF652" s="160">
        <f t="shared" si="2788"/>
        <v>0</v>
      </c>
      <c r="AG652" s="160">
        <f t="shared" si="2788"/>
        <v>0</v>
      </c>
      <c r="AH652" s="160">
        <f t="shared" si="2788"/>
        <v>0</v>
      </c>
      <c r="AI652" s="160">
        <f t="shared" si="2788"/>
        <v>0</v>
      </c>
      <c r="AJ652" s="160">
        <f t="shared" si="2788"/>
        <v>0</v>
      </c>
      <c r="AK652" s="160">
        <f t="shared" si="2788"/>
        <v>0</v>
      </c>
      <c r="AL652" s="160">
        <f t="shared" si="2788"/>
        <v>0</v>
      </c>
      <c r="AM652" s="160">
        <f t="shared" si="2788"/>
        <v>0</v>
      </c>
      <c r="AN652" s="160">
        <f t="shared" si="2788"/>
        <v>0</v>
      </c>
      <c r="AO652" s="160">
        <f t="shared" si="2788"/>
        <v>0</v>
      </c>
      <c r="AP652" s="160">
        <f t="shared" si="2788"/>
        <v>0</v>
      </c>
      <c r="AQ652" s="160">
        <f t="shared" si="2789"/>
        <v>0</v>
      </c>
      <c r="AR652" s="160">
        <f t="shared" si="2789"/>
        <v>0</v>
      </c>
      <c r="AS652" s="160">
        <f t="shared" si="2789"/>
        <v>0</v>
      </c>
      <c r="AT652" s="160">
        <f t="shared" si="2789"/>
        <v>0</v>
      </c>
      <c r="AU652" s="160">
        <f t="shared" si="2789"/>
        <v>0</v>
      </c>
      <c r="AV652" s="160">
        <f t="shared" si="2789"/>
        <v>0</v>
      </c>
      <c r="AW652" s="160">
        <f t="shared" si="2789"/>
        <v>0</v>
      </c>
      <c r="AX652" s="160">
        <f t="shared" si="2789"/>
        <v>0</v>
      </c>
      <c r="AY652" s="160">
        <f t="shared" si="2789"/>
        <v>0</v>
      </c>
      <c r="AZ652" s="160">
        <f t="shared" si="2789"/>
        <v>0</v>
      </c>
      <c r="BA652" s="160">
        <f t="shared" si="2789"/>
        <v>0</v>
      </c>
      <c r="BB652" s="160">
        <f t="shared" si="2789"/>
        <v>0</v>
      </c>
      <c r="BC652" s="160">
        <f t="shared" si="2789"/>
        <v>0</v>
      </c>
      <c r="BD652" s="160">
        <f t="shared" si="2789"/>
        <v>0</v>
      </c>
      <c r="BE652" s="160">
        <f t="shared" si="2789"/>
        <v>0</v>
      </c>
      <c r="BF652" s="160">
        <f t="shared" si="2789"/>
        <v>0</v>
      </c>
      <c r="BG652" s="160">
        <f t="shared" si="2790"/>
        <v>0</v>
      </c>
      <c r="BH652" s="160">
        <f t="shared" si="2790"/>
        <v>0</v>
      </c>
      <c r="BI652" s="160">
        <f t="shared" si="2790"/>
        <v>0</v>
      </c>
      <c r="BJ652" s="160">
        <f t="shared" si="2790"/>
        <v>0</v>
      </c>
      <c r="BK652" s="160">
        <f t="shared" si="2790"/>
        <v>0</v>
      </c>
      <c r="BL652" s="160">
        <f t="shared" si="2790"/>
        <v>0</v>
      </c>
      <c r="BM652" s="160">
        <f t="shared" si="2790"/>
        <v>0</v>
      </c>
      <c r="BN652" s="160">
        <f t="shared" si="2790"/>
        <v>0</v>
      </c>
      <c r="BO652" s="160">
        <f t="shared" si="2790"/>
        <v>0</v>
      </c>
      <c r="BP652" s="160">
        <f t="shared" si="2790"/>
        <v>0</v>
      </c>
      <c r="BQ652" s="160">
        <f t="shared" si="2790"/>
        <v>0</v>
      </c>
      <c r="BR652" s="160">
        <f t="shared" si="2790"/>
        <v>0</v>
      </c>
      <c r="BS652" s="65"/>
      <c r="BT652" s="160">
        <f t="shared" si="2791"/>
        <v>0</v>
      </c>
      <c r="BU652" s="160">
        <f t="shared" si="2792"/>
        <v>0</v>
      </c>
      <c r="BV652" s="65"/>
      <c r="BW652" s="69"/>
      <c r="BX652" s="65"/>
      <c r="BY652" s="137">
        <f t="shared" si="2793"/>
        <v>1</v>
      </c>
      <c r="BZ652" s="137">
        <f>IF(BY652&gt;0,BY652+LARGE($BZ$213:BZ651,1),0)</f>
        <v>368</v>
      </c>
      <c r="CA652" s="137" t="str">
        <f t="shared" si="2794"/>
        <v>AN PL. ENG/ARQ</v>
      </c>
      <c r="CB652" s="161">
        <f t="shared" si="2795"/>
        <v>0</v>
      </c>
      <c r="CC652" s="161">
        <f t="shared" si="2796"/>
        <v>0</v>
      </c>
      <c r="CD652" s="161">
        <f t="shared" si="2797"/>
        <v>0</v>
      </c>
      <c r="CE652" s="161">
        <f t="shared" si="2798"/>
        <v>0</v>
      </c>
      <c r="CF652" s="161">
        <f t="shared" si="2799"/>
        <v>0</v>
      </c>
      <c r="CG652" s="161">
        <f t="shared" si="2800"/>
        <v>0</v>
      </c>
      <c r="CH652" s="161">
        <f t="shared" si="2801"/>
        <v>0</v>
      </c>
      <c r="CI652" s="161">
        <f t="shared" si="2802"/>
        <v>0</v>
      </c>
      <c r="CJ652" s="161">
        <f t="shared" si="2803"/>
        <v>0</v>
      </c>
      <c r="CK652" s="161">
        <f t="shared" si="2804"/>
        <v>0</v>
      </c>
      <c r="CL652" s="161">
        <f t="shared" si="2805"/>
        <v>0</v>
      </c>
      <c r="CM652" s="161">
        <f t="shared" si="2806"/>
        <v>0</v>
      </c>
      <c r="CN652" s="161">
        <f t="shared" si="2807"/>
        <v>0</v>
      </c>
      <c r="CO652" s="161">
        <f t="shared" si="2808"/>
        <v>0</v>
      </c>
      <c r="CP652" s="161">
        <f t="shared" si="2809"/>
        <v>0</v>
      </c>
      <c r="CQ652" s="161">
        <f t="shared" si="2810"/>
        <v>0</v>
      </c>
      <c r="CR652" s="161">
        <f t="shared" si="2811"/>
        <v>0</v>
      </c>
      <c r="CS652" s="161">
        <f t="shared" si="2812"/>
        <v>0</v>
      </c>
      <c r="CT652" s="161">
        <f t="shared" si="2813"/>
        <v>0</v>
      </c>
      <c r="CU652" s="161">
        <f t="shared" si="2814"/>
        <v>0</v>
      </c>
      <c r="CV652" s="161">
        <f t="shared" si="2815"/>
        <v>0</v>
      </c>
      <c r="CW652" s="161">
        <f t="shared" si="2816"/>
        <v>0</v>
      </c>
      <c r="CX652" s="161">
        <f t="shared" si="2817"/>
        <v>0</v>
      </c>
      <c r="CY652" s="161">
        <f t="shared" si="2818"/>
        <v>0</v>
      </c>
      <c r="CZ652" s="161">
        <f t="shared" si="2819"/>
        <v>0</v>
      </c>
      <c r="DA652" s="161">
        <f t="shared" si="2820"/>
        <v>0</v>
      </c>
      <c r="DB652" s="161">
        <f t="shared" si="2821"/>
        <v>0</v>
      </c>
      <c r="DC652" s="161">
        <f t="shared" si="2822"/>
        <v>0</v>
      </c>
      <c r="DD652" s="161">
        <f t="shared" si="2823"/>
        <v>0</v>
      </c>
      <c r="DE652" s="161">
        <f t="shared" si="2824"/>
        <v>0</v>
      </c>
      <c r="DF652" s="161">
        <f t="shared" si="2825"/>
        <v>0</v>
      </c>
      <c r="DG652" s="161">
        <f t="shared" si="2826"/>
        <v>0</v>
      </c>
      <c r="DH652" s="161">
        <f t="shared" si="2827"/>
        <v>0</v>
      </c>
      <c r="DI652" s="161">
        <f t="shared" si="2828"/>
        <v>0</v>
      </c>
      <c r="DJ652" s="161">
        <f t="shared" si="2829"/>
        <v>0</v>
      </c>
      <c r="DK652" s="161">
        <f t="shared" si="2830"/>
        <v>0</v>
      </c>
      <c r="DL652" s="161">
        <f t="shared" si="2831"/>
        <v>0</v>
      </c>
      <c r="DM652" s="161">
        <f t="shared" si="2832"/>
        <v>0</v>
      </c>
      <c r="DN652" s="161">
        <f t="shared" si="2833"/>
        <v>0</v>
      </c>
      <c r="DO652" s="161">
        <f t="shared" si="2834"/>
        <v>0</v>
      </c>
      <c r="DP652" s="161">
        <f t="shared" si="2835"/>
        <v>0</v>
      </c>
      <c r="DQ652" s="161">
        <f t="shared" si="2836"/>
        <v>0</v>
      </c>
      <c r="DR652" s="161">
        <f t="shared" si="2837"/>
        <v>0</v>
      </c>
      <c r="DS652" s="161">
        <f t="shared" si="2838"/>
        <v>0</v>
      </c>
      <c r="DT652" s="161">
        <f t="shared" si="2839"/>
        <v>0</v>
      </c>
      <c r="DU652" s="161">
        <f t="shared" si="2840"/>
        <v>0</v>
      </c>
      <c r="DV652" s="161">
        <f t="shared" si="2841"/>
        <v>0</v>
      </c>
      <c r="DW652" s="161">
        <f t="shared" si="2842"/>
        <v>0</v>
      </c>
      <c r="DX652" s="161">
        <f t="shared" si="2843"/>
        <v>0</v>
      </c>
      <c r="DY652" s="161">
        <f t="shared" si="2844"/>
        <v>0</v>
      </c>
      <c r="DZ652" s="161">
        <f t="shared" si="2845"/>
        <v>0</v>
      </c>
      <c r="EA652" s="161">
        <f t="shared" si="2846"/>
        <v>0</v>
      </c>
      <c r="EB652" s="161">
        <f t="shared" si="2847"/>
        <v>0</v>
      </c>
      <c r="EC652" s="161">
        <f t="shared" si="2848"/>
        <v>0</v>
      </c>
      <c r="ED652" s="161">
        <f t="shared" si="2849"/>
        <v>0</v>
      </c>
      <c r="EE652" s="161">
        <f t="shared" si="2850"/>
        <v>0</v>
      </c>
      <c r="EF652" s="161">
        <f t="shared" si="2851"/>
        <v>0</v>
      </c>
      <c r="EG652" s="161">
        <f t="shared" si="2852"/>
        <v>0</v>
      </c>
      <c r="EH652" s="161">
        <f t="shared" si="2853"/>
        <v>0</v>
      </c>
      <c r="EI652" s="161">
        <f t="shared" si="2854"/>
        <v>0</v>
      </c>
      <c r="EJ652" s="65"/>
      <c r="EK652" s="161">
        <f t="shared" si="2855"/>
        <v>0</v>
      </c>
      <c r="EL652" s="161">
        <f t="shared" si="2856"/>
        <v>0</v>
      </c>
      <c r="EM652" s="161">
        <f t="shared" si="2857"/>
        <v>0</v>
      </c>
    </row>
    <row r="653" spans="1:143" ht="12" hidden="1" customHeight="1" outlineLevel="2">
      <c r="A653" s="77">
        <v>9</v>
      </c>
      <c r="B653" s="137" t="str">
        <f t="shared" si="2786"/>
        <v>AN JR. ENG/ARQ - Equipe_01</v>
      </c>
      <c r="C653" s="65"/>
      <c r="D653" s="621"/>
      <c r="E653" s="65"/>
      <c r="F653" s="603"/>
      <c r="G653" s="77" t="str">
        <f>IF(INDEX(Tarefas!$BT$30:$FK$30,MATCH(A653,Tarefas!$BT$28:$FK$28,0))=0,"",INDEX(Tarefas!$BT$30:$FK$30,MATCH(A653,Tarefas!$BT$28:$FK$28,0)))</f>
        <v>AN JR. ENG/ARQ</v>
      </c>
      <c r="H653" s="107" cm="1">
        <f t="array" ref="H653">IFERROR((SUMPRODUCT((Tarefas!$N$32:$N$54='Cronog. e Histog.'!$F$645)*(Tarefas!$BQ$30:$FK$30='Cronog. e Histog.'!$G653)*(Tarefas!$BQ$32:$FK$54)))/SUMIF(Tarefas!$N$32:$N$54,'Cronog. e Histog.'!$F$645,Tarefas!$K$32:$K$54),0)</f>
        <v>0</v>
      </c>
      <c r="I653" s="79">
        <f t="shared" si="2787"/>
        <v>0</v>
      </c>
      <c r="J653" s="65"/>
      <c r="K653" s="160">
        <f t="shared" si="2720"/>
        <v>0</v>
      </c>
      <c r="L653" s="160">
        <f t="shared" si="2720"/>
        <v>0</v>
      </c>
      <c r="M653" s="160">
        <f t="shared" si="2720"/>
        <v>0</v>
      </c>
      <c r="N653" s="160">
        <f t="shared" si="2720"/>
        <v>0</v>
      </c>
      <c r="O653" s="160">
        <f t="shared" si="2720"/>
        <v>0</v>
      </c>
      <c r="P653" s="160">
        <f t="shared" si="2720"/>
        <v>0</v>
      </c>
      <c r="Q653" s="160">
        <f t="shared" si="2720"/>
        <v>0</v>
      </c>
      <c r="R653" s="160">
        <f t="shared" si="2720"/>
        <v>0</v>
      </c>
      <c r="S653" s="160">
        <f t="shared" si="2720"/>
        <v>0</v>
      </c>
      <c r="T653" s="160">
        <f t="shared" si="2720"/>
        <v>0</v>
      </c>
      <c r="U653" s="160">
        <f t="shared" si="2720"/>
        <v>0</v>
      </c>
      <c r="V653" s="160">
        <f t="shared" si="2720"/>
        <v>0</v>
      </c>
      <c r="W653" s="160">
        <f t="shared" si="2720"/>
        <v>0</v>
      </c>
      <c r="X653" s="160">
        <f t="shared" si="2720"/>
        <v>0</v>
      </c>
      <c r="Y653" s="160">
        <f t="shared" si="2720"/>
        <v>0</v>
      </c>
      <c r="Z653" s="160">
        <f t="shared" si="2720"/>
        <v>0</v>
      </c>
      <c r="AA653" s="160">
        <f t="shared" si="2788"/>
        <v>0</v>
      </c>
      <c r="AB653" s="160">
        <f t="shared" si="2788"/>
        <v>0</v>
      </c>
      <c r="AC653" s="160">
        <f t="shared" si="2788"/>
        <v>0</v>
      </c>
      <c r="AD653" s="160">
        <f t="shared" si="2788"/>
        <v>0</v>
      </c>
      <c r="AE653" s="160">
        <f t="shared" si="2788"/>
        <v>0</v>
      </c>
      <c r="AF653" s="160">
        <f t="shared" si="2788"/>
        <v>0</v>
      </c>
      <c r="AG653" s="160">
        <f t="shared" si="2788"/>
        <v>0</v>
      </c>
      <c r="AH653" s="160">
        <f t="shared" si="2788"/>
        <v>0</v>
      </c>
      <c r="AI653" s="160">
        <f t="shared" si="2788"/>
        <v>0</v>
      </c>
      <c r="AJ653" s="160">
        <f t="shared" si="2788"/>
        <v>0</v>
      </c>
      <c r="AK653" s="160">
        <f t="shared" si="2788"/>
        <v>0</v>
      </c>
      <c r="AL653" s="160">
        <f t="shared" si="2788"/>
        <v>0</v>
      </c>
      <c r="AM653" s="160">
        <f t="shared" si="2788"/>
        <v>0</v>
      </c>
      <c r="AN653" s="160">
        <f t="shared" si="2788"/>
        <v>0</v>
      </c>
      <c r="AO653" s="160">
        <f t="shared" si="2788"/>
        <v>0</v>
      </c>
      <c r="AP653" s="160">
        <f t="shared" si="2788"/>
        <v>0</v>
      </c>
      <c r="AQ653" s="160">
        <f t="shared" si="2789"/>
        <v>0</v>
      </c>
      <c r="AR653" s="160">
        <f t="shared" si="2789"/>
        <v>0</v>
      </c>
      <c r="AS653" s="160">
        <f t="shared" si="2789"/>
        <v>0</v>
      </c>
      <c r="AT653" s="160">
        <f t="shared" si="2789"/>
        <v>0</v>
      </c>
      <c r="AU653" s="160">
        <f t="shared" si="2789"/>
        <v>0</v>
      </c>
      <c r="AV653" s="160">
        <f t="shared" si="2789"/>
        <v>0</v>
      </c>
      <c r="AW653" s="160">
        <f t="shared" si="2789"/>
        <v>0</v>
      </c>
      <c r="AX653" s="160">
        <f t="shared" si="2789"/>
        <v>0</v>
      </c>
      <c r="AY653" s="160">
        <f t="shared" si="2789"/>
        <v>0</v>
      </c>
      <c r="AZ653" s="160">
        <f t="shared" si="2789"/>
        <v>0</v>
      </c>
      <c r="BA653" s="160">
        <f t="shared" si="2789"/>
        <v>0</v>
      </c>
      <c r="BB653" s="160">
        <f t="shared" si="2789"/>
        <v>0</v>
      </c>
      <c r="BC653" s="160">
        <f t="shared" si="2789"/>
        <v>0</v>
      </c>
      <c r="BD653" s="160">
        <f t="shared" si="2789"/>
        <v>0</v>
      </c>
      <c r="BE653" s="160">
        <f t="shared" si="2789"/>
        <v>0</v>
      </c>
      <c r="BF653" s="160">
        <f t="shared" si="2789"/>
        <v>0</v>
      </c>
      <c r="BG653" s="160">
        <f t="shared" si="2790"/>
        <v>0</v>
      </c>
      <c r="BH653" s="160">
        <f t="shared" si="2790"/>
        <v>0</v>
      </c>
      <c r="BI653" s="160">
        <f t="shared" si="2790"/>
        <v>0</v>
      </c>
      <c r="BJ653" s="160">
        <f t="shared" si="2790"/>
        <v>0</v>
      </c>
      <c r="BK653" s="160">
        <f t="shared" si="2790"/>
        <v>0</v>
      </c>
      <c r="BL653" s="160">
        <f t="shared" si="2790"/>
        <v>0</v>
      </c>
      <c r="BM653" s="160">
        <f t="shared" si="2790"/>
        <v>0</v>
      </c>
      <c r="BN653" s="160">
        <f t="shared" si="2790"/>
        <v>0</v>
      </c>
      <c r="BO653" s="160">
        <f t="shared" si="2790"/>
        <v>0</v>
      </c>
      <c r="BP653" s="160">
        <f t="shared" si="2790"/>
        <v>0</v>
      </c>
      <c r="BQ653" s="160">
        <f t="shared" si="2790"/>
        <v>0</v>
      </c>
      <c r="BR653" s="160">
        <f t="shared" si="2790"/>
        <v>0</v>
      </c>
      <c r="BS653" s="65"/>
      <c r="BT653" s="160">
        <f t="shared" si="2791"/>
        <v>0</v>
      </c>
      <c r="BU653" s="160">
        <f t="shared" si="2792"/>
        <v>0</v>
      </c>
      <c r="BV653" s="65"/>
      <c r="BW653" s="69"/>
      <c r="BX653" s="65"/>
      <c r="BY653" s="137">
        <f t="shared" si="2793"/>
        <v>1</v>
      </c>
      <c r="BZ653" s="137">
        <f>IF(BY653&gt;0,BY653+LARGE($BZ$213:BZ652,1),0)</f>
        <v>369</v>
      </c>
      <c r="CA653" s="137" t="str">
        <f t="shared" si="2794"/>
        <v>AN JR. ENG/ARQ</v>
      </c>
      <c r="CB653" s="161">
        <f t="shared" si="2795"/>
        <v>0</v>
      </c>
      <c r="CC653" s="161">
        <f t="shared" si="2796"/>
        <v>0</v>
      </c>
      <c r="CD653" s="161">
        <f t="shared" si="2797"/>
        <v>0</v>
      </c>
      <c r="CE653" s="161">
        <f t="shared" si="2798"/>
        <v>0</v>
      </c>
      <c r="CF653" s="161">
        <f t="shared" si="2799"/>
        <v>0</v>
      </c>
      <c r="CG653" s="161">
        <f t="shared" si="2800"/>
        <v>0</v>
      </c>
      <c r="CH653" s="161">
        <f t="shared" si="2801"/>
        <v>0</v>
      </c>
      <c r="CI653" s="161">
        <f t="shared" si="2802"/>
        <v>0</v>
      </c>
      <c r="CJ653" s="161">
        <f t="shared" si="2803"/>
        <v>0</v>
      </c>
      <c r="CK653" s="161">
        <f t="shared" si="2804"/>
        <v>0</v>
      </c>
      <c r="CL653" s="161">
        <f t="shared" si="2805"/>
        <v>0</v>
      </c>
      <c r="CM653" s="161">
        <f t="shared" si="2806"/>
        <v>0</v>
      </c>
      <c r="CN653" s="161">
        <f t="shared" si="2807"/>
        <v>0</v>
      </c>
      <c r="CO653" s="161">
        <f t="shared" si="2808"/>
        <v>0</v>
      </c>
      <c r="CP653" s="161">
        <f t="shared" si="2809"/>
        <v>0</v>
      </c>
      <c r="CQ653" s="161">
        <f t="shared" si="2810"/>
        <v>0</v>
      </c>
      <c r="CR653" s="161">
        <f t="shared" si="2811"/>
        <v>0</v>
      </c>
      <c r="CS653" s="161">
        <f t="shared" si="2812"/>
        <v>0</v>
      </c>
      <c r="CT653" s="161">
        <f t="shared" si="2813"/>
        <v>0</v>
      </c>
      <c r="CU653" s="161">
        <f t="shared" si="2814"/>
        <v>0</v>
      </c>
      <c r="CV653" s="161">
        <f t="shared" si="2815"/>
        <v>0</v>
      </c>
      <c r="CW653" s="161">
        <f t="shared" si="2816"/>
        <v>0</v>
      </c>
      <c r="CX653" s="161">
        <f t="shared" si="2817"/>
        <v>0</v>
      </c>
      <c r="CY653" s="161">
        <f t="shared" si="2818"/>
        <v>0</v>
      </c>
      <c r="CZ653" s="161">
        <f t="shared" si="2819"/>
        <v>0</v>
      </c>
      <c r="DA653" s="161">
        <f t="shared" si="2820"/>
        <v>0</v>
      </c>
      <c r="DB653" s="161">
        <f t="shared" si="2821"/>
        <v>0</v>
      </c>
      <c r="DC653" s="161">
        <f t="shared" si="2822"/>
        <v>0</v>
      </c>
      <c r="DD653" s="161">
        <f t="shared" si="2823"/>
        <v>0</v>
      </c>
      <c r="DE653" s="161">
        <f t="shared" si="2824"/>
        <v>0</v>
      </c>
      <c r="DF653" s="161">
        <f t="shared" si="2825"/>
        <v>0</v>
      </c>
      <c r="DG653" s="161">
        <f t="shared" si="2826"/>
        <v>0</v>
      </c>
      <c r="DH653" s="161">
        <f t="shared" si="2827"/>
        <v>0</v>
      </c>
      <c r="DI653" s="161">
        <f t="shared" si="2828"/>
        <v>0</v>
      </c>
      <c r="DJ653" s="161">
        <f t="shared" si="2829"/>
        <v>0</v>
      </c>
      <c r="DK653" s="161">
        <f t="shared" si="2830"/>
        <v>0</v>
      </c>
      <c r="DL653" s="161">
        <f t="shared" si="2831"/>
        <v>0</v>
      </c>
      <c r="DM653" s="161">
        <f t="shared" si="2832"/>
        <v>0</v>
      </c>
      <c r="DN653" s="161">
        <f t="shared" si="2833"/>
        <v>0</v>
      </c>
      <c r="DO653" s="161">
        <f t="shared" si="2834"/>
        <v>0</v>
      </c>
      <c r="DP653" s="161">
        <f t="shared" si="2835"/>
        <v>0</v>
      </c>
      <c r="DQ653" s="161">
        <f t="shared" si="2836"/>
        <v>0</v>
      </c>
      <c r="DR653" s="161">
        <f t="shared" si="2837"/>
        <v>0</v>
      </c>
      <c r="DS653" s="161">
        <f t="shared" si="2838"/>
        <v>0</v>
      </c>
      <c r="DT653" s="161">
        <f t="shared" si="2839"/>
        <v>0</v>
      </c>
      <c r="DU653" s="161">
        <f t="shared" si="2840"/>
        <v>0</v>
      </c>
      <c r="DV653" s="161">
        <f t="shared" si="2841"/>
        <v>0</v>
      </c>
      <c r="DW653" s="161">
        <f t="shared" si="2842"/>
        <v>0</v>
      </c>
      <c r="DX653" s="161">
        <f t="shared" si="2843"/>
        <v>0</v>
      </c>
      <c r="DY653" s="161">
        <f t="shared" si="2844"/>
        <v>0</v>
      </c>
      <c r="DZ653" s="161">
        <f t="shared" si="2845"/>
        <v>0</v>
      </c>
      <c r="EA653" s="161">
        <f t="shared" si="2846"/>
        <v>0</v>
      </c>
      <c r="EB653" s="161">
        <f t="shared" si="2847"/>
        <v>0</v>
      </c>
      <c r="EC653" s="161">
        <f t="shared" si="2848"/>
        <v>0</v>
      </c>
      <c r="ED653" s="161">
        <f t="shared" si="2849"/>
        <v>0</v>
      </c>
      <c r="EE653" s="161">
        <f t="shared" si="2850"/>
        <v>0</v>
      </c>
      <c r="EF653" s="161">
        <f t="shared" si="2851"/>
        <v>0</v>
      </c>
      <c r="EG653" s="161">
        <f t="shared" si="2852"/>
        <v>0</v>
      </c>
      <c r="EH653" s="161">
        <f t="shared" si="2853"/>
        <v>0</v>
      </c>
      <c r="EI653" s="161">
        <f t="shared" si="2854"/>
        <v>0</v>
      </c>
      <c r="EJ653" s="65"/>
      <c r="EK653" s="161">
        <f t="shared" si="2855"/>
        <v>0</v>
      </c>
      <c r="EL653" s="161">
        <f t="shared" si="2856"/>
        <v>0</v>
      </c>
      <c r="EM653" s="161">
        <f t="shared" si="2857"/>
        <v>0</v>
      </c>
    </row>
    <row r="654" spans="1:143" ht="12" hidden="1" customHeight="1" outlineLevel="2">
      <c r="A654" s="77">
        <v>10</v>
      </c>
      <c r="B654" s="137" t="str">
        <f t="shared" si="2786"/>
        <v>AN SR. ADM/CRP - Equipe_01</v>
      </c>
      <c r="C654" s="65"/>
      <c r="D654" s="621"/>
      <c r="E654" s="65"/>
      <c r="F654" s="603"/>
      <c r="G654" s="77" t="str">
        <f>IF(INDEX(Tarefas!$BT$30:$FK$30,MATCH(A654,Tarefas!$BT$28:$FK$28,0))=0,"",INDEX(Tarefas!$BT$30:$FK$30,MATCH(A654,Tarefas!$BT$28:$FK$28,0)))</f>
        <v>AN SR. ADM/CRP</v>
      </c>
      <c r="H654" s="107" cm="1">
        <f t="array" ref="H654">IFERROR((SUMPRODUCT((Tarefas!$N$32:$N$54='Cronog. e Histog.'!$F$645)*(Tarefas!$BQ$30:$FK$30='Cronog. e Histog.'!$G654)*(Tarefas!$BQ$32:$FK$54)))/SUMIF(Tarefas!$N$32:$N$54,'Cronog. e Histog.'!$F$645,Tarefas!$K$32:$K$54),0)</f>
        <v>1</v>
      </c>
      <c r="I654" s="79">
        <f t="shared" si="2787"/>
        <v>1</v>
      </c>
      <c r="J654" s="65"/>
      <c r="K654" s="160">
        <f t="shared" si="2720"/>
        <v>0.05</v>
      </c>
      <c r="L654" s="160">
        <f t="shared" si="2720"/>
        <v>0.05</v>
      </c>
      <c r="M654" s="160">
        <f t="shared" si="2720"/>
        <v>0.05</v>
      </c>
      <c r="N654" s="160">
        <f t="shared" si="2720"/>
        <v>0.05</v>
      </c>
      <c r="O654" s="160">
        <f t="shared" si="2720"/>
        <v>0.05</v>
      </c>
      <c r="P654" s="160">
        <f t="shared" si="2720"/>
        <v>0.05</v>
      </c>
      <c r="Q654" s="160">
        <f t="shared" si="2720"/>
        <v>0.05</v>
      </c>
      <c r="R654" s="160">
        <f t="shared" si="2720"/>
        <v>0.05</v>
      </c>
      <c r="S654" s="160">
        <f t="shared" si="2720"/>
        <v>0.05</v>
      </c>
      <c r="T654" s="160">
        <f t="shared" si="2720"/>
        <v>0.05</v>
      </c>
      <c r="U654" s="160">
        <f t="shared" si="2720"/>
        <v>0</v>
      </c>
      <c r="V654" s="160">
        <f t="shared" si="2720"/>
        <v>0</v>
      </c>
      <c r="W654" s="160">
        <f t="shared" si="2720"/>
        <v>0</v>
      </c>
      <c r="X654" s="160">
        <f t="shared" si="2720"/>
        <v>0</v>
      </c>
      <c r="Y654" s="160">
        <f t="shared" si="2720"/>
        <v>0</v>
      </c>
      <c r="Z654" s="160">
        <f t="shared" si="2720"/>
        <v>0</v>
      </c>
      <c r="AA654" s="160">
        <f t="shared" si="2788"/>
        <v>0</v>
      </c>
      <c r="AB654" s="160">
        <f t="shared" si="2788"/>
        <v>0</v>
      </c>
      <c r="AC654" s="160">
        <f t="shared" si="2788"/>
        <v>0</v>
      </c>
      <c r="AD654" s="160">
        <f t="shared" si="2788"/>
        <v>0</v>
      </c>
      <c r="AE654" s="160">
        <f t="shared" si="2788"/>
        <v>0</v>
      </c>
      <c r="AF654" s="160">
        <f t="shared" si="2788"/>
        <v>0</v>
      </c>
      <c r="AG654" s="160">
        <f t="shared" si="2788"/>
        <v>0</v>
      </c>
      <c r="AH654" s="160">
        <f t="shared" si="2788"/>
        <v>0</v>
      </c>
      <c r="AI654" s="160">
        <f t="shared" si="2788"/>
        <v>0</v>
      </c>
      <c r="AJ654" s="160">
        <f t="shared" si="2788"/>
        <v>0</v>
      </c>
      <c r="AK654" s="160">
        <f t="shared" si="2788"/>
        <v>0</v>
      </c>
      <c r="AL654" s="160">
        <f t="shared" si="2788"/>
        <v>0</v>
      </c>
      <c r="AM654" s="160">
        <f t="shared" si="2788"/>
        <v>0</v>
      </c>
      <c r="AN654" s="160">
        <f t="shared" si="2788"/>
        <v>0</v>
      </c>
      <c r="AO654" s="160">
        <f t="shared" si="2788"/>
        <v>0</v>
      </c>
      <c r="AP654" s="160">
        <f t="shared" si="2788"/>
        <v>0</v>
      </c>
      <c r="AQ654" s="160">
        <f t="shared" si="2789"/>
        <v>0</v>
      </c>
      <c r="AR654" s="160">
        <f t="shared" si="2789"/>
        <v>0</v>
      </c>
      <c r="AS654" s="160">
        <f t="shared" si="2789"/>
        <v>0</v>
      </c>
      <c r="AT654" s="160">
        <f t="shared" si="2789"/>
        <v>0</v>
      </c>
      <c r="AU654" s="160">
        <f t="shared" si="2789"/>
        <v>0</v>
      </c>
      <c r="AV654" s="160">
        <f t="shared" si="2789"/>
        <v>0</v>
      </c>
      <c r="AW654" s="160">
        <f t="shared" si="2789"/>
        <v>0</v>
      </c>
      <c r="AX654" s="160">
        <f t="shared" si="2789"/>
        <v>0</v>
      </c>
      <c r="AY654" s="160">
        <f t="shared" si="2789"/>
        <v>0</v>
      </c>
      <c r="AZ654" s="160">
        <f t="shared" si="2789"/>
        <v>0</v>
      </c>
      <c r="BA654" s="160">
        <f t="shared" si="2789"/>
        <v>0</v>
      </c>
      <c r="BB654" s="160">
        <f t="shared" si="2789"/>
        <v>0</v>
      </c>
      <c r="BC654" s="160">
        <f t="shared" si="2789"/>
        <v>0</v>
      </c>
      <c r="BD654" s="160">
        <f t="shared" si="2789"/>
        <v>0</v>
      </c>
      <c r="BE654" s="160">
        <f t="shared" si="2789"/>
        <v>0</v>
      </c>
      <c r="BF654" s="160">
        <f t="shared" si="2789"/>
        <v>0</v>
      </c>
      <c r="BG654" s="160">
        <f t="shared" si="2790"/>
        <v>0</v>
      </c>
      <c r="BH654" s="160">
        <f t="shared" si="2790"/>
        <v>0</v>
      </c>
      <c r="BI654" s="160">
        <f t="shared" si="2790"/>
        <v>0</v>
      </c>
      <c r="BJ654" s="160">
        <f t="shared" si="2790"/>
        <v>0</v>
      </c>
      <c r="BK654" s="160">
        <f t="shared" si="2790"/>
        <v>0</v>
      </c>
      <c r="BL654" s="160">
        <f t="shared" si="2790"/>
        <v>0</v>
      </c>
      <c r="BM654" s="160">
        <f t="shared" si="2790"/>
        <v>0</v>
      </c>
      <c r="BN654" s="160">
        <f t="shared" si="2790"/>
        <v>0</v>
      </c>
      <c r="BO654" s="160">
        <f t="shared" si="2790"/>
        <v>0</v>
      </c>
      <c r="BP654" s="160">
        <f t="shared" si="2790"/>
        <v>0</v>
      </c>
      <c r="BQ654" s="160">
        <f t="shared" si="2790"/>
        <v>0</v>
      </c>
      <c r="BR654" s="160">
        <f t="shared" si="2790"/>
        <v>0</v>
      </c>
      <c r="BS654" s="65"/>
      <c r="BT654" s="160">
        <f t="shared" si="2791"/>
        <v>4.9999999999999996E-2</v>
      </c>
      <c r="BU654" s="160">
        <f t="shared" si="2792"/>
        <v>10</v>
      </c>
      <c r="BV654" s="65"/>
      <c r="BW654" s="69"/>
      <c r="BX654" s="65"/>
      <c r="BY654" s="137">
        <f t="shared" si="2793"/>
        <v>1</v>
      </c>
      <c r="BZ654" s="137">
        <f>IF(BY654&gt;0,BY654+LARGE($BZ$213:BZ653,1),0)</f>
        <v>370</v>
      </c>
      <c r="CA654" s="137" t="str">
        <f t="shared" si="2794"/>
        <v>AN SR. ADM/CRP</v>
      </c>
      <c r="CB654" s="161">
        <f t="shared" si="2795"/>
        <v>0.05</v>
      </c>
      <c r="CC654" s="161">
        <f t="shared" si="2796"/>
        <v>0.05</v>
      </c>
      <c r="CD654" s="161">
        <f t="shared" si="2797"/>
        <v>0.05</v>
      </c>
      <c r="CE654" s="161">
        <f t="shared" si="2798"/>
        <v>0.05</v>
      </c>
      <c r="CF654" s="161">
        <f t="shared" si="2799"/>
        <v>0.05</v>
      </c>
      <c r="CG654" s="161">
        <f t="shared" si="2800"/>
        <v>0.05</v>
      </c>
      <c r="CH654" s="161">
        <f t="shared" si="2801"/>
        <v>0.05</v>
      </c>
      <c r="CI654" s="161">
        <f t="shared" si="2802"/>
        <v>0.05</v>
      </c>
      <c r="CJ654" s="161">
        <f t="shared" si="2803"/>
        <v>0.05</v>
      </c>
      <c r="CK654" s="161">
        <f t="shared" si="2804"/>
        <v>0.05</v>
      </c>
      <c r="CL654" s="161">
        <f t="shared" si="2805"/>
        <v>0</v>
      </c>
      <c r="CM654" s="161">
        <f t="shared" si="2806"/>
        <v>0</v>
      </c>
      <c r="CN654" s="161">
        <f t="shared" si="2807"/>
        <v>0</v>
      </c>
      <c r="CO654" s="161">
        <f t="shared" si="2808"/>
        <v>0</v>
      </c>
      <c r="CP654" s="161">
        <f t="shared" si="2809"/>
        <v>0</v>
      </c>
      <c r="CQ654" s="161">
        <f t="shared" si="2810"/>
        <v>0</v>
      </c>
      <c r="CR654" s="161">
        <f t="shared" si="2811"/>
        <v>0</v>
      </c>
      <c r="CS654" s="161">
        <f t="shared" si="2812"/>
        <v>0</v>
      </c>
      <c r="CT654" s="161">
        <f t="shared" si="2813"/>
        <v>0</v>
      </c>
      <c r="CU654" s="161">
        <f t="shared" si="2814"/>
        <v>0</v>
      </c>
      <c r="CV654" s="161">
        <f t="shared" si="2815"/>
        <v>0</v>
      </c>
      <c r="CW654" s="161">
        <f t="shared" si="2816"/>
        <v>0</v>
      </c>
      <c r="CX654" s="161">
        <f t="shared" si="2817"/>
        <v>0</v>
      </c>
      <c r="CY654" s="161">
        <f t="shared" si="2818"/>
        <v>0</v>
      </c>
      <c r="CZ654" s="161">
        <f t="shared" si="2819"/>
        <v>0</v>
      </c>
      <c r="DA654" s="161">
        <f t="shared" si="2820"/>
        <v>0</v>
      </c>
      <c r="DB654" s="161">
        <f t="shared" si="2821"/>
        <v>0</v>
      </c>
      <c r="DC654" s="161">
        <f t="shared" si="2822"/>
        <v>0</v>
      </c>
      <c r="DD654" s="161">
        <f t="shared" si="2823"/>
        <v>0</v>
      </c>
      <c r="DE654" s="161">
        <f t="shared" si="2824"/>
        <v>0</v>
      </c>
      <c r="DF654" s="161">
        <f t="shared" si="2825"/>
        <v>0</v>
      </c>
      <c r="DG654" s="161">
        <f t="shared" si="2826"/>
        <v>0</v>
      </c>
      <c r="DH654" s="161">
        <f t="shared" si="2827"/>
        <v>0</v>
      </c>
      <c r="DI654" s="161">
        <f t="shared" si="2828"/>
        <v>0</v>
      </c>
      <c r="DJ654" s="161">
        <f t="shared" si="2829"/>
        <v>0</v>
      </c>
      <c r="DK654" s="161">
        <f t="shared" si="2830"/>
        <v>0</v>
      </c>
      <c r="DL654" s="161">
        <f t="shared" si="2831"/>
        <v>0</v>
      </c>
      <c r="DM654" s="161">
        <f t="shared" si="2832"/>
        <v>0</v>
      </c>
      <c r="DN654" s="161">
        <f t="shared" si="2833"/>
        <v>0</v>
      </c>
      <c r="DO654" s="161">
        <f t="shared" si="2834"/>
        <v>0</v>
      </c>
      <c r="DP654" s="161">
        <f t="shared" si="2835"/>
        <v>0</v>
      </c>
      <c r="DQ654" s="161">
        <f t="shared" si="2836"/>
        <v>0</v>
      </c>
      <c r="DR654" s="161">
        <f t="shared" si="2837"/>
        <v>0</v>
      </c>
      <c r="DS654" s="161">
        <f t="shared" si="2838"/>
        <v>0</v>
      </c>
      <c r="DT654" s="161">
        <f t="shared" si="2839"/>
        <v>0</v>
      </c>
      <c r="DU654" s="161">
        <f t="shared" si="2840"/>
        <v>0</v>
      </c>
      <c r="DV654" s="161">
        <f t="shared" si="2841"/>
        <v>0</v>
      </c>
      <c r="DW654" s="161">
        <f t="shared" si="2842"/>
        <v>0</v>
      </c>
      <c r="DX654" s="161">
        <f t="shared" si="2843"/>
        <v>0</v>
      </c>
      <c r="DY654" s="161">
        <f t="shared" si="2844"/>
        <v>0</v>
      </c>
      <c r="DZ654" s="161">
        <f t="shared" si="2845"/>
        <v>0</v>
      </c>
      <c r="EA654" s="161">
        <f t="shared" si="2846"/>
        <v>0</v>
      </c>
      <c r="EB654" s="161">
        <f t="shared" si="2847"/>
        <v>0</v>
      </c>
      <c r="EC654" s="161">
        <f t="shared" si="2848"/>
        <v>0</v>
      </c>
      <c r="ED654" s="161">
        <f t="shared" si="2849"/>
        <v>0</v>
      </c>
      <c r="EE654" s="161">
        <f t="shared" si="2850"/>
        <v>0</v>
      </c>
      <c r="EF654" s="161">
        <f t="shared" si="2851"/>
        <v>0</v>
      </c>
      <c r="EG654" s="161">
        <f t="shared" si="2852"/>
        <v>0</v>
      </c>
      <c r="EH654" s="161">
        <f t="shared" si="2853"/>
        <v>0</v>
      </c>
      <c r="EI654" s="161">
        <f t="shared" si="2854"/>
        <v>0</v>
      </c>
      <c r="EJ654" s="65"/>
      <c r="EK654" s="161">
        <f t="shared" si="2855"/>
        <v>0</v>
      </c>
      <c r="EL654" s="161">
        <f t="shared" si="2856"/>
        <v>0</v>
      </c>
      <c r="EM654" s="161">
        <f t="shared" si="2857"/>
        <v>0</v>
      </c>
    </row>
    <row r="655" spans="1:143" ht="12" hidden="1" customHeight="1" outlineLevel="2">
      <c r="A655" s="77">
        <v>11</v>
      </c>
      <c r="B655" s="137" t="str">
        <f t="shared" si="2786"/>
        <v>AN PL. ADM/CRP - Equipe_01</v>
      </c>
      <c r="C655" s="65"/>
      <c r="D655" s="621"/>
      <c r="E655" s="65"/>
      <c r="F655" s="603"/>
      <c r="G655" s="77" t="str">
        <f>IF(INDEX(Tarefas!$BT$30:$FK$30,MATCH(A655,Tarefas!$BT$28:$FK$28,0))=0,"",INDEX(Tarefas!$BT$30:$FK$30,MATCH(A655,Tarefas!$BT$28:$FK$28,0)))</f>
        <v>AN PL. ADM/CRP</v>
      </c>
      <c r="H655" s="107" cm="1">
        <f t="array" ref="H655">IFERROR((SUMPRODUCT((Tarefas!$N$32:$N$54='Cronog. e Histog.'!$F$645)*(Tarefas!$BQ$30:$FK$30='Cronog. e Histog.'!$G655)*(Tarefas!$BQ$32:$FK$54)))/SUMIF(Tarefas!$N$32:$N$54,'Cronog. e Histog.'!$F$645,Tarefas!$K$32:$K$54),0)</f>
        <v>0</v>
      </c>
      <c r="I655" s="79">
        <f t="shared" si="2787"/>
        <v>0</v>
      </c>
      <c r="J655" s="65"/>
      <c r="K655" s="160">
        <f t="shared" si="2720"/>
        <v>0</v>
      </c>
      <c r="L655" s="160">
        <f t="shared" si="2720"/>
        <v>0</v>
      </c>
      <c r="M655" s="160">
        <f t="shared" si="2720"/>
        <v>0</v>
      </c>
      <c r="N655" s="160">
        <f t="shared" si="2720"/>
        <v>0</v>
      </c>
      <c r="O655" s="160">
        <f t="shared" si="2720"/>
        <v>0</v>
      </c>
      <c r="P655" s="160">
        <f t="shared" si="2720"/>
        <v>0</v>
      </c>
      <c r="Q655" s="160">
        <f t="shared" si="2720"/>
        <v>0</v>
      </c>
      <c r="R655" s="160">
        <f t="shared" si="2720"/>
        <v>0</v>
      </c>
      <c r="S655" s="160">
        <f t="shared" si="2720"/>
        <v>0</v>
      </c>
      <c r="T655" s="160">
        <f t="shared" si="2720"/>
        <v>0</v>
      </c>
      <c r="U655" s="160">
        <f t="shared" si="2720"/>
        <v>0</v>
      </c>
      <c r="V655" s="160">
        <f t="shared" si="2720"/>
        <v>0</v>
      </c>
      <c r="W655" s="160">
        <f t="shared" si="2720"/>
        <v>0</v>
      </c>
      <c r="X655" s="160">
        <f t="shared" si="2720"/>
        <v>0</v>
      </c>
      <c r="Y655" s="160">
        <f t="shared" si="2720"/>
        <v>0</v>
      </c>
      <c r="Z655" s="160">
        <f t="shared" si="2720"/>
        <v>0</v>
      </c>
      <c r="AA655" s="160">
        <f t="shared" si="2788"/>
        <v>0</v>
      </c>
      <c r="AB655" s="160">
        <f t="shared" si="2788"/>
        <v>0</v>
      </c>
      <c r="AC655" s="160">
        <f t="shared" si="2788"/>
        <v>0</v>
      </c>
      <c r="AD655" s="160">
        <f t="shared" si="2788"/>
        <v>0</v>
      </c>
      <c r="AE655" s="160">
        <f t="shared" si="2788"/>
        <v>0</v>
      </c>
      <c r="AF655" s="160">
        <f t="shared" si="2788"/>
        <v>0</v>
      </c>
      <c r="AG655" s="160">
        <f t="shared" si="2788"/>
        <v>0</v>
      </c>
      <c r="AH655" s="160">
        <f t="shared" si="2788"/>
        <v>0</v>
      </c>
      <c r="AI655" s="160">
        <f t="shared" si="2788"/>
        <v>0</v>
      </c>
      <c r="AJ655" s="160">
        <f t="shared" si="2788"/>
        <v>0</v>
      </c>
      <c r="AK655" s="160">
        <f t="shared" si="2788"/>
        <v>0</v>
      </c>
      <c r="AL655" s="160">
        <f t="shared" si="2788"/>
        <v>0</v>
      </c>
      <c r="AM655" s="160">
        <f t="shared" si="2788"/>
        <v>0</v>
      </c>
      <c r="AN655" s="160">
        <f t="shared" si="2788"/>
        <v>0</v>
      </c>
      <c r="AO655" s="160">
        <f t="shared" si="2788"/>
        <v>0</v>
      </c>
      <c r="AP655" s="160">
        <f t="shared" si="2788"/>
        <v>0</v>
      </c>
      <c r="AQ655" s="160">
        <f t="shared" si="2789"/>
        <v>0</v>
      </c>
      <c r="AR655" s="160">
        <f t="shared" si="2789"/>
        <v>0</v>
      </c>
      <c r="AS655" s="160">
        <f t="shared" si="2789"/>
        <v>0</v>
      </c>
      <c r="AT655" s="160">
        <f t="shared" si="2789"/>
        <v>0</v>
      </c>
      <c r="AU655" s="160">
        <f t="shared" si="2789"/>
        <v>0</v>
      </c>
      <c r="AV655" s="160">
        <f t="shared" si="2789"/>
        <v>0</v>
      </c>
      <c r="AW655" s="160">
        <f t="shared" si="2789"/>
        <v>0</v>
      </c>
      <c r="AX655" s="160">
        <f t="shared" si="2789"/>
        <v>0</v>
      </c>
      <c r="AY655" s="160">
        <f t="shared" si="2789"/>
        <v>0</v>
      </c>
      <c r="AZ655" s="160">
        <f t="shared" si="2789"/>
        <v>0</v>
      </c>
      <c r="BA655" s="160">
        <f t="shared" si="2789"/>
        <v>0</v>
      </c>
      <c r="BB655" s="160">
        <f t="shared" si="2789"/>
        <v>0</v>
      </c>
      <c r="BC655" s="160">
        <f t="shared" si="2789"/>
        <v>0</v>
      </c>
      <c r="BD655" s="160">
        <f t="shared" si="2789"/>
        <v>0</v>
      </c>
      <c r="BE655" s="160">
        <f t="shared" si="2789"/>
        <v>0</v>
      </c>
      <c r="BF655" s="160">
        <f t="shared" si="2789"/>
        <v>0</v>
      </c>
      <c r="BG655" s="160">
        <f t="shared" si="2790"/>
        <v>0</v>
      </c>
      <c r="BH655" s="160">
        <f t="shared" si="2790"/>
        <v>0</v>
      </c>
      <c r="BI655" s="160">
        <f t="shared" si="2790"/>
        <v>0</v>
      </c>
      <c r="BJ655" s="160">
        <f t="shared" si="2790"/>
        <v>0</v>
      </c>
      <c r="BK655" s="160">
        <f t="shared" si="2790"/>
        <v>0</v>
      </c>
      <c r="BL655" s="160">
        <f t="shared" si="2790"/>
        <v>0</v>
      </c>
      <c r="BM655" s="160">
        <f t="shared" si="2790"/>
        <v>0</v>
      </c>
      <c r="BN655" s="160">
        <f t="shared" si="2790"/>
        <v>0</v>
      </c>
      <c r="BO655" s="160">
        <f t="shared" si="2790"/>
        <v>0</v>
      </c>
      <c r="BP655" s="160">
        <f t="shared" si="2790"/>
        <v>0</v>
      </c>
      <c r="BQ655" s="160">
        <f t="shared" si="2790"/>
        <v>0</v>
      </c>
      <c r="BR655" s="160">
        <f t="shared" si="2790"/>
        <v>0</v>
      </c>
      <c r="BS655" s="65"/>
      <c r="BT655" s="160">
        <f t="shared" si="2791"/>
        <v>0</v>
      </c>
      <c r="BU655" s="160">
        <f t="shared" si="2792"/>
        <v>0</v>
      </c>
      <c r="BV655" s="65"/>
      <c r="BW655" s="69"/>
      <c r="BX655" s="65"/>
      <c r="BY655" s="137">
        <f t="shared" si="2793"/>
        <v>1</v>
      </c>
      <c r="BZ655" s="137">
        <f>IF(BY655&gt;0,BY655+LARGE($BZ$213:BZ654,1),0)</f>
        <v>371</v>
      </c>
      <c r="CA655" s="137" t="str">
        <f t="shared" si="2794"/>
        <v>AN PL. ADM/CRP</v>
      </c>
      <c r="CB655" s="161">
        <f t="shared" si="2795"/>
        <v>0</v>
      </c>
      <c r="CC655" s="161">
        <f t="shared" si="2796"/>
        <v>0</v>
      </c>
      <c r="CD655" s="161">
        <f t="shared" si="2797"/>
        <v>0</v>
      </c>
      <c r="CE655" s="161">
        <f t="shared" si="2798"/>
        <v>0</v>
      </c>
      <c r="CF655" s="161">
        <f t="shared" si="2799"/>
        <v>0</v>
      </c>
      <c r="CG655" s="161">
        <f t="shared" si="2800"/>
        <v>0</v>
      </c>
      <c r="CH655" s="161">
        <f t="shared" si="2801"/>
        <v>0</v>
      </c>
      <c r="CI655" s="161">
        <f t="shared" si="2802"/>
        <v>0</v>
      </c>
      <c r="CJ655" s="161">
        <f t="shared" si="2803"/>
        <v>0</v>
      </c>
      <c r="CK655" s="161">
        <f t="shared" si="2804"/>
        <v>0</v>
      </c>
      <c r="CL655" s="161">
        <f t="shared" si="2805"/>
        <v>0</v>
      </c>
      <c r="CM655" s="161">
        <f t="shared" si="2806"/>
        <v>0</v>
      </c>
      <c r="CN655" s="161">
        <f t="shared" si="2807"/>
        <v>0</v>
      </c>
      <c r="CO655" s="161">
        <f t="shared" si="2808"/>
        <v>0</v>
      </c>
      <c r="CP655" s="161">
        <f t="shared" si="2809"/>
        <v>0</v>
      </c>
      <c r="CQ655" s="161">
        <f t="shared" si="2810"/>
        <v>0</v>
      </c>
      <c r="CR655" s="161">
        <f t="shared" si="2811"/>
        <v>0</v>
      </c>
      <c r="CS655" s="161">
        <f t="shared" si="2812"/>
        <v>0</v>
      </c>
      <c r="CT655" s="161">
        <f t="shared" si="2813"/>
        <v>0</v>
      </c>
      <c r="CU655" s="161">
        <f t="shared" si="2814"/>
        <v>0</v>
      </c>
      <c r="CV655" s="161">
        <f t="shared" si="2815"/>
        <v>0</v>
      </c>
      <c r="CW655" s="161">
        <f t="shared" si="2816"/>
        <v>0</v>
      </c>
      <c r="CX655" s="161">
        <f t="shared" si="2817"/>
        <v>0</v>
      </c>
      <c r="CY655" s="161">
        <f t="shared" si="2818"/>
        <v>0</v>
      </c>
      <c r="CZ655" s="161">
        <f t="shared" si="2819"/>
        <v>0</v>
      </c>
      <c r="DA655" s="161">
        <f t="shared" si="2820"/>
        <v>0</v>
      </c>
      <c r="DB655" s="161">
        <f t="shared" si="2821"/>
        <v>0</v>
      </c>
      <c r="DC655" s="161">
        <f t="shared" si="2822"/>
        <v>0</v>
      </c>
      <c r="DD655" s="161">
        <f t="shared" si="2823"/>
        <v>0</v>
      </c>
      <c r="DE655" s="161">
        <f t="shared" si="2824"/>
        <v>0</v>
      </c>
      <c r="DF655" s="161">
        <f t="shared" si="2825"/>
        <v>0</v>
      </c>
      <c r="DG655" s="161">
        <f t="shared" si="2826"/>
        <v>0</v>
      </c>
      <c r="DH655" s="161">
        <f t="shared" si="2827"/>
        <v>0</v>
      </c>
      <c r="DI655" s="161">
        <f t="shared" si="2828"/>
        <v>0</v>
      </c>
      <c r="DJ655" s="161">
        <f t="shared" si="2829"/>
        <v>0</v>
      </c>
      <c r="DK655" s="161">
        <f t="shared" si="2830"/>
        <v>0</v>
      </c>
      <c r="DL655" s="161">
        <f t="shared" si="2831"/>
        <v>0</v>
      </c>
      <c r="DM655" s="161">
        <f t="shared" si="2832"/>
        <v>0</v>
      </c>
      <c r="DN655" s="161">
        <f t="shared" si="2833"/>
        <v>0</v>
      </c>
      <c r="DO655" s="161">
        <f t="shared" si="2834"/>
        <v>0</v>
      </c>
      <c r="DP655" s="161">
        <f t="shared" si="2835"/>
        <v>0</v>
      </c>
      <c r="DQ655" s="161">
        <f t="shared" si="2836"/>
        <v>0</v>
      </c>
      <c r="DR655" s="161">
        <f t="shared" si="2837"/>
        <v>0</v>
      </c>
      <c r="DS655" s="161">
        <f t="shared" si="2838"/>
        <v>0</v>
      </c>
      <c r="DT655" s="161">
        <f t="shared" si="2839"/>
        <v>0</v>
      </c>
      <c r="DU655" s="161">
        <f t="shared" si="2840"/>
        <v>0</v>
      </c>
      <c r="DV655" s="161">
        <f t="shared" si="2841"/>
        <v>0</v>
      </c>
      <c r="DW655" s="161">
        <f t="shared" si="2842"/>
        <v>0</v>
      </c>
      <c r="DX655" s="161">
        <f t="shared" si="2843"/>
        <v>0</v>
      </c>
      <c r="DY655" s="161">
        <f t="shared" si="2844"/>
        <v>0</v>
      </c>
      <c r="DZ655" s="161">
        <f t="shared" si="2845"/>
        <v>0</v>
      </c>
      <c r="EA655" s="161">
        <f t="shared" si="2846"/>
        <v>0</v>
      </c>
      <c r="EB655" s="161">
        <f t="shared" si="2847"/>
        <v>0</v>
      </c>
      <c r="EC655" s="161">
        <f t="shared" si="2848"/>
        <v>0</v>
      </c>
      <c r="ED655" s="161">
        <f t="shared" si="2849"/>
        <v>0</v>
      </c>
      <c r="EE655" s="161">
        <f t="shared" si="2850"/>
        <v>0</v>
      </c>
      <c r="EF655" s="161">
        <f t="shared" si="2851"/>
        <v>0</v>
      </c>
      <c r="EG655" s="161">
        <f t="shared" si="2852"/>
        <v>0</v>
      </c>
      <c r="EH655" s="161">
        <f t="shared" si="2853"/>
        <v>0</v>
      </c>
      <c r="EI655" s="161">
        <f t="shared" si="2854"/>
        <v>0</v>
      </c>
      <c r="EJ655" s="65"/>
      <c r="EK655" s="161">
        <f t="shared" si="2855"/>
        <v>0</v>
      </c>
      <c r="EL655" s="161">
        <f t="shared" si="2856"/>
        <v>0</v>
      </c>
      <c r="EM655" s="161">
        <f t="shared" si="2857"/>
        <v>0</v>
      </c>
    </row>
    <row r="656" spans="1:143" ht="12" hidden="1" customHeight="1" outlineLevel="2">
      <c r="A656" s="77">
        <v>12</v>
      </c>
      <c r="B656" s="137" t="str">
        <f t="shared" si="2786"/>
        <v>AN JR. ADM/CRP - Equipe_01</v>
      </c>
      <c r="C656" s="65"/>
      <c r="D656" s="622"/>
      <c r="E656" s="65"/>
      <c r="F656" s="603"/>
      <c r="G656" s="77" t="str">
        <f>IF(INDEX(Tarefas!$BT$30:$FK$30,MATCH(A656,Tarefas!$BT$28:$FK$28,0))=0,"",INDEX(Tarefas!$BT$30:$FK$30,MATCH(A656,Tarefas!$BT$28:$FK$28,0)))</f>
        <v>AN JR. ADM/CRP</v>
      </c>
      <c r="H656" s="107" cm="1">
        <f t="array" ref="H656">IFERROR((SUMPRODUCT((Tarefas!$N$32:$N$54='Cronog. e Histog.'!$F$645)*(Tarefas!$BQ$30:$FK$30='Cronog. e Histog.'!$G656)*(Tarefas!$BQ$32:$FK$54)))/SUMIF(Tarefas!$N$32:$N$54,'Cronog. e Histog.'!$F$645,Tarefas!$K$32:$K$54),0)</f>
        <v>0</v>
      </c>
      <c r="I656" s="79">
        <f t="shared" si="2787"/>
        <v>0</v>
      </c>
      <c r="J656" s="65"/>
      <c r="K656" s="160">
        <f t="shared" si="2720"/>
        <v>0</v>
      </c>
      <c r="L656" s="160">
        <f t="shared" ref="L656:Z656" si="2858">ROUND($I656*L$201,2)</f>
        <v>0</v>
      </c>
      <c r="M656" s="160">
        <f t="shared" si="2858"/>
        <v>0</v>
      </c>
      <c r="N656" s="160">
        <f t="shared" si="2858"/>
        <v>0</v>
      </c>
      <c r="O656" s="160">
        <f t="shared" si="2858"/>
        <v>0</v>
      </c>
      <c r="P656" s="160">
        <f t="shared" si="2858"/>
        <v>0</v>
      </c>
      <c r="Q656" s="160">
        <f t="shared" si="2858"/>
        <v>0</v>
      </c>
      <c r="R656" s="160">
        <f t="shared" si="2858"/>
        <v>0</v>
      </c>
      <c r="S656" s="160">
        <f t="shared" si="2858"/>
        <v>0</v>
      </c>
      <c r="T656" s="160">
        <f t="shared" si="2858"/>
        <v>0</v>
      </c>
      <c r="U656" s="160">
        <f t="shared" si="2858"/>
        <v>0</v>
      </c>
      <c r="V656" s="160">
        <f t="shared" si="2858"/>
        <v>0</v>
      </c>
      <c r="W656" s="160">
        <f t="shared" si="2858"/>
        <v>0</v>
      </c>
      <c r="X656" s="160">
        <f t="shared" si="2858"/>
        <v>0</v>
      </c>
      <c r="Y656" s="160">
        <f t="shared" si="2858"/>
        <v>0</v>
      </c>
      <c r="Z656" s="160">
        <f t="shared" si="2858"/>
        <v>0</v>
      </c>
      <c r="AA656" s="160">
        <f t="shared" si="2721"/>
        <v>0</v>
      </c>
      <c r="AB656" s="160">
        <f t="shared" si="2721"/>
        <v>0</v>
      </c>
      <c r="AC656" s="160">
        <f t="shared" si="2721"/>
        <v>0</v>
      </c>
      <c r="AD656" s="160">
        <f t="shared" si="2721"/>
        <v>0</v>
      </c>
      <c r="AE656" s="160">
        <f t="shared" si="2721"/>
        <v>0</v>
      </c>
      <c r="AF656" s="160">
        <f t="shared" si="2721"/>
        <v>0</v>
      </c>
      <c r="AG656" s="160">
        <f t="shared" si="2721"/>
        <v>0</v>
      </c>
      <c r="AH656" s="160">
        <f t="shared" si="2721"/>
        <v>0</v>
      </c>
      <c r="AI656" s="160">
        <f t="shared" si="2721"/>
        <v>0</v>
      </c>
      <c r="AJ656" s="160">
        <f t="shared" si="2721"/>
        <v>0</v>
      </c>
      <c r="AK656" s="160">
        <f t="shared" si="2721"/>
        <v>0</v>
      </c>
      <c r="AL656" s="160">
        <f t="shared" si="2721"/>
        <v>0</v>
      </c>
      <c r="AM656" s="160">
        <f t="shared" si="2721"/>
        <v>0</v>
      </c>
      <c r="AN656" s="160">
        <f t="shared" si="2721"/>
        <v>0</v>
      </c>
      <c r="AO656" s="160">
        <f t="shared" si="2721"/>
        <v>0</v>
      </c>
      <c r="AP656" s="160">
        <f t="shared" si="2721"/>
        <v>0</v>
      </c>
      <c r="AQ656" s="160">
        <f t="shared" si="2721"/>
        <v>0</v>
      </c>
      <c r="AR656" s="160">
        <f t="shared" si="2721"/>
        <v>0</v>
      </c>
      <c r="AS656" s="160">
        <f t="shared" si="2721"/>
        <v>0</v>
      </c>
      <c r="AT656" s="160">
        <f t="shared" si="2721"/>
        <v>0</v>
      </c>
      <c r="AU656" s="160">
        <f t="shared" si="2721"/>
        <v>0</v>
      </c>
      <c r="AV656" s="160">
        <f t="shared" si="2721"/>
        <v>0</v>
      </c>
      <c r="AW656" s="160">
        <f t="shared" si="2721"/>
        <v>0</v>
      </c>
      <c r="AX656" s="160">
        <f t="shared" si="2721"/>
        <v>0</v>
      </c>
      <c r="AY656" s="160">
        <f t="shared" si="2721"/>
        <v>0</v>
      </c>
      <c r="AZ656" s="160">
        <f t="shared" si="2721"/>
        <v>0</v>
      </c>
      <c r="BA656" s="160">
        <f t="shared" si="2721"/>
        <v>0</v>
      </c>
      <c r="BB656" s="160">
        <f t="shared" si="2721"/>
        <v>0</v>
      </c>
      <c r="BC656" s="160">
        <f t="shared" si="2721"/>
        <v>0</v>
      </c>
      <c r="BD656" s="160">
        <f t="shared" si="2721"/>
        <v>0</v>
      </c>
      <c r="BE656" s="160">
        <f t="shared" si="2721"/>
        <v>0</v>
      </c>
      <c r="BF656" s="160">
        <f t="shared" si="2721"/>
        <v>0</v>
      </c>
      <c r="BG656" s="160">
        <f t="shared" si="2721"/>
        <v>0</v>
      </c>
      <c r="BH656" s="160">
        <f t="shared" si="2721"/>
        <v>0</v>
      </c>
      <c r="BI656" s="160">
        <f t="shared" si="2721"/>
        <v>0</v>
      </c>
      <c r="BJ656" s="160">
        <f t="shared" si="2721"/>
        <v>0</v>
      </c>
      <c r="BK656" s="160">
        <f t="shared" si="2721"/>
        <v>0</v>
      </c>
      <c r="BL656" s="160">
        <f t="shared" si="2721"/>
        <v>0</v>
      </c>
      <c r="BM656" s="160">
        <f t="shared" si="2721"/>
        <v>0</v>
      </c>
      <c r="BN656" s="160">
        <f t="shared" si="2721"/>
        <v>0</v>
      </c>
      <c r="BO656" s="160">
        <f t="shared" si="2721"/>
        <v>0</v>
      </c>
      <c r="BP656" s="160">
        <f t="shared" si="2721"/>
        <v>0</v>
      </c>
      <c r="BQ656" s="160">
        <f t="shared" si="2721"/>
        <v>0</v>
      </c>
      <c r="BR656" s="160">
        <f t="shared" si="2721"/>
        <v>0</v>
      </c>
      <c r="BS656" s="65"/>
      <c r="BT656" s="160">
        <f t="shared" si="2722"/>
        <v>0</v>
      </c>
      <c r="BU656" s="160">
        <f t="shared" si="2723"/>
        <v>0</v>
      </c>
      <c r="BV656" s="65"/>
      <c r="BW656" s="69"/>
      <c r="BX656" s="65"/>
      <c r="BY656" s="137">
        <f t="shared" si="2724"/>
        <v>1</v>
      </c>
      <c r="BZ656" s="137">
        <f>IF(BY656&gt;0,BY656+LARGE($BZ$213:BZ655,1),0)</f>
        <v>372</v>
      </c>
      <c r="CA656" s="137" t="str">
        <f t="shared" si="2725"/>
        <v>AN JR. ADM/CRP</v>
      </c>
      <c r="CB656" s="161">
        <f t="shared" si="2726"/>
        <v>0</v>
      </c>
      <c r="CC656" s="161">
        <f t="shared" si="2727"/>
        <v>0</v>
      </c>
      <c r="CD656" s="161">
        <f t="shared" si="2728"/>
        <v>0</v>
      </c>
      <c r="CE656" s="161">
        <f t="shared" si="2729"/>
        <v>0</v>
      </c>
      <c r="CF656" s="161">
        <f t="shared" si="2730"/>
        <v>0</v>
      </c>
      <c r="CG656" s="161">
        <f t="shared" si="2731"/>
        <v>0</v>
      </c>
      <c r="CH656" s="161">
        <f t="shared" si="2732"/>
        <v>0</v>
      </c>
      <c r="CI656" s="161">
        <f t="shared" si="2733"/>
        <v>0</v>
      </c>
      <c r="CJ656" s="161">
        <f t="shared" si="2734"/>
        <v>0</v>
      </c>
      <c r="CK656" s="161">
        <f t="shared" si="2735"/>
        <v>0</v>
      </c>
      <c r="CL656" s="161">
        <f t="shared" si="2736"/>
        <v>0</v>
      </c>
      <c r="CM656" s="161">
        <f t="shared" si="2737"/>
        <v>0</v>
      </c>
      <c r="CN656" s="161">
        <f t="shared" si="2738"/>
        <v>0</v>
      </c>
      <c r="CO656" s="161">
        <f t="shared" si="2739"/>
        <v>0</v>
      </c>
      <c r="CP656" s="161">
        <f t="shared" si="2740"/>
        <v>0</v>
      </c>
      <c r="CQ656" s="161">
        <f t="shared" si="2741"/>
        <v>0</v>
      </c>
      <c r="CR656" s="161">
        <f t="shared" si="2742"/>
        <v>0</v>
      </c>
      <c r="CS656" s="161">
        <f t="shared" si="2743"/>
        <v>0</v>
      </c>
      <c r="CT656" s="161">
        <f t="shared" si="2744"/>
        <v>0</v>
      </c>
      <c r="CU656" s="161">
        <f t="shared" si="2745"/>
        <v>0</v>
      </c>
      <c r="CV656" s="161">
        <f t="shared" si="2746"/>
        <v>0</v>
      </c>
      <c r="CW656" s="161">
        <f t="shared" si="2747"/>
        <v>0</v>
      </c>
      <c r="CX656" s="161">
        <f t="shared" si="2748"/>
        <v>0</v>
      </c>
      <c r="CY656" s="161">
        <f t="shared" si="2749"/>
        <v>0</v>
      </c>
      <c r="CZ656" s="161">
        <f t="shared" si="2750"/>
        <v>0</v>
      </c>
      <c r="DA656" s="161">
        <f t="shared" si="2751"/>
        <v>0</v>
      </c>
      <c r="DB656" s="161">
        <f t="shared" si="2752"/>
        <v>0</v>
      </c>
      <c r="DC656" s="161">
        <f t="shared" si="2753"/>
        <v>0</v>
      </c>
      <c r="DD656" s="161">
        <f t="shared" si="2754"/>
        <v>0</v>
      </c>
      <c r="DE656" s="161">
        <f t="shared" si="2755"/>
        <v>0</v>
      </c>
      <c r="DF656" s="161">
        <f t="shared" si="2756"/>
        <v>0</v>
      </c>
      <c r="DG656" s="161">
        <f t="shared" si="2757"/>
        <v>0</v>
      </c>
      <c r="DH656" s="161">
        <f t="shared" si="2758"/>
        <v>0</v>
      </c>
      <c r="DI656" s="161">
        <f t="shared" si="2759"/>
        <v>0</v>
      </c>
      <c r="DJ656" s="161">
        <f t="shared" si="2760"/>
        <v>0</v>
      </c>
      <c r="DK656" s="161">
        <f t="shared" si="2761"/>
        <v>0</v>
      </c>
      <c r="DL656" s="161">
        <f t="shared" si="2762"/>
        <v>0</v>
      </c>
      <c r="DM656" s="161">
        <f t="shared" si="2763"/>
        <v>0</v>
      </c>
      <c r="DN656" s="161">
        <f t="shared" si="2764"/>
        <v>0</v>
      </c>
      <c r="DO656" s="161">
        <f t="shared" si="2765"/>
        <v>0</v>
      </c>
      <c r="DP656" s="161">
        <f t="shared" si="2766"/>
        <v>0</v>
      </c>
      <c r="DQ656" s="161">
        <f t="shared" si="2767"/>
        <v>0</v>
      </c>
      <c r="DR656" s="161">
        <f t="shared" si="2768"/>
        <v>0</v>
      </c>
      <c r="DS656" s="161">
        <f t="shared" si="2769"/>
        <v>0</v>
      </c>
      <c r="DT656" s="161">
        <f t="shared" si="2770"/>
        <v>0</v>
      </c>
      <c r="DU656" s="161">
        <f t="shared" si="2771"/>
        <v>0</v>
      </c>
      <c r="DV656" s="161">
        <f t="shared" si="2772"/>
        <v>0</v>
      </c>
      <c r="DW656" s="161">
        <f t="shared" si="2773"/>
        <v>0</v>
      </c>
      <c r="DX656" s="161">
        <f t="shared" si="2774"/>
        <v>0</v>
      </c>
      <c r="DY656" s="161">
        <f t="shared" si="2775"/>
        <v>0</v>
      </c>
      <c r="DZ656" s="161">
        <f t="shared" si="2776"/>
        <v>0</v>
      </c>
      <c r="EA656" s="161">
        <f t="shared" si="2777"/>
        <v>0</v>
      </c>
      <c r="EB656" s="161">
        <f t="shared" si="2778"/>
        <v>0</v>
      </c>
      <c r="EC656" s="161">
        <f t="shared" si="2779"/>
        <v>0</v>
      </c>
      <c r="ED656" s="161">
        <f t="shared" si="2780"/>
        <v>0</v>
      </c>
      <c r="EE656" s="161">
        <f t="shared" si="2781"/>
        <v>0</v>
      </c>
      <c r="EF656" s="161">
        <f t="shared" si="2782"/>
        <v>0</v>
      </c>
      <c r="EG656" s="161">
        <f t="shared" si="2783"/>
        <v>0</v>
      </c>
      <c r="EH656" s="161">
        <f t="shared" si="2784"/>
        <v>0</v>
      </c>
      <c r="EI656" s="161">
        <f t="shared" si="2785"/>
        <v>0</v>
      </c>
      <c r="EJ656" s="65"/>
      <c r="EK656" s="161">
        <f t="shared" si="2855"/>
        <v>0</v>
      </c>
      <c r="EL656" s="161">
        <f t="shared" si="2856"/>
        <v>0</v>
      </c>
      <c r="EM656" s="161">
        <f t="shared" si="2857"/>
        <v>0</v>
      </c>
    </row>
    <row r="657" spans="1:143" ht="12" hidden="1" customHeight="1" outlineLevel="2">
      <c r="A657" s="77">
        <v>13</v>
      </c>
      <c r="B657" s="137" t="str">
        <f t="shared" si="2786"/>
        <v>TEC III - Equipe_01</v>
      </c>
      <c r="C657" s="65"/>
      <c r="D657" s="622"/>
      <c r="E657" s="65"/>
      <c r="F657" s="603"/>
      <c r="G657" s="77" t="str">
        <f>IF(INDEX(Tarefas!$BT$30:$FK$30,MATCH(A657,Tarefas!$BT$28:$FK$28,0))=0,"",INDEX(Tarefas!$BT$30:$FK$30,MATCH(A657,Tarefas!$BT$28:$FK$28,0)))</f>
        <v>TEC III</v>
      </c>
      <c r="H657" s="107" cm="1">
        <f t="array" ref="H657">IFERROR((SUMPRODUCT((Tarefas!$N$32:$N$54='Cronog. e Histog.'!$F$645)*(Tarefas!$BQ$30:$FK$30='Cronog. e Histog.'!$G657)*(Tarefas!$BQ$32:$FK$54)))/SUMIF(Tarefas!$N$32:$N$54,'Cronog. e Histog.'!$F$645,Tarefas!$K$32:$K$54),0)</f>
        <v>0</v>
      </c>
      <c r="I657" s="79">
        <f t="shared" si="2787"/>
        <v>0</v>
      </c>
      <c r="J657" s="65"/>
      <c r="K657" s="160">
        <f t="shared" si="2720"/>
        <v>0</v>
      </c>
      <c r="L657" s="160">
        <f t="shared" si="2721"/>
        <v>0</v>
      </c>
      <c r="M657" s="160">
        <f t="shared" si="2721"/>
        <v>0</v>
      </c>
      <c r="N657" s="160">
        <f t="shared" si="2721"/>
        <v>0</v>
      </c>
      <c r="O657" s="160">
        <f t="shared" si="2721"/>
        <v>0</v>
      </c>
      <c r="P657" s="160">
        <f t="shared" si="2721"/>
        <v>0</v>
      </c>
      <c r="Q657" s="160">
        <f t="shared" si="2721"/>
        <v>0</v>
      </c>
      <c r="R657" s="160">
        <f t="shared" si="2721"/>
        <v>0</v>
      </c>
      <c r="S657" s="160">
        <f t="shared" si="2721"/>
        <v>0</v>
      </c>
      <c r="T657" s="160">
        <f t="shared" si="2721"/>
        <v>0</v>
      </c>
      <c r="U657" s="160">
        <f t="shared" si="2721"/>
        <v>0</v>
      </c>
      <c r="V657" s="160">
        <f t="shared" si="2721"/>
        <v>0</v>
      </c>
      <c r="W657" s="160">
        <f t="shared" si="2721"/>
        <v>0</v>
      </c>
      <c r="X657" s="160">
        <f t="shared" si="2721"/>
        <v>0</v>
      </c>
      <c r="Y657" s="160">
        <f t="shared" si="2721"/>
        <v>0</v>
      </c>
      <c r="Z657" s="160">
        <f t="shared" si="2721"/>
        <v>0</v>
      </c>
      <c r="AA657" s="160">
        <f t="shared" si="2721"/>
        <v>0</v>
      </c>
      <c r="AB657" s="160">
        <f t="shared" si="2721"/>
        <v>0</v>
      </c>
      <c r="AC657" s="160">
        <f t="shared" si="2721"/>
        <v>0</v>
      </c>
      <c r="AD657" s="160">
        <f t="shared" si="2721"/>
        <v>0</v>
      </c>
      <c r="AE657" s="160">
        <f t="shared" si="2721"/>
        <v>0</v>
      </c>
      <c r="AF657" s="160">
        <f t="shared" si="2721"/>
        <v>0</v>
      </c>
      <c r="AG657" s="160">
        <f t="shared" si="2721"/>
        <v>0</v>
      </c>
      <c r="AH657" s="160">
        <f t="shared" si="2721"/>
        <v>0</v>
      </c>
      <c r="AI657" s="160">
        <f t="shared" si="2721"/>
        <v>0</v>
      </c>
      <c r="AJ657" s="160">
        <f t="shared" si="2721"/>
        <v>0</v>
      </c>
      <c r="AK657" s="160">
        <f t="shared" si="2721"/>
        <v>0</v>
      </c>
      <c r="AL657" s="160">
        <f t="shared" si="2721"/>
        <v>0</v>
      </c>
      <c r="AM657" s="160">
        <f t="shared" si="2721"/>
        <v>0</v>
      </c>
      <c r="AN657" s="160">
        <f t="shared" si="2721"/>
        <v>0</v>
      </c>
      <c r="AO657" s="160">
        <f t="shared" si="2721"/>
        <v>0</v>
      </c>
      <c r="AP657" s="160">
        <f t="shared" si="2721"/>
        <v>0</v>
      </c>
      <c r="AQ657" s="160">
        <f t="shared" si="2721"/>
        <v>0</v>
      </c>
      <c r="AR657" s="160">
        <f t="shared" si="2721"/>
        <v>0</v>
      </c>
      <c r="AS657" s="160">
        <f t="shared" si="2721"/>
        <v>0</v>
      </c>
      <c r="AT657" s="160">
        <f t="shared" si="2721"/>
        <v>0</v>
      </c>
      <c r="AU657" s="160">
        <f t="shared" si="2721"/>
        <v>0</v>
      </c>
      <c r="AV657" s="160">
        <f t="shared" si="2721"/>
        <v>0</v>
      </c>
      <c r="AW657" s="160">
        <f t="shared" si="2721"/>
        <v>0</v>
      </c>
      <c r="AX657" s="160">
        <f t="shared" si="2721"/>
        <v>0</v>
      </c>
      <c r="AY657" s="160">
        <f t="shared" si="2721"/>
        <v>0</v>
      </c>
      <c r="AZ657" s="160">
        <f t="shared" si="2721"/>
        <v>0</v>
      </c>
      <c r="BA657" s="160">
        <f t="shared" si="2721"/>
        <v>0</v>
      </c>
      <c r="BB657" s="160">
        <f t="shared" si="2721"/>
        <v>0</v>
      </c>
      <c r="BC657" s="160">
        <f t="shared" si="2721"/>
        <v>0</v>
      </c>
      <c r="BD657" s="160">
        <f t="shared" si="2721"/>
        <v>0</v>
      </c>
      <c r="BE657" s="160">
        <f t="shared" si="2721"/>
        <v>0</v>
      </c>
      <c r="BF657" s="160">
        <f t="shared" si="2721"/>
        <v>0</v>
      </c>
      <c r="BG657" s="160">
        <f t="shared" si="2721"/>
        <v>0</v>
      </c>
      <c r="BH657" s="160">
        <f t="shared" si="2721"/>
        <v>0</v>
      </c>
      <c r="BI657" s="160">
        <f t="shared" si="2721"/>
        <v>0</v>
      </c>
      <c r="BJ657" s="160">
        <f t="shared" si="2721"/>
        <v>0</v>
      </c>
      <c r="BK657" s="160">
        <f t="shared" si="2721"/>
        <v>0</v>
      </c>
      <c r="BL657" s="160">
        <f t="shared" si="2721"/>
        <v>0</v>
      </c>
      <c r="BM657" s="160">
        <f t="shared" si="2721"/>
        <v>0</v>
      </c>
      <c r="BN657" s="160">
        <f t="shared" si="2721"/>
        <v>0</v>
      </c>
      <c r="BO657" s="160">
        <f t="shared" si="2721"/>
        <v>0</v>
      </c>
      <c r="BP657" s="160">
        <f t="shared" si="2721"/>
        <v>0</v>
      </c>
      <c r="BQ657" s="160">
        <f t="shared" si="2721"/>
        <v>0</v>
      </c>
      <c r="BR657" s="160">
        <f t="shared" si="2721"/>
        <v>0</v>
      </c>
      <c r="BS657" s="65"/>
      <c r="BT657" s="160">
        <f t="shared" si="2722"/>
        <v>0</v>
      </c>
      <c r="BU657" s="160">
        <f t="shared" si="2723"/>
        <v>0</v>
      </c>
      <c r="BV657" s="65"/>
      <c r="BW657" s="69"/>
      <c r="BX657" s="65"/>
      <c r="BY657" s="137">
        <f t="shared" si="2724"/>
        <v>1</v>
      </c>
      <c r="BZ657" s="137">
        <f>IF(BY657&gt;0,BY657+LARGE($BZ$213:BZ656,1),0)</f>
        <v>373</v>
      </c>
      <c r="CA657" s="137" t="str">
        <f t="shared" si="2725"/>
        <v>TEC III</v>
      </c>
      <c r="CB657" s="161">
        <f t="shared" si="2726"/>
        <v>0</v>
      </c>
      <c r="CC657" s="161">
        <f t="shared" si="2727"/>
        <v>0</v>
      </c>
      <c r="CD657" s="161">
        <f t="shared" si="2728"/>
        <v>0</v>
      </c>
      <c r="CE657" s="161">
        <f t="shared" si="2729"/>
        <v>0</v>
      </c>
      <c r="CF657" s="161">
        <f t="shared" si="2730"/>
        <v>0</v>
      </c>
      <c r="CG657" s="161">
        <f t="shared" si="2731"/>
        <v>0</v>
      </c>
      <c r="CH657" s="161">
        <f t="shared" si="2732"/>
        <v>0</v>
      </c>
      <c r="CI657" s="161">
        <f t="shared" si="2733"/>
        <v>0</v>
      </c>
      <c r="CJ657" s="161">
        <f t="shared" si="2734"/>
        <v>0</v>
      </c>
      <c r="CK657" s="161">
        <f t="shared" si="2735"/>
        <v>0</v>
      </c>
      <c r="CL657" s="161">
        <f t="shared" si="2736"/>
        <v>0</v>
      </c>
      <c r="CM657" s="161">
        <f t="shared" si="2737"/>
        <v>0</v>
      </c>
      <c r="CN657" s="161">
        <f t="shared" si="2738"/>
        <v>0</v>
      </c>
      <c r="CO657" s="161">
        <f t="shared" si="2739"/>
        <v>0</v>
      </c>
      <c r="CP657" s="161">
        <f t="shared" si="2740"/>
        <v>0</v>
      </c>
      <c r="CQ657" s="161">
        <f t="shared" si="2741"/>
        <v>0</v>
      </c>
      <c r="CR657" s="161">
        <f t="shared" si="2742"/>
        <v>0</v>
      </c>
      <c r="CS657" s="161">
        <f t="shared" si="2743"/>
        <v>0</v>
      </c>
      <c r="CT657" s="161">
        <f t="shared" si="2744"/>
        <v>0</v>
      </c>
      <c r="CU657" s="161">
        <f t="shared" si="2745"/>
        <v>0</v>
      </c>
      <c r="CV657" s="161">
        <f t="shared" si="2746"/>
        <v>0</v>
      </c>
      <c r="CW657" s="161">
        <f t="shared" si="2747"/>
        <v>0</v>
      </c>
      <c r="CX657" s="161">
        <f t="shared" si="2748"/>
        <v>0</v>
      </c>
      <c r="CY657" s="161">
        <f t="shared" si="2749"/>
        <v>0</v>
      </c>
      <c r="CZ657" s="161">
        <f t="shared" si="2750"/>
        <v>0</v>
      </c>
      <c r="DA657" s="161">
        <f t="shared" si="2751"/>
        <v>0</v>
      </c>
      <c r="DB657" s="161">
        <f t="shared" si="2752"/>
        <v>0</v>
      </c>
      <c r="DC657" s="161">
        <f t="shared" si="2753"/>
        <v>0</v>
      </c>
      <c r="DD657" s="161">
        <f t="shared" si="2754"/>
        <v>0</v>
      </c>
      <c r="DE657" s="161">
        <f t="shared" si="2755"/>
        <v>0</v>
      </c>
      <c r="DF657" s="161">
        <f t="shared" si="2756"/>
        <v>0</v>
      </c>
      <c r="DG657" s="161">
        <f t="shared" si="2757"/>
        <v>0</v>
      </c>
      <c r="DH657" s="161">
        <f t="shared" si="2758"/>
        <v>0</v>
      </c>
      <c r="DI657" s="161">
        <f t="shared" si="2759"/>
        <v>0</v>
      </c>
      <c r="DJ657" s="161">
        <f t="shared" si="2760"/>
        <v>0</v>
      </c>
      <c r="DK657" s="161">
        <f t="shared" si="2761"/>
        <v>0</v>
      </c>
      <c r="DL657" s="161">
        <f t="shared" si="2762"/>
        <v>0</v>
      </c>
      <c r="DM657" s="161">
        <f t="shared" si="2763"/>
        <v>0</v>
      </c>
      <c r="DN657" s="161">
        <f t="shared" si="2764"/>
        <v>0</v>
      </c>
      <c r="DO657" s="161">
        <f t="shared" si="2765"/>
        <v>0</v>
      </c>
      <c r="DP657" s="161">
        <f t="shared" si="2766"/>
        <v>0</v>
      </c>
      <c r="DQ657" s="161">
        <f t="shared" si="2767"/>
        <v>0</v>
      </c>
      <c r="DR657" s="161">
        <f t="shared" si="2768"/>
        <v>0</v>
      </c>
      <c r="DS657" s="161">
        <f t="shared" si="2769"/>
        <v>0</v>
      </c>
      <c r="DT657" s="161">
        <f t="shared" si="2770"/>
        <v>0</v>
      </c>
      <c r="DU657" s="161">
        <f t="shared" si="2771"/>
        <v>0</v>
      </c>
      <c r="DV657" s="161">
        <f t="shared" si="2772"/>
        <v>0</v>
      </c>
      <c r="DW657" s="161">
        <f t="shared" si="2773"/>
        <v>0</v>
      </c>
      <c r="DX657" s="161">
        <f t="shared" si="2774"/>
        <v>0</v>
      </c>
      <c r="DY657" s="161">
        <f t="shared" si="2775"/>
        <v>0</v>
      </c>
      <c r="DZ657" s="161">
        <f t="shared" si="2776"/>
        <v>0</v>
      </c>
      <c r="EA657" s="161">
        <f t="shared" si="2777"/>
        <v>0</v>
      </c>
      <c r="EB657" s="161">
        <f t="shared" si="2778"/>
        <v>0</v>
      </c>
      <c r="EC657" s="161">
        <f t="shared" si="2779"/>
        <v>0</v>
      </c>
      <c r="ED657" s="161">
        <f t="shared" si="2780"/>
        <v>0</v>
      </c>
      <c r="EE657" s="161">
        <f t="shared" si="2781"/>
        <v>0</v>
      </c>
      <c r="EF657" s="161">
        <f t="shared" si="2782"/>
        <v>0</v>
      </c>
      <c r="EG657" s="161">
        <f t="shared" si="2783"/>
        <v>0</v>
      </c>
      <c r="EH657" s="161">
        <f t="shared" si="2784"/>
        <v>0</v>
      </c>
      <c r="EI657" s="161">
        <f t="shared" si="2785"/>
        <v>0</v>
      </c>
      <c r="EJ657" s="65"/>
      <c r="EK657" s="161">
        <f t="shared" si="2855"/>
        <v>0</v>
      </c>
      <c r="EL657" s="161">
        <f t="shared" si="2856"/>
        <v>0</v>
      </c>
      <c r="EM657" s="161">
        <f t="shared" si="2857"/>
        <v>0</v>
      </c>
    </row>
    <row r="658" spans="1:143" ht="12" hidden="1" customHeight="1" outlineLevel="2">
      <c r="A658" s="77">
        <v>14</v>
      </c>
      <c r="B658" s="137" t="str">
        <f t="shared" si="2786"/>
        <v>TEC II - Equipe_01</v>
      </c>
      <c r="C658" s="65"/>
      <c r="D658" s="622"/>
      <c r="E658" s="65"/>
      <c r="F658" s="603"/>
      <c r="G658" s="77" t="str">
        <f>IF(INDEX(Tarefas!$BT$30:$FK$30,MATCH(A658,Tarefas!$BT$28:$FK$28,0))=0,"",INDEX(Tarefas!$BT$30:$FK$30,MATCH(A658,Tarefas!$BT$28:$FK$28,0)))</f>
        <v>TEC II</v>
      </c>
      <c r="H658" s="107" cm="1">
        <f t="array" ref="H658">IFERROR((SUMPRODUCT((Tarefas!$N$32:$N$54='Cronog. e Histog.'!$F$645)*(Tarefas!$BQ$30:$FK$30='Cronog. e Histog.'!$G658)*(Tarefas!$BQ$32:$FK$54)))/SUMIF(Tarefas!$N$32:$N$54,'Cronog. e Histog.'!$F$645,Tarefas!$K$32:$K$54),0)</f>
        <v>0</v>
      </c>
      <c r="I658" s="79">
        <f t="shared" si="2787"/>
        <v>0</v>
      </c>
      <c r="J658" s="65"/>
      <c r="K658" s="160">
        <f t="shared" si="2720"/>
        <v>0</v>
      </c>
      <c r="L658" s="160">
        <f t="shared" si="2721"/>
        <v>0</v>
      </c>
      <c r="M658" s="160">
        <f t="shared" si="2721"/>
        <v>0</v>
      </c>
      <c r="N658" s="160">
        <f t="shared" si="2721"/>
        <v>0</v>
      </c>
      <c r="O658" s="160">
        <f t="shared" si="2721"/>
        <v>0</v>
      </c>
      <c r="P658" s="160">
        <f t="shared" si="2721"/>
        <v>0</v>
      </c>
      <c r="Q658" s="160">
        <f t="shared" si="2721"/>
        <v>0</v>
      </c>
      <c r="R658" s="160">
        <f t="shared" si="2721"/>
        <v>0</v>
      </c>
      <c r="S658" s="160">
        <f t="shared" si="2721"/>
        <v>0</v>
      </c>
      <c r="T658" s="160">
        <f t="shared" si="2721"/>
        <v>0</v>
      </c>
      <c r="U658" s="160">
        <f t="shared" si="2721"/>
        <v>0</v>
      </c>
      <c r="V658" s="160">
        <f t="shared" si="2721"/>
        <v>0</v>
      </c>
      <c r="W658" s="160">
        <f t="shared" si="2721"/>
        <v>0</v>
      </c>
      <c r="X658" s="160">
        <f t="shared" si="2721"/>
        <v>0</v>
      </c>
      <c r="Y658" s="160">
        <f t="shared" si="2721"/>
        <v>0</v>
      </c>
      <c r="Z658" s="160">
        <f t="shared" si="2721"/>
        <v>0</v>
      </c>
      <c r="AA658" s="160">
        <f t="shared" si="2721"/>
        <v>0</v>
      </c>
      <c r="AB658" s="160">
        <f t="shared" si="2721"/>
        <v>0</v>
      </c>
      <c r="AC658" s="160">
        <f t="shared" si="2721"/>
        <v>0</v>
      </c>
      <c r="AD658" s="160">
        <f t="shared" si="2721"/>
        <v>0</v>
      </c>
      <c r="AE658" s="160">
        <f t="shared" si="2721"/>
        <v>0</v>
      </c>
      <c r="AF658" s="160">
        <f t="shared" si="2721"/>
        <v>0</v>
      </c>
      <c r="AG658" s="160">
        <f t="shared" si="2721"/>
        <v>0</v>
      </c>
      <c r="AH658" s="160">
        <f t="shared" si="2721"/>
        <v>0</v>
      </c>
      <c r="AI658" s="160">
        <f t="shared" si="2721"/>
        <v>0</v>
      </c>
      <c r="AJ658" s="160">
        <f t="shared" si="2721"/>
        <v>0</v>
      </c>
      <c r="AK658" s="160">
        <f t="shared" si="2721"/>
        <v>0</v>
      </c>
      <c r="AL658" s="160">
        <f t="shared" si="2721"/>
        <v>0</v>
      </c>
      <c r="AM658" s="160">
        <f t="shared" si="2721"/>
        <v>0</v>
      </c>
      <c r="AN658" s="160">
        <f t="shared" si="2721"/>
        <v>0</v>
      </c>
      <c r="AO658" s="160">
        <f t="shared" si="2721"/>
        <v>0</v>
      </c>
      <c r="AP658" s="160">
        <f t="shared" si="2721"/>
        <v>0</v>
      </c>
      <c r="AQ658" s="160">
        <f t="shared" si="2721"/>
        <v>0</v>
      </c>
      <c r="AR658" s="160">
        <f t="shared" si="2721"/>
        <v>0</v>
      </c>
      <c r="AS658" s="160">
        <f t="shared" si="2721"/>
        <v>0</v>
      </c>
      <c r="AT658" s="160">
        <f t="shared" si="2721"/>
        <v>0</v>
      </c>
      <c r="AU658" s="160">
        <f t="shared" si="2721"/>
        <v>0</v>
      </c>
      <c r="AV658" s="160">
        <f t="shared" si="2721"/>
        <v>0</v>
      </c>
      <c r="AW658" s="160">
        <f t="shared" si="2721"/>
        <v>0</v>
      </c>
      <c r="AX658" s="160">
        <f t="shared" si="2721"/>
        <v>0</v>
      </c>
      <c r="AY658" s="160">
        <f t="shared" si="2721"/>
        <v>0</v>
      </c>
      <c r="AZ658" s="160">
        <f t="shared" si="2721"/>
        <v>0</v>
      </c>
      <c r="BA658" s="160">
        <f t="shared" si="2721"/>
        <v>0</v>
      </c>
      <c r="BB658" s="160">
        <f t="shared" si="2721"/>
        <v>0</v>
      </c>
      <c r="BC658" s="160">
        <f t="shared" si="2721"/>
        <v>0</v>
      </c>
      <c r="BD658" s="160">
        <f t="shared" si="2721"/>
        <v>0</v>
      </c>
      <c r="BE658" s="160">
        <f t="shared" si="2721"/>
        <v>0</v>
      </c>
      <c r="BF658" s="160">
        <f t="shared" si="2721"/>
        <v>0</v>
      </c>
      <c r="BG658" s="160">
        <f t="shared" si="2721"/>
        <v>0</v>
      </c>
      <c r="BH658" s="160">
        <f t="shared" si="2721"/>
        <v>0</v>
      </c>
      <c r="BI658" s="160">
        <f t="shared" si="2721"/>
        <v>0</v>
      </c>
      <c r="BJ658" s="160">
        <f t="shared" si="2721"/>
        <v>0</v>
      </c>
      <c r="BK658" s="160">
        <f t="shared" si="2721"/>
        <v>0</v>
      </c>
      <c r="BL658" s="160">
        <f t="shared" si="2721"/>
        <v>0</v>
      </c>
      <c r="BM658" s="160">
        <f t="shared" si="2721"/>
        <v>0</v>
      </c>
      <c r="BN658" s="160">
        <f t="shared" si="2721"/>
        <v>0</v>
      </c>
      <c r="BO658" s="160">
        <f t="shared" si="2721"/>
        <v>0</v>
      </c>
      <c r="BP658" s="160">
        <f t="shared" si="2721"/>
        <v>0</v>
      </c>
      <c r="BQ658" s="160">
        <f t="shared" si="2721"/>
        <v>0</v>
      </c>
      <c r="BR658" s="160">
        <f t="shared" si="2721"/>
        <v>0</v>
      </c>
      <c r="BS658" s="65"/>
      <c r="BT658" s="160">
        <f t="shared" si="2722"/>
        <v>0</v>
      </c>
      <c r="BU658" s="160">
        <f t="shared" si="2723"/>
        <v>0</v>
      </c>
      <c r="BV658" s="65"/>
      <c r="BW658" s="69"/>
      <c r="BX658" s="65"/>
      <c r="BY658" s="137">
        <f t="shared" si="2724"/>
        <v>1</v>
      </c>
      <c r="BZ658" s="137">
        <f>IF(BY658&gt;0,BY658+LARGE($BZ$213:BZ657,1),0)</f>
        <v>374</v>
      </c>
      <c r="CA658" s="137" t="str">
        <f t="shared" si="2725"/>
        <v>TEC II</v>
      </c>
      <c r="CB658" s="161">
        <f t="shared" si="2726"/>
        <v>0</v>
      </c>
      <c r="CC658" s="161">
        <f t="shared" si="2727"/>
        <v>0</v>
      </c>
      <c r="CD658" s="161">
        <f t="shared" si="2728"/>
        <v>0</v>
      </c>
      <c r="CE658" s="161">
        <f t="shared" si="2729"/>
        <v>0</v>
      </c>
      <c r="CF658" s="161">
        <f t="shared" si="2730"/>
        <v>0</v>
      </c>
      <c r="CG658" s="161">
        <f t="shared" si="2731"/>
        <v>0</v>
      </c>
      <c r="CH658" s="161">
        <f t="shared" si="2732"/>
        <v>0</v>
      </c>
      <c r="CI658" s="161">
        <f t="shared" si="2733"/>
        <v>0</v>
      </c>
      <c r="CJ658" s="161">
        <f t="shared" si="2734"/>
        <v>0</v>
      </c>
      <c r="CK658" s="161">
        <f t="shared" si="2735"/>
        <v>0</v>
      </c>
      <c r="CL658" s="161">
        <f t="shared" si="2736"/>
        <v>0</v>
      </c>
      <c r="CM658" s="161">
        <f t="shared" si="2737"/>
        <v>0</v>
      </c>
      <c r="CN658" s="161">
        <f t="shared" si="2738"/>
        <v>0</v>
      </c>
      <c r="CO658" s="161">
        <f t="shared" si="2739"/>
        <v>0</v>
      </c>
      <c r="CP658" s="161">
        <f t="shared" si="2740"/>
        <v>0</v>
      </c>
      <c r="CQ658" s="161">
        <f t="shared" si="2741"/>
        <v>0</v>
      </c>
      <c r="CR658" s="161">
        <f t="shared" si="2742"/>
        <v>0</v>
      </c>
      <c r="CS658" s="161">
        <f t="shared" si="2743"/>
        <v>0</v>
      </c>
      <c r="CT658" s="161">
        <f t="shared" si="2744"/>
        <v>0</v>
      </c>
      <c r="CU658" s="161">
        <f t="shared" si="2745"/>
        <v>0</v>
      </c>
      <c r="CV658" s="161">
        <f t="shared" si="2746"/>
        <v>0</v>
      </c>
      <c r="CW658" s="161">
        <f t="shared" si="2747"/>
        <v>0</v>
      </c>
      <c r="CX658" s="161">
        <f t="shared" si="2748"/>
        <v>0</v>
      </c>
      <c r="CY658" s="161">
        <f t="shared" si="2749"/>
        <v>0</v>
      </c>
      <c r="CZ658" s="161">
        <f t="shared" si="2750"/>
        <v>0</v>
      </c>
      <c r="DA658" s="161">
        <f t="shared" si="2751"/>
        <v>0</v>
      </c>
      <c r="DB658" s="161">
        <f t="shared" si="2752"/>
        <v>0</v>
      </c>
      <c r="DC658" s="161">
        <f t="shared" si="2753"/>
        <v>0</v>
      </c>
      <c r="DD658" s="161">
        <f t="shared" si="2754"/>
        <v>0</v>
      </c>
      <c r="DE658" s="161">
        <f t="shared" si="2755"/>
        <v>0</v>
      </c>
      <c r="DF658" s="161">
        <f t="shared" si="2756"/>
        <v>0</v>
      </c>
      <c r="DG658" s="161">
        <f t="shared" si="2757"/>
        <v>0</v>
      </c>
      <c r="DH658" s="161">
        <f t="shared" si="2758"/>
        <v>0</v>
      </c>
      <c r="DI658" s="161">
        <f t="shared" si="2759"/>
        <v>0</v>
      </c>
      <c r="DJ658" s="161">
        <f t="shared" si="2760"/>
        <v>0</v>
      </c>
      <c r="DK658" s="161">
        <f t="shared" si="2761"/>
        <v>0</v>
      </c>
      <c r="DL658" s="161">
        <f t="shared" si="2762"/>
        <v>0</v>
      </c>
      <c r="DM658" s="161">
        <f t="shared" si="2763"/>
        <v>0</v>
      </c>
      <c r="DN658" s="161">
        <f t="shared" si="2764"/>
        <v>0</v>
      </c>
      <c r="DO658" s="161">
        <f t="shared" si="2765"/>
        <v>0</v>
      </c>
      <c r="DP658" s="161">
        <f t="shared" si="2766"/>
        <v>0</v>
      </c>
      <c r="DQ658" s="161">
        <f t="shared" si="2767"/>
        <v>0</v>
      </c>
      <c r="DR658" s="161">
        <f t="shared" si="2768"/>
        <v>0</v>
      </c>
      <c r="DS658" s="161">
        <f t="shared" si="2769"/>
        <v>0</v>
      </c>
      <c r="DT658" s="161">
        <f t="shared" si="2770"/>
        <v>0</v>
      </c>
      <c r="DU658" s="161">
        <f t="shared" si="2771"/>
        <v>0</v>
      </c>
      <c r="DV658" s="161">
        <f t="shared" si="2772"/>
        <v>0</v>
      </c>
      <c r="DW658" s="161">
        <f t="shared" si="2773"/>
        <v>0</v>
      </c>
      <c r="DX658" s="161">
        <f t="shared" si="2774"/>
        <v>0</v>
      </c>
      <c r="DY658" s="161">
        <f t="shared" si="2775"/>
        <v>0</v>
      </c>
      <c r="DZ658" s="161">
        <f t="shared" si="2776"/>
        <v>0</v>
      </c>
      <c r="EA658" s="161">
        <f t="shared" si="2777"/>
        <v>0</v>
      </c>
      <c r="EB658" s="161">
        <f t="shared" si="2778"/>
        <v>0</v>
      </c>
      <c r="EC658" s="161">
        <f t="shared" si="2779"/>
        <v>0</v>
      </c>
      <c r="ED658" s="161">
        <f t="shared" si="2780"/>
        <v>0</v>
      </c>
      <c r="EE658" s="161">
        <f t="shared" si="2781"/>
        <v>0</v>
      </c>
      <c r="EF658" s="161">
        <f t="shared" si="2782"/>
        <v>0</v>
      </c>
      <c r="EG658" s="161">
        <f t="shared" si="2783"/>
        <v>0</v>
      </c>
      <c r="EH658" s="161">
        <f t="shared" si="2784"/>
        <v>0</v>
      </c>
      <c r="EI658" s="161">
        <f t="shared" si="2785"/>
        <v>0</v>
      </c>
      <c r="EJ658" s="65"/>
      <c r="EK658" s="161">
        <f t="shared" si="2855"/>
        <v>0</v>
      </c>
      <c r="EL658" s="161">
        <f t="shared" si="2856"/>
        <v>0</v>
      </c>
      <c r="EM658" s="161">
        <f t="shared" si="2857"/>
        <v>0</v>
      </c>
    </row>
    <row r="659" spans="1:143" ht="12" hidden="1" customHeight="1" outlineLevel="2">
      <c r="A659" s="77">
        <v>15</v>
      </c>
      <c r="B659" s="137" t="str">
        <f t="shared" si="2786"/>
        <v>TEC I - Equipe_01</v>
      </c>
      <c r="C659" s="65"/>
      <c r="D659" s="622"/>
      <c r="E659" s="65"/>
      <c r="F659" s="603"/>
      <c r="G659" s="77" t="str">
        <f>IF(INDEX(Tarefas!$BT$30:$FK$30,MATCH(A659,Tarefas!$BT$28:$FK$28,0))=0,"",INDEX(Tarefas!$BT$30:$FK$30,MATCH(A659,Tarefas!$BT$28:$FK$28,0)))</f>
        <v>TEC I</v>
      </c>
      <c r="H659" s="107" cm="1">
        <f t="array" ref="H659">IFERROR((SUMPRODUCT((Tarefas!$N$32:$N$54='Cronog. e Histog.'!$F$645)*(Tarefas!$BQ$30:$FK$30='Cronog. e Histog.'!$G659)*(Tarefas!$BQ$32:$FK$54)))/SUMIF(Tarefas!$N$32:$N$54,'Cronog. e Histog.'!$F$645,Tarefas!$K$32:$K$54),0)</f>
        <v>0</v>
      </c>
      <c r="I659" s="79">
        <f t="shared" si="2787"/>
        <v>0</v>
      </c>
      <c r="J659" s="65"/>
      <c r="K659" s="160">
        <f t="shared" si="2720"/>
        <v>0</v>
      </c>
      <c r="L659" s="160">
        <f t="shared" si="2721"/>
        <v>0</v>
      </c>
      <c r="M659" s="160">
        <f t="shared" si="2721"/>
        <v>0</v>
      </c>
      <c r="N659" s="160">
        <f t="shared" si="2721"/>
        <v>0</v>
      </c>
      <c r="O659" s="160">
        <f t="shared" si="2721"/>
        <v>0</v>
      </c>
      <c r="P659" s="160">
        <f t="shared" si="2721"/>
        <v>0</v>
      </c>
      <c r="Q659" s="160">
        <f t="shared" si="2721"/>
        <v>0</v>
      </c>
      <c r="R659" s="160">
        <f t="shared" si="2721"/>
        <v>0</v>
      </c>
      <c r="S659" s="160">
        <f t="shared" si="2721"/>
        <v>0</v>
      </c>
      <c r="T659" s="160">
        <f t="shared" si="2721"/>
        <v>0</v>
      </c>
      <c r="U659" s="160">
        <f t="shared" si="2721"/>
        <v>0</v>
      </c>
      <c r="V659" s="160">
        <f t="shared" si="2721"/>
        <v>0</v>
      </c>
      <c r="W659" s="160">
        <f t="shared" si="2721"/>
        <v>0</v>
      </c>
      <c r="X659" s="160">
        <f t="shared" si="2721"/>
        <v>0</v>
      </c>
      <c r="Y659" s="160">
        <f t="shared" si="2721"/>
        <v>0</v>
      </c>
      <c r="Z659" s="160">
        <f t="shared" si="2721"/>
        <v>0</v>
      </c>
      <c r="AA659" s="160">
        <f t="shared" si="2721"/>
        <v>0</v>
      </c>
      <c r="AB659" s="160">
        <f t="shared" si="2721"/>
        <v>0</v>
      </c>
      <c r="AC659" s="160">
        <f t="shared" si="2721"/>
        <v>0</v>
      </c>
      <c r="AD659" s="160">
        <f t="shared" si="2721"/>
        <v>0</v>
      </c>
      <c r="AE659" s="160">
        <f t="shared" si="2721"/>
        <v>0</v>
      </c>
      <c r="AF659" s="160">
        <f t="shared" si="2721"/>
        <v>0</v>
      </c>
      <c r="AG659" s="160">
        <f t="shared" si="2721"/>
        <v>0</v>
      </c>
      <c r="AH659" s="160">
        <f t="shared" si="2721"/>
        <v>0</v>
      </c>
      <c r="AI659" s="160">
        <f t="shared" si="2721"/>
        <v>0</v>
      </c>
      <c r="AJ659" s="160">
        <f t="shared" si="2721"/>
        <v>0</v>
      </c>
      <c r="AK659" s="160">
        <f t="shared" si="2721"/>
        <v>0</v>
      </c>
      <c r="AL659" s="160">
        <f t="shared" si="2721"/>
        <v>0</v>
      </c>
      <c r="AM659" s="160">
        <f t="shared" si="2721"/>
        <v>0</v>
      </c>
      <c r="AN659" s="160">
        <f t="shared" si="2721"/>
        <v>0</v>
      </c>
      <c r="AO659" s="160">
        <f t="shared" si="2721"/>
        <v>0</v>
      </c>
      <c r="AP659" s="160">
        <f t="shared" si="2721"/>
        <v>0</v>
      </c>
      <c r="AQ659" s="160">
        <f t="shared" si="2721"/>
        <v>0</v>
      </c>
      <c r="AR659" s="160">
        <f t="shared" si="2721"/>
        <v>0</v>
      </c>
      <c r="AS659" s="160">
        <f t="shared" si="2721"/>
        <v>0</v>
      </c>
      <c r="AT659" s="160">
        <f t="shared" ref="L659:BR663" si="2859">ROUND($I659*AT$201,2)</f>
        <v>0</v>
      </c>
      <c r="AU659" s="160">
        <f t="shared" si="2859"/>
        <v>0</v>
      </c>
      <c r="AV659" s="160">
        <f t="shared" si="2859"/>
        <v>0</v>
      </c>
      <c r="AW659" s="160">
        <f t="shared" si="2859"/>
        <v>0</v>
      </c>
      <c r="AX659" s="160">
        <f t="shared" si="2859"/>
        <v>0</v>
      </c>
      <c r="AY659" s="160">
        <f t="shared" si="2859"/>
        <v>0</v>
      </c>
      <c r="AZ659" s="160">
        <f t="shared" si="2859"/>
        <v>0</v>
      </c>
      <c r="BA659" s="160">
        <f t="shared" si="2859"/>
        <v>0</v>
      </c>
      <c r="BB659" s="160">
        <f t="shared" si="2859"/>
        <v>0</v>
      </c>
      <c r="BC659" s="160">
        <f t="shared" si="2859"/>
        <v>0</v>
      </c>
      <c r="BD659" s="160">
        <f t="shared" si="2859"/>
        <v>0</v>
      </c>
      <c r="BE659" s="160">
        <f t="shared" si="2859"/>
        <v>0</v>
      </c>
      <c r="BF659" s="160">
        <f t="shared" si="2859"/>
        <v>0</v>
      </c>
      <c r="BG659" s="160">
        <f t="shared" si="2859"/>
        <v>0</v>
      </c>
      <c r="BH659" s="160">
        <f t="shared" si="2859"/>
        <v>0</v>
      </c>
      <c r="BI659" s="160">
        <f t="shared" si="2859"/>
        <v>0</v>
      </c>
      <c r="BJ659" s="160">
        <f t="shared" si="2859"/>
        <v>0</v>
      </c>
      <c r="BK659" s="160">
        <f t="shared" si="2859"/>
        <v>0</v>
      </c>
      <c r="BL659" s="160">
        <f t="shared" si="2859"/>
        <v>0</v>
      </c>
      <c r="BM659" s="160">
        <f t="shared" si="2859"/>
        <v>0</v>
      </c>
      <c r="BN659" s="160">
        <f t="shared" si="2859"/>
        <v>0</v>
      </c>
      <c r="BO659" s="160">
        <f t="shared" si="2859"/>
        <v>0</v>
      </c>
      <c r="BP659" s="160">
        <f t="shared" si="2859"/>
        <v>0</v>
      </c>
      <c r="BQ659" s="160">
        <f t="shared" si="2859"/>
        <v>0</v>
      </c>
      <c r="BR659" s="160">
        <f t="shared" si="2859"/>
        <v>0</v>
      </c>
      <c r="BS659" s="65"/>
      <c r="BT659" s="160">
        <f t="shared" si="2722"/>
        <v>0</v>
      </c>
      <c r="BU659" s="160">
        <f t="shared" si="2723"/>
        <v>0</v>
      </c>
      <c r="BV659" s="65"/>
      <c r="BW659" s="69"/>
      <c r="BX659" s="65"/>
      <c r="BY659" s="137">
        <f t="shared" si="2724"/>
        <v>1</v>
      </c>
      <c r="BZ659" s="137">
        <f>IF(BY659&gt;0,BY659+LARGE($BZ$213:BZ658,1),0)</f>
        <v>375</v>
      </c>
      <c r="CA659" s="137" t="str">
        <f t="shared" si="2725"/>
        <v>TEC I</v>
      </c>
      <c r="CB659" s="161">
        <f t="shared" si="2726"/>
        <v>0</v>
      </c>
      <c r="CC659" s="161">
        <f t="shared" si="2727"/>
        <v>0</v>
      </c>
      <c r="CD659" s="161">
        <f t="shared" si="2728"/>
        <v>0</v>
      </c>
      <c r="CE659" s="161">
        <f t="shared" si="2729"/>
        <v>0</v>
      </c>
      <c r="CF659" s="161">
        <f t="shared" si="2730"/>
        <v>0</v>
      </c>
      <c r="CG659" s="161">
        <f t="shared" si="2731"/>
        <v>0</v>
      </c>
      <c r="CH659" s="161">
        <f t="shared" si="2732"/>
        <v>0</v>
      </c>
      <c r="CI659" s="161">
        <f t="shared" si="2733"/>
        <v>0</v>
      </c>
      <c r="CJ659" s="161">
        <f t="shared" si="2734"/>
        <v>0</v>
      </c>
      <c r="CK659" s="161">
        <f t="shared" si="2735"/>
        <v>0</v>
      </c>
      <c r="CL659" s="161">
        <f t="shared" si="2736"/>
        <v>0</v>
      </c>
      <c r="CM659" s="161">
        <f t="shared" si="2737"/>
        <v>0</v>
      </c>
      <c r="CN659" s="161">
        <f t="shared" si="2738"/>
        <v>0</v>
      </c>
      <c r="CO659" s="161">
        <f t="shared" si="2739"/>
        <v>0</v>
      </c>
      <c r="CP659" s="161">
        <f t="shared" si="2740"/>
        <v>0</v>
      </c>
      <c r="CQ659" s="161">
        <f t="shared" si="2741"/>
        <v>0</v>
      </c>
      <c r="CR659" s="161">
        <f t="shared" si="2742"/>
        <v>0</v>
      </c>
      <c r="CS659" s="161">
        <f t="shared" si="2743"/>
        <v>0</v>
      </c>
      <c r="CT659" s="161">
        <f t="shared" si="2744"/>
        <v>0</v>
      </c>
      <c r="CU659" s="161">
        <f t="shared" si="2745"/>
        <v>0</v>
      </c>
      <c r="CV659" s="161">
        <f t="shared" si="2746"/>
        <v>0</v>
      </c>
      <c r="CW659" s="161">
        <f t="shared" si="2747"/>
        <v>0</v>
      </c>
      <c r="CX659" s="161">
        <f t="shared" si="2748"/>
        <v>0</v>
      </c>
      <c r="CY659" s="161">
        <f t="shared" si="2749"/>
        <v>0</v>
      </c>
      <c r="CZ659" s="161">
        <f t="shared" si="2750"/>
        <v>0</v>
      </c>
      <c r="DA659" s="161">
        <f t="shared" si="2751"/>
        <v>0</v>
      </c>
      <c r="DB659" s="161">
        <f t="shared" si="2752"/>
        <v>0</v>
      </c>
      <c r="DC659" s="161">
        <f t="shared" si="2753"/>
        <v>0</v>
      </c>
      <c r="DD659" s="161">
        <f t="shared" si="2754"/>
        <v>0</v>
      </c>
      <c r="DE659" s="161">
        <f t="shared" si="2755"/>
        <v>0</v>
      </c>
      <c r="DF659" s="161">
        <f t="shared" si="2756"/>
        <v>0</v>
      </c>
      <c r="DG659" s="161">
        <f t="shared" si="2757"/>
        <v>0</v>
      </c>
      <c r="DH659" s="161">
        <f t="shared" si="2758"/>
        <v>0</v>
      </c>
      <c r="DI659" s="161">
        <f t="shared" si="2759"/>
        <v>0</v>
      </c>
      <c r="DJ659" s="161">
        <f t="shared" si="2760"/>
        <v>0</v>
      </c>
      <c r="DK659" s="161">
        <f t="shared" si="2761"/>
        <v>0</v>
      </c>
      <c r="DL659" s="161">
        <f t="shared" si="2762"/>
        <v>0</v>
      </c>
      <c r="DM659" s="161">
        <f t="shared" si="2763"/>
        <v>0</v>
      </c>
      <c r="DN659" s="161">
        <f t="shared" si="2764"/>
        <v>0</v>
      </c>
      <c r="DO659" s="161">
        <f t="shared" si="2765"/>
        <v>0</v>
      </c>
      <c r="DP659" s="161">
        <f t="shared" si="2766"/>
        <v>0</v>
      </c>
      <c r="DQ659" s="161">
        <f t="shared" si="2767"/>
        <v>0</v>
      </c>
      <c r="DR659" s="161">
        <f t="shared" si="2768"/>
        <v>0</v>
      </c>
      <c r="DS659" s="161">
        <f t="shared" si="2769"/>
        <v>0</v>
      </c>
      <c r="DT659" s="161">
        <f t="shared" si="2770"/>
        <v>0</v>
      </c>
      <c r="DU659" s="161">
        <f t="shared" si="2771"/>
        <v>0</v>
      </c>
      <c r="DV659" s="161">
        <f t="shared" si="2772"/>
        <v>0</v>
      </c>
      <c r="DW659" s="161">
        <f t="shared" si="2773"/>
        <v>0</v>
      </c>
      <c r="DX659" s="161">
        <f t="shared" si="2774"/>
        <v>0</v>
      </c>
      <c r="DY659" s="161">
        <f t="shared" si="2775"/>
        <v>0</v>
      </c>
      <c r="DZ659" s="161">
        <f t="shared" si="2776"/>
        <v>0</v>
      </c>
      <c r="EA659" s="161">
        <f t="shared" si="2777"/>
        <v>0</v>
      </c>
      <c r="EB659" s="161">
        <f t="shared" si="2778"/>
        <v>0</v>
      </c>
      <c r="EC659" s="161">
        <f t="shared" si="2779"/>
        <v>0</v>
      </c>
      <c r="ED659" s="161">
        <f t="shared" si="2780"/>
        <v>0</v>
      </c>
      <c r="EE659" s="161">
        <f t="shared" si="2781"/>
        <v>0</v>
      </c>
      <c r="EF659" s="161">
        <f t="shared" si="2782"/>
        <v>0</v>
      </c>
      <c r="EG659" s="161">
        <f t="shared" si="2783"/>
        <v>0</v>
      </c>
      <c r="EH659" s="161">
        <f t="shared" si="2784"/>
        <v>0</v>
      </c>
      <c r="EI659" s="161">
        <f t="shared" si="2785"/>
        <v>0</v>
      </c>
      <c r="EJ659" s="65"/>
      <c r="EK659" s="161">
        <f t="shared" si="2855"/>
        <v>0</v>
      </c>
      <c r="EL659" s="161">
        <f t="shared" si="2856"/>
        <v>0</v>
      </c>
      <c r="EM659" s="161">
        <f t="shared" si="2857"/>
        <v>0</v>
      </c>
    </row>
    <row r="660" spans="1:143" ht="12" hidden="1" customHeight="1" outlineLevel="2">
      <c r="A660" s="77">
        <v>16</v>
      </c>
      <c r="B660" s="137" t="str">
        <f t="shared" si="2786"/>
        <v>AUX TEC - Equipe_01</v>
      </c>
      <c r="C660" s="65"/>
      <c r="D660" s="622"/>
      <c r="E660" s="65"/>
      <c r="F660" s="603"/>
      <c r="G660" s="77" t="str">
        <f>IF(INDEX(Tarefas!$BT$30:$FK$30,MATCH(A660,Tarefas!$BT$28:$FK$28,0))=0,"",INDEX(Tarefas!$BT$30:$FK$30,MATCH(A660,Tarefas!$BT$28:$FK$28,0)))</f>
        <v>AUX TEC</v>
      </c>
      <c r="H660" s="107" cm="1">
        <f t="array" ref="H660">IFERROR((SUMPRODUCT((Tarefas!$N$32:$N$54='Cronog. e Histog.'!$F$645)*(Tarefas!$BQ$30:$FK$30='Cronog. e Histog.'!$G660)*(Tarefas!$BQ$32:$FK$54)))/SUMIF(Tarefas!$N$32:$N$54,'Cronog. e Histog.'!$F$645,Tarefas!$K$32:$K$54),0)</f>
        <v>0</v>
      </c>
      <c r="I660" s="79">
        <f t="shared" si="2787"/>
        <v>0</v>
      </c>
      <c r="J660" s="65"/>
      <c r="K660" s="160">
        <f t="shared" si="2720"/>
        <v>0</v>
      </c>
      <c r="L660" s="160">
        <f t="shared" si="2859"/>
        <v>0</v>
      </c>
      <c r="M660" s="160">
        <f t="shared" si="2859"/>
        <v>0</v>
      </c>
      <c r="N660" s="160">
        <f t="shared" si="2859"/>
        <v>0</v>
      </c>
      <c r="O660" s="160">
        <f t="shared" si="2859"/>
        <v>0</v>
      </c>
      <c r="P660" s="160">
        <f t="shared" si="2859"/>
        <v>0</v>
      </c>
      <c r="Q660" s="160">
        <f t="shared" si="2859"/>
        <v>0</v>
      </c>
      <c r="R660" s="160">
        <f t="shared" si="2859"/>
        <v>0</v>
      </c>
      <c r="S660" s="160">
        <f t="shared" si="2859"/>
        <v>0</v>
      </c>
      <c r="T660" s="160">
        <f t="shared" si="2859"/>
        <v>0</v>
      </c>
      <c r="U660" s="160">
        <f t="shared" si="2859"/>
        <v>0</v>
      </c>
      <c r="V660" s="160">
        <f t="shared" si="2859"/>
        <v>0</v>
      </c>
      <c r="W660" s="160">
        <f t="shared" si="2859"/>
        <v>0</v>
      </c>
      <c r="X660" s="160">
        <f t="shared" si="2859"/>
        <v>0</v>
      </c>
      <c r="Y660" s="160">
        <f t="shared" si="2859"/>
        <v>0</v>
      </c>
      <c r="Z660" s="160">
        <f t="shared" si="2859"/>
        <v>0</v>
      </c>
      <c r="AA660" s="160">
        <f t="shared" si="2859"/>
        <v>0</v>
      </c>
      <c r="AB660" s="160">
        <f t="shared" si="2859"/>
        <v>0</v>
      </c>
      <c r="AC660" s="160">
        <f t="shared" si="2859"/>
        <v>0</v>
      </c>
      <c r="AD660" s="160">
        <f t="shared" si="2859"/>
        <v>0</v>
      </c>
      <c r="AE660" s="160">
        <f t="shared" si="2859"/>
        <v>0</v>
      </c>
      <c r="AF660" s="160">
        <f t="shared" si="2859"/>
        <v>0</v>
      </c>
      <c r="AG660" s="160">
        <f t="shared" si="2859"/>
        <v>0</v>
      </c>
      <c r="AH660" s="160">
        <f t="shared" si="2859"/>
        <v>0</v>
      </c>
      <c r="AI660" s="160">
        <f t="shared" si="2859"/>
        <v>0</v>
      </c>
      <c r="AJ660" s="160">
        <f t="shared" si="2859"/>
        <v>0</v>
      </c>
      <c r="AK660" s="160">
        <f t="shared" si="2859"/>
        <v>0</v>
      </c>
      <c r="AL660" s="160">
        <f t="shared" si="2859"/>
        <v>0</v>
      </c>
      <c r="AM660" s="160">
        <f t="shared" si="2859"/>
        <v>0</v>
      </c>
      <c r="AN660" s="160">
        <f t="shared" si="2859"/>
        <v>0</v>
      </c>
      <c r="AO660" s="160">
        <f t="shared" si="2859"/>
        <v>0</v>
      </c>
      <c r="AP660" s="160">
        <f t="shared" si="2859"/>
        <v>0</v>
      </c>
      <c r="AQ660" s="160">
        <f t="shared" si="2859"/>
        <v>0</v>
      </c>
      <c r="AR660" s="160">
        <f t="shared" si="2859"/>
        <v>0</v>
      </c>
      <c r="AS660" s="160">
        <f t="shared" si="2859"/>
        <v>0</v>
      </c>
      <c r="AT660" s="160">
        <f t="shared" si="2859"/>
        <v>0</v>
      </c>
      <c r="AU660" s="160">
        <f t="shared" si="2859"/>
        <v>0</v>
      </c>
      <c r="AV660" s="160">
        <f t="shared" si="2859"/>
        <v>0</v>
      </c>
      <c r="AW660" s="160">
        <f t="shared" si="2859"/>
        <v>0</v>
      </c>
      <c r="AX660" s="160">
        <f t="shared" si="2859"/>
        <v>0</v>
      </c>
      <c r="AY660" s="160">
        <f t="shared" si="2859"/>
        <v>0</v>
      </c>
      <c r="AZ660" s="160">
        <f t="shared" si="2859"/>
        <v>0</v>
      </c>
      <c r="BA660" s="160">
        <f t="shared" si="2859"/>
        <v>0</v>
      </c>
      <c r="BB660" s="160">
        <f t="shared" si="2859"/>
        <v>0</v>
      </c>
      <c r="BC660" s="160">
        <f t="shared" si="2859"/>
        <v>0</v>
      </c>
      <c r="BD660" s="160">
        <f t="shared" si="2859"/>
        <v>0</v>
      </c>
      <c r="BE660" s="160">
        <f t="shared" si="2859"/>
        <v>0</v>
      </c>
      <c r="BF660" s="160">
        <f t="shared" si="2859"/>
        <v>0</v>
      </c>
      <c r="BG660" s="160">
        <f t="shared" si="2859"/>
        <v>0</v>
      </c>
      <c r="BH660" s="160">
        <f t="shared" si="2859"/>
        <v>0</v>
      </c>
      <c r="BI660" s="160">
        <f t="shared" si="2859"/>
        <v>0</v>
      </c>
      <c r="BJ660" s="160">
        <f t="shared" si="2859"/>
        <v>0</v>
      </c>
      <c r="BK660" s="160">
        <f t="shared" si="2859"/>
        <v>0</v>
      </c>
      <c r="BL660" s="160">
        <f t="shared" si="2859"/>
        <v>0</v>
      </c>
      <c r="BM660" s="160">
        <f t="shared" si="2859"/>
        <v>0</v>
      </c>
      <c r="BN660" s="160">
        <f t="shared" si="2859"/>
        <v>0</v>
      </c>
      <c r="BO660" s="160">
        <f t="shared" si="2859"/>
        <v>0</v>
      </c>
      <c r="BP660" s="160">
        <f t="shared" si="2859"/>
        <v>0</v>
      </c>
      <c r="BQ660" s="160">
        <f t="shared" si="2859"/>
        <v>0</v>
      </c>
      <c r="BR660" s="160">
        <f t="shared" si="2859"/>
        <v>0</v>
      </c>
      <c r="BS660" s="65"/>
      <c r="BT660" s="160">
        <f t="shared" si="2722"/>
        <v>0</v>
      </c>
      <c r="BU660" s="160">
        <f t="shared" si="2723"/>
        <v>0</v>
      </c>
      <c r="BV660" s="65"/>
      <c r="BW660" s="69"/>
      <c r="BX660" s="65"/>
      <c r="BY660" s="137">
        <f t="shared" si="2724"/>
        <v>1</v>
      </c>
      <c r="BZ660" s="137">
        <f>IF(BY660&gt;0,BY660+LARGE($BZ$213:BZ659,1),0)</f>
        <v>376</v>
      </c>
      <c r="CA660" s="137" t="str">
        <f t="shared" si="2725"/>
        <v>AUX TEC</v>
      </c>
      <c r="CB660" s="161">
        <f t="shared" si="2726"/>
        <v>0</v>
      </c>
      <c r="CC660" s="161">
        <f t="shared" si="2727"/>
        <v>0</v>
      </c>
      <c r="CD660" s="161">
        <f t="shared" si="2728"/>
        <v>0</v>
      </c>
      <c r="CE660" s="161">
        <f t="shared" si="2729"/>
        <v>0</v>
      </c>
      <c r="CF660" s="161">
        <f t="shared" si="2730"/>
        <v>0</v>
      </c>
      <c r="CG660" s="161">
        <f t="shared" si="2731"/>
        <v>0</v>
      </c>
      <c r="CH660" s="161">
        <f t="shared" si="2732"/>
        <v>0</v>
      </c>
      <c r="CI660" s="161">
        <f t="shared" si="2733"/>
        <v>0</v>
      </c>
      <c r="CJ660" s="161">
        <f t="shared" si="2734"/>
        <v>0</v>
      </c>
      <c r="CK660" s="161">
        <f t="shared" si="2735"/>
        <v>0</v>
      </c>
      <c r="CL660" s="161">
        <f t="shared" si="2736"/>
        <v>0</v>
      </c>
      <c r="CM660" s="161">
        <f t="shared" si="2737"/>
        <v>0</v>
      </c>
      <c r="CN660" s="161">
        <f t="shared" si="2738"/>
        <v>0</v>
      </c>
      <c r="CO660" s="161">
        <f t="shared" si="2739"/>
        <v>0</v>
      </c>
      <c r="CP660" s="161">
        <f t="shared" si="2740"/>
        <v>0</v>
      </c>
      <c r="CQ660" s="161">
        <f t="shared" si="2741"/>
        <v>0</v>
      </c>
      <c r="CR660" s="161">
        <f t="shared" si="2742"/>
        <v>0</v>
      </c>
      <c r="CS660" s="161">
        <f t="shared" si="2743"/>
        <v>0</v>
      </c>
      <c r="CT660" s="161">
        <f t="shared" si="2744"/>
        <v>0</v>
      </c>
      <c r="CU660" s="161">
        <f t="shared" si="2745"/>
        <v>0</v>
      </c>
      <c r="CV660" s="161">
        <f t="shared" si="2746"/>
        <v>0</v>
      </c>
      <c r="CW660" s="161">
        <f t="shared" si="2747"/>
        <v>0</v>
      </c>
      <c r="CX660" s="161">
        <f t="shared" si="2748"/>
        <v>0</v>
      </c>
      <c r="CY660" s="161">
        <f t="shared" si="2749"/>
        <v>0</v>
      </c>
      <c r="CZ660" s="161">
        <f t="shared" si="2750"/>
        <v>0</v>
      </c>
      <c r="DA660" s="161">
        <f t="shared" si="2751"/>
        <v>0</v>
      </c>
      <c r="DB660" s="161">
        <f t="shared" si="2752"/>
        <v>0</v>
      </c>
      <c r="DC660" s="161">
        <f t="shared" si="2753"/>
        <v>0</v>
      </c>
      <c r="DD660" s="161">
        <f t="shared" si="2754"/>
        <v>0</v>
      </c>
      <c r="DE660" s="161">
        <f t="shared" si="2755"/>
        <v>0</v>
      </c>
      <c r="DF660" s="161">
        <f t="shared" si="2756"/>
        <v>0</v>
      </c>
      <c r="DG660" s="161">
        <f t="shared" si="2757"/>
        <v>0</v>
      </c>
      <c r="DH660" s="161">
        <f t="shared" si="2758"/>
        <v>0</v>
      </c>
      <c r="DI660" s="161">
        <f t="shared" si="2759"/>
        <v>0</v>
      </c>
      <c r="DJ660" s="161">
        <f t="shared" si="2760"/>
        <v>0</v>
      </c>
      <c r="DK660" s="161">
        <f t="shared" si="2761"/>
        <v>0</v>
      </c>
      <c r="DL660" s="161">
        <f t="shared" si="2762"/>
        <v>0</v>
      </c>
      <c r="DM660" s="161">
        <f t="shared" si="2763"/>
        <v>0</v>
      </c>
      <c r="DN660" s="161">
        <f t="shared" si="2764"/>
        <v>0</v>
      </c>
      <c r="DO660" s="161">
        <f t="shared" si="2765"/>
        <v>0</v>
      </c>
      <c r="DP660" s="161">
        <f t="shared" si="2766"/>
        <v>0</v>
      </c>
      <c r="DQ660" s="161">
        <f t="shared" si="2767"/>
        <v>0</v>
      </c>
      <c r="DR660" s="161">
        <f t="shared" si="2768"/>
        <v>0</v>
      </c>
      <c r="DS660" s="161">
        <f t="shared" si="2769"/>
        <v>0</v>
      </c>
      <c r="DT660" s="161">
        <f t="shared" si="2770"/>
        <v>0</v>
      </c>
      <c r="DU660" s="161">
        <f t="shared" si="2771"/>
        <v>0</v>
      </c>
      <c r="DV660" s="161">
        <f t="shared" si="2772"/>
        <v>0</v>
      </c>
      <c r="DW660" s="161">
        <f t="shared" si="2773"/>
        <v>0</v>
      </c>
      <c r="DX660" s="161">
        <f t="shared" si="2774"/>
        <v>0</v>
      </c>
      <c r="DY660" s="161">
        <f t="shared" si="2775"/>
        <v>0</v>
      </c>
      <c r="DZ660" s="161">
        <f t="shared" si="2776"/>
        <v>0</v>
      </c>
      <c r="EA660" s="161">
        <f t="shared" si="2777"/>
        <v>0</v>
      </c>
      <c r="EB660" s="161">
        <f t="shared" si="2778"/>
        <v>0</v>
      </c>
      <c r="EC660" s="161">
        <f t="shared" si="2779"/>
        <v>0</v>
      </c>
      <c r="ED660" s="161">
        <f t="shared" si="2780"/>
        <v>0</v>
      </c>
      <c r="EE660" s="161">
        <f t="shared" si="2781"/>
        <v>0</v>
      </c>
      <c r="EF660" s="161">
        <f t="shared" si="2782"/>
        <v>0</v>
      </c>
      <c r="EG660" s="161">
        <f t="shared" si="2783"/>
        <v>0</v>
      </c>
      <c r="EH660" s="161">
        <f t="shared" si="2784"/>
        <v>0</v>
      </c>
      <c r="EI660" s="161">
        <f t="shared" si="2785"/>
        <v>0</v>
      </c>
      <c r="EJ660" s="65"/>
      <c r="EK660" s="161">
        <f t="shared" si="2855"/>
        <v>0</v>
      </c>
      <c r="EL660" s="161">
        <f t="shared" si="2856"/>
        <v>0</v>
      </c>
      <c r="EM660" s="161">
        <f t="shared" si="2857"/>
        <v>0</v>
      </c>
    </row>
    <row r="661" spans="1:143" ht="12" hidden="1" customHeight="1" outlineLevel="2">
      <c r="A661" s="77">
        <v>17</v>
      </c>
      <c r="B661" s="137" t="str">
        <f t="shared" si="2786"/>
        <v>AUX ADM - Equipe_01</v>
      </c>
      <c r="C661" s="65"/>
      <c r="D661" s="622"/>
      <c r="E661" s="65"/>
      <c r="F661" s="603"/>
      <c r="G661" s="77" t="str">
        <f>IF(INDEX(Tarefas!$BT$30:$FK$30,MATCH(A661,Tarefas!$BT$28:$FK$28,0))=0,"",INDEX(Tarefas!$BT$30:$FK$30,MATCH(A661,Tarefas!$BT$28:$FK$28,0)))</f>
        <v>AUX ADM</v>
      </c>
      <c r="H661" s="107" cm="1">
        <f t="array" ref="H661">IFERROR((SUMPRODUCT((Tarefas!$N$32:$N$54='Cronog. e Histog.'!$F$645)*(Tarefas!$BQ$30:$FK$30='Cronog. e Histog.'!$G661)*(Tarefas!$BQ$32:$FK$54)))/SUMIF(Tarefas!$N$32:$N$54,'Cronog. e Histog.'!$F$645,Tarefas!$K$32:$K$54),0)</f>
        <v>0</v>
      </c>
      <c r="I661" s="79">
        <f t="shared" si="2787"/>
        <v>0</v>
      </c>
      <c r="J661" s="65"/>
      <c r="K661" s="160">
        <f t="shared" si="2720"/>
        <v>0</v>
      </c>
      <c r="L661" s="160">
        <f t="shared" si="2859"/>
        <v>0</v>
      </c>
      <c r="M661" s="160">
        <f t="shared" si="2859"/>
        <v>0</v>
      </c>
      <c r="N661" s="160">
        <f t="shared" si="2859"/>
        <v>0</v>
      </c>
      <c r="O661" s="160">
        <f t="shared" si="2859"/>
        <v>0</v>
      </c>
      <c r="P661" s="160">
        <f t="shared" si="2859"/>
        <v>0</v>
      </c>
      <c r="Q661" s="160">
        <f t="shared" si="2859"/>
        <v>0</v>
      </c>
      <c r="R661" s="160">
        <f t="shared" si="2859"/>
        <v>0</v>
      </c>
      <c r="S661" s="160">
        <f t="shared" si="2859"/>
        <v>0</v>
      </c>
      <c r="T661" s="160">
        <f t="shared" si="2859"/>
        <v>0</v>
      </c>
      <c r="U661" s="160">
        <f t="shared" si="2859"/>
        <v>0</v>
      </c>
      <c r="V661" s="160">
        <f t="shared" si="2859"/>
        <v>0</v>
      </c>
      <c r="W661" s="160">
        <f t="shared" si="2859"/>
        <v>0</v>
      </c>
      <c r="X661" s="160">
        <f t="shared" si="2859"/>
        <v>0</v>
      </c>
      <c r="Y661" s="160">
        <f t="shared" si="2859"/>
        <v>0</v>
      </c>
      <c r="Z661" s="160">
        <f t="shared" si="2859"/>
        <v>0</v>
      </c>
      <c r="AA661" s="160">
        <f t="shared" si="2859"/>
        <v>0</v>
      </c>
      <c r="AB661" s="160">
        <f t="shared" si="2859"/>
        <v>0</v>
      </c>
      <c r="AC661" s="160">
        <f t="shared" si="2859"/>
        <v>0</v>
      </c>
      <c r="AD661" s="160">
        <f t="shared" si="2859"/>
        <v>0</v>
      </c>
      <c r="AE661" s="160">
        <f t="shared" si="2859"/>
        <v>0</v>
      </c>
      <c r="AF661" s="160">
        <f t="shared" si="2859"/>
        <v>0</v>
      </c>
      <c r="AG661" s="160">
        <f t="shared" si="2859"/>
        <v>0</v>
      </c>
      <c r="AH661" s="160">
        <f t="shared" si="2859"/>
        <v>0</v>
      </c>
      <c r="AI661" s="160">
        <f t="shared" si="2859"/>
        <v>0</v>
      </c>
      <c r="AJ661" s="160">
        <f t="shared" si="2859"/>
        <v>0</v>
      </c>
      <c r="AK661" s="160">
        <f t="shared" si="2859"/>
        <v>0</v>
      </c>
      <c r="AL661" s="160">
        <f t="shared" si="2859"/>
        <v>0</v>
      </c>
      <c r="AM661" s="160">
        <f t="shared" si="2859"/>
        <v>0</v>
      </c>
      <c r="AN661" s="160">
        <f t="shared" si="2859"/>
        <v>0</v>
      </c>
      <c r="AO661" s="160">
        <f t="shared" si="2859"/>
        <v>0</v>
      </c>
      <c r="AP661" s="160">
        <f t="shared" si="2859"/>
        <v>0</v>
      </c>
      <c r="AQ661" s="160">
        <f t="shared" si="2859"/>
        <v>0</v>
      </c>
      <c r="AR661" s="160">
        <f t="shared" si="2859"/>
        <v>0</v>
      </c>
      <c r="AS661" s="160">
        <f t="shared" si="2859"/>
        <v>0</v>
      </c>
      <c r="AT661" s="160">
        <f t="shared" si="2859"/>
        <v>0</v>
      </c>
      <c r="AU661" s="160">
        <f t="shared" si="2859"/>
        <v>0</v>
      </c>
      <c r="AV661" s="160">
        <f t="shared" si="2859"/>
        <v>0</v>
      </c>
      <c r="AW661" s="160">
        <f t="shared" si="2859"/>
        <v>0</v>
      </c>
      <c r="AX661" s="160">
        <f t="shared" si="2859"/>
        <v>0</v>
      </c>
      <c r="AY661" s="160">
        <f t="shared" si="2859"/>
        <v>0</v>
      </c>
      <c r="AZ661" s="160">
        <f t="shared" si="2859"/>
        <v>0</v>
      </c>
      <c r="BA661" s="160">
        <f t="shared" si="2859"/>
        <v>0</v>
      </c>
      <c r="BB661" s="160">
        <f t="shared" si="2859"/>
        <v>0</v>
      </c>
      <c r="BC661" s="160">
        <f t="shared" si="2859"/>
        <v>0</v>
      </c>
      <c r="BD661" s="160">
        <f t="shared" si="2859"/>
        <v>0</v>
      </c>
      <c r="BE661" s="160">
        <f t="shared" si="2859"/>
        <v>0</v>
      </c>
      <c r="BF661" s="160">
        <f t="shared" si="2859"/>
        <v>0</v>
      </c>
      <c r="BG661" s="160">
        <f t="shared" si="2859"/>
        <v>0</v>
      </c>
      <c r="BH661" s="160">
        <f t="shared" si="2859"/>
        <v>0</v>
      </c>
      <c r="BI661" s="160">
        <f t="shared" si="2859"/>
        <v>0</v>
      </c>
      <c r="BJ661" s="160">
        <f t="shared" si="2859"/>
        <v>0</v>
      </c>
      <c r="BK661" s="160">
        <f t="shared" si="2859"/>
        <v>0</v>
      </c>
      <c r="BL661" s="160">
        <f t="shared" si="2859"/>
        <v>0</v>
      </c>
      <c r="BM661" s="160">
        <f t="shared" si="2859"/>
        <v>0</v>
      </c>
      <c r="BN661" s="160">
        <f t="shared" si="2859"/>
        <v>0</v>
      </c>
      <c r="BO661" s="160">
        <f t="shared" si="2859"/>
        <v>0</v>
      </c>
      <c r="BP661" s="160">
        <f t="shared" si="2859"/>
        <v>0</v>
      </c>
      <c r="BQ661" s="160">
        <f t="shared" si="2859"/>
        <v>0</v>
      </c>
      <c r="BR661" s="160">
        <f t="shared" si="2859"/>
        <v>0</v>
      </c>
      <c r="BS661" s="65"/>
      <c r="BT661" s="160">
        <f t="shared" si="2722"/>
        <v>0</v>
      </c>
      <c r="BU661" s="160">
        <f t="shared" si="2723"/>
        <v>0</v>
      </c>
      <c r="BV661" s="65"/>
      <c r="BW661" s="69"/>
      <c r="BX661" s="65"/>
      <c r="BY661" s="137">
        <f t="shared" si="2724"/>
        <v>1</v>
      </c>
      <c r="BZ661" s="137">
        <f>IF(BY661&gt;0,BY661+LARGE($BZ$213:BZ660,1),0)</f>
        <v>377</v>
      </c>
      <c r="CA661" s="137" t="str">
        <f t="shared" si="2725"/>
        <v>AUX ADM</v>
      </c>
      <c r="CB661" s="161">
        <f t="shared" si="2726"/>
        <v>0</v>
      </c>
      <c r="CC661" s="161">
        <f t="shared" si="2727"/>
        <v>0</v>
      </c>
      <c r="CD661" s="161">
        <f t="shared" si="2728"/>
        <v>0</v>
      </c>
      <c r="CE661" s="161">
        <f t="shared" si="2729"/>
        <v>0</v>
      </c>
      <c r="CF661" s="161">
        <f t="shared" si="2730"/>
        <v>0</v>
      </c>
      <c r="CG661" s="161">
        <f t="shared" si="2731"/>
        <v>0</v>
      </c>
      <c r="CH661" s="161">
        <f t="shared" si="2732"/>
        <v>0</v>
      </c>
      <c r="CI661" s="161">
        <f t="shared" si="2733"/>
        <v>0</v>
      </c>
      <c r="CJ661" s="161">
        <f t="shared" si="2734"/>
        <v>0</v>
      </c>
      <c r="CK661" s="161">
        <f t="shared" si="2735"/>
        <v>0</v>
      </c>
      <c r="CL661" s="161">
        <f t="shared" si="2736"/>
        <v>0</v>
      </c>
      <c r="CM661" s="161">
        <f t="shared" si="2737"/>
        <v>0</v>
      </c>
      <c r="CN661" s="161">
        <f t="shared" si="2738"/>
        <v>0</v>
      </c>
      <c r="CO661" s="161">
        <f t="shared" si="2739"/>
        <v>0</v>
      </c>
      <c r="CP661" s="161">
        <f t="shared" si="2740"/>
        <v>0</v>
      </c>
      <c r="CQ661" s="161">
        <f t="shared" si="2741"/>
        <v>0</v>
      </c>
      <c r="CR661" s="161">
        <f t="shared" si="2742"/>
        <v>0</v>
      </c>
      <c r="CS661" s="161">
        <f t="shared" si="2743"/>
        <v>0</v>
      </c>
      <c r="CT661" s="161">
        <f t="shared" si="2744"/>
        <v>0</v>
      </c>
      <c r="CU661" s="161">
        <f t="shared" si="2745"/>
        <v>0</v>
      </c>
      <c r="CV661" s="161">
        <f t="shared" si="2746"/>
        <v>0</v>
      </c>
      <c r="CW661" s="161">
        <f t="shared" si="2747"/>
        <v>0</v>
      </c>
      <c r="CX661" s="161">
        <f t="shared" si="2748"/>
        <v>0</v>
      </c>
      <c r="CY661" s="161">
        <f t="shared" si="2749"/>
        <v>0</v>
      </c>
      <c r="CZ661" s="161">
        <f t="shared" si="2750"/>
        <v>0</v>
      </c>
      <c r="DA661" s="161">
        <f t="shared" si="2751"/>
        <v>0</v>
      </c>
      <c r="DB661" s="161">
        <f t="shared" si="2752"/>
        <v>0</v>
      </c>
      <c r="DC661" s="161">
        <f t="shared" si="2753"/>
        <v>0</v>
      </c>
      <c r="DD661" s="161">
        <f t="shared" si="2754"/>
        <v>0</v>
      </c>
      <c r="DE661" s="161">
        <f t="shared" si="2755"/>
        <v>0</v>
      </c>
      <c r="DF661" s="161">
        <f t="shared" si="2756"/>
        <v>0</v>
      </c>
      <c r="DG661" s="161">
        <f t="shared" si="2757"/>
        <v>0</v>
      </c>
      <c r="DH661" s="161">
        <f t="shared" si="2758"/>
        <v>0</v>
      </c>
      <c r="DI661" s="161">
        <f t="shared" si="2759"/>
        <v>0</v>
      </c>
      <c r="DJ661" s="161">
        <f t="shared" si="2760"/>
        <v>0</v>
      </c>
      <c r="DK661" s="161">
        <f t="shared" si="2761"/>
        <v>0</v>
      </c>
      <c r="DL661" s="161">
        <f t="shared" si="2762"/>
        <v>0</v>
      </c>
      <c r="DM661" s="161">
        <f t="shared" si="2763"/>
        <v>0</v>
      </c>
      <c r="DN661" s="161">
        <f t="shared" si="2764"/>
        <v>0</v>
      </c>
      <c r="DO661" s="161">
        <f t="shared" si="2765"/>
        <v>0</v>
      </c>
      <c r="DP661" s="161">
        <f t="shared" si="2766"/>
        <v>0</v>
      </c>
      <c r="DQ661" s="161">
        <f t="shared" si="2767"/>
        <v>0</v>
      </c>
      <c r="DR661" s="161">
        <f t="shared" si="2768"/>
        <v>0</v>
      </c>
      <c r="DS661" s="161">
        <f t="shared" si="2769"/>
        <v>0</v>
      </c>
      <c r="DT661" s="161">
        <f t="shared" si="2770"/>
        <v>0</v>
      </c>
      <c r="DU661" s="161">
        <f t="shared" si="2771"/>
        <v>0</v>
      </c>
      <c r="DV661" s="161">
        <f t="shared" si="2772"/>
        <v>0</v>
      </c>
      <c r="DW661" s="161">
        <f t="shared" si="2773"/>
        <v>0</v>
      </c>
      <c r="DX661" s="161">
        <f t="shared" si="2774"/>
        <v>0</v>
      </c>
      <c r="DY661" s="161">
        <f t="shared" si="2775"/>
        <v>0</v>
      </c>
      <c r="DZ661" s="161">
        <f t="shared" si="2776"/>
        <v>0</v>
      </c>
      <c r="EA661" s="161">
        <f t="shared" si="2777"/>
        <v>0</v>
      </c>
      <c r="EB661" s="161">
        <f t="shared" si="2778"/>
        <v>0</v>
      </c>
      <c r="EC661" s="161">
        <f t="shared" si="2779"/>
        <v>0</v>
      </c>
      <c r="ED661" s="161">
        <f t="shared" si="2780"/>
        <v>0</v>
      </c>
      <c r="EE661" s="161">
        <f t="shared" si="2781"/>
        <v>0</v>
      </c>
      <c r="EF661" s="161">
        <f t="shared" si="2782"/>
        <v>0</v>
      </c>
      <c r="EG661" s="161">
        <f t="shared" si="2783"/>
        <v>0</v>
      </c>
      <c r="EH661" s="161">
        <f t="shared" si="2784"/>
        <v>0</v>
      </c>
      <c r="EI661" s="161">
        <f t="shared" si="2785"/>
        <v>0</v>
      </c>
      <c r="EJ661" s="65"/>
      <c r="EK661" s="161">
        <f t="shared" si="2855"/>
        <v>0</v>
      </c>
      <c r="EL661" s="161">
        <f t="shared" si="2856"/>
        <v>0</v>
      </c>
      <c r="EM661" s="161">
        <f t="shared" si="2857"/>
        <v>0</v>
      </c>
    </row>
    <row r="662" spans="1:143" ht="12" hidden="1" customHeight="1" outlineLevel="2">
      <c r="A662" s="77">
        <v>18</v>
      </c>
      <c r="B662" s="137" t="str">
        <f t="shared" si="2786"/>
        <v>EST - Equipe_01</v>
      </c>
      <c r="C662" s="65"/>
      <c r="D662" s="622"/>
      <c r="E662" s="65"/>
      <c r="F662" s="603"/>
      <c r="G662" s="77" t="str">
        <f>IF(INDEX(Tarefas!$BT$30:$FK$30,MATCH(A662,Tarefas!$BT$28:$FK$28,0))=0,"",INDEX(Tarefas!$BT$30:$FK$30,MATCH(A662,Tarefas!$BT$28:$FK$28,0)))</f>
        <v>EST</v>
      </c>
      <c r="H662" s="107" cm="1">
        <f t="array" ref="H662">IFERROR((SUMPRODUCT((Tarefas!$N$32:$N$54='Cronog. e Histog.'!$F$645)*(Tarefas!$BQ$30:$FK$30='Cronog. e Histog.'!$G662)*(Tarefas!$BQ$32:$FK$54)))/SUMIF(Tarefas!$N$32:$N$54,'Cronog. e Histog.'!$F$645,Tarefas!$K$32:$K$54),0)</f>
        <v>0</v>
      </c>
      <c r="I662" s="79">
        <f t="shared" si="2787"/>
        <v>0</v>
      </c>
      <c r="J662" s="65"/>
      <c r="K662" s="160">
        <f t="shared" si="2720"/>
        <v>0</v>
      </c>
      <c r="L662" s="160">
        <f t="shared" si="2859"/>
        <v>0</v>
      </c>
      <c r="M662" s="160">
        <f t="shared" si="2859"/>
        <v>0</v>
      </c>
      <c r="N662" s="160">
        <f t="shared" si="2859"/>
        <v>0</v>
      </c>
      <c r="O662" s="160">
        <f t="shared" si="2859"/>
        <v>0</v>
      </c>
      <c r="P662" s="160">
        <f t="shared" si="2859"/>
        <v>0</v>
      </c>
      <c r="Q662" s="160">
        <f t="shared" si="2859"/>
        <v>0</v>
      </c>
      <c r="R662" s="160">
        <f t="shared" si="2859"/>
        <v>0</v>
      </c>
      <c r="S662" s="160">
        <f t="shared" si="2859"/>
        <v>0</v>
      </c>
      <c r="T662" s="160">
        <f t="shared" si="2859"/>
        <v>0</v>
      </c>
      <c r="U662" s="160">
        <f t="shared" si="2859"/>
        <v>0</v>
      </c>
      <c r="V662" s="160">
        <f t="shared" si="2859"/>
        <v>0</v>
      </c>
      <c r="W662" s="160">
        <f t="shared" si="2859"/>
        <v>0</v>
      </c>
      <c r="X662" s="160">
        <f t="shared" si="2859"/>
        <v>0</v>
      </c>
      <c r="Y662" s="160">
        <f t="shared" si="2859"/>
        <v>0</v>
      </c>
      <c r="Z662" s="160">
        <f t="shared" si="2859"/>
        <v>0</v>
      </c>
      <c r="AA662" s="160">
        <f t="shared" si="2859"/>
        <v>0</v>
      </c>
      <c r="AB662" s="160">
        <f t="shared" si="2859"/>
        <v>0</v>
      </c>
      <c r="AC662" s="160">
        <f t="shared" si="2859"/>
        <v>0</v>
      </c>
      <c r="AD662" s="160">
        <f t="shared" si="2859"/>
        <v>0</v>
      </c>
      <c r="AE662" s="160">
        <f t="shared" si="2859"/>
        <v>0</v>
      </c>
      <c r="AF662" s="160">
        <f t="shared" si="2859"/>
        <v>0</v>
      </c>
      <c r="AG662" s="160">
        <f t="shared" si="2859"/>
        <v>0</v>
      </c>
      <c r="AH662" s="160">
        <f t="shared" si="2859"/>
        <v>0</v>
      </c>
      <c r="AI662" s="160">
        <f t="shared" si="2859"/>
        <v>0</v>
      </c>
      <c r="AJ662" s="160">
        <f t="shared" si="2859"/>
        <v>0</v>
      </c>
      <c r="AK662" s="160">
        <f t="shared" si="2859"/>
        <v>0</v>
      </c>
      <c r="AL662" s="160">
        <f t="shared" si="2859"/>
        <v>0</v>
      </c>
      <c r="AM662" s="160">
        <f t="shared" si="2859"/>
        <v>0</v>
      </c>
      <c r="AN662" s="160">
        <f t="shared" si="2859"/>
        <v>0</v>
      </c>
      <c r="AO662" s="160">
        <f t="shared" si="2859"/>
        <v>0</v>
      </c>
      <c r="AP662" s="160">
        <f t="shared" si="2859"/>
        <v>0</v>
      </c>
      <c r="AQ662" s="160">
        <f t="shared" si="2859"/>
        <v>0</v>
      </c>
      <c r="AR662" s="160">
        <f t="shared" si="2859"/>
        <v>0</v>
      </c>
      <c r="AS662" s="160">
        <f t="shared" si="2859"/>
        <v>0</v>
      </c>
      <c r="AT662" s="160">
        <f t="shared" si="2859"/>
        <v>0</v>
      </c>
      <c r="AU662" s="160">
        <f t="shared" si="2859"/>
        <v>0</v>
      </c>
      <c r="AV662" s="160">
        <f t="shared" si="2859"/>
        <v>0</v>
      </c>
      <c r="AW662" s="160">
        <f t="shared" si="2859"/>
        <v>0</v>
      </c>
      <c r="AX662" s="160">
        <f t="shared" si="2859"/>
        <v>0</v>
      </c>
      <c r="AY662" s="160">
        <f t="shared" si="2859"/>
        <v>0</v>
      </c>
      <c r="AZ662" s="160">
        <f t="shared" si="2859"/>
        <v>0</v>
      </c>
      <c r="BA662" s="160">
        <f t="shared" si="2859"/>
        <v>0</v>
      </c>
      <c r="BB662" s="160">
        <f t="shared" si="2859"/>
        <v>0</v>
      </c>
      <c r="BC662" s="160">
        <f t="shared" si="2859"/>
        <v>0</v>
      </c>
      <c r="BD662" s="160">
        <f t="shared" si="2859"/>
        <v>0</v>
      </c>
      <c r="BE662" s="160">
        <f t="shared" si="2859"/>
        <v>0</v>
      </c>
      <c r="BF662" s="160">
        <f t="shared" si="2859"/>
        <v>0</v>
      </c>
      <c r="BG662" s="160">
        <f t="shared" si="2859"/>
        <v>0</v>
      </c>
      <c r="BH662" s="160">
        <f t="shared" si="2859"/>
        <v>0</v>
      </c>
      <c r="BI662" s="160">
        <f t="shared" si="2859"/>
        <v>0</v>
      </c>
      <c r="BJ662" s="160">
        <f t="shared" si="2859"/>
        <v>0</v>
      </c>
      <c r="BK662" s="160">
        <f t="shared" si="2859"/>
        <v>0</v>
      </c>
      <c r="BL662" s="160">
        <f t="shared" si="2859"/>
        <v>0</v>
      </c>
      <c r="BM662" s="160">
        <f t="shared" si="2859"/>
        <v>0</v>
      </c>
      <c r="BN662" s="160">
        <f t="shared" si="2859"/>
        <v>0</v>
      </c>
      <c r="BO662" s="160">
        <f t="shared" si="2859"/>
        <v>0</v>
      </c>
      <c r="BP662" s="160">
        <f t="shared" si="2859"/>
        <v>0</v>
      </c>
      <c r="BQ662" s="160">
        <f t="shared" si="2859"/>
        <v>0</v>
      </c>
      <c r="BR662" s="160">
        <f t="shared" si="2859"/>
        <v>0</v>
      </c>
      <c r="BS662" s="65"/>
      <c r="BT662" s="160">
        <f t="shared" si="2722"/>
        <v>0</v>
      </c>
      <c r="BU662" s="160">
        <f t="shared" si="2723"/>
        <v>0</v>
      </c>
      <c r="BV662" s="65"/>
      <c r="BW662" s="69"/>
      <c r="BX662" s="65"/>
      <c r="BY662" s="137">
        <f t="shared" si="2724"/>
        <v>1</v>
      </c>
      <c r="BZ662" s="137">
        <f>IF(BY662&gt;0,BY662+LARGE($BZ$213:BZ661,1),0)</f>
        <v>378</v>
      </c>
      <c r="CA662" s="137" t="str">
        <f t="shared" si="2725"/>
        <v>EST</v>
      </c>
      <c r="CB662" s="161">
        <f t="shared" si="2726"/>
        <v>0</v>
      </c>
      <c r="CC662" s="161">
        <f t="shared" si="2727"/>
        <v>0</v>
      </c>
      <c r="CD662" s="161">
        <f t="shared" si="2728"/>
        <v>0</v>
      </c>
      <c r="CE662" s="161">
        <f t="shared" si="2729"/>
        <v>0</v>
      </c>
      <c r="CF662" s="161">
        <f t="shared" si="2730"/>
        <v>0</v>
      </c>
      <c r="CG662" s="161">
        <f t="shared" si="2731"/>
        <v>0</v>
      </c>
      <c r="CH662" s="161">
        <f t="shared" si="2732"/>
        <v>0</v>
      </c>
      <c r="CI662" s="161">
        <f t="shared" si="2733"/>
        <v>0</v>
      </c>
      <c r="CJ662" s="161">
        <f t="shared" si="2734"/>
        <v>0</v>
      </c>
      <c r="CK662" s="161">
        <f t="shared" si="2735"/>
        <v>0</v>
      </c>
      <c r="CL662" s="161">
        <f t="shared" si="2736"/>
        <v>0</v>
      </c>
      <c r="CM662" s="161">
        <f t="shared" si="2737"/>
        <v>0</v>
      </c>
      <c r="CN662" s="161">
        <f t="shared" si="2738"/>
        <v>0</v>
      </c>
      <c r="CO662" s="161">
        <f t="shared" si="2739"/>
        <v>0</v>
      </c>
      <c r="CP662" s="161">
        <f t="shared" si="2740"/>
        <v>0</v>
      </c>
      <c r="CQ662" s="161">
        <f t="shared" si="2741"/>
        <v>0</v>
      </c>
      <c r="CR662" s="161">
        <f t="shared" si="2742"/>
        <v>0</v>
      </c>
      <c r="CS662" s="161">
        <f t="shared" si="2743"/>
        <v>0</v>
      </c>
      <c r="CT662" s="161">
        <f t="shared" si="2744"/>
        <v>0</v>
      </c>
      <c r="CU662" s="161">
        <f t="shared" si="2745"/>
        <v>0</v>
      </c>
      <c r="CV662" s="161">
        <f t="shared" si="2746"/>
        <v>0</v>
      </c>
      <c r="CW662" s="161">
        <f t="shared" si="2747"/>
        <v>0</v>
      </c>
      <c r="CX662" s="161">
        <f t="shared" si="2748"/>
        <v>0</v>
      </c>
      <c r="CY662" s="161">
        <f t="shared" si="2749"/>
        <v>0</v>
      </c>
      <c r="CZ662" s="161">
        <f t="shared" si="2750"/>
        <v>0</v>
      </c>
      <c r="DA662" s="161">
        <f t="shared" si="2751"/>
        <v>0</v>
      </c>
      <c r="DB662" s="161">
        <f t="shared" si="2752"/>
        <v>0</v>
      </c>
      <c r="DC662" s="161">
        <f t="shared" si="2753"/>
        <v>0</v>
      </c>
      <c r="DD662" s="161">
        <f t="shared" si="2754"/>
        <v>0</v>
      </c>
      <c r="DE662" s="161">
        <f t="shared" si="2755"/>
        <v>0</v>
      </c>
      <c r="DF662" s="161">
        <f t="shared" si="2756"/>
        <v>0</v>
      </c>
      <c r="DG662" s="161">
        <f t="shared" si="2757"/>
        <v>0</v>
      </c>
      <c r="DH662" s="161">
        <f t="shared" si="2758"/>
        <v>0</v>
      </c>
      <c r="DI662" s="161">
        <f t="shared" si="2759"/>
        <v>0</v>
      </c>
      <c r="DJ662" s="161">
        <f t="shared" si="2760"/>
        <v>0</v>
      </c>
      <c r="DK662" s="161">
        <f t="shared" si="2761"/>
        <v>0</v>
      </c>
      <c r="DL662" s="161">
        <f t="shared" si="2762"/>
        <v>0</v>
      </c>
      <c r="DM662" s="161">
        <f t="shared" si="2763"/>
        <v>0</v>
      </c>
      <c r="DN662" s="161">
        <f t="shared" si="2764"/>
        <v>0</v>
      </c>
      <c r="DO662" s="161">
        <f t="shared" si="2765"/>
        <v>0</v>
      </c>
      <c r="DP662" s="161">
        <f t="shared" si="2766"/>
        <v>0</v>
      </c>
      <c r="DQ662" s="161">
        <f t="shared" si="2767"/>
        <v>0</v>
      </c>
      <c r="DR662" s="161">
        <f t="shared" si="2768"/>
        <v>0</v>
      </c>
      <c r="DS662" s="161">
        <f t="shared" si="2769"/>
        <v>0</v>
      </c>
      <c r="DT662" s="161">
        <f t="shared" si="2770"/>
        <v>0</v>
      </c>
      <c r="DU662" s="161">
        <f t="shared" si="2771"/>
        <v>0</v>
      </c>
      <c r="DV662" s="161">
        <f t="shared" si="2772"/>
        <v>0</v>
      </c>
      <c r="DW662" s="161">
        <f t="shared" si="2773"/>
        <v>0</v>
      </c>
      <c r="DX662" s="161">
        <f t="shared" si="2774"/>
        <v>0</v>
      </c>
      <c r="DY662" s="161">
        <f t="shared" si="2775"/>
        <v>0</v>
      </c>
      <c r="DZ662" s="161">
        <f t="shared" si="2776"/>
        <v>0</v>
      </c>
      <c r="EA662" s="161">
        <f t="shared" si="2777"/>
        <v>0</v>
      </c>
      <c r="EB662" s="161">
        <f t="shared" si="2778"/>
        <v>0</v>
      </c>
      <c r="EC662" s="161">
        <f t="shared" si="2779"/>
        <v>0</v>
      </c>
      <c r="ED662" s="161">
        <f t="shared" si="2780"/>
        <v>0</v>
      </c>
      <c r="EE662" s="161">
        <f t="shared" si="2781"/>
        <v>0</v>
      </c>
      <c r="EF662" s="161">
        <f t="shared" si="2782"/>
        <v>0</v>
      </c>
      <c r="EG662" s="161">
        <f t="shared" si="2783"/>
        <v>0</v>
      </c>
      <c r="EH662" s="161">
        <f t="shared" si="2784"/>
        <v>0</v>
      </c>
      <c r="EI662" s="161">
        <f t="shared" si="2785"/>
        <v>0</v>
      </c>
      <c r="EJ662" s="65"/>
      <c r="EK662" s="161">
        <f t="shared" si="2855"/>
        <v>0</v>
      </c>
      <c r="EL662" s="161">
        <f t="shared" si="2856"/>
        <v>0</v>
      </c>
      <c r="EM662" s="161">
        <f t="shared" si="2857"/>
        <v>0</v>
      </c>
    </row>
    <row r="663" spans="1:143" ht="12" hidden="1" customHeight="1" outlineLevel="2">
      <c r="A663" s="77">
        <v>19</v>
      </c>
      <c r="B663" s="137" t="str">
        <f t="shared" si="2786"/>
        <v>EST_II - Equipe_01</v>
      </c>
      <c r="C663" s="65"/>
      <c r="D663" s="622"/>
      <c r="E663" s="65"/>
      <c r="F663" s="603"/>
      <c r="G663" s="77" t="str">
        <f>IF(INDEX(Tarefas!$BT$30:$FK$30,MATCH(A663,Tarefas!$BT$28:$FK$28,0))=0,"",INDEX(Tarefas!$BT$30:$FK$30,MATCH(A663,Tarefas!$BT$28:$FK$28,0)))</f>
        <v>EST_II</v>
      </c>
      <c r="H663" s="107" cm="1">
        <f t="array" ref="H663">IFERROR((SUMPRODUCT((Tarefas!$N$32:$N$54='Cronog. e Histog.'!$F$645)*(Tarefas!$BQ$30:$FK$30='Cronog. e Histog.'!$G663)*(Tarefas!$BQ$32:$FK$54)))/SUMIF(Tarefas!$N$32:$N$54,'Cronog. e Histog.'!$F$645,Tarefas!$K$32:$K$54),0)</f>
        <v>0</v>
      </c>
      <c r="I663" s="79">
        <f t="shared" si="2787"/>
        <v>0</v>
      </c>
      <c r="J663" s="65"/>
      <c r="K663" s="160">
        <f t="shared" si="2720"/>
        <v>0</v>
      </c>
      <c r="L663" s="160">
        <f t="shared" si="2859"/>
        <v>0</v>
      </c>
      <c r="M663" s="160">
        <f t="shared" si="2859"/>
        <v>0</v>
      </c>
      <c r="N663" s="160">
        <f t="shared" si="2859"/>
        <v>0</v>
      </c>
      <c r="O663" s="160">
        <f t="shared" si="2859"/>
        <v>0</v>
      </c>
      <c r="P663" s="160">
        <f t="shared" si="2859"/>
        <v>0</v>
      </c>
      <c r="Q663" s="160">
        <f t="shared" si="2859"/>
        <v>0</v>
      </c>
      <c r="R663" s="160">
        <f t="shared" si="2859"/>
        <v>0</v>
      </c>
      <c r="S663" s="160">
        <f t="shared" si="2859"/>
        <v>0</v>
      </c>
      <c r="T663" s="160">
        <f t="shared" si="2859"/>
        <v>0</v>
      </c>
      <c r="U663" s="160">
        <f t="shared" si="2859"/>
        <v>0</v>
      </c>
      <c r="V663" s="160">
        <f t="shared" si="2859"/>
        <v>0</v>
      </c>
      <c r="W663" s="160">
        <f t="shared" si="2859"/>
        <v>0</v>
      </c>
      <c r="X663" s="160">
        <f t="shared" si="2859"/>
        <v>0</v>
      </c>
      <c r="Y663" s="160">
        <f t="shared" si="2859"/>
        <v>0</v>
      </c>
      <c r="Z663" s="160">
        <f t="shared" si="2859"/>
        <v>0</v>
      </c>
      <c r="AA663" s="160">
        <f t="shared" si="2859"/>
        <v>0</v>
      </c>
      <c r="AB663" s="160">
        <f t="shared" si="2859"/>
        <v>0</v>
      </c>
      <c r="AC663" s="160">
        <f t="shared" si="2859"/>
        <v>0</v>
      </c>
      <c r="AD663" s="160">
        <f t="shared" si="2859"/>
        <v>0</v>
      </c>
      <c r="AE663" s="160">
        <f t="shared" si="2859"/>
        <v>0</v>
      </c>
      <c r="AF663" s="160">
        <f t="shared" si="2859"/>
        <v>0</v>
      </c>
      <c r="AG663" s="160">
        <f t="shared" si="2859"/>
        <v>0</v>
      </c>
      <c r="AH663" s="160">
        <f t="shared" si="2859"/>
        <v>0</v>
      </c>
      <c r="AI663" s="160">
        <f t="shared" si="2859"/>
        <v>0</v>
      </c>
      <c r="AJ663" s="160">
        <f t="shared" si="2859"/>
        <v>0</v>
      </c>
      <c r="AK663" s="160">
        <f t="shared" si="2859"/>
        <v>0</v>
      </c>
      <c r="AL663" s="160">
        <f t="shared" si="2859"/>
        <v>0</v>
      </c>
      <c r="AM663" s="160">
        <f t="shared" si="2859"/>
        <v>0</v>
      </c>
      <c r="AN663" s="160">
        <f t="shared" si="2859"/>
        <v>0</v>
      </c>
      <c r="AO663" s="160">
        <f t="shared" si="2859"/>
        <v>0</v>
      </c>
      <c r="AP663" s="160">
        <f t="shared" si="2859"/>
        <v>0</v>
      </c>
      <c r="AQ663" s="160">
        <f t="shared" si="2859"/>
        <v>0</v>
      </c>
      <c r="AR663" s="160">
        <f t="shared" si="2859"/>
        <v>0</v>
      </c>
      <c r="AS663" s="160">
        <f t="shared" si="2859"/>
        <v>0</v>
      </c>
      <c r="AT663" s="160">
        <f t="shared" si="2859"/>
        <v>0</v>
      </c>
      <c r="AU663" s="160">
        <f t="shared" si="2859"/>
        <v>0</v>
      </c>
      <c r="AV663" s="160">
        <f t="shared" si="2859"/>
        <v>0</v>
      </c>
      <c r="AW663" s="160">
        <f t="shared" si="2859"/>
        <v>0</v>
      </c>
      <c r="AX663" s="160">
        <f t="shared" si="2859"/>
        <v>0</v>
      </c>
      <c r="AY663" s="160">
        <f t="shared" si="2859"/>
        <v>0</v>
      </c>
      <c r="AZ663" s="160">
        <f t="shared" si="2859"/>
        <v>0</v>
      </c>
      <c r="BA663" s="160">
        <f t="shared" si="2859"/>
        <v>0</v>
      </c>
      <c r="BB663" s="160">
        <f t="shared" si="2859"/>
        <v>0</v>
      </c>
      <c r="BC663" s="160">
        <f t="shared" si="2859"/>
        <v>0</v>
      </c>
      <c r="BD663" s="160">
        <f t="shared" si="2859"/>
        <v>0</v>
      </c>
      <c r="BE663" s="160">
        <f t="shared" si="2859"/>
        <v>0</v>
      </c>
      <c r="BF663" s="160">
        <f t="shared" si="2859"/>
        <v>0</v>
      </c>
      <c r="BG663" s="160">
        <f t="shared" si="2859"/>
        <v>0</v>
      </c>
      <c r="BH663" s="160">
        <f t="shared" si="2859"/>
        <v>0</v>
      </c>
      <c r="BI663" s="160">
        <f t="shared" si="2859"/>
        <v>0</v>
      </c>
      <c r="BJ663" s="160">
        <f t="shared" si="2859"/>
        <v>0</v>
      </c>
      <c r="BK663" s="160">
        <f t="shared" si="2859"/>
        <v>0</v>
      </c>
      <c r="BL663" s="160">
        <f t="shared" si="2859"/>
        <v>0</v>
      </c>
      <c r="BM663" s="160">
        <f t="shared" ref="L663:BR664" si="2860">ROUND($I663*BM$201,2)</f>
        <v>0</v>
      </c>
      <c r="BN663" s="160">
        <f t="shared" si="2860"/>
        <v>0</v>
      </c>
      <c r="BO663" s="160">
        <f t="shared" si="2860"/>
        <v>0</v>
      </c>
      <c r="BP663" s="160">
        <f t="shared" si="2860"/>
        <v>0</v>
      </c>
      <c r="BQ663" s="160">
        <f t="shared" si="2860"/>
        <v>0</v>
      </c>
      <c r="BR663" s="160">
        <f t="shared" si="2860"/>
        <v>0</v>
      </c>
      <c r="BS663" s="65"/>
      <c r="BT663" s="160">
        <f t="shared" si="2722"/>
        <v>0</v>
      </c>
      <c r="BU663" s="160">
        <f t="shared" si="2723"/>
        <v>0</v>
      </c>
      <c r="BV663" s="65"/>
      <c r="BW663" s="69"/>
      <c r="BX663" s="65"/>
      <c r="BY663" s="137">
        <f t="shared" si="2724"/>
        <v>1</v>
      </c>
      <c r="BZ663" s="137">
        <f>IF(BY663&gt;0,BY663+LARGE($BZ$213:BZ662,1),0)</f>
        <v>379</v>
      </c>
      <c r="CA663" s="137" t="str">
        <f t="shared" si="2725"/>
        <v>EST_II</v>
      </c>
      <c r="CB663" s="161">
        <f t="shared" si="2726"/>
        <v>0</v>
      </c>
      <c r="CC663" s="161">
        <f t="shared" si="2727"/>
        <v>0</v>
      </c>
      <c r="CD663" s="161">
        <f t="shared" si="2728"/>
        <v>0</v>
      </c>
      <c r="CE663" s="161">
        <f t="shared" si="2729"/>
        <v>0</v>
      </c>
      <c r="CF663" s="161">
        <f t="shared" si="2730"/>
        <v>0</v>
      </c>
      <c r="CG663" s="161">
        <f t="shared" si="2731"/>
        <v>0</v>
      </c>
      <c r="CH663" s="161">
        <f t="shared" si="2732"/>
        <v>0</v>
      </c>
      <c r="CI663" s="161">
        <f t="shared" si="2733"/>
        <v>0</v>
      </c>
      <c r="CJ663" s="161">
        <f t="shared" si="2734"/>
        <v>0</v>
      </c>
      <c r="CK663" s="161">
        <f t="shared" si="2735"/>
        <v>0</v>
      </c>
      <c r="CL663" s="161">
        <f t="shared" si="2736"/>
        <v>0</v>
      </c>
      <c r="CM663" s="161">
        <f t="shared" si="2737"/>
        <v>0</v>
      </c>
      <c r="CN663" s="161">
        <f t="shared" si="2738"/>
        <v>0</v>
      </c>
      <c r="CO663" s="161">
        <f t="shared" si="2739"/>
        <v>0</v>
      </c>
      <c r="CP663" s="161">
        <f t="shared" si="2740"/>
        <v>0</v>
      </c>
      <c r="CQ663" s="161">
        <f t="shared" si="2741"/>
        <v>0</v>
      </c>
      <c r="CR663" s="161">
        <f t="shared" si="2742"/>
        <v>0</v>
      </c>
      <c r="CS663" s="161">
        <f t="shared" si="2743"/>
        <v>0</v>
      </c>
      <c r="CT663" s="161">
        <f t="shared" si="2744"/>
        <v>0</v>
      </c>
      <c r="CU663" s="161">
        <f t="shared" si="2745"/>
        <v>0</v>
      </c>
      <c r="CV663" s="161">
        <f t="shared" si="2746"/>
        <v>0</v>
      </c>
      <c r="CW663" s="161">
        <f t="shared" si="2747"/>
        <v>0</v>
      </c>
      <c r="CX663" s="161">
        <f t="shared" si="2748"/>
        <v>0</v>
      </c>
      <c r="CY663" s="161">
        <f t="shared" si="2749"/>
        <v>0</v>
      </c>
      <c r="CZ663" s="161">
        <f t="shared" si="2750"/>
        <v>0</v>
      </c>
      <c r="DA663" s="161">
        <f t="shared" si="2751"/>
        <v>0</v>
      </c>
      <c r="DB663" s="161">
        <f t="shared" si="2752"/>
        <v>0</v>
      </c>
      <c r="DC663" s="161">
        <f t="shared" si="2753"/>
        <v>0</v>
      </c>
      <c r="DD663" s="161">
        <f t="shared" si="2754"/>
        <v>0</v>
      </c>
      <c r="DE663" s="161">
        <f t="shared" si="2755"/>
        <v>0</v>
      </c>
      <c r="DF663" s="161">
        <f t="shared" si="2756"/>
        <v>0</v>
      </c>
      <c r="DG663" s="161">
        <f t="shared" si="2757"/>
        <v>0</v>
      </c>
      <c r="DH663" s="161">
        <f t="shared" si="2758"/>
        <v>0</v>
      </c>
      <c r="DI663" s="161">
        <f t="shared" si="2759"/>
        <v>0</v>
      </c>
      <c r="DJ663" s="161">
        <f t="shared" si="2760"/>
        <v>0</v>
      </c>
      <c r="DK663" s="161">
        <f t="shared" si="2761"/>
        <v>0</v>
      </c>
      <c r="DL663" s="161">
        <f t="shared" si="2762"/>
        <v>0</v>
      </c>
      <c r="DM663" s="161">
        <f t="shared" si="2763"/>
        <v>0</v>
      </c>
      <c r="DN663" s="161">
        <f t="shared" si="2764"/>
        <v>0</v>
      </c>
      <c r="DO663" s="161">
        <f t="shared" si="2765"/>
        <v>0</v>
      </c>
      <c r="DP663" s="161">
        <f t="shared" si="2766"/>
        <v>0</v>
      </c>
      <c r="DQ663" s="161">
        <f t="shared" si="2767"/>
        <v>0</v>
      </c>
      <c r="DR663" s="161">
        <f t="shared" si="2768"/>
        <v>0</v>
      </c>
      <c r="DS663" s="161">
        <f t="shared" si="2769"/>
        <v>0</v>
      </c>
      <c r="DT663" s="161">
        <f t="shared" si="2770"/>
        <v>0</v>
      </c>
      <c r="DU663" s="161">
        <f t="shared" si="2771"/>
        <v>0</v>
      </c>
      <c r="DV663" s="161">
        <f t="shared" si="2772"/>
        <v>0</v>
      </c>
      <c r="DW663" s="161">
        <f t="shared" si="2773"/>
        <v>0</v>
      </c>
      <c r="DX663" s="161">
        <f t="shared" si="2774"/>
        <v>0</v>
      </c>
      <c r="DY663" s="161">
        <f t="shared" si="2775"/>
        <v>0</v>
      </c>
      <c r="DZ663" s="161">
        <f t="shared" si="2776"/>
        <v>0</v>
      </c>
      <c r="EA663" s="161">
        <f t="shared" si="2777"/>
        <v>0</v>
      </c>
      <c r="EB663" s="161">
        <f t="shared" si="2778"/>
        <v>0</v>
      </c>
      <c r="EC663" s="161">
        <f t="shared" si="2779"/>
        <v>0</v>
      </c>
      <c r="ED663" s="161">
        <f t="shared" si="2780"/>
        <v>0</v>
      </c>
      <c r="EE663" s="161">
        <f t="shared" si="2781"/>
        <v>0</v>
      </c>
      <c r="EF663" s="161">
        <f t="shared" si="2782"/>
        <v>0</v>
      </c>
      <c r="EG663" s="161">
        <f t="shared" si="2783"/>
        <v>0</v>
      </c>
      <c r="EH663" s="161">
        <f t="shared" si="2784"/>
        <v>0</v>
      </c>
      <c r="EI663" s="161">
        <f t="shared" si="2785"/>
        <v>0</v>
      </c>
      <c r="EJ663" s="65"/>
      <c r="EK663" s="161">
        <f t="shared" si="2855"/>
        <v>0</v>
      </c>
      <c r="EL663" s="161">
        <f t="shared" si="2856"/>
        <v>0</v>
      </c>
      <c r="EM663" s="161">
        <f t="shared" si="2857"/>
        <v>0</v>
      </c>
    </row>
    <row r="664" spans="1:143" ht="12" hidden="1" customHeight="1" outlineLevel="2">
      <c r="A664" s="77">
        <v>20</v>
      </c>
      <c r="B664" s="137" t="str">
        <f t="shared" si="2786"/>
        <v>EST_III - Equipe_01</v>
      </c>
      <c r="C664" s="65"/>
      <c r="D664" s="623"/>
      <c r="E664" s="65"/>
      <c r="F664" s="603"/>
      <c r="G664" s="77" t="str">
        <f>IF(INDEX(Tarefas!$BT$30:$FK$30,MATCH(A664,Tarefas!$BT$28:$FK$28,0))=0,"",INDEX(Tarefas!$BT$30:$FK$30,MATCH(A664,Tarefas!$BT$28:$FK$28,0)))</f>
        <v>EST_III</v>
      </c>
      <c r="H664" s="107" cm="1">
        <f t="array" ref="H664">IFERROR((SUMPRODUCT((Tarefas!$N$32:$N$54='Cronog. e Histog.'!$F$645)*(Tarefas!$BQ$30:$FK$30='Cronog. e Histog.'!$G664)*(Tarefas!$BQ$32:$FK$54)))/SUMIF(Tarefas!$N$32:$N$54,'Cronog. e Histog.'!$F$645,Tarefas!$K$32:$K$54),0)</f>
        <v>0</v>
      </c>
      <c r="I664" s="79">
        <f t="shared" si="2787"/>
        <v>0</v>
      </c>
      <c r="J664" s="65"/>
      <c r="K664" s="160">
        <f t="shared" si="2720"/>
        <v>0</v>
      </c>
      <c r="L664" s="160">
        <f t="shared" si="2860"/>
        <v>0</v>
      </c>
      <c r="M664" s="160">
        <f t="shared" si="2860"/>
        <v>0</v>
      </c>
      <c r="N664" s="160">
        <f t="shared" si="2860"/>
        <v>0</v>
      </c>
      <c r="O664" s="160">
        <f t="shared" si="2860"/>
        <v>0</v>
      </c>
      <c r="P664" s="160">
        <f t="shared" si="2860"/>
        <v>0</v>
      </c>
      <c r="Q664" s="160">
        <f t="shared" si="2860"/>
        <v>0</v>
      </c>
      <c r="R664" s="160">
        <f t="shared" si="2860"/>
        <v>0</v>
      </c>
      <c r="S664" s="160">
        <f t="shared" si="2860"/>
        <v>0</v>
      </c>
      <c r="T664" s="160">
        <f t="shared" si="2860"/>
        <v>0</v>
      </c>
      <c r="U664" s="160">
        <f t="shared" si="2860"/>
        <v>0</v>
      </c>
      <c r="V664" s="160">
        <f t="shared" si="2860"/>
        <v>0</v>
      </c>
      <c r="W664" s="160">
        <f t="shared" si="2860"/>
        <v>0</v>
      </c>
      <c r="X664" s="160">
        <f t="shared" si="2860"/>
        <v>0</v>
      </c>
      <c r="Y664" s="160">
        <f t="shared" si="2860"/>
        <v>0</v>
      </c>
      <c r="Z664" s="160">
        <f t="shared" si="2860"/>
        <v>0</v>
      </c>
      <c r="AA664" s="160">
        <f t="shared" si="2860"/>
        <v>0</v>
      </c>
      <c r="AB664" s="160">
        <f t="shared" si="2860"/>
        <v>0</v>
      </c>
      <c r="AC664" s="160">
        <f t="shared" si="2860"/>
        <v>0</v>
      </c>
      <c r="AD664" s="160">
        <f t="shared" si="2860"/>
        <v>0</v>
      </c>
      <c r="AE664" s="160">
        <f t="shared" si="2860"/>
        <v>0</v>
      </c>
      <c r="AF664" s="160">
        <f t="shared" si="2860"/>
        <v>0</v>
      </c>
      <c r="AG664" s="160">
        <f t="shared" si="2860"/>
        <v>0</v>
      </c>
      <c r="AH664" s="160">
        <f t="shared" si="2860"/>
        <v>0</v>
      </c>
      <c r="AI664" s="160">
        <f t="shared" si="2860"/>
        <v>0</v>
      </c>
      <c r="AJ664" s="160">
        <f t="shared" si="2860"/>
        <v>0</v>
      </c>
      <c r="AK664" s="160">
        <f t="shared" si="2860"/>
        <v>0</v>
      </c>
      <c r="AL664" s="160">
        <f t="shared" si="2860"/>
        <v>0</v>
      </c>
      <c r="AM664" s="160">
        <f t="shared" si="2860"/>
        <v>0</v>
      </c>
      <c r="AN664" s="160">
        <f t="shared" si="2860"/>
        <v>0</v>
      </c>
      <c r="AO664" s="160">
        <f t="shared" si="2860"/>
        <v>0</v>
      </c>
      <c r="AP664" s="160">
        <f t="shared" si="2860"/>
        <v>0</v>
      </c>
      <c r="AQ664" s="160">
        <f t="shared" si="2860"/>
        <v>0</v>
      </c>
      <c r="AR664" s="160">
        <f t="shared" si="2860"/>
        <v>0</v>
      </c>
      <c r="AS664" s="160">
        <f t="shared" si="2860"/>
        <v>0</v>
      </c>
      <c r="AT664" s="160">
        <f t="shared" si="2860"/>
        <v>0</v>
      </c>
      <c r="AU664" s="160">
        <f t="shared" si="2860"/>
        <v>0</v>
      </c>
      <c r="AV664" s="160">
        <f t="shared" si="2860"/>
        <v>0</v>
      </c>
      <c r="AW664" s="160">
        <f t="shared" si="2860"/>
        <v>0</v>
      </c>
      <c r="AX664" s="160">
        <f t="shared" si="2860"/>
        <v>0</v>
      </c>
      <c r="AY664" s="160">
        <f t="shared" si="2860"/>
        <v>0</v>
      </c>
      <c r="AZ664" s="160">
        <f t="shared" si="2860"/>
        <v>0</v>
      </c>
      <c r="BA664" s="160">
        <f t="shared" si="2860"/>
        <v>0</v>
      </c>
      <c r="BB664" s="160">
        <f t="shared" si="2860"/>
        <v>0</v>
      </c>
      <c r="BC664" s="160">
        <f t="shared" si="2860"/>
        <v>0</v>
      </c>
      <c r="BD664" s="160">
        <f t="shared" si="2860"/>
        <v>0</v>
      </c>
      <c r="BE664" s="160">
        <f t="shared" si="2860"/>
        <v>0</v>
      </c>
      <c r="BF664" s="160">
        <f t="shared" si="2860"/>
        <v>0</v>
      </c>
      <c r="BG664" s="160">
        <f t="shared" si="2860"/>
        <v>0</v>
      </c>
      <c r="BH664" s="160">
        <f t="shared" si="2860"/>
        <v>0</v>
      </c>
      <c r="BI664" s="160">
        <f t="shared" si="2860"/>
        <v>0</v>
      </c>
      <c r="BJ664" s="160">
        <f t="shared" si="2860"/>
        <v>0</v>
      </c>
      <c r="BK664" s="160">
        <f t="shared" si="2860"/>
        <v>0</v>
      </c>
      <c r="BL664" s="160">
        <f t="shared" si="2860"/>
        <v>0</v>
      </c>
      <c r="BM664" s="160">
        <f t="shared" si="2860"/>
        <v>0</v>
      </c>
      <c r="BN664" s="160">
        <f t="shared" si="2860"/>
        <v>0</v>
      </c>
      <c r="BO664" s="160">
        <f t="shared" si="2860"/>
        <v>0</v>
      </c>
      <c r="BP664" s="160">
        <f t="shared" si="2860"/>
        <v>0</v>
      </c>
      <c r="BQ664" s="160">
        <f t="shared" si="2860"/>
        <v>0</v>
      </c>
      <c r="BR664" s="160">
        <f t="shared" si="2860"/>
        <v>0</v>
      </c>
      <c r="BS664" s="65"/>
      <c r="BT664" s="160">
        <f t="shared" si="2722"/>
        <v>0</v>
      </c>
      <c r="BU664" s="160">
        <f t="shared" si="2723"/>
        <v>0</v>
      </c>
      <c r="BV664" s="65"/>
      <c r="BW664" s="69"/>
      <c r="BX664" s="65"/>
      <c r="BY664" s="137">
        <f t="shared" si="2724"/>
        <v>1</v>
      </c>
      <c r="BZ664" s="137">
        <f>IF(BY664&gt;0,BY664+LARGE($BZ$213:BZ663,1),0)</f>
        <v>380</v>
      </c>
      <c r="CA664" s="137" t="str">
        <f t="shared" si="2725"/>
        <v>EST_III</v>
      </c>
      <c r="CB664" s="161">
        <f t="shared" si="2726"/>
        <v>0</v>
      </c>
      <c r="CC664" s="161">
        <f t="shared" si="2727"/>
        <v>0</v>
      </c>
      <c r="CD664" s="161">
        <f t="shared" si="2728"/>
        <v>0</v>
      </c>
      <c r="CE664" s="161">
        <f t="shared" si="2729"/>
        <v>0</v>
      </c>
      <c r="CF664" s="161">
        <f t="shared" si="2730"/>
        <v>0</v>
      </c>
      <c r="CG664" s="161">
        <f t="shared" si="2731"/>
        <v>0</v>
      </c>
      <c r="CH664" s="161">
        <f t="shared" si="2732"/>
        <v>0</v>
      </c>
      <c r="CI664" s="161">
        <f t="shared" si="2733"/>
        <v>0</v>
      </c>
      <c r="CJ664" s="161">
        <f t="shared" si="2734"/>
        <v>0</v>
      </c>
      <c r="CK664" s="161">
        <f t="shared" si="2735"/>
        <v>0</v>
      </c>
      <c r="CL664" s="161">
        <f t="shared" si="2736"/>
        <v>0</v>
      </c>
      <c r="CM664" s="161">
        <f t="shared" si="2737"/>
        <v>0</v>
      </c>
      <c r="CN664" s="161">
        <f t="shared" si="2738"/>
        <v>0</v>
      </c>
      <c r="CO664" s="161">
        <f t="shared" si="2739"/>
        <v>0</v>
      </c>
      <c r="CP664" s="161">
        <f t="shared" si="2740"/>
        <v>0</v>
      </c>
      <c r="CQ664" s="161">
        <f t="shared" si="2741"/>
        <v>0</v>
      </c>
      <c r="CR664" s="161">
        <f t="shared" si="2742"/>
        <v>0</v>
      </c>
      <c r="CS664" s="161">
        <f t="shared" si="2743"/>
        <v>0</v>
      </c>
      <c r="CT664" s="161">
        <f t="shared" si="2744"/>
        <v>0</v>
      </c>
      <c r="CU664" s="161">
        <f t="shared" si="2745"/>
        <v>0</v>
      </c>
      <c r="CV664" s="161">
        <f t="shared" si="2746"/>
        <v>0</v>
      </c>
      <c r="CW664" s="161">
        <f t="shared" si="2747"/>
        <v>0</v>
      </c>
      <c r="CX664" s="161">
        <f t="shared" si="2748"/>
        <v>0</v>
      </c>
      <c r="CY664" s="161">
        <f t="shared" si="2749"/>
        <v>0</v>
      </c>
      <c r="CZ664" s="161">
        <f t="shared" si="2750"/>
        <v>0</v>
      </c>
      <c r="DA664" s="161">
        <f t="shared" si="2751"/>
        <v>0</v>
      </c>
      <c r="DB664" s="161">
        <f t="shared" si="2752"/>
        <v>0</v>
      </c>
      <c r="DC664" s="161">
        <f t="shared" si="2753"/>
        <v>0</v>
      </c>
      <c r="DD664" s="161">
        <f t="shared" si="2754"/>
        <v>0</v>
      </c>
      <c r="DE664" s="161">
        <f t="shared" si="2755"/>
        <v>0</v>
      </c>
      <c r="DF664" s="161">
        <f t="shared" si="2756"/>
        <v>0</v>
      </c>
      <c r="DG664" s="161">
        <f t="shared" si="2757"/>
        <v>0</v>
      </c>
      <c r="DH664" s="161">
        <f t="shared" si="2758"/>
        <v>0</v>
      </c>
      <c r="DI664" s="161">
        <f t="shared" si="2759"/>
        <v>0</v>
      </c>
      <c r="DJ664" s="161">
        <f t="shared" si="2760"/>
        <v>0</v>
      </c>
      <c r="DK664" s="161">
        <f t="shared" si="2761"/>
        <v>0</v>
      </c>
      <c r="DL664" s="161">
        <f t="shared" si="2762"/>
        <v>0</v>
      </c>
      <c r="DM664" s="161">
        <f t="shared" si="2763"/>
        <v>0</v>
      </c>
      <c r="DN664" s="161">
        <f t="shared" si="2764"/>
        <v>0</v>
      </c>
      <c r="DO664" s="161">
        <f t="shared" si="2765"/>
        <v>0</v>
      </c>
      <c r="DP664" s="161">
        <f t="shared" si="2766"/>
        <v>0</v>
      </c>
      <c r="DQ664" s="161">
        <f t="shared" si="2767"/>
        <v>0</v>
      </c>
      <c r="DR664" s="161">
        <f t="shared" si="2768"/>
        <v>0</v>
      </c>
      <c r="DS664" s="161">
        <f t="shared" si="2769"/>
        <v>0</v>
      </c>
      <c r="DT664" s="161">
        <f t="shared" si="2770"/>
        <v>0</v>
      </c>
      <c r="DU664" s="161">
        <f t="shared" si="2771"/>
        <v>0</v>
      </c>
      <c r="DV664" s="161">
        <f t="shared" si="2772"/>
        <v>0</v>
      </c>
      <c r="DW664" s="161">
        <f t="shared" si="2773"/>
        <v>0</v>
      </c>
      <c r="DX664" s="161">
        <f t="shared" si="2774"/>
        <v>0</v>
      </c>
      <c r="DY664" s="161">
        <f t="shared" si="2775"/>
        <v>0</v>
      </c>
      <c r="DZ664" s="161">
        <f t="shared" si="2776"/>
        <v>0</v>
      </c>
      <c r="EA664" s="161">
        <f t="shared" si="2777"/>
        <v>0</v>
      </c>
      <c r="EB664" s="161">
        <f t="shared" si="2778"/>
        <v>0</v>
      </c>
      <c r="EC664" s="161">
        <f t="shared" si="2779"/>
        <v>0</v>
      </c>
      <c r="ED664" s="161">
        <f t="shared" si="2780"/>
        <v>0</v>
      </c>
      <c r="EE664" s="161">
        <f t="shared" si="2781"/>
        <v>0</v>
      </c>
      <c r="EF664" s="161">
        <f t="shared" si="2782"/>
        <v>0</v>
      </c>
      <c r="EG664" s="161">
        <f t="shared" si="2783"/>
        <v>0</v>
      </c>
      <c r="EH664" s="161">
        <f t="shared" si="2784"/>
        <v>0</v>
      </c>
      <c r="EI664" s="161">
        <f t="shared" si="2785"/>
        <v>0</v>
      </c>
      <c r="EJ664" s="65"/>
      <c r="EK664" s="161">
        <f t="shared" si="2855"/>
        <v>0</v>
      </c>
      <c r="EL664" s="161">
        <f t="shared" si="2856"/>
        <v>0</v>
      </c>
      <c r="EM664" s="161">
        <f t="shared" si="2857"/>
        <v>0</v>
      </c>
    </row>
    <row r="665" spans="1:143" ht="12" hidden="1" customHeight="1" outlineLevel="1">
      <c r="B665" s="65"/>
      <c r="C665" s="65"/>
      <c r="D665" s="65"/>
      <c r="E665" s="65"/>
      <c r="F665" s="470" t="s">
        <v>380</v>
      </c>
      <c r="G665" s="162" t="str">
        <f>"Pico = "&amp;MAX(K665:BR665)</f>
        <v>Pico = 0,05</v>
      </c>
      <c r="H665" s="163">
        <f>SUM(H645:H664)</f>
        <v>1</v>
      </c>
      <c r="I665" s="148">
        <f>SUM(I645:I664)</f>
        <v>1</v>
      </c>
      <c r="J665" s="65"/>
      <c r="K665" s="146">
        <f>SUM(K645:K664)</f>
        <v>0.05</v>
      </c>
      <c r="L665" s="146">
        <f t="shared" ref="L665:BR665" si="2861">SUM(L645:L664)</f>
        <v>0.05</v>
      </c>
      <c r="M665" s="146">
        <f t="shared" si="2861"/>
        <v>0.05</v>
      </c>
      <c r="N665" s="146">
        <f t="shared" si="2861"/>
        <v>0.05</v>
      </c>
      <c r="O665" s="146">
        <f t="shared" si="2861"/>
        <v>0.05</v>
      </c>
      <c r="P665" s="146">
        <f t="shared" si="2861"/>
        <v>0.05</v>
      </c>
      <c r="Q665" s="146">
        <f t="shared" si="2861"/>
        <v>0.05</v>
      </c>
      <c r="R665" s="146">
        <f t="shared" si="2861"/>
        <v>0.05</v>
      </c>
      <c r="S665" s="146">
        <f t="shared" si="2861"/>
        <v>0.05</v>
      </c>
      <c r="T665" s="146">
        <f t="shared" si="2861"/>
        <v>0.05</v>
      </c>
      <c r="U665" s="146">
        <f t="shared" si="2861"/>
        <v>0</v>
      </c>
      <c r="V665" s="146">
        <f t="shared" si="2861"/>
        <v>0</v>
      </c>
      <c r="W665" s="146">
        <f t="shared" si="2861"/>
        <v>0</v>
      </c>
      <c r="X665" s="146">
        <f t="shared" si="2861"/>
        <v>0</v>
      </c>
      <c r="Y665" s="146">
        <f t="shared" si="2861"/>
        <v>0</v>
      </c>
      <c r="Z665" s="146">
        <f t="shared" si="2861"/>
        <v>0</v>
      </c>
      <c r="AA665" s="146">
        <f t="shared" si="2861"/>
        <v>0</v>
      </c>
      <c r="AB665" s="146">
        <f t="shared" si="2861"/>
        <v>0</v>
      </c>
      <c r="AC665" s="146">
        <f t="shared" si="2861"/>
        <v>0</v>
      </c>
      <c r="AD665" s="146">
        <f t="shared" si="2861"/>
        <v>0</v>
      </c>
      <c r="AE665" s="146">
        <f t="shared" si="2861"/>
        <v>0</v>
      </c>
      <c r="AF665" s="146">
        <f t="shared" si="2861"/>
        <v>0</v>
      </c>
      <c r="AG665" s="146">
        <f t="shared" si="2861"/>
        <v>0</v>
      </c>
      <c r="AH665" s="146">
        <f t="shared" si="2861"/>
        <v>0</v>
      </c>
      <c r="AI665" s="146">
        <f t="shared" si="2861"/>
        <v>0</v>
      </c>
      <c r="AJ665" s="146">
        <f t="shared" si="2861"/>
        <v>0</v>
      </c>
      <c r="AK665" s="146">
        <f t="shared" si="2861"/>
        <v>0</v>
      </c>
      <c r="AL665" s="146">
        <f t="shared" si="2861"/>
        <v>0</v>
      </c>
      <c r="AM665" s="146">
        <f t="shared" si="2861"/>
        <v>0</v>
      </c>
      <c r="AN665" s="146">
        <f t="shared" si="2861"/>
        <v>0</v>
      </c>
      <c r="AO665" s="146">
        <f t="shared" si="2861"/>
        <v>0</v>
      </c>
      <c r="AP665" s="146">
        <f t="shared" si="2861"/>
        <v>0</v>
      </c>
      <c r="AQ665" s="146">
        <f t="shared" si="2861"/>
        <v>0</v>
      </c>
      <c r="AR665" s="146">
        <f t="shared" si="2861"/>
        <v>0</v>
      </c>
      <c r="AS665" s="146">
        <f t="shared" si="2861"/>
        <v>0</v>
      </c>
      <c r="AT665" s="146">
        <f t="shared" si="2861"/>
        <v>0</v>
      </c>
      <c r="AU665" s="146">
        <f t="shared" si="2861"/>
        <v>0</v>
      </c>
      <c r="AV665" s="146">
        <f t="shared" si="2861"/>
        <v>0</v>
      </c>
      <c r="AW665" s="146">
        <f t="shared" si="2861"/>
        <v>0</v>
      </c>
      <c r="AX665" s="146">
        <f t="shared" si="2861"/>
        <v>0</v>
      </c>
      <c r="AY665" s="146">
        <f t="shared" si="2861"/>
        <v>0</v>
      </c>
      <c r="AZ665" s="146">
        <f t="shared" si="2861"/>
        <v>0</v>
      </c>
      <c r="BA665" s="146">
        <f t="shared" si="2861"/>
        <v>0</v>
      </c>
      <c r="BB665" s="146">
        <f t="shared" si="2861"/>
        <v>0</v>
      </c>
      <c r="BC665" s="146">
        <f t="shared" si="2861"/>
        <v>0</v>
      </c>
      <c r="BD665" s="146">
        <f t="shared" si="2861"/>
        <v>0</v>
      </c>
      <c r="BE665" s="146">
        <f t="shared" si="2861"/>
        <v>0</v>
      </c>
      <c r="BF665" s="146">
        <f t="shared" si="2861"/>
        <v>0</v>
      </c>
      <c r="BG665" s="146">
        <f t="shared" si="2861"/>
        <v>0</v>
      </c>
      <c r="BH665" s="146">
        <f t="shared" si="2861"/>
        <v>0</v>
      </c>
      <c r="BI665" s="146">
        <f t="shared" si="2861"/>
        <v>0</v>
      </c>
      <c r="BJ665" s="146">
        <f t="shared" si="2861"/>
        <v>0</v>
      </c>
      <c r="BK665" s="146">
        <f t="shared" si="2861"/>
        <v>0</v>
      </c>
      <c r="BL665" s="146">
        <f t="shared" si="2861"/>
        <v>0</v>
      </c>
      <c r="BM665" s="146">
        <f t="shared" si="2861"/>
        <v>0</v>
      </c>
      <c r="BN665" s="146">
        <f t="shared" si="2861"/>
        <v>0</v>
      </c>
      <c r="BO665" s="146">
        <f t="shared" si="2861"/>
        <v>0</v>
      </c>
      <c r="BP665" s="146">
        <f t="shared" si="2861"/>
        <v>0</v>
      </c>
      <c r="BQ665" s="146">
        <f t="shared" si="2861"/>
        <v>0</v>
      </c>
      <c r="BR665" s="146">
        <f t="shared" si="2861"/>
        <v>0</v>
      </c>
      <c r="BS665" s="65"/>
      <c r="BT665" s="146">
        <f t="shared" ref="BT665" si="2862">SUM(BT645:BT664)</f>
        <v>4.9999999999999996E-2</v>
      </c>
      <c r="BU665" s="65"/>
      <c r="BV665" s="65"/>
      <c r="BW665" s="69"/>
      <c r="BX665" s="65"/>
      <c r="BY665" s="65"/>
      <c r="BZ665" s="65"/>
      <c r="CA665" s="65"/>
      <c r="CB665" s="65"/>
      <c r="CC665" s="65"/>
      <c r="CD665" s="65"/>
      <c r="CE665" s="65"/>
      <c r="CF665" s="65"/>
      <c r="CG665" s="65"/>
      <c r="CH665" s="65"/>
      <c r="CI665" s="65"/>
      <c r="CJ665" s="65"/>
      <c r="CK665" s="65"/>
      <c r="CL665" s="65"/>
      <c r="CM665" s="65"/>
      <c r="CN665" s="65"/>
      <c r="CO665" s="65"/>
      <c r="CP665" s="65"/>
      <c r="CQ665" s="65"/>
      <c r="CR665" s="65"/>
      <c r="CS665" s="65"/>
      <c r="CT665" s="65"/>
      <c r="CU665" s="65"/>
      <c r="CV665" s="65"/>
      <c r="CW665" s="65"/>
      <c r="CX665" s="65"/>
      <c r="CY665" s="65"/>
      <c r="CZ665" s="65"/>
      <c r="DA665" s="65"/>
      <c r="DB665" s="65"/>
      <c r="DC665" s="65"/>
      <c r="DD665" s="65"/>
      <c r="DE665" s="65"/>
      <c r="DF665" s="65"/>
      <c r="DG665" s="65"/>
      <c r="DH665" s="65"/>
      <c r="DI665" s="65"/>
      <c r="DJ665" s="65"/>
      <c r="DK665" s="65"/>
      <c r="DL665" s="65"/>
      <c r="DM665" s="65"/>
      <c r="DN665" s="65"/>
      <c r="DO665" s="65"/>
      <c r="DP665" s="65"/>
      <c r="DQ665" s="65"/>
      <c r="DR665" s="65"/>
      <c r="DS665" s="65"/>
      <c r="DT665" s="65"/>
      <c r="DU665" s="65"/>
      <c r="DV665" s="65"/>
      <c r="DW665" s="65"/>
      <c r="DX665" s="65"/>
      <c r="DY665" s="65"/>
      <c r="DZ665" s="65"/>
      <c r="EA665" s="65"/>
      <c r="EB665" s="65"/>
      <c r="EC665" s="65"/>
      <c r="ED665" s="65"/>
      <c r="EE665" s="65"/>
      <c r="EF665" s="65"/>
      <c r="EG665" s="65"/>
      <c r="EH665" s="65"/>
      <c r="EI665" s="65"/>
      <c r="EJ665" s="65"/>
      <c r="EK665" s="65"/>
      <c r="EL665" s="65"/>
      <c r="EM665" s="65"/>
    </row>
    <row r="666" spans="1:143" ht="12" hidden="1" customHeight="1" outlineLevel="1"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  <c r="BE666" s="65"/>
      <c r="BF666" s="65"/>
      <c r="BG666" s="65"/>
      <c r="BH666" s="65"/>
      <c r="BI666" s="65"/>
      <c r="BJ666" s="65"/>
      <c r="BK666" s="65"/>
      <c r="BL666" s="65"/>
      <c r="BM666" s="65"/>
      <c r="BN666" s="65"/>
      <c r="BO666" s="65"/>
      <c r="BP666" s="65"/>
      <c r="BQ666" s="65"/>
      <c r="BR666" s="65"/>
      <c r="BS666" s="65"/>
      <c r="BT666" s="65"/>
      <c r="BU666" s="65"/>
      <c r="BV666" s="65"/>
      <c r="BW666" s="69"/>
      <c r="BX666" s="65"/>
      <c r="BY666" s="65"/>
      <c r="BZ666" s="65"/>
      <c r="CA666" s="65"/>
      <c r="CB666" s="65"/>
      <c r="CC666" s="65"/>
      <c r="CD666" s="65"/>
      <c r="CE666" s="65"/>
      <c r="CF666" s="65"/>
      <c r="CG666" s="65"/>
      <c r="CH666" s="65"/>
      <c r="CI666" s="65"/>
      <c r="CJ666" s="65"/>
      <c r="CK666" s="65"/>
      <c r="CL666" s="65"/>
      <c r="CM666" s="65"/>
      <c r="CN666" s="65"/>
      <c r="CO666" s="65"/>
      <c r="CP666" s="65"/>
      <c r="CQ666" s="65"/>
      <c r="CR666" s="65"/>
      <c r="CS666" s="65"/>
      <c r="CT666" s="65"/>
      <c r="CU666" s="65"/>
      <c r="CV666" s="65"/>
      <c r="CW666" s="65"/>
      <c r="CX666" s="65"/>
      <c r="CY666" s="65"/>
      <c r="CZ666" s="65"/>
      <c r="DA666" s="65"/>
      <c r="DB666" s="65"/>
      <c r="DC666" s="65"/>
      <c r="DD666" s="65"/>
      <c r="DE666" s="65"/>
      <c r="DF666" s="65"/>
      <c r="DG666" s="65"/>
      <c r="DH666" s="65"/>
      <c r="DI666" s="65"/>
      <c r="DJ666" s="65"/>
      <c r="DK666" s="65"/>
      <c r="DL666" s="65"/>
      <c r="DM666" s="65"/>
      <c r="DN666" s="65"/>
      <c r="DO666" s="65"/>
      <c r="DP666" s="65"/>
      <c r="DQ666" s="65"/>
      <c r="DR666" s="65"/>
      <c r="DS666" s="65"/>
      <c r="DT666" s="65"/>
      <c r="DU666" s="65"/>
      <c r="DV666" s="65"/>
      <c r="DW666" s="65"/>
      <c r="DX666" s="65"/>
      <c r="DY666" s="65"/>
      <c r="DZ666" s="65"/>
      <c r="EA666" s="65"/>
      <c r="EB666" s="65"/>
      <c r="EC666" s="65"/>
      <c r="ED666" s="65"/>
      <c r="EE666" s="65"/>
      <c r="EF666" s="65"/>
      <c r="EG666" s="65"/>
      <c r="EH666" s="65"/>
      <c r="EI666" s="65"/>
      <c r="EJ666" s="65"/>
      <c r="EK666" s="65"/>
      <c r="EL666" s="65"/>
      <c r="EM666" s="65"/>
    </row>
    <row r="667" spans="1:143" ht="24" hidden="1" customHeight="1" outlineLevel="1">
      <c r="B667" s="593" t="s">
        <v>395</v>
      </c>
      <c r="C667" s="65"/>
      <c r="D667" s="65"/>
      <c r="E667" s="65"/>
      <c r="F667" s="471" t="str">
        <f>IF($G$70&gt;0,$G$70,"")</f>
        <v>Equipe20</v>
      </c>
      <c r="G667" s="471"/>
      <c r="H667" s="471"/>
      <c r="I667" s="471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  <c r="BD667" s="65"/>
      <c r="BE667" s="65"/>
      <c r="BF667" s="65"/>
      <c r="BG667" s="65"/>
      <c r="BH667" s="65"/>
      <c r="BI667" s="65"/>
      <c r="BJ667" s="65"/>
      <c r="BK667" s="65"/>
      <c r="BL667" s="65"/>
      <c r="BM667" s="65"/>
      <c r="BN667" s="65"/>
      <c r="BO667" s="65"/>
      <c r="BP667" s="65"/>
      <c r="BQ667" s="65"/>
      <c r="BR667" s="65"/>
      <c r="BS667" s="65"/>
      <c r="BT667" s="601" t="s">
        <v>396</v>
      </c>
      <c r="BU667" s="601" t="s">
        <v>397</v>
      </c>
      <c r="BV667" s="65"/>
      <c r="BW667" s="69"/>
      <c r="BX667" s="65"/>
      <c r="BY667" s="593" t="s">
        <v>398</v>
      </c>
      <c r="BZ667" s="593" t="s">
        <v>399</v>
      </c>
      <c r="CA667" s="593" t="s">
        <v>400</v>
      </c>
      <c r="CB667" s="592" t="s">
        <v>401</v>
      </c>
      <c r="CC667" s="592" t="s">
        <v>402</v>
      </c>
      <c r="CD667" s="592" t="s">
        <v>403</v>
      </c>
      <c r="CE667" s="592" t="s">
        <v>404</v>
      </c>
      <c r="CF667" s="592" t="s">
        <v>405</v>
      </c>
      <c r="CG667" s="592" t="s">
        <v>406</v>
      </c>
      <c r="CH667" s="592" t="s">
        <v>407</v>
      </c>
      <c r="CI667" s="592" t="s">
        <v>408</v>
      </c>
      <c r="CJ667" s="592" t="s">
        <v>409</v>
      </c>
      <c r="CK667" s="592" t="s">
        <v>410</v>
      </c>
      <c r="CL667" s="592" t="s">
        <v>411</v>
      </c>
      <c r="CM667" s="592" t="s">
        <v>412</v>
      </c>
      <c r="CN667" s="592" t="s">
        <v>413</v>
      </c>
      <c r="CO667" s="592" t="s">
        <v>414</v>
      </c>
      <c r="CP667" s="592" t="s">
        <v>415</v>
      </c>
      <c r="CQ667" s="592" t="s">
        <v>416</v>
      </c>
      <c r="CR667" s="592" t="s">
        <v>417</v>
      </c>
      <c r="CS667" s="592" t="s">
        <v>418</v>
      </c>
      <c r="CT667" s="592" t="s">
        <v>419</v>
      </c>
      <c r="CU667" s="592" t="s">
        <v>420</v>
      </c>
      <c r="CV667" s="592" t="s">
        <v>421</v>
      </c>
      <c r="CW667" s="592" t="s">
        <v>422</v>
      </c>
      <c r="CX667" s="592" t="s">
        <v>423</v>
      </c>
      <c r="CY667" s="592" t="s">
        <v>424</v>
      </c>
      <c r="CZ667" s="592" t="s">
        <v>425</v>
      </c>
      <c r="DA667" s="592" t="s">
        <v>426</v>
      </c>
      <c r="DB667" s="592" t="s">
        <v>427</v>
      </c>
      <c r="DC667" s="592" t="s">
        <v>428</v>
      </c>
      <c r="DD667" s="592" t="s">
        <v>429</v>
      </c>
      <c r="DE667" s="592" t="s">
        <v>430</v>
      </c>
      <c r="DF667" s="592" t="s">
        <v>431</v>
      </c>
      <c r="DG667" s="592" t="s">
        <v>432</v>
      </c>
      <c r="DH667" s="592" t="s">
        <v>433</v>
      </c>
      <c r="DI667" s="592" t="s">
        <v>434</v>
      </c>
      <c r="DJ667" s="592" t="s">
        <v>435</v>
      </c>
      <c r="DK667" s="592" t="s">
        <v>436</v>
      </c>
      <c r="DL667" s="592" t="s">
        <v>437</v>
      </c>
      <c r="DM667" s="592" t="s">
        <v>438</v>
      </c>
      <c r="DN667" s="592" t="s">
        <v>439</v>
      </c>
      <c r="DO667" s="592" t="s">
        <v>440</v>
      </c>
      <c r="DP667" s="592" t="s">
        <v>441</v>
      </c>
      <c r="DQ667" s="592" t="s">
        <v>442</v>
      </c>
      <c r="DR667" s="592" t="s">
        <v>443</v>
      </c>
      <c r="DS667" s="592" t="s">
        <v>444</v>
      </c>
      <c r="DT667" s="592" t="s">
        <v>445</v>
      </c>
      <c r="DU667" s="592" t="s">
        <v>446</v>
      </c>
      <c r="DV667" s="592" t="s">
        <v>447</v>
      </c>
      <c r="DW667" s="592" t="s">
        <v>448</v>
      </c>
      <c r="DX667" s="592" t="s">
        <v>449</v>
      </c>
      <c r="DY667" s="592" t="s">
        <v>450</v>
      </c>
      <c r="DZ667" s="592" t="s">
        <v>451</v>
      </c>
      <c r="EA667" s="592" t="s">
        <v>452</v>
      </c>
      <c r="EB667" s="592" t="s">
        <v>453</v>
      </c>
      <c r="EC667" s="592" t="s">
        <v>454</v>
      </c>
      <c r="ED667" s="592" t="s">
        <v>455</v>
      </c>
      <c r="EE667" s="592" t="s">
        <v>456</v>
      </c>
      <c r="EF667" s="592" t="s">
        <v>457</v>
      </c>
      <c r="EG667" s="592" t="s">
        <v>458</v>
      </c>
      <c r="EH667" s="592" t="s">
        <v>459</v>
      </c>
      <c r="EI667" s="592" t="s">
        <v>460</v>
      </c>
      <c r="EJ667" s="65"/>
      <c r="EK667" s="157" t="s">
        <v>376</v>
      </c>
      <c r="EL667" s="157" t="s">
        <v>461</v>
      </c>
      <c r="EM667" s="157" t="s">
        <v>383</v>
      </c>
    </row>
    <row r="668" spans="1:143" ht="12" hidden="1" customHeight="1" outlineLevel="1" collapsed="1">
      <c r="B668" s="593"/>
      <c r="C668" s="65"/>
      <c r="D668" s="65"/>
      <c r="E668" s="65"/>
      <c r="F668" s="158" t="s">
        <v>198</v>
      </c>
      <c r="G668" s="158" t="s">
        <v>462</v>
      </c>
      <c r="H668" s="158" t="s">
        <v>255</v>
      </c>
      <c r="I668" s="158" t="s">
        <v>68</v>
      </c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  <c r="BE668" s="65"/>
      <c r="BF668" s="65"/>
      <c r="BG668" s="65"/>
      <c r="BH668" s="65"/>
      <c r="BI668" s="65"/>
      <c r="BJ668" s="65"/>
      <c r="BK668" s="65"/>
      <c r="BL668" s="65"/>
      <c r="BM668" s="65"/>
      <c r="BN668" s="65"/>
      <c r="BO668" s="65"/>
      <c r="BP668" s="65"/>
      <c r="BQ668" s="65"/>
      <c r="BR668" s="65"/>
      <c r="BS668" s="65"/>
      <c r="BT668" s="602"/>
      <c r="BU668" s="602"/>
      <c r="BV668" s="65"/>
      <c r="BW668" s="69"/>
      <c r="BX668" s="65"/>
      <c r="BY668" s="593"/>
      <c r="BZ668" s="593"/>
      <c r="CA668" s="593"/>
      <c r="CB668" s="592"/>
      <c r="CC668" s="592"/>
      <c r="CD668" s="592"/>
      <c r="CE668" s="592"/>
      <c r="CF668" s="592"/>
      <c r="CG668" s="592"/>
      <c r="CH668" s="592"/>
      <c r="CI668" s="592"/>
      <c r="CJ668" s="592"/>
      <c r="CK668" s="592"/>
      <c r="CL668" s="592"/>
      <c r="CM668" s="592"/>
      <c r="CN668" s="592"/>
      <c r="CO668" s="592"/>
      <c r="CP668" s="592"/>
      <c r="CQ668" s="592"/>
      <c r="CR668" s="592"/>
      <c r="CS668" s="592"/>
      <c r="CT668" s="592"/>
      <c r="CU668" s="592"/>
      <c r="CV668" s="592"/>
      <c r="CW668" s="592"/>
      <c r="CX668" s="592"/>
      <c r="CY668" s="592"/>
      <c r="CZ668" s="592"/>
      <c r="DA668" s="592"/>
      <c r="DB668" s="592"/>
      <c r="DC668" s="592"/>
      <c r="DD668" s="592"/>
      <c r="DE668" s="592"/>
      <c r="DF668" s="592"/>
      <c r="DG668" s="592"/>
      <c r="DH668" s="592"/>
      <c r="DI668" s="592"/>
      <c r="DJ668" s="592"/>
      <c r="DK668" s="592"/>
      <c r="DL668" s="592"/>
      <c r="DM668" s="592"/>
      <c r="DN668" s="592"/>
      <c r="DO668" s="592"/>
      <c r="DP668" s="592"/>
      <c r="DQ668" s="592"/>
      <c r="DR668" s="592"/>
      <c r="DS668" s="592"/>
      <c r="DT668" s="592"/>
      <c r="DU668" s="592"/>
      <c r="DV668" s="592"/>
      <c r="DW668" s="592"/>
      <c r="DX668" s="592"/>
      <c r="DY668" s="592"/>
      <c r="DZ668" s="592"/>
      <c r="EA668" s="592"/>
      <c r="EB668" s="592"/>
      <c r="EC668" s="592"/>
      <c r="ED668" s="592"/>
      <c r="EE668" s="592"/>
      <c r="EF668" s="592"/>
      <c r="EG668" s="592"/>
      <c r="EH668" s="592"/>
      <c r="EI668" s="592"/>
      <c r="EJ668" s="65"/>
      <c r="EK668" s="159">
        <f>IFERROR(ROUNDUP(SUMPRODUCT($K689:$BR689,$K$125:$BR$125)/SUM($K689:$BR689),2),0)</f>
        <v>0</v>
      </c>
      <c r="EL668" s="159">
        <f>IFERROR(ROUNDUP(SUMPRODUCT($K689:$BR689,$K$149:$BR$149)/SUM($K689:$BR689),2),0)</f>
        <v>0</v>
      </c>
      <c r="EM668" s="159">
        <f>IFERROR(ROUNDUP(SUMPRODUCT($K689:$BR689,$K$173:$BR$173)/SUM($K689:$BR689),2),0)</f>
        <v>0</v>
      </c>
    </row>
    <row r="669" spans="1:143" ht="12" hidden="1" customHeight="1" outlineLevel="2">
      <c r="A669" s="77">
        <v>1</v>
      </c>
      <c r="B669" s="137" t="str">
        <f>IF(G669&gt;0,G669&amp;" - "&amp;$F$213,"")</f>
        <v>GER. (OBRA/PROJ) - Equipe_01</v>
      </c>
      <c r="C669" s="65"/>
      <c r="D669" s="620" t="s">
        <v>463</v>
      </c>
      <c r="E669" s="65"/>
      <c r="F669" s="603" t="str">
        <f>IFERROR(VLOOKUP(F667,Tarefas!$F$3:$G$22,2,0),"")</f>
        <v>Equipe_20</v>
      </c>
      <c r="G669" s="77" t="str">
        <f>IF(INDEX(Tarefas!$BT$30:$FK$30,MATCH(A669,Tarefas!$BT$28:$FK$28,0))=0,"",INDEX(Tarefas!$BT$30:$FK$30,MATCH(A669,Tarefas!$BT$28:$FK$28,0)))</f>
        <v>GER. (OBRA/PROJ)</v>
      </c>
      <c r="H669" s="107" cm="1">
        <f t="array" ref="H669">IFERROR((SUMPRODUCT((Tarefas!$N$32:$N$54='Cronog. e Histog.'!$F$669)*(Tarefas!$BQ$30:$FK$30='Cronog. e Histog.'!$G669)*(Tarefas!$BQ$32:$FK$54)))/SUMIF(Tarefas!$N$32:$N$54,'Cronog. e Histog.'!$F$669,Tarefas!$K$32:$K$54),0)</f>
        <v>0</v>
      </c>
      <c r="I669" s="79">
        <f>IFERROR(H669/$H$689,0)</f>
        <v>0</v>
      </c>
      <c r="J669" s="65"/>
      <c r="K669" s="160">
        <f>ROUND($I669*K$202,2)</f>
        <v>0</v>
      </c>
      <c r="L669" s="160">
        <f t="shared" ref="L669:BR683" si="2863">ROUND($I669*L$202,2)</f>
        <v>0</v>
      </c>
      <c r="M669" s="160">
        <f t="shared" si="2863"/>
        <v>0</v>
      </c>
      <c r="N669" s="160">
        <f t="shared" si="2863"/>
        <v>0</v>
      </c>
      <c r="O669" s="160">
        <f t="shared" si="2863"/>
        <v>0</v>
      </c>
      <c r="P669" s="160">
        <f t="shared" si="2863"/>
        <v>0</v>
      </c>
      <c r="Q669" s="160">
        <f t="shared" si="2863"/>
        <v>0</v>
      </c>
      <c r="R669" s="160">
        <f t="shared" si="2863"/>
        <v>0</v>
      </c>
      <c r="S669" s="160">
        <f t="shared" si="2863"/>
        <v>0</v>
      </c>
      <c r="T669" s="160">
        <f t="shared" si="2863"/>
        <v>0</v>
      </c>
      <c r="U669" s="160">
        <f t="shared" si="2863"/>
        <v>0</v>
      </c>
      <c r="V669" s="160">
        <f t="shared" si="2863"/>
        <v>0</v>
      </c>
      <c r="W669" s="160">
        <f t="shared" si="2863"/>
        <v>0</v>
      </c>
      <c r="X669" s="160">
        <f t="shared" si="2863"/>
        <v>0</v>
      </c>
      <c r="Y669" s="160">
        <f t="shared" si="2863"/>
        <v>0</v>
      </c>
      <c r="Z669" s="160">
        <f t="shared" si="2863"/>
        <v>0</v>
      </c>
      <c r="AA669" s="160">
        <f t="shared" si="2863"/>
        <v>0</v>
      </c>
      <c r="AB669" s="160">
        <f t="shared" si="2863"/>
        <v>0</v>
      </c>
      <c r="AC669" s="160">
        <f t="shared" si="2863"/>
        <v>0</v>
      </c>
      <c r="AD669" s="160">
        <f t="shared" si="2863"/>
        <v>0</v>
      </c>
      <c r="AE669" s="160">
        <f t="shared" si="2863"/>
        <v>0</v>
      </c>
      <c r="AF669" s="160">
        <f t="shared" si="2863"/>
        <v>0</v>
      </c>
      <c r="AG669" s="160">
        <f t="shared" si="2863"/>
        <v>0</v>
      </c>
      <c r="AH669" s="160">
        <f t="shared" si="2863"/>
        <v>0</v>
      </c>
      <c r="AI669" s="160">
        <f t="shared" si="2863"/>
        <v>0</v>
      </c>
      <c r="AJ669" s="160">
        <f t="shared" si="2863"/>
        <v>0</v>
      </c>
      <c r="AK669" s="160">
        <f t="shared" si="2863"/>
        <v>0</v>
      </c>
      <c r="AL669" s="160">
        <f t="shared" si="2863"/>
        <v>0</v>
      </c>
      <c r="AM669" s="160">
        <f t="shared" si="2863"/>
        <v>0</v>
      </c>
      <c r="AN669" s="160">
        <f t="shared" si="2863"/>
        <v>0</v>
      </c>
      <c r="AO669" s="160">
        <f t="shared" si="2863"/>
        <v>0</v>
      </c>
      <c r="AP669" s="160">
        <f t="shared" si="2863"/>
        <v>0</v>
      </c>
      <c r="AQ669" s="160">
        <f t="shared" si="2863"/>
        <v>0</v>
      </c>
      <c r="AR669" s="160">
        <f t="shared" si="2863"/>
        <v>0</v>
      </c>
      <c r="AS669" s="160">
        <f t="shared" si="2863"/>
        <v>0</v>
      </c>
      <c r="AT669" s="160">
        <f t="shared" si="2863"/>
        <v>0</v>
      </c>
      <c r="AU669" s="160">
        <f t="shared" si="2863"/>
        <v>0</v>
      </c>
      <c r="AV669" s="160">
        <f t="shared" si="2863"/>
        <v>0</v>
      </c>
      <c r="AW669" s="160">
        <f t="shared" si="2863"/>
        <v>0</v>
      </c>
      <c r="AX669" s="160">
        <f t="shared" si="2863"/>
        <v>0</v>
      </c>
      <c r="AY669" s="160">
        <f t="shared" si="2863"/>
        <v>0</v>
      </c>
      <c r="AZ669" s="160">
        <f t="shared" si="2863"/>
        <v>0</v>
      </c>
      <c r="BA669" s="160">
        <f t="shared" si="2863"/>
        <v>0</v>
      </c>
      <c r="BB669" s="160">
        <f t="shared" si="2863"/>
        <v>0</v>
      </c>
      <c r="BC669" s="160">
        <f t="shared" si="2863"/>
        <v>0</v>
      </c>
      <c r="BD669" s="160">
        <f t="shared" si="2863"/>
        <v>0</v>
      </c>
      <c r="BE669" s="160">
        <f t="shared" si="2863"/>
        <v>0</v>
      </c>
      <c r="BF669" s="160">
        <f t="shared" si="2863"/>
        <v>0</v>
      </c>
      <c r="BG669" s="160">
        <f t="shared" si="2863"/>
        <v>0</v>
      </c>
      <c r="BH669" s="160">
        <f t="shared" si="2863"/>
        <v>0</v>
      </c>
      <c r="BI669" s="160">
        <f t="shared" si="2863"/>
        <v>0</v>
      </c>
      <c r="BJ669" s="160">
        <f t="shared" si="2863"/>
        <v>0</v>
      </c>
      <c r="BK669" s="160">
        <f t="shared" si="2863"/>
        <v>0</v>
      </c>
      <c r="BL669" s="160">
        <f t="shared" si="2863"/>
        <v>0</v>
      </c>
      <c r="BM669" s="160">
        <f t="shared" si="2863"/>
        <v>0</v>
      </c>
      <c r="BN669" s="160">
        <f t="shared" si="2863"/>
        <v>0</v>
      </c>
      <c r="BO669" s="160">
        <f t="shared" si="2863"/>
        <v>0</v>
      </c>
      <c r="BP669" s="160">
        <f t="shared" si="2863"/>
        <v>0</v>
      </c>
      <c r="BQ669" s="160">
        <f t="shared" si="2863"/>
        <v>0</v>
      </c>
      <c r="BR669" s="160">
        <f t="shared" si="2863"/>
        <v>0</v>
      </c>
      <c r="BS669" s="65"/>
      <c r="BT669" s="160">
        <f t="shared" ref="BT669:BT688" si="2864">IFERROR(SUM(K669:BR669)/COUNTIF(K669:BR669,"&gt;0"),0)</f>
        <v>0</v>
      </c>
      <c r="BU669" s="160">
        <f t="shared" ref="BU669:BU688" si="2865">COUNTIF(K669:BR669,"&gt;0")</f>
        <v>0</v>
      </c>
      <c r="BV669" s="65"/>
      <c r="BW669" s="69"/>
      <c r="BX669" s="65"/>
      <c r="BY669" s="137">
        <f t="shared" ref="BY669:BY688" si="2866">IF(G669&gt;0,1,0)</f>
        <v>1</v>
      </c>
      <c r="BZ669" s="137">
        <f>IF(BY669&gt;0,BY669+LARGE($BZ$213:BZ668,1),0)</f>
        <v>381</v>
      </c>
      <c r="CA669" s="137" t="str">
        <f t="shared" ref="CA669:CA688" si="2867">G669</f>
        <v>GER. (OBRA/PROJ)</v>
      </c>
      <c r="CB669" s="161">
        <f t="shared" ref="CB669:CB688" si="2868">K669</f>
        <v>0</v>
      </c>
      <c r="CC669" s="161">
        <f t="shared" ref="CC669:CC688" si="2869">L669</f>
        <v>0</v>
      </c>
      <c r="CD669" s="161">
        <f t="shared" ref="CD669:CD688" si="2870">M669</f>
        <v>0</v>
      </c>
      <c r="CE669" s="161">
        <f t="shared" ref="CE669:CE688" si="2871">N669</f>
        <v>0</v>
      </c>
      <c r="CF669" s="161">
        <f t="shared" ref="CF669:CF688" si="2872">O669</f>
        <v>0</v>
      </c>
      <c r="CG669" s="161">
        <f t="shared" ref="CG669:CG688" si="2873">P669</f>
        <v>0</v>
      </c>
      <c r="CH669" s="161">
        <f t="shared" ref="CH669:CH688" si="2874">Q669</f>
        <v>0</v>
      </c>
      <c r="CI669" s="161">
        <f t="shared" ref="CI669:CI688" si="2875">R669</f>
        <v>0</v>
      </c>
      <c r="CJ669" s="161">
        <f t="shared" ref="CJ669:CJ688" si="2876">S669</f>
        <v>0</v>
      </c>
      <c r="CK669" s="161">
        <f t="shared" ref="CK669:CK688" si="2877">T669</f>
        <v>0</v>
      </c>
      <c r="CL669" s="161">
        <f t="shared" ref="CL669:CL688" si="2878">U669</f>
        <v>0</v>
      </c>
      <c r="CM669" s="161">
        <f t="shared" ref="CM669:CM688" si="2879">V669</f>
        <v>0</v>
      </c>
      <c r="CN669" s="161">
        <f t="shared" ref="CN669:CN688" si="2880">W669</f>
        <v>0</v>
      </c>
      <c r="CO669" s="161">
        <f t="shared" ref="CO669:CO688" si="2881">X669</f>
        <v>0</v>
      </c>
      <c r="CP669" s="161">
        <f t="shared" ref="CP669:CP688" si="2882">Y669</f>
        <v>0</v>
      </c>
      <c r="CQ669" s="161">
        <f t="shared" ref="CQ669:CQ688" si="2883">Z669</f>
        <v>0</v>
      </c>
      <c r="CR669" s="161">
        <f t="shared" ref="CR669:CR688" si="2884">AA669</f>
        <v>0</v>
      </c>
      <c r="CS669" s="161">
        <f t="shared" ref="CS669:CS688" si="2885">AB669</f>
        <v>0</v>
      </c>
      <c r="CT669" s="161">
        <f t="shared" ref="CT669:CT688" si="2886">AC669</f>
        <v>0</v>
      </c>
      <c r="CU669" s="161">
        <f t="shared" ref="CU669:CU688" si="2887">AD669</f>
        <v>0</v>
      </c>
      <c r="CV669" s="161">
        <f t="shared" ref="CV669:CV688" si="2888">AE669</f>
        <v>0</v>
      </c>
      <c r="CW669" s="161">
        <f t="shared" ref="CW669:CW688" si="2889">AF669</f>
        <v>0</v>
      </c>
      <c r="CX669" s="161">
        <f t="shared" ref="CX669:CX688" si="2890">AG669</f>
        <v>0</v>
      </c>
      <c r="CY669" s="161">
        <f t="shared" ref="CY669:CY688" si="2891">AH669</f>
        <v>0</v>
      </c>
      <c r="CZ669" s="161">
        <f t="shared" ref="CZ669:CZ688" si="2892">AI669</f>
        <v>0</v>
      </c>
      <c r="DA669" s="161">
        <f t="shared" ref="DA669:DA688" si="2893">AJ669</f>
        <v>0</v>
      </c>
      <c r="DB669" s="161">
        <f t="shared" ref="DB669:DB688" si="2894">AK669</f>
        <v>0</v>
      </c>
      <c r="DC669" s="161">
        <f t="shared" ref="DC669:DC688" si="2895">AL669</f>
        <v>0</v>
      </c>
      <c r="DD669" s="161">
        <f t="shared" ref="DD669:DD688" si="2896">AM669</f>
        <v>0</v>
      </c>
      <c r="DE669" s="161">
        <f t="shared" ref="DE669:DE688" si="2897">AN669</f>
        <v>0</v>
      </c>
      <c r="DF669" s="161">
        <f t="shared" ref="DF669:DF688" si="2898">AO669</f>
        <v>0</v>
      </c>
      <c r="DG669" s="161">
        <f t="shared" ref="DG669:DG688" si="2899">AP669</f>
        <v>0</v>
      </c>
      <c r="DH669" s="161">
        <f t="shared" ref="DH669:DH688" si="2900">AQ669</f>
        <v>0</v>
      </c>
      <c r="DI669" s="161">
        <f t="shared" ref="DI669:DI688" si="2901">AR669</f>
        <v>0</v>
      </c>
      <c r="DJ669" s="161">
        <f t="shared" ref="DJ669:DJ688" si="2902">AS669</f>
        <v>0</v>
      </c>
      <c r="DK669" s="161">
        <f t="shared" ref="DK669:DK688" si="2903">AT669</f>
        <v>0</v>
      </c>
      <c r="DL669" s="161">
        <f t="shared" ref="DL669:DL688" si="2904">AU669</f>
        <v>0</v>
      </c>
      <c r="DM669" s="161">
        <f t="shared" ref="DM669:DM688" si="2905">AV669</f>
        <v>0</v>
      </c>
      <c r="DN669" s="161">
        <f t="shared" ref="DN669:DN688" si="2906">AW669</f>
        <v>0</v>
      </c>
      <c r="DO669" s="161">
        <f t="shared" ref="DO669:DO688" si="2907">AX669</f>
        <v>0</v>
      </c>
      <c r="DP669" s="161">
        <f t="shared" ref="DP669:DP688" si="2908">AY669</f>
        <v>0</v>
      </c>
      <c r="DQ669" s="161">
        <f t="shared" ref="DQ669:DQ688" si="2909">AZ669</f>
        <v>0</v>
      </c>
      <c r="DR669" s="161">
        <f t="shared" ref="DR669:DR688" si="2910">BA669</f>
        <v>0</v>
      </c>
      <c r="DS669" s="161">
        <f t="shared" ref="DS669:DS688" si="2911">BB669</f>
        <v>0</v>
      </c>
      <c r="DT669" s="161">
        <f t="shared" ref="DT669:DT688" si="2912">BC669</f>
        <v>0</v>
      </c>
      <c r="DU669" s="161">
        <f t="shared" ref="DU669:DU688" si="2913">BD669</f>
        <v>0</v>
      </c>
      <c r="DV669" s="161">
        <f t="shared" ref="DV669:DV688" si="2914">BE669</f>
        <v>0</v>
      </c>
      <c r="DW669" s="161">
        <f t="shared" ref="DW669:DW688" si="2915">BF669</f>
        <v>0</v>
      </c>
      <c r="DX669" s="161">
        <f t="shared" ref="DX669:DX688" si="2916">BG669</f>
        <v>0</v>
      </c>
      <c r="DY669" s="161">
        <f t="shared" ref="DY669:DY688" si="2917">BH669</f>
        <v>0</v>
      </c>
      <c r="DZ669" s="161">
        <f t="shared" ref="DZ669:DZ688" si="2918">BI669</f>
        <v>0</v>
      </c>
      <c r="EA669" s="161">
        <f t="shared" ref="EA669:EA688" si="2919">BJ669</f>
        <v>0</v>
      </c>
      <c r="EB669" s="161">
        <f t="shared" ref="EB669:EB688" si="2920">BK669</f>
        <v>0</v>
      </c>
      <c r="EC669" s="161">
        <f t="shared" ref="EC669:EC688" si="2921">BL669</f>
        <v>0</v>
      </c>
      <c r="ED669" s="161">
        <f t="shared" ref="ED669:ED688" si="2922">BM669</f>
        <v>0</v>
      </c>
      <c r="EE669" s="161">
        <f t="shared" ref="EE669:EE688" si="2923">BN669</f>
        <v>0</v>
      </c>
      <c r="EF669" s="161">
        <f t="shared" ref="EF669:EF688" si="2924">BO669</f>
        <v>0</v>
      </c>
      <c r="EG669" s="161">
        <f t="shared" ref="EG669:EG688" si="2925">BP669</f>
        <v>0</v>
      </c>
      <c r="EH669" s="161">
        <f t="shared" ref="EH669:EH688" si="2926">BQ669</f>
        <v>0</v>
      </c>
      <c r="EI669" s="161">
        <f t="shared" ref="EI669:EI688" si="2927">BR669</f>
        <v>0</v>
      </c>
      <c r="EJ669" s="65"/>
      <c r="EK669" s="161">
        <f>$EK$668</f>
        <v>0</v>
      </c>
      <c r="EL669" s="161">
        <f>$EL$668</f>
        <v>0</v>
      </c>
      <c r="EM669" s="161">
        <f>$EM$668</f>
        <v>0</v>
      </c>
    </row>
    <row r="670" spans="1:143" ht="12" hidden="1" customHeight="1" outlineLevel="2">
      <c r="A670" s="77">
        <v>2</v>
      </c>
      <c r="B670" s="137" t="str">
        <f t="shared" ref="B670:B688" si="2928">IF(G670&gt;0,G670&amp;" - "&amp;$F$213,"")</f>
        <v>COORD. - Equipe_01</v>
      </c>
      <c r="C670" s="65"/>
      <c r="D670" s="621"/>
      <c r="E670" s="65"/>
      <c r="F670" s="603"/>
      <c r="G670" s="77" t="str">
        <f>IF(INDEX(Tarefas!$BT$30:$FK$30,MATCH(A670,Tarefas!$BT$28:$FK$28,0))=0,"",INDEX(Tarefas!$BT$30:$FK$30,MATCH(A670,Tarefas!$BT$28:$FK$28,0)))</f>
        <v>COORD.</v>
      </c>
      <c r="H670" s="107" cm="1">
        <f t="array" ref="H670">IFERROR((SUMPRODUCT((Tarefas!$N$32:$N$54='Cronog. e Histog.'!$F$669)*(Tarefas!$BQ$30:$FK$30='Cronog. e Histog.'!$G670)*(Tarefas!$BQ$32:$FK$54)))/SUMIF(Tarefas!$N$32:$N$54,'Cronog. e Histog.'!$F$669,Tarefas!$K$32:$K$54),0)</f>
        <v>0</v>
      </c>
      <c r="I670" s="79">
        <f t="shared" ref="I670:I688" si="2929">IFERROR(H670/$H$689,0)</f>
        <v>0</v>
      </c>
      <c r="J670" s="65"/>
      <c r="K670" s="160">
        <f t="shared" ref="K670:Z679" si="2930">ROUND($I670*K$202,2)</f>
        <v>0</v>
      </c>
      <c r="L670" s="160">
        <f t="shared" si="2930"/>
        <v>0</v>
      </c>
      <c r="M670" s="160">
        <f t="shared" si="2930"/>
        <v>0</v>
      </c>
      <c r="N670" s="160">
        <f t="shared" si="2930"/>
        <v>0</v>
      </c>
      <c r="O670" s="160">
        <f t="shared" si="2930"/>
        <v>0</v>
      </c>
      <c r="P670" s="160">
        <f t="shared" si="2930"/>
        <v>0</v>
      </c>
      <c r="Q670" s="160">
        <f t="shared" si="2930"/>
        <v>0</v>
      </c>
      <c r="R670" s="160">
        <f t="shared" si="2930"/>
        <v>0</v>
      </c>
      <c r="S670" s="160">
        <f t="shared" si="2930"/>
        <v>0</v>
      </c>
      <c r="T670" s="160">
        <f t="shared" si="2930"/>
        <v>0</v>
      </c>
      <c r="U670" s="160">
        <f t="shared" si="2930"/>
        <v>0</v>
      </c>
      <c r="V670" s="160">
        <f t="shared" si="2930"/>
        <v>0</v>
      </c>
      <c r="W670" s="160">
        <f t="shared" si="2930"/>
        <v>0</v>
      </c>
      <c r="X670" s="160">
        <f t="shared" si="2930"/>
        <v>0</v>
      </c>
      <c r="Y670" s="160">
        <f t="shared" si="2930"/>
        <v>0</v>
      </c>
      <c r="Z670" s="160">
        <f t="shared" si="2930"/>
        <v>0</v>
      </c>
      <c r="AA670" s="160">
        <f t="shared" ref="AA670:AP679" si="2931">ROUND($I670*AA$202,2)</f>
        <v>0</v>
      </c>
      <c r="AB670" s="160">
        <f t="shared" si="2931"/>
        <v>0</v>
      </c>
      <c r="AC670" s="160">
        <f t="shared" si="2931"/>
        <v>0</v>
      </c>
      <c r="AD670" s="160">
        <f t="shared" si="2931"/>
        <v>0</v>
      </c>
      <c r="AE670" s="160">
        <f t="shared" si="2931"/>
        <v>0</v>
      </c>
      <c r="AF670" s="160">
        <f t="shared" si="2931"/>
        <v>0</v>
      </c>
      <c r="AG670" s="160">
        <f t="shared" si="2931"/>
        <v>0</v>
      </c>
      <c r="AH670" s="160">
        <f t="shared" si="2931"/>
        <v>0</v>
      </c>
      <c r="AI670" s="160">
        <f t="shared" si="2931"/>
        <v>0</v>
      </c>
      <c r="AJ670" s="160">
        <f t="shared" si="2931"/>
        <v>0</v>
      </c>
      <c r="AK670" s="160">
        <f t="shared" si="2931"/>
        <v>0</v>
      </c>
      <c r="AL670" s="160">
        <f t="shared" si="2931"/>
        <v>0</v>
      </c>
      <c r="AM670" s="160">
        <f t="shared" si="2931"/>
        <v>0</v>
      </c>
      <c r="AN670" s="160">
        <f t="shared" si="2931"/>
        <v>0</v>
      </c>
      <c r="AO670" s="160">
        <f t="shared" si="2931"/>
        <v>0</v>
      </c>
      <c r="AP670" s="160">
        <f t="shared" si="2931"/>
        <v>0</v>
      </c>
      <c r="AQ670" s="160">
        <f t="shared" ref="AQ670:BF679" si="2932">ROUND($I670*AQ$202,2)</f>
        <v>0</v>
      </c>
      <c r="AR670" s="160">
        <f t="shared" si="2932"/>
        <v>0</v>
      </c>
      <c r="AS670" s="160">
        <f t="shared" si="2932"/>
        <v>0</v>
      </c>
      <c r="AT670" s="160">
        <f t="shared" si="2932"/>
        <v>0</v>
      </c>
      <c r="AU670" s="160">
        <f t="shared" si="2932"/>
        <v>0</v>
      </c>
      <c r="AV670" s="160">
        <f t="shared" si="2932"/>
        <v>0</v>
      </c>
      <c r="AW670" s="160">
        <f t="shared" si="2932"/>
        <v>0</v>
      </c>
      <c r="AX670" s="160">
        <f t="shared" si="2932"/>
        <v>0</v>
      </c>
      <c r="AY670" s="160">
        <f t="shared" si="2932"/>
        <v>0</v>
      </c>
      <c r="AZ670" s="160">
        <f t="shared" si="2932"/>
        <v>0</v>
      </c>
      <c r="BA670" s="160">
        <f t="shared" si="2932"/>
        <v>0</v>
      </c>
      <c r="BB670" s="160">
        <f t="shared" si="2932"/>
        <v>0</v>
      </c>
      <c r="BC670" s="160">
        <f t="shared" si="2932"/>
        <v>0</v>
      </c>
      <c r="BD670" s="160">
        <f t="shared" si="2932"/>
        <v>0</v>
      </c>
      <c r="BE670" s="160">
        <f t="shared" si="2932"/>
        <v>0</v>
      </c>
      <c r="BF670" s="160">
        <f t="shared" si="2932"/>
        <v>0</v>
      </c>
      <c r="BG670" s="160">
        <f t="shared" ref="BG670:BR679" si="2933">ROUND($I670*BG$202,2)</f>
        <v>0</v>
      </c>
      <c r="BH670" s="160">
        <f t="shared" si="2933"/>
        <v>0</v>
      </c>
      <c r="BI670" s="160">
        <f t="shared" si="2933"/>
        <v>0</v>
      </c>
      <c r="BJ670" s="160">
        <f t="shared" si="2933"/>
        <v>0</v>
      </c>
      <c r="BK670" s="160">
        <f t="shared" si="2933"/>
        <v>0</v>
      </c>
      <c r="BL670" s="160">
        <f t="shared" si="2933"/>
        <v>0</v>
      </c>
      <c r="BM670" s="160">
        <f t="shared" si="2933"/>
        <v>0</v>
      </c>
      <c r="BN670" s="160">
        <f t="shared" si="2933"/>
        <v>0</v>
      </c>
      <c r="BO670" s="160">
        <f t="shared" si="2933"/>
        <v>0</v>
      </c>
      <c r="BP670" s="160">
        <f t="shared" si="2933"/>
        <v>0</v>
      </c>
      <c r="BQ670" s="160">
        <f t="shared" si="2933"/>
        <v>0</v>
      </c>
      <c r="BR670" s="160">
        <f t="shared" si="2933"/>
        <v>0</v>
      </c>
      <c r="BS670" s="65"/>
      <c r="BT670" s="160">
        <f t="shared" ref="BT670:BT679" si="2934">IFERROR(SUM(K670:BR670)/COUNTIF(K670:BR670,"&gt;0"),0)</f>
        <v>0</v>
      </c>
      <c r="BU670" s="160">
        <f t="shared" ref="BU670:BU679" si="2935">COUNTIF(K670:BR670,"&gt;0")</f>
        <v>0</v>
      </c>
      <c r="BV670" s="65"/>
      <c r="BW670" s="69"/>
      <c r="BX670" s="65"/>
      <c r="BY670" s="137">
        <f t="shared" ref="BY670:BY679" si="2936">IF(G670&gt;0,1,0)</f>
        <v>1</v>
      </c>
      <c r="BZ670" s="137">
        <f>IF(BY670&gt;0,BY670+LARGE($BZ$213:BZ669,1),0)</f>
        <v>382</v>
      </c>
      <c r="CA670" s="137" t="str">
        <f t="shared" ref="CA670:CA679" si="2937">G670</f>
        <v>COORD.</v>
      </c>
      <c r="CB670" s="161">
        <f t="shared" ref="CB670:CB679" si="2938">K670</f>
        <v>0</v>
      </c>
      <c r="CC670" s="161">
        <f t="shared" ref="CC670:CC679" si="2939">L670</f>
        <v>0</v>
      </c>
      <c r="CD670" s="161">
        <f t="shared" ref="CD670:CD679" si="2940">M670</f>
        <v>0</v>
      </c>
      <c r="CE670" s="161">
        <f t="shared" ref="CE670:CE679" si="2941">N670</f>
        <v>0</v>
      </c>
      <c r="CF670" s="161">
        <f t="shared" ref="CF670:CF679" si="2942">O670</f>
        <v>0</v>
      </c>
      <c r="CG670" s="161">
        <f t="shared" ref="CG670:CG679" si="2943">P670</f>
        <v>0</v>
      </c>
      <c r="CH670" s="161">
        <f t="shared" ref="CH670:CH679" si="2944">Q670</f>
        <v>0</v>
      </c>
      <c r="CI670" s="161">
        <f t="shared" ref="CI670:CI679" si="2945">R670</f>
        <v>0</v>
      </c>
      <c r="CJ670" s="161">
        <f t="shared" ref="CJ670:CJ679" si="2946">S670</f>
        <v>0</v>
      </c>
      <c r="CK670" s="161">
        <f t="shared" ref="CK670:CK679" si="2947">T670</f>
        <v>0</v>
      </c>
      <c r="CL670" s="161">
        <f t="shared" ref="CL670:CL679" si="2948">U670</f>
        <v>0</v>
      </c>
      <c r="CM670" s="161">
        <f t="shared" ref="CM670:CM679" si="2949">V670</f>
        <v>0</v>
      </c>
      <c r="CN670" s="161">
        <f t="shared" ref="CN670:CN679" si="2950">W670</f>
        <v>0</v>
      </c>
      <c r="CO670" s="161">
        <f t="shared" ref="CO670:CO679" si="2951">X670</f>
        <v>0</v>
      </c>
      <c r="CP670" s="161">
        <f t="shared" ref="CP670:CP679" si="2952">Y670</f>
        <v>0</v>
      </c>
      <c r="CQ670" s="161">
        <f t="shared" ref="CQ670:CQ679" si="2953">Z670</f>
        <v>0</v>
      </c>
      <c r="CR670" s="161">
        <f t="shared" ref="CR670:CR679" si="2954">AA670</f>
        <v>0</v>
      </c>
      <c r="CS670" s="161">
        <f t="shared" ref="CS670:CS679" si="2955">AB670</f>
        <v>0</v>
      </c>
      <c r="CT670" s="161">
        <f t="shared" ref="CT670:CT679" si="2956">AC670</f>
        <v>0</v>
      </c>
      <c r="CU670" s="161">
        <f t="shared" ref="CU670:CU679" si="2957">AD670</f>
        <v>0</v>
      </c>
      <c r="CV670" s="161">
        <f t="shared" ref="CV670:CV679" si="2958">AE670</f>
        <v>0</v>
      </c>
      <c r="CW670" s="161">
        <f t="shared" ref="CW670:CW679" si="2959">AF670</f>
        <v>0</v>
      </c>
      <c r="CX670" s="161">
        <f t="shared" ref="CX670:CX679" si="2960">AG670</f>
        <v>0</v>
      </c>
      <c r="CY670" s="161">
        <f t="shared" ref="CY670:CY679" si="2961">AH670</f>
        <v>0</v>
      </c>
      <c r="CZ670" s="161">
        <f t="shared" ref="CZ670:CZ679" si="2962">AI670</f>
        <v>0</v>
      </c>
      <c r="DA670" s="161">
        <f t="shared" ref="DA670:DA679" si="2963">AJ670</f>
        <v>0</v>
      </c>
      <c r="DB670" s="161">
        <f t="shared" ref="DB670:DB679" si="2964">AK670</f>
        <v>0</v>
      </c>
      <c r="DC670" s="161">
        <f t="shared" ref="DC670:DC679" si="2965">AL670</f>
        <v>0</v>
      </c>
      <c r="DD670" s="161">
        <f t="shared" ref="DD670:DD679" si="2966">AM670</f>
        <v>0</v>
      </c>
      <c r="DE670" s="161">
        <f t="shared" ref="DE670:DE679" si="2967">AN670</f>
        <v>0</v>
      </c>
      <c r="DF670" s="161">
        <f t="shared" ref="DF670:DF679" si="2968">AO670</f>
        <v>0</v>
      </c>
      <c r="DG670" s="161">
        <f t="shared" ref="DG670:DG679" si="2969">AP670</f>
        <v>0</v>
      </c>
      <c r="DH670" s="161">
        <f t="shared" ref="DH670:DH679" si="2970">AQ670</f>
        <v>0</v>
      </c>
      <c r="DI670" s="161">
        <f t="shared" ref="DI670:DI679" si="2971">AR670</f>
        <v>0</v>
      </c>
      <c r="DJ670" s="161">
        <f t="shared" ref="DJ670:DJ679" si="2972">AS670</f>
        <v>0</v>
      </c>
      <c r="DK670" s="161">
        <f t="shared" ref="DK670:DK679" si="2973">AT670</f>
        <v>0</v>
      </c>
      <c r="DL670" s="161">
        <f t="shared" ref="DL670:DL679" si="2974">AU670</f>
        <v>0</v>
      </c>
      <c r="DM670" s="161">
        <f t="shared" ref="DM670:DM679" si="2975">AV670</f>
        <v>0</v>
      </c>
      <c r="DN670" s="161">
        <f t="shared" ref="DN670:DN679" si="2976">AW670</f>
        <v>0</v>
      </c>
      <c r="DO670" s="161">
        <f t="shared" ref="DO670:DO679" si="2977">AX670</f>
        <v>0</v>
      </c>
      <c r="DP670" s="161">
        <f t="shared" ref="DP670:DP679" si="2978">AY670</f>
        <v>0</v>
      </c>
      <c r="DQ670" s="161">
        <f t="shared" ref="DQ670:DQ679" si="2979">AZ670</f>
        <v>0</v>
      </c>
      <c r="DR670" s="161">
        <f t="shared" ref="DR670:DR679" si="2980">BA670</f>
        <v>0</v>
      </c>
      <c r="DS670" s="161">
        <f t="shared" ref="DS670:DS679" si="2981">BB670</f>
        <v>0</v>
      </c>
      <c r="DT670" s="161">
        <f t="shared" ref="DT670:DT679" si="2982">BC670</f>
        <v>0</v>
      </c>
      <c r="DU670" s="161">
        <f t="shared" ref="DU670:DU679" si="2983">BD670</f>
        <v>0</v>
      </c>
      <c r="DV670" s="161">
        <f t="shared" ref="DV670:DV679" si="2984">BE670</f>
        <v>0</v>
      </c>
      <c r="DW670" s="161">
        <f t="shared" ref="DW670:DW679" si="2985">BF670</f>
        <v>0</v>
      </c>
      <c r="DX670" s="161">
        <f t="shared" ref="DX670:DX679" si="2986">BG670</f>
        <v>0</v>
      </c>
      <c r="DY670" s="161">
        <f t="shared" ref="DY670:DY679" si="2987">BH670</f>
        <v>0</v>
      </c>
      <c r="DZ670" s="161">
        <f t="shared" ref="DZ670:DZ679" si="2988">BI670</f>
        <v>0</v>
      </c>
      <c r="EA670" s="161">
        <f t="shared" ref="EA670:EA679" si="2989">BJ670</f>
        <v>0</v>
      </c>
      <c r="EB670" s="161">
        <f t="shared" ref="EB670:EB679" si="2990">BK670</f>
        <v>0</v>
      </c>
      <c r="EC670" s="161">
        <f t="shared" ref="EC670:EC679" si="2991">BL670</f>
        <v>0</v>
      </c>
      <c r="ED670" s="161">
        <f t="shared" ref="ED670:ED679" si="2992">BM670</f>
        <v>0</v>
      </c>
      <c r="EE670" s="161">
        <f t="shared" ref="EE670:EE679" si="2993">BN670</f>
        <v>0</v>
      </c>
      <c r="EF670" s="161">
        <f t="shared" ref="EF670:EF679" si="2994">BO670</f>
        <v>0</v>
      </c>
      <c r="EG670" s="161">
        <f t="shared" ref="EG670:EG679" si="2995">BP670</f>
        <v>0</v>
      </c>
      <c r="EH670" s="161">
        <f t="shared" ref="EH670:EH679" si="2996">BQ670</f>
        <v>0</v>
      </c>
      <c r="EI670" s="161">
        <f t="shared" ref="EI670:EI679" si="2997">BR670</f>
        <v>0</v>
      </c>
      <c r="EJ670" s="65"/>
      <c r="EK670" s="161">
        <f t="shared" ref="EK670:EK688" si="2998">$EK$668</f>
        <v>0</v>
      </c>
      <c r="EL670" s="161">
        <f t="shared" ref="EL670:EL688" si="2999">$EL$668</f>
        <v>0</v>
      </c>
      <c r="EM670" s="161">
        <f t="shared" ref="EM670:EM688" si="3000">$EM$668</f>
        <v>0</v>
      </c>
    </row>
    <row r="671" spans="1:143" ht="12" hidden="1" customHeight="1" outlineLevel="2">
      <c r="A671" s="77">
        <v>3</v>
      </c>
      <c r="B671" s="137" t="str">
        <f t="shared" si="2928"/>
        <v>SUP.-ESP - Equipe_01</v>
      </c>
      <c r="C671" s="65"/>
      <c r="D671" s="621"/>
      <c r="E671" s="65"/>
      <c r="F671" s="603"/>
      <c r="G671" s="77" t="str">
        <f>IF(INDEX(Tarefas!$BT$30:$FK$30,MATCH(A671,Tarefas!$BT$28:$FK$28,0))=0,"",INDEX(Tarefas!$BT$30:$FK$30,MATCH(A671,Tarefas!$BT$28:$FK$28,0)))</f>
        <v>SUP.-ESP</v>
      </c>
      <c r="H671" s="107" cm="1">
        <f t="array" ref="H671">IFERROR((SUMPRODUCT((Tarefas!$N$32:$N$54='Cronog. e Histog.'!$F$669)*(Tarefas!$BQ$30:$FK$30='Cronog. e Histog.'!$G671)*(Tarefas!$BQ$32:$FK$54)))/SUMIF(Tarefas!$N$32:$N$54,'Cronog. e Histog.'!$F$669,Tarefas!$K$32:$K$54),0)</f>
        <v>0</v>
      </c>
      <c r="I671" s="79">
        <f t="shared" si="2929"/>
        <v>0</v>
      </c>
      <c r="J671" s="65"/>
      <c r="K671" s="160">
        <f t="shared" si="2930"/>
        <v>0</v>
      </c>
      <c r="L671" s="160">
        <f t="shared" si="2930"/>
        <v>0</v>
      </c>
      <c r="M671" s="160">
        <f t="shared" si="2930"/>
        <v>0</v>
      </c>
      <c r="N671" s="160">
        <f t="shared" si="2930"/>
        <v>0</v>
      </c>
      <c r="O671" s="160">
        <f t="shared" si="2930"/>
        <v>0</v>
      </c>
      <c r="P671" s="160">
        <f t="shared" si="2930"/>
        <v>0</v>
      </c>
      <c r="Q671" s="160">
        <f t="shared" si="2930"/>
        <v>0</v>
      </c>
      <c r="R671" s="160">
        <f t="shared" si="2930"/>
        <v>0</v>
      </c>
      <c r="S671" s="160">
        <f t="shared" si="2930"/>
        <v>0</v>
      </c>
      <c r="T671" s="160">
        <f t="shared" si="2930"/>
        <v>0</v>
      </c>
      <c r="U671" s="160">
        <f t="shared" si="2930"/>
        <v>0</v>
      </c>
      <c r="V671" s="160">
        <f t="shared" si="2930"/>
        <v>0</v>
      </c>
      <c r="W671" s="160">
        <f t="shared" si="2930"/>
        <v>0</v>
      </c>
      <c r="X671" s="160">
        <f t="shared" si="2930"/>
        <v>0</v>
      </c>
      <c r="Y671" s="160">
        <f t="shared" si="2930"/>
        <v>0</v>
      </c>
      <c r="Z671" s="160">
        <f t="shared" si="2930"/>
        <v>0</v>
      </c>
      <c r="AA671" s="160">
        <f t="shared" si="2931"/>
        <v>0</v>
      </c>
      <c r="AB671" s="160">
        <f t="shared" si="2931"/>
        <v>0</v>
      </c>
      <c r="AC671" s="160">
        <f t="shared" si="2931"/>
        <v>0</v>
      </c>
      <c r="AD671" s="160">
        <f t="shared" si="2931"/>
        <v>0</v>
      </c>
      <c r="AE671" s="160">
        <f t="shared" si="2931"/>
        <v>0</v>
      </c>
      <c r="AF671" s="160">
        <f t="shared" si="2931"/>
        <v>0</v>
      </c>
      <c r="AG671" s="160">
        <f t="shared" si="2931"/>
        <v>0</v>
      </c>
      <c r="AH671" s="160">
        <f t="shared" si="2931"/>
        <v>0</v>
      </c>
      <c r="AI671" s="160">
        <f t="shared" si="2931"/>
        <v>0</v>
      </c>
      <c r="AJ671" s="160">
        <f t="shared" si="2931"/>
        <v>0</v>
      </c>
      <c r="AK671" s="160">
        <f t="shared" si="2931"/>
        <v>0</v>
      </c>
      <c r="AL671" s="160">
        <f t="shared" si="2931"/>
        <v>0</v>
      </c>
      <c r="AM671" s="160">
        <f t="shared" si="2931"/>
        <v>0</v>
      </c>
      <c r="AN671" s="160">
        <f t="shared" si="2931"/>
        <v>0</v>
      </c>
      <c r="AO671" s="160">
        <f t="shared" si="2931"/>
        <v>0</v>
      </c>
      <c r="AP671" s="160">
        <f t="shared" si="2931"/>
        <v>0</v>
      </c>
      <c r="AQ671" s="160">
        <f t="shared" si="2932"/>
        <v>0</v>
      </c>
      <c r="AR671" s="160">
        <f t="shared" si="2932"/>
        <v>0</v>
      </c>
      <c r="AS671" s="160">
        <f t="shared" si="2932"/>
        <v>0</v>
      </c>
      <c r="AT671" s="160">
        <f t="shared" si="2932"/>
        <v>0</v>
      </c>
      <c r="AU671" s="160">
        <f t="shared" si="2932"/>
        <v>0</v>
      </c>
      <c r="AV671" s="160">
        <f t="shared" si="2932"/>
        <v>0</v>
      </c>
      <c r="AW671" s="160">
        <f t="shared" si="2932"/>
        <v>0</v>
      </c>
      <c r="AX671" s="160">
        <f t="shared" si="2932"/>
        <v>0</v>
      </c>
      <c r="AY671" s="160">
        <f t="shared" si="2932"/>
        <v>0</v>
      </c>
      <c r="AZ671" s="160">
        <f t="shared" si="2932"/>
        <v>0</v>
      </c>
      <c r="BA671" s="160">
        <f t="shared" si="2932"/>
        <v>0</v>
      </c>
      <c r="BB671" s="160">
        <f t="shared" si="2932"/>
        <v>0</v>
      </c>
      <c r="BC671" s="160">
        <f t="shared" si="2932"/>
        <v>0</v>
      </c>
      <c r="BD671" s="160">
        <f t="shared" si="2932"/>
        <v>0</v>
      </c>
      <c r="BE671" s="160">
        <f t="shared" si="2932"/>
        <v>0</v>
      </c>
      <c r="BF671" s="160">
        <f t="shared" si="2932"/>
        <v>0</v>
      </c>
      <c r="BG671" s="160">
        <f t="shared" si="2933"/>
        <v>0</v>
      </c>
      <c r="BH671" s="160">
        <f t="shared" si="2933"/>
        <v>0</v>
      </c>
      <c r="BI671" s="160">
        <f t="shared" si="2933"/>
        <v>0</v>
      </c>
      <c r="BJ671" s="160">
        <f t="shared" si="2933"/>
        <v>0</v>
      </c>
      <c r="BK671" s="160">
        <f t="shared" si="2933"/>
        <v>0</v>
      </c>
      <c r="BL671" s="160">
        <f t="shared" si="2933"/>
        <v>0</v>
      </c>
      <c r="BM671" s="160">
        <f t="shared" si="2933"/>
        <v>0</v>
      </c>
      <c r="BN671" s="160">
        <f t="shared" si="2933"/>
        <v>0</v>
      </c>
      <c r="BO671" s="160">
        <f t="shared" si="2933"/>
        <v>0</v>
      </c>
      <c r="BP671" s="160">
        <f t="shared" si="2933"/>
        <v>0</v>
      </c>
      <c r="BQ671" s="160">
        <f t="shared" si="2933"/>
        <v>0</v>
      </c>
      <c r="BR671" s="160">
        <f t="shared" si="2933"/>
        <v>0</v>
      </c>
      <c r="BS671" s="65"/>
      <c r="BT671" s="160">
        <f t="shared" si="2934"/>
        <v>0</v>
      </c>
      <c r="BU671" s="160">
        <f t="shared" si="2935"/>
        <v>0</v>
      </c>
      <c r="BV671" s="65"/>
      <c r="BW671" s="69"/>
      <c r="BX671" s="65"/>
      <c r="BY671" s="137">
        <f t="shared" si="2936"/>
        <v>1</v>
      </c>
      <c r="BZ671" s="137">
        <f>IF(BY671&gt;0,BY671+LARGE($BZ$213:BZ670,1),0)</f>
        <v>383</v>
      </c>
      <c r="CA671" s="137" t="str">
        <f t="shared" si="2937"/>
        <v>SUP.-ESP</v>
      </c>
      <c r="CB671" s="161">
        <f t="shared" si="2938"/>
        <v>0</v>
      </c>
      <c r="CC671" s="161">
        <f t="shared" si="2939"/>
        <v>0</v>
      </c>
      <c r="CD671" s="161">
        <f t="shared" si="2940"/>
        <v>0</v>
      </c>
      <c r="CE671" s="161">
        <f t="shared" si="2941"/>
        <v>0</v>
      </c>
      <c r="CF671" s="161">
        <f t="shared" si="2942"/>
        <v>0</v>
      </c>
      <c r="CG671" s="161">
        <f t="shared" si="2943"/>
        <v>0</v>
      </c>
      <c r="CH671" s="161">
        <f t="shared" si="2944"/>
        <v>0</v>
      </c>
      <c r="CI671" s="161">
        <f t="shared" si="2945"/>
        <v>0</v>
      </c>
      <c r="CJ671" s="161">
        <f t="shared" si="2946"/>
        <v>0</v>
      </c>
      <c r="CK671" s="161">
        <f t="shared" si="2947"/>
        <v>0</v>
      </c>
      <c r="CL671" s="161">
        <f t="shared" si="2948"/>
        <v>0</v>
      </c>
      <c r="CM671" s="161">
        <f t="shared" si="2949"/>
        <v>0</v>
      </c>
      <c r="CN671" s="161">
        <f t="shared" si="2950"/>
        <v>0</v>
      </c>
      <c r="CO671" s="161">
        <f t="shared" si="2951"/>
        <v>0</v>
      </c>
      <c r="CP671" s="161">
        <f t="shared" si="2952"/>
        <v>0</v>
      </c>
      <c r="CQ671" s="161">
        <f t="shared" si="2953"/>
        <v>0</v>
      </c>
      <c r="CR671" s="161">
        <f t="shared" si="2954"/>
        <v>0</v>
      </c>
      <c r="CS671" s="161">
        <f t="shared" si="2955"/>
        <v>0</v>
      </c>
      <c r="CT671" s="161">
        <f t="shared" si="2956"/>
        <v>0</v>
      </c>
      <c r="CU671" s="161">
        <f t="shared" si="2957"/>
        <v>0</v>
      </c>
      <c r="CV671" s="161">
        <f t="shared" si="2958"/>
        <v>0</v>
      </c>
      <c r="CW671" s="161">
        <f t="shared" si="2959"/>
        <v>0</v>
      </c>
      <c r="CX671" s="161">
        <f t="shared" si="2960"/>
        <v>0</v>
      </c>
      <c r="CY671" s="161">
        <f t="shared" si="2961"/>
        <v>0</v>
      </c>
      <c r="CZ671" s="161">
        <f t="shared" si="2962"/>
        <v>0</v>
      </c>
      <c r="DA671" s="161">
        <f t="shared" si="2963"/>
        <v>0</v>
      </c>
      <c r="DB671" s="161">
        <f t="shared" si="2964"/>
        <v>0</v>
      </c>
      <c r="DC671" s="161">
        <f t="shared" si="2965"/>
        <v>0</v>
      </c>
      <c r="DD671" s="161">
        <f t="shared" si="2966"/>
        <v>0</v>
      </c>
      <c r="DE671" s="161">
        <f t="shared" si="2967"/>
        <v>0</v>
      </c>
      <c r="DF671" s="161">
        <f t="shared" si="2968"/>
        <v>0</v>
      </c>
      <c r="DG671" s="161">
        <f t="shared" si="2969"/>
        <v>0</v>
      </c>
      <c r="DH671" s="161">
        <f t="shared" si="2970"/>
        <v>0</v>
      </c>
      <c r="DI671" s="161">
        <f t="shared" si="2971"/>
        <v>0</v>
      </c>
      <c r="DJ671" s="161">
        <f t="shared" si="2972"/>
        <v>0</v>
      </c>
      <c r="DK671" s="161">
        <f t="shared" si="2973"/>
        <v>0</v>
      </c>
      <c r="DL671" s="161">
        <f t="shared" si="2974"/>
        <v>0</v>
      </c>
      <c r="DM671" s="161">
        <f t="shared" si="2975"/>
        <v>0</v>
      </c>
      <c r="DN671" s="161">
        <f t="shared" si="2976"/>
        <v>0</v>
      </c>
      <c r="DO671" s="161">
        <f t="shared" si="2977"/>
        <v>0</v>
      </c>
      <c r="DP671" s="161">
        <f t="shared" si="2978"/>
        <v>0</v>
      </c>
      <c r="DQ671" s="161">
        <f t="shared" si="2979"/>
        <v>0</v>
      </c>
      <c r="DR671" s="161">
        <f t="shared" si="2980"/>
        <v>0</v>
      </c>
      <c r="DS671" s="161">
        <f t="shared" si="2981"/>
        <v>0</v>
      </c>
      <c r="DT671" s="161">
        <f t="shared" si="2982"/>
        <v>0</v>
      </c>
      <c r="DU671" s="161">
        <f t="shared" si="2983"/>
        <v>0</v>
      </c>
      <c r="DV671" s="161">
        <f t="shared" si="2984"/>
        <v>0</v>
      </c>
      <c r="DW671" s="161">
        <f t="shared" si="2985"/>
        <v>0</v>
      </c>
      <c r="DX671" s="161">
        <f t="shared" si="2986"/>
        <v>0</v>
      </c>
      <c r="DY671" s="161">
        <f t="shared" si="2987"/>
        <v>0</v>
      </c>
      <c r="DZ671" s="161">
        <f t="shared" si="2988"/>
        <v>0</v>
      </c>
      <c r="EA671" s="161">
        <f t="shared" si="2989"/>
        <v>0</v>
      </c>
      <c r="EB671" s="161">
        <f t="shared" si="2990"/>
        <v>0</v>
      </c>
      <c r="EC671" s="161">
        <f t="shared" si="2991"/>
        <v>0</v>
      </c>
      <c r="ED671" s="161">
        <f t="shared" si="2992"/>
        <v>0</v>
      </c>
      <c r="EE671" s="161">
        <f t="shared" si="2993"/>
        <v>0</v>
      </c>
      <c r="EF671" s="161">
        <f t="shared" si="2994"/>
        <v>0</v>
      </c>
      <c r="EG671" s="161">
        <f t="shared" si="2995"/>
        <v>0</v>
      </c>
      <c r="EH671" s="161">
        <f t="shared" si="2996"/>
        <v>0</v>
      </c>
      <c r="EI671" s="161">
        <f t="shared" si="2997"/>
        <v>0</v>
      </c>
      <c r="EJ671" s="65"/>
      <c r="EK671" s="161">
        <f t="shared" si="2998"/>
        <v>0</v>
      </c>
      <c r="EL671" s="161">
        <f t="shared" si="2999"/>
        <v>0</v>
      </c>
      <c r="EM671" s="161">
        <f t="shared" si="3000"/>
        <v>0</v>
      </c>
    </row>
    <row r="672" spans="1:143" ht="12" hidden="1" customHeight="1" outlineLevel="2">
      <c r="A672" s="77">
        <v>4</v>
      </c>
      <c r="B672" s="137" t="str">
        <f t="shared" si="2928"/>
        <v>ENG/ARQ SR. - Equipe_01</v>
      </c>
      <c r="C672" s="65"/>
      <c r="D672" s="621"/>
      <c r="E672" s="65"/>
      <c r="F672" s="603"/>
      <c r="G672" s="77" t="str">
        <f>IF(INDEX(Tarefas!$BT$30:$FK$30,MATCH(A672,Tarefas!$BT$28:$FK$28,0))=0,"",INDEX(Tarefas!$BT$30:$FK$30,MATCH(A672,Tarefas!$BT$28:$FK$28,0)))</f>
        <v>ENG/ARQ SR.</v>
      </c>
      <c r="H672" s="107" cm="1">
        <f t="array" ref="H672">IFERROR((SUMPRODUCT((Tarefas!$N$32:$N$54='Cronog. e Histog.'!$F$669)*(Tarefas!$BQ$30:$FK$30='Cronog. e Histog.'!$G672)*(Tarefas!$BQ$32:$FK$54)))/SUMIF(Tarefas!$N$32:$N$54,'Cronog. e Histog.'!$F$669,Tarefas!$K$32:$K$54),0)</f>
        <v>2.4390243902439025E-2</v>
      </c>
      <c r="I672" s="79">
        <f t="shared" si="2929"/>
        <v>2.4390243902439025E-2</v>
      </c>
      <c r="J672" s="65"/>
      <c r="K672" s="160">
        <f t="shared" si="2930"/>
        <v>0</v>
      </c>
      <c r="L672" s="160">
        <f t="shared" si="2930"/>
        <v>0</v>
      </c>
      <c r="M672" s="160">
        <f t="shared" si="2930"/>
        <v>0</v>
      </c>
      <c r="N672" s="160">
        <f t="shared" si="2930"/>
        <v>0</v>
      </c>
      <c r="O672" s="160">
        <f t="shared" si="2930"/>
        <v>0</v>
      </c>
      <c r="P672" s="160">
        <f t="shared" si="2930"/>
        <v>0</v>
      </c>
      <c r="Q672" s="160">
        <f t="shared" si="2930"/>
        <v>0</v>
      </c>
      <c r="R672" s="160">
        <f t="shared" si="2930"/>
        <v>0</v>
      </c>
      <c r="S672" s="160">
        <f t="shared" si="2930"/>
        <v>0</v>
      </c>
      <c r="T672" s="160">
        <f t="shared" si="2930"/>
        <v>0</v>
      </c>
      <c r="U672" s="160">
        <f t="shared" si="2930"/>
        <v>0</v>
      </c>
      <c r="V672" s="160">
        <f t="shared" si="2930"/>
        <v>0</v>
      </c>
      <c r="W672" s="160">
        <f t="shared" si="2930"/>
        <v>0</v>
      </c>
      <c r="X672" s="160">
        <f t="shared" si="2930"/>
        <v>0</v>
      </c>
      <c r="Y672" s="160">
        <f t="shared" si="2930"/>
        <v>0</v>
      </c>
      <c r="Z672" s="160">
        <f t="shared" si="2930"/>
        <v>0</v>
      </c>
      <c r="AA672" s="160">
        <f t="shared" si="2931"/>
        <v>0</v>
      </c>
      <c r="AB672" s="160">
        <f t="shared" si="2931"/>
        <v>0</v>
      </c>
      <c r="AC672" s="160">
        <f t="shared" si="2931"/>
        <v>0</v>
      </c>
      <c r="AD672" s="160">
        <f t="shared" si="2931"/>
        <v>0</v>
      </c>
      <c r="AE672" s="160">
        <f t="shared" si="2931"/>
        <v>0</v>
      </c>
      <c r="AF672" s="160">
        <f t="shared" si="2931"/>
        <v>0</v>
      </c>
      <c r="AG672" s="160">
        <f t="shared" si="2931"/>
        <v>0</v>
      </c>
      <c r="AH672" s="160">
        <f t="shared" si="2931"/>
        <v>0</v>
      </c>
      <c r="AI672" s="160">
        <f t="shared" si="2931"/>
        <v>0</v>
      </c>
      <c r="AJ672" s="160">
        <f t="shared" si="2931"/>
        <v>0</v>
      </c>
      <c r="AK672" s="160">
        <f t="shared" si="2931"/>
        <v>0</v>
      </c>
      <c r="AL672" s="160">
        <f t="shared" si="2931"/>
        <v>0</v>
      </c>
      <c r="AM672" s="160">
        <f t="shared" si="2931"/>
        <v>0</v>
      </c>
      <c r="AN672" s="160">
        <f t="shared" si="2931"/>
        <v>0</v>
      </c>
      <c r="AO672" s="160">
        <f t="shared" si="2931"/>
        <v>0</v>
      </c>
      <c r="AP672" s="160">
        <f t="shared" si="2931"/>
        <v>0</v>
      </c>
      <c r="AQ672" s="160">
        <f t="shared" si="2932"/>
        <v>0</v>
      </c>
      <c r="AR672" s="160">
        <f t="shared" si="2932"/>
        <v>0</v>
      </c>
      <c r="AS672" s="160">
        <f t="shared" si="2932"/>
        <v>0</v>
      </c>
      <c r="AT672" s="160">
        <f t="shared" si="2932"/>
        <v>0</v>
      </c>
      <c r="AU672" s="160">
        <f t="shared" si="2932"/>
        <v>0</v>
      </c>
      <c r="AV672" s="160">
        <f t="shared" si="2932"/>
        <v>0</v>
      </c>
      <c r="AW672" s="160">
        <f t="shared" si="2932"/>
        <v>0</v>
      </c>
      <c r="AX672" s="160">
        <f t="shared" si="2932"/>
        <v>0</v>
      </c>
      <c r="AY672" s="160">
        <f t="shared" si="2932"/>
        <v>0</v>
      </c>
      <c r="AZ672" s="160">
        <f t="shared" si="2932"/>
        <v>0</v>
      </c>
      <c r="BA672" s="160">
        <f t="shared" si="2932"/>
        <v>0</v>
      </c>
      <c r="BB672" s="160">
        <f t="shared" si="2932"/>
        <v>0</v>
      </c>
      <c r="BC672" s="160">
        <f t="shared" si="2932"/>
        <v>0</v>
      </c>
      <c r="BD672" s="160">
        <f t="shared" si="2932"/>
        <v>0</v>
      </c>
      <c r="BE672" s="160">
        <f t="shared" si="2932"/>
        <v>0</v>
      </c>
      <c r="BF672" s="160">
        <f t="shared" si="2932"/>
        <v>0</v>
      </c>
      <c r="BG672" s="160">
        <f t="shared" si="2933"/>
        <v>0</v>
      </c>
      <c r="BH672" s="160">
        <f t="shared" si="2933"/>
        <v>0</v>
      </c>
      <c r="BI672" s="160">
        <f t="shared" si="2933"/>
        <v>0</v>
      </c>
      <c r="BJ672" s="160">
        <f t="shared" si="2933"/>
        <v>0</v>
      </c>
      <c r="BK672" s="160">
        <f t="shared" si="2933"/>
        <v>0</v>
      </c>
      <c r="BL672" s="160">
        <f t="shared" si="2933"/>
        <v>0</v>
      </c>
      <c r="BM672" s="160">
        <f t="shared" si="2933"/>
        <v>0</v>
      </c>
      <c r="BN672" s="160">
        <f t="shared" si="2933"/>
        <v>0</v>
      </c>
      <c r="BO672" s="160">
        <f t="shared" si="2933"/>
        <v>0</v>
      </c>
      <c r="BP672" s="160">
        <f t="shared" si="2933"/>
        <v>0</v>
      </c>
      <c r="BQ672" s="160">
        <f t="shared" si="2933"/>
        <v>0</v>
      </c>
      <c r="BR672" s="160">
        <f t="shared" si="2933"/>
        <v>0</v>
      </c>
      <c r="BS672" s="65"/>
      <c r="BT672" s="160">
        <f t="shared" si="2934"/>
        <v>0</v>
      </c>
      <c r="BU672" s="160">
        <f t="shared" si="2935"/>
        <v>0</v>
      </c>
      <c r="BV672" s="65"/>
      <c r="BW672" s="69"/>
      <c r="BX672" s="65"/>
      <c r="BY672" s="137">
        <f t="shared" si="2936"/>
        <v>1</v>
      </c>
      <c r="BZ672" s="137">
        <f>IF(BY672&gt;0,BY672+LARGE($BZ$213:BZ671,1),0)</f>
        <v>384</v>
      </c>
      <c r="CA672" s="137" t="str">
        <f t="shared" si="2937"/>
        <v>ENG/ARQ SR.</v>
      </c>
      <c r="CB672" s="161">
        <f t="shared" si="2938"/>
        <v>0</v>
      </c>
      <c r="CC672" s="161">
        <f t="shared" si="2939"/>
        <v>0</v>
      </c>
      <c r="CD672" s="161">
        <f t="shared" si="2940"/>
        <v>0</v>
      </c>
      <c r="CE672" s="161">
        <f t="shared" si="2941"/>
        <v>0</v>
      </c>
      <c r="CF672" s="161">
        <f t="shared" si="2942"/>
        <v>0</v>
      </c>
      <c r="CG672" s="161">
        <f t="shared" si="2943"/>
        <v>0</v>
      </c>
      <c r="CH672" s="161">
        <f t="shared" si="2944"/>
        <v>0</v>
      </c>
      <c r="CI672" s="161">
        <f t="shared" si="2945"/>
        <v>0</v>
      </c>
      <c r="CJ672" s="161">
        <f t="shared" si="2946"/>
        <v>0</v>
      </c>
      <c r="CK672" s="161">
        <f t="shared" si="2947"/>
        <v>0</v>
      </c>
      <c r="CL672" s="161">
        <f t="shared" si="2948"/>
        <v>0</v>
      </c>
      <c r="CM672" s="161">
        <f t="shared" si="2949"/>
        <v>0</v>
      </c>
      <c r="CN672" s="161">
        <f t="shared" si="2950"/>
        <v>0</v>
      </c>
      <c r="CO672" s="161">
        <f t="shared" si="2951"/>
        <v>0</v>
      </c>
      <c r="CP672" s="161">
        <f t="shared" si="2952"/>
        <v>0</v>
      </c>
      <c r="CQ672" s="161">
        <f t="shared" si="2953"/>
        <v>0</v>
      </c>
      <c r="CR672" s="161">
        <f t="shared" si="2954"/>
        <v>0</v>
      </c>
      <c r="CS672" s="161">
        <f t="shared" si="2955"/>
        <v>0</v>
      </c>
      <c r="CT672" s="161">
        <f t="shared" si="2956"/>
        <v>0</v>
      </c>
      <c r="CU672" s="161">
        <f t="shared" si="2957"/>
        <v>0</v>
      </c>
      <c r="CV672" s="161">
        <f t="shared" si="2958"/>
        <v>0</v>
      </c>
      <c r="CW672" s="161">
        <f t="shared" si="2959"/>
        <v>0</v>
      </c>
      <c r="CX672" s="161">
        <f t="shared" si="2960"/>
        <v>0</v>
      </c>
      <c r="CY672" s="161">
        <f t="shared" si="2961"/>
        <v>0</v>
      </c>
      <c r="CZ672" s="161">
        <f t="shared" si="2962"/>
        <v>0</v>
      </c>
      <c r="DA672" s="161">
        <f t="shared" si="2963"/>
        <v>0</v>
      </c>
      <c r="DB672" s="161">
        <f t="shared" si="2964"/>
        <v>0</v>
      </c>
      <c r="DC672" s="161">
        <f t="shared" si="2965"/>
        <v>0</v>
      </c>
      <c r="DD672" s="161">
        <f t="shared" si="2966"/>
        <v>0</v>
      </c>
      <c r="DE672" s="161">
        <f t="shared" si="2967"/>
        <v>0</v>
      </c>
      <c r="DF672" s="161">
        <f t="shared" si="2968"/>
        <v>0</v>
      </c>
      <c r="DG672" s="161">
        <f t="shared" si="2969"/>
        <v>0</v>
      </c>
      <c r="DH672" s="161">
        <f t="shared" si="2970"/>
        <v>0</v>
      </c>
      <c r="DI672" s="161">
        <f t="shared" si="2971"/>
        <v>0</v>
      </c>
      <c r="DJ672" s="161">
        <f t="shared" si="2972"/>
        <v>0</v>
      </c>
      <c r="DK672" s="161">
        <f t="shared" si="2973"/>
        <v>0</v>
      </c>
      <c r="DL672" s="161">
        <f t="shared" si="2974"/>
        <v>0</v>
      </c>
      <c r="DM672" s="161">
        <f t="shared" si="2975"/>
        <v>0</v>
      </c>
      <c r="DN672" s="161">
        <f t="shared" si="2976"/>
        <v>0</v>
      </c>
      <c r="DO672" s="161">
        <f t="shared" si="2977"/>
        <v>0</v>
      </c>
      <c r="DP672" s="161">
        <f t="shared" si="2978"/>
        <v>0</v>
      </c>
      <c r="DQ672" s="161">
        <f t="shared" si="2979"/>
        <v>0</v>
      </c>
      <c r="DR672" s="161">
        <f t="shared" si="2980"/>
        <v>0</v>
      </c>
      <c r="DS672" s="161">
        <f t="shared" si="2981"/>
        <v>0</v>
      </c>
      <c r="DT672" s="161">
        <f t="shared" si="2982"/>
        <v>0</v>
      </c>
      <c r="DU672" s="161">
        <f t="shared" si="2983"/>
        <v>0</v>
      </c>
      <c r="DV672" s="161">
        <f t="shared" si="2984"/>
        <v>0</v>
      </c>
      <c r="DW672" s="161">
        <f t="shared" si="2985"/>
        <v>0</v>
      </c>
      <c r="DX672" s="161">
        <f t="shared" si="2986"/>
        <v>0</v>
      </c>
      <c r="DY672" s="161">
        <f t="shared" si="2987"/>
        <v>0</v>
      </c>
      <c r="DZ672" s="161">
        <f t="shared" si="2988"/>
        <v>0</v>
      </c>
      <c r="EA672" s="161">
        <f t="shared" si="2989"/>
        <v>0</v>
      </c>
      <c r="EB672" s="161">
        <f t="shared" si="2990"/>
        <v>0</v>
      </c>
      <c r="EC672" s="161">
        <f t="shared" si="2991"/>
        <v>0</v>
      </c>
      <c r="ED672" s="161">
        <f t="shared" si="2992"/>
        <v>0</v>
      </c>
      <c r="EE672" s="161">
        <f t="shared" si="2993"/>
        <v>0</v>
      </c>
      <c r="EF672" s="161">
        <f t="shared" si="2994"/>
        <v>0</v>
      </c>
      <c r="EG672" s="161">
        <f t="shared" si="2995"/>
        <v>0</v>
      </c>
      <c r="EH672" s="161">
        <f t="shared" si="2996"/>
        <v>0</v>
      </c>
      <c r="EI672" s="161">
        <f t="shared" si="2997"/>
        <v>0</v>
      </c>
      <c r="EJ672" s="65"/>
      <c r="EK672" s="161">
        <f t="shared" si="2998"/>
        <v>0</v>
      </c>
      <c r="EL672" s="161">
        <f t="shared" si="2999"/>
        <v>0</v>
      </c>
      <c r="EM672" s="161">
        <f t="shared" si="3000"/>
        <v>0</v>
      </c>
    </row>
    <row r="673" spans="1:143" ht="12" hidden="1" customHeight="1" outlineLevel="2">
      <c r="A673" s="77">
        <v>5</v>
      </c>
      <c r="B673" s="137" t="str">
        <f t="shared" si="2928"/>
        <v>ENG/ARQ PL. - Equipe_01</v>
      </c>
      <c r="C673" s="65"/>
      <c r="D673" s="621"/>
      <c r="E673" s="65"/>
      <c r="F673" s="603"/>
      <c r="G673" s="77" t="str">
        <f>IF(INDEX(Tarefas!$BT$30:$FK$30,MATCH(A673,Tarefas!$BT$28:$FK$28,0))=0,"",INDEX(Tarefas!$BT$30:$FK$30,MATCH(A673,Tarefas!$BT$28:$FK$28,0)))</f>
        <v>ENG/ARQ PL.</v>
      </c>
      <c r="H673" s="107" cm="1">
        <f t="array" ref="H673">IFERROR((SUMPRODUCT((Tarefas!$N$32:$N$54='Cronog. e Histog.'!$F$669)*(Tarefas!$BQ$30:$FK$30='Cronog. e Histog.'!$G673)*(Tarefas!$BQ$32:$FK$54)))/SUMIF(Tarefas!$N$32:$N$54,'Cronog. e Histog.'!$F$669,Tarefas!$K$32:$K$54),0)</f>
        <v>0.97560975609756095</v>
      </c>
      <c r="I673" s="79">
        <f t="shared" si="2929"/>
        <v>0.97560975609756095</v>
      </c>
      <c r="J673" s="65"/>
      <c r="K673" s="160">
        <f t="shared" si="2930"/>
        <v>0.11</v>
      </c>
      <c r="L673" s="160">
        <f t="shared" si="2930"/>
        <v>0.11</v>
      </c>
      <c r="M673" s="160">
        <f t="shared" si="2930"/>
        <v>0.11</v>
      </c>
      <c r="N673" s="160">
        <f t="shared" si="2930"/>
        <v>0.11</v>
      </c>
      <c r="O673" s="160">
        <f t="shared" si="2930"/>
        <v>0.11</v>
      </c>
      <c r="P673" s="160">
        <f t="shared" si="2930"/>
        <v>0.11</v>
      </c>
      <c r="Q673" s="160">
        <f t="shared" si="2930"/>
        <v>0.11</v>
      </c>
      <c r="R673" s="160">
        <f t="shared" si="2930"/>
        <v>0.11</v>
      </c>
      <c r="S673" s="160">
        <f t="shared" si="2930"/>
        <v>0.11</v>
      </c>
      <c r="T673" s="160">
        <f t="shared" si="2930"/>
        <v>0.11</v>
      </c>
      <c r="U673" s="160">
        <f t="shared" si="2930"/>
        <v>0</v>
      </c>
      <c r="V673" s="160">
        <f t="shared" si="2930"/>
        <v>0</v>
      </c>
      <c r="W673" s="160">
        <f t="shared" si="2930"/>
        <v>0</v>
      </c>
      <c r="X673" s="160">
        <f t="shared" si="2930"/>
        <v>0</v>
      </c>
      <c r="Y673" s="160">
        <f t="shared" si="2930"/>
        <v>0</v>
      </c>
      <c r="Z673" s="160">
        <f t="shared" si="2930"/>
        <v>0</v>
      </c>
      <c r="AA673" s="160">
        <f t="shared" si="2931"/>
        <v>0</v>
      </c>
      <c r="AB673" s="160">
        <f t="shared" si="2931"/>
        <v>0</v>
      </c>
      <c r="AC673" s="160">
        <f t="shared" si="2931"/>
        <v>0</v>
      </c>
      <c r="AD673" s="160">
        <f t="shared" si="2931"/>
        <v>0</v>
      </c>
      <c r="AE673" s="160">
        <f t="shared" si="2931"/>
        <v>0</v>
      </c>
      <c r="AF673" s="160">
        <f t="shared" si="2931"/>
        <v>0</v>
      </c>
      <c r="AG673" s="160">
        <f t="shared" si="2931"/>
        <v>0</v>
      </c>
      <c r="AH673" s="160">
        <f t="shared" si="2931"/>
        <v>0</v>
      </c>
      <c r="AI673" s="160">
        <f t="shared" si="2931"/>
        <v>0</v>
      </c>
      <c r="AJ673" s="160">
        <f t="shared" si="2931"/>
        <v>0</v>
      </c>
      <c r="AK673" s="160">
        <f t="shared" si="2931"/>
        <v>0</v>
      </c>
      <c r="AL673" s="160">
        <f t="shared" si="2931"/>
        <v>0</v>
      </c>
      <c r="AM673" s="160">
        <f t="shared" si="2931"/>
        <v>0</v>
      </c>
      <c r="AN673" s="160">
        <f t="shared" si="2931"/>
        <v>0</v>
      </c>
      <c r="AO673" s="160">
        <f t="shared" si="2931"/>
        <v>0</v>
      </c>
      <c r="AP673" s="160">
        <f t="shared" si="2931"/>
        <v>0</v>
      </c>
      <c r="AQ673" s="160">
        <f t="shared" si="2932"/>
        <v>0</v>
      </c>
      <c r="AR673" s="160">
        <f t="shared" si="2932"/>
        <v>0</v>
      </c>
      <c r="AS673" s="160">
        <f t="shared" si="2932"/>
        <v>0</v>
      </c>
      <c r="AT673" s="160">
        <f t="shared" si="2932"/>
        <v>0</v>
      </c>
      <c r="AU673" s="160">
        <f t="shared" si="2932"/>
        <v>0</v>
      </c>
      <c r="AV673" s="160">
        <f t="shared" si="2932"/>
        <v>0</v>
      </c>
      <c r="AW673" s="160">
        <f t="shared" si="2932"/>
        <v>0</v>
      </c>
      <c r="AX673" s="160">
        <f t="shared" si="2932"/>
        <v>0</v>
      </c>
      <c r="AY673" s="160">
        <f t="shared" si="2932"/>
        <v>0</v>
      </c>
      <c r="AZ673" s="160">
        <f t="shared" si="2932"/>
        <v>0</v>
      </c>
      <c r="BA673" s="160">
        <f t="shared" si="2932"/>
        <v>0</v>
      </c>
      <c r="BB673" s="160">
        <f t="shared" si="2932"/>
        <v>0</v>
      </c>
      <c r="BC673" s="160">
        <f t="shared" si="2932"/>
        <v>0</v>
      </c>
      <c r="BD673" s="160">
        <f t="shared" si="2932"/>
        <v>0</v>
      </c>
      <c r="BE673" s="160">
        <f t="shared" si="2932"/>
        <v>0</v>
      </c>
      <c r="BF673" s="160">
        <f t="shared" si="2932"/>
        <v>0</v>
      </c>
      <c r="BG673" s="160">
        <f t="shared" si="2933"/>
        <v>0</v>
      </c>
      <c r="BH673" s="160">
        <f t="shared" si="2933"/>
        <v>0</v>
      </c>
      <c r="BI673" s="160">
        <f t="shared" si="2933"/>
        <v>0</v>
      </c>
      <c r="BJ673" s="160">
        <f t="shared" si="2933"/>
        <v>0</v>
      </c>
      <c r="BK673" s="160">
        <f t="shared" si="2933"/>
        <v>0</v>
      </c>
      <c r="BL673" s="160">
        <f t="shared" si="2933"/>
        <v>0</v>
      </c>
      <c r="BM673" s="160">
        <f t="shared" si="2933"/>
        <v>0</v>
      </c>
      <c r="BN673" s="160">
        <f t="shared" si="2933"/>
        <v>0</v>
      </c>
      <c r="BO673" s="160">
        <f t="shared" si="2933"/>
        <v>0</v>
      </c>
      <c r="BP673" s="160">
        <f t="shared" si="2933"/>
        <v>0</v>
      </c>
      <c r="BQ673" s="160">
        <f t="shared" si="2933"/>
        <v>0</v>
      </c>
      <c r="BR673" s="160">
        <f t="shared" si="2933"/>
        <v>0</v>
      </c>
      <c r="BS673" s="65"/>
      <c r="BT673" s="160">
        <f t="shared" si="2934"/>
        <v>0.11000000000000001</v>
      </c>
      <c r="BU673" s="160">
        <f t="shared" si="2935"/>
        <v>10</v>
      </c>
      <c r="BV673" s="65"/>
      <c r="BW673" s="69"/>
      <c r="BX673" s="65"/>
      <c r="BY673" s="137">
        <f t="shared" si="2936"/>
        <v>1</v>
      </c>
      <c r="BZ673" s="137">
        <f>IF(BY673&gt;0,BY673+LARGE($BZ$213:BZ672,1),0)</f>
        <v>385</v>
      </c>
      <c r="CA673" s="137" t="str">
        <f t="shared" si="2937"/>
        <v>ENG/ARQ PL.</v>
      </c>
      <c r="CB673" s="161">
        <f t="shared" si="2938"/>
        <v>0.11</v>
      </c>
      <c r="CC673" s="161">
        <f t="shared" si="2939"/>
        <v>0.11</v>
      </c>
      <c r="CD673" s="161">
        <f t="shared" si="2940"/>
        <v>0.11</v>
      </c>
      <c r="CE673" s="161">
        <f t="shared" si="2941"/>
        <v>0.11</v>
      </c>
      <c r="CF673" s="161">
        <f t="shared" si="2942"/>
        <v>0.11</v>
      </c>
      <c r="CG673" s="161">
        <f t="shared" si="2943"/>
        <v>0.11</v>
      </c>
      <c r="CH673" s="161">
        <f t="shared" si="2944"/>
        <v>0.11</v>
      </c>
      <c r="CI673" s="161">
        <f t="shared" si="2945"/>
        <v>0.11</v>
      </c>
      <c r="CJ673" s="161">
        <f t="shared" si="2946"/>
        <v>0.11</v>
      </c>
      <c r="CK673" s="161">
        <f t="shared" si="2947"/>
        <v>0.11</v>
      </c>
      <c r="CL673" s="161">
        <f t="shared" si="2948"/>
        <v>0</v>
      </c>
      <c r="CM673" s="161">
        <f t="shared" si="2949"/>
        <v>0</v>
      </c>
      <c r="CN673" s="161">
        <f t="shared" si="2950"/>
        <v>0</v>
      </c>
      <c r="CO673" s="161">
        <f t="shared" si="2951"/>
        <v>0</v>
      </c>
      <c r="CP673" s="161">
        <f t="shared" si="2952"/>
        <v>0</v>
      </c>
      <c r="CQ673" s="161">
        <f t="shared" si="2953"/>
        <v>0</v>
      </c>
      <c r="CR673" s="161">
        <f t="shared" si="2954"/>
        <v>0</v>
      </c>
      <c r="CS673" s="161">
        <f t="shared" si="2955"/>
        <v>0</v>
      </c>
      <c r="CT673" s="161">
        <f t="shared" si="2956"/>
        <v>0</v>
      </c>
      <c r="CU673" s="161">
        <f t="shared" si="2957"/>
        <v>0</v>
      </c>
      <c r="CV673" s="161">
        <f t="shared" si="2958"/>
        <v>0</v>
      </c>
      <c r="CW673" s="161">
        <f t="shared" si="2959"/>
        <v>0</v>
      </c>
      <c r="CX673" s="161">
        <f t="shared" si="2960"/>
        <v>0</v>
      </c>
      <c r="CY673" s="161">
        <f t="shared" si="2961"/>
        <v>0</v>
      </c>
      <c r="CZ673" s="161">
        <f t="shared" si="2962"/>
        <v>0</v>
      </c>
      <c r="DA673" s="161">
        <f t="shared" si="2963"/>
        <v>0</v>
      </c>
      <c r="DB673" s="161">
        <f t="shared" si="2964"/>
        <v>0</v>
      </c>
      <c r="DC673" s="161">
        <f t="shared" si="2965"/>
        <v>0</v>
      </c>
      <c r="DD673" s="161">
        <f t="shared" si="2966"/>
        <v>0</v>
      </c>
      <c r="DE673" s="161">
        <f t="shared" si="2967"/>
        <v>0</v>
      </c>
      <c r="DF673" s="161">
        <f t="shared" si="2968"/>
        <v>0</v>
      </c>
      <c r="DG673" s="161">
        <f t="shared" si="2969"/>
        <v>0</v>
      </c>
      <c r="DH673" s="161">
        <f t="shared" si="2970"/>
        <v>0</v>
      </c>
      <c r="DI673" s="161">
        <f t="shared" si="2971"/>
        <v>0</v>
      </c>
      <c r="DJ673" s="161">
        <f t="shared" si="2972"/>
        <v>0</v>
      </c>
      <c r="DK673" s="161">
        <f t="shared" si="2973"/>
        <v>0</v>
      </c>
      <c r="DL673" s="161">
        <f t="shared" si="2974"/>
        <v>0</v>
      </c>
      <c r="DM673" s="161">
        <f t="shared" si="2975"/>
        <v>0</v>
      </c>
      <c r="DN673" s="161">
        <f t="shared" si="2976"/>
        <v>0</v>
      </c>
      <c r="DO673" s="161">
        <f t="shared" si="2977"/>
        <v>0</v>
      </c>
      <c r="DP673" s="161">
        <f t="shared" si="2978"/>
        <v>0</v>
      </c>
      <c r="DQ673" s="161">
        <f t="shared" si="2979"/>
        <v>0</v>
      </c>
      <c r="DR673" s="161">
        <f t="shared" si="2980"/>
        <v>0</v>
      </c>
      <c r="DS673" s="161">
        <f t="shared" si="2981"/>
        <v>0</v>
      </c>
      <c r="DT673" s="161">
        <f t="shared" si="2982"/>
        <v>0</v>
      </c>
      <c r="DU673" s="161">
        <f t="shared" si="2983"/>
        <v>0</v>
      </c>
      <c r="DV673" s="161">
        <f t="shared" si="2984"/>
        <v>0</v>
      </c>
      <c r="DW673" s="161">
        <f t="shared" si="2985"/>
        <v>0</v>
      </c>
      <c r="DX673" s="161">
        <f t="shared" si="2986"/>
        <v>0</v>
      </c>
      <c r="DY673" s="161">
        <f t="shared" si="2987"/>
        <v>0</v>
      </c>
      <c r="DZ673" s="161">
        <f t="shared" si="2988"/>
        <v>0</v>
      </c>
      <c r="EA673" s="161">
        <f t="shared" si="2989"/>
        <v>0</v>
      </c>
      <c r="EB673" s="161">
        <f t="shared" si="2990"/>
        <v>0</v>
      </c>
      <c r="EC673" s="161">
        <f t="shared" si="2991"/>
        <v>0</v>
      </c>
      <c r="ED673" s="161">
        <f t="shared" si="2992"/>
        <v>0</v>
      </c>
      <c r="EE673" s="161">
        <f t="shared" si="2993"/>
        <v>0</v>
      </c>
      <c r="EF673" s="161">
        <f t="shared" si="2994"/>
        <v>0</v>
      </c>
      <c r="EG673" s="161">
        <f t="shared" si="2995"/>
        <v>0</v>
      </c>
      <c r="EH673" s="161">
        <f t="shared" si="2996"/>
        <v>0</v>
      </c>
      <c r="EI673" s="161">
        <f t="shared" si="2997"/>
        <v>0</v>
      </c>
      <c r="EJ673" s="65"/>
      <c r="EK673" s="161">
        <f t="shared" si="2998"/>
        <v>0</v>
      </c>
      <c r="EL673" s="161">
        <f t="shared" si="2999"/>
        <v>0</v>
      </c>
      <c r="EM673" s="161">
        <f t="shared" si="3000"/>
        <v>0</v>
      </c>
    </row>
    <row r="674" spans="1:143" ht="12" hidden="1" customHeight="1" outlineLevel="2">
      <c r="A674" s="77">
        <v>6</v>
      </c>
      <c r="B674" s="137" t="str">
        <f t="shared" si="2928"/>
        <v>ENG/ARQ JR. - Equipe_01</v>
      </c>
      <c r="C674" s="65"/>
      <c r="D674" s="621"/>
      <c r="E674" s="65"/>
      <c r="F674" s="603"/>
      <c r="G674" s="77" t="str">
        <f>IF(INDEX(Tarefas!$BT$30:$FK$30,MATCH(A674,Tarefas!$BT$28:$FK$28,0))=0,"",INDEX(Tarefas!$BT$30:$FK$30,MATCH(A674,Tarefas!$BT$28:$FK$28,0)))</f>
        <v>ENG/ARQ JR.</v>
      </c>
      <c r="H674" s="107" cm="1">
        <f t="array" ref="H674">IFERROR((SUMPRODUCT((Tarefas!$N$32:$N$54='Cronog. e Histog.'!$F$669)*(Tarefas!$BQ$30:$FK$30='Cronog. e Histog.'!$G674)*(Tarefas!$BQ$32:$FK$54)))/SUMIF(Tarefas!$N$32:$N$54,'Cronog. e Histog.'!$F$669,Tarefas!$K$32:$K$54),0)</f>
        <v>0</v>
      </c>
      <c r="I674" s="79">
        <f t="shared" si="2929"/>
        <v>0</v>
      </c>
      <c r="J674" s="65"/>
      <c r="K674" s="160">
        <f t="shared" si="2930"/>
        <v>0</v>
      </c>
      <c r="L674" s="160">
        <f t="shared" si="2930"/>
        <v>0</v>
      </c>
      <c r="M674" s="160">
        <f t="shared" si="2930"/>
        <v>0</v>
      </c>
      <c r="N674" s="160">
        <f t="shared" si="2930"/>
        <v>0</v>
      </c>
      <c r="O674" s="160">
        <f t="shared" si="2930"/>
        <v>0</v>
      </c>
      <c r="P674" s="160">
        <f t="shared" si="2930"/>
        <v>0</v>
      </c>
      <c r="Q674" s="160">
        <f t="shared" si="2930"/>
        <v>0</v>
      </c>
      <c r="R674" s="160">
        <f t="shared" si="2930"/>
        <v>0</v>
      </c>
      <c r="S674" s="160">
        <f t="shared" si="2930"/>
        <v>0</v>
      </c>
      <c r="T674" s="160">
        <f t="shared" si="2930"/>
        <v>0</v>
      </c>
      <c r="U674" s="160">
        <f t="shared" si="2930"/>
        <v>0</v>
      </c>
      <c r="V674" s="160">
        <f t="shared" si="2930"/>
        <v>0</v>
      </c>
      <c r="W674" s="160">
        <f t="shared" si="2930"/>
        <v>0</v>
      </c>
      <c r="X674" s="160">
        <f t="shared" si="2930"/>
        <v>0</v>
      </c>
      <c r="Y674" s="160">
        <f t="shared" si="2930"/>
        <v>0</v>
      </c>
      <c r="Z674" s="160">
        <f t="shared" si="2930"/>
        <v>0</v>
      </c>
      <c r="AA674" s="160">
        <f t="shared" si="2931"/>
        <v>0</v>
      </c>
      <c r="AB674" s="160">
        <f t="shared" si="2931"/>
        <v>0</v>
      </c>
      <c r="AC674" s="160">
        <f t="shared" si="2931"/>
        <v>0</v>
      </c>
      <c r="AD674" s="160">
        <f t="shared" si="2931"/>
        <v>0</v>
      </c>
      <c r="AE674" s="160">
        <f t="shared" si="2931"/>
        <v>0</v>
      </c>
      <c r="AF674" s="160">
        <f t="shared" si="2931"/>
        <v>0</v>
      </c>
      <c r="AG674" s="160">
        <f t="shared" si="2931"/>
        <v>0</v>
      </c>
      <c r="AH674" s="160">
        <f t="shared" si="2931"/>
        <v>0</v>
      </c>
      <c r="AI674" s="160">
        <f t="shared" si="2931"/>
        <v>0</v>
      </c>
      <c r="AJ674" s="160">
        <f t="shared" si="2931"/>
        <v>0</v>
      </c>
      <c r="AK674" s="160">
        <f t="shared" si="2931"/>
        <v>0</v>
      </c>
      <c r="AL674" s="160">
        <f t="shared" si="2931"/>
        <v>0</v>
      </c>
      <c r="AM674" s="160">
        <f t="shared" si="2931"/>
        <v>0</v>
      </c>
      <c r="AN674" s="160">
        <f t="shared" si="2931"/>
        <v>0</v>
      </c>
      <c r="AO674" s="160">
        <f t="shared" si="2931"/>
        <v>0</v>
      </c>
      <c r="AP674" s="160">
        <f t="shared" si="2931"/>
        <v>0</v>
      </c>
      <c r="AQ674" s="160">
        <f t="shared" si="2932"/>
        <v>0</v>
      </c>
      <c r="AR674" s="160">
        <f t="shared" si="2932"/>
        <v>0</v>
      </c>
      <c r="AS674" s="160">
        <f t="shared" si="2932"/>
        <v>0</v>
      </c>
      <c r="AT674" s="160">
        <f t="shared" si="2932"/>
        <v>0</v>
      </c>
      <c r="AU674" s="160">
        <f t="shared" si="2932"/>
        <v>0</v>
      </c>
      <c r="AV674" s="160">
        <f t="shared" si="2932"/>
        <v>0</v>
      </c>
      <c r="AW674" s="160">
        <f t="shared" si="2932"/>
        <v>0</v>
      </c>
      <c r="AX674" s="160">
        <f t="shared" si="2932"/>
        <v>0</v>
      </c>
      <c r="AY674" s="160">
        <f t="shared" si="2932"/>
        <v>0</v>
      </c>
      <c r="AZ674" s="160">
        <f t="shared" si="2932"/>
        <v>0</v>
      </c>
      <c r="BA674" s="160">
        <f t="shared" si="2932"/>
        <v>0</v>
      </c>
      <c r="BB674" s="160">
        <f t="shared" si="2932"/>
        <v>0</v>
      </c>
      <c r="BC674" s="160">
        <f t="shared" si="2932"/>
        <v>0</v>
      </c>
      <c r="BD674" s="160">
        <f t="shared" si="2932"/>
        <v>0</v>
      </c>
      <c r="BE674" s="160">
        <f t="shared" si="2932"/>
        <v>0</v>
      </c>
      <c r="BF674" s="160">
        <f t="shared" si="2932"/>
        <v>0</v>
      </c>
      <c r="BG674" s="160">
        <f t="shared" si="2933"/>
        <v>0</v>
      </c>
      <c r="BH674" s="160">
        <f t="shared" si="2933"/>
        <v>0</v>
      </c>
      <c r="BI674" s="160">
        <f t="shared" si="2933"/>
        <v>0</v>
      </c>
      <c r="BJ674" s="160">
        <f t="shared" si="2933"/>
        <v>0</v>
      </c>
      <c r="BK674" s="160">
        <f t="shared" si="2933"/>
        <v>0</v>
      </c>
      <c r="BL674" s="160">
        <f t="shared" si="2933"/>
        <v>0</v>
      </c>
      <c r="BM674" s="160">
        <f t="shared" si="2933"/>
        <v>0</v>
      </c>
      <c r="BN674" s="160">
        <f t="shared" si="2933"/>
        <v>0</v>
      </c>
      <c r="BO674" s="160">
        <f t="shared" si="2933"/>
        <v>0</v>
      </c>
      <c r="BP674" s="160">
        <f t="shared" si="2933"/>
        <v>0</v>
      </c>
      <c r="BQ674" s="160">
        <f t="shared" si="2933"/>
        <v>0</v>
      </c>
      <c r="BR674" s="160">
        <f t="shared" si="2933"/>
        <v>0</v>
      </c>
      <c r="BS674" s="65"/>
      <c r="BT674" s="160">
        <f t="shared" si="2934"/>
        <v>0</v>
      </c>
      <c r="BU674" s="160">
        <f t="shared" si="2935"/>
        <v>0</v>
      </c>
      <c r="BV674" s="65"/>
      <c r="BW674" s="69"/>
      <c r="BX674" s="65"/>
      <c r="BY674" s="137">
        <f t="shared" si="2936"/>
        <v>1</v>
      </c>
      <c r="BZ674" s="137">
        <f>IF(BY674&gt;0,BY674+LARGE($BZ$213:BZ673,1),0)</f>
        <v>386</v>
      </c>
      <c r="CA674" s="137" t="str">
        <f t="shared" si="2937"/>
        <v>ENG/ARQ JR.</v>
      </c>
      <c r="CB674" s="161">
        <f t="shared" si="2938"/>
        <v>0</v>
      </c>
      <c r="CC674" s="161">
        <f t="shared" si="2939"/>
        <v>0</v>
      </c>
      <c r="CD674" s="161">
        <f t="shared" si="2940"/>
        <v>0</v>
      </c>
      <c r="CE674" s="161">
        <f t="shared" si="2941"/>
        <v>0</v>
      </c>
      <c r="CF674" s="161">
        <f t="shared" si="2942"/>
        <v>0</v>
      </c>
      <c r="CG674" s="161">
        <f t="shared" si="2943"/>
        <v>0</v>
      </c>
      <c r="CH674" s="161">
        <f t="shared" si="2944"/>
        <v>0</v>
      </c>
      <c r="CI674" s="161">
        <f t="shared" si="2945"/>
        <v>0</v>
      </c>
      <c r="CJ674" s="161">
        <f t="shared" si="2946"/>
        <v>0</v>
      </c>
      <c r="CK674" s="161">
        <f t="shared" si="2947"/>
        <v>0</v>
      </c>
      <c r="CL674" s="161">
        <f t="shared" si="2948"/>
        <v>0</v>
      </c>
      <c r="CM674" s="161">
        <f t="shared" si="2949"/>
        <v>0</v>
      </c>
      <c r="CN674" s="161">
        <f t="shared" si="2950"/>
        <v>0</v>
      </c>
      <c r="CO674" s="161">
        <f t="shared" si="2951"/>
        <v>0</v>
      </c>
      <c r="CP674" s="161">
        <f t="shared" si="2952"/>
        <v>0</v>
      </c>
      <c r="CQ674" s="161">
        <f t="shared" si="2953"/>
        <v>0</v>
      </c>
      <c r="CR674" s="161">
        <f t="shared" si="2954"/>
        <v>0</v>
      </c>
      <c r="CS674" s="161">
        <f t="shared" si="2955"/>
        <v>0</v>
      </c>
      <c r="CT674" s="161">
        <f t="shared" si="2956"/>
        <v>0</v>
      </c>
      <c r="CU674" s="161">
        <f t="shared" si="2957"/>
        <v>0</v>
      </c>
      <c r="CV674" s="161">
        <f t="shared" si="2958"/>
        <v>0</v>
      </c>
      <c r="CW674" s="161">
        <f t="shared" si="2959"/>
        <v>0</v>
      </c>
      <c r="CX674" s="161">
        <f t="shared" si="2960"/>
        <v>0</v>
      </c>
      <c r="CY674" s="161">
        <f t="shared" si="2961"/>
        <v>0</v>
      </c>
      <c r="CZ674" s="161">
        <f t="shared" si="2962"/>
        <v>0</v>
      </c>
      <c r="DA674" s="161">
        <f t="shared" si="2963"/>
        <v>0</v>
      </c>
      <c r="DB674" s="161">
        <f t="shared" si="2964"/>
        <v>0</v>
      </c>
      <c r="DC674" s="161">
        <f t="shared" si="2965"/>
        <v>0</v>
      </c>
      <c r="DD674" s="161">
        <f t="shared" si="2966"/>
        <v>0</v>
      </c>
      <c r="DE674" s="161">
        <f t="shared" si="2967"/>
        <v>0</v>
      </c>
      <c r="DF674" s="161">
        <f t="shared" si="2968"/>
        <v>0</v>
      </c>
      <c r="DG674" s="161">
        <f t="shared" si="2969"/>
        <v>0</v>
      </c>
      <c r="DH674" s="161">
        <f t="shared" si="2970"/>
        <v>0</v>
      </c>
      <c r="DI674" s="161">
        <f t="shared" si="2971"/>
        <v>0</v>
      </c>
      <c r="DJ674" s="161">
        <f t="shared" si="2972"/>
        <v>0</v>
      </c>
      <c r="DK674" s="161">
        <f t="shared" si="2973"/>
        <v>0</v>
      </c>
      <c r="DL674" s="161">
        <f t="shared" si="2974"/>
        <v>0</v>
      </c>
      <c r="DM674" s="161">
        <f t="shared" si="2975"/>
        <v>0</v>
      </c>
      <c r="DN674" s="161">
        <f t="shared" si="2976"/>
        <v>0</v>
      </c>
      <c r="DO674" s="161">
        <f t="shared" si="2977"/>
        <v>0</v>
      </c>
      <c r="DP674" s="161">
        <f t="shared" si="2978"/>
        <v>0</v>
      </c>
      <c r="DQ674" s="161">
        <f t="shared" si="2979"/>
        <v>0</v>
      </c>
      <c r="DR674" s="161">
        <f t="shared" si="2980"/>
        <v>0</v>
      </c>
      <c r="DS674" s="161">
        <f t="shared" si="2981"/>
        <v>0</v>
      </c>
      <c r="DT674" s="161">
        <f t="shared" si="2982"/>
        <v>0</v>
      </c>
      <c r="DU674" s="161">
        <f t="shared" si="2983"/>
        <v>0</v>
      </c>
      <c r="DV674" s="161">
        <f t="shared" si="2984"/>
        <v>0</v>
      </c>
      <c r="DW674" s="161">
        <f t="shared" si="2985"/>
        <v>0</v>
      </c>
      <c r="DX674" s="161">
        <f t="shared" si="2986"/>
        <v>0</v>
      </c>
      <c r="DY674" s="161">
        <f t="shared" si="2987"/>
        <v>0</v>
      </c>
      <c r="DZ674" s="161">
        <f t="shared" si="2988"/>
        <v>0</v>
      </c>
      <c r="EA674" s="161">
        <f t="shared" si="2989"/>
        <v>0</v>
      </c>
      <c r="EB674" s="161">
        <f t="shared" si="2990"/>
        <v>0</v>
      </c>
      <c r="EC674" s="161">
        <f t="shared" si="2991"/>
        <v>0</v>
      </c>
      <c r="ED674" s="161">
        <f t="shared" si="2992"/>
        <v>0</v>
      </c>
      <c r="EE674" s="161">
        <f t="shared" si="2993"/>
        <v>0</v>
      </c>
      <c r="EF674" s="161">
        <f t="shared" si="2994"/>
        <v>0</v>
      </c>
      <c r="EG674" s="161">
        <f t="shared" si="2995"/>
        <v>0</v>
      </c>
      <c r="EH674" s="161">
        <f t="shared" si="2996"/>
        <v>0</v>
      </c>
      <c r="EI674" s="161">
        <f t="shared" si="2997"/>
        <v>0</v>
      </c>
      <c r="EJ674" s="65"/>
      <c r="EK674" s="161">
        <f t="shared" si="2998"/>
        <v>0</v>
      </c>
      <c r="EL674" s="161">
        <f t="shared" si="2999"/>
        <v>0</v>
      </c>
      <c r="EM674" s="161">
        <f t="shared" si="3000"/>
        <v>0</v>
      </c>
    </row>
    <row r="675" spans="1:143" ht="12" hidden="1" customHeight="1" outlineLevel="2">
      <c r="A675" s="77">
        <v>7</v>
      </c>
      <c r="B675" s="137" t="str">
        <f t="shared" si="2928"/>
        <v>AN SR. ENG/ARQ - Equipe_01</v>
      </c>
      <c r="C675" s="65"/>
      <c r="D675" s="621"/>
      <c r="E675" s="65"/>
      <c r="F675" s="603"/>
      <c r="G675" s="77" t="str">
        <f>IF(INDEX(Tarefas!$BT$30:$FK$30,MATCH(A675,Tarefas!$BT$28:$FK$28,0))=0,"",INDEX(Tarefas!$BT$30:$FK$30,MATCH(A675,Tarefas!$BT$28:$FK$28,0)))</f>
        <v>AN SR. ENG/ARQ</v>
      </c>
      <c r="H675" s="107" cm="1">
        <f t="array" ref="H675">IFERROR((SUMPRODUCT((Tarefas!$N$32:$N$54='Cronog. e Histog.'!$F$669)*(Tarefas!$BQ$30:$FK$30='Cronog. e Histog.'!$G675)*(Tarefas!$BQ$32:$FK$54)))/SUMIF(Tarefas!$N$32:$N$54,'Cronog. e Histog.'!$F$669,Tarefas!$K$32:$K$54),0)</f>
        <v>0</v>
      </c>
      <c r="I675" s="79">
        <f t="shared" si="2929"/>
        <v>0</v>
      </c>
      <c r="J675" s="65"/>
      <c r="K675" s="160">
        <f t="shared" si="2930"/>
        <v>0</v>
      </c>
      <c r="L675" s="160">
        <f t="shared" si="2930"/>
        <v>0</v>
      </c>
      <c r="M675" s="160">
        <f t="shared" si="2930"/>
        <v>0</v>
      </c>
      <c r="N675" s="160">
        <f t="shared" si="2930"/>
        <v>0</v>
      </c>
      <c r="O675" s="160">
        <f t="shared" si="2930"/>
        <v>0</v>
      </c>
      <c r="P675" s="160">
        <f t="shared" si="2930"/>
        <v>0</v>
      </c>
      <c r="Q675" s="160">
        <f t="shared" si="2930"/>
        <v>0</v>
      </c>
      <c r="R675" s="160">
        <f t="shared" si="2930"/>
        <v>0</v>
      </c>
      <c r="S675" s="160">
        <f t="shared" si="2930"/>
        <v>0</v>
      </c>
      <c r="T675" s="160">
        <f t="shared" si="2930"/>
        <v>0</v>
      </c>
      <c r="U675" s="160">
        <f t="shared" si="2930"/>
        <v>0</v>
      </c>
      <c r="V675" s="160">
        <f t="shared" si="2930"/>
        <v>0</v>
      </c>
      <c r="W675" s="160">
        <f t="shared" si="2930"/>
        <v>0</v>
      </c>
      <c r="X675" s="160">
        <f t="shared" si="2930"/>
        <v>0</v>
      </c>
      <c r="Y675" s="160">
        <f t="shared" si="2930"/>
        <v>0</v>
      </c>
      <c r="Z675" s="160">
        <f t="shared" si="2930"/>
        <v>0</v>
      </c>
      <c r="AA675" s="160">
        <f t="shared" si="2931"/>
        <v>0</v>
      </c>
      <c r="AB675" s="160">
        <f t="shared" si="2931"/>
        <v>0</v>
      </c>
      <c r="AC675" s="160">
        <f t="shared" si="2931"/>
        <v>0</v>
      </c>
      <c r="AD675" s="160">
        <f t="shared" si="2931"/>
        <v>0</v>
      </c>
      <c r="AE675" s="160">
        <f t="shared" si="2931"/>
        <v>0</v>
      </c>
      <c r="AF675" s="160">
        <f t="shared" si="2931"/>
        <v>0</v>
      </c>
      <c r="AG675" s="160">
        <f t="shared" si="2931"/>
        <v>0</v>
      </c>
      <c r="AH675" s="160">
        <f t="shared" si="2931"/>
        <v>0</v>
      </c>
      <c r="AI675" s="160">
        <f t="shared" si="2931"/>
        <v>0</v>
      </c>
      <c r="AJ675" s="160">
        <f t="shared" si="2931"/>
        <v>0</v>
      </c>
      <c r="AK675" s="160">
        <f t="shared" si="2931"/>
        <v>0</v>
      </c>
      <c r="AL675" s="160">
        <f t="shared" si="2931"/>
        <v>0</v>
      </c>
      <c r="AM675" s="160">
        <f t="shared" si="2931"/>
        <v>0</v>
      </c>
      <c r="AN675" s="160">
        <f t="shared" si="2931"/>
        <v>0</v>
      </c>
      <c r="AO675" s="160">
        <f t="shared" si="2931"/>
        <v>0</v>
      </c>
      <c r="AP675" s="160">
        <f t="shared" si="2931"/>
        <v>0</v>
      </c>
      <c r="AQ675" s="160">
        <f t="shared" si="2932"/>
        <v>0</v>
      </c>
      <c r="AR675" s="160">
        <f t="shared" si="2932"/>
        <v>0</v>
      </c>
      <c r="AS675" s="160">
        <f t="shared" si="2932"/>
        <v>0</v>
      </c>
      <c r="AT675" s="160">
        <f t="shared" si="2932"/>
        <v>0</v>
      </c>
      <c r="AU675" s="160">
        <f t="shared" si="2932"/>
        <v>0</v>
      </c>
      <c r="AV675" s="160">
        <f t="shared" si="2932"/>
        <v>0</v>
      </c>
      <c r="AW675" s="160">
        <f t="shared" si="2932"/>
        <v>0</v>
      </c>
      <c r="AX675" s="160">
        <f t="shared" si="2932"/>
        <v>0</v>
      </c>
      <c r="AY675" s="160">
        <f t="shared" si="2932"/>
        <v>0</v>
      </c>
      <c r="AZ675" s="160">
        <f t="shared" si="2932"/>
        <v>0</v>
      </c>
      <c r="BA675" s="160">
        <f t="shared" si="2932"/>
        <v>0</v>
      </c>
      <c r="BB675" s="160">
        <f t="shared" si="2932"/>
        <v>0</v>
      </c>
      <c r="BC675" s="160">
        <f t="shared" si="2932"/>
        <v>0</v>
      </c>
      <c r="BD675" s="160">
        <f t="shared" si="2932"/>
        <v>0</v>
      </c>
      <c r="BE675" s="160">
        <f t="shared" si="2932"/>
        <v>0</v>
      </c>
      <c r="BF675" s="160">
        <f t="shared" si="2932"/>
        <v>0</v>
      </c>
      <c r="BG675" s="160">
        <f t="shared" si="2933"/>
        <v>0</v>
      </c>
      <c r="BH675" s="160">
        <f t="shared" si="2933"/>
        <v>0</v>
      </c>
      <c r="BI675" s="160">
        <f t="shared" si="2933"/>
        <v>0</v>
      </c>
      <c r="BJ675" s="160">
        <f t="shared" si="2933"/>
        <v>0</v>
      </c>
      <c r="BK675" s="160">
        <f t="shared" si="2933"/>
        <v>0</v>
      </c>
      <c r="BL675" s="160">
        <f t="shared" si="2933"/>
        <v>0</v>
      </c>
      <c r="BM675" s="160">
        <f t="shared" si="2933"/>
        <v>0</v>
      </c>
      <c r="BN675" s="160">
        <f t="shared" si="2933"/>
        <v>0</v>
      </c>
      <c r="BO675" s="160">
        <f t="shared" si="2933"/>
        <v>0</v>
      </c>
      <c r="BP675" s="160">
        <f t="shared" si="2933"/>
        <v>0</v>
      </c>
      <c r="BQ675" s="160">
        <f t="shared" si="2933"/>
        <v>0</v>
      </c>
      <c r="BR675" s="160">
        <f t="shared" si="2933"/>
        <v>0</v>
      </c>
      <c r="BS675" s="65"/>
      <c r="BT675" s="160">
        <f t="shared" si="2934"/>
        <v>0</v>
      </c>
      <c r="BU675" s="160">
        <f t="shared" si="2935"/>
        <v>0</v>
      </c>
      <c r="BV675" s="65"/>
      <c r="BW675" s="69"/>
      <c r="BX675" s="65"/>
      <c r="BY675" s="137">
        <f t="shared" si="2936"/>
        <v>1</v>
      </c>
      <c r="BZ675" s="137">
        <f>IF(BY675&gt;0,BY675+LARGE($BZ$213:BZ674,1),0)</f>
        <v>387</v>
      </c>
      <c r="CA675" s="137" t="str">
        <f t="shared" si="2937"/>
        <v>AN SR. ENG/ARQ</v>
      </c>
      <c r="CB675" s="161">
        <f t="shared" si="2938"/>
        <v>0</v>
      </c>
      <c r="CC675" s="161">
        <f t="shared" si="2939"/>
        <v>0</v>
      </c>
      <c r="CD675" s="161">
        <f t="shared" si="2940"/>
        <v>0</v>
      </c>
      <c r="CE675" s="161">
        <f t="shared" si="2941"/>
        <v>0</v>
      </c>
      <c r="CF675" s="161">
        <f t="shared" si="2942"/>
        <v>0</v>
      </c>
      <c r="CG675" s="161">
        <f t="shared" si="2943"/>
        <v>0</v>
      </c>
      <c r="CH675" s="161">
        <f t="shared" si="2944"/>
        <v>0</v>
      </c>
      <c r="CI675" s="161">
        <f t="shared" si="2945"/>
        <v>0</v>
      </c>
      <c r="CJ675" s="161">
        <f t="shared" si="2946"/>
        <v>0</v>
      </c>
      <c r="CK675" s="161">
        <f t="shared" si="2947"/>
        <v>0</v>
      </c>
      <c r="CL675" s="161">
        <f t="shared" si="2948"/>
        <v>0</v>
      </c>
      <c r="CM675" s="161">
        <f t="shared" si="2949"/>
        <v>0</v>
      </c>
      <c r="CN675" s="161">
        <f t="shared" si="2950"/>
        <v>0</v>
      </c>
      <c r="CO675" s="161">
        <f t="shared" si="2951"/>
        <v>0</v>
      </c>
      <c r="CP675" s="161">
        <f t="shared" si="2952"/>
        <v>0</v>
      </c>
      <c r="CQ675" s="161">
        <f t="shared" si="2953"/>
        <v>0</v>
      </c>
      <c r="CR675" s="161">
        <f t="shared" si="2954"/>
        <v>0</v>
      </c>
      <c r="CS675" s="161">
        <f t="shared" si="2955"/>
        <v>0</v>
      </c>
      <c r="CT675" s="161">
        <f t="shared" si="2956"/>
        <v>0</v>
      </c>
      <c r="CU675" s="161">
        <f t="shared" si="2957"/>
        <v>0</v>
      </c>
      <c r="CV675" s="161">
        <f t="shared" si="2958"/>
        <v>0</v>
      </c>
      <c r="CW675" s="161">
        <f t="shared" si="2959"/>
        <v>0</v>
      </c>
      <c r="CX675" s="161">
        <f t="shared" si="2960"/>
        <v>0</v>
      </c>
      <c r="CY675" s="161">
        <f t="shared" si="2961"/>
        <v>0</v>
      </c>
      <c r="CZ675" s="161">
        <f t="shared" si="2962"/>
        <v>0</v>
      </c>
      <c r="DA675" s="161">
        <f t="shared" si="2963"/>
        <v>0</v>
      </c>
      <c r="DB675" s="161">
        <f t="shared" si="2964"/>
        <v>0</v>
      </c>
      <c r="DC675" s="161">
        <f t="shared" si="2965"/>
        <v>0</v>
      </c>
      <c r="DD675" s="161">
        <f t="shared" si="2966"/>
        <v>0</v>
      </c>
      <c r="DE675" s="161">
        <f t="shared" si="2967"/>
        <v>0</v>
      </c>
      <c r="DF675" s="161">
        <f t="shared" si="2968"/>
        <v>0</v>
      </c>
      <c r="DG675" s="161">
        <f t="shared" si="2969"/>
        <v>0</v>
      </c>
      <c r="DH675" s="161">
        <f t="shared" si="2970"/>
        <v>0</v>
      </c>
      <c r="DI675" s="161">
        <f t="shared" si="2971"/>
        <v>0</v>
      </c>
      <c r="DJ675" s="161">
        <f t="shared" si="2972"/>
        <v>0</v>
      </c>
      <c r="DK675" s="161">
        <f t="shared" si="2973"/>
        <v>0</v>
      </c>
      <c r="DL675" s="161">
        <f t="shared" si="2974"/>
        <v>0</v>
      </c>
      <c r="DM675" s="161">
        <f t="shared" si="2975"/>
        <v>0</v>
      </c>
      <c r="DN675" s="161">
        <f t="shared" si="2976"/>
        <v>0</v>
      </c>
      <c r="DO675" s="161">
        <f t="shared" si="2977"/>
        <v>0</v>
      </c>
      <c r="DP675" s="161">
        <f t="shared" si="2978"/>
        <v>0</v>
      </c>
      <c r="DQ675" s="161">
        <f t="shared" si="2979"/>
        <v>0</v>
      </c>
      <c r="DR675" s="161">
        <f t="shared" si="2980"/>
        <v>0</v>
      </c>
      <c r="DS675" s="161">
        <f t="shared" si="2981"/>
        <v>0</v>
      </c>
      <c r="DT675" s="161">
        <f t="shared" si="2982"/>
        <v>0</v>
      </c>
      <c r="DU675" s="161">
        <f t="shared" si="2983"/>
        <v>0</v>
      </c>
      <c r="DV675" s="161">
        <f t="shared" si="2984"/>
        <v>0</v>
      </c>
      <c r="DW675" s="161">
        <f t="shared" si="2985"/>
        <v>0</v>
      </c>
      <c r="DX675" s="161">
        <f t="shared" si="2986"/>
        <v>0</v>
      </c>
      <c r="DY675" s="161">
        <f t="shared" si="2987"/>
        <v>0</v>
      </c>
      <c r="DZ675" s="161">
        <f t="shared" si="2988"/>
        <v>0</v>
      </c>
      <c r="EA675" s="161">
        <f t="shared" si="2989"/>
        <v>0</v>
      </c>
      <c r="EB675" s="161">
        <f t="shared" si="2990"/>
        <v>0</v>
      </c>
      <c r="EC675" s="161">
        <f t="shared" si="2991"/>
        <v>0</v>
      </c>
      <c r="ED675" s="161">
        <f t="shared" si="2992"/>
        <v>0</v>
      </c>
      <c r="EE675" s="161">
        <f t="shared" si="2993"/>
        <v>0</v>
      </c>
      <c r="EF675" s="161">
        <f t="shared" si="2994"/>
        <v>0</v>
      </c>
      <c r="EG675" s="161">
        <f t="shared" si="2995"/>
        <v>0</v>
      </c>
      <c r="EH675" s="161">
        <f t="shared" si="2996"/>
        <v>0</v>
      </c>
      <c r="EI675" s="161">
        <f t="shared" si="2997"/>
        <v>0</v>
      </c>
      <c r="EJ675" s="65"/>
      <c r="EK675" s="161">
        <f t="shared" si="2998"/>
        <v>0</v>
      </c>
      <c r="EL675" s="161">
        <f t="shared" si="2999"/>
        <v>0</v>
      </c>
      <c r="EM675" s="161">
        <f t="shared" si="3000"/>
        <v>0</v>
      </c>
    </row>
    <row r="676" spans="1:143" ht="12" hidden="1" customHeight="1" outlineLevel="2">
      <c r="A676" s="77">
        <v>8</v>
      </c>
      <c r="B676" s="137" t="str">
        <f t="shared" si="2928"/>
        <v>AN PL. ENG/ARQ - Equipe_01</v>
      </c>
      <c r="C676" s="65"/>
      <c r="D676" s="621"/>
      <c r="E676" s="65"/>
      <c r="F676" s="603"/>
      <c r="G676" s="77" t="str">
        <f>IF(INDEX(Tarefas!$BT$30:$FK$30,MATCH(A676,Tarefas!$BT$28:$FK$28,0))=0,"",INDEX(Tarefas!$BT$30:$FK$30,MATCH(A676,Tarefas!$BT$28:$FK$28,0)))</f>
        <v>AN PL. ENG/ARQ</v>
      </c>
      <c r="H676" s="107" cm="1">
        <f t="array" ref="H676">IFERROR((SUMPRODUCT((Tarefas!$N$32:$N$54='Cronog. e Histog.'!$F$669)*(Tarefas!$BQ$30:$FK$30='Cronog. e Histog.'!$G676)*(Tarefas!$BQ$32:$FK$54)))/SUMIF(Tarefas!$N$32:$N$54,'Cronog. e Histog.'!$F$669,Tarefas!$K$32:$K$54),0)</f>
        <v>0</v>
      </c>
      <c r="I676" s="79">
        <f t="shared" si="2929"/>
        <v>0</v>
      </c>
      <c r="J676" s="65"/>
      <c r="K676" s="160">
        <f t="shared" si="2930"/>
        <v>0</v>
      </c>
      <c r="L676" s="160">
        <f t="shared" si="2930"/>
        <v>0</v>
      </c>
      <c r="M676" s="160">
        <f t="shared" si="2930"/>
        <v>0</v>
      </c>
      <c r="N676" s="160">
        <f t="shared" si="2930"/>
        <v>0</v>
      </c>
      <c r="O676" s="160">
        <f t="shared" si="2930"/>
        <v>0</v>
      </c>
      <c r="P676" s="160">
        <f t="shared" si="2930"/>
        <v>0</v>
      </c>
      <c r="Q676" s="160">
        <f t="shared" si="2930"/>
        <v>0</v>
      </c>
      <c r="R676" s="160">
        <f t="shared" si="2930"/>
        <v>0</v>
      </c>
      <c r="S676" s="160">
        <f t="shared" si="2930"/>
        <v>0</v>
      </c>
      <c r="T676" s="160">
        <f t="shared" si="2930"/>
        <v>0</v>
      </c>
      <c r="U676" s="160">
        <f t="shared" si="2930"/>
        <v>0</v>
      </c>
      <c r="V676" s="160">
        <f t="shared" si="2930"/>
        <v>0</v>
      </c>
      <c r="W676" s="160">
        <f t="shared" si="2930"/>
        <v>0</v>
      </c>
      <c r="X676" s="160">
        <f t="shared" si="2930"/>
        <v>0</v>
      </c>
      <c r="Y676" s="160">
        <f t="shared" si="2930"/>
        <v>0</v>
      </c>
      <c r="Z676" s="160">
        <f t="shared" si="2930"/>
        <v>0</v>
      </c>
      <c r="AA676" s="160">
        <f t="shared" si="2931"/>
        <v>0</v>
      </c>
      <c r="AB676" s="160">
        <f t="shared" si="2931"/>
        <v>0</v>
      </c>
      <c r="AC676" s="160">
        <f t="shared" si="2931"/>
        <v>0</v>
      </c>
      <c r="AD676" s="160">
        <f t="shared" si="2931"/>
        <v>0</v>
      </c>
      <c r="AE676" s="160">
        <f t="shared" si="2931"/>
        <v>0</v>
      </c>
      <c r="AF676" s="160">
        <f t="shared" si="2931"/>
        <v>0</v>
      </c>
      <c r="AG676" s="160">
        <f t="shared" si="2931"/>
        <v>0</v>
      </c>
      <c r="AH676" s="160">
        <f t="shared" si="2931"/>
        <v>0</v>
      </c>
      <c r="AI676" s="160">
        <f t="shared" si="2931"/>
        <v>0</v>
      </c>
      <c r="AJ676" s="160">
        <f t="shared" si="2931"/>
        <v>0</v>
      </c>
      <c r="AK676" s="160">
        <f t="shared" si="2931"/>
        <v>0</v>
      </c>
      <c r="AL676" s="160">
        <f t="shared" si="2931"/>
        <v>0</v>
      </c>
      <c r="AM676" s="160">
        <f t="shared" si="2931"/>
        <v>0</v>
      </c>
      <c r="AN676" s="160">
        <f t="shared" si="2931"/>
        <v>0</v>
      </c>
      <c r="AO676" s="160">
        <f t="shared" si="2931"/>
        <v>0</v>
      </c>
      <c r="AP676" s="160">
        <f t="shared" si="2931"/>
        <v>0</v>
      </c>
      <c r="AQ676" s="160">
        <f t="shared" si="2932"/>
        <v>0</v>
      </c>
      <c r="AR676" s="160">
        <f t="shared" si="2932"/>
        <v>0</v>
      </c>
      <c r="AS676" s="160">
        <f t="shared" si="2932"/>
        <v>0</v>
      </c>
      <c r="AT676" s="160">
        <f t="shared" si="2932"/>
        <v>0</v>
      </c>
      <c r="AU676" s="160">
        <f t="shared" si="2932"/>
        <v>0</v>
      </c>
      <c r="AV676" s="160">
        <f t="shared" si="2932"/>
        <v>0</v>
      </c>
      <c r="AW676" s="160">
        <f t="shared" si="2932"/>
        <v>0</v>
      </c>
      <c r="AX676" s="160">
        <f t="shared" si="2932"/>
        <v>0</v>
      </c>
      <c r="AY676" s="160">
        <f t="shared" si="2932"/>
        <v>0</v>
      </c>
      <c r="AZ676" s="160">
        <f t="shared" si="2932"/>
        <v>0</v>
      </c>
      <c r="BA676" s="160">
        <f t="shared" si="2932"/>
        <v>0</v>
      </c>
      <c r="BB676" s="160">
        <f t="shared" si="2932"/>
        <v>0</v>
      </c>
      <c r="BC676" s="160">
        <f t="shared" si="2932"/>
        <v>0</v>
      </c>
      <c r="BD676" s="160">
        <f t="shared" si="2932"/>
        <v>0</v>
      </c>
      <c r="BE676" s="160">
        <f t="shared" si="2932"/>
        <v>0</v>
      </c>
      <c r="BF676" s="160">
        <f t="shared" si="2932"/>
        <v>0</v>
      </c>
      <c r="BG676" s="160">
        <f t="shared" si="2933"/>
        <v>0</v>
      </c>
      <c r="BH676" s="160">
        <f t="shared" si="2933"/>
        <v>0</v>
      </c>
      <c r="BI676" s="160">
        <f t="shared" si="2933"/>
        <v>0</v>
      </c>
      <c r="BJ676" s="160">
        <f t="shared" si="2933"/>
        <v>0</v>
      </c>
      <c r="BK676" s="160">
        <f t="shared" si="2933"/>
        <v>0</v>
      </c>
      <c r="BL676" s="160">
        <f t="shared" si="2933"/>
        <v>0</v>
      </c>
      <c r="BM676" s="160">
        <f t="shared" si="2933"/>
        <v>0</v>
      </c>
      <c r="BN676" s="160">
        <f t="shared" si="2933"/>
        <v>0</v>
      </c>
      <c r="BO676" s="160">
        <f t="shared" si="2933"/>
        <v>0</v>
      </c>
      <c r="BP676" s="160">
        <f t="shared" si="2933"/>
        <v>0</v>
      </c>
      <c r="BQ676" s="160">
        <f t="shared" si="2933"/>
        <v>0</v>
      </c>
      <c r="BR676" s="160">
        <f t="shared" si="2933"/>
        <v>0</v>
      </c>
      <c r="BS676" s="65"/>
      <c r="BT676" s="160">
        <f t="shared" si="2934"/>
        <v>0</v>
      </c>
      <c r="BU676" s="160">
        <f t="shared" si="2935"/>
        <v>0</v>
      </c>
      <c r="BV676" s="65"/>
      <c r="BW676" s="69"/>
      <c r="BX676" s="65"/>
      <c r="BY676" s="137">
        <f t="shared" si="2936"/>
        <v>1</v>
      </c>
      <c r="BZ676" s="137">
        <f>IF(BY676&gt;0,BY676+LARGE($BZ$213:BZ675,1),0)</f>
        <v>388</v>
      </c>
      <c r="CA676" s="137" t="str">
        <f t="shared" si="2937"/>
        <v>AN PL. ENG/ARQ</v>
      </c>
      <c r="CB676" s="161">
        <f t="shared" si="2938"/>
        <v>0</v>
      </c>
      <c r="CC676" s="161">
        <f t="shared" si="2939"/>
        <v>0</v>
      </c>
      <c r="CD676" s="161">
        <f t="shared" si="2940"/>
        <v>0</v>
      </c>
      <c r="CE676" s="161">
        <f t="shared" si="2941"/>
        <v>0</v>
      </c>
      <c r="CF676" s="161">
        <f t="shared" si="2942"/>
        <v>0</v>
      </c>
      <c r="CG676" s="161">
        <f t="shared" si="2943"/>
        <v>0</v>
      </c>
      <c r="CH676" s="161">
        <f t="shared" si="2944"/>
        <v>0</v>
      </c>
      <c r="CI676" s="161">
        <f t="shared" si="2945"/>
        <v>0</v>
      </c>
      <c r="CJ676" s="161">
        <f t="shared" si="2946"/>
        <v>0</v>
      </c>
      <c r="CK676" s="161">
        <f t="shared" si="2947"/>
        <v>0</v>
      </c>
      <c r="CL676" s="161">
        <f t="shared" si="2948"/>
        <v>0</v>
      </c>
      <c r="CM676" s="161">
        <f t="shared" si="2949"/>
        <v>0</v>
      </c>
      <c r="CN676" s="161">
        <f t="shared" si="2950"/>
        <v>0</v>
      </c>
      <c r="CO676" s="161">
        <f t="shared" si="2951"/>
        <v>0</v>
      </c>
      <c r="CP676" s="161">
        <f t="shared" si="2952"/>
        <v>0</v>
      </c>
      <c r="CQ676" s="161">
        <f t="shared" si="2953"/>
        <v>0</v>
      </c>
      <c r="CR676" s="161">
        <f t="shared" si="2954"/>
        <v>0</v>
      </c>
      <c r="CS676" s="161">
        <f t="shared" si="2955"/>
        <v>0</v>
      </c>
      <c r="CT676" s="161">
        <f t="shared" si="2956"/>
        <v>0</v>
      </c>
      <c r="CU676" s="161">
        <f t="shared" si="2957"/>
        <v>0</v>
      </c>
      <c r="CV676" s="161">
        <f t="shared" si="2958"/>
        <v>0</v>
      </c>
      <c r="CW676" s="161">
        <f t="shared" si="2959"/>
        <v>0</v>
      </c>
      <c r="CX676" s="161">
        <f t="shared" si="2960"/>
        <v>0</v>
      </c>
      <c r="CY676" s="161">
        <f t="shared" si="2961"/>
        <v>0</v>
      </c>
      <c r="CZ676" s="161">
        <f t="shared" si="2962"/>
        <v>0</v>
      </c>
      <c r="DA676" s="161">
        <f t="shared" si="2963"/>
        <v>0</v>
      </c>
      <c r="DB676" s="161">
        <f t="shared" si="2964"/>
        <v>0</v>
      </c>
      <c r="DC676" s="161">
        <f t="shared" si="2965"/>
        <v>0</v>
      </c>
      <c r="DD676" s="161">
        <f t="shared" si="2966"/>
        <v>0</v>
      </c>
      <c r="DE676" s="161">
        <f t="shared" si="2967"/>
        <v>0</v>
      </c>
      <c r="DF676" s="161">
        <f t="shared" si="2968"/>
        <v>0</v>
      </c>
      <c r="DG676" s="161">
        <f t="shared" si="2969"/>
        <v>0</v>
      </c>
      <c r="DH676" s="161">
        <f t="shared" si="2970"/>
        <v>0</v>
      </c>
      <c r="DI676" s="161">
        <f t="shared" si="2971"/>
        <v>0</v>
      </c>
      <c r="DJ676" s="161">
        <f t="shared" si="2972"/>
        <v>0</v>
      </c>
      <c r="DK676" s="161">
        <f t="shared" si="2973"/>
        <v>0</v>
      </c>
      <c r="DL676" s="161">
        <f t="shared" si="2974"/>
        <v>0</v>
      </c>
      <c r="DM676" s="161">
        <f t="shared" si="2975"/>
        <v>0</v>
      </c>
      <c r="DN676" s="161">
        <f t="shared" si="2976"/>
        <v>0</v>
      </c>
      <c r="DO676" s="161">
        <f t="shared" si="2977"/>
        <v>0</v>
      </c>
      <c r="DP676" s="161">
        <f t="shared" si="2978"/>
        <v>0</v>
      </c>
      <c r="DQ676" s="161">
        <f t="shared" si="2979"/>
        <v>0</v>
      </c>
      <c r="DR676" s="161">
        <f t="shared" si="2980"/>
        <v>0</v>
      </c>
      <c r="DS676" s="161">
        <f t="shared" si="2981"/>
        <v>0</v>
      </c>
      <c r="DT676" s="161">
        <f t="shared" si="2982"/>
        <v>0</v>
      </c>
      <c r="DU676" s="161">
        <f t="shared" si="2983"/>
        <v>0</v>
      </c>
      <c r="DV676" s="161">
        <f t="shared" si="2984"/>
        <v>0</v>
      </c>
      <c r="DW676" s="161">
        <f t="shared" si="2985"/>
        <v>0</v>
      </c>
      <c r="DX676" s="161">
        <f t="shared" si="2986"/>
        <v>0</v>
      </c>
      <c r="DY676" s="161">
        <f t="shared" si="2987"/>
        <v>0</v>
      </c>
      <c r="DZ676" s="161">
        <f t="shared" si="2988"/>
        <v>0</v>
      </c>
      <c r="EA676" s="161">
        <f t="shared" si="2989"/>
        <v>0</v>
      </c>
      <c r="EB676" s="161">
        <f t="shared" si="2990"/>
        <v>0</v>
      </c>
      <c r="EC676" s="161">
        <f t="shared" si="2991"/>
        <v>0</v>
      </c>
      <c r="ED676" s="161">
        <f t="shared" si="2992"/>
        <v>0</v>
      </c>
      <c r="EE676" s="161">
        <f t="shared" si="2993"/>
        <v>0</v>
      </c>
      <c r="EF676" s="161">
        <f t="shared" si="2994"/>
        <v>0</v>
      </c>
      <c r="EG676" s="161">
        <f t="shared" si="2995"/>
        <v>0</v>
      </c>
      <c r="EH676" s="161">
        <f t="shared" si="2996"/>
        <v>0</v>
      </c>
      <c r="EI676" s="161">
        <f t="shared" si="2997"/>
        <v>0</v>
      </c>
      <c r="EJ676" s="65"/>
      <c r="EK676" s="161">
        <f t="shared" si="2998"/>
        <v>0</v>
      </c>
      <c r="EL676" s="161">
        <f t="shared" si="2999"/>
        <v>0</v>
      </c>
      <c r="EM676" s="161">
        <f t="shared" si="3000"/>
        <v>0</v>
      </c>
    </row>
    <row r="677" spans="1:143" ht="12" hidden="1" customHeight="1" outlineLevel="2">
      <c r="A677" s="77">
        <v>9</v>
      </c>
      <c r="B677" s="137" t="str">
        <f t="shared" si="2928"/>
        <v>AN JR. ENG/ARQ - Equipe_01</v>
      </c>
      <c r="C677" s="65"/>
      <c r="D677" s="621"/>
      <c r="E677" s="65"/>
      <c r="F677" s="603"/>
      <c r="G677" s="77" t="str">
        <f>IF(INDEX(Tarefas!$BT$30:$FK$30,MATCH(A677,Tarefas!$BT$28:$FK$28,0))=0,"",INDEX(Tarefas!$BT$30:$FK$30,MATCH(A677,Tarefas!$BT$28:$FK$28,0)))</f>
        <v>AN JR. ENG/ARQ</v>
      </c>
      <c r="H677" s="107" cm="1">
        <f t="array" ref="H677">IFERROR((SUMPRODUCT((Tarefas!$N$32:$N$54='Cronog. e Histog.'!$F$669)*(Tarefas!$BQ$30:$FK$30='Cronog. e Histog.'!$G677)*(Tarefas!$BQ$32:$FK$54)))/SUMIF(Tarefas!$N$32:$N$54,'Cronog. e Histog.'!$F$669,Tarefas!$K$32:$K$54),0)</f>
        <v>0</v>
      </c>
      <c r="I677" s="79">
        <f t="shared" si="2929"/>
        <v>0</v>
      </c>
      <c r="J677" s="65"/>
      <c r="K677" s="160">
        <f t="shared" si="2930"/>
        <v>0</v>
      </c>
      <c r="L677" s="160">
        <f t="shared" si="2930"/>
        <v>0</v>
      </c>
      <c r="M677" s="160">
        <f t="shared" si="2930"/>
        <v>0</v>
      </c>
      <c r="N677" s="160">
        <f t="shared" si="2930"/>
        <v>0</v>
      </c>
      <c r="O677" s="160">
        <f t="shared" si="2930"/>
        <v>0</v>
      </c>
      <c r="P677" s="160">
        <f t="shared" si="2930"/>
        <v>0</v>
      </c>
      <c r="Q677" s="160">
        <f t="shared" si="2930"/>
        <v>0</v>
      </c>
      <c r="R677" s="160">
        <f t="shared" si="2930"/>
        <v>0</v>
      </c>
      <c r="S677" s="160">
        <f t="shared" si="2930"/>
        <v>0</v>
      </c>
      <c r="T677" s="160">
        <f t="shared" si="2930"/>
        <v>0</v>
      </c>
      <c r="U677" s="160">
        <f t="shared" si="2930"/>
        <v>0</v>
      </c>
      <c r="V677" s="160">
        <f t="shared" si="2930"/>
        <v>0</v>
      </c>
      <c r="W677" s="160">
        <f t="shared" si="2930"/>
        <v>0</v>
      </c>
      <c r="X677" s="160">
        <f t="shared" si="2930"/>
        <v>0</v>
      </c>
      <c r="Y677" s="160">
        <f t="shared" si="2930"/>
        <v>0</v>
      </c>
      <c r="Z677" s="160">
        <f t="shared" si="2930"/>
        <v>0</v>
      </c>
      <c r="AA677" s="160">
        <f t="shared" si="2931"/>
        <v>0</v>
      </c>
      <c r="AB677" s="160">
        <f t="shared" si="2931"/>
        <v>0</v>
      </c>
      <c r="AC677" s="160">
        <f t="shared" si="2931"/>
        <v>0</v>
      </c>
      <c r="AD677" s="160">
        <f t="shared" si="2931"/>
        <v>0</v>
      </c>
      <c r="AE677" s="160">
        <f t="shared" si="2931"/>
        <v>0</v>
      </c>
      <c r="AF677" s="160">
        <f t="shared" si="2931"/>
        <v>0</v>
      </c>
      <c r="AG677" s="160">
        <f t="shared" si="2931"/>
        <v>0</v>
      </c>
      <c r="AH677" s="160">
        <f t="shared" si="2931"/>
        <v>0</v>
      </c>
      <c r="AI677" s="160">
        <f t="shared" si="2931"/>
        <v>0</v>
      </c>
      <c r="AJ677" s="160">
        <f t="shared" si="2931"/>
        <v>0</v>
      </c>
      <c r="AK677" s="160">
        <f t="shared" si="2931"/>
        <v>0</v>
      </c>
      <c r="AL677" s="160">
        <f t="shared" si="2931"/>
        <v>0</v>
      </c>
      <c r="AM677" s="160">
        <f t="shared" si="2931"/>
        <v>0</v>
      </c>
      <c r="AN677" s="160">
        <f t="shared" si="2931"/>
        <v>0</v>
      </c>
      <c r="AO677" s="160">
        <f t="shared" si="2931"/>
        <v>0</v>
      </c>
      <c r="AP677" s="160">
        <f t="shared" si="2931"/>
        <v>0</v>
      </c>
      <c r="AQ677" s="160">
        <f t="shared" si="2932"/>
        <v>0</v>
      </c>
      <c r="AR677" s="160">
        <f t="shared" si="2932"/>
        <v>0</v>
      </c>
      <c r="AS677" s="160">
        <f t="shared" si="2932"/>
        <v>0</v>
      </c>
      <c r="AT677" s="160">
        <f t="shared" si="2932"/>
        <v>0</v>
      </c>
      <c r="AU677" s="160">
        <f t="shared" si="2932"/>
        <v>0</v>
      </c>
      <c r="AV677" s="160">
        <f t="shared" si="2932"/>
        <v>0</v>
      </c>
      <c r="AW677" s="160">
        <f t="shared" si="2932"/>
        <v>0</v>
      </c>
      <c r="AX677" s="160">
        <f t="shared" si="2932"/>
        <v>0</v>
      </c>
      <c r="AY677" s="160">
        <f t="shared" si="2932"/>
        <v>0</v>
      </c>
      <c r="AZ677" s="160">
        <f t="shared" si="2932"/>
        <v>0</v>
      </c>
      <c r="BA677" s="160">
        <f t="shared" si="2932"/>
        <v>0</v>
      </c>
      <c r="BB677" s="160">
        <f t="shared" si="2932"/>
        <v>0</v>
      </c>
      <c r="BC677" s="160">
        <f t="shared" si="2932"/>
        <v>0</v>
      </c>
      <c r="BD677" s="160">
        <f t="shared" si="2932"/>
        <v>0</v>
      </c>
      <c r="BE677" s="160">
        <f t="shared" si="2932"/>
        <v>0</v>
      </c>
      <c r="BF677" s="160">
        <f t="shared" si="2932"/>
        <v>0</v>
      </c>
      <c r="BG677" s="160">
        <f t="shared" si="2933"/>
        <v>0</v>
      </c>
      <c r="BH677" s="160">
        <f t="shared" si="2933"/>
        <v>0</v>
      </c>
      <c r="BI677" s="160">
        <f t="shared" si="2933"/>
        <v>0</v>
      </c>
      <c r="BJ677" s="160">
        <f t="shared" si="2933"/>
        <v>0</v>
      </c>
      <c r="BK677" s="160">
        <f t="shared" si="2933"/>
        <v>0</v>
      </c>
      <c r="BL677" s="160">
        <f t="shared" si="2933"/>
        <v>0</v>
      </c>
      <c r="BM677" s="160">
        <f t="shared" si="2933"/>
        <v>0</v>
      </c>
      <c r="BN677" s="160">
        <f t="shared" si="2933"/>
        <v>0</v>
      </c>
      <c r="BO677" s="160">
        <f t="shared" si="2933"/>
        <v>0</v>
      </c>
      <c r="BP677" s="160">
        <f t="shared" si="2933"/>
        <v>0</v>
      </c>
      <c r="BQ677" s="160">
        <f t="shared" si="2933"/>
        <v>0</v>
      </c>
      <c r="BR677" s="160">
        <f t="shared" si="2933"/>
        <v>0</v>
      </c>
      <c r="BS677" s="65"/>
      <c r="BT677" s="160">
        <f t="shared" si="2934"/>
        <v>0</v>
      </c>
      <c r="BU677" s="160">
        <f t="shared" si="2935"/>
        <v>0</v>
      </c>
      <c r="BV677" s="65"/>
      <c r="BW677" s="69"/>
      <c r="BX677" s="65"/>
      <c r="BY677" s="137">
        <f t="shared" si="2936"/>
        <v>1</v>
      </c>
      <c r="BZ677" s="137">
        <f>IF(BY677&gt;0,BY677+LARGE($BZ$213:BZ676,1),0)</f>
        <v>389</v>
      </c>
      <c r="CA677" s="137" t="str">
        <f t="shared" si="2937"/>
        <v>AN JR. ENG/ARQ</v>
      </c>
      <c r="CB677" s="161">
        <f t="shared" si="2938"/>
        <v>0</v>
      </c>
      <c r="CC677" s="161">
        <f t="shared" si="2939"/>
        <v>0</v>
      </c>
      <c r="CD677" s="161">
        <f t="shared" si="2940"/>
        <v>0</v>
      </c>
      <c r="CE677" s="161">
        <f t="shared" si="2941"/>
        <v>0</v>
      </c>
      <c r="CF677" s="161">
        <f t="shared" si="2942"/>
        <v>0</v>
      </c>
      <c r="CG677" s="161">
        <f t="shared" si="2943"/>
        <v>0</v>
      </c>
      <c r="CH677" s="161">
        <f t="shared" si="2944"/>
        <v>0</v>
      </c>
      <c r="CI677" s="161">
        <f t="shared" si="2945"/>
        <v>0</v>
      </c>
      <c r="CJ677" s="161">
        <f t="shared" si="2946"/>
        <v>0</v>
      </c>
      <c r="CK677" s="161">
        <f t="shared" si="2947"/>
        <v>0</v>
      </c>
      <c r="CL677" s="161">
        <f t="shared" si="2948"/>
        <v>0</v>
      </c>
      <c r="CM677" s="161">
        <f t="shared" si="2949"/>
        <v>0</v>
      </c>
      <c r="CN677" s="161">
        <f t="shared" si="2950"/>
        <v>0</v>
      </c>
      <c r="CO677" s="161">
        <f t="shared" si="2951"/>
        <v>0</v>
      </c>
      <c r="CP677" s="161">
        <f t="shared" si="2952"/>
        <v>0</v>
      </c>
      <c r="CQ677" s="161">
        <f t="shared" si="2953"/>
        <v>0</v>
      </c>
      <c r="CR677" s="161">
        <f t="shared" si="2954"/>
        <v>0</v>
      </c>
      <c r="CS677" s="161">
        <f t="shared" si="2955"/>
        <v>0</v>
      </c>
      <c r="CT677" s="161">
        <f t="shared" si="2956"/>
        <v>0</v>
      </c>
      <c r="CU677" s="161">
        <f t="shared" si="2957"/>
        <v>0</v>
      </c>
      <c r="CV677" s="161">
        <f t="shared" si="2958"/>
        <v>0</v>
      </c>
      <c r="CW677" s="161">
        <f t="shared" si="2959"/>
        <v>0</v>
      </c>
      <c r="CX677" s="161">
        <f t="shared" si="2960"/>
        <v>0</v>
      </c>
      <c r="CY677" s="161">
        <f t="shared" si="2961"/>
        <v>0</v>
      </c>
      <c r="CZ677" s="161">
        <f t="shared" si="2962"/>
        <v>0</v>
      </c>
      <c r="DA677" s="161">
        <f t="shared" si="2963"/>
        <v>0</v>
      </c>
      <c r="DB677" s="161">
        <f t="shared" si="2964"/>
        <v>0</v>
      </c>
      <c r="DC677" s="161">
        <f t="shared" si="2965"/>
        <v>0</v>
      </c>
      <c r="DD677" s="161">
        <f t="shared" si="2966"/>
        <v>0</v>
      </c>
      <c r="DE677" s="161">
        <f t="shared" si="2967"/>
        <v>0</v>
      </c>
      <c r="DF677" s="161">
        <f t="shared" si="2968"/>
        <v>0</v>
      </c>
      <c r="DG677" s="161">
        <f t="shared" si="2969"/>
        <v>0</v>
      </c>
      <c r="DH677" s="161">
        <f t="shared" si="2970"/>
        <v>0</v>
      </c>
      <c r="DI677" s="161">
        <f t="shared" si="2971"/>
        <v>0</v>
      </c>
      <c r="DJ677" s="161">
        <f t="shared" si="2972"/>
        <v>0</v>
      </c>
      <c r="DK677" s="161">
        <f t="shared" si="2973"/>
        <v>0</v>
      </c>
      <c r="DL677" s="161">
        <f t="shared" si="2974"/>
        <v>0</v>
      </c>
      <c r="DM677" s="161">
        <f t="shared" si="2975"/>
        <v>0</v>
      </c>
      <c r="DN677" s="161">
        <f t="shared" si="2976"/>
        <v>0</v>
      </c>
      <c r="DO677" s="161">
        <f t="shared" si="2977"/>
        <v>0</v>
      </c>
      <c r="DP677" s="161">
        <f t="shared" si="2978"/>
        <v>0</v>
      </c>
      <c r="DQ677" s="161">
        <f t="shared" si="2979"/>
        <v>0</v>
      </c>
      <c r="DR677" s="161">
        <f t="shared" si="2980"/>
        <v>0</v>
      </c>
      <c r="DS677" s="161">
        <f t="shared" si="2981"/>
        <v>0</v>
      </c>
      <c r="DT677" s="161">
        <f t="shared" si="2982"/>
        <v>0</v>
      </c>
      <c r="DU677" s="161">
        <f t="shared" si="2983"/>
        <v>0</v>
      </c>
      <c r="DV677" s="161">
        <f t="shared" si="2984"/>
        <v>0</v>
      </c>
      <c r="DW677" s="161">
        <f t="shared" si="2985"/>
        <v>0</v>
      </c>
      <c r="DX677" s="161">
        <f t="shared" si="2986"/>
        <v>0</v>
      </c>
      <c r="DY677" s="161">
        <f t="shared" si="2987"/>
        <v>0</v>
      </c>
      <c r="DZ677" s="161">
        <f t="shared" si="2988"/>
        <v>0</v>
      </c>
      <c r="EA677" s="161">
        <f t="shared" si="2989"/>
        <v>0</v>
      </c>
      <c r="EB677" s="161">
        <f t="shared" si="2990"/>
        <v>0</v>
      </c>
      <c r="EC677" s="161">
        <f t="shared" si="2991"/>
        <v>0</v>
      </c>
      <c r="ED677" s="161">
        <f t="shared" si="2992"/>
        <v>0</v>
      </c>
      <c r="EE677" s="161">
        <f t="shared" si="2993"/>
        <v>0</v>
      </c>
      <c r="EF677" s="161">
        <f t="shared" si="2994"/>
        <v>0</v>
      </c>
      <c r="EG677" s="161">
        <f t="shared" si="2995"/>
        <v>0</v>
      </c>
      <c r="EH677" s="161">
        <f t="shared" si="2996"/>
        <v>0</v>
      </c>
      <c r="EI677" s="161">
        <f t="shared" si="2997"/>
        <v>0</v>
      </c>
      <c r="EJ677" s="65"/>
      <c r="EK677" s="161">
        <f t="shared" si="2998"/>
        <v>0</v>
      </c>
      <c r="EL677" s="161">
        <f t="shared" si="2999"/>
        <v>0</v>
      </c>
      <c r="EM677" s="161">
        <f t="shared" si="3000"/>
        <v>0</v>
      </c>
    </row>
    <row r="678" spans="1:143" ht="12" hidden="1" customHeight="1" outlineLevel="2">
      <c r="A678" s="77">
        <v>10</v>
      </c>
      <c r="B678" s="137" t="str">
        <f t="shared" si="2928"/>
        <v>AN SR. ADM/CRP - Equipe_01</v>
      </c>
      <c r="C678" s="65"/>
      <c r="D678" s="621"/>
      <c r="E678" s="65"/>
      <c r="F678" s="603"/>
      <c r="G678" s="77" t="str">
        <f>IF(INDEX(Tarefas!$BT$30:$FK$30,MATCH(A678,Tarefas!$BT$28:$FK$28,0))=0,"",INDEX(Tarefas!$BT$30:$FK$30,MATCH(A678,Tarefas!$BT$28:$FK$28,0)))</f>
        <v>AN SR. ADM/CRP</v>
      </c>
      <c r="H678" s="107" cm="1">
        <f t="array" ref="H678">IFERROR((SUMPRODUCT((Tarefas!$N$32:$N$54='Cronog. e Histog.'!$F$669)*(Tarefas!$BQ$30:$FK$30='Cronog. e Histog.'!$G678)*(Tarefas!$BQ$32:$FK$54)))/SUMIF(Tarefas!$N$32:$N$54,'Cronog. e Histog.'!$F$669,Tarefas!$K$32:$K$54),0)</f>
        <v>0</v>
      </c>
      <c r="I678" s="79">
        <f t="shared" si="2929"/>
        <v>0</v>
      </c>
      <c r="J678" s="65"/>
      <c r="K678" s="160">
        <f t="shared" si="2930"/>
        <v>0</v>
      </c>
      <c r="L678" s="160">
        <f t="shared" si="2930"/>
        <v>0</v>
      </c>
      <c r="M678" s="160">
        <f t="shared" si="2930"/>
        <v>0</v>
      </c>
      <c r="N678" s="160">
        <f t="shared" si="2930"/>
        <v>0</v>
      </c>
      <c r="O678" s="160">
        <f t="shared" si="2930"/>
        <v>0</v>
      </c>
      <c r="P678" s="160">
        <f t="shared" si="2930"/>
        <v>0</v>
      </c>
      <c r="Q678" s="160">
        <f t="shared" si="2930"/>
        <v>0</v>
      </c>
      <c r="R678" s="160">
        <f t="shared" si="2930"/>
        <v>0</v>
      </c>
      <c r="S678" s="160">
        <f t="shared" si="2930"/>
        <v>0</v>
      </c>
      <c r="T678" s="160">
        <f t="shared" si="2930"/>
        <v>0</v>
      </c>
      <c r="U678" s="160">
        <f t="shared" si="2930"/>
        <v>0</v>
      </c>
      <c r="V678" s="160">
        <f t="shared" si="2930"/>
        <v>0</v>
      </c>
      <c r="W678" s="160">
        <f t="shared" si="2930"/>
        <v>0</v>
      </c>
      <c r="X678" s="160">
        <f t="shared" si="2930"/>
        <v>0</v>
      </c>
      <c r="Y678" s="160">
        <f t="shared" si="2930"/>
        <v>0</v>
      </c>
      <c r="Z678" s="160">
        <f t="shared" si="2930"/>
        <v>0</v>
      </c>
      <c r="AA678" s="160">
        <f t="shared" si="2931"/>
        <v>0</v>
      </c>
      <c r="AB678" s="160">
        <f t="shared" si="2931"/>
        <v>0</v>
      </c>
      <c r="AC678" s="160">
        <f t="shared" si="2931"/>
        <v>0</v>
      </c>
      <c r="AD678" s="160">
        <f t="shared" si="2931"/>
        <v>0</v>
      </c>
      <c r="AE678" s="160">
        <f t="shared" si="2931"/>
        <v>0</v>
      </c>
      <c r="AF678" s="160">
        <f t="shared" si="2931"/>
        <v>0</v>
      </c>
      <c r="AG678" s="160">
        <f t="shared" si="2931"/>
        <v>0</v>
      </c>
      <c r="AH678" s="160">
        <f t="shared" si="2931"/>
        <v>0</v>
      </c>
      <c r="AI678" s="160">
        <f t="shared" si="2931"/>
        <v>0</v>
      </c>
      <c r="AJ678" s="160">
        <f t="shared" si="2931"/>
        <v>0</v>
      </c>
      <c r="AK678" s="160">
        <f t="shared" si="2931"/>
        <v>0</v>
      </c>
      <c r="AL678" s="160">
        <f t="shared" si="2931"/>
        <v>0</v>
      </c>
      <c r="AM678" s="160">
        <f t="shared" si="2931"/>
        <v>0</v>
      </c>
      <c r="AN678" s="160">
        <f t="shared" si="2931"/>
        <v>0</v>
      </c>
      <c r="AO678" s="160">
        <f t="shared" si="2931"/>
        <v>0</v>
      </c>
      <c r="AP678" s="160">
        <f t="shared" si="2931"/>
        <v>0</v>
      </c>
      <c r="AQ678" s="160">
        <f t="shared" si="2932"/>
        <v>0</v>
      </c>
      <c r="AR678" s="160">
        <f t="shared" si="2932"/>
        <v>0</v>
      </c>
      <c r="AS678" s="160">
        <f t="shared" si="2932"/>
        <v>0</v>
      </c>
      <c r="AT678" s="160">
        <f t="shared" si="2932"/>
        <v>0</v>
      </c>
      <c r="AU678" s="160">
        <f t="shared" si="2932"/>
        <v>0</v>
      </c>
      <c r="AV678" s="160">
        <f t="shared" si="2932"/>
        <v>0</v>
      </c>
      <c r="AW678" s="160">
        <f t="shared" si="2932"/>
        <v>0</v>
      </c>
      <c r="AX678" s="160">
        <f t="shared" si="2932"/>
        <v>0</v>
      </c>
      <c r="AY678" s="160">
        <f t="shared" si="2932"/>
        <v>0</v>
      </c>
      <c r="AZ678" s="160">
        <f t="shared" si="2932"/>
        <v>0</v>
      </c>
      <c r="BA678" s="160">
        <f t="shared" si="2932"/>
        <v>0</v>
      </c>
      <c r="BB678" s="160">
        <f t="shared" si="2932"/>
        <v>0</v>
      </c>
      <c r="BC678" s="160">
        <f t="shared" si="2932"/>
        <v>0</v>
      </c>
      <c r="BD678" s="160">
        <f t="shared" si="2932"/>
        <v>0</v>
      </c>
      <c r="BE678" s="160">
        <f t="shared" si="2932"/>
        <v>0</v>
      </c>
      <c r="BF678" s="160">
        <f t="shared" si="2932"/>
        <v>0</v>
      </c>
      <c r="BG678" s="160">
        <f t="shared" si="2933"/>
        <v>0</v>
      </c>
      <c r="BH678" s="160">
        <f t="shared" si="2933"/>
        <v>0</v>
      </c>
      <c r="BI678" s="160">
        <f t="shared" si="2933"/>
        <v>0</v>
      </c>
      <c r="BJ678" s="160">
        <f t="shared" si="2933"/>
        <v>0</v>
      </c>
      <c r="BK678" s="160">
        <f t="shared" si="2933"/>
        <v>0</v>
      </c>
      <c r="BL678" s="160">
        <f t="shared" si="2933"/>
        <v>0</v>
      </c>
      <c r="BM678" s="160">
        <f t="shared" si="2933"/>
        <v>0</v>
      </c>
      <c r="BN678" s="160">
        <f t="shared" si="2933"/>
        <v>0</v>
      </c>
      <c r="BO678" s="160">
        <f t="shared" si="2933"/>
        <v>0</v>
      </c>
      <c r="BP678" s="160">
        <f t="shared" si="2933"/>
        <v>0</v>
      </c>
      <c r="BQ678" s="160">
        <f t="shared" si="2933"/>
        <v>0</v>
      </c>
      <c r="BR678" s="160">
        <f t="shared" si="2933"/>
        <v>0</v>
      </c>
      <c r="BS678" s="65"/>
      <c r="BT678" s="160">
        <f t="shared" si="2934"/>
        <v>0</v>
      </c>
      <c r="BU678" s="160">
        <f t="shared" si="2935"/>
        <v>0</v>
      </c>
      <c r="BV678" s="65"/>
      <c r="BW678" s="69"/>
      <c r="BX678" s="65"/>
      <c r="BY678" s="137">
        <f t="shared" si="2936"/>
        <v>1</v>
      </c>
      <c r="BZ678" s="137">
        <f>IF(BY678&gt;0,BY678+LARGE($BZ$213:BZ677,1),0)</f>
        <v>390</v>
      </c>
      <c r="CA678" s="137" t="str">
        <f t="shared" si="2937"/>
        <v>AN SR. ADM/CRP</v>
      </c>
      <c r="CB678" s="161">
        <f t="shared" si="2938"/>
        <v>0</v>
      </c>
      <c r="CC678" s="161">
        <f t="shared" si="2939"/>
        <v>0</v>
      </c>
      <c r="CD678" s="161">
        <f t="shared" si="2940"/>
        <v>0</v>
      </c>
      <c r="CE678" s="161">
        <f t="shared" si="2941"/>
        <v>0</v>
      </c>
      <c r="CF678" s="161">
        <f t="shared" si="2942"/>
        <v>0</v>
      </c>
      <c r="CG678" s="161">
        <f t="shared" si="2943"/>
        <v>0</v>
      </c>
      <c r="CH678" s="161">
        <f t="shared" si="2944"/>
        <v>0</v>
      </c>
      <c r="CI678" s="161">
        <f t="shared" si="2945"/>
        <v>0</v>
      </c>
      <c r="CJ678" s="161">
        <f t="shared" si="2946"/>
        <v>0</v>
      </c>
      <c r="CK678" s="161">
        <f t="shared" si="2947"/>
        <v>0</v>
      </c>
      <c r="CL678" s="161">
        <f t="shared" si="2948"/>
        <v>0</v>
      </c>
      <c r="CM678" s="161">
        <f t="shared" si="2949"/>
        <v>0</v>
      </c>
      <c r="CN678" s="161">
        <f t="shared" si="2950"/>
        <v>0</v>
      </c>
      <c r="CO678" s="161">
        <f t="shared" si="2951"/>
        <v>0</v>
      </c>
      <c r="CP678" s="161">
        <f t="shared" si="2952"/>
        <v>0</v>
      </c>
      <c r="CQ678" s="161">
        <f t="shared" si="2953"/>
        <v>0</v>
      </c>
      <c r="CR678" s="161">
        <f t="shared" si="2954"/>
        <v>0</v>
      </c>
      <c r="CS678" s="161">
        <f t="shared" si="2955"/>
        <v>0</v>
      </c>
      <c r="CT678" s="161">
        <f t="shared" si="2956"/>
        <v>0</v>
      </c>
      <c r="CU678" s="161">
        <f t="shared" si="2957"/>
        <v>0</v>
      </c>
      <c r="CV678" s="161">
        <f t="shared" si="2958"/>
        <v>0</v>
      </c>
      <c r="CW678" s="161">
        <f t="shared" si="2959"/>
        <v>0</v>
      </c>
      <c r="CX678" s="161">
        <f t="shared" si="2960"/>
        <v>0</v>
      </c>
      <c r="CY678" s="161">
        <f t="shared" si="2961"/>
        <v>0</v>
      </c>
      <c r="CZ678" s="161">
        <f t="shared" si="2962"/>
        <v>0</v>
      </c>
      <c r="DA678" s="161">
        <f t="shared" si="2963"/>
        <v>0</v>
      </c>
      <c r="DB678" s="161">
        <f t="shared" si="2964"/>
        <v>0</v>
      </c>
      <c r="DC678" s="161">
        <f t="shared" si="2965"/>
        <v>0</v>
      </c>
      <c r="DD678" s="161">
        <f t="shared" si="2966"/>
        <v>0</v>
      </c>
      <c r="DE678" s="161">
        <f t="shared" si="2967"/>
        <v>0</v>
      </c>
      <c r="DF678" s="161">
        <f t="shared" si="2968"/>
        <v>0</v>
      </c>
      <c r="DG678" s="161">
        <f t="shared" si="2969"/>
        <v>0</v>
      </c>
      <c r="DH678" s="161">
        <f t="shared" si="2970"/>
        <v>0</v>
      </c>
      <c r="DI678" s="161">
        <f t="shared" si="2971"/>
        <v>0</v>
      </c>
      <c r="DJ678" s="161">
        <f t="shared" si="2972"/>
        <v>0</v>
      </c>
      <c r="DK678" s="161">
        <f t="shared" si="2973"/>
        <v>0</v>
      </c>
      <c r="DL678" s="161">
        <f t="shared" si="2974"/>
        <v>0</v>
      </c>
      <c r="DM678" s="161">
        <f t="shared" si="2975"/>
        <v>0</v>
      </c>
      <c r="DN678" s="161">
        <f t="shared" si="2976"/>
        <v>0</v>
      </c>
      <c r="DO678" s="161">
        <f t="shared" si="2977"/>
        <v>0</v>
      </c>
      <c r="DP678" s="161">
        <f t="shared" si="2978"/>
        <v>0</v>
      </c>
      <c r="DQ678" s="161">
        <f t="shared" si="2979"/>
        <v>0</v>
      </c>
      <c r="DR678" s="161">
        <f t="shared" si="2980"/>
        <v>0</v>
      </c>
      <c r="DS678" s="161">
        <f t="shared" si="2981"/>
        <v>0</v>
      </c>
      <c r="DT678" s="161">
        <f t="shared" si="2982"/>
        <v>0</v>
      </c>
      <c r="DU678" s="161">
        <f t="shared" si="2983"/>
        <v>0</v>
      </c>
      <c r="DV678" s="161">
        <f t="shared" si="2984"/>
        <v>0</v>
      </c>
      <c r="DW678" s="161">
        <f t="shared" si="2985"/>
        <v>0</v>
      </c>
      <c r="DX678" s="161">
        <f t="shared" si="2986"/>
        <v>0</v>
      </c>
      <c r="DY678" s="161">
        <f t="shared" si="2987"/>
        <v>0</v>
      </c>
      <c r="DZ678" s="161">
        <f t="shared" si="2988"/>
        <v>0</v>
      </c>
      <c r="EA678" s="161">
        <f t="shared" si="2989"/>
        <v>0</v>
      </c>
      <c r="EB678" s="161">
        <f t="shared" si="2990"/>
        <v>0</v>
      </c>
      <c r="EC678" s="161">
        <f t="shared" si="2991"/>
        <v>0</v>
      </c>
      <c r="ED678" s="161">
        <f t="shared" si="2992"/>
        <v>0</v>
      </c>
      <c r="EE678" s="161">
        <f t="shared" si="2993"/>
        <v>0</v>
      </c>
      <c r="EF678" s="161">
        <f t="shared" si="2994"/>
        <v>0</v>
      </c>
      <c r="EG678" s="161">
        <f t="shared" si="2995"/>
        <v>0</v>
      </c>
      <c r="EH678" s="161">
        <f t="shared" si="2996"/>
        <v>0</v>
      </c>
      <c r="EI678" s="161">
        <f t="shared" si="2997"/>
        <v>0</v>
      </c>
      <c r="EJ678" s="65"/>
      <c r="EK678" s="161">
        <f t="shared" si="2998"/>
        <v>0</v>
      </c>
      <c r="EL678" s="161">
        <f t="shared" si="2999"/>
        <v>0</v>
      </c>
      <c r="EM678" s="161">
        <f t="shared" si="3000"/>
        <v>0</v>
      </c>
    </row>
    <row r="679" spans="1:143" ht="12" hidden="1" customHeight="1" outlineLevel="2">
      <c r="A679" s="77">
        <v>11</v>
      </c>
      <c r="B679" s="137" t="str">
        <f t="shared" si="2928"/>
        <v>AN PL. ADM/CRP - Equipe_01</v>
      </c>
      <c r="C679" s="65"/>
      <c r="D679" s="621"/>
      <c r="E679" s="65"/>
      <c r="F679" s="603"/>
      <c r="G679" s="77" t="str">
        <f>IF(INDEX(Tarefas!$BT$30:$FK$30,MATCH(A679,Tarefas!$BT$28:$FK$28,0))=0,"",INDEX(Tarefas!$BT$30:$FK$30,MATCH(A679,Tarefas!$BT$28:$FK$28,0)))</f>
        <v>AN PL. ADM/CRP</v>
      </c>
      <c r="H679" s="107" cm="1">
        <f t="array" ref="H679">IFERROR((SUMPRODUCT((Tarefas!$N$32:$N$54='Cronog. e Histog.'!$F$669)*(Tarefas!$BQ$30:$FK$30='Cronog. e Histog.'!$G679)*(Tarefas!$BQ$32:$FK$54)))/SUMIF(Tarefas!$N$32:$N$54,'Cronog. e Histog.'!$F$669,Tarefas!$K$32:$K$54),0)</f>
        <v>0</v>
      </c>
      <c r="I679" s="79">
        <f t="shared" si="2929"/>
        <v>0</v>
      </c>
      <c r="J679" s="65"/>
      <c r="K679" s="160">
        <f t="shared" si="2930"/>
        <v>0</v>
      </c>
      <c r="L679" s="160">
        <f t="shared" si="2930"/>
        <v>0</v>
      </c>
      <c r="M679" s="160">
        <f t="shared" si="2930"/>
        <v>0</v>
      </c>
      <c r="N679" s="160">
        <f t="shared" si="2930"/>
        <v>0</v>
      </c>
      <c r="O679" s="160">
        <f t="shared" si="2930"/>
        <v>0</v>
      </c>
      <c r="P679" s="160">
        <f t="shared" si="2930"/>
        <v>0</v>
      </c>
      <c r="Q679" s="160">
        <f t="shared" si="2930"/>
        <v>0</v>
      </c>
      <c r="R679" s="160">
        <f t="shared" si="2930"/>
        <v>0</v>
      </c>
      <c r="S679" s="160">
        <f t="shared" si="2930"/>
        <v>0</v>
      </c>
      <c r="T679" s="160">
        <f t="shared" si="2930"/>
        <v>0</v>
      </c>
      <c r="U679" s="160">
        <f t="shared" si="2930"/>
        <v>0</v>
      </c>
      <c r="V679" s="160">
        <f t="shared" si="2930"/>
        <v>0</v>
      </c>
      <c r="W679" s="160">
        <f t="shared" si="2930"/>
        <v>0</v>
      </c>
      <c r="X679" s="160">
        <f t="shared" si="2930"/>
        <v>0</v>
      </c>
      <c r="Y679" s="160">
        <f t="shared" si="2930"/>
        <v>0</v>
      </c>
      <c r="Z679" s="160">
        <f t="shared" si="2930"/>
        <v>0</v>
      </c>
      <c r="AA679" s="160">
        <f t="shared" si="2931"/>
        <v>0</v>
      </c>
      <c r="AB679" s="160">
        <f t="shared" si="2931"/>
        <v>0</v>
      </c>
      <c r="AC679" s="160">
        <f t="shared" si="2931"/>
        <v>0</v>
      </c>
      <c r="AD679" s="160">
        <f t="shared" si="2931"/>
        <v>0</v>
      </c>
      <c r="AE679" s="160">
        <f t="shared" si="2931"/>
        <v>0</v>
      </c>
      <c r="AF679" s="160">
        <f t="shared" si="2931"/>
        <v>0</v>
      </c>
      <c r="AG679" s="160">
        <f t="shared" si="2931"/>
        <v>0</v>
      </c>
      <c r="AH679" s="160">
        <f t="shared" si="2931"/>
        <v>0</v>
      </c>
      <c r="AI679" s="160">
        <f t="shared" si="2931"/>
        <v>0</v>
      </c>
      <c r="AJ679" s="160">
        <f t="shared" si="2931"/>
        <v>0</v>
      </c>
      <c r="AK679" s="160">
        <f t="shared" si="2931"/>
        <v>0</v>
      </c>
      <c r="AL679" s="160">
        <f t="shared" si="2931"/>
        <v>0</v>
      </c>
      <c r="AM679" s="160">
        <f t="shared" si="2931"/>
        <v>0</v>
      </c>
      <c r="AN679" s="160">
        <f t="shared" si="2931"/>
        <v>0</v>
      </c>
      <c r="AO679" s="160">
        <f t="shared" si="2931"/>
        <v>0</v>
      </c>
      <c r="AP679" s="160">
        <f t="shared" si="2931"/>
        <v>0</v>
      </c>
      <c r="AQ679" s="160">
        <f t="shared" si="2932"/>
        <v>0</v>
      </c>
      <c r="AR679" s="160">
        <f t="shared" si="2932"/>
        <v>0</v>
      </c>
      <c r="AS679" s="160">
        <f t="shared" si="2932"/>
        <v>0</v>
      </c>
      <c r="AT679" s="160">
        <f t="shared" si="2932"/>
        <v>0</v>
      </c>
      <c r="AU679" s="160">
        <f t="shared" si="2932"/>
        <v>0</v>
      </c>
      <c r="AV679" s="160">
        <f t="shared" si="2932"/>
        <v>0</v>
      </c>
      <c r="AW679" s="160">
        <f t="shared" si="2932"/>
        <v>0</v>
      </c>
      <c r="AX679" s="160">
        <f t="shared" si="2932"/>
        <v>0</v>
      </c>
      <c r="AY679" s="160">
        <f t="shared" si="2932"/>
        <v>0</v>
      </c>
      <c r="AZ679" s="160">
        <f t="shared" si="2932"/>
        <v>0</v>
      </c>
      <c r="BA679" s="160">
        <f t="shared" si="2932"/>
        <v>0</v>
      </c>
      <c r="BB679" s="160">
        <f t="shared" si="2932"/>
        <v>0</v>
      </c>
      <c r="BC679" s="160">
        <f t="shared" si="2932"/>
        <v>0</v>
      </c>
      <c r="BD679" s="160">
        <f t="shared" si="2932"/>
        <v>0</v>
      </c>
      <c r="BE679" s="160">
        <f t="shared" si="2932"/>
        <v>0</v>
      </c>
      <c r="BF679" s="160">
        <f t="shared" si="2932"/>
        <v>0</v>
      </c>
      <c r="BG679" s="160">
        <f t="shared" si="2933"/>
        <v>0</v>
      </c>
      <c r="BH679" s="160">
        <f t="shared" si="2933"/>
        <v>0</v>
      </c>
      <c r="BI679" s="160">
        <f t="shared" si="2933"/>
        <v>0</v>
      </c>
      <c r="BJ679" s="160">
        <f t="shared" si="2933"/>
        <v>0</v>
      </c>
      <c r="BK679" s="160">
        <f t="shared" si="2933"/>
        <v>0</v>
      </c>
      <c r="BL679" s="160">
        <f t="shared" si="2933"/>
        <v>0</v>
      </c>
      <c r="BM679" s="160">
        <f t="shared" si="2933"/>
        <v>0</v>
      </c>
      <c r="BN679" s="160">
        <f t="shared" si="2933"/>
        <v>0</v>
      </c>
      <c r="BO679" s="160">
        <f t="shared" si="2933"/>
        <v>0</v>
      </c>
      <c r="BP679" s="160">
        <f t="shared" si="2933"/>
        <v>0</v>
      </c>
      <c r="BQ679" s="160">
        <f t="shared" si="2933"/>
        <v>0</v>
      </c>
      <c r="BR679" s="160">
        <f t="shared" si="2933"/>
        <v>0</v>
      </c>
      <c r="BS679" s="65"/>
      <c r="BT679" s="160">
        <f t="shared" si="2934"/>
        <v>0</v>
      </c>
      <c r="BU679" s="160">
        <f t="shared" si="2935"/>
        <v>0</v>
      </c>
      <c r="BV679" s="65"/>
      <c r="BW679" s="69"/>
      <c r="BX679" s="65"/>
      <c r="BY679" s="137">
        <f t="shared" si="2936"/>
        <v>1</v>
      </c>
      <c r="BZ679" s="137">
        <f>IF(BY679&gt;0,BY679+LARGE($BZ$213:BZ678,1),0)</f>
        <v>391</v>
      </c>
      <c r="CA679" s="137" t="str">
        <f t="shared" si="2937"/>
        <v>AN PL. ADM/CRP</v>
      </c>
      <c r="CB679" s="161">
        <f t="shared" si="2938"/>
        <v>0</v>
      </c>
      <c r="CC679" s="161">
        <f t="shared" si="2939"/>
        <v>0</v>
      </c>
      <c r="CD679" s="161">
        <f t="shared" si="2940"/>
        <v>0</v>
      </c>
      <c r="CE679" s="161">
        <f t="shared" si="2941"/>
        <v>0</v>
      </c>
      <c r="CF679" s="161">
        <f t="shared" si="2942"/>
        <v>0</v>
      </c>
      <c r="CG679" s="161">
        <f t="shared" si="2943"/>
        <v>0</v>
      </c>
      <c r="CH679" s="161">
        <f t="shared" si="2944"/>
        <v>0</v>
      </c>
      <c r="CI679" s="161">
        <f t="shared" si="2945"/>
        <v>0</v>
      </c>
      <c r="CJ679" s="161">
        <f t="shared" si="2946"/>
        <v>0</v>
      </c>
      <c r="CK679" s="161">
        <f t="shared" si="2947"/>
        <v>0</v>
      </c>
      <c r="CL679" s="161">
        <f t="shared" si="2948"/>
        <v>0</v>
      </c>
      <c r="CM679" s="161">
        <f t="shared" si="2949"/>
        <v>0</v>
      </c>
      <c r="CN679" s="161">
        <f t="shared" si="2950"/>
        <v>0</v>
      </c>
      <c r="CO679" s="161">
        <f t="shared" si="2951"/>
        <v>0</v>
      </c>
      <c r="CP679" s="161">
        <f t="shared" si="2952"/>
        <v>0</v>
      </c>
      <c r="CQ679" s="161">
        <f t="shared" si="2953"/>
        <v>0</v>
      </c>
      <c r="CR679" s="161">
        <f t="shared" si="2954"/>
        <v>0</v>
      </c>
      <c r="CS679" s="161">
        <f t="shared" si="2955"/>
        <v>0</v>
      </c>
      <c r="CT679" s="161">
        <f t="shared" si="2956"/>
        <v>0</v>
      </c>
      <c r="CU679" s="161">
        <f t="shared" si="2957"/>
        <v>0</v>
      </c>
      <c r="CV679" s="161">
        <f t="shared" si="2958"/>
        <v>0</v>
      </c>
      <c r="CW679" s="161">
        <f t="shared" si="2959"/>
        <v>0</v>
      </c>
      <c r="CX679" s="161">
        <f t="shared" si="2960"/>
        <v>0</v>
      </c>
      <c r="CY679" s="161">
        <f t="shared" si="2961"/>
        <v>0</v>
      </c>
      <c r="CZ679" s="161">
        <f t="shared" si="2962"/>
        <v>0</v>
      </c>
      <c r="DA679" s="161">
        <f t="shared" si="2963"/>
        <v>0</v>
      </c>
      <c r="DB679" s="161">
        <f t="shared" si="2964"/>
        <v>0</v>
      </c>
      <c r="DC679" s="161">
        <f t="shared" si="2965"/>
        <v>0</v>
      </c>
      <c r="DD679" s="161">
        <f t="shared" si="2966"/>
        <v>0</v>
      </c>
      <c r="DE679" s="161">
        <f t="shared" si="2967"/>
        <v>0</v>
      </c>
      <c r="DF679" s="161">
        <f t="shared" si="2968"/>
        <v>0</v>
      </c>
      <c r="DG679" s="161">
        <f t="shared" si="2969"/>
        <v>0</v>
      </c>
      <c r="DH679" s="161">
        <f t="shared" si="2970"/>
        <v>0</v>
      </c>
      <c r="DI679" s="161">
        <f t="shared" si="2971"/>
        <v>0</v>
      </c>
      <c r="DJ679" s="161">
        <f t="shared" si="2972"/>
        <v>0</v>
      </c>
      <c r="DK679" s="161">
        <f t="shared" si="2973"/>
        <v>0</v>
      </c>
      <c r="DL679" s="161">
        <f t="shared" si="2974"/>
        <v>0</v>
      </c>
      <c r="DM679" s="161">
        <f t="shared" si="2975"/>
        <v>0</v>
      </c>
      <c r="DN679" s="161">
        <f t="shared" si="2976"/>
        <v>0</v>
      </c>
      <c r="DO679" s="161">
        <f t="shared" si="2977"/>
        <v>0</v>
      </c>
      <c r="DP679" s="161">
        <f t="shared" si="2978"/>
        <v>0</v>
      </c>
      <c r="DQ679" s="161">
        <f t="shared" si="2979"/>
        <v>0</v>
      </c>
      <c r="DR679" s="161">
        <f t="shared" si="2980"/>
        <v>0</v>
      </c>
      <c r="DS679" s="161">
        <f t="shared" si="2981"/>
        <v>0</v>
      </c>
      <c r="DT679" s="161">
        <f t="shared" si="2982"/>
        <v>0</v>
      </c>
      <c r="DU679" s="161">
        <f t="shared" si="2983"/>
        <v>0</v>
      </c>
      <c r="DV679" s="161">
        <f t="shared" si="2984"/>
        <v>0</v>
      </c>
      <c r="DW679" s="161">
        <f t="shared" si="2985"/>
        <v>0</v>
      </c>
      <c r="DX679" s="161">
        <f t="shared" si="2986"/>
        <v>0</v>
      </c>
      <c r="DY679" s="161">
        <f t="shared" si="2987"/>
        <v>0</v>
      </c>
      <c r="DZ679" s="161">
        <f t="shared" si="2988"/>
        <v>0</v>
      </c>
      <c r="EA679" s="161">
        <f t="shared" si="2989"/>
        <v>0</v>
      </c>
      <c r="EB679" s="161">
        <f t="shared" si="2990"/>
        <v>0</v>
      </c>
      <c r="EC679" s="161">
        <f t="shared" si="2991"/>
        <v>0</v>
      </c>
      <c r="ED679" s="161">
        <f t="shared" si="2992"/>
        <v>0</v>
      </c>
      <c r="EE679" s="161">
        <f t="shared" si="2993"/>
        <v>0</v>
      </c>
      <c r="EF679" s="161">
        <f t="shared" si="2994"/>
        <v>0</v>
      </c>
      <c r="EG679" s="161">
        <f t="shared" si="2995"/>
        <v>0</v>
      </c>
      <c r="EH679" s="161">
        <f t="shared" si="2996"/>
        <v>0</v>
      </c>
      <c r="EI679" s="161">
        <f t="shared" si="2997"/>
        <v>0</v>
      </c>
      <c r="EJ679" s="65"/>
      <c r="EK679" s="161">
        <f t="shared" si="2998"/>
        <v>0</v>
      </c>
      <c r="EL679" s="161">
        <f t="shared" si="2999"/>
        <v>0</v>
      </c>
      <c r="EM679" s="161">
        <f t="shared" si="3000"/>
        <v>0</v>
      </c>
    </row>
    <row r="680" spans="1:143" ht="12" hidden="1" customHeight="1" outlineLevel="2">
      <c r="A680" s="77">
        <v>12</v>
      </c>
      <c r="B680" s="137" t="str">
        <f t="shared" si="2928"/>
        <v>AN JR. ADM/CRP - Equipe_01</v>
      </c>
      <c r="C680" s="65"/>
      <c r="D680" s="622"/>
      <c r="E680" s="65"/>
      <c r="F680" s="603"/>
      <c r="G680" s="77" t="str">
        <f>IF(INDEX(Tarefas!$BT$30:$FK$30,MATCH(A680,Tarefas!$BT$28:$FK$28,0))=0,"",INDEX(Tarefas!$BT$30:$FK$30,MATCH(A680,Tarefas!$BT$28:$FK$28,0)))</f>
        <v>AN JR. ADM/CRP</v>
      </c>
      <c r="H680" s="107" cm="1">
        <f t="array" ref="H680">IFERROR((SUMPRODUCT((Tarefas!$N$32:$N$54='Cronog. e Histog.'!$F$669)*(Tarefas!$BQ$30:$FK$30='Cronog. e Histog.'!$G680)*(Tarefas!$BQ$32:$FK$54)))/SUMIF(Tarefas!$N$32:$N$54,'Cronog. e Histog.'!$F$669,Tarefas!$K$32:$K$54),0)</f>
        <v>0</v>
      </c>
      <c r="I680" s="79">
        <f t="shared" si="2929"/>
        <v>0</v>
      </c>
      <c r="J680" s="65"/>
      <c r="K680" s="160">
        <f t="shared" ref="K680:Z688" si="3001">ROUND($I680*K$202,2)</f>
        <v>0</v>
      </c>
      <c r="L680" s="160">
        <f t="shared" si="3001"/>
        <v>0</v>
      </c>
      <c r="M680" s="160">
        <f t="shared" si="3001"/>
        <v>0</v>
      </c>
      <c r="N680" s="160">
        <f t="shared" si="3001"/>
        <v>0</v>
      </c>
      <c r="O680" s="160">
        <f t="shared" si="3001"/>
        <v>0</v>
      </c>
      <c r="P680" s="160">
        <f t="shared" si="3001"/>
        <v>0</v>
      </c>
      <c r="Q680" s="160">
        <f t="shared" si="3001"/>
        <v>0</v>
      </c>
      <c r="R680" s="160">
        <f t="shared" si="3001"/>
        <v>0</v>
      </c>
      <c r="S680" s="160">
        <f t="shared" si="3001"/>
        <v>0</v>
      </c>
      <c r="T680" s="160">
        <f t="shared" si="3001"/>
        <v>0</v>
      </c>
      <c r="U680" s="160">
        <f t="shared" si="3001"/>
        <v>0</v>
      </c>
      <c r="V680" s="160">
        <f t="shared" si="3001"/>
        <v>0</v>
      </c>
      <c r="W680" s="160">
        <f t="shared" si="3001"/>
        <v>0</v>
      </c>
      <c r="X680" s="160">
        <f t="shared" si="3001"/>
        <v>0</v>
      </c>
      <c r="Y680" s="160">
        <f t="shared" si="3001"/>
        <v>0</v>
      </c>
      <c r="Z680" s="160">
        <f t="shared" si="3001"/>
        <v>0</v>
      </c>
      <c r="AA680" s="160">
        <f t="shared" si="2863"/>
        <v>0</v>
      </c>
      <c r="AB680" s="160">
        <f t="shared" si="2863"/>
        <v>0</v>
      </c>
      <c r="AC680" s="160">
        <f t="shared" si="2863"/>
        <v>0</v>
      </c>
      <c r="AD680" s="160">
        <f t="shared" si="2863"/>
        <v>0</v>
      </c>
      <c r="AE680" s="160">
        <f t="shared" si="2863"/>
        <v>0</v>
      </c>
      <c r="AF680" s="160">
        <f t="shared" si="2863"/>
        <v>0</v>
      </c>
      <c r="AG680" s="160">
        <f t="shared" si="2863"/>
        <v>0</v>
      </c>
      <c r="AH680" s="160">
        <f t="shared" si="2863"/>
        <v>0</v>
      </c>
      <c r="AI680" s="160">
        <f t="shared" si="2863"/>
        <v>0</v>
      </c>
      <c r="AJ680" s="160">
        <f t="shared" si="2863"/>
        <v>0</v>
      </c>
      <c r="AK680" s="160">
        <f t="shared" si="2863"/>
        <v>0</v>
      </c>
      <c r="AL680" s="160">
        <f t="shared" si="2863"/>
        <v>0</v>
      </c>
      <c r="AM680" s="160">
        <f t="shared" si="2863"/>
        <v>0</v>
      </c>
      <c r="AN680" s="160">
        <f t="shared" si="2863"/>
        <v>0</v>
      </c>
      <c r="AO680" s="160">
        <f t="shared" si="2863"/>
        <v>0</v>
      </c>
      <c r="AP680" s="160">
        <f t="shared" si="2863"/>
        <v>0</v>
      </c>
      <c r="AQ680" s="160">
        <f t="shared" si="2863"/>
        <v>0</v>
      </c>
      <c r="AR680" s="160">
        <f t="shared" si="2863"/>
        <v>0</v>
      </c>
      <c r="AS680" s="160">
        <f t="shared" si="2863"/>
        <v>0</v>
      </c>
      <c r="AT680" s="160">
        <f t="shared" si="2863"/>
        <v>0</v>
      </c>
      <c r="AU680" s="160">
        <f t="shared" si="2863"/>
        <v>0</v>
      </c>
      <c r="AV680" s="160">
        <f t="shared" si="2863"/>
        <v>0</v>
      </c>
      <c r="AW680" s="160">
        <f t="shared" si="2863"/>
        <v>0</v>
      </c>
      <c r="AX680" s="160">
        <f t="shared" si="2863"/>
        <v>0</v>
      </c>
      <c r="AY680" s="160">
        <f t="shared" si="2863"/>
        <v>0</v>
      </c>
      <c r="AZ680" s="160">
        <f t="shared" si="2863"/>
        <v>0</v>
      </c>
      <c r="BA680" s="160">
        <f t="shared" si="2863"/>
        <v>0</v>
      </c>
      <c r="BB680" s="160">
        <f t="shared" si="2863"/>
        <v>0</v>
      </c>
      <c r="BC680" s="160">
        <f t="shared" si="2863"/>
        <v>0</v>
      </c>
      <c r="BD680" s="160">
        <f t="shared" si="2863"/>
        <v>0</v>
      </c>
      <c r="BE680" s="160">
        <f t="shared" si="2863"/>
        <v>0</v>
      </c>
      <c r="BF680" s="160">
        <f t="shared" si="2863"/>
        <v>0</v>
      </c>
      <c r="BG680" s="160">
        <f t="shared" si="2863"/>
        <v>0</v>
      </c>
      <c r="BH680" s="160">
        <f t="shared" si="2863"/>
        <v>0</v>
      </c>
      <c r="BI680" s="160">
        <f t="shared" si="2863"/>
        <v>0</v>
      </c>
      <c r="BJ680" s="160">
        <f t="shared" si="2863"/>
        <v>0</v>
      </c>
      <c r="BK680" s="160">
        <f t="shared" si="2863"/>
        <v>0</v>
      </c>
      <c r="BL680" s="160">
        <f t="shared" si="2863"/>
        <v>0</v>
      </c>
      <c r="BM680" s="160">
        <f t="shared" si="2863"/>
        <v>0</v>
      </c>
      <c r="BN680" s="160">
        <f t="shared" si="2863"/>
        <v>0</v>
      </c>
      <c r="BO680" s="160">
        <f t="shared" si="2863"/>
        <v>0</v>
      </c>
      <c r="BP680" s="160">
        <f t="shared" si="2863"/>
        <v>0</v>
      </c>
      <c r="BQ680" s="160">
        <f t="shared" si="2863"/>
        <v>0</v>
      </c>
      <c r="BR680" s="160">
        <f t="shared" si="2863"/>
        <v>0</v>
      </c>
      <c r="BS680" s="65"/>
      <c r="BT680" s="160">
        <f t="shared" si="2864"/>
        <v>0</v>
      </c>
      <c r="BU680" s="160">
        <f t="shared" si="2865"/>
        <v>0</v>
      </c>
      <c r="BV680" s="65"/>
      <c r="BW680" s="69"/>
      <c r="BX680" s="65"/>
      <c r="BY680" s="137">
        <f t="shared" si="2866"/>
        <v>1</v>
      </c>
      <c r="BZ680" s="137">
        <f>IF(BY680&gt;0,BY680+LARGE($BZ$213:BZ679,1),0)</f>
        <v>392</v>
      </c>
      <c r="CA680" s="137" t="str">
        <f t="shared" si="2867"/>
        <v>AN JR. ADM/CRP</v>
      </c>
      <c r="CB680" s="161">
        <f t="shared" si="2868"/>
        <v>0</v>
      </c>
      <c r="CC680" s="161">
        <f t="shared" si="2869"/>
        <v>0</v>
      </c>
      <c r="CD680" s="161">
        <f t="shared" si="2870"/>
        <v>0</v>
      </c>
      <c r="CE680" s="161">
        <f t="shared" si="2871"/>
        <v>0</v>
      </c>
      <c r="CF680" s="161">
        <f t="shared" si="2872"/>
        <v>0</v>
      </c>
      <c r="CG680" s="161">
        <f t="shared" si="2873"/>
        <v>0</v>
      </c>
      <c r="CH680" s="161">
        <f t="shared" si="2874"/>
        <v>0</v>
      </c>
      <c r="CI680" s="161">
        <f t="shared" si="2875"/>
        <v>0</v>
      </c>
      <c r="CJ680" s="161">
        <f t="shared" si="2876"/>
        <v>0</v>
      </c>
      <c r="CK680" s="161">
        <f t="shared" si="2877"/>
        <v>0</v>
      </c>
      <c r="CL680" s="161">
        <f t="shared" si="2878"/>
        <v>0</v>
      </c>
      <c r="CM680" s="161">
        <f t="shared" si="2879"/>
        <v>0</v>
      </c>
      <c r="CN680" s="161">
        <f t="shared" si="2880"/>
        <v>0</v>
      </c>
      <c r="CO680" s="161">
        <f t="shared" si="2881"/>
        <v>0</v>
      </c>
      <c r="CP680" s="161">
        <f t="shared" si="2882"/>
        <v>0</v>
      </c>
      <c r="CQ680" s="161">
        <f t="shared" si="2883"/>
        <v>0</v>
      </c>
      <c r="CR680" s="161">
        <f t="shared" si="2884"/>
        <v>0</v>
      </c>
      <c r="CS680" s="161">
        <f t="shared" si="2885"/>
        <v>0</v>
      </c>
      <c r="CT680" s="161">
        <f t="shared" si="2886"/>
        <v>0</v>
      </c>
      <c r="CU680" s="161">
        <f t="shared" si="2887"/>
        <v>0</v>
      </c>
      <c r="CV680" s="161">
        <f t="shared" si="2888"/>
        <v>0</v>
      </c>
      <c r="CW680" s="161">
        <f t="shared" si="2889"/>
        <v>0</v>
      </c>
      <c r="CX680" s="161">
        <f t="shared" si="2890"/>
        <v>0</v>
      </c>
      <c r="CY680" s="161">
        <f t="shared" si="2891"/>
        <v>0</v>
      </c>
      <c r="CZ680" s="161">
        <f t="shared" si="2892"/>
        <v>0</v>
      </c>
      <c r="DA680" s="161">
        <f t="shared" si="2893"/>
        <v>0</v>
      </c>
      <c r="DB680" s="161">
        <f t="shared" si="2894"/>
        <v>0</v>
      </c>
      <c r="DC680" s="161">
        <f t="shared" si="2895"/>
        <v>0</v>
      </c>
      <c r="DD680" s="161">
        <f t="shared" si="2896"/>
        <v>0</v>
      </c>
      <c r="DE680" s="161">
        <f t="shared" si="2897"/>
        <v>0</v>
      </c>
      <c r="DF680" s="161">
        <f t="shared" si="2898"/>
        <v>0</v>
      </c>
      <c r="DG680" s="161">
        <f t="shared" si="2899"/>
        <v>0</v>
      </c>
      <c r="DH680" s="161">
        <f t="shared" si="2900"/>
        <v>0</v>
      </c>
      <c r="DI680" s="161">
        <f t="shared" si="2901"/>
        <v>0</v>
      </c>
      <c r="DJ680" s="161">
        <f t="shared" si="2902"/>
        <v>0</v>
      </c>
      <c r="DK680" s="161">
        <f t="shared" si="2903"/>
        <v>0</v>
      </c>
      <c r="DL680" s="161">
        <f t="shared" si="2904"/>
        <v>0</v>
      </c>
      <c r="DM680" s="161">
        <f t="shared" si="2905"/>
        <v>0</v>
      </c>
      <c r="DN680" s="161">
        <f t="shared" si="2906"/>
        <v>0</v>
      </c>
      <c r="DO680" s="161">
        <f t="shared" si="2907"/>
        <v>0</v>
      </c>
      <c r="DP680" s="161">
        <f t="shared" si="2908"/>
        <v>0</v>
      </c>
      <c r="DQ680" s="161">
        <f t="shared" si="2909"/>
        <v>0</v>
      </c>
      <c r="DR680" s="161">
        <f t="shared" si="2910"/>
        <v>0</v>
      </c>
      <c r="DS680" s="161">
        <f t="shared" si="2911"/>
        <v>0</v>
      </c>
      <c r="DT680" s="161">
        <f t="shared" si="2912"/>
        <v>0</v>
      </c>
      <c r="DU680" s="161">
        <f t="shared" si="2913"/>
        <v>0</v>
      </c>
      <c r="DV680" s="161">
        <f t="shared" si="2914"/>
        <v>0</v>
      </c>
      <c r="DW680" s="161">
        <f t="shared" si="2915"/>
        <v>0</v>
      </c>
      <c r="DX680" s="161">
        <f t="shared" si="2916"/>
        <v>0</v>
      </c>
      <c r="DY680" s="161">
        <f t="shared" si="2917"/>
        <v>0</v>
      </c>
      <c r="DZ680" s="161">
        <f t="shared" si="2918"/>
        <v>0</v>
      </c>
      <c r="EA680" s="161">
        <f t="shared" si="2919"/>
        <v>0</v>
      </c>
      <c r="EB680" s="161">
        <f t="shared" si="2920"/>
        <v>0</v>
      </c>
      <c r="EC680" s="161">
        <f t="shared" si="2921"/>
        <v>0</v>
      </c>
      <c r="ED680" s="161">
        <f t="shared" si="2922"/>
        <v>0</v>
      </c>
      <c r="EE680" s="161">
        <f t="shared" si="2923"/>
        <v>0</v>
      </c>
      <c r="EF680" s="161">
        <f t="shared" si="2924"/>
        <v>0</v>
      </c>
      <c r="EG680" s="161">
        <f t="shared" si="2925"/>
        <v>0</v>
      </c>
      <c r="EH680" s="161">
        <f t="shared" si="2926"/>
        <v>0</v>
      </c>
      <c r="EI680" s="161">
        <f t="shared" si="2927"/>
        <v>0</v>
      </c>
      <c r="EJ680" s="65"/>
      <c r="EK680" s="161">
        <f t="shared" si="2998"/>
        <v>0</v>
      </c>
      <c r="EL680" s="161">
        <f t="shared" si="2999"/>
        <v>0</v>
      </c>
      <c r="EM680" s="161">
        <f t="shared" si="3000"/>
        <v>0</v>
      </c>
    </row>
    <row r="681" spans="1:143" ht="12" hidden="1" customHeight="1" outlineLevel="2">
      <c r="A681" s="77">
        <v>13</v>
      </c>
      <c r="B681" s="137" t="str">
        <f t="shared" si="2928"/>
        <v>TEC III - Equipe_01</v>
      </c>
      <c r="C681" s="65"/>
      <c r="D681" s="622"/>
      <c r="E681" s="65"/>
      <c r="F681" s="603"/>
      <c r="G681" s="77" t="str">
        <f>IF(INDEX(Tarefas!$BT$30:$FK$30,MATCH(A681,Tarefas!$BT$28:$FK$28,0))=0,"",INDEX(Tarefas!$BT$30:$FK$30,MATCH(A681,Tarefas!$BT$28:$FK$28,0)))</f>
        <v>TEC III</v>
      </c>
      <c r="H681" s="107" cm="1">
        <f t="array" ref="H681">IFERROR((SUMPRODUCT((Tarefas!$N$32:$N$54='Cronog. e Histog.'!$F$669)*(Tarefas!$BQ$30:$FK$30='Cronog. e Histog.'!$G681)*(Tarefas!$BQ$32:$FK$54)))/SUMIF(Tarefas!$N$32:$N$54,'Cronog. e Histog.'!$F$669,Tarefas!$K$32:$K$54),0)</f>
        <v>0</v>
      </c>
      <c r="I681" s="79">
        <f t="shared" si="2929"/>
        <v>0</v>
      </c>
      <c r="J681" s="65"/>
      <c r="K681" s="160">
        <f t="shared" si="3001"/>
        <v>0</v>
      </c>
      <c r="L681" s="160">
        <f t="shared" si="2863"/>
        <v>0</v>
      </c>
      <c r="M681" s="160">
        <f t="shared" si="2863"/>
        <v>0</v>
      </c>
      <c r="N681" s="160">
        <f t="shared" si="2863"/>
        <v>0</v>
      </c>
      <c r="O681" s="160">
        <f t="shared" si="2863"/>
        <v>0</v>
      </c>
      <c r="P681" s="160">
        <f t="shared" si="2863"/>
        <v>0</v>
      </c>
      <c r="Q681" s="160">
        <f t="shared" si="2863"/>
        <v>0</v>
      </c>
      <c r="R681" s="160">
        <f t="shared" si="2863"/>
        <v>0</v>
      </c>
      <c r="S681" s="160">
        <f t="shared" si="2863"/>
        <v>0</v>
      </c>
      <c r="T681" s="160">
        <f t="shared" si="2863"/>
        <v>0</v>
      </c>
      <c r="U681" s="160">
        <f t="shared" si="2863"/>
        <v>0</v>
      </c>
      <c r="V681" s="160">
        <f t="shared" si="2863"/>
        <v>0</v>
      </c>
      <c r="W681" s="160">
        <f t="shared" si="2863"/>
        <v>0</v>
      </c>
      <c r="X681" s="160">
        <f t="shared" si="2863"/>
        <v>0</v>
      </c>
      <c r="Y681" s="160">
        <f t="shared" si="2863"/>
        <v>0</v>
      </c>
      <c r="Z681" s="160">
        <f t="shared" si="2863"/>
        <v>0</v>
      </c>
      <c r="AA681" s="160">
        <f t="shared" si="2863"/>
        <v>0</v>
      </c>
      <c r="AB681" s="160">
        <f t="shared" si="2863"/>
        <v>0</v>
      </c>
      <c r="AC681" s="160">
        <f t="shared" si="2863"/>
        <v>0</v>
      </c>
      <c r="AD681" s="160">
        <f t="shared" si="2863"/>
        <v>0</v>
      </c>
      <c r="AE681" s="160">
        <f t="shared" si="2863"/>
        <v>0</v>
      </c>
      <c r="AF681" s="160">
        <f t="shared" si="2863"/>
        <v>0</v>
      </c>
      <c r="AG681" s="160">
        <f t="shared" si="2863"/>
        <v>0</v>
      </c>
      <c r="AH681" s="160">
        <f t="shared" si="2863"/>
        <v>0</v>
      </c>
      <c r="AI681" s="160">
        <f t="shared" si="2863"/>
        <v>0</v>
      </c>
      <c r="AJ681" s="160">
        <f t="shared" si="2863"/>
        <v>0</v>
      </c>
      <c r="AK681" s="160">
        <f t="shared" si="2863"/>
        <v>0</v>
      </c>
      <c r="AL681" s="160">
        <f t="shared" si="2863"/>
        <v>0</v>
      </c>
      <c r="AM681" s="160">
        <f t="shared" si="2863"/>
        <v>0</v>
      </c>
      <c r="AN681" s="160">
        <f t="shared" si="2863"/>
        <v>0</v>
      </c>
      <c r="AO681" s="160">
        <f t="shared" si="2863"/>
        <v>0</v>
      </c>
      <c r="AP681" s="160">
        <f t="shared" si="2863"/>
        <v>0</v>
      </c>
      <c r="AQ681" s="160">
        <f t="shared" si="2863"/>
        <v>0</v>
      </c>
      <c r="AR681" s="160">
        <f t="shared" si="2863"/>
        <v>0</v>
      </c>
      <c r="AS681" s="160">
        <f t="shared" si="2863"/>
        <v>0</v>
      </c>
      <c r="AT681" s="160">
        <f t="shared" si="2863"/>
        <v>0</v>
      </c>
      <c r="AU681" s="160">
        <f t="shared" si="2863"/>
        <v>0</v>
      </c>
      <c r="AV681" s="160">
        <f t="shared" si="2863"/>
        <v>0</v>
      </c>
      <c r="AW681" s="160">
        <f t="shared" si="2863"/>
        <v>0</v>
      </c>
      <c r="AX681" s="160">
        <f t="shared" si="2863"/>
        <v>0</v>
      </c>
      <c r="AY681" s="160">
        <f t="shared" si="2863"/>
        <v>0</v>
      </c>
      <c r="AZ681" s="160">
        <f t="shared" si="2863"/>
        <v>0</v>
      </c>
      <c r="BA681" s="160">
        <f t="shared" si="2863"/>
        <v>0</v>
      </c>
      <c r="BB681" s="160">
        <f t="shared" si="2863"/>
        <v>0</v>
      </c>
      <c r="BC681" s="160">
        <f t="shared" si="2863"/>
        <v>0</v>
      </c>
      <c r="BD681" s="160">
        <f t="shared" si="2863"/>
        <v>0</v>
      </c>
      <c r="BE681" s="160">
        <f t="shared" si="2863"/>
        <v>0</v>
      </c>
      <c r="BF681" s="160">
        <f t="shared" si="2863"/>
        <v>0</v>
      </c>
      <c r="BG681" s="160">
        <f t="shared" si="2863"/>
        <v>0</v>
      </c>
      <c r="BH681" s="160">
        <f t="shared" si="2863"/>
        <v>0</v>
      </c>
      <c r="BI681" s="160">
        <f t="shared" si="2863"/>
        <v>0</v>
      </c>
      <c r="BJ681" s="160">
        <f t="shared" si="2863"/>
        <v>0</v>
      </c>
      <c r="BK681" s="160">
        <f t="shared" si="2863"/>
        <v>0</v>
      </c>
      <c r="BL681" s="160">
        <f t="shared" si="2863"/>
        <v>0</v>
      </c>
      <c r="BM681" s="160">
        <f t="shared" si="2863"/>
        <v>0</v>
      </c>
      <c r="BN681" s="160">
        <f t="shared" si="2863"/>
        <v>0</v>
      </c>
      <c r="BO681" s="160">
        <f t="shared" si="2863"/>
        <v>0</v>
      </c>
      <c r="BP681" s="160">
        <f t="shared" si="2863"/>
        <v>0</v>
      </c>
      <c r="BQ681" s="160">
        <f t="shared" si="2863"/>
        <v>0</v>
      </c>
      <c r="BR681" s="160">
        <f t="shared" si="2863"/>
        <v>0</v>
      </c>
      <c r="BS681" s="65"/>
      <c r="BT681" s="160">
        <f t="shared" si="2864"/>
        <v>0</v>
      </c>
      <c r="BU681" s="160">
        <f t="shared" si="2865"/>
        <v>0</v>
      </c>
      <c r="BV681" s="65"/>
      <c r="BW681" s="69"/>
      <c r="BX681" s="65"/>
      <c r="BY681" s="137">
        <f t="shared" si="2866"/>
        <v>1</v>
      </c>
      <c r="BZ681" s="137">
        <f>IF(BY681&gt;0,BY681+LARGE($BZ$213:BZ680,1),0)</f>
        <v>393</v>
      </c>
      <c r="CA681" s="137" t="str">
        <f t="shared" si="2867"/>
        <v>TEC III</v>
      </c>
      <c r="CB681" s="161">
        <f t="shared" si="2868"/>
        <v>0</v>
      </c>
      <c r="CC681" s="161">
        <f t="shared" si="2869"/>
        <v>0</v>
      </c>
      <c r="CD681" s="161">
        <f t="shared" si="2870"/>
        <v>0</v>
      </c>
      <c r="CE681" s="161">
        <f t="shared" si="2871"/>
        <v>0</v>
      </c>
      <c r="CF681" s="161">
        <f t="shared" si="2872"/>
        <v>0</v>
      </c>
      <c r="CG681" s="161">
        <f t="shared" si="2873"/>
        <v>0</v>
      </c>
      <c r="CH681" s="161">
        <f t="shared" si="2874"/>
        <v>0</v>
      </c>
      <c r="CI681" s="161">
        <f t="shared" si="2875"/>
        <v>0</v>
      </c>
      <c r="CJ681" s="161">
        <f t="shared" si="2876"/>
        <v>0</v>
      </c>
      <c r="CK681" s="161">
        <f t="shared" si="2877"/>
        <v>0</v>
      </c>
      <c r="CL681" s="161">
        <f t="shared" si="2878"/>
        <v>0</v>
      </c>
      <c r="CM681" s="161">
        <f t="shared" si="2879"/>
        <v>0</v>
      </c>
      <c r="CN681" s="161">
        <f t="shared" si="2880"/>
        <v>0</v>
      </c>
      <c r="CO681" s="161">
        <f t="shared" si="2881"/>
        <v>0</v>
      </c>
      <c r="CP681" s="161">
        <f t="shared" si="2882"/>
        <v>0</v>
      </c>
      <c r="CQ681" s="161">
        <f t="shared" si="2883"/>
        <v>0</v>
      </c>
      <c r="CR681" s="161">
        <f t="shared" si="2884"/>
        <v>0</v>
      </c>
      <c r="CS681" s="161">
        <f t="shared" si="2885"/>
        <v>0</v>
      </c>
      <c r="CT681" s="161">
        <f t="shared" si="2886"/>
        <v>0</v>
      </c>
      <c r="CU681" s="161">
        <f t="shared" si="2887"/>
        <v>0</v>
      </c>
      <c r="CV681" s="161">
        <f t="shared" si="2888"/>
        <v>0</v>
      </c>
      <c r="CW681" s="161">
        <f t="shared" si="2889"/>
        <v>0</v>
      </c>
      <c r="CX681" s="161">
        <f t="shared" si="2890"/>
        <v>0</v>
      </c>
      <c r="CY681" s="161">
        <f t="shared" si="2891"/>
        <v>0</v>
      </c>
      <c r="CZ681" s="161">
        <f t="shared" si="2892"/>
        <v>0</v>
      </c>
      <c r="DA681" s="161">
        <f t="shared" si="2893"/>
        <v>0</v>
      </c>
      <c r="DB681" s="161">
        <f t="shared" si="2894"/>
        <v>0</v>
      </c>
      <c r="DC681" s="161">
        <f t="shared" si="2895"/>
        <v>0</v>
      </c>
      <c r="DD681" s="161">
        <f t="shared" si="2896"/>
        <v>0</v>
      </c>
      <c r="DE681" s="161">
        <f t="shared" si="2897"/>
        <v>0</v>
      </c>
      <c r="DF681" s="161">
        <f t="shared" si="2898"/>
        <v>0</v>
      </c>
      <c r="DG681" s="161">
        <f t="shared" si="2899"/>
        <v>0</v>
      </c>
      <c r="DH681" s="161">
        <f t="shared" si="2900"/>
        <v>0</v>
      </c>
      <c r="DI681" s="161">
        <f t="shared" si="2901"/>
        <v>0</v>
      </c>
      <c r="DJ681" s="161">
        <f t="shared" si="2902"/>
        <v>0</v>
      </c>
      <c r="DK681" s="161">
        <f t="shared" si="2903"/>
        <v>0</v>
      </c>
      <c r="DL681" s="161">
        <f t="shared" si="2904"/>
        <v>0</v>
      </c>
      <c r="DM681" s="161">
        <f t="shared" si="2905"/>
        <v>0</v>
      </c>
      <c r="DN681" s="161">
        <f t="shared" si="2906"/>
        <v>0</v>
      </c>
      <c r="DO681" s="161">
        <f t="shared" si="2907"/>
        <v>0</v>
      </c>
      <c r="DP681" s="161">
        <f t="shared" si="2908"/>
        <v>0</v>
      </c>
      <c r="DQ681" s="161">
        <f t="shared" si="2909"/>
        <v>0</v>
      </c>
      <c r="DR681" s="161">
        <f t="shared" si="2910"/>
        <v>0</v>
      </c>
      <c r="DS681" s="161">
        <f t="shared" si="2911"/>
        <v>0</v>
      </c>
      <c r="DT681" s="161">
        <f t="shared" si="2912"/>
        <v>0</v>
      </c>
      <c r="DU681" s="161">
        <f t="shared" si="2913"/>
        <v>0</v>
      </c>
      <c r="DV681" s="161">
        <f t="shared" si="2914"/>
        <v>0</v>
      </c>
      <c r="DW681" s="161">
        <f t="shared" si="2915"/>
        <v>0</v>
      </c>
      <c r="DX681" s="161">
        <f t="shared" si="2916"/>
        <v>0</v>
      </c>
      <c r="DY681" s="161">
        <f t="shared" si="2917"/>
        <v>0</v>
      </c>
      <c r="DZ681" s="161">
        <f t="shared" si="2918"/>
        <v>0</v>
      </c>
      <c r="EA681" s="161">
        <f t="shared" si="2919"/>
        <v>0</v>
      </c>
      <c r="EB681" s="161">
        <f t="shared" si="2920"/>
        <v>0</v>
      </c>
      <c r="EC681" s="161">
        <f t="shared" si="2921"/>
        <v>0</v>
      </c>
      <c r="ED681" s="161">
        <f t="shared" si="2922"/>
        <v>0</v>
      </c>
      <c r="EE681" s="161">
        <f t="shared" si="2923"/>
        <v>0</v>
      </c>
      <c r="EF681" s="161">
        <f t="shared" si="2924"/>
        <v>0</v>
      </c>
      <c r="EG681" s="161">
        <f t="shared" si="2925"/>
        <v>0</v>
      </c>
      <c r="EH681" s="161">
        <f t="shared" si="2926"/>
        <v>0</v>
      </c>
      <c r="EI681" s="161">
        <f t="shared" si="2927"/>
        <v>0</v>
      </c>
      <c r="EJ681" s="65"/>
      <c r="EK681" s="161">
        <f t="shared" si="2998"/>
        <v>0</v>
      </c>
      <c r="EL681" s="161">
        <f t="shared" si="2999"/>
        <v>0</v>
      </c>
      <c r="EM681" s="161">
        <f t="shared" si="3000"/>
        <v>0</v>
      </c>
    </row>
    <row r="682" spans="1:143" ht="12" hidden="1" customHeight="1" outlineLevel="2">
      <c r="A682" s="77">
        <v>14</v>
      </c>
      <c r="B682" s="137" t="str">
        <f t="shared" si="2928"/>
        <v>TEC II - Equipe_01</v>
      </c>
      <c r="C682" s="65"/>
      <c r="D682" s="622"/>
      <c r="E682" s="65"/>
      <c r="F682" s="603"/>
      <c r="G682" s="77" t="str">
        <f>IF(INDEX(Tarefas!$BT$30:$FK$30,MATCH(A682,Tarefas!$BT$28:$FK$28,0))=0,"",INDEX(Tarefas!$BT$30:$FK$30,MATCH(A682,Tarefas!$BT$28:$FK$28,0)))</f>
        <v>TEC II</v>
      </c>
      <c r="H682" s="107" cm="1">
        <f t="array" ref="H682">IFERROR((SUMPRODUCT((Tarefas!$N$32:$N$54='Cronog. e Histog.'!$F$669)*(Tarefas!$BQ$30:$FK$30='Cronog. e Histog.'!$G682)*(Tarefas!$BQ$32:$FK$54)))/SUMIF(Tarefas!$N$32:$N$54,'Cronog. e Histog.'!$F$669,Tarefas!$K$32:$K$54),0)</f>
        <v>0</v>
      </c>
      <c r="I682" s="79">
        <f t="shared" si="2929"/>
        <v>0</v>
      </c>
      <c r="J682" s="65"/>
      <c r="K682" s="160">
        <f t="shared" si="3001"/>
        <v>0</v>
      </c>
      <c r="L682" s="160">
        <f t="shared" si="2863"/>
        <v>0</v>
      </c>
      <c r="M682" s="160">
        <f t="shared" si="2863"/>
        <v>0</v>
      </c>
      <c r="N682" s="160">
        <f t="shared" si="2863"/>
        <v>0</v>
      </c>
      <c r="O682" s="160">
        <f t="shared" si="2863"/>
        <v>0</v>
      </c>
      <c r="P682" s="160">
        <f t="shared" si="2863"/>
        <v>0</v>
      </c>
      <c r="Q682" s="160">
        <f t="shared" si="2863"/>
        <v>0</v>
      </c>
      <c r="R682" s="160">
        <f t="shared" si="2863"/>
        <v>0</v>
      </c>
      <c r="S682" s="160">
        <f t="shared" si="2863"/>
        <v>0</v>
      </c>
      <c r="T682" s="160">
        <f t="shared" si="2863"/>
        <v>0</v>
      </c>
      <c r="U682" s="160">
        <f t="shared" si="2863"/>
        <v>0</v>
      </c>
      <c r="V682" s="160">
        <f t="shared" si="2863"/>
        <v>0</v>
      </c>
      <c r="W682" s="160">
        <f t="shared" si="2863"/>
        <v>0</v>
      </c>
      <c r="X682" s="160">
        <f t="shared" si="2863"/>
        <v>0</v>
      </c>
      <c r="Y682" s="160">
        <f t="shared" si="2863"/>
        <v>0</v>
      </c>
      <c r="Z682" s="160">
        <f t="shared" si="2863"/>
        <v>0</v>
      </c>
      <c r="AA682" s="160">
        <f t="shared" si="2863"/>
        <v>0</v>
      </c>
      <c r="AB682" s="160">
        <f t="shared" si="2863"/>
        <v>0</v>
      </c>
      <c r="AC682" s="160">
        <f t="shared" si="2863"/>
        <v>0</v>
      </c>
      <c r="AD682" s="160">
        <f t="shared" si="2863"/>
        <v>0</v>
      </c>
      <c r="AE682" s="160">
        <f t="shared" si="2863"/>
        <v>0</v>
      </c>
      <c r="AF682" s="160">
        <f t="shared" si="2863"/>
        <v>0</v>
      </c>
      <c r="AG682" s="160">
        <f t="shared" si="2863"/>
        <v>0</v>
      </c>
      <c r="AH682" s="160">
        <f t="shared" si="2863"/>
        <v>0</v>
      </c>
      <c r="AI682" s="160">
        <f t="shared" si="2863"/>
        <v>0</v>
      </c>
      <c r="AJ682" s="160">
        <f t="shared" si="2863"/>
        <v>0</v>
      </c>
      <c r="AK682" s="160">
        <f t="shared" si="2863"/>
        <v>0</v>
      </c>
      <c r="AL682" s="160">
        <f t="shared" si="2863"/>
        <v>0</v>
      </c>
      <c r="AM682" s="160">
        <f t="shared" si="2863"/>
        <v>0</v>
      </c>
      <c r="AN682" s="160">
        <f t="shared" si="2863"/>
        <v>0</v>
      </c>
      <c r="AO682" s="160">
        <f t="shared" si="2863"/>
        <v>0</v>
      </c>
      <c r="AP682" s="160">
        <f t="shared" si="2863"/>
        <v>0</v>
      </c>
      <c r="AQ682" s="160">
        <f t="shared" si="2863"/>
        <v>0</v>
      </c>
      <c r="AR682" s="160">
        <f t="shared" si="2863"/>
        <v>0</v>
      </c>
      <c r="AS682" s="160">
        <f t="shared" si="2863"/>
        <v>0</v>
      </c>
      <c r="AT682" s="160">
        <f t="shared" si="2863"/>
        <v>0</v>
      </c>
      <c r="AU682" s="160">
        <f t="shared" si="2863"/>
        <v>0</v>
      </c>
      <c r="AV682" s="160">
        <f t="shared" si="2863"/>
        <v>0</v>
      </c>
      <c r="AW682" s="160">
        <f t="shared" si="2863"/>
        <v>0</v>
      </c>
      <c r="AX682" s="160">
        <f t="shared" si="2863"/>
        <v>0</v>
      </c>
      <c r="AY682" s="160">
        <f t="shared" si="2863"/>
        <v>0</v>
      </c>
      <c r="AZ682" s="160">
        <f t="shared" si="2863"/>
        <v>0</v>
      </c>
      <c r="BA682" s="160">
        <f t="shared" si="2863"/>
        <v>0</v>
      </c>
      <c r="BB682" s="160">
        <f t="shared" si="2863"/>
        <v>0</v>
      </c>
      <c r="BC682" s="160">
        <f t="shared" si="2863"/>
        <v>0</v>
      </c>
      <c r="BD682" s="160">
        <f t="shared" si="2863"/>
        <v>0</v>
      </c>
      <c r="BE682" s="160">
        <f t="shared" si="2863"/>
        <v>0</v>
      </c>
      <c r="BF682" s="160">
        <f t="shared" si="2863"/>
        <v>0</v>
      </c>
      <c r="BG682" s="160">
        <f t="shared" si="2863"/>
        <v>0</v>
      </c>
      <c r="BH682" s="160">
        <f t="shared" si="2863"/>
        <v>0</v>
      </c>
      <c r="BI682" s="160">
        <f t="shared" si="2863"/>
        <v>0</v>
      </c>
      <c r="BJ682" s="160">
        <f t="shared" si="2863"/>
        <v>0</v>
      </c>
      <c r="BK682" s="160">
        <f t="shared" si="2863"/>
        <v>0</v>
      </c>
      <c r="BL682" s="160">
        <f t="shared" si="2863"/>
        <v>0</v>
      </c>
      <c r="BM682" s="160">
        <f t="shared" si="2863"/>
        <v>0</v>
      </c>
      <c r="BN682" s="160">
        <f t="shared" si="2863"/>
        <v>0</v>
      </c>
      <c r="BO682" s="160">
        <f t="shared" si="2863"/>
        <v>0</v>
      </c>
      <c r="BP682" s="160">
        <f t="shared" si="2863"/>
        <v>0</v>
      </c>
      <c r="BQ682" s="160">
        <f t="shared" si="2863"/>
        <v>0</v>
      </c>
      <c r="BR682" s="160">
        <f t="shared" si="2863"/>
        <v>0</v>
      </c>
      <c r="BS682" s="65"/>
      <c r="BT682" s="160">
        <f t="shared" si="2864"/>
        <v>0</v>
      </c>
      <c r="BU682" s="160">
        <f t="shared" si="2865"/>
        <v>0</v>
      </c>
      <c r="BV682" s="65"/>
      <c r="BW682" s="69"/>
      <c r="BX682" s="65"/>
      <c r="BY682" s="137">
        <f t="shared" si="2866"/>
        <v>1</v>
      </c>
      <c r="BZ682" s="137">
        <f>IF(BY682&gt;0,BY682+LARGE($BZ$213:BZ681,1),0)</f>
        <v>394</v>
      </c>
      <c r="CA682" s="137" t="str">
        <f t="shared" si="2867"/>
        <v>TEC II</v>
      </c>
      <c r="CB682" s="161">
        <f t="shared" si="2868"/>
        <v>0</v>
      </c>
      <c r="CC682" s="161">
        <f t="shared" si="2869"/>
        <v>0</v>
      </c>
      <c r="CD682" s="161">
        <f t="shared" si="2870"/>
        <v>0</v>
      </c>
      <c r="CE682" s="161">
        <f t="shared" si="2871"/>
        <v>0</v>
      </c>
      <c r="CF682" s="161">
        <f t="shared" si="2872"/>
        <v>0</v>
      </c>
      <c r="CG682" s="161">
        <f t="shared" si="2873"/>
        <v>0</v>
      </c>
      <c r="CH682" s="161">
        <f t="shared" si="2874"/>
        <v>0</v>
      </c>
      <c r="CI682" s="161">
        <f t="shared" si="2875"/>
        <v>0</v>
      </c>
      <c r="CJ682" s="161">
        <f t="shared" si="2876"/>
        <v>0</v>
      </c>
      <c r="CK682" s="161">
        <f t="shared" si="2877"/>
        <v>0</v>
      </c>
      <c r="CL682" s="161">
        <f t="shared" si="2878"/>
        <v>0</v>
      </c>
      <c r="CM682" s="161">
        <f t="shared" si="2879"/>
        <v>0</v>
      </c>
      <c r="CN682" s="161">
        <f t="shared" si="2880"/>
        <v>0</v>
      </c>
      <c r="CO682" s="161">
        <f t="shared" si="2881"/>
        <v>0</v>
      </c>
      <c r="CP682" s="161">
        <f t="shared" si="2882"/>
        <v>0</v>
      </c>
      <c r="CQ682" s="161">
        <f t="shared" si="2883"/>
        <v>0</v>
      </c>
      <c r="CR682" s="161">
        <f t="shared" si="2884"/>
        <v>0</v>
      </c>
      <c r="CS682" s="161">
        <f t="shared" si="2885"/>
        <v>0</v>
      </c>
      <c r="CT682" s="161">
        <f t="shared" si="2886"/>
        <v>0</v>
      </c>
      <c r="CU682" s="161">
        <f t="shared" si="2887"/>
        <v>0</v>
      </c>
      <c r="CV682" s="161">
        <f t="shared" si="2888"/>
        <v>0</v>
      </c>
      <c r="CW682" s="161">
        <f t="shared" si="2889"/>
        <v>0</v>
      </c>
      <c r="CX682" s="161">
        <f t="shared" si="2890"/>
        <v>0</v>
      </c>
      <c r="CY682" s="161">
        <f t="shared" si="2891"/>
        <v>0</v>
      </c>
      <c r="CZ682" s="161">
        <f t="shared" si="2892"/>
        <v>0</v>
      </c>
      <c r="DA682" s="161">
        <f t="shared" si="2893"/>
        <v>0</v>
      </c>
      <c r="DB682" s="161">
        <f t="shared" si="2894"/>
        <v>0</v>
      </c>
      <c r="DC682" s="161">
        <f t="shared" si="2895"/>
        <v>0</v>
      </c>
      <c r="DD682" s="161">
        <f t="shared" si="2896"/>
        <v>0</v>
      </c>
      <c r="DE682" s="161">
        <f t="shared" si="2897"/>
        <v>0</v>
      </c>
      <c r="DF682" s="161">
        <f t="shared" si="2898"/>
        <v>0</v>
      </c>
      <c r="DG682" s="161">
        <f t="shared" si="2899"/>
        <v>0</v>
      </c>
      <c r="DH682" s="161">
        <f t="shared" si="2900"/>
        <v>0</v>
      </c>
      <c r="DI682" s="161">
        <f t="shared" si="2901"/>
        <v>0</v>
      </c>
      <c r="DJ682" s="161">
        <f t="shared" si="2902"/>
        <v>0</v>
      </c>
      <c r="DK682" s="161">
        <f t="shared" si="2903"/>
        <v>0</v>
      </c>
      <c r="DL682" s="161">
        <f t="shared" si="2904"/>
        <v>0</v>
      </c>
      <c r="DM682" s="161">
        <f t="shared" si="2905"/>
        <v>0</v>
      </c>
      <c r="DN682" s="161">
        <f t="shared" si="2906"/>
        <v>0</v>
      </c>
      <c r="DO682" s="161">
        <f t="shared" si="2907"/>
        <v>0</v>
      </c>
      <c r="DP682" s="161">
        <f t="shared" si="2908"/>
        <v>0</v>
      </c>
      <c r="DQ682" s="161">
        <f t="shared" si="2909"/>
        <v>0</v>
      </c>
      <c r="DR682" s="161">
        <f t="shared" si="2910"/>
        <v>0</v>
      </c>
      <c r="DS682" s="161">
        <f t="shared" si="2911"/>
        <v>0</v>
      </c>
      <c r="DT682" s="161">
        <f t="shared" si="2912"/>
        <v>0</v>
      </c>
      <c r="DU682" s="161">
        <f t="shared" si="2913"/>
        <v>0</v>
      </c>
      <c r="DV682" s="161">
        <f t="shared" si="2914"/>
        <v>0</v>
      </c>
      <c r="DW682" s="161">
        <f t="shared" si="2915"/>
        <v>0</v>
      </c>
      <c r="DX682" s="161">
        <f t="shared" si="2916"/>
        <v>0</v>
      </c>
      <c r="DY682" s="161">
        <f t="shared" si="2917"/>
        <v>0</v>
      </c>
      <c r="DZ682" s="161">
        <f t="shared" si="2918"/>
        <v>0</v>
      </c>
      <c r="EA682" s="161">
        <f t="shared" si="2919"/>
        <v>0</v>
      </c>
      <c r="EB682" s="161">
        <f t="shared" si="2920"/>
        <v>0</v>
      </c>
      <c r="EC682" s="161">
        <f t="shared" si="2921"/>
        <v>0</v>
      </c>
      <c r="ED682" s="161">
        <f t="shared" si="2922"/>
        <v>0</v>
      </c>
      <c r="EE682" s="161">
        <f t="shared" si="2923"/>
        <v>0</v>
      </c>
      <c r="EF682" s="161">
        <f t="shared" si="2924"/>
        <v>0</v>
      </c>
      <c r="EG682" s="161">
        <f t="shared" si="2925"/>
        <v>0</v>
      </c>
      <c r="EH682" s="161">
        <f t="shared" si="2926"/>
        <v>0</v>
      </c>
      <c r="EI682" s="161">
        <f t="shared" si="2927"/>
        <v>0</v>
      </c>
      <c r="EJ682" s="65"/>
      <c r="EK682" s="161">
        <f t="shared" si="2998"/>
        <v>0</v>
      </c>
      <c r="EL682" s="161">
        <f t="shared" si="2999"/>
        <v>0</v>
      </c>
      <c r="EM682" s="161">
        <f t="shared" si="3000"/>
        <v>0</v>
      </c>
    </row>
    <row r="683" spans="1:143" ht="12" hidden="1" customHeight="1" outlineLevel="2">
      <c r="A683" s="77">
        <v>15</v>
      </c>
      <c r="B683" s="137" t="str">
        <f t="shared" si="2928"/>
        <v>TEC I - Equipe_01</v>
      </c>
      <c r="C683" s="65"/>
      <c r="D683" s="622"/>
      <c r="E683" s="65"/>
      <c r="F683" s="603"/>
      <c r="G683" s="77" t="str">
        <f>IF(INDEX(Tarefas!$BT$30:$FK$30,MATCH(A683,Tarefas!$BT$28:$FK$28,0))=0,"",INDEX(Tarefas!$BT$30:$FK$30,MATCH(A683,Tarefas!$BT$28:$FK$28,0)))</f>
        <v>TEC I</v>
      </c>
      <c r="H683" s="107" cm="1">
        <f t="array" ref="H683">IFERROR((SUMPRODUCT((Tarefas!$N$32:$N$54='Cronog. e Histog.'!$F$669)*(Tarefas!$BQ$30:$FK$30='Cronog. e Histog.'!$G683)*(Tarefas!$BQ$32:$FK$54)))/SUMIF(Tarefas!$N$32:$N$54,'Cronog. e Histog.'!$F$669,Tarefas!$K$32:$K$54),0)</f>
        <v>0</v>
      </c>
      <c r="I683" s="79">
        <f t="shared" si="2929"/>
        <v>0</v>
      </c>
      <c r="J683" s="65"/>
      <c r="K683" s="160">
        <f t="shared" si="3001"/>
        <v>0</v>
      </c>
      <c r="L683" s="160">
        <f t="shared" si="2863"/>
        <v>0</v>
      </c>
      <c r="M683" s="160">
        <f t="shared" si="2863"/>
        <v>0</v>
      </c>
      <c r="N683" s="160">
        <f t="shared" si="2863"/>
        <v>0</v>
      </c>
      <c r="O683" s="160">
        <f t="shared" si="2863"/>
        <v>0</v>
      </c>
      <c r="P683" s="160">
        <f t="shared" si="2863"/>
        <v>0</v>
      </c>
      <c r="Q683" s="160">
        <f t="shared" si="2863"/>
        <v>0</v>
      </c>
      <c r="R683" s="160">
        <f t="shared" si="2863"/>
        <v>0</v>
      </c>
      <c r="S683" s="160">
        <f t="shared" si="2863"/>
        <v>0</v>
      </c>
      <c r="T683" s="160">
        <f t="shared" si="2863"/>
        <v>0</v>
      </c>
      <c r="U683" s="160">
        <f t="shared" si="2863"/>
        <v>0</v>
      </c>
      <c r="V683" s="160">
        <f t="shared" si="2863"/>
        <v>0</v>
      </c>
      <c r="W683" s="160">
        <f t="shared" si="2863"/>
        <v>0</v>
      </c>
      <c r="X683" s="160">
        <f t="shared" si="2863"/>
        <v>0</v>
      </c>
      <c r="Y683" s="160">
        <f t="shared" si="2863"/>
        <v>0</v>
      </c>
      <c r="Z683" s="160">
        <f t="shared" si="2863"/>
        <v>0</v>
      </c>
      <c r="AA683" s="160">
        <f t="shared" si="2863"/>
        <v>0</v>
      </c>
      <c r="AB683" s="160">
        <f t="shared" si="2863"/>
        <v>0</v>
      </c>
      <c r="AC683" s="160">
        <f t="shared" si="2863"/>
        <v>0</v>
      </c>
      <c r="AD683" s="160">
        <f t="shared" si="2863"/>
        <v>0</v>
      </c>
      <c r="AE683" s="160">
        <f t="shared" si="2863"/>
        <v>0</v>
      </c>
      <c r="AF683" s="160">
        <f t="shared" si="2863"/>
        <v>0</v>
      </c>
      <c r="AG683" s="160">
        <f t="shared" si="2863"/>
        <v>0</v>
      </c>
      <c r="AH683" s="160">
        <f t="shared" si="2863"/>
        <v>0</v>
      </c>
      <c r="AI683" s="160">
        <f t="shared" si="2863"/>
        <v>0</v>
      </c>
      <c r="AJ683" s="160">
        <f t="shared" si="2863"/>
        <v>0</v>
      </c>
      <c r="AK683" s="160">
        <f t="shared" si="2863"/>
        <v>0</v>
      </c>
      <c r="AL683" s="160">
        <f t="shared" si="2863"/>
        <v>0</v>
      </c>
      <c r="AM683" s="160">
        <f t="shared" si="2863"/>
        <v>0</v>
      </c>
      <c r="AN683" s="160">
        <f t="shared" si="2863"/>
        <v>0</v>
      </c>
      <c r="AO683" s="160">
        <f t="shared" si="2863"/>
        <v>0</v>
      </c>
      <c r="AP683" s="160">
        <f t="shared" si="2863"/>
        <v>0</v>
      </c>
      <c r="AQ683" s="160">
        <f t="shared" si="2863"/>
        <v>0</v>
      </c>
      <c r="AR683" s="160">
        <f t="shared" si="2863"/>
        <v>0</v>
      </c>
      <c r="AS683" s="160">
        <f t="shared" si="2863"/>
        <v>0</v>
      </c>
      <c r="AT683" s="160">
        <f t="shared" ref="L683:BR687" si="3002">ROUND($I683*AT$202,2)</f>
        <v>0</v>
      </c>
      <c r="AU683" s="160">
        <f t="shared" si="3002"/>
        <v>0</v>
      </c>
      <c r="AV683" s="160">
        <f t="shared" si="3002"/>
        <v>0</v>
      </c>
      <c r="AW683" s="160">
        <f t="shared" si="3002"/>
        <v>0</v>
      </c>
      <c r="AX683" s="160">
        <f t="shared" si="3002"/>
        <v>0</v>
      </c>
      <c r="AY683" s="160">
        <f t="shared" si="3002"/>
        <v>0</v>
      </c>
      <c r="AZ683" s="160">
        <f t="shared" si="3002"/>
        <v>0</v>
      </c>
      <c r="BA683" s="160">
        <f t="shared" si="3002"/>
        <v>0</v>
      </c>
      <c r="BB683" s="160">
        <f t="shared" si="3002"/>
        <v>0</v>
      </c>
      <c r="BC683" s="160">
        <f t="shared" si="3002"/>
        <v>0</v>
      </c>
      <c r="BD683" s="160">
        <f t="shared" si="3002"/>
        <v>0</v>
      </c>
      <c r="BE683" s="160">
        <f t="shared" si="3002"/>
        <v>0</v>
      </c>
      <c r="BF683" s="160">
        <f t="shared" si="3002"/>
        <v>0</v>
      </c>
      <c r="BG683" s="160">
        <f t="shared" si="3002"/>
        <v>0</v>
      </c>
      <c r="BH683" s="160">
        <f t="shared" si="3002"/>
        <v>0</v>
      </c>
      <c r="BI683" s="160">
        <f t="shared" si="3002"/>
        <v>0</v>
      </c>
      <c r="BJ683" s="160">
        <f t="shared" si="3002"/>
        <v>0</v>
      </c>
      <c r="BK683" s="160">
        <f t="shared" si="3002"/>
        <v>0</v>
      </c>
      <c r="BL683" s="160">
        <f t="shared" si="3002"/>
        <v>0</v>
      </c>
      <c r="BM683" s="160">
        <f t="shared" si="3002"/>
        <v>0</v>
      </c>
      <c r="BN683" s="160">
        <f t="shared" si="3002"/>
        <v>0</v>
      </c>
      <c r="BO683" s="160">
        <f t="shared" si="3002"/>
        <v>0</v>
      </c>
      <c r="BP683" s="160">
        <f t="shared" si="3002"/>
        <v>0</v>
      </c>
      <c r="BQ683" s="160">
        <f t="shared" si="3002"/>
        <v>0</v>
      </c>
      <c r="BR683" s="160">
        <f t="shared" si="3002"/>
        <v>0</v>
      </c>
      <c r="BS683" s="65"/>
      <c r="BT683" s="160">
        <f t="shared" si="2864"/>
        <v>0</v>
      </c>
      <c r="BU683" s="160">
        <f t="shared" si="2865"/>
        <v>0</v>
      </c>
      <c r="BV683" s="65"/>
      <c r="BW683" s="69"/>
      <c r="BX683" s="65"/>
      <c r="BY683" s="137">
        <f t="shared" si="2866"/>
        <v>1</v>
      </c>
      <c r="BZ683" s="137">
        <f>IF(BY683&gt;0,BY683+LARGE($BZ$213:BZ682,1),0)</f>
        <v>395</v>
      </c>
      <c r="CA683" s="137" t="str">
        <f t="shared" si="2867"/>
        <v>TEC I</v>
      </c>
      <c r="CB683" s="161">
        <f t="shared" si="2868"/>
        <v>0</v>
      </c>
      <c r="CC683" s="161">
        <f t="shared" si="2869"/>
        <v>0</v>
      </c>
      <c r="CD683" s="161">
        <f t="shared" si="2870"/>
        <v>0</v>
      </c>
      <c r="CE683" s="161">
        <f t="shared" si="2871"/>
        <v>0</v>
      </c>
      <c r="CF683" s="161">
        <f t="shared" si="2872"/>
        <v>0</v>
      </c>
      <c r="CG683" s="161">
        <f t="shared" si="2873"/>
        <v>0</v>
      </c>
      <c r="CH683" s="161">
        <f t="shared" si="2874"/>
        <v>0</v>
      </c>
      <c r="CI683" s="161">
        <f t="shared" si="2875"/>
        <v>0</v>
      </c>
      <c r="CJ683" s="161">
        <f t="shared" si="2876"/>
        <v>0</v>
      </c>
      <c r="CK683" s="161">
        <f t="shared" si="2877"/>
        <v>0</v>
      </c>
      <c r="CL683" s="161">
        <f t="shared" si="2878"/>
        <v>0</v>
      </c>
      <c r="CM683" s="161">
        <f t="shared" si="2879"/>
        <v>0</v>
      </c>
      <c r="CN683" s="161">
        <f t="shared" si="2880"/>
        <v>0</v>
      </c>
      <c r="CO683" s="161">
        <f t="shared" si="2881"/>
        <v>0</v>
      </c>
      <c r="CP683" s="161">
        <f t="shared" si="2882"/>
        <v>0</v>
      </c>
      <c r="CQ683" s="161">
        <f t="shared" si="2883"/>
        <v>0</v>
      </c>
      <c r="CR683" s="161">
        <f t="shared" si="2884"/>
        <v>0</v>
      </c>
      <c r="CS683" s="161">
        <f t="shared" si="2885"/>
        <v>0</v>
      </c>
      <c r="CT683" s="161">
        <f t="shared" si="2886"/>
        <v>0</v>
      </c>
      <c r="CU683" s="161">
        <f t="shared" si="2887"/>
        <v>0</v>
      </c>
      <c r="CV683" s="161">
        <f t="shared" si="2888"/>
        <v>0</v>
      </c>
      <c r="CW683" s="161">
        <f t="shared" si="2889"/>
        <v>0</v>
      </c>
      <c r="CX683" s="161">
        <f t="shared" si="2890"/>
        <v>0</v>
      </c>
      <c r="CY683" s="161">
        <f t="shared" si="2891"/>
        <v>0</v>
      </c>
      <c r="CZ683" s="161">
        <f t="shared" si="2892"/>
        <v>0</v>
      </c>
      <c r="DA683" s="161">
        <f t="shared" si="2893"/>
        <v>0</v>
      </c>
      <c r="DB683" s="161">
        <f t="shared" si="2894"/>
        <v>0</v>
      </c>
      <c r="DC683" s="161">
        <f t="shared" si="2895"/>
        <v>0</v>
      </c>
      <c r="DD683" s="161">
        <f t="shared" si="2896"/>
        <v>0</v>
      </c>
      <c r="DE683" s="161">
        <f t="shared" si="2897"/>
        <v>0</v>
      </c>
      <c r="DF683" s="161">
        <f t="shared" si="2898"/>
        <v>0</v>
      </c>
      <c r="DG683" s="161">
        <f t="shared" si="2899"/>
        <v>0</v>
      </c>
      <c r="DH683" s="161">
        <f t="shared" si="2900"/>
        <v>0</v>
      </c>
      <c r="DI683" s="161">
        <f t="shared" si="2901"/>
        <v>0</v>
      </c>
      <c r="DJ683" s="161">
        <f t="shared" si="2902"/>
        <v>0</v>
      </c>
      <c r="DK683" s="161">
        <f t="shared" si="2903"/>
        <v>0</v>
      </c>
      <c r="DL683" s="161">
        <f t="shared" si="2904"/>
        <v>0</v>
      </c>
      <c r="DM683" s="161">
        <f t="shared" si="2905"/>
        <v>0</v>
      </c>
      <c r="DN683" s="161">
        <f t="shared" si="2906"/>
        <v>0</v>
      </c>
      <c r="DO683" s="161">
        <f t="shared" si="2907"/>
        <v>0</v>
      </c>
      <c r="DP683" s="161">
        <f t="shared" si="2908"/>
        <v>0</v>
      </c>
      <c r="DQ683" s="161">
        <f t="shared" si="2909"/>
        <v>0</v>
      </c>
      <c r="DR683" s="161">
        <f t="shared" si="2910"/>
        <v>0</v>
      </c>
      <c r="DS683" s="161">
        <f t="shared" si="2911"/>
        <v>0</v>
      </c>
      <c r="DT683" s="161">
        <f t="shared" si="2912"/>
        <v>0</v>
      </c>
      <c r="DU683" s="161">
        <f t="shared" si="2913"/>
        <v>0</v>
      </c>
      <c r="DV683" s="161">
        <f t="shared" si="2914"/>
        <v>0</v>
      </c>
      <c r="DW683" s="161">
        <f t="shared" si="2915"/>
        <v>0</v>
      </c>
      <c r="DX683" s="161">
        <f t="shared" si="2916"/>
        <v>0</v>
      </c>
      <c r="DY683" s="161">
        <f t="shared" si="2917"/>
        <v>0</v>
      </c>
      <c r="DZ683" s="161">
        <f t="shared" si="2918"/>
        <v>0</v>
      </c>
      <c r="EA683" s="161">
        <f t="shared" si="2919"/>
        <v>0</v>
      </c>
      <c r="EB683" s="161">
        <f t="shared" si="2920"/>
        <v>0</v>
      </c>
      <c r="EC683" s="161">
        <f t="shared" si="2921"/>
        <v>0</v>
      </c>
      <c r="ED683" s="161">
        <f t="shared" si="2922"/>
        <v>0</v>
      </c>
      <c r="EE683" s="161">
        <f t="shared" si="2923"/>
        <v>0</v>
      </c>
      <c r="EF683" s="161">
        <f t="shared" si="2924"/>
        <v>0</v>
      </c>
      <c r="EG683" s="161">
        <f t="shared" si="2925"/>
        <v>0</v>
      </c>
      <c r="EH683" s="161">
        <f t="shared" si="2926"/>
        <v>0</v>
      </c>
      <c r="EI683" s="161">
        <f t="shared" si="2927"/>
        <v>0</v>
      </c>
      <c r="EJ683" s="65"/>
      <c r="EK683" s="161">
        <f t="shared" si="2998"/>
        <v>0</v>
      </c>
      <c r="EL683" s="161">
        <f t="shared" si="2999"/>
        <v>0</v>
      </c>
      <c r="EM683" s="161">
        <f t="shared" si="3000"/>
        <v>0</v>
      </c>
    </row>
    <row r="684" spans="1:143" ht="12" hidden="1" customHeight="1" outlineLevel="2">
      <c r="A684" s="77">
        <v>16</v>
      </c>
      <c r="B684" s="137" t="str">
        <f t="shared" si="2928"/>
        <v>AUX TEC - Equipe_01</v>
      </c>
      <c r="C684" s="65"/>
      <c r="D684" s="622"/>
      <c r="E684" s="65"/>
      <c r="F684" s="603"/>
      <c r="G684" s="77" t="str">
        <f>IF(INDEX(Tarefas!$BT$30:$FK$30,MATCH(A684,Tarefas!$BT$28:$FK$28,0))=0,"",INDEX(Tarefas!$BT$30:$FK$30,MATCH(A684,Tarefas!$BT$28:$FK$28,0)))</f>
        <v>AUX TEC</v>
      </c>
      <c r="H684" s="107" cm="1">
        <f t="array" ref="H684">IFERROR((SUMPRODUCT((Tarefas!$N$32:$N$54='Cronog. e Histog.'!$F$669)*(Tarefas!$BQ$30:$FK$30='Cronog. e Histog.'!$G684)*(Tarefas!$BQ$32:$FK$54)))/SUMIF(Tarefas!$N$32:$N$54,'Cronog. e Histog.'!$F$669,Tarefas!$K$32:$K$54),0)</f>
        <v>0</v>
      </c>
      <c r="I684" s="79">
        <f t="shared" si="2929"/>
        <v>0</v>
      </c>
      <c r="J684" s="65"/>
      <c r="K684" s="160">
        <f t="shared" si="3001"/>
        <v>0</v>
      </c>
      <c r="L684" s="160">
        <f t="shared" si="3002"/>
        <v>0</v>
      </c>
      <c r="M684" s="160">
        <f t="shared" si="3002"/>
        <v>0</v>
      </c>
      <c r="N684" s="160">
        <f t="shared" si="3002"/>
        <v>0</v>
      </c>
      <c r="O684" s="160">
        <f t="shared" si="3002"/>
        <v>0</v>
      </c>
      <c r="P684" s="160">
        <f t="shared" si="3002"/>
        <v>0</v>
      </c>
      <c r="Q684" s="160">
        <f t="shared" si="3002"/>
        <v>0</v>
      </c>
      <c r="R684" s="160">
        <f t="shared" si="3002"/>
        <v>0</v>
      </c>
      <c r="S684" s="160">
        <f t="shared" si="3002"/>
        <v>0</v>
      </c>
      <c r="T684" s="160">
        <f t="shared" si="3002"/>
        <v>0</v>
      </c>
      <c r="U684" s="160">
        <f t="shared" si="3002"/>
        <v>0</v>
      </c>
      <c r="V684" s="160">
        <f t="shared" si="3002"/>
        <v>0</v>
      </c>
      <c r="W684" s="160">
        <f t="shared" si="3002"/>
        <v>0</v>
      </c>
      <c r="X684" s="160">
        <f t="shared" si="3002"/>
        <v>0</v>
      </c>
      <c r="Y684" s="160">
        <f t="shared" si="3002"/>
        <v>0</v>
      </c>
      <c r="Z684" s="160">
        <f t="shared" si="3002"/>
        <v>0</v>
      </c>
      <c r="AA684" s="160">
        <f t="shared" si="3002"/>
        <v>0</v>
      </c>
      <c r="AB684" s="160">
        <f t="shared" si="3002"/>
        <v>0</v>
      </c>
      <c r="AC684" s="160">
        <f t="shared" si="3002"/>
        <v>0</v>
      </c>
      <c r="AD684" s="160">
        <f t="shared" si="3002"/>
        <v>0</v>
      </c>
      <c r="AE684" s="160">
        <f t="shared" si="3002"/>
        <v>0</v>
      </c>
      <c r="AF684" s="160">
        <f t="shared" si="3002"/>
        <v>0</v>
      </c>
      <c r="AG684" s="160">
        <f t="shared" si="3002"/>
        <v>0</v>
      </c>
      <c r="AH684" s="160">
        <f t="shared" si="3002"/>
        <v>0</v>
      </c>
      <c r="AI684" s="160">
        <f t="shared" si="3002"/>
        <v>0</v>
      </c>
      <c r="AJ684" s="160">
        <f t="shared" si="3002"/>
        <v>0</v>
      </c>
      <c r="AK684" s="160">
        <f t="shared" si="3002"/>
        <v>0</v>
      </c>
      <c r="AL684" s="160">
        <f t="shared" si="3002"/>
        <v>0</v>
      </c>
      <c r="AM684" s="160">
        <f t="shared" si="3002"/>
        <v>0</v>
      </c>
      <c r="AN684" s="160">
        <f t="shared" si="3002"/>
        <v>0</v>
      </c>
      <c r="AO684" s="160">
        <f t="shared" si="3002"/>
        <v>0</v>
      </c>
      <c r="AP684" s="160">
        <f t="shared" si="3002"/>
        <v>0</v>
      </c>
      <c r="AQ684" s="160">
        <f t="shared" si="3002"/>
        <v>0</v>
      </c>
      <c r="AR684" s="160">
        <f t="shared" si="3002"/>
        <v>0</v>
      </c>
      <c r="AS684" s="160">
        <f t="shared" si="3002"/>
        <v>0</v>
      </c>
      <c r="AT684" s="160">
        <f t="shared" si="3002"/>
        <v>0</v>
      </c>
      <c r="AU684" s="160">
        <f t="shared" si="3002"/>
        <v>0</v>
      </c>
      <c r="AV684" s="160">
        <f t="shared" si="3002"/>
        <v>0</v>
      </c>
      <c r="AW684" s="160">
        <f t="shared" si="3002"/>
        <v>0</v>
      </c>
      <c r="AX684" s="160">
        <f t="shared" si="3002"/>
        <v>0</v>
      </c>
      <c r="AY684" s="160">
        <f t="shared" si="3002"/>
        <v>0</v>
      </c>
      <c r="AZ684" s="160">
        <f t="shared" si="3002"/>
        <v>0</v>
      </c>
      <c r="BA684" s="160">
        <f t="shared" si="3002"/>
        <v>0</v>
      </c>
      <c r="BB684" s="160">
        <f t="shared" si="3002"/>
        <v>0</v>
      </c>
      <c r="BC684" s="160">
        <f t="shared" si="3002"/>
        <v>0</v>
      </c>
      <c r="BD684" s="160">
        <f t="shared" si="3002"/>
        <v>0</v>
      </c>
      <c r="BE684" s="160">
        <f t="shared" si="3002"/>
        <v>0</v>
      </c>
      <c r="BF684" s="160">
        <f t="shared" si="3002"/>
        <v>0</v>
      </c>
      <c r="BG684" s="160">
        <f t="shared" si="3002"/>
        <v>0</v>
      </c>
      <c r="BH684" s="160">
        <f t="shared" si="3002"/>
        <v>0</v>
      </c>
      <c r="BI684" s="160">
        <f t="shared" si="3002"/>
        <v>0</v>
      </c>
      <c r="BJ684" s="160">
        <f t="shared" si="3002"/>
        <v>0</v>
      </c>
      <c r="BK684" s="160">
        <f t="shared" si="3002"/>
        <v>0</v>
      </c>
      <c r="BL684" s="160">
        <f t="shared" si="3002"/>
        <v>0</v>
      </c>
      <c r="BM684" s="160">
        <f t="shared" si="3002"/>
        <v>0</v>
      </c>
      <c r="BN684" s="160">
        <f t="shared" si="3002"/>
        <v>0</v>
      </c>
      <c r="BO684" s="160">
        <f t="shared" si="3002"/>
        <v>0</v>
      </c>
      <c r="BP684" s="160">
        <f t="shared" si="3002"/>
        <v>0</v>
      </c>
      <c r="BQ684" s="160">
        <f t="shared" si="3002"/>
        <v>0</v>
      </c>
      <c r="BR684" s="160">
        <f t="shared" si="3002"/>
        <v>0</v>
      </c>
      <c r="BS684" s="65"/>
      <c r="BT684" s="160">
        <f t="shared" si="2864"/>
        <v>0</v>
      </c>
      <c r="BU684" s="160">
        <f t="shared" si="2865"/>
        <v>0</v>
      </c>
      <c r="BV684" s="65"/>
      <c r="BW684" s="69"/>
      <c r="BX684" s="65"/>
      <c r="BY684" s="137">
        <f t="shared" si="2866"/>
        <v>1</v>
      </c>
      <c r="BZ684" s="137">
        <f>IF(BY684&gt;0,BY684+LARGE($BZ$213:BZ683,1),0)</f>
        <v>396</v>
      </c>
      <c r="CA684" s="137" t="str">
        <f t="shared" si="2867"/>
        <v>AUX TEC</v>
      </c>
      <c r="CB684" s="161">
        <f t="shared" si="2868"/>
        <v>0</v>
      </c>
      <c r="CC684" s="161">
        <f t="shared" si="2869"/>
        <v>0</v>
      </c>
      <c r="CD684" s="161">
        <f t="shared" si="2870"/>
        <v>0</v>
      </c>
      <c r="CE684" s="161">
        <f t="shared" si="2871"/>
        <v>0</v>
      </c>
      <c r="CF684" s="161">
        <f t="shared" si="2872"/>
        <v>0</v>
      </c>
      <c r="CG684" s="161">
        <f t="shared" si="2873"/>
        <v>0</v>
      </c>
      <c r="CH684" s="161">
        <f t="shared" si="2874"/>
        <v>0</v>
      </c>
      <c r="CI684" s="161">
        <f t="shared" si="2875"/>
        <v>0</v>
      </c>
      <c r="CJ684" s="161">
        <f t="shared" si="2876"/>
        <v>0</v>
      </c>
      <c r="CK684" s="161">
        <f t="shared" si="2877"/>
        <v>0</v>
      </c>
      <c r="CL684" s="161">
        <f t="shared" si="2878"/>
        <v>0</v>
      </c>
      <c r="CM684" s="161">
        <f t="shared" si="2879"/>
        <v>0</v>
      </c>
      <c r="CN684" s="161">
        <f t="shared" si="2880"/>
        <v>0</v>
      </c>
      <c r="CO684" s="161">
        <f t="shared" si="2881"/>
        <v>0</v>
      </c>
      <c r="CP684" s="161">
        <f t="shared" si="2882"/>
        <v>0</v>
      </c>
      <c r="CQ684" s="161">
        <f t="shared" si="2883"/>
        <v>0</v>
      </c>
      <c r="CR684" s="161">
        <f t="shared" si="2884"/>
        <v>0</v>
      </c>
      <c r="CS684" s="161">
        <f t="shared" si="2885"/>
        <v>0</v>
      </c>
      <c r="CT684" s="161">
        <f t="shared" si="2886"/>
        <v>0</v>
      </c>
      <c r="CU684" s="161">
        <f t="shared" si="2887"/>
        <v>0</v>
      </c>
      <c r="CV684" s="161">
        <f t="shared" si="2888"/>
        <v>0</v>
      </c>
      <c r="CW684" s="161">
        <f t="shared" si="2889"/>
        <v>0</v>
      </c>
      <c r="CX684" s="161">
        <f t="shared" si="2890"/>
        <v>0</v>
      </c>
      <c r="CY684" s="161">
        <f t="shared" si="2891"/>
        <v>0</v>
      </c>
      <c r="CZ684" s="161">
        <f t="shared" si="2892"/>
        <v>0</v>
      </c>
      <c r="DA684" s="161">
        <f t="shared" si="2893"/>
        <v>0</v>
      </c>
      <c r="DB684" s="161">
        <f t="shared" si="2894"/>
        <v>0</v>
      </c>
      <c r="DC684" s="161">
        <f t="shared" si="2895"/>
        <v>0</v>
      </c>
      <c r="DD684" s="161">
        <f t="shared" si="2896"/>
        <v>0</v>
      </c>
      <c r="DE684" s="161">
        <f t="shared" si="2897"/>
        <v>0</v>
      </c>
      <c r="DF684" s="161">
        <f t="shared" si="2898"/>
        <v>0</v>
      </c>
      <c r="DG684" s="161">
        <f t="shared" si="2899"/>
        <v>0</v>
      </c>
      <c r="DH684" s="161">
        <f t="shared" si="2900"/>
        <v>0</v>
      </c>
      <c r="DI684" s="161">
        <f t="shared" si="2901"/>
        <v>0</v>
      </c>
      <c r="DJ684" s="161">
        <f t="shared" si="2902"/>
        <v>0</v>
      </c>
      <c r="DK684" s="161">
        <f t="shared" si="2903"/>
        <v>0</v>
      </c>
      <c r="DL684" s="161">
        <f t="shared" si="2904"/>
        <v>0</v>
      </c>
      <c r="DM684" s="161">
        <f t="shared" si="2905"/>
        <v>0</v>
      </c>
      <c r="DN684" s="161">
        <f t="shared" si="2906"/>
        <v>0</v>
      </c>
      <c r="DO684" s="161">
        <f t="shared" si="2907"/>
        <v>0</v>
      </c>
      <c r="DP684" s="161">
        <f t="shared" si="2908"/>
        <v>0</v>
      </c>
      <c r="DQ684" s="161">
        <f t="shared" si="2909"/>
        <v>0</v>
      </c>
      <c r="DR684" s="161">
        <f t="shared" si="2910"/>
        <v>0</v>
      </c>
      <c r="DS684" s="161">
        <f t="shared" si="2911"/>
        <v>0</v>
      </c>
      <c r="DT684" s="161">
        <f t="shared" si="2912"/>
        <v>0</v>
      </c>
      <c r="DU684" s="161">
        <f t="shared" si="2913"/>
        <v>0</v>
      </c>
      <c r="DV684" s="161">
        <f t="shared" si="2914"/>
        <v>0</v>
      </c>
      <c r="DW684" s="161">
        <f t="shared" si="2915"/>
        <v>0</v>
      </c>
      <c r="DX684" s="161">
        <f t="shared" si="2916"/>
        <v>0</v>
      </c>
      <c r="DY684" s="161">
        <f t="shared" si="2917"/>
        <v>0</v>
      </c>
      <c r="DZ684" s="161">
        <f t="shared" si="2918"/>
        <v>0</v>
      </c>
      <c r="EA684" s="161">
        <f t="shared" si="2919"/>
        <v>0</v>
      </c>
      <c r="EB684" s="161">
        <f t="shared" si="2920"/>
        <v>0</v>
      </c>
      <c r="EC684" s="161">
        <f t="shared" si="2921"/>
        <v>0</v>
      </c>
      <c r="ED684" s="161">
        <f t="shared" si="2922"/>
        <v>0</v>
      </c>
      <c r="EE684" s="161">
        <f t="shared" si="2923"/>
        <v>0</v>
      </c>
      <c r="EF684" s="161">
        <f t="shared" si="2924"/>
        <v>0</v>
      </c>
      <c r="EG684" s="161">
        <f t="shared" si="2925"/>
        <v>0</v>
      </c>
      <c r="EH684" s="161">
        <f t="shared" si="2926"/>
        <v>0</v>
      </c>
      <c r="EI684" s="161">
        <f t="shared" si="2927"/>
        <v>0</v>
      </c>
      <c r="EJ684" s="65"/>
      <c r="EK684" s="161">
        <f t="shared" si="2998"/>
        <v>0</v>
      </c>
      <c r="EL684" s="161">
        <f t="shared" si="2999"/>
        <v>0</v>
      </c>
      <c r="EM684" s="161">
        <f t="shared" si="3000"/>
        <v>0</v>
      </c>
    </row>
    <row r="685" spans="1:143" ht="12" hidden="1" customHeight="1" outlineLevel="2">
      <c r="A685" s="77">
        <v>17</v>
      </c>
      <c r="B685" s="137" t="str">
        <f t="shared" si="2928"/>
        <v>AUX ADM - Equipe_01</v>
      </c>
      <c r="C685" s="65"/>
      <c r="D685" s="622"/>
      <c r="E685" s="65"/>
      <c r="F685" s="603"/>
      <c r="G685" s="77" t="str">
        <f>IF(INDEX(Tarefas!$BT$30:$FK$30,MATCH(A685,Tarefas!$BT$28:$FK$28,0))=0,"",INDEX(Tarefas!$BT$30:$FK$30,MATCH(A685,Tarefas!$BT$28:$FK$28,0)))</f>
        <v>AUX ADM</v>
      </c>
      <c r="H685" s="107" cm="1">
        <f t="array" ref="H685">IFERROR((SUMPRODUCT((Tarefas!$N$32:$N$54='Cronog. e Histog.'!$F$669)*(Tarefas!$BQ$30:$FK$30='Cronog. e Histog.'!$G685)*(Tarefas!$BQ$32:$FK$54)))/SUMIF(Tarefas!$N$32:$N$54,'Cronog. e Histog.'!$F$669,Tarefas!$K$32:$K$54),0)</f>
        <v>0</v>
      </c>
      <c r="I685" s="79">
        <f t="shared" si="2929"/>
        <v>0</v>
      </c>
      <c r="J685" s="65"/>
      <c r="K685" s="160">
        <f t="shared" si="3001"/>
        <v>0</v>
      </c>
      <c r="L685" s="160">
        <f t="shared" si="3002"/>
        <v>0</v>
      </c>
      <c r="M685" s="160">
        <f t="shared" si="3002"/>
        <v>0</v>
      </c>
      <c r="N685" s="160">
        <f t="shared" si="3002"/>
        <v>0</v>
      </c>
      <c r="O685" s="160">
        <f t="shared" si="3002"/>
        <v>0</v>
      </c>
      <c r="P685" s="160">
        <f t="shared" si="3002"/>
        <v>0</v>
      </c>
      <c r="Q685" s="160">
        <f t="shared" si="3002"/>
        <v>0</v>
      </c>
      <c r="R685" s="160">
        <f t="shared" si="3002"/>
        <v>0</v>
      </c>
      <c r="S685" s="160">
        <f t="shared" si="3002"/>
        <v>0</v>
      </c>
      <c r="T685" s="160">
        <f t="shared" si="3002"/>
        <v>0</v>
      </c>
      <c r="U685" s="160">
        <f t="shared" si="3002"/>
        <v>0</v>
      </c>
      <c r="V685" s="160">
        <f t="shared" si="3002"/>
        <v>0</v>
      </c>
      <c r="W685" s="160">
        <f t="shared" si="3002"/>
        <v>0</v>
      </c>
      <c r="X685" s="160">
        <f t="shared" si="3002"/>
        <v>0</v>
      </c>
      <c r="Y685" s="160">
        <f t="shared" si="3002"/>
        <v>0</v>
      </c>
      <c r="Z685" s="160">
        <f t="shared" si="3002"/>
        <v>0</v>
      </c>
      <c r="AA685" s="160">
        <f t="shared" si="3002"/>
        <v>0</v>
      </c>
      <c r="AB685" s="160">
        <f t="shared" si="3002"/>
        <v>0</v>
      </c>
      <c r="AC685" s="160">
        <f t="shared" si="3002"/>
        <v>0</v>
      </c>
      <c r="AD685" s="160">
        <f t="shared" si="3002"/>
        <v>0</v>
      </c>
      <c r="AE685" s="160">
        <f t="shared" si="3002"/>
        <v>0</v>
      </c>
      <c r="AF685" s="160">
        <f t="shared" si="3002"/>
        <v>0</v>
      </c>
      <c r="AG685" s="160">
        <f t="shared" si="3002"/>
        <v>0</v>
      </c>
      <c r="AH685" s="160">
        <f t="shared" si="3002"/>
        <v>0</v>
      </c>
      <c r="AI685" s="160">
        <f t="shared" si="3002"/>
        <v>0</v>
      </c>
      <c r="AJ685" s="160">
        <f t="shared" si="3002"/>
        <v>0</v>
      </c>
      <c r="AK685" s="160">
        <f t="shared" si="3002"/>
        <v>0</v>
      </c>
      <c r="AL685" s="160">
        <f t="shared" si="3002"/>
        <v>0</v>
      </c>
      <c r="AM685" s="160">
        <f t="shared" si="3002"/>
        <v>0</v>
      </c>
      <c r="AN685" s="160">
        <f t="shared" si="3002"/>
        <v>0</v>
      </c>
      <c r="AO685" s="160">
        <f t="shared" si="3002"/>
        <v>0</v>
      </c>
      <c r="AP685" s="160">
        <f t="shared" si="3002"/>
        <v>0</v>
      </c>
      <c r="AQ685" s="160">
        <f t="shared" si="3002"/>
        <v>0</v>
      </c>
      <c r="AR685" s="160">
        <f t="shared" si="3002"/>
        <v>0</v>
      </c>
      <c r="AS685" s="160">
        <f t="shared" si="3002"/>
        <v>0</v>
      </c>
      <c r="AT685" s="160">
        <f t="shared" si="3002"/>
        <v>0</v>
      </c>
      <c r="AU685" s="160">
        <f t="shared" si="3002"/>
        <v>0</v>
      </c>
      <c r="AV685" s="160">
        <f t="shared" si="3002"/>
        <v>0</v>
      </c>
      <c r="AW685" s="160">
        <f t="shared" si="3002"/>
        <v>0</v>
      </c>
      <c r="AX685" s="160">
        <f t="shared" si="3002"/>
        <v>0</v>
      </c>
      <c r="AY685" s="160">
        <f t="shared" si="3002"/>
        <v>0</v>
      </c>
      <c r="AZ685" s="160">
        <f t="shared" si="3002"/>
        <v>0</v>
      </c>
      <c r="BA685" s="160">
        <f t="shared" si="3002"/>
        <v>0</v>
      </c>
      <c r="BB685" s="160">
        <f t="shared" si="3002"/>
        <v>0</v>
      </c>
      <c r="BC685" s="160">
        <f t="shared" si="3002"/>
        <v>0</v>
      </c>
      <c r="BD685" s="160">
        <f t="shared" si="3002"/>
        <v>0</v>
      </c>
      <c r="BE685" s="160">
        <f t="shared" si="3002"/>
        <v>0</v>
      </c>
      <c r="BF685" s="160">
        <f t="shared" si="3002"/>
        <v>0</v>
      </c>
      <c r="BG685" s="160">
        <f t="shared" si="3002"/>
        <v>0</v>
      </c>
      <c r="BH685" s="160">
        <f t="shared" si="3002"/>
        <v>0</v>
      </c>
      <c r="BI685" s="160">
        <f t="shared" si="3002"/>
        <v>0</v>
      </c>
      <c r="BJ685" s="160">
        <f t="shared" si="3002"/>
        <v>0</v>
      </c>
      <c r="BK685" s="160">
        <f t="shared" si="3002"/>
        <v>0</v>
      </c>
      <c r="BL685" s="160">
        <f t="shared" si="3002"/>
        <v>0</v>
      </c>
      <c r="BM685" s="160">
        <f t="shared" si="3002"/>
        <v>0</v>
      </c>
      <c r="BN685" s="160">
        <f t="shared" si="3002"/>
        <v>0</v>
      </c>
      <c r="BO685" s="160">
        <f t="shared" si="3002"/>
        <v>0</v>
      </c>
      <c r="BP685" s="160">
        <f t="shared" si="3002"/>
        <v>0</v>
      </c>
      <c r="BQ685" s="160">
        <f t="shared" si="3002"/>
        <v>0</v>
      </c>
      <c r="BR685" s="160">
        <f t="shared" si="3002"/>
        <v>0</v>
      </c>
      <c r="BS685" s="65"/>
      <c r="BT685" s="160">
        <f t="shared" si="2864"/>
        <v>0</v>
      </c>
      <c r="BU685" s="160">
        <f t="shared" si="2865"/>
        <v>0</v>
      </c>
      <c r="BV685" s="65"/>
      <c r="BW685" s="69"/>
      <c r="BX685" s="65"/>
      <c r="BY685" s="137">
        <f t="shared" si="2866"/>
        <v>1</v>
      </c>
      <c r="BZ685" s="137">
        <f>IF(BY685&gt;0,BY685+LARGE($BZ$213:BZ684,1),0)</f>
        <v>397</v>
      </c>
      <c r="CA685" s="137" t="str">
        <f t="shared" si="2867"/>
        <v>AUX ADM</v>
      </c>
      <c r="CB685" s="161">
        <f t="shared" si="2868"/>
        <v>0</v>
      </c>
      <c r="CC685" s="161">
        <f t="shared" si="2869"/>
        <v>0</v>
      </c>
      <c r="CD685" s="161">
        <f t="shared" si="2870"/>
        <v>0</v>
      </c>
      <c r="CE685" s="161">
        <f t="shared" si="2871"/>
        <v>0</v>
      </c>
      <c r="CF685" s="161">
        <f t="shared" si="2872"/>
        <v>0</v>
      </c>
      <c r="CG685" s="161">
        <f t="shared" si="2873"/>
        <v>0</v>
      </c>
      <c r="CH685" s="161">
        <f t="shared" si="2874"/>
        <v>0</v>
      </c>
      <c r="CI685" s="161">
        <f t="shared" si="2875"/>
        <v>0</v>
      </c>
      <c r="CJ685" s="161">
        <f t="shared" si="2876"/>
        <v>0</v>
      </c>
      <c r="CK685" s="161">
        <f t="shared" si="2877"/>
        <v>0</v>
      </c>
      <c r="CL685" s="161">
        <f t="shared" si="2878"/>
        <v>0</v>
      </c>
      <c r="CM685" s="161">
        <f t="shared" si="2879"/>
        <v>0</v>
      </c>
      <c r="CN685" s="161">
        <f t="shared" si="2880"/>
        <v>0</v>
      </c>
      <c r="CO685" s="161">
        <f t="shared" si="2881"/>
        <v>0</v>
      </c>
      <c r="CP685" s="161">
        <f t="shared" si="2882"/>
        <v>0</v>
      </c>
      <c r="CQ685" s="161">
        <f t="shared" si="2883"/>
        <v>0</v>
      </c>
      <c r="CR685" s="161">
        <f t="shared" si="2884"/>
        <v>0</v>
      </c>
      <c r="CS685" s="161">
        <f t="shared" si="2885"/>
        <v>0</v>
      </c>
      <c r="CT685" s="161">
        <f t="shared" si="2886"/>
        <v>0</v>
      </c>
      <c r="CU685" s="161">
        <f t="shared" si="2887"/>
        <v>0</v>
      </c>
      <c r="CV685" s="161">
        <f t="shared" si="2888"/>
        <v>0</v>
      </c>
      <c r="CW685" s="161">
        <f t="shared" si="2889"/>
        <v>0</v>
      </c>
      <c r="CX685" s="161">
        <f t="shared" si="2890"/>
        <v>0</v>
      </c>
      <c r="CY685" s="161">
        <f t="shared" si="2891"/>
        <v>0</v>
      </c>
      <c r="CZ685" s="161">
        <f t="shared" si="2892"/>
        <v>0</v>
      </c>
      <c r="DA685" s="161">
        <f t="shared" si="2893"/>
        <v>0</v>
      </c>
      <c r="DB685" s="161">
        <f t="shared" si="2894"/>
        <v>0</v>
      </c>
      <c r="DC685" s="161">
        <f t="shared" si="2895"/>
        <v>0</v>
      </c>
      <c r="DD685" s="161">
        <f t="shared" si="2896"/>
        <v>0</v>
      </c>
      <c r="DE685" s="161">
        <f t="shared" si="2897"/>
        <v>0</v>
      </c>
      <c r="DF685" s="161">
        <f t="shared" si="2898"/>
        <v>0</v>
      </c>
      <c r="DG685" s="161">
        <f t="shared" si="2899"/>
        <v>0</v>
      </c>
      <c r="DH685" s="161">
        <f t="shared" si="2900"/>
        <v>0</v>
      </c>
      <c r="DI685" s="161">
        <f t="shared" si="2901"/>
        <v>0</v>
      </c>
      <c r="DJ685" s="161">
        <f t="shared" si="2902"/>
        <v>0</v>
      </c>
      <c r="DK685" s="161">
        <f t="shared" si="2903"/>
        <v>0</v>
      </c>
      <c r="DL685" s="161">
        <f t="shared" si="2904"/>
        <v>0</v>
      </c>
      <c r="DM685" s="161">
        <f t="shared" si="2905"/>
        <v>0</v>
      </c>
      <c r="DN685" s="161">
        <f t="shared" si="2906"/>
        <v>0</v>
      </c>
      <c r="DO685" s="161">
        <f t="shared" si="2907"/>
        <v>0</v>
      </c>
      <c r="DP685" s="161">
        <f t="shared" si="2908"/>
        <v>0</v>
      </c>
      <c r="DQ685" s="161">
        <f t="shared" si="2909"/>
        <v>0</v>
      </c>
      <c r="DR685" s="161">
        <f t="shared" si="2910"/>
        <v>0</v>
      </c>
      <c r="DS685" s="161">
        <f t="shared" si="2911"/>
        <v>0</v>
      </c>
      <c r="DT685" s="161">
        <f t="shared" si="2912"/>
        <v>0</v>
      </c>
      <c r="DU685" s="161">
        <f t="shared" si="2913"/>
        <v>0</v>
      </c>
      <c r="DV685" s="161">
        <f t="shared" si="2914"/>
        <v>0</v>
      </c>
      <c r="DW685" s="161">
        <f t="shared" si="2915"/>
        <v>0</v>
      </c>
      <c r="DX685" s="161">
        <f t="shared" si="2916"/>
        <v>0</v>
      </c>
      <c r="DY685" s="161">
        <f t="shared" si="2917"/>
        <v>0</v>
      </c>
      <c r="DZ685" s="161">
        <f t="shared" si="2918"/>
        <v>0</v>
      </c>
      <c r="EA685" s="161">
        <f t="shared" si="2919"/>
        <v>0</v>
      </c>
      <c r="EB685" s="161">
        <f t="shared" si="2920"/>
        <v>0</v>
      </c>
      <c r="EC685" s="161">
        <f t="shared" si="2921"/>
        <v>0</v>
      </c>
      <c r="ED685" s="161">
        <f t="shared" si="2922"/>
        <v>0</v>
      </c>
      <c r="EE685" s="161">
        <f t="shared" si="2923"/>
        <v>0</v>
      </c>
      <c r="EF685" s="161">
        <f t="shared" si="2924"/>
        <v>0</v>
      </c>
      <c r="EG685" s="161">
        <f t="shared" si="2925"/>
        <v>0</v>
      </c>
      <c r="EH685" s="161">
        <f t="shared" si="2926"/>
        <v>0</v>
      </c>
      <c r="EI685" s="161">
        <f t="shared" si="2927"/>
        <v>0</v>
      </c>
      <c r="EJ685" s="65"/>
      <c r="EK685" s="161">
        <f t="shared" si="2998"/>
        <v>0</v>
      </c>
      <c r="EL685" s="161">
        <f t="shared" si="2999"/>
        <v>0</v>
      </c>
      <c r="EM685" s="161">
        <f t="shared" si="3000"/>
        <v>0</v>
      </c>
    </row>
    <row r="686" spans="1:143" ht="12" hidden="1" customHeight="1" outlineLevel="2">
      <c r="A686" s="77">
        <v>18</v>
      </c>
      <c r="B686" s="137" t="str">
        <f t="shared" si="2928"/>
        <v>EST - Equipe_01</v>
      </c>
      <c r="C686" s="65"/>
      <c r="D686" s="622"/>
      <c r="E686" s="65"/>
      <c r="F686" s="603"/>
      <c r="G686" s="77" t="str">
        <f>IF(INDEX(Tarefas!$BT$30:$FK$30,MATCH(A686,Tarefas!$BT$28:$FK$28,0))=0,"",INDEX(Tarefas!$BT$30:$FK$30,MATCH(A686,Tarefas!$BT$28:$FK$28,0)))</f>
        <v>EST</v>
      </c>
      <c r="H686" s="107" cm="1">
        <f t="array" ref="H686">IFERROR((SUMPRODUCT((Tarefas!$N$32:$N$54='Cronog. e Histog.'!$F$669)*(Tarefas!$BQ$30:$FK$30='Cronog. e Histog.'!$G686)*(Tarefas!$BQ$32:$FK$54)))/SUMIF(Tarefas!$N$32:$N$54,'Cronog. e Histog.'!$F$669,Tarefas!$K$32:$K$54),0)</f>
        <v>0</v>
      </c>
      <c r="I686" s="79">
        <f t="shared" si="2929"/>
        <v>0</v>
      </c>
      <c r="J686" s="65"/>
      <c r="K686" s="160">
        <f t="shared" si="3001"/>
        <v>0</v>
      </c>
      <c r="L686" s="160">
        <f t="shared" si="3002"/>
        <v>0</v>
      </c>
      <c r="M686" s="160">
        <f t="shared" si="3002"/>
        <v>0</v>
      </c>
      <c r="N686" s="160">
        <f t="shared" si="3002"/>
        <v>0</v>
      </c>
      <c r="O686" s="160">
        <f t="shared" si="3002"/>
        <v>0</v>
      </c>
      <c r="P686" s="160">
        <f t="shared" si="3002"/>
        <v>0</v>
      </c>
      <c r="Q686" s="160">
        <f t="shared" si="3002"/>
        <v>0</v>
      </c>
      <c r="R686" s="160">
        <f t="shared" si="3002"/>
        <v>0</v>
      </c>
      <c r="S686" s="160">
        <f t="shared" si="3002"/>
        <v>0</v>
      </c>
      <c r="T686" s="160">
        <f t="shared" si="3002"/>
        <v>0</v>
      </c>
      <c r="U686" s="160">
        <f t="shared" si="3002"/>
        <v>0</v>
      </c>
      <c r="V686" s="160">
        <f t="shared" si="3002"/>
        <v>0</v>
      </c>
      <c r="W686" s="160">
        <f t="shared" si="3002"/>
        <v>0</v>
      </c>
      <c r="X686" s="160">
        <f t="shared" si="3002"/>
        <v>0</v>
      </c>
      <c r="Y686" s="160">
        <f t="shared" si="3002"/>
        <v>0</v>
      </c>
      <c r="Z686" s="160">
        <f t="shared" si="3002"/>
        <v>0</v>
      </c>
      <c r="AA686" s="160">
        <f t="shared" si="3002"/>
        <v>0</v>
      </c>
      <c r="AB686" s="160">
        <f t="shared" si="3002"/>
        <v>0</v>
      </c>
      <c r="AC686" s="160">
        <f t="shared" si="3002"/>
        <v>0</v>
      </c>
      <c r="AD686" s="160">
        <f t="shared" si="3002"/>
        <v>0</v>
      </c>
      <c r="AE686" s="160">
        <f t="shared" si="3002"/>
        <v>0</v>
      </c>
      <c r="AF686" s="160">
        <f t="shared" si="3002"/>
        <v>0</v>
      </c>
      <c r="AG686" s="160">
        <f t="shared" si="3002"/>
        <v>0</v>
      </c>
      <c r="AH686" s="160">
        <f t="shared" si="3002"/>
        <v>0</v>
      </c>
      <c r="AI686" s="160">
        <f t="shared" si="3002"/>
        <v>0</v>
      </c>
      <c r="AJ686" s="160">
        <f t="shared" si="3002"/>
        <v>0</v>
      </c>
      <c r="AK686" s="160">
        <f t="shared" si="3002"/>
        <v>0</v>
      </c>
      <c r="AL686" s="160">
        <f t="shared" si="3002"/>
        <v>0</v>
      </c>
      <c r="AM686" s="160">
        <f t="shared" si="3002"/>
        <v>0</v>
      </c>
      <c r="AN686" s="160">
        <f t="shared" si="3002"/>
        <v>0</v>
      </c>
      <c r="AO686" s="160">
        <f t="shared" si="3002"/>
        <v>0</v>
      </c>
      <c r="AP686" s="160">
        <f t="shared" si="3002"/>
        <v>0</v>
      </c>
      <c r="AQ686" s="160">
        <f t="shared" si="3002"/>
        <v>0</v>
      </c>
      <c r="AR686" s="160">
        <f t="shared" si="3002"/>
        <v>0</v>
      </c>
      <c r="AS686" s="160">
        <f t="shared" si="3002"/>
        <v>0</v>
      </c>
      <c r="AT686" s="160">
        <f t="shared" si="3002"/>
        <v>0</v>
      </c>
      <c r="AU686" s="160">
        <f t="shared" si="3002"/>
        <v>0</v>
      </c>
      <c r="AV686" s="160">
        <f t="shared" si="3002"/>
        <v>0</v>
      </c>
      <c r="AW686" s="160">
        <f t="shared" si="3002"/>
        <v>0</v>
      </c>
      <c r="AX686" s="160">
        <f t="shared" si="3002"/>
        <v>0</v>
      </c>
      <c r="AY686" s="160">
        <f t="shared" si="3002"/>
        <v>0</v>
      </c>
      <c r="AZ686" s="160">
        <f t="shared" si="3002"/>
        <v>0</v>
      </c>
      <c r="BA686" s="160">
        <f t="shared" si="3002"/>
        <v>0</v>
      </c>
      <c r="BB686" s="160">
        <f t="shared" si="3002"/>
        <v>0</v>
      </c>
      <c r="BC686" s="160">
        <f t="shared" si="3002"/>
        <v>0</v>
      </c>
      <c r="BD686" s="160">
        <f t="shared" si="3002"/>
        <v>0</v>
      </c>
      <c r="BE686" s="160">
        <f t="shared" si="3002"/>
        <v>0</v>
      </c>
      <c r="BF686" s="160">
        <f t="shared" si="3002"/>
        <v>0</v>
      </c>
      <c r="BG686" s="160">
        <f t="shared" si="3002"/>
        <v>0</v>
      </c>
      <c r="BH686" s="160">
        <f t="shared" si="3002"/>
        <v>0</v>
      </c>
      <c r="BI686" s="160">
        <f t="shared" si="3002"/>
        <v>0</v>
      </c>
      <c r="BJ686" s="160">
        <f t="shared" si="3002"/>
        <v>0</v>
      </c>
      <c r="BK686" s="160">
        <f t="shared" si="3002"/>
        <v>0</v>
      </c>
      <c r="BL686" s="160">
        <f t="shared" si="3002"/>
        <v>0</v>
      </c>
      <c r="BM686" s="160">
        <f t="shared" si="3002"/>
        <v>0</v>
      </c>
      <c r="BN686" s="160">
        <f t="shared" si="3002"/>
        <v>0</v>
      </c>
      <c r="BO686" s="160">
        <f t="shared" si="3002"/>
        <v>0</v>
      </c>
      <c r="BP686" s="160">
        <f t="shared" si="3002"/>
        <v>0</v>
      </c>
      <c r="BQ686" s="160">
        <f t="shared" si="3002"/>
        <v>0</v>
      </c>
      <c r="BR686" s="160">
        <f t="shared" si="3002"/>
        <v>0</v>
      </c>
      <c r="BS686" s="65"/>
      <c r="BT686" s="160">
        <f t="shared" si="2864"/>
        <v>0</v>
      </c>
      <c r="BU686" s="160">
        <f t="shared" si="2865"/>
        <v>0</v>
      </c>
      <c r="BV686" s="65"/>
      <c r="BW686" s="69"/>
      <c r="BX686" s="65"/>
      <c r="BY686" s="137">
        <f t="shared" si="2866"/>
        <v>1</v>
      </c>
      <c r="BZ686" s="137">
        <f>IF(BY686&gt;0,BY686+LARGE($BZ$213:BZ685,1),0)</f>
        <v>398</v>
      </c>
      <c r="CA686" s="137" t="str">
        <f t="shared" si="2867"/>
        <v>EST</v>
      </c>
      <c r="CB686" s="161">
        <f t="shared" si="2868"/>
        <v>0</v>
      </c>
      <c r="CC686" s="161">
        <f t="shared" si="2869"/>
        <v>0</v>
      </c>
      <c r="CD686" s="161">
        <f t="shared" si="2870"/>
        <v>0</v>
      </c>
      <c r="CE686" s="161">
        <f t="shared" si="2871"/>
        <v>0</v>
      </c>
      <c r="CF686" s="161">
        <f t="shared" si="2872"/>
        <v>0</v>
      </c>
      <c r="CG686" s="161">
        <f t="shared" si="2873"/>
        <v>0</v>
      </c>
      <c r="CH686" s="161">
        <f t="shared" si="2874"/>
        <v>0</v>
      </c>
      <c r="CI686" s="161">
        <f t="shared" si="2875"/>
        <v>0</v>
      </c>
      <c r="CJ686" s="161">
        <f t="shared" si="2876"/>
        <v>0</v>
      </c>
      <c r="CK686" s="161">
        <f t="shared" si="2877"/>
        <v>0</v>
      </c>
      <c r="CL686" s="161">
        <f t="shared" si="2878"/>
        <v>0</v>
      </c>
      <c r="CM686" s="161">
        <f t="shared" si="2879"/>
        <v>0</v>
      </c>
      <c r="CN686" s="161">
        <f t="shared" si="2880"/>
        <v>0</v>
      </c>
      <c r="CO686" s="161">
        <f t="shared" si="2881"/>
        <v>0</v>
      </c>
      <c r="CP686" s="161">
        <f t="shared" si="2882"/>
        <v>0</v>
      </c>
      <c r="CQ686" s="161">
        <f t="shared" si="2883"/>
        <v>0</v>
      </c>
      <c r="CR686" s="161">
        <f t="shared" si="2884"/>
        <v>0</v>
      </c>
      <c r="CS686" s="161">
        <f t="shared" si="2885"/>
        <v>0</v>
      </c>
      <c r="CT686" s="161">
        <f t="shared" si="2886"/>
        <v>0</v>
      </c>
      <c r="CU686" s="161">
        <f t="shared" si="2887"/>
        <v>0</v>
      </c>
      <c r="CV686" s="161">
        <f t="shared" si="2888"/>
        <v>0</v>
      </c>
      <c r="CW686" s="161">
        <f t="shared" si="2889"/>
        <v>0</v>
      </c>
      <c r="CX686" s="161">
        <f t="shared" si="2890"/>
        <v>0</v>
      </c>
      <c r="CY686" s="161">
        <f t="shared" si="2891"/>
        <v>0</v>
      </c>
      <c r="CZ686" s="161">
        <f t="shared" si="2892"/>
        <v>0</v>
      </c>
      <c r="DA686" s="161">
        <f t="shared" si="2893"/>
        <v>0</v>
      </c>
      <c r="DB686" s="161">
        <f t="shared" si="2894"/>
        <v>0</v>
      </c>
      <c r="DC686" s="161">
        <f t="shared" si="2895"/>
        <v>0</v>
      </c>
      <c r="DD686" s="161">
        <f t="shared" si="2896"/>
        <v>0</v>
      </c>
      <c r="DE686" s="161">
        <f t="shared" si="2897"/>
        <v>0</v>
      </c>
      <c r="DF686" s="161">
        <f t="shared" si="2898"/>
        <v>0</v>
      </c>
      <c r="DG686" s="161">
        <f t="shared" si="2899"/>
        <v>0</v>
      </c>
      <c r="DH686" s="161">
        <f t="shared" si="2900"/>
        <v>0</v>
      </c>
      <c r="DI686" s="161">
        <f t="shared" si="2901"/>
        <v>0</v>
      </c>
      <c r="DJ686" s="161">
        <f t="shared" si="2902"/>
        <v>0</v>
      </c>
      <c r="DK686" s="161">
        <f t="shared" si="2903"/>
        <v>0</v>
      </c>
      <c r="DL686" s="161">
        <f t="shared" si="2904"/>
        <v>0</v>
      </c>
      <c r="DM686" s="161">
        <f t="shared" si="2905"/>
        <v>0</v>
      </c>
      <c r="DN686" s="161">
        <f t="shared" si="2906"/>
        <v>0</v>
      </c>
      <c r="DO686" s="161">
        <f t="shared" si="2907"/>
        <v>0</v>
      </c>
      <c r="DP686" s="161">
        <f t="shared" si="2908"/>
        <v>0</v>
      </c>
      <c r="DQ686" s="161">
        <f t="shared" si="2909"/>
        <v>0</v>
      </c>
      <c r="DR686" s="161">
        <f t="shared" si="2910"/>
        <v>0</v>
      </c>
      <c r="DS686" s="161">
        <f t="shared" si="2911"/>
        <v>0</v>
      </c>
      <c r="DT686" s="161">
        <f t="shared" si="2912"/>
        <v>0</v>
      </c>
      <c r="DU686" s="161">
        <f t="shared" si="2913"/>
        <v>0</v>
      </c>
      <c r="DV686" s="161">
        <f t="shared" si="2914"/>
        <v>0</v>
      </c>
      <c r="DW686" s="161">
        <f t="shared" si="2915"/>
        <v>0</v>
      </c>
      <c r="DX686" s="161">
        <f t="shared" si="2916"/>
        <v>0</v>
      </c>
      <c r="DY686" s="161">
        <f t="shared" si="2917"/>
        <v>0</v>
      </c>
      <c r="DZ686" s="161">
        <f t="shared" si="2918"/>
        <v>0</v>
      </c>
      <c r="EA686" s="161">
        <f t="shared" si="2919"/>
        <v>0</v>
      </c>
      <c r="EB686" s="161">
        <f t="shared" si="2920"/>
        <v>0</v>
      </c>
      <c r="EC686" s="161">
        <f t="shared" si="2921"/>
        <v>0</v>
      </c>
      <c r="ED686" s="161">
        <f t="shared" si="2922"/>
        <v>0</v>
      </c>
      <c r="EE686" s="161">
        <f t="shared" si="2923"/>
        <v>0</v>
      </c>
      <c r="EF686" s="161">
        <f t="shared" si="2924"/>
        <v>0</v>
      </c>
      <c r="EG686" s="161">
        <f t="shared" si="2925"/>
        <v>0</v>
      </c>
      <c r="EH686" s="161">
        <f t="shared" si="2926"/>
        <v>0</v>
      </c>
      <c r="EI686" s="161">
        <f t="shared" si="2927"/>
        <v>0</v>
      </c>
      <c r="EJ686" s="65"/>
      <c r="EK686" s="161">
        <f t="shared" si="2998"/>
        <v>0</v>
      </c>
      <c r="EL686" s="161">
        <f t="shared" si="2999"/>
        <v>0</v>
      </c>
      <c r="EM686" s="161">
        <f t="shared" si="3000"/>
        <v>0</v>
      </c>
    </row>
    <row r="687" spans="1:143" ht="12" hidden="1" customHeight="1" outlineLevel="2">
      <c r="A687" s="77">
        <v>19</v>
      </c>
      <c r="B687" s="137" t="str">
        <f t="shared" si="2928"/>
        <v>EST_II - Equipe_01</v>
      </c>
      <c r="C687" s="65"/>
      <c r="D687" s="622"/>
      <c r="E687" s="65"/>
      <c r="F687" s="603"/>
      <c r="G687" s="77" t="str">
        <f>IF(INDEX(Tarefas!$BT$30:$FK$30,MATCH(A687,Tarefas!$BT$28:$FK$28,0))=0,"",INDEX(Tarefas!$BT$30:$FK$30,MATCH(A687,Tarefas!$BT$28:$FK$28,0)))</f>
        <v>EST_II</v>
      </c>
      <c r="H687" s="107" cm="1">
        <f t="array" ref="H687">IFERROR((SUMPRODUCT((Tarefas!$N$32:$N$54='Cronog. e Histog.'!$F$669)*(Tarefas!$BQ$30:$FK$30='Cronog. e Histog.'!$G687)*(Tarefas!$BQ$32:$FK$54)))/SUMIF(Tarefas!$N$32:$N$54,'Cronog. e Histog.'!$F$669,Tarefas!$K$32:$K$54),0)</f>
        <v>0</v>
      </c>
      <c r="I687" s="79">
        <f t="shared" si="2929"/>
        <v>0</v>
      </c>
      <c r="J687" s="65"/>
      <c r="K687" s="160">
        <f t="shared" si="3001"/>
        <v>0</v>
      </c>
      <c r="L687" s="160">
        <f t="shared" si="3002"/>
        <v>0</v>
      </c>
      <c r="M687" s="160">
        <f t="shared" si="3002"/>
        <v>0</v>
      </c>
      <c r="N687" s="160">
        <f t="shared" si="3002"/>
        <v>0</v>
      </c>
      <c r="O687" s="160">
        <f t="shared" si="3002"/>
        <v>0</v>
      </c>
      <c r="P687" s="160">
        <f t="shared" si="3002"/>
        <v>0</v>
      </c>
      <c r="Q687" s="160">
        <f t="shared" si="3002"/>
        <v>0</v>
      </c>
      <c r="R687" s="160">
        <f t="shared" si="3002"/>
        <v>0</v>
      </c>
      <c r="S687" s="160">
        <f t="shared" si="3002"/>
        <v>0</v>
      </c>
      <c r="T687" s="160">
        <f t="shared" si="3002"/>
        <v>0</v>
      </c>
      <c r="U687" s="160">
        <f t="shared" si="3002"/>
        <v>0</v>
      </c>
      <c r="V687" s="160">
        <f t="shared" si="3002"/>
        <v>0</v>
      </c>
      <c r="W687" s="160">
        <f t="shared" si="3002"/>
        <v>0</v>
      </c>
      <c r="X687" s="160">
        <f t="shared" si="3002"/>
        <v>0</v>
      </c>
      <c r="Y687" s="160">
        <f t="shared" si="3002"/>
        <v>0</v>
      </c>
      <c r="Z687" s="160">
        <f t="shared" si="3002"/>
        <v>0</v>
      </c>
      <c r="AA687" s="160">
        <f t="shared" si="3002"/>
        <v>0</v>
      </c>
      <c r="AB687" s="160">
        <f t="shared" si="3002"/>
        <v>0</v>
      </c>
      <c r="AC687" s="160">
        <f t="shared" si="3002"/>
        <v>0</v>
      </c>
      <c r="AD687" s="160">
        <f t="shared" si="3002"/>
        <v>0</v>
      </c>
      <c r="AE687" s="160">
        <f t="shared" si="3002"/>
        <v>0</v>
      </c>
      <c r="AF687" s="160">
        <f t="shared" si="3002"/>
        <v>0</v>
      </c>
      <c r="AG687" s="160">
        <f t="shared" si="3002"/>
        <v>0</v>
      </c>
      <c r="AH687" s="160">
        <f t="shared" si="3002"/>
        <v>0</v>
      </c>
      <c r="AI687" s="160">
        <f t="shared" si="3002"/>
        <v>0</v>
      </c>
      <c r="AJ687" s="160">
        <f t="shared" si="3002"/>
        <v>0</v>
      </c>
      <c r="AK687" s="160">
        <f t="shared" si="3002"/>
        <v>0</v>
      </c>
      <c r="AL687" s="160">
        <f t="shared" si="3002"/>
        <v>0</v>
      </c>
      <c r="AM687" s="160">
        <f t="shared" si="3002"/>
        <v>0</v>
      </c>
      <c r="AN687" s="160">
        <f t="shared" si="3002"/>
        <v>0</v>
      </c>
      <c r="AO687" s="160">
        <f t="shared" si="3002"/>
        <v>0</v>
      </c>
      <c r="AP687" s="160">
        <f t="shared" si="3002"/>
        <v>0</v>
      </c>
      <c r="AQ687" s="160">
        <f t="shared" si="3002"/>
        <v>0</v>
      </c>
      <c r="AR687" s="160">
        <f t="shared" si="3002"/>
        <v>0</v>
      </c>
      <c r="AS687" s="160">
        <f t="shared" si="3002"/>
        <v>0</v>
      </c>
      <c r="AT687" s="160">
        <f t="shared" si="3002"/>
        <v>0</v>
      </c>
      <c r="AU687" s="160">
        <f t="shared" si="3002"/>
        <v>0</v>
      </c>
      <c r="AV687" s="160">
        <f t="shared" si="3002"/>
        <v>0</v>
      </c>
      <c r="AW687" s="160">
        <f t="shared" si="3002"/>
        <v>0</v>
      </c>
      <c r="AX687" s="160">
        <f t="shared" si="3002"/>
        <v>0</v>
      </c>
      <c r="AY687" s="160">
        <f t="shared" si="3002"/>
        <v>0</v>
      </c>
      <c r="AZ687" s="160">
        <f t="shared" si="3002"/>
        <v>0</v>
      </c>
      <c r="BA687" s="160">
        <f t="shared" si="3002"/>
        <v>0</v>
      </c>
      <c r="BB687" s="160">
        <f t="shared" si="3002"/>
        <v>0</v>
      </c>
      <c r="BC687" s="160">
        <f t="shared" si="3002"/>
        <v>0</v>
      </c>
      <c r="BD687" s="160">
        <f t="shared" si="3002"/>
        <v>0</v>
      </c>
      <c r="BE687" s="160">
        <f t="shared" si="3002"/>
        <v>0</v>
      </c>
      <c r="BF687" s="160">
        <f t="shared" si="3002"/>
        <v>0</v>
      </c>
      <c r="BG687" s="160">
        <f t="shared" si="3002"/>
        <v>0</v>
      </c>
      <c r="BH687" s="160">
        <f t="shared" si="3002"/>
        <v>0</v>
      </c>
      <c r="BI687" s="160">
        <f t="shared" si="3002"/>
        <v>0</v>
      </c>
      <c r="BJ687" s="160">
        <f t="shared" si="3002"/>
        <v>0</v>
      </c>
      <c r="BK687" s="160">
        <f t="shared" si="3002"/>
        <v>0</v>
      </c>
      <c r="BL687" s="160">
        <f t="shared" si="3002"/>
        <v>0</v>
      </c>
      <c r="BM687" s="160">
        <f t="shared" ref="L687:BR688" si="3003">ROUND($I687*BM$202,2)</f>
        <v>0</v>
      </c>
      <c r="BN687" s="160">
        <f t="shared" si="3003"/>
        <v>0</v>
      </c>
      <c r="BO687" s="160">
        <f t="shared" si="3003"/>
        <v>0</v>
      </c>
      <c r="BP687" s="160">
        <f t="shared" si="3003"/>
        <v>0</v>
      </c>
      <c r="BQ687" s="160">
        <f t="shared" si="3003"/>
        <v>0</v>
      </c>
      <c r="BR687" s="160">
        <f t="shared" si="3003"/>
        <v>0</v>
      </c>
      <c r="BS687" s="65"/>
      <c r="BT687" s="160">
        <f t="shared" si="2864"/>
        <v>0</v>
      </c>
      <c r="BU687" s="160">
        <f t="shared" si="2865"/>
        <v>0</v>
      </c>
      <c r="BV687" s="65"/>
      <c r="BW687" s="69"/>
      <c r="BX687" s="65"/>
      <c r="BY687" s="137">
        <f t="shared" si="2866"/>
        <v>1</v>
      </c>
      <c r="BZ687" s="137">
        <f>IF(BY687&gt;0,BY687+LARGE($BZ$213:BZ686,1),0)</f>
        <v>399</v>
      </c>
      <c r="CA687" s="137" t="str">
        <f t="shared" si="2867"/>
        <v>EST_II</v>
      </c>
      <c r="CB687" s="161">
        <f t="shared" si="2868"/>
        <v>0</v>
      </c>
      <c r="CC687" s="161">
        <f t="shared" si="2869"/>
        <v>0</v>
      </c>
      <c r="CD687" s="161">
        <f t="shared" si="2870"/>
        <v>0</v>
      </c>
      <c r="CE687" s="161">
        <f t="shared" si="2871"/>
        <v>0</v>
      </c>
      <c r="CF687" s="161">
        <f t="shared" si="2872"/>
        <v>0</v>
      </c>
      <c r="CG687" s="161">
        <f t="shared" si="2873"/>
        <v>0</v>
      </c>
      <c r="CH687" s="161">
        <f t="shared" si="2874"/>
        <v>0</v>
      </c>
      <c r="CI687" s="161">
        <f t="shared" si="2875"/>
        <v>0</v>
      </c>
      <c r="CJ687" s="161">
        <f t="shared" si="2876"/>
        <v>0</v>
      </c>
      <c r="CK687" s="161">
        <f t="shared" si="2877"/>
        <v>0</v>
      </c>
      <c r="CL687" s="161">
        <f t="shared" si="2878"/>
        <v>0</v>
      </c>
      <c r="CM687" s="161">
        <f t="shared" si="2879"/>
        <v>0</v>
      </c>
      <c r="CN687" s="161">
        <f t="shared" si="2880"/>
        <v>0</v>
      </c>
      <c r="CO687" s="161">
        <f t="shared" si="2881"/>
        <v>0</v>
      </c>
      <c r="CP687" s="161">
        <f t="shared" si="2882"/>
        <v>0</v>
      </c>
      <c r="CQ687" s="161">
        <f t="shared" si="2883"/>
        <v>0</v>
      </c>
      <c r="CR687" s="161">
        <f t="shared" si="2884"/>
        <v>0</v>
      </c>
      <c r="CS687" s="161">
        <f t="shared" si="2885"/>
        <v>0</v>
      </c>
      <c r="CT687" s="161">
        <f t="shared" si="2886"/>
        <v>0</v>
      </c>
      <c r="CU687" s="161">
        <f t="shared" si="2887"/>
        <v>0</v>
      </c>
      <c r="CV687" s="161">
        <f t="shared" si="2888"/>
        <v>0</v>
      </c>
      <c r="CW687" s="161">
        <f t="shared" si="2889"/>
        <v>0</v>
      </c>
      <c r="CX687" s="161">
        <f t="shared" si="2890"/>
        <v>0</v>
      </c>
      <c r="CY687" s="161">
        <f t="shared" si="2891"/>
        <v>0</v>
      </c>
      <c r="CZ687" s="161">
        <f t="shared" si="2892"/>
        <v>0</v>
      </c>
      <c r="DA687" s="161">
        <f t="shared" si="2893"/>
        <v>0</v>
      </c>
      <c r="DB687" s="161">
        <f t="shared" si="2894"/>
        <v>0</v>
      </c>
      <c r="DC687" s="161">
        <f t="shared" si="2895"/>
        <v>0</v>
      </c>
      <c r="DD687" s="161">
        <f t="shared" si="2896"/>
        <v>0</v>
      </c>
      <c r="DE687" s="161">
        <f t="shared" si="2897"/>
        <v>0</v>
      </c>
      <c r="DF687" s="161">
        <f t="shared" si="2898"/>
        <v>0</v>
      </c>
      <c r="DG687" s="161">
        <f t="shared" si="2899"/>
        <v>0</v>
      </c>
      <c r="DH687" s="161">
        <f t="shared" si="2900"/>
        <v>0</v>
      </c>
      <c r="DI687" s="161">
        <f t="shared" si="2901"/>
        <v>0</v>
      </c>
      <c r="DJ687" s="161">
        <f t="shared" si="2902"/>
        <v>0</v>
      </c>
      <c r="DK687" s="161">
        <f t="shared" si="2903"/>
        <v>0</v>
      </c>
      <c r="DL687" s="161">
        <f t="shared" si="2904"/>
        <v>0</v>
      </c>
      <c r="DM687" s="161">
        <f t="shared" si="2905"/>
        <v>0</v>
      </c>
      <c r="DN687" s="161">
        <f t="shared" si="2906"/>
        <v>0</v>
      </c>
      <c r="DO687" s="161">
        <f t="shared" si="2907"/>
        <v>0</v>
      </c>
      <c r="DP687" s="161">
        <f t="shared" si="2908"/>
        <v>0</v>
      </c>
      <c r="DQ687" s="161">
        <f t="shared" si="2909"/>
        <v>0</v>
      </c>
      <c r="DR687" s="161">
        <f t="shared" si="2910"/>
        <v>0</v>
      </c>
      <c r="DS687" s="161">
        <f t="shared" si="2911"/>
        <v>0</v>
      </c>
      <c r="DT687" s="161">
        <f t="shared" si="2912"/>
        <v>0</v>
      </c>
      <c r="DU687" s="161">
        <f t="shared" si="2913"/>
        <v>0</v>
      </c>
      <c r="DV687" s="161">
        <f t="shared" si="2914"/>
        <v>0</v>
      </c>
      <c r="DW687" s="161">
        <f t="shared" si="2915"/>
        <v>0</v>
      </c>
      <c r="DX687" s="161">
        <f t="shared" si="2916"/>
        <v>0</v>
      </c>
      <c r="DY687" s="161">
        <f t="shared" si="2917"/>
        <v>0</v>
      </c>
      <c r="DZ687" s="161">
        <f t="shared" si="2918"/>
        <v>0</v>
      </c>
      <c r="EA687" s="161">
        <f t="shared" si="2919"/>
        <v>0</v>
      </c>
      <c r="EB687" s="161">
        <f t="shared" si="2920"/>
        <v>0</v>
      </c>
      <c r="EC687" s="161">
        <f t="shared" si="2921"/>
        <v>0</v>
      </c>
      <c r="ED687" s="161">
        <f t="shared" si="2922"/>
        <v>0</v>
      </c>
      <c r="EE687" s="161">
        <f t="shared" si="2923"/>
        <v>0</v>
      </c>
      <c r="EF687" s="161">
        <f t="shared" si="2924"/>
        <v>0</v>
      </c>
      <c r="EG687" s="161">
        <f t="shared" si="2925"/>
        <v>0</v>
      </c>
      <c r="EH687" s="161">
        <f t="shared" si="2926"/>
        <v>0</v>
      </c>
      <c r="EI687" s="161">
        <f t="shared" si="2927"/>
        <v>0</v>
      </c>
      <c r="EJ687" s="65"/>
      <c r="EK687" s="161">
        <f t="shared" si="2998"/>
        <v>0</v>
      </c>
      <c r="EL687" s="161">
        <f t="shared" si="2999"/>
        <v>0</v>
      </c>
      <c r="EM687" s="161">
        <f t="shared" si="3000"/>
        <v>0</v>
      </c>
    </row>
    <row r="688" spans="1:143" ht="12" hidden="1" customHeight="1" outlineLevel="2">
      <c r="A688" s="77">
        <v>20</v>
      </c>
      <c r="B688" s="137" t="str">
        <f t="shared" si="2928"/>
        <v>EST_III - Equipe_01</v>
      </c>
      <c r="C688" s="65"/>
      <c r="D688" s="623"/>
      <c r="E688" s="65"/>
      <c r="F688" s="603"/>
      <c r="G688" s="77" t="str">
        <f>IF(INDEX(Tarefas!$BT$30:$FK$30,MATCH(A688,Tarefas!$BT$28:$FK$28,0))=0,"",INDEX(Tarefas!$BT$30:$FK$30,MATCH(A688,Tarefas!$BT$28:$FK$28,0)))</f>
        <v>EST_III</v>
      </c>
      <c r="H688" s="107" cm="1">
        <f t="array" ref="H688">IFERROR((SUMPRODUCT((Tarefas!$N$32:$N$54='Cronog. e Histog.'!$F$669)*(Tarefas!$BQ$30:$FK$30='Cronog. e Histog.'!$G688)*(Tarefas!$BQ$32:$FK$54)))/SUMIF(Tarefas!$N$32:$N$54,'Cronog. e Histog.'!$F$669,Tarefas!$K$32:$K$54),0)</f>
        <v>0</v>
      </c>
      <c r="I688" s="79">
        <f t="shared" si="2929"/>
        <v>0</v>
      </c>
      <c r="J688" s="65"/>
      <c r="K688" s="160">
        <f t="shared" si="3001"/>
        <v>0</v>
      </c>
      <c r="L688" s="160">
        <f t="shared" si="3003"/>
        <v>0</v>
      </c>
      <c r="M688" s="160">
        <f t="shared" si="3003"/>
        <v>0</v>
      </c>
      <c r="N688" s="160">
        <f t="shared" si="3003"/>
        <v>0</v>
      </c>
      <c r="O688" s="160">
        <f t="shared" si="3003"/>
        <v>0</v>
      </c>
      <c r="P688" s="160">
        <f t="shared" si="3003"/>
        <v>0</v>
      </c>
      <c r="Q688" s="160">
        <f t="shared" si="3003"/>
        <v>0</v>
      </c>
      <c r="R688" s="160">
        <f t="shared" si="3003"/>
        <v>0</v>
      </c>
      <c r="S688" s="160">
        <f t="shared" si="3003"/>
        <v>0</v>
      </c>
      <c r="T688" s="160">
        <f t="shared" si="3003"/>
        <v>0</v>
      </c>
      <c r="U688" s="160">
        <f t="shared" si="3003"/>
        <v>0</v>
      </c>
      <c r="V688" s="160">
        <f t="shared" si="3003"/>
        <v>0</v>
      </c>
      <c r="W688" s="160">
        <f t="shared" si="3003"/>
        <v>0</v>
      </c>
      <c r="X688" s="160">
        <f t="shared" si="3003"/>
        <v>0</v>
      </c>
      <c r="Y688" s="160">
        <f t="shared" si="3003"/>
        <v>0</v>
      </c>
      <c r="Z688" s="160">
        <f t="shared" si="3003"/>
        <v>0</v>
      </c>
      <c r="AA688" s="160">
        <f t="shared" si="3003"/>
        <v>0</v>
      </c>
      <c r="AB688" s="160">
        <f t="shared" si="3003"/>
        <v>0</v>
      </c>
      <c r="AC688" s="160">
        <f t="shared" si="3003"/>
        <v>0</v>
      </c>
      <c r="AD688" s="160">
        <f t="shared" si="3003"/>
        <v>0</v>
      </c>
      <c r="AE688" s="160">
        <f t="shared" si="3003"/>
        <v>0</v>
      </c>
      <c r="AF688" s="160">
        <f t="shared" si="3003"/>
        <v>0</v>
      </c>
      <c r="AG688" s="160">
        <f t="shared" si="3003"/>
        <v>0</v>
      </c>
      <c r="AH688" s="160">
        <f t="shared" si="3003"/>
        <v>0</v>
      </c>
      <c r="AI688" s="160">
        <f t="shared" si="3003"/>
        <v>0</v>
      </c>
      <c r="AJ688" s="160">
        <f t="shared" si="3003"/>
        <v>0</v>
      </c>
      <c r="AK688" s="160">
        <f t="shared" si="3003"/>
        <v>0</v>
      </c>
      <c r="AL688" s="160">
        <f t="shared" si="3003"/>
        <v>0</v>
      </c>
      <c r="AM688" s="160">
        <f t="shared" si="3003"/>
        <v>0</v>
      </c>
      <c r="AN688" s="160">
        <f t="shared" si="3003"/>
        <v>0</v>
      </c>
      <c r="AO688" s="160">
        <f t="shared" si="3003"/>
        <v>0</v>
      </c>
      <c r="AP688" s="160">
        <f t="shared" si="3003"/>
        <v>0</v>
      </c>
      <c r="AQ688" s="160">
        <f t="shared" si="3003"/>
        <v>0</v>
      </c>
      <c r="AR688" s="160">
        <f t="shared" si="3003"/>
        <v>0</v>
      </c>
      <c r="AS688" s="160">
        <f t="shared" si="3003"/>
        <v>0</v>
      </c>
      <c r="AT688" s="160">
        <f t="shared" si="3003"/>
        <v>0</v>
      </c>
      <c r="AU688" s="160">
        <f t="shared" si="3003"/>
        <v>0</v>
      </c>
      <c r="AV688" s="160">
        <f t="shared" si="3003"/>
        <v>0</v>
      </c>
      <c r="AW688" s="160">
        <f t="shared" si="3003"/>
        <v>0</v>
      </c>
      <c r="AX688" s="160">
        <f t="shared" si="3003"/>
        <v>0</v>
      </c>
      <c r="AY688" s="160">
        <f t="shared" si="3003"/>
        <v>0</v>
      </c>
      <c r="AZ688" s="160">
        <f t="shared" si="3003"/>
        <v>0</v>
      </c>
      <c r="BA688" s="160">
        <f t="shared" si="3003"/>
        <v>0</v>
      </c>
      <c r="BB688" s="160">
        <f t="shared" si="3003"/>
        <v>0</v>
      </c>
      <c r="BC688" s="160">
        <f t="shared" si="3003"/>
        <v>0</v>
      </c>
      <c r="BD688" s="160">
        <f t="shared" si="3003"/>
        <v>0</v>
      </c>
      <c r="BE688" s="160">
        <f t="shared" si="3003"/>
        <v>0</v>
      </c>
      <c r="BF688" s="160">
        <f t="shared" si="3003"/>
        <v>0</v>
      </c>
      <c r="BG688" s="160">
        <f t="shared" si="3003"/>
        <v>0</v>
      </c>
      <c r="BH688" s="160">
        <f t="shared" si="3003"/>
        <v>0</v>
      </c>
      <c r="BI688" s="160">
        <f t="shared" si="3003"/>
        <v>0</v>
      </c>
      <c r="BJ688" s="160">
        <f t="shared" si="3003"/>
        <v>0</v>
      </c>
      <c r="BK688" s="160">
        <f t="shared" si="3003"/>
        <v>0</v>
      </c>
      <c r="BL688" s="160">
        <f t="shared" si="3003"/>
        <v>0</v>
      </c>
      <c r="BM688" s="160">
        <f t="shared" si="3003"/>
        <v>0</v>
      </c>
      <c r="BN688" s="160">
        <f t="shared" si="3003"/>
        <v>0</v>
      </c>
      <c r="BO688" s="160">
        <f t="shared" si="3003"/>
        <v>0</v>
      </c>
      <c r="BP688" s="160">
        <f t="shared" si="3003"/>
        <v>0</v>
      </c>
      <c r="BQ688" s="160">
        <f t="shared" si="3003"/>
        <v>0</v>
      </c>
      <c r="BR688" s="160">
        <f t="shared" si="3003"/>
        <v>0</v>
      </c>
      <c r="BS688" s="65"/>
      <c r="BT688" s="160">
        <f t="shared" si="2864"/>
        <v>0</v>
      </c>
      <c r="BU688" s="160">
        <f t="shared" si="2865"/>
        <v>0</v>
      </c>
      <c r="BV688" s="65"/>
      <c r="BW688" s="69"/>
      <c r="BX688" s="65"/>
      <c r="BY688" s="137">
        <f t="shared" si="2866"/>
        <v>1</v>
      </c>
      <c r="BZ688" s="137">
        <f>IF(BY688&gt;0,BY688+LARGE($BZ$213:BZ687,1),0)</f>
        <v>400</v>
      </c>
      <c r="CA688" s="137" t="str">
        <f t="shared" si="2867"/>
        <v>EST_III</v>
      </c>
      <c r="CB688" s="161">
        <f t="shared" si="2868"/>
        <v>0</v>
      </c>
      <c r="CC688" s="161">
        <f t="shared" si="2869"/>
        <v>0</v>
      </c>
      <c r="CD688" s="161">
        <f t="shared" si="2870"/>
        <v>0</v>
      </c>
      <c r="CE688" s="161">
        <f t="shared" si="2871"/>
        <v>0</v>
      </c>
      <c r="CF688" s="161">
        <f t="shared" si="2872"/>
        <v>0</v>
      </c>
      <c r="CG688" s="161">
        <f t="shared" si="2873"/>
        <v>0</v>
      </c>
      <c r="CH688" s="161">
        <f t="shared" si="2874"/>
        <v>0</v>
      </c>
      <c r="CI688" s="161">
        <f t="shared" si="2875"/>
        <v>0</v>
      </c>
      <c r="CJ688" s="161">
        <f t="shared" si="2876"/>
        <v>0</v>
      </c>
      <c r="CK688" s="161">
        <f t="shared" si="2877"/>
        <v>0</v>
      </c>
      <c r="CL688" s="161">
        <f t="shared" si="2878"/>
        <v>0</v>
      </c>
      <c r="CM688" s="161">
        <f t="shared" si="2879"/>
        <v>0</v>
      </c>
      <c r="CN688" s="161">
        <f t="shared" si="2880"/>
        <v>0</v>
      </c>
      <c r="CO688" s="161">
        <f t="shared" si="2881"/>
        <v>0</v>
      </c>
      <c r="CP688" s="161">
        <f t="shared" si="2882"/>
        <v>0</v>
      </c>
      <c r="CQ688" s="161">
        <f t="shared" si="2883"/>
        <v>0</v>
      </c>
      <c r="CR688" s="161">
        <f t="shared" si="2884"/>
        <v>0</v>
      </c>
      <c r="CS688" s="161">
        <f t="shared" si="2885"/>
        <v>0</v>
      </c>
      <c r="CT688" s="161">
        <f t="shared" si="2886"/>
        <v>0</v>
      </c>
      <c r="CU688" s="161">
        <f t="shared" si="2887"/>
        <v>0</v>
      </c>
      <c r="CV688" s="161">
        <f t="shared" si="2888"/>
        <v>0</v>
      </c>
      <c r="CW688" s="161">
        <f t="shared" si="2889"/>
        <v>0</v>
      </c>
      <c r="CX688" s="161">
        <f t="shared" si="2890"/>
        <v>0</v>
      </c>
      <c r="CY688" s="161">
        <f t="shared" si="2891"/>
        <v>0</v>
      </c>
      <c r="CZ688" s="161">
        <f t="shared" si="2892"/>
        <v>0</v>
      </c>
      <c r="DA688" s="161">
        <f t="shared" si="2893"/>
        <v>0</v>
      </c>
      <c r="DB688" s="161">
        <f t="shared" si="2894"/>
        <v>0</v>
      </c>
      <c r="DC688" s="161">
        <f t="shared" si="2895"/>
        <v>0</v>
      </c>
      <c r="DD688" s="161">
        <f t="shared" si="2896"/>
        <v>0</v>
      </c>
      <c r="DE688" s="161">
        <f t="shared" si="2897"/>
        <v>0</v>
      </c>
      <c r="DF688" s="161">
        <f t="shared" si="2898"/>
        <v>0</v>
      </c>
      <c r="DG688" s="161">
        <f t="shared" si="2899"/>
        <v>0</v>
      </c>
      <c r="DH688" s="161">
        <f t="shared" si="2900"/>
        <v>0</v>
      </c>
      <c r="DI688" s="161">
        <f t="shared" si="2901"/>
        <v>0</v>
      </c>
      <c r="DJ688" s="161">
        <f t="shared" si="2902"/>
        <v>0</v>
      </c>
      <c r="DK688" s="161">
        <f t="shared" si="2903"/>
        <v>0</v>
      </c>
      <c r="DL688" s="161">
        <f t="shared" si="2904"/>
        <v>0</v>
      </c>
      <c r="DM688" s="161">
        <f t="shared" si="2905"/>
        <v>0</v>
      </c>
      <c r="DN688" s="161">
        <f t="shared" si="2906"/>
        <v>0</v>
      </c>
      <c r="DO688" s="161">
        <f t="shared" si="2907"/>
        <v>0</v>
      </c>
      <c r="DP688" s="161">
        <f t="shared" si="2908"/>
        <v>0</v>
      </c>
      <c r="DQ688" s="161">
        <f t="shared" si="2909"/>
        <v>0</v>
      </c>
      <c r="DR688" s="161">
        <f t="shared" si="2910"/>
        <v>0</v>
      </c>
      <c r="DS688" s="161">
        <f t="shared" si="2911"/>
        <v>0</v>
      </c>
      <c r="DT688" s="161">
        <f t="shared" si="2912"/>
        <v>0</v>
      </c>
      <c r="DU688" s="161">
        <f t="shared" si="2913"/>
        <v>0</v>
      </c>
      <c r="DV688" s="161">
        <f t="shared" si="2914"/>
        <v>0</v>
      </c>
      <c r="DW688" s="161">
        <f t="shared" si="2915"/>
        <v>0</v>
      </c>
      <c r="DX688" s="161">
        <f t="shared" si="2916"/>
        <v>0</v>
      </c>
      <c r="DY688" s="161">
        <f t="shared" si="2917"/>
        <v>0</v>
      </c>
      <c r="DZ688" s="161">
        <f t="shared" si="2918"/>
        <v>0</v>
      </c>
      <c r="EA688" s="161">
        <f t="shared" si="2919"/>
        <v>0</v>
      </c>
      <c r="EB688" s="161">
        <f t="shared" si="2920"/>
        <v>0</v>
      </c>
      <c r="EC688" s="161">
        <f t="shared" si="2921"/>
        <v>0</v>
      </c>
      <c r="ED688" s="161">
        <f t="shared" si="2922"/>
        <v>0</v>
      </c>
      <c r="EE688" s="161">
        <f t="shared" si="2923"/>
        <v>0</v>
      </c>
      <c r="EF688" s="161">
        <f t="shared" si="2924"/>
        <v>0</v>
      </c>
      <c r="EG688" s="161">
        <f t="shared" si="2925"/>
        <v>0</v>
      </c>
      <c r="EH688" s="161">
        <f t="shared" si="2926"/>
        <v>0</v>
      </c>
      <c r="EI688" s="161">
        <f t="shared" si="2927"/>
        <v>0</v>
      </c>
      <c r="EJ688" s="65"/>
      <c r="EK688" s="161">
        <f t="shared" si="2998"/>
        <v>0</v>
      </c>
      <c r="EL688" s="161">
        <f t="shared" si="2999"/>
        <v>0</v>
      </c>
      <c r="EM688" s="161">
        <f t="shared" si="3000"/>
        <v>0</v>
      </c>
    </row>
    <row r="689" spans="2:139" ht="12" hidden="1" customHeight="1" outlineLevel="1">
      <c r="B689" s="65"/>
      <c r="C689" s="65"/>
      <c r="D689" s="65"/>
      <c r="E689" s="65"/>
      <c r="F689" s="470" t="s">
        <v>380</v>
      </c>
      <c r="G689" s="162" t="str">
        <f>"Pico = "&amp;MAX(K689:BR689)</f>
        <v>Pico = 0,11</v>
      </c>
      <c r="H689" s="163">
        <f>SUM(H669:H688)</f>
        <v>1</v>
      </c>
      <c r="I689" s="148">
        <f>SUM(I669:I688)</f>
        <v>1</v>
      </c>
      <c r="J689" s="65"/>
      <c r="K689" s="146">
        <f>SUM(K669:K688)</f>
        <v>0.11</v>
      </c>
      <c r="L689" s="146">
        <f t="shared" ref="L689" si="3004">SUM(L669:L688)</f>
        <v>0.11</v>
      </c>
      <c r="M689" s="146">
        <f t="shared" ref="M689" si="3005">SUM(M669:M688)</f>
        <v>0.11</v>
      </c>
      <c r="N689" s="146">
        <f t="shared" ref="N689" si="3006">SUM(N669:N688)</f>
        <v>0.11</v>
      </c>
      <c r="O689" s="146">
        <f t="shared" ref="O689:BR689" si="3007">SUM(O669:O688)</f>
        <v>0.11</v>
      </c>
      <c r="P689" s="146">
        <f t="shared" si="3007"/>
        <v>0.11</v>
      </c>
      <c r="Q689" s="146">
        <f t="shared" si="3007"/>
        <v>0.11</v>
      </c>
      <c r="R689" s="146">
        <f t="shared" si="3007"/>
        <v>0.11</v>
      </c>
      <c r="S689" s="146">
        <f t="shared" si="3007"/>
        <v>0.11</v>
      </c>
      <c r="T689" s="146">
        <f t="shared" si="3007"/>
        <v>0.11</v>
      </c>
      <c r="U689" s="146">
        <f t="shared" si="3007"/>
        <v>0</v>
      </c>
      <c r="V689" s="146">
        <f t="shared" si="3007"/>
        <v>0</v>
      </c>
      <c r="W689" s="146">
        <f t="shared" si="3007"/>
        <v>0</v>
      </c>
      <c r="X689" s="146">
        <f t="shared" si="3007"/>
        <v>0</v>
      </c>
      <c r="Y689" s="146">
        <f t="shared" si="3007"/>
        <v>0</v>
      </c>
      <c r="Z689" s="146">
        <f t="shared" si="3007"/>
        <v>0</v>
      </c>
      <c r="AA689" s="146">
        <f t="shared" si="3007"/>
        <v>0</v>
      </c>
      <c r="AB689" s="146">
        <f t="shared" si="3007"/>
        <v>0</v>
      </c>
      <c r="AC689" s="146">
        <f t="shared" si="3007"/>
        <v>0</v>
      </c>
      <c r="AD689" s="146">
        <f t="shared" si="3007"/>
        <v>0</v>
      </c>
      <c r="AE689" s="146">
        <f t="shared" si="3007"/>
        <v>0</v>
      </c>
      <c r="AF689" s="146">
        <f t="shared" si="3007"/>
        <v>0</v>
      </c>
      <c r="AG689" s="146">
        <f t="shared" si="3007"/>
        <v>0</v>
      </c>
      <c r="AH689" s="146">
        <f t="shared" si="3007"/>
        <v>0</v>
      </c>
      <c r="AI689" s="146">
        <f t="shared" si="3007"/>
        <v>0</v>
      </c>
      <c r="AJ689" s="146">
        <f t="shared" si="3007"/>
        <v>0</v>
      </c>
      <c r="AK689" s="146">
        <f t="shared" si="3007"/>
        <v>0</v>
      </c>
      <c r="AL689" s="146">
        <f t="shared" si="3007"/>
        <v>0</v>
      </c>
      <c r="AM689" s="146">
        <f t="shared" si="3007"/>
        <v>0</v>
      </c>
      <c r="AN689" s="146">
        <f t="shared" si="3007"/>
        <v>0</v>
      </c>
      <c r="AO689" s="146">
        <f t="shared" si="3007"/>
        <v>0</v>
      </c>
      <c r="AP689" s="146">
        <f t="shared" si="3007"/>
        <v>0</v>
      </c>
      <c r="AQ689" s="146">
        <f t="shared" si="3007"/>
        <v>0</v>
      </c>
      <c r="AR689" s="146">
        <f t="shared" si="3007"/>
        <v>0</v>
      </c>
      <c r="AS689" s="146">
        <f t="shared" si="3007"/>
        <v>0</v>
      </c>
      <c r="AT689" s="146">
        <f t="shared" si="3007"/>
        <v>0</v>
      </c>
      <c r="AU689" s="146">
        <f t="shared" si="3007"/>
        <v>0</v>
      </c>
      <c r="AV689" s="146">
        <f t="shared" si="3007"/>
        <v>0</v>
      </c>
      <c r="AW689" s="146">
        <f t="shared" si="3007"/>
        <v>0</v>
      </c>
      <c r="AX689" s="146">
        <f t="shared" si="3007"/>
        <v>0</v>
      </c>
      <c r="AY689" s="146">
        <f t="shared" si="3007"/>
        <v>0</v>
      </c>
      <c r="AZ689" s="146">
        <f t="shared" si="3007"/>
        <v>0</v>
      </c>
      <c r="BA689" s="146">
        <f t="shared" si="3007"/>
        <v>0</v>
      </c>
      <c r="BB689" s="146">
        <f t="shared" si="3007"/>
        <v>0</v>
      </c>
      <c r="BC689" s="146">
        <f t="shared" si="3007"/>
        <v>0</v>
      </c>
      <c r="BD689" s="146">
        <f t="shared" si="3007"/>
        <v>0</v>
      </c>
      <c r="BE689" s="146">
        <f t="shared" si="3007"/>
        <v>0</v>
      </c>
      <c r="BF689" s="146">
        <f t="shared" si="3007"/>
        <v>0</v>
      </c>
      <c r="BG689" s="146">
        <f t="shared" si="3007"/>
        <v>0</v>
      </c>
      <c r="BH689" s="146">
        <f t="shared" si="3007"/>
        <v>0</v>
      </c>
      <c r="BI689" s="146">
        <f t="shared" si="3007"/>
        <v>0</v>
      </c>
      <c r="BJ689" s="146">
        <f t="shared" si="3007"/>
        <v>0</v>
      </c>
      <c r="BK689" s="146">
        <f t="shared" si="3007"/>
        <v>0</v>
      </c>
      <c r="BL689" s="146">
        <f t="shared" si="3007"/>
        <v>0</v>
      </c>
      <c r="BM689" s="146">
        <f t="shared" si="3007"/>
        <v>0</v>
      </c>
      <c r="BN689" s="146">
        <f t="shared" si="3007"/>
        <v>0</v>
      </c>
      <c r="BO689" s="146">
        <f t="shared" si="3007"/>
        <v>0</v>
      </c>
      <c r="BP689" s="146">
        <f t="shared" si="3007"/>
        <v>0</v>
      </c>
      <c r="BQ689" s="146">
        <f t="shared" si="3007"/>
        <v>0</v>
      </c>
      <c r="BR689" s="146">
        <f t="shared" si="3007"/>
        <v>0</v>
      </c>
      <c r="BS689" s="65"/>
      <c r="BT689" s="146">
        <f t="shared" ref="BT689" si="3008">SUM(BT669:BT688)</f>
        <v>0.11000000000000001</v>
      </c>
      <c r="BU689" s="65"/>
      <c r="BV689" s="65"/>
      <c r="BW689" s="69"/>
      <c r="BX689" s="65"/>
      <c r="BY689" s="65"/>
      <c r="BZ689" s="65"/>
      <c r="CA689" s="65"/>
      <c r="CB689" s="65"/>
      <c r="CC689" s="65"/>
      <c r="CD689" s="65"/>
      <c r="CE689" s="65"/>
      <c r="CF689" s="65"/>
      <c r="CG689" s="65"/>
      <c r="CH689" s="65"/>
      <c r="CI689" s="65"/>
      <c r="CJ689" s="65"/>
      <c r="CK689" s="65"/>
      <c r="CL689" s="65"/>
      <c r="CM689" s="65"/>
      <c r="CN689" s="65"/>
      <c r="CO689" s="65"/>
      <c r="CP689" s="65"/>
      <c r="CQ689" s="65"/>
      <c r="CR689" s="65"/>
      <c r="CS689" s="65"/>
      <c r="CT689" s="65"/>
      <c r="CU689" s="65"/>
      <c r="CV689" s="65"/>
      <c r="CW689" s="65"/>
      <c r="CX689" s="65"/>
      <c r="CY689" s="65"/>
      <c r="CZ689" s="65"/>
      <c r="DA689" s="65"/>
      <c r="DB689" s="65"/>
      <c r="DC689" s="65"/>
      <c r="DD689" s="65"/>
      <c r="DE689" s="65"/>
      <c r="DF689" s="65"/>
      <c r="DG689" s="65"/>
      <c r="DH689" s="65"/>
      <c r="DI689" s="65"/>
      <c r="DJ689" s="65"/>
      <c r="DK689" s="65"/>
      <c r="DL689" s="65"/>
      <c r="DM689" s="65"/>
      <c r="DN689" s="65"/>
      <c r="DO689" s="65"/>
      <c r="DP689" s="65"/>
      <c r="DQ689" s="65"/>
      <c r="DR689" s="65"/>
      <c r="DS689" s="65"/>
      <c r="DT689" s="65"/>
      <c r="DU689" s="65"/>
      <c r="DV689" s="65"/>
      <c r="DW689" s="65"/>
      <c r="DX689" s="65"/>
      <c r="DY689" s="65"/>
      <c r="DZ689" s="65"/>
      <c r="EA689" s="65"/>
      <c r="EB689" s="65"/>
      <c r="EC689" s="65"/>
      <c r="ED689" s="65"/>
      <c r="EE689" s="65"/>
      <c r="EF689" s="65"/>
      <c r="EG689" s="65"/>
      <c r="EH689" s="65"/>
      <c r="EI689" s="65"/>
    </row>
    <row r="690" spans="2:139" ht="12" hidden="1" customHeight="1" outlineLevel="1"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  <c r="BD690" s="65"/>
      <c r="BE690" s="65"/>
      <c r="BF690" s="65"/>
      <c r="BG690" s="65"/>
      <c r="BH690" s="65"/>
      <c r="BI690" s="65"/>
      <c r="BJ690" s="65"/>
      <c r="BK690" s="65"/>
      <c r="BL690" s="65"/>
      <c r="BM690" s="65"/>
      <c r="BN690" s="65"/>
      <c r="BO690" s="65"/>
      <c r="BP690" s="65"/>
      <c r="BQ690" s="65"/>
      <c r="BR690" s="65"/>
      <c r="BS690" s="65"/>
      <c r="BT690" s="65"/>
      <c r="BU690" s="65"/>
      <c r="BV690" s="65"/>
      <c r="BW690" s="69"/>
      <c r="BX690" s="65"/>
      <c r="BY690" s="65"/>
      <c r="BZ690" s="65"/>
      <c r="CA690" s="65"/>
      <c r="CB690" s="65"/>
      <c r="CC690" s="65"/>
      <c r="CD690" s="65"/>
      <c r="CE690" s="65"/>
      <c r="CF690" s="65"/>
      <c r="CG690" s="65"/>
      <c r="CH690" s="65"/>
      <c r="CI690" s="65"/>
      <c r="CJ690" s="65"/>
      <c r="CK690" s="65"/>
      <c r="CL690" s="65"/>
      <c r="CM690" s="65"/>
      <c r="CN690" s="65"/>
      <c r="CO690" s="65"/>
      <c r="CP690" s="65"/>
      <c r="CQ690" s="65"/>
      <c r="CR690" s="65"/>
      <c r="CS690" s="65"/>
      <c r="CT690" s="65"/>
      <c r="CU690" s="65"/>
      <c r="CV690" s="65"/>
      <c r="CW690" s="65"/>
      <c r="CX690" s="65"/>
      <c r="CY690" s="65"/>
      <c r="CZ690" s="65"/>
      <c r="DA690" s="65"/>
      <c r="DB690" s="65"/>
      <c r="DC690" s="65"/>
      <c r="DD690" s="65"/>
      <c r="DE690" s="65"/>
      <c r="DF690" s="65"/>
      <c r="DG690" s="65"/>
      <c r="DH690" s="65"/>
      <c r="DI690" s="65"/>
      <c r="DJ690" s="65"/>
      <c r="DK690" s="65"/>
      <c r="DL690" s="65"/>
      <c r="DM690" s="65"/>
      <c r="DN690" s="65"/>
      <c r="DO690" s="65"/>
      <c r="DP690" s="65"/>
      <c r="DQ690" s="65"/>
      <c r="DR690" s="65"/>
      <c r="DS690" s="65"/>
      <c r="DT690" s="65"/>
      <c r="DU690" s="65"/>
      <c r="DV690" s="65"/>
      <c r="DW690" s="65"/>
      <c r="DX690" s="65"/>
      <c r="DY690" s="65"/>
      <c r="DZ690" s="65"/>
      <c r="EA690" s="65"/>
      <c r="EB690" s="65"/>
      <c r="EC690" s="65"/>
      <c r="ED690" s="65"/>
      <c r="EE690" s="65"/>
      <c r="EF690" s="65"/>
      <c r="EG690" s="65"/>
      <c r="EH690" s="65"/>
      <c r="EI690" s="65"/>
    </row>
    <row r="691" spans="2:139" ht="24" customHeight="1">
      <c r="B691" s="65"/>
      <c r="C691" s="65"/>
      <c r="D691" s="65"/>
      <c r="E691" s="65"/>
      <c r="F691" s="596" t="s">
        <v>391</v>
      </c>
      <c r="G691" s="596"/>
      <c r="H691" s="596"/>
      <c r="I691" s="146">
        <f t="shared" ref="I691" si="3009">MAX(K691:AB691)</f>
        <v>4.2699999999999996</v>
      </c>
      <c r="J691" s="65"/>
      <c r="K691" s="146">
        <f t="shared" ref="K691:AP691" si="3010">K233+K257+K281+K305+K329+K353+K377+K401+K425+K449+K473+K497+K521+K545+K569+K593+K617+K641+K665+K689</f>
        <v>4.2699999999999996</v>
      </c>
      <c r="L691" s="146">
        <f t="shared" si="3010"/>
        <v>4.2699999999999996</v>
      </c>
      <c r="M691" s="146">
        <f t="shared" si="3010"/>
        <v>4.2699999999999996</v>
      </c>
      <c r="N691" s="146">
        <f t="shared" si="3010"/>
        <v>4.2699999999999996</v>
      </c>
      <c r="O691" s="146">
        <f t="shared" si="3010"/>
        <v>4.2699999999999996</v>
      </c>
      <c r="P691" s="146">
        <f t="shared" si="3010"/>
        <v>4.2699999999999996</v>
      </c>
      <c r="Q691" s="146">
        <f t="shared" si="3010"/>
        <v>4.2699999999999996</v>
      </c>
      <c r="R691" s="146">
        <f t="shared" si="3010"/>
        <v>4.2699999999999996</v>
      </c>
      <c r="S691" s="146">
        <f t="shared" si="3010"/>
        <v>4.2699999999999996</v>
      </c>
      <c r="T691" s="146">
        <f t="shared" si="3010"/>
        <v>4.2699999999999996</v>
      </c>
      <c r="U691" s="146">
        <f t="shared" si="3010"/>
        <v>0</v>
      </c>
      <c r="V691" s="146">
        <f t="shared" si="3010"/>
        <v>0</v>
      </c>
      <c r="W691" s="146">
        <f t="shared" si="3010"/>
        <v>0</v>
      </c>
      <c r="X691" s="146">
        <f t="shared" si="3010"/>
        <v>0</v>
      </c>
      <c r="Y691" s="146">
        <f t="shared" si="3010"/>
        <v>0</v>
      </c>
      <c r="Z691" s="146">
        <f t="shared" si="3010"/>
        <v>0</v>
      </c>
      <c r="AA691" s="146">
        <f t="shared" si="3010"/>
        <v>0</v>
      </c>
      <c r="AB691" s="146">
        <f t="shared" si="3010"/>
        <v>0</v>
      </c>
      <c r="AC691" s="146">
        <f t="shared" si="3010"/>
        <v>0</v>
      </c>
      <c r="AD691" s="146">
        <f t="shared" si="3010"/>
        <v>0</v>
      </c>
      <c r="AE691" s="146">
        <f t="shared" si="3010"/>
        <v>0</v>
      </c>
      <c r="AF691" s="146">
        <f t="shared" si="3010"/>
        <v>0</v>
      </c>
      <c r="AG691" s="146">
        <f t="shared" si="3010"/>
        <v>0</v>
      </c>
      <c r="AH691" s="146">
        <f t="shared" si="3010"/>
        <v>0</v>
      </c>
      <c r="AI691" s="146">
        <f t="shared" si="3010"/>
        <v>0</v>
      </c>
      <c r="AJ691" s="146">
        <f t="shared" si="3010"/>
        <v>0</v>
      </c>
      <c r="AK691" s="146">
        <f t="shared" si="3010"/>
        <v>0</v>
      </c>
      <c r="AL691" s="146">
        <f t="shared" si="3010"/>
        <v>0</v>
      </c>
      <c r="AM691" s="146">
        <f t="shared" si="3010"/>
        <v>0</v>
      </c>
      <c r="AN691" s="146">
        <f t="shared" si="3010"/>
        <v>0</v>
      </c>
      <c r="AO691" s="146">
        <f t="shared" si="3010"/>
        <v>0</v>
      </c>
      <c r="AP691" s="146">
        <f t="shared" si="3010"/>
        <v>0</v>
      </c>
      <c r="AQ691" s="146">
        <f t="shared" ref="AQ691:BR691" si="3011">AQ233+AQ257+AQ281+AQ305+AQ329+AQ353+AQ377+AQ401+AQ425+AQ449+AQ473+AQ497+AQ521+AQ545+AQ569+AQ593+AQ617+AQ641+AQ665+AQ689</f>
        <v>0</v>
      </c>
      <c r="AR691" s="146">
        <f t="shared" si="3011"/>
        <v>0</v>
      </c>
      <c r="AS691" s="146">
        <f t="shared" si="3011"/>
        <v>0</v>
      </c>
      <c r="AT691" s="146">
        <f t="shared" si="3011"/>
        <v>0</v>
      </c>
      <c r="AU691" s="146">
        <f t="shared" si="3011"/>
        <v>0</v>
      </c>
      <c r="AV691" s="146">
        <f t="shared" si="3011"/>
        <v>0</v>
      </c>
      <c r="AW691" s="146">
        <f t="shared" si="3011"/>
        <v>0</v>
      </c>
      <c r="AX691" s="146">
        <f t="shared" si="3011"/>
        <v>0</v>
      </c>
      <c r="AY691" s="146">
        <f t="shared" si="3011"/>
        <v>0</v>
      </c>
      <c r="AZ691" s="146">
        <f t="shared" si="3011"/>
        <v>0</v>
      </c>
      <c r="BA691" s="146">
        <f t="shared" si="3011"/>
        <v>0</v>
      </c>
      <c r="BB691" s="146">
        <f t="shared" si="3011"/>
        <v>0</v>
      </c>
      <c r="BC691" s="146">
        <f t="shared" si="3011"/>
        <v>0</v>
      </c>
      <c r="BD691" s="146">
        <f t="shared" si="3011"/>
        <v>0</v>
      </c>
      <c r="BE691" s="146">
        <f t="shared" si="3011"/>
        <v>0</v>
      </c>
      <c r="BF691" s="146">
        <f t="shared" si="3011"/>
        <v>0</v>
      </c>
      <c r="BG691" s="146">
        <f t="shared" si="3011"/>
        <v>0</v>
      </c>
      <c r="BH691" s="146">
        <f t="shared" si="3011"/>
        <v>0</v>
      </c>
      <c r="BI691" s="146">
        <f t="shared" si="3011"/>
        <v>0</v>
      </c>
      <c r="BJ691" s="146">
        <f t="shared" si="3011"/>
        <v>0</v>
      </c>
      <c r="BK691" s="146">
        <f t="shared" si="3011"/>
        <v>0</v>
      </c>
      <c r="BL691" s="146">
        <f t="shared" si="3011"/>
        <v>0</v>
      </c>
      <c r="BM691" s="146">
        <f t="shared" si="3011"/>
        <v>0</v>
      </c>
      <c r="BN691" s="146">
        <f t="shared" si="3011"/>
        <v>0</v>
      </c>
      <c r="BO691" s="146">
        <f t="shared" si="3011"/>
        <v>0</v>
      </c>
      <c r="BP691" s="146">
        <f t="shared" si="3011"/>
        <v>0</v>
      </c>
      <c r="BQ691" s="146">
        <f t="shared" si="3011"/>
        <v>0</v>
      </c>
      <c r="BR691" s="146">
        <f t="shared" si="3011"/>
        <v>0</v>
      </c>
      <c r="BS691" s="65"/>
      <c r="BT691" s="65"/>
      <c r="BU691" s="65"/>
      <c r="BV691" s="65"/>
      <c r="BW691" s="69"/>
      <c r="BX691" s="65"/>
      <c r="BY691" s="65"/>
      <c r="BZ691" s="65"/>
      <c r="CA691" s="65"/>
      <c r="CB691" s="65"/>
      <c r="CC691" s="65"/>
      <c r="CD691" s="65"/>
      <c r="CE691" s="65"/>
      <c r="CF691" s="65"/>
      <c r="CG691" s="65"/>
      <c r="CH691" s="65"/>
      <c r="CI691" s="65"/>
      <c r="CJ691" s="65"/>
      <c r="CK691" s="65"/>
      <c r="CL691" s="65"/>
      <c r="CM691" s="65"/>
      <c r="CN691" s="65"/>
      <c r="CO691" s="65"/>
      <c r="CP691" s="65"/>
      <c r="CQ691" s="65"/>
      <c r="CR691" s="65"/>
      <c r="CS691" s="65"/>
      <c r="CT691" s="65"/>
      <c r="CU691" s="65"/>
      <c r="CV691" s="65"/>
      <c r="CW691" s="65"/>
      <c r="CX691" s="65"/>
      <c r="CY691" s="65"/>
      <c r="CZ691" s="65"/>
      <c r="DA691" s="65"/>
      <c r="DB691" s="65"/>
      <c r="DC691" s="65"/>
      <c r="DD691" s="65"/>
      <c r="DE691" s="65"/>
      <c r="DF691" s="65"/>
      <c r="DG691" s="65"/>
      <c r="DH691" s="65"/>
      <c r="DI691" s="65"/>
      <c r="DJ691" s="65"/>
      <c r="DK691" s="65"/>
      <c r="DL691" s="65"/>
      <c r="DM691" s="65"/>
      <c r="DN691" s="65"/>
      <c r="DO691" s="65"/>
      <c r="DP691" s="65"/>
      <c r="DQ691" s="65"/>
      <c r="DR691" s="65"/>
      <c r="DS691" s="65"/>
      <c r="DT691" s="65"/>
      <c r="DU691" s="65"/>
      <c r="DV691" s="65"/>
      <c r="DW691" s="65"/>
      <c r="DX691" s="65"/>
      <c r="DY691" s="65"/>
      <c r="DZ691" s="65"/>
      <c r="EA691" s="65"/>
      <c r="EB691" s="65"/>
      <c r="EC691" s="65"/>
      <c r="ED691" s="65"/>
      <c r="EE691" s="65"/>
      <c r="EF691" s="65"/>
      <c r="EG691" s="65"/>
      <c r="EH691" s="65"/>
      <c r="EI691" s="65"/>
    </row>
    <row r="692" spans="2:139" ht="24" customHeight="1">
      <c r="B692" s="65"/>
      <c r="C692" s="65"/>
      <c r="D692" s="65"/>
      <c r="E692" s="65"/>
      <c r="F692" s="597" t="s">
        <v>392</v>
      </c>
      <c r="G692" s="598"/>
      <c r="H692" s="598"/>
      <c r="I692" s="599"/>
      <c r="J692" s="65"/>
      <c r="K692" s="146">
        <f>K691</f>
        <v>4.2699999999999996</v>
      </c>
      <c r="L692" s="146">
        <f>IF(L691&gt;0,L691+LARGE($K692:K692,1),0)</f>
        <v>8.5399999999999991</v>
      </c>
      <c r="M692" s="146">
        <f>IF(M691&gt;0,M691+LARGE($K692:L692,1),0)</f>
        <v>12.809999999999999</v>
      </c>
      <c r="N692" s="146">
        <f>IF(N691&gt;0,N691+LARGE($K692:M692,1),0)</f>
        <v>17.079999999999998</v>
      </c>
      <c r="O692" s="146">
        <f>IF(O691&gt;0,O691+LARGE($K692:N692,1),0)</f>
        <v>21.349999999999998</v>
      </c>
      <c r="P692" s="146">
        <f>IF(P691&gt;0,P691+LARGE($K692:O692,1),0)</f>
        <v>25.619999999999997</v>
      </c>
      <c r="Q692" s="146">
        <f>IF(Q691&gt;0,Q691+LARGE($K692:P692,1),0)</f>
        <v>29.889999999999997</v>
      </c>
      <c r="R692" s="146">
        <f>IF(R691&gt;0,R691+LARGE($K692:Q692,1),0)</f>
        <v>34.159999999999997</v>
      </c>
      <c r="S692" s="146">
        <f>IF(S691&gt;0,S691+LARGE($K692:R692,1),0)</f>
        <v>38.429999999999993</v>
      </c>
      <c r="T692" s="146">
        <f>IF(T691&gt;0,T691+LARGE($K692:S692,1),0)</f>
        <v>42.699999999999989</v>
      </c>
      <c r="U692" s="146">
        <f>IF(U691&gt;0,U691+LARGE($K692:T692,1),0)</f>
        <v>0</v>
      </c>
      <c r="V692" s="146">
        <f>IF(V691&gt;0,V691+LARGE($K692:U692,1),0)</f>
        <v>0</v>
      </c>
      <c r="W692" s="146">
        <f>IF(W691&gt;0,W691+LARGE($K692:V692,1),0)</f>
        <v>0</v>
      </c>
      <c r="X692" s="146">
        <f>IF(X691&gt;0,X691+LARGE($K692:W692,1),0)</f>
        <v>0</v>
      </c>
      <c r="Y692" s="146">
        <f>IF(Y691&gt;0,Y691+LARGE($K692:X692,1),0)</f>
        <v>0</v>
      </c>
      <c r="Z692" s="146">
        <f>IF(Z691&gt;0,Z691+LARGE($K692:Y692,1),0)</f>
        <v>0</v>
      </c>
      <c r="AA692" s="146">
        <f>IF(AA691&gt;0,AA691+LARGE($K692:Z692,1),0)</f>
        <v>0</v>
      </c>
      <c r="AB692" s="146">
        <f>IF(AB691&gt;0,AB691+LARGE($K692:AA692,1),0)</f>
        <v>0</v>
      </c>
      <c r="AC692" s="146">
        <f>IF(AC691&gt;0,AC691+LARGE($K692:AB692,1),0)</f>
        <v>0</v>
      </c>
      <c r="AD692" s="146">
        <f>IF(AD691&gt;0,AD691+LARGE($K692:AC692,1),0)</f>
        <v>0</v>
      </c>
      <c r="AE692" s="146">
        <f>IF(AE691&gt;0,AE691+LARGE($K692:AD692,1),0)</f>
        <v>0</v>
      </c>
      <c r="AF692" s="146">
        <f>IF(AF691&gt;0,AF691+LARGE($K692:AE692,1),0)</f>
        <v>0</v>
      </c>
      <c r="AG692" s="146">
        <f>IF(AG691&gt;0,AG691+LARGE($K692:AF692,1),0)</f>
        <v>0</v>
      </c>
      <c r="AH692" s="146">
        <f>IF(AH691&gt;0,AH691+LARGE($K692:AG692,1),0)</f>
        <v>0</v>
      </c>
      <c r="AI692" s="146">
        <f>IF(AI691&gt;0,AI691+LARGE($K692:AH692,1),0)</f>
        <v>0</v>
      </c>
      <c r="AJ692" s="146">
        <f>IF(AJ691&gt;0,AJ691+LARGE($K692:AI692,1),0)</f>
        <v>0</v>
      </c>
      <c r="AK692" s="146">
        <f>IF(AK691&gt;0,AK691+LARGE($K692:AJ692,1),0)</f>
        <v>0</v>
      </c>
      <c r="AL692" s="146">
        <f>IF(AL691&gt;0,AL691+LARGE($K692:AK692,1),0)</f>
        <v>0</v>
      </c>
      <c r="AM692" s="146">
        <f>IF(AM691&gt;0,AM691+LARGE($K692:AL692,1),0)</f>
        <v>0</v>
      </c>
      <c r="AN692" s="146">
        <f>IF(AN691&gt;0,AN691+LARGE($K692:AM692,1),0)</f>
        <v>0</v>
      </c>
      <c r="AO692" s="146">
        <f>IF(AO691&gt;0,AO691+LARGE($K692:AN692,1),0)</f>
        <v>0</v>
      </c>
      <c r="AP692" s="146">
        <f>IF(AP691&gt;0,AP691+LARGE($K692:AO692,1),0)</f>
        <v>0</v>
      </c>
      <c r="AQ692" s="146">
        <f>IF(AQ691&gt;0,AQ691+LARGE($K692:AP692,1),0)</f>
        <v>0</v>
      </c>
      <c r="AR692" s="146">
        <f>IF(AR691&gt;0,AR691+LARGE($K692:AQ692,1),0)</f>
        <v>0</v>
      </c>
      <c r="AS692" s="146">
        <f>IF(AS691&gt;0,AS691+LARGE($K692:AR692,1),0)</f>
        <v>0</v>
      </c>
      <c r="AT692" s="146">
        <f>IF(AT691&gt;0,AT691+LARGE($K692:AS692,1),0)</f>
        <v>0</v>
      </c>
      <c r="AU692" s="146">
        <f>IF(AU691&gt;0,AU691+LARGE($K692:AT692,1),0)</f>
        <v>0</v>
      </c>
      <c r="AV692" s="146">
        <f>IF(AV691&gt;0,AV691+LARGE($K692:AU692,1),0)</f>
        <v>0</v>
      </c>
      <c r="AW692" s="146">
        <f>IF(AW691&gt;0,AW691+LARGE($K692:AV692,1),0)</f>
        <v>0</v>
      </c>
      <c r="AX692" s="146">
        <f>IF(AX691&gt;0,AX691+LARGE($K692:AW692,1),0)</f>
        <v>0</v>
      </c>
      <c r="AY692" s="146">
        <f>IF(AY691&gt;0,AY691+LARGE($K692:AX692,1),0)</f>
        <v>0</v>
      </c>
      <c r="AZ692" s="146">
        <f>IF(AZ691&gt;0,AZ691+LARGE($K692:AY692,1),0)</f>
        <v>0</v>
      </c>
      <c r="BA692" s="146">
        <f>IF(BA691&gt;0,BA691+LARGE($K692:AZ692,1),0)</f>
        <v>0</v>
      </c>
      <c r="BB692" s="146">
        <f>IF(BB691&gt;0,BB691+LARGE($K692:BA692,1),0)</f>
        <v>0</v>
      </c>
      <c r="BC692" s="146">
        <f>IF(BC691&gt;0,BC691+LARGE($K692:BB692,1),0)</f>
        <v>0</v>
      </c>
      <c r="BD692" s="146">
        <f>IF(BD691&gt;0,BD691+LARGE($K692:BC692,1),0)</f>
        <v>0</v>
      </c>
      <c r="BE692" s="146">
        <f>IF(BE691&gt;0,BE691+LARGE($K692:BD692,1),0)</f>
        <v>0</v>
      </c>
      <c r="BF692" s="146">
        <f>IF(BF691&gt;0,BF691+LARGE($K692:BE692,1),0)</f>
        <v>0</v>
      </c>
      <c r="BG692" s="146">
        <f>IF(BG691&gt;0,BG691+LARGE($K692:BF692,1),0)</f>
        <v>0</v>
      </c>
      <c r="BH692" s="146">
        <f>IF(BH691&gt;0,BH691+LARGE($K692:BG692,1),0)</f>
        <v>0</v>
      </c>
      <c r="BI692" s="146">
        <f>IF(BI691&gt;0,BI691+LARGE($K692:BH692,1),0)</f>
        <v>0</v>
      </c>
      <c r="BJ692" s="146">
        <f>IF(BJ691&gt;0,BJ691+LARGE($K692:BI692,1),0)</f>
        <v>0</v>
      </c>
      <c r="BK692" s="146">
        <f>IF(BK691&gt;0,BK691+LARGE($K692:BJ692,1),0)</f>
        <v>0</v>
      </c>
      <c r="BL692" s="146">
        <f>IF(BL691&gt;0,BL691+LARGE($K692:BK692,1),0)</f>
        <v>0</v>
      </c>
      <c r="BM692" s="146">
        <f>IF(BM691&gt;0,BM691+LARGE($K692:BL692,1),0)</f>
        <v>0</v>
      </c>
      <c r="BN692" s="146">
        <f>IF(BN691&gt;0,BN691+LARGE($K692:BM692,1),0)</f>
        <v>0</v>
      </c>
      <c r="BO692" s="146">
        <f>IF(BO691&gt;0,BO691+LARGE($K692:BN692,1),0)</f>
        <v>0</v>
      </c>
      <c r="BP692" s="146">
        <f>IF(BP691&gt;0,BP691+LARGE($K692:BO692,1),0)</f>
        <v>0</v>
      </c>
      <c r="BQ692" s="146">
        <f>IF(BQ691&gt;0,BQ691+LARGE($K692:BP692,1),0)</f>
        <v>0</v>
      </c>
      <c r="BR692" s="146">
        <f>IF(BR691&gt;0,BR691+LARGE($K692:BQ692,1),0)</f>
        <v>0</v>
      </c>
      <c r="BS692" s="65"/>
      <c r="BT692" s="65"/>
      <c r="BU692" s="65"/>
      <c r="BV692" s="65"/>
      <c r="BW692" s="69"/>
      <c r="BX692" s="65"/>
      <c r="BY692" s="65"/>
      <c r="BZ692" s="65"/>
      <c r="CA692" s="65"/>
      <c r="CB692" s="65"/>
      <c r="CC692" s="65"/>
      <c r="CD692" s="65"/>
      <c r="CE692" s="65"/>
      <c r="CF692" s="65"/>
      <c r="CG692" s="65"/>
      <c r="CH692" s="65"/>
      <c r="CI692" s="65"/>
      <c r="CJ692" s="65"/>
      <c r="CK692" s="65"/>
      <c r="CL692" s="65"/>
      <c r="CM692" s="65"/>
      <c r="CN692" s="65"/>
      <c r="CO692" s="65"/>
      <c r="CP692" s="65"/>
      <c r="CQ692" s="65"/>
      <c r="CR692" s="65"/>
      <c r="CS692" s="65"/>
      <c r="CT692" s="65"/>
      <c r="CU692" s="65"/>
      <c r="CV692" s="65"/>
      <c r="CW692" s="65"/>
      <c r="CX692" s="65"/>
      <c r="CY692" s="65"/>
      <c r="CZ692" s="65"/>
      <c r="DA692" s="65"/>
      <c r="DB692" s="65"/>
      <c r="DC692" s="65"/>
      <c r="DD692" s="65"/>
      <c r="DE692" s="65"/>
      <c r="DF692" s="65"/>
      <c r="DG692" s="65"/>
      <c r="DH692" s="65"/>
      <c r="DI692" s="65"/>
      <c r="DJ692" s="65"/>
      <c r="DK692" s="65"/>
      <c r="DL692" s="65"/>
      <c r="DM692" s="65"/>
      <c r="DN692" s="65"/>
      <c r="DO692" s="65"/>
      <c r="DP692" s="65"/>
      <c r="DQ692" s="65"/>
      <c r="DR692" s="65"/>
      <c r="DS692" s="65"/>
      <c r="DT692" s="65"/>
      <c r="DU692" s="65"/>
      <c r="DV692" s="65"/>
      <c r="DW692" s="65"/>
      <c r="DX692" s="65"/>
      <c r="DY692" s="65"/>
      <c r="DZ692" s="65"/>
      <c r="EA692" s="65"/>
      <c r="EB692" s="65"/>
      <c r="EC692" s="65"/>
      <c r="ED692" s="65"/>
      <c r="EE692" s="65"/>
      <c r="EF692" s="65"/>
      <c r="EG692" s="65"/>
      <c r="EH692" s="65"/>
      <c r="EI692" s="65"/>
    </row>
    <row r="693" spans="2:139" ht="12" customHeight="1"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  <c r="AQ693" s="65"/>
      <c r="AR693" s="65"/>
      <c r="AS693" s="65"/>
      <c r="AT693" s="65"/>
      <c r="AU693" s="65"/>
      <c r="AV693" s="65"/>
      <c r="AW693" s="65"/>
      <c r="AX693" s="65"/>
      <c r="AY693" s="65"/>
      <c r="AZ693" s="65"/>
      <c r="BA693" s="65"/>
      <c r="BB693" s="65"/>
      <c r="BC693" s="65"/>
      <c r="BD693" s="65"/>
      <c r="BE693" s="65"/>
      <c r="BF693" s="65"/>
      <c r="BG693" s="65"/>
      <c r="BH693" s="65"/>
      <c r="BI693" s="65"/>
      <c r="BJ693" s="65"/>
      <c r="BK693" s="65"/>
      <c r="BL693" s="65"/>
      <c r="BM693" s="65"/>
      <c r="BN693" s="65"/>
      <c r="BO693" s="65"/>
      <c r="BP693" s="65"/>
      <c r="BQ693" s="65"/>
      <c r="BR693" s="65"/>
      <c r="BS693" s="65"/>
      <c r="BT693" s="65"/>
      <c r="BU693" s="65"/>
      <c r="BV693" s="65"/>
      <c r="BW693" s="69"/>
      <c r="BX693" s="65"/>
      <c r="BY693" s="65"/>
      <c r="BZ693" s="65"/>
      <c r="CA693" s="65"/>
      <c r="CB693" s="65"/>
      <c r="CC693" s="65"/>
      <c r="CD693" s="65"/>
      <c r="CE693" s="65"/>
      <c r="CF693" s="65"/>
      <c r="CG693" s="65"/>
      <c r="CH693" s="65"/>
      <c r="CI693" s="65"/>
      <c r="CJ693" s="65"/>
      <c r="CK693" s="65"/>
      <c r="CL693" s="65"/>
      <c r="CM693" s="65"/>
      <c r="CN693" s="65"/>
      <c r="CO693" s="65"/>
      <c r="CP693" s="65"/>
      <c r="CQ693" s="65"/>
      <c r="CR693" s="65"/>
      <c r="CS693" s="65"/>
      <c r="CT693" s="65"/>
      <c r="CU693" s="65"/>
      <c r="CV693" s="65"/>
      <c r="CW693" s="65"/>
      <c r="CX693" s="65"/>
      <c r="CY693" s="65"/>
      <c r="CZ693" s="65"/>
      <c r="DA693" s="65"/>
      <c r="DB693" s="65"/>
      <c r="DC693" s="65"/>
      <c r="DD693" s="65"/>
      <c r="DE693" s="65"/>
      <c r="DF693" s="65"/>
      <c r="DG693" s="65"/>
      <c r="DH693" s="65"/>
      <c r="DI693" s="65"/>
      <c r="DJ693" s="65"/>
      <c r="DK693" s="65"/>
      <c r="DL693" s="65"/>
      <c r="DM693" s="65"/>
      <c r="DN693" s="65"/>
      <c r="DO693" s="65"/>
      <c r="DP693" s="65"/>
      <c r="DQ693" s="65"/>
      <c r="DR693" s="65"/>
      <c r="DS693" s="65"/>
      <c r="DT693" s="65"/>
      <c r="DU693" s="65"/>
      <c r="DV693" s="65"/>
      <c r="DW693" s="65"/>
      <c r="DX693" s="65"/>
      <c r="DY693" s="65"/>
      <c r="DZ693" s="65"/>
      <c r="EA693" s="65"/>
      <c r="EB693" s="65"/>
      <c r="EC693" s="65"/>
      <c r="ED693" s="65"/>
      <c r="EE693" s="65"/>
      <c r="EF693" s="65"/>
      <c r="EG693" s="65"/>
      <c r="EH693" s="65"/>
      <c r="EI693" s="65"/>
    </row>
    <row r="694" spans="2:139" ht="5.0999999999999996" customHeight="1">
      <c r="B694" s="65"/>
      <c r="C694" s="65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Q694" s="69"/>
      <c r="AR694" s="69"/>
      <c r="AS694" s="69"/>
      <c r="AT694" s="69"/>
      <c r="AU694" s="69"/>
      <c r="AV694" s="69"/>
      <c r="AW694" s="69"/>
      <c r="AX694" s="69"/>
      <c r="AY694" s="69"/>
      <c r="AZ694" s="69"/>
      <c r="BA694" s="69"/>
      <c r="BB694" s="69"/>
      <c r="BC694" s="69"/>
      <c r="BD694" s="69"/>
      <c r="BE694" s="69"/>
      <c r="BF694" s="69"/>
      <c r="BG694" s="69"/>
      <c r="BH694" s="69"/>
      <c r="BI694" s="69"/>
      <c r="BJ694" s="69"/>
      <c r="BK694" s="69"/>
      <c r="BL694" s="69"/>
      <c r="BM694" s="69"/>
      <c r="BN694" s="69"/>
      <c r="BO694" s="69"/>
      <c r="BP694" s="69"/>
      <c r="BQ694" s="69"/>
      <c r="BR694" s="69"/>
      <c r="BS694" s="69"/>
      <c r="BT694" s="69"/>
      <c r="BU694" s="69"/>
      <c r="BV694" s="65"/>
      <c r="BW694" s="69"/>
      <c r="BX694" s="65"/>
      <c r="BY694" s="65"/>
      <c r="BZ694" s="65"/>
      <c r="CA694" s="65"/>
      <c r="CB694" s="65"/>
      <c r="CC694" s="65"/>
      <c r="CD694" s="65"/>
      <c r="CE694" s="65"/>
      <c r="CF694" s="65"/>
      <c r="CG694" s="65"/>
      <c r="CH694" s="65"/>
      <c r="CI694" s="65"/>
      <c r="CJ694" s="65"/>
      <c r="CK694" s="65"/>
      <c r="CL694" s="65"/>
      <c r="CM694" s="65"/>
      <c r="CN694" s="65"/>
      <c r="CO694" s="65"/>
      <c r="CP694" s="65"/>
      <c r="CQ694" s="65"/>
      <c r="CR694" s="65"/>
      <c r="CS694" s="65"/>
      <c r="CT694" s="65"/>
      <c r="CU694" s="65"/>
      <c r="CV694" s="65"/>
      <c r="CW694" s="65"/>
      <c r="CX694" s="65"/>
      <c r="CY694" s="65"/>
      <c r="CZ694" s="65"/>
      <c r="DA694" s="65"/>
      <c r="DB694" s="65"/>
      <c r="DC694" s="65"/>
      <c r="DD694" s="65"/>
      <c r="DE694" s="65"/>
      <c r="DF694" s="65"/>
      <c r="DG694" s="65"/>
      <c r="DH694" s="65"/>
      <c r="DI694" s="65"/>
      <c r="DJ694" s="65"/>
      <c r="DK694" s="65"/>
      <c r="DL694" s="65"/>
      <c r="DM694" s="65"/>
      <c r="DN694" s="65"/>
      <c r="DO694" s="65"/>
      <c r="DP694" s="65"/>
      <c r="DQ694" s="65"/>
      <c r="DR694" s="65"/>
      <c r="DS694" s="65"/>
      <c r="DT694" s="65"/>
      <c r="DU694" s="65"/>
      <c r="DV694" s="65"/>
      <c r="DW694" s="65"/>
      <c r="DX694" s="65"/>
      <c r="DY694" s="65"/>
      <c r="DZ694" s="65"/>
      <c r="EA694" s="65"/>
      <c r="EB694" s="65"/>
      <c r="EC694" s="65"/>
      <c r="ED694" s="65"/>
      <c r="EE694" s="65"/>
      <c r="EF694" s="65"/>
      <c r="EG694" s="65"/>
      <c r="EH694" s="65"/>
      <c r="EI694" s="65"/>
    </row>
    <row r="695" spans="2:139" ht="12" customHeight="1"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  <c r="AQ695" s="65"/>
      <c r="AR695" s="65"/>
      <c r="AS695" s="65"/>
      <c r="AT695" s="65"/>
      <c r="AU695" s="65"/>
      <c r="AV695" s="65"/>
      <c r="AW695" s="65"/>
      <c r="AX695" s="65"/>
      <c r="AY695" s="65"/>
      <c r="AZ695" s="65"/>
      <c r="BA695" s="65"/>
      <c r="BB695" s="65"/>
      <c r="BC695" s="65"/>
      <c r="BD695" s="65"/>
      <c r="BE695" s="65"/>
      <c r="BF695" s="65"/>
      <c r="BG695" s="65"/>
      <c r="BH695" s="65"/>
      <c r="BI695" s="65"/>
      <c r="BJ695" s="65"/>
      <c r="BK695" s="65"/>
      <c r="BL695" s="65"/>
      <c r="BM695" s="65"/>
      <c r="BN695" s="65"/>
      <c r="BO695" s="65"/>
      <c r="BP695" s="65"/>
      <c r="BQ695" s="65"/>
      <c r="BR695" s="65"/>
      <c r="BS695" s="65"/>
      <c r="BT695" s="65"/>
      <c r="BU695" s="65"/>
      <c r="BV695" s="65"/>
      <c r="BW695" s="69"/>
      <c r="BX695" s="65"/>
      <c r="BY695" s="65"/>
      <c r="BZ695" s="65"/>
      <c r="CA695" s="65"/>
      <c r="CB695" s="65"/>
      <c r="CC695" s="65"/>
      <c r="CD695" s="65"/>
      <c r="CE695" s="65"/>
      <c r="CF695" s="65"/>
      <c r="CG695" s="65"/>
      <c r="CH695" s="65"/>
      <c r="CI695" s="65"/>
      <c r="CJ695" s="65"/>
      <c r="CK695" s="65"/>
      <c r="CL695" s="65"/>
      <c r="CM695" s="65"/>
      <c r="CN695" s="65"/>
      <c r="CO695" s="65"/>
      <c r="CP695" s="65"/>
      <c r="CQ695" s="65"/>
      <c r="CR695" s="65"/>
      <c r="CS695" s="65"/>
      <c r="CT695" s="65"/>
      <c r="CU695" s="65"/>
      <c r="CV695" s="65"/>
      <c r="CW695" s="65"/>
      <c r="CX695" s="65"/>
      <c r="CY695" s="65"/>
      <c r="CZ695" s="65"/>
      <c r="DA695" s="65"/>
      <c r="DB695" s="65"/>
      <c r="DC695" s="65"/>
      <c r="DD695" s="65"/>
      <c r="DE695" s="65"/>
      <c r="DF695" s="65"/>
      <c r="DG695" s="65"/>
      <c r="DH695" s="65"/>
      <c r="DI695" s="65"/>
      <c r="DJ695" s="65"/>
      <c r="DK695" s="65"/>
      <c r="DL695" s="65"/>
      <c r="DM695" s="65"/>
      <c r="DN695" s="65"/>
      <c r="DO695" s="65"/>
      <c r="DP695" s="65"/>
      <c r="DQ695" s="65"/>
      <c r="DR695" s="65"/>
      <c r="DS695" s="65"/>
      <c r="DT695" s="65"/>
      <c r="DU695" s="65"/>
      <c r="DV695" s="65"/>
      <c r="DW695" s="65"/>
      <c r="DX695" s="65"/>
      <c r="DY695" s="65"/>
      <c r="DZ695" s="65"/>
      <c r="EA695" s="65"/>
      <c r="EB695" s="65"/>
      <c r="EC695" s="65"/>
      <c r="ED695" s="65"/>
      <c r="EE695" s="65"/>
      <c r="EF695" s="65"/>
      <c r="EG695" s="65"/>
      <c r="EH695" s="65"/>
      <c r="EI695" s="65"/>
    </row>
    <row r="696" spans="2:139" ht="24" customHeight="1">
      <c r="B696" s="594" t="s">
        <v>395</v>
      </c>
      <c r="C696" s="65"/>
      <c r="D696" s="608" t="s">
        <v>464</v>
      </c>
      <c r="E696" s="65"/>
      <c r="F696" s="600" t="s">
        <v>465</v>
      </c>
      <c r="G696" s="600"/>
      <c r="H696" s="600"/>
      <c r="I696" s="600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  <c r="AQ696" s="65"/>
      <c r="AR696" s="65"/>
      <c r="AS696" s="65"/>
      <c r="AT696" s="65"/>
      <c r="AU696" s="65"/>
      <c r="AV696" s="65"/>
      <c r="AW696" s="65"/>
      <c r="AX696" s="65"/>
      <c r="AY696" s="65"/>
      <c r="AZ696" s="65"/>
      <c r="BA696" s="65"/>
      <c r="BB696" s="65"/>
      <c r="BC696" s="65"/>
      <c r="BD696" s="65"/>
      <c r="BE696" s="65"/>
      <c r="BF696" s="65"/>
      <c r="BG696" s="65"/>
      <c r="BH696" s="65"/>
      <c r="BI696" s="65"/>
      <c r="BJ696" s="65"/>
      <c r="BK696" s="65"/>
      <c r="BL696" s="65"/>
      <c r="BM696" s="65"/>
      <c r="BN696" s="65"/>
      <c r="BO696" s="65"/>
      <c r="BP696" s="65"/>
      <c r="BQ696" s="65"/>
      <c r="BR696" s="65"/>
      <c r="BS696" s="65"/>
      <c r="BT696" s="601" t="s">
        <v>396</v>
      </c>
      <c r="BU696" s="601" t="s">
        <v>397</v>
      </c>
      <c r="BV696" s="65"/>
      <c r="BW696" s="69"/>
      <c r="BX696" s="65"/>
      <c r="BY696" s="593" t="s">
        <v>398</v>
      </c>
      <c r="BZ696" s="593" t="s">
        <v>399</v>
      </c>
      <c r="CA696" s="593" t="s">
        <v>400</v>
      </c>
      <c r="CB696" s="592" t="s">
        <v>401</v>
      </c>
      <c r="CC696" s="592" t="s">
        <v>402</v>
      </c>
      <c r="CD696" s="592" t="s">
        <v>403</v>
      </c>
      <c r="CE696" s="592" t="s">
        <v>404</v>
      </c>
      <c r="CF696" s="592" t="s">
        <v>405</v>
      </c>
      <c r="CG696" s="592" t="s">
        <v>406</v>
      </c>
      <c r="CH696" s="592" t="s">
        <v>407</v>
      </c>
      <c r="CI696" s="592" t="s">
        <v>408</v>
      </c>
      <c r="CJ696" s="592" t="s">
        <v>409</v>
      </c>
      <c r="CK696" s="592" t="s">
        <v>410</v>
      </c>
      <c r="CL696" s="592" t="s">
        <v>411</v>
      </c>
      <c r="CM696" s="592" t="s">
        <v>412</v>
      </c>
      <c r="CN696" s="592" t="s">
        <v>413</v>
      </c>
      <c r="CO696" s="592" t="s">
        <v>414</v>
      </c>
      <c r="CP696" s="592" t="s">
        <v>415</v>
      </c>
      <c r="CQ696" s="592" t="s">
        <v>416</v>
      </c>
      <c r="CR696" s="592" t="s">
        <v>417</v>
      </c>
      <c r="CS696" s="592" t="s">
        <v>418</v>
      </c>
      <c r="CT696" s="592" t="s">
        <v>419</v>
      </c>
      <c r="CU696" s="592" t="s">
        <v>420</v>
      </c>
      <c r="CV696" s="592" t="s">
        <v>421</v>
      </c>
      <c r="CW696" s="592" t="s">
        <v>422</v>
      </c>
      <c r="CX696" s="592" t="s">
        <v>423</v>
      </c>
      <c r="CY696" s="592" t="s">
        <v>424</v>
      </c>
      <c r="CZ696" s="592" t="s">
        <v>425</v>
      </c>
      <c r="DA696" s="592" t="s">
        <v>426</v>
      </c>
      <c r="DB696" s="592" t="s">
        <v>427</v>
      </c>
      <c r="DC696" s="592" t="s">
        <v>428</v>
      </c>
      <c r="DD696" s="592" t="s">
        <v>429</v>
      </c>
      <c r="DE696" s="592" t="s">
        <v>430</v>
      </c>
      <c r="DF696" s="592" t="s">
        <v>431</v>
      </c>
      <c r="DG696" s="592" t="s">
        <v>432</v>
      </c>
      <c r="DH696" s="592" t="s">
        <v>433</v>
      </c>
      <c r="DI696" s="592" t="s">
        <v>434</v>
      </c>
      <c r="DJ696" s="592" t="s">
        <v>435</v>
      </c>
      <c r="DK696" s="592" t="s">
        <v>436</v>
      </c>
      <c r="DL696" s="592" t="s">
        <v>437</v>
      </c>
      <c r="DM696" s="592" t="s">
        <v>438</v>
      </c>
      <c r="DN696" s="592" t="s">
        <v>439</v>
      </c>
      <c r="DO696" s="592" t="s">
        <v>440</v>
      </c>
      <c r="DP696" s="592" t="s">
        <v>441</v>
      </c>
      <c r="DQ696" s="592" t="s">
        <v>442</v>
      </c>
      <c r="DR696" s="592" t="s">
        <v>443</v>
      </c>
      <c r="DS696" s="592" t="s">
        <v>444</v>
      </c>
      <c r="DT696" s="592" t="s">
        <v>445</v>
      </c>
      <c r="DU696" s="592" t="s">
        <v>446</v>
      </c>
      <c r="DV696" s="592" t="s">
        <v>447</v>
      </c>
      <c r="DW696" s="592" t="s">
        <v>448</v>
      </c>
      <c r="DX696" s="592" t="s">
        <v>449</v>
      </c>
      <c r="DY696" s="592" t="s">
        <v>450</v>
      </c>
      <c r="DZ696" s="592" t="s">
        <v>451</v>
      </c>
      <c r="EA696" s="592" t="s">
        <v>452</v>
      </c>
      <c r="EB696" s="592" t="s">
        <v>453</v>
      </c>
      <c r="EC696" s="592" t="s">
        <v>454</v>
      </c>
      <c r="ED696" s="592" t="s">
        <v>455</v>
      </c>
      <c r="EE696" s="592" t="s">
        <v>456</v>
      </c>
      <c r="EF696" s="592" t="s">
        <v>457</v>
      </c>
      <c r="EG696" s="592" t="s">
        <v>458</v>
      </c>
      <c r="EH696" s="592" t="s">
        <v>459</v>
      </c>
      <c r="EI696" s="592" t="s">
        <v>460</v>
      </c>
    </row>
    <row r="697" spans="2:139" ht="24" customHeight="1" collapsed="1">
      <c r="B697" s="595"/>
      <c r="C697" s="65"/>
      <c r="D697" s="609"/>
      <c r="E697" s="65"/>
      <c r="F697" s="1" t="s">
        <v>462</v>
      </c>
      <c r="G697" s="2"/>
      <c r="H697" s="142" t="s">
        <v>396</v>
      </c>
      <c r="I697" s="142" t="s">
        <v>466</v>
      </c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  <c r="AQ697" s="65"/>
      <c r="AR697" s="65"/>
      <c r="AS697" s="65"/>
      <c r="AT697" s="65"/>
      <c r="AU697" s="65"/>
      <c r="AV697" s="65"/>
      <c r="AW697" s="65"/>
      <c r="AX697" s="65"/>
      <c r="AY697" s="65"/>
      <c r="AZ697" s="65"/>
      <c r="BA697" s="65"/>
      <c r="BB697" s="65"/>
      <c r="BC697" s="65"/>
      <c r="BD697" s="65"/>
      <c r="BE697" s="65"/>
      <c r="BF697" s="65"/>
      <c r="BG697" s="65"/>
      <c r="BH697" s="65"/>
      <c r="BI697" s="65"/>
      <c r="BJ697" s="65"/>
      <c r="BK697" s="65"/>
      <c r="BL697" s="65"/>
      <c r="BM697" s="65"/>
      <c r="BN697" s="65"/>
      <c r="BO697" s="65"/>
      <c r="BP697" s="65"/>
      <c r="BQ697" s="65"/>
      <c r="BR697" s="65"/>
      <c r="BS697" s="65"/>
      <c r="BT697" s="602"/>
      <c r="BU697" s="602"/>
      <c r="BV697" s="65"/>
      <c r="BW697" s="69"/>
      <c r="BX697" s="65"/>
      <c r="BY697" s="593"/>
      <c r="BZ697" s="593"/>
      <c r="CA697" s="593"/>
      <c r="CB697" s="592"/>
      <c r="CC697" s="592"/>
      <c r="CD697" s="592"/>
      <c r="CE697" s="592"/>
      <c r="CF697" s="592"/>
      <c r="CG697" s="592"/>
      <c r="CH697" s="592"/>
      <c r="CI697" s="592"/>
      <c r="CJ697" s="592"/>
      <c r="CK697" s="592"/>
      <c r="CL697" s="592"/>
      <c r="CM697" s="592"/>
      <c r="CN697" s="592"/>
      <c r="CO697" s="592"/>
      <c r="CP697" s="592"/>
      <c r="CQ697" s="592"/>
      <c r="CR697" s="592"/>
      <c r="CS697" s="592"/>
      <c r="CT697" s="592"/>
      <c r="CU697" s="592"/>
      <c r="CV697" s="592"/>
      <c r="CW697" s="592"/>
      <c r="CX697" s="592"/>
      <c r="CY697" s="592"/>
      <c r="CZ697" s="592"/>
      <c r="DA697" s="592"/>
      <c r="DB697" s="592"/>
      <c r="DC697" s="592"/>
      <c r="DD697" s="592"/>
      <c r="DE697" s="592"/>
      <c r="DF697" s="592"/>
      <c r="DG697" s="592"/>
      <c r="DH697" s="592"/>
      <c r="DI697" s="592"/>
      <c r="DJ697" s="592"/>
      <c r="DK697" s="592"/>
      <c r="DL697" s="592"/>
      <c r="DM697" s="592"/>
      <c r="DN697" s="592"/>
      <c r="DO697" s="592"/>
      <c r="DP697" s="592"/>
      <c r="DQ697" s="592"/>
      <c r="DR697" s="592"/>
      <c r="DS697" s="592"/>
      <c r="DT697" s="592"/>
      <c r="DU697" s="592"/>
      <c r="DV697" s="592"/>
      <c r="DW697" s="592"/>
      <c r="DX697" s="592"/>
      <c r="DY697" s="592"/>
      <c r="DZ697" s="592"/>
      <c r="EA697" s="592"/>
      <c r="EB697" s="592"/>
      <c r="EC697" s="592"/>
      <c r="ED697" s="592"/>
      <c r="EE697" s="592"/>
      <c r="EF697" s="592"/>
      <c r="EG697" s="592"/>
      <c r="EH697" s="592"/>
      <c r="EI697" s="592"/>
    </row>
    <row r="698" spans="2:139" ht="12" hidden="1" customHeight="1" outlineLevel="1">
      <c r="B698" s="137" t="str">
        <f>IF(F698&gt;0,F698&amp;" - "&amp;"Rotina","")</f>
        <v/>
      </c>
      <c r="C698" s="65"/>
      <c r="D698" s="65"/>
      <c r="E698" s="65"/>
      <c r="F698" s="164"/>
      <c r="G698" s="165"/>
      <c r="H698" s="166">
        <f t="shared" ref="H698:H729" si="3012">IFERROR(SUM(K698:BR698)/COUNTIF(K698:BR698,"&gt;0"),0)</f>
        <v>0</v>
      </c>
      <c r="I698" s="144">
        <f t="shared" ref="I698:I729" si="3013">COUNTIF(K698:BR698,"&gt;0")</f>
        <v>0</v>
      </c>
      <c r="J698" s="65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  <c r="AB698" s="167"/>
      <c r="AC698" s="167"/>
      <c r="AD698" s="167"/>
      <c r="AE698" s="167"/>
      <c r="AF698" s="167"/>
      <c r="AG698" s="167"/>
      <c r="AH698" s="167"/>
      <c r="AI698" s="167"/>
      <c r="AJ698" s="167"/>
      <c r="AK698" s="167"/>
      <c r="AL698" s="167"/>
      <c r="AM698" s="167"/>
      <c r="AN698" s="167"/>
      <c r="AO698" s="167"/>
      <c r="AP698" s="167"/>
      <c r="AQ698" s="167"/>
      <c r="AR698" s="167"/>
      <c r="AS698" s="167"/>
      <c r="AT698" s="167"/>
      <c r="AU698" s="167"/>
      <c r="AV698" s="167"/>
      <c r="AW698" s="167"/>
      <c r="AX698" s="167"/>
      <c r="AY698" s="167"/>
      <c r="AZ698" s="167"/>
      <c r="BA698" s="167"/>
      <c r="BB698" s="167"/>
      <c r="BC698" s="167"/>
      <c r="BD698" s="167"/>
      <c r="BE698" s="167"/>
      <c r="BF698" s="167"/>
      <c r="BG698" s="167"/>
      <c r="BH698" s="167"/>
      <c r="BI698" s="167"/>
      <c r="BJ698" s="167"/>
      <c r="BK698" s="167"/>
      <c r="BL698" s="167"/>
      <c r="BM698" s="167"/>
      <c r="BN698" s="167"/>
      <c r="BO698" s="167"/>
      <c r="BP698" s="167"/>
      <c r="BQ698" s="167"/>
      <c r="BR698" s="167"/>
      <c r="BS698" s="65"/>
      <c r="BT698" s="160">
        <f t="shared" ref="BT698:BT729" si="3014">IFERROR(SUM(K698:BR698)/COUNTIF(K698:BR698,"&gt;0"),0)</f>
        <v>0</v>
      </c>
      <c r="BU698" s="160">
        <f t="shared" ref="BU698:BU729" si="3015">COUNTIF(K698:BR698,"&gt;0")</f>
        <v>0</v>
      </c>
      <c r="BV698" s="65"/>
      <c r="BW698" s="69"/>
      <c r="BX698" s="65"/>
      <c r="BY698" s="137">
        <f t="shared" ref="BY698:BY729" si="3016">IF(F698&gt;0,1,0)</f>
        <v>0</v>
      </c>
      <c r="BZ698" s="137">
        <f>IF(BY698&gt;0,BY698+LARGE($BZ$213:BZ697,1),0)</f>
        <v>0</v>
      </c>
      <c r="CA698" s="137">
        <f t="shared" ref="CA698:CA729" si="3017">F698</f>
        <v>0</v>
      </c>
      <c r="CB698" s="161">
        <f t="shared" ref="CB698:CB707" si="3018">K698</f>
        <v>0</v>
      </c>
      <c r="CC698" s="161">
        <f t="shared" ref="CC698:CC707" si="3019">L698</f>
        <v>0</v>
      </c>
      <c r="CD698" s="161">
        <f t="shared" ref="CD698:CD707" si="3020">M698</f>
        <v>0</v>
      </c>
      <c r="CE698" s="161">
        <f t="shared" ref="CE698:CE707" si="3021">N698</f>
        <v>0</v>
      </c>
      <c r="CF698" s="161">
        <f t="shared" ref="CF698:CF707" si="3022">O698</f>
        <v>0</v>
      </c>
      <c r="CG698" s="161">
        <f t="shared" ref="CG698:CG707" si="3023">P698</f>
        <v>0</v>
      </c>
      <c r="CH698" s="161">
        <f t="shared" ref="CH698:CH707" si="3024">Q698</f>
        <v>0</v>
      </c>
      <c r="CI698" s="161">
        <f t="shared" ref="CI698:CI707" si="3025">R698</f>
        <v>0</v>
      </c>
      <c r="CJ698" s="161">
        <f t="shared" ref="CJ698:CJ707" si="3026">S698</f>
        <v>0</v>
      </c>
      <c r="CK698" s="161">
        <f t="shared" ref="CK698:CK707" si="3027">T698</f>
        <v>0</v>
      </c>
      <c r="CL698" s="161">
        <f t="shared" ref="CL698:CL707" si="3028">U698</f>
        <v>0</v>
      </c>
      <c r="CM698" s="161">
        <f t="shared" ref="CM698:CM707" si="3029">V698</f>
        <v>0</v>
      </c>
      <c r="CN698" s="161">
        <f t="shared" ref="CN698:CN707" si="3030">W698</f>
        <v>0</v>
      </c>
      <c r="CO698" s="161">
        <f t="shared" ref="CO698:CO707" si="3031">X698</f>
        <v>0</v>
      </c>
      <c r="CP698" s="161">
        <f t="shared" ref="CP698:CP707" si="3032">Y698</f>
        <v>0</v>
      </c>
      <c r="CQ698" s="161">
        <f t="shared" ref="CQ698:CQ707" si="3033">Z698</f>
        <v>0</v>
      </c>
      <c r="CR698" s="161">
        <f t="shared" ref="CR698:CR707" si="3034">AA698</f>
        <v>0</v>
      </c>
      <c r="CS698" s="161">
        <f t="shared" ref="CS698:CS707" si="3035">AB698</f>
        <v>0</v>
      </c>
      <c r="CT698" s="161">
        <f t="shared" ref="CT698:CT707" si="3036">AC698</f>
        <v>0</v>
      </c>
      <c r="CU698" s="161">
        <f t="shared" ref="CU698:CU707" si="3037">AD698</f>
        <v>0</v>
      </c>
      <c r="CV698" s="161">
        <f t="shared" ref="CV698:CV707" si="3038">AE698</f>
        <v>0</v>
      </c>
      <c r="CW698" s="161">
        <f t="shared" ref="CW698:CW707" si="3039">AF698</f>
        <v>0</v>
      </c>
      <c r="CX698" s="161">
        <f t="shared" ref="CX698:CX707" si="3040">AG698</f>
        <v>0</v>
      </c>
      <c r="CY698" s="161">
        <f t="shared" ref="CY698:CY707" si="3041">AH698</f>
        <v>0</v>
      </c>
      <c r="CZ698" s="161">
        <f t="shared" ref="CZ698:CZ707" si="3042">AI698</f>
        <v>0</v>
      </c>
      <c r="DA698" s="161">
        <f t="shared" ref="DA698:DA707" si="3043">AJ698</f>
        <v>0</v>
      </c>
      <c r="DB698" s="161">
        <f t="shared" ref="DB698:DB707" si="3044">AK698</f>
        <v>0</v>
      </c>
      <c r="DC698" s="161">
        <f t="shared" ref="DC698:DC707" si="3045">AL698</f>
        <v>0</v>
      </c>
      <c r="DD698" s="161">
        <f t="shared" ref="DD698:DD707" si="3046">AM698</f>
        <v>0</v>
      </c>
      <c r="DE698" s="161">
        <f t="shared" ref="DE698:DE707" si="3047">AN698</f>
        <v>0</v>
      </c>
      <c r="DF698" s="161">
        <f t="shared" ref="DF698:DF707" si="3048">AO698</f>
        <v>0</v>
      </c>
      <c r="DG698" s="161">
        <f t="shared" ref="DG698:DG707" si="3049">AP698</f>
        <v>0</v>
      </c>
      <c r="DH698" s="161">
        <f t="shared" ref="DH698:DH707" si="3050">AQ698</f>
        <v>0</v>
      </c>
      <c r="DI698" s="161">
        <f t="shared" ref="DI698:DI707" si="3051">AR698</f>
        <v>0</v>
      </c>
      <c r="DJ698" s="161">
        <f t="shared" ref="DJ698:DJ707" si="3052">AS698</f>
        <v>0</v>
      </c>
      <c r="DK698" s="161">
        <f t="shared" ref="DK698:DK707" si="3053">AT698</f>
        <v>0</v>
      </c>
      <c r="DL698" s="161">
        <f t="shared" ref="DL698:DL707" si="3054">AU698</f>
        <v>0</v>
      </c>
      <c r="DM698" s="161">
        <f t="shared" ref="DM698:DM707" si="3055">AV698</f>
        <v>0</v>
      </c>
      <c r="DN698" s="161">
        <f t="shared" ref="DN698:DN707" si="3056">AW698</f>
        <v>0</v>
      </c>
      <c r="DO698" s="161">
        <f t="shared" ref="DO698:DO707" si="3057">AX698</f>
        <v>0</v>
      </c>
      <c r="DP698" s="161">
        <f t="shared" ref="DP698:DP707" si="3058">AY698</f>
        <v>0</v>
      </c>
      <c r="DQ698" s="161">
        <f t="shared" ref="DQ698:DQ707" si="3059">AZ698</f>
        <v>0</v>
      </c>
      <c r="DR698" s="161">
        <f t="shared" ref="DR698:DR707" si="3060">BA698</f>
        <v>0</v>
      </c>
      <c r="DS698" s="161">
        <f t="shared" ref="DS698:DS707" si="3061">BB698</f>
        <v>0</v>
      </c>
      <c r="DT698" s="161">
        <f t="shared" ref="DT698:DT707" si="3062">BC698</f>
        <v>0</v>
      </c>
      <c r="DU698" s="161">
        <f t="shared" ref="DU698:DU707" si="3063">BD698</f>
        <v>0</v>
      </c>
      <c r="DV698" s="161">
        <f t="shared" ref="DV698:DV707" si="3064">BE698</f>
        <v>0</v>
      </c>
      <c r="DW698" s="161">
        <f t="shared" ref="DW698:DW707" si="3065">BF698</f>
        <v>0</v>
      </c>
      <c r="DX698" s="161">
        <f t="shared" ref="DX698:DX707" si="3066">BG698</f>
        <v>0</v>
      </c>
      <c r="DY698" s="161">
        <f t="shared" ref="DY698:DY707" si="3067">BH698</f>
        <v>0</v>
      </c>
      <c r="DZ698" s="161">
        <f t="shared" ref="DZ698:DZ707" si="3068">BI698</f>
        <v>0</v>
      </c>
      <c r="EA698" s="161">
        <f t="shared" ref="EA698:EA707" si="3069">BJ698</f>
        <v>0</v>
      </c>
      <c r="EB698" s="161">
        <f t="shared" ref="EB698:EB707" si="3070">BK698</f>
        <v>0</v>
      </c>
      <c r="EC698" s="161">
        <f t="shared" ref="EC698:EC707" si="3071">BL698</f>
        <v>0</v>
      </c>
      <c r="ED698" s="161">
        <f t="shared" ref="ED698:ED707" si="3072">BM698</f>
        <v>0</v>
      </c>
      <c r="EE698" s="161">
        <f t="shared" ref="EE698:EE707" si="3073">BN698</f>
        <v>0</v>
      </c>
      <c r="EF698" s="161">
        <f t="shared" ref="EF698:EF707" si="3074">BO698</f>
        <v>0</v>
      </c>
      <c r="EG698" s="161">
        <f t="shared" ref="EG698:EG707" si="3075">BP698</f>
        <v>0</v>
      </c>
      <c r="EH698" s="161">
        <f t="shared" ref="EH698:EH707" si="3076">BQ698</f>
        <v>0</v>
      </c>
      <c r="EI698" s="161">
        <f t="shared" ref="EI698:EI707" si="3077">BR698</f>
        <v>0</v>
      </c>
    </row>
    <row r="699" spans="2:139" ht="12" hidden="1" customHeight="1" outlineLevel="1">
      <c r="B699" s="137" t="str">
        <f t="shared" ref="B699:B747" si="3078">IF(F699&gt;0,F699&amp;" - "&amp;"Rotina","")</f>
        <v/>
      </c>
      <c r="C699" s="65"/>
      <c r="D699" s="65"/>
      <c r="E699" s="65"/>
      <c r="F699" s="164"/>
      <c r="G699" s="165"/>
      <c r="H699" s="166">
        <f t="shared" si="3012"/>
        <v>0</v>
      </c>
      <c r="I699" s="144">
        <f t="shared" si="3013"/>
        <v>0</v>
      </c>
      <c r="J699" s="65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  <c r="AB699" s="167"/>
      <c r="AC699" s="167"/>
      <c r="AD699" s="167"/>
      <c r="AE699" s="167"/>
      <c r="AF699" s="167"/>
      <c r="AG699" s="167"/>
      <c r="AH699" s="167"/>
      <c r="AI699" s="167"/>
      <c r="AJ699" s="167"/>
      <c r="AK699" s="167"/>
      <c r="AL699" s="167"/>
      <c r="AM699" s="167"/>
      <c r="AN699" s="167"/>
      <c r="AO699" s="167"/>
      <c r="AP699" s="167"/>
      <c r="AQ699" s="167"/>
      <c r="AR699" s="167"/>
      <c r="AS699" s="167"/>
      <c r="AT699" s="167"/>
      <c r="AU699" s="167"/>
      <c r="AV699" s="167"/>
      <c r="AW699" s="167"/>
      <c r="AX699" s="167"/>
      <c r="AY699" s="167"/>
      <c r="AZ699" s="167"/>
      <c r="BA699" s="167"/>
      <c r="BB699" s="167"/>
      <c r="BC699" s="167"/>
      <c r="BD699" s="167"/>
      <c r="BE699" s="167"/>
      <c r="BF699" s="167"/>
      <c r="BG699" s="167"/>
      <c r="BH699" s="167"/>
      <c r="BI699" s="167"/>
      <c r="BJ699" s="167"/>
      <c r="BK699" s="167"/>
      <c r="BL699" s="167"/>
      <c r="BM699" s="167"/>
      <c r="BN699" s="167"/>
      <c r="BO699" s="167"/>
      <c r="BP699" s="167"/>
      <c r="BQ699" s="167"/>
      <c r="BR699" s="167"/>
      <c r="BS699" s="65"/>
      <c r="BT699" s="160">
        <f t="shared" si="3014"/>
        <v>0</v>
      </c>
      <c r="BU699" s="160">
        <f t="shared" si="3015"/>
        <v>0</v>
      </c>
      <c r="BV699" s="65"/>
      <c r="BW699" s="69"/>
      <c r="BX699" s="65"/>
      <c r="BY699" s="137">
        <f t="shared" si="3016"/>
        <v>0</v>
      </c>
      <c r="BZ699" s="137">
        <f>IF(BY699&gt;0,BY699+LARGE($BZ$213:BZ698,1),0)</f>
        <v>0</v>
      </c>
      <c r="CA699" s="137">
        <f t="shared" si="3017"/>
        <v>0</v>
      </c>
      <c r="CB699" s="161">
        <f t="shared" si="3018"/>
        <v>0</v>
      </c>
      <c r="CC699" s="161">
        <f t="shared" si="3019"/>
        <v>0</v>
      </c>
      <c r="CD699" s="161">
        <f t="shared" si="3020"/>
        <v>0</v>
      </c>
      <c r="CE699" s="161">
        <f t="shared" si="3021"/>
        <v>0</v>
      </c>
      <c r="CF699" s="161">
        <f t="shared" si="3022"/>
        <v>0</v>
      </c>
      <c r="CG699" s="161">
        <f t="shared" si="3023"/>
        <v>0</v>
      </c>
      <c r="CH699" s="161">
        <f t="shared" si="3024"/>
        <v>0</v>
      </c>
      <c r="CI699" s="161">
        <f t="shared" si="3025"/>
        <v>0</v>
      </c>
      <c r="CJ699" s="161">
        <f t="shared" si="3026"/>
        <v>0</v>
      </c>
      <c r="CK699" s="161">
        <f t="shared" si="3027"/>
        <v>0</v>
      </c>
      <c r="CL699" s="161">
        <f t="shared" si="3028"/>
        <v>0</v>
      </c>
      <c r="CM699" s="161">
        <f t="shared" si="3029"/>
        <v>0</v>
      </c>
      <c r="CN699" s="161">
        <f t="shared" si="3030"/>
        <v>0</v>
      </c>
      <c r="CO699" s="161">
        <f t="shared" si="3031"/>
        <v>0</v>
      </c>
      <c r="CP699" s="161">
        <f t="shared" si="3032"/>
        <v>0</v>
      </c>
      <c r="CQ699" s="161">
        <f t="shared" si="3033"/>
        <v>0</v>
      </c>
      <c r="CR699" s="161">
        <f t="shared" si="3034"/>
        <v>0</v>
      </c>
      <c r="CS699" s="161">
        <f t="shared" si="3035"/>
        <v>0</v>
      </c>
      <c r="CT699" s="161">
        <f t="shared" si="3036"/>
        <v>0</v>
      </c>
      <c r="CU699" s="161">
        <f t="shared" si="3037"/>
        <v>0</v>
      </c>
      <c r="CV699" s="161">
        <f t="shared" si="3038"/>
        <v>0</v>
      </c>
      <c r="CW699" s="161">
        <f t="shared" si="3039"/>
        <v>0</v>
      </c>
      <c r="CX699" s="161">
        <f t="shared" si="3040"/>
        <v>0</v>
      </c>
      <c r="CY699" s="161">
        <f t="shared" si="3041"/>
        <v>0</v>
      </c>
      <c r="CZ699" s="161">
        <f t="shared" si="3042"/>
        <v>0</v>
      </c>
      <c r="DA699" s="161">
        <f t="shared" si="3043"/>
        <v>0</v>
      </c>
      <c r="DB699" s="161">
        <f t="shared" si="3044"/>
        <v>0</v>
      </c>
      <c r="DC699" s="161">
        <f t="shared" si="3045"/>
        <v>0</v>
      </c>
      <c r="DD699" s="161">
        <f t="shared" si="3046"/>
        <v>0</v>
      </c>
      <c r="DE699" s="161">
        <f t="shared" si="3047"/>
        <v>0</v>
      </c>
      <c r="DF699" s="161">
        <f t="shared" si="3048"/>
        <v>0</v>
      </c>
      <c r="DG699" s="161">
        <f t="shared" si="3049"/>
        <v>0</v>
      </c>
      <c r="DH699" s="161">
        <f t="shared" si="3050"/>
        <v>0</v>
      </c>
      <c r="DI699" s="161">
        <f t="shared" si="3051"/>
        <v>0</v>
      </c>
      <c r="DJ699" s="161">
        <f t="shared" si="3052"/>
        <v>0</v>
      </c>
      <c r="DK699" s="161">
        <f t="shared" si="3053"/>
        <v>0</v>
      </c>
      <c r="DL699" s="161">
        <f t="shared" si="3054"/>
        <v>0</v>
      </c>
      <c r="DM699" s="161">
        <f t="shared" si="3055"/>
        <v>0</v>
      </c>
      <c r="DN699" s="161">
        <f t="shared" si="3056"/>
        <v>0</v>
      </c>
      <c r="DO699" s="161">
        <f t="shared" si="3057"/>
        <v>0</v>
      </c>
      <c r="DP699" s="161">
        <f t="shared" si="3058"/>
        <v>0</v>
      </c>
      <c r="DQ699" s="161">
        <f t="shared" si="3059"/>
        <v>0</v>
      </c>
      <c r="DR699" s="161">
        <f t="shared" si="3060"/>
        <v>0</v>
      </c>
      <c r="DS699" s="161">
        <f t="shared" si="3061"/>
        <v>0</v>
      </c>
      <c r="DT699" s="161">
        <f t="shared" si="3062"/>
        <v>0</v>
      </c>
      <c r="DU699" s="161">
        <f t="shared" si="3063"/>
        <v>0</v>
      </c>
      <c r="DV699" s="161">
        <f t="shared" si="3064"/>
        <v>0</v>
      </c>
      <c r="DW699" s="161">
        <f t="shared" si="3065"/>
        <v>0</v>
      </c>
      <c r="DX699" s="161">
        <f t="shared" si="3066"/>
        <v>0</v>
      </c>
      <c r="DY699" s="161">
        <f t="shared" si="3067"/>
        <v>0</v>
      </c>
      <c r="DZ699" s="161">
        <f t="shared" si="3068"/>
        <v>0</v>
      </c>
      <c r="EA699" s="161">
        <f t="shared" si="3069"/>
        <v>0</v>
      </c>
      <c r="EB699" s="161">
        <f t="shared" si="3070"/>
        <v>0</v>
      </c>
      <c r="EC699" s="161">
        <f t="shared" si="3071"/>
        <v>0</v>
      </c>
      <c r="ED699" s="161">
        <f t="shared" si="3072"/>
        <v>0</v>
      </c>
      <c r="EE699" s="161">
        <f t="shared" si="3073"/>
        <v>0</v>
      </c>
      <c r="EF699" s="161">
        <f t="shared" si="3074"/>
        <v>0</v>
      </c>
      <c r="EG699" s="161">
        <f t="shared" si="3075"/>
        <v>0</v>
      </c>
      <c r="EH699" s="161">
        <f t="shared" si="3076"/>
        <v>0</v>
      </c>
      <c r="EI699" s="161">
        <f t="shared" si="3077"/>
        <v>0</v>
      </c>
    </row>
    <row r="700" spans="2:139" ht="12" hidden="1" customHeight="1" outlineLevel="1">
      <c r="B700" s="137" t="str">
        <f t="shared" si="3078"/>
        <v/>
      </c>
      <c r="C700" s="65"/>
      <c r="D700" s="65"/>
      <c r="E700" s="65"/>
      <c r="F700" s="164"/>
      <c r="G700" s="165"/>
      <c r="H700" s="166">
        <f t="shared" si="3012"/>
        <v>0</v>
      </c>
      <c r="I700" s="144">
        <f t="shared" si="3013"/>
        <v>0</v>
      </c>
      <c r="J700" s="65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  <c r="AB700" s="167"/>
      <c r="AC700" s="167"/>
      <c r="AD700" s="167"/>
      <c r="AE700" s="167"/>
      <c r="AF700" s="167"/>
      <c r="AG700" s="167"/>
      <c r="AH700" s="167"/>
      <c r="AI700" s="167"/>
      <c r="AJ700" s="167"/>
      <c r="AK700" s="167"/>
      <c r="AL700" s="167"/>
      <c r="AM700" s="167"/>
      <c r="AN700" s="167"/>
      <c r="AO700" s="167"/>
      <c r="AP700" s="167"/>
      <c r="AQ700" s="167"/>
      <c r="AR700" s="167"/>
      <c r="AS700" s="167"/>
      <c r="AT700" s="167"/>
      <c r="AU700" s="167"/>
      <c r="AV700" s="167"/>
      <c r="AW700" s="167"/>
      <c r="AX700" s="167"/>
      <c r="AY700" s="167"/>
      <c r="AZ700" s="167"/>
      <c r="BA700" s="167"/>
      <c r="BB700" s="167"/>
      <c r="BC700" s="167"/>
      <c r="BD700" s="167"/>
      <c r="BE700" s="167"/>
      <c r="BF700" s="167"/>
      <c r="BG700" s="167"/>
      <c r="BH700" s="167"/>
      <c r="BI700" s="167"/>
      <c r="BJ700" s="167"/>
      <c r="BK700" s="167"/>
      <c r="BL700" s="167"/>
      <c r="BM700" s="167"/>
      <c r="BN700" s="167"/>
      <c r="BO700" s="167"/>
      <c r="BP700" s="167"/>
      <c r="BQ700" s="167"/>
      <c r="BR700" s="167"/>
      <c r="BS700" s="65"/>
      <c r="BT700" s="160">
        <f t="shared" si="3014"/>
        <v>0</v>
      </c>
      <c r="BU700" s="160">
        <f t="shared" si="3015"/>
        <v>0</v>
      </c>
      <c r="BV700" s="65"/>
      <c r="BW700" s="69"/>
      <c r="BX700" s="65"/>
      <c r="BY700" s="137">
        <f t="shared" si="3016"/>
        <v>0</v>
      </c>
      <c r="BZ700" s="137">
        <f>IF(BY700&gt;0,BY700+LARGE($BZ$213:BZ699,1),0)</f>
        <v>0</v>
      </c>
      <c r="CA700" s="137">
        <f t="shared" si="3017"/>
        <v>0</v>
      </c>
      <c r="CB700" s="161">
        <f t="shared" si="3018"/>
        <v>0</v>
      </c>
      <c r="CC700" s="161">
        <f t="shared" si="3019"/>
        <v>0</v>
      </c>
      <c r="CD700" s="161">
        <f t="shared" si="3020"/>
        <v>0</v>
      </c>
      <c r="CE700" s="161">
        <f t="shared" si="3021"/>
        <v>0</v>
      </c>
      <c r="CF700" s="161">
        <f t="shared" si="3022"/>
        <v>0</v>
      </c>
      <c r="CG700" s="161">
        <f t="shared" si="3023"/>
        <v>0</v>
      </c>
      <c r="CH700" s="161">
        <f t="shared" si="3024"/>
        <v>0</v>
      </c>
      <c r="CI700" s="161">
        <f t="shared" si="3025"/>
        <v>0</v>
      </c>
      <c r="CJ700" s="161">
        <f t="shared" si="3026"/>
        <v>0</v>
      </c>
      <c r="CK700" s="161">
        <f t="shared" si="3027"/>
        <v>0</v>
      </c>
      <c r="CL700" s="161">
        <f t="shared" si="3028"/>
        <v>0</v>
      </c>
      <c r="CM700" s="161">
        <f t="shared" si="3029"/>
        <v>0</v>
      </c>
      <c r="CN700" s="161">
        <f t="shared" si="3030"/>
        <v>0</v>
      </c>
      <c r="CO700" s="161">
        <f t="shared" si="3031"/>
        <v>0</v>
      </c>
      <c r="CP700" s="161">
        <f t="shared" si="3032"/>
        <v>0</v>
      </c>
      <c r="CQ700" s="161">
        <f t="shared" si="3033"/>
        <v>0</v>
      </c>
      <c r="CR700" s="161">
        <f t="shared" si="3034"/>
        <v>0</v>
      </c>
      <c r="CS700" s="161">
        <f t="shared" si="3035"/>
        <v>0</v>
      </c>
      <c r="CT700" s="161">
        <f t="shared" si="3036"/>
        <v>0</v>
      </c>
      <c r="CU700" s="161">
        <f t="shared" si="3037"/>
        <v>0</v>
      </c>
      <c r="CV700" s="161">
        <f t="shared" si="3038"/>
        <v>0</v>
      </c>
      <c r="CW700" s="161">
        <f t="shared" si="3039"/>
        <v>0</v>
      </c>
      <c r="CX700" s="161">
        <f t="shared" si="3040"/>
        <v>0</v>
      </c>
      <c r="CY700" s="161">
        <f t="shared" si="3041"/>
        <v>0</v>
      </c>
      <c r="CZ700" s="161">
        <f t="shared" si="3042"/>
        <v>0</v>
      </c>
      <c r="DA700" s="161">
        <f t="shared" si="3043"/>
        <v>0</v>
      </c>
      <c r="DB700" s="161">
        <f t="shared" si="3044"/>
        <v>0</v>
      </c>
      <c r="DC700" s="161">
        <f t="shared" si="3045"/>
        <v>0</v>
      </c>
      <c r="DD700" s="161">
        <f t="shared" si="3046"/>
        <v>0</v>
      </c>
      <c r="DE700" s="161">
        <f t="shared" si="3047"/>
        <v>0</v>
      </c>
      <c r="DF700" s="161">
        <f t="shared" si="3048"/>
        <v>0</v>
      </c>
      <c r="DG700" s="161">
        <f t="shared" si="3049"/>
        <v>0</v>
      </c>
      <c r="DH700" s="161">
        <f t="shared" si="3050"/>
        <v>0</v>
      </c>
      <c r="DI700" s="161">
        <f t="shared" si="3051"/>
        <v>0</v>
      </c>
      <c r="DJ700" s="161">
        <f t="shared" si="3052"/>
        <v>0</v>
      </c>
      <c r="DK700" s="161">
        <f t="shared" si="3053"/>
        <v>0</v>
      </c>
      <c r="DL700" s="161">
        <f t="shared" si="3054"/>
        <v>0</v>
      </c>
      <c r="DM700" s="161">
        <f t="shared" si="3055"/>
        <v>0</v>
      </c>
      <c r="DN700" s="161">
        <f t="shared" si="3056"/>
        <v>0</v>
      </c>
      <c r="DO700" s="161">
        <f t="shared" si="3057"/>
        <v>0</v>
      </c>
      <c r="DP700" s="161">
        <f t="shared" si="3058"/>
        <v>0</v>
      </c>
      <c r="DQ700" s="161">
        <f t="shared" si="3059"/>
        <v>0</v>
      </c>
      <c r="DR700" s="161">
        <f t="shared" si="3060"/>
        <v>0</v>
      </c>
      <c r="DS700" s="161">
        <f t="shared" si="3061"/>
        <v>0</v>
      </c>
      <c r="DT700" s="161">
        <f t="shared" si="3062"/>
        <v>0</v>
      </c>
      <c r="DU700" s="161">
        <f t="shared" si="3063"/>
        <v>0</v>
      </c>
      <c r="DV700" s="161">
        <f t="shared" si="3064"/>
        <v>0</v>
      </c>
      <c r="DW700" s="161">
        <f t="shared" si="3065"/>
        <v>0</v>
      </c>
      <c r="DX700" s="161">
        <f t="shared" si="3066"/>
        <v>0</v>
      </c>
      <c r="DY700" s="161">
        <f t="shared" si="3067"/>
        <v>0</v>
      </c>
      <c r="DZ700" s="161">
        <f t="shared" si="3068"/>
        <v>0</v>
      </c>
      <c r="EA700" s="161">
        <f t="shared" si="3069"/>
        <v>0</v>
      </c>
      <c r="EB700" s="161">
        <f t="shared" si="3070"/>
        <v>0</v>
      </c>
      <c r="EC700" s="161">
        <f t="shared" si="3071"/>
        <v>0</v>
      </c>
      <c r="ED700" s="161">
        <f t="shared" si="3072"/>
        <v>0</v>
      </c>
      <c r="EE700" s="161">
        <f t="shared" si="3073"/>
        <v>0</v>
      </c>
      <c r="EF700" s="161">
        <f t="shared" si="3074"/>
        <v>0</v>
      </c>
      <c r="EG700" s="161">
        <f t="shared" si="3075"/>
        <v>0</v>
      </c>
      <c r="EH700" s="161">
        <f t="shared" si="3076"/>
        <v>0</v>
      </c>
      <c r="EI700" s="161">
        <f t="shared" si="3077"/>
        <v>0</v>
      </c>
    </row>
    <row r="701" spans="2:139" ht="12" hidden="1" customHeight="1" outlineLevel="1">
      <c r="B701" s="137" t="str">
        <f t="shared" si="3078"/>
        <v/>
      </c>
      <c r="C701" s="65"/>
      <c r="D701" s="65"/>
      <c r="E701" s="65"/>
      <c r="F701" s="164"/>
      <c r="G701" s="165"/>
      <c r="H701" s="166">
        <f t="shared" si="3012"/>
        <v>0</v>
      </c>
      <c r="I701" s="144">
        <f t="shared" si="3013"/>
        <v>0</v>
      </c>
      <c r="J701" s="65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  <c r="AB701" s="167"/>
      <c r="AC701" s="167"/>
      <c r="AD701" s="167"/>
      <c r="AE701" s="167"/>
      <c r="AF701" s="167"/>
      <c r="AG701" s="167"/>
      <c r="AH701" s="167"/>
      <c r="AI701" s="167"/>
      <c r="AJ701" s="167"/>
      <c r="AK701" s="167"/>
      <c r="AL701" s="167"/>
      <c r="AM701" s="167"/>
      <c r="AN701" s="167"/>
      <c r="AO701" s="167"/>
      <c r="AP701" s="167"/>
      <c r="AQ701" s="167"/>
      <c r="AR701" s="167"/>
      <c r="AS701" s="167"/>
      <c r="AT701" s="167"/>
      <c r="AU701" s="167"/>
      <c r="AV701" s="167"/>
      <c r="AW701" s="167"/>
      <c r="AX701" s="167"/>
      <c r="AY701" s="167"/>
      <c r="AZ701" s="167"/>
      <c r="BA701" s="167"/>
      <c r="BB701" s="167"/>
      <c r="BC701" s="167"/>
      <c r="BD701" s="167"/>
      <c r="BE701" s="167"/>
      <c r="BF701" s="167"/>
      <c r="BG701" s="167"/>
      <c r="BH701" s="167"/>
      <c r="BI701" s="167"/>
      <c r="BJ701" s="167"/>
      <c r="BK701" s="167"/>
      <c r="BL701" s="167"/>
      <c r="BM701" s="167"/>
      <c r="BN701" s="167"/>
      <c r="BO701" s="167"/>
      <c r="BP701" s="167"/>
      <c r="BQ701" s="167"/>
      <c r="BR701" s="167"/>
      <c r="BS701" s="65"/>
      <c r="BT701" s="160">
        <f t="shared" si="3014"/>
        <v>0</v>
      </c>
      <c r="BU701" s="160">
        <f t="shared" si="3015"/>
        <v>0</v>
      </c>
      <c r="BV701" s="65"/>
      <c r="BW701" s="69"/>
      <c r="BX701" s="65"/>
      <c r="BY701" s="137">
        <f t="shared" si="3016"/>
        <v>0</v>
      </c>
      <c r="BZ701" s="137">
        <f>IF(BY701&gt;0,BY701+LARGE($BZ$213:BZ700,1),0)</f>
        <v>0</v>
      </c>
      <c r="CA701" s="137">
        <f t="shared" si="3017"/>
        <v>0</v>
      </c>
      <c r="CB701" s="161">
        <f t="shared" si="3018"/>
        <v>0</v>
      </c>
      <c r="CC701" s="161">
        <f t="shared" si="3019"/>
        <v>0</v>
      </c>
      <c r="CD701" s="161">
        <f t="shared" si="3020"/>
        <v>0</v>
      </c>
      <c r="CE701" s="161">
        <f t="shared" si="3021"/>
        <v>0</v>
      </c>
      <c r="CF701" s="161">
        <f t="shared" si="3022"/>
        <v>0</v>
      </c>
      <c r="CG701" s="161">
        <f t="shared" si="3023"/>
        <v>0</v>
      </c>
      <c r="CH701" s="161">
        <f t="shared" si="3024"/>
        <v>0</v>
      </c>
      <c r="CI701" s="161">
        <f t="shared" si="3025"/>
        <v>0</v>
      </c>
      <c r="CJ701" s="161">
        <f t="shared" si="3026"/>
        <v>0</v>
      </c>
      <c r="CK701" s="161">
        <f t="shared" si="3027"/>
        <v>0</v>
      </c>
      <c r="CL701" s="161">
        <f t="shared" si="3028"/>
        <v>0</v>
      </c>
      <c r="CM701" s="161">
        <f t="shared" si="3029"/>
        <v>0</v>
      </c>
      <c r="CN701" s="161">
        <f t="shared" si="3030"/>
        <v>0</v>
      </c>
      <c r="CO701" s="161">
        <f t="shared" si="3031"/>
        <v>0</v>
      </c>
      <c r="CP701" s="161">
        <f t="shared" si="3032"/>
        <v>0</v>
      </c>
      <c r="CQ701" s="161">
        <f t="shared" si="3033"/>
        <v>0</v>
      </c>
      <c r="CR701" s="161">
        <f t="shared" si="3034"/>
        <v>0</v>
      </c>
      <c r="CS701" s="161">
        <f t="shared" si="3035"/>
        <v>0</v>
      </c>
      <c r="CT701" s="161">
        <f t="shared" si="3036"/>
        <v>0</v>
      </c>
      <c r="CU701" s="161">
        <f t="shared" si="3037"/>
        <v>0</v>
      </c>
      <c r="CV701" s="161">
        <f t="shared" si="3038"/>
        <v>0</v>
      </c>
      <c r="CW701" s="161">
        <f t="shared" si="3039"/>
        <v>0</v>
      </c>
      <c r="CX701" s="161">
        <f t="shared" si="3040"/>
        <v>0</v>
      </c>
      <c r="CY701" s="161">
        <f t="shared" si="3041"/>
        <v>0</v>
      </c>
      <c r="CZ701" s="161">
        <f t="shared" si="3042"/>
        <v>0</v>
      </c>
      <c r="DA701" s="161">
        <f t="shared" si="3043"/>
        <v>0</v>
      </c>
      <c r="DB701" s="161">
        <f t="shared" si="3044"/>
        <v>0</v>
      </c>
      <c r="DC701" s="161">
        <f t="shared" si="3045"/>
        <v>0</v>
      </c>
      <c r="DD701" s="161">
        <f t="shared" si="3046"/>
        <v>0</v>
      </c>
      <c r="DE701" s="161">
        <f t="shared" si="3047"/>
        <v>0</v>
      </c>
      <c r="DF701" s="161">
        <f t="shared" si="3048"/>
        <v>0</v>
      </c>
      <c r="DG701" s="161">
        <f t="shared" si="3049"/>
        <v>0</v>
      </c>
      <c r="DH701" s="161">
        <f t="shared" si="3050"/>
        <v>0</v>
      </c>
      <c r="DI701" s="161">
        <f t="shared" si="3051"/>
        <v>0</v>
      </c>
      <c r="DJ701" s="161">
        <f t="shared" si="3052"/>
        <v>0</v>
      </c>
      <c r="DK701" s="161">
        <f t="shared" si="3053"/>
        <v>0</v>
      </c>
      <c r="DL701" s="161">
        <f t="shared" si="3054"/>
        <v>0</v>
      </c>
      <c r="DM701" s="161">
        <f t="shared" si="3055"/>
        <v>0</v>
      </c>
      <c r="DN701" s="161">
        <f t="shared" si="3056"/>
        <v>0</v>
      </c>
      <c r="DO701" s="161">
        <f t="shared" si="3057"/>
        <v>0</v>
      </c>
      <c r="DP701" s="161">
        <f t="shared" si="3058"/>
        <v>0</v>
      </c>
      <c r="DQ701" s="161">
        <f t="shared" si="3059"/>
        <v>0</v>
      </c>
      <c r="DR701" s="161">
        <f t="shared" si="3060"/>
        <v>0</v>
      </c>
      <c r="DS701" s="161">
        <f t="shared" si="3061"/>
        <v>0</v>
      </c>
      <c r="DT701" s="161">
        <f t="shared" si="3062"/>
        <v>0</v>
      </c>
      <c r="DU701" s="161">
        <f t="shared" si="3063"/>
        <v>0</v>
      </c>
      <c r="DV701" s="161">
        <f t="shared" si="3064"/>
        <v>0</v>
      </c>
      <c r="DW701" s="161">
        <f t="shared" si="3065"/>
        <v>0</v>
      </c>
      <c r="DX701" s="161">
        <f t="shared" si="3066"/>
        <v>0</v>
      </c>
      <c r="DY701" s="161">
        <f t="shared" si="3067"/>
        <v>0</v>
      </c>
      <c r="DZ701" s="161">
        <f t="shared" si="3068"/>
        <v>0</v>
      </c>
      <c r="EA701" s="161">
        <f t="shared" si="3069"/>
        <v>0</v>
      </c>
      <c r="EB701" s="161">
        <f t="shared" si="3070"/>
        <v>0</v>
      </c>
      <c r="EC701" s="161">
        <f t="shared" si="3071"/>
        <v>0</v>
      </c>
      <c r="ED701" s="161">
        <f t="shared" si="3072"/>
        <v>0</v>
      </c>
      <c r="EE701" s="161">
        <f t="shared" si="3073"/>
        <v>0</v>
      </c>
      <c r="EF701" s="161">
        <f t="shared" si="3074"/>
        <v>0</v>
      </c>
      <c r="EG701" s="161">
        <f t="shared" si="3075"/>
        <v>0</v>
      </c>
      <c r="EH701" s="161">
        <f t="shared" si="3076"/>
        <v>0</v>
      </c>
      <c r="EI701" s="161">
        <f t="shared" si="3077"/>
        <v>0</v>
      </c>
    </row>
    <row r="702" spans="2:139" ht="12" hidden="1" customHeight="1" outlineLevel="1">
      <c r="B702" s="137" t="str">
        <f t="shared" si="3078"/>
        <v/>
      </c>
      <c r="C702" s="65"/>
      <c r="D702" s="65"/>
      <c r="E702" s="65"/>
      <c r="F702" s="164"/>
      <c r="G702" s="165"/>
      <c r="H702" s="166">
        <f t="shared" si="3012"/>
        <v>0</v>
      </c>
      <c r="I702" s="144">
        <f t="shared" si="3013"/>
        <v>0</v>
      </c>
      <c r="J702" s="65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  <c r="AB702" s="167"/>
      <c r="AC702" s="167"/>
      <c r="AD702" s="167"/>
      <c r="AE702" s="167"/>
      <c r="AF702" s="167"/>
      <c r="AG702" s="167"/>
      <c r="AH702" s="167"/>
      <c r="AI702" s="167"/>
      <c r="AJ702" s="167"/>
      <c r="AK702" s="167"/>
      <c r="AL702" s="167"/>
      <c r="AM702" s="167"/>
      <c r="AN702" s="167"/>
      <c r="AO702" s="167"/>
      <c r="AP702" s="167"/>
      <c r="AQ702" s="167"/>
      <c r="AR702" s="167"/>
      <c r="AS702" s="167"/>
      <c r="AT702" s="167"/>
      <c r="AU702" s="167"/>
      <c r="AV702" s="167"/>
      <c r="AW702" s="167"/>
      <c r="AX702" s="167"/>
      <c r="AY702" s="167"/>
      <c r="AZ702" s="167"/>
      <c r="BA702" s="167"/>
      <c r="BB702" s="167"/>
      <c r="BC702" s="167"/>
      <c r="BD702" s="167"/>
      <c r="BE702" s="167"/>
      <c r="BF702" s="167"/>
      <c r="BG702" s="167"/>
      <c r="BH702" s="167"/>
      <c r="BI702" s="167"/>
      <c r="BJ702" s="167"/>
      <c r="BK702" s="167"/>
      <c r="BL702" s="167"/>
      <c r="BM702" s="167"/>
      <c r="BN702" s="167"/>
      <c r="BO702" s="167"/>
      <c r="BP702" s="167"/>
      <c r="BQ702" s="167"/>
      <c r="BR702" s="167"/>
      <c r="BS702" s="65"/>
      <c r="BT702" s="160">
        <f t="shared" si="3014"/>
        <v>0</v>
      </c>
      <c r="BU702" s="160">
        <f t="shared" si="3015"/>
        <v>0</v>
      </c>
      <c r="BV702" s="65"/>
      <c r="BW702" s="69"/>
      <c r="BX702" s="65"/>
      <c r="BY702" s="137">
        <f t="shared" si="3016"/>
        <v>0</v>
      </c>
      <c r="BZ702" s="137">
        <f>IF(BY702&gt;0,BY702+LARGE($BZ$213:BZ701,1),0)</f>
        <v>0</v>
      </c>
      <c r="CA702" s="137">
        <f t="shared" si="3017"/>
        <v>0</v>
      </c>
      <c r="CB702" s="161">
        <f t="shared" si="3018"/>
        <v>0</v>
      </c>
      <c r="CC702" s="161">
        <f t="shared" si="3019"/>
        <v>0</v>
      </c>
      <c r="CD702" s="161">
        <f t="shared" si="3020"/>
        <v>0</v>
      </c>
      <c r="CE702" s="161">
        <f t="shared" si="3021"/>
        <v>0</v>
      </c>
      <c r="CF702" s="161">
        <f t="shared" si="3022"/>
        <v>0</v>
      </c>
      <c r="CG702" s="161">
        <f t="shared" si="3023"/>
        <v>0</v>
      </c>
      <c r="CH702" s="161">
        <f t="shared" si="3024"/>
        <v>0</v>
      </c>
      <c r="CI702" s="161">
        <f t="shared" si="3025"/>
        <v>0</v>
      </c>
      <c r="CJ702" s="161">
        <f t="shared" si="3026"/>
        <v>0</v>
      </c>
      <c r="CK702" s="161">
        <f t="shared" si="3027"/>
        <v>0</v>
      </c>
      <c r="CL702" s="161">
        <f t="shared" si="3028"/>
        <v>0</v>
      </c>
      <c r="CM702" s="161">
        <f t="shared" si="3029"/>
        <v>0</v>
      </c>
      <c r="CN702" s="161">
        <f t="shared" si="3030"/>
        <v>0</v>
      </c>
      <c r="CO702" s="161">
        <f t="shared" si="3031"/>
        <v>0</v>
      </c>
      <c r="CP702" s="161">
        <f t="shared" si="3032"/>
        <v>0</v>
      </c>
      <c r="CQ702" s="161">
        <f t="shared" si="3033"/>
        <v>0</v>
      </c>
      <c r="CR702" s="161">
        <f t="shared" si="3034"/>
        <v>0</v>
      </c>
      <c r="CS702" s="161">
        <f t="shared" si="3035"/>
        <v>0</v>
      </c>
      <c r="CT702" s="161">
        <f t="shared" si="3036"/>
        <v>0</v>
      </c>
      <c r="CU702" s="161">
        <f t="shared" si="3037"/>
        <v>0</v>
      </c>
      <c r="CV702" s="161">
        <f t="shared" si="3038"/>
        <v>0</v>
      </c>
      <c r="CW702" s="161">
        <f t="shared" si="3039"/>
        <v>0</v>
      </c>
      <c r="CX702" s="161">
        <f t="shared" si="3040"/>
        <v>0</v>
      </c>
      <c r="CY702" s="161">
        <f t="shared" si="3041"/>
        <v>0</v>
      </c>
      <c r="CZ702" s="161">
        <f t="shared" si="3042"/>
        <v>0</v>
      </c>
      <c r="DA702" s="161">
        <f t="shared" si="3043"/>
        <v>0</v>
      </c>
      <c r="DB702" s="161">
        <f t="shared" si="3044"/>
        <v>0</v>
      </c>
      <c r="DC702" s="161">
        <f t="shared" si="3045"/>
        <v>0</v>
      </c>
      <c r="DD702" s="161">
        <f t="shared" si="3046"/>
        <v>0</v>
      </c>
      <c r="DE702" s="161">
        <f t="shared" si="3047"/>
        <v>0</v>
      </c>
      <c r="DF702" s="161">
        <f t="shared" si="3048"/>
        <v>0</v>
      </c>
      <c r="DG702" s="161">
        <f t="shared" si="3049"/>
        <v>0</v>
      </c>
      <c r="DH702" s="161">
        <f t="shared" si="3050"/>
        <v>0</v>
      </c>
      <c r="DI702" s="161">
        <f t="shared" si="3051"/>
        <v>0</v>
      </c>
      <c r="DJ702" s="161">
        <f t="shared" si="3052"/>
        <v>0</v>
      </c>
      <c r="DK702" s="161">
        <f t="shared" si="3053"/>
        <v>0</v>
      </c>
      <c r="DL702" s="161">
        <f t="shared" si="3054"/>
        <v>0</v>
      </c>
      <c r="DM702" s="161">
        <f t="shared" si="3055"/>
        <v>0</v>
      </c>
      <c r="DN702" s="161">
        <f t="shared" si="3056"/>
        <v>0</v>
      </c>
      <c r="DO702" s="161">
        <f t="shared" si="3057"/>
        <v>0</v>
      </c>
      <c r="DP702" s="161">
        <f t="shared" si="3058"/>
        <v>0</v>
      </c>
      <c r="DQ702" s="161">
        <f t="shared" si="3059"/>
        <v>0</v>
      </c>
      <c r="DR702" s="161">
        <f t="shared" si="3060"/>
        <v>0</v>
      </c>
      <c r="DS702" s="161">
        <f t="shared" si="3061"/>
        <v>0</v>
      </c>
      <c r="DT702" s="161">
        <f t="shared" si="3062"/>
        <v>0</v>
      </c>
      <c r="DU702" s="161">
        <f t="shared" si="3063"/>
        <v>0</v>
      </c>
      <c r="DV702" s="161">
        <f t="shared" si="3064"/>
        <v>0</v>
      </c>
      <c r="DW702" s="161">
        <f t="shared" si="3065"/>
        <v>0</v>
      </c>
      <c r="DX702" s="161">
        <f t="shared" si="3066"/>
        <v>0</v>
      </c>
      <c r="DY702" s="161">
        <f t="shared" si="3067"/>
        <v>0</v>
      </c>
      <c r="DZ702" s="161">
        <f t="shared" si="3068"/>
        <v>0</v>
      </c>
      <c r="EA702" s="161">
        <f t="shared" si="3069"/>
        <v>0</v>
      </c>
      <c r="EB702" s="161">
        <f t="shared" si="3070"/>
        <v>0</v>
      </c>
      <c r="EC702" s="161">
        <f t="shared" si="3071"/>
        <v>0</v>
      </c>
      <c r="ED702" s="161">
        <f t="shared" si="3072"/>
        <v>0</v>
      </c>
      <c r="EE702" s="161">
        <f t="shared" si="3073"/>
        <v>0</v>
      </c>
      <c r="EF702" s="161">
        <f t="shared" si="3074"/>
        <v>0</v>
      </c>
      <c r="EG702" s="161">
        <f t="shared" si="3075"/>
        <v>0</v>
      </c>
      <c r="EH702" s="161">
        <f t="shared" si="3076"/>
        <v>0</v>
      </c>
      <c r="EI702" s="161">
        <f t="shared" si="3077"/>
        <v>0</v>
      </c>
    </row>
    <row r="703" spans="2:139" ht="12" hidden="1" customHeight="1" outlineLevel="1">
      <c r="B703" s="137" t="str">
        <f t="shared" si="3078"/>
        <v/>
      </c>
      <c r="C703" s="65"/>
      <c r="D703" s="65"/>
      <c r="E703" s="65"/>
      <c r="F703" s="164"/>
      <c r="G703" s="165"/>
      <c r="H703" s="166">
        <f t="shared" si="3012"/>
        <v>0</v>
      </c>
      <c r="I703" s="144">
        <f t="shared" si="3013"/>
        <v>0</v>
      </c>
      <c r="J703" s="65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  <c r="AB703" s="167"/>
      <c r="AC703" s="167"/>
      <c r="AD703" s="167"/>
      <c r="AE703" s="167"/>
      <c r="AF703" s="167"/>
      <c r="AG703" s="167"/>
      <c r="AH703" s="167"/>
      <c r="AI703" s="167"/>
      <c r="AJ703" s="167"/>
      <c r="AK703" s="167"/>
      <c r="AL703" s="167"/>
      <c r="AM703" s="167"/>
      <c r="AN703" s="167"/>
      <c r="AO703" s="167"/>
      <c r="AP703" s="167"/>
      <c r="AQ703" s="167"/>
      <c r="AR703" s="167"/>
      <c r="AS703" s="167"/>
      <c r="AT703" s="167"/>
      <c r="AU703" s="167"/>
      <c r="AV703" s="167"/>
      <c r="AW703" s="167"/>
      <c r="AX703" s="167"/>
      <c r="AY703" s="167"/>
      <c r="AZ703" s="167"/>
      <c r="BA703" s="167"/>
      <c r="BB703" s="167"/>
      <c r="BC703" s="167"/>
      <c r="BD703" s="167"/>
      <c r="BE703" s="167"/>
      <c r="BF703" s="167"/>
      <c r="BG703" s="167"/>
      <c r="BH703" s="167"/>
      <c r="BI703" s="167"/>
      <c r="BJ703" s="167"/>
      <c r="BK703" s="167"/>
      <c r="BL703" s="167"/>
      <c r="BM703" s="167"/>
      <c r="BN703" s="167"/>
      <c r="BO703" s="167"/>
      <c r="BP703" s="167"/>
      <c r="BQ703" s="167"/>
      <c r="BR703" s="167"/>
      <c r="BS703" s="65"/>
      <c r="BT703" s="160">
        <f t="shared" si="3014"/>
        <v>0</v>
      </c>
      <c r="BU703" s="160">
        <f t="shared" si="3015"/>
        <v>0</v>
      </c>
      <c r="BV703" s="65"/>
      <c r="BW703" s="69"/>
      <c r="BX703" s="65"/>
      <c r="BY703" s="137">
        <f t="shared" si="3016"/>
        <v>0</v>
      </c>
      <c r="BZ703" s="137">
        <f>IF(BY703&gt;0,BY703+LARGE($BZ$213:BZ702,1),0)</f>
        <v>0</v>
      </c>
      <c r="CA703" s="137">
        <f t="shared" si="3017"/>
        <v>0</v>
      </c>
      <c r="CB703" s="161">
        <f t="shared" si="3018"/>
        <v>0</v>
      </c>
      <c r="CC703" s="161">
        <f t="shared" si="3019"/>
        <v>0</v>
      </c>
      <c r="CD703" s="161">
        <f t="shared" si="3020"/>
        <v>0</v>
      </c>
      <c r="CE703" s="161">
        <f t="shared" si="3021"/>
        <v>0</v>
      </c>
      <c r="CF703" s="161">
        <f t="shared" si="3022"/>
        <v>0</v>
      </c>
      <c r="CG703" s="161">
        <f t="shared" si="3023"/>
        <v>0</v>
      </c>
      <c r="CH703" s="161">
        <f t="shared" si="3024"/>
        <v>0</v>
      </c>
      <c r="CI703" s="161">
        <f t="shared" si="3025"/>
        <v>0</v>
      </c>
      <c r="CJ703" s="161">
        <f t="shared" si="3026"/>
        <v>0</v>
      </c>
      <c r="CK703" s="161">
        <f t="shared" si="3027"/>
        <v>0</v>
      </c>
      <c r="CL703" s="161">
        <f t="shared" si="3028"/>
        <v>0</v>
      </c>
      <c r="CM703" s="161">
        <f t="shared" si="3029"/>
        <v>0</v>
      </c>
      <c r="CN703" s="161">
        <f t="shared" si="3030"/>
        <v>0</v>
      </c>
      <c r="CO703" s="161">
        <f t="shared" si="3031"/>
        <v>0</v>
      </c>
      <c r="CP703" s="161">
        <f t="shared" si="3032"/>
        <v>0</v>
      </c>
      <c r="CQ703" s="161">
        <f t="shared" si="3033"/>
        <v>0</v>
      </c>
      <c r="CR703" s="161">
        <f t="shared" si="3034"/>
        <v>0</v>
      </c>
      <c r="CS703" s="161">
        <f t="shared" si="3035"/>
        <v>0</v>
      </c>
      <c r="CT703" s="161">
        <f t="shared" si="3036"/>
        <v>0</v>
      </c>
      <c r="CU703" s="161">
        <f t="shared" si="3037"/>
        <v>0</v>
      </c>
      <c r="CV703" s="161">
        <f t="shared" si="3038"/>
        <v>0</v>
      </c>
      <c r="CW703" s="161">
        <f t="shared" si="3039"/>
        <v>0</v>
      </c>
      <c r="CX703" s="161">
        <f t="shared" si="3040"/>
        <v>0</v>
      </c>
      <c r="CY703" s="161">
        <f t="shared" si="3041"/>
        <v>0</v>
      </c>
      <c r="CZ703" s="161">
        <f t="shared" si="3042"/>
        <v>0</v>
      </c>
      <c r="DA703" s="161">
        <f t="shared" si="3043"/>
        <v>0</v>
      </c>
      <c r="DB703" s="161">
        <f t="shared" si="3044"/>
        <v>0</v>
      </c>
      <c r="DC703" s="161">
        <f t="shared" si="3045"/>
        <v>0</v>
      </c>
      <c r="DD703" s="161">
        <f t="shared" si="3046"/>
        <v>0</v>
      </c>
      <c r="DE703" s="161">
        <f t="shared" si="3047"/>
        <v>0</v>
      </c>
      <c r="DF703" s="161">
        <f t="shared" si="3048"/>
        <v>0</v>
      </c>
      <c r="DG703" s="161">
        <f t="shared" si="3049"/>
        <v>0</v>
      </c>
      <c r="DH703" s="161">
        <f t="shared" si="3050"/>
        <v>0</v>
      </c>
      <c r="DI703" s="161">
        <f t="shared" si="3051"/>
        <v>0</v>
      </c>
      <c r="DJ703" s="161">
        <f t="shared" si="3052"/>
        <v>0</v>
      </c>
      <c r="DK703" s="161">
        <f t="shared" si="3053"/>
        <v>0</v>
      </c>
      <c r="DL703" s="161">
        <f t="shared" si="3054"/>
        <v>0</v>
      </c>
      <c r="DM703" s="161">
        <f t="shared" si="3055"/>
        <v>0</v>
      </c>
      <c r="DN703" s="161">
        <f t="shared" si="3056"/>
        <v>0</v>
      </c>
      <c r="DO703" s="161">
        <f t="shared" si="3057"/>
        <v>0</v>
      </c>
      <c r="DP703" s="161">
        <f t="shared" si="3058"/>
        <v>0</v>
      </c>
      <c r="DQ703" s="161">
        <f t="shared" si="3059"/>
        <v>0</v>
      </c>
      <c r="DR703" s="161">
        <f t="shared" si="3060"/>
        <v>0</v>
      </c>
      <c r="DS703" s="161">
        <f t="shared" si="3061"/>
        <v>0</v>
      </c>
      <c r="DT703" s="161">
        <f t="shared" si="3062"/>
        <v>0</v>
      </c>
      <c r="DU703" s="161">
        <f t="shared" si="3063"/>
        <v>0</v>
      </c>
      <c r="DV703" s="161">
        <f t="shared" si="3064"/>
        <v>0</v>
      </c>
      <c r="DW703" s="161">
        <f t="shared" si="3065"/>
        <v>0</v>
      </c>
      <c r="DX703" s="161">
        <f t="shared" si="3066"/>
        <v>0</v>
      </c>
      <c r="DY703" s="161">
        <f t="shared" si="3067"/>
        <v>0</v>
      </c>
      <c r="DZ703" s="161">
        <f t="shared" si="3068"/>
        <v>0</v>
      </c>
      <c r="EA703" s="161">
        <f t="shared" si="3069"/>
        <v>0</v>
      </c>
      <c r="EB703" s="161">
        <f t="shared" si="3070"/>
        <v>0</v>
      </c>
      <c r="EC703" s="161">
        <f t="shared" si="3071"/>
        <v>0</v>
      </c>
      <c r="ED703" s="161">
        <f t="shared" si="3072"/>
        <v>0</v>
      </c>
      <c r="EE703" s="161">
        <f t="shared" si="3073"/>
        <v>0</v>
      </c>
      <c r="EF703" s="161">
        <f t="shared" si="3074"/>
        <v>0</v>
      </c>
      <c r="EG703" s="161">
        <f t="shared" si="3075"/>
        <v>0</v>
      </c>
      <c r="EH703" s="161">
        <f t="shared" si="3076"/>
        <v>0</v>
      </c>
      <c r="EI703" s="161">
        <f t="shared" si="3077"/>
        <v>0</v>
      </c>
    </row>
    <row r="704" spans="2:139" ht="12" hidden="1" customHeight="1" outlineLevel="1">
      <c r="B704" s="137" t="str">
        <f t="shared" si="3078"/>
        <v/>
      </c>
      <c r="C704" s="65"/>
      <c r="D704" s="65"/>
      <c r="E704" s="65"/>
      <c r="F704" s="164"/>
      <c r="G704" s="165"/>
      <c r="H704" s="166">
        <f t="shared" si="3012"/>
        <v>0</v>
      </c>
      <c r="I704" s="144">
        <f t="shared" si="3013"/>
        <v>0</v>
      </c>
      <c r="J704" s="65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  <c r="AB704" s="167"/>
      <c r="AC704" s="167"/>
      <c r="AD704" s="167"/>
      <c r="AE704" s="167"/>
      <c r="AF704" s="167"/>
      <c r="AG704" s="167"/>
      <c r="AH704" s="167"/>
      <c r="AI704" s="167"/>
      <c r="AJ704" s="167"/>
      <c r="AK704" s="167"/>
      <c r="AL704" s="167"/>
      <c r="AM704" s="167"/>
      <c r="AN704" s="167"/>
      <c r="AO704" s="167"/>
      <c r="AP704" s="167"/>
      <c r="AQ704" s="167"/>
      <c r="AR704" s="167"/>
      <c r="AS704" s="167"/>
      <c r="AT704" s="167"/>
      <c r="AU704" s="167"/>
      <c r="AV704" s="167"/>
      <c r="AW704" s="167"/>
      <c r="AX704" s="167"/>
      <c r="AY704" s="167"/>
      <c r="AZ704" s="167"/>
      <c r="BA704" s="167"/>
      <c r="BB704" s="167"/>
      <c r="BC704" s="167"/>
      <c r="BD704" s="167"/>
      <c r="BE704" s="167"/>
      <c r="BF704" s="167"/>
      <c r="BG704" s="167"/>
      <c r="BH704" s="167"/>
      <c r="BI704" s="167"/>
      <c r="BJ704" s="167"/>
      <c r="BK704" s="167"/>
      <c r="BL704" s="167"/>
      <c r="BM704" s="167"/>
      <c r="BN704" s="167"/>
      <c r="BO704" s="167"/>
      <c r="BP704" s="167"/>
      <c r="BQ704" s="167"/>
      <c r="BR704" s="167"/>
      <c r="BS704" s="65"/>
      <c r="BT704" s="160">
        <f t="shared" si="3014"/>
        <v>0</v>
      </c>
      <c r="BU704" s="160">
        <f t="shared" si="3015"/>
        <v>0</v>
      </c>
      <c r="BV704" s="65"/>
      <c r="BW704" s="69"/>
      <c r="BX704" s="65"/>
      <c r="BY704" s="137">
        <f t="shared" si="3016"/>
        <v>0</v>
      </c>
      <c r="BZ704" s="137">
        <f>IF(BY704&gt;0,BY704+LARGE($BZ$213:BZ703,1),0)</f>
        <v>0</v>
      </c>
      <c r="CA704" s="137">
        <f t="shared" si="3017"/>
        <v>0</v>
      </c>
      <c r="CB704" s="161">
        <f t="shared" si="3018"/>
        <v>0</v>
      </c>
      <c r="CC704" s="161">
        <f t="shared" si="3019"/>
        <v>0</v>
      </c>
      <c r="CD704" s="161">
        <f t="shared" si="3020"/>
        <v>0</v>
      </c>
      <c r="CE704" s="161">
        <f t="shared" si="3021"/>
        <v>0</v>
      </c>
      <c r="CF704" s="161">
        <f t="shared" si="3022"/>
        <v>0</v>
      </c>
      <c r="CG704" s="161">
        <f t="shared" si="3023"/>
        <v>0</v>
      </c>
      <c r="CH704" s="161">
        <f t="shared" si="3024"/>
        <v>0</v>
      </c>
      <c r="CI704" s="161">
        <f t="shared" si="3025"/>
        <v>0</v>
      </c>
      <c r="CJ704" s="161">
        <f t="shared" si="3026"/>
        <v>0</v>
      </c>
      <c r="CK704" s="161">
        <f t="shared" si="3027"/>
        <v>0</v>
      </c>
      <c r="CL704" s="161">
        <f t="shared" si="3028"/>
        <v>0</v>
      </c>
      <c r="CM704" s="161">
        <f t="shared" si="3029"/>
        <v>0</v>
      </c>
      <c r="CN704" s="161">
        <f t="shared" si="3030"/>
        <v>0</v>
      </c>
      <c r="CO704" s="161">
        <f t="shared" si="3031"/>
        <v>0</v>
      </c>
      <c r="CP704" s="161">
        <f t="shared" si="3032"/>
        <v>0</v>
      </c>
      <c r="CQ704" s="161">
        <f t="shared" si="3033"/>
        <v>0</v>
      </c>
      <c r="CR704" s="161">
        <f t="shared" si="3034"/>
        <v>0</v>
      </c>
      <c r="CS704" s="161">
        <f t="shared" si="3035"/>
        <v>0</v>
      </c>
      <c r="CT704" s="161">
        <f t="shared" si="3036"/>
        <v>0</v>
      </c>
      <c r="CU704" s="161">
        <f t="shared" si="3037"/>
        <v>0</v>
      </c>
      <c r="CV704" s="161">
        <f t="shared" si="3038"/>
        <v>0</v>
      </c>
      <c r="CW704" s="161">
        <f t="shared" si="3039"/>
        <v>0</v>
      </c>
      <c r="CX704" s="161">
        <f t="shared" si="3040"/>
        <v>0</v>
      </c>
      <c r="CY704" s="161">
        <f t="shared" si="3041"/>
        <v>0</v>
      </c>
      <c r="CZ704" s="161">
        <f t="shared" si="3042"/>
        <v>0</v>
      </c>
      <c r="DA704" s="161">
        <f t="shared" si="3043"/>
        <v>0</v>
      </c>
      <c r="DB704" s="161">
        <f t="shared" si="3044"/>
        <v>0</v>
      </c>
      <c r="DC704" s="161">
        <f t="shared" si="3045"/>
        <v>0</v>
      </c>
      <c r="DD704" s="161">
        <f t="shared" si="3046"/>
        <v>0</v>
      </c>
      <c r="DE704" s="161">
        <f t="shared" si="3047"/>
        <v>0</v>
      </c>
      <c r="DF704" s="161">
        <f t="shared" si="3048"/>
        <v>0</v>
      </c>
      <c r="DG704" s="161">
        <f t="shared" si="3049"/>
        <v>0</v>
      </c>
      <c r="DH704" s="161">
        <f t="shared" si="3050"/>
        <v>0</v>
      </c>
      <c r="DI704" s="161">
        <f t="shared" si="3051"/>
        <v>0</v>
      </c>
      <c r="DJ704" s="161">
        <f t="shared" si="3052"/>
        <v>0</v>
      </c>
      <c r="DK704" s="161">
        <f t="shared" si="3053"/>
        <v>0</v>
      </c>
      <c r="DL704" s="161">
        <f t="shared" si="3054"/>
        <v>0</v>
      </c>
      <c r="DM704" s="161">
        <f t="shared" si="3055"/>
        <v>0</v>
      </c>
      <c r="DN704" s="161">
        <f t="shared" si="3056"/>
        <v>0</v>
      </c>
      <c r="DO704" s="161">
        <f t="shared" si="3057"/>
        <v>0</v>
      </c>
      <c r="DP704" s="161">
        <f t="shared" si="3058"/>
        <v>0</v>
      </c>
      <c r="DQ704" s="161">
        <f t="shared" si="3059"/>
        <v>0</v>
      </c>
      <c r="DR704" s="161">
        <f t="shared" si="3060"/>
        <v>0</v>
      </c>
      <c r="DS704" s="161">
        <f t="shared" si="3061"/>
        <v>0</v>
      </c>
      <c r="DT704" s="161">
        <f t="shared" si="3062"/>
        <v>0</v>
      </c>
      <c r="DU704" s="161">
        <f t="shared" si="3063"/>
        <v>0</v>
      </c>
      <c r="DV704" s="161">
        <f t="shared" si="3064"/>
        <v>0</v>
      </c>
      <c r="DW704" s="161">
        <f t="shared" si="3065"/>
        <v>0</v>
      </c>
      <c r="DX704" s="161">
        <f t="shared" si="3066"/>
        <v>0</v>
      </c>
      <c r="DY704" s="161">
        <f t="shared" si="3067"/>
        <v>0</v>
      </c>
      <c r="DZ704" s="161">
        <f t="shared" si="3068"/>
        <v>0</v>
      </c>
      <c r="EA704" s="161">
        <f t="shared" si="3069"/>
        <v>0</v>
      </c>
      <c r="EB704" s="161">
        <f t="shared" si="3070"/>
        <v>0</v>
      </c>
      <c r="EC704" s="161">
        <f t="shared" si="3071"/>
        <v>0</v>
      </c>
      <c r="ED704" s="161">
        <f t="shared" si="3072"/>
        <v>0</v>
      </c>
      <c r="EE704" s="161">
        <f t="shared" si="3073"/>
        <v>0</v>
      </c>
      <c r="EF704" s="161">
        <f t="shared" si="3074"/>
        <v>0</v>
      </c>
      <c r="EG704" s="161">
        <f t="shared" si="3075"/>
        <v>0</v>
      </c>
      <c r="EH704" s="161">
        <f t="shared" si="3076"/>
        <v>0</v>
      </c>
      <c r="EI704" s="161">
        <f t="shared" si="3077"/>
        <v>0</v>
      </c>
    </row>
    <row r="705" spans="2:139" ht="12" hidden="1" customHeight="1" outlineLevel="1">
      <c r="B705" s="137" t="str">
        <f t="shared" si="3078"/>
        <v/>
      </c>
      <c r="C705" s="65"/>
      <c r="D705" s="65"/>
      <c r="E705" s="65"/>
      <c r="F705" s="164"/>
      <c r="G705" s="165"/>
      <c r="H705" s="166">
        <f t="shared" si="3012"/>
        <v>0</v>
      </c>
      <c r="I705" s="144">
        <f t="shared" si="3013"/>
        <v>0</v>
      </c>
      <c r="J705" s="65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  <c r="AB705" s="167"/>
      <c r="AC705" s="167"/>
      <c r="AD705" s="167"/>
      <c r="AE705" s="167"/>
      <c r="AF705" s="167"/>
      <c r="AG705" s="167"/>
      <c r="AH705" s="167"/>
      <c r="AI705" s="167"/>
      <c r="AJ705" s="167"/>
      <c r="AK705" s="167"/>
      <c r="AL705" s="167"/>
      <c r="AM705" s="167"/>
      <c r="AN705" s="167"/>
      <c r="AO705" s="167"/>
      <c r="AP705" s="167"/>
      <c r="AQ705" s="167"/>
      <c r="AR705" s="167"/>
      <c r="AS705" s="167"/>
      <c r="AT705" s="167"/>
      <c r="AU705" s="167"/>
      <c r="AV705" s="167"/>
      <c r="AW705" s="167"/>
      <c r="AX705" s="167"/>
      <c r="AY705" s="167"/>
      <c r="AZ705" s="167"/>
      <c r="BA705" s="167"/>
      <c r="BB705" s="167"/>
      <c r="BC705" s="167"/>
      <c r="BD705" s="167"/>
      <c r="BE705" s="167"/>
      <c r="BF705" s="167"/>
      <c r="BG705" s="167"/>
      <c r="BH705" s="167"/>
      <c r="BI705" s="167"/>
      <c r="BJ705" s="167"/>
      <c r="BK705" s="167"/>
      <c r="BL705" s="167"/>
      <c r="BM705" s="167"/>
      <c r="BN705" s="167"/>
      <c r="BO705" s="167"/>
      <c r="BP705" s="167"/>
      <c r="BQ705" s="167"/>
      <c r="BR705" s="167"/>
      <c r="BS705" s="65"/>
      <c r="BT705" s="160">
        <f t="shared" si="3014"/>
        <v>0</v>
      </c>
      <c r="BU705" s="160">
        <f t="shared" si="3015"/>
        <v>0</v>
      </c>
      <c r="BV705" s="65"/>
      <c r="BW705" s="69"/>
      <c r="BX705" s="65"/>
      <c r="BY705" s="137">
        <f t="shared" si="3016"/>
        <v>0</v>
      </c>
      <c r="BZ705" s="137">
        <f>IF(BY705&gt;0,BY705+LARGE($BZ$213:BZ704,1),0)</f>
        <v>0</v>
      </c>
      <c r="CA705" s="137">
        <f t="shared" si="3017"/>
        <v>0</v>
      </c>
      <c r="CB705" s="161">
        <f t="shared" si="3018"/>
        <v>0</v>
      </c>
      <c r="CC705" s="161">
        <f t="shared" si="3019"/>
        <v>0</v>
      </c>
      <c r="CD705" s="161">
        <f t="shared" si="3020"/>
        <v>0</v>
      </c>
      <c r="CE705" s="161">
        <f t="shared" si="3021"/>
        <v>0</v>
      </c>
      <c r="CF705" s="161">
        <f t="shared" si="3022"/>
        <v>0</v>
      </c>
      <c r="CG705" s="161">
        <f t="shared" si="3023"/>
        <v>0</v>
      </c>
      <c r="CH705" s="161">
        <f t="shared" si="3024"/>
        <v>0</v>
      </c>
      <c r="CI705" s="161">
        <f t="shared" si="3025"/>
        <v>0</v>
      </c>
      <c r="CJ705" s="161">
        <f t="shared" si="3026"/>
        <v>0</v>
      </c>
      <c r="CK705" s="161">
        <f t="shared" si="3027"/>
        <v>0</v>
      </c>
      <c r="CL705" s="161">
        <f t="shared" si="3028"/>
        <v>0</v>
      </c>
      <c r="CM705" s="161">
        <f t="shared" si="3029"/>
        <v>0</v>
      </c>
      <c r="CN705" s="161">
        <f t="shared" si="3030"/>
        <v>0</v>
      </c>
      <c r="CO705" s="161">
        <f t="shared" si="3031"/>
        <v>0</v>
      </c>
      <c r="CP705" s="161">
        <f t="shared" si="3032"/>
        <v>0</v>
      </c>
      <c r="CQ705" s="161">
        <f t="shared" si="3033"/>
        <v>0</v>
      </c>
      <c r="CR705" s="161">
        <f t="shared" si="3034"/>
        <v>0</v>
      </c>
      <c r="CS705" s="161">
        <f t="shared" si="3035"/>
        <v>0</v>
      </c>
      <c r="CT705" s="161">
        <f t="shared" si="3036"/>
        <v>0</v>
      </c>
      <c r="CU705" s="161">
        <f t="shared" si="3037"/>
        <v>0</v>
      </c>
      <c r="CV705" s="161">
        <f t="shared" si="3038"/>
        <v>0</v>
      </c>
      <c r="CW705" s="161">
        <f t="shared" si="3039"/>
        <v>0</v>
      </c>
      <c r="CX705" s="161">
        <f t="shared" si="3040"/>
        <v>0</v>
      </c>
      <c r="CY705" s="161">
        <f t="shared" si="3041"/>
        <v>0</v>
      </c>
      <c r="CZ705" s="161">
        <f t="shared" si="3042"/>
        <v>0</v>
      </c>
      <c r="DA705" s="161">
        <f t="shared" si="3043"/>
        <v>0</v>
      </c>
      <c r="DB705" s="161">
        <f t="shared" si="3044"/>
        <v>0</v>
      </c>
      <c r="DC705" s="161">
        <f t="shared" si="3045"/>
        <v>0</v>
      </c>
      <c r="DD705" s="161">
        <f t="shared" si="3046"/>
        <v>0</v>
      </c>
      <c r="DE705" s="161">
        <f t="shared" si="3047"/>
        <v>0</v>
      </c>
      <c r="DF705" s="161">
        <f t="shared" si="3048"/>
        <v>0</v>
      </c>
      <c r="DG705" s="161">
        <f t="shared" si="3049"/>
        <v>0</v>
      </c>
      <c r="DH705" s="161">
        <f t="shared" si="3050"/>
        <v>0</v>
      </c>
      <c r="DI705" s="161">
        <f t="shared" si="3051"/>
        <v>0</v>
      </c>
      <c r="DJ705" s="161">
        <f t="shared" si="3052"/>
        <v>0</v>
      </c>
      <c r="DK705" s="161">
        <f t="shared" si="3053"/>
        <v>0</v>
      </c>
      <c r="DL705" s="161">
        <f t="shared" si="3054"/>
        <v>0</v>
      </c>
      <c r="DM705" s="161">
        <f t="shared" si="3055"/>
        <v>0</v>
      </c>
      <c r="DN705" s="161">
        <f t="shared" si="3056"/>
        <v>0</v>
      </c>
      <c r="DO705" s="161">
        <f t="shared" si="3057"/>
        <v>0</v>
      </c>
      <c r="DP705" s="161">
        <f t="shared" si="3058"/>
        <v>0</v>
      </c>
      <c r="DQ705" s="161">
        <f t="shared" si="3059"/>
        <v>0</v>
      </c>
      <c r="DR705" s="161">
        <f t="shared" si="3060"/>
        <v>0</v>
      </c>
      <c r="DS705" s="161">
        <f t="shared" si="3061"/>
        <v>0</v>
      </c>
      <c r="DT705" s="161">
        <f t="shared" si="3062"/>
        <v>0</v>
      </c>
      <c r="DU705" s="161">
        <f t="shared" si="3063"/>
        <v>0</v>
      </c>
      <c r="DV705" s="161">
        <f t="shared" si="3064"/>
        <v>0</v>
      </c>
      <c r="DW705" s="161">
        <f t="shared" si="3065"/>
        <v>0</v>
      </c>
      <c r="DX705" s="161">
        <f t="shared" si="3066"/>
        <v>0</v>
      </c>
      <c r="DY705" s="161">
        <f t="shared" si="3067"/>
        <v>0</v>
      </c>
      <c r="DZ705" s="161">
        <f t="shared" si="3068"/>
        <v>0</v>
      </c>
      <c r="EA705" s="161">
        <f t="shared" si="3069"/>
        <v>0</v>
      </c>
      <c r="EB705" s="161">
        <f t="shared" si="3070"/>
        <v>0</v>
      </c>
      <c r="EC705" s="161">
        <f t="shared" si="3071"/>
        <v>0</v>
      </c>
      <c r="ED705" s="161">
        <f t="shared" si="3072"/>
        <v>0</v>
      </c>
      <c r="EE705" s="161">
        <f t="shared" si="3073"/>
        <v>0</v>
      </c>
      <c r="EF705" s="161">
        <f t="shared" si="3074"/>
        <v>0</v>
      </c>
      <c r="EG705" s="161">
        <f t="shared" si="3075"/>
        <v>0</v>
      </c>
      <c r="EH705" s="161">
        <f t="shared" si="3076"/>
        <v>0</v>
      </c>
      <c r="EI705" s="161">
        <f t="shared" si="3077"/>
        <v>0</v>
      </c>
    </row>
    <row r="706" spans="2:139" ht="12" hidden="1" customHeight="1" outlineLevel="1">
      <c r="B706" s="137" t="str">
        <f t="shared" si="3078"/>
        <v/>
      </c>
      <c r="C706" s="65"/>
      <c r="D706" s="65"/>
      <c r="E706" s="65"/>
      <c r="F706" s="164"/>
      <c r="G706" s="165"/>
      <c r="H706" s="166">
        <f t="shared" si="3012"/>
        <v>0</v>
      </c>
      <c r="I706" s="144">
        <f t="shared" si="3013"/>
        <v>0</v>
      </c>
      <c r="J706" s="65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  <c r="AB706" s="167"/>
      <c r="AC706" s="167"/>
      <c r="AD706" s="167"/>
      <c r="AE706" s="167"/>
      <c r="AF706" s="167"/>
      <c r="AG706" s="167"/>
      <c r="AH706" s="167"/>
      <c r="AI706" s="167"/>
      <c r="AJ706" s="167"/>
      <c r="AK706" s="167"/>
      <c r="AL706" s="167"/>
      <c r="AM706" s="167"/>
      <c r="AN706" s="167"/>
      <c r="AO706" s="167"/>
      <c r="AP706" s="167"/>
      <c r="AQ706" s="167"/>
      <c r="AR706" s="167"/>
      <c r="AS706" s="167"/>
      <c r="AT706" s="167"/>
      <c r="AU706" s="167"/>
      <c r="AV706" s="167"/>
      <c r="AW706" s="167"/>
      <c r="AX706" s="167"/>
      <c r="AY706" s="167"/>
      <c r="AZ706" s="167"/>
      <c r="BA706" s="167"/>
      <c r="BB706" s="167"/>
      <c r="BC706" s="167"/>
      <c r="BD706" s="167"/>
      <c r="BE706" s="167"/>
      <c r="BF706" s="167"/>
      <c r="BG706" s="167"/>
      <c r="BH706" s="167"/>
      <c r="BI706" s="167"/>
      <c r="BJ706" s="167"/>
      <c r="BK706" s="167"/>
      <c r="BL706" s="167"/>
      <c r="BM706" s="167"/>
      <c r="BN706" s="167"/>
      <c r="BO706" s="167"/>
      <c r="BP706" s="167"/>
      <c r="BQ706" s="167"/>
      <c r="BR706" s="167"/>
      <c r="BS706" s="65"/>
      <c r="BT706" s="160">
        <f t="shared" si="3014"/>
        <v>0</v>
      </c>
      <c r="BU706" s="160">
        <f t="shared" si="3015"/>
        <v>0</v>
      </c>
      <c r="BV706" s="65"/>
      <c r="BW706" s="69"/>
      <c r="BX706" s="65"/>
      <c r="BY706" s="137">
        <f t="shared" si="3016"/>
        <v>0</v>
      </c>
      <c r="BZ706" s="137">
        <f>IF(BY706&gt;0,BY706+LARGE($BZ$213:BZ705,1),0)</f>
        <v>0</v>
      </c>
      <c r="CA706" s="137">
        <f t="shared" si="3017"/>
        <v>0</v>
      </c>
      <c r="CB706" s="161">
        <f t="shared" si="3018"/>
        <v>0</v>
      </c>
      <c r="CC706" s="161">
        <f t="shared" si="3019"/>
        <v>0</v>
      </c>
      <c r="CD706" s="161">
        <f t="shared" si="3020"/>
        <v>0</v>
      </c>
      <c r="CE706" s="161">
        <f t="shared" si="3021"/>
        <v>0</v>
      </c>
      <c r="CF706" s="161">
        <f t="shared" si="3022"/>
        <v>0</v>
      </c>
      <c r="CG706" s="161">
        <f t="shared" si="3023"/>
        <v>0</v>
      </c>
      <c r="CH706" s="161">
        <f t="shared" si="3024"/>
        <v>0</v>
      </c>
      <c r="CI706" s="161">
        <f t="shared" si="3025"/>
        <v>0</v>
      </c>
      <c r="CJ706" s="161">
        <f t="shared" si="3026"/>
        <v>0</v>
      </c>
      <c r="CK706" s="161">
        <f t="shared" si="3027"/>
        <v>0</v>
      </c>
      <c r="CL706" s="161">
        <f t="shared" si="3028"/>
        <v>0</v>
      </c>
      <c r="CM706" s="161">
        <f t="shared" si="3029"/>
        <v>0</v>
      </c>
      <c r="CN706" s="161">
        <f t="shared" si="3030"/>
        <v>0</v>
      </c>
      <c r="CO706" s="161">
        <f t="shared" si="3031"/>
        <v>0</v>
      </c>
      <c r="CP706" s="161">
        <f t="shared" si="3032"/>
        <v>0</v>
      </c>
      <c r="CQ706" s="161">
        <f t="shared" si="3033"/>
        <v>0</v>
      </c>
      <c r="CR706" s="161">
        <f t="shared" si="3034"/>
        <v>0</v>
      </c>
      <c r="CS706" s="161">
        <f t="shared" si="3035"/>
        <v>0</v>
      </c>
      <c r="CT706" s="161">
        <f t="shared" si="3036"/>
        <v>0</v>
      </c>
      <c r="CU706" s="161">
        <f t="shared" si="3037"/>
        <v>0</v>
      </c>
      <c r="CV706" s="161">
        <f t="shared" si="3038"/>
        <v>0</v>
      </c>
      <c r="CW706" s="161">
        <f t="shared" si="3039"/>
        <v>0</v>
      </c>
      <c r="CX706" s="161">
        <f t="shared" si="3040"/>
        <v>0</v>
      </c>
      <c r="CY706" s="161">
        <f t="shared" si="3041"/>
        <v>0</v>
      </c>
      <c r="CZ706" s="161">
        <f t="shared" si="3042"/>
        <v>0</v>
      </c>
      <c r="DA706" s="161">
        <f t="shared" si="3043"/>
        <v>0</v>
      </c>
      <c r="DB706" s="161">
        <f t="shared" si="3044"/>
        <v>0</v>
      </c>
      <c r="DC706" s="161">
        <f t="shared" si="3045"/>
        <v>0</v>
      </c>
      <c r="DD706" s="161">
        <f t="shared" si="3046"/>
        <v>0</v>
      </c>
      <c r="DE706" s="161">
        <f t="shared" si="3047"/>
        <v>0</v>
      </c>
      <c r="DF706" s="161">
        <f t="shared" si="3048"/>
        <v>0</v>
      </c>
      <c r="DG706" s="161">
        <f t="shared" si="3049"/>
        <v>0</v>
      </c>
      <c r="DH706" s="161">
        <f t="shared" si="3050"/>
        <v>0</v>
      </c>
      <c r="DI706" s="161">
        <f t="shared" si="3051"/>
        <v>0</v>
      </c>
      <c r="DJ706" s="161">
        <f t="shared" si="3052"/>
        <v>0</v>
      </c>
      <c r="DK706" s="161">
        <f t="shared" si="3053"/>
        <v>0</v>
      </c>
      <c r="DL706" s="161">
        <f t="shared" si="3054"/>
        <v>0</v>
      </c>
      <c r="DM706" s="161">
        <f t="shared" si="3055"/>
        <v>0</v>
      </c>
      <c r="DN706" s="161">
        <f t="shared" si="3056"/>
        <v>0</v>
      </c>
      <c r="DO706" s="161">
        <f t="shared" si="3057"/>
        <v>0</v>
      </c>
      <c r="DP706" s="161">
        <f t="shared" si="3058"/>
        <v>0</v>
      </c>
      <c r="DQ706" s="161">
        <f t="shared" si="3059"/>
        <v>0</v>
      </c>
      <c r="DR706" s="161">
        <f t="shared" si="3060"/>
        <v>0</v>
      </c>
      <c r="DS706" s="161">
        <f t="shared" si="3061"/>
        <v>0</v>
      </c>
      <c r="DT706" s="161">
        <f t="shared" si="3062"/>
        <v>0</v>
      </c>
      <c r="DU706" s="161">
        <f t="shared" si="3063"/>
        <v>0</v>
      </c>
      <c r="DV706" s="161">
        <f t="shared" si="3064"/>
        <v>0</v>
      </c>
      <c r="DW706" s="161">
        <f t="shared" si="3065"/>
        <v>0</v>
      </c>
      <c r="DX706" s="161">
        <f t="shared" si="3066"/>
        <v>0</v>
      </c>
      <c r="DY706" s="161">
        <f t="shared" si="3067"/>
        <v>0</v>
      </c>
      <c r="DZ706" s="161">
        <f t="shared" si="3068"/>
        <v>0</v>
      </c>
      <c r="EA706" s="161">
        <f t="shared" si="3069"/>
        <v>0</v>
      </c>
      <c r="EB706" s="161">
        <f t="shared" si="3070"/>
        <v>0</v>
      </c>
      <c r="EC706" s="161">
        <f t="shared" si="3071"/>
        <v>0</v>
      </c>
      <c r="ED706" s="161">
        <f t="shared" si="3072"/>
        <v>0</v>
      </c>
      <c r="EE706" s="161">
        <f t="shared" si="3073"/>
        <v>0</v>
      </c>
      <c r="EF706" s="161">
        <f t="shared" si="3074"/>
        <v>0</v>
      </c>
      <c r="EG706" s="161">
        <f t="shared" si="3075"/>
        <v>0</v>
      </c>
      <c r="EH706" s="161">
        <f t="shared" si="3076"/>
        <v>0</v>
      </c>
      <c r="EI706" s="161">
        <f t="shared" si="3077"/>
        <v>0</v>
      </c>
    </row>
    <row r="707" spans="2:139" ht="12" hidden="1" customHeight="1" outlineLevel="1">
      <c r="B707" s="137" t="str">
        <f t="shared" si="3078"/>
        <v/>
      </c>
      <c r="C707" s="65"/>
      <c r="D707" s="65"/>
      <c r="E707" s="65"/>
      <c r="F707" s="164"/>
      <c r="G707" s="165"/>
      <c r="H707" s="166">
        <f t="shared" si="3012"/>
        <v>0</v>
      </c>
      <c r="I707" s="144">
        <f t="shared" si="3013"/>
        <v>0</v>
      </c>
      <c r="J707" s="65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  <c r="AB707" s="167"/>
      <c r="AC707" s="167"/>
      <c r="AD707" s="167"/>
      <c r="AE707" s="167"/>
      <c r="AF707" s="167"/>
      <c r="AG707" s="167"/>
      <c r="AH707" s="167"/>
      <c r="AI707" s="167"/>
      <c r="AJ707" s="167"/>
      <c r="AK707" s="167"/>
      <c r="AL707" s="167"/>
      <c r="AM707" s="167"/>
      <c r="AN707" s="167"/>
      <c r="AO707" s="167"/>
      <c r="AP707" s="167"/>
      <c r="AQ707" s="167"/>
      <c r="AR707" s="167"/>
      <c r="AS707" s="167"/>
      <c r="AT707" s="167"/>
      <c r="AU707" s="167"/>
      <c r="AV707" s="167"/>
      <c r="AW707" s="167"/>
      <c r="AX707" s="167"/>
      <c r="AY707" s="167"/>
      <c r="AZ707" s="167"/>
      <c r="BA707" s="167"/>
      <c r="BB707" s="167"/>
      <c r="BC707" s="167"/>
      <c r="BD707" s="167"/>
      <c r="BE707" s="167"/>
      <c r="BF707" s="167"/>
      <c r="BG707" s="167"/>
      <c r="BH707" s="167"/>
      <c r="BI707" s="167"/>
      <c r="BJ707" s="167"/>
      <c r="BK707" s="167"/>
      <c r="BL707" s="167"/>
      <c r="BM707" s="167"/>
      <c r="BN707" s="167"/>
      <c r="BO707" s="167"/>
      <c r="BP707" s="167"/>
      <c r="BQ707" s="167"/>
      <c r="BR707" s="167"/>
      <c r="BS707" s="65"/>
      <c r="BT707" s="160">
        <f t="shared" si="3014"/>
        <v>0</v>
      </c>
      <c r="BU707" s="160">
        <f t="shared" si="3015"/>
        <v>0</v>
      </c>
      <c r="BV707" s="65"/>
      <c r="BW707" s="69"/>
      <c r="BX707" s="65"/>
      <c r="BY707" s="137">
        <f t="shared" si="3016"/>
        <v>0</v>
      </c>
      <c r="BZ707" s="137">
        <f>IF(BY707&gt;0,BY707+LARGE($BZ$213:BZ706,1),0)</f>
        <v>0</v>
      </c>
      <c r="CA707" s="137">
        <f t="shared" si="3017"/>
        <v>0</v>
      </c>
      <c r="CB707" s="161">
        <f t="shared" si="3018"/>
        <v>0</v>
      </c>
      <c r="CC707" s="161">
        <f t="shared" si="3019"/>
        <v>0</v>
      </c>
      <c r="CD707" s="161">
        <f t="shared" si="3020"/>
        <v>0</v>
      </c>
      <c r="CE707" s="161">
        <f t="shared" si="3021"/>
        <v>0</v>
      </c>
      <c r="CF707" s="161">
        <f t="shared" si="3022"/>
        <v>0</v>
      </c>
      <c r="CG707" s="161">
        <f t="shared" si="3023"/>
        <v>0</v>
      </c>
      <c r="CH707" s="161">
        <f t="shared" si="3024"/>
        <v>0</v>
      </c>
      <c r="CI707" s="161">
        <f t="shared" si="3025"/>
        <v>0</v>
      </c>
      <c r="CJ707" s="161">
        <f t="shared" si="3026"/>
        <v>0</v>
      </c>
      <c r="CK707" s="161">
        <f t="shared" si="3027"/>
        <v>0</v>
      </c>
      <c r="CL707" s="161">
        <f t="shared" si="3028"/>
        <v>0</v>
      </c>
      <c r="CM707" s="161">
        <f t="shared" si="3029"/>
        <v>0</v>
      </c>
      <c r="CN707" s="161">
        <f t="shared" si="3030"/>
        <v>0</v>
      </c>
      <c r="CO707" s="161">
        <f t="shared" si="3031"/>
        <v>0</v>
      </c>
      <c r="CP707" s="161">
        <f t="shared" si="3032"/>
        <v>0</v>
      </c>
      <c r="CQ707" s="161">
        <f t="shared" si="3033"/>
        <v>0</v>
      </c>
      <c r="CR707" s="161">
        <f t="shared" si="3034"/>
        <v>0</v>
      </c>
      <c r="CS707" s="161">
        <f t="shared" si="3035"/>
        <v>0</v>
      </c>
      <c r="CT707" s="161">
        <f t="shared" si="3036"/>
        <v>0</v>
      </c>
      <c r="CU707" s="161">
        <f t="shared" si="3037"/>
        <v>0</v>
      </c>
      <c r="CV707" s="161">
        <f t="shared" si="3038"/>
        <v>0</v>
      </c>
      <c r="CW707" s="161">
        <f t="shared" si="3039"/>
        <v>0</v>
      </c>
      <c r="CX707" s="161">
        <f t="shared" si="3040"/>
        <v>0</v>
      </c>
      <c r="CY707" s="161">
        <f t="shared" si="3041"/>
        <v>0</v>
      </c>
      <c r="CZ707" s="161">
        <f t="shared" si="3042"/>
        <v>0</v>
      </c>
      <c r="DA707" s="161">
        <f t="shared" si="3043"/>
        <v>0</v>
      </c>
      <c r="DB707" s="161">
        <f t="shared" si="3044"/>
        <v>0</v>
      </c>
      <c r="DC707" s="161">
        <f t="shared" si="3045"/>
        <v>0</v>
      </c>
      <c r="DD707" s="161">
        <f t="shared" si="3046"/>
        <v>0</v>
      </c>
      <c r="DE707" s="161">
        <f t="shared" si="3047"/>
        <v>0</v>
      </c>
      <c r="DF707" s="161">
        <f t="shared" si="3048"/>
        <v>0</v>
      </c>
      <c r="DG707" s="161">
        <f t="shared" si="3049"/>
        <v>0</v>
      </c>
      <c r="DH707" s="161">
        <f t="shared" si="3050"/>
        <v>0</v>
      </c>
      <c r="DI707" s="161">
        <f t="shared" si="3051"/>
        <v>0</v>
      </c>
      <c r="DJ707" s="161">
        <f t="shared" si="3052"/>
        <v>0</v>
      </c>
      <c r="DK707" s="161">
        <f t="shared" si="3053"/>
        <v>0</v>
      </c>
      <c r="DL707" s="161">
        <f t="shared" si="3054"/>
        <v>0</v>
      </c>
      <c r="DM707" s="161">
        <f t="shared" si="3055"/>
        <v>0</v>
      </c>
      <c r="DN707" s="161">
        <f t="shared" si="3056"/>
        <v>0</v>
      </c>
      <c r="DO707" s="161">
        <f t="shared" si="3057"/>
        <v>0</v>
      </c>
      <c r="DP707" s="161">
        <f t="shared" si="3058"/>
        <v>0</v>
      </c>
      <c r="DQ707" s="161">
        <f t="shared" si="3059"/>
        <v>0</v>
      </c>
      <c r="DR707" s="161">
        <f t="shared" si="3060"/>
        <v>0</v>
      </c>
      <c r="DS707" s="161">
        <f t="shared" si="3061"/>
        <v>0</v>
      </c>
      <c r="DT707" s="161">
        <f t="shared" si="3062"/>
        <v>0</v>
      </c>
      <c r="DU707" s="161">
        <f t="shared" si="3063"/>
        <v>0</v>
      </c>
      <c r="DV707" s="161">
        <f t="shared" si="3064"/>
        <v>0</v>
      </c>
      <c r="DW707" s="161">
        <f t="shared" si="3065"/>
        <v>0</v>
      </c>
      <c r="DX707" s="161">
        <f t="shared" si="3066"/>
        <v>0</v>
      </c>
      <c r="DY707" s="161">
        <f t="shared" si="3067"/>
        <v>0</v>
      </c>
      <c r="DZ707" s="161">
        <f t="shared" si="3068"/>
        <v>0</v>
      </c>
      <c r="EA707" s="161">
        <f t="shared" si="3069"/>
        <v>0</v>
      </c>
      <c r="EB707" s="161">
        <f t="shared" si="3070"/>
        <v>0</v>
      </c>
      <c r="EC707" s="161">
        <f t="shared" si="3071"/>
        <v>0</v>
      </c>
      <c r="ED707" s="161">
        <f t="shared" si="3072"/>
        <v>0</v>
      </c>
      <c r="EE707" s="161">
        <f t="shared" si="3073"/>
        <v>0</v>
      </c>
      <c r="EF707" s="161">
        <f t="shared" si="3074"/>
        <v>0</v>
      </c>
      <c r="EG707" s="161">
        <f t="shared" si="3075"/>
        <v>0</v>
      </c>
      <c r="EH707" s="161">
        <f t="shared" si="3076"/>
        <v>0</v>
      </c>
      <c r="EI707" s="161">
        <f t="shared" si="3077"/>
        <v>0</v>
      </c>
    </row>
    <row r="708" spans="2:139" ht="12" hidden="1" customHeight="1" outlineLevel="1">
      <c r="B708" s="137" t="str">
        <f t="shared" si="3078"/>
        <v/>
      </c>
      <c r="C708" s="65"/>
      <c r="D708" s="65"/>
      <c r="E708" s="65"/>
      <c r="F708" s="164"/>
      <c r="G708" s="165"/>
      <c r="H708" s="166">
        <f t="shared" si="3012"/>
        <v>0</v>
      </c>
      <c r="I708" s="144">
        <f t="shared" si="3013"/>
        <v>0</v>
      </c>
      <c r="J708" s="65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  <c r="AB708" s="167"/>
      <c r="AC708" s="167"/>
      <c r="AD708" s="167"/>
      <c r="AE708" s="167"/>
      <c r="AF708" s="167"/>
      <c r="AG708" s="167"/>
      <c r="AH708" s="167"/>
      <c r="AI708" s="167"/>
      <c r="AJ708" s="167"/>
      <c r="AK708" s="167"/>
      <c r="AL708" s="167"/>
      <c r="AM708" s="167"/>
      <c r="AN708" s="167"/>
      <c r="AO708" s="167"/>
      <c r="AP708" s="167"/>
      <c r="AQ708" s="167"/>
      <c r="AR708" s="167"/>
      <c r="AS708" s="167"/>
      <c r="AT708" s="167"/>
      <c r="AU708" s="167"/>
      <c r="AV708" s="167"/>
      <c r="AW708" s="167"/>
      <c r="AX708" s="167"/>
      <c r="AY708" s="167"/>
      <c r="AZ708" s="167"/>
      <c r="BA708" s="167"/>
      <c r="BB708" s="167"/>
      <c r="BC708" s="167"/>
      <c r="BD708" s="167"/>
      <c r="BE708" s="167"/>
      <c r="BF708" s="167"/>
      <c r="BG708" s="167"/>
      <c r="BH708" s="167"/>
      <c r="BI708" s="167"/>
      <c r="BJ708" s="167"/>
      <c r="BK708" s="167"/>
      <c r="BL708" s="167"/>
      <c r="BM708" s="167"/>
      <c r="BN708" s="167"/>
      <c r="BO708" s="167"/>
      <c r="BP708" s="167"/>
      <c r="BQ708" s="167"/>
      <c r="BR708" s="167"/>
      <c r="BS708" s="65"/>
      <c r="BT708" s="160">
        <f t="shared" si="3014"/>
        <v>0</v>
      </c>
      <c r="BU708" s="160">
        <f t="shared" si="3015"/>
        <v>0</v>
      </c>
      <c r="BV708" s="65"/>
      <c r="BW708" s="69"/>
      <c r="BX708" s="65"/>
      <c r="BY708" s="137">
        <f t="shared" si="3016"/>
        <v>0</v>
      </c>
      <c r="BZ708" s="137">
        <f>IF(BY708&gt;0,BY708+LARGE($BZ$213:BZ707,1),0)</f>
        <v>0</v>
      </c>
      <c r="CA708" s="137">
        <f t="shared" si="3017"/>
        <v>0</v>
      </c>
      <c r="CB708" s="161">
        <f t="shared" ref="CB708:CB747" si="3079">K708</f>
        <v>0</v>
      </c>
      <c r="CC708" s="161">
        <f t="shared" ref="CC708:CC747" si="3080">L708</f>
        <v>0</v>
      </c>
      <c r="CD708" s="161">
        <f t="shared" ref="CD708:CD747" si="3081">M708</f>
        <v>0</v>
      </c>
      <c r="CE708" s="161">
        <f t="shared" ref="CE708:CE747" si="3082">N708</f>
        <v>0</v>
      </c>
      <c r="CF708" s="161">
        <f t="shared" ref="CF708:CF747" si="3083">O708</f>
        <v>0</v>
      </c>
      <c r="CG708" s="161">
        <f t="shared" ref="CG708:CG747" si="3084">P708</f>
        <v>0</v>
      </c>
      <c r="CH708" s="161">
        <f t="shared" ref="CH708:CH747" si="3085">Q708</f>
        <v>0</v>
      </c>
      <c r="CI708" s="161">
        <f t="shared" ref="CI708:CI747" si="3086">R708</f>
        <v>0</v>
      </c>
      <c r="CJ708" s="161">
        <f t="shared" ref="CJ708:CJ747" si="3087">S708</f>
        <v>0</v>
      </c>
      <c r="CK708" s="161">
        <f t="shared" ref="CK708:CK747" si="3088">T708</f>
        <v>0</v>
      </c>
      <c r="CL708" s="161">
        <f t="shared" ref="CL708:CL747" si="3089">U708</f>
        <v>0</v>
      </c>
      <c r="CM708" s="161">
        <f t="shared" ref="CM708:CM747" si="3090">V708</f>
        <v>0</v>
      </c>
      <c r="CN708" s="161">
        <f t="shared" ref="CN708:CN747" si="3091">W708</f>
        <v>0</v>
      </c>
      <c r="CO708" s="161">
        <f t="shared" ref="CO708:CO747" si="3092">X708</f>
        <v>0</v>
      </c>
      <c r="CP708" s="161">
        <f t="shared" ref="CP708:CP747" si="3093">Y708</f>
        <v>0</v>
      </c>
      <c r="CQ708" s="161">
        <f t="shared" ref="CQ708:CQ747" si="3094">Z708</f>
        <v>0</v>
      </c>
      <c r="CR708" s="161">
        <f t="shared" ref="CR708:CR747" si="3095">AA708</f>
        <v>0</v>
      </c>
      <c r="CS708" s="161">
        <f t="shared" ref="CS708:CS747" si="3096">AB708</f>
        <v>0</v>
      </c>
      <c r="CT708" s="161">
        <f t="shared" ref="CT708:CT747" si="3097">AC708</f>
        <v>0</v>
      </c>
      <c r="CU708" s="161">
        <f t="shared" ref="CU708:CU747" si="3098">AD708</f>
        <v>0</v>
      </c>
      <c r="CV708" s="161">
        <f t="shared" ref="CV708:CV747" si="3099">AE708</f>
        <v>0</v>
      </c>
      <c r="CW708" s="161">
        <f t="shared" ref="CW708:CW747" si="3100">AF708</f>
        <v>0</v>
      </c>
      <c r="CX708" s="161">
        <f t="shared" ref="CX708:CX747" si="3101">AG708</f>
        <v>0</v>
      </c>
      <c r="CY708" s="161">
        <f t="shared" ref="CY708:CY747" si="3102">AH708</f>
        <v>0</v>
      </c>
      <c r="CZ708" s="161">
        <f t="shared" ref="CZ708:CZ747" si="3103">AI708</f>
        <v>0</v>
      </c>
      <c r="DA708" s="161">
        <f t="shared" ref="DA708:DA747" si="3104">AJ708</f>
        <v>0</v>
      </c>
      <c r="DB708" s="161">
        <f t="shared" ref="DB708:DB747" si="3105">AK708</f>
        <v>0</v>
      </c>
      <c r="DC708" s="161">
        <f t="shared" ref="DC708:DC747" si="3106">AL708</f>
        <v>0</v>
      </c>
      <c r="DD708" s="161">
        <f t="shared" ref="DD708:DD747" si="3107">AM708</f>
        <v>0</v>
      </c>
      <c r="DE708" s="161">
        <f t="shared" ref="DE708:DE747" si="3108">AN708</f>
        <v>0</v>
      </c>
      <c r="DF708" s="161">
        <f t="shared" ref="DF708:DF747" si="3109">AO708</f>
        <v>0</v>
      </c>
      <c r="DG708" s="161">
        <f t="shared" ref="DG708:DG747" si="3110">AP708</f>
        <v>0</v>
      </c>
      <c r="DH708" s="161">
        <f t="shared" ref="DH708:DH747" si="3111">AQ708</f>
        <v>0</v>
      </c>
      <c r="DI708" s="161">
        <f t="shared" ref="DI708:DI747" si="3112">AR708</f>
        <v>0</v>
      </c>
      <c r="DJ708" s="161">
        <f t="shared" ref="DJ708:DJ747" si="3113">AS708</f>
        <v>0</v>
      </c>
      <c r="DK708" s="161">
        <f t="shared" ref="DK708:DK747" si="3114">AT708</f>
        <v>0</v>
      </c>
      <c r="DL708" s="161">
        <f t="shared" ref="DL708:DL747" si="3115">AU708</f>
        <v>0</v>
      </c>
      <c r="DM708" s="161">
        <f t="shared" ref="DM708:DM747" si="3116">AV708</f>
        <v>0</v>
      </c>
      <c r="DN708" s="161">
        <f t="shared" ref="DN708:DN747" si="3117">AW708</f>
        <v>0</v>
      </c>
      <c r="DO708" s="161">
        <f t="shared" ref="DO708:DO747" si="3118">AX708</f>
        <v>0</v>
      </c>
      <c r="DP708" s="161">
        <f t="shared" ref="DP708:DP747" si="3119">AY708</f>
        <v>0</v>
      </c>
      <c r="DQ708" s="161">
        <f t="shared" ref="DQ708:DQ747" si="3120">AZ708</f>
        <v>0</v>
      </c>
      <c r="DR708" s="161">
        <f t="shared" ref="DR708:DR747" si="3121">BA708</f>
        <v>0</v>
      </c>
      <c r="DS708" s="161">
        <f t="shared" ref="DS708:DS747" si="3122">BB708</f>
        <v>0</v>
      </c>
      <c r="DT708" s="161">
        <f t="shared" ref="DT708:DT747" si="3123">BC708</f>
        <v>0</v>
      </c>
      <c r="DU708" s="161">
        <f t="shared" ref="DU708:DU747" si="3124">BD708</f>
        <v>0</v>
      </c>
      <c r="DV708" s="161">
        <f t="shared" ref="DV708:DV747" si="3125">BE708</f>
        <v>0</v>
      </c>
      <c r="DW708" s="161">
        <f t="shared" ref="DW708:DW747" si="3126">BF708</f>
        <v>0</v>
      </c>
      <c r="DX708" s="161">
        <f t="shared" ref="DX708:DX747" si="3127">BG708</f>
        <v>0</v>
      </c>
      <c r="DY708" s="161">
        <f t="shared" ref="DY708:DY747" si="3128">BH708</f>
        <v>0</v>
      </c>
      <c r="DZ708" s="161">
        <f t="shared" ref="DZ708:DZ747" si="3129">BI708</f>
        <v>0</v>
      </c>
      <c r="EA708" s="161">
        <f t="shared" ref="EA708:EA747" si="3130">BJ708</f>
        <v>0</v>
      </c>
      <c r="EB708" s="161">
        <f t="shared" ref="EB708:EB747" si="3131">BK708</f>
        <v>0</v>
      </c>
      <c r="EC708" s="161">
        <f t="shared" ref="EC708:EC747" si="3132">BL708</f>
        <v>0</v>
      </c>
      <c r="ED708" s="161">
        <f t="shared" ref="ED708:ED747" si="3133">BM708</f>
        <v>0</v>
      </c>
      <c r="EE708" s="161">
        <f t="shared" ref="EE708:EE747" si="3134">BN708</f>
        <v>0</v>
      </c>
      <c r="EF708" s="161">
        <f t="shared" ref="EF708:EF747" si="3135">BO708</f>
        <v>0</v>
      </c>
      <c r="EG708" s="161">
        <f t="shared" ref="EG708:EG747" si="3136">BP708</f>
        <v>0</v>
      </c>
      <c r="EH708" s="161">
        <f t="shared" ref="EH708:EH747" si="3137">BQ708</f>
        <v>0</v>
      </c>
      <c r="EI708" s="161">
        <f t="shared" ref="EI708:EI747" si="3138">BR708</f>
        <v>0</v>
      </c>
    </row>
    <row r="709" spans="2:139" ht="12" hidden="1" customHeight="1" outlineLevel="1">
      <c r="B709" s="137" t="str">
        <f t="shared" si="3078"/>
        <v/>
      </c>
      <c r="C709" s="65"/>
      <c r="D709" s="65"/>
      <c r="E709" s="65"/>
      <c r="F709" s="164"/>
      <c r="G709" s="165"/>
      <c r="H709" s="166">
        <f t="shared" si="3012"/>
        <v>0</v>
      </c>
      <c r="I709" s="144">
        <f t="shared" si="3013"/>
        <v>0</v>
      </c>
      <c r="J709" s="65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  <c r="AE709" s="167"/>
      <c r="AF709" s="167"/>
      <c r="AG709" s="167"/>
      <c r="AH709" s="167"/>
      <c r="AI709" s="167"/>
      <c r="AJ709" s="167"/>
      <c r="AK709" s="167"/>
      <c r="AL709" s="167"/>
      <c r="AM709" s="167"/>
      <c r="AN709" s="167"/>
      <c r="AO709" s="167"/>
      <c r="AP709" s="167"/>
      <c r="AQ709" s="167"/>
      <c r="AR709" s="167"/>
      <c r="AS709" s="167"/>
      <c r="AT709" s="167"/>
      <c r="AU709" s="167"/>
      <c r="AV709" s="167"/>
      <c r="AW709" s="167"/>
      <c r="AX709" s="167"/>
      <c r="AY709" s="167"/>
      <c r="AZ709" s="167"/>
      <c r="BA709" s="167"/>
      <c r="BB709" s="167"/>
      <c r="BC709" s="167"/>
      <c r="BD709" s="167"/>
      <c r="BE709" s="167"/>
      <c r="BF709" s="167"/>
      <c r="BG709" s="167"/>
      <c r="BH709" s="167"/>
      <c r="BI709" s="167"/>
      <c r="BJ709" s="167"/>
      <c r="BK709" s="167"/>
      <c r="BL709" s="167"/>
      <c r="BM709" s="167"/>
      <c r="BN709" s="167"/>
      <c r="BO709" s="167"/>
      <c r="BP709" s="167"/>
      <c r="BQ709" s="167"/>
      <c r="BR709" s="167"/>
      <c r="BS709" s="65"/>
      <c r="BT709" s="160">
        <f t="shared" si="3014"/>
        <v>0</v>
      </c>
      <c r="BU709" s="160">
        <f t="shared" si="3015"/>
        <v>0</v>
      </c>
      <c r="BV709" s="65"/>
      <c r="BW709" s="69"/>
      <c r="BX709" s="65"/>
      <c r="BY709" s="137">
        <f t="shared" si="3016"/>
        <v>0</v>
      </c>
      <c r="BZ709" s="137">
        <f>IF(BY709&gt;0,BY709+LARGE($BZ$213:BZ708,1),0)</f>
        <v>0</v>
      </c>
      <c r="CA709" s="137">
        <f t="shared" si="3017"/>
        <v>0</v>
      </c>
      <c r="CB709" s="161">
        <f t="shared" si="3079"/>
        <v>0</v>
      </c>
      <c r="CC709" s="161">
        <f t="shared" si="3080"/>
        <v>0</v>
      </c>
      <c r="CD709" s="161">
        <f t="shared" si="3081"/>
        <v>0</v>
      </c>
      <c r="CE709" s="161">
        <f t="shared" si="3082"/>
        <v>0</v>
      </c>
      <c r="CF709" s="161">
        <f t="shared" si="3083"/>
        <v>0</v>
      </c>
      <c r="CG709" s="161">
        <f t="shared" si="3084"/>
        <v>0</v>
      </c>
      <c r="CH709" s="161">
        <f t="shared" si="3085"/>
        <v>0</v>
      </c>
      <c r="CI709" s="161">
        <f t="shared" si="3086"/>
        <v>0</v>
      </c>
      <c r="CJ709" s="161">
        <f t="shared" si="3087"/>
        <v>0</v>
      </c>
      <c r="CK709" s="161">
        <f t="shared" si="3088"/>
        <v>0</v>
      </c>
      <c r="CL709" s="161">
        <f t="shared" si="3089"/>
        <v>0</v>
      </c>
      <c r="CM709" s="161">
        <f t="shared" si="3090"/>
        <v>0</v>
      </c>
      <c r="CN709" s="161">
        <f t="shared" si="3091"/>
        <v>0</v>
      </c>
      <c r="CO709" s="161">
        <f t="shared" si="3092"/>
        <v>0</v>
      </c>
      <c r="CP709" s="161">
        <f t="shared" si="3093"/>
        <v>0</v>
      </c>
      <c r="CQ709" s="161">
        <f t="shared" si="3094"/>
        <v>0</v>
      </c>
      <c r="CR709" s="161">
        <f t="shared" si="3095"/>
        <v>0</v>
      </c>
      <c r="CS709" s="161">
        <f t="shared" si="3096"/>
        <v>0</v>
      </c>
      <c r="CT709" s="161">
        <f t="shared" si="3097"/>
        <v>0</v>
      </c>
      <c r="CU709" s="161">
        <f t="shared" si="3098"/>
        <v>0</v>
      </c>
      <c r="CV709" s="161">
        <f t="shared" si="3099"/>
        <v>0</v>
      </c>
      <c r="CW709" s="161">
        <f t="shared" si="3100"/>
        <v>0</v>
      </c>
      <c r="CX709" s="161">
        <f t="shared" si="3101"/>
        <v>0</v>
      </c>
      <c r="CY709" s="161">
        <f t="shared" si="3102"/>
        <v>0</v>
      </c>
      <c r="CZ709" s="161">
        <f t="shared" si="3103"/>
        <v>0</v>
      </c>
      <c r="DA709" s="161">
        <f t="shared" si="3104"/>
        <v>0</v>
      </c>
      <c r="DB709" s="161">
        <f t="shared" si="3105"/>
        <v>0</v>
      </c>
      <c r="DC709" s="161">
        <f t="shared" si="3106"/>
        <v>0</v>
      </c>
      <c r="DD709" s="161">
        <f t="shared" si="3107"/>
        <v>0</v>
      </c>
      <c r="DE709" s="161">
        <f t="shared" si="3108"/>
        <v>0</v>
      </c>
      <c r="DF709" s="161">
        <f t="shared" si="3109"/>
        <v>0</v>
      </c>
      <c r="DG709" s="161">
        <f t="shared" si="3110"/>
        <v>0</v>
      </c>
      <c r="DH709" s="161">
        <f t="shared" si="3111"/>
        <v>0</v>
      </c>
      <c r="DI709" s="161">
        <f t="shared" si="3112"/>
        <v>0</v>
      </c>
      <c r="DJ709" s="161">
        <f t="shared" si="3113"/>
        <v>0</v>
      </c>
      <c r="DK709" s="161">
        <f t="shared" si="3114"/>
        <v>0</v>
      </c>
      <c r="DL709" s="161">
        <f t="shared" si="3115"/>
        <v>0</v>
      </c>
      <c r="DM709" s="161">
        <f t="shared" si="3116"/>
        <v>0</v>
      </c>
      <c r="DN709" s="161">
        <f t="shared" si="3117"/>
        <v>0</v>
      </c>
      <c r="DO709" s="161">
        <f t="shared" si="3118"/>
        <v>0</v>
      </c>
      <c r="DP709" s="161">
        <f t="shared" si="3119"/>
        <v>0</v>
      </c>
      <c r="DQ709" s="161">
        <f t="shared" si="3120"/>
        <v>0</v>
      </c>
      <c r="DR709" s="161">
        <f t="shared" si="3121"/>
        <v>0</v>
      </c>
      <c r="DS709" s="161">
        <f t="shared" si="3122"/>
        <v>0</v>
      </c>
      <c r="DT709" s="161">
        <f t="shared" si="3123"/>
        <v>0</v>
      </c>
      <c r="DU709" s="161">
        <f t="shared" si="3124"/>
        <v>0</v>
      </c>
      <c r="DV709" s="161">
        <f t="shared" si="3125"/>
        <v>0</v>
      </c>
      <c r="DW709" s="161">
        <f t="shared" si="3126"/>
        <v>0</v>
      </c>
      <c r="DX709" s="161">
        <f t="shared" si="3127"/>
        <v>0</v>
      </c>
      <c r="DY709" s="161">
        <f t="shared" si="3128"/>
        <v>0</v>
      </c>
      <c r="DZ709" s="161">
        <f t="shared" si="3129"/>
        <v>0</v>
      </c>
      <c r="EA709" s="161">
        <f t="shared" si="3130"/>
        <v>0</v>
      </c>
      <c r="EB709" s="161">
        <f t="shared" si="3131"/>
        <v>0</v>
      </c>
      <c r="EC709" s="161">
        <f t="shared" si="3132"/>
        <v>0</v>
      </c>
      <c r="ED709" s="161">
        <f t="shared" si="3133"/>
        <v>0</v>
      </c>
      <c r="EE709" s="161">
        <f t="shared" si="3134"/>
        <v>0</v>
      </c>
      <c r="EF709" s="161">
        <f t="shared" si="3135"/>
        <v>0</v>
      </c>
      <c r="EG709" s="161">
        <f t="shared" si="3136"/>
        <v>0</v>
      </c>
      <c r="EH709" s="161">
        <f t="shared" si="3137"/>
        <v>0</v>
      </c>
      <c r="EI709" s="161">
        <f t="shared" si="3138"/>
        <v>0</v>
      </c>
    </row>
    <row r="710" spans="2:139" ht="12" hidden="1" customHeight="1" outlineLevel="1">
      <c r="B710" s="137" t="str">
        <f t="shared" si="3078"/>
        <v/>
      </c>
      <c r="C710" s="65"/>
      <c r="D710" s="65"/>
      <c r="E710" s="65"/>
      <c r="F710" s="164"/>
      <c r="G710" s="165"/>
      <c r="H710" s="166">
        <f t="shared" si="3012"/>
        <v>0</v>
      </c>
      <c r="I710" s="144">
        <f t="shared" si="3013"/>
        <v>0</v>
      </c>
      <c r="J710" s="65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  <c r="AE710" s="167"/>
      <c r="AF710" s="167"/>
      <c r="AG710" s="167"/>
      <c r="AH710" s="167"/>
      <c r="AI710" s="167"/>
      <c r="AJ710" s="167"/>
      <c r="AK710" s="167"/>
      <c r="AL710" s="167"/>
      <c r="AM710" s="167"/>
      <c r="AN710" s="167"/>
      <c r="AO710" s="167"/>
      <c r="AP710" s="167"/>
      <c r="AQ710" s="167"/>
      <c r="AR710" s="167"/>
      <c r="AS710" s="167"/>
      <c r="AT710" s="167"/>
      <c r="AU710" s="167"/>
      <c r="AV710" s="167"/>
      <c r="AW710" s="167"/>
      <c r="AX710" s="167"/>
      <c r="AY710" s="167"/>
      <c r="AZ710" s="167"/>
      <c r="BA710" s="167"/>
      <c r="BB710" s="167"/>
      <c r="BC710" s="167"/>
      <c r="BD710" s="167"/>
      <c r="BE710" s="167"/>
      <c r="BF710" s="167"/>
      <c r="BG710" s="167"/>
      <c r="BH710" s="167"/>
      <c r="BI710" s="167"/>
      <c r="BJ710" s="167"/>
      <c r="BK710" s="167"/>
      <c r="BL710" s="167"/>
      <c r="BM710" s="167"/>
      <c r="BN710" s="167"/>
      <c r="BO710" s="167"/>
      <c r="BP710" s="167"/>
      <c r="BQ710" s="167"/>
      <c r="BR710" s="167"/>
      <c r="BS710" s="65"/>
      <c r="BT710" s="160">
        <f t="shared" si="3014"/>
        <v>0</v>
      </c>
      <c r="BU710" s="160">
        <f t="shared" si="3015"/>
        <v>0</v>
      </c>
      <c r="BV710" s="65"/>
      <c r="BW710" s="69"/>
      <c r="BX710" s="65"/>
      <c r="BY710" s="137">
        <f t="shared" si="3016"/>
        <v>0</v>
      </c>
      <c r="BZ710" s="137">
        <f>IF(BY710&gt;0,BY710+LARGE($BZ$213:BZ709,1),0)</f>
        <v>0</v>
      </c>
      <c r="CA710" s="137">
        <f t="shared" si="3017"/>
        <v>0</v>
      </c>
      <c r="CB710" s="161">
        <f t="shared" si="3079"/>
        <v>0</v>
      </c>
      <c r="CC710" s="161">
        <f t="shared" si="3080"/>
        <v>0</v>
      </c>
      <c r="CD710" s="161">
        <f t="shared" si="3081"/>
        <v>0</v>
      </c>
      <c r="CE710" s="161">
        <f t="shared" si="3082"/>
        <v>0</v>
      </c>
      <c r="CF710" s="161">
        <f t="shared" si="3083"/>
        <v>0</v>
      </c>
      <c r="CG710" s="161">
        <f t="shared" si="3084"/>
        <v>0</v>
      </c>
      <c r="CH710" s="161">
        <f t="shared" si="3085"/>
        <v>0</v>
      </c>
      <c r="CI710" s="161">
        <f t="shared" si="3086"/>
        <v>0</v>
      </c>
      <c r="CJ710" s="161">
        <f t="shared" si="3087"/>
        <v>0</v>
      </c>
      <c r="CK710" s="161">
        <f t="shared" si="3088"/>
        <v>0</v>
      </c>
      <c r="CL710" s="161">
        <f t="shared" si="3089"/>
        <v>0</v>
      </c>
      <c r="CM710" s="161">
        <f t="shared" si="3090"/>
        <v>0</v>
      </c>
      <c r="CN710" s="161">
        <f t="shared" si="3091"/>
        <v>0</v>
      </c>
      <c r="CO710" s="161">
        <f t="shared" si="3092"/>
        <v>0</v>
      </c>
      <c r="CP710" s="161">
        <f t="shared" si="3093"/>
        <v>0</v>
      </c>
      <c r="CQ710" s="161">
        <f t="shared" si="3094"/>
        <v>0</v>
      </c>
      <c r="CR710" s="161">
        <f t="shared" si="3095"/>
        <v>0</v>
      </c>
      <c r="CS710" s="161">
        <f t="shared" si="3096"/>
        <v>0</v>
      </c>
      <c r="CT710" s="161">
        <f t="shared" si="3097"/>
        <v>0</v>
      </c>
      <c r="CU710" s="161">
        <f t="shared" si="3098"/>
        <v>0</v>
      </c>
      <c r="CV710" s="161">
        <f t="shared" si="3099"/>
        <v>0</v>
      </c>
      <c r="CW710" s="161">
        <f t="shared" si="3100"/>
        <v>0</v>
      </c>
      <c r="CX710" s="161">
        <f t="shared" si="3101"/>
        <v>0</v>
      </c>
      <c r="CY710" s="161">
        <f t="shared" si="3102"/>
        <v>0</v>
      </c>
      <c r="CZ710" s="161">
        <f t="shared" si="3103"/>
        <v>0</v>
      </c>
      <c r="DA710" s="161">
        <f t="shared" si="3104"/>
        <v>0</v>
      </c>
      <c r="DB710" s="161">
        <f t="shared" si="3105"/>
        <v>0</v>
      </c>
      <c r="DC710" s="161">
        <f t="shared" si="3106"/>
        <v>0</v>
      </c>
      <c r="DD710" s="161">
        <f t="shared" si="3107"/>
        <v>0</v>
      </c>
      <c r="DE710" s="161">
        <f t="shared" si="3108"/>
        <v>0</v>
      </c>
      <c r="DF710" s="161">
        <f t="shared" si="3109"/>
        <v>0</v>
      </c>
      <c r="DG710" s="161">
        <f t="shared" si="3110"/>
        <v>0</v>
      </c>
      <c r="DH710" s="161">
        <f t="shared" si="3111"/>
        <v>0</v>
      </c>
      <c r="DI710" s="161">
        <f t="shared" si="3112"/>
        <v>0</v>
      </c>
      <c r="DJ710" s="161">
        <f t="shared" si="3113"/>
        <v>0</v>
      </c>
      <c r="DK710" s="161">
        <f t="shared" si="3114"/>
        <v>0</v>
      </c>
      <c r="DL710" s="161">
        <f t="shared" si="3115"/>
        <v>0</v>
      </c>
      <c r="DM710" s="161">
        <f t="shared" si="3116"/>
        <v>0</v>
      </c>
      <c r="DN710" s="161">
        <f t="shared" si="3117"/>
        <v>0</v>
      </c>
      <c r="DO710" s="161">
        <f t="shared" si="3118"/>
        <v>0</v>
      </c>
      <c r="DP710" s="161">
        <f t="shared" si="3119"/>
        <v>0</v>
      </c>
      <c r="DQ710" s="161">
        <f t="shared" si="3120"/>
        <v>0</v>
      </c>
      <c r="DR710" s="161">
        <f t="shared" si="3121"/>
        <v>0</v>
      </c>
      <c r="DS710" s="161">
        <f t="shared" si="3122"/>
        <v>0</v>
      </c>
      <c r="DT710" s="161">
        <f t="shared" si="3123"/>
        <v>0</v>
      </c>
      <c r="DU710" s="161">
        <f t="shared" si="3124"/>
        <v>0</v>
      </c>
      <c r="DV710" s="161">
        <f t="shared" si="3125"/>
        <v>0</v>
      </c>
      <c r="DW710" s="161">
        <f t="shared" si="3126"/>
        <v>0</v>
      </c>
      <c r="DX710" s="161">
        <f t="shared" si="3127"/>
        <v>0</v>
      </c>
      <c r="DY710" s="161">
        <f t="shared" si="3128"/>
        <v>0</v>
      </c>
      <c r="DZ710" s="161">
        <f t="shared" si="3129"/>
        <v>0</v>
      </c>
      <c r="EA710" s="161">
        <f t="shared" si="3130"/>
        <v>0</v>
      </c>
      <c r="EB710" s="161">
        <f t="shared" si="3131"/>
        <v>0</v>
      </c>
      <c r="EC710" s="161">
        <f t="shared" si="3132"/>
        <v>0</v>
      </c>
      <c r="ED710" s="161">
        <f t="shared" si="3133"/>
        <v>0</v>
      </c>
      <c r="EE710" s="161">
        <f t="shared" si="3134"/>
        <v>0</v>
      </c>
      <c r="EF710" s="161">
        <f t="shared" si="3135"/>
        <v>0</v>
      </c>
      <c r="EG710" s="161">
        <f t="shared" si="3136"/>
        <v>0</v>
      </c>
      <c r="EH710" s="161">
        <f t="shared" si="3137"/>
        <v>0</v>
      </c>
      <c r="EI710" s="161">
        <f t="shared" si="3138"/>
        <v>0</v>
      </c>
    </row>
    <row r="711" spans="2:139" ht="12" hidden="1" customHeight="1" outlineLevel="1">
      <c r="B711" s="137" t="str">
        <f t="shared" si="3078"/>
        <v/>
      </c>
      <c r="C711" s="65"/>
      <c r="D711" s="65"/>
      <c r="E711" s="65"/>
      <c r="F711" s="164"/>
      <c r="G711" s="165"/>
      <c r="H711" s="166">
        <f t="shared" si="3012"/>
        <v>0</v>
      </c>
      <c r="I711" s="144">
        <f t="shared" si="3013"/>
        <v>0</v>
      </c>
      <c r="J711" s="65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  <c r="AB711" s="167"/>
      <c r="AC711" s="167"/>
      <c r="AD711" s="167"/>
      <c r="AE711" s="167"/>
      <c r="AF711" s="167"/>
      <c r="AG711" s="167"/>
      <c r="AH711" s="167"/>
      <c r="AI711" s="167"/>
      <c r="AJ711" s="167"/>
      <c r="AK711" s="167"/>
      <c r="AL711" s="167"/>
      <c r="AM711" s="167"/>
      <c r="AN711" s="167"/>
      <c r="AO711" s="167"/>
      <c r="AP711" s="167"/>
      <c r="AQ711" s="167"/>
      <c r="AR711" s="167"/>
      <c r="AS711" s="167"/>
      <c r="AT711" s="167"/>
      <c r="AU711" s="167"/>
      <c r="AV711" s="167"/>
      <c r="AW711" s="167"/>
      <c r="AX711" s="167"/>
      <c r="AY711" s="167"/>
      <c r="AZ711" s="167"/>
      <c r="BA711" s="167"/>
      <c r="BB711" s="167"/>
      <c r="BC711" s="167"/>
      <c r="BD711" s="167"/>
      <c r="BE711" s="167"/>
      <c r="BF711" s="167"/>
      <c r="BG711" s="167"/>
      <c r="BH711" s="167"/>
      <c r="BI711" s="167"/>
      <c r="BJ711" s="167"/>
      <c r="BK711" s="167"/>
      <c r="BL711" s="167"/>
      <c r="BM711" s="167"/>
      <c r="BN711" s="167"/>
      <c r="BO711" s="167"/>
      <c r="BP711" s="167"/>
      <c r="BQ711" s="167"/>
      <c r="BR711" s="167"/>
      <c r="BS711" s="65"/>
      <c r="BT711" s="160">
        <f t="shared" si="3014"/>
        <v>0</v>
      </c>
      <c r="BU711" s="160">
        <f t="shared" si="3015"/>
        <v>0</v>
      </c>
      <c r="BV711" s="65"/>
      <c r="BW711" s="69"/>
      <c r="BX711" s="65"/>
      <c r="BY711" s="137">
        <f t="shared" si="3016"/>
        <v>0</v>
      </c>
      <c r="BZ711" s="137">
        <f>IF(BY711&gt;0,BY711+LARGE($BZ$213:BZ710,1),0)</f>
        <v>0</v>
      </c>
      <c r="CA711" s="137">
        <f t="shared" si="3017"/>
        <v>0</v>
      </c>
      <c r="CB711" s="161">
        <f t="shared" si="3079"/>
        <v>0</v>
      </c>
      <c r="CC711" s="161">
        <f t="shared" si="3080"/>
        <v>0</v>
      </c>
      <c r="CD711" s="161">
        <f t="shared" si="3081"/>
        <v>0</v>
      </c>
      <c r="CE711" s="161">
        <f t="shared" si="3082"/>
        <v>0</v>
      </c>
      <c r="CF711" s="161">
        <f t="shared" si="3083"/>
        <v>0</v>
      </c>
      <c r="CG711" s="161">
        <f t="shared" si="3084"/>
        <v>0</v>
      </c>
      <c r="CH711" s="161">
        <f t="shared" si="3085"/>
        <v>0</v>
      </c>
      <c r="CI711" s="161">
        <f t="shared" si="3086"/>
        <v>0</v>
      </c>
      <c r="CJ711" s="161">
        <f t="shared" si="3087"/>
        <v>0</v>
      </c>
      <c r="CK711" s="161">
        <f t="shared" si="3088"/>
        <v>0</v>
      </c>
      <c r="CL711" s="161">
        <f t="shared" si="3089"/>
        <v>0</v>
      </c>
      <c r="CM711" s="161">
        <f t="shared" si="3090"/>
        <v>0</v>
      </c>
      <c r="CN711" s="161">
        <f t="shared" si="3091"/>
        <v>0</v>
      </c>
      <c r="CO711" s="161">
        <f t="shared" si="3092"/>
        <v>0</v>
      </c>
      <c r="CP711" s="161">
        <f t="shared" si="3093"/>
        <v>0</v>
      </c>
      <c r="CQ711" s="161">
        <f t="shared" si="3094"/>
        <v>0</v>
      </c>
      <c r="CR711" s="161">
        <f t="shared" si="3095"/>
        <v>0</v>
      </c>
      <c r="CS711" s="161">
        <f t="shared" si="3096"/>
        <v>0</v>
      </c>
      <c r="CT711" s="161">
        <f t="shared" si="3097"/>
        <v>0</v>
      </c>
      <c r="CU711" s="161">
        <f t="shared" si="3098"/>
        <v>0</v>
      </c>
      <c r="CV711" s="161">
        <f t="shared" si="3099"/>
        <v>0</v>
      </c>
      <c r="CW711" s="161">
        <f t="shared" si="3100"/>
        <v>0</v>
      </c>
      <c r="CX711" s="161">
        <f t="shared" si="3101"/>
        <v>0</v>
      </c>
      <c r="CY711" s="161">
        <f t="shared" si="3102"/>
        <v>0</v>
      </c>
      <c r="CZ711" s="161">
        <f t="shared" si="3103"/>
        <v>0</v>
      </c>
      <c r="DA711" s="161">
        <f t="shared" si="3104"/>
        <v>0</v>
      </c>
      <c r="DB711" s="161">
        <f t="shared" si="3105"/>
        <v>0</v>
      </c>
      <c r="DC711" s="161">
        <f t="shared" si="3106"/>
        <v>0</v>
      </c>
      <c r="DD711" s="161">
        <f t="shared" si="3107"/>
        <v>0</v>
      </c>
      <c r="DE711" s="161">
        <f t="shared" si="3108"/>
        <v>0</v>
      </c>
      <c r="DF711" s="161">
        <f t="shared" si="3109"/>
        <v>0</v>
      </c>
      <c r="DG711" s="161">
        <f t="shared" si="3110"/>
        <v>0</v>
      </c>
      <c r="DH711" s="161">
        <f t="shared" si="3111"/>
        <v>0</v>
      </c>
      <c r="DI711" s="161">
        <f t="shared" si="3112"/>
        <v>0</v>
      </c>
      <c r="DJ711" s="161">
        <f t="shared" si="3113"/>
        <v>0</v>
      </c>
      <c r="DK711" s="161">
        <f t="shared" si="3114"/>
        <v>0</v>
      </c>
      <c r="DL711" s="161">
        <f t="shared" si="3115"/>
        <v>0</v>
      </c>
      <c r="DM711" s="161">
        <f t="shared" si="3116"/>
        <v>0</v>
      </c>
      <c r="DN711" s="161">
        <f t="shared" si="3117"/>
        <v>0</v>
      </c>
      <c r="DO711" s="161">
        <f t="shared" si="3118"/>
        <v>0</v>
      </c>
      <c r="DP711" s="161">
        <f t="shared" si="3119"/>
        <v>0</v>
      </c>
      <c r="DQ711" s="161">
        <f t="shared" si="3120"/>
        <v>0</v>
      </c>
      <c r="DR711" s="161">
        <f t="shared" si="3121"/>
        <v>0</v>
      </c>
      <c r="DS711" s="161">
        <f t="shared" si="3122"/>
        <v>0</v>
      </c>
      <c r="DT711" s="161">
        <f t="shared" si="3123"/>
        <v>0</v>
      </c>
      <c r="DU711" s="161">
        <f t="shared" si="3124"/>
        <v>0</v>
      </c>
      <c r="DV711" s="161">
        <f t="shared" si="3125"/>
        <v>0</v>
      </c>
      <c r="DW711" s="161">
        <f t="shared" si="3126"/>
        <v>0</v>
      </c>
      <c r="DX711" s="161">
        <f t="shared" si="3127"/>
        <v>0</v>
      </c>
      <c r="DY711" s="161">
        <f t="shared" si="3128"/>
        <v>0</v>
      </c>
      <c r="DZ711" s="161">
        <f t="shared" si="3129"/>
        <v>0</v>
      </c>
      <c r="EA711" s="161">
        <f t="shared" si="3130"/>
        <v>0</v>
      </c>
      <c r="EB711" s="161">
        <f t="shared" si="3131"/>
        <v>0</v>
      </c>
      <c r="EC711" s="161">
        <f t="shared" si="3132"/>
        <v>0</v>
      </c>
      <c r="ED711" s="161">
        <f t="shared" si="3133"/>
        <v>0</v>
      </c>
      <c r="EE711" s="161">
        <f t="shared" si="3134"/>
        <v>0</v>
      </c>
      <c r="EF711" s="161">
        <f t="shared" si="3135"/>
        <v>0</v>
      </c>
      <c r="EG711" s="161">
        <f t="shared" si="3136"/>
        <v>0</v>
      </c>
      <c r="EH711" s="161">
        <f t="shared" si="3137"/>
        <v>0</v>
      </c>
      <c r="EI711" s="161">
        <f t="shared" si="3138"/>
        <v>0</v>
      </c>
    </row>
    <row r="712" spans="2:139" ht="12" hidden="1" customHeight="1" outlineLevel="1">
      <c r="B712" s="137" t="str">
        <f t="shared" si="3078"/>
        <v/>
      </c>
      <c r="C712" s="65"/>
      <c r="D712" s="65"/>
      <c r="E712" s="65"/>
      <c r="F712" s="164"/>
      <c r="G712" s="165"/>
      <c r="H712" s="166">
        <f t="shared" si="3012"/>
        <v>0</v>
      </c>
      <c r="I712" s="144">
        <f t="shared" si="3013"/>
        <v>0</v>
      </c>
      <c r="J712" s="65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  <c r="AB712" s="167"/>
      <c r="AC712" s="167"/>
      <c r="AD712" s="167"/>
      <c r="AE712" s="167"/>
      <c r="AF712" s="167"/>
      <c r="AG712" s="167"/>
      <c r="AH712" s="167"/>
      <c r="AI712" s="167"/>
      <c r="AJ712" s="167"/>
      <c r="AK712" s="167"/>
      <c r="AL712" s="167"/>
      <c r="AM712" s="167"/>
      <c r="AN712" s="167"/>
      <c r="AO712" s="167"/>
      <c r="AP712" s="167"/>
      <c r="AQ712" s="167"/>
      <c r="AR712" s="167"/>
      <c r="AS712" s="167"/>
      <c r="AT712" s="167"/>
      <c r="AU712" s="167"/>
      <c r="AV712" s="167"/>
      <c r="AW712" s="167"/>
      <c r="AX712" s="167"/>
      <c r="AY712" s="167"/>
      <c r="AZ712" s="167"/>
      <c r="BA712" s="167"/>
      <c r="BB712" s="167"/>
      <c r="BC712" s="167"/>
      <c r="BD712" s="167"/>
      <c r="BE712" s="167"/>
      <c r="BF712" s="167"/>
      <c r="BG712" s="167"/>
      <c r="BH712" s="167"/>
      <c r="BI712" s="167"/>
      <c r="BJ712" s="167"/>
      <c r="BK712" s="167"/>
      <c r="BL712" s="167"/>
      <c r="BM712" s="167"/>
      <c r="BN712" s="167"/>
      <c r="BO712" s="167"/>
      <c r="BP712" s="167"/>
      <c r="BQ712" s="167"/>
      <c r="BR712" s="167"/>
      <c r="BS712" s="65"/>
      <c r="BT712" s="160">
        <f t="shared" si="3014"/>
        <v>0</v>
      </c>
      <c r="BU712" s="160">
        <f t="shared" si="3015"/>
        <v>0</v>
      </c>
      <c r="BV712" s="65"/>
      <c r="BW712" s="69"/>
      <c r="BX712" s="65"/>
      <c r="BY712" s="137">
        <f t="shared" si="3016"/>
        <v>0</v>
      </c>
      <c r="BZ712" s="137">
        <f>IF(BY712&gt;0,BY712+LARGE($BZ$213:BZ711,1),0)</f>
        <v>0</v>
      </c>
      <c r="CA712" s="137">
        <f t="shared" si="3017"/>
        <v>0</v>
      </c>
      <c r="CB712" s="161">
        <f t="shared" si="3079"/>
        <v>0</v>
      </c>
      <c r="CC712" s="161">
        <f t="shared" si="3080"/>
        <v>0</v>
      </c>
      <c r="CD712" s="161">
        <f t="shared" si="3081"/>
        <v>0</v>
      </c>
      <c r="CE712" s="161">
        <f t="shared" si="3082"/>
        <v>0</v>
      </c>
      <c r="CF712" s="161">
        <f t="shared" si="3083"/>
        <v>0</v>
      </c>
      <c r="CG712" s="161">
        <f t="shared" si="3084"/>
        <v>0</v>
      </c>
      <c r="CH712" s="161">
        <f t="shared" si="3085"/>
        <v>0</v>
      </c>
      <c r="CI712" s="161">
        <f t="shared" si="3086"/>
        <v>0</v>
      </c>
      <c r="CJ712" s="161">
        <f t="shared" si="3087"/>
        <v>0</v>
      </c>
      <c r="CK712" s="161">
        <f t="shared" si="3088"/>
        <v>0</v>
      </c>
      <c r="CL712" s="161">
        <f t="shared" si="3089"/>
        <v>0</v>
      </c>
      <c r="CM712" s="161">
        <f t="shared" si="3090"/>
        <v>0</v>
      </c>
      <c r="CN712" s="161">
        <f t="shared" si="3091"/>
        <v>0</v>
      </c>
      <c r="CO712" s="161">
        <f t="shared" si="3092"/>
        <v>0</v>
      </c>
      <c r="CP712" s="161">
        <f t="shared" si="3093"/>
        <v>0</v>
      </c>
      <c r="CQ712" s="161">
        <f t="shared" si="3094"/>
        <v>0</v>
      </c>
      <c r="CR712" s="161">
        <f t="shared" si="3095"/>
        <v>0</v>
      </c>
      <c r="CS712" s="161">
        <f t="shared" si="3096"/>
        <v>0</v>
      </c>
      <c r="CT712" s="161">
        <f t="shared" si="3097"/>
        <v>0</v>
      </c>
      <c r="CU712" s="161">
        <f t="shared" si="3098"/>
        <v>0</v>
      </c>
      <c r="CV712" s="161">
        <f t="shared" si="3099"/>
        <v>0</v>
      </c>
      <c r="CW712" s="161">
        <f t="shared" si="3100"/>
        <v>0</v>
      </c>
      <c r="CX712" s="161">
        <f t="shared" si="3101"/>
        <v>0</v>
      </c>
      <c r="CY712" s="161">
        <f t="shared" si="3102"/>
        <v>0</v>
      </c>
      <c r="CZ712" s="161">
        <f t="shared" si="3103"/>
        <v>0</v>
      </c>
      <c r="DA712" s="161">
        <f t="shared" si="3104"/>
        <v>0</v>
      </c>
      <c r="DB712" s="161">
        <f t="shared" si="3105"/>
        <v>0</v>
      </c>
      <c r="DC712" s="161">
        <f t="shared" si="3106"/>
        <v>0</v>
      </c>
      <c r="DD712" s="161">
        <f t="shared" si="3107"/>
        <v>0</v>
      </c>
      <c r="DE712" s="161">
        <f t="shared" si="3108"/>
        <v>0</v>
      </c>
      <c r="DF712" s="161">
        <f t="shared" si="3109"/>
        <v>0</v>
      </c>
      <c r="DG712" s="161">
        <f t="shared" si="3110"/>
        <v>0</v>
      </c>
      <c r="DH712" s="161">
        <f t="shared" si="3111"/>
        <v>0</v>
      </c>
      <c r="DI712" s="161">
        <f t="shared" si="3112"/>
        <v>0</v>
      </c>
      <c r="DJ712" s="161">
        <f t="shared" si="3113"/>
        <v>0</v>
      </c>
      <c r="DK712" s="161">
        <f t="shared" si="3114"/>
        <v>0</v>
      </c>
      <c r="DL712" s="161">
        <f t="shared" si="3115"/>
        <v>0</v>
      </c>
      <c r="DM712" s="161">
        <f t="shared" si="3116"/>
        <v>0</v>
      </c>
      <c r="DN712" s="161">
        <f t="shared" si="3117"/>
        <v>0</v>
      </c>
      <c r="DO712" s="161">
        <f t="shared" si="3118"/>
        <v>0</v>
      </c>
      <c r="DP712" s="161">
        <f t="shared" si="3119"/>
        <v>0</v>
      </c>
      <c r="DQ712" s="161">
        <f t="shared" si="3120"/>
        <v>0</v>
      </c>
      <c r="DR712" s="161">
        <f t="shared" si="3121"/>
        <v>0</v>
      </c>
      <c r="DS712" s="161">
        <f t="shared" si="3122"/>
        <v>0</v>
      </c>
      <c r="DT712" s="161">
        <f t="shared" si="3123"/>
        <v>0</v>
      </c>
      <c r="DU712" s="161">
        <f t="shared" si="3124"/>
        <v>0</v>
      </c>
      <c r="DV712" s="161">
        <f t="shared" si="3125"/>
        <v>0</v>
      </c>
      <c r="DW712" s="161">
        <f t="shared" si="3126"/>
        <v>0</v>
      </c>
      <c r="DX712" s="161">
        <f t="shared" si="3127"/>
        <v>0</v>
      </c>
      <c r="DY712" s="161">
        <f t="shared" si="3128"/>
        <v>0</v>
      </c>
      <c r="DZ712" s="161">
        <f t="shared" si="3129"/>
        <v>0</v>
      </c>
      <c r="EA712" s="161">
        <f t="shared" si="3130"/>
        <v>0</v>
      </c>
      <c r="EB712" s="161">
        <f t="shared" si="3131"/>
        <v>0</v>
      </c>
      <c r="EC712" s="161">
        <f t="shared" si="3132"/>
        <v>0</v>
      </c>
      <c r="ED712" s="161">
        <f t="shared" si="3133"/>
        <v>0</v>
      </c>
      <c r="EE712" s="161">
        <f t="shared" si="3134"/>
        <v>0</v>
      </c>
      <c r="EF712" s="161">
        <f t="shared" si="3135"/>
        <v>0</v>
      </c>
      <c r="EG712" s="161">
        <f t="shared" si="3136"/>
        <v>0</v>
      </c>
      <c r="EH712" s="161">
        <f t="shared" si="3137"/>
        <v>0</v>
      </c>
      <c r="EI712" s="161">
        <f t="shared" si="3138"/>
        <v>0</v>
      </c>
    </row>
    <row r="713" spans="2:139" ht="12" hidden="1" customHeight="1" outlineLevel="1">
      <c r="B713" s="137" t="str">
        <f t="shared" si="3078"/>
        <v/>
      </c>
      <c r="C713" s="65"/>
      <c r="D713" s="65"/>
      <c r="E713" s="65"/>
      <c r="F713" s="164"/>
      <c r="G713" s="165"/>
      <c r="H713" s="166">
        <f t="shared" si="3012"/>
        <v>0</v>
      </c>
      <c r="I713" s="144">
        <f t="shared" si="3013"/>
        <v>0</v>
      </c>
      <c r="J713" s="65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  <c r="AB713" s="167"/>
      <c r="AC713" s="167"/>
      <c r="AD713" s="167"/>
      <c r="AE713" s="167"/>
      <c r="AF713" s="167"/>
      <c r="AG713" s="167"/>
      <c r="AH713" s="167"/>
      <c r="AI713" s="167"/>
      <c r="AJ713" s="167"/>
      <c r="AK713" s="167"/>
      <c r="AL713" s="167"/>
      <c r="AM713" s="167"/>
      <c r="AN713" s="167"/>
      <c r="AO713" s="167"/>
      <c r="AP713" s="167"/>
      <c r="AQ713" s="167"/>
      <c r="AR713" s="167"/>
      <c r="AS713" s="167"/>
      <c r="AT713" s="167"/>
      <c r="AU713" s="167"/>
      <c r="AV713" s="167"/>
      <c r="AW713" s="167"/>
      <c r="AX713" s="167"/>
      <c r="AY713" s="167"/>
      <c r="AZ713" s="167"/>
      <c r="BA713" s="167"/>
      <c r="BB713" s="167"/>
      <c r="BC713" s="167"/>
      <c r="BD713" s="167"/>
      <c r="BE713" s="167"/>
      <c r="BF713" s="167"/>
      <c r="BG713" s="167"/>
      <c r="BH713" s="167"/>
      <c r="BI713" s="167"/>
      <c r="BJ713" s="167"/>
      <c r="BK713" s="167"/>
      <c r="BL713" s="167"/>
      <c r="BM713" s="167"/>
      <c r="BN713" s="167"/>
      <c r="BO713" s="167"/>
      <c r="BP713" s="167"/>
      <c r="BQ713" s="167"/>
      <c r="BR713" s="167"/>
      <c r="BS713" s="65"/>
      <c r="BT713" s="160">
        <f t="shared" si="3014"/>
        <v>0</v>
      </c>
      <c r="BU713" s="160">
        <f t="shared" si="3015"/>
        <v>0</v>
      </c>
      <c r="BV713" s="65"/>
      <c r="BW713" s="69"/>
      <c r="BX713" s="65"/>
      <c r="BY713" s="137">
        <f t="shared" si="3016"/>
        <v>0</v>
      </c>
      <c r="BZ713" s="137">
        <f>IF(BY713&gt;0,BY713+LARGE($BZ$213:BZ712,1),0)</f>
        <v>0</v>
      </c>
      <c r="CA713" s="137">
        <f t="shared" si="3017"/>
        <v>0</v>
      </c>
      <c r="CB713" s="161">
        <f t="shared" si="3079"/>
        <v>0</v>
      </c>
      <c r="CC713" s="161">
        <f t="shared" si="3080"/>
        <v>0</v>
      </c>
      <c r="CD713" s="161">
        <f t="shared" si="3081"/>
        <v>0</v>
      </c>
      <c r="CE713" s="161">
        <f t="shared" si="3082"/>
        <v>0</v>
      </c>
      <c r="CF713" s="161">
        <f t="shared" si="3083"/>
        <v>0</v>
      </c>
      <c r="CG713" s="161">
        <f t="shared" si="3084"/>
        <v>0</v>
      </c>
      <c r="CH713" s="161">
        <f t="shared" si="3085"/>
        <v>0</v>
      </c>
      <c r="CI713" s="161">
        <f t="shared" si="3086"/>
        <v>0</v>
      </c>
      <c r="CJ713" s="161">
        <f t="shared" si="3087"/>
        <v>0</v>
      </c>
      <c r="CK713" s="161">
        <f t="shared" si="3088"/>
        <v>0</v>
      </c>
      <c r="CL713" s="161">
        <f t="shared" si="3089"/>
        <v>0</v>
      </c>
      <c r="CM713" s="161">
        <f t="shared" si="3090"/>
        <v>0</v>
      </c>
      <c r="CN713" s="161">
        <f t="shared" si="3091"/>
        <v>0</v>
      </c>
      <c r="CO713" s="161">
        <f t="shared" si="3092"/>
        <v>0</v>
      </c>
      <c r="CP713" s="161">
        <f t="shared" si="3093"/>
        <v>0</v>
      </c>
      <c r="CQ713" s="161">
        <f t="shared" si="3094"/>
        <v>0</v>
      </c>
      <c r="CR713" s="161">
        <f t="shared" si="3095"/>
        <v>0</v>
      </c>
      <c r="CS713" s="161">
        <f t="shared" si="3096"/>
        <v>0</v>
      </c>
      <c r="CT713" s="161">
        <f t="shared" si="3097"/>
        <v>0</v>
      </c>
      <c r="CU713" s="161">
        <f t="shared" si="3098"/>
        <v>0</v>
      </c>
      <c r="CV713" s="161">
        <f t="shared" si="3099"/>
        <v>0</v>
      </c>
      <c r="CW713" s="161">
        <f t="shared" si="3100"/>
        <v>0</v>
      </c>
      <c r="CX713" s="161">
        <f t="shared" si="3101"/>
        <v>0</v>
      </c>
      <c r="CY713" s="161">
        <f t="shared" si="3102"/>
        <v>0</v>
      </c>
      <c r="CZ713" s="161">
        <f t="shared" si="3103"/>
        <v>0</v>
      </c>
      <c r="DA713" s="161">
        <f t="shared" si="3104"/>
        <v>0</v>
      </c>
      <c r="DB713" s="161">
        <f t="shared" si="3105"/>
        <v>0</v>
      </c>
      <c r="DC713" s="161">
        <f t="shared" si="3106"/>
        <v>0</v>
      </c>
      <c r="DD713" s="161">
        <f t="shared" si="3107"/>
        <v>0</v>
      </c>
      <c r="DE713" s="161">
        <f t="shared" si="3108"/>
        <v>0</v>
      </c>
      <c r="DF713" s="161">
        <f t="shared" si="3109"/>
        <v>0</v>
      </c>
      <c r="DG713" s="161">
        <f t="shared" si="3110"/>
        <v>0</v>
      </c>
      <c r="DH713" s="161">
        <f t="shared" si="3111"/>
        <v>0</v>
      </c>
      <c r="DI713" s="161">
        <f t="shared" si="3112"/>
        <v>0</v>
      </c>
      <c r="DJ713" s="161">
        <f t="shared" si="3113"/>
        <v>0</v>
      </c>
      <c r="DK713" s="161">
        <f t="shared" si="3114"/>
        <v>0</v>
      </c>
      <c r="DL713" s="161">
        <f t="shared" si="3115"/>
        <v>0</v>
      </c>
      <c r="DM713" s="161">
        <f t="shared" si="3116"/>
        <v>0</v>
      </c>
      <c r="DN713" s="161">
        <f t="shared" si="3117"/>
        <v>0</v>
      </c>
      <c r="DO713" s="161">
        <f t="shared" si="3118"/>
        <v>0</v>
      </c>
      <c r="DP713" s="161">
        <f t="shared" si="3119"/>
        <v>0</v>
      </c>
      <c r="DQ713" s="161">
        <f t="shared" si="3120"/>
        <v>0</v>
      </c>
      <c r="DR713" s="161">
        <f t="shared" si="3121"/>
        <v>0</v>
      </c>
      <c r="DS713" s="161">
        <f t="shared" si="3122"/>
        <v>0</v>
      </c>
      <c r="DT713" s="161">
        <f t="shared" si="3123"/>
        <v>0</v>
      </c>
      <c r="DU713" s="161">
        <f t="shared" si="3124"/>
        <v>0</v>
      </c>
      <c r="DV713" s="161">
        <f t="shared" si="3125"/>
        <v>0</v>
      </c>
      <c r="DW713" s="161">
        <f t="shared" si="3126"/>
        <v>0</v>
      </c>
      <c r="DX713" s="161">
        <f t="shared" si="3127"/>
        <v>0</v>
      </c>
      <c r="DY713" s="161">
        <f t="shared" si="3128"/>
        <v>0</v>
      </c>
      <c r="DZ713" s="161">
        <f t="shared" si="3129"/>
        <v>0</v>
      </c>
      <c r="EA713" s="161">
        <f t="shared" si="3130"/>
        <v>0</v>
      </c>
      <c r="EB713" s="161">
        <f t="shared" si="3131"/>
        <v>0</v>
      </c>
      <c r="EC713" s="161">
        <f t="shared" si="3132"/>
        <v>0</v>
      </c>
      <c r="ED713" s="161">
        <f t="shared" si="3133"/>
        <v>0</v>
      </c>
      <c r="EE713" s="161">
        <f t="shared" si="3134"/>
        <v>0</v>
      </c>
      <c r="EF713" s="161">
        <f t="shared" si="3135"/>
        <v>0</v>
      </c>
      <c r="EG713" s="161">
        <f t="shared" si="3136"/>
        <v>0</v>
      </c>
      <c r="EH713" s="161">
        <f t="shared" si="3137"/>
        <v>0</v>
      </c>
      <c r="EI713" s="161">
        <f t="shared" si="3138"/>
        <v>0</v>
      </c>
    </row>
    <row r="714" spans="2:139" ht="12" hidden="1" customHeight="1" outlineLevel="1">
      <c r="B714" s="137" t="str">
        <f t="shared" si="3078"/>
        <v/>
      </c>
      <c r="C714" s="65"/>
      <c r="D714" s="65"/>
      <c r="E714" s="65"/>
      <c r="F714" s="164"/>
      <c r="G714" s="165"/>
      <c r="H714" s="166">
        <f t="shared" si="3012"/>
        <v>0</v>
      </c>
      <c r="I714" s="144">
        <f t="shared" si="3013"/>
        <v>0</v>
      </c>
      <c r="J714" s="65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  <c r="AB714" s="167"/>
      <c r="AC714" s="167"/>
      <c r="AD714" s="167"/>
      <c r="AE714" s="167"/>
      <c r="AF714" s="167"/>
      <c r="AG714" s="167"/>
      <c r="AH714" s="167"/>
      <c r="AI714" s="167"/>
      <c r="AJ714" s="167"/>
      <c r="AK714" s="167"/>
      <c r="AL714" s="167"/>
      <c r="AM714" s="167"/>
      <c r="AN714" s="167"/>
      <c r="AO714" s="167"/>
      <c r="AP714" s="167"/>
      <c r="AQ714" s="167"/>
      <c r="AR714" s="167"/>
      <c r="AS714" s="167"/>
      <c r="AT714" s="167"/>
      <c r="AU714" s="167"/>
      <c r="AV714" s="167"/>
      <c r="AW714" s="167"/>
      <c r="AX714" s="167"/>
      <c r="AY714" s="167"/>
      <c r="AZ714" s="167"/>
      <c r="BA714" s="167"/>
      <c r="BB714" s="167"/>
      <c r="BC714" s="167"/>
      <c r="BD714" s="167"/>
      <c r="BE714" s="167"/>
      <c r="BF714" s="167"/>
      <c r="BG714" s="167"/>
      <c r="BH714" s="167"/>
      <c r="BI714" s="167"/>
      <c r="BJ714" s="167"/>
      <c r="BK714" s="167"/>
      <c r="BL714" s="167"/>
      <c r="BM714" s="167"/>
      <c r="BN714" s="167"/>
      <c r="BO714" s="167"/>
      <c r="BP714" s="167"/>
      <c r="BQ714" s="167"/>
      <c r="BR714" s="167"/>
      <c r="BS714" s="65"/>
      <c r="BT714" s="160">
        <f t="shared" si="3014"/>
        <v>0</v>
      </c>
      <c r="BU714" s="160">
        <f t="shared" si="3015"/>
        <v>0</v>
      </c>
      <c r="BV714" s="65"/>
      <c r="BW714" s="69"/>
      <c r="BX714" s="65"/>
      <c r="BY714" s="137">
        <f t="shared" si="3016"/>
        <v>0</v>
      </c>
      <c r="BZ714" s="137">
        <f>IF(BY714&gt;0,BY714+LARGE($BZ$213:BZ713,1),0)</f>
        <v>0</v>
      </c>
      <c r="CA714" s="137">
        <f t="shared" si="3017"/>
        <v>0</v>
      </c>
      <c r="CB714" s="161">
        <f t="shared" si="3079"/>
        <v>0</v>
      </c>
      <c r="CC714" s="161">
        <f t="shared" si="3080"/>
        <v>0</v>
      </c>
      <c r="CD714" s="161">
        <f t="shared" si="3081"/>
        <v>0</v>
      </c>
      <c r="CE714" s="161">
        <f t="shared" si="3082"/>
        <v>0</v>
      </c>
      <c r="CF714" s="161">
        <f t="shared" si="3083"/>
        <v>0</v>
      </c>
      <c r="CG714" s="161">
        <f t="shared" si="3084"/>
        <v>0</v>
      </c>
      <c r="CH714" s="161">
        <f t="shared" si="3085"/>
        <v>0</v>
      </c>
      <c r="CI714" s="161">
        <f t="shared" si="3086"/>
        <v>0</v>
      </c>
      <c r="CJ714" s="161">
        <f t="shared" si="3087"/>
        <v>0</v>
      </c>
      <c r="CK714" s="161">
        <f t="shared" si="3088"/>
        <v>0</v>
      </c>
      <c r="CL714" s="161">
        <f t="shared" si="3089"/>
        <v>0</v>
      </c>
      <c r="CM714" s="161">
        <f t="shared" si="3090"/>
        <v>0</v>
      </c>
      <c r="CN714" s="161">
        <f t="shared" si="3091"/>
        <v>0</v>
      </c>
      <c r="CO714" s="161">
        <f t="shared" si="3092"/>
        <v>0</v>
      </c>
      <c r="CP714" s="161">
        <f t="shared" si="3093"/>
        <v>0</v>
      </c>
      <c r="CQ714" s="161">
        <f t="shared" si="3094"/>
        <v>0</v>
      </c>
      <c r="CR714" s="161">
        <f t="shared" si="3095"/>
        <v>0</v>
      </c>
      <c r="CS714" s="161">
        <f t="shared" si="3096"/>
        <v>0</v>
      </c>
      <c r="CT714" s="161">
        <f t="shared" si="3097"/>
        <v>0</v>
      </c>
      <c r="CU714" s="161">
        <f t="shared" si="3098"/>
        <v>0</v>
      </c>
      <c r="CV714" s="161">
        <f t="shared" si="3099"/>
        <v>0</v>
      </c>
      <c r="CW714" s="161">
        <f t="shared" si="3100"/>
        <v>0</v>
      </c>
      <c r="CX714" s="161">
        <f t="shared" si="3101"/>
        <v>0</v>
      </c>
      <c r="CY714" s="161">
        <f t="shared" si="3102"/>
        <v>0</v>
      </c>
      <c r="CZ714" s="161">
        <f t="shared" si="3103"/>
        <v>0</v>
      </c>
      <c r="DA714" s="161">
        <f t="shared" si="3104"/>
        <v>0</v>
      </c>
      <c r="DB714" s="161">
        <f t="shared" si="3105"/>
        <v>0</v>
      </c>
      <c r="DC714" s="161">
        <f t="shared" si="3106"/>
        <v>0</v>
      </c>
      <c r="DD714" s="161">
        <f t="shared" si="3107"/>
        <v>0</v>
      </c>
      <c r="DE714" s="161">
        <f t="shared" si="3108"/>
        <v>0</v>
      </c>
      <c r="DF714" s="161">
        <f t="shared" si="3109"/>
        <v>0</v>
      </c>
      <c r="DG714" s="161">
        <f t="shared" si="3110"/>
        <v>0</v>
      </c>
      <c r="DH714" s="161">
        <f t="shared" si="3111"/>
        <v>0</v>
      </c>
      <c r="DI714" s="161">
        <f t="shared" si="3112"/>
        <v>0</v>
      </c>
      <c r="DJ714" s="161">
        <f t="shared" si="3113"/>
        <v>0</v>
      </c>
      <c r="DK714" s="161">
        <f t="shared" si="3114"/>
        <v>0</v>
      </c>
      <c r="DL714" s="161">
        <f t="shared" si="3115"/>
        <v>0</v>
      </c>
      <c r="DM714" s="161">
        <f t="shared" si="3116"/>
        <v>0</v>
      </c>
      <c r="DN714" s="161">
        <f t="shared" si="3117"/>
        <v>0</v>
      </c>
      <c r="DO714" s="161">
        <f t="shared" si="3118"/>
        <v>0</v>
      </c>
      <c r="DP714" s="161">
        <f t="shared" si="3119"/>
        <v>0</v>
      </c>
      <c r="DQ714" s="161">
        <f t="shared" si="3120"/>
        <v>0</v>
      </c>
      <c r="DR714" s="161">
        <f t="shared" si="3121"/>
        <v>0</v>
      </c>
      <c r="DS714" s="161">
        <f t="shared" si="3122"/>
        <v>0</v>
      </c>
      <c r="DT714" s="161">
        <f t="shared" si="3123"/>
        <v>0</v>
      </c>
      <c r="DU714" s="161">
        <f t="shared" si="3124"/>
        <v>0</v>
      </c>
      <c r="DV714" s="161">
        <f t="shared" si="3125"/>
        <v>0</v>
      </c>
      <c r="DW714" s="161">
        <f t="shared" si="3126"/>
        <v>0</v>
      </c>
      <c r="DX714" s="161">
        <f t="shared" si="3127"/>
        <v>0</v>
      </c>
      <c r="DY714" s="161">
        <f t="shared" si="3128"/>
        <v>0</v>
      </c>
      <c r="DZ714" s="161">
        <f t="shared" si="3129"/>
        <v>0</v>
      </c>
      <c r="EA714" s="161">
        <f t="shared" si="3130"/>
        <v>0</v>
      </c>
      <c r="EB714" s="161">
        <f t="shared" si="3131"/>
        <v>0</v>
      </c>
      <c r="EC714" s="161">
        <f t="shared" si="3132"/>
        <v>0</v>
      </c>
      <c r="ED714" s="161">
        <f t="shared" si="3133"/>
        <v>0</v>
      </c>
      <c r="EE714" s="161">
        <f t="shared" si="3134"/>
        <v>0</v>
      </c>
      <c r="EF714" s="161">
        <f t="shared" si="3135"/>
        <v>0</v>
      </c>
      <c r="EG714" s="161">
        <f t="shared" si="3136"/>
        <v>0</v>
      </c>
      <c r="EH714" s="161">
        <f t="shared" si="3137"/>
        <v>0</v>
      </c>
      <c r="EI714" s="161">
        <f t="shared" si="3138"/>
        <v>0</v>
      </c>
    </row>
    <row r="715" spans="2:139" ht="12" hidden="1" customHeight="1" outlineLevel="1">
      <c r="B715" s="137" t="str">
        <f t="shared" si="3078"/>
        <v/>
      </c>
      <c r="C715" s="65"/>
      <c r="D715" s="65"/>
      <c r="E715" s="65"/>
      <c r="F715" s="164"/>
      <c r="G715" s="165"/>
      <c r="H715" s="166">
        <f t="shared" si="3012"/>
        <v>0</v>
      </c>
      <c r="I715" s="144">
        <f t="shared" si="3013"/>
        <v>0</v>
      </c>
      <c r="J715" s="65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  <c r="AB715" s="167"/>
      <c r="AC715" s="167"/>
      <c r="AD715" s="167"/>
      <c r="AE715" s="167"/>
      <c r="AF715" s="167"/>
      <c r="AG715" s="167"/>
      <c r="AH715" s="167"/>
      <c r="AI715" s="167"/>
      <c r="AJ715" s="167"/>
      <c r="AK715" s="167"/>
      <c r="AL715" s="167"/>
      <c r="AM715" s="167"/>
      <c r="AN715" s="167"/>
      <c r="AO715" s="167"/>
      <c r="AP715" s="167"/>
      <c r="AQ715" s="167"/>
      <c r="AR715" s="167"/>
      <c r="AS715" s="167"/>
      <c r="AT715" s="167"/>
      <c r="AU715" s="167"/>
      <c r="AV715" s="167"/>
      <c r="AW715" s="167"/>
      <c r="AX715" s="167"/>
      <c r="AY715" s="167"/>
      <c r="AZ715" s="167"/>
      <c r="BA715" s="167"/>
      <c r="BB715" s="167"/>
      <c r="BC715" s="167"/>
      <c r="BD715" s="167"/>
      <c r="BE715" s="167"/>
      <c r="BF715" s="167"/>
      <c r="BG715" s="167"/>
      <c r="BH715" s="167"/>
      <c r="BI715" s="167"/>
      <c r="BJ715" s="167"/>
      <c r="BK715" s="167"/>
      <c r="BL715" s="167"/>
      <c r="BM715" s="167"/>
      <c r="BN715" s="167"/>
      <c r="BO715" s="167"/>
      <c r="BP715" s="167"/>
      <c r="BQ715" s="167"/>
      <c r="BR715" s="167"/>
      <c r="BS715" s="65"/>
      <c r="BT715" s="160">
        <f t="shared" si="3014"/>
        <v>0</v>
      </c>
      <c r="BU715" s="160">
        <f t="shared" si="3015"/>
        <v>0</v>
      </c>
      <c r="BV715" s="65"/>
      <c r="BW715" s="69"/>
      <c r="BX715" s="65"/>
      <c r="BY715" s="137">
        <f t="shared" si="3016"/>
        <v>0</v>
      </c>
      <c r="BZ715" s="137">
        <f>IF(BY715&gt;0,BY715+LARGE($BZ$213:BZ714,1),0)</f>
        <v>0</v>
      </c>
      <c r="CA715" s="137">
        <f t="shared" si="3017"/>
        <v>0</v>
      </c>
      <c r="CB715" s="161">
        <f t="shared" si="3079"/>
        <v>0</v>
      </c>
      <c r="CC715" s="161">
        <f t="shared" si="3080"/>
        <v>0</v>
      </c>
      <c r="CD715" s="161">
        <f t="shared" si="3081"/>
        <v>0</v>
      </c>
      <c r="CE715" s="161">
        <f t="shared" si="3082"/>
        <v>0</v>
      </c>
      <c r="CF715" s="161">
        <f t="shared" si="3083"/>
        <v>0</v>
      </c>
      <c r="CG715" s="161">
        <f t="shared" si="3084"/>
        <v>0</v>
      </c>
      <c r="CH715" s="161">
        <f t="shared" si="3085"/>
        <v>0</v>
      </c>
      <c r="CI715" s="161">
        <f t="shared" si="3086"/>
        <v>0</v>
      </c>
      <c r="CJ715" s="161">
        <f t="shared" si="3087"/>
        <v>0</v>
      </c>
      <c r="CK715" s="161">
        <f t="shared" si="3088"/>
        <v>0</v>
      </c>
      <c r="CL715" s="161">
        <f t="shared" si="3089"/>
        <v>0</v>
      </c>
      <c r="CM715" s="161">
        <f t="shared" si="3090"/>
        <v>0</v>
      </c>
      <c r="CN715" s="161">
        <f t="shared" si="3091"/>
        <v>0</v>
      </c>
      <c r="CO715" s="161">
        <f t="shared" si="3092"/>
        <v>0</v>
      </c>
      <c r="CP715" s="161">
        <f t="shared" si="3093"/>
        <v>0</v>
      </c>
      <c r="CQ715" s="161">
        <f t="shared" si="3094"/>
        <v>0</v>
      </c>
      <c r="CR715" s="161">
        <f t="shared" si="3095"/>
        <v>0</v>
      </c>
      <c r="CS715" s="161">
        <f t="shared" si="3096"/>
        <v>0</v>
      </c>
      <c r="CT715" s="161">
        <f t="shared" si="3097"/>
        <v>0</v>
      </c>
      <c r="CU715" s="161">
        <f t="shared" si="3098"/>
        <v>0</v>
      </c>
      <c r="CV715" s="161">
        <f t="shared" si="3099"/>
        <v>0</v>
      </c>
      <c r="CW715" s="161">
        <f t="shared" si="3100"/>
        <v>0</v>
      </c>
      <c r="CX715" s="161">
        <f t="shared" si="3101"/>
        <v>0</v>
      </c>
      <c r="CY715" s="161">
        <f t="shared" si="3102"/>
        <v>0</v>
      </c>
      <c r="CZ715" s="161">
        <f t="shared" si="3103"/>
        <v>0</v>
      </c>
      <c r="DA715" s="161">
        <f t="shared" si="3104"/>
        <v>0</v>
      </c>
      <c r="DB715" s="161">
        <f t="shared" si="3105"/>
        <v>0</v>
      </c>
      <c r="DC715" s="161">
        <f t="shared" si="3106"/>
        <v>0</v>
      </c>
      <c r="DD715" s="161">
        <f t="shared" si="3107"/>
        <v>0</v>
      </c>
      <c r="DE715" s="161">
        <f t="shared" si="3108"/>
        <v>0</v>
      </c>
      <c r="DF715" s="161">
        <f t="shared" si="3109"/>
        <v>0</v>
      </c>
      <c r="DG715" s="161">
        <f t="shared" si="3110"/>
        <v>0</v>
      </c>
      <c r="DH715" s="161">
        <f t="shared" si="3111"/>
        <v>0</v>
      </c>
      <c r="DI715" s="161">
        <f t="shared" si="3112"/>
        <v>0</v>
      </c>
      <c r="DJ715" s="161">
        <f t="shared" si="3113"/>
        <v>0</v>
      </c>
      <c r="DK715" s="161">
        <f t="shared" si="3114"/>
        <v>0</v>
      </c>
      <c r="DL715" s="161">
        <f t="shared" si="3115"/>
        <v>0</v>
      </c>
      <c r="DM715" s="161">
        <f t="shared" si="3116"/>
        <v>0</v>
      </c>
      <c r="DN715" s="161">
        <f t="shared" si="3117"/>
        <v>0</v>
      </c>
      <c r="DO715" s="161">
        <f t="shared" si="3118"/>
        <v>0</v>
      </c>
      <c r="DP715" s="161">
        <f t="shared" si="3119"/>
        <v>0</v>
      </c>
      <c r="DQ715" s="161">
        <f t="shared" si="3120"/>
        <v>0</v>
      </c>
      <c r="DR715" s="161">
        <f t="shared" si="3121"/>
        <v>0</v>
      </c>
      <c r="DS715" s="161">
        <f t="shared" si="3122"/>
        <v>0</v>
      </c>
      <c r="DT715" s="161">
        <f t="shared" si="3123"/>
        <v>0</v>
      </c>
      <c r="DU715" s="161">
        <f t="shared" si="3124"/>
        <v>0</v>
      </c>
      <c r="DV715" s="161">
        <f t="shared" si="3125"/>
        <v>0</v>
      </c>
      <c r="DW715" s="161">
        <f t="shared" si="3126"/>
        <v>0</v>
      </c>
      <c r="DX715" s="161">
        <f t="shared" si="3127"/>
        <v>0</v>
      </c>
      <c r="DY715" s="161">
        <f t="shared" si="3128"/>
        <v>0</v>
      </c>
      <c r="DZ715" s="161">
        <f t="shared" si="3129"/>
        <v>0</v>
      </c>
      <c r="EA715" s="161">
        <f t="shared" si="3130"/>
        <v>0</v>
      </c>
      <c r="EB715" s="161">
        <f t="shared" si="3131"/>
        <v>0</v>
      </c>
      <c r="EC715" s="161">
        <f t="shared" si="3132"/>
        <v>0</v>
      </c>
      <c r="ED715" s="161">
        <f t="shared" si="3133"/>
        <v>0</v>
      </c>
      <c r="EE715" s="161">
        <f t="shared" si="3134"/>
        <v>0</v>
      </c>
      <c r="EF715" s="161">
        <f t="shared" si="3135"/>
        <v>0</v>
      </c>
      <c r="EG715" s="161">
        <f t="shared" si="3136"/>
        <v>0</v>
      </c>
      <c r="EH715" s="161">
        <f t="shared" si="3137"/>
        <v>0</v>
      </c>
      <c r="EI715" s="161">
        <f t="shared" si="3138"/>
        <v>0</v>
      </c>
    </row>
    <row r="716" spans="2:139" ht="12" hidden="1" customHeight="1" outlineLevel="1">
      <c r="B716" s="137" t="str">
        <f t="shared" si="3078"/>
        <v/>
      </c>
      <c r="C716" s="65"/>
      <c r="D716" s="65"/>
      <c r="E716" s="65"/>
      <c r="F716" s="164"/>
      <c r="G716" s="165"/>
      <c r="H716" s="166">
        <f t="shared" si="3012"/>
        <v>0</v>
      </c>
      <c r="I716" s="144">
        <f t="shared" si="3013"/>
        <v>0</v>
      </c>
      <c r="J716" s="65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  <c r="AB716" s="167"/>
      <c r="AC716" s="167"/>
      <c r="AD716" s="167"/>
      <c r="AE716" s="167"/>
      <c r="AF716" s="167"/>
      <c r="AG716" s="167"/>
      <c r="AH716" s="167"/>
      <c r="AI716" s="167"/>
      <c r="AJ716" s="167"/>
      <c r="AK716" s="167"/>
      <c r="AL716" s="167"/>
      <c r="AM716" s="167"/>
      <c r="AN716" s="167"/>
      <c r="AO716" s="167"/>
      <c r="AP716" s="167"/>
      <c r="AQ716" s="167"/>
      <c r="AR716" s="167"/>
      <c r="AS716" s="167"/>
      <c r="AT716" s="167"/>
      <c r="AU716" s="167"/>
      <c r="AV716" s="167"/>
      <c r="AW716" s="167"/>
      <c r="AX716" s="167"/>
      <c r="AY716" s="167"/>
      <c r="AZ716" s="167"/>
      <c r="BA716" s="167"/>
      <c r="BB716" s="167"/>
      <c r="BC716" s="167"/>
      <c r="BD716" s="167"/>
      <c r="BE716" s="167"/>
      <c r="BF716" s="167"/>
      <c r="BG716" s="167"/>
      <c r="BH716" s="167"/>
      <c r="BI716" s="167"/>
      <c r="BJ716" s="167"/>
      <c r="BK716" s="167"/>
      <c r="BL716" s="167"/>
      <c r="BM716" s="167"/>
      <c r="BN716" s="167"/>
      <c r="BO716" s="167"/>
      <c r="BP716" s="167"/>
      <c r="BQ716" s="167"/>
      <c r="BR716" s="167"/>
      <c r="BS716" s="65"/>
      <c r="BT716" s="160">
        <f t="shared" si="3014"/>
        <v>0</v>
      </c>
      <c r="BU716" s="160">
        <f t="shared" si="3015"/>
        <v>0</v>
      </c>
      <c r="BV716" s="65"/>
      <c r="BW716" s="69"/>
      <c r="BX716" s="65"/>
      <c r="BY716" s="137">
        <f t="shared" si="3016"/>
        <v>0</v>
      </c>
      <c r="BZ716" s="137">
        <f>IF(BY716&gt;0,BY716+LARGE($BZ$213:BZ715,1),0)</f>
        <v>0</v>
      </c>
      <c r="CA716" s="137">
        <f t="shared" si="3017"/>
        <v>0</v>
      </c>
      <c r="CB716" s="161">
        <f t="shared" si="3079"/>
        <v>0</v>
      </c>
      <c r="CC716" s="161">
        <f t="shared" si="3080"/>
        <v>0</v>
      </c>
      <c r="CD716" s="161">
        <f t="shared" si="3081"/>
        <v>0</v>
      </c>
      <c r="CE716" s="161">
        <f t="shared" si="3082"/>
        <v>0</v>
      </c>
      <c r="CF716" s="161">
        <f t="shared" si="3083"/>
        <v>0</v>
      </c>
      <c r="CG716" s="161">
        <f t="shared" si="3084"/>
        <v>0</v>
      </c>
      <c r="CH716" s="161">
        <f t="shared" si="3085"/>
        <v>0</v>
      </c>
      <c r="CI716" s="161">
        <f t="shared" si="3086"/>
        <v>0</v>
      </c>
      <c r="CJ716" s="161">
        <f t="shared" si="3087"/>
        <v>0</v>
      </c>
      <c r="CK716" s="161">
        <f t="shared" si="3088"/>
        <v>0</v>
      </c>
      <c r="CL716" s="161">
        <f t="shared" si="3089"/>
        <v>0</v>
      </c>
      <c r="CM716" s="161">
        <f t="shared" si="3090"/>
        <v>0</v>
      </c>
      <c r="CN716" s="161">
        <f t="shared" si="3091"/>
        <v>0</v>
      </c>
      <c r="CO716" s="161">
        <f t="shared" si="3092"/>
        <v>0</v>
      </c>
      <c r="CP716" s="161">
        <f t="shared" si="3093"/>
        <v>0</v>
      </c>
      <c r="CQ716" s="161">
        <f t="shared" si="3094"/>
        <v>0</v>
      </c>
      <c r="CR716" s="161">
        <f t="shared" si="3095"/>
        <v>0</v>
      </c>
      <c r="CS716" s="161">
        <f t="shared" si="3096"/>
        <v>0</v>
      </c>
      <c r="CT716" s="161">
        <f t="shared" si="3097"/>
        <v>0</v>
      </c>
      <c r="CU716" s="161">
        <f t="shared" si="3098"/>
        <v>0</v>
      </c>
      <c r="CV716" s="161">
        <f t="shared" si="3099"/>
        <v>0</v>
      </c>
      <c r="CW716" s="161">
        <f t="shared" si="3100"/>
        <v>0</v>
      </c>
      <c r="CX716" s="161">
        <f t="shared" si="3101"/>
        <v>0</v>
      </c>
      <c r="CY716" s="161">
        <f t="shared" si="3102"/>
        <v>0</v>
      </c>
      <c r="CZ716" s="161">
        <f t="shared" si="3103"/>
        <v>0</v>
      </c>
      <c r="DA716" s="161">
        <f t="shared" si="3104"/>
        <v>0</v>
      </c>
      <c r="DB716" s="161">
        <f t="shared" si="3105"/>
        <v>0</v>
      </c>
      <c r="DC716" s="161">
        <f t="shared" si="3106"/>
        <v>0</v>
      </c>
      <c r="DD716" s="161">
        <f t="shared" si="3107"/>
        <v>0</v>
      </c>
      <c r="DE716" s="161">
        <f t="shared" si="3108"/>
        <v>0</v>
      </c>
      <c r="DF716" s="161">
        <f t="shared" si="3109"/>
        <v>0</v>
      </c>
      <c r="DG716" s="161">
        <f t="shared" si="3110"/>
        <v>0</v>
      </c>
      <c r="DH716" s="161">
        <f t="shared" si="3111"/>
        <v>0</v>
      </c>
      <c r="DI716" s="161">
        <f t="shared" si="3112"/>
        <v>0</v>
      </c>
      <c r="DJ716" s="161">
        <f t="shared" si="3113"/>
        <v>0</v>
      </c>
      <c r="DK716" s="161">
        <f t="shared" si="3114"/>
        <v>0</v>
      </c>
      <c r="DL716" s="161">
        <f t="shared" si="3115"/>
        <v>0</v>
      </c>
      <c r="DM716" s="161">
        <f t="shared" si="3116"/>
        <v>0</v>
      </c>
      <c r="DN716" s="161">
        <f t="shared" si="3117"/>
        <v>0</v>
      </c>
      <c r="DO716" s="161">
        <f t="shared" si="3118"/>
        <v>0</v>
      </c>
      <c r="DP716" s="161">
        <f t="shared" si="3119"/>
        <v>0</v>
      </c>
      <c r="DQ716" s="161">
        <f t="shared" si="3120"/>
        <v>0</v>
      </c>
      <c r="DR716" s="161">
        <f t="shared" si="3121"/>
        <v>0</v>
      </c>
      <c r="DS716" s="161">
        <f t="shared" si="3122"/>
        <v>0</v>
      </c>
      <c r="DT716" s="161">
        <f t="shared" si="3123"/>
        <v>0</v>
      </c>
      <c r="DU716" s="161">
        <f t="shared" si="3124"/>
        <v>0</v>
      </c>
      <c r="DV716" s="161">
        <f t="shared" si="3125"/>
        <v>0</v>
      </c>
      <c r="DW716" s="161">
        <f t="shared" si="3126"/>
        <v>0</v>
      </c>
      <c r="DX716" s="161">
        <f t="shared" si="3127"/>
        <v>0</v>
      </c>
      <c r="DY716" s="161">
        <f t="shared" si="3128"/>
        <v>0</v>
      </c>
      <c r="DZ716" s="161">
        <f t="shared" si="3129"/>
        <v>0</v>
      </c>
      <c r="EA716" s="161">
        <f t="shared" si="3130"/>
        <v>0</v>
      </c>
      <c r="EB716" s="161">
        <f t="shared" si="3131"/>
        <v>0</v>
      </c>
      <c r="EC716" s="161">
        <f t="shared" si="3132"/>
        <v>0</v>
      </c>
      <c r="ED716" s="161">
        <f t="shared" si="3133"/>
        <v>0</v>
      </c>
      <c r="EE716" s="161">
        <f t="shared" si="3134"/>
        <v>0</v>
      </c>
      <c r="EF716" s="161">
        <f t="shared" si="3135"/>
        <v>0</v>
      </c>
      <c r="EG716" s="161">
        <f t="shared" si="3136"/>
        <v>0</v>
      </c>
      <c r="EH716" s="161">
        <f t="shared" si="3137"/>
        <v>0</v>
      </c>
      <c r="EI716" s="161">
        <f t="shared" si="3138"/>
        <v>0</v>
      </c>
    </row>
    <row r="717" spans="2:139" ht="12" hidden="1" customHeight="1" outlineLevel="1">
      <c r="B717" s="137" t="str">
        <f t="shared" si="3078"/>
        <v/>
      </c>
      <c r="C717" s="65"/>
      <c r="D717" s="65"/>
      <c r="E717" s="65"/>
      <c r="F717" s="164"/>
      <c r="G717" s="165"/>
      <c r="H717" s="166">
        <f t="shared" si="3012"/>
        <v>0</v>
      </c>
      <c r="I717" s="144">
        <f t="shared" si="3013"/>
        <v>0</v>
      </c>
      <c r="J717" s="65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  <c r="AB717" s="167"/>
      <c r="AC717" s="167"/>
      <c r="AD717" s="167"/>
      <c r="AE717" s="167"/>
      <c r="AF717" s="167"/>
      <c r="AG717" s="167"/>
      <c r="AH717" s="167"/>
      <c r="AI717" s="167"/>
      <c r="AJ717" s="167"/>
      <c r="AK717" s="167"/>
      <c r="AL717" s="167"/>
      <c r="AM717" s="167"/>
      <c r="AN717" s="167"/>
      <c r="AO717" s="167"/>
      <c r="AP717" s="167"/>
      <c r="AQ717" s="167"/>
      <c r="AR717" s="167"/>
      <c r="AS717" s="167"/>
      <c r="AT717" s="167"/>
      <c r="AU717" s="167"/>
      <c r="AV717" s="167"/>
      <c r="AW717" s="167"/>
      <c r="AX717" s="167"/>
      <c r="AY717" s="167"/>
      <c r="AZ717" s="167"/>
      <c r="BA717" s="167"/>
      <c r="BB717" s="167"/>
      <c r="BC717" s="167"/>
      <c r="BD717" s="167"/>
      <c r="BE717" s="167"/>
      <c r="BF717" s="167"/>
      <c r="BG717" s="167"/>
      <c r="BH717" s="167"/>
      <c r="BI717" s="167"/>
      <c r="BJ717" s="167"/>
      <c r="BK717" s="167"/>
      <c r="BL717" s="167"/>
      <c r="BM717" s="167"/>
      <c r="BN717" s="167"/>
      <c r="BO717" s="167"/>
      <c r="BP717" s="167"/>
      <c r="BQ717" s="167"/>
      <c r="BR717" s="167"/>
      <c r="BS717" s="65"/>
      <c r="BT717" s="160">
        <f t="shared" si="3014"/>
        <v>0</v>
      </c>
      <c r="BU717" s="160">
        <f t="shared" si="3015"/>
        <v>0</v>
      </c>
      <c r="BV717" s="65"/>
      <c r="BW717" s="69"/>
      <c r="BX717" s="65"/>
      <c r="BY717" s="137">
        <f t="shared" si="3016"/>
        <v>0</v>
      </c>
      <c r="BZ717" s="137">
        <f>IF(BY717&gt;0,BY717+LARGE($BZ$213:BZ716,1),0)</f>
        <v>0</v>
      </c>
      <c r="CA717" s="137">
        <f t="shared" si="3017"/>
        <v>0</v>
      </c>
      <c r="CB717" s="161">
        <f t="shared" si="3079"/>
        <v>0</v>
      </c>
      <c r="CC717" s="161">
        <f t="shared" si="3080"/>
        <v>0</v>
      </c>
      <c r="CD717" s="161">
        <f t="shared" si="3081"/>
        <v>0</v>
      </c>
      <c r="CE717" s="161">
        <f t="shared" si="3082"/>
        <v>0</v>
      </c>
      <c r="CF717" s="161">
        <f t="shared" si="3083"/>
        <v>0</v>
      </c>
      <c r="CG717" s="161">
        <f t="shared" si="3084"/>
        <v>0</v>
      </c>
      <c r="CH717" s="161">
        <f t="shared" si="3085"/>
        <v>0</v>
      </c>
      <c r="CI717" s="161">
        <f t="shared" si="3086"/>
        <v>0</v>
      </c>
      <c r="CJ717" s="161">
        <f t="shared" si="3087"/>
        <v>0</v>
      </c>
      <c r="CK717" s="161">
        <f t="shared" si="3088"/>
        <v>0</v>
      </c>
      <c r="CL717" s="161">
        <f t="shared" si="3089"/>
        <v>0</v>
      </c>
      <c r="CM717" s="161">
        <f t="shared" si="3090"/>
        <v>0</v>
      </c>
      <c r="CN717" s="161">
        <f t="shared" si="3091"/>
        <v>0</v>
      </c>
      <c r="CO717" s="161">
        <f t="shared" si="3092"/>
        <v>0</v>
      </c>
      <c r="CP717" s="161">
        <f t="shared" si="3093"/>
        <v>0</v>
      </c>
      <c r="CQ717" s="161">
        <f t="shared" si="3094"/>
        <v>0</v>
      </c>
      <c r="CR717" s="161">
        <f t="shared" si="3095"/>
        <v>0</v>
      </c>
      <c r="CS717" s="161">
        <f t="shared" si="3096"/>
        <v>0</v>
      </c>
      <c r="CT717" s="161">
        <f t="shared" si="3097"/>
        <v>0</v>
      </c>
      <c r="CU717" s="161">
        <f t="shared" si="3098"/>
        <v>0</v>
      </c>
      <c r="CV717" s="161">
        <f t="shared" si="3099"/>
        <v>0</v>
      </c>
      <c r="CW717" s="161">
        <f t="shared" si="3100"/>
        <v>0</v>
      </c>
      <c r="CX717" s="161">
        <f t="shared" si="3101"/>
        <v>0</v>
      </c>
      <c r="CY717" s="161">
        <f t="shared" si="3102"/>
        <v>0</v>
      </c>
      <c r="CZ717" s="161">
        <f t="shared" si="3103"/>
        <v>0</v>
      </c>
      <c r="DA717" s="161">
        <f t="shared" si="3104"/>
        <v>0</v>
      </c>
      <c r="DB717" s="161">
        <f t="shared" si="3105"/>
        <v>0</v>
      </c>
      <c r="DC717" s="161">
        <f t="shared" si="3106"/>
        <v>0</v>
      </c>
      <c r="DD717" s="161">
        <f t="shared" si="3107"/>
        <v>0</v>
      </c>
      <c r="DE717" s="161">
        <f t="shared" si="3108"/>
        <v>0</v>
      </c>
      <c r="DF717" s="161">
        <f t="shared" si="3109"/>
        <v>0</v>
      </c>
      <c r="DG717" s="161">
        <f t="shared" si="3110"/>
        <v>0</v>
      </c>
      <c r="DH717" s="161">
        <f t="shared" si="3111"/>
        <v>0</v>
      </c>
      <c r="DI717" s="161">
        <f t="shared" si="3112"/>
        <v>0</v>
      </c>
      <c r="DJ717" s="161">
        <f t="shared" si="3113"/>
        <v>0</v>
      </c>
      <c r="DK717" s="161">
        <f t="shared" si="3114"/>
        <v>0</v>
      </c>
      <c r="DL717" s="161">
        <f t="shared" si="3115"/>
        <v>0</v>
      </c>
      <c r="DM717" s="161">
        <f t="shared" si="3116"/>
        <v>0</v>
      </c>
      <c r="DN717" s="161">
        <f t="shared" si="3117"/>
        <v>0</v>
      </c>
      <c r="DO717" s="161">
        <f t="shared" si="3118"/>
        <v>0</v>
      </c>
      <c r="DP717" s="161">
        <f t="shared" si="3119"/>
        <v>0</v>
      </c>
      <c r="DQ717" s="161">
        <f t="shared" si="3120"/>
        <v>0</v>
      </c>
      <c r="DR717" s="161">
        <f t="shared" si="3121"/>
        <v>0</v>
      </c>
      <c r="DS717" s="161">
        <f t="shared" si="3122"/>
        <v>0</v>
      </c>
      <c r="DT717" s="161">
        <f t="shared" si="3123"/>
        <v>0</v>
      </c>
      <c r="DU717" s="161">
        <f t="shared" si="3124"/>
        <v>0</v>
      </c>
      <c r="DV717" s="161">
        <f t="shared" si="3125"/>
        <v>0</v>
      </c>
      <c r="DW717" s="161">
        <f t="shared" si="3126"/>
        <v>0</v>
      </c>
      <c r="DX717" s="161">
        <f t="shared" si="3127"/>
        <v>0</v>
      </c>
      <c r="DY717" s="161">
        <f t="shared" si="3128"/>
        <v>0</v>
      </c>
      <c r="DZ717" s="161">
        <f t="shared" si="3129"/>
        <v>0</v>
      </c>
      <c r="EA717" s="161">
        <f t="shared" si="3130"/>
        <v>0</v>
      </c>
      <c r="EB717" s="161">
        <f t="shared" si="3131"/>
        <v>0</v>
      </c>
      <c r="EC717" s="161">
        <f t="shared" si="3132"/>
        <v>0</v>
      </c>
      <c r="ED717" s="161">
        <f t="shared" si="3133"/>
        <v>0</v>
      </c>
      <c r="EE717" s="161">
        <f t="shared" si="3134"/>
        <v>0</v>
      </c>
      <c r="EF717" s="161">
        <f t="shared" si="3135"/>
        <v>0</v>
      </c>
      <c r="EG717" s="161">
        <f t="shared" si="3136"/>
        <v>0</v>
      </c>
      <c r="EH717" s="161">
        <f t="shared" si="3137"/>
        <v>0</v>
      </c>
      <c r="EI717" s="161">
        <f t="shared" si="3138"/>
        <v>0</v>
      </c>
    </row>
    <row r="718" spans="2:139" ht="12" hidden="1" customHeight="1" outlineLevel="1">
      <c r="B718" s="137" t="str">
        <f t="shared" si="3078"/>
        <v/>
      </c>
      <c r="C718" s="65"/>
      <c r="D718" s="65"/>
      <c r="E718" s="65"/>
      <c r="F718" s="164"/>
      <c r="G718" s="165"/>
      <c r="H718" s="166">
        <f t="shared" si="3012"/>
        <v>0</v>
      </c>
      <c r="I718" s="144">
        <f t="shared" si="3013"/>
        <v>0</v>
      </c>
      <c r="J718" s="65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  <c r="AB718" s="167"/>
      <c r="AC718" s="167"/>
      <c r="AD718" s="167"/>
      <c r="AE718" s="167"/>
      <c r="AF718" s="167"/>
      <c r="AG718" s="167"/>
      <c r="AH718" s="167"/>
      <c r="AI718" s="167"/>
      <c r="AJ718" s="167"/>
      <c r="AK718" s="167"/>
      <c r="AL718" s="167"/>
      <c r="AM718" s="167"/>
      <c r="AN718" s="167"/>
      <c r="AO718" s="167"/>
      <c r="AP718" s="167"/>
      <c r="AQ718" s="167"/>
      <c r="AR718" s="167"/>
      <c r="AS718" s="167"/>
      <c r="AT718" s="167"/>
      <c r="AU718" s="167"/>
      <c r="AV718" s="167"/>
      <c r="AW718" s="167"/>
      <c r="AX718" s="167"/>
      <c r="AY718" s="167"/>
      <c r="AZ718" s="167"/>
      <c r="BA718" s="167"/>
      <c r="BB718" s="167"/>
      <c r="BC718" s="167"/>
      <c r="BD718" s="167"/>
      <c r="BE718" s="167"/>
      <c r="BF718" s="167"/>
      <c r="BG718" s="167"/>
      <c r="BH718" s="167"/>
      <c r="BI718" s="167"/>
      <c r="BJ718" s="167"/>
      <c r="BK718" s="167"/>
      <c r="BL718" s="167"/>
      <c r="BM718" s="167"/>
      <c r="BN718" s="167"/>
      <c r="BO718" s="167"/>
      <c r="BP718" s="167"/>
      <c r="BQ718" s="167"/>
      <c r="BR718" s="167"/>
      <c r="BS718" s="65"/>
      <c r="BT718" s="160">
        <f t="shared" si="3014"/>
        <v>0</v>
      </c>
      <c r="BU718" s="160">
        <f t="shared" si="3015"/>
        <v>0</v>
      </c>
      <c r="BV718" s="65"/>
      <c r="BW718" s="69"/>
      <c r="BX718" s="65"/>
      <c r="BY718" s="137">
        <f t="shared" si="3016"/>
        <v>0</v>
      </c>
      <c r="BZ718" s="137">
        <f>IF(BY718&gt;0,BY718+LARGE($BZ$213:BZ717,1),0)</f>
        <v>0</v>
      </c>
      <c r="CA718" s="137">
        <f t="shared" si="3017"/>
        <v>0</v>
      </c>
      <c r="CB718" s="161">
        <f t="shared" si="3079"/>
        <v>0</v>
      </c>
      <c r="CC718" s="161">
        <f t="shared" si="3080"/>
        <v>0</v>
      </c>
      <c r="CD718" s="161">
        <f t="shared" si="3081"/>
        <v>0</v>
      </c>
      <c r="CE718" s="161">
        <f t="shared" si="3082"/>
        <v>0</v>
      </c>
      <c r="CF718" s="161">
        <f t="shared" si="3083"/>
        <v>0</v>
      </c>
      <c r="CG718" s="161">
        <f t="shared" si="3084"/>
        <v>0</v>
      </c>
      <c r="CH718" s="161">
        <f t="shared" si="3085"/>
        <v>0</v>
      </c>
      <c r="CI718" s="161">
        <f t="shared" si="3086"/>
        <v>0</v>
      </c>
      <c r="CJ718" s="161">
        <f t="shared" si="3087"/>
        <v>0</v>
      </c>
      <c r="CK718" s="161">
        <f t="shared" si="3088"/>
        <v>0</v>
      </c>
      <c r="CL718" s="161">
        <f t="shared" si="3089"/>
        <v>0</v>
      </c>
      <c r="CM718" s="161">
        <f t="shared" si="3090"/>
        <v>0</v>
      </c>
      <c r="CN718" s="161">
        <f t="shared" si="3091"/>
        <v>0</v>
      </c>
      <c r="CO718" s="161">
        <f t="shared" si="3092"/>
        <v>0</v>
      </c>
      <c r="CP718" s="161">
        <f t="shared" si="3093"/>
        <v>0</v>
      </c>
      <c r="CQ718" s="161">
        <f t="shared" si="3094"/>
        <v>0</v>
      </c>
      <c r="CR718" s="161">
        <f t="shared" si="3095"/>
        <v>0</v>
      </c>
      <c r="CS718" s="161">
        <f t="shared" si="3096"/>
        <v>0</v>
      </c>
      <c r="CT718" s="161">
        <f t="shared" si="3097"/>
        <v>0</v>
      </c>
      <c r="CU718" s="161">
        <f t="shared" si="3098"/>
        <v>0</v>
      </c>
      <c r="CV718" s="161">
        <f t="shared" si="3099"/>
        <v>0</v>
      </c>
      <c r="CW718" s="161">
        <f t="shared" si="3100"/>
        <v>0</v>
      </c>
      <c r="CX718" s="161">
        <f t="shared" si="3101"/>
        <v>0</v>
      </c>
      <c r="CY718" s="161">
        <f t="shared" si="3102"/>
        <v>0</v>
      </c>
      <c r="CZ718" s="161">
        <f t="shared" si="3103"/>
        <v>0</v>
      </c>
      <c r="DA718" s="161">
        <f t="shared" si="3104"/>
        <v>0</v>
      </c>
      <c r="DB718" s="161">
        <f t="shared" si="3105"/>
        <v>0</v>
      </c>
      <c r="DC718" s="161">
        <f t="shared" si="3106"/>
        <v>0</v>
      </c>
      <c r="DD718" s="161">
        <f t="shared" si="3107"/>
        <v>0</v>
      </c>
      <c r="DE718" s="161">
        <f t="shared" si="3108"/>
        <v>0</v>
      </c>
      <c r="DF718" s="161">
        <f t="shared" si="3109"/>
        <v>0</v>
      </c>
      <c r="DG718" s="161">
        <f t="shared" si="3110"/>
        <v>0</v>
      </c>
      <c r="DH718" s="161">
        <f t="shared" si="3111"/>
        <v>0</v>
      </c>
      <c r="DI718" s="161">
        <f t="shared" si="3112"/>
        <v>0</v>
      </c>
      <c r="DJ718" s="161">
        <f t="shared" si="3113"/>
        <v>0</v>
      </c>
      <c r="DK718" s="161">
        <f t="shared" si="3114"/>
        <v>0</v>
      </c>
      <c r="DL718" s="161">
        <f t="shared" si="3115"/>
        <v>0</v>
      </c>
      <c r="DM718" s="161">
        <f t="shared" si="3116"/>
        <v>0</v>
      </c>
      <c r="DN718" s="161">
        <f t="shared" si="3117"/>
        <v>0</v>
      </c>
      <c r="DO718" s="161">
        <f t="shared" si="3118"/>
        <v>0</v>
      </c>
      <c r="DP718" s="161">
        <f t="shared" si="3119"/>
        <v>0</v>
      </c>
      <c r="DQ718" s="161">
        <f t="shared" si="3120"/>
        <v>0</v>
      </c>
      <c r="DR718" s="161">
        <f t="shared" si="3121"/>
        <v>0</v>
      </c>
      <c r="DS718" s="161">
        <f t="shared" si="3122"/>
        <v>0</v>
      </c>
      <c r="DT718" s="161">
        <f t="shared" si="3123"/>
        <v>0</v>
      </c>
      <c r="DU718" s="161">
        <f t="shared" si="3124"/>
        <v>0</v>
      </c>
      <c r="DV718" s="161">
        <f t="shared" si="3125"/>
        <v>0</v>
      </c>
      <c r="DW718" s="161">
        <f t="shared" si="3126"/>
        <v>0</v>
      </c>
      <c r="DX718" s="161">
        <f t="shared" si="3127"/>
        <v>0</v>
      </c>
      <c r="DY718" s="161">
        <f t="shared" si="3128"/>
        <v>0</v>
      </c>
      <c r="DZ718" s="161">
        <f t="shared" si="3129"/>
        <v>0</v>
      </c>
      <c r="EA718" s="161">
        <f t="shared" si="3130"/>
        <v>0</v>
      </c>
      <c r="EB718" s="161">
        <f t="shared" si="3131"/>
        <v>0</v>
      </c>
      <c r="EC718" s="161">
        <f t="shared" si="3132"/>
        <v>0</v>
      </c>
      <c r="ED718" s="161">
        <f t="shared" si="3133"/>
        <v>0</v>
      </c>
      <c r="EE718" s="161">
        <f t="shared" si="3134"/>
        <v>0</v>
      </c>
      <c r="EF718" s="161">
        <f t="shared" si="3135"/>
        <v>0</v>
      </c>
      <c r="EG718" s="161">
        <f t="shared" si="3136"/>
        <v>0</v>
      </c>
      <c r="EH718" s="161">
        <f t="shared" si="3137"/>
        <v>0</v>
      </c>
      <c r="EI718" s="161">
        <f t="shared" si="3138"/>
        <v>0</v>
      </c>
    </row>
    <row r="719" spans="2:139" ht="12" hidden="1" customHeight="1" outlineLevel="1">
      <c r="B719" s="137" t="str">
        <f t="shared" si="3078"/>
        <v/>
      </c>
      <c r="C719" s="65"/>
      <c r="D719" s="65"/>
      <c r="E719" s="65"/>
      <c r="F719" s="164"/>
      <c r="G719" s="165"/>
      <c r="H719" s="166">
        <f t="shared" si="3012"/>
        <v>0</v>
      </c>
      <c r="I719" s="144">
        <f t="shared" si="3013"/>
        <v>0</v>
      </c>
      <c r="J719" s="65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  <c r="AB719" s="167"/>
      <c r="AC719" s="167"/>
      <c r="AD719" s="167"/>
      <c r="AE719" s="167"/>
      <c r="AF719" s="167"/>
      <c r="AG719" s="167"/>
      <c r="AH719" s="167"/>
      <c r="AI719" s="167"/>
      <c r="AJ719" s="167"/>
      <c r="AK719" s="167"/>
      <c r="AL719" s="167"/>
      <c r="AM719" s="167"/>
      <c r="AN719" s="167"/>
      <c r="AO719" s="167"/>
      <c r="AP719" s="167"/>
      <c r="AQ719" s="167"/>
      <c r="AR719" s="167"/>
      <c r="AS719" s="167"/>
      <c r="AT719" s="167"/>
      <c r="AU719" s="167"/>
      <c r="AV719" s="167"/>
      <c r="AW719" s="167"/>
      <c r="AX719" s="167"/>
      <c r="AY719" s="167"/>
      <c r="AZ719" s="167"/>
      <c r="BA719" s="167"/>
      <c r="BB719" s="167"/>
      <c r="BC719" s="167"/>
      <c r="BD719" s="167"/>
      <c r="BE719" s="167"/>
      <c r="BF719" s="167"/>
      <c r="BG719" s="167"/>
      <c r="BH719" s="167"/>
      <c r="BI719" s="167"/>
      <c r="BJ719" s="167"/>
      <c r="BK719" s="167"/>
      <c r="BL719" s="167"/>
      <c r="BM719" s="167"/>
      <c r="BN719" s="167"/>
      <c r="BO719" s="167"/>
      <c r="BP719" s="167"/>
      <c r="BQ719" s="167"/>
      <c r="BR719" s="167"/>
      <c r="BS719" s="65"/>
      <c r="BT719" s="160">
        <f t="shared" si="3014"/>
        <v>0</v>
      </c>
      <c r="BU719" s="160">
        <f t="shared" si="3015"/>
        <v>0</v>
      </c>
      <c r="BV719" s="65"/>
      <c r="BW719" s="69"/>
      <c r="BX719" s="65"/>
      <c r="BY719" s="137">
        <f t="shared" si="3016"/>
        <v>0</v>
      </c>
      <c r="BZ719" s="137">
        <f>IF(BY719&gt;0,BY719+LARGE($BZ$213:BZ718,1),0)</f>
        <v>0</v>
      </c>
      <c r="CA719" s="137">
        <f t="shared" si="3017"/>
        <v>0</v>
      </c>
      <c r="CB719" s="161">
        <f t="shared" si="3079"/>
        <v>0</v>
      </c>
      <c r="CC719" s="161">
        <f t="shared" si="3080"/>
        <v>0</v>
      </c>
      <c r="CD719" s="161">
        <f t="shared" si="3081"/>
        <v>0</v>
      </c>
      <c r="CE719" s="161">
        <f t="shared" si="3082"/>
        <v>0</v>
      </c>
      <c r="CF719" s="161">
        <f t="shared" si="3083"/>
        <v>0</v>
      </c>
      <c r="CG719" s="161">
        <f t="shared" si="3084"/>
        <v>0</v>
      </c>
      <c r="CH719" s="161">
        <f t="shared" si="3085"/>
        <v>0</v>
      </c>
      <c r="CI719" s="161">
        <f t="shared" si="3086"/>
        <v>0</v>
      </c>
      <c r="CJ719" s="161">
        <f t="shared" si="3087"/>
        <v>0</v>
      </c>
      <c r="CK719" s="161">
        <f t="shared" si="3088"/>
        <v>0</v>
      </c>
      <c r="CL719" s="161">
        <f t="shared" si="3089"/>
        <v>0</v>
      </c>
      <c r="CM719" s="161">
        <f t="shared" si="3090"/>
        <v>0</v>
      </c>
      <c r="CN719" s="161">
        <f t="shared" si="3091"/>
        <v>0</v>
      </c>
      <c r="CO719" s="161">
        <f t="shared" si="3092"/>
        <v>0</v>
      </c>
      <c r="CP719" s="161">
        <f t="shared" si="3093"/>
        <v>0</v>
      </c>
      <c r="CQ719" s="161">
        <f t="shared" si="3094"/>
        <v>0</v>
      </c>
      <c r="CR719" s="161">
        <f t="shared" si="3095"/>
        <v>0</v>
      </c>
      <c r="CS719" s="161">
        <f t="shared" si="3096"/>
        <v>0</v>
      </c>
      <c r="CT719" s="161">
        <f t="shared" si="3097"/>
        <v>0</v>
      </c>
      <c r="CU719" s="161">
        <f t="shared" si="3098"/>
        <v>0</v>
      </c>
      <c r="CV719" s="161">
        <f t="shared" si="3099"/>
        <v>0</v>
      </c>
      <c r="CW719" s="161">
        <f t="shared" si="3100"/>
        <v>0</v>
      </c>
      <c r="CX719" s="161">
        <f t="shared" si="3101"/>
        <v>0</v>
      </c>
      <c r="CY719" s="161">
        <f t="shared" si="3102"/>
        <v>0</v>
      </c>
      <c r="CZ719" s="161">
        <f t="shared" si="3103"/>
        <v>0</v>
      </c>
      <c r="DA719" s="161">
        <f t="shared" si="3104"/>
        <v>0</v>
      </c>
      <c r="DB719" s="161">
        <f t="shared" si="3105"/>
        <v>0</v>
      </c>
      <c r="DC719" s="161">
        <f t="shared" si="3106"/>
        <v>0</v>
      </c>
      <c r="DD719" s="161">
        <f t="shared" si="3107"/>
        <v>0</v>
      </c>
      <c r="DE719" s="161">
        <f t="shared" si="3108"/>
        <v>0</v>
      </c>
      <c r="DF719" s="161">
        <f t="shared" si="3109"/>
        <v>0</v>
      </c>
      <c r="DG719" s="161">
        <f t="shared" si="3110"/>
        <v>0</v>
      </c>
      <c r="DH719" s="161">
        <f t="shared" si="3111"/>
        <v>0</v>
      </c>
      <c r="DI719" s="161">
        <f t="shared" si="3112"/>
        <v>0</v>
      </c>
      <c r="DJ719" s="161">
        <f t="shared" si="3113"/>
        <v>0</v>
      </c>
      <c r="DK719" s="161">
        <f t="shared" si="3114"/>
        <v>0</v>
      </c>
      <c r="DL719" s="161">
        <f t="shared" si="3115"/>
        <v>0</v>
      </c>
      <c r="DM719" s="161">
        <f t="shared" si="3116"/>
        <v>0</v>
      </c>
      <c r="DN719" s="161">
        <f t="shared" si="3117"/>
        <v>0</v>
      </c>
      <c r="DO719" s="161">
        <f t="shared" si="3118"/>
        <v>0</v>
      </c>
      <c r="DP719" s="161">
        <f t="shared" si="3119"/>
        <v>0</v>
      </c>
      <c r="DQ719" s="161">
        <f t="shared" si="3120"/>
        <v>0</v>
      </c>
      <c r="DR719" s="161">
        <f t="shared" si="3121"/>
        <v>0</v>
      </c>
      <c r="DS719" s="161">
        <f t="shared" si="3122"/>
        <v>0</v>
      </c>
      <c r="DT719" s="161">
        <f t="shared" si="3123"/>
        <v>0</v>
      </c>
      <c r="DU719" s="161">
        <f t="shared" si="3124"/>
        <v>0</v>
      </c>
      <c r="DV719" s="161">
        <f t="shared" si="3125"/>
        <v>0</v>
      </c>
      <c r="DW719" s="161">
        <f t="shared" si="3126"/>
        <v>0</v>
      </c>
      <c r="DX719" s="161">
        <f t="shared" si="3127"/>
        <v>0</v>
      </c>
      <c r="DY719" s="161">
        <f t="shared" si="3128"/>
        <v>0</v>
      </c>
      <c r="DZ719" s="161">
        <f t="shared" si="3129"/>
        <v>0</v>
      </c>
      <c r="EA719" s="161">
        <f t="shared" si="3130"/>
        <v>0</v>
      </c>
      <c r="EB719" s="161">
        <f t="shared" si="3131"/>
        <v>0</v>
      </c>
      <c r="EC719" s="161">
        <f t="shared" si="3132"/>
        <v>0</v>
      </c>
      <c r="ED719" s="161">
        <f t="shared" si="3133"/>
        <v>0</v>
      </c>
      <c r="EE719" s="161">
        <f t="shared" si="3134"/>
        <v>0</v>
      </c>
      <c r="EF719" s="161">
        <f t="shared" si="3135"/>
        <v>0</v>
      </c>
      <c r="EG719" s="161">
        <f t="shared" si="3136"/>
        <v>0</v>
      </c>
      <c r="EH719" s="161">
        <f t="shared" si="3137"/>
        <v>0</v>
      </c>
      <c r="EI719" s="161">
        <f t="shared" si="3138"/>
        <v>0</v>
      </c>
    </row>
    <row r="720" spans="2:139" ht="12" hidden="1" customHeight="1" outlineLevel="1">
      <c r="B720" s="137" t="str">
        <f t="shared" si="3078"/>
        <v/>
      </c>
      <c r="C720" s="65"/>
      <c r="D720" s="65"/>
      <c r="E720" s="65"/>
      <c r="F720" s="164"/>
      <c r="G720" s="165"/>
      <c r="H720" s="166">
        <f t="shared" si="3012"/>
        <v>0</v>
      </c>
      <c r="I720" s="144">
        <f t="shared" si="3013"/>
        <v>0</v>
      </c>
      <c r="J720" s="65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  <c r="AB720" s="167"/>
      <c r="AC720" s="167"/>
      <c r="AD720" s="167"/>
      <c r="AE720" s="167"/>
      <c r="AF720" s="167"/>
      <c r="AG720" s="167"/>
      <c r="AH720" s="167"/>
      <c r="AI720" s="167"/>
      <c r="AJ720" s="167"/>
      <c r="AK720" s="167"/>
      <c r="AL720" s="167"/>
      <c r="AM720" s="167"/>
      <c r="AN720" s="167"/>
      <c r="AO720" s="167"/>
      <c r="AP720" s="167"/>
      <c r="AQ720" s="167"/>
      <c r="AR720" s="167"/>
      <c r="AS720" s="167"/>
      <c r="AT720" s="167"/>
      <c r="AU720" s="167"/>
      <c r="AV720" s="167"/>
      <c r="AW720" s="167"/>
      <c r="AX720" s="167"/>
      <c r="AY720" s="167"/>
      <c r="AZ720" s="167"/>
      <c r="BA720" s="167"/>
      <c r="BB720" s="167"/>
      <c r="BC720" s="167"/>
      <c r="BD720" s="167"/>
      <c r="BE720" s="167"/>
      <c r="BF720" s="167"/>
      <c r="BG720" s="167"/>
      <c r="BH720" s="167"/>
      <c r="BI720" s="167"/>
      <c r="BJ720" s="167"/>
      <c r="BK720" s="167"/>
      <c r="BL720" s="167"/>
      <c r="BM720" s="167"/>
      <c r="BN720" s="167"/>
      <c r="BO720" s="167"/>
      <c r="BP720" s="167"/>
      <c r="BQ720" s="167"/>
      <c r="BR720" s="167"/>
      <c r="BS720" s="65"/>
      <c r="BT720" s="160">
        <f t="shared" si="3014"/>
        <v>0</v>
      </c>
      <c r="BU720" s="160">
        <f t="shared" si="3015"/>
        <v>0</v>
      </c>
      <c r="BV720" s="65"/>
      <c r="BW720" s="69"/>
      <c r="BX720" s="65"/>
      <c r="BY720" s="137">
        <f t="shared" si="3016"/>
        <v>0</v>
      </c>
      <c r="BZ720" s="137">
        <f>IF(BY720&gt;0,BY720+LARGE($BZ$213:BZ719,1),0)</f>
        <v>0</v>
      </c>
      <c r="CA720" s="137">
        <f t="shared" si="3017"/>
        <v>0</v>
      </c>
      <c r="CB720" s="161">
        <f t="shared" si="3079"/>
        <v>0</v>
      </c>
      <c r="CC720" s="161">
        <f t="shared" si="3080"/>
        <v>0</v>
      </c>
      <c r="CD720" s="161">
        <f t="shared" si="3081"/>
        <v>0</v>
      </c>
      <c r="CE720" s="161">
        <f t="shared" si="3082"/>
        <v>0</v>
      </c>
      <c r="CF720" s="161">
        <f t="shared" si="3083"/>
        <v>0</v>
      </c>
      <c r="CG720" s="161">
        <f t="shared" si="3084"/>
        <v>0</v>
      </c>
      <c r="CH720" s="161">
        <f t="shared" si="3085"/>
        <v>0</v>
      </c>
      <c r="CI720" s="161">
        <f t="shared" si="3086"/>
        <v>0</v>
      </c>
      <c r="CJ720" s="161">
        <f t="shared" si="3087"/>
        <v>0</v>
      </c>
      <c r="CK720" s="161">
        <f t="shared" si="3088"/>
        <v>0</v>
      </c>
      <c r="CL720" s="161">
        <f t="shared" si="3089"/>
        <v>0</v>
      </c>
      <c r="CM720" s="161">
        <f t="shared" si="3090"/>
        <v>0</v>
      </c>
      <c r="CN720" s="161">
        <f t="shared" si="3091"/>
        <v>0</v>
      </c>
      <c r="CO720" s="161">
        <f t="shared" si="3092"/>
        <v>0</v>
      </c>
      <c r="CP720" s="161">
        <f t="shared" si="3093"/>
        <v>0</v>
      </c>
      <c r="CQ720" s="161">
        <f t="shared" si="3094"/>
        <v>0</v>
      </c>
      <c r="CR720" s="161">
        <f t="shared" si="3095"/>
        <v>0</v>
      </c>
      <c r="CS720" s="161">
        <f t="shared" si="3096"/>
        <v>0</v>
      </c>
      <c r="CT720" s="161">
        <f t="shared" si="3097"/>
        <v>0</v>
      </c>
      <c r="CU720" s="161">
        <f t="shared" si="3098"/>
        <v>0</v>
      </c>
      <c r="CV720" s="161">
        <f t="shared" si="3099"/>
        <v>0</v>
      </c>
      <c r="CW720" s="161">
        <f t="shared" si="3100"/>
        <v>0</v>
      </c>
      <c r="CX720" s="161">
        <f t="shared" si="3101"/>
        <v>0</v>
      </c>
      <c r="CY720" s="161">
        <f t="shared" si="3102"/>
        <v>0</v>
      </c>
      <c r="CZ720" s="161">
        <f t="shared" si="3103"/>
        <v>0</v>
      </c>
      <c r="DA720" s="161">
        <f t="shared" si="3104"/>
        <v>0</v>
      </c>
      <c r="DB720" s="161">
        <f t="shared" si="3105"/>
        <v>0</v>
      </c>
      <c r="DC720" s="161">
        <f t="shared" si="3106"/>
        <v>0</v>
      </c>
      <c r="DD720" s="161">
        <f t="shared" si="3107"/>
        <v>0</v>
      </c>
      <c r="DE720" s="161">
        <f t="shared" si="3108"/>
        <v>0</v>
      </c>
      <c r="DF720" s="161">
        <f t="shared" si="3109"/>
        <v>0</v>
      </c>
      <c r="DG720" s="161">
        <f t="shared" si="3110"/>
        <v>0</v>
      </c>
      <c r="DH720" s="161">
        <f t="shared" si="3111"/>
        <v>0</v>
      </c>
      <c r="DI720" s="161">
        <f t="shared" si="3112"/>
        <v>0</v>
      </c>
      <c r="DJ720" s="161">
        <f t="shared" si="3113"/>
        <v>0</v>
      </c>
      <c r="DK720" s="161">
        <f t="shared" si="3114"/>
        <v>0</v>
      </c>
      <c r="DL720" s="161">
        <f t="shared" si="3115"/>
        <v>0</v>
      </c>
      <c r="DM720" s="161">
        <f t="shared" si="3116"/>
        <v>0</v>
      </c>
      <c r="DN720" s="161">
        <f t="shared" si="3117"/>
        <v>0</v>
      </c>
      <c r="DO720" s="161">
        <f t="shared" si="3118"/>
        <v>0</v>
      </c>
      <c r="DP720" s="161">
        <f t="shared" si="3119"/>
        <v>0</v>
      </c>
      <c r="DQ720" s="161">
        <f t="shared" si="3120"/>
        <v>0</v>
      </c>
      <c r="DR720" s="161">
        <f t="shared" si="3121"/>
        <v>0</v>
      </c>
      <c r="DS720" s="161">
        <f t="shared" si="3122"/>
        <v>0</v>
      </c>
      <c r="DT720" s="161">
        <f t="shared" si="3123"/>
        <v>0</v>
      </c>
      <c r="DU720" s="161">
        <f t="shared" si="3124"/>
        <v>0</v>
      </c>
      <c r="DV720" s="161">
        <f t="shared" si="3125"/>
        <v>0</v>
      </c>
      <c r="DW720" s="161">
        <f t="shared" si="3126"/>
        <v>0</v>
      </c>
      <c r="DX720" s="161">
        <f t="shared" si="3127"/>
        <v>0</v>
      </c>
      <c r="DY720" s="161">
        <f t="shared" si="3128"/>
        <v>0</v>
      </c>
      <c r="DZ720" s="161">
        <f t="shared" si="3129"/>
        <v>0</v>
      </c>
      <c r="EA720" s="161">
        <f t="shared" si="3130"/>
        <v>0</v>
      </c>
      <c r="EB720" s="161">
        <f t="shared" si="3131"/>
        <v>0</v>
      </c>
      <c r="EC720" s="161">
        <f t="shared" si="3132"/>
        <v>0</v>
      </c>
      <c r="ED720" s="161">
        <f t="shared" si="3133"/>
        <v>0</v>
      </c>
      <c r="EE720" s="161">
        <f t="shared" si="3134"/>
        <v>0</v>
      </c>
      <c r="EF720" s="161">
        <f t="shared" si="3135"/>
        <v>0</v>
      </c>
      <c r="EG720" s="161">
        <f t="shared" si="3136"/>
        <v>0</v>
      </c>
      <c r="EH720" s="161">
        <f t="shared" si="3137"/>
        <v>0</v>
      </c>
      <c r="EI720" s="161">
        <f t="shared" si="3138"/>
        <v>0</v>
      </c>
    </row>
    <row r="721" spans="2:139" ht="12" hidden="1" customHeight="1" outlineLevel="1">
      <c r="B721" s="137" t="str">
        <f t="shared" si="3078"/>
        <v/>
      </c>
      <c r="C721" s="65"/>
      <c r="D721" s="65"/>
      <c r="E721" s="65"/>
      <c r="F721" s="164"/>
      <c r="G721" s="165"/>
      <c r="H721" s="166">
        <f t="shared" si="3012"/>
        <v>0</v>
      </c>
      <c r="I721" s="144">
        <f t="shared" si="3013"/>
        <v>0</v>
      </c>
      <c r="J721" s="65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  <c r="AB721" s="167"/>
      <c r="AC721" s="167"/>
      <c r="AD721" s="167"/>
      <c r="AE721" s="167"/>
      <c r="AF721" s="167"/>
      <c r="AG721" s="167"/>
      <c r="AH721" s="167"/>
      <c r="AI721" s="167"/>
      <c r="AJ721" s="167"/>
      <c r="AK721" s="167"/>
      <c r="AL721" s="167"/>
      <c r="AM721" s="167"/>
      <c r="AN721" s="167"/>
      <c r="AO721" s="167"/>
      <c r="AP721" s="167"/>
      <c r="AQ721" s="167"/>
      <c r="AR721" s="167"/>
      <c r="AS721" s="167"/>
      <c r="AT721" s="167"/>
      <c r="AU721" s="167"/>
      <c r="AV721" s="167"/>
      <c r="AW721" s="167"/>
      <c r="AX721" s="167"/>
      <c r="AY721" s="167"/>
      <c r="AZ721" s="167"/>
      <c r="BA721" s="167"/>
      <c r="BB721" s="167"/>
      <c r="BC721" s="167"/>
      <c r="BD721" s="167"/>
      <c r="BE721" s="167"/>
      <c r="BF721" s="167"/>
      <c r="BG721" s="167"/>
      <c r="BH721" s="167"/>
      <c r="BI721" s="167"/>
      <c r="BJ721" s="167"/>
      <c r="BK721" s="167"/>
      <c r="BL721" s="167"/>
      <c r="BM721" s="167"/>
      <c r="BN721" s="167"/>
      <c r="BO721" s="167"/>
      <c r="BP721" s="167"/>
      <c r="BQ721" s="167"/>
      <c r="BR721" s="167"/>
      <c r="BS721" s="65"/>
      <c r="BT721" s="160">
        <f t="shared" si="3014"/>
        <v>0</v>
      </c>
      <c r="BU721" s="160">
        <f t="shared" si="3015"/>
        <v>0</v>
      </c>
      <c r="BV721" s="65"/>
      <c r="BW721" s="69"/>
      <c r="BX721" s="65"/>
      <c r="BY721" s="137">
        <f t="shared" si="3016"/>
        <v>0</v>
      </c>
      <c r="BZ721" s="137">
        <f>IF(BY721&gt;0,BY721+LARGE($BZ$213:BZ720,1),0)</f>
        <v>0</v>
      </c>
      <c r="CA721" s="137">
        <f t="shared" si="3017"/>
        <v>0</v>
      </c>
      <c r="CB721" s="161">
        <f t="shared" si="3079"/>
        <v>0</v>
      </c>
      <c r="CC721" s="161">
        <f t="shared" si="3080"/>
        <v>0</v>
      </c>
      <c r="CD721" s="161">
        <f t="shared" si="3081"/>
        <v>0</v>
      </c>
      <c r="CE721" s="161">
        <f t="shared" si="3082"/>
        <v>0</v>
      </c>
      <c r="CF721" s="161">
        <f t="shared" si="3083"/>
        <v>0</v>
      </c>
      <c r="CG721" s="161">
        <f t="shared" si="3084"/>
        <v>0</v>
      </c>
      <c r="CH721" s="161">
        <f t="shared" si="3085"/>
        <v>0</v>
      </c>
      <c r="CI721" s="161">
        <f t="shared" si="3086"/>
        <v>0</v>
      </c>
      <c r="CJ721" s="161">
        <f t="shared" si="3087"/>
        <v>0</v>
      </c>
      <c r="CK721" s="161">
        <f t="shared" si="3088"/>
        <v>0</v>
      </c>
      <c r="CL721" s="161">
        <f t="shared" si="3089"/>
        <v>0</v>
      </c>
      <c r="CM721" s="161">
        <f t="shared" si="3090"/>
        <v>0</v>
      </c>
      <c r="CN721" s="161">
        <f t="shared" si="3091"/>
        <v>0</v>
      </c>
      <c r="CO721" s="161">
        <f t="shared" si="3092"/>
        <v>0</v>
      </c>
      <c r="CP721" s="161">
        <f t="shared" si="3093"/>
        <v>0</v>
      </c>
      <c r="CQ721" s="161">
        <f t="shared" si="3094"/>
        <v>0</v>
      </c>
      <c r="CR721" s="161">
        <f t="shared" si="3095"/>
        <v>0</v>
      </c>
      <c r="CS721" s="161">
        <f t="shared" si="3096"/>
        <v>0</v>
      </c>
      <c r="CT721" s="161">
        <f t="shared" si="3097"/>
        <v>0</v>
      </c>
      <c r="CU721" s="161">
        <f t="shared" si="3098"/>
        <v>0</v>
      </c>
      <c r="CV721" s="161">
        <f t="shared" si="3099"/>
        <v>0</v>
      </c>
      <c r="CW721" s="161">
        <f t="shared" si="3100"/>
        <v>0</v>
      </c>
      <c r="CX721" s="161">
        <f t="shared" si="3101"/>
        <v>0</v>
      </c>
      <c r="CY721" s="161">
        <f t="shared" si="3102"/>
        <v>0</v>
      </c>
      <c r="CZ721" s="161">
        <f t="shared" si="3103"/>
        <v>0</v>
      </c>
      <c r="DA721" s="161">
        <f t="shared" si="3104"/>
        <v>0</v>
      </c>
      <c r="DB721" s="161">
        <f t="shared" si="3105"/>
        <v>0</v>
      </c>
      <c r="DC721" s="161">
        <f t="shared" si="3106"/>
        <v>0</v>
      </c>
      <c r="DD721" s="161">
        <f t="shared" si="3107"/>
        <v>0</v>
      </c>
      <c r="DE721" s="161">
        <f t="shared" si="3108"/>
        <v>0</v>
      </c>
      <c r="DF721" s="161">
        <f t="shared" si="3109"/>
        <v>0</v>
      </c>
      <c r="DG721" s="161">
        <f t="shared" si="3110"/>
        <v>0</v>
      </c>
      <c r="DH721" s="161">
        <f t="shared" si="3111"/>
        <v>0</v>
      </c>
      <c r="DI721" s="161">
        <f t="shared" si="3112"/>
        <v>0</v>
      </c>
      <c r="DJ721" s="161">
        <f t="shared" si="3113"/>
        <v>0</v>
      </c>
      <c r="DK721" s="161">
        <f t="shared" si="3114"/>
        <v>0</v>
      </c>
      <c r="DL721" s="161">
        <f t="shared" si="3115"/>
        <v>0</v>
      </c>
      <c r="DM721" s="161">
        <f t="shared" si="3116"/>
        <v>0</v>
      </c>
      <c r="DN721" s="161">
        <f t="shared" si="3117"/>
        <v>0</v>
      </c>
      <c r="DO721" s="161">
        <f t="shared" si="3118"/>
        <v>0</v>
      </c>
      <c r="DP721" s="161">
        <f t="shared" si="3119"/>
        <v>0</v>
      </c>
      <c r="DQ721" s="161">
        <f t="shared" si="3120"/>
        <v>0</v>
      </c>
      <c r="DR721" s="161">
        <f t="shared" si="3121"/>
        <v>0</v>
      </c>
      <c r="DS721" s="161">
        <f t="shared" si="3122"/>
        <v>0</v>
      </c>
      <c r="DT721" s="161">
        <f t="shared" si="3123"/>
        <v>0</v>
      </c>
      <c r="DU721" s="161">
        <f t="shared" si="3124"/>
        <v>0</v>
      </c>
      <c r="DV721" s="161">
        <f t="shared" si="3125"/>
        <v>0</v>
      </c>
      <c r="DW721" s="161">
        <f t="shared" si="3126"/>
        <v>0</v>
      </c>
      <c r="DX721" s="161">
        <f t="shared" si="3127"/>
        <v>0</v>
      </c>
      <c r="DY721" s="161">
        <f t="shared" si="3128"/>
        <v>0</v>
      </c>
      <c r="DZ721" s="161">
        <f t="shared" si="3129"/>
        <v>0</v>
      </c>
      <c r="EA721" s="161">
        <f t="shared" si="3130"/>
        <v>0</v>
      </c>
      <c r="EB721" s="161">
        <f t="shared" si="3131"/>
        <v>0</v>
      </c>
      <c r="EC721" s="161">
        <f t="shared" si="3132"/>
        <v>0</v>
      </c>
      <c r="ED721" s="161">
        <f t="shared" si="3133"/>
        <v>0</v>
      </c>
      <c r="EE721" s="161">
        <f t="shared" si="3134"/>
        <v>0</v>
      </c>
      <c r="EF721" s="161">
        <f t="shared" si="3135"/>
        <v>0</v>
      </c>
      <c r="EG721" s="161">
        <f t="shared" si="3136"/>
        <v>0</v>
      </c>
      <c r="EH721" s="161">
        <f t="shared" si="3137"/>
        <v>0</v>
      </c>
      <c r="EI721" s="161">
        <f t="shared" si="3138"/>
        <v>0</v>
      </c>
    </row>
    <row r="722" spans="2:139" ht="12" hidden="1" customHeight="1" outlineLevel="1">
      <c r="B722" s="137" t="str">
        <f t="shared" si="3078"/>
        <v/>
      </c>
      <c r="C722" s="65"/>
      <c r="D722" s="65"/>
      <c r="E722" s="65"/>
      <c r="F722" s="164"/>
      <c r="G722" s="165"/>
      <c r="H722" s="166">
        <f t="shared" si="3012"/>
        <v>0</v>
      </c>
      <c r="I722" s="144">
        <f t="shared" si="3013"/>
        <v>0</v>
      </c>
      <c r="J722" s="65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  <c r="AB722" s="167"/>
      <c r="AC722" s="167"/>
      <c r="AD722" s="167"/>
      <c r="AE722" s="167"/>
      <c r="AF722" s="167"/>
      <c r="AG722" s="167"/>
      <c r="AH722" s="167"/>
      <c r="AI722" s="167"/>
      <c r="AJ722" s="167"/>
      <c r="AK722" s="167"/>
      <c r="AL722" s="167"/>
      <c r="AM722" s="167"/>
      <c r="AN722" s="167"/>
      <c r="AO722" s="167"/>
      <c r="AP722" s="167"/>
      <c r="AQ722" s="167"/>
      <c r="AR722" s="167"/>
      <c r="AS722" s="167"/>
      <c r="AT722" s="167"/>
      <c r="AU722" s="167"/>
      <c r="AV722" s="167"/>
      <c r="AW722" s="167"/>
      <c r="AX722" s="167"/>
      <c r="AY722" s="167"/>
      <c r="AZ722" s="167"/>
      <c r="BA722" s="167"/>
      <c r="BB722" s="167"/>
      <c r="BC722" s="167"/>
      <c r="BD722" s="167"/>
      <c r="BE722" s="167"/>
      <c r="BF722" s="167"/>
      <c r="BG722" s="167"/>
      <c r="BH722" s="167"/>
      <c r="BI722" s="167"/>
      <c r="BJ722" s="167"/>
      <c r="BK722" s="167"/>
      <c r="BL722" s="167"/>
      <c r="BM722" s="167"/>
      <c r="BN722" s="167"/>
      <c r="BO722" s="167"/>
      <c r="BP722" s="167"/>
      <c r="BQ722" s="167"/>
      <c r="BR722" s="167"/>
      <c r="BS722" s="65"/>
      <c r="BT722" s="160">
        <f t="shared" si="3014"/>
        <v>0</v>
      </c>
      <c r="BU722" s="160">
        <f t="shared" si="3015"/>
        <v>0</v>
      </c>
      <c r="BV722" s="65"/>
      <c r="BW722" s="69"/>
      <c r="BX722" s="65"/>
      <c r="BY722" s="137">
        <f t="shared" si="3016"/>
        <v>0</v>
      </c>
      <c r="BZ722" s="137">
        <f>IF(BY722&gt;0,BY722+LARGE($BZ$213:BZ721,1),0)</f>
        <v>0</v>
      </c>
      <c r="CA722" s="137">
        <f t="shared" si="3017"/>
        <v>0</v>
      </c>
      <c r="CB722" s="161">
        <f t="shared" si="3079"/>
        <v>0</v>
      </c>
      <c r="CC722" s="161">
        <f t="shared" si="3080"/>
        <v>0</v>
      </c>
      <c r="CD722" s="161">
        <f t="shared" si="3081"/>
        <v>0</v>
      </c>
      <c r="CE722" s="161">
        <f t="shared" si="3082"/>
        <v>0</v>
      </c>
      <c r="CF722" s="161">
        <f t="shared" si="3083"/>
        <v>0</v>
      </c>
      <c r="CG722" s="161">
        <f t="shared" si="3084"/>
        <v>0</v>
      </c>
      <c r="CH722" s="161">
        <f t="shared" si="3085"/>
        <v>0</v>
      </c>
      <c r="CI722" s="161">
        <f t="shared" si="3086"/>
        <v>0</v>
      </c>
      <c r="CJ722" s="161">
        <f t="shared" si="3087"/>
        <v>0</v>
      </c>
      <c r="CK722" s="161">
        <f t="shared" si="3088"/>
        <v>0</v>
      </c>
      <c r="CL722" s="161">
        <f t="shared" si="3089"/>
        <v>0</v>
      </c>
      <c r="CM722" s="161">
        <f t="shared" si="3090"/>
        <v>0</v>
      </c>
      <c r="CN722" s="161">
        <f t="shared" si="3091"/>
        <v>0</v>
      </c>
      <c r="CO722" s="161">
        <f t="shared" si="3092"/>
        <v>0</v>
      </c>
      <c r="CP722" s="161">
        <f t="shared" si="3093"/>
        <v>0</v>
      </c>
      <c r="CQ722" s="161">
        <f t="shared" si="3094"/>
        <v>0</v>
      </c>
      <c r="CR722" s="161">
        <f t="shared" si="3095"/>
        <v>0</v>
      </c>
      <c r="CS722" s="161">
        <f t="shared" si="3096"/>
        <v>0</v>
      </c>
      <c r="CT722" s="161">
        <f t="shared" si="3097"/>
        <v>0</v>
      </c>
      <c r="CU722" s="161">
        <f t="shared" si="3098"/>
        <v>0</v>
      </c>
      <c r="CV722" s="161">
        <f t="shared" si="3099"/>
        <v>0</v>
      </c>
      <c r="CW722" s="161">
        <f t="shared" si="3100"/>
        <v>0</v>
      </c>
      <c r="CX722" s="161">
        <f t="shared" si="3101"/>
        <v>0</v>
      </c>
      <c r="CY722" s="161">
        <f t="shared" si="3102"/>
        <v>0</v>
      </c>
      <c r="CZ722" s="161">
        <f t="shared" si="3103"/>
        <v>0</v>
      </c>
      <c r="DA722" s="161">
        <f t="shared" si="3104"/>
        <v>0</v>
      </c>
      <c r="DB722" s="161">
        <f t="shared" si="3105"/>
        <v>0</v>
      </c>
      <c r="DC722" s="161">
        <f t="shared" si="3106"/>
        <v>0</v>
      </c>
      <c r="DD722" s="161">
        <f t="shared" si="3107"/>
        <v>0</v>
      </c>
      <c r="DE722" s="161">
        <f t="shared" si="3108"/>
        <v>0</v>
      </c>
      <c r="DF722" s="161">
        <f t="shared" si="3109"/>
        <v>0</v>
      </c>
      <c r="DG722" s="161">
        <f t="shared" si="3110"/>
        <v>0</v>
      </c>
      <c r="DH722" s="161">
        <f t="shared" si="3111"/>
        <v>0</v>
      </c>
      <c r="DI722" s="161">
        <f t="shared" si="3112"/>
        <v>0</v>
      </c>
      <c r="DJ722" s="161">
        <f t="shared" si="3113"/>
        <v>0</v>
      </c>
      <c r="DK722" s="161">
        <f t="shared" si="3114"/>
        <v>0</v>
      </c>
      <c r="DL722" s="161">
        <f t="shared" si="3115"/>
        <v>0</v>
      </c>
      <c r="DM722" s="161">
        <f t="shared" si="3116"/>
        <v>0</v>
      </c>
      <c r="DN722" s="161">
        <f t="shared" si="3117"/>
        <v>0</v>
      </c>
      <c r="DO722" s="161">
        <f t="shared" si="3118"/>
        <v>0</v>
      </c>
      <c r="DP722" s="161">
        <f t="shared" si="3119"/>
        <v>0</v>
      </c>
      <c r="DQ722" s="161">
        <f t="shared" si="3120"/>
        <v>0</v>
      </c>
      <c r="DR722" s="161">
        <f t="shared" si="3121"/>
        <v>0</v>
      </c>
      <c r="DS722" s="161">
        <f t="shared" si="3122"/>
        <v>0</v>
      </c>
      <c r="DT722" s="161">
        <f t="shared" si="3123"/>
        <v>0</v>
      </c>
      <c r="DU722" s="161">
        <f t="shared" si="3124"/>
        <v>0</v>
      </c>
      <c r="DV722" s="161">
        <f t="shared" si="3125"/>
        <v>0</v>
      </c>
      <c r="DW722" s="161">
        <f t="shared" si="3126"/>
        <v>0</v>
      </c>
      <c r="DX722" s="161">
        <f t="shared" si="3127"/>
        <v>0</v>
      </c>
      <c r="DY722" s="161">
        <f t="shared" si="3128"/>
        <v>0</v>
      </c>
      <c r="DZ722" s="161">
        <f t="shared" si="3129"/>
        <v>0</v>
      </c>
      <c r="EA722" s="161">
        <f t="shared" si="3130"/>
        <v>0</v>
      </c>
      <c r="EB722" s="161">
        <f t="shared" si="3131"/>
        <v>0</v>
      </c>
      <c r="EC722" s="161">
        <f t="shared" si="3132"/>
        <v>0</v>
      </c>
      <c r="ED722" s="161">
        <f t="shared" si="3133"/>
        <v>0</v>
      </c>
      <c r="EE722" s="161">
        <f t="shared" si="3134"/>
        <v>0</v>
      </c>
      <c r="EF722" s="161">
        <f t="shared" si="3135"/>
        <v>0</v>
      </c>
      <c r="EG722" s="161">
        <f t="shared" si="3136"/>
        <v>0</v>
      </c>
      <c r="EH722" s="161">
        <f t="shared" si="3137"/>
        <v>0</v>
      </c>
      <c r="EI722" s="161">
        <f t="shared" si="3138"/>
        <v>0</v>
      </c>
    </row>
    <row r="723" spans="2:139" ht="12" hidden="1" customHeight="1" outlineLevel="1">
      <c r="B723" s="137" t="str">
        <f t="shared" si="3078"/>
        <v/>
      </c>
      <c r="C723" s="65"/>
      <c r="D723" s="65"/>
      <c r="E723" s="65"/>
      <c r="F723" s="164"/>
      <c r="G723" s="165"/>
      <c r="H723" s="166">
        <f t="shared" si="3012"/>
        <v>0</v>
      </c>
      <c r="I723" s="144">
        <f t="shared" si="3013"/>
        <v>0</v>
      </c>
      <c r="J723" s="65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  <c r="AB723" s="167"/>
      <c r="AC723" s="167"/>
      <c r="AD723" s="167"/>
      <c r="AE723" s="167"/>
      <c r="AF723" s="167"/>
      <c r="AG723" s="167"/>
      <c r="AH723" s="167"/>
      <c r="AI723" s="167"/>
      <c r="AJ723" s="167"/>
      <c r="AK723" s="167"/>
      <c r="AL723" s="167"/>
      <c r="AM723" s="167"/>
      <c r="AN723" s="167"/>
      <c r="AO723" s="167"/>
      <c r="AP723" s="167"/>
      <c r="AQ723" s="167"/>
      <c r="AR723" s="167"/>
      <c r="AS723" s="167"/>
      <c r="AT723" s="167"/>
      <c r="AU723" s="167"/>
      <c r="AV723" s="167"/>
      <c r="AW723" s="167"/>
      <c r="AX723" s="167"/>
      <c r="AY723" s="167"/>
      <c r="AZ723" s="167"/>
      <c r="BA723" s="167"/>
      <c r="BB723" s="167"/>
      <c r="BC723" s="167"/>
      <c r="BD723" s="167"/>
      <c r="BE723" s="167"/>
      <c r="BF723" s="167"/>
      <c r="BG723" s="167"/>
      <c r="BH723" s="167"/>
      <c r="BI723" s="167"/>
      <c r="BJ723" s="167"/>
      <c r="BK723" s="167"/>
      <c r="BL723" s="167"/>
      <c r="BM723" s="167"/>
      <c r="BN723" s="167"/>
      <c r="BO723" s="167"/>
      <c r="BP723" s="167"/>
      <c r="BQ723" s="167"/>
      <c r="BR723" s="167"/>
      <c r="BS723" s="65"/>
      <c r="BT723" s="160">
        <f t="shared" si="3014"/>
        <v>0</v>
      </c>
      <c r="BU723" s="160">
        <f t="shared" si="3015"/>
        <v>0</v>
      </c>
      <c r="BV723" s="65"/>
      <c r="BW723" s="69"/>
      <c r="BX723" s="65"/>
      <c r="BY723" s="137">
        <f t="shared" si="3016"/>
        <v>0</v>
      </c>
      <c r="BZ723" s="137">
        <f>IF(BY723&gt;0,BY723+LARGE($BZ$213:BZ722,1),0)</f>
        <v>0</v>
      </c>
      <c r="CA723" s="137">
        <f t="shared" si="3017"/>
        <v>0</v>
      </c>
      <c r="CB723" s="161">
        <f t="shared" si="3079"/>
        <v>0</v>
      </c>
      <c r="CC723" s="161">
        <f t="shared" si="3080"/>
        <v>0</v>
      </c>
      <c r="CD723" s="161">
        <f t="shared" si="3081"/>
        <v>0</v>
      </c>
      <c r="CE723" s="161">
        <f t="shared" si="3082"/>
        <v>0</v>
      </c>
      <c r="CF723" s="161">
        <f t="shared" si="3083"/>
        <v>0</v>
      </c>
      <c r="CG723" s="161">
        <f t="shared" si="3084"/>
        <v>0</v>
      </c>
      <c r="CH723" s="161">
        <f t="shared" si="3085"/>
        <v>0</v>
      </c>
      <c r="CI723" s="161">
        <f t="shared" si="3086"/>
        <v>0</v>
      </c>
      <c r="CJ723" s="161">
        <f t="shared" si="3087"/>
        <v>0</v>
      </c>
      <c r="CK723" s="161">
        <f t="shared" si="3088"/>
        <v>0</v>
      </c>
      <c r="CL723" s="161">
        <f t="shared" si="3089"/>
        <v>0</v>
      </c>
      <c r="CM723" s="161">
        <f t="shared" si="3090"/>
        <v>0</v>
      </c>
      <c r="CN723" s="161">
        <f t="shared" si="3091"/>
        <v>0</v>
      </c>
      <c r="CO723" s="161">
        <f t="shared" si="3092"/>
        <v>0</v>
      </c>
      <c r="CP723" s="161">
        <f t="shared" si="3093"/>
        <v>0</v>
      </c>
      <c r="CQ723" s="161">
        <f t="shared" si="3094"/>
        <v>0</v>
      </c>
      <c r="CR723" s="161">
        <f t="shared" si="3095"/>
        <v>0</v>
      </c>
      <c r="CS723" s="161">
        <f t="shared" si="3096"/>
        <v>0</v>
      </c>
      <c r="CT723" s="161">
        <f t="shared" si="3097"/>
        <v>0</v>
      </c>
      <c r="CU723" s="161">
        <f t="shared" si="3098"/>
        <v>0</v>
      </c>
      <c r="CV723" s="161">
        <f t="shared" si="3099"/>
        <v>0</v>
      </c>
      <c r="CW723" s="161">
        <f t="shared" si="3100"/>
        <v>0</v>
      </c>
      <c r="CX723" s="161">
        <f t="shared" si="3101"/>
        <v>0</v>
      </c>
      <c r="CY723" s="161">
        <f t="shared" si="3102"/>
        <v>0</v>
      </c>
      <c r="CZ723" s="161">
        <f t="shared" si="3103"/>
        <v>0</v>
      </c>
      <c r="DA723" s="161">
        <f t="shared" si="3104"/>
        <v>0</v>
      </c>
      <c r="DB723" s="161">
        <f t="shared" si="3105"/>
        <v>0</v>
      </c>
      <c r="DC723" s="161">
        <f t="shared" si="3106"/>
        <v>0</v>
      </c>
      <c r="DD723" s="161">
        <f t="shared" si="3107"/>
        <v>0</v>
      </c>
      <c r="DE723" s="161">
        <f t="shared" si="3108"/>
        <v>0</v>
      </c>
      <c r="DF723" s="161">
        <f t="shared" si="3109"/>
        <v>0</v>
      </c>
      <c r="DG723" s="161">
        <f t="shared" si="3110"/>
        <v>0</v>
      </c>
      <c r="DH723" s="161">
        <f t="shared" si="3111"/>
        <v>0</v>
      </c>
      <c r="DI723" s="161">
        <f t="shared" si="3112"/>
        <v>0</v>
      </c>
      <c r="DJ723" s="161">
        <f t="shared" si="3113"/>
        <v>0</v>
      </c>
      <c r="DK723" s="161">
        <f t="shared" si="3114"/>
        <v>0</v>
      </c>
      <c r="DL723" s="161">
        <f t="shared" si="3115"/>
        <v>0</v>
      </c>
      <c r="DM723" s="161">
        <f t="shared" si="3116"/>
        <v>0</v>
      </c>
      <c r="DN723" s="161">
        <f t="shared" si="3117"/>
        <v>0</v>
      </c>
      <c r="DO723" s="161">
        <f t="shared" si="3118"/>
        <v>0</v>
      </c>
      <c r="DP723" s="161">
        <f t="shared" si="3119"/>
        <v>0</v>
      </c>
      <c r="DQ723" s="161">
        <f t="shared" si="3120"/>
        <v>0</v>
      </c>
      <c r="DR723" s="161">
        <f t="shared" si="3121"/>
        <v>0</v>
      </c>
      <c r="DS723" s="161">
        <f t="shared" si="3122"/>
        <v>0</v>
      </c>
      <c r="DT723" s="161">
        <f t="shared" si="3123"/>
        <v>0</v>
      </c>
      <c r="DU723" s="161">
        <f t="shared" si="3124"/>
        <v>0</v>
      </c>
      <c r="DV723" s="161">
        <f t="shared" si="3125"/>
        <v>0</v>
      </c>
      <c r="DW723" s="161">
        <f t="shared" si="3126"/>
        <v>0</v>
      </c>
      <c r="DX723" s="161">
        <f t="shared" si="3127"/>
        <v>0</v>
      </c>
      <c r="DY723" s="161">
        <f t="shared" si="3128"/>
        <v>0</v>
      </c>
      <c r="DZ723" s="161">
        <f t="shared" si="3129"/>
        <v>0</v>
      </c>
      <c r="EA723" s="161">
        <f t="shared" si="3130"/>
        <v>0</v>
      </c>
      <c r="EB723" s="161">
        <f t="shared" si="3131"/>
        <v>0</v>
      </c>
      <c r="EC723" s="161">
        <f t="shared" si="3132"/>
        <v>0</v>
      </c>
      <c r="ED723" s="161">
        <f t="shared" si="3133"/>
        <v>0</v>
      </c>
      <c r="EE723" s="161">
        <f t="shared" si="3134"/>
        <v>0</v>
      </c>
      <c r="EF723" s="161">
        <f t="shared" si="3135"/>
        <v>0</v>
      </c>
      <c r="EG723" s="161">
        <f t="shared" si="3136"/>
        <v>0</v>
      </c>
      <c r="EH723" s="161">
        <f t="shared" si="3137"/>
        <v>0</v>
      </c>
      <c r="EI723" s="161">
        <f t="shared" si="3138"/>
        <v>0</v>
      </c>
    </row>
    <row r="724" spans="2:139" ht="12" hidden="1" customHeight="1" outlineLevel="1">
      <c r="B724" s="137" t="str">
        <f t="shared" si="3078"/>
        <v/>
      </c>
      <c r="C724" s="65"/>
      <c r="D724" s="65"/>
      <c r="E724" s="65"/>
      <c r="F724" s="164"/>
      <c r="G724" s="165"/>
      <c r="H724" s="166">
        <f t="shared" si="3012"/>
        <v>0</v>
      </c>
      <c r="I724" s="144">
        <f t="shared" si="3013"/>
        <v>0</v>
      </c>
      <c r="J724" s="65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  <c r="AB724" s="167"/>
      <c r="AC724" s="167"/>
      <c r="AD724" s="167"/>
      <c r="AE724" s="167"/>
      <c r="AF724" s="167"/>
      <c r="AG724" s="167"/>
      <c r="AH724" s="167"/>
      <c r="AI724" s="167"/>
      <c r="AJ724" s="167"/>
      <c r="AK724" s="167"/>
      <c r="AL724" s="167"/>
      <c r="AM724" s="167"/>
      <c r="AN724" s="167"/>
      <c r="AO724" s="167"/>
      <c r="AP724" s="167"/>
      <c r="AQ724" s="167"/>
      <c r="AR724" s="167"/>
      <c r="AS724" s="167"/>
      <c r="AT724" s="167"/>
      <c r="AU724" s="167"/>
      <c r="AV724" s="167"/>
      <c r="AW724" s="167"/>
      <c r="AX724" s="167"/>
      <c r="AY724" s="167"/>
      <c r="AZ724" s="167"/>
      <c r="BA724" s="167"/>
      <c r="BB724" s="167"/>
      <c r="BC724" s="167"/>
      <c r="BD724" s="167"/>
      <c r="BE724" s="167"/>
      <c r="BF724" s="167"/>
      <c r="BG724" s="167"/>
      <c r="BH724" s="167"/>
      <c r="BI724" s="167"/>
      <c r="BJ724" s="167"/>
      <c r="BK724" s="167"/>
      <c r="BL724" s="167"/>
      <c r="BM724" s="167"/>
      <c r="BN724" s="167"/>
      <c r="BO724" s="167"/>
      <c r="BP724" s="167"/>
      <c r="BQ724" s="167"/>
      <c r="BR724" s="167"/>
      <c r="BS724" s="65"/>
      <c r="BT724" s="160">
        <f t="shared" si="3014"/>
        <v>0</v>
      </c>
      <c r="BU724" s="160">
        <f t="shared" si="3015"/>
        <v>0</v>
      </c>
      <c r="BV724" s="65"/>
      <c r="BW724" s="69"/>
      <c r="BX724" s="65"/>
      <c r="BY724" s="137">
        <f t="shared" si="3016"/>
        <v>0</v>
      </c>
      <c r="BZ724" s="137">
        <f>IF(BY724&gt;0,BY724+LARGE($BZ$213:BZ723,1),0)</f>
        <v>0</v>
      </c>
      <c r="CA724" s="137">
        <f t="shared" si="3017"/>
        <v>0</v>
      </c>
      <c r="CB724" s="161">
        <f t="shared" si="3079"/>
        <v>0</v>
      </c>
      <c r="CC724" s="161">
        <f t="shared" si="3080"/>
        <v>0</v>
      </c>
      <c r="CD724" s="161">
        <f t="shared" si="3081"/>
        <v>0</v>
      </c>
      <c r="CE724" s="161">
        <f t="shared" si="3082"/>
        <v>0</v>
      </c>
      <c r="CF724" s="161">
        <f t="shared" si="3083"/>
        <v>0</v>
      </c>
      <c r="CG724" s="161">
        <f t="shared" si="3084"/>
        <v>0</v>
      </c>
      <c r="CH724" s="161">
        <f t="shared" si="3085"/>
        <v>0</v>
      </c>
      <c r="CI724" s="161">
        <f t="shared" si="3086"/>
        <v>0</v>
      </c>
      <c r="CJ724" s="161">
        <f t="shared" si="3087"/>
        <v>0</v>
      </c>
      <c r="CK724" s="161">
        <f t="shared" si="3088"/>
        <v>0</v>
      </c>
      <c r="CL724" s="161">
        <f t="shared" si="3089"/>
        <v>0</v>
      </c>
      <c r="CM724" s="161">
        <f t="shared" si="3090"/>
        <v>0</v>
      </c>
      <c r="CN724" s="161">
        <f t="shared" si="3091"/>
        <v>0</v>
      </c>
      <c r="CO724" s="161">
        <f t="shared" si="3092"/>
        <v>0</v>
      </c>
      <c r="CP724" s="161">
        <f t="shared" si="3093"/>
        <v>0</v>
      </c>
      <c r="CQ724" s="161">
        <f t="shared" si="3094"/>
        <v>0</v>
      </c>
      <c r="CR724" s="161">
        <f t="shared" si="3095"/>
        <v>0</v>
      </c>
      <c r="CS724" s="161">
        <f t="shared" si="3096"/>
        <v>0</v>
      </c>
      <c r="CT724" s="161">
        <f t="shared" si="3097"/>
        <v>0</v>
      </c>
      <c r="CU724" s="161">
        <f t="shared" si="3098"/>
        <v>0</v>
      </c>
      <c r="CV724" s="161">
        <f t="shared" si="3099"/>
        <v>0</v>
      </c>
      <c r="CW724" s="161">
        <f t="shared" si="3100"/>
        <v>0</v>
      </c>
      <c r="CX724" s="161">
        <f t="shared" si="3101"/>
        <v>0</v>
      </c>
      <c r="CY724" s="161">
        <f t="shared" si="3102"/>
        <v>0</v>
      </c>
      <c r="CZ724" s="161">
        <f t="shared" si="3103"/>
        <v>0</v>
      </c>
      <c r="DA724" s="161">
        <f t="shared" si="3104"/>
        <v>0</v>
      </c>
      <c r="DB724" s="161">
        <f t="shared" si="3105"/>
        <v>0</v>
      </c>
      <c r="DC724" s="161">
        <f t="shared" si="3106"/>
        <v>0</v>
      </c>
      <c r="DD724" s="161">
        <f t="shared" si="3107"/>
        <v>0</v>
      </c>
      <c r="DE724" s="161">
        <f t="shared" si="3108"/>
        <v>0</v>
      </c>
      <c r="DF724" s="161">
        <f t="shared" si="3109"/>
        <v>0</v>
      </c>
      <c r="DG724" s="161">
        <f t="shared" si="3110"/>
        <v>0</v>
      </c>
      <c r="DH724" s="161">
        <f t="shared" si="3111"/>
        <v>0</v>
      </c>
      <c r="DI724" s="161">
        <f t="shared" si="3112"/>
        <v>0</v>
      </c>
      <c r="DJ724" s="161">
        <f t="shared" si="3113"/>
        <v>0</v>
      </c>
      <c r="DK724" s="161">
        <f t="shared" si="3114"/>
        <v>0</v>
      </c>
      <c r="DL724" s="161">
        <f t="shared" si="3115"/>
        <v>0</v>
      </c>
      <c r="DM724" s="161">
        <f t="shared" si="3116"/>
        <v>0</v>
      </c>
      <c r="DN724" s="161">
        <f t="shared" si="3117"/>
        <v>0</v>
      </c>
      <c r="DO724" s="161">
        <f t="shared" si="3118"/>
        <v>0</v>
      </c>
      <c r="DP724" s="161">
        <f t="shared" si="3119"/>
        <v>0</v>
      </c>
      <c r="DQ724" s="161">
        <f t="shared" si="3120"/>
        <v>0</v>
      </c>
      <c r="DR724" s="161">
        <f t="shared" si="3121"/>
        <v>0</v>
      </c>
      <c r="DS724" s="161">
        <f t="shared" si="3122"/>
        <v>0</v>
      </c>
      <c r="DT724" s="161">
        <f t="shared" si="3123"/>
        <v>0</v>
      </c>
      <c r="DU724" s="161">
        <f t="shared" si="3124"/>
        <v>0</v>
      </c>
      <c r="DV724" s="161">
        <f t="shared" si="3125"/>
        <v>0</v>
      </c>
      <c r="DW724" s="161">
        <f t="shared" si="3126"/>
        <v>0</v>
      </c>
      <c r="DX724" s="161">
        <f t="shared" si="3127"/>
        <v>0</v>
      </c>
      <c r="DY724" s="161">
        <f t="shared" si="3128"/>
        <v>0</v>
      </c>
      <c r="DZ724" s="161">
        <f t="shared" si="3129"/>
        <v>0</v>
      </c>
      <c r="EA724" s="161">
        <f t="shared" si="3130"/>
        <v>0</v>
      </c>
      <c r="EB724" s="161">
        <f t="shared" si="3131"/>
        <v>0</v>
      </c>
      <c r="EC724" s="161">
        <f t="shared" si="3132"/>
        <v>0</v>
      </c>
      <c r="ED724" s="161">
        <f t="shared" si="3133"/>
        <v>0</v>
      </c>
      <c r="EE724" s="161">
        <f t="shared" si="3134"/>
        <v>0</v>
      </c>
      <c r="EF724" s="161">
        <f t="shared" si="3135"/>
        <v>0</v>
      </c>
      <c r="EG724" s="161">
        <f t="shared" si="3136"/>
        <v>0</v>
      </c>
      <c r="EH724" s="161">
        <f t="shared" si="3137"/>
        <v>0</v>
      </c>
      <c r="EI724" s="161">
        <f t="shared" si="3138"/>
        <v>0</v>
      </c>
    </row>
    <row r="725" spans="2:139" ht="12" hidden="1" customHeight="1" outlineLevel="1">
      <c r="B725" s="137" t="str">
        <f t="shared" si="3078"/>
        <v/>
      </c>
      <c r="C725" s="65"/>
      <c r="D725" s="65"/>
      <c r="E725" s="65"/>
      <c r="F725" s="164"/>
      <c r="G725" s="165"/>
      <c r="H725" s="166">
        <f t="shared" si="3012"/>
        <v>0</v>
      </c>
      <c r="I725" s="144">
        <f t="shared" si="3013"/>
        <v>0</v>
      </c>
      <c r="J725" s="65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  <c r="AB725" s="167"/>
      <c r="AC725" s="167"/>
      <c r="AD725" s="167"/>
      <c r="AE725" s="167"/>
      <c r="AF725" s="167"/>
      <c r="AG725" s="167"/>
      <c r="AH725" s="167"/>
      <c r="AI725" s="167"/>
      <c r="AJ725" s="167"/>
      <c r="AK725" s="167"/>
      <c r="AL725" s="167"/>
      <c r="AM725" s="167"/>
      <c r="AN725" s="167"/>
      <c r="AO725" s="167"/>
      <c r="AP725" s="167"/>
      <c r="AQ725" s="167"/>
      <c r="AR725" s="167"/>
      <c r="AS725" s="167"/>
      <c r="AT725" s="167"/>
      <c r="AU725" s="167"/>
      <c r="AV725" s="167"/>
      <c r="AW725" s="167"/>
      <c r="AX725" s="167"/>
      <c r="AY725" s="167"/>
      <c r="AZ725" s="167"/>
      <c r="BA725" s="167"/>
      <c r="BB725" s="167"/>
      <c r="BC725" s="167"/>
      <c r="BD725" s="167"/>
      <c r="BE725" s="167"/>
      <c r="BF725" s="167"/>
      <c r="BG725" s="167"/>
      <c r="BH725" s="167"/>
      <c r="BI725" s="167"/>
      <c r="BJ725" s="167"/>
      <c r="BK725" s="167"/>
      <c r="BL725" s="167"/>
      <c r="BM725" s="167"/>
      <c r="BN725" s="167"/>
      <c r="BO725" s="167"/>
      <c r="BP725" s="167"/>
      <c r="BQ725" s="167"/>
      <c r="BR725" s="167"/>
      <c r="BS725" s="65"/>
      <c r="BT725" s="160">
        <f t="shared" si="3014"/>
        <v>0</v>
      </c>
      <c r="BU725" s="160">
        <f t="shared" si="3015"/>
        <v>0</v>
      </c>
      <c r="BV725" s="65"/>
      <c r="BW725" s="69"/>
      <c r="BX725" s="65"/>
      <c r="BY725" s="137">
        <f t="shared" si="3016"/>
        <v>0</v>
      </c>
      <c r="BZ725" s="137">
        <f>IF(BY725&gt;0,BY725+LARGE($BZ$213:BZ724,1),0)</f>
        <v>0</v>
      </c>
      <c r="CA725" s="137">
        <f t="shared" si="3017"/>
        <v>0</v>
      </c>
      <c r="CB725" s="161">
        <f t="shared" si="3079"/>
        <v>0</v>
      </c>
      <c r="CC725" s="161">
        <f t="shared" si="3080"/>
        <v>0</v>
      </c>
      <c r="CD725" s="161">
        <f t="shared" si="3081"/>
        <v>0</v>
      </c>
      <c r="CE725" s="161">
        <f t="shared" si="3082"/>
        <v>0</v>
      </c>
      <c r="CF725" s="161">
        <f t="shared" si="3083"/>
        <v>0</v>
      </c>
      <c r="CG725" s="161">
        <f t="shared" si="3084"/>
        <v>0</v>
      </c>
      <c r="CH725" s="161">
        <f t="shared" si="3085"/>
        <v>0</v>
      </c>
      <c r="CI725" s="161">
        <f t="shared" si="3086"/>
        <v>0</v>
      </c>
      <c r="CJ725" s="161">
        <f t="shared" si="3087"/>
        <v>0</v>
      </c>
      <c r="CK725" s="161">
        <f t="shared" si="3088"/>
        <v>0</v>
      </c>
      <c r="CL725" s="161">
        <f t="shared" si="3089"/>
        <v>0</v>
      </c>
      <c r="CM725" s="161">
        <f t="shared" si="3090"/>
        <v>0</v>
      </c>
      <c r="CN725" s="161">
        <f t="shared" si="3091"/>
        <v>0</v>
      </c>
      <c r="CO725" s="161">
        <f t="shared" si="3092"/>
        <v>0</v>
      </c>
      <c r="CP725" s="161">
        <f t="shared" si="3093"/>
        <v>0</v>
      </c>
      <c r="CQ725" s="161">
        <f t="shared" si="3094"/>
        <v>0</v>
      </c>
      <c r="CR725" s="161">
        <f t="shared" si="3095"/>
        <v>0</v>
      </c>
      <c r="CS725" s="161">
        <f t="shared" si="3096"/>
        <v>0</v>
      </c>
      <c r="CT725" s="161">
        <f t="shared" si="3097"/>
        <v>0</v>
      </c>
      <c r="CU725" s="161">
        <f t="shared" si="3098"/>
        <v>0</v>
      </c>
      <c r="CV725" s="161">
        <f t="shared" si="3099"/>
        <v>0</v>
      </c>
      <c r="CW725" s="161">
        <f t="shared" si="3100"/>
        <v>0</v>
      </c>
      <c r="CX725" s="161">
        <f t="shared" si="3101"/>
        <v>0</v>
      </c>
      <c r="CY725" s="161">
        <f t="shared" si="3102"/>
        <v>0</v>
      </c>
      <c r="CZ725" s="161">
        <f t="shared" si="3103"/>
        <v>0</v>
      </c>
      <c r="DA725" s="161">
        <f t="shared" si="3104"/>
        <v>0</v>
      </c>
      <c r="DB725" s="161">
        <f t="shared" si="3105"/>
        <v>0</v>
      </c>
      <c r="DC725" s="161">
        <f t="shared" si="3106"/>
        <v>0</v>
      </c>
      <c r="DD725" s="161">
        <f t="shared" si="3107"/>
        <v>0</v>
      </c>
      <c r="DE725" s="161">
        <f t="shared" si="3108"/>
        <v>0</v>
      </c>
      <c r="DF725" s="161">
        <f t="shared" si="3109"/>
        <v>0</v>
      </c>
      <c r="DG725" s="161">
        <f t="shared" si="3110"/>
        <v>0</v>
      </c>
      <c r="DH725" s="161">
        <f t="shared" si="3111"/>
        <v>0</v>
      </c>
      <c r="DI725" s="161">
        <f t="shared" si="3112"/>
        <v>0</v>
      </c>
      <c r="DJ725" s="161">
        <f t="shared" si="3113"/>
        <v>0</v>
      </c>
      <c r="DK725" s="161">
        <f t="shared" si="3114"/>
        <v>0</v>
      </c>
      <c r="DL725" s="161">
        <f t="shared" si="3115"/>
        <v>0</v>
      </c>
      <c r="DM725" s="161">
        <f t="shared" si="3116"/>
        <v>0</v>
      </c>
      <c r="DN725" s="161">
        <f t="shared" si="3117"/>
        <v>0</v>
      </c>
      <c r="DO725" s="161">
        <f t="shared" si="3118"/>
        <v>0</v>
      </c>
      <c r="DP725" s="161">
        <f t="shared" si="3119"/>
        <v>0</v>
      </c>
      <c r="DQ725" s="161">
        <f t="shared" si="3120"/>
        <v>0</v>
      </c>
      <c r="DR725" s="161">
        <f t="shared" si="3121"/>
        <v>0</v>
      </c>
      <c r="DS725" s="161">
        <f t="shared" si="3122"/>
        <v>0</v>
      </c>
      <c r="DT725" s="161">
        <f t="shared" si="3123"/>
        <v>0</v>
      </c>
      <c r="DU725" s="161">
        <f t="shared" si="3124"/>
        <v>0</v>
      </c>
      <c r="DV725" s="161">
        <f t="shared" si="3125"/>
        <v>0</v>
      </c>
      <c r="DW725" s="161">
        <f t="shared" si="3126"/>
        <v>0</v>
      </c>
      <c r="DX725" s="161">
        <f t="shared" si="3127"/>
        <v>0</v>
      </c>
      <c r="DY725" s="161">
        <f t="shared" si="3128"/>
        <v>0</v>
      </c>
      <c r="DZ725" s="161">
        <f t="shared" si="3129"/>
        <v>0</v>
      </c>
      <c r="EA725" s="161">
        <f t="shared" si="3130"/>
        <v>0</v>
      </c>
      <c r="EB725" s="161">
        <f t="shared" si="3131"/>
        <v>0</v>
      </c>
      <c r="EC725" s="161">
        <f t="shared" si="3132"/>
        <v>0</v>
      </c>
      <c r="ED725" s="161">
        <f t="shared" si="3133"/>
        <v>0</v>
      </c>
      <c r="EE725" s="161">
        <f t="shared" si="3134"/>
        <v>0</v>
      </c>
      <c r="EF725" s="161">
        <f t="shared" si="3135"/>
        <v>0</v>
      </c>
      <c r="EG725" s="161">
        <f t="shared" si="3136"/>
        <v>0</v>
      </c>
      <c r="EH725" s="161">
        <f t="shared" si="3137"/>
        <v>0</v>
      </c>
      <c r="EI725" s="161">
        <f t="shared" si="3138"/>
        <v>0</v>
      </c>
    </row>
    <row r="726" spans="2:139" ht="12" hidden="1" customHeight="1" outlineLevel="1">
      <c r="B726" s="137" t="str">
        <f t="shared" si="3078"/>
        <v/>
      </c>
      <c r="C726" s="65"/>
      <c r="D726" s="65"/>
      <c r="E726" s="65"/>
      <c r="F726" s="164"/>
      <c r="G726" s="165"/>
      <c r="H726" s="166">
        <f t="shared" si="3012"/>
        <v>0</v>
      </c>
      <c r="I726" s="144">
        <f t="shared" si="3013"/>
        <v>0</v>
      </c>
      <c r="J726" s="65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  <c r="AA726" s="167"/>
      <c r="AB726" s="167"/>
      <c r="AC726" s="167"/>
      <c r="AD726" s="167"/>
      <c r="AE726" s="167"/>
      <c r="AF726" s="167"/>
      <c r="AG726" s="167"/>
      <c r="AH726" s="167"/>
      <c r="AI726" s="167"/>
      <c r="AJ726" s="167"/>
      <c r="AK726" s="167"/>
      <c r="AL726" s="167"/>
      <c r="AM726" s="167"/>
      <c r="AN726" s="167"/>
      <c r="AO726" s="167"/>
      <c r="AP726" s="167"/>
      <c r="AQ726" s="167"/>
      <c r="AR726" s="167"/>
      <c r="AS726" s="167"/>
      <c r="AT726" s="167"/>
      <c r="AU726" s="167"/>
      <c r="AV726" s="167"/>
      <c r="AW726" s="167"/>
      <c r="AX726" s="167"/>
      <c r="AY726" s="167"/>
      <c r="AZ726" s="167"/>
      <c r="BA726" s="167"/>
      <c r="BB726" s="167"/>
      <c r="BC726" s="167"/>
      <c r="BD726" s="167"/>
      <c r="BE726" s="167"/>
      <c r="BF726" s="167"/>
      <c r="BG726" s="167"/>
      <c r="BH726" s="167"/>
      <c r="BI726" s="167"/>
      <c r="BJ726" s="167"/>
      <c r="BK726" s="167"/>
      <c r="BL726" s="167"/>
      <c r="BM726" s="167"/>
      <c r="BN726" s="167"/>
      <c r="BO726" s="167"/>
      <c r="BP726" s="167"/>
      <c r="BQ726" s="167"/>
      <c r="BR726" s="167"/>
      <c r="BS726" s="65"/>
      <c r="BT726" s="160">
        <f t="shared" si="3014"/>
        <v>0</v>
      </c>
      <c r="BU726" s="160">
        <f t="shared" si="3015"/>
        <v>0</v>
      </c>
      <c r="BV726" s="65"/>
      <c r="BW726" s="69"/>
      <c r="BX726" s="65"/>
      <c r="BY726" s="137">
        <f t="shared" si="3016"/>
        <v>0</v>
      </c>
      <c r="BZ726" s="137">
        <f>IF(BY726&gt;0,BY726+LARGE($BZ$213:BZ725,1),0)</f>
        <v>0</v>
      </c>
      <c r="CA726" s="137">
        <f t="shared" si="3017"/>
        <v>0</v>
      </c>
      <c r="CB726" s="161">
        <f t="shared" si="3079"/>
        <v>0</v>
      </c>
      <c r="CC726" s="161">
        <f t="shared" si="3080"/>
        <v>0</v>
      </c>
      <c r="CD726" s="161">
        <f t="shared" si="3081"/>
        <v>0</v>
      </c>
      <c r="CE726" s="161">
        <f t="shared" si="3082"/>
        <v>0</v>
      </c>
      <c r="CF726" s="161">
        <f t="shared" si="3083"/>
        <v>0</v>
      </c>
      <c r="CG726" s="161">
        <f t="shared" si="3084"/>
        <v>0</v>
      </c>
      <c r="CH726" s="161">
        <f t="shared" si="3085"/>
        <v>0</v>
      </c>
      <c r="CI726" s="161">
        <f t="shared" si="3086"/>
        <v>0</v>
      </c>
      <c r="CJ726" s="161">
        <f t="shared" si="3087"/>
        <v>0</v>
      </c>
      <c r="CK726" s="161">
        <f t="shared" si="3088"/>
        <v>0</v>
      </c>
      <c r="CL726" s="161">
        <f t="shared" si="3089"/>
        <v>0</v>
      </c>
      <c r="CM726" s="161">
        <f t="shared" si="3090"/>
        <v>0</v>
      </c>
      <c r="CN726" s="161">
        <f t="shared" si="3091"/>
        <v>0</v>
      </c>
      <c r="CO726" s="161">
        <f t="shared" si="3092"/>
        <v>0</v>
      </c>
      <c r="CP726" s="161">
        <f t="shared" si="3093"/>
        <v>0</v>
      </c>
      <c r="CQ726" s="161">
        <f t="shared" si="3094"/>
        <v>0</v>
      </c>
      <c r="CR726" s="161">
        <f t="shared" si="3095"/>
        <v>0</v>
      </c>
      <c r="CS726" s="161">
        <f t="shared" si="3096"/>
        <v>0</v>
      </c>
      <c r="CT726" s="161">
        <f t="shared" si="3097"/>
        <v>0</v>
      </c>
      <c r="CU726" s="161">
        <f t="shared" si="3098"/>
        <v>0</v>
      </c>
      <c r="CV726" s="161">
        <f t="shared" si="3099"/>
        <v>0</v>
      </c>
      <c r="CW726" s="161">
        <f t="shared" si="3100"/>
        <v>0</v>
      </c>
      <c r="CX726" s="161">
        <f t="shared" si="3101"/>
        <v>0</v>
      </c>
      <c r="CY726" s="161">
        <f t="shared" si="3102"/>
        <v>0</v>
      </c>
      <c r="CZ726" s="161">
        <f t="shared" si="3103"/>
        <v>0</v>
      </c>
      <c r="DA726" s="161">
        <f t="shared" si="3104"/>
        <v>0</v>
      </c>
      <c r="DB726" s="161">
        <f t="shared" si="3105"/>
        <v>0</v>
      </c>
      <c r="DC726" s="161">
        <f t="shared" si="3106"/>
        <v>0</v>
      </c>
      <c r="DD726" s="161">
        <f t="shared" si="3107"/>
        <v>0</v>
      </c>
      <c r="DE726" s="161">
        <f t="shared" si="3108"/>
        <v>0</v>
      </c>
      <c r="DF726" s="161">
        <f t="shared" si="3109"/>
        <v>0</v>
      </c>
      <c r="DG726" s="161">
        <f t="shared" si="3110"/>
        <v>0</v>
      </c>
      <c r="DH726" s="161">
        <f t="shared" si="3111"/>
        <v>0</v>
      </c>
      <c r="DI726" s="161">
        <f t="shared" si="3112"/>
        <v>0</v>
      </c>
      <c r="DJ726" s="161">
        <f t="shared" si="3113"/>
        <v>0</v>
      </c>
      <c r="DK726" s="161">
        <f t="shared" si="3114"/>
        <v>0</v>
      </c>
      <c r="DL726" s="161">
        <f t="shared" si="3115"/>
        <v>0</v>
      </c>
      <c r="DM726" s="161">
        <f t="shared" si="3116"/>
        <v>0</v>
      </c>
      <c r="DN726" s="161">
        <f t="shared" si="3117"/>
        <v>0</v>
      </c>
      <c r="DO726" s="161">
        <f t="shared" si="3118"/>
        <v>0</v>
      </c>
      <c r="DP726" s="161">
        <f t="shared" si="3119"/>
        <v>0</v>
      </c>
      <c r="DQ726" s="161">
        <f t="shared" si="3120"/>
        <v>0</v>
      </c>
      <c r="DR726" s="161">
        <f t="shared" si="3121"/>
        <v>0</v>
      </c>
      <c r="DS726" s="161">
        <f t="shared" si="3122"/>
        <v>0</v>
      </c>
      <c r="DT726" s="161">
        <f t="shared" si="3123"/>
        <v>0</v>
      </c>
      <c r="DU726" s="161">
        <f t="shared" si="3124"/>
        <v>0</v>
      </c>
      <c r="DV726" s="161">
        <f t="shared" si="3125"/>
        <v>0</v>
      </c>
      <c r="DW726" s="161">
        <f t="shared" si="3126"/>
        <v>0</v>
      </c>
      <c r="DX726" s="161">
        <f t="shared" si="3127"/>
        <v>0</v>
      </c>
      <c r="DY726" s="161">
        <f t="shared" si="3128"/>
        <v>0</v>
      </c>
      <c r="DZ726" s="161">
        <f t="shared" si="3129"/>
        <v>0</v>
      </c>
      <c r="EA726" s="161">
        <f t="shared" si="3130"/>
        <v>0</v>
      </c>
      <c r="EB726" s="161">
        <f t="shared" si="3131"/>
        <v>0</v>
      </c>
      <c r="EC726" s="161">
        <f t="shared" si="3132"/>
        <v>0</v>
      </c>
      <c r="ED726" s="161">
        <f t="shared" si="3133"/>
        <v>0</v>
      </c>
      <c r="EE726" s="161">
        <f t="shared" si="3134"/>
        <v>0</v>
      </c>
      <c r="EF726" s="161">
        <f t="shared" si="3135"/>
        <v>0</v>
      </c>
      <c r="EG726" s="161">
        <f t="shared" si="3136"/>
        <v>0</v>
      </c>
      <c r="EH726" s="161">
        <f t="shared" si="3137"/>
        <v>0</v>
      </c>
      <c r="EI726" s="161">
        <f t="shared" si="3138"/>
        <v>0</v>
      </c>
    </row>
    <row r="727" spans="2:139" ht="12" hidden="1" customHeight="1" outlineLevel="1">
      <c r="B727" s="137" t="str">
        <f t="shared" si="3078"/>
        <v/>
      </c>
      <c r="C727" s="65"/>
      <c r="D727" s="65"/>
      <c r="E727" s="65"/>
      <c r="F727" s="164"/>
      <c r="G727" s="165"/>
      <c r="H727" s="166">
        <f t="shared" si="3012"/>
        <v>0</v>
      </c>
      <c r="I727" s="144">
        <f t="shared" si="3013"/>
        <v>0</v>
      </c>
      <c r="J727" s="65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  <c r="AA727" s="167"/>
      <c r="AB727" s="167"/>
      <c r="AC727" s="167"/>
      <c r="AD727" s="167"/>
      <c r="AE727" s="167"/>
      <c r="AF727" s="167"/>
      <c r="AG727" s="167"/>
      <c r="AH727" s="167"/>
      <c r="AI727" s="167"/>
      <c r="AJ727" s="167"/>
      <c r="AK727" s="167"/>
      <c r="AL727" s="167"/>
      <c r="AM727" s="167"/>
      <c r="AN727" s="167"/>
      <c r="AO727" s="167"/>
      <c r="AP727" s="167"/>
      <c r="AQ727" s="167"/>
      <c r="AR727" s="167"/>
      <c r="AS727" s="167"/>
      <c r="AT727" s="167"/>
      <c r="AU727" s="167"/>
      <c r="AV727" s="167"/>
      <c r="AW727" s="167"/>
      <c r="AX727" s="167"/>
      <c r="AY727" s="167"/>
      <c r="AZ727" s="167"/>
      <c r="BA727" s="167"/>
      <c r="BB727" s="167"/>
      <c r="BC727" s="167"/>
      <c r="BD727" s="167"/>
      <c r="BE727" s="167"/>
      <c r="BF727" s="167"/>
      <c r="BG727" s="167"/>
      <c r="BH727" s="167"/>
      <c r="BI727" s="167"/>
      <c r="BJ727" s="167"/>
      <c r="BK727" s="167"/>
      <c r="BL727" s="167"/>
      <c r="BM727" s="167"/>
      <c r="BN727" s="167"/>
      <c r="BO727" s="167"/>
      <c r="BP727" s="167"/>
      <c r="BQ727" s="167"/>
      <c r="BR727" s="167"/>
      <c r="BS727" s="65"/>
      <c r="BT727" s="160">
        <f t="shared" si="3014"/>
        <v>0</v>
      </c>
      <c r="BU727" s="160">
        <f t="shared" si="3015"/>
        <v>0</v>
      </c>
      <c r="BV727" s="65"/>
      <c r="BW727" s="69"/>
      <c r="BX727" s="65"/>
      <c r="BY727" s="137">
        <f t="shared" si="3016"/>
        <v>0</v>
      </c>
      <c r="BZ727" s="137">
        <f>IF(BY727&gt;0,BY727+LARGE($BZ$213:BZ726,1),0)</f>
        <v>0</v>
      </c>
      <c r="CA727" s="137">
        <f t="shared" si="3017"/>
        <v>0</v>
      </c>
      <c r="CB727" s="161">
        <f t="shared" si="3079"/>
        <v>0</v>
      </c>
      <c r="CC727" s="161">
        <f t="shared" si="3080"/>
        <v>0</v>
      </c>
      <c r="CD727" s="161">
        <f t="shared" si="3081"/>
        <v>0</v>
      </c>
      <c r="CE727" s="161">
        <f t="shared" si="3082"/>
        <v>0</v>
      </c>
      <c r="CF727" s="161">
        <f t="shared" si="3083"/>
        <v>0</v>
      </c>
      <c r="CG727" s="161">
        <f t="shared" si="3084"/>
        <v>0</v>
      </c>
      <c r="CH727" s="161">
        <f t="shared" si="3085"/>
        <v>0</v>
      </c>
      <c r="CI727" s="161">
        <f t="shared" si="3086"/>
        <v>0</v>
      </c>
      <c r="CJ727" s="161">
        <f t="shared" si="3087"/>
        <v>0</v>
      </c>
      <c r="CK727" s="161">
        <f t="shared" si="3088"/>
        <v>0</v>
      </c>
      <c r="CL727" s="161">
        <f t="shared" si="3089"/>
        <v>0</v>
      </c>
      <c r="CM727" s="161">
        <f t="shared" si="3090"/>
        <v>0</v>
      </c>
      <c r="CN727" s="161">
        <f t="shared" si="3091"/>
        <v>0</v>
      </c>
      <c r="CO727" s="161">
        <f t="shared" si="3092"/>
        <v>0</v>
      </c>
      <c r="CP727" s="161">
        <f t="shared" si="3093"/>
        <v>0</v>
      </c>
      <c r="CQ727" s="161">
        <f t="shared" si="3094"/>
        <v>0</v>
      </c>
      <c r="CR727" s="161">
        <f t="shared" si="3095"/>
        <v>0</v>
      </c>
      <c r="CS727" s="161">
        <f t="shared" si="3096"/>
        <v>0</v>
      </c>
      <c r="CT727" s="161">
        <f t="shared" si="3097"/>
        <v>0</v>
      </c>
      <c r="CU727" s="161">
        <f t="shared" si="3098"/>
        <v>0</v>
      </c>
      <c r="CV727" s="161">
        <f t="shared" si="3099"/>
        <v>0</v>
      </c>
      <c r="CW727" s="161">
        <f t="shared" si="3100"/>
        <v>0</v>
      </c>
      <c r="CX727" s="161">
        <f t="shared" si="3101"/>
        <v>0</v>
      </c>
      <c r="CY727" s="161">
        <f t="shared" si="3102"/>
        <v>0</v>
      </c>
      <c r="CZ727" s="161">
        <f t="shared" si="3103"/>
        <v>0</v>
      </c>
      <c r="DA727" s="161">
        <f t="shared" si="3104"/>
        <v>0</v>
      </c>
      <c r="DB727" s="161">
        <f t="shared" si="3105"/>
        <v>0</v>
      </c>
      <c r="DC727" s="161">
        <f t="shared" si="3106"/>
        <v>0</v>
      </c>
      <c r="DD727" s="161">
        <f t="shared" si="3107"/>
        <v>0</v>
      </c>
      <c r="DE727" s="161">
        <f t="shared" si="3108"/>
        <v>0</v>
      </c>
      <c r="DF727" s="161">
        <f t="shared" si="3109"/>
        <v>0</v>
      </c>
      <c r="DG727" s="161">
        <f t="shared" si="3110"/>
        <v>0</v>
      </c>
      <c r="DH727" s="161">
        <f t="shared" si="3111"/>
        <v>0</v>
      </c>
      <c r="DI727" s="161">
        <f t="shared" si="3112"/>
        <v>0</v>
      </c>
      <c r="DJ727" s="161">
        <f t="shared" si="3113"/>
        <v>0</v>
      </c>
      <c r="DK727" s="161">
        <f t="shared" si="3114"/>
        <v>0</v>
      </c>
      <c r="DL727" s="161">
        <f t="shared" si="3115"/>
        <v>0</v>
      </c>
      <c r="DM727" s="161">
        <f t="shared" si="3116"/>
        <v>0</v>
      </c>
      <c r="DN727" s="161">
        <f t="shared" si="3117"/>
        <v>0</v>
      </c>
      <c r="DO727" s="161">
        <f t="shared" si="3118"/>
        <v>0</v>
      </c>
      <c r="DP727" s="161">
        <f t="shared" si="3119"/>
        <v>0</v>
      </c>
      <c r="DQ727" s="161">
        <f t="shared" si="3120"/>
        <v>0</v>
      </c>
      <c r="DR727" s="161">
        <f t="shared" si="3121"/>
        <v>0</v>
      </c>
      <c r="DS727" s="161">
        <f t="shared" si="3122"/>
        <v>0</v>
      </c>
      <c r="DT727" s="161">
        <f t="shared" si="3123"/>
        <v>0</v>
      </c>
      <c r="DU727" s="161">
        <f t="shared" si="3124"/>
        <v>0</v>
      </c>
      <c r="DV727" s="161">
        <f t="shared" si="3125"/>
        <v>0</v>
      </c>
      <c r="DW727" s="161">
        <f t="shared" si="3126"/>
        <v>0</v>
      </c>
      <c r="DX727" s="161">
        <f t="shared" si="3127"/>
        <v>0</v>
      </c>
      <c r="DY727" s="161">
        <f t="shared" si="3128"/>
        <v>0</v>
      </c>
      <c r="DZ727" s="161">
        <f t="shared" si="3129"/>
        <v>0</v>
      </c>
      <c r="EA727" s="161">
        <f t="shared" si="3130"/>
        <v>0</v>
      </c>
      <c r="EB727" s="161">
        <f t="shared" si="3131"/>
        <v>0</v>
      </c>
      <c r="EC727" s="161">
        <f t="shared" si="3132"/>
        <v>0</v>
      </c>
      <c r="ED727" s="161">
        <f t="shared" si="3133"/>
        <v>0</v>
      </c>
      <c r="EE727" s="161">
        <f t="shared" si="3134"/>
        <v>0</v>
      </c>
      <c r="EF727" s="161">
        <f t="shared" si="3135"/>
        <v>0</v>
      </c>
      <c r="EG727" s="161">
        <f t="shared" si="3136"/>
        <v>0</v>
      </c>
      <c r="EH727" s="161">
        <f t="shared" si="3137"/>
        <v>0</v>
      </c>
      <c r="EI727" s="161">
        <f t="shared" si="3138"/>
        <v>0</v>
      </c>
    </row>
    <row r="728" spans="2:139" ht="12" hidden="1" customHeight="1" outlineLevel="1">
      <c r="B728" s="137" t="str">
        <f t="shared" si="3078"/>
        <v/>
      </c>
      <c r="C728" s="65"/>
      <c r="D728" s="65"/>
      <c r="E728" s="65"/>
      <c r="F728" s="164"/>
      <c r="G728" s="165"/>
      <c r="H728" s="166">
        <f t="shared" si="3012"/>
        <v>0</v>
      </c>
      <c r="I728" s="144">
        <f t="shared" si="3013"/>
        <v>0</v>
      </c>
      <c r="J728" s="65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  <c r="AA728" s="167"/>
      <c r="AB728" s="167"/>
      <c r="AC728" s="167"/>
      <c r="AD728" s="167"/>
      <c r="AE728" s="167"/>
      <c r="AF728" s="167"/>
      <c r="AG728" s="167"/>
      <c r="AH728" s="167"/>
      <c r="AI728" s="167"/>
      <c r="AJ728" s="167"/>
      <c r="AK728" s="167"/>
      <c r="AL728" s="167"/>
      <c r="AM728" s="167"/>
      <c r="AN728" s="167"/>
      <c r="AO728" s="167"/>
      <c r="AP728" s="167"/>
      <c r="AQ728" s="167"/>
      <c r="AR728" s="167"/>
      <c r="AS728" s="167"/>
      <c r="AT728" s="167"/>
      <c r="AU728" s="167"/>
      <c r="AV728" s="167"/>
      <c r="AW728" s="167"/>
      <c r="AX728" s="167"/>
      <c r="AY728" s="167"/>
      <c r="AZ728" s="167"/>
      <c r="BA728" s="167"/>
      <c r="BB728" s="167"/>
      <c r="BC728" s="167"/>
      <c r="BD728" s="167"/>
      <c r="BE728" s="167"/>
      <c r="BF728" s="167"/>
      <c r="BG728" s="167"/>
      <c r="BH728" s="167"/>
      <c r="BI728" s="167"/>
      <c r="BJ728" s="167"/>
      <c r="BK728" s="167"/>
      <c r="BL728" s="167"/>
      <c r="BM728" s="167"/>
      <c r="BN728" s="167"/>
      <c r="BO728" s="167"/>
      <c r="BP728" s="167"/>
      <c r="BQ728" s="167"/>
      <c r="BR728" s="167"/>
      <c r="BS728" s="65"/>
      <c r="BT728" s="160">
        <f t="shared" si="3014"/>
        <v>0</v>
      </c>
      <c r="BU728" s="160">
        <f t="shared" si="3015"/>
        <v>0</v>
      </c>
      <c r="BV728" s="65"/>
      <c r="BW728" s="69"/>
      <c r="BX728" s="65"/>
      <c r="BY728" s="137">
        <f t="shared" si="3016"/>
        <v>0</v>
      </c>
      <c r="BZ728" s="137">
        <f>IF(BY728&gt;0,BY728+LARGE($BZ$213:BZ727,1),0)</f>
        <v>0</v>
      </c>
      <c r="CA728" s="137">
        <f t="shared" si="3017"/>
        <v>0</v>
      </c>
      <c r="CB728" s="161">
        <f t="shared" si="3079"/>
        <v>0</v>
      </c>
      <c r="CC728" s="161">
        <f t="shared" si="3080"/>
        <v>0</v>
      </c>
      <c r="CD728" s="161">
        <f t="shared" si="3081"/>
        <v>0</v>
      </c>
      <c r="CE728" s="161">
        <f t="shared" si="3082"/>
        <v>0</v>
      </c>
      <c r="CF728" s="161">
        <f t="shared" si="3083"/>
        <v>0</v>
      </c>
      <c r="CG728" s="161">
        <f t="shared" si="3084"/>
        <v>0</v>
      </c>
      <c r="CH728" s="161">
        <f t="shared" si="3085"/>
        <v>0</v>
      </c>
      <c r="CI728" s="161">
        <f t="shared" si="3086"/>
        <v>0</v>
      </c>
      <c r="CJ728" s="161">
        <f t="shared" si="3087"/>
        <v>0</v>
      </c>
      <c r="CK728" s="161">
        <f t="shared" si="3088"/>
        <v>0</v>
      </c>
      <c r="CL728" s="161">
        <f t="shared" si="3089"/>
        <v>0</v>
      </c>
      <c r="CM728" s="161">
        <f t="shared" si="3090"/>
        <v>0</v>
      </c>
      <c r="CN728" s="161">
        <f t="shared" si="3091"/>
        <v>0</v>
      </c>
      <c r="CO728" s="161">
        <f t="shared" si="3092"/>
        <v>0</v>
      </c>
      <c r="CP728" s="161">
        <f t="shared" si="3093"/>
        <v>0</v>
      </c>
      <c r="CQ728" s="161">
        <f t="shared" si="3094"/>
        <v>0</v>
      </c>
      <c r="CR728" s="161">
        <f t="shared" si="3095"/>
        <v>0</v>
      </c>
      <c r="CS728" s="161">
        <f t="shared" si="3096"/>
        <v>0</v>
      </c>
      <c r="CT728" s="161">
        <f t="shared" si="3097"/>
        <v>0</v>
      </c>
      <c r="CU728" s="161">
        <f t="shared" si="3098"/>
        <v>0</v>
      </c>
      <c r="CV728" s="161">
        <f t="shared" si="3099"/>
        <v>0</v>
      </c>
      <c r="CW728" s="161">
        <f t="shared" si="3100"/>
        <v>0</v>
      </c>
      <c r="CX728" s="161">
        <f t="shared" si="3101"/>
        <v>0</v>
      </c>
      <c r="CY728" s="161">
        <f t="shared" si="3102"/>
        <v>0</v>
      </c>
      <c r="CZ728" s="161">
        <f t="shared" si="3103"/>
        <v>0</v>
      </c>
      <c r="DA728" s="161">
        <f t="shared" si="3104"/>
        <v>0</v>
      </c>
      <c r="DB728" s="161">
        <f t="shared" si="3105"/>
        <v>0</v>
      </c>
      <c r="DC728" s="161">
        <f t="shared" si="3106"/>
        <v>0</v>
      </c>
      <c r="DD728" s="161">
        <f t="shared" si="3107"/>
        <v>0</v>
      </c>
      <c r="DE728" s="161">
        <f t="shared" si="3108"/>
        <v>0</v>
      </c>
      <c r="DF728" s="161">
        <f t="shared" si="3109"/>
        <v>0</v>
      </c>
      <c r="DG728" s="161">
        <f t="shared" si="3110"/>
        <v>0</v>
      </c>
      <c r="DH728" s="161">
        <f t="shared" si="3111"/>
        <v>0</v>
      </c>
      <c r="DI728" s="161">
        <f t="shared" si="3112"/>
        <v>0</v>
      </c>
      <c r="DJ728" s="161">
        <f t="shared" si="3113"/>
        <v>0</v>
      </c>
      <c r="DK728" s="161">
        <f t="shared" si="3114"/>
        <v>0</v>
      </c>
      <c r="DL728" s="161">
        <f t="shared" si="3115"/>
        <v>0</v>
      </c>
      <c r="DM728" s="161">
        <f t="shared" si="3116"/>
        <v>0</v>
      </c>
      <c r="DN728" s="161">
        <f t="shared" si="3117"/>
        <v>0</v>
      </c>
      <c r="DO728" s="161">
        <f t="shared" si="3118"/>
        <v>0</v>
      </c>
      <c r="DP728" s="161">
        <f t="shared" si="3119"/>
        <v>0</v>
      </c>
      <c r="DQ728" s="161">
        <f t="shared" si="3120"/>
        <v>0</v>
      </c>
      <c r="DR728" s="161">
        <f t="shared" si="3121"/>
        <v>0</v>
      </c>
      <c r="DS728" s="161">
        <f t="shared" si="3122"/>
        <v>0</v>
      </c>
      <c r="DT728" s="161">
        <f t="shared" si="3123"/>
        <v>0</v>
      </c>
      <c r="DU728" s="161">
        <f t="shared" si="3124"/>
        <v>0</v>
      </c>
      <c r="DV728" s="161">
        <f t="shared" si="3125"/>
        <v>0</v>
      </c>
      <c r="DW728" s="161">
        <f t="shared" si="3126"/>
        <v>0</v>
      </c>
      <c r="DX728" s="161">
        <f t="shared" si="3127"/>
        <v>0</v>
      </c>
      <c r="DY728" s="161">
        <f t="shared" si="3128"/>
        <v>0</v>
      </c>
      <c r="DZ728" s="161">
        <f t="shared" si="3129"/>
        <v>0</v>
      </c>
      <c r="EA728" s="161">
        <f t="shared" si="3130"/>
        <v>0</v>
      </c>
      <c r="EB728" s="161">
        <f t="shared" si="3131"/>
        <v>0</v>
      </c>
      <c r="EC728" s="161">
        <f t="shared" si="3132"/>
        <v>0</v>
      </c>
      <c r="ED728" s="161">
        <f t="shared" si="3133"/>
        <v>0</v>
      </c>
      <c r="EE728" s="161">
        <f t="shared" si="3134"/>
        <v>0</v>
      </c>
      <c r="EF728" s="161">
        <f t="shared" si="3135"/>
        <v>0</v>
      </c>
      <c r="EG728" s="161">
        <f t="shared" si="3136"/>
        <v>0</v>
      </c>
      <c r="EH728" s="161">
        <f t="shared" si="3137"/>
        <v>0</v>
      </c>
      <c r="EI728" s="161">
        <f t="shared" si="3138"/>
        <v>0</v>
      </c>
    </row>
    <row r="729" spans="2:139" ht="12" hidden="1" customHeight="1" outlineLevel="1">
      <c r="B729" s="137" t="str">
        <f t="shared" si="3078"/>
        <v/>
      </c>
      <c r="C729" s="65"/>
      <c r="D729" s="65"/>
      <c r="E729" s="65"/>
      <c r="F729" s="164"/>
      <c r="G729" s="165"/>
      <c r="H729" s="166">
        <f t="shared" si="3012"/>
        <v>0</v>
      </c>
      <c r="I729" s="144">
        <f t="shared" si="3013"/>
        <v>0</v>
      </c>
      <c r="J729" s="65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  <c r="AA729" s="167"/>
      <c r="AB729" s="167"/>
      <c r="AC729" s="167"/>
      <c r="AD729" s="167"/>
      <c r="AE729" s="167"/>
      <c r="AF729" s="167"/>
      <c r="AG729" s="167"/>
      <c r="AH729" s="167"/>
      <c r="AI729" s="167"/>
      <c r="AJ729" s="167"/>
      <c r="AK729" s="167"/>
      <c r="AL729" s="167"/>
      <c r="AM729" s="167"/>
      <c r="AN729" s="167"/>
      <c r="AO729" s="167"/>
      <c r="AP729" s="167"/>
      <c r="AQ729" s="167"/>
      <c r="AR729" s="167"/>
      <c r="AS729" s="167"/>
      <c r="AT729" s="167"/>
      <c r="AU729" s="167"/>
      <c r="AV729" s="167"/>
      <c r="AW729" s="167"/>
      <c r="AX729" s="167"/>
      <c r="AY729" s="167"/>
      <c r="AZ729" s="167"/>
      <c r="BA729" s="167"/>
      <c r="BB729" s="167"/>
      <c r="BC729" s="167"/>
      <c r="BD729" s="167"/>
      <c r="BE729" s="167"/>
      <c r="BF729" s="167"/>
      <c r="BG729" s="167"/>
      <c r="BH729" s="167"/>
      <c r="BI729" s="167"/>
      <c r="BJ729" s="167"/>
      <c r="BK729" s="167"/>
      <c r="BL729" s="167"/>
      <c r="BM729" s="167"/>
      <c r="BN729" s="167"/>
      <c r="BO729" s="167"/>
      <c r="BP729" s="167"/>
      <c r="BQ729" s="167"/>
      <c r="BR729" s="167"/>
      <c r="BS729" s="65"/>
      <c r="BT729" s="160">
        <f t="shared" si="3014"/>
        <v>0</v>
      </c>
      <c r="BU729" s="160">
        <f t="shared" si="3015"/>
        <v>0</v>
      </c>
      <c r="BV729" s="65"/>
      <c r="BW729" s="69"/>
      <c r="BX729" s="65"/>
      <c r="BY729" s="137">
        <f t="shared" si="3016"/>
        <v>0</v>
      </c>
      <c r="BZ729" s="137">
        <f>IF(BY729&gt;0,BY729+LARGE($BZ$213:BZ728,1),0)</f>
        <v>0</v>
      </c>
      <c r="CA729" s="137">
        <f t="shared" si="3017"/>
        <v>0</v>
      </c>
      <c r="CB729" s="161">
        <f t="shared" si="3079"/>
        <v>0</v>
      </c>
      <c r="CC729" s="161">
        <f t="shared" si="3080"/>
        <v>0</v>
      </c>
      <c r="CD729" s="161">
        <f t="shared" si="3081"/>
        <v>0</v>
      </c>
      <c r="CE729" s="161">
        <f t="shared" si="3082"/>
        <v>0</v>
      </c>
      <c r="CF729" s="161">
        <f t="shared" si="3083"/>
        <v>0</v>
      </c>
      <c r="CG729" s="161">
        <f t="shared" si="3084"/>
        <v>0</v>
      </c>
      <c r="CH729" s="161">
        <f t="shared" si="3085"/>
        <v>0</v>
      </c>
      <c r="CI729" s="161">
        <f t="shared" si="3086"/>
        <v>0</v>
      </c>
      <c r="CJ729" s="161">
        <f t="shared" si="3087"/>
        <v>0</v>
      </c>
      <c r="CK729" s="161">
        <f t="shared" si="3088"/>
        <v>0</v>
      </c>
      <c r="CL729" s="161">
        <f t="shared" si="3089"/>
        <v>0</v>
      </c>
      <c r="CM729" s="161">
        <f t="shared" si="3090"/>
        <v>0</v>
      </c>
      <c r="CN729" s="161">
        <f t="shared" si="3091"/>
        <v>0</v>
      </c>
      <c r="CO729" s="161">
        <f t="shared" si="3092"/>
        <v>0</v>
      </c>
      <c r="CP729" s="161">
        <f t="shared" si="3093"/>
        <v>0</v>
      </c>
      <c r="CQ729" s="161">
        <f t="shared" si="3094"/>
        <v>0</v>
      </c>
      <c r="CR729" s="161">
        <f t="shared" si="3095"/>
        <v>0</v>
      </c>
      <c r="CS729" s="161">
        <f t="shared" si="3096"/>
        <v>0</v>
      </c>
      <c r="CT729" s="161">
        <f t="shared" si="3097"/>
        <v>0</v>
      </c>
      <c r="CU729" s="161">
        <f t="shared" si="3098"/>
        <v>0</v>
      </c>
      <c r="CV729" s="161">
        <f t="shared" si="3099"/>
        <v>0</v>
      </c>
      <c r="CW729" s="161">
        <f t="shared" si="3100"/>
        <v>0</v>
      </c>
      <c r="CX729" s="161">
        <f t="shared" si="3101"/>
        <v>0</v>
      </c>
      <c r="CY729" s="161">
        <f t="shared" si="3102"/>
        <v>0</v>
      </c>
      <c r="CZ729" s="161">
        <f t="shared" si="3103"/>
        <v>0</v>
      </c>
      <c r="DA729" s="161">
        <f t="shared" si="3104"/>
        <v>0</v>
      </c>
      <c r="DB729" s="161">
        <f t="shared" si="3105"/>
        <v>0</v>
      </c>
      <c r="DC729" s="161">
        <f t="shared" si="3106"/>
        <v>0</v>
      </c>
      <c r="DD729" s="161">
        <f t="shared" si="3107"/>
        <v>0</v>
      </c>
      <c r="DE729" s="161">
        <f t="shared" si="3108"/>
        <v>0</v>
      </c>
      <c r="DF729" s="161">
        <f t="shared" si="3109"/>
        <v>0</v>
      </c>
      <c r="DG729" s="161">
        <f t="shared" si="3110"/>
        <v>0</v>
      </c>
      <c r="DH729" s="161">
        <f t="shared" si="3111"/>
        <v>0</v>
      </c>
      <c r="DI729" s="161">
        <f t="shared" si="3112"/>
        <v>0</v>
      </c>
      <c r="DJ729" s="161">
        <f t="shared" si="3113"/>
        <v>0</v>
      </c>
      <c r="DK729" s="161">
        <f t="shared" si="3114"/>
        <v>0</v>
      </c>
      <c r="DL729" s="161">
        <f t="shared" si="3115"/>
        <v>0</v>
      </c>
      <c r="DM729" s="161">
        <f t="shared" si="3116"/>
        <v>0</v>
      </c>
      <c r="DN729" s="161">
        <f t="shared" si="3117"/>
        <v>0</v>
      </c>
      <c r="DO729" s="161">
        <f t="shared" si="3118"/>
        <v>0</v>
      </c>
      <c r="DP729" s="161">
        <f t="shared" si="3119"/>
        <v>0</v>
      </c>
      <c r="DQ729" s="161">
        <f t="shared" si="3120"/>
        <v>0</v>
      </c>
      <c r="DR729" s="161">
        <f t="shared" si="3121"/>
        <v>0</v>
      </c>
      <c r="DS729" s="161">
        <f t="shared" si="3122"/>
        <v>0</v>
      </c>
      <c r="DT729" s="161">
        <f t="shared" si="3123"/>
        <v>0</v>
      </c>
      <c r="DU729" s="161">
        <f t="shared" si="3124"/>
        <v>0</v>
      </c>
      <c r="DV729" s="161">
        <f t="shared" si="3125"/>
        <v>0</v>
      </c>
      <c r="DW729" s="161">
        <f t="shared" si="3126"/>
        <v>0</v>
      </c>
      <c r="DX729" s="161">
        <f t="shared" si="3127"/>
        <v>0</v>
      </c>
      <c r="DY729" s="161">
        <f t="shared" si="3128"/>
        <v>0</v>
      </c>
      <c r="DZ729" s="161">
        <f t="shared" si="3129"/>
        <v>0</v>
      </c>
      <c r="EA729" s="161">
        <f t="shared" si="3130"/>
        <v>0</v>
      </c>
      <c r="EB729" s="161">
        <f t="shared" si="3131"/>
        <v>0</v>
      </c>
      <c r="EC729" s="161">
        <f t="shared" si="3132"/>
        <v>0</v>
      </c>
      <c r="ED729" s="161">
        <f t="shared" si="3133"/>
        <v>0</v>
      </c>
      <c r="EE729" s="161">
        <f t="shared" si="3134"/>
        <v>0</v>
      </c>
      <c r="EF729" s="161">
        <f t="shared" si="3135"/>
        <v>0</v>
      </c>
      <c r="EG729" s="161">
        <f t="shared" si="3136"/>
        <v>0</v>
      </c>
      <c r="EH729" s="161">
        <f t="shared" si="3137"/>
        <v>0</v>
      </c>
      <c r="EI729" s="161">
        <f t="shared" si="3138"/>
        <v>0</v>
      </c>
    </row>
    <row r="730" spans="2:139" ht="12" hidden="1" customHeight="1" outlineLevel="1">
      <c r="B730" s="137" t="str">
        <f t="shared" si="3078"/>
        <v/>
      </c>
      <c r="C730" s="65"/>
      <c r="D730" s="65"/>
      <c r="E730" s="65"/>
      <c r="F730" s="164"/>
      <c r="G730" s="165"/>
      <c r="H730" s="166">
        <f t="shared" ref="H730:H747" si="3139">IFERROR(SUM(K730:BR730)/COUNTIF(K730:BR730,"&gt;0"),0)</f>
        <v>0</v>
      </c>
      <c r="I730" s="144">
        <f t="shared" ref="I730:I747" si="3140">COUNTIF(K730:BR730,"&gt;0")</f>
        <v>0</v>
      </c>
      <c r="J730" s="65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  <c r="AA730" s="167"/>
      <c r="AB730" s="167"/>
      <c r="AC730" s="167"/>
      <c r="AD730" s="167"/>
      <c r="AE730" s="167"/>
      <c r="AF730" s="167"/>
      <c r="AG730" s="167"/>
      <c r="AH730" s="167"/>
      <c r="AI730" s="167"/>
      <c r="AJ730" s="167"/>
      <c r="AK730" s="167"/>
      <c r="AL730" s="167"/>
      <c r="AM730" s="167"/>
      <c r="AN730" s="167"/>
      <c r="AO730" s="167"/>
      <c r="AP730" s="167"/>
      <c r="AQ730" s="167"/>
      <c r="AR730" s="167"/>
      <c r="AS730" s="167"/>
      <c r="AT730" s="167"/>
      <c r="AU730" s="167"/>
      <c r="AV730" s="167"/>
      <c r="AW730" s="167"/>
      <c r="AX730" s="167"/>
      <c r="AY730" s="167"/>
      <c r="AZ730" s="167"/>
      <c r="BA730" s="167"/>
      <c r="BB730" s="167"/>
      <c r="BC730" s="167"/>
      <c r="BD730" s="167"/>
      <c r="BE730" s="167"/>
      <c r="BF730" s="167"/>
      <c r="BG730" s="167"/>
      <c r="BH730" s="167"/>
      <c r="BI730" s="167"/>
      <c r="BJ730" s="167"/>
      <c r="BK730" s="167"/>
      <c r="BL730" s="167"/>
      <c r="BM730" s="167"/>
      <c r="BN730" s="167"/>
      <c r="BO730" s="167"/>
      <c r="BP730" s="167"/>
      <c r="BQ730" s="167"/>
      <c r="BR730" s="167"/>
      <c r="BS730" s="65"/>
      <c r="BT730" s="160">
        <f t="shared" ref="BT730:BT747" si="3141">IFERROR(SUM(K730:BR730)/COUNTIF(K730:BR730,"&gt;0"),0)</f>
        <v>0</v>
      </c>
      <c r="BU730" s="160">
        <f t="shared" ref="BU730:BU747" si="3142">COUNTIF(K730:BR730,"&gt;0")</f>
        <v>0</v>
      </c>
      <c r="BV730" s="65"/>
      <c r="BW730" s="69"/>
      <c r="BX730" s="65"/>
      <c r="BY730" s="137">
        <f t="shared" ref="BY730:BY747" si="3143">IF(F730&gt;0,1,0)</f>
        <v>0</v>
      </c>
      <c r="BZ730" s="137">
        <f>IF(BY730&gt;0,BY730+LARGE($BZ$213:BZ729,1),0)</f>
        <v>0</v>
      </c>
      <c r="CA730" s="137">
        <f t="shared" ref="CA730:CA747" si="3144">F730</f>
        <v>0</v>
      </c>
      <c r="CB730" s="161">
        <f t="shared" si="3079"/>
        <v>0</v>
      </c>
      <c r="CC730" s="161">
        <f t="shared" si="3080"/>
        <v>0</v>
      </c>
      <c r="CD730" s="161">
        <f t="shared" si="3081"/>
        <v>0</v>
      </c>
      <c r="CE730" s="161">
        <f t="shared" si="3082"/>
        <v>0</v>
      </c>
      <c r="CF730" s="161">
        <f t="shared" si="3083"/>
        <v>0</v>
      </c>
      <c r="CG730" s="161">
        <f t="shared" si="3084"/>
        <v>0</v>
      </c>
      <c r="CH730" s="161">
        <f t="shared" si="3085"/>
        <v>0</v>
      </c>
      <c r="CI730" s="161">
        <f t="shared" si="3086"/>
        <v>0</v>
      </c>
      <c r="CJ730" s="161">
        <f t="shared" si="3087"/>
        <v>0</v>
      </c>
      <c r="CK730" s="161">
        <f t="shared" si="3088"/>
        <v>0</v>
      </c>
      <c r="CL730" s="161">
        <f t="shared" si="3089"/>
        <v>0</v>
      </c>
      <c r="CM730" s="161">
        <f t="shared" si="3090"/>
        <v>0</v>
      </c>
      <c r="CN730" s="161">
        <f t="shared" si="3091"/>
        <v>0</v>
      </c>
      <c r="CO730" s="161">
        <f t="shared" si="3092"/>
        <v>0</v>
      </c>
      <c r="CP730" s="161">
        <f t="shared" si="3093"/>
        <v>0</v>
      </c>
      <c r="CQ730" s="161">
        <f t="shared" si="3094"/>
        <v>0</v>
      </c>
      <c r="CR730" s="161">
        <f t="shared" si="3095"/>
        <v>0</v>
      </c>
      <c r="CS730" s="161">
        <f t="shared" si="3096"/>
        <v>0</v>
      </c>
      <c r="CT730" s="161">
        <f t="shared" si="3097"/>
        <v>0</v>
      </c>
      <c r="CU730" s="161">
        <f t="shared" si="3098"/>
        <v>0</v>
      </c>
      <c r="CV730" s="161">
        <f t="shared" si="3099"/>
        <v>0</v>
      </c>
      <c r="CW730" s="161">
        <f t="shared" si="3100"/>
        <v>0</v>
      </c>
      <c r="CX730" s="161">
        <f t="shared" si="3101"/>
        <v>0</v>
      </c>
      <c r="CY730" s="161">
        <f t="shared" si="3102"/>
        <v>0</v>
      </c>
      <c r="CZ730" s="161">
        <f t="shared" si="3103"/>
        <v>0</v>
      </c>
      <c r="DA730" s="161">
        <f t="shared" si="3104"/>
        <v>0</v>
      </c>
      <c r="DB730" s="161">
        <f t="shared" si="3105"/>
        <v>0</v>
      </c>
      <c r="DC730" s="161">
        <f t="shared" si="3106"/>
        <v>0</v>
      </c>
      <c r="DD730" s="161">
        <f t="shared" si="3107"/>
        <v>0</v>
      </c>
      <c r="DE730" s="161">
        <f t="shared" si="3108"/>
        <v>0</v>
      </c>
      <c r="DF730" s="161">
        <f t="shared" si="3109"/>
        <v>0</v>
      </c>
      <c r="DG730" s="161">
        <f t="shared" si="3110"/>
        <v>0</v>
      </c>
      <c r="DH730" s="161">
        <f t="shared" si="3111"/>
        <v>0</v>
      </c>
      <c r="DI730" s="161">
        <f t="shared" si="3112"/>
        <v>0</v>
      </c>
      <c r="DJ730" s="161">
        <f t="shared" si="3113"/>
        <v>0</v>
      </c>
      <c r="DK730" s="161">
        <f t="shared" si="3114"/>
        <v>0</v>
      </c>
      <c r="DL730" s="161">
        <f t="shared" si="3115"/>
        <v>0</v>
      </c>
      <c r="DM730" s="161">
        <f t="shared" si="3116"/>
        <v>0</v>
      </c>
      <c r="DN730" s="161">
        <f t="shared" si="3117"/>
        <v>0</v>
      </c>
      <c r="DO730" s="161">
        <f t="shared" si="3118"/>
        <v>0</v>
      </c>
      <c r="DP730" s="161">
        <f t="shared" si="3119"/>
        <v>0</v>
      </c>
      <c r="DQ730" s="161">
        <f t="shared" si="3120"/>
        <v>0</v>
      </c>
      <c r="DR730" s="161">
        <f t="shared" si="3121"/>
        <v>0</v>
      </c>
      <c r="DS730" s="161">
        <f t="shared" si="3122"/>
        <v>0</v>
      </c>
      <c r="DT730" s="161">
        <f t="shared" si="3123"/>
        <v>0</v>
      </c>
      <c r="DU730" s="161">
        <f t="shared" si="3124"/>
        <v>0</v>
      </c>
      <c r="DV730" s="161">
        <f t="shared" si="3125"/>
        <v>0</v>
      </c>
      <c r="DW730" s="161">
        <f t="shared" si="3126"/>
        <v>0</v>
      </c>
      <c r="DX730" s="161">
        <f t="shared" si="3127"/>
        <v>0</v>
      </c>
      <c r="DY730" s="161">
        <f t="shared" si="3128"/>
        <v>0</v>
      </c>
      <c r="DZ730" s="161">
        <f t="shared" si="3129"/>
        <v>0</v>
      </c>
      <c r="EA730" s="161">
        <f t="shared" si="3130"/>
        <v>0</v>
      </c>
      <c r="EB730" s="161">
        <f t="shared" si="3131"/>
        <v>0</v>
      </c>
      <c r="EC730" s="161">
        <f t="shared" si="3132"/>
        <v>0</v>
      </c>
      <c r="ED730" s="161">
        <f t="shared" si="3133"/>
        <v>0</v>
      </c>
      <c r="EE730" s="161">
        <f t="shared" si="3134"/>
        <v>0</v>
      </c>
      <c r="EF730" s="161">
        <f t="shared" si="3135"/>
        <v>0</v>
      </c>
      <c r="EG730" s="161">
        <f t="shared" si="3136"/>
        <v>0</v>
      </c>
      <c r="EH730" s="161">
        <f t="shared" si="3137"/>
        <v>0</v>
      </c>
      <c r="EI730" s="161">
        <f t="shared" si="3138"/>
        <v>0</v>
      </c>
    </row>
    <row r="731" spans="2:139" ht="12" hidden="1" customHeight="1" outlineLevel="1">
      <c r="B731" s="137" t="str">
        <f t="shared" si="3078"/>
        <v/>
      </c>
      <c r="C731" s="65"/>
      <c r="D731" s="65"/>
      <c r="E731" s="65"/>
      <c r="F731" s="164"/>
      <c r="G731" s="165"/>
      <c r="H731" s="166">
        <f t="shared" si="3139"/>
        <v>0</v>
      </c>
      <c r="I731" s="144">
        <f t="shared" si="3140"/>
        <v>0</v>
      </c>
      <c r="J731" s="65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  <c r="AA731" s="167"/>
      <c r="AB731" s="167"/>
      <c r="AC731" s="167"/>
      <c r="AD731" s="167"/>
      <c r="AE731" s="167"/>
      <c r="AF731" s="167"/>
      <c r="AG731" s="167"/>
      <c r="AH731" s="167"/>
      <c r="AI731" s="167"/>
      <c r="AJ731" s="167"/>
      <c r="AK731" s="167"/>
      <c r="AL731" s="167"/>
      <c r="AM731" s="167"/>
      <c r="AN731" s="167"/>
      <c r="AO731" s="167"/>
      <c r="AP731" s="167"/>
      <c r="AQ731" s="167"/>
      <c r="AR731" s="167"/>
      <c r="AS731" s="167"/>
      <c r="AT731" s="167"/>
      <c r="AU731" s="167"/>
      <c r="AV731" s="167"/>
      <c r="AW731" s="167"/>
      <c r="AX731" s="167"/>
      <c r="AY731" s="167"/>
      <c r="AZ731" s="167"/>
      <c r="BA731" s="167"/>
      <c r="BB731" s="167"/>
      <c r="BC731" s="167"/>
      <c r="BD731" s="167"/>
      <c r="BE731" s="167"/>
      <c r="BF731" s="167"/>
      <c r="BG731" s="167"/>
      <c r="BH731" s="167"/>
      <c r="BI731" s="167"/>
      <c r="BJ731" s="167"/>
      <c r="BK731" s="167"/>
      <c r="BL731" s="167"/>
      <c r="BM731" s="167"/>
      <c r="BN731" s="167"/>
      <c r="BO731" s="167"/>
      <c r="BP731" s="167"/>
      <c r="BQ731" s="167"/>
      <c r="BR731" s="167"/>
      <c r="BS731" s="65"/>
      <c r="BT731" s="160">
        <f t="shared" si="3141"/>
        <v>0</v>
      </c>
      <c r="BU731" s="160">
        <f t="shared" si="3142"/>
        <v>0</v>
      </c>
      <c r="BV731" s="65"/>
      <c r="BW731" s="69"/>
      <c r="BX731" s="65"/>
      <c r="BY731" s="137">
        <f t="shared" si="3143"/>
        <v>0</v>
      </c>
      <c r="BZ731" s="137">
        <f>IF(BY731&gt;0,BY731+LARGE($BZ$213:BZ730,1),0)</f>
        <v>0</v>
      </c>
      <c r="CA731" s="137">
        <f t="shared" si="3144"/>
        <v>0</v>
      </c>
      <c r="CB731" s="161">
        <f t="shared" si="3079"/>
        <v>0</v>
      </c>
      <c r="CC731" s="161">
        <f t="shared" si="3080"/>
        <v>0</v>
      </c>
      <c r="CD731" s="161">
        <f t="shared" si="3081"/>
        <v>0</v>
      </c>
      <c r="CE731" s="161">
        <f t="shared" si="3082"/>
        <v>0</v>
      </c>
      <c r="CF731" s="161">
        <f t="shared" si="3083"/>
        <v>0</v>
      </c>
      <c r="CG731" s="161">
        <f t="shared" si="3084"/>
        <v>0</v>
      </c>
      <c r="CH731" s="161">
        <f t="shared" si="3085"/>
        <v>0</v>
      </c>
      <c r="CI731" s="161">
        <f t="shared" si="3086"/>
        <v>0</v>
      </c>
      <c r="CJ731" s="161">
        <f t="shared" si="3087"/>
        <v>0</v>
      </c>
      <c r="CK731" s="161">
        <f t="shared" si="3088"/>
        <v>0</v>
      </c>
      <c r="CL731" s="161">
        <f t="shared" si="3089"/>
        <v>0</v>
      </c>
      <c r="CM731" s="161">
        <f t="shared" si="3090"/>
        <v>0</v>
      </c>
      <c r="CN731" s="161">
        <f t="shared" si="3091"/>
        <v>0</v>
      </c>
      <c r="CO731" s="161">
        <f t="shared" si="3092"/>
        <v>0</v>
      </c>
      <c r="CP731" s="161">
        <f t="shared" si="3093"/>
        <v>0</v>
      </c>
      <c r="CQ731" s="161">
        <f t="shared" si="3094"/>
        <v>0</v>
      </c>
      <c r="CR731" s="161">
        <f t="shared" si="3095"/>
        <v>0</v>
      </c>
      <c r="CS731" s="161">
        <f t="shared" si="3096"/>
        <v>0</v>
      </c>
      <c r="CT731" s="161">
        <f t="shared" si="3097"/>
        <v>0</v>
      </c>
      <c r="CU731" s="161">
        <f t="shared" si="3098"/>
        <v>0</v>
      </c>
      <c r="CV731" s="161">
        <f t="shared" si="3099"/>
        <v>0</v>
      </c>
      <c r="CW731" s="161">
        <f t="shared" si="3100"/>
        <v>0</v>
      </c>
      <c r="CX731" s="161">
        <f t="shared" si="3101"/>
        <v>0</v>
      </c>
      <c r="CY731" s="161">
        <f t="shared" si="3102"/>
        <v>0</v>
      </c>
      <c r="CZ731" s="161">
        <f t="shared" si="3103"/>
        <v>0</v>
      </c>
      <c r="DA731" s="161">
        <f t="shared" si="3104"/>
        <v>0</v>
      </c>
      <c r="DB731" s="161">
        <f t="shared" si="3105"/>
        <v>0</v>
      </c>
      <c r="DC731" s="161">
        <f t="shared" si="3106"/>
        <v>0</v>
      </c>
      <c r="DD731" s="161">
        <f t="shared" si="3107"/>
        <v>0</v>
      </c>
      <c r="DE731" s="161">
        <f t="shared" si="3108"/>
        <v>0</v>
      </c>
      <c r="DF731" s="161">
        <f t="shared" si="3109"/>
        <v>0</v>
      </c>
      <c r="DG731" s="161">
        <f t="shared" si="3110"/>
        <v>0</v>
      </c>
      <c r="DH731" s="161">
        <f t="shared" si="3111"/>
        <v>0</v>
      </c>
      <c r="DI731" s="161">
        <f t="shared" si="3112"/>
        <v>0</v>
      </c>
      <c r="DJ731" s="161">
        <f t="shared" si="3113"/>
        <v>0</v>
      </c>
      <c r="DK731" s="161">
        <f t="shared" si="3114"/>
        <v>0</v>
      </c>
      <c r="DL731" s="161">
        <f t="shared" si="3115"/>
        <v>0</v>
      </c>
      <c r="DM731" s="161">
        <f t="shared" si="3116"/>
        <v>0</v>
      </c>
      <c r="DN731" s="161">
        <f t="shared" si="3117"/>
        <v>0</v>
      </c>
      <c r="DO731" s="161">
        <f t="shared" si="3118"/>
        <v>0</v>
      </c>
      <c r="DP731" s="161">
        <f t="shared" si="3119"/>
        <v>0</v>
      </c>
      <c r="DQ731" s="161">
        <f t="shared" si="3120"/>
        <v>0</v>
      </c>
      <c r="DR731" s="161">
        <f t="shared" si="3121"/>
        <v>0</v>
      </c>
      <c r="DS731" s="161">
        <f t="shared" si="3122"/>
        <v>0</v>
      </c>
      <c r="DT731" s="161">
        <f t="shared" si="3123"/>
        <v>0</v>
      </c>
      <c r="DU731" s="161">
        <f t="shared" si="3124"/>
        <v>0</v>
      </c>
      <c r="DV731" s="161">
        <f t="shared" si="3125"/>
        <v>0</v>
      </c>
      <c r="DW731" s="161">
        <f t="shared" si="3126"/>
        <v>0</v>
      </c>
      <c r="DX731" s="161">
        <f t="shared" si="3127"/>
        <v>0</v>
      </c>
      <c r="DY731" s="161">
        <f t="shared" si="3128"/>
        <v>0</v>
      </c>
      <c r="DZ731" s="161">
        <f t="shared" si="3129"/>
        <v>0</v>
      </c>
      <c r="EA731" s="161">
        <f t="shared" si="3130"/>
        <v>0</v>
      </c>
      <c r="EB731" s="161">
        <f t="shared" si="3131"/>
        <v>0</v>
      </c>
      <c r="EC731" s="161">
        <f t="shared" si="3132"/>
        <v>0</v>
      </c>
      <c r="ED731" s="161">
        <f t="shared" si="3133"/>
        <v>0</v>
      </c>
      <c r="EE731" s="161">
        <f t="shared" si="3134"/>
        <v>0</v>
      </c>
      <c r="EF731" s="161">
        <f t="shared" si="3135"/>
        <v>0</v>
      </c>
      <c r="EG731" s="161">
        <f t="shared" si="3136"/>
        <v>0</v>
      </c>
      <c r="EH731" s="161">
        <f t="shared" si="3137"/>
        <v>0</v>
      </c>
      <c r="EI731" s="161">
        <f t="shared" si="3138"/>
        <v>0</v>
      </c>
    </row>
    <row r="732" spans="2:139" ht="12" hidden="1" customHeight="1" outlineLevel="1">
      <c r="B732" s="137" t="str">
        <f t="shared" si="3078"/>
        <v/>
      </c>
      <c r="C732" s="65"/>
      <c r="D732" s="65"/>
      <c r="E732" s="65"/>
      <c r="F732" s="164"/>
      <c r="G732" s="165"/>
      <c r="H732" s="166">
        <f t="shared" si="3139"/>
        <v>0</v>
      </c>
      <c r="I732" s="144">
        <f t="shared" si="3140"/>
        <v>0</v>
      </c>
      <c r="J732" s="65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  <c r="AA732" s="167"/>
      <c r="AB732" s="167"/>
      <c r="AC732" s="167"/>
      <c r="AD732" s="167"/>
      <c r="AE732" s="167"/>
      <c r="AF732" s="167"/>
      <c r="AG732" s="167"/>
      <c r="AH732" s="167"/>
      <c r="AI732" s="167"/>
      <c r="AJ732" s="167"/>
      <c r="AK732" s="167"/>
      <c r="AL732" s="167"/>
      <c r="AM732" s="167"/>
      <c r="AN732" s="167"/>
      <c r="AO732" s="167"/>
      <c r="AP732" s="167"/>
      <c r="AQ732" s="167"/>
      <c r="AR732" s="167"/>
      <c r="AS732" s="167"/>
      <c r="AT732" s="167"/>
      <c r="AU732" s="167"/>
      <c r="AV732" s="167"/>
      <c r="AW732" s="167"/>
      <c r="AX732" s="167"/>
      <c r="AY732" s="167"/>
      <c r="AZ732" s="167"/>
      <c r="BA732" s="167"/>
      <c r="BB732" s="167"/>
      <c r="BC732" s="167"/>
      <c r="BD732" s="167"/>
      <c r="BE732" s="167"/>
      <c r="BF732" s="167"/>
      <c r="BG732" s="167"/>
      <c r="BH732" s="167"/>
      <c r="BI732" s="167"/>
      <c r="BJ732" s="167"/>
      <c r="BK732" s="167"/>
      <c r="BL732" s="167"/>
      <c r="BM732" s="167"/>
      <c r="BN732" s="167"/>
      <c r="BO732" s="167"/>
      <c r="BP732" s="167"/>
      <c r="BQ732" s="167"/>
      <c r="BR732" s="167"/>
      <c r="BS732" s="65"/>
      <c r="BT732" s="160">
        <f t="shared" si="3141"/>
        <v>0</v>
      </c>
      <c r="BU732" s="160">
        <f t="shared" si="3142"/>
        <v>0</v>
      </c>
      <c r="BV732" s="65"/>
      <c r="BW732" s="69"/>
      <c r="BX732" s="65"/>
      <c r="BY732" s="137">
        <f t="shared" si="3143"/>
        <v>0</v>
      </c>
      <c r="BZ732" s="137">
        <f>IF(BY732&gt;0,BY732+LARGE($BZ$213:BZ731,1),0)</f>
        <v>0</v>
      </c>
      <c r="CA732" s="137">
        <f t="shared" si="3144"/>
        <v>0</v>
      </c>
      <c r="CB732" s="161">
        <f t="shared" si="3079"/>
        <v>0</v>
      </c>
      <c r="CC732" s="161">
        <f t="shared" si="3080"/>
        <v>0</v>
      </c>
      <c r="CD732" s="161">
        <f t="shared" si="3081"/>
        <v>0</v>
      </c>
      <c r="CE732" s="161">
        <f t="shared" si="3082"/>
        <v>0</v>
      </c>
      <c r="CF732" s="161">
        <f t="shared" si="3083"/>
        <v>0</v>
      </c>
      <c r="CG732" s="161">
        <f t="shared" si="3084"/>
        <v>0</v>
      </c>
      <c r="CH732" s="161">
        <f t="shared" si="3085"/>
        <v>0</v>
      </c>
      <c r="CI732" s="161">
        <f t="shared" si="3086"/>
        <v>0</v>
      </c>
      <c r="CJ732" s="161">
        <f t="shared" si="3087"/>
        <v>0</v>
      </c>
      <c r="CK732" s="161">
        <f t="shared" si="3088"/>
        <v>0</v>
      </c>
      <c r="CL732" s="161">
        <f t="shared" si="3089"/>
        <v>0</v>
      </c>
      <c r="CM732" s="161">
        <f t="shared" si="3090"/>
        <v>0</v>
      </c>
      <c r="CN732" s="161">
        <f t="shared" si="3091"/>
        <v>0</v>
      </c>
      <c r="CO732" s="161">
        <f t="shared" si="3092"/>
        <v>0</v>
      </c>
      <c r="CP732" s="161">
        <f t="shared" si="3093"/>
        <v>0</v>
      </c>
      <c r="CQ732" s="161">
        <f t="shared" si="3094"/>
        <v>0</v>
      </c>
      <c r="CR732" s="161">
        <f t="shared" si="3095"/>
        <v>0</v>
      </c>
      <c r="CS732" s="161">
        <f t="shared" si="3096"/>
        <v>0</v>
      </c>
      <c r="CT732" s="161">
        <f t="shared" si="3097"/>
        <v>0</v>
      </c>
      <c r="CU732" s="161">
        <f t="shared" si="3098"/>
        <v>0</v>
      </c>
      <c r="CV732" s="161">
        <f t="shared" si="3099"/>
        <v>0</v>
      </c>
      <c r="CW732" s="161">
        <f t="shared" si="3100"/>
        <v>0</v>
      </c>
      <c r="CX732" s="161">
        <f t="shared" si="3101"/>
        <v>0</v>
      </c>
      <c r="CY732" s="161">
        <f t="shared" si="3102"/>
        <v>0</v>
      </c>
      <c r="CZ732" s="161">
        <f t="shared" si="3103"/>
        <v>0</v>
      </c>
      <c r="DA732" s="161">
        <f t="shared" si="3104"/>
        <v>0</v>
      </c>
      <c r="DB732" s="161">
        <f t="shared" si="3105"/>
        <v>0</v>
      </c>
      <c r="DC732" s="161">
        <f t="shared" si="3106"/>
        <v>0</v>
      </c>
      <c r="DD732" s="161">
        <f t="shared" si="3107"/>
        <v>0</v>
      </c>
      <c r="DE732" s="161">
        <f t="shared" si="3108"/>
        <v>0</v>
      </c>
      <c r="DF732" s="161">
        <f t="shared" si="3109"/>
        <v>0</v>
      </c>
      <c r="DG732" s="161">
        <f t="shared" si="3110"/>
        <v>0</v>
      </c>
      <c r="DH732" s="161">
        <f t="shared" si="3111"/>
        <v>0</v>
      </c>
      <c r="DI732" s="161">
        <f t="shared" si="3112"/>
        <v>0</v>
      </c>
      <c r="DJ732" s="161">
        <f t="shared" si="3113"/>
        <v>0</v>
      </c>
      <c r="DK732" s="161">
        <f t="shared" si="3114"/>
        <v>0</v>
      </c>
      <c r="DL732" s="161">
        <f t="shared" si="3115"/>
        <v>0</v>
      </c>
      <c r="DM732" s="161">
        <f t="shared" si="3116"/>
        <v>0</v>
      </c>
      <c r="DN732" s="161">
        <f t="shared" si="3117"/>
        <v>0</v>
      </c>
      <c r="DO732" s="161">
        <f t="shared" si="3118"/>
        <v>0</v>
      </c>
      <c r="DP732" s="161">
        <f t="shared" si="3119"/>
        <v>0</v>
      </c>
      <c r="DQ732" s="161">
        <f t="shared" si="3120"/>
        <v>0</v>
      </c>
      <c r="DR732" s="161">
        <f t="shared" si="3121"/>
        <v>0</v>
      </c>
      <c r="DS732" s="161">
        <f t="shared" si="3122"/>
        <v>0</v>
      </c>
      <c r="DT732" s="161">
        <f t="shared" si="3123"/>
        <v>0</v>
      </c>
      <c r="DU732" s="161">
        <f t="shared" si="3124"/>
        <v>0</v>
      </c>
      <c r="DV732" s="161">
        <f t="shared" si="3125"/>
        <v>0</v>
      </c>
      <c r="DW732" s="161">
        <f t="shared" si="3126"/>
        <v>0</v>
      </c>
      <c r="DX732" s="161">
        <f t="shared" si="3127"/>
        <v>0</v>
      </c>
      <c r="DY732" s="161">
        <f t="shared" si="3128"/>
        <v>0</v>
      </c>
      <c r="DZ732" s="161">
        <f t="shared" si="3129"/>
        <v>0</v>
      </c>
      <c r="EA732" s="161">
        <f t="shared" si="3130"/>
        <v>0</v>
      </c>
      <c r="EB732" s="161">
        <f t="shared" si="3131"/>
        <v>0</v>
      </c>
      <c r="EC732" s="161">
        <f t="shared" si="3132"/>
        <v>0</v>
      </c>
      <c r="ED732" s="161">
        <f t="shared" si="3133"/>
        <v>0</v>
      </c>
      <c r="EE732" s="161">
        <f t="shared" si="3134"/>
        <v>0</v>
      </c>
      <c r="EF732" s="161">
        <f t="shared" si="3135"/>
        <v>0</v>
      </c>
      <c r="EG732" s="161">
        <f t="shared" si="3136"/>
        <v>0</v>
      </c>
      <c r="EH732" s="161">
        <f t="shared" si="3137"/>
        <v>0</v>
      </c>
      <c r="EI732" s="161">
        <f t="shared" si="3138"/>
        <v>0</v>
      </c>
    </row>
    <row r="733" spans="2:139" ht="12" hidden="1" customHeight="1" outlineLevel="1">
      <c r="B733" s="137" t="str">
        <f t="shared" si="3078"/>
        <v/>
      </c>
      <c r="C733" s="65"/>
      <c r="D733" s="65"/>
      <c r="E733" s="65"/>
      <c r="F733" s="164"/>
      <c r="G733" s="165"/>
      <c r="H733" s="166">
        <f t="shared" si="3139"/>
        <v>0</v>
      </c>
      <c r="I733" s="144">
        <f t="shared" si="3140"/>
        <v>0</v>
      </c>
      <c r="J733" s="65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  <c r="AA733" s="167"/>
      <c r="AB733" s="167"/>
      <c r="AC733" s="167"/>
      <c r="AD733" s="167"/>
      <c r="AE733" s="167"/>
      <c r="AF733" s="167"/>
      <c r="AG733" s="167"/>
      <c r="AH733" s="167"/>
      <c r="AI733" s="167"/>
      <c r="AJ733" s="167"/>
      <c r="AK733" s="167"/>
      <c r="AL733" s="167"/>
      <c r="AM733" s="167"/>
      <c r="AN733" s="167"/>
      <c r="AO733" s="167"/>
      <c r="AP733" s="167"/>
      <c r="AQ733" s="167"/>
      <c r="AR733" s="167"/>
      <c r="AS733" s="167"/>
      <c r="AT733" s="167"/>
      <c r="AU733" s="167"/>
      <c r="AV733" s="167"/>
      <c r="AW733" s="167"/>
      <c r="AX733" s="167"/>
      <c r="AY733" s="167"/>
      <c r="AZ733" s="167"/>
      <c r="BA733" s="167"/>
      <c r="BB733" s="167"/>
      <c r="BC733" s="167"/>
      <c r="BD733" s="167"/>
      <c r="BE733" s="167"/>
      <c r="BF733" s="167"/>
      <c r="BG733" s="167"/>
      <c r="BH733" s="167"/>
      <c r="BI733" s="167"/>
      <c r="BJ733" s="167"/>
      <c r="BK733" s="167"/>
      <c r="BL733" s="167"/>
      <c r="BM733" s="167"/>
      <c r="BN733" s="167"/>
      <c r="BO733" s="167"/>
      <c r="BP733" s="167"/>
      <c r="BQ733" s="167"/>
      <c r="BR733" s="167"/>
      <c r="BS733" s="65"/>
      <c r="BT733" s="160">
        <f t="shared" si="3141"/>
        <v>0</v>
      </c>
      <c r="BU733" s="160">
        <f t="shared" si="3142"/>
        <v>0</v>
      </c>
      <c r="BV733" s="65"/>
      <c r="BW733" s="69"/>
      <c r="BX733" s="65"/>
      <c r="BY733" s="137">
        <f t="shared" si="3143"/>
        <v>0</v>
      </c>
      <c r="BZ733" s="137">
        <f>IF(BY733&gt;0,BY733+LARGE($BZ$213:BZ732,1),0)</f>
        <v>0</v>
      </c>
      <c r="CA733" s="137">
        <f t="shared" si="3144"/>
        <v>0</v>
      </c>
      <c r="CB733" s="161">
        <f t="shared" si="3079"/>
        <v>0</v>
      </c>
      <c r="CC733" s="161">
        <f t="shared" si="3080"/>
        <v>0</v>
      </c>
      <c r="CD733" s="161">
        <f t="shared" si="3081"/>
        <v>0</v>
      </c>
      <c r="CE733" s="161">
        <f t="shared" si="3082"/>
        <v>0</v>
      </c>
      <c r="CF733" s="161">
        <f t="shared" si="3083"/>
        <v>0</v>
      </c>
      <c r="CG733" s="161">
        <f t="shared" si="3084"/>
        <v>0</v>
      </c>
      <c r="CH733" s="161">
        <f t="shared" si="3085"/>
        <v>0</v>
      </c>
      <c r="CI733" s="161">
        <f t="shared" si="3086"/>
        <v>0</v>
      </c>
      <c r="CJ733" s="161">
        <f t="shared" si="3087"/>
        <v>0</v>
      </c>
      <c r="CK733" s="161">
        <f t="shared" si="3088"/>
        <v>0</v>
      </c>
      <c r="CL733" s="161">
        <f t="shared" si="3089"/>
        <v>0</v>
      </c>
      <c r="CM733" s="161">
        <f t="shared" si="3090"/>
        <v>0</v>
      </c>
      <c r="CN733" s="161">
        <f t="shared" si="3091"/>
        <v>0</v>
      </c>
      <c r="CO733" s="161">
        <f t="shared" si="3092"/>
        <v>0</v>
      </c>
      <c r="CP733" s="161">
        <f t="shared" si="3093"/>
        <v>0</v>
      </c>
      <c r="CQ733" s="161">
        <f t="shared" si="3094"/>
        <v>0</v>
      </c>
      <c r="CR733" s="161">
        <f t="shared" si="3095"/>
        <v>0</v>
      </c>
      <c r="CS733" s="161">
        <f t="shared" si="3096"/>
        <v>0</v>
      </c>
      <c r="CT733" s="161">
        <f t="shared" si="3097"/>
        <v>0</v>
      </c>
      <c r="CU733" s="161">
        <f t="shared" si="3098"/>
        <v>0</v>
      </c>
      <c r="CV733" s="161">
        <f t="shared" si="3099"/>
        <v>0</v>
      </c>
      <c r="CW733" s="161">
        <f t="shared" si="3100"/>
        <v>0</v>
      </c>
      <c r="CX733" s="161">
        <f t="shared" si="3101"/>
        <v>0</v>
      </c>
      <c r="CY733" s="161">
        <f t="shared" si="3102"/>
        <v>0</v>
      </c>
      <c r="CZ733" s="161">
        <f t="shared" si="3103"/>
        <v>0</v>
      </c>
      <c r="DA733" s="161">
        <f t="shared" si="3104"/>
        <v>0</v>
      </c>
      <c r="DB733" s="161">
        <f t="shared" si="3105"/>
        <v>0</v>
      </c>
      <c r="DC733" s="161">
        <f t="shared" si="3106"/>
        <v>0</v>
      </c>
      <c r="DD733" s="161">
        <f t="shared" si="3107"/>
        <v>0</v>
      </c>
      <c r="DE733" s="161">
        <f t="shared" si="3108"/>
        <v>0</v>
      </c>
      <c r="DF733" s="161">
        <f t="shared" si="3109"/>
        <v>0</v>
      </c>
      <c r="DG733" s="161">
        <f t="shared" si="3110"/>
        <v>0</v>
      </c>
      <c r="DH733" s="161">
        <f t="shared" si="3111"/>
        <v>0</v>
      </c>
      <c r="DI733" s="161">
        <f t="shared" si="3112"/>
        <v>0</v>
      </c>
      <c r="DJ733" s="161">
        <f t="shared" si="3113"/>
        <v>0</v>
      </c>
      <c r="DK733" s="161">
        <f t="shared" si="3114"/>
        <v>0</v>
      </c>
      <c r="DL733" s="161">
        <f t="shared" si="3115"/>
        <v>0</v>
      </c>
      <c r="DM733" s="161">
        <f t="shared" si="3116"/>
        <v>0</v>
      </c>
      <c r="DN733" s="161">
        <f t="shared" si="3117"/>
        <v>0</v>
      </c>
      <c r="DO733" s="161">
        <f t="shared" si="3118"/>
        <v>0</v>
      </c>
      <c r="DP733" s="161">
        <f t="shared" si="3119"/>
        <v>0</v>
      </c>
      <c r="DQ733" s="161">
        <f t="shared" si="3120"/>
        <v>0</v>
      </c>
      <c r="DR733" s="161">
        <f t="shared" si="3121"/>
        <v>0</v>
      </c>
      <c r="DS733" s="161">
        <f t="shared" si="3122"/>
        <v>0</v>
      </c>
      <c r="DT733" s="161">
        <f t="shared" si="3123"/>
        <v>0</v>
      </c>
      <c r="DU733" s="161">
        <f t="shared" si="3124"/>
        <v>0</v>
      </c>
      <c r="DV733" s="161">
        <f t="shared" si="3125"/>
        <v>0</v>
      </c>
      <c r="DW733" s="161">
        <f t="shared" si="3126"/>
        <v>0</v>
      </c>
      <c r="DX733" s="161">
        <f t="shared" si="3127"/>
        <v>0</v>
      </c>
      <c r="DY733" s="161">
        <f t="shared" si="3128"/>
        <v>0</v>
      </c>
      <c r="DZ733" s="161">
        <f t="shared" si="3129"/>
        <v>0</v>
      </c>
      <c r="EA733" s="161">
        <f t="shared" si="3130"/>
        <v>0</v>
      </c>
      <c r="EB733" s="161">
        <f t="shared" si="3131"/>
        <v>0</v>
      </c>
      <c r="EC733" s="161">
        <f t="shared" si="3132"/>
        <v>0</v>
      </c>
      <c r="ED733" s="161">
        <f t="shared" si="3133"/>
        <v>0</v>
      </c>
      <c r="EE733" s="161">
        <f t="shared" si="3134"/>
        <v>0</v>
      </c>
      <c r="EF733" s="161">
        <f t="shared" si="3135"/>
        <v>0</v>
      </c>
      <c r="EG733" s="161">
        <f t="shared" si="3136"/>
        <v>0</v>
      </c>
      <c r="EH733" s="161">
        <f t="shared" si="3137"/>
        <v>0</v>
      </c>
      <c r="EI733" s="161">
        <f t="shared" si="3138"/>
        <v>0</v>
      </c>
    </row>
    <row r="734" spans="2:139" ht="12" hidden="1" customHeight="1" outlineLevel="1">
      <c r="B734" s="137" t="str">
        <f t="shared" si="3078"/>
        <v/>
      </c>
      <c r="C734" s="65"/>
      <c r="D734" s="65"/>
      <c r="E734" s="65"/>
      <c r="F734" s="164"/>
      <c r="G734" s="165"/>
      <c r="H734" s="166">
        <f t="shared" si="3139"/>
        <v>0</v>
      </c>
      <c r="I734" s="144">
        <f t="shared" si="3140"/>
        <v>0</v>
      </c>
      <c r="J734" s="65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  <c r="AB734" s="167"/>
      <c r="AC734" s="167"/>
      <c r="AD734" s="167"/>
      <c r="AE734" s="167"/>
      <c r="AF734" s="167"/>
      <c r="AG734" s="167"/>
      <c r="AH734" s="167"/>
      <c r="AI734" s="167"/>
      <c r="AJ734" s="167"/>
      <c r="AK734" s="167"/>
      <c r="AL734" s="167"/>
      <c r="AM734" s="167"/>
      <c r="AN734" s="167"/>
      <c r="AO734" s="167"/>
      <c r="AP734" s="167"/>
      <c r="AQ734" s="167"/>
      <c r="AR734" s="167"/>
      <c r="AS734" s="167"/>
      <c r="AT734" s="167"/>
      <c r="AU734" s="167"/>
      <c r="AV734" s="167"/>
      <c r="AW734" s="167"/>
      <c r="AX734" s="167"/>
      <c r="AY734" s="167"/>
      <c r="AZ734" s="167"/>
      <c r="BA734" s="167"/>
      <c r="BB734" s="167"/>
      <c r="BC734" s="167"/>
      <c r="BD734" s="167"/>
      <c r="BE734" s="167"/>
      <c r="BF734" s="167"/>
      <c r="BG734" s="167"/>
      <c r="BH734" s="167"/>
      <c r="BI734" s="167"/>
      <c r="BJ734" s="167"/>
      <c r="BK734" s="167"/>
      <c r="BL734" s="167"/>
      <c r="BM734" s="167"/>
      <c r="BN734" s="167"/>
      <c r="BO734" s="167"/>
      <c r="BP734" s="167"/>
      <c r="BQ734" s="167"/>
      <c r="BR734" s="167"/>
      <c r="BS734" s="65"/>
      <c r="BT734" s="160">
        <f t="shared" si="3141"/>
        <v>0</v>
      </c>
      <c r="BU734" s="160">
        <f t="shared" si="3142"/>
        <v>0</v>
      </c>
      <c r="BV734" s="65"/>
      <c r="BW734" s="69"/>
      <c r="BX734" s="65"/>
      <c r="BY734" s="137">
        <f t="shared" si="3143"/>
        <v>0</v>
      </c>
      <c r="BZ734" s="137">
        <f>IF(BY734&gt;0,BY734+LARGE($BZ$213:BZ733,1),0)</f>
        <v>0</v>
      </c>
      <c r="CA734" s="137">
        <f t="shared" si="3144"/>
        <v>0</v>
      </c>
      <c r="CB734" s="161">
        <f t="shared" si="3079"/>
        <v>0</v>
      </c>
      <c r="CC734" s="161">
        <f t="shared" si="3080"/>
        <v>0</v>
      </c>
      <c r="CD734" s="161">
        <f t="shared" si="3081"/>
        <v>0</v>
      </c>
      <c r="CE734" s="161">
        <f t="shared" si="3082"/>
        <v>0</v>
      </c>
      <c r="CF734" s="161">
        <f t="shared" si="3083"/>
        <v>0</v>
      </c>
      <c r="CG734" s="161">
        <f t="shared" si="3084"/>
        <v>0</v>
      </c>
      <c r="CH734" s="161">
        <f t="shared" si="3085"/>
        <v>0</v>
      </c>
      <c r="CI734" s="161">
        <f t="shared" si="3086"/>
        <v>0</v>
      </c>
      <c r="CJ734" s="161">
        <f t="shared" si="3087"/>
        <v>0</v>
      </c>
      <c r="CK734" s="161">
        <f t="shared" si="3088"/>
        <v>0</v>
      </c>
      <c r="CL734" s="161">
        <f t="shared" si="3089"/>
        <v>0</v>
      </c>
      <c r="CM734" s="161">
        <f t="shared" si="3090"/>
        <v>0</v>
      </c>
      <c r="CN734" s="161">
        <f t="shared" si="3091"/>
        <v>0</v>
      </c>
      <c r="CO734" s="161">
        <f t="shared" si="3092"/>
        <v>0</v>
      </c>
      <c r="CP734" s="161">
        <f t="shared" si="3093"/>
        <v>0</v>
      </c>
      <c r="CQ734" s="161">
        <f t="shared" si="3094"/>
        <v>0</v>
      </c>
      <c r="CR734" s="161">
        <f t="shared" si="3095"/>
        <v>0</v>
      </c>
      <c r="CS734" s="161">
        <f t="shared" si="3096"/>
        <v>0</v>
      </c>
      <c r="CT734" s="161">
        <f t="shared" si="3097"/>
        <v>0</v>
      </c>
      <c r="CU734" s="161">
        <f t="shared" si="3098"/>
        <v>0</v>
      </c>
      <c r="CV734" s="161">
        <f t="shared" si="3099"/>
        <v>0</v>
      </c>
      <c r="CW734" s="161">
        <f t="shared" si="3100"/>
        <v>0</v>
      </c>
      <c r="CX734" s="161">
        <f t="shared" si="3101"/>
        <v>0</v>
      </c>
      <c r="CY734" s="161">
        <f t="shared" si="3102"/>
        <v>0</v>
      </c>
      <c r="CZ734" s="161">
        <f t="shared" si="3103"/>
        <v>0</v>
      </c>
      <c r="DA734" s="161">
        <f t="shared" si="3104"/>
        <v>0</v>
      </c>
      <c r="DB734" s="161">
        <f t="shared" si="3105"/>
        <v>0</v>
      </c>
      <c r="DC734" s="161">
        <f t="shared" si="3106"/>
        <v>0</v>
      </c>
      <c r="DD734" s="161">
        <f t="shared" si="3107"/>
        <v>0</v>
      </c>
      <c r="DE734" s="161">
        <f t="shared" si="3108"/>
        <v>0</v>
      </c>
      <c r="DF734" s="161">
        <f t="shared" si="3109"/>
        <v>0</v>
      </c>
      <c r="DG734" s="161">
        <f t="shared" si="3110"/>
        <v>0</v>
      </c>
      <c r="DH734" s="161">
        <f t="shared" si="3111"/>
        <v>0</v>
      </c>
      <c r="DI734" s="161">
        <f t="shared" si="3112"/>
        <v>0</v>
      </c>
      <c r="DJ734" s="161">
        <f t="shared" si="3113"/>
        <v>0</v>
      </c>
      <c r="DK734" s="161">
        <f t="shared" si="3114"/>
        <v>0</v>
      </c>
      <c r="DL734" s="161">
        <f t="shared" si="3115"/>
        <v>0</v>
      </c>
      <c r="DM734" s="161">
        <f t="shared" si="3116"/>
        <v>0</v>
      </c>
      <c r="DN734" s="161">
        <f t="shared" si="3117"/>
        <v>0</v>
      </c>
      <c r="DO734" s="161">
        <f t="shared" si="3118"/>
        <v>0</v>
      </c>
      <c r="DP734" s="161">
        <f t="shared" si="3119"/>
        <v>0</v>
      </c>
      <c r="DQ734" s="161">
        <f t="shared" si="3120"/>
        <v>0</v>
      </c>
      <c r="DR734" s="161">
        <f t="shared" si="3121"/>
        <v>0</v>
      </c>
      <c r="DS734" s="161">
        <f t="shared" si="3122"/>
        <v>0</v>
      </c>
      <c r="DT734" s="161">
        <f t="shared" si="3123"/>
        <v>0</v>
      </c>
      <c r="DU734" s="161">
        <f t="shared" si="3124"/>
        <v>0</v>
      </c>
      <c r="DV734" s="161">
        <f t="shared" si="3125"/>
        <v>0</v>
      </c>
      <c r="DW734" s="161">
        <f t="shared" si="3126"/>
        <v>0</v>
      </c>
      <c r="DX734" s="161">
        <f t="shared" si="3127"/>
        <v>0</v>
      </c>
      <c r="DY734" s="161">
        <f t="shared" si="3128"/>
        <v>0</v>
      </c>
      <c r="DZ734" s="161">
        <f t="shared" si="3129"/>
        <v>0</v>
      </c>
      <c r="EA734" s="161">
        <f t="shared" si="3130"/>
        <v>0</v>
      </c>
      <c r="EB734" s="161">
        <f t="shared" si="3131"/>
        <v>0</v>
      </c>
      <c r="EC734" s="161">
        <f t="shared" si="3132"/>
        <v>0</v>
      </c>
      <c r="ED734" s="161">
        <f t="shared" si="3133"/>
        <v>0</v>
      </c>
      <c r="EE734" s="161">
        <f t="shared" si="3134"/>
        <v>0</v>
      </c>
      <c r="EF734" s="161">
        <f t="shared" si="3135"/>
        <v>0</v>
      </c>
      <c r="EG734" s="161">
        <f t="shared" si="3136"/>
        <v>0</v>
      </c>
      <c r="EH734" s="161">
        <f t="shared" si="3137"/>
        <v>0</v>
      </c>
      <c r="EI734" s="161">
        <f t="shared" si="3138"/>
        <v>0</v>
      </c>
    </row>
    <row r="735" spans="2:139" ht="12" hidden="1" customHeight="1" outlineLevel="1">
      <c r="B735" s="137" t="str">
        <f t="shared" si="3078"/>
        <v/>
      </c>
      <c r="C735" s="65"/>
      <c r="D735" s="65"/>
      <c r="E735" s="65"/>
      <c r="F735" s="164"/>
      <c r="G735" s="165"/>
      <c r="H735" s="166">
        <f t="shared" si="3139"/>
        <v>0</v>
      </c>
      <c r="I735" s="144">
        <f t="shared" si="3140"/>
        <v>0</v>
      </c>
      <c r="J735" s="65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  <c r="AB735" s="167"/>
      <c r="AC735" s="167"/>
      <c r="AD735" s="167"/>
      <c r="AE735" s="167"/>
      <c r="AF735" s="167"/>
      <c r="AG735" s="167"/>
      <c r="AH735" s="167"/>
      <c r="AI735" s="167"/>
      <c r="AJ735" s="167"/>
      <c r="AK735" s="167"/>
      <c r="AL735" s="167"/>
      <c r="AM735" s="167"/>
      <c r="AN735" s="167"/>
      <c r="AO735" s="167"/>
      <c r="AP735" s="167"/>
      <c r="AQ735" s="167"/>
      <c r="AR735" s="167"/>
      <c r="AS735" s="167"/>
      <c r="AT735" s="167"/>
      <c r="AU735" s="167"/>
      <c r="AV735" s="167"/>
      <c r="AW735" s="167"/>
      <c r="AX735" s="167"/>
      <c r="AY735" s="167"/>
      <c r="AZ735" s="167"/>
      <c r="BA735" s="167"/>
      <c r="BB735" s="167"/>
      <c r="BC735" s="167"/>
      <c r="BD735" s="167"/>
      <c r="BE735" s="167"/>
      <c r="BF735" s="167"/>
      <c r="BG735" s="167"/>
      <c r="BH735" s="167"/>
      <c r="BI735" s="167"/>
      <c r="BJ735" s="167"/>
      <c r="BK735" s="167"/>
      <c r="BL735" s="167"/>
      <c r="BM735" s="167"/>
      <c r="BN735" s="167"/>
      <c r="BO735" s="167"/>
      <c r="BP735" s="167"/>
      <c r="BQ735" s="167"/>
      <c r="BR735" s="167"/>
      <c r="BS735" s="65"/>
      <c r="BT735" s="160">
        <f t="shared" si="3141"/>
        <v>0</v>
      </c>
      <c r="BU735" s="160">
        <f t="shared" si="3142"/>
        <v>0</v>
      </c>
      <c r="BV735" s="65"/>
      <c r="BW735" s="69"/>
      <c r="BX735" s="65"/>
      <c r="BY735" s="137">
        <f t="shared" si="3143"/>
        <v>0</v>
      </c>
      <c r="BZ735" s="137">
        <f>IF(BY735&gt;0,BY735+LARGE($BZ$213:BZ734,1),0)</f>
        <v>0</v>
      </c>
      <c r="CA735" s="137">
        <f t="shared" si="3144"/>
        <v>0</v>
      </c>
      <c r="CB735" s="161">
        <f t="shared" si="3079"/>
        <v>0</v>
      </c>
      <c r="CC735" s="161">
        <f t="shared" si="3080"/>
        <v>0</v>
      </c>
      <c r="CD735" s="161">
        <f t="shared" si="3081"/>
        <v>0</v>
      </c>
      <c r="CE735" s="161">
        <f t="shared" si="3082"/>
        <v>0</v>
      </c>
      <c r="CF735" s="161">
        <f t="shared" si="3083"/>
        <v>0</v>
      </c>
      <c r="CG735" s="161">
        <f t="shared" si="3084"/>
        <v>0</v>
      </c>
      <c r="CH735" s="161">
        <f t="shared" si="3085"/>
        <v>0</v>
      </c>
      <c r="CI735" s="161">
        <f t="shared" si="3086"/>
        <v>0</v>
      </c>
      <c r="CJ735" s="161">
        <f t="shared" si="3087"/>
        <v>0</v>
      </c>
      <c r="CK735" s="161">
        <f t="shared" si="3088"/>
        <v>0</v>
      </c>
      <c r="CL735" s="161">
        <f t="shared" si="3089"/>
        <v>0</v>
      </c>
      <c r="CM735" s="161">
        <f t="shared" si="3090"/>
        <v>0</v>
      </c>
      <c r="CN735" s="161">
        <f t="shared" si="3091"/>
        <v>0</v>
      </c>
      <c r="CO735" s="161">
        <f t="shared" si="3092"/>
        <v>0</v>
      </c>
      <c r="CP735" s="161">
        <f t="shared" si="3093"/>
        <v>0</v>
      </c>
      <c r="CQ735" s="161">
        <f t="shared" si="3094"/>
        <v>0</v>
      </c>
      <c r="CR735" s="161">
        <f t="shared" si="3095"/>
        <v>0</v>
      </c>
      <c r="CS735" s="161">
        <f t="shared" si="3096"/>
        <v>0</v>
      </c>
      <c r="CT735" s="161">
        <f t="shared" si="3097"/>
        <v>0</v>
      </c>
      <c r="CU735" s="161">
        <f t="shared" si="3098"/>
        <v>0</v>
      </c>
      <c r="CV735" s="161">
        <f t="shared" si="3099"/>
        <v>0</v>
      </c>
      <c r="CW735" s="161">
        <f t="shared" si="3100"/>
        <v>0</v>
      </c>
      <c r="CX735" s="161">
        <f t="shared" si="3101"/>
        <v>0</v>
      </c>
      <c r="CY735" s="161">
        <f t="shared" si="3102"/>
        <v>0</v>
      </c>
      <c r="CZ735" s="161">
        <f t="shared" si="3103"/>
        <v>0</v>
      </c>
      <c r="DA735" s="161">
        <f t="shared" si="3104"/>
        <v>0</v>
      </c>
      <c r="DB735" s="161">
        <f t="shared" si="3105"/>
        <v>0</v>
      </c>
      <c r="DC735" s="161">
        <f t="shared" si="3106"/>
        <v>0</v>
      </c>
      <c r="DD735" s="161">
        <f t="shared" si="3107"/>
        <v>0</v>
      </c>
      <c r="DE735" s="161">
        <f t="shared" si="3108"/>
        <v>0</v>
      </c>
      <c r="DF735" s="161">
        <f t="shared" si="3109"/>
        <v>0</v>
      </c>
      <c r="DG735" s="161">
        <f t="shared" si="3110"/>
        <v>0</v>
      </c>
      <c r="DH735" s="161">
        <f t="shared" si="3111"/>
        <v>0</v>
      </c>
      <c r="DI735" s="161">
        <f t="shared" si="3112"/>
        <v>0</v>
      </c>
      <c r="DJ735" s="161">
        <f t="shared" si="3113"/>
        <v>0</v>
      </c>
      <c r="DK735" s="161">
        <f t="shared" si="3114"/>
        <v>0</v>
      </c>
      <c r="DL735" s="161">
        <f t="shared" si="3115"/>
        <v>0</v>
      </c>
      <c r="DM735" s="161">
        <f t="shared" si="3116"/>
        <v>0</v>
      </c>
      <c r="DN735" s="161">
        <f t="shared" si="3117"/>
        <v>0</v>
      </c>
      <c r="DO735" s="161">
        <f t="shared" si="3118"/>
        <v>0</v>
      </c>
      <c r="DP735" s="161">
        <f t="shared" si="3119"/>
        <v>0</v>
      </c>
      <c r="DQ735" s="161">
        <f t="shared" si="3120"/>
        <v>0</v>
      </c>
      <c r="DR735" s="161">
        <f t="shared" si="3121"/>
        <v>0</v>
      </c>
      <c r="DS735" s="161">
        <f t="shared" si="3122"/>
        <v>0</v>
      </c>
      <c r="DT735" s="161">
        <f t="shared" si="3123"/>
        <v>0</v>
      </c>
      <c r="DU735" s="161">
        <f t="shared" si="3124"/>
        <v>0</v>
      </c>
      <c r="DV735" s="161">
        <f t="shared" si="3125"/>
        <v>0</v>
      </c>
      <c r="DW735" s="161">
        <f t="shared" si="3126"/>
        <v>0</v>
      </c>
      <c r="DX735" s="161">
        <f t="shared" si="3127"/>
        <v>0</v>
      </c>
      <c r="DY735" s="161">
        <f t="shared" si="3128"/>
        <v>0</v>
      </c>
      <c r="DZ735" s="161">
        <f t="shared" si="3129"/>
        <v>0</v>
      </c>
      <c r="EA735" s="161">
        <f t="shared" si="3130"/>
        <v>0</v>
      </c>
      <c r="EB735" s="161">
        <f t="shared" si="3131"/>
        <v>0</v>
      </c>
      <c r="EC735" s="161">
        <f t="shared" si="3132"/>
        <v>0</v>
      </c>
      <c r="ED735" s="161">
        <f t="shared" si="3133"/>
        <v>0</v>
      </c>
      <c r="EE735" s="161">
        <f t="shared" si="3134"/>
        <v>0</v>
      </c>
      <c r="EF735" s="161">
        <f t="shared" si="3135"/>
        <v>0</v>
      </c>
      <c r="EG735" s="161">
        <f t="shared" si="3136"/>
        <v>0</v>
      </c>
      <c r="EH735" s="161">
        <f t="shared" si="3137"/>
        <v>0</v>
      </c>
      <c r="EI735" s="161">
        <f t="shared" si="3138"/>
        <v>0</v>
      </c>
    </row>
    <row r="736" spans="2:139" ht="12" hidden="1" customHeight="1" outlineLevel="1">
      <c r="B736" s="137" t="str">
        <f t="shared" si="3078"/>
        <v/>
      </c>
      <c r="C736" s="65"/>
      <c r="D736" s="65"/>
      <c r="E736" s="65"/>
      <c r="F736" s="164"/>
      <c r="G736" s="165"/>
      <c r="H736" s="166">
        <f t="shared" si="3139"/>
        <v>0</v>
      </c>
      <c r="I736" s="144">
        <f t="shared" si="3140"/>
        <v>0</v>
      </c>
      <c r="J736" s="65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  <c r="AB736" s="167"/>
      <c r="AC736" s="167"/>
      <c r="AD736" s="167"/>
      <c r="AE736" s="167"/>
      <c r="AF736" s="167"/>
      <c r="AG736" s="167"/>
      <c r="AH736" s="167"/>
      <c r="AI736" s="167"/>
      <c r="AJ736" s="167"/>
      <c r="AK736" s="167"/>
      <c r="AL736" s="167"/>
      <c r="AM736" s="167"/>
      <c r="AN736" s="167"/>
      <c r="AO736" s="167"/>
      <c r="AP736" s="167"/>
      <c r="AQ736" s="167"/>
      <c r="AR736" s="167"/>
      <c r="AS736" s="167"/>
      <c r="AT736" s="167"/>
      <c r="AU736" s="167"/>
      <c r="AV736" s="167"/>
      <c r="AW736" s="167"/>
      <c r="AX736" s="167"/>
      <c r="AY736" s="167"/>
      <c r="AZ736" s="167"/>
      <c r="BA736" s="167"/>
      <c r="BB736" s="167"/>
      <c r="BC736" s="167"/>
      <c r="BD736" s="167"/>
      <c r="BE736" s="167"/>
      <c r="BF736" s="167"/>
      <c r="BG736" s="167"/>
      <c r="BH736" s="167"/>
      <c r="BI736" s="167"/>
      <c r="BJ736" s="167"/>
      <c r="BK736" s="167"/>
      <c r="BL736" s="167"/>
      <c r="BM736" s="167"/>
      <c r="BN736" s="167"/>
      <c r="BO736" s="167"/>
      <c r="BP736" s="167"/>
      <c r="BQ736" s="167"/>
      <c r="BR736" s="167"/>
      <c r="BS736" s="65"/>
      <c r="BT736" s="160">
        <f t="shared" si="3141"/>
        <v>0</v>
      </c>
      <c r="BU736" s="160">
        <f t="shared" si="3142"/>
        <v>0</v>
      </c>
      <c r="BV736" s="65"/>
      <c r="BW736" s="69"/>
      <c r="BX736" s="65"/>
      <c r="BY736" s="137">
        <f t="shared" si="3143"/>
        <v>0</v>
      </c>
      <c r="BZ736" s="137">
        <f>IF(BY736&gt;0,BY736+LARGE($BZ$213:BZ735,1),0)</f>
        <v>0</v>
      </c>
      <c r="CA736" s="137">
        <f t="shared" si="3144"/>
        <v>0</v>
      </c>
      <c r="CB736" s="161">
        <f t="shared" si="3079"/>
        <v>0</v>
      </c>
      <c r="CC736" s="161">
        <f t="shared" si="3080"/>
        <v>0</v>
      </c>
      <c r="CD736" s="161">
        <f t="shared" si="3081"/>
        <v>0</v>
      </c>
      <c r="CE736" s="161">
        <f t="shared" si="3082"/>
        <v>0</v>
      </c>
      <c r="CF736" s="161">
        <f t="shared" si="3083"/>
        <v>0</v>
      </c>
      <c r="CG736" s="161">
        <f t="shared" si="3084"/>
        <v>0</v>
      </c>
      <c r="CH736" s="161">
        <f t="shared" si="3085"/>
        <v>0</v>
      </c>
      <c r="CI736" s="161">
        <f t="shared" si="3086"/>
        <v>0</v>
      </c>
      <c r="CJ736" s="161">
        <f t="shared" si="3087"/>
        <v>0</v>
      </c>
      <c r="CK736" s="161">
        <f t="shared" si="3088"/>
        <v>0</v>
      </c>
      <c r="CL736" s="161">
        <f t="shared" si="3089"/>
        <v>0</v>
      </c>
      <c r="CM736" s="161">
        <f t="shared" si="3090"/>
        <v>0</v>
      </c>
      <c r="CN736" s="161">
        <f t="shared" si="3091"/>
        <v>0</v>
      </c>
      <c r="CO736" s="161">
        <f t="shared" si="3092"/>
        <v>0</v>
      </c>
      <c r="CP736" s="161">
        <f t="shared" si="3093"/>
        <v>0</v>
      </c>
      <c r="CQ736" s="161">
        <f t="shared" si="3094"/>
        <v>0</v>
      </c>
      <c r="CR736" s="161">
        <f t="shared" si="3095"/>
        <v>0</v>
      </c>
      <c r="CS736" s="161">
        <f t="shared" si="3096"/>
        <v>0</v>
      </c>
      <c r="CT736" s="161">
        <f t="shared" si="3097"/>
        <v>0</v>
      </c>
      <c r="CU736" s="161">
        <f t="shared" si="3098"/>
        <v>0</v>
      </c>
      <c r="CV736" s="161">
        <f t="shared" si="3099"/>
        <v>0</v>
      </c>
      <c r="CW736" s="161">
        <f t="shared" si="3100"/>
        <v>0</v>
      </c>
      <c r="CX736" s="161">
        <f t="shared" si="3101"/>
        <v>0</v>
      </c>
      <c r="CY736" s="161">
        <f t="shared" si="3102"/>
        <v>0</v>
      </c>
      <c r="CZ736" s="161">
        <f t="shared" si="3103"/>
        <v>0</v>
      </c>
      <c r="DA736" s="161">
        <f t="shared" si="3104"/>
        <v>0</v>
      </c>
      <c r="DB736" s="161">
        <f t="shared" si="3105"/>
        <v>0</v>
      </c>
      <c r="DC736" s="161">
        <f t="shared" si="3106"/>
        <v>0</v>
      </c>
      <c r="DD736" s="161">
        <f t="shared" si="3107"/>
        <v>0</v>
      </c>
      <c r="DE736" s="161">
        <f t="shared" si="3108"/>
        <v>0</v>
      </c>
      <c r="DF736" s="161">
        <f t="shared" si="3109"/>
        <v>0</v>
      </c>
      <c r="DG736" s="161">
        <f t="shared" si="3110"/>
        <v>0</v>
      </c>
      <c r="DH736" s="161">
        <f t="shared" si="3111"/>
        <v>0</v>
      </c>
      <c r="DI736" s="161">
        <f t="shared" si="3112"/>
        <v>0</v>
      </c>
      <c r="DJ736" s="161">
        <f t="shared" si="3113"/>
        <v>0</v>
      </c>
      <c r="DK736" s="161">
        <f t="shared" si="3114"/>
        <v>0</v>
      </c>
      <c r="DL736" s="161">
        <f t="shared" si="3115"/>
        <v>0</v>
      </c>
      <c r="DM736" s="161">
        <f t="shared" si="3116"/>
        <v>0</v>
      </c>
      <c r="DN736" s="161">
        <f t="shared" si="3117"/>
        <v>0</v>
      </c>
      <c r="DO736" s="161">
        <f t="shared" si="3118"/>
        <v>0</v>
      </c>
      <c r="DP736" s="161">
        <f t="shared" si="3119"/>
        <v>0</v>
      </c>
      <c r="DQ736" s="161">
        <f t="shared" si="3120"/>
        <v>0</v>
      </c>
      <c r="DR736" s="161">
        <f t="shared" si="3121"/>
        <v>0</v>
      </c>
      <c r="DS736" s="161">
        <f t="shared" si="3122"/>
        <v>0</v>
      </c>
      <c r="DT736" s="161">
        <f t="shared" si="3123"/>
        <v>0</v>
      </c>
      <c r="DU736" s="161">
        <f t="shared" si="3124"/>
        <v>0</v>
      </c>
      <c r="DV736" s="161">
        <f t="shared" si="3125"/>
        <v>0</v>
      </c>
      <c r="DW736" s="161">
        <f t="shared" si="3126"/>
        <v>0</v>
      </c>
      <c r="DX736" s="161">
        <f t="shared" si="3127"/>
        <v>0</v>
      </c>
      <c r="DY736" s="161">
        <f t="shared" si="3128"/>
        <v>0</v>
      </c>
      <c r="DZ736" s="161">
        <f t="shared" si="3129"/>
        <v>0</v>
      </c>
      <c r="EA736" s="161">
        <f t="shared" si="3130"/>
        <v>0</v>
      </c>
      <c r="EB736" s="161">
        <f t="shared" si="3131"/>
        <v>0</v>
      </c>
      <c r="EC736" s="161">
        <f t="shared" si="3132"/>
        <v>0</v>
      </c>
      <c r="ED736" s="161">
        <f t="shared" si="3133"/>
        <v>0</v>
      </c>
      <c r="EE736" s="161">
        <f t="shared" si="3134"/>
        <v>0</v>
      </c>
      <c r="EF736" s="161">
        <f t="shared" si="3135"/>
        <v>0</v>
      </c>
      <c r="EG736" s="161">
        <f t="shared" si="3136"/>
        <v>0</v>
      </c>
      <c r="EH736" s="161">
        <f t="shared" si="3137"/>
        <v>0</v>
      </c>
      <c r="EI736" s="161">
        <f t="shared" si="3138"/>
        <v>0</v>
      </c>
    </row>
    <row r="737" spans="2:139" ht="12" hidden="1" customHeight="1" outlineLevel="1">
      <c r="B737" s="137" t="str">
        <f t="shared" si="3078"/>
        <v/>
      </c>
      <c r="C737" s="65"/>
      <c r="D737" s="65"/>
      <c r="E737" s="65"/>
      <c r="F737" s="164"/>
      <c r="G737" s="165"/>
      <c r="H737" s="166">
        <f t="shared" si="3139"/>
        <v>0</v>
      </c>
      <c r="I737" s="144">
        <f t="shared" si="3140"/>
        <v>0</v>
      </c>
      <c r="J737" s="65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  <c r="AB737" s="167"/>
      <c r="AC737" s="167"/>
      <c r="AD737" s="167"/>
      <c r="AE737" s="167"/>
      <c r="AF737" s="167"/>
      <c r="AG737" s="167"/>
      <c r="AH737" s="167"/>
      <c r="AI737" s="167"/>
      <c r="AJ737" s="167"/>
      <c r="AK737" s="167"/>
      <c r="AL737" s="167"/>
      <c r="AM737" s="167"/>
      <c r="AN737" s="167"/>
      <c r="AO737" s="167"/>
      <c r="AP737" s="167"/>
      <c r="AQ737" s="167"/>
      <c r="AR737" s="167"/>
      <c r="AS737" s="167"/>
      <c r="AT737" s="167"/>
      <c r="AU737" s="167"/>
      <c r="AV737" s="167"/>
      <c r="AW737" s="167"/>
      <c r="AX737" s="167"/>
      <c r="AY737" s="167"/>
      <c r="AZ737" s="167"/>
      <c r="BA737" s="167"/>
      <c r="BB737" s="167"/>
      <c r="BC737" s="167"/>
      <c r="BD737" s="167"/>
      <c r="BE737" s="167"/>
      <c r="BF737" s="167"/>
      <c r="BG737" s="167"/>
      <c r="BH737" s="167"/>
      <c r="BI737" s="167"/>
      <c r="BJ737" s="167"/>
      <c r="BK737" s="167"/>
      <c r="BL737" s="167"/>
      <c r="BM737" s="167"/>
      <c r="BN737" s="167"/>
      <c r="BO737" s="167"/>
      <c r="BP737" s="167"/>
      <c r="BQ737" s="167"/>
      <c r="BR737" s="167"/>
      <c r="BS737" s="65"/>
      <c r="BT737" s="160">
        <f t="shared" si="3141"/>
        <v>0</v>
      </c>
      <c r="BU737" s="160">
        <f t="shared" si="3142"/>
        <v>0</v>
      </c>
      <c r="BV737" s="65"/>
      <c r="BW737" s="69"/>
      <c r="BX737" s="65"/>
      <c r="BY737" s="137">
        <f t="shared" si="3143"/>
        <v>0</v>
      </c>
      <c r="BZ737" s="137">
        <f>IF(BY737&gt;0,BY737+LARGE($BZ$213:BZ736,1),0)</f>
        <v>0</v>
      </c>
      <c r="CA737" s="137">
        <f t="shared" si="3144"/>
        <v>0</v>
      </c>
      <c r="CB737" s="161">
        <f t="shared" si="3079"/>
        <v>0</v>
      </c>
      <c r="CC737" s="161">
        <f t="shared" si="3080"/>
        <v>0</v>
      </c>
      <c r="CD737" s="161">
        <f t="shared" si="3081"/>
        <v>0</v>
      </c>
      <c r="CE737" s="161">
        <f t="shared" si="3082"/>
        <v>0</v>
      </c>
      <c r="CF737" s="161">
        <f t="shared" si="3083"/>
        <v>0</v>
      </c>
      <c r="CG737" s="161">
        <f t="shared" si="3084"/>
        <v>0</v>
      </c>
      <c r="CH737" s="161">
        <f t="shared" si="3085"/>
        <v>0</v>
      </c>
      <c r="CI737" s="161">
        <f t="shared" si="3086"/>
        <v>0</v>
      </c>
      <c r="CJ737" s="161">
        <f t="shared" si="3087"/>
        <v>0</v>
      </c>
      <c r="CK737" s="161">
        <f t="shared" si="3088"/>
        <v>0</v>
      </c>
      <c r="CL737" s="161">
        <f t="shared" si="3089"/>
        <v>0</v>
      </c>
      <c r="CM737" s="161">
        <f t="shared" si="3090"/>
        <v>0</v>
      </c>
      <c r="CN737" s="161">
        <f t="shared" si="3091"/>
        <v>0</v>
      </c>
      <c r="CO737" s="161">
        <f t="shared" si="3092"/>
        <v>0</v>
      </c>
      <c r="CP737" s="161">
        <f t="shared" si="3093"/>
        <v>0</v>
      </c>
      <c r="CQ737" s="161">
        <f t="shared" si="3094"/>
        <v>0</v>
      </c>
      <c r="CR737" s="161">
        <f t="shared" si="3095"/>
        <v>0</v>
      </c>
      <c r="CS737" s="161">
        <f t="shared" si="3096"/>
        <v>0</v>
      </c>
      <c r="CT737" s="161">
        <f t="shared" si="3097"/>
        <v>0</v>
      </c>
      <c r="CU737" s="161">
        <f t="shared" si="3098"/>
        <v>0</v>
      </c>
      <c r="CV737" s="161">
        <f t="shared" si="3099"/>
        <v>0</v>
      </c>
      <c r="CW737" s="161">
        <f t="shared" si="3100"/>
        <v>0</v>
      </c>
      <c r="CX737" s="161">
        <f t="shared" si="3101"/>
        <v>0</v>
      </c>
      <c r="CY737" s="161">
        <f t="shared" si="3102"/>
        <v>0</v>
      </c>
      <c r="CZ737" s="161">
        <f t="shared" si="3103"/>
        <v>0</v>
      </c>
      <c r="DA737" s="161">
        <f t="shared" si="3104"/>
        <v>0</v>
      </c>
      <c r="DB737" s="161">
        <f t="shared" si="3105"/>
        <v>0</v>
      </c>
      <c r="DC737" s="161">
        <f t="shared" si="3106"/>
        <v>0</v>
      </c>
      <c r="DD737" s="161">
        <f t="shared" si="3107"/>
        <v>0</v>
      </c>
      <c r="DE737" s="161">
        <f t="shared" si="3108"/>
        <v>0</v>
      </c>
      <c r="DF737" s="161">
        <f t="shared" si="3109"/>
        <v>0</v>
      </c>
      <c r="DG737" s="161">
        <f t="shared" si="3110"/>
        <v>0</v>
      </c>
      <c r="DH737" s="161">
        <f t="shared" si="3111"/>
        <v>0</v>
      </c>
      <c r="DI737" s="161">
        <f t="shared" si="3112"/>
        <v>0</v>
      </c>
      <c r="DJ737" s="161">
        <f t="shared" si="3113"/>
        <v>0</v>
      </c>
      <c r="DK737" s="161">
        <f t="shared" si="3114"/>
        <v>0</v>
      </c>
      <c r="DL737" s="161">
        <f t="shared" si="3115"/>
        <v>0</v>
      </c>
      <c r="DM737" s="161">
        <f t="shared" si="3116"/>
        <v>0</v>
      </c>
      <c r="DN737" s="161">
        <f t="shared" si="3117"/>
        <v>0</v>
      </c>
      <c r="DO737" s="161">
        <f t="shared" si="3118"/>
        <v>0</v>
      </c>
      <c r="DP737" s="161">
        <f t="shared" si="3119"/>
        <v>0</v>
      </c>
      <c r="DQ737" s="161">
        <f t="shared" si="3120"/>
        <v>0</v>
      </c>
      <c r="DR737" s="161">
        <f t="shared" si="3121"/>
        <v>0</v>
      </c>
      <c r="DS737" s="161">
        <f t="shared" si="3122"/>
        <v>0</v>
      </c>
      <c r="DT737" s="161">
        <f t="shared" si="3123"/>
        <v>0</v>
      </c>
      <c r="DU737" s="161">
        <f t="shared" si="3124"/>
        <v>0</v>
      </c>
      <c r="DV737" s="161">
        <f t="shared" si="3125"/>
        <v>0</v>
      </c>
      <c r="DW737" s="161">
        <f t="shared" si="3126"/>
        <v>0</v>
      </c>
      <c r="DX737" s="161">
        <f t="shared" si="3127"/>
        <v>0</v>
      </c>
      <c r="DY737" s="161">
        <f t="shared" si="3128"/>
        <v>0</v>
      </c>
      <c r="DZ737" s="161">
        <f t="shared" si="3129"/>
        <v>0</v>
      </c>
      <c r="EA737" s="161">
        <f t="shared" si="3130"/>
        <v>0</v>
      </c>
      <c r="EB737" s="161">
        <f t="shared" si="3131"/>
        <v>0</v>
      </c>
      <c r="EC737" s="161">
        <f t="shared" si="3132"/>
        <v>0</v>
      </c>
      <c r="ED737" s="161">
        <f t="shared" si="3133"/>
        <v>0</v>
      </c>
      <c r="EE737" s="161">
        <f t="shared" si="3134"/>
        <v>0</v>
      </c>
      <c r="EF737" s="161">
        <f t="shared" si="3135"/>
        <v>0</v>
      </c>
      <c r="EG737" s="161">
        <f t="shared" si="3136"/>
        <v>0</v>
      </c>
      <c r="EH737" s="161">
        <f t="shared" si="3137"/>
        <v>0</v>
      </c>
      <c r="EI737" s="161">
        <f t="shared" si="3138"/>
        <v>0</v>
      </c>
    </row>
    <row r="738" spans="2:139" ht="12" hidden="1" customHeight="1" outlineLevel="1">
      <c r="B738" s="137" t="str">
        <f t="shared" si="3078"/>
        <v/>
      </c>
      <c r="C738" s="65"/>
      <c r="D738" s="65"/>
      <c r="E738" s="65"/>
      <c r="F738" s="164"/>
      <c r="G738" s="165"/>
      <c r="H738" s="166">
        <f t="shared" si="3139"/>
        <v>0</v>
      </c>
      <c r="I738" s="144">
        <f t="shared" si="3140"/>
        <v>0</v>
      </c>
      <c r="J738" s="65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  <c r="AA738" s="167"/>
      <c r="AB738" s="167"/>
      <c r="AC738" s="167"/>
      <c r="AD738" s="167"/>
      <c r="AE738" s="167"/>
      <c r="AF738" s="167"/>
      <c r="AG738" s="167"/>
      <c r="AH738" s="167"/>
      <c r="AI738" s="167"/>
      <c r="AJ738" s="167"/>
      <c r="AK738" s="167"/>
      <c r="AL738" s="167"/>
      <c r="AM738" s="167"/>
      <c r="AN738" s="167"/>
      <c r="AO738" s="167"/>
      <c r="AP738" s="167"/>
      <c r="AQ738" s="167"/>
      <c r="AR738" s="167"/>
      <c r="AS738" s="167"/>
      <c r="AT738" s="167"/>
      <c r="AU738" s="167"/>
      <c r="AV738" s="167"/>
      <c r="AW738" s="167"/>
      <c r="AX738" s="167"/>
      <c r="AY738" s="167"/>
      <c r="AZ738" s="167"/>
      <c r="BA738" s="167"/>
      <c r="BB738" s="167"/>
      <c r="BC738" s="167"/>
      <c r="BD738" s="167"/>
      <c r="BE738" s="167"/>
      <c r="BF738" s="167"/>
      <c r="BG738" s="167"/>
      <c r="BH738" s="167"/>
      <c r="BI738" s="167"/>
      <c r="BJ738" s="167"/>
      <c r="BK738" s="167"/>
      <c r="BL738" s="167"/>
      <c r="BM738" s="167"/>
      <c r="BN738" s="167"/>
      <c r="BO738" s="167"/>
      <c r="BP738" s="167"/>
      <c r="BQ738" s="167"/>
      <c r="BR738" s="167"/>
      <c r="BS738" s="65"/>
      <c r="BT738" s="160">
        <f t="shared" si="3141"/>
        <v>0</v>
      </c>
      <c r="BU738" s="160">
        <f t="shared" si="3142"/>
        <v>0</v>
      </c>
      <c r="BV738" s="65"/>
      <c r="BW738" s="69"/>
      <c r="BX738" s="65"/>
      <c r="BY738" s="137">
        <f t="shared" si="3143"/>
        <v>0</v>
      </c>
      <c r="BZ738" s="137">
        <f>IF(BY738&gt;0,BY738+LARGE($BZ$213:BZ737,1),0)</f>
        <v>0</v>
      </c>
      <c r="CA738" s="137">
        <f t="shared" si="3144"/>
        <v>0</v>
      </c>
      <c r="CB738" s="161">
        <f t="shared" si="3079"/>
        <v>0</v>
      </c>
      <c r="CC738" s="161">
        <f t="shared" si="3080"/>
        <v>0</v>
      </c>
      <c r="CD738" s="161">
        <f t="shared" si="3081"/>
        <v>0</v>
      </c>
      <c r="CE738" s="161">
        <f t="shared" si="3082"/>
        <v>0</v>
      </c>
      <c r="CF738" s="161">
        <f t="shared" si="3083"/>
        <v>0</v>
      </c>
      <c r="CG738" s="161">
        <f t="shared" si="3084"/>
        <v>0</v>
      </c>
      <c r="CH738" s="161">
        <f t="shared" si="3085"/>
        <v>0</v>
      </c>
      <c r="CI738" s="161">
        <f t="shared" si="3086"/>
        <v>0</v>
      </c>
      <c r="CJ738" s="161">
        <f t="shared" si="3087"/>
        <v>0</v>
      </c>
      <c r="CK738" s="161">
        <f t="shared" si="3088"/>
        <v>0</v>
      </c>
      <c r="CL738" s="161">
        <f t="shared" si="3089"/>
        <v>0</v>
      </c>
      <c r="CM738" s="161">
        <f t="shared" si="3090"/>
        <v>0</v>
      </c>
      <c r="CN738" s="161">
        <f t="shared" si="3091"/>
        <v>0</v>
      </c>
      <c r="CO738" s="161">
        <f t="shared" si="3092"/>
        <v>0</v>
      </c>
      <c r="CP738" s="161">
        <f t="shared" si="3093"/>
        <v>0</v>
      </c>
      <c r="CQ738" s="161">
        <f t="shared" si="3094"/>
        <v>0</v>
      </c>
      <c r="CR738" s="161">
        <f t="shared" si="3095"/>
        <v>0</v>
      </c>
      <c r="CS738" s="161">
        <f t="shared" si="3096"/>
        <v>0</v>
      </c>
      <c r="CT738" s="161">
        <f t="shared" si="3097"/>
        <v>0</v>
      </c>
      <c r="CU738" s="161">
        <f t="shared" si="3098"/>
        <v>0</v>
      </c>
      <c r="CV738" s="161">
        <f t="shared" si="3099"/>
        <v>0</v>
      </c>
      <c r="CW738" s="161">
        <f t="shared" si="3100"/>
        <v>0</v>
      </c>
      <c r="CX738" s="161">
        <f t="shared" si="3101"/>
        <v>0</v>
      </c>
      <c r="CY738" s="161">
        <f t="shared" si="3102"/>
        <v>0</v>
      </c>
      <c r="CZ738" s="161">
        <f t="shared" si="3103"/>
        <v>0</v>
      </c>
      <c r="DA738" s="161">
        <f t="shared" si="3104"/>
        <v>0</v>
      </c>
      <c r="DB738" s="161">
        <f t="shared" si="3105"/>
        <v>0</v>
      </c>
      <c r="DC738" s="161">
        <f t="shared" si="3106"/>
        <v>0</v>
      </c>
      <c r="DD738" s="161">
        <f t="shared" si="3107"/>
        <v>0</v>
      </c>
      <c r="DE738" s="161">
        <f t="shared" si="3108"/>
        <v>0</v>
      </c>
      <c r="DF738" s="161">
        <f t="shared" si="3109"/>
        <v>0</v>
      </c>
      <c r="DG738" s="161">
        <f t="shared" si="3110"/>
        <v>0</v>
      </c>
      <c r="DH738" s="161">
        <f t="shared" si="3111"/>
        <v>0</v>
      </c>
      <c r="DI738" s="161">
        <f t="shared" si="3112"/>
        <v>0</v>
      </c>
      <c r="DJ738" s="161">
        <f t="shared" si="3113"/>
        <v>0</v>
      </c>
      <c r="DK738" s="161">
        <f t="shared" si="3114"/>
        <v>0</v>
      </c>
      <c r="DL738" s="161">
        <f t="shared" si="3115"/>
        <v>0</v>
      </c>
      <c r="DM738" s="161">
        <f t="shared" si="3116"/>
        <v>0</v>
      </c>
      <c r="DN738" s="161">
        <f t="shared" si="3117"/>
        <v>0</v>
      </c>
      <c r="DO738" s="161">
        <f t="shared" si="3118"/>
        <v>0</v>
      </c>
      <c r="DP738" s="161">
        <f t="shared" si="3119"/>
        <v>0</v>
      </c>
      <c r="DQ738" s="161">
        <f t="shared" si="3120"/>
        <v>0</v>
      </c>
      <c r="DR738" s="161">
        <f t="shared" si="3121"/>
        <v>0</v>
      </c>
      <c r="DS738" s="161">
        <f t="shared" si="3122"/>
        <v>0</v>
      </c>
      <c r="DT738" s="161">
        <f t="shared" si="3123"/>
        <v>0</v>
      </c>
      <c r="DU738" s="161">
        <f t="shared" si="3124"/>
        <v>0</v>
      </c>
      <c r="DV738" s="161">
        <f t="shared" si="3125"/>
        <v>0</v>
      </c>
      <c r="DW738" s="161">
        <f t="shared" si="3126"/>
        <v>0</v>
      </c>
      <c r="DX738" s="161">
        <f t="shared" si="3127"/>
        <v>0</v>
      </c>
      <c r="DY738" s="161">
        <f t="shared" si="3128"/>
        <v>0</v>
      </c>
      <c r="DZ738" s="161">
        <f t="shared" si="3129"/>
        <v>0</v>
      </c>
      <c r="EA738" s="161">
        <f t="shared" si="3130"/>
        <v>0</v>
      </c>
      <c r="EB738" s="161">
        <f t="shared" si="3131"/>
        <v>0</v>
      </c>
      <c r="EC738" s="161">
        <f t="shared" si="3132"/>
        <v>0</v>
      </c>
      <c r="ED738" s="161">
        <f t="shared" si="3133"/>
        <v>0</v>
      </c>
      <c r="EE738" s="161">
        <f t="shared" si="3134"/>
        <v>0</v>
      </c>
      <c r="EF738" s="161">
        <f t="shared" si="3135"/>
        <v>0</v>
      </c>
      <c r="EG738" s="161">
        <f t="shared" si="3136"/>
        <v>0</v>
      </c>
      <c r="EH738" s="161">
        <f t="shared" si="3137"/>
        <v>0</v>
      </c>
      <c r="EI738" s="161">
        <f t="shared" si="3138"/>
        <v>0</v>
      </c>
    </row>
    <row r="739" spans="2:139" ht="12" hidden="1" customHeight="1" outlineLevel="1">
      <c r="B739" s="137" t="str">
        <f t="shared" si="3078"/>
        <v/>
      </c>
      <c r="C739" s="65"/>
      <c r="D739" s="65"/>
      <c r="E739" s="65"/>
      <c r="F739" s="164"/>
      <c r="G739" s="165"/>
      <c r="H739" s="166">
        <f t="shared" si="3139"/>
        <v>0</v>
      </c>
      <c r="I739" s="144">
        <f t="shared" si="3140"/>
        <v>0</v>
      </c>
      <c r="J739" s="65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  <c r="AA739" s="167"/>
      <c r="AB739" s="167"/>
      <c r="AC739" s="167"/>
      <c r="AD739" s="167"/>
      <c r="AE739" s="167"/>
      <c r="AF739" s="167"/>
      <c r="AG739" s="167"/>
      <c r="AH739" s="167"/>
      <c r="AI739" s="167"/>
      <c r="AJ739" s="167"/>
      <c r="AK739" s="167"/>
      <c r="AL739" s="167"/>
      <c r="AM739" s="167"/>
      <c r="AN739" s="167"/>
      <c r="AO739" s="167"/>
      <c r="AP739" s="167"/>
      <c r="AQ739" s="167"/>
      <c r="AR739" s="167"/>
      <c r="AS739" s="167"/>
      <c r="AT739" s="167"/>
      <c r="AU739" s="167"/>
      <c r="AV739" s="167"/>
      <c r="AW739" s="167"/>
      <c r="AX739" s="167"/>
      <c r="AY739" s="167"/>
      <c r="AZ739" s="167"/>
      <c r="BA739" s="167"/>
      <c r="BB739" s="167"/>
      <c r="BC739" s="167"/>
      <c r="BD739" s="167"/>
      <c r="BE739" s="167"/>
      <c r="BF739" s="167"/>
      <c r="BG739" s="167"/>
      <c r="BH739" s="167"/>
      <c r="BI739" s="167"/>
      <c r="BJ739" s="167"/>
      <c r="BK739" s="167"/>
      <c r="BL739" s="167"/>
      <c r="BM739" s="167"/>
      <c r="BN739" s="167"/>
      <c r="BO739" s="167"/>
      <c r="BP739" s="167"/>
      <c r="BQ739" s="167"/>
      <c r="BR739" s="167"/>
      <c r="BS739" s="65"/>
      <c r="BT739" s="160">
        <f t="shared" si="3141"/>
        <v>0</v>
      </c>
      <c r="BU739" s="160">
        <f t="shared" si="3142"/>
        <v>0</v>
      </c>
      <c r="BV739" s="65"/>
      <c r="BW739" s="69"/>
      <c r="BX739" s="65"/>
      <c r="BY739" s="137">
        <f t="shared" si="3143"/>
        <v>0</v>
      </c>
      <c r="BZ739" s="137">
        <f>IF(BY739&gt;0,BY739+LARGE($BZ$213:BZ738,1),0)</f>
        <v>0</v>
      </c>
      <c r="CA739" s="137">
        <f t="shared" si="3144"/>
        <v>0</v>
      </c>
      <c r="CB739" s="161">
        <f t="shared" si="3079"/>
        <v>0</v>
      </c>
      <c r="CC739" s="161">
        <f t="shared" si="3080"/>
        <v>0</v>
      </c>
      <c r="CD739" s="161">
        <f t="shared" si="3081"/>
        <v>0</v>
      </c>
      <c r="CE739" s="161">
        <f t="shared" si="3082"/>
        <v>0</v>
      </c>
      <c r="CF739" s="161">
        <f t="shared" si="3083"/>
        <v>0</v>
      </c>
      <c r="CG739" s="161">
        <f t="shared" si="3084"/>
        <v>0</v>
      </c>
      <c r="CH739" s="161">
        <f t="shared" si="3085"/>
        <v>0</v>
      </c>
      <c r="CI739" s="161">
        <f t="shared" si="3086"/>
        <v>0</v>
      </c>
      <c r="CJ739" s="161">
        <f t="shared" si="3087"/>
        <v>0</v>
      </c>
      <c r="CK739" s="161">
        <f t="shared" si="3088"/>
        <v>0</v>
      </c>
      <c r="CL739" s="161">
        <f t="shared" si="3089"/>
        <v>0</v>
      </c>
      <c r="CM739" s="161">
        <f t="shared" si="3090"/>
        <v>0</v>
      </c>
      <c r="CN739" s="161">
        <f t="shared" si="3091"/>
        <v>0</v>
      </c>
      <c r="CO739" s="161">
        <f t="shared" si="3092"/>
        <v>0</v>
      </c>
      <c r="CP739" s="161">
        <f t="shared" si="3093"/>
        <v>0</v>
      </c>
      <c r="CQ739" s="161">
        <f t="shared" si="3094"/>
        <v>0</v>
      </c>
      <c r="CR739" s="161">
        <f t="shared" si="3095"/>
        <v>0</v>
      </c>
      <c r="CS739" s="161">
        <f t="shared" si="3096"/>
        <v>0</v>
      </c>
      <c r="CT739" s="161">
        <f t="shared" si="3097"/>
        <v>0</v>
      </c>
      <c r="CU739" s="161">
        <f t="shared" si="3098"/>
        <v>0</v>
      </c>
      <c r="CV739" s="161">
        <f t="shared" si="3099"/>
        <v>0</v>
      </c>
      <c r="CW739" s="161">
        <f t="shared" si="3100"/>
        <v>0</v>
      </c>
      <c r="CX739" s="161">
        <f t="shared" si="3101"/>
        <v>0</v>
      </c>
      <c r="CY739" s="161">
        <f t="shared" si="3102"/>
        <v>0</v>
      </c>
      <c r="CZ739" s="161">
        <f t="shared" si="3103"/>
        <v>0</v>
      </c>
      <c r="DA739" s="161">
        <f t="shared" si="3104"/>
        <v>0</v>
      </c>
      <c r="DB739" s="161">
        <f t="shared" si="3105"/>
        <v>0</v>
      </c>
      <c r="DC739" s="161">
        <f t="shared" si="3106"/>
        <v>0</v>
      </c>
      <c r="DD739" s="161">
        <f t="shared" si="3107"/>
        <v>0</v>
      </c>
      <c r="DE739" s="161">
        <f t="shared" si="3108"/>
        <v>0</v>
      </c>
      <c r="DF739" s="161">
        <f t="shared" si="3109"/>
        <v>0</v>
      </c>
      <c r="DG739" s="161">
        <f t="shared" si="3110"/>
        <v>0</v>
      </c>
      <c r="DH739" s="161">
        <f t="shared" si="3111"/>
        <v>0</v>
      </c>
      <c r="DI739" s="161">
        <f t="shared" si="3112"/>
        <v>0</v>
      </c>
      <c r="DJ739" s="161">
        <f t="shared" si="3113"/>
        <v>0</v>
      </c>
      <c r="DK739" s="161">
        <f t="shared" si="3114"/>
        <v>0</v>
      </c>
      <c r="DL739" s="161">
        <f t="shared" si="3115"/>
        <v>0</v>
      </c>
      <c r="DM739" s="161">
        <f t="shared" si="3116"/>
        <v>0</v>
      </c>
      <c r="DN739" s="161">
        <f t="shared" si="3117"/>
        <v>0</v>
      </c>
      <c r="DO739" s="161">
        <f t="shared" si="3118"/>
        <v>0</v>
      </c>
      <c r="DP739" s="161">
        <f t="shared" si="3119"/>
        <v>0</v>
      </c>
      <c r="DQ739" s="161">
        <f t="shared" si="3120"/>
        <v>0</v>
      </c>
      <c r="DR739" s="161">
        <f t="shared" si="3121"/>
        <v>0</v>
      </c>
      <c r="DS739" s="161">
        <f t="shared" si="3122"/>
        <v>0</v>
      </c>
      <c r="DT739" s="161">
        <f t="shared" si="3123"/>
        <v>0</v>
      </c>
      <c r="DU739" s="161">
        <f t="shared" si="3124"/>
        <v>0</v>
      </c>
      <c r="DV739" s="161">
        <f t="shared" si="3125"/>
        <v>0</v>
      </c>
      <c r="DW739" s="161">
        <f t="shared" si="3126"/>
        <v>0</v>
      </c>
      <c r="DX739" s="161">
        <f t="shared" si="3127"/>
        <v>0</v>
      </c>
      <c r="DY739" s="161">
        <f t="shared" si="3128"/>
        <v>0</v>
      </c>
      <c r="DZ739" s="161">
        <f t="shared" si="3129"/>
        <v>0</v>
      </c>
      <c r="EA739" s="161">
        <f t="shared" si="3130"/>
        <v>0</v>
      </c>
      <c r="EB739" s="161">
        <f t="shared" si="3131"/>
        <v>0</v>
      </c>
      <c r="EC739" s="161">
        <f t="shared" si="3132"/>
        <v>0</v>
      </c>
      <c r="ED739" s="161">
        <f t="shared" si="3133"/>
        <v>0</v>
      </c>
      <c r="EE739" s="161">
        <f t="shared" si="3134"/>
        <v>0</v>
      </c>
      <c r="EF739" s="161">
        <f t="shared" si="3135"/>
        <v>0</v>
      </c>
      <c r="EG739" s="161">
        <f t="shared" si="3136"/>
        <v>0</v>
      </c>
      <c r="EH739" s="161">
        <f t="shared" si="3137"/>
        <v>0</v>
      </c>
      <c r="EI739" s="161">
        <f t="shared" si="3138"/>
        <v>0</v>
      </c>
    </row>
    <row r="740" spans="2:139" ht="12" hidden="1" customHeight="1" outlineLevel="1">
      <c r="B740" s="137" t="str">
        <f t="shared" si="3078"/>
        <v/>
      </c>
      <c r="C740" s="65"/>
      <c r="D740" s="65"/>
      <c r="E740" s="65"/>
      <c r="F740" s="164"/>
      <c r="G740" s="165"/>
      <c r="H740" s="166">
        <f t="shared" si="3139"/>
        <v>0</v>
      </c>
      <c r="I740" s="144">
        <f t="shared" si="3140"/>
        <v>0</v>
      </c>
      <c r="J740" s="65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  <c r="AA740" s="167"/>
      <c r="AB740" s="167"/>
      <c r="AC740" s="167"/>
      <c r="AD740" s="167"/>
      <c r="AE740" s="167"/>
      <c r="AF740" s="167"/>
      <c r="AG740" s="167"/>
      <c r="AH740" s="167"/>
      <c r="AI740" s="167"/>
      <c r="AJ740" s="167"/>
      <c r="AK740" s="167"/>
      <c r="AL740" s="167"/>
      <c r="AM740" s="167"/>
      <c r="AN740" s="167"/>
      <c r="AO740" s="167"/>
      <c r="AP740" s="167"/>
      <c r="AQ740" s="167"/>
      <c r="AR740" s="167"/>
      <c r="AS740" s="167"/>
      <c r="AT740" s="167"/>
      <c r="AU740" s="167"/>
      <c r="AV740" s="167"/>
      <c r="AW740" s="167"/>
      <c r="AX740" s="167"/>
      <c r="AY740" s="167"/>
      <c r="AZ740" s="167"/>
      <c r="BA740" s="167"/>
      <c r="BB740" s="167"/>
      <c r="BC740" s="167"/>
      <c r="BD740" s="167"/>
      <c r="BE740" s="167"/>
      <c r="BF740" s="167"/>
      <c r="BG740" s="167"/>
      <c r="BH740" s="167"/>
      <c r="BI740" s="167"/>
      <c r="BJ740" s="167"/>
      <c r="BK740" s="167"/>
      <c r="BL740" s="167"/>
      <c r="BM740" s="167"/>
      <c r="BN740" s="167"/>
      <c r="BO740" s="167"/>
      <c r="BP740" s="167"/>
      <c r="BQ740" s="167"/>
      <c r="BR740" s="167"/>
      <c r="BS740" s="65"/>
      <c r="BT740" s="160">
        <f t="shared" si="3141"/>
        <v>0</v>
      </c>
      <c r="BU740" s="160">
        <f t="shared" si="3142"/>
        <v>0</v>
      </c>
      <c r="BV740" s="65"/>
      <c r="BW740" s="69"/>
      <c r="BX740" s="65"/>
      <c r="BY740" s="137">
        <f t="shared" si="3143"/>
        <v>0</v>
      </c>
      <c r="BZ740" s="137">
        <f>IF(BY740&gt;0,BY740+LARGE($BZ$213:BZ739,1),0)</f>
        <v>0</v>
      </c>
      <c r="CA740" s="137">
        <f t="shared" si="3144"/>
        <v>0</v>
      </c>
      <c r="CB740" s="161">
        <f t="shared" si="3079"/>
        <v>0</v>
      </c>
      <c r="CC740" s="161">
        <f t="shared" si="3080"/>
        <v>0</v>
      </c>
      <c r="CD740" s="161">
        <f t="shared" si="3081"/>
        <v>0</v>
      </c>
      <c r="CE740" s="161">
        <f t="shared" si="3082"/>
        <v>0</v>
      </c>
      <c r="CF740" s="161">
        <f t="shared" si="3083"/>
        <v>0</v>
      </c>
      <c r="CG740" s="161">
        <f t="shared" si="3084"/>
        <v>0</v>
      </c>
      <c r="CH740" s="161">
        <f t="shared" si="3085"/>
        <v>0</v>
      </c>
      <c r="CI740" s="161">
        <f t="shared" si="3086"/>
        <v>0</v>
      </c>
      <c r="CJ740" s="161">
        <f t="shared" si="3087"/>
        <v>0</v>
      </c>
      <c r="CK740" s="161">
        <f t="shared" si="3088"/>
        <v>0</v>
      </c>
      <c r="CL740" s="161">
        <f t="shared" si="3089"/>
        <v>0</v>
      </c>
      <c r="CM740" s="161">
        <f t="shared" si="3090"/>
        <v>0</v>
      </c>
      <c r="CN740" s="161">
        <f t="shared" si="3091"/>
        <v>0</v>
      </c>
      <c r="CO740" s="161">
        <f t="shared" si="3092"/>
        <v>0</v>
      </c>
      <c r="CP740" s="161">
        <f t="shared" si="3093"/>
        <v>0</v>
      </c>
      <c r="CQ740" s="161">
        <f t="shared" si="3094"/>
        <v>0</v>
      </c>
      <c r="CR740" s="161">
        <f t="shared" si="3095"/>
        <v>0</v>
      </c>
      <c r="CS740" s="161">
        <f t="shared" si="3096"/>
        <v>0</v>
      </c>
      <c r="CT740" s="161">
        <f t="shared" si="3097"/>
        <v>0</v>
      </c>
      <c r="CU740" s="161">
        <f t="shared" si="3098"/>
        <v>0</v>
      </c>
      <c r="CV740" s="161">
        <f t="shared" si="3099"/>
        <v>0</v>
      </c>
      <c r="CW740" s="161">
        <f t="shared" si="3100"/>
        <v>0</v>
      </c>
      <c r="CX740" s="161">
        <f t="shared" si="3101"/>
        <v>0</v>
      </c>
      <c r="CY740" s="161">
        <f t="shared" si="3102"/>
        <v>0</v>
      </c>
      <c r="CZ740" s="161">
        <f t="shared" si="3103"/>
        <v>0</v>
      </c>
      <c r="DA740" s="161">
        <f t="shared" si="3104"/>
        <v>0</v>
      </c>
      <c r="DB740" s="161">
        <f t="shared" si="3105"/>
        <v>0</v>
      </c>
      <c r="DC740" s="161">
        <f t="shared" si="3106"/>
        <v>0</v>
      </c>
      <c r="DD740" s="161">
        <f t="shared" si="3107"/>
        <v>0</v>
      </c>
      <c r="DE740" s="161">
        <f t="shared" si="3108"/>
        <v>0</v>
      </c>
      <c r="DF740" s="161">
        <f t="shared" si="3109"/>
        <v>0</v>
      </c>
      <c r="DG740" s="161">
        <f t="shared" si="3110"/>
        <v>0</v>
      </c>
      <c r="DH740" s="161">
        <f t="shared" si="3111"/>
        <v>0</v>
      </c>
      <c r="DI740" s="161">
        <f t="shared" si="3112"/>
        <v>0</v>
      </c>
      <c r="DJ740" s="161">
        <f t="shared" si="3113"/>
        <v>0</v>
      </c>
      <c r="DK740" s="161">
        <f t="shared" si="3114"/>
        <v>0</v>
      </c>
      <c r="DL740" s="161">
        <f t="shared" si="3115"/>
        <v>0</v>
      </c>
      <c r="DM740" s="161">
        <f t="shared" si="3116"/>
        <v>0</v>
      </c>
      <c r="DN740" s="161">
        <f t="shared" si="3117"/>
        <v>0</v>
      </c>
      <c r="DO740" s="161">
        <f t="shared" si="3118"/>
        <v>0</v>
      </c>
      <c r="DP740" s="161">
        <f t="shared" si="3119"/>
        <v>0</v>
      </c>
      <c r="DQ740" s="161">
        <f t="shared" si="3120"/>
        <v>0</v>
      </c>
      <c r="DR740" s="161">
        <f t="shared" si="3121"/>
        <v>0</v>
      </c>
      <c r="DS740" s="161">
        <f t="shared" si="3122"/>
        <v>0</v>
      </c>
      <c r="DT740" s="161">
        <f t="shared" si="3123"/>
        <v>0</v>
      </c>
      <c r="DU740" s="161">
        <f t="shared" si="3124"/>
        <v>0</v>
      </c>
      <c r="DV740" s="161">
        <f t="shared" si="3125"/>
        <v>0</v>
      </c>
      <c r="DW740" s="161">
        <f t="shared" si="3126"/>
        <v>0</v>
      </c>
      <c r="DX740" s="161">
        <f t="shared" si="3127"/>
        <v>0</v>
      </c>
      <c r="DY740" s="161">
        <f t="shared" si="3128"/>
        <v>0</v>
      </c>
      <c r="DZ740" s="161">
        <f t="shared" si="3129"/>
        <v>0</v>
      </c>
      <c r="EA740" s="161">
        <f t="shared" si="3130"/>
        <v>0</v>
      </c>
      <c r="EB740" s="161">
        <f t="shared" si="3131"/>
        <v>0</v>
      </c>
      <c r="EC740" s="161">
        <f t="shared" si="3132"/>
        <v>0</v>
      </c>
      <c r="ED740" s="161">
        <f t="shared" si="3133"/>
        <v>0</v>
      </c>
      <c r="EE740" s="161">
        <f t="shared" si="3134"/>
        <v>0</v>
      </c>
      <c r="EF740" s="161">
        <f t="shared" si="3135"/>
        <v>0</v>
      </c>
      <c r="EG740" s="161">
        <f t="shared" si="3136"/>
        <v>0</v>
      </c>
      <c r="EH740" s="161">
        <f t="shared" si="3137"/>
        <v>0</v>
      </c>
      <c r="EI740" s="161">
        <f t="shared" si="3138"/>
        <v>0</v>
      </c>
    </row>
    <row r="741" spans="2:139" ht="12" hidden="1" customHeight="1" outlineLevel="1">
      <c r="B741" s="137" t="str">
        <f t="shared" si="3078"/>
        <v/>
      </c>
      <c r="C741" s="65"/>
      <c r="D741" s="65"/>
      <c r="E741" s="65"/>
      <c r="F741" s="164"/>
      <c r="G741" s="165"/>
      <c r="H741" s="166">
        <f t="shared" si="3139"/>
        <v>0</v>
      </c>
      <c r="I741" s="144">
        <f t="shared" si="3140"/>
        <v>0</v>
      </c>
      <c r="J741" s="65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  <c r="AA741" s="167"/>
      <c r="AB741" s="167"/>
      <c r="AC741" s="167"/>
      <c r="AD741" s="167"/>
      <c r="AE741" s="167"/>
      <c r="AF741" s="167"/>
      <c r="AG741" s="167"/>
      <c r="AH741" s="167"/>
      <c r="AI741" s="167"/>
      <c r="AJ741" s="167"/>
      <c r="AK741" s="167"/>
      <c r="AL741" s="167"/>
      <c r="AM741" s="167"/>
      <c r="AN741" s="167"/>
      <c r="AO741" s="167"/>
      <c r="AP741" s="167"/>
      <c r="AQ741" s="167"/>
      <c r="AR741" s="167"/>
      <c r="AS741" s="167"/>
      <c r="AT741" s="167"/>
      <c r="AU741" s="167"/>
      <c r="AV741" s="167"/>
      <c r="AW741" s="167"/>
      <c r="AX741" s="167"/>
      <c r="AY741" s="167"/>
      <c r="AZ741" s="167"/>
      <c r="BA741" s="167"/>
      <c r="BB741" s="167"/>
      <c r="BC741" s="167"/>
      <c r="BD741" s="167"/>
      <c r="BE741" s="167"/>
      <c r="BF741" s="167"/>
      <c r="BG741" s="167"/>
      <c r="BH741" s="167"/>
      <c r="BI741" s="167"/>
      <c r="BJ741" s="167"/>
      <c r="BK741" s="167"/>
      <c r="BL741" s="167"/>
      <c r="BM741" s="167"/>
      <c r="BN741" s="167"/>
      <c r="BO741" s="167"/>
      <c r="BP741" s="167"/>
      <c r="BQ741" s="167"/>
      <c r="BR741" s="167"/>
      <c r="BS741" s="65"/>
      <c r="BT741" s="160">
        <f t="shared" si="3141"/>
        <v>0</v>
      </c>
      <c r="BU741" s="160">
        <f t="shared" si="3142"/>
        <v>0</v>
      </c>
      <c r="BV741" s="65"/>
      <c r="BW741" s="69"/>
      <c r="BX741" s="65"/>
      <c r="BY741" s="137">
        <f t="shared" si="3143"/>
        <v>0</v>
      </c>
      <c r="BZ741" s="137">
        <f>IF(BY741&gt;0,BY741+LARGE($BZ$213:BZ740,1),0)</f>
        <v>0</v>
      </c>
      <c r="CA741" s="137">
        <f t="shared" si="3144"/>
        <v>0</v>
      </c>
      <c r="CB741" s="161">
        <f t="shared" si="3079"/>
        <v>0</v>
      </c>
      <c r="CC741" s="161">
        <f t="shared" si="3080"/>
        <v>0</v>
      </c>
      <c r="CD741" s="161">
        <f t="shared" si="3081"/>
        <v>0</v>
      </c>
      <c r="CE741" s="161">
        <f t="shared" si="3082"/>
        <v>0</v>
      </c>
      <c r="CF741" s="161">
        <f t="shared" si="3083"/>
        <v>0</v>
      </c>
      <c r="CG741" s="161">
        <f t="shared" si="3084"/>
        <v>0</v>
      </c>
      <c r="CH741" s="161">
        <f t="shared" si="3085"/>
        <v>0</v>
      </c>
      <c r="CI741" s="161">
        <f t="shared" si="3086"/>
        <v>0</v>
      </c>
      <c r="CJ741" s="161">
        <f t="shared" si="3087"/>
        <v>0</v>
      </c>
      <c r="CK741" s="161">
        <f t="shared" si="3088"/>
        <v>0</v>
      </c>
      <c r="CL741" s="161">
        <f t="shared" si="3089"/>
        <v>0</v>
      </c>
      <c r="CM741" s="161">
        <f t="shared" si="3090"/>
        <v>0</v>
      </c>
      <c r="CN741" s="161">
        <f t="shared" si="3091"/>
        <v>0</v>
      </c>
      <c r="CO741" s="161">
        <f t="shared" si="3092"/>
        <v>0</v>
      </c>
      <c r="CP741" s="161">
        <f t="shared" si="3093"/>
        <v>0</v>
      </c>
      <c r="CQ741" s="161">
        <f t="shared" si="3094"/>
        <v>0</v>
      </c>
      <c r="CR741" s="161">
        <f t="shared" si="3095"/>
        <v>0</v>
      </c>
      <c r="CS741" s="161">
        <f t="shared" si="3096"/>
        <v>0</v>
      </c>
      <c r="CT741" s="161">
        <f t="shared" si="3097"/>
        <v>0</v>
      </c>
      <c r="CU741" s="161">
        <f t="shared" si="3098"/>
        <v>0</v>
      </c>
      <c r="CV741" s="161">
        <f t="shared" si="3099"/>
        <v>0</v>
      </c>
      <c r="CW741" s="161">
        <f t="shared" si="3100"/>
        <v>0</v>
      </c>
      <c r="CX741" s="161">
        <f t="shared" si="3101"/>
        <v>0</v>
      </c>
      <c r="CY741" s="161">
        <f t="shared" si="3102"/>
        <v>0</v>
      </c>
      <c r="CZ741" s="161">
        <f t="shared" si="3103"/>
        <v>0</v>
      </c>
      <c r="DA741" s="161">
        <f t="shared" si="3104"/>
        <v>0</v>
      </c>
      <c r="DB741" s="161">
        <f t="shared" si="3105"/>
        <v>0</v>
      </c>
      <c r="DC741" s="161">
        <f t="shared" si="3106"/>
        <v>0</v>
      </c>
      <c r="DD741" s="161">
        <f t="shared" si="3107"/>
        <v>0</v>
      </c>
      <c r="DE741" s="161">
        <f t="shared" si="3108"/>
        <v>0</v>
      </c>
      <c r="DF741" s="161">
        <f t="shared" si="3109"/>
        <v>0</v>
      </c>
      <c r="DG741" s="161">
        <f t="shared" si="3110"/>
        <v>0</v>
      </c>
      <c r="DH741" s="161">
        <f t="shared" si="3111"/>
        <v>0</v>
      </c>
      <c r="DI741" s="161">
        <f t="shared" si="3112"/>
        <v>0</v>
      </c>
      <c r="DJ741" s="161">
        <f t="shared" si="3113"/>
        <v>0</v>
      </c>
      <c r="DK741" s="161">
        <f t="shared" si="3114"/>
        <v>0</v>
      </c>
      <c r="DL741" s="161">
        <f t="shared" si="3115"/>
        <v>0</v>
      </c>
      <c r="DM741" s="161">
        <f t="shared" si="3116"/>
        <v>0</v>
      </c>
      <c r="DN741" s="161">
        <f t="shared" si="3117"/>
        <v>0</v>
      </c>
      <c r="DO741" s="161">
        <f t="shared" si="3118"/>
        <v>0</v>
      </c>
      <c r="DP741" s="161">
        <f t="shared" si="3119"/>
        <v>0</v>
      </c>
      <c r="DQ741" s="161">
        <f t="shared" si="3120"/>
        <v>0</v>
      </c>
      <c r="DR741" s="161">
        <f t="shared" si="3121"/>
        <v>0</v>
      </c>
      <c r="DS741" s="161">
        <f t="shared" si="3122"/>
        <v>0</v>
      </c>
      <c r="DT741" s="161">
        <f t="shared" si="3123"/>
        <v>0</v>
      </c>
      <c r="DU741" s="161">
        <f t="shared" si="3124"/>
        <v>0</v>
      </c>
      <c r="DV741" s="161">
        <f t="shared" si="3125"/>
        <v>0</v>
      </c>
      <c r="DW741" s="161">
        <f t="shared" si="3126"/>
        <v>0</v>
      </c>
      <c r="DX741" s="161">
        <f t="shared" si="3127"/>
        <v>0</v>
      </c>
      <c r="DY741" s="161">
        <f t="shared" si="3128"/>
        <v>0</v>
      </c>
      <c r="DZ741" s="161">
        <f t="shared" si="3129"/>
        <v>0</v>
      </c>
      <c r="EA741" s="161">
        <f t="shared" si="3130"/>
        <v>0</v>
      </c>
      <c r="EB741" s="161">
        <f t="shared" si="3131"/>
        <v>0</v>
      </c>
      <c r="EC741" s="161">
        <f t="shared" si="3132"/>
        <v>0</v>
      </c>
      <c r="ED741" s="161">
        <f t="shared" si="3133"/>
        <v>0</v>
      </c>
      <c r="EE741" s="161">
        <f t="shared" si="3134"/>
        <v>0</v>
      </c>
      <c r="EF741" s="161">
        <f t="shared" si="3135"/>
        <v>0</v>
      </c>
      <c r="EG741" s="161">
        <f t="shared" si="3136"/>
        <v>0</v>
      </c>
      <c r="EH741" s="161">
        <f t="shared" si="3137"/>
        <v>0</v>
      </c>
      <c r="EI741" s="161">
        <f t="shared" si="3138"/>
        <v>0</v>
      </c>
    </row>
    <row r="742" spans="2:139" ht="12" hidden="1" customHeight="1" outlineLevel="1">
      <c r="B742" s="137" t="str">
        <f t="shared" si="3078"/>
        <v/>
      </c>
      <c r="C742" s="65"/>
      <c r="D742" s="65"/>
      <c r="E742" s="65"/>
      <c r="F742" s="164"/>
      <c r="G742" s="165"/>
      <c r="H742" s="166">
        <f t="shared" si="3139"/>
        <v>0</v>
      </c>
      <c r="I742" s="144">
        <f t="shared" si="3140"/>
        <v>0</v>
      </c>
      <c r="J742" s="65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  <c r="AA742" s="167"/>
      <c r="AB742" s="167"/>
      <c r="AC742" s="167"/>
      <c r="AD742" s="167"/>
      <c r="AE742" s="167"/>
      <c r="AF742" s="167"/>
      <c r="AG742" s="167"/>
      <c r="AH742" s="167"/>
      <c r="AI742" s="167"/>
      <c r="AJ742" s="167"/>
      <c r="AK742" s="167"/>
      <c r="AL742" s="167"/>
      <c r="AM742" s="167"/>
      <c r="AN742" s="167"/>
      <c r="AO742" s="167"/>
      <c r="AP742" s="167"/>
      <c r="AQ742" s="167"/>
      <c r="AR742" s="167"/>
      <c r="AS742" s="167"/>
      <c r="AT742" s="167"/>
      <c r="AU742" s="167"/>
      <c r="AV742" s="167"/>
      <c r="AW742" s="167"/>
      <c r="AX742" s="167"/>
      <c r="AY742" s="167"/>
      <c r="AZ742" s="167"/>
      <c r="BA742" s="167"/>
      <c r="BB742" s="167"/>
      <c r="BC742" s="167"/>
      <c r="BD742" s="167"/>
      <c r="BE742" s="167"/>
      <c r="BF742" s="167"/>
      <c r="BG742" s="167"/>
      <c r="BH742" s="167"/>
      <c r="BI742" s="167"/>
      <c r="BJ742" s="167"/>
      <c r="BK742" s="167"/>
      <c r="BL742" s="167"/>
      <c r="BM742" s="167"/>
      <c r="BN742" s="167"/>
      <c r="BO742" s="167"/>
      <c r="BP742" s="167"/>
      <c r="BQ742" s="167"/>
      <c r="BR742" s="167"/>
      <c r="BS742" s="65"/>
      <c r="BT742" s="160">
        <f t="shared" si="3141"/>
        <v>0</v>
      </c>
      <c r="BU742" s="160">
        <f t="shared" si="3142"/>
        <v>0</v>
      </c>
      <c r="BV742" s="65"/>
      <c r="BW742" s="69"/>
      <c r="BX742" s="65"/>
      <c r="BY742" s="137">
        <f t="shared" si="3143"/>
        <v>0</v>
      </c>
      <c r="BZ742" s="137">
        <f>IF(BY742&gt;0,BY742+LARGE($BZ$213:BZ741,1),0)</f>
        <v>0</v>
      </c>
      <c r="CA742" s="137">
        <f t="shared" si="3144"/>
        <v>0</v>
      </c>
      <c r="CB742" s="161">
        <f t="shared" si="3079"/>
        <v>0</v>
      </c>
      <c r="CC742" s="161">
        <f t="shared" si="3080"/>
        <v>0</v>
      </c>
      <c r="CD742" s="161">
        <f t="shared" si="3081"/>
        <v>0</v>
      </c>
      <c r="CE742" s="161">
        <f t="shared" si="3082"/>
        <v>0</v>
      </c>
      <c r="CF742" s="161">
        <f t="shared" si="3083"/>
        <v>0</v>
      </c>
      <c r="CG742" s="161">
        <f t="shared" si="3084"/>
        <v>0</v>
      </c>
      <c r="CH742" s="161">
        <f t="shared" si="3085"/>
        <v>0</v>
      </c>
      <c r="CI742" s="161">
        <f t="shared" si="3086"/>
        <v>0</v>
      </c>
      <c r="CJ742" s="161">
        <f t="shared" si="3087"/>
        <v>0</v>
      </c>
      <c r="CK742" s="161">
        <f t="shared" si="3088"/>
        <v>0</v>
      </c>
      <c r="CL742" s="161">
        <f t="shared" si="3089"/>
        <v>0</v>
      </c>
      <c r="CM742" s="161">
        <f t="shared" si="3090"/>
        <v>0</v>
      </c>
      <c r="CN742" s="161">
        <f t="shared" si="3091"/>
        <v>0</v>
      </c>
      <c r="CO742" s="161">
        <f t="shared" si="3092"/>
        <v>0</v>
      </c>
      <c r="CP742" s="161">
        <f t="shared" si="3093"/>
        <v>0</v>
      </c>
      <c r="CQ742" s="161">
        <f t="shared" si="3094"/>
        <v>0</v>
      </c>
      <c r="CR742" s="161">
        <f t="shared" si="3095"/>
        <v>0</v>
      </c>
      <c r="CS742" s="161">
        <f t="shared" si="3096"/>
        <v>0</v>
      </c>
      <c r="CT742" s="161">
        <f t="shared" si="3097"/>
        <v>0</v>
      </c>
      <c r="CU742" s="161">
        <f t="shared" si="3098"/>
        <v>0</v>
      </c>
      <c r="CV742" s="161">
        <f t="shared" si="3099"/>
        <v>0</v>
      </c>
      <c r="CW742" s="161">
        <f t="shared" si="3100"/>
        <v>0</v>
      </c>
      <c r="CX742" s="161">
        <f t="shared" si="3101"/>
        <v>0</v>
      </c>
      <c r="CY742" s="161">
        <f t="shared" si="3102"/>
        <v>0</v>
      </c>
      <c r="CZ742" s="161">
        <f t="shared" si="3103"/>
        <v>0</v>
      </c>
      <c r="DA742" s="161">
        <f t="shared" si="3104"/>
        <v>0</v>
      </c>
      <c r="DB742" s="161">
        <f t="shared" si="3105"/>
        <v>0</v>
      </c>
      <c r="DC742" s="161">
        <f t="shared" si="3106"/>
        <v>0</v>
      </c>
      <c r="DD742" s="161">
        <f t="shared" si="3107"/>
        <v>0</v>
      </c>
      <c r="DE742" s="161">
        <f t="shared" si="3108"/>
        <v>0</v>
      </c>
      <c r="DF742" s="161">
        <f t="shared" si="3109"/>
        <v>0</v>
      </c>
      <c r="DG742" s="161">
        <f t="shared" si="3110"/>
        <v>0</v>
      </c>
      <c r="DH742" s="161">
        <f t="shared" si="3111"/>
        <v>0</v>
      </c>
      <c r="DI742" s="161">
        <f t="shared" si="3112"/>
        <v>0</v>
      </c>
      <c r="DJ742" s="161">
        <f t="shared" si="3113"/>
        <v>0</v>
      </c>
      <c r="DK742" s="161">
        <f t="shared" si="3114"/>
        <v>0</v>
      </c>
      <c r="DL742" s="161">
        <f t="shared" si="3115"/>
        <v>0</v>
      </c>
      <c r="DM742" s="161">
        <f t="shared" si="3116"/>
        <v>0</v>
      </c>
      <c r="DN742" s="161">
        <f t="shared" si="3117"/>
        <v>0</v>
      </c>
      <c r="DO742" s="161">
        <f t="shared" si="3118"/>
        <v>0</v>
      </c>
      <c r="DP742" s="161">
        <f t="shared" si="3119"/>
        <v>0</v>
      </c>
      <c r="DQ742" s="161">
        <f t="shared" si="3120"/>
        <v>0</v>
      </c>
      <c r="DR742" s="161">
        <f t="shared" si="3121"/>
        <v>0</v>
      </c>
      <c r="DS742" s="161">
        <f t="shared" si="3122"/>
        <v>0</v>
      </c>
      <c r="DT742" s="161">
        <f t="shared" si="3123"/>
        <v>0</v>
      </c>
      <c r="DU742" s="161">
        <f t="shared" si="3124"/>
        <v>0</v>
      </c>
      <c r="DV742" s="161">
        <f t="shared" si="3125"/>
        <v>0</v>
      </c>
      <c r="DW742" s="161">
        <f t="shared" si="3126"/>
        <v>0</v>
      </c>
      <c r="DX742" s="161">
        <f t="shared" si="3127"/>
        <v>0</v>
      </c>
      <c r="DY742" s="161">
        <f t="shared" si="3128"/>
        <v>0</v>
      </c>
      <c r="DZ742" s="161">
        <f t="shared" si="3129"/>
        <v>0</v>
      </c>
      <c r="EA742" s="161">
        <f t="shared" si="3130"/>
        <v>0</v>
      </c>
      <c r="EB742" s="161">
        <f t="shared" si="3131"/>
        <v>0</v>
      </c>
      <c r="EC742" s="161">
        <f t="shared" si="3132"/>
        <v>0</v>
      </c>
      <c r="ED742" s="161">
        <f t="shared" si="3133"/>
        <v>0</v>
      </c>
      <c r="EE742" s="161">
        <f t="shared" si="3134"/>
        <v>0</v>
      </c>
      <c r="EF742" s="161">
        <f t="shared" si="3135"/>
        <v>0</v>
      </c>
      <c r="EG742" s="161">
        <f t="shared" si="3136"/>
        <v>0</v>
      </c>
      <c r="EH742" s="161">
        <f t="shared" si="3137"/>
        <v>0</v>
      </c>
      <c r="EI742" s="161">
        <f t="shared" si="3138"/>
        <v>0</v>
      </c>
    </row>
    <row r="743" spans="2:139" ht="12" hidden="1" customHeight="1" outlineLevel="1">
      <c r="B743" s="137" t="str">
        <f t="shared" si="3078"/>
        <v/>
      </c>
      <c r="C743" s="65"/>
      <c r="D743" s="65"/>
      <c r="E743" s="65"/>
      <c r="F743" s="164"/>
      <c r="G743" s="165"/>
      <c r="H743" s="166">
        <f t="shared" si="3139"/>
        <v>0</v>
      </c>
      <c r="I743" s="144">
        <f t="shared" si="3140"/>
        <v>0</v>
      </c>
      <c r="J743" s="65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  <c r="AB743" s="167"/>
      <c r="AC743" s="167"/>
      <c r="AD743" s="167"/>
      <c r="AE743" s="167"/>
      <c r="AF743" s="167"/>
      <c r="AG743" s="167"/>
      <c r="AH743" s="167"/>
      <c r="AI743" s="167"/>
      <c r="AJ743" s="167"/>
      <c r="AK743" s="167"/>
      <c r="AL743" s="167"/>
      <c r="AM743" s="167"/>
      <c r="AN743" s="167"/>
      <c r="AO743" s="167"/>
      <c r="AP743" s="167"/>
      <c r="AQ743" s="167"/>
      <c r="AR743" s="167"/>
      <c r="AS743" s="167"/>
      <c r="AT743" s="167"/>
      <c r="AU743" s="167"/>
      <c r="AV743" s="167"/>
      <c r="AW743" s="167"/>
      <c r="AX743" s="167"/>
      <c r="AY743" s="167"/>
      <c r="AZ743" s="167"/>
      <c r="BA743" s="167"/>
      <c r="BB743" s="167"/>
      <c r="BC743" s="167"/>
      <c r="BD743" s="167"/>
      <c r="BE743" s="167"/>
      <c r="BF743" s="167"/>
      <c r="BG743" s="167"/>
      <c r="BH743" s="167"/>
      <c r="BI743" s="167"/>
      <c r="BJ743" s="167"/>
      <c r="BK743" s="167"/>
      <c r="BL743" s="167"/>
      <c r="BM743" s="167"/>
      <c r="BN743" s="167"/>
      <c r="BO743" s="167"/>
      <c r="BP743" s="167"/>
      <c r="BQ743" s="167"/>
      <c r="BR743" s="167"/>
      <c r="BS743" s="65"/>
      <c r="BT743" s="160">
        <f t="shared" si="3141"/>
        <v>0</v>
      </c>
      <c r="BU743" s="160">
        <f t="shared" si="3142"/>
        <v>0</v>
      </c>
      <c r="BV743" s="65"/>
      <c r="BW743" s="69"/>
      <c r="BX743" s="65"/>
      <c r="BY743" s="137">
        <f t="shared" si="3143"/>
        <v>0</v>
      </c>
      <c r="BZ743" s="137">
        <f>IF(BY743&gt;0,BY743+LARGE($BZ$213:BZ742,1),0)</f>
        <v>0</v>
      </c>
      <c r="CA743" s="137">
        <f t="shared" si="3144"/>
        <v>0</v>
      </c>
      <c r="CB743" s="161">
        <f t="shared" si="3079"/>
        <v>0</v>
      </c>
      <c r="CC743" s="161">
        <f t="shared" si="3080"/>
        <v>0</v>
      </c>
      <c r="CD743" s="161">
        <f t="shared" si="3081"/>
        <v>0</v>
      </c>
      <c r="CE743" s="161">
        <f t="shared" si="3082"/>
        <v>0</v>
      </c>
      <c r="CF743" s="161">
        <f t="shared" si="3083"/>
        <v>0</v>
      </c>
      <c r="CG743" s="161">
        <f t="shared" si="3084"/>
        <v>0</v>
      </c>
      <c r="CH743" s="161">
        <f t="shared" si="3085"/>
        <v>0</v>
      </c>
      <c r="CI743" s="161">
        <f t="shared" si="3086"/>
        <v>0</v>
      </c>
      <c r="CJ743" s="161">
        <f t="shared" si="3087"/>
        <v>0</v>
      </c>
      <c r="CK743" s="161">
        <f t="shared" si="3088"/>
        <v>0</v>
      </c>
      <c r="CL743" s="161">
        <f t="shared" si="3089"/>
        <v>0</v>
      </c>
      <c r="CM743" s="161">
        <f t="shared" si="3090"/>
        <v>0</v>
      </c>
      <c r="CN743" s="161">
        <f t="shared" si="3091"/>
        <v>0</v>
      </c>
      <c r="CO743" s="161">
        <f t="shared" si="3092"/>
        <v>0</v>
      </c>
      <c r="CP743" s="161">
        <f t="shared" si="3093"/>
        <v>0</v>
      </c>
      <c r="CQ743" s="161">
        <f t="shared" si="3094"/>
        <v>0</v>
      </c>
      <c r="CR743" s="161">
        <f t="shared" si="3095"/>
        <v>0</v>
      </c>
      <c r="CS743" s="161">
        <f t="shared" si="3096"/>
        <v>0</v>
      </c>
      <c r="CT743" s="161">
        <f t="shared" si="3097"/>
        <v>0</v>
      </c>
      <c r="CU743" s="161">
        <f t="shared" si="3098"/>
        <v>0</v>
      </c>
      <c r="CV743" s="161">
        <f t="shared" si="3099"/>
        <v>0</v>
      </c>
      <c r="CW743" s="161">
        <f t="shared" si="3100"/>
        <v>0</v>
      </c>
      <c r="CX743" s="161">
        <f t="shared" si="3101"/>
        <v>0</v>
      </c>
      <c r="CY743" s="161">
        <f t="shared" si="3102"/>
        <v>0</v>
      </c>
      <c r="CZ743" s="161">
        <f t="shared" si="3103"/>
        <v>0</v>
      </c>
      <c r="DA743" s="161">
        <f t="shared" si="3104"/>
        <v>0</v>
      </c>
      <c r="DB743" s="161">
        <f t="shared" si="3105"/>
        <v>0</v>
      </c>
      <c r="DC743" s="161">
        <f t="shared" si="3106"/>
        <v>0</v>
      </c>
      <c r="DD743" s="161">
        <f t="shared" si="3107"/>
        <v>0</v>
      </c>
      <c r="DE743" s="161">
        <f t="shared" si="3108"/>
        <v>0</v>
      </c>
      <c r="DF743" s="161">
        <f t="shared" si="3109"/>
        <v>0</v>
      </c>
      <c r="DG743" s="161">
        <f t="shared" si="3110"/>
        <v>0</v>
      </c>
      <c r="DH743" s="161">
        <f t="shared" si="3111"/>
        <v>0</v>
      </c>
      <c r="DI743" s="161">
        <f t="shared" si="3112"/>
        <v>0</v>
      </c>
      <c r="DJ743" s="161">
        <f t="shared" si="3113"/>
        <v>0</v>
      </c>
      <c r="DK743" s="161">
        <f t="shared" si="3114"/>
        <v>0</v>
      </c>
      <c r="DL743" s="161">
        <f t="shared" si="3115"/>
        <v>0</v>
      </c>
      <c r="DM743" s="161">
        <f t="shared" si="3116"/>
        <v>0</v>
      </c>
      <c r="DN743" s="161">
        <f t="shared" si="3117"/>
        <v>0</v>
      </c>
      <c r="DO743" s="161">
        <f t="shared" si="3118"/>
        <v>0</v>
      </c>
      <c r="DP743" s="161">
        <f t="shared" si="3119"/>
        <v>0</v>
      </c>
      <c r="DQ743" s="161">
        <f t="shared" si="3120"/>
        <v>0</v>
      </c>
      <c r="DR743" s="161">
        <f t="shared" si="3121"/>
        <v>0</v>
      </c>
      <c r="DS743" s="161">
        <f t="shared" si="3122"/>
        <v>0</v>
      </c>
      <c r="DT743" s="161">
        <f t="shared" si="3123"/>
        <v>0</v>
      </c>
      <c r="DU743" s="161">
        <f t="shared" si="3124"/>
        <v>0</v>
      </c>
      <c r="DV743" s="161">
        <f t="shared" si="3125"/>
        <v>0</v>
      </c>
      <c r="DW743" s="161">
        <f t="shared" si="3126"/>
        <v>0</v>
      </c>
      <c r="DX743" s="161">
        <f t="shared" si="3127"/>
        <v>0</v>
      </c>
      <c r="DY743" s="161">
        <f t="shared" si="3128"/>
        <v>0</v>
      </c>
      <c r="DZ743" s="161">
        <f t="shared" si="3129"/>
        <v>0</v>
      </c>
      <c r="EA743" s="161">
        <f t="shared" si="3130"/>
        <v>0</v>
      </c>
      <c r="EB743" s="161">
        <f t="shared" si="3131"/>
        <v>0</v>
      </c>
      <c r="EC743" s="161">
        <f t="shared" si="3132"/>
        <v>0</v>
      </c>
      <c r="ED743" s="161">
        <f t="shared" si="3133"/>
        <v>0</v>
      </c>
      <c r="EE743" s="161">
        <f t="shared" si="3134"/>
        <v>0</v>
      </c>
      <c r="EF743" s="161">
        <f t="shared" si="3135"/>
        <v>0</v>
      </c>
      <c r="EG743" s="161">
        <f t="shared" si="3136"/>
        <v>0</v>
      </c>
      <c r="EH743" s="161">
        <f t="shared" si="3137"/>
        <v>0</v>
      </c>
      <c r="EI743" s="161">
        <f t="shared" si="3138"/>
        <v>0</v>
      </c>
    </row>
    <row r="744" spans="2:139" ht="12" hidden="1" customHeight="1" outlineLevel="1">
      <c r="B744" s="137" t="str">
        <f t="shared" si="3078"/>
        <v/>
      </c>
      <c r="C744" s="65"/>
      <c r="D744" s="65"/>
      <c r="E744" s="65"/>
      <c r="F744" s="164"/>
      <c r="G744" s="165"/>
      <c r="H744" s="166">
        <f t="shared" si="3139"/>
        <v>0</v>
      </c>
      <c r="I744" s="144">
        <f t="shared" si="3140"/>
        <v>0</v>
      </c>
      <c r="J744" s="65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  <c r="AB744" s="167"/>
      <c r="AC744" s="167"/>
      <c r="AD744" s="167"/>
      <c r="AE744" s="167"/>
      <c r="AF744" s="167"/>
      <c r="AG744" s="167"/>
      <c r="AH744" s="167"/>
      <c r="AI744" s="167"/>
      <c r="AJ744" s="167"/>
      <c r="AK744" s="167"/>
      <c r="AL744" s="167"/>
      <c r="AM744" s="167"/>
      <c r="AN744" s="167"/>
      <c r="AO744" s="167"/>
      <c r="AP744" s="167"/>
      <c r="AQ744" s="167"/>
      <c r="AR744" s="167"/>
      <c r="AS744" s="167"/>
      <c r="AT744" s="167"/>
      <c r="AU744" s="167"/>
      <c r="AV744" s="167"/>
      <c r="AW744" s="167"/>
      <c r="AX744" s="167"/>
      <c r="AY744" s="167"/>
      <c r="AZ744" s="167"/>
      <c r="BA744" s="167"/>
      <c r="BB744" s="167"/>
      <c r="BC744" s="167"/>
      <c r="BD744" s="167"/>
      <c r="BE744" s="167"/>
      <c r="BF744" s="167"/>
      <c r="BG744" s="167"/>
      <c r="BH744" s="167"/>
      <c r="BI744" s="167"/>
      <c r="BJ744" s="167"/>
      <c r="BK744" s="167"/>
      <c r="BL744" s="167"/>
      <c r="BM744" s="167"/>
      <c r="BN744" s="167"/>
      <c r="BO744" s="167"/>
      <c r="BP744" s="167"/>
      <c r="BQ744" s="167"/>
      <c r="BR744" s="167"/>
      <c r="BS744" s="65"/>
      <c r="BT744" s="160">
        <f t="shared" si="3141"/>
        <v>0</v>
      </c>
      <c r="BU744" s="160">
        <f t="shared" si="3142"/>
        <v>0</v>
      </c>
      <c r="BV744" s="65"/>
      <c r="BW744" s="69"/>
      <c r="BX744" s="65"/>
      <c r="BY744" s="137">
        <f t="shared" si="3143"/>
        <v>0</v>
      </c>
      <c r="BZ744" s="137">
        <f>IF(BY744&gt;0,BY744+LARGE($BZ$213:BZ743,1),0)</f>
        <v>0</v>
      </c>
      <c r="CA744" s="137">
        <f t="shared" si="3144"/>
        <v>0</v>
      </c>
      <c r="CB744" s="161">
        <f t="shared" si="3079"/>
        <v>0</v>
      </c>
      <c r="CC744" s="161">
        <f t="shared" si="3080"/>
        <v>0</v>
      </c>
      <c r="CD744" s="161">
        <f t="shared" si="3081"/>
        <v>0</v>
      </c>
      <c r="CE744" s="161">
        <f t="shared" si="3082"/>
        <v>0</v>
      </c>
      <c r="CF744" s="161">
        <f t="shared" si="3083"/>
        <v>0</v>
      </c>
      <c r="CG744" s="161">
        <f t="shared" si="3084"/>
        <v>0</v>
      </c>
      <c r="CH744" s="161">
        <f t="shared" si="3085"/>
        <v>0</v>
      </c>
      <c r="CI744" s="161">
        <f t="shared" si="3086"/>
        <v>0</v>
      </c>
      <c r="CJ744" s="161">
        <f t="shared" si="3087"/>
        <v>0</v>
      </c>
      <c r="CK744" s="161">
        <f t="shared" si="3088"/>
        <v>0</v>
      </c>
      <c r="CL744" s="161">
        <f t="shared" si="3089"/>
        <v>0</v>
      </c>
      <c r="CM744" s="161">
        <f t="shared" si="3090"/>
        <v>0</v>
      </c>
      <c r="CN744" s="161">
        <f t="shared" si="3091"/>
        <v>0</v>
      </c>
      <c r="CO744" s="161">
        <f t="shared" si="3092"/>
        <v>0</v>
      </c>
      <c r="CP744" s="161">
        <f t="shared" si="3093"/>
        <v>0</v>
      </c>
      <c r="CQ744" s="161">
        <f t="shared" si="3094"/>
        <v>0</v>
      </c>
      <c r="CR744" s="161">
        <f t="shared" si="3095"/>
        <v>0</v>
      </c>
      <c r="CS744" s="161">
        <f t="shared" si="3096"/>
        <v>0</v>
      </c>
      <c r="CT744" s="161">
        <f t="shared" si="3097"/>
        <v>0</v>
      </c>
      <c r="CU744" s="161">
        <f t="shared" si="3098"/>
        <v>0</v>
      </c>
      <c r="CV744" s="161">
        <f t="shared" si="3099"/>
        <v>0</v>
      </c>
      <c r="CW744" s="161">
        <f t="shared" si="3100"/>
        <v>0</v>
      </c>
      <c r="CX744" s="161">
        <f t="shared" si="3101"/>
        <v>0</v>
      </c>
      <c r="CY744" s="161">
        <f t="shared" si="3102"/>
        <v>0</v>
      </c>
      <c r="CZ744" s="161">
        <f t="shared" si="3103"/>
        <v>0</v>
      </c>
      <c r="DA744" s="161">
        <f t="shared" si="3104"/>
        <v>0</v>
      </c>
      <c r="DB744" s="161">
        <f t="shared" si="3105"/>
        <v>0</v>
      </c>
      <c r="DC744" s="161">
        <f t="shared" si="3106"/>
        <v>0</v>
      </c>
      <c r="DD744" s="161">
        <f t="shared" si="3107"/>
        <v>0</v>
      </c>
      <c r="DE744" s="161">
        <f t="shared" si="3108"/>
        <v>0</v>
      </c>
      <c r="DF744" s="161">
        <f t="shared" si="3109"/>
        <v>0</v>
      </c>
      <c r="DG744" s="161">
        <f t="shared" si="3110"/>
        <v>0</v>
      </c>
      <c r="DH744" s="161">
        <f t="shared" si="3111"/>
        <v>0</v>
      </c>
      <c r="DI744" s="161">
        <f t="shared" si="3112"/>
        <v>0</v>
      </c>
      <c r="DJ744" s="161">
        <f t="shared" si="3113"/>
        <v>0</v>
      </c>
      <c r="DK744" s="161">
        <f t="shared" si="3114"/>
        <v>0</v>
      </c>
      <c r="DL744" s="161">
        <f t="shared" si="3115"/>
        <v>0</v>
      </c>
      <c r="DM744" s="161">
        <f t="shared" si="3116"/>
        <v>0</v>
      </c>
      <c r="DN744" s="161">
        <f t="shared" si="3117"/>
        <v>0</v>
      </c>
      <c r="DO744" s="161">
        <f t="shared" si="3118"/>
        <v>0</v>
      </c>
      <c r="DP744" s="161">
        <f t="shared" si="3119"/>
        <v>0</v>
      </c>
      <c r="DQ744" s="161">
        <f t="shared" si="3120"/>
        <v>0</v>
      </c>
      <c r="DR744" s="161">
        <f t="shared" si="3121"/>
        <v>0</v>
      </c>
      <c r="DS744" s="161">
        <f t="shared" si="3122"/>
        <v>0</v>
      </c>
      <c r="DT744" s="161">
        <f t="shared" si="3123"/>
        <v>0</v>
      </c>
      <c r="DU744" s="161">
        <f t="shared" si="3124"/>
        <v>0</v>
      </c>
      <c r="DV744" s="161">
        <f t="shared" si="3125"/>
        <v>0</v>
      </c>
      <c r="DW744" s="161">
        <f t="shared" si="3126"/>
        <v>0</v>
      </c>
      <c r="DX744" s="161">
        <f t="shared" si="3127"/>
        <v>0</v>
      </c>
      <c r="DY744" s="161">
        <f t="shared" si="3128"/>
        <v>0</v>
      </c>
      <c r="DZ744" s="161">
        <f t="shared" si="3129"/>
        <v>0</v>
      </c>
      <c r="EA744" s="161">
        <f t="shared" si="3130"/>
        <v>0</v>
      </c>
      <c r="EB744" s="161">
        <f t="shared" si="3131"/>
        <v>0</v>
      </c>
      <c r="EC744" s="161">
        <f t="shared" si="3132"/>
        <v>0</v>
      </c>
      <c r="ED744" s="161">
        <f t="shared" si="3133"/>
        <v>0</v>
      </c>
      <c r="EE744" s="161">
        <f t="shared" si="3134"/>
        <v>0</v>
      </c>
      <c r="EF744" s="161">
        <f t="shared" si="3135"/>
        <v>0</v>
      </c>
      <c r="EG744" s="161">
        <f t="shared" si="3136"/>
        <v>0</v>
      </c>
      <c r="EH744" s="161">
        <f t="shared" si="3137"/>
        <v>0</v>
      </c>
      <c r="EI744" s="161">
        <f t="shared" si="3138"/>
        <v>0</v>
      </c>
    </row>
    <row r="745" spans="2:139" ht="12" hidden="1" customHeight="1" outlineLevel="1">
      <c r="B745" s="137" t="str">
        <f t="shared" si="3078"/>
        <v/>
      </c>
      <c r="C745" s="65"/>
      <c r="D745" s="65"/>
      <c r="E745" s="65"/>
      <c r="F745" s="164"/>
      <c r="G745" s="165"/>
      <c r="H745" s="166">
        <f t="shared" si="3139"/>
        <v>0</v>
      </c>
      <c r="I745" s="144">
        <f t="shared" si="3140"/>
        <v>0</v>
      </c>
      <c r="J745" s="65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  <c r="AB745" s="167"/>
      <c r="AC745" s="167"/>
      <c r="AD745" s="167"/>
      <c r="AE745" s="167"/>
      <c r="AF745" s="167"/>
      <c r="AG745" s="167"/>
      <c r="AH745" s="167"/>
      <c r="AI745" s="167"/>
      <c r="AJ745" s="167"/>
      <c r="AK745" s="167"/>
      <c r="AL745" s="167"/>
      <c r="AM745" s="167"/>
      <c r="AN745" s="167"/>
      <c r="AO745" s="167"/>
      <c r="AP745" s="167"/>
      <c r="AQ745" s="167"/>
      <c r="AR745" s="167"/>
      <c r="AS745" s="167"/>
      <c r="AT745" s="167"/>
      <c r="AU745" s="167"/>
      <c r="AV745" s="167"/>
      <c r="AW745" s="167"/>
      <c r="AX745" s="167"/>
      <c r="AY745" s="167"/>
      <c r="AZ745" s="167"/>
      <c r="BA745" s="167"/>
      <c r="BB745" s="167"/>
      <c r="BC745" s="167"/>
      <c r="BD745" s="167"/>
      <c r="BE745" s="167"/>
      <c r="BF745" s="167"/>
      <c r="BG745" s="167"/>
      <c r="BH745" s="167"/>
      <c r="BI745" s="167"/>
      <c r="BJ745" s="167"/>
      <c r="BK745" s="167"/>
      <c r="BL745" s="167"/>
      <c r="BM745" s="167"/>
      <c r="BN745" s="167"/>
      <c r="BO745" s="167"/>
      <c r="BP745" s="167"/>
      <c r="BQ745" s="167"/>
      <c r="BR745" s="167"/>
      <c r="BS745" s="65"/>
      <c r="BT745" s="160">
        <f t="shared" si="3141"/>
        <v>0</v>
      </c>
      <c r="BU745" s="160">
        <f t="shared" si="3142"/>
        <v>0</v>
      </c>
      <c r="BV745" s="65"/>
      <c r="BW745" s="69"/>
      <c r="BX745" s="65"/>
      <c r="BY745" s="137">
        <f t="shared" si="3143"/>
        <v>0</v>
      </c>
      <c r="BZ745" s="137">
        <f>IF(BY745&gt;0,BY745+LARGE($BZ$213:BZ744,1),0)</f>
        <v>0</v>
      </c>
      <c r="CA745" s="137">
        <f t="shared" si="3144"/>
        <v>0</v>
      </c>
      <c r="CB745" s="161">
        <f t="shared" si="3079"/>
        <v>0</v>
      </c>
      <c r="CC745" s="161">
        <f t="shared" si="3080"/>
        <v>0</v>
      </c>
      <c r="CD745" s="161">
        <f t="shared" si="3081"/>
        <v>0</v>
      </c>
      <c r="CE745" s="161">
        <f t="shared" si="3082"/>
        <v>0</v>
      </c>
      <c r="CF745" s="161">
        <f t="shared" si="3083"/>
        <v>0</v>
      </c>
      <c r="CG745" s="161">
        <f t="shared" si="3084"/>
        <v>0</v>
      </c>
      <c r="CH745" s="161">
        <f t="shared" si="3085"/>
        <v>0</v>
      </c>
      <c r="CI745" s="161">
        <f t="shared" si="3086"/>
        <v>0</v>
      </c>
      <c r="CJ745" s="161">
        <f t="shared" si="3087"/>
        <v>0</v>
      </c>
      <c r="CK745" s="161">
        <f t="shared" si="3088"/>
        <v>0</v>
      </c>
      <c r="CL745" s="161">
        <f t="shared" si="3089"/>
        <v>0</v>
      </c>
      <c r="CM745" s="161">
        <f t="shared" si="3090"/>
        <v>0</v>
      </c>
      <c r="CN745" s="161">
        <f t="shared" si="3091"/>
        <v>0</v>
      </c>
      <c r="CO745" s="161">
        <f t="shared" si="3092"/>
        <v>0</v>
      </c>
      <c r="CP745" s="161">
        <f t="shared" si="3093"/>
        <v>0</v>
      </c>
      <c r="CQ745" s="161">
        <f t="shared" si="3094"/>
        <v>0</v>
      </c>
      <c r="CR745" s="161">
        <f t="shared" si="3095"/>
        <v>0</v>
      </c>
      <c r="CS745" s="161">
        <f t="shared" si="3096"/>
        <v>0</v>
      </c>
      <c r="CT745" s="161">
        <f t="shared" si="3097"/>
        <v>0</v>
      </c>
      <c r="CU745" s="161">
        <f t="shared" si="3098"/>
        <v>0</v>
      </c>
      <c r="CV745" s="161">
        <f t="shared" si="3099"/>
        <v>0</v>
      </c>
      <c r="CW745" s="161">
        <f t="shared" si="3100"/>
        <v>0</v>
      </c>
      <c r="CX745" s="161">
        <f t="shared" si="3101"/>
        <v>0</v>
      </c>
      <c r="CY745" s="161">
        <f t="shared" si="3102"/>
        <v>0</v>
      </c>
      <c r="CZ745" s="161">
        <f t="shared" si="3103"/>
        <v>0</v>
      </c>
      <c r="DA745" s="161">
        <f t="shared" si="3104"/>
        <v>0</v>
      </c>
      <c r="DB745" s="161">
        <f t="shared" si="3105"/>
        <v>0</v>
      </c>
      <c r="DC745" s="161">
        <f t="shared" si="3106"/>
        <v>0</v>
      </c>
      <c r="DD745" s="161">
        <f t="shared" si="3107"/>
        <v>0</v>
      </c>
      <c r="DE745" s="161">
        <f t="shared" si="3108"/>
        <v>0</v>
      </c>
      <c r="DF745" s="161">
        <f t="shared" si="3109"/>
        <v>0</v>
      </c>
      <c r="DG745" s="161">
        <f t="shared" si="3110"/>
        <v>0</v>
      </c>
      <c r="DH745" s="161">
        <f t="shared" si="3111"/>
        <v>0</v>
      </c>
      <c r="DI745" s="161">
        <f t="shared" si="3112"/>
        <v>0</v>
      </c>
      <c r="DJ745" s="161">
        <f t="shared" si="3113"/>
        <v>0</v>
      </c>
      <c r="DK745" s="161">
        <f t="shared" si="3114"/>
        <v>0</v>
      </c>
      <c r="DL745" s="161">
        <f t="shared" si="3115"/>
        <v>0</v>
      </c>
      <c r="DM745" s="161">
        <f t="shared" si="3116"/>
        <v>0</v>
      </c>
      <c r="DN745" s="161">
        <f t="shared" si="3117"/>
        <v>0</v>
      </c>
      <c r="DO745" s="161">
        <f t="shared" si="3118"/>
        <v>0</v>
      </c>
      <c r="DP745" s="161">
        <f t="shared" si="3119"/>
        <v>0</v>
      </c>
      <c r="DQ745" s="161">
        <f t="shared" si="3120"/>
        <v>0</v>
      </c>
      <c r="DR745" s="161">
        <f t="shared" si="3121"/>
        <v>0</v>
      </c>
      <c r="DS745" s="161">
        <f t="shared" si="3122"/>
        <v>0</v>
      </c>
      <c r="DT745" s="161">
        <f t="shared" si="3123"/>
        <v>0</v>
      </c>
      <c r="DU745" s="161">
        <f t="shared" si="3124"/>
        <v>0</v>
      </c>
      <c r="DV745" s="161">
        <f t="shared" si="3125"/>
        <v>0</v>
      </c>
      <c r="DW745" s="161">
        <f t="shared" si="3126"/>
        <v>0</v>
      </c>
      <c r="DX745" s="161">
        <f t="shared" si="3127"/>
        <v>0</v>
      </c>
      <c r="DY745" s="161">
        <f t="shared" si="3128"/>
        <v>0</v>
      </c>
      <c r="DZ745" s="161">
        <f t="shared" si="3129"/>
        <v>0</v>
      </c>
      <c r="EA745" s="161">
        <f t="shared" si="3130"/>
        <v>0</v>
      </c>
      <c r="EB745" s="161">
        <f t="shared" si="3131"/>
        <v>0</v>
      </c>
      <c r="EC745" s="161">
        <f t="shared" si="3132"/>
        <v>0</v>
      </c>
      <c r="ED745" s="161">
        <f t="shared" si="3133"/>
        <v>0</v>
      </c>
      <c r="EE745" s="161">
        <f t="shared" si="3134"/>
        <v>0</v>
      </c>
      <c r="EF745" s="161">
        <f t="shared" si="3135"/>
        <v>0</v>
      </c>
      <c r="EG745" s="161">
        <f t="shared" si="3136"/>
        <v>0</v>
      </c>
      <c r="EH745" s="161">
        <f t="shared" si="3137"/>
        <v>0</v>
      </c>
      <c r="EI745" s="161">
        <f t="shared" si="3138"/>
        <v>0</v>
      </c>
    </row>
    <row r="746" spans="2:139" ht="12" hidden="1" customHeight="1" outlineLevel="1">
      <c r="B746" s="137" t="str">
        <f t="shared" si="3078"/>
        <v/>
      </c>
      <c r="C746" s="65"/>
      <c r="D746" s="65"/>
      <c r="E746" s="65"/>
      <c r="F746" s="164"/>
      <c r="G746" s="165"/>
      <c r="H746" s="166">
        <f t="shared" si="3139"/>
        <v>0</v>
      </c>
      <c r="I746" s="144">
        <f t="shared" si="3140"/>
        <v>0</v>
      </c>
      <c r="J746" s="65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  <c r="AB746" s="167"/>
      <c r="AC746" s="167"/>
      <c r="AD746" s="167"/>
      <c r="AE746" s="167"/>
      <c r="AF746" s="167"/>
      <c r="AG746" s="167"/>
      <c r="AH746" s="167"/>
      <c r="AI746" s="167"/>
      <c r="AJ746" s="167"/>
      <c r="AK746" s="167"/>
      <c r="AL746" s="167"/>
      <c r="AM746" s="167"/>
      <c r="AN746" s="167"/>
      <c r="AO746" s="167"/>
      <c r="AP746" s="167"/>
      <c r="AQ746" s="167"/>
      <c r="AR746" s="167"/>
      <c r="AS746" s="167"/>
      <c r="AT746" s="167"/>
      <c r="AU746" s="167"/>
      <c r="AV746" s="167"/>
      <c r="AW746" s="167"/>
      <c r="AX746" s="167"/>
      <c r="AY746" s="167"/>
      <c r="AZ746" s="167"/>
      <c r="BA746" s="167"/>
      <c r="BB746" s="167"/>
      <c r="BC746" s="167"/>
      <c r="BD746" s="167"/>
      <c r="BE746" s="167"/>
      <c r="BF746" s="167"/>
      <c r="BG746" s="167"/>
      <c r="BH746" s="167"/>
      <c r="BI746" s="167"/>
      <c r="BJ746" s="167"/>
      <c r="BK746" s="167"/>
      <c r="BL746" s="167"/>
      <c r="BM746" s="167"/>
      <c r="BN746" s="167"/>
      <c r="BO746" s="167"/>
      <c r="BP746" s="167"/>
      <c r="BQ746" s="167"/>
      <c r="BR746" s="167"/>
      <c r="BS746" s="65"/>
      <c r="BT746" s="160">
        <f t="shared" si="3141"/>
        <v>0</v>
      </c>
      <c r="BU746" s="160">
        <f t="shared" si="3142"/>
        <v>0</v>
      </c>
      <c r="BV746" s="65"/>
      <c r="BW746" s="69"/>
      <c r="BX746" s="65"/>
      <c r="BY746" s="137">
        <f t="shared" si="3143"/>
        <v>0</v>
      </c>
      <c r="BZ746" s="137">
        <f>IF(BY746&gt;0,BY746+LARGE($BZ$213:BZ745,1),0)</f>
        <v>0</v>
      </c>
      <c r="CA746" s="137">
        <f t="shared" si="3144"/>
        <v>0</v>
      </c>
      <c r="CB746" s="161">
        <f t="shared" si="3079"/>
        <v>0</v>
      </c>
      <c r="CC746" s="161">
        <f t="shared" si="3080"/>
        <v>0</v>
      </c>
      <c r="CD746" s="161">
        <f t="shared" si="3081"/>
        <v>0</v>
      </c>
      <c r="CE746" s="161">
        <f t="shared" si="3082"/>
        <v>0</v>
      </c>
      <c r="CF746" s="161">
        <f t="shared" si="3083"/>
        <v>0</v>
      </c>
      <c r="CG746" s="161">
        <f t="shared" si="3084"/>
        <v>0</v>
      </c>
      <c r="CH746" s="161">
        <f t="shared" si="3085"/>
        <v>0</v>
      </c>
      <c r="CI746" s="161">
        <f t="shared" si="3086"/>
        <v>0</v>
      </c>
      <c r="CJ746" s="161">
        <f t="shared" si="3087"/>
        <v>0</v>
      </c>
      <c r="CK746" s="161">
        <f t="shared" si="3088"/>
        <v>0</v>
      </c>
      <c r="CL746" s="161">
        <f t="shared" si="3089"/>
        <v>0</v>
      </c>
      <c r="CM746" s="161">
        <f t="shared" si="3090"/>
        <v>0</v>
      </c>
      <c r="CN746" s="161">
        <f t="shared" si="3091"/>
        <v>0</v>
      </c>
      <c r="CO746" s="161">
        <f t="shared" si="3092"/>
        <v>0</v>
      </c>
      <c r="CP746" s="161">
        <f t="shared" si="3093"/>
        <v>0</v>
      </c>
      <c r="CQ746" s="161">
        <f t="shared" si="3094"/>
        <v>0</v>
      </c>
      <c r="CR746" s="161">
        <f t="shared" si="3095"/>
        <v>0</v>
      </c>
      <c r="CS746" s="161">
        <f t="shared" si="3096"/>
        <v>0</v>
      </c>
      <c r="CT746" s="161">
        <f t="shared" si="3097"/>
        <v>0</v>
      </c>
      <c r="CU746" s="161">
        <f t="shared" si="3098"/>
        <v>0</v>
      </c>
      <c r="CV746" s="161">
        <f t="shared" si="3099"/>
        <v>0</v>
      </c>
      <c r="CW746" s="161">
        <f t="shared" si="3100"/>
        <v>0</v>
      </c>
      <c r="CX746" s="161">
        <f t="shared" si="3101"/>
        <v>0</v>
      </c>
      <c r="CY746" s="161">
        <f t="shared" si="3102"/>
        <v>0</v>
      </c>
      <c r="CZ746" s="161">
        <f t="shared" si="3103"/>
        <v>0</v>
      </c>
      <c r="DA746" s="161">
        <f t="shared" si="3104"/>
        <v>0</v>
      </c>
      <c r="DB746" s="161">
        <f t="shared" si="3105"/>
        <v>0</v>
      </c>
      <c r="DC746" s="161">
        <f t="shared" si="3106"/>
        <v>0</v>
      </c>
      <c r="DD746" s="161">
        <f t="shared" si="3107"/>
        <v>0</v>
      </c>
      <c r="DE746" s="161">
        <f t="shared" si="3108"/>
        <v>0</v>
      </c>
      <c r="DF746" s="161">
        <f t="shared" si="3109"/>
        <v>0</v>
      </c>
      <c r="DG746" s="161">
        <f t="shared" si="3110"/>
        <v>0</v>
      </c>
      <c r="DH746" s="161">
        <f t="shared" si="3111"/>
        <v>0</v>
      </c>
      <c r="DI746" s="161">
        <f t="shared" si="3112"/>
        <v>0</v>
      </c>
      <c r="DJ746" s="161">
        <f t="shared" si="3113"/>
        <v>0</v>
      </c>
      <c r="DK746" s="161">
        <f t="shared" si="3114"/>
        <v>0</v>
      </c>
      <c r="DL746" s="161">
        <f t="shared" si="3115"/>
        <v>0</v>
      </c>
      <c r="DM746" s="161">
        <f t="shared" si="3116"/>
        <v>0</v>
      </c>
      <c r="DN746" s="161">
        <f t="shared" si="3117"/>
        <v>0</v>
      </c>
      <c r="DO746" s="161">
        <f t="shared" si="3118"/>
        <v>0</v>
      </c>
      <c r="DP746" s="161">
        <f t="shared" si="3119"/>
        <v>0</v>
      </c>
      <c r="DQ746" s="161">
        <f t="shared" si="3120"/>
        <v>0</v>
      </c>
      <c r="DR746" s="161">
        <f t="shared" si="3121"/>
        <v>0</v>
      </c>
      <c r="DS746" s="161">
        <f t="shared" si="3122"/>
        <v>0</v>
      </c>
      <c r="DT746" s="161">
        <f t="shared" si="3123"/>
        <v>0</v>
      </c>
      <c r="DU746" s="161">
        <f t="shared" si="3124"/>
        <v>0</v>
      </c>
      <c r="DV746" s="161">
        <f t="shared" si="3125"/>
        <v>0</v>
      </c>
      <c r="DW746" s="161">
        <f t="shared" si="3126"/>
        <v>0</v>
      </c>
      <c r="DX746" s="161">
        <f t="shared" si="3127"/>
        <v>0</v>
      </c>
      <c r="DY746" s="161">
        <f t="shared" si="3128"/>
        <v>0</v>
      </c>
      <c r="DZ746" s="161">
        <f t="shared" si="3129"/>
        <v>0</v>
      </c>
      <c r="EA746" s="161">
        <f t="shared" si="3130"/>
        <v>0</v>
      </c>
      <c r="EB746" s="161">
        <f t="shared" si="3131"/>
        <v>0</v>
      </c>
      <c r="EC746" s="161">
        <f t="shared" si="3132"/>
        <v>0</v>
      </c>
      <c r="ED746" s="161">
        <f t="shared" si="3133"/>
        <v>0</v>
      </c>
      <c r="EE746" s="161">
        <f t="shared" si="3134"/>
        <v>0</v>
      </c>
      <c r="EF746" s="161">
        <f t="shared" si="3135"/>
        <v>0</v>
      </c>
      <c r="EG746" s="161">
        <f t="shared" si="3136"/>
        <v>0</v>
      </c>
      <c r="EH746" s="161">
        <f t="shared" si="3137"/>
        <v>0</v>
      </c>
      <c r="EI746" s="161">
        <f t="shared" si="3138"/>
        <v>0</v>
      </c>
    </row>
    <row r="747" spans="2:139" ht="12" hidden="1" customHeight="1" outlineLevel="1">
      <c r="B747" s="137" t="str">
        <f t="shared" si="3078"/>
        <v/>
      </c>
      <c r="C747" s="65"/>
      <c r="D747" s="65"/>
      <c r="E747" s="65"/>
      <c r="F747" s="164"/>
      <c r="G747" s="165"/>
      <c r="H747" s="166">
        <f t="shared" si="3139"/>
        <v>0</v>
      </c>
      <c r="I747" s="144">
        <f t="shared" si="3140"/>
        <v>0</v>
      </c>
      <c r="J747" s="65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  <c r="AB747" s="167"/>
      <c r="AC747" s="167"/>
      <c r="AD747" s="167"/>
      <c r="AE747" s="167"/>
      <c r="AF747" s="167"/>
      <c r="AG747" s="167"/>
      <c r="AH747" s="167"/>
      <c r="AI747" s="167"/>
      <c r="AJ747" s="167"/>
      <c r="AK747" s="167"/>
      <c r="AL747" s="167"/>
      <c r="AM747" s="167"/>
      <c r="AN747" s="167"/>
      <c r="AO747" s="167"/>
      <c r="AP747" s="167"/>
      <c r="AQ747" s="167"/>
      <c r="AR747" s="167"/>
      <c r="AS747" s="167"/>
      <c r="AT747" s="167"/>
      <c r="AU747" s="167"/>
      <c r="AV747" s="167"/>
      <c r="AW747" s="167"/>
      <c r="AX747" s="167"/>
      <c r="AY747" s="167"/>
      <c r="AZ747" s="167"/>
      <c r="BA747" s="167"/>
      <c r="BB747" s="167"/>
      <c r="BC747" s="167"/>
      <c r="BD747" s="167"/>
      <c r="BE747" s="167"/>
      <c r="BF747" s="167"/>
      <c r="BG747" s="167"/>
      <c r="BH747" s="167"/>
      <c r="BI747" s="167"/>
      <c r="BJ747" s="167"/>
      <c r="BK747" s="167"/>
      <c r="BL747" s="167"/>
      <c r="BM747" s="167"/>
      <c r="BN747" s="167"/>
      <c r="BO747" s="167"/>
      <c r="BP747" s="167"/>
      <c r="BQ747" s="167"/>
      <c r="BR747" s="167"/>
      <c r="BS747" s="65"/>
      <c r="BT747" s="160">
        <f t="shared" si="3141"/>
        <v>0</v>
      </c>
      <c r="BU747" s="160">
        <f t="shared" si="3142"/>
        <v>0</v>
      </c>
      <c r="BV747" s="65"/>
      <c r="BW747" s="69"/>
      <c r="BX747" s="65"/>
      <c r="BY747" s="137">
        <f t="shared" si="3143"/>
        <v>0</v>
      </c>
      <c r="BZ747" s="137">
        <f>IF(BY747&gt;0,BY747+LARGE($BZ$213:BZ746,1),0)</f>
        <v>0</v>
      </c>
      <c r="CA747" s="137">
        <f t="shared" si="3144"/>
        <v>0</v>
      </c>
      <c r="CB747" s="161">
        <f t="shared" si="3079"/>
        <v>0</v>
      </c>
      <c r="CC747" s="161">
        <f t="shared" si="3080"/>
        <v>0</v>
      </c>
      <c r="CD747" s="161">
        <f t="shared" si="3081"/>
        <v>0</v>
      </c>
      <c r="CE747" s="161">
        <f t="shared" si="3082"/>
        <v>0</v>
      </c>
      <c r="CF747" s="161">
        <f t="shared" si="3083"/>
        <v>0</v>
      </c>
      <c r="CG747" s="161">
        <f t="shared" si="3084"/>
        <v>0</v>
      </c>
      <c r="CH747" s="161">
        <f t="shared" si="3085"/>
        <v>0</v>
      </c>
      <c r="CI747" s="161">
        <f t="shared" si="3086"/>
        <v>0</v>
      </c>
      <c r="CJ747" s="161">
        <f t="shared" si="3087"/>
        <v>0</v>
      </c>
      <c r="CK747" s="161">
        <f t="shared" si="3088"/>
        <v>0</v>
      </c>
      <c r="CL747" s="161">
        <f t="shared" si="3089"/>
        <v>0</v>
      </c>
      <c r="CM747" s="161">
        <f t="shared" si="3090"/>
        <v>0</v>
      </c>
      <c r="CN747" s="161">
        <f t="shared" si="3091"/>
        <v>0</v>
      </c>
      <c r="CO747" s="161">
        <f t="shared" si="3092"/>
        <v>0</v>
      </c>
      <c r="CP747" s="161">
        <f t="shared" si="3093"/>
        <v>0</v>
      </c>
      <c r="CQ747" s="161">
        <f t="shared" si="3094"/>
        <v>0</v>
      </c>
      <c r="CR747" s="161">
        <f t="shared" si="3095"/>
        <v>0</v>
      </c>
      <c r="CS747" s="161">
        <f t="shared" si="3096"/>
        <v>0</v>
      </c>
      <c r="CT747" s="161">
        <f t="shared" si="3097"/>
        <v>0</v>
      </c>
      <c r="CU747" s="161">
        <f t="shared" si="3098"/>
        <v>0</v>
      </c>
      <c r="CV747" s="161">
        <f t="shared" si="3099"/>
        <v>0</v>
      </c>
      <c r="CW747" s="161">
        <f t="shared" si="3100"/>
        <v>0</v>
      </c>
      <c r="CX747" s="161">
        <f t="shared" si="3101"/>
        <v>0</v>
      </c>
      <c r="CY747" s="161">
        <f t="shared" si="3102"/>
        <v>0</v>
      </c>
      <c r="CZ747" s="161">
        <f t="shared" si="3103"/>
        <v>0</v>
      </c>
      <c r="DA747" s="161">
        <f t="shared" si="3104"/>
        <v>0</v>
      </c>
      <c r="DB747" s="161">
        <f t="shared" si="3105"/>
        <v>0</v>
      </c>
      <c r="DC747" s="161">
        <f t="shared" si="3106"/>
        <v>0</v>
      </c>
      <c r="DD747" s="161">
        <f t="shared" si="3107"/>
        <v>0</v>
      </c>
      <c r="DE747" s="161">
        <f t="shared" si="3108"/>
        <v>0</v>
      </c>
      <c r="DF747" s="161">
        <f t="shared" si="3109"/>
        <v>0</v>
      </c>
      <c r="DG747" s="161">
        <f t="shared" si="3110"/>
        <v>0</v>
      </c>
      <c r="DH747" s="161">
        <f t="shared" si="3111"/>
        <v>0</v>
      </c>
      <c r="DI747" s="161">
        <f t="shared" si="3112"/>
        <v>0</v>
      </c>
      <c r="DJ747" s="161">
        <f t="shared" si="3113"/>
        <v>0</v>
      </c>
      <c r="DK747" s="161">
        <f t="shared" si="3114"/>
        <v>0</v>
      </c>
      <c r="DL747" s="161">
        <f t="shared" si="3115"/>
        <v>0</v>
      </c>
      <c r="DM747" s="161">
        <f t="shared" si="3116"/>
        <v>0</v>
      </c>
      <c r="DN747" s="161">
        <f t="shared" si="3117"/>
        <v>0</v>
      </c>
      <c r="DO747" s="161">
        <f t="shared" si="3118"/>
        <v>0</v>
      </c>
      <c r="DP747" s="161">
        <f t="shared" si="3119"/>
        <v>0</v>
      </c>
      <c r="DQ747" s="161">
        <f t="shared" si="3120"/>
        <v>0</v>
      </c>
      <c r="DR747" s="161">
        <f t="shared" si="3121"/>
        <v>0</v>
      </c>
      <c r="DS747" s="161">
        <f t="shared" si="3122"/>
        <v>0</v>
      </c>
      <c r="DT747" s="161">
        <f t="shared" si="3123"/>
        <v>0</v>
      </c>
      <c r="DU747" s="161">
        <f t="shared" si="3124"/>
        <v>0</v>
      </c>
      <c r="DV747" s="161">
        <f t="shared" si="3125"/>
        <v>0</v>
      </c>
      <c r="DW747" s="161">
        <f t="shared" si="3126"/>
        <v>0</v>
      </c>
      <c r="DX747" s="161">
        <f t="shared" si="3127"/>
        <v>0</v>
      </c>
      <c r="DY747" s="161">
        <f t="shared" si="3128"/>
        <v>0</v>
      </c>
      <c r="DZ747" s="161">
        <f t="shared" si="3129"/>
        <v>0</v>
      </c>
      <c r="EA747" s="161">
        <f t="shared" si="3130"/>
        <v>0</v>
      </c>
      <c r="EB747" s="161">
        <f t="shared" si="3131"/>
        <v>0</v>
      </c>
      <c r="EC747" s="161">
        <f t="shared" si="3132"/>
        <v>0</v>
      </c>
      <c r="ED747" s="161">
        <f t="shared" si="3133"/>
        <v>0</v>
      </c>
      <c r="EE747" s="161">
        <f t="shared" si="3134"/>
        <v>0</v>
      </c>
      <c r="EF747" s="161">
        <f t="shared" si="3135"/>
        <v>0</v>
      </c>
      <c r="EG747" s="161">
        <f t="shared" si="3136"/>
        <v>0</v>
      </c>
      <c r="EH747" s="161">
        <f t="shared" si="3137"/>
        <v>0</v>
      </c>
      <c r="EI747" s="161">
        <f t="shared" si="3138"/>
        <v>0</v>
      </c>
    </row>
    <row r="748" spans="2:139" ht="24" customHeight="1">
      <c r="B748" s="65"/>
      <c r="C748" s="65"/>
      <c r="D748" s="65"/>
      <c r="E748" s="65"/>
      <c r="F748" s="596" t="s">
        <v>467</v>
      </c>
      <c r="G748" s="596"/>
      <c r="H748" s="596"/>
      <c r="I748" s="146">
        <f>MAX(K748:BR748)</f>
        <v>0</v>
      </c>
      <c r="J748" s="65"/>
      <c r="K748" s="168">
        <f>SUM(K698:K747)</f>
        <v>0</v>
      </c>
      <c r="L748" s="168">
        <f t="shared" ref="L748:N748" si="3145">SUM(L698:L747)</f>
        <v>0</v>
      </c>
      <c r="M748" s="168">
        <f t="shared" si="3145"/>
        <v>0</v>
      </c>
      <c r="N748" s="168">
        <f t="shared" si="3145"/>
        <v>0</v>
      </c>
      <c r="O748" s="168">
        <f t="shared" ref="O748:BR748" si="3146">SUM(O698:O747)</f>
        <v>0</v>
      </c>
      <c r="P748" s="168">
        <f t="shared" si="3146"/>
        <v>0</v>
      </c>
      <c r="Q748" s="168">
        <f t="shared" si="3146"/>
        <v>0</v>
      </c>
      <c r="R748" s="168">
        <f t="shared" si="3146"/>
        <v>0</v>
      </c>
      <c r="S748" s="168">
        <f t="shared" si="3146"/>
        <v>0</v>
      </c>
      <c r="T748" s="168">
        <f t="shared" si="3146"/>
        <v>0</v>
      </c>
      <c r="U748" s="168">
        <f t="shared" si="3146"/>
        <v>0</v>
      </c>
      <c r="V748" s="168">
        <f t="shared" si="3146"/>
        <v>0</v>
      </c>
      <c r="W748" s="168">
        <f t="shared" si="3146"/>
        <v>0</v>
      </c>
      <c r="X748" s="168">
        <f t="shared" si="3146"/>
        <v>0</v>
      </c>
      <c r="Y748" s="168">
        <f t="shared" si="3146"/>
        <v>0</v>
      </c>
      <c r="Z748" s="168">
        <f t="shared" si="3146"/>
        <v>0</v>
      </c>
      <c r="AA748" s="168">
        <f t="shared" si="3146"/>
        <v>0</v>
      </c>
      <c r="AB748" s="168">
        <f t="shared" si="3146"/>
        <v>0</v>
      </c>
      <c r="AC748" s="168">
        <f t="shared" si="3146"/>
        <v>0</v>
      </c>
      <c r="AD748" s="168">
        <f t="shared" si="3146"/>
        <v>0</v>
      </c>
      <c r="AE748" s="168">
        <f t="shared" si="3146"/>
        <v>0</v>
      </c>
      <c r="AF748" s="168">
        <f t="shared" si="3146"/>
        <v>0</v>
      </c>
      <c r="AG748" s="168">
        <f t="shared" si="3146"/>
        <v>0</v>
      </c>
      <c r="AH748" s="168">
        <f t="shared" si="3146"/>
        <v>0</v>
      </c>
      <c r="AI748" s="168">
        <f t="shared" si="3146"/>
        <v>0</v>
      </c>
      <c r="AJ748" s="168">
        <f t="shared" si="3146"/>
        <v>0</v>
      </c>
      <c r="AK748" s="168">
        <f t="shared" si="3146"/>
        <v>0</v>
      </c>
      <c r="AL748" s="168">
        <f t="shared" si="3146"/>
        <v>0</v>
      </c>
      <c r="AM748" s="168">
        <f t="shared" si="3146"/>
        <v>0</v>
      </c>
      <c r="AN748" s="168">
        <f t="shared" si="3146"/>
        <v>0</v>
      </c>
      <c r="AO748" s="168">
        <f t="shared" si="3146"/>
        <v>0</v>
      </c>
      <c r="AP748" s="168">
        <f t="shared" si="3146"/>
        <v>0</v>
      </c>
      <c r="AQ748" s="168">
        <f t="shared" si="3146"/>
        <v>0</v>
      </c>
      <c r="AR748" s="168">
        <f t="shared" si="3146"/>
        <v>0</v>
      </c>
      <c r="AS748" s="168">
        <f t="shared" si="3146"/>
        <v>0</v>
      </c>
      <c r="AT748" s="168">
        <f t="shared" si="3146"/>
        <v>0</v>
      </c>
      <c r="AU748" s="168">
        <f t="shared" si="3146"/>
        <v>0</v>
      </c>
      <c r="AV748" s="168">
        <f t="shared" si="3146"/>
        <v>0</v>
      </c>
      <c r="AW748" s="168">
        <f t="shared" si="3146"/>
        <v>0</v>
      </c>
      <c r="AX748" s="168">
        <f t="shared" si="3146"/>
        <v>0</v>
      </c>
      <c r="AY748" s="168">
        <f t="shared" si="3146"/>
        <v>0</v>
      </c>
      <c r="AZ748" s="168">
        <f t="shared" si="3146"/>
        <v>0</v>
      </c>
      <c r="BA748" s="168">
        <f t="shared" si="3146"/>
        <v>0</v>
      </c>
      <c r="BB748" s="168">
        <f t="shared" si="3146"/>
        <v>0</v>
      </c>
      <c r="BC748" s="168">
        <f t="shared" si="3146"/>
        <v>0</v>
      </c>
      <c r="BD748" s="168">
        <f t="shared" si="3146"/>
        <v>0</v>
      </c>
      <c r="BE748" s="168">
        <f t="shared" si="3146"/>
        <v>0</v>
      </c>
      <c r="BF748" s="168">
        <f t="shared" si="3146"/>
        <v>0</v>
      </c>
      <c r="BG748" s="168">
        <f t="shared" si="3146"/>
        <v>0</v>
      </c>
      <c r="BH748" s="168">
        <f t="shared" si="3146"/>
        <v>0</v>
      </c>
      <c r="BI748" s="168">
        <f t="shared" si="3146"/>
        <v>0</v>
      </c>
      <c r="BJ748" s="168">
        <f t="shared" si="3146"/>
        <v>0</v>
      </c>
      <c r="BK748" s="168">
        <f t="shared" si="3146"/>
        <v>0</v>
      </c>
      <c r="BL748" s="168">
        <f t="shared" si="3146"/>
        <v>0</v>
      </c>
      <c r="BM748" s="168">
        <f t="shared" si="3146"/>
        <v>0</v>
      </c>
      <c r="BN748" s="168">
        <f t="shared" si="3146"/>
        <v>0</v>
      </c>
      <c r="BO748" s="168">
        <f t="shared" si="3146"/>
        <v>0</v>
      </c>
      <c r="BP748" s="168">
        <f t="shared" si="3146"/>
        <v>0</v>
      </c>
      <c r="BQ748" s="168">
        <f t="shared" si="3146"/>
        <v>0</v>
      </c>
      <c r="BR748" s="168">
        <f t="shared" si="3146"/>
        <v>0</v>
      </c>
      <c r="BS748" s="65"/>
      <c r="BT748" s="65"/>
      <c r="BU748" s="65"/>
      <c r="BV748" s="65"/>
      <c r="BW748" s="69"/>
      <c r="BX748" s="65"/>
      <c r="BY748" s="65"/>
      <c r="BZ748" s="65"/>
      <c r="CA748" s="65"/>
      <c r="CB748" s="65"/>
      <c r="CC748" s="65"/>
      <c r="CD748" s="65"/>
      <c r="CE748" s="65"/>
      <c r="CF748" s="65"/>
      <c r="CG748" s="65"/>
      <c r="CH748" s="65"/>
      <c r="CI748" s="65"/>
      <c r="CJ748" s="65"/>
      <c r="CK748" s="65"/>
      <c r="CL748" s="65"/>
      <c r="CM748" s="65"/>
      <c r="CN748" s="65"/>
      <c r="CO748" s="65"/>
      <c r="CP748" s="65"/>
      <c r="CQ748" s="65"/>
      <c r="CR748" s="65"/>
      <c r="CS748" s="65"/>
      <c r="CT748" s="65"/>
      <c r="CU748" s="65"/>
      <c r="CV748" s="65"/>
      <c r="CW748" s="65"/>
      <c r="CX748" s="65"/>
      <c r="CY748" s="65"/>
      <c r="CZ748" s="65"/>
      <c r="DA748" s="65"/>
      <c r="DB748" s="65"/>
      <c r="DC748" s="65"/>
      <c r="DD748" s="65"/>
      <c r="DE748" s="65"/>
      <c r="DF748" s="65"/>
      <c r="DG748" s="65"/>
      <c r="DH748" s="65"/>
      <c r="DI748" s="65"/>
      <c r="DJ748" s="65"/>
      <c r="DK748" s="65"/>
      <c r="DL748" s="65"/>
      <c r="DM748" s="65"/>
      <c r="DN748" s="65"/>
      <c r="DO748" s="65"/>
      <c r="DP748" s="65"/>
      <c r="DQ748" s="65"/>
      <c r="DR748" s="65"/>
      <c r="DS748" s="65"/>
      <c r="DT748" s="65"/>
      <c r="DU748" s="65"/>
      <c r="DV748" s="65"/>
      <c r="DW748" s="65"/>
      <c r="DX748" s="65"/>
      <c r="DY748" s="65"/>
      <c r="DZ748" s="65"/>
      <c r="EA748" s="65"/>
      <c r="EB748" s="65"/>
      <c r="EC748" s="65"/>
      <c r="ED748" s="65"/>
      <c r="EE748" s="65"/>
      <c r="EF748" s="65"/>
      <c r="EG748" s="65"/>
      <c r="EH748" s="65"/>
      <c r="EI748" s="65"/>
    </row>
    <row r="749" spans="2:139" ht="24" customHeight="1">
      <c r="B749" s="65"/>
      <c r="C749" s="65"/>
      <c r="D749" s="65"/>
      <c r="E749" s="65"/>
      <c r="F749" s="597" t="s">
        <v>468</v>
      </c>
      <c r="G749" s="598"/>
      <c r="H749" s="598"/>
      <c r="I749" s="599"/>
      <c r="J749" s="65"/>
      <c r="K749" s="168">
        <f>K748</f>
        <v>0</v>
      </c>
      <c r="L749" s="168">
        <f>IF(L748&gt;0,L748+LARGE($K749:K749,1),0)</f>
        <v>0</v>
      </c>
      <c r="M749" s="168">
        <f>IF(M748&gt;0,M748+LARGE($K749:L749,1),0)</f>
        <v>0</v>
      </c>
      <c r="N749" s="168">
        <f>IF(N748&gt;0,N748+LARGE($K749:M749,1),0)</f>
        <v>0</v>
      </c>
      <c r="O749" s="168">
        <f>IF(O748&gt;0,O748+LARGE($K749:N749,1),0)</f>
        <v>0</v>
      </c>
      <c r="P749" s="168">
        <f>IF(P748&gt;0,P748+LARGE($K749:O749,1),0)</f>
        <v>0</v>
      </c>
      <c r="Q749" s="168">
        <f>IF(Q748&gt;0,Q748+LARGE($K749:P749,1),0)</f>
        <v>0</v>
      </c>
      <c r="R749" s="168">
        <f>IF(R748&gt;0,R748+LARGE($K749:Q749,1),0)</f>
        <v>0</v>
      </c>
      <c r="S749" s="168">
        <f>IF(S748&gt;0,S748+LARGE($K749:R749,1),0)</f>
        <v>0</v>
      </c>
      <c r="T749" s="168">
        <f>IF(T748&gt;0,T748+LARGE($K749:S749,1),0)</f>
        <v>0</v>
      </c>
      <c r="U749" s="168">
        <f>IF(U748&gt;0,U748+LARGE($K749:T749,1),0)</f>
        <v>0</v>
      </c>
      <c r="V749" s="168">
        <f>IF(V748&gt;0,V748+LARGE($K749:U749,1),0)</f>
        <v>0</v>
      </c>
      <c r="W749" s="168">
        <f>IF(W748&gt;0,W748+LARGE($K749:V749,1),0)</f>
        <v>0</v>
      </c>
      <c r="X749" s="168">
        <f>IF(X748&gt;0,X748+LARGE($K749:W749,1),0)</f>
        <v>0</v>
      </c>
      <c r="Y749" s="168">
        <f>IF(Y748&gt;0,Y748+LARGE($K749:X749,1),0)</f>
        <v>0</v>
      </c>
      <c r="Z749" s="168">
        <f>IF(Z748&gt;0,Z748+LARGE($K749:Y749,1),0)</f>
        <v>0</v>
      </c>
      <c r="AA749" s="168">
        <f>IF(AA748&gt;0,AA748+LARGE($K749:Z749,1),0)</f>
        <v>0</v>
      </c>
      <c r="AB749" s="168">
        <f>IF(AB748&gt;0,AB748+LARGE($K749:AA749,1),0)</f>
        <v>0</v>
      </c>
      <c r="AC749" s="168">
        <f>IF(AC748&gt;0,AC748+LARGE($K749:AB749,1),0)</f>
        <v>0</v>
      </c>
      <c r="AD749" s="168">
        <f>IF(AD748&gt;0,AD748+LARGE($K749:AC749,1),0)</f>
        <v>0</v>
      </c>
      <c r="AE749" s="168">
        <f>IF(AE748&gt;0,AE748+LARGE($K749:AD749,1),0)</f>
        <v>0</v>
      </c>
      <c r="AF749" s="168">
        <f>IF(AF748&gt;0,AF748+LARGE($K749:AE749,1),0)</f>
        <v>0</v>
      </c>
      <c r="AG749" s="168">
        <f>IF(AG748&gt;0,AG748+LARGE($K749:AF749,1),0)</f>
        <v>0</v>
      </c>
      <c r="AH749" s="168">
        <f>IF(AH748&gt;0,AH748+LARGE($K749:AG749,1),0)</f>
        <v>0</v>
      </c>
      <c r="AI749" s="168">
        <f>IF(AI748&gt;0,AI748+LARGE($K749:AH749,1),0)</f>
        <v>0</v>
      </c>
      <c r="AJ749" s="168">
        <f>IF(AJ748&gt;0,AJ748+LARGE($K749:AI749,1),0)</f>
        <v>0</v>
      </c>
      <c r="AK749" s="168">
        <f>IF(AK748&gt;0,AK748+LARGE($K749:AJ749,1),0)</f>
        <v>0</v>
      </c>
      <c r="AL749" s="168">
        <f>IF(AL748&gt;0,AL748+LARGE($K749:AK749,1),0)</f>
        <v>0</v>
      </c>
      <c r="AM749" s="168">
        <f>IF(AM748&gt;0,AM748+LARGE($K749:AL749,1),0)</f>
        <v>0</v>
      </c>
      <c r="AN749" s="168">
        <f>IF(AN748&gt;0,AN748+LARGE($K749:AM749,1),0)</f>
        <v>0</v>
      </c>
      <c r="AO749" s="168">
        <f>IF(AO748&gt;0,AO748+LARGE($K749:AN749,1),0)</f>
        <v>0</v>
      </c>
      <c r="AP749" s="168">
        <f>IF(AP748&gt;0,AP748+LARGE($K749:AO749,1),0)</f>
        <v>0</v>
      </c>
      <c r="AQ749" s="168">
        <f>IF(AQ748&gt;0,AQ748+LARGE($K749:AP749,1),0)</f>
        <v>0</v>
      </c>
      <c r="AR749" s="168">
        <f>IF(AR748&gt;0,AR748+LARGE($K749:AQ749,1),0)</f>
        <v>0</v>
      </c>
      <c r="AS749" s="168">
        <f>IF(AS748&gt;0,AS748+LARGE($K749:AR749,1),0)</f>
        <v>0</v>
      </c>
      <c r="AT749" s="168">
        <f>IF(AT748&gt;0,AT748+LARGE($K749:AS749,1),0)</f>
        <v>0</v>
      </c>
      <c r="AU749" s="168">
        <f>IF(AU748&gt;0,AU748+LARGE($K749:AT749,1),0)</f>
        <v>0</v>
      </c>
      <c r="AV749" s="168">
        <f>IF(AV748&gt;0,AV748+LARGE($K749:AU749,1),0)</f>
        <v>0</v>
      </c>
      <c r="AW749" s="168">
        <f>IF(AW748&gt;0,AW748+LARGE($K749:AV749,1),0)</f>
        <v>0</v>
      </c>
      <c r="AX749" s="168">
        <f>IF(AX748&gt;0,AX748+LARGE($K749:AW749,1),0)</f>
        <v>0</v>
      </c>
      <c r="AY749" s="168">
        <f>IF(AY748&gt;0,AY748+LARGE($K749:AX749,1),0)</f>
        <v>0</v>
      </c>
      <c r="AZ749" s="168">
        <f>IF(AZ748&gt;0,AZ748+LARGE($K749:AY749,1),0)</f>
        <v>0</v>
      </c>
      <c r="BA749" s="168">
        <f>IF(BA748&gt;0,BA748+LARGE($K749:AZ749,1),0)</f>
        <v>0</v>
      </c>
      <c r="BB749" s="168">
        <f>IF(BB748&gt;0,BB748+LARGE($K749:BA749,1),0)</f>
        <v>0</v>
      </c>
      <c r="BC749" s="168">
        <f>IF(BC748&gt;0,BC748+LARGE($K749:BB749,1),0)</f>
        <v>0</v>
      </c>
      <c r="BD749" s="168">
        <f>IF(BD748&gt;0,BD748+LARGE($K749:BC749,1),0)</f>
        <v>0</v>
      </c>
      <c r="BE749" s="168">
        <f>IF(BE748&gt;0,BE748+LARGE($K749:BD749,1),0)</f>
        <v>0</v>
      </c>
      <c r="BF749" s="168">
        <f>IF(BF748&gt;0,BF748+LARGE($K749:BE749,1),0)</f>
        <v>0</v>
      </c>
      <c r="BG749" s="168">
        <f>IF(BG748&gt;0,BG748+LARGE($K749:BF749,1),0)</f>
        <v>0</v>
      </c>
      <c r="BH749" s="168">
        <f>IF(BH748&gt;0,BH748+LARGE($K749:BG749,1),0)</f>
        <v>0</v>
      </c>
      <c r="BI749" s="168">
        <f>IF(BI748&gt;0,BI748+LARGE($K749:BH749,1),0)</f>
        <v>0</v>
      </c>
      <c r="BJ749" s="168">
        <f>IF(BJ748&gt;0,BJ748+LARGE($K749:BI749,1),0)</f>
        <v>0</v>
      </c>
      <c r="BK749" s="168">
        <f>IF(BK748&gt;0,BK748+LARGE($K749:BJ749,1),0)</f>
        <v>0</v>
      </c>
      <c r="BL749" s="168">
        <f>IF(BL748&gt;0,BL748+LARGE($K749:BK749,1),0)</f>
        <v>0</v>
      </c>
      <c r="BM749" s="168">
        <f>IF(BM748&gt;0,BM748+LARGE($K749:BL749,1),0)</f>
        <v>0</v>
      </c>
      <c r="BN749" s="168">
        <f>IF(BN748&gt;0,BN748+LARGE($K749:BM749,1),0)</f>
        <v>0</v>
      </c>
      <c r="BO749" s="168">
        <f>IF(BO748&gt;0,BO748+LARGE($K749:BN749,1),0)</f>
        <v>0</v>
      </c>
      <c r="BP749" s="168">
        <f>IF(BP748&gt;0,BP748+LARGE($K749:BO749,1),0)</f>
        <v>0</v>
      </c>
      <c r="BQ749" s="168">
        <f>IF(BQ748&gt;0,BQ748+LARGE($K749:BP749,1),0)</f>
        <v>0</v>
      </c>
      <c r="BR749" s="168">
        <f>IF(BR748&gt;0,BR748+LARGE($K749:BQ749,1),0)</f>
        <v>0</v>
      </c>
      <c r="BS749" s="65"/>
      <c r="BT749" s="65"/>
      <c r="BU749" s="65"/>
      <c r="BV749" s="65"/>
      <c r="BW749" s="69"/>
      <c r="BX749" s="65"/>
      <c r="BY749" s="65"/>
      <c r="BZ749" s="65"/>
      <c r="CA749" s="65"/>
      <c r="CB749" s="65"/>
      <c r="CC749" s="65"/>
      <c r="CD749" s="65"/>
      <c r="CE749" s="65"/>
      <c r="CF749" s="65"/>
      <c r="CG749" s="65"/>
      <c r="CH749" s="65"/>
      <c r="CI749" s="65"/>
      <c r="CJ749" s="65"/>
      <c r="CK749" s="65"/>
      <c r="CL749" s="65"/>
      <c r="CM749" s="65"/>
      <c r="CN749" s="65"/>
      <c r="CO749" s="65"/>
      <c r="CP749" s="65"/>
      <c r="CQ749" s="65"/>
      <c r="CR749" s="65"/>
      <c r="CS749" s="65"/>
      <c r="CT749" s="65"/>
      <c r="CU749" s="65"/>
      <c r="CV749" s="65"/>
      <c r="CW749" s="65"/>
      <c r="CX749" s="65"/>
      <c r="CY749" s="65"/>
      <c r="CZ749" s="65"/>
      <c r="DA749" s="65"/>
      <c r="DB749" s="65"/>
      <c r="DC749" s="65"/>
      <c r="DD749" s="65"/>
      <c r="DE749" s="65"/>
      <c r="DF749" s="65"/>
      <c r="DG749" s="65"/>
      <c r="DH749" s="65"/>
      <c r="DI749" s="65"/>
      <c r="DJ749" s="65"/>
      <c r="DK749" s="65"/>
      <c r="DL749" s="65"/>
      <c r="DM749" s="65"/>
      <c r="DN749" s="65"/>
      <c r="DO749" s="65"/>
      <c r="DP749" s="65"/>
      <c r="DQ749" s="65"/>
      <c r="DR749" s="65"/>
      <c r="DS749" s="65"/>
      <c r="DT749" s="65"/>
      <c r="DU749" s="65"/>
      <c r="DV749" s="65"/>
      <c r="DW749" s="65"/>
      <c r="DX749" s="65"/>
      <c r="DY749" s="65"/>
      <c r="DZ749" s="65"/>
      <c r="EA749" s="65"/>
      <c r="EB749" s="65"/>
      <c r="EC749" s="65"/>
      <c r="ED749" s="65"/>
      <c r="EE749" s="65"/>
      <c r="EF749" s="65"/>
      <c r="EG749" s="65"/>
      <c r="EH749" s="65"/>
      <c r="EI749" s="65"/>
    </row>
    <row r="754" spans="2:139" ht="24" customHeight="1">
      <c r="B754" s="594" t="s">
        <v>395</v>
      </c>
      <c r="C754" s="65"/>
      <c r="D754" s="608" t="s">
        <v>469</v>
      </c>
      <c r="E754" s="65"/>
      <c r="F754" s="600" t="s">
        <v>127</v>
      </c>
      <c r="G754" s="600"/>
      <c r="H754" s="600"/>
      <c r="I754" s="600"/>
      <c r="J754" s="65"/>
      <c r="K754" s="468" t="s">
        <v>355</v>
      </c>
      <c r="L754" s="468"/>
      <c r="M754" s="468"/>
      <c r="N754" s="468"/>
      <c r="O754" s="468"/>
      <c r="P754" s="468"/>
      <c r="Q754" s="468"/>
      <c r="R754" s="468"/>
      <c r="S754" s="468"/>
      <c r="T754" s="468"/>
      <c r="U754" s="468"/>
      <c r="V754" s="468"/>
      <c r="W754" s="468" t="s">
        <v>356</v>
      </c>
      <c r="X754" s="468"/>
      <c r="Y754" s="468"/>
      <c r="Z754" s="468"/>
      <c r="AA754" s="468"/>
      <c r="AB754" s="468"/>
      <c r="AC754" s="468"/>
      <c r="AD754" s="468"/>
      <c r="AE754" s="468"/>
      <c r="AF754" s="468"/>
      <c r="AG754" s="468"/>
      <c r="AH754" s="468"/>
      <c r="AI754" s="468" t="s">
        <v>357</v>
      </c>
      <c r="AJ754" s="468"/>
      <c r="AK754" s="468"/>
      <c r="AL754" s="468"/>
      <c r="AM754" s="468"/>
      <c r="AN754" s="468"/>
      <c r="AO754" s="468"/>
      <c r="AP754" s="468"/>
      <c r="AQ754" s="468"/>
      <c r="AR754" s="468"/>
      <c r="AS754" s="468"/>
      <c r="AT754" s="468"/>
      <c r="AU754" s="468" t="s">
        <v>358</v>
      </c>
      <c r="AV754" s="468"/>
      <c r="AW754" s="468"/>
      <c r="AX754" s="468"/>
      <c r="AY754" s="468"/>
      <c r="AZ754" s="468"/>
      <c r="BA754" s="468"/>
      <c r="BB754" s="468"/>
      <c r="BC754" s="468"/>
      <c r="BD754" s="468"/>
      <c r="BE754" s="468"/>
      <c r="BF754" s="468"/>
      <c r="BG754" s="468" t="s">
        <v>359</v>
      </c>
      <c r="BH754" s="468"/>
      <c r="BI754" s="468"/>
      <c r="BJ754" s="468"/>
      <c r="BK754" s="468"/>
      <c r="BL754" s="468"/>
      <c r="BM754" s="468"/>
      <c r="BN754" s="468"/>
      <c r="BO754" s="468"/>
      <c r="BP754" s="468"/>
      <c r="BQ754" s="468"/>
      <c r="BR754" s="468"/>
      <c r="BS754" s="65"/>
      <c r="BT754" s="65"/>
      <c r="BU754" s="65"/>
      <c r="BV754" s="65"/>
      <c r="BW754" s="69"/>
      <c r="BX754" s="65"/>
      <c r="BY754" s="593" t="s">
        <v>398</v>
      </c>
      <c r="BZ754" s="593" t="s">
        <v>399</v>
      </c>
      <c r="CA754" s="593" t="s">
        <v>400</v>
      </c>
      <c r="CB754" s="592" t="s">
        <v>401</v>
      </c>
      <c r="CC754" s="592" t="s">
        <v>402</v>
      </c>
      <c r="CD754" s="592" t="s">
        <v>403</v>
      </c>
      <c r="CE754" s="592" t="s">
        <v>404</v>
      </c>
      <c r="CF754" s="592" t="s">
        <v>405</v>
      </c>
      <c r="CG754" s="592" t="s">
        <v>406</v>
      </c>
      <c r="CH754" s="592" t="s">
        <v>407</v>
      </c>
      <c r="CI754" s="592" t="s">
        <v>408</v>
      </c>
      <c r="CJ754" s="592" t="s">
        <v>409</v>
      </c>
      <c r="CK754" s="592" t="s">
        <v>410</v>
      </c>
      <c r="CL754" s="592" t="s">
        <v>411</v>
      </c>
      <c r="CM754" s="592" t="s">
        <v>412</v>
      </c>
      <c r="CN754" s="592" t="s">
        <v>413</v>
      </c>
      <c r="CO754" s="592" t="s">
        <v>414</v>
      </c>
      <c r="CP754" s="592" t="s">
        <v>415</v>
      </c>
      <c r="CQ754" s="592" t="s">
        <v>416</v>
      </c>
      <c r="CR754" s="592" t="s">
        <v>417</v>
      </c>
      <c r="CS754" s="592" t="s">
        <v>418</v>
      </c>
      <c r="CT754" s="592" t="s">
        <v>419</v>
      </c>
      <c r="CU754" s="592" t="s">
        <v>420</v>
      </c>
      <c r="CV754" s="592" t="s">
        <v>421</v>
      </c>
      <c r="CW754" s="592" t="s">
        <v>422</v>
      </c>
      <c r="CX754" s="592" t="s">
        <v>423</v>
      </c>
      <c r="CY754" s="592" t="s">
        <v>424</v>
      </c>
      <c r="CZ754" s="592" t="s">
        <v>425</v>
      </c>
      <c r="DA754" s="592" t="s">
        <v>426</v>
      </c>
      <c r="DB754" s="592" t="s">
        <v>427</v>
      </c>
      <c r="DC754" s="592" t="s">
        <v>428</v>
      </c>
      <c r="DD754" s="592" t="s">
        <v>429</v>
      </c>
      <c r="DE754" s="592" t="s">
        <v>430</v>
      </c>
      <c r="DF754" s="592" t="s">
        <v>431</v>
      </c>
      <c r="DG754" s="592" t="s">
        <v>432</v>
      </c>
      <c r="DH754" s="592" t="s">
        <v>433</v>
      </c>
      <c r="DI754" s="592" t="s">
        <v>434</v>
      </c>
      <c r="DJ754" s="592" t="s">
        <v>435</v>
      </c>
      <c r="DK754" s="592" t="s">
        <v>436</v>
      </c>
      <c r="DL754" s="592" t="s">
        <v>437</v>
      </c>
      <c r="DM754" s="592" t="s">
        <v>438</v>
      </c>
      <c r="DN754" s="592" t="s">
        <v>439</v>
      </c>
      <c r="DO754" s="592" t="s">
        <v>440</v>
      </c>
      <c r="DP754" s="592" t="s">
        <v>441</v>
      </c>
      <c r="DQ754" s="592" t="s">
        <v>442</v>
      </c>
      <c r="DR754" s="592" t="s">
        <v>443</v>
      </c>
      <c r="DS754" s="592" t="s">
        <v>444</v>
      </c>
      <c r="DT754" s="592" t="s">
        <v>445</v>
      </c>
      <c r="DU754" s="592" t="s">
        <v>446</v>
      </c>
      <c r="DV754" s="592" t="s">
        <v>447</v>
      </c>
      <c r="DW754" s="592" t="s">
        <v>448</v>
      </c>
      <c r="DX754" s="592" t="s">
        <v>449</v>
      </c>
      <c r="DY754" s="592" t="s">
        <v>450</v>
      </c>
      <c r="DZ754" s="592" t="s">
        <v>451</v>
      </c>
      <c r="EA754" s="592" t="s">
        <v>452</v>
      </c>
      <c r="EB754" s="592" t="s">
        <v>453</v>
      </c>
      <c r="EC754" s="592" t="s">
        <v>454</v>
      </c>
      <c r="ED754" s="592" t="s">
        <v>455</v>
      </c>
      <c r="EE754" s="592" t="s">
        <v>456</v>
      </c>
      <c r="EF754" s="592" t="s">
        <v>457</v>
      </c>
      <c r="EG754" s="592" t="s">
        <v>458</v>
      </c>
      <c r="EH754" s="592" t="s">
        <v>459</v>
      </c>
      <c r="EI754" s="592" t="s">
        <v>460</v>
      </c>
    </row>
    <row r="755" spans="2:139" ht="24" customHeight="1">
      <c r="B755" s="595"/>
      <c r="C755" s="65"/>
      <c r="D755" s="609"/>
      <c r="E755" s="65"/>
      <c r="F755" s="1" t="s">
        <v>462</v>
      </c>
      <c r="G755" s="2"/>
      <c r="H755" s="142" t="s">
        <v>396</v>
      </c>
      <c r="I755" s="142" t="s">
        <v>466</v>
      </c>
      <c r="J755" s="65"/>
      <c r="K755" s="469">
        <v>1</v>
      </c>
      <c r="L755" s="469">
        <v>2</v>
      </c>
      <c r="M755" s="469">
        <v>3</v>
      </c>
      <c r="N755" s="469">
        <v>4</v>
      </c>
      <c r="O755" s="469">
        <v>5</v>
      </c>
      <c r="P755" s="469">
        <v>6</v>
      </c>
      <c r="Q755" s="469">
        <v>7</v>
      </c>
      <c r="R755" s="469">
        <v>8</v>
      </c>
      <c r="S755" s="469">
        <v>9</v>
      </c>
      <c r="T755" s="469">
        <v>10</v>
      </c>
      <c r="U755" s="469">
        <v>11</v>
      </c>
      <c r="V755" s="469">
        <v>12</v>
      </c>
      <c r="W755" s="469">
        <v>13</v>
      </c>
      <c r="X755" s="469">
        <v>14</v>
      </c>
      <c r="Y755" s="469">
        <v>15</v>
      </c>
      <c r="Z755" s="469">
        <v>16</v>
      </c>
      <c r="AA755" s="469">
        <v>17</v>
      </c>
      <c r="AB755" s="469">
        <v>18</v>
      </c>
      <c r="AC755" s="469">
        <v>19</v>
      </c>
      <c r="AD755" s="469">
        <v>20</v>
      </c>
      <c r="AE755" s="469">
        <v>21</v>
      </c>
      <c r="AF755" s="469">
        <v>22</v>
      </c>
      <c r="AG755" s="469">
        <v>23</v>
      </c>
      <c r="AH755" s="469">
        <v>24</v>
      </c>
      <c r="AI755" s="469">
        <v>25</v>
      </c>
      <c r="AJ755" s="469">
        <v>26</v>
      </c>
      <c r="AK755" s="469">
        <v>27</v>
      </c>
      <c r="AL755" s="469">
        <v>28</v>
      </c>
      <c r="AM755" s="469">
        <v>29</v>
      </c>
      <c r="AN755" s="469">
        <v>30</v>
      </c>
      <c r="AO755" s="469">
        <v>31</v>
      </c>
      <c r="AP755" s="469">
        <v>32</v>
      </c>
      <c r="AQ755" s="469">
        <v>33</v>
      </c>
      <c r="AR755" s="469">
        <v>34</v>
      </c>
      <c r="AS755" s="469">
        <v>35</v>
      </c>
      <c r="AT755" s="469">
        <v>36</v>
      </c>
      <c r="AU755" s="469">
        <v>37</v>
      </c>
      <c r="AV755" s="469">
        <v>38</v>
      </c>
      <c r="AW755" s="469">
        <v>39</v>
      </c>
      <c r="AX755" s="469">
        <v>40</v>
      </c>
      <c r="AY755" s="469">
        <v>41</v>
      </c>
      <c r="AZ755" s="469">
        <v>42</v>
      </c>
      <c r="BA755" s="469">
        <v>43</v>
      </c>
      <c r="BB755" s="469">
        <v>44</v>
      </c>
      <c r="BC755" s="469">
        <v>45</v>
      </c>
      <c r="BD755" s="469">
        <v>46</v>
      </c>
      <c r="BE755" s="469">
        <v>47</v>
      </c>
      <c r="BF755" s="469">
        <v>48</v>
      </c>
      <c r="BG755" s="469">
        <v>49</v>
      </c>
      <c r="BH755" s="469">
        <v>50</v>
      </c>
      <c r="BI755" s="469">
        <v>51</v>
      </c>
      <c r="BJ755" s="469">
        <v>52</v>
      </c>
      <c r="BK755" s="469">
        <v>53</v>
      </c>
      <c r="BL755" s="469">
        <v>54</v>
      </c>
      <c r="BM755" s="469">
        <v>55</v>
      </c>
      <c r="BN755" s="469">
        <v>56</v>
      </c>
      <c r="BO755" s="469">
        <v>57</v>
      </c>
      <c r="BP755" s="469">
        <v>58</v>
      </c>
      <c r="BQ755" s="469">
        <v>59</v>
      </c>
      <c r="BR755" s="469">
        <v>60</v>
      </c>
      <c r="BS755" s="65"/>
      <c r="BT755" s="65"/>
      <c r="BU755" s="65"/>
      <c r="BV755" s="65"/>
      <c r="BW755" s="69"/>
      <c r="BX755" s="65"/>
      <c r="BY755" s="593"/>
      <c r="BZ755" s="593"/>
      <c r="CA755" s="593"/>
      <c r="CB755" s="592"/>
      <c r="CC755" s="592"/>
      <c r="CD755" s="592"/>
      <c r="CE755" s="592"/>
      <c r="CF755" s="592"/>
      <c r="CG755" s="592"/>
      <c r="CH755" s="592"/>
      <c r="CI755" s="592"/>
      <c r="CJ755" s="592"/>
      <c r="CK755" s="592"/>
      <c r="CL755" s="592"/>
      <c r="CM755" s="592"/>
      <c r="CN755" s="592"/>
      <c r="CO755" s="592"/>
      <c r="CP755" s="592"/>
      <c r="CQ755" s="592"/>
      <c r="CR755" s="592"/>
      <c r="CS755" s="592"/>
      <c r="CT755" s="592"/>
      <c r="CU755" s="592"/>
      <c r="CV755" s="592"/>
      <c r="CW755" s="592"/>
      <c r="CX755" s="592"/>
      <c r="CY755" s="592"/>
      <c r="CZ755" s="592"/>
      <c r="DA755" s="592"/>
      <c r="DB755" s="592"/>
      <c r="DC755" s="592"/>
      <c r="DD755" s="592"/>
      <c r="DE755" s="592"/>
      <c r="DF755" s="592"/>
      <c r="DG755" s="592"/>
      <c r="DH755" s="592"/>
      <c r="DI755" s="592"/>
      <c r="DJ755" s="592"/>
      <c r="DK755" s="592"/>
      <c r="DL755" s="592"/>
      <c r="DM755" s="592"/>
      <c r="DN755" s="592"/>
      <c r="DO755" s="592"/>
      <c r="DP755" s="592"/>
      <c r="DQ755" s="592"/>
      <c r="DR755" s="592"/>
      <c r="DS755" s="592"/>
      <c r="DT755" s="592"/>
      <c r="DU755" s="592"/>
      <c r="DV755" s="592"/>
      <c r="DW755" s="592"/>
      <c r="DX755" s="592"/>
      <c r="DY755" s="592"/>
      <c r="DZ755" s="592"/>
      <c r="EA755" s="592"/>
      <c r="EB755" s="592"/>
      <c r="EC755" s="592"/>
      <c r="ED755" s="592"/>
      <c r="EE755" s="592"/>
      <c r="EF755" s="592"/>
      <c r="EG755" s="592"/>
      <c r="EH755" s="592"/>
      <c r="EI755" s="592"/>
    </row>
    <row r="756" spans="2:139" ht="6" customHeight="1" outlineLevel="1">
      <c r="B756" s="65"/>
      <c r="C756" s="65"/>
      <c r="D756" s="65"/>
      <c r="E756" s="65"/>
      <c r="F756" s="65"/>
      <c r="G756" s="65"/>
      <c r="H756" s="65"/>
      <c r="I756" s="65"/>
      <c r="J756" s="65"/>
      <c r="K756" s="145" t="str">
        <f>IF(COLUMN()-COLUMN($K756)+1&lt;=Dashboard!$D$14,"X","")</f>
        <v>X</v>
      </c>
      <c r="L756" s="145" t="str">
        <f>IF(COLUMN()-COLUMN($K756)+1&lt;=Dashboard!$D$14,"X","")</f>
        <v>X</v>
      </c>
      <c r="M756" s="145" t="str">
        <f>IF(COLUMN()-COLUMN($K756)+1&lt;=Dashboard!$D$14,"X","")</f>
        <v>X</v>
      </c>
      <c r="N756" s="145" t="str">
        <f>IF(COLUMN()-COLUMN($K756)+1&lt;=Dashboard!$D$14,"X","")</f>
        <v>X</v>
      </c>
      <c r="O756" s="145" t="str">
        <f>IF(COLUMN()-COLUMN($K756)+1&lt;=Dashboard!$D$14,"X","")</f>
        <v>X</v>
      </c>
      <c r="P756" s="145" t="str">
        <f>IF(COLUMN()-COLUMN($K756)+1&lt;=Dashboard!$D$14,"X","")</f>
        <v>X</v>
      </c>
      <c r="Q756" s="145" t="str">
        <f>IF(COLUMN()-COLUMN($K756)+1&lt;=Dashboard!$D$14,"X","")</f>
        <v>X</v>
      </c>
      <c r="R756" s="145" t="str">
        <f>IF(COLUMN()-COLUMN($K756)+1&lt;=Dashboard!$D$14,"X","")</f>
        <v>X</v>
      </c>
      <c r="S756" s="145" t="str">
        <f>IF(COLUMN()-COLUMN($K756)+1&lt;=Dashboard!$D$14,"X","")</f>
        <v>X</v>
      </c>
      <c r="T756" s="145" t="str">
        <f>IF(COLUMN()-COLUMN($K756)+1&lt;=Dashboard!$D$14,"X","")</f>
        <v>X</v>
      </c>
      <c r="U756" s="145" t="str">
        <f>IF(COLUMN()-COLUMN($K756)+1&lt;=Dashboard!$D$14,"X","")</f>
        <v/>
      </c>
      <c r="V756" s="145" t="str">
        <f>IF(COLUMN()-COLUMN($K756)+1&lt;=Dashboard!$D$14,"X","")</f>
        <v/>
      </c>
      <c r="W756" s="145" t="str">
        <f>IF(COLUMN()-COLUMN($K756)+1&lt;=Dashboard!$D$14,"X","")</f>
        <v/>
      </c>
      <c r="X756" s="145" t="str">
        <f>IF(COLUMN()-COLUMN($K756)+1&lt;=Dashboard!$D$14,"X","")</f>
        <v/>
      </c>
      <c r="Y756" s="145" t="str">
        <f>IF(COLUMN()-COLUMN($K756)+1&lt;=Dashboard!$D$14,"X","")</f>
        <v/>
      </c>
      <c r="Z756" s="145" t="str">
        <f>IF(COLUMN()-COLUMN($K756)+1&lt;=Dashboard!$D$14,"X","")</f>
        <v/>
      </c>
      <c r="AA756" s="145" t="str">
        <f>IF(COLUMN()-COLUMN($K756)+1&lt;=Dashboard!$D$14,"X","")</f>
        <v/>
      </c>
      <c r="AB756" s="145" t="str">
        <f>IF(COLUMN()-COLUMN($K756)+1&lt;=Dashboard!$D$14,"X","")</f>
        <v/>
      </c>
      <c r="AC756" s="145" t="str">
        <f>IF(COLUMN()-COLUMN($K756)+1&lt;=Dashboard!$D$14,"X","")</f>
        <v/>
      </c>
      <c r="AD756" s="145" t="str">
        <f>IF(COLUMN()-COLUMN($K756)+1&lt;=Dashboard!$D$14,"X","")</f>
        <v/>
      </c>
      <c r="AE756" s="145" t="str">
        <f>IF(COLUMN()-COLUMN($K756)+1&lt;=Dashboard!$D$14,"X","")</f>
        <v/>
      </c>
      <c r="AF756" s="145" t="str">
        <f>IF(COLUMN()-COLUMN($K756)+1&lt;=Dashboard!$D$14,"X","")</f>
        <v/>
      </c>
      <c r="AG756" s="145" t="str">
        <f>IF(COLUMN()-COLUMN($K756)+1&lt;=Dashboard!$D$14,"X","")</f>
        <v/>
      </c>
      <c r="AH756" s="145" t="str">
        <f>IF(COLUMN()-COLUMN($K756)+1&lt;=Dashboard!$D$14,"X","")</f>
        <v/>
      </c>
      <c r="AI756" s="145" t="str">
        <f>IF(COLUMN()-COLUMN($K756)+1&lt;=Dashboard!$D$14,"X","")</f>
        <v/>
      </c>
      <c r="AJ756" s="145" t="str">
        <f>IF(COLUMN()-COLUMN($K756)+1&lt;=Dashboard!$D$14,"X","")</f>
        <v/>
      </c>
      <c r="AK756" s="145" t="str">
        <f>IF(COLUMN()-COLUMN($K756)+1&lt;=Dashboard!$D$14,"X","")</f>
        <v/>
      </c>
      <c r="AL756" s="145" t="str">
        <f>IF(COLUMN()-COLUMN($K756)+1&lt;=Dashboard!$D$14,"X","")</f>
        <v/>
      </c>
      <c r="AM756" s="145" t="str">
        <f>IF(COLUMN()-COLUMN($K756)+1&lt;=Dashboard!$D$14,"X","")</f>
        <v/>
      </c>
      <c r="AN756" s="145" t="str">
        <f>IF(COLUMN()-COLUMN($K756)+1&lt;=Dashboard!$D$14,"X","")</f>
        <v/>
      </c>
      <c r="AO756" s="145" t="str">
        <f>IF(COLUMN()-COLUMN($K756)+1&lt;=Dashboard!$D$14,"X","")</f>
        <v/>
      </c>
      <c r="AP756" s="145" t="str">
        <f>IF(COLUMN()-COLUMN($K756)+1&lt;=Dashboard!$D$14,"X","")</f>
        <v/>
      </c>
      <c r="AQ756" s="145" t="str">
        <f>IF(COLUMN()-COLUMN($K756)+1&lt;=Dashboard!$D$14,"X","")</f>
        <v/>
      </c>
      <c r="AR756" s="145" t="str">
        <f>IF(COLUMN()-COLUMN($K756)+1&lt;=Dashboard!$D$14,"X","")</f>
        <v/>
      </c>
      <c r="AS756" s="145" t="str">
        <f>IF(COLUMN()-COLUMN($K756)+1&lt;=Dashboard!$D$14,"X","")</f>
        <v/>
      </c>
      <c r="AT756" s="145" t="str">
        <f>IF(COLUMN()-COLUMN($K756)+1&lt;=Dashboard!$D$14,"X","")</f>
        <v/>
      </c>
      <c r="AU756" s="145" t="str">
        <f>IF(COLUMN()-COLUMN($K756)+1&lt;=Dashboard!$D$14,"X","")</f>
        <v/>
      </c>
      <c r="AV756" s="145" t="str">
        <f>IF(COLUMN()-COLUMN($K756)+1&lt;=Dashboard!$D$14,"X","")</f>
        <v/>
      </c>
      <c r="AW756" s="145" t="str">
        <f>IF(COLUMN()-COLUMN($K756)+1&lt;=Dashboard!$D$14,"X","")</f>
        <v/>
      </c>
      <c r="AX756" s="145" t="str">
        <f>IF(COLUMN()-COLUMN($K756)+1&lt;=Dashboard!$D$14,"X","")</f>
        <v/>
      </c>
      <c r="AY756" s="145" t="str">
        <f>IF(COLUMN()-COLUMN($K756)+1&lt;=Dashboard!$D$14,"X","")</f>
        <v/>
      </c>
      <c r="AZ756" s="145" t="str">
        <f>IF(COLUMN()-COLUMN($K756)+1&lt;=Dashboard!$D$14,"X","")</f>
        <v/>
      </c>
      <c r="BA756" s="145" t="str">
        <f>IF(COLUMN()-COLUMN($K756)+1&lt;=Dashboard!$D$14,"X","")</f>
        <v/>
      </c>
      <c r="BB756" s="145" t="str">
        <f>IF(COLUMN()-COLUMN($K756)+1&lt;=Dashboard!$D$14,"X","")</f>
        <v/>
      </c>
      <c r="BC756" s="145" t="str">
        <f>IF(COLUMN()-COLUMN($K756)+1&lt;=Dashboard!$D$14,"X","")</f>
        <v/>
      </c>
      <c r="BD756" s="145" t="str">
        <f>IF(COLUMN()-COLUMN($K756)+1&lt;=Dashboard!$D$14,"X","")</f>
        <v/>
      </c>
      <c r="BE756" s="145" t="str">
        <f>IF(COLUMN()-COLUMN($K756)+1&lt;=Dashboard!$D$14,"X","")</f>
        <v/>
      </c>
      <c r="BF756" s="145" t="str">
        <f>IF(COLUMN()-COLUMN($K756)+1&lt;=Dashboard!$D$14,"X","")</f>
        <v/>
      </c>
      <c r="BG756" s="145" t="str">
        <f>IF(COLUMN()-COLUMN($K756)+1&lt;=Dashboard!$D$14,"X","")</f>
        <v/>
      </c>
      <c r="BH756" s="145" t="str">
        <f>IF(COLUMN()-COLUMN($K756)+1&lt;=Dashboard!$D$14,"X","")</f>
        <v/>
      </c>
      <c r="BI756" s="145" t="str">
        <f>IF(COLUMN()-COLUMN($K756)+1&lt;=Dashboard!$D$14,"X","")</f>
        <v/>
      </c>
      <c r="BJ756" s="145" t="str">
        <f>IF(COLUMN()-COLUMN($K756)+1&lt;=Dashboard!$D$14,"X","")</f>
        <v/>
      </c>
      <c r="BK756" s="145" t="str">
        <f>IF(COLUMN()-COLUMN($K756)+1&lt;=Dashboard!$D$14,"X","")</f>
        <v/>
      </c>
      <c r="BL756" s="145" t="str">
        <f>IF(COLUMN()-COLUMN($K756)+1&lt;=Dashboard!$D$14,"X","")</f>
        <v/>
      </c>
      <c r="BM756" s="145" t="str">
        <f>IF(COLUMN()-COLUMN($K756)+1&lt;=Dashboard!$D$14,"X","")</f>
        <v/>
      </c>
      <c r="BN756" s="145" t="str">
        <f>IF(COLUMN()-COLUMN($K756)+1&lt;=Dashboard!$D$14,"X","")</f>
        <v/>
      </c>
      <c r="BO756" s="145" t="str">
        <f>IF(COLUMN()-COLUMN($K756)+1&lt;=Dashboard!$D$14,"X","")</f>
        <v/>
      </c>
      <c r="BP756" s="145" t="str">
        <f>IF(COLUMN()-COLUMN($K756)+1&lt;=Dashboard!$D$14,"X","")</f>
        <v/>
      </c>
      <c r="BQ756" s="145" t="str">
        <f>IF(COLUMN()-COLUMN($K756)+1&lt;=Dashboard!$D$14,"X","")</f>
        <v/>
      </c>
      <c r="BR756" s="145" t="str">
        <f>IF(COLUMN()-COLUMN($K756)+1&lt;=Dashboard!$D$14,"X","")</f>
        <v/>
      </c>
      <c r="BS756" s="65"/>
      <c r="BT756" s="65"/>
      <c r="BU756" s="65"/>
      <c r="BV756" s="65"/>
      <c r="BW756" s="69"/>
      <c r="BX756" s="65"/>
      <c r="BY756" s="65"/>
      <c r="BZ756" s="65"/>
      <c r="CA756" s="65"/>
      <c r="CB756" s="65"/>
      <c r="CC756" s="65"/>
      <c r="CD756" s="65"/>
      <c r="CE756" s="65"/>
      <c r="CF756" s="65"/>
      <c r="CG756" s="65"/>
      <c r="CH756" s="65"/>
      <c r="CI756" s="65"/>
      <c r="CJ756" s="65"/>
      <c r="CK756" s="65"/>
      <c r="CL756" s="65"/>
      <c r="CM756" s="65"/>
      <c r="CN756" s="65"/>
      <c r="CO756" s="65"/>
      <c r="CP756" s="65"/>
      <c r="CQ756" s="65"/>
      <c r="CR756" s="65"/>
      <c r="CS756" s="65"/>
      <c r="CT756" s="65"/>
      <c r="CU756" s="65"/>
      <c r="CV756" s="65"/>
      <c r="CW756" s="65"/>
      <c r="CX756" s="65"/>
      <c r="CY756" s="65"/>
      <c r="CZ756" s="65"/>
      <c r="DA756" s="65"/>
      <c r="DB756" s="65"/>
      <c r="DC756" s="65"/>
      <c r="DD756" s="65"/>
      <c r="DE756" s="65"/>
      <c r="DF756" s="65"/>
      <c r="DG756" s="65"/>
      <c r="DH756" s="65"/>
      <c r="DI756" s="65"/>
      <c r="DJ756" s="65"/>
      <c r="DK756" s="65"/>
      <c r="DL756" s="65"/>
      <c r="DM756" s="65"/>
      <c r="DN756" s="65"/>
      <c r="DO756" s="65"/>
      <c r="DP756" s="65"/>
      <c r="DQ756" s="65"/>
      <c r="DR756" s="65"/>
      <c r="DS756" s="65"/>
      <c r="DT756" s="65"/>
      <c r="DU756" s="65"/>
      <c r="DV756" s="65"/>
      <c r="DW756" s="65"/>
      <c r="DX756" s="65"/>
      <c r="DY756" s="65"/>
      <c r="DZ756" s="65"/>
      <c r="EA756" s="65"/>
      <c r="EB756" s="65"/>
      <c r="EC756" s="65"/>
      <c r="ED756" s="65"/>
      <c r="EE756" s="65"/>
      <c r="EF756" s="65"/>
      <c r="EG756" s="65"/>
      <c r="EH756" s="65"/>
      <c r="EI756" s="65"/>
    </row>
    <row r="757" spans="2:139" ht="12" customHeight="1" outlineLevel="1">
      <c r="B757" s="137" t="str">
        <f>IF(F757&gt;0,F757&amp;" - "&amp;D757,"")</f>
        <v>Gerente de Contrato - Gerência do Contrato</v>
      </c>
      <c r="C757" s="65"/>
      <c r="D757" s="607" t="s">
        <v>470</v>
      </c>
      <c r="E757" s="65"/>
      <c r="F757" s="164" t="s">
        <v>471</v>
      </c>
      <c r="G757" s="165"/>
      <c r="H757" s="166">
        <f t="shared" ref="H757:H763" si="3147">IFERROR(SUM(K757:BR757)/COUNTIF(K757:BR757,"&gt;0"),0)</f>
        <v>3.0000000000000009E-2</v>
      </c>
      <c r="I757" s="144">
        <f t="shared" ref="I757:I763" si="3148">COUNTIF(K757:BR757,"&gt;0")</f>
        <v>12</v>
      </c>
      <c r="J757" s="65"/>
      <c r="K757" s="167">
        <v>0.03</v>
      </c>
      <c r="L757" s="167">
        <v>0.03</v>
      </c>
      <c r="M757" s="167">
        <v>0.03</v>
      </c>
      <c r="N757" s="167">
        <v>0.03</v>
      </c>
      <c r="O757" s="167">
        <v>0.03</v>
      </c>
      <c r="P757" s="167">
        <v>0.03</v>
      </c>
      <c r="Q757" s="167">
        <v>0.03</v>
      </c>
      <c r="R757" s="167">
        <v>0.03</v>
      </c>
      <c r="S757" s="167">
        <v>0.03</v>
      </c>
      <c r="T757" s="167">
        <v>0.03</v>
      </c>
      <c r="U757" s="167">
        <v>0.03</v>
      </c>
      <c r="V757" s="167">
        <v>0.03</v>
      </c>
      <c r="W757" s="167"/>
      <c r="X757" s="167"/>
      <c r="Y757" s="167"/>
      <c r="Z757" s="167"/>
      <c r="AA757" s="167"/>
      <c r="AB757" s="167"/>
      <c r="AC757" s="167"/>
      <c r="AD757" s="167"/>
      <c r="AE757" s="167"/>
      <c r="AF757" s="167"/>
      <c r="AG757" s="167"/>
      <c r="AH757" s="167"/>
      <c r="AI757" s="167"/>
      <c r="AJ757" s="167"/>
      <c r="AK757" s="167"/>
      <c r="AL757" s="167"/>
      <c r="AM757" s="167"/>
      <c r="AN757" s="167"/>
      <c r="AO757" s="167"/>
      <c r="AP757" s="167"/>
      <c r="AQ757" s="167"/>
      <c r="AR757" s="167"/>
      <c r="AS757" s="167"/>
      <c r="AT757" s="167"/>
      <c r="AU757" s="167"/>
      <c r="AV757" s="167"/>
      <c r="AW757" s="167"/>
      <c r="AX757" s="167"/>
      <c r="AY757" s="167"/>
      <c r="AZ757" s="167"/>
      <c r="BA757" s="167"/>
      <c r="BB757" s="167"/>
      <c r="BC757" s="167"/>
      <c r="BD757" s="167"/>
      <c r="BE757" s="167"/>
      <c r="BF757" s="167"/>
      <c r="BG757" s="167"/>
      <c r="BH757" s="167"/>
      <c r="BI757" s="167"/>
      <c r="BJ757" s="167"/>
      <c r="BK757" s="167"/>
      <c r="BL757" s="167"/>
      <c r="BM757" s="167"/>
      <c r="BN757" s="167"/>
      <c r="BO757" s="167"/>
      <c r="BP757" s="167"/>
      <c r="BQ757" s="167"/>
      <c r="BR757" s="167"/>
      <c r="BS757" s="65"/>
      <c r="BT757" s="65"/>
      <c r="BU757" s="65"/>
      <c r="BV757" s="65"/>
      <c r="BW757" s="69"/>
      <c r="BX757" s="65"/>
      <c r="BY757" s="137">
        <f>IF(H757&gt;0,1,0)</f>
        <v>1</v>
      </c>
      <c r="BZ757" s="137">
        <f>BY757</f>
        <v>1</v>
      </c>
      <c r="CA757" s="137" t="str">
        <f>F757</f>
        <v>Gerente de Contrato</v>
      </c>
      <c r="CB757" s="161">
        <f t="shared" ref="CB757:DJ757" si="3149">K757</f>
        <v>0.03</v>
      </c>
      <c r="CC757" s="161">
        <f t="shared" si="3149"/>
        <v>0.03</v>
      </c>
      <c r="CD757" s="161">
        <f t="shared" si="3149"/>
        <v>0.03</v>
      </c>
      <c r="CE757" s="161">
        <f t="shared" si="3149"/>
        <v>0.03</v>
      </c>
      <c r="CF757" s="161">
        <f t="shared" si="3149"/>
        <v>0.03</v>
      </c>
      <c r="CG757" s="161">
        <f t="shared" si="3149"/>
        <v>0.03</v>
      </c>
      <c r="CH757" s="161">
        <f t="shared" si="3149"/>
        <v>0.03</v>
      </c>
      <c r="CI757" s="161">
        <f t="shared" si="3149"/>
        <v>0.03</v>
      </c>
      <c r="CJ757" s="161">
        <f t="shared" si="3149"/>
        <v>0.03</v>
      </c>
      <c r="CK757" s="161">
        <f t="shared" si="3149"/>
        <v>0.03</v>
      </c>
      <c r="CL757" s="161">
        <f t="shared" si="3149"/>
        <v>0.03</v>
      </c>
      <c r="CM757" s="161">
        <f t="shared" si="3149"/>
        <v>0.03</v>
      </c>
      <c r="CN757" s="161">
        <f t="shared" si="3149"/>
        <v>0</v>
      </c>
      <c r="CO757" s="161">
        <f t="shared" si="3149"/>
        <v>0</v>
      </c>
      <c r="CP757" s="161">
        <f t="shared" si="3149"/>
        <v>0</v>
      </c>
      <c r="CQ757" s="161">
        <f t="shared" si="3149"/>
        <v>0</v>
      </c>
      <c r="CR757" s="161">
        <f t="shared" si="3149"/>
        <v>0</v>
      </c>
      <c r="CS757" s="161">
        <f t="shared" si="3149"/>
        <v>0</v>
      </c>
      <c r="CT757" s="161">
        <f t="shared" si="3149"/>
        <v>0</v>
      </c>
      <c r="CU757" s="161">
        <f t="shared" si="3149"/>
        <v>0</v>
      </c>
      <c r="CV757" s="161">
        <f t="shared" si="3149"/>
        <v>0</v>
      </c>
      <c r="CW757" s="161">
        <f t="shared" si="3149"/>
        <v>0</v>
      </c>
      <c r="CX757" s="161">
        <f t="shared" si="3149"/>
        <v>0</v>
      </c>
      <c r="CY757" s="161">
        <f t="shared" si="3149"/>
        <v>0</v>
      </c>
      <c r="CZ757" s="161">
        <f t="shared" si="3149"/>
        <v>0</v>
      </c>
      <c r="DA757" s="161">
        <f t="shared" si="3149"/>
        <v>0</v>
      </c>
      <c r="DB757" s="161">
        <f t="shared" si="3149"/>
        <v>0</v>
      </c>
      <c r="DC757" s="161">
        <f t="shared" si="3149"/>
        <v>0</v>
      </c>
      <c r="DD757" s="161">
        <f t="shared" si="3149"/>
        <v>0</v>
      </c>
      <c r="DE757" s="161">
        <f t="shared" si="3149"/>
        <v>0</v>
      </c>
      <c r="DF757" s="161">
        <f t="shared" si="3149"/>
        <v>0</v>
      </c>
      <c r="DG757" s="161">
        <f t="shared" si="3149"/>
        <v>0</v>
      </c>
      <c r="DH757" s="161">
        <f t="shared" si="3149"/>
        <v>0</v>
      </c>
      <c r="DI757" s="161">
        <f t="shared" si="3149"/>
        <v>0</v>
      </c>
      <c r="DJ757" s="161">
        <f t="shared" si="3149"/>
        <v>0</v>
      </c>
      <c r="DK757" s="161">
        <f t="shared" ref="DK757" si="3150">AT757</f>
        <v>0</v>
      </c>
      <c r="DL757" s="161">
        <f t="shared" ref="DL757" si="3151">AU757</f>
        <v>0</v>
      </c>
      <c r="DM757" s="161">
        <f t="shared" ref="DM757" si="3152">AV757</f>
        <v>0</v>
      </c>
      <c r="DN757" s="161">
        <f t="shared" ref="DN757" si="3153">AW757</f>
        <v>0</v>
      </c>
      <c r="DO757" s="161">
        <f t="shared" ref="DO757" si="3154">AX757</f>
        <v>0</v>
      </c>
      <c r="DP757" s="161">
        <f t="shared" ref="DP757" si="3155">AY757</f>
        <v>0</v>
      </c>
      <c r="DQ757" s="161">
        <f t="shared" ref="DQ757" si="3156">AZ757</f>
        <v>0</v>
      </c>
      <c r="DR757" s="161">
        <f t="shared" ref="DR757" si="3157">BA757</f>
        <v>0</v>
      </c>
      <c r="DS757" s="161">
        <f t="shared" ref="DS757" si="3158">BB757</f>
        <v>0</v>
      </c>
      <c r="DT757" s="161">
        <f t="shared" ref="DT757" si="3159">BC757</f>
        <v>0</v>
      </c>
      <c r="DU757" s="161">
        <f t="shared" ref="DU757" si="3160">BD757</f>
        <v>0</v>
      </c>
      <c r="DV757" s="161">
        <f t="shared" ref="DV757" si="3161">BE757</f>
        <v>0</v>
      </c>
      <c r="DW757" s="161">
        <f t="shared" ref="DW757" si="3162">BF757</f>
        <v>0</v>
      </c>
      <c r="DX757" s="161">
        <f t="shared" ref="DX757" si="3163">BG757</f>
        <v>0</v>
      </c>
      <c r="DY757" s="161">
        <f t="shared" ref="DY757" si="3164">BH757</f>
        <v>0</v>
      </c>
      <c r="DZ757" s="161">
        <f t="shared" ref="DZ757" si="3165">BI757</f>
        <v>0</v>
      </c>
      <c r="EA757" s="161">
        <f t="shared" ref="EA757" si="3166">BJ757</f>
        <v>0</v>
      </c>
      <c r="EB757" s="161">
        <f t="shared" ref="EB757" si="3167">BK757</f>
        <v>0</v>
      </c>
      <c r="EC757" s="161">
        <f t="shared" ref="EC757" si="3168">BL757</f>
        <v>0</v>
      </c>
      <c r="ED757" s="161">
        <f t="shared" ref="ED757" si="3169">BM757</f>
        <v>0</v>
      </c>
      <c r="EE757" s="161">
        <f t="shared" ref="EE757" si="3170">BN757</f>
        <v>0</v>
      </c>
      <c r="EF757" s="161">
        <f t="shared" ref="EF757" si="3171">BO757</f>
        <v>0</v>
      </c>
      <c r="EG757" s="161">
        <f t="shared" ref="EG757" si="3172">BP757</f>
        <v>0</v>
      </c>
      <c r="EH757" s="161">
        <f t="shared" ref="EH757" si="3173">BQ757</f>
        <v>0</v>
      </c>
      <c r="EI757" s="161">
        <f t="shared" ref="EI757" si="3174">BR757</f>
        <v>0</v>
      </c>
    </row>
    <row r="758" spans="2:139" ht="12" customHeight="1" outlineLevel="1">
      <c r="B758" s="137" t="str">
        <f>IF(F758&gt;0,F758&amp;" - "&amp;D757,"")</f>
        <v>Coordenador de Contrato - Gerência do Contrato</v>
      </c>
      <c r="C758" s="65"/>
      <c r="D758" s="607"/>
      <c r="E758" s="65"/>
      <c r="F758" s="164" t="s">
        <v>472</v>
      </c>
      <c r="G758" s="165"/>
      <c r="H758" s="166">
        <f t="shared" si="3147"/>
        <v>4.9999999999999996E-2</v>
      </c>
      <c r="I758" s="144">
        <f t="shared" si="3148"/>
        <v>12</v>
      </c>
      <c r="J758" s="65"/>
      <c r="K758" s="167">
        <v>0.05</v>
      </c>
      <c r="L758" s="167">
        <v>0.05</v>
      </c>
      <c r="M758" s="167">
        <v>0.05</v>
      </c>
      <c r="N758" s="167">
        <v>0.05</v>
      </c>
      <c r="O758" s="167">
        <v>0.05</v>
      </c>
      <c r="P758" s="167">
        <v>0.05</v>
      </c>
      <c r="Q758" s="167">
        <v>0.05</v>
      </c>
      <c r="R758" s="167">
        <v>0.05</v>
      </c>
      <c r="S758" s="167">
        <v>0.05</v>
      </c>
      <c r="T758" s="167">
        <v>0.05</v>
      </c>
      <c r="U758" s="167">
        <v>0.05</v>
      </c>
      <c r="V758" s="167">
        <v>0.05</v>
      </c>
      <c r="W758" s="167"/>
      <c r="X758" s="167"/>
      <c r="Y758" s="167"/>
      <c r="Z758" s="167"/>
      <c r="AA758" s="167"/>
      <c r="AB758" s="167"/>
      <c r="AC758" s="167"/>
      <c r="AD758" s="167"/>
      <c r="AE758" s="167"/>
      <c r="AF758" s="167"/>
      <c r="AG758" s="167"/>
      <c r="AH758" s="167"/>
      <c r="AI758" s="167"/>
      <c r="AJ758" s="167"/>
      <c r="AK758" s="167"/>
      <c r="AL758" s="167"/>
      <c r="AM758" s="167"/>
      <c r="AN758" s="167"/>
      <c r="AO758" s="167"/>
      <c r="AP758" s="167"/>
      <c r="AQ758" s="167"/>
      <c r="AR758" s="167"/>
      <c r="AS758" s="167"/>
      <c r="AT758" s="167"/>
      <c r="AU758" s="167"/>
      <c r="AV758" s="167"/>
      <c r="AW758" s="167"/>
      <c r="AX758" s="167"/>
      <c r="AY758" s="167"/>
      <c r="AZ758" s="167"/>
      <c r="BA758" s="167"/>
      <c r="BB758" s="167"/>
      <c r="BC758" s="167"/>
      <c r="BD758" s="167"/>
      <c r="BE758" s="167"/>
      <c r="BF758" s="167"/>
      <c r="BG758" s="167"/>
      <c r="BH758" s="167"/>
      <c r="BI758" s="167"/>
      <c r="BJ758" s="167"/>
      <c r="BK758" s="167"/>
      <c r="BL758" s="167"/>
      <c r="BM758" s="167"/>
      <c r="BN758" s="167"/>
      <c r="BO758" s="167"/>
      <c r="BP758" s="167"/>
      <c r="BQ758" s="167"/>
      <c r="BR758" s="167"/>
      <c r="BS758" s="65"/>
      <c r="BT758" s="65"/>
      <c r="BU758" s="65"/>
      <c r="BV758" s="65"/>
      <c r="BW758" s="69"/>
      <c r="BX758" s="65"/>
      <c r="BY758" s="137">
        <f>IF(H758&gt;0,1,0)</f>
        <v>1</v>
      </c>
      <c r="BZ758" s="137">
        <f>IF(BY758&gt;0,BY758+LARGE($BZ$757:BZ757,1),0)</f>
        <v>2</v>
      </c>
      <c r="CA758" s="137" t="str">
        <f>F758</f>
        <v>Coordenador de Contrato</v>
      </c>
      <c r="CB758" s="161">
        <f t="shared" ref="CB758:CB830" si="3175">K758</f>
        <v>0.05</v>
      </c>
      <c r="CC758" s="161">
        <f t="shared" ref="CC758:CC830" si="3176">L758</f>
        <v>0.05</v>
      </c>
      <c r="CD758" s="161">
        <f t="shared" ref="CD758:CD830" si="3177">M758</f>
        <v>0.05</v>
      </c>
      <c r="CE758" s="161">
        <f t="shared" ref="CE758:CE830" si="3178">N758</f>
        <v>0.05</v>
      </c>
      <c r="CF758" s="161">
        <f t="shared" ref="CF758:CF830" si="3179">O758</f>
        <v>0.05</v>
      </c>
      <c r="CG758" s="161">
        <f t="shared" ref="CG758:CG830" si="3180">P758</f>
        <v>0.05</v>
      </c>
      <c r="CH758" s="161">
        <f t="shared" ref="CH758:CH830" si="3181">Q758</f>
        <v>0.05</v>
      </c>
      <c r="CI758" s="161">
        <f t="shared" ref="CI758:CI830" si="3182">R758</f>
        <v>0.05</v>
      </c>
      <c r="CJ758" s="161">
        <f t="shared" ref="CJ758:CJ830" si="3183">S758</f>
        <v>0.05</v>
      </c>
      <c r="CK758" s="161">
        <f t="shared" ref="CK758:CK830" si="3184">T758</f>
        <v>0.05</v>
      </c>
      <c r="CL758" s="161">
        <f t="shared" ref="CL758:CL830" si="3185">U758</f>
        <v>0.05</v>
      </c>
      <c r="CM758" s="161">
        <f t="shared" ref="CM758:CM830" si="3186">V758</f>
        <v>0.05</v>
      </c>
      <c r="CN758" s="161">
        <f t="shared" ref="CN758:CN830" si="3187">W758</f>
        <v>0</v>
      </c>
      <c r="CO758" s="161">
        <f t="shared" ref="CO758:CO830" si="3188">X758</f>
        <v>0</v>
      </c>
      <c r="CP758" s="161">
        <f t="shared" ref="CP758:CP830" si="3189">Y758</f>
        <v>0</v>
      </c>
      <c r="CQ758" s="161">
        <f t="shared" ref="CQ758:CQ830" si="3190">Z758</f>
        <v>0</v>
      </c>
      <c r="CR758" s="161">
        <f t="shared" ref="CR758:CR830" si="3191">AA758</f>
        <v>0</v>
      </c>
      <c r="CS758" s="161">
        <f t="shared" ref="CS758:CS830" si="3192">AB758</f>
        <v>0</v>
      </c>
      <c r="CT758" s="161">
        <f t="shared" ref="CT758:CT830" si="3193">AC758</f>
        <v>0</v>
      </c>
      <c r="CU758" s="161">
        <f t="shared" ref="CU758:CU830" si="3194">AD758</f>
        <v>0</v>
      </c>
      <c r="CV758" s="161">
        <f t="shared" ref="CV758:CV830" si="3195">AE758</f>
        <v>0</v>
      </c>
      <c r="CW758" s="161">
        <f t="shared" ref="CW758:CW830" si="3196">AF758</f>
        <v>0</v>
      </c>
      <c r="CX758" s="161">
        <f t="shared" ref="CX758:CX830" si="3197">AG758</f>
        <v>0</v>
      </c>
      <c r="CY758" s="161">
        <f t="shared" ref="CY758:CY830" si="3198">AH758</f>
        <v>0</v>
      </c>
      <c r="CZ758" s="161">
        <f t="shared" ref="CZ758:CZ830" si="3199">AI758</f>
        <v>0</v>
      </c>
      <c r="DA758" s="161">
        <f t="shared" ref="DA758:DA830" si="3200">AJ758</f>
        <v>0</v>
      </c>
      <c r="DB758" s="161">
        <f t="shared" ref="DB758:DB830" si="3201">AK758</f>
        <v>0</v>
      </c>
      <c r="DC758" s="161">
        <f t="shared" ref="DC758:DC830" si="3202">AL758</f>
        <v>0</v>
      </c>
      <c r="DD758" s="161">
        <f t="shared" ref="DD758:DD830" si="3203">AM758</f>
        <v>0</v>
      </c>
      <c r="DE758" s="161">
        <f t="shared" ref="DE758:DE830" si="3204">AN758</f>
        <v>0</v>
      </c>
      <c r="DF758" s="161">
        <f t="shared" ref="DF758:DF830" si="3205">AO758</f>
        <v>0</v>
      </c>
      <c r="DG758" s="161">
        <f t="shared" ref="DG758:DG830" si="3206">AP758</f>
        <v>0</v>
      </c>
      <c r="DH758" s="161">
        <f t="shared" ref="DH758:DH830" si="3207">AQ758</f>
        <v>0</v>
      </c>
      <c r="DI758" s="161">
        <f t="shared" ref="DI758:DI830" si="3208">AR758</f>
        <v>0</v>
      </c>
      <c r="DJ758" s="161">
        <f t="shared" ref="DJ758:DJ830" si="3209">AS758</f>
        <v>0</v>
      </c>
      <c r="DK758" s="161">
        <f t="shared" ref="DK758:DK830" si="3210">AT758</f>
        <v>0</v>
      </c>
      <c r="DL758" s="161">
        <f t="shared" ref="DL758:DL830" si="3211">AU758</f>
        <v>0</v>
      </c>
      <c r="DM758" s="161">
        <f t="shared" ref="DM758:DM830" si="3212">AV758</f>
        <v>0</v>
      </c>
      <c r="DN758" s="161">
        <f t="shared" ref="DN758:DN830" si="3213">AW758</f>
        <v>0</v>
      </c>
      <c r="DO758" s="161">
        <f t="shared" ref="DO758:DO830" si="3214">AX758</f>
        <v>0</v>
      </c>
      <c r="DP758" s="161">
        <f t="shared" ref="DP758:DP830" si="3215">AY758</f>
        <v>0</v>
      </c>
      <c r="DQ758" s="161">
        <f t="shared" ref="DQ758:DQ830" si="3216">AZ758</f>
        <v>0</v>
      </c>
      <c r="DR758" s="161">
        <f t="shared" ref="DR758:DR830" si="3217">BA758</f>
        <v>0</v>
      </c>
      <c r="DS758" s="161">
        <f t="shared" ref="DS758:DS830" si="3218">BB758</f>
        <v>0</v>
      </c>
      <c r="DT758" s="161">
        <f t="shared" ref="DT758:DT830" si="3219">BC758</f>
        <v>0</v>
      </c>
      <c r="DU758" s="161">
        <f t="shared" ref="DU758:DU830" si="3220">BD758</f>
        <v>0</v>
      </c>
      <c r="DV758" s="161">
        <f t="shared" ref="DV758:DV830" si="3221">BE758</f>
        <v>0</v>
      </c>
      <c r="DW758" s="161">
        <f t="shared" ref="DW758:DW830" si="3222">BF758</f>
        <v>0</v>
      </c>
      <c r="DX758" s="161">
        <f t="shared" ref="DX758:DX830" si="3223">BG758</f>
        <v>0</v>
      </c>
      <c r="DY758" s="161">
        <f t="shared" ref="DY758:DY830" si="3224">BH758</f>
        <v>0</v>
      </c>
      <c r="DZ758" s="161">
        <f t="shared" ref="DZ758:DZ830" si="3225">BI758</f>
        <v>0</v>
      </c>
      <c r="EA758" s="161">
        <f t="shared" ref="EA758:EA830" si="3226">BJ758</f>
        <v>0</v>
      </c>
      <c r="EB758" s="161">
        <f t="shared" ref="EB758:EB830" si="3227">BK758</f>
        <v>0</v>
      </c>
      <c r="EC758" s="161">
        <f t="shared" ref="EC758:EC830" si="3228">BL758</f>
        <v>0</v>
      </c>
      <c r="ED758" s="161">
        <f t="shared" ref="ED758:ED830" si="3229">BM758</f>
        <v>0</v>
      </c>
      <c r="EE758" s="161">
        <f t="shared" ref="EE758:EE830" si="3230">BN758</f>
        <v>0</v>
      </c>
      <c r="EF758" s="161">
        <f t="shared" ref="EF758:EF830" si="3231">BO758</f>
        <v>0</v>
      </c>
      <c r="EG758" s="161">
        <f t="shared" ref="EG758:EG830" si="3232">BP758</f>
        <v>0</v>
      </c>
      <c r="EH758" s="161">
        <f t="shared" ref="EH758:EH830" si="3233">BQ758</f>
        <v>0</v>
      </c>
      <c r="EI758" s="161">
        <f t="shared" ref="EI758:EI830" si="3234">BR758</f>
        <v>0</v>
      </c>
    </row>
    <row r="759" spans="2:139" ht="12" customHeight="1" outlineLevel="1">
      <c r="B759" s="137" t="str">
        <f>IF(F759&gt;0,F759&amp;" - "&amp;D757,"")</f>
        <v>Engenheiro Preposto - Gerência do Contrato</v>
      </c>
      <c r="C759" s="65"/>
      <c r="D759" s="607"/>
      <c r="E759" s="65"/>
      <c r="F759" s="164" t="s">
        <v>473</v>
      </c>
      <c r="G759" s="165"/>
      <c r="H759" s="166">
        <f t="shared" si="3147"/>
        <v>0</v>
      </c>
      <c r="I759" s="144">
        <f t="shared" si="3148"/>
        <v>0</v>
      </c>
      <c r="J759" s="65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  <c r="AB759" s="167"/>
      <c r="AC759" s="167"/>
      <c r="AD759" s="167"/>
      <c r="AE759" s="167"/>
      <c r="AF759" s="167"/>
      <c r="AG759" s="167"/>
      <c r="AH759" s="167"/>
      <c r="AI759" s="167"/>
      <c r="AJ759" s="167"/>
      <c r="AK759" s="167"/>
      <c r="AL759" s="167"/>
      <c r="AM759" s="167"/>
      <c r="AN759" s="167"/>
      <c r="AO759" s="167"/>
      <c r="AP759" s="167"/>
      <c r="AQ759" s="167"/>
      <c r="AR759" s="167"/>
      <c r="AS759" s="167"/>
      <c r="AT759" s="167"/>
      <c r="AU759" s="167"/>
      <c r="AV759" s="167"/>
      <c r="AW759" s="167"/>
      <c r="AX759" s="167"/>
      <c r="AY759" s="167"/>
      <c r="AZ759" s="167"/>
      <c r="BA759" s="167"/>
      <c r="BB759" s="167"/>
      <c r="BC759" s="167"/>
      <c r="BD759" s="167"/>
      <c r="BE759" s="167"/>
      <c r="BF759" s="167"/>
      <c r="BG759" s="167"/>
      <c r="BH759" s="167"/>
      <c r="BI759" s="167"/>
      <c r="BJ759" s="167"/>
      <c r="BK759" s="167"/>
      <c r="BL759" s="167"/>
      <c r="BM759" s="167"/>
      <c r="BN759" s="167"/>
      <c r="BO759" s="167"/>
      <c r="BP759" s="167"/>
      <c r="BQ759" s="167"/>
      <c r="BR759" s="167"/>
      <c r="BS759" s="65"/>
      <c r="BT759" s="65"/>
      <c r="BU759" s="65"/>
      <c r="BV759" s="65"/>
      <c r="BW759" s="69"/>
      <c r="BX759" s="65"/>
      <c r="BY759" s="137">
        <f t="shared" ref="BY759:BY831" si="3235">IF(H759&gt;0,1,0)</f>
        <v>0</v>
      </c>
      <c r="BZ759" s="137">
        <f>IF(BY759&gt;0,BY759+LARGE($BZ$757:BZ758,1),0)</f>
        <v>0</v>
      </c>
      <c r="CA759" s="137" t="str">
        <f t="shared" ref="CA759:CA831" si="3236">F759</f>
        <v>Engenheiro Preposto</v>
      </c>
      <c r="CB759" s="161">
        <f t="shared" si="3175"/>
        <v>0</v>
      </c>
      <c r="CC759" s="161">
        <f t="shared" si="3176"/>
        <v>0</v>
      </c>
      <c r="CD759" s="161">
        <f t="shared" si="3177"/>
        <v>0</v>
      </c>
      <c r="CE759" s="161">
        <f t="shared" si="3178"/>
        <v>0</v>
      </c>
      <c r="CF759" s="161">
        <f t="shared" si="3179"/>
        <v>0</v>
      </c>
      <c r="CG759" s="161">
        <f t="shared" si="3180"/>
        <v>0</v>
      </c>
      <c r="CH759" s="161">
        <f t="shared" si="3181"/>
        <v>0</v>
      </c>
      <c r="CI759" s="161">
        <f t="shared" si="3182"/>
        <v>0</v>
      </c>
      <c r="CJ759" s="161">
        <f t="shared" si="3183"/>
        <v>0</v>
      </c>
      <c r="CK759" s="161">
        <f t="shared" si="3184"/>
        <v>0</v>
      </c>
      <c r="CL759" s="161">
        <f t="shared" si="3185"/>
        <v>0</v>
      </c>
      <c r="CM759" s="161">
        <f t="shared" si="3186"/>
        <v>0</v>
      </c>
      <c r="CN759" s="161">
        <f t="shared" si="3187"/>
        <v>0</v>
      </c>
      <c r="CO759" s="161">
        <f t="shared" si="3188"/>
        <v>0</v>
      </c>
      <c r="CP759" s="161">
        <f t="shared" si="3189"/>
        <v>0</v>
      </c>
      <c r="CQ759" s="161">
        <f t="shared" si="3190"/>
        <v>0</v>
      </c>
      <c r="CR759" s="161">
        <f t="shared" si="3191"/>
        <v>0</v>
      </c>
      <c r="CS759" s="161">
        <f t="shared" si="3192"/>
        <v>0</v>
      </c>
      <c r="CT759" s="161">
        <f t="shared" si="3193"/>
        <v>0</v>
      </c>
      <c r="CU759" s="161">
        <f t="shared" si="3194"/>
        <v>0</v>
      </c>
      <c r="CV759" s="161">
        <f t="shared" si="3195"/>
        <v>0</v>
      </c>
      <c r="CW759" s="161">
        <f t="shared" si="3196"/>
        <v>0</v>
      </c>
      <c r="CX759" s="161">
        <f t="shared" si="3197"/>
        <v>0</v>
      </c>
      <c r="CY759" s="161">
        <f t="shared" si="3198"/>
        <v>0</v>
      </c>
      <c r="CZ759" s="161">
        <f t="shared" si="3199"/>
        <v>0</v>
      </c>
      <c r="DA759" s="161">
        <f t="shared" si="3200"/>
        <v>0</v>
      </c>
      <c r="DB759" s="161">
        <f t="shared" si="3201"/>
        <v>0</v>
      </c>
      <c r="DC759" s="161">
        <f t="shared" si="3202"/>
        <v>0</v>
      </c>
      <c r="DD759" s="161">
        <f t="shared" si="3203"/>
        <v>0</v>
      </c>
      <c r="DE759" s="161">
        <f t="shared" si="3204"/>
        <v>0</v>
      </c>
      <c r="DF759" s="161">
        <f t="shared" si="3205"/>
        <v>0</v>
      </c>
      <c r="DG759" s="161">
        <f t="shared" si="3206"/>
        <v>0</v>
      </c>
      <c r="DH759" s="161">
        <f t="shared" si="3207"/>
        <v>0</v>
      </c>
      <c r="DI759" s="161">
        <f t="shared" si="3208"/>
        <v>0</v>
      </c>
      <c r="DJ759" s="161">
        <f t="shared" si="3209"/>
        <v>0</v>
      </c>
      <c r="DK759" s="161">
        <f t="shared" si="3210"/>
        <v>0</v>
      </c>
      <c r="DL759" s="161">
        <f t="shared" si="3211"/>
        <v>0</v>
      </c>
      <c r="DM759" s="161">
        <f t="shared" si="3212"/>
        <v>0</v>
      </c>
      <c r="DN759" s="161">
        <f t="shared" si="3213"/>
        <v>0</v>
      </c>
      <c r="DO759" s="161">
        <f t="shared" si="3214"/>
        <v>0</v>
      </c>
      <c r="DP759" s="161">
        <f t="shared" si="3215"/>
        <v>0</v>
      </c>
      <c r="DQ759" s="161">
        <f t="shared" si="3216"/>
        <v>0</v>
      </c>
      <c r="DR759" s="161">
        <f t="shared" si="3217"/>
        <v>0</v>
      </c>
      <c r="DS759" s="161">
        <f t="shared" si="3218"/>
        <v>0</v>
      </c>
      <c r="DT759" s="161">
        <f t="shared" si="3219"/>
        <v>0</v>
      </c>
      <c r="DU759" s="161">
        <f t="shared" si="3220"/>
        <v>0</v>
      </c>
      <c r="DV759" s="161">
        <f t="shared" si="3221"/>
        <v>0</v>
      </c>
      <c r="DW759" s="161">
        <f t="shared" si="3222"/>
        <v>0</v>
      </c>
      <c r="DX759" s="161">
        <f t="shared" si="3223"/>
        <v>0</v>
      </c>
      <c r="DY759" s="161">
        <f t="shared" si="3224"/>
        <v>0</v>
      </c>
      <c r="DZ759" s="161">
        <f t="shared" si="3225"/>
        <v>0</v>
      </c>
      <c r="EA759" s="161">
        <f t="shared" si="3226"/>
        <v>0</v>
      </c>
      <c r="EB759" s="161">
        <f t="shared" si="3227"/>
        <v>0</v>
      </c>
      <c r="EC759" s="161">
        <f t="shared" si="3228"/>
        <v>0</v>
      </c>
      <c r="ED759" s="161">
        <f t="shared" si="3229"/>
        <v>0</v>
      </c>
      <c r="EE759" s="161">
        <f t="shared" si="3230"/>
        <v>0</v>
      </c>
      <c r="EF759" s="161">
        <f t="shared" si="3231"/>
        <v>0</v>
      </c>
      <c r="EG759" s="161">
        <f t="shared" si="3232"/>
        <v>0</v>
      </c>
      <c r="EH759" s="161">
        <f t="shared" si="3233"/>
        <v>0</v>
      </c>
      <c r="EI759" s="161">
        <f t="shared" si="3234"/>
        <v>0</v>
      </c>
    </row>
    <row r="760" spans="2:139" ht="12" customHeight="1" outlineLevel="1">
      <c r="B760" s="137" t="str">
        <f>IF(F760&gt;0,F760&amp;" - "&amp;D757,"")</f>
        <v>Administrador Contratual - Gerência do Contrato</v>
      </c>
      <c r="C760" s="65"/>
      <c r="D760" s="607"/>
      <c r="E760" s="65"/>
      <c r="F760" s="164" t="s">
        <v>474</v>
      </c>
      <c r="G760" s="165"/>
      <c r="H760" s="166">
        <f t="shared" si="3147"/>
        <v>0</v>
      </c>
      <c r="I760" s="144">
        <f t="shared" si="3148"/>
        <v>0</v>
      </c>
      <c r="J760" s="65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  <c r="AB760" s="167"/>
      <c r="AC760" s="167"/>
      <c r="AD760" s="167"/>
      <c r="AE760" s="167"/>
      <c r="AF760" s="167"/>
      <c r="AG760" s="167"/>
      <c r="AH760" s="167"/>
      <c r="AI760" s="167"/>
      <c r="AJ760" s="167"/>
      <c r="AK760" s="167"/>
      <c r="AL760" s="167"/>
      <c r="AM760" s="167"/>
      <c r="AN760" s="167"/>
      <c r="AO760" s="167"/>
      <c r="AP760" s="167"/>
      <c r="AQ760" s="167"/>
      <c r="AR760" s="167"/>
      <c r="AS760" s="167"/>
      <c r="AT760" s="167"/>
      <c r="AU760" s="167"/>
      <c r="AV760" s="167"/>
      <c r="AW760" s="167"/>
      <c r="AX760" s="167"/>
      <c r="AY760" s="167"/>
      <c r="AZ760" s="167"/>
      <c r="BA760" s="167"/>
      <c r="BB760" s="167"/>
      <c r="BC760" s="167"/>
      <c r="BD760" s="167"/>
      <c r="BE760" s="167"/>
      <c r="BF760" s="167"/>
      <c r="BG760" s="167"/>
      <c r="BH760" s="167"/>
      <c r="BI760" s="167"/>
      <c r="BJ760" s="167"/>
      <c r="BK760" s="167"/>
      <c r="BL760" s="167"/>
      <c r="BM760" s="167"/>
      <c r="BN760" s="167"/>
      <c r="BO760" s="167"/>
      <c r="BP760" s="167"/>
      <c r="BQ760" s="167"/>
      <c r="BR760" s="167"/>
      <c r="BS760" s="65"/>
      <c r="BT760" s="65"/>
      <c r="BU760" s="65"/>
      <c r="BV760" s="65"/>
      <c r="BW760" s="69"/>
      <c r="BX760" s="65"/>
      <c r="BY760" s="137">
        <f t="shared" si="3235"/>
        <v>0</v>
      </c>
      <c r="BZ760" s="137">
        <f>IF(BY760&gt;0,BY760+LARGE($BZ$757:BZ759,1),0)</f>
        <v>0</v>
      </c>
      <c r="CA760" s="137" t="str">
        <f t="shared" si="3236"/>
        <v>Administrador Contratual</v>
      </c>
      <c r="CB760" s="161">
        <f t="shared" si="3175"/>
        <v>0</v>
      </c>
      <c r="CC760" s="161">
        <f t="shared" si="3176"/>
        <v>0</v>
      </c>
      <c r="CD760" s="161">
        <f t="shared" si="3177"/>
        <v>0</v>
      </c>
      <c r="CE760" s="161">
        <f t="shared" si="3178"/>
        <v>0</v>
      </c>
      <c r="CF760" s="161">
        <f t="shared" si="3179"/>
        <v>0</v>
      </c>
      <c r="CG760" s="161">
        <f t="shared" si="3180"/>
        <v>0</v>
      </c>
      <c r="CH760" s="161">
        <f t="shared" si="3181"/>
        <v>0</v>
      </c>
      <c r="CI760" s="161">
        <f t="shared" si="3182"/>
        <v>0</v>
      </c>
      <c r="CJ760" s="161">
        <f t="shared" si="3183"/>
        <v>0</v>
      </c>
      <c r="CK760" s="161">
        <f t="shared" si="3184"/>
        <v>0</v>
      </c>
      <c r="CL760" s="161">
        <f t="shared" si="3185"/>
        <v>0</v>
      </c>
      <c r="CM760" s="161">
        <f t="shared" si="3186"/>
        <v>0</v>
      </c>
      <c r="CN760" s="161">
        <f t="shared" si="3187"/>
        <v>0</v>
      </c>
      <c r="CO760" s="161">
        <f t="shared" si="3188"/>
        <v>0</v>
      </c>
      <c r="CP760" s="161">
        <f t="shared" si="3189"/>
        <v>0</v>
      </c>
      <c r="CQ760" s="161">
        <f t="shared" si="3190"/>
        <v>0</v>
      </c>
      <c r="CR760" s="161">
        <f t="shared" si="3191"/>
        <v>0</v>
      </c>
      <c r="CS760" s="161">
        <f t="shared" si="3192"/>
        <v>0</v>
      </c>
      <c r="CT760" s="161">
        <f t="shared" si="3193"/>
        <v>0</v>
      </c>
      <c r="CU760" s="161">
        <f t="shared" si="3194"/>
        <v>0</v>
      </c>
      <c r="CV760" s="161">
        <f t="shared" si="3195"/>
        <v>0</v>
      </c>
      <c r="CW760" s="161">
        <f t="shared" si="3196"/>
        <v>0</v>
      </c>
      <c r="CX760" s="161">
        <f t="shared" si="3197"/>
        <v>0</v>
      </c>
      <c r="CY760" s="161">
        <f t="shared" si="3198"/>
        <v>0</v>
      </c>
      <c r="CZ760" s="161">
        <f t="shared" si="3199"/>
        <v>0</v>
      </c>
      <c r="DA760" s="161">
        <f t="shared" si="3200"/>
        <v>0</v>
      </c>
      <c r="DB760" s="161">
        <f t="shared" si="3201"/>
        <v>0</v>
      </c>
      <c r="DC760" s="161">
        <f t="shared" si="3202"/>
        <v>0</v>
      </c>
      <c r="DD760" s="161">
        <f t="shared" si="3203"/>
        <v>0</v>
      </c>
      <c r="DE760" s="161">
        <f t="shared" si="3204"/>
        <v>0</v>
      </c>
      <c r="DF760" s="161">
        <f t="shared" si="3205"/>
        <v>0</v>
      </c>
      <c r="DG760" s="161">
        <f t="shared" si="3206"/>
        <v>0</v>
      </c>
      <c r="DH760" s="161">
        <f t="shared" si="3207"/>
        <v>0</v>
      </c>
      <c r="DI760" s="161">
        <f t="shared" si="3208"/>
        <v>0</v>
      </c>
      <c r="DJ760" s="161">
        <f t="shared" si="3209"/>
        <v>0</v>
      </c>
      <c r="DK760" s="161">
        <f t="shared" si="3210"/>
        <v>0</v>
      </c>
      <c r="DL760" s="161">
        <f t="shared" si="3211"/>
        <v>0</v>
      </c>
      <c r="DM760" s="161">
        <f t="shared" si="3212"/>
        <v>0</v>
      </c>
      <c r="DN760" s="161">
        <f t="shared" si="3213"/>
        <v>0</v>
      </c>
      <c r="DO760" s="161">
        <f t="shared" si="3214"/>
        <v>0</v>
      </c>
      <c r="DP760" s="161">
        <f t="shared" si="3215"/>
        <v>0</v>
      </c>
      <c r="DQ760" s="161">
        <f t="shared" si="3216"/>
        <v>0</v>
      </c>
      <c r="DR760" s="161">
        <f t="shared" si="3217"/>
        <v>0</v>
      </c>
      <c r="DS760" s="161">
        <f t="shared" si="3218"/>
        <v>0</v>
      </c>
      <c r="DT760" s="161">
        <f t="shared" si="3219"/>
        <v>0</v>
      </c>
      <c r="DU760" s="161">
        <f t="shared" si="3220"/>
        <v>0</v>
      </c>
      <c r="DV760" s="161">
        <f t="shared" si="3221"/>
        <v>0</v>
      </c>
      <c r="DW760" s="161">
        <f t="shared" si="3222"/>
        <v>0</v>
      </c>
      <c r="DX760" s="161">
        <f t="shared" si="3223"/>
        <v>0</v>
      </c>
      <c r="DY760" s="161">
        <f t="shared" si="3224"/>
        <v>0</v>
      </c>
      <c r="DZ760" s="161">
        <f t="shared" si="3225"/>
        <v>0</v>
      </c>
      <c r="EA760" s="161">
        <f t="shared" si="3226"/>
        <v>0</v>
      </c>
      <c r="EB760" s="161">
        <f t="shared" si="3227"/>
        <v>0</v>
      </c>
      <c r="EC760" s="161">
        <f t="shared" si="3228"/>
        <v>0</v>
      </c>
      <c r="ED760" s="161">
        <f t="shared" si="3229"/>
        <v>0</v>
      </c>
      <c r="EE760" s="161">
        <f t="shared" si="3230"/>
        <v>0</v>
      </c>
      <c r="EF760" s="161">
        <f t="shared" si="3231"/>
        <v>0</v>
      </c>
      <c r="EG760" s="161">
        <f t="shared" si="3232"/>
        <v>0</v>
      </c>
      <c r="EH760" s="161">
        <f t="shared" si="3233"/>
        <v>0</v>
      </c>
      <c r="EI760" s="161">
        <f t="shared" si="3234"/>
        <v>0</v>
      </c>
    </row>
    <row r="761" spans="2:139" ht="12" customHeight="1" outlineLevel="1">
      <c r="B761" s="137" t="str">
        <f>IF(F761&gt;0,F761&amp;" - "&amp;D757,"")</f>
        <v>Auxiliar de RH - Gerência do Contrato</v>
      </c>
      <c r="C761" s="65"/>
      <c r="D761" s="607"/>
      <c r="E761" s="65"/>
      <c r="F761" s="164" t="s">
        <v>475</v>
      </c>
      <c r="G761" s="165"/>
      <c r="H761" s="166">
        <f t="shared" si="3147"/>
        <v>0</v>
      </c>
      <c r="I761" s="144">
        <f t="shared" si="3148"/>
        <v>0</v>
      </c>
      <c r="J761" s="65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  <c r="AB761" s="167"/>
      <c r="AC761" s="167"/>
      <c r="AD761" s="167"/>
      <c r="AE761" s="167"/>
      <c r="AF761" s="167"/>
      <c r="AG761" s="167"/>
      <c r="AH761" s="167"/>
      <c r="AI761" s="167"/>
      <c r="AJ761" s="167"/>
      <c r="AK761" s="167"/>
      <c r="AL761" s="167"/>
      <c r="AM761" s="167"/>
      <c r="AN761" s="167"/>
      <c r="AO761" s="167"/>
      <c r="AP761" s="167"/>
      <c r="AQ761" s="167"/>
      <c r="AR761" s="167"/>
      <c r="AS761" s="167"/>
      <c r="AT761" s="167"/>
      <c r="AU761" s="167"/>
      <c r="AV761" s="167"/>
      <c r="AW761" s="167"/>
      <c r="AX761" s="167"/>
      <c r="AY761" s="167"/>
      <c r="AZ761" s="167"/>
      <c r="BA761" s="167"/>
      <c r="BB761" s="167"/>
      <c r="BC761" s="167"/>
      <c r="BD761" s="167"/>
      <c r="BE761" s="167"/>
      <c r="BF761" s="167"/>
      <c r="BG761" s="167"/>
      <c r="BH761" s="167"/>
      <c r="BI761" s="167"/>
      <c r="BJ761" s="167"/>
      <c r="BK761" s="167"/>
      <c r="BL761" s="167"/>
      <c r="BM761" s="167"/>
      <c r="BN761" s="167"/>
      <c r="BO761" s="167"/>
      <c r="BP761" s="167"/>
      <c r="BQ761" s="167"/>
      <c r="BR761" s="167"/>
      <c r="BS761" s="65"/>
      <c r="BT761" s="65"/>
      <c r="BU761" s="65"/>
      <c r="BV761" s="65"/>
      <c r="BW761" s="69"/>
      <c r="BX761" s="65"/>
      <c r="BY761" s="137">
        <f t="shared" si="3235"/>
        <v>0</v>
      </c>
      <c r="BZ761" s="137">
        <f>IF(BY761&gt;0,BY761+LARGE($BZ$757:BZ760,1),0)</f>
        <v>0</v>
      </c>
      <c r="CA761" s="137" t="str">
        <f t="shared" si="3236"/>
        <v>Auxiliar de RH</v>
      </c>
      <c r="CB761" s="161">
        <f t="shared" si="3175"/>
        <v>0</v>
      </c>
      <c r="CC761" s="161">
        <f t="shared" si="3176"/>
        <v>0</v>
      </c>
      <c r="CD761" s="161">
        <f t="shared" si="3177"/>
        <v>0</v>
      </c>
      <c r="CE761" s="161">
        <f t="shared" si="3178"/>
        <v>0</v>
      </c>
      <c r="CF761" s="161">
        <f t="shared" si="3179"/>
        <v>0</v>
      </c>
      <c r="CG761" s="161">
        <f t="shared" si="3180"/>
        <v>0</v>
      </c>
      <c r="CH761" s="161">
        <f t="shared" si="3181"/>
        <v>0</v>
      </c>
      <c r="CI761" s="161">
        <f t="shared" si="3182"/>
        <v>0</v>
      </c>
      <c r="CJ761" s="161">
        <f t="shared" si="3183"/>
        <v>0</v>
      </c>
      <c r="CK761" s="161">
        <f t="shared" si="3184"/>
        <v>0</v>
      </c>
      <c r="CL761" s="161">
        <f t="shared" si="3185"/>
        <v>0</v>
      </c>
      <c r="CM761" s="161">
        <f t="shared" si="3186"/>
        <v>0</v>
      </c>
      <c r="CN761" s="161">
        <f t="shared" si="3187"/>
        <v>0</v>
      </c>
      <c r="CO761" s="161">
        <f t="shared" si="3188"/>
        <v>0</v>
      </c>
      <c r="CP761" s="161">
        <f t="shared" si="3189"/>
        <v>0</v>
      </c>
      <c r="CQ761" s="161">
        <f t="shared" si="3190"/>
        <v>0</v>
      </c>
      <c r="CR761" s="161">
        <f t="shared" si="3191"/>
        <v>0</v>
      </c>
      <c r="CS761" s="161">
        <f t="shared" si="3192"/>
        <v>0</v>
      </c>
      <c r="CT761" s="161">
        <f t="shared" si="3193"/>
        <v>0</v>
      </c>
      <c r="CU761" s="161">
        <f t="shared" si="3194"/>
        <v>0</v>
      </c>
      <c r="CV761" s="161">
        <f t="shared" si="3195"/>
        <v>0</v>
      </c>
      <c r="CW761" s="161">
        <f t="shared" si="3196"/>
        <v>0</v>
      </c>
      <c r="CX761" s="161">
        <f t="shared" si="3197"/>
        <v>0</v>
      </c>
      <c r="CY761" s="161">
        <f t="shared" si="3198"/>
        <v>0</v>
      </c>
      <c r="CZ761" s="161">
        <f t="shared" si="3199"/>
        <v>0</v>
      </c>
      <c r="DA761" s="161">
        <f t="shared" si="3200"/>
        <v>0</v>
      </c>
      <c r="DB761" s="161">
        <f t="shared" si="3201"/>
        <v>0</v>
      </c>
      <c r="DC761" s="161">
        <f t="shared" si="3202"/>
        <v>0</v>
      </c>
      <c r="DD761" s="161">
        <f t="shared" si="3203"/>
        <v>0</v>
      </c>
      <c r="DE761" s="161">
        <f t="shared" si="3204"/>
        <v>0</v>
      </c>
      <c r="DF761" s="161">
        <f t="shared" si="3205"/>
        <v>0</v>
      </c>
      <c r="DG761" s="161">
        <f t="shared" si="3206"/>
        <v>0</v>
      </c>
      <c r="DH761" s="161">
        <f t="shared" si="3207"/>
        <v>0</v>
      </c>
      <c r="DI761" s="161">
        <f t="shared" si="3208"/>
        <v>0</v>
      </c>
      <c r="DJ761" s="161">
        <f t="shared" si="3209"/>
        <v>0</v>
      </c>
      <c r="DK761" s="161">
        <f t="shared" si="3210"/>
        <v>0</v>
      </c>
      <c r="DL761" s="161">
        <f t="shared" si="3211"/>
        <v>0</v>
      </c>
      <c r="DM761" s="161">
        <f t="shared" si="3212"/>
        <v>0</v>
      </c>
      <c r="DN761" s="161">
        <f t="shared" si="3213"/>
        <v>0</v>
      </c>
      <c r="DO761" s="161">
        <f t="shared" si="3214"/>
        <v>0</v>
      </c>
      <c r="DP761" s="161">
        <f t="shared" si="3215"/>
        <v>0</v>
      </c>
      <c r="DQ761" s="161">
        <f t="shared" si="3216"/>
        <v>0</v>
      </c>
      <c r="DR761" s="161">
        <f t="shared" si="3217"/>
        <v>0</v>
      </c>
      <c r="DS761" s="161">
        <f t="shared" si="3218"/>
        <v>0</v>
      </c>
      <c r="DT761" s="161">
        <f t="shared" si="3219"/>
        <v>0</v>
      </c>
      <c r="DU761" s="161">
        <f t="shared" si="3220"/>
        <v>0</v>
      </c>
      <c r="DV761" s="161">
        <f t="shared" si="3221"/>
        <v>0</v>
      </c>
      <c r="DW761" s="161">
        <f t="shared" si="3222"/>
        <v>0</v>
      </c>
      <c r="DX761" s="161">
        <f t="shared" si="3223"/>
        <v>0</v>
      </c>
      <c r="DY761" s="161">
        <f t="shared" si="3224"/>
        <v>0</v>
      </c>
      <c r="DZ761" s="161">
        <f t="shared" si="3225"/>
        <v>0</v>
      </c>
      <c r="EA761" s="161">
        <f t="shared" si="3226"/>
        <v>0</v>
      </c>
      <c r="EB761" s="161">
        <f t="shared" si="3227"/>
        <v>0</v>
      </c>
      <c r="EC761" s="161">
        <f t="shared" si="3228"/>
        <v>0</v>
      </c>
      <c r="ED761" s="161">
        <f t="shared" si="3229"/>
        <v>0</v>
      </c>
      <c r="EE761" s="161">
        <f t="shared" si="3230"/>
        <v>0</v>
      </c>
      <c r="EF761" s="161">
        <f t="shared" si="3231"/>
        <v>0</v>
      </c>
      <c r="EG761" s="161">
        <f t="shared" si="3232"/>
        <v>0</v>
      </c>
      <c r="EH761" s="161">
        <f t="shared" si="3233"/>
        <v>0</v>
      </c>
      <c r="EI761" s="161">
        <f t="shared" si="3234"/>
        <v>0</v>
      </c>
    </row>
    <row r="762" spans="2:139" ht="12" customHeight="1" outlineLevel="1">
      <c r="B762" s="137" t="str">
        <f>IF(F762&gt;0,F762&amp;" - "&amp;D757,"")</f>
        <v>Auxiliar Administrativo - Gerência do Contrato</v>
      </c>
      <c r="C762" s="65"/>
      <c r="D762" s="607"/>
      <c r="E762" s="65"/>
      <c r="F762" s="164" t="s">
        <v>476</v>
      </c>
      <c r="G762" s="165"/>
      <c r="H762" s="166">
        <f t="shared" si="3147"/>
        <v>0</v>
      </c>
      <c r="I762" s="144">
        <f t="shared" si="3148"/>
        <v>0</v>
      </c>
      <c r="J762" s="65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  <c r="AB762" s="167"/>
      <c r="AC762" s="167"/>
      <c r="AD762" s="167"/>
      <c r="AE762" s="167"/>
      <c r="AF762" s="167"/>
      <c r="AG762" s="167"/>
      <c r="AH762" s="167"/>
      <c r="AI762" s="167"/>
      <c r="AJ762" s="167"/>
      <c r="AK762" s="167"/>
      <c r="AL762" s="167"/>
      <c r="AM762" s="167"/>
      <c r="AN762" s="167"/>
      <c r="AO762" s="167"/>
      <c r="AP762" s="167"/>
      <c r="AQ762" s="167"/>
      <c r="AR762" s="167"/>
      <c r="AS762" s="167"/>
      <c r="AT762" s="167"/>
      <c r="AU762" s="167"/>
      <c r="AV762" s="167"/>
      <c r="AW762" s="167"/>
      <c r="AX762" s="167"/>
      <c r="AY762" s="167"/>
      <c r="AZ762" s="167"/>
      <c r="BA762" s="167"/>
      <c r="BB762" s="167"/>
      <c r="BC762" s="167"/>
      <c r="BD762" s="167"/>
      <c r="BE762" s="167"/>
      <c r="BF762" s="167"/>
      <c r="BG762" s="167"/>
      <c r="BH762" s="167"/>
      <c r="BI762" s="167"/>
      <c r="BJ762" s="167"/>
      <c r="BK762" s="167"/>
      <c r="BL762" s="167"/>
      <c r="BM762" s="167"/>
      <c r="BN762" s="167"/>
      <c r="BO762" s="167"/>
      <c r="BP762" s="167"/>
      <c r="BQ762" s="167"/>
      <c r="BR762" s="167"/>
      <c r="BS762" s="65"/>
      <c r="BT762" s="65"/>
      <c r="BU762" s="65"/>
      <c r="BV762" s="65"/>
      <c r="BW762" s="69"/>
      <c r="BX762" s="65"/>
      <c r="BY762" s="137">
        <f t="shared" si="3235"/>
        <v>0</v>
      </c>
      <c r="BZ762" s="137">
        <f>IF(BY762&gt;0,BY762+LARGE($BZ$757:BZ761,1),0)</f>
        <v>0</v>
      </c>
      <c r="CA762" s="137" t="str">
        <f t="shared" si="3236"/>
        <v>Auxiliar Administrativo</v>
      </c>
      <c r="CB762" s="161">
        <f t="shared" si="3175"/>
        <v>0</v>
      </c>
      <c r="CC762" s="161">
        <f t="shared" si="3176"/>
        <v>0</v>
      </c>
      <c r="CD762" s="161">
        <f t="shared" si="3177"/>
        <v>0</v>
      </c>
      <c r="CE762" s="161">
        <f t="shared" si="3178"/>
        <v>0</v>
      </c>
      <c r="CF762" s="161">
        <f t="shared" si="3179"/>
        <v>0</v>
      </c>
      <c r="CG762" s="161">
        <f t="shared" si="3180"/>
        <v>0</v>
      </c>
      <c r="CH762" s="161">
        <f t="shared" si="3181"/>
        <v>0</v>
      </c>
      <c r="CI762" s="161">
        <f t="shared" si="3182"/>
        <v>0</v>
      </c>
      <c r="CJ762" s="161">
        <f t="shared" si="3183"/>
        <v>0</v>
      </c>
      <c r="CK762" s="161">
        <f t="shared" si="3184"/>
        <v>0</v>
      </c>
      <c r="CL762" s="161">
        <f t="shared" si="3185"/>
        <v>0</v>
      </c>
      <c r="CM762" s="161">
        <f t="shared" si="3186"/>
        <v>0</v>
      </c>
      <c r="CN762" s="161">
        <f t="shared" si="3187"/>
        <v>0</v>
      </c>
      <c r="CO762" s="161">
        <f t="shared" si="3188"/>
        <v>0</v>
      </c>
      <c r="CP762" s="161">
        <f t="shared" si="3189"/>
        <v>0</v>
      </c>
      <c r="CQ762" s="161">
        <f t="shared" si="3190"/>
        <v>0</v>
      </c>
      <c r="CR762" s="161">
        <f t="shared" si="3191"/>
        <v>0</v>
      </c>
      <c r="CS762" s="161">
        <f t="shared" si="3192"/>
        <v>0</v>
      </c>
      <c r="CT762" s="161">
        <f t="shared" si="3193"/>
        <v>0</v>
      </c>
      <c r="CU762" s="161">
        <f t="shared" si="3194"/>
        <v>0</v>
      </c>
      <c r="CV762" s="161">
        <f t="shared" si="3195"/>
        <v>0</v>
      </c>
      <c r="CW762" s="161">
        <f t="shared" si="3196"/>
        <v>0</v>
      </c>
      <c r="CX762" s="161">
        <f t="shared" si="3197"/>
        <v>0</v>
      </c>
      <c r="CY762" s="161">
        <f t="shared" si="3198"/>
        <v>0</v>
      </c>
      <c r="CZ762" s="161">
        <f t="shared" si="3199"/>
        <v>0</v>
      </c>
      <c r="DA762" s="161">
        <f t="shared" si="3200"/>
        <v>0</v>
      </c>
      <c r="DB762" s="161">
        <f t="shared" si="3201"/>
        <v>0</v>
      </c>
      <c r="DC762" s="161">
        <f t="shared" si="3202"/>
        <v>0</v>
      </c>
      <c r="DD762" s="161">
        <f t="shared" si="3203"/>
        <v>0</v>
      </c>
      <c r="DE762" s="161">
        <f t="shared" si="3204"/>
        <v>0</v>
      </c>
      <c r="DF762" s="161">
        <f t="shared" si="3205"/>
        <v>0</v>
      </c>
      <c r="DG762" s="161">
        <f t="shared" si="3206"/>
        <v>0</v>
      </c>
      <c r="DH762" s="161">
        <f t="shared" si="3207"/>
        <v>0</v>
      </c>
      <c r="DI762" s="161">
        <f t="shared" si="3208"/>
        <v>0</v>
      </c>
      <c r="DJ762" s="161">
        <f t="shared" si="3209"/>
        <v>0</v>
      </c>
      <c r="DK762" s="161">
        <f t="shared" si="3210"/>
        <v>0</v>
      </c>
      <c r="DL762" s="161">
        <f t="shared" si="3211"/>
        <v>0</v>
      </c>
      <c r="DM762" s="161">
        <f t="shared" si="3212"/>
        <v>0</v>
      </c>
      <c r="DN762" s="161">
        <f t="shared" si="3213"/>
        <v>0</v>
      </c>
      <c r="DO762" s="161">
        <f t="shared" si="3214"/>
        <v>0</v>
      </c>
      <c r="DP762" s="161">
        <f t="shared" si="3215"/>
        <v>0</v>
      </c>
      <c r="DQ762" s="161">
        <f t="shared" si="3216"/>
        <v>0</v>
      </c>
      <c r="DR762" s="161">
        <f t="shared" si="3217"/>
        <v>0</v>
      </c>
      <c r="DS762" s="161">
        <f t="shared" si="3218"/>
        <v>0</v>
      </c>
      <c r="DT762" s="161">
        <f t="shared" si="3219"/>
        <v>0</v>
      </c>
      <c r="DU762" s="161">
        <f t="shared" si="3220"/>
        <v>0</v>
      </c>
      <c r="DV762" s="161">
        <f t="shared" si="3221"/>
        <v>0</v>
      </c>
      <c r="DW762" s="161">
        <f t="shared" si="3222"/>
        <v>0</v>
      </c>
      <c r="DX762" s="161">
        <f t="shared" si="3223"/>
        <v>0</v>
      </c>
      <c r="DY762" s="161">
        <f t="shared" si="3224"/>
        <v>0</v>
      </c>
      <c r="DZ762" s="161">
        <f t="shared" si="3225"/>
        <v>0</v>
      </c>
      <c r="EA762" s="161">
        <f t="shared" si="3226"/>
        <v>0</v>
      </c>
      <c r="EB762" s="161">
        <f t="shared" si="3227"/>
        <v>0</v>
      </c>
      <c r="EC762" s="161">
        <f t="shared" si="3228"/>
        <v>0</v>
      </c>
      <c r="ED762" s="161">
        <f t="shared" si="3229"/>
        <v>0</v>
      </c>
      <c r="EE762" s="161">
        <f t="shared" si="3230"/>
        <v>0</v>
      </c>
      <c r="EF762" s="161">
        <f t="shared" si="3231"/>
        <v>0</v>
      </c>
      <c r="EG762" s="161">
        <f t="shared" si="3232"/>
        <v>0</v>
      </c>
      <c r="EH762" s="161">
        <f t="shared" si="3233"/>
        <v>0</v>
      </c>
      <c r="EI762" s="161">
        <f t="shared" si="3234"/>
        <v>0</v>
      </c>
    </row>
    <row r="763" spans="2:139" ht="12" customHeight="1" outlineLevel="1">
      <c r="B763" s="137" t="str">
        <f>IF(F763&gt;0,F763&amp;" - "&amp;D757,"")</f>
        <v/>
      </c>
      <c r="C763" s="65"/>
      <c r="D763" s="607"/>
      <c r="E763" s="65"/>
      <c r="F763" s="164"/>
      <c r="G763" s="165"/>
      <c r="H763" s="166">
        <f t="shared" si="3147"/>
        <v>0</v>
      </c>
      <c r="I763" s="144">
        <f t="shared" si="3148"/>
        <v>0</v>
      </c>
      <c r="J763" s="65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  <c r="AB763" s="167"/>
      <c r="AC763" s="167"/>
      <c r="AD763" s="167"/>
      <c r="AE763" s="167"/>
      <c r="AF763" s="167"/>
      <c r="AG763" s="167"/>
      <c r="AH763" s="167"/>
      <c r="AI763" s="167"/>
      <c r="AJ763" s="167"/>
      <c r="AK763" s="167"/>
      <c r="AL763" s="167"/>
      <c r="AM763" s="167"/>
      <c r="AN763" s="167"/>
      <c r="AO763" s="167"/>
      <c r="AP763" s="167"/>
      <c r="AQ763" s="167"/>
      <c r="AR763" s="167"/>
      <c r="AS763" s="167"/>
      <c r="AT763" s="167"/>
      <c r="AU763" s="167"/>
      <c r="AV763" s="167"/>
      <c r="AW763" s="167"/>
      <c r="AX763" s="167"/>
      <c r="AY763" s="167"/>
      <c r="AZ763" s="167"/>
      <c r="BA763" s="167"/>
      <c r="BB763" s="167"/>
      <c r="BC763" s="167"/>
      <c r="BD763" s="167"/>
      <c r="BE763" s="167"/>
      <c r="BF763" s="167"/>
      <c r="BG763" s="167"/>
      <c r="BH763" s="167"/>
      <c r="BI763" s="167"/>
      <c r="BJ763" s="167"/>
      <c r="BK763" s="167"/>
      <c r="BL763" s="167"/>
      <c r="BM763" s="167"/>
      <c r="BN763" s="167"/>
      <c r="BO763" s="167"/>
      <c r="BP763" s="167"/>
      <c r="BQ763" s="167"/>
      <c r="BR763" s="167"/>
      <c r="BS763" s="65"/>
      <c r="BT763" s="65"/>
      <c r="BU763" s="65"/>
      <c r="BV763" s="65"/>
      <c r="BW763" s="69"/>
      <c r="BX763" s="65"/>
      <c r="BY763" s="137">
        <f t="shared" si="3235"/>
        <v>0</v>
      </c>
      <c r="BZ763" s="137">
        <f>IF(BY763&gt;0,BY763+LARGE($BZ$757:BZ762,1),0)</f>
        <v>0</v>
      </c>
      <c r="CA763" s="137">
        <f t="shared" si="3236"/>
        <v>0</v>
      </c>
      <c r="CB763" s="161">
        <f t="shared" si="3175"/>
        <v>0</v>
      </c>
      <c r="CC763" s="161">
        <f t="shared" si="3176"/>
        <v>0</v>
      </c>
      <c r="CD763" s="161">
        <f t="shared" si="3177"/>
        <v>0</v>
      </c>
      <c r="CE763" s="161">
        <f t="shared" si="3178"/>
        <v>0</v>
      </c>
      <c r="CF763" s="161">
        <f t="shared" si="3179"/>
        <v>0</v>
      </c>
      <c r="CG763" s="161">
        <f t="shared" si="3180"/>
        <v>0</v>
      </c>
      <c r="CH763" s="161">
        <f t="shared" si="3181"/>
        <v>0</v>
      </c>
      <c r="CI763" s="161">
        <f t="shared" si="3182"/>
        <v>0</v>
      </c>
      <c r="CJ763" s="161">
        <f t="shared" si="3183"/>
        <v>0</v>
      </c>
      <c r="CK763" s="161">
        <f t="shared" si="3184"/>
        <v>0</v>
      </c>
      <c r="CL763" s="161">
        <f t="shared" si="3185"/>
        <v>0</v>
      </c>
      <c r="CM763" s="161">
        <f t="shared" si="3186"/>
        <v>0</v>
      </c>
      <c r="CN763" s="161">
        <f t="shared" si="3187"/>
        <v>0</v>
      </c>
      <c r="CO763" s="161">
        <f t="shared" si="3188"/>
        <v>0</v>
      </c>
      <c r="CP763" s="161">
        <f t="shared" si="3189"/>
        <v>0</v>
      </c>
      <c r="CQ763" s="161">
        <f t="shared" si="3190"/>
        <v>0</v>
      </c>
      <c r="CR763" s="161">
        <f t="shared" si="3191"/>
        <v>0</v>
      </c>
      <c r="CS763" s="161">
        <f t="shared" si="3192"/>
        <v>0</v>
      </c>
      <c r="CT763" s="161">
        <f t="shared" si="3193"/>
        <v>0</v>
      </c>
      <c r="CU763" s="161">
        <f t="shared" si="3194"/>
        <v>0</v>
      </c>
      <c r="CV763" s="161">
        <f t="shared" si="3195"/>
        <v>0</v>
      </c>
      <c r="CW763" s="161">
        <f t="shared" si="3196"/>
        <v>0</v>
      </c>
      <c r="CX763" s="161">
        <f t="shared" si="3197"/>
        <v>0</v>
      </c>
      <c r="CY763" s="161">
        <f t="shared" si="3198"/>
        <v>0</v>
      </c>
      <c r="CZ763" s="161">
        <f t="shared" si="3199"/>
        <v>0</v>
      </c>
      <c r="DA763" s="161">
        <f t="shared" si="3200"/>
        <v>0</v>
      </c>
      <c r="DB763" s="161">
        <f t="shared" si="3201"/>
        <v>0</v>
      </c>
      <c r="DC763" s="161">
        <f t="shared" si="3202"/>
        <v>0</v>
      </c>
      <c r="DD763" s="161">
        <f t="shared" si="3203"/>
        <v>0</v>
      </c>
      <c r="DE763" s="161">
        <f t="shared" si="3204"/>
        <v>0</v>
      </c>
      <c r="DF763" s="161">
        <f t="shared" si="3205"/>
        <v>0</v>
      </c>
      <c r="DG763" s="161">
        <f t="shared" si="3206"/>
        <v>0</v>
      </c>
      <c r="DH763" s="161">
        <f t="shared" si="3207"/>
        <v>0</v>
      </c>
      <c r="DI763" s="161">
        <f t="shared" si="3208"/>
        <v>0</v>
      </c>
      <c r="DJ763" s="161">
        <f t="shared" si="3209"/>
        <v>0</v>
      </c>
      <c r="DK763" s="161">
        <f t="shared" si="3210"/>
        <v>0</v>
      </c>
      <c r="DL763" s="161">
        <f t="shared" si="3211"/>
        <v>0</v>
      </c>
      <c r="DM763" s="161">
        <f t="shared" si="3212"/>
        <v>0</v>
      </c>
      <c r="DN763" s="161">
        <f t="shared" si="3213"/>
        <v>0</v>
      </c>
      <c r="DO763" s="161">
        <f t="shared" si="3214"/>
        <v>0</v>
      </c>
      <c r="DP763" s="161">
        <f t="shared" si="3215"/>
        <v>0</v>
      </c>
      <c r="DQ763" s="161">
        <f t="shared" si="3216"/>
        <v>0</v>
      </c>
      <c r="DR763" s="161">
        <f t="shared" si="3217"/>
        <v>0</v>
      </c>
      <c r="DS763" s="161">
        <f t="shared" si="3218"/>
        <v>0</v>
      </c>
      <c r="DT763" s="161">
        <f t="shared" si="3219"/>
        <v>0</v>
      </c>
      <c r="DU763" s="161">
        <f t="shared" si="3220"/>
        <v>0</v>
      </c>
      <c r="DV763" s="161">
        <f t="shared" si="3221"/>
        <v>0</v>
      </c>
      <c r="DW763" s="161">
        <f t="shared" si="3222"/>
        <v>0</v>
      </c>
      <c r="DX763" s="161">
        <f t="shared" si="3223"/>
        <v>0</v>
      </c>
      <c r="DY763" s="161">
        <f t="shared" si="3224"/>
        <v>0</v>
      </c>
      <c r="DZ763" s="161">
        <f t="shared" si="3225"/>
        <v>0</v>
      </c>
      <c r="EA763" s="161">
        <f t="shared" si="3226"/>
        <v>0</v>
      </c>
      <c r="EB763" s="161">
        <f t="shared" si="3227"/>
        <v>0</v>
      </c>
      <c r="EC763" s="161">
        <f t="shared" si="3228"/>
        <v>0</v>
      </c>
      <c r="ED763" s="161">
        <f t="shared" si="3229"/>
        <v>0</v>
      </c>
      <c r="EE763" s="161">
        <f t="shared" si="3230"/>
        <v>0</v>
      </c>
      <c r="EF763" s="161">
        <f t="shared" si="3231"/>
        <v>0</v>
      </c>
      <c r="EG763" s="161">
        <f t="shared" si="3232"/>
        <v>0</v>
      </c>
      <c r="EH763" s="161">
        <f t="shared" si="3233"/>
        <v>0</v>
      </c>
      <c r="EI763" s="161">
        <f t="shared" si="3234"/>
        <v>0</v>
      </c>
    </row>
    <row r="764" spans="2:139" ht="6" customHeight="1" outlineLevel="1"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  <c r="AM764" s="65"/>
      <c r="AN764" s="65"/>
      <c r="AO764" s="65"/>
      <c r="AP764" s="65"/>
      <c r="AQ764" s="65"/>
      <c r="AR764" s="65"/>
      <c r="AS764" s="65"/>
      <c r="AT764" s="65"/>
      <c r="AU764" s="65"/>
      <c r="AV764" s="65"/>
      <c r="AW764" s="65"/>
      <c r="AX764" s="65"/>
      <c r="AY764" s="65"/>
      <c r="AZ764" s="65"/>
      <c r="BA764" s="65"/>
      <c r="BB764" s="65"/>
      <c r="BC764" s="65"/>
      <c r="BD764" s="65"/>
      <c r="BE764" s="65"/>
      <c r="BF764" s="65"/>
      <c r="BG764" s="65"/>
      <c r="BH764" s="65"/>
      <c r="BI764" s="65"/>
      <c r="BJ764" s="65"/>
      <c r="BK764" s="65"/>
      <c r="BL764" s="65"/>
      <c r="BM764" s="65"/>
      <c r="BN764" s="65"/>
      <c r="BO764" s="65"/>
      <c r="BP764" s="65"/>
      <c r="BQ764" s="65"/>
      <c r="BR764" s="65"/>
      <c r="BS764" s="65"/>
      <c r="BT764" s="65"/>
      <c r="BU764" s="65"/>
      <c r="BV764" s="65"/>
      <c r="BW764" s="69"/>
      <c r="BX764" s="65"/>
      <c r="BY764" s="65"/>
      <c r="BZ764" s="65"/>
      <c r="CA764" s="65"/>
      <c r="CB764" s="65"/>
      <c r="CC764" s="65"/>
      <c r="CD764" s="65"/>
      <c r="CE764" s="65"/>
      <c r="CF764" s="65"/>
      <c r="CG764" s="65"/>
      <c r="CH764" s="65"/>
      <c r="CI764" s="65"/>
      <c r="CJ764" s="65"/>
      <c r="CK764" s="65"/>
      <c r="CL764" s="65"/>
      <c r="CM764" s="65"/>
      <c r="CN764" s="65"/>
      <c r="CO764" s="65"/>
      <c r="CP764" s="65"/>
      <c r="CQ764" s="65"/>
      <c r="CR764" s="65"/>
      <c r="CS764" s="65"/>
      <c r="CT764" s="65"/>
      <c r="CU764" s="65"/>
      <c r="CV764" s="65"/>
      <c r="CW764" s="65"/>
      <c r="CX764" s="65"/>
      <c r="CY764" s="65"/>
      <c r="CZ764" s="65"/>
      <c r="DA764" s="65"/>
      <c r="DB764" s="65"/>
      <c r="DC764" s="65"/>
      <c r="DD764" s="65"/>
      <c r="DE764" s="65"/>
      <c r="DF764" s="65"/>
      <c r="DG764" s="65"/>
      <c r="DH764" s="65"/>
      <c r="DI764" s="65"/>
      <c r="DJ764" s="65"/>
      <c r="DK764" s="65"/>
      <c r="DL764" s="65"/>
      <c r="DM764" s="65"/>
      <c r="DN764" s="65"/>
      <c r="DO764" s="65"/>
      <c r="DP764" s="65"/>
      <c r="DQ764" s="65"/>
      <c r="DR764" s="65"/>
      <c r="DS764" s="65"/>
      <c r="DT764" s="65"/>
      <c r="DU764" s="65"/>
      <c r="DV764" s="65"/>
      <c r="DW764" s="65"/>
      <c r="DX764" s="65"/>
      <c r="DY764" s="65"/>
      <c r="DZ764" s="65"/>
      <c r="EA764" s="65"/>
      <c r="EB764" s="65"/>
      <c r="EC764" s="65"/>
      <c r="ED764" s="65"/>
      <c r="EE764" s="65"/>
      <c r="EF764" s="65"/>
      <c r="EG764" s="65"/>
      <c r="EH764" s="65"/>
      <c r="EI764" s="65"/>
    </row>
    <row r="765" spans="2:139" ht="12" customHeight="1" outlineLevel="1">
      <c r="B765" s="137" t="str">
        <f>IF(F765&gt;0,F765&amp;" - "&amp;D765,"")</f>
        <v>Engenheiro Mecânico - Supervisão de Obra</v>
      </c>
      <c r="C765" s="65"/>
      <c r="D765" s="607" t="s">
        <v>477</v>
      </c>
      <c r="E765" s="65"/>
      <c r="F765" s="164" t="s">
        <v>478</v>
      </c>
      <c r="G765" s="165"/>
      <c r="H765" s="166">
        <f t="shared" ref="H765:H771" si="3237">IFERROR(SUM(K765:BR765)/COUNTIF(K765:BR765,"&gt;0"),0)</f>
        <v>0</v>
      </c>
      <c r="I765" s="144">
        <f t="shared" ref="I765:I771" si="3238">COUNTIF(K765:BR765,"&gt;0")</f>
        <v>0</v>
      </c>
      <c r="J765" s="65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  <c r="AB765" s="167"/>
      <c r="AC765" s="167"/>
      <c r="AD765" s="167"/>
      <c r="AE765" s="167"/>
      <c r="AF765" s="167"/>
      <c r="AG765" s="167"/>
      <c r="AH765" s="167"/>
      <c r="AI765" s="167"/>
      <c r="AJ765" s="167"/>
      <c r="AK765" s="167"/>
      <c r="AL765" s="167"/>
      <c r="AM765" s="167"/>
      <c r="AN765" s="167"/>
      <c r="AO765" s="167"/>
      <c r="AP765" s="167"/>
      <c r="AQ765" s="167"/>
      <c r="AR765" s="167"/>
      <c r="AS765" s="167"/>
      <c r="AT765" s="167"/>
      <c r="AU765" s="167"/>
      <c r="AV765" s="167"/>
      <c r="AW765" s="167"/>
      <c r="AX765" s="167"/>
      <c r="AY765" s="167"/>
      <c r="AZ765" s="167"/>
      <c r="BA765" s="167"/>
      <c r="BB765" s="167"/>
      <c r="BC765" s="167"/>
      <c r="BD765" s="167"/>
      <c r="BE765" s="167"/>
      <c r="BF765" s="167"/>
      <c r="BG765" s="167"/>
      <c r="BH765" s="167"/>
      <c r="BI765" s="167"/>
      <c r="BJ765" s="167"/>
      <c r="BK765" s="167"/>
      <c r="BL765" s="167"/>
      <c r="BM765" s="167"/>
      <c r="BN765" s="167"/>
      <c r="BO765" s="167"/>
      <c r="BP765" s="167"/>
      <c r="BQ765" s="167"/>
      <c r="BR765" s="167"/>
      <c r="BS765" s="65"/>
      <c r="BT765" s="65"/>
      <c r="BU765" s="65"/>
      <c r="BV765" s="65"/>
      <c r="BW765" s="69"/>
      <c r="BX765" s="65"/>
      <c r="BY765" s="137">
        <f t="shared" si="3235"/>
        <v>0</v>
      </c>
      <c r="BZ765" s="137">
        <f>IF(BY765&gt;0,BY765+LARGE($BZ$757:BZ764,1),0)</f>
        <v>0</v>
      </c>
      <c r="CA765" s="137" t="str">
        <f t="shared" si="3236"/>
        <v>Engenheiro Mecânico</v>
      </c>
      <c r="CB765" s="161">
        <f t="shared" si="3175"/>
        <v>0</v>
      </c>
      <c r="CC765" s="161">
        <f t="shared" si="3176"/>
        <v>0</v>
      </c>
      <c r="CD765" s="161">
        <f t="shared" si="3177"/>
        <v>0</v>
      </c>
      <c r="CE765" s="161">
        <f t="shared" si="3178"/>
        <v>0</v>
      </c>
      <c r="CF765" s="161">
        <f t="shared" si="3179"/>
        <v>0</v>
      </c>
      <c r="CG765" s="161">
        <f t="shared" si="3180"/>
        <v>0</v>
      </c>
      <c r="CH765" s="161">
        <f t="shared" si="3181"/>
        <v>0</v>
      </c>
      <c r="CI765" s="161">
        <f t="shared" si="3182"/>
        <v>0</v>
      </c>
      <c r="CJ765" s="161">
        <f t="shared" si="3183"/>
        <v>0</v>
      </c>
      <c r="CK765" s="161">
        <f t="shared" si="3184"/>
        <v>0</v>
      </c>
      <c r="CL765" s="161">
        <f t="shared" si="3185"/>
        <v>0</v>
      </c>
      <c r="CM765" s="161">
        <f t="shared" si="3186"/>
        <v>0</v>
      </c>
      <c r="CN765" s="161">
        <f t="shared" si="3187"/>
        <v>0</v>
      </c>
      <c r="CO765" s="161">
        <f t="shared" si="3188"/>
        <v>0</v>
      </c>
      <c r="CP765" s="161">
        <f t="shared" si="3189"/>
        <v>0</v>
      </c>
      <c r="CQ765" s="161">
        <f t="shared" si="3190"/>
        <v>0</v>
      </c>
      <c r="CR765" s="161">
        <f t="shared" si="3191"/>
        <v>0</v>
      </c>
      <c r="CS765" s="161">
        <f t="shared" si="3192"/>
        <v>0</v>
      </c>
      <c r="CT765" s="161">
        <f t="shared" si="3193"/>
        <v>0</v>
      </c>
      <c r="CU765" s="161">
        <f t="shared" si="3194"/>
        <v>0</v>
      </c>
      <c r="CV765" s="161">
        <f t="shared" si="3195"/>
        <v>0</v>
      </c>
      <c r="CW765" s="161">
        <f t="shared" si="3196"/>
        <v>0</v>
      </c>
      <c r="CX765" s="161">
        <f t="shared" si="3197"/>
        <v>0</v>
      </c>
      <c r="CY765" s="161">
        <f t="shared" si="3198"/>
        <v>0</v>
      </c>
      <c r="CZ765" s="161">
        <f t="shared" si="3199"/>
        <v>0</v>
      </c>
      <c r="DA765" s="161">
        <f t="shared" si="3200"/>
        <v>0</v>
      </c>
      <c r="DB765" s="161">
        <f t="shared" si="3201"/>
        <v>0</v>
      </c>
      <c r="DC765" s="161">
        <f t="shared" si="3202"/>
        <v>0</v>
      </c>
      <c r="DD765" s="161">
        <f t="shared" si="3203"/>
        <v>0</v>
      </c>
      <c r="DE765" s="161">
        <f t="shared" si="3204"/>
        <v>0</v>
      </c>
      <c r="DF765" s="161">
        <f t="shared" si="3205"/>
        <v>0</v>
      </c>
      <c r="DG765" s="161">
        <f t="shared" si="3206"/>
        <v>0</v>
      </c>
      <c r="DH765" s="161">
        <f t="shared" si="3207"/>
        <v>0</v>
      </c>
      <c r="DI765" s="161">
        <f t="shared" si="3208"/>
        <v>0</v>
      </c>
      <c r="DJ765" s="161">
        <f t="shared" si="3209"/>
        <v>0</v>
      </c>
      <c r="DK765" s="161">
        <f t="shared" si="3210"/>
        <v>0</v>
      </c>
      <c r="DL765" s="161">
        <f t="shared" si="3211"/>
        <v>0</v>
      </c>
      <c r="DM765" s="161">
        <f t="shared" si="3212"/>
        <v>0</v>
      </c>
      <c r="DN765" s="161">
        <f t="shared" si="3213"/>
        <v>0</v>
      </c>
      <c r="DO765" s="161">
        <f t="shared" si="3214"/>
        <v>0</v>
      </c>
      <c r="DP765" s="161">
        <f t="shared" si="3215"/>
        <v>0</v>
      </c>
      <c r="DQ765" s="161">
        <f t="shared" si="3216"/>
        <v>0</v>
      </c>
      <c r="DR765" s="161">
        <f t="shared" si="3217"/>
        <v>0</v>
      </c>
      <c r="DS765" s="161">
        <f t="shared" si="3218"/>
        <v>0</v>
      </c>
      <c r="DT765" s="161">
        <f t="shared" si="3219"/>
        <v>0</v>
      </c>
      <c r="DU765" s="161">
        <f t="shared" si="3220"/>
        <v>0</v>
      </c>
      <c r="DV765" s="161">
        <f t="shared" si="3221"/>
        <v>0</v>
      </c>
      <c r="DW765" s="161">
        <f t="shared" si="3222"/>
        <v>0</v>
      </c>
      <c r="DX765" s="161">
        <f t="shared" si="3223"/>
        <v>0</v>
      </c>
      <c r="DY765" s="161">
        <f t="shared" si="3224"/>
        <v>0</v>
      </c>
      <c r="DZ765" s="161">
        <f t="shared" si="3225"/>
        <v>0</v>
      </c>
      <c r="EA765" s="161">
        <f t="shared" si="3226"/>
        <v>0</v>
      </c>
      <c r="EB765" s="161">
        <f t="shared" si="3227"/>
        <v>0</v>
      </c>
      <c r="EC765" s="161">
        <f t="shared" si="3228"/>
        <v>0</v>
      </c>
      <c r="ED765" s="161">
        <f t="shared" si="3229"/>
        <v>0</v>
      </c>
      <c r="EE765" s="161">
        <f t="shared" si="3230"/>
        <v>0</v>
      </c>
      <c r="EF765" s="161">
        <f t="shared" si="3231"/>
        <v>0</v>
      </c>
      <c r="EG765" s="161">
        <f t="shared" si="3232"/>
        <v>0</v>
      </c>
      <c r="EH765" s="161">
        <f t="shared" si="3233"/>
        <v>0</v>
      </c>
      <c r="EI765" s="161">
        <f t="shared" si="3234"/>
        <v>0</v>
      </c>
    </row>
    <row r="766" spans="2:139" ht="12" customHeight="1" outlineLevel="1">
      <c r="B766" s="137" t="str">
        <f>IF(F766&gt;0,F766&amp;" - "&amp;D765,"")</f>
        <v>Engenheiro Elétrica &amp; Instrumentação - Supervisão de Obra</v>
      </c>
      <c r="C766" s="65"/>
      <c r="D766" s="607"/>
      <c r="E766" s="65"/>
      <c r="F766" s="164" t="s">
        <v>479</v>
      </c>
      <c r="G766" s="165"/>
      <c r="H766" s="166">
        <f t="shared" si="3237"/>
        <v>0</v>
      </c>
      <c r="I766" s="144">
        <f t="shared" si="3238"/>
        <v>0</v>
      </c>
      <c r="J766" s="65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  <c r="AB766" s="167"/>
      <c r="AC766" s="167"/>
      <c r="AD766" s="167"/>
      <c r="AE766" s="167"/>
      <c r="AF766" s="167"/>
      <c r="AG766" s="167"/>
      <c r="AH766" s="167"/>
      <c r="AI766" s="167"/>
      <c r="AJ766" s="167"/>
      <c r="AK766" s="167"/>
      <c r="AL766" s="167"/>
      <c r="AM766" s="167"/>
      <c r="AN766" s="167"/>
      <c r="AO766" s="167"/>
      <c r="AP766" s="167"/>
      <c r="AQ766" s="167"/>
      <c r="AR766" s="167"/>
      <c r="AS766" s="167"/>
      <c r="AT766" s="167"/>
      <c r="AU766" s="167"/>
      <c r="AV766" s="167"/>
      <c r="AW766" s="167"/>
      <c r="AX766" s="167"/>
      <c r="AY766" s="167"/>
      <c r="AZ766" s="167"/>
      <c r="BA766" s="167"/>
      <c r="BB766" s="167"/>
      <c r="BC766" s="167"/>
      <c r="BD766" s="167"/>
      <c r="BE766" s="167"/>
      <c r="BF766" s="167"/>
      <c r="BG766" s="167"/>
      <c r="BH766" s="167"/>
      <c r="BI766" s="167"/>
      <c r="BJ766" s="167"/>
      <c r="BK766" s="167"/>
      <c r="BL766" s="167"/>
      <c r="BM766" s="167"/>
      <c r="BN766" s="167"/>
      <c r="BO766" s="167"/>
      <c r="BP766" s="167"/>
      <c r="BQ766" s="167"/>
      <c r="BR766" s="167"/>
      <c r="BS766" s="65"/>
      <c r="BT766" s="65"/>
      <c r="BU766" s="65"/>
      <c r="BV766" s="65"/>
      <c r="BW766" s="69"/>
      <c r="BX766" s="65"/>
      <c r="BY766" s="137">
        <f t="shared" si="3235"/>
        <v>0</v>
      </c>
      <c r="BZ766" s="137">
        <f>IF(BY766&gt;0,BY766+LARGE($BZ$757:BZ765,1),0)</f>
        <v>0</v>
      </c>
      <c r="CA766" s="137" t="str">
        <f t="shared" si="3236"/>
        <v>Engenheiro Elétrica &amp; Instrumentação</v>
      </c>
      <c r="CB766" s="161">
        <f t="shared" si="3175"/>
        <v>0</v>
      </c>
      <c r="CC766" s="161">
        <f t="shared" si="3176"/>
        <v>0</v>
      </c>
      <c r="CD766" s="161">
        <f t="shared" si="3177"/>
        <v>0</v>
      </c>
      <c r="CE766" s="161">
        <f t="shared" si="3178"/>
        <v>0</v>
      </c>
      <c r="CF766" s="161">
        <f t="shared" si="3179"/>
        <v>0</v>
      </c>
      <c r="CG766" s="161">
        <f t="shared" si="3180"/>
        <v>0</v>
      </c>
      <c r="CH766" s="161">
        <f t="shared" si="3181"/>
        <v>0</v>
      </c>
      <c r="CI766" s="161">
        <f t="shared" si="3182"/>
        <v>0</v>
      </c>
      <c r="CJ766" s="161">
        <f t="shared" si="3183"/>
        <v>0</v>
      </c>
      <c r="CK766" s="161">
        <f t="shared" si="3184"/>
        <v>0</v>
      </c>
      <c r="CL766" s="161">
        <f t="shared" si="3185"/>
        <v>0</v>
      </c>
      <c r="CM766" s="161">
        <f t="shared" si="3186"/>
        <v>0</v>
      </c>
      <c r="CN766" s="161">
        <f t="shared" si="3187"/>
        <v>0</v>
      </c>
      <c r="CO766" s="161">
        <f t="shared" si="3188"/>
        <v>0</v>
      </c>
      <c r="CP766" s="161">
        <f t="shared" si="3189"/>
        <v>0</v>
      </c>
      <c r="CQ766" s="161">
        <f t="shared" si="3190"/>
        <v>0</v>
      </c>
      <c r="CR766" s="161">
        <f t="shared" si="3191"/>
        <v>0</v>
      </c>
      <c r="CS766" s="161">
        <f t="shared" si="3192"/>
        <v>0</v>
      </c>
      <c r="CT766" s="161">
        <f t="shared" si="3193"/>
        <v>0</v>
      </c>
      <c r="CU766" s="161">
        <f t="shared" si="3194"/>
        <v>0</v>
      </c>
      <c r="CV766" s="161">
        <f t="shared" si="3195"/>
        <v>0</v>
      </c>
      <c r="CW766" s="161">
        <f t="shared" si="3196"/>
        <v>0</v>
      </c>
      <c r="CX766" s="161">
        <f t="shared" si="3197"/>
        <v>0</v>
      </c>
      <c r="CY766" s="161">
        <f t="shared" si="3198"/>
        <v>0</v>
      </c>
      <c r="CZ766" s="161">
        <f t="shared" si="3199"/>
        <v>0</v>
      </c>
      <c r="DA766" s="161">
        <f t="shared" si="3200"/>
        <v>0</v>
      </c>
      <c r="DB766" s="161">
        <f t="shared" si="3201"/>
        <v>0</v>
      </c>
      <c r="DC766" s="161">
        <f t="shared" si="3202"/>
        <v>0</v>
      </c>
      <c r="DD766" s="161">
        <f t="shared" si="3203"/>
        <v>0</v>
      </c>
      <c r="DE766" s="161">
        <f t="shared" si="3204"/>
        <v>0</v>
      </c>
      <c r="DF766" s="161">
        <f t="shared" si="3205"/>
        <v>0</v>
      </c>
      <c r="DG766" s="161">
        <f t="shared" si="3206"/>
        <v>0</v>
      </c>
      <c r="DH766" s="161">
        <f t="shared" si="3207"/>
        <v>0</v>
      </c>
      <c r="DI766" s="161">
        <f t="shared" si="3208"/>
        <v>0</v>
      </c>
      <c r="DJ766" s="161">
        <f t="shared" si="3209"/>
        <v>0</v>
      </c>
      <c r="DK766" s="161">
        <f t="shared" si="3210"/>
        <v>0</v>
      </c>
      <c r="DL766" s="161">
        <f t="shared" si="3211"/>
        <v>0</v>
      </c>
      <c r="DM766" s="161">
        <f t="shared" si="3212"/>
        <v>0</v>
      </c>
      <c r="DN766" s="161">
        <f t="shared" si="3213"/>
        <v>0</v>
      </c>
      <c r="DO766" s="161">
        <f t="shared" si="3214"/>
        <v>0</v>
      </c>
      <c r="DP766" s="161">
        <f t="shared" si="3215"/>
        <v>0</v>
      </c>
      <c r="DQ766" s="161">
        <f t="shared" si="3216"/>
        <v>0</v>
      </c>
      <c r="DR766" s="161">
        <f t="shared" si="3217"/>
        <v>0</v>
      </c>
      <c r="DS766" s="161">
        <f t="shared" si="3218"/>
        <v>0</v>
      </c>
      <c r="DT766" s="161">
        <f t="shared" si="3219"/>
        <v>0</v>
      </c>
      <c r="DU766" s="161">
        <f t="shared" si="3220"/>
        <v>0</v>
      </c>
      <c r="DV766" s="161">
        <f t="shared" si="3221"/>
        <v>0</v>
      </c>
      <c r="DW766" s="161">
        <f t="shared" si="3222"/>
        <v>0</v>
      </c>
      <c r="DX766" s="161">
        <f t="shared" si="3223"/>
        <v>0</v>
      </c>
      <c r="DY766" s="161">
        <f t="shared" si="3224"/>
        <v>0</v>
      </c>
      <c r="DZ766" s="161">
        <f t="shared" si="3225"/>
        <v>0</v>
      </c>
      <c r="EA766" s="161">
        <f t="shared" si="3226"/>
        <v>0</v>
      </c>
      <c r="EB766" s="161">
        <f t="shared" si="3227"/>
        <v>0</v>
      </c>
      <c r="EC766" s="161">
        <f t="shared" si="3228"/>
        <v>0</v>
      </c>
      <c r="ED766" s="161">
        <f t="shared" si="3229"/>
        <v>0</v>
      </c>
      <c r="EE766" s="161">
        <f t="shared" si="3230"/>
        <v>0</v>
      </c>
      <c r="EF766" s="161">
        <f t="shared" si="3231"/>
        <v>0</v>
      </c>
      <c r="EG766" s="161">
        <f t="shared" si="3232"/>
        <v>0</v>
      </c>
      <c r="EH766" s="161">
        <f t="shared" si="3233"/>
        <v>0</v>
      </c>
      <c r="EI766" s="161">
        <f t="shared" si="3234"/>
        <v>0</v>
      </c>
    </row>
    <row r="767" spans="2:139" ht="12" customHeight="1" outlineLevel="1">
      <c r="B767" s="137" t="str">
        <f>IF(F767&gt;0,F767&amp;" - "&amp;D765,"")</f>
        <v>Engenheiro Civil - Supervisão de Obra</v>
      </c>
      <c r="C767" s="65"/>
      <c r="D767" s="607"/>
      <c r="E767" s="65"/>
      <c r="F767" s="164" t="s">
        <v>480</v>
      </c>
      <c r="G767" s="165"/>
      <c r="H767" s="166">
        <f t="shared" si="3237"/>
        <v>0</v>
      </c>
      <c r="I767" s="144">
        <f t="shared" si="3238"/>
        <v>0</v>
      </c>
      <c r="J767" s="65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  <c r="AB767" s="167"/>
      <c r="AC767" s="167"/>
      <c r="AD767" s="167"/>
      <c r="AE767" s="167"/>
      <c r="AF767" s="167"/>
      <c r="AG767" s="167"/>
      <c r="AH767" s="167"/>
      <c r="AI767" s="167"/>
      <c r="AJ767" s="167"/>
      <c r="AK767" s="167"/>
      <c r="AL767" s="167"/>
      <c r="AM767" s="167"/>
      <c r="AN767" s="167"/>
      <c r="AO767" s="167"/>
      <c r="AP767" s="167"/>
      <c r="AQ767" s="167"/>
      <c r="AR767" s="167"/>
      <c r="AS767" s="167"/>
      <c r="AT767" s="167"/>
      <c r="AU767" s="167"/>
      <c r="AV767" s="167"/>
      <c r="AW767" s="167"/>
      <c r="AX767" s="167"/>
      <c r="AY767" s="167"/>
      <c r="AZ767" s="167"/>
      <c r="BA767" s="167"/>
      <c r="BB767" s="167"/>
      <c r="BC767" s="167"/>
      <c r="BD767" s="167"/>
      <c r="BE767" s="167"/>
      <c r="BF767" s="167"/>
      <c r="BG767" s="167"/>
      <c r="BH767" s="167"/>
      <c r="BI767" s="167"/>
      <c r="BJ767" s="167"/>
      <c r="BK767" s="167"/>
      <c r="BL767" s="167"/>
      <c r="BM767" s="167"/>
      <c r="BN767" s="167"/>
      <c r="BO767" s="167"/>
      <c r="BP767" s="167"/>
      <c r="BQ767" s="167"/>
      <c r="BR767" s="167"/>
      <c r="BS767" s="65"/>
      <c r="BT767" s="65"/>
      <c r="BU767" s="65"/>
      <c r="BV767" s="65"/>
      <c r="BW767" s="69"/>
      <c r="BX767" s="65"/>
      <c r="BY767" s="137">
        <f t="shared" si="3235"/>
        <v>0</v>
      </c>
      <c r="BZ767" s="137">
        <f>IF(BY767&gt;0,BY767+LARGE($BZ$757:BZ766,1),0)</f>
        <v>0</v>
      </c>
      <c r="CA767" s="137" t="str">
        <f t="shared" si="3236"/>
        <v>Engenheiro Civil</v>
      </c>
      <c r="CB767" s="161">
        <f t="shared" si="3175"/>
        <v>0</v>
      </c>
      <c r="CC767" s="161">
        <f t="shared" si="3176"/>
        <v>0</v>
      </c>
      <c r="CD767" s="161">
        <f t="shared" si="3177"/>
        <v>0</v>
      </c>
      <c r="CE767" s="161">
        <f t="shared" si="3178"/>
        <v>0</v>
      </c>
      <c r="CF767" s="161">
        <f t="shared" si="3179"/>
        <v>0</v>
      </c>
      <c r="CG767" s="161">
        <f t="shared" si="3180"/>
        <v>0</v>
      </c>
      <c r="CH767" s="161">
        <f t="shared" si="3181"/>
        <v>0</v>
      </c>
      <c r="CI767" s="161">
        <f t="shared" si="3182"/>
        <v>0</v>
      </c>
      <c r="CJ767" s="161">
        <f t="shared" si="3183"/>
        <v>0</v>
      </c>
      <c r="CK767" s="161">
        <f t="shared" si="3184"/>
        <v>0</v>
      </c>
      <c r="CL767" s="161">
        <f t="shared" si="3185"/>
        <v>0</v>
      </c>
      <c r="CM767" s="161">
        <f t="shared" si="3186"/>
        <v>0</v>
      </c>
      <c r="CN767" s="161">
        <f t="shared" si="3187"/>
        <v>0</v>
      </c>
      <c r="CO767" s="161">
        <f t="shared" si="3188"/>
        <v>0</v>
      </c>
      <c r="CP767" s="161">
        <f t="shared" si="3189"/>
        <v>0</v>
      </c>
      <c r="CQ767" s="161">
        <f t="shared" si="3190"/>
        <v>0</v>
      </c>
      <c r="CR767" s="161">
        <f t="shared" si="3191"/>
        <v>0</v>
      </c>
      <c r="CS767" s="161">
        <f t="shared" si="3192"/>
        <v>0</v>
      </c>
      <c r="CT767" s="161">
        <f t="shared" si="3193"/>
        <v>0</v>
      </c>
      <c r="CU767" s="161">
        <f t="shared" si="3194"/>
        <v>0</v>
      </c>
      <c r="CV767" s="161">
        <f t="shared" si="3195"/>
        <v>0</v>
      </c>
      <c r="CW767" s="161">
        <f t="shared" si="3196"/>
        <v>0</v>
      </c>
      <c r="CX767" s="161">
        <f t="shared" si="3197"/>
        <v>0</v>
      </c>
      <c r="CY767" s="161">
        <f t="shared" si="3198"/>
        <v>0</v>
      </c>
      <c r="CZ767" s="161">
        <f t="shared" si="3199"/>
        <v>0</v>
      </c>
      <c r="DA767" s="161">
        <f t="shared" si="3200"/>
        <v>0</v>
      </c>
      <c r="DB767" s="161">
        <f t="shared" si="3201"/>
        <v>0</v>
      </c>
      <c r="DC767" s="161">
        <f t="shared" si="3202"/>
        <v>0</v>
      </c>
      <c r="DD767" s="161">
        <f t="shared" si="3203"/>
        <v>0</v>
      </c>
      <c r="DE767" s="161">
        <f t="shared" si="3204"/>
        <v>0</v>
      </c>
      <c r="DF767" s="161">
        <f t="shared" si="3205"/>
        <v>0</v>
      </c>
      <c r="DG767" s="161">
        <f t="shared" si="3206"/>
        <v>0</v>
      </c>
      <c r="DH767" s="161">
        <f t="shared" si="3207"/>
        <v>0</v>
      </c>
      <c r="DI767" s="161">
        <f t="shared" si="3208"/>
        <v>0</v>
      </c>
      <c r="DJ767" s="161">
        <f t="shared" si="3209"/>
        <v>0</v>
      </c>
      <c r="DK767" s="161">
        <f t="shared" si="3210"/>
        <v>0</v>
      </c>
      <c r="DL767" s="161">
        <f t="shared" si="3211"/>
        <v>0</v>
      </c>
      <c r="DM767" s="161">
        <f t="shared" si="3212"/>
        <v>0</v>
      </c>
      <c r="DN767" s="161">
        <f t="shared" si="3213"/>
        <v>0</v>
      </c>
      <c r="DO767" s="161">
        <f t="shared" si="3214"/>
        <v>0</v>
      </c>
      <c r="DP767" s="161">
        <f t="shared" si="3215"/>
        <v>0</v>
      </c>
      <c r="DQ767" s="161">
        <f t="shared" si="3216"/>
        <v>0</v>
      </c>
      <c r="DR767" s="161">
        <f t="shared" si="3217"/>
        <v>0</v>
      </c>
      <c r="DS767" s="161">
        <f t="shared" si="3218"/>
        <v>0</v>
      </c>
      <c r="DT767" s="161">
        <f t="shared" si="3219"/>
        <v>0</v>
      </c>
      <c r="DU767" s="161">
        <f t="shared" si="3220"/>
        <v>0</v>
      </c>
      <c r="DV767" s="161">
        <f t="shared" si="3221"/>
        <v>0</v>
      </c>
      <c r="DW767" s="161">
        <f t="shared" si="3222"/>
        <v>0</v>
      </c>
      <c r="DX767" s="161">
        <f t="shared" si="3223"/>
        <v>0</v>
      </c>
      <c r="DY767" s="161">
        <f t="shared" si="3224"/>
        <v>0</v>
      </c>
      <c r="DZ767" s="161">
        <f t="shared" si="3225"/>
        <v>0</v>
      </c>
      <c r="EA767" s="161">
        <f t="shared" si="3226"/>
        <v>0</v>
      </c>
      <c r="EB767" s="161">
        <f t="shared" si="3227"/>
        <v>0</v>
      </c>
      <c r="EC767" s="161">
        <f t="shared" si="3228"/>
        <v>0</v>
      </c>
      <c r="ED767" s="161">
        <f t="shared" si="3229"/>
        <v>0</v>
      </c>
      <c r="EE767" s="161">
        <f t="shared" si="3230"/>
        <v>0</v>
      </c>
      <c r="EF767" s="161">
        <f t="shared" si="3231"/>
        <v>0</v>
      </c>
      <c r="EG767" s="161">
        <f t="shared" si="3232"/>
        <v>0</v>
      </c>
      <c r="EH767" s="161">
        <f t="shared" si="3233"/>
        <v>0</v>
      </c>
      <c r="EI767" s="161">
        <f t="shared" si="3234"/>
        <v>0</v>
      </c>
    </row>
    <row r="768" spans="2:139" ht="12" customHeight="1" outlineLevel="1">
      <c r="B768" s="137" t="str">
        <f>IF(F768&gt;0,F768&amp;" - "&amp;D765,"")</f>
        <v>Engenheiro de Produção - Supervisão de Obra</v>
      </c>
      <c r="C768" s="65"/>
      <c r="D768" s="607"/>
      <c r="E768" s="65"/>
      <c r="F768" s="164" t="s">
        <v>481</v>
      </c>
      <c r="G768" s="165"/>
      <c r="H768" s="166">
        <f t="shared" si="3237"/>
        <v>0</v>
      </c>
      <c r="I768" s="144">
        <f t="shared" si="3238"/>
        <v>0</v>
      </c>
      <c r="J768" s="65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  <c r="AB768" s="167"/>
      <c r="AC768" s="167"/>
      <c r="AD768" s="167"/>
      <c r="AE768" s="167"/>
      <c r="AF768" s="167"/>
      <c r="AG768" s="167"/>
      <c r="AH768" s="167"/>
      <c r="AI768" s="167"/>
      <c r="AJ768" s="167"/>
      <c r="AK768" s="167"/>
      <c r="AL768" s="167"/>
      <c r="AM768" s="167"/>
      <c r="AN768" s="167"/>
      <c r="AO768" s="167"/>
      <c r="AP768" s="167"/>
      <c r="AQ768" s="167"/>
      <c r="AR768" s="167"/>
      <c r="AS768" s="167"/>
      <c r="AT768" s="167"/>
      <c r="AU768" s="167"/>
      <c r="AV768" s="167"/>
      <c r="AW768" s="167"/>
      <c r="AX768" s="167"/>
      <c r="AY768" s="167"/>
      <c r="AZ768" s="167"/>
      <c r="BA768" s="167"/>
      <c r="BB768" s="167"/>
      <c r="BC768" s="167"/>
      <c r="BD768" s="167"/>
      <c r="BE768" s="167"/>
      <c r="BF768" s="167"/>
      <c r="BG768" s="167"/>
      <c r="BH768" s="167"/>
      <c r="BI768" s="167"/>
      <c r="BJ768" s="167"/>
      <c r="BK768" s="167"/>
      <c r="BL768" s="167"/>
      <c r="BM768" s="167"/>
      <c r="BN768" s="167"/>
      <c r="BO768" s="167"/>
      <c r="BP768" s="167"/>
      <c r="BQ768" s="167"/>
      <c r="BR768" s="167"/>
      <c r="BS768" s="65"/>
      <c r="BT768" s="65"/>
      <c r="BU768" s="65"/>
      <c r="BV768" s="65"/>
      <c r="BW768" s="69"/>
      <c r="BX768" s="65"/>
      <c r="BY768" s="137">
        <f t="shared" si="3235"/>
        <v>0</v>
      </c>
      <c r="BZ768" s="137">
        <f>IF(BY768&gt;0,BY768+LARGE($BZ$757:BZ767,1),0)</f>
        <v>0</v>
      </c>
      <c r="CA768" s="137" t="str">
        <f t="shared" si="3236"/>
        <v>Engenheiro de Produção</v>
      </c>
      <c r="CB768" s="161">
        <f t="shared" si="3175"/>
        <v>0</v>
      </c>
      <c r="CC768" s="161">
        <f t="shared" si="3176"/>
        <v>0</v>
      </c>
      <c r="CD768" s="161">
        <f t="shared" si="3177"/>
        <v>0</v>
      </c>
      <c r="CE768" s="161">
        <f t="shared" si="3178"/>
        <v>0</v>
      </c>
      <c r="CF768" s="161">
        <f t="shared" si="3179"/>
        <v>0</v>
      </c>
      <c r="CG768" s="161">
        <f t="shared" si="3180"/>
        <v>0</v>
      </c>
      <c r="CH768" s="161">
        <f t="shared" si="3181"/>
        <v>0</v>
      </c>
      <c r="CI768" s="161">
        <f t="shared" si="3182"/>
        <v>0</v>
      </c>
      <c r="CJ768" s="161">
        <f t="shared" si="3183"/>
        <v>0</v>
      </c>
      <c r="CK768" s="161">
        <f t="shared" si="3184"/>
        <v>0</v>
      </c>
      <c r="CL768" s="161">
        <f t="shared" si="3185"/>
        <v>0</v>
      </c>
      <c r="CM768" s="161">
        <f t="shared" si="3186"/>
        <v>0</v>
      </c>
      <c r="CN768" s="161">
        <f t="shared" si="3187"/>
        <v>0</v>
      </c>
      <c r="CO768" s="161">
        <f t="shared" si="3188"/>
        <v>0</v>
      </c>
      <c r="CP768" s="161">
        <f t="shared" si="3189"/>
        <v>0</v>
      </c>
      <c r="CQ768" s="161">
        <f t="shared" si="3190"/>
        <v>0</v>
      </c>
      <c r="CR768" s="161">
        <f t="shared" si="3191"/>
        <v>0</v>
      </c>
      <c r="CS768" s="161">
        <f t="shared" si="3192"/>
        <v>0</v>
      </c>
      <c r="CT768" s="161">
        <f t="shared" si="3193"/>
        <v>0</v>
      </c>
      <c r="CU768" s="161">
        <f t="shared" si="3194"/>
        <v>0</v>
      </c>
      <c r="CV768" s="161">
        <f t="shared" si="3195"/>
        <v>0</v>
      </c>
      <c r="CW768" s="161">
        <f t="shared" si="3196"/>
        <v>0</v>
      </c>
      <c r="CX768" s="161">
        <f t="shared" si="3197"/>
        <v>0</v>
      </c>
      <c r="CY768" s="161">
        <f t="shared" si="3198"/>
        <v>0</v>
      </c>
      <c r="CZ768" s="161">
        <f t="shared" si="3199"/>
        <v>0</v>
      </c>
      <c r="DA768" s="161">
        <f t="shared" si="3200"/>
        <v>0</v>
      </c>
      <c r="DB768" s="161">
        <f t="shared" si="3201"/>
        <v>0</v>
      </c>
      <c r="DC768" s="161">
        <f t="shared" si="3202"/>
        <v>0</v>
      </c>
      <c r="DD768" s="161">
        <f t="shared" si="3203"/>
        <v>0</v>
      </c>
      <c r="DE768" s="161">
        <f t="shared" si="3204"/>
        <v>0</v>
      </c>
      <c r="DF768" s="161">
        <f t="shared" si="3205"/>
        <v>0</v>
      </c>
      <c r="DG768" s="161">
        <f t="shared" si="3206"/>
        <v>0</v>
      </c>
      <c r="DH768" s="161">
        <f t="shared" si="3207"/>
        <v>0</v>
      </c>
      <c r="DI768" s="161">
        <f t="shared" si="3208"/>
        <v>0</v>
      </c>
      <c r="DJ768" s="161">
        <f t="shared" si="3209"/>
        <v>0</v>
      </c>
      <c r="DK768" s="161">
        <f t="shared" si="3210"/>
        <v>0</v>
      </c>
      <c r="DL768" s="161">
        <f t="shared" si="3211"/>
        <v>0</v>
      </c>
      <c r="DM768" s="161">
        <f t="shared" si="3212"/>
        <v>0</v>
      </c>
      <c r="DN768" s="161">
        <f t="shared" si="3213"/>
        <v>0</v>
      </c>
      <c r="DO768" s="161">
        <f t="shared" si="3214"/>
        <v>0</v>
      </c>
      <c r="DP768" s="161">
        <f t="shared" si="3215"/>
        <v>0</v>
      </c>
      <c r="DQ768" s="161">
        <f t="shared" si="3216"/>
        <v>0</v>
      </c>
      <c r="DR768" s="161">
        <f t="shared" si="3217"/>
        <v>0</v>
      </c>
      <c r="DS768" s="161">
        <f t="shared" si="3218"/>
        <v>0</v>
      </c>
      <c r="DT768" s="161">
        <f t="shared" si="3219"/>
        <v>0</v>
      </c>
      <c r="DU768" s="161">
        <f t="shared" si="3220"/>
        <v>0</v>
      </c>
      <c r="DV768" s="161">
        <f t="shared" si="3221"/>
        <v>0</v>
      </c>
      <c r="DW768" s="161">
        <f t="shared" si="3222"/>
        <v>0</v>
      </c>
      <c r="DX768" s="161">
        <f t="shared" si="3223"/>
        <v>0</v>
      </c>
      <c r="DY768" s="161">
        <f t="shared" si="3224"/>
        <v>0</v>
      </c>
      <c r="DZ768" s="161">
        <f t="shared" si="3225"/>
        <v>0</v>
      </c>
      <c r="EA768" s="161">
        <f t="shared" si="3226"/>
        <v>0</v>
      </c>
      <c r="EB768" s="161">
        <f t="shared" si="3227"/>
        <v>0</v>
      </c>
      <c r="EC768" s="161">
        <f t="shared" si="3228"/>
        <v>0</v>
      </c>
      <c r="ED768" s="161">
        <f t="shared" si="3229"/>
        <v>0</v>
      </c>
      <c r="EE768" s="161">
        <f t="shared" si="3230"/>
        <v>0</v>
      </c>
      <c r="EF768" s="161">
        <f t="shared" si="3231"/>
        <v>0</v>
      </c>
      <c r="EG768" s="161">
        <f t="shared" si="3232"/>
        <v>0</v>
      </c>
      <c r="EH768" s="161">
        <f t="shared" si="3233"/>
        <v>0</v>
      </c>
      <c r="EI768" s="161">
        <f t="shared" si="3234"/>
        <v>0</v>
      </c>
    </row>
    <row r="769" spans="2:139" ht="12" customHeight="1" outlineLevel="1">
      <c r="B769" s="137" t="str">
        <f>IF(F769&gt;0,F769&amp;" - "&amp;D765,"")</f>
        <v>Engenheiro de Campo - Supervisão de Obra</v>
      </c>
      <c r="C769" s="65"/>
      <c r="D769" s="607"/>
      <c r="E769" s="65"/>
      <c r="F769" s="164" t="s">
        <v>482</v>
      </c>
      <c r="G769" s="165"/>
      <c r="H769" s="166">
        <f t="shared" si="3237"/>
        <v>0</v>
      </c>
      <c r="I769" s="144">
        <f t="shared" si="3238"/>
        <v>0</v>
      </c>
      <c r="J769" s="65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  <c r="AB769" s="167"/>
      <c r="AC769" s="167"/>
      <c r="AD769" s="167"/>
      <c r="AE769" s="167"/>
      <c r="AF769" s="167"/>
      <c r="AG769" s="167"/>
      <c r="AH769" s="167"/>
      <c r="AI769" s="167"/>
      <c r="AJ769" s="167"/>
      <c r="AK769" s="167"/>
      <c r="AL769" s="167"/>
      <c r="AM769" s="167"/>
      <c r="AN769" s="167"/>
      <c r="AO769" s="167"/>
      <c r="AP769" s="167"/>
      <c r="AQ769" s="167"/>
      <c r="AR769" s="167"/>
      <c r="AS769" s="167"/>
      <c r="AT769" s="167"/>
      <c r="AU769" s="167"/>
      <c r="AV769" s="167"/>
      <c r="AW769" s="167"/>
      <c r="AX769" s="167"/>
      <c r="AY769" s="167"/>
      <c r="AZ769" s="167"/>
      <c r="BA769" s="167"/>
      <c r="BB769" s="167"/>
      <c r="BC769" s="167"/>
      <c r="BD769" s="167"/>
      <c r="BE769" s="167"/>
      <c r="BF769" s="167"/>
      <c r="BG769" s="167"/>
      <c r="BH769" s="167"/>
      <c r="BI769" s="167"/>
      <c r="BJ769" s="167"/>
      <c r="BK769" s="167"/>
      <c r="BL769" s="167"/>
      <c r="BM769" s="167"/>
      <c r="BN769" s="167"/>
      <c r="BO769" s="167"/>
      <c r="BP769" s="167"/>
      <c r="BQ769" s="167"/>
      <c r="BR769" s="167"/>
      <c r="BS769" s="65"/>
      <c r="BT769" s="65"/>
      <c r="BU769" s="65"/>
      <c r="BV769" s="65"/>
      <c r="BW769" s="69"/>
      <c r="BX769" s="65"/>
      <c r="BY769" s="137">
        <f t="shared" si="3235"/>
        <v>0</v>
      </c>
      <c r="BZ769" s="137">
        <f>IF(BY769&gt;0,BY769+LARGE($BZ$757:BZ768,1),0)</f>
        <v>0</v>
      </c>
      <c r="CA769" s="137" t="str">
        <f t="shared" si="3236"/>
        <v>Engenheiro de Campo</v>
      </c>
      <c r="CB769" s="161">
        <f t="shared" si="3175"/>
        <v>0</v>
      </c>
      <c r="CC769" s="161">
        <f t="shared" si="3176"/>
        <v>0</v>
      </c>
      <c r="CD769" s="161">
        <f t="shared" si="3177"/>
        <v>0</v>
      </c>
      <c r="CE769" s="161">
        <f t="shared" si="3178"/>
        <v>0</v>
      </c>
      <c r="CF769" s="161">
        <f t="shared" si="3179"/>
        <v>0</v>
      </c>
      <c r="CG769" s="161">
        <f t="shared" si="3180"/>
        <v>0</v>
      </c>
      <c r="CH769" s="161">
        <f t="shared" si="3181"/>
        <v>0</v>
      </c>
      <c r="CI769" s="161">
        <f t="shared" si="3182"/>
        <v>0</v>
      </c>
      <c r="CJ769" s="161">
        <f t="shared" si="3183"/>
        <v>0</v>
      </c>
      <c r="CK769" s="161">
        <f t="shared" si="3184"/>
        <v>0</v>
      </c>
      <c r="CL769" s="161">
        <f t="shared" si="3185"/>
        <v>0</v>
      </c>
      <c r="CM769" s="161">
        <f t="shared" si="3186"/>
        <v>0</v>
      </c>
      <c r="CN769" s="161">
        <f t="shared" si="3187"/>
        <v>0</v>
      </c>
      <c r="CO769" s="161">
        <f t="shared" si="3188"/>
        <v>0</v>
      </c>
      <c r="CP769" s="161">
        <f t="shared" si="3189"/>
        <v>0</v>
      </c>
      <c r="CQ769" s="161">
        <f t="shared" si="3190"/>
        <v>0</v>
      </c>
      <c r="CR769" s="161">
        <f t="shared" si="3191"/>
        <v>0</v>
      </c>
      <c r="CS769" s="161">
        <f t="shared" si="3192"/>
        <v>0</v>
      </c>
      <c r="CT769" s="161">
        <f t="shared" si="3193"/>
        <v>0</v>
      </c>
      <c r="CU769" s="161">
        <f t="shared" si="3194"/>
        <v>0</v>
      </c>
      <c r="CV769" s="161">
        <f t="shared" si="3195"/>
        <v>0</v>
      </c>
      <c r="CW769" s="161">
        <f t="shared" si="3196"/>
        <v>0</v>
      </c>
      <c r="CX769" s="161">
        <f t="shared" si="3197"/>
        <v>0</v>
      </c>
      <c r="CY769" s="161">
        <f t="shared" si="3198"/>
        <v>0</v>
      </c>
      <c r="CZ769" s="161">
        <f t="shared" si="3199"/>
        <v>0</v>
      </c>
      <c r="DA769" s="161">
        <f t="shared" si="3200"/>
        <v>0</v>
      </c>
      <c r="DB769" s="161">
        <f t="shared" si="3201"/>
        <v>0</v>
      </c>
      <c r="DC769" s="161">
        <f t="shared" si="3202"/>
        <v>0</v>
      </c>
      <c r="DD769" s="161">
        <f t="shared" si="3203"/>
        <v>0</v>
      </c>
      <c r="DE769" s="161">
        <f t="shared" si="3204"/>
        <v>0</v>
      </c>
      <c r="DF769" s="161">
        <f t="shared" si="3205"/>
        <v>0</v>
      </c>
      <c r="DG769" s="161">
        <f t="shared" si="3206"/>
        <v>0</v>
      </c>
      <c r="DH769" s="161">
        <f t="shared" si="3207"/>
        <v>0</v>
      </c>
      <c r="DI769" s="161">
        <f t="shared" si="3208"/>
        <v>0</v>
      </c>
      <c r="DJ769" s="161">
        <f t="shared" si="3209"/>
        <v>0</v>
      </c>
      <c r="DK769" s="161">
        <f t="shared" si="3210"/>
        <v>0</v>
      </c>
      <c r="DL769" s="161">
        <f t="shared" si="3211"/>
        <v>0</v>
      </c>
      <c r="DM769" s="161">
        <f t="shared" si="3212"/>
        <v>0</v>
      </c>
      <c r="DN769" s="161">
        <f t="shared" si="3213"/>
        <v>0</v>
      </c>
      <c r="DO769" s="161">
        <f t="shared" si="3214"/>
        <v>0</v>
      </c>
      <c r="DP769" s="161">
        <f t="shared" si="3215"/>
        <v>0</v>
      </c>
      <c r="DQ769" s="161">
        <f t="shared" si="3216"/>
        <v>0</v>
      </c>
      <c r="DR769" s="161">
        <f t="shared" si="3217"/>
        <v>0</v>
      </c>
      <c r="DS769" s="161">
        <f t="shared" si="3218"/>
        <v>0</v>
      </c>
      <c r="DT769" s="161">
        <f t="shared" si="3219"/>
        <v>0</v>
      </c>
      <c r="DU769" s="161">
        <f t="shared" si="3220"/>
        <v>0</v>
      </c>
      <c r="DV769" s="161">
        <f t="shared" si="3221"/>
        <v>0</v>
      </c>
      <c r="DW769" s="161">
        <f t="shared" si="3222"/>
        <v>0</v>
      </c>
      <c r="DX769" s="161">
        <f t="shared" si="3223"/>
        <v>0</v>
      </c>
      <c r="DY769" s="161">
        <f t="shared" si="3224"/>
        <v>0</v>
      </c>
      <c r="DZ769" s="161">
        <f t="shared" si="3225"/>
        <v>0</v>
      </c>
      <c r="EA769" s="161">
        <f t="shared" si="3226"/>
        <v>0</v>
      </c>
      <c r="EB769" s="161">
        <f t="shared" si="3227"/>
        <v>0</v>
      </c>
      <c r="EC769" s="161">
        <f t="shared" si="3228"/>
        <v>0</v>
      </c>
      <c r="ED769" s="161">
        <f t="shared" si="3229"/>
        <v>0</v>
      </c>
      <c r="EE769" s="161">
        <f t="shared" si="3230"/>
        <v>0</v>
      </c>
      <c r="EF769" s="161">
        <f t="shared" si="3231"/>
        <v>0</v>
      </c>
      <c r="EG769" s="161">
        <f t="shared" si="3232"/>
        <v>0</v>
      </c>
      <c r="EH769" s="161">
        <f t="shared" si="3233"/>
        <v>0</v>
      </c>
      <c r="EI769" s="161">
        <f t="shared" si="3234"/>
        <v>0</v>
      </c>
    </row>
    <row r="770" spans="2:139" ht="12" customHeight="1" outlineLevel="1">
      <c r="B770" s="137" t="str">
        <f>IF(F770&gt;0,F770&amp;" - "&amp;D765,"")</f>
        <v>Supervisor de Campo - Supervisão de Obra</v>
      </c>
      <c r="C770" s="65"/>
      <c r="D770" s="607"/>
      <c r="E770" s="65"/>
      <c r="F770" s="164" t="s">
        <v>483</v>
      </c>
      <c r="G770" s="165"/>
      <c r="H770" s="166">
        <f t="shared" si="3237"/>
        <v>0</v>
      </c>
      <c r="I770" s="144">
        <f t="shared" si="3238"/>
        <v>0</v>
      </c>
      <c r="J770" s="65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  <c r="AB770" s="167"/>
      <c r="AC770" s="167"/>
      <c r="AD770" s="167"/>
      <c r="AE770" s="167"/>
      <c r="AF770" s="167"/>
      <c r="AG770" s="167"/>
      <c r="AH770" s="167"/>
      <c r="AI770" s="167"/>
      <c r="AJ770" s="167"/>
      <c r="AK770" s="167"/>
      <c r="AL770" s="167"/>
      <c r="AM770" s="167"/>
      <c r="AN770" s="167"/>
      <c r="AO770" s="167"/>
      <c r="AP770" s="167"/>
      <c r="AQ770" s="167"/>
      <c r="AR770" s="167"/>
      <c r="AS770" s="167"/>
      <c r="AT770" s="167"/>
      <c r="AU770" s="167"/>
      <c r="AV770" s="167"/>
      <c r="AW770" s="167"/>
      <c r="AX770" s="167"/>
      <c r="AY770" s="167"/>
      <c r="AZ770" s="167"/>
      <c r="BA770" s="167"/>
      <c r="BB770" s="167"/>
      <c r="BC770" s="167"/>
      <c r="BD770" s="167"/>
      <c r="BE770" s="167"/>
      <c r="BF770" s="167"/>
      <c r="BG770" s="167"/>
      <c r="BH770" s="167"/>
      <c r="BI770" s="167"/>
      <c r="BJ770" s="167"/>
      <c r="BK770" s="167"/>
      <c r="BL770" s="167"/>
      <c r="BM770" s="167"/>
      <c r="BN770" s="167"/>
      <c r="BO770" s="167"/>
      <c r="BP770" s="167"/>
      <c r="BQ770" s="167"/>
      <c r="BR770" s="167"/>
      <c r="BS770" s="65"/>
      <c r="BT770" s="65"/>
      <c r="BU770" s="65"/>
      <c r="BV770" s="65"/>
      <c r="BW770" s="69"/>
      <c r="BX770" s="65"/>
      <c r="BY770" s="137">
        <f t="shared" si="3235"/>
        <v>0</v>
      </c>
      <c r="BZ770" s="137">
        <f>IF(BY770&gt;0,BY770+LARGE($BZ$757:BZ769,1),0)</f>
        <v>0</v>
      </c>
      <c r="CA770" s="137" t="str">
        <f t="shared" si="3236"/>
        <v>Supervisor de Campo</v>
      </c>
      <c r="CB770" s="161">
        <f t="shared" si="3175"/>
        <v>0</v>
      </c>
      <c r="CC770" s="161">
        <f t="shared" si="3176"/>
        <v>0</v>
      </c>
      <c r="CD770" s="161">
        <f t="shared" si="3177"/>
        <v>0</v>
      </c>
      <c r="CE770" s="161">
        <f t="shared" si="3178"/>
        <v>0</v>
      </c>
      <c r="CF770" s="161">
        <f t="shared" si="3179"/>
        <v>0</v>
      </c>
      <c r="CG770" s="161">
        <f t="shared" si="3180"/>
        <v>0</v>
      </c>
      <c r="CH770" s="161">
        <f t="shared" si="3181"/>
        <v>0</v>
      </c>
      <c r="CI770" s="161">
        <f t="shared" si="3182"/>
        <v>0</v>
      </c>
      <c r="CJ770" s="161">
        <f t="shared" si="3183"/>
        <v>0</v>
      </c>
      <c r="CK770" s="161">
        <f t="shared" si="3184"/>
        <v>0</v>
      </c>
      <c r="CL770" s="161">
        <f t="shared" si="3185"/>
        <v>0</v>
      </c>
      <c r="CM770" s="161">
        <f t="shared" si="3186"/>
        <v>0</v>
      </c>
      <c r="CN770" s="161">
        <f t="shared" si="3187"/>
        <v>0</v>
      </c>
      <c r="CO770" s="161">
        <f t="shared" si="3188"/>
        <v>0</v>
      </c>
      <c r="CP770" s="161">
        <f t="shared" si="3189"/>
        <v>0</v>
      </c>
      <c r="CQ770" s="161">
        <f t="shared" si="3190"/>
        <v>0</v>
      </c>
      <c r="CR770" s="161">
        <f t="shared" si="3191"/>
        <v>0</v>
      </c>
      <c r="CS770" s="161">
        <f t="shared" si="3192"/>
        <v>0</v>
      </c>
      <c r="CT770" s="161">
        <f t="shared" si="3193"/>
        <v>0</v>
      </c>
      <c r="CU770" s="161">
        <f t="shared" si="3194"/>
        <v>0</v>
      </c>
      <c r="CV770" s="161">
        <f t="shared" si="3195"/>
        <v>0</v>
      </c>
      <c r="CW770" s="161">
        <f t="shared" si="3196"/>
        <v>0</v>
      </c>
      <c r="CX770" s="161">
        <f t="shared" si="3197"/>
        <v>0</v>
      </c>
      <c r="CY770" s="161">
        <f t="shared" si="3198"/>
        <v>0</v>
      </c>
      <c r="CZ770" s="161">
        <f t="shared" si="3199"/>
        <v>0</v>
      </c>
      <c r="DA770" s="161">
        <f t="shared" si="3200"/>
        <v>0</v>
      </c>
      <c r="DB770" s="161">
        <f t="shared" si="3201"/>
        <v>0</v>
      </c>
      <c r="DC770" s="161">
        <f t="shared" si="3202"/>
        <v>0</v>
      </c>
      <c r="DD770" s="161">
        <f t="shared" si="3203"/>
        <v>0</v>
      </c>
      <c r="DE770" s="161">
        <f t="shared" si="3204"/>
        <v>0</v>
      </c>
      <c r="DF770" s="161">
        <f t="shared" si="3205"/>
        <v>0</v>
      </c>
      <c r="DG770" s="161">
        <f t="shared" si="3206"/>
        <v>0</v>
      </c>
      <c r="DH770" s="161">
        <f t="shared" si="3207"/>
        <v>0</v>
      </c>
      <c r="DI770" s="161">
        <f t="shared" si="3208"/>
        <v>0</v>
      </c>
      <c r="DJ770" s="161">
        <f t="shared" si="3209"/>
        <v>0</v>
      </c>
      <c r="DK770" s="161">
        <f t="shared" si="3210"/>
        <v>0</v>
      </c>
      <c r="DL770" s="161">
        <f t="shared" si="3211"/>
        <v>0</v>
      </c>
      <c r="DM770" s="161">
        <f t="shared" si="3212"/>
        <v>0</v>
      </c>
      <c r="DN770" s="161">
        <f t="shared" si="3213"/>
        <v>0</v>
      </c>
      <c r="DO770" s="161">
        <f t="shared" si="3214"/>
        <v>0</v>
      </c>
      <c r="DP770" s="161">
        <f t="shared" si="3215"/>
        <v>0</v>
      </c>
      <c r="DQ770" s="161">
        <f t="shared" si="3216"/>
        <v>0</v>
      </c>
      <c r="DR770" s="161">
        <f t="shared" si="3217"/>
        <v>0</v>
      </c>
      <c r="DS770" s="161">
        <f t="shared" si="3218"/>
        <v>0</v>
      </c>
      <c r="DT770" s="161">
        <f t="shared" si="3219"/>
        <v>0</v>
      </c>
      <c r="DU770" s="161">
        <f t="shared" si="3220"/>
        <v>0</v>
      </c>
      <c r="DV770" s="161">
        <f t="shared" si="3221"/>
        <v>0</v>
      </c>
      <c r="DW770" s="161">
        <f t="shared" si="3222"/>
        <v>0</v>
      </c>
      <c r="DX770" s="161">
        <f t="shared" si="3223"/>
        <v>0</v>
      </c>
      <c r="DY770" s="161">
        <f t="shared" si="3224"/>
        <v>0</v>
      </c>
      <c r="DZ770" s="161">
        <f t="shared" si="3225"/>
        <v>0</v>
      </c>
      <c r="EA770" s="161">
        <f t="shared" si="3226"/>
        <v>0</v>
      </c>
      <c r="EB770" s="161">
        <f t="shared" si="3227"/>
        <v>0</v>
      </c>
      <c r="EC770" s="161">
        <f t="shared" si="3228"/>
        <v>0</v>
      </c>
      <c r="ED770" s="161">
        <f t="shared" si="3229"/>
        <v>0</v>
      </c>
      <c r="EE770" s="161">
        <f t="shared" si="3230"/>
        <v>0</v>
      </c>
      <c r="EF770" s="161">
        <f t="shared" si="3231"/>
        <v>0</v>
      </c>
      <c r="EG770" s="161">
        <f t="shared" si="3232"/>
        <v>0</v>
      </c>
      <c r="EH770" s="161">
        <f t="shared" si="3233"/>
        <v>0</v>
      </c>
      <c r="EI770" s="161">
        <f t="shared" si="3234"/>
        <v>0</v>
      </c>
    </row>
    <row r="771" spans="2:139" ht="12" customHeight="1" outlineLevel="1">
      <c r="B771" s="137" t="str">
        <f>IF(F771&gt;0,F771&amp;" - "&amp;D765,"")</f>
        <v>Encarregado - Supervisão de Obra</v>
      </c>
      <c r="C771" s="65"/>
      <c r="D771" s="607"/>
      <c r="E771" s="65"/>
      <c r="F771" s="164" t="s">
        <v>484</v>
      </c>
      <c r="G771" s="165"/>
      <c r="H771" s="166">
        <f t="shared" si="3237"/>
        <v>0</v>
      </c>
      <c r="I771" s="144">
        <f t="shared" si="3238"/>
        <v>0</v>
      </c>
      <c r="J771" s="65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  <c r="AB771" s="167"/>
      <c r="AC771" s="167"/>
      <c r="AD771" s="167"/>
      <c r="AE771" s="167"/>
      <c r="AF771" s="167"/>
      <c r="AG771" s="167"/>
      <c r="AH771" s="167"/>
      <c r="AI771" s="167"/>
      <c r="AJ771" s="167"/>
      <c r="AK771" s="167"/>
      <c r="AL771" s="167"/>
      <c r="AM771" s="167"/>
      <c r="AN771" s="167"/>
      <c r="AO771" s="167"/>
      <c r="AP771" s="167"/>
      <c r="AQ771" s="167"/>
      <c r="AR771" s="167"/>
      <c r="AS771" s="167"/>
      <c r="AT771" s="167"/>
      <c r="AU771" s="167"/>
      <c r="AV771" s="167"/>
      <c r="AW771" s="167"/>
      <c r="AX771" s="167"/>
      <c r="AY771" s="167"/>
      <c r="AZ771" s="167"/>
      <c r="BA771" s="167"/>
      <c r="BB771" s="167"/>
      <c r="BC771" s="167"/>
      <c r="BD771" s="167"/>
      <c r="BE771" s="167"/>
      <c r="BF771" s="167"/>
      <c r="BG771" s="167"/>
      <c r="BH771" s="167"/>
      <c r="BI771" s="167"/>
      <c r="BJ771" s="167"/>
      <c r="BK771" s="167"/>
      <c r="BL771" s="167"/>
      <c r="BM771" s="167"/>
      <c r="BN771" s="167"/>
      <c r="BO771" s="167"/>
      <c r="BP771" s="167"/>
      <c r="BQ771" s="167"/>
      <c r="BR771" s="167"/>
      <c r="BS771" s="65"/>
      <c r="BT771" s="65"/>
      <c r="BU771" s="65"/>
      <c r="BV771" s="65"/>
      <c r="BW771" s="69"/>
      <c r="BX771" s="65"/>
      <c r="BY771" s="137">
        <f t="shared" si="3235"/>
        <v>0</v>
      </c>
      <c r="BZ771" s="137">
        <f>IF(BY771&gt;0,BY771+LARGE($BZ$757:BZ770,1),0)</f>
        <v>0</v>
      </c>
      <c r="CA771" s="137" t="str">
        <f t="shared" si="3236"/>
        <v>Encarregado</v>
      </c>
      <c r="CB771" s="161">
        <f t="shared" si="3175"/>
        <v>0</v>
      </c>
      <c r="CC771" s="161">
        <f t="shared" si="3176"/>
        <v>0</v>
      </c>
      <c r="CD771" s="161">
        <f t="shared" si="3177"/>
        <v>0</v>
      </c>
      <c r="CE771" s="161">
        <f t="shared" si="3178"/>
        <v>0</v>
      </c>
      <c r="CF771" s="161">
        <f t="shared" si="3179"/>
        <v>0</v>
      </c>
      <c r="CG771" s="161">
        <f t="shared" si="3180"/>
        <v>0</v>
      </c>
      <c r="CH771" s="161">
        <f t="shared" si="3181"/>
        <v>0</v>
      </c>
      <c r="CI771" s="161">
        <f t="shared" si="3182"/>
        <v>0</v>
      </c>
      <c r="CJ771" s="161">
        <f t="shared" si="3183"/>
        <v>0</v>
      </c>
      <c r="CK771" s="161">
        <f t="shared" si="3184"/>
        <v>0</v>
      </c>
      <c r="CL771" s="161">
        <f t="shared" si="3185"/>
        <v>0</v>
      </c>
      <c r="CM771" s="161">
        <f t="shared" si="3186"/>
        <v>0</v>
      </c>
      <c r="CN771" s="161">
        <f t="shared" si="3187"/>
        <v>0</v>
      </c>
      <c r="CO771" s="161">
        <f t="shared" si="3188"/>
        <v>0</v>
      </c>
      <c r="CP771" s="161">
        <f t="shared" si="3189"/>
        <v>0</v>
      </c>
      <c r="CQ771" s="161">
        <f t="shared" si="3190"/>
        <v>0</v>
      </c>
      <c r="CR771" s="161">
        <f t="shared" si="3191"/>
        <v>0</v>
      </c>
      <c r="CS771" s="161">
        <f t="shared" si="3192"/>
        <v>0</v>
      </c>
      <c r="CT771" s="161">
        <f t="shared" si="3193"/>
        <v>0</v>
      </c>
      <c r="CU771" s="161">
        <f t="shared" si="3194"/>
        <v>0</v>
      </c>
      <c r="CV771" s="161">
        <f t="shared" si="3195"/>
        <v>0</v>
      </c>
      <c r="CW771" s="161">
        <f t="shared" si="3196"/>
        <v>0</v>
      </c>
      <c r="CX771" s="161">
        <f t="shared" si="3197"/>
        <v>0</v>
      </c>
      <c r="CY771" s="161">
        <f t="shared" si="3198"/>
        <v>0</v>
      </c>
      <c r="CZ771" s="161">
        <f t="shared" si="3199"/>
        <v>0</v>
      </c>
      <c r="DA771" s="161">
        <f t="shared" si="3200"/>
        <v>0</v>
      </c>
      <c r="DB771" s="161">
        <f t="shared" si="3201"/>
        <v>0</v>
      </c>
      <c r="DC771" s="161">
        <f t="shared" si="3202"/>
        <v>0</v>
      </c>
      <c r="DD771" s="161">
        <f t="shared" si="3203"/>
        <v>0</v>
      </c>
      <c r="DE771" s="161">
        <f t="shared" si="3204"/>
        <v>0</v>
      </c>
      <c r="DF771" s="161">
        <f t="shared" si="3205"/>
        <v>0</v>
      </c>
      <c r="DG771" s="161">
        <f t="shared" si="3206"/>
        <v>0</v>
      </c>
      <c r="DH771" s="161">
        <f t="shared" si="3207"/>
        <v>0</v>
      </c>
      <c r="DI771" s="161">
        <f t="shared" si="3208"/>
        <v>0</v>
      </c>
      <c r="DJ771" s="161">
        <f t="shared" si="3209"/>
        <v>0</v>
      </c>
      <c r="DK771" s="161">
        <f t="shared" si="3210"/>
        <v>0</v>
      </c>
      <c r="DL771" s="161">
        <f t="shared" si="3211"/>
        <v>0</v>
      </c>
      <c r="DM771" s="161">
        <f t="shared" si="3212"/>
        <v>0</v>
      </c>
      <c r="DN771" s="161">
        <f t="shared" si="3213"/>
        <v>0</v>
      </c>
      <c r="DO771" s="161">
        <f t="shared" si="3214"/>
        <v>0</v>
      </c>
      <c r="DP771" s="161">
        <f t="shared" si="3215"/>
        <v>0</v>
      </c>
      <c r="DQ771" s="161">
        <f t="shared" si="3216"/>
        <v>0</v>
      </c>
      <c r="DR771" s="161">
        <f t="shared" si="3217"/>
        <v>0</v>
      </c>
      <c r="DS771" s="161">
        <f t="shared" si="3218"/>
        <v>0</v>
      </c>
      <c r="DT771" s="161">
        <f t="shared" si="3219"/>
        <v>0</v>
      </c>
      <c r="DU771" s="161">
        <f t="shared" si="3220"/>
        <v>0</v>
      </c>
      <c r="DV771" s="161">
        <f t="shared" si="3221"/>
        <v>0</v>
      </c>
      <c r="DW771" s="161">
        <f t="shared" si="3222"/>
        <v>0</v>
      </c>
      <c r="DX771" s="161">
        <f t="shared" si="3223"/>
        <v>0</v>
      </c>
      <c r="DY771" s="161">
        <f t="shared" si="3224"/>
        <v>0</v>
      </c>
      <c r="DZ771" s="161">
        <f t="shared" si="3225"/>
        <v>0</v>
      </c>
      <c r="EA771" s="161">
        <f t="shared" si="3226"/>
        <v>0</v>
      </c>
      <c r="EB771" s="161">
        <f t="shared" si="3227"/>
        <v>0</v>
      </c>
      <c r="EC771" s="161">
        <f t="shared" si="3228"/>
        <v>0</v>
      </c>
      <c r="ED771" s="161">
        <f t="shared" si="3229"/>
        <v>0</v>
      </c>
      <c r="EE771" s="161">
        <f t="shared" si="3230"/>
        <v>0</v>
      </c>
      <c r="EF771" s="161">
        <f t="shared" si="3231"/>
        <v>0</v>
      </c>
      <c r="EG771" s="161">
        <f t="shared" si="3232"/>
        <v>0</v>
      </c>
      <c r="EH771" s="161">
        <f t="shared" si="3233"/>
        <v>0</v>
      </c>
      <c r="EI771" s="161">
        <f t="shared" si="3234"/>
        <v>0</v>
      </c>
    </row>
    <row r="772" spans="2:139" ht="6" customHeight="1" outlineLevel="1"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  <c r="AQ772" s="65"/>
      <c r="AR772" s="65"/>
      <c r="AS772" s="65"/>
      <c r="AT772" s="65"/>
      <c r="AU772" s="65"/>
      <c r="AV772" s="65"/>
      <c r="AW772" s="65"/>
      <c r="AX772" s="65"/>
      <c r="AY772" s="65"/>
      <c r="AZ772" s="65"/>
      <c r="BA772" s="65"/>
      <c r="BB772" s="65"/>
      <c r="BC772" s="65"/>
      <c r="BD772" s="65"/>
      <c r="BE772" s="65"/>
      <c r="BF772" s="65"/>
      <c r="BG772" s="65"/>
      <c r="BH772" s="65"/>
      <c r="BI772" s="65"/>
      <c r="BJ772" s="65"/>
      <c r="BK772" s="65"/>
      <c r="BL772" s="65"/>
      <c r="BM772" s="65"/>
      <c r="BN772" s="65"/>
      <c r="BO772" s="65"/>
      <c r="BP772" s="65"/>
      <c r="BQ772" s="65"/>
      <c r="BR772" s="65"/>
      <c r="BS772" s="65"/>
      <c r="BT772" s="65"/>
      <c r="BU772" s="65"/>
      <c r="BV772" s="65"/>
      <c r="BW772" s="69"/>
      <c r="BX772" s="65"/>
      <c r="BY772" s="65"/>
      <c r="BZ772" s="65"/>
      <c r="CA772" s="65"/>
      <c r="CB772" s="65"/>
      <c r="CC772" s="65"/>
      <c r="CD772" s="65"/>
      <c r="CE772" s="65"/>
      <c r="CF772" s="65"/>
      <c r="CG772" s="65"/>
      <c r="CH772" s="65"/>
      <c r="CI772" s="65"/>
      <c r="CJ772" s="65"/>
      <c r="CK772" s="65"/>
      <c r="CL772" s="65"/>
      <c r="CM772" s="65"/>
      <c r="CN772" s="65"/>
      <c r="CO772" s="65"/>
      <c r="CP772" s="65"/>
      <c r="CQ772" s="65"/>
      <c r="CR772" s="65"/>
      <c r="CS772" s="65"/>
      <c r="CT772" s="65"/>
      <c r="CU772" s="65"/>
      <c r="CV772" s="65"/>
      <c r="CW772" s="65"/>
      <c r="CX772" s="65"/>
      <c r="CY772" s="65"/>
      <c r="CZ772" s="65"/>
      <c r="DA772" s="65"/>
      <c r="DB772" s="65"/>
      <c r="DC772" s="65"/>
      <c r="DD772" s="65"/>
      <c r="DE772" s="65"/>
      <c r="DF772" s="65"/>
      <c r="DG772" s="65"/>
      <c r="DH772" s="65"/>
      <c r="DI772" s="65"/>
      <c r="DJ772" s="65"/>
      <c r="DK772" s="65"/>
      <c r="DL772" s="65"/>
      <c r="DM772" s="65"/>
      <c r="DN772" s="65"/>
      <c r="DO772" s="65"/>
      <c r="DP772" s="65"/>
      <c r="DQ772" s="65"/>
      <c r="DR772" s="65"/>
      <c r="DS772" s="65"/>
      <c r="DT772" s="65"/>
      <c r="DU772" s="65"/>
      <c r="DV772" s="65"/>
      <c r="DW772" s="65"/>
      <c r="DX772" s="65"/>
      <c r="DY772" s="65"/>
      <c r="DZ772" s="65"/>
      <c r="EA772" s="65"/>
      <c r="EB772" s="65"/>
      <c r="EC772" s="65"/>
      <c r="ED772" s="65"/>
      <c r="EE772" s="65"/>
      <c r="EF772" s="65"/>
      <c r="EG772" s="65"/>
      <c r="EH772" s="65"/>
      <c r="EI772" s="65"/>
    </row>
    <row r="773" spans="2:139" ht="12" customHeight="1" outlineLevel="1">
      <c r="B773" s="137" t="str">
        <f>IF(F773&gt;0,F773&amp;" - "&amp;D773,"")</f>
        <v>Supervisor Administrativo - Administração da Obra</v>
      </c>
      <c r="C773" s="65"/>
      <c r="D773" s="607" t="s">
        <v>485</v>
      </c>
      <c r="E773" s="65"/>
      <c r="F773" s="164" t="s">
        <v>486</v>
      </c>
      <c r="G773" s="165"/>
      <c r="H773" s="166">
        <f t="shared" ref="H773:H779" si="3239">IFERROR(SUM(K773:BR773)/COUNTIF(K773:BR773,"&gt;0"),0)</f>
        <v>0</v>
      </c>
      <c r="I773" s="144">
        <f t="shared" ref="I773:I779" si="3240">COUNTIF(K773:BR773,"&gt;0")</f>
        <v>0</v>
      </c>
      <c r="J773" s="65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  <c r="AB773" s="167"/>
      <c r="AC773" s="167"/>
      <c r="AD773" s="167"/>
      <c r="AE773" s="167"/>
      <c r="AF773" s="167"/>
      <c r="AG773" s="167"/>
      <c r="AH773" s="167"/>
      <c r="AI773" s="167"/>
      <c r="AJ773" s="167"/>
      <c r="AK773" s="167"/>
      <c r="AL773" s="167"/>
      <c r="AM773" s="167"/>
      <c r="AN773" s="167"/>
      <c r="AO773" s="167"/>
      <c r="AP773" s="167"/>
      <c r="AQ773" s="167"/>
      <c r="AR773" s="167"/>
      <c r="AS773" s="167"/>
      <c r="AT773" s="167"/>
      <c r="AU773" s="167"/>
      <c r="AV773" s="167"/>
      <c r="AW773" s="167"/>
      <c r="AX773" s="167"/>
      <c r="AY773" s="167"/>
      <c r="AZ773" s="167"/>
      <c r="BA773" s="167"/>
      <c r="BB773" s="167"/>
      <c r="BC773" s="167"/>
      <c r="BD773" s="167"/>
      <c r="BE773" s="167"/>
      <c r="BF773" s="167"/>
      <c r="BG773" s="167"/>
      <c r="BH773" s="167"/>
      <c r="BI773" s="167"/>
      <c r="BJ773" s="167"/>
      <c r="BK773" s="167"/>
      <c r="BL773" s="167"/>
      <c r="BM773" s="167"/>
      <c r="BN773" s="167"/>
      <c r="BO773" s="167"/>
      <c r="BP773" s="167"/>
      <c r="BQ773" s="167"/>
      <c r="BR773" s="167"/>
      <c r="BS773" s="65"/>
      <c r="BT773" s="65"/>
      <c r="BU773" s="65"/>
      <c r="BV773" s="65"/>
      <c r="BW773" s="69"/>
      <c r="BX773" s="65"/>
      <c r="BY773" s="137">
        <f t="shared" si="3235"/>
        <v>0</v>
      </c>
      <c r="BZ773" s="137">
        <f>IF(BY773&gt;0,BY773+LARGE($BZ$757:BZ772,1),0)</f>
        <v>0</v>
      </c>
      <c r="CA773" s="137" t="str">
        <f t="shared" si="3236"/>
        <v>Supervisor Administrativo</v>
      </c>
      <c r="CB773" s="161">
        <f t="shared" si="3175"/>
        <v>0</v>
      </c>
      <c r="CC773" s="161">
        <f t="shared" si="3176"/>
        <v>0</v>
      </c>
      <c r="CD773" s="161">
        <f t="shared" si="3177"/>
        <v>0</v>
      </c>
      <c r="CE773" s="161">
        <f t="shared" si="3178"/>
        <v>0</v>
      </c>
      <c r="CF773" s="161">
        <f t="shared" si="3179"/>
        <v>0</v>
      </c>
      <c r="CG773" s="161">
        <f t="shared" si="3180"/>
        <v>0</v>
      </c>
      <c r="CH773" s="161">
        <f t="shared" si="3181"/>
        <v>0</v>
      </c>
      <c r="CI773" s="161">
        <f t="shared" si="3182"/>
        <v>0</v>
      </c>
      <c r="CJ773" s="161">
        <f t="shared" si="3183"/>
        <v>0</v>
      </c>
      <c r="CK773" s="161">
        <f t="shared" si="3184"/>
        <v>0</v>
      </c>
      <c r="CL773" s="161">
        <f t="shared" si="3185"/>
        <v>0</v>
      </c>
      <c r="CM773" s="161">
        <f t="shared" si="3186"/>
        <v>0</v>
      </c>
      <c r="CN773" s="161">
        <f t="shared" si="3187"/>
        <v>0</v>
      </c>
      <c r="CO773" s="161">
        <f t="shared" si="3188"/>
        <v>0</v>
      </c>
      <c r="CP773" s="161">
        <f t="shared" si="3189"/>
        <v>0</v>
      </c>
      <c r="CQ773" s="161">
        <f t="shared" si="3190"/>
        <v>0</v>
      </c>
      <c r="CR773" s="161">
        <f t="shared" si="3191"/>
        <v>0</v>
      </c>
      <c r="CS773" s="161">
        <f t="shared" si="3192"/>
        <v>0</v>
      </c>
      <c r="CT773" s="161">
        <f t="shared" si="3193"/>
        <v>0</v>
      </c>
      <c r="CU773" s="161">
        <f t="shared" si="3194"/>
        <v>0</v>
      </c>
      <c r="CV773" s="161">
        <f t="shared" si="3195"/>
        <v>0</v>
      </c>
      <c r="CW773" s="161">
        <f t="shared" si="3196"/>
        <v>0</v>
      </c>
      <c r="CX773" s="161">
        <f t="shared" si="3197"/>
        <v>0</v>
      </c>
      <c r="CY773" s="161">
        <f t="shared" si="3198"/>
        <v>0</v>
      </c>
      <c r="CZ773" s="161">
        <f t="shared" si="3199"/>
        <v>0</v>
      </c>
      <c r="DA773" s="161">
        <f t="shared" si="3200"/>
        <v>0</v>
      </c>
      <c r="DB773" s="161">
        <f t="shared" si="3201"/>
        <v>0</v>
      </c>
      <c r="DC773" s="161">
        <f t="shared" si="3202"/>
        <v>0</v>
      </c>
      <c r="DD773" s="161">
        <f t="shared" si="3203"/>
        <v>0</v>
      </c>
      <c r="DE773" s="161">
        <f t="shared" si="3204"/>
        <v>0</v>
      </c>
      <c r="DF773" s="161">
        <f t="shared" si="3205"/>
        <v>0</v>
      </c>
      <c r="DG773" s="161">
        <f t="shared" si="3206"/>
        <v>0</v>
      </c>
      <c r="DH773" s="161">
        <f t="shared" si="3207"/>
        <v>0</v>
      </c>
      <c r="DI773" s="161">
        <f t="shared" si="3208"/>
        <v>0</v>
      </c>
      <c r="DJ773" s="161">
        <f t="shared" si="3209"/>
        <v>0</v>
      </c>
      <c r="DK773" s="161">
        <f t="shared" si="3210"/>
        <v>0</v>
      </c>
      <c r="DL773" s="161">
        <f t="shared" si="3211"/>
        <v>0</v>
      </c>
      <c r="DM773" s="161">
        <f t="shared" si="3212"/>
        <v>0</v>
      </c>
      <c r="DN773" s="161">
        <f t="shared" si="3213"/>
        <v>0</v>
      </c>
      <c r="DO773" s="161">
        <f t="shared" si="3214"/>
        <v>0</v>
      </c>
      <c r="DP773" s="161">
        <f t="shared" si="3215"/>
        <v>0</v>
      </c>
      <c r="DQ773" s="161">
        <f t="shared" si="3216"/>
        <v>0</v>
      </c>
      <c r="DR773" s="161">
        <f t="shared" si="3217"/>
        <v>0</v>
      </c>
      <c r="DS773" s="161">
        <f t="shared" si="3218"/>
        <v>0</v>
      </c>
      <c r="DT773" s="161">
        <f t="shared" si="3219"/>
        <v>0</v>
      </c>
      <c r="DU773" s="161">
        <f t="shared" si="3220"/>
        <v>0</v>
      </c>
      <c r="DV773" s="161">
        <f t="shared" si="3221"/>
        <v>0</v>
      </c>
      <c r="DW773" s="161">
        <f t="shared" si="3222"/>
        <v>0</v>
      </c>
      <c r="DX773" s="161">
        <f t="shared" si="3223"/>
        <v>0</v>
      </c>
      <c r="DY773" s="161">
        <f t="shared" si="3224"/>
        <v>0</v>
      </c>
      <c r="DZ773" s="161">
        <f t="shared" si="3225"/>
        <v>0</v>
      </c>
      <c r="EA773" s="161">
        <f t="shared" si="3226"/>
        <v>0</v>
      </c>
      <c r="EB773" s="161">
        <f t="shared" si="3227"/>
        <v>0</v>
      </c>
      <c r="EC773" s="161">
        <f t="shared" si="3228"/>
        <v>0</v>
      </c>
      <c r="ED773" s="161">
        <f t="shared" si="3229"/>
        <v>0</v>
      </c>
      <c r="EE773" s="161">
        <f t="shared" si="3230"/>
        <v>0</v>
      </c>
      <c r="EF773" s="161">
        <f t="shared" si="3231"/>
        <v>0</v>
      </c>
      <c r="EG773" s="161">
        <f t="shared" si="3232"/>
        <v>0</v>
      </c>
      <c r="EH773" s="161">
        <f t="shared" si="3233"/>
        <v>0</v>
      </c>
      <c r="EI773" s="161">
        <f t="shared" si="3234"/>
        <v>0</v>
      </c>
    </row>
    <row r="774" spans="2:139" ht="12" customHeight="1" outlineLevel="1">
      <c r="B774" s="137" t="str">
        <f>IF(F774&gt;0,F774&amp;" - "&amp;D773,"")</f>
        <v>Técnico Administrativo - Administração da Obra</v>
      </c>
      <c r="C774" s="65"/>
      <c r="D774" s="607"/>
      <c r="E774" s="65"/>
      <c r="F774" s="164" t="s">
        <v>487</v>
      </c>
      <c r="G774" s="165"/>
      <c r="H774" s="166">
        <f t="shared" si="3239"/>
        <v>0</v>
      </c>
      <c r="I774" s="144">
        <f t="shared" si="3240"/>
        <v>0</v>
      </c>
      <c r="J774" s="65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  <c r="AB774" s="167"/>
      <c r="AC774" s="167"/>
      <c r="AD774" s="167"/>
      <c r="AE774" s="167"/>
      <c r="AF774" s="167"/>
      <c r="AG774" s="167"/>
      <c r="AH774" s="167"/>
      <c r="AI774" s="167"/>
      <c r="AJ774" s="167"/>
      <c r="AK774" s="167"/>
      <c r="AL774" s="167"/>
      <c r="AM774" s="167"/>
      <c r="AN774" s="167"/>
      <c r="AO774" s="167"/>
      <c r="AP774" s="167"/>
      <c r="AQ774" s="167"/>
      <c r="AR774" s="167"/>
      <c r="AS774" s="167"/>
      <c r="AT774" s="167"/>
      <c r="AU774" s="167"/>
      <c r="AV774" s="167"/>
      <c r="AW774" s="167"/>
      <c r="AX774" s="167"/>
      <c r="AY774" s="167"/>
      <c r="AZ774" s="167"/>
      <c r="BA774" s="167"/>
      <c r="BB774" s="167"/>
      <c r="BC774" s="167"/>
      <c r="BD774" s="167"/>
      <c r="BE774" s="167"/>
      <c r="BF774" s="167"/>
      <c r="BG774" s="167"/>
      <c r="BH774" s="167"/>
      <c r="BI774" s="167"/>
      <c r="BJ774" s="167"/>
      <c r="BK774" s="167"/>
      <c r="BL774" s="167"/>
      <c r="BM774" s="167"/>
      <c r="BN774" s="167"/>
      <c r="BO774" s="167"/>
      <c r="BP774" s="167"/>
      <c r="BQ774" s="167"/>
      <c r="BR774" s="167"/>
      <c r="BS774" s="65"/>
      <c r="BT774" s="65"/>
      <c r="BU774" s="65"/>
      <c r="BV774" s="65"/>
      <c r="BW774" s="69"/>
      <c r="BX774" s="65"/>
      <c r="BY774" s="137">
        <f t="shared" si="3235"/>
        <v>0</v>
      </c>
      <c r="BZ774" s="137">
        <f>IF(BY774&gt;0,BY774+LARGE($BZ$757:BZ773,1),0)</f>
        <v>0</v>
      </c>
      <c r="CA774" s="137" t="str">
        <f t="shared" si="3236"/>
        <v>Técnico Administrativo</v>
      </c>
      <c r="CB774" s="161">
        <f t="shared" si="3175"/>
        <v>0</v>
      </c>
      <c r="CC774" s="161">
        <f t="shared" si="3176"/>
        <v>0</v>
      </c>
      <c r="CD774" s="161">
        <f t="shared" si="3177"/>
        <v>0</v>
      </c>
      <c r="CE774" s="161">
        <f t="shared" si="3178"/>
        <v>0</v>
      </c>
      <c r="CF774" s="161">
        <f t="shared" si="3179"/>
        <v>0</v>
      </c>
      <c r="CG774" s="161">
        <f t="shared" si="3180"/>
        <v>0</v>
      </c>
      <c r="CH774" s="161">
        <f t="shared" si="3181"/>
        <v>0</v>
      </c>
      <c r="CI774" s="161">
        <f t="shared" si="3182"/>
        <v>0</v>
      </c>
      <c r="CJ774" s="161">
        <f t="shared" si="3183"/>
        <v>0</v>
      </c>
      <c r="CK774" s="161">
        <f t="shared" si="3184"/>
        <v>0</v>
      </c>
      <c r="CL774" s="161">
        <f t="shared" si="3185"/>
        <v>0</v>
      </c>
      <c r="CM774" s="161">
        <f t="shared" si="3186"/>
        <v>0</v>
      </c>
      <c r="CN774" s="161">
        <f t="shared" si="3187"/>
        <v>0</v>
      </c>
      <c r="CO774" s="161">
        <f t="shared" si="3188"/>
        <v>0</v>
      </c>
      <c r="CP774" s="161">
        <f t="shared" si="3189"/>
        <v>0</v>
      </c>
      <c r="CQ774" s="161">
        <f t="shared" si="3190"/>
        <v>0</v>
      </c>
      <c r="CR774" s="161">
        <f t="shared" si="3191"/>
        <v>0</v>
      </c>
      <c r="CS774" s="161">
        <f t="shared" si="3192"/>
        <v>0</v>
      </c>
      <c r="CT774" s="161">
        <f t="shared" si="3193"/>
        <v>0</v>
      </c>
      <c r="CU774" s="161">
        <f t="shared" si="3194"/>
        <v>0</v>
      </c>
      <c r="CV774" s="161">
        <f t="shared" si="3195"/>
        <v>0</v>
      </c>
      <c r="CW774" s="161">
        <f t="shared" si="3196"/>
        <v>0</v>
      </c>
      <c r="CX774" s="161">
        <f t="shared" si="3197"/>
        <v>0</v>
      </c>
      <c r="CY774" s="161">
        <f t="shared" si="3198"/>
        <v>0</v>
      </c>
      <c r="CZ774" s="161">
        <f t="shared" si="3199"/>
        <v>0</v>
      </c>
      <c r="DA774" s="161">
        <f t="shared" si="3200"/>
        <v>0</v>
      </c>
      <c r="DB774" s="161">
        <f t="shared" si="3201"/>
        <v>0</v>
      </c>
      <c r="DC774" s="161">
        <f t="shared" si="3202"/>
        <v>0</v>
      </c>
      <c r="DD774" s="161">
        <f t="shared" si="3203"/>
        <v>0</v>
      </c>
      <c r="DE774" s="161">
        <f t="shared" si="3204"/>
        <v>0</v>
      </c>
      <c r="DF774" s="161">
        <f t="shared" si="3205"/>
        <v>0</v>
      </c>
      <c r="DG774" s="161">
        <f t="shared" si="3206"/>
        <v>0</v>
      </c>
      <c r="DH774" s="161">
        <f t="shared" si="3207"/>
        <v>0</v>
      </c>
      <c r="DI774" s="161">
        <f t="shared" si="3208"/>
        <v>0</v>
      </c>
      <c r="DJ774" s="161">
        <f t="shared" si="3209"/>
        <v>0</v>
      </c>
      <c r="DK774" s="161">
        <f t="shared" si="3210"/>
        <v>0</v>
      </c>
      <c r="DL774" s="161">
        <f t="shared" si="3211"/>
        <v>0</v>
      </c>
      <c r="DM774" s="161">
        <f t="shared" si="3212"/>
        <v>0</v>
      </c>
      <c r="DN774" s="161">
        <f t="shared" si="3213"/>
        <v>0</v>
      </c>
      <c r="DO774" s="161">
        <f t="shared" si="3214"/>
        <v>0</v>
      </c>
      <c r="DP774" s="161">
        <f t="shared" si="3215"/>
        <v>0</v>
      </c>
      <c r="DQ774" s="161">
        <f t="shared" si="3216"/>
        <v>0</v>
      </c>
      <c r="DR774" s="161">
        <f t="shared" si="3217"/>
        <v>0</v>
      </c>
      <c r="DS774" s="161">
        <f t="shared" si="3218"/>
        <v>0</v>
      </c>
      <c r="DT774" s="161">
        <f t="shared" si="3219"/>
        <v>0</v>
      </c>
      <c r="DU774" s="161">
        <f t="shared" si="3220"/>
        <v>0</v>
      </c>
      <c r="DV774" s="161">
        <f t="shared" si="3221"/>
        <v>0</v>
      </c>
      <c r="DW774" s="161">
        <f t="shared" si="3222"/>
        <v>0</v>
      </c>
      <c r="DX774" s="161">
        <f t="shared" si="3223"/>
        <v>0</v>
      </c>
      <c r="DY774" s="161">
        <f t="shared" si="3224"/>
        <v>0</v>
      </c>
      <c r="DZ774" s="161">
        <f t="shared" si="3225"/>
        <v>0</v>
      </c>
      <c r="EA774" s="161">
        <f t="shared" si="3226"/>
        <v>0</v>
      </c>
      <c r="EB774" s="161">
        <f t="shared" si="3227"/>
        <v>0</v>
      </c>
      <c r="EC774" s="161">
        <f t="shared" si="3228"/>
        <v>0</v>
      </c>
      <c r="ED774" s="161">
        <f t="shared" si="3229"/>
        <v>0</v>
      </c>
      <c r="EE774" s="161">
        <f t="shared" si="3230"/>
        <v>0</v>
      </c>
      <c r="EF774" s="161">
        <f t="shared" si="3231"/>
        <v>0</v>
      </c>
      <c r="EG774" s="161">
        <f t="shared" si="3232"/>
        <v>0</v>
      </c>
      <c r="EH774" s="161">
        <f t="shared" si="3233"/>
        <v>0</v>
      </c>
      <c r="EI774" s="161">
        <f t="shared" si="3234"/>
        <v>0</v>
      </c>
    </row>
    <row r="775" spans="2:139" ht="12" customHeight="1" outlineLevel="1">
      <c r="B775" s="137" t="str">
        <f>IF(F775&gt;0,F775&amp;" - "&amp;D773,"")</f>
        <v>Auxiliar Administrativo - Administração da Obra</v>
      </c>
      <c r="C775" s="65"/>
      <c r="D775" s="607"/>
      <c r="E775" s="65"/>
      <c r="F775" s="164" t="s">
        <v>476</v>
      </c>
      <c r="G775" s="165"/>
      <c r="H775" s="166">
        <f t="shared" si="3239"/>
        <v>0</v>
      </c>
      <c r="I775" s="144">
        <f t="shared" si="3240"/>
        <v>0</v>
      </c>
      <c r="J775" s="65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  <c r="AB775" s="167"/>
      <c r="AC775" s="167"/>
      <c r="AD775" s="167"/>
      <c r="AE775" s="167"/>
      <c r="AF775" s="167"/>
      <c r="AG775" s="167"/>
      <c r="AH775" s="167"/>
      <c r="AI775" s="167"/>
      <c r="AJ775" s="167"/>
      <c r="AK775" s="167"/>
      <c r="AL775" s="167"/>
      <c r="AM775" s="167"/>
      <c r="AN775" s="167"/>
      <c r="AO775" s="167"/>
      <c r="AP775" s="167"/>
      <c r="AQ775" s="167"/>
      <c r="AR775" s="167"/>
      <c r="AS775" s="167"/>
      <c r="AT775" s="167"/>
      <c r="AU775" s="167"/>
      <c r="AV775" s="167"/>
      <c r="AW775" s="167"/>
      <c r="AX775" s="167"/>
      <c r="AY775" s="167"/>
      <c r="AZ775" s="167"/>
      <c r="BA775" s="167"/>
      <c r="BB775" s="167"/>
      <c r="BC775" s="167"/>
      <c r="BD775" s="167"/>
      <c r="BE775" s="167"/>
      <c r="BF775" s="167"/>
      <c r="BG775" s="167"/>
      <c r="BH775" s="167"/>
      <c r="BI775" s="167"/>
      <c r="BJ775" s="167"/>
      <c r="BK775" s="167"/>
      <c r="BL775" s="167"/>
      <c r="BM775" s="167"/>
      <c r="BN775" s="167"/>
      <c r="BO775" s="167"/>
      <c r="BP775" s="167"/>
      <c r="BQ775" s="167"/>
      <c r="BR775" s="167"/>
      <c r="BS775" s="65"/>
      <c r="BT775" s="65"/>
      <c r="BU775" s="65"/>
      <c r="BV775" s="65"/>
      <c r="BW775" s="69"/>
      <c r="BX775" s="65"/>
      <c r="BY775" s="137">
        <f t="shared" si="3235"/>
        <v>0</v>
      </c>
      <c r="BZ775" s="137">
        <f>IF(BY775&gt;0,BY775+LARGE($BZ$757:BZ774,1),0)</f>
        <v>0</v>
      </c>
      <c r="CA775" s="137" t="str">
        <f t="shared" si="3236"/>
        <v>Auxiliar Administrativo</v>
      </c>
      <c r="CB775" s="161">
        <f t="shared" si="3175"/>
        <v>0</v>
      </c>
      <c r="CC775" s="161">
        <f t="shared" si="3176"/>
        <v>0</v>
      </c>
      <c r="CD775" s="161">
        <f t="shared" si="3177"/>
        <v>0</v>
      </c>
      <c r="CE775" s="161">
        <f t="shared" si="3178"/>
        <v>0</v>
      </c>
      <c r="CF775" s="161">
        <f t="shared" si="3179"/>
        <v>0</v>
      </c>
      <c r="CG775" s="161">
        <f t="shared" si="3180"/>
        <v>0</v>
      </c>
      <c r="CH775" s="161">
        <f t="shared" si="3181"/>
        <v>0</v>
      </c>
      <c r="CI775" s="161">
        <f t="shared" si="3182"/>
        <v>0</v>
      </c>
      <c r="CJ775" s="161">
        <f t="shared" si="3183"/>
        <v>0</v>
      </c>
      <c r="CK775" s="161">
        <f t="shared" si="3184"/>
        <v>0</v>
      </c>
      <c r="CL775" s="161">
        <f t="shared" si="3185"/>
        <v>0</v>
      </c>
      <c r="CM775" s="161">
        <f t="shared" si="3186"/>
        <v>0</v>
      </c>
      <c r="CN775" s="161">
        <f t="shared" si="3187"/>
        <v>0</v>
      </c>
      <c r="CO775" s="161">
        <f t="shared" si="3188"/>
        <v>0</v>
      </c>
      <c r="CP775" s="161">
        <f t="shared" si="3189"/>
        <v>0</v>
      </c>
      <c r="CQ775" s="161">
        <f t="shared" si="3190"/>
        <v>0</v>
      </c>
      <c r="CR775" s="161">
        <f t="shared" si="3191"/>
        <v>0</v>
      </c>
      <c r="CS775" s="161">
        <f t="shared" si="3192"/>
        <v>0</v>
      </c>
      <c r="CT775" s="161">
        <f t="shared" si="3193"/>
        <v>0</v>
      </c>
      <c r="CU775" s="161">
        <f t="shared" si="3194"/>
        <v>0</v>
      </c>
      <c r="CV775" s="161">
        <f t="shared" si="3195"/>
        <v>0</v>
      </c>
      <c r="CW775" s="161">
        <f t="shared" si="3196"/>
        <v>0</v>
      </c>
      <c r="CX775" s="161">
        <f t="shared" si="3197"/>
        <v>0</v>
      </c>
      <c r="CY775" s="161">
        <f t="shared" si="3198"/>
        <v>0</v>
      </c>
      <c r="CZ775" s="161">
        <f t="shared" si="3199"/>
        <v>0</v>
      </c>
      <c r="DA775" s="161">
        <f t="shared" si="3200"/>
        <v>0</v>
      </c>
      <c r="DB775" s="161">
        <f t="shared" si="3201"/>
        <v>0</v>
      </c>
      <c r="DC775" s="161">
        <f t="shared" si="3202"/>
        <v>0</v>
      </c>
      <c r="DD775" s="161">
        <f t="shared" si="3203"/>
        <v>0</v>
      </c>
      <c r="DE775" s="161">
        <f t="shared" si="3204"/>
        <v>0</v>
      </c>
      <c r="DF775" s="161">
        <f t="shared" si="3205"/>
        <v>0</v>
      </c>
      <c r="DG775" s="161">
        <f t="shared" si="3206"/>
        <v>0</v>
      </c>
      <c r="DH775" s="161">
        <f t="shared" si="3207"/>
        <v>0</v>
      </c>
      <c r="DI775" s="161">
        <f t="shared" si="3208"/>
        <v>0</v>
      </c>
      <c r="DJ775" s="161">
        <f t="shared" si="3209"/>
        <v>0</v>
      </c>
      <c r="DK775" s="161">
        <f t="shared" si="3210"/>
        <v>0</v>
      </c>
      <c r="DL775" s="161">
        <f t="shared" si="3211"/>
        <v>0</v>
      </c>
      <c r="DM775" s="161">
        <f t="shared" si="3212"/>
        <v>0</v>
      </c>
      <c r="DN775" s="161">
        <f t="shared" si="3213"/>
        <v>0</v>
      </c>
      <c r="DO775" s="161">
        <f t="shared" si="3214"/>
        <v>0</v>
      </c>
      <c r="DP775" s="161">
        <f t="shared" si="3215"/>
        <v>0</v>
      </c>
      <c r="DQ775" s="161">
        <f t="shared" si="3216"/>
        <v>0</v>
      </c>
      <c r="DR775" s="161">
        <f t="shared" si="3217"/>
        <v>0</v>
      </c>
      <c r="DS775" s="161">
        <f t="shared" si="3218"/>
        <v>0</v>
      </c>
      <c r="DT775" s="161">
        <f t="shared" si="3219"/>
        <v>0</v>
      </c>
      <c r="DU775" s="161">
        <f t="shared" si="3220"/>
        <v>0</v>
      </c>
      <c r="DV775" s="161">
        <f t="shared" si="3221"/>
        <v>0</v>
      </c>
      <c r="DW775" s="161">
        <f t="shared" si="3222"/>
        <v>0</v>
      </c>
      <c r="DX775" s="161">
        <f t="shared" si="3223"/>
        <v>0</v>
      </c>
      <c r="DY775" s="161">
        <f t="shared" si="3224"/>
        <v>0</v>
      </c>
      <c r="DZ775" s="161">
        <f t="shared" si="3225"/>
        <v>0</v>
      </c>
      <c r="EA775" s="161">
        <f t="shared" si="3226"/>
        <v>0</v>
      </c>
      <c r="EB775" s="161">
        <f t="shared" si="3227"/>
        <v>0</v>
      </c>
      <c r="EC775" s="161">
        <f t="shared" si="3228"/>
        <v>0</v>
      </c>
      <c r="ED775" s="161">
        <f t="shared" si="3229"/>
        <v>0</v>
      </c>
      <c r="EE775" s="161">
        <f t="shared" si="3230"/>
        <v>0</v>
      </c>
      <c r="EF775" s="161">
        <f t="shared" si="3231"/>
        <v>0</v>
      </c>
      <c r="EG775" s="161">
        <f t="shared" si="3232"/>
        <v>0</v>
      </c>
      <c r="EH775" s="161">
        <f t="shared" si="3233"/>
        <v>0</v>
      </c>
      <c r="EI775" s="161">
        <f t="shared" si="3234"/>
        <v>0</v>
      </c>
    </row>
    <row r="776" spans="2:139" ht="12" customHeight="1" outlineLevel="1">
      <c r="B776" s="137" t="str">
        <f>IF(F776&gt;0,F776&amp;" - "&amp;D773,"")</f>
        <v>Comprador Técnico - Administração da Obra</v>
      </c>
      <c r="C776" s="65"/>
      <c r="D776" s="607"/>
      <c r="E776" s="65"/>
      <c r="F776" s="164" t="s">
        <v>488</v>
      </c>
      <c r="G776" s="165"/>
      <c r="H776" s="166">
        <f t="shared" si="3239"/>
        <v>0</v>
      </c>
      <c r="I776" s="144">
        <f t="shared" si="3240"/>
        <v>0</v>
      </c>
      <c r="J776" s="65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  <c r="AB776" s="167"/>
      <c r="AC776" s="167"/>
      <c r="AD776" s="167"/>
      <c r="AE776" s="167"/>
      <c r="AF776" s="167"/>
      <c r="AG776" s="167"/>
      <c r="AH776" s="167"/>
      <c r="AI776" s="167"/>
      <c r="AJ776" s="167"/>
      <c r="AK776" s="167"/>
      <c r="AL776" s="167"/>
      <c r="AM776" s="167"/>
      <c r="AN776" s="167"/>
      <c r="AO776" s="167"/>
      <c r="AP776" s="167"/>
      <c r="AQ776" s="167"/>
      <c r="AR776" s="167"/>
      <c r="AS776" s="167"/>
      <c r="AT776" s="167"/>
      <c r="AU776" s="167"/>
      <c r="AV776" s="167"/>
      <c r="AW776" s="167"/>
      <c r="AX776" s="167"/>
      <c r="AY776" s="167"/>
      <c r="AZ776" s="167"/>
      <c r="BA776" s="167"/>
      <c r="BB776" s="167"/>
      <c r="BC776" s="167"/>
      <c r="BD776" s="167"/>
      <c r="BE776" s="167"/>
      <c r="BF776" s="167"/>
      <c r="BG776" s="167"/>
      <c r="BH776" s="167"/>
      <c r="BI776" s="167"/>
      <c r="BJ776" s="167"/>
      <c r="BK776" s="167"/>
      <c r="BL776" s="167"/>
      <c r="BM776" s="167"/>
      <c r="BN776" s="167"/>
      <c r="BO776" s="167"/>
      <c r="BP776" s="167"/>
      <c r="BQ776" s="167"/>
      <c r="BR776" s="167"/>
      <c r="BS776" s="65"/>
      <c r="BT776" s="65"/>
      <c r="BU776" s="65"/>
      <c r="BV776" s="65"/>
      <c r="BW776" s="69"/>
      <c r="BX776" s="65"/>
      <c r="BY776" s="137">
        <f t="shared" si="3235"/>
        <v>0</v>
      </c>
      <c r="BZ776" s="137">
        <f>IF(BY776&gt;0,BY776+LARGE($BZ$757:BZ775,1),0)</f>
        <v>0</v>
      </c>
      <c r="CA776" s="137" t="str">
        <f t="shared" si="3236"/>
        <v>Comprador Técnico</v>
      </c>
      <c r="CB776" s="161">
        <f t="shared" si="3175"/>
        <v>0</v>
      </c>
      <c r="CC776" s="161">
        <f t="shared" si="3176"/>
        <v>0</v>
      </c>
      <c r="CD776" s="161">
        <f t="shared" si="3177"/>
        <v>0</v>
      </c>
      <c r="CE776" s="161">
        <f t="shared" si="3178"/>
        <v>0</v>
      </c>
      <c r="CF776" s="161">
        <f t="shared" si="3179"/>
        <v>0</v>
      </c>
      <c r="CG776" s="161">
        <f t="shared" si="3180"/>
        <v>0</v>
      </c>
      <c r="CH776" s="161">
        <f t="shared" si="3181"/>
        <v>0</v>
      </c>
      <c r="CI776" s="161">
        <f t="shared" si="3182"/>
        <v>0</v>
      </c>
      <c r="CJ776" s="161">
        <f t="shared" si="3183"/>
        <v>0</v>
      </c>
      <c r="CK776" s="161">
        <f t="shared" si="3184"/>
        <v>0</v>
      </c>
      <c r="CL776" s="161">
        <f t="shared" si="3185"/>
        <v>0</v>
      </c>
      <c r="CM776" s="161">
        <f t="shared" si="3186"/>
        <v>0</v>
      </c>
      <c r="CN776" s="161">
        <f t="shared" si="3187"/>
        <v>0</v>
      </c>
      <c r="CO776" s="161">
        <f t="shared" si="3188"/>
        <v>0</v>
      </c>
      <c r="CP776" s="161">
        <f t="shared" si="3189"/>
        <v>0</v>
      </c>
      <c r="CQ776" s="161">
        <f t="shared" si="3190"/>
        <v>0</v>
      </c>
      <c r="CR776" s="161">
        <f t="shared" si="3191"/>
        <v>0</v>
      </c>
      <c r="CS776" s="161">
        <f t="shared" si="3192"/>
        <v>0</v>
      </c>
      <c r="CT776" s="161">
        <f t="shared" si="3193"/>
        <v>0</v>
      </c>
      <c r="CU776" s="161">
        <f t="shared" si="3194"/>
        <v>0</v>
      </c>
      <c r="CV776" s="161">
        <f t="shared" si="3195"/>
        <v>0</v>
      </c>
      <c r="CW776" s="161">
        <f t="shared" si="3196"/>
        <v>0</v>
      </c>
      <c r="CX776" s="161">
        <f t="shared" si="3197"/>
        <v>0</v>
      </c>
      <c r="CY776" s="161">
        <f t="shared" si="3198"/>
        <v>0</v>
      </c>
      <c r="CZ776" s="161">
        <f t="shared" si="3199"/>
        <v>0</v>
      </c>
      <c r="DA776" s="161">
        <f t="shared" si="3200"/>
        <v>0</v>
      </c>
      <c r="DB776" s="161">
        <f t="shared" si="3201"/>
        <v>0</v>
      </c>
      <c r="DC776" s="161">
        <f t="shared" si="3202"/>
        <v>0</v>
      </c>
      <c r="DD776" s="161">
        <f t="shared" si="3203"/>
        <v>0</v>
      </c>
      <c r="DE776" s="161">
        <f t="shared" si="3204"/>
        <v>0</v>
      </c>
      <c r="DF776" s="161">
        <f t="shared" si="3205"/>
        <v>0</v>
      </c>
      <c r="DG776" s="161">
        <f t="shared" si="3206"/>
        <v>0</v>
      </c>
      <c r="DH776" s="161">
        <f t="shared" si="3207"/>
        <v>0</v>
      </c>
      <c r="DI776" s="161">
        <f t="shared" si="3208"/>
        <v>0</v>
      </c>
      <c r="DJ776" s="161">
        <f t="shared" si="3209"/>
        <v>0</v>
      </c>
      <c r="DK776" s="161">
        <f t="shared" si="3210"/>
        <v>0</v>
      </c>
      <c r="DL776" s="161">
        <f t="shared" si="3211"/>
        <v>0</v>
      </c>
      <c r="DM776" s="161">
        <f t="shared" si="3212"/>
        <v>0</v>
      </c>
      <c r="DN776" s="161">
        <f t="shared" si="3213"/>
        <v>0</v>
      </c>
      <c r="DO776" s="161">
        <f t="shared" si="3214"/>
        <v>0</v>
      </c>
      <c r="DP776" s="161">
        <f t="shared" si="3215"/>
        <v>0</v>
      </c>
      <c r="DQ776" s="161">
        <f t="shared" si="3216"/>
        <v>0</v>
      </c>
      <c r="DR776" s="161">
        <f t="shared" si="3217"/>
        <v>0</v>
      </c>
      <c r="DS776" s="161">
        <f t="shared" si="3218"/>
        <v>0</v>
      </c>
      <c r="DT776" s="161">
        <f t="shared" si="3219"/>
        <v>0</v>
      </c>
      <c r="DU776" s="161">
        <f t="shared" si="3220"/>
        <v>0</v>
      </c>
      <c r="DV776" s="161">
        <f t="shared" si="3221"/>
        <v>0</v>
      </c>
      <c r="DW776" s="161">
        <f t="shared" si="3222"/>
        <v>0</v>
      </c>
      <c r="DX776" s="161">
        <f t="shared" si="3223"/>
        <v>0</v>
      </c>
      <c r="DY776" s="161">
        <f t="shared" si="3224"/>
        <v>0</v>
      </c>
      <c r="DZ776" s="161">
        <f t="shared" si="3225"/>
        <v>0</v>
      </c>
      <c r="EA776" s="161">
        <f t="shared" si="3226"/>
        <v>0</v>
      </c>
      <c r="EB776" s="161">
        <f t="shared" si="3227"/>
        <v>0</v>
      </c>
      <c r="EC776" s="161">
        <f t="shared" si="3228"/>
        <v>0</v>
      </c>
      <c r="ED776" s="161">
        <f t="shared" si="3229"/>
        <v>0</v>
      </c>
      <c r="EE776" s="161">
        <f t="shared" si="3230"/>
        <v>0</v>
      </c>
      <c r="EF776" s="161">
        <f t="shared" si="3231"/>
        <v>0</v>
      </c>
      <c r="EG776" s="161">
        <f t="shared" si="3232"/>
        <v>0</v>
      </c>
      <c r="EH776" s="161">
        <f t="shared" si="3233"/>
        <v>0</v>
      </c>
      <c r="EI776" s="161">
        <f t="shared" si="3234"/>
        <v>0</v>
      </c>
    </row>
    <row r="777" spans="2:139" ht="12" customHeight="1" outlineLevel="1">
      <c r="B777" s="137" t="str">
        <f>IF(F777&gt;0,F777&amp;" - "&amp;D773,"")</f>
        <v>Auxiliar de Compras - Administração da Obra</v>
      </c>
      <c r="C777" s="65"/>
      <c r="D777" s="607"/>
      <c r="E777" s="65"/>
      <c r="F777" s="164" t="s">
        <v>489</v>
      </c>
      <c r="G777" s="165"/>
      <c r="H777" s="166">
        <f t="shared" si="3239"/>
        <v>0</v>
      </c>
      <c r="I777" s="144">
        <f t="shared" si="3240"/>
        <v>0</v>
      </c>
      <c r="J777" s="65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  <c r="AB777" s="167"/>
      <c r="AC777" s="167"/>
      <c r="AD777" s="167"/>
      <c r="AE777" s="167"/>
      <c r="AF777" s="167"/>
      <c r="AG777" s="167"/>
      <c r="AH777" s="167"/>
      <c r="AI777" s="167"/>
      <c r="AJ777" s="167"/>
      <c r="AK777" s="167"/>
      <c r="AL777" s="167"/>
      <c r="AM777" s="167"/>
      <c r="AN777" s="167"/>
      <c r="AO777" s="167"/>
      <c r="AP777" s="167"/>
      <c r="AQ777" s="167"/>
      <c r="AR777" s="167"/>
      <c r="AS777" s="167"/>
      <c r="AT777" s="167"/>
      <c r="AU777" s="167"/>
      <c r="AV777" s="167"/>
      <c r="AW777" s="167"/>
      <c r="AX777" s="167"/>
      <c r="AY777" s="167"/>
      <c r="AZ777" s="167"/>
      <c r="BA777" s="167"/>
      <c r="BB777" s="167"/>
      <c r="BC777" s="167"/>
      <c r="BD777" s="167"/>
      <c r="BE777" s="167"/>
      <c r="BF777" s="167"/>
      <c r="BG777" s="167"/>
      <c r="BH777" s="167"/>
      <c r="BI777" s="167"/>
      <c r="BJ777" s="167"/>
      <c r="BK777" s="167"/>
      <c r="BL777" s="167"/>
      <c r="BM777" s="167"/>
      <c r="BN777" s="167"/>
      <c r="BO777" s="167"/>
      <c r="BP777" s="167"/>
      <c r="BQ777" s="167"/>
      <c r="BR777" s="167"/>
      <c r="BS777" s="65"/>
      <c r="BT777" s="65"/>
      <c r="BU777" s="65"/>
      <c r="BV777" s="65"/>
      <c r="BW777" s="69"/>
      <c r="BX777" s="65"/>
      <c r="BY777" s="137">
        <f t="shared" si="3235"/>
        <v>0</v>
      </c>
      <c r="BZ777" s="137">
        <f>IF(BY777&gt;0,BY777+LARGE($BZ$757:BZ776,1),0)</f>
        <v>0</v>
      </c>
      <c r="CA777" s="137" t="str">
        <f t="shared" si="3236"/>
        <v>Auxiliar de Compras</v>
      </c>
      <c r="CB777" s="161">
        <f t="shared" si="3175"/>
        <v>0</v>
      </c>
      <c r="CC777" s="161">
        <f t="shared" si="3176"/>
        <v>0</v>
      </c>
      <c r="CD777" s="161">
        <f t="shared" si="3177"/>
        <v>0</v>
      </c>
      <c r="CE777" s="161">
        <f t="shared" si="3178"/>
        <v>0</v>
      </c>
      <c r="CF777" s="161">
        <f t="shared" si="3179"/>
        <v>0</v>
      </c>
      <c r="CG777" s="161">
        <f t="shared" si="3180"/>
        <v>0</v>
      </c>
      <c r="CH777" s="161">
        <f t="shared" si="3181"/>
        <v>0</v>
      </c>
      <c r="CI777" s="161">
        <f t="shared" si="3182"/>
        <v>0</v>
      </c>
      <c r="CJ777" s="161">
        <f t="shared" si="3183"/>
        <v>0</v>
      </c>
      <c r="CK777" s="161">
        <f t="shared" si="3184"/>
        <v>0</v>
      </c>
      <c r="CL777" s="161">
        <f t="shared" si="3185"/>
        <v>0</v>
      </c>
      <c r="CM777" s="161">
        <f t="shared" si="3186"/>
        <v>0</v>
      </c>
      <c r="CN777" s="161">
        <f t="shared" si="3187"/>
        <v>0</v>
      </c>
      <c r="CO777" s="161">
        <f t="shared" si="3188"/>
        <v>0</v>
      </c>
      <c r="CP777" s="161">
        <f t="shared" si="3189"/>
        <v>0</v>
      </c>
      <c r="CQ777" s="161">
        <f t="shared" si="3190"/>
        <v>0</v>
      </c>
      <c r="CR777" s="161">
        <f t="shared" si="3191"/>
        <v>0</v>
      </c>
      <c r="CS777" s="161">
        <f t="shared" si="3192"/>
        <v>0</v>
      </c>
      <c r="CT777" s="161">
        <f t="shared" si="3193"/>
        <v>0</v>
      </c>
      <c r="CU777" s="161">
        <f t="shared" si="3194"/>
        <v>0</v>
      </c>
      <c r="CV777" s="161">
        <f t="shared" si="3195"/>
        <v>0</v>
      </c>
      <c r="CW777" s="161">
        <f t="shared" si="3196"/>
        <v>0</v>
      </c>
      <c r="CX777" s="161">
        <f t="shared" si="3197"/>
        <v>0</v>
      </c>
      <c r="CY777" s="161">
        <f t="shared" si="3198"/>
        <v>0</v>
      </c>
      <c r="CZ777" s="161">
        <f t="shared" si="3199"/>
        <v>0</v>
      </c>
      <c r="DA777" s="161">
        <f t="shared" si="3200"/>
        <v>0</v>
      </c>
      <c r="DB777" s="161">
        <f t="shared" si="3201"/>
        <v>0</v>
      </c>
      <c r="DC777" s="161">
        <f t="shared" si="3202"/>
        <v>0</v>
      </c>
      <c r="DD777" s="161">
        <f t="shared" si="3203"/>
        <v>0</v>
      </c>
      <c r="DE777" s="161">
        <f t="shared" si="3204"/>
        <v>0</v>
      </c>
      <c r="DF777" s="161">
        <f t="shared" si="3205"/>
        <v>0</v>
      </c>
      <c r="DG777" s="161">
        <f t="shared" si="3206"/>
        <v>0</v>
      </c>
      <c r="DH777" s="161">
        <f t="shared" si="3207"/>
        <v>0</v>
      </c>
      <c r="DI777" s="161">
        <f t="shared" si="3208"/>
        <v>0</v>
      </c>
      <c r="DJ777" s="161">
        <f t="shared" si="3209"/>
        <v>0</v>
      </c>
      <c r="DK777" s="161">
        <f t="shared" si="3210"/>
        <v>0</v>
      </c>
      <c r="DL777" s="161">
        <f t="shared" si="3211"/>
        <v>0</v>
      </c>
      <c r="DM777" s="161">
        <f t="shared" si="3212"/>
        <v>0</v>
      </c>
      <c r="DN777" s="161">
        <f t="shared" si="3213"/>
        <v>0</v>
      </c>
      <c r="DO777" s="161">
        <f t="shared" si="3214"/>
        <v>0</v>
      </c>
      <c r="DP777" s="161">
        <f t="shared" si="3215"/>
        <v>0</v>
      </c>
      <c r="DQ777" s="161">
        <f t="shared" si="3216"/>
        <v>0</v>
      </c>
      <c r="DR777" s="161">
        <f t="shared" si="3217"/>
        <v>0</v>
      </c>
      <c r="DS777" s="161">
        <f t="shared" si="3218"/>
        <v>0</v>
      </c>
      <c r="DT777" s="161">
        <f t="shared" si="3219"/>
        <v>0</v>
      </c>
      <c r="DU777" s="161">
        <f t="shared" si="3220"/>
        <v>0</v>
      </c>
      <c r="DV777" s="161">
        <f t="shared" si="3221"/>
        <v>0</v>
      </c>
      <c r="DW777" s="161">
        <f t="shared" si="3222"/>
        <v>0</v>
      </c>
      <c r="DX777" s="161">
        <f t="shared" si="3223"/>
        <v>0</v>
      </c>
      <c r="DY777" s="161">
        <f t="shared" si="3224"/>
        <v>0</v>
      </c>
      <c r="DZ777" s="161">
        <f t="shared" si="3225"/>
        <v>0</v>
      </c>
      <c r="EA777" s="161">
        <f t="shared" si="3226"/>
        <v>0</v>
      </c>
      <c r="EB777" s="161">
        <f t="shared" si="3227"/>
        <v>0</v>
      </c>
      <c r="EC777" s="161">
        <f t="shared" si="3228"/>
        <v>0</v>
      </c>
      <c r="ED777" s="161">
        <f t="shared" si="3229"/>
        <v>0</v>
      </c>
      <c r="EE777" s="161">
        <f t="shared" si="3230"/>
        <v>0</v>
      </c>
      <c r="EF777" s="161">
        <f t="shared" si="3231"/>
        <v>0</v>
      </c>
      <c r="EG777" s="161">
        <f t="shared" si="3232"/>
        <v>0</v>
      </c>
      <c r="EH777" s="161">
        <f t="shared" si="3233"/>
        <v>0</v>
      </c>
      <c r="EI777" s="161">
        <f t="shared" si="3234"/>
        <v>0</v>
      </c>
    </row>
    <row r="778" spans="2:139" ht="12" customHeight="1" outlineLevel="1">
      <c r="B778" s="137" t="str">
        <f>IF(F778&gt;0,F778&amp;" - "&amp;D773,"")</f>
        <v>Técnico de Documentação - Administração da Obra</v>
      </c>
      <c r="C778" s="65"/>
      <c r="D778" s="607"/>
      <c r="E778" s="65"/>
      <c r="F778" s="164" t="s">
        <v>490</v>
      </c>
      <c r="G778" s="165"/>
      <c r="H778" s="166">
        <f t="shared" si="3239"/>
        <v>0</v>
      </c>
      <c r="I778" s="144">
        <f t="shared" si="3240"/>
        <v>0</v>
      </c>
      <c r="J778" s="65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  <c r="AB778" s="167"/>
      <c r="AC778" s="167"/>
      <c r="AD778" s="167"/>
      <c r="AE778" s="167"/>
      <c r="AF778" s="167"/>
      <c r="AG778" s="167"/>
      <c r="AH778" s="167"/>
      <c r="AI778" s="167"/>
      <c r="AJ778" s="167"/>
      <c r="AK778" s="167"/>
      <c r="AL778" s="167"/>
      <c r="AM778" s="167"/>
      <c r="AN778" s="167"/>
      <c r="AO778" s="167"/>
      <c r="AP778" s="167"/>
      <c r="AQ778" s="167"/>
      <c r="AR778" s="167"/>
      <c r="AS778" s="167"/>
      <c r="AT778" s="167"/>
      <c r="AU778" s="167"/>
      <c r="AV778" s="167"/>
      <c r="AW778" s="167"/>
      <c r="AX778" s="167"/>
      <c r="AY778" s="167"/>
      <c r="AZ778" s="167"/>
      <c r="BA778" s="167"/>
      <c r="BB778" s="167"/>
      <c r="BC778" s="167"/>
      <c r="BD778" s="167"/>
      <c r="BE778" s="167"/>
      <c r="BF778" s="167"/>
      <c r="BG778" s="167"/>
      <c r="BH778" s="167"/>
      <c r="BI778" s="167"/>
      <c r="BJ778" s="167"/>
      <c r="BK778" s="167"/>
      <c r="BL778" s="167"/>
      <c r="BM778" s="167"/>
      <c r="BN778" s="167"/>
      <c r="BO778" s="167"/>
      <c r="BP778" s="167"/>
      <c r="BQ778" s="167"/>
      <c r="BR778" s="167"/>
      <c r="BS778" s="65"/>
      <c r="BT778" s="65"/>
      <c r="BU778" s="65"/>
      <c r="BV778" s="65"/>
      <c r="BW778" s="69"/>
      <c r="BX778" s="65"/>
      <c r="BY778" s="137">
        <f t="shared" si="3235"/>
        <v>0</v>
      </c>
      <c r="BZ778" s="137">
        <f>IF(BY778&gt;0,BY778+LARGE($BZ$757:BZ777,1),0)</f>
        <v>0</v>
      </c>
      <c r="CA778" s="137" t="str">
        <f t="shared" si="3236"/>
        <v>Técnico de Documentação</v>
      </c>
      <c r="CB778" s="161">
        <f t="shared" si="3175"/>
        <v>0</v>
      </c>
      <c r="CC778" s="161">
        <f t="shared" si="3176"/>
        <v>0</v>
      </c>
      <c r="CD778" s="161">
        <f t="shared" si="3177"/>
        <v>0</v>
      </c>
      <c r="CE778" s="161">
        <f t="shared" si="3178"/>
        <v>0</v>
      </c>
      <c r="CF778" s="161">
        <f t="shared" si="3179"/>
        <v>0</v>
      </c>
      <c r="CG778" s="161">
        <f t="shared" si="3180"/>
        <v>0</v>
      </c>
      <c r="CH778" s="161">
        <f t="shared" si="3181"/>
        <v>0</v>
      </c>
      <c r="CI778" s="161">
        <f t="shared" si="3182"/>
        <v>0</v>
      </c>
      <c r="CJ778" s="161">
        <f t="shared" si="3183"/>
        <v>0</v>
      </c>
      <c r="CK778" s="161">
        <f t="shared" si="3184"/>
        <v>0</v>
      </c>
      <c r="CL778" s="161">
        <f t="shared" si="3185"/>
        <v>0</v>
      </c>
      <c r="CM778" s="161">
        <f t="shared" si="3186"/>
        <v>0</v>
      </c>
      <c r="CN778" s="161">
        <f t="shared" si="3187"/>
        <v>0</v>
      </c>
      <c r="CO778" s="161">
        <f t="shared" si="3188"/>
        <v>0</v>
      </c>
      <c r="CP778" s="161">
        <f t="shared" si="3189"/>
        <v>0</v>
      </c>
      <c r="CQ778" s="161">
        <f t="shared" si="3190"/>
        <v>0</v>
      </c>
      <c r="CR778" s="161">
        <f t="shared" si="3191"/>
        <v>0</v>
      </c>
      <c r="CS778" s="161">
        <f t="shared" si="3192"/>
        <v>0</v>
      </c>
      <c r="CT778" s="161">
        <f t="shared" si="3193"/>
        <v>0</v>
      </c>
      <c r="CU778" s="161">
        <f t="shared" si="3194"/>
        <v>0</v>
      </c>
      <c r="CV778" s="161">
        <f t="shared" si="3195"/>
        <v>0</v>
      </c>
      <c r="CW778" s="161">
        <f t="shared" si="3196"/>
        <v>0</v>
      </c>
      <c r="CX778" s="161">
        <f t="shared" si="3197"/>
        <v>0</v>
      </c>
      <c r="CY778" s="161">
        <f t="shared" si="3198"/>
        <v>0</v>
      </c>
      <c r="CZ778" s="161">
        <f t="shared" si="3199"/>
        <v>0</v>
      </c>
      <c r="DA778" s="161">
        <f t="shared" si="3200"/>
        <v>0</v>
      </c>
      <c r="DB778" s="161">
        <f t="shared" si="3201"/>
        <v>0</v>
      </c>
      <c r="DC778" s="161">
        <f t="shared" si="3202"/>
        <v>0</v>
      </c>
      <c r="DD778" s="161">
        <f t="shared" si="3203"/>
        <v>0</v>
      </c>
      <c r="DE778" s="161">
        <f t="shared" si="3204"/>
        <v>0</v>
      </c>
      <c r="DF778" s="161">
        <f t="shared" si="3205"/>
        <v>0</v>
      </c>
      <c r="DG778" s="161">
        <f t="shared" si="3206"/>
        <v>0</v>
      </c>
      <c r="DH778" s="161">
        <f t="shared" si="3207"/>
        <v>0</v>
      </c>
      <c r="DI778" s="161">
        <f t="shared" si="3208"/>
        <v>0</v>
      </c>
      <c r="DJ778" s="161">
        <f t="shared" si="3209"/>
        <v>0</v>
      </c>
      <c r="DK778" s="161">
        <f t="shared" si="3210"/>
        <v>0</v>
      </c>
      <c r="DL778" s="161">
        <f t="shared" si="3211"/>
        <v>0</v>
      </c>
      <c r="DM778" s="161">
        <f t="shared" si="3212"/>
        <v>0</v>
      </c>
      <c r="DN778" s="161">
        <f t="shared" si="3213"/>
        <v>0</v>
      </c>
      <c r="DO778" s="161">
        <f t="shared" si="3214"/>
        <v>0</v>
      </c>
      <c r="DP778" s="161">
        <f t="shared" si="3215"/>
        <v>0</v>
      </c>
      <c r="DQ778" s="161">
        <f t="shared" si="3216"/>
        <v>0</v>
      </c>
      <c r="DR778" s="161">
        <f t="shared" si="3217"/>
        <v>0</v>
      </c>
      <c r="DS778" s="161">
        <f t="shared" si="3218"/>
        <v>0</v>
      </c>
      <c r="DT778" s="161">
        <f t="shared" si="3219"/>
        <v>0</v>
      </c>
      <c r="DU778" s="161">
        <f t="shared" si="3220"/>
        <v>0</v>
      </c>
      <c r="DV778" s="161">
        <f t="shared" si="3221"/>
        <v>0</v>
      </c>
      <c r="DW778" s="161">
        <f t="shared" si="3222"/>
        <v>0</v>
      </c>
      <c r="DX778" s="161">
        <f t="shared" si="3223"/>
        <v>0</v>
      </c>
      <c r="DY778" s="161">
        <f t="shared" si="3224"/>
        <v>0</v>
      </c>
      <c r="DZ778" s="161">
        <f t="shared" si="3225"/>
        <v>0</v>
      </c>
      <c r="EA778" s="161">
        <f t="shared" si="3226"/>
        <v>0</v>
      </c>
      <c r="EB778" s="161">
        <f t="shared" si="3227"/>
        <v>0</v>
      </c>
      <c r="EC778" s="161">
        <f t="shared" si="3228"/>
        <v>0</v>
      </c>
      <c r="ED778" s="161">
        <f t="shared" si="3229"/>
        <v>0</v>
      </c>
      <c r="EE778" s="161">
        <f t="shared" si="3230"/>
        <v>0</v>
      </c>
      <c r="EF778" s="161">
        <f t="shared" si="3231"/>
        <v>0</v>
      </c>
      <c r="EG778" s="161">
        <f t="shared" si="3232"/>
        <v>0</v>
      </c>
      <c r="EH778" s="161">
        <f t="shared" si="3233"/>
        <v>0</v>
      </c>
      <c r="EI778" s="161">
        <f t="shared" si="3234"/>
        <v>0</v>
      </c>
    </row>
    <row r="779" spans="2:139" ht="12" customHeight="1" outlineLevel="1">
      <c r="B779" s="137" t="str">
        <f>IF(F779&gt;0,F779&amp;" - "&amp;D773,"")</f>
        <v/>
      </c>
      <c r="C779" s="65"/>
      <c r="D779" s="607"/>
      <c r="E779" s="65"/>
      <c r="F779" s="164"/>
      <c r="G779" s="165"/>
      <c r="H779" s="166">
        <f t="shared" si="3239"/>
        <v>0</v>
      </c>
      <c r="I779" s="144">
        <f t="shared" si="3240"/>
        <v>0</v>
      </c>
      <c r="J779" s="65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  <c r="AB779" s="167"/>
      <c r="AC779" s="167"/>
      <c r="AD779" s="167"/>
      <c r="AE779" s="167"/>
      <c r="AF779" s="167"/>
      <c r="AG779" s="167"/>
      <c r="AH779" s="167"/>
      <c r="AI779" s="167"/>
      <c r="AJ779" s="167"/>
      <c r="AK779" s="167"/>
      <c r="AL779" s="167"/>
      <c r="AM779" s="167"/>
      <c r="AN779" s="167"/>
      <c r="AO779" s="167"/>
      <c r="AP779" s="167"/>
      <c r="AQ779" s="167"/>
      <c r="AR779" s="167"/>
      <c r="AS779" s="167"/>
      <c r="AT779" s="167"/>
      <c r="AU779" s="167"/>
      <c r="AV779" s="167"/>
      <c r="AW779" s="167"/>
      <c r="AX779" s="167"/>
      <c r="AY779" s="167"/>
      <c r="AZ779" s="167"/>
      <c r="BA779" s="167"/>
      <c r="BB779" s="167"/>
      <c r="BC779" s="167"/>
      <c r="BD779" s="167"/>
      <c r="BE779" s="167"/>
      <c r="BF779" s="167"/>
      <c r="BG779" s="167"/>
      <c r="BH779" s="167"/>
      <c r="BI779" s="167"/>
      <c r="BJ779" s="167"/>
      <c r="BK779" s="167"/>
      <c r="BL779" s="167"/>
      <c r="BM779" s="167"/>
      <c r="BN779" s="167"/>
      <c r="BO779" s="167"/>
      <c r="BP779" s="167"/>
      <c r="BQ779" s="167"/>
      <c r="BR779" s="167"/>
      <c r="BS779" s="65"/>
      <c r="BT779" s="65"/>
      <c r="BU779" s="65"/>
      <c r="BV779" s="65"/>
      <c r="BW779" s="69"/>
      <c r="BX779" s="65"/>
      <c r="BY779" s="137">
        <f t="shared" si="3235"/>
        <v>0</v>
      </c>
      <c r="BZ779" s="137">
        <f>IF(BY779&gt;0,BY779+LARGE($BZ$757:BZ778,1),0)</f>
        <v>0</v>
      </c>
      <c r="CA779" s="137">
        <f t="shared" si="3236"/>
        <v>0</v>
      </c>
      <c r="CB779" s="161">
        <f t="shared" si="3175"/>
        <v>0</v>
      </c>
      <c r="CC779" s="161">
        <f t="shared" si="3176"/>
        <v>0</v>
      </c>
      <c r="CD779" s="161">
        <f t="shared" si="3177"/>
        <v>0</v>
      </c>
      <c r="CE779" s="161">
        <f t="shared" si="3178"/>
        <v>0</v>
      </c>
      <c r="CF779" s="161">
        <f t="shared" si="3179"/>
        <v>0</v>
      </c>
      <c r="CG779" s="161">
        <f t="shared" si="3180"/>
        <v>0</v>
      </c>
      <c r="CH779" s="161">
        <f t="shared" si="3181"/>
        <v>0</v>
      </c>
      <c r="CI779" s="161">
        <f t="shared" si="3182"/>
        <v>0</v>
      </c>
      <c r="CJ779" s="161">
        <f t="shared" si="3183"/>
        <v>0</v>
      </c>
      <c r="CK779" s="161">
        <f t="shared" si="3184"/>
        <v>0</v>
      </c>
      <c r="CL779" s="161">
        <f t="shared" si="3185"/>
        <v>0</v>
      </c>
      <c r="CM779" s="161">
        <f t="shared" si="3186"/>
        <v>0</v>
      </c>
      <c r="CN779" s="161">
        <f t="shared" si="3187"/>
        <v>0</v>
      </c>
      <c r="CO779" s="161">
        <f t="shared" si="3188"/>
        <v>0</v>
      </c>
      <c r="CP779" s="161">
        <f t="shared" si="3189"/>
        <v>0</v>
      </c>
      <c r="CQ779" s="161">
        <f t="shared" si="3190"/>
        <v>0</v>
      </c>
      <c r="CR779" s="161">
        <f t="shared" si="3191"/>
        <v>0</v>
      </c>
      <c r="CS779" s="161">
        <f t="shared" si="3192"/>
        <v>0</v>
      </c>
      <c r="CT779" s="161">
        <f t="shared" si="3193"/>
        <v>0</v>
      </c>
      <c r="CU779" s="161">
        <f t="shared" si="3194"/>
        <v>0</v>
      </c>
      <c r="CV779" s="161">
        <f t="shared" si="3195"/>
        <v>0</v>
      </c>
      <c r="CW779" s="161">
        <f t="shared" si="3196"/>
        <v>0</v>
      </c>
      <c r="CX779" s="161">
        <f t="shared" si="3197"/>
        <v>0</v>
      </c>
      <c r="CY779" s="161">
        <f t="shared" si="3198"/>
        <v>0</v>
      </c>
      <c r="CZ779" s="161">
        <f t="shared" si="3199"/>
        <v>0</v>
      </c>
      <c r="DA779" s="161">
        <f t="shared" si="3200"/>
        <v>0</v>
      </c>
      <c r="DB779" s="161">
        <f t="shared" si="3201"/>
        <v>0</v>
      </c>
      <c r="DC779" s="161">
        <f t="shared" si="3202"/>
        <v>0</v>
      </c>
      <c r="DD779" s="161">
        <f t="shared" si="3203"/>
        <v>0</v>
      </c>
      <c r="DE779" s="161">
        <f t="shared" si="3204"/>
        <v>0</v>
      </c>
      <c r="DF779" s="161">
        <f t="shared" si="3205"/>
        <v>0</v>
      </c>
      <c r="DG779" s="161">
        <f t="shared" si="3206"/>
        <v>0</v>
      </c>
      <c r="DH779" s="161">
        <f t="shared" si="3207"/>
        <v>0</v>
      </c>
      <c r="DI779" s="161">
        <f t="shared" si="3208"/>
        <v>0</v>
      </c>
      <c r="DJ779" s="161">
        <f t="shared" si="3209"/>
        <v>0</v>
      </c>
      <c r="DK779" s="161">
        <f t="shared" si="3210"/>
        <v>0</v>
      </c>
      <c r="DL779" s="161">
        <f t="shared" si="3211"/>
        <v>0</v>
      </c>
      <c r="DM779" s="161">
        <f t="shared" si="3212"/>
        <v>0</v>
      </c>
      <c r="DN779" s="161">
        <f t="shared" si="3213"/>
        <v>0</v>
      </c>
      <c r="DO779" s="161">
        <f t="shared" si="3214"/>
        <v>0</v>
      </c>
      <c r="DP779" s="161">
        <f t="shared" si="3215"/>
        <v>0</v>
      </c>
      <c r="DQ779" s="161">
        <f t="shared" si="3216"/>
        <v>0</v>
      </c>
      <c r="DR779" s="161">
        <f t="shared" si="3217"/>
        <v>0</v>
      </c>
      <c r="DS779" s="161">
        <f t="shared" si="3218"/>
        <v>0</v>
      </c>
      <c r="DT779" s="161">
        <f t="shared" si="3219"/>
        <v>0</v>
      </c>
      <c r="DU779" s="161">
        <f t="shared" si="3220"/>
        <v>0</v>
      </c>
      <c r="DV779" s="161">
        <f t="shared" si="3221"/>
        <v>0</v>
      </c>
      <c r="DW779" s="161">
        <f t="shared" si="3222"/>
        <v>0</v>
      </c>
      <c r="DX779" s="161">
        <f t="shared" si="3223"/>
        <v>0</v>
      </c>
      <c r="DY779" s="161">
        <f t="shared" si="3224"/>
        <v>0</v>
      </c>
      <c r="DZ779" s="161">
        <f t="shared" si="3225"/>
        <v>0</v>
      </c>
      <c r="EA779" s="161">
        <f t="shared" si="3226"/>
        <v>0</v>
      </c>
      <c r="EB779" s="161">
        <f t="shared" si="3227"/>
        <v>0</v>
      </c>
      <c r="EC779" s="161">
        <f t="shared" si="3228"/>
        <v>0</v>
      </c>
      <c r="ED779" s="161">
        <f t="shared" si="3229"/>
        <v>0</v>
      </c>
      <c r="EE779" s="161">
        <f t="shared" si="3230"/>
        <v>0</v>
      </c>
      <c r="EF779" s="161">
        <f t="shared" si="3231"/>
        <v>0</v>
      </c>
      <c r="EG779" s="161">
        <f t="shared" si="3232"/>
        <v>0</v>
      </c>
      <c r="EH779" s="161">
        <f t="shared" si="3233"/>
        <v>0</v>
      </c>
      <c r="EI779" s="161">
        <f t="shared" si="3234"/>
        <v>0</v>
      </c>
    </row>
    <row r="780" spans="2:139" ht="6" customHeight="1" outlineLevel="1"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  <c r="AM780" s="65"/>
      <c r="AN780" s="65"/>
      <c r="AO780" s="65"/>
      <c r="AP780" s="65"/>
      <c r="AQ780" s="65"/>
      <c r="AR780" s="65"/>
      <c r="AS780" s="65"/>
      <c r="AT780" s="65"/>
      <c r="AU780" s="65"/>
      <c r="AV780" s="65"/>
      <c r="AW780" s="65"/>
      <c r="AX780" s="65"/>
      <c r="AY780" s="65"/>
      <c r="AZ780" s="65"/>
      <c r="BA780" s="65"/>
      <c r="BB780" s="65"/>
      <c r="BC780" s="65"/>
      <c r="BD780" s="65"/>
      <c r="BE780" s="65"/>
      <c r="BF780" s="65"/>
      <c r="BG780" s="65"/>
      <c r="BH780" s="65"/>
      <c r="BI780" s="65"/>
      <c r="BJ780" s="65"/>
      <c r="BK780" s="65"/>
      <c r="BL780" s="65"/>
      <c r="BM780" s="65"/>
      <c r="BN780" s="65"/>
      <c r="BO780" s="65"/>
      <c r="BP780" s="65"/>
      <c r="BQ780" s="65"/>
      <c r="BR780" s="65"/>
      <c r="BS780" s="65"/>
      <c r="BT780" s="65"/>
      <c r="BU780" s="65"/>
      <c r="BV780" s="65"/>
      <c r="BW780" s="69"/>
      <c r="BX780" s="65"/>
      <c r="BY780" s="65"/>
      <c r="BZ780" s="65"/>
      <c r="CA780" s="65"/>
      <c r="CB780" s="65"/>
      <c r="CC780" s="65"/>
      <c r="CD780" s="65"/>
      <c r="CE780" s="65"/>
      <c r="CF780" s="65"/>
      <c r="CG780" s="65"/>
      <c r="CH780" s="65"/>
      <c r="CI780" s="65"/>
      <c r="CJ780" s="65"/>
      <c r="CK780" s="65"/>
      <c r="CL780" s="65"/>
      <c r="CM780" s="65"/>
      <c r="CN780" s="65"/>
      <c r="CO780" s="65"/>
      <c r="CP780" s="65"/>
      <c r="CQ780" s="65"/>
      <c r="CR780" s="65"/>
      <c r="CS780" s="65"/>
      <c r="CT780" s="65"/>
      <c r="CU780" s="65"/>
      <c r="CV780" s="65"/>
      <c r="CW780" s="65"/>
      <c r="CX780" s="65"/>
      <c r="CY780" s="65"/>
      <c r="CZ780" s="65"/>
      <c r="DA780" s="65"/>
      <c r="DB780" s="65"/>
      <c r="DC780" s="65"/>
      <c r="DD780" s="65"/>
      <c r="DE780" s="65"/>
      <c r="DF780" s="65"/>
      <c r="DG780" s="65"/>
      <c r="DH780" s="65"/>
      <c r="DI780" s="65"/>
      <c r="DJ780" s="65"/>
      <c r="DK780" s="65"/>
      <c r="DL780" s="65"/>
      <c r="DM780" s="65"/>
      <c r="DN780" s="65"/>
      <c r="DO780" s="65"/>
      <c r="DP780" s="65"/>
      <c r="DQ780" s="65"/>
      <c r="DR780" s="65"/>
      <c r="DS780" s="65"/>
      <c r="DT780" s="65"/>
      <c r="DU780" s="65"/>
      <c r="DV780" s="65"/>
      <c r="DW780" s="65"/>
      <c r="DX780" s="65"/>
      <c r="DY780" s="65"/>
      <c r="DZ780" s="65"/>
      <c r="EA780" s="65"/>
      <c r="EB780" s="65"/>
      <c r="EC780" s="65"/>
      <c r="ED780" s="65"/>
      <c r="EE780" s="65"/>
      <c r="EF780" s="65"/>
      <c r="EG780" s="65"/>
      <c r="EH780" s="65"/>
      <c r="EI780" s="65"/>
    </row>
    <row r="781" spans="2:139" ht="12" customHeight="1" outlineLevel="1">
      <c r="B781" s="137" t="str">
        <f>IF(F781&gt;0,F781&amp;" - "&amp;D781,"")</f>
        <v>Coordenador de Planejamento - Planejamento e Controle</v>
      </c>
      <c r="C781" s="65"/>
      <c r="D781" s="607" t="s">
        <v>491</v>
      </c>
      <c r="E781" s="65"/>
      <c r="F781" s="164" t="s">
        <v>492</v>
      </c>
      <c r="G781" s="165"/>
      <c r="H781" s="166">
        <f t="shared" ref="H781:H787" si="3241">IFERROR(SUM(K781:BR781)/COUNTIF(K781:BR781,"&gt;0"),0)</f>
        <v>0</v>
      </c>
      <c r="I781" s="144">
        <f t="shared" ref="I781:I787" si="3242">COUNTIF(K781:BR781,"&gt;0")</f>
        <v>0</v>
      </c>
      <c r="J781" s="65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  <c r="AB781" s="167"/>
      <c r="AC781" s="167"/>
      <c r="AD781" s="167"/>
      <c r="AE781" s="167"/>
      <c r="AF781" s="167"/>
      <c r="AG781" s="167"/>
      <c r="AH781" s="167"/>
      <c r="AI781" s="167"/>
      <c r="AJ781" s="167"/>
      <c r="AK781" s="167"/>
      <c r="AL781" s="167"/>
      <c r="AM781" s="167"/>
      <c r="AN781" s="167"/>
      <c r="AO781" s="167"/>
      <c r="AP781" s="167"/>
      <c r="AQ781" s="167"/>
      <c r="AR781" s="167"/>
      <c r="AS781" s="167"/>
      <c r="AT781" s="167"/>
      <c r="AU781" s="167"/>
      <c r="AV781" s="167"/>
      <c r="AW781" s="167"/>
      <c r="AX781" s="167"/>
      <c r="AY781" s="167"/>
      <c r="AZ781" s="167"/>
      <c r="BA781" s="167"/>
      <c r="BB781" s="167"/>
      <c r="BC781" s="167"/>
      <c r="BD781" s="167"/>
      <c r="BE781" s="167"/>
      <c r="BF781" s="167"/>
      <c r="BG781" s="167"/>
      <c r="BH781" s="167"/>
      <c r="BI781" s="167"/>
      <c r="BJ781" s="167"/>
      <c r="BK781" s="167"/>
      <c r="BL781" s="167"/>
      <c r="BM781" s="167"/>
      <c r="BN781" s="167"/>
      <c r="BO781" s="167"/>
      <c r="BP781" s="167"/>
      <c r="BQ781" s="167"/>
      <c r="BR781" s="167"/>
      <c r="BS781" s="65"/>
      <c r="BT781" s="65"/>
      <c r="BU781" s="65"/>
      <c r="BV781" s="65"/>
      <c r="BW781" s="69"/>
      <c r="BX781" s="65"/>
      <c r="BY781" s="137">
        <f t="shared" si="3235"/>
        <v>0</v>
      </c>
      <c r="BZ781" s="137">
        <f>IF(BY781&gt;0,BY781+LARGE($BZ$757:BZ780,1),0)</f>
        <v>0</v>
      </c>
      <c r="CA781" s="137" t="str">
        <f t="shared" si="3236"/>
        <v>Coordenador de Planejamento</v>
      </c>
      <c r="CB781" s="161">
        <f t="shared" si="3175"/>
        <v>0</v>
      </c>
      <c r="CC781" s="161">
        <f t="shared" si="3176"/>
        <v>0</v>
      </c>
      <c r="CD781" s="161">
        <f t="shared" si="3177"/>
        <v>0</v>
      </c>
      <c r="CE781" s="161">
        <f t="shared" si="3178"/>
        <v>0</v>
      </c>
      <c r="CF781" s="161">
        <f t="shared" si="3179"/>
        <v>0</v>
      </c>
      <c r="CG781" s="161">
        <f t="shared" si="3180"/>
        <v>0</v>
      </c>
      <c r="CH781" s="161">
        <f t="shared" si="3181"/>
        <v>0</v>
      </c>
      <c r="CI781" s="161">
        <f t="shared" si="3182"/>
        <v>0</v>
      </c>
      <c r="CJ781" s="161">
        <f t="shared" si="3183"/>
        <v>0</v>
      </c>
      <c r="CK781" s="161">
        <f t="shared" si="3184"/>
        <v>0</v>
      </c>
      <c r="CL781" s="161">
        <f t="shared" si="3185"/>
        <v>0</v>
      </c>
      <c r="CM781" s="161">
        <f t="shared" si="3186"/>
        <v>0</v>
      </c>
      <c r="CN781" s="161">
        <f t="shared" si="3187"/>
        <v>0</v>
      </c>
      <c r="CO781" s="161">
        <f t="shared" si="3188"/>
        <v>0</v>
      </c>
      <c r="CP781" s="161">
        <f t="shared" si="3189"/>
        <v>0</v>
      </c>
      <c r="CQ781" s="161">
        <f t="shared" si="3190"/>
        <v>0</v>
      </c>
      <c r="CR781" s="161">
        <f t="shared" si="3191"/>
        <v>0</v>
      </c>
      <c r="CS781" s="161">
        <f t="shared" si="3192"/>
        <v>0</v>
      </c>
      <c r="CT781" s="161">
        <f t="shared" si="3193"/>
        <v>0</v>
      </c>
      <c r="CU781" s="161">
        <f t="shared" si="3194"/>
        <v>0</v>
      </c>
      <c r="CV781" s="161">
        <f t="shared" si="3195"/>
        <v>0</v>
      </c>
      <c r="CW781" s="161">
        <f t="shared" si="3196"/>
        <v>0</v>
      </c>
      <c r="CX781" s="161">
        <f t="shared" si="3197"/>
        <v>0</v>
      </c>
      <c r="CY781" s="161">
        <f t="shared" si="3198"/>
        <v>0</v>
      </c>
      <c r="CZ781" s="161">
        <f t="shared" si="3199"/>
        <v>0</v>
      </c>
      <c r="DA781" s="161">
        <f t="shared" si="3200"/>
        <v>0</v>
      </c>
      <c r="DB781" s="161">
        <f t="shared" si="3201"/>
        <v>0</v>
      </c>
      <c r="DC781" s="161">
        <f t="shared" si="3202"/>
        <v>0</v>
      </c>
      <c r="DD781" s="161">
        <f t="shared" si="3203"/>
        <v>0</v>
      </c>
      <c r="DE781" s="161">
        <f t="shared" si="3204"/>
        <v>0</v>
      </c>
      <c r="DF781" s="161">
        <f t="shared" si="3205"/>
        <v>0</v>
      </c>
      <c r="DG781" s="161">
        <f t="shared" si="3206"/>
        <v>0</v>
      </c>
      <c r="DH781" s="161">
        <f t="shared" si="3207"/>
        <v>0</v>
      </c>
      <c r="DI781" s="161">
        <f t="shared" si="3208"/>
        <v>0</v>
      </c>
      <c r="DJ781" s="161">
        <f t="shared" si="3209"/>
        <v>0</v>
      </c>
      <c r="DK781" s="161">
        <f t="shared" si="3210"/>
        <v>0</v>
      </c>
      <c r="DL781" s="161">
        <f t="shared" si="3211"/>
        <v>0</v>
      </c>
      <c r="DM781" s="161">
        <f t="shared" si="3212"/>
        <v>0</v>
      </c>
      <c r="DN781" s="161">
        <f t="shared" si="3213"/>
        <v>0</v>
      </c>
      <c r="DO781" s="161">
        <f t="shared" si="3214"/>
        <v>0</v>
      </c>
      <c r="DP781" s="161">
        <f t="shared" si="3215"/>
        <v>0</v>
      </c>
      <c r="DQ781" s="161">
        <f t="shared" si="3216"/>
        <v>0</v>
      </c>
      <c r="DR781" s="161">
        <f t="shared" si="3217"/>
        <v>0</v>
      </c>
      <c r="DS781" s="161">
        <f t="shared" si="3218"/>
        <v>0</v>
      </c>
      <c r="DT781" s="161">
        <f t="shared" si="3219"/>
        <v>0</v>
      </c>
      <c r="DU781" s="161">
        <f t="shared" si="3220"/>
        <v>0</v>
      </c>
      <c r="DV781" s="161">
        <f t="shared" si="3221"/>
        <v>0</v>
      </c>
      <c r="DW781" s="161">
        <f t="shared" si="3222"/>
        <v>0</v>
      </c>
      <c r="DX781" s="161">
        <f t="shared" si="3223"/>
        <v>0</v>
      </c>
      <c r="DY781" s="161">
        <f t="shared" si="3224"/>
        <v>0</v>
      </c>
      <c r="DZ781" s="161">
        <f t="shared" si="3225"/>
        <v>0</v>
      </c>
      <c r="EA781" s="161">
        <f t="shared" si="3226"/>
        <v>0</v>
      </c>
      <c r="EB781" s="161">
        <f t="shared" si="3227"/>
        <v>0</v>
      </c>
      <c r="EC781" s="161">
        <f t="shared" si="3228"/>
        <v>0</v>
      </c>
      <c r="ED781" s="161">
        <f t="shared" si="3229"/>
        <v>0</v>
      </c>
      <c r="EE781" s="161">
        <f t="shared" si="3230"/>
        <v>0</v>
      </c>
      <c r="EF781" s="161">
        <f t="shared" si="3231"/>
        <v>0</v>
      </c>
      <c r="EG781" s="161">
        <f t="shared" si="3232"/>
        <v>0</v>
      </c>
      <c r="EH781" s="161">
        <f t="shared" si="3233"/>
        <v>0</v>
      </c>
      <c r="EI781" s="161">
        <f t="shared" si="3234"/>
        <v>0</v>
      </c>
    </row>
    <row r="782" spans="2:139" ht="12" customHeight="1" outlineLevel="1">
      <c r="B782" s="137" t="str">
        <f>IF(F782&gt;0,F782&amp;" - "&amp;D781,"")</f>
        <v>Técnico de Planejamento - Planejamento e Controle</v>
      </c>
      <c r="C782" s="65"/>
      <c r="D782" s="607"/>
      <c r="E782" s="65"/>
      <c r="F782" s="164" t="s">
        <v>493</v>
      </c>
      <c r="G782" s="165"/>
      <c r="H782" s="166">
        <f t="shared" si="3241"/>
        <v>0</v>
      </c>
      <c r="I782" s="144">
        <f t="shared" si="3242"/>
        <v>0</v>
      </c>
      <c r="J782" s="65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  <c r="AB782" s="167"/>
      <c r="AC782" s="167"/>
      <c r="AD782" s="167"/>
      <c r="AE782" s="167"/>
      <c r="AF782" s="167"/>
      <c r="AG782" s="167"/>
      <c r="AH782" s="167"/>
      <c r="AI782" s="167"/>
      <c r="AJ782" s="167"/>
      <c r="AK782" s="167"/>
      <c r="AL782" s="167"/>
      <c r="AM782" s="167"/>
      <c r="AN782" s="167"/>
      <c r="AO782" s="167"/>
      <c r="AP782" s="167"/>
      <c r="AQ782" s="167"/>
      <c r="AR782" s="167"/>
      <c r="AS782" s="167"/>
      <c r="AT782" s="167"/>
      <c r="AU782" s="167"/>
      <c r="AV782" s="167"/>
      <c r="AW782" s="167"/>
      <c r="AX782" s="167"/>
      <c r="AY782" s="167"/>
      <c r="AZ782" s="167"/>
      <c r="BA782" s="167"/>
      <c r="BB782" s="167"/>
      <c r="BC782" s="167"/>
      <c r="BD782" s="167"/>
      <c r="BE782" s="167"/>
      <c r="BF782" s="167"/>
      <c r="BG782" s="167"/>
      <c r="BH782" s="167"/>
      <c r="BI782" s="167"/>
      <c r="BJ782" s="167"/>
      <c r="BK782" s="167"/>
      <c r="BL782" s="167"/>
      <c r="BM782" s="167"/>
      <c r="BN782" s="167"/>
      <c r="BO782" s="167"/>
      <c r="BP782" s="167"/>
      <c r="BQ782" s="167"/>
      <c r="BR782" s="167"/>
      <c r="BS782" s="65"/>
      <c r="BT782" s="65"/>
      <c r="BU782" s="65"/>
      <c r="BV782" s="65"/>
      <c r="BW782" s="69"/>
      <c r="BX782" s="65"/>
      <c r="BY782" s="137">
        <f t="shared" si="3235"/>
        <v>0</v>
      </c>
      <c r="BZ782" s="137">
        <f>IF(BY782&gt;0,BY782+LARGE($BZ$757:BZ781,1),0)</f>
        <v>0</v>
      </c>
      <c r="CA782" s="137" t="str">
        <f t="shared" si="3236"/>
        <v>Técnico de Planejamento</v>
      </c>
      <c r="CB782" s="161">
        <f t="shared" si="3175"/>
        <v>0</v>
      </c>
      <c r="CC782" s="161">
        <f t="shared" si="3176"/>
        <v>0</v>
      </c>
      <c r="CD782" s="161">
        <f t="shared" si="3177"/>
        <v>0</v>
      </c>
      <c r="CE782" s="161">
        <f t="shared" si="3178"/>
        <v>0</v>
      </c>
      <c r="CF782" s="161">
        <f t="shared" si="3179"/>
        <v>0</v>
      </c>
      <c r="CG782" s="161">
        <f t="shared" si="3180"/>
        <v>0</v>
      </c>
      <c r="CH782" s="161">
        <f t="shared" si="3181"/>
        <v>0</v>
      </c>
      <c r="CI782" s="161">
        <f t="shared" si="3182"/>
        <v>0</v>
      </c>
      <c r="CJ782" s="161">
        <f t="shared" si="3183"/>
        <v>0</v>
      </c>
      <c r="CK782" s="161">
        <f t="shared" si="3184"/>
        <v>0</v>
      </c>
      <c r="CL782" s="161">
        <f t="shared" si="3185"/>
        <v>0</v>
      </c>
      <c r="CM782" s="161">
        <f t="shared" si="3186"/>
        <v>0</v>
      </c>
      <c r="CN782" s="161">
        <f t="shared" si="3187"/>
        <v>0</v>
      </c>
      <c r="CO782" s="161">
        <f t="shared" si="3188"/>
        <v>0</v>
      </c>
      <c r="CP782" s="161">
        <f t="shared" si="3189"/>
        <v>0</v>
      </c>
      <c r="CQ782" s="161">
        <f t="shared" si="3190"/>
        <v>0</v>
      </c>
      <c r="CR782" s="161">
        <f t="shared" si="3191"/>
        <v>0</v>
      </c>
      <c r="CS782" s="161">
        <f t="shared" si="3192"/>
        <v>0</v>
      </c>
      <c r="CT782" s="161">
        <f t="shared" si="3193"/>
        <v>0</v>
      </c>
      <c r="CU782" s="161">
        <f t="shared" si="3194"/>
        <v>0</v>
      </c>
      <c r="CV782" s="161">
        <f t="shared" si="3195"/>
        <v>0</v>
      </c>
      <c r="CW782" s="161">
        <f t="shared" si="3196"/>
        <v>0</v>
      </c>
      <c r="CX782" s="161">
        <f t="shared" si="3197"/>
        <v>0</v>
      </c>
      <c r="CY782" s="161">
        <f t="shared" si="3198"/>
        <v>0</v>
      </c>
      <c r="CZ782" s="161">
        <f t="shared" si="3199"/>
        <v>0</v>
      </c>
      <c r="DA782" s="161">
        <f t="shared" si="3200"/>
        <v>0</v>
      </c>
      <c r="DB782" s="161">
        <f t="shared" si="3201"/>
        <v>0</v>
      </c>
      <c r="DC782" s="161">
        <f t="shared" si="3202"/>
        <v>0</v>
      </c>
      <c r="DD782" s="161">
        <f t="shared" si="3203"/>
        <v>0</v>
      </c>
      <c r="DE782" s="161">
        <f t="shared" si="3204"/>
        <v>0</v>
      </c>
      <c r="DF782" s="161">
        <f t="shared" si="3205"/>
        <v>0</v>
      </c>
      <c r="DG782" s="161">
        <f t="shared" si="3206"/>
        <v>0</v>
      </c>
      <c r="DH782" s="161">
        <f t="shared" si="3207"/>
        <v>0</v>
      </c>
      <c r="DI782" s="161">
        <f t="shared" si="3208"/>
        <v>0</v>
      </c>
      <c r="DJ782" s="161">
        <f t="shared" si="3209"/>
        <v>0</v>
      </c>
      <c r="DK782" s="161">
        <f t="shared" si="3210"/>
        <v>0</v>
      </c>
      <c r="DL782" s="161">
        <f t="shared" si="3211"/>
        <v>0</v>
      </c>
      <c r="DM782" s="161">
        <f t="shared" si="3212"/>
        <v>0</v>
      </c>
      <c r="DN782" s="161">
        <f t="shared" si="3213"/>
        <v>0</v>
      </c>
      <c r="DO782" s="161">
        <f t="shared" si="3214"/>
        <v>0</v>
      </c>
      <c r="DP782" s="161">
        <f t="shared" si="3215"/>
        <v>0</v>
      </c>
      <c r="DQ782" s="161">
        <f t="shared" si="3216"/>
        <v>0</v>
      </c>
      <c r="DR782" s="161">
        <f t="shared" si="3217"/>
        <v>0</v>
      </c>
      <c r="DS782" s="161">
        <f t="shared" si="3218"/>
        <v>0</v>
      </c>
      <c r="DT782" s="161">
        <f t="shared" si="3219"/>
        <v>0</v>
      </c>
      <c r="DU782" s="161">
        <f t="shared" si="3220"/>
        <v>0</v>
      </c>
      <c r="DV782" s="161">
        <f t="shared" si="3221"/>
        <v>0</v>
      </c>
      <c r="DW782" s="161">
        <f t="shared" si="3222"/>
        <v>0</v>
      </c>
      <c r="DX782" s="161">
        <f t="shared" si="3223"/>
        <v>0</v>
      </c>
      <c r="DY782" s="161">
        <f t="shared" si="3224"/>
        <v>0</v>
      </c>
      <c r="DZ782" s="161">
        <f t="shared" si="3225"/>
        <v>0</v>
      </c>
      <c r="EA782" s="161">
        <f t="shared" si="3226"/>
        <v>0</v>
      </c>
      <c r="EB782" s="161">
        <f t="shared" si="3227"/>
        <v>0</v>
      </c>
      <c r="EC782" s="161">
        <f t="shared" si="3228"/>
        <v>0</v>
      </c>
      <c r="ED782" s="161">
        <f t="shared" si="3229"/>
        <v>0</v>
      </c>
      <c r="EE782" s="161">
        <f t="shared" si="3230"/>
        <v>0</v>
      </c>
      <c r="EF782" s="161">
        <f t="shared" si="3231"/>
        <v>0</v>
      </c>
      <c r="EG782" s="161">
        <f t="shared" si="3232"/>
        <v>0</v>
      </c>
      <c r="EH782" s="161">
        <f t="shared" si="3233"/>
        <v>0</v>
      </c>
      <c r="EI782" s="161">
        <f t="shared" si="3234"/>
        <v>0</v>
      </c>
    </row>
    <row r="783" spans="2:139" ht="12" customHeight="1" outlineLevel="1">
      <c r="B783" s="137" t="str">
        <f>IF(F783&gt;0,F783&amp;" - "&amp;D781,"")</f>
        <v>Planejador - Planejamento e Controle</v>
      </c>
      <c r="C783" s="65"/>
      <c r="D783" s="607"/>
      <c r="E783" s="65"/>
      <c r="F783" s="164" t="s">
        <v>494</v>
      </c>
      <c r="G783" s="165"/>
      <c r="H783" s="166">
        <f t="shared" si="3241"/>
        <v>0</v>
      </c>
      <c r="I783" s="144">
        <f t="shared" si="3242"/>
        <v>0</v>
      </c>
      <c r="J783" s="65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  <c r="AB783" s="167"/>
      <c r="AC783" s="167"/>
      <c r="AD783" s="167"/>
      <c r="AE783" s="167"/>
      <c r="AF783" s="167"/>
      <c r="AG783" s="167"/>
      <c r="AH783" s="167"/>
      <c r="AI783" s="167"/>
      <c r="AJ783" s="167"/>
      <c r="AK783" s="167"/>
      <c r="AL783" s="167"/>
      <c r="AM783" s="167"/>
      <c r="AN783" s="167"/>
      <c r="AO783" s="167"/>
      <c r="AP783" s="167"/>
      <c r="AQ783" s="167"/>
      <c r="AR783" s="167"/>
      <c r="AS783" s="167"/>
      <c r="AT783" s="167"/>
      <c r="AU783" s="167"/>
      <c r="AV783" s="167"/>
      <c r="AW783" s="167"/>
      <c r="AX783" s="167"/>
      <c r="AY783" s="167"/>
      <c r="AZ783" s="167"/>
      <c r="BA783" s="167"/>
      <c r="BB783" s="167"/>
      <c r="BC783" s="167"/>
      <c r="BD783" s="167"/>
      <c r="BE783" s="167"/>
      <c r="BF783" s="167"/>
      <c r="BG783" s="167"/>
      <c r="BH783" s="167"/>
      <c r="BI783" s="167"/>
      <c r="BJ783" s="167"/>
      <c r="BK783" s="167"/>
      <c r="BL783" s="167"/>
      <c r="BM783" s="167"/>
      <c r="BN783" s="167"/>
      <c r="BO783" s="167"/>
      <c r="BP783" s="167"/>
      <c r="BQ783" s="167"/>
      <c r="BR783" s="167"/>
      <c r="BS783" s="65"/>
      <c r="BT783" s="65"/>
      <c r="BU783" s="65"/>
      <c r="BV783" s="65"/>
      <c r="BW783" s="69"/>
      <c r="BX783" s="65"/>
      <c r="BY783" s="137">
        <f t="shared" si="3235"/>
        <v>0</v>
      </c>
      <c r="BZ783" s="137">
        <f>IF(BY783&gt;0,BY783+LARGE($BZ$757:BZ782,1),0)</f>
        <v>0</v>
      </c>
      <c r="CA783" s="137" t="str">
        <f t="shared" si="3236"/>
        <v>Planejador</v>
      </c>
      <c r="CB783" s="161">
        <f t="shared" si="3175"/>
        <v>0</v>
      </c>
      <c r="CC783" s="161">
        <f t="shared" si="3176"/>
        <v>0</v>
      </c>
      <c r="CD783" s="161">
        <f t="shared" si="3177"/>
        <v>0</v>
      </c>
      <c r="CE783" s="161">
        <f t="shared" si="3178"/>
        <v>0</v>
      </c>
      <c r="CF783" s="161">
        <f t="shared" si="3179"/>
        <v>0</v>
      </c>
      <c r="CG783" s="161">
        <f t="shared" si="3180"/>
        <v>0</v>
      </c>
      <c r="CH783" s="161">
        <f t="shared" si="3181"/>
        <v>0</v>
      </c>
      <c r="CI783" s="161">
        <f t="shared" si="3182"/>
        <v>0</v>
      </c>
      <c r="CJ783" s="161">
        <f t="shared" si="3183"/>
        <v>0</v>
      </c>
      <c r="CK783" s="161">
        <f t="shared" si="3184"/>
        <v>0</v>
      </c>
      <c r="CL783" s="161">
        <f t="shared" si="3185"/>
        <v>0</v>
      </c>
      <c r="CM783" s="161">
        <f t="shared" si="3186"/>
        <v>0</v>
      </c>
      <c r="CN783" s="161">
        <f t="shared" si="3187"/>
        <v>0</v>
      </c>
      <c r="CO783" s="161">
        <f t="shared" si="3188"/>
        <v>0</v>
      </c>
      <c r="CP783" s="161">
        <f t="shared" si="3189"/>
        <v>0</v>
      </c>
      <c r="CQ783" s="161">
        <f t="shared" si="3190"/>
        <v>0</v>
      </c>
      <c r="CR783" s="161">
        <f t="shared" si="3191"/>
        <v>0</v>
      </c>
      <c r="CS783" s="161">
        <f t="shared" si="3192"/>
        <v>0</v>
      </c>
      <c r="CT783" s="161">
        <f t="shared" si="3193"/>
        <v>0</v>
      </c>
      <c r="CU783" s="161">
        <f t="shared" si="3194"/>
        <v>0</v>
      </c>
      <c r="CV783" s="161">
        <f t="shared" si="3195"/>
        <v>0</v>
      </c>
      <c r="CW783" s="161">
        <f t="shared" si="3196"/>
        <v>0</v>
      </c>
      <c r="CX783" s="161">
        <f t="shared" si="3197"/>
        <v>0</v>
      </c>
      <c r="CY783" s="161">
        <f t="shared" si="3198"/>
        <v>0</v>
      </c>
      <c r="CZ783" s="161">
        <f t="shared" si="3199"/>
        <v>0</v>
      </c>
      <c r="DA783" s="161">
        <f t="shared" si="3200"/>
        <v>0</v>
      </c>
      <c r="DB783" s="161">
        <f t="shared" si="3201"/>
        <v>0</v>
      </c>
      <c r="DC783" s="161">
        <f t="shared" si="3202"/>
        <v>0</v>
      </c>
      <c r="DD783" s="161">
        <f t="shared" si="3203"/>
        <v>0</v>
      </c>
      <c r="DE783" s="161">
        <f t="shared" si="3204"/>
        <v>0</v>
      </c>
      <c r="DF783" s="161">
        <f t="shared" si="3205"/>
        <v>0</v>
      </c>
      <c r="DG783" s="161">
        <f t="shared" si="3206"/>
        <v>0</v>
      </c>
      <c r="DH783" s="161">
        <f t="shared" si="3207"/>
        <v>0</v>
      </c>
      <c r="DI783" s="161">
        <f t="shared" si="3208"/>
        <v>0</v>
      </c>
      <c r="DJ783" s="161">
        <f t="shared" si="3209"/>
        <v>0</v>
      </c>
      <c r="DK783" s="161">
        <f t="shared" si="3210"/>
        <v>0</v>
      </c>
      <c r="DL783" s="161">
        <f t="shared" si="3211"/>
        <v>0</v>
      </c>
      <c r="DM783" s="161">
        <f t="shared" si="3212"/>
        <v>0</v>
      </c>
      <c r="DN783" s="161">
        <f t="shared" si="3213"/>
        <v>0</v>
      </c>
      <c r="DO783" s="161">
        <f t="shared" si="3214"/>
        <v>0</v>
      </c>
      <c r="DP783" s="161">
        <f t="shared" si="3215"/>
        <v>0</v>
      </c>
      <c r="DQ783" s="161">
        <f t="shared" si="3216"/>
        <v>0</v>
      </c>
      <c r="DR783" s="161">
        <f t="shared" si="3217"/>
        <v>0</v>
      </c>
      <c r="DS783" s="161">
        <f t="shared" si="3218"/>
        <v>0</v>
      </c>
      <c r="DT783" s="161">
        <f t="shared" si="3219"/>
        <v>0</v>
      </c>
      <c r="DU783" s="161">
        <f t="shared" si="3220"/>
        <v>0</v>
      </c>
      <c r="DV783" s="161">
        <f t="shared" si="3221"/>
        <v>0</v>
      </c>
      <c r="DW783" s="161">
        <f t="shared" si="3222"/>
        <v>0</v>
      </c>
      <c r="DX783" s="161">
        <f t="shared" si="3223"/>
        <v>0</v>
      </c>
      <c r="DY783" s="161">
        <f t="shared" si="3224"/>
        <v>0</v>
      </c>
      <c r="DZ783" s="161">
        <f t="shared" si="3225"/>
        <v>0</v>
      </c>
      <c r="EA783" s="161">
        <f t="shared" si="3226"/>
        <v>0</v>
      </c>
      <c r="EB783" s="161">
        <f t="shared" si="3227"/>
        <v>0</v>
      </c>
      <c r="EC783" s="161">
        <f t="shared" si="3228"/>
        <v>0</v>
      </c>
      <c r="ED783" s="161">
        <f t="shared" si="3229"/>
        <v>0</v>
      </c>
      <c r="EE783" s="161">
        <f t="shared" si="3230"/>
        <v>0</v>
      </c>
      <c r="EF783" s="161">
        <f t="shared" si="3231"/>
        <v>0</v>
      </c>
      <c r="EG783" s="161">
        <f t="shared" si="3232"/>
        <v>0</v>
      </c>
      <c r="EH783" s="161">
        <f t="shared" si="3233"/>
        <v>0</v>
      </c>
      <c r="EI783" s="161">
        <f t="shared" si="3234"/>
        <v>0</v>
      </c>
    </row>
    <row r="784" spans="2:139" ht="12" customHeight="1" outlineLevel="1">
      <c r="B784" s="137" t="str">
        <f>IF(F784&gt;0,F784&amp;" - "&amp;D781,"")</f>
        <v>Controller - Planejamento e Controle</v>
      </c>
      <c r="C784" s="65"/>
      <c r="D784" s="607"/>
      <c r="E784" s="65"/>
      <c r="F784" s="164" t="s">
        <v>495</v>
      </c>
      <c r="G784" s="165"/>
      <c r="H784" s="166">
        <f t="shared" si="3241"/>
        <v>0</v>
      </c>
      <c r="I784" s="144">
        <f t="shared" si="3242"/>
        <v>0</v>
      </c>
      <c r="J784" s="65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  <c r="AB784" s="167"/>
      <c r="AC784" s="167"/>
      <c r="AD784" s="167"/>
      <c r="AE784" s="167"/>
      <c r="AF784" s="167"/>
      <c r="AG784" s="167"/>
      <c r="AH784" s="167"/>
      <c r="AI784" s="167"/>
      <c r="AJ784" s="167"/>
      <c r="AK784" s="167"/>
      <c r="AL784" s="167"/>
      <c r="AM784" s="167"/>
      <c r="AN784" s="167"/>
      <c r="AO784" s="167"/>
      <c r="AP784" s="167"/>
      <c r="AQ784" s="167"/>
      <c r="AR784" s="167"/>
      <c r="AS784" s="167"/>
      <c r="AT784" s="167"/>
      <c r="AU784" s="167"/>
      <c r="AV784" s="167"/>
      <c r="AW784" s="167"/>
      <c r="AX784" s="167"/>
      <c r="AY784" s="167"/>
      <c r="AZ784" s="167"/>
      <c r="BA784" s="167"/>
      <c r="BB784" s="167"/>
      <c r="BC784" s="167"/>
      <c r="BD784" s="167"/>
      <c r="BE784" s="167"/>
      <c r="BF784" s="167"/>
      <c r="BG784" s="167"/>
      <c r="BH784" s="167"/>
      <c r="BI784" s="167"/>
      <c r="BJ784" s="167"/>
      <c r="BK784" s="167"/>
      <c r="BL784" s="167"/>
      <c r="BM784" s="167"/>
      <c r="BN784" s="167"/>
      <c r="BO784" s="167"/>
      <c r="BP784" s="167"/>
      <c r="BQ784" s="167"/>
      <c r="BR784" s="167"/>
      <c r="BS784" s="65"/>
      <c r="BT784" s="65"/>
      <c r="BU784" s="65"/>
      <c r="BV784" s="65"/>
      <c r="BW784" s="69"/>
      <c r="BX784" s="65"/>
      <c r="BY784" s="137">
        <f t="shared" si="3235"/>
        <v>0</v>
      </c>
      <c r="BZ784" s="137">
        <f>IF(BY784&gt;0,BY784+LARGE($BZ$757:BZ783,1),0)</f>
        <v>0</v>
      </c>
      <c r="CA784" s="137" t="str">
        <f t="shared" si="3236"/>
        <v>Controller</v>
      </c>
      <c r="CB784" s="161">
        <f t="shared" si="3175"/>
        <v>0</v>
      </c>
      <c r="CC784" s="161">
        <f t="shared" si="3176"/>
        <v>0</v>
      </c>
      <c r="CD784" s="161">
        <f t="shared" si="3177"/>
        <v>0</v>
      </c>
      <c r="CE784" s="161">
        <f t="shared" si="3178"/>
        <v>0</v>
      </c>
      <c r="CF784" s="161">
        <f t="shared" si="3179"/>
        <v>0</v>
      </c>
      <c r="CG784" s="161">
        <f t="shared" si="3180"/>
        <v>0</v>
      </c>
      <c r="CH784" s="161">
        <f t="shared" si="3181"/>
        <v>0</v>
      </c>
      <c r="CI784" s="161">
        <f t="shared" si="3182"/>
        <v>0</v>
      </c>
      <c r="CJ784" s="161">
        <f t="shared" si="3183"/>
        <v>0</v>
      </c>
      <c r="CK784" s="161">
        <f t="shared" si="3184"/>
        <v>0</v>
      </c>
      <c r="CL784" s="161">
        <f t="shared" si="3185"/>
        <v>0</v>
      </c>
      <c r="CM784" s="161">
        <f t="shared" si="3186"/>
        <v>0</v>
      </c>
      <c r="CN784" s="161">
        <f t="shared" si="3187"/>
        <v>0</v>
      </c>
      <c r="CO784" s="161">
        <f t="shared" si="3188"/>
        <v>0</v>
      </c>
      <c r="CP784" s="161">
        <f t="shared" si="3189"/>
        <v>0</v>
      </c>
      <c r="CQ784" s="161">
        <f t="shared" si="3190"/>
        <v>0</v>
      </c>
      <c r="CR784" s="161">
        <f t="shared" si="3191"/>
        <v>0</v>
      </c>
      <c r="CS784" s="161">
        <f t="shared" si="3192"/>
        <v>0</v>
      </c>
      <c r="CT784" s="161">
        <f t="shared" si="3193"/>
        <v>0</v>
      </c>
      <c r="CU784" s="161">
        <f t="shared" si="3194"/>
        <v>0</v>
      </c>
      <c r="CV784" s="161">
        <f t="shared" si="3195"/>
        <v>0</v>
      </c>
      <c r="CW784" s="161">
        <f t="shared" si="3196"/>
        <v>0</v>
      </c>
      <c r="CX784" s="161">
        <f t="shared" si="3197"/>
        <v>0</v>
      </c>
      <c r="CY784" s="161">
        <f t="shared" si="3198"/>
        <v>0</v>
      </c>
      <c r="CZ784" s="161">
        <f t="shared" si="3199"/>
        <v>0</v>
      </c>
      <c r="DA784" s="161">
        <f t="shared" si="3200"/>
        <v>0</v>
      </c>
      <c r="DB784" s="161">
        <f t="shared" si="3201"/>
        <v>0</v>
      </c>
      <c r="DC784" s="161">
        <f t="shared" si="3202"/>
        <v>0</v>
      </c>
      <c r="DD784" s="161">
        <f t="shared" si="3203"/>
        <v>0</v>
      </c>
      <c r="DE784" s="161">
        <f t="shared" si="3204"/>
        <v>0</v>
      </c>
      <c r="DF784" s="161">
        <f t="shared" si="3205"/>
        <v>0</v>
      </c>
      <c r="DG784" s="161">
        <f t="shared" si="3206"/>
        <v>0</v>
      </c>
      <c r="DH784" s="161">
        <f t="shared" si="3207"/>
        <v>0</v>
      </c>
      <c r="DI784" s="161">
        <f t="shared" si="3208"/>
        <v>0</v>
      </c>
      <c r="DJ784" s="161">
        <f t="shared" si="3209"/>
        <v>0</v>
      </c>
      <c r="DK784" s="161">
        <f t="shared" si="3210"/>
        <v>0</v>
      </c>
      <c r="DL784" s="161">
        <f t="shared" si="3211"/>
        <v>0</v>
      </c>
      <c r="DM784" s="161">
        <f t="shared" si="3212"/>
        <v>0</v>
      </c>
      <c r="DN784" s="161">
        <f t="shared" si="3213"/>
        <v>0</v>
      </c>
      <c r="DO784" s="161">
        <f t="shared" si="3214"/>
        <v>0</v>
      </c>
      <c r="DP784" s="161">
        <f t="shared" si="3215"/>
        <v>0</v>
      </c>
      <c r="DQ784" s="161">
        <f t="shared" si="3216"/>
        <v>0</v>
      </c>
      <c r="DR784" s="161">
        <f t="shared" si="3217"/>
        <v>0</v>
      </c>
      <c r="DS784" s="161">
        <f t="shared" si="3218"/>
        <v>0</v>
      </c>
      <c r="DT784" s="161">
        <f t="shared" si="3219"/>
        <v>0</v>
      </c>
      <c r="DU784" s="161">
        <f t="shared" si="3220"/>
        <v>0</v>
      </c>
      <c r="DV784" s="161">
        <f t="shared" si="3221"/>
        <v>0</v>
      </c>
      <c r="DW784" s="161">
        <f t="shared" si="3222"/>
        <v>0</v>
      </c>
      <c r="DX784" s="161">
        <f t="shared" si="3223"/>
        <v>0</v>
      </c>
      <c r="DY784" s="161">
        <f t="shared" si="3224"/>
        <v>0</v>
      </c>
      <c r="DZ784" s="161">
        <f t="shared" si="3225"/>
        <v>0</v>
      </c>
      <c r="EA784" s="161">
        <f t="shared" si="3226"/>
        <v>0</v>
      </c>
      <c r="EB784" s="161">
        <f t="shared" si="3227"/>
        <v>0</v>
      </c>
      <c r="EC784" s="161">
        <f t="shared" si="3228"/>
        <v>0</v>
      </c>
      <c r="ED784" s="161">
        <f t="shared" si="3229"/>
        <v>0</v>
      </c>
      <c r="EE784" s="161">
        <f t="shared" si="3230"/>
        <v>0</v>
      </c>
      <c r="EF784" s="161">
        <f t="shared" si="3231"/>
        <v>0</v>
      </c>
      <c r="EG784" s="161">
        <f t="shared" si="3232"/>
        <v>0</v>
      </c>
      <c r="EH784" s="161">
        <f t="shared" si="3233"/>
        <v>0</v>
      </c>
      <c r="EI784" s="161">
        <f t="shared" si="3234"/>
        <v>0</v>
      </c>
    </row>
    <row r="785" spans="2:139" ht="12" customHeight="1" outlineLevel="1">
      <c r="B785" s="137" t="str">
        <f>IF(F785&gt;0,F785&amp;" - "&amp;D781,"")</f>
        <v>Auxiliar de Planejamento - Planejamento e Controle</v>
      </c>
      <c r="C785" s="65"/>
      <c r="D785" s="607"/>
      <c r="E785" s="65"/>
      <c r="F785" s="164" t="s">
        <v>496</v>
      </c>
      <c r="G785" s="165"/>
      <c r="H785" s="166">
        <f t="shared" si="3241"/>
        <v>0</v>
      </c>
      <c r="I785" s="144">
        <f t="shared" si="3242"/>
        <v>0</v>
      </c>
      <c r="J785" s="65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  <c r="AB785" s="167"/>
      <c r="AC785" s="167"/>
      <c r="AD785" s="167"/>
      <c r="AE785" s="167"/>
      <c r="AF785" s="167"/>
      <c r="AG785" s="167"/>
      <c r="AH785" s="167"/>
      <c r="AI785" s="167"/>
      <c r="AJ785" s="167"/>
      <c r="AK785" s="167"/>
      <c r="AL785" s="167"/>
      <c r="AM785" s="167"/>
      <c r="AN785" s="167"/>
      <c r="AO785" s="167"/>
      <c r="AP785" s="167"/>
      <c r="AQ785" s="167"/>
      <c r="AR785" s="167"/>
      <c r="AS785" s="167"/>
      <c r="AT785" s="167"/>
      <c r="AU785" s="167"/>
      <c r="AV785" s="167"/>
      <c r="AW785" s="167"/>
      <c r="AX785" s="167"/>
      <c r="AY785" s="167"/>
      <c r="AZ785" s="167"/>
      <c r="BA785" s="167"/>
      <c r="BB785" s="167"/>
      <c r="BC785" s="167"/>
      <c r="BD785" s="167"/>
      <c r="BE785" s="167"/>
      <c r="BF785" s="167"/>
      <c r="BG785" s="167"/>
      <c r="BH785" s="167"/>
      <c r="BI785" s="167"/>
      <c r="BJ785" s="167"/>
      <c r="BK785" s="167"/>
      <c r="BL785" s="167"/>
      <c r="BM785" s="167"/>
      <c r="BN785" s="167"/>
      <c r="BO785" s="167"/>
      <c r="BP785" s="167"/>
      <c r="BQ785" s="167"/>
      <c r="BR785" s="167"/>
      <c r="BS785" s="65"/>
      <c r="BT785" s="65"/>
      <c r="BU785" s="65"/>
      <c r="BV785" s="65"/>
      <c r="BW785" s="69"/>
      <c r="BX785" s="65"/>
      <c r="BY785" s="137">
        <f t="shared" si="3235"/>
        <v>0</v>
      </c>
      <c r="BZ785" s="137">
        <f>IF(BY785&gt;0,BY785+LARGE($BZ$757:BZ784,1),0)</f>
        <v>0</v>
      </c>
      <c r="CA785" s="137" t="str">
        <f t="shared" si="3236"/>
        <v>Auxiliar de Planejamento</v>
      </c>
      <c r="CB785" s="161">
        <f t="shared" si="3175"/>
        <v>0</v>
      </c>
      <c r="CC785" s="161">
        <f t="shared" si="3176"/>
        <v>0</v>
      </c>
      <c r="CD785" s="161">
        <f t="shared" si="3177"/>
        <v>0</v>
      </c>
      <c r="CE785" s="161">
        <f t="shared" si="3178"/>
        <v>0</v>
      </c>
      <c r="CF785" s="161">
        <f t="shared" si="3179"/>
        <v>0</v>
      </c>
      <c r="CG785" s="161">
        <f t="shared" si="3180"/>
        <v>0</v>
      </c>
      <c r="CH785" s="161">
        <f t="shared" si="3181"/>
        <v>0</v>
      </c>
      <c r="CI785" s="161">
        <f t="shared" si="3182"/>
        <v>0</v>
      </c>
      <c r="CJ785" s="161">
        <f t="shared" si="3183"/>
        <v>0</v>
      </c>
      <c r="CK785" s="161">
        <f t="shared" si="3184"/>
        <v>0</v>
      </c>
      <c r="CL785" s="161">
        <f t="shared" si="3185"/>
        <v>0</v>
      </c>
      <c r="CM785" s="161">
        <f t="shared" si="3186"/>
        <v>0</v>
      </c>
      <c r="CN785" s="161">
        <f t="shared" si="3187"/>
        <v>0</v>
      </c>
      <c r="CO785" s="161">
        <f t="shared" si="3188"/>
        <v>0</v>
      </c>
      <c r="CP785" s="161">
        <f t="shared" si="3189"/>
        <v>0</v>
      </c>
      <c r="CQ785" s="161">
        <f t="shared" si="3190"/>
        <v>0</v>
      </c>
      <c r="CR785" s="161">
        <f t="shared" si="3191"/>
        <v>0</v>
      </c>
      <c r="CS785" s="161">
        <f t="shared" si="3192"/>
        <v>0</v>
      </c>
      <c r="CT785" s="161">
        <f t="shared" si="3193"/>
        <v>0</v>
      </c>
      <c r="CU785" s="161">
        <f t="shared" si="3194"/>
        <v>0</v>
      </c>
      <c r="CV785" s="161">
        <f t="shared" si="3195"/>
        <v>0</v>
      </c>
      <c r="CW785" s="161">
        <f t="shared" si="3196"/>
        <v>0</v>
      </c>
      <c r="CX785" s="161">
        <f t="shared" si="3197"/>
        <v>0</v>
      </c>
      <c r="CY785" s="161">
        <f t="shared" si="3198"/>
        <v>0</v>
      </c>
      <c r="CZ785" s="161">
        <f t="shared" si="3199"/>
        <v>0</v>
      </c>
      <c r="DA785" s="161">
        <f t="shared" si="3200"/>
        <v>0</v>
      </c>
      <c r="DB785" s="161">
        <f t="shared" si="3201"/>
        <v>0</v>
      </c>
      <c r="DC785" s="161">
        <f t="shared" si="3202"/>
        <v>0</v>
      </c>
      <c r="DD785" s="161">
        <f t="shared" si="3203"/>
        <v>0</v>
      </c>
      <c r="DE785" s="161">
        <f t="shared" si="3204"/>
        <v>0</v>
      </c>
      <c r="DF785" s="161">
        <f t="shared" si="3205"/>
        <v>0</v>
      </c>
      <c r="DG785" s="161">
        <f t="shared" si="3206"/>
        <v>0</v>
      </c>
      <c r="DH785" s="161">
        <f t="shared" si="3207"/>
        <v>0</v>
      </c>
      <c r="DI785" s="161">
        <f t="shared" si="3208"/>
        <v>0</v>
      </c>
      <c r="DJ785" s="161">
        <f t="shared" si="3209"/>
        <v>0</v>
      </c>
      <c r="DK785" s="161">
        <f t="shared" si="3210"/>
        <v>0</v>
      </c>
      <c r="DL785" s="161">
        <f t="shared" si="3211"/>
        <v>0</v>
      </c>
      <c r="DM785" s="161">
        <f t="shared" si="3212"/>
        <v>0</v>
      </c>
      <c r="DN785" s="161">
        <f t="shared" si="3213"/>
        <v>0</v>
      </c>
      <c r="DO785" s="161">
        <f t="shared" si="3214"/>
        <v>0</v>
      </c>
      <c r="DP785" s="161">
        <f t="shared" si="3215"/>
        <v>0</v>
      </c>
      <c r="DQ785" s="161">
        <f t="shared" si="3216"/>
        <v>0</v>
      </c>
      <c r="DR785" s="161">
        <f t="shared" si="3217"/>
        <v>0</v>
      </c>
      <c r="DS785" s="161">
        <f t="shared" si="3218"/>
        <v>0</v>
      </c>
      <c r="DT785" s="161">
        <f t="shared" si="3219"/>
        <v>0</v>
      </c>
      <c r="DU785" s="161">
        <f t="shared" si="3220"/>
        <v>0</v>
      </c>
      <c r="DV785" s="161">
        <f t="shared" si="3221"/>
        <v>0</v>
      </c>
      <c r="DW785" s="161">
        <f t="shared" si="3222"/>
        <v>0</v>
      </c>
      <c r="DX785" s="161">
        <f t="shared" si="3223"/>
        <v>0</v>
      </c>
      <c r="DY785" s="161">
        <f t="shared" si="3224"/>
        <v>0</v>
      </c>
      <c r="DZ785" s="161">
        <f t="shared" si="3225"/>
        <v>0</v>
      </c>
      <c r="EA785" s="161">
        <f t="shared" si="3226"/>
        <v>0</v>
      </c>
      <c r="EB785" s="161">
        <f t="shared" si="3227"/>
        <v>0</v>
      </c>
      <c r="EC785" s="161">
        <f t="shared" si="3228"/>
        <v>0</v>
      </c>
      <c r="ED785" s="161">
        <f t="shared" si="3229"/>
        <v>0</v>
      </c>
      <c r="EE785" s="161">
        <f t="shared" si="3230"/>
        <v>0</v>
      </c>
      <c r="EF785" s="161">
        <f t="shared" si="3231"/>
        <v>0</v>
      </c>
      <c r="EG785" s="161">
        <f t="shared" si="3232"/>
        <v>0</v>
      </c>
      <c r="EH785" s="161">
        <f t="shared" si="3233"/>
        <v>0</v>
      </c>
      <c r="EI785" s="161">
        <f t="shared" si="3234"/>
        <v>0</v>
      </c>
    </row>
    <row r="786" spans="2:139" ht="12" customHeight="1" outlineLevel="1">
      <c r="B786" s="137" t="str">
        <f>IF(F786&gt;0,F786&amp;" - "&amp;D781,"")</f>
        <v/>
      </c>
      <c r="C786" s="65"/>
      <c r="D786" s="607"/>
      <c r="E786" s="65"/>
      <c r="F786" s="164"/>
      <c r="G786" s="165"/>
      <c r="H786" s="166">
        <f t="shared" si="3241"/>
        <v>0</v>
      </c>
      <c r="I786" s="144">
        <f t="shared" si="3242"/>
        <v>0</v>
      </c>
      <c r="J786" s="65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  <c r="AB786" s="167"/>
      <c r="AC786" s="167"/>
      <c r="AD786" s="167"/>
      <c r="AE786" s="167"/>
      <c r="AF786" s="167"/>
      <c r="AG786" s="167"/>
      <c r="AH786" s="167"/>
      <c r="AI786" s="167"/>
      <c r="AJ786" s="167"/>
      <c r="AK786" s="167"/>
      <c r="AL786" s="167"/>
      <c r="AM786" s="167"/>
      <c r="AN786" s="167"/>
      <c r="AO786" s="167"/>
      <c r="AP786" s="167"/>
      <c r="AQ786" s="167"/>
      <c r="AR786" s="167"/>
      <c r="AS786" s="167"/>
      <c r="AT786" s="167"/>
      <c r="AU786" s="167"/>
      <c r="AV786" s="167"/>
      <c r="AW786" s="167"/>
      <c r="AX786" s="167"/>
      <c r="AY786" s="167"/>
      <c r="AZ786" s="167"/>
      <c r="BA786" s="167"/>
      <c r="BB786" s="167"/>
      <c r="BC786" s="167"/>
      <c r="BD786" s="167"/>
      <c r="BE786" s="167"/>
      <c r="BF786" s="167"/>
      <c r="BG786" s="167"/>
      <c r="BH786" s="167"/>
      <c r="BI786" s="167"/>
      <c r="BJ786" s="167"/>
      <c r="BK786" s="167"/>
      <c r="BL786" s="167"/>
      <c r="BM786" s="167"/>
      <c r="BN786" s="167"/>
      <c r="BO786" s="167"/>
      <c r="BP786" s="167"/>
      <c r="BQ786" s="167"/>
      <c r="BR786" s="167"/>
      <c r="BS786" s="65"/>
      <c r="BT786" s="65"/>
      <c r="BU786" s="65"/>
      <c r="BV786" s="65"/>
      <c r="BW786" s="69"/>
      <c r="BX786" s="65"/>
      <c r="BY786" s="137">
        <f t="shared" si="3235"/>
        <v>0</v>
      </c>
      <c r="BZ786" s="137">
        <f>IF(BY786&gt;0,BY786+LARGE($BZ$757:BZ785,1),0)</f>
        <v>0</v>
      </c>
      <c r="CA786" s="137">
        <f t="shared" si="3236"/>
        <v>0</v>
      </c>
      <c r="CB786" s="161">
        <f t="shared" si="3175"/>
        <v>0</v>
      </c>
      <c r="CC786" s="161">
        <f t="shared" si="3176"/>
        <v>0</v>
      </c>
      <c r="CD786" s="161">
        <f t="shared" si="3177"/>
        <v>0</v>
      </c>
      <c r="CE786" s="161">
        <f t="shared" si="3178"/>
        <v>0</v>
      </c>
      <c r="CF786" s="161">
        <f t="shared" si="3179"/>
        <v>0</v>
      </c>
      <c r="CG786" s="161">
        <f t="shared" si="3180"/>
        <v>0</v>
      </c>
      <c r="CH786" s="161">
        <f t="shared" si="3181"/>
        <v>0</v>
      </c>
      <c r="CI786" s="161">
        <f t="shared" si="3182"/>
        <v>0</v>
      </c>
      <c r="CJ786" s="161">
        <f t="shared" si="3183"/>
        <v>0</v>
      </c>
      <c r="CK786" s="161">
        <f t="shared" si="3184"/>
        <v>0</v>
      </c>
      <c r="CL786" s="161">
        <f t="shared" si="3185"/>
        <v>0</v>
      </c>
      <c r="CM786" s="161">
        <f t="shared" si="3186"/>
        <v>0</v>
      </c>
      <c r="CN786" s="161">
        <f t="shared" si="3187"/>
        <v>0</v>
      </c>
      <c r="CO786" s="161">
        <f t="shared" si="3188"/>
        <v>0</v>
      </c>
      <c r="CP786" s="161">
        <f t="shared" si="3189"/>
        <v>0</v>
      </c>
      <c r="CQ786" s="161">
        <f t="shared" si="3190"/>
        <v>0</v>
      </c>
      <c r="CR786" s="161">
        <f t="shared" si="3191"/>
        <v>0</v>
      </c>
      <c r="CS786" s="161">
        <f t="shared" si="3192"/>
        <v>0</v>
      </c>
      <c r="CT786" s="161">
        <f t="shared" si="3193"/>
        <v>0</v>
      </c>
      <c r="CU786" s="161">
        <f t="shared" si="3194"/>
        <v>0</v>
      </c>
      <c r="CV786" s="161">
        <f t="shared" si="3195"/>
        <v>0</v>
      </c>
      <c r="CW786" s="161">
        <f t="shared" si="3196"/>
        <v>0</v>
      </c>
      <c r="CX786" s="161">
        <f t="shared" si="3197"/>
        <v>0</v>
      </c>
      <c r="CY786" s="161">
        <f t="shared" si="3198"/>
        <v>0</v>
      </c>
      <c r="CZ786" s="161">
        <f t="shared" si="3199"/>
        <v>0</v>
      </c>
      <c r="DA786" s="161">
        <f t="shared" si="3200"/>
        <v>0</v>
      </c>
      <c r="DB786" s="161">
        <f t="shared" si="3201"/>
        <v>0</v>
      </c>
      <c r="DC786" s="161">
        <f t="shared" si="3202"/>
        <v>0</v>
      </c>
      <c r="DD786" s="161">
        <f t="shared" si="3203"/>
        <v>0</v>
      </c>
      <c r="DE786" s="161">
        <f t="shared" si="3204"/>
        <v>0</v>
      </c>
      <c r="DF786" s="161">
        <f t="shared" si="3205"/>
        <v>0</v>
      </c>
      <c r="DG786" s="161">
        <f t="shared" si="3206"/>
        <v>0</v>
      </c>
      <c r="DH786" s="161">
        <f t="shared" si="3207"/>
        <v>0</v>
      </c>
      <c r="DI786" s="161">
        <f t="shared" si="3208"/>
        <v>0</v>
      </c>
      <c r="DJ786" s="161">
        <f t="shared" si="3209"/>
        <v>0</v>
      </c>
      <c r="DK786" s="161">
        <f t="shared" si="3210"/>
        <v>0</v>
      </c>
      <c r="DL786" s="161">
        <f t="shared" si="3211"/>
        <v>0</v>
      </c>
      <c r="DM786" s="161">
        <f t="shared" si="3212"/>
        <v>0</v>
      </c>
      <c r="DN786" s="161">
        <f t="shared" si="3213"/>
        <v>0</v>
      </c>
      <c r="DO786" s="161">
        <f t="shared" si="3214"/>
        <v>0</v>
      </c>
      <c r="DP786" s="161">
        <f t="shared" si="3215"/>
        <v>0</v>
      </c>
      <c r="DQ786" s="161">
        <f t="shared" si="3216"/>
        <v>0</v>
      </c>
      <c r="DR786" s="161">
        <f t="shared" si="3217"/>
        <v>0</v>
      </c>
      <c r="DS786" s="161">
        <f t="shared" si="3218"/>
        <v>0</v>
      </c>
      <c r="DT786" s="161">
        <f t="shared" si="3219"/>
        <v>0</v>
      </c>
      <c r="DU786" s="161">
        <f t="shared" si="3220"/>
        <v>0</v>
      </c>
      <c r="DV786" s="161">
        <f t="shared" si="3221"/>
        <v>0</v>
      </c>
      <c r="DW786" s="161">
        <f t="shared" si="3222"/>
        <v>0</v>
      </c>
      <c r="DX786" s="161">
        <f t="shared" si="3223"/>
        <v>0</v>
      </c>
      <c r="DY786" s="161">
        <f t="shared" si="3224"/>
        <v>0</v>
      </c>
      <c r="DZ786" s="161">
        <f t="shared" si="3225"/>
        <v>0</v>
      </c>
      <c r="EA786" s="161">
        <f t="shared" si="3226"/>
        <v>0</v>
      </c>
      <c r="EB786" s="161">
        <f t="shared" si="3227"/>
        <v>0</v>
      </c>
      <c r="EC786" s="161">
        <f t="shared" si="3228"/>
        <v>0</v>
      </c>
      <c r="ED786" s="161">
        <f t="shared" si="3229"/>
        <v>0</v>
      </c>
      <c r="EE786" s="161">
        <f t="shared" si="3230"/>
        <v>0</v>
      </c>
      <c r="EF786" s="161">
        <f t="shared" si="3231"/>
        <v>0</v>
      </c>
      <c r="EG786" s="161">
        <f t="shared" si="3232"/>
        <v>0</v>
      </c>
      <c r="EH786" s="161">
        <f t="shared" si="3233"/>
        <v>0</v>
      </c>
      <c r="EI786" s="161">
        <f t="shared" si="3234"/>
        <v>0</v>
      </c>
    </row>
    <row r="787" spans="2:139" ht="12" customHeight="1" outlineLevel="1">
      <c r="B787" s="137" t="str">
        <f>IF(F787&gt;0,F787&amp;" - "&amp;D781,"")</f>
        <v/>
      </c>
      <c r="C787" s="65"/>
      <c r="D787" s="607"/>
      <c r="E787" s="65"/>
      <c r="F787" s="164"/>
      <c r="G787" s="165"/>
      <c r="H787" s="166">
        <f t="shared" si="3241"/>
        <v>0</v>
      </c>
      <c r="I787" s="144">
        <f t="shared" si="3242"/>
        <v>0</v>
      </c>
      <c r="J787" s="65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  <c r="AB787" s="167"/>
      <c r="AC787" s="167"/>
      <c r="AD787" s="167"/>
      <c r="AE787" s="167"/>
      <c r="AF787" s="167"/>
      <c r="AG787" s="167"/>
      <c r="AH787" s="167"/>
      <c r="AI787" s="167"/>
      <c r="AJ787" s="167"/>
      <c r="AK787" s="167"/>
      <c r="AL787" s="167"/>
      <c r="AM787" s="167"/>
      <c r="AN787" s="167"/>
      <c r="AO787" s="167"/>
      <c r="AP787" s="167"/>
      <c r="AQ787" s="167"/>
      <c r="AR787" s="167"/>
      <c r="AS787" s="167"/>
      <c r="AT787" s="167"/>
      <c r="AU787" s="167"/>
      <c r="AV787" s="167"/>
      <c r="AW787" s="167"/>
      <c r="AX787" s="167"/>
      <c r="AY787" s="167"/>
      <c r="AZ787" s="167"/>
      <c r="BA787" s="167"/>
      <c r="BB787" s="167"/>
      <c r="BC787" s="167"/>
      <c r="BD787" s="167"/>
      <c r="BE787" s="167"/>
      <c r="BF787" s="167"/>
      <c r="BG787" s="167"/>
      <c r="BH787" s="167"/>
      <c r="BI787" s="167"/>
      <c r="BJ787" s="167"/>
      <c r="BK787" s="167"/>
      <c r="BL787" s="167"/>
      <c r="BM787" s="167"/>
      <c r="BN787" s="167"/>
      <c r="BO787" s="167"/>
      <c r="BP787" s="167"/>
      <c r="BQ787" s="167"/>
      <c r="BR787" s="167"/>
      <c r="BS787" s="65"/>
      <c r="BT787" s="65"/>
      <c r="BU787" s="65"/>
      <c r="BV787" s="65"/>
      <c r="BW787" s="69"/>
      <c r="BX787" s="65"/>
      <c r="BY787" s="137">
        <f t="shared" si="3235"/>
        <v>0</v>
      </c>
      <c r="BZ787" s="137">
        <f>IF(BY787&gt;0,BY787+LARGE($BZ$757:BZ786,1),0)</f>
        <v>0</v>
      </c>
      <c r="CA787" s="137">
        <f t="shared" si="3236"/>
        <v>0</v>
      </c>
      <c r="CB787" s="161">
        <f t="shared" si="3175"/>
        <v>0</v>
      </c>
      <c r="CC787" s="161">
        <f t="shared" si="3176"/>
        <v>0</v>
      </c>
      <c r="CD787" s="161">
        <f t="shared" si="3177"/>
        <v>0</v>
      </c>
      <c r="CE787" s="161">
        <f t="shared" si="3178"/>
        <v>0</v>
      </c>
      <c r="CF787" s="161">
        <f t="shared" si="3179"/>
        <v>0</v>
      </c>
      <c r="CG787" s="161">
        <f t="shared" si="3180"/>
        <v>0</v>
      </c>
      <c r="CH787" s="161">
        <f t="shared" si="3181"/>
        <v>0</v>
      </c>
      <c r="CI787" s="161">
        <f t="shared" si="3182"/>
        <v>0</v>
      </c>
      <c r="CJ787" s="161">
        <f t="shared" si="3183"/>
        <v>0</v>
      </c>
      <c r="CK787" s="161">
        <f t="shared" si="3184"/>
        <v>0</v>
      </c>
      <c r="CL787" s="161">
        <f t="shared" si="3185"/>
        <v>0</v>
      </c>
      <c r="CM787" s="161">
        <f t="shared" si="3186"/>
        <v>0</v>
      </c>
      <c r="CN787" s="161">
        <f t="shared" si="3187"/>
        <v>0</v>
      </c>
      <c r="CO787" s="161">
        <f t="shared" si="3188"/>
        <v>0</v>
      </c>
      <c r="CP787" s="161">
        <f t="shared" si="3189"/>
        <v>0</v>
      </c>
      <c r="CQ787" s="161">
        <f t="shared" si="3190"/>
        <v>0</v>
      </c>
      <c r="CR787" s="161">
        <f t="shared" si="3191"/>
        <v>0</v>
      </c>
      <c r="CS787" s="161">
        <f t="shared" si="3192"/>
        <v>0</v>
      </c>
      <c r="CT787" s="161">
        <f t="shared" si="3193"/>
        <v>0</v>
      </c>
      <c r="CU787" s="161">
        <f t="shared" si="3194"/>
        <v>0</v>
      </c>
      <c r="CV787" s="161">
        <f t="shared" si="3195"/>
        <v>0</v>
      </c>
      <c r="CW787" s="161">
        <f t="shared" si="3196"/>
        <v>0</v>
      </c>
      <c r="CX787" s="161">
        <f t="shared" si="3197"/>
        <v>0</v>
      </c>
      <c r="CY787" s="161">
        <f t="shared" si="3198"/>
        <v>0</v>
      </c>
      <c r="CZ787" s="161">
        <f t="shared" si="3199"/>
        <v>0</v>
      </c>
      <c r="DA787" s="161">
        <f t="shared" si="3200"/>
        <v>0</v>
      </c>
      <c r="DB787" s="161">
        <f t="shared" si="3201"/>
        <v>0</v>
      </c>
      <c r="DC787" s="161">
        <f t="shared" si="3202"/>
        <v>0</v>
      </c>
      <c r="DD787" s="161">
        <f t="shared" si="3203"/>
        <v>0</v>
      </c>
      <c r="DE787" s="161">
        <f t="shared" si="3204"/>
        <v>0</v>
      </c>
      <c r="DF787" s="161">
        <f t="shared" si="3205"/>
        <v>0</v>
      </c>
      <c r="DG787" s="161">
        <f t="shared" si="3206"/>
        <v>0</v>
      </c>
      <c r="DH787" s="161">
        <f t="shared" si="3207"/>
        <v>0</v>
      </c>
      <c r="DI787" s="161">
        <f t="shared" si="3208"/>
        <v>0</v>
      </c>
      <c r="DJ787" s="161">
        <f t="shared" si="3209"/>
        <v>0</v>
      </c>
      <c r="DK787" s="161">
        <f t="shared" si="3210"/>
        <v>0</v>
      </c>
      <c r="DL787" s="161">
        <f t="shared" si="3211"/>
        <v>0</v>
      </c>
      <c r="DM787" s="161">
        <f t="shared" si="3212"/>
        <v>0</v>
      </c>
      <c r="DN787" s="161">
        <f t="shared" si="3213"/>
        <v>0</v>
      </c>
      <c r="DO787" s="161">
        <f t="shared" si="3214"/>
        <v>0</v>
      </c>
      <c r="DP787" s="161">
        <f t="shared" si="3215"/>
        <v>0</v>
      </c>
      <c r="DQ787" s="161">
        <f t="shared" si="3216"/>
        <v>0</v>
      </c>
      <c r="DR787" s="161">
        <f t="shared" si="3217"/>
        <v>0</v>
      </c>
      <c r="DS787" s="161">
        <f t="shared" si="3218"/>
        <v>0</v>
      </c>
      <c r="DT787" s="161">
        <f t="shared" si="3219"/>
        <v>0</v>
      </c>
      <c r="DU787" s="161">
        <f t="shared" si="3220"/>
        <v>0</v>
      </c>
      <c r="DV787" s="161">
        <f t="shared" si="3221"/>
        <v>0</v>
      </c>
      <c r="DW787" s="161">
        <f t="shared" si="3222"/>
        <v>0</v>
      </c>
      <c r="DX787" s="161">
        <f t="shared" si="3223"/>
        <v>0</v>
      </c>
      <c r="DY787" s="161">
        <f t="shared" si="3224"/>
        <v>0</v>
      </c>
      <c r="DZ787" s="161">
        <f t="shared" si="3225"/>
        <v>0</v>
      </c>
      <c r="EA787" s="161">
        <f t="shared" si="3226"/>
        <v>0</v>
      </c>
      <c r="EB787" s="161">
        <f t="shared" si="3227"/>
        <v>0</v>
      </c>
      <c r="EC787" s="161">
        <f t="shared" si="3228"/>
        <v>0</v>
      </c>
      <c r="ED787" s="161">
        <f t="shared" si="3229"/>
        <v>0</v>
      </c>
      <c r="EE787" s="161">
        <f t="shared" si="3230"/>
        <v>0</v>
      </c>
      <c r="EF787" s="161">
        <f t="shared" si="3231"/>
        <v>0</v>
      </c>
      <c r="EG787" s="161">
        <f t="shared" si="3232"/>
        <v>0</v>
      </c>
      <c r="EH787" s="161">
        <f t="shared" si="3233"/>
        <v>0</v>
      </c>
      <c r="EI787" s="161">
        <f t="shared" si="3234"/>
        <v>0</v>
      </c>
    </row>
    <row r="788" spans="2:139" ht="6" customHeight="1" outlineLevel="1"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  <c r="AM788" s="65"/>
      <c r="AN788" s="65"/>
      <c r="AO788" s="65"/>
      <c r="AP788" s="65"/>
      <c r="AQ788" s="65"/>
      <c r="AR788" s="65"/>
      <c r="AS788" s="65"/>
      <c r="AT788" s="65"/>
      <c r="AU788" s="65"/>
      <c r="AV788" s="65"/>
      <c r="AW788" s="65"/>
      <c r="AX788" s="65"/>
      <c r="AY788" s="65"/>
      <c r="AZ788" s="65"/>
      <c r="BA788" s="65"/>
      <c r="BB788" s="65"/>
      <c r="BC788" s="65"/>
      <c r="BD788" s="65"/>
      <c r="BE788" s="65"/>
      <c r="BF788" s="65"/>
      <c r="BG788" s="65"/>
      <c r="BH788" s="65"/>
      <c r="BI788" s="65"/>
      <c r="BJ788" s="65"/>
      <c r="BK788" s="65"/>
      <c r="BL788" s="65"/>
      <c r="BM788" s="65"/>
      <c r="BN788" s="65"/>
      <c r="BO788" s="65"/>
      <c r="BP788" s="65"/>
      <c r="BQ788" s="65"/>
      <c r="BR788" s="65"/>
      <c r="BS788" s="65"/>
      <c r="BT788" s="65"/>
      <c r="BU788" s="65"/>
      <c r="BV788" s="65"/>
      <c r="BW788" s="69"/>
      <c r="BX788" s="65"/>
      <c r="BY788" s="65"/>
      <c r="BZ788" s="65"/>
      <c r="CA788" s="65"/>
      <c r="CB788" s="65"/>
      <c r="CC788" s="65"/>
      <c r="CD788" s="65"/>
      <c r="CE788" s="65"/>
      <c r="CF788" s="65"/>
      <c r="CG788" s="65"/>
      <c r="CH788" s="65"/>
      <c r="CI788" s="65"/>
      <c r="CJ788" s="65"/>
      <c r="CK788" s="65"/>
      <c r="CL788" s="65"/>
      <c r="CM788" s="65"/>
      <c r="CN788" s="65"/>
      <c r="CO788" s="65"/>
      <c r="CP788" s="65"/>
      <c r="CQ788" s="65"/>
      <c r="CR788" s="65"/>
      <c r="CS788" s="65"/>
      <c r="CT788" s="65"/>
      <c r="CU788" s="65"/>
      <c r="CV788" s="65"/>
      <c r="CW788" s="65"/>
      <c r="CX788" s="65"/>
      <c r="CY788" s="65"/>
      <c r="CZ788" s="65"/>
      <c r="DA788" s="65"/>
      <c r="DB788" s="65"/>
      <c r="DC788" s="65"/>
      <c r="DD788" s="65"/>
      <c r="DE788" s="65"/>
      <c r="DF788" s="65"/>
      <c r="DG788" s="65"/>
      <c r="DH788" s="65"/>
      <c r="DI788" s="65"/>
      <c r="DJ788" s="65"/>
      <c r="DK788" s="65"/>
      <c r="DL788" s="65"/>
      <c r="DM788" s="65"/>
      <c r="DN788" s="65"/>
      <c r="DO788" s="65"/>
      <c r="DP788" s="65"/>
      <c r="DQ788" s="65"/>
      <c r="DR788" s="65"/>
      <c r="DS788" s="65"/>
      <c r="DT788" s="65"/>
      <c r="DU788" s="65"/>
      <c r="DV788" s="65"/>
      <c r="DW788" s="65"/>
      <c r="DX788" s="65"/>
      <c r="DY788" s="65"/>
      <c r="DZ788" s="65"/>
      <c r="EA788" s="65"/>
      <c r="EB788" s="65"/>
      <c r="EC788" s="65"/>
      <c r="ED788" s="65"/>
      <c r="EE788" s="65"/>
      <c r="EF788" s="65"/>
      <c r="EG788" s="65"/>
      <c r="EH788" s="65"/>
      <c r="EI788" s="65"/>
    </row>
    <row r="789" spans="2:139" ht="12" customHeight="1" outlineLevel="1">
      <c r="B789" s="137" t="str">
        <f>IF(F789&gt;0,F789&amp;" - "&amp;D789,"")</f>
        <v>Coordenador de Qualidade - Controle de Qualidade</v>
      </c>
      <c r="C789" s="65"/>
      <c r="D789" s="607" t="s">
        <v>497</v>
      </c>
      <c r="E789" s="65"/>
      <c r="F789" s="164" t="s">
        <v>498</v>
      </c>
      <c r="G789" s="165"/>
      <c r="H789" s="166">
        <f t="shared" ref="H789:H795" si="3243">IFERROR(SUM(K789:BR789)/COUNTIF(K789:BR789,"&gt;0"),0)</f>
        <v>0</v>
      </c>
      <c r="I789" s="144">
        <f t="shared" ref="I789:I795" si="3244">COUNTIF(K789:BR789,"&gt;0")</f>
        <v>0</v>
      </c>
      <c r="J789" s="65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  <c r="AB789" s="167"/>
      <c r="AC789" s="167"/>
      <c r="AD789" s="167"/>
      <c r="AE789" s="167"/>
      <c r="AF789" s="167"/>
      <c r="AG789" s="167"/>
      <c r="AH789" s="167"/>
      <c r="AI789" s="167"/>
      <c r="AJ789" s="167"/>
      <c r="AK789" s="167"/>
      <c r="AL789" s="167"/>
      <c r="AM789" s="167"/>
      <c r="AN789" s="167"/>
      <c r="AO789" s="167"/>
      <c r="AP789" s="167"/>
      <c r="AQ789" s="167"/>
      <c r="AR789" s="167"/>
      <c r="AS789" s="167"/>
      <c r="AT789" s="167"/>
      <c r="AU789" s="167"/>
      <c r="AV789" s="167"/>
      <c r="AW789" s="167"/>
      <c r="AX789" s="167"/>
      <c r="AY789" s="167"/>
      <c r="AZ789" s="167"/>
      <c r="BA789" s="167"/>
      <c r="BB789" s="167"/>
      <c r="BC789" s="167"/>
      <c r="BD789" s="167"/>
      <c r="BE789" s="167"/>
      <c r="BF789" s="167"/>
      <c r="BG789" s="167"/>
      <c r="BH789" s="167"/>
      <c r="BI789" s="167"/>
      <c r="BJ789" s="167"/>
      <c r="BK789" s="167"/>
      <c r="BL789" s="167"/>
      <c r="BM789" s="167"/>
      <c r="BN789" s="167"/>
      <c r="BO789" s="167"/>
      <c r="BP789" s="167"/>
      <c r="BQ789" s="167"/>
      <c r="BR789" s="167"/>
      <c r="BS789" s="65"/>
      <c r="BT789" s="65"/>
      <c r="BU789" s="65"/>
      <c r="BV789" s="65"/>
      <c r="BW789" s="69"/>
      <c r="BX789" s="65"/>
      <c r="BY789" s="137">
        <f t="shared" si="3235"/>
        <v>0</v>
      </c>
      <c r="BZ789" s="137">
        <f>IF(BY789&gt;0,BY789+LARGE($BZ$757:BZ788,1),0)</f>
        <v>0</v>
      </c>
      <c r="CA789" s="137" t="str">
        <f t="shared" si="3236"/>
        <v>Coordenador de Qualidade</v>
      </c>
      <c r="CB789" s="161">
        <f t="shared" si="3175"/>
        <v>0</v>
      </c>
      <c r="CC789" s="161">
        <f t="shared" si="3176"/>
        <v>0</v>
      </c>
      <c r="CD789" s="161">
        <f t="shared" si="3177"/>
        <v>0</v>
      </c>
      <c r="CE789" s="161">
        <f t="shared" si="3178"/>
        <v>0</v>
      </c>
      <c r="CF789" s="161">
        <f t="shared" si="3179"/>
        <v>0</v>
      </c>
      <c r="CG789" s="161">
        <f t="shared" si="3180"/>
        <v>0</v>
      </c>
      <c r="CH789" s="161">
        <f t="shared" si="3181"/>
        <v>0</v>
      </c>
      <c r="CI789" s="161">
        <f t="shared" si="3182"/>
        <v>0</v>
      </c>
      <c r="CJ789" s="161">
        <f t="shared" si="3183"/>
        <v>0</v>
      </c>
      <c r="CK789" s="161">
        <f t="shared" si="3184"/>
        <v>0</v>
      </c>
      <c r="CL789" s="161">
        <f t="shared" si="3185"/>
        <v>0</v>
      </c>
      <c r="CM789" s="161">
        <f t="shared" si="3186"/>
        <v>0</v>
      </c>
      <c r="CN789" s="161">
        <f t="shared" si="3187"/>
        <v>0</v>
      </c>
      <c r="CO789" s="161">
        <f t="shared" si="3188"/>
        <v>0</v>
      </c>
      <c r="CP789" s="161">
        <f t="shared" si="3189"/>
        <v>0</v>
      </c>
      <c r="CQ789" s="161">
        <f t="shared" si="3190"/>
        <v>0</v>
      </c>
      <c r="CR789" s="161">
        <f t="shared" si="3191"/>
        <v>0</v>
      </c>
      <c r="CS789" s="161">
        <f t="shared" si="3192"/>
        <v>0</v>
      </c>
      <c r="CT789" s="161">
        <f t="shared" si="3193"/>
        <v>0</v>
      </c>
      <c r="CU789" s="161">
        <f t="shared" si="3194"/>
        <v>0</v>
      </c>
      <c r="CV789" s="161">
        <f t="shared" si="3195"/>
        <v>0</v>
      </c>
      <c r="CW789" s="161">
        <f t="shared" si="3196"/>
        <v>0</v>
      </c>
      <c r="CX789" s="161">
        <f t="shared" si="3197"/>
        <v>0</v>
      </c>
      <c r="CY789" s="161">
        <f t="shared" si="3198"/>
        <v>0</v>
      </c>
      <c r="CZ789" s="161">
        <f t="shared" si="3199"/>
        <v>0</v>
      </c>
      <c r="DA789" s="161">
        <f t="shared" si="3200"/>
        <v>0</v>
      </c>
      <c r="DB789" s="161">
        <f t="shared" si="3201"/>
        <v>0</v>
      </c>
      <c r="DC789" s="161">
        <f t="shared" si="3202"/>
        <v>0</v>
      </c>
      <c r="DD789" s="161">
        <f t="shared" si="3203"/>
        <v>0</v>
      </c>
      <c r="DE789" s="161">
        <f t="shared" si="3204"/>
        <v>0</v>
      </c>
      <c r="DF789" s="161">
        <f t="shared" si="3205"/>
        <v>0</v>
      </c>
      <c r="DG789" s="161">
        <f t="shared" si="3206"/>
        <v>0</v>
      </c>
      <c r="DH789" s="161">
        <f t="shared" si="3207"/>
        <v>0</v>
      </c>
      <c r="DI789" s="161">
        <f t="shared" si="3208"/>
        <v>0</v>
      </c>
      <c r="DJ789" s="161">
        <f t="shared" si="3209"/>
        <v>0</v>
      </c>
      <c r="DK789" s="161">
        <f t="shared" si="3210"/>
        <v>0</v>
      </c>
      <c r="DL789" s="161">
        <f t="shared" si="3211"/>
        <v>0</v>
      </c>
      <c r="DM789" s="161">
        <f t="shared" si="3212"/>
        <v>0</v>
      </c>
      <c r="DN789" s="161">
        <f t="shared" si="3213"/>
        <v>0</v>
      </c>
      <c r="DO789" s="161">
        <f t="shared" si="3214"/>
        <v>0</v>
      </c>
      <c r="DP789" s="161">
        <f t="shared" si="3215"/>
        <v>0</v>
      </c>
      <c r="DQ789" s="161">
        <f t="shared" si="3216"/>
        <v>0</v>
      </c>
      <c r="DR789" s="161">
        <f t="shared" si="3217"/>
        <v>0</v>
      </c>
      <c r="DS789" s="161">
        <f t="shared" si="3218"/>
        <v>0</v>
      </c>
      <c r="DT789" s="161">
        <f t="shared" si="3219"/>
        <v>0</v>
      </c>
      <c r="DU789" s="161">
        <f t="shared" si="3220"/>
        <v>0</v>
      </c>
      <c r="DV789" s="161">
        <f t="shared" si="3221"/>
        <v>0</v>
      </c>
      <c r="DW789" s="161">
        <f t="shared" si="3222"/>
        <v>0</v>
      </c>
      <c r="DX789" s="161">
        <f t="shared" si="3223"/>
        <v>0</v>
      </c>
      <c r="DY789" s="161">
        <f t="shared" si="3224"/>
        <v>0</v>
      </c>
      <c r="DZ789" s="161">
        <f t="shared" si="3225"/>
        <v>0</v>
      </c>
      <c r="EA789" s="161">
        <f t="shared" si="3226"/>
        <v>0</v>
      </c>
      <c r="EB789" s="161">
        <f t="shared" si="3227"/>
        <v>0</v>
      </c>
      <c r="EC789" s="161">
        <f t="shared" si="3228"/>
        <v>0</v>
      </c>
      <c r="ED789" s="161">
        <f t="shared" si="3229"/>
        <v>0</v>
      </c>
      <c r="EE789" s="161">
        <f t="shared" si="3230"/>
        <v>0</v>
      </c>
      <c r="EF789" s="161">
        <f t="shared" si="3231"/>
        <v>0</v>
      </c>
      <c r="EG789" s="161">
        <f t="shared" si="3232"/>
        <v>0</v>
      </c>
      <c r="EH789" s="161">
        <f t="shared" si="3233"/>
        <v>0</v>
      </c>
      <c r="EI789" s="161">
        <f t="shared" si="3234"/>
        <v>0</v>
      </c>
    </row>
    <row r="790" spans="2:139" ht="12" customHeight="1" outlineLevel="1">
      <c r="B790" s="137" t="str">
        <f>IF(F790&gt;0,F790&amp;" - "&amp;D789,"")</f>
        <v>Técnico de Qualidade - Controle de Qualidade</v>
      </c>
      <c r="C790" s="65"/>
      <c r="D790" s="607"/>
      <c r="E790" s="65"/>
      <c r="F790" s="164" t="s">
        <v>499</v>
      </c>
      <c r="G790" s="165"/>
      <c r="H790" s="166">
        <f t="shared" si="3243"/>
        <v>0</v>
      </c>
      <c r="I790" s="144">
        <f t="shared" si="3244"/>
        <v>0</v>
      </c>
      <c r="J790" s="65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  <c r="AB790" s="167"/>
      <c r="AC790" s="167"/>
      <c r="AD790" s="167"/>
      <c r="AE790" s="167"/>
      <c r="AF790" s="167"/>
      <c r="AG790" s="167"/>
      <c r="AH790" s="167"/>
      <c r="AI790" s="167"/>
      <c r="AJ790" s="167"/>
      <c r="AK790" s="167"/>
      <c r="AL790" s="167"/>
      <c r="AM790" s="167"/>
      <c r="AN790" s="167"/>
      <c r="AO790" s="167"/>
      <c r="AP790" s="167"/>
      <c r="AQ790" s="167"/>
      <c r="AR790" s="167"/>
      <c r="AS790" s="167"/>
      <c r="AT790" s="167"/>
      <c r="AU790" s="167"/>
      <c r="AV790" s="167"/>
      <c r="AW790" s="167"/>
      <c r="AX790" s="167"/>
      <c r="AY790" s="167"/>
      <c r="AZ790" s="167"/>
      <c r="BA790" s="167"/>
      <c r="BB790" s="167"/>
      <c r="BC790" s="167"/>
      <c r="BD790" s="167"/>
      <c r="BE790" s="167"/>
      <c r="BF790" s="167"/>
      <c r="BG790" s="167"/>
      <c r="BH790" s="167"/>
      <c r="BI790" s="167"/>
      <c r="BJ790" s="167"/>
      <c r="BK790" s="167"/>
      <c r="BL790" s="167"/>
      <c r="BM790" s="167"/>
      <c r="BN790" s="167"/>
      <c r="BO790" s="167"/>
      <c r="BP790" s="167"/>
      <c r="BQ790" s="167"/>
      <c r="BR790" s="167"/>
      <c r="BS790" s="65"/>
      <c r="BT790" s="65"/>
      <c r="BU790" s="65"/>
      <c r="BV790" s="65"/>
      <c r="BW790" s="69"/>
      <c r="BX790" s="65"/>
      <c r="BY790" s="137">
        <f t="shared" si="3235"/>
        <v>0</v>
      </c>
      <c r="BZ790" s="137">
        <f>IF(BY790&gt;0,BY790+LARGE($BZ$757:BZ789,1),0)</f>
        <v>0</v>
      </c>
      <c r="CA790" s="137" t="str">
        <f t="shared" si="3236"/>
        <v>Técnico de Qualidade</v>
      </c>
      <c r="CB790" s="161">
        <f t="shared" si="3175"/>
        <v>0</v>
      </c>
      <c r="CC790" s="161">
        <f t="shared" si="3176"/>
        <v>0</v>
      </c>
      <c r="CD790" s="161">
        <f t="shared" si="3177"/>
        <v>0</v>
      </c>
      <c r="CE790" s="161">
        <f t="shared" si="3178"/>
        <v>0</v>
      </c>
      <c r="CF790" s="161">
        <f t="shared" si="3179"/>
        <v>0</v>
      </c>
      <c r="CG790" s="161">
        <f t="shared" si="3180"/>
        <v>0</v>
      </c>
      <c r="CH790" s="161">
        <f t="shared" si="3181"/>
        <v>0</v>
      </c>
      <c r="CI790" s="161">
        <f t="shared" si="3182"/>
        <v>0</v>
      </c>
      <c r="CJ790" s="161">
        <f t="shared" si="3183"/>
        <v>0</v>
      </c>
      <c r="CK790" s="161">
        <f t="shared" si="3184"/>
        <v>0</v>
      </c>
      <c r="CL790" s="161">
        <f t="shared" si="3185"/>
        <v>0</v>
      </c>
      <c r="CM790" s="161">
        <f t="shared" si="3186"/>
        <v>0</v>
      </c>
      <c r="CN790" s="161">
        <f t="shared" si="3187"/>
        <v>0</v>
      </c>
      <c r="CO790" s="161">
        <f t="shared" si="3188"/>
        <v>0</v>
      </c>
      <c r="CP790" s="161">
        <f t="shared" si="3189"/>
        <v>0</v>
      </c>
      <c r="CQ790" s="161">
        <f t="shared" si="3190"/>
        <v>0</v>
      </c>
      <c r="CR790" s="161">
        <f t="shared" si="3191"/>
        <v>0</v>
      </c>
      <c r="CS790" s="161">
        <f t="shared" si="3192"/>
        <v>0</v>
      </c>
      <c r="CT790" s="161">
        <f t="shared" si="3193"/>
        <v>0</v>
      </c>
      <c r="CU790" s="161">
        <f t="shared" si="3194"/>
        <v>0</v>
      </c>
      <c r="CV790" s="161">
        <f t="shared" si="3195"/>
        <v>0</v>
      </c>
      <c r="CW790" s="161">
        <f t="shared" si="3196"/>
        <v>0</v>
      </c>
      <c r="CX790" s="161">
        <f t="shared" si="3197"/>
        <v>0</v>
      </c>
      <c r="CY790" s="161">
        <f t="shared" si="3198"/>
        <v>0</v>
      </c>
      <c r="CZ790" s="161">
        <f t="shared" si="3199"/>
        <v>0</v>
      </c>
      <c r="DA790" s="161">
        <f t="shared" si="3200"/>
        <v>0</v>
      </c>
      <c r="DB790" s="161">
        <f t="shared" si="3201"/>
        <v>0</v>
      </c>
      <c r="DC790" s="161">
        <f t="shared" si="3202"/>
        <v>0</v>
      </c>
      <c r="DD790" s="161">
        <f t="shared" si="3203"/>
        <v>0</v>
      </c>
      <c r="DE790" s="161">
        <f t="shared" si="3204"/>
        <v>0</v>
      </c>
      <c r="DF790" s="161">
        <f t="shared" si="3205"/>
        <v>0</v>
      </c>
      <c r="DG790" s="161">
        <f t="shared" si="3206"/>
        <v>0</v>
      </c>
      <c r="DH790" s="161">
        <f t="shared" si="3207"/>
        <v>0</v>
      </c>
      <c r="DI790" s="161">
        <f t="shared" si="3208"/>
        <v>0</v>
      </c>
      <c r="DJ790" s="161">
        <f t="shared" si="3209"/>
        <v>0</v>
      </c>
      <c r="DK790" s="161">
        <f t="shared" si="3210"/>
        <v>0</v>
      </c>
      <c r="DL790" s="161">
        <f t="shared" si="3211"/>
        <v>0</v>
      </c>
      <c r="DM790" s="161">
        <f t="shared" si="3212"/>
        <v>0</v>
      </c>
      <c r="DN790" s="161">
        <f t="shared" si="3213"/>
        <v>0</v>
      </c>
      <c r="DO790" s="161">
        <f t="shared" si="3214"/>
        <v>0</v>
      </c>
      <c r="DP790" s="161">
        <f t="shared" si="3215"/>
        <v>0</v>
      </c>
      <c r="DQ790" s="161">
        <f t="shared" si="3216"/>
        <v>0</v>
      </c>
      <c r="DR790" s="161">
        <f t="shared" si="3217"/>
        <v>0</v>
      </c>
      <c r="DS790" s="161">
        <f t="shared" si="3218"/>
        <v>0</v>
      </c>
      <c r="DT790" s="161">
        <f t="shared" si="3219"/>
        <v>0</v>
      </c>
      <c r="DU790" s="161">
        <f t="shared" si="3220"/>
        <v>0</v>
      </c>
      <c r="DV790" s="161">
        <f t="shared" si="3221"/>
        <v>0</v>
      </c>
      <c r="DW790" s="161">
        <f t="shared" si="3222"/>
        <v>0</v>
      </c>
      <c r="DX790" s="161">
        <f t="shared" si="3223"/>
        <v>0</v>
      </c>
      <c r="DY790" s="161">
        <f t="shared" si="3224"/>
        <v>0</v>
      </c>
      <c r="DZ790" s="161">
        <f t="shared" si="3225"/>
        <v>0</v>
      </c>
      <c r="EA790" s="161">
        <f t="shared" si="3226"/>
        <v>0</v>
      </c>
      <c r="EB790" s="161">
        <f t="shared" si="3227"/>
        <v>0</v>
      </c>
      <c r="EC790" s="161">
        <f t="shared" si="3228"/>
        <v>0</v>
      </c>
      <c r="ED790" s="161">
        <f t="shared" si="3229"/>
        <v>0</v>
      </c>
      <c r="EE790" s="161">
        <f t="shared" si="3230"/>
        <v>0</v>
      </c>
      <c r="EF790" s="161">
        <f t="shared" si="3231"/>
        <v>0</v>
      </c>
      <c r="EG790" s="161">
        <f t="shared" si="3232"/>
        <v>0</v>
      </c>
      <c r="EH790" s="161">
        <f t="shared" si="3233"/>
        <v>0</v>
      </c>
      <c r="EI790" s="161">
        <f t="shared" si="3234"/>
        <v>0</v>
      </c>
    </row>
    <row r="791" spans="2:139" ht="12" customHeight="1" outlineLevel="1">
      <c r="B791" s="137" t="str">
        <f>IF(F791&gt;0,F791&amp;" - "&amp;D789,"")</f>
        <v>Inspetor (LP/PM/EVS) - Controle de Qualidade</v>
      </c>
      <c r="C791" s="65"/>
      <c r="D791" s="607"/>
      <c r="E791" s="65"/>
      <c r="F791" s="164" t="s">
        <v>500</v>
      </c>
      <c r="G791" s="165"/>
      <c r="H791" s="166">
        <f t="shared" si="3243"/>
        <v>0</v>
      </c>
      <c r="I791" s="144">
        <f t="shared" si="3244"/>
        <v>0</v>
      </c>
      <c r="J791" s="65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  <c r="AB791" s="167"/>
      <c r="AC791" s="167"/>
      <c r="AD791" s="167"/>
      <c r="AE791" s="167"/>
      <c r="AF791" s="167"/>
      <c r="AG791" s="167"/>
      <c r="AH791" s="167"/>
      <c r="AI791" s="167"/>
      <c r="AJ791" s="167"/>
      <c r="AK791" s="167"/>
      <c r="AL791" s="167"/>
      <c r="AM791" s="167"/>
      <c r="AN791" s="167"/>
      <c r="AO791" s="167"/>
      <c r="AP791" s="167"/>
      <c r="AQ791" s="167"/>
      <c r="AR791" s="167"/>
      <c r="AS791" s="167"/>
      <c r="AT791" s="167"/>
      <c r="AU791" s="167"/>
      <c r="AV791" s="167"/>
      <c r="AW791" s="167"/>
      <c r="AX791" s="167"/>
      <c r="AY791" s="167"/>
      <c r="AZ791" s="167"/>
      <c r="BA791" s="167"/>
      <c r="BB791" s="167"/>
      <c r="BC791" s="167"/>
      <c r="BD791" s="167"/>
      <c r="BE791" s="167"/>
      <c r="BF791" s="167"/>
      <c r="BG791" s="167"/>
      <c r="BH791" s="167"/>
      <c r="BI791" s="167"/>
      <c r="BJ791" s="167"/>
      <c r="BK791" s="167"/>
      <c r="BL791" s="167"/>
      <c r="BM791" s="167"/>
      <c r="BN791" s="167"/>
      <c r="BO791" s="167"/>
      <c r="BP791" s="167"/>
      <c r="BQ791" s="167"/>
      <c r="BR791" s="167"/>
      <c r="BS791" s="65"/>
      <c r="BT791" s="65"/>
      <c r="BU791" s="65"/>
      <c r="BV791" s="65"/>
      <c r="BW791" s="69"/>
      <c r="BX791" s="65"/>
      <c r="BY791" s="137">
        <f t="shared" si="3235"/>
        <v>0</v>
      </c>
      <c r="BZ791" s="137">
        <f>IF(BY791&gt;0,BY791+LARGE($BZ$757:BZ790,1),0)</f>
        <v>0</v>
      </c>
      <c r="CA791" s="137" t="str">
        <f t="shared" si="3236"/>
        <v>Inspetor (LP/PM/EVS)</v>
      </c>
      <c r="CB791" s="161">
        <f t="shared" si="3175"/>
        <v>0</v>
      </c>
      <c r="CC791" s="161">
        <f t="shared" si="3176"/>
        <v>0</v>
      </c>
      <c r="CD791" s="161">
        <f t="shared" si="3177"/>
        <v>0</v>
      </c>
      <c r="CE791" s="161">
        <f t="shared" si="3178"/>
        <v>0</v>
      </c>
      <c r="CF791" s="161">
        <f t="shared" si="3179"/>
        <v>0</v>
      </c>
      <c r="CG791" s="161">
        <f t="shared" si="3180"/>
        <v>0</v>
      </c>
      <c r="CH791" s="161">
        <f t="shared" si="3181"/>
        <v>0</v>
      </c>
      <c r="CI791" s="161">
        <f t="shared" si="3182"/>
        <v>0</v>
      </c>
      <c r="CJ791" s="161">
        <f t="shared" si="3183"/>
        <v>0</v>
      </c>
      <c r="CK791" s="161">
        <f t="shared" si="3184"/>
        <v>0</v>
      </c>
      <c r="CL791" s="161">
        <f t="shared" si="3185"/>
        <v>0</v>
      </c>
      <c r="CM791" s="161">
        <f t="shared" si="3186"/>
        <v>0</v>
      </c>
      <c r="CN791" s="161">
        <f t="shared" si="3187"/>
        <v>0</v>
      </c>
      <c r="CO791" s="161">
        <f t="shared" si="3188"/>
        <v>0</v>
      </c>
      <c r="CP791" s="161">
        <f t="shared" si="3189"/>
        <v>0</v>
      </c>
      <c r="CQ791" s="161">
        <f t="shared" si="3190"/>
        <v>0</v>
      </c>
      <c r="CR791" s="161">
        <f t="shared" si="3191"/>
        <v>0</v>
      </c>
      <c r="CS791" s="161">
        <f t="shared" si="3192"/>
        <v>0</v>
      </c>
      <c r="CT791" s="161">
        <f t="shared" si="3193"/>
        <v>0</v>
      </c>
      <c r="CU791" s="161">
        <f t="shared" si="3194"/>
        <v>0</v>
      </c>
      <c r="CV791" s="161">
        <f t="shared" si="3195"/>
        <v>0</v>
      </c>
      <c r="CW791" s="161">
        <f t="shared" si="3196"/>
        <v>0</v>
      </c>
      <c r="CX791" s="161">
        <f t="shared" si="3197"/>
        <v>0</v>
      </c>
      <c r="CY791" s="161">
        <f t="shared" si="3198"/>
        <v>0</v>
      </c>
      <c r="CZ791" s="161">
        <f t="shared" si="3199"/>
        <v>0</v>
      </c>
      <c r="DA791" s="161">
        <f t="shared" si="3200"/>
        <v>0</v>
      </c>
      <c r="DB791" s="161">
        <f t="shared" si="3201"/>
        <v>0</v>
      </c>
      <c r="DC791" s="161">
        <f t="shared" si="3202"/>
        <v>0</v>
      </c>
      <c r="DD791" s="161">
        <f t="shared" si="3203"/>
        <v>0</v>
      </c>
      <c r="DE791" s="161">
        <f t="shared" si="3204"/>
        <v>0</v>
      </c>
      <c r="DF791" s="161">
        <f t="shared" si="3205"/>
        <v>0</v>
      </c>
      <c r="DG791" s="161">
        <f t="shared" si="3206"/>
        <v>0</v>
      </c>
      <c r="DH791" s="161">
        <f t="shared" si="3207"/>
        <v>0</v>
      </c>
      <c r="DI791" s="161">
        <f t="shared" si="3208"/>
        <v>0</v>
      </c>
      <c r="DJ791" s="161">
        <f t="shared" si="3209"/>
        <v>0</v>
      </c>
      <c r="DK791" s="161">
        <f t="shared" si="3210"/>
        <v>0</v>
      </c>
      <c r="DL791" s="161">
        <f t="shared" si="3211"/>
        <v>0</v>
      </c>
      <c r="DM791" s="161">
        <f t="shared" si="3212"/>
        <v>0</v>
      </c>
      <c r="DN791" s="161">
        <f t="shared" si="3213"/>
        <v>0</v>
      </c>
      <c r="DO791" s="161">
        <f t="shared" si="3214"/>
        <v>0</v>
      </c>
      <c r="DP791" s="161">
        <f t="shared" si="3215"/>
        <v>0</v>
      </c>
      <c r="DQ791" s="161">
        <f t="shared" si="3216"/>
        <v>0</v>
      </c>
      <c r="DR791" s="161">
        <f t="shared" si="3217"/>
        <v>0</v>
      </c>
      <c r="DS791" s="161">
        <f t="shared" si="3218"/>
        <v>0</v>
      </c>
      <c r="DT791" s="161">
        <f t="shared" si="3219"/>
        <v>0</v>
      </c>
      <c r="DU791" s="161">
        <f t="shared" si="3220"/>
        <v>0</v>
      </c>
      <c r="DV791" s="161">
        <f t="shared" si="3221"/>
        <v>0</v>
      </c>
      <c r="DW791" s="161">
        <f t="shared" si="3222"/>
        <v>0</v>
      </c>
      <c r="DX791" s="161">
        <f t="shared" si="3223"/>
        <v>0</v>
      </c>
      <c r="DY791" s="161">
        <f t="shared" si="3224"/>
        <v>0</v>
      </c>
      <c r="DZ791" s="161">
        <f t="shared" si="3225"/>
        <v>0</v>
      </c>
      <c r="EA791" s="161">
        <f t="shared" si="3226"/>
        <v>0</v>
      </c>
      <c r="EB791" s="161">
        <f t="shared" si="3227"/>
        <v>0</v>
      </c>
      <c r="EC791" s="161">
        <f t="shared" si="3228"/>
        <v>0</v>
      </c>
      <c r="ED791" s="161">
        <f t="shared" si="3229"/>
        <v>0</v>
      </c>
      <c r="EE791" s="161">
        <f t="shared" si="3230"/>
        <v>0</v>
      </c>
      <c r="EF791" s="161">
        <f t="shared" si="3231"/>
        <v>0</v>
      </c>
      <c r="EG791" s="161">
        <f t="shared" si="3232"/>
        <v>0</v>
      </c>
      <c r="EH791" s="161">
        <f t="shared" si="3233"/>
        <v>0</v>
      </c>
      <c r="EI791" s="161">
        <f t="shared" si="3234"/>
        <v>0</v>
      </c>
    </row>
    <row r="792" spans="2:139" ht="12" customHeight="1" outlineLevel="1">
      <c r="B792" s="137" t="str">
        <f>IF(F792&gt;0,F792&amp;" - "&amp;D789,"")</f>
        <v>Inspetor RX - Controle de Qualidade</v>
      </c>
      <c r="C792" s="65"/>
      <c r="D792" s="607"/>
      <c r="E792" s="65"/>
      <c r="F792" s="164" t="s">
        <v>501</v>
      </c>
      <c r="G792" s="165"/>
      <c r="H792" s="166">
        <f t="shared" si="3243"/>
        <v>0</v>
      </c>
      <c r="I792" s="144">
        <f t="shared" si="3244"/>
        <v>0</v>
      </c>
      <c r="J792" s="65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  <c r="AE792" s="167"/>
      <c r="AF792" s="167"/>
      <c r="AG792" s="167"/>
      <c r="AH792" s="167"/>
      <c r="AI792" s="167"/>
      <c r="AJ792" s="167"/>
      <c r="AK792" s="167"/>
      <c r="AL792" s="167"/>
      <c r="AM792" s="167"/>
      <c r="AN792" s="167"/>
      <c r="AO792" s="167"/>
      <c r="AP792" s="167"/>
      <c r="AQ792" s="167"/>
      <c r="AR792" s="167"/>
      <c r="AS792" s="167"/>
      <c r="AT792" s="167"/>
      <c r="AU792" s="167"/>
      <c r="AV792" s="167"/>
      <c r="AW792" s="167"/>
      <c r="AX792" s="167"/>
      <c r="AY792" s="167"/>
      <c r="AZ792" s="167"/>
      <c r="BA792" s="167"/>
      <c r="BB792" s="167"/>
      <c r="BC792" s="167"/>
      <c r="BD792" s="167"/>
      <c r="BE792" s="167"/>
      <c r="BF792" s="167"/>
      <c r="BG792" s="167"/>
      <c r="BH792" s="167"/>
      <c r="BI792" s="167"/>
      <c r="BJ792" s="167"/>
      <c r="BK792" s="167"/>
      <c r="BL792" s="167"/>
      <c r="BM792" s="167"/>
      <c r="BN792" s="167"/>
      <c r="BO792" s="167"/>
      <c r="BP792" s="167"/>
      <c r="BQ792" s="167"/>
      <c r="BR792" s="167"/>
      <c r="BS792" s="65"/>
      <c r="BT792" s="65"/>
      <c r="BU792" s="65"/>
      <c r="BV792" s="65"/>
      <c r="BW792" s="69"/>
      <c r="BX792" s="65"/>
      <c r="BY792" s="137">
        <f t="shared" si="3235"/>
        <v>0</v>
      </c>
      <c r="BZ792" s="137">
        <f>IF(BY792&gt;0,BY792+LARGE($BZ$757:BZ791,1),0)</f>
        <v>0</v>
      </c>
      <c r="CA792" s="137" t="str">
        <f t="shared" si="3236"/>
        <v>Inspetor RX</v>
      </c>
      <c r="CB792" s="161">
        <f t="shared" si="3175"/>
        <v>0</v>
      </c>
      <c r="CC792" s="161">
        <f t="shared" si="3176"/>
        <v>0</v>
      </c>
      <c r="CD792" s="161">
        <f t="shared" si="3177"/>
        <v>0</v>
      </c>
      <c r="CE792" s="161">
        <f t="shared" si="3178"/>
        <v>0</v>
      </c>
      <c r="CF792" s="161">
        <f t="shared" si="3179"/>
        <v>0</v>
      </c>
      <c r="CG792" s="161">
        <f t="shared" si="3180"/>
        <v>0</v>
      </c>
      <c r="CH792" s="161">
        <f t="shared" si="3181"/>
        <v>0</v>
      </c>
      <c r="CI792" s="161">
        <f t="shared" si="3182"/>
        <v>0</v>
      </c>
      <c r="CJ792" s="161">
        <f t="shared" si="3183"/>
        <v>0</v>
      </c>
      <c r="CK792" s="161">
        <f t="shared" si="3184"/>
        <v>0</v>
      </c>
      <c r="CL792" s="161">
        <f t="shared" si="3185"/>
        <v>0</v>
      </c>
      <c r="CM792" s="161">
        <f t="shared" si="3186"/>
        <v>0</v>
      </c>
      <c r="CN792" s="161">
        <f t="shared" si="3187"/>
        <v>0</v>
      </c>
      <c r="CO792" s="161">
        <f t="shared" si="3188"/>
        <v>0</v>
      </c>
      <c r="CP792" s="161">
        <f t="shared" si="3189"/>
        <v>0</v>
      </c>
      <c r="CQ792" s="161">
        <f t="shared" si="3190"/>
        <v>0</v>
      </c>
      <c r="CR792" s="161">
        <f t="shared" si="3191"/>
        <v>0</v>
      </c>
      <c r="CS792" s="161">
        <f t="shared" si="3192"/>
        <v>0</v>
      </c>
      <c r="CT792" s="161">
        <f t="shared" si="3193"/>
        <v>0</v>
      </c>
      <c r="CU792" s="161">
        <f t="shared" si="3194"/>
        <v>0</v>
      </c>
      <c r="CV792" s="161">
        <f t="shared" si="3195"/>
        <v>0</v>
      </c>
      <c r="CW792" s="161">
        <f t="shared" si="3196"/>
        <v>0</v>
      </c>
      <c r="CX792" s="161">
        <f t="shared" si="3197"/>
        <v>0</v>
      </c>
      <c r="CY792" s="161">
        <f t="shared" si="3198"/>
        <v>0</v>
      </c>
      <c r="CZ792" s="161">
        <f t="shared" si="3199"/>
        <v>0</v>
      </c>
      <c r="DA792" s="161">
        <f t="shared" si="3200"/>
        <v>0</v>
      </c>
      <c r="DB792" s="161">
        <f t="shared" si="3201"/>
        <v>0</v>
      </c>
      <c r="DC792" s="161">
        <f t="shared" si="3202"/>
        <v>0</v>
      </c>
      <c r="DD792" s="161">
        <f t="shared" si="3203"/>
        <v>0</v>
      </c>
      <c r="DE792" s="161">
        <f t="shared" si="3204"/>
        <v>0</v>
      </c>
      <c r="DF792" s="161">
        <f t="shared" si="3205"/>
        <v>0</v>
      </c>
      <c r="DG792" s="161">
        <f t="shared" si="3206"/>
        <v>0</v>
      </c>
      <c r="DH792" s="161">
        <f t="shared" si="3207"/>
        <v>0</v>
      </c>
      <c r="DI792" s="161">
        <f t="shared" si="3208"/>
        <v>0</v>
      </c>
      <c r="DJ792" s="161">
        <f t="shared" si="3209"/>
        <v>0</v>
      </c>
      <c r="DK792" s="161">
        <f t="shared" si="3210"/>
        <v>0</v>
      </c>
      <c r="DL792" s="161">
        <f t="shared" si="3211"/>
        <v>0</v>
      </c>
      <c r="DM792" s="161">
        <f t="shared" si="3212"/>
        <v>0</v>
      </c>
      <c r="DN792" s="161">
        <f t="shared" si="3213"/>
        <v>0</v>
      </c>
      <c r="DO792" s="161">
        <f t="shared" si="3214"/>
        <v>0</v>
      </c>
      <c r="DP792" s="161">
        <f t="shared" si="3215"/>
        <v>0</v>
      </c>
      <c r="DQ792" s="161">
        <f t="shared" si="3216"/>
        <v>0</v>
      </c>
      <c r="DR792" s="161">
        <f t="shared" si="3217"/>
        <v>0</v>
      </c>
      <c r="DS792" s="161">
        <f t="shared" si="3218"/>
        <v>0</v>
      </c>
      <c r="DT792" s="161">
        <f t="shared" si="3219"/>
        <v>0</v>
      </c>
      <c r="DU792" s="161">
        <f t="shared" si="3220"/>
        <v>0</v>
      </c>
      <c r="DV792" s="161">
        <f t="shared" si="3221"/>
        <v>0</v>
      </c>
      <c r="DW792" s="161">
        <f t="shared" si="3222"/>
        <v>0</v>
      </c>
      <c r="DX792" s="161">
        <f t="shared" si="3223"/>
        <v>0</v>
      </c>
      <c r="DY792" s="161">
        <f t="shared" si="3224"/>
        <v>0</v>
      </c>
      <c r="DZ792" s="161">
        <f t="shared" si="3225"/>
        <v>0</v>
      </c>
      <c r="EA792" s="161">
        <f t="shared" si="3226"/>
        <v>0</v>
      </c>
      <c r="EB792" s="161">
        <f t="shared" si="3227"/>
        <v>0</v>
      </c>
      <c r="EC792" s="161">
        <f t="shared" si="3228"/>
        <v>0</v>
      </c>
      <c r="ED792" s="161">
        <f t="shared" si="3229"/>
        <v>0</v>
      </c>
      <c r="EE792" s="161">
        <f t="shared" si="3230"/>
        <v>0</v>
      </c>
      <c r="EF792" s="161">
        <f t="shared" si="3231"/>
        <v>0</v>
      </c>
      <c r="EG792" s="161">
        <f t="shared" si="3232"/>
        <v>0</v>
      </c>
      <c r="EH792" s="161">
        <f t="shared" si="3233"/>
        <v>0</v>
      </c>
      <c r="EI792" s="161">
        <f t="shared" si="3234"/>
        <v>0</v>
      </c>
    </row>
    <row r="793" spans="2:139" ht="12" customHeight="1" outlineLevel="1">
      <c r="B793" s="137" t="str">
        <f>IF(F793&gt;0,F793&amp;" - "&amp;D789,"")</f>
        <v>Inpestor de Equipamento - Controle de Qualidade</v>
      </c>
      <c r="C793" s="65"/>
      <c r="D793" s="607"/>
      <c r="E793" s="65"/>
      <c r="F793" s="164" t="s">
        <v>502</v>
      </c>
      <c r="G793" s="165"/>
      <c r="H793" s="166">
        <f t="shared" si="3243"/>
        <v>0</v>
      </c>
      <c r="I793" s="144">
        <f t="shared" si="3244"/>
        <v>0</v>
      </c>
      <c r="J793" s="65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  <c r="AE793" s="167"/>
      <c r="AF793" s="167"/>
      <c r="AG793" s="167"/>
      <c r="AH793" s="167"/>
      <c r="AI793" s="167"/>
      <c r="AJ793" s="167"/>
      <c r="AK793" s="167"/>
      <c r="AL793" s="167"/>
      <c r="AM793" s="167"/>
      <c r="AN793" s="167"/>
      <c r="AO793" s="167"/>
      <c r="AP793" s="167"/>
      <c r="AQ793" s="167"/>
      <c r="AR793" s="167"/>
      <c r="AS793" s="167"/>
      <c r="AT793" s="167"/>
      <c r="AU793" s="167"/>
      <c r="AV793" s="167"/>
      <c r="AW793" s="167"/>
      <c r="AX793" s="167"/>
      <c r="AY793" s="167"/>
      <c r="AZ793" s="167"/>
      <c r="BA793" s="167"/>
      <c r="BB793" s="167"/>
      <c r="BC793" s="167"/>
      <c r="BD793" s="167"/>
      <c r="BE793" s="167"/>
      <c r="BF793" s="167"/>
      <c r="BG793" s="167"/>
      <c r="BH793" s="167"/>
      <c r="BI793" s="167"/>
      <c r="BJ793" s="167"/>
      <c r="BK793" s="167"/>
      <c r="BL793" s="167"/>
      <c r="BM793" s="167"/>
      <c r="BN793" s="167"/>
      <c r="BO793" s="167"/>
      <c r="BP793" s="167"/>
      <c r="BQ793" s="167"/>
      <c r="BR793" s="167"/>
      <c r="BS793" s="65"/>
      <c r="BT793" s="65"/>
      <c r="BU793" s="65"/>
      <c r="BV793" s="65"/>
      <c r="BW793" s="69"/>
      <c r="BX793" s="65"/>
      <c r="BY793" s="137">
        <f t="shared" si="3235"/>
        <v>0</v>
      </c>
      <c r="BZ793" s="137">
        <f>IF(BY793&gt;0,BY793+LARGE($BZ$757:BZ792,1),0)</f>
        <v>0</v>
      </c>
      <c r="CA793" s="137" t="str">
        <f t="shared" si="3236"/>
        <v>Inpestor de Equipamento</v>
      </c>
      <c r="CB793" s="161">
        <f t="shared" si="3175"/>
        <v>0</v>
      </c>
      <c r="CC793" s="161">
        <f t="shared" si="3176"/>
        <v>0</v>
      </c>
      <c r="CD793" s="161">
        <f t="shared" si="3177"/>
        <v>0</v>
      </c>
      <c r="CE793" s="161">
        <f t="shared" si="3178"/>
        <v>0</v>
      </c>
      <c r="CF793" s="161">
        <f t="shared" si="3179"/>
        <v>0</v>
      </c>
      <c r="CG793" s="161">
        <f t="shared" si="3180"/>
        <v>0</v>
      </c>
      <c r="CH793" s="161">
        <f t="shared" si="3181"/>
        <v>0</v>
      </c>
      <c r="CI793" s="161">
        <f t="shared" si="3182"/>
        <v>0</v>
      </c>
      <c r="CJ793" s="161">
        <f t="shared" si="3183"/>
        <v>0</v>
      </c>
      <c r="CK793" s="161">
        <f t="shared" si="3184"/>
        <v>0</v>
      </c>
      <c r="CL793" s="161">
        <f t="shared" si="3185"/>
        <v>0</v>
      </c>
      <c r="CM793" s="161">
        <f t="shared" si="3186"/>
        <v>0</v>
      </c>
      <c r="CN793" s="161">
        <f t="shared" si="3187"/>
        <v>0</v>
      </c>
      <c r="CO793" s="161">
        <f t="shared" si="3188"/>
        <v>0</v>
      </c>
      <c r="CP793" s="161">
        <f t="shared" si="3189"/>
        <v>0</v>
      </c>
      <c r="CQ793" s="161">
        <f t="shared" si="3190"/>
        <v>0</v>
      </c>
      <c r="CR793" s="161">
        <f t="shared" si="3191"/>
        <v>0</v>
      </c>
      <c r="CS793" s="161">
        <f t="shared" si="3192"/>
        <v>0</v>
      </c>
      <c r="CT793" s="161">
        <f t="shared" si="3193"/>
        <v>0</v>
      </c>
      <c r="CU793" s="161">
        <f t="shared" si="3194"/>
        <v>0</v>
      </c>
      <c r="CV793" s="161">
        <f t="shared" si="3195"/>
        <v>0</v>
      </c>
      <c r="CW793" s="161">
        <f t="shared" si="3196"/>
        <v>0</v>
      </c>
      <c r="CX793" s="161">
        <f t="shared" si="3197"/>
        <v>0</v>
      </c>
      <c r="CY793" s="161">
        <f t="shared" si="3198"/>
        <v>0</v>
      </c>
      <c r="CZ793" s="161">
        <f t="shared" si="3199"/>
        <v>0</v>
      </c>
      <c r="DA793" s="161">
        <f t="shared" si="3200"/>
        <v>0</v>
      </c>
      <c r="DB793" s="161">
        <f t="shared" si="3201"/>
        <v>0</v>
      </c>
      <c r="DC793" s="161">
        <f t="shared" si="3202"/>
        <v>0</v>
      </c>
      <c r="DD793" s="161">
        <f t="shared" si="3203"/>
        <v>0</v>
      </c>
      <c r="DE793" s="161">
        <f t="shared" si="3204"/>
        <v>0</v>
      </c>
      <c r="DF793" s="161">
        <f t="shared" si="3205"/>
        <v>0</v>
      </c>
      <c r="DG793" s="161">
        <f t="shared" si="3206"/>
        <v>0</v>
      </c>
      <c r="DH793" s="161">
        <f t="shared" si="3207"/>
        <v>0</v>
      </c>
      <c r="DI793" s="161">
        <f t="shared" si="3208"/>
        <v>0</v>
      </c>
      <c r="DJ793" s="161">
        <f t="shared" si="3209"/>
        <v>0</v>
      </c>
      <c r="DK793" s="161">
        <f t="shared" si="3210"/>
        <v>0</v>
      </c>
      <c r="DL793" s="161">
        <f t="shared" si="3211"/>
        <v>0</v>
      </c>
      <c r="DM793" s="161">
        <f t="shared" si="3212"/>
        <v>0</v>
      </c>
      <c r="DN793" s="161">
        <f t="shared" si="3213"/>
        <v>0</v>
      </c>
      <c r="DO793" s="161">
        <f t="shared" si="3214"/>
        <v>0</v>
      </c>
      <c r="DP793" s="161">
        <f t="shared" si="3215"/>
        <v>0</v>
      </c>
      <c r="DQ793" s="161">
        <f t="shared" si="3216"/>
        <v>0</v>
      </c>
      <c r="DR793" s="161">
        <f t="shared" si="3217"/>
        <v>0</v>
      </c>
      <c r="DS793" s="161">
        <f t="shared" si="3218"/>
        <v>0</v>
      </c>
      <c r="DT793" s="161">
        <f t="shared" si="3219"/>
        <v>0</v>
      </c>
      <c r="DU793" s="161">
        <f t="shared" si="3220"/>
        <v>0</v>
      </c>
      <c r="DV793" s="161">
        <f t="shared" si="3221"/>
        <v>0</v>
      </c>
      <c r="DW793" s="161">
        <f t="shared" si="3222"/>
        <v>0</v>
      </c>
      <c r="DX793" s="161">
        <f t="shared" si="3223"/>
        <v>0</v>
      </c>
      <c r="DY793" s="161">
        <f t="shared" si="3224"/>
        <v>0</v>
      </c>
      <c r="DZ793" s="161">
        <f t="shared" si="3225"/>
        <v>0</v>
      </c>
      <c r="EA793" s="161">
        <f t="shared" si="3226"/>
        <v>0</v>
      </c>
      <c r="EB793" s="161">
        <f t="shared" si="3227"/>
        <v>0</v>
      </c>
      <c r="EC793" s="161">
        <f t="shared" si="3228"/>
        <v>0</v>
      </c>
      <c r="ED793" s="161">
        <f t="shared" si="3229"/>
        <v>0</v>
      </c>
      <c r="EE793" s="161">
        <f t="shared" si="3230"/>
        <v>0</v>
      </c>
      <c r="EF793" s="161">
        <f t="shared" si="3231"/>
        <v>0</v>
      </c>
      <c r="EG793" s="161">
        <f t="shared" si="3232"/>
        <v>0</v>
      </c>
      <c r="EH793" s="161">
        <f t="shared" si="3233"/>
        <v>0</v>
      </c>
      <c r="EI793" s="161">
        <f t="shared" si="3234"/>
        <v>0</v>
      </c>
    </row>
    <row r="794" spans="2:139" ht="12" customHeight="1" outlineLevel="1">
      <c r="B794" s="137" t="str">
        <f>IF(F794&gt;0,F794&amp;" - "&amp;D789,"")</f>
        <v>Inspetor N1 - Controle de Qualidade</v>
      </c>
      <c r="C794" s="65"/>
      <c r="D794" s="607"/>
      <c r="E794" s="65"/>
      <c r="F794" s="164" t="s">
        <v>503</v>
      </c>
      <c r="G794" s="165"/>
      <c r="H794" s="166">
        <f t="shared" si="3243"/>
        <v>0</v>
      </c>
      <c r="I794" s="144">
        <f t="shared" si="3244"/>
        <v>0</v>
      </c>
      <c r="J794" s="65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  <c r="AB794" s="167"/>
      <c r="AC794" s="167"/>
      <c r="AD794" s="167"/>
      <c r="AE794" s="167"/>
      <c r="AF794" s="167"/>
      <c r="AG794" s="167"/>
      <c r="AH794" s="167"/>
      <c r="AI794" s="167"/>
      <c r="AJ794" s="167"/>
      <c r="AK794" s="167"/>
      <c r="AL794" s="167"/>
      <c r="AM794" s="167"/>
      <c r="AN794" s="167"/>
      <c r="AO794" s="167"/>
      <c r="AP794" s="167"/>
      <c r="AQ794" s="167"/>
      <c r="AR794" s="167"/>
      <c r="AS794" s="167"/>
      <c r="AT794" s="167"/>
      <c r="AU794" s="167"/>
      <c r="AV794" s="167"/>
      <c r="AW794" s="167"/>
      <c r="AX794" s="167"/>
      <c r="AY794" s="167"/>
      <c r="AZ794" s="167"/>
      <c r="BA794" s="167"/>
      <c r="BB794" s="167"/>
      <c r="BC794" s="167"/>
      <c r="BD794" s="167"/>
      <c r="BE794" s="167"/>
      <c r="BF794" s="167"/>
      <c r="BG794" s="167"/>
      <c r="BH794" s="167"/>
      <c r="BI794" s="167"/>
      <c r="BJ794" s="167"/>
      <c r="BK794" s="167"/>
      <c r="BL794" s="167"/>
      <c r="BM794" s="167"/>
      <c r="BN794" s="167"/>
      <c r="BO794" s="167"/>
      <c r="BP794" s="167"/>
      <c r="BQ794" s="167"/>
      <c r="BR794" s="167"/>
      <c r="BS794" s="65"/>
      <c r="BT794" s="65"/>
      <c r="BU794" s="65"/>
      <c r="BV794" s="65"/>
      <c r="BW794" s="69"/>
      <c r="BX794" s="65"/>
      <c r="BY794" s="137">
        <f t="shared" si="3235"/>
        <v>0</v>
      </c>
      <c r="BZ794" s="137">
        <f>IF(BY794&gt;0,BY794+LARGE($BZ$757:BZ793,1),0)</f>
        <v>0</v>
      </c>
      <c r="CA794" s="137" t="str">
        <f t="shared" si="3236"/>
        <v>Inspetor N1</v>
      </c>
      <c r="CB794" s="161">
        <f t="shared" si="3175"/>
        <v>0</v>
      </c>
      <c r="CC794" s="161">
        <f t="shared" si="3176"/>
        <v>0</v>
      </c>
      <c r="CD794" s="161">
        <f t="shared" si="3177"/>
        <v>0</v>
      </c>
      <c r="CE794" s="161">
        <f t="shared" si="3178"/>
        <v>0</v>
      </c>
      <c r="CF794" s="161">
        <f t="shared" si="3179"/>
        <v>0</v>
      </c>
      <c r="CG794" s="161">
        <f t="shared" si="3180"/>
        <v>0</v>
      </c>
      <c r="CH794" s="161">
        <f t="shared" si="3181"/>
        <v>0</v>
      </c>
      <c r="CI794" s="161">
        <f t="shared" si="3182"/>
        <v>0</v>
      </c>
      <c r="CJ794" s="161">
        <f t="shared" si="3183"/>
        <v>0</v>
      </c>
      <c r="CK794" s="161">
        <f t="shared" si="3184"/>
        <v>0</v>
      </c>
      <c r="CL794" s="161">
        <f t="shared" si="3185"/>
        <v>0</v>
      </c>
      <c r="CM794" s="161">
        <f t="shared" si="3186"/>
        <v>0</v>
      </c>
      <c r="CN794" s="161">
        <f t="shared" si="3187"/>
        <v>0</v>
      </c>
      <c r="CO794" s="161">
        <f t="shared" si="3188"/>
        <v>0</v>
      </c>
      <c r="CP794" s="161">
        <f t="shared" si="3189"/>
        <v>0</v>
      </c>
      <c r="CQ794" s="161">
        <f t="shared" si="3190"/>
        <v>0</v>
      </c>
      <c r="CR794" s="161">
        <f t="shared" si="3191"/>
        <v>0</v>
      </c>
      <c r="CS794" s="161">
        <f t="shared" si="3192"/>
        <v>0</v>
      </c>
      <c r="CT794" s="161">
        <f t="shared" si="3193"/>
        <v>0</v>
      </c>
      <c r="CU794" s="161">
        <f t="shared" si="3194"/>
        <v>0</v>
      </c>
      <c r="CV794" s="161">
        <f t="shared" si="3195"/>
        <v>0</v>
      </c>
      <c r="CW794" s="161">
        <f t="shared" si="3196"/>
        <v>0</v>
      </c>
      <c r="CX794" s="161">
        <f t="shared" si="3197"/>
        <v>0</v>
      </c>
      <c r="CY794" s="161">
        <f t="shared" si="3198"/>
        <v>0</v>
      </c>
      <c r="CZ794" s="161">
        <f t="shared" si="3199"/>
        <v>0</v>
      </c>
      <c r="DA794" s="161">
        <f t="shared" si="3200"/>
        <v>0</v>
      </c>
      <c r="DB794" s="161">
        <f t="shared" si="3201"/>
        <v>0</v>
      </c>
      <c r="DC794" s="161">
        <f t="shared" si="3202"/>
        <v>0</v>
      </c>
      <c r="DD794" s="161">
        <f t="shared" si="3203"/>
        <v>0</v>
      </c>
      <c r="DE794" s="161">
        <f t="shared" si="3204"/>
        <v>0</v>
      </c>
      <c r="DF794" s="161">
        <f t="shared" si="3205"/>
        <v>0</v>
      </c>
      <c r="DG794" s="161">
        <f t="shared" si="3206"/>
        <v>0</v>
      </c>
      <c r="DH794" s="161">
        <f t="shared" si="3207"/>
        <v>0</v>
      </c>
      <c r="DI794" s="161">
        <f t="shared" si="3208"/>
        <v>0</v>
      </c>
      <c r="DJ794" s="161">
        <f t="shared" si="3209"/>
        <v>0</v>
      </c>
      <c r="DK794" s="161">
        <f t="shared" si="3210"/>
        <v>0</v>
      </c>
      <c r="DL794" s="161">
        <f t="shared" si="3211"/>
        <v>0</v>
      </c>
      <c r="DM794" s="161">
        <f t="shared" si="3212"/>
        <v>0</v>
      </c>
      <c r="DN794" s="161">
        <f t="shared" si="3213"/>
        <v>0</v>
      </c>
      <c r="DO794" s="161">
        <f t="shared" si="3214"/>
        <v>0</v>
      </c>
      <c r="DP794" s="161">
        <f t="shared" si="3215"/>
        <v>0</v>
      </c>
      <c r="DQ794" s="161">
        <f t="shared" si="3216"/>
        <v>0</v>
      </c>
      <c r="DR794" s="161">
        <f t="shared" si="3217"/>
        <v>0</v>
      </c>
      <c r="DS794" s="161">
        <f t="shared" si="3218"/>
        <v>0</v>
      </c>
      <c r="DT794" s="161">
        <f t="shared" si="3219"/>
        <v>0</v>
      </c>
      <c r="DU794" s="161">
        <f t="shared" si="3220"/>
        <v>0</v>
      </c>
      <c r="DV794" s="161">
        <f t="shared" si="3221"/>
        <v>0</v>
      </c>
      <c r="DW794" s="161">
        <f t="shared" si="3222"/>
        <v>0</v>
      </c>
      <c r="DX794" s="161">
        <f t="shared" si="3223"/>
        <v>0</v>
      </c>
      <c r="DY794" s="161">
        <f t="shared" si="3224"/>
        <v>0</v>
      </c>
      <c r="DZ794" s="161">
        <f t="shared" si="3225"/>
        <v>0</v>
      </c>
      <c r="EA794" s="161">
        <f t="shared" si="3226"/>
        <v>0</v>
      </c>
      <c r="EB794" s="161">
        <f t="shared" si="3227"/>
        <v>0</v>
      </c>
      <c r="EC794" s="161">
        <f t="shared" si="3228"/>
        <v>0</v>
      </c>
      <c r="ED794" s="161">
        <f t="shared" si="3229"/>
        <v>0</v>
      </c>
      <c r="EE794" s="161">
        <f t="shared" si="3230"/>
        <v>0</v>
      </c>
      <c r="EF794" s="161">
        <f t="shared" si="3231"/>
        <v>0</v>
      </c>
      <c r="EG794" s="161">
        <f t="shared" si="3232"/>
        <v>0</v>
      </c>
      <c r="EH794" s="161">
        <f t="shared" si="3233"/>
        <v>0</v>
      </c>
      <c r="EI794" s="161">
        <f t="shared" si="3234"/>
        <v>0</v>
      </c>
    </row>
    <row r="795" spans="2:139" ht="12" customHeight="1" outlineLevel="1">
      <c r="B795" s="137" t="str">
        <f>IF(F795&gt;0,F795&amp;" - "&amp;D789,"")</f>
        <v>Inspetor N2 - Controle de Qualidade</v>
      </c>
      <c r="C795" s="65"/>
      <c r="D795" s="607"/>
      <c r="E795" s="65"/>
      <c r="F795" s="164" t="s">
        <v>504</v>
      </c>
      <c r="G795" s="165"/>
      <c r="H795" s="166">
        <f t="shared" si="3243"/>
        <v>0</v>
      </c>
      <c r="I795" s="144">
        <f t="shared" si="3244"/>
        <v>0</v>
      </c>
      <c r="J795" s="65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  <c r="AB795" s="167"/>
      <c r="AC795" s="167"/>
      <c r="AD795" s="167"/>
      <c r="AE795" s="167"/>
      <c r="AF795" s="167"/>
      <c r="AG795" s="167"/>
      <c r="AH795" s="167"/>
      <c r="AI795" s="167"/>
      <c r="AJ795" s="167"/>
      <c r="AK795" s="167"/>
      <c r="AL795" s="167"/>
      <c r="AM795" s="167"/>
      <c r="AN795" s="167"/>
      <c r="AO795" s="167"/>
      <c r="AP795" s="167"/>
      <c r="AQ795" s="167"/>
      <c r="AR795" s="167"/>
      <c r="AS795" s="167"/>
      <c r="AT795" s="167"/>
      <c r="AU795" s="167"/>
      <c r="AV795" s="167"/>
      <c r="AW795" s="167"/>
      <c r="AX795" s="167"/>
      <c r="AY795" s="167"/>
      <c r="AZ795" s="167"/>
      <c r="BA795" s="167"/>
      <c r="BB795" s="167"/>
      <c r="BC795" s="167"/>
      <c r="BD795" s="167"/>
      <c r="BE795" s="167"/>
      <c r="BF795" s="167"/>
      <c r="BG795" s="167"/>
      <c r="BH795" s="167"/>
      <c r="BI795" s="167"/>
      <c r="BJ795" s="167"/>
      <c r="BK795" s="167"/>
      <c r="BL795" s="167"/>
      <c r="BM795" s="167"/>
      <c r="BN795" s="167"/>
      <c r="BO795" s="167"/>
      <c r="BP795" s="167"/>
      <c r="BQ795" s="167"/>
      <c r="BR795" s="167"/>
      <c r="BS795" s="65"/>
      <c r="BT795" s="65"/>
      <c r="BU795" s="65"/>
      <c r="BV795" s="65"/>
      <c r="BW795" s="69"/>
      <c r="BX795" s="65"/>
      <c r="BY795" s="137">
        <f t="shared" si="3235"/>
        <v>0</v>
      </c>
      <c r="BZ795" s="137">
        <f>IF(BY795&gt;0,BY795+LARGE($BZ$757:BZ794,1),0)</f>
        <v>0</v>
      </c>
      <c r="CA795" s="137" t="str">
        <f t="shared" si="3236"/>
        <v>Inspetor N2</v>
      </c>
      <c r="CB795" s="161">
        <f t="shared" si="3175"/>
        <v>0</v>
      </c>
      <c r="CC795" s="161">
        <f t="shared" si="3176"/>
        <v>0</v>
      </c>
      <c r="CD795" s="161">
        <f t="shared" si="3177"/>
        <v>0</v>
      </c>
      <c r="CE795" s="161">
        <f t="shared" si="3178"/>
        <v>0</v>
      </c>
      <c r="CF795" s="161">
        <f t="shared" si="3179"/>
        <v>0</v>
      </c>
      <c r="CG795" s="161">
        <f t="shared" si="3180"/>
        <v>0</v>
      </c>
      <c r="CH795" s="161">
        <f t="shared" si="3181"/>
        <v>0</v>
      </c>
      <c r="CI795" s="161">
        <f t="shared" si="3182"/>
        <v>0</v>
      </c>
      <c r="CJ795" s="161">
        <f t="shared" si="3183"/>
        <v>0</v>
      </c>
      <c r="CK795" s="161">
        <f t="shared" si="3184"/>
        <v>0</v>
      </c>
      <c r="CL795" s="161">
        <f t="shared" si="3185"/>
        <v>0</v>
      </c>
      <c r="CM795" s="161">
        <f t="shared" si="3186"/>
        <v>0</v>
      </c>
      <c r="CN795" s="161">
        <f t="shared" si="3187"/>
        <v>0</v>
      </c>
      <c r="CO795" s="161">
        <f t="shared" si="3188"/>
        <v>0</v>
      </c>
      <c r="CP795" s="161">
        <f t="shared" si="3189"/>
        <v>0</v>
      </c>
      <c r="CQ795" s="161">
        <f t="shared" si="3190"/>
        <v>0</v>
      </c>
      <c r="CR795" s="161">
        <f t="shared" si="3191"/>
        <v>0</v>
      </c>
      <c r="CS795" s="161">
        <f t="shared" si="3192"/>
        <v>0</v>
      </c>
      <c r="CT795" s="161">
        <f t="shared" si="3193"/>
        <v>0</v>
      </c>
      <c r="CU795" s="161">
        <f t="shared" si="3194"/>
        <v>0</v>
      </c>
      <c r="CV795" s="161">
        <f t="shared" si="3195"/>
        <v>0</v>
      </c>
      <c r="CW795" s="161">
        <f t="shared" si="3196"/>
        <v>0</v>
      </c>
      <c r="CX795" s="161">
        <f t="shared" si="3197"/>
        <v>0</v>
      </c>
      <c r="CY795" s="161">
        <f t="shared" si="3198"/>
        <v>0</v>
      </c>
      <c r="CZ795" s="161">
        <f t="shared" si="3199"/>
        <v>0</v>
      </c>
      <c r="DA795" s="161">
        <f t="shared" si="3200"/>
        <v>0</v>
      </c>
      <c r="DB795" s="161">
        <f t="shared" si="3201"/>
        <v>0</v>
      </c>
      <c r="DC795" s="161">
        <f t="shared" si="3202"/>
        <v>0</v>
      </c>
      <c r="DD795" s="161">
        <f t="shared" si="3203"/>
        <v>0</v>
      </c>
      <c r="DE795" s="161">
        <f t="shared" si="3204"/>
        <v>0</v>
      </c>
      <c r="DF795" s="161">
        <f t="shared" si="3205"/>
        <v>0</v>
      </c>
      <c r="DG795" s="161">
        <f t="shared" si="3206"/>
        <v>0</v>
      </c>
      <c r="DH795" s="161">
        <f t="shared" si="3207"/>
        <v>0</v>
      </c>
      <c r="DI795" s="161">
        <f t="shared" si="3208"/>
        <v>0</v>
      </c>
      <c r="DJ795" s="161">
        <f t="shared" si="3209"/>
        <v>0</v>
      </c>
      <c r="DK795" s="161">
        <f t="shared" si="3210"/>
        <v>0</v>
      </c>
      <c r="DL795" s="161">
        <f t="shared" si="3211"/>
        <v>0</v>
      </c>
      <c r="DM795" s="161">
        <f t="shared" si="3212"/>
        <v>0</v>
      </c>
      <c r="DN795" s="161">
        <f t="shared" si="3213"/>
        <v>0</v>
      </c>
      <c r="DO795" s="161">
        <f t="shared" si="3214"/>
        <v>0</v>
      </c>
      <c r="DP795" s="161">
        <f t="shared" si="3215"/>
        <v>0</v>
      </c>
      <c r="DQ795" s="161">
        <f t="shared" si="3216"/>
        <v>0</v>
      </c>
      <c r="DR795" s="161">
        <f t="shared" si="3217"/>
        <v>0</v>
      </c>
      <c r="DS795" s="161">
        <f t="shared" si="3218"/>
        <v>0</v>
      </c>
      <c r="DT795" s="161">
        <f t="shared" si="3219"/>
        <v>0</v>
      </c>
      <c r="DU795" s="161">
        <f t="shared" si="3220"/>
        <v>0</v>
      </c>
      <c r="DV795" s="161">
        <f t="shared" si="3221"/>
        <v>0</v>
      </c>
      <c r="DW795" s="161">
        <f t="shared" si="3222"/>
        <v>0</v>
      </c>
      <c r="DX795" s="161">
        <f t="shared" si="3223"/>
        <v>0</v>
      </c>
      <c r="DY795" s="161">
        <f t="shared" si="3224"/>
        <v>0</v>
      </c>
      <c r="DZ795" s="161">
        <f t="shared" si="3225"/>
        <v>0</v>
      </c>
      <c r="EA795" s="161">
        <f t="shared" si="3226"/>
        <v>0</v>
      </c>
      <c r="EB795" s="161">
        <f t="shared" si="3227"/>
        <v>0</v>
      </c>
      <c r="EC795" s="161">
        <f t="shared" si="3228"/>
        <v>0</v>
      </c>
      <c r="ED795" s="161">
        <f t="shared" si="3229"/>
        <v>0</v>
      </c>
      <c r="EE795" s="161">
        <f t="shared" si="3230"/>
        <v>0</v>
      </c>
      <c r="EF795" s="161">
        <f t="shared" si="3231"/>
        <v>0</v>
      </c>
      <c r="EG795" s="161">
        <f t="shared" si="3232"/>
        <v>0</v>
      </c>
      <c r="EH795" s="161">
        <f t="shared" si="3233"/>
        <v>0</v>
      </c>
      <c r="EI795" s="161">
        <f t="shared" si="3234"/>
        <v>0</v>
      </c>
    </row>
    <row r="796" spans="2:139" ht="6" customHeight="1" outlineLevel="1"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  <c r="AM796" s="65"/>
      <c r="AN796" s="65"/>
      <c r="AO796" s="65"/>
      <c r="AP796" s="65"/>
      <c r="AQ796" s="65"/>
      <c r="AR796" s="65"/>
      <c r="AS796" s="65"/>
      <c r="AT796" s="65"/>
      <c r="AU796" s="65"/>
      <c r="AV796" s="65"/>
      <c r="AW796" s="65"/>
      <c r="AX796" s="65"/>
      <c r="AY796" s="65"/>
      <c r="AZ796" s="65"/>
      <c r="BA796" s="65"/>
      <c r="BB796" s="65"/>
      <c r="BC796" s="65"/>
      <c r="BD796" s="65"/>
      <c r="BE796" s="65"/>
      <c r="BF796" s="65"/>
      <c r="BG796" s="65"/>
      <c r="BH796" s="65"/>
      <c r="BI796" s="65"/>
      <c r="BJ796" s="65"/>
      <c r="BK796" s="65"/>
      <c r="BL796" s="65"/>
      <c r="BM796" s="65"/>
      <c r="BN796" s="65"/>
      <c r="BO796" s="65"/>
      <c r="BP796" s="65"/>
      <c r="BQ796" s="65"/>
      <c r="BR796" s="65"/>
      <c r="BS796" s="65"/>
      <c r="BT796" s="65"/>
      <c r="BU796" s="65"/>
      <c r="BV796" s="65"/>
      <c r="BW796" s="69"/>
      <c r="BX796" s="65"/>
      <c r="BY796" s="65"/>
      <c r="BZ796" s="65"/>
      <c r="CA796" s="65"/>
      <c r="CB796" s="65"/>
      <c r="CC796" s="65"/>
      <c r="CD796" s="65"/>
      <c r="CE796" s="65"/>
      <c r="CF796" s="65"/>
      <c r="CG796" s="65"/>
      <c r="CH796" s="65"/>
      <c r="CI796" s="65"/>
      <c r="CJ796" s="65"/>
      <c r="CK796" s="65"/>
      <c r="CL796" s="65"/>
      <c r="CM796" s="65"/>
      <c r="CN796" s="65"/>
      <c r="CO796" s="65"/>
      <c r="CP796" s="65"/>
      <c r="CQ796" s="65"/>
      <c r="CR796" s="65"/>
      <c r="CS796" s="65"/>
      <c r="CT796" s="65"/>
      <c r="CU796" s="65"/>
      <c r="CV796" s="65"/>
      <c r="CW796" s="65"/>
      <c r="CX796" s="65"/>
      <c r="CY796" s="65"/>
      <c r="CZ796" s="65"/>
      <c r="DA796" s="65"/>
      <c r="DB796" s="65"/>
      <c r="DC796" s="65"/>
      <c r="DD796" s="65"/>
      <c r="DE796" s="65"/>
      <c r="DF796" s="65"/>
      <c r="DG796" s="65"/>
      <c r="DH796" s="65"/>
      <c r="DI796" s="65"/>
      <c r="DJ796" s="65"/>
      <c r="DK796" s="65"/>
      <c r="DL796" s="65"/>
      <c r="DM796" s="65"/>
      <c r="DN796" s="65"/>
      <c r="DO796" s="65"/>
      <c r="DP796" s="65"/>
      <c r="DQ796" s="65"/>
      <c r="DR796" s="65"/>
      <c r="DS796" s="65"/>
      <c r="DT796" s="65"/>
      <c r="DU796" s="65"/>
      <c r="DV796" s="65"/>
      <c r="DW796" s="65"/>
      <c r="DX796" s="65"/>
      <c r="DY796" s="65"/>
      <c r="DZ796" s="65"/>
      <c r="EA796" s="65"/>
      <c r="EB796" s="65"/>
      <c r="EC796" s="65"/>
      <c r="ED796" s="65"/>
      <c r="EE796" s="65"/>
      <c r="EF796" s="65"/>
      <c r="EG796" s="65"/>
      <c r="EH796" s="65"/>
      <c r="EI796" s="65"/>
    </row>
    <row r="797" spans="2:139" ht="12" customHeight="1" outlineLevel="1">
      <c r="B797" s="137" t="str">
        <f>IF(F797&gt;0,F797&amp;" - "&amp;D797,"")</f>
        <v>Coordenador de SSMA - SSMA</v>
      </c>
      <c r="C797" s="65"/>
      <c r="D797" s="607" t="s">
        <v>505</v>
      </c>
      <c r="E797" s="65"/>
      <c r="F797" s="164" t="s">
        <v>506</v>
      </c>
      <c r="G797" s="165"/>
      <c r="H797" s="166">
        <f t="shared" ref="H797:H803" si="3245">IFERROR(SUM(K797:BR797)/COUNTIF(K797:BR797,"&gt;0"),0)</f>
        <v>0</v>
      </c>
      <c r="I797" s="144">
        <f t="shared" ref="I797:I803" si="3246">COUNTIF(K797:BR797,"&gt;0")</f>
        <v>0</v>
      </c>
      <c r="J797" s="65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  <c r="AB797" s="167"/>
      <c r="AC797" s="167"/>
      <c r="AD797" s="167"/>
      <c r="AE797" s="167"/>
      <c r="AF797" s="167"/>
      <c r="AG797" s="167"/>
      <c r="AH797" s="167"/>
      <c r="AI797" s="167"/>
      <c r="AJ797" s="167"/>
      <c r="AK797" s="167"/>
      <c r="AL797" s="167"/>
      <c r="AM797" s="167"/>
      <c r="AN797" s="167"/>
      <c r="AO797" s="167"/>
      <c r="AP797" s="167"/>
      <c r="AQ797" s="167"/>
      <c r="AR797" s="167"/>
      <c r="AS797" s="167"/>
      <c r="AT797" s="167"/>
      <c r="AU797" s="167"/>
      <c r="AV797" s="167"/>
      <c r="AW797" s="167"/>
      <c r="AX797" s="167"/>
      <c r="AY797" s="167"/>
      <c r="AZ797" s="167"/>
      <c r="BA797" s="167"/>
      <c r="BB797" s="167"/>
      <c r="BC797" s="167"/>
      <c r="BD797" s="167"/>
      <c r="BE797" s="167"/>
      <c r="BF797" s="167"/>
      <c r="BG797" s="167"/>
      <c r="BH797" s="167"/>
      <c r="BI797" s="167"/>
      <c r="BJ797" s="167"/>
      <c r="BK797" s="167"/>
      <c r="BL797" s="167"/>
      <c r="BM797" s="167"/>
      <c r="BN797" s="167"/>
      <c r="BO797" s="167"/>
      <c r="BP797" s="167"/>
      <c r="BQ797" s="167"/>
      <c r="BR797" s="167"/>
      <c r="BS797" s="65"/>
      <c r="BT797" s="65"/>
      <c r="BU797" s="65"/>
      <c r="BV797" s="65"/>
      <c r="BW797" s="69"/>
      <c r="BX797" s="65"/>
      <c r="BY797" s="137">
        <f t="shared" si="3235"/>
        <v>0</v>
      </c>
      <c r="BZ797" s="137">
        <f>IF(BY797&gt;0,BY797+LARGE($BZ$757:BZ796,1),0)</f>
        <v>0</v>
      </c>
      <c r="CA797" s="137" t="str">
        <f t="shared" si="3236"/>
        <v>Coordenador de SSMA</v>
      </c>
      <c r="CB797" s="161">
        <f t="shared" si="3175"/>
        <v>0</v>
      </c>
      <c r="CC797" s="161">
        <f t="shared" si="3176"/>
        <v>0</v>
      </c>
      <c r="CD797" s="161">
        <f t="shared" si="3177"/>
        <v>0</v>
      </c>
      <c r="CE797" s="161">
        <f t="shared" si="3178"/>
        <v>0</v>
      </c>
      <c r="CF797" s="161">
        <f t="shared" si="3179"/>
        <v>0</v>
      </c>
      <c r="CG797" s="161">
        <f t="shared" si="3180"/>
        <v>0</v>
      </c>
      <c r="CH797" s="161">
        <f t="shared" si="3181"/>
        <v>0</v>
      </c>
      <c r="CI797" s="161">
        <f t="shared" si="3182"/>
        <v>0</v>
      </c>
      <c r="CJ797" s="161">
        <f t="shared" si="3183"/>
        <v>0</v>
      </c>
      <c r="CK797" s="161">
        <f t="shared" si="3184"/>
        <v>0</v>
      </c>
      <c r="CL797" s="161">
        <f t="shared" si="3185"/>
        <v>0</v>
      </c>
      <c r="CM797" s="161">
        <f t="shared" si="3186"/>
        <v>0</v>
      </c>
      <c r="CN797" s="161">
        <f t="shared" si="3187"/>
        <v>0</v>
      </c>
      <c r="CO797" s="161">
        <f t="shared" si="3188"/>
        <v>0</v>
      </c>
      <c r="CP797" s="161">
        <f t="shared" si="3189"/>
        <v>0</v>
      </c>
      <c r="CQ797" s="161">
        <f t="shared" si="3190"/>
        <v>0</v>
      </c>
      <c r="CR797" s="161">
        <f t="shared" si="3191"/>
        <v>0</v>
      </c>
      <c r="CS797" s="161">
        <f t="shared" si="3192"/>
        <v>0</v>
      </c>
      <c r="CT797" s="161">
        <f t="shared" si="3193"/>
        <v>0</v>
      </c>
      <c r="CU797" s="161">
        <f t="shared" si="3194"/>
        <v>0</v>
      </c>
      <c r="CV797" s="161">
        <f t="shared" si="3195"/>
        <v>0</v>
      </c>
      <c r="CW797" s="161">
        <f t="shared" si="3196"/>
        <v>0</v>
      </c>
      <c r="CX797" s="161">
        <f t="shared" si="3197"/>
        <v>0</v>
      </c>
      <c r="CY797" s="161">
        <f t="shared" si="3198"/>
        <v>0</v>
      </c>
      <c r="CZ797" s="161">
        <f t="shared" si="3199"/>
        <v>0</v>
      </c>
      <c r="DA797" s="161">
        <f t="shared" si="3200"/>
        <v>0</v>
      </c>
      <c r="DB797" s="161">
        <f t="shared" si="3201"/>
        <v>0</v>
      </c>
      <c r="DC797" s="161">
        <f t="shared" si="3202"/>
        <v>0</v>
      </c>
      <c r="DD797" s="161">
        <f t="shared" si="3203"/>
        <v>0</v>
      </c>
      <c r="DE797" s="161">
        <f t="shared" si="3204"/>
        <v>0</v>
      </c>
      <c r="DF797" s="161">
        <f t="shared" si="3205"/>
        <v>0</v>
      </c>
      <c r="DG797" s="161">
        <f t="shared" si="3206"/>
        <v>0</v>
      </c>
      <c r="DH797" s="161">
        <f t="shared" si="3207"/>
        <v>0</v>
      </c>
      <c r="DI797" s="161">
        <f t="shared" si="3208"/>
        <v>0</v>
      </c>
      <c r="DJ797" s="161">
        <f t="shared" si="3209"/>
        <v>0</v>
      </c>
      <c r="DK797" s="161">
        <f t="shared" si="3210"/>
        <v>0</v>
      </c>
      <c r="DL797" s="161">
        <f t="shared" si="3211"/>
        <v>0</v>
      </c>
      <c r="DM797" s="161">
        <f t="shared" si="3212"/>
        <v>0</v>
      </c>
      <c r="DN797" s="161">
        <f t="shared" si="3213"/>
        <v>0</v>
      </c>
      <c r="DO797" s="161">
        <f t="shared" si="3214"/>
        <v>0</v>
      </c>
      <c r="DP797" s="161">
        <f t="shared" si="3215"/>
        <v>0</v>
      </c>
      <c r="DQ797" s="161">
        <f t="shared" si="3216"/>
        <v>0</v>
      </c>
      <c r="DR797" s="161">
        <f t="shared" si="3217"/>
        <v>0</v>
      </c>
      <c r="DS797" s="161">
        <f t="shared" si="3218"/>
        <v>0</v>
      </c>
      <c r="DT797" s="161">
        <f t="shared" si="3219"/>
        <v>0</v>
      </c>
      <c r="DU797" s="161">
        <f t="shared" si="3220"/>
        <v>0</v>
      </c>
      <c r="DV797" s="161">
        <f t="shared" si="3221"/>
        <v>0</v>
      </c>
      <c r="DW797" s="161">
        <f t="shared" si="3222"/>
        <v>0</v>
      </c>
      <c r="DX797" s="161">
        <f t="shared" si="3223"/>
        <v>0</v>
      </c>
      <c r="DY797" s="161">
        <f t="shared" si="3224"/>
        <v>0</v>
      </c>
      <c r="DZ797" s="161">
        <f t="shared" si="3225"/>
        <v>0</v>
      </c>
      <c r="EA797" s="161">
        <f t="shared" si="3226"/>
        <v>0</v>
      </c>
      <c r="EB797" s="161">
        <f t="shared" si="3227"/>
        <v>0</v>
      </c>
      <c r="EC797" s="161">
        <f t="shared" si="3228"/>
        <v>0</v>
      </c>
      <c r="ED797" s="161">
        <f t="shared" si="3229"/>
        <v>0</v>
      </c>
      <c r="EE797" s="161">
        <f t="shared" si="3230"/>
        <v>0</v>
      </c>
      <c r="EF797" s="161">
        <f t="shared" si="3231"/>
        <v>0</v>
      </c>
      <c r="EG797" s="161">
        <f t="shared" si="3232"/>
        <v>0</v>
      </c>
      <c r="EH797" s="161">
        <f t="shared" si="3233"/>
        <v>0</v>
      </c>
      <c r="EI797" s="161">
        <f t="shared" si="3234"/>
        <v>0</v>
      </c>
    </row>
    <row r="798" spans="2:139" ht="12" customHeight="1" outlineLevel="1">
      <c r="B798" s="137" t="str">
        <f>IF(F798&gt;0,F798&amp;" - "&amp;D797,"")</f>
        <v>Técnico de Segurança - SSMA</v>
      </c>
      <c r="C798" s="65"/>
      <c r="D798" s="607"/>
      <c r="E798" s="65"/>
      <c r="F798" s="164" t="s">
        <v>507</v>
      </c>
      <c r="G798" s="165"/>
      <c r="H798" s="166">
        <f t="shared" si="3245"/>
        <v>0</v>
      </c>
      <c r="I798" s="144">
        <f t="shared" si="3246"/>
        <v>0</v>
      </c>
      <c r="J798" s="65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  <c r="AB798" s="167"/>
      <c r="AC798" s="167"/>
      <c r="AD798" s="167"/>
      <c r="AE798" s="167"/>
      <c r="AF798" s="167"/>
      <c r="AG798" s="167"/>
      <c r="AH798" s="167"/>
      <c r="AI798" s="167"/>
      <c r="AJ798" s="167"/>
      <c r="AK798" s="167"/>
      <c r="AL798" s="167"/>
      <c r="AM798" s="167"/>
      <c r="AN798" s="167"/>
      <c r="AO798" s="167"/>
      <c r="AP798" s="167"/>
      <c r="AQ798" s="167"/>
      <c r="AR798" s="167"/>
      <c r="AS798" s="167"/>
      <c r="AT798" s="167"/>
      <c r="AU798" s="167"/>
      <c r="AV798" s="167"/>
      <c r="AW798" s="167"/>
      <c r="AX798" s="167"/>
      <c r="AY798" s="167"/>
      <c r="AZ798" s="167"/>
      <c r="BA798" s="167"/>
      <c r="BB798" s="167"/>
      <c r="BC798" s="167"/>
      <c r="BD798" s="167"/>
      <c r="BE798" s="167"/>
      <c r="BF798" s="167"/>
      <c r="BG798" s="167"/>
      <c r="BH798" s="167"/>
      <c r="BI798" s="167"/>
      <c r="BJ798" s="167"/>
      <c r="BK798" s="167"/>
      <c r="BL798" s="167"/>
      <c r="BM798" s="167"/>
      <c r="BN798" s="167"/>
      <c r="BO798" s="167"/>
      <c r="BP798" s="167"/>
      <c r="BQ798" s="167"/>
      <c r="BR798" s="167"/>
      <c r="BS798" s="65"/>
      <c r="BT798" s="65"/>
      <c r="BU798" s="65"/>
      <c r="BV798" s="65"/>
      <c r="BW798" s="69"/>
      <c r="BX798" s="65"/>
      <c r="BY798" s="137">
        <f t="shared" si="3235"/>
        <v>0</v>
      </c>
      <c r="BZ798" s="137">
        <f>IF(BY798&gt;0,BY798+LARGE($BZ$757:BZ797,1),0)</f>
        <v>0</v>
      </c>
      <c r="CA798" s="137" t="str">
        <f t="shared" si="3236"/>
        <v>Técnico de Segurança</v>
      </c>
      <c r="CB798" s="161">
        <f t="shared" si="3175"/>
        <v>0</v>
      </c>
      <c r="CC798" s="161">
        <f t="shared" si="3176"/>
        <v>0</v>
      </c>
      <c r="CD798" s="161">
        <f t="shared" si="3177"/>
        <v>0</v>
      </c>
      <c r="CE798" s="161">
        <f t="shared" si="3178"/>
        <v>0</v>
      </c>
      <c r="CF798" s="161">
        <f t="shared" si="3179"/>
        <v>0</v>
      </c>
      <c r="CG798" s="161">
        <f t="shared" si="3180"/>
        <v>0</v>
      </c>
      <c r="CH798" s="161">
        <f t="shared" si="3181"/>
        <v>0</v>
      </c>
      <c r="CI798" s="161">
        <f t="shared" si="3182"/>
        <v>0</v>
      </c>
      <c r="CJ798" s="161">
        <f t="shared" si="3183"/>
        <v>0</v>
      </c>
      <c r="CK798" s="161">
        <f t="shared" si="3184"/>
        <v>0</v>
      </c>
      <c r="CL798" s="161">
        <f t="shared" si="3185"/>
        <v>0</v>
      </c>
      <c r="CM798" s="161">
        <f t="shared" si="3186"/>
        <v>0</v>
      </c>
      <c r="CN798" s="161">
        <f t="shared" si="3187"/>
        <v>0</v>
      </c>
      <c r="CO798" s="161">
        <f t="shared" si="3188"/>
        <v>0</v>
      </c>
      <c r="CP798" s="161">
        <f t="shared" si="3189"/>
        <v>0</v>
      </c>
      <c r="CQ798" s="161">
        <f t="shared" si="3190"/>
        <v>0</v>
      </c>
      <c r="CR798" s="161">
        <f t="shared" si="3191"/>
        <v>0</v>
      </c>
      <c r="CS798" s="161">
        <f t="shared" si="3192"/>
        <v>0</v>
      </c>
      <c r="CT798" s="161">
        <f t="shared" si="3193"/>
        <v>0</v>
      </c>
      <c r="CU798" s="161">
        <f t="shared" si="3194"/>
        <v>0</v>
      </c>
      <c r="CV798" s="161">
        <f t="shared" si="3195"/>
        <v>0</v>
      </c>
      <c r="CW798" s="161">
        <f t="shared" si="3196"/>
        <v>0</v>
      </c>
      <c r="CX798" s="161">
        <f t="shared" si="3197"/>
        <v>0</v>
      </c>
      <c r="CY798" s="161">
        <f t="shared" si="3198"/>
        <v>0</v>
      </c>
      <c r="CZ798" s="161">
        <f t="shared" si="3199"/>
        <v>0</v>
      </c>
      <c r="DA798" s="161">
        <f t="shared" si="3200"/>
        <v>0</v>
      </c>
      <c r="DB798" s="161">
        <f t="shared" si="3201"/>
        <v>0</v>
      </c>
      <c r="DC798" s="161">
        <f t="shared" si="3202"/>
        <v>0</v>
      </c>
      <c r="DD798" s="161">
        <f t="shared" si="3203"/>
        <v>0</v>
      </c>
      <c r="DE798" s="161">
        <f t="shared" si="3204"/>
        <v>0</v>
      </c>
      <c r="DF798" s="161">
        <f t="shared" si="3205"/>
        <v>0</v>
      </c>
      <c r="DG798" s="161">
        <f t="shared" si="3206"/>
        <v>0</v>
      </c>
      <c r="DH798" s="161">
        <f t="shared" si="3207"/>
        <v>0</v>
      </c>
      <c r="DI798" s="161">
        <f t="shared" si="3208"/>
        <v>0</v>
      </c>
      <c r="DJ798" s="161">
        <f t="shared" si="3209"/>
        <v>0</v>
      </c>
      <c r="DK798" s="161">
        <f t="shared" si="3210"/>
        <v>0</v>
      </c>
      <c r="DL798" s="161">
        <f t="shared" si="3211"/>
        <v>0</v>
      </c>
      <c r="DM798" s="161">
        <f t="shared" si="3212"/>
        <v>0</v>
      </c>
      <c r="DN798" s="161">
        <f t="shared" si="3213"/>
        <v>0</v>
      </c>
      <c r="DO798" s="161">
        <f t="shared" si="3214"/>
        <v>0</v>
      </c>
      <c r="DP798" s="161">
        <f t="shared" si="3215"/>
        <v>0</v>
      </c>
      <c r="DQ798" s="161">
        <f t="shared" si="3216"/>
        <v>0</v>
      </c>
      <c r="DR798" s="161">
        <f t="shared" si="3217"/>
        <v>0</v>
      </c>
      <c r="DS798" s="161">
        <f t="shared" si="3218"/>
        <v>0</v>
      </c>
      <c r="DT798" s="161">
        <f t="shared" si="3219"/>
        <v>0</v>
      </c>
      <c r="DU798" s="161">
        <f t="shared" si="3220"/>
        <v>0</v>
      </c>
      <c r="DV798" s="161">
        <f t="shared" si="3221"/>
        <v>0</v>
      </c>
      <c r="DW798" s="161">
        <f t="shared" si="3222"/>
        <v>0</v>
      </c>
      <c r="DX798" s="161">
        <f t="shared" si="3223"/>
        <v>0</v>
      </c>
      <c r="DY798" s="161">
        <f t="shared" si="3224"/>
        <v>0</v>
      </c>
      <c r="DZ798" s="161">
        <f t="shared" si="3225"/>
        <v>0</v>
      </c>
      <c r="EA798" s="161">
        <f t="shared" si="3226"/>
        <v>0</v>
      </c>
      <c r="EB798" s="161">
        <f t="shared" si="3227"/>
        <v>0</v>
      </c>
      <c r="EC798" s="161">
        <f t="shared" si="3228"/>
        <v>0</v>
      </c>
      <c r="ED798" s="161">
        <f t="shared" si="3229"/>
        <v>0</v>
      </c>
      <c r="EE798" s="161">
        <f t="shared" si="3230"/>
        <v>0</v>
      </c>
      <c r="EF798" s="161">
        <f t="shared" si="3231"/>
        <v>0</v>
      </c>
      <c r="EG798" s="161">
        <f t="shared" si="3232"/>
        <v>0</v>
      </c>
      <c r="EH798" s="161">
        <f t="shared" si="3233"/>
        <v>0</v>
      </c>
      <c r="EI798" s="161">
        <f t="shared" si="3234"/>
        <v>0</v>
      </c>
    </row>
    <row r="799" spans="2:139" ht="12" customHeight="1" outlineLevel="1">
      <c r="B799" s="137" t="str">
        <f>IF(F799&gt;0,F799&amp;" - "&amp;D797,"")</f>
        <v>Auxiliar de Segurança - SSMA</v>
      </c>
      <c r="C799" s="65"/>
      <c r="D799" s="607"/>
      <c r="E799" s="65"/>
      <c r="F799" s="164" t="s">
        <v>508</v>
      </c>
      <c r="G799" s="165"/>
      <c r="H799" s="166">
        <f t="shared" si="3245"/>
        <v>0</v>
      </c>
      <c r="I799" s="144">
        <f t="shared" si="3246"/>
        <v>0</v>
      </c>
      <c r="J799" s="65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  <c r="AB799" s="167"/>
      <c r="AC799" s="167"/>
      <c r="AD799" s="167"/>
      <c r="AE799" s="167"/>
      <c r="AF799" s="167"/>
      <c r="AG799" s="167"/>
      <c r="AH799" s="167"/>
      <c r="AI799" s="167"/>
      <c r="AJ799" s="167"/>
      <c r="AK799" s="167"/>
      <c r="AL799" s="167"/>
      <c r="AM799" s="167"/>
      <c r="AN799" s="167"/>
      <c r="AO799" s="167"/>
      <c r="AP799" s="167"/>
      <c r="AQ799" s="167"/>
      <c r="AR799" s="167"/>
      <c r="AS799" s="167"/>
      <c r="AT799" s="167"/>
      <c r="AU799" s="167"/>
      <c r="AV799" s="167"/>
      <c r="AW799" s="167"/>
      <c r="AX799" s="167"/>
      <c r="AY799" s="167"/>
      <c r="AZ799" s="167"/>
      <c r="BA799" s="167"/>
      <c r="BB799" s="167"/>
      <c r="BC799" s="167"/>
      <c r="BD799" s="167"/>
      <c r="BE799" s="167"/>
      <c r="BF799" s="167"/>
      <c r="BG799" s="167"/>
      <c r="BH799" s="167"/>
      <c r="BI799" s="167"/>
      <c r="BJ799" s="167"/>
      <c r="BK799" s="167"/>
      <c r="BL799" s="167"/>
      <c r="BM799" s="167"/>
      <c r="BN799" s="167"/>
      <c r="BO799" s="167"/>
      <c r="BP799" s="167"/>
      <c r="BQ799" s="167"/>
      <c r="BR799" s="167"/>
      <c r="BS799" s="65"/>
      <c r="BT799" s="65"/>
      <c r="BU799" s="65"/>
      <c r="BV799" s="65"/>
      <c r="BW799" s="69"/>
      <c r="BX799" s="65"/>
      <c r="BY799" s="137">
        <f t="shared" si="3235"/>
        <v>0</v>
      </c>
      <c r="BZ799" s="137">
        <f>IF(BY799&gt;0,BY799+LARGE($BZ$757:BZ798,1),0)</f>
        <v>0</v>
      </c>
      <c r="CA799" s="137" t="str">
        <f t="shared" si="3236"/>
        <v>Auxiliar de Segurança</v>
      </c>
      <c r="CB799" s="161">
        <f t="shared" si="3175"/>
        <v>0</v>
      </c>
      <c r="CC799" s="161">
        <f t="shared" si="3176"/>
        <v>0</v>
      </c>
      <c r="CD799" s="161">
        <f t="shared" si="3177"/>
        <v>0</v>
      </c>
      <c r="CE799" s="161">
        <f t="shared" si="3178"/>
        <v>0</v>
      </c>
      <c r="CF799" s="161">
        <f t="shared" si="3179"/>
        <v>0</v>
      </c>
      <c r="CG799" s="161">
        <f t="shared" si="3180"/>
        <v>0</v>
      </c>
      <c r="CH799" s="161">
        <f t="shared" si="3181"/>
        <v>0</v>
      </c>
      <c r="CI799" s="161">
        <f t="shared" si="3182"/>
        <v>0</v>
      </c>
      <c r="CJ799" s="161">
        <f t="shared" si="3183"/>
        <v>0</v>
      </c>
      <c r="CK799" s="161">
        <f t="shared" si="3184"/>
        <v>0</v>
      </c>
      <c r="CL799" s="161">
        <f t="shared" si="3185"/>
        <v>0</v>
      </c>
      <c r="CM799" s="161">
        <f t="shared" si="3186"/>
        <v>0</v>
      </c>
      <c r="CN799" s="161">
        <f t="shared" si="3187"/>
        <v>0</v>
      </c>
      <c r="CO799" s="161">
        <f t="shared" si="3188"/>
        <v>0</v>
      </c>
      <c r="CP799" s="161">
        <f t="shared" si="3189"/>
        <v>0</v>
      </c>
      <c r="CQ799" s="161">
        <f t="shared" si="3190"/>
        <v>0</v>
      </c>
      <c r="CR799" s="161">
        <f t="shared" si="3191"/>
        <v>0</v>
      </c>
      <c r="CS799" s="161">
        <f t="shared" si="3192"/>
        <v>0</v>
      </c>
      <c r="CT799" s="161">
        <f t="shared" si="3193"/>
        <v>0</v>
      </c>
      <c r="CU799" s="161">
        <f t="shared" si="3194"/>
        <v>0</v>
      </c>
      <c r="CV799" s="161">
        <f t="shared" si="3195"/>
        <v>0</v>
      </c>
      <c r="CW799" s="161">
        <f t="shared" si="3196"/>
        <v>0</v>
      </c>
      <c r="CX799" s="161">
        <f t="shared" si="3197"/>
        <v>0</v>
      </c>
      <c r="CY799" s="161">
        <f t="shared" si="3198"/>
        <v>0</v>
      </c>
      <c r="CZ799" s="161">
        <f t="shared" si="3199"/>
        <v>0</v>
      </c>
      <c r="DA799" s="161">
        <f t="shared" si="3200"/>
        <v>0</v>
      </c>
      <c r="DB799" s="161">
        <f t="shared" si="3201"/>
        <v>0</v>
      </c>
      <c r="DC799" s="161">
        <f t="shared" si="3202"/>
        <v>0</v>
      </c>
      <c r="DD799" s="161">
        <f t="shared" si="3203"/>
        <v>0</v>
      </c>
      <c r="DE799" s="161">
        <f t="shared" si="3204"/>
        <v>0</v>
      </c>
      <c r="DF799" s="161">
        <f t="shared" si="3205"/>
        <v>0</v>
      </c>
      <c r="DG799" s="161">
        <f t="shared" si="3206"/>
        <v>0</v>
      </c>
      <c r="DH799" s="161">
        <f t="shared" si="3207"/>
        <v>0</v>
      </c>
      <c r="DI799" s="161">
        <f t="shared" si="3208"/>
        <v>0</v>
      </c>
      <c r="DJ799" s="161">
        <f t="shared" si="3209"/>
        <v>0</v>
      </c>
      <c r="DK799" s="161">
        <f t="shared" si="3210"/>
        <v>0</v>
      </c>
      <c r="DL799" s="161">
        <f t="shared" si="3211"/>
        <v>0</v>
      </c>
      <c r="DM799" s="161">
        <f t="shared" si="3212"/>
        <v>0</v>
      </c>
      <c r="DN799" s="161">
        <f t="shared" si="3213"/>
        <v>0</v>
      </c>
      <c r="DO799" s="161">
        <f t="shared" si="3214"/>
        <v>0</v>
      </c>
      <c r="DP799" s="161">
        <f t="shared" si="3215"/>
        <v>0</v>
      </c>
      <c r="DQ799" s="161">
        <f t="shared" si="3216"/>
        <v>0</v>
      </c>
      <c r="DR799" s="161">
        <f t="shared" si="3217"/>
        <v>0</v>
      </c>
      <c r="DS799" s="161">
        <f t="shared" si="3218"/>
        <v>0</v>
      </c>
      <c r="DT799" s="161">
        <f t="shared" si="3219"/>
        <v>0</v>
      </c>
      <c r="DU799" s="161">
        <f t="shared" si="3220"/>
        <v>0</v>
      </c>
      <c r="DV799" s="161">
        <f t="shared" si="3221"/>
        <v>0</v>
      </c>
      <c r="DW799" s="161">
        <f t="shared" si="3222"/>
        <v>0</v>
      </c>
      <c r="DX799" s="161">
        <f t="shared" si="3223"/>
        <v>0</v>
      </c>
      <c r="DY799" s="161">
        <f t="shared" si="3224"/>
        <v>0</v>
      </c>
      <c r="DZ799" s="161">
        <f t="shared" si="3225"/>
        <v>0</v>
      </c>
      <c r="EA799" s="161">
        <f t="shared" si="3226"/>
        <v>0</v>
      </c>
      <c r="EB799" s="161">
        <f t="shared" si="3227"/>
        <v>0</v>
      </c>
      <c r="EC799" s="161">
        <f t="shared" si="3228"/>
        <v>0</v>
      </c>
      <c r="ED799" s="161">
        <f t="shared" si="3229"/>
        <v>0</v>
      </c>
      <c r="EE799" s="161">
        <f t="shared" si="3230"/>
        <v>0</v>
      </c>
      <c r="EF799" s="161">
        <f t="shared" si="3231"/>
        <v>0</v>
      </c>
      <c r="EG799" s="161">
        <f t="shared" si="3232"/>
        <v>0</v>
      </c>
      <c r="EH799" s="161">
        <f t="shared" si="3233"/>
        <v>0</v>
      </c>
      <c r="EI799" s="161">
        <f t="shared" si="3234"/>
        <v>0</v>
      </c>
    </row>
    <row r="800" spans="2:139" ht="12" customHeight="1" outlineLevel="1">
      <c r="B800" s="137" t="str">
        <f>IF(F800&gt;0,F800&amp;" - "&amp;D797,"")</f>
        <v>Técnico de Meio Ambiente - SSMA</v>
      </c>
      <c r="C800" s="65"/>
      <c r="D800" s="607"/>
      <c r="E800" s="65"/>
      <c r="F800" s="164" t="s">
        <v>509</v>
      </c>
      <c r="G800" s="165"/>
      <c r="H800" s="166">
        <f t="shared" si="3245"/>
        <v>0</v>
      </c>
      <c r="I800" s="144">
        <f t="shared" si="3246"/>
        <v>0</v>
      </c>
      <c r="J800" s="65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  <c r="AB800" s="167"/>
      <c r="AC800" s="167"/>
      <c r="AD800" s="167"/>
      <c r="AE800" s="167"/>
      <c r="AF800" s="167"/>
      <c r="AG800" s="167"/>
      <c r="AH800" s="167"/>
      <c r="AI800" s="167"/>
      <c r="AJ800" s="167"/>
      <c r="AK800" s="167"/>
      <c r="AL800" s="167"/>
      <c r="AM800" s="167"/>
      <c r="AN800" s="167"/>
      <c r="AO800" s="167"/>
      <c r="AP800" s="167"/>
      <c r="AQ800" s="167"/>
      <c r="AR800" s="167"/>
      <c r="AS800" s="167"/>
      <c r="AT800" s="167"/>
      <c r="AU800" s="167"/>
      <c r="AV800" s="167"/>
      <c r="AW800" s="167"/>
      <c r="AX800" s="167"/>
      <c r="AY800" s="167"/>
      <c r="AZ800" s="167"/>
      <c r="BA800" s="167"/>
      <c r="BB800" s="167"/>
      <c r="BC800" s="167"/>
      <c r="BD800" s="167"/>
      <c r="BE800" s="167"/>
      <c r="BF800" s="167"/>
      <c r="BG800" s="167"/>
      <c r="BH800" s="167"/>
      <c r="BI800" s="167"/>
      <c r="BJ800" s="167"/>
      <c r="BK800" s="167"/>
      <c r="BL800" s="167"/>
      <c r="BM800" s="167"/>
      <c r="BN800" s="167"/>
      <c r="BO800" s="167"/>
      <c r="BP800" s="167"/>
      <c r="BQ800" s="167"/>
      <c r="BR800" s="167"/>
      <c r="BS800" s="65"/>
      <c r="BT800" s="65"/>
      <c r="BU800" s="65"/>
      <c r="BV800" s="65"/>
      <c r="BW800" s="69"/>
      <c r="BX800" s="65"/>
      <c r="BY800" s="137">
        <f t="shared" si="3235"/>
        <v>0</v>
      </c>
      <c r="BZ800" s="137">
        <f>IF(BY800&gt;0,BY800+LARGE($BZ$757:BZ799,1),0)</f>
        <v>0</v>
      </c>
      <c r="CA800" s="137" t="str">
        <f t="shared" si="3236"/>
        <v>Técnico de Meio Ambiente</v>
      </c>
      <c r="CB800" s="161">
        <f t="shared" si="3175"/>
        <v>0</v>
      </c>
      <c r="CC800" s="161">
        <f t="shared" si="3176"/>
        <v>0</v>
      </c>
      <c r="CD800" s="161">
        <f t="shared" si="3177"/>
        <v>0</v>
      </c>
      <c r="CE800" s="161">
        <f t="shared" si="3178"/>
        <v>0</v>
      </c>
      <c r="CF800" s="161">
        <f t="shared" si="3179"/>
        <v>0</v>
      </c>
      <c r="CG800" s="161">
        <f t="shared" si="3180"/>
        <v>0</v>
      </c>
      <c r="CH800" s="161">
        <f t="shared" si="3181"/>
        <v>0</v>
      </c>
      <c r="CI800" s="161">
        <f t="shared" si="3182"/>
        <v>0</v>
      </c>
      <c r="CJ800" s="161">
        <f t="shared" si="3183"/>
        <v>0</v>
      </c>
      <c r="CK800" s="161">
        <f t="shared" si="3184"/>
        <v>0</v>
      </c>
      <c r="CL800" s="161">
        <f t="shared" si="3185"/>
        <v>0</v>
      </c>
      <c r="CM800" s="161">
        <f t="shared" si="3186"/>
        <v>0</v>
      </c>
      <c r="CN800" s="161">
        <f t="shared" si="3187"/>
        <v>0</v>
      </c>
      <c r="CO800" s="161">
        <f t="shared" si="3188"/>
        <v>0</v>
      </c>
      <c r="CP800" s="161">
        <f t="shared" si="3189"/>
        <v>0</v>
      </c>
      <c r="CQ800" s="161">
        <f t="shared" si="3190"/>
        <v>0</v>
      </c>
      <c r="CR800" s="161">
        <f t="shared" si="3191"/>
        <v>0</v>
      </c>
      <c r="CS800" s="161">
        <f t="shared" si="3192"/>
        <v>0</v>
      </c>
      <c r="CT800" s="161">
        <f t="shared" si="3193"/>
        <v>0</v>
      </c>
      <c r="CU800" s="161">
        <f t="shared" si="3194"/>
        <v>0</v>
      </c>
      <c r="CV800" s="161">
        <f t="shared" si="3195"/>
        <v>0</v>
      </c>
      <c r="CW800" s="161">
        <f t="shared" si="3196"/>
        <v>0</v>
      </c>
      <c r="CX800" s="161">
        <f t="shared" si="3197"/>
        <v>0</v>
      </c>
      <c r="CY800" s="161">
        <f t="shared" si="3198"/>
        <v>0</v>
      </c>
      <c r="CZ800" s="161">
        <f t="shared" si="3199"/>
        <v>0</v>
      </c>
      <c r="DA800" s="161">
        <f t="shared" si="3200"/>
        <v>0</v>
      </c>
      <c r="DB800" s="161">
        <f t="shared" si="3201"/>
        <v>0</v>
      </c>
      <c r="DC800" s="161">
        <f t="shared" si="3202"/>
        <v>0</v>
      </c>
      <c r="DD800" s="161">
        <f t="shared" si="3203"/>
        <v>0</v>
      </c>
      <c r="DE800" s="161">
        <f t="shared" si="3204"/>
        <v>0</v>
      </c>
      <c r="DF800" s="161">
        <f t="shared" si="3205"/>
        <v>0</v>
      </c>
      <c r="DG800" s="161">
        <f t="shared" si="3206"/>
        <v>0</v>
      </c>
      <c r="DH800" s="161">
        <f t="shared" si="3207"/>
        <v>0</v>
      </c>
      <c r="DI800" s="161">
        <f t="shared" si="3208"/>
        <v>0</v>
      </c>
      <c r="DJ800" s="161">
        <f t="shared" si="3209"/>
        <v>0</v>
      </c>
      <c r="DK800" s="161">
        <f t="shared" si="3210"/>
        <v>0</v>
      </c>
      <c r="DL800" s="161">
        <f t="shared" si="3211"/>
        <v>0</v>
      </c>
      <c r="DM800" s="161">
        <f t="shared" si="3212"/>
        <v>0</v>
      </c>
      <c r="DN800" s="161">
        <f t="shared" si="3213"/>
        <v>0</v>
      </c>
      <c r="DO800" s="161">
        <f t="shared" si="3214"/>
        <v>0</v>
      </c>
      <c r="DP800" s="161">
        <f t="shared" si="3215"/>
        <v>0</v>
      </c>
      <c r="DQ800" s="161">
        <f t="shared" si="3216"/>
        <v>0</v>
      </c>
      <c r="DR800" s="161">
        <f t="shared" si="3217"/>
        <v>0</v>
      </c>
      <c r="DS800" s="161">
        <f t="shared" si="3218"/>
        <v>0</v>
      </c>
      <c r="DT800" s="161">
        <f t="shared" si="3219"/>
        <v>0</v>
      </c>
      <c r="DU800" s="161">
        <f t="shared" si="3220"/>
        <v>0</v>
      </c>
      <c r="DV800" s="161">
        <f t="shared" si="3221"/>
        <v>0</v>
      </c>
      <c r="DW800" s="161">
        <f t="shared" si="3222"/>
        <v>0</v>
      </c>
      <c r="DX800" s="161">
        <f t="shared" si="3223"/>
        <v>0</v>
      </c>
      <c r="DY800" s="161">
        <f t="shared" si="3224"/>
        <v>0</v>
      </c>
      <c r="DZ800" s="161">
        <f t="shared" si="3225"/>
        <v>0</v>
      </c>
      <c r="EA800" s="161">
        <f t="shared" si="3226"/>
        <v>0</v>
      </c>
      <c r="EB800" s="161">
        <f t="shared" si="3227"/>
        <v>0</v>
      </c>
      <c r="EC800" s="161">
        <f t="shared" si="3228"/>
        <v>0</v>
      </c>
      <c r="ED800" s="161">
        <f t="shared" si="3229"/>
        <v>0</v>
      </c>
      <c r="EE800" s="161">
        <f t="shared" si="3230"/>
        <v>0</v>
      </c>
      <c r="EF800" s="161">
        <f t="shared" si="3231"/>
        <v>0</v>
      </c>
      <c r="EG800" s="161">
        <f t="shared" si="3232"/>
        <v>0</v>
      </c>
      <c r="EH800" s="161">
        <f t="shared" si="3233"/>
        <v>0</v>
      </c>
      <c r="EI800" s="161">
        <f t="shared" si="3234"/>
        <v>0</v>
      </c>
    </row>
    <row r="801" spans="2:139" ht="12" customHeight="1" outlineLevel="1">
      <c r="B801" s="137" t="str">
        <f>IF(F801&gt;0,F801&amp;" - "&amp;D797,"")</f>
        <v/>
      </c>
      <c r="C801" s="65"/>
      <c r="D801" s="607"/>
      <c r="E801" s="65"/>
      <c r="F801" s="164"/>
      <c r="G801" s="165"/>
      <c r="H801" s="166">
        <f t="shared" si="3245"/>
        <v>0</v>
      </c>
      <c r="I801" s="144">
        <f t="shared" si="3246"/>
        <v>0</v>
      </c>
      <c r="J801" s="65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  <c r="AB801" s="167"/>
      <c r="AC801" s="167"/>
      <c r="AD801" s="167"/>
      <c r="AE801" s="167"/>
      <c r="AF801" s="167"/>
      <c r="AG801" s="167"/>
      <c r="AH801" s="167"/>
      <c r="AI801" s="167"/>
      <c r="AJ801" s="167"/>
      <c r="AK801" s="167"/>
      <c r="AL801" s="167"/>
      <c r="AM801" s="167"/>
      <c r="AN801" s="167"/>
      <c r="AO801" s="167"/>
      <c r="AP801" s="167"/>
      <c r="AQ801" s="167"/>
      <c r="AR801" s="167"/>
      <c r="AS801" s="167"/>
      <c r="AT801" s="167"/>
      <c r="AU801" s="167"/>
      <c r="AV801" s="167"/>
      <c r="AW801" s="167"/>
      <c r="AX801" s="167"/>
      <c r="AY801" s="167"/>
      <c r="AZ801" s="167"/>
      <c r="BA801" s="167"/>
      <c r="BB801" s="167"/>
      <c r="BC801" s="167"/>
      <c r="BD801" s="167"/>
      <c r="BE801" s="167"/>
      <c r="BF801" s="167"/>
      <c r="BG801" s="167"/>
      <c r="BH801" s="167"/>
      <c r="BI801" s="167"/>
      <c r="BJ801" s="167"/>
      <c r="BK801" s="167"/>
      <c r="BL801" s="167"/>
      <c r="BM801" s="167"/>
      <c r="BN801" s="167"/>
      <c r="BO801" s="167"/>
      <c r="BP801" s="167"/>
      <c r="BQ801" s="167"/>
      <c r="BR801" s="167"/>
      <c r="BS801" s="65"/>
      <c r="BT801" s="65"/>
      <c r="BU801" s="65"/>
      <c r="BV801" s="65"/>
      <c r="BW801" s="69"/>
      <c r="BX801" s="65"/>
      <c r="BY801" s="137">
        <f t="shared" si="3235"/>
        <v>0</v>
      </c>
      <c r="BZ801" s="137">
        <f>IF(BY801&gt;0,BY801+LARGE($BZ$757:BZ800,1),0)</f>
        <v>0</v>
      </c>
      <c r="CA801" s="137">
        <f t="shared" si="3236"/>
        <v>0</v>
      </c>
      <c r="CB801" s="161">
        <f t="shared" si="3175"/>
        <v>0</v>
      </c>
      <c r="CC801" s="161">
        <f t="shared" si="3176"/>
        <v>0</v>
      </c>
      <c r="CD801" s="161">
        <f t="shared" si="3177"/>
        <v>0</v>
      </c>
      <c r="CE801" s="161">
        <f t="shared" si="3178"/>
        <v>0</v>
      </c>
      <c r="CF801" s="161">
        <f t="shared" si="3179"/>
        <v>0</v>
      </c>
      <c r="CG801" s="161">
        <f t="shared" si="3180"/>
        <v>0</v>
      </c>
      <c r="CH801" s="161">
        <f t="shared" si="3181"/>
        <v>0</v>
      </c>
      <c r="CI801" s="161">
        <f t="shared" si="3182"/>
        <v>0</v>
      </c>
      <c r="CJ801" s="161">
        <f t="shared" si="3183"/>
        <v>0</v>
      </c>
      <c r="CK801" s="161">
        <f t="shared" si="3184"/>
        <v>0</v>
      </c>
      <c r="CL801" s="161">
        <f t="shared" si="3185"/>
        <v>0</v>
      </c>
      <c r="CM801" s="161">
        <f t="shared" si="3186"/>
        <v>0</v>
      </c>
      <c r="CN801" s="161">
        <f t="shared" si="3187"/>
        <v>0</v>
      </c>
      <c r="CO801" s="161">
        <f t="shared" si="3188"/>
        <v>0</v>
      </c>
      <c r="CP801" s="161">
        <f t="shared" si="3189"/>
        <v>0</v>
      </c>
      <c r="CQ801" s="161">
        <f t="shared" si="3190"/>
        <v>0</v>
      </c>
      <c r="CR801" s="161">
        <f t="shared" si="3191"/>
        <v>0</v>
      </c>
      <c r="CS801" s="161">
        <f t="shared" si="3192"/>
        <v>0</v>
      </c>
      <c r="CT801" s="161">
        <f t="shared" si="3193"/>
        <v>0</v>
      </c>
      <c r="CU801" s="161">
        <f t="shared" si="3194"/>
        <v>0</v>
      </c>
      <c r="CV801" s="161">
        <f t="shared" si="3195"/>
        <v>0</v>
      </c>
      <c r="CW801" s="161">
        <f t="shared" si="3196"/>
        <v>0</v>
      </c>
      <c r="CX801" s="161">
        <f t="shared" si="3197"/>
        <v>0</v>
      </c>
      <c r="CY801" s="161">
        <f t="shared" si="3198"/>
        <v>0</v>
      </c>
      <c r="CZ801" s="161">
        <f t="shared" si="3199"/>
        <v>0</v>
      </c>
      <c r="DA801" s="161">
        <f t="shared" si="3200"/>
        <v>0</v>
      </c>
      <c r="DB801" s="161">
        <f t="shared" si="3201"/>
        <v>0</v>
      </c>
      <c r="DC801" s="161">
        <f t="shared" si="3202"/>
        <v>0</v>
      </c>
      <c r="DD801" s="161">
        <f t="shared" si="3203"/>
        <v>0</v>
      </c>
      <c r="DE801" s="161">
        <f t="shared" si="3204"/>
        <v>0</v>
      </c>
      <c r="DF801" s="161">
        <f t="shared" si="3205"/>
        <v>0</v>
      </c>
      <c r="DG801" s="161">
        <f t="shared" si="3206"/>
        <v>0</v>
      </c>
      <c r="DH801" s="161">
        <f t="shared" si="3207"/>
        <v>0</v>
      </c>
      <c r="DI801" s="161">
        <f t="shared" si="3208"/>
        <v>0</v>
      </c>
      <c r="DJ801" s="161">
        <f t="shared" si="3209"/>
        <v>0</v>
      </c>
      <c r="DK801" s="161">
        <f t="shared" si="3210"/>
        <v>0</v>
      </c>
      <c r="DL801" s="161">
        <f t="shared" si="3211"/>
        <v>0</v>
      </c>
      <c r="DM801" s="161">
        <f t="shared" si="3212"/>
        <v>0</v>
      </c>
      <c r="DN801" s="161">
        <f t="shared" si="3213"/>
        <v>0</v>
      </c>
      <c r="DO801" s="161">
        <f t="shared" si="3214"/>
        <v>0</v>
      </c>
      <c r="DP801" s="161">
        <f t="shared" si="3215"/>
        <v>0</v>
      </c>
      <c r="DQ801" s="161">
        <f t="shared" si="3216"/>
        <v>0</v>
      </c>
      <c r="DR801" s="161">
        <f t="shared" si="3217"/>
        <v>0</v>
      </c>
      <c r="DS801" s="161">
        <f t="shared" si="3218"/>
        <v>0</v>
      </c>
      <c r="DT801" s="161">
        <f t="shared" si="3219"/>
        <v>0</v>
      </c>
      <c r="DU801" s="161">
        <f t="shared" si="3220"/>
        <v>0</v>
      </c>
      <c r="DV801" s="161">
        <f t="shared" si="3221"/>
        <v>0</v>
      </c>
      <c r="DW801" s="161">
        <f t="shared" si="3222"/>
        <v>0</v>
      </c>
      <c r="DX801" s="161">
        <f t="shared" si="3223"/>
        <v>0</v>
      </c>
      <c r="DY801" s="161">
        <f t="shared" si="3224"/>
        <v>0</v>
      </c>
      <c r="DZ801" s="161">
        <f t="shared" si="3225"/>
        <v>0</v>
      </c>
      <c r="EA801" s="161">
        <f t="shared" si="3226"/>
        <v>0</v>
      </c>
      <c r="EB801" s="161">
        <f t="shared" si="3227"/>
        <v>0</v>
      </c>
      <c r="EC801" s="161">
        <f t="shared" si="3228"/>
        <v>0</v>
      </c>
      <c r="ED801" s="161">
        <f t="shared" si="3229"/>
        <v>0</v>
      </c>
      <c r="EE801" s="161">
        <f t="shared" si="3230"/>
        <v>0</v>
      </c>
      <c r="EF801" s="161">
        <f t="shared" si="3231"/>
        <v>0</v>
      </c>
      <c r="EG801" s="161">
        <f t="shared" si="3232"/>
        <v>0</v>
      </c>
      <c r="EH801" s="161">
        <f t="shared" si="3233"/>
        <v>0</v>
      </c>
      <c r="EI801" s="161">
        <f t="shared" si="3234"/>
        <v>0</v>
      </c>
    </row>
    <row r="802" spans="2:139" ht="12" customHeight="1" outlineLevel="1">
      <c r="B802" s="137" t="str">
        <f>IF(F802&gt;0,F802&amp;" - "&amp;D797,"")</f>
        <v/>
      </c>
      <c r="C802" s="65"/>
      <c r="D802" s="607"/>
      <c r="E802" s="65"/>
      <c r="F802" s="164"/>
      <c r="G802" s="165"/>
      <c r="H802" s="166">
        <f t="shared" si="3245"/>
        <v>0</v>
      </c>
      <c r="I802" s="144">
        <f t="shared" si="3246"/>
        <v>0</v>
      </c>
      <c r="J802" s="65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  <c r="AB802" s="167"/>
      <c r="AC802" s="167"/>
      <c r="AD802" s="167"/>
      <c r="AE802" s="167"/>
      <c r="AF802" s="167"/>
      <c r="AG802" s="167"/>
      <c r="AH802" s="167"/>
      <c r="AI802" s="167"/>
      <c r="AJ802" s="167"/>
      <c r="AK802" s="167"/>
      <c r="AL802" s="167"/>
      <c r="AM802" s="167"/>
      <c r="AN802" s="167"/>
      <c r="AO802" s="167"/>
      <c r="AP802" s="167"/>
      <c r="AQ802" s="167"/>
      <c r="AR802" s="167"/>
      <c r="AS802" s="167"/>
      <c r="AT802" s="167"/>
      <c r="AU802" s="167"/>
      <c r="AV802" s="167"/>
      <c r="AW802" s="167"/>
      <c r="AX802" s="167"/>
      <c r="AY802" s="167"/>
      <c r="AZ802" s="167"/>
      <c r="BA802" s="167"/>
      <c r="BB802" s="167"/>
      <c r="BC802" s="167"/>
      <c r="BD802" s="167"/>
      <c r="BE802" s="167"/>
      <c r="BF802" s="167"/>
      <c r="BG802" s="167"/>
      <c r="BH802" s="167"/>
      <c r="BI802" s="167"/>
      <c r="BJ802" s="167"/>
      <c r="BK802" s="167"/>
      <c r="BL802" s="167"/>
      <c r="BM802" s="167"/>
      <c r="BN802" s="167"/>
      <c r="BO802" s="167"/>
      <c r="BP802" s="167"/>
      <c r="BQ802" s="167"/>
      <c r="BR802" s="167"/>
      <c r="BS802" s="65"/>
      <c r="BT802" s="65"/>
      <c r="BU802" s="65"/>
      <c r="BV802" s="65"/>
      <c r="BW802" s="69"/>
      <c r="BX802" s="65"/>
      <c r="BY802" s="137">
        <f t="shared" si="3235"/>
        <v>0</v>
      </c>
      <c r="BZ802" s="137">
        <f>IF(BY802&gt;0,BY802+LARGE($BZ$757:BZ801,1),0)</f>
        <v>0</v>
      </c>
      <c r="CA802" s="137">
        <f t="shared" si="3236"/>
        <v>0</v>
      </c>
      <c r="CB802" s="161">
        <f t="shared" si="3175"/>
        <v>0</v>
      </c>
      <c r="CC802" s="161">
        <f t="shared" si="3176"/>
        <v>0</v>
      </c>
      <c r="CD802" s="161">
        <f t="shared" si="3177"/>
        <v>0</v>
      </c>
      <c r="CE802" s="161">
        <f t="shared" si="3178"/>
        <v>0</v>
      </c>
      <c r="CF802" s="161">
        <f t="shared" si="3179"/>
        <v>0</v>
      </c>
      <c r="CG802" s="161">
        <f t="shared" si="3180"/>
        <v>0</v>
      </c>
      <c r="CH802" s="161">
        <f t="shared" si="3181"/>
        <v>0</v>
      </c>
      <c r="CI802" s="161">
        <f t="shared" si="3182"/>
        <v>0</v>
      </c>
      <c r="CJ802" s="161">
        <f t="shared" si="3183"/>
        <v>0</v>
      </c>
      <c r="CK802" s="161">
        <f t="shared" si="3184"/>
        <v>0</v>
      </c>
      <c r="CL802" s="161">
        <f t="shared" si="3185"/>
        <v>0</v>
      </c>
      <c r="CM802" s="161">
        <f t="shared" si="3186"/>
        <v>0</v>
      </c>
      <c r="CN802" s="161">
        <f t="shared" si="3187"/>
        <v>0</v>
      </c>
      <c r="CO802" s="161">
        <f t="shared" si="3188"/>
        <v>0</v>
      </c>
      <c r="CP802" s="161">
        <f t="shared" si="3189"/>
        <v>0</v>
      </c>
      <c r="CQ802" s="161">
        <f t="shared" si="3190"/>
        <v>0</v>
      </c>
      <c r="CR802" s="161">
        <f t="shared" si="3191"/>
        <v>0</v>
      </c>
      <c r="CS802" s="161">
        <f t="shared" si="3192"/>
        <v>0</v>
      </c>
      <c r="CT802" s="161">
        <f t="shared" si="3193"/>
        <v>0</v>
      </c>
      <c r="CU802" s="161">
        <f t="shared" si="3194"/>
        <v>0</v>
      </c>
      <c r="CV802" s="161">
        <f t="shared" si="3195"/>
        <v>0</v>
      </c>
      <c r="CW802" s="161">
        <f t="shared" si="3196"/>
        <v>0</v>
      </c>
      <c r="CX802" s="161">
        <f t="shared" si="3197"/>
        <v>0</v>
      </c>
      <c r="CY802" s="161">
        <f t="shared" si="3198"/>
        <v>0</v>
      </c>
      <c r="CZ802" s="161">
        <f t="shared" si="3199"/>
        <v>0</v>
      </c>
      <c r="DA802" s="161">
        <f t="shared" si="3200"/>
        <v>0</v>
      </c>
      <c r="DB802" s="161">
        <f t="shared" si="3201"/>
        <v>0</v>
      </c>
      <c r="DC802" s="161">
        <f t="shared" si="3202"/>
        <v>0</v>
      </c>
      <c r="DD802" s="161">
        <f t="shared" si="3203"/>
        <v>0</v>
      </c>
      <c r="DE802" s="161">
        <f t="shared" si="3204"/>
        <v>0</v>
      </c>
      <c r="DF802" s="161">
        <f t="shared" si="3205"/>
        <v>0</v>
      </c>
      <c r="DG802" s="161">
        <f t="shared" si="3206"/>
        <v>0</v>
      </c>
      <c r="DH802" s="161">
        <f t="shared" si="3207"/>
        <v>0</v>
      </c>
      <c r="DI802" s="161">
        <f t="shared" si="3208"/>
        <v>0</v>
      </c>
      <c r="DJ802" s="161">
        <f t="shared" si="3209"/>
        <v>0</v>
      </c>
      <c r="DK802" s="161">
        <f t="shared" si="3210"/>
        <v>0</v>
      </c>
      <c r="DL802" s="161">
        <f t="shared" si="3211"/>
        <v>0</v>
      </c>
      <c r="DM802" s="161">
        <f t="shared" si="3212"/>
        <v>0</v>
      </c>
      <c r="DN802" s="161">
        <f t="shared" si="3213"/>
        <v>0</v>
      </c>
      <c r="DO802" s="161">
        <f t="shared" si="3214"/>
        <v>0</v>
      </c>
      <c r="DP802" s="161">
        <f t="shared" si="3215"/>
        <v>0</v>
      </c>
      <c r="DQ802" s="161">
        <f t="shared" si="3216"/>
        <v>0</v>
      </c>
      <c r="DR802" s="161">
        <f t="shared" si="3217"/>
        <v>0</v>
      </c>
      <c r="DS802" s="161">
        <f t="shared" si="3218"/>
        <v>0</v>
      </c>
      <c r="DT802" s="161">
        <f t="shared" si="3219"/>
        <v>0</v>
      </c>
      <c r="DU802" s="161">
        <f t="shared" si="3220"/>
        <v>0</v>
      </c>
      <c r="DV802" s="161">
        <f t="shared" si="3221"/>
        <v>0</v>
      </c>
      <c r="DW802" s="161">
        <f t="shared" si="3222"/>
        <v>0</v>
      </c>
      <c r="DX802" s="161">
        <f t="shared" si="3223"/>
        <v>0</v>
      </c>
      <c r="DY802" s="161">
        <f t="shared" si="3224"/>
        <v>0</v>
      </c>
      <c r="DZ802" s="161">
        <f t="shared" si="3225"/>
        <v>0</v>
      </c>
      <c r="EA802" s="161">
        <f t="shared" si="3226"/>
        <v>0</v>
      </c>
      <c r="EB802" s="161">
        <f t="shared" si="3227"/>
        <v>0</v>
      </c>
      <c r="EC802" s="161">
        <f t="shared" si="3228"/>
        <v>0</v>
      </c>
      <c r="ED802" s="161">
        <f t="shared" si="3229"/>
        <v>0</v>
      </c>
      <c r="EE802" s="161">
        <f t="shared" si="3230"/>
        <v>0</v>
      </c>
      <c r="EF802" s="161">
        <f t="shared" si="3231"/>
        <v>0</v>
      </c>
      <c r="EG802" s="161">
        <f t="shared" si="3232"/>
        <v>0</v>
      </c>
      <c r="EH802" s="161">
        <f t="shared" si="3233"/>
        <v>0</v>
      </c>
      <c r="EI802" s="161">
        <f t="shared" si="3234"/>
        <v>0</v>
      </c>
    </row>
    <row r="803" spans="2:139" ht="12" customHeight="1" outlineLevel="1">
      <c r="B803" s="137" t="str">
        <f>IF(F803&gt;0,F803&amp;" - "&amp;D797,"")</f>
        <v/>
      </c>
      <c r="C803" s="65"/>
      <c r="D803" s="607"/>
      <c r="E803" s="65"/>
      <c r="F803" s="164"/>
      <c r="G803" s="165"/>
      <c r="H803" s="166">
        <f t="shared" si="3245"/>
        <v>0</v>
      </c>
      <c r="I803" s="144">
        <f t="shared" si="3246"/>
        <v>0</v>
      </c>
      <c r="J803" s="65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  <c r="AB803" s="167"/>
      <c r="AC803" s="167"/>
      <c r="AD803" s="167"/>
      <c r="AE803" s="167"/>
      <c r="AF803" s="167"/>
      <c r="AG803" s="167"/>
      <c r="AH803" s="167"/>
      <c r="AI803" s="167"/>
      <c r="AJ803" s="167"/>
      <c r="AK803" s="167"/>
      <c r="AL803" s="167"/>
      <c r="AM803" s="167"/>
      <c r="AN803" s="167"/>
      <c r="AO803" s="167"/>
      <c r="AP803" s="167"/>
      <c r="AQ803" s="167"/>
      <c r="AR803" s="167"/>
      <c r="AS803" s="167"/>
      <c r="AT803" s="167"/>
      <c r="AU803" s="167"/>
      <c r="AV803" s="167"/>
      <c r="AW803" s="167"/>
      <c r="AX803" s="167"/>
      <c r="AY803" s="167"/>
      <c r="AZ803" s="167"/>
      <c r="BA803" s="167"/>
      <c r="BB803" s="167"/>
      <c r="BC803" s="167"/>
      <c r="BD803" s="167"/>
      <c r="BE803" s="167"/>
      <c r="BF803" s="167"/>
      <c r="BG803" s="167"/>
      <c r="BH803" s="167"/>
      <c r="BI803" s="167"/>
      <c r="BJ803" s="167"/>
      <c r="BK803" s="167"/>
      <c r="BL803" s="167"/>
      <c r="BM803" s="167"/>
      <c r="BN803" s="167"/>
      <c r="BO803" s="167"/>
      <c r="BP803" s="167"/>
      <c r="BQ803" s="167"/>
      <c r="BR803" s="167"/>
      <c r="BS803" s="65"/>
      <c r="BT803" s="65"/>
      <c r="BU803" s="65"/>
      <c r="BV803" s="65"/>
      <c r="BW803" s="69"/>
      <c r="BX803" s="65"/>
      <c r="BY803" s="137">
        <f t="shared" si="3235"/>
        <v>0</v>
      </c>
      <c r="BZ803" s="137">
        <f>IF(BY803&gt;0,BY803+LARGE($BZ$757:BZ802,1),0)</f>
        <v>0</v>
      </c>
      <c r="CA803" s="137">
        <f t="shared" si="3236"/>
        <v>0</v>
      </c>
      <c r="CB803" s="161">
        <f t="shared" si="3175"/>
        <v>0</v>
      </c>
      <c r="CC803" s="161">
        <f t="shared" si="3176"/>
        <v>0</v>
      </c>
      <c r="CD803" s="161">
        <f t="shared" si="3177"/>
        <v>0</v>
      </c>
      <c r="CE803" s="161">
        <f t="shared" si="3178"/>
        <v>0</v>
      </c>
      <c r="CF803" s="161">
        <f t="shared" si="3179"/>
        <v>0</v>
      </c>
      <c r="CG803" s="161">
        <f t="shared" si="3180"/>
        <v>0</v>
      </c>
      <c r="CH803" s="161">
        <f t="shared" si="3181"/>
        <v>0</v>
      </c>
      <c r="CI803" s="161">
        <f t="shared" si="3182"/>
        <v>0</v>
      </c>
      <c r="CJ803" s="161">
        <f t="shared" si="3183"/>
        <v>0</v>
      </c>
      <c r="CK803" s="161">
        <f t="shared" si="3184"/>
        <v>0</v>
      </c>
      <c r="CL803" s="161">
        <f t="shared" si="3185"/>
        <v>0</v>
      </c>
      <c r="CM803" s="161">
        <f t="shared" si="3186"/>
        <v>0</v>
      </c>
      <c r="CN803" s="161">
        <f t="shared" si="3187"/>
        <v>0</v>
      </c>
      <c r="CO803" s="161">
        <f t="shared" si="3188"/>
        <v>0</v>
      </c>
      <c r="CP803" s="161">
        <f t="shared" si="3189"/>
        <v>0</v>
      </c>
      <c r="CQ803" s="161">
        <f t="shared" si="3190"/>
        <v>0</v>
      </c>
      <c r="CR803" s="161">
        <f t="shared" si="3191"/>
        <v>0</v>
      </c>
      <c r="CS803" s="161">
        <f t="shared" si="3192"/>
        <v>0</v>
      </c>
      <c r="CT803" s="161">
        <f t="shared" si="3193"/>
        <v>0</v>
      </c>
      <c r="CU803" s="161">
        <f t="shared" si="3194"/>
        <v>0</v>
      </c>
      <c r="CV803" s="161">
        <f t="shared" si="3195"/>
        <v>0</v>
      </c>
      <c r="CW803" s="161">
        <f t="shared" si="3196"/>
        <v>0</v>
      </c>
      <c r="CX803" s="161">
        <f t="shared" si="3197"/>
        <v>0</v>
      </c>
      <c r="CY803" s="161">
        <f t="shared" si="3198"/>
        <v>0</v>
      </c>
      <c r="CZ803" s="161">
        <f t="shared" si="3199"/>
        <v>0</v>
      </c>
      <c r="DA803" s="161">
        <f t="shared" si="3200"/>
        <v>0</v>
      </c>
      <c r="DB803" s="161">
        <f t="shared" si="3201"/>
        <v>0</v>
      </c>
      <c r="DC803" s="161">
        <f t="shared" si="3202"/>
        <v>0</v>
      </c>
      <c r="DD803" s="161">
        <f t="shared" si="3203"/>
        <v>0</v>
      </c>
      <c r="DE803" s="161">
        <f t="shared" si="3204"/>
        <v>0</v>
      </c>
      <c r="DF803" s="161">
        <f t="shared" si="3205"/>
        <v>0</v>
      </c>
      <c r="DG803" s="161">
        <f t="shared" si="3206"/>
        <v>0</v>
      </c>
      <c r="DH803" s="161">
        <f t="shared" si="3207"/>
        <v>0</v>
      </c>
      <c r="DI803" s="161">
        <f t="shared" si="3208"/>
        <v>0</v>
      </c>
      <c r="DJ803" s="161">
        <f t="shared" si="3209"/>
        <v>0</v>
      </c>
      <c r="DK803" s="161">
        <f t="shared" si="3210"/>
        <v>0</v>
      </c>
      <c r="DL803" s="161">
        <f t="shared" si="3211"/>
        <v>0</v>
      </c>
      <c r="DM803" s="161">
        <f t="shared" si="3212"/>
        <v>0</v>
      </c>
      <c r="DN803" s="161">
        <f t="shared" si="3213"/>
        <v>0</v>
      </c>
      <c r="DO803" s="161">
        <f t="shared" si="3214"/>
        <v>0</v>
      </c>
      <c r="DP803" s="161">
        <f t="shared" si="3215"/>
        <v>0</v>
      </c>
      <c r="DQ803" s="161">
        <f t="shared" si="3216"/>
        <v>0</v>
      </c>
      <c r="DR803" s="161">
        <f t="shared" si="3217"/>
        <v>0</v>
      </c>
      <c r="DS803" s="161">
        <f t="shared" si="3218"/>
        <v>0</v>
      </c>
      <c r="DT803" s="161">
        <f t="shared" si="3219"/>
        <v>0</v>
      </c>
      <c r="DU803" s="161">
        <f t="shared" si="3220"/>
        <v>0</v>
      </c>
      <c r="DV803" s="161">
        <f t="shared" si="3221"/>
        <v>0</v>
      </c>
      <c r="DW803" s="161">
        <f t="shared" si="3222"/>
        <v>0</v>
      </c>
      <c r="DX803" s="161">
        <f t="shared" si="3223"/>
        <v>0</v>
      </c>
      <c r="DY803" s="161">
        <f t="shared" si="3224"/>
        <v>0</v>
      </c>
      <c r="DZ803" s="161">
        <f t="shared" si="3225"/>
        <v>0</v>
      </c>
      <c r="EA803" s="161">
        <f t="shared" si="3226"/>
        <v>0</v>
      </c>
      <c r="EB803" s="161">
        <f t="shared" si="3227"/>
        <v>0</v>
      </c>
      <c r="EC803" s="161">
        <f t="shared" si="3228"/>
        <v>0</v>
      </c>
      <c r="ED803" s="161">
        <f t="shared" si="3229"/>
        <v>0</v>
      </c>
      <c r="EE803" s="161">
        <f t="shared" si="3230"/>
        <v>0</v>
      </c>
      <c r="EF803" s="161">
        <f t="shared" si="3231"/>
        <v>0</v>
      </c>
      <c r="EG803" s="161">
        <f t="shared" si="3232"/>
        <v>0</v>
      </c>
      <c r="EH803" s="161">
        <f t="shared" si="3233"/>
        <v>0</v>
      </c>
      <c r="EI803" s="161">
        <f t="shared" si="3234"/>
        <v>0</v>
      </c>
    </row>
    <row r="804" spans="2:139" ht="6" customHeight="1" outlineLevel="1"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  <c r="AN804" s="65"/>
      <c r="AO804" s="65"/>
      <c r="AP804" s="65"/>
      <c r="AQ804" s="65"/>
      <c r="AR804" s="65"/>
      <c r="AS804" s="65"/>
      <c r="AT804" s="65"/>
      <c r="AU804" s="65"/>
      <c r="AV804" s="65"/>
      <c r="AW804" s="65"/>
      <c r="AX804" s="65"/>
      <c r="AY804" s="65"/>
      <c r="AZ804" s="65"/>
      <c r="BA804" s="65"/>
      <c r="BB804" s="65"/>
      <c r="BC804" s="65"/>
      <c r="BD804" s="65"/>
      <c r="BE804" s="65"/>
      <c r="BF804" s="65"/>
      <c r="BG804" s="65"/>
      <c r="BH804" s="65"/>
      <c r="BI804" s="65"/>
      <c r="BJ804" s="65"/>
      <c r="BK804" s="65"/>
      <c r="BL804" s="65"/>
      <c r="BM804" s="65"/>
      <c r="BN804" s="65"/>
      <c r="BO804" s="65"/>
      <c r="BP804" s="65"/>
      <c r="BQ804" s="65"/>
      <c r="BR804" s="65"/>
      <c r="BS804" s="65"/>
      <c r="BT804" s="65"/>
      <c r="BU804" s="65"/>
      <c r="BV804" s="65"/>
      <c r="BW804" s="69"/>
      <c r="BX804" s="65"/>
      <c r="BY804" s="65"/>
      <c r="BZ804" s="65"/>
      <c r="CA804" s="65"/>
      <c r="CB804" s="65"/>
      <c r="CC804" s="65"/>
      <c r="CD804" s="65"/>
      <c r="CE804" s="65"/>
      <c r="CF804" s="65"/>
      <c r="CG804" s="65"/>
      <c r="CH804" s="65"/>
      <c r="CI804" s="65"/>
      <c r="CJ804" s="65"/>
      <c r="CK804" s="65"/>
      <c r="CL804" s="65"/>
      <c r="CM804" s="65"/>
      <c r="CN804" s="65"/>
      <c r="CO804" s="65"/>
      <c r="CP804" s="65"/>
      <c r="CQ804" s="65"/>
      <c r="CR804" s="65"/>
      <c r="CS804" s="65"/>
      <c r="CT804" s="65"/>
      <c r="CU804" s="65"/>
      <c r="CV804" s="65"/>
      <c r="CW804" s="65"/>
      <c r="CX804" s="65"/>
      <c r="CY804" s="65"/>
      <c r="CZ804" s="65"/>
      <c r="DA804" s="65"/>
      <c r="DB804" s="65"/>
      <c r="DC804" s="65"/>
      <c r="DD804" s="65"/>
      <c r="DE804" s="65"/>
      <c r="DF804" s="65"/>
      <c r="DG804" s="65"/>
      <c r="DH804" s="65"/>
      <c r="DI804" s="65"/>
      <c r="DJ804" s="65"/>
      <c r="DK804" s="65"/>
      <c r="DL804" s="65"/>
      <c r="DM804" s="65"/>
      <c r="DN804" s="65"/>
      <c r="DO804" s="65"/>
      <c r="DP804" s="65"/>
      <c r="DQ804" s="65"/>
      <c r="DR804" s="65"/>
      <c r="DS804" s="65"/>
      <c r="DT804" s="65"/>
      <c r="DU804" s="65"/>
      <c r="DV804" s="65"/>
      <c r="DW804" s="65"/>
      <c r="DX804" s="65"/>
      <c r="DY804" s="65"/>
      <c r="DZ804" s="65"/>
      <c r="EA804" s="65"/>
      <c r="EB804" s="65"/>
      <c r="EC804" s="65"/>
      <c r="ED804" s="65"/>
      <c r="EE804" s="65"/>
      <c r="EF804" s="65"/>
      <c r="EG804" s="65"/>
      <c r="EH804" s="65"/>
      <c r="EI804" s="65"/>
    </row>
    <row r="805" spans="2:139" ht="12" customHeight="1" outlineLevel="1">
      <c r="B805" s="137" t="str">
        <f>IF(F805&gt;0,F805&amp;" - "&amp;D805,"")</f>
        <v>Médico do Trabalho - Medicina do Trabalho</v>
      </c>
      <c r="C805" s="65"/>
      <c r="D805" s="607" t="s">
        <v>510</v>
      </c>
      <c r="E805" s="65"/>
      <c r="F805" s="164" t="s">
        <v>511</v>
      </c>
      <c r="G805" s="165"/>
      <c r="H805" s="166">
        <f t="shared" ref="H805:H811" si="3247">IFERROR(SUM(K805:BR805)/COUNTIF(K805:BR805,"&gt;0"),0)</f>
        <v>0</v>
      </c>
      <c r="I805" s="144">
        <f t="shared" ref="I805:I811" si="3248">COUNTIF(K805:BR805,"&gt;0")</f>
        <v>0</v>
      </c>
      <c r="J805" s="65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  <c r="AB805" s="167"/>
      <c r="AC805" s="167"/>
      <c r="AD805" s="167"/>
      <c r="AE805" s="167"/>
      <c r="AF805" s="167"/>
      <c r="AG805" s="167"/>
      <c r="AH805" s="167"/>
      <c r="AI805" s="167"/>
      <c r="AJ805" s="167"/>
      <c r="AK805" s="167"/>
      <c r="AL805" s="167"/>
      <c r="AM805" s="167"/>
      <c r="AN805" s="167"/>
      <c r="AO805" s="167"/>
      <c r="AP805" s="167"/>
      <c r="AQ805" s="167"/>
      <c r="AR805" s="167"/>
      <c r="AS805" s="167"/>
      <c r="AT805" s="167"/>
      <c r="AU805" s="167"/>
      <c r="AV805" s="167"/>
      <c r="AW805" s="167"/>
      <c r="AX805" s="167"/>
      <c r="AY805" s="167"/>
      <c r="AZ805" s="167"/>
      <c r="BA805" s="167"/>
      <c r="BB805" s="167"/>
      <c r="BC805" s="167"/>
      <c r="BD805" s="167"/>
      <c r="BE805" s="167"/>
      <c r="BF805" s="167"/>
      <c r="BG805" s="167"/>
      <c r="BH805" s="167"/>
      <c r="BI805" s="167"/>
      <c r="BJ805" s="167"/>
      <c r="BK805" s="167"/>
      <c r="BL805" s="167"/>
      <c r="BM805" s="167"/>
      <c r="BN805" s="167"/>
      <c r="BO805" s="167"/>
      <c r="BP805" s="167"/>
      <c r="BQ805" s="167"/>
      <c r="BR805" s="167"/>
      <c r="BS805" s="65"/>
      <c r="BT805" s="65"/>
      <c r="BU805" s="65"/>
      <c r="BV805" s="65"/>
      <c r="BW805" s="69"/>
      <c r="BX805" s="65"/>
      <c r="BY805" s="137">
        <f t="shared" si="3235"/>
        <v>0</v>
      </c>
      <c r="BZ805" s="137">
        <f>IF(BY805&gt;0,BY805+LARGE($BZ$757:BZ804,1),0)</f>
        <v>0</v>
      </c>
      <c r="CA805" s="137" t="str">
        <f t="shared" si="3236"/>
        <v>Médico do Trabalho</v>
      </c>
      <c r="CB805" s="161">
        <f t="shared" si="3175"/>
        <v>0</v>
      </c>
      <c r="CC805" s="161">
        <f t="shared" si="3176"/>
        <v>0</v>
      </c>
      <c r="CD805" s="161">
        <f t="shared" si="3177"/>
        <v>0</v>
      </c>
      <c r="CE805" s="161">
        <f t="shared" si="3178"/>
        <v>0</v>
      </c>
      <c r="CF805" s="161">
        <f t="shared" si="3179"/>
        <v>0</v>
      </c>
      <c r="CG805" s="161">
        <f t="shared" si="3180"/>
        <v>0</v>
      </c>
      <c r="CH805" s="161">
        <f t="shared" si="3181"/>
        <v>0</v>
      </c>
      <c r="CI805" s="161">
        <f t="shared" si="3182"/>
        <v>0</v>
      </c>
      <c r="CJ805" s="161">
        <f t="shared" si="3183"/>
        <v>0</v>
      </c>
      <c r="CK805" s="161">
        <f t="shared" si="3184"/>
        <v>0</v>
      </c>
      <c r="CL805" s="161">
        <f t="shared" si="3185"/>
        <v>0</v>
      </c>
      <c r="CM805" s="161">
        <f t="shared" si="3186"/>
        <v>0</v>
      </c>
      <c r="CN805" s="161">
        <f t="shared" si="3187"/>
        <v>0</v>
      </c>
      <c r="CO805" s="161">
        <f t="shared" si="3188"/>
        <v>0</v>
      </c>
      <c r="CP805" s="161">
        <f t="shared" si="3189"/>
        <v>0</v>
      </c>
      <c r="CQ805" s="161">
        <f t="shared" si="3190"/>
        <v>0</v>
      </c>
      <c r="CR805" s="161">
        <f t="shared" si="3191"/>
        <v>0</v>
      </c>
      <c r="CS805" s="161">
        <f t="shared" si="3192"/>
        <v>0</v>
      </c>
      <c r="CT805" s="161">
        <f t="shared" si="3193"/>
        <v>0</v>
      </c>
      <c r="CU805" s="161">
        <f t="shared" si="3194"/>
        <v>0</v>
      </c>
      <c r="CV805" s="161">
        <f t="shared" si="3195"/>
        <v>0</v>
      </c>
      <c r="CW805" s="161">
        <f t="shared" si="3196"/>
        <v>0</v>
      </c>
      <c r="CX805" s="161">
        <f t="shared" si="3197"/>
        <v>0</v>
      </c>
      <c r="CY805" s="161">
        <f t="shared" si="3198"/>
        <v>0</v>
      </c>
      <c r="CZ805" s="161">
        <f t="shared" si="3199"/>
        <v>0</v>
      </c>
      <c r="DA805" s="161">
        <f t="shared" si="3200"/>
        <v>0</v>
      </c>
      <c r="DB805" s="161">
        <f t="shared" si="3201"/>
        <v>0</v>
      </c>
      <c r="DC805" s="161">
        <f t="shared" si="3202"/>
        <v>0</v>
      </c>
      <c r="DD805" s="161">
        <f t="shared" si="3203"/>
        <v>0</v>
      </c>
      <c r="DE805" s="161">
        <f t="shared" si="3204"/>
        <v>0</v>
      </c>
      <c r="DF805" s="161">
        <f t="shared" si="3205"/>
        <v>0</v>
      </c>
      <c r="DG805" s="161">
        <f t="shared" si="3206"/>
        <v>0</v>
      </c>
      <c r="DH805" s="161">
        <f t="shared" si="3207"/>
        <v>0</v>
      </c>
      <c r="DI805" s="161">
        <f t="shared" si="3208"/>
        <v>0</v>
      </c>
      <c r="DJ805" s="161">
        <f t="shared" si="3209"/>
        <v>0</v>
      </c>
      <c r="DK805" s="161">
        <f t="shared" si="3210"/>
        <v>0</v>
      </c>
      <c r="DL805" s="161">
        <f t="shared" si="3211"/>
        <v>0</v>
      </c>
      <c r="DM805" s="161">
        <f t="shared" si="3212"/>
        <v>0</v>
      </c>
      <c r="DN805" s="161">
        <f t="shared" si="3213"/>
        <v>0</v>
      </c>
      <c r="DO805" s="161">
        <f t="shared" si="3214"/>
        <v>0</v>
      </c>
      <c r="DP805" s="161">
        <f t="shared" si="3215"/>
        <v>0</v>
      </c>
      <c r="DQ805" s="161">
        <f t="shared" si="3216"/>
        <v>0</v>
      </c>
      <c r="DR805" s="161">
        <f t="shared" si="3217"/>
        <v>0</v>
      </c>
      <c r="DS805" s="161">
        <f t="shared" si="3218"/>
        <v>0</v>
      </c>
      <c r="DT805" s="161">
        <f t="shared" si="3219"/>
        <v>0</v>
      </c>
      <c r="DU805" s="161">
        <f t="shared" si="3220"/>
        <v>0</v>
      </c>
      <c r="DV805" s="161">
        <f t="shared" si="3221"/>
        <v>0</v>
      </c>
      <c r="DW805" s="161">
        <f t="shared" si="3222"/>
        <v>0</v>
      </c>
      <c r="DX805" s="161">
        <f t="shared" si="3223"/>
        <v>0</v>
      </c>
      <c r="DY805" s="161">
        <f t="shared" si="3224"/>
        <v>0</v>
      </c>
      <c r="DZ805" s="161">
        <f t="shared" si="3225"/>
        <v>0</v>
      </c>
      <c r="EA805" s="161">
        <f t="shared" si="3226"/>
        <v>0</v>
      </c>
      <c r="EB805" s="161">
        <f t="shared" si="3227"/>
        <v>0</v>
      </c>
      <c r="EC805" s="161">
        <f t="shared" si="3228"/>
        <v>0</v>
      </c>
      <c r="ED805" s="161">
        <f t="shared" si="3229"/>
        <v>0</v>
      </c>
      <c r="EE805" s="161">
        <f t="shared" si="3230"/>
        <v>0</v>
      </c>
      <c r="EF805" s="161">
        <f t="shared" si="3231"/>
        <v>0</v>
      </c>
      <c r="EG805" s="161">
        <f t="shared" si="3232"/>
        <v>0</v>
      </c>
      <c r="EH805" s="161">
        <f t="shared" si="3233"/>
        <v>0</v>
      </c>
      <c r="EI805" s="161">
        <f t="shared" si="3234"/>
        <v>0</v>
      </c>
    </row>
    <row r="806" spans="2:139" ht="12" customHeight="1" outlineLevel="1">
      <c r="B806" s="137" t="str">
        <f>IF(F806&gt;0,F806&amp;" - "&amp;D805,"")</f>
        <v>Técnico de Enfermagem do Trabalho - Medicina do Trabalho</v>
      </c>
      <c r="C806" s="65"/>
      <c r="D806" s="607"/>
      <c r="E806" s="65"/>
      <c r="F806" s="164" t="s">
        <v>512</v>
      </c>
      <c r="G806" s="165"/>
      <c r="H806" s="166">
        <f t="shared" si="3247"/>
        <v>0</v>
      </c>
      <c r="I806" s="144">
        <f t="shared" si="3248"/>
        <v>0</v>
      </c>
      <c r="J806" s="65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  <c r="AB806" s="167"/>
      <c r="AC806" s="167"/>
      <c r="AD806" s="167"/>
      <c r="AE806" s="167"/>
      <c r="AF806" s="167"/>
      <c r="AG806" s="167"/>
      <c r="AH806" s="167"/>
      <c r="AI806" s="167"/>
      <c r="AJ806" s="167"/>
      <c r="AK806" s="167"/>
      <c r="AL806" s="167"/>
      <c r="AM806" s="167"/>
      <c r="AN806" s="167"/>
      <c r="AO806" s="167"/>
      <c r="AP806" s="167"/>
      <c r="AQ806" s="167"/>
      <c r="AR806" s="167"/>
      <c r="AS806" s="167"/>
      <c r="AT806" s="167"/>
      <c r="AU806" s="167"/>
      <c r="AV806" s="167"/>
      <c r="AW806" s="167"/>
      <c r="AX806" s="167"/>
      <c r="AY806" s="167"/>
      <c r="AZ806" s="167"/>
      <c r="BA806" s="167"/>
      <c r="BB806" s="167"/>
      <c r="BC806" s="167"/>
      <c r="BD806" s="167"/>
      <c r="BE806" s="167"/>
      <c r="BF806" s="167"/>
      <c r="BG806" s="167"/>
      <c r="BH806" s="167"/>
      <c r="BI806" s="167"/>
      <c r="BJ806" s="167"/>
      <c r="BK806" s="167"/>
      <c r="BL806" s="167"/>
      <c r="BM806" s="167"/>
      <c r="BN806" s="167"/>
      <c r="BO806" s="167"/>
      <c r="BP806" s="167"/>
      <c r="BQ806" s="167"/>
      <c r="BR806" s="167"/>
      <c r="BS806" s="65"/>
      <c r="BT806" s="65"/>
      <c r="BU806" s="65"/>
      <c r="BV806" s="65"/>
      <c r="BW806" s="69"/>
      <c r="BX806" s="65"/>
      <c r="BY806" s="137">
        <f t="shared" si="3235"/>
        <v>0</v>
      </c>
      <c r="BZ806" s="137">
        <f>IF(BY806&gt;0,BY806+LARGE($BZ$757:BZ805,1),0)</f>
        <v>0</v>
      </c>
      <c r="CA806" s="137" t="str">
        <f t="shared" si="3236"/>
        <v>Técnico de Enfermagem do Trabalho</v>
      </c>
      <c r="CB806" s="161">
        <f t="shared" si="3175"/>
        <v>0</v>
      </c>
      <c r="CC806" s="161">
        <f t="shared" si="3176"/>
        <v>0</v>
      </c>
      <c r="CD806" s="161">
        <f t="shared" si="3177"/>
        <v>0</v>
      </c>
      <c r="CE806" s="161">
        <f t="shared" si="3178"/>
        <v>0</v>
      </c>
      <c r="CF806" s="161">
        <f t="shared" si="3179"/>
        <v>0</v>
      </c>
      <c r="CG806" s="161">
        <f t="shared" si="3180"/>
        <v>0</v>
      </c>
      <c r="CH806" s="161">
        <f t="shared" si="3181"/>
        <v>0</v>
      </c>
      <c r="CI806" s="161">
        <f t="shared" si="3182"/>
        <v>0</v>
      </c>
      <c r="CJ806" s="161">
        <f t="shared" si="3183"/>
        <v>0</v>
      </c>
      <c r="CK806" s="161">
        <f t="shared" si="3184"/>
        <v>0</v>
      </c>
      <c r="CL806" s="161">
        <f t="shared" si="3185"/>
        <v>0</v>
      </c>
      <c r="CM806" s="161">
        <f t="shared" si="3186"/>
        <v>0</v>
      </c>
      <c r="CN806" s="161">
        <f t="shared" si="3187"/>
        <v>0</v>
      </c>
      <c r="CO806" s="161">
        <f t="shared" si="3188"/>
        <v>0</v>
      </c>
      <c r="CP806" s="161">
        <f t="shared" si="3189"/>
        <v>0</v>
      </c>
      <c r="CQ806" s="161">
        <f t="shared" si="3190"/>
        <v>0</v>
      </c>
      <c r="CR806" s="161">
        <f t="shared" si="3191"/>
        <v>0</v>
      </c>
      <c r="CS806" s="161">
        <f t="shared" si="3192"/>
        <v>0</v>
      </c>
      <c r="CT806" s="161">
        <f t="shared" si="3193"/>
        <v>0</v>
      </c>
      <c r="CU806" s="161">
        <f t="shared" si="3194"/>
        <v>0</v>
      </c>
      <c r="CV806" s="161">
        <f t="shared" si="3195"/>
        <v>0</v>
      </c>
      <c r="CW806" s="161">
        <f t="shared" si="3196"/>
        <v>0</v>
      </c>
      <c r="CX806" s="161">
        <f t="shared" si="3197"/>
        <v>0</v>
      </c>
      <c r="CY806" s="161">
        <f t="shared" si="3198"/>
        <v>0</v>
      </c>
      <c r="CZ806" s="161">
        <f t="shared" si="3199"/>
        <v>0</v>
      </c>
      <c r="DA806" s="161">
        <f t="shared" si="3200"/>
        <v>0</v>
      </c>
      <c r="DB806" s="161">
        <f t="shared" si="3201"/>
        <v>0</v>
      </c>
      <c r="DC806" s="161">
        <f t="shared" si="3202"/>
        <v>0</v>
      </c>
      <c r="DD806" s="161">
        <f t="shared" si="3203"/>
        <v>0</v>
      </c>
      <c r="DE806" s="161">
        <f t="shared" si="3204"/>
        <v>0</v>
      </c>
      <c r="DF806" s="161">
        <f t="shared" si="3205"/>
        <v>0</v>
      </c>
      <c r="DG806" s="161">
        <f t="shared" si="3206"/>
        <v>0</v>
      </c>
      <c r="DH806" s="161">
        <f t="shared" si="3207"/>
        <v>0</v>
      </c>
      <c r="DI806" s="161">
        <f t="shared" si="3208"/>
        <v>0</v>
      </c>
      <c r="DJ806" s="161">
        <f t="shared" si="3209"/>
        <v>0</v>
      </c>
      <c r="DK806" s="161">
        <f t="shared" si="3210"/>
        <v>0</v>
      </c>
      <c r="DL806" s="161">
        <f t="shared" si="3211"/>
        <v>0</v>
      </c>
      <c r="DM806" s="161">
        <f t="shared" si="3212"/>
        <v>0</v>
      </c>
      <c r="DN806" s="161">
        <f t="shared" si="3213"/>
        <v>0</v>
      </c>
      <c r="DO806" s="161">
        <f t="shared" si="3214"/>
        <v>0</v>
      </c>
      <c r="DP806" s="161">
        <f t="shared" si="3215"/>
        <v>0</v>
      </c>
      <c r="DQ806" s="161">
        <f t="shared" si="3216"/>
        <v>0</v>
      </c>
      <c r="DR806" s="161">
        <f t="shared" si="3217"/>
        <v>0</v>
      </c>
      <c r="DS806" s="161">
        <f t="shared" si="3218"/>
        <v>0</v>
      </c>
      <c r="DT806" s="161">
        <f t="shared" si="3219"/>
        <v>0</v>
      </c>
      <c r="DU806" s="161">
        <f t="shared" si="3220"/>
        <v>0</v>
      </c>
      <c r="DV806" s="161">
        <f t="shared" si="3221"/>
        <v>0</v>
      </c>
      <c r="DW806" s="161">
        <f t="shared" si="3222"/>
        <v>0</v>
      </c>
      <c r="DX806" s="161">
        <f t="shared" si="3223"/>
        <v>0</v>
      </c>
      <c r="DY806" s="161">
        <f t="shared" si="3224"/>
        <v>0</v>
      </c>
      <c r="DZ806" s="161">
        <f t="shared" si="3225"/>
        <v>0</v>
      </c>
      <c r="EA806" s="161">
        <f t="shared" si="3226"/>
        <v>0</v>
      </c>
      <c r="EB806" s="161">
        <f t="shared" si="3227"/>
        <v>0</v>
      </c>
      <c r="EC806" s="161">
        <f t="shared" si="3228"/>
        <v>0</v>
      </c>
      <c r="ED806" s="161">
        <f t="shared" si="3229"/>
        <v>0</v>
      </c>
      <c r="EE806" s="161">
        <f t="shared" si="3230"/>
        <v>0</v>
      </c>
      <c r="EF806" s="161">
        <f t="shared" si="3231"/>
        <v>0</v>
      </c>
      <c r="EG806" s="161">
        <f t="shared" si="3232"/>
        <v>0</v>
      </c>
      <c r="EH806" s="161">
        <f t="shared" si="3233"/>
        <v>0</v>
      </c>
      <c r="EI806" s="161">
        <f t="shared" si="3234"/>
        <v>0</v>
      </c>
    </row>
    <row r="807" spans="2:139" ht="12" customHeight="1" outlineLevel="1">
      <c r="B807" s="137" t="str">
        <f>IF(F807&gt;0,F807&amp;" - "&amp;D805,"")</f>
        <v>Enfermeiro do Trabalho - Medicina do Trabalho</v>
      </c>
      <c r="C807" s="65"/>
      <c r="D807" s="607"/>
      <c r="E807" s="65"/>
      <c r="F807" s="164" t="s">
        <v>513</v>
      </c>
      <c r="G807" s="165"/>
      <c r="H807" s="166">
        <f t="shared" si="3247"/>
        <v>0</v>
      </c>
      <c r="I807" s="144">
        <f t="shared" si="3248"/>
        <v>0</v>
      </c>
      <c r="J807" s="65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  <c r="AB807" s="167"/>
      <c r="AC807" s="167"/>
      <c r="AD807" s="167"/>
      <c r="AE807" s="167"/>
      <c r="AF807" s="167"/>
      <c r="AG807" s="167"/>
      <c r="AH807" s="167"/>
      <c r="AI807" s="167"/>
      <c r="AJ807" s="167"/>
      <c r="AK807" s="167"/>
      <c r="AL807" s="167"/>
      <c r="AM807" s="167"/>
      <c r="AN807" s="167"/>
      <c r="AO807" s="167"/>
      <c r="AP807" s="167"/>
      <c r="AQ807" s="167"/>
      <c r="AR807" s="167"/>
      <c r="AS807" s="167"/>
      <c r="AT807" s="167"/>
      <c r="AU807" s="167"/>
      <c r="AV807" s="167"/>
      <c r="AW807" s="167"/>
      <c r="AX807" s="167"/>
      <c r="AY807" s="167"/>
      <c r="AZ807" s="167"/>
      <c r="BA807" s="167"/>
      <c r="BB807" s="167"/>
      <c r="BC807" s="167"/>
      <c r="BD807" s="167"/>
      <c r="BE807" s="167"/>
      <c r="BF807" s="167"/>
      <c r="BG807" s="167"/>
      <c r="BH807" s="167"/>
      <c r="BI807" s="167"/>
      <c r="BJ807" s="167"/>
      <c r="BK807" s="167"/>
      <c r="BL807" s="167"/>
      <c r="BM807" s="167"/>
      <c r="BN807" s="167"/>
      <c r="BO807" s="167"/>
      <c r="BP807" s="167"/>
      <c r="BQ807" s="167"/>
      <c r="BR807" s="167"/>
      <c r="BS807" s="65"/>
      <c r="BT807" s="65"/>
      <c r="BU807" s="65"/>
      <c r="BV807" s="65"/>
      <c r="BW807" s="69"/>
      <c r="BX807" s="65"/>
      <c r="BY807" s="137">
        <f t="shared" si="3235"/>
        <v>0</v>
      </c>
      <c r="BZ807" s="137">
        <f>IF(BY807&gt;0,BY807+LARGE($BZ$757:BZ806,1),0)</f>
        <v>0</v>
      </c>
      <c r="CA807" s="137" t="str">
        <f t="shared" si="3236"/>
        <v>Enfermeiro do Trabalho</v>
      </c>
      <c r="CB807" s="161">
        <f t="shared" si="3175"/>
        <v>0</v>
      </c>
      <c r="CC807" s="161">
        <f t="shared" si="3176"/>
        <v>0</v>
      </c>
      <c r="CD807" s="161">
        <f t="shared" si="3177"/>
        <v>0</v>
      </c>
      <c r="CE807" s="161">
        <f t="shared" si="3178"/>
        <v>0</v>
      </c>
      <c r="CF807" s="161">
        <f t="shared" si="3179"/>
        <v>0</v>
      </c>
      <c r="CG807" s="161">
        <f t="shared" si="3180"/>
        <v>0</v>
      </c>
      <c r="CH807" s="161">
        <f t="shared" si="3181"/>
        <v>0</v>
      </c>
      <c r="CI807" s="161">
        <f t="shared" si="3182"/>
        <v>0</v>
      </c>
      <c r="CJ807" s="161">
        <f t="shared" si="3183"/>
        <v>0</v>
      </c>
      <c r="CK807" s="161">
        <f t="shared" si="3184"/>
        <v>0</v>
      </c>
      <c r="CL807" s="161">
        <f t="shared" si="3185"/>
        <v>0</v>
      </c>
      <c r="CM807" s="161">
        <f t="shared" si="3186"/>
        <v>0</v>
      </c>
      <c r="CN807" s="161">
        <f t="shared" si="3187"/>
        <v>0</v>
      </c>
      <c r="CO807" s="161">
        <f t="shared" si="3188"/>
        <v>0</v>
      </c>
      <c r="CP807" s="161">
        <f t="shared" si="3189"/>
        <v>0</v>
      </c>
      <c r="CQ807" s="161">
        <f t="shared" si="3190"/>
        <v>0</v>
      </c>
      <c r="CR807" s="161">
        <f t="shared" si="3191"/>
        <v>0</v>
      </c>
      <c r="CS807" s="161">
        <f t="shared" si="3192"/>
        <v>0</v>
      </c>
      <c r="CT807" s="161">
        <f t="shared" si="3193"/>
        <v>0</v>
      </c>
      <c r="CU807" s="161">
        <f t="shared" si="3194"/>
        <v>0</v>
      </c>
      <c r="CV807" s="161">
        <f t="shared" si="3195"/>
        <v>0</v>
      </c>
      <c r="CW807" s="161">
        <f t="shared" si="3196"/>
        <v>0</v>
      </c>
      <c r="CX807" s="161">
        <f t="shared" si="3197"/>
        <v>0</v>
      </c>
      <c r="CY807" s="161">
        <f t="shared" si="3198"/>
        <v>0</v>
      </c>
      <c r="CZ807" s="161">
        <f t="shared" si="3199"/>
        <v>0</v>
      </c>
      <c r="DA807" s="161">
        <f t="shared" si="3200"/>
        <v>0</v>
      </c>
      <c r="DB807" s="161">
        <f t="shared" si="3201"/>
        <v>0</v>
      </c>
      <c r="DC807" s="161">
        <f t="shared" si="3202"/>
        <v>0</v>
      </c>
      <c r="DD807" s="161">
        <f t="shared" si="3203"/>
        <v>0</v>
      </c>
      <c r="DE807" s="161">
        <f t="shared" si="3204"/>
        <v>0</v>
      </c>
      <c r="DF807" s="161">
        <f t="shared" si="3205"/>
        <v>0</v>
      </c>
      <c r="DG807" s="161">
        <f t="shared" si="3206"/>
        <v>0</v>
      </c>
      <c r="DH807" s="161">
        <f t="shared" si="3207"/>
        <v>0</v>
      </c>
      <c r="DI807" s="161">
        <f t="shared" si="3208"/>
        <v>0</v>
      </c>
      <c r="DJ807" s="161">
        <f t="shared" si="3209"/>
        <v>0</v>
      </c>
      <c r="DK807" s="161">
        <f t="shared" si="3210"/>
        <v>0</v>
      </c>
      <c r="DL807" s="161">
        <f t="shared" si="3211"/>
        <v>0</v>
      </c>
      <c r="DM807" s="161">
        <f t="shared" si="3212"/>
        <v>0</v>
      </c>
      <c r="DN807" s="161">
        <f t="shared" si="3213"/>
        <v>0</v>
      </c>
      <c r="DO807" s="161">
        <f t="shared" si="3214"/>
        <v>0</v>
      </c>
      <c r="DP807" s="161">
        <f t="shared" si="3215"/>
        <v>0</v>
      </c>
      <c r="DQ807" s="161">
        <f t="shared" si="3216"/>
        <v>0</v>
      </c>
      <c r="DR807" s="161">
        <f t="shared" si="3217"/>
        <v>0</v>
      </c>
      <c r="DS807" s="161">
        <f t="shared" si="3218"/>
        <v>0</v>
      </c>
      <c r="DT807" s="161">
        <f t="shared" si="3219"/>
        <v>0</v>
      </c>
      <c r="DU807" s="161">
        <f t="shared" si="3220"/>
        <v>0</v>
      </c>
      <c r="DV807" s="161">
        <f t="shared" si="3221"/>
        <v>0</v>
      </c>
      <c r="DW807" s="161">
        <f t="shared" si="3222"/>
        <v>0</v>
      </c>
      <c r="DX807" s="161">
        <f t="shared" si="3223"/>
        <v>0</v>
      </c>
      <c r="DY807" s="161">
        <f t="shared" si="3224"/>
        <v>0</v>
      </c>
      <c r="DZ807" s="161">
        <f t="shared" si="3225"/>
        <v>0</v>
      </c>
      <c r="EA807" s="161">
        <f t="shared" si="3226"/>
        <v>0</v>
      </c>
      <c r="EB807" s="161">
        <f t="shared" si="3227"/>
        <v>0</v>
      </c>
      <c r="EC807" s="161">
        <f t="shared" si="3228"/>
        <v>0</v>
      </c>
      <c r="ED807" s="161">
        <f t="shared" si="3229"/>
        <v>0</v>
      </c>
      <c r="EE807" s="161">
        <f t="shared" si="3230"/>
        <v>0</v>
      </c>
      <c r="EF807" s="161">
        <f t="shared" si="3231"/>
        <v>0</v>
      </c>
      <c r="EG807" s="161">
        <f t="shared" si="3232"/>
        <v>0</v>
      </c>
      <c r="EH807" s="161">
        <f t="shared" si="3233"/>
        <v>0</v>
      </c>
      <c r="EI807" s="161">
        <f t="shared" si="3234"/>
        <v>0</v>
      </c>
    </row>
    <row r="808" spans="2:139" ht="12" customHeight="1" outlineLevel="1">
      <c r="B808" s="137" t="str">
        <f>IF(F808&gt;0,F808&amp;" - "&amp;D805,"")</f>
        <v>Motorista de Ambulância - Medicina do Trabalho</v>
      </c>
      <c r="C808" s="65"/>
      <c r="D808" s="607"/>
      <c r="E808" s="65"/>
      <c r="F808" s="164" t="s">
        <v>514</v>
      </c>
      <c r="G808" s="165"/>
      <c r="H808" s="166">
        <f t="shared" si="3247"/>
        <v>0</v>
      </c>
      <c r="I808" s="144">
        <f t="shared" si="3248"/>
        <v>0</v>
      </c>
      <c r="J808" s="65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  <c r="AB808" s="167"/>
      <c r="AC808" s="167"/>
      <c r="AD808" s="167"/>
      <c r="AE808" s="167"/>
      <c r="AF808" s="167"/>
      <c r="AG808" s="167"/>
      <c r="AH808" s="167"/>
      <c r="AI808" s="167"/>
      <c r="AJ808" s="167"/>
      <c r="AK808" s="167"/>
      <c r="AL808" s="167"/>
      <c r="AM808" s="167"/>
      <c r="AN808" s="167"/>
      <c r="AO808" s="167"/>
      <c r="AP808" s="167"/>
      <c r="AQ808" s="167"/>
      <c r="AR808" s="167"/>
      <c r="AS808" s="167"/>
      <c r="AT808" s="167"/>
      <c r="AU808" s="167"/>
      <c r="AV808" s="167"/>
      <c r="AW808" s="167"/>
      <c r="AX808" s="167"/>
      <c r="AY808" s="167"/>
      <c r="AZ808" s="167"/>
      <c r="BA808" s="167"/>
      <c r="BB808" s="167"/>
      <c r="BC808" s="167"/>
      <c r="BD808" s="167"/>
      <c r="BE808" s="167"/>
      <c r="BF808" s="167"/>
      <c r="BG808" s="167"/>
      <c r="BH808" s="167"/>
      <c r="BI808" s="167"/>
      <c r="BJ808" s="167"/>
      <c r="BK808" s="167"/>
      <c r="BL808" s="167"/>
      <c r="BM808" s="167"/>
      <c r="BN808" s="167"/>
      <c r="BO808" s="167"/>
      <c r="BP808" s="167"/>
      <c r="BQ808" s="167"/>
      <c r="BR808" s="167"/>
      <c r="BS808" s="65"/>
      <c r="BT808" s="65"/>
      <c r="BU808" s="65"/>
      <c r="BV808" s="65"/>
      <c r="BW808" s="69"/>
      <c r="BX808" s="65"/>
      <c r="BY808" s="137">
        <f t="shared" si="3235"/>
        <v>0</v>
      </c>
      <c r="BZ808" s="137">
        <f>IF(BY808&gt;0,BY808+LARGE($BZ$757:BZ807,1),0)</f>
        <v>0</v>
      </c>
      <c r="CA808" s="137" t="str">
        <f t="shared" si="3236"/>
        <v>Motorista de Ambulância</v>
      </c>
      <c r="CB808" s="161">
        <f t="shared" si="3175"/>
        <v>0</v>
      </c>
      <c r="CC808" s="161">
        <f t="shared" si="3176"/>
        <v>0</v>
      </c>
      <c r="CD808" s="161">
        <f t="shared" si="3177"/>
        <v>0</v>
      </c>
      <c r="CE808" s="161">
        <f t="shared" si="3178"/>
        <v>0</v>
      </c>
      <c r="CF808" s="161">
        <f t="shared" si="3179"/>
        <v>0</v>
      </c>
      <c r="CG808" s="161">
        <f t="shared" si="3180"/>
        <v>0</v>
      </c>
      <c r="CH808" s="161">
        <f t="shared" si="3181"/>
        <v>0</v>
      </c>
      <c r="CI808" s="161">
        <f t="shared" si="3182"/>
        <v>0</v>
      </c>
      <c r="CJ808" s="161">
        <f t="shared" si="3183"/>
        <v>0</v>
      </c>
      <c r="CK808" s="161">
        <f t="shared" si="3184"/>
        <v>0</v>
      </c>
      <c r="CL808" s="161">
        <f t="shared" si="3185"/>
        <v>0</v>
      </c>
      <c r="CM808" s="161">
        <f t="shared" si="3186"/>
        <v>0</v>
      </c>
      <c r="CN808" s="161">
        <f t="shared" si="3187"/>
        <v>0</v>
      </c>
      <c r="CO808" s="161">
        <f t="shared" si="3188"/>
        <v>0</v>
      </c>
      <c r="CP808" s="161">
        <f t="shared" si="3189"/>
        <v>0</v>
      </c>
      <c r="CQ808" s="161">
        <f t="shared" si="3190"/>
        <v>0</v>
      </c>
      <c r="CR808" s="161">
        <f t="shared" si="3191"/>
        <v>0</v>
      </c>
      <c r="CS808" s="161">
        <f t="shared" si="3192"/>
        <v>0</v>
      </c>
      <c r="CT808" s="161">
        <f t="shared" si="3193"/>
        <v>0</v>
      </c>
      <c r="CU808" s="161">
        <f t="shared" si="3194"/>
        <v>0</v>
      </c>
      <c r="CV808" s="161">
        <f t="shared" si="3195"/>
        <v>0</v>
      </c>
      <c r="CW808" s="161">
        <f t="shared" si="3196"/>
        <v>0</v>
      </c>
      <c r="CX808" s="161">
        <f t="shared" si="3197"/>
        <v>0</v>
      </c>
      <c r="CY808" s="161">
        <f t="shared" si="3198"/>
        <v>0</v>
      </c>
      <c r="CZ808" s="161">
        <f t="shared" si="3199"/>
        <v>0</v>
      </c>
      <c r="DA808" s="161">
        <f t="shared" si="3200"/>
        <v>0</v>
      </c>
      <c r="DB808" s="161">
        <f t="shared" si="3201"/>
        <v>0</v>
      </c>
      <c r="DC808" s="161">
        <f t="shared" si="3202"/>
        <v>0</v>
      </c>
      <c r="DD808" s="161">
        <f t="shared" si="3203"/>
        <v>0</v>
      </c>
      <c r="DE808" s="161">
        <f t="shared" si="3204"/>
        <v>0</v>
      </c>
      <c r="DF808" s="161">
        <f t="shared" si="3205"/>
        <v>0</v>
      </c>
      <c r="DG808" s="161">
        <f t="shared" si="3206"/>
        <v>0</v>
      </c>
      <c r="DH808" s="161">
        <f t="shared" si="3207"/>
        <v>0</v>
      </c>
      <c r="DI808" s="161">
        <f t="shared" si="3208"/>
        <v>0</v>
      </c>
      <c r="DJ808" s="161">
        <f t="shared" si="3209"/>
        <v>0</v>
      </c>
      <c r="DK808" s="161">
        <f t="shared" si="3210"/>
        <v>0</v>
      </c>
      <c r="DL808" s="161">
        <f t="shared" si="3211"/>
        <v>0</v>
      </c>
      <c r="DM808" s="161">
        <f t="shared" si="3212"/>
        <v>0</v>
      </c>
      <c r="DN808" s="161">
        <f t="shared" si="3213"/>
        <v>0</v>
      </c>
      <c r="DO808" s="161">
        <f t="shared" si="3214"/>
        <v>0</v>
      </c>
      <c r="DP808" s="161">
        <f t="shared" si="3215"/>
        <v>0</v>
      </c>
      <c r="DQ808" s="161">
        <f t="shared" si="3216"/>
        <v>0</v>
      </c>
      <c r="DR808" s="161">
        <f t="shared" si="3217"/>
        <v>0</v>
      </c>
      <c r="DS808" s="161">
        <f t="shared" si="3218"/>
        <v>0</v>
      </c>
      <c r="DT808" s="161">
        <f t="shared" si="3219"/>
        <v>0</v>
      </c>
      <c r="DU808" s="161">
        <f t="shared" si="3220"/>
        <v>0</v>
      </c>
      <c r="DV808" s="161">
        <f t="shared" si="3221"/>
        <v>0</v>
      </c>
      <c r="DW808" s="161">
        <f t="shared" si="3222"/>
        <v>0</v>
      </c>
      <c r="DX808" s="161">
        <f t="shared" si="3223"/>
        <v>0</v>
      </c>
      <c r="DY808" s="161">
        <f t="shared" si="3224"/>
        <v>0</v>
      </c>
      <c r="DZ808" s="161">
        <f t="shared" si="3225"/>
        <v>0</v>
      </c>
      <c r="EA808" s="161">
        <f t="shared" si="3226"/>
        <v>0</v>
      </c>
      <c r="EB808" s="161">
        <f t="shared" si="3227"/>
        <v>0</v>
      </c>
      <c r="EC808" s="161">
        <f t="shared" si="3228"/>
        <v>0</v>
      </c>
      <c r="ED808" s="161">
        <f t="shared" si="3229"/>
        <v>0</v>
      </c>
      <c r="EE808" s="161">
        <f t="shared" si="3230"/>
        <v>0</v>
      </c>
      <c r="EF808" s="161">
        <f t="shared" si="3231"/>
        <v>0</v>
      </c>
      <c r="EG808" s="161">
        <f t="shared" si="3232"/>
        <v>0</v>
      </c>
      <c r="EH808" s="161">
        <f t="shared" si="3233"/>
        <v>0</v>
      </c>
      <c r="EI808" s="161">
        <f t="shared" si="3234"/>
        <v>0</v>
      </c>
    </row>
    <row r="809" spans="2:139" ht="12" customHeight="1" outlineLevel="1">
      <c r="B809" s="137" t="str">
        <f>IF(F809&gt;0,F809&amp;" - "&amp;D805,"")</f>
        <v>Bombeiro - Medicina do Trabalho</v>
      </c>
      <c r="C809" s="65"/>
      <c r="D809" s="607"/>
      <c r="E809" s="65"/>
      <c r="F809" s="164" t="s">
        <v>515</v>
      </c>
      <c r="G809" s="165"/>
      <c r="H809" s="166">
        <f t="shared" si="3247"/>
        <v>0</v>
      </c>
      <c r="I809" s="144">
        <f t="shared" si="3248"/>
        <v>0</v>
      </c>
      <c r="J809" s="65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  <c r="AB809" s="167"/>
      <c r="AC809" s="167"/>
      <c r="AD809" s="167"/>
      <c r="AE809" s="167"/>
      <c r="AF809" s="167"/>
      <c r="AG809" s="167"/>
      <c r="AH809" s="167"/>
      <c r="AI809" s="167"/>
      <c r="AJ809" s="167"/>
      <c r="AK809" s="167"/>
      <c r="AL809" s="167"/>
      <c r="AM809" s="167"/>
      <c r="AN809" s="167"/>
      <c r="AO809" s="167"/>
      <c r="AP809" s="167"/>
      <c r="AQ809" s="167"/>
      <c r="AR809" s="167"/>
      <c r="AS809" s="167"/>
      <c r="AT809" s="167"/>
      <c r="AU809" s="167"/>
      <c r="AV809" s="167"/>
      <c r="AW809" s="167"/>
      <c r="AX809" s="167"/>
      <c r="AY809" s="167"/>
      <c r="AZ809" s="167"/>
      <c r="BA809" s="167"/>
      <c r="BB809" s="167"/>
      <c r="BC809" s="167"/>
      <c r="BD809" s="167"/>
      <c r="BE809" s="167"/>
      <c r="BF809" s="167"/>
      <c r="BG809" s="167"/>
      <c r="BH809" s="167"/>
      <c r="BI809" s="167"/>
      <c r="BJ809" s="167"/>
      <c r="BK809" s="167"/>
      <c r="BL809" s="167"/>
      <c r="BM809" s="167"/>
      <c r="BN809" s="167"/>
      <c r="BO809" s="167"/>
      <c r="BP809" s="167"/>
      <c r="BQ809" s="167"/>
      <c r="BR809" s="167"/>
      <c r="BS809" s="65"/>
      <c r="BT809" s="65"/>
      <c r="BU809" s="65"/>
      <c r="BV809" s="65"/>
      <c r="BW809" s="69"/>
      <c r="BX809" s="65"/>
      <c r="BY809" s="137">
        <f t="shared" si="3235"/>
        <v>0</v>
      </c>
      <c r="BZ809" s="137">
        <f>IF(BY809&gt;0,BY809+LARGE($BZ$757:BZ808,1),0)</f>
        <v>0</v>
      </c>
      <c r="CA809" s="137" t="str">
        <f t="shared" si="3236"/>
        <v>Bombeiro</v>
      </c>
      <c r="CB809" s="161">
        <f t="shared" si="3175"/>
        <v>0</v>
      </c>
      <c r="CC809" s="161">
        <f t="shared" si="3176"/>
        <v>0</v>
      </c>
      <c r="CD809" s="161">
        <f t="shared" si="3177"/>
        <v>0</v>
      </c>
      <c r="CE809" s="161">
        <f t="shared" si="3178"/>
        <v>0</v>
      </c>
      <c r="CF809" s="161">
        <f t="shared" si="3179"/>
        <v>0</v>
      </c>
      <c r="CG809" s="161">
        <f t="shared" si="3180"/>
        <v>0</v>
      </c>
      <c r="CH809" s="161">
        <f t="shared" si="3181"/>
        <v>0</v>
      </c>
      <c r="CI809" s="161">
        <f t="shared" si="3182"/>
        <v>0</v>
      </c>
      <c r="CJ809" s="161">
        <f t="shared" si="3183"/>
        <v>0</v>
      </c>
      <c r="CK809" s="161">
        <f t="shared" si="3184"/>
        <v>0</v>
      </c>
      <c r="CL809" s="161">
        <f t="shared" si="3185"/>
        <v>0</v>
      </c>
      <c r="CM809" s="161">
        <f t="shared" si="3186"/>
        <v>0</v>
      </c>
      <c r="CN809" s="161">
        <f t="shared" si="3187"/>
        <v>0</v>
      </c>
      <c r="CO809" s="161">
        <f t="shared" si="3188"/>
        <v>0</v>
      </c>
      <c r="CP809" s="161">
        <f t="shared" si="3189"/>
        <v>0</v>
      </c>
      <c r="CQ809" s="161">
        <f t="shared" si="3190"/>
        <v>0</v>
      </c>
      <c r="CR809" s="161">
        <f t="shared" si="3191"/>
        <v>0</v>
      </c>
      <c r="CS809" s="161">
        <f t="shared" si="3192"/>
        <v>0</v>
      </c>
      <c r="CT809" s="161">
        <f t="shared" si="3193"/>
        <v>0</v>
      </c>
      <c r="CU809" s="161">
        <f t="shared" si="3194"/>
        <v>0</v>
      </c>
      <c r="CV809" s="161">
        <f t="shared" si="3195"/>
        <v>0</v>
      </c>
      <c r="CW809" s="161">
        <f t="shared" si="3196"/>
        <v>0</v>
      </c>
      <c r="CX809" s="161">
        <f t="shared" si="3197"/>
        <v>0</v>
      </c>
      <c r="CY809" s="161">
        <f t="shared" si="3198"/>
        <v>0</v>
      </c>
      <c r="CZ809" s="161">
        <f t="shared" si="3199"/>
        <v>0</v>
      </c>
      <c r="DA809" s="161">
        <f t="shared" si="3200"/>
        <v>0</v>
      </c>
      <c r="DB809" s="161">
        <f t="shared" si="3201"/>
        <v>0</v>
      </c>
      <c r="DC809" s="161">
        <f t="shared" si="3202"/>
        <v>0</v>
      </c>
      <c r="DD809" s="161">
        <f t="shared" si="3203"/>
        <v>0</v>
      </c>
      <c r="DE809" s="161">
        <f t="shared" si="3204"/>
        <v>0</v>
      </c>
      <c r="DF809" s="161">
        <f t="shared" si="3205"/>
        <v>0</v>
      </c>
      <c r="DG809" s="161">
        <f t="shared" si="3206"/>
        <v>0</v>
      </c>
      <c r="DH809" s="161">
        <f t="shared" si="3207"/>
        <v>0</v>
      </c>
      <c r="DI809" s="161">
        <f t="shared" si="3208"/>
        <v>0</v>
      </c>
      <c r="DJ809" s="161">
        <f t="shared" si="3209"/>
        <v>0</v>
      </c>
      <c r="DK809" s="161">
        <f t="shared" si="3210"/>
        <v>0</v>
      </c>
      <c r="DL809" s="161">
        <f t="shared" si="3211"/>
        <v>0</v>
      </c>
      <c r="DM809" s="161">
        <f t="shared" si="3212"/>
        <v>0</v>
      </c>
      <c r="DN809" s="161">
        <f t="shared" si="3213"/>
        <v>0</v>
      </c>
      <c r="DO809" s="161">
        <f t="shared" si="3214"/>
        <v>0</v>
      </c>
      <c r="DP809" s="161">
        <f t="shared" si="3215"/>
        <v>0</v>
      </c>
      <c r="DQ809" s="161">
        <f t="shared" si="3216"/>
        <v>0</v>
      </c>
      <c r="DR809" s="161">
        <f t="shared" si="3217"/>
        <v>0</v>
      </c>
      <c r="DS809" s="161">
        <f t="shared" si="3218"/>
        <v>0</v>
      </c>
      <c r="DT809" s="161">
        <f t="shared" si="3219"/>
        <v>0</v>
      </c>
      <c r="DU809" s="161">
        <f t="shared" si="3220"/>
        <v>0</v>
      </c>
      <c r="DV809" s="161">
        <f t="shared" si="3221"/>
        <v>0</v>
      </c>
      <c r="DW809" s="161">
        <f t="shared" si="3222"/>
        <v>0</v>
      </c>
      <c r="DX809" s="161">
        <f t="shared" si="3223"/>
        <v>0</v>
      </c>
      <c r="DY809" s="161">
        <f t="shared" si="3224"/>
        <v>0</v>
      </c>
      <c r="DZ809" s="161">
        <f t="shared" si="3225"/>
        <v>0</v>
      </c>
      <c r="EA809" s="161">
        <f t="shared" si="3226"/>
        <v>0</v>
      </c>
      <c r="EB809" s="161">
        <f t="shared" si="3227"/>
        <v>0</v>
      </c>
      <c r="EC809" s="161">
        <f t="shared" si="3228"/>
        <v>0</v>
      </c>
      <c r="ED809" s="161">
        <f t="shared" si="3229"/>
        <v>0</v>
      </c>
      <c r="EE809" s="161">
        <f t="shared" si="3230"/>
        <v>0</v>
      </c>
      <c r="EF809" s="161">
        <f t="shared" si="3231"/>
        <v>0</v>
      </c>
      <c r="EG809" s="161">
        <f t="shared" si="3232"/>
        <v>0</v>
      </c>
      <c r="EH809" s="161">
        <f t="shared" si="3233"/>
        <v>0</v>
      </c>
      <c r="EI809" s="161">
        <f t="shared" si="3234"/>
        <v>0</v>
      </c>
    </row>
    <row r="810" spans="2:139" ht="12" customHeight="1" outlineLevel="1">
      <c r="B810" s="137" t="str">
        <f>IF(F810&gt;0,F810&amp;" - "&amp;D805,"")</f>
        <v/>
      </c>
      <c r="C810" s="65"/>
      <c r="D810" s="607"/>
      <c r="E810" s="65"/>
      <c r="F810" s="164"/>
      <c r="G810" s="165"/>
      <c r="H810" s="166">
        <f t="shared" si="3247"/>
        <v>0</v>
      </c>
      <c r="I810" s="144">
        <f t="shared" si="3248"/>
        <v>0</v>
      </c>
      <c r="J810" s="65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  <c r="AB810" s="167"/>
      <c r="AC810" s="167"/>
      <c r="AD810" s="167"/>
      <c r="AE810" s="167"/>
      <c r="AF810" s="167"/>
      <c r="AG810" s="167"/>
      <c r="AH810" s="167"/>
      <c r="AI810" s="167"/>
      <c r="AJ810" s="167"/>
      <c r="AK810" s="167"/>
      <c r="AL810" s="167"/>
      <c r="AM810" s="167"/>
      <c r="AN810" s="167"/>
      <c r="AO810" s="167"/>
      <c r="AP810" s="167"/>
      <c r="AQ810" s="167"/>
      <c r="AR810" s="167"/>
      <c r="AS810" s="167"/>
      <c r="AT810" s="167"/>
      <c r="AU810" s="167"/>
      <c r="AV810" s="167"/>
      <c r="AW810" s="167"/>
      <c r="AX810" s="167"/>
      <c r="AY810" s="167"/>
      <c r="AZ810" s="167"/>
      <c r="BA810" s="167"/>
      <c r="BB810" s="167"/>
      <c r="BC810" s="167"/>
      <c r="BD810" s="167"/>
      <c r="BE810" s="167"/>
      <c r="BF810" s="167"/>
      <c r="BG810" s="167"/>
      <c r="BH810" s="167"/>
      <c r="BI810" s="167"/>
      <c r="BJ810" s="167"/>
      <c r="BK810" s="167"/>
      <c r="BL810" s="167"/>
      <c r="BM810" s="167"/>
      <c r="BN810" s="167"/>
      <c r="BO810" s="167"/>
      <c r="BP810" s="167"/>
      <c r="BQ810" s="167"/>
      <c r="BR810" s="167"/>
      <c r="BS810" s="65"/>
      <c r="BT810" s="65"/>
      <c r="BU810" s="65"/>
      <c r="BV810" s="65"/>
      <c r="BW810" s="69"/>
      <c r="BX810" s="65"/>
      <c r="BY810" s="137">
        <f t="shared" si="3235"/>
        <v>0</v>
      </c>
      <c r="BZ810" s="137">
        <f>IF(BY810&gt;0,BY810+LARGE($BZ$757:BZ809,1),0)</f>
        <v>0</v>
      </c>
      <c r="CA810" s="137">
        <f t="shared" si="3236"/>
        <v>0</v>
      </c>
      <c r="CB810" s="161">
        <f t="shared" si="3175"/>
        <v>0</v>
      </c>
      <c r="CC810" s="161">
        <f t="shared" si="3176"/>
        <v>0</v>
      </c>
      <c r="CD810" s="161">
        <f t="shared" si="3177"/>
        <v>0</v>
      </c>
      <c r="CE810" s="161">
        <f t="shared" si="3178"/>
        <v>0</v>
      </c>
      <c r="CF810" s="161">
        <f t="shared" si="3179"/>
        <v>0</v>
      </c>
      <c r="CG810" s="161">
        <f t="shared" si="3180"/>
        <v>0</v>
      </c>
      <c r="CH810" s="161">
        <f t="shared" si="3181"/>
        <v>0</v>
      </c>
      <c r="CI810" s="161">
        <f t="shared" si="3182"/>
        <v>0</v>
      </c>
      <c r="CJ810" s="161">
        <f t="shared" si="3183"/>
        <v>0</v>
      </c>
      <c r="CK810" s="161">
        <f t="shared" si="3184"/>
        <v>0</v>
      </c>
      <c r="CL810" s="161">
        <f t="shared" si="3185"/>
        <v>0</v>
      </c>
      <c r="CM810" s="161">
        <f t="shared" si="3186"/>
        <v>0</v>
      </c>
      <c r="CN810" s="161">
        <f t="shared" si="3187"/>
        <v>0</v>
      </c>
      <c r="CO810" s="161">
        <f t="shared" si="3188"/>
        <v>0</v>
      </c>
      <c r="CP810" s="161">
        <f t="shared" si="3189"/>
        <v>0</v>
      </c>
      <c r="CQ810" s="161">
        <f t="shared" si="3190"/>
        <v>0</v>
      </c>
      <c r="CR810" s="161">
        <f t="shared" si="3191"/>
        <v>0</v>
      </c>
      <c r="CS810" s="161">
        <f t="shared" si="3192"/>
        <v>0</v>
      </c>
      <c r="CT810" s="161">
        <f t="shared" si="3193"/>
        <v>0</v>
      </c>
      <c r="CU810" s="161">
        <f t="shared" si="3194"/>
        <v>0</v>
      </c>
      <c r="CV810" s="161">
        <f t="shared" si="3195"/>
        <v>0</v>
      </c>
      <c r="CW810" s="161">
        <f t="shared" si="3196"/>
        <v>0</v>
      </c>
      <c r="CX810" s="161">
        <f t="shared" si="3197"/>
        <v>0</v>
      </c>
      <c r="CY810" s="161">
        <f t="shared" si="3198"/>
        <v>0</v>
      </c>
      <c r="CZ810" s="161">
        <f t="shared" si="3199"/>
        <v>0</v>
      </c>
      <c r="DA810" s="161">
        <f t="shared" si="3200"/>
        <v>0</v>
      </c>
      <c r="DB810" s="161">
        <f t="shared" si="3201"/>
        <v>0</v>
      </c>
      <c r="DC810" s="161">
        <f t="shared" si="3202"/>
        <v>0</v>
      </c>
      <c r="DD810" s="161">
        <f t="shared" si="3203"/>
        <v>0</v>
      </c>
      <c r="DE810" s="161">
        <f t="shared" si="3204"/>
        <v>0</v>
      </c>
      <c r="DF810" s="161">
        <f t="shared" si="3205"/>
        <v>0</v>
      </c>
      <c r="DG810" s="161">
        <f t="shared" si="3206"/>
        <v>0</v>
      </c>
      <c r="DH810" s="161">
        <f t="shared" si="3207"/>
        <v>0</v>
      </c>
      <c r="DI810" s="161">
        <f t="shared" si="3208"/>
        <v>0</v>
      </c>
      <c r="DJ810" s="161">
        <f t="shared" si="3209"/>
        <v>0</v>
      </c>
      <c r="DK810" s="161">
        <f t="shared" si="3210"/>
        <v>0</v>
      </c>
      <c r="DL810" s="161">
        <f t="shared" si="3211"/>
        <v>0</v>
      </c>
      <c r="DM810" s="161">
        <f t="shared" si="3212"/>
        <v>0</v>
      </c>
      <c r="DN810" s="161">
        <f t="shared" si="3213"/>
        <v>0</v>
      </c>
      <c r="DO810" s="161">
        <f t="shared" si="3214"/>
        <v>0</v>
      </c>
      <c r="DP810" s="161">
        <f t="shared" si="3215"/>
        <v>0</v>
      </c>
      <c r="DQ810" s="161">
        <f t="shared" si="3216"/>
        <v>0</v>
      </c>
      <c r="DR810" s="161">
        <f t="shared" si="3217"/>
        <v>0</v>
      </c>
      <c r="DS810" s="161">
        <f t="shared" si="3218"/>
        <v>0</v>
      </c>
      <c r="DT810" s="161">
        <f t="shared" si="3219"/>
        <v>0</v>
      </c>
      <c r="DU810" s="161">
        <f t="shared" si="3220"/>
        <v>0</v>
      </c>
      <c r="DV810" s="161">
        <f t="shared" si="3221"/>
        <v>0</v>
      </c>
      <c r="DW810" s="161">
        <f t="shared" si="3222"/>
        <v>0</v>
      </c>
      <c r="DX810" s="161">
        <f t="shared" si="3223"/>
        <v>0</v>
      </c>
      <c r="DY810" s="161">
        <f t="shared" si="3224"/>
        <v>0</v>
      </c>
      <c r="DZ810" s="161">
        <f t="shared" si="3225"/>
        <v>0</v>
      </c>
      <c r="EA810" s="161">
        <f t="shared" si="3226"/>
        <v>0</v>
      </c>
      <c r="EB810" s="161">
        <f t="shared" si="3227"/>
        <v>0</v>
      </c>
      <c r="EC810" s="161">
        <f t="shared" si="3228"/>
        <v>0</v>
      </c>
      <c r="ED810" s="161">
        <f t="shared" si="3229"/>
        <v>0</v>
      </c>
      <c r="EE810" s="161">
        <f t="shared" si="3230"/>
        <v>0</v>
      </c>
      <c r="EF810" s="161">
        <f t="shared" si="3231"/>
        <v>0</v>
      </c>
      <c r="EG810" s="161">
        <f t="shared" si="3232"/>
        <v>0</v>
      </c>
      <c r="EH810" s="161">
        <f t="shared" si="3233"/>
        <v>0</v>
      </c>
      <c r="EI810" s="161">
        <f t="shared" si="3234"/>
        <v>0</v>
      </c>
    </row>
    <row r="811" spans="2:139" ht="12" customHeight="1" outlineLevel="1">
      <c r="B811" s="137" t="str">
        <f>IF(F811&gt;0,F811&amp;" - "&amp;D805,"")</f>
        <v/>
      </c>
      <c r="C811" s="65"/>
      <c r="D811" s="607"/>
      <c r="E811" s="65"/>
      <c r="F811" s="164"/>
      <c r="G811" s="165"/>
      <c r="H811" s="166">
        <f t="shared" si="3247"/>
        <v>0</v>
      </c>
      <c r="I811" s="144">
        <f t="shared" si="3248"/>
        <v>0</v>
      </c>
      <c r="J811" s="65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  <c r="AB811" s="167"/>
      <c r="AC811" s="167"/>
      <c r="AD811" s="167"/>
      <c r="AE811" s="167"/>
      <c r="AF811" s="167"/>
      <c r="AG811" s="167"/>
      <c r="AH811" s="167"/>
      <c r="AI811" s="167"/>
      <c r="AJ811" s="167"/>
      <c r="AK811" s="167"/>
      <c r="AL811" s="167"/>
      <c r="AM811" s="167"/>
      <c r="AN811" s="167"/>
      <c r="AO811" s="167"/>
      <c r="AP811" s="167"/>
      <c r="AQ811" s="167"/>
      <c r="AR811" s="167"/>
      <c r="AS811" s="167"/>
      <c r="AT811" s="167"/>
      <c r="AU811" s="167"/>
      <c r="AV811" s="167"/>
      <c r="AW811" s="167"/>
      <c r="AX811" s="167"/>
      <c r="AY811" s="167"/>
      <c r="AZ811" s="167"/>
      <c r="BA811" s="167"/>
      <c r="BB811" s="167"/>
      <c r="BC811" s="167"/>
      <c r="BD811" s="167"/>
      <c r="BE811" s="167"/>
      <c r="BF811" s="167"/>
      <c r="BG811" s="167"/>
      <c r="BH811" s="167"/>
      <c r="BI811" s="167"/>
      <c r="BJ811" s="167"/>
      <c r="BK811" s="167"/>
      <c r="BL811" s="167"/>
      <c r="BM811" s="167"/>
      <c r="BN811" s="167"/>
      <c r="BO811" s="167"/>
      <c r="BP811" s="167"/>
      <c r="BQ811" s="167"/>
      <c r="BR811" s="167"/>
      <c r="BS811" s="65"/>
      <c r="BT811" s="65"/>
      <c r="BU811" s="65"/>
      <c r="BV811" s="65"/>
      <c r="BW811" s="69"/>
      <c r="BX811" s="65"/>
      <c r="BY811" s="137">
        <f t="shared" si="3235"/>
        <v>0</v>
      </c>
      <c r="BZ811" s="137">
        <f>IF(BY811&gt;0,BY811+LARGE($BZ$757:BZ810,1),0)</f>
        <v>0</v>
      </c>
      <c r="CA811" s="137">
        <f t="shared" si="3236"/>
        <v>0</v>
      </c>
      <c r="CB811" s="161">
        <f t="shared" si="3175"/>
        <v>0</v>
      </c>
      <c r="CC811" s="161">
        <f t="shared" si="3176"/>
        <v>0</v>
      </c>
      <c r="CD811" s="161">
        <f t="shared" si="3177"/>
        <v>0</v>
      </c>
      <c r="CE811" s="161">
        <f t="shared" si="3178"/>
        <v>0</v>
      </c>
      <c r="CF811" s="161">
        <f t="shared" si="3179"/>
        <v>0</v>
      </c>
      <c r="CG811" s="161">
        <f t="shared" si="3180"/>
        <v>0</v>
      </c>
      <c r="CH811" s="161">
        <f t="shared" si="3181"/>
        <v>0</v>
      </c>
      <c r="CI811" s="161">
        <f t="shared" si="3182"/>
        <v>0</v>
      </c>
      <c r="CJ811" s="161">
        <f t="shared" si="3183"/>
        <v>0</v>
      </c>
      <c r="CK811" s="161">
        <f t="shared" si="3184"/>
        <v>0</v>
      </c>
      <c r="CL811" s="161">
        <f t="shared" si="3185"/>
        <v>0</v>
      </c>
      <c r="CM811" s="161">
        <f t="shared" si="3186"/>
        <v>0</v>
      </c>
      <c r="CN811" s="161">
        <f t="shared" si="3187"/>
        <v>0</v>
      </c>
      <c r="CO811" s="161">
        <f t="shared" si="3188"/>
        <v>0</v>
      </c>
      <c r="CP811" s="161">
        <f t="shared" si="3189"/>
        <v>0</v>
      </c>
      <c r="CQ811" s="161">
        <f t="shared" si="3190"/>
        <v>0</v>
      </c>
      <c r="CR811" s="161">
        <f t="shared" si="3191"/>
        <v>0</v>
      </c>
      <c r="CS811" s="161">
        <f t="shared" si="3192"/>
        <v>0</v>
      </c>
      <c r="CT811" s="161">
        <f t="shared" si="3193"/>
        <v>0</v>
      </c>
      <c r="CU811" s="161">
        <f t="shared" si="3194"/>
        <v>0</v>
      </c>
      <c r="CV811" s="161">
        <f t="shared" si="3195"/>
        <v>0</v>
      </c>
      <c r="CW811" s="161">
        <f t="shared" si="3196"/>
        <v>0</v>
      </c>
      <c r="CX811" s="161">
        <f t="shared" si="3197"/>
        <v>0</v>
      </c>
      <c r="CY811" s="161">
        <f t="shared" si="3198"/>
        <v>0</v>
      </c>
      <c r="CZ811" s="161">
        <f t="shared" si="3199"/>
        <v>0</v>
      </c>
      <c r="DA811" s="161">
        <f t="shared" si="3200"/>
        <v>0</v>
      </c>
      <c r="DB811" s="161">
        <f t="shared" si="3201"/>
        <v>0</v>
      </c>
      <c r="DC811" s="161">
        <f t="shared" si="3202"/>
        <v>0</v>
      </c>
      <c r="DD811" s="161">
        <f t="shared" si="3203"/>
        <v>0</v>
      </c>
      <c r="DE811" s="161">
        <f t="shared" si="3204"/>
        <v>0</v>
      </c>
      <c r="DF811" s="161">
        <f t="shared" si="3205"/>
        <v>0</v>
      </c>
      <c r="DG811" s="161">
        <f t="shared" si="3206"/>
        <v>0</v>
      </c>
      <c r="DH811" s="161">
        <f t="shared" si="3207"/>
        <v>0</v>
      </c>
      <c r="DI811" s="161">
        <f t="shared" si="3208"/>
        <v>0</v>
      </c>
      <c r="DJ811" s="161">
        <f t="shared" si="3209"/>
        <v>0</v>
      </c>
      <c r="DK811" s="161">
        <f t="shared" si="3210"/>
        <v>0</v>
      </c>
      <c r="DL811" s="161">
        <f t="shared" si="3211"/>
        <v>0</v>
      </c>
      <c r="DM811" s="161">
        <f t="shared" si="3212"/>
        <v>0</v>
      </c>
      <c r="DN811" s="161">
        <f t="shared" si="3213"/>
        <v>0</v>
      </c>
      <c r="DO811" s="161">
        <f t="shared" si="3214"/>
        <v>0</v>
      </c>
      <c r="DP811" s="161">
        <f t="shared" si="3215"/>
        <v>0</v>
      </c>
      <c r="DQ811" s="161">
        <f t="shared" si="3216"/>
        <v>0</v>
      </c>
      <c r="DR811" s="161">
        <f t="shared" si="3217"/>
        <v>0</v>
      </c>
      <c r="DS811" s="161">
        <f t="shared" si="3218"/>
        <v>0</v>
      </c>
      <c r="DT811" s="161">
        <f t="shared" si="3219"/>
        <v>0</v>
      </c>
      <c r="DU811" s="161">
        <f t="shared" si="3220"/>
        <v>0</v>
      </c>
      <c r="DV811" s="161">
        <f t="shared" si="3221"/>
        <v>0</v>
      </c>
      <c r="DW811" s="161">
        <f t="shared" si="3222"/>
        <v>0</v>
      </c>
      <c r="DX811" s="161">
        <f t="shared" si="3223"/>
        <v>0</v>
      </c>
      <c r="DY811" s="161">
        <f t="shared" si="3224"/>
        <v>0</v>
      </c>
      <c r="DZ811" s="161">
        <f t="shared" si="3225"/>
        <v>0</v>
      </c>
      <c r="EA811" s="161">
        <f t="shared" si="3226"/>
        <v>0</v>
      </c>
      <c r="EB811" s="161">
        <f t="shared" si="3227"/>
        <v>0</v>
      </c>
      <c r="EC811" s="161">
        <f t="shared" si="3228"/>
        <v>0</v>
      </c>
      <c r="ED811" s="161">
        <f t="shared" si="3229"/>
        <v>0</v>
      </c>
      <c r="EE811" s="161">
        <f t="shared" si="3230"/>
        <v>0</v>
      </c>
      <c r="EF811" s="161">
        <f t="shared" si="3231"/>
        <v>0</v>
      </c>
      <c r="EG811" s="161">
        <f t="shared" si="3232"/>
        <v>0</v>
      </c>
      <c r="EH811" s="161">
        <f t="shared" si="3233"/>
        <v>0</v>
      </c>
      <c r="EI811" s="161">
        <f t="shared" si="3234"/>
        <v>0</v>
      </c>
    </row>
    <row r="812" spans="2:139" ht="6" customHeight="1" outlineLevel="1"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  <c r="AM812" s="65"/>
      <c r="AN812" s="65"/>
      <c r="AO812" s="65"/>
      <c r="AP812" s="65"/>
      <c r="AQ812" s="65"/>
      <c r="AR812" s="65"/>
      <c r="AS812" s="65"/>
      <c r="AT812" s="65"/>
      <c r="AU812" s="65"/>
      <c r="AV812" s="65"/>
      <c r="AW812" s="65"/>
      <c r="AX812" s="65"/>
      <c r="AY812" s="65"/>
      <c r="AZ812" s="65"/>
      <c r="BA812" s="65"/>
      <c r="BB812" s="65"/>
      <c r="BC812" s="65"/>
      <c r="BD812" s="65"/>
      <c r="BE812" s="65"/>
      <c r="BF812" s="65"/>
      <c r="BG812" s="65"/>
      <c r="BH812" s="65"/>
      <c r="BI812" s="65"/>
      <c r="BJ812" s="65"/>
      <c r="BK812" s="65"/>
      <c r="BL812" s="65"/>
      <c r="BM812" s="65"/>
      <c r="BN812" s="65"/>
      <c r="BO812" s="65"/>
      <c r="BP812" s="65"/>
      <c r="BQ812" s="65"/>
      <c r="BR812" s="65"/>
      <c r="BS812" s="65"/>
      <c r="BT812" s="65"/>
      <c r="BU812" s="65"/>
      <c r="BV812" s="65"/>
      <c r="BW812" s="69"/>
      <c r="BX812" s="65"/>
      <c r="BY812" s="65"/>
      <c r="BZ812" s="65"/>
      <c r="CA812" s="65"/>
      <c r="CB812" s="65"/>
      <c r="CC812" s="65"/>
      <c r="CD812" s="65"/>
      <c r="CE812" s="65"/>
      <c r="CF812" s="65"/>
      <c r="CG812" s="65"/>
      <c r="CH812" s="65"/>
      <c r="CI812" s="65"/>
      <c r="CJ812" s="65"/>
      <c r="CK812" s="65"/>
      <c r="CL812" s="65"/>
      <c r="CM812" s="65"/>
      <c r="CN812" s="65"/>
      <c r="CO812" s="65"/>
      <c r="CP812" s="65"/>
      <c r="CQ812" s="65"/>
      <c r="CR812" s="65"/>
      <c r="CS812" s="65"/>
      <c r="CT812" s="65"/>
      <c r="CU812" s="65"/>
      <c r="CV812" s="65"/>
      <c r="CW812" s="65"/>
      <c r="CX812" s="65"/>
      <c r="CY812" s="65"/>
      <c r="CZ812" s="65"/>
      <c r="DA812" s="65"/>
      <c r="DB812" s="65"/>
      <c r="DC812" s="65"/>
      <c r="DD812" s="65"/>
      <c r="DE812" s="65"/>
      <c r="DF812" s="65"/>
      <c r="DG812" s="65"/>
      <c r="DH812" s="65"/>
      <c r="DI812" s="65"/>
      <c r="DJ812" s="65"/>
      <c r="DK812" s="65"/>
      <c r="DL812" s="65"/>
      <c r="DM812" s="65"/>
      <c r="DN812" s="65"/>
      <c r="DO812" s="65"/>
      <c r="DP812" s="65"/>
      <c r="DQ812" s="65"/>
      <c r="DR812" s="65"/>
      <c r="DS812" s="65"/>
      <c r="DT812" s="65"/>
      <c r="DU812" s="65"/>
      <c r="DV812" s="65"/>
      <c r="DW812" s="65"/>
      <c r="DX812" s="65"/>
      <c r="DY812" s="65"/>
      <c r="DZ812" s="65"/>
      <c r="EA812" s="65"/>
      <c r="EB812" s="65"/>
      <c r="EC812" s="65"/>
      <c r="ED812" s="65"/>
      <c r="EE812" s="65"/>
      <c r="EF812" s="65"/>
      <c r="EG812" s="65"/>
      <c r="EH812" s="65"/>
      <c r="EI812" s="65"/>
    </row>
    <row r="813" spans="2:139" ht="12" customHeight="1" outlineLevel="1">
      <c r="B813" s="137" t="str">
        <f>IF(F813&gt;0,F813&amp;" - "&amp;D813,"")</f>
        <v>Coordenador de Projetos - Projeto</v>
      </c>
      <c r="C813" s="65"/>
      <c r="D813" s="607" t="s">
        <v>13</v>
      </c>
      <c r="E813" s="65"/>
      <c r="F813" s="164" t="s">
        <v>516</v>
      </c>
      <c r="G813" s="165"/>
      <c r="H813" s="166">
        <f t="shared" ref="H813:H819" si="3249">IFERROR(SUM(K813:BR813)/COUNTIF(K813:BR813,"&gt;0"),0)</f>
        <v>0</v>
      </c>
      <c r="I813" s="144">
        <f t="shared" ref="I813:I819" si="3250">COUNTIF(K813:BR813,"&gt;0")</f>
        <v>0</v>
      </c>
      <c r="J813" s="65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  <c r="AB813" s="167"/>
      <c r="AC813" s="167"/>
      <c r="AD813" s="167"/>
      <c r="AE813" s="167"/>
      <c r="AF813" s="167"/>
      <c r="AG813" s="167"/>
      <c r="AH813" s="167"/>
      <c r="AI813" s="167"/>
      <c r="AJ813" s="167"/>
      <c r="AK813" s="167"/>
      <c r="AL813" s="167"/>
      <c r="AM813" s="167"/>
      <c r="AN813" s="167"/>
      <c r="AO813" s="167"/>
      <c r="AP813" s="167"/>
      <c r="AQ813" s="167"/>
      <c r="AR813" s="167"/>
      <c r="AS813" s="167"/>
      <c r="AT813" s="167"/>
      <c r="AU813" s="167"/>
      <c r="AV813" s="167"/>
      <c r="AW813" s="167"/>
      <c r="AX813" s="167"/>
      <c r="AY813" s="167"/>
      <c r="AZ813" s="167"/>
      <c r="BA813" s="167"/>
      <c r="BB813" s="167"/>
      <c r="BC813" s="167"/>
      <c r="BD813" s="167"/>
      <c r="BE813" s="167"/>
      <c r="BF813" s="167"/>
      <c r="BG813" s="167"/>
      <c r="BH813" s="167"/>
      <c r="BI813" s="167"/>
      <c r="BJ813" s="167"/>
      <c r="BK813" s="167"/>
      <c r="BL813" s="167"/>
      <c r="BM813" s="167"/>
      <c r="BN813" s="167"/>
      <c r="BO813" s="167"/>
      <c r="BP813" s="167"/>
      <c r="BQ813" s="167"/>
      <c r="BR813" s="167"/>
      <c r="BS813" s="65"/>
      <c r="BT813" s="65"/>
      <c r="BU813" s="65"/>
      <c r="BV813" s="65"/>
      <c r="BW813" s="69"/>
      <c r="BX813" s="65"/>
      <c r="BY813" s="137">
        <f t="shared" si="3235"/>
        <v>0</v>
      </c>
      <c r="BZ813" s="137">
        <f>IF(BY813&gt;0,BY813+LARGE($BZ$757:BZ812,1),0)</f>
        <v>0</v>
      </c>
      <c r="CA813" s="137" t="str">
        <f t="shared" si="3236"/>
        <v>Coordenador de Projetos</v>
      </c>
      <c r="CB813" s="161">
        <f t="shared" si="3175"/>
        <v>0</v>
      </c>
      <c r="CC813" s="161">
        <f t="shared" si="3176"/>
        <v>0</v>
      </c>
      <c r="CD813" s="161">
        <f t="shared" si="3177"/>
        <v>0</v>
      </c>
      <c r="CE813" s="161">
        <f t="shared" si="3178"/>
        <v>0</v>
      </c>
      <c r="CF813" s="161">
        <f t="shared" si="3179"/>
        <v>0</v>
      </c>
      <c r="CG813" s="161">
        <f t="shared" si="3180"/>
        <v>0</v>
      </c>
      <c r="CH813" s="161">
        <f t="shared" si="3181"/>
        <v>0</v>
      </c>
      <c r="CI813" s="161">
        <f t="shared" si="3182"/>
        <v>0</v>
      </c>
      <c r="CJ813" s="161">
        <f t="shared" si="3183"/>
        <v>0</v>
      </c>
      <c r="CK813" s="161">
        <f t="shared" si="3184"/>
        <v>0</v>
      </c>
      <c r="CL813" s="161">
        <f t="shared" si="3185"/>
        <v>0</v>
      </c>
      <c r="CM813" s="161">
        <f t="shared" si="3186"/>
        <v>0</v>
      </c>
      <c r="CN813" s="161">
        <f t="shared" si="3187"/>
        <v>0</v>
      </c>
      <c r="CO813" s="161">
        <f t="shared" si="3188"/>
        <v>0</v>
      </c>
      <c r="CP813" s="161">
        <f t="shared" si="3189"/>
        <v>0</v>
      </c>
      <c r="CQ813" s="161">
        <f t="shared" si="3190"/>
        <v>0</v>
      </c>
      <c r="CR813" s="161">
        <f t="shared" si="3191"/>
        <v>0</v>
      </c>
      <c r="CS813" s="161">
        <f t="shared" si="3192"/>
        <v>0</v>
      </c>
      <c r="CT813" s="161">
        <f t="shared" si="3193"/>
        <v>0</v>
      </c>
      <c r="CU813" s="161">
        <f t="shared" si="3194"/>
        <v>0</v>
      </c>
      <c r="CV813" s="161">
        <f t="shared" si="3195"/>
        <v>0</v>
      </c>
      <c r="CW813" s="161">
        <f t="shared" si="3196"/>
        <v>0</v>
      </c>
      <c r="CX813" s="161">
        <f t="shared" si="3197"/>
        <v>0</v>
      </c>
      <c r="CY813" s="161">
        <f t="shared" si="3198"/>
        <v>0</v>
      </c>
      <c r="CZ813" s="161">
        <f t="shared" si="3199"/>
        <v>0</v>
      </c>
      <c r="DA813" s="161">
        <f t="shared" si="3200"/>
        <v>0</v>
      </c>
      <c r="DB813" s="161">
        <f t="shared" si="3201"/>
        <v>0</v>
      </c>
      <c r="DC813" s="161">
        <f t="shared" si="3202"/>
        <v>0</v>
      </c>
      <c r="DD813" s="161">
        <f t="shared" si="3203"/>
        <v>0</v>
      </c>
      <c r="DE813" s="161">
        <f t="shared" si="3204"/>
        <v>0</v>
      </c>
      <c r="DF813" s="161">
        <f t="shared" si="3205"/>
        <v>0</v>
      </c>
      <c r="DG813" s="161">
        <f t="shared" si="3206"/>
        <v>0</v>
      </c>
      <c r="DH813" s="161">
        <f t="shared" si="3207"/>
        <v>0</v>
      </c>
      <c r="DI813" s="161">
        <f t="shared" si="3208"/>
        <v>0</v>
      </c>
      <c r="DJ813" s="161">
        <f t="shared" si="3209"/>
        <v>0</v>
      </c>
      <c r="DK813" s="161">
        <f t="shared" si="3210"/>
        <v>0</v>
      </c>
      <c r="DL813" s="161">
        <f t="shared" si="3211"/>
        <v>0</v>
      </c>
      <c r="DM813" s="161">
        <f t="shared" si="3212"/>
        <v>0</v>
      </c>
      <c r="DN813" s="161">
        <f t="shared" si="3213"/>
        <v>0</v>
      </c>
      <c r="DO813" s="161">
        <f t="shared" si="3214"/>
        <v>0</v>
      </c>
      <c r="DP813" s="161">
        <f t="shared" si="3215"/>
        <v>0</v>
      </c>
      <c r="DQ813" s="161">
        <f t="shared" si="3216"/>
        <v>0</v>
      </c>
      <c r="DR813" s="161">
        <f t="shared" si="3217"/>
        <v>0</v>
      </c>
      <c r="DS813" s="161">
        <f t="shared" si="3218"/>
        <v>0</v>
      </c>
      <c r="DT813" s="161">
        <f t="shared" si="3219"/>
        <v>0</v>
      </c>
      <c r="DU813" s="161">
        <f t="shared" si="3220"/>
        <v>0</v>
      </c>
      <c r="DV813" s="161">
        <f t="shared" si="3221"/>
        <v>0</v>
      </c>
      <c r="DW813" s="161">
        <f t="shared" si="3222"/>
        <v>0</v>
      </c>
      <c r="DX813" s="161">
        <f t="shared" si="3223"/>
        <v>0</v>
      </c>
      <c r="DY813" s="161">
        <f t="shared" si="3224"/>
        <v>0</v>
      </c>
      <c r="DZ813" s="161">
        <f t="shared" si="3225"/>
        <v>0</v>
      </c>
      <c r="EA813" s="161">
        <f t="shared" si="3226"/>
        <v>0</v>
      </c>
      <c r="EB813" s="161">
        <f t="shared" si="3227"/>
        <v>0</v>
      </c>
      <c r="EC813" s="161">
        <f t="shared" si="3228"/>
        <v>0</v>
      </c>
      <c r="ED813" s="161">
        <f t="shared" si="3229"/>
        <v>0</v>
      </c>
      <c r="EE813" s="161">
        <f t="shared" si="3230"/>
        <v>0</v>
      </c>
      <c r="EF813" s="161">
        <f t="shared" si="3231"/>
        <v>0</v>
      </c>
      <c r="EG813" s="161">
        <f t="shared" si="3232"/>
        <v>0</v>
      </c>
      <c r="EH813" s="161">
        <f t="shared" si="3233"/>
        <v>0</v>
      </c>
      <c r="EI813" s="161">
        <f t="shared" si="3234"/>
        <v>0</v>
      </c>
    </row>
    <row r="814" spans="2:139" ht="12" customHeight="1" outlineLevel="1">
      <c r="B814" s="137" t="str">
        <f>IF(F814&gt;0,F814&amp;" - "&amp;D813,"")</f>
        <v>Projetista Sênior - Projeto</v>
      </c>
      <c r="C814" s="65"/>
      <c r="D814" s="607"/>
      <c r="E814" s="65"/>
      <c r="F814" s="164" t="s">
        <v>517</v>
      </c>
      <c r="G814" s="165"/>
      <c r="H814" s="166">
        <f t="shared" si="3249"/>
        <v>0</v>
      </c>
      <c r="I814" s="144">
        <f t="shared" si="3250"/>
        <v>0</v>
      </c>
      <c r="J814" s="65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  <c r="AB814" s="167"/>
      <c r="AC814" s="167"/>
      <c r="AD814" s="167"/>
      <c r="AE814" s="167"/>
      <c r="AF814" s="167"/>
      <c r="AG814" s="167"/>
      <c r="AH814" s="167"/>
      <c r="AI814" s="167"/>
      <c r="AJ814" s="167"/>
      <c r="AK814" s="167"/>
      <c r="AL814" s="167"/>
      <c r="AM814" s="167"/>
      <c r="AN814" s="167"/>
      <c r="AO814" s="167"/>
      <c r="AP814" s="167"/>
      <c r="AQ814" s="167"/>
      <c r="AR814" s="167"/>
      <c r="AS814" s="167"/>
      <c r="AT814" s="167"/>
      <c r="AU814" s="167"/>
      <c r="AV814" s="167"/>
      <c r="AW814" s="167"/>
      <c r="AX814" s="167"/>
      <c r="AY814" s="167"/>
      <c r="AZ814" s="167"/>
      <c r="BA814" s="167"/>
      <c r="BB814" s="167"/>
      <c r="BC814" s="167"/>
      <c r="BD814" s="167"/>
      <c r="BE814" s="167"/>
      <c r="BF814" s="167"/>
      <c r="BG814" s="167"/>
      <c r="BH814" s="167"/>
      <c r="BI814" s="167"/>
      <c r="BJ814" s="167"/>
      <c r="BK814" s="167"/>
      <c r="BL814" s="167"/>
      <c r="BM814" s="167"/>
      <c r="BN814" s="167"/>
      <c r="BO814" s="167"/>
      <c r="BP814" s="167"/>
      <c r="BQ814" s="167"/>
      <c r="BR814" s="167"/>
      <c r="BS814" s="65"/>
      <c r="BT814" s="65"/>
      <c r="BU814" s="65"/>
      <c r="BV814" s="65"/>
      <c r="BW814" s="69"/>
      <c r="BX814" s="65"/>
      <c r="BY814" s="137">
        <f t="shared" si="3235"/>
        <v>0</v>
      </c>
      <c r="BZ814" s="137">
        <f>IF(BY814&gt;0,BY814+LARGE($BZ$757:BZ813,1),0)</f>
        <v>0</v>
      </c>
      <c r="CA814" s="137" t="str">
        <f t="shared" si="3236"/>
        <v>Projetista Sênior</v>
      </c>
      <c r="CB814" s="161">
        <f t="shared" si="3175"/>
        <v>0</v>
      </c>
      <c r="CC814" s="161">
        <f t="shared" si="3176"/>
        <v>0</v>
      </c>
      <c r="CD814" s="161">
        <f t="shared" si="3177"/>
        <v>0</v>
      </c>
      <c r="CE814" s="161">
        <f t="shared" si="3178"/>
        <v>0</v>
      </c>
      <c r="CF814" s="161">
        <f t="shared" si="3179"/>
        <v>0</v>
      </c>
      <c r="CG814" s="161">
        <f t="shared" si="3180"/>
        <v>0</v>
      </c>
      <c r="CH814" s="161">
        <f t="shared" si="3181"/>
        <v>0</v>
      </c>
      <c r="CI814" s="161">
        <f t="shared" si="3182"/>
        <v>0</v>
      </c>
      <c r="CJ814" s="161">
        <f t="shared" si="3183"/>
        <v>0</v>
      </c>
      <c r="CK814" s="161">
        <f t="shared" si="3184"/>
        <v>0</v>
      </c>
      <c r="CL814" s="161">
        <f t="shared" si="3185"/>
        <v>0</v>
      </c>
      <c r="CM814" s="161">
        <f t="shared" si="3186"/>
        <v>0</v>
      </c>
      <c r="CN814" s="161">
        <f t="shared" si="3187"/>
        <v>0</v>
      </c>
      <c r="CO814" s="161">
        <f t="shared" si="3188"/>
        <v>0</v>
      </c>
      <c r="CP814" s="161">
        <f t="shared" si="3189"/>
        <v>0</v>
      </c>
      <c r="CQ814" s="161">
        <f t="shared" si="3190"/>
        <v>0</v>
      </c>
      <c r="CR814" s="161">
        <f t="shared" si="3191"/>
        <v>0</v>
      </c>
      <c r="CS814" s="161">
        <f t="shared" si="3192"/>
        <v>0</v>
      </c>
      <c r="CT814" s="161">
        <f t="shared" si="3193"/>
        <v>0</v>
      </c>
      <c r="CU814" s="161">
        <f t="shared" si="3194"/>
        <v>0</v>
      </c>
      <c r="CV814" s="161">
        <f t="shared" si="3195"/>
        <v>0</v>
      </c>
      <c r="CW814" s="161">
        <f t="shared" si="3196"/>
        <v>0</v>
      </c>
      <c r="CX814" s="161">
        <f t="shared" si="3197"/>
        <v>0</v>
      </c>
      <c r="CY814" s="161">
        <f t="shared" si="3198"/>
        <v>0</v>
      </c>
      <c r="CZ814" s="161">
        <f t="shared" si="3199"/>
        <v>0</v>
      </c>
      <c r="DA814" s="161">
        <f t="shared" si="3200"/>
        <v>0</v>
      </c>
      <c r="DB814" s="161">
        <f t="shared" si="3201"/>
        <v>0</v>
      </c>
      <c r="DC814" s="161">
        <f t="shared" si="3202"/>
        <v>0</v>
      </c>
      <c r="DD814" s="161">
        <f t="shared" si="3203"/>
        <v>0</v>
      </c>
      <c r="DE814" s="161">
        <f t="shared" si="3204"/>
        <v>0</v>
      </c>
      <c r="DF814" s="161">
        <f t="shared" si="3205"/>
        <v>0</v>
      </c>
      <c r="DG814" s="161">
        <f t="shared" si="3206"/>
        <v>0</v>
      </c>
      <c r="DH814" s="161">
        <f t="shared" si="3207"/>
        <v>0</v>
      </c>
      <c r="DI814" s="161">
        <f t="shared" si="3208"/>
        <v>0</v>
      </c>
      <c r="DJ814" s="161">
        <f t="shared" si="3209"/>
        <v>0</v>
      </c>
      <c r="DK814" s="161">
        <f t="shared" si="3210"/>
        <v>0</v>
      </c>
      <c r="DL814" s="161">
        <f t="shared" si="3211"/>
        <v>0</v>
      </c>
      <c r="DM814" s="161">
        <f t="shared" si="3212"/>
        <v>0</v>
      </c>
      <c r="DN814" s="161">
        <f t="shared" si="3213"/>
        <v>0</v>
      </c>
      <c r="DO814" s="161">
        <f t="shared" si="3214"/>
        <v>0</v>
      </c>
      <c r="DP814" s="161">
        <f t="shared" si="3215"/>
        <v>0</v>
      </c>
      <c r="DQ814" s="161">
        <f t="shared" si="3216"/>
        <v>0</v>
      </c>
      <c r="DR814" s="161">
        <f t="shared" si="3217"/>
        <v>0</v>
      </c>
      <c r="DS814" s="161">
        <f t="shared" si="3218"/>
        <v>0</v>
      </c>
      <c r="DT814" s="161">
        <f t="shared" si="3219"/>
        <v>0</v>
      </c>
      <c r="DU814" s="161">
        <f t="shared" si="3220"/>
        <v>0</v>
      </c>
      <c r="DV814" s="161">
        <f t="shared" si="3221"/>
        <v>0</v>
      </c>
      <c r="DW814" s="161">
        <f t="shared" si="3222"/>
        <v>0</v>
      </c>
      <c r="DX814" s="161">
        <f t="shared" si="3223"/>
        <v>0</v>
      </c>
      <c r="DY814" s="161">
        <f t="shared" si="3224"/>
        <v>0</v>
      </c>
      <c r="DZ814" s="161">
        <f t="shared" si="3225"/>
        <v>0</v>
      </c>
      <c r="EA814" s="161">
        <f t="shared" si="3226"/>
        <v>0</v>
      </c>
      <c r="EB814" s="161">
        <f t="shared" si="3227"/>
        <v>0</v>
      </c>
      <c r="EC814" s="161">
        <f t="shared" si="3228"/>
        <v>0</v>
      </c>
      <c r="ED814" s="161">
        <f t="shared" si="3229"/>
        <v>0</v>
      </c>
      <c r="EE814" s="161">
        <f t="shared" si="3230"/>
        <v>0</v>
      </c>
      <c r="EF814" s="161">
        <f t="shared" si="3231"/>
        <v>0</v>
      </c>
      <c r="EG814" s="161">
        <f t="shared" si="3232"/>
        <v>0</v>
      </c>
      <c r="EH814" s="161">
        <f t="shared" si="3233"/>
        <v>0</v>
      </c>
      <c r="EI814" s="161">
        <f t="shared" si="3234"/>
        <v>0</v>
      </c>
    </row>
    <row r="815" spans="2:139" ht="12" customHeight="1" outlineLevel="1">
      <c r="B815" s="137" t="str">
        <f>IF(F815&gt;0,F815&amp;" - "&amp;D813,"")</f>
        <v>Projetista Pleno - Projeto</v>
      </c>
      <c r="C815" s="65"/>
      <c r="D815" s="607"/>
      <c r="E815" s="65"/>
      <c r="F815" s="164" t="s">
        <v>518</v>
      </c>
      <c r="G815" s="165"/>
      <c r="H815" s="166">
        <f t="shared" si="3249"/>
        <v>0</v>
      </c>
      <c r="I815" s="144">
        <f t="shared" si="3250"/>
        <v>0</v>
      </c>
      <c r="J815" s="65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  <c r="AB815" s="167"/>
      <c r="AC815" s="167"/>
      <c r="AD815" s="167"/>
      <c r="AE815" s="167"/>
      <c r="AF815" s="167"/>
      <c r="AG815" s="167"/>
      <c r="AH815" s="167"/>
      <c r="AI815" s="167"/>
      <c r="AJ815" s="167"/>
      <c r="AK815" s="167"/>
      <c r="AL815" s="167"/>
      <c r="AM815" s="167"/>
      <c r="AN815" s="167"/>
      <c r="AO815" s="167"/>
      <c r="AP815" s="167"/>
      <c r="AQ815" s="167"/>
      <c r="AR815" s="167"/>
      <c r="AS815" s="167"/>
      <c r="AT815" s="167"/>
      <c r="AU815" s="167"/>
      <c r="AV815" s="167"/>
      <c r="AW815" s="167"/>
      <c r="AX815" s="167"/>
      <c r="AY815" s="167"/>
      <c r="AZ815" s="167"/>
      <c r="BA815" s="167"/>
      <c r="BB815" s="167"/>
      <c r="BC815" s="167"/>
      <c r="BD815" s="167"/>
      <c r="BE815" s="167"/>
      <c r="BF815" s="167"/>
      <c r="BG815" s="167"/>
      <c r="BH815" s="167"/>
      <c r="BI815" s="167"/>
      <c r="BJ815" s="167"/>
      <c r="BK815" s="167"/>
      <c r="BL815" s="167"/>
      <c r="BM815" s="167"/>
      <c r="BN815" s="167"/>
      <c r="BO815" s="167"/>
      <c r="BP815" s="167"/>
      <c r="BQ815" s="167"/>
      <c r="BR815" s="167"/>
      <c r="BS815" s="65"/>
      <c r="BT815" s="65"/>
      <c r="BU815" s="65"/>
      <c r="BV815" s="65"/>
      <c r="BW815" s="69"/>
      <c r="BX815" s="65"/>
      <c r="BY815" s="137">
        <f t="shared" si="3235"/>
        <v>0</v>
      </c>
      <c r="BZ815" s="137">
        <f>IF(BY815&gt;0,BY815+LARGE($BZ$757:BZ814,1),0)</f>
        <v>0</v>
      </c>
      <c r="CA815" s="137" t="str">
        <f t="shared" si="3236"/>
        <v>Projetista Pleno</v>
      </c>
      <c r="CB815" s="161">
        <f t="shared" si="3175"/>
        <v>0</v>
      </c>
      <c r="CC815" s="161">
        <f t="shared" si="3176"/>
        <v>0</v>
      </c>
      <c r="CD815" s="161">
        <f t="shared" si="3177"/>
        <v>0</v>
      </c>
      <c r="CE815" s="161">
        <f t="shared" si="3178"/>
        <v>0</v>
      </c>
      <c r="CF815" s="161">
        <f t="shared" si="3179"/>
        <v>0</v>
      </c>
      <c r="CG815" s="161">
        <f t="shared" si="3180"/>
        <v>0</v>
      </c>
      <c r="CH815" s="161">
        <f t="shared" si="3181"/>
        <v>0</v>
      </c>
      <c r="CI815" s="161">
        <f t="shared" si="3182"/>
        <v>0</v>
      </c>
      <c r="CJ815" s="161">
        <f t="shared" si="3183"/>
        <v>0</v>
      </c>
      <c r="CK815" s="161">
        <f t="shared" si="3184"/>
        <v>0</v>
      </c>
      <c r="CL815" s="161">
        <f t="shared" si="3185"/>
        <v>0</v>
      </c>
      <c r="CM815" s="161">
        <f t="shared" si="3186"/>
        <v>0</v>
      </c>
      <c r="CN815" s="161">
        <f t="shared" si="3187"/>
        <v>0</v>
      </c>
      <c r="CO815" s="161">
        <f t="shared" si="3188"/>
        <v>0</v>
      </c>
      <c r="CP815" s="161">
        <f t="shared" si="3189"/>
        <v>0</v>
      </c>
      <c r="CQ815" s="161">
        <f t="shared" si="3190"/>
        <v>0</v>
      </c>
      <c r="CR815" s="161">
        <f t="shared" si="3191"/>
        <v>0</v>
      </c>
      <c r="CS815" s="161">
        <f t="shared" si="3192"/>
        <v>0</v>
      </c>
      <c r="CT815" s="161">
        <f t="shared" si="3193"/>
        <v>0</v>
      </c>
      <c r="CU815" s="161">
        <f t="shared" si="3194"/>
        <v>0</v>
      </c>
      <c r="CV815" s="161">
        <f t="shared" si="3195"/>
        <v>0</v>
      </c>
      <c r="CW815" s="161">
        <f t="shared" si="3196"/>
        <v>0</v>
      </c>
      <c r="CX815" s="161">
        <f t="shared" si="3197"/>
        <v>0</v>
      </c>
      <c r="CY815" s="161">
        <f t="shared" si="3198"/>
        <v>0</v>
      </c>
      <c r="CZ815" s="161">
        <f t="shared" si="3199"/>
        <v>0</v>
      </c>
      <c r="DA815" s="161">
        <f t="shared" si="3200"/>
        <v>0</v>
      </c>
      <c r="DB815" s="161">
        <f t="shared" si="3201"/>
        <v>0</v>
      </c>
      <c r="DC815" s="161">
        <f t="shared" si="3202"/>
        <v>0</v>
      </c>
      <c r="DD815" s="161">
        <f t="shared" si="3203"/>
        <v>0</v>
      </c>
      <c r="DE815" s="161">
        <f t="shared" si="3204"/>
        <v>0</v>
      </c>
      <c r="DF815" s="161">
        <f t="shared" si="3205"/>
        <v>0</v>
      </c>
      <c r="DG815" s="161">
        <f t="shared" si="3206"/>
        <v>0</v>
      </c>
      <c r="DH815" s="161">
        <f t="shared" si="3207"/>
        <v>0</v>
      </c>
      <c r="DI815" s="161">
        <f t="shared" si="3208"/>
        <v>0</v>
      </c>
      <c r="DJ815" s="161">
        <f t="shared" si="3209"/>
        <v>0</v>
      </c>
      <c r="DK815" s="161">
        <f t="shared" si="3210"/>
        <v>0</v>
      </c>
      <c r="DL815" s="161">
        <f t="shared" si="3211"/>
        <v>0</v>
      </c>
      <c r="DM815" s="161">
        <f t="shared" si="3212"/>
        <v>0</v>
      </c>
      <c r="DN815" s="161">
        <f t="shared" si="3213"/>
        <v>0</v>
      </c>
      <c r="DO815" s="161">
        <f t="shared" si="3214"/>
        <v>0</v>
      </c>
      <c r="DP815" s="161">
        <f t="shared" si="3215"/>
        <v>0</v>
      </c>
      <c r="DQ815" s="161">
        <f t="shared" si="3216"/>
        <v>0</v>
      </c>
      <c r="DR815" s="161">
        <f t="shared" si="3217"/>
        <v>0</v>
      </c>
      <c r="DS815" s="161">
        <f t="shared" si="3218"/>
        <v>0</v>
      </c>
      <c r="DT815" s="161">
        <f t="shared" si="3219"/>
        <v>0</v>
      </c>
      <c r="DU815" s="161">
        <f t="shared" si="3220"/>
        <v>0</v>
      </c>
      <c r="DV815" s="161">
        <f t="shared" si="3221"/>
        <v>0</v>
      </c>
      <c r="DW815" s="161">
        <f t="shared" si="3222"/>
        <v>0</v>
      </c>
      <c r="DX815" s="161">
        <f t="shared" si="3223"/>
        <v>0</v>
      </c>
      <c r="DY815" s="161">
        <f t="shared" si="3224"/>
        <v>0</v>
      </c>
      <c r="DZ815" s="161">
        <f t="shared" si="3225"/>
        <v>0</v>
      </c>
      <c r="EA815" s="161">
        <f t="shared" si="3226"/>
        <v>0</v>
      </c>
      <c r="EB815" s="161">
        <f t="shared" si="3227"/>
        <v>0</v>
      </c>
      <c r="EC815" s="161">
        <f t="shared" si="3228"/>
        <v>0</v>
      </c>
      <c r="ED815" s="161">
        <f t="shared" si="3229"/>
        <v>0</v>
      </c>
      <c r="EE815" s="161">
        <f t="shared" si="3230"/>
        <v>0</v>
      </c>
      <c r="EF815" s="161">
        <f t="shared" si="3231"/>
        <v>0</v>
      </c>
      <c r="EG815" s="161">
        <f t="shared" si="3232"/>
        <v>0</v>
      </c>
      <c r="EH815" s="161">
        <f t="shared" si="3233"/>
        <v>0</v>
      </c>
      <c r="EI815" s="161">
        <f t="shared" si="3234"/>
        <v>0</v>
      </c>
    </row>
    <row r="816" spans="2:139" ht="12" customHeight="1" outlineLevel="1">
      <c r="B816" s="137" t="str">
        <f>IF(F816&gt;0,F816&amp;" - "&amp;D813,"")</f>
        <v>Projetista Junior - Projeto</v>
      </c>
      <c r="C816" s="65"/>
      <c r="D816" s="607"/>
      <c r="E816" s="65"/>
      <c r="F816" s="164" t="s">
        <v>519</v>
      </c>
      <c r="G816" s="165"/>
      <c r="H816" s="166">
        <f t="shared" si="3249"/>
        <v>0</v>
      </c>
      <c r="I816" s="144">
        <f t="shared" si="3250"/>
        <v>0</v>
      </c>
      <c r="J816" s="65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  <c r="AB816" s="167"/>
      <c r="AC816" s="167"/>
      <c r="AD816" s="167"/>
      <c r="AE816" s="167"/>
      <c r="AF816" s="167"/>
      <c r="AG816" s="167"/>
      <c r="AH816" s="167"/>
      <c r="AI816" s="167"/>
      <c r="AJ816" s="167"/>
      <c r="AK816" s="167"/>
      <c r="AL816" s="167"/>
      <c r="AM816" s="167"/>
      <c r="AN816" s="167"/>
      <c r="AO816" s="167"/>
      <c r="AP816" s="167"/>
      <c r="AQ816" s="167"/>
      <c r="AR816" s="167"/>
      <c r="AS816" s="167"/>
      <c r="AT816" s="167"/>
      <c r="AU816" s="167"/>
      <c r="AV816" s="167"/>
      <c r="AW816" s="167"/>
      <c r="AX816" s="167"/>
      <c r="AY816" s="167"/>
      <c r="AZ816" s="167"/>
      <c r="BA816" s="167"/>
      <c r="BB816" s="167"/>
      <c r="BC816" s="167"/>
      <c r="BD816" s="167"/>
      <c r="BE816" s="167"/>
      <c r="BF816" s="167"/>
      <c r="BG816" s="167"/>
      <c r="BH816" s="167"/>
      <c r="BI816" s="167"/>
      <c r="BJ816" s="167"/>
      <c r="BK816" s="167"/>
      <c r="BL816" s="167"/>
      <c r="BM816" s="167"/>
      <c r="BN816" s="167"/>
      <c r="BO816" s="167"/>
      <c r="BP816" s="167"/>
      <c r="BQ816" s="167"/>
      <c r="BR816" s="167"/>
      <c r="BS816" s="65"/>
      <c r="BT816" s="65"/>
      <c r="BU816" s="65"/>
      <c r="BV816" s="65"/>
      <c r="BW816" s="69"/>
      <c r="BX816" s="65"/>
      <c r="BY816" s="137">
        <f t="shared" si="3235"/>
        <v>0</v>
      </c>
      <c r="BZ816" s="137">
        <f>IF(BY816&gt;0,BY816+LARGE($BZ$757:BZ815,1),0)</f>
        <v>0</v>
      </c>
      <c r="CA816" s="137" t="str">
        <f t="shared" si="3236"/>
        <v>Projetista Junior</v>
      </c>
      <c r="CB816" s="161">
        <f t="shared" si="3175"/>
        <v>0</v>
      </c>
      <c r="CC816" s="161">
        <f t="shared" si="3176"/>
        <v>0</v>
      </c>
      <c r="CD816" s="161">
        <f t="shared" si="3177"/>
        <v>0</v>
      </c>
      <c r="CE816" s="161">
        <f t="shared" si="3178"/>
        <v>0</v>
      </c>
      <c r="CF816" s="161">
        <f t="shared" si="3179"/>
        <v>0</v>
      </c>
      <c r="CG816" s="161">
        <f t="shared" si="3180"/>
        <v>0</v>
      </c>
      <c r="CH816" s="161">
        <f t="shared" si="3181"/>
        <v>0</v>
      </c>
      <c r="CI816" s="161">
        <f t="shared" si="3182"/>
        <v>0</v>
      </c>
      <c r="CJ816" s="161">
        <f t="shared" si="3183"/>
        <v>0</v>
      </c>
      <c r="CK816" s="161">
        <f t="shared" si="3184"/>
        <v>0</v>
      </c>
      <c r="CL816" s="161">
        <f t="shared" si="3185"/>
        <v>0</v>
      </c>
      <c r="CM816" s="161">
        <f t="shared" si="3186"/>
        <v>0</v>
      </c>
      <c r="CN816" s="161">
        <f t="shared" si="3187"/>
        <v>0</v>
      </c>
      <c r="CO816" s="161">
        <f t="shared" si="3188"/>
        <v>0</v>
      </c>
      <c r="CP816" s="161">
        <f t="shared" si="3189"/>
        <v>0</v>
      </c>
      <c r="CQ816" s="161">
        <f t="shared" si="3190"/>
        <v>0</v>
      </c>
      <c r="CR816" s="161">
        <f t="shared" si="3191"/>
        <v>0</v>
      </c>
      <c r="CS816" s="161">
        <f t="shared" si="3192"/>
        <v>0</v>
      </c>
      <c r="CT816" s="161">
        <f t="shared" si="3193"/>
        <v>0</v>
      </c>
      <c r="CU816" s="161">
        <f t="shared" si="3194"/>
        <v>0</v>
      </c>
      <c r="CV816" s="161">
        <f t="shared" si="3195"/>
        <v>0</v>
      </c>
      <c r="CW816" s="161">
        <f t="shared" si="3196"/>
        <v>0</v>
      </c>
      <c r="CX816" s="161">
        <f t="shared" si="3197"/>
        <v>0</v>
      </c>
      <c r="CY816" s="161">
        <f t="shared" si="3198"/>
        <v>0</v>
      </c>
      <c r="CZ816" s="161">
        <f t="shared" si="3199"/>
        <v>0</v>
      </c>
      <c r="DA816" s="161">
        <f t="shared" si="3200"/>
        <v>0</v>
      </c>
      <c r="DB816" s="161">
        <f t="shared" si="3201"/>
        <v>0</v>
      </c>
      <c r="DC816" s="161">
        <f t="shared" si="3202"/>
        <v>0</v>
      </c>
      <c r="DD816" s="161">
        <f t="shared" si="3203"/>
        <v>0</v>
      </c>
      <c r="DE816" s="161">
        <f t="shared" si="3204"/>
        <v>0</v>
      </c>
      <c r="DF816" s="161">
        <f t="shared" si="3205"/>
        <v>0</v>
      </c>
      <c r="DG816" s="161">
        <f t="shared" si="3206"/>
        <v>0</v>
      </c>
      <c r="DH816" s="161">
        <f t="shared" si="3207"/>
        <v>0</v>
      </c>
      <c r="DI816" s="161">
        <f t="shared" si="3208"/>
        <v>0</v>
      </c>
      <c r="DJ816" s="161">
        <f t="shared" si="3209"/>
        <v>0</v>
      </c>
      <c r="DK816" s="161">
        <f t="shared" si="3210"/>
        <v>0</v>
      </c>
      <c r="DL816" s="161">
        <f t="shared" si="3211"/>
        <v>0</v>
      </c>
      <c r="DM816" s="161">
        <f t="shared" si="3212"/>
        <v>0</v>
      </c>
      <c r="DN816" s="161">
        <f t="shared" si="3213"/>
        <v>0</v>
      </c>
      <c r="DO816" s="161">
        <f t="shared" si="3214"/>
        <v>0</v>
      </c>
      <c r="DP816" s="161">
        <f t="shared" si="3215"/>
        <v>0</v>
      </c>
      <c r="DQ816" s="161">
        <f t="shared" si="3216"/>
        <v>0</v>
      </c>
      <c r="DR816" s="161">
        <f t="shared" si="3217"/>
        <v>0</v>
      </c>
      <c r="DS816" s="161">
        <f t="shared" si="3218"/>
        <v>0</v>
      </c>
      <c r="DT816" s="161">
        <f t="shared" si="3219"/>
        <v>0</v>
      </c>
      <c r="DU816" s="161">
        <f t="shared" si="3220"/>
        <v>0</v>
      </c>
      <c r="DV816" s="161">
        <f t="shared" si="3221"/>
        <v>0</v>
      </c>
      <c r="DW816" s="161">
        <f t="shared" si="3222"/>
        <v>0</v>
      </c>
      <c r="DX816" s="161">
        <f t="shared" si="3223"/>
        <v>0</v>
      </c>
      <c r="DY816" s="161">
        <f t="shared" si="3224"/>
        <v>0</v>
      </c>
      <c r="DZ816" s="161">
        <f t="shared" si="3225"/>
        <v>0</v>
      </c>
      <c r="EA816" s="161">
        <f t="shared" si="3226"/>
        <v>0</v>
      </c>
      <c r="EB816" s="161">
        <f t="shared" si="3227"/>
        <v>0</v>
      </c>
      <c r="EC816" s="161">
        <f t="shared" si="3228"/>
        <v>0</v>
      </c>
      <c r="ED816" s="161">
        <f t="shared" si="3229"/>
        <v>0</v>
      </c>
      <c r="EE816" s="161">
        <f t="shared" si="3230"/>
        <v>0</v>
      </c>
      <c r="EF816" s="161">
        <f t="shared" si="3231"/>
        <v>0</v>
      </c>
      <c r="EG816" s="161">
        <f t="shared" si="3232"/>
        <v>0</v>
      </c>
      <c r="EH816" s="161">
        <f t="shared" si="3233"/>
        <v>0</v>
      </c>
      <c r="EI816" s="161">
        <f t="shared" si="3234"/>
        <v>0</v>
      </c>
    </row>
    <row r="817" spans="2:139" ht="12" customHeight="1" outlineLevel="1">
      <c r="B817" s="137" t="str">
        <f>IF(F817&gt;0,F817&amp;" - "&amp;D813,"")</f>
        <v>Desenhista Cadista - Projeto</v>
      </c>
      <c r="C817" s="65"/>
      <c r="D817" s="607"/>
      <c r="E817" s="65"/>
      <c r="F817" s="164" t="s">
        <v>520</v>
      </c>
      <c r="G817" s="165"/>
      <c r="H817" s="166">
        <f t="shared" si="3249"/>
        <v>0</v>
      </c>
      <c r="I817" s="144">
        <f t="shared" si="3250"/>
        <v>0</v>
      </c>
      <c r="J817" s="65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  <c r="AB817" s="167"/>
      <c r="AC817" s="167"/>
      <c r="AD817" s="167"/>
      <c r="AE817" s="167"/>
      <c r="AF817" s="167"/>
      <c r="AG817" s="167"/>
      <c r="AH817" s="167"/>
      <c r="AI817" s="167"/>
      <c r="AJ817" s="167"/>
      <c r="AK817" s="167"/>
      <c r="AL817" s="167"/>
      <c r="AM817" s="167"/>
      <c r="AN817" s="167"/>
      <c r="AO817" s="167"/>
      <c r="AP817" s="167"/>
      <c r="AQ817" s="167"/>
      <c r="AR817" s="167"/>
      <c r="AS817" s="167"/>
      <c r="AT817" s="167"/>
      <c r="AU817" s="167"/>
      <c r="AV817" s="167"/>
      <c r="AW817" s="167"/>
      <c r="AX817" s="167"/>
      <c r="AY817" s="167"/>
      <c r="AZ817" s="167"/>
      <c r="BA817" s="167"/>
      <c r="BB817" s="167"/>
      <c r="BC817" s="167"/>
      <c r="BD817" s="167"/>
      <c r="BE817" s="167"/>
      <c r="BF817" s="167"/>
      <c r="BG817" s="167"/>
      <c r="BH817" s="167"/>
      <c r="BI817" s="167"/>
      <c r="BJ817" s="167"/>
      <c r="BK817" s="167"/>
      <c r="BL817" s="167"/>
      <c r="BM817" s="167"/>
      <c r="BN817" s="167"/>
      <c r="BO817" s="167"/>
      <c r="BP817" s="167"/>
      <c r="BQ817" s="167"/>
      <c r="BR817" s="167"/>
      <c r="BS817" s="65"/>
      <c r="BT817" s="65"/>
      <c r="BU817" s="65"/>
      <c r="BV817" s="65"/>
      <c r="BW817" s="69"/>
      <c r="BX817" s="65"/>
      <c r="BY817" s="137">
        <f t="shared" si="3235"/>
        <v>0</v>
      </c>
      <c r="BZ817" s="137">
        <f>IF(BY817&gt;0,BY817+LARGE($BZ$757:BZ816,1),0)</f>
        <v>0</v>
      </c>
      <c r="CA817" s="137" t="str">
        <f t="shared" si="3236"/>
        <v>Desenhista Cadista</v>
      </c>
      <c r="CB817" s="161">
        <f t="shared" si="3175"/>
        <v>0</v>
      </c>
      <c r="CC817" s="161">
        <f t="shared" si="3176"/>
        <v>0</v>
      </c>
      <c r="CD817" s="161">
        <f t="shared" si="3177"/>
        <v>0</v>
      </c>
      <c r="CE817" s="161">
        <f t="shared" si="3178"/>
        <v>0</v>
      </c>
      <c r="CF817" s="161">
        <f t="shared" si="3179"/>
        <v>0</v>
      </c>
      <c r="CG817" s="161">
        <f t="shared" si="3180"/>
        <v>0</v>
      </c>
      <c r="CH817" s="161">
        <f t="shared" si="3181"/>
        <v>0</v>
      </c>
      <c r="CI817" s="161">
        <f t="shared" si="3182"/>
        <v>0</v>
      </c>
      <c r="CJ817" s="161">
        <f t="shared" si="3183"/>
        <v>0</v>
      </c>
      <c r="CK817" s="161">
        <f t="shared" si="3184"/>
        <v>0</v>
      </c>
      <c r="CL817" s="161">
        <f t="shared" si="3185"/>
        <v>0</v>
      </c>
      <c r="CM817" s="161">
        <f t="shared" si="3186"/>
        <v>0</v>
      </c>
      <c r="CN817" s="161">
        <f t="shared" si="3187"/>
        <v>0</v>
      </c>
      <c r="CO817" s="161">
        <f t="shared" si="3188"/>
        <v>0</v>
      </c>
      <c r="CP817" s="161">
        <f t="shared" si="3189"/>
        <v>0</v>
      </c>
      <c r="CQ817" s="161">
        <f t="shared" si="3190"/>
        <v>0</v>
      </c>
      <c r="CR817" s="161">
        <f t="shared" si="3191"/>
        <v>0</v>
      </c>
      <c r="CS817" s="161">
        <f t="shared" si="3192"/>
        <v>0</v>
      </c>
      <c r="CT817" s="161">
        <f t="shared" si="3193"/>
        <v>0</v>
      </c>
      <c r="CU817" s="161">
        <f t="shared" si="3194"/>
        <v>0</v>
      </c>
      <c r="CV817" s="161">
        <f t="shared" si="3195"/>
        <v>0</v>
      </c>
      <c r="CW817" s="161">
        <f t="shared" si="3196"/>
        <v>0</v>
      </c>
      <c r="CX817" s="161">
        <f t="shared" si="3197"/>
        <v>0</v>
      </c>
      <c r="CY817" s="161">
        <f t="shared" si="3198"/>
        <v>0</v>
      </c>
      <c r="CZ817" s="161">
        <f t="shared" si="3199"/>
        <v>0</v>
      </c>
      <c r="DA817" s="161">
        <f t="shared" si="3200"/>
        <v>0</v>
      </c>
      <c r="DB817" s="161">
        <f t="shared" si="3201"/>
        <v>0</v>
      </c>
      <c r="DC817" s="161">
        <f t="shared" si="3202"/>
        <v>0</v>
      </c>
      <c r="DD817" s="161">
        <f t="shared" si="3203"/>
        <v>0</v>
      </c>
      <c r="DE817" s="161">
        <f t="shared" si="3204"/>
        <v>0</v>
      </c>
      <c r="DF817" s="161">
        <f t="shared" si="3205"/>
        <v>0</v>
      </c>
      <c r="DG817" s="161">
        <f t="shared" si="3206"/>
        <v>0</v>
      </c>
      <c r="DH817" s="161">
        <f t="shared" si="3207"/>
        <v>0</v>
      </c>
      <c r="DI817" s="161">
        <f t="shared" si="3208"/>
        <v>0</v>
      </c>
      <c r="DJ817" s="161">
        <f t="shared" si="3209"/>
        <v>0</v>
      </c>
      <c r="DK817" s="161">
        <f t="shared" si="3210"/>
        <v>0</v>
      </c>
      <c r="DL817" s="161">
        <f t="shared" si="3211"/>
        <v>0</v>
      </c>
      <c r="DM817" s="161">
        <f t="shared" si="3212"/>
        <v>0</v>
      </c>
      <c r="DN817" s="161">
        <f t="shared" si="3213"/>
        <v>0</v>
      </c>
      <c r="DO817" s="161">
        <f t="shared" si="3214"/>
        <v>0</v>
      </c>
      <c r="DP817" s="161">
        <f t="shared" si="3215"/>
        <v>0</v>
      </c>
      <c r="DQ817" s="161">
        <f t="shared" si="3216"/>
        <v>0</v>
      </c>
      <c r="DR817" s="161">
        <f t="shared" si="3217"/>
        <v>0</v>
      </c>
      <c r="DS817" s="161">
        <f t="shared" si="3218"/>
        <v>0</v>
      </c>
      <c r="DT817" s="161">
        <f t="shared" si="3219"/>
        <v>0</v>
      </c>
      <c r="DU817" s="161">
        <f t="shared" si="3220"/>
        <v>0</v>
      </c>
      <c r="DV817" s="161">
        <f t="shared" si="3221"/>
        <v>0</v>
      </c>
      <c r="DW817" s="161">
        <f t="shared" si="3222"/>
        <v>0</v>
      </c>
      <c r="DX817" s="161">
        <f t="shared" si="3223"/>
        <v>0</v>
      </c>
      <c r="DY817" s="161">
        <f t="shared" si="3224"/>
        <v>0</v>
      </c>
      <c r="DZ817" s="161">
        <f t="shared" si="3225"/>
        <v>0</v>
      </c>
      <c r="EA817" s="161">
        <f t="shared" si="3226"/>
        <v>0</v>
      </c>
      <c r="EB817" s="161">
        <f t="shared" si="3227"/>
        <v>0</v>
      </c>
      <c r="EC817" s="161">
        <f t="shared" si="3228"/>
        <v>0</v>
      </c>
      <c r="ED817" s="161">
        <f t="shared" si="3229"/>
        <v>0</v>
      </c>
      <c r="EE817" s="161">
        <f t="shared" si="3230"/>
        <v>0</v>
      </c>
      <c r="EF817" s="161">
        <f t="shared" si="3231"/>
        <v>0</v>
      </c>
      <c r="EG817" s="161">
        <f t="shared" si="3232"/>
        <v>0</v>
      </c>
      <c r="EH817" s="161">
        <f t="shared" si="3233"/>
        <v>0</v>
      </c>
      <c r="EI817" s="161">
        <f t="shared" si="3234"/>
        <v>0</v>
      </c>
    </row>
    <row r="818" spans="2:139" ht="12" customHeight="1" outlineLevel="1">
      <c r="B818" s="137" t="str">
        <f>IF(F818&gt;0,F818&amp;" - "&amp;D813,"")</f>
        <v/>
      </c>
      <c r="C818" s="65"/>
      <c r="D818" s="607"/>
      <c r="E818" s="65"/>
      <c r="F818" s="164"/>
      <c r="G818" s="165"/>
      <c r="H818" s="166">
        <f t="shared" si="3249"/>
        <v>0</v>
      </c>
      <c r="I818" s="144">
        <f t="shared" si="3250"/>
        <v>0</v>
      </c>
      <c r="J818" s="65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  <c r="AB818" s="167"/>
      <c r="AC818" s="167"/>
      <c r="AD818" s="167"/>
      <c r="AE818" s="167"/>
      <c r="AF818" s="167"/>
      <c r="AG818" s="167"/>
      <c r="AH818" s="167"/>
      <c r="AI818" s="167"/>
      <c r="AJ818" s="167"/>
      <c r="AK818" s="167"/>
      <c r="AL818" s="167"/>
      <c r="AM818" s="167"/>
      <c r="AN818" s="167"/>
      <c r="AO818" s="167"/>
      <c r="AP818" s="167"/>
      <c r="AQ818" s="167"/>
      <c r="AR818" s="167"/>
      <c r="AS818" s="167"/>
      <c r="AT818" s="167"/>
      <c r="AU818" s="167"/>
      <c r="AV818" s="167"/>
      <c r="AW818" s="167"/>
      <c r="AX818" s="167"/>
      <c r="AY818" s="167"/>
      <c r="AZ818" s="167"/>
      <c r="BA818" s="167"/>
      <c r="BB818" s="167"/>
      <c r="BC818" s="167"/>
      <c r="BD818" s="167"/>
      <c r="BE818" s="167"/>
      <c r="BF818" s="167"/>
      <c r="BG818" s="167"/>
      <c r="BH818" s="167"/>
      <c r="BI818" s="167"/>
      <c r="BJ818" s="167"/>
      <c r="BK818" s="167"/>
      <c r="BL818" s="167"/>
      <c r="BM818" s="167"/>
      <c r="BN818" s="167"/>
      <c r="BO818" s="167"/>
      <c r="BP818" s="167"/>
      <c r="BQ818" s="167"/>
      <c r="BR818" s="167"/>
      <c r="BS818" s="65"/>
      <c r="BT818" s="65"/>
      <c r="BU818" s="65"/>
      <c r="BV818" s="65"/>
      <c r="BW818" s="69"/>
      <c r="BX818" s="65"/>
      <c r="BY818" s="137">
        <f t="shared" si="3235"/>
        <v>0</v>
      </c>
      <c r="BZ818" s="137">
        <f>IF(BY818&gt;0,BY818+LARGE($BZ$757:BZ817,1),0)</f>
        <v>0</v>
      </c>
      <c r="CA818" s="137">
        <f t="shared" si="3236"/>
        <v>0</v>
      </c>
      <c r="CB818" s="161">
        <f t="shared" si="3175"/>
        <v>0</v>
      </c>
      <c r="CC818" s="161">
        <f t="shared" si="3176"/>
        <v>0</v>
      </c>
      <c r="CD818" s="161">
        <f t="shared" si="3177"/>
        <v>0</v>
      </c>
      <c r="CE818" s="161">
        <f t="shared" si="3178"/>
        <v>0</v>
      </c>
      <c r="CF818" s="161">
        <f t="shared" si="3179"/>
        <v>0</v>
      </c>
      <c r="CG818" s="161">
        <f t="shared" si="3180"/>
        <v>0</v>
      </c>
      <c r="CH818" s="161">
        <f t="shared" si="3181"/>
        <v>0</v>
      </c>
      <c r="CI818" s="161">
        <f t="shared" si="3182"/>
        <v>0</v>
      </c>
      <c r="CJ818" s="161">
        <f t="shared" si="3183"/>
        <v>0</v>
      </c>
      <c r="CK818" s="161">
        <f t="shared" si="3184"/>
        <v>0</v>
      </c>
      <c r="CL818" s="161">
        <f t="shared" si="3185"/>
        <v>0</v>
      </c>
      <c r="CM818" s="161">
        <f t="shared" si="3186"/>
        <v>0</v>
      </c>
      <c r="CN818" s="161">
        <f t="shared" si="3187"/>
        <v>0</v>
      </c>
      <c r="CO818" s="161">
        <f t="shared" si="3188"/>
        <v>0</v>
      </c>
      <c r="CP818" s="161">
        <f t="shared" si="3189"/>
        <v>0</v>
      </c>
      <c r="CQ818" s="161">
        <f t="shared" si="3190"/>
        <v>0</v>
      </c>
      <c r="CR818" s="161">
        <f t="shared" si="3191"/>
        <v>0</v>
      </c>
      <c r="CS818" s="161">
        <f t="shared" si="3192"/>
        <v>0</v>
      </c>
      <c r="CT818" s="161">
        <f t="shared" si="3193"/>
        <v>0</v>
      </c>
      <c r="CU818" s="161">
        <f t="shared" si="3194"/>
        <v>0</v>
      </c>
      <c r="CV818" s="161">
        <f t="shared" si="3195"/>
        <v>0</v>
      </c>
      <c r="CW818" s="161">
        <f t="shared" si="3196"/>
        <v>0</v>
      </c>
      <c r="CX818" s="161">
        <f t="shared" si="3197"/>
        <v>0</v>
      </c>
      <c r="CY818" s="161">
        <f t="shared" si="3198"/>
        <v>0</v>
      </c>
      <c r="CZ818" s="161">
        <f t="shared" si="3199"/>
        <v>0</v>
      </c>
      <c r="DA818" s="161">
        <f t="shared" si="3200"/>
        <v>0</v>
      </c>
      <c r="DB818" s="161">
        <f t="shared" si="3201"/>
        <v>0</v>
      </c>
      <c r="DC818" s="161">
        <f t="shared" si="3202"/>
        <v>0</v>
      </c>
      <c r="DD818" s="161">
        <f t="shared" si="3203"/>
        <v>0</v>
      </c>
      <c r="DE818" s="161">
        <f t="shared" si="3204"/>
        <v>0</v>
      </c>
      <c r="DF818" s="161">
        <f t="shared" si="3205"/>
        <v>0</v>
      </c>
      <c r="DG818" s="161">
        <f t="shared" si="3206"/>
        <v>0</v>
      </c>
      <c r="DH818" s="161">
        <f t="shared" si="3207"/>
        <v>0</v>
      </c>
      <c r="DI818" s="161">
        <f t="shared" si="3208"/>
        <v>0</v>
      </c>
      <c r="DJ818" s="161">
        <f t="shared" si="3209"/>
        <v>0</v>
      </c>
      <c r="DK818" s="161">
        <f t="shared" si="3210"/>
        <v>0</v>
      </c>
      <c r="DL818" s="161">
        <f t="shared" si="3211"/>
        <v>0</v>
      </c>
      <c r="DM818" s="161">
        <f t="shared" si="3212"/>
        <v>0</v>
      </c>
      <c r="DN818" s="161">
        <f t="shared" si="3213"/>
        <v>0</v>
      </c>
      <c r="DO818" s="161">
        <f t="shared" si="3214"/>
        <v>0</v>
      </c>
      <c r="DP818" s="161">
        <f t="shared" si="3215"/>
        <v>0</v>
      </c>
      <c r="DQ818" s="161">
        <f t="shared" si="3216"/>
        <v>0</v>
      </c>
      <c r="DR818" s="161">
        <f t="shared" si="3217"/>
        <v>0</v>
      </c>
      <c r="DS818" s="161">
        <f t="shared" si="3218"/>
        <v>0</v>
      </c>
      <c r="DT818" s="161">
        <f t="shared" si="3219"/>
        <v>0</v>
      </c>
      <c r="DU818" s="161">
        <f t="shared" si="3220"/>
        <v>0</v>
      </c>
      <c r="DV818" s="161">
        <f t="shared" si="3221"/>
        <v>0</v>
      </c>
      <c r="DW818" s="161">
        <f t="shared" si="3222"/>
        <v>0</v>
      </c>
      <c r="DX818" s="161">
        <f t="shared" si="3223"/>
        <v>0</v>
      </c>
      <c r="DY818" s="161">
        <f t="shared" si="3224"/>
        <v>0</v>
      </c>
      <c r="DZ818" s="161">
        <f t="shared" si="3225"/>
        <v>0</v>
      </c>
      <c r="EA818" s="161">
        <f t="shared" si="3226"/>
        <v>0</v>
      </c>
      <c r="EB818" s="161">
        <f t="shared" si="3227"/>
        <v>0</v>
      </c>
      <c r="EC818" s="161">
        <f t="shared" si="3228"/>
        <v>0</v>
      </c>
      <c r="ED818" s="161">
        <f t="shared" si="3229"/>
        <v>0</v>
      </c>
      <c r="EE818" s="161">
        <f t="shared" si="3230"/>
        <v>0</v>
      </c>
      <c r="EF818" s="161">
        <f t="shared" si="3231"/>
        <v>0</v>
      </c>
      <c r="EG818" s="161">
        <f t="shared" si="3232"/>
        <v>0</v>
      </c>
      <c r="EH818" s="161">
        <f t="shared" si="3233"/>
        <v>0</v>
      </c>
      <c r="EI818" s="161">
        <f t="shared" si="3234"/>
        <v>0</v>
      </c>
    </row>
    <row r="819" spans="2:139" ht="12" customHeight="1" outlineLevel="1">
      <c r="B819" s="137" t="str">
        <f>IF(F819&gt;0,F819&amp;" - "&amp;D813,"")</f>
        <v/>
      </c>
      <c r="C819" s="65"/>
      <c r="D819" s="607"/>
      <c r="E819" s="65"/>
      <c r="F819" s="164"/>
      <c r="G819" s="165"/>
      <c r="H819" s="166">
        <f t="shared" si="3249"/>
        <v>0</v>
      </c>
      <c r="I819" s="144">
        <f t="shared" si="3250"/>
        <v>0</v>
      </c>
      <c r="J819" s="65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  <c r="AE819" s="167"/>
      <c r="AF819" s="167"/>
      <c r="AG819" s="167"/>
      <c r="AH819" s="167"/>
      <c r="AI819" s="167"/>
      <c r="AJ819" s="167"/>
      <c r="AK819" s="167"/>
      <c r="AL819" s="167"/>
      <c r="AM819" s="167"/>
      <c r="AN819" s="167"/>
      <c r="AO819" s="167"/>
      <c r="AP819" s="167"/>
      <c r="AQ819" s="167"/>
      <c r="AR819" s="167"/>
      <c r="AS819" s="167"/>
      <c r="AT819" s="167"/>
      <c r="AU819" s="167"/>
      <c r="AV819" s="167"/>
      <c r="AW819" s="167"/>
      <c r="AX819" s="167"/>
      <c r="AY819" s="167"/>
      <c r="AZ819" s="167"/>
      <c r="BA819" s="167"/>
      <c r="BB819" s="167"/>
      <c r="BC819" s="167"/>
      <c r="BD819" s="167"/>
      <c r="BE819" s="167"/>
      <c r="BF819" s="167"/>
      <c r="BG819" s="167"/>
      <c r="BH819" s="167"/>
      <c r="BI819" s="167"/>
      <c r="BJ819" s="167"/>
      <c r="BK819" s="167"/>
      <c r="BL819" s="167"/>
      <c r="BM819" s="167"/>
      <c r="BN819" s="167"/>
      <c r="BO819" s="167"/>
      <c r="BP819" s="167"/>
      <c r="BQ819" s="167"/>
      <c r="BR819" s="167"/>
      <c r="BS819" s="65"/>
      <c r="BT819" s="65"/>
      <c r="BU819" s="65"/>
      <c r="BV819" s="65"/>
      <c r="BW819" s="69"/>
      <c r="BX819" s="65"/>
      <c r="BY819" s="137">
        <f t="shared" si="3235"/>
        <v>0</v>
      </c>
      <c r="BZ819" s="137">
        <f>IF(BY819&gt;0,BY819+LARGE($BZ$757:BZ818,1),0)</f>
        <v>0</v>
      </c>
      <c r="CA819" s="137">
        <f t="shared" si="3236"/>
        <v>0</v>
      </c>
      <c r="CB819" s="161">
        <f t="shared" si="3175"/>
        <v>0</v>
      </c>
      <c r="CC819" s="161">
        <f t="shared" si="3176"/>
        <v>0</v>
      </c>
      <c r="CD819" s="161">
        <f t="shared" si="3177"/>
        <v>0</v>
      </c>
      <c r="CE819" s="161">
        <f t="shared" si="3178"/>
        <v>0</v>
      </c>
      <c r="CF819" s="161">
        <f t="shared" si="3179"/>
        <v>0</v>
      </c>
      <c r="CG819" s="161">
        <f t="shared" si="3180"/>
        <v>0</v>
      </c>
      <c r="CH819" s="161">
        <f t="shared" si="3181"/>
        <v>0</v>
      </c>
      <c r="CI819" s="161">
        <f t="shared" si="3182"/>
        <v>0</v>
      </c>
      <c r="CJ819" s="161">
        <f t="shared" si="3183"/>
        <v>0</v>
      </c>
      <c r="CK819" s="161">
        <f t="shared" si="3184"/>
        <v>0</v>
      </c>
      <c r="CL819" s="161">
        <f t="shared" si="3185"/>
        <v>0</v>
      </c>
      <c r="CM819" s="161">
        <f t="shared" si="3186"/>
        <v>0</v>
      </c>
      <c r="CN819" s="161">
        <f t="shared" si="3187"/>
        <v>0</v>
      </c>
      <c r="CO819" s="161">
        <f t="shared" si="3188"/>
        <v>0</v>
      </c>
      <c r="CP819" s="161">
        <f t="shared" si="3189"/>
        <v>0</v>
      </c>
      <c r="CQ819" s="161">
        <f t="shared" si="3190"/>
        <v>0</v>
      </c>
      <c r="CR819" s="161">
        <f t="shared" si="3191"/>
        <v>0</v>
      </c>
      <c r="CS819" s="161">
        <f t="shared" si="3192"/>
        <v>0</v>
      </c>
      <c r="CT819" s="161">
        <f t="shared" si="3193"/>
        <v>0</v>
      </c>
      <c r="CU819" s="161">
        <f t="shared" si="3194"/>
        <v>0</v>
      </c>
      <c r="CV819" s="161">
        <f t="shared" si="3195"/>
        <v>0</v>
      </c>
      <c r="CW819" s="161">
        <f t="shared" si="3196"/>
        <v>0</v>
      </c>
      <c r="CX819" s="161">
        <f t="shared" si="3197"/>
        <v>0</v>
      </c>
      <c r="CY819" s="161">
        <f t="shared" si="3198"/>
        <v>0</v>
      </c>
      <c r="CZ819" s="161">
        <f t="shared" si="3199"/>
        <v>0</v>
      </c>
      <c r="DA819" s="161">
        <f t="shared" si="3200"/>
        <v>0</v>
      </c>
      <c r="DB819" s="161">
        <f t="shared" si="3201"/>
        <v>0</v>
      </c>
      <c r="DC819" s="161">
        <f t="shared" si="3202"/>
        <v>0</v>
      </c>
      <c r="DD819" s="161">
        <f t="shared" si="3203"/>
        <v>0</v>
      </c>
      <c r="DE819" s="161">
        <f t="shared" si="3204"/>
        <v>0</v>
      </c>
      <c r="DF819" s="161">
        <f t="shared" si="3205"/>
        <v>0</v>
      </c>
      <c r="DG819" s="161">
        <f t="shared" si="3206"/>
        <v>0</v>
      </c>
      <c r="DH819" s="161">
        <f t="shared" si="3207"/>
        <v>0</v>
      </c>
      <c r="DI819" s="161">
        <f t="shared" si="3208"/>
        <v>0</v>
      </c>
      <c r="DJ819" s="161">
        <f t="shared" si="3209"/>
        <v>0</v>
      </c>
      <c r="DK819" s="161">
        <f t="shared" si="3210"/>
        <v>0</v>
      </c>
      <c r="DL819" s="161">
        <f t="shared" si="3211"/>
        <v>0</v>
      </c>
      <c r="DM819" s="161">
        <f t="shared" si="3212"/>
        <v>0</v>
      </c>
      <c r="DN819" s="161">
        <f t="shared" si="3213"/>
        <v>0</v>
      </c>
      <c r="DO819" s="161">
        <f t="shared" si="3214"/>
        <v>0</v>
      </c>
      <c r="DP819" s="161">
        <f t="shared" si="3215"/>
        <v>0</v>
      </c>
      <c r="DQ819" s="161">
        <f t="shared" si="3216"/>
        <v>0</v>
      </c>
      <c r="DR819" s="161">
        <f t="shared" si="3217"/>
        <v>0</v>
      </c>
      <c r="DS819" s="161">
        <f t="shared" si="3218"/>
        <v>0</v>
      </c>
      <c r="DT819" s="161">
        <f t="shared" si="3219"/>
        <v>0</v>
      </c>
      <c r="DU819" s="161">
        <f t="shared" si="3220"/>
        <v>0</v>
      </c>
      <c r="DV819" s="161">
        <f t="shared" si="3221"/>
        <v>0</v>
      </c>
      <c r="DW819" s="161">
        <f t="shared" si="3222"/>
        <v>0</v>
      </c>
      <c r="DX819" s="161">
        <f t="shared" si="3223"/>
        <v>0</v>
      </c>
      <c r="DY819" s="161">
        <f t="shared" si="3224"/>
        <v>0</v>
      </c>
      <c r="DZ819" s="161">
        <f t="shared" si="3225"/>
        <v>0</v>
      </c>
      <c r="EA819" s="161">
        <f t="shared" si="3226"/>
        <v>0</v>
      </c>
      <c r="EB819" s="161">
        <f t="shared" si="3227"/>
        <v>0</v>
      </c>
      <c r="EC819" s="161">
        <f t="shared" si="3228"/>
        <v>0</v>
      </c>
      <c r="ED819" s="161">
        <f t="shared" si="3229"/>
        <v>0</v>
      </c>
      <c r="EE819" s="161">
        <f t="shared" si="3230"/>
        <v>0</v>
      </c>
      <c r="EF819" s="161">
        <f t="shared" si="3231"/>
        <v>0</v>
      </c>
      <c r="EG819" s="161">
        <f t="shared" si="3232"/>
        <v>0</v>
      </c>
      <c r="EH819" s="161">
        <f t="shared" si="3233"/>
        <v>0</v>
      </c>
      <c r="EI819" s="161">
        <f t="shared" si="3234"/>
        <v>0</v>
      </c>
    </row>
    <row r="820" spans="2:139" ht="6" customHeight="1" outlineLevel="1"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  <c r="AM820" s="65"/>
      <c r="AN820" s="65"/>
      <c r="AO820" s="65"/>
      <c r="AP820" s="65"/>
      <c r="AQ820" s="65"/>
      <c r="AR820" s="65"/>
      <c r="AS820" s="65"/>
      <c r="AT820" s="65"/>
      <c r="AU820" s="65"/>
      <c r="AV820" s="65"/>
      <c r="AW820" s="65"/>
      <c r="AX820" s="65"/>
      <c r="AY820" s="65"/>
      <c r="AZ820" s="65"/>
      <c r="BA820" s="65"/>
      <c r="BB820" s="65"/>
      <c r="BC820" s="65"/>
      <c r="BD820" s="65"/>
      <c r="BE820" s="65"/>
      <c r="BF820" s="65"/>
      <c r="BG820" s="65"/>
      <c r="BH820" s="65"/>
      <c r="BI820" s="65"/>
      <c r="BJ820" s="65"/>
      <c r="BK820" s="65"/>
      <c r="BL820" s="65"/>
      <c r="BM820" s="65"/>
      <c r="BN820" s="65"/>
      <c r="BO820" s="65"/>
      <c r="BP820" s="65"/>
      <c r="BQ820" s="65"/>
      <c r="BR820" s="65"/>
      <c r="BS820" s="65"/>
      <c r="BT820" s="65"/>
      <c r="BU820" s="65"/>
      <c r="BV820" s="65"/>
      <c r="BW820" s="69"/>
      <c r="BX820" s="65"/>
      <c r="BY820" s="65"/>
      <c r="BZ820" s="65"/>
      <c r="CA820" s="65"/>
      <c r="CB820" s="65"/>
      <c r="CC820" s="65"/>
      <c r="CD820" s="65"/>
      <c r="CE820" s="65"/>
      <c r="CF820" s="65"/>
      <c r="CG820" s="65"/>
      <c r="CH820" s="65"/>
      <c r="CI820" s="65"/>
      <c r="CJ820" s="65"/>
      <c r="CK820" s="65"/>
      <c r="CL820" s="65"/>
      <c r="CM820" s="65"/>
      <c r="CN820" s="65"/>
      <c r="CO820" s="65"/>
      <c r="CP820" s="65"/>
      <c r="CQ820" s="65"/>
      <c r="CR820" s="65"/>
      <c r="CS820" s="65"/>
      <c r="CT820" s="65"/>
      <c r="CU820" s="65"/>
      <c r="CV820" s="65"/>
      <c r="CW820" s="65"/>
      <c r="CX820" s="65"/>
      <c r="CY820" s="65"/>
      <c r="CZ820" s="65"/>
      <c r="DA820" s="65"/>
      <c r="DB820" s="65"/>
      <c r="DC820" s="65"/>
      <c r="DD820" s="65"/>
      <c r="DE820" s="65"/>
      <c r="DF820" s="65"/>
      <c r="DG820" s="65"/>
      <c r="DH820" s="65"/>
      <c r="DI820" s="65"/>
      <c r="DJ820" s="65"/>
      <c r="DK820" s="65"/>
      <c r="DL820" s="65"/>
      <c r="DM820" s="65"/>
      <c r="DN820" s="65"/>
      <c r="DO820" s="65"/>
      <c r="DP820" s="65"/>
      <c r="DQ820" s="65"/>
      <c r="DR820" s="65"/>
      <c r="DS820" s="65"/>
      <c r="DT820" s="65"/>
      <c r="DU820" s="65"/>
      <c r="DV820" s="65"/>
      <c r="DW820" s="65"/>
      <c r="DX820" s="65"/>
      <c r="DY820" s="65"/>
      <c r="DZ820" s="65"/>
      <c r="EA820" s="65"/>
      <c r="EB820" s="65"/>
      <c r="EC820" s="65"/>
      <c r="ED820" s="65"/>
      <c r="EE820" s="65"/>
      <c r="EF820" s="65"/>
      <c r="EG820" s="65"/>
      <c r="EH820" s="65"/>
      <c r="EI820" s="65"/>
    </row>
    <row r="821" spans="2:139" ht="12" customHeight="1" outlineLevel="1">
      <c r="B821" s="137" t="str">
        <f>IF(F821&gt;0,F821&amp;" - "&amp;D821,"")</f>
        <v>Líder de Almoxarifado - Almoxarifado e Materiais</v>
      </c>
      <c r="C821" s="65"/>
      <c r="D821" s="607" t="s">
        <v>521</v>
      </c>
      <c r="E821" s="65"/>
      <c r="F821" s="164" t="s">
        <v>522</v>
      </c>
      <c r="G821" s="165"/>
      <c r="H821" s="166">
        <f t="shared" ref="H821:H827" si="3251">IFERROR(SUM(K821:BR821)/COUNTIF(K821:BR821,"&gt;0"),0)</f>
        <v>0</v>
      </c>
      <c r="I821" s="144">
        <f t="shared" ref="I821:I827" si="3252">COUNTIF(K821:BR821,"&gt;0")</f>
        <v>0</v>
      </c>
      <c r="J821" s="65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  <c r="AB821" s="167"/>
      <c r="AC821" s="167"/>
      <c r="AD821" s="167"/>
      <c r="AE821" s="167"/>
      <c r="AF821" s="167"/>
      <c r="AG821" s="167"/>
      <c r="AH821" s="167"/>
      <c r="AI821" s="167"/>
      <c r="AJ821" s="167"/>
      <c r="AK821" s="167"/>
      <c r="AL821" s="167"/>
      <c r="AM821" s="167"/>
      <c r="AN821" s="167"/>
      <c r="AO821" s="167"/>
      <c r="AP821" s="167"/>
      <c r="AQ821" s="167"/>
      <c r="AR821" s="167"/>
      <c r="AS821" s="167"/>
      <c r="AT821" s="167"/>
      <c r="AU821" s="167"/>
      <c r="AV821" s="167"/>
      <c r="AW821" s="167"/>
      <c r="AX821" s="167"/>
      <c r="AY821" s="167"/>
      <c r="AZ821" s="167"/>
      <c r="BA821" s="167"/>
      <c r="BB821" s="167"/>
      <c r="BC821" s="167"/>
      <c r="BD821" s="167"/>
      <c r="BE821" s="167"/>
      <c r="BF821" s="167"/>
      <c r="BG821" s="167"/>
      <c r="BH821" s="167"/>
      <c r="BI821" s="167"/>
      <c r="BJ821" s="167"/>
      <c r="BK821" s="167"/>
      <c r="BL821" s="167"/>
      <c r="BM821" s="167"/>
      <c r="BN821" s="167"/>
      <c r="BO821" s="167"/>
      <c r="BP821" s="167"/>
      <c r="BQ821" s="167"/>
      <c r="BR821" s="167"/>
      <c r="BS821" s="65"/>
      <c r="BT821" s="65"/>
      <c r="BU821" s="65"/>
      <c r="BV821" s="65"/>
      <c r="BW821" s="69"/>
      <c r="BX821" s="65"/>
      <c r="BY821" s="137">
        <f t="shared" si="3235"/>
        <v>0</v>
      </c>
      <c r="BZ821" s="137">
        <f>IF(BY821&gt;0,BY821+LARGE($BZ$757:BZ820,1),0)</f>
        <v>0</v>
      </c>
      <c r="CA821" s="137" t="str">
        <f t="shared" si="3236"/>
        <v>Líder de Almoxarifado</v>
      </c>
      <c r="CB821" s="161">
        <f t="shared" si="3175"/>
        <v>0</v>
      </c>
      <c r="CC821" s="161">
        <f t="shared" si="3176"/>
        <v>0</v>
      </c>
      <c r="CD821" s="161">
        <f t="shared" si="3177"/>
        <v>0</v>
      </c>
      <c r="CE821" s="161">
        <f t="shared" si="3178"/>
        <v>0</v>
      </c>
      <c r="CF821" s="161">
        <f t="shared" si="3179"/>
        <v>0</v>
      </c>
      <c r="CG821" s="161">
        <f t="shared" si="3180"/>
        <v>0</v>
      </c>
      <c r="CH821" s="161">
        <f t="shared" si="3181"/>
        <v>0</v>
      </c>
      <c r="CI821" s="161">
        <f t="shared" si="3182"/>
        <v>0</v>
      </c>
      <c r="CJ821" s="161">
        <f t="shared" si="3183"/>
        <v>0</v>
      </c>
      <c r="CK821" s="161">
        <f t="shared" si="3184"/>
        <v>0</v>
      </c>
      <c r="CL821" s="161">
        <f t="shared" si="3185"/>
        <v>0</v>
      </c>
      <c r="CM821" s="161">
        <f t="shared" si="3186"/>
        <v>0</v>
      </c>
      <c r="CN821" s="161">
        <f t="shared" si="3187"/>
        <v>0</v>
      </c>
      <c r="CO821" s="161">
        <f t="shared" si="3188"/>
        <v>0</v>
      </c>
      <c r="CP821" s="161">
        <f t="shared" si="3189"/>
        <v>0</v>
      </c>
      <c r="CQ821" s="161">
        <f t="shared" si="3190"/>
        <v>0</v>
      </c>
      <c r="CR821" s="161">
        <f t="shared" si="3191"/>
        <v>0</v>
      </c>
      <c r="CS821" s="161">
        <f t="shared" si="3192"/>
        <v>0</v>
      </c>
      <c r="CT821" s="161">
        <f t="shared" si="3193"/>
        <v>0</v>
      </c>
      <c r="CU821" s="161">
        <f t="shared" si="3194"/>
        <v>0</v>
      </c>
      <c r="CV821" s="161">
        <f t="shared" si="3195"/>
        <v>0</v>
      </c>
      <c r="CW821" s="161">
        <f t="shared" si="3196"/>
        <v>0</v>
      </c>
      <c r="CX821" s="161">
        <f t="shared" si="3197"/>
        <v>0</v>
      </c>
      <c r="CY821" s="161">
        <f t="shared" si="3198"/>
        <v>0</v>
      </c>
      <c r="CZ821" s="161">
        <f t="shared" si="3199"/>
        <v>0</v>
      </c>
      <c r="DA821" s="161">
        <f t="shared" si="3200"/>
        <v>0</v>
      </c>
      <c r="DB821" s="161">
        <f t="shared" si="3201"/>
        <v>0</v>
      </c>
      <c r="DC821" s="161">
        <f t="shared" si="3202"/>
        <v>0</v>
      </c>
      <c r="DD821" s="161">
        <f t="shared" si="3203"/>
        <v>0</v>
      </c>
      <c r="DE821" s="161">
        <f t="shared" si="3204"/>
        <v>0</v>
      </c>
      <c r="DF821" s="161">
        <f t="shared" si="3205"/>
        <v>0</v>
      </c>
      <c r="DG821" s="161">
        <f t="shared" si="3206"/>
        <v>0</v>
      </c>
      <c r="DH821" s="161">
        <f t="shared" si="3207"/>
        <v>0</v>
      </c>
      <c r="DI821" s="161">
        <f t="shared" si="3208"/>
        <v>0</v>
      </c>
      <c r="DJ821" s="161">
        <f t="shared" si="3209"/>
        <v>0</v>
      </c>
      <c r="DK821" s="161">
        <f t="shared" si="3210"/>
        <v>0</v>
      </c>
      <c r="DL821" s="161">
        <f t="shared" si="3211"/>
        <v>0</v>
      </c>
      <c r="DM821" s="161">
        <f t="shared" si="3212"/>
        <v>0</v>
      </c>
      <c r="DN821" s="161">
        <f t="shared" si="3213"/>
        <v>0</v>
      </c>
      <c r="DO821" s="161">
        <f t="shared" si="3214"/>
        <v>0</v>
      </c>
      <c r="DP821" s="161">
        <f t="shared" si="3215"/>
        <v>0</v>
      </c>
      <c r="DQ821" s="161">
        <f t="shared" si="3216"/>
        <v>0</v>
      </c>
      <c r="DR821" s="161">
        <f t="shared" si="3217"/>
        <v>0</v>
      </c>
      <c r="DS821" s="161">
        <f t="shared" si="3218"/>
        <v>0</v>
      </c>
      <c r="DT821" s="161">
        <f t="shared" si="3219"/>
        <v>0</v>
      </c>
      <c r="DU821" s="161">
        <f t="shared" si="3220"/>
        <v>0</v>
      </c>
      <c r="DV821" s="161">
        <f t="shared" si="3221"/>
        <v>0</v>
      </c>
      <c r="DW821" s="161">
        <f t="shared" si="3222"/>
        <v>0</v>
      </c>
      <c r="DX821" s="161">
        <f t="shared" si="3223"/>
        <v>0</v>
      </c>
      <c r="DY821" s="161">
        <f t="shared" si="3224"/>
        <v>0</v>
      </c>
      <c r="DZ821" s="161">
        <f t="shared" si="3225"/>
        <v>0</v>
      </c>
      <c r="EA821" s="161">
        <f t="shared" si="3226"/>
        <v>0</v>
      </c>
      <c r="EB821" s="161">
        <f t="shared" si="3227"/>
        <v>0</v>
      </c>
      <c r="EC821" s="161">
        <f t="shared" si="3228"/>
        <v>0</v>
      </c>
      <c r="ED821" s="161">
        <f t="shared" si="3229"/>
        <v>0</v>
      </c>
      <c r="EE821" s="161">
        <f t="shared" si="3230"/>
        <v>0</v>
      </c>
      <c r="EF821" s="161">
        <f t="shared" si="3231"/>
        <v>0</v>
      </c>
      <c r="EG821" s="161">
        <f t="shared" si="3232"/>
        <v>0</v>
      </c>
      <c r="EH821" s="161">
        <f t="shared" si="3233"/>
        <v>0</v>
      </c>
      <c r="EI821" s="161">
        <f t="shared" si="3234"/>
        <v>0</v>
      </c>
    </row>
    <row r="822" spans="2:139" ht="12" customHeight="1" outlineLevel="1">
      <c r="B822" s="137" t="str">
        <f>IF(F822&gt;0,F822&amp;" - "&amp;D821,"")</f>
        <v>Almoxarife - Almoxarifado e Materiais</v>
      </c>
      <c r="C822" s="65"/>
      <c r="D822" s="607"/>
      <c r="E822" s="65"/>
      <c r="F822" s="164" t="s">
        <v>523</v>
      </c>
      <c r="G822" s="165"/>
      <c r="H822" s="166">
        <f t="shared" si="3251"/>
        <v>0</v>
      </c>
      <c r="I822" s="144">
        <f t="shared" si="3252"/>
        <v>0</v>
      </c>
      <c r="J822" s="65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  <c r="AB822" s="167"/>
      <c r="AC822" s="167"/>
      <c r="AD822" s="167"/>
      <c r="AE822" s="167"/>
      <c r="AF822" s="167"/>
      <c r="AG822" s="167"/>
      <c r="AH822" s="167"/>
      <c r="AI822" s="167"/>
      <c r="AJ822" s="167"/>
      <c r="AK822" s="167"/>
      <c r="AL822" s="167"/>
      <c r="AM822" s="167"/>
      <c r="AN822" s="167"/>
      <c r="AO822" s="167"/>
      <c r="AP822" s="167"/>
      <c r="AQ822" s="167"/>
      <c r="AR822" s="167"/>
      <c r="AS822" s="167"/>
      <c r="AT822" s="167"/>
      <c r="AU822" s="167"/>
      <c r="AV822" s="167"/>
      <c r="AW822" s="167"/>
      <c r="AX822" s="167"/>
      <c r="AY822" s="167"/>
      <c r="AZ822" s="167"/>
      <c r="BA822" s="167"/>
      <c r="BB822" s="167"/>
      <c r="BC822" s="167"/>
      <c r="BD822" s="167"/>
      <c r="BE822" s="167"/>
      <c r="BF822" s="167"/>
      <c r="BG822" s="167"/>
      <c r="BH822" s="167"/>
      <c r="BI822" s="167"/>
      <c r="BJ822" s="167"/>
      <c r="BK822" s="167"/>
      <c r="BL822" s="167"/>
      <c r="BM822" s="167"/>
      <c r="BN822" s="167"/>
      <c r="BO822" s="167"/>
      <c r="BP822" s="167"/>
      <c r="BQ822" s="167"/>
      <c r="BR822" s="167"/>
      <c r="BS822" s="65"/>
      <c r="BT822" s="65"/>
      <c r="BU822" s="65"/>
      <c r="BV822" s="65"/>
      <c r="BW822" s="69"/>
      <c r="BX822" s="65"/>
      <c r="BY822" s="137">
        <f t="shared" si="3235"/>
        <v>0</v>
      </c>
      <c r="BZ822" s="137">
        <f>IF(BY822&gt;0,BY822+LARGE($BZ$757:BZ821,1),0)</f>
        <v>0</v>
      </c>
      <c r="CA822" s="137" t="str">
        <f t="shared" si="3236"/>
        <v>Almoxarife</v>
      </c>
      <c r="CB822" s="161">
        <f t="shared" si="3175"/>
        <v>0</v>
      </c>
      <c r="CC822" s="161">
        <f t="shared" si="3176"/>
        <v>0</v>
      </c>
      <c r="CD822" s="161">
        <f t="shared" si="3177"/>
        <v>0</v>
      </c>
      <c r="CE822" s="161">
        <f t="shared" si="3178"/>
        <v>0</v>
      </c>
      <c r="CF822" s="161">
        <f t="shared" si="3179"/>
        <v>0</v>
      </c>
      <c r="CG822" s="161">
        <f t="shared" si="3180"/>
        <v>0</v>
      </c>
      <c r="CH822" s="161">
        <f t="shared" si="3181"/>
        <v>0</v>
      </c>
      <c r="CI822" s="161">
        <f t="shared" si="3182"/>
        <v>0</v>
      </c>
      <c r="CJ822" s="161">
        <f t="shared" si="3183"/>
        <v>0</v>
      </c>
      <c r="CK822" s="161">
        <f t="shared" si="3184"/>
        <v>0</v>
      </c>
      <c r="CL822" s="161">
        <f t="shared" si="3185"/>
        <v>0</v>
      </c>
      <c r="CM822" s="161">
        <f t="shared" si="3186"/>
        <v>0</v>
      </c>
      <c r="CN822" s="161">
        <f t="shared" si="3187"/>
        <v>0</v>
      </c>
      <c r="CO822" s="161">
        <f t="shared" si="3188"/>
        <v>0</v>
      </c>
      <c r="CP822" s="161">
        <f t="shared" si="3189"/>
        <v>0</v>
      </c>
      <c r="CQ822" s="161">
        <f t="shared" si="3190"/>
        <v>0</v>
      </c>
      <c r="CR822" s="161">
        <f t="shared" si="3191"/>
        <v>0</v>
      </c>
      <c r="CS822" s="161">
        <f t="shared" si="3192"/>
        <v>0</v>
      </c>
      <c r="CT822" s="161">
        <f t="shared" si="3193"/>
        <v>0</v>
      </c>
      <c r="CU822" s="161">
        <f t="shared" si="3194"/>
        <v>0</v>
      </c>
      <c r="CV822" s="161">
        <f t="shared" si="3195"/>
        <v>0</v>
      </c>
      <c r="CW822" s="161">
        <f t="shared" si="3196"/>
        <v>0</v>
      </c>
      <c r="CX822" s="161">
        <f t="shared" si="3197"/>
        <v>0</v>
      </c>
      <c r="CY822" s="161">
        <f t="shared" si="3198"/>
        <v>0</v>
      </c>
      <c r="CZ822" s="161">
        <f t="shared" si="3199"/>
        <v>0</v>
      </c>
      <c r="DA822" s="161">
        <f t="shared" si="3200"/>
        <v>0</v>
      </c>
      <c r="DB822" s="161">
        <f t="shared" si="3201"/>
        <v>0</v>
      </c>
      <c r="DC822" s="161">
        <f t="shared" si="3202"/>
        <v>0</v>
      </c>
      <c r="DD822" s="161">
        <f t="shared" si="3203"/>
        <v>0</v>
      </c>
      <c r="DE822" s="161">
        <f t="shared" si="3204"/>
        <v>0</v>
      </c>
      <c r="DF822" s="161">
        <f t="shared" si="3205"/>
        <v>0</v>
      </c>
      <c r="DG822" s="161">
        <f t="shared" si="3206"/>
        <v>0</v>
      </c>
      <c r="DH822" s="161">
        <f t="shared" si="3207"/>
        <v>0</v>
      </c>
      <c r="DI822" s="161">
        <f t="shared" si="3208"/>
        <v>0</v>
      </c>
      <c r="DJ822" s="161">
        <f t="shared" si="3209"/>
        <v>0</v>
      </c>
      <c r="DK822" s="161">
        <f t="shared" si="3210"/>
        <v>0</v>
      </c>
      <c r="DL822" s="161">
        <f t="shared" si="3211"/>
        <v>0</v>
      </c>
      <c r="DM822" s="161">
        <f t="shared" si="3212"/>
        <v>0</v>
      </c>
      <c r="DN822" s="161">
        <f t="shared" si="3213"/>
        <v>0</v>
      </c>
      <c r="DO822" s="161">
        <f t="shared" si="3214"/>
        <v>0</v>
      </c>
      <c r="DP822" s="161">
        <f t="shared" si="3215"/>
        <v>0</v>
      </c>
      <c r="DQ822" s="161">
        <f t="shared" si="3216"/>
        <v>0</v>
      </c>
      <c r="DR822" s="161">
        <f t="shared" si="3217"/>
        <v>0</v>
      </c>
      <c r="DS822" s="161">
        <f t="shared" si="3218"/>
        <v>0</v>
      </c>
      <c r="DT822" s="161">
        <f t="shared" si="3219"/>
        <v>0</v>
      </c>
      <c r="DU822" s="161">
        <f t="shared" si="3220"/>
        <v>0</v>
      </c>
      <c r="DV822" s="161">
        <f t="shared" si="3221"/>
        <v>0</v>
      </c>
      <c r="DW822" s="161">
        <f t="shared" si="3222"/>
        <v>0</v>
      </c>
      <c r="DX822" s="161">
        <f t="shared" si="3223"/>
        <v>0</v>
      </c>
      <c r="DY822" s="161">
        <f t="shared" si="3224"/>
        <v>0</v>
      </c>
      <c r="DZ822" s="161">
        <f t="shared" si="3225"/>
        <v>0</v>
      </c>
      <c r="EA822" s="161">
        <f t="shared" si="3226"/>
        <v>0</v>
      </c>
      <c r="EB822" s="161">
        <f t="shared" si="3227"/>
        <v>0</v>
      </c>
      <c r="EC822" s="161">
        <f t="shared" si="3228"/>
        <v>0</v>
      </c>
      <c r="ED822" s="161">
        <f t="shared" si="3229"/>
        <v>0</v>
      </c>
      <c r="EE822" s="161">
        <f t="shared" si="3230"/>
        <v>0</v>
      </c>
      <c r="EF822" s="161">
        <f t="shared" si="3231"/>
        <v>0</v>
      </c>
      <c r="EG822" s="161">
        <f t="shared" si="3232"/>
        <v>0</v>
      </c>
      <c r="EH822" s="161">
        <f t="shared" si="3233"/>
        <v>0</v>
      </c>
      <c r="EI822" s="161">
        <f t="shared" si="3234"/>
        <v>0</v>
      </c>
    </row>
    <row r="823" spans="2:139" ht="12" customHeight="1" outlineLevel="1">
      <c r="B823" s="137" t="str">
        <f>IF(F823&gt;0,F823&amp;" - "&amp;D821,"")</f>
        <v>Auxiliar de Almoxarifado - Almoxarifado e Materiais</v>
      </c>
      <c r="C823" s="65"/>
      <c r="D823" s="607"/>
      <c r="E823" s="65"/>
      <c r="F823" s="164" t="s">
        <v>524</v>
      </c>
      <c r="G823" s="165"/>
      <c r="H823" s="166">
        <f t="shared" si="3251"/>
        <v>0</v>
      </c>
      <c r="I823" s="144">
        <f t="shared" si="3252"/>
        <v>0</v>
      </c>
      <c r="J823" s="65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  <c r="AB823" s="167"/>
      <c r="AC823" s="167"/>
      <c r="AD823" s="167"/>
      <c r="AE823" s="167"/>
      <c r="AF823" s="167"/>
      <c r="AG823" s="167"/>
      <c r="AH823" s="167"/>
      <c r="AI823" s="167"/>
      <c r="AJ823" s="167"/>
      <c r="AK823" s="167"/>
      <c r="AL823" s="167"/>
      <c r="AM823" s="167"/>
      <c r="AN823" s="167"/>
      <c r="AO823" s="167"/>
      <c r="AP823" s="167"/>
      <c r="AQ823" s="167"/>
      <c r="AR823" s="167"/>
      <c r="AS823" s="167"/>
      <c r="AT823" s="167"/>
      <c r="AU823" s="167"/>
      <c r="AV823" s="167"/>
      <c r="AW823" s="167"/>
      <c r="AX823" s="167"/>
      <c r="AY823" s="167"/>
      <c r="AZ823" s="167"/>
      <c r="BA823" s="167"/>
      <c r="BB823" s="167"/>
      <c r="BC823" s="167"/>
      <c r="BD823" s="167"/>
      <c r="BE823" s="167"/>
      <c r="BF823" s="167"/>
      <c r="BG823" s="167"/>
      <c r="BH823" s="167"/>
      <c r="BI823" s="167"/>
      <c r="BJ823" s="167"/>
      <c r="BK823" s="167"/>
      <c r="BL823" s="167"/>
      <c r="BM823" s="167"/>
      <c r="BN823" s="167"/>
      <c r="BO823" s="167"/>
      <c r="BP823" s="167"/>
      <c r="BQ823" s="167"/>
      <c r="BR823" s="167"/>
      <c r="BS823" s="65"/>
      <c r="BT823" s="65"/>
      <c r="BU823" s="65"/>
      <c r="BV823" s="65"/>
      <c r="BW823" s="69"/>
      <c r="BX823" s="65"/>
      <c r="BY823" s="137">
        <f t="shared" si="3235"/>
        <v>0</v>
      </c>
      <c r="BZ823" s="137">
        <f>IF(BY823&gt;0,BY823+LARGE($BZ$757:BZ822,1),0)</f>
        <v>0</v>
      </c>
      <c r="CA823" s="137" t="str">
        <f t="shared" si="3236"/>
        <v>Auxiliar de Almoxarifado</v>
      </c>
      <c r="CB823" s="161">
        <f t="shared" si="3175"/>
        <v>0</v>
      </c>
      <c r="CC823" s="161">
        <f t="shared" si="3176"/>
        <v>0</v>
      </c>
      <c r="CD823" s="161">
        <f t="shared" si="3177"/>
        <v>0</v>
      </c>
      <c r="CE823" s="161">
        <f t="shared" si="3178"/>
        <v>0</v>
      </c>
      <c r="CF823" s="161">
        <f t="shared" si="3179"/>
        <v>0</v>
      </c>
      <c r="CG823" s="161">
        <f t="shared" si="3180"/>
        <v>0</v>
      </c>
      <c r="CH823" s="161">
        <f t="shared" si="3181"/>
        <v>0</v>
      </c>
      <c r="CI823" s="161">
        <f t="shared" si="3182"/>
        <v>0</v>
      </c>
      <c r="CJ823" s="161">
        <f t="shared" si="3183"/>
        <v>0</v>
      </c>
      <c r="CK823" s="161">
        <f t="shared" si="3184"/>
        <v>0</v>
      </c>
      <c r="CL823" s="161">
        <f t="shared" si="3185"/>
        <v>0</v>
      </c>
      <c r="CM823" s="161">
        <f t="shared" si="3186"/>
        <v>0</v>
      </c>
      <c r="CN823" s="161">
        <f t="shared" si="3187"/>
        <v>0</v>
      </c>
      <c r="CO823" s="161">
        <f t="shared" si="3188"/>
        <v>0</v>
      </c>
      <c r="CP823" s="161">
        <f t="shared" si="3189"/>
        <v>0</v>
      </c>
      <c r="CQ823" s="161">
        <f t="shared" si="3190"/>
        <v>0</v>
      </c>
      <c r="CR823" s="161">
        <f t="shared" si="3191"/>
        <v>0</v>
      </c>
      <c r="CS823" s="161">
        <f t="shared" si="3192"/>
        <v>0</v>
      </c>
      <c r="CT823" s="161">
        <f t="shared" si="3193"/>
        <v>0</v>
      </c>
      <c r="CU823" s="161">
        <f t="shared" si="3194"/>
        <v>0</v>
      </c>
      <c r="CV823" s="161">
        <f t="shared" si="3195"/>
        <v>0</v>
      </c>
      <c r="CW823" s="161">
        <f t="shared" si="3196"/>
        <v>0</v>
      </c>
      <c r="CX823" s="161">
        <f t="shared" si="3197"/>
        <v>0</v>
      </c>
      <c r="CY823" s="161">
        <f t="shared" si="3198"/>
        <v>0</v>
      </c>
      <c r="CZ823" s="161">
        <f t="shared" si="3199"/>
        <v>0</v>
      </c>
      <c r="DA823" s="161">
        <f t="shared" si="3200"/>
        <v>0</v>
      </c>
      <c r="DB823" s="161">
        <f t="shared" si="3201"/>
        <v>0</v>
      </c>
      <c r="DC823" s="161">
        <f t="shared" si="3202"/>
        <v>0</v>
      </c>
      <c r="DD823" s="161">
        <f t="shared" si="3203"/>
        <v>0</v>
      </c>
      <c r="DE823" s="161">
        <f t="shared" si="3204"/>
        <v>0</v>
      </c>
      <c r="DF823" s="161">
        <f t="shared" si="3205"/>
        <v>0</v>
      </c>
      <c r="DG823" s="161">
        <f t="shared" si="3206"/>
        <v>0</v>
      </c>
      <c r="DH823" s="161">
        <f t="shared" si="3207"/>
        <v>0</v>
      </c>
      <c r="DI823" s="161">
        <f t="shared" si="3208"/>
        <v>0</v>
      </c>
      <c r="DJ823" s="161">
        <f t="shared" si="3209"/>
        <v>0</v>
      </c>
      <c r="DK823" s="161">
        <f t="shared" si="3210"/>
        <v>0</v>
      </c>
      <c r="DL823" s="161">
        <f t="shared" si="3211"/>
        <v>0</v>
      </c>
      <c r="DM823" s="161">
        <f t="shared" si="3212"/>
        <v>0</v>
      </c>
      <c r="DN823" s="161">
        <f t="shared" si="3213"/>
        <v>0</v>
      </c>
      <c r="DO823" s="161">
        <f t="shared" si="3214"/>
        <v>0</v>
      </c>
      <c r="DP823" s="161">
        <f t="shared" si="3215"/>
        <v>0</v>
      </c>
      <c r="DQ823" s="161">
        <f t="shared" si="3216"/>
        <v>0</v>
      </c>
      <c r="DR823" s="161">
        <f t="shared" si="3217"/>
        <v>0</v>
      </c>
      <c r="DS823" s="161">
        <f t="shared" si="3218"/>
        <v>0</v>
      </c>
      <c r="DT823" s="161">
        <f t="shared" si="3219"/>
        <v>0</v>
      </c>
      <c r="DU823" s="161">
        <f t="shared" si="3220"/>
        <v>0</v>
      </c>
      <c r="DV823" s="161">
        <f t="shared" si="3221"/>
        <v>0</v>
      </c>
      <c r="DW823" s="161">
        <f t="shared" si="3222"/>
        <v>0</v>
      </c>
      <c r="DX823" s="161">
        <f t="shared" si="3223"/>
        <v>0</v>
      </c>
      <c r="DY823" s="161">
        <f t="shared" si="3224"/>
        <v>0</v>
      </c>
      <c r="DZ823" s="161">
        <f t="shared" si="3225"/>
        <v>0</v>
      </c>
      <c r="EA823" s="161">
        <f t="shared" si="3226"/>
        <v>0</v>
      </c>
      <c r="EB823" s="161">
        <f t="shared" si="3227"/>
        <v>0</v>
      </c>
      <c r="EC823" s="161">
        <f t="shared" si="3228"/>
        <v>0</v>
      </c>
      <c r="ED823" s="161">
        <f t="shared" si="3229"/>
        <v>0</v>
      </c>
      <c r="EE823" s="161">
        <f t="shared" si="3230"/>
        <v>0</v>
      </c>
      <c r="EF823" s="161">
        <f t="shared" si="3231"/>
        <v>0</v>
      </c>
      <c r="EG823" s="161">
        <f t="shared" si="3232"/>
        <v>0</v>
      </c>
      <c r="EH823" s="161">
        <f t="shared" si="3233"/>
        <v>0</v>
      </c>
      <c r="EI823" s="161">
        <f t="shared" si="3234"/>
        <v>0</v>
      </c>
    </row>
    <row r="824" spans="2:139" ht="12" customHeight="1" outlineLevel="1">
      <c r="B824" s="137" t="str">
        <f>IF(F824&gt;0,F824&amp;" - "&amp;D821,"")</f>
        <v>Técnico de Materiais - Almoxarifado e Materiais</v>
      </c>
      <c r="C824" s="65"/>
      <c r="D824" s="607"/>
      <c r="E824" s="65"/>
      <c r="F824" s="164" t="s">
        <v>525</v>
      </c>
      <c r="G824" s="165"/>
      <c r="H824" s="166">
        <f t="shared" si="3251"/>
        <v>0</v>
      </c>
      <c r="I824" s="144">
        <f t="shared" si="3252"/>
        <v>0</v>
      </c>
      <c r="J824" s="65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  <c r="AB824" s="167"/>
      <c r="AC824" s="167"/>
      <c r="AD824" s="167"/>
      <c r="AE824" s="167"/>
      <c r="AF824" s="167"/>
      <c r="AG824" s="167"/>
      <c r="AH824" s="167"/>
      <c r="AI824" s="167"/>
      <c r="AJ824" s="167"/>
      <c r="AK824" s="167"/>
      <c r="AL824" s="167"/>
      <c r="AM824" s="167"/>
      <c r="AN824" s="167"/>
      <c r="AO824" s="167"/>
      <c r="AP824" s="167"/>
      <c r="AQ824" s="167"/>
      <c r="AR824" s="167"/>
      <c r="AS824" s="167"/>
      <c r="AT824" s="167"/>
      <c r="AU824" s="167"/>
      <c r="AV824" s="167"/>
      <c r="AW824" s="167"/>
      <c r="AX824" s="167"/>
      <c r="AY824" s="167"/>
      <c r="AZ824" s="167"/>
      <c r="BA824" s="167"/>
      <c r="BB824" s="167"/>
      <c r="BC824" s="167"/>
      <c r="BD824" s="167"/>
      <c r="BE824" s="167"/>
      <c r="BF824" s="167"/>
      <c r="BG824" s="167"/>
      <c r="BH824" s="167"/>
      <c r="BI824" s="167"/>
      <c r="BJ824" s="167"/>
      <c r="BK824" s="167"/>
      <c r="BL824" s="167"/>
      <c r="BM824" s="167"/>
      <c r="BN824" s="167"/>
      <c r="BO824" s="167"/>
      <c r="BP824" s="167"/>
      <c r="BQ824" s="167"/>
      <c r="BR824" s="167"/>
      <c r="BS824" s="65"/>
      <c r="BT824" s="65"/>
      <c r="BU824" s="65"/>
      <c r="BV824" s="65"/>
      <c r="BW824" s="69"/>
      <c r="BX824" s="65"/>
      <c r="BY824" s="137">
        <f t="shared" si="3235"/>
        <v>0</v>
      </c>
      <c r="BZ824" s="137">
        <f>IF(BY824&gt;0,BY824+LARGE($BZ$757:BZ823,1),0)</f>
        <v>0</v>
      </c>
      <c r="CA824" s="137" t="str">
        <f t="shared" si="3236"/>
        <v>Técnico de Materiais</v>
      </c>
      <c r="CB824" s="161">
        <f t="shared" si="3175"/>
        <v>0</v>
      </c>
      <c r="CC824" s="161">
        <f t="shared" si="3176"/>
        <v>0</v>
      </c>
      <c r="CD824" s="161">
        <f t="shared" si="3177"/>
        <v>0</v>
      </c>
      <c r="CE824" s="161">
        <f t="shared" si="3178"/>
        <v>0</v>
      </c>
      <c r="CF824" s="161">
        <f t="shared" si="3179"/>
        <v>0</v>
      </c>
      <c r="CG824" s="161">
        <f t="shared" si="3180"/>
        <v>0</v>
      </c>
      <c r="CH824" s="161">
        <f t="shared" si="3181"/>
        <v>0</v>
      </c>
      <c r="CI824" s="161">
        <f t="shared" si="3182"/>
        <v>0</v>
      </c>
      <c r="CJ824" s="161">
        <f t="shared" si="3183"/>
        <v>0</v>
      </c>
      <c r="CK824" s="161">
        <f t="shared" si="3184"/>
        <v>0</v>
      </c>
      <c r="CL824" s="161">
        <f t="shared" si="3185"/>
        <v>0</v>
      </c>
      <c r="CM824" s="161">
        <f t="shared" si="3186"/>
        <v>0</v>
      </c>
      <c r="CN824" s="161">
        <f t="shared" si="3187"/>
        <v>0</v>
      </c>
      <c r="CO824" s="161">
        <f t="shared" si="3188"/>
        <v>0</v>
      </c>
      <c r="CP824" s="161">
        <f t="shared" si="3189"/>
        <v>0</v>
      </c>
      <c r="CQ824" s="161">
        <f t="shared" si="3190"/>
        <v>0</v>
      </c>
      <c r="CR824" s="161">
        <f t="shared" si="3191"/>
        <v>0</v>
      </c>
      <c r="CS824" s="161">
        <f t="shared" si="3192"/>
        <v>0</v>
      </c>
      <c r="CT824" s="161">
        <f t="shared" si="3193"/>
        <v>0</v>
      </c>
      <c r="CU824" s="161">
        <f t="shared" si="3194"/>
        <v>0</v>
      </c>
      <c r="CV824" s="161">
        <f t="shared" si="3195"/>
        <v>0</v>
      </c>
      <c r="CW824" s="161">
        <f t="shared" si="3196"/>
        <v>0</v>
      </c>
      <c r="CX824" s="161">
        <f t="shared" si="3197"/>
        <v>0</v>
      </c>
      <c r="CY824" s="161">
        <f t="shared" si="3198"/>
        <v>0</v>
      </c>
      <c r="CZ824" s="161">
        <f t="shared" si="3199"/>
        <v>0</v>
      </c>
      <c r="DA824" s="161">
        <f t="shared" si="3200"/>
        <v>0</v>
      </c>
      <c r="DB824" s="161">
        <f t="shared" si="3201"/>
        <v>0</v>
      </c>
      <c r="DC824" s="161">
        <f t="shared" si="3202"/>
        <v>0</v>
      </c>
      <c r="DD824" s="161">
        <f t="shared" si="3203"/>
        <v>0</v>
      </c>
      <c r="DE824" s="161">
        <f t="shared" si="3204"/>
        <v>0</v>
      </c>
      <c r="DF824" s="161">
        <f t="shared" si="3205"/>
        <v>0</v>
      </c>
      <c r="DG824" s="161">
        <f t="shared" si="3206"/>
        <v>0</v>
      </c>
      <c r="DH824" s="161">
        <f t="shared" si="3207"/>
        <v>0</v>
      </c>
      <c r="DI824" s="161">
        <f t="shared" si="3208"/>
        <v>0</v>
      </c>
      <c r="DJ824" s="161">
        <f t="shared" si="3209"/>
        <v>0</v>
      </c>
      <c r="DK824" s="161">
        <f t="shared" si="3210"/>
        <v>0</v>
      </c>
      <c r="DL824" s="161">
        <f t="shared" si="3211"/>
        <v>0</v>
      </c>
      <c r="DM824" s="161">
        <f t="shared" si="3212"/>
        <v>0</v>
      </c>
      <c r="DN824" s="161">
        <f t="shared" si="3213"/>
        <v>0</v>
      </c>
      <c r="DO824" s="161">
        <f t="shared" si="3214"/>
        <v>0</v>
      </c>
      <c r="DP824" s="161">
        <f t="shared" si="3215"/>
        <v>0</v>
      </c>
      <c r="DQ824" s="161">
        <f t="shared" si="3216"/>
        <v>0</v>
      </c>
      <c r="DR824" s="161">
        <f t="shared" si="3217"/>
        <v>0</v>
      </c>
      <c r="DS824" s="161">
        <f t="shared" si="3218"/>
        <v>0</v>
      </c>
      <c r="DT824" s="161">
        <f t="shared" si="3219"/>
        <v>0</v>
      </c>
      <c r="DU824" s="161">
        <f t="shared" si="3220"/>
        <v>0</v>
      </c>
      <c r="DV824" s="161">
        <f t="shared" si="3221"/>
        <v>0</v>
      </c>
      <c r="DW824" s="161">
        <f t="shared" si="3222"/>
        <v>0</v>
      </c>
      <c r="DX824" s="161">
        <f t="shared" si="3223"/>
        <v>0</v>
      </c>
      <c r="DY824" s="161">
        <f t="shared" si="3224"/>
        <v>0</v>
      </c>
      <c r="DZ824" s="161">
        <f t="shared" si="3225"/>
        <v>0</v>
      </c>
      <c r="EA824" s="161">
        <f t="shared" si="3226"/>
        <v>0</v>
      </c>
      <c r="EB824" s="161">
        <f t="shared" si="3227"/>
        <v>0</v>
      </c>
      <c r="EC824" s="161">
        <f t="shared" si="3228"/>
        <v>0</v>
      </c>
      <c r="ED824" s="161">
        <f t="shared" si="3229"/>
        <v>0</v>
      </c>
      <c r="EE824" s="161">
        <f t="shared" si="3230"/>
        <v>0</v>
      </c>
      <c r="EF824" s="161">
        <f t="shared" si="3231"/>
        <v>0</v>
      </c>
      <c r="EG824" s="161">
        <f t="shared" si="3232"/>
        <v>0</v>
      </c>
      <c r="EH824" s="161">
        <f t="shared" si="3233"/>
        <v>0</v>
      </c>
      <c r="EI824" s="161">
        <f t="shared" si="3234"/>
        <v>0</v>
      </c>
    </row>
    <row r="825" spans="2:139" ht="12" customHeight="1" outlineLevel="1">
      <c r="B825" s="137" t="str">
        <f>IF(F825&gt;0,F825&amp;" - "&amp;D821,"")</f>
        <v/>
      </c>
      <c r="C825" s="65"/>
      <c r="D825" s="607"/>
      <c r="E825" s="65"/>
      <c r="F825" s="164"/>
      <c r="G825" s="165"/>
      <c r="H825" s="166">
        <f t="shared" si="3251"/>
        <v>0</v>
      </c>
      <c r="I825" s="144">
        <f t="shared" si="3252"/>
        <v>0</v>
      </c>
      <c r="J825" s="65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  <c r="AB825" s="167"/>
      <c r="AC825" s="167"/>
      <c r="AD825" s="167"/>
      <c r="AE825" s="167"/>
      <c r="AF825" s="167"/>
      <c r="AG825" s="167"/>
      <c r="AH825" s="167"/>
      <c r="AI825" s="167"/>
      <c r="AJ825" s="167"/>
      <c r="AK825" s="167"/>
      <c r="AL825" s="167"/>
      <c r="AM825" s="167"/>
      <c r="AN825" s="167"/>
      <c r="AO825" s="167"/>
      <c r="AP825" s="167"/>
      <c r="AQ825" s="167"/>
      <c r="AR825" s="167"/>
      <c r="AS825" s="167"/>
      <c r="AT825" s="167"/>
      <c r="AU825" s="167"/>
      <c r="AV825" s="167"/>
      <c r="AW825" s="167"/>
      <c r="AX825" s="167"/>
      <c r="AY825" s="167"/>
      <c r="AZ825" s="167"/>
      <c r="BA825" s="167"/>
      <c r="BB825" s="167"/>
      <c r="BC825" s="167"/>
      <c r="BD825" s="167"/>
      <c r="BE825" s="167"/>
      <c r="BF825" s="167"/>
      <c r="BG825" s="167"/>
      <c r="BH825" s="167"/>
      <c r="BI825" s="167"/>
      <c r="BJ825" s="167"/>
      <c r="BK825" s="167"/>
      <c r="BL825" s="167"/>
      <c r="BM825" s="167"/>
      <c r="BN825" s="167"/>
      <c r="BO825" s="167"/>
      <c r="BP825" s="167"/>
      <c r="BQ825" s="167"/>
      <c r="BR825" s="167"/>
      <c r="BS825" s="65"/>
      <c r="BT825" s="65"/>
      <c r="BU825" s="65"/>
      <c r="BV825" s="65"/>
      <c r="BW825" s="69"/>
      <c r="BX825" s="65"/>
      <c r="BY825" s="137">
        <f t="shared" si="3235"/>
        <v>0</v>
      </c>
      <c r="BZ825" s="137">
        <f>IF(BY825&gt;0,BY825+LARGE($BZ$757:BZ824,1),0)</f>
        <v>0</v>
      </c>
      <c r="CA825" s="137">
        <f t="shared" si="3236"/>
        <v>0</v>
      </c>
      <c r="CB825" s="161">
        <f t="shared" si="3175"/>
        <v>0</v>
      </c>
      <c r="CC825" s="161">
        <f t="shared" si="3176"/>
        <v>0</v>
      </c>
      <c r="CD825" s="161">
        <f t="shared" si="3177"/>
        <v>0</v>
      </c>
      <c r="CE825" s="161">
        <f t="shared" si="3178"/>
        <v>0</v>
      </c>
      <c r="CF825" s="161">
        <f t="shared" si="3179"/>
        <v>0</v>
      </c>
      <c r="CG825" s="161">
        <f t="shared" si="3180"/>
        <v>0</v>
      </c>
      <c r="CH825" s="161">
        <f t="shared" si="3181"/>
        <v>0</v>
      </c>
      <c r="CI825" s="161">
        <f t="shared" si="3182"/>
        <v>0</v>
      </c>
      <c r="CJ825" s="161">
        <f t="shared" si="3183"/>
        <v>0</v>
      </c>
      <c r="CK825" s="161">
        <f t="shared" si="3184"/>
        <v>0</v>
      </c>
      <c r="CL825" s="161">
        <f t="shared" si="3185"/>
        <v>0</v>
      </c>
      <c r="CM825" s="161">
        <f t="shared" si="3186"/>
        <v>0</v>
      </c>
      <c r="CN825" s="161">
        <f t="shared" si="3187"/>
        <v>0</v>
      </c>
      <c r="CO825" s="161">
        <f t="shared" si="3188"/>
        <v>0</v>
      </c>
      <c r="CP825" s="161">
        <f t="shared" si="3189"/>
        <v>0</v>
      </c>
      <c r="CQ825" s="161">
        <f t="shared" si="3190"/>
        <v>0</v>
      </c>
      <c r="CR825" s="161">
        <f t="shared" si="3191"/>
        <v>0</v>
      </c>
      <c r="CS825" s="161">
        <f t="shared" si="3192"/>
        <v>0</v>
      </c>
      <c r="CT825" s="161">
        <f t="shared" si="3193"/>
        <v>0</v>
      </c>
      <c r="CU825" s="161">
        <f t="shared" si="3194"/>
        <v>0</v>
      </c>
      <c r="CV825" s="161">
        <f t="shared" si="3195"/>
        <v>0</v>
      </c>
      <c r="CW825" s="161">
        <f t="shared" si="3196"/>
        <v>0</v>
      </c>
      <c r="CX825" s="161">
        <f t="shared" si="3197"/>
        <v>0</v>
      </c>
      <c r="CY825" s="161">
        <f t="shared" si="3198"/>
        <v>0</v>
      </c>
      <c r="CZ825" s="161">
        <f t="shared" si="3199"/>
        <v>0</v>
      </c>
      <c r="DA825" s="161">
        <f t="shared" si="3200"/>
        <v>0</v>
      </c>
      <c r="DB825" s="161">
        <f t="shared" si="3201"/>
        <v>0</v>
      </c>
      <c r="DC825" s="161">
        <f t="shared" si="3202"/>
        <v>0</v>
      </c>
      <c r="DD825" s="161">
        <f t="shared" si="3203"/>
        <v>0</v>
      </c>
      <c r="DE825" s="161">
        <f t="shared" si="3204"/>
        <v>0</v>
      </c>
      <c r="DF825" s="161">
        <f t="shared" si="3205"/>
        <v>0</v>
      </c>
      <c r="DG825" s="161">
        <f t="shared" si="3206"/>
        <v>0</v>
      </c>
      <c r="DH825" s="161">
        <f t="shared" si="3207"/>
        <v>0</v>
      </c>
      <c r="DI825" s="161">
        <f t="shared" si="3208"/>
        <v>0</v>
      </c>
      <c r="DJ825" s="161">
        <f t="shared" si="3209"/>
        <v>0</v>
      </c>
      <c r="DK825" s="161">
        <f t="shared" si="3210"/>
        <v>0</v>
      </c>
      <c r="DL825" s="161">
        <f t="shared" si="3211"/>
        <v>0</v>
      </c>
      <c r="DM825" s="161">
        <f t="shared" si="3212"/>
        <v>0</v>
      </c>
      <c r="DN825" s="161">
        <f t="shared" si="3213"/>
        <v>0</v>
      </c>
      <c r="DO825" s="161">
        <f t="shared" si="3214"/>
        <v>0</v>
      </c>
      <c r="DP825" s="161">
        <f t="shared" si="3215"/>
        <v>0</v>
      </c>
      <c r="DQ825" s="161">
        <f t="shared" si="3216"/>
        <v>0</v>
      </c>
      <c r="DR825" s="161">
        <f t="shared" si="3217"/>
        <v>0</v>
      </c>
      <c r="DS825" s="161">
        <f t="shared" si="3218"/>
        <v>0</v>
      </c>
      <c r="DT825" s="161">
        <f t="shared" si="3219"/>
        <v>0</v>
      </c>
      <c r="DU825" s="161">
        <f t="shared" si="3220"/>
        <v>0</v>
      </c>
      <c r="DV825" s="161">
        <f t="shared" si="3221"/>
        <v>0</v>
      </c>
      <c r="DW825" s="161">
        <f t="shared" si="3222"/>
        <v>0</v>
      </c>
      <c r="DX825" s="161">
        <f t="shared" si="3223"/>
        <v>0</v>
      </c>
      <c r="DY825" s="161">
        <f t="shared" si="3224"/>
        <v>0</v>
      </c>
      <c r="DZ825" s="161">
        <f t="shared" si="3225"/>
        <v>0</v>
      </c>
      <c r="EA825" s="161">
        <f t="shared" si="3226"/>
        <v>0</v>
      </c>
      <c r="EB825" s="161">
        <f t="shared" si="3227"/>
        <v>0</v>
      </c>
      <c r="EC825" s="161">
        <f t="shared" si="3228"/>
        <v>0</v>
      </c>
      <c r="ED825" s="161">
        <f t="shared" si="3229"/>
        <v>0</v>
      </c>
      <c r="EE825" s="161">
        <f t="shared" si="3230"/>
        <v>0</v>
      </c>
      <c r="EF825" s="161">
        <f t="shared" si="3231"/>
        <v>0</v>
      </c>
      <c r="EG825" s="161">
        <f t="shared" si="3232"/>
        <v>0</v>
      </c>
      <c r="EH825" s="161">
        <f t="shared" si="3233"/>
        <v>0</v>
      </c>
      <c r="EI825" s="161">
        <f t="shared" si="3234"/>
        <v>0</v>
      </c>
    </row>
    <row r="826" spans="2:139" ht="12" customHeight="1" outlineLevel="1">
      <c r="B826" s="137" t="str">
        <f>IF(F826&gt;0,F826&amp;" - "&amp;D821,"")</f>
        <v/>
      </c>
      <c r="C826" s="65"/>
      <c r="D826" s="607"/>
      <c r="E826" s="65"/>
      <c r="F826" s="164"/>
      <c r="G826" s="165"/>
      <c r="H826" s="166">
        <f t="shared" si="3251"/>
        <v>0</v>
      </c>
      <c r="I826" s="144">
        <f t="shared" si="3252"/>
        <v>0</v>
      </c>
      <c r="J826" s="65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  <c r="AB826" s="167"/>
      <c r="AC826" s="167"/>
      <c r="AD826" s="167"/>
      <c r="AE826" s="167"/>
      <c r="AF826" s="167"/>
      <c r="AG826" s="167"/>
      <c r="AH826" s="167"/>
      <c r="AI826" s="167"/>
      <c r="AJ826" s="167"/>
      <c r="AK826" s="167"/>
      <c r="AL826" s="167"/>
      <c r="AM826" s="167"/>
      <c r="AN826" s="167"/>
      <c r="AO826" s="167"/>
      <c r="AP826" s="167"/>
      <c r="AQ826" s="167"/>
      <c r="AR826" s="167"/>
      <c r="AS826" s="167"/>
      <c r="AT826" s="167"/>
      <c r="AU826" s="167"/>
      <c r="AV826" s="167"/>
      <c r="AW826" s="167"/>
      <c r="AX826" s="167"/>
      <c r="AY826" s="167"/>
      <c r="AZ826" s="167"/>
      <c r="BA826" s="167"/>
      <c r="BB826" s="167"/>
      <c r="BC826" s="167"/>
      <c r="BD826" s="167"/>
      <c r="BE826" s="167"/>
      <c r="BF826" s="167"/>
      <c r="BG826" s="167"/>
      <c r="BH826" s="167"/>
      <c r="BI826" s="167"/>
      <c r="BJ826" s="167"/>
      <c r="BK826" s="167"/>
      <c r="BL826" s="167"/>
      <c r="BM826" s="167"/>
      <c r="BN826" s="167"/>
      <c r="BO826" s="167"/>
      <c r="BP826" s="167"/>
      <c r="BQ826" s="167"/>
      <c r="BR826" s="167"/>
      <c r="BS826" s="65"/>
      <c r="BT826" s="65"/>
      <c r="BU826" s="65"/>
      <c r="BV826" s="65"/>
      <c r="BW826" s="69"/>
      <c r="BX826" s="65"/>
      <c r="BY826" s="137">
        <f t="shared" si="3235"/>
        <v>0</v>
      </c>
      <c r="BZ826" s="137">
        <f>IF(BY826&gt;0,BY826+LARGE($BZ$757:BZ825,1),0)</f>
        <v>0</v>
      </c>
      <c r="CA826" s="137">
        <f t="shared" si="3236"/>
        <v>0</v>
      </c>
      <c r="CB826" s="161">
        <f t="shared" si="3175"/>
        <v>0</v>
      </c>
      <c r="CC826" s="161">
        <f t="shared" si="3176"/>
        <v>0</v>
      </c>
      <c r="CD826" s="161">
        <f t="shared" si="3177"/>
        <v>0</v>
      </c>
      <c r="CE826" s="161">
        <f t="shared" si="3178"/>
        <v>0</v>
      </c>
      <c r="CF826" s="161">
        <f t="shared" si="3179"/>
        <v>0</v>
      </c>
      <c r="CG826" s="161">
        <f t="shared" si="3180"/>
        <v>0</v>
      </c>
      <c r="CH826" s="161">
        <f t="shared" si="3181"/>
        <v>0</v>
      </c>
      <c r="CI826" s="161">
        <f t="shared" si="3182"/>
        <v>0</v>
      </c>
      <c r="CJ826" s="161">
        <f t="shared" si="3183"/>
        <v>0</v>
      </c>
      <c r="CK826" s="161">
        <f t="shared" si="3184"/>
        <v>0</v>
      </c>
      <c r="CL826" s="161">
        <f t="shared" si="3185"/>
        <v>0</v>
      </c>
      <c r="CM826" s="161">
        <f t="shared" si="3186"/>
        <v>0</v>
      </c>
      <c r="CN826" s="161">
        <f t="shared" si="3187"/>
        <v>0</v>
      </c>
      <c r="CO826" s="161">
        <f t="shared" si="3188"/>
        <v>0</v>
      </c>
      <c r="CP826" s="161">
        <f t="shared" si="3189"/>
        <v>0</v>
      </c>
      <c r="CQ826" s="161">
        <f t="shared" si="3190"/>
        <v>0</v>
      </c>
      <c r="CR826" s="161">
        <f t="shared" si="3191"/>
        <v>0</v>
      </c>
      <c r="CS826" s="161">
        <f t="shared" si="3192"/>
        <v>0</v>
      </c>
      <c r="CT826" s="161">
        <f t="shared" si="3193"/>
        <v>0</v>
      </c>
      <c r="CU826" s="161">
        <f t="shared" si="3194"/>
        <v>0</v>
      </c>
      <c r="CV826" s="161">
        <f t="shared" si="3195"/>
        <v>0</v>
      </c>
      <c r="CW826" s="161">
        <f t="shared" si="3196"/>
        <v>0</v>
      </c>
      <c r="CX826" s="161">
        <f t="shared" si="3197"/>
        <v>0</v>
      </c>
      <c r="CY826" s="161">
        <f t="shared" si="3198"/>
        <v>0</v>
      </c>
      <c r="CZ826" s="161">
        <f t="shared" si="3199"/>
        <v>0</v>
      </c>
      <c r="DA826" s="161">
        <f t="shared" si="3200"/>
        <v>0</v>
      </c>
      <c r="DB826" s="161">
        <f t="shared" si="3201"/>
        <v>0</v>
      </c>
      <c r="DC826" s="161">
        <f t="shared" si="3202"/>
        <v>0</v>
      </c>
      <c r="DD826" s="161">
        <f t="shared" si="3203"/>
        <v>0</v>
      </c>
      <c r="DE826" s="161">
        <f t="shared" si="3204"/>
        <v>0</v>
      </c>
      <c r="DF826" s="161">
        <f t="shared" si="3205"/>
        <v>0</v>
      </c>
      <c r="DG826" s="161">
        <f t="shared" si="3206"/>
        <v>0</v>
      </c>
      <c r="DH826" s="161">
        <f t="shared" si="3207"/>
        <v>0</v>
      </c>
      <c r="DI826" s="161">
        <f t="shared" si="3208"/>
        <v>0</v>
      </c>
      <c r="DJ826" s="161">
        <f t="shared" si="3209"/>
        <v>0</v>
      </c>
      <c r="DK826" s="161">
        <f t="shared" si="3210"/>
        <v>0</v>
      </c>
      <c r="DL826" s="161">
        <f t="shared" si="3211"/>
        <v>0</v>
      </c>
      <c r="DM826" s="161">
        <f t="shared" si="3212"/>
        <v>0</v>
      </c>
      <c r="DN826" s="161">
        <f t="shared" si="3213"/>
        <v>0</v>
      </c>
      <c r="DO826" s="161">
        <f t="shared" si="3214"/>
        <v>0</v>
      </c>
      <c r="DP826" s="161">
        <f t="shared" si="3215"/>
        <v>0</v>
      </c>
      <c r="DQ826" s="161">
        <f t="shared" si="3216"/>
        <v>0</v>
      </c>
      <c r="DR826" s="161">
        <f t="shared" si="3217"/>
        <v>0</v>
      </c>
      <c r="DS826" s="161">
        <f t="shared" si="3218"/>
        <v>0</v>
      </c>
      <c r="DT826" s="161">
        <f t="shared" si="3219"/>
        <v>0</v>
      </c>
      <c r="DU826" s="161">
        <f t="shared" si="3220"/>
        <v>0</v>
      </c>
      <c r="DV826" s="161">
        <f t="shared" si="3221"/>
        <v>0</v>
      </c>
      <c r="DW826" s="161">
        <f t="shared" si="3222"/>
        <v>0</v>
      </c>
      <c r="DX826" s="161">
        <f t="shared" si="3223"/>
        <v>0</v>
      </c>
      <c r="DY826" s="161">
        <f t="shared" si="3224"/>
        <v>0</v>
      </c>
      <c r="DZ826" s="161">
        <f t="shared" si="3225"/>
        <v>0</v>
      </c>
      <c r="EA826" s="161">
        <f t="shared" si="3226"/>
        <v>0</v>
      </c>
      <c r="EB826" s="161">
        <f t="shared" si="3227"/>
        <v>0</v>
      </c>
      <c r="EC826" s="161">
        <f t="shared" si="3228"/>
        <v>0</v>
      </c>
      <c r="ED826" s="161">
        <f t="shared" si="3229"/>
        <v>0</v>
      </c>
      <c r="EE826" s="161">
        <f t="shared" si="3230"/>
        <v>0</v>
      </c>
      <c r="EF826" s="161">
        <f t="shared" si="3231"/>
        <v>0</v>
      </c>
      <c r="EG826" s="161">
        <f t="shared" si="3232"/>
        <v>0</v>
      </c>
      <c r="EH826" s="161">
        <f t="shared" si="3233"/>
        <v>0</v>
      </c>
      <c r="EI826" s="161">
        <f t="shared" si="3234"/>
        <v>0</v>
      </c>
    </row>
    <row r="827" spans="2:139" ht="12" customHeight="1" outlineLevel="1">
      <c r="B827" s="137" t="str">
        <f>IF(F827&gt;0,F827&amp;" - "&amp;D821,"")</f>
        <v/>
      </c>
      <c r="C827" s="65"/>
      <c r="D827" s="607"/>
      <c r="E827" s="65"/>
      <c r="F827" s="164"/>
      <c r="G827" s="165"/>
      <c r="H827" s="166">
        <f t="shared" si="3251"/>
        <v>0</v>
      </c>
      <c r="I827" s="144">
        <f t="shared" si="3252"/>
        <v>0</v>
      </c>
      <c r="J827" s="65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  <c r="AB827" s="167"/>
      <c r="AC827" s="167"/>
      <c r="AD827" s="167"/>
      <c r="AE827" s="167"/>
      <c r="AF827" s="167"/>
      <c r="AG827" s="167"/>
      <c r="AH827" s="167"/>
      <c r="AI827" s="167"/>
      <c r="AJ827" s="167"/>
      <c r="AK827" s="167"/>
      <c r="AL827" s="167"/>
      <c r="AM827" s="167"/>
      <c r="AN827" s="167"/>
      <c r="AO827" s="167"/>
      <c r="AP827" s="167"/>
      <c r="AQ827" s="167"/>
      <c r="AR827" s="167"/>
      <c r="AS827" s="167"/>
      <c r="AT827" s="167"/>
      <c r="AU827" s="167"/>
      <c r="AV827" s="167"/>
      <c r="AW827" s="167"/>
      <c r="AX827" s="167"/>
      <c r="AY827" s="167"/>
      <c r="AZ827" s="167"/>
      <c r="BA827" s="167"/>
      <c r="BB827" s="167"/>
      <c r="BC827" s="167"/>
      <c r="BD827" s="167"/>
      <c r="BE827" s="167"/>
      <c r="BF827" s="167"/>
      <c r="BG827" s="167"/>
      <c r="BH827" s="167"/>
      <c r="BI827" s="167"/>
      <c r="BJ827" s="167"/>
      <c r="BK827" s="167"/>
      <c r="BL827" s="167"/>
      <c r="BM827" s="167"/>
      <c r="BN827" s="167"/>
      <c r="BO827" s="167"/>
      <c r="BP827" s="167"/>
      <c r="BQ827" s="167"/>
      <c r="BR827" s="167"/>
      <c r="BS827" s="65"/>
      <c r="BT827" s="65"/>
      <c r="BU827" s="65"/>
      <c r="BV827" s="65"/>
      <c r="BW827" s="69"/>
      <c r="BX827" s="65"/>
      <c r="BY827" s="137">
        <f t="shared" si="3235"/>
        <v>0</v>
      </c>
      <c r="BZ827" s="137">
        <f>IF(BY827&gt;0,BY827+LARGE($BZ$757:BZ826,1),0)</f>
        <v>0</v>
      </c>
      <c r="CA827" s="137">
        <f t="shared" si="3236"/>
        <v>0</v>
      </c>
      <c r="CB827" s="161">
        <f t="shared" si="3175"/>
        <v>0</v>
      </c>
      <c r="CC827" s="161">
        <f t="shared" si="3176"/>
        <v>0</v>
      </c>
      <c r="CD827" s="161">
        <f t="shared" si="3177"/>
        <v>0</v>
      </c>
      <c r="CE827" s="161">
        <f t="shared" si="3178"/>
        <v>0</v>
      </c>
      <c r="CF827" s="161">
        <f t="shared" si="3179"/>
        <v>0</v>
      </c>
      <c r="CG827" s="161">
        <f t="shared" si="3180"/>
        <v>0</v>
      </c>
      <c r="CH827" s="161">
        <f t="shared" si="3181"/>
        <v>0</v>
      </c>
      <c r="CI827" s="161">
        <f t="shared" si="3182"/>
        <v>0</v>
      </c>
      <c r="CJ827" s="161">
        <f t="shared" si="3183"/>
        <v>0</v>
      </c>
      <c r="CK827" s="161">
        <f t="shared" si="3184"/>
        <v>0</v>
      </c>
      <c r="CL827" s="161">
        <f t="shared" si="3185"/>
        <v>0</v>
      </c>
      <c r="CM827" s="161">
        <f t="shared" si="3186"/>
        <v>0</v>
      </c>
      <c r="CN827" s="161">
        <f t="shared" si="3187"/>
        <v>0</v>
      </c>
      <c r="CO827" s="161">
        <f t="shared" si="3188"/>
        <v>0</v>
      </c>
      <c r="CP827" s="161">
        <f t="shared" si="3189"/>
        <v>0</v>
      </c>
      <c r="CQ827" s="161">
        <f t="shared" si="3190"/>
        <v>0</v>
      </c>
      <c r="CR827" s="161">
        <f t="shared" si="3191"/>
        <v>0</v>
      </c>
      <c r="CS827" s="161">
        <f t="shared" si="3192"/>
        <v>0</v>
      </c>
      <c r="CT827" s="161">
        <f t="shared" si="3193"/>
        <v>0</v>
      </c>
      <c r="CU827" s="161">
        <f t="shared" si="3194"/>
        <v>0</v>
      </c>
      <c r="CV827" s="161">
        <f t="shared" si="3195"/>
        <v>0</v>
      </c>
      <c r="CW827" s="161">
        <f t="shared" si="3196"/>
        <v>0</v>
      </c>
      <c r="CX827" s="161">
        <f t="shared" si="3197"/>
        <v>0</v>
      </c>
      <c r="CY827" s="161">
        <f t="shared" si="3198"/>
        <v>0</v>
      </c>
      <c r="CZ827" s="161">
        <f t="shared" si="3199"/>
        <v>0</v>
      </c>
      <c r="DA827" s="161">
        <f t="shared" si="3200"/>
        <v>0</v>
      </c>
      <c r="DB827" s="161">
        <f t="shared" si="3201"/>
        <v>0</v>
      </c>
      <c r="DC827" s="161">
        <f t="shared" si="3202"/>
        <v>0</v>
      </c>
      <c r="DD827" s="161">
        <f t="shared" si="3203"/>
        <v>0</v>
      </c>
      <c r="DE827" s="161">
        <f t="shared" si="3204"/>
        <v>0</v>
      </c>
      <c r="DF827" s="161">
        <f t="shared" si="3205"/>
        <v>0</v>
      </c>
      <c r="DG827" s="161">
        <f t="shared" si="3206"/>
        <v>0</v>
      </c>
      <c r="DH827" s="161">
        <f t="shared" si="3207"/>
        <v>0</v>
      </c>
      <c r="DI827" s="161">
        <f t="shared" si="3208"/>
        <v>0</v>
      </c>
      <c r="DJ827" s="161">
        <f t="shared" si="3209"/>
        <v>0</v>
      </c>
      <c r="DK827" s="161">
        <f t="shared" si="3210"/>
        <v>0</v>
      </c>
      <c r="DL827" s="161">
        <f t="shared" si="3211"/>
        <v>0</v>
      </c>
      <c r="DM827" s="161">
        <f t="shared" si="3212"/>
        <v>0</v>
      </c>
      <c r="DN827" s="161">
        <f t="shared" si="3213"/>
        <v>0</v>
      </c>
      <c r="DO827" s="161">
        <f t="shared" si="3214"/>
        <v>0</v>
      </c>
      <c r="DP827" s="161">
        <f t="shared" si="3215"/>
        <v>0</v>
      </c>
      <c r="DQ827" s="161">
        <f t="shared" si="3216"/>
        <v>0</v>
      </c>
      <c r="DR827" s="161">
        <f t="shared" si="3217"/>
        <v>0</v>
      </c>
      <c r="DS827" s="161">
        <f t="shared" si="3218"/>
        <v>0</v>
      </c>
      <c r="DT827" s="161">
        <f t="shared" si="3219"/>
        <v>0</v>
      </c>
      <c r="DU827" s="161">
        <f t="shared" si="3220"/>
        <v>0</v>
      </c>
      <c r="DV827" s="161">
        <f t="shared" si="3221"/>
        <v>0</v>
      </c>
      <c r="DW827" s="161">
        <f t="shared" si="3222"/>
        <v>0</v>
      </c>
      <c r="DX827" s="161">
        <f t="shared" si="3223"/>
        <v>0</v>
      </c>
      <c r="DY827" s="161">
        <f t="shared" si="3224"/>
        <v>0</v>
      </c>
      <c r="DZ827" s="161">
        <f t="shared" si="3225"/>
        <v>0</v>
      </c>
      <c r="EA827" s="161">
        <f t="shared" si="3226"/>
        <v>0</v>
      </c>
      <c r="EB827" s="161">
        <f t="shared" si="3227"/>
        <v>0</v>
      </c>
      <c r="EC827" s="161">
        <f t="shared" si="3228"/>
        <v>0</v>
      </c>
      <c r="ED827" s="161">
        <f t="shared" si="3229"/>
        <v>0</v>
      </c>
      <c r="EE827" s="161">
        <f t="shared" si="3230"/>
        <v>0</v>
      </c>
      <c r="EF827" s="161">
        <f t="shared" si="3231"/>
        <v>0</v>
      </c>
      <c r="EG827" s="161">
        <f t="shared" si="3232"/>
        <v>0</v>
      </c>
      <c r="EH827" s="161">
        <f t="shared" si="3233"/>
        <v>0</v>
      </c>
      <c r="EI827" s="161">
        <f t="shared" si="3234"/>
        <v>0</v>
      </c>
    </row>
    <row r="828" spans="2:139" ht="6" customHeight="1" outlineLevel="1"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  <c r="AN828" s="65"/>
      <c r="AO828" s="65"/>
      <c r="AP828" s="65"/>
      <c r="AQ828" s="65"/>
      <c r="AR828" s="65"/>
      <c r="AS828" s="65"/>
      <c r="AT828" s="65"/>
      <c r="AU828" s="65"/>
      <c r="AV828" s="65"/>
      <c r="AW828" s="65"/>
      <c r="AX828" s="65"/>
      <c r="AY828" s="65"/>
      <c r="AZ828" s="65"/>
      <c r="BA828" s="65"/>
      <c r="BB828" s="65"/>
      <c r="BC828" s="65"/>
      <c r="BD828" s="65"/>
      <c r="BE828" s="65"/>
      <c r="BF828" s="65"/>
      <c r="BG828" s="65"/>
      <c r="BH828" s="65"/>
      <c r="BI828" s="65"/>
      <c r="BJ828" s="65"/>
      <c r="BK828" s="65"/>
      <c r="BL828" s="65"/>
      <c r="BM828" s="65"/>
      <c r="BN828" s="65"/>
      <c r="BO828" s="65"/>
      <c r="BP828" s="65"/>
      <c r="BQ828" s="65"/>
      <c r="BR828" s="65"/>
      <c r="BS828" s="65"/>
      <c r="BT828" s="65"/>
      <c r="BU828" s="65"/>
      <c r="BV828" s="65"/>
      <c r="BW828" s="69"/>
      <c r="BX828" s="65"/>
      <c r="BY828" s="65"/>
      <c r="BZ828" s="65"/>
      <c r="CA828" s="65"/>
      <c r="CB828" s="65"/>
      <c r="CC828" s="65"/>
      <c r="CD828" s="65"/>
      <c r="CE828" s="65"/>
      <c r="CF828" s="65"/>
      <c r="CG828" s="65"/>
      <c r="CH828" s="65"/>
      <c r="CI828" s="65"/>
      <c r="CJ828" s="65"/>
      <c r="CK828" s="65"/>
      <c r="CL828" s="65"/>
      <c r="CM828" s="65"/>
      <c r="CN828" s="65"/>
      <c r="CO828" s="65"/>
      <c r="CP828" s="65"/>
      <c r="CQ828" s="65"/>
      <c r="CR828" s="65"/>
      <c r="CS828" s="65"/>
      <c r="CT828" s="65"/>
      <c r="CU828" s="65"/>
      <c r="CV828" s="65"/>
      <c r="CW828" s="65"/>
      <c r="CX828" s="65"/>
      <c r="CY828" s="65"/>
      <c r="CZ828" s="65"/>
      <c r="DA828" s="65"/>
      <c r="DB828" s="65"/>
      <c r="DC828" s="65"/>
      <c r="DD828" s="65"/>
      <c r="DE828" s="65"/>
      <c r="DF828" s="65"/>
      <c r="DG828" s="65"/>
      <c r="DH828" s="65"/>
      <c r="DI828" s="65"/>
      <c r="DJ828" s="65"/>
      <c r="DK828" s="65"/>
      <c r="DL828" s="65"/>
      <c r="DM828" s="65"/>
      <c r="DN828" s="65"/>
      <c r="DO828" s="65"/>
      <c r="DP828" s="65"/>
      <c r="DQ828" s="65"/>
      <c r="DR828" s="65"/>
      <c r="DS828" s="65"/>
      <c r="DT828" s="65"/>
      <c r="DU828" s="65"/>
      <c r="DV828" s="65"/>
      <c r="DW828" s="65"/>
      <c r="DX828" s="65"/>
      <c r="DY828" s="65"/>
      <c r="DZ828" s="65"/>
      <c r="EA828" s="65"/>
      <c r="EB828" s="65"/>
      <c r="EC828" s="65"/>
      <c r="ED828" s="65"/>
      <c r="EE828" s="65"/>
      <c r="EF828" s="65"/>
      <c r="EG828" s="65"/>
      <c r="EH828" s="65"/>
      <c r="EI828" s="65"/>
    </row>
    <row r="829" spans="2:139" ht="12" customHeight="1" outlineLevel="1">
      <c r="B829" s="137" t="str">
        <f>IF(F829&gt;0,F829&amp;" - "&amp;D829,"")</f>
        <v>Operador de Máquinas (Cat.A) - Apoio, Limpeza e Conservação</v>
      </c>
      <c r="C829" s="65"/>
      <c r="D829" s="604" t="s">
        <v>526</v>
      </c>
      <c r="E829" s="65"/>
      <c r="F829" s="164" t="s">
        <v>527</v>
      </c>
      <c r="G829" s="165"/>
      <c r="H829" s="166">
        <f t="shared" ref="H829:H838" si="3253">IFERROR(SUM(K829:BR829)/COUNTIF(K829:BR829,"&gt;0"),0)</f>
        <v>0</v>
      </c>
      <c r="I829" s="144">
        <f t="shared" ref="I829:I838" si="3254">COUNTIF(K829:BR829,"&gt;0")</f>
        <v>0</v>
      </c>
      <c r="J829" s="65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  <c r="AB829" s="167"/>
      <c r="AC829" s="167"/>
      <c r="AD829" s="167"/>
      <c r="AE829" s="167"/>
      <c r="AF829" s="167"/>
      <c r="AG829" s="167"/>
      <c r="AH829" s="167"/>
      <c r="AI829" s="167"/>
      <c r="AJ829" s="167"/>
      <c r="AK829" s="167"/>
      <c r="AL829" s="167"/>
      <c r="AM829" s="167"/>
      <c r="AN829" s="167"/>
      <c r="AO829" s="167"/>
      <c r="AP829" s="167"/>
      <c r="AQ829" s="167"/>
      <c r="AR829" s="167"/>
      <c r="AS829" s="167"/>
      <c r="AT829" s="167"/>
      <c r="AU829" s="167"/>
      <c r="AV829" s="167"/>
      <c r="AW829" s="167"/>
      <c r="AX829" s="167"/>
      <c r="AY829" s="167"/>
      <c r="AZ829" s="167"/>
      <c r="BA829" s="167"/>
      <c r="BB829" s="167"/>
      <c r="BC829" s="167"/>
      <c r="BD829" s="167"/>
      <c r="BE829" s="167"/>
      <c r="BF829" s="167"/>
      <c r="BG829" s="167"/>
      <c r="BH829" s="167"/>
      <c r="BI829" s="167"/>
      <c r="BJ829" s="167"/>
      <c r="BK829" s="167"/>
      <c r="BL829" s="167"/>
      <c r="BM829" s="167"/>
      <c r="BN829" s="167"/>
      <c r="BO829" s="167"/>
      <c r="BP829" s="167"/>
      <c r="BQ829" s="167"/>
      <c r="BR829" s="167"/>
      <c r="BS829" s="65"/>
      <c r="BT829" s="65"/>
      <c r="BU829" s="65"/>
      <c r="BV829" s="65"/>
      <c r="BW829" s="69"/>
      <c r="BX829" s="65"/>
      <c r="BY829" s="137">
        <f t="shared" si="3235"/>
        <v>0</v>
      </c>
      <c r="BZ829" s="137">
        <f>IF(BY829&gt;0,BY829+LARGE($BZ$757:BZ828,1),0)</f>
        <v>0</v>
      </c>
      <c r="CA829" s="137" t="str">
        <f t="shared" si="3236"/>
        <v>Operador de Máquinas (Cat.A)</v>
      </c>
      <c r="CB829" s="161">
        <f t="shared" si="3175"/>
        <v>0</v>
      </c>
      <c r="CC829" s="161">
        <f t="shared" si="3176"/>
        <v>0</v>
      </c>
      <c r="CD829" s="161">
        <f t="shared" si="3177"/>
        <v>0</v>
      </c>
      <c r="CE829" s="161">
        <f t="shared" si="3178"/>
        <v>0</v>
      </c>
      <c r="CF829" s="161">
        <f t="shared" si="3179"/>
        <v>0</v>
      </c>
      <c r="CG829" s="161">
        <f t="shared" si="3180"/>
        <v>0</v>
      </c>
      <c r="CH829" s="161">
        <f t="shared" si="3181"/>
        <v>0</v>
      </c>
      <c r="CI829" s="161">
        <f t="shared" si="3182"/>
        <v>0</v>
      </c>
      <c r="CJ829" s="161">
        <f t="shared" si="3183"/>
        <v>0</v>
      </c>
      <c r="CK829" s="161">
        <f t="shared" si="3184"/>
        <v>0</v>
      </c>
      <c r="CL829" s="161">
        <f t="shared" si="3185"/>
        <v>0</v>
      </c>
      <c r="CM829" s="161">
        <f t="shared" si="3186"/>
        <v>0</v>
      </c>
      <c r="CN829" s="161">
        <f t="shared" si="3187"/>
        <v>0</v>
      </c>
      <c r="CO829" s="161">
        <f t="shared" si="3188"/>
        <v>0</v>
      </c>
      <c r="CP829" s="161">
        <f t="shared" si="3189"/>
        <v>0</v>
      </c>
      <c r="CQ829" s="161">
        <f t="shared" si="3190"/>
        <v>0</v>
      </c>
      <c r="CR829" s="161">
        <f t="shared" si="3191"/>
        <v>0</v>
      </c>
      <c r="CS829" s="161">
        <f t="shared" si="3192"/>
        <v>0</v>
      </c>
      <c r="CT829" s="161">
        <f t="shared" si="3193"/>
        <v>0</v>
      </c>
      <c r="CU829" s="161">
        <f t="shared" si="3194"/>
        <v>0</v>
      </c>
      <c r="CV829" s="161">
        <f t="shared" si="3195"/>
        <v>0</v>
      </c>
      <c r="CW829" s="161">
        <f t="shared" si="3196"/>
        <v>0</v>
      </c>
      <c r="CX829" s="161">
        <f t="shared" si="3197"/>
        <v>0</v>
      </c>
      <c r="CY829" s="161">
        <f t="shared" si="3198"/>
        <v>0</v>
      </c>
      <c r="CZ829" s="161">
        <f t="shared" si="3199"/>
        <v>0</v>
      </c>
      <c r="DA829" s="161">
        <f t="shared" si="3200"/>
        <v>0</v>
      </c>
      <c r="DB829" s="161">
        <f t="shared" si="3201"/>
        <v>0</v>
      </c>
      <c r="DC829" s="161">
        <f t="shared" si="3202"/>
        <v>0</v>
      </c>
      <c r="DD829" s="161">
        <f t="shared" si="3203"/>
        <v>0</v>
      </c>
      <c r="DE829" s="161">
        <f t="shared" si="3204"/>
        <v>0</v>
      </c>
      <c r="DF829" s="161">
        <f t="shared" si="3205"/>
        <v>0</v>
      </c>
      <c r="DG829" s="161">
        <f t="shared" si="3206"/>
        <v>0</v>
      </c>
      <c r="DH829" s="161">
        <f t="shared" si="3207"/>
        <v>0</v>
      </c>
      <c r="DI829" s="161">
        <f t="shared" si="3208"/>
        <v>0</v>
      </c>
      <c r="DJ829" s="161">
        <f t="shared" si="3209"/>
        <v>0</v>
      </c>
      <c r="DK829" s="161">
        <f t="shared" si="3210"/>
        <v>0</v>
      </c>
      <c r="DL829" s="161">
        <f t="shared" si="3211"/>
        <v>0</v>
      </c>
      <c r="DM829" s="161">
        <f t="shared" si="3212"/>
        <v>0</v>
      </c>
      <c r="DN829" s="161">
        <f t="shared" si="3213"/>
        <v>0</v>
      </c>
      <c r="DO829" s="161">
        <f t="shared" si="3214"/>
        <v>0</v>
      </c>
      <c r="DP829" s="161">
        <f t="shared" si="3215"/>
        <v>0</v>
      </c>
      <c r="DQ829" s="161">
        <f t="shared" si="3216"/>
        <v>0</v>
      </c>
      <c r="DR829" s="161">
        <f t="shared" si="3217"/>
        <v>0</v>
      </c>
      <c r="DS829" s="161">
        <f t="shared" si="3218"/>
        <v>0</v>
      </c>
      <c r="DT829" s="161">
        <f t="shared" si="3219"/>
        <v>0</v>
      </c>
      <c r="DU829" s="161">
        <f t="shared" si="3220"/>
        <v>0</v>
      </c>
      <c r="DV829" s="161">
        <f t="shared" si="3221"/>
        <v>0</v>
      </c>
      <c r="DW829" s="161">
        <f t="shared" si="3222"/>
        <v>0</v>
      </c>
      <c r="DX829" s="161">
        <f t="shared" si="3223"/>
        <v>0</v>
      </c>
      <c r="DY829" s="161">
        <f t="shared" si="3224"/>
        <v>0</v>
      </c>
      <c r="DZ829" s="161">
        <f t="shared" si="3225"/>
        <v>0</v>
      </c>
      <c r="EA829" s="161">
        <f t="shared" si="3226"/>
        <v>0</v>
      </c>
      <c r="EB829" s="161">
        <f t="shared" si="3227"/>
        <v>0</v>
      </c>
      <c r="EC829" s="161">
        <f t="shared" si="3228"/>
        <v>0</v>
      </c>
      <c r="ED829" s="161">
        <f t="shared" si="3229"/>
        <v>0</v>
      </c>
      <c r="EE829" s="161">
        <f t="shared" si="3230"/>
        <v>0</v>
      </c>
      <c r="EF829" s="161">
        <f t="shared" si="3231"/>
        <v>0</v>
      </c>
      <c r="EG829" s="161">
        <f t="shared" si="3232"/>
        <v>0</v>
      </c>
      <c r="EH829" s="161">
        <f t="shared" si="3233"/>
        <v>0</v>
      </c>
      <c r="EI829" s="161">
        <f t="shared" si="3234"/>
        <v>0</v>
      </c>
    </row>
    <row r="830" spans="2:139" ht="12" customHeight="1" outlineLevel="1">
      <c r="B830" s="137" t="str">
        <f>IF(F830&gt;0,F830&amp;" - "&amp;D829,"")</f>
        <v>Operador de Máquinas (Cat.B) - Apoio, Limpeza e Conservação</v>
      </c>
      <c r="C830" s="65"/>
      <c r="D830" s="605"/>
      <c r="E830" s="65"/>
      <c r="F830" s="164" t="s">
        <v>528</v>
      </c>
      <c r="G830" s="165"/>
      <c r="H830" s="166">
        <f t="shared" si="3253"/>
        <v>0</v>
      </c>
      <c r="I830" s="144">
        <f t="shared" si="3254"/>
        <v>0</v>
      </c>
      <c r="J830" s="65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  <c r="AB830" s="167"/>
      <c r="AC830" s="167"/>
      <c r="AD830" s="167"/>
      <c r="AE830" s="167"/>
      <c r="AF830" s="167"/>
      <c r="AG830" s="167"/>
      <c r="AH830" s="167"/>
      <c r="AI830" s="167"/>
      <c r="AJ830" s="167"/>
      <c r="AK830" s="167"/>
      <c r="AL830" s="167"/>
      <c r="AM830" s="167"/>
      <c r="AN830" s="167"/>
      <c r="AO830" s="167"/>
      <c r="AP830" s="167"/>
      <c r="AQ830" s="167"/>
      <c r="AR830" s="167"/>
      <c r="AS830" s="167"/>
      <c r="AT830" s="167"/>
      <c r="AU830" s="167"/>
      <c r="AV830" s="167"/>
      <c r="AW830" s="167"/>
      <c r="AX830" s="167"/>
      <c r="AY830" s="167"/>
      <c r="AZ830" s="167"/>
      <c r="BA830" s="167"/>
      <c r="BB830" s="167"/>
      <c r="BC830" s="167"/>
      <c r="BD830" s="167"/>
      <c r="BE830" s="167"/>
      <c r="BF830" s="167"/>
      <c r="BG830" s="167"/>
      <c r="BH830" s="167"/>
      <c r="BI830" s="167"/>
      <c r="BJ830" s="167"/>
      <c r="BK830" s="167"/>
      <c r="BL830" s="167"/>
      <c r="BM830" s="167"/>
      <c r="BN830" s="167"/>
      <c r="BO830" s="167"/>
      <c r="BP830" s="167"/>
      <c r="BQ830" s="167"/>
      <c r="BR830" s="167"/>
      <c r="BS830" s="65"/>
      <c r="BT830" s="65"/>
      <c r="BU830" s="65"/>
      <c r="BV830" s="65"/>
      <c r="BW830" s="69"/>
      <c r="BX830" s="65"/>
      <c r="BY830" s="137">
        <f t="shared" si="3235"/>
        <v>0</v>
      </c>
      <c r="BZ830" s="137">
        <f>IF(BY830&gt;0,BY830+LARGE($BZ$757:BZ829,1),0)</f>
        <v>0</v>
      </c>
      <c r="CA830" s="137" t="str">
        <f t="shared" si="3236"/>
        <v>Operador de Máquinas (Cat.B)</v>
      </c>
      <c r="CB830" s="161">
        <f t="shared" si="3175"/>
        <v>0</v>
      </c>
      <c r="CC830" s="161">
        <f t="shared" si="3176"/>
        <v>0</v>
      </c>
      <c r="CD830" s="161">
        <f t="shared" si="3177"/>
        <v>0</v>
      </c>
      <c r="CE830" s="161">
        <f t="shared" si="3178"/>
        <v>0</v>
      </c>
      <c r="CF830" s="161">
        <f t="shared" si="3179"/>
        <v>0</v>
      </c>
      <c r="CG830" s="161">
        <f t="shared" si="3180"/>
        <v>0</v>
      </c>
      <c r="CH830" s="161">
        <f t="shared" si="3181"/>
        <v>0</v>
      </c>
      <c r="CI830" s="161">
        <f t="shared" si="3182"/>
        <v>0</v>
      </c>
      <c r="CJ830" s="161">
        <f t="shared" si="3183"/>
        <v>0</v>
      </c>
      <c r="CK830" s="161">
        <f t="shared" si="3184"/>
        <v>0</v>
      </c>
      <c r="CL830" s="161">
        <f t="shared" si="3185"/>
        <v>0</v>
      </c>
      <c r="CM830" s="161">
        <f t="shared" si="3186"/>
        <v>0</v>
      </c>
      <c r="CN830" s="161">
        <f t="shared" si="3187"/>
        <v>0</v>
      </c>
      <c r="CO830" s="161">
        <f t="shared" si="3188"/>
        <v>0</v>
      </c>
      <c r="CP830" s="161">
        <f t="shared" si="3189"/>
        <v>0</v>
      </c>
      <c r="CQ830" s="161">
        <f t="shared" si="3190"/>
        <v>0</v>
      </c>
      <c r="CR830" s="161">
        <f t="shared" si="3191"/>
        <v>0</v>
      </c>
      <c r="CS830" s="161">
        <f t="shared" si="3192"/>
        <v>0</v>
      </c>
      <c r="CT830" s="161">
        <f t="shared" si="3193"/>
        <v>0</v>
      </c>
      <c r="CU830" s="161">
        <f t="shared" si="3194"/>
        <v>0</v>
      </c>
      <c r="CV830" s="161">
        <f t="shared" si="3195"/>
        <v>0</v>
      </c>
      <c r="CW830" s="161">
        <f t="shared" si="3196"/>
        <v>0</v>
      </c>
      <c r="CX830" s="161">
        <f t="shared" si="3197"/>
        <v>0</v>
      </c>
      <c r="CY830" s="161">
        <f t="shared" si="3198"/>
        <v>0</v>
      </c>
      <c r="CZ830" s="161">
        <f t="shared" si="3199"/>
        <v>0</v>
      </c>
      <c r="DA830" s="161">
        <f t="shared" si="3200"/>
        <v>0</v>
      </c>
      <c r="DB830" s="161">
        <f t="shared" si="3201"/>
        <v>0</v>
      </c>
      <c r="DC830" s="161">
        <f t="shared" si="3202"/>
        <v>0</v>
      </c>
      <c r="DD830" s="161">
        <f t="shared" si="3203"/>
        <v>0</v>
      </c>
      <c r="DE830" s="161">
        <f t="shared" si="3204"/>
        <v>0</v>
      </c>
      <c r="DF830" s="161">
        <f t="shared" si="3205"/>
        <v>0</v>
      </c>
      <c r="DG830" s="161">
        <f t="shared" si="3206"/>
        <v>0</v>
      </c>
      <c r="DH830" s="161">
        <f t="shared" si="3207"/>
        <v>0</v>
      </c>
      <c r="DI830" s="161">
        <f t="shared" si="3208"/>
        <v>0</v>
      </c>
      <c r="DJ830" s="161">
        <f t="shared" si="3209"/>
        <v>0</v>
      </c>
      <c r="DK830" s="161">
        <f t="shared" si="3210"/>
        <v>0</v>
      </c>
      <c r="DL830" s="161">
        <f t="shared" si="3211"/>
        <v>0</v>
      </c>
      <c r="DM830" s="161">
        <f t="shared" si="3212"/>
        <v>0</v>
      </c>
      <c r="DN830" s="161">
        <f t="shared" si="3213"/>
        <v>0</v>
      </c>
      <c r="DO830" s="161">
        <f t="shared" si="3214"/>
        <v>0</v>
      </c>
      <c r="DP830" s="161">
        <f t="shared" si="3215"/>
        <v>0</v>
      </c>
      <c r="DQ830" s="161">
        <f t="shared" si="3216"/>
        <v>0</v>
      </c>
      <c r="DR830" s="161">
        <f t="shared" si="3217"/>
        <v>0</v>
      </c>
      <c r="DS830" s="161">
        <f t="shared" si="3218"/>
        <v>0</v>
      </c>
      <c r="DT830" s="161">
        <f t="shared" si="3219"/>
        <v>0</v>
      </c>
      <c r="DU830" s="161">
        <f t="shared" si="3220"/>
        <v>0</v>
      </c>
      <c r="DV830" s="161">
        <f t="shared" si="3221"/>
        <v>0</v>
      </c>
      <c r="DW830" s="161">
        <f t="shared" si="3222"/>
        <v>0</v>
      </c>
      <c r="DX830" s="161">
        <f t="shared" si="3223"/>
        <v>0</v>
      </c>
      <c r="DY830" s="161">
        <f t="shared" si="3224"/>
        <v>0</v>
      </c>
      <c r="DZ830" s="161">
        <f t="shared" si="3225"/>
        <v>0</v>
      </c>
      <c r="EA830" s="161">
        <f t="shared" si="3226"/>
        <v>0</v>
      </c>
      <c r="EB830" s="161">
        <f t="shared" si="3227"/>
        <v>0</v>
      </c>
      <c r="EC830" s="161">
        <f t="shared" si="3228"/>
        <v>0</v>
      </c>
      <c r="ED830" s="161">
        <f t="shared" si="3229"/>
        <v>0</v>
      </c>
      <c r="EE830" s="161">
        <f t="shared" si="3230"/>
        <v>0</v>
      </c>
      <c r="EF830" s="161">
        <f t="shared" si="3231"/>
        <v>0</v>
      </c>
      <c r="EG830" s="161">
        <f t="shared" si="3232"/>
        <v>0</v>
      </c>
      <c r="EH830" s="161">
        <f t="shared" si="3233"/>
        <v>0</v>
      </c>
      <c r="EI830" s="161">
        <f t="shared" si="3234"/>
        <v>0</v>
      </c>
    </row>
    <row r="831" spans="2:139" ht="12" customHeight="1" outlineLevel="1">
      <c r="B831" s="137" t="str">
        <f>IF(F831&gt;0,F831&amp;" - "&amp;D829,"")</f>
        <v>Técnico de Rigging - Apoio, Limpeza e Conservação</v>
      </c>
      <c r="C831" s="65"/>
      <c r="D831" s="605"/>
      <c r="E831" s="65"/>
      <c r="F831" s="164" t="s">
        <v>529</v>
      </c>
      <c r="G831" s="165"/>
      <c r="H831" s="166">
        <f t="shared" si="3253"/>
        <v>0</v>
      </c>
      <c r="I831" s="144">
        <f t="shared" si="3254"/>
        <v>0</v>
      </c>
      <c r="J831" s="65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  <c r="AB831" s="167"/>
      <c r="AC831" s="167"/>
      <c r="AD831" s="167"/>
      <c r="AE831" s="167"/>
      <c r="AF831" s="167"/>
      <c r="AG831" s="167"/>
      <c r="AH831" s="167"/>
      <c r="AI831" s="167"/>
      <c r="AJ831" s="167"/>
      <c r="AK831" s="167"/>
      <c r="AL831" s="167"/>
      <c r="AM831" s="167"/>
      <c r="AN831" s="167"/>
      <c r="AO831" s="167"/>
      <c r="AP831" s="167"/>
      <c r="AQ831" s="167"/>
      <c r="AR831" s="167"/>
      <c r="AS831" s="167"/>
      <c r="AT831" s="167"/>
      <c r="AU831" s="167"/>
      <c r="AV831" s="167"/>
      <c r="AW831" s="167"/>
      <c r="AX831" s="167"/>
      <c r="AY831" s="167"/>
      <c r="AZ831" s="167"/>
      <c r="BA831" s="167"/>
      <c r="BB831" s="167"/>
      <c r="BC831" s="167"/>
      <c r="BD831" s="167"/>
      <c r="BE831" s="167"/>
      <c r="BF831" s="167"/>
      <c r="BG831" s="167"/>
      <c r="BH831" s="167"/>
      <c r="BI831" s="167"/>
      <c r="BJ831" s="167"/>
      <c r="BK831" s="167"/>
      <c r="BL831" s="167"/>
      <c r="BM831" s="167"/>
      <c r="BN831" s="167"/>
      <c r="BO831" s="167"/>
      <c r="BP831" s="167"/>
      <c r="BQ831" s="167"/>
      <c r="BR831" s="167"/>
      <c r="BS831" s="65"/>
      <c r="BT831" s="65"/>
      <c r="BU831" s="65"/>
      <c r="BV831" s="65"/>
      <c r="BW831" s="69"/>
      <c r="BX831" s="65"/>
      <c r="BY831" s="137">
        <f t="shared" si="3235"/>
        <v>0</v>
      </c>
      <c r="BZ831" s="137">
        <f>IF(BY831&gt;0,BY831+LARGE($BZ$757:BZ830,1),0)</f>
        <v>0</v>
      </c>
      <c r="CA831" s="137" t="str">
        <f t="shared" si="3236"/>
        <v>Técnico de Rigging</v>
      </c>
      <c r="CB831" s="161">
        <f t="shared" ref="CB831:CB849" si="3255">K831</f>
        <v>0</v>
      </c>
      <c r="CC831" s="161">
        <f t="shared" ref="CC831:CC849" si="3256">L831</f>
        <v>0</v>
      </c>
      <c r="CD831" s="161">
        <f t="shared" ref="CD831:CD849" si="3257">M831</f>
        <v>0</v>
      </c>
      <c r="CE831" s="161">
        <f t="shared" ref="CE831:CE849" si="3258">N831</f>
        <v>0</v>
      </c>
      <c r="CF831" s="161">
        <f t="shared" ref="CF831:CF849" si="3259">O831</f>
        <v>0</v>
      </c>
      <c r="CG831" s="161">
        <f t="shared" ref="CG831:CG849" si="3260">P831</f>
        <v>0</v>
      </c>
      <c r="CH831" s="161">
        <f t="shared" ref="CH831:CH849" si="3261">Q831</f>
        <v>0</v>
      </c>
      <c r="CI831" s="161">
        <f t="shared" ref="CI831:CI849" si="3262">R831</f>
        <v>0</v>
      </c>
      <c r="CJ831" s="161">
        <f t="shared" ref="CJ831:CJ849" si="3263">S831</f>
        <v>0</v>
      </c>
      <c r="CK831" s="161">
        <f t="shared" ref="CK831:CK849" si="3264">T831</f>
        <v>0</v>
      </c>
      <c r="CL831" s="161">
        <f t="shared" ref="CL831:CL849" si="3265">U831</f>
        <v>0</v>
      </c>
      <c r="CM831" s="161">
        <f t="shared" ref="CM831:CM849" si="3266">V831</f>
        <v>0</v>
      </c>
      <c r="CN831" s="161">
        <f t="shared" ref="CN831:CN849" si="3267">W831</f>
        <v>0</v>
      </c>
      <c r="CO831" s="161">
        <f t="shared" ref="CO831:CO849" si="3268">X831</f>
        <v>0</v>
      </c>
      <c r="CP831" s="161">
        <f t="shared" ref="CP831:CP849" si="3269">Y831</f>
        <v>0</v>
      </c>
      <c r="CQ831" s="161">
        <f t="shared" ref="CQ831:CQ849" si="3270">Z831</f>
        <v>0</v>
      </c>
      <c r="CR831" s="161">
        <f t="shared" ref="CR831:CR849" si="3271">AA831</f>
        <v>0</v>
      </c>
      <c r="CS831" s="161">
        <f t="shared" ref="CS831:CS849" si="3272">AB831</f>
        <v>0</v>
      </c>
      <c r="CT831" s="161">
        <f t="shared" ref="CT831:CT849" si="3273">AC831</f>
        <v>0</v>
      </c>
      <c r="CU831" s="161">
        <f t="shared" ref="CU831:CU849" si="3274">AD831</f>
        <v>0</v>
      </c>
      <c r="CV831" s="161">
        <f t="shared" ref="CV831:CV849" si="3275">AE831</f>
        <v>0</v>
      </c>
      <c r="CW831" s="161">
        <f t="shared" ref="CW831:CW849" si="3276">AF831</f>
        <v>0</v>
      </c>
      <c r="CX831" s="161">
        <f t="shared" ref="CX831:CX849" si="3277">AG831</f>
        <v>0</v>
      </c>
      <c r="CY831" s="161">
        <f t="shared" ref="CY831:CY849" si="3278">AH831</f>
        <v>0</v>
      </c>
      <c r="CZ831" s="161">
        <f t="shared" ref="CZ831:CZ849" si="3279">AI831</f>
        <v>0</v>
      </c>
      <c r="DA831" s="161">
        <f t="shared" ref="DA831:DA849" si="3280">AJ831</f>
        <v>0</v>
      </c>
      <c r="DB831" s="161">
        <f t="shared" ref="DB831:DB849" si="3281">AK831</f>
        <v>0</v>
      </c>
      <c r="DC831" s="161">
        <f t="shared" ref="DC831:DC849" si="3282">AL831</f>
        <v>0</v>
      </c>
      <c r="DD831" s="161">
        <f t="shared" ref="DD831:DD849" si="3283">AM831</f>
        <v>0</v>
      </c>
      <c r="DE831" s="161">
        <f t="shared" ref="DE831:DE849" si="3284">AN831</f>
        <v>0</v>
      </c>
      <c r="DF831" s="161">
        <f t="shared" ref="DF831:DF849" si="3285">AO831</f>
        <v>0</v>
      </c>
      <c r="DG831" s="161">
        <f t="shared" ref="DG831:DG849" si="3286">AP831</f>
        <v>0</v>
      </c>
      <c r="DH831" s="161">
        <f t="shared" ref="DH831:DH849" si="3287">AQ831</f>
        <v>0</v>
      </c>
      <c r="DI831" s="161">
        <f t="shared" ref="DI831:DI849" si="3288">AR831</f>
        <v>0</v>
      </c>
      <c r="DJ831" s="161">
        <f t="shared" ref="DJ831:DJ849" si="3289">AS831</f>
        <v>0</v>
      </c>
      <c r="DK831" s="161">
        <f t="shared" ref="DK831:DK849" si="3290">AT831</f>
        <v>0</v>
      </c>
      <c r="DL831" s="161">
        <f t="shared" ref="DL831:DL849" si="3291">AU831</f>
        <v>0</v>
      </c>
      <c r="DM831" s="161">
        <f t="shared" ref="DM831:DM849" si="3292">AV831</f>
        <v>0</v>
      </c>
      <c r="DN831" s="161">
        <f t="shared" ref="DN831:DN849" si="3293">AW831</f>
        <v>0</v>
      </c>
      <c r="DO831" s="161">
        <f t="shared" ref="DO831:DO849" si="3294">AX831</f>
        <v>0</v>
      </c>
      <c r="DP831" s="161">
        <f t="shared" ref="DP831:DP849" si="3295">AY831</f>
        <v>0</v>
      </c>
      <c r="DQ831" s="161">
        <f t="shared" ref="DQ831:DQ849" si="3296">AZ831</f>
        <v>0</v>
      </c>
      <c r="DR831" s="161">
        <f t="shared" ref="DR831:DR849" si="3297">BA831</f>
        <v>0</v>
      </c>
      <c r="DS831" s="161">
        <f t="shared" ref="DS831:DS849" si="3298">BB831</f>
        <v>0</v>
      </c>
      <c r="DT831" s="161">
        <f t="shared" ref="DT831:DT849" si="3299">BC831</f>
        <v>0</v>
      </c>
      <c r="DU831" s="161">
        <f t="shared" ref="DU831:DU849" si="3300">BD831</f>
        <v>0</v>
      </c>
      <c r="DV831" s="161">
        <f t="shared" ref="DV831:DV849" si="3301">BE831</f>
        <v>0</v>
      </c>
      <c r="DW831" s="161">
        <f t="shared" ref="DW831:DW849" si="3302">BF831</f>
        <v>0</v>
      </c>
      <c r="DX831" s="161">
        <f t="shared" ref="DX831:DX849" si="3303">BG831</f>
        <v>0</v>
      </c>
      <c r="DY831" s="161">
        <f t="shared" ref="DY831:DY849" si="3304">BH831</f>
        <v>0</v>
      </c>
      <c r="DZ831" s="161">
        <f t="shared" ref="DZ831:DZ849" si="3305">BI831</f>
        <v>0</v>
      </c>
      <c r="EA831" s="161">
        <f t="shared" ref="EA831:EA849" si="3306">BJ831</f>
        <v>0</v>
      </c>
      <c r="EB831" s="161">
        <f t="shared" ref="EB831:EB849" si="3307">BK831</f>
        <v>0</v>
      </c>
      <c r="EC831" s="161">
        <f t="shared" ref="EC831:EC849" si="3308">BL831</f>
        <v>0</v>
      </c>
      <c r="ED831" s="161">
        <f t="shared" ref="ED831:ED849" si="3309">BM831</f>
        <v>0</v>
      </c>
      <c r="EE831" s="161">
        <f t="shared" ref="EE831:EE849" si="3310">BN831</f>
        <v>0</v>
      </c>
      <c r="EF831" s="161">
        <f t="shared" ref="EF831:EF849" si="3311">BO831</f>
        <v>0</v>
      </c>
      <c r="EG831" s="161">
        <f t="shared" ref="EG831:EG849" si="3312">BP831</f>
        <v>0</v>
      </c>
      <c r="EH831" s="161">
        <f t="shared" ref="EH831:EH849" si="3313">BQ831</f>
        <v>0</v>
      </c>
      <c r="EI831" s="161">
        <f t="shared" ref="EI831:EI849" si="3314">BR831</f>
        <v>0</v>
      </c>
    </row>
    <row r="832" spans="2:139" ht="12" customHeight="1" outlineLevel="1">
      <c r="B832" s="137" t="str">
        <f>IF(F832&gt;0,F832&amp;" - "&amp;D829,"")</f>
        <v>Auxiliar de Rigging - Apoio, Limpeza e Conservação</v>
      </c>
      <c r="C832" s="65"/>
      <c r="D832" s="605"/>
      <c r="E832" s="65"/>
      <c r="F832" s="164" t="s">
        <v>530</v>
      </c>
      <c r="G832" s="165"/>
      <c r="H832" s="166">
        <f t="shared" si="3253"/>
        <v>0</v>
      </c>
      <c r="I832" s="144">
        <f t="shared" si="3254"/>
        <v>0</v>
      </c>
      <c r="J832" s="65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  <c r="AB832" s="167"/>
      <c r="AC832" s="167"/>
      <c r="AD832" s="167"/>
      <c r="AE832" s="167"/>
      <c r="AF832" s="167"/>
      <c r="AG832" s="167"/>
      <c r="AH832" s="167"/>
      <c r="AI832" s="167"/>
      <c r="AJ832" s="167"/>
      <c r="AK832" s="167"/>
      <c r="AL832" s="167"/>
      <c r="AM832" s="167"/>
      <c r="AN832" s="167"/>
      <c r="AO832" s="167"/>
      <c r="AP832" s="167"/>
      <c r="AQ832" s="167"/>
      <c r="AR832" s="167"/>
      <c r="AS832" s="167"/>
      <c r="AT832" s="167"/>
      <c r="AU832" s="167"/>
      <c r="AV832" s="167"/>
      <c r="AW832" s="167"/>
      <c r="AX832" s="167"/>
      <c r="AY832" s="167"/>
      <c r="AZ832" s="167"/>
      <c r="BA832" s="167"/>
      <c r="BB832" s="167"/>
      <c r="BC832" s="167"/>
      <c r="BD832" s="167"/>
      <c r="BE832" s="167"/>
      <c r="BF832" s="167"/>
      <c r="BG832" s="167"/>
      <c r="BH832" s="167"/>
      <c r="BI832" s="167"/>
      <c r="BJ832" s="167"/>
      <c r="BK832" s="167"/>
      <c r="BL832" s="167"/>
      <c r="BM832" s="167"/>
      <c r="BN832" s="167"/>
      <c r="BO832" s="167"/>
      <c r="BP832" s="167"/>
      <c r="BQ832" s="167"/>
      <c r="BR832" s="167"/>
      <c r="BS832" s="65"/>
      <c r="BT832" s="65"/>
      <c r="BU832" s="65"/>
      <c r="BV832" s="65"/>
      <c r="BW832" s="69"/>
      <c r="BX832" s="65"/>
      <c r="BY832" s="137">
        <f t="shared" ref="BY832:BY849" si="3315">IF(H832&gt;0,1,0)</f>
        <v>0</v>
      </c>
      <c r="BZ832" s="137">
        <f>IF(BY832&gt;0,BY832+LARGE($BZ$757:BZ831,1),0)</f>
        <v>0</v>
      </c>
      <c r="CA832" s="137" t="str">
        <f t="shared" ref="CA832:CA849" si="3316">F832</f>
        <v>Auxiliar de Rigging</v>
      </c>
      <c r="CB832" s="161">
        <f t="shared" si="3255"/>
        <v>0</v>
      </c>
      <c r="CC832" s="161">
        <f t="shared" si="3256"/>
        <v>0</v>
      </c>
      <c r="CD832" s="161">
        <f t="shared" si="3257"/>
        <v>0</v>
      </c>
      <c r="CE832" s="161">
        <f t="shared" si="3258"/>
        <v>0</v>
      </c>
      <c r="CF832" s="161">
        <f t="shared" si="3259"/>
        <v>0</v>
      </c>
      <c r="CG832" s="161">
        <f t="shared" si="3260"/>
        <v>0</v>
      </c>
      <c r="CH832" s="161">
        <f t="shared" si="3261"/>
        <v>0</v>
      </c>
      <c r="CI832" s="161">
        <f t="shared" si="3262"/>
        <v>0</v>
      </c>
      <c r="CJ832" s="161">
        <f t="shared" si="3263"/>
        <v>0</v>
      </c>
      <c r="CK832" s="161">
        <f t="shared" si="3264"/>
        <v>0</v>
      </c>
      <c r="CL832" s="161">
        <f t="shared" si="3265"/>
        <v>0</v>
      </c>
      <c r="CM832" s="161">
        <f t="shared" si="3266"/>
        <v>0</v>
      </c>
      <c r="CN832" s="161">
        <f t="shared" si="3267"/>
        <v>0</v>
      </c>
      <c r="CO832" s="161">
        <f t="shared" si="3268"/>
        <v>0</v>
      </c>
      <c r="CP832" s="161">
        <f t="shared" si="3269"/>
        <v>0</v>
      </c>
      <c r="CQ832" s="161">
        <f t="shared" si="3270"/>
        <v>0</v>
      </c>
      <c r="CR832" s="161">
        <f t="shared" si="3271"/>
        <v>0</v>
      </c>
      <c r="CS832" s="161">
        <f t="shared" si="3272"/>
        <v>0</v>
      </c>
      <c r="CT832" s="161">
        <f t="shared" si="3273"/>
        <v>0</v>
      </c>
      <c r="CU832" s="161">
        <f t="shared" si="3274"/>
        <v>0</v>
      </c>
      <c r="CV832" s="161">
        <f t="shared" si="3275"/>
        <v>0</v>
      </c>
      <c r="CW832" s="161">
        <f t="shared" si="3276"/>
        <v>0</v>
      </c>
      <c r="CX832" s="161">
        <f t="shared" si="3277"/>
        <v>0</v>
      </c>
      <c r="CY832" s="161">
        <f t="shared" si="3278"/>
        <v>0</v>
      </c>
      <c r="CZ832" s="161">
        <f t="shared" si="3279"/>
        <v>0</v>
      </c>
      <c r="DA832" s="161">
        <f t="shared" si="3280"/>
        <v>0</v>
      </c>
      <c r="DB832" s="161">
        <f t="shared" si="3281"/>
        <v>0</v>
      </c>
      <c r="DC832" s="161">
        <f t="shared" si="3282"/>
        <v>0</v>
      </c>
      <c r="DD832" s="161">
        <f t="shared" si="3283"/>
        <v>0</v>
      </c>
      <c r="DE832" s="161">
        <f t="shared" si="3284"/>
        <v>0</v>
      </c>
      <c r="DF832" s="161">
        <f t="shared" si="3285"/>
        <v>0</v>
      </c>
      <c r="DG832" s="161">
        <f t="shared" si="3286"/>
        <v>0</v>
      </c>
      <c r="DH832" s="161">
        <f t="shared" si="3287"/>
        <v>0</v>
      </c>
      <c r="DI832" s="161">
        <f t="shared" si="3288"/>
        <v>0</v>
      </c>
      <c r="DJ832" s="161">
        <f t="shared" si="3289"/>
        <v>0</v>
      </c>
      <c r="DK832" s="161">
        <f t="shared" si="3290"/>
        <v>0</v>
      </c>
      <c r="DL832" s="161">
        <f t="shared" si="3291"/>
        <v>0</v>
      </c>
      <c r="DM832" s="161">
        <f t="shared" si="3292"/>
        <v>0</v>
      </c>
      <c r="DN832" s="161">
        <f t="shared" si="3293"/>
        <v>0</v>
      </c>
      <c r="DO832" s="161">
        <f t="shared" si="3294"/>
        <v>0</v>
      </c>
      <c r="DP832" s="161">
        <f t="shared" si="3295"/>
        <v>0</v>
      </c>
      <c r="DQ832" s="161">
        <f t="shared" si="3296"/>
        <v>0</v>
      </c>
      <c r="DR832" s="161">
        <f t="shared" si="3297"/>
        <v>0</v>
      </c>
      <c r="DS832" s="161">
        <f t="shared" si="3298"/>
        <v>0</v>
      </c>
      <c r="DT832" s="161">
        <f t="shared" si="3299"/>
        <v>0</v>
      </c>
      <c r="DU832" s="161">
        <f t="shared" si="3300"/>
        <v>0</v>
      </c>
      <c r="DV832" s="161">
        <f t="shared" si="3301"/>
        <v>0</v>
      </c>
      <c r="DW832" s="161">
        <f t="shared" si="3302"/>
        <v>0</v>
      </c>
      <c r="DX832" s="161">
        <f t="shared" si="3303"/>
        <v>0</v>
      </c>
      <c r="DY832" s="161">
        <f t="shared" si="3304"/>
        <v>0</v>
      </c>
      <c r="DZ832" s="161">
        <f t="shared" si="3305"/>
        <v>0</v>
      </c>
      <c r="EA832" s="161">
        <f t="shared" si="3306"/>
        <v>0</v>
      </c>
      <c r="EB832" s="161">
        <f t="shared" si="3307"/>
        <v>0</v>
      </c>
      <c r="EC832" s="161">
        <f t="shared" si="3308"/>
        <v>0</v>
      </c>
      <c r="ED832" s="161">
        <f t="shared" si="3309"/>
        <v>0</v>
      </c>
      <c r="EE832" s="161">
        <f t="shared" si="3310"/>
        <v>0</v>
      </c>
      <c r="EF832" s="161">
        <f t="shared" si="3311"/>
        <v>0</v>
      </c>
      <c r="EG832" s="161">
        <f t="shared" si="3312"/>
        <v>0</v>
      </c>
      <c r="EH832" s="161">
        <f t="shared" si="3313"/>
        <v>0</v>
      </c>
      <c r="EI832" s="161">
        <f t="shared" si="3314"/>
        <v>0</v>
      </c>
    </row>
    <row r="833" spans="2:139" ht="12" customHeight="1" outlineLevel="1">
      <c r="B833" s="137" t="str">
        <f>IF(F833&gt;0,F833&amp;" - "&amp;D829,"")</f>
        <v>Operador de Empilhadeira - Apoio, Limpeza e Conservação</v>
      </c>
      <c r="C833" s="65"/>
      <c r="D833" s="605"/>
      <c r="E833" s="65"/>
      <c r="F833" s="164" t="s">
        <v>531</v>
      </c>
      <c r="G833" s="165"/>
      <c r="H833" s="166">
        <f t="shared" si="3253"/>
        <v>0</v>
      </c>
      <c r="I833" s="144">
        <f t="shared" si="3254"/>
        <v>0</v>
      </c>
      <c r="J833" s="65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  <c r="AB833" s="167"/>
      <c r="AC833" s="167"/>
      <c r="AD833" s="167"/>
      <c r="AE833" s="167"/>
      <c r="AF833" s="167"/>
      <c r="AG833" s="167"/>
      <c r="AH833" s="167"/>
      <c r="AI833" s="167"/>
      <c r="AJ833" s="167"/>
      <c r="AK833" s="167"/>
      <c r="AL833" s="167"/>
      <c r="AM833" s="167"/>
      <c r="AN833" s="167"/>
      <c r="AO833" s="167"/>
      <c r="AP833" s="167"/>
      <c r="AQ833" s="167"/>
      <c r="AR833" s="167"/>
      <c r="AS833" s="167"/>
      <c r="AT833" s="167"/>
      <c r="AU833" s="167"/>
      <c r="AV833" s="167"/>
      <c r="AW833" s="167"/>
      <c r="AX833" s="167"/>
      <c r="AY833" s="167"/>
      <c r="AZ833" s="167"/>
      <c r="BA833" s="167"/>
      <c r="BB833" s="167"/>
      <c r="BC833" s="167"/>
      <c r="BD833" s="167"/>
      <c r="BE833" s="167"/>
      <c r="BF833" s="167"/>
      <c r="BG833" s="167"/>
      <c r="BH833" s="167"/>
      <c r="BI833" s="167"/>
      <c r="BJ833" s="167"/>
      <c r="BK833" s="167"/>
      <c r="BL833" s="167"/>
      <c r="BM833" s="167"/>
      <c r="BN833" s="167"/>
      <c r="BO833" s="167"/>
      <c r="BP833" s="167"/>
      <c r="BQ833" s="167"/>
      <c r="BR833" s="167"/>
      <c r="BS833" s="65"/>
      <c r="BT833" s="65"/>
      <c r="BU833" s="65"/>
      <c r="BV833" s="65"/>
      <c r="BW833" s="69"/>
      <c r="BX833" s="65"/>
      <c r="BY833" s="137">
        <f t="shared" si="3315"/>
        <v>0</v>
      </c>
      <c r="BZ833" s="137">
        <f>IF(BY833&gt;0,BY833+LARGE($BZ$757:BZ832,1),0)</f>
        <v>0</v>
      </c>
      <c r="CA833" s="137" t="str">
        <f t="shared" si="3316"/>
        <v>Operador de Empilhadeira</v>
      </c>
      <c r="CB833" s="161">
        <f t="shared" si="3255"/>
        <v>0</v>
      </c>
      <c r="CC833" s="161">
        <f t="shared" si="3256"/>
        <v>0</v>
      </c>
      <c r="CD833" s="161">
        <f t="shared" si="3257"/>
        <v>0</v>
      </c>
      <c r="CE833" s="161">
        <f t="shared" si="3258"/>
        <v>0</v>
      </c>
      <c r="CF833" s="161">
        <f t="shared" si="3259"/>
        <v>0</v>
      </c>
      <c r="CG833" s="161">
        <f t="shared" si="3260"/>
        <v>0</v>
      </c>
      <c r="CH833" s="161">
        <f t="shared" si="3261"/>
        <v>0</v>
      </c>
      <c r="CI833" s="161">
        <f t="shared" si="3262"/>
        <v>0</v>
      </c>
      <c r="CJ833" s="161">
        <f t="shared" si="3263"/>
        <v>0</v>
      </c>
      <c r="CK833" s="161">
        <f t="shared" si="3264"/>
        <v>0</v>
      </c>
      <c r="CL833" s="161">
        <f t="shared" si="3265"/>
        <v>0</v>
      </c>
      <c r="CM833" s="161">
        <f t="shared" si="3266"/>
        <v>0</v>
      </c>
      <c r="CN833" s="161">
        <f t="shared" si="3267"/>
        <v>0</v>
      </c>
      <c r="CO833" s="161">
        <f t="shared" si="3268"/>
        <v>0</v>
      </c>
      <c r="CP833" s="161">
        <f t="shared" si="3269"/>
        <v>0</v>
      </c>
      <c r="CQ833" s="161">
        <f t="shared" si="3270"/>
        <v>0</v>
      </c>
      <c r="CR833" s="161">
        <f t="shared" si="3271"/>
        <v>0</v>
      </c>
      <c r="CS833" s="161">
        <f t="shared" si="3272"/>
        <v>0</v>
      </c>
      <c r="CT833" s="161">
        <f t="shared" si="3273"/>
        <v>0</v>
      </c>
      <c r="CU833" s="161">
        <f t="shared" si="3274"/>
        <v>0</v>
      </c>
      <c r="CV833" s="161">
        <f t="shared" si="3275"/>
        <v>0</v>
      </c>
      <c r="CW833" s="161">
        <f t="shared" si="3276"/>
        <v>0</v>
      </c>
      <c r="CX833" s="161">
        <f t="shared" si="3277"/>
        <v>0</v>
      </c>
      <c r="CY833" s="161">
        <f t="shared" si="3278"/>
        <v>0</v>
      </c>
      <c r="CZ833" s="161">
        <f t="shared" si="3279"/>
        <v>0</v>
      </c>
      <c r="DA833" s="161">
        <f t="shared" si="3280"/>
        <v>0</v>
      </c>
      <c r="DB833" s="161">
        <f t="shared" si="3281"/>
        <v>0</v>
      </c>
      <c r="DC833" s="161">
        <f t="shared" si="3282"/>
        <v>0</v>
      </c>
      <c r="DD833" s="161">
        <f t="shared" si="3283"/>
        <v>0</v>
      </c>
      <c r="DE833" s="161">
        <f t="shared" si="3284"/>
        <v>0</v>
      </c>
      <c r="DF833" s="161">
        <f t="shared" si="3285"/>
        <v>0</v>
      </c>
      <c r="DG833" s="161">
        <f t="shared" si="3286"/>
        <v>0</v>
      </c>
      <c r="DH833" s="161">
        <f t="shared" si="3287"/>
        <v>0</v>
      </c>
      <c r="DI833" s="161">
        <f t="shared" si="3288"/>
        <v>0</v>
      </c>
      <c r="DJ833" s="161">
        <f t="shared" si="3289"/>
        <v>0</v>
      </c>
      <c r="DK833" s="161">
        <f t="shared" si="3290"/>
        <v>0</v>
      </c>
      <c r="DL833" s="161">
        <f t="shared" si="3291"/>
        <v>0</v>
      </c>
      <c r="DM833" s="161">
        <f t="shared" si="3292"/>
        <v>0</v>
      </c>
      <c r="DN833" s="161">
        <f t="shared" si="3293"/>
        <v>0</v>
      </c>
      <c r="DO833" s="161">
        <f t="shared" si="3294"/>
        <v>0</v>
      </c>
      <c r="DP833" s="161">
        <f t="shared" si="3295"/>
        <v>0</v>
      </c>
      <c r="DQ833" s="161">
        <f t="shared" si="3296"/>
        <v>0</v>
      </c>
      <c r="DR833" s="161">
        <f t="shared" si="3297"/>
        <v>0</v>
      </c>
      <c r="DS833" s="161">
        <f t="shared" si="3298"/>
        <v>0</v>
      </c>
      <c r="DT833" s="161">
        <f t="shared" si="3299"/>
        <v>0</v>
      </c>
      <c r="DU833" s="161">
        <f t="shared" si="3300"/>
        <v>0</v>
      </c>
      <c r="DV833" s="161">
        <f t="shared" si="3301"/>
        <v>0</v>
      </c>
      <c r="DW833" s="161">
        <f t="shared" si="3302"/>
        <v>0</v>
      </c>
      <c r="DX833" s="161">
        <f t="shared" si="3303"/>
        <v>0</v>
      </c>
      <c r="DY833" s="161">
        <f t="shared" si="3304"/>
        <v>0</v>
      </c>
      <c r="DZ833" s="161">
        <f t="shared" si="3305"/>
        <v>0</v>
      </c>
      <c r="EA833" s="161">
        <f t="shared" si="3306"/>
        <v>0</v>
      </c>
      <c r="EB833" s="161">
        <f t="shared" si="3307"/>
        <v>0</v>
      </c>
      <c r="EC833" s="161">
        <f t="shared" si="3308"/>
        <v>0</v>
      </c>
      <c r="ED833" s="161">
        <f t="shared" si="3309"/>
        <v>0</v>
      </c>
      <c r="EE833" s="161">
        <f t="shared" si="3310"/>
        <v>0</v>
      </c>
      <c r="EF833" s="161">
        <f t="shared" si="3311"/>
        <v>0</v>
      </c>
      <c r="EG833" s="161">
        <f t="shared" si="3312"/>
        <v>0</v>
      </c>
      <c r="EH833" s="161">
        <f t="shared" si="3313"/>
        <v>0</v>
      </c>
      <c r="EI833" s="161">
        <f t="shared" si="3314"/>
        <v>0</v>
      </c>
    </row>
    <row r="834" spans="2:139" ht="12" customHeight="1" outlineLevel="1">
      <c r="B834" s="137" t="str">
        <f>IF(F834&gt;0,F834&amp;" - "&amp;D829,"")</f>
        <v>Operador de Caminhão Munck - Apoio, Limpeza e Conservação</v>
      </c>
      <c r="C834" s="65"/>
      <c r="D834" s="605"/>
      <c r="E834" s="65"/>
      <c r="F834" s="164" t="s">
        <v>532</v>
      </c>
      <c r="G834" s="165"/>
      <c r="H834" s="166">
        <f t="shared" si="3253"/>
        <v>0</v>
      </c>
      <c r="I834" s="144">
        <f t="shared" si="3254"/>
        <v>0</v>
      </c>
      <c r="J834" s="65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  <c r="AB834" s="167"/>
      <c r="AC834" s="167"/>
      <c r="AD834" s="167"/>
      <c r="AE834" s="167"/>
      <c r="AF834" s="167"/>
      <c r="AG834" s="167"/>
      <c r="AH834" s="167"/>
      <c r="AI834" s="167"/>
      <c r="AJ834" s="167"/>
      <c r="AK834" s="167"/>
      <c r="AL834" s="167"/>
      <c r="AM834" s="167"/>
      <c r="AN834" s="167"/>
      <c r="AO834" s="167"/>
      <c r="AP834" s="167"/>
      <c r="AQ834" s="167"/>
      <c r="AR834" s="167"/>
      <c r="AS834" s="167"/>
      <c r="AT834" s="167"/>
      <c r="AU834" s="167"/>
      <c r="AV834" s="167"/>
      <c r="AW834" s="167"/>
      <c r="AX834" s="167"/>
      <c r="AY834" s="167"/>
      <c r="AZ834" s="167"/>
      <c r="BA834" s="167"/>
      <c r="BB834" s="167"/>
      <c r="BC834" s="167"/>
      <c r="BD834" s="167"/>
      <c r="BE834" s="167"/>
      <c r="BF834" s="167"/>
      <c r="BG834" s="167"/>
      <c r="BH834" s="167"/>
      <c r="BI834" s="167"/>
      <c r="BJ834" s="167"/>
      <c r="BK834" s="167"/>
      <c r="BL834" s="167"/>
      <c r="BM834" s="167"/>
      <c r="BN834" s="167"/>
      <c r="BO834" s="167"/>
      <c r="BP834" s="167"/>
      <c r="BQ834" s="167"/>
      <c r="BR834" s="167"/>
      <c r="BS834" s="65"/>
      <c r="BT834" s="65"/>
      <c r="BU834" s="65"/>
      <c r="BV834" s="65"/>
      <c r="BW834" s="69"/>
      <c r="BX834" s="65"/>
      <c r="BY834" s="137">
        <f t="shared" si="3315"/>
        <v>0</v>
      </c>
      <c r="BZ834" s="137">
        <f>IF(BY834&gt;0,BY834+LARGE($BZ$757:BZ833,1),0)</f>
        <v>0</v>
      </c>
      <c r="CA834" s="137" t="str">
        <f t="shared" si="3316"/>
        <v>Operador de Caminhão Munck</v>
      </c>
      <c r="CB834" s="161">
        <f t="shared" si="3255"/>
        <v>0</v>
      </c>
      <c r="CC834" s="161">
        <f t="shared" si="3256"/>
        <v>0</v>
      </c>
      <c r="CD834" s="161">
        <f t="shared" si="3257"/>
        <v>0</v>
      </c>
      <c r="CE834" s="161">
        <f t="shared" si="3258"/>
        <v>0</v>
      </c>
      <c r="CF834" s="161">
        <f t="shared" si="3259"/>
        <v>0</v>
      </c>
      <c r="CG834" s="161">
        <f t="shared" si="3260"/>
        <v>0</v>
      </c>
      <c r="CH834" s="161">
        <f t="shared" si="3261"/>
        <v>0</v>
      </c>
      <c r="CI834" s="161">
        <f t="shared" si="3262"/>
        <v>0</v>
      </c>
      <c r="CJ834" s="161">
        <f t="shared" si="3263"/>
        <v>0</v>
      </c>
      <c r="CK834" s="161">
        <f t="shared" si="3264"/>
        <v>0</v>
      </c>
      <c r="CL834" s="161">
        <f t="shared" si="3265"/>
        <v>0</v>
      </c>
      <c r="CM834" s="161">
        <f t="shared" si="3266"/>
        <v>0</v>
      </c>
      <c r="CN834" s="161">
        <f t="shared" si="3267"/>
        <v>0</v>
      </c>
      <c r="CO834" s="161">
        <f t="shared" si="3268"/>
        <v>0</v>
      </c>
      <c r="CP834" s="161">
        <f t="shared" si="3269"/>
        <v>0</v>
      </c>
      <c r="CQ834" s="161">
        <f t="shared" si="3270"/>
        <v>0</v>
      </c>
      <c r="CR834" s="161">
        <f t="shared" si="3271"/>
        <v>0</v>
      </c>
      <c r="CS834" s="161">
        <f t="shared" si="3272"/>
        <v>0</v>
      </c>
      <c r="CT834" s="161">
        <f t="shared" si="3273"/>
        <v>0</v>
      </c>
      <c r="CU834" s="161">
        <f t="shared" si="3274"/>
        <v>0</v>
      </c>
      <c r="CV834" s="161">
        <f t="shared" si="3275"/>
        <v>0</v>
      </c>
      <c r="CW834" s="161">
        <f t="shared" si="3276"/>
        <v>0</v>
      </c>
      <c r="CX834" s="161">
        <f t="shared" si="3277"/>
        <v>0</v>
      </c>
      <c r="CY834" s="161">
        <f t="shared" si="3278"/>
        <v>0</v>
      </c>
      <c r="CZ834" s="161">
        <f t="shared" si="3279"/>
        <v>0</v>
      </c>
      <c r="DA834" s="161">
        <f t="shared" si="3280"/>
        <v>0</v>
      </c>
      <c r="DB834" s="161">
        <f t="shared" si="3281"/>
        <v>0</v>
      </c>
      <c r="DC834" s="161">
        <f t="shared" si="3282"/>
        <v>0</v>
      </c>
      <c r="DD834" s="161">
        <f t="shared" si="3283"/>
        <v>0</v>
      </c>
      <c r="DE834" s="161">
        <f t="shared" si="3284"/>
        <v>0</v>
      </c>
      <c r="DF834" s="161">
        <f t="shared" si="3285"/>
        <v>0</v>
      </c>
      <c r="DG834" s="161">
        <f t="shared" si="3286"/>
        <v>0</v>
      </c>
      <c r="DH834" s="161">
        <f t="shared" si="3287"/>
        <v>0</v>
      </c>
      <c r="DI834" s="161">
        <f t="shared" si="3288"/>
        <v>0</v>
      </c>
      <c r="DJ834" s="161">
        <f t="shared" si="3289"/>
        <v>0</v>
      </c>
      <c r="DK834" s="161">
        <f t="shared" si="3290"/>
        <v>0</v>
      </c>
      <c r="DL834" s="161">
        <f t="shared" si="3291"/>
        <v>0</v>
      </c>
      <c r="DM834" s="161">
        <f t="shared" si="3292"/>
        <v>0</v>
      </c>
      <c r="DN834" s="161">
        <f t="shared" si="3293"/>
        <v>0</v>
      </c>
      <c r="DO834" s="161">
        <f t="shared" si="3294"/>
        <v>0</v>
      </c>
      <c r="DP834" s="161">
        <f t="shared" si="3295"/>
        <v>0</v>
      </c>
      <c r="DQ834" s="161">
        <f t="shared" si="3296"/>
        <v>0</v>
      </c>
      <c r="DR834" s="161">
        <f t="shared" si="3297"/>
        <v>0</v>
      </c>
      <c r="DS834" s="161">
        <f t="shared" si="3298"/>
        <v>0</v>
      </c>
      <c r="DT834" s="161">
        <f t="shared" si="3299"/>
        <v>0</v>
      </c>
      <c r="DU834" s="161">
        <f t="shared" si="3300"/>
        <v>0</v>
      </c>
      <c r="DV834" s="161">
        <f t="shared" si="3301"/>
        <v>0</v>
      </c>
      <c r="DW834" s="161">
        <f t="shared" si="3302"/>
        <v>0</v>
      </c>
      <c r="DX834" s="161">
        <f t="shared" si="3303"/>
        <v>0</v>
      </c>
      <c r="DY834" s="161">
        <f t="shared" si="3304"/>
        <v>0</v>
      </c>
      <c r="DZ834" s="161">
        <f t="shared" si="3305"/>
        <v>0</v>
      </c>
      <c r="EA834" s="161">
        <f t="shared" si="3306"/>
        <v>0</v>
      </c>
      <c r="EB834" s="161">
        <f t="shared" si="3307"/>
        <v>0</v>
      </c>
      <c r="EC834" s="161">
        <f t="shared" si="3308"/>
        <v>0</v>
      </c>
      <c r="ED834" s="161">
        <f t="shared" si="3309"/>
        <v>0</v>
      </c>
      <c r="EE834" s="161">
        <f t="shared" si="3310"/>
        <v>0</v>
      </c>
      <c r="EF834" s="161">
        <f t="shared" si="3311"/>
        <v>0</v>
      </c>
      <c r="EG834" s="161">
        <f t="shared" si="3312"/>
        <v>0</v>
      </c>
      <c r="EH834" s="161">
        <f t="shared" si="3313"/>
        <v>0</v>
      </c>
      <c r="EI834" s="161">
        <f t="shared" si="3314"/>
        <v>0</v>
      </c>
    </row>
    <row r="835" spans="2:139" ht="12" customHeight="1" outlineLevel="1">
      <c r="B835" s="137" t="str">
        <f>IF(F835&gt;0,F835&amp;" - "&amp;D829,"")</f>
        <v>Motorista (AB) - Apoio, Limpeza e Conservação</v>
      </c>
      <c r="C835" s="65"/>
      <c r="D835" s="605"/>
      <c r="E835" s="65"/>
      <c r="F835" s="164" t="s">
        <v>533</v>
      </c>
      <c r="G835" s="165"/>
      <c r="H835" s="166">
        <f t="shared" si="3253"/>
        <v>0</v>
      </c>
      <c r="I835" s="144">
        <f t="shared" si="3254"/>
        <v>0</v>
      </c>
      <c r="J835" s="65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  <c r="AB835" s="167"/>
      <c r="AC835" s="167"/>
      <c r="AD835" s="167"/>
      <c r="AE835" s="167"/>
      <c r="AF835" s="167"/>
      <c r="AG835" s="167"/>
      <c r="AH835" s="167"/>
      <c r="AI835" s="167"/>
      <c r="AJ835" s="167"/>
      <c r="AK835" s="167"/>
      <c r="AL835" s="167"/>
      <c r="AM835" s="167"/>
      <c r="AN835" s="167"/>
      <c r="AO835" s="167"/>
      <c r="AP835" s="167"/>
      <c r="AQ835" s="167"/>
      <c r="AR835" s="167"/>
      <c r="AS835" s="167"/>
      <c r="AT835" s="167"/>
      <c r="AU835" s="167"/>
      <c r="AV835" s="167"/>
      <c r="AW835" s="167"/>
      <c r="AX835" s="167"/>
      <c r="AY835" s="167"/>
      <c r="AZ835" s="167"/>
      <c r="BA835" s="167"/>
      <c r="BB835" s="167"/>
      <c r="BC835" s="167"/>
      <c r="BD835" s="167"/>
      <c r="BE835" s="167"/>
      <c r="BF835" s="167"/>
      <c r="BG835" s="167"/>
      <c r="BH835" s="167"/>
      <c r="BI835" s="167"/>
      <c r="BJ835" s="167"/>
      <c r="BK835" s="167"/>
      <c r="BL835" s="167"/>
      <c r="BM835" s="167"/>
      <c r="BN835" s="167"/>
      <c r="BO835" s="167"/>
      <c r="BP835" s="167"/>
      <c r="BQ835" s="167"/>
      <c r="BR835" s="167"/>
      <c r="BS835" s="65"/>
      <c r="BT835" s="65"/>
      <c r="BU835" s="65"/>
      <c r="BV835" s="65"/>
      <c r="BW835" s="69"/>
      <c r="BX835" s="65"/>
      <c r="BY835" s="137">
        <f t="shared" si="3315"/>
        <v>0</v>
      </c>
      <c r="BZ835" s="137">
        <f>IF(BY835&gt;0,BY835+LARGE($BZ$757:BZ834,1),0)</f>
        <v>0</v>
      </c>
      <c r="CA835" s="137" t="str">
        <f t="shared" si="3316"/>
        <v>Motorista (AB)</v>
      </c>
      <c r="CB835" s="161">
        <f t="shared" si="3255"/>
        <v>0</v>
      </c>
      <c r="CC835" s="161">
        <f t="shared" si="3256"/>
        <v>0</v>
      </c>
      <c r="CD835" s="161">
        <f t="shared" si="3257"/>
        <v>0</v>
      </c>
      <c r="CE835" s="161">
        <f t="shared" si="3258"/>
        <v>0</v>
      </c>
      <c r="CF835" s="161">
        <f t="shared" si="3259"/>
        <v>0</v>
      </c>
      <c r="CG835" s="161">
        <f t="shared" si="3260"/>
        <v>0</v>
      </c>
      <c r="CH835" s="161">
        <f t="shared" si="3261"/>
        <v>0</v>
      </c>
      <c r="CI835" s="161">
        <f t="shared" si="3262"/>
        <v>0</v>
      </c>
      <c r="CJ835" s="161">
        <f t="shared" si="3263"/>
        <v>0</v>
      </c>
      <c r="CK835" s="161">
        <f t="shared" si="3264"/>
        <v>0</v>
      </c>
      <c r="CL835" s="161">
        <f t="shared" si="3265"/>
        <v>0</v>
      </c>
      <c r="CM835" s="161">
        <f t="shared" si="3266"/>
        <v>0</v>
      </c>
      <c r="CN835" s="161">
        <f t="shared" si="3267"/>
        <v>0</v>
      </c>
      <c r="CO835" s="161">
        <f t="shared" si="3268"/>
        <v>0</v>
      </c>
      <c r="CP835" s="161">
        <f t="shared" si="3269"/>
        <v>0</v>
      </c>
      <c r="CQ835" s="161">
        <f t="shared" si="3270"/>
        <v>0</v>
      </c>
      <c r="CR835" s="161">
        <f t="shared" si="3271"/>
        <v>0</v>
      </c>
      <c r="CS835" s="161">
        <f t="shared" si="3272"/>
        <v>0</v>
      </c>
      <c r="CT835" s="161">
        <f t="shared" si="3273"/>
        <v>0</v>
      </c>
      <c r="CU835" s="161">
        <f t="shared" si="3274"/>
        <v>0</v>
      </c>
      <c r="CV835" s="161">
        <f t="shared" si="3275"/>
        <v>0</v>
      </c>
      <c r="CW835" s="161">
        <f t="shared" si="3276"/>
        <v>0</v>
      </c>
      <c r="CX835" s="161">
        <f t="shared" si="3277"/>
        <v>0</v>
      </c>
      <c r="CY835" s="161">
        <f t="shared" si="3278"/>
        <v>0</v>
      </c>
      <c r="CZ835" s="161">
        <f t="shared" si="3279"/>
        <v>0</v>
      </c>
      <c r="DA835" s="161">
        <f t="shared" si="3280"/>
        <v>0</v>
      </c>
      <c r="DB835" s="161">
        <f t="shared" si="3281"/>
        <v>0</v>
      </c>
      <c r="DC835" s="161">
        <f t="shared" si="3282"/>
        <v>0</v>
      </c>
      <c r="DD835" s="161">
        <f t="shared" si="3283"/>
        <v>0</v>
      </c>
      <c r="DE835" s="161">
        <f t="shared" si="3284"/>
        <v>0</v>
      </c>
      <c r="DF835" s="161">
        <f t="shared" si="3285"/>
        <v>0</v>
      </c>
      <c r="DG835" s="161">
        <f t="shared" si="3286"/>
        <v>0</v>
      </c>
      <c r="DH835" s="161">
        <f t="shared" si="3287"/>
        <v>0</v>
      </c>
      <c r="DI835" s="161">
        <f t="shared" si="3288"/>
        <v>0</v>
      </c>
      <c r="DJ835" s="161">
        <f t="shared" si="3289"/>
        <v>0</v>
      </c>
      <c r="DK835" s="161">
        <f t="shared" si="3290"/>
        <v>0</v>
      </c>
      <c r="DL835" s="161">
        <f t="shared" si="3291"/>
        <v>0</v>
      </c>
      <c r="DM835" s="161">
        <f t="shared" si="3292"/>
        <v>0</v>
      </c>
      <c r="DN835" s="161">
        <f t="shared" si="3293"/>
        <v>0</v>
      </c>
      <c r="DO835" s="161">
        <f t="shared" si="3294"/>
        <v>0</v>
      </c>
      <c r="DP835" s="161">
        <f t="shared" si="3295"/>
        <v>0</v>
      </c>
      <c r="DQ835" s="161">
        <f t="shared" si="3296"/>
        <v>0</v>
      </c>
      <c r="DR835" s="161">
        <f t="shared" si="3297"/>
        <v>0</v>
      </c>
      <c r="DS835" s="161">
        <f t="shared" si="3298"/>
        <v>0</v>
      </c>
      <c r="DT835" s="161">
        <f t="shared" si="3299"/>
        <v>0</v>
      </c>
      <c r="DU835" s="161">
        <f t="shared" si="3300"/>
        <v>0</v>
      </c>
      <c r="DV835" s="161">
        <f t="shared" si="3301"/>
        <v>0</v>
      </c>
      <c r="DW835" s="161">
        <f t="shared" si="3302"/>
        <v>0</v>
      </c>
      <c r="DX835" s="161">
        <f t="shared" si="3303"/>
        <v>0</v>
      </c>
      <c r="DY835" s="161">
        <f t="shared" si="3304"/>
        <v>0</v>
      </c>
      <c r="DZ835" s="161">
        <f t="shared" si="3305"/>
        <v>0</v>
      </c>
      <c r="EA835" s="161">
        <f t="shared" si="3306"/>
        <v>0</v>
      </c>
      <c r="EB835" s="161">
        <f t="shared" si="3307"/>
        <v>0</v>
      </c>
      <c r="EC835" s="161">
        <f t="shared" si="3308"/>
        <v>0</v>
      </c>
      <c r="ED835" s="161">
        <f t="shared" si="3309"/>
        <v>0</v>
      </c>
      <c r="EE835" s="161">
        <f t="shared" si="3310"/>
        <v>0</v>
      </c>
      <c r="EF835" s="161">
        <f t="shared" si="3311"/>
        <v>0</v>
      </c>
      <c r="EG835" s="161">
        <f t="shared" si="3312"/>
        <v>0</v>
      </c>
      <c r="EH835" s="161">
        <f t="shared" si="3313"/>
        <v>0</v>
      </c>
      <c r="EI835" s="161">
        <f t="shared" si="3314"/>
        <v>0</v>
      </c>
    </row>
    <row r="836" spans="2:139" ht="12" customHeight="1" outlineLevel="1">
      <c r="B836" s="137" t="str">
        <f>IF(F836&gt;0,F836&amp;" - "&amp;D829,"")</f>
        <v>Motorista (C, D ou E) - Apoio, Limpeza e Conservação</v>
      </c>
      <c r="C836" s="65"/>
      <c r="D836" s="605"/>
      <c r="E836" s="65"/>
      <c r="F836" s="164" t="s">
        <v>534</v>
      </c>
      <c r="G836" s="165"/>
      <c r="H836" s="166">
        <f t="shared" si="3253"/>
        <v>0</v>
      </c>
      <c r="I836" s="144">
        <f t="shared" si="3254"/>
        <v>0</v>
      </c>
      <c r="J836" s="65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  <c r="AB836" s="167"/>
      <c r="AC836" s="167"/>
      <c r="AD836" s="167"/>
      <c r="AE836" s="167"/>
      <c r="AF836" s="167"/>
      <c r="AG836" s="167"/>
      <c r="AH836" s="167"/>
      <c r="AI836" s="167"/>
      <c r="AJ836" s="167"/>
      <c r="AK836" s="167"/>
      <c r="AL836" s="167"/>
      <c r="AM836" s="167"/>
      <c r="AN836" s="167"/>
      <c r="AO836" s="167"/>
      <c r="AP836" s="167"/>
      <c r="AQ836" s="167"/>
      <c r="AR836" s="167"/>
      <c r="AS836" s="167"/>
      <c r="AT836" s="167"/>
      <c r="AU836" s="167"/>
      <c r="AV836" s="167"/>
      <c r="AW836" s="167"/>
      <c r="AX836" s="167"/>
      <c r="AY836" s="167"/>
      <c r="AZ836" s="167"/>
      <c r="BA836" s="167"/>
      <c r="BB836" s="167"/>
      <c r="BC836" s="167"/>
      <c r="BD836" s="167"/>
      <c r="BE836" s="167"/>
      <c r="BF836" s="167"/>
      <c r="BG836" s="167"/>
      <c r="BH836" s="167"/>
      <c r="BI836" s="167"/>
      <c r="BJ836" s="167"/>
      <c r="BK836" s="167"/>
      <c r="BL836" s="167"/>
      <c r="BM836" s="167"/>
      <c r="BN836" s="167"/>
      <c r="BO836" s="167"/>
      <c r="BP836" s="167"/>
      <c r="BQ836" s="167"/>
      <c r="BR836" s="167"/>
      <c r="BS836" s="65"/>
      <c r="BT836" s="65"/>
      <c r="BU836" s="65"/>
      <c r="BV836" s="65"/>
      <c r="BW836" s="69"/>
      <c r="BX836" s="65"/>
      <c r="BY836" s="137">
        <f t="shared" si="3315"/>
        <v>0</v>
      </c>
      <c r="BZ836" s="137">
        <f>IF(BY836&gt;0,BY836+LARGE($BZ$757:BZ835,1),0)</f>
        <v>0</v>
      </c>
      <c r="CA836" s="137" t="str">
        <f t="shared" si="3316"/>
        <v>Motorista (C, D ou E)</v>
      </c>
      <c r="CB836" s="161">
        <f t="shared" si="3255"/>
        <v>0</v>
      </c>
      <c r="CC836" s="161">
        <f t="shared" si="3256"/>
        <v>0</v>
      </c>
      <c r="CD836" s="161">
        <f t="shared" si="3257"/>
        <v>0</v>
      </c>
      <c r="CE836" s="161">
        <f t="shared" si="3258"/>
        <v>0</v>
      </c>
      <c r="CF836" s="161">
        <f t="shared" si="3259"/>
        <v>0</v>
      </c>
      <c r="CG836" s="161">
        <f t="shared" si="3260"/>
        <v>0</v>
      </c>
      <c r="CH836" s="161">
        <f t="shared" si="3261"/>
        <v>0</v>
      </c>
      <c r="CI836" s="161">
        <f t="shared" si="3262"/>
        <v>0</v>
      </c>
      <c r="CJ836" s="161">
        <f t="shared" si="3263"/>
        <v>0</v>
      </c>
      <c r="CK836" s="161">
        <f t="shared" si="3264"/>
        <v>0</v>
      </c>
      <c r="CL836" s="161">
        <f t="shared" si="3265"/>
        <v>0</v>
      </c>
      <c r="CM836" s="161">
        <f t="shared" si="3266"/>
        <v>0</v>
      </c>
      <c r="CN836" s="161">
        <f t="shared" si="3267"/>
        <v>0</v>
      </c>
      <c r="CO836" s="161">
        <f t="shared" si="3268"/>
        <v>0</v>
      </c>
      <c r="CP836" s="161">
        <f t="shared" si="3269"/>
        <v>0</v>
      </c>
      <c r="CQ836" s="161">
        <f t="shared" si="3270"/>
        <v>0</v>
      </c>
      <c r="CR836" s="161">
        <f t="shared" si="3271"/>
        <v>0</v>
      </c>
      <c r="CS836" s="161">
        <f t="shared" si="3272"/>
        <v>0</v>
      </c>
      <c r="CT836" s="161">
        <f t="shared" si="3273"/>
        <v>0</v>
      </c>
      <c r="CU836" s="161">
        <f t="shared" si="3274"/>
        <v>0</v>
      </c>
      <c r="CV836" s="161">
        <f t="shared" si="3275"/>
        <v>0</v>
      </c>
      <c r="CW836" s="161">
        <f t="shared" si="3276"/>
        <v>0</v>
      </c>
      <c r="CX836" s="161">
        <f t="shared" si="3277"/>
        <v>0</v>
      </c>
      <c r="CY836" s="161">
        <f t="shared" si="3278"/>
        <v>0</v>
      </c>
      <c r="CZ836" s="161">
        <f t="shared" si="3279"/>
        <v>0</v>
      </c>
      <c r="DA836" s="161">
        <f t="shared" si="3280"/>
        <v>0</v>
      </c>
      <c r="DB836" s="161">
        <f t="shared" si="3281"/>
        <v>0</v>
      </c>
      <c r="DC836" s="161">
        <f t="shared" si="3282"/>
        <v>0</v>
      </c>
      <c r="DD836" s="161">
        <f t="shared" si="3283"/>
        <v>0</v>
      </c>
      <c r="DE836" s="161">
        <f t="shared" si="3284"/>
        <v>0</v>
      </c>
      <c r="DF836" s="161">
        <f t="shared" si="3285"/>
        <v>0</v>
      </c>
      <c r="DG836" s="161">
        <f t="shared" si="3286"/>
        <v>0</v>
      </c>
      <c r="DH836" s="161">
        <f t="shared" si="3287"/>
        <v>0</v>
      </c>
      <c r="DI836" s="161">
        <f t="shared" si="3288"/>
        <v>0</v>
      </c>
      <c r="DJ836" s="161">
        <f t="shared" si="3289"/>
        <v>0</v>
      </c>
      <c r="DK836" s="161">
        <f t="shared" si="3290"/>
        <v>0</v>
      </c>
      <c r="DL836" s="161">
        <f t="shared" si="3291"/>
        <v>0</v>
      </c>
      <c r="DM836" s="161">
        <f t="shared" si="3292"/>
        <v>0</v>
      </c>
      <c r="DN836" s="161">
        <f t="shared" si="3293"/>
        <v>0</v>
      </c>
      <c r="DO836" s="161">
        <f t="shared" si="3294"/>
        <v>0</v>
      </c>
      <c r="DP836" s="161">
        <f t="shared" si="3295"/>
        <v>0</v>
      </c>
      <c r="DQ836" s="161">
        <f t="shared" si="3296"/>
        <v>0</v>
      </c>
      <c r="DR836" s="161">
        <f t="shared" si="3297"/>
        <v>0</v>
      </c>
      <c r="DS836" s="161">
        <f t="shared" si="3298"/>
        <v>0</v>
      </c>
      <c r="DT836" s="161">
        <f t="shared" si="3299"/>
        <v>0</v>
      </c>
      <c r="DU836" s="161">
        <f t="shared" si="3300"/>
        <v>0</v>
      </c>
      <c r="DV836" s="161">
        <f t="shared" si="3301"/>
        <v>0</v>
      </c>
      <c r="DW836" s="161">
        <f t="shared" si="3302"/>
        <v>0</v>
      </c>
      <c r="DX836" s="161">
        <f t="shared" si="3303"/>
        <v>0</v>
      </c>
      <c r="DY836" s="161">
        <f t="shared" si="3304"/>
        <v>0</v>
      </c>
      <c r="DZ836" s="161">
        <f t="shared" si="3305"/>
        <v>0</v>
      </c>
      <c r="EA836" s="161">
        <f t="shared" si="3306"/>
        <v>0</v>
      </c>
      <c r="EB836" s="161">
        <f t="shared" si="3307"/>
        <v>0</v>
      </c>
      <c r="EC836" s="161">
        <f t="shared" si="3308"/>
        <v>0</v>
      </c>
      <c r="ED836" s="161">
        <f t="shared" si="3309"/>
        <v>0</v>
      </c>
      <c r="EE836" s="161">
        <f t="shared" si="3310"/>
        <v>0</v>
      </c>
      <c r="EF836" s="161">
        <f t="shared" si="3311"/>
        <v>0</v>
      </c>
      <c r="EG836" s="161">
        <f t="shared" si="3312"/>
        <v>0</v>
      </c>
      <c r="EH836" s="161">
        <f t="shared" si="3313"/>
        <v>0</v>
      </c>
      <c r="EI836" s="161">
        <f t="shared" si="3314"/>
        <v>0</v>
      </c>
    </row>
    <row r="837" spans="2:139" ht="12" customHeight="1" outlineLevel="1">
      <c r="B837" s="137" t="str">
        <f>IF(F837&gt;0,F837&amp;" - "&amp;D829,"")</f>
        <v>Auxiliar de Serviços Gerais - Apoio, Limpeza e Conservação</v>
      </c>
      <c r="C837" s="65"/>
      <c r="D837" s="605"/>
      <c r="E837" s="65"/>
      <c r="F837" s="164" t="s">
        <v>535</v>
      </c>
      <c r="G837" s="165"/>
      <c r="H837" s="166">
        <f t="shared" si="3253"/>
        <v>0</v>
      </c>
      <c r="I837" s="144">
        <f t="shared" si="3254"/>
        <v>0</v>
      </c>
      <c r="J837" s="65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  <c r="AB837" s="167"/>
      <c r="AC837" s="167"/>
      <c r="AD837" s="167"/>
      <c r="AE837" s="167"/>
      <c r="AF837" s="167"/>
      <c r="AG837" s="167"/>
      <c r="AH837" s="167"/>
      <c r="AI837" s="167"/>
      <c r="AJ837" s="167"/>
      <c r="AK837" s="167"/>
      <c r="AL837" s="167"/>
      <c r="AM837" s="167"/>
      <c r="AN837" s="167"/>
      <c r="AO837" s="167"/>
      <c r="AP837" s="167"/>
      <c r="AQ837" s="167"/>
      <c r="AR837" s="167"/>
      <c r="AS837" s="167"/>
      <c r="AT837" s="167"/>
      <c r="AU837" s="167"/>
      <c r="AV837" s="167"/>
      <c r="AW837" s="167"/>
      <c r="AX837" s="167"/>
      <c r="AY837" s="167"/>
      <c r="AZ837" s="167"/>
      <c r="BA837" s="167"/>
      <c r="BB837" s="167"/>
      <c r="BC837" s="167"/>
      <c r="BD837" s="167"/>
      <c r="BE837" s="167"/>
      <c r="BF837" s="167"/>
      <c r="BG837" s="167"/>
      <c r="BH837" s="167"/>
      <c r="BI837" s="167"/>
      <c r="BJ837" s="167"/>
      <c r="BK837" s="167"/>
      <c r="BL837" s="167"/>
      <c r="BM837" s="167"/>
      <c r="BN837" s="167"/>
      <c r="BO837" s="167"/>
      <c r="BP837" s="167"/>
      <c r="BQ837" s="167"/>
      <c r="BR837" s="167"/>
      <c r="BS837" s="65"/>
      <c r="BT837" s="65"/>
      <c r="BU837" s="65"/>
      <c r="BV837" s="65"/>
      <c r="BW837" s="69"/>
      <c r="BX837" s="65"/>
      <c r="BY837" s="137">
        <f t="shared" si="3315"/>
        <v>0</v>
      </c>
      <c r="BZ837" s="137">
        <f>IF(BY837&gt;0,BY837+LARGE($BZ$757:BZ836,1),0)</f>
        <v>0</v>
      </c>
      <c r="CA837" s="137" t="str">
        <f t="shared" si="3316"/>
        <v>Auxiliar de Serviços Gerais</v>
      </c>
      <c r="CB837" s="161">
        <f t="shared" si="3255"/>
        <v>0</v>
      </c>
      <c r="CC837" s="161">
        <f t="shared" si="3256"/>
        <v>0</v>
      </c>
      <c r="CD837" s="161">
        <f t="shared" si="3257"/>
        <v>0</v>
      </c>
      <c r="CE837" s="161">
        <f t="shared" si="3258"/>
        <v>0</v>
      </c>
      <c r="CF837" s="161">
        <f t="shared" si="3259"/>
        <v>0</v>
      </c>
      <c r="CG837" s="161">
        <f t="shared" si="3260"/>
        <v>0</v>
      </c>
      <c r="CH837" s="161">
        <f t="shared" si="3261"/>
        <v>0</v>
      </c>
      <c r="CI837" s="161">
        <f t="shared" si="3262"/>
        <v>0</v>
      </c>
      <c r="CJ837" s="161">
        <f t="shared" si="3263"/>
        <v>0</v>
      </c>
      <c r="CK837" s="161">
        <f t="shared" si="3264"/>
        <v>0</v>
      </c>
      <c r="CL837" s="161">
        <f t="shared" si="3265"/>
        <v>0</v>
      </c>
      <c r="CM837" s="161">
        <f t="shared" si="3266"/>
        <v>0</v>
      </c>
      <c r="CN837" s="161">
        <f t="shared" si="3267"/>
        <v>0</v>
      </c>
      <c r="CO837" s="161">
        <f t="shared" si="3268"/>
        <v>0</v>
      </c>
      <c r="CP837" s="161">
        <f t="shared" si="3269"/>
        <v>0</v>
      </c>
      <c r="CQ837" s="161">
        <f t="shared" si="3270"/>
        <v>0</v>
      </c>
      <c r="CR837" s="161">
        <f t="shared" si="3271"/>
        <v>0</v>
      </c>
      <c r="CS837" s="161">
        <f t="shared" si="3272"/>
        <v>0</v>
      </c>
      <c r="CT837" s="161">
        <f t="shared" si="3273"/>
        <v>0</v>
      </c>
      <c r="CU837" s="161">
        <f t="shared" si="3274"/>
        <v>0</v>
      </c>
      <c r="CV837" s="161">
        <f t="shared" si="3275"/>
        <v>0</v>
      </c>
      <c r="CW837" s="161">
        <f t="shared" si="3276"/>
        <v>0</v>
      </c>
      <c r="CX837" s="161">
        <f t="shared" si="3277"/>
        <v>0</v>
      </c>
      <c r="CY837" s="161">
        <f t="shared" si="3278"/>
        <v>0</v>
      </c>
      <c r="CZ837" s="161">
        <f t="shared" si="3279"/>
        <v>0</v>
      </c>
      <c r="DA837" s="161">
        <f t="shared" si="3280"/>
        <v>0</v>
      </c>
      <c r="DB837" s="161">
        <f t="shared" si="3281"/>
        <v>0</v>
      </c>
      <c r="DC837" s="161">
        <f t="shared" si="3282"/>
        <v>0</v>
      </c>
      <c r="DD837" s="161">
        <f t="shared" si="3283"/>
        <v>0</v>
      </c>
      <c r="DE837" s="161">
        <f t="shared" si="3284"/>
        <v>0</v>
      </c>
      <c r="DF837" s="161">
        <f t="shared" si="3285"/>
        <v>0</v>
      </c>
      <c r="DG837" s="161">
        <f t="shared" si="3286"/>
        <v>0</v>
      </c>
      <c r="DH837" s="161">
        <f t="shared" si="3287"/>
        <v>0</v>
      </c>
      <c r="DI837" s="161">
        <f t="shared" si="3288"/>
        <v>0</v>
      </c>
      <c r="DJ837" s="161">
        <f t="shared" si="3289"/>
        <v>0</v>
      </c>
      <c r="DK837" s="161">
        <f t="shared" si="3290"/>
        <v>0</v>
      </c>
      <c r="DL837" s="161">
        <f t="shared" si="3291"/>
        <v>0</v>
      </c>
      <c r="DM837" s="161">
        <f t="shared" si="3292"/>
        <v>0</v>
      </c>
      <c r="DN837" s="161">
        <f t="shared" si="3293"/>
        <v>0</v>
      </c>
      <c r="DO837" s="161">
        <f t="shared" si="3294"/>
        <v>0</v>
      </c>
      <c r="DP837" s="161">
        <f t="shared" si="3295"/>
        <v>0</v>
      </c>
      <c r="DQ837" s="161">
        <f t="shared" si="3296"/>
        <v>0</v>
      </c>
      <c r="DR837" s="161">
        <f t="shared" si="3297"/>
        <v>0</v>
      </c>
      <c r="DS837" s="161">
        <f t="shared" si="3298"/>
        <v>0</v>
      </c>
      <c r="DT837" s="161">
        <f t="shared" si="3299"/>
        <v>0</v>
      </c>
      <c r="DU837" s="161">
        <f t="shared" si="3300"/>
        <v>0</v>
      </c>
      <c r="DV837" s="161">
        <f t="shared" si="3301"/>
        <v>0</v>
      </c>
      <c r="DW837" s="161">
        <f t="shared" si="3302"/>
        <v>0</v>
      </c>
      <c r="DX837" s="161">
        <f t="shared" si="3303"/>
        <v>0</v>
      </c>
      <c r="DY837" s="161">
        <f t="shared" si="3304"/>
        <v>0</v>
      </c>
      <c r="DZ837" s="161">
        <f t="shared" si="3305"/>
        <v>0</v>
      </c>
      <c r="EA837" s="161">
        <f t="shared" si="3306"/>
        <v>0</v>
      </c>
      <c r="EB837" s="161">
        <f t="shared" si="3307"/>
        <v>0</v>
      </c>
      <c r="EC837" s="161">
        <f t="shared" si="3308"/>
        <v>0</v>
      </c>
      <c r="ED837" s="161">
        <f t="shared" si="3309"/>
        <v>0</v>
      </c>
      <c r="EE837" s="161">
        <f t="shared" si="3310"/>
        <v>0</v>
      </c>
      <c r="EF837" s="161">
        <f t="shared" si="3311"/>
        <v>0</v>
      </c>
      <c r="EG837" s="161">
        <f t="shared" si="3312"/>
        <v>0</v>
      </c>
      <c r="EH837" s="161">
        <f t="shared" si="3313"/>
        <v>0</v>
      </c>
      <c r="EI837" s="161">
        <f t="shared" si="3314"/>
        <v>0</v>
      </c>
    </row>
    <row r="838" spans="2:139" ht="12" customHeight="1" outlineLevel="1">
      <c r="B838" s="137" t="str">
        <f>IF(F838&gt;0,F838&amp;" - "&amp;D829,"")</f>
        <v/>
      </c>
      <c r="C838" s="65"/>
      <c r="D838" s="606"/>
      <c r="E838" s="65"/>
      <c r="F838" s="164"/>
      <c r="G838" s="165"/>
      <c r="H838" s="166">
        <f t="shared" si="3253"/>
        <v>0</v>
      </c>
      <c r="I838" s="144">
        <f t="shared" si="3254"/>
        <v>0</v>
      </c>
      <c r="J838" s="65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  <c r="AB838" s="167"/>
      <c r="AC838" s="167"/>
      <c r="AD838" s="167"/>
      <c r="AE838" s="167"/>
      <c r="AF838" s="167"/>
      <c r="AG838" s="167"/>
      <c r="AH838" s="167"/>
      <c r="AI838" s="167"/>
      <c r="AJ838" s="167"/>
      <c r="AK838" s="167"/>
      <c r="AL838" s="167"/>
      <c r="AM838" s="167"/>
      <c r="AN838" s="167"/>
      <c r="AO838" s="167"/>
      <c r="AP838" s="167"/>
      <c r="AQ838" s="167"/>
      <c r="AR838" s="167"/>
      <c r="AS838" s="167"/>
      <c r="AT838" s="167"/>
      <c r="AU838" s="167"/>
      <c r="AV838" s="167"/>
      <c r="AW838" s="167"/>
      <c r="AX838" s="167"/>
      <c r="AY838" s="167"/>
      <c r="AZ838" s="167"/>
      <c r="BA838" s="167"/>
      <c r="BB838" s="167"/>
      <c r="BC838" s="167"/>
      <c r="BD838" s="167"/>
      <c r="BE838" s="167"/>
      <c r="BF838" s="167"/>
      <c r="BG838" s="167"/>
      <c r="BH838" s="167"/>
      <c r="BI838" s="167"/>
      <c r="BJ838" s="167"/>
      <c r="BK838" s="167"/>
      <c r="BL838" s="167"/>
      <c r="BM838" s="167"/>
      <c r="BN838" s="167"/>
      <c r="BO838" s="167"/>
      <c r="BP838" s="167"/>
      <c r="BQ838" s="167"/>
      <c r="BR838" s="167"/>
      <c r="BS838" s="65"/>
      <c r="BT838" s="65"/>
      <c r="BU838" s="65"/>
      <c r="BV838" s="65"/>
      <c r="BW838" s="69"/>
      <c r="BX838" s="65"/>
      <c r="BY838" s="137">
        <f t="shared" si="3315"/>
        <v>0</v>
      </c>
      <c r="BZ838" s="137">
        <f>IF(BY838&gt;0,BY838+LARGE($BZ$757:BZ837,1),0)</f>
        <v>0</v>
      </c>
      <c r="CA838" s="137">
        <f t="shared" si="3316"/>
        <v>0</v>
      </c>
      <c r="CB838" s="161">
        <f t="shared" si="3255"/>
        <v>0</v>
      </c>
      <c r="CC838" s="161">
        <f t="shared" si="3256"/>
        <v>0</v>
      </c>
      <c r="CD838" s="161">
        <f t="shared" si="3257"/>
        <v>0</v>
      </c>
      <c r="CE838" s="161">
        <f t="shared" si="3258"/>
        <v>0</v>
      </c>
      <c r="CF838" s="161">
        <f t="shared" si="3259"/>
        <v>0</v>
      </c>
      <c r="CG838" s="161">
        <f t="shared" si="3260"/>
        <v>0</v>
      </c>
      <c r="CH838" s="161">
        <f t="shared" si="3261"/>
        <v>0</v>
      </c>
      <c r="CI838" s="161">
        <f t="shared" si="3262"/>
        <v>0</v>
      </c>
      <c r="CJ838" s="161">
        <f t="shared" si="3263"/>
        <v>0</v>
      </c>
      <c r="CK838" s="161">
        <f t="shared" si="3264"/>
        <v>0</v>
      </c>
      <c r="CL838" s="161">
        <f t="shared" si="3265"/>
        <v>0</v>
      </c>
      <c r="CM838" s="161">
        <f t="shared" si="3266"/>
        <v>0</v>
      </c>
      <c r="CN838" s="161">
        <f t="shared" si="3267"/>
        <v>0</v>
      </c>
      <c r="CO838" s="161">
        <f t="shared" si="3268"/>
        <v>0</v>
      </c>
      <c r="CP838" s="161">
        <f t="shared" si="3269"/>
        <v>0</v>
      </c>
      <c r="CQ838" s="161">
        <f t="shared" si="3270"/>
        <v>0</v>
      </c>
      <c r="CR838" s="161">
        <f t="shared" si="3271"/>
        <v>0</v>
      </c>
      <c r="CS838" s="161">
        <f t="shared" si="3272"/>
        <v>0</v>
      </c>
      <c r="CT838" s="161">
        <f t="shared" si="3273"/>
        <v>0</v>
      </c>
      <c r="CU838" s="161">
        <f t="shared" si="3274"/>
        <v>0</v>
      </c>
      <c r="CV838" s="161">
        <f t="shared" si="3275"/>
        <v>0</v>
      </c>
      <c r="CW838" s="161">
        <f t="shared" si="3276"/>
        <v>0</v>
      </c>
      <c r="CX838" s="161">
        <f t="shared" si="3277"/>
        <v>0</v>
      </c>
      <c r="CY838" s="161">
        <f t="shared" si="3278"/>
        <v>0</v>
      </c>
      <c r="CZ838" s="161">
        <f t="shared" si="3279"/>
        <v>0</v>
      </c>
      <c r="DA838" s="161">
        <f t="shared" si="3280"/>
        <v>0</v>
      </c>
      <c r="DB838" s="161">
        <f t="shared" si="3281"/>
        <v>0</v>
      </c>
      <c r="DC838" s="161">
        <f t="shared" si="3282"/>
        <v>0</v>
      </c>
      <c r="DD838" s="161">
        <f t="shared" si="3283"/>
        <v>0</v>
      </c>
      <c r="DE838" s="161">
        <f t="shared" si="3284"/>
        <v>0</v>
      </c>
      <c r="DF838" s="161">
        <f t="shared" si="3285"/>
        <v>0</v>
      </c>
      <c r="DG838" s="161">
        <f t="shared" si="3286"/>
        <v>0</v>
      </c>
      <c r="DH838" s="161">
        <f t="shared" si="3287"/>
        <v>0</v>
      </c>
      <c r="DI838" s="161">
        <f t="shared" si="3288"/>
        <v>0</v>
      </c>
      <c r="DJ838" s="161">
        <f t="shared" si="3289"/>
        <v>0</v>
      </c>
      <c r="DK838" s="161">
        <f t="shared" si="3290"/>
        <v>0</v>
      </c>
      <c r="DL838" s="161">
        <f t="shared" si="3291"/>
        <v>0</v>
      </c>
      <c r="DM838" s="161">
        <f t="shared" si="3292"/>
        <v>0</v>
      </c>
      <c r="DN838" s="161">
        <f t="shared" si="3293"/>
        <v>0</v>
      </c>
      <c r="DO838" s="161">
        <f t="shared" si="3294"/>
        <v>0</v>
      </c>
      <c r="DP838" s="161">
        <f t="shared" si="3295"/>
        <v>0</v>
      </c>
      <c r="DQ838" s="161">
        <f t="shared" si="3296"/>
        <v>0</v>
      </c>
      <c r="DR838" s="161">
        <f t="shared" si="3297"/>
        <v>0</v>
      </c>
      <c r="DS838" s="161">
        <f t="shared" si="3298"/>
        <v>0</v>
      </c>
      <c r="DT838" s="161">
        <f t="shared" si="3299"/>
        <v>0</v>
      </c>
      <c r="DU838" s="161">
        <f t="shared" si="3300"/>
        <v>0</v>
      </c>
      <c r="DV838" s="161">
        <f t="shared" si="3301"/>
        <v>0</v>
      </c>
      <c r="DW838" s="161">
        <f t="shared" si="3302"/>
        <v>0</v>
      </c>
      <c r="DX838" s="161">
        <f t="shared" si="3303"/>
        <v>0</v>
      </c>
      <c r="DY838" s="161">
        <f t="shared" si="3304"/>
        <v>0</v>
      </c>
      <c r="DZ838" s="161">
        <f t="shared" si="3305"/>
        <v>0</v>
      </c>
      <c r="EA838" s="161">
        <f t="shared" si="3306"/>
        <v>0</v>
      </c>
      <c r="EB838" s="161">
        <f t="shared" si="3307"/>
        <v>0</v>
      </c>
      <c r="EC838" s="161">
        <f t="shared" si="3308"/>
        <v>0</v>
      </c>
      <c r="ED838" s="161">
        <f t="shared" si="3309"/>
        <v>0</v>
      </c>
      <c r="EE838" s="161">
        <f t="shared" si="3310"/>
        <v>0</v>
      </c>
      <c r="EF838" s="161">
        <f t="shared" si="3311"/>
        <v>0</v>
      </c>
      <c r="EG838" s="161">
        <f t="shared" si="3312"/>
        <v>0</v>
      </c>
      <c r="EH838" s="161">
        <f t="shared" si="3313"/>
        <v>0</v>
      </c>
      <c r="EI838" s="161">
        <f t="shared" si="3314"/>
        <v>0</v>
      </c>
    </row>
    <row r="839" spans="2:139" ht="6" customHeight="1" outlineLevel="1"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  <c r="AM839" s="65"/>
      <c r="AN839" s="65"/>
      <c r="AO839" s="65"/>
      <c r="AP839" s="65"/>
      <c r="AQ839" s="65"/>
      <c r="AR839" s="65"/>
      <c r="AS839" s="65"/>
      <c r="AT839" s="65"/>
      <c r="AU839" s="65"/>
      <c r="AV839" s="65"/>
      <c r="AW839" s="65"/>
      <c r="AX839" s="65"/>
      <c r="AY839" s="65"/>
      <c r="AZ839" s="65"/>
      <c r="BA839" s="65"/>
      <c r="BB839" s="65"/>
      <c r="BC839" s="65"/>
      <c r="BD839" s="65"/>
      <c r="BE839" s="65"/>
      <c r="BF839" s="65"/>
      <c r="BG839" s="65"/>
      <c r="BH839" s="65"/>
      <c r="BI839" s="65"/>
      <c r="BJ839" s="65"/>
      <c r="BK839" s="65"/>
      <c r="BL839" s="65"/>
      <c r="BM839" s="65"/>
      <c r="BN839" s="65"/>
      <c r="BO839" s="65"/>
      <c r="BP839" s="65"/>
      <c r="BQ839" s="65"/>
      <c r="BR839" s="65"/>
      <c r="BS839" s="65"/>
      <c r="BT839" s="65"/>
      <c r="BU839" s="65"/>
      <c r="BV839" s="65"/>
      <c r="BW839" s="69"/>
      <c r="BX839" s="65"/>
      <c r="BY839" s="65"/>
      <c r="BZ839" s="65"/>
      <c r="CA839" s="65"/>
      <c r="CB839" s="65"/>
      <c r="CC839" s="65"/>
      <c r="CD839" s="65"/>
      <c r="CE839" s="65"/>
      <c r="CF839" s="65"/>
      <c r="CG839" s="65"/>
      <c r="CH839" s="65"/>
      <c r="CI839" s="65"/>
      <c r="CJ839" s="65"/>
      <c r="CK839" s="65"/>
      <c r="CL839" s="65"/>
      <c r="CM839" s="65"/>
      <c r="CN839" s="65"/>
      <c r="CO839" s="65"/>
      <c r="CP839" s="65"/>
      <c r="CQ839" s="65"/>
      <c r="CR839" s="65"/>
      <c r="CS839" s="65"/>
      <c r="CT839" s="65"/>
      <c r="CU839" s="65"/>
      <c r="CV839" s="65"/>
      <c r="CW839" s="65"/>
      <c r="CX839" s="65"/>
      <c r="CY839" s="65"/>
      <c r="CZ839" s="65"/>
      <c r="DA839" s="65"/>
      <c r="DB839" s="65"/>
      <c r="DC839" s="65"/>
      <c r="DD839" s="65"/>
      <c r="DE839" s="65"/>
      <c r="DF839" s="65"/>
      <c r="DG839" s="65"/>
      <c r="DH839" s="65"/>
      <c r="DI839" s="65"/>
      <c r="DJ839" s="65"/>
      <c r="DK839" s="65"/>
      <c r="DL839" s="65"/>
      <c r="DM839" s="65"/>
      <c r="DN839" s="65"/>
      <c r="DO839" s="65"/>
      <c r="DP839" s="65"/>
      <c r="DQ839" s="65"/>
      <c r="DR839" s="65"/>
      <c r="DS839" s="65"/>
      <c r="DT839" s="65"/>
      <c r="DU839" s="65"/>
      <c r="DV839" s="65"/>
      <c r="DW839" s="65"/>
      <c r="DX839" s="65"/>
      <c r="DY839" s="65"/>
      <c r="DZ839" s="65"/>
      <c r="EA839" s="65"/>
      <c r="EB839" s="65"/>
      <c r="EC839" s="65"/>
      <c r="ED839" s="65"/>
      <c r="EE839" s="65"/>
      <c r="EF839" s="65"/>
      <c r="EG839" s="65"/>
      <c r="EH839" s="65"/>
      <c r="EI839" s="65"/>
    </row>
    <row r="840" spans="2:139" ht="12" customHeight="1" outlineLevel="1">
      <c r="B840" s="137" t="str">
        <f>IF(F840&gt;0,F840&amp;" - "&amp;D840,"")</f>
        <v/>
      </c>
      <c r="C840" s="65"/>
      <c r="D840" s="604" t="s">
        <v>536</v>
      </c>
      <c r="E840" s="65"/>
      <c r="F840" s="164"/>
      <c r="G840" s="165"/>
      <c r="H840" s="166">
        <f t="shared" ref="H840:H849" si="3317">IFERROR(SUM(K840:BR840)/COUNTIF(K840:BR840,"&gt;0"),0)</f>
        <v>0</v>
      </c>
      <c r="I840" s="144">
        <f t="shared" ref="I840:I849" si="3318">COUNTIF(K840:BR840,"&gt;0")</f>
        <v>0</v>
      </c>
      <c r="J840" s="65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  <c r="AB840" s="167"/>
      <c r="AC840" s="167"/>
      <c r="AD840" s="167"/>
      <c r="AE840" s="167"/>
      <c r="AF840" s="167"/>
      <c r="AG840" s="167"/>
      <c r="AH840" s="167"/>
      <c r="AI840" s="167"/>
      <c r="AJ840" s="167"/>
      <c r="AK840" s="167"/>
      <c r="AL840" s="167"/>
      <c r="AM840" s="167"/>
      <c r="AN840" s="167"/>
      <c r="AO840" s="167"/>
      <c r="AP840" s="167"/>
      <c r="AQ840" s="167"/>
      <c r="AR840" s="167"/>
      <c r="AS840" s="167"/>
      <c r="AT840" s="167"/>
      <c r="AU840" s="167"/>
      <c r="AV840" s="167"/>
      <c r="AW840" s="167"/>
      <c r="AX840" s="167"/>
      <c r="AY840" s="167"/>
      <c r="AZ840" s="167"/>
      <c r="BA840" s="167"/>
      <c r="BB840" s="167"/>
      <c r="BC840" s="167"/>
      <c r="BD840" s="167"/>
      <c r="BE840" s="167"/>
      <c r="BF840" s="167"/>
      <c r="BG840" s="167"/>
      <c r="BH840" s="167"/>
      <c r="BI840" s="167"/>
      <c r="BJ840" s="167"/>
      <c r="BK840" s="167"/>
      <c r="BL840" s="167"/>
      <c r="BM840" s="167"/>
      <c r="BN840" s="167"/>
      <c r="BO840" s="167"/>
      <c r="BP840" s="167"/>
      <c r="BQ840" s="167"/>
      <c r="BR840" s="167"/>
      <c r="BS840" s="65"/>
      <c r="BT840" s="65"/>
      <c r="BU840" s="65"/>
      <c r="BV840" s="65"/>
      <c r="BW840" s="69"/>
      <c r="BX840" s="65"/>
      <c r="BY840" s="137">
        <f t="shared" si="3315"/>
        <v>0</v>
      </c>
      <c r="BZ840" s="137">
        <f>IF(BY840&gt;0,BY840+LARGE($BZ$757:BZ839,1),0)</f>
        <v>0</v>
      </c>
      <c r="CA840" s="137">
        <f t="shared" si="3316"/>
        <v>0</v>
      </c>
      <c r="CB840" s="161">
        <f t="shared" si="3255"/>
        <v>0</v>
      </c>
      <c r="CC840" s="161">
        <f t="shared" si="3256"/>
        <v>0</v>
      </c>
      <c r="CD840" s="161">
        <f t="shared" si="3257"/>
        <v>0</v>
      </c>
      <c r="CE840" s="161">
        <f t="shared" si="3258"/>
        <v>0</v>
      </c>
      <c r="CF840" s="161">
        <f t="shared" si="3259"/>
        <v>0</v>
      </c>
      <c r="CG840" s="161">
        <f t="shared" si="3260"/>
        <v>0</v>
      </c>
      <c r="CH840" s="161">
        <f t="shared" si="3261"/>
        <v>0</v>
      </c>
      <c r="CI840" s="161">
        <f t="shared" si="3262"/>
        <v>0</v>
      </c>
      <c r="CJ840" s="161">
        <f t="shared" si="3263"/>
        <v>0</v>
      </c>
      <c r="CK840" s="161">
        <f t="shared" si="3264"/>
        <v>0</v>
      </c>
      <c r="CL840" s="161">
        <f t="shared" si="3265"/>
        <v>0</v>
      </c>
      <c r="CM840" s="161">
        <f t="shared" si="3266"/>
        <v>0</v>
      </c>
      <c r="CN840" s="161">
        <f t="shared" si="3267"/>
        <v>0</v>
      </c>
      <c r="CO840" s="161">
        <f t="shared" si="3268"/>
        <v>0</v>
      </c>
      <c r="CP840" s="161">
        <f t="shared" si="3269"/>
        <v>0</v>
      </c>
      <c r="CQ840" s="161">
        <f t="shared" si="3270"/>
        <v>0</v>
      </c>
      <c r="CR840" s="161">
        <f t="shared" si="3271"/>
        <v>0</v>
      </c>
      <c r="CS840" s="161">
        <f t="shared" si="3272"/>
        <v>0</v>
      </c>
      <c r="CT840" s="161">
        <f t="shared" si="3273"/>
        <v>0</v>
      </c>
      <c r="CU840" s="161">
        <f t="shared" si="3274"/>
        <v>0</v>
      </c>
      <c r="CV840" s="161">
        <f t="shared" si="3275"/>
        <v>0</v>
      </c>
      <c r="CW840" s="161">
        <f t="shared" si="3276"/>
        <v>0</v>
      </c>
      <c r="CX840" s="161">
        <f t="shared" si="3277"/>
        <v>0</v>
      </c>
      <c r="CY840" s="161">
        <f t="shared" si="3278"/>
        <v>0</v>
      </c>
      <c r="CZ840" s="161">
        <f t="shared" si="3279"/>
        <v>0</v>
      </c>
      <c r="DA840" s="161">
        <f t="shared" si="3280"/>
        <v>0</v>
      </c>
      <c r="DB840" s="161">
        <f t="shared" si="3281"/>
        <v>0</v>
      </c>
      <c r="DC840" s="161">
        <f t="shared" si="3282"/>
        <v>0</v>
      </c>
      <c r="DD840" s="161">
        <f t="shared" si="3283"/>
        <v>0</v>
      </c>
      <c r="DE840" s="161">
        <f t="shared" si="3284"/>
        <v>0</v>
      </c>
      <c r="DF840" s="161">
        <f t="shared" si="3285"/>
        <v>0</v>
      </c>
      <c r="DG840" s="161">
        <f t="shared" si="3286"/>
        <v>0</v>
      </c>
      <c r="DH840" s="161">
        <f t="shared" si="3287"/>
        <v>0</v>
      </c>
      <c r="DI840" s="161">
        <f t="shared" si="3288"/>
        <v>0</v>
      </c>
      <c r="DJ840" s="161">
        <f t="shared" si="3289"/>
        <v>0</v>
      </c>
      <c r="DK840" s="161">
        <f t="shared" si="3290"/>
        <v>0</v>
      </c>
      <c r="DL840" s="161">
        <f t="shared" si="3291"/>
        <v>0</v>
      </c>
      <c r="DM840" s="161">
        <f t="shared" si="3292"/>
        <v>0</v>
      </c>
      <c r="DN840" s="161">
        <f t="shared" si="3293"/>
        <v>0</v>
      </c>
      <c r="DO840" s="161">
        <f t="shared" si="3294"/>
        <v>0</v>
      </c>
      <c r="DP840" s="161">
        <f t="shared" si="3295"/>
        <v>0</v>
      </c>
      <c r="DQ840" s="161">
        <f t="shared" si="3296"/>
        <v>0</v>
      </c>
      <c r="DR840" s="161">
        <f t="shared" si="3297"/>
        <v>0</v>
      </c>
      <c r="DS840" s="161">
        <f t="shared" si="3298"/>
        <v>0</v>
      </c>
      <c r="DT840" s="161">
        <f t="shared" si="3299"/>
        <v>0</v>
      </c>
      <c r="DU840" s="161">
        <f t="shared" si="3300"/>
        <v>0</v>
      </c>
      <c r="DV840" s="161">
        <f t="shared" si="3301"/>
        <v>0</v>
      </c>
      <c r="DW840" s="161">
        <f t="shared" si="3302"/>
        <v>0</v>
      </c>
      <c r="DX840" s="161">
        <f t="shared" si="3303"/>
        <v>0</v>
      </c>
      <c r="DY840" s="161">
        <f t="shared" si="3304"/>
        <v>0</v>
      </c>
      <c r="DZ840" s="161">
        <f t="shared" si="3305"/>
        <v>0</v>
      </c>
      <c r="EA840" s="161">
        <f t="shared" si="3306"/>
        <v>0</v>
      </c>
      <c r="EB840" s="161">
        <f t="shared" si="3307"/>
        <v>0</v>
      </c>
      <c r="EC840" s="161">
        <f t="shared" si="3308"/>
        <v>0</v>
      </c>
      <c r="ED840" s="161">
        <f t="shared" si="3309"/>
        <v>0</v>
      </c>
      <c r="EE840" s="161">
        <f t="shared" si="3310"/>
        <v>0</v>
      </c>
      <c r="EF840" s="161">
        <f t="shared" si="3311"/>
        <v>0</v>
      </c>
      <c r="EG840" s="161">
        <f t="shared" si="3312"/>
        <v>0</v>
      </c>
      <c r="EH840" s="161">
        <f t="shared" si="3313"/>
        <v>0</v>
      </c>
      <c r="EI840" s="161">
        <f t="shared" si="3314"/>
        <v>0</v>
      </c>
    </row>
    <row r="841" spans="2:139" ht="12" customHeight="1" outlineLevel="1">
      <c r="B841" s="137" t="str">
        <f>IF(F841&gt;0,F841&amp;" - "&amp;D840,"")</f>
        <v/>
      </c>
      <c r="C841" s="65"/>
      <c r="D841" s="605"/>
      <c r="E841" s="65"/>
      <c r="F841" s="164"/>
      <c r="G841" s="165"/>
      <c r="H841" s="166">
        <f t="shared" si="3317"/>
        <v>0</v>
      </c>
      <c r="I841" s="144">
        <f t="shared" si="3318"/>
        <v>0</v>
      </c>
      <c r="J841" s="65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  <c r="AB841" s="167"/>
      <c r="AC841" s="167"/>
      <c r="AD841" s="167"/>
      <c r="AE841" s="167"/>
      <c r="AF841" s="167"/>
      <c r="AG841" s="167"/>
      <c r="AH841" s="167"/>
      <c r="AI841" s="167"/>
      <c r="AJ841" s="167"/>
      <c r="AK841" s="167"/>
      <c r="AL841" s="167"/>
      <c r="AM841" s="167"/>
      <c r="AN841" s="167"/>
      <c r="AO841" s="167"/>
      <c r="AP841" s="167"/>
      <c r="AQ841" s="167"/>
      <c r="AR841" s="167"/>
      <c r="AS841" s="167"/>
      <c r="AT841" s="167"/>
      <c r="AU841" s="167"/>
      <c r="AV841" s="167"/>
      <c r="AW841" s="167"/>
      <c r="AX841" s="167"/>
      <c r="AY841" s="167"/>
      <c r="AZ841" s="167"/>
      <c r="BA841" s="167"/>
      <c r="BB841" s="167"/>
      <c r="BC841" s="167"/>
      <c r="BD841" s="167"/>
      <c r="BE841" s="167"/>
      <c r="BF841" s="167"/>
      <c r="BG841" s="167"/>
      <c r="BH841" s="167"/>
      <c r="BI841" s="167"/>
      <c r="BJ841" s="167"/>
      <c r="BK841" s="167"/>
      <c r="BL841" s="167"/>
      <c r="BM841" s="167"/>
      <c r="BN841" s="167"/>
      <c r="BO841" s="167"/>
      <c r="BP841" s="167"/>
      <c r="BQ841" s="167"/>
      <c r="BR841" s="167"/>
      <c r="BS841" s="65"/>
      <c r="BT841" s="65"/>
      <c r="BU841" s="65"/>
      <c r="BV841" s="65"/>
      <c r="BW841" s="69"/>
      <c r="BX841" s="65"/>
      <c r="BY841" s="137">
        <f t="shared" si="3315"/>
        <v>0</v>
      </c>
      <c r="BZ841" s="137">
        <f>IF(BY841&gt;0,BY841+LARGE($BZ$757:BZ840,1),0)</f>
        <v>0</v>
      </c>
      <c r="CA841" s="137">
        <f t="shared" si="3316"/>
        <v>0</v>
      </c>
      <c r="CB841" s="161">
        <f t="shared" si="3255"/>
        <v>0</v>
      </c>
      <c r="CC841" s="161">
        <f t="shared" si="3256"/>
        <v>0</v>
      </c>
      <c r="CD841" s="161">
        <f t="shared" si="3257"/>
        <v>0</v>
      </c>
      <c r="CE841" s="161">
        <f t="shared" si="3258"/>
        <v>0</v>
      </c>
      <c r="CF841" s="161">
        <f t="shared" si="3259"/>
        <v>0</v>
      </c>
      <c r="CG841" s="161">
        <f t="shared" si="3260"/>
        <v>0</v>
      </c>
      <c r="CH841" s="161">
        <f t="shared" si="3261"/>
        <v>0</v>
      </c>
      <c r="CI841" s="161">
        <f t="shared" si="3262"/>
        <v>0</v>
      </c>
      <c r="CJ841" s="161">
        <f t="shared" si="3263"/>
        <v>0</v>
      </c>
      <c r="CK841" s="161">
        <f t="shared" si="3264"/>
        <v>0</v>
      </c>
      <c r="CL841" s="161">
        <f t="shared" si="3265"/>
        <v>0</v>
      </c>
      <c r="CM841" s="161">
        <f t="shared" si="3266"/>
        <v>0</v>
      </c>
      <c r="CN841" s="161">
        <f t="shared" si="3267"/>
        <v>0</v>
      </c>
      <c r="CO841" s="161">
        <f t="shared" si="3268"/>
        <v>0</v>
      </c>
      <c r="CP841" s="161">
        <f t="shared" si="3269"/>
        <v>0</v>
      </c>
      <c r="CQ841" s="161">
        <f t="shared" si="3270"/>
        <v>0</v>
      </c>
      <c r="CR841" s="161">
        <f t="shared" si="3271"/>
        <v>0</v>
      </c>
      <c r="CS841" s="161">
        <f t="shared" si="3272"/>
        <v>0</v>
      </c>
      <c r="CT841" s="161">
        <f t="shared" si="3273"/>
        <v>0</v>
      </c>
      <c r="CU841" s="161">
        <f t="shared" si="3274"/>
        <v>0</v>
      </c>
      <c r="CV841" s="161">
        <f t="shared" si="3275"/>
        <v>0</v>
      </c>
      <c r="CW841" s="161">
        <f t="shared" si="3276"/>
        <v>0</v>
      </c>
      <c r="CX841" s="161">
        <f t="shared" si="3277"/>
        <v>0</v>
      </c>
      <c r="CY841" s="161">
        <f t="shared" si="3278"/>
        <v>0</v>
      </c>
      <c r="CZ841" s="161">
        <f t="shared" si="3279"/>
        <v>0</v>
      </c>
      <c r="DA841" s="161">
        <f t="shared" si="3280"/>
        <v>0</v>
      </c>
      <c r="DB841" s="161">
        <f t="shared" si="3281"/>
        <v>0</v>
      </c>
      <c r="DC841" s="161">
        <f t="shared" si="3282"/>
        <v>0</v>
      </c>
      <c r="DD841" s="161">
        <f t="shared" si="3283"/>
        <v>0</v>
      </c>
      <c r="DE841" s="161">
        <f t="shared" si="3284"/>
        <v>0</v>
      </c>
      <c r="DF841" s="161">
        <f t="shared" si="3285"/>
        <v>0</v>
      </c>
      <c r="DG841" s="161">
        <f t="shared" si="3286"/>
        <v>0</v>
      </c>
      <c r="DH841" s="161">
        <f t="shared" si="3287"/>
        <v>0</v>
      </c>
      <c r="DI841" s="161">
        <f t="shared" si="3288"/>
        <v>0</v>
      </c>
      <c r="DJ841" s="161">
        <f t="shared" si="3289"/>
        <v>0</v>
      </c>
      <c r="DK841" s="161">
        <f t="shared" si="3290"/>
        <v>0</v>
      </c>
      <c r="DL841" s="161">
        <f t="shared" si="3291"/>
        <v>0</v>
      </c>
      <c r="DM841" s="161">
        <f t="shared" si="3292"/>
        <v>0</v>
      </c>
      <c r="DN841" s="161">
        <f t="shared" si="3293"/>
        <v>0</v>
      </c>
      <c r="DO841" s="161">
        <f t="shared" si="3294"/>
        <v>0</v>
      </c>
      <c r="DP841" s="161">
        <f t="shared" si="3295"/>
        <v>0</v>
      </c>
      <c r="DQ841" s="161">
        <f t="shared" si="3296"/>
        <v>0</v>
      </c>
      <c r="DR841" s="161">
        <f t="shared" si="3297"/>
        <v>0</v>
      </c>
      <c r="DS841" s="161">
        <f t="shared" si="3298"/>
        <v>0</v>
      </c>
      <c r="DT841" s="161">
        <f t="shared" si="3299"/>
        <v>0</v>
      </c>
      <c r="DU841" s="161">
        <f t="shared" si="3300"/>
        <v>0</v>
      </c>
      <c r="DV841" s="161">
        <f t="shared" si="3301"/>
        <v>0</v>
      </c>
      <c r="DW841" s="161">
        <f t="shared" si="3302"/>
        <v>0</v>
      </c>
      <c r="DX841" s="161">
        <f t="shared" si="3303"/>
        <v>0</v>
      </c>
      <c r="DY841" s="161">
        <f t="shared" si="3304"/>
        <v>0</v>
      </c>
      <c r="DZ841" s="161">
        <f t="shared" si="3305"/>
        <v>0</v>
      </c>
      <c r="EA841" s="161">
        <f t="shared" si="3306"/>
        <v>0</v>
      </c>
      <c r="EB841" s="161">
        <f t="shared" si="3307"/>
        <v>0</v>
      </c>
      <c r="EC841" s="161">
        <f t="shared" si="3308"/>
        <v>0</v>
      </c>
      <c r="ED841" s="161">
        <f t="shared" si="3309"/>
        <v>0</v>
      </c>
      <c r="EE841" s="161">
        <f t="shared" si="3310"/>
        <v>0</v>
      </c>
      <c r="EF841" s="161">
        <f t="shared" si="3311"/>
        <v>0</v>
      </c>
      <c r="EG841" s="161">
        <f t="shared" si="3312"/>
        <v>0</v>
      </c>
      <c r="EH841" s="161">
        <f t="shared" si="3313"/>
        <v>0</v>
      </c>
      <c r="EI841" s="161">
        <f t="shared" si="3314"/>
        <v>0</v>
      </c>
    </row>
    <row r="842" spans="2:139" ht="12" customHeight="1" outlineLevel="1">
      <c r="B842" s="137" t="str">
        <f>IF(F842&gt;0,F842&amp;" - "&amp;D840,"")</f>
        <v/>
      </c>
      <c r="C842" s="65"/>
      <c r="D842" s="605"/>
      <c r="E842" s="65"/>
      <c r="F842" s="164"/>
      <c r="G842" s="165"/>
      <c r="H842" s="166">
        <f t="shared" si="3317"/>
        <v>0</v>
      </c>
      <c r="I842" s="144">
        <f t="shared" si="3318"/>
        <v>0</v>
      </c>
      <c r="J842" s="65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  <c r="AB842" s="167"/>
      <c r="AC842" s="167"/>
      <c r="AD842" s="167"/>
      <c r="AE842" s="167"/>
      <c r="AF842" s="167"/>
      <c r="AG842" s="167"/>
      <c r="AH842" s="167"/>
      <c r="AI842" s="167"/>
      <c r="AJ842" s="167"/>
      <c r="AK842" s="167"/>
      <c r="AL842" s="167"/>
      <c r="AM842" s="167"/>
      <c r="AN842" s="167"/>
      <c r="AO842" s="167"/>
      <c r="AP842" s="167"/>
      <c r="AQ842" s="167"/>
      <c r="AR842" s="167"/>
      <c r="AS842" s="167"/>
      <c r="AT842" s="167"/>
      <c r="AU842" s="167"/>
      <c r="AV842" s="167"/>
      <c r="AW842" s="167"/>
      <c r="AX842" s="167"/>
      <c r="AY842" s="167"/>
      <c r="AZ842" s="167"/>
      <c r="BA842" s="167"/>
      <c r="BB842" s="167"/>
      <c r="BC842" s="167"/>
      <c r="BD842" s="167"/>
      <c r="BE842" s="167"/>
      <c r="BF842" s="167"/>
      <c r="BG842" s="167"/>
      <c r="BH842" s="167"/>
      <c r="BI842" s="167"/>
      <c r="BJ842" s="167"/>
      <c r="BK842" s="167"/>
      <c r="BL842" s="167"/>
      <c r="BM842" s="167"/>
      <c r="BN842" s="167"/>
      <c r="BO842" s="167"/>
      <c r="BP842" s="167"/>
      <c r="BQ842" s="167"/>
      <c r="BR842" s="167"/>
      <c r="BS842" s="65"/>
      <c r="BT842" s="65"/>
      <c r="BU842" s="65"/>
      <c r="BV842" s="65"/>
      <c r="BW842" s="69"/>
      <c r="BX842" s="65"/>
      <c r="BY842" s="137">
        <f t="shared" si="3315"/>
        <v>0</v>
      </c>
      <c r="BZ842" s="137">
        <f>IF(BY842&gt;0,BY842+LARGE($BZ$757:BZ841,1),0)</f>
        <v>0</v>
      </c>
      <c r="CA842" s="137">
        <f t="shared" si="3316"/>
        <v>0</v>
      </c>
      <c r="CB842" s="161">
        <f t="shared" si="3255"/>
        <v>0</v>
      </c>
      <c r="CC842" s="161">
        <f t="shared" si="3256"/>
        <v>0</v>
      </c>
      <c r="CD842" s="161">
        <f t="shared" si="3257"/>
        <v>0</v>
      </c>
      <c r="CE842" s="161">
        <f t="shared" si="3258"/>
        <v>0</v>
      </c>
      <c r="CF842" s="161">
        <f t="shared" si="3259"/>
        <v>0</v>
      </c>
      <c r="CG842" s="161">
        <f t="shared" si="3260"/>
        <v>0</v>
      </c>
      <c r="CH842" s="161">
        <f t="shared" si="3261"/>
        <v>0</v>
      </c>
      <c r="CI842" s="161">
        <f t="shared" si="3262"/>
        <v>0</v>
      </c>
      <c r="CJ842" s="161">
        <f t="shared" si="3263"/>
        <v>0</v>
      </c>
      <c r="CK842" s="161">
        <f t="shared" si="3264"/>
        <v>0</v>
      </c>
      <c r="CL842" s="161">
        <f t="shared" si="3265"/>
        <v>0</v>
      </c>
      <c r="CM842" s="161">
        <f t="shared" si="3266"/>
        <v>0</v>
      </c>
      <c r="CN842" s="161">
        <f t="shared" si="3267"/>
        <v>0</v>
      </c>
      <c r="CO842" s="161">
        <f t="shared" si="3268"/>
        <v>0</v>
      </c>
      <c r="CP842" s="161">
        <f t="shared" si="3269"/>
        <v>0</v>
      </c>
      <c r="CQ842" s="161">
        <f t="shared" si="3270"/>
        <v>0</v>
      </c>
      <c r="CR842" s="161">
        <f t="shared" si="3271"/>
        <v>0</v>
      </c>
      <c r="CS842" s="161">
        <f t="shared" si="3272"/>
        <v>0</v>
      </c>
      <c r="CT842" s="161">
        <f t="shared" si="3273"/>
        <v>0</v>
      </c>
      <c r="CU842" s="161">
        <f t="shared" si="3274"/>
        <v>0</v>
      </c>
      <c r="CV842" s="161">
        <f t="shared" si="3275"/>
        <v>0</v>
      </c>
      <c r="CW842" s="161">
        <f t="shared" si="3276"/>
        <v>0</v>
      </c>
      <c r="CX842" s="161">
        <f t="shared" si="3277"/>
        <v>0</v>
      </c>
      <c r="CY842" s="161">
        <f t="shared" si="3278"/>
        <v>0</v>
      </c>
      <c r="CZ842" s="161">
        <f t="shared" si="3279"/>
        <v>0</v>
      </c>
      <c r="DA842" s="161">
        <f t="shared" si="3280"/>
        <v>0</v>
      </c>
      <c r="DB842" s="161">
        <f t="shared" si="3281"/>
        <v>0</v>
      </c>
      <c r="DC842" s="161">
        <f t="shared" si="3282"/>
        <v>0</v>
      </c>
      <c r="DD842" s="161">
        <f t="shared" si="3283"/>
        <v>0</v>
      </c>
      <c r="DE842" s="161">
        <f t="shared" si="3284"/>
        <v>0</v>
      </c>
      <c r="DF842" s="161">
        <f t="shared" si="3285"/>
        <v>0</v>
      </c>
      <c r="DG842" s="161">
        <f t="shared" si="3286"/>
        <v>0</v>
      </c>
      <c r="DH842" s="161">
        <f t="shared" si="3287"/>
        <v>0</v>
      </c>
      <c r="DI842" s="161">
        <f t="shared" si="3288"/>
        <v>0</v>
      </c>
      <c r="DJ842" s="161">
        <f t="shared" si="3289"/>
        <v>0</v>
      </c>
      <c r="DK842" s="161">
        <f t="shared" si="3290"/>
        <v>0</v>
      </c>
      <c r="DL842" s="161">
        <f t="shared" si="3291"/>
        <v>0</v>
      </c>
      <c r="DM842" s="161">
        <f t="shared" si="3292"/>
        <v>0</v>
      </c>
      <c r="DN842" s="161">
        <f t="shared" si="3293"/>
        <v>0</v>
      </c>
      <c r="DO842" s="161">
        <f t="shared" si="3294"/>
        <v>0</v>
      </c>
      <c r="DP842" s="161">
        <f t="shared" si="3295"/>
        <v>0</v>
      </c>
      <c r="DQ842" s="161">
        <f t="shared" si="3296"/>
        <v>0</v>
      </c>
      <c r="DR842" s="161">
        <f t="shared" si="3297"/>
        <v>0</v>
      </c>
      <c r="DS842" s="161">
        <f t="shared" si="3298"/>
        <v>0</v>
      </c>
      <c r="DT842" s="161">
        <f t="shared" si="3299"/>
        <v>0</v>
      </c>
      <c r="DU842" s="161">
        <f t="shared" si="3300"/>
        <v>0</v>
      </c>
      <c r="DV842" s="161">
        <f t="shared" si="3301"/>
        <v>0</v>
      </c>
      <c r="DW842" s="161">
        <f t="shared" si="3302"/>
        <v>0</v>
      </c>
      <c r="DX842" s="161">
        <f t="shared" si="3303"/>
        <v>0</v>
      </c>
      <c r="DY842" s="161">
        <f t="shared" si="3304"/>
        <v>0</v>
      </c>
      <c r="DZ842" s="161">
        <f t="shared" si="3305"/>
        <v>0</v>
      </c>
      <c r="EA842" s="161">
        <f t="shared" si="3306"/>
        <v>0</v>
      </c>
      <c r="EB842" s="161">
        <f t="shared" si="3307"/>
        <v>0</v>
      </c>
      <c r="EC842" s="161">
        <f t="shared" si="3308"/>
        <v>0</v>
      </c>
      <c r="ED842" s="161">
        <f t="shared" si="3309"/>
        <v>0</v>
      </c>
      <c r="EE842" s="161">
        <f t="shared" si="3310"/>
        <v>0</v>
      </c>
      <c r="EF842" s="161">
        <f t="shared" si="3311"/>
        <v>0</v>
      </c>
      <c r="EG842" s="161">
        <f t="shared" si="3312"/>
        <v>0</v>
      </c>
      <c r="EH842" s="161">
        <f t="shared" si="3313"/>
        <v>0</v>
      </c>
      <c r="EI842" s="161">
        <f t="shared" si="3314"/>
        <v>0</v>
      </c>
    </row>
    <row r="843" spans="2:139" ht="12" customHeight="1" outlineLevel="1">
      <c r="B843" s="137" t="str">
        <f>IF(F843&gt;0,F843&amp;" - "&amp;D840,"")</f>
        <v/>
      </c>
      <c r="C843" s="65"/>
      <c r="D843" s="605"/>
      <c r="E843" s="65"/>
      <c r="F843" s="164"/>
      <c r="G843" s="165"/>
      <c r="H843" s="166">
        <f t="shared" si="3317"/>
        <v>0</v>
      </c>
      <c r="I843" s="144">
        <f t="shared" si="3318"/>
        <v>0</v>
      </c>
      <c r="J843" s="65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  <c r="AB843" s="167"/>
      <c r="AC843" s="167"/>
      <c r="AD843" s="167"/>
      <c r="AE843" s="167"/>
      <c r="AF843" s="167"/>
      <c r="AG843" s="167"/>
      <c r="AH843" s="167"/>
      <c r="AI843" s="167"/>
      <c r="AJ843" s="167"/>
      <c r="AK843" s="167"/>
      <c r="AL843" s="167"/>
      <c r="AM843" s="167"/>
      <c r="AN843" s="167"/>
      <c r="AO843" s="167"/>
      <c r="AP843" s="167"/>
      <c r="AQ843" s="167"/>
      <c r="AR843" s="167"/>
      <c r="AS843" s="167"/>
      <c r="AT843" s="167"/>
      <c r="AU843" s="167"/>
      <c r="AV843" s="167"/>
      <c r="AW843" s="167"/>
      <c r="AX843" s="167"/>
      <c r="AY843" s="167"/>
      <c r="AZ843" s="167"/>
      <c r="BA843" s="167"/>
      <c r="BB843" s="167"/>
      <c r="BC843" s="167"/>
      <c r="BD843" s="167"/>
      <c r="BE843" s="167"/>
      <c r="BF843" s="167"/>
      <c r="BG843" s="167"/>
      <c r="BH843" s="167"/>
      <c r="BI843" s="167"/>
      <c r="BJ843" s="167"/>
      <c r="BK843" s="167"/>
      <c r="BL843" s="167"/>
      <c r="BM843" s="167"/>
      <c r="BN843" s="167"/>
      <c r="BO843" s="167"/>
      <c r="BP843" s="167"/>
      <c r="BQ843" s="167"/>
      <c r="BR843" s="167"/>
      <c r="BS843" s="65"/>
      <c r="BT843" s="65"/>
      <c r="BU843" s="65"/>
      <c r="BV843" s="65"/>
      <c r="BW843" s="69"/>
      <c r="BX843" s="65"/>
      <c r="BY843" s="137">
        <f t="shared" si="3315"/>
        <v>0</v>
      </c>
      <c r="BZ843" s="137">
        <f>IF(BY843&gt;0,BY843+LARGE($BZ$757:BZ842,1),0)</f>
        <v>0</v>
      </c>
      <c r="CA843" s="137">
        <f t="shared" si="3316"/>
        <v>0</v>
      </c>
      <c r="CB843" s="161">
        <f t="shared" si="3255"/>
        <v>0</v>
      </c>
      <c r="CC843" s="161">
        <f t="shared" si="3256"/>
        <v>0</v>
      </c>
      <c r="CD843" s="161">
        <f t="shared" si="3257"/>
        <v>0</v>
      </c>
      <c r="CE843" s="161">
        <f t="shared" si="3258"/>
        <v>0</v>
      </c>
      <c r="CF843" s="161">
        <f t="shared" si="3259"/>
        <v>0</v>
      </c>
      <c r="CG843" s="161">
        <f t="shared" si="3260"/>
        <v>0</v>
      </c>
      <c r="CH843" s="161">
        <f t="shared" si="3261"/>
        <v>0</v>
      </c>
      <c r="CI843" s="161">
        <f t="shared" si="3262"/>
        <v>0</v>
      </c>
      <c r="CJ843" s="161">
        <f t="shared" si="3263"/>
        <v>0</v>
      </c>
      <c r="CK843" s="161">
        <f t="shared" si="3264"/>
        <v>0</v>
      </c>
      <c r="CL843" s="161">
        <f t="shared" si="3265"/>
        <v>0</v>
      </c>
      <c r="CM843" s="161">
        <f t="shared" si="3266"/>
        <v>0</v>
      </c>
      <c r="CN843" s="161">
        <f t="shared" si="3267"/>
        <v>0</v>
      </c>
      <c r="CO843" s="161">
        <f t="shared" si="3268"/>
        <v>0</v>
      </c>
      <c r="CP843" s="161">
        <f t="shared" si="3269"/>
        <v>0</v>
      </c>
      <c r="CQ843" s="161">
        <f t="shared" si="3270"/>
        <v>0</v>
      </c>
      <c r="CR843" s="161">
        <f t="shared" si="3271"/>
        <v>0</v>
      </c>
      <c r="CS843" s="161">
        <f t="shared" si="3272"/>
        <v>0</v>
      </c>
      <c r="CT843" s="161">
        <f t="shared" si="3273"/>
        <v>0</v>
      </c>
      <c r="CU843" s="161">
        <f t="shared" si="3274"/>
        <v>0</v>
      </c>
      <c r="CV843" s="161">
        <f t="shared" si="3275"/>
        <v>0</v>
      </c>
      <c r="CW843" s="161">
        <f t="shared" si="3276"/>
        <v>0</v>
      </c>
      <c r="CX843" s="161">
        <f t="shared" si="3277"/>
        <v>0</v>
      </c>
      <c r="CY843" s="161">
        <f t="shared" si="3278"/>
        <v>0</v>
      </c>
      <c r="CZ843" s="161">
        <f t="shared" si="3279"/>
        <v>0</v>
      </c>
      <c r="DA843" s="161">
        <f t="shared" si="3280"/>
        <v>0</v>
      </c>
      <c r="DB843" s="161">
        <f t="shared" si="3281"/>
        <v>0</v>
      </c>
      <c r="DC843" s="161">
        <f t="shared" si="3282"/>
        <v>0</v>
      </c>
      <c r="DD843" s="161">
        <f t="shared" si="3283"/>
        <v>0</v>
      </c>
      <c r="DE843" s="161">
        <f t="shared" si="3284"/>
        <v>0</v>
      </c>
      <c r="DF843" s="161">
        <f t="shared" si="3285"/>
        <v>0</v>
      </c>
      <c r="DG843" s="161">
        <f t="shared" si="3286"/>
        <v>0</v>
      </c>
      <c r="DH843" s="161">
        <f t="shared" si="3287"/>
        <v>0</v>
      </c>
      <c r="DI843" s="161">
        <f t="shared" si="3288"/>
        <v>0</v>
      </c>
      <c r="DJ843" s="161">
        <f t="shared" si="3289"/>
        <v>0</v>
      </c>
      <c r="DK843" s="161">
        <f t="shared" si="3290"/>
        <v>0</v>
      </c>
      <c r="DL843" s="161">
        <f t="shared" si="3291"/>
        <v>0</v>
      </c>
      <c r="DM843" s="161">
        <f t="shared" si="3292"/>
        <v>0</v>
      </c>
      <c r="DN843" s="161">
        <f t="shared" si="3293"/>
        <v>0</v>
      </c>
      <c r="DO843" s="161">
        <f t="shared" si="3294"/>
        <v>0</v>
      </c>
      <c r="DP843" s="161">
        <f t="shared" si="3295"/>
        <v>0</v>
      </c>
      <c r="DQ843" s="161">
        <f t="shared" si="3296"/>
        <v>0</v>
      </c>
      <c r="DR843" s="161">
        <f t="shared" si="3297"/>
        <v>0</v>
      </c>
      <c r="DS843" s="161">
        <f t="shared" si="3298"/>
        <v>0</v>
      </c>
      <c r="DT843" s="161">
        <f t="shared" si="3299"/>
        <v>0</v>
      </c>
      <c r="DU843" s="161">
        <f t="shared" si="3300"/>
        <v>0</v>
      </c>
      <c r="DV843" s="161">
        <f t="shared" si="3301"/>
        <v>0</v>
      </c>
      <c r="DW843" s="161">
        <f t="shared" si="3302"/>
        <v>0</v>
      </c>
      <c r="DX843" s="161">
        <f t="shared" si="3303"/>
        <v>0</v>
      </c>
      <c r="DY843" s="161">
        <f t="shared" si="3304"/>
        <v>0</v>
      </c>
      <c r="DZ843" s="161">
        <f t="shared" si="3305"/>
        <v>0</v>
      </c>
      <c r="EA843" s="161">
        <f t="shared" si="3306"/>
        <v>0</v>
      </c>
      <c r="EB843" s="161">
        <f t="shared" si="3307"/>
        <v>0</v>
      </c>
      <c r="EC843" s="161">
        <f t="shared" si="3308"/>
        <v>0</v>
      </c>
      <c r="ED843" s="161">
        <f t="shared" si="3309"/>
        <v>0</v>
      </c>
      <c r="EE843" s="161">
        <f t="shared" si="3310"/>
        <v>0</v>
      </c>
      <c r="EF843" s="161">
        <f t="shared" si="3311"/>
        <v>0</v>
      </c>
      <c r="EG843" s="161">
        <f t="shared" si="3312"/>
        <v>0</v>
      </c>
      <c r="EH843" s="161">
        <f t="shared" si="3313"/>
        <v>0</v>
      </c>
      <c r="EI843" s="161">
        <f t="shared" si="3314"/>
        <v>0</v>
      </c>
    </row>
    <row r="844" spans="2:139" ht="12" customHeight="1" outlineLevel="1">
      <c r="B844" s="137" t="str">
        <f>IF(F844&gt;0,F844&amp;" - "&amp;D840,"")</f>
        <v/>
      </c>
      <c r="C844" s="65"/>
      <c r="D844" s="605"/>
      <c r="E844" s="65"/>
      <c r="F844" s="164"/>
      <c r="G844" s="165"/>
      <c r="H844" s="166">
        <f t="shared" si="3317"/>
        <v>0</v>
      </c>
      <c r="I844" s="144">
        <f t="shared" si="3318"/>
        <v>0</v>
      </c>
      <c r="J844" s="65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  <c r="AB844" s="167"/>
      <c r="AC844" s="167"/>
      <c r="AD844" s="167"/>
      <c r="AE844" s="167"/>
      <c r="AF844" s="167"/>
      <c r="AG844" s="167"/>
      <c r="AH844" s="167"/>
      <c r="AI844" s="167"/>
      <c r="AJ844" s="167"/>
      <c r="AK844" s="167"/>
      <c r="AL844" s="167"/>
      <c r="AM844" s="167"/>
      <c r="AN844" s="167"/>
      <c r="AO844" s="167"/>
      <c r="AP844" s="167"/>
      <c r="AQ844" s="167"/>
      <c r="AR844" s="167"/>
      <c r="AS844" s="167"/>
      <c r="AT844" s="167"/>
      <c r="AU844" s="167"/>
      <c r="AV844" s="167"/>
      <c r="AW844" s="167"/>
      <c r="AX844" s="167"/>
      <c r="AY844" s="167"/>
      <c r="AZ844" s="167"/>
      <c r="BA844" s="167"/>
      <c r="BB844" s="167"/>
      <c r="BC844" s="167"/>
      <c r="BD844" s="167"/>
      <c r="BE844" s="167"/>
      <c r="BF844" s="167"/>
      <c r="BG844" s="167"/>
      <c r="BH844" s="167"/>
      <c r="BI844" s="167"/>
      <c r="BJ844" s="167"/>
      <c r="BK844" s="167"/>
      <c r="BL844" s="167"/>
      <c r="BM844" s="167"/>
      <c r="BN844" s="167"/>
      <c r="BO844" s="167"/>
      <c r="BP844" s="167"/>
      <c r="BQ844" s="167"/>
      <c r="BR844" s="167"/>
      <c r="BS844" s="65"/>
      <c r="BT844" s="65"/>
      <c r="BU844" s="65"/>
      <c r="BV844" s="65"/>
      <c r="BW844" s="69"/>
      <c r="BX844" s="65"/>
      <c r="BY844" s="137">
        <f t="shared" si="3315"/>
        <v>0</v>
      </c>
      <c r="BZ844" s="137">
        <f>IF(BY844&gt;0,BY844+LARGE($BZ$757:BZ843,1),0)</f>
        <v>0</v>
      </c>
      <c r="CA844" s="137">
        <f t="shared" si="3316"/>
        <v>0</v>
      </c>
      <c r="CB844" s="161">
        <f t="shared" si="3255"/>
        <v>0</v>
      </c>
      <c r="CC844" s="161">
        <f t="shared" si="3256"/>
        <v>0</v>
      </c>
      <c r="CD844" s="161">
        <f t="shared" si="3257"/>
        <v>0</v>
      </c>
      <c r="CE844" s="161">
        <f t="shared" si="3258"/>
        <v>0</v>
      </c>
      <c r="CF844" s="161">
        <f t="shared" si="3259"/>
        <v>0</v>
      </c>
      <c r="CG844" s="161">
        <f t="shared" si="3260"/>
        <v>0</v>
      </c>
      <c r="CH844" s="161">
        <f t="shared" si="3261"/>
        <v>0</v>
      </c>
      <c r="CI844" s="161">
        <f t="shared" si="3262"/>
        <v>0</v>
      </c>
      <c r="CJ844" s="161">
        <f t="shared" si="3263"/>
        <v>0</v>
      </c>
      <c r="CK844" s="161">
        <f t="shared" si="3264"/>
        <v>0</v>
      </c>
      <c r="CL844" s="161">
        <f t="shared" si="3265"/>
        <v>0</v>
      </c>
      <c r="CM844" s="161">
        <f t="shared" si="3266"/>
        <v>0</v>
      </c>
      <c r="CN844" s="161">
        <f t="shared" si="3267"/>
        <v>0</v>
      </c>
      <c r="CO844" s="161">
        <f t="shared" si="3268"/>
        <v>0</v>
      </c>
      <c r="CP844" s="161">
        <f t="shared" si="3269"/>
        <v>0</v>
      </c>
      <c r="CQ844" s="161">
        <f t="shared" si="3270"/>
        <v>0</v>
      </c>
      <c r="CR844" s="161">
        <f t="shared" si="3271"/>
        <v>0</v>
      </c>
      <c r="CS844" s="161">
        <f t="shared" si="3272"/>
        <v>0</v>
      </c>
      <c r="CT844" s="161">
        <f t="shared" si="3273"/>
        <v>0</v>
      </c>
      <c r="CU844" s="161">
        <f t="shared" si="3274"/>
        <v>0</v>
      </c>
      <c r="CV844" s="161">
        <f t="shared" si="3275"/>
        <v>0</v>
      </c>
      <c r="CW844" s="161">
        <f t="shared" si="3276"/>
        <v>0</v>
      </c>
      <c r="CX844" s="161">
        <f t="shared" si="3277"/>
        <v>0</v>
      </c>
      <c r="CY844" s="161">
        <f t="shared" si="3278"/>
        <v>0</v>
      </c>
      <c r="CZ844" s="161">
        <f t="shared" si="3279"/>
        <v>0</v>
      </c>
      <c r="DA844" s="161">
        <f t="shared" si="3280"/>
        <v>0</v>
      </c>
      <c r="DB844" s="161">
        <f t="shared" si="3281"/>
        <v>0</v>
      </c>
      <c r="DC844" s="161">
        <f t="shared" si="3282"/>
        <v>0</v>
      </c>
      <c r="DD844" s="161">
        <f t="shared" si="3283"/>
        <v>0</v>
      </c>
      <c r="DE844" s="161">
        <f t="shared" si="3284"/>
        <v>0</v>
      </c>
      <c r="DF844" s="161">
        <f t="shared" si="3285"/>
        <v>0</v>
      </c>
      <c r="DG844" s="161">
        <f t="shared" si="3286"/>
        <v>0</v>
      </c>
      <c r="DH844" s="161">
        <f t="shared" si="3287"/>
        <v>0</v>
      </c>
      <c r="DI844" s="161">
        <f t="shared" si="3288"/>
        <v>0</v>
      </c>
      <c r="DJ844" s="161">
        <f t="shared" si="3289"/>
        <v>0</v>
      </c>
      <c r="DK844" s="161">
        <f t="shared" si="3290"/>
        <v>0</v>
      </c>
      <c r="DL844" s="161">
        <f t="shared" si="3291"/>
        <v>0</v>
      </c>
      <c r="DM844" s="161">
        <f t="shared" si="3292"/>
        <v>0</v>
      </c>
      <c r="DN844" s="161">
        <f t="shared" si="3293"/>
        <v>0</v>
      </c>
      <c r="DO844" s="161">
        <f t="shared" si="3294"/>
        <v>0</v>
      </c>
      <c r="DP844" s="161">
        <f t="shared" si="3295"/>
        <v>0</v>
      </c>
      <c r="DQ844" s="161">
        <f t="shared" si="3296"/>
        <v>0</v>
      </c>
      <c r="DR844" s="161">
        <f t="shared" si="3297"/>
        <v>0</v>
      </c>
      <c r="DS844" s="161">
        <f t="shared" si="3298"/>
        <v>0</v>
      </c>
      <c r="DT844" s="161">
        <f t="shared" si="3299"/>
        <v>0</v>
      </c>
      <c r="DU844" s="161">
        <f t="shared" si="3300"/>
        <v>0</v>
      </c>
      <c r="DV844" s="161">
        <f t="shared" si="3301"/>
        <v>0</v>
      </c>
      <c r="DW844" s="161">
        <f t="shared" si="3302"/>
        <v>0</v>
      </c>
      <c r="DX844" s="161">
        <f t="shared" si="3303"/>
        <v>0</v>
      </c>
      <c r="DY844" s="161">
        <f t="shared" si="3304"/>
        <v>0</v>
      </c>
      <c r="DZ844" s="161">
        <f t="shared" si="3305"/>
        <v>0</v>
      </c>
      <c r="EA844" s="161">
        <f t="shared" si="3306"/>
        <v>0</v>
      </c>
      <c r="EB844" s="161">
        <f t="shared" si="3307"/>
        <v>0</v>
      </c>
      <c r="EC844" s="161">
        <f t="shared" si="3308"/>
        <v>0</v>
      </c>
      <c r="ED844" s="161">
        <f t="shared" si="3309"/>
        <v>0</v>
      </c>
      <c r="EE844" s="161">
        <f t="shared" si="3310"/>
        <v>0</v>
      </c>
      <c r="EF844" s="161">
        <f t="shared" si="3311"/>
        <v>0</v>
      </c>
      <c r="EG844" s="161">
        <f t="shared" si="3312"/>
        <v>0</v>
      </c>
      <c r="EH844" s="161">
        <f t="shared" si="3313"/>
        <v>0</v>
      </c>
      <c r="EI844" s="161">
        <f t="shared" si="3314"/>
        <v>0</v>
      </c>
    </row>
    <row r="845" spans="2:139" ht="12" customHeight="1" outlineLevel="1">
      <c r="B845" s="137" t="str">
        <f>IF(F845&gt;0,F845&amp;" - "&amp;D840,"")</f>
        <v/>
      </c>
      <c r="C845" s="65"/>
      <c r="D845" s="605"/>
      <c r="E845" s="65"/>
      <c r="F845" s="164"/>
      <c r="G845" s="165"/>
      <c r="H845" s="166">
        <f t="shared" si="3317"/>
        <v>0</v>
      </c>
      <c r="I845" s="144">
        <f t="shared" si="3318"/>
        <v>0</v>
      </c>
      <c r="J845" s="65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  <c r="AB845" s="167"/>
      <c r="AC845" s="167"/>
      <c r="AD845" s="167"/>
      <c r="AE845" s="167"/>
      <c r="AF845" s="167"/>
      <c r="AG845" s="167"/>
      <c r="AH845" s="167"/>
      <c r="AI845" s="167"/>
      <c r="AJ845" s="167"/>
      <c r="AK845" s="167"/>
      <c r="AL845" s="167"/>
      <c r="AM845" s="167"/>
      <c r="AN845" s="167"/>
      <c r="AO845" s="167"/>
      <c r="AP845" s="167"/>
      <c r="AQ845" s="167"/>
      <c r="AR845" s="167"/>
      <c r="AS845" s="167"/>
      <c r="AT845" s="167"/>
      <c r="AU845" s="167"/>
      <c r="AV845" s="167"/>
      <c r="AW845" s="167"/>
      <c r="AX845" s="167"/>
      <c r="AY845" s="167"/>
      <c r="AZ845" s="167"/>
      <c r="BA845" s="167"/>
      <c r="BB845" s="167"/>
      <c r="BC845" s="167"/>
      <c r="BD845" s="167"/>
      <c r="BE845" s="167"/>
      <c r="BF845" s="167"/>
      <c r="BG845" s="167"/>
      <c r="BH845" s="167"/>
      <c r="BI845" s="167"/>
      <c r="BJ845" s="167"/>
      <c r="BK845" s="167"/>
      <c r="BL845" s="167"/>
      <c r="BM845" s="167"/>
      <c r="BN845" s="167"/>
      <c r="BO845" s="167"/>
      <c r="BP845" s="167"/>
      <c r="BQ845" s="167"/>
      <c r="BR845" s="167"/>
      <c r="BS845" s="65"/>
      <c r="BT845" s="65"/>
      <c r="BU845" s="65"/>
      <c r="BV845" s="65"/>
      <c r="BW845" s="69"/>
      <c r="BX845" s="65"/>
      <c r="BY845" s="137">
        <f t="shared" si="3315"/>
        <v>0</v>
      </c>
      <c r="BZ845" s="137">
        <f>IF(BY845&gt;0,BY845+LARGE($BZ$757:BZ844,1),0)</f>
        <v>0</v>
      </c>
      <c r="CA845" s="137">
        <f t="shared" si="3316"/>
        <v>0</v>
      </c>
      <c r="CB845" s="161">
        <f t="shared" si="3255"/>
        <v>0</v>
      </c>
      <c r="CC845" s="161">
        <f t="shared" si="3256"/>
        <v>0</v>
      </c>
      <c r="CD845" s="161">
        <f t="shared" si="3257"/>
        <v>0</v>
      </c>
      <c r="CE845" s="161">
        <f t="shared" si="3258"/>
        <v>0</v>
      </c>
      <c r="CF845" s="161">
        <f t="shared" si="3259"/>
        <v>0</v>
      </c>
      <c r="CG845" s="161">
        <f t="shared" si="3260"/>
        <v>0</v>
      </c>
      <c r="CH845" s="161">
        <f t="shared" si="3261"/>
        <v>0</v>
      </c>
      <c r="CI845" s="161">
        <f t="shared" si="3262"/>
        <v>0</v>
      </c>
      <c r="CJ845" s="161">
        <f t="shared" si="3263"/>
        <v>0</v>
      </c>
      <c r="CK845" s="161">
        <f t="shared" si="3264"/>
        <v>0</v>
      </c>
      <c r="CL845" s="161">
        <f t="shared" si="3265"/>
        <v>0</v>
      </c>
      <c r="CM845" s="161">
        <f t="shared" si="3266"/>
        <v>0</v>
      </c>
      <c r="CN845" s="161">
        <f t="shared" si="3267"/>
        <v>0</v>
      </c>
      <c r="CO845" s="161">
        <f t="shared" si="3268"/>
        <v>0</v>
      </c>
      <c r="CP845" s="161">
        <f t="shared" si="3269"/>
        <v>0</v>
      </c>
      <c r="CQ845" s="161">
        <f t="shared" si="3270"/>
        <v>0</v>
      </c>
      <c r="CR845" s="161">
        <f t="shared" si="3271"/>
        <v>0</v>
      </c>
      <c r="CS845" s="161">
        <f t="shared" si="3272"/>
        <v>0</v>
      </c>
      <c r="CT845" s="161">
        <f t="shared" si="3273"/>
        <v>0</v>
      </c>
      <c r="CU845" s="161">
        <f t="shared" si="3274"/>
        <v>0</v>
      </c>
      <c r="CV845" s="161">
        <f t="shared" si="3275"/>
        <v>0</v>
      </c>
      <c r="CW845" s="161">
        <f t="shared" si="3276"/>
        <v>0</v>
      </c>
      <c r="CX845" s="161">
        <f t="shared" si="3277"/>
        <v>0</v>
      </c>
      <c r="CY845" s="161">
        <f t="shared" si="3278"/>
        <v>0</v>
      </c>
      <c r="CZ845" s="161">
        <f t="shared" si="3279"/>
        <v>0</v>
      </c>
      <c r="DA845" s="161">
        <f t="shared" si="3280"/>
        <v>0</v>
      </c>
      <c r="DB845" s="161">
        <f t="shared" si="3281"/>
        <v>0</v>
      </c>
      <c r="DC845" s="161">
        <f t="shared" si="3282"/>
        <v>0</v>
      </c>
      <c r="DD845" s="161">
        <f t="shared" si="3283"/>
        <v>0</v>
      </c>
      <c r="DE845" s="161">
        <f t="shared" si="3284"/>
        <v>0</v>
      </c>
      <c r="DF845" s="161">
        <f t="shared" si="3285"/>
        <v>0</v>
      </c>
      <c r="DG845" s="161">
        <f t="shared" si="3286"/>
        <v>0</v>
      </c>
      <c r="DH845" s="161">
        <f t="shared" si="3287"/>
        <v>0</v>
      </c>
      <c r="DI845" s="161">
        <f t="shared" si="3288"/>
        <v>0</v>
      </c>
      <c r="DJ845" s="161">
        <f t="shared" si="3289"/>
        <v>0</v>
      </c>
      <c r="DK845" s="161">
        <f t="shared" si="3290"/>
        <v>0</v>
      </c>
      <c r="DL845" s="161">
        <f t="shared" si="3291"/>
        <v>0</v>
      </c>
      <c r="DM845" s="161">
        <f t="shared" si="3292"/>
        <v>0</v>
      </c>
      <c r="DN845" s="161">
        <f t="shared" si="3293"/>
        <v>0</v>
      </c>
      <c r="DO845" s="161">
        <f t="shared" si="3294"/>
        <v>0</v>
      </c>
      <c r="DP845" s="161">
        <f t="shared" si="3295"/>
        <v>0</v>
      </c>
      <c r="DQ845" s="161">
        <f t="shared" si="3296"/>
        <v>0</v>
      </c>
      <c r="DR845" s="161">
        <f t="shared" si="3297"/>
        <v>0</v>
      </c>
      <c r="DS845" s="161">
        <f t="shared" si="3298"/>
        <v>0</v>
      </c>
      <c r="DT845" s="161">
        <f t="shared" si="3299"/>
        <v>0</v>
      </c>
      <c r="DU845" s="161">
        <f t="shared" si="3300"/>
        <v>0</v>
      </c>
      <c r="DV845" s="161">
        <f t="shared" si="3301"/>
        <v>0</v>
      </c>
      <c r="DW845" s="161">
        <f t="shared" si="3302"/>
        <v>0</v>
      </c>
      <c r="DX845" s="161">
        <f t="shared" si="3303"/>
        <v>0</v>
      </c>
      <c r="DY845" s="161">
        <f t="shared" si="3304"/>
        <v>0</v>
      </c>
      <c r="DZ845" s="161">
        <f t="shared" si="3305"/>
        <v>0</v>
      </c>
      <c r="EA845" s="161">
        <f t="shared" si="3306"/>
        <v>0</v>
      </c>
      <c r="EB845" s="161">
        <f t="shared" si="3307"/>
        <v>0</v>
      </c>
      <c r="EC845" s="161">
        <f t="shared" si="3308"/>
        <v>0</v>
      </c>
      <c r="ED845" s="161">
        <f t="shared" si="3309"/>
        <v>0</v>
      </c>
      <c r="EE845" s="161">
        <f t="shared" si="3310"/>
        <v>0</v>
      </c>
      <c r="EF845" s="161">
        <f t="shared" si="3311"/>
        <v>0</v>
      </c>
      <c r="EG845" s="161">
        <f t="shared" si="3312"/>
        <v>0</v>
      </c>
      <c r="EH845" s="161">
        <f t="shared" si="3313"/>
        <v>0</v>
      </c>
      <c r="EI845" s="161">
        <f t="shared" si="3314"/>
        <v>0</v>
      </c>
    </row>
    <row r="846" spans="2:139" ht="12" customHeight="1" outlineLevel="1">
      <c r="B846" s="137" t="str">
        <f>IF(F846&gt;0,F846&amp;" - "&amp;D840,"")</f>
        <v/>
      </c>
      <c r="C846" s="65"/>
      <c r="D846" s="605"/>
      <c r="E846" s="65"/>
      <c r="F846" s="164"/>
      <c r="G846" s="165"/>
      <c r="H846" s="166">
        <f t="shared" si="3317"/>
        <v>0</v>
      </c>
      <c r="I846" s="144">
        <f t="shared" si="3318"/>
        <v>0</v>
      </c>
      <c r="J846" s="65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  <c r="AB846" s="167"/>
      <c r="AC846" s="167"/>
      <c r="AD846" s="167"/>
      <c r="AE846" s="167"/>
      <c r="AF846" s="167"/>
      <c r="AG846" s="167"/>
      <c r="AH846" s="167"/>
      <c r="AI846" s="167"/>
      <c r="AJ846" s="167"/>
      <c r="AK846" s="167"/>
      <c r="AL846" s="167"/>
      <c r="AM846" s="167"/>
      <c r="AN846" s="167"/>
      <c r="AO846" s="167"/>
      <c r="AP846" s="167"/>
      <c r="AQ846" s="167"/>
      <c r="AR846" s="167"/>
      <c r="AS846" s="167"/>
      <c r="AT846" s="167"/>
      <c r="AU846" s="167"/>
      <c r="AV846" s="167"/>
      <c r="AW846" s="167"/>
      <c r="AX846" s="167"/>
      <c r="AY846" s="167"/>
      <c r="AZ846" s="167"/>
      <c r="BA846" s="167"/>
      <c r="BB846" s="167"/>
      <c r="BC846" s="167"/>
      <c r="BD846" s="167"/>
      <c r="BE846" s="167"/>
      <c r="BF846" s="167"/>
      <c r="BG846" s="167"/>
      <c r="BH846" s="167"/>
      <c r="BI846" s="167"/>
      <c r="BJ846" s="167"/>
      <c r="BK846" s="167"/>
      <c r="BL846" s="167"/>
      <c r="BM846" s="167"/>
      <c r="BN846" s="167"/>
      <c r="BO846" s="167"/>
      <c r="BP846" s="167"/>
      <c r="BQ846" s="167"/>
      <c r="BR846" s="167"/>
      <c r="BS846" s="65"/>
      <c r="BT846" s="65"/>
      <c r="BU846" s="65"/>
      <c r="BV846" s="65"/>
      <c r="BW846" s="69"/>
      <c r="BX846" s="65"/>
      <c r="BY846" s="137">
        <f t="shared" si="3315"/>
        <v>0</v>
      </c>
      <c r="BZ846" s="137">
        <f>IF(BY846&gt;0,BY846+LARGE($BZ$757:BZ845,1),0)</f>
        <v>0</v>
      </c>
      <c r="CA846" s="137">
        <f t="shared" si="3316"/>
        <v>0</v>
      </c>
      <c r="CB846" s="161">
        <f t="shared" si="3255"/>
        <v>0</v>
      </c>
      <c r="CC846" s="161">
        <f t="shared" si="3256"/>
        <v>0</v>
      </c>
      <c r="CD846" s="161">
        <f t="shared" si="3257"/>
        <v>0</v>
      </c>
      <c r="CE846" s="161">
        <f t="shared" si="3258"/>
        <v>0</v>
      </c>
      <c r="CF846" s="161">
        <f t="shared" si="3259"/>
        <v>0</v>
      </c>
      <c r="CG846" s="161">
        <f t="shared" si="3260"/>
        <v>0</v>
      </c>
      <c r="CH846" s="161">
        <f t="shared" si="3261"/>
        <v>0</v>
      </c>
      <c r="CI846" s="161">
        <f t="shared" si="3262"/>
        <v>0</v>
      </c>
      <c r="CJ846" s="161">
        <f t="shared" si="3263"/>
        <v>0</v>
      </c>
      <c r="CK846" s="161">
        <f t="shared" si="3264"/>
        <v>0</v>
      </c>
      <c r="CL846" s="161">
        <f t="shared" si="3265"/>
        <v>0</v>
      </c>
      <c r="CM846" s="161">
        <f t="shared" si="3266"/>
        <v>0</v>
      </c>
      <c r="CN846" s="161">
        <f t="shared" si="3267"/>
        <v>0</v>
      </c>
      <c r="CO846" s="161">
        <f t="shared" si="3268"/>
        <v>0</v>
      </c>
      <c r="CP846" s="161">
        <f t="shared" si="3269"/>
        <v>0</v>
      </c>
      <c r="CQ846" s="161">
        <f t="shared" si="3270"/>
        <v>0</v>
      </c>
      <c r="CR846" s="161">
        <f t="shared" si="3271"/>
        <v>0</v>
      </c>
      <c r="CS846" s="161">
        <f t="shared" si="3272"/>
        <v>0</v>
      </c>
      <c r="CT846" s="161">
        <f t="shared" si="3273"/>
        <v>0</v>
      </c>
      <c r="CU846" s="161">
        <f t="shared" si="3274"/>
        <v>0</v>
      </c>
      <c r="CV846" s="161">
        <f t="shared" si="3275"/>
        <v>0</v>
      </c>
      <c r="CW846" s="161">
        <f t="shared" si="3276"/>
        <v>0</v>
      </c>
      <c r="CX846" s="161">
        <f t="shared" si="3277"/>
        <v>0</v>
      </c>
      <c r="CY846" s="161">
        <f t="shared" si="3278"/>
        <v>0</v>
      </c>
      <c r="CZ846" s="161">
        <f t="shared" si="3279"/>
        <v>0</v>
      </c>
      <c r="DA846" s="161">
        <f t="shared" si="3280"/>
        <v>0</v>
      </c>
      <c r="DB846" s="161">
        <f t="shared" si="3281"/>
        <v>0</v>
      </c>
      <c r="DC846" s="161">
        <f t="shared" si="3282"/>
        <v>0</v>
      </c>
      <c r="DD846" s="161">
        <f t="shared" si="3283"/>
        <v>0</v>
      </c>
      <c r="DE846" s="161">
        <f t="shared" si="3284"/>
        <v>0</v>
      </c>
      <c r="DF846" s="161">
        <f t="shared" si="3285"/>
        <v>0</v>
      </c>
      <c r="DG846" s="161">
        <f t="shared" si="3286"/>
        <v>0</v>
      </c>
      <c r="DH846" s="161">
        <f t="shared" si="3287"/>
        <v>0</v>
      </c>
      <c r="DI846" s="161">
        <f t="shared" si="3288"/>
        <v>0</v>
      </c>
      <c r="DJ846" s="161">
        <f t="shared" si="3289"/>
        <v>0</v>
      </c>
      <c r="DK846" s="161">
        <f t="shared" si="3290"/>
        <v>0</v>
      </c>
      <c r="DL846" s="161">
        <f t="shared" si="3291"/>
        <v>0</v>
      </c>
      <c r="DM846" s="161">
        <f t="shared" si="3292"/>
        <v>0</v>
      </c>
      <c r="DN846" s="161">
        <f t="shared" si="3293"/>
        <v>0</v>
      </c>
      <c r="DO846" s="161">
        <f t="shared" si="3294"/>
        <v>0</v>
      </c>
      <c r="DP846" s="161">
        <f t="shared" si="3295"/>
        <v>0</v>
      </c>
      <c r="DQ846" s="161">
        <f t="shared" si="3296"/>
        <v>0</v>
      </c>
      <c r="DR846" s="161">
        <f t="shared" si="3297"/>
        <v>0</v>
      </c>
      <c r="DS846" s="161">
        <f t="shared" si="3298"/>
        <v>0</v>
      </c>
      <c r="DT846" s="161">
        <f t="shared" si="3299"/>
        <v>0</v>
      </c>
      <c r="DU846" s="161">
        <f t="shared" si="3300"/>
        <v>0</v>
      </c>
      <c r="DV846" s="161">
        <f t="shared" si="3301"/>
        <v>0</v>
      </c>
      <c r="DW846" s="161">
        <f t="shared" si="3302"/>
        <v>0</v>
      </c>
      <c r="DX846" s="161">
        <f t="shared" si="3303"/>
        <v>0</v>
      </c>
      <c r="DY846" s="161">
        <f t="shared" si="3304"/>
        <v>0</v>
      </c>
      <c r="DZ846" s="161">
        <f t="shared" si="3305"/>
        <v>0</v>
      </c>
      <c r="EA846" s="161">
        <f t="shared" si="3306"/>
        <v>0</v>
      </c>
      <c r="EB846" s="161">
        <f t="shared" si="3307"/>
        <v>0</v>
      </c>
      <c r="EC846" s="161">
        <f t="shared" si="3308"/>
        <v>0</v>
      </c>
      <c r="ED846" s="161">
        <f t="shared" si="3309"/>
        <v>0</v>
      </c>
      <c r="EE846" s="161">
        <f t="shared" si="3310"/>
        <v>0</v>
      </c>
      <c r="EF846" s="161">
        <f t="shared" si="3311"/>
        <v>0</v>
      </c>
      <c r="EG846" s="161">
        <f t="shared" si="3312"/>
        <v>0</v>
      </c>
      <c r="EH846" s="161">
        <f t="shared" si="3313"/>
        <v>0</v>
      </c>
      <c r="EI846" s="161">
        <f t="shared" si="3314"/>
        <v>0</v>
      </c>
    </row>
    <row r="847" spans="2:139" ht="12" customHeight="1" outlineLevel="1">
      <c r="B847" s="137" t="str">
        <f>IF(F847&gt;0,F847&amp;" - "&amp;D840,"")</f>
        <v/>
      </c>
      <c r="C847" s="65"/>
      <c r="D847" s="605"/>
      <c r="E847" s="65"/>
      <c r="F847" s="164"/>
      <c r="G847" s="165"/>
      <c r="H847" s="166">
        <f t="shared" si="3317"/>
        <v>0</v>
      </c>
      <c r="I847" s="144">
        <f t="shared" si="3318"/>
        <v>0</v>
      </c>
      <c r="J847" s="65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  <c r="AB847" s="167"/>
      <c r="AC847" s="167"/>
      <c r="AD847" s="167"/>
      <c r="AE847" s="167"/>
      <c r="AF847" s="167"/>
      <c r="AG847" s="167"/>
      <c r="AH847" s="167"/>
      <c r="AI847" s="167"/>
      <c r="AJ847" s="167"/>
      <c r="AK847" s="167"/>
      <c r="AL847" s="167"/>
      <c r="AM847" s="167"/>
      <c r="AN847" s="167"/>
      <c r="AO847" s="167"/>
      <c r="AP847" s="167"/>
      <c r="AQ847" s="167"/>
      <c r="AR847" s="167"/>
      <c r="AS847" s="167"/>
      <c r="AT847" s="167"/>
      <c r="AU847" s="167"/>
      <c r="AV847" s="167"/>
      <c r="AW847" s="167"/>
      <c r="AX847" s="167"/>
      <c r="AY847" s="167"/>
      <c r="AZ847" s="167"/>
      <c r="BA847" s="167"/>
      <c r="BB847" s="167"/>
      <c r="BC847" s="167"/>
      <c r="BD847" s="167"/>
      <c r="BE847" s="167"/>
      <c r="BF847" s="167"/>
      <c r="BG847" s="167"/>
      <c r="BH847" s="167"/>
      <c r="BI847" s="167"/>
      <c r="BJ847" s="167"/>
      <c r="BK847" s="167"/>
      <c r="BL847" s="167"/>
      <c r="BM847" s="167"/>
      <c r="BN847" s="167"/>
      <c r="BO847" s="167"/>
      <c r="BP847" s="167"/>
      <c r="BQ847" s="167"/>
      <c r="BR847" s="167"/>
      <c r="BS847" s="65"/>
      <c r="BT847" s="65"/>
      <c r="BU847" s="65"/>
      <c r="BV847" s="65"/>
      <c r="BW847" s="69"/>
      <c r="BX847" s="65"/>
      <c r="BY847" s="137">
        <f t="shared" si="3315"/>
        <v>0</v>
      </c>
      <c r="BZ847" s="137">
        <f>IF(BY847&gt;0,BY847+LARGE($BZ$757:BZ846,1),0)</f>
        <v>0</v>
      </c>
      <c r="CA847" s="137">
        <f t="shared" si="3316"/>
        <v>0</v>
      </c>
      <c r="CB847" s="161">
        <f t="shared" si="3255"/>
        <v>0</v>
      </c>
      <c r="CC847" s="161">
        <f t="shared" si="3256"/>
        <v>0</v>
      </c>
      <c r="CD847" s="161">
        <f t="shared" si="3257"/>
        <v>0</v>
      </c>
      <c r="CE847" s="161">
        <f t="shared" si="3258"/>
        <v>0</v>
      </c>
      <c r="CF847" s="161">
        <f t="shared" si="3259"/>
        <v>0</v>
      </c>
      <c r="CG847" s="161">
        <f t="shared" si="3260"/>
        <v>0</v>
      </c>
      <c r="CH847" s="161">
        <f t="shared" si="3261"/>
        <v>0</v>
      </c>
      <c r="CI847" s="161">
        <f t="shared" si="3262"/>
        <v>0</v>
      </c>
      <c r="CJ847" s="161">
        <f t="shared" si="3263"/>
        <v>0</v>
      </c>
      <c r="CK847" s="161">
        <f t="shared" si="3264"/>
        <v>0</v>
      </c>
      <c r="CL847" s="161">
        <f t="shared" si="3265"/>
        <v>0</v>
      </c>
      <c r="CM847" s="161">
        <f t="shared" si="3266"/>
        <v>0</v>
      </c>
      <c r="CN847" s="161">
        <f t="shared" si="3267"/>
        <v>0</v>
      </c>
      <c r="CO847" s="161">
        <f t="shared" si="3268"/>
        <v>0</v>
      </c>
      <c r="CP847" s="161">
        <f t="shared" si="3269"/>
        <v>0</v>
      </c>
      <c r="CQ847" s="161">
        <f t="shared" si="3270"/>
        <v>0</v>
      </c>
      <c r="CR847" s="161">
        <f t="shared" si="3271"/>
        <v>0</v>
      </c>
      <c r="CS847" s="161">
        <f t="shared" si="3272"/>
        <v>0</v>
      </c>
      <c r="CT847" s="161">
        <f t="shared" si="3273"/>
        <v>0</v>
      </c>
      <c r="CU847" s="161">
        <f t="shared" si="3274"/>
        <v>0</v>
      </c>
      <c r="CV847" s="161">
        <f t="shared" si="3275"/>
        <v>0</v>
      </c>
      <c r="CW847" s="161">
        <f t="shared" si="3276"/>
        <v>0</v>
      </c>
      <c r="CX847" s="161">
        <f t="shared" si="3277"/>
        <v>0</v>
      </c>
      <c r="CY847" s="161">
        <f t="shared" si="3278"/>
        <v>0</v>
      </c>
      <c r="CZ847" s="161">
        <f t="shared" si="3279"/>
        <v>0</v>
      </c>
      <c r="DA847" s="161">
        <f t="shared" si="3280"/>
        <v>0</v>
      </c>
      <c r="DB847" s="161">
        <f t="shared" si="3281"/>
        <v>0</v>
      </c>
      <c r="DC847" s="161">
        <f t="shared" si="3282"/>
        <v>0</v>
      </c>
      <c r="DD847" s="161">
        <f t="shared" si="3283"/>
        <v>0</v>
      </c>
      <c r="DE847" s="161">
        <f t="shared" si="3284"/>
        <v>0</v>
      </c>
      <c r="DF847" s="161">
        <f t="shared" si="3285"/>
        <v>0</v>
      </c>
      <c r="DG847" s="161">
        <f t="shared" si="3286"/>
        <v>0</v>
      </c>
      <c r="DH847" s="161">
        <f t="shared" si="3287"/>
        <v>0</v>
      </c>
      <c r="DI847" s="161">
        <f t="shared" si="3288"/>
        <v>0</v>
      </c>
      <c r="DJ847" s="161">
        <f t="shared" si="3289"/>
        <v>0</v>
      </c>
      <c r="DK847" s="161">
        <f t="shared" si="3290"/>
        <v>0</v>
      </c>
      <c r="DL847" s="161">
        <f t="shared" si="3291"/>
        <v>0</v>
      </c>
      <c r="DM847" s="161">
        <f t="shared" si="3292"/>
        <v>0</v>
      </c>
      <c r="DN847" s="161">
        <f t="shared" si="3293"/>
        <v>0</v>
      </c>
      <c r="DO847" s="161">
        <f t="shared" si="3294"/>
        <v>0</v>
      </c>
      <c r="DP847" s="161">
        <f t="shared" si="3295"/>
        <v>0</v>
      </c>
      <c r="DQ847" s="161">
        <f t="shared" si="3296"/>
        <v>0</v>
      </c>
      <c r="DR847" s="161">
        <f t="shared" si="3297"/>
        <v>0</v>
      </c>
      <c r="DS847" s="161">
        <f t="shared" si="3298"/>
        <v>0</v>
      </c>
      <c r="DT847" s="161">
        <f t="shared" si="3299"/>
        <v>0</v>
      </c>
      <c r="DU847" s="161">
        <f t="shared" si="3300"/>
        <v>0</v>
      </c>
      <c r="DV847" s="161">
        <f t="shared" si="3301"/>
        <v>0</v>
      </c>
      <c r="DW847" s="161">
        <f t="shared" si="3302"/>
        <v>0</v>
      </c>
      <c r="DX847" s="161">
        <f t="shared" si="3303"/>
        <v>0</v>
      </c>
      <c r="DY847" s="161">
        <f t="shared" si="3304"/>
        <v>0</v>
      </c>
      <c r="DZ847" s="161">
        <f t="shared" si="3305"/>
        <v>0</v>
      </c>
      <c r="EA847" s="161">
        <f t="shared" si="3306"/>
        <v>0</v>
      </c>
      <c r="EB847" s="161">
        <f t="shared" si="3307"/>
        <v>0</v>
      </c>
      <c r="EC847" s="161">
        <f t="shared" si="3308"/>
        <v>0</v>
      </c>
      <c r="ED847" s="161">
        <f t="shared" si="3309"/>
        <v>0</v>
      </c>
      <c r="EE847" s="161">
        <f t="shared" si="3310"/>
        <v>0</v>
      </c>
      <c r="EF847" s="161">
        <f t="shared" si="3311"/>
        <v>0</v>
      </c>
      <c r="EG847" s="161">
        <f t="shared" si="3312"/>
        <v>0</v>
      </c>
      <c r="EH847" s="161">
        <f t="shared" si="3313"/>
        <v>0</v>
      </c>
      <c r="EI847" s="161">
        <f t="shared" si="3314"/>
        <v>0</v>
      </c>
    </row>
    <row r="848" spans="2:139" ht="12" customHeight="1" outlineLevel="1">
      <c r="B848" s="137" t="str">
        <f>IF(F848&gt;0,F848&amp;" - "&amp;D840,"")</f>
        <v/>
      </c>
      <c r="C848" s="65"/>
      <c r="D848" s="605"/>
      <c r="E848" s="65"/>
      <c r="F848" s="164"/>
      <c r="G848" s="165"/>
      <c r="H848" s="166">
        <f t="shared" si="3317"/>
        <v>0</v>
      </c>
      <c r="I848" s="144">
        <f t="shared" si="3318"/>
        <v>0</v>
      </c>
      <c r="J848" s="65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  <c r="AE848" s="167"/>
      <c r="AF848" s="167"/>
      <c r="AG848" s="167"/>
      <c r="AH848" s="167"/>
      <c r="AI848" s="167"/>
      <c r="AJ848" s="167"/>
      <c r="AK848" s="167"/>
      <c r="AL848" s="167"/>
      <c r="AM848" s="167"/>
      <c r="AN848" s="167"/>
      <c r="AO848" s="167"/>
      <c r="AP848" s="167"/>
      <c r="AQ848" s="167"/>
      <c r="AR848" s="167"/>
      <c r="AS848" s="167"/>
      <c r="AT848" s="167"/>
      <c r="AU848" s="167"/>
      <c r="AV848" s="167"/>
      <c r="AW848" s="167"/>
      <c r="AX848" s="167"/>
      <c r="AY848" s="167"/>
      <c r="AZ848" s="167"/>
      <c r="BA848" s="167"/>
      <c r="BB848" s="167"/>
      <c r="BC848" s="167"/>
      <c r="BD848" s="167"/>
      <c r="BE848" s="167"/>
      <c r="BF848" s="167"/>
      <c r="BG848" s="167"/>
      <c r="BH848" s="167"/>
      <c r="BI848" s="167"/>
      <c r="BJ848" s="167"/>
      <c r="BK848" s="167"/>
      <c r="BL848" s="167"/>
      <c r="BM848" s="167"/>
      <c r="BN848" s="167"/>
      <c r="BO848" s="167"/>
      <c r="BP848" s="167"/>
      <c r="BQ848" s="167"/>
      <c r="BR848" s="167"/>
      <c r="BS848" s="65"/>
      <c r="BT848" s="65"/>
      <c r="BU848" s="65"/>
      <c r="BV848" s="65"/>
      <c r="BW848" s="69"/>
      <c r="BX848" s="65"/>
      <c r="BY848" s="137">
        <f t="shared" si="3315"/>
        <v>0</v>
      </c>
      <c r="BZ848" s="137">
        <f>IF(BY848&gt;0,BY848+LARGE($BZ$757:BZ847,1),0)</f>
        <v>0</v>
      </c>
      <c r="CA848" s="137">
        <f t="shared" si="3316"/>
        <v>0</v>
      </c>
      <c r="CB848" s="161">
        <f t="shared" si="3255"/>
        <v>0</v>
      </c>
      <c r="CC848" s="161">
        <f t="shared" si="3256"/>
        <v>0</v>
      </c>
      <c r="CD848" s="161">
        <f t="shared" si="3257"/>
        <v>0</v>
      </c>
      <c r="CE848" s="161">
        <f t="shared" si="3258"/>
        <v>0</v>
      </c>
      <c r="CF848" s="161">
        <f t="shared" si="3259"/>
        <v>0</v>
      </c>
      <c r="CG848" s="161">
        <f t="shared" si="3260"/>
        <v>0</v>
      </c>
      <c r="CH848" s="161">
        <f t="shared" si="3261"/>
        <v>0</v>
      </c>
      <c r="CI848" s="161">
        <f t="shared" si="3262"/>
        <v>0</v>
      </c>
      <c r="CJ848" s="161">
        <f t="shared" si="3263"/>
        <v>0</v>
      </c>
      <c r="CK848" s="161">
        <f t="shared" si="3264"/>
        <v>0</v>
      </c>
      <c r="CL848" s="161">
        <f t="shared" si="3265"/>
        <v>0</v>
      </c>
      <c r="CM848" s="161">
        <f t="shared" si="3266"/>
        <v>0</v>
      </c>
      <c r="CN848" s="161">
        <f t="shared" si="3267"/>
        <v>0</v>
      </c>
      <c r="CO848" s="161">
        <f t="shared" si="3268"/>
        <v>0</v>
      </c>
      <c r="CP848" s="161">
        <f t="shared" si="3269"/>
        <v>0</v>
      </c>
      <c r="CQ848" s="161">
        <f t="shared" si="3270"/>
        <v>0</v>
      </c>
      <c r="CR848" s="161">
        <f t="shared" si="3271"/>
        <v>0</v>
      </c>
      <c r="CS848" s="161">
        <f t="shared" si="3272"/>
        <v>0</v>
      </c>
      <c r="CT848" s="161">
        <f t="shared" si="3273"/>
        <v>0</v>
      </c>
      <c r="CU848" s="161">
        <f t="shared" si="3274"/>
        <v>0</v>
      </c>
      <c r="CV848" s="161">
        <f t="shared" si="3275"/>
        <v>0</v>
      </c>
      <c r="CW848" s="161">
        <f t="shared" si="3276"/>
        <v>0</v>
      </c>
      <c r="CX848" s="161">
        <f t="shared" si="3277"/>
        <v>0</v>
      </c>
      <c r="CY848" s="161">
        <f t="shared" si="3278"/>
        <v>0</v>
      </c>
      <c r="CZ848" s="161">
        <f t="shared" si="3279"/>
        <v>0</v>
      </c>
      <c r="DA848" s="161">
        <f t="shared" si="3280"/>
        <v>0</v>
      </c>
      <c r="DB848" s="161">
        <f t="shared" si="3281"/>
        <v>0</v>
      </c>
      <c r="DC848" s="161">
        <f t="shared" si="3282"/>
        <v>0</v>
      </c>
      <c r="DD848" s="161">
        <f t="shared" si="3283"/>
        <v>0</v>
      </c>
      <c r="DE848" s="161">
        <f t="shared" si="3284"/>
        <v>0</v>
      </c>
      <c r="DF848" s="161">
        <f t="shared" si="3285"/>
        <v>0</v>
      </c>
      <c r="DG848" s="161">
        <f t="shared" si="3286"/>
        <v>0</v>
      </c>
      <c r="DH848" s="161">
        <f t="shared" si="3287"/>
        <v>0</v>
      </c>
      <c r="DI848" s="161">
        <f t="shared" si="3288"/>
        <v>0</v>
      </c>
      <c r="DJ848" s="161">
        <f t="shared" si="3289"/>
        <v>0</v>
      </c>
      <c r="DK848" s="161">
        <f t="shared" si="3290"/>
        <v>0</v>
      </c>
      <c r="DL848" s="161">
        <f t="shared" si="3291"/>
        <v>0</v>
      </c>
      <c r="DM848" s="161">
        <f t="shared" si="3292"/>
        <v>0</v>
      </c>
      <c r="DN848" s="161">
        <f t="shared" si="3293"/>
        <v>0</v>
      </c>
      <c r="DO848" s="161">
        <f t="shared" si="3294"/>
        <v>0</v>
      </c>
      <c r="DP848" s="161">
        <f t="shared" si="3295"/>
        <v>0</v>
      </c>
      <c r="DQ848" s="161">
        <f t="shared" si="3296"/>
        <v>0</v>
      </c>
      <c r="DR848" s="161">
        <f t="shared" si="3297"/>
        <v>0</v>
      </c>
      <c r="DS848" s="161">
        <f t="shared" si="3298"/>
        <v>0</v>
      </c>
      <c r="DT848" s="161">
        <f t="shared" si="3299"/>
        <v>0</v>
      </c>
      <c r="DU848" s="161">
        <f t="shared" si="3300"/>
        <v>0</v>
      </c>
      <c r="DV848" s="161">
        <f t="shared" si="3301"/>
        <v>0</v>
      </c>
      <c r="DW848" s="161">
        <f t="shared" si="3302"/>
        <v>0</v>
      </c>
      <c r="DX848" s="161">
        <f t="shared" si="3303"/>
        <v>0</v>
      </c>
      <c r="DY848" s="161">
        <f t="shared" si="3304"/>
        <v>0</v>
      </c>
      <c r="DZ848" s="161">
        <f t="shared" si="3305"/>
        <v>0</v>
      </c>
      <c r="EA848" s="161">
        <f t="shared" si="3306"/>
        <v>0</v>
      </c>
      <c r="EB848" s="161">
        <f t="shared" si="3307"/>
        <v>0</v>
      </c>
      <c r="EC848" s="161">
        <f t="shared" si="3308"/>
        <v>0</v>
      </c>
      <c r="ED848" s="161">
        <f t="shared" si="3309"/>
        <v>0</v>
      </c>
      <c r="EE848" s="161">
        <f t="shared" si="3310"/>
        <v>0</v>
      </c>
      <c r="EF848" s="161">
        <f t="shared" si="3311"/>
        <v>0</v>
      </c>
      <c r="EG848" s="161">
        <f t="shared" si="3312"/>
        <v>0</v>
      </c>
      <c r="EH848" s="161">
        <f t="shared" si="3313"/>
        <v>0</v>
      </c>
      <c r="EI848" s="161">
        <f t="shared" si="3314"/>
        <v>0</v>
      </c>
    </row>
    <row r="849" spans="2:139" ht="12" customHeight="1" outlineLevel="1">
      <c r="B849" s="137" t="str">
        <f>IF(F849&gt;0,F849&amp;" - "&amp;D840,"")</f>
        <v/>
      </c>
      <c r="C849" s="65"/>
      <c r="D849" s="606"/>
      <c r="E849" s="65"/>
      <c r="F849" s="164"/>
      <c r="G849" s="165"/>
      <c r="H849" s="166">
        <f t="shared" si="3317"/>
        <v>0</v>
      </c>
      <c r="I849" s="144">
        <f t="shared" si="3318"/>
        <v>0</v>
      </c>
      <c r="J849" s="65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  <c r="AE849" s="167"/>
      <c r="AF849" s="167"/>
      <c r="AG849" s="167"/>
      <c r="AH849" s="167"/>
      <c r="AI849" s="167"/>
      <c r="AJ849" s="167"/>
      <c r="AK849" s="167"/>
      <c r="AL849" s="167"/>
      <c r="AM849" s="167"/>
      <c r="AN849" s="167"/>
      <c r="AO849" s="167"/>
      <c r="AP849" s="167"/>
      <c r="AQ849" s="167"/>
      <c r="AR849" s="167"/>
      <c r="AS849" s="167"/>
      <c r="AT849" s="167"/>
      <c r="AU849" s="167"/>
      <c r="AV849" s="167"/>
      <c r="AW849" s="167"/>
      <c r="AX849" s="167"/>
      <c r="AY849" s="167"/>
      <c r="AZ849" s="167"/>
      <c r="BA849" s="167"/>
      <c r="BB849" s="167"/>
      <c r="BC849" s="167"/>
      <c r="BD849" s="167"/>
      <c r="BE849" s="167"/>
      <c r="BF849" s="167"/>
      <c r="BG849" s="167"/>
      <c r="BH849" s="167"/>
      <c r="BI849" s="167"/>
      <c r="BJ849" s="167"/>
      <c r="BK849" s="167"/>
      <c r="BL849" s="167"/>
      <c r="BM849" s="167"/>
      <c r="BN849" s="167"/>
      <c r="BO849" s="167"/>
      <c r="BP849" s="167"/>
      <c r="BQ849" s="167"/>
      <c r="BR849" s="167"/>
      <c r="BS849" s="65"/>
      <c r="BT849" s="65"/>
      <c r="BU849" s="65"/>
      <c r="BV849" s="65"/>
      <c r="BW849" s="69"/>
      <c r="BX849" s="65"/>
      <c r="BY849" s="137">
        <f t="shared" si="3315"/>
        <v>0</v>
      </c>
      <c r="BZ849" s="137">
        <f>IF(BY849&gt;0,BY849+LARGE($BZ$757:BZ848,1),0)</f>
        <v>0</v>
      </c>
      <c r="CA849" s="137">
        <f t="shared" si="3316"/>
        <v>0</v>
      </c>
      <c r="CB849" s="161">
        <f t="shared" si="3255"/>
        <v>0</v>
      </c>
      <c r="CC849" s="161">
        <f t="shared" si="3256"/>
        <v>0</v>
      </c>
      <c r="CD849" s="161">
        <f t="shared" si="3257"/>
        <v>0</v>
      </c>
      <c r="CE849" s="161">
        <f t="shared" si="3258"/>
        <v>0</v>
      </c>
      <c r="CF849" s="161">
        <f t="shared" si="3259"/>
        <v>0</v>
      </c>
      <c r="CG849" s="161">
        <f t="shared" si="3260"/>
        <v>0</v>
      </c>
      <c r="CH849" s="161">
        <f t="shared" si="3261"/>
        <v>0</v>
      </c>
      <c r="CI849" s="161">
        <f t="shared" si="3262"/>
        <v>0</v>
      </c>
      <c r="CJ849" s="161">
        <f t="shared" si="3263"/>
        <v>0</v>
      </c>
      <c r="CK849" s="161">
        <f t="shared" si="3264"/>
        <v>0</v>
      </c>
      <c r="CL849" s="161">
        <f t="shared" si="3265"/>
        <v>0</v>
      </c>
      <c r="CM849" s="161">
        <f t="shared" si="3266"/>
        <v>0</v>
      </c>
      <c r="CN849" s="161">
        <f t="shared" si="3267"/>
        <v>0</v>
      </c>
      <c r="CO849" s="161">
        <f t="shared" si="3268"/>
        <v>0</v>
      </c>
      <c r="CP849" s="161">
        <f t="shared" si="3269"/>
        <v>0</v>
      </c>
      <c r="CQ849" s="161">
        <f t="shared" si="3270"/>
        <v>0</v>
      </c>
      <c r="CR849" s="161">
        <f t="shared" si="3271"/>
        <v>0</v>
      </c>
      <c r="CS849" s="161">
        <f t="shared" si="3272"/>
        <v>0</v>
      </c>
      <c r="CT849" s="161">
        <f t="shared" si="3273"/>
        <v>0</v>
      </c>
      <c r="CU849" s="161">
        <f t="shared" si="3274"/>
        <v>0</v>
      </c>
      <c r="CV849" s="161">
        <f t="shared" si="3275"/>
        <v>0</v>
      </c>
      <c r="CW849" s="161">
        <f t="shared" si="3276"/>
        <v>0</v>
      </c>
      <c r="CX849" s="161">
        <f t="shared" si="3277"/>
        <v>0</v>
      </c>
      <c r="CY849" s="161">
        <f t="shared" si="3278"/>
        <v>0</v>
      </c>
      <c r="CZ849" s="161">
        <f t="shared" si="3279"/>
        <v>0</v>
      </c>
      <c r="DA849" s="161">
        <f t="shared" si="3280"/>
        <v>0</v>
      </c>
      <c r="DB849" s="161">
        <f t="shared" si="3281"/>
        <v>0</v>
      </c>
      <c r="DC849" s="161">
        <f t="shared" si="3282"/>
        <v>0</v>
      </c>
      <c r="DD849" s="161">
        <f t="shared" si="3283"/>
        <v>0</v>
      </c>
      <c r="DE849" s="161">
        <f t="shared" si="3284"/>
        <v>0</v>
      </c>
      <c r="DF849" s="161">
        <f t="shared" si="3285"/>
        <v>0</v>
      </c>
      <c r="DG849" s="161">
        <f t="shared" si="3286"/>
        <v>0</v>
      </c>
      <c r="DH849" s="161">
        <f t="shared" si="3287"/>
        <v>0</v>
      </c>
      <c r="DI849" s="161">
        <f t="shared" si="3288"/>
        <v>0</v>
      </c>
      <c r="DJ849" s="161">
        <f t="shared" si="3289"/>
        <v>0</v>
      </c>
      <c r="DK849" s="161">
        <f t="shared" si="3290"/>
        <v>0</v>
      </c>
      <c r="DL849" s="161">
        <f t="shared" si="3291"/>
        <v>0</v>
      </c>
      <c r="DM849" s="161">
        <f t="shared" si="3292"/>
        <v>0</v>
      </c>
      <c r="DN849" s="161">
        <f t="shared" si="3293"/>
        <v>0</v>
      </c>
      <c r="DO849" s="161">
        <f t="shared" si="3294"/>
        <v>0</v>
      </c>
      <c r="DP849" s="161">
        <f t="shared" si="3295"/>
        <v>0</v>
      </c>
      <c r="DQ849" s="161">
        <f t="shared" si="3296"/>
        <v>0</v>
      </c>
      <c r="DR849" s="161">
        <f t="shared" si="3297"/>
        <v>0</v>
      </c>
      <c r="DS849" s="161">
        <f t="shared" si="3298"/>
        <v>0</v>
      </c>
      <c r="DT849" s="161">
        <f t="shared" si="3299"/>
        <v>0</v>
      </c>
      <c r="DU849" s="161">
        <f t="shared" si="3300"/>
        <v>0</v>
      </c>
      <c r="DV849" s="161">
        <f t="shared" si="3301"/>
        <v>0</v>
      </c>
      <c r="DW849" s="161">
        <f t="shared" si="3302"/>
        <v>0</v>
      </c>
      <c r="DX849" s="161">
        <f t="shared" si="3303"/>
        <v>0</v>
      </c>
      <c r="DY849" s="161">
        <f t="shared" si="3304"/>
        <v>0</v>
      </c>
      <c r="DZ849" s="161">
        <f t="shared" si="3305"/>
        <v>0</v>
      </c>
      <c r="EA849" s="161">
        <f t="shared" si="3306"/>
        <v>0</v>
      </c>
      <c r="EB849" s="161">
        <f t="shared" si="3307"/>
        <v>0</v>
      </c>
      <c r="EC849" s="161">
        <f t="shared" si="3308"/>
        <v>0</v>
      </c>
      <c r="ED849" s="161">
        <f t="shared" si="3309"/>
        <v>0</v>
      </c>
      <c r="EE849" s="161">
        <f t="shared" si="3310"/>
        <v>0</v>
      </c>
      <c r="EF849" s="161">
        <f t="shared" si="3311"/>
        <v>0</v>
      </c>
      <c r="EG849" s="161">
        <f t="shared" si="3312"/>
        <v>0</v>
      </c>
      <c r="EH849" s="161">
        <f t="shared" si="3313"/>
        <v>0</v>
      </c>
      <c r="EI849" s="161">
        <f t="shared" si="3314"/>
        <v>0</v>
      </c>
    </row>
    <row r="850" spans="2:139" ht="6" customHeight="1" outlineLevel="1"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  <c r="AM850" s="65"/>
      <c r="AN850" s="65"/>
      <c r="AO850" s="65"/>
      <c r="AP850" s="65"/>
      <c r="AQ850" s="65"/>
      <c r="AR850" s="65"/>
      <c r="AS850" s="65"/>
      <c r="AT850" s="65"/>
      <c r="AU850" s="65"/>
      <c r="AV850" s="65"/>
      <c r="AW850" s="65"/>
      <c r="AX850" s="65"/>
      <c r="AY850" s="65"/>
      <c r="AZ850" s="65"/>
      <c r="BA850" s="65"/>
      <c r="BB850" s="65"/>
      <c r="BC850" s="65"/>
      <c r="BD850" s="65"/>
      <c r="BE850" s="65"/>
      <c r="BF850" s="65"/>
      <c r="BG850" s="65"/>
      <c r="BH850" s="65"/>
      <c r="BI850" s="65"/>
      <c r="BJ850" s="65"/>
      <c r="BK850" s="65"/>
      <c r="BL850" s="65"/>
      <c r="BM850" s="65"/>
      <c r="BN850" s="65"/>
      <c r="BO850" s="65"/>
      <c r="BP850" s="65"/>
      <c r="BQ850" s="65"/>
      <c r="BR850" s="65"/>
      <c r="BS850" s="65"/>
      <c r="BT850" s="65"/>
      <c r="BU850" s="65"/>
      <c r="BV850" s="65"/>
      <c r="BW850" s="69"/>
      <c r="BX850" s="65"/>
      <c r="BY850" s="65"/>
      <c r="BZ850" s="65"/>
      <c r="CA850" s="65"/>
      <c r="CB850" s="65"/>
      <c r="CC850" s="65"/>
      <c r="CD850" s="65"/>
      <c r="CE850" s="65"/>
      <c r="CF850" s="65"/>
      <c r="CG850" s="65"/>
      <c r="CH850" s="65"/>
      <c r="CI850" s="65"/>
      <c r="CJ850" s="65"/>
      <c r="CK850" s="65"/>
      <c r="CL850" s="65"/>
      <c r="CM850" s="65"/>
      <c r="CN850" s="65"/>
      <c r="CO850" s="65"/>
      <c r="CP850" s="65"/>
      <c r="CQ850" s="65"/>
      <c r="CR850" s="65"/>
      <c r="CS850" s="65"/>
      <c r="CT850" s="65"/>
      <c r="CU850" s="65"/>
      <c r="CV850" s="65"/>
      <c r="CW850" s="65"/>
      <c r="CX850" s="65"/>
      <c r="CY850" s="65"/>
      <c r="CZ850" s="65"/>
      <c r="DA850" s="65"/>
      <c r="DB850" s="65"/>
      <c r="DC850" s="65"/>
      <c r="DD850" s="65"/>
      <c r="DE850" s="65"/>
      <c r="DF850" s="65"/>
      <c r="DG850" s="65"/>
      <c r="DH850" s="65"/>
      <c r="DI850" s="65"/>
      <c r="DJ850" s="65"/>
      <c r="DK850" s="65"/>
      <c r="DL850" s="65"/>
      <c r="DM850" s="65"/>
      <c r="DN850" s="65"/>
      <c r="DO850" s="65"/>
      <c r="DP850" s="65"/>
      <c r="DQ850" s="65"/>
      <c r="DR850" s="65"/>
      <c r="DS850" s="65"/>
      <c r="DT850" s="65"/>
      <c r="DU850" s="65"/>
      <c r="DV850" s="65"/>
      <c r="DW850" s="65"/>
      <c r="DX850" s="65"/>
      <c r="DY850" s="65"/>
      <c r="DZ850" s="65"/>
      <c r="EA850" s="65"/>
      <c r="EB850" s="65"/>
      <c r="EC850" s="65"/>
      <c r="ED850" s="65"/>
      <c r="EE850" s="65"/>
      <c r="EF850" s="65"/>
      <c r="EG850" s="65"/>
      <c r="EH850" s="65"/>
      <c r="EI850" s="65"/>
    </row>
    <row r="851" spans="2:139" ht="24" customHeight="1">
      <c r="B851" s="65"/>
      <c r="C851" s="65"/>
      <c r="D851" s="65"/>
      <c r="E851" s="65"/>
      <c r="F851" s="596" t="s">
        <v>537</v>
      </c>
      <c r="G851" s="596"/>
      <c r="H851" s="596"/>
      <c r="I851" s="146">
        <f>MAX(K851:BR851)</f>
        <v>0.08</v>
      </c>
      <c r="J851" s="65"/>
      <c r="K851" s="146">
        <f>SUM(K757:K849)</f>
        <v>0.08</v>
      </c>
      <c r="L851" s="146">
        <f t="shared" ref="L851:AS851" si="3319">SUM(L757:L849)</f>
        <v>0.08</v>
      </c>
      <c r="M851" s="146">
        <f t="shared" si="3319"/>
        <v>0.08</v>
      </c>
      <c r="N851" s="146">
        <f t="shared" si="3319"/>
        <v>0.08</v>
      </c>
      <c r="O851" s="146">
        <f t="shared" si="3319"/>
        <v>0.08</v>
      </c>
      <c r="P851" s="146">
        <f t="shared" si="3319"/>
        <v>0.08</v>
      </c>
      <c r="Q851" s="146">
        <f t="shared" si="3319"/>
        <v>0.08</v>
      </c>
      <c r="R851" s="146">
        <f t="shared" si="3319"/>
        <v>0.08</v>
      </c>
      <c r="S851" s="146">
        <f t="shared" si="3319"/>
        <v>0.08</v>
      </c>
      <c r="T851" s="146">
        <f t="shared" si="3319"/>
        <v>0.08</v>
      </c>
      <c r="U851" s="146">
        <f t="shared" si="3319"/>
        <v>0.08</v>
      </c>
      <c r="V851" s="146">
        <f t="shared" si="3319"/>
        <v>0.08</v>
      </c>
      <c r="W851" s="146">
        <f t="shared" si="3319"/>
        <v>0</v>
      </c>
      <c r="X851" s="146">
        <f t="shared" si="3319"/>
        <v>0</v>
      </c>
      <c r="Y851" s="146">
        <f t="shared" si="3319"/>
        <v>0</v>
      </c>
      <c r="Z851" s="146">
        <f t="shared" si="3319"/>
        <v>0</v>
      </c>
      <c r="AA851" s="146">
        <f t="shared" si="3319"/>
        <v>0</v>
      </c>
      <c r="AB851" s="146">
        <f t="shared" si="3319"/>
        <v>0</v>
      </c>
      <c r="AC851" s="146">
        <f t="shared" si="3319"/>
        <v>0</v>
      </c>
      <c r="AD851" s="146">
        <f t="shared" si="3319"/>
        <v>0</v>
      </c>
      <c r="AE851" s="146">
        <f t="shared" si="3319"/>
        <v>0</v>
      </c>
      <c r="AF851" s="146">
        <f t="shared" si="3319"/>
        <v>0</v>
      </c>
      <c r="AG851" s="146">
        <f t="shared" si="3319"/>
        <v>0</v>
      </c>
      <c r="AH851" s="146">
        <f t="shared" si="3319"/>
        <v>0</v>
      </c>
      <c r="AI851" s="146">
        <f t="shared" si="3319"/>
        <v>0</v>
      </c>
      <c r="AJ851" s="146">
        <f t="shared" si="3319"/>
        <v>0</v>
      </c>
      <c r="AK851" s="146">
        <f t="shared" si="3319"/>
        <v>0</v>
      </c>
      <c r="AL851" s="146">
        <f t="shared" si="3319"/>
        <v>0</v>
      </c>
      <c r="AM851" s="146">
        <f t="shared" si="3319"/>
        <v>0</v>
      </c>
      <c r="AN851" s="146">
        <f t="shared" si="3319"/>
        <v>0</v>
      </c>
      <c r="AO851" s="146">
        <f t="shared" si="3319"/>
        <v>0</v>
      </c>
      <c r="AP851" s="146">
        <f t="shared" si="3319"/>
        <v>0</v>
      </c>
      <c r="AQ851" s="146">
        <f t="shared" si="3319"/>
        <v>0</v>
      </c>
      <c r="AR851" s="146">
        <f t="shared" si="3319"/>
        <v>0</v>
      </c>
      <c r="AS851" s="146">
        <f t="shared" si="3319"/>
        <v>0</v>
      </c>
      <c r="AT851" s="146">
        <f t="shared" ref="AT851:BR851" si="3320">SUM(AT757:AT849)</f>
        <v>0</v>
      </c>
      <c r="AU851" s="146">
        <f t="shared" si="3320"/>
        <v>0</v>
      </c>
      <c r="AV851" s="146">
        <f t="shared" si="3320"/>
        <v>0</v>
      </c>
      <c r="AW851" s="146">
        <f t="shared" si="3320"/>
        <v>0</v>
      </c>
      <c r="AX851" s="146">
        <f t="shared" si="3320"/>
        <v>0</v>
      </c>
      <c r="AY851" s="146">
        <f t="shared" si="3320"/>
        <v>0</v>
      </c>
      <c r="AZ851" s="146">
        <f t="shared" si="3320"/>
        <v>0</v>
      </c>
      <c r="BA851" s="146">
        <f t="shared" si="3320"/>
        <v>0</v>
      </c>
      <c r="BB851" s="146">
        <f t="shared" si="3320"/>
        <v>0</v>
      </c>
      <c r="BC851" s="146">
        <f t="shared" si="3320"/>
        <v>0</v>
      </c>
      <c r="BD851" s="146">
        <f t="shared" si="3320"/>
        <v>0</v>
      </c>
      <c r="BE851" s="146">
        <f t="shared" si="3320"/>
        <v>0</v>
      </c>
      <c r="BF851" s="146">
        <f t="shared" si="3320"/>
        <v>0</v>
      </c>
      <c r="BG851" s="146">
        <f t="shared" si="3320"/>
        <v>0</v>
      </c>
      <c r="BH851" s="146">
        <f t="shared" si="3320"/>
        <v>0</v>
      </c>
      <c r="BI851" s="146">
        <f t="shared" si="3320"/>
        <v>0</v>
      </c>
      <c r="BJ851" s="146">
        <f t="shared" si="3320"/>
        <v>0</v>
      </c>
      <c r="BK851" s="146">
        <f t="shared" si="3320"/>
        <v>0</v>
      </c>
      <c r="BL851" s="146">
        <f t="shared" si="3320"/>
        <v>0</v>
      </c>
      <c r="BM851" s="146">
        <f t="shared" si="3320"/>
        <v>0</v>
      </c>
      <c r="BN851" s="146">
        <f t="shared" si="3320"/>
        <v>0</v>
      </c>
      <c r="BO851" s="146">
        <f t="shared" si="3320"/>
        <v>0</v>
      </c>
      <c r="BP851" s="146">
        <f t="shared" si="3320"/>
        <v>0</v>
      </c>
      <c r="BQ851" s="146">
        <f t="shared" si="3320"/>
        <v>0</v>
      </c>
      <c r="BR851" s="146">
        <f t="shared" si="3320"/>
        <v>0</v>
      </c>
      <c r="BS851" s="65"/>
      <c r="BT851" s="65"/>
      <c r="BU851" s="65"/>
      <c r="BV851" s="65"/>
      <c r="BW851" s="69"/>
      <c r="BX851" s="65"/>
      <c r="BY851" s="65"/>
      <c r="BZ851" s="65"/>
      <c r="CA851" s="65"/>
      <c r="CB851" s="65"/>
      <c r="CC851" s="65"/>
      <c r="CD851" s="65"/>
      <c r="CE851" s="65"/>
      <c r="CF851" s="65"/>
      <c r="CG851" s="65"/>
      <c r="CH851" s="65"/>
      <c r="CI851" s="65"/>
      <c r="CJ851" s="65"/>
      <c r="CK851" s="65"/>
      <c r="CL851" s="65"/>
      <c r="CM851" s="65"/>
      <c r="CN851" s="65"/>
      <c r="CO851" s="65"/>
      <c r="CP851" s="65"/>
      <c r="CQ851" s="65"/>
      <c r="CR851" s="65"/>
      <c r="CS851" s="65"/>
      <c r="CT851" s="65"/>
      <c r="CU851" s="65"/>
      <c r="CV851" s="65"/>
      <c r="CW851" s="65"/>
      <c r="CX851" s="65"/>
      <c r="CY851" s="65"/>
      <c r="CZ851" s="65"/>
      <c r="DA851" s="65"/>
      <c r="DB851" s="65"/>
      <c r="DC851" s="65"/>
      <c r="DD851" s="65"/>
      <c r="DE851" s="65"/>
      <c r="DF851" s="65"/>
      <c r="DG851" s="65"/>
      <c r="DH851" s="65"/>
      <c r="DI851" s="65"/>
      <c r="DJ851" s="65"/>
      <c r="DK851" s="65"/>
      <c r="DL851" s="65"/>
      <c r="DM851" s="65"/>
      <c r="DN851" s="65"/>
      <c r="DO851" s="65"/>
      <c r="DP851" s="65"/>
      <c r="DQ851" s="65"/>
      <c r="DR851" s="65"/>
      <c r="DS851" s="65"/>
      <c r="DT851" s="65"/>
      <c r="DU851" s="65"/>
      <c r="DV851" s="65"/>
      <c r="DW851" s="65"/>
      <c r="DX851" s="65"/>
      <c r="DY851" s="65"/>
      <c r="DZ851" s="65"/>
      <c r="EA851" s="65"/>
      <c r="EB851" s="65"/>
      <c r="EC851" s="65"/>
      <c r="ED851" s="65"/>
      <c r="EE851" s="65"/>
      <c r="EF851" s="65"/>
      <c r="EG851" s="65"/>
      <c r="EH851" s="65"/>
      <c r="EI851" s="65"/>
    </row>
    <row r="852" spans="2:139" ht="24" customHeight="1">
      <c r="B852" s="65"/>
      <c r="C852" s="65"/>
      <c r="D852" s="65"/>
      <c r="E852" s="65"/>
      <c r="F852" s="597" t="s">
        <v>392</v>
      </c>
      <c r="G852" s="598"/>
      <c r="H852" s="598"/>
      <c r="I852" s="599"/>
      <c r="J852" s="65"/>
      <c r="K852" s="146">
        <f>K851</f>
        <v>0.08</v>
      </c>
      <c r="L852" s="146">
        <f>IF(L851&gt;0,L851+LARGE($K852:K852,1),0)</f>
        <v>0.16</v>
      </c>
      <c r="M852" s="146">
        <f>IF(M851&gt;0,M851+LARGE($K852:L852,1),0)</f>
        <v>0.24</v>
      </c>
      <c r="N852" s="146">
        <f>IF(N851&gt;0,N851+LARGE($K852:M852,1),0)</f>
        <v>0.32</v>
      </c>
      <c r="O852" s="146">
        <f>IF(O851&gt;0,O851+LARGE($K852:N852,1),0)</f>
        <v>0.4</v>
      </c>
      <c r="P852" s="146">
        <f>IF(P851&gt;0,P851+LARGE($K852:O852,1),0)</f>
        <v>0.48000000000000004</v>
      </c>
      <c r="Q852" s="146">
        <f>IF(Q851&gt;0,Q851+LARGE($K852:P852,1),0)</f>
        <v>0.56000000000000005</v>
      </c>
      <c r="R852" s="146">
        <f>IF(R851&gt;0,R851+LARGE($K852:Q852,1),0)</f>
        <v>0.64</v>
      </c>
      <c r="S852" s="146">
        <f>IF(S851&gt;0,S851+LARGE($K852:R852,1),0)</f>
        <v>0.72</v>
      </c>
      <c r="T852" s="146">
        <f>IF(T851&gt;0,T851+LARGE($K852:S852,1),0)</f>
        <v>0.79999999999999993</v>
      </c>
      <c r="U852" s="146">
        <f>IF(U851&gt;0,U851+LARGE($K852:T852,1),0)</f>
        <v>0.87999999999999989</v>
      </c>
      <c r="V852" s="146">
        <f>IF(V851&gt;0,V851+LARGE($K852:U852,1),0)</f>
        <v>0.95999999999999985</v>
      </c>
      <c r="W852" s="146">
        <f>IF(W851&gt;0,W851+LARGE($K852:V852,1),0)</f>
        <v>0</v>
      </c>
      <c r="X852" s="146">
        <f>IF(X851&gt;0,X851+LARGE($K852:W852,1),0)</f>
        <v>0</v>
      </c>
      <c r="Y852" s="146">
        <f>IF(Y851&gt;0,Y851+LARGE($K852:X852,1),0)</f>
        <v>0</v>
      </c>
      <c r="Z852" s="146">
        <f>IF(Z851&gt;0,Z851+LARGE($K852:Y852,1),0)</f>
        <v>0</v>
      </c>
      <c r="AA852" s="146">
        <f>IF(AA851&gt;0,AA851+LARGE($K852:Z852,1),0)</f>
        <v>0</v>
      </c>
      <c r="AB852" s="146">
        <f>IF(AB851&gt;0,AB851+LARGE($K852:AA852,1),0)</f>
        <v>0</v>
      </c>
      <c r="AC852" s="146">
        <f>IF(AC851&gt;0,AC851+LARGE($K852:AB852,1),0)</f>
        <v>0</v>
      </c>
      <c r="AD852" s="146">
        <f>IF(AD851&gt;0,AD851+LARGE($K852:AC852,1),0)</f>
        <v>0</v>
      </c>
      <c r="AE852" s="146">
        <f>IF(AE851&gt;0,AE851+LARGE($K852:AD852,1),0)</f>
        <v>0</v>
      </c>
      <c r="AF852" s="146">
        <f>IF(AF851&gt;0,AF851+LARGE($K852:AE852,1),0)</f>
        <v>0</v>
      </c>
      <c r="AG852" s="146">
        <f>IF(AG851&gt;0,AG851+LARGE($K852:AF852,1),0)</f>
        <v>0</v>
      </c>
      <c r="AH852" s="146">
        <f>IF(AH851&gt;0,AH851+LARGE($K852:AG852,1),0)</f>
        <v>0</v>
      </c>
      <c r="AI852" s="146">
        <f>IF(AI851&gt;0,AI851+LARGE($K852:AH852,1),0)</f>
        <v>0</v>
      </c>
      <c r="AJ852" s="146">
        <f>IF(AJ851&gt;0,AJ851+LARGE($K852:AI852,1),0)</f>
        <v>0</v>
      </c>
      <c r="AK852" s="146">
        <f>IF(AK851&gt;0,AK851+LARGE($K852:AJ852,1),0)</f>
        <v>0</v>
      </c>
      <c r="AL852" s="146">
        <f>IF(AL851&gt;0,AL851+LARGE($K852:AK852,1),0)</f>
        <v>0</v>
      </c>
      <c r="AM852" s="146">
        <f>IF(AM851&gt;0,AM851+LARGE($K852:AL852,1),0)</f>
        <v>0</v>
      </c>
      <c r="AN852" s="146">
        <f>IF(AN851&gt;0,AN851+LARGE($K852:AM852,1),0)</f>
        <v>0</v>
      </c>
      <c r="AO852" s="146">
        <f>IF(AO851&gt;0,AO851+LARGE($K852:AN852,1),0)</f>
        <v>0</v>
      </c>
      <c r="AP852" s="146">
        <f>IF(AP851&gt;0,AP851+LARGE($K852:AO852,1),0)</f>
        <v>0</v>
      </c>
      <c r="AQ852" s="146">
        <f>IF(AQ851&gt;0,AQ851+LARGE($K852:AP852,1),0)</f>
        <v>0</v>
      </c>
      <c r="AR852" s="146">
        <f>IF(AR851&gt;0,AR851+LARGE($K852:AQ852,1),0)</f>
        <v>0</v>
      </c>
      <c r="AS852" s="146">
        <f>IF(AS851&gt;0,AS851+LARGE($K852:AR852,1),0)</f>
        <v>0</v>
      </c>
      <c r="AT852" s="146">
        <f>IF(AT851&gt;0,AT851+LARGE($K852:AS852,1),0)</f>
        <v>0</v>
      </c>
      <c r="AU852" s="146">
        <f>IF(AU851&gt;0,AU851+LARGE($K852:AT852,1),0)</f>
        <v>0</v>
      </c>
      <c r="AV852" s="146">
        <f>IF(AV851&gt;0,AV851+LARGE($K852:AU852,1),0)</f>
        <v>0</v>
      </c>
      <c r="AW852" s="146">
        <f>IF(AW851&gt;0,AW851+LARGE($K852:AV852,1),0)</f>
        <v>0</v>
      </c>
      <c r="AX852" s="146">
        <f>IF(AX851&gt;0,AX851+LARGE($K852:AW852,1),0)</f>
        <v>0</v>
      </c>
      <c r="AY852" s="146">
        <f>IF(AY851&gt;0,AY851+LARGE($K852:AX852,1),0)</f>
        <v>0</v>
      </c>
      <c r="AZ852" s="146">
        <f>IF(AZ851&gt;0,AZ851+LARGE($K852:AY852,1),0)</f>
        <v>0</v>
      </c>
      <c r="BA852" s="146">
        <f>IF(BA851&gt;0,BA851+LARGE($K852:AZ852,1),0)</f>
        <v>0</v>
      </c>
      <c r="BB852" s="146">
        <f>IF(BB851&gt;0,BB851+LARGE($K852:BA852,1),0)</f>
        <v>0</v>
      </c>
      <c r="BC852" s="146">
        <f>IF(BC851&gt;0,BC851+LARGE($K852:BB852,1),0)</f>
        <v>0</v>
      </c>
      <c r="BD852" s="146">
        <f>IF(BD851&gt;0,BD851+LARGE($K852:BC852,1),0)</f>
        <v>0</v>
      </c>
      <c r="BE852" s="146">
        <f>IF(BE851&gt;0,BE851+LARGE($K852:BD852,1),0)</f>
        <v>0</v>
      </c>
      <c r="BF852" s="146">
        <f>IF(BF851&gt;0,BF851+LARGE($K852:BE852,1),0)</f>
        <v>0</v>
      </c>
      <c r="BG852" s="146">
        <f>IF(BG851&gt;0,BG851+LARGE($K852:BF852,1),0)</f>
        <v>0</v>
      </c>
      <c r="BH852" s="146">
        <f>IF(BH851&gt;0,BH851+LARGE($K852:BG852,1),0)</f>
        <v>0</v>
      </c>
      <c r="BI852" s="146">
        <f>IF(BI851&gt;0,BI851+LARGE($K852:BH852,1),0)</f>
        <v>0</v>
      </c>
      <c r="BJ852" s="146">
        <f>IF(BJ851&gt;0,BJ851+LARGE($K852:BI852,1),0)</f>
        <v>0</v>
      </c>
      <c r="BK852" s="146">
        <f>IF(BK851&gt;0,BK851+LARGE($K852:BJ852,1),0)</f>
        <v>0</v>
      </c>
      <c r="BL852" s="146">
        <f>IF(BL851&gt;0,BL851+LARGE($K852:BK852,1),0)</f>
        <v>0</v>
      </c>
      <c r="BM852" s="146">
        <f>IF(BM851&gt;0,BM851+LARGE($K852:BL852,1),0)</f>
        <v>0</v>
      </c>
      <c r="BN852" s="146">
        <f>IF(BN851&gt;0,BN851+LARGE($K852:BM852,1),0)</f>
        <v>0</v>
      </c>
      <c r="BO852" s="146">
        <f>IF(BO851&gt;0,BO851+LARGE($K852:BN852,1),0)</f>
        <v>0</v>
      </c>
      <c r="BP852" s="146">
        <f>IF(BP851&gt;0,BP851+LARGE($K852:BO852,1),0)</f>
        <v>0</v>
      </c>
      <c r="BQ852" s="146">
        <f>IF(BQ851&gt;0,BQ851+LARGE($K852:BP852,1),0)</f>
        <v>0</v>
      </c>
      <c r="BR852" s="146">
        <f>IF(BR851&gt;0,BR851+LARGE($K852:BQ852,1),0)</f>
        <v>0</v>
      </c>
      <c r="BS852" s="65"/>
      <c r="BT852" s="65"/>
      <c r="BU852" s="65"/>
      <c r="BV852" s="65"/>
      <c r="BW852" s="69"/>
      <c r="BX852" s="65"/>
      <c r="BY852" s="65"/>
      <c r="BZ852" s="65"/>
      <c r="CA852" s="65"/>
      <c r="CB852" s="65"/>
      <c r="CC852" s="65"/>
      <c r="CD852" s="65"/>
      <c r="CE852" s="65"/>
      <c r="CF852" s="65"/>
      <c r="CG852" s="65"/>
      <c r="CH852" s="65"/>
      <c r="CI852" s="65"/>
      <c r="CJ852" s="65"/>
      <c r="CK852" s="65"/>
      <c r="CL852" s="65"/>
      <c r="CM852" s="65"/>
      <c r="CN852" s="65"/>
      <c r="CO852" s="65"/>
      <c r="CP852" s="65"/>
      <c r="CQ852" s="65"/>
      <c r="CR852" s="65"/>
      <c r="CS852" s="65"/>
      <c r="CT852" s="65"/>
      <c r="CU852" s="65"/>
      <c r="CV852" s="65"/>
      <c r="CW852" s="65"/>
      <c r="CX852" s="65"/>
      <c r="CY852" s="65"/>
      <c r="CZ852" s="65"/>
      <c r="DA852" s="65"/>
      <c r="DB852" s="65"/>
      <c r="DC852" s="65"/>
      <c r="DD852" s="65"/>
      <c r="DE852" s="65"/>
      <c r="DF852" s="65"/>
      <c r="DG852" s="65"/>
      <c r="DH852" s="65"/>
      <c r="DI852" s="65"/>
      <c r="DJ852" s="65"/>
      <c r="DK852" s="65"/>
      <c r="DL852" s="65"/>
      <c r="DM852" s="65"/>
      <c r="DN852" s="65"/>
      <c r="DO852" s="65"/>
      <c r="DP852" s="65"/>
      <c r="DQ852" s="65"/>
      <c r="DR852" s="65"/>
      <c r="DS852" s="65"/>
      <c r="DT852" s="65"/>
      <c r="DU852" s="65"/>
      <c r="DV852" s="65"/>
      <c r="DW852" s="65"/>
      <c r="DX852" s="65"/>
      <c r="DY852" s="65"/>
      <c r="DZ852" s="65"/>
      <c r="EA852" s="65"/>
      <c r="EB852" s="65"/>
      <c r="EC852" s="65"/>
      <c r="ED852" s="65"/>
      <c r="EE852" s="65"/>
      <c r="EF852" s="65"/>
      <c r="EG852" s="65"/>
      <c r="EH852" s="65"/>
      <c r="EI852" s="65"/>
    </row>
    <row r="853" spans="2:139" ht="12" customHeight="1"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  <c r="AM853" s="65"/>
      <c r="AN853" s="65"/>
      <c r="AO853" s="65"/>
      <c r="AP853" s="65"/>
      <c r="AQ853" s="65"/>
      <c r="AR853" s="65"/>
      <c r="AS853" s="65"/>
      <c r="AT853" s="65"/>
      <c r="AU853" s="65"/>
      <c r="AV853" s="65"/>
      <c r="AW853" s="65"/>
      <c r="AX853" s="65"/>
      <c r="AY853" s="65"/>
      <c r="AZ853" s="65"/>
      <c r="BA853" s="65"/>
      <c r="BB853" s="65"/>
      <c r="BC853" s="65"/>
      <c r="BD853" s="65"/>
      <c r="BE853" s="65"/>
      <c r="BF853" s="65"/>
      <c r="BG853" s="65"/>
      <c r="BH853" s="65"/>
      <c r="BI853" s="65"/>
      <c r="BJ853" s="65"/>
      <c r="BK853" s="65"/>
      <c r="BL853" s="65"/>
      <c r="BM853" s="65"/>
      <c r="BN853" s="65"/>
      <c r="BO853" s="65"/>
      <c r="BP853" s="65"/>
      <c r="BQ853" s="65"/>
      <c r="BR853" s="65"/>
      <c r="BS853" s="65"/>
      <c r="BT853" s="65"/>
      <c r="BU853" s="65"/>
      <c r="BV853" s="65"/>
      <c r="BW853" s="69"/>
      <c r="BX853" s="65"/>
      <c r="BY853" s="65"/>
      <c r="BZ853" s="65"/>
      <c r="CA853" s="65"/>
      <c r="CB853" s="65"/>
      <c r="CC853" s="65"/>
      <c r="CD853" s="65"/>
      <c r="CE853" s="65"/>
      <c r="CF853" s="65"/>
      <c r="CG853" s="65"/>
      <c r="CH853" s="65"/>
      <c r="CI853" s="65"/>
      <c r="CJ853" s="65"/>
      <c r="CK853" s="65"/>
      <c r="CL853" s="65"/>
      <c r="CM853" s="65"/>
      <c r="CN853" s="65"/>
      <c r="CO853" s="65"/>
      <c r="CP853" s="65"/>
      <c r="CQ853" s="65"/>
      <c r="CR853" s="65"/>
      <c r="CS853" s="65"/>
      <c r="CT853" s="65"/>
      <c r="CU853" s="65"/>
      <c r="CV853" s="65"/>
      <c r="CW853" s="65"/>
      <c r="CX853" s="65"/>
      <c r="CY853" s="65"/>
      <c r="CZ853" s="65"/>
      <c r="DA853" s="65"/>
      <c r="DB853" s="65"/>
      <c r="DC853" s="65"/>
      <c r="DD853" s="65"/>
      <c r="DE853" s="65"/>
      <c r="DF853" s="65"/>
      <c r="DG853" s="65"/>
      <c r="DH853" s="65"/>
      <c r="DI853" s="65"/>
      <c r="DJ853" s="65"/>
      <c r="DK853" s="65"/>
      <c r="DL853" s="65"/>
      <c r="DM853" s="65"/>
      <c r="DN853" s="65"/>
      <c r="DO853" s="65"/>
      <c r="DP853" s="65"/>
      <c r="DQ853" s="65"/>
      <c r="DR853" s="65"/>
      <c r="DS853" s="65"/>
      <c r="DT853" s="65"/>
      <c r="DU853" s="65"/>
      <c r="DV853" s="65"/>
      <c r="DW853" s="65"/>
      <c r="DX853" s="65"/>
      <c r="DY853" s="65"/>
      <c r="DZ853" s="65"/>
      <c r="EA853" s="65"/>
      <c r="EB853" s="65"/>
      <c r="EC853" s="65"/>
      <c r="ED853" s="65"/>
      <c r="EE853" s="65"/>
      <c r="EF853" s="65"/>
      <c r="EG853" s="65"/>
      <c r="EH853" s="65"/>
      <c r="EI853" s="65"/>
    </row>
    <row r="854" spans="2:139" ht="5.0999999999999996" customHeight="1">
      <c r="B854" s="65"/>
      <c r="C854" s="65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  <c r="AS854" s="69"/>
      <c r="AT854" s="69"/>
      <c r="AU854" s="69"/>
      <c r="AV854" s="69"/>
      <c r="AW854" s="69"/>
      <c r="AX854" s="69"/>
      <c r="AY854" s="69"/>
      <c r="AZ854" s="69"/>
      <c r="BA854" s="69"/>
      <c r="BB854" s="69"/>
      <c r="BC854" s="69"/>
      <c r="BD854" s="69"/>
      <c r="BE854" s="69"/>
      <c r="BF854" s="69"/>
      <c r="BG854" s="69"/>
      <c r="BH854" s="69"/>
      <c r="BI854" s="69"/>
      <c r="BJ854" s="69"/>
      <c r="BK854" s="69"/>
      <c r="BL854" s="69"/>
      <c r="BM854" s="69"/>
      <c r="BN854" s="69"/>
      <c r="BO854" s="69"/>
      <c r="BP854" s="69"/>
      <c r="BQ854" s="69"/>
      <c r="BR854" s="69"/>
      <c r="BS854" s="69"/>
      <c r="BT854" s="69"/>
      <c r="BU854" s="69"/>
      <c r="BV854" s="65"/>
      <c r="BW854" s="69"/>
      <c r="BX854" s="65"/>
      <c r="BY854" s="65"/>
      <c r="BZ854" s="65"/>
      <c r="CA854" s="65"/>
      <c r="CB854" s="65"/>
      <c r="CC854" s="65"/>
      <c r="CD854" s="65"/>
      <c r="CE854" s="65"/>
      <c r="CF854" s="65"/>
      <c r="CG854" s="65"/>
      <c r="CH854" s="65"/>
      <c r="CI854" s="65"/>
      <c r="CJ854" s="65"/>
      <c r="CK854" s="65"/>
      <c r="CL854" s="65"/>
      <c r="CM854" s="65"/>
      <c r="CN854" s="65"/>
      <c r="CO854" s="65"/>
      <c r="CP854" s="65"/>
      <c r="CQ854" s="65"/>
      <c r="CR854" s="65"/>
      <c r="CS854" s="65"/>
      <c r="CT854" s="65"/>
      <c r="CU854" s="65"/>
      <c r="CV854" s="65"/>
      <c r="CW854" s="65"/>
      <c r="CX854" s="65"/>
      <c r="CY854" s="65"/>
      <c r="CZ854" s="65"/>
      <c r="DA854" s="65"/>
      <c r="DB854" s="65"/>
      <c r="DC854" s="65"/>
      <c r="DD854" s="65"/>
      <c r="DE854" s="65"/>
      <c r="DF854" s="65"/>
      <c r="DG854" s="65"/>
      <c r="DH854" s="65"/>
      <c r="DI854" s="65"/>
      <c r="DJ854" s="65"/>
      <c r="DK854" s="65"/>
      <c r="DL854" s="65"/>
      <c r="DM854" s="65"/>
      <c r="DN854" s="65"/>
      <c r="DO854" s="65"/>
      <c r="DP854" s="65"/>
      <c r="DQ854" s="65"/>
      <c r="DR854" s="65"/>
      <c r="DS854" s="65"/>
      <c r="DT854" s="65"/>
      <c r="DU854" s="65"/>
      <c r="DV854" s="65"/>
      <c r="DW854" s="65"/>
      <c r="DX854" s="65"/>
      <c r="DY854" s="65"/>
      <c r="DZ854" s="65"/>
      <c r="EA854" s="65"/>
      <c r="EB854" s="65"/>
      <c r="EC854" s="65"/>
      <c r="ED854" s="65"/>
      <c r="EE854" s="65"/>
      <c r="EF854" s="65"/>
      <c r="EG854" s="65"/>
      <c r="EH854" s="65"/>
      <c r="EI854" s="65"/>
    </row>
    <row r="855" spans="2:139" ht="12" customHeight="1">
      <c r="B855" s="65"/>
      <c r="C855" s="65"/>
      <c r="D855" s="65"/>
      <c r="E855" s="65"/>
      <c r="F855" s="65"/>
      <c r="G855" s="65"/>
      <c r="H855" s="65"/>
      <c r="I855" s="65"/>
      <c r="J855" s="65"/>
      <c r="K855" s="468" t="s">
        <v>355</v>
      </c>
      <c r="L855" s="468"/>
      <c r="M855" s="468"/>
      <c r="N855" s="468"/>
      <c r="O855" s="468"/>
      <c r="P855" s="468"/>
      <c r="Q855" s="468"/>
      <c r="R855" s="468"/>
      <c r="S855" s="468"/>
      <c r="T855" s="468"/>
      <c r="U855" s="468"/>
      <c r="V855" s="468"/>
      <c r="W855" s="468" t="s">
        <v>356</v>
      </c>
      <c r="X855" s="468"/>
      <c r="Y855" s="468"/>
      <c r="Z855" s="468"/>
      <c r="AA855" s="468"/>
      <c r="AB855" s="468"/>
      <c r="AC855" s="468"/>
      <c r="AD855" s="468"/>
      <c r="AE855" s="468"/>
      <c r="AF855" s="468"/>
      <c r="AG855" s="468"/>
      <c r="AH855" s="468"/>
      <c r="AI855" s="468" t="s">
        <v>357</v>
      </c>
      <c r="AJ855" s="468"/>
      <c r="AK855" s="468"/>
      <c r="AL855" s="468"/>
      <c r="AM855" s="468"/>
      <c r="AN855" s="468"/>
      <c r="AO855" s="468"/>
      <c r="AP855" s="468"/>
      <c r="AQ855" s="468"/>
      <c r="AR855" s="468"/>
      <c r="AS855" s="468"/>
      <c r="AT855" s="468"/>
      <c r="AU855" s="468" t="s">
        <v>358</v>
      </c>
      <c r="AV855" s="468"/>
      <c r="AW855" s="468"/>
      <c r="AX855" s="468"/>
      <c r="AY855" s="468"/>
      <c r="AZ855" s="468"/>
      <c r="BA855" s="468"/>
      <c r="BB855" s="468"/>
      <c r="BC855" s="468"/>
      <c r="BD855" s="468"/>
      <c r="BE855" s="468"/>
      <c r="BF855" s="468"/>
      <c r="BG855" s="468" t="s">
        <v>359</v>
      </c>
      <c r="BH855" s="468"/>
      <c r="BI855" s="468"/>
      <c r="BJ855" s="468"/>
      <c r="BK855" s="468"/>
      <c r="BL855" s="468"/>
      <c r="BM855" s="468"/>
      <c r="BN855" s="468"/>
      <c r="BO855" s="468"/>
      <c r="BP855" s="468"/>
      <c r="BQ855" s="468"/>
      <c r="BR855" s="468"/>
      <c r="BS855" s="65"/>
      <c r="BT855" s="65"/>
      <c r="BU855" s="65"/>
      <c r="BV855" s="65"/>
      <c r="BW855" s="69"/>
      <c r="BX855" s="65"/>
      <c r="BY855" s="65"/>
      <c r="BZ855" s="65"/>
      <c r="CA855" s="65"/>
      <c r="CB855" s="65"/>
      <c r="CC855" s="65"/>
      <c r="CD855" s="65"/>
      <c r="CE855" s="65"/>
      <c r="CF855" s="65"/>
      <c r="CG855" s="65"/>
      <c r="CH855" s="65"/>
      <c r="CI855" s="65"/>
      <c r="CJ855" s="65"/>
      <c r="CK855" s="65"/>
      <c r="CL855" s="65"/>
      <c r="CM855" s="65"/>
      <c r="CN855" s="65"/>
      <c r="CO855" s="65"/>
      <c r="CP855" s="65"/>
      <c r="CQ855" s="65"/>
      <c r="CR855" s="65"/>
      <c r="CS855" s="65"/>
      <c r="CT855" s="65"/>
      <c r="CU855" s="65"/>
      <c r="CV855" s="65"/>
      <c r="CW855" s="65"/>
      <c r="CX855" s="65"/>
      <c r="CY855" s="65"/>
      <c r="CZ855" s="65"/>
      <c r="DA855" s="65"/>
      <c r="DB855" s="65"/>
      <c r="DC855" s="65"/>
      <c r="DD855" s="65"/>
      <c r="DE855" s="65"/>
      <c r="DF855" s="65"/>
      <c r="DG855" s="65"/>
      <c r="DH855" s="65"/>
      <c r="DI855" s="65"/>
      <c r="DJ855" s="65"/>
      <c r="DK855" s="65"/>
      <c r="DL855" s="65"/>
      <c r="DM855" s="65"/>
      <c r="DN855" s="65"/>
      <c r="DO855" s="65"/>
      <c r="DP855" s="65"/>
      <c r="DQ855" s="65"/>
      <c r="DR855" s="65"/>
      <c r="DS855" s="65"/>
      <c r="DT855" s="65"/>
      <c r="DU855" s="65"/>
      <c r="DV855" s="65"/>
      <c r="DW855" s="65"/>
      <c r="DX855" s="65"/>
      <c r="DY855" s="65"/>
      <c r="DZ855" s="65"/>
      <c r="EA855" s="65"/>
      <c r="EB855" s="65"/>
      <c r="EC855" s="65"/>
      <c r="ED855" s="65"/>
      <c r="EE855" s="65"/>
      <c r="EF855" s="65"/>
      <c r="EG855" s="65"/>
      <c r="EH855" s="65"/>
      <c r="EI855" s="65"/>
    </row>
    <row r="856" spans="2:139" ht="24" customHeight="1">
      <c r="B856" s="65"/>
      <c r="C856" s="65"/>
      <c r="D856" s="608" t="s">
        <v>538</v>
      </c>
      <c r="E856" s="65"/>
      <c r="F856" s="600" t="s">
        <v>539</v>
      </c>
      <c r="G856" s="600"/>
      <c r="H856" s="600"/>
      <c r="I856" s="600"/>
      <c r="J856" s="65"/>
      <c r="K856" s="469">
        <v>1</v>
      </c>
      <c r="L856" s="469">
        <v>2</v>
      </c>
      <c r="M856" s="469">
        <v>3</v>
      </c>
      <c r="N856" s="469">
        <v>4</v>
      </c>
      <c r="O856" s="469">
        <v>5</v>
      </c>
      <c r="P856" s="469">
        <v>6</v>
      </c>
      <c r="Q856" s="469">
        <v>7</v>
      </c>
      <c r="R856" s="469">
        <v>8</v>
      </c>
      <c r="S856" s="469">
        <v>9</v>
      </c>
      <c r="T856" s="469">
        <v>10</v>
      </c>
      <c r="U856" s="469">
        <v>11</v>
      </c>
      <c r="V856" s="469">
        <v>12</v>
      </c>
      <c r="W856" s="469">
        <v>13</v>
      </c>
      <c r="X856" s="469">
        <v>14</v>
      </c>
      <c r="Y856" s="469">
        <v>15</v>
      </c>
      <c r="Z856" s="469">
        <v>16</v>
      </c>
      <c r="AA856" s="469">
        <v>17</v>
      </c>
      <c r="AB856" s="469">
        <v>18</v>
      </c>
      <c r="AC856" s="469">
        <v>19</v>
      </c>
      <c r="AD856" s="469">
        <v>20</v>
      </c>
      <c r="AE856" s="469">
        <v>21</v>
      </c>
      <c r="AF856" s="469">
        <v>22</v>
      </c>
      <c r="AG856" s="469">
        <v>23</v>
      </c>
      <c r="AH856" s="469">
        <v>24</v>
      </c>
      <c r="AI856" s="469">
        <v>25</v>
      </c>
      <c r="AJ856" s="469">
        <v>26</v>
      </c>
      <c r="AK856" s="469">
        <v>27</v>
      </c>
      <c r="AL856" s="469">
        <v>28</v>
      </c>
      <c r="AM856" s="469">
        <v>29</v>
      </c>
      <c r="AN856" s="469">
        <v>30</v>
      </c>
      <c r="AO856" s="469">
        <v>31</v>
      </c>
      <c r="AP856" s="469">
        <v>32</v>
      </c>
      <c r="AQ856" s="469">
        <v>33</v>
      </c>
      <c r="AR856" s="469">
        <v>34</v>
      </c>
      <c r="AS856" s="469">
        <v>35</v>
      </c>
      <c r="AT856" s="469">
        <v>36</v>
      </c>
      <c r="AU856" s="469">
        <v>37</v>
      </c>
      <c r="AV856" s="469">
        <v>38</v>
      </c>
      <c r="AW856" s="469">
        <v>39</v>
      </c>
      <c r="AX856" s="469">
        <v>40</v>
      </c>
      <c r="AY856" s="469">
        <v>41</v>
      </c>
      <c r="AZ856" s="469">
        <v>42</v>
      </c>
      <c r="BA856" s="469">
        <v>43</v>
      </c>
      <c r="BB856" s="469">
        <v>44</v>
      </c>
      <c r="BC856" s="469">
        <v>45</v>
      </c>
      <c r="BD856" s="469">
        <v>46</v>
      </c>
      <c r="BE856" s="469">
        <v>47</v>
      </c>
      <c r="BF856" s="469">
        <v>48</v>
      </c>
      <c r="BG856" s="469">
        <v>49</v>
      </c>
      <c r="BH856" s="469">
        <v>50</v>
      </c>
      <c r="BI856" s="469">
        <v>51</v>
      </c>
      <c r="BJ856" s="469">
        <v>52</v>
      </c>
      <c r="BK856" s="469">
        <v>53</v>
      </c>
      <c r="BL856" s="469">
        <v>54</v>
      </c>
      <c r="BM856" s="469">
        <v>55</v>
      </c>
      <c r="BN856" s="469">
        <v>56</v>
      </c>
      <c r="BO856" s="469">
        <v>57</v>
      </c>
      <c r="BP856" s="469">
        <v>58</v>
      </c>
      <c r="BQ856" s="469">
        <v>59</v>
      </c>
      <c r="BR856" s="469">
        <v>60</v>
      </c>
      <c r="BS856" s="65"/>
      <c r="BT856" s="65"/>
      <c r="BU856" s="65"/>
      <c r="BV856" s="65"/>
      <c r="BW856" s="69"/>
      <c r="BX856" s="65"/>
      <c r="BY856" s="65"/>
      <c r="BZ856" s="65"/>
      <c r="CA856" s="65"/>
      <c r="CB856" s="65"/>
      <c r="CC856" s="65"/>
      <c r="CD856" s="65"/>
      <c r="CE856" s="65"/>
      <c r="CF856" s="65"/>
      <c r="CG856" s="65"/>
      <c r="CH856" s="65"/>
      <c r="CI856" s="65"/>
      <c r="CJ856" s="65"/>
      <c r="CK856" s="65"/>
      <c r="CL856" s="65"/>
      <c r="CM856" s="65"/>
      <c r="CN856" s="65"/>
      <c r="CO856" s="65"/>
      <c r="CP856" s="65"/>
      <c r="CQ856" s="65"/>
      <c r="CR856" s="65"/>
      <c r="CS856" s="65"/>
      <c r="CT856" s="65"/>
      <c r="CU856" s="65"/>
      <c r="CV856" s="65"/>
      <c r="CW856" s="65"/>
      <c r="CX856" s="65"/>
      <c r="CY856" s="65"/>
      <c r="CZ856" s="65"/>
      <c r="DA856" s="65"/>
      <c r="DB856" s="65"/>
      <c r="DC856" s="65"/>
      <c r="DD856" s="65"/>
      <c r="DE856" s="65"/>
      <c r="DF856" s="65"/>
      <c r="DG856" s="65"/>
      <c r="DH856" s="65"/>
      <c r="DI856" s="65"/>
      <c r="DJ856" s="65"/>
      <c r="DK856" s="65"/>
      <c r="DL856" s="65"/>
      <c r="DM856" s="65"/>
      <c r="DN856" s="65"/>
      <c r="DO856" s="65"/>
      <c r="DP856" s="65"/>
      <c r="DQ856" s="65"/>
      <c r="DR856" s="65"/>
      <c r="DS856" s="65"/>
      <c r="DT856" s="65"/>
      <c r="DU856" s="65"/>
      <c r="DV856" s="65"/>
      <c r="DW856" s="65"/>
      <c r="DX856" s="65"/>
      <c r="DY856" s="65"/>
      <c r="DZ856" s="65"/>
      <c r="EA856" s="65"/>
      <c r="EB856" s="65"/>
      <c r="EC856" s="65"/>
      <c r="ED856" s="65"/>
      <c r="EE856" s="65"/>
      <c r="EF856" s="65"/>
      <c r="EG856" s="65"/>
      <c r="EH856" s="65"/>
      <c r="EI856" s="65"/>
    </row>
    <row r="857" spans="2:139" ht="24" customHeight="1">
      <c r="B857" s="65"/>
      <c r="C857" s="65"/>
      <c r="D857" s="609"/>
      <c r="E857" s="65"/>
      <c r="F857" s="142" t="s">
        <v>198</v>
      </c>
      <c r="G857" s="142" t="s">
        <v>253</v>
      </c>
      <c r="H857" s="142" t="s">
        <v>396</v>
      </c>
      <c r="I857" s="142" t="s">
        <v>466</v>
      </c>
      <c r="J857" s="65"/>
      <c r="K857" s="145" t="str">
        <f>IF(COLUMN()-COLUMN($K857)+1&lt;=Dashboard!$D$14,"X","")</f>
        <v>X</v>
      </c>
      <c r="L857" s="145" t="str">
        <f>IF(COLUMN()-COLUMN($K857)+1&lt;=Dashboard!$D$14,"X","")</f>
        <v>X</v>
      </c>
      <c r="M857" s="145" t="str">
        <f>IF(COLUMN()-COLUMN($K857)+1&lt;=Dashboard!$D$14,"X","")</f>
        <v>X</v>
      </c>
      <c r="N857" s="145" t="str">
        <f>IF(COLUMN()-COLUMN($K857)+1&lt;=Dashboard!$D$14,"X","")</f>
        <v>X</v>
      </c>
      <c r="O857" s="145" t="str">
        <f>IF(COLUMN()-COLUMN($K857)+1&lt;=Dashboard!$D$14,"X","")</f>
        <v>X</v>
      </c>
      <c r="P857" s="145" t="str">
        <f>IF(COLUMN()-COLUMN($K857)+1&lt;=Dashboard!$D$14,"X","")</f>
        <v>X</v>
      </c>
      <c r="Q857" s="145" t="str">
        <f>IF(COLUMN()-COLUMN($K857)+1&lt;=Dashboard!$D$14,"X","")</f>
        <v>X</v>
      </c>
      <c r="R857" s="145" t="str">
        <f>IF(COLUMN()-COLUMN($K857)+1&lt;=Dashboard!$D$14,"X","")</f>
        <v>X</v>
      </c>
      <c r="S857" s="145" t="str">
        <f>IF(COLUMN()-COLUMN($K857)+1&lt;=Dashboard!$D$14,"X","")</f>
        <v>X</v>
      </c>
      <c r="T857" s="145" t="str">
        <f>IF(COLUMN()-COLUMN($K857)+1&lt;=Dashboard!$D$14,"X","")</f>
        <v>X</v>
      </c>
      <c r="U857" s="145" t="str">
        <f>IF(COLUMN()-COLUMN($K857)+1&lt;=Dashboard!$D$14,"X","")</f>
        <v/>
      </c>
      <c r="V857" s="145" t="str">
        <f>IF(COLUMN()-COLUMN($K857)+1&lt;=Dashboard!$D$14,"X","")</f>
        <v/>
      </c>
      <c r="W857" s="145" t="str">
        <f>IF(COLUMN()-COLUMN($K857)+1&lt;=Dashboard!$D$14,"X","")</f>
        <v/>
      </c>
      <c r="X857" s="145" t="str">
        <f>IF(COLUMN()-COLUMN($K857)+1&lt;=Dashboard!$D$14,"X","")</f>
        <v/>
      </c>
      <c r="Y857" s="145" t="str">
        <f>IF(COLUMN()-COLUMN($K857)+1&lt;=Dashboard!$D$14,"X","")</f>
        <v/>
      </c>
      <c r="Z857" s="145" t="str">
        <f>IF(COLUMN()-COLUMN($K857)+1&lt;=Dashboard!$D$14,"X","")</f>
        <v/>
      </c>
      <c r="AA857" s="145" t="str">
        <f>IF(COLUMN()-COLUMN($K857)+1&lt;=Dashboard!$D$14,"X","")</f>
        <v/>
      </c>
      <c r="AB857" s="145" t="str">
        <f>IF(COLUMN()-COLUMN($K857)+1&lt;=Dashboard!$D$14,"X","")</f>
        <v/>
      </c>
      <c r="AC857" s="145" t="str">
        <f>IF(COLUMN()-COLUMN($K857)+1&lt;=Dashboard!$D$14,"X","")</f>
        <v/>
      </c>
      <c r="AD857" s="145" t="str">
        <f>IF(COLUMN()-COLUMN($K857)+1&lt;=Dashboard!$D$14,"X","")</f>
        <v/>
      </c>
      <c r="AE857" s="145" t="str">
        <f>IF(COLUMN()-COLUMN($K857)+1&lt;=Dashboard!$D$14,"X","")</f>
        <v/>
      </c>
      <c r="AF857" s="145" t="str">
        <f>IF(COLUMN()-COLUMN($K857)+1&lt;=Dashboard!$D$14,"X","")</f>
        <v/>
      </c>
      <c r="AG857" s="145" t="str">
        <f>IF(COLUMN()-COLUMN($K857)+1&lt;=Dashboard!$D$14,"X","")</f>
        <v/>
      </c>
      <c r="AH857" s="145" t="str">
        <f>IF(COLUMN()-COLUMN($K857)+1&lt;=Dashboard!$D$14,"X","")</f>
        <v/>
      </c>
      <c r="AI857" s="145" t="str">
        <f>IF(COLUMN()-COLUMN($K857)+1&lt;=Dashboard!$D$14,"X","")</f>
        <v/>
      </c>
      <c r="AJ857" s="145" t="str">
        <f>IF(COLUMN()-COLUMN($K857)+1&lt;=Dashboard!$D$14,"X","")</f>
        <v/>
      </c>
      <c r="AK857" s="145" t="str">
        <f>IF(COLUMN()-COLUMN($K857)+1&lt;=Dashboard!$D$14,"X","")</f>
        <v/>
      </c>
      <c r="AL857" s="145" t="str">
        <f>IF(COLUMN()-COLUMN($K857)+1&lt;=Dashboard!$D$14,"X","")</f>
        <v/>
      </c>
      <c r="AM857" s="145" t="str">
        <f>IF(COLUMN()-COLUMN($K857)+1&lt;=Dashboard!$D$14,"X","")</f>
        <v/>
      </c>
      <c r="AN857" s="145" t="str">
        <f>IF(COLUMN()-COLUMN($K857)+1&lt;=Dashboard!$D$14,"X","")</f>
        <v/>
      </c>
      <c r="AO857" s="145" t="str">
        <f>IF(COLUMN()-COLUMN($K857)+1&lt;=Dashboard!$D$14,"X","")</f>
        <v/>
      </c>
      <c r="AP857" s="145" t="str">
        <f>IF(COLUMN()-COLUMN($K857)+1&lt;=Dashboard!$D$14,"X","")</f>
        <v/>
      </c>
      <c r="AQ857" s="145" t="str">
        <f>IF(COLUMN()-COLUMN($K857)+1&lt;=Dashboard!$D$14,"X","")</f>
        <v/>
      </c>
      <c r="AR857" s="145" t="str">
        <f>IF(COLUMN()-COLUMN($K857)+1&lt;=Dashboard!$D$14,"X","")</f>
        <v/>
      </c>
      <c r="AS857" s="145" t="str">
        <f>IF(COLUMN()-COLUMN($K857)+1&lt;=Dashboard!$D$14,"X","")</f>
        <v/>
      </c>
      <c r="AT857" s="145" t="str">
        <f>IF(COLUMN()-COLUMN($K857)+1&lt;=Dashboard!$D$14,"X","")</f>
        <v/>
      </c>
      <c r="AU857" s="145" t="str">
        <f>IF(COLUMN()-COLUMN($K857)+1&lt;=Dashboard!$D$14,"X","")</f>
        <v/>
      </c>
      <c r="AV857" s="145" t="str">
        <f>IF(COLUMN()-COLUMN($K857)+1&lt;=Dashboard!$D$14,"X","")</f>
        <v/>
      </c>
      <c r="AW857" s="145" t="str">
        <f>IF(COLUMN()-COLUMN($K857)+1&lt;=Dashboard!$D$14,"X","")</f>
        <v/>
      </c>
      <c r="AX857" s="145" t="str">
        <f>IF(COLUMN()-COLUMN($K857)+1&lt;=Dashboard!$D$14,"X","")</f>
        <v/>
      </c>
      <c r="AY857" s="145" t="str">
        <f>IF(COLUMN()-COLUMN($K857)+1&lt;=Dashboard!$D$14,"X","")</f>
        <v/>
      </c>
      <c r="AZ857" s="145" t="str">
        <f>IF(COLUMN()-COLUMN($K857)+1&lt;=Dashboard!$D$14,"X","")</f>
        <v/>
      </c>
      <c r="BA857" s="145" t="str">
        <f>IF(COLUMN()-COLUMN($K857)+1&lt;=Dashboard!$D$14,"X","")</f>
        <v/>
      </c>
      <c r="BB857" s="145" t="str">
        <f>IF(COLUMN()-COLUMN($K857)+1&lt;=Dashboard!$D$14,"X","")</f>
        <v/>
      </c>
      <c r="BC857" s="145" t="str">
        <f>IF(COLUMN()-COLUMN($K857)+1&lt;=Dashboard!$D$14,"X","")</f>
        <v/>
      </c>
      <c r="BD857" s="145" t="str">
        <f>IF(COLUMN()-COLUMN($K857)+1&lt;=Dashboard!$D$14,"X","")</f>
        <v/>
      </c>
      <c r="BE857" s="145" t="str">
        <f>IF(COLUMN()-COLUMN($K857)+1&lt;=Dashboard!$D$14,"X","")</f>
        <v/>
      </c>
      <c r="BF857" s="145" t="str">
        <f>IF(COLUMN()-COLUMN($K857)+1&lt;=Dashboard!$D$14,"X","")</f>
        <v/>
      </c>
      <c r="BG857" s="145" t="str">
        <f>IF(COLUMN()-COLUMN($K857)+1&lt;=Dashboard!$D$14,"X","")</f>
        <v/>
      </c>
      <c r="BH857" s="145" t="str">
        <f>IF(COLUMN()-COLUMN($K857)+1&lt;=Dashboard!$D$14,"X","")</f>
        <v/>
      </c>
      <c r="BI857" s="145" t="str">
        <f>IF(COLUMN()-COLUMN($K857)+1&lt;=Dashboard!$D$14,"X","")</f>
        <v/>
      </c>
      <c r="BJ857" s="145" t="str">
        <f>IF(COLUMN()-COLUMN($K857)+1&lt;=Dashboard!$D$14,"X","")</f>
        <v/>
      </c>
      <c r="BK857" s="145" t="str">
        <f>IF(COLUMN()-COLUMN($K857)+1&lt;=Dashboard!$D$14,"X","")</f>
        <v/>
      </c>
      <c r="BL857" s="145" t="str">
        <f>IF(COLUMN()-COLUMN($K857)+1&lt;=Dashboard!$D$14,"X","")</f>
        <v/>
      </c>
      <c r="BM857" s="145" t="str">
        <f>IF(COLUMN()-COLUMN($K857)+1&lt;=Dashboard!$D$14,"X","")</f>
        <v/>
      </c>
      <c r="BN857" s="145" t="str">
        <f>IF(COLUMN()-COLUMN($K857)+1&lt;=Dashboard!$D$14,"X","")</f>
        <v/>
      </c>
      <c r="BO857" s="145" t="str">
        <f>IF(COLUMN()-COLUMN($K857)+1&lt;=Dashboard!$D$14,"X","")</f>
        <v/>
      </c>
      <c r="BP857" s="145" t="str">
        <f>IF(COLUMN()-COLUMN($K857)+1&lt;=Dashboard!$D$14,"X","")</f>
        <v/>
      </c>
      <c r="BQ857" s="145" t="str">
        <f>IF(COLUMN()-COLUMN($K857)+1&lt;=Dashboard!$D$14,"X","")</f>
        <v/>
      </c>
      <c r="BR857" s="145" t="str">
        <f>IF(COLUMN()-COLUMN($K857)+1&lt;=Dashboard!$D$14,"X","")</f>
        <v/>
      </c>
      <c r="BS857" s="65"/>
      <c r="BT857" s="65"/>
      <c r="BU857" s="65"/>
      <c r="BV857" s="65"/>
      <c r="BW857" s="69"/>
      <c r="BX857" s="65"/>
      <c r="BY857" s="65"/>
      <c r="BZ857" s="65"/>
      <c r="CA857" s="65"/>
      <c r="CB857" s="65"/>
      <c r="CC857" s="65"/>
      <c r="CD857" s="65"/>
      <c r="CE857" s="65"/>
      <c r="CF857" s="65"/>
      <c r="CG857" s="65"/>
      <c r="CH857" s="65"/>
      <c r="CI857" s="65"/>
      <c r="CJ857" s="65"/>
      <c r="CK857" s="65"/>
      <c r="CL857" s="65"/>
      <c r="CM857" s="65"/>
      <c r="CN857" s="65"/>
      <c r="CO857" s="65"/>
      <c r="CP857" s="65"/>
      <c r="CQ857" s="65"/>
      <c r="CR857" s="65"/>
      <c r="CS857" s="65"/>
      <c r="CT857" s="65"/>
      <c r="CU857" s="65"/>
      <c r="CV857" s="65"/>
      <c r="CW857" s="65"/>
      <c r="CX857" s="65"/>
      <c r="CY857" s="65"/>
      <c r="CZ857" s="65"/>
      <c r="DA857" s="65"/>
      <c r="DB857" s="65"/>
      <c r="DC857" s="65"/>
      <c r="DD857" s="65"/>
      <c r="DE857" s="65"/>
      <c r="DF857" s="65"/>
      <c r="DG857" s="65"/>
      <c r="DH857" s="65"/>
      <c r="DI857" s="65"/>
      <c r="DJ857" s="65"/>
      <c r="DK857" s="65"/>
      <c r="DL857" s="65"/>
      <c r="DM857" s="65"/>
      <c r="DN857" s="65"/>
      <c r="DO857" s="65"/>
      <c r="DP857" s="65"/>
      <c r="DQ857" s="65"/>
      <c r="DR857" s="65"/>
      <c r="DS857" s="65"/>
      <c r="DT857" s="65"/>
      <c r="DU857" s="65"/>
      <c r="DV857" s="65"/>
      <c r="DW857" s="65"/>
      <c r="DX857" s="65"/>
      <c r="DY857" s="65"/>
      <c r="DZ857" s="65"/>
      <c r="EA857" s="65"/>
      <c r="EB857" s="65"/>
      <c r="EC857" s="65"/>
      <c r="ED857" s="65"/>
      <c r="EE857" s="65"/>
      <c r="EF857" s="65"/>
      <c r="EG857" s="65"/>
      <c r="EH857" s="65"/>
      <c r="EI857" s="65"/>
    </row>
    <row r="858" spans="2:139" ht="12" customHeight="1">
      <c r="B858" s="65"/>
      <c r="C858" s="65"/>
      <c r="D858" s="65"/>
      <c r="E858" s="65"/>
      <c r="F858" s="618" t="s">
        <v>540</v>
      </c>
      <c r="G858" s="143" t="s">
        <v>15</v>
      </c>
      <c r="H858" s="144">
        <f>IFERROR(SUM(K858:BR858)/COUNTIF(K858:BR858,"&gt;0"),0)</f>
        <v>4.2699999999999987</v>
      </c>
      <c r="I858" s="144">
        <f>COUNTIF(K858:BR858,"&gt;0")</f>
        <v>10</v>
      </c>
      <c r="J858" s="65"/>
      <c r="K858" s="169">
        <f t="shared" ref="K858:AP858" si="3321">K691</f>
        <v>4.2699999999999996</v>
      </c>
      <c r="L858" s="169">
        <f t="shared" si="3321"/>
        <v>4.2699999999999996</v>
      </c>
      <c r="M858" s="169">
        <f t="shared" si="3321"/>
        <v>4.2699999999999996</v>
      </c>
      <c r="N858" s="169">
        <f t="shared" si="3321"/>
        <v>4.2699999999999996</v>
      </c>
      <c r="O858" s="169">
        <f t="shared" si="3321"/>
        <v>4.2699999999999996</v>
      </c>
      <c r="P858" s="169">
        <f t="shared" si="3321"/>
        <v>4.2699999999999996</v>
      </c>
      <c r="Q858" s="169">
        <f t="shared" si="3321"/>
        <v>4.2699999999999996</v>
      </c>
      <c r="R858" s="169">
        <f t="shared" si="3321"/>
        <v>4.2699999999999996</v>
      </c>
      <c r="S858" s="169">
        <f t="shared" si="3321"/>
        <v>4.2699999999999996</v>
      </c>
      <c r="T858" s="169">
        <f t="shared" si="3321"/>
        <v>4.2699999999999996</v>
      </c>
      <c r="U858" s="169">
        <f t="shared" si="3321"/>
        <v>0</v>
      </c>
      <c r="V858" s="169">
        <f t="shared" si="3321"/>
        <v>0</v>
      </c>
      <c r="W858" s="169">
        <f t="shared" si="3321"/>
        <v>0</v>
      </c>
      <c r="X858" s="169">
        <f t="shared" si="3321"/>
        <v>0</v>
      </c>
      <c r="Y858" s="169">
        <f t="shared" si="3321"/>
        <v>0</v>
      </c>
      <c r="Z858" s="169">
        <f t="shared" si="3321"/>
        <v>0</v>
      </c>
      <c r="AA858" s="169">
        <f t="shared" si="3321"/>
        <v>0</v>
      </c>
      <c r="AB858" s="169">
        <f t="shared" si="3321"/>
        <v>0</v>
      </c>
      <c r="AC858" s="169">
        <f t="shared" si="3321"/>
        <v>0</v>
      </c>
      <c r="AD858" s="169">
        <f t="shared" si="3321"/>
        <v>0</v>
      </c>
      <c r="AE858" s="169">
        <f t="shared" si="3321"/>
        <v>0</v>
      </c>
      <c r="AF858" s="169">
        <f t="shared" si="3321"/>
        <v>0</v>
      </c>
      <c r="AG858" s="169">
        <f t="shared" si="3321"/>
        <v>0</v>
      </c>
      <c r="AH858" s="169">
        <f t="shared" si="3321"/>
        <v>0</v>
      </c>
      <c r="AI858" s="169">
        <f t="shared" si="3321"/>
        <v>0</v>
      </c>
      <c r="AJ858" s="169">
        <f t="shared" si="3321"/>
        <v>0</v>
      </c>
      <c r="AK858" s="169">
        <f t="shared" si="3321"/>
        <v>0</v>
      </c>
      <c r="AL858" s="169">
        <f t="shared" si="3321"/>
        <v>0</v>
      </c>
      <c r="AM858" s="169">
        <f t="shared" si="3321"/>
        <v>0</v>
      </c>
      <c r="AN858" s="169">
        <f t="shared" si="3321"/>
        <v>0</v>
      </c>
      <c r="AO858" s="169">
        <f t="shared" si="3321"/>
        <v>0</v>
      </c>
      <c r="AP858" s="169">
        <f t="shared" si="3321"/>
        <v>0</v>
      </c>
      <c r="AQ858" s="169">
        <f t="shared" ref="AQ858:BR858" si="3322">AQ691</f>
        <v>0</v>
      </c>
      <c r="AR858" s="169">
        <f t="shared" si="3322"/>
        <v>0</v>
      </c>
      <c r="AS858" s="169">
        <f t="shared" si="3322"/>
        <v>0</v>
      </c>
      <c r="AT858" s="169">
        <f t="shared" si="3322"/>
        <v>0</v>
      </c>
      <c r="AU858" s="169">
        <f t="shared" si="3322"/>
        <v>0</v>
      </c>
      <c r="AV858" s="169">
        <f t="shared" si="3322"/>
        <v>0</v>
      </c>
      <c r="AW858" s="169">
        <f t="shared" si="3322"/>
        <v>0</v>
      </c>
      <c r="AX858" s="169">
        <f t="shared" si="3322"/>
        <v>0</v>
      </c>
      <c r="AY858" s="169">
        <f t="shared" si="3322"/>
        <v>0</v>
      </c>
      <c r="AZ858" s="169">
        <f t="shared" si="3322"/>
        <v>0</v>
      </c>
      <c r="BA858" s="169">
        <f t="shared" si="3322"/>
        <v>0</v>
      </c>
      <c r="BB858" s="169">
        <f t="shared" si="3322"/>
        <v>0</v>
      </c>
      <c r="BC858" s="169">
        <f t="shared" si="3322"/>
        <v>0</v>
      </c>
      <c r="BD858" s="169">
        <f t="shared" si="3322"/>
        <v>0</v>
      </c>
      <c r="BE858" s="169">
        <f t="shared" si="3322"/>
        <v>0</v>
      </c>
      <c r="BF858" s="169">
        <f t="shared" si="3322"/>
        <v>0</v>
      </c>
      <c r="BG858" s="169">
        <f t="shared" si="3322"/>
        <v>0</v>
      </c>
      <c r="BH858" s="169">
        <f t="shared" si="3322"/>
        <v>0</v>
      </c>
      <c r="BI858" s="169">
        <f t="shared" si="3322"/>
        <v>0</v>
      </c>
      <c r="BJ858" s="169">
        <f t="shared" si="3322"/>
        <v>0</v>
      </c>
      <c r="BK858" s="169">
        <f t="shared" si="3322"/>
        <v>0</v>
      </c>
      <c r="BL858" s="169">
        <f t="shared" si="3322"/>
        <v>0</v>
      </c>
      <c r="BM858" s="169">
        <f t="shared" si="3322"/>
        <v>0</v>
      </c>
      <c r="BN858" s="169">
        <f t="shared" si="3322"/>
        <v>0</v>
      </c>
      <c r="BO858" s="169">
        <f t="shared" si="3322"/>
        <v>0</v>
      </c>
      <c r="BP858" s="169">
        <f t="shared" si="3322"/>
        <v>0</v>
      </c>
      <c r="BQ858" s="169">
        <f t="shared" si="3322"/>
        <v>0</v>
      </c>
      <c r="BR858" s="169">
        <f t="shared" si="3322"/>
        <v>0</v>
      </c>
      <c r="BS858" s="65"/>
      <c r="BT858" s="65"/>
      <c r="BU858" s="65"/>
      <c r="BV858" s="65"/>
      <c r="BW858" s="69"/>
      <c r="BX858" s="65"/>
      <c r="BY858" s="65"/>
      <c r="BZ858" s="65"/>
      <c r="CA858" s="65"/>
      <c r="CB858" s="65"/>
      <c r="CC858" s="65"/>
      <c r="CD858" s="65"/>
      <c r="CE858" s="65"/>
      <c r="CF858" s="65"/>
      <c r="CG858" s="65"/>
      <c r="CH858" s="65"/>
      <c r="CI858" s="65"/>
      <c r="CJ858" s="65"/>
      <c r="CK858" s="65"/>
      <c r="CL858" s="65"/>
      <c r="CM858" s="65"/>
      <c r="CN858" s="65"/>
      <c r="CO858" s="65"/>
      <c r="CP858" s="65"/>
      <c r="CQ858" s="65"/>
      <c r="CR858" s="65"/>
      <c r="CS858" s="65"/>
      <c r="CT858" s="65"/>
      <c r="CU858" s="65"/>
      <c r="CV858" s="65"/>
      <c r="CW858" s="65"/>
      <c r="CX858" s="65"/>
      <c r="CY858" s="65"/>
      <c r="CZ858" s="65"/>
      <c r="DA858" s="65"/>
      <c r="DB858" s="65"/>
      <c r="DC858" s="65"/>
      <c r="DD858" s="65"/>
      <c r="DE858" s="65"/>
      <c r="DF858" s="65"/>
      <c r="DG858" s="65"/>
      <c r="DH858" s="65"/>
      <c r="DI858" s="65"/>
      <c r="DJ858" s="65"/>
      <c r="DK858" s="65"/>
      <c r="DL858" s="65"/>
      <c r="DM858" s="65"/>
      <c r="DN858" s="65"/>
      <c r="DO858" s="65"/>
      <c r="DP858" s="65"/>
      <c r="DQ858" s="65"/>
      <c r="DR858" s="65"/>
      <c r="DS858" s="65"/>
      <c r="DT858" s="65"/>
      <c r="DU858" s="65"/>
      <c r="DV858" s="65"/>
      <c r="DW858" s="65"/>
      <c r="DX858" s="65"/>
      <c r="DY858" s="65"/>
      <c r="DZ858" s="65"/>
      <c r="EA858" s="65"/>
      <c r="EB858" s="65"/>
      <c r="EC858" s="65"/>
      <c r="ED858" s="65"/>
      <c r="EE858" s="65"/>
      <c r="EF858" s="65"/>
      <c r="EG858" s="65"/>
      <c r="EH858" s="65"/>
      <c r="EI858" s="65"/>
    </row>
    <row r="859" spans="2:139" ht="12" customHeight="1">
      <c r="B859" s="65"/>
      <c r="C859" s="65"/>
      <c r="D859" s="65"/>
      <c r="E859" s="65"/>
      <c r="F859" s="619"/>
      <c r="G859" s="143" t="s">
        <v>541</v>
      </c>
      <c r="H859" s="144">
        <f>IFERROR(SUM(K859:BR859)/COUNTIF(K859:BR859,"&gt;0"),0)</f>
        <v>0</v>
      </c>
      <c r="I859" s="144">
        <f>COUNTIF(K859:BR859,"&gt;0")</f>
        <v>0</v>
      </c>
      <c r="J859" s="65"/>
      <c r="K859" s="169">
        <f t="shared" ref="K859:AP859" si="3323">K748</f>
        <v>0</v>
      </c>
      <c r="L859" s="169">
        <f t="shared" si="3323"/>
        <v>0</v>
      </c>
      <c r="M859" s="169">
        <f t="shared" si="3323"/>
        <v>0</v>
      </c>
      <c r="N859" s="169">
        <f t="shared" si="3323"/>
        <v>0</v>
      </c>
      <c r="O859" s="169">
        <f t="shared" si="3323"/>
        <v>0</v>
      </c>
      <c r="P859" s="169">
        <f t="shared" si="3323"/>
        <v>0</v>
      </c>
      <c r="Q859" s="169">
        <f t="shared" si="3323"/>
        <v>0</v>
      </c>
      <c r="R859" s="169">
        <f t="shared" si="3323"/>
        <v>0</v>
      </c>
      <c r="S859" s="169">
        <f t="shared" si="3323"/>
        <v>0</v>
      </c>
      <c r="T859" s="169">
        <f t="shared" si="3323"/>
        <v>0</v>
      </c>
      <c r="U859" s="169">
        <f t="shared" si="3323"/>
        <v>0</v>
      </c>
      <c r="V859" s="169">
        <f t="shared" si="3323"/>
        <v>0</v>
      </c>
      <c r="W859" s="169">
        <f t="shared" si="3323"/>
        <v>0</v>
      </c>
      <c r="X859" s="169">
        <f t="shared" si="3323"/>
        <v>0</v>
      </c>
      <c r="Y859" s="169">
        <f t="shared" si="3323"/>
        <v>0</v>
      </c>
      <c r="Z859" s="169">
        <f t="shared" si="3323"/>
        <v>0</v>
      </c>
      <c r="AA859" s="169">
        <f t="shared" si="3323"/>
        <v>0</v>
      </c>
      <c r="AB859" s="169">
        <f t="shared" si="3323"/>
        <v>0</v>
      </c>
      <c r="AC859" s="169">
        <f t="shared" si="3323"/>
        <v>0</v>
      </c>
      <c r="AD859" s="169">
        <f t="shared" si="3323"/>
        <v>0</v>
      </c>
      <c r="AE859" s="169">
        <f t="shared" si="3323"/>
        <v>0</v>
      </c>
      <c r="AF859" s="169">
        <f t="shared" si="3323"/>
        <v>0</v>
      </c>
      <c r="AG859" s="169">
        <f t="shared" si="3323"/>
        <v>0</v>
      </c>
      <c r="AH859" s="169">
        <f t="shared" si="3323"/>
        <v>0</v>
      </c>
      <c r="AI859" s="169">
        <f t="shared" si="3323"/>
        <v>0</v>
      </c>
      <c r="AJ859" s="169">
        <f t="shared" si="3323"/>
        <v>0</v>
      </c>
      <c r="AK859" s="169">
        <f t="shared" si="3323"/>
        <v>0</v>
      </c>
      <c r="AL859" s="169">
        <f t="shared" si="3323"/>
        <v>0</v>
      </c>
      <c r="AM859" s="169">
        <f t="shared" si="3323"/>
        <v>0</v>
      </c>
      <c r="AN859" s="169">
        <f t="shared" si="3323"/>
        <v>0</v>
      </c>
      <c r="AO859" s="169">
        <f t="shared" si="3323"/>
        <v>0</v>
      </c>
      <c r="AP859" s="169">
        <f t="shared" si="3323"/>
        <v>0</v>
      </c>
      <c r="AQ859" s="169">
        <f t="shared" ref="AQ859:BR859" si="3324">AQ748</f>
        <v>0</v>
      </c>
      <c r="AR859" s="169">
        <f t="shared" si="3324"/>
        <v>0</v>
      </c>
      <c r="AS859" s="169">
        <f t="shared" si="3324"/>
        <v>0</v>
      </c>
      <c r="AT859" s="169">
        <f t="shared" si="3324"/>
        <v>0</v>
      </c>
      <c r="AU859" s="169">
        <f t="shared" si="3324"/>
        <v>0</v>
      </c>
      <c r="AV859" s="169">
        <f t="shared" si="3324"/>
        <v>0</v>
      </c>
      <c r="AW859" s="169">
        <f t="shared" si="3324"/>
        <v>0</v>
      </c>
      <c r="AX859" s="169">
        <f t="shared" si="3324"/>
        <v>0</v>
      </c>
      <c r="AY859" s="169">
        <f t="shared" si="3324"/>
        <v>0</v>
      </c>
      <c r="AZ859" s="169">
        <f t="shared" si="3324"/>
        <v>0</v>
      </c>
      <c r="BA859" s="169">
        <f t="shared" si="3324"/>
        <v>0</v>
      </c>
      <c r="BB859" s="169">
        <f t="shared" si="3324"/>
        <v>0</v>
      </c>
      <c r="BC859" s="169">
        <f t="shared" si="3324"/>
        <v>0</v>
      </c>
      <c r="BD859" s="169">
        <f t="shared" si="3324"/>
        <v>0</v>
      </c>
      <c r="BE859" s="169">
        <f t="shared" si="3324"/>
        <v>0</v>
      </c>
      <c r="BF859" s="169">
        <f t="shared" si="3324"/>
        <v>0</v>
      </c>
      <c r="BG859" s="169">
        <f t="shared" si="3324"/>
        <v>0</v>
      </c>
      <c r="BH859" s="169">
        <f t="shared" si="3324"/>
        <v>0</v>
      </c>
      <c r="BI859" s="169">
        <f t="shared" si="3324"/>
        <v>0</v>
      </c>
      <c r="BJ859" s="169">
        <f t="shared" si="3324"/>
        <v>0</v>
      </c>
      <c r="BK859" s="169">
        <f t="shared" si="3324"/>
        <v>0</v>
      </c>
      <c r="BL859" s="169">
        <f t="shared" si="3324"/>
        <v>0</v>
      </c>
      <c r="BM859" s="169">
        <f t="shared" si="3324"/>
        <v>0</v>
      </c>
      <c r="BN859" s="169">
        <f t="shared" si="3324"/>
        <v>0</v>
      </c>
      <c r="BO859" s="169">
        <f t="shared" si="3324"/>
        <v>0</v>
      </c>
      <c r="BP859" s="169">
        <f t="shared" si="3324"/>
        <v>0</v>
      </c>
      <c r="BQ859" s="169">
        <f t="shared" si="3324"/>
        <v>0</v>
      </c>
      <c r="BR859" s="169">
        <f t="shared" si="3324"/>
        <v>0</v>
      </c>
      <c r="BS859" s="65"/>
      <c r="BT859" s="65"/>
      <c r="BU859" s="65"/>
      <c r="BV859" s="65"/>
      <c r="BW859" s="69"/>
      <c r="BX859" s="65"/>
      <c r="BY859" s="65"/>
      <c r="BZ859" s="65"/>
      <c r="CA859" s="65"/>
      <c r="CB859" s="65"/>
      <c r="CC859" s="65"/>
      <c r="CD859" s="65"/>
      <c r="CE859" s="65"/>
      <c r="CF859" s="65"/>
      <c r="CG859" s="65"/>
      <c r="CH859" s="65"/>
      <c r="CI859" s="65"/>
      <c r="CJ859" s="65"/>
      <c r="CK859" s="65"/>
      <c r="CL859" s="65"/>
      <c r="CM859" s="65"/>
      <c r="CN859" s="65"/>
      <c r="CO859" s="65"/>
      <c r="CP859" s="65"/>
      <c r="CQ859" s="65"/>
      <c r="CR859" s="65"/>
      <c r="CS859" s="65"/>
      <c r="CT859" s="65"/>
      <c r="CU859" s="65"/>
      <c r="CV859" s="65"/>
      <c r="CW859" s="65"/>
      <c r="CX859" s="65"/>
      <c r="CY859" s="65"/>
      <c r="CZ859" s="65"/>
      <c r="DA859" s="65"/>
      <c r="DB859" s="65"/>
      <c r="DC859" s="65"/>
      <c r="DD859" s="65"/>
      <c r="DE859" s="65"/>
      <c r="DF859" s="65"/>
      <c r="DG859" s="65"/>
      <c r="DH859" s="65"/>
      <c r="DI859" s="65"/>
      <c r="DJ859" s="65"/>
      <c r="DK859" s="65"/>
      <c r="DL859" s="65"/>
      <c r="DM859" s="65"/>
      <c r="DN859" s="65"/>
      <c r="DO859" s="65"/>
      <c r="DP859" s="65"/>
      <c r="DQ859" s="65"/>
      <c r="DR859" s="65"/>
      <c r="DS859" s="65"/>
      <c r="DT859" s="65"/>
      <c r="DU859" s="65"/>
      <c r="DV859" s="65"/>
      <c r="DW859" s="65"/>
      <c r="DX859" s="65"/>
      <c r="DY859" s="65"/>
      <c r="DZ859" s="65"/>
      <c r="EA859" s="65"/>
      <c r="EB859" s="65"/>
      <c r="EC859" s="65"/>
      <c r="ED859" s="65"/>
      <c r="EE859" s="65"/>
      <c r="EF859" s="65"/>
      <c r="EG859" s="65"/>
      <c r="EH859" s="65"/>
      <c r="EI859" s="65"/>
    </row>
    <row r="860" spans="2:139" ht="12" customHeight="1">
      <c r="B860" s="65"/>
      <c r="C860" s="65"/>
      <c r="D860" s="65"/>
      <c r="E860" s="65"/>
      <c r="F860" s="105" t="s">
        <v>542</v>
      </c>
      <c r="G860" s="143" t="s">
        <v>11</v>
      </c>
      <c r="H860" s="144">
        <f>IFERROR(SUM(K860:BR860)/COUNTIF(K860:BR860,"&gt;0"),0)</f>
        <v>7.9999999999999988E-2</v>
      </c>
      <c r="I860" s="144">
        <f>COUNTIF(K860:BR860,"&gt;0")</f>
        <v>12</v>
      </c>
      <c r="J860" s="65"/>
      <c r="K860" s="169">
        <f t="shared" ref="K860" si="3325">K851</f>
        <v>0.08</v>
      </c>
      <c r="L860" s="169">
        <f t="shared" ref="L860:AS860" si="3326">L851</f>
        <v>0.08</v>
      </c>
      <c r="M860" s="169">
        <f t="shared" si="3326"/>
        <v>0.08</v>
      </c>
      <c r="N860" s="169">
        <f t="shared" si="3326"/>
        <v>0.08</v>
      </c>
      <c r="O860" s="169">
        <f t="shared" si="3326"/>
        <v>0.08</v>
      </c>
      <c r="P860" s="169">
        <f t="shared" si="3326"/>
        <v>0.08</v>
      </c>
      <c r="Q860" s="169">
        <f t="shared" si="3326"/>
        <v>0.08</v>
      </c>
      <c r="R860" s="169">
        <f t="shared" si="3326"/>
        <v>0.08</v>
      </c>
      <c r="S860" s="169">
        <f t="shared" si="3326"/>
        <v>0.08</v>
      </c>
      <c r="T860" s="169">
        <f t="shared" si="3326"/>
        <v>0.08</v>
      </c>
      <c r="U860" s="169">
        <f t="shared" si="3326"/>
        <v>0.08</v>
      </c>
      <c r="V860" s="169">
        <f t="shared" si="3326"/>
        <v>0.08</v>
      </c>
      <c r="W860" s="169">
        <f t="shared" si="3326"/>
        <v>0</v>
      </c>
      <c r="X860" s="169">
        <f t="shared" si="3326"/>
        <v>0</v>
      </c>
      <c r="Y860" s="169">
        <f t="shared" si="3326"/>
        <v>0</v>
      </c>
      <c r="Z860" s="169">
        <f t="shared" si="3326"/>
        <v>0</v>
      </c>
      <c r="AA860" s="169">
        <f t="shared" si="3326"/>
        <v>0</v>
      </c>
      <c r="AB860" s="169">
        <f t="shared" si="3326"/>
        <v>0</v>
      </c>
      <c r="AC860" s="169">
        <f t="shared" si="3326"/>
        <v>0</v>
      </c>
      <c r="AD860" s="169">
        <f t="shared" si="3326"/>
        <v>0</v>
      </c>
      <c r="AE860" s="169">
        <f t="shared" si="3326"/>
        <v>0</v>
      </c>
      <c r="AF860" s="169">
        <f t="shared" si="3326"/>
        <v>0</v>
      </c>
      <c r="AG860" s="169">
        <f t="shared" si="3326"/>
        <v>0</v>
      </c>
      <c r="AH860" s="169">
        <f t="shared" si="3326"/>
        <v>0</v>
      </c>
      <c r="AI860" s="169">
        <f t="shared" si="3326"/>
        <v>0</v>
      </c>
      <c r="AJ860" s="169">
        <f t="shared" si="3326"/>
        <v>0</v>
      </c>
      <c r="AK860" s="169">
        <f t="shared" si="3326"/>
        <v>0</v>
      </c>
      <c r="AL860" s="169">
        <f t="shared" si="3326"/>
        <v>0</v>
      </c>
      <c r="AM860" s="169">
        <f t="shared" si="3326"/>
        <v>0</v>
      </c>
      <c r="AN860" s="169">
        <f t="shared" si="3326"/>
        <v>0</v>
      </c>
      <c r="AO860" s="169">
        <f t="shared" si="3326"/>
        <v>0</v>
      </c>
      <c r="AP860" s="169">
        <f t="shared" si="3326"/>
        <v>0</v>
      </c>
      <c r="AQ860" s="169">
        <f t="shared" si="3326"/>
        <v>0</v>
      </c>
      <c r="AR860" s="169">
        <f t="shared" si="3326"/>
        <v>0</v>
      </c>
      <c r="AS860" s="169">
        <f t="shared" si="3326"/>
        <v>0</v>
      </c>
      <c r="AT860" s="169">
        <f t="shared" ref="AT860:BR860" si="3327">AT851</f>
        <v>0</v>
      </c>
      <c r="AU860" s="169">
        <f t="shared" si="3327"/>
        <v>0</v>
      </c>
      <c r="AV860" s="169">
        <f t="shared" si="3327"/>
        <v>0</v>
      </c>
      <c r="AW860" s="169">
        <f t="shared" si="3327"/>
        <v>0</v>
      </c>
      <c r="AX860" s="169">
        <f t="shared" si="3327"/>
        <v>0</v>
      </c>
      <c r="AY860" s="169">
        <f t="shared" si="3327"/>
        <v>0</v>
      </c>
      <c r="AZ860" s="169">
        <f t="shared" si="3327"/>
        <v>0</v>
      </c>
      <c r="BA860" s="169">
        <f t="shared" si="3327"/>
        <v>0</v>
      </c>
      <c r="BB860" s="169">
        <f t="shared" si="3327"/>
        <v>0</v>
      </c>
      <c r="BC860" s="169">
        <f t="shared" si="3327"/>
        <v>0</v>
      </c>
      <c r="BD860" s="169">
        <f t="shared" si="3327"/>
        <v>0</v>
      </c>
      <c r="BE860" s="169">
        <f t="shared" si="3327"/>
        <v>0</v>
      </c>
      <c r="BF860" s="169">
        <f t="shared" si="3327"/>
        <v>0</v>
      </c>
      <c r="BG860" s="169">
        <f t="shared" si="3327"/>
        <v>0</v>
      </c>
      <c r="BH860" s="169">
        <f t="shared" si="3327"/>
        <v>0</v>
      </c>
      <c r="BI860" s="169">
        <f t="shared" si="3327"/>
        <v>0</v>
      </c>
      <c r="BJ860" s="169">
        <f t="shared" si="3327"/>
        <v>0</v>
      </c>
      <c r="BK860" s="169">
        <f t="shared" si="3327"/>
        <v>0</v>
      </c>
      <c r="BL860" s="169">
        <f t="shared" si="3327"/>
        <v>0</v>
      </c>
      <c r="BM860" s="169">
        <f t="shared" si="3327"/>
        <v>0</v>
      </c>
      <c r="BN860" s="169">
        <f t="shared" si="3327"/>
        <v>0</v>
      </c>
      <c r="BO860" s="169">
        <f t="shared" si="3327"/>
        <v>0</v>
      </c>
      <c r="BP860" s="169">
        <f t="shared" si="3327"/>
        <v>0</v>
      </c>
      <c r="BQ860" s="169">
        <f t="shared" si="3327"/>
        <v>0</v>
      </c>
      <c r="BR860" s="169">
        <f t="shared" si="3327"/>
        <v>0</v>
      </c>
      <c r="BS860" s="65"/>
      <c r="BT860" s="65"/>
      <c r="BU860" s="65"/>
      <c r="BV860" s="65"/>
      <c r="BW860" s="69"/>
      <c r="BX860" s="65"/>
      <c r="BY860" s="65"/>
      <c r="BZ860" s="65"/>
      <c r="CA860" s="65"/>
      <c r="CB860" s="65"/>
      <c r="CC860" s="65"/>
      <c r="CD860" s="65"/>
      <c r="CE860" s="65"/>
      <c r="CF860" s="65"/>
      <c r="CG860" s="65"/>
      <c r="CH860" s="65"/>
      <c r="CI860" s="65"/>
      <c r="CJ860" s="65"/>
      <c r="CK860" s="65"/>
      <c r="CL860" s="65"/>
      <c r="CM860" s="65"/>
      <c r="CN860" s="65"/>
      <c r="CO860" s="65"/>
      <c r="CP860" s="65"/>
      <c r="CQ860" s="65"/>
      <c r="CR860" s="65"/>
      <c r="CS860" s="65"/>
      <c r="CT860" s="65"/>
      <c r="CU860" s="65"/>
      <c r="CV860" s="65"/>
      <c r="CW860" s="65"/>
      <c r="CX860" s="65"/>
      <c r="CY860" s="65"/>
      <c r="CZ860" s="65"/>
      <c r="DA860" s="65"/>
      <c r="DB860" s="65"/>
      <c r="DC860" s="65"/>
      <c r="DD860" s="65"/>
      <c r="DE860" s="65"/>
      <c r="DF860" s="65"/>
      <c r="DG860" s="65"/>
      <c r="DH860" s="65"/>
      <c r="DI860" s="65"/>
      <c r="DJ860" s="65"/>
      <c r="DK860" s="65"/>
      <c r="DL860" s="65"/>
      <c r="DM860" s="65"/>
      <c r="DN860" s="65"/>
      <c r="DO860" s="65"/>
      <c r="DP860" s="65"/>
      <c r="DQ860" s="65"/>
      <c r="DR860" s="65"/>
      <c r="DS860" s="65"/>
      <c r="DT860" s="65"/>
      <c r="DU860" s="65"/>
      <c r="DV860" s="65"/>
      <c r="DW860" s="65"/>
      <c r="DX860" s="65"/>
      <c r="DY860" s="65"/>
      <c r="DZ860" s="65"/>
      <c r="EA860" s="65"/>
      <c r="EB860" s="65"/>
      <c r="EC860" s="65"/>
      <c r="ED860" s="65"/>
      <c r="EE860" s="65"/>
      <c r="EF860" s="65"/>
      <c r="EG860" s="65"/>
      <c r="EH860" s="65"/>
      <c r="EI860" s="65"/>
    </row>
    <row r="861" spans="2:139" ht="24" customHeight="1">
      <c r="B861" s="65"/>
      <c r="C861" s="65"/>
      <c r="D861" s="65"/>
      <c r="E861" s="65"/>
      <c r="F861" s="596" t="s">
        <v>543</v>
      </c>
      <c r="G861" s="596"/>
      <c r="H861" s="596"/>
      <c r="I861" s="146">
        <f>MAX(K861:BR861)</f>
        <v>4.3499999999999996</v>
      </c>
      <c r="J861" s="65"/>
      <c r="K861" s="146">
        <f>SUM(K858:K860)</f>
        <v>4.3499999999999996</v>
      </c>
      <c r="L861" s="146">
        <f t="shared" ref="L861:V861" si="3328">SUM(L858:L860)</f>
        <v>4.3499999999999996</v>
      </c>
      <c r="M861" s="146">
        <f t="shared" si="3328"/>
        <v>4.3499999999999996</v>
      </c>
      <c r="N861" s="146">
        <f t="shared" si="3328"/>
        <v>4.3499999999999996</v>
      </c>
      <c r="O861" s="146">
        <f t="shared" si="3328"/>
        <v>4.3499999999999996</v>
      </c>
      <c r="P861" s="146">
        <f t="shared" si="3328"/>
        <v>4.3499999999999996</v>
      </c>
      <c r="Q861" s="146">
        <f t="shared" si="3328"/>
        <v>4.3499999999999996</v>
      </c>
      <c r="R861" s="146">
        <f t="shared" si="3328"/>
        <v>4.3499999999999996</v>
      </c>
      <c r="S861" s="146">
        <f t="shared" si="3328"/>
        <v>4.3499999999999996</v>
      </c>
      <c r="T861" s="146">
        <f t="shared" si="3328"/>
        <v>4.3499999999999996</v>
      </c>
      <c r="U861" s="146">
        <f t="shared" si="3328"/>
        <v>0.08</v>
      </c>
      <c r="V861" s="146">
        <f t="shared" si="3328"/>
        <v>0.08</v>
      </c>
      <c r="W861" s="146">
        <f t="shared" ref="W861:BR861" si="3329">ROUNDUP(SUM(W858:W860),0)</f>
        <v>0</v>
      </c>
      <c r="X861" s="146">
        <f t="shared" si="3329"/>
        <v>0</v>
      </c>
      <c r="Y861" s="146">
        <f t="shared" si="3329"/>
        <v>0</v>
      </c>
      <c r="Z861" s="146">
        <f t="shared" si="3329"/>
        <v>0</v>
      </c>
      <c r="AA861" s="146">
        <f t="shared" si="3329"/>
        <v>0</v>
      </c>
      <c r="AB861" s="146">
        <f t="shared" si="3329"/>
        <v>0</v>
      </c>
      <c r="AC861" s="146">
        <f t="shared" si="3329"/>
        <v>0</v>
      </c>
      <c r="AD861" s="146">
        <f t="shared" si="3329"/>
        <v>0</v>
      </c>
      <c r="AE861" s="146">
        <f t="shared" si="3329"/>
        <v>0</v>
      </c>
      <c r="AF861" s="146">
        <f t="shared" si="3329"/>
        <v>0</v>
      </c>
      <c r="AG861" s="146">
        <f t="shared" si="3329"/>
        <v>0</v>
      </c>
      <c r="AH861" s="146">
        <f t="shared" si="3329"/>
        <v>0</v>
      </c>
      <c r="AI861" s="146">
        <f t="shared" si="3329"/>
        <v>0</v>
      </c>
      <c r="AJ861" s="146">
        <f t="shared" si="3329"/>
        <v>0</v>
      </c>
      <c r="AK861" s="146">
        <f t="shared" si="3329"/>
        <v>0</v>
      </c>
      <c r="AL861" s="146">
        <f t="shared" si="3329"/>
        <v>0</v>
      </c>
      <c r="AM861" s="146">
        <f t="shared" si="3329"/>
        <v>0</v>
      </c>
      <c r="AN861" s="146">
        <f t="shared" si="3329"/>
        <v>0</v>
      </c>
      <c r="AO861" s="146">
        <f t="shared" si="3329"/>
        <v>0</v>
      </c>
      <c r="AP861" s="146">
        <f t="shared" si="3329"/>
        <v>0</v>
      </c>
      <c r="AQ861" s="146">
        <f t="shared" si="3329"/>
        <v>0</v>
      </c>
      <c r="AR861" s="146">
        <f t="shared" si="3329"/>
        <v>0</v>
      </c>
      <c r="AS861" s="146">
        <f t="shared" si="3329"/>
        <v>0</v>
      </c>
      <c r="AT861" s="146">
        <f t="shared" si="3329"/>
        <v>0</v>
      </c>
      <c r="AU861" s="146">
        <f t="shared" si="3329"/>
        <v>0</v>
      </c>
      <c r="AV861" s="146">
        <f t="shared" si="3329"/>
        <v>0</v>
      </c>
      <c r="AW861" s="146">
        <f t="shared" si="3329"/>
        <v>0</v>
      </c>
      <c r="AX861" s="146">
        <f t="shared" si="3329"/>
        <v>0</v>
      </c>
      <c r="AY861" s="146">
        <f t="shared" si="3329"/>
        <v>0</v>
      </c>
      <c r="AZ861" s="146">
        <f t="shared" si="3329"/>
        <v>0</v>
      </c>
      <c r="BA861" s="146">
        <f t="shared" si="3329"/>
        <v>0</v>
      </c>
      <c r="BB861" s="146">
        <f t="shared" si="3329"/>
        <v>0</v>
      </c>
      <c r="BC861" s="146">
        <f t="shared" si="3329"/>
        <v>0</v>
      </c>
      <c r="BD861" s="146">
        <f t="shared" si="3329"/>
        <v>0</v>
      </c>
      <c r="BE861" s="146">
        <f t="shared" si="3329"/>
        <v>0</v>
      </c>
      <c r="BF861" s="146">
        <f t="shared" si="3329"/>
        <v>0</v>
      </c>
      <c r="BG861" s="146">
        <f t="shared" si="3329"/>
        <v>0</v>
      </c>
      <c r="BH861" s="146">
        <f t="shared" si="3329"/>
        <v>0</v>
      </c>
      <c r="BI861" s="146">
        <f t="shared" si="3329"/>
        <v>0</v>
      </c>
      <c r="BJ861" s="146">
        <f t="shared" si="3329"/>
        <v>0</v>
      </c>
      <c r="BK861" s="146">
        <f t="shared" si="3329"/>
        <v>0</v>
      </c>
      <c r="BL861" s="146">
        <f t="shared" si="3329"/>
        <v>0</v>
      </c>
      <c r="BM861" s="146">
        <f t="shared" si="3329"/>
        <v>0</v>
      </c>
      <c r="BN861" s="146">
        <f t="shared" si="3329"/>
        <v>0</v>
      </c>
      <c r="BO861" s="146">
        <f t="shared" si="3329"/>
        <v>0</v>
      </c>
      <c r="BP861" s="146">
        <f t="shared" si="3329"/>
        <v>0</v>
      </c>
      <c r="BQ861" s="146">
        <f t="shared" si="3329"/>
        <v>0</v>
      </c>
      <c r="BR861" s="146">
        <f t="shared" si="3329"/>
        <v>0</v>
      </c>
      <c r="BS861" s="65"/>
      <c r="BT861" s="65"/>
      <c r="BU861" s="65"/>
      <c r="BV861" s="65"/>
      <c r="BW861" s="69"/>
      <c r="BX861" s="65"/>
      <c r="BY861" s="65"/>
      <c r="BZ861" s="65"/>
      <c r="CA861" s="65"/>
      <c r="CB861" s="65"/>
      <c r="CC861" s="65"/>
      <c r="CD861" s="65"/>
      <c r="CE861" s="65"/>
      <c r="CF861" s="65"/>
      <c r="CG861" s="65"/>
      <c r="CH861" s="65"/>
      <c r="CI861" s="65"/>
      <c r="CJ861" s="65"/>
      <c r="CK861" s="65"/>
      <c r="CL861" s="65"/>
      <c r="CM861" s="65"/>
      <c r="CN861" s="65"/>
      <c r="CO861" s="65"/>
      <c r="CP861" s="65"/>
      <c r="CQ861" s="65"/>
      <c r="CR861" s="65"/>
      <c r="CS861" s="65"/>
      <c r="CT861" s="65"/>
      <c r="CU861" s="65"/>
      <c r="CV861" s="65"/>
      <c r="CW861" s="65"/>
      <c r="CX861" s="65"/>
      <c r="CY861" s="65"/>
      <c r="CZ861" s="65"/>
      <c r="DA861" s="65"/>
      <c r="DB861" s="65"/>
      <c r="DC861" s="65"/>
      <c r="DD861" s="65"/>
      <c r="DE861" s="65"/>
      <c r="DF861" s="65"/>
      <c r="DG861" s="65"/>
      <c r="DH861" s="65"/>
      <c r="DI861" s="65"/>
      <c r="DJ861" s="65"/>
      <c r="DK861" s="65"/>
      <c r="DL861" s="65"/>
      <c r="DM861" s="65"/>
      <c r="DN861" s="65"/>
      <c r="DO861" s="65"/>
      <c r="DP861" s="65"/>
      <c r="DQ861" s="65"/>
      <c r="DR861" s="65"/>
      <c r="DS861" s="65"/>
      <c r="DT861" s="65"/>
      <c r="DU861" s="65"/>
      <c r="DV861" s="65"/>
      <c r="DW861" s="65"/>
      <c r="DX861" s="65"/>
      <c r="DY861" s="65"/>
      <c r="DZ861" s="65"/>
      <c r="EA861" s="65"/>
      <c r="EB861" s="65"/>
      <c r="EC861" s="65"/>
      <c r="ED861" s="65"/>
      <c r="EE861" s="65"/>
      <c r="EF861" s="65"/>
      <c r="EG861" s="65"/>
      <c r="EH861" s="65"/>
      <c r="EI861" s="65"/>
    </row>
    <row r="862" spans="2:139" ht="24" customHeight="1">
      <c r="B862" s="65"/>
      <c r="C862" s="65"/>
      <c r="D862" s="65"/>
      <c r="E862" s="65"/>
      <c r="F862" s="597" t="s">
        <v>544</v>
      </c>
      <c r="G862" s="598"/>
      <c r="H862" s="598"/>
      <c r="I862" s="599"/>
      <c r="J862" s="65"/>
      <c r="K862" s="146">
        <f>K861</f>
        <v>4.3499999999999996</v>
      </c>
      <c r="L862" s="146">
        <f>IF(L861&gt;0,L861+LARGE($K862:K862,1),0)</f>
        <v>8.6999999999999993</v>
      </c>
      <c r="M862" s="146">
        <f>IF(M861&gt;0,M861+LARGE($K862:L862,1),0)</f>
        <v>13.049999999999999</v>
      </c>
      <c r="N862" s="146">
        <f>IF(N861&gt;0,N861+LARGE($K862:M862,1),0)</f>
        <v>17.399999999999999</v>
      </c>
      <c r="O862" s="146">
        <f>IF(O861&gt;0,O861+LARGE($K862:N862,1),0)</f>
        <v>21.75</v>
      </c>
      <c r="P862" s="146">
        <f>IF(P861&gt;0,P861+LARGE($K862:O862,1),0)</f>
        <v>26.1</v>
      </c>
      <c r="Q862" s="146">
        <f>IF(Q861&gt;0,Q861+LARGE($K862:P862,1),0)</f>
        <v>30.450000000000003</v>
      </c>
      <c r="R862" s="146">
        <f>IF(R861&gt;0,R861+LARGE($K862:Q862,1),0)</f>
        <v>34.800000000000004</v>
      </c>
      <c r="S862" s="146">
        <f>IF(S861&gt;0,S861+LARGE($K862:R862,1),0)</f>
        <v>39.150000000000006</v>
      </c>
      <c r="T862" s="146">
        <f>IF(T861&gt;0,T861+LARGE($K862:S862,1),0)</f>
        <v>43.500000000000007</v>
      </c>
      <c r="U862" s="146">
        <f>IF(U861&gt;0,U861+LARGE($K862:T862,1),0)</f>
        <v>43.580000000000005</v>
      </c>
      <c r="V862" s="146">
        <f>IF(V861&gt;0,V861+LARGE($K862:U862,1),0)</f>
        <v>43.660000000000004</v>
      </c>
      <c r="W862" s="146">
        <f>IF(W861&gt;0,W861+LARGE($K862:V862,1),0)</f>
        <v>0</v>
      </c>
      <c r="X862" s="146">
        <f>IF(X861&gt;0,X861+LARGE($K862:W862,1),0)</f>
        <v>0</v>
      </c>
      <c r="Y862" s="146">
        <f>IF(Y861&gt;0,Y861+LARGE($K862:X862,1),0)</f>
        <v>0</v>
      </c>
      <c r="Z862" s="146">
        <f>IF(Z861&gt;0,Z861+LARGE($K862:Y862,1),0)</f>
        <v>0</v>
      </c>
      <c r="AA862" s="146">
        <f>IF(AA861&gt;0,AA861+LARGE($K862:Z862,1),0)</f>
        <v>0</v>
      </c>
      <c r="AB862" s="146">
        <f>IF(AB861&gt;0,AB861+LARGE($K862:AA862,1),0)</f>
        <v>0</v>
      </c>
      <c r="AC862" s="146">
        <f>IF(AC861&gt;0,AC861+LARGE($K862:AB862,1),0)</f>
        <v>0</v>
      </c>
      <c r="AD862" s="146">
        <f>IF(AD861&gt;0,AD861+LARGE($K862:AC862,1),0)</f>
        <v>0</v>
      </c>
      <c r="AE862" s="146">
        <f>IF(AE861&gt;0,AE861+LARGE($K862:AD862,1),0)</f>
        <v>0</v>
      </c>
      <c r="AF862" s="146">
        <f>IF(AF861&gt;0,AF861+LARGE($K862:AE862,1),0)</f>
        <v>0</v>
      </c>
      <c r="AG862" s="146">
        <f>IF(AG861&gt;0,AG861+LARGE($K862:AF862,1),0)</f>
        <v>0</v>
      </c>
      <c r="AH862" s="146">
        <f>IF(AH861&gt;0,AH861+LARGE($K862:AG862,1),0)</f>
        <v>0</v>
      </c>
      <c r="AI862" s="146">
        <f>IF(AI861&gt;0,AI861+LARGE($K862:AH862,1),0)</f>
        <v>0</v>
      </c>
      <c r="AJ862" s="146">
        <f>IF(AJ861&gt;0,AJ861+LARGE($K862:AI862,1),0)</f>
        <v>0</v>
      </c>
      <c r="AK862" s="146">
        <f>IF(AK861&gt;0,AK861+LARGE($K862:AJ862,1),0)</f>
        <v>0</v>
      </c>
      <c r="AL862" s="146">
        <f>IF(AL861&gt;0,AL861+LARGE($K862:AK862,1),0)</f>
        <v>0</v>
      </c>
      <c r="AM862" s="146">
        <f>IF(AM861&gt;0,AM861+LARGE($K862:AL862,1),0)</f>
        <v>0</v>
      </c>
      <c r="AN862" s="146">
        <f>IF(AN861&gt;0,AN861+LARGE($K862:AM862,1),0)</f>
        <v>0</v>
      </c>
      <c r="AO862" s="146">
        <f>IF(AO861&gt;0,AO861+LARGE($K862:AN862,1),0)</f>
        <v>0</v>
      </c>
      <c r="AP862" s="146">
        <f>IF(AP861&gt;0,AP861+LARGE($K862:AO862,1),0)</f>
        <v>0</v>
      </c>
      <c r="AQ862" s="146">
        <f>IF(AQ861&gt;0,AQ861+LARGE($K862:AP862,1),0)</f>
        <v>0</v>
      </c>
      <c r="AR862" s="146">
        <f>IF(AR861&gt;0,AR861+LARGE($K862:AQ862,1),0)</f>
        <v>0</v>
      </c>
      <c r="AS862" s="146">
        <f>IF(AS861&gt;0,AS861+LARGE($K862:AR862,1),0)</f>
        <v>0</v>
      </c>
      <c r="AT862" s="146">
        <f>IF(AT861&gt;0,AT861+LARGE($K862:AS862,1),0)</f>
        <v>0</v>
      </c>
      <c r="AU862" s="146">
        <f>IF(AU861&gt;0,AU861+LARGE($K862:AT862,1),0)</f>
        <v>0</v>
      </c>
      <c r="AV862" s="146">
        <f>IF(AV861&gt;0,AV861+LARGE($K862:AU862,1),0)</f>
        <v>0</v>
      </c>
      <c r="AW862" s="146">
        <f>IF(AW861&gt;0,AW861+LARGE($K862:AV862,1),0)</f>
        <v>0</v>
      </c>
      <c r="AX862" s="146">
        <f>IF(AX861&gt;0,AX861+LARGE($K862:AW862,1),0)</f>
        <v>0</v>
      </c>
      <c r="AY862" s="146">
        <f>IF(AY861&gt;0,AY861+LARGE($K862:AX862,1),0)</f>
        <v>0</v>
      </c>
      <c r="AZ862" s="146">
        <f>IF(AZ861&gt;0,AZ861+LARGE($K862:AY862,1),0)</f>
        <v>0</v>
      </c>
      <c r="BA862" s="146">
        <f>IF(BA861&gt;0,BA861+LARGE($K862:AZ862,1),0)</f>
        <v>0</v>
      </c>
      <c r="BB862" s="146">
        <f>IF(BB861&gt;0,BB861+LARGE($K862:BA862,1),0)</f>
        <v>0</v>
      </c>
      <c r="BC862" s="146">
        <f>IF(BC861&gt;0,BC861+LARGE($K862:BB862,1),0)</f>
        <v>0</v>
      </c>
      <c r="BD862" s="146">
        <f>IF(BD861&gt;0,BD861+LARGE($K862:BC862,1),0)</f>
        <v>0</v>
      </c>
      <c r="BE862" s="146">
        <f>IF(BE861&gt;0,BE861+LARGE($K862:BD862,1),0)</f>
        <v>0</v>
      </c>
      <c r="BF862" s="146">
        <f>IF(BF861&gt;0,BF861+LARGE($K862:BE862,1),0)</f>
        <v>0</v>
      </c>
      <c r="BG862" s="146">
        <f>IF(BG861&gt;0,BG861+LARGE($K862:BF862,1),0)</f>
        <v>0</v>
      </c>
      <c r="BH862" s="146">
        <f>IF(BH861&gt;0,BH861+LARGE($K862:BG862,1),0)</f>
        <v>0</v>
      </c>
      <c r="BI862" s="146">
        <f>IF(BI861&gt;0,BI861+LARGE($K862:BH862,1),0)</f>
        <v>0</v>
      </c>
      <c r="BJ862" s="146">
        <f>IF(BJ861&gt;0,BJ861+LARGE($K862:BI862,1),0)</f>
        <v>0</v>
      </c>
      <c r="BK862" s="146">
        <f>IF(BK861&gt;0,BK861+LARGE($K862:BJ862,1),0)</f>
        <v>0</v>
      </c>
      <c r="BL862" s="146">
        <f>IF(BL861&gt;0,BL861+LARGE($K862:BK862,1),0)</f>
        <v>0</v>
      </c>
      <c r="BM862" s="146">
        <f>IF(BM861&gt;0,BM861+LARGE($K862:BL862,1),0)</f>
        <v>0</v>
      </c>
      <c r="BN862" s="146">
        <f>IF(BN861&gt;0,BN861+LARGE($K862:BM862,1),0)</f>
        <v>0</v>
      </c>
      <c r="BO862" s="146">
        <f>IF(BO861&gt;0,BO861+LARGE($K862:BN862,1),0)</f>
        <v>0</v>
      </c>
      <c r="BP862" s="146">
        <f>IF(BP861&gt;0,BP861+LARGE($K862:BO862,1),0)</f>
        <v>0</v>
      </c>
      <c r="BQ862" s="146">
        <f>IF(BQ861&gt;0,BQ861+LARGE($K862:BP862,1),0)</f>
        <v>0</v>
      </c>
      <c r="BR862" s="146">
        <f>IF(BR861&gt;0,BR861+LARGE($K862:BQ862,1),0)</f>
        <v>0</v>
      </c>
      <c r="BS862" s="65"/>
      <c r="BT862" s="65"/>
      <c r="BU862" s="65"/>
      <c r="BV862" s="65"/>
      <c r="BW862" s="69"/>
      <c r="BX862" s="65"/>
      <c r="BY862" s="65"/>
      <c r="BZ862" s="65"/>
      <c r="CA862" s="65"/>
      <c r="CB862" s="65"/>
      <c r="CC862" s="65"/>
      <c r="CD862" s="65"/>
      <c r="CE862" s="65"/>
      <c r="CF862" s="65"/>
      <c r="CG862" s="65"/>
      <c r="CH862" s="65"/>
      <c r="CI862" s="65"/>
      <c r="CJ862" s="65"/>
      <c r="CK862" s="65"/>
      <c r="CL862" s="65"/>
      <c r="CM862" s="65"/>
      <c r="CN862" s="65"/>
      <c r="CO862" s="65"/>
      <c r="CP862" s="65"/>
      <c r="CQ862" s="65"/>
      <c r="CR862" s="65"/>
      <c r="CS862" s="65"/>
      <c r="CT862" s="65"/>
      <c r="CU862" s="65"/>
      <c r="CV862" s="65"/>
      <c r="CW862" s="65"/>
      <c r="CX862" s="65"/>
      <c r="CY862" s="65"/>
      <c r="CZ862" s="65"/>
      <c r="DA862" s="65"/>
      <c r="DB862" s="65"/>
      <c r="DC862" s="65"/>
      <c r="DD862" s="65"/>
      <c r="DE862" s="65"/>
      <c r="DF862" s="65"/>
      <c r="DG862" s="65"/>
      <c r="DH862" s="65"/>
      <c r="DI862" s="65"/>
      <c r="DJ862" s="65"/>
      <c r="DK862" s="65"/>
      <c r="DL862" s="65"/>
      <c r="DM862" s="65"/>
      <c r="DN862" s="65"/>
      <c r="DO862" s="65"/>
      <c r="DP862" s="65"/>
      <c r="DQ862" s="65"/>
      <c r="DR862" s="65"/>
      <c r="DS862" s="65"/>
      <c r="DT862" s="65"/>
      <c r="DU862" s="65"/>
      <c r="DV862" s="65"/>
      <c r="DW862" s="65"/>
      <c r="DX862" s="65"/>
      <c r="DY862" s="65"/>
      <c r="DZ862" s="65"/>
      <c r="EA862" s="65"/>
      <c r="EB862" s="65"/>
      <c r="EC862" s="65"/>
      <c r="ED862" s="65"/>
      <c r="EE862" s="65"/>
      <c r="EF862" s="65"/>
      <c r="EG862" s="65"/>
      <c r="EH862" s="65"/>
      <c r="EI862" s="65"/>
    </row>
  </sheetData>
  <mergeCells count="1542">
    <mergeCell ref="D477:D496"/>
    <mergeCell ref="D501:D520"/>
    <mergeCell ref="D525:D544"/>
    <mergeCell ref="D549:D568"/>
    <mergeCell ref="D573:D592"/>
    <mergeCell ref="D597:D616"/>
    <mergeCell ref="D621:D640"/>
    <mergeCell ref="D645:D664"/>
    <mergeCell ref="D669:D688"/>
    <mergeCell ref="D106:D125"/>
    <mergeCell ref="D51:D70"/>
    <mergeCell ref="D77:D96"/>
    <mergeCell ref="D130:D149"/>
    <mergeCell ref="D154:D173"/>
    <mergeCell ref="D183:D202"/>
    <mergeCell ref="D213:D232"/>
    <mergeCell ref="D237:D256"/>
    <mergeCell ref="D261:D280"/>
    <mergeCell ref="D285:D304"/>
    <mergeCell ref="D309:D328"/>
    <mergeCell ref="D333:D352"/>
    <mergeCell ref="D357:D376"/>
    <mergeCell ref="D381:D400"/>
    <mergeCell ref="D405:D424"/>
    <mergeCell ref="D429:D448"/>
    <mergeCell ref="D453:D472"/>
    <mergeCell ref="D208:D209"/>
    <mergeCell ref="D181:D182"/>
    <mergeCell ref="BT696:BT697"/>
    <mergeCell ref="BU696:BU697"/>
    <mergeCell ref="DJ696:DJ697"/>
    <mergeCell ref="EI696:EI697"/>
    <mergeCell ref="DA696:DA697"/>
    <mergeCell ref="DB696:DB697"/>
    <mergeCell ref="DC696:DC697"/>
    <mergeCell ref="DD696:DD697"/>
    <mergeCell ref="DE696:DE697"/>
    <mergeCell ref="DF696:DF697"/>
    <mergeCell ref="DG696:DG697"/>
    <mergeCell ref="DH696:DH697"/>
    <mergeCell ref="DI696:DI697"/>
    <mergeCell ref="CR696:CR697"/>
    <mergeCell ref="CS696:CS697"/>
    <mergeCell ref="CT696:CT697"/>
    <mergeCell ref="CU696:CU697"/>
    <mergeCell ref="CV696:CV697"/>
    <mergeCell ref="CW696:CW697"/>
    <mergeCell ref="CX696:CX697"/>
    <mergeCell ref="CY696:CY697"/>
    <mergeCell ref="CZ696:CZ697"/>
    <mergeCell ref="CI696:CI697"/>
    <mergeCell ref="CJ696:CJ697"/>
    <mergeCell ref="EE696:EE697"/>
    <mergeCell ref="EF696:EF697"/>
    <mergeCell ref="EG696:EG697"/>
    <mergeCell ref="EH696:EH697"/>
    <mergeCell ref="DT696:DT697"/>
    <mergeCell ref="DU696:DU697"/>
    <mergeCell ref="DV696:DV697"/>
    <mergeCell ref="DW696:DW697"/>
    <mergeCell ref="BU643:BU644"/>
    <mergeCell ref="BY451:BY452"/>
    <mergeCell ref="BY427:BY428"/>
    <mergeCell ref="BY523:BY524"/>
    <mergeCell ref="BY571:BY572"/>
    <mergeCell ref="CK696:CK697"/>
    <mergeCell ref="CL696:CL697"/>
    <mergeCell ref="CM696:CM697"/>
    <mergeCell ref="CN696:CN697"/>
    <mergeCell ref="CO696:CO697"/>
    <mergeCell ref="CP696:CP697"/>
    <mergeCell ref="CQ696:CQ697"/>
    <mergeCell ref="BZ696:BZ697"/>
    <mergeCell ref="CA696:CA697"/>
    <mergeCell ref="CB696:CB697"/>
    <mergeCell ref="CC696:CC697"/>
    <mergeCell ref="CD696:CD697"/>
    <mergeCell ref="CE696:CE697"/>
    <mergeCell ref="CF696:CF697"/>
    <mergeCell ref="CG696:CG697"/>
    <mergeCell ref="CH696:CH697"/>
    <mergeCell ref="BZ427:BZ428"/>
    <mergeCell ref="CA427:CA428"/>
    <mergeCell ref="CB427:CB428"/>
    <mergeCell ref="CC427:CC428"/>
    <mergeCell ref="CD427:CD428"/>
    <mergeCell ref="CE427:CE428"/>
    <mergeCell ref="CF427:CF428"/>
    <mergeCell ref="CG427:CG428"/>
    <mergeCell ref="CF451:CF452"/>
    <mergeCell ref="CG451:CG452"/>
    <mergeCell ref="CM451:CM452"/>
    <mergeCell ref="F858:F859"/>
    <mergeCell ref="B696:B697"/>
    <mergeCell ref="D696:D697"/>
    <mergeCell ref="F696:I696"/>
    <mergeCell ref="F697:G697"/>
    <mergeCell ref="F748:H748"/>
    <mergeCell ref="F749:I749"/>
    <mergeCell ref="D856:D857"/>
    <mergeCell ref="F755:G755"/>
    <mergeCell ref="F754:I754"/>
    <mergeCell ref="F851:H851"/>
    <mergeCell ref="BT235:BT236"/>
    <mergeCell ref="BU235:BU236"/>
    <mergeCell ref="BT259:BT260"/>
    <mergeCell ref="BU259:BU260"/>
    <mergeCell ref="BT283:BT284"/>
    <mergeCell ref="BU283:BU284"/>
    <mergeCell ref="F309:F328"/>
    <mergeCell ref="F261:F280"/>
    <mergeCell ref="BT307:BT308"/>
    <mergeCell ref="BU307:BU308"/>
    <mergeCell ref="BT379:BT380"/>
    <mergeCell ref="BU379:BU380"/>
    <mergeCell ref="BT403:BT404"/>
    <mergeCell ref="BU403:BU404"/>
    <mergeCell ref="BT331:BT332"/>
    <mergeCell ref="BU331:BU332"/>
    <mergeCell ref="BT355:BT356"/>
    <mergeCell ref="BU355:BU356"/>
    <mergeCell ref="BU499:BU500"/>
    <mergeCell ref="BT427:BT428"/>
    <mergeCell ref="BU427:BU428"/>
    <mergeCell ref="F98:I98"/>
    <mergeCell ref="F204:I204"/>
    <mergeCell ref="F181:I181"/>
    <mergeCell ref="F203:H203"/>
    <mergeCell ref="F357:F376"/>
    <mergeCell ref="F333:F352"/>
    <mergeCell ref="F49:I49"/>
    <mergeCell ref="F213:F232"/>
    <mergeCell ref="F237:F256"/>
    <mergeCell ref="F97:I97"/>
    <mergeCell ref="F285:F304"/>
    <mergeCell ref="BT211:BT212"/>
    <mergeCell ref="BU211:BU212"/>
    <mergeCell ref="F71:H71"/>
    <mergeCell ref="F75:I75"/>
    <mergeCell ref="F208:I209"/>
    <mergeCell ref="F102:I102"/>
    <mergeCell ref="F174:G174"/>
    <mergeCell ref="F150:G150"/>
    <mergeCell ref="F126:G126"/>
    <mergeCell ref="F177:I177"/>
    <mergeCell ref="F176:G176"/>
    <mergeCell ref="F573:F592"/>
    <mergeCell ref="BT595:BT596"/>
    <mergeCell ref="BU595:BU596"/>
    <mergeCell ref="BT475:BT476"/>
    <mergeCell ref="BU475:BU476"/>
    <mergeCell ref="F477:F496"/>
    <mergeCell ref="BT499:BT500"/>
    <mergeCell ref="F405:F424"/>
    <mergeCell ref="D829:D838"/>
    <mergeCell ref="D840:D849"/>
    <mergeCell ref="D805:D811"/>
    <mergeCell ref="D813:D819"/>
    <mergeCell ref="D821:D827"/>
    <mergeCell ref="D765:D771"/>
    <mergeCell ref="D773:D779"/>
    <mergeCell ref="F381:F400"/>
    <mergeCell ref="F645:F664"/>
    <mergeCell ref="F669:F688"/>
    <mergeCell ref="D757:D763"/>
    <mergeCell ref="D754:D755"/>
    <mergeCell ref="F597:F616"/>
    <mergeCell ref="F691:H691"/>
    <mergeCell ref="F692:I692"/>
    <mergeCell ref="F621:F640"/>
    <mergeCell ref="D781:D787"/>
    <mergeCell ref="D789:D795"/>
    <mergeCell ref="D797:D803"/>
    <mergeCell ref="BT667:BT668"/>
    <mergeCell ref="BU667:BU668"/>
    <mergeCell ref="BT619:BT620"/>
    <mergeCell ref="BU619:BU620"/>
    <mergeCell ref="BT643:BT644"/>
    <mergeCell ref="CB283:CB284"/>
    <mergeCell ref="CC283:CC284"/>
    <mergeCell ref="CC331:CC332"/>
    <mergeCell ref="CD331:CD332"/>
    <mergeCell ref="BY355:BY356"/>
    <mergeCell ref="BZ355:BZ356"/>
    <mergeCell ref="CA355:CA356"/>
    <mergeCell ref="CB355:CB356"/>
    <mergeCell ref="CC355:CC356"/>
    <mergeCell ref="CD355:CD356"/>
    <mergeCell ref="BY331:BY332"/>
    <mergeCell ref="BZ331:BZ332"/>
    <mergeCell ref="CA331:CA332"/>
    <mergeCell ref="CB331:CB332"/>
    <mergeCell ref="BY379:BY380"/>
    <mergeCell ref="F861:H861"/>
    <mergeCell ref="F862:I862"/>
    <mergeCell ref="F852:I852"/>
    <mergeCell ref="F856:I856"/>
    <mergeCell ref="F429:F448"/>
    <mergeCell ref="BT451:BT452"/>
    <mergeCell ref="BU451:BU452"/>
    <mergeCell ref="F453:F472"/>
    <mergeCell ref="F501:F520"/>
    <mergeCell ref="BT523:BT524"/>
    <mergeCell ref="BU523:BU524"/>
    <mergeCell ref="F525:F544"/>
    <mergeCell ref="BT547:BT548"/>
    <mergeCell ref="BU547:BU548"/>
    <mergeCell ref="F549:F568"/>
    <mergeCell ref="BT571:BT572"/>
    <mergeCell ref="BU571:BU572"/>
    <mergeCell ref="CD259:CD260"/>
    <mergeCell ref="CE259:CE260"/>
    <mergeCell ref="CF259:CF260"/>
    <mergeCell ref="CG259:CG260"/>
    <mergeCell ref="CH259:CH260"/>
    <mergeCell ref="CD211:CD212"/>
    <mergeCell ref="CE211:CE212"/>
    <mergeCell ref="CD283:CD284"/>
    <mergeCell ref="CE283:CE284"/>
    <mergeCell ref="CE331:CE332"/>
    <mergeCell ref="CE403:CE404"/>
    <mergeCell ref="CB235:CB236"/>
    <mergeCell ref="CC235:CC236"/>
    <mergeCell ref="CD235:CD236"/>
    <mergeCell ref="CE235:CE236"/>
    <mergeCell ref="CF235:CF236"/>
    <mergeCell ref="BY211:BY212"/>
    <mergeCell ref="BZ211:BZ212"/>
    <mergeCell ref="CA211:CA212"/>
    <mergeCell ref="CB211:CB212"/>
    <mergeCell ref="CC211:CC212"/>
    <mergeCell ref="BY259:BY260"/>
    <mergeCell ref="BZ259:BZ260"/>
    <mergeCell ref="CA259:CA260"/>
    <mergeCell ref="CB259:CB260"/>
    <mergeCell ref="CC259:CC260"/>
    <mergeCell ref="CA235:CA236"/>
    <mergeCell ref="BY235:BY236"/>
    <mergeCell ref="BZ235:BZ236"/>
    <mergeCell ref="BY403:BY404"/>
    <mergeCell ref="BZ403:BZ404"/>
    <mergeCell ref="CA403:CA404"/>
    <mergeCell ref="CF211:CF212"/>
    <mergeCell ref="CX211:CX212"/>
    <mergeCell ref="CY211:CY212"/>
    <mergeCell ref="CN211:CN212"/>
    <mergeCell ref="CO211:CO212"/>
    <mergeCell ref="CP211:CP212"/>
    <mergeCell ref="CZ211:CZ212"/>
    <mergeCell ref="DA211:DA212"/>
    <mergeCell ref="DB211:DB212"/>
    <mergeCell ref="CS211:CS212"/>
    <mergeCell ref="CT211:CT212"/>
    <mergeCell ref="CU211:CU212"/>
    <mergeCell ref="CV211:CV212"/>
    <mergeCell ref="CW211:CW212"/>
    <mergeCell ref="CG235:CG236"/>
    <mergeCell ref="CH235:CH236"/>
    <mergeCell ref="CI235:CI236"/>
    <mergeCell ref="CJ235:CJ236"/>
    <mergeCell ref="CQ211:CQ212"/>
    <mergeCell ref="CR211:CR212"/>
    <mergeCell ref="CI211:CI212"/>
    <mergeCell ref="CJ211:CJ212"/>
    <mergeCell ref="CK211:CK212"/>
    <mergeCell ref="CL211:CL212"/>
    <mergeCell ref="CM211:CM212"/>
    <mergeCell ref="CR235:CR236"/>
    <mergeCell ref="CO235:CO236"/>
    <mergeCell ref="CP235:CP236"/>
    <mergeCell ref="CQ235:CQ236"/>
    <mergeCell ref="CG211:CG212"/>
    <mergeCell ref="CH211:CH212"/>
    <mergeCell ref="DH211:DH212"/>
    <mergeCell ref="DI211:DI212"/>
    <mergeCell ref="DJ211:DJ212"/>
    <mergeCell ref="EI211:EI212"/>
    <mergeCell ref="DC211:DC212"/>
    <mergeCell ref="DD211:DD212"/>
    <mergeCell ref="DE211:DE212"/>
    <mergeCell ref="DF211:DF212"/>
    <mergeCell ref="DG211:DG212"/>
    <mergeCell ref="DK211:DK212"/>
    <mergeCell ref="DL211:DL212"/>
    <mergeCell ref="DM211:DM212"/>
    <mergeCell ref="DN211:DN212"/>
    <mergeCell ref="DO211:DO212"/>
    <mergeCell ref="DP211:DP212"/>
    <mergeCell ref="DQ211:DQ212"/>
    <mergeCell ref="DR211:DR212"/>
    <mergeCell ref="DS211:DS212"/>
    <mergeCell ref="DT211:DT212"/>
    <mergeCell ref="DU211:DU212"/>
    <mergeCell ref="DV211:DV212"/>
    <mergeCell ref="DW211:DW212"/>
    <mergeCell ref="DX211:DX212"/>
    <mergeCell ref="DY211:DY212"/>
    <mergeCell ref="EH211:EH212"/>
    <mergeCell ref="DZ211:DZ212"/>
    <mergeCell ref="EA211:EA212"/>
    <mergeCell ref="EB211:EB212"/>
    <mergeCell ref="EC211:EC212"/>
    <mergeCell ref="ED211:ED212"/>
    <mergeCell ref="EE211:EE212"/>
    <mergeCell ref="EF211:EF212"/>
    <mergeCell ref="DI235:DI236"/>
    <mergeCell ref="DJ235:DJ236"/>
    <mergeCell ref="EI235:EI236"/>
    <mergeCell ref="DD235:DD236"/>
    <mergeCell ref="DE235:DE236"/>
    <mergeCell ref="DF235:DF236"/>
    <mergeCell ref="DG235:DG236"/>
    <mergeCell ref="DH235:DH236"/>
    <mergeCell ref="CY235:CY236"/>
    <mergeCell ref="CZ235:CZ236"/>
    <mergeCell ref="DA235:DA236"/>
    <mergeCell ref="DB235:DB236"/>
    <mergeCell ref="DC235:DC236"/>
    <mergeCell ref="CT235:CT236"/>
    <mergeCell ref="CU235:CU236"/>
    <mergeCell ref="CV235:CV236"/>
    <mergeCell ref="CW235:CW236"/>
    <mergeCell ref="CX235:CX236"/>
    <mergeCell ref="DK235:DK236"/>
    <mergeCell ref="DL235:DL236"/>
    <mergeCell ref="DM235:DM236"/>
    <mergeCell ref="DN235:DN236"/>
    <mergeCell ref="DO235:DO236"/>
    <mergeCell ref="EG235:EG236"/>
    <mergeCell ref="DP235:DP236"/>
    <mergeCell ref="DQ235:DQ236"/>
    <mergeCell ref="DR235:DR236"/>
    <mergeCell ref="DS235:DS236"/>
    <mergeCell ref="DT235:DT236"/>
    <mergeCell ref="DU235:DU236"/>
    <mergeCell ref="DV235:DV236"/>
    <mergeCell ref="DW235:DW236"/>
    <mergeCell ref="CZ259:CZ260"/>
    <mergeCell ref="DA259:DA260"/>
    <mergeCell ref="DB259:DB260"/>
    <mergeCell ref="CU259:CU260"/>
    <mergeCell ref="CT283:CT284"/>
    <mergeCell ref="CK235:CK236"/>
    <mergeCell ref="CL235:CL236"/>
    <mergeCell ref="CM235:CM236"/>
    <mergeCell ref="CN235:CN236"/>
    <mergeCell ref="CF283:CF284"/>
    <mergeCell ref="CG283:CG284"/>
    <mergeCell ref="CK283:CK284"/>
    <mergeCell ref="CL283:CL284"/>
    <mergeCell ref="CM283:CM284"/>
    <mergeCell ref="CN283:CN284"/>
    <mergeCell ref="CO283:CO284"/>
    <mergeCell ref="CI283:CI284"/>
    <mergeCell ref="CJ283:CJ284"/>
    <mergeCell ref="CH283:CH284"/>
    <mergeCell ref="CI259:CI260"/>
    <mergeCell ref="CP283:CP284"/>
    <mergeCell ref="CJ259:CJ260"/>
    <mergeCell ref="CK259:CK260"/>
    <mergeCell ref="CL259:CL260"/>
    <mergeCell ref="CM259:CM260"/>
    <mergeCell ref="CQ283:CQ284"/>
    <mergeCell ref="CR283:CR284"/>
    <mergeCell ref="CS283:CS284"/>
    <mergeCell ref="CS235:CS236"/>
    <mergeCell ref="DH259:DH260"/>
    <mergeCell ref="DI259:DI260"/>
    <mergeCell ref="DJ259:DJ260"/>
    <mergeCell ref="CS259:CS260"/>
    <mergeCell ref="CT259:CT260"/>
    <mergeCell ref="CW259:CW260"/>
    <mergeCell ref="CN259:CN260"/>
    <mergeCell ref="CO259:CO260"/>
    <mergeCell ref="CP259:CP260"/>
    <mergeCell ref="CQ259:CQ260"/>
    <mergeCell ref="CR259:CR260"/>
    <mergeCell ref="CV259:CV260"/>
    <mergeCell ref="CQ307:CQ308"/>
    <mergeCell ref="EI259:EI260"/>
    <mergeCell ref="DC283:DC284"/>
    <mergeCell ref="DD283:DD284"/>
    <mergeCell ref="CU283:CU284"/>
    <mergeCell ref="CV283:CV284"/>
    <mergeCell ref="CW283:CW284"/>
    <mergeCell ref="CX283:CX284"/>
    <mergeCell ref="CY283:CY284"/>
    <mergeCell ref="DI283:DI284"/>
    <mergeCell ref="CZ283:CZ284"/>
    <mergeCell ref="DA283:DA284"/>
    <mergeCell ref="DB283:DB284"/>
    <mergeCell ref="DC259:DC260"/>
    <mergeCell ref="DD259:DD260"/>
    <mergeCell ref="DE259:DE260"/>
    <mergeCell ref="DF259:DF260"/>
    <mergeCell ref="DG259:DG260"/>
    <mergeCell ref="CX259:CX260"/>
    <mergeCell ref="CY259:CY260"/>
    <mergeCell ref="DD331:DD332"/>
    <mergeCell ref="CS307:CS308"/>
    <mergeCell ref="CT307:CT308"/>
    <mergeCell ref="CU307:CU308"/>
    <mergeCell ref="CV307:CV308"/>
    <mergeCell ref="DJ283:DJ284"/>
    <mergeCell ref="EI283:EI284"/>
    <mergeCell ref="BY307:BY308"/>
    <mergeCell ref="BZ307:BZ308"/>
    <mergeCell ref="CA307:CA308"/>
    <mergeCell ref="CB307:CB308"/>
    <mergeCell ref="CC307:CC308"/>
    <mergeCell ref="CD307:CD308"/>
    <mergeCell ref="CE307:CE308"/>
    <mergeCell ref="CF307:CF308"/>
    <mergeCell ref="CG307:CG308"/>
    <mergeCell ref="CH307:CH308"/>
    <mergeCell ref="CI307:CI308"/>
    <mergeCell ref="CJ307:CJ308"/>
    <mergeCell ref="CK307:CK308"/>
    <mergeCell ref="CL307:CL308"/>
    <mergeCell ref="DE283:DE284"/>
    <mergeCell ref="DF283:DF284"/>
    <mergeCell ref="DG283:DG284"/>
    <mergeCell ref="DH283:DH284"/>
    <mergeCell ref="CM307:CM308"/>
    <mergeCell ref="CN307:CN308"/>
    <mergeCell ref="CO307:CO308"/>
    <mergeCell ref="CP307:CP308"/>
    <mergeCell ref="BY283:BY284"/>
    <mergeCell ref="BZ283:BZ284"/>
    <mergeCell ref="CA283:CA284"/>
    <mergeCell ref="EI307:EI308"/>
    <mergeCell ref="DB307:DB308"/>
    <mergeCell ref="DC307:DC308"/>
    <mergeCell ref="DD307:DD308"/>
    <mergeCell ref="DE307:DE308"/>
    <mergeCell ref="DF307:DF308"/>
    <mergeCell ref="CW307:CW308"/>
    <mergeCell ref="CX307:CX308"/>
    <mergeCell ref="CY307:CY308"/>
    <mergeCell ref="CZ307:CZ308"/>
    <mergeCell ref="DA307:DA308"/>
    <mergeCell ref="DG307:DG308"/>
    <mergeCell ref="DH307:DH308"/>
    <mergeCell ref="DI307:DI308"/>
    <mergeCell ref="DJ307:DJ308"/>
    <mergeCell ref="EH307:EH308"/>
    <mergeCell ref="CR307:CR308"/>
    <mergeCell ref="DK307:DK308"/>
    <mergeCell ref="DL307:DL308"/>
    <mergeCell ref="DM307:DM308"/>
    <mergeCell ref="DN307:DN308"/>
    <mergeCell ref="DO307:DO308"/>
    <mergeCell ref="DP307:DP308"/>
    <mergeCell ref="DQ307:DQ308"/>
    <mergeCell ref="DR307:DR308"/>
    <mergeCell ref="DS307:DS308"/>
    <mergeCell ref="DT307:DT308"/>
    <mergeCell ref="EB307:EB308"/>
    <mergeCell ref="EC307:EC308"/>
    <mergeCell ref="ED307:ED308"/>
    <mergeCell ref="EE307:EE308"/>
    <mergeCell ref="EF307:EF308"/>
    <mergeCell ref="CQ331:CQ332"/>
    <mergeCell ref="CR331:CR332"/>
    <mergeCell ref="EI331:EI332"/>
    <mergeCell ref="DC355:DC356"/>
    <mergeCell ref="DD355:DD356"/>
    <mergeCell ref="CU355:CU356"/>
    <mergeCell ref="CV355:CV356"/>
    <mergeCell ref="CW355:CW356"/>
    <mergeCell ref="CX355:CX356"/>
    <mergeCell ref="CY355:CY356"/>
    <mergeCell ref="DB355:DB356"/>
    <mergeCell ref="DE331:DE332"/>
    <mergeCell ref="DF331:DF332"/>
    <mergeCell ref="DG331:DG332"/>
    <mergeCell ref="CX331:CX332"/>
    <mergeCell ref="CY331:CY332"/>
    <mergeCell ref="CZ331:CZ332"/>
    <mergeCell ref="DA331:DA332"/>
    <mergeCell ref="DB331:DB332"/>
    <mergeCell ref="DJ355:DJ356"/>
    <mergeCell ref="EI355:EI356"/>
    <mergeCell ref="DI355:DI356"/>
    <mergeCell ref="CW331:CW332"/>
    <mergeCell ref="DK331:DK332"/>
    <mergeCell ref="DH331:DH332"/>
    <mergeCell ref="DI331:DI332"/>
    <mergeCell ref="DJ331:DJ332"/>
    <mergeCell ref="CS331:CS332"/>
    <mergeCell ref="CT331:CT332"/>
    <mergeCell ref="CU331:CU332"/>
    <mergeCell ref="CV331:CV332"/>
    <mergeCell ref="DC331:DC332"/>
    <mergeCell ref="BZ379:BZ380"/>
    <mergeCell ref="CA379:CA380"/>
    <mergeCell ref="CB379:CB380"/>
    <mergeCell ref="CC379:CC380"/>
    <mergeCell ref="CD379:CD380"/>
    <mergeCell ref="CE379:CE380"/>
    <mergeCell ref="CF379:CF380"/>
    <mergeCell ref="CG379:CG380"/>
    <mergeCell ref="CG355:CG356"/>
    <mergeCell ref="CE355:CE356"/>
    <mergeCell ref="CF355:CF356"/>
    <mergeCell ref="CP331:CP332"/>
    <mergeCell ref="CF331:CF332"/>
    <mergeCell ref="CG331:CG332"/>
    <mergeCell ref="CH331:CH332"/>
    <mergeCell ref="CI331:CI332"/>
    <mergeCell ref="CJ331:CJ332"/>
    <mergeCell ref="CK331:CK332"/>
    <mergeCell ref="CL331:CL332"/>
    <mergeCell ref="CN331:CN332"/>
    <mergeCell ref="CO331:CO332"/>
    <mergeCell ref="CM331:CM332"/>
    <mergeCell ref="CH379:CH380"/>
    <mergeCell ref="CI379:CI380"/>
    <mergeCell ref="DH355:DH356"/>
    <mergeCell ref="CZ355:CZ356"/>
    <mergeCell ref="DA355:DA356"/>
    <mergeCell ref="CT355:CT356"/>
    <mergeCell ref="CI355:CI356"/>
    <mergeCell ref="CJ355:CJ356"/>
    <mergeCell ref="CS355:CS356"/>
    <mergeCell ref="CN355:CN356"/>
    <mergeCell ref="CO355:CO356"/>
    <mergeCell ref="CP355:CP356"/>
    <mergeCell ref="CQ355:CQ356"/>
    <mergeCell ref="CR355:CR356"/>
    <mergeCell ref="DE355:DE356"/>
    <mergeCell ref="DF355:DF356"/>
    <mergeCell ref="DG355:DG356"/>
    <mergeCell ref="CH355:CH356"/>
    <mergeCell ref="CK355:CK356"/>
    <mergeCell ref="CL355:CL356"/>
    <mergeCell ref="CM355:CM356"/>
    <mergeCell ref="EI379:EI380"/>
    <mergeCell ref="DB379:DB380"/>
    <mergeCell ref="DC379:DC380"/>
    <mergeCell ref="DD379:DD380"/>
    <mergeCell ref="DE379:DE380"/>
    <mergeCell ref="DF379:DF380"/>
    <mergeCell ref="CW379:CW380"/>
    <mergeCell ref="CX379:CX380"/>
    <mergeCell ref="CY379:CY380"/>
    <mergeCell ref="CZ379:CZ380"/>
    <mergeCell ref="DA379:DA380"/>
    <mergeCell ref="DG379:DG380"/>
    <mergeCell ref="DH379:DH380"/>
    <mergeCell ref="DI379:DI380"/>
    <mergeCell ref="DJ379:DJ380"/>
    <mergeCell ref="ED379:ED380"/>
    <mergeCell ref="EE379:EE380"/>
    <mergeCell ref="EF379:EF380"/>
    <mergeCell ref="EG379:EG380"/>
    <mergeCell ref="EH379:EH380"/>
    <mergeCell ref="DZ379:DZ380"/>
    <mergeCell ref="EA379:EA380"/>
    <mergeCell ref="EB379:EB380"/>
    <mergeCell ref="EC379:EC380"/>
    <mergeCell ref="DC403:DC404"/>
    <mergeCell ref="CF403:CF404"/>
    <mergeCell ref="CG403:CG404"/>
    <mergeCell ref="CH403:CH404"/>
    <mergeCell ref="CI403:CI404"/>
    <mergeCell ref="CN427:CN428"/>
    <mergeCell ref="CO427:CO428"/>
    <mergeCell ref="CP427:CP428"/>
    <mergeCell ref="CQ427:CQ428"/>
    <mergeCell ref="CR427:CR428"/>
    <mergeCell ref="CN403:CN404"/>
    <mergeCell ref="CO403:CO404"/>
    <mergeCell ref="CP403:CP404"/>
    <mergeCell ref="CB403:CB404"/>
    <mergeCell ref="CC403:CC404"/>
    <mergeCell ref="CD403:CD404"/>
    <mergeCell ref="CJ403:CJ404"/>
    <mergeCell ref="CK403:CK404"/>
    <mergeCell ref="CL403:CL404"/>
    <mergeCell ref="CM403:CM404"/>
    <mergeCell ref="CQ403:CQ404"/>
    <mergeCell ref="CR403:CR404"/>
    <mergeCell ref="CT427:CT428"/>
    <mergeCell ref="CI427:CI428"/>
    <mergeCell ref="CJ427:CJ428"/>
    <mergeCell ref="CR379:CR380"/>
    <mergeCell ref="CS379:CS380"/>
    <mergeCell ref="CT379:CT380"/>
    <mergeCell ref="CU379:CU380"/>
    <mergeCell ref="CQ379:CQ380"/>
    <mergeCell ref="CS403:CS404"/>
    <mergeCell ref="CT403:CT404"/>
    <mergeCell ref="CU403:CU404"/>
    <mergeCell ref="CV403:CV404"/>
    <mergeCell ref="CJ379:CJ380"/>
    <mergeCell ref="CK379:CK380"/>
    <mergeCell ref="CL379:CL380"/>
    <mergeCell ref="CM379:CM380"/>
    <mergeCell ref="CN379:CN380"/>
    <mergeCell ref="CO379:CO380"/>
    <mergeCell ref="CP379:CP380"/>
    <mergeCell ref="CV379:CV380"/>
    <mergeCell ref="EI403:EI404"/>
    <mergeCell ref="DC427:DC428"/>
    <mergeCell ref="DD427:DD428"/>
    <mergeCell ref="CU427:CU428"/>
    <mergeCell ref="CV427:CV428"/>
    <mergeCell ref="CW427:CW428"/>
    <mergeCell ref="CX427:CX428"/>
    <mergeCell ref="CY427:CY428"/>
    <mergeCell ref="DB427:DB428"/>
    <mergeCell ref="DE403:DE404"/>
    <mergeCell ref="DF403:DF404"/>
    <mergeCell ref="DG403:DG404"/>
    <mergeCell ref="CX403:CX404"/>
    <mergeCell ref="CY403:CY404"/>
    <mergeCell ref="CZ403:CZ404"/>
    <mergeCell ref="DA403:DA404"/>
    <mergeCell ref="DB403:DB404"/>
    <mergeCell ref="DJ427:DJ428"/>
    <mergeCell ref="EI427:EI428"/>
    <mergeCell ref="DI427:DI428"/>
    <mergeCell ref="CW403:CW404"/>
    <mergeCell ref="DH403:DH404"/>
    <mergeCell ref="DI403:DI404"/>
    <mergeCell ref="DJ403:DJ404"/>
    <mergeCell ref="DD403:DD404"/>
    <mergeCell ref="DE427:DE428"/>
    <mergeCell ref="DF427:DF428"/>
    <mergeCell ref="DG427:DG428"/>
    <mergeCell ref="DH427:DH428"/>
    <mergeCell ref="CZ427:CZ428"/>
    <mergeCell ref="DA427:DA428"/>
    <mergeCell ref="ED403:ED404"/>
    <mergeCell ref="CN451:CN452"/>
    <mergeCell ref="CO451:CO452"/>
    <mergeCell ref="CP451:CP452"/>
    <mergeCell ref="CQ451:CQ452"/>
    <mergeCell ref="CS427:CS428"/>
    <mergeCell ref="CH427:CH428"/>
    <mergeCell ref="CK427:CK428"/>
    <mergeCell ref="CL427:CL428"/>
    <mergeCell ref="CM427:CM428"/>
    <mergeCell ref="CJ451:CJ452"/>
    <mergeCell ref="CK451:CK452"/>
    <mergeCell ref="CL451:CL452"/>
    <mergeCell ref="CV451:CV452"/>
    <mergeCell ref="CN499:CN500"/>
    <mergeCell ref="CO499:CO500"/>
    <mergeCell ref="CP499:CP500"/>
    <mergeCell ref="CQ499:CQ500"/>
    <mergeCell ref="CR499:CR500"/>
    <mergeCell ref="CN475:CN476"/>
    <mergeCell ref="CO475:CO476"/>
    <mergeCell ref="CP475:CP476"/>
    <mergeCell ref="CR451:CR452"/>
    <mergeCell ref="CS451:CS452"/>
    <mergeCell ref="CT451:CT452"/>
    <mergeCell ref="CU451:CU452"/>
    <mergeCell ref="CT499:CT500"/>
    <mergeCell ref="CJ499:CJ500"/>
    <mergeCell ref="EI451:EI452"/>
    <mergeCell ref="DB451:DB452"/>
    <mergeCell ref="DC451:DC452"/>
    <mergeCell ref="DD451:DD452"/>
    <mergeCell ref="DE451:DE452"/>
    <mergeCell ref="DF451:DF452"/>
    <mergeCell ref="CW451:CW452"/>
    <mergeCell ref="CX451:CX452"/>
    <mergeCell ref="CY451:CY452"/>
    <mergeCell ref="CZ451:CZ452"/>
    <mergeCell ref="DA451:DA452"/>
    <mergeCell ref="DG451:DG452"/>
    <mergeCell ref="DH451:DH452"/>
    <mergeCell ref="DI451:DI452"/>
    <mergeCell ref="DJ451:DJ452"/>
    <mergeCell ref="EC451:EC452"/>
    <mergeCell ref="ED451:ED452"/>
    <mergeCell ref="EE451:EE452"/>
    <mergeCell ref="EF451:EF452"/>
    <mergeCell ref="EG451:EG452"/>
    <mergeCell ref="EH451:EH452"/>
    <mergeCell ref="EA451:EA452"/>
    <mergeCell ref="EB451:EB452"/>
    <mergeCell ref="DZ451:DZ452"/>
    <mergeCell ref="BY499:BY500"/>
    <mergeCell ref="BZ499:BZ500"/>
    <mergeCell ref="CA499:CA500"/>
    <mergeCell ref="CB499:CB500"/>
    <mergeCell ref="CC499:CC500"/>
    <mergeCell ref="CD499:CD500"/>
    <mergeCell ref="CE499:CE500"/>
    <mergeCell ref="CF499:CF500"/>
    <mergeCell ref="CG499:CG500"/>
    <mergeCell ref="BY475:BY476"/>
    <mergeCell ref="BZ475:BZ476"/>
    <mergeCell ref="CA475:CA476"/>
    <mergeCell ref="CB475:CB476"/>
    <mergeCell ref="CC475:CC476"/>
    <mergeCell ref="CD475:CD476"/>
    <mergeCell ref="CH451:CH452"/>
    <mergeCell ref="CI451:CI452"/>
    <mergeCell ref="BZ451:BZ452"/>
    <mergeCell ref="CA451:CA452"/>
    <mergeCell ref="CB451:CB452"/>
    <mergeCell ref="CC451:CC452"/>
    <mergeCell ref="CD451:CD452"/>
    <mergeCell ref="CE451:CE452"/>
    <mergeCell ref="CI499:CI500"/>
    <mergeCell ref="DB475:DB476"/>
    <mergeCell ref="DJ499:DJ500"/>
    <mergeCell ref="EI499:EI500"/>
    <mergeCell ref="DI499:DI500"/>
    <mergeCell ref="CW475:CW476"/>
    <mergeCell ref="DF499:DF500"/>
    <mergeCell ref="DG499:DG500"/>
    <mergeCell ref="DH499:DH500"/>
    <mergeCell ref="DH475:DH476"/>
    <mergeCell ref="DI475:DI476"/>
    <mergeCell ref="DJ475:DJ476"/>
    <mergeCell ref="CS475:CS476"/>
    <mergeCell ref="CT475:CT476"/>
    <mergeCell ref="CU475:CU476"/>
    <mergeCell ref="CV475:CV476"/>
    <mergeCell ref="CE475:CE476"/>
    <mergeCell ref="CF475:CF476"/>
    <mergeCell ref="CG475:CG476"/>
    <mergeCell ref="CH475:CH476"/>
    <mergeCell ref="CI475:CI476"/>
    <mergeCell ref="DC475:DC476"/>
    <mergeCell ref="DD475:DD476"/>
    <mergeCell ref="CJ475:CJ476"/>
    <mergeCell ref="CK475:CK476"/>
    <mergeCell ref="CL475:CL476"/>
    <mergeCell ref="CM475:CM476"/>
    <mergeCell ref="CQ475:CQ476"/>
    <mergeCell ref="CR475:CR476"/>
    <mergeCell ref="DE499:DE500"/>
    <mergeCell ref="CH499:CH500"/>
    <mergeCell ref="CZ499:CZ500"/>
    <mergeCell ref="DA499:DA500"/>
    <mergeCell ref="EI523:EI524"/>
    <mergeCell ref="DB523:DB524"/>
    <mergeCell ref="DC523:DC524"/>
    <mergeCell ref="DD523:DD524"/>
    <mergeCell ref="DE523:DE524"/>
    <mergeCell ref="DF523:DF524"/>
    <mergeCell ref="CW523:CW524"/>
    <mergeCell ref="CX523:CX524"/>
    <mergeCell ref="CY523:CY524"/>
    <mergeCell ref="CZ523:CZ524"/>
    <mergeCell ref="DA523:DA524"/>
    <mergeCell ref="DG523:DG524"/>
    <mergeCell ref="DH523:DH524"/>
    <mergeCell ref="DI523:DI524"/>
    <mergeCell ref="DJ523:DJ524"/>
    <mergeCell ref="CI523:CI524"/>
    <mergeCell ref="EI475:EI476"/>
    <mergeCell ref="DC499:DC500"/>
    <mergeCell ref="DD499:DD500"/>
    <mergeCell ref="CU499:CU500"/>
    <mergeCell ref="CV499:CV500"/>
    <mergeCell ref="CW499:CW500"/>
    <mergeCell ref="CX499:CX500"/>
    <mergeCell ref="CY499:CY500"/>
    <mergeCell ref="DB499:DB500"/>
    <mergeCell ref="DE475:DE476"/>
    <mergeCell ref="DF475:DF476"/>
    <mergeCell ref="DG475:DG476"/>
    <mergeCell ref="CX475:CX476"/>
    <mergeCell ref="CY475:CY476"/>
    <mergeCell ref="CZ475:CZ476"/>
    <mergeCell ref="DA475:DA476"/>
    <mergeCell ref="CM523:CM524"/>
    <mergeCell ref="CN523:CN524"/>
    <mergeCell ref="CS499:CS500"/>
    <mergeCell ref="CK499:CK500"/>
    <mergeCell ref="CL499:CL500"/>
    <mergeCell ref="CM499:CM500"/>
    <mergeCell ref="CO523:CO524"/>
    <mergeCell ref="CP523:CP524"/>
    <mergeCell ref="CQ523:CQ524"/>
    <mergeCell ref="BZ523:BZ524"/>
    <mergeCell ref="CA523:CA524"/>
    <mergeCell ref="CB523:CB524"/>
    <mergeCell ref="CC523:CC524"/>
    <mergeCell ref="CD523:CD524"/>
    <mergeCell ref="CE523:CE524"/>
    <mergeCell ref="CF523:CF524"/>
    <mergeCell ref="CG523:CG524"/>
    <mergeCell ref="BY547:BY548"/>
    <mergeCell ref="BZ547:BZ548"/>
    <mergeCell ref="CA547:CA548"/>
    <mergeCell ref="CB547:CB548"/>
    <mergeCell ref="CC547:CC548"/>
    <mergeCell ref="CD547:CD548"/>
    <mergeCell ref="DC547:DC548"/>
    <mergeCell ref="DD547:DD548"/>
    <mergeCell ref="CV523:CV524"/>
    <mergeCell ref="CQ547:CQ548"/>
    <mergeCell ref="CR547:CR548"/>
    <mergeCell ref="CR523:CR524"/>
    <mergeCell ref="CS547:CS548"/>
    <mergeCell ref="CT547:CT548"/>
    <mergeCell ref="CU547:CU548"/>
    <mergeCell ref="CV547:CV548"/>
    <mergeCell ref="CS523:CS524"/>
    <mergeCell ref="CT523:CT524"/>
    <mergeCell ref="CJ523:CJ524"/>
    <mergeCell ref="CK523:CK524"/>
    <mergeCell ref="CL523:CL524"/>
    <mergeCell ref="CU523:CU524"/>
    <mergeCell ref="CH523:CH524"/>
    <mergeCell ref="CN547:CN548"/>
    <mergeCell ref="CO547:CO548"/>
    <mergeCell ref="CP547:CP548"/>
    <mergeCell ref="CE547:CE548"/>
    <mergeCell ref="CF547:CF548"/>
    <mergeCell ref="CG547:CG548"/>
    <mergeCell ref="CH547:CH548"/>
    <mergeCell ref="CI547:CI548"/>
    <mergeCell ref="CJ547:CJ548"/>
    <mergeCell ref="EI547:EI548"/>
    <mergeCell ref="DC571:DC572"/>
    <mergeCell ref="DD571:DD572"/>
    <mergeCell ref="CU571:CU572"/>
    <mergeCell ref="CV571:CV572"/>
    <mergeCell ref="CW571:CW572"/>
    <mergeCell ref="CX571:CX572"/>
    <mergeCell ref="CY571:CY572"/>
    <mergeCell ref="DB571:DB572"/>
    <mergeCell ref="DE547:DE548"/>
    <mergeCell ref="DF547:DF548"/>
    <mergeCell ref="DG547:DG548"/>
    <mergeCell ref="CX547:CX548"/>
    <mergeCell ref="CY547:CY548"/>
    <mergeCell ref="CZ547:CZ548"/>
    <mergeCell ref="DA547:DA548"/>
    <mergeCell ref="DB547:DB548"/>
    <mergeCell ref="DJ571:DJ572"/>
    <mergeCell ref="EI571:EI572"/>
    <mergeCell ref="DI571:DI572"/>
    <mergeCell ref="CW547:CW548"/>
    <mergeCell ref="DH547:DH548"/>
    <mergeCell ref="DI547:DI548"/>
    <mergeCell ref="DJ547:DJ548"/>
    <mergeCell ref="DW547:DW548"/>
    <mergeCell ref="DX547:DX548"/>
    <mergeCell ref="DY547:DY548"/>
    <mergeCell ref="DZ547:DZ548"/>
    <mergeCell ref="EA547:EA548"/>
    <mergeCell ref="DK571:DK572"/>
    <mergeCell ref="DL571:DL572"/>
    <mergeCell ref="DM571:DM572"/>
    <mergeCell ref="CJ571:CJ572"/>
    <mergeCell ref="CS571:CS572"/>
    <mergeCell ref="CH571:CH572"/>
    <mergeCell ref="CK571:CK572"/>
    <mergeCell ref="CL571:CL572"/>
    <mergeCell ref="CM571:CM572"/>
    <mergeCell ref="CN571:CN572"/>
    <mergeCell ref="CO571:CO572"/>
    <mergeCell ref="CP571:CP572"/>
    <mergeCell ref="CQ571:CQ572"/>
    <mergeCell ref="CR571:CR572"/>
    <mergeCell ref="BZ571:BZ572"/>
    <mergeCell ref="CA571:CA572"/>
    <mergeCell ref="CB571:CB572"/>
    <mergeCell ref="CC571:CC572"/>
    <mergeCell ref="CD571:CD572"/>
    <mergeCell ref="CE571:CE572"/>
    <mergeCell ref="CF571:CF572"/>
    <mergeCell ref="CG571:CG572"/>
    <mergeCell ref="CK547:CK548"/>
    <mergeCell ref="CL547:CL548"/>
    <mergeCell ref="CM547:CM548"/>
    <mergeCell ref="DJ595:DJ596"/>
    <mergeCell ref="CR595:CR596"/>
    <mergeCell ref="CS595:CS596"/>
    <mergeCell ref="CT595:CT596"/>
    <mergeCell ref="CU595:CU596"/>
    <mergeCell ref="CV595:CV596"/>
    <mergeCell ref="CM595:CM596"/>
    <mergeCell ref="CN595:CN596"/>
    <mergeCell ref="CO595:CO596"/>
    <mergeCell ref="CP595:CP596"/>
    <mergeCell ref="CQ595:CQ596"/>
    <mergeCell ref="CI619:CI620"/>
    <mergeCell ref="CJ619:CJ620"/>
    <mergeCell ref="CK619:CK620"/>
    <mergeCell ref="CL619:CL620"/>
    <mergeCell ref="CM619:CM620"/>
    <mergeCell ref="CN619:CN620"/>
    <mergeCell ref="CO619:CO620"/>
    <mergeCell ref="CP619:CP620"/>
    <mergeCell ref="CQ619:CQ620"/>
    <mergeCell ref="CR619:CR620"/>
    <mergeCell ref="DE571:DE572"/>
    <mergeCell ref="DF571:DF572"/>
    <mergeCell ref="DG571:DG572"/>
    <mergeCell ref="DH571:DH572"/>
    <mergeCell ref="CZ571:CZ572"/>
    <mergeCell ref="DA571:DA572"/>
    <mergeCell ref="CT571:CT572"/>
    <mergeCell ref="CI571:CI572"/>
    <mergeCell ref="EI595:EI596"/>
    <mergeCell ref="DB595:DB596"/>
    <mergeCell ref="DC595:DC596"/>
    <mergeCell ref="DD595:DD596"/>
    <mergeCell ref="DE595:DE596"/>
    <mergeCell ref="DF595:DF596"/>
    <mergeCell ref="CW595:CW596"/>
    <mergeCell ref="CX595:CX596"/>
    <mergeCell ref="CY595:CY596"/>
    <mergeCell ref="CZ595:CZ596"/>
    <mergeCell ref="DA595:DA596"/>
    <mergeCell ref="EC595:EC596"/>
    <mergeCell ref="ED595:ED596"/>
    <mergeCell ref="EE595:EE596"/>
    <mergeCell ref="EF595:EF596"/>
    <mergeCell ref="EG595:EG596"/>
    <mergeCell ref="CT619:CT620"/>
    <mergeCell ref="CU619:CU620"/>
    <mergeCell ref="CV619:CV620"/>
    <mergeCell ref="CW619:CW620"/>
    <mergeCell ref="DJ619:DJ620"/>
    <mergeCell ref="EI619:EI620"/>
    <mergeCell ref="EB619:EB620"/>
    <mergeCell ref="EA595:EA596"/>
    <mergeCell ref="EB595:EB596"/>
    <mergeCell ref="EH595:EH596"/>
    <mergeCell ref="DK619:DK620"/>
    <mergeCell ref="DL619:DL620"/>
    <mergeCell ref="DM619:DM620"/>
    <mergeCell ref="DN619:DN620"/>
    <mergeCell ref="DO619:DO620"/>
    <mergeCell ref="DP619:DP620"/>
    <mergeCell ref="BY619:BY620"/>
    <mergeCell ref="BZ619:BZ620"/>
    <mergeCell ref="CA619:CA620"/>
    <mergeCell ref="CB619:CB620"/>
    <mergeCell ref="CC619:CC620"/>
    <mergeCell ref="DG595:DG596"/>
    <mergeCell ref="DH595:DH596"/>
    <mergeCell ref="DI595:DI596"/>
    <mergeCell ref="CH595:CH596"/>
    <mergeCell ref="CI595:CI596"/>
    <mergeCell ref="CJ595:CJ596"/>
    <mergeCell ref="CK595:CK596"/>
    <mergeCell ref="CL595:CL596"/>
    <mergeCell ref="BY595:BY596"/>
    <mergeCell ref="BZ595:BZ596"/>
    <mergeCell ref="CA595:CA596"/>
    <mergeCell ref="CB595:CB596"/>
    <mergeCell ref="CC595:CC596"/>
    <mergeCell ref="CD595:CD596"/>
    <mergeCell ref="CE595:CE596"/>
    <mergeCell ref="CF595:CF596"/>
    <mergeCell ref="CG595:CG596"/>
    <mergeCell ref="DH619:DH620"/>
    <mergeCell ref="DI619:DI620"/>
    <mergeCell ref="CH643:CH644"/>
    <mergeCell ref="CI643:CI644"/>
    <mergeCell ref="CJ643:CJ644"/>
    <mergeCell ref="DC619:DC620"/>
    <mergeCell ref="DD619:DD620"/>
    <mergeCell ref="DE619:DE620"/>
    <mergeCell ref="DF619:DF620"/>
    <mergeCell ref="DG619:DG620"/>
    <mergeCell ref="CX619:CX620"/>
    <mergeCell ref="CY619:CY620"/>
    <mergeCell ref="CZ619:CZ620"/>
    <mergeCell ref="CD619:CD620"/>
    <mergeCell ref="CE619:CE620"/>
    <mergeCell ref="CF619:CF620"/>
    <mergeCell ref="CG619:CG620"/>
    <mergeCell ref="CH619:CH620"/>
    <mergeCell ref="DA619:DA620"/>
    <mergeCell ref="DB619:DB620"/>
    <mergeCell ref="CS619:CS620"/>
    <mergeCell ref="EI643:EI644"/>
    <mergeCell ref="DH643:DH644"/>
    <mergeCell ref="DI643:DI644"/>
    <mergeCell ref="DG667:DG668"/>
    <mergeCell ref="DH667:DH668"/>
    <mergeCell ref="BY667:BY668"/>
    <mergeCell ref="BZ667:BZ668"/>
    <mergeCell ref="CA667:CA668"/>
    <mergeCell ref="CB667:CB668"/>
    <mergeCell ref="CC667:CC668"/>
    <mergeCell ref="CD667:CD668"/>
    <mergeCell ref="CE667:CE668"/>
    <mergeCell ref="CF667:CF668"/>
    <mergeCell ref="CG667:CG668"/>
    <mergeCell ref="CH667:CH668"/>
    <mergeCell ref="CI667:CI668"/>
    <mergeCell ref="CJ667:CJ668"/>
    <mergeCell ref="CK667:CK668"/>
    <mergeCell ref="CL667:CL668"/>
    <mergeCell ref="DE643:DE644"/>
    <mergeCell ref="DF643:DF644"/>
    <mergeCell ref="DG643:DG644"/>
    <mergeCell ref="CZ643:CZ644"/>
    <mergeCell ref="DA643:DA644"/>
    <mergeCell ref="DB643:DB644"/>
    <mergeCell ref="CX643:CX644"/>
    <mergeCell ref="CY643:CY644"/>
    <mergeCell ref="CP643:CP644"/>
    <mergeCell ref="CQ643:CQ644"/>
    <mergeCell ref="CR643:CR644"/>
    <mergeCell ref="CS643:CS644"/>
    <mergeCell ref="CT643:CT644"/>
    <mergeCell ref="B211:B212"/>
    <mergeCell ref="B235:B236"/>
    <mergeCell ref="B259:B260"/>
    <mergeCell ref="B283:B284"/>
    <mergeCell ref="B307:B308"/>
    <mergeCell ref="B331:B332"/>
    <mergeCell ref="CO667:CO668"/>
    <mergeCell ref="CP667:CP668"/>
    <mergeCell ref="CQ667:CQ668"/>
    <mergeCell ref="DC643:DC644"/>
    <mergeCell ref="DD643:DD644"/>
    <mergeCell ref="CU643:CU644"/>
    <mergeCell ref="CV643:CV644"/>
    <mergeCell ref="CW643:CW644"/>
    <mergeCell ref="DJ667:DJ668"/>
    <mergeCell ref="EI667:EI668"/>
    <mergeCell ref="DB667:DB668"/>
    <mergeCell ref="DC667:DC668"/>
    <mergeCell ref="DD667:DD668"/>
    <mergeCell ref="DE667:DE668"/>
    <mergeCell ref="DF667:DF668"/>
    <mergeCell ref="CW667:CW668"/>
    <mergeCell ref="CX667:CX668"/>
    <mergeCell ref="CY667:CY668"/>
    <mergeCell ref="CZ667:CZ668"/>
    <mergeCell ref="DA667:DA668"/>
    <mergeCell ref="EC667:EC668"/>
    <mergeCell ref="ED667:ED668"/>
    <mergeCell ref="EE667:EE668"/>
    <mergeCell ref="EF667:EF668"/>
    <mergeCell ref="EG667:EG668"/>
    <mergeCell ref="EH667:EH668"/>
    <mergeCell ref="DL331:DL332"/>
    <mergeCell ref="DM331:DM332"/>
    <mergeCell ref="B571:B572"/>
    <mergeCell ref="B595:B596"/>
    <mergeCell ref="B619:B620"/>
    <mergeCell ref="B643:B644"/>
    <mergeCell ref="B667:B668"/>
    <mergeCell ref="B754:B755"/>
    <mergeCell ref="B355:B356"/>
    <mergeCell ref="B379:B380"/>
    <mergeCell ref="B403:B404"/>
    <mergeCell ref="B427:B428"/>
    <mergeCell ref="B451:B452"/>
    <mergeCell ref="B475:B476"/>
    <mergeCell ref="B499:B500"/>
    <mergeCell ref="B523:B524"/>
    <mergeCell ref="B547:B548"/>
    <mergeCell ref="DJ643:DJ644"/>
    <mergeCell ref="CK643:CK644"/>
    <mergeCell ref="CL643:CL644"/>
    <mergeCell ref="CM643:CM644"/>
    <mergeCell ref="CN643:CN644"/>
    <mergeCell ref="CO643:CO644"/>
    <mergeCell ref="BY643:BY644"/>
    <mergeCell ref="BZ643:BZ644"/>
    <mergeCell ref="CA643:CA644"/>
    <mergeCell ref="CB643:CB644"/>
    <mergeCell ref="CC643:CC644"/>
    <mergeCell ref="CD643:CD644"/>
    <mergeCell ref="CE643:CE644"/>
    <mergeCell ref="CF643:CF644"/>
    <mergeCell ref="CG643:CG644"/>
    <mergeCell ref="EG211:EG212"/>
    <mergeCell ref="EH235:EH236"/>
    <mergeCell ref="DK259:DK260"/>
    <mergeCell ref="DL259:DL260"/>
    <mergeCell ref="DM259:DM260"/>
    <mergeCell ref="DN259:DN260"/>
    <mergeCell ref="DO259:DO260"/>
    <mergeCell ref="DP259:DP260"/>
    <mergeCell ref="DQ259:DQ260"/>
    <mergeCell ref="DR259:DR260"/>
    <mergeCell ref="DS259:DS260"/>
    <mergeCell ref="DT259:DT260"/>
    <mergeCell ref="DU259:DU260"/>
    <mergeCell ref="DV259:DV260"/>
    <mergeCell ref="DW259:DW260"/>
    <mergeCell ref="DX259:DX260"/>
    <mergeCell ref="DY259:DY260"/>
    <mergeCell ref="DZ259:DZ260"/>
    <mergeCell ref="EA259:EA260"/>
    <mergeCell ref="EB259:EB260"/>
    <mergeCell ref="EC259:EC260"/>
    <mergeCell ref="ED259:ED260"/>
    <mergeCell ref="EE259:EE260"/>
    <mergeCell ref="EF259:EF260"/>
    <mergeCell ref="EG259:EG260"/>
    <mergeCell ref="DY235:DY236"/>
    <mergeCell ref="DZ235:DZ236"/>
    <mergeCell ref="EA235:EA236"/>
    <mergeCell ref="EB235:EB236"/>
    <mergeCell ref="EC235:EC236"/>
    <mergeCell ref="ED235:ED236"/>
    <mergeCell ref="EE235:EE236"/>
    <mergeCell ref="EE331:EE332"/>
    <mergeCell ref="EF331:EF332"/>
    <mergeCell ref="EG331:EG332"/>
    <mergeCell ref="EH331:EH332"/>
    <mergeCell ref="DU331:DU332"/>
    <mergeCell ref="DV331:DV332"/>
    <mergeCell ref="DW331:DW332"/>
    <mergeCell ref="DX331:DX332"/>
    <mergeCell ref="EH259:EH260"/>
    <mergeCell ref="EB283:EB284"/>
    <mergeCell ref="EC283:EC284"/>
    <mergeCell ref="ED283:ED284"/>
    <mergeCell ref="EE283:EE284"/>
    <mergeCell ref="EF283:EF284"/>
    <mergeCell ref="EG283:EG284"/>
    <mergeCell ref="EH283:EH284"/>
    <mergeCell ref="DU307:DU308"/>
    <mergeCell ref="DV307:DV308"/>
    <mergeCell ref="DW307:DW308"/>
    <mergeCell ref="DX307:DX308"/>
    <mergeCell ref="DY307:DY308"/>
    <mergeCell ref="DZ307:DZ308"/>
    <mergeCell ref="EA307:EA308"/>
    <mergeCell ref="ED331:ED332"/>
    <mergeCell ref="DX235:DX236"/>
    <mergeCell ref="EF235:EF236"/>
    <mergeCell ref="EG307:EG308"/>
    <mergeCell ref="DY331:DY332"/>
    <mergeCell ref="DZ331:DZ332"/>
    <mergeCell ref="EA331:EA332"/>
    <mergeCell ref="EB331:EB332"/>
    <mergeCell ref="EC331:EC332"/>
    <mergeCell ref="DK283:DK284"/>
    <mergeCell ref="DL283:DL284"/>
    <mergeCell ref="DM283:DM284"/>
    <mergeCell ref="DN283:DN284"/>
    <mergeCell ref="DO283:DO284"/>
    <mergeCell ref="DP283:DP284"/>
    <mergeCell ref="DQ283:DQ284"/>
    <mergeCell ref="DR283:DR284"/>
    <mergeCell ref="DS283:DS284"/>
    <mergeCell ref="DT283:DT284"/>
    <mergeCell ref="DU283:DU284"/>
    <mergeCell ref="DV283:DV284"/>
    <mergeCell ref="DW283:DW284"/>
    <mergeCell ref="DX283:DX284"/>
    <mergeCell ref="DY283:DY284"/>
    <mergeCell ref="DZ283:DZ284"/>
    <mergeCell ref="EA283:EA284"/>
    <mergeCell ref="DN331:DN332"/>
    <mergeCell ref="DO331:DO332"/>
    <mergeCell ref="DP331:DP332"/>
    <mergeCell ref="DQ331:DQ332"/>
    <mergeCell ref="DR331:DR332"/>
    <mergeCell ref="DS331:DS332"/>
    <mergeCell ref="DT331:DT332"/>
    <mergeCell ref="DZ403:DZ404"/>
    <mergeCell ref="EA403:EA404"/>
    <mergeCell ref="EB403:EB404"/>
    <mergeCell ref="DK403:DK404"/>
    <mergeCell ref="DL403:DL404"/>
    <mergeCell ref="DM403:DM404"/>
    <mergeCell ref="DN403:DN404"/>
    <mergeCell ref="DO403:DO404"/>
    <mergeCell ref="DP403:DP404"/>
    <mergeCell ref="DQ403:DQ404"/>
    <mergeCell ref="DR403:DR404"/>
    <mergeCell ref="DS403:DS404"/>
    <mergeCell ref="EC403:EC404"/>
    <mergeCell ref="DK355:DK356"/>
    <mergeCell ref="DL355:DL356"/>
    <mergeCell ref="DM355:DM356"/>
    <mergeCell ref="DN355:DN356"/>
    <mergeCell ref="DO355:DO356"/>
    <mergeCell ref="DP355:DP356"/>
    <mergeCell ref="DQ355:DQ356"/>
    <mergeCell ref="DR355:DR356"/>
    <mergeCell ref="DS355:DS356"/>
    <mergeCell ref="DT355:DT356"/>
    <mergeCell ref="DU355:DU356"/>
    <mergeCell ref="DV355:DV356"/>
    <mergeCell ref="DW355:DW356"/>
    <mergeCell ref="DX355:DX356"/>
    <mergeCell ref="DY355:DY356"/>
    <mergeCell ref="ED355:ED356"/>
    <mergeCell ref="EE355:EE356"/>
    <mergeCell ref="EF355:EF356"/>
    <mergeCell ref="EG355:EG356"/>
    <mergeCell ref="EH355:EH356"/>
    <mergeCell ref="DK379:DK380"/>
    <mergeCell ref="DL379:DL380"/>
    <mergeCell ref="DM379:DM380"/>
    <mergeCell ref="DN379:DN380"/>
    <mergeCell ref="DO379:DO380"/>
    <mergeCell ref="DP379:DP380"/>
    <mergeCell ref="DQ379:DQ380"/>
    <mergeCell ref="DR379:DR380"/>
    <mergeCell ref="DS379:DS380"/>
    <mergeCell ref="DT379:DT380"/>
    <mergeCell ref="DU379:DU380"/>
    <mergeCell ref="DV379:DV380"/>
    <mergeCell ref="DW379:DW380"/>
    <mergeCell ref="DX379:DX380"/>
    <mergeCell ref="DY379:DY380"/>
    <mergeCell ref="EB355:EB356"/>
    <mergeCell ref="EC355:EC356"/>
    <mergeCell ref="DZ355:DZ356"/>
    <mergeCell ref="EA355:EA356"/>
    <mergeCell ref="EE403:EE404"/>
    <mergeCell ref="EF403:EF404"/>
    <mergeCell ref="EG403:EG404"/>
    <mergeCell ref="EH403:EH404"/>
    <mergeCell ref="DK427:DK428"/>
    <mergeCell ref="DL427:DL428"/>
    <mergeCell ref="DM427:DM428"/>
    <mergeCell ref="DN427:DN428"/>
    <mergeCell ref="DO427:DO428"/>
    <mergeCell ref="DP427:DP428"/>
    <mergeCell ref="DQ427:DQ428"/>
    <mergeCell ref="DR427:DR428"/>
    <mergeCell ref="DS427:DS428"/>
    <mergeCell ref="DT427:DT428"/>
    <mergeCell ref="DU427:DU428"/>
    <mergeCell ref="DV427:DV428"/>
    <mergeCell ref="DW427:DW428"/>
    <mergeCell ref="DX427:DX428"/>
    <mergeCell ref="DY427:DY428"/>
    <mergeCell ref="DZ427:DZ428"/>
    <mergeCell ref="EA427:EA428"/>
    <mergeCell ref="EB427:EB428"/>
    <mergeCell ref="DT403:DT404"/>
    <mergeCell ref="DU403:DU404"/>
    <mergeCell ref="DV403:DV404"/>
    <mergeCell ref="DW403:DW404"/>
    <mergeCell ref="DX403:DX404"/>
    <mergeCell ref="DY403:DY404"/>
    <mergeCell ref="EC427:EC428"/>
    <mergeCell ref="ED427:ED428"/>
    <mergeCell ref="EE427:EE428"/>
    <mergeCell ref="EF427:EF428"/>
    <mergeCell ref="DW475:DW476"/>
    <mergeCell ref="DX475:DX476"/>
    <mergeCell ref="DY475:DY476"/>
    <mergeCell ref="DZ475:DZ476"/>
    <mergeCell ref="EA475:EA476"/>
    <mergeCell ref="EB475:EB476"/>
    <mergeCell ref="DK475:DK476"/>
    <mergeCell ref="DL475:DL476"/>
    <mergeCell ref="DM475:DM476"/>
    <mergeCell ref="DN475:DN476"/>
    <mergeCell ref="DO475:DO476"/>
    <mergeCell ref="DP475:DP476"/>
    <mergeCell ref="DQ475:DQ476"/>
    <mergeCell ref="DR475:DR476"/>
    <mergeCell ref="DS475:DS476"/>
    <mergeCell ref="EG427:EG428"/>
    <mergeCell ref="EH427:EH428"/>
    <mergeCell ref="DK451:DK452"/>
    <mergeCell ref="DL451:DL452"/>
    <mergeCell ref="DM451:DM452"/>
    <mergeCell ref="DN451:DN452"/>
    <mergeCell ref="DO451:DO452"/>
    <mergeCell ref="DP451:DP452"/>
    <mergeCell ref="DQ451:DQ452"/>
    <mergeCell ref="DR451:DR452"/>
    <mergeCell ref="DS451:DS452"/>
    <mergeCell ref="DT451:DT452"/>
    <mergeCell ref="DU451:DU452"/>
    <mergeCell ref="DV451:DV452"/>
    <mergeCell ref="DW451:DW452"/>
    <mergeCell ref="DX451:DX452"/>
    <mergeCell ref="DY451:DY452"/>
    <mergeCell ref="ED523:ED524"/>
    <mergeCell ref="EE523:EE524"/>
    <mergeCell ref="EF523:EF524"/>
    <mergeCell ref="EG523:EG524"/>
    <mergeCell ref="EH523:EH524"/>
    <mergeCell ref="EC475:EC476"/>
    <mergeCell ref="ED475:ED476"/>
    <mergeCell ref="EE475:EE476"/>
    <mergeCell ref="EF475:EF476"/>
    <mergeCell ref="EG475:EG476"/>
    <mergeCell ref="EH475:EH476"/>
    <mergeCell ref="DK499:DK500"/>
    <mergeCell ref="DL499:DL500"/>
    <mergeCell ref="DM499:DM500"/>
    <mergeCell ref="DN499:DN500"/>
    <mergeCell ref="DO499:DO500"/>
    <mergeCell ref="DP499:DP500"/>
    <mergeCell ref="DQ499:DQ500"/>
    <mergeCell ref="DR499:DR500"/>
    <mergeCell ref="DS499:DS500"/>
    <mergeCell ref="DT499:DT500"/>
    <mergeCell ref="DU499:DU500"/>
    <mergeCell ref="DV499:DV500"/>
    <mergeCell ref="DW499:DW500"/>
    <mergeCell ref="DX499:DX500"/>
    <mergeCell ref="DY499:DY500"/>
    <mergeCell ref="DZ499:DZ500"/>
    <mergeCell ref="EA499:EA500"/>
    <mergeCell ref="EB499:EB500"/>
    <mergeCell ref="DT475:DT476"/>
    <mergeCell ref="DU475:DU476"/>
    <mergeCell ref="DV475:DV476"/>
    <mergeCell ref="EC499:EC500"/>
    <mergeCell ref="ED499:ED500"/>
    <mergeCell ref="EE499:EE500"/>
    <mergeCell ref="EF499:EF500"/>
    <mergeCell ref="EB547:EB548"/>
    <mergeCell ref="EC547:EC548"/>
    <mergeCell ref="ED547:ED548"/>
    <mergeCell ref="EE547:EE548"/>
    <mergeCell ref="EF547:EF548"/>
    <mergeCell ref="EG499:EG500"/>
    <mergeCell ref="EH499:EH500"/>
    <mergeCell ref="DK523:DK524"/>
    <mergeCell ref="DL523:DL524"/>
    <mergeCell ref="DM523:DM524"/>
    <mergeCell ref="DN523:DN524"/>
    <mergeCell ref="DO523:DO524"/>
    <mergeCell ref="DP523:DP524"/>
    <mergeCell ref="DQ523:DQ524"/>
    <mergeCell ref="DR523:DR524"/>
    <mergeCell ref="DS523:DS524"/>
    <mergeCell ref="DT523:DT524"/>
    <mergeCell ref="DU523:DU524"/>
    <mergeCell ref="DV523:DV524"/>
    <mergeCell ref="DW523:DW524"/>
    <mergeCell ref="DX523:DX524"/>
    <mergeCell ref="DY523:DY524"/>
    <mergeCell ref="DZ523:DZ524"/>
    <mergeCell ref="EG547:EG548"/>
    <mergeCell ref="EH547:EH548"/>
    <mergeCell ref="EA523:EA524"/>
    <mergeCell ref="EB523:EB524"/>
    <mergeCell ref="EC523:EC524"/>
    <mergeCell ref="DO571:DO572"/>
    <mergeCell ref="DP571:DP572"/>
    <mergeCell ref="DQ571:DQ572"/>
    <mergeCell ref="DR571:DR572"/>
    <mergeCell ref="DS571:DS572"/>
    <mergeCell ref="DT571:DT572"/>
    <mergeCell ref="DU571:DU572"/>
    <mergeCell ref="DV571:DV572"/>
    <mergeCell ref="DW571:DW572"/>
    <mergeCell ref="DX571:DX572"/>
    <mergeCell ref="DY571:DY572"/>
    <mergeCell ref="DZ571:DZ572"/>
    <mergeCell ref="EA571:EA572"/>
    <mergeCell ref="EB571:EB572"/>
    <mergeCell ref="DK547:DK548"/>
    <mergeCell ref="DL547:DL548"/>
    <mergeCell ref="DM547:DM548"/>
    <mergeCell ref="DN547:DN548"/>
    <mergeCell ref="DO547:DO548"/>
    <mergeCell ref="DP547:DP548"/>
    <mergeCell ref="DQ547:DQ548"/>
    <mergeCell ref="DR547:DR548"/>
    <mergeCell ref="DS547:DS548"/>
    <mergeCell ref="DT547:DT548"/>
    <mergeCell ref="DU547:DU548"/>
    <mergeCell ref="DV547:DV548"/>
    <mergeCell ref="DQ619:DQ620"/>
    <mergeCell ref="DR619:DR620"/>
    <mergeCell ref="DS619:DS620"/>
    <mergeCell ref="EC571:EC572"/>
    <mergeCell ref="ED571:ED572"/>
    <mergeCell ref="EE571:EE572"/>
    <mergeCell ref="EF571:EF572"/>
    <mergeCell ref="EG571:EG572"/>
    <mergeCell ref="EH571:EH572"/>
    <mergeCell ref="DK595:DK596"/>
    <mergeCell ref="DL595:DL596"/>
    <mergeCell ref="DM595:DM596"/>
    <mergeCell ref="DN595:DN596"/>
    <mergeCell ref="DO595:DO596"/>
    <mergeCell ref="DP595:DP596"/>
    <mergeCell ref="DQ595:DQ596"/>
    <mergeCell ref="DR595:DR596"/>
    <mergeCell ref="DS595:DS596"/>
    <mergeCell ref="DT595:DT596"/>
    <mergeCell ref="DU595:DU596"/>
    <mergeCell ref="DV595:DV596"/>
    <mergeCell ref="DW595:DW596"/>
    <mergeCell ref="DX595:DX596"/>
    <mergeCell ref="DY595:DY596"/>
    <mergeCell ref="DZ595:DZ596"/>
    <mergeCell ref="EC619:EC620"/>
    <mergeCell ref="ED619:ED620"/>
    <mergeCell ref="EE619:EE620"/>
    <mergeCell ref="EF619:EF620"/>
    <mergeCell ref="EG619:EG620"/>
    <mergeCell ref="EH619:EH620"/>
    <mergeCell ref="DN571:DN572"/>
    <mergeCell ref="DK643:DK644"/>
    <mergeCell ref="DL643:DL644"/>
    <mergeCell ref="DM643:DM644"/>
    <mergeCell ref="DN643:DN644"/>
    <mergeCell ref="DO643:DO644"/>
    <mergeCell ref="DP643:DP644"/>
    <mergeCell ref="DQ643:DQ644"/>
    <mergeCell ref="DR643:DR644"/>
    <mergeCell ref="DS643:DS644"/>
    <mergeCell ref="DT643:DT644"/>
    <mergeCell ref="DU643:DU644"/>
    <mergeCell ref="DV643:DV644"/>
    <mergeCell ref="DW643:DW644"/>
    <mergeCell ref="DX643:DX644"/>
    <mergeCell ref="DY643:DY644"/>
    <mergeCell ref="DZ643:DZ644"/>
    <mergeCell ref="EA643:EA644"/>
    <mergeCell ref="EB643:EB644"/>
    <mergeCell ref="DT619:DT620"/>
    <mergeCell ref="DU619:DU620"/>
    <mergeCell ref="DV619:DV620"/>
    <mergeCell ref="DW619:DW620"/>
    <mergeCell ref="DX619:DX620"/>
    <mergeCell ref="DY619:DY620"/>
    <mergeCell ref="DZ619:DZ620"/>
    <mergeCell ref="EA619:EA620"/>
    <mergeCell ref="EC643:EC644"/>
    <mergeCell ref="ED643:ED644"/>
    <mergeCell ref="EE643:EE644"/>
    <mergeCell ref="EF643:EF644"/>
    <mergeCell ref="EG643:EG644"/>
    <mergeCell ref="EH643:EH644"/>
    <mergeCell ref="DK667:DK668"/>
    <mergeCell ref="DL667:DL668"/>
    <mergeCell ref="DM667:DM668"/>
    <mergeCell ref="DN667:DN668"/>
    <mergeCell ref="DO667:DO668"/>
    <mergeCell ref="DP667:DP668"/>
    <mergeCell ref="DQ667:DQ668"/>
    <mergeCell ref="DR667:DR668"/>
    <mergeCell ref="DS667:DS668"/>
    <mergeCell ref="DT667:DT668"/>
    <mergeCell ref="DU667:DU668"/>
    <mergeCell ref="DV667:DV668"/>
    <mergeCell ref="DW667:DW668"/>
    <mergeCell ref="DX667:DX668"/>
    <mergeCell ref="DY667:DY668"/>
    <mergeCell ref="DZ667:DZ668"/>
    <mergeCell ref="EA667:EA668"/>
    <mergeCell ref="DX696:DX697"/>
    <mergeCell ref="DY696:DY697"/>
    <mergeCell ref="DZ696:DZ697"/>
    <mergeCell ref="EA696:EA697"/>
    <mergeCell ref="EB696:EB697"/>
    <mergeCell ref="DK696:DK697"/>
    <mergeCell ref="DL696:DL697"/>
    <mergeCell ref="DM696:DM697"/>
    <mergeCell ref="DN696:DN697"/>
    <mergeCell ref="DO696:DO697"/>
    <mergeCell ref="DP696:DP697"/>
    <mergeCell ref="DQ696:DQ697"/>
    <mergeCell ref="DR696:DR697"/>
    <mergeCell ref="DS696:DS697"/>
    <mergeCell ref="CD754:CD755"/>
    <mergeCell ref="CE754:CE755"/>
    <mergeCell ref="CF754:CF755"/>
    <mergeCell ref="CG754:CG755"/>
    <mergeCell ref="CH754:CH755"/>
    <mergeCell ref="CI754:CI755"/>
    <mergeCell ref="CJ754:CJ755"/>
    <mergeCell ref="CK754:CK755"/>
    <mergeCell ref="CL754:CL755"/>
    <mergeCell ref="CS754:CS755"/>
    <mergeCell ref="CT754:CT755"/>
    <mergeCell ref="CU754:CU755"/>
    <mergeCell ref="EB667:EB668"/>
    <mergeCell ref="BY754:BY755"/>
    <mergeCell ref="BZ754:BZ755"/>
    <mergeCell ref="CA754:CA755"/>
    <mergeCell ref="CB754:CB755"/>
    <mergeCell ref="CC754:CC755"/>
    <mergeCell ref="EC696:EC697"/>
    <mergeCell ref="ED696:ED697"/>
    <mergeCell ref="BY696:BY697"/>
    <mergeCell ref="CM754:CM755"/>
    <mergeCell ref="DI667:DI668"/>
    <mergeCell ref="CR667:CR668"/>
    <mergeCell ref="CS667:CS668"/>
    <mergeCell ref="CT667:CT668"/>
    <mergeCell ref="CU667:CU668"/>
    <mergeCell ref="CV667:CV668"/>
    <mergeCell ref="CM667:CM668"/>
    <mergeCell ref="CN667:CN668"/>
    <mergeCell ref="CV754:CV755"/>
    <mergeCell ref="CW754:CW755"/>
    <mergeCell ref="CX754:CX755"/>
    <mergeCell ref="CY754:CY755"/>
    <mergeCell ref="CZ754:CZ755"/>
    <mergeCell ref="DA754:DA755"/>
    <mergeCell ref="DB754:DB755"/>
    <mergeCell ref="DC754:DC755"/>
    <mergeCell ref="DD754:DD755"/>
    <mergeCell ref="CN754:CN755"/>
    <mergeCell ref="CO754:CO755"/>
    <mergeCell ref="CP754:CP755"/>
    <mergeCell ref="CQ754:CQ755"/>
    <mergeCell ref="CR754:CR755"/>
    <mergeCell ref="D46:I47"/>
    <mergeCell ref="EF754:EF755"/>
    <mergeCell ref="EG754:EG755"/>
    <mergeCell ref="EH754:EH755"/>
    <mergeCell ref="EI754:EI755"/>
    <mergeCell ref="DW754:DW755"/>
    <mergeCell ref="DX754:DX755"/>
    <mergeCell ref="DY754:DY755"/>
    <mergeCell ref="DZ754:DZ755"/>
    <mergeCell ref="EA754:EA755"/>
    <mergeCell ref="EB754:EB755"/>
    <mergeCell ref="EC754:EC755"/>
    <mergeCell ref="ED754:ED755"/>
    <mergeCell ref="EE754:EE755"/>
    <mergeCell ref="DN754:DN755"/>
    <mergeCell ref="DO754:DO755"/>
    <mergeCell ref="DP754:DP755"/>
    <mergeCell ref="DQ754:DQ755"/>
    <mergeCell ref="DR754:DR755"/>
    <mergeCell ref="DS754:DS755"/>
    <mergeCell ref="DT754:DT755"/>
    <mergeCell ref="DU754:DU755"/>
    <mergeCell ref="DV754:DV755"/>
    <mergeCell ref="DE754:DE755"/>
    <mergeCell ref="DF754:DF755"/>
    <mergeCell ref="DG754:DG755"/>
    <mergeCell ref="DH754:DH755"/>
    <mergeCell ref="DI754:DI755"/>
    <mergeCell ref="DJ754:DJ755"/>
    <mergeCell ref="DK754:DK755"/>
    <mergeCell ref="DL754:DL755"/>
    <mergeCell ref="DM754:DM755"/>
  </mergeCells>
  <phoneticPr fontId="8" type="noConversion"/>
  <conditionalFormatting sqref="K51:BR71">
    <cfRule type="containsText" dxfId="41" priority="10" operator="containsText" text="x">
      <formula>NOT(ISERROR(SEARCH("x",K51)))</formula>
    </cfRule>
  </conditionalFormatting>
  <conditionalFormatting sqref="K756:BR756">
    <cfRule type="containsText" dxfId="40" priority="1" operator="containsText" text="x">
      <formula>NOT(ISERROR(SEARCH("x",K756)))</formula>
    </cfRule>
  </conditionalFormatting>
  <conditionalFormatting sqref="K857:BR857">
    <cfRule type="containsText" dxfId="39" priority="3" operator="containsText" text="x">
      <formula>NOT(ISERROR(SEARCH("x",K857)))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L234:AB234 K258:AB258 K282:AB282 K306:AB306 K851:AS851 K748:N748 AT851:BR851 O748:BR748 L126:BR126 K174:BR174 K150:BR150" formulaRange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errorTitle="Preenchimento Incorreto" error="Deve-se selecionar o tipo de Curva S a ser adotada para a equipe através da lista suspensa." xr:uid="{D9377F49-04A4-49CB-88F6-0E81D7985B9B}">
          <x14:formula1>
            <xm:f>'Curva S'!$A$304:$A$308</xm:f>
          </x14:formula1>
          <xm:sqref>I77:I96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24BD-DD13-45EE-A8BE-82421017515A}">
  <sheetPr codeName="Planilha17">
    <tabColor rgb="FFFF0000"/>
  </sheetPr>
  <dimension ref="A1:BJ308"/>
  <sheetViews>
    <sheetView showGridLines="0" topLeftCell="A208" zoomScale="70" zoomScaleNormal="70" workbookViewId="0">
      <selection activeCell="C192" sqref="C192"/>
    </sheetView>
  </sheetViews>
  <sheetFormatPr defaultColWidth="8.85546875" defaultRowHeight="9.9499999999999993"/>
  <cols>
    <col min="1" max="2" width="10.85546875" style="4" customWidth="1"/>
    <col min="3" max="62" width="4.85546875" style="4" customWidth="1"/>
    <col min="63" max="16384" width="8.85546875" style="4"/>
  </cols>
  <sheetData>
    <row r="1" spans="1:62" ht="12" customHeight="1">
      <c r="A1" s="30" t="s">
        <v>545</v>
      </c>
      <c r="B1" s="30" t="s">
        <v>546</v>
      </c>
      <c r="C1" s="30">
        <v>1</v>
      </c>
      <c r="D1" s="30">
        <v>2</v>
      </c>
      <c r="E1" s="30">
        <v>3</v>
      </c>
      <c r="F1" s="30">
        <v>4</v>
      </c>
      <c r="G1" s="30">
        <v>5</v>
      </c>
      <c r="H1" s="30">
        <v>6</v>
      </c>
      <c r="I1" s="30">
        <v>7</v>
      </c>
      <c r="J1" s="30">
        <v>8</v>
      </c>
      <c r="K1" s="30">
        <v>9</v>
      </c>
      <c r="L1" s="30">
        <v>10</v>
      </c>
      <c r="M1" s="30">
        <v>11</v>
      </c>
      <c r="N1" s="30">
        <v>12</v>
      </c>
      <c r="O1" s="30">
        <v>13</v>
      </c>
      <c r="P1" s="30">
        <v>14</v>
      </c>
      <c r="Q1" s="30">
        <v>15</v>
      </c>
      <c r="R1" s="30">
        <v>16</v>
      </c>
      <c r="S1" s="30">
        <v>17</v>
      </c>
      <c r="T1" s="30">
        <v>18</v>
      </c>
      <c r="U1" s="30">
        <v>19</v>
      </c>
      <c r="V1" s="30">
        <v>20</v>
      </c>
      <c r="W1" s="30">
        <v>21</v>
      </c>
      <c r="X1" s="30">
        <v>22</v>
      </c>
      <c r="Y1" s="30">
        <v>23</v>
      </c>
      <c r="Z1" s="30">
        <v>24</v>
      </c>
      <c r="AA1" s="30">
        <v>25</v>
      </c>
      <c r="AB1" s="30">
        <v>26</v>
      </c>
      <c r="AC1" s="30">
        <v>27</v>
      </c>
      <c r="AD1" s="30">
        <v>28</v>
      </c>
      <c r="AE1" s="30">
        <v>29</v>
      </c>
      <c r="AF1" s="30">
        <v>30</v>
      </c>
      <c r="AG1" s="30">
        <v>31</v>
      </c>
      <c r="AH1" s="30">
        <v>32</v>
      </c>
      <c r="AI1" s="30">
        <v>33</v>
      </c>
      <c r="AJ1" s="30">
        <v>34</v>
      </c>
      <c r="AK1" s="30">
        <v>35</v>
      </c>
      <c r="AL1" s="30">
        <v>36</v>
      </c>
      <c r="AM1" s="30">
        <v>37</v>
      </c>
      <c r="AN1" s="30">
        <v>38</v>
      </c>
      <c r="AO1" s="30">
        <v>39</v>
      </c>
      <c r="AP1" s="30">
        <v>40</v>
      </c>
      <c r="AQ1" s="30">
        <v>41</v>
      </c>
      <c r="AR1" s="30">
        <v>42</v>
      </c>
      <c r="AS1" s="30">
        <v>43</v>
      </c>
      <c r="AT1" s="30">
        <v>44</v>
      </c>
      <c r="AU1" s="30">
        <v>45</v>
      </c>
      <c r="AV1" s="30">
        <v>46</v>
      </c>
      <c r="AW1" s="30">
        <v>47</v>
      </c>
      <c r="AX1" s="30">
        <v>48</v>
      </c>
      <c r="AY1" s="30">
        <v>49</v>
      </c>
      <c r="AZ1" s="30">
        <v>50</v>
      </c>
      <c r="BA1" s="30">
        <v>51</v>
      </c>
      <c r="BB1" s="30">
        <v>52</v>
      </c>
      <c r="BC1" s="30">
        <v>53</v>
      </c>
      <c r="BD1" s="30">
        <v>54</v>
      </c>
      <c r="BE1" s="30">
        <v>55</v>
      </c>
      <c r="BF1" s="30">
        <v>56</v>
      </c>
      <c r="BG1" s="30">
        <v>57</v>
      </c>
      <c r="BH1" s="30">
        <v>58</v>
      </c>
      <c r="BI1" s="30">
        <v>59</v>
      </c>
      <c r="BJ1" s="30">
        <v>60</v>
      </c>
    </row>
    <row r="2" spans="1:62" ht="12" customHeight="1">
      <c r="A2" s="14" t="s">
        <v>547</v>
      </c>
      <c r="B2" s="31">
        <v>1</v>
      </c>
      <c r="C2" s="15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</row>
    <row r="3" spans="1:62" ht="12" customHeight="1">
      <c r="A3" s="14" t="s">
        <v>548</v>
      </c>
      <c r="B3" s="31">
        <v>2</v>
      </c>
      <c r="C3" s="16">
        <v>0.51957141218241443</v>
      </c>
      <c r="D3" s="16">
        <v>0.48042858781758557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</row>
    <row r="4" spans="1:62" ht="12" customHeight="1">
      <c r="A4" s="14" t="s">
        <v>549</v>
      </c>
      <c r="B4" s="31">
        <v>3</v>
      </c>
      <c r="C4" s="16">
        <v>0.2946826503329576</v>
      </c>
      <c r="D4" s="16">
        <v>0.44545495831398974</v>
      </c>
      <c r="E4" s="16">
        <v>0.25986239135305267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</row>
    <row r="5" spans="1:62" ht="12" customHeight="1">
      <c r="A5" s="14" t="s">
        <v>550</v>
      </c>
      <c r="B5" s="31">
        <v>4</v>
      </c>
      <c r="C5" s="16">
        <v>0.1923539647781114</v>
      </c>
      <c r="D5" s="16">
        <v>0.32721744740430303</v>
      </c>
      <c r="E5" s="16">
        <v>0.31727511518753149</v>
      </c>
      <c r="F5" s="16">
        <v>0.16315347263005409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</row>
    <row r="6" spans="1:62" ht="12" customHeight="1">
      <c r="A6" s="14" t="s">
        <v>551</v>
      </c>
      <c r="B6" s="31">
        <v>5</v>
      </c>
      <c r="C6" s="16">
        <v>0.13711668755529982</v>
      </c>
      <c r="D6" s="16">
        <v>0.24566394322013696</v>
      </c>
      <c r="E6" s="16">
        <v>0.27204458946217869</v>
      </c>
      <c r="F6" s="16">
        <v>0.23266666271380843</v>
      </c>
      <c r="G6" s="16">
        <v>0.11250811704857611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</row>
    <row r="7" spans="1:62" ht="12" customHeight="1">
      <c r="A7" s="14" t="s">
        <v>552</v>
      </c>
      <c r="B7" s="31">
        <v>6</v>
      </c>
      <c r="C7" s="16">
        <v>0.10364577783842943</v>
      </c>
      <c r="D7" s="16">
        <v>0.19103687249452816</v>
      </c>
      <c r="E7" s="16">
        <v>0.22488876184945683</v>
      </c>
      <c r="F7" s="16">
        <v>0.2205661964645329</v>
      </c>
      <c r="G7" s="16">
        <v>0.17723878693986539</v>
      </c>
      <c r="H7" s="16">
        <v>8.2623604413187279E-2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</row>
    <row r="8" spans="1:62" ht="12" customHeight="1">
      <c r="A8" s="14" t="s">
        <v>553</v>
      </c>
      <c r="B8" s="31">
        <v>7</v>
      </c>
      <c r="C8" s="16">
        <v>8.1671150716054242E-2</v>
      </c>
      <c r="D8" s="16">
        <v>0.15319604244160234</v>
      </c>
      <c r="E8" s="16">
        <v>0.18668834884694507</v>
      </c>
      <c r="F8" s="16">
        <v>0.19525033453556417</v>
      </c>
      <c r="G8" s="16">
        <v>0.18023885382315308</v>
      </c>
      <c r="H8" s="16">
        <v>0.13949193405107818</v>
      </c>
      <c r="I8" s="16">
        <v>6.3463335585602909E-2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</row>
    <row r="9" spans="1:62" ht="12" customHeight="1">
      <c r="A9" s="14" t="s">
        <v>554</v>
      </c>
      <c r="B9" s="31">
        <v>8</v>
      </c>
      <c r="C9" s="16">
        <v>6.6376789909094236E-2</v>
      </c>
      <c r="D9" s="16">
        <v>0.12597717486901716</v>
      </c>
      <c r="E9" s="16">
        <v>0.1569242044038599</v>
      </c>
      <c r="F9" s="16">
        <v>0.17029324300044313</v>
      </c>
      <c r="G9" s="16">
        <v>0.16788211414553145</v>
      </c>
      <c r="H9" s="16">
        <v>0.14939300104200004</v>
      </c>
      <c r="I9" s="16">
        <v>0.11274292277846099</v>
      </c>
      <c r="J9" s="16">
        <v>5.0410549851593101E-2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</row>
    <row r="10" spans="1:62" ht="12" customHeight="1">
      <c r="A10" s="14" t="s">
        <v>555</v>
      </c>
      <c r="B10" s="31">
        <v>9</v>
      </c>
      <c r="C10" s="16">
        <v>5.5249853814295702E-2</v>
      </c>
      <c r="D10" s="16">
        <v>0.10573441006859441</v>
      </c>
      <c r="E10" s="16">
        <v>0.13369838645006749</v>
      </c>
      <c r="F10" s="16">
        <v>0.14857308889227783</v>
      </c>
      <c r="G10" s="16">
        <v>0.15215933690718209</v>
      </c>
      <c r="H10" s="16">
        <v>0.14472253251452982</v>
      </c>
      <c r="I10" s="16">
        <v>0.12564389500351281</v>
      </c>
      <c r="J10" s="16">
        <v>9.3120267928407885E-2</v>
      </c>
      <c r="K10" s="16">
        <v>4.1098228421131977E-2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</row>
    <row r="11" spans="1:62" ht="12" customHeight="1">
      <c r="A11" s="14" t="s">
        <v>556</v>
      </c>
      <c r="B11" s="31">
        <v>10</v>
      </c>
      <c r="C11" s="16">
        <v>4.686892434396861E-2</v>
      </c>
      <c r="D11" s="16">
        <v>9.0247763211331211E-2</v>
      </c>
      <c r="E11" s="16">
        <v>0.1153550638044698</v>
      </c>
      <c r="F11" s="16">
        <v>0.13030887941566716</v>
      </c>
      <c r="G11" s="16">
        <v>0.13679078140697765</v>
      </c>
      <c r="H11" s="16">
        <v>0.13525380805520104</v>
      </c>
      <c r="I11" s="16">
        <v>0.12557076344260054</v>
      </c>
      <c r="J11" s="16">
        <v>0.10709589927120788</v>
      </c>
      <c r="K11" s="16">
        <v>7.8299160734144557E-2</v>
      </c>
      <c r="L11" s="16">
        <v>3.4208956314431549E-2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</row>
    <row r="12" spans="1:62" ht="12" customHeight="1">
      <c r="A12" s="14" t="s">
        <v>557</v>
      </c>
      <c r="B12" s="31">
        <v>11</v>
      </c>
      <c r="C12" s="16">
        <v>4.0377644165676352E-2</v>
      </c>
      <c r="D12" s="16">
        <v>7.8113736719323867E-2</v>
      </c>
      <c r="E12" s="16">
        <v>0.10065645651610822</v>
      </c>
      <c r="F12" s="16">
        <v>0.11506950962526374</v>
      </c>
      <c r="G12" s="16">
        <v>0.12288754499540899</v>
      </c>
      <c r="H12" s="16">
        <v>0.1246173030209391</v>
      </c>
      <c r="I12" s="16">
        <v>0.12032786310064514</v>
      </c>
      <c r="J12" s="16">
        <v>0.10978175917649435</v>
      </c>
      <c r="K12" s="16">
        <v>9.2381097088411801E-2</v>
      </c>
      <c r="L12" s="16">
        <v>6.6826164444536817E-2</v>
      </c>
      <c r="M12" s="16">
        <v>2.8960921147191621E-2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</row>
    <row r="13" spans="1:62" ht="12" customHeight="1">
      <c r="A13" s="14" t="s">
        <v>558</v>
      </c>
      <c r="B13" s="31">
        <v>12</v>
      </c>
      <c r="C13" s="16">
        <v>3.5233359451594337E-2</v>
      </c>
      <c r="D13" s="16">
        <v>6.8412418386835094E-2</v>
      </c>
      <c r="E13" s="16">
        <v>8.8708186939681966E-2</v>
      </c>
      <c r="F13" s="16">
        <v>0.1023286855548462</v>
      </c>
      <c r="G13" s="16">
        <v>0.11066472717316589</v>
      </c>
      <c r="H13" s="16">
        <v>0.11422403467629094</v>
      </c>
      <c r="I13" s="16">
        <v>0.11315903454360854</v>
      </c>
      <c r="J13" s="16">
        <v>0.10740716192092437</v>
      </c>
      <c r="K13" s="16">
        <v>9.6708918722998582E-2</v>
      </c>
      <c r="L13" s="16">
        <v>8.0529868216866807E-2</v>
      </c>
      <c r="M13" s="16">
        <v>5.7757947649565544E-2</v>
      </c>
      <c r="N13" s="16">
        <v>2.4865656763621735E-2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</row>
    <row r="14" spans="1:62" ht="12" customHeight="1">
      <c r="A14" s="14" t="s">
        <v>559</v>
      </c>
      <c r="B14" s="31">
        <v>13</v>
      </c>
      <c r="C14" s="16">
        <v>3.1077683600961303E-2</v>
      </c>
      <c r="D14" s="16">
        <v>6.052098510834425E-2</v>
      </c>
      <c r="E14" s="16">
        <v>7.8864920148021822E-2</v>
      </c>
      <c r="F14" s="16">
        <v>9.1614622006553126E-2</v>
      </c>
      <c r="G14" s="16">
        <v>0.10002975146111204</v>
      </c>
      <c r="H14" s="16">
        <v>0.10459777387410174</v>
      </c>
      <c r="I14" s="16">
        <v>0.10550538874157089</v>
      </c>
      <c r="J14" s="16">
        <v>0.10277263526428504</v>
      </c>
      <c r="K14" s="16">
        <v>9.6290574006688279E-2</v>
      </c>
      <c r="L14" s="16">
        <v>8.5807804900054352E-2</v>
      </c>
      <c r="M14" s="16">
        <v>7.0851463956872029E-2</v>
      </c>
      <c r="N14" s="16">
        <v>5.0461576018047127E-2</v>
      </c>
      <c r="O14" s="16">
        <v>2.1604820913388001E-2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</row>
    <row r="15" spans="1:62" ht="12" customHeight="1">
      <c r="A15" s="14" t="s">
        <v>560</v>
      </c>
      <c r="B15" s="31">
        <v>14</v>
      </c>
      <c r="C15" s="16">
        <v>2.7665622487135222E-2</v>
      </c>
      <c r="D15" s="16">
        <v>5.400552822891902E-2</v>
      </c>
      <c r="E15" s="16">
        <v>7.0656523405965399E-2</v>
      </c>
      <c r="F15" s="16">
        <v>8.2539519035636943E-2</v>
      </c>
      <c r="G15" s="16">
        <v>9.079777854947757E-2</v>
      </c>
      <c r="H15" s="16">
        <v>9.5890570297467503E-2</v>
      </c>
      <c r="I15" s="16">
        <v>9.8015870177812769E-2</v>
      </c>
      <c r="J15" s="16">
        <v>9.7234464357751405E-2</v>
      </c>
      <c r="K15" s="16">
        <v>9.3512206303147716E-2</v>
      </c>
      <c r="L15" s="16">
        <v>8.6726647520005362E-2</v>
      </c>
      <c r="M15" s="16">
        <v>7.6644417960546329E-2</v>
      </c>
      <c r="N15" s="16">
        <v>6.2847516090531852E-2</v>
      </c>
      <c r="O15" s="16">
        <v>4.4499831090112463E-2</v>
      </c>
      <c r="P15" s="16">
        <v>1.8963504495490446E-2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</row>
    <row r="16" spans="1:62" ht="12" customHeight="1">
      <c r="A16" s="14" t="s">
        <v>561</v>
      </c>
      <c r="B16" s="31">
        <v>15</v>
      </c>
      <c r="C16" s="16">
        <v>2.4824737194877766E-2</v>
      </c>
      <c r="D16" s="16">
        <v>4.8556067171723782E-2</v>
      </c>
      <c r="E16" s="16">
        <v>6.3735883188698272E-2</v>
      </c>
      <c r="F16" s="16">
        <v>7.4794135564246078E-2</v>
      </c>
      <c r="G16" s="16">
        <v>8.2771827213411697E-2</v>
      </c>
      <c r="H16" s="16">
        <v>8.8097980442479185E-2</v>
      </c>
      <c r="I16" s="16">
        <v>9.0970638435995843E-2</v>
      </c>
      <c r="J16" s="16">
        <v>9.1470608307767765E-2</v>
      </c>
      <c r="K16" s="16">
        <v>8.960334271841508E-2</v>
      </c>
      <c r="L16" s="16">
        <v>8.5312388409331863E-2</v>
      </c>
      <c r="M16" s="16">
        <v>7.8475274575958376E-2</v>
      </c>
      <c r="N16" s="16">
        <v>6.8878999728518187E-2</v>
      </c>
      <c r="O16" s="16">
        <v>5.6152999439358253E-2</v>
      </c>
      <c r="P16" s="16">
        <v>3.9562889847675198E-2</v>
      </c>
      <c r="Q16" s="16">
        <v>1.6792227761542655E-2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</row>
    <row r="17" spans="1:62" ht="12" customHeight="1">
      <c r="A17" s="14" t="s">
        <v>562</v>
      </c>
      <c r="B17" s="31">
        <v>16</v>
      </c>
      <c r="C17" s="16">
        <v>2.2430581164277874E-2</v>
      </c>
      <c r="D17" s="16">
        <v>4.3946208744816362E-2</v>
      </c>
      <c r="E17" s="16">
        <v>5.7843007626064424E-2</v>
      </c>
      <c r="F17" s="16">
        <v>6.8134167242952737E-2</v>
      </c>
      <c r="G17" s="16">
        <v>7.5771083976357345E-2</v>
      </c>
      <c r="H17" s="16">
        <v>8.1153120427502556E-2</v>
      </c>
      <c r="I17" s="16">
        <v>8.4472892632566632E-2</v>
      </c>
      <c r="J17" s="16">
        <v>8.5820350367876497E-2</v>
      </c>
      <c r="K17" s="16">
        <v>8.522260663416259E-2</v>
      </c>
      <c r="L17" s="16">
        <v>8.2659507511368857E-2</v>
      </c>
      <c r="M17" s="16">
        <v>7.806646703136122E-2</v>
      </c>
      <c r="N17" s="16">
        <v>7.132653401063882E-2</v>
      </c>
      <c r="O17" s="16">
        <v>6.2246504467983854E-2</v>
      </c>
      <c r="P17" s="16">
        <v>5.0496418310477131E-2</v>
      </c>
      <c r="Q17" s="16">
        <v>3.542622858810518E-2</v>
      </c>
      <c r="R17" s="16">
        <v>1.4984321263487921E-2</v>
      </c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</row>
    <row r="18" spans="1:62" ht="12" customHeight="1">
      <c r="A18" s="14" t="s">
        <v>563</v>
      </c>
      <c r="B18" s="31">
        <v>17</v>
      </c>
      <c r="C18" s="16">
        <v>2.039137360651655E-2</v>
      </c>
      <c r="D18" s="16">
        <v>4.0007348863220882E-2</v>
      </c>
      <c r="E18" s="16">
        <v>5.2780382865020181E-2</v>
      </c>
      <c r="F18" s="16">
        <v>6.2366639511949762E-2</v>
      </c>
      <c r="G18" s="16">
        <v>6.9638917492664709E-2</v>
      </c>
      <c r="H18" s="16">
        <v>7.4968637967663065E-2</v>
      </c>
      <c r="I18" s="16">
        <v>7.8540402543399113E-2</v>
      </c>
      <c r="J18" s="16">
        <v>8.0447378480865694E-2</v>
      </c>
      <c r="K18" s="16">
        <v>8.0728583611791027E-2</v>
      </c>
      <c r="L18" s="16">
        <v>7.9384752588557372E-2</v>
      </c>
      <c r="M18" s="16">
        <v>7.6383911026218665E-2</v>
      </c>
      <c r="N18" s="16">
        <v>7.1659948125370909E-2</v>
      </c>
      <c r="O18" s="16">
        <v>6.5103501783598139E-2</v>
      </c>
      <c r="P18" s="16">
        <v>5.6539549909407461E-2</v>
      </c>
      <c r="Q18" s="16">
        <v>4.5672832501713945E-2</v>
      </c>
      <c r="R18" s="16">
        <v>3.1923885746971692E-2</v>
      </c>
      <c r="S18" s="16">
        <v>1.3461953375070834E-2</v>
      </c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</row>
    <row r="19" spans="1:62" ht="12" customHeight="1">
      <c r="A19" s="14" t="s">
        <v>564</v>
      </c>
      <c r="B19" s="31">
        <v>18</v>
      </c>
      <c r="C19" s="16">
        <v>1.8638127698657247E-2</v>
      </c>
      <c r="D19" s="16">
        <v>3.6611726115638454E-2</v>
      </c>
      <c r="E19" s="16">
        <v>4.839592402413373E-2</v>
      </c>
      <c r="F19" s="16">
        <v>5.7338486044460679E-2</v>
      </c>
      <c r="G19" s="16">
        <v>6.4243076384661424E-2</v>
      </c>
      <c r="H19" s="16">
        <v>6.9455310065406062E-2</v>
      </c>
      <c r="I19" s="16">
        <v>7.3150711814766178E-2</v>
      </c>
      <c r="J19" s="16">
        <v>7.5422377077511649E-2</v>
      </c>
      <c r="K19" s="16">
        <v>7.6315672957179004E-2</v>
      </c>
      <c r="L19" s="16">
        <v>7.5843663950003082E-2</v>
      </c>
      <c r="M19" s="16">
        <v>7.3993710435597659E-2</v>
      </c>
      <c r="N19" s="16">
        <v>7.0728822078932163E-2</v>
      </c>
      <c r="O19" s="16">
        <v>6.5984480501598664E-2</v>
      </c>
      <c r="P19" s="16">
        <v>5.9659414501914143E-2</v>
      </c>
      <c r="Q19" s="16">
        <v>5.1594891936352583E-2</v>
      </c>
      <c r="R19" s="16">
        <v>4.1525375992055302E-2</v>
      </c>
      <c r="S19" s="16">
        <v>2.8931011590921707E-2</v>
      </c>
      <c r="T19" s="16">
        <v>1.216721683021027E-2</v>
      </c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</row>
    <row r="20" spans="1:62" ht="12" customHeight="1">
      <c r="A20" s="14" t="s">
        <v>565</v>
      </c>
      <c r="B20" s="31">
        <v>19</v>
      </c>
      <c r="C20" s="16">
        <v>1.7118113481969455E-2</v>
      </c>
      <c r="D20" s="16">
        <v>3.366101854924064E-2</v>
      </c>
      <c r="E20" s="16">
        <v>4.4571041104182196E-2</v>
      </c>
      <c r="F20" s="16">
        <v>5.2927537919376322E-2</v>
      </c>
      <c r="G20" s="16">
        <v>5.9473139542103537E-2</v>
      </c>
      <c r="H20" s="16">
        <v>6.4529864914634638E-2</v>
      </c>
      <c r="I20" s="16">
        <v>6.8263910445103826E-2</v>
      </c>
      <c r="J20" s="16">
        <v>7.0766473608539715E-2</v>
      </c>
      <c r="K20" s="16">
        <v>7.2086003156529799E-2</v>
      </c>
      <c r="L20" s="16">
        <v>7.2242896682522928E-2</v>
      </c>
      <c r="M20" s="16">
        <v>7.123637214830858E-2</v>
      </c>
      <c r="N20" s="16">
        <v>6.9047048439662917E-2</v>
      </c>
      <c r="O20" s="16">
        <v>6.5636405516943497E-2</v>
      </c>
      <c r="P20" s="16">
        <v>6.0942937937244146E-2</v>
      </c>
      <c r="Q20" s="16">
        <v>5.4873260777638766E-2</v>
      </c>
      <c r="R20" s="16">
        <v>4.728307811100052E-2</v>
      </c>
      <c r="S20" s="16">
        <v>3.7932419267639239E-2</v>
      </c>
      <c r="T20" s="16">
        <v>2.6352197984205294E-2</v>
      </c>
      <c r="U20" s="16">
        <v>1.1056280413153985E-2</v>
      </c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</row>
    <row r="21" spans="1:62" ht="12" customHeight="1">
      <c r="A21" s="14" t="s">
        <v>566</v>
      </c>
      <c r="B21" s="31">
        <v>20</v>
      </c>
      <c r="C21" s="16">
        <v>1.5790422003760574E-2</v>
      </c>
      <c r="D21" s="16">
        <v>3.1078502340208036E-2</v>
      </c>
      <c r="E21" s="16">
        <v>4.1212174236446852E-2</v>
      </c>
      <c r="F21" s="16">
        <v>4.9035588974884359E-2</v>
      </c>
      <c r="G21" s="16">
        <v>5.5237277222811576E-2</v>
      </c>
      <c r="H21" s="16">
        <v>6.0117786581658228E-2</v>
      </c>
      <c r="I21" s="16">
        <v>6.3834162700864283E-2</v>
      </c>
      <c r="J21" s="16">
        <v>6.6474716714802873E-2</v>
      </c>
      <c r="K21" s="16">
        <v>6.8089016587800755E-2</v>
      </c>
      <c r="L21" s="16">
        <v>6.8701764819176891E-2</v>
      </c>
      <c r="M21" s="16">
        <v>6.8319601346755077E-2</v>
      </c>
      <c r="N21" s="16">
        <v>6.6934206708445965E-2</v>
      </c>
      <c r="O21" s="16">
        <v>6.452300487608098E-2</v>
      </c>
      <c r="P21" s="16">
        <v>6.1047758566519561E-2</v>
      </c>
      <c r="Q21" s="16">
        <v>5.6450543689729904E-2</v>
      </c>
      <c r="R21" s="16">
        <v>5.064535558147798E-2</v>
      </c>
      <c r="S21" s="16">
        <v>4.3500638582953721E-2</v>
      </c>
      <c r="T21" s="16">
        <v>3.4798522151190836E-2</v>
      </c>
      <c r="U21" s="16">
        <v>2.4113500845148184E-2</v>
      </c>
      <c r="V21" s="16">
        <v>1.0095455469283365E-2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</row>
    <row r="22" spans="1:62" ht="12" customHeight="1">
      <c r="A22" s="14" t="s">
        <v>567</v>
      </c>
      <c r="B22" s="31">
        <v>21</v>
      </c>
      <c r="C22" s="16">
        <v>1.46228893430983E-2</v>
      </c>
      <c r="D22" s="16">
        <v>2.8803553283638816E-2</v>
      </c>
      <c r="E22" s="16">
        <v>3.8244708089317125E-2</v>
      </c>
      <c r="F22" s="16">
        <v>4.5583106038795562E-2</v>
      </c>
      <c r="G22" s="16">
        <v>5.1459124971889869E-2</v>
      </c>
      <c r="H22" s="16">
        <v>5.6153811430916911E-2</v>
      </c>
      <c r="I22" s="16">
        <v>5.9815457175301012E-2</v>
      </c>
      <c r="J22" s="16">
        <v>6.2528988767875382E-2</v>
      </c>
      <c r="K22" s="16">
        <v>6.4343902903768679E-2</v>
      </c>
      <c r="L22" s="16">
        <v>6.5287320184819642E-2</v>
      </c>
      <c r="M22" s="16">
        <v>6.5370564378124274E-2</v>
      </c>
      <c r="N22" s="16">
        <v>6.4592449972620258E-2</v>
      </c>
      <c r="O22" s="16">
        <v>6.2940583499776714E-2</v>
      </c>
      <c r="P22" s="16">
        <v>6.0391148607004785E-2</v>
      </c>
      <c r="Q22" s="16">
        <v>5.6907121716371578E-2</v>
      </c>
      <c r="R22" s="16">
        <v>5.2434294687633165E-2</v>
      </c>
      <c r="S22" s="16">
        <v>4.6893430163578942E-2</v>
      </c>
      <c r="T22" s="16">
        <v>4.0164209199866074E-2</v>
      </c>
      <c r="U22" s="16">
        <v>3.2047966068541878E-2</v>
      </c>
      <c r="V22" s="16">
        <v>2.2156878105416888E-2</v>
      </c>
      <c r="W22" s="16">
        <v>9.258491411644143E-3</v>
      </c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</row>
    <row r="23" spans="1:62" ht="12" customHeight="1">
      <c r="A23" s="14" t="s">
        <v>568</v>
      </c>
      <c r="B23" s="31">
        <v>22</v>
      </c>
      <c r="C23" s="16">
        <v>1.3589921907886771E-2</v>
      </c>
      <c r="D23" s="16">
        <v>2.6787722257789581E-2</v>
      </c>
      <c r="E23" s="16">
        <v>3.560853847718537E-2</v>
      </c>
      <c r="F23" s="16">
        <v>4.2505198242138498E-2</v>
      </c>
      <c r="G23" s="16">
        <v>4.807504372760385E-2</v>
      </c>
      <c r="H23" s="16">
        <v>5.2581412788504367E-2</v>
      </c>
      <c r="I23" s="16">
        <v>5.6164342538893131E-2</v>
      </c>
      <c r="J23" s="16">
        <v>5.8905167086370613E-2</v>
      </c>
      <c r="K23" s="16">
        <v>6.0852591044032955E-2</v>
      </c>
      <c r="L23" s="16">
        <v>6.2034953951376037E-2</v>
      </c>
      <c r="M23" s="16">
        <v>6.2466520160633254E-2</v>
      </c>
      <c r="N23" s="16">
        <v>6.2150782860305842E-2</v>
      </c>
      <c r="O23" s="16">
        <v>6.1082046457226924E-2</v>
      </c>
      <c r="P23" s="16">
        <v>5.9245816643418214E-2</v>
      </c>
      <c r="Q23" s="16">
        <v>5.6618129979574827E-2</v>
      </c>
      <c r="R23" s="16">
        <v>5.3163629196919526E-2</v>
      </c>
      <c r="S23" s="16">
        <v>4.8831737844314493E-2</v>
      </c>
      <c r="T23" s="16">
        <v>4.3549359244097308E-2</v>
      </c>
      <c r="U23" s="16">
        <v>3.720609824040888E-2</v>
      </c>
      <c r="V23" s="16">
        <v>2.9620066204127937E-2</v>
      </c>
      <c r="W23" s="16">
        <v>2.0436241883566075E-2</v>
      </c>
      <c r="X23" s="16">
        <v>8.5246792636255453E-3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</row>
    <row r="24" spans="1:62" ht="12" customHeight="1">
      <c r="A24" s="14" t="s">
        <v>569</v>
      </c>
      <c r="B24" s="31">
        <v>23</v>
      </c>
      <c r="C24" s="16">
        <v>1.2670931915765293E-2</v>
      </c>
      <c r="D24" s="16">
        <v>2.499188869577984E-2</v>
      </c>
      <c r="E24" s="16">
        <v>3.3254801387258337E-2</v>
      </c>
      <c r="F24" s="16">
        <v>3.9748536625019981E-2</v>
      </c>
      <c r="G24" s="16">
        <v>4.5031820842503678E-2</v>
      </c>
      <c r="H24" s="16">
        <v>4.935189684436847E-2</v>
      </c>
      <c r="I24" s="16">
        <v>5.2841083174956172E-2</v>
      </c>
      <c r="J24" s="16">
        <v>5.5577086050670021E-2</v>
      </c>
      <c r="K24" s="16">
        <v>5.7607389232416928E-2</v>
      </c>
      <c r="L24" s="16">
        <v>5.8960779336427738E-2</v>
      </c>
      <c r="M24" s="16">
        <v>5.9653324665056684E-2</v>
      </c>
      <c r="N24" s="16">
        <v>5.9691611557370683E-2</v>
      </c>
      <c r="O24" s="16">
        <v>5.9074444023778039E-2</v>
      </c>
      <c r="P24" s="16">
        <v>5.7793546332222778E-2</v>
      </c>
      <c r="Q24" s="16">
        <v>5.5833475987038694E-2</v>
      </c>
      <c r="R24" s="16">
        <v>5.3170732501246265E-2</v>
      </c>
      <c r="S24" s="16">
        <v>4.9771813302452506E-2</v>
      </c>
      <c r="T24" s="16">
        <v>4.5589583829534153E-2</v>
      </c>
      <c r="U24" s="16">
        <v>4.055649102596437E-2</v>
      </c>
      <c r="V24" s="16">
        <v>3.4570925023589938E-2</v>
      </c>
      <c r="W24" s="16">
        <v>2.7465729033247843E-2</v>
      </c>
      <c r="X24" s="16">
        <v>1.8914610557091871E-2</v>
      </c>
      <c r="Y24" s="16">
        <v>7.8774980562397179E-3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</row>
    <row r="25" spans="1:62" ht="12" customHeight="1">
      <c r="A25" s="14" t="s">
        <v>570</v>
      </c>
      <c r="B25" s="31">
        <v>24</v>
      </c>
      <c r="C25" s="16">
        <v>1.1849193990448703E-2</v>
      </c>
      <c r="D25" s="16">
        <v>2.3384165461145634E-2</v>
      </c>
      <c r="E25" s="16">
        <v>3.1143430457499899E-2</v>
      </c>
      <c r="F25" s="16">
        <v>3.7268987929335196E-2</v>
      </c>
      <c r="G25" s="16">
        <v>4.22847819334079E-2</v>
      </c>
      <c r="H25" s="16">
        <v>4.6423405006274066E-2</v>
      </c>
      <c r="I25" s="16">
        <v>4.9809993580255507E-2</v>
      </c>
      <c r="J25" s="16">
        <v>5.2518691974590692E-2</v>
      </c>
      <c r="K25" s="16">
        <v>5.4595518849013702E-2</v>
      </c>
      <c r="L25" s="16">
        <v>5.6069208324152187E-2</v>
      </c>
      <c r="M25" s="16">
        <v>5.6956878025491098E-2</v>
      </c>
      <c r="N25" s="16">
        <v>5.7267156650799844E-2</v>
      </c>
      <c r="O25" s="16">
        <v>5.7001913753330857E-2</v>
      </c>
      <c r="P25" s="16">
        <v>5.6157120790277681E-2</v>
      </c>
      <c r="Q25" s="16">
        <v>5.4723079601922908E-2</v>
      </c>
      <c r="R25" s="16">
        <v>5.2684082319001457E-2</v>
      </c>
      <c r="S25" s="16">
        <v>5.001742305318635E-2</v>
      </c>
      <c r="T25" s="16">
        <v>4.6691495669812233E-2</v>
      </c>
      <c r="U25" s="16">
        <v>4.2662372734415643E-2</v>
      </c>
      <c r="V25" s="16">
        <v>3.7867495482451163E-2</v>
      </c>
      <c r="W25" s="16">
        <v>3.2213054561594179E-2</v>
      </c>
      <c r="X25" s="16">
        <v>2.5544893087971365E-2</v>
      </c>
      <c r="Y25" s="16">
        <v>1.7562023673910021E-2</v>
      </c>
      <c r="Z25" s="16">
        <v>7.3036330897117141E-3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</row>
    <row r="26" spans="1:62" ht="12" customHeight="1">
      <c r="A26" s="14" t="s">
        <v>571</v>
      </c>
      <c r="B26" s="31">
        <v>25</v>
      </c>
      <c r="C26" s="16">
        <v>1.1110997485203167E-2</v>
      </c>
      <c r="D26" s="16">
        <v>2.1938335955283161E-2</v>
      </c>
      <c r="E26" s="16">
        <v>2.9241312311697798E-2</v>
      </c>
      <c r="F26" s="16">
        <v>3.5029785625709131E-2</v>
      </c>
      <c r="G26" s="16">
        <v>3.9796256177406564E-2</v>
      </c>
      <c r="H26" s="16">
        <v>4.3759956540129652E-2</v>
      </c>
      <c r="I26" s="16">
        <v>4.7039358158527667E-2</v>
      </c>
      <c r="J26" s="16">
        <v>4.9705167449176968E-2</v>
      </c>
      <c r="K26" s="16">
        <v>5.1801811534944786E-2</v>
      </c>
      <c r="L26" s="16">
        <v>5.3357649537357887E-2</v>
      </c>
      <c r="M26" s="16">
        <v>5.4390340861937836E-2</v>
      </c>
      <c r="N26" s="16">
        <v>5.4909845647692301E-2</v>
      </c>
      <c r="O26" s="16">
        <v>5.492013776504967E-2</v>
      </c>
      <c r="P26" s="16">
        <v>5.4420140004299955E-2</v>
      </c>
      <c r="Q26" s="16">
        <v>5.3404125183198925E-2</v>
      </c>
      <c r="R26" s="16">
        <v>5.1861681998257136E-2</v>
      </c>
      <c r="S26" s="16">
        <v>4.9777242595842264E-2</v>
      </c>
      <c r="T26" s="16">
        <v>4.7129063993077924E-2</v>
      </c>
      <c r="U26" s="16">
        <v>4.3887397785572158E-2</v>
      </c>
      <c r="V26" s="16">
        <v>4.0011276341058943E-2</v>
      </c>
      <c r="W26" s="16">
        <v>3.5442639165251366E-2</v>
      </c>
      <c r="X26" s="16">
        <v>3.0094625589342616E-2</v>
      </c>
      <c r="Y26" s="16">
        <v>2.3824604267760119E-2</v>
      </c>
      <c r="Z26" s="16">
        <v>1.6353994568077623E-2</v>
      </c>
      <c r="AA26" s="16">
        <v>6.7922534581443816E-3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</row>
    <row r="27" spans="1:62" ht="12" customHeight="1">
      <c r="A27" s="14" t="s">
        <v>572</v>
      </c>
      <c r="B27" s="31">
        <v>26</v>
      </c>
      <c r="C27" s="16">
        <v>1.0445009791285376E-2</v>
      </c>
      <c r="D27" s="16">
        <v>2.0632673809675928E-2</v>
      </c>
      <c r="E27" s="16">
        <v>2.7520878524736725E-2</v>
      </c>
      <c r="F27" s="16">
        <v>3.3000106583607525E-2</v>
      </c>
      <c r="G27" s="16">
        <v>3.7534334316380757E-2</v>
      </c>
      <c r="H27" s="16">
        <v>4.1330585831641065E-2</v>
      </c>
      <c r="I27" s="16">
        <v>4.4501155373537493E-2</v>
      </c>
      <c r="J27" s="16">
        <v>4.7113466633015633E-2</v>
      </c>
      <c r="K27" s="16">
        <v>4.9210304336572142E-2</v>
      </c>
      <c r="L27" s="16">
        <v>5.0819447124539896E-2</v>
      </c>
      <c r="M27" s="16">
        <v>5.1958752046540546E-2</v>
      </c>
      <c r="N27" s="16">
        <v>5.2639021827561194E-2</v>
      </c>
      <c r="O27" s="16">
        <v>5.2865675983320148E-2</v>
      </c>
      <c r="P27" s="16">
        <v>5.2639712758250745E-2</v>
      </c>
      <c r="Q27" s="16">
        <v>5.1958203359486865E-2</v>
      </c>
      <c r="R27" s="16">
        <v>5.0814431904798174E-2</v>
      </c>
      <c r="S27" s="16">
        <v>4.9197714135192139E-2</v>
      </c>
      <c r="T27" s="16">
        <v>4.709285987149614E-2</v>
      </c>
      <c r="U27" s="16">
        <v>4.4479160568586806E-2</v>
      </c>
      <c r="V27" s="16">
        <v>4.1328644331467546E-2</v>
      </c>
      <c r="W27" s="16">
        <v>3.7603060480056794E-2</v>
      </c>
      <c r="X27" s="16">
        <v>3.3248403476815236E-2</v>
      </c>
      <c r="Y27" s="16">
        <v>2.8184023368837297E-2</v>
      </c>
      <c r="Z27" s="16">
        <v>2.2277552649209831E-2</v>
      </c>
      <c r="AA27" s="16">
        <v>1.5270347657371119E-2</v>
      </c>
      <c r="AB27" s="16">
        <v>6.3344732560168815E-3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</row>
    <row r="28" spans="1:62" ht="12" customHeight="1">
      <c r="A28" s="14" t="s">
        <v>573</v>
      </c>
      <c r="B28" s="31">
        <v>27</v>
      </c>
      <c r="C28" s="16">
        <v>9.841792364651436E-3</v>
      </c>
      <c r="D28" s="16">
        <v>1.9449041345936391E-2</v>
      </c>
      <c r="E28" s="16">
        <v>2.5959020103707875E-2</v>
      </c>
      <c r="F28" s="16">
        <v>3.1153955659784516E-2</v>
      </c>
      <c r="G28" s="16">
        <v>3.5471864398278319E-2</v>
      </c>
      <c r="H28" s="16">
        <v>3.9108590010531574E-2</v>
      </c>
      <c r="I28" s="16">
        <v>4.2170703631489226E-2</v>
      </c>
      <c r="J28" s="16">
        <v>4.4722515961566067E-2</v>
      </c>
      <c r="K28" s="16">
        <v>4.6805166857012193E-2</v>
      </c>
      <c r="L28" s="16">
        <v>4.8445727294229024E-2</v>
      </c>
      <c r="M28" s="16">
        <v>4.9662017916630274E-2</v>
      </c>
      <c r="N28" s="16">
        <v>5.0465343681418529E-2</v>
      </c>
      <c r="O28" s="16">
        <v>5.0862110204893729E-2</v>
      </c>
      <c r="P28" s="16">
        <v>5.0854785427178029E-2</v>
      </c>
      <c r="Q28" s="16">
        <v>5.0442441275110328E-2</v>
      </c>
      <c r="R28" s="16">
        <v>4.9620993566584892E-2</v>
      </c>
      <c r="S28" s="16">
        <v>4.8383190299372991E-2</v>
      </c>
      <c r="T28" s="16">
        <v>4.6718348648571939E-2</v>
      </c>
      <c r="U28" s="16">
        <v>4.4611790579942912E-2</v>
      </c>
      <c r="V28" s="16">
        <v>4.2043856168749505E-2</v>
      </c>
      <c r="W28" s="16">
        <v>3.898824825482039E-2</v>
      </c>
      <c r="X28" s="16">
        <v>3.540920327293029E-2</v>
      </c>
      <c r="Y28" s="16">
        <v>3.1256376580541922E-2</v>
      </c>
      <c r="Z28" s="16">
        <v>2.6454688074935673E-2</v>
      </c>
      <c r="AA28" s="16">
        <v>2.0880948845224734E-2</v>
      </c>
      <c r="AB28" s="16">
        <v>1.4294334733442438E-2</v>
      </c>
      <c r="AC28" s="16">
        <v>5.9229448424648057E-3</v>
      </c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</row>
    <row r="29" spans="1:62" ht="12" customHeight="1">
      <c r="A29" s="14" t="s">
        <v>574</v>
      </c>
      <c r="B29" s="31">
        <v>28</v>
      </c>
      <c r="C29" s="16">
        <v>9.293428771721346E-3</v>
      </c>
      <c r="D29" s="16">
        <v>1.8372193715413876E-2</v>
      </c>
      <c r="E29" s="16">
        <v>2.4536242759315097E-2</v>
      </c>
      <c r="F29" s="16">
        <v>2.9469285469603923E-2</v>
      </c>
      <c r="G29" s="16">
        <v>3.3585638724816791E-2</v>
      </c>
      <c r="H29" s="16">
        <v>3.7070884681148608E-2</v>
      </c>
      <c r="I29" s="16">
        <v>4.0026290656091756E-2</v>
      </c>
      <c r="J29" s="16">
        <v>4.2513228379545187E-2</v>
      </c>
      <c r="K29" s="16">
        <v>4.4571221013014695E-2</v>
      </c>
      <c r="L29" s="16">
        <v>4.6226557536462876E-2</v>
      </c>
      <c r="M29" s="16">
        <v>4.7496863443503456E-2</v>
      </c>
      <c r="N29" s="16">
        <v>4.8393706853964047E-2</v>
      </c>
      <c r="O29" s="16">
        <v>4.8924154162924616E-2</v>
      </c>
      <c r="P29" s="16">
        <v>4.9091716014888154E-2</v>
      </c>
      <c r="Q29" s="16">
        <v>4.8896909506973785E-2</v>
      </c>
      <c r="R29" s="16">
        <v>4.833755485077762E-2</v>
      </c>
      <c r="S29" s="16">
        <v>4.7408864385299343E-2</v>
      </c>
      <c r="T29" s="16">
        <v>4.6103341917848373E-2</v>
      </c>
      <c r="U29" s="16">
        <v>4.4410476129257859E-2</v>
      </c>
      <c r="V29" s="16">
        <v>4.2316171390747503E-2</v>
      </c>
      <c r="W29" s="16">
        <v>3.9801797006627004E-2</v>
      </c>
      <c r="X29" s="16">
        <v>3.6842620953919325E-2</v>
      </c>
      <c r="Y29" s="16">
        <v>3.340515377346065E-2</v>
      </c>
      <c r="Z29" s="16">
        <v>2.9442362317071202E-2</v>
      </c>
      <c r="AA29" s="16">
        <v>2.4884178165605064E-2</v>
      </c>
      <c r="AB29" s="16">
        <v>1.9615652924507399E-2</v>
      </c>
      <c r="AC29" s="16">
        <v>1.3411956159862126E-2</v>
      </c>
      <c r="AD29" s="16">
        <v>5.5515483356283202E-3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</row>
    <row r="30" spans="1:62" ht="12" customHeight="1">
      <c r="A30" s="14" t="s">
        <v>575</v>
      </c>
      <c r="B30" s="31">
        <v>29</v>
      </c>
      <c r="C30" s="16">
        <v>8.7932359111861924E-3</v>
      </c>
      <c r="D30" s="16">
        <v>1.7389236559771426E-2</v>
      </c>
      <c r="E30" s="16">
        <v>2.3236003775992997E-2</v>
      </c>
      <c r="F30" s="16">
        <v>2.7927296973928262E-2</v>
      </c>
      <c r="G30" s="16">
        <v>3.1855733917653728E-2</v>
      </c>
      <c r="H30" s="16">
        <v>3.5197457860998371E-2</v>
      </c>
      <c r="I30" s="16">
        <v>3.8048817527923107E-2</v>
      </c>
      <c r="J30" s="16">
        <v>4.0468417713808824E-2</v>
      </c>
      <c r="K30" s="16">
        <v>4.2494212026086386E-2</v>
      </c>
      <c r="L30" s="16">
        <v>4.4151668968287261E-2</v>
      </c>
      <c r="M30" s="16">
        <v>4.5458112301984821E-2</v>
      </c>
      <c r="N30" s="16">
        <v>4.6425204484997873E-2</v>
      </c>
      <c r="O30" s="16">
        <v>4.706043970747853E-2</v>
      </c>
      <c r="P30" s="16">
        <v>4.73680655437142E-2</v>
      </c>
      <c r="Q30" s="16">
        <v>4.7349649643518066E-2</v>
      </c>
      <c r="R30" s="16">
        <v>4.7004407271881599E-2</v>
      </c>
      <c r="S30" s="16">
        <v>4.6329350566852279E-2</v>
      </c>
      <c r="T30" s="16">
        <v>4.5319286342629161E-2</v>
      </c>
      <c r="U30" s="16">
        <v>4.396666353915446E-2</v>
      </c>
      <c r="V30" s="16">
        <v>4.2261245709112827E-2</v>
      </c>
      <c r="W30" s="16">
        <v>4.0189549729353624E-2</v>
      </c>
      <c r="X30" s="16">
        <v>3.7733935692759624E-2</v>
      </c>
      <c r="Y30" s="16">
        <v>3.4871126602041613E-2</v>
      </c>
      <c r="Z30" s="16">
        <v>3.1569712129679073E-2</v>
      </c>
      <c r="AA30" s="16">
        <v>2.7785661039282039E-2</v>
      </c>
      <c r="AB30" s="16">
        <v>2.3453428900565121E-2</v>
      </c>
      <c r="AC30" s="16">
        <v>1.8465493122183818E-2</v>
      </c>
      <c r="AD30" s="16">
        <v>1.261143433224754E-2</v>
      </c>
      <c r="AE30" s="16">
        <v>5.2151521049271787E-3</v>
      </c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</row>
    <row r="31" spans="1:62" ht="12" customHeight="1">
      <c r="A31" s="14" t="s">
        <v>576</v>
      </c>
      <c r="B31" s="31">
        <v>30</v>
      </c>
      <c r="C31" s="16">
        <v>8.3355376964284744E-3</v>
      </c>
      <c r="D31" s="16">
        <v>1.6489199498449292E-2</v>
      </c>
      <c r="E31" s="16">
        <v>2.2044187149090844E-2</v>
      </c>
      <c r="F31" s="16">
        <v>2.6511880022632939E-2</v>
      </c>
      <c r="G31" s="16">
        <v>3.0264973471827883E-2</v>
      </c>
      <c r="H31" s="16">
        <v>3.347090971687039E-2</v>
      </c>
      <c r="I31" s="16">
        <v>3.622147176344781E-2</v>
      </c>
      <c r="J31" s="16">
        <v>3.8572663800798268E-2</v>
      </c>
      <c r="K31" s="16">
        <v>4.0560928240223726E-2</v>
      </c>
      <c r="L31" s="16">
        <v>4.2210898973187971E-2</v>
      </c>
      <c r="M31" s="16">
        <v>4.3539527934295053E-2</v>
      </c>
      <c r="N31" s="16">
        <v>4.4558452508184132E-2</v>
      </c>
      <c r="O31" s="16">
        <v>4.5275426343031944E-2</v>
      </c>
      <c r="P31" s="16">
        <v>4.5695212092963899E-2</v>
      </c>
      <c r="Q31" s="16">
        <v>4.5820142970981803E-2</v>
      </c>
      <c r="R31" s="16">
        <v>4.5650465336785961E-2</v>
      </c>
      <c r="S31" s="16">
        <v>4.5184523671343069E-2</v>
      </c>
      <c r="T31" s="16">
        <v>4.4418819047072011E-2</v>
      </c>
      <c r="U31" s="16">
        <v>4.3347951312698418E-2</v>
      </c>
      <c r="V31" s="16">
        <v>4.1964437096633445E-2</v>
      </c>
      <c r="W31" s="16">
        <v>4.0258375033268679E-2</v>
      </c>
      <c r="X31" s="16">
        <v>3.8216899542689697E-2</v>
      </c>
      <c r="Y31" s="16">
        <v>3.5823312958366937E-2</v>
      </c>
      <c r="Z31" s="16">
        <v>3.3055686770151249E-2</v>
      </c>
      <c r="AA31" s="16">
        <v>2.9884512635388827E-2</v>
      </c>
      <c r="AB31" s="16">
        <v>2.6268486803969426E-2</v>
      </c>
      <c r="AC31" s="16">
        <v>2.2146161294786304E-2</v>
      </c>
      <c r="AD31" s="16">
        <v>1.7416728552888894E-2</v>
      </c>
      <c r="AE31" s="16">
        <v>1.18828015123289E-2</v>
      </c>
      <c r="AF31" s="16">
        <v>4.9094262492137553E-3</v>
      </c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</row>
    <row r="32" spans="1:62" ht="12" customHeight="1">
      <c r="A32" s="14" t="s">
        <v>577</v>
      </c>
      <c r="B32" s="31">
        <v>31</v>
      </c>
      <c r="C32" s="16">
        <v>7.9154861355851258E-3</v>
      </c>
      <c r="D32" s="16">
        <v>1.5662697881490772E-2</v>
      </c>
      <c r="E32" s="16">
        <v>2.0948684944691043E-2</v>
      </c>
      <c r="F32" s="16">
        <v>2.5209162960809217E-2</v>
      </c>
      <c r="G32" s="16">
        <v>2.8798488387049348E-2</v>
      </c>
      <c r="H32" s="16">
        <v>3.1876065627204797E-2</v>
      </c>
      <c r="I32" s="16">
        <v>3.4529434695391492E-2</v>
      </c>
      <c r="J32" s="16">
        <v>3.6812157697024728E-2</v>
      </c>
      <c r="K32" s="16">
        <v>3.8759230269667433E-2</v>
      </c>
      <c r="L32" s="16">
        <v>4.0394454021725368E-2</v>
      </c>
      <c r="M32" s="16">
        <v>4.1734364677062374E-2</v>
      </c>
      <c r="N32" s="16">
        <v>4.2790490313079466E-2</v>
      </c>
      <c r="O32" s="16">
        <v>4.3570721647461896E-2</v>
      </c>
      <c r="P32" s="16">
        <v>4.4080173726372185E-2</v>
      </c>
      <c r="Q32" s="16">
        <v>4.4321736612372487E-2</v>
      </c>
      <c r="R32" s="16">
        <v>4.4296423202352275E-2</v>
      </c>
      <c r="S32" s="16">
        <v>4.4003574693407321E-2</v>
      </c>
      <c r="T32" s="16">
        <v>4.3440956639710038E-2</v>
      </c>
      <c r="U32" s="16">
        <v>4.2604760617005466E-2</v>
      </c>
      <c r="V32" s="16">
        <v>4.1489512596685207E-2</v>
      </c>
      <c r="W32" s="16">
        <v>4.0087875354066993E-2</v>
      </c>
      <c r="X32" s="16">
        <v>3.8390314692770877E-2</v>
      </c>
      <c r="Y32" s="16">
        <v>3.6384572158350004E-2</v>
      </c>
      <c r="Z32" s="16">
        <v>3.4054839183460306E-2</v>
      </c>
      <c r="AA32" s="16">
        <v>3.1380434938677038E-2</v>
      </c>
      <c r="AB32" s="16">
        <v>2.8333592811340624E-2</v>
      </c>
      <c r="AC32" s="16">
        <v>2.4875492986015213E-2</v>
      </c>
      <c r="AD32" s="16">
        <v>2.0948407863822793E-2</v>
      </c>
      <c r="AE32" s="16">
        <v>1.6457622178927545E-2</v>
      </c>
      <c r="AF32" s="16">
        <v>1.1217574445473888E-2</v>
      </c>
      <c r="AG32" s="16">
        <v>4.6306960409466802E-3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</row>
    <row r="33" spans="1:62" ht="12" customHeight="1">
      <c r="A33" s="14" t="s">
        <v>578</v>
      </c>
      <c r="B33" s="31">
        <v>32</v>
      </c>
      <c r="C33" s="16">
        <v>7.528918730164591E-3</v>
      </c>
      <c r="D33" s="16">
        <v>1.4901662434113283E-2</v>
      </c>
      <c r="E33" s="16">
        <v>1.9939060956241872E-2</v>
      </c>
      <c r="F33" s="16">
        <v>2.400714778857449E-2</v>
      </c>
      <c r="G33" s="16">
        <v>2.7443356507445449E-2</v>
      </c>
      <c r="H33" s="16">
        <v>3.0399651118618976E-2</v>
      </c>
      <c r="I33" s="16">
        <v>3.2959623603565524E-2</v>
      </c>
      <c r="J33" s="16">
        <v>3.5174543639387212E-2</v>
      </c>
      <c r="K33" s="16">
        <v>3.7078027154082038E-2</v>
      </c>
      <c r="L33" s="16">
        <v>3.8693056822275307E-2</v>
      </c>
      <c r="M33" s="16">
        <v>4.0035725978047498E-2</v>
      </c>
      <c r="N33" s="16">
        <v>4.1117394449455058E-2</v>
      </c>
      <c r="O33" s="16">
        <v>4.1946000721979626E-2</v>
      </c>
      <c r="P33" s="16">
        <v>4.2526891910587006E-2</v>
      </c>
      <c r="Q33" s="16">
        <v>4.28633602674241E-2</v>
      </c>
      <c r="R33" s="16">
        <v>4.2956990100452397E-2</v>
      </c>
      <c r="S33" s="16">
        <v>4.2807874102996024E-2</v>
      </c>
      <c r="T33" s="16">
        <v>4.2414732531166566E-2</v>
      </c>
      <c r="U33" s="16">
        <v>4.1774952697350098E-2</v>
      </c>
      <c r="V33" s="16">
        <v>4.0884554814018759E-2</v>
      </c>
      <c r="W33" s="16">
        <v>3.9738080213487348E-2</v>
      </c>
      <c r="X33" s="16">
        <v>3.8328386817873872E-2</v>
      </c>
      <c r="Y33" s="16">
        <v>3.6646321319748432E-2</v>
      </c>
      <c r="Z33" s="16">
        <v>3.4680212690890388E-2</v>
      </c>
      <c r="AA33" s="16">
        <v>3.2415087109546326E-2</v>
      </c>
      <c r="AB33" s="16">
        <v>2.9831417358437529E-2</v>
      </c>
      <c r="AC33" s="16">
        <v>2.6903033917532682E-2</v>
      </c>
      <c r="AD33" s="16">
        <v>2.359338439294445E-2</v>
      </c>
      <c r="AE33" s="16">
        <v>1.9848129670241965E-2</v>
      </c>
      <c r="AF33" s="16">
        <v>1.5578098917863215E-2</v>
      </c>
      <c r="AG33" s="16">
        <v>1.0608495448338751E-2</v>
      </c>
      <c r="AH33" s="16">
        <v>4.3758258151491702E-3</v>
      </c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</row>
    <row r="34" spans="1:62" ht="12" customHeight="1">
      <c r="A34" s="14" t="s">
        <v>579</v>
      </c>
      <c r="B34" s="31">
        <v>33</v>
      </c>
      <c r="C34" s="16">
        <v>7.1722439560427675E-3</v>
      </c>
      <c r="D34" s="16">
        <v>1.4199121578663765E-2</v>
      </c>
      <c r="E34" s="16">
        <v>1.900627863096982E-2</v>
      </c>
      <c r="F34" s="16">
        <v>2.2895412868169984E-2</v>
      </c>
      <c r="G34" s="16">
        <v>2.618830521804516E-2</v>
      </c>
      <c r="H34" s="16">
        <v>2.9030018633108723E-2</v>
      </c>
      <c r="I34" s="16">
        <v>3.1500466639979741E-2</v>
      </c>
      <c r="J34" s="16">
        <v>3.364876687427143E-2</v>
      </c>
      <c r="K34" s="16">
        <v>3.5507223001857047E-2</v>
      </c>
      <c r="L34" s="16">
        <v>3.7098019345320532E-2</v>
      </c>
      <c r="M34" s="16">
        <v>3.8436793586528628E-2</v>
      </c>
      <c r="N34" s="16">
        <v>3.9534696693414584E-2</v>
      </c>
      <c r="O34" s="16">
        <v>4.0399649711332142E-2</v>
      </c>
      <c r="P34" s="16">
        <v>4.1037142254508163E-2</v>
      </c>
      <c r="Q34" s="16">
        <v>4.1450753029568688E-2</v>
      </c>
      <c r="R34" s="16">
        <v>4.1642492037294865E-2</v>
      </c>
      <c r="S34" s="16">
        <v>4.1613021597420974E-2</v>
      </c>
      <c r="T34" s="16">
        <v>4.1361789386223258E-2</v>
      </c>
      <c r="U34" s="16">
        <v>4.0887092096550726E-2</v>
      </c>
      <c r="V34" s="16">
        <v>4.0186078460854091E-2</v>
      </c>
      <c r="W34" s="16">
        <v>3.9254692543240322E-2</v>
      </c>
      <c r="X34" s="16">
        <v>3.8087550503581924E-2</v>
      </c>
      <c r="Y34" s="16">
        <v>3.6677734573339671E-2</v>
      </c>
      <c r="Z34" s="16">
        <v>3.5016474099572759E-2</v>
      </c>
      <c r="AA34" s="16">
        <v>3.3092660491117032E-2</v>
      </c>
      <c r="AB34" s="16">
        <v>3.0892101146535511E-2</v>
      </c>
      <c r="AC34" s="16">
        <v>2.8396335450759258E-2</v>
      </c>
      <c r="AD34" s="16">
        <v>2.5580660564378688E-2</v>
      </c>
      <c r="AE34" s="16">
        <v>2.2410598657687575E-2</v>
      </c>
      <c r="AF34" s="16">
        <v>1.8834905222470555E-2</v>
      </c>
      <c r="AG34" s="16">
        <v>1.4769470025416509E-2</v>
      </c>
      <c r="AH34" s="16">
        <v>1.0049324857007047E-2</v>
      </c>
      <c r="AI34" s="16">
        <v>4.1421262647680646E-3</v>
      </c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</row>
    <row r="35" spans="1:62" ht="12" customHeight="1">
      <c r="A35" s="14" t="s">
        <v>580</v>
      </c>
      <c r="B35" s="31">
        <v>34</v>
      </c>
      <c r="C35" s="16">
        <v>6.842348642889684E-3</v>
      </c>
      <c r="D35" s="16">
        <v>1.3549024963626866E-2</v>
      </c>
      <c r="E35" s="16">
        <v>1.814247956635795E-2</v>
      </c>
      <c r="F35" s="16">
        <v>2.1864869296862932E-2</v>
      </c>
      <c r="G35" s="16">
        <v>2.502346532173827E-2</v>
      </c>
      <c r="H35" s="16">
        <v>2.7756917543281912E-2</v>
      </c>
      <c r="I35" s="16">
        <v>3.0141707524185213E-2</v>
      </c>
      <c r="J35" s="16">
        <v>3.2224931987764549E-2</v>
      </c>
      <c r="K35" s="16">
        <v>3.4037648698671763E-2</v>
      </c>
      <c r="L35" s="16">
        <v>3.5601268793992946E-2</v>
      </c>
      <c r="M35" s="16">
        <v>3.6930970196175306E-2</v>
      </c>
      <c r="N35" s="16">
        <v>3.803766777148776E-2</v>
      </c>
      <c r="O35" s="16">
        <v>3.8929217631131552E-2</v>
      </c>
      <c r="P35" s="16">
        <v>3.9611184912267561E-2</v>
      </c>
      <c r="Q35" s="16">
        <v>4.0087347468676371E-2</v>
      </c>
      <c r="R35" s="16">
        <v>4.0360031012189324E-2</v>
      </c>
      <c r="S35" s="16">
        <v>4.0430330851114471E-2</v>
      </c>
      <c r="T35" s="16">
        <v>4.0298252760676556E-2</v>
      </c>
      <c r="U35" s="16">
        <v>3.9962791990423741E-2</v>
      </c>
      <c r="V35" s="16">
        <v>3.9421960598133632E-2</v>
      </c>
      <c r="W35" s="16">
        <v>3.8672766793492963E-2</v>
      </c>
      <c r="X35" s="16">
        <v>3.7711144232725702E-2</v>
      </c>
      <c r="Y35" s="16">
        <v>3.653182293624524E-2</v>
      </c>
      <c r="Z35" s="16">
        <v>3.512812518912567E-2</v>
      </c>
      <c r="AA35" s="16">
        <v>3.34916570656838E-2</v>
      </c>
      <c r="AB35" s="16">
        <v>3.1611844717914339E-2</v>
      </c>
      <c r="AC35" s="16">
        <v>2.9475225259923743E-2</v>
      </c>
      <c r="AD35" s="16">
        <v>2.7064324649483718E-2</v>
      </c>
      <c r="AE35" s="16">
        <v>2.435578915349379E-2</v>
      </c>
      <c r="AF35" s="16">
        <v>2.1317043348220155E-2</v>
      </c>
      <c r="AG35" s="16">
        <v>1.7899676285417221E-2</v>
      </c>
      <c r="AH35" s="16">
        <v>1.4024209461554471E-2</v>
      </c>
      <c r="AI35" s="16">
        <v>9.5346734883479112E-3</v>
      </c>
      <c r="AJ35" s="16">
        <v>3.9272798867229231E-3</v>
      </c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</row>
    <row r="36" spans="1:62" ht="12" customHeight="1">
      <c r="A36" s="14" t="s">
        <v>581</v>
      </c>
      <c r="B36" s="31">
        <v>35</v>
      </c>
      <c r="C36" s="16">
        <v>6.5365225656053294E-3</v>
      </c>
      <c r="D36" s="16">
        <v>1.2946099474489547E-2</v>
      </c>
      <c r="E36" s="16">
        <v>1.7340802080560103E-2</v>
      </c>
      <c r="F36" s="16">
        <v>2.0907560175337792E-2</v>
      </c>
      <c r="G36" s="16">
        <v>2.3940166420061471E-2</v>
      </c>
      <c r="H36" s="16">
        <v>2.6571300192711478E-2</v>
      </c>
      <c r="I36" s="16">
        <v>2.8874236646534102E-2</v>
      </c>
      <c r="J36" s="16">
        <v>3.0894173727574969E-2</v>
      </c>
      <c r="K36" s="16">
        <v>3.2660987640751538E-2</v>
      </c>
      <c r="L36" s="16">
        <v>3.4195344234030256E-2</v>
      </c>
      <c r="M36" s="16">
        <v>3.5511964021359588E-2</v>
      </c>
      <c r="N36" s="16">
        <v>3.662150831909905E-2</v>
      </c>
      <c r="O36" s="16">
        <v>3.7531733939346834E-2</v>
      </c>
      <c r="P36" s="16">
        <v>3.8248231337974725E-2</v>
      </c>
      <c r="Q36" s="16">
        <v>3.8774911229164877E-2</v>
      </c>
      <c r="R36" s="16">
        <v>3.9114331275848513E-2</v>
      </c>
      <c r="S36" s="16">
        <v>3.9267915969361411E-2</v>
      </c>
      <c r="T36" s="16">
        <v>3.9236101361317166E-2</v>
      </c>
      <c r="U36" s="16">
        <v>3.9018423618389919E-2</v>
      </c>
      <c r="V36" s="16">
        <v>3.8613562310647165E-2</v>
      </c>
      <c r="W36" s="16">
        <v>3.8019343697449637E-2</v>
      </c>
      <c r="X36" s="16">
        <v>3.7232704706064101E-2</v>
      </c>
      <c r="Y36" s="16">
        <v>3.624961382980163E-2</v>
      </c>
      <c r="Z36" s="16">
        <v>3.506493984282566E-2</v>
      </c>
      <c r="AA36" s="16">
        <v>3.367225174701205E-2</v>
      </c>
      <c r="AB36" s="16">
        <v>3.2063521577361476E-2</v>
      </c>
      <c r="AC36" s="16">
        <v>3.0228681499103627E-2</v>
      </c>
      <c r="AD36" s="16">
        <v>2.8154949511639882E-2</v>
      </c>
      <c r="AE36" s="16">
        <v>2.5825764795196826E-2</v>
      </c>
      <c r="AF36" s="16">
        <v>2.3219016667776371E-2</v>
      </c>
      <c r="AG36" s="16">
        <v>2.0303878081922022E-2</v>
      </c>
      <c r="AH36" s="16">
        <v>1.7034539048506603E-2</v>
      </c>
      <c r="AI36" s="16">
        <v>1.3335771322391388E-2</v>
      </c>
      <c r="AJ36" s="16">
        <v>9.0598665158565517E-3</v>
      </c>
      <c r="AK36" s="16">
        <v>3.7292806169263448E-3</v>
      </c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</row>
    <row r="37" spans="1:62" ht="12" customHeight="1">
      <c r="A37" s="14" t="s">
        <v>582</v>
      </c>
      <c r="B37" s="31">
        <v>36</v>
      </c>
      <c r="C37" s="16">
        <v>6.2523966651517604E-3</v>
      </c>
      <c r="D37" s="16">
        <v>1.2385731033505487E-2</v>
      </c>
      <c r="E37" s="16">
        <v>1.659523175293709E-2</v>
      </c>
      <c r="F37" s="16">
        <v>2.0016494362701365E-2</v>
      </c>
      <c r="G37" s="16">
        <v>2.2930766086267762E-2</v>
      </c>
      <c r="H37" s="16">
        <v>2.5465157937865968E-2</v>
      </c>
      <c r="I37" s="16">
        <v>2.7689945262787896E-2</v>
      </c>
      <c r="J37" s="16">
        <v>2.9648540781672783E-2</v>
      </c>
      <c r="K37" s="16">
        <v>3.1369700895221286E-2</v>
      </c>
      <c r="L37" s="16">
        <v>3.2873375489440138E-2</v>
      </c>
      <c r="M37" s="16">
        <v>3.4173834532157388E-2</v>
      </c>
      <c r="N37" s="16">
        <v>3.5281475533248674E-2</v>
      </c>
      <c r="O37" s="16">
        <v>3.620393143691425E-2</v>
      </c>
      <c r="P37" s="16">
        <v>3.6946780377851929E-2</v>
      </c>
      <c r="Q37" s="16">
        <v>3.751401535839971E-2</v>
      </c>
      <c r="R37" s="16">
        <v>3.7908361719111938E-2</v>
      </c>
      <c r="S37" s="16">
        <v>3.8131493510094483E-2</v>
      </c>
      <c r="T37" s="16">
        <v>3.8184179447084521E-2</v>
      </c>
      <c r="U37" s="16">
        <v>3.8066377141668162E-2</v>
      </c>
      <c r="V37" s="16">
        <v>3.777728680833492E-2</v>
      </c>
      <c r="W37" s="16">
        <v>3.7315370593605457E-2</v>
      </c>
      <c r="X37" s="16">
        <v>3.6678339841992202E-2</v>
      </c>
      <c r="Y37" s="16">
        <v>3.5863109208474464E-2</v>
      </c>
      <c r="Z37" s="16">
        <v>3.4865712870457699E-2</v>
      </c>
      <c r="AA37" s="16">
        <v>3.3681173410603282E-2</v>
      </c>
      <c r="AB37" s="16">
        <v>3.2303307090995381E-2</v>
      </c>
      <c r="AC37" s="16">
        <v>3.0724438221399919E-2</v>
      </c>
      <c r="AD37" s="16">
        <v>2.8934976280514224E-2</v>
      </c>
      <c r="AE37" s="16">
        <v>2.6922774310697561E-2</v>
      </c>
      <c r="AF37" s="16">
        <v>2.4672117625655021E-2</v>
      </c>
      <c r="AG37" s="16">
        <v>2.2162042839873441E-2</v>
      </c>
      <c r="AH37" s="16">
        <v>1.9363333152181861E-2</v>
      </c>
      <c r="AI37" s="16">
        <v>1.6232571657510242E-2</v>
      </c>
      <c r="AJ37" s="16">
        <v>1.2698439933411465E-2</v>
      </c>
      <c r="AK37" s="16">
        <v>8.6208321887553119E-3</v>
      </c>
      <c r="AL37" s="16">
        <v>3.5463846414549582E-3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</row>
    <row r="38" spans="1:62" ht="12" customHeight="1">
      <c r="A38" s="14" t="s">
        <v>583</v>
      </c>
      <c r="B38" s="31">
        <v>37</v>
      </c>
      <c r="C38" s="16">
        <v>5.98789213751727E-3</v>
      </c>
      <c r="D38" s="16">
        <v>1.1863867013626295E-2</v>
      </c>
      <c r="E38" s="16">
        <v>1.5900477632150078E-2</v>
      </c>
      <c r="F38" s="16">
        <v>1.9185508112856686E-2</v>
      </c>
      <c r="G38" s="16">
        <v>2.1988506664902929E-2</v>
      </c>
      <c r="H38" s="16">
        <v>2.4431382194486373E-2</v>
      </c>
      <c r="I38" s="16">
        <v>2.6581599697681035E-2</v>
      </c>
      <c r="J38" s="16">
        <v>2.8480892128559199E-2</v>
      </c>
      <c r="K38" s="16">
        <v>3.0156954936388813E-2</v>
      </c>
      <c r="L38" s="16">
        <v>3.1629051896805094E-2</v>
      </c>
      <c r="M38" s="16">
        <v>3.2911012393181505E-2</v>
      </c>
      <c r="N38" s="16">
        <v>3.4012965155522545E-2</v>
      </c>
      <c r="O38" s="16">
        <v>3.4942402039679354E-2</v>
      </c>
      <c r="P38" s="16">
        <v>3.570486070570289E-2</v>
      </c>
      <c r="Q38" s="16">
        <v>3.630437773380446E-2</v>
      </c>
      <c r="R38" s="16">
        <v>3.6743796514269844E-2</v>
      </c>
      <c r="S38" s="16">
        <v>3.702497907317881E-2</v>
      </c>
      <c r="T38" s="16">
        <v>3.7148951496581484E-2</v>
      </c>
      <c r="U38" s="16">
        <v>3.7116001221658479E-2</v>
      </c>
      <c r="V38" s="16">
        <v>3.6925737433976202E-2</v>
      </c>
      <c r="W38" s="16">
        <v>3.6577121179272698E-2</v>
      </c>
      <c r="X38" s="16">
        <v>3.6068468456710301E-2</v>
      </c>
      <c r="Y38" s="16">
        <v>3.5397426812200927E-2</v>
      </c>
      <c r="Z38" s="16">
        <v>3.4560923273397104E-2</v>
      </c>
      <c r="AA38" s="16">
        <v>3.355507835255378E-2</v>
      </c>
      <c r="AB38" s="16">
        <v>3.2375076631874222E-2</v>
      </c>
      <c r="AC38" s="16">
        <v>3.1014978096101209E-2</v>
      </c>
      <c r="AD38" s="16">
        <v>2.9467444018638989E-2</v>
      </c>
      <c r="AE38" s="16">
        <v>2.7723333189656474E-2</v>
      </c>
      <c r="AF38" s="16">
        <v>2.5771090939623931E-2</v>
      </c>
      <c r="AG38" s="16">
        <v>2.359578742012669E-2</v>
      </c>
      <c r="AH38" s="16">
        <v>2.1177519981288806E-2</v>
      </c>
      <c r="AI38" s="16">
        <v>1.8488557907798575E-2</v>
      </c>
      <c r="AJ38" s="16">
        <v>1.5487691065868447E-2</v>
      </c>
      <c r="AK38" s="16">
        <v>1.210720608630389E-2</v>
      </c>
      <c r="AL38" s="16">
        <v>8.2140103324725988E-3</v>
      </c>
      <c r="AM38" s="16">
        <v>3.3770700735820114E-3</v>
      </c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</row>
    <row r="39" spans="1:62" ht="12" customHeight="1">
      <c r="A39" s="14" t="s">
        <v>584</v>
      </c>
      <c r="B39" s="31">
        <v>38</v>
      </c>
      <c r="C39" s="16">
        <v>5.7411782461560534E-3</v>
      </c>
      <c r="D39" s="16">
        <v>1.1376935235813401E-2</v>
      </c>
      <c r="E39" s="16">
        <v>1.5251869176109656E-2</v>
      </c>
      <c r="F39" s="16">
        <v>1.8409149373130984E-2</v>
      </c>
      <c r="G39" s="16">
        <v>2.1107394750151776E-2</v>
      </c>
      <c r="H39" s="16">
        <v>2.3463646354030421E-2</v>
      </c>
      <c r="I39" s="16">
        <v>2.5542732788270572E-2</v>
      </c>
      <c r="J39" s="16">
        <v>2.7384805131105749E-2</v>
      </c>
      <c r="K39" s="16">
        <v>2.901655368330025E-2</v>
      </c>
      <c r="L39" s="16">
        <v>3.0456585858803287E-2</v>
      </c>
      <c r="M39" s="16">
        <v>3.1718302489458394E-2</v>
      </c>
      <c r="N39" s="16">
        <v>3.2811562425176244E-2</v>
      </c>
      <c r="O39" s="16">
        <v>3.3743704747118852E-2</v>
      </c>
      <c r="P39" s="16">
        <v>3.4520205697984974E-2</v>
      </c>
      <c r="Q39" s="16">
        <v>3.514511575619228E-2</v>
      </c>
      <c r="R39" s="16">
        <v>3.5621357852347435E-2</v>
      </c>
      <c r="S39" s="16">
        <v>3.5950934022353387E-2</v>
      </c>
      <c r="T39" s="16">
        <v>3.6135069134176412E-2</v>
      </c>
      <c r="U39" s="16">
        <v>3.61743094607343E-2</v>
      </c>
      <c r="V39" s="16">
        <v>3.6068587221788628E-2</v>
      </c>
      <c r="W39" s="16">
        <v>3.5817257912542755E-2</v>
      </c>
      <c r="X39" s="16">
        <v>3.5419114235765825E-2</v>
      </c>
      <c r="Y39" s="16">
        <v>3.4872378130275328E-2</v>
      </c>
      <c r="Z39" s="16">
        <v>3.4174670309387589E-2</v>
      </c>
      <c r="AA39" s="16">
        <v>3.3322954520171311E-2</v>
      </c>
      <c r="AB39" s="16">
        <v>3.2313450996772186E-2</v>
      </c>
      <c r="AC39" s="16">
        <v>3.1141509726501093E-2</v>
      </c>
      <c r="AD39" s="16">
        <v>2.9801428210743053E-2</v>
      </c>
      <c r="AE39" s="16">
        <v>2.8286188620728292E-2</v>
      </c>
      <c r="AF39" s="16">
        <v>2.6587072156910474E-2</v>
      </c>
      <c r="AG39" s="16">
        <v>2.4693076738225073E-2</v>
      </c>
      <c r="AH39" s="16">
        <v>2.2590001372775448E-2</v>
      </c>
      <c r="AI39" s="16">
        <v>2.0258925784852111E-2</v>
      </c>
      <c r="AJ39" s="16">
        <v>1.7673493482787128E-2</v>
      </c>
      <c r="AK39" s="16">
        <v>1.4794533654649666E-2</v>
      </c>
      <c r="AL39" s="16">
        <v>1.1557664329555628E-2</v>
      </c>
      <c r="AM39" s="16">
        <v>7.8362767019409807E-3</v>
      </c>
      <c r="AN39" s="16">
        <v>3.2200037112130042E-3</v>
      </c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</row>
    <row r="40" spans="1:62" ht="12" customHeight="1">
      <c r="A40" s="14" t="s">
        <v>585</v>
      </c>
      <c r="B40" s="31">
        <v>39</v>
      </c>
      <c r="C40" s="16">
        <v>5.5106371800428544E-3</v>
      </c>
      <c r="D40" s="16">
        <v>1.0921776387881277E-2</v>
      </c>
      <c r="E40" s="16">
        <v>1.4645270033037172E-2</v>
      </c>
      <c r="F40" s="16">
        <v>1.7682580597807807E-2</v>
      </c>
      <c r="G40" s="16">
        <v>2.0282099357422756E-2</v>
      </c>
      <c r="H40" s="16">
        <v>2.2556305153113687E-2</v>
      </c>
      <c r="I40" s="16">
        <v>2.4567550130469518E-2</v>
      </c>
      <c r="J40" s="16">
        <v>2.6354494345860568E-2</v>
      </c>
      <c r="K40" s="16">
        <v>2.7942875671691736E-2</v>
      </c>
      <c r="L40" s="16">
        <v>2.9350674377803809E-2</v>
      </c>
      <c r="M40" s="16">
        <v>3.0590876098937736E-2</v>
      </c>
      <c r="N40" s="16">
        <v>3.1673071529811581E-2</v>
      </c>
      <c r="O40" s="16">
        <v>3.2604439469077096E-2</v>
      </c>
      <c r="P40" s="16">
        <v>3.3390379311411533E-2</v>
      </c>
      <c r="Q40" s="16">
        <v>3.4034932680623409E-2</v>
      </c>
      <c r="R40" s="16">
        <v>3.4541072055001121E-2</v>
      </c>
      <c r="S40" s="16">
        <v>3.4910901897699187E-2</v>
      </c>
      <c r="T40" s="16">
        <v>3.5145799921401433E-2</v>
      </c>
      <c r="U40" s="16">
        <v>3.5246515727468508E-2</v>
      </c>
      <c r="V40" s="16">
        <v>3.5213237736033021E-2</v>
      </c>
      <c r="W40" s="16">
        <v>3.5045635278069365E-2</v>
      </c>
      <c r="X40" s="16">
        <v>3.4742879968896245E-2</v>
      </c>
      <c r="Y40" s="16">
        <v>3.4303648445417556E-2</v>
      </c>
      <c r="Z40" s="16">
        <v>3.3726106849971238E-2</v>
      </c>
      <c r="AA40" s="16">
        <v>3.3007875793377939E-2</v>
      </c>
      <c r="AB40" s="16">
        <v>3.2145972648619181E-2</v>
      </c>
      <c r="AC40" s="16">
        <v>3.1136725564691159E-2</v>
      </c>
      <c r="AD40" s="16">
        <v>2.9975650018273847E-2</v>
      </c>
      <c r="AE40" s="16">
        <v>2.8657273135434536E-2</v>
      </c>
      <c r="AF40" s="16">
        <v>2.7174881746345969E-2</v>
      </c>
      <c r="AG40" s="16">
        <v>2.5520153888714647E-2</v>
      </c>
      <c r="AH40" s="16">
        <v>2.368260331443095E-2</v>
      </c>
      <c r="AI40" s="16">
        <v>2.1648706753726432E-2</v>
      </c>
      <c r="AJ40" s="16">
        <v>1.9400455255846438E-2</v>
      </c>
      <c r="AK40" s="16">
        <v>1.6912765540519126E-2</v>
      </c>
      <c r="AL40" s="16">
        <v>1.4148355221681563E-2</v>
      </c>
      <c r="AM40" s="16">
        <v>1.1045927311643666E-2</v>
      </c>
      <c r="AN40" s="16">
        <v>7.4848801170704915E-3</v>
      </c>
      <c r="AO40" s="16">
        <v>3.0740134846738432E-3</v>
      </c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</row>
    <row r="41" spans="1:62" ht="12" customHeight="1">
      <c r="A41" s="14" t="s">
        <v>586</v>
      </c>
      <c r="B41" s="31">
        <v>40</v>
      </c>
      <c r="C41" s="16">
        <v>5.2948346356713749E-3</v>
      </c>
      <c r="D41" s="16">
        <v>1.0495587368089199E-2</v>
      </c>
      <c r="E41" s="16">
        <v>1.4077005577440405E-2</v>
      </c>
      <c r="F41" s="16">
        <v>1.7001496762767632E-2</v>
      </c>
      <c r="G41" s="16">
        <v>1.9507865565125626E-2</v>
      </c>
      <c r="H41" s="16">
        <v>2.1704308671321226E-2</v>
      </c>
      <c r="I41" s="16">
        <v>2.3650849012988973E-2</v>
      </c>
      <c r="J41" s="16">
        <v>2.5384739961895386E-2</v>
      </c>
      <c r="K41" s="16">
        <v>2.6930816642251276E-2</v>
      </c>
      <c r="L41" s="16">
        <v>2.83064605805603E-2</v>
      </c>
      <c r="M41" s="16">
        <v>2.9524256343591682E-2</v>
      </c>
      <c r="N41" s="16">
        <v>3.0593530238066546E-2</v>
      </c>
      <c r="O41" s="16">
        <v>3.1521296430637502E-2</v>
      </c>
      <c r="P41" s="16">
        <v>3.2312866270226781E-2</v>
      </c>
      <c r="Q41" s="16">
        <v>3.297225512133739E-2</v>
      </c>
      <c r="R41" s="16">
        <v>3.3502461593465482E-2</v>
      </c>
      <c r="S41" s="16">
        <v>3.3905662986161156E-2</v>
      </c>
      <c r="T41" s="16">
        <v>3.4183353601639599E-2</v>
      </c>
      <c r="U41" s="16">
        <v>3.4336442620478858E-2</v>
      </c>
      <c r="V41" s="16">
        <v>3.4365322198698034E-2</v>
      </c>
      <c r="W41" s="16">
        <v>3.4269912614471432E-2</v>
      </c>
      <c r="X41" s="16">
        <v>3.4049688732283645E-2</v>
      </c>
      <c r="Y41" s="16">
        <v>3.3703690218043203E-2</v>
      </c>
      <c r="Z41" s="16">
        <v>3.3230516490402762E-2</v>
      </c>
      <c r="AA41" s="16">
        <v>3.2628306090330406E-2</v>
      </c>
      <c r="AB41" s="16">
        <v>3.1894698785750575E-2</v>
      </c>
      <c r="AC41" s="16">
        <v>3.1026777073982048E-2</v>
      </c>
      <c r="AD41" s="16">
        <v>3.0020981492537513E-2</v>
      </c>
      <c r="AE41" s="16">
        <v>2.8872990808991528E-2</v>
      </c>
      <c r="AF41" s="16">
        <v>2.7577552880738376E-2</v>
      </c>
      <c r="AG41" s="16">
        <v>2.6128243168383358E-2</v>
      </c>
      <c r="AH41" s="16">
        <v>2.4517112413094622E-2</v>
      </c>
      <c r="AI41" s="16">
        <v>2.2734156232878222E-2</v>
      </c>
      <c r="AJ41" s="16">
        <v>2.0766482350075499E-2</v>
      </c>
      <c r="AK41" s="16">
        <v>1.8596928614029284E-2</v>
      </c>
      <c r="AL41" s="16">
        <v>1.6201593537161552E-2</v>
      </c>
      <c r="AM41" s="16">
        <v>1.3544946833465299E-2</v>
      </c>
      <c r="AN41" s="16">
        <v>1.0568554011682885E-2</v>
      </c>
      <c r="AO41" s="16">
        <v>7.1573899641804717E-3</v>
      </c>
      <c r="AP41" s="16">
        <v>2.9380655051028937E-3</v>
      </c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</row>
    <row r="42" spans="1:62" ht="12" customHeight="1">
      <c r="A42" s="14" t="s">
        <v>587</v>
      </c>
      <c r="B42" s="31">
        <v>41</v>
      </c>
      <c r="C42" s="16">
        <v>5.0924950751281006E-3</v>
      </c>
      <c r="D42" s="16">
        <v>1.0095873569453295E-2</v>
      </c>
      <c r="E42" s="16">
        <v>1.3543801738397865E-2</v>
      </c>
      <c r="F42" s="16">
        <v>1.6362055919498242E-2</v>
      </c>
      <c r="G42" s="16">
        <v>1.8780441009841886E-2</v>
      </c>
      <c r="H42" s="16">
        <v>2.0903128620295863E-2</v>
      </c>
      <c r="I42" s="16">
        <v>2.2787948217088072E-2</v>
      </c>
      <c r="J42" s="16">
        <v>2.4470824805974845E-2</v>
      </c>
      <c r="K42" s="16">
        <v>2.5975737494924989E-2</v>
      </c>
      <c r="L42" s="16">
        <v>2.7319496467487547E-2</v>
      </c>
      <c r="M42" s="16">
        <v>2.8514299728398584E-2</v>
      </c>
      <c r="N42" s="16">
        <v>2.9569214418886269E-2</v>
      </c>
      <c r="O42" s="16">
        <v>3.0491088109838915E-2</v>
      </c>
      <c r="P42" s="16">
        <v>3.1285136168971883E-2</v>
      </c>
      <c r="Q42" s="16">
        <v>3.1955334449472184E-2</v>
      </c>
      <c r="R42" s="16">
        <v>3.2504689389514008E-2</v>
      </c>
      <c r="S42" s="16">
        <v>3.2935427736301759E-2</v>
      </c>
      <c r="T42" s="16">
        <v>3.3249131606444604E-2</v>
      </c>
      <c r="U42" s="16">
        <v>3.3446835035557343E-2</v>
      </c>
      <c r="V42" s="16">
        <v>3.3529092389441129E-2</v>
      </c>
      <c r="W42" s="16">
        <v>3.3496025363424886E-2</v>
      </c>
      <c r="X42" s="16">
        <v>3.3347352888733139E-2</v>
      </c>
      <c r="Y42" s="16">
        <v>3.308240658043804E-2</v>
      </c>
      <c r="Z42" s="16">
        <v>3.2700133086245531E-2</v>
      </c>
      <c r="AA42" s="16">
        <v>3.2199083618234647E-2</v>
      </c>
      <c r="AB42" s="16">
        <v>3.1577389906124687E-2</v>
      </c>
      <c r="AC42" s="16">
        <v>3.0832724641762232E-2</v>
      </c>
      <c r="AD42" s="16">
        <v>2.996224299721284E-2</v>
      </c>
      <c r="AE42" s="16">
        <v>2.8962499712501755E-2</v>
      </c>
      <c r="AF42" s="16">
        <v>2.7829333105338638E-2</v>
      </c>
      <c r="AG42" s="16">
        <v>2.655770234607846E-2</v>
      </c>
      <c r="AH42" s="16">
        <v>2.5141455954619585E-2</v>
      </c>
      <c r="AI42" s="16">
        <v>2.3572994715847728E-2</v>
      </c>
      <c r="AJ42" s="16">
        <v>2.1842764758043143E-2</v>
      </c>
      <c r="AK42" s="16">
        <v>1.9938462058465278E-2</v>
      </c>
      <c r="AL42" s="16">
        <v>1.7843712568147652E-2</v>
      </c>
      <c r="AM42" s="16">
        <v>1.5535713675343121E-2</v>
      </c>
      <c r="AN42" s="16">
        <v>1.298056373027523E-2</v>
      </c>
      <c r="AO42" s="16">
        <v>1.0122489338726171E-2</v>
      </c>
      <c r="AP42" s="16">
        <v>6.8516521500414651E-3</v>
      </c>
      <c r="AQ42" s="16">
        <v>2.8112448534783896E-3</v>
      </c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</row>
    <row r="43" spans="1:62" ht="12" customHeight="1">
      <c r="A43" s="14" t="s">
        <v>588</v>
      </c>
      <c r="B43" s="31">
        <v>42</v>
      </c>
      <c r="C43" s="16">
        <v>4.9024808243577356E-3</v>
      </c>
      <c r="D43" s="16">
        <v>9.7204085187405642E-3</v>
      </c>
      <c r="E43" s="16">
        <v>1.3042733144036922E-2</v>
      </c>
      <c r="F43" s="16">
        <v>1.5760820139601894E-2</v>
      </c>
      <c r="G43" s="16">
        <v>1.8096013101875585E-2</v>
      </c>
      <c r="H43" s="16">
        <v>2.014869498744154E-2</v>
      </c>
      <c r="I43" s="16">
        <v>2.197462712237519E-2</v>
      </c>
      <c r="J43" s="16">
        <v>2.3608478916420372E-2</v>
      </c>
      <c r="K43" s="16">
        <v>2.5073417367169837E-2</v>
      </c>
      <c r="L43" s="16">
        <v>2.6385707604720032E-2</v>
      </c>
      <c r="M43" s="16">
        <v>2.755717566642657E-2</v>
      </c>
      <c r="N43" s="16">
        <v>2.8596635764490341E-2</v>
      </c>
      <c r="O43" s="16">
        <v>2.9510768707693091E-2</v>
      </c>
      <c r="P43" s="16">
        <v>3.0304688467607921E-2</v>
      </c>
      <c r="Q43" s="16">
        <v>3.0982321374176558E-2</v>
      </c>
      <c r="R43" s="16">
        <v>3.1546667393698824E-2</v>
      </c>
      <c r="S43" s="16">
        <v>3.1999984181614871E-2</v>
      </c>
      <c r="T43" s="16">
        <v>3.2343918722153808E-2</v>
      </c>
      <c r="U43" s="16">
        <v>3.2579602175897393E-2</v>
      </c>
      <c r="V43" s="16">
        <v>3.2707718008922249E-2</v>
      </c>
      <c r="W43" s="16">
        <v>3.2728549992993128E-2</v>
      </c>
      <c r="X43" s="16">
        <v>3.2642014385131146E-2</v>
      </c>
      <c r="Y43" s="16">
        <v>3.2447679026142651E-2</v>
      </c>
      <c r="Z43" s="16">
        <v>3.2144770946477608E-2</v>
      </c>
      <c r="AA43" s="16">
        <v>3.1732173143300013E-2</v>
      </c>
      <c r="AB43" s="16">
        <v>3.1208410356476701E-2</v>
      </c>
      <c r="AC43" s="16">
        <v>3.0571622803371001E-2</v>
      </c>
      <c r="AD43" s="16">
        <v>2.9819525803633784E-2</v>
      </c>
      <c r="AE43" s="16">
        <v>2.894935186511205E-2</v>
      </c>
      <c r="AF43" s="16">
        <v>2.7957769851259529E-2</v>
      </c>
      <c r="AG43" s="16">
        <v>2.6840772876596475E-2</v>
      </c>
      <c r="AH43" s="16">
        <v>2.559352181103669E-2</v>
      </c>
      <c r="AI43" s="16">
        <v>2.4210123272913164E-2</v>
      </c>
      <c r="AJ43" s="16">
        <v>2.2683306890665778E-2</v>
      </c>
      <c r="AK43" s="16">
        <v>2.1003940372281704E-2</v>
      </c>
      <c r="AL43" s="16">
        <v>1.916026882758437E-2</v>
      </c>
      <c r="AM43" s="16">
        <v>1.7136652820069376E-2</v>
      </c>
      <c r="AN43" s="16">
        <v>1.4911313248472502E-2</v>
      </c>
      <c r="AO43" s="16">
        <v>1.2451865021570585E-2</v>
      </c>
      <c r="AP43" s="16">
        <v>9.7050130838463033E-3</v>
      </c>
      <c r="AQ43" s="16">
        <v>6.5657519842295953E-3</v>
      </c>
      <c r="AR43" s="16">
        <v>2.6927394274145477E-3</v>
      </c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12" customHeight="1">
      <c r="A44" s="14" t="s">
        <v>589</v>
      </c>
      <c r="B44" s="31">
        <v>43</v>
      </c>
      <c r="C44" s="16">
        <v>4.7237743409436206E-3</v>
      </c>
      <c r="D44" s="16">
        <v>9.367199595082587E-3</v>
      </c>
      <c r="E44" s="16">
        <v>1.2571178987884846E-2</v>
      </c>
      <c r="F44" s="16">
        <v>1.5194705106518325E-2</v>
      </c>
      <c r="G44" s="16">
        <v>1.7451155215693404E-2</v>
      </c>
      <c r="H44" s="16">
        <v>1.9437341426321808E-2</v>
      </c>
      <c r="I44" s="16">
        <v>2.1207072787602033E-2</v>
      </c>
      <c r="J44" s="16">
        <v>2.2793830773838009E-2</v>
      </c>
      <c r="K44" s="16">
        <v>2.4220011491601801E-2</v>
      </c>
      <c r="L44" s="16">
        <v>2.5501360137846207E-2</v>
      </c>
      <c r="M44" s="16">
        <v>2.664934525906526E-2</v>
      </c>
      <c r="N44" s="16">
        <v>2.7672535056538439E-2</v>
      </c>
      <c r="O44" s="16">
        <v>2.8577444757969306E-2</v>
      </c>
      <c r="P44" s="16">
        <v>2.9369083473966939E-2</v>
      </c>
      <c r="Q44" s="16">
        <v>3.0051320537497705E-2</v>
      </c>
      <c r="R44" s="16">
        <v>3.0627138291684175E-2</v>
      </c>
      <c r="S44" s="16">
        <v>3.1098810577864233E-2</v>
      </c>
      <c r="T44" s="16">
        <v>3.1468030877647046E-2</v>
      </c>
      <c r="U44" s="16">
        <v>3.1736005214027752E-2</v>
      </c>
      <c r="V44" s="16">
        <v>3.190351958327009E-2</v>
      </c>
      <c r="W44" s="16">
        <v>3.1970988349501739E-2</v>
      </c>
      <c r="X44" s="16">
        <v>3.193848786083231E-2</v>
      </c>
      <c r="Y44" s="16">
        <v>3.1805778069685653E-2</v>
      </c>
      <c r="Z44" s="16">
        <v>3.1572313881364167E-2</v>
      </c>
      <c r="AA44" s="16">
        <v>3.1237247137364532E-2</v>
      </c>
      <c r="AB44" s="16">
        <v>3.079941944185316E-2</v>
      </c>
      <c r="AC44" s="16">
        <v>3.0257345364609334E-2</v>
      </c>
      <c r="AD44" s="16">
        <v>2.9609184808737532E-2</v>
      </c>
      <c r="AE44" s="16">
        <v>2.8852702406452213E-2</v>
      </c>
      <c r="AF44" s="16">
        <v>2.7985210546730199E-2</v>
      </c>
      <c r="AG44" s="16">
        <v>2.7003490802016805E-2</v>
      </c>
      <c r="AH44" s="16">
        <v>2.5903685697276635E-2</v>
      </c>
      <c r="AI44" s="16">
        <v>2.4681148220024429E-2</v>
      </c>
      <c r="AJ44" s="16">
        <v>2.3330228824538501E-2</v>
      </c>
      <c r="AK44" s="16">
        <v>2.1843966196779419E-2</v>
      </c>
      <c r="AL44" s="16">
        <v>2.0213622934257658E-2</v>
      </c>
      <c r="AM44" s="16">
        <v>1.842795742754455E-2</v>
      </c>
      <c r="AN44" s="16">
        <v>1.6472016026905623E-2</v>
      </c>
      <c r="AO44" s="16">
        <v>1.4324974498849175E-2</v>
      </c>
      <c r="AP44" s="16">
        <v>1.1955862340172763E-2</v>
      </c>
      <c r="AQ44" s="16">
        <v>9.3136966028839474E-3</v>
      </c>
      <c r="AR44" s="16">
        <v>6.297982768484589E-3</v>
      </c>
      <c r="AS44" s="16">
        <v>2.5818263002714836E-3</v>
      </c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12" customHeight="1">
      <c r="A45" s="14" t="s">
        <v>590</v>
      </c>
      <c r="B45" s="31">
        <v>44</v>
      </c>
      <c r="C45" s="16">
        <v>4.5554631103009724E-3</v>
      </c>
      <c r="D45" s="16">
        <v>9.0344587975857982E-3</v>
      </c>
      <c r="E45" s="16">
        <v>1.2126785324219846E-2</v>
      </c>
      <c r="F45" s="16">
        <v>1.4660936933569735E-2</v>
      </c>
      <c r="G45" s="16">
        <v>1.6842780421342352E-2</v>
      </c>
      <c r="H45" s="16">
        <v>1.8765758055843018E-2</v>
      </c>
      <c r="I45" s="16">
        <v>2.0481833872733723E-2</v>
      </c>
      <c r="J45" s="16">
        <v>2.2023364369404774E-2</v>
      </c>
      <c r="K45" s="16">
        <v>2.3412013442367763E-2</v>
      </c>
      <c r="L45" s="16">
        <v>2.4663030285236087E-2</v>
      </c>
      <c r="M45" s="16">
        <v>2.5787540165507328E-2</v>
      </c>
      <c r="N45" s="16">
        <v>2.6793872622997039E-2</v>
      </c>
      <c r="O45" s="16">
        <v>2.7688379487130432E-2</v>
      </c>
      <c r="P45" s="16">
        <v>2.8475963051762698E-2</v>
      </c>
      <c r="Q45" s="16">
        <v>2.916043017390535E-2</v>
      </c>
      <c r="R45" s="16">
        <v>2.9744736912465264E-2</v>
      </c>
      <c r="S45" s="16">
        <v>3.0231161595014044E-2</v>
      </c>
      <c r="T45" s="16">
        <v>3.0621429449018911E-2</v>
      </c>
      <c r="U45" s="16">
        <v>3.0916803405290127E-2</v>
      </c>
      <c r="V45" s="16">
        <v>3.111815054608591E-2</v>
      </c>
      <c r="W45" s="16">
        <v>3.1225990461499209E-2</v>
      </c>
      <c r="X45" s="16">
        <v>3.1240529699134045E-2</v>
      </c>
      <c r="Y45" s="16">
        <v>3.1161685092623737E-2</v>
      </c>
      <c r="Z45" s="16">
        <v>3.0989097767682106E-2</v>
      </c>
      <c r="AA45" s="16">
        <v>3.0722138884553551E-2</v>
      </c>
      <c r="AB45" s="16">
        <v>3.0359907572673372E-2</v>
      </c>
      <c r="AC45" s="16">
        <v>2.9901220965358855E-2</v>
      </c>
      <c r="AD45" s="16">
        <v>2.934459567805936E-2</v>
      </c>
      <c r="AE45" s="16">
        <v>2.8688219417350447E-2</v>
      </c>
      <c r="AF45" s="16">
        <v>2.792991056222438E-2</v>
      </c>
      <c r="AG45" s="16">
        <v>2.7067062381773255E-2</v>
      </c>
      <c r="AH45" s="16">
        <v>2.6096566815146272E-2</v>
      </c>
      <c r="AI45" s="16">
        <v>2.5014710050086153E-2</v>
      </c>
      <c r="AJ45" s="16">
        <v>2.381702779422834E-2</v>
      </c>
      <c r="AK45" s="16">
        <v>2.2498100817296085E-2</v>
      </c>
      <c r="AL45" s="16">
        <v>2.1051258426801223E-2</v>
      </c>
      <c r="AM45" s="16">
        <v>1.9468133481332917E-2</v>
      </c>
      <c r="AN45" s="16">
        <v>1.7737964759075964E-2</v>
      </c>
      <c r="AO45" s="16">
        <v>1.5846439752573271E-2</v>
      </c>
      <c r="AP45" s="16">
        <v>1.3773626451554666E-2</v>
      </c>
      <c r="AQ45" s="16">
        <v>1.1489875965739804E-2</v>
      </c>
      <c r="AR45" s="16">
        <v>8.9463659178262711E-3</v>
      </c>
      <c r="AS45" s="16">
        <v>6.046819109190249E-3</v>
      </c>
      <c r="AT45" s="16">
        <v>2.4778601544352963E-3</v>
      </c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</row>
    <row r="46" spans="1:62" ht="12" customHeight="1">
      <c r="A46" s="14" t="s">
        <v>591</v>
      </c>
      <c r="B46" s="31">
        <v>45</v>
      </c>
      <c r="C46" s="16">
        <v>4.3967267314283243E-3</v>
      </c>
      <c r="D46" s="16">
        <v>8.7205777246315286E-3</v>
      </c>
      <c r="E46" s="16">
        <v>1.1707432738817913E-2</v>
      </c>
      <c r="F46" s="16">
        <v>1.4157015044985788E-2</v>
      </c>
      <c r="G46" s="16">
        <v>1.6268101574432148E-2</v>
      </c>
      <c r="H46" s="16">
        <v>1.8130950552305847E-2</v>
      </c>
      <c r="I46" s="16">
        <v>1.9795780437509292E-2</v>
      </c>
      <c r="J46" s="16">
        <v>2.129388138295496E-2</v>
      </c>
      <c r="K46" s="16">
        <v>2.2646221368234021E-2</v>
      </c>
      <c r="L46" s="16">
        <v>2.386757632759029E-2</v>
      </c>
      <c r="M46" s="16">
        <v>2.4968742095066165E-2</v>
      </c>
      <c r="N46" s="16">
        <v>2.5957817141589623E-2</v>
      </c>
      <c r="O46" s="16">
        <v>2.6840992816679621E-2</v>
      </c>
      <c r="P46" s="16">
        <v>2.7623063807929005E-2</v>
      </c>
      <c r="Q46" s="16">
        <v>2.8307770588803072E-2</v>
      </c>
      <c r="R46" s="16">
        <v>2.8898036250387116E-2</v>
      </c>
      <c r="S46" s="16">
        <v>2.9396134313294908E-2</v>
      </c>
      <c r="T46" s="16">
        <v>2.9803809878797161E-2</v>
      </c>
      <c r="U46" s="16">
        <v>3.0122368249649534E-2</v>
      </c>
      <c r="V46" s="16">
        <v>3.0352740200149109E-2</v>
      </c>
      <c r="W46" s="16">
        <v>3.0495529986197201E-2</v>
      </c>
      <c r="X46" s="16">
        <v>3.0551050191793716E-2</v>
      </c>
      <c r="Y46" s="16">
        <v>3.0519346174309736E-2</v>
      </c>
      <c r="Z46" s="16">
        <v>3.0400211941664312E-2</v>
      </c>
      <c r="AA46" s="16">
        <v>3.019319861321712E-2</v>
      </c>
      <c r="AB46" s="16">
        <v>2.9897616080769907E-2</v>
      </c>
      <c r="AC46" s="16">
        <v>2.9512528024428053E-2</v>
      </c>
      <c r="AD46" s="16">
        <v>2.9036739992210348E-2</v>
      </c>
      <c r="AE46" s="16">
        <v>2.8468779766558927E-2</v>
      </c>
      <c r="AF46" s="16">
        <v>2.7806868650562588E-2</v>
      </c>
      <c r="AG46" s="16">
        <v>2.7048881523882629E-2</v>
      </c>
      <c r="AH46" s="16">
        <v>2.6192292409709883E-2</v>
      </c>
      <c r="AI46" s="16">
        <v>2.5234100642365864E-2</v>
      </c>
      <c r="AJ46" s="16">
        <v>2.417073015734672E-2</v>
      </c>
      <c r="AK46" s="16">
        <v>2.299789027020771E-2</v>
      </c>
      <c r="AL46" s="16">
        <v>2.1710379300963756E-2</v>
      </c>
      <c r="AM46" s="16">
        <v>2.0301800018451388E-2</v>
      </c>
      <c r="AN46" s="16">
        <v>1.8764132806336042E-2</v>
      </c>
      <c r="AO46" s="16">
        <v>1.7087066614570823E-2</v>
      </c>
      <c r="AP46" s="16">
        <v>1.5256889188085876E-2</v>
      </c>
      <c r="AQ46" s="16">
        <v>1.3254503458851818E-2</v>
      </c>
      <c r="AR46" s="16">
        <v>1.1051497200737503E-2</v>
      </c>
      <c r="AS46" s="16">
        <v>8.6010701703518322E-3</v>
      </c>
      <c r="AT46" s="16">
        <v>5.8108941562516891E-3</v>
      </c>
      <c r="AU46" s="16">
        <v>2.3802634349391338E-3</v>
      </c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</row>
    <row r="47" spans="1:62" ht="12" customHeight="1">
      <c r="A47" s="14" t="s">
        <v>592</v>
      </c>
      <c r="B47" s="31">
        <v>46</v>
      </c>
      <c r="C47" s="16">
        <v>4.2468258345033094E-3</v>
      </c>
      <c r="D47" s="16">
        <v>8.4241060812619839E-3</v>
      </c>
      <c r="E47" s="16">
        <v>1.131120853247658E-2</v>
      </c>
      <c r="F47" s="16">
        <v>1.368068016330326E-2</v>
      </c>
      <c r="G47" s="16">
        <v>1.5724596786030998E-2</v>
      </c>
      <c r="H47" s="16">
        <v>1.7530204601227339E-2</v>
      </c>
      <c r="I47" s="16">
        <v>1.9146068795547921E-2</v>
      </c>
      <c r="J47" s="16">
        <v>2.060246782947206E-2</v>
      </c>
      <c r="K47" s="16">
        <v>2.1919707819936352E-2</v>
      </c>
      <c r="L47" s="16">
        <v>2.3112113022567327E-2</v>
      </c>
      <c r="M47" s="16">
        <v>2.4190163248878571E-2</v>
      </c>
      <c r="N47" s="16">
        <v>2.5161733595489899E-2</v>
      </c>
      <c r="O47" s="16">
        <v>2.6032858380486301E-2</v>
      </c>
      <c r="P47" s="16">
        <v>2.680822479446987E-2</v>
      </c>
      <c r="Q47" s="16">
        <v>2.7491504259544164E-2</v>
      </c>
      <c r="R47" s="16">
        <v>2.8085581791125858E-2</v>
      </c>
      <c r="S47" s="16">
        <v>2.8592718734724465E-2</v>
      </c>
      <c r="T47" s="16">
        <v>2.9014670497692463E-2</v>
      </c>
      <c r="U47" s="16">
        <v>2.935277294965466E-2</v>
      </c>
      <c r="V47" s="16">
        <v>2.9608006386773078E-2</v>
      </c>
      <c r="W47" s="16">
        <v>2.978104297729578E-2</v>
      </c>
      <c r="X47" s="16">
        <v>2.9872281687760904E-2</v>
      </c>
      <c r="Y47" s="16">
        <v>2.9881873412191284E-2</v>
      </c>
      <c r="Z47" s="16">
        <v>2.9809738145179399E-2</v>
      </c>
      <c r="AA47" s="16">
        <v>2.9655575404063717E-2</v>
      </c>
      <c r="AB47" s="16">
        <v>2.9418868619714322E-2</v>
      </c>
      <c r="AC47" s="16">
        <v>2.9098883814255183E-2</v>
      </c>
      <c r="AD47" s="16">
        <v>2.8694662517967595E-2</v>
      </c>
      <c r="AE47" s="16">
        <v>2.8205008503110918E-2</v>
      </c>
      <c r="AF47" s="16">
        <v>2.7628467483927777E-2</v>
      </c>
      <c r="AG47" s="16">
        <v>2.6963298392533419E-2</v>
      </c>
      <c r="AH47" s="16">
        <v>2.6207434108712846E-2</v>
      </c>
      <c r="AI47" s="16">
        <v>2.5358428472054162E-2</v>
      </c>
      <c r="AJ47" s="16">
        <v>2.4413384830398344E-2</v>
      </c>
      <c r="AK47" s="16">
        <v>2.3368858922117708E-2</v>
      </c>
      <c r="AL47" s="16">
        <v>2.2220724907416445E-2</v>
      </c>
      <c r="AM47" s="16">
        <v>2.0963986639853993E-2</v>
      </c>
      <c r="AN47" s="16">
        <v>1.9592504386110376E-2</v>
      </c>
      <c r="AO47" s="16">
        <v>1.8098585053045846E-2</v>
      </c>
      <c r="AP47" s="16">
        <v>1.6472339970544092E-2</v>
      </c>
      <c r="AQ47" s="16">
        <v>1.4700619623028155E-2</v>
      </c>
      <c r="AR47" s="16">
        <v>1.2765109410219688E-2</v>
      </c>
      <c r="AS47" s="16">
        <v>1.0638556000505561E-2</v>
      </c>
      <c r="AT47" s="16">
        <v>8.2760545565863097E-3</v>
      </c>
      <c r="AU47" s="16">
        <v>5.5889801200061928E-3</v>
      </c>
      <c r="AV47" s="16">
        <v>2.2885179362335251E-3</v>
      </c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</row>
    <row r="48" spans="1:62" ht="12" customHeight="1">
      <c r="A48" s="14" t="s">
        <v>593</v>
      </c>
      <c r="B48" s="31">
        <v>47</v>
      </c>
      <c r="C48" s="16">
        <v>4.1050925373511404E-3</v>
      </c>
      <c r="D48" s="16">
        <v>8.1437331539387925E-3</v>
      </c>
      <c r="E48" s="16">
        <v>1.0936382707876446E-2</v>
      </c>
      <c r="F48" s="16">
        <v>1.3229886613256192E-2</v>
      </c>
      <c r="G48" s="16">
        <v>1.5209979459549383E-2</v>
      </c>
      <c r="H48" s="16">
        <v>1.6961054926670771E-2</v>
      </c>
      <c r="I48" s="16">
        <v>1.853011072514299E-2</v>
      </c>
      <c r="J48" s="16">
        <v>1.9946464611736658E-2</v>
      </c>
      <c r="K48" s="16">
        <v>2.1229792800744995E-2</v>
      </c>
      <c r="L48" s="16">
        <v>2.2393988321443015E-2</v>
      </c>
      <c r="M48" s="16">
        <v>2.3449227895635194E-2</v>
      </c>
      <c r="N48" s="16">
        <v>2.4403170937017937E-2</v>
      </c>
      <c r="O48" s="16">
        <v>2.5261698552003997E-2</v>
      </c>
      <c r="P48" s="16">
        <v>2.6029391232740062E-2</v>
      </c>
      <c r="Q48" s="16">
        <v>2.6709849660869422E-2</v>
      </c>
      <c r="R48" s="16">
        <v>2.7305916927604756E-2</v>
      </c>
      <c r="S48" s="16">
        <v>2.7819836381609675E-2</v>
      </c>
      <c r="T48" s="16">
        <v>2.8253366022184645E-2</v>
      </c>
      <c r="U48" s="16">
        <v>2.860786267501636E-2</v>
      </c>
      <c r="V48" s="16">
        <v>2.8884344571094678E-2</v>
      </c>
      <c r="W48" s="16">
        <v>2.9083538075024062E-2</v>
      </c>
      <c r="X48" s="16">
        <v>2.9205912460721462E-2</v>
      </c>
      <c r="Y48" s="16">
        <v>2.925170540622557E-2</v>
      </c>
      <c r="Z48" s="16">
        <v>2.9220941038577197E-2</v>
      </c>
      <c r="AA48" s="16">
        <v>2.9113441760799552E-2</v>
      </c>
      <c r="AB48" s="16">
        <v>2.8928834645075785E-2</v>
      </c>
      <c r="AC48" s="16">
        <v>2.8666552818699786E-2</v>
      </c>
      <c r="AD48" s="16">
        <v>2.832583195843219E-2</v>
      </c>
      <c r="AE48" s="16">
        <v>2.7905701708897612E-2</v>
      </c>
      <c r="AF48" s="16">
        <v>2.7404971517369647E-2</v>
      </c>
      <c r="AG48" s="16">
        <v>2.6822209991789414E-2</v>
      </c>
      <c r="AH48" s="16">
        <v>2.6155716389515193E-2</v>
      </c>
      <c r="AI48" s="16">
        <v>2.5403482155382018E-2</v>
      </c>
      <c r="AJ48" s="16">
        <v>2.4563139429823244E-2</v>
      </c>
      <c r="AK48" s="16">
        <v>2.3631891943163175E-2</v>
      </c>
      <c r="AL48" s="16">
        <v>2.2606421358359108E-2</v>
      </c>
      <c r="AM48" s="16">
        <v>2.1482758303186578E-2</v>
      </c>
      <c r="AN48" s="16">
        <v>2.0256100876145156E-2</v>
      </c>
      <c r="AO48" s="16">
        <v>1.892055199506637E-2</v>
      </c>
      <c r="AP48" s="16">
        <v>1.7468725675533703E-2</v>
      </c>
      <c r="AQ48" s="16">
        <v>1.589113003190834E-2</v>
      </c>
      <c r="AR48" s="16">
        <v>1.4175143817593328E-2</v>
      </c>
      <c r="AS48" s="16">
        <v>1.2303186741954075E-2</v>
      </c>
      <c r="AT48" s="16">
        <v>1.0249093034783385E-2</v>
      </c>
      <c r="AU48" s="16">
        <v>7.969737028572621E-3</v>
      </c>
      <c r="AV48" s="16">
        <v>5.3799715360514089E-3</v>
      </c>
      <c r="AW48" s="16">
        <v>2.2021575878629074E-3</v>
      </c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</row>
    <row r="49" spans="1:62" ht="12" customHeight="1">
      <c r="A49" s="14" t="s">
        <v>594</v>
      </c>
      <c r="B49" s="31">
        <v>48</v>
      </c>
      <c r="C49" s="16">
        <v>3.9709221997509259E-3</v>
      </c>
      <c r="D49" s="16">
        <v>7.8782717906977773E-3</v>
      </c>
      <c r="E49" s="16">
        <v>1.0581387173829171E-2</v>
      </c>
      <c r="F49" s="16">
        <v>1.2802778287316463E-2</v>
      </c>
      <c r="G49" s="16">
        <v>1.4722172216962481E-2</v>
      </c>
      <c r="H49" s="16">
        <v>1.6421258240537417E-2</v>
      </c>
      <c r="I49" s="16">
        <v>1.7945546441306304E-2</v>
      </c>
      <c r="J49" s="16">
        <v>1.9323441488028892E-2</v>
      </c>
      <c r="K49" s="16">
        <v>2.0574019696729229E-2</v>
      </c>
      <c r="L49" s="16">
        <v>2.1710762236678671E-2</v>
      </c>
      <c r="M49" s="16">
        <v>2.2743555169594809E-2</v>
      </c>
      <c r="N49" s="16">
        <v>2.3679849836679256E-2</v>
      </c>
      <c r="O49" s="16">
        <v>2.4525378200955572E-2</v>
      </c>
      <c r="P49" s="16">
        <v>2.5284615379299935E-2</v>
      </c>
      <c r="Q49" s="16">
        <v>2.5961090396101838E-2</v>
      </c>
      <c r="R49" s="16">
        <v>2.6557601578488854E-2</v>
      </c>
      <c r="S49" s="16">
        <v>2.7076369703338155E-2</v>
      </c>
      <c r="T49" s="16">
        <v>2.7519149145675548E-2</v>
      </c>
      <c r="U49" s="16">
        <v>2.7887309849146225E-2</v>
      </c>
      <c r="V49" s="16">
        <v>2.8181898475005962E-2</v>
      </c>
      <c r="W49" s="16">
        <v>2.8403684308414445E-2</v>
      </c>
      <c r="X49" s="16">
        <v>2.8553193717076653E-2</v>
      </c>
      <c r="Y49" s="16">
        <v>2.8630735776887128E-2</v>
      </c>
      <c r="Z49" s="16">
        <v>2.8636420873912716E-2</v>
      </c>
      <c r="AA49" s="16">
        <v>2.8570173523593034E-2</v>
      </c>
      <c r="AB49" s="16">
        <v>2.8431740229737823E-2</v>
      </c>
      <c r="AC49" s="16">
        <v>2.8220692880831733E-2</v>
      </c>
      <c r="AD49" s="16">
        <v>2.7936427909445949E-2</v>
      </c>
      <c r="AE49" s="16">
        <v>2.7578161191665895E-2</v>
      </c>
      <c r="AF49" s="16">
        <v>2.7144918410257013E-2</v>
      </c>
      <c r="AG49" s="16">
        <v>2.6635520319744699E-2</v>
      </c>
      <c r="AH49" s="16">
        <v>2.6048561999256759E-2</v>
      </c>
      <c r="AI49" s="16">
        <v>2.5382384712359762E-2</v>
      </c>
      <c r="AJ49" s="16">
        <v>2.4635038340826587E-2</v>
      </c>
      <c r="AK49" s="16">
        <v>2.3804231407473342E-2</v>
      </c>
      <c r="AL49" s="16">
        <v>2.2887264262338891E-2</v>
      </c>
      <c r="AM49" s="16">
        <v>2.1880938747721346E-2</v>
      </c>
      <c r="AN49" s="16">
        <v>2.0781433986694298E-2</v>
      </c>
      <c r="AO49" s="16">
        <v>1.9584131733568211E-2</v>
      </c>
      <c r="AP49" s="16">
        <v>1.8283363748882953E-2</v>
      </c>
      <c r="AQ49" s="16">
        <v>1.6872033194826219E-2</v>
      </c>
      <c r="AR49" s="16">
        <v>1.534102136676796E-2</v>
      </c>
      <c r="AS49" s="16">
        <v>1.3678203562077607E-2</v>
      </c>
      <c r="AT49" s="16">
        <v>1.1866689525893759E-2</v>
      </c>
      <c r="AU49" s="16">
        <v>9.8813355001338143E-3</v>
      </c>
      <c r="AV49" s="16">
        <v>7.6806881737762067E-3</v>
      </c>
      <c r="AW49" s="16">
        <v>5.1828708425957215E-3</v>
      </c>
      <c r="AX49" s="16">
        <v>2.1207622471159926E-3</v>
      </c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</row>
    <row r="50" spans="1:62" ht="12" customHeight="1">
      <c r="A50" s="14" t="s">
        <v>595</v>
      </c>
      <c r="B50" s="31">
        <v>49</v>
      </c>
      <c r="C50" s="16">
        <v>3.8437662764082559E-3</v>
      </c>
      <c r="D50" s="16">
        <v>7.6266445044529396E-3</v>
      </c>
      <c r="E50" s="16">
        <v>1.0244797680947326E-2</v>
      </c>
      <c r="F50" s="16">
        <v>1.2397667727920725E-2</v>
      </c>
      <c r="G50" s="16">
        <v>1.4259284147551288E-2</v>
      </c>
      <c r="H50" s="16">
        <v>1.5908769557636315E-2</v>
      </c>
      <c r="I50" s="16">
        <v>1.7390220821137392E-2</v>
      </c>
      <c r="J50" s="16">
        <v>1.8731174026959563E-2</v>
      </c>
      <c r="K50" s="16">
        <v>1.9950133773197765E-2</v>
      </c>
      <c r="L50" s="16">
        <v>2.1060187696882671E-2</v>
      </c>
      <c r="M50" s="16">
        <v>2.2070943114550601E-2</v>
      </c>
      <c r="N50" s="16">
        <v>2.2989650767627712E-2</v>
      </c>
      <c r="O50" s="16">
        <v>2.3821897697730798E-2</v>
      </c>
      <c r="P50" s="16">
        <v>2.4572055364653234E-2</v>
      </c>
      <c r="Q50" s="16">
        <v>2.524358082719047E-2</v>
      </c>
      <c r="R50" s="16">
        <v>2.5839225617653394E-2</v>
      </c>
      <c r="S50" s="16">
        <v>2.6361184374575908E-2</v>
      </c>
      <c r="T50" s="16">
        <v>2.6811202847995541E-2</v>
      </c>
      <c r="U50" s="16">
        <v>2.7190657700583043E-2</v>
      </c>
      <c r="V50" s="16">
        <v>2.7500616207546735E-2</v>
      </c>
      <c r="W50" s="16">
        <v>2.7741881271399982E-2</v>
      </c>
      <c r="X50" s="16">
        <v>2.7915025443976282E-2</v>
      </c>
      <c r="Y50" s="16">
        <v>2.8020416509620172E-2</v>
      </c>
      <c r="Z50" s="16">
        <v>2.8058236409629123E-2</v>
      </c>
      <c r="AA50" s="16">
        <v>2.8028494745519827E-2</v>
      </c>
      <c r="AB50" s="16">
        <v>2.7931037704332473E-2</v>
      </c>
      <c r="AC50" s="16">
        <v>2.7765552948964101E-2</v>
      </c>
      <c r="AD50" s="16">
        <v>2.7531570773522196E-2</v>
      </c>
      <c r="AE50" s="16">
        <v>2.7228461610719012E-2</v>
      </c>
      <c r="AF50" s="16">
        <v>2.6855429772984829E-2</v>
      </c>
      <c r="AG50" s="16">
        <v>2.6411503089809996E-2</v>
      </c>
      <c r="AH50" s="16">
        <v>2.5895517846788785E-2</v>
      </c>
      <c r="AI50" s="16">
        <v>2.5306098105837505E-2</v>
      </c>
      <c r="AJ50" s="16">
        <v>2.4641628046792485E-2</v>
      </c>
      <c r="AK50" s="16">
        <v>2.3900215350220466E-2</v>
      </c>
      <c r="AL50" s="16">
        <v>2.3079642731009042E-2</v>
      </c>
      <c r="AM50" s="16">
        <v>2.2177303350103039E-2</v>
      </c>
      <c r="AN50" s="16">
        <v>2.1190113661519017E-2</v>
      </c>
      <c r="AO50" s="16">
        <v>2.0114393721690216E-2</v>
      </c>
      <c r="AP50" s="16">
        <v>1.8945699017415385E-2</v>
      </c>
      <c r="AQ50" s="16">
        <v>1.7678577306161625E-2</v>
      </c>
      <c r="AR50" s="16">
        <v>1.6306204263179858E-2</v>
      </c>
      <c r="AS50" s="16">
        <v>1.4819812569879964E-2</v>
      </c>
      <c r="AT50" s="16">
        <v>1.3207744824307199E-2</v>
      </c>
      <c r="AU50" s="16">
        <v>1.1453760035877614E-2</v>
      </c>
      <c r="AV50" s="16">
        <v>9.5336761180560003E-3</v>
      </c>
      <c r="AW50" s="16">
        <v>7.4076137856085023E-3</v>
      </c>
      <c r="AX50" s="16">
        <v>4.996775911196405E-3</v>
      </c>
      <c r="AY50" s="16">
        <v>2.0439523406772242E-3</v>
      </c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</row>
    <row r="51" spans="1:62" ht="12" customHeight="1">
      <c r="A51" s="14" t="s">
        <v>596</v>
      </c>
      <c r="B51" s="31">
        <v>50</v>
      </c>
      <c r="C51" s="16">
        <v>3.7231261033268126E-3</v>
      </c>
      <c r="D51" s="16">
        <v>7.3878713818763542E-3</v>
      </c>
      <c r="E51" s="16">
        <v>9.9253180841202271E-3</v>
      </c>
      <c r="F51" s="16">
        <v>1.2013017871162934E-2</v>
      </c>
      <c r="G51" s="16">
        <v>1.3819590903482282E-2</v>
      </c>
      <c r="H51" s="16">
        <v>1.5421721408215516E-2</v>
      </c>
      <c r="I51" s="16">
        <v>1.6862162448644691E-2</v>
      </c>
      <c r="J51" s="16">
        <v>1.816762317706444E-2</v>
      </c>
      <c r="K51" s="16">
        <v>1.9356062954035691E-2</v>
      </c>
      <c r="L51" s="16">
        <v>2.0440193223370873E-2</v>
      </c>
      <c r="M51" s="16">
        <v>2.1429353955048414E-2</v>
      </c>
      <c r="N51" s="16">
        <v>2.2330602585081238E-2</v>
      </c>
      <c r="O51" s="16">
        <v>2.3149385536274325E-2</v>
      </c>
      <c r="P51" s="16">
        <v>2.3889972622253342E-2</v>
      </c>
      <c r="Q51" s="16">
        <v>2.4555749105812485E-2</v>
      </c>
      <c r="R51" s="16">
        <v>2.5149418343364482E-2</v>
      </c>
      <c r="S51" s="16">
        <v>2.5673146086229837E-2</v>
      </c>
      <c r="T51" s="16">
        <v>2.6128665448714949E-2</v>
      </c>
      <c r="U51" s="16">
        <v>2.6517354587192399E-2</v>
      </c>
      <c r="V51" s="16">
        <v>2.6840294950165489E-2</v>
      </c>
      <c r="W51" s="16">
        <v>2.7098315358052516E-2</v>
      </c>
      <c r="X51" s="16">
        <v>2.729202550388532E-2</v>
      </c>
      <c r="Y51" s="16">
        <v>2.7421841366376709E-2</v>
      </c>
      <c r="Z51" s="16">
        <v>2.7488004281315592E-2</v>
      </c>
      <c r="AA51" s="16">
        <v>2.7490594897347509E-2</v>
      </c>
      <c r="AB51" s="16">
        <v>2.7429542867702161E-2</v>
      </c>
      <c r="AC51" s="16">
        <v>2.7304632848832777E-2</v>
      </c>
      <c r="AD51" s="16">
        <v>2.7115507155467178E-2</v>
      </c>
      <c r="AE51" s="16">
        <v>2.6861665234560239E-2</v>
      </c>
      <c r="AF51" s="16">
        <v>2.6542459948638686E-2</v>
      </c>
      <c r="AG51" s="16">
        <v>2.6157090484993151E-2</v>
      </c>
      <c r="AH51" s="16">
        <v>2.5704591513263986E-2</v>
      </c>
      <c r="AI51" s="16">
        <v>2.5183817979070211E-2</v>
      </c>
      <c r="AJ51" s="16">
        <v>2.4593424616772053E-2</v>
      </c>
      <c r="AK51" s="16">
        <v>2.3931838848501141E-2</v>
      </c>
      <c r="AL51" s="16">
        <v>2.3197225144576783E-2</v>
      </c>
      <c r="AM51" s="16">
        <v>2.2387438047966945E-2</v>
      </c>
      <c r="AN51" s="16">
        <v>2.1499959737605212E-2</v>
      </c>
      <c r="AO51" s="16">
        <v>2.0531815917813168E-2</v>
      </c>
      <c r="AP51" s="16">
        <v>1.9479460423245776E-2</v>
      </c>
      <c r="AQ51" s="16">
        <v>1.8338613179418761E-2</v>
      </c>
      <c r="AR51" s="16">
        <v>1.7104025985832605E-2</v>
      </c>
      <c r="AS51" s="16">
        <v>1.5769131612792031E-2</v>
      </c>
      <c r="AT51" s="16">
        <v>1.4325493976550585E-2</v>
      </c>
      <c r="AU51" s="16">
        <v>1.2761895979550575E-2</v>
      </c>
      <c r="AV51" s="16">
        <v>1.1062708288209544E-2</v>
      </c>
      <c r="AW51" s="16">
        <v>9.2046548476318879E-3</v>
      </c>
      <c r="AX51" s="16">
        <v>7.1493397204457354E-3</v>
      </c>
      <c r="AY51" s="16">
        <v>4.8208692334251735E-3</v>
      </c>
      <c r="AZ51" s="16">
        <v>1.9713842247192082E-3</v>
      </c>
      <c r="BA51" s="16"/>
      <c r="BB51" s="16"/>
      <c r="BC51" s="16"/>
      <c r="BD51" s="16"/>
      <c r="BE51" s="16"/>
      <c r="BF51" s="16"/>
      <c r="BG51" s="16"/>
      <c r="BH51" s="16"/>
      <c r="BI51" s="16"/>
      <c r="BJ51" s="16"/>
    </row>
    <row r="52" spans="1:62" ht="12" customHeight="1">
      <c r="A52" s="14" t="s">
        <v>597</v>
      </c>
      <c r="B52" s="31">
        <v>51</v>
      </c>
      <c r="C52" s="16">
        <v>3.608547479904356E-3</v>
      </c>
      <c r="D52" s="16">
        <v>7.1610595329819615E-3</v>
      </c>
      <c r="E52" s="16">
        <v>9.6217665936302321E-3</v>
      </c>
      <c r="F52" s="16">
        <v>1.1647426070350408E-2</v>
      </c>
      <c r="G52" s="16">
        <v>1.3401517241718119E-2</v>
      </c>
      <c r="H52" s="16">
        <v>1.4958405551152354E-2</v>
      </c>
      <c r="I52" s="16">
        <v>1.635956510782155E-2</v>
      </c>
      <c r="J52" s="16">
        <v>1.7630917127409051E-2</v>
      </c>
      <c r="K52" s="16">
        <v>1.878990062978958E-2</v>
      </c>
      <c r="L52" s="16">
        <v>1.9848867266609282E-2</v>
      </c>
      <c r="M52" s="16">
        <v>2.0816900549269102E-2</v>
      </c>
      <c r="N52" s="16">
        <v>2.1700871696071378E-2</v>
      </c>
      <c r="O52" s="16">
        <v>2.2506090838104842E-2</v>
      </c>
      <c r="P52" s="16">
        <v>2.3236728365688464E-2</v>
      </c>
      <c r="Q52" s="16">
        <v>2.3896098288871404E-2</v>
      </c>
      <c r="R52" s="16">
        <v>2.4486854928710944E-2</v>
      </c>
      <c r="S52" s="16">
        <v>2.5011133064874569E-2</v>
      </c>
      <c r="T52" s="16">
        <v>2.5470649974077553E-2</v>
      </c>
      <c r="U52" s="16">
        <v>2.5866781041979148E-2</v>
      </c>
      <c r="V52" s="16">
        <v>2.6200616575916547E-2</v>
      </c>
      <c r="W52" s="16">
        <v>2.6473004925503418E-2</v>
      </c>
      <c r="X52" s="16">
        <v>2.6684585403359273E-2</v>
      </c>
      <c r="Y52" s="16">
        <v>2.6835813434461064E-2</v>
      </c>
      <c r="Z52" s="16">
        <v>2.6926979643045357E-2</v>
      </c>
      <c r="AA52" s="16">
        <v>2.6958224086083948E-2</v>
      </c>
      <c r="AB52" s="16">
        <v>2.6929546484790734E-2</v>
      </c>
      <c r="AC52" s="16">
        <v>2.6840813040916345E-2</v>
      </c>
      <c r="AD52" s="16">
        <v>2.6691760219771155E-2</v>
      </c>
      <c r="AE52" s="16">
        <v>2.6481995714089601E-2</v>
      </c>
      <c r="AF52" s="16">
        <v>2.6210996654696617E-2</v>
      </c>
      <c r="AG52" s="16">
        <v>2.5878104991186923E-2</v>
      </c>
      <c r="AH52" s="16">
        <v>2.5482519814709059E-2</v>
      </c>
      <c r="AI52" s="16">
        <v>2.5023286220322682E-2</v>
      </c>
      <c r="AJ52" s="16">
        <v>2.4499280089080311E-2</v>
      </c>
      <c r="AK52" s="16">
        <v>2.3909187883319083E-2</v>
      </c>
      <c r="AL52" s="16">
        <v>2.3251480152971515E-2</v>
      </c>
      <c r="AM52" s="16">
        <v>2.2524376884170638E-2</v>
      </c>
      <c r="AN52" s="16">
        <v>2.1725801983719983E-2</v>
      </c>
      <c r="AO52" s="16">
        <v>2.0853322915707517E-2</v>
      </c>
      <c r="AP52" s="16">
        <v>1.9904069496513799E-2</v>
      </c>
      <c r="AQ52" s="16">
        <v>1.8874622580981826E-2</v>
      </c>
      <c r="AR52" s="16">
        <v>1.7760857831911836E-2</v>
      </c>
      <c r="AS52" s="16">
        <v>1.6557719959369055E-2</v>
      </c>
      <c r="AT52" s="16">
        <v>1.5258884523201344E-2</v>
      </c>
      <c r="AU52" s="16">
        <v>1.3856228019143546E-2</v>
      </c>
      <c r="AV52" s="16">
        <v>1.2338948695598817E-2</v>
      </c>
      <c r="AW52" s="16">
        <v>1.0691994132842941E-2</v>
      </c>
      <c r="AX52" s="16">
        <v>8.8929429185299336E-3</v>
      </c>
      <c r="AY52" s="16">
        <v>6.9047987038720615E-3</v>
      </c>
      <c r="AZ52" s="16">
        <v>4.6544085161143167E-3</v>
      </c>
      <c r="BA52" s="16">
        <v>1.902746155084456E-3</v>
      </c>
      <c r="BB52" s="16"/>
      <c r="BC52" s="16"/>
      <c r="BD52" s="16"/>
      <c r="BE52" s="16"/>
      <c r="BF52" s="16"/>
      <c r="BG52" s="16"/>
      <c r="BH52" s="16"/>
      <c r="BI52" s="16"/>
      <c r="BJ52" s="16"/>
    </row>
    <row r="53" spans="1:62" ht="12" customHeight="1">
      <c r="A53" s="14" t="s">
        <v>598</v>
      </c>
      <c r="B53" s="31">
        <v>52</v>
      </c>
      <c r="C53" s="16">
        <v>3.4996159316190711E-3</v>
      </c>
      <c r="D53" s="16">
        <v>6.9453938596663045E-3</v>
      </c>
      <c r="E53" s="16">
        <v>9.3330637312555309E-3</v>
      </c>
      <c r="F53" s="16">
        <v>1.1299610078420397E-2</v>
      </c>
      <c r="G53" s="16">
        <v>1.3003621674014143E-2</v>
      </c>
      <c r="H53" s="16">
        <v>1.4517256850722582E-2</v>
      </c>
      <c r="I53" s="16">
        <v>1.5880771405854088E-2</v>
      </c>
      <c r="J53" s="16">
        <v>1.7119335177753436E-2</v>
      </c>
      <c r="K53" s="16">
        <v>1.8249890267669211E-2</v>
      </c>
      <c r="L53" s="16">
        <v>1.9284444048711546E-2</v>
      </c>
      <c r="M53" s="16">
        <v>2.0231833961831591E-2</v>
      </c>
      <c r="N53" s="16">
        <v>2.1098751869809473E-2</v>
      </c>
      <c r="O53" s="16">
        <v>2.1890375920784022E-2</v>
      </c>
      <c r="P53" s="16">
        <v>2.2610779452753471E-2</v>
      </c>
      <c r="Q53" s="16">
        <v>2.3263206056441499E-2</v>
      </c>
      <c r="R53" s="16">
        <v>2.3850260576574134E-2</v>
      </c>
      <c r="S53" s="16">
        <v>2.4374045277454126E-2</v>
      </c>
      <c r="T53" s="16">
        <v>2.4836259059118015E-2</v>
      </c>
      <c r="U53" s="16">
        <v>2.5238271061704953E-2</v>
      </c>
      <c r="V53" s="16">
        <v>2.5581176062834943E-2</v>
      </c>
      <c r="W53" s="16">
        <v>2.5865836629064387E-2</v>
      </c>
      <c r="X53" s="16">
        <v>2.6092915417476159E-2</v>
      </c>
      <c r="Y53" s="16">
        <v>2.6262899993353517E-2</v>
      </c>
      <c r="Z53" s="16">
        <v>2.6376121834207678E-2</v>
      </c>
      <c r="AA53" s="16">
        <v>2.6432770708528674E-2</v>
      </c>
      <c r="AB53" s="16">
        <v>2.6432905274791474E-2</v>
      </c>
      <c r="AC53" s="16">
        <v>2.6376460494754728E-2</v>
      </c>
      <c r="AD53" s="16">
        <v>2.6263252263496017E-2</v>
      </c>
      <c r="AE53" s="16">
        <v>2.6092979505343061E-2</v>
      </c>
      <c r="AF53" s="16">
        <v>2.5865223854143804E-2</v>
      </c>
      <c r="AG53" s="16">
        <v>2.5579446915751425E-2</v>
      </c>
      <c r="AH53" s="16">
        <v>2.5234984989046749E-2</v>
      </c>
      <c r="AI53" s="16">
        <v>2.4831040987950304E-2</v>
      </c>
      <c r="AJ53" s="16">
        <v>2.4366673147241835E-2</v>
      </c>
      <c r="AK53" s="16">
        <v>2.384077989205402E-2</v>
      </c>
      <c r="AL53" s="16">
        <v>2.325207997944212E-2</v>
      </c>
      <c r="AM53" s="16">
        <v>2.2599086642721367E-2</v>
      </c>
      <c r="AN53" s="16">
        <v>2.188007392586544E-2</v>
      </c>
      <c r="AO53" s="16">
        <v>2.1093032589720617E-2</v>
      </c>
      <c r="AP53" s="16">
        <v>2.0235611741746928E-2</v>
      </c>
      <c r="AQ53" s="16">
        <v>1.9305040403803542E-2</v>
      </c>
      <c r="AR53" s="16">
        <v>1.8298020076253252E-2</v>
      </c>
      <c r="AS53" s="16">
        <v>1.7210574013037383E-2</v>
      </c>
      <c r="AT53" s="16">
        <v>1.6037829463777853E-2</v>
      </c>
      <c r="AU53" s="16">
        <v>1.4773691491099417E-2</v>
      </c>
      <c r="AV53" s="16">
        <v>1.341033187773788E-2</v>
      </c>
      <c r="AW53" s="16">
        <v>1.1937341110763722E-2</v>
      </c>
      <c r="AX53" s="16">
        <v>1.0340211538446109E-2</v>
      </c>
      <c r="AY53" s="16">
        <v>8.5973288534586523E-3</v>
      </c>
      <c r="AZ53" s="16">
        <v>6.6730188039124672E-3</v>
      </c>
      <c r="BA53" s="16">
        <v>4.4967184787246817E-3</v>
      </c>
      <c r="BB53" s="16">
        <v>1.8377547772921998E-3</v>
      </c>
      <c r="BC53" s="16"/>
      <c r="BD53" s="16"/>
      <c r="BE53" s="16"/>
      <c r="BF53" s="16"/>
      <c r="BG53" s="16"/>
      <c r="BH53" s="16"/>
      <c r="BI53" s="16"/>
      <c r="BJ53" s="16"/>
    </row>
    <row r="54" spans="1:62" ht="12" customHeight="1">
      <c r="A54" s="14" t="s">
        <v>599</v>
      </c>
      <c r="B54" s="31">
        <v>53</v>
      </c>
      <c r="C54" s="16">
        <v>3.3959525566771287E-3</v>
      </c>
      <c r="D54" s="16">
        <v>6.7401289568891354E-3</v>
      </c>
      <c r="E54" s="16">
        <v>9.058221752600959E-3</v>
      </c>
      <c r="F54" s="16">
        <v>1.0968395718313984E-2</v>
      </c>
      <c r="G54" s="16">
        <v>1.2624582938449258E-2</v>
      </c>
      <c r="H54" s="16">
        <v>1.4096839029845931E-2</v>
      </c>
      <c r="I54" s="16">
        <v>1.5424258253354139E-2</v>
      </c>
      <c r="J54" s="16">
        <v>1.6631293373574052E-2</v>
      </c>
      <c r="K54" s="16">
        <v>1.7734411621736834E-2</v>
      </c>
      <c r="L54" s="16">
        <v>1.8745290768166334E-2</v>
      </c>
      <c r="M54" s="16">
        <v>1.9672532086002614E-2</v>
      </c>
      <c r="N54" s="16">
        <v>2.052265470756498E-2</v>
      </c>
      <c r="O54" s="16">
        <v>2.1300709056043754E-2</v>
      </c>
      <c r="P54" s="16">
        <v>2.201067388584943E-2</v>
      </c>
      <c r="Q54" s="16">
        <v>2.2655723424944596E-2</v>
      </c>
      <c r="R54" s="16">
        <v>2.3238412935885688E-2</v>
      </c>
      <c r="S54" s="16">
        <v>2.3760811064377996E-2</v>
      </c>
      <c r="T54" s="16">
        <v>2.4224596339022852E-2</v>
      </c>
      <c r="U54" s="16">
        <v>2.4631128830582605E-2</v>
      </c>
      <c r="V54" s="16">
        <v>2.49815041626259E-2</v>
      </c>
      <c r="W54" s="16">
        <v>2.5276594694376153E-2</v>
      </c>
      <c r="X54" s="16">
        <v>2.5517081178630718E-2</v>
      </c>
      <c r="Y54" s="16">
        <v>2.570347719915389E-2</v>
      </c>
      <c r="Z54" s="16">
        <v>2.5836148018431371E-2</v>
      </c>
      <c r="AA54" s="16">
        <v>2.5915325001218847E-2</v>
      </c>
      <c r="AB54" s="16">
        <v>2.5941116449488932E-2</v>
      </c>
      <c r="AC54" s="16">
        <v>2.5913515444141888E-2</v>
      </c>
      <c r="AD54" s="16">
        <v>2.5832405108007661E-2</v>
      </c>
      <c r="AE54" s="16">
        <v>2.569756156270353E-2</v>
      </c>
      <c r="AF54" s="16">
        <v>2.5508654734228586E-2</v>
      </c>
      <c r="AG54" s="16">
        <v>2.5265247057687401E-2</v>
      </c>
      <c r="AH54" s="16">
        <v>2.4966790030821473E-2</v>
      </c>
      <c r="AI54" s="16">
        <v>2.4612618460237767E-2</v>
      </c>
      <c r="AJ54" s="16">
        <v>2.420194212354243E-2</v>
      </c>
      <c r="AK54" s="16">
        <v>2.3733834422946298E-2</v>
      </c>
      <c r="AL54" s="16">
        <v>2.3207217414894732E-2</v>
      </c>
      <c r="AM54" s="16">
        <v>2.2620842342030767E-2</v>
      </c>
      <c r="AN54" s="16">
        <v>2.1973264432168182E-2</v>
      </c>
      <c r="AO54" s="16">
        <v>2.12628102067971E-2</v>
      </c>
      <c r="AP54" s="16">
        <v>2.0487534766002069E-2</v>
      </c>
      <c r="AQ54" s="16">
        <v>1.9645165330948178E-2</v>
      </c>
      <c r="AR54" s="16">
        <v>1.8733025456498908E-2</v>
      </c>
      <c r="AS54" s="16">
        <v>1.7747931280937879E-2</v>
      </c>
      <c r="AT54" s="16">
        <v>1.6686046022365675E-2</v>
      </c>
      <c r="AU54" s="16">
        <v>1.5542669800948872E-2</v>
      </c>
      <c r="AV54" s="16">
        <v>1.4311924828834699E-2</v>
      </c>
      <c r="AW54" s="16">
        <v>1.2986262126589709E-2</v>
      </c>
      <c r="AX54" s="16">
        <v>1.1555642996884163E-2</v>
      </c>
      <c r="AY54" s="16">
        <v>1.0006074769610573E-2</v>
      </c>
      <c r="AZ54" s="16">
        <v>8.3167062013428383E-3</v>
      </c>
      <c r="BA54" s="16">
        <v>6.4531133342529134E-3</v>
      </c>
      <c r="BB54" s="16">
        <v>4.3471836798776309E-3</v>
      </c>
      <c r="BC54" s="16">
        <v>1.7761520608899906E-3</v>
      </c>
      <c r="BD54" s="16"/>
      <c r="BE54" s="16"/>
      <c r="BF54" s="16"/>
      <c r="BG54" s="16"/>
      <c r="BH54" s="16"/>
      <c r="BI54" s="16"/>
      <c r="BJ54" s="16"/>
    </row>
    <row r="55" spans="1:62" ht="12" customHeight="1">
      <c r="A55" s="14" t="s">
        <v>600</v>
      </c>
      <c r="B55" s="31">
        <v>54</v>
      </c>
      <c r="C55" s="16">
        <v>3.2972103752314519E-3</v>
      </c>
      <c r="D55" s="16">
        <v>6.5445819894199841E-3</v>
      </c>
      <c r="E55" s="16">
        <v>8.7963353340058115E-3</v>
      </c>
      <c r="F55" s="16">
        <v>1.0652706011930579E-2</v>
      </c>
      <c r="G55" s="16">
        <v>1.2263188049037033E-2</v>
      </c>
      <c r="H55" s="16">
        <v>1.3695832054670842E-2</v>
      </c>
      <c r="I55" s="16">
        <v>1.4988623966708414E-2</v>
      </c>
      <c r="J55" s="16">
        <v>1.6165331693076102E-2</v>
      </c>
      <c r="K55" s="16">
        <v>1.7241968364349214E-2</v>
      </c>
      <c r="L55" s="16">
        <v>1.8229896033929105E-2</v>
      </c>
      <c r="M55" s="16">
        <v>1.9137489241075833E-2</v>
      </c>
      <c r="N55" s="16">
        <v>1.9971100769455741E-2</v>
      </c>
      <c r="O55" s="16">
        <v>2.0735657500303151E-2</v>
      </c>
      <c r="P55" s="16">
        <v>2.1435046131186075E-2</v>
      </c>
      <c r="Q55" s="16">
        <v>2.2072372753172198E-2</v>
      </c>
      <c r="R55" s="16">
        <v>2.2650143208393869E-2</v>
      </c>
      <c r="S55" s="16">
        <v>2.3170391779673505E-2</v>
      </c>
      <c r="T55" s="16">
        <v>2.3634775077338688E-2</v>
      </c>
      <c r="U55" s="16">
        <v>2.4044641817099865E-2</v>
      </c>
      <c r="V55" s="16">
        <v>2.4401085477129159E-2</v>
      </c>
      <c r="W55" s="16">
        <v>2.4704984520537154E-2</v>
      </c>
      <c r="X55" s="16">
        <v>2.495703339609312E-2</v>
      </c>
      <c r="Y55" s="16">
        <v>2.5157766561406669E-2</v>
      </c>
      <c r="Z55" s="16">
        <v>2.5307577120011859E-2</v>
      </c>
      <c r="AA55" s="16">
        <v>2.5406731213464706E-2</v>
      </c>
      <c r="AB55" s="16">
        <v>2.5455378991429023E-2</v>
      </c>
      <c r="AC55" s="16">
        <v>2.5453562752285275E-2</v>
      </c>
      <c r="AD55" s="16">
        <v>2.5401222674892754E-2</v>
      </c>
      <c r="AE55" s="16">
        <v>2.529820042922426E-2</v>
      </c>
      <c r="AF55" s="16">
        <v>2.5144240845886068E-2</v>
      </c>
      <c r="AG55" s="16">
        <v>2.493899173193026E-2</v>
      </c>
      <c r="AH55" s="16">
        <v>2.4682001834654632E-2</v>
      </c>
      <c r="AI55" s="16">
        <v>2.4372716869012767E-2</v>
      </c>
      <c r="AJ55" s="16">
        <v>2.4010473430360224E-2</v>
      </c>
      <c r="AK55" s="16">
        <v>2.3594490503939469E-2</v>
      </c>
      <c r="AL55" s="16">
        <v>2.312385814463247E-2</v>
      </c>
      <c r="AM55" s="16">
        <v>2.2597522719655538E-2</v>
      </c>
      <c r="AN55" s="16">
        <v>2.2014267860287373E-2</v>
      </c>
      <c r="AO55" s="16">
        <v>2.1372689921655752E-2</v>
      </c>
      <c r="AP55" s="16">
        <v>2.0671166247093753E-2</v>
      </c>
      <c r="AQ55" s="16">
        <v>1.9907813785858264E-2</v>
      </c>
      <c r="AR55" s="16">
        <v>1.9080434468962126E-2</v>
      </c>
      <c r="AS55" s="16">
        <v>1.8186441944003984E-2</v>
      </c>
      <c r="AT55" s="16">
        <v>1.7222761328926306E-2</v>
      </c>
      <c r="AU55" s="16">
        <v>1.6185688663422293E-2</v>
      </c>
      <c r="AV55" s="16">
        <v>1.507068791711963E-2</v>
      </c>
      <c r="AW55" s="16">
        <v>1.3872086954492824E-2</v>
      </c>
      <c r="AX55" s="16">
        <v>1.2582601120442849E-2</v>
      </c>
      <c r="AY55" s="16">
        <v>1.1192542644930081E-2</v>
      </c>
      <c r="AZ55" s="16">
        <v>9.6884062002946525E-3</v>
      </c>
      <c r="BA55" s="16">
        <v>8.0500627456969731E-3</v>
      </c>
      <c r="BB55" s="16">
        <v>6.2442719877454644E-3</v>
      </c>
      <c r="BC55" s="16">
        <v>4.2052422276550594E-3</v>
      </c>
      <c r="BD55" s="16">
        <v>1.7177026148097463E-3</v>
      </c>
      <c r="BE55" s="16"/>
      <c r="BF55" s="16"/>
      <c r="BG55" s="16"/>
      <c r="BH55" s="16"/>
      <c r="BI55" s="16"/>
      <c r="BJ55" s="16"/>
    </row>
    <row r="56" spans="1:62" ht="12" customHeight="1">
      <c r="A56" s="14" t="s">
        <v>601</v>
      </c>
      <c r="B56" s="31">
        <v>55</v>
      </c>
      <c r="C56" s="16">
        <v>3.2030711123882671E-3</v>
      </c>
      <c r="D56" s="16">
        <v>6.3581264112673175E-3</v>
      </c>
      <c r="E56" s="16">
        <v>8.5465733531865373E-3</v>
      </c>
      <c r="F56" s="16">
        <v>1.0351551572868267E-2</v>
      </c>
      <c r="G56" s="16">
        <v>1.1918321715965963E-2</v>
      </c>
      <c r="H56" s="16">
        <v>1.3313020940654785E-2</v>
      </c>
      <c r="I56" s="16">
        <v>1.4572576790129577E-2</v>
      </c>
      <c r="J56" s="16">
        <v>1.5720102600885855E-2</v>
      </c>
      <c r="K56" s="16">
        <v>1.6771176980406866E-2</v>
      </c>
      <c r="L56" s="16">
        <v>1.7736859407246786E-2</v>
      </c>
      <c r="M56" s="16">
        <v>1.8625306670299602E-2</v>
      </c>
      <c r="N56" s="16">
        <v>1.9442711341196572E-2</v>
      </c>
      <c r="O56" s="16">
        <v>2.0193880849352475E-2</v>
      </c>
      <c r="P56" s="16">
        <v>2.0882612389024113E-2</v>
      </c>
      <c r="Q56" s="16">
        <v>2.1511945266235455E-2</v>
      </c>
      <c r="R56" s="16">
        <v>2.2084336277147676E-2</v>
      </c>
      <c r="S56" s="16">
        <v>2.2601784889827004E-2</v>
      </c>
      <c r="T56" s="16">
        <v>2.3065924618621225E-2</v>
      </c>
      <c r="U56" s="16">
        <v>2.347809098457454E-2</v>
      </c>
      <c r="V56" s="16">
        <v>2.3839372855093299E-2</v>
      </c>
      <c r="W56" s="16">
        <v>2.4150651719879401E-2</v>
      </c>
      <c r="X56" s="16">
        <v>2.4412632029185199E-2</v>
      </c>
      <c r="Y56" s="16">
        <v>2.4625864780021045E-2</v>
      </c>
      <c r="Z56" s="16">
        <v>2.4790765902681811E-2</v>
      </c>
      <c r="AA56" s="16">
        <v>2.4907630563641536E-2</v>
      </c>
      <c r="AB56" s="16">
        <v>2.4976644193393183E-2</v>
      </c>
      <c r="AC56" s="16">
        <v>2.499789082601056E-2</v>
      </c>
      <c r="AD56" s="16">
        <v>2.4971359172940577E-2</v>
      </c>
      <c r="AE56" s="16">
        <v>2.4896946727990477E-2</v>
      </c>
      <c r="AF56" s="16">
        <v>2.47744621006043E-2</v>
      </c>
      <c r="AG56" s="16">
        <v>2.4603625690893027E-2</v>
      </c>
      <c r="AH56" s="16">
        <v>2.4384068745176624E-2</v>
      </c>
      <c r="AI56" s="16">
        <v>2.4115330758825548E-2</v>
      </c>
      <c r="AJ56" s="16">
        <v>2.3796855118064952E-2</v>
      </c>
      <c r="AK56" s="16">
        <v>2.3427982787684987E-2</v>
      </c>
      <c r="AL56" s="16">
        <v>2.3007943749579929E-2</v>
      </c>
      <c r="AM56" s="16">
        <v>2.2535845767299056E-2</v>
      </c>
      <c r="AN56" s="16">
        <v>2.2010659879732275E-2</v>
      </c>
      <c r="AO56" s="16">
        <v>2.1431201790886201E-2</v>
      </c>
      <c r="AP56" s="16">
        <v>2.0796107988996893E-2</v>
      </c>
      <c r="AQ56" s="16">
        <v>2.0103804943936376E-2</v>
      </c>
      <c r="AR56" s="16">
        <v>1.9352469010357254E-2</v>
      </c>
      <c r="AS56" s="16">
        <v>1.8539973559262402E-2</v>
      </c>
      <c r="AT56" s="16">
        <v>1.7663818118008101E-2</v>
      </c>
      <c r="AU56" s="16">
        <v>1.6721031456847668E-2</v>
      </c>
      <c r="AV56" s="16">
        <v>1.5708035745862103E-2</v>
      </c>
      <c r="AW56" s="16">
        <v>1.4620450381114147E-2</v>
      </c>
      <c r="AX56" s="16">
        <v>1.3452798167905566E-2</v>
      </c>
      <c r="AY56" s="16">
        <v>1.219804490065568E-2</v>
      </c>
      <c r="AZ56" s="16">
        <v>1.084683524899932E-2</v>
      </c>
      <c r="BA56" s="16">
        <v>9.3861255458310699E-3</v>
      </c>
      <c r="BB56" s="16">
        <v>7.7964709885540717E-3</v>
      </c>
      <c r="BC56" s="16">
        <v>6.0457530313895447E-3</v>
      </c>
      <c r="BD56" s="16">
        <v>4.0703802510259068E-3</v>
      </c>
      <c r="BE56" s="16">
        <v>1.6621913303910274E-3</v>
      </c>
      <c r="BF56" s="16"/>
      <c r="BG56" s="16"/>
      <c r="BH56" s="16"/>
      <c r="BI56" s="16"/>
      <c r="BJ56" s="16"/>
    </row>
    <row r="57" spans="1:62" ht="12" customHeight="1">
      <c r="A57" s="14" t="s">
        <v>602</v>
      </c>
      <c r="B57" s="31">
        <v>56</v>
      </c>
      <c r="C57" s="16">
        <v>3.1132423566884171E-3</v>
      </c>
      <c r="D57" s="16">
        <v>6.1801864150329289E-3</v>
      </c>
      <c r="E57" s="16">
        <v>8.3081716183935894E-3</v>
      </c>
      <c r="F57" s="16">
        <v>1.0064022097020286E-2</v>
      </c>
      <c r="G57" s="16">
        <v>1.1588956959232788E-2</v>
      </c>
      <c r="H57" s="16">
        <v>1.2947285800082309E-2</v>
      </c>
      <c r="I57" s="16">
        <v>1.4174924662643917E-2</v>
      </c>
      <c r="J57" s="16">
        <v>1.5294360806960006E-2</v>
      </c>
      <c r="K57" s="16">
        <v>1.6320756784268697E-2</v>
      </c>
      <c r="L57" s="16">
        <v>1.7264881940548094E-2</v>
      </c>
      <c r="M57" s="16">
        <v>1.8134683866580348E-2</v>
      </c>
      <c r="N57" s="16">
        <v>1.893620081456826E-2</v>
      </c>
      <c r="O57" s="16">
        <v>1.9674124746605459E-2</v>
      </c>
      <c r="P57" s="16">
        <v>2.0352165909486297E-2</v>
      </c>
      <c r="Q57" s="16">
        <v>2.0973298267180196E-2</v>
      </c>
      <c r="R57" s="16">
        <v>2.1539930112364991E-2</v>
      </c>
      <c r="S57" s="16">
        <v>2.2054025884438833E-2</v>
      </c>
      <c r="T57" s="16">
        <v>2.2517195128575862E-2</v>
      </c>
      <c r="U57" s="16">
        <v>2.2930758702042531E-2</v>
      </c>
      <c r="V57" s="16">
        <v>2.3295798834420345E-2</v>
      </c>
      <c r="W57" s="16">
        <v>2.3613197474837144E-2</v>
      </c>
      <c r="X57" s="16">
        <v>2.3883665968666312E-2</v>
      </c>
      <c r="Y57" s="16">
        <v>2.4107768192518475E-2</v>
      </c>
      <c r="Z57" s="16">
        <v>2.4285938661445572E-2</v>
      </c>
      <c r="AA57" s="16">
        <v>2.4418496699091463E-2</v>
      </c>
      <c r="AB57" s="16">
        <v>2.4505657463833153E-2</v>
      </c>
      <c r="AC57" s="16">
        <v>2.4547540409918578E-2</v>
      </c>
      <c r="AD57" s="16">
        <v>2.4544175604969576E-2</v>
      </c>
      <c r="AE57" s="16">
        <v>2.4495508205829686E-2</v>
      </c>
      <c r="AF57" s="16">
        <v>2.4401401301144099E-2</v>
      </c>
      <c r="AG57" s="16">
        <v>2.4261637252367074E-2</v>
      </c>
      <c r="AH57" s="16">
        <v>2.4075917598410546E-2</v>
      </c>
      <c r="AI57" s="16">
        <v>2.3843861527475418E-2</v>
      </c>
      <c r="AJ57" s="16">
        <v>2.3565002857823925E-2</v>
      </c>
      <c r="AK57" s="16">
        <v>2.3238785402480699E-2</v>
      </c>
      <c r="AL57" s="16">
        <v>2.2864556515367673E-2</v>
      </c>
      <c r="AM57" s="16">
        <v>2.2441558521136384E-2</v>
      </c>
      <c r="AN57" s="16">
        <v>2.1968917608121474E-2</v>
      </c>
      <c r="AO57" s="16">
        <v>2.1445629599528115E-2</v>
      </c>
      <c r="AP57" s="16">
        <v>2.0870541791219388E-2</v>
      </c>
      <c r="AQ57" s="16">
        <v>2.0242329723064834E-2</v>
      </c>
      <c r="AR57" s="16">
        <v>1.9559467283562171E-2</v>
      </c>
      <c r="AS57" s="16">
        <v>1.8820187850570935E-2</v>
      </c>
      <c r="AT57" s="16">
        <v>1.802243310334839E-2</v>
      </c>
      <c r="AU57" s="16">
        <v>1.716378445633604E-2</v>
      </c>
      <c r="AV57" s="16">
        <v>1.624136931712461E-2</v>
      </c>
      <c r="AW57" s="16">
        <v>1.5251729715119899E-2</v>
      </c>
      <c r="AX57" s="16">
        <v>1.4190632601951303E-2</v>
      </c>
      <c r="AY57" s="16">
        <v>1.3052785734009809E-2</v>
      </c>
      <c r="AZ57" s="16">
        <v>1.1831392431595256E-2</v>
      </c>
      <c r="BA57" s="16">
        <v>1.0517412596664277E-2</v>
      </c>
      <c r="BB57" s="16">
        <v>9.0982403278431212E-3</v>
      </c>
      <c r="BC57" s="16">
        <v>7.5550797402225145E-3</v>
      </c>
      <c r="BD57" s="16">
        <v>5.8568764196396117E-3</v>
      </c>
      <c r="BE57" s="16">
        <v>3.9421270286212895E-3</v>
      </c>
      <c r="BF57" s="16">
        <v>1.6094213070070307E-3</v>
      </c>
      <c r="BG57" s="16"/>
      <c r="BH57" s="16"/>
      <c r="BI57" s="16"/>
      <c r="BJ57" s="16"/>
    </row>
    <row r="58" spans="1:62" ht="12" customHeight="1">
      <c r="A58" s="14" t="s">
        <v>603</v>
      </c>
      <c r="B58" s="31">
        <v>57</v>
      </c>
      <c r="C58" s="16">
        <v>3.0274550444603365E-3</v>
      </c>
      <c r="D58" s="16">
        <v>6.0102320152058963E-3</v>
      </c>
      <c r="E58" s="16">
        <v>8.0804264223032218E-3</v>
      </c>
      <c r="F58" s="16">
        <v>9.789278809284041E-3</v>
      </c>
      <c r="G58" s="16">
        <v>1.1274146763816884E-2</v>
      </c>
      <c r="H58" s="16">
        <v>1.2597592976139715E-2</v>
      </c>
      <c r="I58" s="16">
        <v>1.3794566078848325E-2</v>
      </c>
      <c r="J58" s="16">
        <v>1.4886954089875615E-2</v>
      </c>
      <c r="K58" s="16">
        <v>1.5889520935458257E-2</v>
      </c>
      <c r="L58" s="16">
        <v>1.6812757613228979E-2</v>
      </c>
      <c r="M58" s="16">
        <v>1.7664410656371143E-2</v>
      </c>
      <c r="N58" s="16">
        <v>1.8450369649776199E-2</v>
      </c>
      <c r="O58" s="16">
        <v>1.9175214958227826E-2</v>
      </c>
      <c r="P58" s="16">
        <v>1.9842572420193716E-2</v>
      </c>
      <c r="Q58" s="16">
        <v>2.0455352163681995E-2</v>
      </c>
      <c r="R58" s="16">
        <v>2.1015914651983492E-2</v>
      </c>
      <c r="S58" s="16">
        <v>2.1526189275193008E-2</v>
      </c>
      <c r="T58" s="16">
        <v>2.1987760987458138E-2</v>
      </c>
      <c r="U58" s="16">
        <v>2.2401934821450808E-2</v>
      </c>
      <c r="V58" s="16">
        <v>2.2769784708064678E-2</v>
      </c>
      <c r="W58" s="16">
        <v>2.309219091558834E-2</v>
      </c>
      <c r="X58" s="16">
        <v>2.3369869070379745E-2</v>
      </c>
      <c r="Y58" s="16">
        <v>2.3603392832876269E-2</v>
      </c>
      <c r="Z58" s="16">
        <v>2.3793211705283701E-2</v>
      </c>
      <c r="AA58" s="16">
        <v>2.3939665036402658E-2</v>
      </c>
      <c r="AB58" s="16">
        <v>2.4042993000439994E-2</v>
      </c>
      <c r="AC58" s="16">
        <v>2.4103345119687147E-2</v>
      </c>
      <c r="AD58" s="16">
        <v>2.4120786749129763E-2</v>
      </c>
      <c r="AE58" s="16">
        <v>2.409530382695535E-2</v>
      </c>
      <c r="AF58" s="16">
        <v>2.4026806106437815E-2</v>
      </c>
      <c r="AG58" s="16">
        <v>2.3915129013495462E-2</v>
      </c>
      <c r="AH58" s="16">
        <v>2.3760034213991643E-2</v>
      </c>
      <c r="AI58" s="16">
        <v>2.3561208920821475E-2</v>
      </c>
      <c r="AJ58" s="16">
        <v>2.3318263918733928E-2</v>
      </c>
      <c r="AK58" s="16">
        <v>2.3030730230802154E-2</v>
      </c>
      <c r="AL58" s="16">
        <v>2.2698054290126835E-2</v>
      </c>
      <c r="AM58" s="16">
        <v>2.2319591408741624E-2</v>
      </c>
      <c r="AN58" s="16">
        <v>2.1894597246031156E-2</v>
      </c>
      <c r="AO58" s="16">
        <v>2.1422216862170718E-2</v>
      </c>
      <c r="AP58" s="16">
        <v>2.090147078463267E-2</v>
      </c>
      <c r="AQ58" s="16">
        <v>2.0331237297697147E-2</v>
      </c>
      <c r="AR58" s="16">
        <v>1.971022985491433E-2</v>
      </c>
      <c r="AS58" s="16">
        <v>1.903696806318711E-2</v>
      </c>
      <c r="AT58" s="16">
        <v>1.8309740013518705E-2</v>
      </c>
      <c r="AU58" s="16">
        <v>1.7526552700932951E-2</v>
      </c>
      <c r="AV58" s="16">
        <v>1.6685065646254271E-2</v>
      </c>
      <c r="AW58" s="16">
        <v>1.5782500173518788E-2</v>
      </c>
      <c r="AX58" s="16">
        <v>1.4815512291227462E-2</v>
      </c>
      <c r="AY58" s="16">
        <v>1.3780009145680117E-2</v>
      </c>
      <c r="AZ58" s="16">
        <v>1.2670874118267283E-2</v>
      </c>
      <c r="BA58" s="16">
        <v>1.1481536003691839E-2</v>
      </c>
      <c r="BB58" s="16">
        <v>1.0203253900769704E-2</v>
      </c>
      <c r="BC58" s="16">
        <v>8.8238374132817432E-3</v>
      </c>
      <c r="BD58" s="16">
        <v>7.325106670153847E-3</v>
      </c>
      <c r="BE58" s="16">
        <v>5.6770177042871905E-3</v>
      </c>
      <c r="BF58" s="16">
        <v>3.8200506867623885E-3</v>
      </c>
      <c r="BG58" s="16">
        <v>1.5592120221044059E-3</v>
      </c>
      <c r="BH58" s="16"/>
      <c r="BI58" s="16"/>
      <c r="BJ58" s="16"/>
    </row>
    <row r="59" spans="1:62" ht="12" customHeight="1">
      <c r="A59" s="14" t="s">
        <v>604</v>
      </c>
      <c r="B59" s="31">
        <v>58</v>
      </c>
      <c r="C59" s="16">
        <v>2.945461227739421E-3</v>
      </c>
      <c r="D59" s="16">
        <v>5.8477746834467714E-3</v>
      </c>
      <c r="E59" s="16">
        <v>7.8626888148137786E-3</v>
      </c>
      <c r="F59" s="16">
        <v>9.5265477449576474E-3</v>
      </c>
      <c r="G59" s="16">
        <v>1.0973016645968947E-2</v>
      </c>
      <c r="H59" s="16">
        <v>1.226298713002405E-2</v>
      </c>
      <c r="I59" s="16">
        <v>1.3430481912425574E-2</v>
      </c>
      <c r="J59" s="16">
        <v>1.4496815061502688E-2</v>
      </c>
      <c r="K59" s="16">
        <v>1.5476368343690594E-2</v>
      </c>
      <c r="L59" s="16">
        <v>1.6379365573963134E-2</v>
      </c>
      <c r="M59" s="16">
        <v>1.7213359976191889E-2</v>
      </c>
      <c r="N59" s="16">
        <v>1.7984097884806483E-2</v>
      </c>
      <c r="O59" s="16">
        <v>1.8696051817075232E-2</v>
      </c>
      <c r="P59" s="16">
        <v>1.9352765710847875E-2</v>
      </c>
      <c r="Q59" s="16">
        <v>1.9957087404851248E-2</v>
      </c>
      <c r="R59" s="16">
        <v>2.0511330308957576E-2</v>
      </c>
      <c r="S59" s="16">
        <v>2.1017388899845391E-2</v>
      </c>
      <c r="T59" s="16">
        <v>2.1476823126240996E-2</v>
      </c>
      <c r="U59" s="16">
        <v>2.189092129229675E-2</v>
      </c>
      <c r="V59" s="16">
        <v>2.2260747675990511E-2</v>
      </c>
      <c r="W59" s="16">
        <v>2.2587179082783848E-2</v>
      </c>
      <c r="X59" s="16">
        <v>2.2870933219200973E-2</v>
      </c>
      <c r="Y59" s="16">
        <v>2.3112590907039654E-2</v>
      </c>
      <c r="Z59" s="16">
        <v>2.3312613577958219E-2</v>
      </c>
      <c r="AA59" s="16">
        <v>2.3471357088884037E-2</v>
      </c>
      <c r="AB59" s="16">
        <v>2.3589082618594492E-2</v>
      </c>
      <c r="AC59" s="16">
        <v>2.3665965205286188E-2</v>
      </c>
      <c r="AD59" s="16">
        <v>2.3702100338428012E-2</v>
      </c>
      <c r="AE59" s="16">
        <v>2.3697508908602449E-2</v>
      </c>
      <c r="AF59" s="16">
        <v>2.3652140734915617E-2</v>
      </c>
      <c r="AG59" s="16">
        <v>2.3565876822724818E-2</v>
      </c>
      <c r="AH59" s="16">
        <v>2.343853044915678E-2</v>
      </c>
      <c r="AI59" s="16">
        <v>2.3269847125577003E-2</v>
      </c>
      <c r="AJ59" s="16">
        <v>2.3059503441275275E-2</v>
      </c>
      <c r="AK59" s="16">
        <v>2.2807104747752827E-2</v>
      </c>
      <c r="AL59" s="16">
        <v>2.2512181594876335E-2</v>
      </c>
      <c r="AM59" s="16">
        <v>2.217418477498545E-2</v>
      </c>
      <c r="AN59" s="16">
        <v>2.179247876416901E-2</v>
      </c>
      <c r="AO59" s="16">
        <v>2.1366333265075532E-2</v>
      </c>
      <c r="AP59" s="16">
        <v>2.0894912444037295E-2</v>
      </c>
      <c r="AQ59" s="16">
        <v>2.0377261304092342E-2</v>
      </c>
      <c r="AR59" s="16">
        <v>1.9812288425261282E-2</v>
      </c>
      <c r="AS59" s="16">
        <v>1.9198744004142343E-2</v>
      </c>
      <c r="AT59" s="16">
        <v>1.8535191688617281E-2</v>
      </c>
      <c r="AU59" s="16">
        <v>1.7819972051816069E-2</v>
      </c>
      <c r="AV59" s="16">
        <v>1.7051154550225545E-2</v>
      </c>
      <c r="AW59" s="16">
        <v>1.6226473233161398E-2</v>
      </c>
      <c r="AX59" s="16">
        <v>1.5343238896517675E-2</v>
      </c>
      <c r="AY59" s="16">
        <v>1.4398216011091147E-2</v>
      </c>
      <c r="AZ59" s="16">
        <v>1.3387445028190892E-2</v>
      </c>
      <c r="BA59" s="16">
        <v>1.2305976238929595E-2</v>
      </c>
      <c r="BB59" s="16">
        <v>1.1147452661635526E-2</v>
      </c>
      <c r="BC59" s="16">
        <v>9.9034176307573052E-3</v>
      </c>
      <c r="BD59" s="16">
        <v>8.5620754914265129E-3</v>
      </c>
      <c r="BE59" s="16">
        <v>7.1058316951886358E-3</v>
      </c>
      <c r="BF59" s="16">
        <v>5.505602637058904E-3</v>
      </c>
      <c r="BG59" s="16">
        <v>3.7037543917426419E-3</v>
      </c>
      <c r="BH59" s="16">
        <v>1.5113977131845369E-3</v>
      </c>
      <c r="BI59" s="16"/>
      <c r="BJ59" s="16"/>
    </row>
    <row r="60" spans="1:62" ht="12" customHeight="1">
      <c r="A60" s="14" t="s">
        <v>605</v>
      </c>
      <c r="B60" s="31">
        <v>59</v>
      </c>
      <c r="C60" s="16">
        <v>2.8670320895538559E-3</v>
      </c>
      <c r="D60" s="16">
        <v>5.6923634657012334E-3</v>
      </c>
      <c r="E60" s="16">
        <v>7.6543595040133861E-3</v>
      </c>
      <c r="F60" s="16">
        <v>9.2751137615399992E-3</v>
      </c>
      <c r="G60" s="16">
        <v>1.0684758018299712E-2</v>
      </c>
      <c r="H60" s="16">
        <v>1.1942584165698933E-2</v>
      </c>
      <c r="I60" s="16">
        <v>1.3081728088659816E-2</v>
      </c>
      <c r="J60" s="16">
        <v>1.4122953765523971E-2</v>
      </c>
      <c r="K60" s="16">
        <v>1.5080276366480794E-2</v>
      </c>
      <c r="L60" s="16">
        <v>1.5963663108224391E-2</v>
      </c>
      <c r="M60" s="16">
        <v>1.678048128063292E-2</v>
      </c>
      <c r="N60" s="16">
        <v>1.7536339155691971E-2</v>
      </c>
      <c r="O60" s="16">
        <v>1.8235605029419788E-2</v>
      </c>
      <c r="P60" s="16">
        <v>1.8881743404101203E-2</v>
      </c>
      <c r="Q60" s="16">
        <v>1.9477541398389975E-2</v>
      </c>
      <c r="R60" s="16">
        <v>2.0025266222281624E-2</v>
      </c>
      <c r="S60" s="16">
        <v>2.0526777701158849E-2</v>
      </c>
      <c r="T60" s="16">
        <v>2.0983610535069142E-2</v>
      </c>
      <c r="U60" s="16">
        <v>2.1397035610004278E-2</v>
      </c>
      <c r="V60" s="16">
        <v>2.1768106454065572E-2</v>
      </c>
      <c r="W60" s="16">
        <v>2.2097694929350986E-2</v>
      </c>
      <c r="X60" s="16">
        <v>2.2386518969855884E-2</v>
      </c>
      <c r="Y60" s="16">
        <v>2.2635164334822377E-2</v>
      </c>
      <c r="Z60" s="16">
        <v>2.284410178172902E-2</v>
      </c>
      <c r="AA60" s="16">
        <v>2.3013700674808013E-2</v>
      </c>
      <c r="AB60" s="16">
        <v>2.3144239772821873E-2</v>
      </c>
      <c r="AC60" s="16">
        <v>2.3235915745318025E-2</v>
      </c>
      <c r="AD60" s="16">
        <v>2.3288849824801394E-2</v>
      </c>
      <c r="AE60" s="16">
        <v>2.3303092896721611E-2</v>
      </c>
      <c r="AF60" s="16">
        <v>2.3278629248693727E-2</v>
      </c>
      <c r="AG60" s="16">
        <v>2.3215379137201619E-2</v>
      </c>
      <c r="AH60" s="16">
        <v>2.3113200278611967E-2</v>
      </c>
      <c r="AI60" s="16">
        <v>2.2971888327486423E-2</v>
      </c>
      <c r="AJ60" s="16">
        <v>2.2791176365612564E-2</v>
      </c>
      <c r="AK60" s="16">
        <v>2.2570733387086817E-2</v>
      </c>
      <c r="AL60" s="16">
        <v>2.2310161725409783E-2</v>
      </c>
      <c r="AM60" s="16">
        <v>2.2008993325035919E-2</v>
      </c>
      <c r="AN60" s="16">
        <v>2.16666847088266E-2</v>
      </c>
      <c r="AO60" s="16">
        <v>2.1282610429908755E-2</v>
      </c>
      <c r="AP60" s="16">
        <v>2.0856054715755801E-2</v>
      </c>
      <c r="AQ60" s="16">
        <v>2.0386200905383345E-2</v>
      </c>
      <c r="AR60" s="16">
        <v>1.9872118135009664E-2</v>
      </c>
      <c r="AS60" s="16">
        <v>1.9312744524689007E-2</v>
      </c>
      <c r="AT60" s="16">
        <v>1.8706865829089536E-2</v>
      </c>
      <c r="AU60" s="16">
        <v>1.8053088093512581E-2</v>
      </c>
      <c r="AV60" s="16">
        <v>1.7349802225412825E-2</v>
      </c>
      <c r="AW60" s="16">
        <v>1.6595137423999429E-2</v>
      </c>
      <c r="AX60" s="16">
        <v>1.5786898882389377E-2</v>
      </c>
      <c r="AY60" s="16">
        <v>1.4922482682959926E-2</v>
      </c>
      <c r="AZ60" s="16">
        <v>1.3998756579900129E-2</v>
      </c>
      <c r="BA60" s="16">
        <v>1.301188787555696E-2</v>
      </c>
      <c r="BB60" s="16">
        <v>1.1957085618218843E-2</v>
      </c>
      <c r="BC60" s="16">
        <v>1.0828196535079604E-2</v>
      </c>
      <c r="BD60" s="16">
        <v>9.6170342210756266E-3</v>
      </c>
      <c r="BE60" s="16">
        <v>8.312178371794321E-3</v>
      </c>
      <c r="BF60" s="16">
        <v>6.8965910991005686E-3</v>
      </c>
      <c r="BG60" s="16">
        <v>5.3421023760896746E-3</v>
      </c>
      <c r="BH60" s="16">
        <v>3.5928729723224695E-3</v>
      </c>
      <c r="BI60" s="16">
        <v>1.4658259440455401E-3</v>
      </c>
      <c r="BJ60" s="16"/>
    </row>
    <row r="61" spans="1:62" ht="12" customHeight="1">
      <c r="A61" s="14" t="s">
        <v>606</v>
      </c>
      <c r="B61" s="31">
        <v>60</v>
      </c>
      <c r="C61" s="16">
        <v>2.7919561755216371E-3</v>
      </c>
      <c r="D61" s="16">
        <v>5.5435815209068373E-3</v>
      </c>
      <c r="E61" s="16">
        <v>7.4548843073320992E-3</v>
      </c>
      <c r="F61" s="16">
        <v>9.0343151911171926E-3</v>
      </c>
      <c r="G61" s="16">
        <v>1.0408622256716571E-2</v>
      </c>
      <c r="H61" s="16">
        <v>1.1635564892374273E-2</v>
      </c>
      <c r="I61" s="16">
        <v>1.2747429006986444E-2</v>
      </c>
      <c r="J61" s="16">
        <v>1.3764451015646495E-2</v>
      </c>
      <c r="K61" s="16">
        <v>1.4700294213813914E-2</v>
      </c>
      <c r="L61" s="16">
        <v>1.5564679258013969E-2</v>
      </c>
      <c r="M61" s="16">
        <v>1.6364794525269954E-2</v>
      </c>
      <c r="N61" s="16">
        <v>1.7106115191600435E-2</v>
      </c>
      <c r="O61" s="16">
        <v>1.7792908833075716E-2</v>
      </c>
      <c r="P61" s="16">
        <v>1.8428562930372094E-2</v>
      </c>
      <c r="Q61" s="16">
        <v>1.9015805459363766E-2</v>
      </c>
      <c r="R61" s="16">
        <v>1.9556858341434502E-2</v>
      </c>
      <c r="S61" s="16">
        <v>2.0053547114011305E-2</v>
      </c>
      <c r="T61" s="16">
        <v>2.0507381126212421E-2</v>
      </c>
      <c r="U61" s="16">
        <v>2.0919613335088183E-2</v>
      </c>
      <c r="V61" s="16">
        <v>2.1291285638099788E-2</v>
      </c>
      <c r="W61" s="16">
        <v>2.1623263727676312E-2</v>
      </c>
      <c r="X61" s="16">
        <v>2.1916264206618741E-2</v>
      </c>
      <c r="Y61" s="16">
        <v>2.217087588436184E-2</v>
      </c>
      <c r="Z61" s="16">
        <v>2.2387576623822292E-2</v>
      </c>
      <c r="AA61" s="16">
        <v>2.2566746730686704E-2</v>
      </c>
      <c r="AB61" s="16">
        <v>2.2708679612345239E-2</v>
      </c>
      <c r="AC61" s="16">
        <v>2.2813590244768811E-2</v>
      </c>
      <c r="AD61" s="16">
        <v>2.2881621848195088E-2</v>
      </c>
      <c r="AE61" s="16">
        <v>2.2912851070572504E-2</v>
      </c>
      <c r="AF61" s="16">
        <v>2.2907291900409299E-2</v>
      </c>
      <c r="AG61" s="16">
        <v>2.2864898470563721E-2</v>
      </c>
      <c r="AH61" s="16">
        <v>2.278556686622224E-2</v>
      </c>
      <c r="AI61" s="16">
        <v>2.2669136009969115E-2</v>
      </c>
      <c r="AJ61" s="16">
        <v>2.2515387661373953E-2</v>
      </c>
      <c r="AK61" s="16">
        <v>2.2324045535479509E-2</v>
      </c>
      <c r="AL61" s="16">
        <v>2.2094773511592503E-2</v>
      </c>
      <c r="AM61" s="16">
        <v>2.1827172868701061E-2</v>
      </c>
      <c r="AN61" s="16">
        <v>2.1520778443997357E-2</v>
      </c>
      <c r="AO61" s="16">
        <v>2.1175053563382562E-2</v>
      </c>
      <c r="AP61" s="16">
        <v>2.0789383533250883E-2</v>
      </c>
      <c r="AQ61" s="16">
        <v>2.0363067405814395E-2</v>
      </c>
      <c r="AR61" s="16">
        <v>1.9895307627454284E-2</v>
      </c>
      <c r="AS61" s="16">
        <v>1.9385197039323843E-2</v>
      </c>
      <c r="AT61" s="16">
        <v>1.8831702503365855E-2</v>
      </c>
      <c r="AU61" s="16">
        <v>1.8233644147040207E-2</v>
      </c>
      <c r="AV61" s="16">
        <v>1.7589668811326731E-2</v>
      </c>
      <c r="AW61" s="16">
        <v>1.6898215675517081E-2</v>
      </c>
      <c r="AX61" s="16">
        <v>1.6157471094634168E-2</v>
      </c>
      <c r="AY61" s="16">
        <v>1.5365308204345562E-2</v>
      </c>
      <c r="AZ61" s="16">
        <v>1.4519204431043264E-2</v>
      </c>
      <c r="BA61" s="16">
        <v>1.3616125947564894E-2</v>
      </c>
      <c r="BB61" s="16">
        <v>1.2652360856404532E-2</v>
      </c>
      <c r="BC61" s="16">
        <v>1.1623269329438579E-2</v>
      </c>
      <c r="BD61" s="16">
        <v>1.0522891965347725E-2</v>
      </c>
      <c r="BE61" s="16">
        <v>9.3432995508098138E-3</v>
      </c>
      <c r="BF61" s="16">
        <v>8.07342900207908E-3</v>
      </c>
      <c r="BG61" s="16">
        <v>6.6967722922592898E-3</v>
      </c>
      <c r="BH61" s="16">
        <v>5.1860292200696101E-3</v>
      </c>
      <c r="BI61" s="16">
        <v>3.4870699176021702E-3</v>
      </c>
      <c r="BJ61" s="16">
        <v>1.422356331611585E-3</v>
      </c>
    </row>
    <row r="62" spans="1:62" ht="12" customHeight="1">
      <c r="A62" s="14" t="s">
        <v>607</v>
      </c>
      <c r="B62" s="31">
        <v>61</v>
      </c>
      <c r="C62" s="15">
        <v>1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</row>
    <row r="63" spans="1:62" ht="12" customHeight="1">
      <c r="A63" s="14" t="s">
        <v>608</v>
      </c>
      <c r="B63" s="31">
        <v>62</v>
      </c>
      <c r="C63" s="16">
        <v>0.48455268712482824</v>
      </c>
      <c r="D63" s="16">
        <v>0.51544731287517176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</row>
    <row r="64" spans="1:62" ht="12" customHeight="1">
      <c r="A64" s="14" t="s">
        <v>609</v>
      </c>
      <c r="B64" s="31">
        <v>63</v>
      </c>
      <c r="C64" s="16">
        <v>0.26098346926417115</v>
      </c>
      <c r="D64" s="16">
        <v>0.45405223144187323</v>
      </c>
      <c r="E64" s="16">
        <v>0.28496429929395561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</row>
    <row r="65" spans="1:62" ht="12" customHeight="1">
      <c r="A65" s="14" t="s">
        <v>610</v>
      </c>
      <c r="B65" s="31">
        <v>64</v>
      </c>
      <c r="C65" s="16">
        <v>0.16423965979586541</v>
      </c>
      <c r="D65" s="16">
        <v>0.32031302732896283</v>
      </c>
      <c r="E65" s="16">
        <v>0.33468721586959937</v>
      </c>
      <c r="F65" s="16">
        <v>0.18076009700557238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</row>
    <row r="66" spans="1:62" ht="12" customHeight="1">
      <c r="A66" s="14" t="s">
        <v>611</v>
      </c>
      <c r="B66" s="31">
        <v>65</v>
      </c>
      <c r="C66" s="16">
        <v>0.11383165579227827</v>
      </c>
      <c r="D66" s="16">
        <v>0.23316275044560564</v>
      </c>
      <c r="E66" s="16">
        <v>0.27770120465486026</v>
      </c>
      <c r="F66" s="16">
        <v>0.2499095907552733</v>
      </c>
      <c r="G66" s="16">
        <v>0.12539479835198253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</row>
    <row r="67" spans="1:62" ht="12" customHeight="1">
      <c r="A67" s="14" t="s">
        <v>612</v>
      </c>
      <c r="B67" s="31">
        <v>66</v>
      </c>
      <c r="C67" s="16">
        <v>8.4107444083981298E-2</v>
      </c>
      <c r="D67" s="16">
        <v>0.17687602518018986</v>
      </c>
      <c r="E67" s="16">
        <v>0.22356921786065709</v>
      </c>
      <c r="F67" s="16">
        <v>0.23048301358121615</v>
      </c>
      <c r="G67" s="16">
        <v>0.19251755396441483</v>
      </c>
      <c r="H67" s="16">
        <v>9.244674532954078E-2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</row>
    <row r="68" spans="1:62" ht="12" customHeight="1">
      <c r="A68" s="14" t="s">
        <v>613</v>
      </c>
      <c r="B68" s="31">
        <v>67</v>
      </c>
      <c r="C68" s="16">
        <v>6.5019629786078559E-2</v>
      </c>
      <c r="D68" s="16">
        <v>0.13894408263799363</v>
      </c>
      <c r="E68" s="16">
        <v>0.18156024951670158</v>
      </c>
      <c r="F68" s="16">
        <v>0.19938952719009095</v>
      </c>
      <c r="G68" s="16">
        <v>0.19120517412850624</v>
      </c>
      <c r="H68" s="16">
        <v>0.15267766273634342</v>
      </c>
      <c r="I68" s="16">
        <v>7.1203674004285622E-2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</row>
    <row r="69" spans="1:62" ht="12" customHeight="1">
      <c r="A69" s="14" t="s">
        <v>614</v>
      </c>
      <c r="B69" s="31">
        <v>68</v>
      </c>
      <c r="C69" s="16">
        <v>5.1979693731849297E-2</v>
      </c>
      <c r="D69" s="16">
        <v>0.11225996606401611</v>
      </c>
      <c r="E69" s="16">
        <v>0.14978454516819251</v>
      </c>
      <c r="F69" s="16">
        <v>0.17052848216077032</v>
      </c>
      <c r="G69" s="16">
        <v>0.17451981342785849</v>
      </c>
      <c r="H69" s="16">
        <v>0.16016740244174088</v>
      </c>
      <c r="I69" s="16">
        <v>0.12408579943870057</v>
      </c>
      <c r="J69" s="16">
        <v>5.6674297566871812E-2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</row>
    <row r="70" spans="1:62" ht="12" customHeight="1">
      <c r="A70" s="14" t="s">
        <v>615</v>
      </c>
      <c r="B70" s="31">
        <v>69</v>
      </c>
      <c r="C70" s="16">
        <v>4.2644294900792135E-2</v>
      </c>
      <c r="D70" s="16">
        <v>9.2782574557399355E-2</v>
      </c>
      <c r="E70" s="16">
        <v>0.12555659980597966</v>
      </c>
      <c r="F70" s="16">
        <v>0.14626860165586042</v>
      </c>
      <c r="G70" s="16">
        <v>0.15541038286617659</v>
      </c>
      <c r="H70" s="16">
        <v>0.15237324691983622</v>
      </c>
      <c r="I70" s="16">
        <v>0.13576563213036419</v>
      </c>
      <c r="J70" s="16">
        <v>0.10292103206518599</v>
      </c>
      <c r="K70" s="16">
        <v>4.6277635098405434E-2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</row>
    <row r="71" spans="1:62" ht="12" customHeight="1">
      <c r="A71" s="14" t="s">
        <v>616</v>
      </c>
      <c r="B71" s="31">
        <v>70</v>
      </c>
      <c r="C71" s="16">
        <v>3.5711613675505904E-2</v>
      </c>
      <c r="D71" s="16">
        <v>7.812004211677237E-2</v>
      </c>
      <c r="E71" s="16">
        <v>0.10678514860503341</v>
      </c>
      <c r="F71" s="16">
        <v>0.12637760184057223</v>
      </c>
      <c r="G71" s="16">
        <v>0.13755828088694433</v>
      </c>
      <c r="H71" s="16">
        <v>0.14014292376791593</v>
      </c>
      <c r="I71" s="16">
        <v>0.13348394022296051</v>
      </c>
      <c r="J71" s="16">
        <v>0.1164256505323128</v>
      </c>
      <c r="K71" s="16">
        <v>8.6826422664066483E-2</v>
      </c>
      <c r="L71" s="16">
        <v>3.8568375687916046E-2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</row>
    <row r="72" spans="1:62" ht="12" customHeight="1">
      <c r="A72" s="14" t="s">
        <v>617</v>
      </c>
      <c r="B72" s="31">
        <v>71</v>
      </c>
      <c r="C72" s="16">
        <v>3.0409489936735534E-2</v>
      </c>
      <c r="D72" s="16">
        <v>6.6793678983716465E-2</v>
      </c>
      <c r="E72" s="16">
        <v>9.1988442870648335E-2</v>
      </c>
      <c r="F72" s="16">
        <v>0.1101128238142226</v>
      </c>
      <c r="G72" s="16">
        <v>0.12187445623905302</v>
      </c>
      <c r="H72" s="16">
        <v>0.12729037963234513</v>
      </c>
      <c r="I72" s="16">
        <v>0.12605198236617432</v>
      </c>
      <c r="J72" s="16">
        <v>0.11757879860798515</v>
      </c>
      <c r="K72" s="16">
        <v>0.10091349266758953</v>
      </c>
      <c r="L72" s="16">
        <v>7.4301608315324286E-2</v>
      </c>
      <c r="M72" s="16">
        <v>3.2684846566205628E-2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</row>
    <row r="73" spans="1:62" ht="12" customHeight="1">
      <c r="A73" s="14" t="s">
        <v>618</v>
      </c>
      <c r="B73" s="31">
        <v>72</v>
      </c>
      <c r="C73" s="16">
        <v>2.6255303350291581E-2</v>
      </c>
      <c r="D73" s="16">
        <v>5.7852140733689716E-2</v>
      </c>
      <c r="E73" s="16">
        <v>8.0132215711884114E-2</v>
      </c>
      <c r="F73" s="16">
        <v>9.6743809468305741E-2</v>
      </c>
      <c r="G73" s="16">
        <v>0.1083879721358636</v>
      </c>
      <c r="H73" s="16">
        <v>0.11518124572479349</v>
      </c>
      <c r="I73" s="16">
        <v>0.11698750368381039</v>
      </c>
      <c r="J73" s="16">
        <v>0.11349550989740576</v>
      </c>
      <c r="K73" s="16">
        <v>0.10420420228838323</v>
      </c>
      <c r="L73" s="16">
        <v>8.8313351676031604E-2</v>
      </c>
      <c r="M73" s="16">
        <v>6.436000263659436E-2</v>
      </c>
      <c r="N73" s="16">
        <v>2.808674269294642E-2</v>
      </c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</row>
    <row r="74" spans="1:62" ht="12" customHeight="1">
      <c r="A74" s="14" t="s">
        <v>619</v>
      </c>
      <c r="B74" s="31">
        <v>73</v>
      </c>
      <c r="C74" s="16">
        <v>2.2934207828082753E-2</v>
      </c>
      <c r="D74" s="16">
        <v>5.0661509963116247E-2</v>
      </c>
      <c r="E74" s="16">
        <v>7.0489101025181022E-2</v>
      </c>
      <c r="F74" s="16">
        <v>8.5665886154621673E-2</v>
      </c>
      <c r="G74" s="16">
        <v>9.6863190677923816E-2</v>
      </c>
      <c r="H74" s="16">
        <v>0.10424652753874386</v>
      </c>
      <c r="I74" s="16">
        <v>0.1077736156694673</v>
      </c>
      <c r="J74" s="16">
        <v>0.10727486616068171</v>
      </c>
      <c r="K74" s="16">
        <v>0.10246621472901762</v>
      </c>
      <c r="L74" s="16">
        <v>9.2917859317400042E-2</v>
      </c>
      <c r="M74" s="16">
        <v>7.7953059506578715E-2</v>
      </c>
      <c r="N74" s="16">
        <v>5.6333045743625298E-2</v>
      </c>
      <c r="O74" s="16">
        <v>2.442091568555993E-2</v>
      </c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</row>
    <row r="75" spans="1:62" ht="12" customHeight="1">
      <c r="A75" s="14" t="s">
        <v>620</v>
      </c>
      <c r="B75" s="31">
        <v>74</v>
      </c>
      <c r="C75" s="16">
        <v>2.0233351883764406E-2</v>
      </c>
      <c r="D75" s="16">
        <v>4.4786277902314153E-2</v>
      </c>
      <c r="E75" s="16">
        <v>6.2539968043842875E-2</v>
      </c>
      <c r="F75" s="16">
        <v>7.6404114594150752E-2</v>
      </c>
      <c r="G75" s="16">
        <v>8.701116434738565E-2</v>
      </c>
      <c r="H75" s="16">
        <v>9.4549085169315927E-2</v>
      </c>
      <c r="I75" s="16">
        <v>9.9028725184054478E-2</v>
      </c>
      <c r="J75" s="16">
        <v>0.10036080200603648</v>
      </c>
      <c r="K75" s="16">
        <v>9.8377661775849279E-2</v>
      </c>
      <c r="L75" s="16">
        <v>9.282751235265696E-2</v>
      </c>
      <c r="M75" s="16">
        <v>8.3340382530690649E-2</v>
      </c>
      <c r="N75" s="16">
        <v>6.9337280205652774E-2</v>
      </c>
      <c r="O75" s="16">
        <v>4.9755283487711854E-2</v>
      </c>
      <c r="P75" s="16">
        <v>2.1448390516573768E-2</v>
      </c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</row>
    <row r="76" spans="1:62" ht="12" customHeight="1">
      <c r="A76" s="14" t="s">
        <v>621</v>
      </c>
      <c r="B76" s="31">
        <v>75</v>
      </c>
      <c r="C76" s="16">
        <v>1.8004432002587389E-2</v>
      </c>
      <c r="D76" s="16">
        <v>3.9919170939449411E-2</v>
      </c>
      <c r="E76" s="16">
        <v>5.5908052850241474E-2</v>
      </c>
      <c r="F76" s="16">
        <v>6.8591428790991338E-2</v>
      </c>
      <c r="G76" s="16">
        <v>7.856038468090154E-2</v>
      </c>
      <c r="H76" s="16">
        <v>8.6010936973712759E-2</v>
      </c>
      <c r="I76" s="16">
        <v>9.0984573151951631E-2</v>
      </c>
      <c r="J76" s="16">
        <v>9.3439882094855764E-2</v>
      </c>
      <c r="K76" s="16">
        <v>9.3276749408052861E-2</v>
      </c>
      <c r="L76" s="16">
        <v>9.0340089813300217E-2</v>
      </c>
      <c r="M76" s="16">
        <v>8.4408412176144476E-2</v>
      </c>
      <c r="N76" s="16">
        <v>7.516108876582861E-2</v>
      </c>
      <c r="O76" s="16">
        <v>6.2097392840263277E-2</v>
      </c>
      <c r="P76" s="16">
        <v>4.4294789005997481E-2</v>
      </c>
      <c r="Q76" s="16">
        <v>1.900261650572177E-2</v>
      </c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</row>
    <row r="77" spans="1:62" ht="12" customHeight="1">
      <c r="A77" s="14" t="s">
        <v>622</v>
      </c>
      <c r="B77" s="31">
        <v>76</v>
      </c>
      <c r="C77" s="16">
        <v>1.6141413769478752E-2</v>
      </c>
      <c r="D77" s="16">
        <v>3.5838279962370545E-2</v>
      </c>
      <c r="E77" s="16">
        <v>5.0315304485484158E-2</v>
      </c>
      <c r="F77" s="16">
        <v>6.1944661578531957E-2</v>
      </c>
      <c r="G77" s="16">
        <v>7.1276779988872163E-2</v>
      </c>
      <c r="H77" s="16">
        <v>7.8507765179320343E-2</v>
      </c>
      <c r="I77" s="16">
        <v>8.369672417750651E-2</v>
      </c>
      <c r="J77" s="16">
        <v>8.6831757983263813E-2</v>
      </c>
      <c r="K77" s="16">
        <v>8.7854127220393319E-2</v>
      </c>
      <c r="L77" s="16">
        <v>8.6665686207465176E-2</v>
      </c>
      <c r="M77" s="16">
        <v>8.3126315399478901E-2</v>
      </c>
      <c r="N77" s="16">
        <v>7.704108704226198E-2</v>
      </c>
      <c r="O77" s="16">
        <v>6.8130005580658848E-2</v>
      </c>
      <c r="P77" s="16">
        <v>5.5955793858041725E-2</v>
      </c>
      <c r="Q77" s="16">
        <v>3.9709756904991789E-2</v>
      </c>
      <c r="R77" s="16">
        <v>1.6964540661880023E-2</v>
      </c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</row>
    <row r="78" spans="1:62" ht="12" customHeight="1">
      <c r="A78" s="14" t="s">
        <v>623</v>
      </c>
      <c r="B78" s="31">
        <v>77</v>
      </c>
      <c r="C78" s="16">
        <v>1.4566768311361167E-2</v>
      </c>
      <c r="D78" s="16">
        <v>3.2380023586607187E-2</v>
      </c>
      <c r="E78" s="16">
        <v>4.5553228511648558E-2</v>
      </c>
      <c r="F78" s="16">
        <v>5.6244405374187956E-2</v>
      </c>
      <c r="G78" s="16">
        <v>6.4965492135650393E-2</v>
      </c>
      <c r="H78" s="16">
        <v>7.1908296796668547E-2</v>
      </c>
      <c r="I78" s="16">
        <v>7.7141745703149245E-2</v>
      </c>
      <c r="J78" s="16">
        <v>8.0672518538366766E-2</v>
      </c>
      <c r="K78" s="16">
        <v>8.2468228915649311E-2</v>
      </c>
      <c r="L78" s="16">
        <v>8.246620896452761E-2</v>
      </c>
      <c r="M78" s="16">
        <v>8.057473720576569E-2</v>
      </c>
      <c r="N78" s="16">
        <v>7.6668210643120793E-2</v>
      </c>
      <c r="O78" s="16">
        <v>7.0574439315827298E-2</v>
      </c>
      <c r="P78" s="16">
        <v>6.2047046049792609E-2</v>
      </c>
      <c r="Q78" s="16">
        <v>5.0700819392151653E-2</v>
      </c>
      <c r="R78" s="16">
        <v>3.5820661689686228E-2</v>
      </c>
      <c r="S78" s="16">
        <v>1.5247168865838989E-2</v>
      </c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</row>
    <row r="79" spans="1:62" ht="12" customHeight="1">
      <c r="A79" s="14" t="s">
        <v>624</v>
      </c>
      <c r="B79" s="31">
        <v>78</v>
      </c>
      <c r="C79" s="16">
        <v>1.3222688171922625E-2</v>
      </c>
      <c r="D79" s="16">
        <v>2.9421606728869509E-2</v>
      </c>
      <c r="E79" s="16">
        <v>4.1463149183189163E-2</v>
      </c>
      <c r="F79" s="16">
        <v>5.1319425374210192E-2</v>
      </c>
      <c r="G79" s="16">
        <v>5.9466640866090992E-2</v>
      </c>
      <c r="H79" s="16">
        <v>6.6089958939888671E-2</v>
      </c>
      <c r="I79" s="16">
        <v>7.1263337191261544E-2</v>
      </c>
      <c r="J79" s="16">
        <v>7.5005264464598875E-2</v>
      </c>
      <c r="K79" s="16">
        <v>7.7300616204796668E-2</v>
      </c>
      <c r="L79" s="16">
        <v>7.810976666137992E-2</v>
      </c>
      <c r="M79" s="16">
        <v>7.7371499351700068E-2</v>
      </c>
      <c r="N79" s="16">
        <v>7.5001747568136157E-2</v>
      </c>
      <c r="O79" s="16">
        <v>7.0888060184187252E-2</v>
      </c>
      <c r="P79" s="16">
        <v>6.4877571946176937E-2</v>
      </c>
      <c r="Q79" s="16">
        <v>5.6751921834050645E-2</v>
      </c>
      <c r="R79" s="16">
        <v>4.6169110231135346E-2</v>
      </c>
      <c r="S79" s="16">
        <v>3.2491940380186879E-2</v>
      </c>
      <c r="T79" s="16">
        <v>1.3785694718218555E-2</v>
      </c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</row>
    <row r="80" spans="1:62" ht="12" customHeight="1">
      <c r="A80" s="14" t="s">
        <v>625</v>
      </c>
      <c r="B80" s="31">
        <v>79</v>
      </c>
      <c r="C80" s="16">
        <v>1.2065319679546493E-2</v>
      </c>
      <c r="D80" s="16">
        <v>2.686934790053741E-2</v>
      </c>
      <c r="E80" s="16">
        <v>3.7922639349541098E-2</v>
      </c>
      <c r="F80" s="16">
        <v>4.7034956056555943E-2</v>
      </c>
      <c r="G80" s="16">
        <v>5.4649679641618376E-2</v>
      </c>
      <c r="H80" s="16">
        <v>6.0944168371272922E-2</v>
      </c>
      <c r="I80" s="16">
        <v>6.5994425688662317E-2</v>
      </c>
      <c r="J80" s="16">
        <v>6.9826429862986594E-2</v>
      </c>
      <c r="K80" s="16">
        <v>7.2436586515288282E-2</v>
      </c>
      <c r="L80" s="16">
        <v>7.3800708185018715E-2</v>
      </c>
      <c r="M80" s="16">
        <v>7.3877649952743818E-2</v>
      </c>
      <c r="N80" s="16">
        <v>7.2609742969361846E-2</v>
      </c>
      <c r="O80" s="16">
        <v>6.9920526582429754E-2</v>
      </c>
      <c r="P80" s="16">
        <v>6.5709143808173831E-2</v>
      </c>
      <c r="Q80" s="16">
        <v>5.9839154462538291E-2</v>
      </c>
      <c r="R80" s="16">
        <v>5.2115732386758373E-2</v>
      </c>
      <c r="S80" s="16">
        <v>4.2233117949695198E-2</v>
      </c>
      <c r="T80" s="16">
        <v>2.9619660402281034E-2</v>
      </c>
      <c r="U80" s="16">
        <v>1.2531010234989703E-2</v>
      </c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</row>
    <row r="81" spans="1:62" ht="12" customHeight="1">
      <c r="A81" s="14" t="s">
        <v>626</v>
      </c>
      <c r="B81" s="31">
        <v>80</v>
      </c>
      <c r="C81" s="16">
        <v>1.1060880074355905E-2</v>
      </c>
      <c r="D81" s="16">
        <v>2.4650733601149999E-2</v>
      </c>
      <c r="E81" s="16">
        <v>3.4836041970350284E-2</v>
      </c>
      <c r="F81" s="16">
        <v>4.3284000146422086E-2</v>
      </c>
      <c r="G81" s="16">
        <v>5.0408004003587137E-2</v>
      </c>
      <c r="H81" s="16">
        <v>5.6377144601446272E-2</v>
      </c>
      <c r="I81" s="16">
        <v>6.1267596393784207E-2</v>
      </c>
      <c r="J81" s="16">
        <v>6.5110005446788022E-2</v>
      </c>
      <c r="K81" s="16">
        <v>6.7908574758939633E-2</v>
      </c>
      <c r="L81" s="16">
        <v>6.9649706128004696E-2</v>
      </c>
      <c r="M81" s="16">
        <v>7.0305901402791027E-2</v>
      </c>
      <c r="N81" s="16">
        <v>6.9837022365124901E-2</v>
      </c>
      <c r="O81" s="16">
        <v>6.8189624057394704E-2</v>
      </c>
      <c r="P81" s="16">
        <v>6.5294316165565802E-2</v>
      </c>
      <c r="Q81" s="16">
        <v>6.106035187872294E-2</v>
      </c>
      <c r="R81" s="16">
        <v>5.5365298653589856E-2</v>
      </c>
      <c r="S81" s="16">
        <v>4.8034260541443108E-2</v>
      </c>
      <c r="T81" s="16">
        <v>3.8792162122623375E-2</v>
      </c>
      <c r="U81" s="16">
        <v>2.7123041876384035E-2</v>
      </c>
      <c r="V81" s="16">
        <v>1.144533381153201E-2</v>
      </c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</row>
    <row r="82" spans="1:62" ht="12" customHeight="1">
      <c r="A82" s="14" t="s">
        <v>627</v>
      </c>
      <c r="B82" s="31">
        <v>81</v>
      </c>
      <c r="C82" s="16">
        <v>1.0182984862108335E-2</v>
      </c>
      <c r="D82" s="16">
        <v>2.2708898341540551E-2</v>
      </c>
      <c r="E82" s="16">
        <v>3.2127746582429673E-2</v>
      </c>
      <c r="F82" s="16">
        <v>3.9980863214313378E-2</v>
      </c>
      <c r="G82" s="16">
        <v>4.665432256585289E-2</v>
      </c>
      <c r="H82" s="16">
        <v>5.2308896857827358E-2</v>
      </c>
      <c r="I82" s="16">
        <v>5.7019756840098967E-2</v>
      </c>
      <c r="J82" s="16">
        <v>6.0820340299291065E-2</v>
      </c>
      <c r="K82" s="16">
        <v>6.3720152377311545E-2</v>
      </c>
      <c r="L82" s="16">
        <v>6.5712986043551025E-2</v>
      </c>
      <c r="M82" s="16">
        <v>6.6780860664583885E-2</v>
      </c>
      <c r="N82" s="16">
        <v>6.6895680481956044E-2</v>
      </c>
      <c r="O82" s="16">
        <v>6.6019390815034384E-2</v>
      </c>
      <c r="P82" s="16">
        <v>6.4102820760145285E-2</v>
      </c>
      <c r="Q82" s="16">
        <v>6.108296255332657E-2</v>
      </c>
      <c r="R82" s="16">
        <v>5.68778566923972E-2</v>
      </c>
      <c r="S82" s="16">
        <v>5.1377075027389418E-2</v>
      </c>
      <c r="T82" s="16">
        <v>4.4422731016556805E-2</v>
      </c>
      <c r="U82" s="16">
        <v>3.5765956139086175E-2</v>
      </c>
      <c r="V82" s="16">
        <v>2.4938518159543621E-2</v>
      </c>
      <c r="W82" s="16">
        <v>1.0499199705655826E-2</v>
      </c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</row>
    <row r="83" spans="1:62" ht="12" customHeight="1">
      <c r="A83" s="14" t="s">
        <v>628</v>
      </c>
      <c r="B83" s="31">
        <v>82</v>
      </c>
      <c r="C83" s="16">
        <v>9.4107713722310082E-3</v>
      </c>
      <c r="D83" s="16">
        <v>2.0998718564504526E-2</v>
      </c>
      <c r="E83" s="16">
        <v>2.9737349299288507E-2</v>
      </c>
      <c r="F83" s="16">
        <v>3.7056329684427958E-2</v>
      </c>
      <c r="G83" s="16">
        <v>4.33168606786829E-2</v>
      </c>
      <c r="H83" s="16">
        <v>4.8671582191965435E-2</v>
      </c>
      <c r="I83" s="16">
        <v>5.3193935922840607E-2</v>
      </c>
      <c r="J83" s="16">
        <v>5.6918887891381997E-2</v>
      </c>
      <c r="K83" s="16">
        <v>5.9859541912151149E-2</v>
      </c>
      <c r="L83" s="16">
        <v>6.2014914326901871E-2</v>
      </c>
      <c r="M83" s="16">
        <v>6.3373795280452283E-2</v>
      </c>
      <c r="N83" s="16">
        <v>6.3916584351892847E-2</v>
      </c>
      <c r="O83" s="16">
        <v>6.361587966722726E-2</v>
      </c>
      <c r="P83" s="16">
        <v>6.243610269894706E-2</v>
      </c>
      <c r="Q83" s="16">
        <v>6.033213750199351E-2</v>
      </c>
      <c r="R83" s="16">
        <v>5.7246661105991636E-2</v>
      </c>
      <c r="S83" s="16">
        <v>5.3105355575636892E-2</v>
      </c>
      <c r="T83" s="16">
        <v>4.780813709195264E-2</v>
      </c>
      <c r="U83" s="16">
        <v>4.1211742928734085E-2</v>
      </c>
      <c r="V83" s="16">
        <v>3.30898653865902E-2</v>
      </c>
      <c r="W83" s="16">
        <v>2.3015502378694097E-2</v>
      </c>
      <c r="X83" s="16">
        <v>9.6693441875115305E-3</v>
      </c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</row>
    <row r="84" spans="1:62" ht="12" customHeight="1">
      <c r="A84" s="14" t="s">
        <v>629</v>
      </c>
      <c r="B84" s="31">
        <v>83</v>
      </c>
      <c r="C84" s="16">
        <v>8.7275576503591523E-3</v>
      </c>
      <c r="D84" s="16">
        <v>1.948400209885881E-2</v>
      </c>
      <c r="E84" s="16">
        <v>2.7616120062937899E-2</v>
      </c>
      <c r="F84" s="16">
        <v>3.4454040197794411E-2</v>
      </c>
      <c r="G84" s="16">
        <v>4.0336312641948036E-2</v>
      </c>
      <c r="H84" s="16">
        <v>4.5407764902540948E-2</v>
      </c>
      <c r="I84" s="16">
        <v>4.9739676588317128E-2</v>
      </c>
      <c r="J84" s="16">
        <v>5.3367684049555386E-2</v>
      </c>
      <c r="K84" s="16">
        <v>5.6307306926167477E-2</v>
      </c>
      <c r="L84" s="16">
        <v>5.8561281986271529E-2</v>
      </c>
      <c r="M84" s="16">
        <v>6.0123290867069135E-2</v>
      </c>
      <c r="N84" s="16">
        <v>6.0979854481386986E-2</v>
      </c>
      <c r="O84" s="16">
        <v>6.1111149002179399E-2</v>
      </c>
      <c r="P84" s="16">
        <v>6.0491059155388438E-2</v>
      </c>
      <c r="Q84" s="16">
        <v>5.9086547159679204E-2</v>
      </c>
      <c r="R84" s="16">
        <v>5.6856229311889273E-2</v>
      </c>
      <c r="S84" s="16">
        <v>5.3747817207900783E-2</v>
      </c>
      <c r="T84" s="16">
        <v>4.9693654684889621E-2</v>
      </c>
      <c r="U84" s="16">
        <v>4.4602622376074152E-2</v>
      </c>
      <c r="V84" s="16">
        <v>3.8344117200860617E-2</v>
      </c>
      <c r="W84" s="16">
        <v>3.0711394293084449E-2</v>
      </c>
      <c r="X84" s="16">
        <v>2.1313322171028437E-2</v>
      </c>
      <c r="Y84" s="16">
        <v>8.9371949838187303E-3</v>
      </c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</row>
    <row r="85" spans="1:62" ht="12" customHeight="1">
      <c r="A85" s="14" t="s">
        <v>630</v>
      </c>
      <c r="B85" s="31">
        <v>84</v>
      </c>
      <c r="C85" s="16">
        <v>8.1198684058779724E-3</v>
      </c>
      <c r="D85" s="16">
        <v>1.8135434944413609E-2</v>
      </c>
      <c r="E85" s="16">
        <v>2.5724390381557716E-2</v>
      </c>
      <c r="F85" s="16">
        <v>3.2127750352132001E-2</v>
      </c>
      <c r="G85" s="16">
        <v>3.7663418045288943E-2</v>
      </c>
      <c r="H85" s="16">
        <v>4.2468797666595171E-2</v>
      </c>
      <c r="I85" s="16">
        <v>4.6612765556548141E-2</v>
      </c>
      <c r="J85" s="16">
        <v>5.01310439117576E-2</v>
      </c>
      <c r="K85" s="16">
        <v>5.3040735699886765E-2</v>
      </c>
      <c r="L85" s="16">
        <v>5.5347236435976832E-2</v>
      </c>
      <c r="M85" s="16">
        <v>5.7047803041523903E-2</v>
      </c>
      <c r="N85" s="16">
        <v>5.8133442683269587E-2</v>
      </c>
      <c r="O85" s="16">
        <v>5.8589842309197615E-2</v>
      </c>
      <c r="P85" s="16">
        <v>5.8397661374612775E-2</v>
      </c>
      <c r="Q85" s="16">
        <v>5.7532309744048105E-2</v>
      </c>
      <c r="R85" s="16">
        <v>5.5963200153357651E-2</v>
      </c>
      <c r="S85" s="16">
        <v>5.3652332470221831E-2</v>
      </c>
      <c r="T85" s="16">
        <v>5.0551869818161399E-2</v>
      </c>
      <c r="U85" s="16">
        <v>4.6599983955701085E-2</v>
      </c>
      <c r="V85" s="16">
        <v>4.1713367720330519E-2</v>
      </c>
      <c r="W85" s="16">
        <v>3.5772447762668969E-2</v>
      </c>
      <c r="X85" s="16">
        <v>2.8587554873925392E-2</v>
      </c>
      <c r="Y85" s="16">
        <v>1.9798968155020469E-2</v>
      </c>
      <c r="Z85" s="16">
        <v>8.2877745379259515E-3</v>
      </c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</row>
    <row r="86" spans="1:62" ht="12" customHeight="1">
      <c r="A86" s="14" t="s">
        <v>631</v>
      </c>
      <c r="B86" s="31">
        <v>85</v>
      </c>
      <c r="C86" s="16">
        <v>7.5767171351790452E-3</v>
      </c>
      <c r="D86" s="16">
        <v>1.6929060367524729E-2</v>
      </c>
      <c r="E86" s="16">
        <v>2.4029598161586452E-2</v>
      </c>
      <c r="F86" s="16">
        <v>3.0039239496511105E-2</v>
      </c>
      <c r="G86" s="16">
        <v>3.5257040631476944E-2</v>
      </c>
      <c r="H86" s="16">
        <v>3.9813401384465874E-2</v>
      </c>
      <c r="I86" s="16">
        <v>4.377468013468544E-2</v>
      </c>
      <c r="J86" s="16">
        <v>4.7176287533696182E-2</v>
      </c>
      <c r="K86" s="16">
        <v>5.0036317831791854E-2</v>
      </c>
      <c r="L86" s="16">
        <v>5.2362063560966288E-2</v>
      </c>
      <c r="M86" s="16">
        <v>5.4153416813753297E-2</v>
      </c>
      <c r="N86" s="16">
        <v>5.5404717602324571E-2</v>
      </c>
      <c r="O86" s="16">
        <v>5.6105732788351514E-2</v>
      </c>
      <c r="P86" s="16">
        <v>5.624208262942243E-2</v>
      </c>
      <c r="Q86" s="16">
        <v>5.5795254821008444E-2</v>
      </c>
      <c r="R86" s="16">
        <v>5.4742241164800753E-2</v>
      </c>
      <c r="S86" s="16">
        <v>5.3054746457686264E-2</v>
      </c>
      <c r="T86" s="16">
        <v>5.0697815242450983E-2</v>
      </c>
      <c r="U86" s="16">
        <v>4.7627549166569083E-2</v>
      </c>
      <c r="V86" s="16">
        <v>4.378723872376622E-2</v>
      </c>
      <c r="W86" s="16">
        <v>3.9100421671640295E-2</v>
      </c>
      <c r="X86" s="16">
        <v>3.3457191667496389E-2</v>
      </c>
      <c r="Y86" s="16">
        <v>2.6682874714821114E-2</v>
      </c>
      <c r="Z86" s="16">
        <v>1.8445418171676442E-2</v>
      </c>
      <c r="AA86" s="16">
        <v>7.7088921263482879E-3</v>
      </c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</row>
    <row r="87" spans="1:62" ht="12" customHeight="1">
      <c r="A87" s="14" t="s">
        <v>632</v>
      </c>
      <c r="B87" s="31">
        <v>86</v>
      </c>
      <c r="C87" s="16">
        <v>7.0890699432331061E-3</v>
      </c>
      <c r="D87" s="16">
        <v>1.5845137884849647E-2</v>
      </c>
      <c r="E87" s="16">
        <v>2.2504807713014441E-2</v>
      </c>
      <c r="F87" s="16">
        <v>2.8156702250101806E-2</v>
      </c>
      <c r="G87" s="16">
        <v>3.3082644977586617E-2</v>
      </c>
      <c r="H87" s="16">
        <v>3.7406456047594405E-2</v>
      </c>
      <c r="I87" s="16">
        <v>4.1191944504702205E-2</v>
      </c>
      <c r="J87" s="16">
        <v>4.4473941649919468E-2</v>
      </c>
      <c r="K87" s="16">
        <v>4.7271108798686234E-2</v>
      </c>
      <c r="L87" s="16">
        <v>4.9592081879237582E-2</v>
      </c>
      <c r="M87" s="16">
        <v>5.1438705435867593E-2</v>
      </c>
      <c r="N87" s="16">
        <v>5.2807822102876267E-2</v>
      </c>
      <c r="O87" s="16">
        <v>5.3692263937158868E-2</v>
      </c>
      <c r="P87" s="16">
        <v>5.4081351732308436E-2</v>
      </c>
      <c r="Q87" s="16">
        <v>5.3961047723771971E-2</v>
      </c>
      <c r="R87" s="16">
        <v>5.3313818436909743E-2</v>
      </c>
      <c r="S87" s="16">
        <v>5.2118202075526754E-2</v>
      </c>
      <c r="T87" s="16">
        <v>5.034801265349087E-2</v>
      </c>
      <c r="U87" s="16">
        <v>4.797102556891053E-2</v>
      </c>
      <c r="V87" s="16">
        <v>4.4946833748489512E-2</v>
      </c>
      <c r="W87" s="16">
        <v>4.122324226688967E-2</v>
      </c>
      <c r="X87" s="16">
        <v>3.6729817239689044E-2</v>
      </c>
      <c r="Y87" s="16">
        <v>3.1365171869627284E-2</v>
      </c>
      <c r="Z87" s="16">
        <v>2.4967873873998014E-2</v>
      </c>
      <c r="AA87" s="16">
        <v>1.7230374840956575E-2</v>
      </c>
      <c r="AB87" s="16">
        <v>7.1905408446033547E-3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</row>
    <row r="88" spans="1:62" ht="12" customHeight="1">
      <c r="A88" s="14" t="s">
        <v>633</v>
      </c>
      <c r="B88" s="31">
        <v>87</v>
      </c>
      <c r="C88" s="16">
        <v>6.6494401524679336E-3</v>
      </c>
      <c r="D88" s="16">
        <v>1.4867277176346616E-2</v>
      </c>
      <c r="E88" s="16">
        <v>2.1127577571977585E-2</v>
      </c>
      <c r="F88" s="16">
        <v>2.6453501211956665E-2</v>
      </c>
      <c r="G88" s="16">
        <v>3.1111085692215434E-2</v>
      </c>
      <c r="H88" s="16">
        <v>3.5217987653227256E-2</v>
      </c>
      <c r="I88" s="16">
        <v>3.8835489916183907E-2</v>
      </c>
      <c r="J88" s="16">
        <v>4.1997667246212678E-2</v>
      </c>
      <c r="K88" s="16">
        <v>4.4723442643583078E-2</v>
      </c>
      <c r="L88" s="16">
        <v>4.702238877982079E-2</v>
      </c>
      <c r="M88" s="16">
        <v>4.8897799819402898E-2</v>
      </c>
      <c r="N88" s="16">
        <v>5.0348413056636732E-2</v>
      </c>
      <c r="O88" s="16">
        <v>5.1369391184914237E-2</v>
      </c>
      <c r="P88" s="16">
        <v>5.1952858159624249E-2</v>
      </c>
      <c r="Q88" s="16">
        <v>5.2088133521638103E-2</v>
      </c>
      <c r="R88" s="16">
        <v>5.1761731707827607E-2</v>
      </c>
      <c r="S88" s="16">
        <v>5.0957143145821115E-2</v>
      </c>
      <c r="T88" s="16">
        <v>4.9654372066187502E-2</v>
      </c>
      <c r="U88" s="16">
        <v>4.7829156525852845E-2</v>
      </c>
      <c r="V88" s="16">
        <v>4.5451719321161654E-2</v>
      </c>
      <c r="W88" s="16">
        <v>4.2484756283349689E-2</v>
      </c>
      <c r="X88" s="16">
        <v>3.8880070880925488E-2</v>
      </c>
      <c r="Y88" s="16">
        <v>3.4572564372272518E-2</v>
      </c>
      <c r="Z88" s="16">
        <v>2.9468396811987985E-2</v>
      </c>
      <c r="AA88" s="16">
        <v>2.3417889281020177E-2</v>
      </c>
      <c r="AB88" s="16">
        <v>1.6135303789163946E-2</v>
      </c>
      <c r="AC88" s="16">
        <v>6.7244420282213113E-3</v>
      </c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</row>
    <row r="89" spans="1:62" ht="12" customHeight="1">
      <c r="A89" s="14" t="s">
        <v>634</v>
      </c>
      <c r="B89" s="31">
        <v>88</v>
      </c>
      <c r="C89" s="16">
        <v>6.251578334603658E-3</v>
      </c>
      <c r="D89" s="16">
        <v>1.3981773549160748E-2</v>
      </c>
      <c r="E89" s="16">
        <v>1.987908583650555E-2</v>
      </c>
      <c r="F89" s="16">
        <v>2.4907192065808603E-2</v>
      </c>
      <c r="G89" s="16">
        <v>2.931764149820737E-2</v>
      </c>
      <c r="H89" s="16">
        <v>3.3222326545635505E-2</v>
      </c>
      <c r="I89" s="16">
        <v>3.6680061965943977E-2</v>
      </c>
      <c r="J89" s="16">
        <v>3.9724052628206774E-2</v>
      </c>
      <c r="K89" s="16">
        <v>4.2373263026547536E-2</v>
      </c>
      <c r="L89" s="16">
        <v>4.4637901320838114E-2</v>
      </c>
      <c r="M89" s="16">
        <v>4.6522336493036942E-2</v>
      </c>
      <c r="N89" s="16">
        <v>4.8026748676278985E-2</v>
      </c>
      <c r="O89" s="16">
        <v>4.914809000988718E-2</v>
      </c>
      <c r="P89" s="16">
        <v>4.9880635174167298E-2</v>
      </c>
      <c r="Q89" s="16">
        <v>5.0216262948122647E-2</v>
      </c>
      <c r="R89" s="16">
        <v>5.0144539057913828E-2</v>
      </c>
      <c r="S89" s="16">
        <v>4.9652628379487473E-2</v>
      </c>
      <c r="T89" s="16">
        <v>4.8725033396361805E-2</v>
      </c>
      <c r="U89" s="16">
        <v>4.7343124711219375E-2</v>
      </c>
      <c r="V89" s="16">
        <v>4.5484387641437585E-2</v>
      </c>
      <c r="W89" s="16">
        <v>4.312123973505666E-2</v>
      </c>
      <c r="X89" s="16">
        <v>4.0219142795633989E-2</v>
      </c>
      <c r="Y89" s="16">
        <v>3.6733456054487634E-2</v>
      </c>
      <c r="Z89" s="16">
        <v>3.2603824151165139E-2</v>
      </c>
      <c r="AA89" s="16">
        <v>2.7743124245623196E-2</v>
      </c>
      <c r="AB89" s="16">
        <v>2.2012159242088658E-2</v>
      </c>
      <c r="AC89" s="16">
        <v>1.5144693310939705E-2</v>
      </c>
      <c r="AD89" s="16">
        <v>6.3036972056340623E-3</v>
      </c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</row>
    <row r="90" spans="1:62" ht="12" customHeight="1">
      <c r="A90" s="14" t="s">
        <v>635</v>
      </c>
      <c r="B90" s="31">
        <v>89</v>
      </c>
      <c r="C90" s="16">
        <v>5.8902328356464917E-3</v>
      </c>
      <c r="D90" s="16">
        <v>1.3177092929946177E-2</v>
      </c>
      <c r="E90" s="16">
        <v>1.8743448205267299E-2</v>
      </c>
      <c r="F90" s="16">
        <v>2.3498755749847611E-2</v>
      </c>
      <c r="G90" s="16">
        <v>2.7681241303498361E-2</v>
      </c>
      <c r="H90" s="16">
        <v>3.1397410995674946E-2</v>
      </c>
      <c r="I90" s="16">
        <v>3.4703691546662196E-2</v>
      </c>
      <c r="J90" s="16">
        <v>3.7632349732092396E-2</v>
      </c>
      <c r="K90" s="16">
        <v>4.0202233059055681E-2</v>
      </c>
      <c r="L90" s="16">
        <v>4.2423960527811388E-2</v>
      </c>
      <c r="M90" s="16">
        <v>4.4302693716709363E-2</v>
      </c>
      <c r="N90" s="16">
        <v>4.5839715517966062E-2</v>
      </c>
      <c r="O90" s="16">
        <v>4.7033362692593506E-2</v>
      </c>
      <c r="P90" s="16">
        <v>4.7879577732569012E-2</v>
      </c>
      <c r="Q90" s="16">
        <v>4.8372216443091309E-2</v>
      </c>
      <c r="R90" s="16">
        <v>4.8503182110250398E-2</v>
      </c>
      <c r="S90" s="16">
        <v>4.8262419812526769E-2</v>
      </c>
      <c r="T90" s="16">
        <v>4.763777935250002E-2</v>
      </c>
      <c r="U90" s="16">
        <v>4.6614733657433405E-2</v>
      </c>
      <c r="V90" s="16">
        <v>4.5175914529028249E-2</v>
      </c>
      <c r="W90" s="16">
        <v>4.330039090804394E-2</v>
      </c>
      <c r="X90" s="16">
        <v>4.096255147950989E-2</v>
      </c>
      <c r="Y90" s="16">
        <v>3.8130331474835022E-2</v>
      </c>
      <c r="Z90" s="16">
        <v>3.4762264816296851E-2</v>
      </c>
      <c r="AA90" s="16">
        <v>3.0802231659521673E-2</v>
      </c>
      <c r="AB90" s="16">
        <v>2.6169114275627847E-2</v>
      </c>
      <c r="AC90" s="16">
        <v>2.0733104501376332E-2</v>
      </c>
      <c r="AD90" s="16">
        <v>1.4245478982011894E-2</v>
      </c>
      <c r="AE90" s="16">
        <v>5.9225194526059122E-3</v>
      </c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</row>
    <row r="91" spans="1:62" ht="12" customHeight="1">
      <c r="A91" s="14" t="s">
        <v>636</v>
      </c>
      <c r="B91" s="31">
        <v>90</v>
      </c>
      <c r="C91" s="16">
        <v>5.5609629796234961E-3</v>
      </c>
      <c r="D91" s="16">
        <v>1.2443469022963893E-2</v>
      </c>
      <c r="E91" s="16">
        <v>1.7707181672918515E-2</v>
      </c>
      <c r="F91" s="16">
        <v>2.2211989266530896E-2</v>
      </c>
      <c r="G91" s="16">
        <v>2.6183841141944497E-2</v>
      </c>
      <c r="H91" s="16">
        <v>2.9724211708296977E-2</v>
      </c>
      <c r="I91" s="16">
        <v>3.2887232566978453E-2</v>
      </c>
      <c r="J91" s="16">
        <v>3.5704196224012885E-2</v>
      </c>
      <c r="K91" s="16">
        <v>3.8193719814042071E-2</v>
      </c>
      <c r="L91" s="16">
        <v>4.036666486685947E-2</v>
      </c>
      <c r="M91" s="16">
        <v>4.2228771227940776E-2</v>
      </c>
      <c r="N91" s="16">
        <v>4.3782165745771984E-2</v>
      </c>
      <c r="O91" s="16">
        <v>4.5026262967170716E-2</v>
      </c>
      <c r="P91" s="16">
        <v>4.5958310184780915E-2</v>
      </c>
      <c r="Q91" s="16">
        <v>4.6573707734992698E-2</v>
      </c>
      <c r="R91" s="16">
        <v>4.6866174359863066E-2</v>
      </c>
      <c r="S91" s="16">
        <v>4.6827793597339684E-2</v>
      </c>
      <c r="T91" s="16">
        <v>4.6448955810713177E-2</v>
      </c>
      <c r="U91" s="16">
        <v>4.5718194071939333E-2</v>
      </c>
      <c r="V91" s="16">
        <v>4.4621895741360884E-2</v>
      </c>
      <c r="W91" s="16">
        <v>4.3143850409660289E-2</v>
      </c>
      <c r="X91" s="16">
        <v>4.1264561766484187E-2</v>
      </c>
      <c r="Y91" s="16">
        <v>3.8960192370310343E-2</v>
      </c>
      <c r="Z91" s="16">
        <v>3.6200896395518267E-2</v>
      </c>
      <c r="AA91" s="16">
        <v>3.2948053022441748E-2</v>
      </c>
      <c r="AB91" s="16">
        <v>2.9149339817821529E-2</v>
      </c>
      <c r="AC91" s="16">
        <v>2.4729029823803206E-2</v>
      </c>
      <c r="AD91" s="16">
        <v>1.9565759182194276E-2</v>
      </c>
      <c r="AE91" s="16">
        <v>1.3426592456726616E-2</v>
      </c>
      <c r="AF91" s="16">
        <v>5.576024048995154E-3</v>
      </c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</row>
    <row r="92" spans="1:62" ht="12" customHeight="1">
      <c r="A92" s="14" t="s">
        <v>637</v>
      </c>
      <c r="B92" s="31">
        <v>91</v>
      </c>
      <c r="C92" s="16">
        <v>5.2599920602666161E-3</v>
      </c>
      <c r="D92" s="16">
        <v>1.1772585475363639E-2</v>
      </c>
      <c r="E92" s="16">
        <v>1.6758779362012644E-2</v>
      </c>
      <c r="F92" s="16">
        <v>2.1033018962755445E-2</v>
      </c>
      <c r="G92" s="16">
        <v>2.4809920083456394E-2</v>
      </c>
      <c r="H92" s="16">
        <v>2.8186256054979042E-2</v>
      </c>
      <c r="I92" s="16">
        <v>3.1213963062766803E-2</v>
      </c>
      <c r="J92" s="16">
        <v>3.3923345847495678E-2</v>
      </c>
      <c r="K92" s="16">
        <v>3.6332710977828864E-2</v>
      </c>
      <c r="L92" s="16">
        <v>3.8453036059167389E-2</v>
      </c>
      <c r="M92" s="16">
        <v>4.0290475280048921E-2</v>
      </c>
      <c r="N92" s="16">
        <v>4.1847800614417174E-2</v>
      </c>
      <c r="O92" s="16">
        <v>4.3125269140183664E-2</v>
      </c>
      <c r="P92" s="16">
        <v>4.4121156366057179E-2</v>
      </c>
      <c r="Q92" s="16">
        <v>4.4832080800920826E-2</v>
      </c>
      <c r="R92" s="16">
        <v>4.5253187676720374E-2</v>
      </c>
      <c r="S92" s="16">
        <v>4.5378228505120299E-2</v>
      </c>
      <c r="T92" s="16">
        <v>4.5199554259517938E-2</v>
      </c>
      <c r="U92" s="16">
        <v>4.4708026661458233E-2</v>
      </c>
      <c r="V92" s="16">
        <v>4.389284034808516E-2</v>
      </c>
      <c r="W92" s="16">
        <v>4.274123543205266E-2</v>
      </c>
      <c r="X92" s="16">
        <v>4.1238061323387032E-2</v>
      </c>
      <c r="Y92" s="16">
        <v>3.9365122346292858E-2</v>
      </c>
      <c r="Z92" s="16">
        <v>3.7100181102263541E-2</v>
      </c>
      <c r="AA92" s="16">
        <v>3.4415388771981026E-2</v>
      </c>
      <c r="AB92" s="16">
        <v>3.1274683816283066E-2</v>
      </c>
      <c r="AC92" s="16">
        <v>2.7629161431463212E-2</v>
      </c>
      <c r="AD92" s="16">
        <v>2.340795259539652E-2</v>
      </c>
      <c r="AE92" s="16">
        <v>1.8497316997630686E-2</v>
      </c>
      <c r="AF92" s="16">
        <v>1.267860468751425E-2</v>
      </c>
      <c r="AG92" s="16">
        <v>5.2600638971128655E-3</v>
      </c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</row>
    <row r="93" spans="1:62" ht="12" customHeight="1">
      <c r="A93" s="14" t="s">
        <v>638</v>
      </c>
      <c r="B93" s="31">
        <v>92</v>
      </c>
      <c r="C93" s="16">
        <v>4.9840906833185095E-3</v>
      </c>
      <c r="D93" s="16">
        <v>1.1157323086160242E-2</v>
      </c>
      <c r="E93" s="16">
        <v>1.5888370905171256E-2</v>
      </c>
      <c r="F93" s="16">
        <v>1.9949909057199289E-2</v>
      </c>
      <c r="G93" s="16">
        <v>2.3546070347061687E-2</v>
      </c>
      <c r="H93" s="16">
        <v>2.6769234138422471E-2</v>
      </c>
      <c r="I93" s="16">
        <v>2.9669243544504731E-2</v>
      </c>
      <c r="J93" s="16">
        <v>3.2275418034027226E-2</v>
      </c>
      <c r="K93" s="16">
        <v>3.4605697985545247E-2</v>
      </c>
      <c r="L93" s="16">
        <v>3.6671082003326916E-2</v>
      </c>
      <c r="M93" s="16">
        <v>3.8478012529190253E-2</v>
      </c>
      <c r="N93" s="16">
        <v>4.002975265013009E-2</v>
      </c>
      <c r="O93" s="16">
        <v>4.1327219778889535E-2</v>
      </c>
      <c r="P93" s="16">
        <v>4.2369504398616975E-2</v>
      </c>
      <c r="Q93" s="16">
        <v>4.3154193522232043E-2</v>
      </c>
      <c r="R93" s="16">
        <v>4.367756446103177E-2</v>
      </c>
      <c r="S93" s="16">
        <v>4.393468536475198E-2</v>
      </c>
      <c r="T93" s="16">
        <v>4.3919441855641339E-2</v>
      </c>
      <c r="U93" s="16">
        <v>4.3624497706993837E-2</v>
      </c>
      <c r="V93" s="16">
        <v>4.3041188500471339E-2</v>
      </c>
      <c r="W93" s="16">
        <v>4.2159338190608686E-2</v>
      </c>
      <c r="X93" s="16">
        <v>4.0966977208870214E-2</v>
      </c>
      <c r="Y93" s="16">
        <v>3.9449923918241869E-2</v>
      </c>
      <c r="Z93" s="16">
        <v>3.7591163124020111E-2</v>
      </c>
      <c r="AA93" s="16">
        <v>3.536990423994113E-2</v>
      </c>
      <c r="AB93" s="16">
        <v>3.2760101340717718E-2</v>
      </c>
      <c r="AC93" s="16">
        <v>2.9728002893221528E-2</v>
      </c>
      <c r="AD93" s="16">
        <v>2.6227790964820197E-2</v>
      </c>
      <c r="AE93" s="16">
        <v>2.2192990071839613E-2</v>
      </c>
      <c r="AF93" s="16">
        <v>1.7516766833152175E-2</v>
      </c>
      <c r="AG93" s="16">
        <v>1.1993441601852228E-2</v>
      </c>
      <c r="AH93" s="16">
        <v>4.9710990600277949E-3</v>
      </c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</row>
    <row r="94" spans="1:62" ht="12" customHeight="1">
      <c r="A94" s="14" t="s">
        <v>639</v>
      </c>
      <c r="B94" s="31">
        <v>93</v>
      </c>
      <c r="C94" s="16">
        <v>4.730483475125502E-3</v>
      </c>
      <c r="D94" s="16">
        <v>1.059155723030003E-2</v>
      </c>
      <c r="E94" s="16">
        <v>1.5087449231310002E-2</v>
      </c>
      <c r="F94" s="16">
        <v>1.89523447704395E-2</v>
      </c>
      <c r="G94" s="16">
        <v>2.2380662345093727E-2</v>
      </c>
      <c r="H94" s="16">
        <v>2.5460671868183238E-2</v>
      </c>
      <c r="I94" s="16">
        <v>2.8240225579097222E-2</v>
      </c>
      <c r="J94" s="16">
        <v>3.0747671333423265E-2</v>
      </c>
      <c r="K94" s="16">
        <v>3.3000545958127847E-2</v>
      </c>
      <c r="L94" s="16">
        <v>3.5009797683279498E-2</v>
      </c>
      <c r="M94" s="16">
        <v>3.6782059789791322E-2</v>
      </c>
      <c r="N94" s="16">
        <v>3.8320966341151785E-2</v>
      </c>
      <c r="O94" s="16">
        <v>3.962795273089903E-2</v>
      </c>
      <c r="P94" s="16">
        <v>4.0702758289816732E-2</v>
      </c>
      <c r="Q94" s="16">
        <v>4.1543745218337258E-2</v>
      </c>
      <c r="R94" s="16">
        <v>4.2148096951570624E-2</v>
      </c>
      <c r="S94" s="16">
        <v>4.25119316877276E-2</v>
      </c>
      <c r="T94" s="16">
        <v>4.2630350993046906E-2</v>
      </c>
      <c r="U94" s="16">
        <v>4.2497433326959433E-2</v>
      </c>
      <c r="V94" s="16">
        <v>4.2106174950348185E-2</v>
      </c>
      <c r="W94" s="16">
        <v>4.1448374088866702E-2</v>
      </c>
      <c r="X94" s="16">
        <v>4.0514446863148978E-2</v>
      </c>
      <c r="Y94" s="16">
        <v>3.9293153537381498E-2</v>
      </c>
      <c r="Z94" s="16">
        <v>3.777119820745467E-2</v>
      </c>
      <c r="AA94" s="16">
        <v>3.5932638817462337E-2</v>
      </c>
      <c r="AB94" s="16">
        <v>3.3757996357049791E-2</v>
      </c>
      <c r="AC94" s="16">
        <v>3.1222857493077405E-2</v>
      </c>
      <c r="AD94" s="16">
        <v>2.8295562545942898E-2</v>
      </c>
      <c r="AE94" s="16">
        <v>2.4933091115500461E-2</v>
      </c>
      <c r="AF94" s="16">
        <v>2.1072954653880926E-2</v>
      </c>
      <c r="AG94" s="16">
        <v>1.6614598155034965E-2</v>
      </c>
      <c r="AH94" s="16">
        <v>1.1364155863633596E-2</v>
      </c>
      <c r="AI94" s="16">
        <v>4.7060925475370663E-3</v>
      </c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</row>
    <row r="95" spans="1:62" ht="12" customHeight="1">
      <c r="A95" s="14" t="s">
        <v>640</v>
      </c>
      <c r="B95" s="31">
        <v>94</v>
      </c>
      <c r="C95" s="16">
        <v>4.4967739360743941E-3</v>
      </c>
      <c r="D95" s="16">
        <v>1.0069994375286773E-2</v>
      </c>
      <c r="E95" s="16">
        <v>1.434864929953128E-2</v>
      </c>
      <c r="F95" s="16">
        <v>1.8031374287075908E-2</v>
      </c>
      <c r="G95" s="16">
        <v>2.1303569612519668E-2</v>
      </c>
      <c r="H95" s="16">
        <v>2.424965889912889E-2</v>
      </c>
      <c r="I95" s="16">
        <v>2.6915603721630821E-2</v>
      </c>
      <c r="J95" s="16">
        <v>2.9328801652557135E-2</v>
      </c>
      <c r="K95" s="16">
        <v>3.1506362215784178E-2</v>
      </c>
      <c r="L95" s="16">
        <v>3.3459129919866215E-2</v>
      </c>
      <c r="M95" s="16">
        <v>3.5193853392765373E-2</v>
      </c>
      <c r="N95" s="16">
        <v>3.6714443403903174E-2</v>
      </c>
      <c r="O95" s="16">
        <v>3.802274124061289E-2</v>
      </c>
      <c r="P95" s="16">
        <v>3.9119004462536355E-2</v>
      </c>
      <c r="Q95" s="16">
        <v>4.000221916951785E-2</v>
      </c>
      <c r="R95" s="16">
        <v>4.0670299368848917E-2</v>
      </c>
      <c r="S95" s="16">
        <v>4.1120208167188421E-2</v>
      </c>
      <c r="T95" s="16">
        <v>4.134802074846089E-2</v>
      </c>
      <c r="U95" s="16">
        <v>4.1348939960310083E-2</v>
      </c>
      <c r="V95" s="16">
        <v>4.1117269004217527E-2</v>
      </c>
      <c r="W95" s="16">
        <v>4.0646340573027961E-2</v>
      </c>
      <c r="X95" s="16">
        <v>3.9928396632737728E-2</v>
      </c>
      <c r="Y95" s="16">
        <v>3.8954406752388149E-2</v>
      </c>
      <c r="Z95" s="16">
        <v>3.7713803890732644E-2</v>
      </c>
      <c r="AA95" s="16">
        <v>3.6194102235953318E-2</v>
      </c>
      <c r="AB95" s="16">
        <v>3.4380337079873979E-2</v>
      </c>
      <c r="AC95" s="16">
        <v>3.2254221420550566E-2</v>
      </c>
      <c r="AD95" s="16">
        <v>2.9792824629242043E-2</v>
      </c>
      <c r="AE95" s="16">
        <v>2.696638722364153E-2</v>
      </c>
      <c r="AF95" s="16">
        <v>2.3734432168510122E-2</v>
      </c>
      <c r="AG95" s="16">
        <v>2.0038100319118568E-2</v>
      </c>
      <c r="AH95" s="16">
        <v>1.578256137056766E-2</v>
      </c>
      <c r="AI95" s="16">
        <v>1.0784742398346481E-2</v>
      </c>
      <c r="AJ95" s="16">
        <v>4.4624264674925085E-3</v>
      </c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</row>
    <row r="96" spans="1:62" ht="12" customHeight="1">
      <c r="A96" s="14" t="s">
        <v>641</v>
      </c>
      <c r="B96" s="31">
        <v>95</v>
      </c>
      <c r="C96" s="16">
        <v>4.2808834982871469E-3</v>
      </c>
      <c r="D96" s="16">
        <v>9.5880392710165907E-3</v>
      </c>
      <c r="E96" s="16">
        <v>1.3665567772377041E-2</v>
      </c>
      <c r="F96" s="16">
        <v>1.7179197416192227E-2</v>
      </c>
      <c r="G96" s="16">
        <v>2.0305941828205554E-2</v>
      </c>
      <c r="H96" s="16">
        <v>2.3126621533105185E-2</v>
      </c>
      <c r="I96" s="16">
        <v>2.5685404473094531E-2</v>
      </c>
      <c r="J96" s="16">
        <v>2.800876439951705E-2</v>
      </c>
      <c r="K96" s="16">
        <v>3.0113369933346568E-2</v>
      </c>
      <c r="L96" s="16">
        <v>3.2009922298930293E-2</v>
      </c>
      <c r="M96" s="16">
        <v>3.3705226867034255E-2</v>
      </c>
      <c r="N96" s="16">
        <v>3.5203396772957696E-2</v>
      </c>
      <c r="O96" s="16">
        <v>3.6506590344574374E-2</v>
      </c>
      <c r="P96" s="16">
        <v>3.7615479829245402E-2</v>
      </c>
      <c r="Q96" s="16">
        <v>3.8529555702889851E-2</v>
      </c>
      <c r="R96" s="16">
        <v>3.92473246668541E-2</v>
      </c>
      <c r="S96" s="16">
        <v>3.9766434917160365E-2</v>
      </c>
      <c r="T96" s="16">
        <v>4.0083748382615636E-2</v>
      </c>
      <c r="U96" s="16">
        <v>4.0195371193154195E-2</v>
      </c>
      <c r="V96" s="16">
        <v>4.0096648030306659E-2</v>
      </c>
      <c r="W96" s="16">
        <v>3.9782121761879452E-2</v>
      </c>
      <c r="X96" s="16">
        <v>3.9245455918377248E-2</v>
      </c>
      <c r="Y96" s="16">
        <v>3.8479313328390941E-2</v>
      </c>
      <c r="Z96" s="16">
        <v>3.7475178671341203E-2</v>
      </c>
      <c r="AA96" s="16">
        <v>3.6223104448517396E-2</v>
      </c>
      <c r="AB96" s="16">
        <v>3.4711346494953665E-2</v>
      </c>
      <c r="AC96" s="16">
        <v>3.2925831965815E-2</v>
      </c>
      <c r="AD96" s="16">
        <v>3.0849359927877851E-2</v>
      </c>
      <c r="AE96" s="16">
        <v>2.8460350114250854E-2</v>
      </c>
      <c r="AF96" s="16">
        <v>2.5730774233446052E-2</v>
      </c>
      <c r="AG96" s="16">
        <v>2.2622474455710972E-2</v>
      </c>
      <c r="AH96" s="16">
        <v>1.9079905381653273E-2</v>
      </c>
      <c r="AI96" s="16">
        <v>1.5013471732615136E-2</v>
      </c>
      <c r="AJ96" s="16">
        <v>1.0249988328622783E-2</v>
      </c>
      <c r="AK96" s="16">
        <v>4.2378341056834579E-3</v>
      </c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</row>
    <row r="97" spans="1:62" ht="12" customHeight="1">
      <c r="A97" s="14" t="s">
        <v>642</v>
      </c>
      <c r="B97" s="31">
        <v>96</v>
      </c>
      <c r="C97" s="16">
        <v>4.0810017872159321E-3</v>
      </c>
      <c r="D97" s="16">
        <v>9.1416863847066931E-3</v>
      </c>
      <c r="E97" s="16">
        <v>1.3032615178368956E-2</v>
      </c>
      <c r="F97" s="16">
        <v>1.6388991550500553E-2</v>
      </c>
      <c r="G97" s="16">
        <v>1.9380016644416909E-2</v>
      </c>
      <c r="H97" s="16">
        <v>2.2083132538772254E-2</v>
      </c>
      <c r="I97" s="16">
        <v>2.4540806667715076E-2</v>
      </c>
      <c r="J97" s="16">
        <v>2.6778618706495116E-2</v>
      </c>
      <c r="K97" s="16">
        <v>2.8812790337673921E-2</v>
      </c>
      <c r="L97" s="16">
        <v>3.065385052841707E-2</v>
      </c>
      <c r="M97" s="16">
        <v>3.2308615885835001E-2</v>
      </c>
      <c r="N97" s="16">
        <v>3.378134305405367E-2</v>
      </c>
      <c r="O97" s="16">
        <v>3.507443655119491E-2</v>
      </c>
      <c r="P97" s="16">
        <v>3.6188900640066635E-2</v>
      </c>
      <c r="Q97" s="16">
        <v>3.7124634944602053E-2</v>
      </c>
      <c r="R97" s="16">
        <v>3.7880629519996822E-2</v>
      </c>
      <c r="S97" s="16">
        <v>3.8455091766218086E-2</v>
      </c>
      <c r="T97" s="16">
        <v>3.8845524438578583E-2</v>
      </c>
      <c r="U97" s="16">
        <v>3.90487661327098E-2</v>
      </c>
      <c r="V97" s="16">
        <v>3.906100052867012E-2</v>
      </c>
      <c r="W97" s="16">
        <v>3.887773702243047E-2</v>
      </c>
      <c r="X97" s="16">
        <v>3.8493762329269599E-2</v>
      </c>
      <c r="Y97" s="16">
        <v>3.790305960192919E-2</v>
      </c>
      <c r="Z97" s="16">
        <v>3.7098687966206967E-2</v>
      </c>
      <c r="AA97" s="16">
        <v>3.6072610352073653E-2</v>
      </c>
      <c r="AB97" s="16">
        <v>3.4815449832113599E-2</v>
      </c>
      <c r="AC97" s="16">
        <v>3.3316142104195978E-2</v>
      </c>
      <c r="AD97" s="16">
        <v>3.1561429841980959E-2</v>
      </c>
      <c r="AE97" s="16">
        <v>2.9535104095472331E-2</v>
      </c>
      <c r="AF97" s="16">
        <v>2.7216817738578314E-2</v>
      </c>
      <c r="AG97" s="16">
        <v>2.4580124103604328E-2</v>
      </c>
      <c r="AH97" s="16">
        <v>2.1588986127531018E-2</v>
      </c>
      <c r="AI97" s="16">
        <v>1.8190892405459014E-2</v>
      </c>
      <c r="AJ97" s="16">
        <v>1.4301047974727865E-2</v>
      </c>
      <c r="AK97" s="16">
        <v>9.7553501600129433E-3</v>
      </c>
      <c r="AL97" s="16">
        <v>4.0303445582056119E-3</v>
      </c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</row>
    <row r="98" spans="1:62" ht="12" customHeight="1">
      <c r="A98" s="14" t="s">
        <v>643</v>
      </c>
      <c r="B98" s="31">
        <v>97</v>
      </c>
      <c r="C98" s="16">
        <v>3.8955457835962992E-3</v>
      </c>
      <c r="D98" s="16">
        <v>8.7274306333079421E-3</v>
      </c>
      <c r="E98" s="16">
        <v>1.2444894028154518E-2</v>
      </c>
      <c r="F98" s="16">
        <v>1.5654767594255881E-2</v>
      </c>
      <c r="G98" s="16">
        <v>1.8518962983093745E-2</v>
      </c>
      <c r="H98" s="16">
        <v>2.1111751356852615E-2</v>
      </c>
      <c r="I98" s="16">
        <v>2.3473988445879668E-2</v>
      </c>
      <c r="J98" s="16">
        <v>2.5630391532349583E-2</v>
      </c>
      <c r="K98" s="16">
        <v>2.7596734942570311E-2</v>
      </c>
      <c r="L98" s="16">
        <v>2.9383354578029985E-2</v>
      </c>
      <c r="M98" s="16">
        <v>3.0997042994615476E-2</v>
      </c>
      <c r="N98" s="16">
        <v>3.2442153604826385E-2</v>
      </c>
      <c r="O98" s="16">
        <v>3.3721280335361814E-2</v>
      </c>
      <c r="P98" s="16">
        <v>3.4835693030722203E-2</v>
      </c>
      <c r="Q98" s="16">
        <v>3.5785624017630746E-2</v>
      </c>
      <c r="R98" s="16">
        <v>3.6570459243968068E-2</v>
      </c>
      <c r="S98" s="16">
        <v>3.7188865180469821E-2</v>
      </c>
      <c r="T98" s="16">
        <v>3.7638870198968832E-2</v>
      </c>
      <c r="U98" s="16">
        <v>3.7917911726728759E-2</v>
      </c>
      <c r="V98" s="16">
        <v>3.8022855775317499E-2</v>
      </c>
      <c r="W98" s="16">
        <v>3.7949992196302129E-2</v>
      </c>
      <c r="X98" s="16">
        <v>3.7695006486722415E-2</v>
      </c>
      <c r="Y98" s="16">
        <v>3.725292665421065E-2</v>
      </c>
      <c r="Z98" s="16">
        <v>3.6618041126829759E-2</v>
      </c>
      <c r="AA98" s="16">
        <v>3.5783780471082993E-2</v>
      </c>
      <c r="AB98" s="16">
        <v>3.4742551066030858E-2</v>
      </c>
      <c r="AC98" s="16">
        <v>3.3485501707116061E-2</v>
      </c>
      <c r="AD98" s="16">
        <v>3.2002192244778405E-2</v>
      </c>
      <c r="AE98" s="16">
        <v>3.0280112602883213E-2</v>
      </c>
      <c r="AF98" s="16">
        <v>2.8303962050806208E-2</v>
      </c>
      <c r="AG98" s="16">
        <v>2.6054522453711537E-2</v>
      </c>
      <c r="AH98" s="16">
        <v>2.3506795950492654E-2</v>
      </c>
      <c r="AI98" s="16">
        <v>2.0626689948481269E-2</v>
      </c>
      <c r="AJ98" s="16">
        <v>1.7364478216315038E-2</v>
      </c>
      <c r="AK98" s="16">
        <v>1.3639778818718806E-2</v>
      </c>
      <c r="AL98" s="16">
        <v>9.2968526927377226E-3</v>
      </c>
      <c r="AM98" s="16">
        <v>3.8382373260801295E-3</v>
      </c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</row>
    <row r="99" spans="1:62" ht="12" customHeight="1">
      <c r="A99" s="14" t="s">
        <v>644</v>
      </c>
      <c r="B99" s="31">
        <v>98</v>
      </c>
      <c r="C99" s="16">
        <v>3.7231261033268126E-3</v>
      </c>
      <c r="D99" s="16">
        <v>8.3421935762196808E-3</v>
      </c>
      <c r="E99" s="16">
        <v>1.1898097792862328E-2</v>
      </c>
      <c r="F99" s="16">
        <v>1.4971250107675083E-2</v>
      </c>
      <c r="G99" s="16">
        <v>1.7716749966328327E-2</v>
      </c>
      <c r="H99" s="16">
        <v>2.0205889383212772E-2</v>
      </c>
      <c r="I99" s="16">
        <v>2.2477996676606993E-2</v>
      </c>
      <c r="J99" s="16">
        <v>2.4556959379948951E-2</v>
      </c>
      <c r="K99" s="16">
        <v>2.6458108191676044E-2</v>
      </c>
      <c r="L99" s="16">
        <v>2.8191571449942332E-2</v>
      </c>
      <c r="M99" s="16">
        <v>2.9764090386025566E-2</v>
      </c>
      <c r="N99" s="16">
        <v>3.1180077985247356E-2</v>
      </c>
      <c r="O99" s="16">
        <v>3.2442271880049889E-2</v>
      </c>
      <c r="P99" s="16">
        <v>3.3552153808612428E-2</v>
      </c>
      <c r="Q99" s="16">
        <v>3.4510227018150097E-2</v>
      </c>
      <c r="R99" s="16">
        <v>3.5316202844836497E-2</v>
      </c>
      <c r="S99" s="16">
        <v>3.5969126478365143E-2</v>
      </c>
      <c r="T99" s="16">
        <v>3.6467460036923138E-2</v>
      </c>
      <c r="U99" s="16">
        <v>3.6809134058818804E-2</v>
      </c>
      <c r="V99" s="16">
        <v>3.6991574126199911E-2</v>
      </c>
      <c r="W99" s="16">
        <v>3.7011706387957144E-2</v>
      </c>
      <c r="X99" s="16">
        <v>3.6865943564786674E-2</v>
      </c>
      <c r="Y99" s="16">
        <v>3.6550151166815481E-2</v>
      </c>
      <c r="Z99" s="16">
        <v>3.6059591802546365E-2</v>
      </c>
      <c r="AA99" s="16">
        <v>3.5388843281801696E-2</v>
      </c>
      <c r="AB99" s="16">
        <v>3.4531683300628058E-2</v>
      </c>
      <c r="AC99" s="16">
        <v>3.3480929207853616E-2</v>
      </c>
      <c r="AD99" s="16">
        <v>3.2228214600320215E-2</v>
      </c>
      <c r="AE99" s="16">
        <v>3.0763673256157364E-2</v>
      </c>
      <c r="AF99" s="16">
        <v>2.9075481206380926E-2</v>
      </c>
      <c r="AG99" s="16">
        <v>2.7149171177150211E-2</v>
      </c>
      <c r="AH99" s="16">
        <v>2.4966561209608162E-2</v>
      </c>
      <c r="AI99" s="16">
        <v>2.250398391962849E-2</v>
      </c>
      <c r="AJ99" s="16">
        <v>1.9729134030066708E-2</v>
      </c>
      <c r="AK99" s="16">
        <v>1.6594848419746899E-2</v>
      </c>
      <c r="AL99" s="16">
        <v>1.3024811982534135E-2</v>
      </c>
      <c r="AM99" s="16">
        <v>8.8710053657006238E-3</v>
      </c>
      <c r="AN99" s="16">
        <v>3.6600048692890796E-3</v>
      </c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</row>
    <row r="100" spans="1:62" ht="12" customHeight="1">
      <c r="A100" s="14" t="s">
        <v>645</v>
      </c>
      <c r="B100" s="31">
        <v>99</v>
      </c>
      <c r="C100" s="16">
        <v>3.5625190058681255E-3</v>
      </c>
      <c r="D100" s="16">
        <v>7.9832620708740754E-3</v>
      </c>
      <c r="E100" s="16">
        <v>1.1388426751340552E-2</v>
      </c>
      <c r="F100" s="16">
        <v>1.4333777126132485E-2</v>
      </c>
      <c r="G100" s="16">
        <v>1.6968036825570687E-2</v>
      </c>
      <c r="H100" s="16">
        <v>1.9359696011413075E-2</v>
      </c>
      <c r="I100" s="16">
        <v>2.1546635327926777E-2</v>
      </c>
      <c r="J100" s="16">
        <v>2.3551945460217993E-2</v>
      </c>
      <c r="K100" s="16">
        <v>2.5390520237036251E-2</v>
      </c>
      <c r="L100" s="16">
        <v>2.707227082089203E-2</v>
      </c>
      <c r="M100" s="16">
        <v>2.8603866158277147E-2</v>
      </c>
      <c r="N100" s="16">
        <v>2.9989749175452496E-2</v>
      </c>
      <c r="O100" s="16">
        <v>3.1232764293169457E-2</v>
      </c>
      <c r="P100" s="16">
        <v>3.2334561538803652E-2</v>
      </c>
      <c r="Q100" s="16">
        <v>3.3295864845950707E-2</v>
      </c>
      <c r="R100" s="16">
        <v>3.4116653706321332E-2</v>
      </c>
      <c r="S100" s="16">
        <v>3.4796287038595608E-2</v>
      </c>
      <c r="T100" s="16">
        <v>3.5333586793826921E-2</v>
      </c>
      <c r="U100" s="16">
        <v>3.5726892143015943E-2</v>
      </c>
      <c r="V100" s="16">
        <v>3.5974090957303084E-2</v>
      </c>
      <c r="W100" s="16">
        <v>3.6072632569148277E-2</v>
      </c>
      <c r="X100" s="16">
        <v>3.6019523860805869E-2</v>
      </c>
      <c r="Y100" s="16">
        <v>3.581130917641695E-2</v>
      </c>
      <c r="Z100" s="16">
        <v>3.5444033123458896E-2</v>
      </c>
      <c r="AA100" s="16">
        <v>3.4913183781523083E-2</v>
      </c>
      <c r="AB100" s="16">
        <v>3.4213611906702912E-2</v>
      </c>
      <c r="AC100" s="16">
        <v>3.3339419040791629E-2</v>
      </c>
      <c r="AD100" s="16">
        <v>3.2283803417724077E-2</v>
      </c>
      <c r="AE100" s="16">
        <v>3.1038846176606905E-2</v>
      </c>
      <c r="AF100" s="16">
        <v>2.959520972306906E-2</v>
      </c>
      <c r="AG100" s="16">
        <v>2.7941701335196356E-2</v>
      </c>
      <c r="AH100" s="16">
        <v>2.606462029837342E-2</v>
      </c>
      <c r="AI100" s="16">
        <v>2.3946737873008939E-2</v>
      </c>
      <c r="AJ100" s="16">
        <v>2.156561139971469E-2</v>
      </c>
      <c r="AK100" s="16">
        <v>1.8890582375419518E-2</v>
      </c>
      <c r="AL100" s="16">
        <v>1.587685196849109E-2</v>
      </c>
      <c r="AM100" s="16">
        <v>1.2451861453273372E-2</v>
      </c>
      <c r="AN100" s="16">
        <v>8.474732672087204E-3</v>
      </c>
      <c r="AO100" s="16">
        <v>3.4943215601993538E-3</v>
      </c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</row>
    <row r="101" spans="1:62" ht="12" customHeight="1">
      <c r="A101" s="14" t="s">
        <v>646</v>
      </c>
      <c r="B101" s="31">
        <v>100</v>
      </c>
      <c r="C101" s="16">
        <v>3.412643040561214E-3</v>
      </c>
      <c r="D101" s="16">
        <v>7.6482370337946914E-3</v>
      </c>
      <c r="E101" s="16">
        <v>1.0912517553919643E-2</v>
      </c>
      <c r="F101" s="16">
        <v>1.3738216047230356E-2</v>
      </c>
      <c r="G101" s="16">
        <v>1.6268080056343392E-2</v>
      </c>
      <c r="H101" s="16">
        <v>1.8567961914006892E-2</v>
      </c>
      <c r="I101" s="16">
        <v>2.0674369835912421E-2</v>
      </c>
      <c r="J101" s="16">
        <v>2.2609630310509665E-2</v>
      </c>
      <c r="K101" s="16">
        <v>2.438820923538354E-2</v>
      </c>
      <c r="L101" s="16">
        <v>2.6019794768203597E-2</v>
      </c>
      <c r="M101" s="16">
        <v>2.7510967602463632E-2</v>
      </c>
      <c r="N101" s="16">
        <v>2.886617699898264E-2</v>
      </c>
      <c r="O101" s="16">
        <v>3.0088344260299271E-2</v>
      </c>
      <c r="P101" s="16">
        <v>3.1179252133484936E-2</v>
      </c>
      <c r="Q101" s="16">
        <v>3.2139804172962028E-2</v>
      </c>
      <c r="R101" s="16">
        <v>3.2970201273825994E-2</v>
      </c>
      <c r="S101" s="16">
        <v>3.3670063142285822E-2</v>
      </c>
      <c r="T101" s="16">
        <v>3.4238511616653811E-2</v>
      </c>
      <c r="U101" s="16">
        <v>3.4674226386699258E-2</v>
      </c>
      <c r="V101" s="16">
        <v>3.4975479741305437E-2</v>
      </c>
      <c r="W101" s="16">
        <v>3.5140154431524406E-2</v>
      </c>
      <c r="X101" s="16">
        <v>3.516574697126662E-2</v>
      </c>
      <c r="Y101" s="16">
        <v>3.5049357354565491E-2</v>
      </c>
      <c r="Z101" s="16">
        <v>3.478766501055941E-2</v>
      </c>
      <c r="AA101" s="16">
        <v>3.4376889659942567E-2</v>
      </c>
      <c r="AB101" s="16">
        <v>3.3812734397452138E-2</v>
      </c>
      <c r="AC101" s="16">
        <v>3.3090306577352235E-2</v>
      </c>
      <c r="AD101" s="16">
        <v>3.2204009588213567E-2</v>
      </c>
      <c r="AE101" s="16">
        <v>3.1147394818438534E-2</v>
      </c>
      <c r="AF101" s="16">
        <v>2.9912957060284406E-2</v>
      </c>
      <c r="AG101" s="16">
        <v>2.8491846452187164E-2</v>
      </c>
      <c r="AH101" s="16">
        <v>2.6873452201402692E-2</v>
      </c>
      <c r="AI101" s="16">
        <v>2.5044780142209233E-2</v>
      </c>
      <c r="AJ101" s="16">
        <v>2.2989480399233875E-2</v>
      </c>
      <c r="AK101" s="16">
        <v>2.0686240243667608E-2</v>
      </c>
      <c r="AL101" s="16">
        <v>1.8105921878955766E-2</v>
      </c>
      <c r="AM101" s="16">
        <v>1.5205912210112582E-2</v>
      </c>
      <c r="AN101" s="16">
        <v>1.1917129666271453E-2</v>
      </c>
      <c r="AO101" s="16">
        <v>8.1053159987163337E-3</v>
      </c>
      <c r="AP101" s="16">
        <v>3.3400178128156766E-3</v>
      </c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</row>
    <row r="102" spans="1:62" ht="12" customHeight="1">
      <c r="A102" s="14" t="s">
        <v>647</v>
      </c>
      <c r="B102" s="31">
        <v>101</v>
      </c>
      <c r="C102" s="16">
        <v>3.2725394691636156E-3</v>
      </c>
      <c r="D102" s="16">
        <v>7.3349904411282862E-3</v>
      </c>
      <c r="E102" s="16">
        <v>1.0467383998923441E-2</v>
      </c>
      <c r="F102" s="16">
        <v>1.3180892705206171E-2</v>
      </c>
      <c r="G102" s="16">
        <v>1.5612654811086091E-2</v>
      </c>
      <c r="H102" s="16">
        <v>1.7826036685093971E-2</v>
      </c>
      <c r="I102" s="16">
        <v>1.9856244995726247E-2</v>
      </c>
      <c r="J102" s="16">
        <v>2.1724874081397116E-2</v>
      </c>
      <c r="K102" s="16">
        <v>2.3445972379866786E-2</v>
      </c>
      <c r="L102" s="16">
        <v>2.5029002141483403E-2</v>
      </c>
      <c r="M102" s="16">
        <v>2.6480443797875064E-2</v>
      </c>
      <c r="N102" s="16">
        <v>2.7804734160840283E-2</v>
      </c>
      <c r="O102" s="16">
        <v>2.9004847135230327E-2</v>
      </c>
      <c r="P102" s="16">
        <v>3.0082669063132728E-2</v>
      </c>
      <c r="Q102" s="16">
        <v>3.1039249387224799E-2</v>
      </c>
      <c r="R102" s="16">
        <v>3.1874971998144486E-2</v>
      </c>
      <c r="S102" s="16">
        <v>3.2589673983615675E-2</v>
      </c>
      <c r="T102" s="16">
        <v>3.3182728097693515E-2</v>
      </c>
      <c r="U102" s="16">
        <v>3.3653099181856772E-2</v>
      </c>
      <c r="V102" s="16">
        <v>3.3999381041237564E-2</v>
      </c>
      <c r="W102" s="16">
        <v>3.4219817883693993E-2</v>
      </c>
      <c r="X102" s="16">
        <v>3.4312312799681055E-2</v>
      </c>
      <c r="Y102" s="16">
        <v>3.4274424564491812E-2</v>
      </c>
      <c r="Z102" s="16">
        <v>3.4103353069493192E-2</v>
      </c>
      <c r="AA102" s="16">
        <v>3.379591278216254E-2</v>
      </c>
      <c r="AB102" s="16">
        <v>3.3348492660898343E-2</v>
      </c>
      <c r="AC102" s="16">
        <v>3.2756999760636618E-2</v>
      </c>
      <c r="AD102" s="16">
        <v>3.201678215798065E-2</v>
      </c>
      <c r="AE102" s="16">
        <v>3.1122524489864078E-2</v>
      </c>
      <c r="AF102" s="16">
        <v>3.0068105817587787E-2</v>
      </c>
      <c r="AG102" s="16">
        <v>2.8846403771653928E-2</v>
      </c>
      <c r="AH102" s="16">
        <v>2.7449019261801988E-2</v>
      </c>
      <c r="AI102" s="16">
        <v>2.5865878999747349E-2</v>
      </c>
      <c r="AJ102" s="16">
        <v>2.4084641403402163E-2</v>
      </c>
      <c r="AK102" s="16">
        <v>2.2089768634613982E-2</v>
      </c>
      <c r="AL102" s="16">
        <v>1.9860992681184575E-2</v>
      </c>
      <c r="AM102" s="16">
        <v>1.7370583041135257E-2</v>
      </c>
      <c r="AN102" s="16">
        <v>1.4577951541779322E-2</v>
      </c>
      <c r="AO102" s="16">
        <v>1.1417241910526954E-2</v>
      </c>
      <c r="AP102" s="16">
        <v>7.7603447898472178E-3</v>
      </c>
      <c r="AQ102" s="16">
        <v>3.1960584218908572E-3</v>
      </c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</row>
    <row r="103" spans="1:62" ht="12" customHeight="1">
      <c r="A103" s="14" t="s">
        <v>648</v>
      </c>
      <c r="B103" s="31">
        <v>102</v>
      </c>
      <c r="C103" s="16">
        <v>3.1413557795053615E-3</v>
      </c>
      <c r="D103" s="16">
        <v>7.0416290826029737E-3</v>
      </c>
      <c r="E103" s="16">
        <v>1.005036702165607E-2</v>
      </c>
      <c r="F103" s="16">
        <v>1.2658531319884481E-2</v>
      </c>
      <c r="G103" s="16">
        <v>1.4997988096560499E-2</v>
      </c>
      <c r="H103" s="16">
        <v>1.7129758485869173E-2</v>
      </c>
      <c r="I103" s="16">
        <v>1.9087814297902739E-2</v>
      </c>
      <c r="J103" s="16">
        <v>2.0893048916410639E-2</v>
      </c>
      <c r="K103" s="16">
        <v>2.2559104829529497E-2</v>
      </c>
      <c r="L103" s="16">
        <v>2.4095217736323393E-2</v>
      </c>
      <c r="M103" s="16">
        <v>2.5507758945448544E-2</v>
      </c>
      <c r="N103" s="16">
        <v>2.6801137912378814E-2</v>
      </c>
      <c r="O103" s="16">
        <v>2.7978361404716212E-2</v>
      </c>
      <c r="P103" s="16">
        <v>2.9041395435382755E-2</v>
      </c>
      <c r="Q103" s="16">
        <v>2.9991407507286683E-2</v>
      </c>
      <c r="R103" s="16">
        <v>3.0828932792004382E-2</v>
      </c>
      <c r="S103" s="16">
        <v>3.1553989961765283E-2</v>
      </c>
      <c r="T103" s="16">
        <v>3.2166162415546262E-2</v>
      </c>
      <c r="U103" s="16">
        <v>3.2664654808627125E-2</v>
      </c>
      <c r="V103" s="16">
        <v>3.30483312349239E-2</v>
      </c>
      <c r="W103" s="16">
        <v>3.3315739140503453E-2</v>
      </c>
      <c r="X103" s="16">
        <v>3.3465121524080432E-2</v>
      </c>
      <c r="Y103" s="16">
        <v>3.3494418892291433E-2</v>
      </c>
      <c r="Z103" s="16">
        <v>3.340126158966461E-2</v>
      </c>
      <c r="AA103" s="16">
        <v>3.3182952382213693E-2</v>
      </c>
      <c r="AB103" s="16">
        <v>3.2836438432820692E-2</v>
      </c>
      <c r="AC103" s="16">
        <v>3.2358270960814894E-2</v>
      </c>
      <c r="AD103" s="16">
        <v>3.174454979933039E-2</v>
      </c>
      <c r="AE103" s="16">
        <v>3.0990848568960394E-2</v>
      </c>
      <c r="AF103" s="16">
        <v>3.0092113984366176E-2</v>
      </c>
      <c r="AG103" s="16">
        <v>2.9042529408530582E-2</v>
      </c>
      <c r="AH103" s="16">
        <v>2.7835327283866618E-2</v>
      </c>
      <c r="AI103" s="16">
        <v>2.6462525838293449E-2</v>
      </c>
      <c r="AJ103" s="16">
        <v>2.4914549189095969E-2</v>
      </c>
      <c r="AK103" s="16">
        <v>2.3179659691301646E-2</v>
      </c>
      <c r="AL103" s="16">
        <v>2.1243071325255158E-2</v>
      </c>
      <c r="AM103" s="16">
        <v>1.9085483984726426E-2</v>
      </c>
      <c r="AN103" s="16">
        <v>1.6680472154359749E-2</v>
      </c>
      <c r="AO103" s="16">
        <v>1.398932734862568E-2</v>
      </c>
      <c r="AP103" s="16">
        <v>1.0949190810917941E-2</v>
      </c>
      <c r="AQ103" s="16">
        <v>7.4376753611130608E-3</v>
      </c>
      <c r="AR103" s="16">
        <v>3.0615243445427653E-3</v>
      </c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</row>
    <row r="104" spans="1:62" ht="12" customHeight="1">
      <c r="A104" s="14" t="s">
        <v>649</v>
      </c>
      <c r="B104" s="31">
        <v>103</v>
      </c>
      <c r="C104" s="16">
        <v>3.0183317423488898E-3</v>
      </c>
      <c r="D104" s="16">
        <v>6.7664638785758235E-3</v>
      </c>
      <c r="E104" s="16">
        <v>9.6590922889724373E-3</v>
      </c>
      <c r="F104" s="16">
        <v>1.2168203453664872E-2</v>
      </c>
      <c r="G104" s="16">
        <v>1.4420701797945301E-2</v>
      </c>
      <c r="H104" s="16">
        <v>1.6475393754768253E-2</v>
      </c>
      <c r="I104" s="16">
        <v>1.8365078969023507E-2</v>
      </c>
      <c r="J104" s="16">
        <v>2.0109980049425435E-2</v>
      </c>
      <c r="K104" s="16">
        <v>2.1723345706897823E-2</v>
      </c>
      <c r="L104" s="16">
        <v>2.3214186180556484E-2</v>
      </c>
      <c r="M104" s="16">
        <v>2.4588757301618802E-2</v>
      </c>
      <c r="N104" s="16">
        <v>2.5851429388802361E-2</v>
      </c>
      <c r="O104" s="16">
        <v>2.7005226013017691E-2</v>
      </c>
      <c r="P104" s="16">
        <v>2.8052173153404913E-2</v>
      </c>
      <c r="Q104" s="16">
        <v>2.8993533328912413E-2</v>
      </c>
      <c r="R104" s="16">
        <v>2.9829966683251441E-2</v>
      </c>
      <c r="S104" s="16">
        <v>3.0561643793940441E-2</v>
      </c>
      <c r="T104" s="16">
        <v>3.1188325389874816E-2</v>
      </c>
      <c r="U104" s="16">
        <v>3.1709418565615599E-2</v>
      </c>
      <c r="V104" s="16">
        <v>3.2124015672547412E-2</v>
      </c>
      <c r="W104" s="16">
        <v>3.2430919904401501E-2</v>
      </c>
      <c r="X104" s="16">
        <v>3.2628660159866318E-2</v>
      </c>
      <c r="Y104" s="16">
        <v>3.2715496760079787E-2</v>
      </c>
      <c r="Z104" s="16">
        <v>3.2689418842293261E-2</v>
      </c>
      <c r="AA104" s="16">
        <v>3.2548133623307329E-2</v>
      </c>
      <c r="AB104" s="16">
        <v>3.2289047138508997E-2</v>
      </c>
      <c r="AC104" s="16">
        <v>3.190923543521762E-2</v>
      </c>
      <c r="AD104" s="16">
        <v>3.1405404446002372E-2</v>
      </c>
      <c r="AE104" s="16">
        <v>3.0773835774787983E-2</v>
      </c>
      <c r="AF104" s="16">
        <v>3.0010314226274648E-2</v>
      </c>
      <c r="AG104" s="16">
        <v>2.9110030823091049E-2</v>
      </c>
      <c r="AH104" s="16">
        <v>2.8067451815531608E-2</v>
      </c>
      <c r="AI104" s="16">
        <v>2.6876138951966388E-2</v>
      </c>
      <c r="AJ104" s="16">
        <v>2.5528497454437971E-2</v>
      </c>
      <c r="AK104" s="16">
        <v>2.4015412577169326E-2</v>
      </c>
      <c r="AL104" s="16">
        <v>2.232570665697986E-2</v>
      </c>
      <c r="AM104" s="16">
        <v>2.0445291091914064E-2</v>
      </c>
      <c r="AN104" s="16">
        <v>1.8355764265570618E-2</v>
      </c>
      <c r="AO104" s="16">
        <v>1.6031913115982066E-2</v>
      </c>
      <c r="AP104" s="16">
        <v>1.3436777337812678E-2</v>
      </c>
      <c r="AQ104" s="16">
        <v>1.0510289153804364E-2</v>
      </c>
      <c r="AR104" s="16">
        <v>7.1353960206262945E-3</v>
      </c>
      <c r="AS104" s="16">
        <v>2.9355973112091815E-3</v>
      </c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</row>
    <row r="105" spans="1:62" ht="12" customHeight="1">
      <c r="A105" s="14" t="s">
        <v>650</v>
      </c>
      <c r="B105" s="31">
        <v>104</v>
      </c>
      <c r="C105" s="16">
        <v>2.9027875707875461E-3</v>
      </c>
      <c r="D105" s="16">
        <v>6.5079838014434621E-3</v>
      </c>
      <c r="E105" s="16">
        <v>9.2914341016931967E-3</v>
      </c>
      <c r="F105" s="16">
        <v>1.1707284462811329E-2</v>
      </c>
      <c r="G105" s="16">
        <v>1.3877763915216002E-2</v>
      </c>
      <c r="H105" s="16">
        <v>1.5859585384072505E-2</v>
      </c>
      <c r="I105" s="16">
        <v>1.7684435256949405E-2</v>
      </c>
      <c r="J105" s="16">
        <v>1.9371894427478553E-2</v>
      </c>
      <c r="K105" s="16">
        <v>2.0934830377327684E-2</v>
      </c>
      <c r="L105" s="16">
        <v>2.2382030301355216E-2</v>
      </c>
      <c r="M105" s="16">
        <v>2.3719630196730512E-2</v>
      </c>
      <c r="N105" s="16">
        <v>2.4951951995234922E-2</v>
      </c>
      <c r="O105" s="16">
        <v>2.6082023007538702E-2</v>
      </c>
      <c r="P105" s="16">
        <v>2.7111912915301906E-2</v>
      </c>
      <c r="Q105" s="16">
        <v>2.8042960107275361E-2</v>
      </c>
      <c r="R105" s="16">
        <v>2.8875927784106636E-2</v>
      </c>
      <c r="S105" s="16">
        <v>2.9611113702491698E-2</v>
      </c>
      <c r="T105" s="16">
        <v>3.024842820965945E-2</v>
      </c>
      <c r="U105" s="16">
        <v>3.0787449841175318E-2</v>
      </c>
      <c r="V105" s="16">
        <v>3.1227464485726553E-2</v>
      </c>
      <c r="W105" s="16">
        <v>3.1567492053814594E-2</v>
      </c>
      <c r="X105" s="16">
        <v>3.1806303226637689E-2</v>
      </c>
      <c r="Y105" s="16">
        <v>3.1942427922481142E-2</v>
      </c>
      <c r="Z105" s="16">
        <v>3.1974156429411704E-2</v>
      </c>
      <c r="AA105" s="16">
        <v>3.1899533605326824E-2</v>
      </c>
      <c r="AB105" s="16">
        <v>3.1716346061900436E-2</v>
      </c>
      <c r="AC105" s="16">
        <v>3.1422101764604693E-2</v>
      </c>
      <c r="AD105" s="16">
        <v>3.1014000934342367E-2</v>
      </c>
      <c r="AE105" s="16">
        <v>3.0488896452747327E-2</v>
      </c>
      <c r="AF105" s="16">
        <v>2.9843241049246183E-2</v>
      </c>
      <c r="AG105" s="16">
        <v>2.9073017224507836E-2</v>
      </c>
      <c r="AH105" s="16">
        <v>2.8173643881483801E-2</v>
      </c>
      <c r="AI105" s="16">
        <v>2.7139850543547062E-2</v>
      </c>
      <c r="AJ105" s="16">
        <v>2.5965505032089831E-2</v>
      </c>
      <c r="AK105" s="16">
        <v>2.4643372031184718E-2</v>
      </c>
      <c r="AL105" s="16">
        <v>2.3164765060767922E-2</v>
      </c>
      <c r="AM105" s="16">
        <v>2.1519026632043858E-2</v>
      </c>
      <c r="AN105" s="16">
        <v>1.9692716296690227E-2</v>
      </c>
      <c r="AO105" s="16">
        <v>1.7668268038696699E-2</v>
      </c>
      <c r="AP105" s="16">
        <v>1.5421597347893501E-2</v>
      </c>
      <c r="AQ105" s="16">
        <v>1.2917372727524024E-2</v>
      </c>
      <c r="AR105" s="16">
        <v>1.0098129651170074E-2</v>
      </c>
      <c r="AS105" s="16">
        <v>6.8517974142874305E-3</v>
      </c>
      <c r="AT105" s="16">
        <v>2.8175467732241E-3</v>
      </c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</row>
    <row r="106" spans="1:62" ht="12" customHeight="1">
      <c r="A106" s="14" t="s">
        <v>651</v>
      </c>
      <c r="B106" s="31">
        <v>105</v>
      </c>
      <c r="C106" s="16">
        <v>2.7941138258789078E-3</v>
      </c>
      <c r="D106" s="16">
        <v>6.2648336251842629E-3</v>
      </c>
      <c r="E106" s="16">
        <v>8.9454845515242187E-3</v>
      </c>
      <c r="F106" s="16">
        <v>1.1273416209568121E-2</v>
      </c>
      <c r="G106" s="16">
        <v>1.3366446688636624E-2</v>
      </c>
      <c r="H106" s="16">
        <v>1.5279308041244666E-2</v>
      </c>
      <c r="I106" s="16">
        <v>1.7042628735238985E-2</v>
      </c>
      <c r="J106" s="16">
        <v>1.8675375830245033E-2</v>
      </c>
      <c r="K106" s="16">
        <v>2.0190048284757456E-2</v>
      </c>
      <c r="L106" s="16">
        <v>2.1595213665913215E-2</v>
      </c>
      <c r="M106" s="16">
        <v>2.2896885372633569E-2</v>
      </c>
      <c r="N106" s="16">
        <v>2.4099329752444554E-2</v>
      </c>
      <c r="O106" s="16">
        <v>2.5205567240456084E-2</v>
      </c>
      <c r="P106" s="16">
        <v>2.6217697776070303E-2</v>
      </c>
      <c r="Q106" s="16">
        <v>2.7137119664375153E-2</v>
      </c>
      <c r="R106" s="16">
        <v>2.7964680839527079E-2</v>
      </c>
      <c r="S106" s="16">
        <v>2.8700785547170038E-2</v>
      </c>
      <c r="T106" s="16">
        <v>2.9345470587015643E-2</v>
      </c>
      <c r="U106" s="16">
        <v>2.98984600821387E-2</v>
      </c>
      <c r="V106" s="16">
        <v>3.035920460000896E-2</v>
      </c>
      <c r="W106" s="16">
        <v>3.0726908469803971E-2</v>
      </c>
      <c r="X106" s="16">
        <v>3.1000547844088899E-2</v>
      </c>
      <c r="Y106" s="16">
        <v>3.1178881167979289E-2</v>
      </c>
      <c r="Z106" s="16">
        <v>3.1260453082787576E-2</v>
      </c>
      <c r="AA106" s="16">
        <v>3.1243592301516854E-2</v>
      </c>
      <c r="AB106" s="16">
        <v>3.1126403580868711E-2</v>
      </c>
      <c r="AC106" s="16">
        <v>3.0906753525667297E-2</v>
      </c>
      <c r="AD106" s="16">
        <v>3.0582249549220286E-2</v>
      </c>
      <c r="AE106" s="16">
        <v>3.0150210825384161E-2</v>
      </c>
      <c r="AF106" s="16">
        <v>2.9607629438695771E-2</v>
      </c>
      <c r="AG106" s="16">
        <v>2.8951119071858988E-2</v>
      </c>
      <c r="AH106" s="16">
        <v>2.8176847314913656E-2</v>
      </c>
      <c r="AI106" s="16">
        <v>2.7280445789371832E-2</v>
      </c>
      <c r="AJ106" s="16">
        <v>2.625688932460668E-2</v>
      </c>
      <c r="AK106" s="16">
        <v>2.5100330629613032E-2</v>
      </c>
      <c r="AL106" s="16">
        <v>2.3803868811608897E-2</v>
      </c>
      <c r="AM106" s="16">
        <v>2.23592158041519E-2</v>
      </c>
      <c r="AN106" s="16">
        <v>2.0756198161961392E-2</v>
      </c>
      <c r="AO106" s="16">
        <v>1.8981978874149985E-2</v>
      </c>
      <c r="AP106" s="16">
        <v>1.7019770413313817E-2</v>
      </c>
      <c r="AQ106" s="16">
        <v>1.4846540564653066E-2</v>
      </c>
      <c r="AR106" s="16">
        <v>1.2428478028030598E-2</v>
      </c>
      <c r="AS106" s="16">
        <v>9.710550499239412E-3</v>
      </c>
      <c r="AT106" s="16">
        <v>6.585347217499038E-3</v>
      </c>
      <c r="AU106" s="16">
        <v>2.70671878898332E-3</v>
      </c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</row>
    <row r="107" spans="1:62" ht="12" customHeight="1">
      <c r="A107" s="14" t="s">
        <v>652</v>
      </c>
      <c r="B107" s="31">
        <v>106</v>
      </c>
      <c r="C107" s="16">
        <v>2.691762778954554E-3</v>
      </c>
      <c r="D107" s="16">
        <v>6.0357948714045984E-3</v>
      </c>
      <c r="E107" s="16">
        <v>8.6195270733692153E-3</v>
      </c>
      <c r="F107" s="16">
        <v>1.0864475025489595E-2</v>
      </c>
      <c r="G107" s="16">
        <v>1.2884290524477038E-2</v>
      </c>
      <c r="H107" s="16">
        <v>1.4731829538460861E-2</v>
      </c>
      <c r="I107" s="16">
        <v>1.643671459679974E-2</v>
      </c>
      <c r="J107" s="16">
        <v>1.8017325600994671E-2</v>
      </c>
      <c r="K107" s="16">
        <v>1.948580568661773E-2</v>
      </c>
      <c r="L107" s="16">
        <v>2.0850506955330306E-2</v>
      </c>
      <c r="M107" s="16">
        <v>2.2117318711719847E-2</v>
      </c>
      <c r="N107" s="16">
        <v>2.3290446190821101E-2</v>
      </c>
      <c r="O107" s="16">
        <v>2.4372894344399487E-2</v>
      </c>
      <c r="P107" s="16">
        <v>2.536678224391764E-2</v>
      </c>
      <c r="Q107" s="16">
        <v>2.6273554785147701E-2</v>
      </c>
      <c r="R107" s="16">
        <v>2.7094129264407685E-2</v>
      </c>
      <c r="S107" s="16">
        <v>2.7828999034069657E-2</v>
      </c>
      <c r="T107" s="16">
        <v>2.8478307892097821E-2</v>
      </c>
      <c r="U107" s="16">
        <v>2.9041903876197539E-2</v>
      </c>
      <c r="V107" s="16">
        <v>2.951937811007399E-2</v>
      </c>
      <c r="W107" s="16">
        <v>2.9910092447445358E-2</v>
      </c>
      <c r="X107" s="16">
        <v>3.0213198419623777E-2</v>
      </c>
      <c r="Y107" s="16">
        <v>3.0427649153008329E-2</v>
      </c>
      <c r="Z107" s="16">
        <v>3.0552205328378657E-2</v>
      </c>
      <c r="AA107" s="16">
        <v>3.0585435807891859E-2</v>
      </c>
      <c r="AB107" s="16">
        <v>3.052571319428754E-2</v>
      </c>
      <c r="AC107" s="16">
        <v>3.0371204263828444E-2</v>
      </c>
      <c r="AD107" s="16">
        <v>3.0119854891559994E-2</v>
      </c>
      <c r="AE107" s="16">
        <v>2.9769368726724421E-2</v>
      </c>
      <c r="AF107" s="16">
        <v>2.9317178432954782E-2</v>
      </c>
      <c r="AG107" s="16">
        <v>2.8760407721890591E-2</v>
      </c>
      <c r="AH107" s="16">
        <v>2.8095821589998682E-2</v>
      </c>
      <c r="AI107" s="16">
        <v>2.7319760974071516E-2</v>
      </c>
      <c r="AJ107" s="16">
        <v>2.6428056233829267E-2</v>
      </c>
      <c r="AK107" s="16">
        <v>2.5415911039397332E-2</v>
      </c>
      <c r="AL107" s="16">
        <v>2.4277743645492289E-2</v>
      </c>
      <c r="AM107" s="16">
        <v>2.3006964772470329E-2</v>
      </c>
      <c r="AN107" s="16">
        <v>2.1595657603603824E-2</v>
      </c>
      <c r="AO107" s="16">
        <v>2.0034099872885625E-2</v>
      </c>
      <c r="AP107" s="16">
        <v>1.8310017327974992E-2</v>
      </c>
      <c r="AQ107" s="16">
        <v>1.6407348947276801E-2</v>
      </c>
      <c r="AR107" s="16">
        <v>1.4304045345807648E-2</v>
      </c>
      <c r="AS107" s="16">
        <v>1.1967716375433701E-2</v>
      </c>
      <c r="AT107" s="16">
        <v>9.3456057955947358E-3</v>
      </c>
      <c r="AU107" s="16">
        <v>6.3346684582994417E-3</v>
      </c>
      <c r="AV107" s="16">
        <v>2.6025265255192886E-3</v>
      </c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</row>
    <row r="108" spans="1:62" ht="12" customHeight="1">
      <c r="A108" s="14" t="s">
        <v>653</v>
      </c>
      <c r="B108" s="31">
        <v>107</v>
      </c>
      <c r="C108" s="16">
        <v>2.5952409941457644E-3</v>
      </c>
      <c r="D108" s="16">
        <v>5.8197694354917839E-3</v>
      </c>
      <c r="E108" s="16">
        <v>8.3120136891172702E-3</v>
      </c>
      <c r="F108" s="16">
        <v>1.0478544095972264E-2</v>
      </c>
      <c r="G108" s="16">
        <v>1.2429072821407594E-2</v>
      </c>
      <c r="H108" s="16">
        <v>1.4214677337758497E-2</v>
      </c>
      <c r="I108" s="16">
        <v>1.586402306962198E-2</v>
      </c>
      <c r="J108" s="16">
        <v>1.7394928228727902E-2</v>
      </c>
      <c r="K108" s="16">
        <v>1.8819192699515264E-2</v>
      </c>
      <c r="L108" s="16">
        <v>2.0144957824713927E-2</v>
      </c>
      <c r="M108" s="16">
        <v>2.1377988326372055E-2</v>
      </c>
      <c r="N108" s="16">
        <v>2.2522424158037624E-2</v>
      </c>
      <c r="O108" s="16">
        <v>2.3581247831502505E-2</v>
      </c>
      <c r="P108" s="16">
        <v>2.4556588339852858E-2</v>
      </c>
      <c r="Q108" s="16">
        <v>2.5449926016349655E-2</v>
      </c>
      <c r="R108" s="16">
        <v>2.6262234586524769E-2</v>
      </c>
      <c r="S108" s="16">
        <v>2.6994081853531249E-2</v>
      </c>
      <c r="T108" s="16">
        <v>2.7645702208116907E-2</v>
      </c>
      <c r="U108" s="16">
        <v>2.8217049349117174E-2</v>
      </c>
      <c r="V108" s="16">
        <v>2.8707834687734524E-2</v>
      </c>
      <c r="W108" s="16">
        <v>2.9117555079300028E-2</v>
      </c>
      <c r="X108" s="16">
        <v>2.9445512337191393E-2</v>
      </c>
      <c r="Y108" s="16">
        <v>2.9690826183358165E-2</v>
      </c>
      <c r="Z108" s="16">
        <v>2.9852441729589896E-2</v>
      </c>
      <c r="AA108" s="16">
        <v>2.9929132171441108E-2</v>
      </c>
      <c r="AB108" s="16">
        <v>2.9919497053098487E-2</v>
      </c>
      <c r="AC108" s="16">
        <v>2.9821956184894471E-2</v>
      </c>
      <c r="AD108" s="16">
        <v>2.9634739033294499E-2</v>
      </c>
      <c r="AE108" s="16">
        <v>2.9355869126779788E-2</v>
      </c>
      <c r="AF108" s="16">
        <v>2.8983142698458475E-2</v>
      </c>
      <c r="AG108" s="16">
        <v>2.8514100377872609E-2</v>
      </c>
      <c r="AH108" s="16">
        <v>2.7945990194255144E-2</v>
      </c>
      <c r="AI108" s="16">
        <v>2.7275719376521845E-2</v>
      </c>
      <c r="AJ108" s="16">
        <v>2.6499791295392261E-2</v>
      </c>
      <c r="AK108" s="16">
        <v>2.5614222163025335E-2</v>
      </c>
      <c r="AL108" s="16">
        <v>2.4614429391252357E-2</v>
      </c>
      <c r="AM108" s="16">
        <v>2.3495079098611482E-2</v>
      </c>
      <c r="AN108" s="16">
        <v>2.2249872803750792E-2</v>
      </c>
      <c r="AO108" s="16">
        <v>2.0871240174029748E-2</v>
      </c>
      <c r="AP108" s="16">
        <v>1.9349880167784828E-2</v>
      </c>
      <c r="AQ108" s="16">
        <v>1.7674044205706951E-2</v>
      </c>
      <c r="AR108" s="16">
        <v>1.582835035467256E-2</v>
      </c>
      <c r="AS108" s="16">
        <v>1.379166864258663E-2</v>
      </c>
      <c r="AT108" s="16">
        <v>1.1532939559205979E-2</v>
      </c>
      <c r="AU108" s="16">
        <v>9.0015400456714412E-3</v>
      </c>
      <c r="AV108" s="16">
        <v>6.0985208868288288E-3</v>
      </c>
      <c r="AW108" s="16">
        <v>2.504442111813332E-3</v>
      </c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</row>
    <row r="109" spans="1:62" ht="12" customHeight="1">
      <c r="A109" s="14" t="s">
        <v>654</v>
      </c>
      <c r="B109" s="31">
        <v>108</v>
      </c>
      <c r="C109" s="16">
        <v>2.5041029371342116E-3</v>
      </c>
      <c r="D109" s="16">
        <v>5.6157654687437608E-3</v>
      </c>
      <c r="E109" s="16">
        <v>8.0215453636007794E-3</v>
      </c>
      <c r="F109" s="16">
        <v>1.0113889580812829E-2</v>
      </c>
      <c r="G109" s="16">
        <v>1.1998780951595234E-2</v>
      </c>
      <c r="H109" s="16">
        <v>1.3725609429962482E-2</v>
      </c>
      <c r="I109" s="16">
        <v>1.5322129223174663E-2</v>
      </c>
      <c r="J109" s="16">
        <v>1.6805621128957338E-2</v>
      </c>
      <c r="K109" s="16">
        <v>1.8187554133352157E-2</v>
      </c>
      <c r="L109" s="16">
        <v>1.9475863911936786E-2</v>
      </c>
      <c r="M109" s="16">
        <v>2.0676190914470594E-2</v>
      </c>
      <c r="N109" s="16">
        <v>2.1792606752124577E-2</v>
      </c>
      <c r="O109" s="16">
        <v>2.282806590172981E-2</v>
      </c>
      <c r="P109" s="16">
        <v>2.3784699654818331E-2</v>
      </c>
      <c r="Q109" s="16">
        <v>2.4664014432324022E-2</v>
      </c>
      <c r="R109" s="16">
        <v>2.5467029479433578E-2</v>
      </c>
      <c r="S109" s="16">
        <v>2.6194374652401264E-2</v>
      </c>
      <c r="T109" s="16">
        <v>2.6846361047485501E-2</v>
      </c>
      <c r="U109" s="16">
        <v>2.7423032584855123E-2</v>
      </c>
      <c r="V109" s="16">
        <v>2.7924203851121709E-2</v>
      </c>
      <c r="W109" s="16">
        <v>2.8349487741529678E-2</v>
      </c>
      <c r="X109" s="16">
        <v>2.8698315299994226E-2</v>
      </c>
      <c r="Y109" s="16">
        <v>2.8969949389503813E-2</v>
      </c>
      <c r="Z109" s="16">
        <v>2.9163493293765774E-2</v>
      </c>
      <c r="AA109" s="16">
        <v>2.9277894965722417E-2</v>
      </c>
      <c r="AB109" s="16">
        <v>2.9311947343475198E-2</v>
      </c>
      <c r="AC109" s="16">
        <v>2.9264284911195704E-2</v>
      </c>
      <c r="AD109" s="16">
        <v>2.9133376463417071E-2</v>
      </c>
      <c r="AE109" s="16">
        <v>2.8917513811957285E-2</v>
      </c>
      <c r="AF109" s="16">
        <v>2.861479593209082E-2</v>
      </c>
      <c r="AG109" s="16">
        <v>2.8223107751137233E-2</v>
      </c>
      <c r="AH109" s="16">
        <v>2.7740092402220418E-2</v>
      </c>
      <c r="AI109" s="16">
        <v>2.716311524612125E-2</v>
      </c>
      <c r="AJ109" s="16">
        <v>2.6489217224100581E-2</v>
      </c>
      <c r="AK109" s="16">
        <v>2.5715054014119332E-2</v>
      </c>
      <c r="AL109" s="16">
        <v>2.4836815804042067E-2</v>
      </c>
      <c r="AM109" s="16">
        <v>2.385011988946617E-2</v>
      </c>
      <c r="AN109" s="16">
        <v>2.2749864066234915E-2</v>
      </c>
      <c r="AO109" s="16">
        <v>2.1530021624957763E-2</v>
      </c>
      <c r="AP109" s="16">
        <v>2.0183346095372756E-2</v>
      </c>
      <c r="AQ109" s="16">
        <v>1.8700930302340657E-2</v>
      </c>
      <c r="AR109" s="16">
        <v>1.7071517460328312E-2</v>
      </c>
      <c r="AS109" s="16">
        <v>1.5280361381759366E-2</v>
      </c>
      <c r="AT109" s="16">
        <v>1.3307193492166025E-2</v>
      </c>
      <c r="AU109" s="16">
        <v>1.1122202031066397E-2</v>
      </c>
      <c r="AV109" s="16">
        <v>8.6767661239540717E-3</v>
      </c>
      <c r="AW109" s="16">
        <v>5.875784910197468E-3</v>
      </c>
      <c r="AX109" s="16">
        <v>2.4119896277284836E-3</v>
      </c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</row>
    <row r="110" spans="1:62" ht="12" customHeight="1">
      <c r="A110" s="14" t="s">
        <v>655</v>
      </c>
      <c r="B110" s="31">
        <v>109</v>
      </c>
      <c r="C110" s="16">
        <v>2.4179454502775144E-3</v>
      </c>
      <c r="D110" s="16">
        <v>5.4228851666249245E-3</v>
      </c>
      <c r="E110" s="16">
        <v>7.7468549939454512E-3</v>
      </c>
      <c r="F110" s="16">
        <v>9.7689399028921819E-3</v>
      </c>
      <c r="G110" s="16">
        <v>1.1591588775644146E-2</v>
      </c>
      <c r="H110" s="16">
        <v>1.3262588949430998E-2</v>
      </c>
      <c r="I110" s="16">
        <v>1.4808826547263343E-2</v>
      </c>
      <c r="J110" s="16">
        <v>1.6247068063225623E-2</v>
      </c>
      <c r="K110" s="16">
        <v>1.7588463652873143E-2</v>
      </c>
      <c r="L110" s="16">
        <v>1.8840748676093311E-2</v>
      </c>
      <c r="M110" s="16">
        <v>2.0009440250124522E-2</v>
      </c>
      <c r="N110" s="16">
        <v>2.1098539486695489E-2</v>
      </c>
      <c r="O110" s="16">
        <v>2.2110968358130867E-2</v>
      </c>
      <c r="P110" s="16">
        <v>2.3048854150850673E-2</v>
      </c>
      <c r="Q110" s="16">
        <v>2.3913721526311549E-2</v>
      </c>
      <c r="R110" s="16">
        <v>2.4706626025977063E-2</v>
      </c>
      <c r="S110" s="16">
        <v>2.5428249040955087E-2</v>
      </c>
      <c r="T110" s="16">
        <v>2.6078966576442819E-2</v>
      </c>
      <c r="U110" s="16">
        <v>2.6658899662469926E-2</v>
      </c>
      <c r="V110" s="16">
        <v>2.7167951550366554E-2</v>
      </c>
      <c r="W110" s="16">
        <v>2.760583513417858E-2</v>
      </c>
      <c r="X110" s="16">
        <v>2.7972092935796722E-2</v>
      </c>
      <c r="Y110" s="16">
        <v>2.8266111257780446E-2</v>
      </c>
      <c r="Z110" s="16">
        <v>2.8487129600937577E-2</v>
      </c>
      <c r="AA110" s="16">
        <v>2.8634246080520454E-2</v>
      </c>
      <c r="AB110" s="16">
        <v>2.8706419302074848E-2</v>
      </c>
      <c r="AC110" s="16">
        <v>2.870246693996803E-2</v>
      </c>
      <c r="AD110" s="16">
        <v>2.8621061073012877E-2</v>
      </c>
      <c r="AE110" s="16">
        <v>2.846072015221579E-2</v>
      </c>
      <c r="AF110" s="16">
        <v>2.8219797287167614E-2</v>
      </c>
      <c r="AG110" s="16">
        <v>2.7896464320173786E-2</v>
      </c>
      <c r="AH110" s="16">
        <v>2.7488690886653955E-2</v>
      </c>
      <c r="AI110" s="16">
        <v>2.6994217303008106E-2</v>
      </c>
      <c r="AJ110" s="16">
        <v>2.6410519629614604E-2</v>
      </c>
      <c r="AK110" s="16">
        <v>2.5734764549672384E-2</v>
      </c>
      <c r="AL110" s="16">
        <v>2.4963750659453332E-2</v>
      </c>
      <c r="AM110" s="16">
        <v>2.4093831172744662E-2</v>
      </c>
      <c r="AN110" s="16">
        <v>2.3120810537656356E-2</v>
      </c>
      <c r="AO110" s="16">
        <v>2.2039803388897328E-2</v>
      </c>
      <c r="AP110" s="16">
        <v>2.0845037368450559E-2</v>
      </c>
      <c r="AQ110" s="16">
        <v>1.9529569167090699E-2</v>
      </c>
      <c r="AR110" s="16">
        <v>1.8084860442050488E-2</v>
      </c>
      <c r="AS110" s="16">
        <v>1.6500115190096754E-2</v>
      </c>
      <c r="AT110" s="16">
        <v>1.4761183271516432E-2</v>
      </c>
      <c r="AU110" s="16">
        <v>1.2848604330275792E-2</v>
      </c>
      <c r="AV110" s="16">
        <v>1.0733738301992757E-2</v>
      </c>
      <c r="AW110" s="16">
        <v>8.3698461640119293E-3</v>
      </c>
      <c r="AX110" s="16">
        <v>5.6654476957486155E-3</v>
      </c>
      <c r="AY110" s="16">
        <v>2.324739050643343E-3</v>
      </c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</row>
    <row r="111" spans="1:62" ht="12" customHeight="1">
      <c r="A111" s="14" t="s">
        <v>656</v>
      </c>
      <c r="B111" s="31">
        <v>110</v>
      </c>
      <c r="C111" s="16">
        <v>2.3364029618253568E-3</v>
      </c>
      <c r="D111" s="16">
        <v>5.2403141733536884E-3</v>
      </c>
      <c r="E111" s="16">
        <v>7.4867926350453695E-3</v>
      </c>
      <c r="F111" s="16">
        <v>9.4422677324793591E-3</v>
      </c>
      <c r="G111" s="16">
        <v>1.1205836172802131E-2</v>
      </c>
      <c r="H111" s="16">
        <v>1.2823761988784321E-2</v>
      </c>
      <c r="I111" s="16">
        <v>1.4322103779758066E-2</v>
      </c>
      <c r="J111" s="16">
        <v>1.5717135716753039E-2</v>
      </c>
      <c r="K111" s="16">
        <v>1.7019700861396259E-2</v>
      </c>
      <c r="L111" s="16">
        <v>1.8237339770080685E-2</v>
      </c>
      <c r="M111" s="16">
        <v>1.9375447660240908E-2</v>
      </c>
      <c r="N111" s="16">
        <v>2.0437953724224966E-2</v>
      </c>
      <c r="O111" s="16">
        <v>2.1427743892279638E-2</v>
      </c>
      <c r="P111" s="16">
        <v>2.2346936242405802E-2</v>
      </c>
      <c r="Q111" s="16">
        <v>2.3197067085882095E-2</v>
      </c>
      <c r="R111" s="16">
        <v>2.3979220447814087E-2</v>
      </c>
      <c r="S111" s="16">
        <v>2.4694120306917422E-2</v>
      </c>
      <c r="T111" s="16">
        <v>2.5342197524874432E-2</v>
      </c>
      <c r="U111" s="16">
        <v>2.5923639066837145E-2</v>
      </c>
      <c r="V111" s="16">
        <v>2.6438424494129142E-2</v>
      </c>
      <c r="W111" s="16">
        <v>2.6886353068409141E-2</v>
      </c>
      <c r="X111" s="16">
        <v>2.7267063745344156E-2</v>
      </c>
      <c r="Y111" s="16">
        <v>2.7580049629043257E-2</v>
      </c>
      <c r="Z111" s="16">
        <v>2.7824667973281314E-2</v>
      </c>
      <c r="AA111" s="16">
        <v>2.800014647086646E-2</v>
      </c>
      <c r="AB111" s="16">
        <v>2.8105586317485054E-2</v>
      </c>
      <c r="AC111" s="16">
        <v>2.8139962337384805E-2</v>
      </c>
      <c r="AD111" s="16">
        <v>2.8102120292037625E-2</v>
      </c>
      <c r="AE111" s="16">
        <v>2.7990771341774856E-2</v>
      </c>
      <c r="AF111" s="16">
        <v>2.7804483479233588E-2</v>
      </c>
      <c r="AG111" s="16">
        <v>2.7541669587444639E-2</v>
      </c>
      <c r="AH111" s="16">
        <v>2.7200571577356114E-2</v>
      </c>
      <c r="AI111" s="16">
        <v>2.6779239807437571E-2</v>
      </c>
      <c r="AJ111" s="16">
        <v>2.6275506650248692E-2</v>
      </c>
      <c r="AK111" s="16">
        <v>2.5686952600473489E-2</v>
      </c>
      <c r="AL111" s="16">
        <v>2.5010862641977494E-2</v>
      </c>
      <c r="AM111" s="16">
        <v>2.4244169588132358E-2</v>
      </c>
      <c r="AN111" s="16">
        <v>2.3383379578436725E-2</v>
      </c>
      <c r="AO111" s="16">
        <v>2.242447250484203E-2</v>
      </c>
      <c r="AP111" s="16">
        <v>2.136276621892419E-2</v>
      </c>
      <c r="AQ111" s="16">
        <v>2.0192726737391364E-2</v>
      </c>
      <c r="AR111" s="16">
        <v>1.8907694934248931E-2</v>
      </c>
      <c r="AS111" s="16">
        <v>1.7499478348562691E-2</v>
      </c>
      <c r="AT111" s="16">
        <v>1.5957713318933697E-2</v>
      </c>
      <c r="AU111" s="16">
        <v>1.4268809324929799E-2</v>
      </c>
      <c r="AV111" s="16">
        <v>1.2414065389891316E-2</v>
      </c>
      <c r="AW111" s="16">
        <v>1.0365943231699593E-2</v>
      </c>
      <c r="AX111" s="16">
        <v>8.0794749399768495E-3</v>
      </c>
      <c r="AY111" s="16">
        <v>5.4665911136536627E-3</v>
      </c>
      <c r="AZ111" s="16">
        <v>2.2423010126946252E-3</v>
      </c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</row>
    <row r="112" spans="1:62" ht="12" customHeight="1">
      <c r="A112" s="14" t="s">
        <v>657</v>
      </c>
      <c r="B112" s="31">
        <v>111</v>
      </c>
      <c r="C112" s="16">
        <v>2.2591433193213106E-3</v>
      </c>
      <c r="D112" s="16">
        <v>5.0673123618297788E-3</v>
      </c>
      <c r="E112" s="16">
        <v>7.2403126302100773E-3</v>
      </c>
      <c r="F112" s="16">
        <v>9.1325742725710812E-3</v>
      </c>
      <c r="G112" s="16">
        <v>1.0840011151820539E-2</v>
      </c>
      <c r="H112" s="16">
        <v>1.2407438162215567E-2</v>
      </c>
      <c r="I112" s="16">
        <v>1.3860124538744301E-2</v>
      </c>
      <c r="J112" s="16">
        <v>1.5213873021408086E-2</v>
      </c>
      <c r="K112" s="16">
        <v>1.6479230951496171E-2</v>
      </c>
      <c r="L112" s="16">
        <v>1.7663549677030987E-2</v>
      </c>
      <c r="M112" s="16">
        <v>1.8772104330760819E-2</v>
      </c>
      <c r="N112" s="16">
        <v>1.9808751366396149E-2</v>
      </c>
      <c r="O112" s="16">
        <v>2.0776337907475351E-2</v>
      </c>
      <c r="P112" s="16">
        <v>2.1676968539966923E-2</v>
      </c>
      <c r="Q112" s="16">
        <v>2.2512185688208119E-2</v>
      </c>
      <c r="R112" s="16">
        <v>2.3283095232934259E-2</v>
      </c>
      <c r="S112" s="16">
        <v>2.3990456111781633E-2</v>
      </c>
      <c r="T112" s="16">
        <v>2.4634745451952655E-2</v>
      </c>
      <c r="U112" s="16">
        <v>2.5216206597826307E-2</v>
      </c>
      <c r="V112" s="16">
        <v>2.5734884862217089E-2</v>
      </c>
      <c r="W112" s="16">
        <v>2.6190654243105849E-2</v>
      </c>
      <c r="X112" s="16">
        <v>2.6583237322978293E-2</v>
      </c>
      <c r="Y112" s="16">
        <v>2.6912219886782274E-2</v>
      </c>
      <c r="Z112" s="16">
        <v>2.71770613286062E-2</v>
      </c>
      <c r="AA112" s="16">
        <v>2.7377101588473507E-2</v>
      </c>
      <c r="AB112" s="16">
        <v>2.751156512016939E-2</v>
      </c>
      <c r="AC112" s="16">
        <v>2.7579562207006414E-2</v>
      </c>
      <c r="AD112" s="16">
        <v>2.7580087792966168E-2</v>
      </c>
      <c r="AE112" s="16">
        <v>2.7512017866011318E-2</v>
      </c>
      <c r="AF112" s="16">
        <v>2.7374103305550124E-2</v>
      </c>
      <c r="AG112" s="16">
        <v>2.7164960975416541E-2</v>
      </c>
      <c r="AH112" s="16">
        <v>2.6883061694658039E-2</v>
      </c>
      <c r="AI112" s="16">
        <v>2.6526714535691109E-2</v>
      </c>
      <c r="AJ112" s="16">
        <v>2.6094046662461956E-2</v>
      </c>
      <c r="AK112" s="16">
        <v>2.5582977600398515E-2</v>
      </c>
      <c r="AL112" s="16">
        <v>2.4991186380260322E-2</v>
      </c>
      <c r="AM112" s="16">
        <v>2.4316069348538361E-2</v>
      </c>
      <c r="AN112" s="16">
        <v>2.3554685472543913E-2</v>
      </c>
      <c r="AO112" s="16">
        <v>2.2703684494745024E-2</v>
      </c>
      <c r="AP112" s="16">
        <v>2.1759210970532128E-2</v>
      </c>
      <c r="AQ112" s="16">
        <v>2.0716773445189518E-2</v>
      </c>
      <c r="AR112" s="16">
        <v>1.9571061634070963E-2</v>
      </c>
      <c r="AS112" s="16">
        <v>1.8315683166516772E-2</v>
      </c>
      <c r="AT112" s="16">
        <v>1.6942770385245831E-2</v>
      </c>
      <c r="AU112" s="16">
        <v>1.544236584038905E-2</v>
      </c>
      <c r="AV112" s="16">
        <v>1.3801405140724921E-2</v>
      </c>
      <c r="AW112" s="16">
        <v>1.2001901753992739E-2</v>
      </c>
      <c r="AX112" s="16">
        <v>1.0017354794968569E-2</v>
      </c>
      <c r="AY112" s="16">
        <v>7.8044653742930237E-3</v>
      </c>
      <c r="AZ112" s="16">
        <v>5.2783812450168943E-3</v>
      </c>
      <c r="BA112" s="16">
        <v>2.1643222465290712E-3</v>
      </c>
      <c r="BB112" s="16"/>
      <c r="BC112" s="16"/>
      <c r="BD112" s="16"/>
      <c r="BE112" s="16"/>
      <c r="BF112" s="16"/>
      <c r="BG112" s="16"/>
      <c r="BH112" s="16"/>
      <c r="BI112" s="16"/>
      <c r="BJ112" s="16"/>
    </row>
    <row r="113" spans="1:62" ht="12" customHeight="1">
      <c r="A113" s="14" t="s">
        <v>658</v>
      </c>
      <c r="B113" s="31">
        <v>112</v>
      </c>
      <c r="C113" s="16">
        <v>2.1858641555224656E-3</v>
      </c>
      <c r="D113" s="16">
        <v>4.9032057877106405E-3</v>
      </c>
      <c r="E113" s="16">
        <v>7.0064623702846829E-3</v>
      </c>
      <c r="F113" s="16">
        <v>8.8386755145649643E-3</v>
      </c>
      <c r="G113" s="16">
        <v>1.0492734177005136E-2</v>
      </c>
      <c r="H113" s="16">
        <v>1.2012073536009304E-2</v>
      </c>
      <c r="I113" s="16">
        <v>1.342120938100122E-2</v>
      </c>
      <c r="J113" s="16">
        <v>1.4735492869100586E-2</v>
      </c>
      <c r="K113" s="16">
        <v>1.5965186611774707E-2</v>
      </c>
      <c r="L113" s="16">
        <v>1.7117458365811911E-2</v>
      </c>
      <c r="M113" s="16">
        <v>1.8197465287178471E-2</v>
      </c>
      <c r="N113" s="16">
        <v>1.9208990760415934E-2</v>
      </c>
      <c r="O113" s="16">
        <v>2.0154840979485389E-2</v>
      </c>
      <c r="P113" s="16">
        <v>2.1037103525216816E-2</v>
      </c>
      <c r="Q113" s="16">
        <v>2.1857322284899561E-2</v>
      </c>
      <c r="R113" s="16">
        <v>2.2616619365019908E-2</v>
      </c>
      <c r="S113" s="16">
        <v>2.33157821443295E-2</v>
      </c>
      <c r="T113" s="16">
        <v>2.3955326654356734E-2</v>
      </c>
      <c r="U113" s="16">
        <v>2.4535544422078726E-2</v>
      </c>
      <c r="V113" s="16">
        <v>2.5056537457158856E-2</v>
      </c>
      <c r="W113" s="16">
        <v>2.5518244531057332E-2</v>
      </c>
      <c r="X113" s="16">
        <v>2.5920460904810261E-2</v>
      </c>
      <c r="Y113" s="16">
        <v>2.6262853004874409E-2</v>
      </c>
      <c r="Z113" s="16">
        <v>2.6544969098001858E-2</v>
      </c>
      <c r="AA113" s="16">
        <v>2.6766246701348306E-2</v>
      </c>
      <c r="AB113" s="16">
        <v>2.6926017235810562E-2</v>
      </c>
      <c r="AC113" s="16">
        <v>2.7023508258507078E-2</v>
      </c>
      <c r="AD113" s="16">
        <v>2.7057843473801357E-2</v>
      </c>
      <c r="AE113" s="16">
        <v>2.7028040606746684E-2</v>
      </c>
      <c r="AF113" s="16">
        <v>2.6933007117025287E-2</v>
      </c>
      <c r="AG113" s="16">
        <v>2.6771533625646216E-2</v>
      </c>
      <c r="AH113" s="16">
        <v>2.6542284811263528E-2</v>
      </c>
      <c r="AI113" s="16">
        <v>2.6243787397024043E-2</v>
      </c>
      <c r="AJ113" s="16">
        <v>2.5874414678502711E-2</v>
      </c>
      <c r="AK113" s="16">
        <v>2.5432366819217234E-2</v>
      </c>
      <c r="AL113" s="16">
        <v>2.4915645834273636E-2</v>
      </c>
      <c r="AM113" s="16">
        <v>2.4322023751732536E-2</v>
      </c>
      <c r="AN113" s="16">
        <v>2.3649001817177995E-2</v>
      </c>
      <c r="AO113" s="16">
        <v>2.289375767868107E-2</v>
      </c>
      <c r="AP113" s="16">
        <v>2.2053076069808442E-2</v>
      </c>
      <c r="AQ113" s="16">
        <v>2.1123256271996516E-2</v>
      </c>
      <c r="AR113" s="16">
        <v>2.0099985994893155E-2</v>
      </c>
      <c r="AS113" s="16">
        <v>1.897816514978623E-2</v>
      </c>
      <c r="AT113" s="16">
        <v>1.7751652089902814E-2</v>
      </c>
      <c r="AU113" s="16">
        <v>1.6412884569480757E-2</v>
      </c>
      <c r="AV113" s="16">
        <v>1.4952287300146527E-2</v>
      </c>
      <c r="AW113" s="16">
        <v>1.3357291177038544E-2</v>
      </c>
      <c r="AX113" s="16">
        <v>1.1610582696959471E-2</v>
      </c>
      <c r="AY113" s="16">
        <v>9.6866389751855131E-3</v>
      </c>
      <c r="AZ113" s="16">
        <v>7.5437358657710618E-3</v>
      </c>
      <c r="BA113" s="16">
        <v>5.1000592267820277E-3</v>
      </c>
      <c r="BB113" s="16">
        <v>2.090481617821327E-3</v>
      </c>
      <c r="BC113" s="16"/>
      <c r="BD113" s="16"/>
      <c r="BE113" s="16"/>
      <c r="BF113" s="16"/>
      <c r="BG113" s="16"/>
      <c r="BH113" s="16"/>
      <c r="BI113" s="16"/>
      <c r="BJ113" s="16"/>
    </row>
    <row r="114" spans="1:62" ht="12" customHeight="1">
      <c r="A114" s="14" t="s">
        <v>659</v>
      </c>
      <c r="B114" s="31">
        <v>113</v>
      </c>
      <c r="C114" s="16">
        <v>2.116289710086372E-3</v>
      </c>
      <c r="D114" s="16">
        <v>4.7473796490717923E-3</v>
      </c>
      <c r="E114" s="16">
        <v>6.7843724490582735E-3</v>
      </c>
      <c r="F114" s="16">
        <v>8.5594901861668626E-3</v>
      </c>
      <c r="G114" s="16">
        <v>1.0162744401166268E-2</v>
      </c>
      <c r="H114" s="16">
        <v>1.1636255603136414E-2</v>
      </c>
      <c r="I114" s="16">
        <v>1.3003819964432894E-2</v>
      </c>
      <c r="J114" s="16">
        <v>1.4280355910100795E-2</v>
      </c>
      <c r="K114" s="16">
        <v>1.5475851918003936E-2</v>
      </c>
      <c r="L114" s="16">
        <v>1.6597297745392536E-2</v>
      </c>
      <c r="M114" s="16">
        <v>1.7649734899481184E-2</v>
      </c>
      <c r="N114" s="16">
        <v>1.8636873761743056E-2</v>
      </c>
      <c r="O114" s="16">
        <v>1.9561478006918098E-2</v>
      </c>
      <c r="P114" s="16">
        <v>2.0425615344398684E-2</v>
      </c>
      <c r="Q114" s="16">
        <v>2.1230827222226911E-2</v>
      </c>
      <c r="R114" s="16">
        <v>2.1978247186421274E-2</v>
      </c>
      <c r="S114" s="16">
        <v>2.266868547827483E-2</v>
      </c>
      <c r="T114" s="16">
        <v>2.3302690711268559E-2</v>
      </c>
      <c r="U114" s="16">
        <v>2.3880595544495287E-2</v>
      </c>
      <c r="V114" s="16">
        <v>2.4402550894686792E-2</v>
      </c>
      <c r="W114" s="16">
        <v>2.4868551742769363E-2</v>
      </c>
      <c r="X114" s="16">
        <v>2.5278456632502611E-2</v>
      </c>
      <c r="Y114" s="16">
        <v>2.5632002323406344E-2</v>
      </c>
      <c r="Z114" s="16">
        <v>2.5928814627749541E-2</v>
      </c>
      <c r="AA114" s="16">
        <v>2.6168416159011221E-2</v>
      </c>
      <c r="AB114" s="16">
        <v>2.6350231501534593E-2</v>
      </c>
      <c r="AC114" s="16">
        <v>2.6473590148843096E-2</v>
      </c>
      <c r="AD114" s="16">
        <v>2.6537727431721558E-2</v>
      </c>
      <c r="AE114" s="16">
        <v>2.6541783553142517E-2</v>
      </c>
      <c r="AF114" s="16">
        <v>2.6484800755225191E-2</v>
      </c>
      <c r="AG114" s="16">
        <v>2.6365718555377837E-2</v>
      </c>
      <c r="AH114" s="16">
        <v>2.6183366896916249E-2</v>
      </c>
      <c r="AI114" s="16">
        <v>2.5936456955617859E-2</v>
      </c>
      <c r="AJ114" s="16">
        <v>2.5623569218142461E-2</v>
      </c>
      <c r="AK114" s="16">
        <v>2.5243138288104872E-2</v>
      </c>
      <c r="AL114" s="16">
        <v>2.4793433662669395E-2</v>
      </c>
      <c r="AM114" s="16">
        <v>2.4272535429861741E-2</v>
      </c>
      <c r="AN114" s="16">
        <v>2.3678303422967839E-2</v>
      </c>
      <c r="AO114" s="16">
        <v>2.3008337767817522E-2</v>
      </c>
      <c r="AP114" s="16">
        <v>2.2259927864317963E-2</v>
      </c>
      <c r="AQ114" s="16">
        <v>2.142998547496644E-2</v>
      </c>
      <c r="AR114" s="16">
        <v>2.0514955435947169E-2</v>
      </c>
      <c r="AS114" s="16">
        <v>1.9510693991888317E-2</v>
      </c>
      <c r="AT114" s="16">
        <v>1.8412298807662264E-2</v>
      </c>
      <c r="AU114" s="16">
        <v>1.7213864189498662E-2</v>
      </c>
      <c r="AV114" s="16">
        <v>1.590811543234949E-2</v>
      </c>
      <c r="AW114" s="16">
        <v>1.4485837236501764E-2</v>
      </c>
      <c r="AX114" s="16">
        <v>1.2934927330470303E-2</v>
      </c>
      <c r="AY114" s="16">
        <v>1.1238707004619708E-2</v>
      </c>
      <c r="AZ114" s="16">
        <v>9.3725764899851294E-3</v>
      </c>
      <c r="BA114" s="16">
        <v>7.2962991806975186E-3</v>
      </c>
      <c r="BB114" s="16">
        <v>4.9309332417224461E-3</v>
      </c>
      <c r="BC114" s="16">
        <v>2.0204866594601967E-3</v>
      </c>
      <c r="BD114" s="16"/>
      <c r="BE114" s="16"/>
      <c r="BF114" s="16"/>
      <c r="BG114" s="16"/>
      <c r="BH114" s="16"/>
      <c r="BI114" s="16"/>
      <c r="BJ114" s="16"/>
    </row>
    <row r="115" spans="1:62" ht="12" customHeight="1">
      <c r="A115" s="14" t="s">
        <v>660</v>
      </c>
      <c r="B115" s="31">
        <v>114</v>
      </c>
      <c r="C115" s="16">
        <v>2.0501680425495383E-3</v>
      </c>
      <c r="D115" s="16">
        <v>4.5992721099183953E-3</v>
      </c>
      <c r="E115" s="16">
        <v>6.5732480194546916E-3</v>
      </c>
      <c r="F115" s="16">
        <v>8.2940291568919244E-3</v>
      </c>
      <c r="G115" s="16">
        <v>9.8488875445902346E-3</v>
      </c>
      <c r="H115" s="16">
        <v>1.127869002738735E-2</v>
      </c>
      <c r="I115" s="16">
        <v>1.2606545038961747E-2</v>
      </c>
      <c r="J115" s="16">
        <v>1.3846956172994918E-2</v>
      </c>
      <c r="K115" s="16">
        <v>1.5009647971232498E-2</v>
      </c>
      <c r="L115" s="16">
        <v>1.6101437720982936E-2</v>
      </c>
      <c r="M115" s="16">
        <v>1.7127253769924633E-2</v>
      </c>
      <c r="N115" s="16">
        <v>1.8090733883302623E-2</v>
      </c>
      <c r="O115" s="16">
        <v>1.8994598070160129E-2</v>
      </c>
      <c r="P115" s="16">
        <v>1.9840891846023778E-2</v>
      </c>
      <c r="Q115" s="16">
        <v>2.0631150949907084E-2</v>
      </c>
      <c r="R115" s="16">
        <v>2.1366516296305593E-2</v>
      </c>
      <c r="S115" s="16">
        <v>2.204781620720464E-2</v>
      </c>
      <c r="T115" s="16">
        <v>2.2675626436378438E-2</v>
      </c>
      <c r="U115" s="16">
        <v>2.3250314694831853E-2</v>
      </c>
      <c r="V115" s="16">
        <v>2.3772074084988937E-2</v>
      </c>
      <c r="W115" s="16">
        <v>2.4240948411440755E-2</v>
      </c>
      <c r="X115" s="16">
        <v>2.4656851407962144E-2</v>
      </c>
      <c r="Y115" s="16">
        <v>2.5019581305836591E-2</v>
      </c>
      <c r="Z115" s="16">
        <v>2.532883175080014E-2</v>
      </c>
      <c r="AA115" s="16">
        <v>2.5584199784785877E-2</v>
      </c>
      <c r="AB115" s="16">
        <v>2.578519140012836E-2</v>
      </c>
      <c r="AC115" s="16">
        <v>2.5931225019882431E-2</v>
      </c>
      <c r="AD115" s="16">
        <v>2.6021633139741818E-2</v>
      </c>
      <c r="AE115" s="16">
        <v>2.6055662271902591E-2</v>
      </c>
      <c r="AF115" s="16">
        <v>2.6032471249735512E-2</v>
      </c>
      <c r="AG115" s="16">
        <v>2.5951127877068547E-2</v>
      </c>
      <c r="AH115" s="16">
        <v>2.581060383075906E-2</v>
      </c>
      <c r="AI115" s="16">
        <v>2.5609767643872461E-2</v>
      </c>
      <c r="AJ115" s="16">
        <v>2.5347375501948655E-2</v>
      </c>
      <c r="AK115" s="16">
        <v>2.5022059467754376E-2</v>
      </c>
      <c r="AL115" s="16">
        <v>2.4632312598433126E-2</v>
      </c>
      <c r="AM115" s="16">
        <v>2.4176470215822699E-2</v>
      </c>
      <c r="AN115" s="16">
        <v>2.3652686310030147E-2</v>
      </c>
      <c r="AO115" s="16">
        <v>2.3058903658334406E-2</v>
      </c>
      <c r="AP115" s="16">
        <v>2.2392815662827248E-2</v>
      </c>
      <c r="AQ115" s="16">
        <v>2.1651817047618538E-2</v>
      </c>
      <c r="AR115" s="16">
        <v>2.0832939235731152E-2</v>
      </c>
      <c r="AS115" s="16">
        <v>1.9932764143550719E-2</v>
      </c>
      <c r="AT115" s="16">
        <v>1.8947306737374769E-2</v>
      </c>
      <c r="AU115" s="16">
        <v>1.7871850953125157E-2</v>
      </c>
      <c r="AV115" s="16">
        <v>1.6700713419147362E-2</v>
      </c>
      <c r="AW115" s="16">
        <v>1.5426890475705224E-2</v>
      </c>
      <c r="AX115" s="16">
        <v>1.4041506336282761E-2</v>
      </c>
      <c r="AY115" s="16">
        <v>1.253289927175516E-2</v>
      </c>
      <c r="AZ115" s="16">
        <v>1.0884990009265016E-2</v>
      </c>
      <c r="BA115" s="16">
        <v>9.0740510991667023E-3</v>
      </c>
      <c r="BB115" s="16">
        <v>7.0612526899972439E-3</v>
      </c>
      <c r="BC115" s="16">
        <v>4.7703714922471274E-3</v>
      </c>
      <c r="BD115" s="16">
        <v>1.9540705359741839E-3</v>
      </c>
      <c r="BE115" s="16"/>
      <c r="BF115" s="16"/>
      <c r="BG115" s="16"/>
      <c r="BH115" s="16"/>
      <c r="BI115" s="16"/>
      <c r="BJ115" s="16"/>
    </row>
    <row r="116" spans="1:62" ht="12" customHeight="1">
      <c r="A116" s="14" t="s">
        <v>661</v>
      </c>
      <c r="B116" s="31">
        <v>115</v>
      </c>
      <c r="C116" s="16">
        <v>1.9872685822388547E-3</v>
      </c>
      <c r="D116" s="16">
        <v>4.4583688679634692E-3</v>
      </c>
      <c r="E116" s="16">
        <v>6.3723611853577777E-3</v>
      </c>
      <c r="F116" s="16">
        <v>8.0413861025437905E-3</v>
      </c>
      <c r="G116" s="16">
        <v>9.5501051986316421E-3</v>
      </c>
      <c r="H116" s="16">
        <v>1.0938188923149905E-2</v>
      </c>
      <c r="I116" s="16">
        <v>1.2228088029945239E-2</v>
      </c>
      <c r="J116" s="16">
        <v>1.3433908279006701E-2</v>
      </c>
      <c r="K116" s="16">
        <v>1.456512007546451E-2</v>
      </c>
      <c r="L116" s="16">
        <v>1.5628373676150109E-2</v>
      </c>
      <c r="M116" s="16">
        <v>1.6628486871826276E-2</v>
      </c>
      <c r="N116" s="16">
        <v>1.7569025456434795E-2</v>
      </c>
      <c r="O116" s="16">
        <v>1.8452664995095791E-2</v>
      </c>
      <c r="P116" s="16">
        <v>1.9281426945004676E-2</v>
      </c>
      <c r="Q116" s="16">
        <v>2.0056838602286797E-2</v>
      </c>
      <c r="R116" s="16">
        <v>2.0780044786738006E-2</v>
      </c>
      <c r="S116" s="16">
        <v>2.1451887797106717E-2</v>
      </c>
      <c r="T116" s="16">
        <v>2.207296583501539E-2</v>
      </c>
      <c r="U116" s="16">
        <v>2.2643676407616664E-2</v>
      </c>
      <c r="V116" s="16">
        <v>2.3164248987745828E-2</v>
      </c>
      <c r="W116" s="16">
        <v>2.3634769814537937E-2</v>
      </c>
      <c r="X116" s="16">
        <v>2.4055200818023037E-2</v>
      </c>
      <c r="Y116" s="16">
        <v>2.4425394055934579E-2</v>
      </c>
      <c r="Z116" s="16">
        <v>2.4745102646943296E-2</v>
      </c>
      <c r="AA116" s="16">
        <v>2.501398890361417E-2</v>
      </c>
      <c r="AB116" s="16">
        <v>2.5231630168020436E-2</v>
      </c>
      <c r="AC116" s="16">
        <v>2.539752270600526E-2</v>
      </c>
      <c r="AD116" s="16">
        <v>2.5511083904665943E-2</v>
      </c>
      <c r="AE116" s="16">
        <v>2.5571652929498256E-2</v>
      </c>
      <c r="AF116" s="16">
        <v>2.5578489924155234E-2</v>
      </c>
      <c r="AG116" s="16">
        <v>2.5530773770278903E-2</v>
      </c>
      <c r="AH116" s="16">
        <v>2.5427598361948522E-2</v>
      </c>
      <c r="AI116" s="16">
        <v>2.5267967283795656E-2</v>
      </c>
      <c r="AJ116" s="16">
        <v>2.5050786708490036E-2</v>
      </c>
      <c r="AK116" s="16">
        <v>2.4774856241661203E-2</v>
      </c>
      <c r="AL116" s="16">
        <v>2.443885733222062E-2</v>
      </c>
      <c r="AM116" s="16">
        <v>2.4041338722044836E-2</v>
      </c>
      <c r="AN116" s="16">
        <v>2.3580698214534568E-2</v>
      </c>
      <c r="AO116" s="16">
        <v>2.3055159771863232E-2</v>
      </c>
      <c r="AP116" s="16">
        <v>2.2462744567321891E-2</v>
      </c>
      <c r="AQ116" s="16">
        <v>2.1801234061085806E-2</v>
      </c>
      <c r="AR116" s="16">
        <v>2.1068122335077599E-2</v>
      </c>
      <c r="AS116" s="16">
        <v>2.0260553647200363E-2</v>
      </c>
      <c r="AT116" s="16">
        <v>1.9375239153773149E-2</v>
      </c>
      <c r="AU116" s="16">
        <v>1.8408343470452615E-2</v>
      </c>
      <c r="AV116" s="16">
        <v>1.7355326191906828E-2</v>
      </c>
      <c r="AW116" s="16">
        <v>1.6210713670528176E-2</v>
      </c>
      <c r="AX116" s="16">
        <v>1.4967758042324641E-2</v>
      </c>
      <c r="AY116" s="16">
        <v>1.3617904096283828E-2</v>
      </c>
      <c r="AZ116" s="16">
        <v>1.2149906314280812E-2</v>
      </c>
      <c r="BA116" s="16">
        <v>1.0548252114714884E-2</v>
      </c>
      <c r="BB116" s="16">
        <v>8.7900392827313656E-3</v>
      </c>
      <c r="BC116" s="16">
        <v>6.8377697688074557E-3</v>
      </c>
      <c r="BD116" s="16">
        <v>4.6177960219173642E-3</v>
      </c>
      <c r="BE116" s="16">
        <v>1.8909893780345577E-3</v>
      </c>
      <c r="BF116" s="16"/>
      <c r="BG116" s="16"/>
      <c r="BH116" s="16"/>
      <c r="BI116" s="16"/>
      <c r="BJ116" s="16"/>
    </row>
    <row r="117" spans="1:62" ht="12" customHeight="1">
      <c r="A117" s="14" t="s">
        <v>662</v>
      </c>
      <c r="B117" s="31">
        <v>116</v>
      </c>
      <c r="C117" s="16">
        <v>1.9273799691337246E-3</v>
      </c>
      <c r="D117" s="16">
        <v>4.3241983654699334E-3</v>
      </c>
      <c r="E117" s="16">
        <v>6.181044289104709E-3</v>
      </c>
      <c r="F117" s="16">
        <v>7.8007292600560385E-3</v>
      </c>
      <c r="G117" s="16">
        <v>9.2654253654518293E-3</v>
      </c>
      <c r="H117" s="16">
        <v>1.0613660471053721E-2</v>
      </c>
      <c r="I117" s="16">
        <v>1.1867256011579341E-2</v>
      </c>
      <c r="J117" s="16">
        <v>1.3039936054229262E-2</v>
      </c>
      <c r="K117" s="16">
        <v>1.4140926273688237E-2</v>
      </c>
      <c r="L117" s="16">
        <v>1.5176715224519133E-2</v>
      </c>
      <c r="M117" s="16">
        <v>1.6152012817913231E-2</v>
      </c>
      <c r="N117" s="16">
        <v>1.7070313727722275E-2</v>
      </c>
      <c r="O117" s="16">
        <v>1.7934248602687441E-2</v>
      </c>
      <c r="P117" s="16">
        <v>1.8745813363256536E-2</v>
      </c>
      <c r="Q117" s="16">
        <v>1.9506524583849716E-2</v>
      </c>
      <c r="R117" s="16">
        <v>2.0217528044357058E-2</v>
      </c>
      <c r="S117" s="16">
        <v>2.0879676494840349E-2</v>
      </c>
      <c r="T117" s="16">
        <v>2.1493586531707187E-2</v>
      </c>
      <c r="U117" s="16">
        <v>2.2059680905455292E-2</v>
      </c>
      <c r="V117" s="16">
        <v>2.2578220415382821E-2</v>
      </c>
      <c r="W117" s="16">
        <v>2.3049328192600083E-2</v>
      </c>
      <c r="X117" s="16">
        <v>2.3473008300436859E-2</v>
      </c>
      <c r="Y117" s="16">
        <v>2.3849160004315251E-2</v>
      </c>
      <c r="Z117" s="16">
        <v>2.4177588671963735E-2</v>
      </c>
      <c r="AA117" s="16">
        <v>2.4458013993334249E-2</v>
      </c>
      <c r="AB117" s="16">
        <v>2.4690076016552931E-2</v>
      </c>
      <c r="AC117" s="16">
        <v>2.4873339355481305E-2</v>
      </c>
      <c r="AD117" s="16">
        <v>2.5007295818685993E-2</v>
      </c>
      <c r="AE117" s="16">
        <v>2.509136562717118E-2</v>
      </c>
      <c r="AF117" s="16">
        <v>2.5124897320951467E-2</v>
      </c>
      <c r="AG117" s="16">
        <v>2.5107166396307612E-2</v>
      </c>
      <c r="AH117" s="16">
        <v>2.5037372661606216E-2</v>
      </c>
      <c r="AI117" s="16">
        <v>2.4914636245594535E-2</v>
      </c>
      <c r="AJ117" s="16">
        <v>2.4737992133892939E-2</v>
      </c>
      <c r="AK117" s="16">
        <v>2.4506383042334545E-2</v>
      </c>
      <c r="AL117" s="16">
        <v>2.421865035402726E-2</v>
      </c>
      <c r="AM117" s="16">
        <v>2.387352274281751E-2</v>
      </c>
      <c r="AN117" s="16">
        <v>2.3469601968401865E-2</v>
      </c>
      <c r="AO117" s="16">
        <v>2.3005345141725142E-2</v>
      </c>
      <c r="AP117" s="16">
        <v>2.2479042499712443E-2</v>
      </c>
      <c r="AQ117" s="16">
        <v>2.1888789358610383E-2</v>
      </c>
      <c r="AR117" s="16">
        <v>2.1232450376446277E-2</v>
      </c>
      <c r="AS117" s="16">
        <v>2.0507613450719941E-2</v>
      </c>
      <c r="AT117" s="16">
        <v>1.9711529344914047E-2</v>
      </c>
      <c r="AU117" s="16">
        <v>1.8841031193008506E-2</v>
      </c>
      <c r="AV117" s="16">
        <v>1.7892424861479128E-2</v>
      </c>
      <c r="AW117" s="16">
        <v>1.6861335781716114E-2</v>
      </c>
      <c r="AX117" s="16">
        <v>1.5742488369449026E-2</v>
      </c>
      <c r="AY117" s="16">
        <v>1.452937643741381E-2</v>
      </c>
      <c r="AZ117" s="16">
        <v>1.3213747808209386E-2</v>
      </c>
      <c r="BA117" s="16">
        <v>1.1784750623004658E-2</v>
      </c>
      <c r="BB117" s="16">
        <v>1.0227408619084E-2</v>
      </c>
      <c r="BC117" s="16">
        <v>8.5196011083642498E-3</v>
      </c>
      <c r="BD117" s="16">
        <v>6.6250922025754555E-3</v>
      </c>
      <c r="BE117" s="16">
        <v>4.4726772694353434E-3</v>
      </c>
      <c r="BF117" s="16">
        <v>1.8310199361987189E-3</v>
      </c>
      <c r="BG117" s="16"/>
      <c r="BH117" s="16"/>
      <c r="BI117" s="16"/>
      <c r="BJ117" s="16"/>
    </row>
    <row r="118" spans="1:62" ht="12" customHeight="1">
      <c r="A118" s="14" t="s">
        <v>663</v>
      </c>
      <c r="B118" s="31">
        <v>117</v>
      </c>
      <c r="C118" s="16">
        <v>1.8703081466687754E-3</v>
      </c>
      <c r="D118" s="16">
        <v>4.1963275572126646E-3</v>
      </c>
      <c r="E118" s="16">
        <v>5.9986839756650534E-3</v>
      </c>
      <c r="F118" s="16">
        <v>7.5712941291052882E-3</v>
      </c>
      <c r="G118" s="16">
        <v>8.9939540730494816E-3</v>
      </c>
      <c r="H118" s="16">
        <v>1.0304099698382641E-2</v>
      </c>
      <c r="I118" s="16">
        <v>1.1522949896062062E-2</v>
      </c>
      <c r="J118" s="16">
        <v>1.2663862369664658E-2</v>
      </c>
      <c r="K118" s="16">
        <v>1.3735827083814378E-2</v>
      </c>
      <c r="L118" s="16">
        <v>1.4745176092176737E-2</v>
      </c>
      <c r="M118" s="16">
        <v>1.5696514147174434E-2</v>
      </c>
      <c r="N118" s="16">
        <v>1.6593265817204772E-2</v>
      </c>
      <c r="O118" s="16">
        <v>1.7438016615735741E-2</v>
      </c>
      <c r="P118" s="16">
        <v>1.8232735773735631E-2</v>
      </c>
      <c r="Q118" s="16">
        <v>1.8978927252147004E-2</v>
      </c>
      <c r="R118" s="16">
        <v>1.9677735288102682E-2</v>
      </c>
      <c r="S118" s="16">
        <v>2.0330020052483966E-2</v>
      </c>
      <c r="T118" s="16">
        <v>2.0936413030686274E-2</v>
      </c>
      <c r="U118" s="16">
        <v>2.1497358265098909E-2</v>
      </c>
      <c r="V118" s="16">
        <v>2.2013143496470655E-2</v>
      </c>
      <c r="W118" s="16">
        <v>2.2483923927092753E-2</v>
      </c>
      <c r="X118" s="16">
        <v>2.290974048225991E-2</v>
      </c>
      <c r="Y118" s="16">
        <v>2.329053388675939E-2</v>
      </c>
      <c r="Z118" s="16">
        <v>2.3626155493967294E-2</v>
      </c>
      <c r="AA118" s="16">
        <v>2.3916375542349821E-2</v>
      </c>
      <c r="AB118" s="16">
        <v>2.4160889327821011E-2</v>
      </c>
      <c r="AC118" s="16">
        <v>2.4359321645117449E-2</v>
      </c>
      <c r="AD118" s="16">
        <v>2.4511229750419528E-2</v>
      </c>
      <c r="AE118" s="16">
        <v>2.461610501969691E-2</v>
      </c>
      <c r="AF118" s="16">
        <v>2.4673373414902278E-2</v>
      </c>
      <c r="AG118" s="16">
        <v>2.4682394817512776E-2</v>
      </c>
      <c r="AH118" s="16">
        <v>2.4642461241660141E-2</v>
      </c>
      <c r="AI118" s="16">
        <v>2.4552793893570901E-2</v>
      </c>
      <c r="AJ118" s="16">
        <v>2.4412538996770872E-2</v>
      </c>
      <c r="AK118" s="16">
        <v>2.4220762249986483E-2</v>
      </c>
      <c r="AL118" s="16">
        <v>2.3976441722604491E-2</v>
      </c>
      <c r="AM118" s="16">
        <v>2.3678458915664558E-2</v>
      </c>
      <c r="AN118" s="16">
        <v>2.3325587617246013E-2</v>
      </c>
      <c r="AO118" s="16">
        <v>2.2916480049519183E-2</v>
      </c>
      <c r="AP118" s="16">
        <v>2.2449649625296164E-2</v>
      </c>
      <c r="AQ118" s="16">
        <v>2.1923449381650917E-2</v>
      </c>
      <c r="AR118" s="16">
        <v>2.133604480122675E-2</v>
      </c>
      <c r="AS118" s="16">
        <v>2.0685379211226707E-2</v>
      </c>
      <c r="AT118" s="16">
        <v>1.9969129172460742E-2</v>
      </c>
      <c r="AU118" s="16">
        <v>1.9184646078850842E-2</v>
      </c>
      <c r="AV118" s="16">
        <v>1.8328878307036556E-2</v>
      </c>
      <c r="AW118" s="16">
        <v>1.7398265189271234E-2</v>
      </c>
      <c r="AX118" s="16">
        <v>1.6388588890450584E-2</v>
      </c>
      <c r="AY118" s="16">
        <v>1.5294761081117825E-2</v>
      </c>
      <c r="AZ118" s="16">
        <v>1.4110504159478232E-2</v>
      </c>
      <c r="BA118" s="16">
        <v>1.2827852709099141E-2</v>
      </c>
      <c r="BB118" s="16">
        <v>1.1436327597886708E-2</v>
      </c>
      <c r="BC118" s="16">
        <v>9.92146067032873E-3</v>
      </c>
      <c r="BD118" s="16">
        <v>8.2618721340655954E-3</v>
      </c>
      <c r="BE118" s="16">
        <v>6.4225234669603726E-3</v>
      </c>
      <c r="BF118" s="16">
        <v>4.3345292572313232E-3</v>
      </c>
      <c r="BG118" s="16">
        <v>1.7739575107980077E-3</v>
      </c>
      <c r="BH118" s="16"/>
      <c r="BI118" s="16"/>
      <c r="BJ118" s="16"/>
    </row>
    <row r="119" spans="1:62" ht="12" customHeight="1">
      <c r="A119" s="14" t="s">
        <v>664</v>
      </c>
      <c r="B119" s="31">
        <v>118</v>
      </c>
      <c r="C119" s="16">
        <v>1.8158746732724884E-3</v>
      </c>
      <c r="D119" s="16">
        <v>4.0743581623740033E-3</v>
      </c>
      <c r="E119" s="16">
        <v>5.8247159320737874E-3</v>
      </c>
      <c r="F119" s="16">
        <v>7.3523769978723896E-3</v>
      </c>
      <c r="G119" s="16">
        <v>8.7348679278879127E-3</v>
      </c>
      <c r="H119" s="16">
        <v>1.0008580277379386E-2</v>
      </c>
      <c r="I119" s="16">
        <v>1.1194155688304841E-2</v>
      </c>
      <c r="J119" s="16">
        <v>1.230460006154277E-2</v>
      </c>
      <c r="K119" s="16">
        <v>1.3348676295918516E-2</v>
      </c>
      <c r="L119" s="16">
        <v>1.4332565007579845E-2</v>
      </c>
      <c r="M119" s="16">
        <v>1.5260768529248736E-2</v>
      </c>
      <c r="N119" s="16">
        <v>1.613664246642621E-2</v>
      </c>
      <c r="O119" s="16">
        <v>1.6962727188260862E-2</v>
      </c>
      <c r="P119" s="16">
        <v>1.7740964358401334E-2</v>
      </c>
      <c r="Q119" s="16">
        <v>1.8472843762231128E-2</v>
      </c>
      <c r="R119" s="16">
        <v>1.9159505969861268E-2</v>
      </c>
      <c r="S119" s="16">
        <v>1.9801815967018466E-2</v>
      </c>
      <c r="T119" s="16">
        <v>2.0400417092037215E-2</v>
      </c>
      <c r="U119" s="16">
        <v>2.0955771243729604E-2</v>
      </c>
      <c r="V119" s="16">
        <v>2.1468189284081785E-2</v>
      </c>
      <c r="W119" s="16">
        <v>2.1937854283363922E-2</v>
      </c>
      <c r="X119" s="16">
        <v>2.236483943334544E-2</v>
      </c>
      <c r="Y119" s="16">
        <v>2.2749121910963122E-2</v>
      </c>
      <c r="Z119" s="16">
        <v>2.3090593607002941E-2</v>
      </c>
      <c r="AA119" s="16">
        <v>2.3389069379690097E-2</v>
      </c>
      <c r="AB119" s="16">
        <v>2.3644293312903408E-2</v>
      </c>
      <c r="AC119" s="16">
        <v>2.3855943328336737E-2</v>
      </c>
      <c r="AD119" s="16">
        <v>2.4023634404232275E-2</v>
      </c>
      <c r="AE119" s="16">
        <v>2.4146920579487752E-2</v>
      </c>
      <c r="AF119" s="16">
        <v>2.4225295863603558E-2</v>
      </c>
      <c r="AG119" s="16">
        <v>2.4258194124679444E-2</v>
      </c>
      <c r="AH119" s="16">
        <v>2.4244987985570954E-2</v>
      </c>
      <c r="AI119" s="16">
        <v>2.4184986719037682E-2</v>
      </c>
      <c r="AJ119" s="16">
        <v>2.4077433093489087E-2</v>
      </c>
      <c r="AK119" s="16">
        <v>2.3921499078815023E-2</v>
      </c>
      <c r="AL119" s="16">
        <v>2.3716280273684998E-2</v>
      </c>
      <c r="AM119" s="16">
        <v>2.346078885778724E-2</v>
      </c>
      <c r="AN119" s="16">
        <v>2.3153944799646164E-2</v>
      </c>
      <c r="AO119" s="16">
        <v>2.2794564956077012E-2</v>
      </c>
      <c r="AP119" s="16">
        <v>2.2381349572951237E-2</v>
      </c>
      <c r="AQ119" s="16">
        <v>2.191286552413807E-2</v>
      </c>
      <c r="AR119" s="16">
        <v>2.138752538390587E-2</v>
      </c>
      <c r="AS119" s="16">
        <v>2.0803561083150734E-2</v>
      </c>
      <c r="AT119" s="16">
        <v>2.0158990396359155E-2</v>
      </c>
      <c r="AU119" s="16">
        <v>1.9451573753920148E-2</v>
      </c>
      <c r="AV119" s="16">
        <v>1.8678757720914874E-2</v>
      </c>
      <c r="AW119" s="16">
        <v>1.7837599663186765E-2</v>
      </c>
      <c r="AX119" s="16">
        <v>1.6924665153110086E-2</v>
      </c>
      <c r="AY119" s="16">
        <v>1.5935884640700282E-2</v>
      </c>
      <c r="AZ119" s="16">
        <v>1.4866347018821391E-2</v>
      </c>
      <c r="BA119" s="16">
        <v>1.3709991115827047E-2</v>
      </c>
      <c r="BB119" s="16">
        <v>1.24591231598008E-2</v>
      </c>
      <c r="BC119" s="16">
        <v>1.1103617288556245E-2</v>
      </c>
      <c r="BD119" s="16">
        <v>9.629487212820087E-3</v>
      </c>
      <c r="BE119" s="16">
        <v>8.0160562137957525E-3</v>
      </c>
      <c r="BF119" s="16">
        <v>6.2294227682161418E-3</v>
      </c>
      <c r="BG119" s="16">
        <v>4.2029053312810927E-3</v>
      </c>
      <c r="BH119" s="16">
        <v>1.7196141213248195E-3</v>
      </c>
      <c r="BI119" s="16"/>
      <c r="BJ119" s="16"/>
    </row>
    <row r="120" spans="1:62" ht="12" customHeight="1">
      <c r="A120" s="14" t="s">
        <v>665</v>
      </c>
      <c r="B120" s="31">
        <v>119</v>
      </c>
      <c r="C120" s="16">
        <v>1.7639152242943101E-3</v>
      </c>
      <c r="D120" s="16">
        <v>3.9579233378700396E-3</v>
      </c>
      <c r="E120" s="16">
        <v>5.6586202153769971E-3</v>
      </c>
      <c r="F120" s="16">
        <v>7.1433291879496874E-3</v>
      </c>
      <c r="G120" s="16">
        <v>8.4874074869701888E-3</v>
      </c>
      <c r="H120" s="16">
        <v>9.7262472150196899E-3</v>
      </c>
      <c r="I120" s="16">
        <v>1.0879936676411295E-2</v>
      </c>
      <c r="J120" s="16">
        <v>1.1961143803768004E-2</v>
      </c>
      <c r="K120" s="16">
        <v>1.2978412709419795E-2</v>
      </c>
      <c r="L120" s="16">
        <v>1.3937777489768988E-2</v>
      </c>
      <c r="M120" s="16">
        <v>1.4843640794950042E-2</v>
      </c>
      <c r="N120" s="16">
        <v>1.5699290508636388E-2</v>
      </c>
      <c r="O120" s="16">
        <v>1.6507222019796819E-2</v>
      </c>
      <c r="P120" s="16">
        <v>1.7269348778966909E-2</v>
      </c>
      <c r="Q120" s="16">
        <v>1.798714511509969E-2</v>
      </c>
      <c r="R120" s="16">
        <v>1.866174613162408E-2</v>
      </c>
      <c r="S120" s="16">
        <v>1.9294019388102601E-2</v>
      </c>
      <c r="T120" s="16">
        <v>1.9884617444008268E-2</v>
      </c>
      <c r="U120" s="16">
        <v>2.0434017063138299E-2</v>
      </c>
      <c r="V120" s="16">
        <v>2.0942548894116508E-2</v>
      </c>
      <c r="W120" s="16">
        <v>2.1410420202228053E-2</v>
      </c>
      <c r="X120" s="16">
        <v>2.1837732429306422E-2</v>
      </c>
      <c r="Y120" s="16">
        <v>2.222449483067146E-2</v>
      </c>
      <c r="Z120" s="16">
        <v>2.2570635081014312E-2</v>
      </c>
      <c r="AA120" s="16">
        <v>2.2876007494152639E-2</v>
      </c>
      <c r="AB120" s="16">
        <v>2.3140399327066019E-2</v>
      </c>
      <c r="AC120" s="16">
        <v>2.3363535512702649E-2</v>
      </c>
      <c r="AD120" s="16">
        <v>2.3545082073079815E-2</v>
      </c>
      <c r="AE120" s="16">
        <v>2.3684648393763275E-2</v>
      </c>
      <c r="AF120" s="16">
        <v>2.378178848576662E-2</v>
      </c>
      <c r="AG120" s="16">
        <v>2.3836001316185795E-2</v>
      </c>
      <c r="AH120" s="16">
        <v>2.3846730250735582E-2</v>
      </c>
      <c r="AI120" s="16">
        <v>2.3813361616872086E-2</v>
      </c>
      <c r="AJ120" s="16">
        <v>2.3735222362849306E-2</v>
      </c>
      <c r="AK120" s="16">
        <v>2.3611576753573282E-2</v>
      </c>
      <c r="AL120" s="16">
        <v>2.3441622006031171E-2</v>
      </c>
      <c r="AM120" s="16">
        <v>2.3224482722520978E-2</v>
      </c>
      <c r="AN120" s="16">
        <v>2.2959203925425276E-2</v>
      </c>
      <c r="AO120" s="16">
        <v>2.2644742427994746E-2</v>
      </c>
      <c r="AP120" s="16">
        <v>2.2279956184984684E-2</v>
      </c>
      <c r="AQ120" s="16">
        <v>2.1863591145414474E-2</v>
      </c>
      <c r="AR120" s="16">
        <v>2.1394264962979914E-2</v>
      </c>
      <c r="AS120" s="16">
        <v>2.0870446686258148E-2</v>
      </c>
      <c r="AT120" s="16">
        <v>2.0290431217225735E-2</v>
      </c>
      <c r="AU120" s="16">
        <v>1.9652306839422651E-2</v>
      </c>
      <c r="AV120" s="16">
        <v>1.8953913388806587E-2</v>
      </c>
      <c r="AW120" s="16">
        <v>1.819278752343223E-2</v>
      </c>
      <c r="AX120" s="16">
        <v>1.7366089785178396E-2</v>
      </c>
      <c r="AY120" s="16">
        <v>1.647050527164351E-2</v>
      </c>
      <c r="AZ120" s="16">
        <v>1.5502104867028965E-2</v>
      </c>
      <c r="BA120" s="16">
        <v>1.445614536186357E-2</v>
      </c>
      <c r="BB120" s="16">
        <v>1.3326770713059322E-2</v>
      </c>
      <c r="BC120" s="16">
        <v>1.2106544731770308E-2</v>
      </c>
      <c r="BD120" s="16">
        <v>1.0785676716182913E-2</v>
      </c>
      <c r="BE120" s="16">
        <v>9.3506378027982118E-3</v>
      </c>
      <c r="BF120" s="16">
        <v>7.781419092690034E-3</v>
      </c>
      <c r="BG120" s="16">
        <v>6.0451997470327701E-3</v>
      </c>
      <c r="BH120" s="16">
        <v>4.0773943809289115E-3</v>
      </c>
      <c r="BI120" s="16">
        <v>1.6678168840705831E-3</v>
      </c>
      <c r="BJ120" s="16"/>
    </row>
    <row r="121" spans="1:62" ht="12" customHeight="1">
      <c r="A121" s="14" t="s">
        <v>666</v>
      </c>
      <c r="B121" s="31">
        <v>120</v>
      </c>
      <c r="C121" s="16">
        <v>1.7142782600643169E-3</v>
      </c>
      <c r="D121" s="16">
        <v>3.8466847195591791E-3</v>
      </c>
      <c r="E121" s="16">
        <v>5.4999170947324094E-3</v>
      </c>
      <c r="F121" s="16">
        <v>6.9435519282314839E-3</v>
      </c>
      <c r="G121" s="16">
        <v>8.2508713477041917E-3</v>
      </c>
      <c r="H121" s="16">
        <v>9.4563103252143232E-3</v>
      </c>
      <c r="I121" s="16">
        <v>1.0579426445558981E-2</v>
      </c>
      <c r="J121" s="16">
        <v>1.1632562820971915E-2</v>
      </c>
      <c r="K121" s="16">
        <v>1.2624052703819388E-2</v>
      </c>
      <c r="L121" s="16">
        <v>1.3559788438125109E-2</v>
      </c>
      <c r="M121" s="16">
        <v>1.444407571044648E-2</v>
      </c>
      <c r="N121" s="16">
        <v>1.5280135997850497E-2</v>
      </c>
      <c r="O121" s="16">
        <v>1.6070420015654507E-2</v>
      </c>
      <c r="P121" s="16">
        <v>1.6816812551323945E-2</v>
      </c>
      <c r="Q121" s="16">
        <v>1.7520771436608684E-2</v>
      </c>
      <c r="R121" s="16">
        <v>1.8183424787404201E-2</v>
      </c>
      <c r="S121" s="16">
        <v>1.8805640810524604E-2</v>
      </c>
      <c r="T121" s="16">
        <v>1.9388079003517467E-2</v>
      </c>
      <c r="U121" s="16">
        <v>1.9931228386863453E-2</v>
      </c>
      <c r="V121" s="16">
        <v>2.0435436479996016E-2</v>
      </c>
      <c r="W121" s="16">
        <v>2.0900931526924738E-2</v>
      </c>
      <c r="X121" s="16">
        <v>2.1327839701016038E-2</v>
      </c>
      <c r="Y121" s="16">
        <v>2.1716198505600581E-2</v>
      </c>
      <c r="Z121" s="16">
        <v>2.2065967240171402E-2</v>
      </c>
      <c r="AA121" s="16">
        <v>2.2377035162150838E-2</v>
      </c>
      <c r="AB121" s="16">
        <v>2.2649227805019878E-2</v>
      </c>
      <c r="AC121" s="16">
        <v>2.2882311791768917E-2</v>
      </c>
      <c r="AD121" s="16">
        <v>2.3075998393011998E-2</v>
      </c>
      <c r="AE121" s="16">
        <v>2.3229946011609215E-2</v>
      </c>
      <c r="AF121" s="16">
        <v>2.3343761723383483E-2</v>
      </c>
      <c r="AG121" s="16">
        <v>2.3417001961642203E-2</v>
      </c>
      <c r="AH121" s="16">
        <v>2.3449172398220863E-2</v>
      </c>
      <c r="AI121" s="16">
        <v>2.343972704292796E-2</v>
      </c>
      <c r="AJ121" s="16">
        <v>2.3388066554411724E-2</v>
      </c>
      <c r="AK121" s="16">
        <v>2.3293535726607639E-2</v>
      </c>
      <c r="AL121" s="16">
        <v>2.3155420084105538E-2</v>
      </c>
      <c r="AM121" s="16">
        <v>2.2972941484862175E-2</v>
      </c>
      <c r="AN121" s="16">
        <v>2.2745252587077158E-2</v>
      </c>
      <c r="AO121" s="16">
        <v>2.2471429985455371E-2</v>
      </c>
      <c r="AP121" s="16">
        <v>2.2150465755905513E-2</v>
      </c>
      <c r="AQ121" s="16">
        <v>2.1781257060707326E-2</v>
      </c>
      <c r="AR121" s="16">
        <v>2.1362593348952963E-2</v>
      </c>
      <c r="AS121" s="16">
        <v>2.0893140526064502E-2</v>
      </c>
      <c r="AT121" s="16">
        <v>2.0371421240419685E-2</v>
      </c>
      <c r="AU121" s="16">
        <v>1.9795790112238754E-2</v>
      </c>
      <c r="AV121" s="16">
        <v>1.9164402258071589E-2</v>
      </c>
      <c r="AW121" s="16">
        <v>1.847517275877919E-2</v>
      </c>
      <c r="AX121" s="16">
        <v>1.7725723636739077E-2</v>
      </c>
      <c r="AY121" s="16">
        <v>1.6913313199739433E-2</v>
      </c>
      <c r="AZ121" s="16">
        <v>1.6034739822702315E-2</v>
      </c>
      <c r="BA121" s="16">
        <v>1.508620751900136E-2</v>
      </c>
      <c r="BB121" s="16">
        <v>1.4063132298820169E-2</v>
      </c>
      <c r="BC121" s="16">
        <v>1.295985272606015E-2</v>
      </c>
      <c r="BD121" s="16">
        <v>1.1769177097743055E-2</v>
      </c>
      <c r="BE121" s="16">
        <v>1.0481632994969625E-2</v>
      </c>
      <c r="BF121" s="16">
        <v>9.0841261872246504E-3</v>
      </c>
      <c r="BG121" s="16">
        <v>7.5572826941897597E-3</v>
      </c>
      <c r="BH121" s="16">
        <v>5.8693097625368562E-3</v>
      </c>
      <c r="BI121" s="16">
        <v>3.9576174777082862E-3</v>
      </c>
      <c r="BJ121" s="16">
        <v>1.6184065712868678E-3</v>
      </c>
    </row>
    <row r="122" spans="1:62" ht="12" customHeight="1">
      <c r="A122" s="14" t="s">
        <v>667</v>
      </c>
      <c r="B122" s="31">
        <v>121</v>
      </c>
      <c r="C122" s="15">
        <v>1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</row>
    <row r="123" spans="1:62" ht="12" customHeight="1">
      <c r="A123" s="14" t="s">
        <v>668</v>
      </c>
      <c r="B123" s="31">
        <v>122</v>
      </c>
      <c r="C123" s="16">
        <v>0.46228878676716223</v>
      </c>
      <c r="D123" s="16">
        <v>0.53771121323283777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</row>
    <row r="124" spans="1:62" ht="12" customHeight="1">
      <c r="A124" s="14" t="s">
        <v>669</v>
      </c>
      <c r="B124" s="31">
        <v>123</v>
      </c>
      <c r="C124" s="16">
        <v>0.24058332094327195</v>
      </c>
      <c r="D124" s="16">
        <v>0.45789865629818349</v>
      </c>
      <c r="E124" s="16">
        <v>0.30151802275854456</v>
      </c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</row>
    <row r="125" spans="1:62" ht="12" customHeight="1">
      <c r="A125" s="14" t="s">
        <v>670</v>
      </c>
      <c r="B125" s="31">
        <v>124</v>
      </c>
      <c r="C125" s="16">
        <v>0.14777671474234033</v>
      </c>
      <c r="D125" s="16">
        <v>0.3145120720248219</v>
      </c>
      <c r="E125" s="16">
        <v>0.34515943692549189</v>
      </c>
      <c r="F125" s="16">
        <v>0.19255177630734588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</row>
    <row r="126" spans="1:62" ht="12" customHeight="1">
      <c r="A126" s="14" t="s">
        <v>671</v>
      </c>
      <c r="B126" s="31">
        <v>125</v>
      </c>
      <c r="C126" s="16">
        <v>0.10053399414107778</v>
      </c>
      <c r="D126" s="16">
        <v>0.2243216660209133</v>
      </c>
      <c r="E126" s="16">
        <v>0.28023875963361022</v>
      </c>
      <c r="F126" s="16">
        <v>0.26080575577221521</v>
      </c>
      <c r="G126" s="16">
        <v>0.13409982443218349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</row>
    <row r="127" spans="1:62" ht="12" customHeight="1">
      <c r="A127" s="14" t="s">
        <v>672</v>
      </c>
      <c r="B127" s="31">
        <v>126</v>
      </c>
      <c r="C127" s="16">
        <v>7.317128271315454E-2</v>
      </c>
      <c r="D127" s="16">
        <v>0.16741203823011741</v>
      </c>
      <c r="E127" s="16">
        <v>0.22170546582389028</v>
      </c>
      <c r="F127" s="16">
        <v>0.23619319047429321</v>
      </c>
      <c r="G127" s="16">
        <v>0.20239925257674696</v>
      </c>
      <c r="H127" s="16">
        <v>9.91187701817976E-2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</row>
    <row r="128" spans="1:62" ht="12" customHeight="1">
      <c r="A128" s="14" t="s">
        <v>673</v>
      </c>
      <c r="B128" s="31">
        <v>127</v>
      </c>
      <c r="C128" s="16">
        <v>5.5854070940211997E-2</v>
      </c>
      <c r="D128" s="16">
        <v>0.12973471543488069</v>
      </c>
      <c r="E128" s="16">
        <v>0.17745767169711169</v>
      </c>
      <c r="F128" s="16">
        <v>0.2012476308175366</v>
      </c>
      <c r="G128" s="16">
        <v>0.19789966125181768</v>
      </c>
      <c r="H128" s="16">
        <v>0.1613252094136669</v>
      </c>
      <c r="I128" s="16">
        <v>7.648104044477444E-2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</row>
    <row r="129" spans="1:62" ht="12" customHeight="1">
      <c r="A129" s="14" t="s">
        <v>674</v>
      </c>
      <c r="B129" s="31">
        <v>128</v>
      </c>
      <c r="C129" s="16">
        <v>4.4168005836292656E-2</v>
      </c>
      <c r="D129" s="16">
        <v>0.10360870890604768</v>
      </c>
      <c r="E129" s="16">
        <v>0.14460620685171388</v>
      </c>
      <c r="F129" s="16">
        <v>0.16990586517310802</v>
      </c>
      <c r="G129" s="16">
        <v>0.17822312958943987</v>
      </c>
      <c r="H129" s="16">
        <v>0.16693630733605203</v>
      </c>
      <c r="I129" s="16">
        <v>0.13159491509299992</v>
      </c>
      <c r="J129" s="16">
        <v>6.0956861214345959E-2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</row>
    <row r="130" spans="1:62" ht="12" customHeight="1">
      <c r="A130" s="14" t="s">
        <v>675</v>
      </c>
      <c r="B130" s="31">
        <v>129</v>
      </c>
      <c r="C130" s="16">
        <v>3.5890067456005204E-2</v>
      </c>
      <c r="D130" s="16">
        <v>8.4768785955294246E-2</v>
      </c>
      <c r="E130" s="16">
        <v>0.1199244675319725</v>
      </c>
      <c r="F130" s="16">
        <v>0.14410880382524882</v>
      </c>
      <c r="G130" s="16">
        <v>0.15687019217239118</v>
      </c>
      <c r="H130" s="16">
        <v>0.1569196603005435</v>
      </c>
      <c r="I130" s="16">
        <v>0.14223813141546393</v>
      </c>
      <c r="J130" s="16">
        <v>0.1094534844741345</v>
      </c>
      <c r="K130" s="16">
        <v>4.9826406868946127E-2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</row>
    <row r="131" spans="1:62" ht="12" customHeight="1">
      <c r="A131" s="14" t="s">
        <v>676</v>
      </c>
      <c r="B131" s="31">
        <v>130</v>
      </c>
      <c r="C131" s="16">
        <v>2.9799776658445465E-2</v>
      </c>
      <c r="D131" s="16">
        <v>7.0734217482632311E-2</v>
      </c>
      <c r="E131" s="16">
        <v>0.10103493616731751</v>
      </c>
      <c r="F131" s="16">
        <v>0.12328672985359579</v>
      </c>
      <c r="G131" s="16">
        <v>0.13743312660517115</v>
      </c>
      <c r="H131" s="16">
        <v>0.14280563302843907</v>
      </c>
      <c r="I131" s="16">
        <v>0.13834069453341102</v>
      </c>
      <c r="J131" s="16">
        <v>0.12246506123880418</v>
      </c>
      <c r="K131" s="16">
        <v>9.2539454867284987E-2</v>
      </c>
      <c r="L131" s="16">
        <v>4.1560369564898503E-2</v>
      </c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</row>
    <row r="132" spans="1:62" ht="12" customHeight="1">
      <c r="A132" s="14" t="s">
        <v>677</v>
      </c>
      <c r="B132" s="31">
        <v>131</v>
      </c>
      <c r="C132" s="16">
        <v>2.5180574951710888E-2</v>
      </c>
      <c r="D132" s="16">
        <v>5.9992715724802359E-2</v>
      </c>
      <c r="E132" s="16">
        <v>8.6301689652306668E-2</v>
      </c>
      <c r="F132" s="16">
        <v>0.10647598509166567</v>
      </c>
      <c r="G132" s="16">
        <v>0.12065459335819451</v>
      </c>
      <c r="H132" s="16">
        <v>0.12849082915902232</v>
      </c>
      <c r="I132" s="16">
        <v>0.12937975957052816</v>
      </c>
      <c r="J132" s="16">
        <v>0.12246255495858083</v>
      </c>
      <c r="K132" s="16">
        <v>0.10648679650774373</v>
      </c>
      <c r="L132" s="16">
        <v>7.9330315063373957E-2</v>
      </c>
      <c r="M132" s="16">
        <v>3.5244185962070906E-2</v>
      </c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</row>
    <row r="133" spans="1:62" ht="12" customHeight="1">
      <c r="A133" s="14" t="s">
        <v>678</v>
      </c>
      <c r="B133" s="31">
        <v>132</v>
      </c>
      <c r="C133" s="16">
        <v>2.1588608416813648E-2</v>
      </c>
      <c r="D133" s="16">
        <v>5.1582674296340891E-2</v>
      </c>
      <c r="E133" s="16">
        <v>7.4605432029185792E-2</v>
      </c>
      <c r="F133" s="16">
        <v>9.2806606200931618E-2</v>
      </c>
      <c r="G133" s="16">
        <v>0.10642196188583564</v>
      </c>
      <c r="H133" s="16">
        <v>0.11528350393805464</v>
      </c>
      <c r="I133" s="16">
        <v>0.11903301656106058</v>
      </c>
      <c r="J133" s="16">
        <v>0.11716017391323263</v>
      </c>
      <c r="K133" s="16">
        <v>0.10896624645119868</v>
      </c>
      <c r="L133" s="16">
        <v>9.3433006125548279E-2</v>
      </c>
      <c r="M133" s="16">
        <v>6.8815765503630333E-2</v>
      </c>
      <c r="N133" s="16">
        <v>3.0303004678167267E-2</v>
      </c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</row>
    <row r="134" spans="1:62" ht="12" customHeight="1">
      <c r="A134" s="14" t="s">
        <v>679</v>
      </c>
      <c r="B134" s="31">
        <v>133</v>
      </c>
      <c r="C134" s="16">
        <v>1.8736643329539504E-2</v>
      </c>
      <c r="D134" s="16">
        <v>4.4869792580111256E-2</v>
      </c>
      <c r="E134" s="16">
        <v>6.5170940221333851E-2</v>
      </c>
      <c r="F134" s="16">
        <v>8.1585925612327914E-2</v>
      </c>
      <c r="G134" s="16">
        <v>9.439582699375737E-2</v>
      </c>
      <c r="H134" s="16">
        <v>0.10353638359807693</v>
      </c>
      <c r="I134" s="16">
        <v>0.10879233142657174</v>
      </c>
      <c r="J134" s="16">
        <v>0.10984458628255256</v>
      </c>
      <c r="K134" s="16">
        <v>0.10626707018160664</v>
      </c>
      <c r="L134" s="16">
        <v>9.7483435674305507E-2</v>
      </c>
      <c r="M134" s="16">
        <v>8.2650227974308876E-2</v>
      </c>
      <c r="N134" s="16">
        <v>6.0306466021667338E-2</v>
      </c>
      <c r="O134" s="16">
        <v>2.6360370103840514E-2</v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</row>
    <row r="135" spans="1:62" ht="12" customHeight="1">
      <c r="A135" s="14" t="s">
        <v>680</v>
      </c>
      <c r="B135" s="31">
        <v>134</v>
      </c>
      <c r="C135" s="16">
        <v>1.6431905349197584E-2</v>
      </c>
      <c r="D135" s="16">
        <v>3.9422165591014413E-2</v>
      </c>
      <c r="E135" s="16">
        <v>5.7451780455242241E-2</v>
      </c>
      <c r="F135" s="16">
        <v>7.2282934979638447E-2</v>
      </c>
      <c r="G135" s="16">
        <v>8.4214263118888799E-2</v>
      </c>
      <c r="H135" s="16">
        <v>9.3243408578222886E-2</v>
      </c>
      <c r="I135" s="16">
        <v>9.924232869495786E-2</v>
      </c>
      <c r="J135" s="16">
        <v>0.10200530212257874</v>
      </c>
      <c r="K135" s="16">
        <v>0.10125768611005426</v>
      </c>
      <c r="L135" s="16">
        <v>9.6641975141763425E-2</v>
      </c>
      <c r="M135" s="16">
        <v>8.7675882363258295E-2</v>
      </c>
      <c r="N135" s="16">
        <v>7.3649327050408608E-2</v>
      </c>
      <c r="O135" s="16">
        <v>5.3319910475095766E-2</v>
      </c>
      <c r="P135" s="16">
        <v>2.3161129969678673E-2</v>
      </c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</row>
    <row r="136" spans="1:62" ht="12" customHeight="1">
      <c r="A136" s="14" t="s">
        <v>681</v>
      </c>
      <c r="B136" s="31">
        <v>135</v>
      </c>
      <c r="C136" s="16">
        <v>1.4540970589419167E-2</v>
      </c>
      <c r="D136" s="16">
        <v>3.4937480817207933E-2</v>
      </c>
      <c r="E136" s="16">
        <v>5.1055542734450676E-2</v>
      </c>
      <c r="F136" s="16">
        <v>6.4494376974707945E-2</v>
      </c>
      <c r="G136" s="16">
        <v>7.5554949827486229E-2</v>
      </c>
      <c r="H136" s="16">
        <v>8.4272339218719128E-2</v>
      </c>
      <c r="I136" s="16">
        <v>9.0573734232641701E-2</v>
      </c>
      <c r="J136" s="16">
        <v>9.4324374073905926E-2</v>
      </c>
      <c r="K136" s="16">
        <v>9.5340651327062598E-2</v>
      </c>
      <c r="L136" s="16">
        <v>9.3387557445854141E-2</v>
      </c>
      <c r="M136" s="16">
        <v>8.8162313152102656E-2</v>
      </c>
      <c r="N136" s="16">
        <v>7.9255885174258411E-2</v>
      </c>
      <c r="O136" s="16">
        <v>6.6062083266440808E-2</v>
      </c>
      <c r="P136" s="16">
        <v>4.7510518820760295E-2</v>
      </c>
      <c r="Q136" s="16">
        <v>2.0527222344982388E-2</v>
      </c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</row>
    <row r="137" spans="1:62" ht="12" customHeight="1">
      <c r="A137" s="14" t="s">
        <v>682</v>
      </c>
      <c r="B137" s="31">
        <v>136</v>
      </c>
      <c r="C137" s="16">
        <v>1.296902590788962E-2</v>
      </c>
      <c r="D137" s="16">
        <v>3.1198979928403037E-2</v>
      </c>
      <c r="E137" s="16">
        <v>4.5695281814259303E-2</v>
      </c>
      <c r="F137" s="16">
        <v>5.7913427091788372E-2</v>
      </c>
      <c r="G137" s="16">
        <v>6.8148382143688235E-2</v>
      </c>
      <c r="H137" s="16">
        <v>7.6457824708025646E-2</v>
      </c>
      <c r="I137" s="16">
        <v>8.280486903532891E-2</v>
      </c>
      <c r="J137" s="16">
        <v>8.7100996137779108E-2</v>
      </c>
      <c r="K137" s="16">
        <v>8.9220483171676412E-2</v>
      </c>
      <c r="L137" s="16">
        <v>8.9002646417763454E-2</v>
      </c>
      <c r="M137" s="16">
        <v>8.6245708239139796E-2</v>
      </c>
      <c r="N137" s="16">
        <v>8.069059909691223E-2</v>
      </c>
      <c r="O137" s="16">
        <v>7.1986193508966068E-2</v>
      </c>
      <c r="P137" s="16">
        <v>5.9608721584033852E-2</v>
      </c>
      <c r="Q137" s="16">
        <v>4.2625639318695341E-2</v>
      </c>
      <c r="R137" s="16">
        <v>1.8331221895650618E-2</v>
      </c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</row>
    <row r="138" spans="1:62" ht="12" customHeight="1">
      <c r="A138" s="14" t="s">
        <v>683</v>
      </c>
      <c r="B138" s="31">
        <v>137</v>
      </c>
      <c r="C138" s="16">
        <v>1.1647139381300464E-2</v>
      </c>
      <c r="D138" s="16">
        <v>2.8047926696128544E-2</v>
      </c>
      <c r="E138" s="16">
        <v>4.1157583192168001E-2</v>
      </c>
      <c r="F138" s="16">
        <v>5.230504348551257E-2</v>
      </c>
      <c r="G138" s="16">
        <v>6.1774839342366605E-2</v>
      </c>
      <c r="H138" s="16">
        <v>6.9638009885482521E-2</v>
      </c>
      <c r="I138" s="16">
        <v>7.5881478582297546E-2</v>
      </c>
      <c r="J138" s="16">
        <v>8.0447794051097254E-2</v>
      </c>
      <c r="K138" s="16">
        <v>8.3249609648105571E-2</v>
      </c>
      <c r="L138" s="16">
        <v>8.4173997346612017E-2</v>
      </c>
      <c r="M138" s="16">
        <v>8.3080854402101112E-2</v>
      </c>
      <c r="N138" s="16">
        <v>7.9795788821402036E-2</v>
      </c>
      <c r="O138" s="16">
        <v>7.4094914423944891E-2</v>
      </c>
      <c r="P138" s="16">
        <v>6.5673558032087298E-2</v>
      </c>
      <c r="Q138" s="16">
        <v>5.4074405648289692E-2</v>
      </c>
      <c r="R138" s="16">
        <v>3.8477130945877125E-2</v>
      </c>
      <c r="S138" s="16">
        <v>1.6479926115226751E-2</v>
      </c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</row>
    <row r="139" spans="1:62" ht="12" customHeight="1">
      <c r="A139" s="14" t="s">
        <v>684</v>
      </c>
      <c r="B139" s="31">
        <v>138</v>
      </c>
      <c r="C139" s="16">
        <v>1.0524184682765836E-2</v>
      </c>
      <c r="D139" s="16">
        <v>2.5365882773239368E-2</v>
      </c>
      <c r="E139" s="16">
        <v>3.7281215257149336E-2</v>
      </c>
      <c r="F139" s="16">
        <v>4.748757069814491E-2</v>
      </c>
      <c r="G139" s="16">
        <v>5.6256858087176287E-2</v>
      </c>
      <c r="H139" s="16">
        <v>6.3667609444796214E-2</v>
      </c>
      <c r="I139" s="16">
        <v>6.97227143780631E-2</v>
      </c>
      <c r="J139" s="16">
        <v>7.4386089447185721E-2</v>
      </c>
      <c r="K139" s="16">
        <v>7.7596661998641459E-2</v>
      </c>
      <c r="L139" s="16">
        <v>7.9273530173749718E-2</v>
      </c>
      <c r="M139" s="16">
        <v>7.9316509982332084E-2</v>
      </c>
      <c r="N139" s="16">
        <v>7.7603150318211411E-2</v>
      </c>
      <c r="O139" s="16">
        <v>7.3981587707850238E-2</v>
      </c>
      <c r="P139" s="16">
        <v>6.8256543707613693E-2</v>
      </c>
      <c r="Q139" s="16">
        <v>6.0161121161283027E-2</v>
      </c>
      <c r="R139" s="16">
        <v>4.9292363312851473E-2</v>
      </c>
      <c r="S139" s="16">
        <v>3.4922561935724405E-2</v>
      </c>
      <c r="T139" s="16">
        <v>1.4903844933221722E-2</v>
      </c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</row>
    <row r="140" spans="1:62" ht="12" customHeight="1">
      <c r="A140" s="14" t="s">
        <v>685</v>
      </c>
      <c r="B140" s="31">
        <v>139</v>
      </c>
      <c r="C140" s="16">
        <v>9.5615680359550925E-3</v>
      </c>
      <c r="D140" s="16">
        <v>2.3062996114545875E-2</v>
      </c>
      <c r="E140" s="16">
        <v>3.3942607269669356E-2</v>
      </c>
      <c r="F140" s="16">
        <v>4.3319258585036935E-2</v>
      </c>
      <c r="G140" s="16">
        <v>5.1451355561921708E-2</v>
      </c>
      <c r="H140" s="16">
        <v>5.8421144761039767E-2</v>
      </c>
      <c r="I140" s="16">
        <v>6.4242276458925551E-2</v>
      </c>
      <c r="J140" s="16">
        <v>6.8893630222120805E-2</v>
      </c>
      <c r="K140" s="16">
        <v>7.2332582541344226E-2</v>
      </c>
      <c r="L140" s="16">
        <v>7.4500432282997853E-2</v>
      </c>
      <c r="M140" s="16">
        <v>7.5323983350133905E-2</v>
      </c>
      <c r="N140" s="16">
        <v>7.4714581265351132E-2</v>
      </c>
      <c r="O140" s="16">
        <v>7.2564685216857105E-2</v>
      </c>
      <c r="P140" s="16">
        <v>6.8741045530051115E-2</v>
      </c>
      <c r="Q140" s="16">
        <v>6.3071892523163586E-2</v>
      </c>
      <c r="R140" s="16">
        <v>5.5321436098250465E-2</v>
      </c>
      <c r="S140" s="16">
        <v>4.5131749086749773E-2</v>
      </c>
      <c r="T140" s="16">
        <v>3.1852492937836097E-2</v>
      </c>
      <c r="U140" s="16">
        <v>1.3550282158049654E-2</v>
      </c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</row>
    <row r="141" spans="1:62" ht="12" customHeight="1">
      <c r="A141" s="14" t="s">
        <v>686</v>
      </c>
      <c r="B141" s="31">
        <v>140</v>
      </c>
      <c r="C141" s="16">
        <v>8.7296966455594482E-3</v>
      </c>
      <c r="D141" s="16">
        <v>2.1070080012886017E-2</v>
      </c>
      <c r="E141" s="16">
        <v>3.1045798880024233E-2</v>
      </c>
      <c r="F141" s="16">
        <v>3.9688418602608078E-2</v>
      </c>
      <c r="G141" s="16">
        <v>4.7242720601262556E-2</v>
      </c>
      <c r="H141" s="16">
        <v>5.3792215566054957E-2</v>
      </c>
      <c r="I141" s="16">
        <v>5.935778914364398E-2</v>
      </c>
      <c r="J141" s="16">
        <v>6.3928940709951809E-2</v>
      </c>
      <c r="K141" s="16">
        <v>6.7476265314894701E-2</v>
      </c>
      <c r="L141" s="16">
        <v>6.9956861290276451E-2</v>
      </c>
      <c r="M141" s="16">
        <v>7.1316405416233852E-2</v>
      </c>
      <c r="N141" s="16">
        <v>7.1489227612205219E-2</v>
      </c>
      <c r="O141" s="16">
        <v>7.0396739498974736E-2</v>
      </c>
      <c r="P141" s="16">
        <v>6.7943955034436287E-2</v>
      </c>
      <c r="Q141" s="16">
        <v>6.4013109363641796E-2</v>
      </c>
      <c r="R141" s="16">
        <v>5.8451951875162389E-2</v>
      </c>
      <c r="S141" s="16">
        <v>5.1050600462307361E-2</v>
      </c>
      <c r="T141" s="16">
        <v>4.1488854404977626E-2</v>
      </c>
      <c r="U141" s="16">
        <v>2.9181700624114848E-2</v>
      </c>
      <c r="V141" s="16">
        <v>1.2378668940783655E-2</v>
      </c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</row>
    <row r="142" spans="1:62" ht="12" customHeight="1">
      <c r="A142" s="14" t="s">
        <v>687</v>
      </c>
      <c r="B142" s="31">
        <v>141</v>
      </c>
      <c r="C142" s="16">
        <v>8.0055596216275227E-3</v>
      </c>
      <c r="D142" s="16">
        <v>1.9333142722290475E-2</v>
      </c>
      <c r="E142" s="16">
        <v>2.8515368596294E-2</v>
      </c>
      <c r="F142" s="16">
        <v>3.6506212645966984E-2</v>
      </c>
      <c r="G142" s="16">
        <v>4.3537146830599061E-2</v>
      </c>
      <c r="H142" s="16">
        <v>4.9691355958314642E-2</v>
      </c>
      <c r="I142" s="16">
        <v>5.4994534568179265E-2</v>
      </c>
      <c r="J142" s="16">
        <v>5.9443791166963078E-2</v>
      </c>
      <c r="K142" s="16">
        <v>6.3019345961969342E-2</v>
      </c>
      <c r="L142" s="16">
        <v>6.568978252433133E-2</v>
      </c>
      <c r="M142" s="16">
        <v>6.7414335714426232E-2</v>
      </c>
      <c r="N142" s="16">
        <v>6.8143512578779042E-2</v>
      </c>
      <c r="O142" s="16">
        <v>6.7818502127398483E-2</v>
      </c>
      <c r="P142" s="16">
        <v>6.6369386224315985E-2</v>
      </c>
      <c r="Q142" s="16">
        <v>6.3711772900103214E-2</v>
      </c>
      <c r="R142" s="16">
        <v>5.9740878925926388E-2</v>
      </c>
      <c r="S142" s="16">
        <v>5.4320818897669709E-2</v>
      </c>
      <c r="T142" s="16">
        <v>4.7263511590070806E-2</v>
      </c>
      <c r="U142" s="16">
        <v>3.8280684762954875E-2</v>
      </c>
      <c r="V142" s="16">
        <v>2.6843008425392889E-2</v>
      </c>
      <c r="W142" s="16">
        <v>1.1357347256426675E-2</v>
      </c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</row>
    <row r="143" spans="1:62" ht="12" customHeight="1">
      <c r="A143" s="14" t="s">
        <v>688</v>
      </c>
      <c r="B143" s="31">
        <v>142</v>
      </c>
      <c r="C143" s="16">
        <v>7.3710372970539062E-3</v>
      </c>
      <c r="D143" s="16">
        <v>1.7809537654656982E-2</v>
      </c>
      <c r="E143" s="16">
        <v>2.6291380278346987E-2</v>
      </c>
      <c r="F143" s="16">
        <v>3.3701335446455372E-2</v>
      </c>
      <c r="G143" s="16">
        <v>4.0258120123355834E-2</v>
      </c>
      <c r="H143" s="16">
        <v>4.6043569528950834E-2</v>
      </c>
      <c r="I143" s="16">
        <v>5.1086495415540334E-2</v>
      </c>
      <c r="J143" s="16">
        <v>5.5389489676125336E-2</v>
      </c>
      <c r="K143" s="16">
        <v>5.8939872008271332E-2</v>
      </c>
      <c r="L143" s="16">
        <v>6.1714721349923174E-2</v>
      </c>
      <c r="M143" s="16">
        <v>6.3683227988482138E-2</v>
      </c>
      <c r="N143" s="16">
        <v>6.4807601170540186E-2</v>
      </c>
      <c r="O143" s="16">
        <v>6.5043017843273709E-2</v>
      </c>
      <c r="P143" s="16">
        <v>6.4336741727254454E-2</v>
      </c>
      <c r="Q143" s="16">
        <v>6.2626293425145363E-2</v>
      </c>
      <c r="R143" s="16">
        <v>5.9836261533435464E-2</v>
      </c>
      <c r="S143" s="16">
        <v>5.5872831795783395E-2</v>
      </c>
      <c r="T143" s="16">
        <v>5.0613964711960335E-2</v>
      </c>
      <c r="U143" s="16">
        <v>4.3890095537444496E-2</v>
      </c>
      <c r="V143" s="16">
        <v>3.5440219525929462E-2</v>
      </c>
      <c r="W143" s="16">
        <v>2.4782876555707656E-2</v>
      </c>
      <c r="X143" s="16">
        <v>1.0461309406363251E-2</v>
      </c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</row>
    <row r="144" spans="1:62" ht="12" customHeight="1">
      <c r="A144" s="14" t="s">
        <v>689</v>
      </c>
      <c r="B144" s="31">
        <v>143</v>
      </c>
      <c r="C144" s="16">
        <v>6.8116980752662704E-3</v>
      </c>
      <c r="D144" s="16">
        <v>1.6465207451689889E-2</v>
      </c>
      <c r="E144" s="16">
        <v>2.432571889548385E-2</v>
      </c>
      <c r="F144" s="16">
        <v>3.1216061001868911E-2</v>
      </c>
      <c r="G144" s="16">
        <v>3.7342871773642372E-2</v>
      </c>
      <c r="H144" s="16">
        <v>4.2785990454175082E-2</v>
      </c>
      <c r="I144" s="16">
        <v>4.7576155103202455E-2</v>
      </c>
      <c r="J144" s="16">
        <v>5.1719916705656677E-2</v>
      </c>
      <c r="K144" s="16">
        <v>5.5209884685370247E-2</v>
      </c>
      <c r="L144" s="16">
        <v>5.802951238058307E-2</v>
      </c>
      <c r="M144" s="16">
        <v>6.0155433310729589E-2</v>
      </c>
      <c r="N144" s="16">
        <v>6.1558512984035696E-2</v>
      </c>
      <c r="O144" s="16">
        <v>6.2204100274661833E-2</v>
      </c>
      <c r="P144" s="16">
        <v>6.2051656865000915E-2</v>
      </c>
      <c r="Q144" s="16">
        <v>6.1053761838817167E-2</v>
      </c>
      <c r="R144" s="16">
        <v>5.915432232333262E-2</v>
      </c>
      <c r="S144" s="16">
        <v>5.6285582766794628E-2</v>
      </c>
      <c r="T144" s="16">
        <v>5.2363068494879927E-2</v>
      </c>
      <c r="U144" s="16">
        <v>4.7276552936610483E-2</v>
      </c>
      <c r="V144" s="16">
        <v>4.0872331645878224E-2</v>
      </c>
      <c r="W144" s="16">
        <v>3.2912877759021519E-2</v>
      </c>
      <c r="X144" s="16">
        <v>2.295820088344247E-2</v>
      </c>
      <c r="Y144" s="16">
        <v>9.6705813898561033E-3</v>
      </c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</row>
    <row r="145" spans="1:62" ht="12" customHeight="1">
      <c r="A145" s="14" t="s">
        <v>690</v>
      </c>
      <c r="B145" s="31">
        <v>144</v>
      </c>
      <c r="C145" s="16">
        <v>6.3159281308262649E-3</v>
      </c>
      <c r="D145" s="16">
        <v>1.5272680285987383E-2</v>
      </c>
      <c r="E145" s="16">
        <v>2.2579397419479008E-2</v>
      </c>
      <c r="F145" s="16">
        <v>2.9003276876861883E-2</v>
      </c>
      <c r="G145" s="16">
        <v>3.4739603681106845E-2</v>
      </c>
      <c r="H145" s="16">
        <v>3.9865828348078947E-2</v>
      </c>
      <c r="I145" s="16">
        <v>4.4413771194625307E-2</v>
      </c>
      <c r="J145" s="16">
        <v>4.8392835006306312E-2</v>
      </c>
      <c r="K145" s="16">
        <v>5.1799600650782263E-2</v>
      </c>
      <c r="L145" s="16">
        <v>5.4622361235053374E-2</v>
      </c>
      <c r="M145" s="16">
        <v>5.6843399697828589E-2</v>
      </c>
      <c r="N145" s="16">
        <v>5.8440104240226054E-2</v>
      </c>
      <c r="O145" s="16">
        <v>5.9385390333071664E-2</v>
      </c>
      <c r="P145" s="16">
        <v>5.9647626227988915E-2</v>
      </c>
      <c r="Q145" s="16">
        <v>5.9190113028379288E-2</v>
      </c>
      <c r="R145" s="16">
        <v>5.7970060884853347E-2</v>
      </c>
      <c r="S145" s="16">
        <v>5.5936876416583514E-2</v>
      </c>
      <c r="T145" s="16">
        <v>5.3029370034615164E-2</v>
      </c>
      <c r="U145" s="16">
        <v>4.9171077481638958E-2</v>
      </c>
      <c r="V145" s="16">
        <v>4.4261928643909321E-2</v>
      </c>
      <c r="W145" s="16">
        <v>3.8161908967451641E-2</v>
      </c>
      <c r="X145" s="16">
        <v>3.0653856536178692E-2</v>
      </c>
      <c r="Y145" s="16">
        <v>2.133395636287938E-2</v>
      </c>
      <c r="Z145" s="16">
        <v>8.9690483152878864E-3</v>
      </c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</row>
    <row r="146" spans="1:62" ht="12" customHeight="1">
      <c r="A146" s="14" t="s">
        <v>691</v>
      </c>
      <c r="B146" s="31">
        <v>145</v>
      </c>
      <c r="C146" s="16">
        <v>5.8742924775077032E-3</v>
      </c>
      <c r="D146" s="16">
        <v>1.42095923022304E-2</v>
      </c>
      <c r="E146" s="16">
        <v>2.1020552405189741E-2</v>
      </c>
      <c r="F146" s="16">
        <v>2.7024239221655977E-2</v>
      </c>
      <c r="G146" s="16">
        <v>3.2405317734493955E-2</v>
      </c>
      <c r="H146" s="16">
        <v>3.7238628409480889E-2</v>
      </c>
      <c r="I146" s="16">
        <v>4.1556473364577573E-2</v>
      </c>
      <c r="J146" s="16">
        <v>4.537029405440185E-2</v>
      </c>
      <c r="K146" s="16">
        <v>4.8679668870950321E-2</v>
      </c>
      <c r="L146" s="16">
        <v>5.1476601321502669E-2</v>
      </c>
      <c r="M146" s="16">
        <v>5.3747716875122142E-2</v>
      </c>
      <c r="N146" s="16">
        <v>5.5475395624170698E-2</v>
      </c>
      <c r="O146" s="16">
        <v>5.6638288579239804E-2</v>
      </c>
      <c r="P146" s="16">
        <v>5.7211418348804499E-2</v>
      </c>
      <c r="Q146" s="16">
        <v>5.716594020627308E-2</v>
      </c>
      <c r="R146" s="16">
        <v>5.6468558506551636E-2</v>
      </c>
      <c r="S146" s="16">
        <v>5.5080517092108816E-2</v>
      </c>
      <c r="T146" s="16">
        <v>5.295597774126537E-2</v>
      </c>
      <c r="U146" s="16">
        <v>5.0039416276283943E-2</v>
      </c>
      <c r="V146" s="16">
        <v>4.6261286156005443E-2</v>
      </c>
      <c r="W146" s="16">
        <v>4.1530311691774457E-2</v>
      </c>
      <c r="X146" s="16">
        <v>3.571837787061749E-2</v>
      </c>
      <c r="Y146" s="16">
        <v>2.8626106630965431E-2</v>
      </c>
      <c r="Z146" s="16">
        <v>1.988143962316602E-2</v>
      </c>
      <c r="AA146" s="16">
        <v>8.3435886156600914E-3</v>
      </c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</row>
    <row r="147" spans="1:62" ht="12" customHeight="1">
      <c r="A147" s="14" t="s">
        <v>692</v>
      </c>
      <c r="B147" s="31">
        <v>146</v>
      </c>
      <c r="C147" s="16">
        <v>5.4790595095648431E-3</v>
      </c>
      <c r="D147" s="16">
        <v>1.3257583819974661E-2</v>
      </c>
      <c r="E147" s="16">
        <v>1.9622934588597318E-2</v>
      </c>
      <c r="F147" s="16">
        <v>2.5246857991513938E-2</v>
      </c>
      <c r="G147" s="16">
        <v>3.0304113612733774E-2</v>
      </c>
      <c r="H147" s="16">
        <v>3.4866826608600077E-2</v>
      </c>
      <c r="I147" s="16">
        <v>3.8967353543874372E-2</v>
      </c>
      <c r="J147" s="16">
        <v>4.2618572068453542E-2</v>
      </c>
      <c r="K147" s="16">
        <v>4.5822329785768612E-2</v>
      </c>
      <c r="L147" s="16">
        <v>4.8573497207988758E-2</v>
      </c>
      <c r="M147" s="16">
        <v>5.0862073601476543E-2</v>
      </c>
      <c r="N147" s="16">
        <v>5.2674309996600388E-2</v>
      </c>
      <c r="O147" s="16">
        <v>5.3993274432015403E-2</v>
      </c>
      <c r="P147" s="16">
        <v>5.4799056994556339E-2</v>
      </c>
      <c r="Q147" s="16">
        <v>5.5068701439285883E-2</v>
      </c>
      <c r="R147" s="16">
        <v>5.4775884843266676E-2</v>
      </c>
      <c r="S147" s="16">
        <v>5.3890314905015169E-2</v>
      </c>
      <c r="T147" s="16">
        <v>5.2376755276591469E-2</v>
      </c>
      <c r="U147" s="16">
        <v>5.0193498370313727E-2</v>
      </c>
      <c r="V147" s="16">
        <v>4.728993730399178E-2</v>
      </c>
      <c r="W147" s="16">
        <v>4.3602538068593821E-2</v>
      </c>
      <c r="X147" s="16">
        <v>3.9047689905715055E-2</v>
      </c>
      <c r="Y147" s="16">
        <v>3.3507687583574031E-2</v>
      </c>
      <c r="Z147" s="16">
        <v>2.6798778438093307E-2</v>
      </c>
      <c r="AA147" s="16">
        <v>1.8576942664406793E-2</v>
      </c>
      <c r="AB147" s="16">
        <v>7.7834274394337211E-3</v>
      </c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</row>
    <row r="148" spans="1:62" ht="12" customHeight="1">
      <c r="A148" s="14" t="s">
        <v>693</v>
      </c>
      <c r="B148" s="31">
        <v>147</v>
      </c>
      <c r="C148" s="16">
        <v>5.1238427820070598E-3</v>
      </c>
      <c r="D148" s="16">
        <v>1.2401464862067724E-2</v>
      </c>
      <c r="E148" s="16">
        <v>1.836475981193042E-2</v>
      </c>
      <c r="F148" s="16">
        <v>2.3644375620874625E-2</v>
      </c>
      <c r="G148" s="16">
        <v>2.8405848607539808E-2</v>
      </c>
      <c r="H148" s="16">
        <v>3.2718561726879813E-2</v>
      </c>
      <c r="I148" s="16">
        <v>3.6614622871750213E-2</v>
      </c>
      <c r="J148" s="16">
        <v>4.0107896280564326E-2</v>
      </c>
      <c r="K148" s="16">
        <v>4.3201948379657962E-2</v>
      </c>
      <c r="L148" s="16">
        <v>4.5893878765896678E-2</v>
      </c>
      <c r="M148" s="16">
        <v>4.8176331589560362E-2</v>
      </c>
      <c r="N148" s="16">
        <v>5.0038593469791781E-2</v>
      </c>
      <c r="O148" s="16">
        <v>5.1467180250067135E-2</v>
      </c>
      <c r="P148" s="16">
        <v>5.2446103655564458E-2</v>
      </c>
      <c r="Q148" s="16">
        <v>5.2956908266759584E-2</v>
      </c>
      <c r="R148" s="16">
        <v>5.2978513427057172E-2</v>
      </c>
      <c r="S148" s="16">
        <v>5.2486855816639033E-2</v>
      </c>
      <c r="T148" s="16">
        <v>5.145429105684729E-2</v>
      </c>
      <c r="U148" s="16">
        <v>4.9848663316831576E-2</v>
      </c>
      <c r="V148" s="16">
        <v>4.7631870425987932E-2</v>
      </c>
      <c r="W148" s="16">
        <v>4.4757597672644422E-2</v>
      </c>
      <c r="X148" s="16">
        <v>4.1167568199252713E-2</v>
      </c>
      <c r="Y148" s="16">
        <v>3.6784892065306773E-2</v>
      </c>
      <c r="Z148" s="16">
        <v>3.1501024209575013E-2</v>
      </c>
      <c r="AA148" s="16">
        <v>2.5146018172430673E-2</v>
      </c>
      <c r="AB148" s="16">
        <v>1.7400740821027716E-2</v>
      </c>
      <c r="AC148" s="16">
        <v>7.2796478754877381E-3</v>
      </c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</row>
    <row r="149" spans="1:62" ht="12" customHeight="1">
      <c r="A149" s="14" t="s">
        <v>694</v>
      </c>
      <c r="B149" s="31">
        <v>148</v>
      </c>
      <c r="C149" s="16">
        <v>4.8033280306998272E-3</v>
      </c>
      <c r="D149" s="16">
        <v>1.1628577318497757E-2</v>
      </c>
      <c r="E149" s="16">
        <v>1.7227825345279668E-2</v>
      </c>
      <c r="F149" s="16">
        <v>2.2194340245734745E-2</v>
      </c>
      <c r="G149" s="16">
        <v>2.6685077377721189E-2</v>
      </c>
      <c r="H149" s="16">
        <v>3.0766703077521051E-2</v>
      </c>
      <c r="I149" s="16">
        <v>3.4470863346886094E-2</v>
      </c>
      <c r="J149" s="16">
        <v>3.7812071632752353E-2</v>
      </c>
      <c r="K149" s="16">
        <v>4.0795193477043745E-2</v>
      </c>
      <c r="L149" s="16">
        <v>4.3419069641845054E-2</v>
      </c>
      <c r="M149" s="16">
        <v>4.5678433469229174E-2</v>
      </c>
      <c r="N149" s="16">
        <v>4.7564975108993712E-2</v>
      </c>
      <c r="O149" s="16">
        <v>4.9067932996152086E-2</v>
      </c>
      <c r="P149" s="16">
        <v>5.0174395698805774E-2</v>
      </c>
      <c r="Q149" s="16">
        <v>5.0869404500925253E-2</v>
      </c>
      <c r="R149" s="16">
        <v>5.1135897621653492E-2</v>
      </c>
      <c r="S149" s="16">
        <v>5.0954505510510062E-2</v>
      </c>
      <c r="T149" s="16">
        <v>5.0303180599544195E-2</v>
      </c>
      <c r="U149" s="16">
        <v>4.9156615402827231E-2</v>
      </c>
      <c r="V149" s="16">
        <v>4.7485359738936195E-2</v>
      </c>
      <c r="W149" s="16">
        <v>4.5254473551095464E-2</v>
      </c>
      <c r="X149" s="16">
        <v>4.2421408812162831E-2</v>
      </c>
      <c r="Y149" s="16">
        <v>3.8932511014887594E-2</v>
      </c>
      <c r="Z149" s="16">
        <v>3.4716816035521014E-2</v>
      </c>
      <c r="AA149" s="16">
        <v>2.9673883033459192E-2</v>
      </c>
      <c r="AB149" s="16">
        <v>2.3646027441636575E-2</v>
      </c>
      <c r="AC149" s="16">
        <v>1.6336312606295644E-2</v>
      </c>
      <c r="AD149" s="16">
        <v>6.8248173633830289E-3</v>
      </c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</row>
    <row r="150" spans="1:62" ht="12" customHeight="1">
      <c r="A150" s="14" t="s">
        <v>695</v>
      </c>
      <c r="B150" s="31">
        <v>149</v>
      </c>
      <c r="C150" s="16">
        <v>4.5130629528565835E-3</v>
      </c>
      <c r="D150" s="16">
        <v>1.0928302426076786E-2</v>
      </c>
      <c r="E150" s="16">
        <v>1.6196823852037023E-2</v>
      </c>
      <c r="F150" s="16">
        <v>2.0877801344455271E-2</v>
      </c>
      <c r="G150" s="16">
        <v>2.5120208729047411E-2</v>
      </c>
      <c r="H150" s="16">
        <v>2.8988055875193597E-2</v>
      </c>
      <c r="I150" s="16">
        <v>3.2512379156780735E-2</v>
      </c>
      <c r="J150" s="16">
        <v>3.5708087086466667E-2</v>
      </c>
      <c r="K150" s="16">
        <v>3.8581021777917113E-2</v>
      </c>
      <c r="L150" s="16">
        <v>4.1131388293941584E-2</v>
      </c>
      <c r="M150" s="16">
        <v>4.3355580624673262E-2</v>
      </c>
      <c r="N150" s="16">
        <v>4.524720779648006E-2</v>
      </c>
      <c r="O150" s="16">
        <v>4.6797679777060397E-2</v>
      </c>
      <c r="P150" s="16">
        <v>4.7996527874109796E-2</v>
      </c>
      <c r="Q150" s="16">
        <v>4.8831548050446649E-2</v>
      </c>
      <c r="R150" s="16">
        <v>4.9288810677736161E-2</v>
      </c>
      <c r="S150" s="16">
        <v>4.9352553391654785E-2</v>
      </c>
      <c r="T150" s="16">
        <v>4.9004953916236382E-2</v>
      </c>
      <c r="U150" s="16">
        <v>4.8225760414657537E-2</v>
      </c>
      <c r="V150" s="16">
        <v>4.6991732135481579E-2</v>
      </c>
      <c r="W150" s="16">
        <v>4.5275804408703602E-2</v>
      </c>
      <c r="X150" s="16">
        <v>4.3045823511233872E-2</v>
      </c>
      <c r="Y150" s="16">
        <v>4.0262563747990532E-2</v>
      </c>
      <c r="Z150" s="16">
        <v>3.6876455942459807E-2</v>
      </c>
      <c r="AA150" s="16">
        <v>3.282178773362876E-2</v>
      </c>
      <c r="AB150" s="16">
        <v>2.8005324082267746E-2</v>
      </c>
      <c r="AC150" s="16">
        <v>2.2280322635580219E-2</v>
      </c>
      <c r="AD150" s="16">
        <v>1.5369732581678619E-2</v>
      </c>
      <c r="AE150" s="16">
        <v>6.412699203147465E-3</v>
      </c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</row>
    <row r="151" spans="1:62" ht="12" customHeight="1">
      <c r="A151" s="14" t="s">
        <v>696</v>
      </c>
      <c r="B151" s="31">
        <v>150</v>
      </c>
      <c r="C151" s="16">
        <v>4.2492937377263118E-3</v>
      </c>
      <c r="D151" s="16">
        <v>1.0291676851692855E-2</v>
      </c>
      <c r="E151" s="16">
        <v>1.5258806069026298E-2</v>
      </c>
      <c r="F151" s="16">
        <v>1.9678674748181635E-2</v>
      </c>
      <c r="G151" s="16">
        <v>2.369283130652744E-2</v>
      </c>
      <c r="H151" s="16">
        <v>2.7362711427923236E-2</v>
      </c>
      <c r="I151" s="16">
        <v>3.0718642055945322E-2</v>
      </c>
      <c r="J151" s="16">
        <v>3.3775734918762623E-2</v>
      </c>
      <c r="K151" s="16">
        <v>3.6540559192609567E-2</v>
      </c>
      <c r="L151" s="16">
        <v>3.9014390634876661E-2</v>
      </c>
      <c r="M151" s="16">
        <v>4.1194950011576359E-2</v>
      </c>
      <c r="N151" s="16">
        <v>4.3077389207142769E-2</v>
      </c>
      <c r="O151" s="16">
        <v>4.4654865305079006E-2</v>
      </c>
      <c r="P151" s="16">
        <v>4.5918868927562695E-2</v>
      </c>
      <c r="Q151" s="16">
        <v>4.6859392372529451E-2</v>
      </c>
      <c r="R151" s="16">
        <v>4.7464981701376474E-2</v>
      </c>
      <c r="S151" s="16">
        <v>4.7722693153015916E-2</v>
      </c>
      <c r="T151" s="16">
        <v>4.7617958174046682E-2</v>
      </c>
      <c r="U151" s="16">
        <v>4.7134347576589408E-2</v>
      </c>
      <c r="V151" s="16">
        <v>4.6253209869264733E-2</v>
      </c>
      <c r="W151" s="16">
        <v>4.4953137087556883E-2</v>
      </c>
      <c r="X151" s="16">
        <v>4.3209176064545773E-2</v>
      </c>
      <c r="Y151" s="16">
        <v>4.0991639390141721E-2</v>
      </c>
      <c r="Z151" s="16">
        <v>3.8264245784116691E-2</v>
      </c>
      <c r="AA151" s="16">
        <v>3.498105425038589E-2</v>
      </c>
      <c r="AB151" s="16">
        <v>3.1081029016054917E-2</v>
      </c>
      <c r="AC151" s="16">
        <v>2.647737160084418E-2</v>
      </c>
      <c r="AD151" s="16">
        <v>2.1033147219916115E-2</v>
      </c>
      <c r="AE151" s="16">
        <v>1.4489194689874751E-2</v>
      </c>
      <c r="AF151" s="16">
        <v>6.0380276551076362E-3</v>
      </c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</row>
    <row r="152" spans="1:62" ht="12" customHeight="1">
      <c r="A152" s="14" t="s">
        <v>697</v>
      </c>
      <c r="B152" s="31">
        <v>151</v>
      </c>
      <c r="C152" s="16">
        <v>4.0088367990321894E-3</v>
      </c>
      <c r="D152" s="16">
        <v>9.7110907934945256E-3</v>
      </c>
      <c r="E152" s="16">
        <v>1.4402756472433498E-2</v>
      </c>
      <c r="F152" s="16">
        <v>1.8583237674915765E-2</v>
      </c>
      <c r="G152" s="16">
        <v>2.238717136408086E-2</v>
      </c>
      <c r="H152" s="16">
        <v>2.5873514787504437E-2</v>
      </c>
      <c r="I152" s="16">
        <v>2.9071820860639974E-2</v>
      </c>
      <c r="J152" s="16">
        <v>3.1997259662648103E-2</v>
      </c>
      <c r="K152" s="16">
        <v>3.465693335896991E-2</v>
      </c>
      <c r="L152" s="16">
        <v>3.7052957919433638E-2</v>
      </c>
      <c r="M152" s="16">
        <v>3.9184118407221025E-2</v>
      </c>
      <c r="N152" s="16">
        <v>4.1046814774142182E-2</v>
      </c>
      <c r="O152" s="16">
        <v>4.2635620421268117E-2</v>
      </c>
      <c r="P152" s="16">
        <v>4.3943611669809868E-2</v>
      </c>
      <c r="Q152" s="16">
        <v>4.4962550368720322E-2</v>
      </c>
      <c r="R152" s="16">
        <v>4.5682963335248683E-2</v>
      </c>
      <c r="S152" s="16">
        <v>4.6094140762730551E-2</v>
      </c>
      <c r="T152" s="16">
        <v>4.6184061992549541E-2</v>
      </c>
      <c r="U152" s="16">
        <v>4.5939246455227845E-2</v>
      </c>
      <c r="V152" s="16">
        <v>4.5344517134583984E-2</v>
      </c>
      <c r="W152" s="16">
        <v>4.4382650813705182E-2</v>
      </c>
      <c r="X152" s="16">
        <v>4.3033869814479209E-2</v>
      </c>
      <c r="Y152" s="16">
        <v>4.1275097228366198E-2</v>
      </c>
      <c r="Z152" s="16">
        <v>3.907883812809565E-2</v>
      </c>
      <c r="AA152" s="16">
        <v>3.6411432446201153E-2</v>
      </c>
      <c r="AB152" s="16">
        <v>3.3230175909422899E-2</v>
      </c>
      <c r="AC152" s="16">
        <v>2.9478215597245061E-2</v>
      </c>
      <c r="AD152" s="16">
        <v>2.5074527068585817E-2</v>
      </c>
      <c r="AE152" s="16">
        <v>1.9891001996200974E-2</v>
      </c>
      <c r="AF152" s="16">
        <v>1.3684634922973116E-2</v>
      </c>
      <c r="AG152" s="16">
        <v>5.6963310600697259E-3</v>
      </c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</row>
    <row r="153" spans="1:62" ht="12" customHeight="1">
      <c r="A153" s="14" t="s">
        <v>698</v>
      </c>
      <c r="B153" s="31">
        <v>152</v>
      </c>
      <c r="C153" s="16">
        <v>3.7889772803634258E-3</v>
      </c>
      <c r="D153" s="16">
        <v>9.1800486275261939E-3</v>
      </c>
      <c r="E153" s="16">
        <v>1.3619255566653554E-2</v>
      </c>
      <c r="F153" s="16">
        <v>1.7579724361749482E-2</v>
      </c>
      <c r="G153" s="16">
        <v>2.1189654333408026E-2</v>
      </c>
      <c r="H153" s="16">
        <v>2.4505627480851278E-2</v>
      </c>
      <c r="I153" s="16">
        <v>2.7556383988178057E-2</v>
      </c>
      <c r="J153" s="16">
        <v>3.0357043103610315E-2</v>
      </c>
      <c r="K153" s="16">
        <v>3.2915088355398248E-2</v>
      </c>
      <c r="L153" s="16">
        <v>3.5233293788289988E-2</v>
      </c>
      <c r="M153" s="16">
        <v>3.7311300741645459E-2</v>
      </c>
      <c r="N153" s="16">
        <v>3.9146523966380187E-2</v>
      </c>
      <c r="O153" s="16">
        <v>4.0734692605849054E-2</v>
      </c>
      <c r="P153" s="16">
        <v>4.2070176429479855E-2</v>
      </c>
      <c r="Q153" s="16">
        <v>4.3146176089061461E-2</v>
      </c>
      <c r="R153" s="16">
        <v>4.3954820048717647E-2</v>
      </c>
      <c r="S153" s="16">
        <v>4.4487190971901791E-2</v>
      </c>
      <c r="T153" s="16">
        <v>4.4733292199774621E-2</v>
      </c>
      <c r="U153" s="16">
        <v>4.4681956306826254E-2</v>
      </c>
      <c r="V153" s="16">
        <v>4.43206901109372E-2</v>
      </c>
      <c r="W153" s="16">
        <v>4.3635442035349303E-2</v>
      </c>
      <c r="X153" s="16">
        <v>4.2610266203790492E-2</v>
      </c>
      <c r="Y153" s="16">
        <v>4.1226839750236111E-2</v>
      </c>
      <c r="Z153" s="16">
        <v>3.9463759346676119E-2</v>
      </c>
      <c r="AA153" s="16">
        <v>3.7295487132832483E-2</v>
      </c>
      <c r="AB153" s="16">
        <v>3.4690706376133584E-2</v>
      </c>
      <c r="AC153" s="16">
        <v>3.1609612460308467E-2</v>
      </c>
      <c r="AD153" s="16">
        <v>2.7999109123725385E-2</v>
      </c>
      <c r="AE153" s="16">
        <v>2.3783372233882827E-2</v>
      </c>
      <c r="AF153" s="16">
        <v>1.8842267084812514E-2</v>
      </c>
      <c r="AG153" s="16">
        <v>1.2947430316399777E-2</v>
      </c>
      <c r="AH153" s="16">
        <v>5.3837915792508406E-3</v>
      </c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</row>
    <row r="154" spans="1:62" ht="12" customHeight="1">
      <c r="A154" s="14" t="s">
        <v>699</v>
      </c>
      <c r="B154" s="31">
        <v>153</v>
      </c>
      <c r="C154" s="16">
        <v>3.5873881138676067E-3</v>
      </c>
      <c r="D154" s="16">
        <v>8.6929776853016394E-3</v>
      </c>
      <c r="E154" s="16">
        <v>1.2900209152541642E-2</v>
      </c>
      <c r="F154" s="16">
        <v>1.6658000110875371E-2</v>
      </c>
      <c r="G154" s="16">
        <v>2.0088548399566752E-2</v>
      </c>
      <c r="H154" s="16">
        <v>2.3246167214360236E-2</v>
      </c>
      <c r="I154" s="16">
        <v>2.6158764341821183E-2</v>
      </c>
      <c r="J154" s="16">
        <v>2.8841326274951284E-2</v>
      </c>
      <c r="K154" s="16">
        <v>3.13015990355342E-2</v>
      </c>
      <c r="L154" s="16">
        <v>3.3542869970506151E-2</v>
      </c>
      <c r="M154" s="16">
        <v>3.5565470643945885E-2</v>
      </c>
      <c r="N154" s="16">
        <v>3.7367644477213635E-2</v>
      </c>
      <c r="O154" s="16">
        <v>3.8946069144605855E-2</v>
      </c>
      <c r="P154" s="16">
        <v>4.029617679430153E-2</v>
      </c>
      <c r="Q154" s="16">
        <v>4.1412347419287121E-2</v>
      </c>
      <c r="R154" s="16">
        <v>4.2288016678776574E-2</v>
      </c>
      <c r="S154" s="16">
        <v>4.2915720966195003E-2</v>
      </c>
      <c r="T154" s="16">
        <v>4.3287091514050746E-2</v>
      </c>
      <c r="U154" s="16">
        <v>4.3392801933113123E-2</v>
      </c>
      <c r="V154" s="16">
        <v>4.3222467668589282E-2</v>
      </c>
      <c r="W154" s="16">
        <v>4.2764489968825758E-2</v>
      </c>
      <c r="X154" s="16">
        <v>4.2005829733224864E-2</v>
      </c>
      <c r="Y154" s="16">
        <v>4.0931686219035313E-2</v>
      </c>
      <c r="Z154" s="16">
        <v>3.952503900632065E-2</v>
      </c>
      <c r="AA154" s="16">
        <v>3.776598307074075E-2</v>
      </c>
      <c r="AB154" s="16">
        <v>3.5630734289747501E-2</v>
      </c>
      <c r="AC154" s="16">
        <v>3.309007914725548E-2</v>
      </c>
      <c r="AD154" s="16">
        <v>3.0106820937772505E-2</v>
      </c>
      <c r="AE154" s="16">
        <v>2.6631250248556726E-2</v>
      </c>
      <c r="AF154" s="16">
        <v>2.2592243877044726E-2</v>
      </c>
      <c r="AG154" s="16">
        <v>1.787689575455309E-2</v>
      </c>
      <c r="AH154" s="16">
        <v>1.227015709131507E-2</v>
      </c>
      <c r="AI154" s="16">
        <v>5.0971331162027456E-3</v>
      </c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</row>
    <row r="155" spans="1:62" ht="12" customHeight="1">
      <c r="A155" s="14" t="s">
        <v>700</v>
      </c>
      <c r="B155" s="31">
        <v>154</v>
      </c>
      <c r="C155" s="16">
        <v>3.402064995608356E-3</v>
      </c>
      <c r="D155" s="16">
        <v>8.2450743856921083E-3</v>
      </c>
      <c r="E155" s="16">
        <v>1.2238629802741485E-2</v>
      </c>
      <c r="F155" s="16">
        <v>1.5809296893387059E-2</v>
      </c>
      <c r="G155" s="16">
        <v>1.9073673213415132E-2</v>
      </c>
      <c r="H155" s="16">
        <v>2.2083909978752869E-2</v>
      </c>
      <c r="I155" s="16">
        <v>2.486707686754086E-2</v>
      </c>
      <c r="J155" s="16">
        <v>2.743796661797171E-2</v>
      </c>
      <c r="K155" s="16">
        <v>2.9804494333568798E-2</v>
      </c>
      <c r="L155" s="16">
        <v>3.1970345008797807E-2</v>
      </c>
      <c r="M155" s="16">
        <v>3.3936407029220628E-2</v>
      </c>
      <c r="N155" s="16">
        <v>3.5701602856261894E-2</v>
      </c>
      <c r="O155" s="16">
        <v>3.7263392512906224E-2</v>
      </c>
      <c r="P155" s="16">
        <v>3.8618086069391322E-2</v>
      </c>
      <c r="Q155" s="16">
        <v>3.9761037104070196E-2</v>
      </c>
      <c r="R155" s="16">
        <v>4.0686756947027058E-2</v>
      </c>
      <c r="S155" s="16">
        <v>4.1388972150808723E-2</v>
      </c>
      <c r="T155" s="16">
        <v>4.1860637497296849E-2</v>
      </c>
      <c r="U155" s="16">
        <v>4.2093910315465721E-2</v>
      </c>
      <c r="V155" s="16">
        <v>4.2080087031146296E-2</v>
      </c>
      <c r="W155" s="16">
        <v>4.1809498506591103E-2</v>
      </c>
      <c r="X155" s="16">
        <v>4.1271355895510009E-2</v>
      </c>
      <c r="Y155" s="16">
        <v>4.0453532359284394E-2</v>
      </c>
      <c r="Z155" s="16">
        <v>3.9342256462117642E-2</v>
      </c>
      <c r="AA155" s="16">
        <v>3.7921677584117131E-2</v>
      </c>
      <c r="AB155" s="16">
        <v>3.617323683982776E-2</v>
      </c>
      <c r="AC155" s="16">
        <v>3.4074727438416108E-2</v>
      </c>
      <c r="AD155" s="16">
        <v>3.159883059367119E-2</v>
      </c>
      <c r="AE155" s="16">
        <v>2.8710703751790967E-2</v>
      </c>
      <c r="AF155" s="16">
        <v>2.5363701896498725E-2</v>
      </c>
      <c r="AG155" s="16">
        <v>2.1490966019307778E-2</v>
      </c>
      <c r="AH155" s="16">
        <v>1.6986164926569347E-2</v>
      </c>
      <c r="AI155" s="16">
        <v>1.1646395002148369E-2</v>
      </c>
      <c r="AJ155" s="16">
        <v>4.833531113078382E-3</v>
      </c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</row>
    <row r="156" spans="1:62" ht="12" customHeight="1">
      <c r="A156" s="14" t="s">
        <v>701</v>
      </c>
      <c r="B156" s="31">
        <v>155</v>
      </c>
      <c r="C156" s="16">
        <v>3.2312737878995579E-3</v>
      </c>
      <c r="D156" s="16">
        <v>7.8321795891471702E-3</v>
      </c>
      <c r="E156" s="16">
        <v>1.1628459338040686E-2</v>
      </c>
      <c r="F156" s="16">
        <v>1.5025997607142072E-2</v>
      </c>
      <c r="G156" s="16">
        <v>1.8136160617982511E-2</v>
      </c>
      <c r="H156" s="16">
        <v>2.1009042854630566E-2</v>
      </c>
      <c r="I156" s="16">
        <v>2.3670880346235212E-2</v>
      </c>
      <c r="J156" s="16">
        <v>2.613622720437847E-2</v>
      </c>
      <c r="K156" s="16">
        <v>2.8413094111767845E-2</v>
      </c>
      <c r="L156" s="16">
        <v>3.0505470917868593E-2</v>
      </c>
      <c r="M156" s="16">
        <v>3.2414695039836738E-2</v>
      </c>
      <c r="N156" s="16">
        <v>3.4140246876625313E-2</v>
      </c>
      <c r="O156" s="16">
        <v>3.5680234497596608E-2</v>
      </c>
      <c r="P156" s="16">
        <v>3.7031697372839734E-2</v>
      </c>
      <c r="Q156" s="16">
        <v>3.8190797910213292E-2</v>
      </c>
      <c r="R156" s="16">
        <v>3.915293906582995E-2</v>
      </c>
      <c r="S156" s="16">
        <v>3.9912829915812909E-2</v>
      </c>
      <c r="T156" s="16">
        <v>4.04645116370832E-2</v>
      </c>
      <c r="U156" s="16">
        <v>4.0801350430908268E-2</v>
      </c>
      <c r="V156" s="16">
        <v>4.0915999767902278E-2</v>
      </c>
      <c r="W156" s="16">
        <v>4.0800330905860327E-2</v>
      </c>
      <c r="X156" s="16">
        <v>4.0445327197176972E-2</v>
      </c>
      <c r="Y156" s="16">
        <v>3.9840933557188429E-2</v>
      </c>
      <c r="Z156" s="16">
        <v>3.8975846698152128E-2</v>
      </c>
      <c r="AA156" s="16">
        <v>3.7837222893439826E-2</v>
      </c>
      <c r="AB156" s="16">
        <v>3.6410265505652961E-2</v>
      </c>
      <c r="AC156" s="16">
        <v>3.4677629178551772E-2</v>
      </c>
      <c r="AD156" s="16">
        <v>3.261853074205312E-2</v>
      </c>
      <c r="AE156" s="16">
        <v>3.0207364293582284E-2</v>
      </c>
      <c r="AF156" s="16">
        <v>2.7411419693826766E-2</v>
      </c>
      <c r="AG156" s="16">
        <v>2.4186833876833513E-2</v>
      </c>
      <c r="AH156" s="16">
        <v>2.0470628371971E-2</v>
      </c>
      <c r="AI156" s="16">
        <v>1.6162470683535934E-2</v>
      </c>
      <c r="AJ156" s="16">
        <v>1.1070568050786878E-2</v>
      </c>
      <c r="AK156" s="16">
        <v>4.590539461647114E-3</v>
      </c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</row>
    <row r="157" spans="1:62" ht="12" customHeight="1">
      <c r="A157" s="14" t="s">
        <v>702</v>
      </c>
      <c r="B157" s="31">
        <v>156</v>
      </c>
      <c r="C157" s="16">
        <v>3.0735076985642928E-3</v>
      </c>
      <c r="D157" s="16">
        <v>7.450676984201543E-3</v>
      </c>
      <c r="E157" s="16">
        <v>1.1064423734047812E-2</v>
      </c>
      <c r="F157" s="16">
        <v>1.4301459039191555E-2</v>
      </c>
      <c r="G157" s="16">
        <v>1.7268257128646658E-2</v>
      </c>
      <c r="H157" s="16">
        <v>2.0012958128502678E-2</v>
      </c>
      <c r="I157" s="16">
        <v>2.2560976218156559E-2</v>
      </c>
      <c r="J157" s="16">
        <v>2.4926594479988351E-2</v>
      </c>
      <c r="K157" s="16">
        <v>2.7117861331040882E-2</v>
      </c>
      <c r="L157" s="16">
        <v>2.9138996756135405E-2</v>
      </c>
      <c r="M157" s="16">
        <v>3.099169966432791E-2</v>
      </c>
      <c r="N157" s="16">
        <v>3.2675909780468304E-2</v>
      </c>
      <c r="O157" s="16">
        <v>3.4190273927127035E-2</v>
      </c>
      <c r="P157" s="16">
        <v>3.5532440450936065E-2</v>
      </c>
      <c r="Q157" s="16">
        <v>3.6699247507772537E-2</v>
      </c>
      <c r="R157" s="16">
        <v>3.7686841939413185E-2</v>
      </c>
      <c r="S157" s="16">
        <v>3.8490749963396298E-2</v>
      </c>
      <c r="T157" s="16">
        <v>3.9105912035245161E-2</v>
      </c>
      <c r="U157" s="16">
        <v>3.9526688799491505E-2</v>
      </c>
      <c r="V157" s="16">
        <v>3.9746841374258213E-2</v>
      </c>
      <c r="W157" s="16">
        <v>3.9759486387310861E-2</v>
      </c>
      <c r="X157" s="16">
        <v>3.9557023595021223E-2</v>
      </c>
      <c r="Y157" s="16">
        <v>3.91310310673747E-2</v>
      </c>
      <c r="Z157" s="16">
        <v>3.8472119250836712E-2</v>
      </c>
      <c r="AA157" s="16">
        <v>3.7569729922885209E-2</v>
      </c>
      <c r="AB157" s="16">
        <v>3.6411857784965029E-2</v>
      </c>
      <c r="AC157" s="16">
        <v>3.498465874334844E-2</v>
      </c>
      <c r="AD157" s="16">
        <v>3.3271884964265253E-2</v>
      </c>
      <c r="AE157" s="16">
        <v>3.1254042406010041E-2</v>
      </c>
      <c r="AF157" s="16">
        <v>2.8907078755272986E-2</v>
      </c>
      <c r="AG157" s="16">
        <v>2.6200221688656988E-2</v>
      </c>
      <c r="AH157" s="16">
        <v>2.3092141624194484E-2</v>
      </c>
      <c r="AI157" s="16">
        <v>1.952340219077886E-2</v>
      </c>
      <c r="AJ157" s="16">
        <v>1.5399159744945545E-2</v>
      </c>
      <c r="AK157" s="16">
        <v>1.0537814027250958E-2</v>
      </c>
      <c r="AL157" s="16">
        <v>4.3660309059707636E-3</v>
      </c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</row>
    <row r="158" spans="1:62" ht="12" customHeight="1">
      <c r="A158" s="14" t="s">
        <v>703</v>
      </c>
      <c r="B158" s="31">
        <v>157</v>
      </c>
      <c r="C158" s="16">
        <v>2.9274522077018528E-3</v>
      </c>
      <c r="D158" s="16">
        <v>7.0974097556741889E-3</v>
      </c>
      <c r="E158" s="16">
        <v>1.0541913852094686E-2</v>
      </c>
      <c r="F158" s="16">
        <v>1.3629865808140185E-2</v>
      </c>
      <c r="G158" s="16">
        <v>1.6463160103803443E-2</v>
      </c>
      <c r="H158" s="16">
        <v>1.9088081175086646E-2</v>
      </c>
      <c r="I158" s="16">
        <v>2.1529238367504089E-2</v>
      </c>
      <c r="J158" s="16">
        <v>2.3800620993112198E-2</v>
      </c>
      <c r="K158" s="16">
        <v>2.5910269733854796E-2</v>
      </c>
      <c r="L158" s="16">
        <v>2.7862574365927428E-2</v>
      </c>
      <c r="M158" s="16">
        <v>2.9659523874106974E-2</v>
      </c>
      <c r="N158" s="16">
        <v>3.1301436569075802E-2</v>
      </c>
      <c r="O158" s="16">
        <v>3.2787408524330153E-2</v>
      </c>
      <c r="P158" s="16">
        <v>3.4115598467202246E-2</v>
      </c>
      <c r="Q158" s="16">
        <v>3.5283411954028066E-2</v>
      </c>
      <c r="R158" s="16">
        <v>3.6287620066033033E-2</v>
      </c>
      <c r="S158" s="16">
        <v>3.7124433129477552E-2</v>
      </c>
      <c r="T158" s="16">
        <v>3.7789541595626197E-2</v>
      </c>
      <c r="U158" s="16">
        <v>3.8278131147940542E-2</v>
      </c>
      <c r="V158" s="16">
        <v>3.8584875783147621E-2</v>
      </c>
      <c r="W158" s="16">
        <v>3.8703910188450763E-2</v>
      </c>
      <c r="X158" s="16">
        <v>3.862878068573794E-2</v>
      </c>
      <c r="Y158" s="16">
        <v>3.8352371946885899E-2</v>
      </c>
      <c r="Z158" s="16">
        <v>3.786680422635913E-2</v>
      </c>
      <c r="AA158" s="16">
        <v>3.7163292531997461E-2</v>
      </c>
      <c r="AB158" s="16">
        <v>3.623195423229697E-2</v>
      </c>
      <c r="AC158" s="16">
        <v>3.5061543823458829E-2</v>
      </c>
      <c r="AD158" s="16">
        <v>3.3639080626933549E-2</v>
      </c>
      <c r="AE158" s="16">
        <v>3.1949312472632108E-2</v>
      </c>
      <c r="AF158" s="16">
        <v>2.9973916302739045E-2</v>
      </c>
      <c r="AG158" s="16">
        <v>2.7690253283554345E-2</v>
      </c>
      <c r="AH158" s="16">
        <v>2.5069317426225535E-2</v>
      </c>
      <c r="AI158" s="16">
        <v>2.2072093175321994E-2</v>
      </c>
      <c r="AJ158" s="16">
        <v>1.864238653583028E-2</v>
      </c>
      <c r="AK158" s="16">
        <v>1.4690389858571185E-2</v>
      </c>
      <c r="AL158" s="16">
        <v>1.0043877053165562E-2</v>
      </c>
      <c r="AM158" s="16">
        <v>4.1581481559717082E-3</v>
      </c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</row>
    <row r="159" spans="1:62" ht="12" customHeight="1">
      <c r="A159" s="14" t="s">
        <v>704</v>
      </c>
      <c r="B159" s="31">
        <v>158</v>
      </c>
      <c r="C159" s="16">
        <v>2.7919561755216371E-3</v>
      </c>
      <c r="D159" s="16">
        <v>6.7696118604334554E-3</v>
      </c>
      <c r="E159" s="16">
        <v>1.0056886865094872E-2</v>
      </c>
      <c r="F159" s="16">
        <v>1.3006109249451003E-2</v>
      </c>
      <c r="G159" s="16">
        <v>1.5714881236447265E-2</v>
      </c>
      <c r="H159" s="16">
        <v>1.8227726033222091E-2</v>
      </c>
      <c r="I159" s="16">
        <v>2.0568468788246697E-2</v>
      </c>
      <c r="J159" s="16">
        <v>2.2750789796790238E-2</v>
      </c>
      <c r="K159" s="16">
        <v>2.4782686360270367E-2</v>
      </c>
      <c r="L159" s="16">
        <v>2.666866920165134E-2</v>
      </c>
      <c r="M159" s="16">
        <v>2.841095888637768E-2</v>
      </c>
      <c r="N159" s="16">
        <v>3.0010185874662088E-2</v>
      </c>
      <c r="O159" s="16">
        <v>3.1465821775403691E-2</v>
      </c>
      <c r="P159" s="16">
        <v>3.2776454683521861E-2</v>
      </c>
      <c r="Q159" s="16">
        <v>3.3939968711474977E-2</v>
      </c>
      <c r="R159" s="16">
        <v>3.4953661510645828E-2</v>
      </c>
      <c r="S159" s="16">
        <v>3.5814319550689366E-2</v>
      </c>
      <c r="T159" s="16">
        <v>3.6518262990654859E-2</v>
      </c>
      <c r="U159" s="16">
        <v>3.7061367216602914E-2</v>
      </c>
      <c r="V159" s="16">
        <v>3.7439065066394939E-2</v>
      </c>
      <c r="W159" s="16">
        <v>3.7646331619677342E-2</v>
      </c>
      <c r="X159" s="16">
        <v>3.7677651730456563E-2</v>
      </c>
      <c r="Y159" s="16">
        <v>3.7526968900827185E-2</v>
      </c>
      <c r="Z159" s="16">
        <v>3.7187612364523948E-2</v>
      </c>
      <c r="AA159" s="16">
        <v>3.6652197064855452E-2</v>
      </c>
      <c r="AB159" s="16">
        <v>3.5912488152001654E-2</v>
      </c>
      <c r="AC159" s="16">
        <v>3.4959217014363775E-2</v>
      </c>
      <c r="AD159" s="16">
        <v>3.378182851568734E-2</v>
      </c>
      <c r="AE159" s="16">
        <v>3.2368126830001898E-2</v>
      </c>
      <c r="AF159" s="16">
        <v>3.0703765693161689E-2</v>
      </c>
      <c r="AG159" s="16">
        <v>2.8771488853624239E-2</v>
      </c>
      <c r="AH159" s="16">
        <v>2.6549947244626226E-2</v>
      </c>
      <c r="AI159" s="16">
        <v>2.4011749517153125E-2</v>
      </c>
      <c r="AJ159" s="16">
        <v>2.1119999569596648E-2</v>
      </c>
      <c r="AK159" s="16">
        <v>1.7821479364116266E-2</v>
      </c>
      <c r="AL159" s="16">
        <v>1.403101357371983E-2</v>
      </c>
      <c r="AM159" s="16">
        <v>9.5850185970435264E-3</v>
      </c>
      <c r="AN159" s="16">
        <v>3.9652635610061271E-3</v>
      </c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</row>
    <row r="160" spans="1:62" ht="12" customHeight="1">
      <c r="A160" s="14" t="s">
        <v>705</v>
      </c>
      <c r="B160" s="31">
        <v>159</v>
      </c>
      <c r="C160" s="16">
        <v>2.6660079131131109E-3</v>
      </c>
      <c r="D160" s="16">
        <v>6.4648510483824584E-3</v>
      </c>
      <c r="E160" s="16">
        <v>9.6057843680439348E-3</v>
      </c>
      <c r="F160" s="16">
        <v>1.2425686495807997E-2</v>
      </c>
      <c r="G160" s="16">
        <v>1.5018132309300047E-2</v>
      </c>
      <c r="H160" s="16">
        <v>1.7425973775003212E-2</v>
      </c>
      <c r="I160" s="16">
        <v>1.9672274902074127E-2</v>
      </c>
      <c r="J160" s="16">
        <v>2.1770397536693742E-2</v>
      </c>
      <c r="K160" s="16">
        <v>2.3728267782565982E-2</v>
      </c>
      <c r="L160" s="16">
        <v>2.5550477710599151E-2</v>
      </c>
      <c r="M160" s="16">
        <v>2.7239431388294433E-2</v>
      </c>
      <c r="N160" s="16">
        <v>2.879601651343433E-2</v>
      </c>
      <c r="O160" s="16">
        <v>3.0220019199959425E-2</v>
      </c>
      <c r="P160" s="16">
        <v>3.1510389885064383E-2</v>
      </c>
      <c r="Q160" s="16">
        <v>3.2665417908733563E-2</v>
      </c>
      <c r="R160" s="16">
        <v>3.3682847184331344E-2</v>
      </c>
      <c r="S160" s="16">
        <v>3.4559951996698923E-2</v>
      </c>
      <c r="T160" s="16">
        <v>3.5293584417046664E-2</v>
      </c>
      <c r="U160" s="16">
        <v>3.5880200327793821E-2</v>
      </c>
      <c r="V160" s="16">
        <v>3.6315868207730251E-2</v>
      </c>
      <c r="W160" s="16">
        <v>3.6596262891047671E-2</v>
      </c>
      <c r="X160" s="16">
        <v>3.6716645052187413E-2</v>
      </c>
      <c r="Y160" s="16">
        <v>3.6671825904889377E-2</v>
      </c>
      <c r="Z160" s="16">
        <v>3.6456115325475769E-2</v>
      </c>
      <c r="AA160" s="16">
        <v>3.6063250109393818E-2</v>
      </c>
      <c r="AB160" s="16">
        <v>3.5486297087790497E-2</v>
      </c>
      <c r="AC160" s="16">
        <v>3.4717522984422322E-2</v>
      </c>
      <c r="AD160" s="16">
        <v>3.3748218550556874E-2</v>
      </c>
      <c r="AE160" s="16">
        <v>3.2568457558212027E-2</v>
      </c>
      <c r="AF160" s="16">
        <v>3.1166759565536606E-2</v>
      </c>
      <c r="AG160" s="16">
        <v>2.9529604845628721E-2</v>
      </c>
      <c r="AH160" s="16">
        <v>2.7640711758847858E-2</v>
      </c>
      <c r="AI160" s="16">
        <v>2.5479911369832298E-2</v>
      </c>
      <c r="AJ160" s="16">
        <v>2.3021292288075701E-2</v>
      </c>
      <c r="AK160" s="16">
        <v>2.0229904737279814E-2</v>
      </c>
      <c r="AL160" s="16">
        <v>1.7055268996311823E-2</v>
      </c>
      <c r="AM160" s="16">
        <v>1.341648102458981E-2</v>
      </c>
      <c r="AN160" s="16">
        <v>9.1579434116885183E-3</v>
      </c>
      <c r="AO160" s="16">
        <v>3.785945667562185E-3</v>
      </c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</row>
    <row r="161" spans="1:62" ht="12" customHeight="1">
      <c r="A161" s="14" t="s">
        <v>706</v>
      </c>
      <c r="B161" s="31">
        <v>160</v>
      </c>
      <c r="C161" s="16">
        <v>2.5487152622126752E-3</v>
      </c>
      <c r="D161" s="16">
        <v>6.1809813833467731E-3</v>
      </c>
      <c r="E161" s="16">
        <v>9.1854640169859447E-3</v>
      </c>
      <c r="F161" s="16">
        <v>1.1884615995900072E-2</v>
      </c>
      <c r="G161" s="16">
        <v>1.4368229177847192E-2</v>
      </c>
      <c r="H161" s="16">
        <v>1.6677569702177042E-2</v>
      </c>
      <c r="I161" s="16">
        <v>1.883496501534454E-2</v>
      </c>
      <c r="J161" s="16">
        <v>2.0853453587263537E-2</v>
      </c>
      <c r="K161" s="16">
        <v>2.2740868764810851E-2</v>
      </c>
      <c r="L161" s="16">
        <v>2.4501851836451705E-2</v>
      </c>
      <c r="M161" s="16">
        <v>2.6138950736341093E-2</v>
      </c>
      <c r="N161" s="16">
        <v>2.7653264829713864E-2</v>
      </c>
      <c r="O161" s="16">
        <v>2.904484396694107E-2</v>
      </c>
      <c r="P161" s="16">
        <v>3.031294517670291E-2</v>
      </c>
      <c r="Q161" s="16">
        <v>3.1456202142014944E-2</v>
      </c>
      <c r="R161" s="16">
        <v>3.2472738567936865E-2</v>
      </c>
      <c r="S161" s="16">
        <v>3.3360243762173947E-2</v>
      </c>
      <c r="T161" s="16">
        <v>3.4116021552720754E-2</v>
      </c>
      <c r="U161" s="16">
        <v>3.4737019399854518E-2</v>
      </c>
      <c r="V161" s="16">
        <v>3.5219841890421932E-2</v>
      </c>
      <c r="W161" s="16">
        <v>3.5560751022227111E-2</v>
      </c>
      <c r="X161" s="16">
        <v>3.5755654394006742E-2</v>
      </c>
      <c r="Y161" s="16">
        <v>3.5800081363705494E-2</v>
      </c>
      <c r="Z161" s="16">
        <v>3.5689146248499726E-2</v>
      </c>
      <c r="AA161" s="16">
        <v>3.5417496561000794E-2</v>
      </c>
      <c r="AB161" s="16">
        <v>3.4979242937973942E-2</v>
      </c>
      <c r="AC161" s="16">
        <v>3.4367865591470093E-2</v>
      </c>
      <c r="AD161" s="16">
        <v>3.3576089442966195E-2</v>
      </c>
      <c r="AE161" s="16">
        <v>3.2595715993083085E-2</v>
      </c>
      <c r="AF161" s="16">
        <v>3.1417393370558711E-2</v>
      </c>
      <c r="AG161" s="16">
        <v>3.0030294899956012E-2</v>
      </c>
      <c r="AH161" s="16">
        <v>2.8421656975206377E-2</v>
      </c>
      <c r="AI161" s="16">
        <v>2.6576090697573829E-2</v>
      </c>
      <c r="AJ161" s="16">
        <v>2.4474509764733532E-2</v>
      </c>
      <c r="AK161" s="16">
        <v>2.209236275553017E-2</v>
      </c>
      <c r="AL161" s="16">
        <v>1.9396491649447456E-2</v>
      </c>
      <c r="AM161" s="16">
        <v>1.6338942374144905E-2</v>
      </c>
      <c r="AN161" s="16">
        <v>1.2842758249969943E-2</v>
      </c>
      <c r="AO161" s="16">
        <v>8.7597375945270839E-3</v>
      </c>
      <c r="AP161" s="16">
        <v>3.6189313462565709E-3</v>
      </c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</row>
    <row r="162" spans="1:62" ht="12" customHeight="1">
      <c r="A162" s="14" t="s">
        <v>707</v>
      </c>
      <c r="B162" s="31">
        <v>161</v>
      </c>
      <c r="C162" s="16">
        <v>2.4392889319370115E-3</v>
      </c>
      <c r="D162" s="16">
        <v>5.9161034910466537E-3</v>
      </c>
      <c r="E162" s="16">
        <v>8.7931421969454915E-3</v>
      </c>
      <c r="F162" s="16">
        <v>1.137936648208604E-2</v>
      </c>
      <c r="G162" s="16">
        <v>1.3761010745151236E-2</v>
      </c>
      <c r="H162" s="16">
        <v>1.5977836149940972E-2</v>
      </c>
      <c r="I162" s="16">
        <v>1.8051458999258307E-2</v>
      </c>
      <c r="J162" s="16">
        <v>1.9994592941105616E-2</v>
      </c>
      <c r="K162" s="16">
        <v>2.1814962022632001E-2</v>
      </c>
      <c r="L162" s="16">
        <v>2.3517230677616796E-2</v>
      </c>
      <c r="M162" s="16">
        <v>2.5104057949639991E-2</v>
      </c>
      <c r="N162" s="16">
        <v>2.6576716916728138E-2</v>
      </c>
      <c r="O162" s="16">
        <v>2.7935478750084952E-2</v>
      </c>
      <c r="P162" s="16">
        <v>2.9179860468685148E-2</v>
      </c>
      <c r="Q162" s="16">
        <v>3.0308789269281156E-2</v>
      </c>
      <c r="R162" s="16">
        <v>3.1320713298568004E-2</v>
      </c>
      <c r="S162" s="16">
        <v>3.2213676497095944E-2</v>
      </c>
      <c r="T162" s="16">
        <v>3.2985368267321014E-2</v>
      </c>
      <c r="U162" s="16">
        <v>3.3633154655050901E-2</v>
      </c>
      <c r="V162" s="16">
        <v>3.4154095210918389E-2</v>
      </c>
      <c r="W162" s="16">
        <v>3.4544948042257717E-2</v>
      </c>
      <c r="X162" s="16">
        <v>3.4802164397960689E-2</v>
      </c>
      <c r="Y162" s="16">
        <v>3.4921873222009681E-2</v>
      </c>
      <c r="Z162" s="16">
        <v>3.4899855312959249E-2</v>
      </c>
      <c r="AA162" s="16">
        <v>3.4731505916191008E-2</v>
      </c>
      <c r="AB162" s="16">
        <v>3.4411783634722415E-2</v>
      </c>
      <c r="AC162" s="16">
        <v>3.3935142327515821E-2</v>
      </c>
      <c r="AD162" s="16">
        <v>3.3295440963002965E-2</v>
      </c>
      <c r="AE162" s="16">
        <v>3.2485823877824171E-2</v>
      </c>
      <c r="AF162" s="16">
        <v>3.1498559991960384E-2</v>
      </c>
      <c r="AG162" s="16">
        <v>3.0324823240212462E-2</v>
      </c>
      <c r="AH162" s="16">
        <v>2.8954385894050527E-2</v>
      </c>
      <c r="AI162" s="16">
        <v>2.7375177794103478E-2</v>
      </c>
      <c r="AJ162" s="16">
        <v>2.5572629839958338E-2</v>
      </c>
      <c r="AK162" s="16">
        <v>2.3528651371129472E-2</v>
      </c>
      <c r="AL162" s="16">
        <v>2.1219943686484388E-2</v>
      </c>
      <c r="AM162" s="16">
        <v>1.8615002079223064E-2</v>
      </c>
      <c r="AN162" s="16">
        <v>1.5668207214412644E-2</v>
      </c>
      <c r="AO162" s="16">
        <v>1.2306258273360626E-2</v>
      </c>
      <c r="AP162" s="16">
        <v>8.3878165497501822E-3</v>
      </c>
      <c r="AQ162" s="16">
        <v>3.4631024498169571E-3</v>
      </c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</row>
    <row r="163" spans="1:62" ht="12" customHeight="1">
      <c r="A163" s="14" t="s">
        <v>708</v>
      </c>
      <c r="B163" s="31">
        <v>162</v>
      </c>
      <c r="C163" s="16">
        <v>2.3370284958895704E-3</v>
      </c>
      <c r="D163" s="16">
        <v>5.6685311257379523E-3</v>
      </c>
      <c r="E163" s="16">
        <v>8.4263457275700615E-3</v>
      </c>
      <c r="F163" s="16">
        <v>1.0906796994720414E-2</v>
      </c>
      <c r="G163" s="16">
        <v>1.3192770321019398E-2</v>
      </c>
      <c r="H163" s="16">
        <v>1.5322598275274601E-2</v>
      </c>
      <c r="I163" s="16">
        <v>1.7317211772942542E-2</v>
      </c>
      <c r="J163" s="16">
        <v>1.9189000873024442E-2</v>
      </c>
      <c r="K163" s="16">
        <v>2.0945567809275256E-2</v>
      </c>
      <c r="L163" s="16">
        <v>2.2591579021323804E-2</v>
      </c>
      <c r="M163" s="16">
        <v>2.4129777534082297E-2</v>
      </c>
      <c r="N163" s="16">
        <v>2.5561578424232345E-2</v>
      </c>
      <c r="O163" s="16">
        <v>2.6887438606687741E-2</v>
      </c>
      <c r="P163" s="16">
        <v>2.8107095961491524E-2</v>
      </c>
      <c r="Q163" s="16">
        <v>2.9219728550709534E-2</v>
      </c>
      <c r="R163" s="16">
        <v>3.0224062616253544E-2</v>
      </c>
      <c r="S163" s="16">
        <v>3.1118446324127191E-2</v>
      </c>
      <c r="T163" s="16">
        <v>3.1900899637842151E-2</v>
      </c>
      <c r="U163" s="16">
        <v>3.2569146824304451E-2</v>
      </c>
      <c r="V163" s="16">
        <v>3.3120635700026879E-2</v>
      </c>
      <c r="W163" s="16">
        <v>3.3552546170626529E-2</v>
      </c>
      <c r="X163" s="16">
        <v>3.3861789543799703E-2</v>
      </c>
      <c r="Y163" s="16">
        <v>3.4044999293583178E-2</v>
      </c>
      <c r="Z163" s="16">
        <v>3.4098513285195864E-2</v>
      </c>
      <c r="AA163" s="16">
        <v>3.4018346835175572E-2</v>
      </c>
      <c r="AB163" s="16">
        <v>3.3800155292222911E-2</v>
      </c>
      <c r="AC163" s="16">
        <v>3.3439183982655774E-2</v>
      </c>
      <c r="AD163" s="16">
        <v>3.2930202241660211E-2</v>
      </c>
      <c r="AE163" s="16">
        <v>3.226741665436661E-2</v>
      </c>
      <c r="AF163" s="16">
        <v>3.1444356245736604E-2</v>
      </c>
      <c r="AG163" s="16">
        <v>3.0453718648348338E-2</v>
      </c>
      <c r="AH163" s="16">
        <v>2.928716027757805E-2</v>
      </c>
      <c r="AI163" s="16">
        <v>2.7935003437331907E-2</v>
      </c>
      <c r="AJ163" s="16">
        <v>2.6385815460337803E-2</v>
      </c>
      <c r="AK163" s="16">
        <v>2.4625781853047646E-2</v>
      </c>
      <c r="AL163" s="16">
        <v>2.263772973702316E-2</v>
      </c>
      <c r="AM163" s="16">
        <v>2.039951697186404E-2</v>
      </c>
      <c r="AN163" s="16">
        <v>1.7881167791090835E-2</v>
      </c>
      <c r="AO163" s="16">
        <v>1.5039225712140891E-2</v>
      </c>
      <c r="AP163" s="16">
        <v>1.1803782713251998E-2</v>
      </c>
      <c r="AQ163" s="16">
        <v>8.0398810794176656E-3</v>
      </c>
      <c r="AR163" s="16">
        <v>3.3174661770090097E-3</v>
      </c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</row>
    <row r="164" spans="1:62" ht="12" customHeight="1">
      <c r="A164" s="14" t="s">
        <v>709</v>
      </c>
      <c r="B164" s="31">
        <v>163</v>
      </c>
      <c r="C164" s="16">
        <v>2.2413105735181738E-3</v>
      </c>
      <c r="D164" s="16">
        <v>5.4367629300313691E-3</v>
      </c>
      <c r="E164" s="16">
        <v>8.0828710111541247E-3</v>
      </c>
      <c r="F164" s="16">
        <v>1.0464106038741372E-2</v>
      </c>
      <c r="G164" s="16">
        <v>1.2660197254932948E-2</v>
      </c>
      <c r="H164" s="16">
        <v>1.4708120685942849E-2</v>
      </c>
      <c r="I164" s="16">
        <v>1.6628147578666375E-2</v>
      </c>
      <c r="J164" s="16">
        <v>1.8432347682971417E-2</v>
      </c>
      <c r="K164" s="16">
        <v>2.0128192146896651E-2</v>
      </c>
      <c r="L164" s="16">
        <v>2.1720332306521706E-2</v>
      </c>
      <c r="M164" s="16">
        <v>2.321157266648588E-2</v>
      </c>
      <c r="N164" s="16">
        <v>2.4603443726531116E-2</v>
      </c>
      <c r="O164" s="16">
        <v>2.589655819659431E-2</v>
      </c>
      <c r="P164" s="16">
        <v>2.7090841826101997E-2</v>
      </c>
      <c r="Q164" s="16">
        <v>2.8185687592289455E-2</v>
      </c>
      <c r="R164" s="16">
        <v>2.9180060826400123E-2</v>
      </c>
      <c r="S164" s="16">
        <v>3.0072571608495857E-2</v>
      </c>
      <c r="T164" s="16">
        <v>3.0861524451553102E-2</v>
      </c>
      <c r="U164" s="16">
        <v>3.1544951583462155E-2</v>
      </c>
      <c r="V164" s="16">
        <v>3.212063385264341E-2</v>
      </c>
      <c r="W164" s="16">
        <v>3.2586111813375451E-2</v>
      </c>
      <c r="X164" s="16">
        <v>3.2938688549329465E-2</v>
      </c>
      <c r="Y164" s="16">
        <v>3.3175425068810993E-2</v>
      </c>
      <c r="Z164" s="16">
        <v>3.3293128527926097E-2</v>
      </c>
      <c r="AA164" s="16">
        <v>3.3288333021692984E-2</v>
      </c>
      <c r="AB164" s="16">
        <v>3.3157272157781859E-2</v>
      </c>
      <c r="AC164" s="16">
        <v>3.2895842023491939E-2</v>
      </c>
      <c r="AD164" s="16">
        <v>3.249955238987412E-2</v>
      </c>
      <c r="AE164" s="16">
        <v>3.1963462949980093E-2</v>
      </c>
      <c r="AF164" s="16">
        <v>3.1282099880026504E-2</v>
      </c>
      <c r="AG164" s="16">
        <v>3.04493457453473E-2</v>
      </c>
      <c r="AH164" s="16">
        <v>2.9458292235393091E-2</v>
      </c>
      <c r="AI164" s="16">
        <v>2.8301039481607781E-2</v>
      </c>
      <c r="AJ164" s="16">
        <v>2.6968416050941135E-2</v>
      </c>
      <c r="AK164" s="16">
        <v>2.5449576665593443E-2</v>
      </c>
      <c r="AL164" s="16">
        <v>2.373140300088239E-2</v>
      </c>
      <c r="AM164" s="16">
        <v>2.179757006578853E-2</v>
      </c>
      <c r="AN164" s="16">
        <v>1.962700581106247E-2</v>
      </c>
      <c r="AO164" s="16">
        <v>1.7191151354838952E-2</v>
      </c>
      <c r="AP164" s="16">
        <v>1.4448557880303192E-2</v>
      </c>
      <c r="AQ164" s="16">
        <v>1.1332472122422388E-2</v>
      </c>
      <c r="AR164" s="16">
        <v>7.7138801805225476E-3</v>
      </c>
      <c r="AS164" s="16">
        <v>3.1811384830728873E-3</v>
      </c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</row>
    <row r="165" spans="1:62" ht="12" customHeight="1">
      <c r="A165" s="14" t="s">
        <v>710</v>
      </c>
      <c r="B165" s="31">
        <v>164</v>
      </c>
      <c r="C165" s="16">
        <v>2.1515788135967329E-3</v>
      </c>
      <c r="D165" s="16">
        <v>5.2194584834571733E-3</v>
      </c>
      <c r="E165" s="16">
        <v>7.7607493380137393E-3</v>
      </c>
      <c r="F165" s="16">
        <v>1.0048788316643242E-2</v>
      </c>
      <c r="G165" s="16">
        <v>1.2160327126617076E-2</v>
      </c>
      <c r="H165" s="16">
        <v>1.4131053151729911E-2</v>
      </c>
      <c r="I165" s="16">
        <v>1.5980603376332003E-2</v>
      </c>
      <c r="J165" s="16">
        <v>1.7720732070123368E-2</v>
      </c>
      <c r="K165" s="16">
        <v>1.9358772632956711E-2</v>
      </c>
      <c r="L165" s="16">
        <v>2.0899347490399123E-2</v>
      </c>
      <c r="M165" s="16">
        <v>2.2345303942471251E-2</v>
      </c>
      <c r="N165" s="16">
        <v>2.3698265586479583E-2</v>
      </c>
      <c r="O165" s="16">
        <v>2.4958975634159275E-2</v>
      </c>
      <c r="P165" s="16">
        <v>2.6127519781381059E-2</v>
      </c>
      <c r="Q165" s="16">
        <v>2.720347548710389E-2</v>
      </c>
      <c r="R165" s="16">
        <v>2.8186014189021447E-2</v>
      </c>
      <c r="S165" s="16">
        <v>2.9073972181695718E-2</v>
      </c>
      <c r="T165" s="16">
        <v>2.9865899826575615E-2</v>
      </c>
      <c r="U165" s="16">
        <v>3.0560095205165116E-2</v>
      </c>
      <c r="V165" s="16">
        <v>3.1154626144758057E-2</v>
      </c>
      <c r="W165" s="16">
        <v>3.1647343150138396E-2</v>
      </c>
      <c r="X165" s="16">
        <v>3.2035884838343742E-2</v>
      </c>
      <c r="Y165" s="16">
        <v>3.2317676807892326E-2</v>
      </c>
      <c r="Z165" s="16">
        <v>3.248992436264786E-2</v>
      </c>
      <c r="AA165" s="16">
        <v>3.2549599076223679E-2</v>
      </c>
      <c r="AB165" s="16">
        <v>3.2493418767050031E-2</v>
      </c>
      <c r="AC165" s="16">
        <v>3.2317820004284403E-2</v>
      </c>
      <c r="AD165" s="16">
        <v>3.2018921722970051E-2</v>
      </c>
      <c r="AE165" s="16">
        <v>3.1592477818510378E-2</v>
      </c>
      <c r="AF165" s="16">
        <v>3.1033815606634985E-2</v>
      </c>
      <c r="AG165" s="16">
        <v>3.0337755604572414E-2</v>
      </c>
      <c r="AH165" s="16">
        <v>2.949850592886305E-2</v>
      </c>
      <c r="AI165" s="16">
        <v>2.8509521225842716E-2</v>
      </c>
      <c r="AJ165" s="16">
        <v>2.736331056994068E-2</v>
      </c>
      <c r="AK165" s="16">
        <v>2.6051169518375605E-2</v>
      </c>
      <c r="AL165" s="16">
        <v>2.456279519358473E-2</v>
      </c>
      <c r="AM165" s="16">
        <v>2.2885712906410616E-2</v>
      </c>
      <c r="AN165" s="16">
        <v>2.100438263103388E-2</v>
      </c>
      <c r="AO165" s="16">
        <v>1.8898724435847059E-2</v>
      </c>
      <c r="AP165" s="16">
        <v>1.6541495090082403E-2</v>
      </c>
      <c r="AQ165" s="16">
        <v>1.3893112961221754E-2</v>
      </c>
      <c r="AR165" s="16">
        <v>1.0889763594485902E-2</v>
      </c>
      <c r="AS165" s="16">
        <v>7.4079793997147148E-3</v>
      </c>
      <c r="AT165" s="16">
        <v>3.0533300066485358E-3</v>
      </c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</row>
    <row r="166" spans="1:62" ht="12" customHeight="1">
      <c r="A166" s="14" t="s">
        <v>711</v>
      </c>
      <c r="B166" s="31">
        <v>165</v>
      </c>
      <c r="C166" s="16">
        <v>2.0673353714777409E-3</v>
      </c>
      <c r="D166" s="16">
        <v>5.0154179091275175E-3</v>
      </c>
      <c r="E166" s="16">
        <v>7.4582173088139081E-3</v>
      </c>
      <c r="F166" s="16">
        <v>9.6585977737855266E-3</v>
      </c>
      <c r="G166" s="16">
        <v>1.169049909280051E-2</v>
      </c>
      <c r="H166" s="16">
        <v>1.3588383950621896E-2</v>
      </c>
      <c r="I166" s="16">
        <v>1.5371279963064866E-2</v>
      </c>
      <c r="J166" s="16">
        <v>1.705063190472933E-2</v>
      </c>
      <c r="K166" s="16">
        <v>1.8633630866656481E-2</v>
      </c>
      <c r="L166" s="16">
        <v>2.0124859270221673E-2</v>
      </c>
      <c r="M166" s="16">
        <v>2.1527191687314207E-2</v>
      </c>
      <c r="N166" s="16">
        <v>2.2842326017172065E-2</v>
      </c>
      <c r="O166" s="16">
        <v>2.4071114548536277E-2</v>
      </c>
      <c r="P166" s="16">
        <v>2.5213779207933218E-2</v>
      </c>
      <c r="Q166" s="16">
        <v>2.6270056071016734E-2</v>
      </c>
      <c r="R166" s="16">
        <v>2.7239294670383107E-2</v>
      </c>
      <c r="S166" s="16">
        <v>2.8120527250159677E-2</v>
      </c>
      <c r="T166" s="16">
        <v>2.8912517298176343E-2</v>
      </c>
      <c r="U166" s="16">
        <v>2.9613793270819588E-2</v>
      </c>
      <c r="V166" s="16">
        <v>3.0222671335710105E-2</v>
      </c>
      <c r="W166" s="16">
        <v>3.0737269626112007E-2</v>
      </c>
      <c r="X166" s="16">
        <v>3.1155515616091423E-2</v>
      </c>
      <c r="Y166" s="16">
        <v>3.1475147606652931E-2</v>
      </c>
      <c r="Z166" s="16">
        <v>3.1693710851161572E-2</v>
      </c>
      <c r="AA166" s="16">
        <v>3.1808548472373244E-2</v>
      </c>
      <c r="AB166" s="16">
        <v>3.1816786982715284E-2</v>
      </c>
      <c r="AC166" s="16">
        <v>3.171531587197407E-2</v>
      </c>
      <c r="AD166" s="16">
        <v>3.1500760330478328E-2</v>
      </c>
      <c r="AE166" s="16">
        <v>3.1169445681335839E-2</v>
      </c>
      <c r="AF166" s="16">
        <v>3.0717351434039974E-2</v>
      </c>
      <c r="AG166" s="16">
        <v>3.0140051941754731E-2</v>
      </c>
      <c r="AH166" s="16">
        <v>2.9432639283213935E-2</v>
      </c>
      <c r="AI166" s="16">
        <v>2.858962192713399E-2</v>
      </c>
      <c r="AJ166" s="16">
        <v>2.7604789503782423E-2</v>
      </c>
      <c r="AK166" s="16">
        <v>2.6471028759578852E-2</v>
      </c>
      <c r="AL166" s="16">
        <v>2.5180066910897136E-2</v>
      </c>
      <c r="AM166" s="16">
        <v>2.3722102973583681E-2</v>
      </c>
      <c r="AN166" s="16">
        <v>2.2085258540398112E-2</v>
      </c>
      <c r="AO166" s="16">
        <v>2.0254721752459015E-2</v>
      </c>
      <c r="AP166" s="16">
        <v>1.8211334296796555E-2</v>
      </c>
      <c r="AQ166" s="16">
        <v>1.5929076899960926E-2</v>
      </c>
      <c r="AR166" s="16">
        <v>1.3370107624002814E-2</v>
      </c>
      <c r="AS166" s="16">
        <v>1.0473354445729055E-2</v>
      </c>
      <c r="AT166" s="16">
        <v>7.1205338143293107E-3</v>
      </c>
      <c r="AU166" s="16">
        <v>2.9333340849240219E-3</v>
      </c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</row>
    <row r="167" spans="1:62" ht="12" customHeight="1">
      <c r="A167" s="14" t="s">
        <v>712</v>
      </c>
      <c r="B167" s="31">
        <v>166</v>
      </c>
      <c r="C167" s="16">
        <v>1.9881336300173746E-3</v>
      </c>
      <c r="D167" s="16">
        <v>4.8235644452488957E-3</v>
      </c>
      <c r="E167" s="16">
        <v>7.1736915273636903E-3</v>
      </c>
      <c r="F167" s="16">
        <v>9.2915159243261991E-3</v>
      </c>
      <c r="G167" s="16">
        <v>1.1248319240881433E-2</v>
      </c>
      <c r="H167" s="16">
        <v>1.3077399654602417E-2</v>
      </c>
      <c r="I167" s="16">
        <v>1.4797199653656667E-2</v>
      </c>
      <c r="J167" s="16">
        <v>1.6418861348212244E-2</v>
      </c>
      <c r="K167" s="16">
        <v>1.7949430651715392E-2</v>
      </c>
      <c r="L167" s="16">
        <v>1.939344112192698E-2</v>
      </c>
      <c r="M167" s="16">
        <v>2.0753781704934693E-2</v>
      </c>
      <c r="N167" s="16">
        <v>2.203220874924039E-2</v>
      </c>
      <c r="O167" s="16">
        <v>2.3229665424049251E-2</v>
      </c>
      <c r="P167" s="16">
        <v>2.4346489679153205E-2</v>
      </c>
      <c r="Q167" s="16">
        <v>2.5382554144294578E-2</v>
      </c>
      <c r="R167" s="16">
        <v>2.6337362561362099E-2</v>
      </c>
      <c r="S167" s="16">
        <v>2.7210117352868046E-2</v>
      </c>
      <c r="T167" s="16">
        <v>2.7999767332502201E-2</v>
      </c>
      <c r="U167" s="16">
        <v>2.8705041280410737E-2</v>
      </c>
      <c r="V167" s="16">
        <v>2.9324471100172333E-2</v>
      </c>
      <c r="W167" s="16">
        <v>2.9856407001197183E-2</v>
      </c>
      <c r="X167" s="16">
        <v>3.0299026309532406E-2</v>
      </c>
      <c r="Y167" s="16">
        <v>3.0650336929493815E-2</v>
      </c>
      <c r="Z167" s="16">
        <v>3.090817605454188E-2</v>
      </c>
      <c r="AA167" s="16">
        <v>3.1070204392485867E-2</v>
      </c>
      <c r="AB167" s="16">
        <v>3.1133895882175966E-2</v>
      </c>
      <c r="AC167" s="16">
        <v>3.1096522601110621E-2</v>
      </c>
      <c r="AD167" s="16">
        <v>3.0955134263890294E-2</v>
      </c>
      <c r="AE167" s="16">
        <v>3.0706531355211952E-2</v>
      </c>
      <c r="AF167" s="16">
        <v>3.0347230483605214E-2</v>
      </c>
      <c r="AG167" s="16">
        <v>2.9873419920128264E-2</v>
      </c>
      <c r="AH167" s="16">
        <v>2.9280902403204356E-2</v>
      </c>
      <c r="AI167" s="16">
        <v>2.8565020991756729E-2</v>
      </c>
      <c r="AJ167" s="16">
        <v>2.77205617750379E-2</v>
      </c>
      <c r="AK167" s="16">
        <v>2.6741624150013021E-2</v>
      </c>
      <c r="AL167" s="16">
        <v>2.5621444344866906E-2</v>
      </c>
      <c r="AM167" s="16">
        <v>2.4352149369321618E-2</v>
      </c>
      <c r="AN167" s="16">
        <v>2.2924403567288865E-2</v>
      </c>
      <c r="AO167" s="16">
        <v>2.1326882018139259E-2</v>
      </c>
      <c r="AP167" s="16">
        <v>1.9545449627738964E-2</v>
      </c>
      <c r="AQ167" s="16">
        <v>1.7561805799562902E-2</v>
      </c>
      <c r="AR167" s="16">
        <v>1.5351071959458618E-2</v>
      </c>
      <c r="AS167" s="16">
        <v>1.2877029887553237E-2</v>
      </c>
      <c r="AT167" s="16">
        <v>1.0081170995889233E-2</v>
      </c>
      <c r="AU167" s="16">
        <v>6.8500648806513187E-3</v>
      </c>
      <c r="AV167" s="16">
        <v>2.8205165092047846E-3</v>
      </c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</row>
    <row r="168" spans="1:62" ht="12" customHeight="1">
      <c r="A168" s="14" t="s">
        <v>713</v>
      </c>
      <c r="B168" s="31">
        <v>167</v>
      </c>
      <c r="C168" s="16">
        <v>1.9135719603345924E-3</v>
      </c>
      <c r="D168" s="16">
        <v>4.6429294974682511E-3</v>
      </c>
      <c r="E168" s="16">
        <v>6.9057468719490034E-3</v>
      </c>
      <c r="F168" s="16">
        <v>8.9457246119414302E-3</v>
      </c>
      <c r="G168" s="16">
        <v>1.0831629003165144E-2</v>
      </c>
      <c r="H168" s="16">
        <v>1.2595650364481292E-2</v>
      </c>
      <c r="I168" s="16">
        <v>1.4255669547450611E-2</v>
      </c>
      <c r="J168" s="16">
        <v>1.5822533428741292E-2</v>
      </c>
      <c r="K168" s="16">
        <v>1.7303141235368025E-2</v>
      </c>
      <c r="L168" s="16">
        <v>1.8701970645317645E-2</v>
      </c>
      <c r="M168" s="16">
        <v>2.0021914269105379E-2</v>
      </c>
      <c r="N168" s="16">
        <v>2.1264773514232282E-2</v>
      </c>
      <c r="O168" s="16">
        <v>2.2431566938621361E-2</v>
      </c>
      <c r="P168" s="16">
        <v>2.3522731246456874E-2</v>
      </c>
      <c r="Q168" s="16">
        <v>2.4538256738857012E-2</v>
      </c>
      <c r="R168" s="16">
        <v>2.5477780923315652E-2</v>
      </c>
      <c r="S168" s="16">
        <v>2.6340654365980543E-2</v>
      </c>
      <c r="T168" s="16">
        <v>2.7125987481513514E-2</v>
      </c>
      <c r="U168" s="16">
        <v>2.7832683795952273E-2</v>
      </c>
      <c r="V168" s="16">
        <v>2.8459463290254838E-2</v>
      </c>
      <c r="W168" s="16">
        <v>2.9004878211487894E-2</v>
      </c>
      <c r="X168" s="16">
        <v>2.9467322936619467E-2</v>
      </c>
      <c r="Y168" s="16">
        <v>2.9845038925225498E-2</v>
      </c>
      <c r="Z168" s="16">
        <v>3.0136115403497477E-2</v>
      </c>
      <c r="AA168" s="16">
        <v>3.0338486120665809E-2</v>
      </c>
      <c r="AB168" s="16">
        <v>3.0449922269038199E-2</v>
      </c>
      <c r="AC168" s="16">
        <v>3.0468021429700176E-2</v>
      </c>
      <c r="AD168" s="16">
        <v>3.0390192171872776E-2</v>
      </c>
      <c r="AE168" s="16">
        <v>3.0213633669155082E-2</v>
      </c>
      <c r="AF168" s="16">
        <v>2.9935309370101915E-2</v>
      </c>
      <c r="AG168" s="16">
        <v>2.9551913333119462E-2</v>
      </c>
      <c r="AH168" s="16">
        <v>2.9059827247159942E-2</v>
      </c>
      <c r="AI168" s="16">
        <v>2.8455065318404471E-2</v>
      </c>
      <c r="AJ168" s="16">
        <v>2.7733202960905645E-2</v>
      </c>
      <c r="AK168" s="16">
        <v>2.6889283337943493E-2</v>
      </c>
      <c r="AL168" s="16">
        <v>2.5917692829700245E-2</v>
      </c>
      <c r="AM168" s="16">
        <v>2.4811991673069134E-2</v>
      </c>
      <c r="AN168" s="16">
        <v>2.3564677860507421E-2</v>
      </c>
      <c r="AO168" s="16">
        <v>2.2166847974852244E-2</v>
      </c>
      <c r="AP168" s="16">
        <v>2.0607691810484385E-2</v>
      </c>
      <c r="AQ168" s="16">
        <v>1.887370440513314E-2</v>
      </c>
      <c r="AR168" s="16">
        <v>1.6947384816489608E-2</v>
      </c>
      <c r="AS168" s="16">
        <v>1.4804919393613947E-2</v>
      </c>
      <c r="AT168" s="16">
        <v>1.2411607891109511E-2</v>
      </c>
      <c r="AU168" s="16">
        <v>9.7113416446554801E-3</v>
      </c>
      <c r="AV168" s="16">
        <v>6.5952405278987269E-3</v>
      </c>
      <c r="AW168" s="16">
        <v>2.7143067370818397E-3</v>
      </c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</row>
    <row r="169" spans="1:62" ht="12" customHeight="1">
      <c r="A169" s="14" t="s">
        <v>714</v>
      </c>
      <c r="B169" s="31">
        <v>168</v>
      </c>
      <c r="C169" s="16">
        <v>1.8432883554801993E-3</v>
      </c>
      <c r="D169" s="16">
        <v>4.4726397753460656E-3</v>
      </c>
      <c r="E169" s="16">
        <v>6.6530977770633548E-3</v>
      </c>
      <c r="F169" s="16">
        <v>8.6195825089240286E-3</v>
      </c>
      <c r="G169" s="16">
        <v>1.0438477849395555E-2</v>
      </c>
      <c r="H169" s="16">
        <v>1.2140919570083453E-2</v>
      </c>
      <c r="I169" s="16">
        <v>1.3744249564270006E-2</v>
      </c>
      <c r="J169" s="16">
        <v>1.5259027312591877E-2</v>
      </c>
      <c r="K169" s="16">
        <v>1.669200493739742E-2</v>
      </c>
      <c r="L169" s="16">
        <v>1.8047598743709425E-2</v>
      </c>
      <c r="M169" s="16">
        <v>1.9328696124608635E-2</v>
      </c>
      <c r="N169" s="16">
        <v>2.0537132223470311E-2</v>
      </c>
      <c r="O169" s="16">
        <v>2.167398776986118E-2</v>
      </c>
      <c r="P169" s="16">
        <v>2.2739783424764126E-2</v>
      </c>
      <c r="Q169" s="16">
        <v>2.3734610949062929E-2</v>
      </c>
      <c r="R169" s="16">
        <v>2.4658224057243383E-2</v>
      </c>
      <c r="S169" s="16">
        <v>2.5510102547178115E-2</v>
      </c>
      <c r="T169" s="16">
        <v>2.6289498103604148E-2</v>
      </c>
      <c r="U169" s="16">
        <v>2.6995467129640072E-2</v>
      </c>
      <c r="V169" s="16">
        <v>2.7626894105413302E-2</v>
      </c>
      <c r="W169" s="16">
        <v>2.8182507800275536E-2</v>
      </c>
      <c r="X169" s="16">
        <v>2.8660891897553054E-2</v>
      </c>
      <c r="Y169" s="16">
        <v>2.9060491069511474E-2</v>
      </c>
      <c r="Z169" s="16">
        <v>2.937961317071458E-2</v>
      </c>
      <c r="AA169" s="16">
        <v>2.9616427941516976E-2</v>
      </c>
      <c r="AB169" s="16">
        <v>2.9768962391554687E-2</v>
      </c>
      <c r="AC169" s="16">
        <v>2.9835092838604749E-2</v>
      </c>
      <c r="AD169" s="16">
        <v>2.9812533389384166E-2</v>
      </c>
      <c r="AE169" s="16">
        <v>2.9698820445934748E-2</v>
      </c>
      <c r="AF169" s="16">
        <v>2.9491292582444539E-2</v>
      </c>
      <c r="AG169" s="16">
        <v>2.9187064835617282E-2</v>
      </c>
      <c r="AH169" s="16">
        <v>2.8782996049236065E-2</v>
      </c>
      <c r="AI169" s="16">
        <v>2.8275647354286448E-2</v>
      </c>
      <c r="AJ169" s="16">
        <v>2.7661229062297066E-2</v>
      </c>
      <c r="AK169" s="16">
        <v>2.6935532059526923E-2</v>
      </c>
      <c r="AL169" s="16">
        <v>2.6093837975088241E-2</v>
      </c>
      <c r="AM169" s="16">
        <v>2.5130799543056193E-2</v>
      </c>
      <c r="AN169" s="16">
        <v>2.4040277938582766E-2</v>
      </c>
      <c r="AO169" s="16">
        <v>2.2815116027327109E-2</v>
      </c>
      <c r="AP169" s="16">
        <v>2.1446812616582211E-2</v>
      </c>
      <c r="AQ169" s="16">
        <v>1.9925037006355728E-2</v>
      </c>
      <c r="AR169" s="16">
        <v>1.8236871961095913E-2</v>
      </c>
      <c r="AS169" s="16">
        <v>1.6365563315489884E-2</v>
      </c>
      <c r="AT169" s="16">
        <v>1.4288293220688808E-2</v>
      </c>
      <c r="AU169" s="16">
        <v>1.1971782782516649E-2</v>
      </c>
      <c r="AV169" s="16">
        <v>9.3621735803627315E-3</v>
      </c>
      <c r="AW169" s="16">
        <v>6.3548579867636068E-3</v>
      </c>
      <c r="AX169" s="16">
        <v>2.6141903285242796E-3</v>
      </c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</row>
    <row r="170" spans="1:62" ht="12" customHeight="1">
      <c r="A170" s="14" t="s">
        <v>715</v>
      </c>
      <c r="B170" s="31">
        <v>169</v>
      </c>
      <c r="C170" s="16">
        <v>1.7769557997263652E-3</v>
      </c>
      <c r="D170" s="16">
        <v>4.3119061863597929E-3</v>
      </c>
      <c r="E170" s="16">
        <v>6.4145820570454815E-3</v>
      </c>
      <c r="F170" s="16">
        <v>8.3116047779276947E-3</v>
      </c>
      <c r="G170" s="16">
        <v>1.0067099608464747E-2</v>
      </c>
      <c r="H170" s="16">
        <v>1.1711197948665819E-2</v>
      </c>
      <c r="I170" s="16">
        <v>1.3260724562022097E-2</v>
      </c>
      <c r="J170" s="16">
        <v>1.472595962442913E-2</v>
      </c>
      <c r="K170" s="16">
        <v>1.6113508606842242E-2</v>
      </c>
      <c r="L170" s="16">
        <v>1.7427722207861485E-2</v>
      </c>
      <c r="M170" s="16">
        <v>1.8671475252133529E-2</v>
      </c>
      <c r="N170" s="16">
        <v>1.9846627036412268E-2</v>
      </c>
      <c r="O170" s="16">
        <v>2.0954309164454621E-2</v>
      </c>
      <c r="P170" s="16">
        <v>2.1995113542747413E-2</v>
      </c>
      <c r="Q170" s="16">
        <v>2.2969219433377264E-2</v>
      </c>
      <c r="R170" s="16">
        <v>2.3876481628374968E-2</v>
      </c>
      <c r="S170" s="16">
        <v>2.4716492868056883E-2</v>
      </c>
      <c r="T170" s="16">
        <v>2.5488628617433617E-2</v>
      </c>
      <c r="U170" s="16">
        <v>2.6192079380622513E-2</v>
      </c>
      <c r="V170" s="16">
        <v>2.682587394562308E-2</v>
      </c>
      <c r="W170" s="16">
        <v>2.738889582362336E-2</v>
      </c>
      <c r="X170" s="16">
        <v>2.7879894410638983E-2</v>
      </c>
      <c r="Y170" s="16">
        <v>2.8297491901893901E-2</v>
      </c>
      <c r="Z170" s="16">
        <v>2.8640186640282561E-2</v>
      </c>
      <c r="AA170" s="16">
        <v>2.8906353323469358E-2</v>
      </c>
      <c r="AB170" s="16">
        <v>2.9094240293606299E-2</v>
      </c>
      <c r="AC170" s="16">
        <v>2.9201963964373245E-2</v>
      </c>
      <c r="AD170" s="16">
        <v>2.9227500283272256E-2</v>
      </c>
      <c r="AE170" s="16">
        <v>2.916867296677661E-2</v>
      </c>
      <c r="AF170" s="16">
        <v>2.9023138065824572E-2</v>
      </c>
      <c r="AG170" s="16">
        <v>2.8788364200384109E-2</v>
      </c>
      <c r="AH170" s="16">
        <v>2.8461607519601806E-2</v>
      </c>
      <c r="AI170" s="16">
        <v>2.8039880062939115E-2</v>
      </c>
      <c r="AJ170" s="16">
        <v>2.751990966433393E-2</v>
      </c>
      <c r="AK170" s="16">
        <v>2.689808877195754E-2</v>
      </c>
      <c r="AL170" s="16">
        <v>2.6170408414340263E-2</v>
      </c>
      <c r="AM170" s="16">
        <v>2.5332371800643294E-2</v>
      </c>
      <c r="AN170" s="16">
        <v>2.4378879300436918E-2</v>
      </c>
      <c r="AO170" s="16">
        <v>2.3304072086488548E-2</v>
      </c>
      <c r="AP170" s="16">
        <v>2.2101114182520698E-2</v>
      </c>
      <c r="AQ170" s="16">
        <v>2.0761879332885202E-2</v>
      </c>
      <c r="AR170" s="16">
        <v>1.9276484296351981E-2</v>
      </c>
      <c r="AS170" s="16">
        <v>1.7632560917148377E-2</v>
      </c>
      <c r="AT170" s="16">
        <v>1.5814053546062468E-2</v>
      </c>
      <c r="AU170" s="16">
        <v>1.3799076950798628E-2</v>
      </c>
      <c r="AV170" s="16">
        <v>1.1555685115570591E-2</v>
      </c>
      <c r="AW170" s="16">
        <v>9.0321325705514655E-3</v>
      </c>
      <c r="AX170" s="16">
        <v>6.1278289303359212E-3</v>
      </c>
      <c r="AY170" s="16">
        <v>2.5197024143069902E-3</v>
      </c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</row>
    <row r="171" spans="1:62" ht="12" customHeight="1">
      <c r="A171" s="14" t="s">
        <v>716</v>
      </c>
      <c r="B171" s="31">
        <v>170</v>
      </c>
      <c r="C171" s="16">
        <v>1.7142782600643169E-3</v>
      </c>
      <c r="D171" s="16">
        <v>4.1600142174433863E-3</v>
      </c>
      <c r="E171" s="16">
        <v>6.1891468837078634E-3</v>
      </c>
      <c r="F171" s="16">
        <v>8.0204454185225371E-3</v>
      </c>
      <c r="G171" s="16">
        <v>9.7158918787073612E-3</v>
      </c>
      <c r="H171" s="16">
        <v>1.130466052648238E-2</v>
      </c>
      <c r="I171" s="16">
        <v>1.2803079956549612E-2</v>
      </c>
      <c r="J171" s="16">
        <v>1.4221159265106365E-2</v>
      </c>
      <c r="K171" s="16">
        <v>1.5565358417958142E-2</v>
      </c>
      <c r="L171" s="16">
        <v>1.6839959316535813E-2</v>
      </c>
      <c r="M171" s="16">
        <v>1.8047818150910722E-2</v>
      </c>
      <c r="N171" s="16">
        <v>1.9190810258570168E-2</v>
      </c>
      <c r="O171" s="16">
        <v>2.0270108445265222E-2</v>
      </c>
      <c r="P171" s="16">
        <v>2.1286364919312351E-2</v>
      </c>
      <c r="Q171" s="16">
        <v>2.223983439325905E-2</v>
      </c>
      <c r="R171" s="16">
        <v>2.3130459661142799E-2</v>
      </c>
      <c r="S171" s="16">
        <v>2.395793232894794E-2</v>
      </c>
      <c r="T171" s="16">
        <v>2.4721736542002382E-2</v>
      </c>
      <c r="U171" s="16">
        <v>2.5421180721691194E-2</v>
      </c>
      <c r="V171" s="16">
        <v>2.6055420599811474E-2</v>
      </c>
      <c r="W171" s="16">
        <v>2.6623475751929693E-2</v>
      </c>
      <c r="X171" s="16">
        <v>2.712424112319245E-2</v>
      </c>
      <c r="Y171" s="16">
        <v>2.755649456387832E-2</v>
      </c>
      <c r="Z171" s="16">
        <v>2.7918901060292378E-2</v>
      </c>
      <c r="AA171" s="16">
        <v>2.8210014105878312E-2</v>
      </c>
      <c r="AB171" s="16">
        <v>2.8428274473361492E-2</v>
      </c>
      <c r="AC171" s="16">
        <v>2.8572006498269298E-2</v>
      </c>
      <c r="AD171" s="16">
        <v>2.8639411850535201E-2</v>
      </c>
      <c r="AE171" s="16">
        <v>2.8628560640492573E-2</v>
      </c>
      <c r="AF171" s="16">
        <v>2.8537379565780507E-2</v>
      </c>
      <c r="AG171" s="16">
        <v>2.8363636642829926E-2</v>
      </c>
      <c r="AH171" s="16">
        <v>2.810492186372171E-2</v>
      </c>
      <c r="AI171" s="16">
        <v>2.7758622853286674E-2</v>
      </c>
      <c r="AJ171" s="16">
        <v>2.7321894238822142E-2</v>
      </c>
      <c r="AK171" s="16">
        <v>2.6791618934750572E-2</v>
      </c>
      <c r="AL171" s="16">
        <v>2.6164358806514798E-2</v>
      </c>
      <c r="AM171" s="16">
        <v>2.5436291081067042E-2</v>
      </c>
      <c r="AN171" s="16">
        <v>2.4603125195216902E-2</v>
      </c>
      <c r="AO171" s="16">
        <v>2.3659992134558272E-2</v>
      </c>
      <c r="AP171" s="16">
        <v>2.2601294021447171E-2</v>
      </c>
      <c r="AQ171" s="16">
        <v>2.1420494450583472E-2</v>
      </c>
      <c r="AR171" s="16">
        <v>2.0109817241190986E-2</v>
      </c>
      <c r="AS171" s="16">
        <v>1.8659797379182996E-2</v>
      </c>
      <c r="AT171" s="16">
        <v>1.7058580491434494E-2</v>
      </c>
      <c r="AU171" s="16">
        <v>1.5290765304893039E-2</v>
      </c>
      <c r="AV171" s="16">
        <v>1.3335341326072392E-2</v>
      </c>
      <c r="AW171" s="16">
        <v>1.1161614246962714E-2</v>
      </c>
      <c r="AX171" s="16">
        <v>8.7198253762033051E-3</v>
      </c>
      <c r="AY171" s="16">
        <v>5.9131665773088926E-3</v>
      </c>
      <c r="AZ171" s="16">
        <v>2.4304220383511987E-3</v>
      </c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</row>
    <row r="172" spans="1:62" ht="12" customHeight="1">
      <c r="A172" s="14" t="s">
        <v>717</v>
      </c>
      <c r="B172" s="31">
        <v>171</v>
      </c>
      <c r="C172" s="16">
        <v>1.6549872058490012E-3</v>
      </c>
      <c r="D172" s="16">
        <v>4.0163155799511907E-3</v>
      </c>
      <c r="E172" s="16">
        <v>5.9758365955002724E-3</v>
      </c>
      <c r="F172" s="16">
        <v>7.7448819004650726E-3</v>
      </c>
      <c r="G172" s="16">
        <v>9.3833980749700174E-3</v>
      </c>
      <c r="H172" s="16">
        <v>1.0919646720693454E-2</v>
      </c>
      <c r="I172" s="16">
        <v>1.2369480354066931E-2</v>
      </c>
      <c r="J172" s="16">
        <v>1.3742645256366148E-2</v>
      </c>
      <c r="K172" s="16">
        <v>1.5045457581734922E-2</v>
      </c>
      <c r="L172" s="16">
        <v>1.6282128106994254E-2</v>
      </c>
      <c r="M172" s="16">
        <v>1.7455489401940971E-2</v>
      </c>
      <c r="N172" s="16">
        <v>1.8567425976577345E-2</v>
      </c>
      <c r="O172" s="16">
        <v>1.9619143546676598E-2</v>
      </c>
      <c r="P172" s="16">
        <v>2.0611345181364538E-2</v>
      </c>
      <c r="Q172" s="16">
        <v>2.1544350614325469E-2</v>
      </c>
      <c r="R172" s="16">
        <v>2.24181793095235E-2</v>
      </c>
      <c r="S172" s="16">
        <v>2.3232609536272264E-2</v>
      </c>
      <c r="T172" s="16">
        <v>2.3987221039686757E-2</v>
      </c>
      <c r="U172" s="16">
        <v>2.4681426158262521E-2</v>
      </c>
      <c r="V172" s="16">
        <v>2.5314492576000602E-2</v>
      </c>
      <c r="W172" s="16">
        <v>2.5885559848034423E-2</v>
      </c>
      <c r="X172" s="16">
        <v>2.6393651157043507E-2</v>
      </c>
      <c r="Y172" s="16">
        <v>2.6837681300640126E-2</v>
      </c>
      <c r="Z172" s="16">
        <v>2.7216461593413621E-2</v>
      </c>
      <c r="AA172" s="16">
        <v>2.7528702139930417E-2</v>
      </c>
      <c r="AB172" s="16">
        <v>2.7773011764083977E-2</v>
      </c>
      <c r="AC172" s="16">
        <v>2.7947895744091178E-2</v>
      </c>
      <c r="AD172" s="16">
        <v>2.8051751385812951E-2</v>
      </c>
      <c r="AE172" s="16">
        <v>2.8082861358141198E-2</v>
      </c>
      <c r="AF172" s="16">
        <v>2.8039384602657869E-2</v>
      </c>
      <c r="AG172" s="16">
        <v>2.7919344505246579E-2</v>
      </c>
      <c r="AH172" s="16">
        <v>2.7720613867892041E-2</v>
      </c>
      <c r="AI172" s="16">
        <v>2.7440896028962491E-2</v>
      </c>
      <c r="AJ172" s="16">
        <v>2.7077701228283235E-2</v>
      </c>
      <c r="AK172" s="16">
        <v>2.6628316967303833E-2</v>
      </c>
      <c r="AL172" s="16">
        <v>2.6089770625814968E-2</v>
      </c>
      <c r="AM172" s="16">
        <v>2.5458781887747195E-2</v>
      </c>
      <c r="AN172" s="16">
        <v>2.4731701473472811E-2</v>
      </c>
      <c r="AO172" s="16">
        <v>2.3904431062724885E-2</v>
      </c>
      <c r="AP172" s="16">
        <v>2.2972316751435073E-2</v>
      </c>
      <c r="AQ172" s="16">
        <v>2.1930004249391288E-2</v>
      </c>
      <c r="AR172" s="16">
        <v>2.0771237031260936E-2</v>
      </c>
      <c r="AS172" s="16">
        <v>1.9488566291261722E-2</v>
      </c>
      <c r="AT172" s="16">
        <v>1.807291852341808E-2</v>
      </c>
      <c r="AU172" s="16">
        <v>1.651292083360989E-2</v>
      </c>
      <c r="AV172" s="16">
        <v>1.479378587311575E-2</v>
      </c>
      <c r="AW172" s="16">
        <v>1.2895324767781546E-2</v>
      </c>
      <c r="AX172" s="16">
        <v>1.0788020304979828E-2</v>
      </c>
      <c r="AY172" s="16">
        <v>8.4239844067713898E-3</v>
      </c>
      <c r="AZ172" s="16">
        <v>5.7099744660010776E-3</v>
      </c>
      <c r="BA172" s="16">
        <v>2.3459672424542832E-3</v>
      </c>
      <c r="BB172" s="16"/>
      <c r="BC172" s="16"/>
      <c r="BD172" s="16"/>
      <c r="BE172" s="16"/>
      <c r="BF172" s="16"/>
      <c r="BG172" s="16"/>
      <c r="BH172" s="16"/>
      <c r="BI172" s="16"/>
      <c r="BJ172" s="16"/>
    </row>
    <row r="173" spans="1:62" ht="12" customHeight="1">
      <c r="A173" s="14" t="s">
        <v>718</v>
      </c>
      <c r="B173" s="31">
        <v>172</v>
      </c>
      <c r="C173" s="16">
        <v>1.5988385782660375E-3</v>
      </c>
      <c r="D173" s="16">
        <v>3.8802209312988056E-3</v>
      </c>
      <c r="E173" s="16">
        <v>5.7737820691454722E-3</v>
      </c>
      <c r="F173" s="16">
        <v>7.4838017508291887E-3</v>
      </c>
      <c r="G173" s="16">
        <v>9.0682917335601632E-3</v>
      </c>
      <c r="H173" s="16">
        <v>1.0554642855037155E-2</v>
      </c>
      <c r="I173" s="16">
        <v>1.1958250781349822E-2</v>
      </c>
      <c r="J173" s="16">
        <v>1.3288607210164116E-2</v>
      </c>
      <c r="K173" s="16">
        <v>1.4551886605626008E-2</v>
      </c>
      <c r="L173" s="16">
        <v>1.5752227007107766E-2</v>
      </c>
      <c r="M173" s="16">
        <v>1.6892433288470898E-2</v>
      </c>
      <c r="N173" s="16">
        <v>1.7974393320129178E-2</v>
      </c>
      <c r="O173" s="16">
        <v>1.8999338611355721E-2</v>
      </c>
      <c r="P173" s="16">
        <v>1.9968014932518652E-2</v>
      </c>
      <c r="Q173" s="16">
        <v>2.0880797991852496E-2</v>
      </c>
      <c r="R173" s="16">
        <v>2.1737774076601046E-2</v>
      </c>
      <c r="S173" s="16">
        <v>2.2538797511408859E-2</v>
      </c>
      <c r="T173" s="16">
        <v>2.3283532274359753E-2</v>
      </c>
      <c r="U173" s="16">
        <v>2.3971482468590488E-2</v>
      </c>
      <c r="V173" s="16">
        <v>2.460201473939827E-2</v>
      </c>
      <c r="W173" s="16">
        <v>2.5174374714413417E-2</v>
      </c>
      <c r="X173" s="16">
        <v>2.5687698887063126E-2</v>
      </c>
      <c r="Y173" s="16">
        <v>2.6141022923836021E-2</v>
      </c>
      <c r="Z173" s="16">
        <v>2.6533287072764367E-2</v>
      </c>
      <c r="AA173" s="16">
        <v>2.686333913453931E-2</v>
      </c>
      <c r="AB173" s="16">
        <v>2.7129935297476093E-2</v>
      </c>
      <c r="AC173" s="16">
        <v>2.7331739012672163E-2</v>
      </c>
      <c r="AD173" s="16">
        <v>2.7467317981884176E-2</v>
      </c>
      <c r="AE173" s="16">
        <v>2.7535139237415795E-2</v>
      </c>
      <c r="AF173" s="16">
        <v>2.7533562201870088E-2</v>
      </c>
      <c r="AG173" s="16">
        <v>2.7460829517918839E-2</v>
      </c>
      <c r="AH173" s="16">
        <v>2.7315055325347837E-2</v>
      </c>
      <c r="AI173" s="16">
        <v>2.7094210523874618E-2</v>
      </c>
      <c r="AJ173" s="16">
        <v>2.6796104381140551E-2</v>
      </c>
      <c r="AK173" s="16">
        <v>2.6418361605390683E-2</v>
      </c>
      <c r="AL173" s="16">
        <v>2.5958393671200786E-2</v>
      </c>
      <c r="AM173" s="16">
        <v>2.5413362717230714E-2</v>
      </c>
      <c r="AN173" s="16">
        <v>2.4780135653083013E-2</v>
      </c>
      <c r="AO173" s="16">
        <v>2.4055225096462629E-2</v>
      </c>
      <c r="AP173" s="16">
        <v>2.3234712207529151E-2</v>
      </c>
      <c r="AQ173" s="16">
        <v>2.2314144038609429E-2</v>
      </c>
      <c r="AR173" s="16">
        <v>2.1288394029984392E-2</v>
      </c>
      <c r="AS173" s="16">
        <v>2.0151467538763734E-2</v>
      </c>
      <c r="AT173" s="16">
        <v>1.8896222366951321E-2</v>
      </c>
      <c r="AU173" s="16">
        <v>1.7513952045683956E-2</v>
      </c>
      <c r="AV173" s="16">
        <v>1.5993735537890075E-2</v>
      </c>
      <c r="AW173" s="16">
        <v>1.4321362276134564E-2</v>
      </c>
      <c r="AX173" s="16">
        <v>1.2477416161958743E-2</v>
      </c>
      <c r="AY173" s="16">
        <v>1.0433488369485988E-2</v>
      </c>
      <c r="AZ173" s="16">
        <v>8.1434542949208044E-3</v>
      </c>
      <c r="BA173" s="16">
        <v>5.5174366556435261E-3</v>
      </c>
      <c r="BB173" s="16">
        <v>2.2659907837901949E-3</v>
      </c>
      <c r="BC173" s="16"/>
      <c r="BD173" s="16"/>
      <c r="BE173" s="16"/>
      <c r="BF173" s="16"/>
      <c r="BG173" s="16"/>
      <c r="BH173" s="16"/>
      <c r="BI173" s="16"/>
      <c r="BJ173" s="16"/>
    </row>
    <row r="174" spans="1:62" ht="12" customHeight="1">
      <c r="A174" s="14" t="s">
        <v>719</v>
      </c>
      <c r="B174" s="31">
        <v>173</v>
      </c>
      <c r="C174" s="16">
        <v>1.5456101441631009E-3</v>
      </c>
      <c r="D174" s="16">
        <v>3.7511935170947419E-3</v>
      </c>
      <c r="E174" s="16">
        <v>5.5821914284247542E-3</v>
      </c>
      <c r="F174" s="16">
        <v>7.2361908157017041E-3</v>
      </c>
      <c r="G174" s="16">
        <v>8.7693627562797083E-3</v>
      </c>
      <c r="H174" s="16">
        <v>1.0208266805841526E-2</v>
      </c>
      <c r="I174" s="16">
        <v>1.1567860161369126E-2</v>
      </c>
      <c r="J174" s="16">
        <v>1.2857388078222898E-2</v>
      </c>
      <c r="K174" s="16">
        <v>1.4082885783020638E-2</v>
      </c>
      <c r="L174" s="16">
        <v>1.5248417555910887E-2</v>
      </c>
      <c r="M174" s="16">
        <v>1.6356757266735023E-2</v>
      </c>
      <c r="N174" s="16">
        <v>1.7409791232475103E-2</v>
      </c>
      <c r="O174" s="16">
        <v>1.8408770643099204E-2</v>
      </c>
      <c r="P174" s="16">
        <v>1.9354476906700557E-2</v>
      </c>
      <c r="Q174" s="16">
        <v>2.0247333842492776E-2</v>
      </c>
      <c r="R174" s="16">
        <v>2.1087485984357612E-2</v>
      </c>
      <c r="S174" s="16">
        <v>2.1874854465453897E-2</v>
      </c>
      <c r="T174" s="16">
        <v>2.2609177590128149E-2</v>
      </c>
      <c r="U174" s="16">
        <v>2.3290040643878851E-2</v>
      </c>
      <c r="V174" s="16">
        <v>2.3916897937329096E-2</v>
      </c>
      <c r="W174" s="16">
        <v>2.4489089101822459E-2</v>
      </c>
      <c r="X174" s="16">
        <v>2.5005851019576752E-2</v>
      </c>
      <c r="Y174" s="16">
        <v>2.5466326347610035E-2</v>
      </c>
      <c r="Z174" s="16">
        <v>2.5869569303595852E-2</v>
      </c>
      <c r="AA174" s="16">
        <v>2.621454917566457E-2</v>
      </c>
      <c r="AB174" s="16">
        <v>2.650015186690946E-2</v>
      </c>
      <c r="AC174" s="16">
        <v>2.6725179669413346E-2</v>
      </c>
      <c r="AD174" s="16">
        <v>2.6888349368680453E-2</v>
      </c>
      <c r="AE174" s="16">
        <v>2.698828869774772E-2</v>
      </c>
      <c r="AF174" s="16">
        <v>2.7023531083468333E-2</v>
      </c>
      <c r="AG174" s="16">
        <v>2.6992508548757899E-2</v>
      </c>
      <c r="AH174" s="16">
        <v>2.6893542547221649E-2</v>
      </c>
      <c r="AI174" s="16">
        <v>2.6724832402833298E-2</v>
      </c>
      <c r="AJ174" s="16">
        <v>2.648444089729507E-2</v>
      </c>
      <c r="AK174" s="16">
        <v>2.6170276377878832E-2</v>
      </c>
      <c r="AL174" s="16">
        <v>2.5780070529392352E-2</v>
      </c>
      <c r="AM174" s="16">
        <v>2.5311350636236241E-2</v>
      </c>
      <c r="AN174" s="16">
        <v>2.476140470916055E-2</v>
      </c>
      <c r="AO174" s="16">
        <v>2.4127237194655815E-2</v>
      </c>
      <c r="AP174" s="16">
        <v>2.3405512005867934E-2</v>
      </c>
      <c r="AQ174" s="16">
        <v>2.2592478115223025E-2</v>
      </c>
      <c r="AR174" s="16">
        <v>2.1683870587135612E-2</v>
      </c>
      <c r="AS174" s="16">
        <v>2.0674776082403423E-2</v>
      </c>
      <c r="AT174" s="16">
        <v>1.9559445359142558E-2</v>
      </c>
      <c r="AU174" s="16">
        <v>1.833102379145779E-2</v>
      </c>
      <c r="AV174" s="16">
        <v>1.6981149492741765E-2</v>
      </c>
      <c r="AW174" s="16">
        <v>1.5499326069064345E-2</v>
      </c>
      <c r="AX174" s="16">
        <v>1.387188556664809E-2</v>
      </c>
      <c r="AY174" s="16">
        <v>1.2080139670224366E-2</v>
      </c>
      <c r="AZ174" s="16">
        <v>1.009672455852928E-2</v>
      </c>
      <c r="BA174" s="16">
        <v>7.8771801207970782E-3</v>
      </c>
      <c r="BB174" s="16">
        <v>5.3348091506790762E-3</v>
      </c>
      <c r="BC174" s="16">
        <v>2.1901763934856211E-3</v>
      </c>
      <c r="BD174" s="16"/>
      <c r="BE174" s="16"/>
      <c r="BF174" s="16"/>
      <c r="BG174" s="16"/>
      <c r="BH174" s="16"/>
      <c r="BI174" s="16"/>
      <c r="BJ174" s="16"/>
    </row>
    <row r="175" spans="1:62" ht="12" customHeight="1">
      <c r="A175" s="14" t="s">
        <v>720</v>
      </c>
      <c r="B175" s="31">
        <v>174</v>
      </c>
      <c r="C175" s="16">
        <v>1.4950991793356572E-3</v>
      </c>
      <c r="D175" s="16">
        <v>3.6287436026714026E-3</v>
      </c>
      <c r="E175" s="16">
        <v>5.4003419007587761E-3</v>
      </c>
      <c r="F175" s="16">
        <v>7.0011229613089476E-3</v>
      </c>
      <c r="G175" s="16">
        <v>8.4855053244582423E-3</v>
      </c>
      <c r="H175" s="16">
        <v>9.8792544874721777E-3</v>
      </c>
      <c r="I175" s="16">
        <v>1.1196906734422307E-2</v>
      </c>
      <c r="J175" s="16">
        <v>1.2447468886452318E-2</v>
      </c>
      <c r="K175" s="16">
        <v>1.3636839636274711E-2</v>
      </c>
      <c r="L175" s="16">
        <v>1.4769008971265096E-2</v>
      </c>
      <c r="M175" s="16">
        <v>1.584671709728902E-2</v>
      </c>
      <c r="N175" s="16">
        <v>1.6871844629590793E-2</v>
      </c>
      <c r="O175" s="16">
        <v>1.784565718521014E-2</v>
      </c>
      <c r="P175" s="16">
        <v>1.8768965686540073E-2</v>
      </c>
      <c r="Q175" s="16">
        <v>1.9642235215426074E-2</v>
      </c>
      <c r="R175" s="16">
        <v>2.0465661065138252E-2</v>
      </c>
      <c r="S175" s="16">
        <v>2.1239223096751081E-2</v>
      </c>
      <c r="T175" s="16">
        <v>2.1962725282906881E-2</v>
      </c>
      <c r="U175" s="16">
        <v>2.2635824848940667E-2</v>
      </c>
      <c r="V175" s="16">
        <v>2.3258053916956012E-2</v>
      </c>
      <c r="W175" s="16">
        <v>2.3828835612166421E-2</v>
      </c>
      <c r="X175" s="16">
        <v>2.434749597739394E-2</v>
      </c>
      <c r="Y175" s="16">
        <v>2.4813272632711603E-2</v>
      </c>
      <c r="Z175" s="16">
        <v>2.5225320837080178E-2</v>
      </c>
      <c r="AA175" s="16">
        <v>2.558271741139162E-2</v>
      </c>
      <c r="AB175" s="16">
        <v>2.5884462838675515E-2</v>
      </c>
      <c r="AC175" s="16">
        <v>2.6129481748574324E-2</v>
      </c>
      <c r="AD175" s="16">
        <v>2.6316621906990134E-2</v>
      </c>
      <c r="AE175" s="16">
        <v>2.6444651759070514E-2</v>
      </c>
      <c r="AF175" s="16">
        <v>2.6512256507689069E-2</v>
      </c>
      <c r="AG175" s="16">
        <v>2.6518032644634926E-2</v>
      </c>
      <c r="AH175" s="16">
        <v>2.6460480782422247E-2</v>
      </c>
      <c r="AI175" s="16">
        <v>2.6337996555274912E-2</v>
      </c>
      <c r="AJ175" s="16">
        <v>2.6148859261364121E-2</v>
      </c>
      <c r="AK175" s="16">
        <v>2.5891217795684152E-2</v>
      </c>
      <c r="AL175" s="16">
        <v>2.5563073261163138E-2</v>
      </c>
      <c r="AM175" s="16">
        <v>2.5162257426102785E-2</v>
      </c>
      <c r="AN175" s="16">
        <v>2.4686405890728791E-2</v>
      </c>
      <c r="AO175" s="16">
        <v>2.4132924391018662E-2</v>
      </c>
      <c r="AP175" s="16">
        <v>2.349894603496927E-2</v>
      </c>
      <c r="AQ175" s="16">
        <v>2.2781276322071609E-2</v>
      </c>
      <c r="AR175" s="16">
        <v>2.1976321350572814E-2</v>
      </c>
      <c r="AS175" s="16">
        <v>2.1079992337387887E-2</v>
      </c>
      <c r="AT175" s="16">
        <v>2.0087575861864826E-2</v>
      </c>
      <c r="AU175" s="16">
        <v>1.8993552962030313E-2</v>
      </c>
      <c r="AV175" s="16">
        <v>1.779133910327646E-2</v>
      </c>
      <c r="AW175" s="16">
        <v>1.6472896338702081E-2</v>
      </c>
      <c r="AX175" s="16">
        <v>1.5028127870872932E-2</v>
      </c>
      <c r="AY175" s="16">
        <v>1.3443876873674654E-2</v>
      </c>
      <c r="AZ175" s="16">
        <v>1.1702141298756019E-2</v>
      </c>
      <c r="BA175" s="16">
        <v>9.7765437632937324E-3</v>
      </c>
      <c r="BB175" s="16">
        <v>7.6241970577339835E-3</v>
      </c>
      <c r="BC175" s="16">
        <v>5.161412376197605E-3</v>
      </c>
      <c r="BD175" s="16">
        <v>2.1182354992901331E-3</v>
      </c>
      <c r="BE175" s="16"/>
      <c r="BF175" s="16"/>
      <c r="BG175" s="16"/>
      <c r="BH175" s="16"/>
      <c r="BI175" s="16"/>
      <c r="BJ175" s="16"/>
    </row>
    <row r="176" spans="1:62" ht="12" customHeight="1">
      <c r="A176" s="14" t="s">
        <v>721</v>
      </c>
      <c r="B176" s="31">
        <v>175</v>
      </c>
      <c r="C176" s="16">
        <v>1.4471204350523514E-3</v>
      </c>
      <c r="D176" s="16">
        <v>3.5124235836019313E-3</v>
      </c>
      <c r="E176" s="16">
        <v>5.2275726619267493E-3</v>
      </c>
      <c r="F176" s="16">
        <v>6.7777510159738874E-3</v>
      </c>
      <c r="G176" s="16">
        <v>8.2157072551559684E-3</v>
      </c>
      <c r="H176" s="16">
        <v>9.5664479300894278E-3</v>
      </c>
      <c r="I176" s="16">
        <v>1.0844105168775209E-2</v>
      </c>
      <c r="J176" s="16">
        <v>1.2057455200483846E-2</v>
      </c>
      <c r="K176" s="16">
        <v>1.3212263073659747E-2</v>
      </c>
      <c r="L176" s="16">
        <v>1.4312444351794129E-2</v>
      </c>
      <c r="M176" s="16">
        <v>1.5360703464564529E-2</v>
      </c>
      <c r="N176" s="16">
        <v>1.6358911830769096E-2</v>
      </c>
      <c r="O176" s="16">
        <v>1.7308344978051782E-2</v>
      </c>
      <c r="P176" s="16">
        <v>1.8209838028110381E-2</v>
      </c>
      <c r="Q176" s="16">
        <v>1.906389135081088E-2</v>
      </c>
      <c r="R176" s="16">
        <v>1.9870744448928224E-2</v>
      </c>
      <c r="S176" s="16">
        <v>2.0630428833359082E-2</v>
      </c>
      <c r="T176" s="16">
        <v>2.134280655883436E-2</v>
      </c>
      <c r="U176" s="16">
        <v>2.2007598695486408E-2</v>
      </c>
      <c r="V176" s="16">
        <v>2.2624406555057597E-2</v>
      </c>
      <c r="W176" s="16">
        <v>2.3192727574576355E-2</v>
      </c>
      <c r="X176" s="16">
        <v>2.3711967166929138E-2</v>
      </c>
      <c r="Y176" s="16">
        <v>2.4181447452627958E-2</v>
      </c>
      <c r="Z176" s="16">
        <v>2.4600413516963848E-2</v>
      </c>
      <c r="AA176" s="16">
        <v>2.4968037647097208E-2</v>
      </c>
      <c r="AB176" s="16">
        <v>2.5283421866531097E-2</v>
      </c>
      <c r="AC176" s="16">
        <v>2.5545598981868811E-2</v>
      </c>
      <c r="AD176" s="16">
        <v>2.5753532276723501E-2</v>
      </c>
      <c r="AE176" s="16">
        <v>2.5906113921781104E-2</v>
      </c>
      <c r="AF176" s="16">
        <v>2.600216211211781E-2</v>
      </c>
      <c r="AG176" s="16">
        <v>2.6040416888016837E-2</v>
      </c>
      <c r="AH176" s="16">
        <v>2.6019534539243772E-2</v>
      </c>
      <c r="AI176" s="16">
        <v>2.5938080430638277E-2</v>
      </c>
      <c r="AJ176" s="16">
        <v>2.5794520013757816E-2</v>
      </c>
      <c r="AK176" s="16">
        <v>2.5587207698871461E-2</v>
      </c>
      <c r="AL176" s="16">
        <v>2.5314373145141733E-2</v>
      </c>
      <c r="AM176" s="16">
        <v>2.497410437219405E-2</v>
      </c>
      <c r="AN176" s="16">
        <v>2.4564326885529897E-2</v>
      </c>
      <c r="AO176" s="16">
        <v>2.4082777714346748E-2</v>
      </c>
      <c r="AP176" s="16">
        <v>2.3526972841368399E-2</v>
      </c>
      <c r="AQ176" s="16">
        <v>2.2894165893525886E-2</v>
      </c>
      <c r="AR176" s="16">
        <v>2.2181295050639149E-2</v>
      </c>
      <c r="AS176" s="16">
        <v>2.1384913732674593E-2</v>
      </c>
      <c r="AT176" s="16">
        <v>2.0501098424165476E-2</v>
      </c>
      <c r="AU176" s="16">
        <v>1.9525323406738626E-2</v>
      </c>
      <c r="AV176" s="16">
        <v>1.8452286100499093E-2</v>
      </c>
      <c r="AW176" s="16">
        <v>1.727565598063141E-2</v>
      </c>
      <c r="AX176" s="16">
        <v>1.5987700030066887E-2</v>
      </c>
      <c r="AY176" s="16">
        <v>1.4578697956032172E-2</v>
      </c>
      <c r="AZ176" s="16">
        <v>1.3035974996144395E-2</v>
      </c>
      <c r="BA176" s="16">
        <v>1.1342176997147901E-2</v>
      </c>
      <c r="BB176" s="16">
        <v>9.4718588118153368E-3</v>
      </c>
      <c r="BC176" s="16">
        <v>7.3836212462252693E-3</v>
      </c>
      <c r="BD176" s="16">
        <v>4.9966245593869862E-3</v>
      </c>
      <c r="BE176" s="16">
        <v>2.0499043474954126E-3</v>
      </c>
      <c r="BF176" s="16"/>
      <c r="BG176" s="16"/>
      <c r="BH176" s="16"/>
      <c r="BI176" s="16"/>
      <c r="BJ176" s="16"/>
    </row>
    <row r="177" spans="1:62" ht="12" customHeight="1">
      <c r="A177" s="14" t="s">
        <v>722</v>
      </c>
      <c r="B177" s="31">
        <v>176</v>
      </c>
      <c r="C177" s="16">
        <v>1.4015043487878298E-3</v>
      </c>
      <c r="D177" s="16">
        <v>3.4018236819119974E-3</v>
      </c>
      <c r="E177" s="16">
        <v>5.0632785338672326E-3</v>
      </c>
      <c r="F177" s="16">
        <v>6.5652987846305244E-3</v>
      </c>
      <c r="G177" s="16">
        <v>7.9590406060743302E-3</v>
      </c>
      <c r="H177" s="16">
        <v>9.268784739205338E-3</v>
      </c>
      <c r="I177" s="16">
        <v>1.0508275141815404E-2</v>
      </c>
      <c r="J177" s="16">
        <v>1.1686065103919341E-2</v>
      </c>
      <c r="K177" s="16">
        <v>1.2807789052097673E-2</v>
      </c>
      <c r="L177" s="16">
        <v>1.3877288325623516E-2</v>
      </c>
      <c r="M177" s="16">
        <v>1.4897229928928835E-2</v>
      </c>
      <c r="N177" s="16">
        <v>1.5869473148592217E-2</v>
      </c>
      <c r="O177" s="16">
        <v>1.6795299540201647E-2</v>
      </c>
      <c r="P177" s="16">
        <v>1.7675563806684447E-2</v>
      </c>
      <c r="Q177" s="16">
        <v>1.8510796385322936E-2</v>
      </c>
      <c r="R177" s="16">
        <v>1.9301275247429417E-2</v>
      </c>
      <c r="S177" s="16">
        <v>2.0047077340110131E-2</v>
      </c>
      <c r="T177" s="16">
        <v>2.0748116136933614E-2</v>
      </c>
      <c r="U177" s="16">
        <v>2.1404169444119825E-2</v>
      </c>
      <c r="V177" s="16">
        <v>2.2014900197725229E-2</v>
      </c>
      <c r="W177" s="16">
        <v>2.2579872100072729E-2</v>
      </c>
      <c r="X177" s="16">
        <v>2.3098561369156445E-2</v>
      </c>
      <c r="Y177" s="16">
        <v>2.3570365492542877E-2</v>
      </c>
      <c r="Z177" s="16">
        <v>2.3994609616450835E-2</v>
      </c>
      <c r="AA177" s="16">
        <v>2.4370551018094266E-2</v>
      </c>
      <c r="AB177" s="16">
        <v>2.469738197805782E-2</v>
      </c>
      <c r="AC177" s="16">
        <v>2.4974231272088865E-2</v>
      </c>
      <c r="AD177" s="16">
        <v>2.5200164426716909E-2</v>
      </c>
      <c r="AE177" s="16">
        <v>2.5374182822659241E-2</v>
      </c>
      <c r="AF177" s="16">
        <v>2.5495221678266011E-2</v>
      </c>
      <c r="AG177" s="16">
        <v>2.5562146897941562E-2</v>
      </c>
      <c r="AH177" s="16">
        <v>2.557375072371193E-2</v>
      </c>
      <c r="AI177" s="16">
        <v>2.5528746078382292E-2</v>
      </c>
      <c r="AJ177" s="16">
        <v>2.542575943212777E-2</v>
      </c>
      <c r="AK177" s="16">
        <v>2.5263321956351059E-2</v>
      </c>
      <c r="AL177" s="16">
        <v>2.5039858643193136E-2</v>
      </c>
      <c r="AM177" s="16">
        <v>2.4753674958115868E-2</v>
      </c>
      <c r="AN177" s="16">
        <v>2.4402940444711363E-2</v>
      </c>
      <c r="AO177" s="16">
        <v>2.3985668498190282E-2</v>
      </c>
      <c r="AP177" s="16">
        <v>2.3499691240745912E-2</v>
      </c>
      <c r="AQ177" s="16">
        <v>2.2942628027681988E-2</v>
      </c>
      <c r="AR177" s="16">
        <v>2.2311845523413476E-2</v>
      </c>
      <c r="AS177" s="16">
        <v>2.1604406405654086E-2</v>
      </c>
      <c r="AT177" s="16">
        <v>2.0817002406508744E-2</v>
      </c>
      <c r="AU177" s="16">
        <v>1.9945865270833751E-2</v>
      </c>
      <c r="AV177" s="16">
        <v>1.8986645744053843E-2</v>
      </c>
      <c r="AW177" s="16">
        <v>1.7934244832841451E-2</v>
      </c>
      <c r="AX177" s="16">
        <v>1.6782571202679564E-2</v>
      </c>
      <c r="AY177" s="16">
        <v>1.5524179230428481E-2</v>
      </c>
      <c r="AZ177" s="16">
        <v>1.4149703803030711E-2</v>
      </c>
      <c r="BA177" s="16">
        <v>1.2646925350046634E-2</v>
      </c>
      <c r="BB177" s="16">
        <v>1.0999102091589941E-2</v>
      </c>
      <c r="BC177" s="16">
        <v>9.1816708742228359E-3</v>
      </c>
      <c r="BD177" s="16">
        <v>7.1546417320728084E-3</v>
      </c>
      <c r="BE177" s="16">
        <v>4.8398758940828568E-3</v>
      </c>
      <c r="BF177" s="16">
        <v>1.9849414693001721E-3</v>
      </c>
      <c r="BG177" s="16"/>
      <c r="BH177" s="16"/>
      <c r="BI177" s="16"/>
      <c r="BJ177" s="16"/>
    </row>
    <row r="178" spans="1:62" ht="12" customHeight="1">
      <c r="A178" s="14" t="s">
        <v>723</v>
      </c>
      <c r="B178" s="31">
        <v>177</v>
      </c>
      <c r="C178" s="16">
        <v>1.3580954661005507E-3</v>
      </c>
      <c r="D178" s="16">
        <v>3.2965681488961174E-3</v>
      </c>
      <c r="E178" s="16">
        <v>4.9069044209584245E-3</v>
      </c>
      <c r="F178" s="16">
        <v>6.3630539928990482E-3</v>
      </c>
      <c r="G178" s="16">
        <v>7.7146533644021353E-3</v>
      </c>
      <c r="H178" s="16">
        <v>8.9852887572446916E-3</v>
      </c>
      <c r="I178" s="16">
        <v>1.0188331203929923E-2</v>
      </c>
      <c r="J178" s="16">
        <v>1.1332118500966049E-2</v>
      </c>
      <c r="K178" s="16">
        <v>1.2422157564773384E-2</v>
      </c>
      <c r="L178" s="16">
        <v>1.3462215980899805E-2</v>
      </c>
      <c r="M178" s="16">
        <v>1.4454922071203358E-2</v>
      </c>
      <c r="N178" s="16">
        <v>1.5402120532933772E-2</v>
      </c>
      <c r="O178" s="16">
        <v>1.6305095612989096E-2</v>
      </c>
      <c r="P178" s="16">
        <v>1.7164717579632116E-2</v>
      </c>
      <c r="Q178" s="16">
        <v>1.7981542369300496E-2</v>
      </c>
      <c r="R178" s="16">
        <v>1.875588138088069E-2</v>
      </c>
      <c r="S178" s="16">
        <v>1.9487851531753919E-2</v>
      </c>
      <c r="T178" s="16">
        <v>2.0177411848405158E-2</v>
      </c>
      <c r="U178" s="16">
        <v>2.0824390615103217E-2</v>
      </c>
      <c r="V178" s="16">
        <v>2.1428505736196257E-2</v>
      </c>
      <c r="W178" s="16">
        <v>2.1989380107626078E-2</v>
      </c>
      <c r="X178" s="16">
        <v>2.2506553236624427E-2</v>
      </c>
      <c r="Y178" s="16">
        <v>2.2979489978474543E-2</v>
      </c>
      <c r="Z178" s="16">
        <v>2.3407587007021835E-2</v>
      </c>
      <c r="AA178" s="16">
        <v>2.3790177459457662E-2</v>
      </c>
      <c r="AB178" s="16">
        <v>2.4126534069745298E-2</v>
      </c>
      <c r="AC178" s="16">
        <v>2.4415871012141266E-2</v>
      </c>
      <c r="AD178" s="16">
        <v>2.4657344605496956E-2</v>
      </c>
      <c r="AE178" s="16">
        <v>2.485005297292886E-2</v>
      </c>
      <c r="AF178" s="16">
        <v>2.4993034704572037E-2</v>
      </c>
      <c r="AG178" s="16">
        <v>2.5085266529527361E-2</v>
      </c>
      <c r="AH178" s="16">
        <v>2.5125659963408098E-2</v>
      </c>
      <c r="AI178" s="16">
        <v>2.5113056857198446E-2</v>
      </c>
      <c r="AJ178" s="16">
        <v>2.50462237283684E-2</v>
      </c>
      <c r="AK178" s="16">
        <v>2.4923844703018894E-2</v>
      </c>
      <c r="AL178" s="16">
        <v>2.4744512833963839E-2</v>
      </c>
      <c r="AM178" s="16">
        <v>2.4506719478552874E-2</v>
      </c>
      <c r="AN178" s="16">
        <v>2.4208841313860363E-2</v>
      </c>
      <c r="AO178" s="16">
        <v>2.3849124424443868E-2</v>
      </c>
      <c r="AP178" s="16">
        <v>2.3425664702573457E-2</v>
      </c>
      <c r="AQ178" s="16">
        <v>2.2936383527518478E-2</v>
      </c>
      <c r="AR178" s="16">
        <v>2.237899729995918E-2</v>
      </c>
      <c r="AS178" s="16">
        <v>2.1750978837633661E-2</v>
      </c>
      <c r="AT178" s="16">
        <v>2.1049507786763844E-2</v>
      </c>
      <c r="AU178" s="16">
        <v>2.0271405898766082E-2</v>
      </c>
      <c r="AV178" s="16">
        <v>1.9413050963206446E-2</v>
      </c>
      <c r="AW178" s="16">
        <v>1.847025983320294E-2</v>
      </c>
      <c r="AX178" s="16">
        <v>1.7438125301841079E-2</v>
      </c>
      <c r="AY178" s="16">
        <v>1.6310781545906372E-2</v>
      </c>
      <c r="AZ178" s="16">
        <v>1.5081054133686878E-2</v>
      </c>
      <c r="BA178" s="16">
        <v>1.3739913407156523E-2</v>
      </c>
      <c r="BB178" s="16">
        <v>1.2275570104026357E-2</v>
      </c>
      <c r="BC178" s="16">
        <v>1.067186188437963E-2</v>
      </c>
      <c r="BD178" s="16">
        <v>8.9050609494301103E-3</v>
      </c>
      <c r="BE178" s="16">
        <v>6.9365133289068792E-3</v>
      </c>
      <c r="BF178" s="16">
        <v>4.690643383988502E-3</v>
      </c>
      <c r="BG178" s="16">
        <v>1.9231254451542723E-3</v>
      </c>
      <c r="BH178" s="16"/>
      <c r="BI178" s="16"/>
      <c r="BJ178" s="16"/>
    </row>
    <row r="179" spans="1:62" ht="12" customHeight="1">
      <c r="A179" s="14" t="s">
        <v>724</v>
      </c>
      <c r="B179" s="31">
        <v>178</v>
      </c>
      <c r="C179" s="16">
        <v>1.3167510455512899E-3</v>
      </c>
      <c r="D179" s="16">
        <v>3.1963119073052937E-3</v>
      </c>
      <c r="E179" s="16">
        <v>4.7579403872418657E-3</v>
      </c>
      <c r="F179" s="16">
        <v>6.1703620388349201E-3</v>
      </c>
      <c r="G179" s="16">
        <v>7.4817620788951711E-3</v>
      </c>
      <c r="H179" s="16">
        <v>8.7150617731418523E-3</v>
      </c>
      <c r="I179" s="16">
        <v>9.8832737636972423E-3</v>
      </c>
      <c r="J179" s="16">
        <v>1.0994527580758029E-2</v>
      </c>
      <c r="K179" s="16">
        <v>1.2054205796174888E-2</v>
      </c>
      <c r="L179" s="16">
        <v>1.3066002932872522E-2</v>
      </c>
      <c r="M179" s="16">
        <v>1.4032507704096919E-2</v>
      </c>
      <c r="N179" s="16">
        <v>1.4955548171096678E-2</v>
      </c>
      <c r="O179" s="16">
        <v>1.5836408406706193E-2</v>
      </c>
      <c r="P179" s="16">
        <v>1.6675970750074542E-2</v>
      </c>
      <c r="Q179" s="16">
        <v>1.7474812634284964E-2</v>
      </c>
      <c r="R179" s="16">
        <v>1.8233274452181703E-2</v>
      </c>
      <c r="S179" s="16">
        <v>1.895150827395542E-2</v>
      </c>
      <c r="T179" s="16">
        <v>1.9629513503961693E-2</v>
      </c>
      <c r="U179" s="16">
        <v>2.0267163382500009E-2</v>
      </c>
      <c r="V179" s="16">
        <v>2.0864224911441576E-2</v>
      </c>
      <c r="W179" s="16">
        <v>2.1420373948604743E-2</v>
      </c>
      <c r="X179" s="16">
        <v>2.1935206676068519E-2</v>
      </c>
      <c r="Y179" s="16">
        <v>2.2408248289004673E-2</v>
      </c>
      <c r="Z179" s="16">
        <v>2.2838959507475387E-2</v>
      </c>
      <c r="AA179" s="16">
        <v>2.3226741343428392E-2</v>
      </c>
      <c r="AB179" s="16">
        <v>2.3570938433632005E-2</v>
      </c>
      <c r="AC179" s="16">
        <v>2.3870841160280043E-2</v>
      </c>
      <c r="AD179" s="16">
        <v>2.4125686713829753E-2</v>
      </c>
      <c r="AE179" s="16">
        <v>2.4334659200065945E-2</v>
      </c>
      <c r="AF179" s="16">
        <v>2.4496888850380705E-2</v>
      </c>
      <c r="AG179" s="16">
        <v>2.4611450357021503E-2</v>
      </c>
      <c r="AH179" s="16">
        <v>2.4677360320714659E-2</v>
      </c>
      <c r="AI179" s="16">
        <v>2.4693573764019927E-2</v>
      </c>
      <c r="AJ179" s="16">
        <v>2.4658979627634858E-2</v>
      </c>
      <c r="AK179" s="16">
        <v>2.4572395126038371E-2</v>
      </c>
      <c r="AL179" s="16">
        <v>2.4432558790198011E-2</v>
      </c>
      <c r="AM179" s="16">
        <v>2.4238121964778592E-2</v>
      </c>
      <c r="AN179" s="16">
        <v>2.3987638449878945E-2</v>
      </c>
      <c r="AO179" s="16">
        <v>2.3679551875518401E-2</v>
      </c>
      <c r="AP179" s="16">
        <v>2.3312180259963178E-2</v>
      </c>
      <c r="AQ179" s="16">
        <v>2.2883697014607574E-2</v>
      </c>
      <c r="AR179" s="16">
        <v>2.2392107394096028E-2</v>
      </c>
      <c r="AS179" s="16">
        <v>2.1835219012902418E-2</v>
      </c>
      <c r="AT179" s="16">
        <v>2.1210604498331453E-2</v>
      </c>
      <c r="AU179" s="16">
        <v>2.0515553526106123E-2</v>
      </c>
      <c r="AV179" s="16">
        <v>1.9747010221884409E-2</v>
      </c>
      <c r="AW179" s="16">
        <v>1.8901489919871506E-2</v>
      </c>
      <c r="AX179" s="16">
        <v>1.7974966022588301E-2</v>
      </c>
      <c r="AY179" s="16">
        <v>1.6962712209927955E-2</v>
      </c>
      <c r="AZ179" s="16">
        <v>1.5859075523700805E-2</v>
      </c>
      <c r="BA179" s="16">
        <v>1.4657137729739311E-2</v>
      </c>
      <c r="BB179" s="16">
        <v>1.3348186352528435E-2</v>
      </c>
      <c r="BC179" s="16">
        <v>1.1920839360442415E-2</v>
      </c>
      <c r="BD179" s="16">
        <v>1.0359483275137804E-2</v>
      </c>
      <c r="BE179" s="16">
        <v>8.6411822960468232E-3</v>
      </c>
      <c r="BF179" s="16">
        <v>6.7285502856317958E-3</v>
      </c>
      <c r="BG179" s="16">
        <v>4.5484462755753796E-3</v>
      </c>
      <c r="BH179" s="16">
        <v>1.8642529275720854E-3</v>
      </c>
      <c r="BI179" s="16"/>
      <c r="BJ179" s="16"/>
    </row>
    <row r="180" spans="1:62" ht="12" customHeight="1">
      <c r="A180" s="14" t="s">
        <v>725</v>
      </c>
      <c r="B180" s="31">
        <v>179</v>
      </c>
      <c r="C180" s="16">
        <v>1.2773398227146071E-3</v>
      </c>
      <c r="D180" s="16">
        <v>3.1007375755540689E-3</v>
      </c>
      <c r="E180" s="16">
        <v>4.6159172913443625E-3</v>
      </c>
      <c r="F180" s="16">
        <v>5.9866204481834329E-3</v>
      </c>
      <c r="G180" s="16">
        <v>7.2596453146873685E-3</v>
      </c>
      <c r="H180" s="16">
        <v>8.4572761477962333E-3</v>
      </c>
      <c r="I180" s="16">
        <v>9.5921810553550868E-3</v>
      </c>
      <c r="J180" s="16">
        <v>1.0672288302552402E-2</v>
      </c>
      <c r="K180" s="16">
        <v>1.1702859307371694E-2</v>
      </c>
      <c r="L180" s="16">
        <v>1.2687516399729426E-2</v>
      </c>
      <c r="M180" s="16">
        <v>1.3628808038277929E-2</v>
      </c>
      <c r="N180" s="16">
        <v>1.4528543953892248E-2</v>
      </c>
      <c r="O180" s="16">
        <v>1.5388005587384845E-2</v>
      </c>
      <c r="P180" s="16">
        <v>1.6208084306792103E-2</v>
      </c>
      <c r="Q180" s="16">
        <v>1.698937553110913E-2</v>
      </c>
      <c r="R180" s="16">
        <v>1.7732244741775705E-2</v>
      </c>
      <c r="S180" s="16">
        <v>1.8436874908256295E-2</v>
      </c>
      <c r="T180" s="16">
        <v>1.9103301238064141E-2</v>
      </c>
      <c r="U180" s="16">
        <v>1.9731437044256839E-2</v>
      </c>
      <c r="V180" s="16">
        <v>2.0321093235780463E-2</v>
      </c>
      <c r="W180" s="16">
        <v>2.0871993126751587E-2</v>
      </c>
      <c r="X180" s="16">
        <v>2.1383783737168316E-2</v>
      </c>
      <c r="Y180" s="16">
        <v>2.1856044409763631E-2</v>
      </c>
      <c r="Z180" s="16">
        <v>2.2288293331165332E-2</v>
      </c>
      <c r="AA180" s="16">
        <v>2.2679992380842839E-2</v>
      </c>
      <c r="AB180" s="16">
        <v>2.3030550614079104E-2</v>
      </c>
      <c r="AC180" s="16">
        <v>2.3339326599679522E-2</v>
      </c>
      <c r="AD180" s="16">
        <v>2.3605629769046899E-2</v>
      </c>
      <c r="AE180" s="16">
        <v>2.3828720883654286E-2</v>
      </c>
      <c r="AF180" s="16">
        <v>2.4007811688035563E-2</v>
      </c>
      <c r="AG180" s="16">
        <v>2.4142063781627865E-2</v>
      </c>
      <c r="AH180" s="16">
        <v>2.4230586712521984E-2</v>
      </c>
      <c r="AI180" s="16">
        <v>2.4272435267146508E-2</v>
      </c>
      <c r="AJ180" s="16">
        <v>2.4266605900098326E-2</v>
      </c>
      <c r="AK180" s="16">
        <v>2.4212032215747636E-2</v>
      </c>
      <c r="AL180" s="16">
        <v>2.4107579375500232E-2</v>
      </c>
      <c r="AM180" s="16">
        <v>2.3952037258919701E-2</v>
      </c>
      <c r="AN180" s="16">
        <v>2.3744112149594598E-2</v>
      </c>
      <c r="AO180" s="16">
        <v>2.3482416642581216E-2</v>
      </c>
      <c r="AP180" s="16">
        <v>2.3165457372341214E-2</v>
      </c>
      <c r="AQ180" s="16">
        <v>2.2791620027912241E-2</v>
      </c>
      <c r="AR180" s="16">
        <v>2.2359150940075567E-2</v>
      </c>
      <c r="AS180" s="16">
        <v>2.1866134270073445E-2</v>
      </c>
      <c r="AT180" s="16">
        <v>2.1310463464222384E-2</v>
      </c>
      <c r="AU180" s="16">
        <v>2.0689805105300829E-2</v>
      </c>
      <c r="AV180" s="16">
        <v>2.0001552494114505E-2</v>
      </c>
      <c r="AW180" s="16">
        <v>1.9242765071942669E-2</v>
      </c>
      <c r="AX180" s="16">
        <v>1.8410087865463054E-2</v>
      </c>
      <c r="AY180" s="16">
        <v>1.7499641991029935E-2</v>
      </c>
      <c r="AZ180" s="16">
        <v>1.6506871932053246E-2</v>
      </c>
      <c r="BA180" s="16">
        <v>1.5426325886004677E-2</v>
      </c>
      <c r="BB180" s="16">
        <v>1.4251327919956869E-2</v>
      </c>
      <c r="BC180" s="16">
        <v>1.2973465788626237E-2</v>
      </c>
      <c r="BD180" s="16">
        <v>1.1581743257807253E-2</v>
      </c>
      <c r="BE180" s="16">
        <v>1.0061067278909319E-2</v>
      </c>
      <c r="BF180" s="16">
        <v>8.3892536895645575E-3</v>
      </c>
      <c r="BG180" s="16">
        <v>6.5301206564668535E-3</v>
      </c>
      <c r="BH180" s="16">
        <v>4.4128420046213312E-3</v>
      </c>
      <c r="BI180" s="16">
        <v>1.8081368887102878E-3</v>
      </c>
      <c r="BJ180" s="16"/>
    </row>
    <row r="181" spans="1:62" ht="12" customHeight="1">
      <c r="A181" s="14" t="s">
        <v>726</v>
      </c>
      <c r="B181" s="31">
        <v>180</v>
      </c>
      <c r="C181" s="16">
        <v>1.2397409128083181E-3</v>
      </c>
      <c r="D181" s="16">
        <v>3.0095528249179937E-3</v>
      </c>
      <c r="E181" s="16">
        <v>4.4804029078331364E-3</v>
      </c>
      <c r="F181" s="16">
        <v>5.8112739438597183E-3</v>
      </c>
      <c r="G181" s="16">
        <v>7.0476378273944817E-3</v>
      </c>
      <c r="H181" s="16">
        <v>8.2111682416318166E-3</v>
      </c>
      <c r="I181" s="16">
        <v>9.3142019684940847E-3</v>
      </c>
      <c r="J181" s="16">
        <v>1.036447277968755E-2</v>
      </c>
      <c r="K181" s="16">
        <v>1.1367124131842599E-2</v>
      </c>
      <c r="L181" s="16">
        <v>1.2325707174684841E-2</v>
      </c>
      <c r="M181" s="16">
        <v>1.3242729702836353E-2</v>
      </c>
      <c r="N181" s="16">
        <v>1.4119981725086883E-2</v>
      </c>
      <c r="O181" s="16">
        <v>1.4958739945027277E-2</v>
      </c>
      <c r="P181" s="16">
        <v>1.5759902110918045E-2</v>
      </c>
      <c r="Q181" s="16">
        <v>1.6524078545317233E-2</v>
      </c>
      <c r="R181" s="16">
        <v>1.725165637344539E-2</v>
      </c>
      <c r="S181" s="16">
        <v>1.7942845702150989E-2</v>
      </c>
      <c r="T181" s="16">
        <v>1.8597713490458578E-2</v>
      </c>
      <c r="U181" s="16">
        <v>1.9216208796833723E-2</v>
      </c>
      <c r="V181" s="16">
        <v>1.9798181838042939E-2</v>
      </c>
      <c r="W181" s="16">
        <v>2.0343398508767319E-2</v>
      </c>
      <c r="X181" s="16">
        <v>2.085155150280904E-2</v>
      </c>
      <c r="Y181" s="16">
        <v>2.1322268839298442E-2</v>
      </c>
      <c r="Z181" s="16">
        <v>2.1755120367844327E-2</v>
      </c>
      <c r="AA181" s="16">
        <v>2.2149622667116509E-2</v>
      </c>
      <c r="AB181" s="16">
        <v>2.2505242637962497E-2</v>
      </c>
      <c r="AC181" s="16">
        <v>2.2821400009815695E-2</v>
      </c>
      <c r="AD181" s="16">
        <v>2.3097468917746999E-2</v>
      </c>
      <c r="AE181" s="16">
        <v>2.3332778660452691E-2</v>
      </c>
      <c r="AF181" s="16">
        <v>2.352661371207676E-2</v>
      </c>
      <c r="AG181" s="16">
        <v>2.3678213029753259E-2</v>
      </c>
      <c r="AH181" s="16">
        <v>2.3786768671623215E-2</v>
      </c>
      <c r="AI181" s="16">
        <v>2.3851423714857378E-2</v>
      </c>
      <c r="AJ181" s="16">
        <v>2.3871269438158538E-2</v>
      </c>
      <c r="AK181" s="16">
        <v>2.3845341706668188E-2</v>
      </c>
      <c r="AL181" s="16">
        <v>2.3772616467378493E-2</v>
      </c>
      <c r="AM181" s="16">
        <v>2.3652004227947887E-2</v>
      </c>
      <c r="AN181" s="16">
        <v>2.3482343348641521E-2</v>
      </c>
      <c r="AO181" s="16">
        <v>2.3262391922385328E-2</v>
      </c>
      <c r="AP181" s="16">
        <v>2.2990817946879405E-2</v>
      </c>
      <c r="AQ181" s="16">
        <v>2.2666187398385218E-2</v>
      </c>
      <c r="AR181" s="16">
        <v>2.2286949689171665E-2</v>
      </c>
      <c r="AS181" s="16">
        <v>2.1851419814724604E-2</v>
      </c>
      <c r="AT181" s="16">
        <v>2.1357756249821169E-2</v>
      </c>
      <c r="AU181" s="16">
        <v>2.0803933299096022E-2</v>
      </c>
      <c r="AV181" s="16">
        <v>2.0187706091045698E-2</v>
      </c>
      <c r="AW181" s="16">
        <v>1.9506565632007367E-2</v>
      </c>
      <c r="AX181" s="16">
        <v>1.8757680152109324E-2</v>
      </c>
      <c r="AY181" s="16">
        <v>1.7937817106049914E-2</v>
      </c>
      <c r="AZ181" s="16">
        <v>1.7043237144335976E-2</v>
      </c>
      <c r="BA181" s="16">
        <v>1.606954621192147E-2</v>
      </c>
      <c r="BB181" s="16">
        <v>1.5011482804133447E-2</v>
      </c>
      <c r="BC181" s="16">
        <v>1.3862600391547075E-2</v>
      </c>
      <c r="BD181" s="16">
        <v>1.2614771209297104E-2</v>
      </c>
      <c r="BE181" s="16">
        <v>1.1257364886731236E-2</v>
      </c>
      <c r="BF181" s="16">
        <v>9.7757823331848792E-3</v>
      </c>
      <c r="BG181" s="16">
        <v>8.1485534041987329E-3</v>
      </c>
      <c r="BH181" s="16">
        <v>6.3406412856760186E-3</v>
      </c>
      <c r="BI181" s="16">
        <v>4.283422591219388E-3</v>
      </c>
      <c r="BJ181" s="16">
        <v>1.7546050638882482E-3</v>
      </c>
    </row>
    <row r="182" spans="1:62" ht="12" customHeight="1">
      <c r="A182" s="14" t="s">
        <v>727</v>
      </c>
      <c r="B182" s="31">
        <v>181</v>
      </c>
      <c r="C182" s="15">
        <v>1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</row>
    <row r="183" spans="1:62" ht="12" customHeight="1">
      <c r="A183" s="14" t="s">
        <v>728</v>
      </c>
      <c r="B183" s="31">
        <v>182</v>
      </c>
      <c r="C183" s="16">
        <v>0.44409248613446606</v>
      </c>
      <c r="D183" s="16">
        <v>0.55590751386553394</v>
      </c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</row>
    <row r="184" spans="1:62" ht="12" customHeight="1">
      <c r="A184" s="14" t="s">
        <v>729</v>
      </c>
      <c r="B184" s="31">
        <v>183</v>
      </c>
      <c r="C184" s="16">
        <v>0.22449581793062234</v>
      </c>
      <c r="D184" s="16">
        <v>0.46008933621224024</v>
      </c>
      <c r="E184" s="16">
        <v>0.31541484585713742</v>
      </c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</row>
    <row r="185" spans="1:62" ht="12" customHeight="1">
      <c r="A185" s="14" t="s">
        <v>730</v>
      </c>
      <c r="B185" s="31">
        <v>184</v>
      </c>
      <c r="C185" s="16">
        <v>0.13510402006871935</v>
      </c>
      <c r="D185" s="16">
        <v>0.3089884660657467</v>
      </c>
      <c r="E185" s="16">
        <v>0.35334364054307688</v>
      </c>
      <c r="F185" s="16">
        <v>0.20256387332245707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</row>
    <row r="186" spans="1:62" ht="12" customHeight="1">
      <c r="A186" s="14" t="s">
        <v>731</v>
      </c>
      <c r="B186" s="31">
        <v>185</v>
      </c>
      <c r="C186" s="16">
        <v>9.0482326606965979E-2</v>
      </c>
      <c r="D186" s="16">
        <v>0.21663662256041494</v>
      </c>
      <c r="E186" s="16">
        <v>0.28168344134480061</v>
      </c>
      <c r="F186" s="16">
        <v>0.26965967214151909</v>
      </c>
      <c r="G186" s="16">
        <v>0.14153793734629938</v>
      </c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</row>
    <row r="187" spans="1:62" ht="12" customHeight="1">
      <c r="A187" s="14" t="s">
        <v>732</v>
      </c>
      <c r="B187" s="31">
        <v>186</v>
      </c>
      <c r="C187" s="16">
        <v>6.5024183022639348E-2</v>
      </c>
      <c r="D187" s="16">
        <v>0.159471634907983</v>
      </c>
      <c r="E187" s="16">
        <v>0.21959666820384371</v>
      </c>
      <c r="F187" s="16">
        <v>0.24049266800839653</v>
      </c>
      <c r="G187" s="16">
        <v>0.21057205555016179</v>
      </c>
      <c r="H187" s="16">
        <v>0.10484279030697563</v>
      </c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</row>
    <row r="188" spans="1:62" ht="12" customHeight="1">
      <c r="A188" s="14" t="s">
        <v>733</v>
      </c>
      <c r="B188" s="31">
        <v>187</v>
      </c>
      <c r="C188" s="16">
        <v>4.910839209763751E-2</v>
      </c>
      <c r="D188" s="16">
        <v>0.12217794809109372</v>
      </c>
      <c r="E188" s="16">
        <v>0.17364194867119664</v>
      </c>
      <c r="F188" s="16">
        <v>0.20230534096316988</v>
      </c>
      <c r="G188" s="16">
        <v>0.20319252032413138</v>
      </c>
      <c r="H188" s="16">
        <v>0.16855259819126189</v>
      </c>
      <c r="I188" s="16">
        <v>8.1021251661508975E-2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</row>
    <row r="189" spans="1:62" ht="12" customHeight="1">
      <c r="A189" s="14" t="s">
        <v>734</v>
      </c>
      <c r="B189" s="31">
        <v>188</v>
      </c>
      <c r="C189" s="16">
        <v>3.8478252242859168E-2</v>
      </c>
      <c r="D189" s="16">
        <v>9.6625767825860187E-2</v>
      </c>
      <c r="E189" s="16">
        <v>0.14003830110343851</v>
      </c>
      <c r="F189" s="16">
        <v>0.16895016496230819</v>
      </c>
      <c r="G189" s="16">
        <v>0.18093298288221715</v>
      </c>
      <c r="H189" s="16">
        <v>0.17241065766085972</v>
      </c>
      <c r="I189" s="16">
        <v>0.13791506181606117</v>
      </c>
      <c r="J189" s="16">
        <v>6.4648811506395898E-2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</row>
    <row r="190" spans="1:62" ht="12" customHeight="1">
      <c r="A190" s="14" t="s">
        <v>735</v>
      </c>
      <c r="B190" s="31">
        <v>189</v>
      </c>
      <c r="C190" s="16">
        <v>3.1015106329538078E-2</v>
      </c>
      <c r="D190" s="16">
        <v>7.838497730151972E-2</v>
      </c>
      <c r="E190" s="16">
        <v>0.11509573429956454</v>
      </c>
      <c r="F190" s="16">
        <v>0.14195271187094194</v>
      </c>
      <c r="G190" s="16">
        <v>0.15770112615874754</v>
      </c>
      <c r="H190" s="16">
        <v>0.16043549818255076</v>
      </c>
      <c r="I190" s="16">
        <v>0.14754472408164532</v>
      </c>
      <c r="J190" s="16">
        <v>0.11497953403505468</v>
      </c>
      <c r="K190" s="16">
        <v>5.2890587740437423E-2</v>
      </c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</row>
    <row r="191" spans="1:62" ht="12" customHeight="1">
      <c r="A191" s="14" t="s">
        <v>736</v>
      </c>
      <c r="B191" s="31">
        <v>190</v>
      </c>
      <c r="C191" s="16">
        <v>2.5567206393535491E-2</v>
      </c>
      <c r="D191" s="16">
        <v>6.4915120213430488E-2</v>
      </c>
      <c r="E191" s="16">
        <v>9.6199383126033045E-2</v>
      </c>
      <c r="F191" s="16">
        <v>0.12043723943438189</v>
      </c>
      <c r="G191" s="16">
        <v>0.13697353696708514</v>
      </c>
      <c r="H191" s="16">
        <v>0.14470990437771547</v>
      </c>
      <c r="I191" s="16">
        <v>0.14219679958937825</v>
      </c>
      <c r="J191" s="16">
        <v>0.12746287255214084</v>
      </c>
      <c r="K191" s="16">
        <v>9.739091518097176E-2</v>
      </c>
      <c r="L191" s="16">
        <v>4.4147022165327621E-2</v>
      </c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</row>
    <row r="192" spans="1:62" ht="12" customHeight="1">
      <c r="A192" s="14" t="s">
        <v>737</v>
      </c>
      <c r="B192" s="31">
        <v>191</v>
      </c>
      <c r="C192" s="16">
        <v>2.1464102808945174E-2</v>
      </c>
      <c r="D192" s="16">
        <v>5.4685072215563624E-2</v>
      </c>
      <c r="E192" s="16">
        <v>8.1589288495662826E-2</v>
      </c>
      <c r="F192" s="16">
        <v>0.10324657929315806</v>
      </c>
      <c r="G192" s="16">
        <v>0.11932936933290683</v>
      </c>
      <c r="H192" s="16">
        <v>0.12917411214169505</v>
      </c>
      <c r="I192" s="16">
        <v>0.13190561246972221</v>
      </c>
      <c r="J192" s="16">
        <v>0.12640284145115166</v>
      </c>
      <c r="K192" s="16">
        <v>0.11113044179699849</v>
      </c>
      <c r="L192" s="16">
        <v>8.3613546320756793E-2</v>
      </c>
      <c r="M192" s="16">
        <v>3.7459033673439279E-2</v>
      </c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</row>
    <row r="193" spans="1:62" ht="12" customHeight="1">
      <c r="A193" s="14" t="s">
        <v>738</v>
      </c>
      <c r="B193" s="31">
        <v>192</v>
      </c>
      <c r="C193" s="16">
        <v>1.8293622121552389E-2</v>
      </c>
      <c r="D193" s="16">
        <v>4.6730560901086959E-2</v>
      </c>
      <c r="E193" s="16">
        <v>7.0079837046080007E-2</v>
      </c>
      <c r="F193" s="16">
        <v>8.9391797861902988E-2</v>
      </c>
      <c r="G193" s="16">
        <v>0.10452598174665206</v>
      </c>
      <c r="H193" s="16">
        <v>0.11507068645719165</v>
      </c>
      <c r="I193" s="16">
        <v>0.12046850042851676</v>
      </c>
      <c r="J193" s="16">
        <v>0.12002416757987977</v>
      </c>
      <c r="K193" s="16">
        <v>0.11285097253468035</v>
      </c>
      <c r="L193" s="16">
        <v>9.7721083015481436E-2</v>
      </c>
      <c r="M193" s="16">
        <v>7.2620234010331353E-2</v>
      </c>
      <c r="N193" s="16">
        <v>3.2222556296644278E-2</v>
      </c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</row>
    <row r="194" spans="1:62" ht="12" customHeight="1">
      <c r="A194" s="14" t="s">
        <v>739</v>
      </c>
      <c r="B194" s="31">
        <v>193</v>
      </c>
      <c r="C194" s="16">
        <v>1.579082596888548E-2</v>
      </c>
      <c r="D194" s="16">
        <v>4.0420796233427536E-2</v>
      </c>
      <c r="E194" s="16">
        <v>6.0859743780179776E-2</v>
      </c>
      <c r="F194" s="16">
        <v>7.8106890080050895E-2</v>
      </c>
      <c r="G194" s="16">
        <v>9.2131727476080449E-2</v>
      </c>
      <c r="H194" s="16">
        <v>0.10267614914778378</v>
      </c>
      <c r="I194" s="16">
        <v>0.10937216283843898</v>
      </c>
      <c r="J194" s="16">
        <v>0.11176379990800123</v>
      </c>
      <c r="K194" s="16">
        <v>0.10929139368588714</v>
      </c>
      <c r="L194" s="16">
        <v>0.10123837863118479</v>
      </c>
      <c r="M194" s="16">
        <v>8.6600870471163938E-2</v>
      </c>
      <c r="N194" s="16">
        <v>6.3705908986725235E-2</v>
      </c>
      <c r="O194" s="16">
        <v>2.8041352792190777E-2</v>
      </c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</row>
    <row r="195" spans="1:62" ht="12" customHeight="1">
      <c r="A195" s="14" t="s">
        <v>740</v>
      </c>
      <c r="B195" s="31">
        <v>194</v>
      </c>
      <c r="C195" s="16">
        <v>1.3778986230683743E-2</v>
      </c>
      <c r="D195" s="16">
        <v>3.5329405866953767E-2</v>
      </c>
      <c r="E195" s="16">
        <v>5.3362829595418715E-2</v>
      </c>
      <c r="F195" s="16">
        <v>6.8815118495675009E-2</v>
      </c>
      <c r="G195" s="16">
        <v>8.1721311694947896E-2</v>
      </c>
      <c r="H195" s="16">
        <v>9.1920636976248749E-2</v>
      </c>
      <c r="I195" s="16">
        <v>9.9164197274538179E-2</v>
      </c>
      <c r="J195" s="16">
        <v>0.1031411436886317</v>
      </c>
      <c r="K195" s="16">
        <v>0.1034773943813394</v>
      </c>
      <c r="L195" s="16">
        <v>9.9715125942791971E-2</v>
      </c>
      <c r="M195" s="16">
        <v>9.1264188885582076E-2</v>
      </c>
      <c r="N195" s="16">
        <v>7.7288409305679817E-2</v>
      </c>
      <c r="O195" s="16">
        <v>5.637475060564201E-2</v>
      </c>
      <c r="P195" s="16">
        <v>2.4646501055866965E-2</v>
      </c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</row>
    <row r="196" spans="1:62" ht="12" customHeight="1">
      <c r="A196" s="14" t="s">
        <v>741</v>
      </c>
      <c r="B196" s="31">
        <v>195</v>
      </c>
      <c r="C196" s="16">
        <v>1.2136465868669011E-2</v>
      </c>
      <c r="D196" s="16">
        <v>3.1159906257863246E-2</v>
      </c>
      <c r="E196" s="16">
        <v>4.7185954480433723E-2</v>
      </c>
      <c r="F196" s="16">
        <v>6.108433625708487E-2</v>
      </c>
      <c r="G196" s="16">
        <v>7.2929155066571494E-2</v>
      </c>
      <c r="H196" s="16">
        <v>8.2623131236758574E-2</v>
      </c>
      <c r="I196" s="16">
        <v>8.9995319000662377E-2</v>
      </c>
      <c r="J196" s="16">
        <v>9.4827802303562692E-2</v>
      </c>
      <c r="K196" s="16">
        <v>9.6860320040575543E-2</v>
      </c>
      <c r="L196" s="16">
        <v>9.5782763630681056E-2</v>
      </c>
      <c r="M196" s="16">
        <v>9.1214745758049554E-2</v>
      </c>
      <c r="N196" s="16">
        <v>8.2662162752788482E-2</v>
      </c>
      <c r="O196" s="16">
        <v>6.9417508259376093E-2</v>
      </c>
      <c r="P196" s="16">
        <v>5.0270311230469655E-2</v>
      </c>
      <c r="Q196" s="16">
        <v>2.1850117856453632E-2</v>
      </c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</row>
    <row r="197" spans="1:62" ht="12" customHeight="1">
      <c r="A197" s="14" t="s">
        <v>742</v>
      </c>
      <c r="B197" s="31">
        <v>196</v>
      </c>
      <c r="C197" s="16">
        <v>1.0777270800660599E-2</v>
      </c>
      <c r="D197" s="16">
        <v>2.7700981442198569E-2</v>
      </c>
      <c r="E197" s="16">
        <v>4.2036517700376086E-2</v>
      </c>
      <c r="F197" s="16">
        <v>5.4589250125484101E-2</v>
      </c>
      <c r="G197" s="16">
        <v>6.5456121080912921E-2</v>
      </c>
      <c r="H197" s="16">
        <v>7.458218002252559E-2</v>
      </c>
      <c r="I197" s="16">
        <v>8.1849123815155855E-2</v>
      </c>
      <c r="J197" s="16">
        <v>8.7101041147152336E-2</v>
      </c>
      <c r="K197" s="16">
        <v>9.0151453340264864E-2</v>
      </c>
      <c r="L197" s="16">
        <v>9.0781529541952288E-2</v>
      </c>
      <c r="M197" s="16">
        <v>8.873108792724782E-2</v>
      </c>
      <c r="N197" s="16">
        <v>8.3679569733611903E-2</v>
      </c>
      <c r="O197" s="16">
        <v>7.5207348226959181E-2</v>
      </c>
      <c r="P197" s="16">
        <v>6.2707713589101988E-2</v>
      </c>
      <c r="Q197" s="16">
        <v>4.5131190867357396E-2</v>
      </c>
      <c r="R197" s="16">
        <v>1.9517620639038502E-2</v>
      </c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</row>
    <row r="198" spans="1:62" ht="12" customHeight="1">
      <c r="A198" s="14" t="s">
        <v>743</v>
      </c>
      <c r="B198" s="31">
        <v>197</v>
      </c>
      <c r="C198" s="16">
        <v>9.6391779323864446E-3</v>
      </c>
      <c r="D198" s="16">
        <v>2.4798721706397742E-2</v>
      </c>
      <c r="E198" s="16">
        <v>3.7698339740222186E-2</v>
      </c>
      <c r="F198" s="16">
        <v>4.9082901402341061E-2</v>
      </c>
      <c r="G198" s="16">
        <v>5.906204709808982E-2</v>
      </c>
      <c r="H198" s="16">
        <v>6.7609498819464098E-2</v>
      </c>
      <c r="I198" s="16">
        <v>7.4643398875630318E-2</v>
      </c>
      <c r="J198" s="16">
        <v>8.0050553540430447E-2</v>
      </c>
      <c r="K198" s="16">
        <v>8.3694346351235738E-2</v>
      </c>
      <c r="L198" s="16">
        <v>8.5415617229417706E-2</v>
      </c>
      <c r="M198" s="16">
        <v>8.502884251560161E-2</v>
      </c>
      <c r="N198" s="16">
        <v>8.2313143587225079E-2</v>
      </c>
      <c r="O198" s="16">
        <v>7.6994944636904039E-2</v>
      </c>
      <c r="P198" s="16">
        <v>6.8713434571026522E-2</v>
      </c>
      <c r="Q198" s="16">
        <v>5.6942309516795686E-2</v>
      </c>
      <c r="R198" s="16">
        <v>4.076223171522908E-2</v>
      </c>
      <c r="S198" s="16">
        <v>1.7550490761602422E-2</v>
      </c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</row>
    <row r="199" spans="1:62" ht="12" customHeight="1">
      <c r="A199" s="14" t="s">
        <v>744</v>
      </c>
      <c r="B199" s="31">
        <v>198</v>
      </c>
      <c r="C199" s="16">
        <v>8.6762412526930621E-3</v>
      </c>
      <c r="D199" s="16">
        <v>2.2338865076845016E-2</v>
      </c>
      <c r="E199" s="16">
        <v>3.400907669310127E-2</v>
      </c>
      <c r="F199" s="16">
        <v>4.437590060841845E-2</v>
      </c>
      <c r="G199" s="16">
        <v>5.3555251716556396E-2</v>
      </c>
      <c r="H199" s="16">
        <v>6.1540482583008149E-2</v>
      </c>
      <c r="I199" s="16">
        <v>6.8275476141308578E-2</v>
      </c>
      <c r="J199" s="16">
        <v>7.3677235729633361E-2</v>
      </c>
      <c r="K199" s="16">
        <v>7.7643956332901776E-2</v>
      </c>
      <c r="L199" s="16">
        <v>8.0057169825845764E-2</v>
      </c>
      <c r="M199" s="16">
        <v>8.078045131237388E-2</v>
      </c>
      <c r="N199" s="16">
        <v>7.9655046870176882E-2</v>
      </c>
      <c r="O199" s="16">
        <v>7.6491380588961544E-2</v>
      </c>
      <c r="P199" s="16">
        <v>7.1053343492683774E-2</v>
      </c>
      <c r="Q199" s="16">
        <v>6.3027331468516468E-2</v>
      </c>
      <c r="R199" s="16">
        <v>5.1952202566538208E-2</v>
      </c>
      <c r="S199" s="16">
        <v>3.7015365838011571E-2</v>
      </c>
      <c r="T199" s="16">
        <v>1.5875221902425851E-2</v>
      </c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</row>
    <row r="200" spans="1:62" ht="12" customHeight="1">
      <c r="A200" s="14" t="s">
        <v>745</v>
      </c>
      <c r="B200" s="31">
        <v>199</v>
      </c>
      <c r="C200" s="16">
        <v>7.8539213312217582E-3</v>
      </c>
      <c r="D200" s="16">
        <v>2.0235130544562607E-2</v>
      </c>
      <c r="E200" s="16">
        <v>3.0844984084932525E-2</v>
      </c>
      <c r="F200" s="16">
        <v>4.0321471096983919E-2</v>
      </c>
      <c r="G200" s="16">
        <v>4.8782683777205404E-2</v>
      </c>
      <c r="H200" s="16">
        <v>5.6235490157195311E-2</v>
      </c>
      <c r="I200" s="16">
        <v>6.264224793214801E-2</v>
      </c>
      <c r="J200" s="16">
        <v>6.7941760689006481E-2</v>
      </c>
      <c r="K200" s="16">
        <v>7.205717116769117E-2</v>
      </c>
      <c r="L200" s="16">
        <v>7.4898690475917462E-2</v>
      </c>
      <c r="M200" s="16">
        <v>7.6363597067792055E-2</v>
      </c>
      <c r="N200" s="16">
        <v>7.6334168406912539E-2</v>
      </c>
      <c r="O200" s="16">
        <v>7.4673302885265525E-2</v>
      </c>
      <c r="P200" s="16">
        <v>7.121666204837318E-2</v>
      </c>
      <c r="Q200" s="16">
        <v>6.5758440001797092E-2</v>
      </c>
      <c r="R200" s="16">
        <v>5.8023471749397926E-2</v>
      </c>
      <c r="S200" s="16">
        <v>4.7604161096963304E-2</v>
      </c>
      <c r="T200" s="16">
        <v>3.3776608302154121E-2</v>
      </c>
      <c r="U200" s="16">
        <v>1.4436037184479611E-2</v>
      </c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</row>
    <row r="201" spans="1:62" ht="12" customHeight="1">
      <c r="A201" s="14" t="s">
        <v>746</v>
      </c>
      <c r="B201" s="31">
        <v>200</v>
      </c>
      <c r="C201" s="16">
        <v>7.1458374642913158E-3</v>
      </c>
      <c r="D201" s="16">
        <v>1.8421368929244175E-2</v>
      </c>
      <c r="E201" s="16">
        <v>2.8110448852796788E-2</v>
      </c>
      <c r="F201" s="16">
        <v>3.6804671360633701E-2</v>
      </c>
      <c r="G201" s="16">
        <v>4.4621693461753376E-2</v>
      </c>
      <c r="H201" s="16">
        <v>5.1577689664279669E-2</v>
      </c>
      <c r="I201" s="16">
        <v>5.7648449085270448E-2</v>
      </c>
      <c r="J201" s="16">
        <v>6.2788790349111445E-2</v>
      </c>
      <c r="K201" s="16">
        <v>6.6940123234548565E-2</v>
      </c>
      <c r="L201" s="16">
        <v>7.0033413732536576E-2</v>
      </c>
      <c r="M201" s="16">
        <v>7.1989860538184125E-2</v>
      </c>
      <c r="N201" s="16">
        <v>7.2720043839531345E-2</v>
      </c>
      <c r="O201" s="16">
        <v>7.2121626315105436E-2</v>
      </c>
      <c r="P201" s="16">
        <v>7.0075173274272817E-2</v>
      </c>
      <c r="Q201" s="16">
        <v>6.6436936575983152E-2</v>
      </c>
      <c r="R201" s="16">
        <v>6.1025935976157686E-2</v>
      </c>
      <c r="S201" s="16">
        <v>5.3598709952728196E-2</v>
      </c>
      <c r="T201" s="16">
        <v>4.3792205228243564E-2</v>
      </c>
      <c r="U201" s="16">
        <v>3.0957050003061037E-2</v>
      </c>
      <c r="V201" s="16">
        <v>1.3189972162266583E-2</v>
      </c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</row>
    <row r="202" spans="1:62" ht="12" customHeight="1">
      <c r="A202" s="14" t="s">
        <v>747</v>
      </c>
      <c r="B202" s="31">
        <v>201</v>
      </c>
      <c r="C202" s="16">
        <v>6.5315519612324513E-3</v>
      </c>
      <c r="D202" s="16">
        <v>1.6846168420901697E-2</v>
      </c>
      <c r="E202" s="16">
        <v>2.5730671715503362E-2</v>
      </c>
      <c r="F202" s="16">
        <v>3.3734583437883492E-2</v>
      </c>
      <c r="G202" s="16">
        <v>4.0973475382039992E-2</v>
      </c>
      <c r="H202" s="16">
        <v>4.746988927117024E-2</v>
      </c>
      <c r="I202" s="16">
        <v>5.3209477741891109E-2</v>
      </c>
      <c r="J202" s="16">
        <v>5.8158996965209764E-2</v>
      </c>
      <c r="K202" s="16">
        <v>6.2273473964095771E-2</v>
      </c>
      <c r="L202" s="16">
        <v>6.5499224942237699E-2</v>
      </c>
      <c r="M202" s="16">
        <v>6.7774885847665334E-2</v>
      </c>
      <c r="N202" s="16">
        <v>6.9031230173266844E-2</v>
      </c>
      <c r="O202" s="16">
        <v>6.9189987333119762E-2</v>
      </c>
      <c r="P202" s="16">
        <v>6.8161536986645066E-2</v>
      </c>
      <c r="Q202" s="16">
        <v>6.5840996004366548E-2</v>
      </c>
      <c r="R202" s="16">
        <v>6.2101603561556029E-2</v>
      </c>
      <c r="S202" s="16">
        <v>5.6782955419029779E-2</v>
      </c>
      <c r="T202" s="16">
        <v>4.9668039210676085E-2</v>
      </c>
      <c r="U202" s="16">
        <v>4.0431261101813498E-2</v>
      </c>
      <c r="V202" s="16">
        <v>2.8486507782198078E-2</v>
      </c>
      <c r="W202" s="16">
        <v>1.2103482777497399E-2</v>
      </c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</row>
    <row r="203" spans="1:62" ht="12" customHeight="1">
      <c r="A203" s="14" t="s">
        <v>748</v>
      </c>
      <c r="B203" s="31">
        <v>202</v>
      </c>
      <c r="C203" s="16">
        <v>5.9950274987313756E-3</v>
      </c>
      <c r="D203" s="16">
        <v>1.5469075310213798E-2</v>
      </c>
      <c r="E203" s="16">
        <v>2.3646468335826065E-2</v>
      </c>
      <c r="F203" s="16">
        <v>3.1038603879737559E-2</v>
      </c>
      <c r="G203" s="16">
        <v>3.7757949924537404E-2</v>
      </c>
      <c r="H203" s="16">
        <v>4.3831338571125422E-2</v>
      </c>
      <c r="I203" s="16">
        <v>4.9251720388242881E-2</v>
      </c>
      <c r="J203" s="16">
        <v>5.3994858904915177E-2</v>
      </c>
      <c r="K203" s="16">
        <v>5.8026087065803367E-2</v>
      </c>
      <c r="L203" s="16">
        <v>6.1303282267103465E-2</v>
      </c>
      <c r="M203" s="16">
        <v>6.3778073988229544E-2</v>
      </c>
      <c r="N203" s="16">
        <v>6.5396038153465508E-2</v>
      </c>
      <c r="O203" s="16">
        <v>6.6096144342659868E-2</v>
      </c>
      <c r="P203" s="16">
        <v>6.5809468127062343E-2</v>
      </c>
      <c r="Q203" s="16">
        <v>6.4456971590197698E-2</v>
      </c>
      <c r="R203" s="16">
        <v>6.1945869860953962E-2</v>
      </c>
      <c r="S203" s="16">
        <v>5.8163562480702757E-2</v>
      </c>
      <c r="T203" s="16">
        <v>5.2966879316295734E-2</v>
      </c>
      <c r="U203" s="16">
        <v>4.6161101308341723E-2</v>
      </c>
      <c r="V203" s="16">
        <v>3.745244501241507E-2</v>
      </c>
      <c r="W203" s="16">
        <v>2.6308973961790882E-2</v>
      </c>
      <c r="X203" s="16">
        <v>1.1150059711648397E-2</v>
      </c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</row>
    <row r="204" spans="1:62" ht="12" customHeight="1">
      <c r="A204" s="14" t="s">
        <v>749</v>
      </c>
      <c r="B204" s="31">
        <v>203</v>
      </c>
      <c r="C204" s="16">
        <v>5.5235332720600105E-3</v>
      </c>
      <c r="D204" s="16">
        <v>1.4257899929806417E-2</v>
      </c>
      <c r="E204" s="16">
        <v>2.1810519765181891E-2</v>
      </c>
      <c r="F204" s="16">
        <v>2.8658231803332601E-2</v>
      </c>
      <c r="G204" s="16">
        <v>3.4909799355118953E-2</v>
      </c>
      <c r="H204" s="16">
        <v>4.0594863783601887E-2</v>
      </c>
      <c r="I204" s="16">
        <v>4.5711802665766132E-2</v>
      </c>
      <c r="J204" s="16">
        <v>5.0243245603179387E-2</v>
      </c>
      <c r="K204" s="16">
        <v>5.4162426687774934E-2</v>
      </c>
      <c r="L204" s="16">
        <v>5.7436066006224973E-2</v>
      </c>
      <c r="M204" s="16">
        <v>6.0025654674856321E-2</v>
      </c>
      <c r="N204" s="16">
        <v>6.1887862610390032E-2</v>
      </c>
      <c r="O204" s="16">
        <v>6.2974351651503557E-2</v>
      </c>
      <c r="P204" s="16">
        <v>6.323106871018036E-2</v>
      </c>
      <c r="Q204" s="16">
        <v>6.2596952897776226E-2</v>
      </c>
      <c r="R204" s="16">
        <v>6.1001838017273213E-2</v>
      </c>
      <c r="S204" s="16">
        <v>5.836308838007942E-2</v>
      </c>
      <c r="T204" s="16">
        <v>5.458002018881758E-2</v>
      </c>
      <c r="U204" s="16">
        <v>4.9524036527564874E-2</v>
      </c>
      <c r="V204" s="16">
        <v>4.3019383228157904E-2</v>
      </c>
      <c r="W204" s="16">
        <v>3.4799527116969098E-2</v>
      </c>
      <c r="X204" s="16">
        <v>2.4379306016032887E-2</v>
      </c>
      <c r="Y204" s="16">
        <v>1.0308521108351343E-2</v>
      </c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</row>
    <row r="205" spans="1:62" ht="12" customHeight="1">
      <c r="A205" s="14" t="s">
        <v>750</v>
      </c>
      <c r="B205" s="31">
        <v>204</v>
      </c>
      <c r="C205" s="16">
        <v>5.1068564608085509E-3</v>
      </c>
      <c r="D205" s="16">
        <v>1.3186765660743838E-2</v>
      </c>
      <c r="E205" s="16">
        <v>2.0184630121306779E-2</v>
      </c>
      <c r="F205" s="16">
        <v>2.654593077978018E-2</v>
      </c>
      <c r="G205" s="16">
        <v>3.2375403050399543E-2</v>
      </c>
      <c r="H205" s="16">
        <v>3.7704433995680464E-2</v>
      </c>
      <c r="I205" s="16">
        <v>4.2535447224788747E-2</v>
      </c>
      <c r="J205" s="16">
        <v>4.6856350637114241E-2</v>
      </c>
      <c r="K205" s="16">
        <v>5.0646503241535523E-2</v>
      </c>
      <c r="L205" s="16">
        <v>5.387947850511654E-2</v>
      </c>
      <c r="M205" s="16">
        <v>5.6524369690554632E-2</v>
      </c>
      <c r="N205" s="16">
        <v>5.8546316766637019E-2</v>
      </c>
      <c r="O205" s="16">
        <v>5.9906537194595377E-2</v>
      </c>
      <c r="P205" s="16">
        <v>6.0561963233921379E-2</v>
      </c>
      <c r="Q205" s="16">
        <v>6.0464482453700397E-2</v>
      </c>
      <c r="R205" s="16">
        <v>5.9559685126179374E-2</v>
      </c>
      <c r="S205" s="16">
        <v>5.7784898706081722E-2</v>
      </c>
      <c r="T205" s="16">
        <v>5.5066073828598627E-2</v>
      </c>
      <c r="U205" s="16">
        <v>5.1312643106120159E-2</v>
      </c>
      <c r="V205" s="16">
        <v>4.6408439909361276E-2</v>
      </c>
      <c r="W205" s="16">
        <v>4.0193978800579733E-2</v>
      </c>
      <c r="X205" s="16">
        <v>3.242625520975162E-2</v>
      </c>
      <c r="Y205" s="16">
        <v>2.2660784923219435E-2</v>
      </c>
      <c r="Z205" s="16">
        <v>9.5617713734248433E-3</v>
      </c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</row>
    <row r="206" spans="1:62" ht="12" customHeight="1">
      <c r="A206" s="14" t="s">
        <v>751</v>
      </c>
      <c r="B206" s="31">
        <v>205</v>
      </c>
      <c r="C206" s="16">
        <v>4.736725202151848E-3</v>
      </c>
      <c r="D206" s="16">
        <v>1.223467558021607E-2</v>
      </c>
      <c r="E206" s="16">
        <v>1.8737694788288795E-2</v>
      </c>
      <c r="F206" s="16">
        <v>2.4662767736026492E-2</v>
      </c>
      <c r="G206" s="16">
        <v>3.0110463300282775E-2</v>
      </c>
      <c r="H206" s="16">
        <v>3.511314708487967E-2</v>
      </c>
      <c r="I206" s="16">
        <v>3.9676258692229127E-2</v>
      </c>
      <c r="J206" s="16">
        <v>4.37917918262265E-2</v>
      </c>
      <c r="K206" s="16">
        <v>4.7443898909195648E-2</v>
      </c>
      <c r="L206" s="16">
        <v>5.0611526047883992E-2</v>
      </c>
      <c r="M206" s="16">
        <v>5.3269705793969613E-2</v>
      </c>
      <c r="N206" s="16">
        <v>5.5390147239310461E-2</v>
      </c>
      <c r="O206" s="16">
        <v>5.6941397653392678E-2</v>
      </c>
      <c r="P206" s="16">
        <v>5.7888689600399279E-2</v>
      </c>
      <c r="Q206" s="16">
        <v>5.8193501057728581E-2</v>
      </c>
      <c r="R206" s="16">
        <v>5.7812792222989851E-2</v>
      </c>
      <c r="S206" s="16">
        <v>5.6697812610233544E-2</v>
      </c>
      <c r="T206" s="16">
        <v>5.4792265827976583E-2</v>
      </c>
      <c r="U206" s="16">
        <v>5.2029424134758862E-2</v>
      </c>
      <c r="V206" s="16">
        <v>4.8327377345560252E-2</v>
      </c>
      <c r="W206" s="16">
        <v>4.3580645189095435E-2</v>
      </c>
      <c r="X206" s="16">
        <v>3.7643804270159453E-2</v>
      </c>
      <c r="Y206" s="16">
        <v>3.0294310897497345E-2</v>
      </c>
      <c r="Z206" s="16">
        <v>2.1123291196698868E-2</v>
      </c>
      <c r="AA206" s="16">
        <v>8.8958857928482793E-3</v>
      </c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</row>
    <row r="207" spans="1:62" ht="12" customHeight="1">
      <c r="A207" s="14" t="s">
        <v>752</v>
      </c>
      <c r="B207" s="31">
        <v>206</v>
      </c>
      <c r="C207" s="16">
        <v>4.406380524878295E-3</v>
      </c>
      <c r="D207" s="16">
        <v>1.1384445444007185E-2</v>
      </c>
      <c r="E207" s="16">
        <v>1.744417685431221E-2</v>
      </c>
      <c r="F207" s="16">
        <v>2.2976619379115326E-2</v>
      </c>
      <c r="G207" s="16">
        <v>2.8078158837670952E-2</v>
      </c>
      <c r="H207" s="16">
        <v>3.2781584942508823E-2</v>
      </c>
      <c r="I207" s="16">
        <v>3.7094578080996921E-2</v>
      </c>
      <c r="J207" s="16">
        <v>4.1012311999053974E-2</v>
      </c>
      <c r="K207" s="16">
        <v>4.4522721339952609E-2</v>
      </c>
      <c r="L207" s="16">
        <v>4.760900613612784E-2</v>
      </c>
      <c r="M207" s="16">
        <v>5.0250893267564045E-2</v>
      </c>
      <c r="N207" s="16">
        <v>5.2425255880219734E-2</v>
      </c>
      <c r="O207" s="16">
        <v>5.4106353448058142E-2</v>
      </c>
      <c r="P207" s="16">
        <v>5.5265809390380838E-2</v>
      </c>
      <c r="Q207" s="16">
        <v>5.587236886247704E-2</v>
      </c>
      <c r="R207" s="16">
        <v>5.5891431045524187E-2</v>
      </c>
      <c r="S207" s="16">
        <v>5.5284305902840614E-2</v>
      </c>
      <c r="T207" s="16">
        <v>5.4007087783046526E-2</v>
      </c>
      <c r="U207" s="16">
        <v>5.2008943675202479E-2</v>
      </c>
      <c r="V207" s="16">
        <v>4.922943495598231E-2</v>
      </c>
      <c r="W207" s="16">
        <v>4.5594114620827852E-2</v>
      </c>
      <c r="X207" s="16">
        <v>4.1006755850336085E-2</v>
      </c>
      <c r="Y207" s="16">
        <v>3.5334174102481963E-2</v>
      </c>
      <c r="Z207" s="16">
        <v>2.8371734884243272E-2</v>
      </c>
      <c r="AA207" s="16">
        <v>1.9741926248669439E-2</v>
      </c>
      <c r="AB207" s="16">
        <v>8.2994265435213377E-3</v>
      </c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</row>
    <row r="208" spans="1:62" ht="12" customHeight="1">
      <c r="A208" s="14" t="s">
        <v>753</v>
      </c>
      <c r="B208" s="31">
        <v>207</v>
      </c>
      <c r="C208" s="16">
        <v>4.1102547873379525E-3</v>
      </c>
      <c r="D208" s="16">
        <v>1.062189970200722E-2</v>
      </c>
      <c r="E208" s="16">
        <v>1.6282951840192905E-2</v>
      </c>
      <c r="F208" s="16">
        <v>2.146079709185289E-2</v>
      </c>
      <c r="G208" s="16">
        <v>2.6247701535618284E-2</v>
      </c>
      <c r="H208" s="16">
        <v>3.0676478674048546E-2</v>
      </c>
      <c r="I208" s="16">
        <v>3.4756461782692205E-2</v>
      </c>
      <c r="J208" s="16">
        <v>3.8485309790964983E-2</v>
      </c>
      <c r="K208" s="16">
        <v>4.1853962725907357E-2</v>
      </c>
      <c r="L208" s="16">
        <v>4.4849018194139445E-2</v>
      </c>
      <c r="M208" s="16">
        <v>4.7453951253711102E-2</v>
      </c>
      <c r="N208" s="16">
        <v>4.9649742423091392E-2</v>
      </c>
      <c r="O208" s="16">
        <v>5.1415163717944301E-2</v>
      </c>
      <c r="P208" s="16">
        <v>5.2726838396688014E-2</v>
      </c>
      <c r="Q208" s="16">
        <v>5.3559124044115225E-2</v>
      </c>
      <c r="R208" s="16">
        <v>5.3883829324281152E-2</v>
      </c>
      <c r="S208" s="16">
        <v>5.3669743707382755E-2</v>
      </c>
      <c r="T208" s="16">
        <v>5.2881925150886855E-2</v>
      </c>
      <c r="U208" s="16">
        <v>5.1480640823421076E-2</v>
      </c>
      <c r="V208" s="16">
        <v>4.9419770033905408E-2</v>
      </c>
      <c r="W208" s="16">
        <v>4.6644313224318834E-2</v>
      </c>
      <c r="X208" s="16">
        <v>4.30863009101079E-2</v>
      </c>
      <c r="Y208" s="16">
        <v>3.8657571930531764E-2</v>
      </c>
      <c r="Z208" s="16">
        <v>3.3235661194415012E-2</v>
      </c>
      <c r="AA208" s="16">
        <v>2.6631703334449419E-2</v>
      </c>
      <c r="AB208" s="16">
        <v>1.8495958976864846E-2</v>
      </c>
      <c r="AC208" s="16">
        <v>7.7629254291231575E-3</v>
      </c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</row>
    <row r="209" spans="1:62" ht="12" customHeight="1">
      <c r="A209" s="14" t="s">
        <v>754</v>
      </c>
      <c r="B209" s="31">
        <v>208</v>
      </c>
      <c r="C209" s="16">
        <v>3.8437273237454939E-3</v>
      </c>
      <c r="D209" s="16">
        <v>9.9352589069382491E-3</v>
      </c>
      <c r="E209" s="16">
        <v>1.5236422556683116E-2</v>
      </c>
      <c r="F209" s="16">
        <v>2.0092983310270651E-2</v>
      </c>
      <c r="G209" s="16">
        <v>2.4593201862623704E-2</v>
      </c>
      <c r="H209" s="16">
        <v>2.8769627732795011E-2</v>
      </c>
      <c r="I209" s="16">
        <v>3.263279837566313E-2</v>
      </c>
      <c r="J209" s="16">
        <v>3.6182320120011879E-2</v>
      </c>
      <c r="K209" s="16">
        <v>3.9411535421777111E-2</v>
      </c>
      <c r="L209" s="16">
        <v>4.2309776273170785E-2</v>
      </c>
      <c r="M209" s="16">
        <v>4.4863537308022949E-2</v>
      </c>
      <c r="N209" s="16">
        <v>4.7057099668225799E-2</v>
      </c>
      <c r="O209" s="16">
        <v>4.8872842543031703E-2</v>
      </c>
      <c r="P209" s="16">
        <v>5.0291354731506477E-2</v>
      </c>
      <c r="Q209" s="16">
        <v>5.1291398592507309E-2</v>
      </c>
      <c r="R209" s="16">
        <v>5.1849745096124389E-2</v>
      </c>
      <c r="S209" s="16">
        <v>5.19408750710737E-2</v>
      </c>
      <c r="T209" s="16">
        <v>5.1536519310265705E-2</v>
      </c>
      <c r="U209" s="16">
        <v>5.0604981624578937E-2</v>
      </c>
      <c r="V209" s="16">
        <v>4.9110144318213034E-2</v>
      </c>
      <c r="W209" s="16">
        <v>4.7009976530313802E-2</v>
      </c>
      <c r="X209" s="16">
        <v>4.4254212355268274E-2</v>
      </c>
      <c r="Y209" s="16">
        <v>4.0780539498986856E-2</v>
      </c>
      <c r="Z209" s="16">
        <v>3.6507869806692961E-2</v>
      </c>
      <c r="AA209" s="16">
        <v>3.1323181323552052E-2</v>
      </c>
      <c r="AB209" s="16">
        <v>2.5051569282089958E-2</v>
      </c>
      <c r="AC209" s="16">
        <v>1.7368012704188529E-2</v>
      </c>
      <c r="AD209" s="16">
        <v>7.278488351678436E-3</v>
      </c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</row>
    <row r="210" spans="1:62" ht="12" customHeight="1">
      <c r="A210" s="14" t="s">
        <v>755</v>
      </c>
      <c r="B210" s="31">
        <v>209</v>
      </c>
      <c r="C210" s="16">
        <v>3.60293677840684E-3</v>
      </c>
      <c r="D210" s="16">
        <v>9.3146681117345365E-3</v>
      </c>
      <c r="E210" s="16">
        <v>1.4289834342942398E-2</v>
      </c>
      <c r="F210" s="16">
        <v>1.8854401880071703E-2</v>
      </c>
      <c r="G210" s="16">
        <v>2.3092771747383223E-2</v>
      </c>
      <c r="H210" s="16">
        <v>2.7037024440097701E-2</v>
      </c>
      <c r="I210" s="16">
        <v>3.0698557323216802E-2</v>
      </c>
      <c r="J210" s="16">
        <v>3.4078504643381469E-2</v>
      </c>
      <c r="K210" s="16">
        <v>3.7172138972924929E-2</v>
      </c>
      <c r="L210" s="16">
        <v>3.9971007729593167E-2</v>
      </c>
      <c r="M210" s="16">
        <v>4.2464057444693948E-2</v>
      </c>
      <c r="N210" s="16">
        <v>4.4638245728476855E-2</v>
      </c>
      <c r="O210" s="16">
        <v>4.6478865217568388E-2</v>
      </c>
      <c r="P210" s="16">
        <v>4.7969687531849714E-2</v>
      </c>
      <c r="Q210" s="16">
        <v>4.9092980039145306E-2</v>
      </c>
      <c r="R210" s="16">
        <v>4.9829418410272996E-2</v>
      </c>
      <c r="S210" s="16">
        <v>5.0157898735788353E-2</v>
      </c>
      <c r="T210" s="16">
        <v>5.0055237006917719E-2</v>
      </c>
      <c r="U210" s="16">
        <v>4.9495726021428266E-2</v>
      </c>
      <c r="V210" s="16">
        <v>4.8450494857036563E-2</v>
      </c>
      <c r="W210" s="16">
        <v>4.6886575383441209E-2</v>
      </c>
      <c r="X210" s="16">
        <v>4.4765507019640771E-2</v>
      </c>
      <c r="Y210" s="16">
        <v>4.204116774969191E-2</v>
      </c>
      <c r="Z210" s="16">
        <v>3.8656214542494904E-2</v>
      </c>
      <c r="AA210" s="16">
        <v>3.4535796421266585E-2</v>
      </c>
      <c r="AB210" s="16">
        <v>2.9575254590937017E-2</v>
      </c>
      <c r="AC210" s="16">
        <v>2.3612105839025177E-2</v>
      </c>
      <c r="AD210" s="16">
        <v>1.6343431726556501E-2</v>
      </c>
      <c r="AE210" s="16">
        <v>6.8394897640150498E-3</v>
      </c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</row>
    <row r="211" spans="1:62" ht="12" customHeight="1">
      <c r="A211" s="14" t="s">
        <v>756</v>
      </c>
      <c r="B211" s="31">
        <v>210</v>
      </c>
      <c r="C211" s="16">
        <v>3.3846355534875583E-3</v>
      </c>
      <c r="D211" s="16">
        <v>8.7518303151814525E-3</v>
      </c>
      <c r="E211" s="16">
        <v>1.343074052486648E-2</v>
      </c>
      <c r="F211" s="16">
        <v>1.7729165732996766E-2</v>
      </c>
      <c r="G211" s="16">
        <v>2.1727810896107091E-2</v>
      </c>
      <c r="H211" s="16">
        <v>2.5458143584326631E-2</v>
      </c>
      <c r="I211" s="16">
        <v>2.893215585570319E-2</v>
      </c>
      <c r="J211" s="16">
        <v>3.215218040138168E-2</v>
      </c>
      <c r="K211" s="16">
        <v>3.5115046868948174E-2</v>
      </c>
      <c r="L211" s="16">
        <v>3.781410819762332E-2</v>
      </c>
      <c r="M211" s="16">
        <v>4.0240315870851417E-2</v>
      </c>
      <c r="N211" s="16">
        <v>4.2382815365907156E-2</v>
      </c>
      <c r="O211" s="16">
        <v>4.4229274065177071E-2</v>
      </c>
      <c r="P211" s="16">
        <v>4.5766044935485306E-2</v>
      </c>
      <c r="Q211" s="16">
        <v>4.6978217966422764E-2</v>
      </c>
      <c r="R211" s="16">
        <v>4.7849584337139928E-2</v>
      </c>
      <c r="S211" s="16">
        <v>4.8362521879349973E-2</v>
      </c>
      <c r="T211" s="16">
        <v>4.8497798161225569E-2</v>
      </c>
      <c r="U211" s="16">
        <v>4.8234275595220977E-2</v>
      </c>
      <c r="V211" s="16">
        <v>4.7548488035460079E-2</v>
      </c>
      <c r="W211" s="16">
        <v>4.6414035958697197E-2</v>
      </c>
      <c r="X211" s="16">
        <v>4.4800709799352356E-2</v>
      </c>
      <c r="Y211" s="16">
        <v>4.2673182712366975E-2</v>
      </c>
      <c r="Z211" s="16">
        <v>3.9988980040421507E-2</v>
      </c>
      <c r="AA211" s="16">
        <v>3.669514703932375E-2</v>
      </c>
      <c r="AB211" s="16">
        <v>3.2722361220052343E-2</v>
      </c>
      <c r="AC211" s="16">
        <v>2.7973406921595667E-2</v>
      </c>
      <c r="AD211" s="16">
        <v>2.2296904308873988E-2</v>
      </c>
      <c r="AE211" s="16">
        <v>1.5409783467801863E-2</v>
      </c>
      <c r="AF211" s="16">
        <v>6.4403343886517694E-3</v>
      </c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</row>
    <row r="212" spans="1:62" ht="12" customHeight="1">
      <c r="A212" s="14" t="s">
        <v>757</v>
      </c>
      <c r="B212" s="31">
        <v>211</v>
      </c>
      <c r="C212" s="16">
        <v>3.1860758855503102E-3</v>
      </c>
      <c r="D212" s="16">
        <v>8.2397190096279438E-3</v>
      </c>
      <c r="E212" s="16">
        <v>1.2648581606571341E-2</v>
      </c>
      <c r="F212" s="16">
        <v>1.6703760087469544E-2</v>
      </c>
      <c r="G212" s="16">
        <v>2.0482435643547126E-2</v>
      </c>
      <c r="H212" s="16">
        <v>2.4015364376625548E-2</v>
      </c>
      <c r="I212" s="16">
        <v>2.7314928124966165E-2</v>
      </c>
      <c r="J212" s="16">
        <v>3.0384397663430818E-2</v>
      </c>
      <c r="K212" s="16">
        <v>3.3221862883863085E-2</v>
      </c>
      <c r="L212" s="16">
        <v>3.5822155745528383E-2</v>
      </c>
      <c r="M212" s="16">
        <v>3.8177877472005184E-2</v>
      </c>
      <c r="N212" s="16">
        <v>4.0279974880808367E-2</v>
      </c>
      <c r="O212" s="16">
        <v>4.2118066802611431E-2</v>
      </c>
      <c r="P212" s="16">
        <v>4.3680619098288798E-2</v>
      </c>
      <c r="Q212" s="16">
        <v>4.4955018800216573E-2</v>
      </c>
      <c r="R212" s="16">
        <v>4.5927573045088876E-2</v>
      </c>
      <c r="S212" s="16">
        <v>4.6583443977862959E-2</v>
      </c>
      <c r="T212" s="16">
        <v>4.6906520839869792E-2</v>
      </c>
      <c r="U212" s="16">
        <v>4.687922182813109E-2</v>
      </c>
      <c r="V212" s="16">
        <v>4.6482208709212491E-2</v>
      </c>
      <c r="W212" s="16">
        <v>4.5693984064715032E-2</v>
      </c>
      <c r="X212" s="16">
        <v>4.4490320590925059E-2</v>
      </c>
      <c r="Y212" s="16">
        <v>4.2843436980646077E-2</v>
      </c>
      <c r="Z212" s="16">
        <v>4.0720770987411337E-2</v>
      </c>
      <c r="AA212" s="16">
        <v>3.8083074528321603E-2</v>
      </c>
      <c r="AB212" s="16">
        <v>3.4881287264277416E-2</v>
      </c>
      <c r="AC212" s="16">
        <v>3.1051010414631763E-2</v>
      </c>
      <c r="AD212" s="16">
        <v>2.650168277852416E-2</v>
      </c>
      <c r="AE212" s="16">
        <v>2.1091892145306379E-2</v>
      </c>
      <c r="AF212" s="16">
        <v>1.4556464010606951E-2</v>
      </c>
      <c r="AG212" s="16">
        <v>6.0762697533583987E-3</v>
      </c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</row>
    <row r="213" spans="1:62" ht="12" customHeight="1">
      <c r="A213" s="14" t="s">
        <v>758</v>
      </c>
      <c r="B213" s="31">
        <v>212</v>
      </c>
      <c r="C213" s="16">
        <v>3.0049199179659203E-3</v>
      </c>
      <c r="D213" s="16">
        <v>7.7723508826946786E-3</v>
      </c>
      <c r="E213" s="16">
        <v>1.1934351371101326E-2</v>
      </c>
      <c r="F213" s="16">
        <v>1.5766630071097243E-2</v>
      </c>
      <c r="G213" s="16">
        <v>1.9343019179553833E-2</v>
      </c>
      <c r="H213" s="16">
        <v>2.2693498520822253E-2</v>
      </c>
      <c r="I213" s="16">
        <v>2.58306811244714E-2</v>
      </c>
      <c r="J213" s="16">
        <v>2.8758569001012702E-2</v>
      </c>
      <c r="K213" s="16">
        <v>3.1476274509514623E-2</v>
      </c>
      <c r="L213" s="16">
        <v>3.3979846571398298E-2</v>
      </c>
      <c r="M213" s="16">
        <v>3.6263251436878141E-2</v>
      </c>
      <c r="N213" s="16">
        <v>3.8318928585647449E-2</v>
      </c>
      <c r="O213" s="16">
        <v>4.0138112149972871E-2</v>
      </c>
      <c r="P213" s="16">
        <v>4.1711011665182984E-2</v>
      </c>
      <c r="Q213" s="16">
        <v>4.3026900881264929E-2</v>
      </c>
      <c r="R213" s="16">
        <v>4.4074140265887407E-2</v>
      </c>
      <c r="S213" s="16">
        <v>4.4840145729502567E-2</v>
      </c>
      <c r="T213" s="16">
        <v>4.5311307610762297E-2</v>
      </c>
      <c r="U213" s="16">
        <v>4.5472857297302216E-2</v>
      </c>
      <c r="V213" s="16">
        <v>4.5308672244650072E-2</v>
      </c>
      <c r="W213" s="16">
        <v>4.4801001988874045E-2</v>
      </c>
      <c r="X213" s="16">
        <v>4.3930085938373775E-2</v>
      </c>
      <c r="Y213" s="16">
        <v>4.2673614807593241E-2</v>
      </c>
      <c r="Z213" s="16">
        <v>4.1005954926018662E-2</v>
      </c>
      <c r="AA213" s="16">
        <v>3.8896994623306425E-2</v>
      </c>
      <c r="AB213" s="16">
        <v>3.6310353603652756E-2</v>
      </c>
      <c r="AC213" s="16">
        <v>3.3200443514117661E-2</v>
      </c>
      <c r="AD213" s="16">
        <v>2.9507270074984326E-2</v>
      </c>
      <c r="AE213" s="16">
        <v>2.5146246540648343E-2</v>
      </c>
      <c r="AF213" s="16">
        <v>1.9984944326709053E-2</v>
      </c>
      <c r="AG213" s="16">
        <v>1.3774383145946367E-2</v>
      </c>
      <c r="AH213" s="16">
        <v>5.7432374930921348E-3</v>
      </c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</row>
    <row r="214" spans="1:62" ht="12" customHeight="1">
      <c r="A214" s="14" t="s">
        <v>759</v>
      </c>
      <c r="B214" s="31">
        <v>213</v>
      </c>
      <c r="C214" s="16">
        <v>2.8391681507061728E-3</v>
      </c>
      <c r="D214" s="16">
        <v>7.3446046861678216E-3</v>
      </c>
      <c r="E214" s="16">
        <v>1.1280329972071179E-2</v>
      </c>
      <c r="F214" s="16">
        <v>1.4907849423600572E-2</v>
      </c>
      <c r="G214" s="16">
        <v>1.8297819310153507E-2</v>
      </c>
      <c r="H214" s="16">
        <v>2.1479403481809545E-2</v>
      </c>
      <c r="I214" s="16">
        <v>2.4465323376142378E-2</v>
      </c>
      <c r="J214" s="16">
        <v>2.7260147141480395E-2</v>
      </c>
      <c r="K214" s="16">
        <v>2.9863817978040053E-2</v>
      </c>
      <c r="L214" s="16">
        <v>3.2273389974522892E-2</v>
      </c>
      <c r="M214" s="16">
        <v>3.4483964435927827E-2</v>
      </c>
      <c r="N214" s="16">
        <v>3.6489224882707338E-2</v>
      </c>
      <c r="O214" s="16">
        <v>3.8281751265352271E-2</v>
      </c>
      <c r="P214" s="16">
        <v>3.985320268025494E-2</v>
      </c>
      <c r="Q214" s="16">
        <v>4.1194415387299621E-2</v>
      </c>
      <c r="R214" s="16">
        <v>4.2295441305498782E-2</v>
      </c>
      <c r="S214" s="16">
        <v>4.3145540127101811E-2</v>
      </c>
      <c r="T214" s="16">
        <v>4.3733130709094459E-2</v>
      </c>
      <c r="U214" s="16">
        <v>4.4045701966661688E-2</v>
      </c>
      <c r="V214" s="16">
        <v>4.4069678636432297E-2</v>
      </c>
      <c r="W214" s="16">
        <v>4.3790231866628226E-2</v>
      </c>
      <c r="X214" s="16">
        <v>4.3191017385208808E-2</v>
      </c>
      <c r="Y214" s="16">
        <v>4.2253813169419563E-2</v>
      </c>
      <c r="Z214" s="16">
        <v>4.0958010896523289E-2</v>
      </c>
      <c r="AA214" s="16">
        <v>3.9279884819338418E-2</v>
      </c>
      <c r="AB214" s="16">
        <v>3.7191505184314244E-2</v>
      </c>
      <c r="AC214" s="16">
        <v>3.465905179334583E-2</v>
      </c>
      <c r="AD214" s="16">
        <v>3.1640044915046017E-2</v>
      </c>
      <c r="AE214" s="16">
        <v>2.8078446531700996E-2</v>
      </c>
      <c r="AF214" s="16">
        <v>2.389505487400978E-2</v>
      </c>
      <c r="AG214" s="16">
        <v>1.8965568069555627E-2</v>
      </c>
      <c r="AH214" s="16">
        <v>1.3055711107806678E-2</v>
      </c>
      <c r="AI214" s="16">
        <v>5.4377544960769741E-3</v>
      </c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</row>
    <row r="215" spans="1:62" ht="12" customHeight="1">
      <c r="A215" s="14" t="s">
        <v>760</v>
      </c>
      <c r="B215" s="31">
        <v>214</v>
      </c>
      <c r="C215" s="16">
        <v>2.6871020889673858E-3</v>
      </c>
      <c r="D215" s="16">
        <v>6.9520758434190588E-3</v>
      </c>
      <c r="E215" s="16">
        <v>1.0679869086065219E-2</v>
      </c>
      <c r="F215" s="16">
        <v>1.4118852620332523E-2</v>
      </c>
      <c r="G215" s="16">
        <v>1.7336675414375446E-2</v>
      </c>
      <c r="H215" s="16">
        <v>2.036166432584674E-2</v>
      </c>
      <c r="I215" s="16">
        <v>2.3206554244318278E-2</v>
      </c>
      <c r="J215" s="16">
        <v>2.5876347158022783E-2</v>
      </c>
      <c r="K215" s="16">
        <v>2.837166183165285E-2</v>
      </c>
      <c r="L215" s="16">
        <v>3.069038526643697E-2</v>
      </c>
      <c r="M215" s="16">
        <v>3.2828566758367872E-2</v>
      </c>
      <c r="N215" s="16">
        <v>3.4780932061096226E-2</v>
      </c>
      <c r="O215" s="16">
        <v>3.6541189043110434E-2</v>
      </c>
      <c r="P215" s="16">
        <v>3.8102209832519884E-2</v>
      </c>
      <c r="Q215" s="16">
        <v>3.9456134283683331E-2</v>
      </c>
      <c r="R215" s="16">
        <v>4.0594419256747116E-2</v>
      </c>
      <c r="S215" s="16">
        <v>4.1507847019503941E-2</v>
      </c>
      <c r="T215" s="16">
        <v>4.2186499331731797E-2</v>
      </c>
      <c r="U215" s="16">
        <v>4.2619699146539403E-2</v>
      </c>
      <c r="V215" s="16">
        <v>4.2795918082878304E-2</v>
      </c>
      <c r="W215" s="16">
        <v>4.2702644017051927E-2</v>
      </c>
      <c r="X215" s="16">
        <v>4.2326198498549683E-2</v>
      </c>
      <c r="Y215" s="16">
        <v>4.1651487179666602E-2</v>
      </c>
      <c r="Z215" s="16">
        <v>4.0661656407558477E-2</v>
      </c>
      <c r="AA215" s="16">
        <v>3.9337612585237602E-2</v>
      </c>
      <c r="AB215" s="16">
        <v>3.7657332051666437E-2</v>
      </c>
      <c r="AC215" s="16">
        <v>3.5594835884364961E-2</v>
      </c>
      <c r="AD215" s="16">
        <v>3.311859868666156E-2</v>
      </c>
      <c r="AE215" s="16">
        <v>3.0188935110120219E-2</v>
      </c>
      <c r="AF215" s="16">
        <v>2.6753374406675468E-2</v>
      </c>
      <c r="AG215" s="16">
        <v>2.2737586203505411E-2</v>
      </c>
      <c r="AH215" s="16">
        <v>1.8024645511723669E-2</v>
      </c>
      <c r="AI215" s="16">
        <v>1.239367353991927E-2</v>
      </c>
      <c r="AJ215" s="16">
        <v>5.156817221683152E-3</v>
      </c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</row>
    <row r="216" spans="1:62" ht="12" customHeight="1">
      <c r="A216" s="14" t="s">
        <v>761</v>
      </c>
      <c r="B216" s="31">
        <v>215</v>
      </c>
      <c r="C216" s="16">
        <v>2.5472379528990174E-3</v>
      </c>
      <c r="D216" s="16">
        <v>6.5909589463108986E-3</v>
      </c>
      <c r="E216" s="16">
        <v>1.0127217835061542E-2</v>
      </c>
      <c r="F216" s="16">
        <v>1.3392216950793401E-2</v>
      </c>
      <c r="G216" s="16">
        <v>1.6450760412572651E-2</v>
      </c>
      <c r="H216" s="16">
        <v>1.9330330920079186E-2</v>
      </c>
      <c r="I216" s="16">
        <v>2.2043603589249283E-2</v>
      </c>
      <c r="J216" s="16">
        <v>2.4595907882320245E-2</v>
      </c>
      <c r="K216" s="16">
        <v>2.6988411686970637E-2</v>
      </c>
      <c r="L216" s="16">
        <v>2.9219694012474373E-2</v>
      </c>
      <c r="M216" s="16">
        <v>3.1286599004941129E-2</v>
      </c>
      <c r="N216" s="16">
        <v>3.3184729680748926E-2</v>
      </c>
      <c r="O216" s="16">
        <v>3.4908744258689617E-2</v>
      </c>
      <c r="P216" s="16">
        <v>3.6452536034270011E-2</v>
      </c>
      <c r="Q216" s="16">
        <v>3.7809339692546962E-2</v>
      </c>
      <c r="R216" s="16">
        <v>3.8971787744437769E-2</v>
      </c>
      <c r="S216" s="16">
        <v>3.9931930302007479E-2</v>
      </c>
      <c r="T216" s="16">
        <v>4.068122521674844E-2</v>
      </c>
      <c r="U216" s="16">
        <v>4.1210501538501809E-2</v>
      </c>
      <c r="V216" s="16">
        <v>4.150989616147438E-2</v>
      </c>
      <c r="W216" s="16">
        <v>4.1568760689083772E-2</v>
      </c>
      <c r="X216" s="16">
        <v>4.1375532392359915E-2</v>
      </c>
      <c r="Y216" s="16">
        <v>4.0917559019328698E-2</v>
      </c>
      <c r="Z216" s="16">
        <v>4.0180861223951592E-2</v>
      </c>
      <c r="AA216" s="16">
        <v>3.9149806999407399E-2</v>
      </c>
      <c r="AB216" s="16">
        <v>3.7806656927758642E-2</v>
      </c>
      <c r="AC216" s="16">
        <v>3.6130911807452204E-2</v>
      </c>
      <c r="AD216" s="16">
        <v>3.4098343771260642E-2</v>
      </c>
      <c r="AE216" s="16">
        <v>3.1679492318099967E-2</v>
      </c>
      <c r="AF216" s="16">
        <v>2.8837193366690439E-2</v>
      </c>
      <c r="AG216" s="16">
        <v>2.5522204213211941E-2</v>
      </c>
      <c r="AH216" s="16">
        <v>2.166461632131178E-2</v>
      </c>
      <c r="AI216" s="16">
        <v>1.7154222516055695E-2</v>
      </c>
      <c r="AJ216" s="16">
        <v>1.178238445737434E-2</v>
      </c>
      <c r="AK216" s="16">
        <v>4.8978241535552192E-3</v>
      </c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</row>
    <row r="217" spans="1:62" ht="12" customHeight="1">
      <c r="A217" s="14" t="s">
        <v>762</v>
      </c>
      <c r="B217" s="31">
        <v>216</v>
      </c>
      <c r="C217" s="16">
        <v>2.4182890709287808E-3</v>
      </c>
      <c r="D217" s="16">
        <v>6.2579521817642814E-3</v>
      </c>
      <c r="E217" s="16">
        <v>9.6173808688593265E-3</v>
      </c>
      <c r="F217" s="16">
        <v>1.2721484207985689E-2</v>
      </c>
      <c r="G217" s="16">
        <v>1.5632376713828666E-2</v>
      </c>
      <c r="H217" s="16">
        <v>1.8376699979272604E-2</v>
      </c>
      <c r="I217" s="16">
        <v>2.096701316026206E-2</v>
      </c>
      <c r="J217" s="16">
        <v>2.340888744815639E-2</v>
      </c>
      <c r="K217" s="16">
        <v>2.5703936437661556E-2</v>
      </c>
      <c r="L217" s="16">
        <v>2.7851315278894839E-2</v>
      </c>
      <c r="M217" s="16">
        <v>2.9848536858958941E-2</v>
      </c>
      <c r="N217" s="16">
        <v>3.1691945724049209E-2</v>
      </c>
      <c r="O217" s="16">
        <v>3.3377004711577341E-2</v>
      </c>
      <c r="P217" s="16">
        <v>3.4898471429731237E-2</v>
      </c>
      <c r="Q217" s="16">
        <v>3.6250505605343486E-2</v>
      </c>
      <c r="R217" s="16">
        <v>3.7426730124289875E-2</v>
      </c>
      <c r="S217" s="16">
        <v>3.8420258730522128E-2</v>
      </c>
      <c r="T217" s="16">
        <v>3.9223697602379648E-2</v>
      </c>
      <c r="U217" s="16">
        <v>3.9829124364288648E-2</v>
      </c>
      <c r="V217" s="16">
        <v>4.0228045461557116E-2</v>
      </c>
      <c r="W217" s="16">
        <v>4.0411330602670992E-2</v>
      </c>
      <c r="X217" s="16">
        <v>4.0369120709702888E-2</v>
      </c>
      <c r="Y217" s="16">
        <v>4.0090703086987589E-2</v>
      </c>
      <c r="Z217" s="16">
        <v>3.9564343783189293E-2</v>
      </c>
      <c r="AA217" s="16">
        <v>3.8777061556272363E-2</v>
      </c>
      <c r="AB217" s="16">
        <v>3.7714319032689181E-2</v>
      </c>
      <c r="AC217" s="16">
        <v>3.6359591945718805E-2</v>
      </c>
      <c r="AD217" s="16">
        <v>3.4693751546964968E-2</v>
      </c>
      <c r="AE217" s="16">
        <v>3.2694147489206404E-2</v>
      </c>
      <c r="AF217" s="16">
        <v>3.0333183979310063E-2</v>
      </c>
      <c r="AG217" s="16">
        <v>2.7575979713378107E-2</v>
      </c>
      <c r="AH217" s="16">
        <v>2.4376222853160101E-2</v>
      </c>
      <c r="AI217" s="16">
        <v>2.0668031443793144E-2</v>
      </c>
      <c r="AJ217" s="16">
        <v>1.6347334394218427E-2</v>
      </c>
      <c r="AK217" s="16">
        <v>1.1216709349608944E-2</v>
      </c>
      <c r="AL217" s="16">
        <v>4.6585125528169069E-3</v>
      </c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</row>
    <row r="218" spans="1:62" ht="12" customHeight="1">
      <c r="A218" s="14" t="s">
        <v>763</v>
      </c>
      <c r="B218" s="31">
        <v>217</v>
      </c>
      <c r="C218" s="16">
        <v>2.2991351398733428E-3</v>
      </c>
      <c r="D218" s="16">
        <v>5.9501791250343716E-3</v>
      </c>
      <c r="E218" s="16">
        <v>9.1460019897852129E-3</v>
      </c>
      <c r="F218" s="16">
        <v>1.2101013985621467E-2</v>
      </c>
      <c r="G218" s="16">
        <v>1.4874787513477483E-2</v>
      </c>
      <c r="H218" s="16">
        <v>1.7493133578495468E-2</v>
      </c>
      <c r="I218" s="16">
        <v>1.9968452597527886E-2</v>
      </c>
      <c r="J218" s="16">
        <v>2.2306488230607546E-2</v>
      </c>
      <c r="K218" s="16">
        <v>2.4509214861977546E-2</v>
      </c>
      <c r="L218" s="16">
        <v>2.6576268044942286E-2</v>
      </c>
      <c r="M218" s="16">
        <v>2.8505724996082393E-2</v>
      </c>
      <c r="N218" s="16">
        <v>3.0294559448679426E-2</v>
      </c>
      <c r="O218" s="16">
        <v>3.1938918474914479E-2</v>
      </c>
      <c r="P218" s="16">
        <v>3.34342948450288E-2</v>
      </c>
      <c r="Q218" s="16">
        <v>3.4775634149066259E-2</v>
      </c>
      <c r="R218" s="16">
        <v>3.595739862992231E-2</v>
      </c>
      <c r="S218" s="16">
        <v>3.6973600354878955E-2</v>
      </c>
      <c r="T218" s="16">
        <v>3.7817810972096244E-2</v>
      </c>
      <c r="U218" s="16">
        <v>3.848315194614349E-2</v>
      </c>
      <c r="V218" s="16">
        <v>3.8962266857932915E-2</v>
      </c>
      <c r="W218" s="16">
        <v>3.9247275530790215E-2</v>
      </c>
      <c r="X218" s="16">
        <v>3.9329708036776712E-2</v>
      </c>
      <c r="Y218" s="16">
        <v>3.9200414737501355E-2</v>
      </c>
      <c r="Z218" s="16">
        <v>3.8849446080573391E-2</v>
      </c>
      <c r="AA218" s="16">
        <v>3.826589243183709E-2</v>
      </c>
      <c r="AB218" s="16">
        <v>3.743766901150225E-2</v>
      </c>
      <c r="AC218" s="16">
        <v>3.6351222681791695E-2</v>
      </c>
      <c r="AD218" s="16">
        <v>3.4991123410163749E-2</v>
      </c>
      <c r="AE218" s="16">
        <v>3.3339478775731513E-2</v>
      </c>
      <c r="AF218" s="16">
        <v>3.1375064528352259E-2</v>
      </c>
      <c r="AG218" s="16">
        <v>2.9071974488892205E-2</v>
      </c>
      <c r="AH218" s="16">
        <v>2.6397400958153239E-2</v>
      </c>
      <c r="AI218" s="16">
        <v>2.3307701502510825E-2</v>
      </c>
      <c r="AJ218" s="16">
        <v>1.9740671802317644E-2</v>
      </c>
      <c r="AK218" s="16">
        <v>1.5597861360651999E-2</v>
      </c>
      <c r="AL218" s="16">
        <v>1.0692152353467987E-2</v>
      </c>
      <c r="AM218" s="16">
        <v>4.4369065668979912E-3</v>
      </c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</row>
    <row r="219" spans="1:62" ht="12" customHeight="1">
      <c r="A219" s="14" t="s">
        <v>764</v>
      </c>
      <c r="B219" s="31">
        <v>218</v>
      </c>
      <c r="C219" s="16">
        <v>2.1887969524018169E-3</v>
      </c>
      <c r="D219" s="16">
        <v>5.6651243788199412E-3</v>
      </c>
      <c r="E219" s="16">
        <v>8.7092681952215534E-3</v>
      </c>
      <c r="F219" s="16">
        <v>1.1525862349341054E-2</v>
      </c>
      <c r="G219" s="16">
        <v>1.4172076654256349E-2</v>
      </c>
      <c r="H219" s="16">
        <v>1.6672907430676176E-2</v>
      </c>
      <c r="I219" s="16">
        <v>1.9040564156350359E-2</v>
      </c>
      <c r="J219" s="16">
        <v>2.1280906940633559E-2</v>
      </c>
      <c r="K219" s="16">
        <v>2.3396200984938109E-2</v>
      </c>
      <c r="L219" s="16">
        <v>2.5386482792267295E-2</v>
      </c>
      <c r="M219" s="16">
        <v>2.7250307030571408E-2</v>
      </c>
      <c r="N219" s="16">
        <v>2.8985183126623904E-2</v>
      </c>
      <c r="O219" s="16">
        <v>3.0587842346321947E-2</v>
      </c>
      <c r="P219" s="16">
        <v>3.2054405585826062E-2</v>
      </c>
      <c r="Q219" s="16">
        <v>3.3380489392314971E-2</v>
      </c>
      <c r="R219" s="16">
        <v>3.4561271296691509E-2</v>
      </c>
      <c r="S219" s="16">
        <v>3.5591526697879683E-2</v>
      </c>
      <c r="T219" s="16">
        <v>3.6465644469811487E-2</v>
      </c>
      <c r="U219" s="16">
        <v>3.7177625353518873E-2</v>
      </c>
      <c r="V219" s="16">
        <v>3.7721065122398589E-2</v>
      </c>
      <c r="W219" s="16">
        <v>3.8089122956378896E-2</v>
      </c>
      <c r="X219" s="16">
        <v>3.8274474111413159E-2</v>
      </c>
      <c r="Y219" s="16">
        <v>3.8269244584834272E-2</v>
      </c>
      <c r="Z219" s="16">
        <v>3.8064923822078267E-2</v>
      </c>
      <c r="AA219" s="16">
        <v>3.7652249296375562E-2</v>
      </c>
      <c r="AB219" s="16">
        <v>3.7021053588889963E-2</v>
      </c>
      <c r="AC219" s="16">
        <v>3.6160059689050006E-2</v>
      </c>
      <c r="AD219" s="16">
        <v>3.5056602359323175E-2</v>
      </c>
      <c r="AE219" s="16">
        <v>3.3696240198119787E-2</v>
      </c>
      <c r="AF219" s="16">
        <v>3.2062199803677305E-2</v>
      </c>
      <c r="AG219" s="16">
        <v>3.013455033035517E-2</v>
      </c>
      <c r="AH219" s="16">
        <v>2.7888921419042756E-2</v>
      </c>
      <c r="AI219" s="16">
        <v>2.529439475418227E-2</v>
      </c>
      <c r="AJ219" s="16">
        <v>2.2309766342781034E-2</v>
      </c>
      <c r="AK219" s="16">
        <v>1.8876200240749097E-2</v>
      </c>
      <c r="AL219" s="16">
        <v>1.4900408061405024E-2</v>
      </c>
      <c r="AM219" s="16">
        <v>1.0204762768640574E-2</v>
      </c>
      <c r="AN219" s="16">
        <v>4.231274415839037E-3</v>
      </c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</row>
    <row r="220" spans="1:62" ht="12" customHeight="1">
      <c r="A220" s="14" t="s">
        <v>765</v>
      </c>
      <c r="B220" s="31">
        <v>219</v>
      </c>
      <c r="C220" s="16">
        <v>2.0864155057750411E-3</v>
      </c>
      <c r="D220" s="16">
        <v>5.4005803213649228E-3</v>
      </c>
      <c r="E220" s="16">
        <v>8.3038301417455163E-3</v>
      </c>
      <c r="F220" s="16">
        <v>1.0991680994583808E-2</v>
      </c>
      <c r="G220" s="16">
        <v>1.3519031684756211E-2</v>
      </c>
      <c r="H220" s="16">
        <v>1.5910083554087517E-2</v>
      </c>
      <c r="I220" s="16">
        <v>1.8176831306582875E-2</v>
      </c>
      <c r="J220" s="16">
        <v>2.0325206163975373E-2</v>
      </c>
      <c r="K220" s="16">
        <v>2.2357706309621528E-2</v>
      </c>
      <c r="L220" s="16">
        <v>2.4274702991869512E-2</v>
      </c>
      <c r="M220" s="16">
        <v>2.6075155708782716E-2</v>
      </c>
      <c r="N220" s="16">
        <v>2.7757031379398667E-2</v>
      </c>
      <c r="O220" s="16">
        <v>2.9317561868078656E-2</v>
      </c>
      <c r="P220" s="16">
        <v>3.0753406954683205E-2</v>
      </c>
      <c r="Q220" s="16">
        <v>3.2060758653318588E-2</v>
      </c>
      <c r="R220" s="16">
        <v>3.3235407118709648E-2</v>
      </c>
      <c r="S220" s="16">
        <v>3.4272779969315215E-2</v>
      </c>
      <c r="T220" s="16">
        <v>3.5167962059758917E-2</v>
      </c>
      <c r="U220" s="16">
        <v>3.5915699826271075E-2</v>
      </c>
      <c r="V220" s="16">
        <v>3.6510392432235195E-2</v>
      </c>
      <c r="W220" s="16">
        <v>3.694607057993271E-2</v>
      </c>
      <c r="X220" s="16">
        <v>3.7216362743974107E-2</v>
      </c>
      <c r="Y220" s="16">
        <v>3.7314447524115946E-2</v>
      </c>
      <c r="Z220" s="16">
        <v>3.7232989639911174E-2</v>
      </c>
      <c r="AA220" s="16">
        <v>3.6964055608365576E-2</v>
      </c>
      <c r="AB220" s="16">
        <v>3.6499003101648886E-2</v>
      </c>
      <c r="AC220" s="16">
        <v>3.5828334975872678E-2</v>
      </c>
      <c r="AD220" s="16">
        <v>3.4941504321922667E-2</v>
      </c>
      <c r="AE220" s="16">
        <v>3.3826649416328736E-2</v>
      </c>
      <c r="AF220" s="16">
        <v>3.2470224892933386E-2</v>
      </c>
      <c r="AG220" s="16">
        <v>3.0856473355081127E-2</v>
      </c>
      <c r="AH220" s="16">
        <v>2.8966640612991257E-2</v>
      </c>
      <c r="AI220" s="16">
        <v>2.6777756503091554E-2</v>
      </c>
      <c r="AJ220" s="16">
        <v>2.4260629213129103E-2</v>
      </c>
      <c r="AK220" s="16">
        <v>2.1376288391762643E-2</v>
      </c>
      <c r="AL220" s="16">
        <v>1.8068991381833488E-2</v>
      </c>
      <c r="AM220" s="16">
        <v>1.4250202702927428E-2</v>
      </c>
      <c r="AN220" s="16">
        <v>9.7510572087143865E-3</v>
      </c>
      <c r="AO220" s="16">
        <v>4.0400928805489622E-3</v>
      </c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</row>
    <row r="221" spans="1:62" ht="12" customHeight="1">
      <c r="A221" s="14" t="s">
        <v>766</v>
      </c>
      <c r="B221" s="31">
        <v>220</v>
      </c>
      <c r="C221" s="16">
        <v>1.9912346429891148E-3</v>
      </c>
      <c r="D221" s="16">
        <v>5.154602821302201E-3</v>
      </c>
      <c r="E221" s="16">
        <v>7.9267358936010446E-3</v>
      </c>
      <c r="F221" s="16">
        <v>1.0494633035643131E-2</v>
      </c>
      <c r="G221" s="16">
        <v>1.2911045849323677E-2</v>
      </c>
      <c r="H221" s="16">
        <v>1.5199403003473111E-2</v>
      </c>
      <c r="I221" s="16">
        <v>1.737146721808025E-2</v>
      </c>
      <c r="J221" s="16">
        <v>1.9433204142553451E-2</v>
      </c>
      <c r="K221" s="16">
        <v>2.1387297011160045E-2</v>
      </c>
      <c r="L221" s="16">
        <v>2.3234396450593331E-2</v>
      </c>
      <c r="M221" s="16">
        <v>2.4973805827591566E-2</v>
      </c>
      <c r="N221" s="16">
        <v>2.6603883836688103E-2</v>
      </c>
      <c r="O221" s="16">
        <v>2.8122292730884735E-2</v>
      </c>
      <c r="P221" s="16">
        <v>2.9526156354385713E-2</v>
      </c>
      <c r="Q221" s="16">
        <v>3.0812162353888395E-2</v>
      </c>
      <c r="R221" s="16">
        <v>3.197662799522305E-2</v>
      </c>
      <c r="S221" s="16">
        <v>3.3015540996969017E-2</v>
      </c>
      <c r="T221" s="16">
        <v>3.3924582237579548E-2</v>
      </c>
      <c r="U221" s="16">
        <v>3.4699134452371716E-2</v>
      </c>
      <c r="V221" s="16">
        <v>3.533427928016486E-2</v>
      </c>
      <c r="W221" s="16">
        <v>3.5824783798442339E-2</v>
      </c>
      <c r="X221" s="16">
        <v>3.6165076739741786E-2</v>
      </c>
      <c r="Y221" s="16">
        <v>3.6349213740066166E-2</v>
      </c>
      <c r="Z221" s="16">
        <v>3.6370830099465179E-2</v>
      </c>
      <c r="AA221" s="16">
        <v>3.6223078504501682E-2</v>
      </c>
      <c r="AB221" s="16">
        <v>3.5898547810603754E-2</v>
      </c>
      <c r="AC221" s="16">
        <v>3.5389157075429778E-2</v>
      </c>
      <c r="AD221" s="16">
        <v>3.4686016198843039E-2</v>
      </c>
      <c r="AE221" s="16">
        <v>3.3779240124424237E-2</v>
      </c>
      <c r="AF221" s="16">
        <v>3.2657696451558915E-2</v>
      </c>
      <c r="AG221" s="16">
        <v>3.1308654351530629E-2</v>
      </c>
      <c r="AH221" s="16">
        <v>2.9717281624627057E-2</v>
      </c>
      <c r="AI221" s="16">
        <v>2.7865897623927438E-2</v>
      </c>
      <c r="AJ221" s="16">
        <v>2.5732812328800758E-2</v>
      </c>
      <c r="AK221" s="16">
        <v>2.3290415887175286E-2</v>
      </c>
      <c r="AL221" s="16">
        <v>2.0501789341068277E-2</v>
      </c>
      <c r="AM221" s="16">
        <v>1.7314037783757508E-2</v>
      </c>
      <c r="AN221" s="16">
        <v>1.364301221930353E-2</v>
      </c>
      <c r="AO221" s="16">
        <v>9.3279544626015953E-3</v>
      </c>
      <c r="AP221" s="16">
        <v>3.862017699664988E-3</v>
      </c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</row>
    <row r="222" spans="1:62" ht="12" customHeight="1">
      <c r="A222" s="14" t="s">
        <v>767</v>
      </c>
      <c r="B222" s="31">
        <v>221</v>
      </c>
      <c r="C222" s="16">
        <v>1.9025865583920387E-3</v>
      </c>
      <c r="D222" s="16">
        <v>4.9254742313173949E-3</v>
      </c>
      <c r="E222" s="16">
        <v>7.5753754768957959E-3</v>
      </c>
      <c r="F222" s="16">
        <v>1.0031322366437112E-2</v>
      </c>
      <c r="G222" s="16">
        <v>1.2344035600946768E-2</v>
      </c>
      <c r="H222" s="16">
        <v>1.4536195169885469E-2</v>
      </c>
      <c r="I222" s="16">
        <v>1.6619319848215741E-2</v>
      </c>
      <c r="J222" s="16">
        <v>1.8599380061153248E-2</v>
      </c>
      <c r="K222" s="16">
        <v>2.0479204280883123E-2</v>
      </c>
      <c r="L222" s="16">
        <v>2.2259676054110833E-2</v>
      </c>
      <c r="M222" s="16">
        <v>2.39403912421563E-2</v>
      </c>
      <c r="N222" s="16">
        <v>2.5520044849724699E-2</v>
      </c>
      <c r="O222" s="16">
        <v>2.6996670271595247E-2</v>
      </c>
      <c r="P222" s="16">
        <v>2.8367792366865929E-2</v>
      </c>
      <c r="Q222" s="16">
        <v>2.9630527297837439E-2</v>
      </c>
      <c r="R222" s="16">
        <v>3.0781647783118538E-2</v>
      </c>
      <c r="S222" s="16">
        <v>3.1817624762173424E-2</v>
      </c>
      <c r="T222" s="16">
        <v>3.2734652130747777E-2</v>
      </c>
      <c r="U222" s="16">
        <v>3.3528658612424489E-2</v>
      </c>
      <c r="V222" s="16">
        <v>3.4195309189067102E-2</v>
      </c>
      <c r="W222" s="16">
        <v>3.472999739837479E-2</v>
      </c>
      <c r="X222" s="16">
        <v>3.5127828977741582E-2</v>
      </c>
      <c r="Y222" s="16">
        <v>3.5383596638075332E-2</v>
      </c>
      <c r="Z222" s="16">
        <v>3.5491745079403669E-2</v>
      </c>
      <c r="AA222" s="16">
        <v>3.5446324614996194E-2</v>
      </c>
      <c r="AB222" s="16">
        <v>3.5240930844644525E-2</v>
      </c>
      <c r="AC222" s="16">
        <v>3.4868626567138072E-2</v>
      </c>
      <c r="AD222" s="16">
        <v>3.4321840330029496E-2</v>
      </c>
      <c r="AE222" s="16">
        <v>3.3592233329171384E-2</v>
      </c>
      <c r="AF222" s="16">
        <v>3.2670522186500794E-2</v>
      </c>
      <c r="AG222" s="16">
        <v>3.154623836564352E-2</v>
      </c>
      <c r="AH222" s="16">
        <v>3.0207393585365949E-2</v>
      </c>
      <c r="AI222" s="16">
        <v>2.8640000503027618E-2</v>
      </c>
      <c r="AJ222" s="16">
        <v>2.682736061503399E-2</v>
      </c>
      <c r="AK222" s="16">
        <v>2.4748957396105054E-2</v>
      </c>
      <c r="AL222" s="16">
        <v>2.237863423691977E-2</v>
      </c>
      <c r="AM222" s="16">
        <v>1.968136084384442E-2</v>
      </c>
      <c r="AN222" s="16">
        <v>1.6606870188408673E-2</v>
      </c>
      <c r="AO222" s="16">
        <v>1.3075070627633023E-2</v>
      </c>
      <c r="AP222" s="16">
        <v>8.9327207435688782E-3</v>
      </c>
      <c r="AQ222" s="16">
        <v>3.6958587744247984E-3</v>
      </c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</row>
    <row r="223" spans="1:62" ht="12" customHeight="1">
      <c r="A223" s="14" t="s">
        <v>768</v>
      </c>
      <c r="B223" s="31">
        <v>222</v>
      </c>
      <c r="C223" s="16">
        <v>1.8198796388623206E-3</v>
      </c>
      <c r="D223" s="16">
        <v>4.7116723223701307E-3</v>
      </c>
      <c r="E223" s="16">
        <v>7.2474342694512917E-3</v>
      </c>
      <c r="F223" s="16">
        <v>9.5987341514504054E-3</v>
      </c>
      <c r="G223" s="16">
        <v>1.1814370900138038E-2</v>
      </c>
      <c r="H223" s="16">
        <v>1.3916300815365323E-2</v>
      </c>
      <c r="I223" s="16">
        <v>1.5915790925001838E-2</v>
      </c>
      <c r="J223" s="16">
        <v>1.7818792512881654E-2</v>
      </c>
      <c r="K223" s="16">
        <v>1.9628246157535223E-2</v>
      </c>
      <c r="L223" s="16">
        <v>2.1345229224504769E-2</v>
      </c>
      <c r="M223" s="16">
        <v>2.2969586618528215E-2</v>
      </c>
      <c r="N223" s="16">
        <v>2.4500302652642025E-2</v>
      </c>
      <c r="O223" s="16">
        <v>2.593573164783447E-2</v>
      </c>
      <c r="P223" s="16">
        <v>2.7273746094056639E-2</v>
      </c>
      <c r="Q223" s="16">
        <v>2.8511833953056787E-2</v>
      </c>
      <c r="R223" s="16">
        <v>2.9647163012152977E-2</v>
      </c>
      <c r="S223" s="16">
        <v>3.0676622880969506E-2</v>
      </c>
      <c r="T223" s="16">
        <v>3.1596851083126265E-2</v>
      </c>
      <c r="U223" s="16">
        <v>3.2404247229485983E-2</v>
      </c>
      <c r="V223" s="16">
        <v>3.3094977712751716E-2</v>
      </c>
      <c r="W223" s="16">
        <v>3.366497233230048E-2</v>
      </c>
      <c r="X223" s="16">
        <v>3.4109913515364854E-2</v>
      </c>
      <c r="Y223" s="16">
        <v>3.4425218207382091E-2</v>
      </c>
      <c r="Z223" s="16">
        <v>3.4606011965884753E-2</v>
      </c>
      <c r="AA223" s="16">
        <v>3.4647094232520881E-2</v>
      </c>
      <c r="AB223" s="16">
        <v>3.4542893100598882E-2</v>
      </c>
      <c r="AC223" s="16">
        <v>3.4287407048219642E-2</v>
      </c>
      <c r="AD223" s="16">
        <v>3.3874129938425424E-2</v>
      </c>
      <c r="AE223" s="16">
        <v>3.3295953894819208E-2</v>
      </c>
      <c r="AF223" s="16">
        <v>3.254504210954734E-2</v>
      </c>
      <c r="AG223" s="16">
        <v>3.1612659654324804E-2</v>
      </c>
      <c r="AH223" s="16">
        <v>3.0488943907231225E-2</v>
      </c>
      <c r="AI223" s="16">
        <v>2.9162585324026047E-2</v>
      </c>
      <c r="AJ223" s="16">
        <v>2.7620370095003732E-2</v>
      </c>
      <c r="AK223" s="16">
        <v>2.5846500565209429E-2</v>
      </c>
      <c r="AL223" s="16">
        <v>2.3821538645466656E-2</v>
      </c>
      <c r="AM223" s="16">
        <v>2.1520665966778818E-2</v>
      </c>
      <c r="AN223" s="16">
        <v>1.891059513503468E-2</v>
      </c>
      <c r="AO223" s="16">
        <v>1.5943489503828512E-2</v>
      </c>
      <c r="AP223" s="16">
        <v>1.2543018278369567E-2</v>
      </c>
      <c r="AQ223" s="16">
        <v>8.5629234706743329E-3</v>
      </c>
      <c r="AR223" s="16">
        <v>3.5405593068230656E-3</v>
      </c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</row>
    <row r="224" spans="1:62" ht="12" customHeight="1">
      <c r="A224" s="14" t="s">
        <v>769</v>
      </c>
      <c r="B224" s="31">
        <v>223</v>
      </c>
      <c r="C224" s="16">
        <v>1.7425882192068087E-3</v>
      </c>
      <c r="D224" s="16">
        <v>4.5118440911277036E-3</v>
      </c>
      <c r="E224" s="16">
        <v>6.9408536514455887E-3</v>
      </c>
      <c r="F224" s="16">
        <v>9.1941844878919987E-3</v>
      </c>
      <c r="G224" s="16">
        <v>1.1318816091422046E-2</v>
      </c>
      <c r="H224" s="16">
        <v>1.3336006535939693E-2</v>
      </c>
      <c r="I224" s="16">
        <v>1.5256766591624449E-2</v>
      </c>
      <c r="J224" s="16">
        <v>1.7087009172970902E-2</v>
      </c>
      <c r="K224" s="16">
        <v>1.8829759353272024E-2</v>
      </c>
      <c r="L224" s="16">
        <v>2.0486255317838209E-2</v>
      </c>
      <c r="M224" s="16">
        <v>2.2056554141943963E-2</v>
      </c>
      <c r="N224" s="16">
        <v>2.3539889467860342E-2</v>
      </c>
      <c r="O224" s="16">
        <v>2.4934893807648351E-2</v>
      </c>
      <c r="P224" s="16">
        <v>2.6239741881692979E-2</v>
      </c>
      <c r="Q224" s="16">
        <v>2.7452245295039313E-2</v>
      </c>
      <c r="R224" s="16">
        <v>2.8569915757126751E-2</v>
      </c>
      <c r="S224" s="16">
        <v>2.9590007044625999E-2</v>
      </c>
      <c r="T224" s="16">
        <v>3.0509541948492758E-2</v>
      </c>
      <c r="U224" s="16">
        <v>3.1325328096371119E-2</v>
      </c>
      <c r="V224" s="16">
        <v>3.2033965076923021E-2</v>
      </c>
      <c r="W224" s="16">
        <v>3.2631844329557791E-2</v>
      </c>
      <c r="X224" s="16">
        <v>3.3115142585940949E-2</v>
      </c>
      <c r="Y224" s="16">
        <v>3.3479809129930316E-2</v>
      </c>
      <c r="Z224" s="16">
        <v>3.3721546696054649E-2</v>
      </c>
      <c r="AA224" s="16">
        <v>3.3835785390288642E-2</v>
      </c>
      <c r="AB224" s="16">
        <v>3.3817648533876921E-2</v>
      </c>
      <c r="AC224" s="16">
        <v>3.3661908738053858E-2</v>
      </c>
      <c r="AD224" s="16">
        <v>3.3362931732008994E-2</v>
      </c>
      <c r="AE224" s="16">
        <v>3.2914604366615086E-2</v>
      </c>
      <c r="AF224" s="16">
        <v>3.231024161043361E-2</v>
      </c>
      <c r="AG224" s="16">
        <v>3.1542464924327329E-2</v>
      </c>
      <c r="AH224" s="16">
        <v>3.0603040596620001E-2</v>
      </c>
      <c r="AI224" s="16">
        <v>2.9482660450823372E-2</v>
      </c>
      <c r="AJ224" s="16">
        <v>2.8170636933322113E-2</v>
      </c>
      <c r="AK224" s="16">
        <v>2.6654466239041885E-2</v>
      </c>
      <c r="AL224" s="16">
        <v>2.4919179019217808E-2</v>
      </c>
      <c r="AM224" s="16">
        <v>2.2946330619514566E-2</v>
      </c>
      <c r="AN224" s="16">
        <v>2.0712337841560569E-2</v>
      </c>
      <c r="AO224" s="16">
        <v>1.8185525226362631E-2</v>
      </c>
      <c r="AP224" s="16">
        <v>1.5320308595371368E-2</v>
      </c>
      <c r="AQ224" s="16">
        <v>1.2043850146275403E-2</v>
      </c>
      <c r="AR224" s="16">
        <v>8.2163920925811817E-3</v>
      </c>
      <c r="AS224" s="16">
        <v>3.3951781717569407E-3</v>
      </c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</row>
    <row r="225" spans="1:62" ht="12" customHeight="1">
      <c r="A225" s="14" t="s">
        <v>770</v>
      </c>
      <c r="B225" s="31">
        <v>224</v>
      </c>
      <c r="C225" s="16">
        <v>1.6702439141953462E-3</v>
      </c>
      <c r="D225" s="16">
        <v>4.3247835845360294E-3</v>
      </c>
      <c r="E225" s="16">
        <v>6.6537976510258057E-3</v>
      </c>
      <c r="F225" s="16">
        <v>8.8152776591879922E-3</v>
      </c>
      <c r="G225" s="16">
        <v>1.0854479567234732E-2</v>
      </c>
      <c r="H225" s="16">
        <v>1.2791988768591334E-2</v>
      </c>
      <c r="I225" s="16">
        <v>1.4638557864343982E-2</v>
      </c>
      <c r="J225" s="16">
        <v>1.6400046015393577E-2</v>
      </c>
      <c r="K225" s="16">
        <v>1.8079539754693452E-2</v>
      </c>
      <c r="L225" s="16">
        <v>1.9678410169843952E-2</v>
      </c>
      <c r="M225" s="16">
        <v>2.1196895119673154E-2</v>
      </c>
      <c r="N225" s="16">
        <v>2.2634443451452269E-2</v>
      </c>
      <c r="O225" s="16">
        <v>2.398992936053379E-2</v>
      </c>
      <c r="P225" s="16">
        <v>2.5261791027709091E-2</v>
      </c>
      <c r="Q225" s="16">
        <v>2.6448122631471227E-2</v>
      </c>
      <c r="R225" s="16">
        <v>2.754673627344395E-2</v>
      </c>
      <c r="S225" s="16">
        <v>2.8555203639305415E-2</v>
      </c>
      <c r="T225" s="16">
        <v>2.9470883426497951E-2</v>
      </c>
      <c r="U225" s="16">
        <v>3.0290938324672001E-2</v>
      </c>
      <c r="V225" s="16">
        <v>3.1012343942431464E-2</v>
      </c>
      <c r="W225" s="16">
        <v>3.1631891167365533E-2</v>
      </c>
      <c r="X225" s="16">
        <v>3.2146182820864011E-2</v>
      </c>
      <c r="Y225" s="16">
        <v>3.2551625004025309E-2</v>
      </c>
      <c r="Z225" s="16">
        <v>3.2844413149440199E-2</v>
      </c>
      <c r="AA225" s="16">
        <v>3.3020512441593097E-2</v>
      </c>
      <c r="AB225" s="16">
        <v>3.3075631901066771E-2</v>
      </c>
      <c r="AC225" s="16">
        <v>3.3005190999410683E-2</v>
      </c>
      <c r="AD225" s="16">
        <v>3.280427712765166E-2</v>
      </c>
      <c r="AE225" s="16">
        <v>3.2467591506278537E-2</v>
      </c>
      <c r="AF225" s="16">
        <v>3.1989380083919161E-2</v>
      </c>
      <c r="AG225" s="16">
        <v>3.1363344443735675E-2</v>
      </c>
      <c r="AH225" s="16">
        <v>3.0582525417218287E-2</v>
      </c>
      <c r="AI225" s="16">
        <v>2.9639148468737497E-2</v>
      </c>
      <c r="AJ225" s="16">
        <v>2.852441401196526E-2</v>
      </c>
      <c r="AK225" s="16">
        <v>2.722820586136232E-2</v>
      </c>
      <c r="AL225" s="16">
        <v>2.5738673454933414E-2</v>
      </c>
      <c r="AM225" s="16">
        <v>2.4041610817400083E-2</v>
      </c>
      <c r="AN225" s="16">
        <v>2.211949049094164E-2</v>
      </c>
      <c r="AO225" s="16">
        <v>1.9949871799056496E-2</v>
      </c>
      <c r="AP225" s="16">
        <v>1.7502573213358574E-2</v>
      </c>
      <c r="AQ225" s="16">
        <v>1.4734102306567576E-2</v>
      </c>
      <c r="AR225" s="16">
        <v>1.1574871655223307E-2</v>
      </c>
      <c r="AS225" s="16">
        <v>7.8911847506628607E-3</v>
      </c>
      <c r="AT225" s="16">
        <v>3.2588749609855361E-3</v>
      </c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</row>
    <row r="226" spans="1:62" ht="12" customHeight="1">
      <c r="A226" s="14" t="s">
        <v>771</v>
      </c>
      <c r="B226" s="31">
        <v>225</v>
      </c>
      <c r="C226" s="16">
        <v>1.602428255288002E-3</v>
      </c>
      <c r="D226" s="16">
        <v>4.149413051217965E-3</v>
      </c>
      <c r="E226" s="16">
        <v>6.3846245621630437E-3</v>
      </c>
      <c r="F226" s="16">
        <v>8.4598696993459788E-3</v>
      </c>
      <c r="G226" s="16">
        <v>1.0418770761523088E-2</v>
      </c>
      <c r="H226" s="16">
        <v>1.2281265796994179E-2</v>
      </c>
      <c r="I226" s="16">
        <v>1.4057849371650555E-2</v>
      </c>
      <c r="J226" s="16">
        <v>1.5754314665668567E-2</v>
      </c>
      <c r="K226" s="16">
        <v>1.7373790443114601E-2</v>
      </c>
      <c r="L226" s="16">
        <v>1.8917757024091819E-2</v>
      </c>
      <c r="M226" s="16">
        <v>2.0386606257809081E-2</v>
      </c>
      <c r="N226" s="16">
        <v>2.177997297518397E-2</v>
      </c>
      <c r="O226" s="16">
        <v>2.309694175589716E-2</v>
      </c>
      <c r="P226" s="16">
        <v>2.4336181005684687E-2</v>
      </c>
      <c r="Q226" s="16">
        <v>2.5496032304989646E-2</v>
      </c>
      <c r="R226" s="16">
        <v>2.6574570934855379E-2</v>
      </c>
      <c r="S226" s="16">
        <v>2.7569647040931788E-2</v>
      </c>
      <c r="T226" s="16">
        <v>2.8478913260971406E-2</v>
      </c>
      <c r="U226" s="16">
        <v>2.9299842491658734E-2</v>
      </c>
      <c r="V226" s="16">
        <v>3.0029738142524631E-2</v>
      </c>
      <c r="W226" s="16">
        <v>3.0665738366479012E-2</v>
      </c>
      <c r="X226" s="16">
        <v>3.1204815172685807E-2</v>
      </c>
      <c r="Y226" s="16">
        <v>3.1643768903996117E-2</v>
      </c>
      <c r="Z226" s="16">
        <v>3.1979218226880768E-2</v>
      </c>
      <c r="AA226" s="16">
        <v>3.2207585488705837E-2</v>
      </c>
      <c r="AB226" s="16">
        <v>3.2325077008000802E-2</v>
      </c>
      <c r="AC226" s="16">
        <v>3.2327657543868904E-2</v>
      </c>
      <c r="AD226" s="16">
        <v>3.221101780289104E-2</v>
      </c>
      <c r="AE226" s="16">
        <v>3.1970533336761586E-2</v>
      </c>
      <c r="AF226" s="16">
        <v>3.160121249102843E-2</v>
      </c>
      <c r="AG226" s="16">
        <v>3.1097630076811988E-2</v>
      </c>
      <c r="AH226" s="16">
        <v>3.0453841979567797E-2</v>
      </c>
      <c r="AI226" s="16">
        <v>2.9663273701669768E-2</v>
      </c>
      <c r="AJ226" s="16">
        <v>2.8718572355179495E-2</v>
      </c>
      <c r="AK226" s="16">
        <v>2.7611405968416269E-2</v>
      </c>
      <c r="AL226" s="16">
        <v>2.6332184429192718E-2</v>
      </c>
      <c r="AM226" s="16">
        <v>2.4869659552001488E-2</v>
      </c>
      <c r="AN226" s="16">
        <v>2.3210330442889004E-2</v>
      </c>
      <c r="AO226" s="16">
        <v>2.13375182644856E-2</v>
      </c>
      <c r="AP226" s="16">
        <v>1.9229841346485865E-2</v>
      </c>
      <c r="AQ226" s="16">
        <v>1.6858505474274255E-2</v>
      </c>
      <c r="AR226" s="16">
        <v>1.4181964409709535E-2</v>
      </c>
      <c r="AS226" s="16">
        <v>1.1133660806817658E-2</v>
      </c>
      <c r="AT226" s="16">
        <v>7.5855598050652562E-3</v>
      </c>
      <c r="AU226" s="16">
        <v>3.1308972445707184E-3</v>
      </c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</row>
    <row r="227" spans="1:62" ht="12" customHeight="1">
      <c r="A227" s="14" t="s">
        <v>772</v>
      </c>
      <c r="B227" s="31">
        <v>226</v>
      </c>
      <c r="C227" s="16">
        <v>1.5387664118575728E-3</v>
      </c>
      <c r="D227" s="16">
        <v>3.9847668602024378E-3</v>
      </c>
      <c r="E227" s="16">
        <v>6.131862704314428E-3</v>
      </c>
      <c r="F227" s="16">
        <v>8.1260372254919888E-3</v>
      </c>
      <c r="G227" s="16">
        <v>1.0009363280905847E-2</v>
      </c>
      <c r="H227" s="16">
        <v>1.1801156484276043E-2</v>
      </c>
      <c r="I227" s="16">
        <v>1.3511655101340669E-2</v>
      </c>
      <c r="J227" s="16">
        <v>1.5146576701991932E-2</v>
      </c>
      <c r="K227" s="16">
        <v>1.6709076228444086E-2</v>
      </c>
      <c r="L227" s="16">
        <v>1.8200723126674867E-2</v>
      </c>
      <c r="M227" s="16">
        <v>1.9622040304790089E-2</v>
      </c>
      <c r="N227" s="16">
        <v>2.0972823478811797E-2</v>
      </c>
      <c r="O227" s="16">
        <v>2.2252340690086192E-2</v>
      </c>
      <c r="P227" s="16">
        <v>2.3459461975679941E-2</v>
      </c>
      <c r="Q227" s="16">
        <v>2.4592746081083083E-2</v>
      </c>
      <c r="R227" s="16">
        <v>2.5650499522096304E-2</v>
      </c>
      <c r="S227" s="16">
        <v>2.6630817111576E-2</v>
      </c>
      <c r="T227" s="16">
        <v>2.7531609576198934E-2</v>
      </c>
      <c r="U227" s="16">
        <v>2.8350621827194833E-2</v>
      </c>
      <c r="V227" s="16">
        <v>2.908544417903014E-2</v>
      </c>
      <c r="W227" s="16">
        <v>2.9733517993922765E-2</v>
      </c>
      <c r="X227" s="16">
        <v>3.0292136680933557E-2</v>
      </c>
      <c r="Y227" s="16">
        <v>3.0758442587562551E-2</v>
      </c>
      <c r="Z227" s="16">
        <v>3.1129420022827481E-2</v>
      </c>
      <c r="AA227" s="16">
        <v>3.140188439990621E-2</v>
      </c>
      <c r="AB227" s="16">
        <v>3.1572467251597347E-2</v>
      </c>
      <c r="AC227" s="16">
        <v>3.1637596625900155E-2</v>
      </c>
      <c r="AD227" s="16">
        <v>3.1593472084280205E-2</v>
      </c>
      <c r="AE227" s="16">
        <v>3.1436033168592892E-2</v>
      </c>
      <c r="AF227" s="16">
        <v>3.1160919729183334E-2</v>
      </c>
      <c r="AG227" s="16">
        <v>3.0763421850297235E-2</v>
      </c>
      <c r="AH227" s="16">
        <v>3.0238416166975979E-2</v>
      </c>
      <c r="AI227" s="16">
        <v>2.9580283974168786E-2</v>
      </c>
      <c r="AJ227" s="16">
        <v>2.8782804405910634E-2</v>
      </c>
      <c r="AK227" s="16">
        <v>2.7839012627213E-2</v>
      </c>
      <c r="AL227" s="16">
        <v>2.6741007561604579E-2</v>
      </c>
      <c r="AM227" s="16">
        <v>2.5479684526846125E-2</v>
      </c>
      <c r="AN227" s="16">
        <v>2.4044352000718749E-2</v>
      </c>
      <c r="AO227" s="16">
        <v>2.2422161693381737E-2</v>
      </c>
      <c r="AP227" s="16">
        <v>2.0597221534776167E-2</v>
      </c>
      <c r="AQ227" s="16">
        <v>1.8549133376586036E-2</v>
      </c>
      <c r="AR227" s="16">
        <v>1.6250393740383062E-2</v>
      </c>
      <c r="AS227" s="16">
        <v>1.3661270411808202E-2</v>
      </c>
      <c r="AT227" s="16">
        <v>1.0718035604224685E-2</v>
      </c>
      <c r="AU227" s="16">
        <v>7.2979514275958168E-3</v>
      </c>
      <c r="AV227" s="16">
        <v>3.010569680755526E-3</v>
      </c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</row>
    <row r="228" spans="1:62" ht="12" customHeight="1">
      <c r="A228" s="14" t="s">
        <v>773</v>
      </c>
      <c r="B228" s="31">
        <v>227</v>
      </c>
      <c r="C228" s="16">
        <v>1.478921817716361E-3</v>
      </c>
      <c r="D228" s="16">
        <v>3.8299777313128835E-3</v>
      </c>
      <c r="E228" s="16">
        <v>5.894189646398762E-3</v>
      </c>
      <c r="F228" s="16">
        <v>7.812050685632177E-3</v>
      </c>
      <c r="G228" s="16">
        <v>9.6241631943710937E-3</v>
      </c>
      <c r="H228" s="16">
        <v>1.1349244682347215E-2</v>
      </c>
      <c r="I228" s="16">
        <v>1.2997280094554808E-2</v>
      </c>
      <c r="J228" s="16">
        <v>1.4573903901010321E-2</v>
      </c>
      <c r="K228" s="16">
        <v>1.6082283825545995E-2</v>
      </c>
      <c r="L228" s="16">
        <v>1.7524061332166552E-2</v>
      </c>
      <c r="M228" s="16">
        <v>1.8899870714462752E-2</v>
      </c>
      <c r="N228" s="16">
        <v>2.0209646955467342E-2</v>
      </c>
      <c r="O228" s="16">
        <v>2.1452818327776457E-2</v>
      </c>
      <c r="P228" s="16">
        <v>2.2628431816702266E-2</v>
      </c>
      <c r="Q228" s="16">
        <v>2.3735237243885821E-2</v>
      </c>
      <c r="R228" s="16">
        <v>2.4771744830934028E-2</v>
      </c>
      <c r="S228" s="16">
        <v>2.5736264989680957E-2</v>
      </c>
      <c r="T228" s="16">
        <v>2.6626935770767246E-2</v>
      </c>
      <c r="U228" s="16">
        <v>2.7441741422963628E-2</v>
      </c>
      <c r="V228" s="16">
        <v>2.8178524298703378E-2</v>
      </c>
      <c r="W228" s="16">
        <v>2.8834991562601275E-2</v>
      </c>
      <c r="X228" s="16">
        <v>2.9408717640022952E-2</v>
      </c>
      <c r="Y228" s="16">
        <v>2.9897142978394964E-2</v>
      </c>
      <c r="Z228" s="16">
        <v>3.0297569422037318E-2</v>
      </c>
      <c r="AA228" s="16">
        <v>3.0607152281403427E-2</v>
      </c>
      <c r="AB228" s="16">
        <v>3.0822888981322905E-2</v>
      </c>
      <c r="AC228" s="16">
        <v>3.094160397762924E-2</v>
      </c>
      <c r="AD228" s="16">
        <v>3.095992941631065E-2</v>
      </c>
      <c r="AE228" s="16">
        <v>3.0874280750690208E-2</v>
      </c>
      <c r="AF228" s="16">
        <v>3.0680826200353173E-2</v>
      </c>
      <c r="AG228" s="16">
        <v>3.0375448488765611E-2</v>
      </c>
      <c r="AH228" s="16">
        <v>2.9953696672209373E-2</v>
      </c>
      <c r="AI228" s="16">
        <v>2.9410724972821045E-2</v>
      </c>
      <c r="AJ228" s="16">
        <v>2.8741214194380471E-2</v>
      </c>
      <c r="AK228" s="16">
        <v>2.7939269264316891E-2</v>
      </c>
      <c r="AL228" s="16">
        <v>2.6998283245817101E-2</v>
      </c>
      <c r="AM228" s="16">
        <v>2.5910752962357342E-2</v>
      </c>
      <c r="AN228" s="16">
        <v>2.4668022592420402E-2</v>
      </c>
      <c r="AO228" s="16">
        <v>2.3259916084002907E-2</v>
      </c>
      <c r="AP228" s="16">
        <v>2.1674190383074055E-2</v>
      </c>
      <c r="AQ228" s="16">
        <v>1.9895684251840962E-2</v>
      </c>
      <c r="AR228" s="16">
        <v>1.7904914665272442E-2</v>
      </c>
      <c r="AS228" s="16">
        <v>1.5675581181867071E-2</v>
      </c>
      <c r="AT228" s="16">
        <v>1.3169645324730084E-2</v>
      </c>
      <c r="AU228" s="16">
        <v>1.0326025940639472E-2</v>
      </c>
      <c r="AV228" s="16">
        <v>7.02694860924169E-3</v>
      </c>
      <c r="AW228" s="16">
        <v>2.8972846730769275E-3</v>
      </c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</row>
    <row r="229" spans="1:62" ht="12" customHeight="1">
      <c r="A229" s="14" t="s">
        <v>774</v>
      </c>
      <c r="B229" s="31">
        <v>228</v>
      </c>
      <c r="C229" s="16">
        <v>1.42259155644886E-3</v>
      </c>
      <c r="D229" s="16">
        <v>3.6842649043596909E-3</v>
      </c>
      <c r="E229" s="16">
        <v>5.6704143398520479E-3</v>
      </c>
      <c r="F229" s="16">
        <v>7.5163513208917898E-3</v>
      </c>
      <c r="G229" s="16">
        <v>9.2612816742457804E-3</v>
      </c>
      <c r="H229" s="16">
        <v>1.0923348447060999E-2</v>
      </c>
      <c r="I229" s="16">
        <v>1.2512287200402206E-2</v>
      </c>
      <c r="J229" s="16">
        <v>1.4033643579377975E-2</v>
      </c>
      <c r="K229" s="16">
        <v>1.5490586920595906E-2</v>
      </c>
      <c r="L229" s="16">
        <v>1.6884816129803637E-2</v>
      </c>
      <c r="M229" s="16">
        <v>1.8217059970881078E-2</v>
      </c>
      <c r="N229" s="16">
        <v>1.9487374024799387E-2</v>
      </c>
      <c r="O229" s="16">
        <v>2.0695326692393601E-2</v>
      </c>
      <c r="P229" s="16">
        <v>2.1840120532395146E-2</v>
      </c>
      <c r="Q229" s="16">
        <v>2.2920673856124174E-2</v>
      </c>
      <c r="R229" s="16">
        <v>2.3935676780990067E-2</v>
      </c>
      <c r="S229" s="16">
        <v>2.4883630216089525E-2</v>
      </c>
      <c r="T229" s="16">
        <v>2.5762873025445998E-2</v>
      </c>
      <c r="U229" s="16">
        <v>2.6571600711535082E-2</v>
      </c>
      <c r="V229" s="16">
        <v>2.7307877793581459E-2</v>
      </c>
      <c r="W229" s="16">
        <v>2.7969645310039315E-2</v>
      </c>
      <c r="X229" s="16">
        <v>2.8554724380515317E-2</v>
      </c>
      <c r="Y229" s="16">
        <v>2.9060816419887225E-2</v>
      </c>
      <c r="Z229" s="16">
        <v>2.9485500346749793E-2</v>
      </c>
      <c r="AA229" s="16">
        <v>2.9826226931732869E-2</v>
      </c>
      <c r="AB229" s="16">
        <v>3.0080310262862509E-2</v>
      </c>
      <c r="AC229" s="16">
        <v>3.0244916145669487E-2</v>
      </c>
      <c r="AD229" s="16">
        <v>3.0317047088251892E-2</v>
      </c>
      <c r="AE229" s="16">
        <v>3.029352332882107E-2</v>
      </c>
      <c r="AF229" s="16">
        <v>3.0170959124879326E-2</v>
      </c>
      <c r="AG229" s="16">
        <v>2.9945733211748538E-2</v>
      </c>
      <c r="AH229" s="16">
        <v>2.9613951914430836E-2</v>
      </c>
      <c r="AI229" s="16">
        <v>2.9171402801068447E-2</v>
      </c>
      <c r="AJ229" s="16">
        <v>2.8613495905013275E-2</v>
      </c>
      <c r="AK229" s="16">
        <v>2.7935188263221056E-2</v>
      </c>
      <c r="AL229" s="16">
        <v>2.7130885565377572E-2</v>
      </c>
      <c r="AM229" s="16">
        <v>2.6194311635477918E-2</v>
      </c>
      <c r="AN229" s="16">
        <v>2.5118331470642241E-2</v>
      </c>
      <c r="AO229" s="16">
        <v>2.3894705120839022E-2</v>
      </c>
      <c r="AP229" s="16">
        <v>2.2513734788522255E-2</v>
      </c>
      <c r="AQ229" s="16">
        <v>2.0963739789985003E-2</v>
      </c>
      <c r="AR229" s="16">
        <v>1.923023901059473E-2</v>
      </c>
      <c r="AS229" s="16">
        <v>1.729460242005354E-2</v>
      </c>
      <c r="AT229" s="16">
        <v>1.513165278969808E-2</v>
      </c>
      <c r="AU229" s="16">
        <v>1.2704935657605776E-2</v>
      </c>
      <c r="AV229" s="16">
        <v>9.9558492656136588E-3</v>
      </c>
      <c r="AW229" s="16">
        <v>6.7712770456803684E-3</v>
      </c>
      <c r="AX229" s="16">
        <v>2.7904943277444749E-3</v>
      </c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</row>
    <row r="230" spans="1:62" ht="12" customHeight="1">
      <c r="A230" s="14" t="s">
        <v>775</v>
      </c>
      <c r="B230" s="31">
        <v>229</v>
      </c>
      <c r="C230" s="16">
        <v>1.3695023852419164E-3</v>
      </c>
      <c r="D230" s="16">
        <v>3.5469239406913378E-3</v>
      </c>
      <c r="E230" s="16">
        <v>5.4594617037506676E-3</v>
      </c>
      <c r="F230" s="16">
        <v>7.2375312641118628E-3</v>
      </c>
      <c r="G230" s="16">
        <v>8.9190113202124444E-3</v>
      </c>
      <c r="H230" s="16">
        <v>1.0521493334954224E-2</v>
      </c>
      <c r="I230" s="16">
        <v>1.2054468148675057E-2</v>
      </c>
      <c r="J230" s="16">
        <v>1.3523388312248086E-2</v>
      </c>
      <c r="K230" s="16">
        <v>1.4931415478547927E-2</v>
      </c>
      <c r="L230" s="16">
        <v>1.6280293562069947E-2</v>
      </c>
      <c r="M230" s="16">
        <v>1.7570831224355321E-2</v>
      </c>
      <c r="N230" s="16">
        <v>1.8803188482682809E-2</v>
      </c>
      <c r="O230" s="16">
        <v>1.9977056421934036E-2</v>
      </c>
      <c r="P230" s="16">
        <v>2.1091774609255598E-2</v>
      </c>
      <c r="Q230" s="16">
        <v>2.2146410228930824E-2</v>
      </c>
      <c r="R230" s="16">
        <v>2.3139812630348811E-2</v>
      </c>
      <c r="S230" s="16">
        <v>2.4070651464251913E-2</v>
      </c>
      <c r="T230" s="16">
        <v>2.493744347421234E-2</v>
      </c>
      <c r="U230" s="16">
        <v>2.5738571178881453E-2</v>
      </c>
      <c r="V230" s="16">
        <v>2.6472295557539383E-2</v>
      </c>
      <c r="W230" s="16">
        <v>2.7136764137031921E-2</v>
      </c>
      <c r="X230" s="16">
        <v>2.7730015406558728E-2</v>
      </c>
      <c r="Y230" s="16">
        <v>2.8249980162782018E-2</v>
      </c>
      <c r="Z230" s="16">
        <v>2.8694480154311641E-2</v>
      </c>
      <c r="AA230" s="16">
        <v>2.9061224215935599E-2</v>
      </c>
      <c r="AB230" s="16">
        <v>2.9347801935323603E-2</v>
      </c>
      <c r="AC230" s="16">
        <v>2.9551674761100322E-2</v>
      </c>
      <c r="AD230" s="16">
        <v>2.9670164327157966E-2</v>
      </c>
      <c r="AE230" s="16">
        <v>2.9700437620633013E-2</v>
      </c>
      <c r="AF230" s="16">
        <v>2.9639488445397877E-2</v>
      </c>
      <c r="AG230" s="16">
        <v>2.9484114410744167E-2</v>
      </c>
      <c r="AH230" s="16">
        <v>2.92308883807193E-2</v>
      </c>
      <c r="AI230" s="16">
        <v>2.8876122916032254E-2</v>
      </c>
      <c r="AJ230" s="16">
        <v>2.8415825670710215E-2</v>
      </c>
      <c r="AK230" s="16">
        <v>2.784564287989455E-2</v>
      </c>
      <c r="AL230" s="16">
        <v>2.7160786846962326E-2</v>
      </c>
      <c r="AM230" s="16">
        <v>2.635594146138398E-2</v>
      </c>
      <c r="AN230" s="16">
        <v>2.5425136825134698E-2</v>
      </c>
      <c r="AO230" s="16">
        <v>2.4361579260710475E-2</v>
      </c>
      <c r="AP230" s="16">
        <v>2.3157414855648928E-2</v>
      </c>
      <c r="AQ230" s="16">
        <v>2.1803390361467168E-2</v>
      </c>
      <c r="AR230" s="16">
        <v>2.0288348579954318E-2</v>
      </c>
      <c r="AS230" s="16">
        <v>1.8598442439046736E-2</v>
      </c>
      <c r="AT230" s="16">
        <v>1.6715838339532163E-2</v>
      </c>
      <c r="AU230" s="16">
        <v>1.4616409446822076E-2</v>
      </c>
      <c r="AV230" s="16">
        <v>1.2265185011713142E-2</v>
      </c>
      <c r="AW230" s="16">
        <v>9.6058894591322108E-3</v>
      </c>
      <c r="AX230" s="16">
        <v>6.5297834573685432E-3</v>
      </c>
      <c r="AY230" s="16">
        <v>2.6897035078941034E-3</v>
      </c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</row>
    <row r="231" spans="1:62" ht="12" customHeight="1">
      <c r="A231" s="14" t="s">
        <v>776</v>
      </c>
      <c r="B231" s="31">
        <v>230</v>
      </c>
      <c r="C231" s="16">
        <v>1.3194072979737514E-3</v>
      </c>
      <c r="D231" s="16">
        <v>3.4173179041780966E-3</v>
      </c>
      <c r="E231" s="16">
        <v>5.2603592842653812E-3</v>
      </c>
      <c r="F231" s="16">
        <v>6.9743162959506888E-3</v>
      </c>
      <c r="G231" s="16">
        <v>8.5958056111675729E-3</v>
      </c>
      <c r="H231" s="16">
        <v>1.0141889177121222E-2</v>
      </c>
      <c r="I231" s="16">
        <v>1.1621818317003707E-2</v>
      </c>
      <c r="J231" s="16">
        <v>1.3040949419022785E-2</v>
      </c>
      <c r="K231" s="16">
        <v>1.4402428732668837E-2</v>
      </c>
      <c r="L231" s="16">
        <v>1.5708034567613938E-2</v>
      </c>
      <c r="M231" s="16">
        <v>1.695864290602711E-2</v>
      </c>
      <c r="N231" s="16">
        <v>1.815450417885256E-2</v>
      </c>
      <c r="O231" s="16">
        <v>1.9295416979204338E-2</v>
      </c>
      <c r="P231" s="16">
        <v>2.0380841713024789E-2</v>
      </c>
      <c r="Q231" s="16">
        <v>2.1409977348924247E-2</v>
      </c>
      <c r="R231" s="16">
        <v>2.2381814477302253E-2</v>
      </c>
      <c r="S231" s="16">
        <v>2.3295172570338196E-2</v>
      </c>
      <c r="T231" s="16">
        <v>2.4148726338857451E-2</v>
      </c>
      <c r="U231" s="16">
        <v>2.4941024317684968E-2</v>
      </c>
      <c r="V231" s="16">
        <v>2.5670501730199025E-2</v>
      </c>
      <c r="W231" s="16">
        <v>2.6335488996422352E-2</v>
      </c>
      <c r="X231" s="16">
        <v>2.6934216797547261E-2</v>
      </c>
      <c r="Y231" s="16">
        <v>2.7464818301826788E-2</v>
      </c>
      <c r="Z231" s="16">
        <v>2.7925328937483673E-2</v>
      </c>
      <c r="AA231" s="16">
        <v>2.8313683933805067E-2</v>
      </c>
      <c r="AB231" s="16">
        <v>2.8627713719587611E-2</v>
      </c>
      <c r="AC231" s="16">
        <v>2.8865137153066267E-2</v>
      </c>
      <c r="AD231" s="16">
        <v>2.9023552447333012E-2</v>
      </c>
      <c r="AE231" s="16">
        <v>2.9100425539380081E-2</v>
      </c>
      <c r="AF231" s="16">
        <v>2.9093075518348499E-2</v>
      </c>
      <c r="AG231" s="16">
        <v>2.8998656566370906E-2</v>
      </c>
      <c r="AH231" s="16">
        <v>2.8814135656618944E-2</v>
      </c>
      <c r="AI231" s="16">
        <v>2.8536264973745284E-2</v>
      </c>
      <c r="AJ231" s="16">
        <v>2.816154763648826E-2</v>
      </c>
      <c r="AK231" s="16">
        <v>2.7686194756154858E-2</v>
      </c>
      <c r="AL231" s="16">
        <v>2.7106071071821725E-2</v>
      </c>
      <c r="AM231" s="16">
        <v>2.6416625222580703E-2</v>
      </c>
      <c r="AN231" s="16">
        <v>2.5612798912178159E-2</v>
      </c>
      <c r="AO231" s="16">
        <v>2.4688906379677245E-2</v>
      </c>
      <c r="AP231" s="16">
        <v>2.3638470965883007E-2</v>
      </c>
      <c r="AQ231" s="16">
        <v>2.2453997751151422E-2</v>
      </c>
      <c r="AR231" s="16">
        <v>2.1126647437944013E-2</v>
      </c>
      <c r="AS231" s="16">
        <v>1.9645750957954733E-2</v>
      </c>
      <c r="AT231" s="16">
        <v>1.799805331220472E-2</v>
      </c>
      <c r="AU231" s="16">
        <v>1.6166465721716872E-2</v>
      </c>
      <c r="AV231" s="16">
        <v>1.4127845175780473E-2</v>
      </c>
      <c r="AW231" s="16">
        <v>1.1848612758314725E-2</v>
      </c>
      <c r="AX231" s="16">
        <v>9.274678438384143E-3</v>
      </c>
      <c r="AY231" s="16">
        <v>6.3014219763359858E-3</v>
      </c>
      <c r="AZ231" s="16">
        <v>2.5944638165122935E-3</v>
      </c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</row>
    <row r="232" spans="1:62" ht="12" customHeight="1">
      <c r="A232" s="14" t="s">
        <v>777</v>
      </c>
      <c r="B232" s="31">
        <v>231</v>
      </c>
      <c r="C232" s="16">
        <v>1.2720825453795825E-3</v>
      </c>
      <c r="D232" s="16">
        <v>3.2948697120112058E-3</v>
      </c>
      <c r="E232" s="16">
        <v>5.0722256749956562E-3</v>
      </c>
      <c r="F232" s="16">
        <v>6.7255508603296654E-3</v>
      </c>
      <c r="G232" s="16">
        <v>8.2902610219325323E-3</v>
      </c>
      <c r="H232" s="16">
        <v>9.7829098241355439E-3</v>
      </c>
      <c r="I232" s="16">
        <v>1.1212514667192086E-2</v>
      </c>
      <c r="J232" s="16">
        <v>1.2584333698407724E-2</v>
      </c>
      <c r="K232" s="16">
        <v>1.3901491374622377E-2</v>
      </c>
      <c r="L232" s="16">
        <v>1.5165791335472134E-2</v>
      </c>
      <c r="M232" s="16">
        <v>1.6378166011587147E-2</v>
      </c>
      <c r="N232" s="16">
        <v>1.753894405528178E-2</v>
      </c>
      <c r="O232" s="16">
        <v>1.8648018333784822E-2</v>
      </c>
      <c r="P232" s="16">
        <v>1.9704955971483251E-2</v>
      </c>
      <c r="Q232" s="16">
        <v>2.0709072792821748E-2</v>
      </c>
      <c r="R232" s="16">
        <v>2.1659484917982197E-2</v>
      </c>
      <c r="S232" s="16">
        <v>2.2555145133202892E-2</v>
      </c>
      <c r="T232" s="16">
        <v>2.3394868768279009E-2</v>
      </c>
      <c r="U232" s="16">
        <v>2.4177352112485395E-2</v>
      </c>
      <c r="V232" s="16">
        <v>2.4901185358629618E-2</v>
      </c>
      <c r="W232" s="16">
        <v>2.5564861404515304E-2</v>
      </c>
      <c r="X232" s="16">
        <v>2.6166781407974238E-2</v>
      </c>
      <c r="Y232" s="16">
        <v>2.6705257697691054E-2</v>
      </c>
      <c r="Z232" s="16">
        <v>2.7178514434765155E-2</v>
      </c>
      <c r="AA232" s="16">
        <v>2.758468626685584E-2</v>
      </c>
      <c r="AB232" s="16">
        <v>2.792181509690983E-2</v>
      </c>
      <c r="AC232" s="16">
        <v>2.8187844987470068E-2</v>
      </c>
      <c r="AD232" s="16">
        <v>2.838061512880552E-2</v>
      </c>
      <c r="AE232" s="16">
        <v>2.8497850705672567E-2</v>
      </c>
      <c r="AF232" s="16">
        <v>2.8537151394939619E-2</v>
      </c>
      <c r="AG232" s="16">
        <v>2.8495977105171266E-2</v>
      </c>
      <c r="AH232" s="16">
        <v>2.8371630417867943E-2</v>
      </c>
      <c r="AI232" s="16">
        <v>2.8161234992562401E-2</v>
      </c>
      <c r="AJ232" s="16">
        <v>2.7861708931645413E-2</v>
      </c>
      <c r="AK232" s="16">
        <v>2.7469731731691538E-2</v>
      </c>
      <c r="AL232" s="16">
        <v>2.6981702923888129E-2</v>
      </c>
      <c r="AM232" s="16">
        <v>2.6393689743927418E-2</v>
      </c>
      <c r="AN232" s="16">
        <v>2.5701360035885523E-2</v>
      </c>
      <c r="AO232" s="16">
        <v>2.4899894857091098E-2</v>
      </c>
      <c r="AP232" s="16">
        <v>2.3983872514626525E-2</v>
      </c>
      <c r="AQ232" s="16">
        <v>2.2947111310590129E-2</v>
      </c>
      <c r="AR232" s="16">
        <v>2.1782450745809867E-2</v>
      </c>
      <c r="AS232" s="16">
        <v>2.0481437633743882E-2</v>
      </c>
      <c r="AT232" s="16">
        <v>1.9033858818087168E-2</v>
      </c>
      <c r="AU232" s="16">
        <v>1.7427013064964636E-2</v>
      </c>
      <c r="AV232" s="16">
        <v>1.564450922460725E-2</v>
      </c>
      <c r="AW232" s="16">
        <v>1.3664127128073189E-2</v>
      </c>
      <c r="AX232" s="16">
        <v>1.1453595362548641E-2</v>
      </c>
      <c r="AY232" s="16">
        <v>8.9608800999333438E-3</v>
      </c>
      <c r="AZ232" s="16">
        <v>6.0852422933064254E-3</v>
      </c>
      <c r="BA232" s="16">
        <v>2.5043683683626528E-3</v>
      </c>
      <c r="BB232" s="16"/>
      <c r="BC232" s="16"/>
      <c r="BD232" s="16"/>
      <c r="BE232" s="16"/>
      <c r="BF232" s="16"/>
      <c r="BG232" s="16"/>
      <c r="BH232" s="16"/>
      <c r="BI232" s="16"/>
      <c r="BJ232" s="16"/>
    </row>
    <row r="233" spans="1:62" ht="12" customHeight="1">
      <c r="A233" s="14" t="s">
        <v>778</v>
      </c>
      <c r="B233" s="31">
        <v>232</v>
      </c>
      <c r="C233" s="16">
        <v>1.2273250439621686E-3</v>
      </c>
      <c r="D233" s="16">
        <v>3.1790554809161264E-3</v>
      </c>
      <c r="E233" s="16">
        <v>4.8942604370803E-3</v>
      </c>
      <c r="F233" s="16">
        <v>6.4901850069268852E-3</v>
      </c>
      <c r="G233" s="16">
        <v>8.0011014173982931E-3</v>
      </c>
      <c r="H233" s="16">
        <v>9.4430754369139169E-3</v>
      </c>
      <c r="I233" s="16">
        <v>1.0824896407180984E-2</v>
      </c>
      <c r="J233" s="16">
        <v>1.2151722971934342E-2</v>
      </c>
      <c r="K233" s="16">
        <v>1.3426652530292182E-2</v>
      </c>
      <c r="L233" s="16">
        <v>1.465150630737877E-2</v>
      </c>
      <c r="M233" s="16">
        <v>1.5827263770530231E-2</v>
      </c>
      <c r="N233" s="16">
        <v>1.6954321171978592E-2</v>
      </c>
      <c r="O233" s="16">
        <v>1.8032654086226563E-2</v>
      </c>
      <c r="P233" s="16">
        <v>1.9061923994770358E-2</v>
      </c>
      <c r="Q233" s="16">
        <v>2.0041550501665562E-2</v>
      </c>
      <c r="R233" s="16">
        <v>2.0970761497388413E-2</v>
      </c>
      <c r="S233" s="16">
        <v>2.1848628636243927E-2</v>
      </c>
      <c r="T233" s="16">
        <v>2.2674092703708681E-2</v>
      </c>
      <c r="U233" s="16">
        <v>2.3445981808281946E-2</v>
      </c>
      <c r="V233" s="16">
        <v>2.4163024327845894E-2</v>
      </c>
      <c r="W233" s="16">
        <v>2.482385790423125E-2</v>
      </c>
      <c r="X233" s="16">
        <v>2.5427035363332795E-2</v>
      </c>
      <c r="Y233" s="16">
        <v>2.5971028156695386E-2</v>
      </c>
      <c r="Z233" s="16">
        <v>2.6454227723524348E-2</v>
      </c>
      <c r="AA233" s="16">
        <v>2.6874945028394936E-2</v>
      </c>
      <c r="AB233" s="16">
        <v>2.7231408419663206E-2</v>
      </c>
      <c r="AC233" s="16">
        <v>2.7521759863316175E-2</v>
      </c>
      <c r="AD233" s="16">
        <v>2.7744049527064663E-2</v>
      </c>
      <c r="AE233" s="16">
        <v>2.7896228612301122E-2</v>
      </c>
      <c r="AF233" s="16">
        <v>2.7976140250175918E-2</v>
      </c>
      <c r="AG233" s="16">
        <v>2.7981508185500714E-2</v>
      </c>
      <c r="AH233" s="16">
        <v>2.7909922860023473E-2</v>
      </c>
      <c r="AI233" s="16">
        <v>2.7758824364177759E-2</v>
      </c>
      <c r="AJ233" s="16">
        <v>2.7525481538662855E-2</v>
      </c>
      <c r="AK233" s="16">
        <v>2.7206966252552034E-2</v>
      </c>
      <c r="AL233" s="16">
        <v>2.6800121530494492E-2</v>
      </c>
      <c r="AM233" s="16">
        <v>2.630152169766764E-2</v>
      </c>
      <c r="AN233" s="16">
        <v>2.5707421977534839E-2</v>
      </c>
      <c r="AO233" s="16">
        <v>2.5013693883605193E-2</v>
      </c>
      <c r="AP233" s="16">
        <v>2.4215741072377117E-2</v>
      </c>
      <c r="AQ233" s="16">
        <v>2.3308387687594356E-2</v>
      </c>
      <c r="AR233" s="16">
        <v>2.2285726933233496E-2</v>
      </c>
      <c r="AS233" s="16">
        <v>2.1140910355770481E-2</v>
      </c>
      <c r="AT233" s="16">
        <v>1.9865845494565604E-2</v>
      </c>
      <c r="AU233" s="16">
        <v>1.8450745684390313E-2</v>
      </c>
      <c r="AV233" s="16">
        <v>1.6883428418091651E-2</v>
      </c>
      <c r="AW233" s="16">
        <v>1.5148156938379231E-2</v>
      </c>
      <c r="AX233" s="16">
        <v>1.322357794586404E-2</v>
      </c>
      <c r="AY233" s="16">
        <v>1.1078649984793021E-2</v>
      </c>
      <c r="AZ233" s="16">
        <v>8.6632762638764182E-3</v>
      </c>
      <c r="BA233" s="16">
        <v>5.8803793090260736E-3</v>
      </c>
      <c r="BB233" s="16">
        <v>2.419047234495264E-3</v>
      </c>
      <c r="BC233" s="16"/>
      <c r="BD233" s="16"/>
      <c r="BE233" s="16"/>
      <c r="BF233" s="16"/>
      <c r="BG233" s="16"/>
      <c r="BH233" s="16"/>
      <c r="BI233" s="16"/>
      <c r="BJ233" s="16"/>
    </row>
    <row r="234" spans="1:62" ht="12" customHeight="1">
      <c r="A234" s="14" t="s">
        <v>779</v>
      </c>
      <c r="B234" s="31">
        <v>233</v>
      </c>
      <c r="C234" s="16">
        <v>1.1849501166142362E-3</v>
      </c>
      <c r="D234" s="16">
        <v>3.0693987231406039E-3</v>
      </c>
      <c r="E234" s="16">
        <v>4.725735300776468E-3</v>
      </c>
      <c r="F234" s="16">
        <v>6.2672629824306325E-3</v>
      </c>
      <c r="G234" s="16">
        <v>7.7271643988104932E-3</v>
      </c>
      <c r="H234" s="16">
        <v>9.1210369653469403E-3</v>
      </c>
      <c r="I234" s="16">
        <v>1.0457448003068137E-2</v>
      </c>
      <c r="J234" s="16">
        <v>1.1741456060035516E-2</v>
      </c>
      <c r="K234" s="16">
        <v>1.2976127163795925E-2</v>
      </c>
      <c r="L234" s="16">
        <v>1.4163293509491304E-2</v>
      </c>
      <c r="M234" s="16">
        <v>1.5303973443593577E-2</v>
      </c>
      <c r="N234" s="16">
        <v>1.6398621548665449E-2</v>
      </c>
      <c r="O234" s="16">
        <v>1.7447285975556337E-2</v>
      </c>
      <c r="P234" s="16">
        <v>1.8449711716171158E-2</v>
      </c>
      <c r="Q234" s="16">
        <v>1.9405410671542667E-2</v>
      </c>
      <c r="R234" s="16">
        <v>2.031371041979102E-2</v>
      </c>
      <c r="S234" s="16">
        <v>2.1173788805041838E-2</v>
      </c>
      <c r="T234" s="16">
        <v>2.198469877458975E-2</v>
      </c>
      <c r="U234" s="16">
        <v>2.274538630597589E-2</v>
      </c>
      <c r="V234" s="16">
        <v>2.3454703295871293E-2</v>
      </c>
      <c r="W234" s="16">
        <v>2.4111416668911034E-2</v>
      </c>
      <c r="X234" s="16">
        <v>2.4714214563705927E-2</v>
      </c>
      <c r="Y234" s="16">
        <v>2.5261710183183794E-2</v>
      </c>
      <c r="Z234" s="16">
        <v>2.5752443708415451E-2</v>
      </c>
      <c r="AA234" s="16">
        <v>2.6184882539362797E-2</v>
      </c>
      <c r="AB234" s="16">
        <v>2.6557420023445855E-2</v>
      </c>
      <c r="AC234" s="16">
        <v>2.6868372750891933E-2</v>
      </c>
      <c r="AD234" s="16">
        <v>2.711597642559116E-2</v>
      </c>
      <c r="AE234" s="16">
        <v>2.7298380254912491E-2</v>
      </c>
      <c r="AF234" s="16">
        <v>2.7413639735869522E-2</v>
      </c>
      <c r="AG234" s="16">
        <v>2.7459707642657705E-2</v>
      </c>
      <c r="AH234" s="16">
        <v>2.7434422935736391E-2</v>
      </c>
      <c r="AI234" s="16">
        <v>2.7335497207805259E-2</v>
      </c>
      <c r="AJ234" s="16">
        <v>2.7160498147117962E-2</v>
      </c>
      <c r="AK234" s="16">
        <v>2.6906829319443326E-2</v>
      </c>
      <c r="AL234" s="16">
        <v>2.6571705325881712E-2</v>
      </c>
      <c r="AM234" s="16">
        <v>2.6152121053395594E-2</v>
      </c>
      <c r="AN234" s="16">
        <v>2.5644813249897758E-2</v>
      </c>
      <c r="AO234" s="16">
        <v>2.5046211949007247E-2</v>
      </c>
      <c r="AP234" s="16">
        <v>2.4352378215216741E-2</v>
      </c>
      <c r="AQ234" s="16">
        <v>2.3558923066106408E-2</v>
      </c>
      <c r="AR234" s="16">
        <v>2.2660899884952346E-2</v>
      </c>
      <c r="AS234" s="16">
        <v>2.1652658496243538E-2</v>
      </c>
      <c r="AT234" s="16">
        <v>2.0527642075532149E-2</v>
      </c>
      <c r="AU234" s="16">
        <v>1.9278095693495922E-2</v>
      </c>
      <c r="AV234" s="16">
        <v>1.7894632254671361E-2</v>
      </c>
      <c r="AW234" s="16">
        <v>1.6365555867198123E-2</v>
      </c>
      <c r="AX234" s="16">
        <v>1.4675744476014829E-2</v>
      </c>
      <c r="AY234" s="16">
        <v>1.2804660181318317E-2</v>
      </c>
      <c r="AZ234" s="16">
        <v>1.0722420047611037E-2</v>
      </c>
      <c r="BA234" s="16">
        <v>8.3807543392202533E-3</v>
      </c>
      <c r="BB234" s="16">
        <v>5.6860440749386676E-3</v>
      </c>
      <c r="BC234" s="16">
        <v>2.3381634619381586E-3</v>
      </c>
      <c r="BD234" s="16"/>
      <c r="BE234" s="16"/>
      <c r="BF234" s="16"/>
      <c r="BG234" s="16"/>
      <c r="BH234" s="16"/>
      <c r="BI234" s="16"/>
      <c r="BJ234" s="16"/>
    </row>
    <row r="235" spans="1:62" ht="12" customHeight="1">
      <c r="A235" s="14" t="s">
        <v>780</v>
      </c>
      <c r="B235" s="31">
        <v>234</v>
      </c>
      <c r="C235" s="16">
        <v>1.1447895171811107E-3</v>
      </c>
      <c r="D235" s="16">
        <v>2.9654652701568418E-3</v>
      </c>
      <c r="E235" s="16">
        <v>4.5659864653551097E-3</v>
      </c>
      <c r="F235" s="16">
        <v>6.0559132366521107E-3</v>
      </c>
      <c r="G235" s="16">
        <v>7.4673893281831383E-3</v>
      </c>
      <c r="H235" s="16">
        <v>8.8155625120097669E-3</v>
      </c>
      <c r="I235" s="16">
        <v>1.0108784222366496E-2</v>
      </c>
      <c r="J235" s="16">
        <v>1.1352012869486394E-2</v>
      </c>
      <c r="K235" s="16">
        <v>1.254827960124838E-2</v>
      </c>
      <c r="L235" s="16">
        <v>1.3699421934369904E-2</v>
      </c>
      <c r="M235" s="16">
        <v>1.4806490016527896E-2</v>
      </c>
      <c r="N235" s="16">
        <v>1.5869988657520651E-2</v>
      </c>
      <c r="O235" s="16">
        <v>1.6890029693747866E-2</v>
      </c>
      <c r="P235" s="16">
        <v>1.786643208894434E-2</v>
      </c>
      <c r="Q235" s="16">
        <v>1.8798789933864191E-2</v>
      </c>
      <c r="R235" s="16">
        <v>1.9686519857100793E-2</v>
      </c>
      <c r="S235" s="16">
        <v>2.0528894735662662E-2</v>
      </c>
      <c r="T235" s="16">
        <v>2.1325067990244695E-2</v>
      </c>
      <c r="U235" s="16">
        <v>2.2074091217720637E-2</v>
      </c>
      <c r="V235" s="16">
        <v>2.2774926976418808E-2</v>
      </c>
      <c r="W235" s="16">
        <v>2.3426457947169133E-2</v>
      </c>
      <c r="X235" s="16">
        <v>2.4027493306541969E-2</v>
      </c>
      <c r="Y235" s="16">
        <v>2.4576772888931675E-2</v>
      </c>
      <c r="Z235" s="16">
        <v>2.5072969534159717E-2</v>
      </c>
      <c r="AA235" s="16">
        <v>2.5514689888340047E-2</v>
      </c>
      <c r="AB235" s="16">
        <v>2.5900473829604254E-2</v>
      </c>
      <c r="AC235" s="16">
        <v>2.6228792614957475E-2</v>
      </c>
      <c r="AD235" s="16">
        <v>2.6498045781730539E-2</v>
      </c>
      <c r="AE235" s="16">
        <v>2.6706556780739632E-2</v>
      </c>
      <c r="AF235" s="16">
        <v>2.6852567263375593E-2</v>
      </c>
      <c r="AG235" s="16">
        <v>2.6934229886981909E-2</v>
      </c>
      <c r="AH235" s="16">
        <v>2.6949599437299243E-2</v>
      </c>
      <c r="AI235" s="16">
        <v>2.6896621988092728E-2</v>
      </c>
      <c r="AJ235" s="16">
        <v>2.6773121719290027E-2</v>
      </c>
      <c r="AK235" s="16">
        <v>2.6576784886619853E-2</v>
      </c>
      <c r="AL235" s="16">
        <v>2.6305140264267002E-2</v>
      </c>
      <c r="AM235" s="16">
        <v>2.5955535147642705E-2</v>
      </c>
      <c r="AN235" s="16">
        <v>2.552510567577837E-2</v>
      </c>
      <c r="AO235" s="16">
        <v>2.5010739765540468E-2</v>
      </c>
      <c r="AP235" s="16">
        <v>2.440903026836494E-2</v>
      </c>
      <c r="AQ235" s="16">
        <v>2.3716214943126146E-2</v>
      </c>
      <c r="AR235" s="16">
        <v>2.2928098281192688E-2</v>
      </c>
      <c r="AS235" s="16">
        <v>2.203994776508833E-2</v>
      </c>
      <c r="AT235" s="16">
        <v>2.104635314501957E-2</v>
      </c>
      <c r="AU235" s="16">
        <v>1.9941030558408568E-2</v>
      </c>
      <c r="AV235" s="16">
        <v>1.8716541372123197E-2</v>
      </c>
      <c r="AW235" s="16">
        <v>1.736387337846812E-2</v>
      </c>
      <c r="AX235" s="16">
        <v>1.5871787815946892E-2</v>
      </c>
      <c r="AY235" s="16">
        <v>1.4225740829675426E-2</v>
      </c>
      <c r="AZ235" s="16">
        <v>1.2405962504773993E-2</v>
      </c>
      <c r="BA235" s="16">
        <v>1.0383662503562152E-2</v>
      </c>
      <c r="BB235" s="16">
        <v>8.1122964733026937E-3</v>
      </c>
      <c r="BC235" s="16">
        <v>5.5015158423299404E-3</v>
      </c>
      <c r="BD235" s="16">
        <v>2.2614095867932171E-3</v>
      </c>
      <c r="BE235" s="16"/>
      <c r="BF235" s="16"/>
      <c r="BG235" s="16"/>
      <c r="BH235" s="16"/>
      <c r="BI235" s="16"/>
      <c r="BJ235" s="16"/>
    </row>
    <row r="236" spans="1:62" ht="12" customHeight="1">
      <c r="A236" s="14" t="s">
        <v>781</v>
      </c>
      <c r="B236" s="31">
        <v>235</v>
      </c>
      <c r="C236" s="16">
        <v>1.1066896988068953E-3</v>
      </c>
      <c r="D236" s="16">
        <v>2.8668588214174617E-3</v>
      </c>
      <c r="E236" s="16">
        <v>4.4144078431147538E-3</v>
      </c>
      <c r="F236" s="16">
        <v>5.8553396463078E-3</v>
      </c>
      <c r="G236" s="16">
        <v>7.2208067992982627E-3</v>
      </c>
      <c r="H236" s="16">
        <v>8.5255253243990969E-3</v>
      </c>
      <c r="I236" s="16">
        <v>9.7776369371401772E-3</v>
      </c>
      <c r="J236" s="16">
        <v>1.0982000317241836E-2</v>
      </c>
      <c r="K236" s="16">
        <v>1.2141608907927703E-2</v>
      </c>
      <c r="L236" s="16">
        <v>1.325830072885481E-2</v>
      </c>
      <c r="M236" s="16">
        <v>1.4333151582457182E-2</v>
      </c>
      <c r="N236" s="16">
        <v>1.536670941170426E-2</v>
      </c>
      <c r="O236" s="16">
        <v>1.6359141921675424E-2</v>
      </c>
      <c r="P236" s="16">
        <v>1.7310333642327924E-2</v>
      </c>
      <c r="Q236" s="16">
        <v>1.8219951937498036E-2</v>
      </c>
      <c r="R236" s="16">
        <v>1.9087493099081421E-2</v>
      </c>
      <c r="S236" s="16">
        <v>1.9912315193646002E-2</v>
      </c>
      <c r="T236" s="16">
        <v>2.069366181051191E-2</v>
      </c>
      <c r="U236" s="16">
        <v>2.1430679378367845E-2</v>
      </c>
      <c r="V236" s="16">
        <v>2.2122429811550881E-2</v>
      </c>
      <c r="W236" s="16">
        <v>2.2767899674482783E-2</v>
      </c>
      <c r="X236" s="16">
        <v>2.3366006679568452E-2</v>
      </c>
      <c r="Y236" s="16">
        <v>2.3915604083590059E-2</v>
      </c>
      <c r="Z236" s="16">
        <v>2.4415483374863101E-2</v>
      </c>
      <c r="AA236" s="16">
        <v>2.4864375520402437E-2</v>
      </c>
      <c r="AB236" s="16">
        <v>2.5260950951576544E-2</v>
      </c>
      <c r="AC236" s="16">
        <v>2.5603818396741973E-2</v>
      </c>
      <c r="AD236" s="16">
        <v>2.5891522612370599E-2</v>
      </c>
      <c r="AE236" s="16">
        <v>2.6122541014581335E-2</v>
      </c>
      <c r="AF236" s="16">
        <v>2.6295279166424601E-2</v>
      </c>
      <c r="AG236" s="16">
        <v>2.6408065028943883E-2</v>
      </c>
      <c r="AH236" s="16">
        <v>2.6459141832300803E-2</v>
      </c>
      <c r="AI236" s="16">
        <v>2.6446659363005276E-2</v>
      </c>
      <c r="AJ236" s="16">
        <v>2.6368663389640945E-2</v>
      </c>
      <c r="AK236" s="16">
        <v>2.6223082855831303E-2</v>
      </c>
      <c r="AL236" s="16">
        <v>2.6007714346627187E-2</v>
      </c>
      <c r="AM236" s="16">
        <v>2.5720203169982137E-2</v>
      </c>
      <c r="AN236" s="16">
        <v>2.5358020169439E-2</v>
      </c>
      <c r="AO236" s="16">
        <v>2.4918433068522594E-2</v>
      </c>
      <c r="AP236" s="16">
        <v>2.4398470696580743E-2</v>
      </c>
      <c r="AQ236" s="16">
        <v>2.3794877788159807E-2</v>
      </c>
      <c r="AR236" s="16">
        <v>2.3104057066083428E-2</v>
      </c>
      <c r="AS236" s="16">
        <v>2.2321993814358621E-2</v>
      </c>
      <c r="AT236" s="16">
        <v>2.1444155776293328E-2</v>
      </c>
      <c r="AU236" s="16">
        <v>2.0465357352103308E-2</v>
      </c>
      <c r="AV236" s="16">
        <v>1.9379570540369873E-2</v>
      </c>
      <c r="AW236" s="16">
        <v>1.8179653525958961E-2</v>
      </c>
      <c r="AX236" s="16">
        <v>1.6856946317764798E-2</v>
      </c>
      <c r="AY236" s="16">
        <v>1.540064016204723E-2</v>
      </c>
      <c r="AZ236" s="16">
        <v>1.3796735774615931E-2</v>
      </c>
      <c r="BA236" s="16">
        <v>1.2026187471598893E-2</v>
      </c>
      <c r="BB236" s="16">
        <v>1.0061236578569832E-2</v>
      </c>
      <c r="BC236" s="16">
        <v>7.8569699842543361E-3</v>
      </c>
      <c r="BD236" s="16">
        <v>5.3261350671768293E-3</v>
      </c>
      <c r="BE236" s="16">
        <v>2.1885045718393892E-3</v>
      </c>
      <c r="BF236" s="16"/>
      <c r="BG236" s="16"/>
      <c r="BH236" s="16"/>
      <c r="BI236" s="16"/>
      <c r="BJ236" s="16"/>
    </row>
    <row r="237" spans="1:62" ht="12" customHeight="1">
      <c r="A237" s="14" t="s">
        <v>782</v>
      </c>
      <c r="B237" s="31">
        <v>236</v>
      </c>
      <c r="C237" s="16">
        <v>1.0705102922016208E-3</v>
      </c>
      <c r="D237" s="16">
        <v>2.7732170315438731E-3</v>
      </c>
      <c r="E237" s="16">
        <v>4.2704451172788094E-3</v>
      </c>
      <c r="F237" s="16">
        <v>5.6648137896594397E-3</v>
      </c>
      <c r="G237" s="16">
        <v>6.9865293590412048E-3</v>
      </c>
      <c r="H237" s="16">
        <v>8.249893197641911E-3</v>
      </c>
      <c r="I237" s="16">
        <v>9.4628434554923091E-3</v>
      </c>
      <c r="J237" s="16">
        <v>1.0630139854778342E-2</v>
      </c>
      <c r="K237" s="16">
        <v>1.1754735888563239E-2</v>
      </c>
      <c r="L237" s="16">
        <v>1.2838465974060465E-2</v>
      </c>
      <c r="M237" s="16">
        <v>1.3882426227359912E-2</v>
      </c>
      <c r="N237" s="16">
        <v>1.4887201505435099E-2</v>
      </c>
      <c r="O237" s="16">
        <v>1.5853008497525578E-2</v>
      </c>
      <c r="P237" s="16">
        <v>1.6779789878137552E-2</v>
      </c>
      <c r="Q237" s="16">
        <v>1.7667278401164221E-2</v>
      </c>
      <c r="R237" s="16">
        <v>1.8515041718847658E-2</v>
      </c>
      <c r="S237" s="16">
        <v>1.9322514381874711E-2</v>
      </c>
      <c r="T237" s="16">
        <v>2.0089021039902399E-2</v>
      </c>
      <c r="U237" s="16">
        <v>2.0813793427688632E-2</v>
      </c>
      <c r="V237" s="16">
        <v>2.1495982845482153E-2</v>
      </c>
      <c r="W237" s="16">
        <v>2.2134669288478737E-2</v>
      </c>
      <c r="X237" s="16">
        <v>2.2728868019544213E-2</v>
      </c>
      <c r="Y237" s="16">
        <v>2.3277534137907563E-2</v>
      </c>
      <c r="Z237" s="16">
        <v>2.3779565530318236E-2</v>
      </c>
      <c r="AA237" s="16">
        <v>2.4233804473386966E-2</v>
      </c>
      <c r="AB237" s="16">
        <v>2.4639038069644736E-2</v>
      </c>
      <c r="AC237" s="16">
        <v>2.4993997634289111E-2</v>
      </c>
      <c r="AD237" s="16">
        <v>2.5297357097217366E-2</v>
      </c>
      <c r="AE237" s="16">
        <v>2.5547730440596439E-2</v>
      </c>
      <c r="AF237" s="16">
        <v>2.574366815191087E-2</v>
      </c>
      <c r="AG237" s="16">
        <v>2.5883652632913812E-2</v>
      </c>
      <c r="AH237" s="16">
        <v>2.5966092463210577E-2</v>
      </c>
      <c r="AI237" s="16">
        <v>2.5989315370171573E-2</v>
      </c>
      <c r="AJ237" s="16">
        <v>2.5951559700902127E-2</v>
      </c>
      <c r="AK237" s="16">
        <v>2.5850964122511755E-2</v>
      </c>
      <c r="AL237" s="16">
        <v>2.568555518775395E-2</v>
      </c>
      <c r="AM237" s="16">
        <v>2.5453232285691074E-2</v>
      </c>
      <c r="AN237" s="16">
        <v>2.5151749338887863E-2</v>
      </c>
      <c r="AO237" s="16">
        <v>2.4778692391335899E-2</v>
      </c>
      <c r="AP237" s="16">
        <v>2.4331451926877135E-2</v>
      </c>
      <c r="AQ237" s="16">
        <v>2.38071883227291E-2</v>
      </c>
      <c r="AR237" s="16">
        <v>2.3202788207584701E-2</v>
      </c>
      <c r="AS237" s="16">
        <v>2.2514808545091469E-2</v>
      </c>
      <c r="AT237" s="16">
        <v>2.1739403810176805E-2</v>
      </c>
      <c r="AU237" s="16">
        <v>2.0872229334423675E-2</v>
      </c>
      <c r="AV237" s="16">
        <v>1.9908310164563181E-2</v>
      </c>
      <c r="AW237" s="16">
        <v>1.8841858465589723E-2</v>
      </c>
      <c r="AX237" s="16">
        <v>1.7666011341103238E-2</v>
      </c>
      <c r="AY237" s="16">
        <v>1.6372440155113077E-2</v>
      </c>
      <c r="AZ237" s="16">
        <v>1.4950741168438975E-2</v>
      </c>
      <c r="BA237" s="16">
        <v>1.3387428631883136E-2</v>
      </c>
      <c r="BB237" s="16">
        <v>1.1664140650206822E-2</v>
      </c>
      <c r="BC237" s="16">
        <v>9.7540937985375331E-3</v>
      </c>
      <c r="BD237" s="16">
        <v>7.6139189056509959E-3</v>
      </c>
      <c r="BE237" s="16">
        <v>5.1592972412702887E-3</v>
      </c>
      <c r="BF237" s="16">
        <v>2.1191911104081473E-3</v>
      </c>
      <c r="BG237" s="16"/>
      <c r="BH237" s="16"/>
      <c r="BI237" s="16"/>
      <c r="BJ237" s="16"/>
    </row>
    <row r="238" spans="1:62" ht="12" customHeight="1">
      <c r="A238" s="14" t="s">
        <v>783</v>
      </c>
      <c r="B238" s="31">
        <v>237</v>
      </c>
      <c r="C238" s="16">
        <v>1.0361227651680682E-3</v>
      </c>
      <c r="D238" s="16">
        <v>2.6842080626204856E-3</v>
      </c>
      <c r="E238" s="16">
        <v>4.1335905034332043E-3</v>
      </c>
      <c r="F238" s="16">
        <v>5.483668130493391E-3</v>
      </c>
      <c r="G238" s="16">
        <v>6.7637433122453849E-3</v>
      </c>
      <c r="H238" s="16">
        <v>7.9877191018238314E-3</v>
      </c>
      <c r="I238" s="16">
        <v>9.1633361833602933E-3</v>
      </c>
      <c r="J238" s="16">
        <v>1.029525639017248E-2</v>
      </c>
      <c r="K238" s="16">
        <v>1.1386391511399752E-2</v>
      </c>
      <c r="L238" s="16">
        <v>1.2438568870431377E-2</v>
      </c>
      <c r="M238" s="16">
        <v>1.3452900253588251E-2</v>
      </c>
      <c r="N238" s="16">
        <v>1.443000197296429E-2</v>
      </c>
      <c r="O238" s="16">
        <v>1.5370133628848426E-2</v>
      </c>
      <c r="P238" s="16">
        <v>1.6273289475313035E-2</v>
      </c>
      <c r="Q238" s="16">
        <v>1.7139260673043943E-2</v>
      </c>
      <c r="R238" s="16">
        <v>1.7967678874776793E-2</v>
      </c>
      <c r="S238" s="16">
        <v>1.8758047398514943E-2</v>
      </c>
      <c r="T238" s="16">
        <v>1.9509763883903575E-2</v>
      </c>
      <c r="U238" s="16">
        <v>2.0222136938520818E-2</v>
      </c>
      <c r="V238" s="16">
        <v>2.0894398432193761E-2</v>
      </c>
      <c r="W238" s="16">
        <v>2.152571256143343E-2</v>
      </c>
      <c r="X238" s="16">
        <v>2.2115182457247418E-2</v>
      </c>
      <c r="Y238" s="16">
        <v>2.266185487633432E-2</v>
      </c>
      <c r="Z238" s="16">
        <v>2.3164723355424743E-2</v>
      </c>
      <c r="AA238" s="16">
        <v>2.3622730095480104E-2</v>
      </c>
      <c r="AB238" s="16">
        <v>2.4034766760268056E-2</v>
      </c>
      <c r="AC238" s="16">
        <v>2.4399674311943009E-2</v>
      </c>
      <c r="AD238" s="16">
        <v>2.4716241957680851E-2</v>
      </c>
      <c r="AE238" s="16">
        <v>2.4983205241148387E-2</v>
      </c>
      <c r="AF238" s="16">
        <v>2.5199243277088224E-2</v>
      </c>
      <c r="AG238" s="16">
        <v>2.5362975093643714E-2</v>
      </c>
      <c r="AH238" s="16">
        <v>2.5472955012740606E-2</v>
      </c>
      <c r="AI238" s="16">
        <v>2.5527666961407736E-2</v>
      </c>
      <c r="AJ238" s="16">
        <v>2.5525517563582012E-2</v>
      </c>
      <c r="AK238" s="16">
        <v>2.5464827809503099E-2</v>
      </c>
      <c r="AL238" s="16">
        <v>2.5343823033827428E-2</v>
      </c>
      <c r="AM238" s="16">
        <v>2.516062084840831E-2</v>
      </c>
      <c r="AN238" s="16">
        <v>2.4913216562885032E-2</v>
      </c>
      <c r="AO238" s="16">
        <v>2.4599465473972182E-2</v>
      </c>
      <c r="AP238" s="16">
        <v>2.4217061194716116E-2</v>
      </c>
      <c r="AQ238" s="16">
        <v>2.376350890105583E-2</v>
      </c>
      <c r="AR238" s="16">
        <v>2.3236091952601234E-2</v>
      </c>
      <c r="AS238" s="16">
        <v>2.2631829730679121E-2</v>
      </c>
      <c r="AT238" s="16">
        <v>2.1947423619567585E-2</v>
      </c>
      <c r="AU238" s="16">
        <v>2.1179186651550386E-2</v>
      </c>
      <c r="AV238" s="16">
        <v>2.0322950120553962E-2</v>
      </c>
      <c r="AW238" s="16">
        <v>1.9373936859405472E-2</v>
      </c>
      <c r="AX238" s="16">
        <v>1.8326584769438492E-2</v>
      </c>
      <c r="AY238" s="16">
        <v>1.7174293395795903E-2</v>
      </c>
      <c r="AZ238" s="16">
        <v>1.5909046228348545E-2</v>
      </c>
      <c r="BA238" s="16">
        <v>1.4520821472818857E-2</v>
      </c>
      <c r="BB238" s="16">
        <v>1.2996618226228329E-2</v>
      </c>
      <c r="BC238" s="16">
        <v>1.1318720941298599E-2</v>
      </c>
      <c r="BD238" s="16">
        <v>9.4612691346271927E-3</v>
      </c>
      <c r="BE238" s="16">
        <v>7.3823564977182343E-3</v>
      </c>
      <c r="BF238" s="16">
        <v>5.000447439605149E-3</v>
      </c>
      <c r="BG238" s="16">
        <v>2.0532332471562276E-3</v>
      </c>
      <c r="BH238" s="16"/>
      <c r="BI238" s="16"/>
      <c r="BJ238" s="16"/>
    </row>
    <row r="239" spans="1:62" ht="12" customHeight="1">
      <c r="A239" s="14" t="s">
        <v>784</v>
      </c>
      <c r="B239" s="31">
        <v>238</v>
      </c>
      <c r="C239" s="16">
        <v>1.0034092390728278E-3</v>
      </c>
      <c r="D239" s="16">
        <v>2.5995275393340123E-3</v>
      </c>
      <c r="E239" s="16">
        <v>4.0033781207235997E-3</v>
      </c>
      <c r="F239" s="16">
        <v>5.3112899910109368E-3</v>
      </c>
      <c r="G239" s="16">
        <v>6.5517014678275753E-3</v>
      </c>
      <c r="H239" s="16">
        <v>7.7381328751148226E-3</v>
      </c>
      <c r="I239" s="16">
        <v>8.878133446809322E-3</v>
      </c>
      <c r="J239" s="16">
        <v>9.9762684332623808E-3</v>
      </c>
      <c r="K239" s="16">
        <v>1.1035406583220886E-2</v>
      </c>
      <c r="L239" s="16">
        <v>1.2057365164162337E-2</v>
      </c>
      <c r="M239" s="16">
        <v>1.3043267594734509E-2</v>
      </c>
      <c r="N239" s="16">
        <v>1.3993756845363192E-2</v>
      </c>
      <c r="O239" s="16">
        <v>1.4909130062044862E-2</v>
      </c>
      <c r="P239" s="16">
        <v>1.578942726117194E-2</v>
      </c>
      <c r="Q239" s="16">
        <v>1.6634491812218877E-2</v>
      </c>
      <c r="R239" s="16">
        <v>1.7444012831162592E-2</v>
      </c>
      <c r="S239" s="16">
        <v>1.8217555547945019E-2</v>
      </c>
      <c r="T239" s="16">
        <v>1.8954583424979909E-2</v>
      </c>
      <c r="U239" s="16">
        <v>1.965447445835411E-2</v>
      </c>
      <c r="V239" s="16">
        <v>2.0316533271239057E-2</v>
      </c>
      <c r="W239" s="16">
        <v>2.0940000089874955E-2</v>
      </c>
      <c r="X239" s="16">
        <v>2.1524057354818993E-2</v>
      </c>
      <c r="Y239" s="16">
        <v>2.2067834494559735E-2</v>
      </c>
      <c r="Z239" s="16">
        <v>2.257041123391712E-2</v>
      </c>
      <c r="AA239" s="16">
        <v>2.3030819700863403E-2</v>
      </c>
      <c r="AB239" s="16">
        <v>2.3448045516704985E-2</v>
      </c>
      <c r="AC239" s="16">
        <v>2.3821027995864497E-2</v>
      </c>
      <c r="AD239" s="16">
        <v>2.4148659535985217E-2</v>
      </c>
      <c r="AE239" s="16">
        <v>2.4429784242124386E-2</v>
      </c>
      <c r="AF239" s="16">
        <v>2.466319579702092E-2</v>
      </c>
      <c r="AG239" s="16">
        <v>2.484763456021799E-2</v>
      </c>
      <c r="AH239" s="16">
        <v>2.4981783850055006E-2</v>
      </c>
      <c r="AI239" s="16">
        <v>2.5064265332124136E-2</v>
      </c>
      <c r="AJ239" s="16">
        <v>2.5093633403664217E-2</v>
      </c>
      <c r="AK239" s="16">
        <v>2.5068368423038168E-2</v>
      </c>
      <c r="AL239" s="16">
        <v>2.4986868583879551E-2</v>
      </c>
      <c r="AM239" s="16">
        <v>2.4847440170667423E-2</v>
      </c>
      <c r="AN239" s="16">
        <v>2.4648285850760843E-2</v>
      </c>
      <c r="AO239" s="16">
        <v>2.4387490549434565E-2</v>
      </c>
      <c r="AP239" s="16">
        <v>2.4063004307601998E-2</v>
      </c>
      <c r="AQ239" s="16">
        <v>2.3672621319547282E-2</v>
      </c>
      <c r="AR239" s="16">
        <v>2.3213954063893927E-2</v>
      </c>
      <c r="AS239" s="16">
        <v>2.2684401034601342E-2</v>
      </c>
      <c r="AT239" s="16">
        <v>2.2081105985039429E-2</v>
      </c>
      <c r="AU239" s="16">
        <v>2.1400905710987961E-2</v>
      </c>
      <c r="AV239" s="16">
        <v>2.0640262038703949E-2</v>
      </c>
      <c r="AW239" s="16">
        <v>1.979517153997068E-2</v>
      </c>
      <c r="AX239" s="16">
        <v>1.8861043002524225E-2</v>
      </c>
      <c r="AY239" s="16">
        <v>1.7832526773970403E-2</v>
      </c>
      <c r="AZ239" s="16">
        <v>1.6703269647296182E-2</v>
      </c>
      <c r="BA239" s="16">
        <v>1.5465549484190877E-2</v>
      </c>
      <c r="BB239" s="16">
        <v>1.410970510674614E-2</v>
      </c>
      <c r="BC239" s="16">
        <v>1.2623193897226548E-2</v>
      </c>
      <c r="BD239" s="16">
        <v>1.0988911941798629E-2</v>
      </c>
      <c r="BE239" s="16">
        <v>9.1818731259792896E-3</v>
      </c>
      <c r="BF239" s="16">
        <v>7.1615586005772114E-3</v>
      </c>
      <c r="BG239" s="16">
        <v>4.8490754902795752E-3</v>
      </c>
      <c r="BH239" s="16">
        <v>1.9904142737354746E-3</v>
      </c>
      <c r="BI239" s="16"/>
      <c r="BJ239" s="16"/>
    </row>
    <row r="240" spans="1:62" ht="12" customHeight="1">
      <c r="A240" s="14" t="s">
        <v>785</v>
      </c>
      <c r="B240" s="31">
        <v>239</v>
      </c>
      <c r="C240" s="16">
        <v>9.7226144155759808E-4</v>
      </c>
      <c r="D240" s="16">
        <v>2.5188958539255069E-3</v>
      </c>
      <c r="E240" s="16">
        <v>3.8793798928877798E-3</v>
      </c>
      <c r="F240" s="16">
        <v>5.1471162108628343E-3</v>
      </c>
      <c r="G240" s="16">
        <v>6.3497167046459024E-3</v>
      </c>
      <c r="H240" s="16">
        <v>7.5003338466065328E-3</v>
      </c>
      <c r="I240" s="16">
        <v>8.6063313288906595E-3</v>
      </c>
      <c r="J240" s="16">
        <v>9.6721793131462341E-3</v>
      </c>
      <c r="K240" s="16">
        <v>1.0700702525296202E-2</v>
      </c>
      <c r="L240" s="16">
        <v>1.1693705671639631E-2</v>
      </c>
      <c r="M240" s="16">
        <v>1.265232029170571E-2</v>
      </c>
      <c r="N240" s="16">
        <v>1.3577211795198774E-2</v>
      </c>
      <c r="O240" s="16">
        <v>1.4468710127209627E-2</v>
      </c>
      <c r="P240" s="16">
        <v>1.5326895903364557E-2</v>
      </c>
      <c r="Q240" s="16">
        <v>1.6151659190944079E-2</v>
      </c>
      <c r="R240" s="16">
        <v>1.6942740751265672E-2</v>
      </c>
      <c r="S240" s="16">
        <v>1.7699761623466537E-2</v>
      </c>
      <c r="T240" s="16">
        <v>1.8422244713587999E-2</v>
      </c>
      <c r="U240" s="16">
        <v>1.910963074866201E-2</v>
      </c>
      <c r="V240" s="16">
        <v>1.9761290158628597E-2</v>
      </c>
      <c r="W240" s="16">
        <v>2.0376531945750842E-2</v>
      </c>
      <c r="X240" s="16">
        <v>2.0954610274098617E-2</v>
      </c>
      <c r="Y240" s="16">
        <v>2.1494729293285775E-2</v>
      </c>
      <c r="Z240" s="16">
        <v>2.1996046561138738E-2</v>
      </c>
      <c r="AA240" s="16">
        <v>2.2457675325078696E-2</v>
      </c>
      <c r="AB240" s="16">
        <v>2.2878685846457358E-2</v>
      </c>
      <c r="AC240" s="16">
        <v>2.3258105896116654E-2</v>
      </c>
      <c r="AD240" s="16">
        <v>2.3594920506527006E-2</v>
      </c>
      <c r="AE240" s="16">
        <v>2.3888071031572311E-2</v>
      </c>
      <c r="AF240" s="16">
        <v>2.4136453536211411E-2</v>
      </c>
      <c r="AG240" s="16">
        <v>2.4338916512492093E-2</v>
      </c>
      <c r="AH240" s="16">
        <v>2.4494257893784788E-2</v>
      </c>
      <c r="AI240" s="16">
        <v>2.4601221313958366E-2</v>
      </c>
      <c r="AJ240" s="16">
        <v>2.465849153080546E-2</v>
      </c>
      <c r="AK240" s="16">
        <v>2.4664688901513188E-2</v>
      </c>
      <c r="AL240" s="16">
        <v>2.4618362760131518E-2</v>
      </c>
      <c r="AM240" s="16">
        <v>2.4517983499909413E-2</v>
      </c>
      <c r="AN240" s="16">
        <v>2.4361933103271616E-2</v>
      </c>
      <c r="AO240" s="16">
        <v>2.4148493783670233E-2</v>
      </c>
      <c r="AP240" s="16">
        <v>2.3875834298971554E-2</v>
      </c>
      <c r="AQ240" s="16">
        <v>2.3541993354280644E-2</v>
      </c>
      <c r="AR240" s="16">
        <v>2.3144859316484467E-2</v>
      </c>
      <c r="AS240" s="16">
        <v>2.268214518809919E-2</v>
      </c>
      <c r="AT240" s="16">
        <v>2.2151357394710081E-2</v>
      </c>
      <c r="AU240" s="16">
        <v>2.1549756365718653E-2</v>
      </c>
      <c r="AV240" s="16">
        <v>2.0874306029288636E-2</v>
      </c>
      <c r="AW240" s="16">
        <v>2.0121608026010707E-2</v>
      </c>
      <c r="AX240" s="16">
        <v>1.928781436964444E-2</v>
      </c>
      <c r="AY240" s="16">
        <v>1.836850890029873E-2</v>
      </c>
      <c r="AZ240" s="16">
        <v>1.7358542151512113E-2</v>
      </c>
      <c r="BA240" s="16">
        <v>1.6251794131195707E-2</v>
      </c>
      <c r="BB240" s="16">
        <v>1.5040820654778631E-2</v>
      </c>
      <c r="BC240" s="16">
        <v>1.371630141129021E-2</v>
      </c>
      <c r="BD240" s="16">
        <v>1.2266127440106356E-2</v>
      </c>
      <c r="BE240" s="16">
        <v>1.0673774226850341E-2</v>
      </c>
      <c r="BF240" s="16">
        <v>8.9150848583904319E-3</v>
      </c>
      <c r="BG240" s="16">
        <v>6.9508577228095669E-3</v>
      </c>
      <c r="BH240" s="16">
        <v>4.7047116867509065E-3</v>
      </c>
      <c r="BI240" s="16">
        <v>1.9305348635421105E-3</v>
      </c>
      <c r="BJ240" s="16"/>
    </row>
    <row r="241" spans="1:62" ht="12" customHeight="1">
      <c r="A241" s="14" t="s">
        <v>786</v>
      </c>
      <c r="B241" s="31">
        <v>240</v>
      </c>
      <c r="C241" s="16">
        <v>9.425797778113143E-4</v>
      </c>
      <c r="D241" s="16">
        <v>2.442055775676244E-3</v>
      </c>
      <c r="E241" s="16">
        <v>3.7612019108037575E-3</v>
      </c>
      <c r="F241" s="16">
        <v>4.9906284043776949E-3</v>
      </c>
      <c r="G241" s="16">
        <v>6.1571562528833779E-3</v>
      </c>
      <c r="H241" s="16">
        <v>7.2735842719831023E-3</v>
      </c>
      <c r="I241" s="16">
        <v>8.347096395336262E-3</v>
      </c>
      <c r="J241" s="16">
        <v>9.3820693376605035E-3</v>
      </c>
      <c r="K241" s="16">
        <v>1.0381283119800022E-2</v>
      </c>
      <c r="L241" s="16">
        <v>1.1346527776307069E-2</v>
      </c>
      <c r="M241" s="16">
        <v>1.2278939914606823E-2</v>
      </c>
      <c r="N241" s="16">
        <v>1.3179203669719808E-2</v>
      </c>
      <c r="O241" s="16">
        <v>1.4047677581229601E-2</v>
      </c>
      <c r="P241" s="16">
        <v>1.4884478274473589E-2</v>
      </c>
      <c r="Q241" s="16">
        <v>1.5689537606050186E-2</v>
      </c>
      <c r="R241" s="16">
        <v>1.6462642795331495E-2</v>
      </c>
      <c r="S241" s="16">
        <v>1.7203465247199734E-2</v>
      </c>
      <c r="T241" s="16">
        <v>1.791158162174844E-2</v>
      </c>
      <c r="U241" s="16">
        <v>1.8586489441751453E-2</v>
      </c>
      <c r="V241" s="16">
        <v>1.9227618755871867E-2</v>
      </c>
      <c r="W241" s="16">
        <v>1.9834340887647128E-2</v>
      </c>
      <c r="X241" s="16">
        <v>2.0405974983204289E-2</v>
      </c>
      <c r="Y241" s="16">
        <v>2.0941792859076713E-2</v>
      </c>
      <c r="Z241" s="16">
        <v>2.1441022506830443E-2</v>
      </c>
      <c r="AA241" s="16">
        <v>2.190285050989349E-2</v>
      </c>
      <c r="AB241" s="16">
        <v>2.2326423555283581E-2</v>
      </c>
      <c r="AC241" s="16">
        <v>2.2710849169371494E-2</v>
      </c>
      <c r="AD241" s="16">
        <v>2.3055195766113812E-2</v>
      </c>
      <c r="AE241" s="16">
        <v>2.3358492064103675E-2</v>
      </c>
      <c r="AF241" s="16">
        <v>2.3619725902319089E-2</v>
      </c>
      <c r="AG241" s="16">
        <v>2.3837842461384873E-2</v>
      </c>
      <c r="AH241" s="16">
        <v>2.4011741875755055E-2</v>
      </c>
      <c r="AI241" s="16">
        <v>2.4140276201044197E-2</v>
      </c>
      <c r="AJ241" s="16">
        <v>2.4222245678305776E-2</v>
      </c>
      <c r="AK241" s="16">
        <v>2.4256394212026855E-2</v>
      </c>
      <c r="AL241" s="16">
        <v>2.4241403949198714E-2</v>
      </c>
      <c r="AM241" s="16">
        <v>2.4175888811055923E-2</v>
      </c>
      <c r="AN241" s="16">
        <v>2.4058386784165053E-2</v>
      </c>
      <c r="AO241" s="16">
        <v>2.3887350719884459E-2</v>
      </c>
      <c r="AP241" s="16">
        <v>2.366113731557562E-2</v>
      </c>
      <c r="AQ241" s="16">
        <v>2.337799385004502E-2</v>
      </c>
      <c r="AR241" s="16">
        <v>2.3036042108652177E-2</v>
      </c>
      <c r="AS241" s="16">
        <v>2.2633258744349738E-2</v>
      </c>
      <c r="AT241" s="16">
        <v>2.2167451055002618E-2</v>
      </c>
      <c r="AU241" s="16">
        <v>2.1636226776630796E-2</v>
      </c>
      <c r="AV241" s="16">
        <v>2.1036955935736179E-2</v>
      </c>
      <c r="AW241" s="16">
        <v>2.0366721972108315E-2</v>
      </c>
      <c r="AX241" s="16">
        <v>1.9622258068313192E-2</v>
      </c>
      <c r="AY241" s="16">
        <v>1.8799862610662132E-2</v>
      </c>
      <c r="AZ241" s="16">
        <v>1.7895284428661618E-2</v>
      </c>
      <c r="BA241" s="16">
        <v>1.6903562913404446E-2</v>
      </c>
      <c r="BB241" s="16">
        <v>1.5818798306647897E-2</v>
      </c>
      <c r="BC241" s="16">
        <v>1.4633809171683554E-2</v>
      </c>
      <c r="BD241" s="16">
        <v>1.3339597749912113E-2</v>
      </c>
      <c r="BE241" s="16">
        <v>1.1924465868683343E-2</v>
      </c>
      <c r="BF241" s="16">
        <v>1.0372438440190646E-2</v>
      </c>
      <c r="BG241" s="16">
        <v>8.6601456941870492E-3</v>
      </c>
      <c r="BH241" s="16">
        <v>6.7496377736148139E-3</v>
      </c>
      <c r="BI241" s="16">
        <v>4.5669229737528294E-3</v>
      </c>
      <c r="BJ241" s="16">
        <v>1.87341141489894E-3</v>
      </c>
    </row>
    <row r="242" spans="1:62" ht="12" customHeight="1">
      <c r="A242" s="14" t="s">
        <v>787</v>
      </c>
      <c r="B242" s="31">
        <v>241</v>
      </c>
      <c r="C242" s="15">
        <v>1</v>
      </c>
      <c r="D242" s="16" t="s">
        <v>788</v>
      </c>
      <c r="E242" s="16" t="s">
        <v>788</v>
      </c>
      <c r="F242" s="16" t="s">
        <v>788</v>
      </c>
      <c r="G242" s="16" t="s">
        <v>788</v>
      </c>
      <c r="H242" s="16" t="s">
        <v>788</v>
      </c>
      <c r="I242" s="16" t="s">
        <v>788</v>
      </c>
      <c r="J242" s="16" t="s">
        <v>788</v>
      </c>
      <c r="K242" s="16" t="s">
        <v>788</v>
      </c>
      <c r="L242" s="16" t="s">
        <v>788</v>
      </c>
      <c r="M242" s="16" t="s">
        <v>788</v>
      </c>
      <c r="N242" s="16" t="s">
        <v>788</v>
      </c>
      <c r="O242" s="16" t="s">
        <v>788</v>
      </c>
      <c r="P242" s="16" t="s">
        <v>788</v>
      </c>
      <c r="Q242" s="16" t="s">
        <v>788</v>
      </c>
      <c r="R242" s="16" t="s">
        <v>788</v>
      </c>
      <c r="S242" s="16" t="s">
        <v>788</v>
      </c>
      <c r="T242" s="16" t="s">
        <v>788</v>
      </c>
      <c r="U242" s="16" t="s">
        <v>788</v>
      </c>
      <c r="V242" s="16" t="s">
        <v>788</v>
      </c>
      <c r="W242" s="16" t="s">
        <v>788</v>
      </c>
      <c r="X242" s="16" t="s">
        <v>788</v>
      </c>
      <c r="Y242" s="16" t="s">
        <v>788</v>
      </c>
      <c r="Z242" s="16" t="s">
        <v>788</v>
      </c>
      <c r="AA242" s="16" t="s">
        <v>788</v>
      </c>
      <c r="AB242" s="16" t="s">
        <v>788</v>
      </c>
      <c r="AC242" s="16" t="s">
        <v>788</v>
      </c>
      <c r="AD242" s="16" t="s">
        <v>788</v>
      </c>
      <c r="AE242" s="16" t="s">
        <v>788</v>
      </c>
      <c r="AF242" s="16" t="s">
        <v>788</v>
      </c>
      <c r="AG242" s="16" t="s">
        <v>788</v>
      </c>
      <c r="AH242" s="16" t="s">
        <v>788</v>
      </c>
      <c r="AI242" s="16" t="s">
        <v>788</v>
      </c>
      <c r="AJ242" s="16" t="s">
        <v>788</v>
      </c>
      <c r="AK242" s="16" t="s">
        <v>788</v>
      </c>
      <c r="AL242" s="16" t="s">
        <v>788</v>
      </c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</row>
    <row r="243" spans="1:62" ht="12" customHeight="1">
      <c r="A243" s="14" t="s">
        <v>789</v>
      </c>
      <c r="B243" s="31">
        <v>242</v>
      </c>
      <c r="C243" s="16">
        <v>0.5</v>
      </c>
      <c r="D243" s="16">
        <v>0.5</v>
      </c>
      <c r="E243" s="16" t="s">
        <v>788</v>
      </c>
      <c r="F243" s="16" t="s">
        <v>788</v>
      </c>
      <c r="G243" s="16" t="s">
        <v>788</v>
      </c>
      <c r="H243" s="16" t="s">
        <v>788</v>
      </c>
      <c r="I243" s="16" t="s">
        <v>788</v>
      </c>
      <c r="J243" s="16" t="s">
        <v>788</v>
      </c>
      <c r="K243" s="16" t="s">
        <v>788</v>
      </c>
      <c r="L243" s="16" t="s">
        <v>788</v>
      </c>
      <c r="M243" s="16" t="s">
        <v>788</v>
      </c>
      <c r="N243" s="16" t="s">
        <v>788</v>
      </c>
      <c r="O243" s="16" t="s">
        <v>788</v>
      </c>
      <c r="P243" s="16" t="s">
        <v>788</v>
      </c>
      <c r="Q243" s="16" t="s">
        <v>788</v>
      </c>
      <c r="R243" s="16" t="s">
        <v>788</v>
      </c>
      <c r="S243" s="16" t="s">
        <v>788</v>
      </c>
      <c r="T243" s="16" t="s">
        <v>788</v>
      </c>
      <c r="U243" s="16" t="s">
        <v>788</v>
      </c>
      <c r="V243" s="16" t="s">
        <v>788</v>
      </c>
      <c r="W243" s="16" t="s">
        <v>788</v>
      </c>
      <c r="X243" s="16" t="s">
        <v>788</v>
      </c>
      <c r="Y243" s="16" t="s">
        <v>788</v>
      </c>
      <c r="Z243" s="16" t="s">
        <v>788</v>
      </c>
      <c r="AA243" s="16" t="s">
        <v>788</v>
      </c>
      <c r="AB243" s="16" t="s">
        <v>788</v>
      </c>
      <c r="AC243" s="16" t="s">
        <v>788</v>
      </c>
      <c r="AD243" s="16" t="s">
        <v>788</v>
      </c>
      <c r="AE243" s="16" t="s">
        <v>788</v>
      </c>
      <c r="AF243" s="16" t="s">
        <v>788</v>
      </c>
      <c r="AG243" s="16" t="s">
        <v>788</v>
      </c>
      <c r="AH243" s="16" t="s">
        <v>788</v>
      </c>
      <c r="AI243" s="16" t="s">
        <v>788</v>
      </c>
      <c r="AJ243" s="16" t="s">
        <v>788</v>
      </c>
      <c r="AK243" s="16" t="s">
        <v>788</v>
      </c>
      <c r="AL243" s="16" t="s">
        <v>788</v>
      </c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</row>
    <row r="244" spans="1:62" ht="12" customHeight="1">
      <c r="A244" s="14" t="s">
        <v>790</v>
      </c>
      <c r="B244" s="31">
        <v>243</v>
      </c>
      <c r="C244" s="16">
        <v>0.33333333333333331</v>
      </c>
      <c r="D244" s="16">
        <v>0.33333333333333331</v>
      </c>
      <c r="E244" s="16">
        <v>0.33333333333333331</v>
      </c>
      <c r="F244" s="16" t="s">
        <v>788</v>
      </c>
      <c r="G244" s="16" t="s">
        <v>788</v>
      </c>
      <c r="H244" s="16" t="s">
        <v>788</v>
      </c>
      <c r="I244" s="16" t="s">
        <v>788</v>
      </c>
      <c r="J244" s="16" t="s">
        <v>788</v>
      </c>
      <c r="K244" s="16" t="s">
        <v>788</v>
      </c>
      <c r="L244" s="16" t="s">
        <v>788</v>
      </c>
      <c r="M244" s="16" t="s">
        <v>788</v>
      </c>
      <c r="N244" s="16" t="s">
        <v>788</v>
      </c>
      <c r="O244" s="16" t="s">
        <v>788</v>
      </c>
      <c r="P244" s="16" t="s">
        <v>788</v>
      </c>
      <c r="Q244" s="16" t="s">
        <v>788</v>
      </c>
      <c r="R244" s="16" t="s">
        <v>788</v>
      </c>
      <c r="S244" s="16" t="s">
        <v>788</v>
      </c>
      <c r="T244" s="16" t="s">
        <v>788</v>
      </c>
      <c r="U244" s="16" t="s">
        <v>788</v>
      </c>
      <c r="V244" s="16" t="s">
        <v>788</v>
      </c>
      <c r="W244" s="16" t="s">
        <v>788</v>
      </c>
      <c r="X244" s="16" t="s">
        <v>788</v>
      </c>
      <c r="Y244" s="16" t="s">
        <v>788</v>
      </c>
      <c r="Z244" s="16" t="s">
        <v>788</v>
      </c>
      <c r="AA244" s="16" t="s">
        <v>788</v>
      </c>
      <c r="AB244" s="16" t="s">
        <v>788</v>
      </c>
      <c r="AC244" s="16" t="s">
        <v>788</v>
      </c>
      <c r="AD244" s="16" t="s">
        <v>788</v>
      </c>
      <c r="AE244" s="16" t="s">
        <v>788</v>
      </c>
      <c r="AF244" s="16" t="s">
        <v>788</v>
      </c>
      <c r="AG244" s="16" t="s">
        <v>788</v>
      </c>
      <c r="AH244" s="16" t="s">
        <v>788</v>
      </c>
      <c r="AI244" s="16" t="s">
        <v>788</v>
      </c>
      <c r="AJ244" s="16" t="s">
        <v>788</v>
      </c>
      <c r="AK244" s="16" t="s">
        <v>788</v>
      </c>
      <c r="AL244" s="16" t="s">
        <v>788</v>
      </c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</row>
    <row r="245" spans="1:62" ht="12" customHeight="1">
      <c r="A245" s="14" t="s">
        <v>791</v>
      </c>
      <c r="B245" s="31">
        <v>244</v>
      </c>
      <c r="C245" s="16">
        <v>0.25</v>
      </c>
      <c r="D245" s="16">
        <v>0.25</v>
      </c>
      <c r="E245" s="16">
        <v>0.25</v>
      </c>
      <c r="F245" s="16">
        <v>0.25</v>
      </c>
      <c r="G245" s="16" t="s">
        <v>788</v>
      </c>
      <c r="H245" s="16" t="s">
        <v>788</v>
      </c>
      <c r="I245" s="16" t="s">
        <v>788</v>
      </c>
      <c r="J245" s="16" t="s">
        <v>788</v>
      </c>
      <c r="K245" s="16" t="s">
        <v>788</v>
      </c>
      <c r="L245" s="16" t="s">
        <v>788</v>
      </c>
      <c r="M245" s="16" t="s">
        <v>788</v>
      </c>
      <c r="N245" s="16" t="s">
        <v>788</v>
      </c>
      <c r="O245" s="16" t="s">
        <v>788</v>
      </c>
      <c r="P245" s="16" t="s">
        <v>788</v>
      </c>
      <c r="Q245" s="16" t="s">
        <v>788</v>
      </c>
      <c r="R245" s="16" t="s">
        <v>788</v>
      </c>
      <c r="S245" s="16" t="s">
        <v>788</v>
      </c>
      <c r="T245" s="16" t="s">
        <v>788</v>
      </c>
      <c r="U245" s="16" t="s">
        <v>788</v>
      </c>
      <c r="V245" s="16" t="s">
        <v>788</v>
      </c>
      <c r="W245" s="16" t="s">
        <v>788</v>
      </c>
      <c r="X245" s="16" t="s">
        <v>788</v>
      </c>
      <c r="Y245" s="16" t="s">
        <v>788</v>
      </c>
      <c r="Z245" s="16" t="s">
        <v>788</v>
      </c>
      <c r="AA245" s="16" t="s">
        <v>788</v>
      </c>
      <c r="AB245" s="16" t="s">
        <v>788</v>
      </c>
      <c r="AC245" s="16" t="s">
        <v>788</v>
      </c>
      <c r="AD245" s="16" t="s">
        <v>788</v>
      </c>
      <c r="AE245" s="16" t="s">
        <v>788</v>
      </c>
      <c r="AF245" s="16" t="s">
        <v>788</v>
      </c>
      <c r="AG245" s="16" t="s">
        <v>788</v>
      </c>
      <c r="AH245" s="16" t="s">
        <v>788</v>
      </c>
      <c r="AI245" s="16" t="s">
        <v>788</v>
      </c>
      <c r="AJ245" s="16" t="s">
        <v>788</v>
      </c>
      <c r="AK245" s="16" t="s">
        <v>788</v>
      </c>
      <c r="AL245" s="16" t="s">
        <v>788</v>
      </c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</row>
    <row r="246" spans="1:62" ht="12" customHeight="1">
      <c r="A246" s="14" t="s">
        <v>792</v>
      </c>
      <c r="B246" s="31">
        <v>245</v>
      </c>
      <c r="C246" s="16">
        <v>0.2</v>
      </c>
      <c r="D246" s="16">
        <v>0.2</v>
      </c>
      <c r="E246" s="16">
        <v>0.2</v>
      </c>
      <c r="F246" s="16">
        <v>0.2</v>
      </c>
      <c r="G246" s="16">
        <v>0.2</v>
      </c>
      <c r="H246" s="16" t="s">
        <v>788</v>
      </c>
      <c r="I246" s="16" t="s">
        <v>788</v>
      </c>
      <c r="J246" s="16" t="s">
        <v>788</v>
      </c>
      <c r="K246" s="16" t="s">
        <v>788</v>
      </c>
      <c r="L246" s="16" t="s">
        <v>788</v>
      </c>
      <c r="M246" s="16" t="s">
        <v>788</v>
      </c>
      <c r="N246" s="16" t="s">
        <v>788</v>
      </c>
      <c r="O246" s="16" t="s">
        <v>788</v>
      </c>
      <c r="P246" s="16" t="s">
        <v>788</v>
      </c>
      <c r="Q246" s="16" t="s">
        <v>788</v>
      </c>
      <c r="R246" s="16" t="s">
        <v>788</v>
      </c>
      <c r="S246" s="16" t="s">
        <v>788</v>
      </c>
      <c r="T246" s="16" t="s">
        <v>788</v>
      </c>
      <c r="U246" s="16" t="s">
        <v>788</v>
      </c>
      <c r="V246" s="16" t="s">
        <v>788</v>
      </c>
      <c r="W246" s="16" t="s">
        <v>788</v>
      </c>
      <c r="X246" s="16" t="s">
        <v>788</v>
      </c>
      <c r="Y246" s="16" t="s">
        <v>788</v>
      </c>
      <c r="Z246" s="16" t="s">
        <v>788</v>
      </c>
      <c r="AA246" s="16" t="s">
        <v>788</v>
      </c>
      <c r="AB246" s="16" t="s">
        <v>788</v>
      </c>
      <c r="AC246" s="16" t="s">
        <v>788</v>
      </c>
      <c r="AD246" s="16" t="s">
        <v>788</v>
      </c>
      <c r="AE246" s="16" t="s">
        <v>788</v>
      </c>
      <c r="AF246" s="16" t="s">
        <v>788</v>
      </c>
      <c r="AG246" s="16" t="s">
        <v>788</v>
      </c>
      <c r="AH246" s="16" t="s">
        <v>788</v>
      </c>
      <c r="AI246" s="16" t="s">
        <v>788</v>
      </c>
      <c r="AJ246" s="16" t="s">
        <v>788</v>
      </c>
      <c r="AK246" s="16" t="s">
        <v>788</v>
      </c>
      <c r="AL246" s="16" t="s">
        <v>788</v>
      </c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</row>
    <row r="247" spans="1:62" ht="12" customHeight="1">
      <c r="A247" s="14" t="s">
        <v>793</v>
      </c>
      <c r="B247" s="31">
        <v>246</v>
      </c>
      <c r="C247" s="16">
        <v>0.16666666666666666</v>
      </c>
      <c r="D247" s="16">
        <v>0.16666666666666666</v>
      </c>
      <c r="E247" s="16">
        <v>0.16666666666666666</v>
      </c>
      <c r="F247" s="16">
        <v>0.16666666666666666</v>
      </c>
      <c r="G247" s="16">
        <v>0.16666666666666666</v>
      </c>
      <c r="H247" s="16">
        <v>0.16666666666666666</v>
      </c>
      <c r="I247" s="16" t="s">
        <v>788</v>
      </c>
      <c r="J247" s="16" t="s">
        <v>788</v>
      </c>
      <c r="K247" s="16" t="s">
        <v>788</v>
      </c>
      <c r="L247" s="16" t="s">
        <v>788</v>
      </c>
      <c r="M247" s="16" t="s">
        <v>788</v>
      </c>
      <c r="N247" s="16" t="s">
        <v>788</v>
      </c>
      <c r="O247" s="16" t="s">
        <v>788</v>
      </c>
      <c r="P247" s="16" t="s">
        <v>788</v>
      </c>
      <c r="Q247" s="16" t="s">
        <v>788</v>
      </c>
      <c r="R247" s="16" t="s">
        <v>788</v>
      </c>
      <c r="S247" s="16" t="s">
        <v>788</v>
      </c>
      <c r="T247" s="16" t="s">
        <v>788</v>
      </c>
      <c r="U247" s="16" t="s">
        <v>788</v>
      </c>
      <c r="V247" s="16" t="s">
        <v>788</v>
      </c>
      <c r="W247" s="16" t="s">
        <v>788</v>
      </c>
      <c r="X247" s="16" t="s">
        <v>788</v>
      </c>
      <c r="Y247" s="16" t="s">
        <v>788</v>
      </c>
      <c r="Z247" s="16" t="s">
        <v>788</v>
      </c>
      <c r="AA247" s="16" t="s">
        <v>788</v>
      </c>
      <c r="AB247" s="16" t="s">
        <v>788</v>
      </c>
      <c r="AC247" s="16" t="s">
        <v>788</v>
      </c>
      <c r="AD247" s="16" t="s">
        <v>788</v>
      </c>
      <c r="AE247" s="16" t="s">
        <v>788</v>
      </c>
      <c r="AF247" s="16" t="s">
        <v>788</v>
      </c>
      <c r="AG247" s="16" t="s">
        <v>788</v>
      </c>
      <c r="AH247" s="16" t="s">
        <v>788</v>
      </c>
      <c r="AI247" s="16" t="s">
        <v>788</v>
      </c>
      <c r="AJ247" s="16" t="s">
        <v>788</v>
      </c>
      <c r="AK247" s="16" t="s">
        <v>788</v>
      </c>
      <c r="AL247" s="16" t="s">
        <v>788</v>
      </c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</row>
    <row r="248" spans="1:62" ht="12" customHeight="1">
      <c r="A248" s="14" t="s">
        <v>794</v>
      </c>
      <c r="B248" s="31">
        <v>247</v>
      </c>
      <c r="C248" s="16">
        <v>0.14285714285714285</v>
      </c>
      <c r="D248" s="16">
        <v>0.14285714285714285</v>
      </c>
      <c r="E248" s="16">
        <v>0.14285714285714285</v>
      </c>
      <c r="F248" s="16">
        <v>0.14285714285714285</v>
      </c>
      <c r="G248" s="16">
        <v>0.14285714285714285</v>
      </c>
      <c r="H248" s="16">
        <v>0.14285714285714285</v>
      </c>
      <c r="I248" s="16">
        <v>0.14285714285714285</v>
      </c>
      <c r="J248" s="16" t="s">
        <v>788</v>
      </c>
      <c r="K248" s="16" t="s">
        <v>788</v>
      </c>
      <c r="L248" s="16" t="s">
        <v>788</v>
      </c>
      <c r="M248" s="16" t="s">
        <v>788</v>
      </c>
      <c r="N248" s="16" t="s">
        <v>788</v>
      </c>
      <c r="O248" s="16" t="s">
        <v>788</v>
      </c>
      <c r="P248" s="16" t="s">
        <v>788</v>
      </c>
      <c r="Q248" s="16" t="s">
        <v>788</v>
      </c>
      <c r="R248" s="16" t="s">
        <v>788</v>
      </c>
      <c r="S248" s="16" t="s">
        <v>788</v>
      </c>
      <c r="T248" s="16" t="s">
        <v>788</v>
      </c>
      <c r="U248" s="16" t="s">
        <v>788</v>
      </c>
      <c r="V248" s="16" t="s">
        <v>788</v>
      </c>
      <c r="W248" s="16" t="s">
        <v>788</v>
      </c>
      <c r="X248" s="16" t="s">
        <v>788</v>
      </c>
      <c r="Y248" s="16" t="s">
        <v>788</v>
      </c>
      <c r="Z248" s="16" t="s">
        <v>788</v>
      </c>
      <c r="AA248" s="16" t="s">
        <v>788</v>
      </c>
      <c r="AB248" s="16" t="s">
        <v>788</v>
      </c>
      <c r="AC248" s="16" t="s">
        <v>788</v>
      </c>
      <c r="AD248" s="16" t="s">
        <v>788</v>
      </c>
      <c r="AE248" s="16" t="s">
        <v>788</v>
      </c>
      <c r="AF248" s="16" t="s">
        <v>788</v>
      </c>
      <c r="AG248" s="16" t="s">
        <v>788</v>
      </c>
      <c r="AH248" s="16" t="s">
        <v>788</v>
      </c>
      <c r="AI248" s="16" t="s">
        <v>788</v>
      </c>
      <c r="AJ248" s="16" t="s">
        <v>788</v>
      </c>
      <c r="AK248" s="16" t="s">
        <v>788</v>
      </c>
      <c r="AL248" s="16" t="s">
        <v>788</v>
      </c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</row>
    <row r="249" spans="1:62" ht="12" customHeight="1">
      <c r="A249" s="14" t="s">
        <v>795</v>
      </c>
      <c r="B249" s="31">
        <v>248</v>
      </c>
      <c r="C249" s="16">
        <v>0.125</v>
      </c>
      <c r="D249" s="16">
        <v>0.125</v>
      </c>
      <c r="E249" s="16">
        <v>0.125</v>
      </c>
      <c r="F249" s="16">
        <v>0.125</v>
      </c>
      <c r="G249" s="16">
        <v>0.125</v>
      </c>
      <c r="H249" s="16">
        <v>0.125</v>
      </c>
      <c r="I249" s="16">
        <v>0.125</v>
      </c>
      <c r="J249" s="16">
        <v>0.125</v>
      </c>
      <c r="K249" s="16" t="s">
        <v>788</v>
      </c>
      <c r="L249" s="16" t="s">
        <v>788</v>
      </c>
      <c r="M249" s="16" t="s">
        <v>788</v>
      </c>
      <c r="N249" s="16" t="s">
        <v>788</v>
      </c>
      <c r="O249" s="16" t="s">
        <v>788</v>
      </c>
      <c r="P249" s="16" t="s">
        <v>788</v>
      </c>
      <c r="Q249" s="16" t="s">
        <v>788</v>
      </c>
      <c r="R249" s="16" t="s">
        <v>788</v>
      </c>
      <c r="S249" s="16" t="s">
        <v>788</v>
      </c>
      <c r="T249" s="16" t="s">
        <v>788</v>
      </c>
      <c r="U249" s="16" t="s">
        <v>788</v>
      </c>
      <c r="V249" s="16" t="s">
        <v>788</v>
      </c>
      <c r="W249" s="16" t="s">
        <v>788</v>
      </c>
      <c r="X249" s="16" t="s">
        <v>788</v>
      </c>
      <c r="Y249" s="16" t="s">
        <v>788</v>
      </c>
      <c r="Z249" s="16" t="s">
        <v>788</v>
      </c>
      <c r="AA249" s="16" t="s">
        <v>788</v>
      </c>
      <c r="AB249" s="16" t="s">
        <v>788</v>
      </c>
      <c r="AC249" s="16" t="s">
        <v>788</v>
      </c>
      <c r="AD249" s="16" t="s">
        <v>788</v>
      </c>
      <c r="AE249" s="16" t="s">
        <v>788</v>
      </c>
      <c r="AF249" s="16" t="s">
        <v>788</v>
      </c>
      <c r="AG249" s="16" t="s">
        <v>788</v>
      </c>
      <c r="AH249" s="16" t="s">
        <v>788</v>
      </c>
      <c r="AI249" s="16" t="s">
        <v>788</v>
      </c>
      <c r="AJ249" s="16" t="s">
        <v>788</v>
      </c>
      <c r="AK249" s="16" t="s">
        <v>788</v>
      </c>
      <c r="AL249" s="16" t="s">
        <v>788</v>
      </c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</row>
    <row r="250" spans="1:62" ht="12" customHeight="1">
      <c r="A250" s="14" t="s">
        <v>796</v>
      </c>
      <c r="B250" s="31">
        <v>249</v>
      </c>
      <c r="C250" s="16">
        <v>0.1111111111111111</v>
      </c>
      <c r="D250" s="16">
        <v>0.1111111111111111</v>
      </c>
      <c r="E250" s="16">
        <v>0.1111111111111111</v>
      </c>
      <c r="F250" s="16">
        <v>0.1111111111111111</v>
      </c>
      <c r="G250" s="16">
        <v>0.1111111111111111</v>
      </c>
      <c r="H250" s="16">
        <v>0.1111111111111111</v>
      </c>
      <c r="I250" s="16">
        <v>0.1111111111111111</v>
      </c>
      <c r="J250" s="16">
        <v>0.1111111111111111</v>
      </c>
      <c r="K250" s="16">
        <v>0.1111111111111111</v>
      </c>
      <c r="L250" s="16" t="s">
        <v>788</v>
      </c>
      <c r="M250" s="16" t="s">
        <v>788</v>
      </c>
      <c r="N250" s="16" t="s">
        <v>788</v>
      </c>
      <c r="O250" s="16" t="s">
        <v>788</v>
      </c>
      <c r="P250" s="16" t="s">
        <v>788</v>
      </c>
      <c r="Q250" s="16" t="s">
        <v>788</v>
      </c>
      <c r="R250" s="16" t="s">
        <v>788</v>
      </c>
      <c r="S250" s="16" t="s">
        <v>788</v>
      </c>
      <c r="T250" s="16" t="s">
        <v>788</v>
      </c>
      <c r="U250" s="16" t="s">
        <v>788</v>
      </c>
      <c r="V250" s="16" t="s">
        <v>788</v>
      </c>
      <c r="W250" s="16" t="s">
        <v>788</v>
      </c>
      <c r="X250" s="16" t="s">
        <v>788</v>
      </c>
      <c r="Y250" s="16" t="s">
        <v>788</v>
      </c>
      <c r="Z250" s="16" t="s">
        <v>788</v>
      </c>
      <c r="AA250" s="16" t="s">
        <v>788</v>
      </c>
      <c r="AB250" s="16" t="s">
        <v>788</v>
      </c>
      <c r="AC250" s="16" t="s">
        <v>788</v>
      </c>
      <c r="AD250" s="16" t="s">
        <v>788</v>
      </c>
      <c r="AE250" s="16" t="s">
        <v>788</v>
      </c>
      <c r="AF250" s="16" t="s">
        <v>788</v>
      </c>
      <c r="AG250" s="16" t="s">
        <v>788</v>
      </c>
      <c r="AH250" s="16" t="s">
        <v>788</v>
      </c>
      <c r="AI250" s="16" t="s">
        <v>788</v>
      </c>
      <c r="AJ250" s="16" t="s">
        <v>788</v>
      </c>
      <c r="AK250" s="16" t="s">
        <v>788</v>
      </c>
      <c r="AL250" s="16" t="s">
        <v>788</v>
      </c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</row>
    <row r="251" spans="1:62" ht="12" customHeight="1">
      <c r="A251" s="14" t="s">
        <v>797</v>
      </c>
      <c r="B251" s="31">
        <v>250</v>
      </c>
      <c r="C251" s="16">
        <v>0.1</v>
      </c>
      <c r="D251" s="16">
        <v>0.1</v>
      </c>
      <c r="E251" s="16">
        <v>0.1</v>
      </c>
      <c r="F251" s="16">
        <v>0.1</v>
      </c>
      <c r="G251" s="16">
        <v>0.1</v>
      </c>
      <c r="H251" s="16">
        <v>0.1</v>
      </c>
      <c r="I251" s="16">
        <v>0.1</v>
      </c>
      <c r="J251" s="16">
        <v>0.1</v>
      </c>
      <c r="K251" s="16">
        <v>0.1</v>
      </c>
      <c r="L251" s="16">
        <v>0.1</v>
      </c>
      <c r="M251" s="16" t="s">
        <v>788</v>
      </c>
      <c r="N251" s="16" t="s">
        <v>788</v>
      </c>
      <c r="O251" s="16" t="s">
        <v>788</v>
      </c>
      <c r="P251" s="16" t="s">
        <v>788</v>
      </c>
      <c r="Q251" s="16" t="s">
        <v>788</v>
      </c>
      <c r="R251" s="16" t="s">
        <v>788</v>
      </c>
      <c r="S251" s="16" t="s">
        <v>788</v>
      </c>
      <c r="T251" s="16" t="s">
        <v>788</v>
      </c>
      <c r="U251" s="16" t="s">
        <v>788</v>
      </c>
      <c r="V251" s="16" t="s">
        <v>788</v>
      </c>
      <c r="W251" s="16" t="s">
        <v>788</v>
      </c>
      <c r="X251" s="16" t="s">
        <v>788</v>
      </c>
      <c r="Y251" s="16" t="s">
        <v>788</v>
      </c>
      <c r="Z251" s="16" t="s">
        <v>788</v>
      </c>
      <c r="AA251" s="16" t="s">
        <v>788</v>
      </c>
      <c r="AB251" s="16" t="s">
        <v>788</v>
      </c>
      <c r="AC251" s="16" t="s">
        <v>788</v>
      </c>
      <c r="AD251" s="16" t="s">
        <v>788</v>
      </c>
      <c r="AE251" s="16" t="s">
        <v>788</v>
      </c>
      <c r="AF251" s="16" t="s">
        <v>788</v>
      </c>
      <c r="AG251" s="16" t="s">
        <v>788</v>
      </c>
      <c r="AH251" s="16" t="s">
        <v>788</v>
      </c>
      <c r="AI251" s="16" t="s">
        <v>788</v>
      </c>
      <c r="AJ251" s="16" t="s">
        <v>788</v>
      </c>
      <c r="AK251" s="16" t="s">
        <v>788</v>
      </c>
      <c r="AL251" s="16" t="s">
        <v>788</v>
      </c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</row>
    <row r="252" spans="1:62" ht="12" customHeight="1">
      <c r="A252" s="14" t="s">
        <v>798</v>
      </c>
      <c r="B252" s="31">
        <v>251</v>
      </c>
      <c r="C252" s="16">
        <v>9.0909090909090912E-2</v>
      </c>
      <c r="D252" s="16">
        <v>9.0909090909090912E-2</v>
      </c>
      <c r="E252" s="16">
        <v>9.0909090909090912E-2</v>
      </c>
      <c r="F252" s="16">
        <v>9.0909090909090912E-2</v>
      </c>
      <c r="G252" s="16">
        <v>9.0909090909090912E-2</v>
      </c>
      <c r="H252" s="16">
        <v>9.0909090909090912E-2</v>
      </c>
      <c r="I252" s="16">
        <v>9.0909090909090912E-2</v>
      </c>
      <c r="J252" s="16">
        <v>9.0909090909090912E-2</v>
      </c>
      <c r="K252" s="16">
        <v>9.0909090909090912E-2</v>
      </c>
      <c r="L252" s="16">
        <v>9.0909090909090912E-2</v>
      </c>
      <c r="M252" s="16">
        <v>9.0909090909090912E-2</v>
      </c>
      <c r="N252" s="16" t="s">
        <v>788</v>
      </c>
      <c r="O252" s="16" t="s">
        <v>788</v>
      </c>
      <c r="P252" s="16" t="s">
        <v>788</v>
      </c>
      <c r="Q252" s="16" t="s">
        <v>788</v>
      </c>
      <c r="R252" s="16" t="s">
        <v>788</v>
      </c>
      <c r="S252" s="16" t="s">
        <v>788</v>
      </c>
      <c r="T252" s="16" t="s">
        <v>788</v>
      </c>
      <c r="U252" s="16" t="s">
        <v>788</v>
      </c>
      <c r="V252" s="16" t="s">
        <v>788</v>
      </c>
      <c r="W252" s="16" t="s">
        <v>788</v>
      </c>
      <c r="X252" s="16" t="s">
        <v>788</v>
      </c>
      <c r="Y252" s="16" t="s">
        <v>788</v>
      </c>
      <c r="Z252" s="16" t="s">
        <v>788</v>
      </c>
      <c r="AA252" s="16" t="s">
        <v>788</v>
      </c>
      <c r="AB252" s="16" t="s">
        <v>788</v>
      </c>
      <c r="AC252" s="16" t="s">
        <v>788</v>
      </c>
      <c r="AD252" s="16" t="s">
        <v>788</v>
      </c>
      <c r="AE252" s="16" t="s">
        <v>788</v>
      </c>
      <c r="AF252" s="16" t="s">
        <v>788</v>
      </c>
      <c r="AG252" s="16" t="s">
        <v>788</v>
      </c>
      <c r="AH252" s="16" t="s">
        <v>788</v>
      </c>
      <c r="AI252" s="16" t="s">
        <v>788</v>
      </c>
      <c r="AJ252" s="16" t="s">
        <v>788</v>
      </c>
      <c r="AK252" s="16" t="s">
        <v>788</v>
      </c>
      <c r="AL252" s="16" t="s">
        <v>788</v>
      </c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</row>
    <row r="253" spans="1:62" ht="12" customHeight="1">
      <c r="A253" s="14" t="s">
        <v>799</v>
      </c>
      <c r="B253" s="31">
        <v>252</v>
      </c>
      <c r="C253" s="16">
        <v>8.3333333333333329E-2</v>
      </c>
      <c r="D253" s="16">
        <v>8.3333333333333329E-2</v>
      </c>
      <c r="E253" s="16">
        <v>8.3333333333333329E-2</v>
      </c>
      <c r="F253" s="16">
        <v>8.3333333333333329E-2</v>
      </c>
      <c r="G253" s="16">
        <v>8.3333333333333329E-2</v>
      </c>
      <c r="H253" s="16">
        <v>8.3333333333333329E-2</v>
      </c>
      <c r="I253" s="16">
        <v>8.3333333333333329E-2</v>
      </c>
      <c r="J253" s="16">
        <v>8.3333333333333329E-2</v>
      </c>
      <c r="K253" s="16">
        <v>8.3333333333333329E-2</v>
      </c>
      <c r="L253" s="16">
        <v>8.3333333333333329E-2</v>
      </c>
      <c r="M253" s="16">
        <v>8.3333333333333329E-2</v>
      </c>
      <c r="N253" s="16">
        <v>8.3333333333333329E-2</v>
      </c>
      <c r="O253" s="16" t="s">
        <v>788</v>
      </c>
      <c r="P253" s="16" t="s">
        <v>788</v>
      </c>
      <c r="Q253" s="16" t="s">
        <v>788</v>
      </c>
      <c r="R253" s="16" t="s">
        <v>788</v>
      </c>
      <c r="S253" s="16" t="s">
        <v>788</v>
      </c>
      <c r="T253" s="16" t="s">
        <v>788</v>
      </c>
      <c r="U253" s="16" t="s">
        <v>788</v>
      </c>
      <c r="V253" s="16" t="s">
        <v>788</v>
      </c>
      <c r="W253" s="16" t="s">
        <v>788</v>
      </c>
      <c r="X253" s="16" t="s">
        <v>788</v>
      </c>
      <c r="Y253" s="16" t="s">
        <v>788</v>
      </c>
      <c r="Z253" s="16" t="s">
        <v>788</v>
      </c>
      <c r="AA253" s="16" t="s">
        <v>788</v>
      </c>
      <c r="AB253" s="16" t="s">
        <v>788</v>
      </c>
      <c r="AC253" s="16" t="s">
        <v>788</v>
      </c>
      <c r="AD253" s="16" t="s">
        <v>788</v>
      </c>
      <c r="AE253" s="16" t="s">
        <v>788</v>
      </c>
      <c r="AF253" s="16" t="s">
        <v>788</v>
      </c>
      <c r="AG253" s="16" t="s">
        <v>788</v>
      </c>
      <c r="AH253" s="16" t="s">
        <v>788</v>
      </c>
      <c r="AI253" s="16" t="s">
        <v>788</v>
      </c>
      <c r="AJ253" s="16" t="s">
        <v>788</v>
      </c>
      <c r="AK253" s="16" t="s">
        <v>788</v>
      </c>
      <c r="AL253" s="16" t="s">
        <v>788</v>
      </c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</row>
    <row r="254" spans="1:62" ht="12" customHeight="1">
      <c r="A254" s="14" t="s">
        <v>800</v>
      </c>
      <c r="B254" s="31">
        <v>253</v>
      </c>
      <c r="C254" s="16">
        <v>7.6923076923076927E-2</v>
      </c>
      <c r="D254" s="16">
        <v>7.6923076923076927E-2</v>
      </c>
      <c r="E254" s="16">
        <v>7.6923076923076927E-2</v>
      </c>
      <c r="F254" s="16">
        <v>7.6923076923076927E-2</v>
      </c>
      <c r="G254" s="16">
        <v>7.6923076923076927E-2</v>
      </c>
      <c r="H254" s="16">
        <v>7.6923076923076927E-2</v>
      </c>
      <c r="I254" s="16">
        <v>7.6923076923076927E-2</v>
      </c>
      <c r="J254" s="16">
        <v>7.6923076923076927E-2</v>
      </c>
      <c r="K254" s="16">
        <v>7.6923076923076927E-2</v>
      </c>
      <c r="L254" s="16">
        <v>7.6923076923076927E-2</v>
      </c>
      <c r="M254" s="16">
        <v>7.6923076923076927E-2</v>
      </c>
      <c r="N254" s="16">
        <v>7.6923076923076927E-2</v>
      </c>
      <c r="O254" s="16">
        <v>7.6923076923076927E-2</v>
      </c>
      <c r="P254" s="16" t="s">
        <v>788</v>
      </c>
      <c r="Q254" s="16" t="s">
        <v>788</v>
      </c>
      <c r="R254" s="16" t="s">
        <v>788</v>
      </c>
      <c r="S254" s="16" t="s">
        <v>788</v>
      </c>
      <c r="T254" s="16" t="s">
        <v>788</v>
      </c>
      <c r="U254" s="16" t="s">
        <v>788</v>
      </c>
      <c r="V254" s="16" t="s">
        <v>788</v>
      </c>
      <c r="W254" s="16" t="s">
        <v>788</v>
      </c>
      <c r="X254" s="16" t="s">
        <v>788</v>
      </c>
      <c r="Y254" s="16" t="s">
        <v>788</v>
      </c>
      <c r="Z254" s="16" t="s">
        <v>788</v>
      </c>
      <c r="AA254" s="16" t="s">
        <v>788</v>
      </c>
      <c r="AB254" s="16" t="s">
        <v>788</v>
      </c>
      <c r="AC254" s="16" t="s">
        <v>788</v>
      </c>
      <c r="AD254" s="16" t="s">
        <v>788</v>
      </c>
      <c r="AE254" s="16" t="s">
        <v>788</v>
      </c>
      <c r="AF254" s="16" t="s">
        <v>788</v>
      </c>
      <c r="AG254" s="16" t="s">
        <v>788</v>
      </c>
      <c r="AH254" s="16" t="s">
        <v>788</v>
      </c>
      <c r="AI254" s="16" t="s">
        <v>788</v>
      </c>
      <c r="AJ254" s="16" t="s">
        <v>788</v>
      </c>
      <c r="AK254" s="16" t="s">
        <v>788</v>
      </c>
      <c r="AL254" s="16" t="s">
        <v>788</v>
      </c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</row>
    <row r="255" spans="1:62" ht="12" customHeight="1">
      <c r="A255" s="14" t="s">
        <v>801</v>
      </c>
      <c r="B255" s="31">
        <v>254</v>
      </c>
      <c r="C255" s="16">
        <v>7.1428571428571425E-2</v>
      </c>
      <c r="D255" s="16">
        <v>7.1428571428571425E-2</v>
      </c>
      <c r="E255" s="16">
        <v>7.1428571428571425E-2</v>
      </c>
      <c r="F255" s="16">
        <v>7.1428571428571425E-2</v>
      </c>
      <c r="G255" s="16">
        <v>7.1428571428571425E-2</v>
      </c>
      <c r="H255" s="16">
        <v>7.1428571428571425E-2</v>
      </c>
      <c r="I255" s="16">
        <v>7.1428571428571425E-2</v>
      </c>
      <c r="J255" s="16">
        <v>7.1428571428571425E-2</v>
      </c>
      <c r="K255" s="16">
        <v>7.1428571428571425E-2</v>
      </c>
      <c r="L255" s="16">
        <v>7.1428571428571425E-2</v>
      </c>
      <c r="M255" s="16">
        <v>7.1428571428571425E-2</v>
      </c>
      <c r="N255" s="16">
        <v>7.1428571428571425E-2</v>
      </c>
      <c r="O255" s="16">
        <v>7.1428571428571425E-2</v>
      </c>
      <c r="P255" s="16">
        <v>7.1428571428571425E-2</v>
      </c>
      <c r="Q255" s="16" t="s">
        <v>788</v>
      </c>
      <c r="R255" s="16" t="s">
        <v>788</v>
      </c>
      <c r="S255" s="16" t="s">
        <v>788</v>
      </c>
      <c r="T255" s="16" t="s">
        <v>788</v>
      </c>
      <c r="U255" s="16" t="s">
        <v>788</v>
      </c>
      <c r="V255" s="16" t="s">
        <v>788</v>
      </c>
      <c r="W255" s="16" t="s">
        <v>788</v>
      </c>
      <c r="X255" s="16" t="s">
        <v>788</v>
      </c>
      <c r="Y255" s="16" t="s">
        <v>788</v>
      </c>
      <c r="Z255" s="16" t="s">
        <v>788</v>
      </c>
      <c r="AA255" s="16" t="s">
        <v>788</v>
      </c>
      <c r="AB255" s="16" t="s">
        <v>788</v>
      </c>
      <c r="AC255" s="16" t="s">
        <v>788</v>
      </c>
      <c r="AD255" s="16" t="s">
        <v>788</v>
      </c>
      <c r="AE255" s="16" t="s">
        <v>788</v>
      </c>
      <c r="AF255" s="16" t="s">
        <v>788</v>
      </c>
      <c r="AG255" s="16" t="s">
        <v>788</v>
      </c>
      <c r="AH255" s="16" t="s">
        <v>788</v>
      </c>
      <c r="AI255" s="16" t="s">
        <v>788</v>
      </c>
      <c r="AJ255" s="16" t="s">
        <v>788</v>
      </c>
      <c r="AK255" s="16" t="s">
        <v>788</v>
      </c>
      <c r="AL255" s="16" t="s">
        <v>788</v>
      </c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</row>
    <row r="256" spans="1:62" ht="12" customHeight="1">
      <c r="A256" s="14" t="s">
        <v>802</v>
      </c>
      <c r="B256" s="31">
        <v>255</v>
      </c>
      <c r="C256" s="16">
        <v>6.6666666666666666E-2</v>
      </c>
      <c r="D256" s="16">
        <v>6.6666666666666666E-2</v>
      </c>
      <c r="E256" s="16">
        <v>6.6666666666666666E-2</v>
      </c>
      <c r="F256" s="16">
        <v>6.6666666666666666E-2</v>
      </c>
      <c r="G256" s="16">
        <v>6.6666666666666666E-2</v>
      </c>
      <c r="H256" s="16">
        <v>6.6666666666666666E-2</v>
      </c>
      <c r="I256" s="16">
        <v>6.6666666666666666E-2</v>
      </c>
      <c r="J256" s="16">
        <v>6.6666666666666666E-2</v>
      </c>
      <c r="K256" s="16">
        <v>6.6666666666666666E-2</v>
      </c>
      <c r="L256" s="16">
        <v>6.6666666666666666E-2</v>
      </c>
      <c r="M256" s="16">
        <v>6.6666666666666666E-2</v>
      </c>
      <c r="N256" s="16">
        <v>6.6666666666666666E-2</v>
      </c>
      <c r="O256" s="16">
        <v>6.6666666666666666E-2</v>
      </c>
      <c r="P256" s="16">
        <v>6.6666666666666666E-2</v>
      </c>
      <c r="Q256" s="16">
        <v>6.6666666666666666E-2</v>
      </c>
      <c r="R256" s="16" t="s">
        <v>788</v>
      </c>
      <c r="S256" s="16" t="s">
        <v>788</v>
      </c>
      <c r="T256" s="16" t="s">
        <v>788</v>
      </c>
      <c r="U256" s="16" t="s">
        <v>788</v>
      </c>
      <c r="V256" s="16" t="s">
        <v>788</v>
      </c>
      <c r="W256" s="16" t="s">
        <v>788</v>
      </c>
      <c r="X256" s="16" t="s">
        <v>788</v>
      </c>
      <c r="Y256" s="16" t="s">
        <v>788</v>
      </c>
      <c r="Z256" s="16" t="s">
        <v>788</v>
      </c>
      <c r="AA256" s="16" t="s">
        <v>788</v>
      </c>
      <c r="AB256" s="16" t="s">
        <v>788</v>
      </c>
      <c r="AC256" s="16" t="s">
        <v>788</v>
      </c>
      <c r="AD256" s="16" t="s">
        <v>788</v>
      </c>
      <c r="AE256" s="16" t="s">
        <v>788</v>
      </c>
      <c r="AF256" s="16" t="s">
        <v>788</v>
      </c>
      <c r="AG256" s="16" t="s">
        <v>788</v>
      </c>
      <c r="AH256" s="16" t="s">
        <v>788</v>
      </c>
      <c r="AI256" s="16" t="s">
        <v>788</v>
      </c>
      <c r="AJ256" s="16" t="s">
        <v>788</v>
      </c>
      <c r="AK256" s="16" t="s">
        <v>788</v>
      </c>
      <c r="AL256" s="16" t="s">
        <v>788</v>
      </c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</row>
    <row r="257" spans="1:62" ht="12" customHeight="1">
      <c r="A257" s="14" t="s">
        <v>803</v>
      </c>
      <c r="B257" s="31">
        <v>256</v>
      </c>
      <c r="C257" s="16">
        <v>6.25E-2</v>
      </c>
      <c r="D257" s="16">
        <v>6.25E-2</v>
      </c>
      <c r="E257" s="16">
        <v>6.25E-2</v>
      </c>
      <c r="F257" s="16">
        <v>6.25E-2</v>
      </c>
      <c r="G257" s="16">
        <v>6.25E-2</v>
      </c>
      <c r="H257" s="16">
        <v>6.25E-2</v>
      </c>
      <c r="I257" s="16">
        <v>6.25E-2</v>
      </c>
      <c r="J257" s="16">
        <v>6.25E-2</v>
      </c>
      <c r="K257" s="16">
        <v>6.25E-2</v>
      </c>
      <c r="L257" s="16">
        <v>6.25E-2</v>
      </c>
      <c r="M257" s="16">
        <v>6.25E-2</v>
      </c>
      <c r="N257" s="16">
        <v>6.25E-2</v>
      </c>
      <c r="O257" s="16">
        <v>6.25E-2</v>
      </c>
      <c r="P257" s="16">
        <v>6.25E-2</v>
      </c>
      <c r="Q257" s="16">
        <v>6.25E-2</v>
      </c>
      <c r="R257" s="16">
        <v>6.25E-2</v>
      </c>
      <c r="S257" s="16" t="s">
        <v>788</v>
      </c>
      <c r="T257" s="16" t="s">
        <v>788</v>
      </c>
      <c r="U257" s="16" t="s">
        <v>788</v>
      </c>
      <c r="V257" s="16" t="s">
        <v>788</v>
      </c>
      <c r="W257" s="16" t="s">
        <v>788</v>
      </c>
      <c r="X257" s="16" t="s">
        <v>788</v>
      </c>
      <c r="Y257" s="16" t="s">
        <v>788</v>
      </c>
      <c r="Z257" s="16" t="s">
        <v>788</v>
      </c>
      <c r="AA257" s="16" t="s">
        <v>788</v>
      </c>
      <c r="AB257" s="16" t="s">
        <v>788</v>
      </c>
      <c r="AC257" s="16" t="s">
        <v>788</v>
      </c>
      <c r="AD257" s="16" t="s">
        <v>788</v>
      </c>
      <c r="AE257" s="16" t="s">
        <v>788</v>
      </c>
      <c r="AF257" s="16" t="s">
        <v>788</v>
      </c>
      <c r="AG257" s="16" t="s">
        <v>788</v>
      </c>
      <c r="AH257" s="16" t="s">
        <v>788</v>
      </c>
      <c r="AI257" s="16" t="s">
        <v>788</v>
      </c>
      <c r="AJ257" s="16" t="s">
        <v>788</v>
      </c>
      <c r="AK257" s="16" t="s">
        <v>788</v>
      </c>
      <c r="AL257" s="16" t="s">
        <v>788</v>
      </c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</row>
    <row r="258" spans="1:62" ht="12" customHeight="1">
      <c r="A258" s="14" t="s">
        <v>804</v>
      </c>
      <c r="B258" s="31">
        <v>257</v>
      </c>
      <c r="C258" s="16">
        <v>5.8823529411764705E-2</v>
      </c>
      <c r="D258" s="16">
        <v>5.8823529411764705E-2</v>
      </c>
      <c r="E258" s="16">
        <v>5.8823529411764705E-2</v>
      </c>
      <c r="F258" s="16">
        <v>5.8823529411764705E-2</v>
      </c>
      <c r="G258" s="16">
        <v>5.8823529411764705E-2</v>
      </c>
      <c r="H258" s="16">
        <v>5.8823529411764705E-2</v>
      </c>
      <c r="I258" s="16">
        <v>5.8823529411764705E-2</v>
      </c>
      <c r="J258" s="16">
        <v>5.8823529411764705E-2</v>
      </c>
      <c r="K258" s="16">
        <v>5.8823529411764705E-2</v>
      </c>
      <c r="L258" s="16">
        <v>5.8823529411764705E-2</v>
      </c>
      <c r="M258" s="16">
        <v>5.8823529411764705E-2</v>
      </c>
      <c r="N258" s="16">
        <v>5.8823529411764705E-2</v>
      </c>
      <c r="O258" s="16">
        <v>5.8823529411764705E-2</v>
      </c>
      <c r="P258" s="16">
        <v>5.8823529411764705E-2</v>
      </c>
      <c r="Q258" s="16">
        <v>5.8823529411764705E-2</v>
      </c>
      <c r="R258" s="16">
        <v>5.8823529411764705E-2</v>
      </c>
      <c r="S258" s="16">
        <v>5.8823529411764705E-2</v>
      </c>
      <c r="T258" s="16" t="s">
        <v>788</v>
      </c>
      <c r="U258" s="16" t="s">
        <v>788</v>
      </c>
      <c r="V258" s="16" t="s">
        <v>788</v>
      </c>
      <c r="W258" s="16" t="s">
        <v>788</v>
      </c>
      <c r="X258" s="16" t="s">
        <v>788</v>
      </c>
      <c r="Y258" s="16" t="s">
        <v>788</v>
      </c>
      <c r="Z258" s="16" t="s">
        <v>788</v>
      </c>
      <c r="AA258" s="16" t="s">
        <v>788</v>
      </c>
      <c r="AB258" s="16" t="s">
        <v>788</v>
      </c>
      <c r="AC258" s="16" t="s">
        <v>788</v>
      </c>
      <c r="AD258" s="16" t="s">
        <v>788</v>
      </c>
      <c r="AE258" s="16" t="s">
        <v>788</v>
      </c>
      <c r="AF258" s="16" t="s">
        <v>788</v>
      </c>
      <c r="AG258" s="16" t="s">
        <v>788</v>
      </c>
      <c r="AH258" s="16" t="s">
        <v>788</v>
      </c>
      <c r="AI258" s="16" t="s">
        <v>788</v>
      </c>
      <c r="AJ258" s="16" t="s">
        <v>788</v>
      </c>
      <c r="AK258" s="16" t="s">
        <v>788</v>
      </c>
      <c r="AL258" s="16" t="s">
        <v>788</v>
      </c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</row>
    <row r="259" spans="1:62" ht="12" customHeight="1">
      <c r="A259" s="14" t="s">
        <v>805</v>
      </c>
      <c r="B259" s="31">
        <v>258</v>
      </c>
      <c r="C259" s="16">
        <v>5.5555555555555552E-2</v>
      </c>
      <c r="D259" s="16">
        <v>5.5555555555555552E-2</v>
      </c>
      <c r="E259" s="16">
        <v>5.5555555555555552E-2</v>
      </c>
      <c r="F259" s="16">
        <v>5.5555555555555552E-2</v>
      </c>
      <c r="G259" s="16">
        <v>5.5555555555555552E-2</v>
      </c>
      <c r="H259" s="16">
        <v>5.5555555555555552E-2</v>
      </c>
      <c r="I259" s="16">
        <v>5.5555555555555552E-2</v>
      </c>
      <c r="J259" s="16">
        <v>5.5555555555555552E-2</v>
      </c>
      <c r="K259" s="16">
        <v>5.5555555555555552E-2</v>
      </c>
      <c r="L259" s="16">
        <v>5.5555555555555552E-2</v>
      </c>
      <c r="M259" s="16">
        <v>5.5555555555555552E-2</v>
      </c>
      <c r="N259" s="16">
        <v>5.5555555555555552E-2</v>
      </c>
      <c r="O259" s="16">
        <v>5.5555555555555552E-2</v>
      </c>
      <c r="P259" s="16">
        <v>5.5555555555555552E-2</v>
      </c>
      <c r="Q259" s="16">
        <v>5.5555555555555552E-2</v>
      </c>
      <c r="R259" s="16">
        <v>5.5555555555555552E-2</v>
      </c>
      <c r="S259" s="16">
        <v>5.5555555555555552E-2</v>
      </c>
      <c r="T259" s="16">
        <v>5.5555555555555552E-2</v>
      </c>
      <c r="U259" s="16" t="s">
        <v>788</v>
      </c>
      <c r="V259" s="16" t="s">
        <v>788</v>
      </c>
      <c r="W259" s="16" t="s">
        <v>788</v>
      </c>
      <c r="X259" s="16" t="s">
        <v>788</v>
      </c>
      <c r="Y259" s="16" t="s">
        <v>788</v>
      </c>
      <c r="Z259" s="16" t="s">
        <v>788</v>
      </c>
      <c r="AA259" s="16" t="s">
        <v>788</v>
      </c>
      <c r="AB259" s="16" t="s">
        <v>788</v>
      </c>
      <c r="AC259" s="16" t="s">
        <v>788</v>
      </c>
      <c r="AD259" s="16" t="s">
        <v>788</v>
      </c>
      <c r="AE259" s="16" t="s">
        <v>788</v>
      </c>
      <c r="AF259" s="16" t="s">
        <v>788</v>
      </c>
      <c r="AG259" s="16" t="s">
        <v>788</v>
      </c>
      <c r="AH259" s="16" t="s">
        <v>788</v>
      </c>
      <c r="AI259" s="16" t="s">
        <v>788</v>
      </c>
      <c r="AJ259" s="16" t="s">
        <v>788</v>
      </c>
      <c r="AK259" s="16" t="s">
        <v>788</v>
      </c>
      <c r="AL259" s="16" t="s">
        <v>788</v>
      </c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</row>
    <row r="260" spans="1:62" ht="12" customHeight="1">
      <c r="A260" s="14" t="s">
        <v>806</v>
      </c>
      <c r="B260" s="31">
        <v>259</v>
      </c>
      <c r="C260" s="16">
        <v>5.2631578947368418E-2</v>
      </c>
      <c r="D260" s="16">
        <v>5.2631578947368418E-2</v>
      </c>
      <c r="E260" s="16">
        <v>5.2631578947368418E-2</v>
      </c>
      <c r="F260" s="16">
        <v>5.2631578947368418E-2</v>
      </c>
      <c r="G260" s="16">
        <v>5.2631578947368418E-2</v>
      </c>
      <c r="H260" s="16">
        <v>5.2631578947368418E-2</v>
      </c>
      <c r="I260" s="16">
        <v>5.2631578947368418E-2</v>
      </c>
      <c r="J260" s="16">
        <v>5.2631578947368418E-2</v>
      </c>
      <c r="K260" s="16">
        <v>5.2631578947368418E-2</v>
      </c>
      <c r="L260" s="16">
        <v>5.2631578947368418E-2</v>
      </c>
      <c r="M260" s="16">
        <v>5.2631578947368418E-2</v>
      </c>
      <c r="N260" s="16">
        <v>5.2631578947368418E-2</v>
      </c>
      <c r="O260" s="16">
        <v>5.2631578947368418E-2</v>
      </c>
      <c r="P260" s="16">
        <v>5.2631578947368418E-2</v>
      </c>
      <c r="Q260" s="16">
        <v>5.2631578947368418E-2</v>
      </c>
      <c r="R260" s="16">
        <v>5.2631578947368418E-2</v>
      </c>
      <c r="S260" s="16">
        <v>5.2631578947368418E-2</v>
      </c>
      <c r="T260" s="16">
        <v>5.2631578947368418E-2</v>
      </c>
      <c r="U260" s="16">
        <v>5.2631578947368418E-2</v>
      </c>
      <c r="V260" s="16" t="s">
        <v>788</v>
      </c>
      <c r="W260" s="16" t="s">
        <v>788</v>
      </c>
      <c r="X260" s="16" t="s">
        <v>788</v>
      </c>
      <c r="Y260" s="16" t="s">
        <v>788</v>
      </c>
      <c r="Z260" s="16" t="s">
        <v>788</v>
      </c>
      <c r="AA260" s="16" t="s">
        <v>788</v>
      </c>
      <c r="AB260" s="16" t="s">
        <v>788</v>
      </c>
      <c r="AC260" s="16" t="s">
        <v>788</v>
      </c>
      <c r="AD260" s="16" t="s">
        <v>788</v>
      </c>
      <c r="AE260" s="16" t="s">
        <v>788</v>
      </c>
      <c r="AF260" s="16" t="s">
        <v>788</v>
      </c>
      <c r="AG260" s="16" t="s">
        <v>788</v>
      </c>
      <c r="AH260" s="16" t="s">
        <v>788</v>
      </c>
      <c r="AI260" s="16" t="s">
        <v>788</v>
      </c>
      <c r="AJ260" s="16" t="s">
        <v>788</v>
      </c>
      <c r="AK260" s="16" t="s">
        <v>788</v>
      </c>
      <c r="AL260" s="16" t="s">
        <v>788</v>
      </c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</row>
    <row r="261" spans="1:62" ht="12" customHeight="1">
      <c r="A261" s="14" t="s">
        <v>807</v>
      </c>
      <c r="B261" s="31">
        <v>260</v>
      </c>
      <c r="C261" s="16">
        <v>0.05</v>
      </c>
      <c r="D261" s="16">
        <v>0.05</v>
      </c>
      <c r="E261" s="16">
        <v>0.05</v>
      </c>
      <c r="F261" s="16">
        <v>0.05</v>
      </c>
      <c r="G261" s="16">
        <v>0.05</v>
      </c>
      <c r="H261" s="16">
        <v>0.05</v>
      </c>
      <c r="I261" s="16">
        <v>0.05</v>
      </c>
      <c r="J261" s="16">
        <v>0.05</v>
      </c>
      <c r="K261" s="16">
        <v>0.05</v>
      </c>
      <c r="L261" s="16">
        <v>0.05</v>
      </c>
      <c r="M261" s="16">
        <v>0.05</v>
      </c>
      <c r="N261" s="16">
        <v>0.05</v>
      </c>
      <c r="O261" s="16">
        <v>0.05</v>
      </c>
      <c r="P261" s="16">
        <v>0.05</v>
      </c>
      <c r="Q261" s="16">
        <v>0.05</v>
      </c>
      <c r="R261" s="16">
        <v>0.05</v>
      </c>
      <c r="S261" s="16">
        <v>0.05</v>
      </c>
      <c r="T261" s="16">
        <v>0.05</v>
      </c>
      <c r="U261" s="16">
        <v>0.05</v>
      </c>
      <c r="V261" s="16">
        <v>0.05</v>
      </c>
      <c r="W261" s="16" t="s">
        <v>788</v>
      </c>
      <c r="X261" s="16" t="s">
        <v>788</v>
      </c>
      <c r="Y261" s="16" t="s">
        <v>788</v>
      </c>
      <c r="Z261" s="16" t="s">
        <v>788</v>
      </c>
      <c r="AA261" s="16" t="s">
        <v>788</v>
      </c>
      <c r="AB261" s="16" t="s">
        <v>788</v>
      </c>
      <c r="AC261" s="16" t="s">
        <v>788</v>
      </c>
      <c r="AD261" s="16" t="s">
        <v>788</v>
      </c>
      <c r="AE261" s="16" t="s">
        <v>788</v>
      </c>
      <c r="AF261" s="16" t="s">
        <v>788</v>
      </c>
      <c r="AG261" s="16" t="s">
        <v>788</v>
      </c>
      <c r="AH261" s="16" t="s">
        <v>788</v>
      </c>
      <c r="AI261" s="16" t="s">
        <v>788</v>
      </c>
      <c r="AJ261" s="16" t="s">
        <v>788</v>
      </c>
      <c r="AK261" s="16" t="s">
        <v>788</v>
      </c>
      <c r="AL261" s="16" t="s">
        <v>788</v>
      </c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</row>
    <row r="262" spans="1:62" ht="12" customHeight="1">
      <c r="A262" s="14" t="s">
        <v>808</v>
      </c>
      <c r="B262" s="31">
        <v>261</v>
      </c>
      <c r="C262" s="16">
        <v>4.7619047619047616E-2</v>
      </c>
      <c r="D262" s="16">
        <v>4.7619047619047616E-2</v>
      </c>
      <c r="E262" s="16">
        <v>4.7619047619047616E-2</v>
      </c>
      <c r="F262" s="16">
        <v>4.7619047619047616E-2</v>
      </c>
      <c r="G262" s="16">
        <v>4.7619047619047616E-2</v>
      </c>
      <c r="H262" s="16">
        <v>4.7619047619047616E-2</v>
      </c>
      <c r="I262" s="16">
        <v>4.7619047619047616E-2</v>
      </c>
      <c r="J262" s="16">
        <v>4.7619047619047616E-2</v>
      </c>
      <c r="K262" s="16">
        <v>4.7619047619047616E-2</v>
      </c>
      <c r="L262" s="16">
        <v>4.7619047619047616E-2</v>
      </c>
      <c r="M262" s="16">
        <v>4.7619047619047616E-2</v>
      </c>
      <c r="N262" s="16">
        <v>4.7619047619047616E-2</v>
      </c>
      <c r="O262" s="16">
        <v>4.7619047619047616E-2</v>
      </c>
      <c r="P262" s="16">
        <v>4.7619047619047616E-2</v>
      </c>
      <c r="Q262" s="16">
        <v>4.7619047619047616E-2</v>
      </c>
      <c r="R262" s="16">
        <v>4.7619047619047616E-2</v>
      </c>
      <c r="S262" s="16">
        <v>4.7619047619047616E-2</v>
      </c>
      <c r="T262" s="16">
        <v>4.7619047619047616E-2</v>
      </c>
      <c r="U262" s="16">
        <v>4.7619047619047616E-2</v>
      </c>
      <c r="V262" s="16">
        <v>4.7619047619047616E-2</v>
      </c>
      <c r="W262" s="16">
        <v>4.7619047619047616E-2</v>
      </c>
      <c r="X262" s="16" t="s">
        <v>788</v>
      </c>
      <c r="Y262" s="16" t="s">
        <v>788</v>
      </c>
      <c r="Z262" s="16" t="s">
        <v>788</v>
      </c>
      <c r="AA262" s="16" t="s">
        <v>788</v>
      </c>
      <c r="AB262" s="16" t="s">
        <v>788</v>
      </c>
      <c r="AC262" s="16" t="s">
        <v>788</v>
      </c>
      <c r="AD262" s="16" t="s">
        <v>788</v>
      </c>
      <c r="AE262" s="16" t="s">
        <v>788</v>
      </c>
      <c r="AF262" s="16" t="s">
        <v>788</v>
      </c>
      <c r="AG262" s="16" t="s">
        <v>788</v>
      </c>
      <c r="AH262" s="16" t="s">
        <v>788</v>
      </c>
      <c r="AI262" s="16" t="s">
        <v>788</v>
      </c>
      <c r="AJ262" s="16" t="s">
        <v>788</v>
      </c>
      <c r="AK262" s="16" t="s">
        <v>788</v>
      </c>
      <c r="AL262" s="16" t="s">
        <v>788</v>
      </c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</row>
    <row r="263" spans="1:62" ht="12" customHeight="1">
      <c r="A263" s="14" t="s">
        <v>809</v>
      </c>
      <c r="B263" s="31">
        <v>262</v>
      </c>
      <c r="C263" s="16">
        <v>4.5454545454545456E-2</v>
      </c>
      <c r="D263" s="16">
        <v>4.5454545454545456E-2</v>
      </c>
      <c r="E263" s="16">
        <v>4.5454545454545456E-2</v>
      </c>
      <c r="F263" s="16">
        <v>4.5454545454545456E-2</v>
      </c>
      <c r="G263" s="16">
        <v>4.5454545454545456E-2</v>
      </c>
      <c r="H263" s="16">
        <v>4.5454545454545456E-2</v>
      </c>
      <c r="I263" s="16">
        <v>4.5454545454545456E-2</v>
      </c>
      <c r="J263" s="16">
        <v>4.5454545454545456E-2</v>
      </c>
      <c r="K263" s="16">
        <v>4.5454545454545456E-2</v>
      </c>
      <c r="L263" s="16">
        <v>4.5454545454545456E-2</v>
      </c>
      <c r="M263" s="16">
        <v>4.5454545454545456E-2</v>
      </c>
      <c r="N263" s="16">
        <v>4.5454545454545456E-2</v>
      </c>
      <c r="O263" s="16">
        <v>4.5454545454545456E-2</v>
      </c>
      <c r="P263" s="16">
        <v>4.5454545454545456E-2</v>
      </c>
      <c r="Q263" s="16">
        <v>4.5454545454545456E-2</v>
      </c>
      <c r="R263" s="16">
        <v>4.5454545454545456E-2</v>
      </c>
      <c r="S263" s="16">
        <v>4.5454545454545456E-2</v>
      </c>
      <c r="T263" s="16">
        <v>4.5454545454545456E-2</v>
      </c>
      <c r="U263" s="16">
        <v>4.5454545454545456E-2</v>
      </c>
      <c r="V263" s="16">
        <v>4.5454545454545456E-2</v>
      </c>
      <c r="W263" s="16">
        <v>4.5454545454545456E-2</v>
      </c>
      <c r="X263" s="16">
        <v>4.5454545454545456E-2</v>
      </c>
      <c r="Y263" s="16" t="s">
        <v>788</v>
      </c>
      <c r="Z263" s="16" t="s">
        <v>788</v>
      </c>
      <c r="AA263" s="16" t="s">
        <v>788</v>
      </c>
      <c r="AB263" s="16" t="s">
        <v>788</v>
      </c>
      <c r="AC263" s="16" t="s">
        <v>788</v>
      </c>
      <c r="AD263" s="16" t="s">
        <v>788</v>
      </c>
      <c r="AE263" s="16" t="s">
        <v>788</v>
      </c>
      <c r="AF263" s="16" t="s">
        <v>788</v>
      </c>
      <c r="AG263" s="16" t="s">
        <v>788</v>
      </c>
      <c r="AH263" s="16" t="s">
        <v>788</v>
      </c>
      <c r="AI263" s="16" t="s">
        <v>788</v>
      </c>
      <c r="AJ263" s="16" t="s">
        <v>788</v>
      </c>
      <c r="AK263" s="16" t="s">
        <v>788</v>
      </c>
      <c r="AL263" s="16" t="s">
        <v>788</v>
      </c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</row>
    <row r="264" spans="1:62" ht="12" customHeight="1">
      <c r="A264" s="14" t="s">
        <v>810</v>
      </c>
      <c r="B264" s="31">
        <v>263</v>
      </c>
      <c r="C264" s="16">
        <v>4.3478260869565216E-2</v>
      </c>
      <c r="D264" s="16">
        <v>4.3478260869565216E-2</v>
      </c>
      <c r="E264" s="16">
        <v>4.3478260869565216E-2</v>
      </c>
      <c r="F264" s="16">
        <v>4.3478260869565216E-2</v>
      </c>
      <c r="G264" s="16">
        <v>4.3478260869565216E-2</v>
      </c>
      <c r="H264" s="16">
        <v>4.3478260869565216E-2</v>
      </c>
      <c r="I264" s="16">
        <v>4.3478260869565216E-2</v>
      </c>
      <c r="J264" s="16">
        <v>4.3478260869565216E-2</v>
      </c>
      <c r="K264" s="16">
        <v>4.3478260869565216E-2</v>
      </c>
      <c r="L264" s="16">
        <v>4.3478260869565216E-2</v>
      </c>
      <c r="M264" s="16">
        <v>4.3478260869565216E-2</v>
      </c>
      <c r="N264" s="16">
        <v>4.3478260869565216E-2</v>
      </c>
      <c r="O264" s="16">
        <v>4.3478260869565216E-2</v>
      </c>
      <c r="P264" s="16">
        <v>4.3478260869565216E-2</v>
      </c>
      <c r="Q264" s="16">
        <v>4.3478260869565216E-2</v>
      </c>
      <c r="R264" s="16">
        <v>4.3478260869565216E-2</v>
      </c>
      <c r="S264" s="16">
        <v>4.3478260869565216E-2</v>
      </c>
      <c r="T264" s="16">
        <v>4.3478260869565216E-2</v>
      </c>
      <c r="U264" s="16">
        <v>4.3478260869565216E-2</v>
      </c>
      <c r="V264" s="16">
        <v>4.3478260869565216E-2</v>
      </c>
      <c r="W264" s="16">
        <v>4.3478260869565216E-2</v>
      </c>
      <c r="X264" s="16">
        <v>4.3478260869565216E-2</v>
      </c>
      <c r="Y264" s="16">
        <v>4.3478260869565216E-2</v>
      </c>
      <c r="Z264" s="16" t="s">
        <v>788</v>
      </c>
      <c r="AA264" s="16" t="s">
        <v>788</v>
      </c>
      <c r="AB264" s="16" t="s">
        <v>788</v>
      </c>
      <c r="AC264" s="16" t="s">
        <v>788</v>
      </c>
      <c r="AD264" s="16" t="s">
        <v>788</v>
      </c>
      <c r="AE264" s="16" t="s">
        <v>788</v>
      </c>
      <c r="AF264" s="16" t="s">
        <v>788</v>
      </c>
      <c r="AG264" s="16" t="s">
        <v>788</v>
      </c>
      <c r="AH264" s="16" t="s">
        <v>788</v>
      </c>
      <c r="AI264" s="16" t="s">
        <v>788</v>
      </c>
      <c r="AJ264" s="16" t="s">
        <v>788</v>
      </c>
      <c r="AK264" s="16" t="s">
        <v>788</v>
      </c>
      <c r="AL264" s="16" t="s">
        <v>788</v>
      </c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</row>
    <row r="265" spans="1:62" ht="12" customHeight="1">
      <c r="A265" s="14" t="s">
        <v>811</v>
      </c>
      <c r="B265" s="31">
        <v>264</v>
      </c>
      <c r="C265" s="16">
        <v>4.1666666666666664E-2</v>
      </c>
      <c r="D265" s="16">
        <v>4.1666666666666664E-2</v>
      </c>
      <c r="E265" s="16">
        <v>4.1666666666666664E-2</v>
      </c>
      <c r="F265" s="16">
        <v>4.1666666666666664E-2</v>
      </c>
      <c r="G265" s="16">
        <v>4.1666666666666664E-2</v>
      </c>
      <c r="H265" s="16">
        <v>4.1666666666666664E-2</v>
      </c>
      <c r="I265" s="16">
        <v>4.1666666666666664E-2</v>
      </c>
      <c r="J265" s="16">
        <v>4.1666666666666664E-2</v>
      </c>
      <c r="K265" s="16">
        <v>4.1666666666666664E-2</v>
      </c>
      <c r="L265" s="16">
        <v>4.1666666666666664E-2</v>
      </c>
      <c r="M265" s="16">
        <v>4.1666666666666664E-2</v>
      </c>
      <c r="N265" s="16">
        <v>4.1666666666666664E-2</v>
      </c>
      <c r="O265" s="16">
        <v>4.1666666666666664E-2</v>
      </c>
      <c r="P265" s="16">
        <v>4.1666666666666664E-2</v>
      </c>
      <c r="Q265" s="16">
        <v>4.1666666666666664E-2</v>
      </c>
      <c r="R265" s="16">
        <v>4.1666666666666664E-2</v>
      </c>
      <c r="S265" s="16">
        <v>4.1666666666666664E-2</v>
      </c>
      <c r="T265" s="16">
        <v>4.1666666666666664E-2</v>
      </c>
      <c r="U265" s="16">
        <v>4.1666666666666664E-2</v>
      </c>
      <c r="V265" s="16">
        <v>4.1666666666666664E-2</v>
      </c>
      <c r="W265" s="16">
        <v>4.1666666666666664E-2</v>
      </c>
      <c r="X265" s="16">
        <v>4.1666666666666664E-2</v>
      </c>
      <c r="Y265" s="16">
        <v>4.1666666666666664E-2</v>
      </c>
      <c r="Z265" s="16">
        <v>4.1666666666666664E-2</v>
      </c>
      <c r="AA265" s="16" t="s">
        <v>788</v>
      </c>
      <c r="AB265" s="16" t="s">
        <v>788</v>
      </c>
      <c r="AC265" s="16" t="s">
        <v>788</v>
      </c>
      <c r="AD265" s="16" t="s">
        <v>788</v>
      </c>
      <c r="AE265" s="16" t="s">
        <v>788</v>
      </c>
      <c r="AF265" s="16" t="s">
        <v>788</v>
      </c>
      <c r="AG265" s="16" t="s">
        <v>788</v>
      </c>
      <c r="AH265" s="16" t="s">
        <v>788</v>
      </c>
      <c r="AI265" s="16" t="s">
        <v>788</v>
      </c>
      <c r="AJ265" s="16" t="s">
        <v>788</v>
      </c>
      <c r="AK265" s="16" t="s">
        <v>788</v>
      </c>
      <c r="AL265" s="16" t="s">
        <v>788</v>
      </c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</row>
    <row r="266" spans="1:62" ht="12" customHeight="1">
      <c r="A266" s="14" t="s">
        <v>812</v>
      </c>
      <c r="B266" s="31">
        <v>265</v>
      </c>
      <c r="C266" s="16">
        <v>0.04</v>
      </c>
      <c r="D266" s="16">
        <v>0.04</v>
      </c>
      <c r="E266" s="16">
        <v>0.04</v>
      </c>
      <c r="F266" s="16">
        <v>0.04</v>
      </c>
      <c r="G266" s="16">
        <v>0.04</v>
      </c>
      <c r="H266" s="16">
        <v>0.04</v>
      </c>
      <c r="I266" s="16">
        <v>0.04</v>
      </c>
      <c r="J266" s="16">
        <v>0.04</v>
      </c>
      <c r="K266" s="16">
        <v>0.04</v>
      </c>
      <c r="L266" s="16">
        <v>0.04</v>
      </c>
      <c r="M266" s="16">
        <v>0.04</v>
      </c>
      <c r="N266" s="16">
        <v>0.04</v>
      </c>
      <c r="O266" s="16">
        <v>0.04</v>
      </c>
      <c r="P266" s="16">
        <v>0.04</v>
      </c>
      <c r="Q266" s="16">
        <v>0.04</v>
      </c>
      <c r="R266" s="16">
        <v>0.04</v>
      </c>
      <c r="S266" s="16">
        <v>0.04</v>
      </c>
      <c r="T266" s="16">
        <v>0.04</v>
      </c>
      <c r="U266" s="16">
        <v>0.04</v>
      </c>
      <c r="V266" s="16">
        <v>0.04</v>
      </c>
      <c r="W266" s="16">
        <v>0.04</v>
      </c>
      <c r="X266" s="16">
        <v>0.04</v>
      </c>
      <c r="Y266" s="16">
        <v>0.04</v>
      </c>
      <c r="Z266" s="16">
        <v>0.04</v>
      </c>
      <c r="AA266" s="16">
        <v>0.04</v>
      </c>
      <c r="AB266" s="16" t="s">
        <v>788</v>
      </c>
      <c r="AC266" s="16" t="s">
        <v>788</v>
      </c>
      <c r="AD266" s="16" t="s">
        <v>788</v>
      </c>
      <c r="AE266" s="16" t="s">
        <v>788</v>
      </c>
      <c r="AF266" s="16" t="s">
        <v>788</v>
      </c>
      <c r="AG266" s="16" t="s">
        <v>788</v>
      </c>
      <c r="AH266" s="16" t="s">
        <v>788</v>
      </c>
      <c r="AI266" s="16" t="s">
        <v>788</v>
      </c>
      <c r="AJ266" s="16" t="s">
        <v>788</v>
      </c>
      <c r="AK266" s="16" t="s">
        <v>788</v>
      </c>
      <c r="AL266" s="16" t="s">
        <v>788</v>
      </c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</row>
    <row r="267" spans="1:62" ht="12" customHeight="1">
      <c r="A267" s="14" t="s">
        <v>813</v>
      </c>
      <c r="B267" s="31">
        <v>266</v>
      </c>
      <c r="C267" s="16">
        <v>3.8461538461538464E-2</v>
      </c>
      <c r="D267" s="16">
        <v>3.8461538461538464E-2</v>
      </c>
      <c r="E267" s="16">
        <v>3.8461538461538464E-2</v>
      </c>
      <c r="F267" s="16">
        <v>3.8461538461538464E-2</v>
      </c>
      <c r="G267" s="16">
        <v>3.8461538461538464E-2</v>
      </c>
      <c r="H267" s="16">
        <v>3.8461538461538464E-2</v>
      </c>
      <c r="I267" s="16">
        <v>3.8461538461538464E-2</v>
      </c>
      <c r="J267" s="16">
        <v>3.8461538461538464E-2</v>
      </c>
      <c r="K267" s="16">
        <v>3.8461538461538464E-2</v>
      </c>
      <c r="L267" s="16">
        <v>3.8461538461538464E-2</v>
      </c>
      <c r="M267" s="16">
        <v>3.8461538461538464E-2</v>
      </c>
      <c r="N267" s="16">
        <v>3.8461538461538464E-2</v>
      </c>
      <c r="O267" s="16">
        <v>3.8461538461538464E-2</v>
      </c>
      <c r="P267" s="16">
        <v>3.8461538461538464E-2</v>
      </c>
      <c r="Q267" s="16">
        <v>3.8461538461538464E-2</v>
      </c>
      <c r="R267" s="16">
        <v>3.8461538461538464E-2</v>
      </c>
      <c r="S267" s="16">
        <v>3.8461538461538464E-2</v>
      </c>
      <c r="T267" s="16">
        <v>3.8461538461538464E-2</v>
      </c>
      <c r="U267" s="16">
        <v>3.8461538461538464E-2</v>
      </c>
      <c r="V267" s="16">
        <v>3.8461538461538464E-2</v>
      </c>
      <c r="W267" s="16">
        <v>3.8461538461538464E-2</v>
      </c>
      <c r="X267" s="16">
        <v>3.8461538461538464E-2</v>
      </c>
      <c r="Y267" s="16">
        <v>3.8461538461538464E-2</v>
      </c>
      <c r="Z267" s="16">
        <v>3.8461538461538464E-2</v>
      </c>
      <c r="AA267" s="16">
        <v>3.8461538461538464E-2</v>
      </c>
      <c r="AB267" s="16">
        <v>3.8461538461538464E-2</v>
      </c>
      <c r="AC267" s="16" t="s">
        <v>788</v>
      </c>
      <c r="AD267" s="16" t="s">
        <v>788</v>
      </c>
      <c r="AE267" s="16" t="s">
        <v>788</v>
      </c>
      <c r="AF267" s="16" t="s">
        <v>788</v>
      </c>
      <c r="AG267" s="16" t="s">
        <v>788</v>
      </c>
      <c r="AH267" s="16" t="s">
        <v>788</v>
      </c>
      <c r="AI267" s="16" t="s">
        <v>788</v>
      </c>
      <c r="AJ267" s="16" t="s">
        <v>788</v>
      </c>
      <c r="AK267" s="16" t="s">
        <v>788</v>
      </c>
      <c r="AL267" s="16" t="s">
        <v>788</v>
      </c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</row>
    <row r="268" spans="1:62" ht="12" customHeight="1">
      <c r="A268" s="14" t="s">
        <v>814</v>
      </c>
      <c r="B268" s="31">
        <v>267</v>
      </c>
      <c r="C268" s="16">
        <v>3.7037037037037035E-2</v>
      </c>
      <c r="D268" s="16">
        <v>3.7037037037037035E-2</v>
      </c>
      <c r="E268" s="16">
        <v>3.7037037037037035E-2</v>
      </c>
      <c r="F268" s="16">
        <v>3.7037037037037035E-2</v>
      </c>
      <c r="G268" s="16">
        <v>3.7037037037037035E-2</v>
      </c>
      <c r="H268" s="16">
        <v>3.7037037037037035E-2</v>
      </c>
      <c r="I268" s="16">
        <v>3.7037037037037035E-2</v>
      </c>
      <c r="J268" s="16">
        <v>3.7037037037037035E-2</v>
      </c>
      <c r="K268" s="16">
        <v>3.7037037037037035E-2</v>
      </c>
      <c r="L268" s="16">
        <v>3.7037037037037035E-2</v>
      </c>
      <c r="M268" s="16">
        <v>3.7037037037037035E-2</v>
      </c>
      <c r="N268" s="16">
        <v>3.7037037037037035E-2</v>
      </c>
      <c r="O268" s="16">
        <v>3.7037037037037035E-2</v>
      </c>
      <c r="P268" s="16">
        <v>3.7037037037037035E-2</v>
      </c>
      <c r="Q268" s="16">
        <v>3.7037037037037035E-2</v>
      </c>
      <c r="R268" s="16">
        <v>3.7037037037037035E-2</v>
      </c>
      <c r="S268" s="16">
        <v>3.7037037037037035E-2</v>
      </c>
      <c r="T268" s="16">
        <v>3.7037037037037035E-2</v>
      </c>
      <c r="U268" s="16">
        <v>3.7037037037037035E-2</v>
      </c>
      <c r="V268" s="16">
        <v>3.7037037037037035E-2</v>
      </c>
      <c r="W268" s="16">
        <v>3.7037037037037035E-2</v>
      </c>
      <c r="X268" s="16">
        <v>3.7037037037037035E-2</v>
      </c>
      <c r="Y268" s="16">
        <v>3.7037037037037035E-2</v>
      </c>
      <c r="Z268" s="16">
        <v>3.7037037037037035E-2</v>
      </c>
      <c r="AA268" s="16">
        <v>3.7037037037037035E-2</v>
      </c>
      <c r="AB268" s="16">
        <v>3.7037037037037035E-2</v>
      </c>
      <c r="AC268" s="16">
        <v>3.7037037037037035E-2</v>
      </c>
      <c r="AD268" s="16" t="s">
        <v>788</v>
      </c>
      <c r="AE268" s="16" t="s">
        <v>788</v>
      </c>
      <c r="AF268" s="16" t="s">
        <v>788</v>
      </c>
      <c r="AG268" s="16" t="s">
        <v>788</v>
      </c>
      <c r="AH268" s="16" t="s">
        <v>788</v>
      </c>
      <c r="AI268" s="16" t="s">
        <v>788</v>
      </c>
      <c r="AJ268" s="16" t="s">
        <v>788</v>
      </c>
      <c r="AK268" s="16" t="s">
        <v>788</v>
      </c>
      <c r="AL268" s="16" t="s">
        <v>788</v>
      </c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</row>
    <row r="269" spans="1:62" ht="12" customHeight="1">
      <c r="A269" s="14" t="s">
        <v>815</v>
      </c>
      <c r="B269" s="31">
        <v>268</v>
      </c>
      <c r="C269" s="16">
        <v>3.5714285714285712E-2</v>
      </c>
      <c r="D269" s="16">
        <v>3.5714285714285712E-2</v>
      </c>
      <c r="E269" s="16">
        <v>3.5714285714285712E-2</v>
      </c>
      <c r="F269" s="16">
        <v>3.5714285714285712E-2</v>
      </c>
      <c r="G269" s="16">
        <v>3.5714285714285712E-2</v>
      </c>
      <c r="H269" s="16">
        <v>3.5714285714285712E-2</v>
      </c>
      <c r="I269" s="16">
        <v>3.5714285714285712E-2</v>
      </c>
      <c r="J269" s="16">
        <v>3.5714285714285712E-2</v>
      </c>
      <c r="K269" s="16">
        <v>3.5714285714285712E-2</v>
      </c>
      <c r="L269" s="16">
        <v>3.5714285714285712E-2</v>
      </c>
      <c r="M269" s="16">
        <v>3.5714285714285712E-2</v>
      </c>
      <c r="N269" s="16">
        <v>3.5714285714285712E-2</v>
      </c>
      <c r="O269" s="16">
        <v>3.5714285714285712E-2</v>
      </c>
      <c r="P269" s="16">
        <v>3.5714285714285712E-2</v>
      </c>
      <c r="Q269" s="16">
        <v>3.5714285714285712E-2</v>
      </c>
      <c r="R269" s="16">
        <v>3.5714285714285712E-2</v>
      </c>
      <c r="S269" s="16">
        <v>3.5714285714285712E-2</v>
      </c>
      <c r="T269" s="16">
        <v>3.5714285714285712E-2</v>
      </c>
      <c r="U269" s="16">
        <v>3.5714285714285712E-2</v>
      </c>
      <c r="V269" s="16">
        <v>3.5714285714285712E-2</v>
      </c>
      <c r="W269" s="16">
        <v>3.5714285714285712E-2</v>
      </c>
      <c r="X269" s="16">
        <v>3.5714285714285712E-2</v>
      </c>
      <c r="Y269" s="16">
        <v>3.5714285714285712E-2</v>
      </c>
      <c r="Z269" s="16">
        <v>3.5714285714285712E-2</v>
      </c>
      <c r="AA269" s="16">
        <v>3.5714285714285712E-2</v>
      </c>
      <c r="AB269" s="16">
        <v>3.5714285714285712E-2</v>
      </c>
      <c r="AC269" s="16">
        <v>3.5714285714285712E-2</v>
      </c>
      <c r="AD269" s="16">
        <v>3.5714285714285712E-2</v>
      </c>
      <c r="AE269" s="16" t="s">
        <v>788</v>
      </c>
      <c r="AF269" s="16" t="s">
        <v>788</v>
      </c>
      <c r="AG269" s="16" t="s">
        <v>788</v>
      </c>
      <c r="AH269" s="16" t="s">
        <v>788</v>
      </c>
      <c r="AI269" s="16" t="s">
        <v>788</v>
      </c>
      <c r="AJ269" s="16" t="s">
        <v>788</v>
      </c>
      <c r="AK269" s="16" t="s">
        <v>788</v>
      </c>
      <c r="AL269" s="16" t="s">
        <v>788</v>
      </c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</row>
    <row r="270" spans="1:62" ht="12" customHeight="1">
      <c r="A270" s="14" t="s">
        <v>816</v>
      </c>
      <c r="B270" s="31">
        <v>269</v>
      </c>
      <c r="C270" s="16">
        <v>3.4482758620689655E-2</v>
      </c>
      <c r="D270" s="16">
        <v>3.4482758620689655E-2</v>
      </c>
      <c r="E270" s="16">
        <v>3.4482758620689655E-2</v>
      </c>
      <c r="F270" s="16">
        <v>3.4482758620689655E-2</v>
      </c>
      <c r="G270" s="16">
        <v>3.4482758620689655E-2</v>
      </c>
      <c r="H270" s="16">
        <v>3.4482758620689655E-2</v>
      </c>
      <c r="I270" s="16">
        <v>3.4482758620689655E-2</v>
      </c>
      <c r="J270" s="16">
        <v>3.4482758620689655E-2</v>
      </c>
      <c r="K270" s="16">
        <v>3.4482758620689655E-2</v>
      </c>
      <c r="L270" s="16">
        <v>3.4482758620689655E-2</v>
      </c>
      <c r="M270" s="16">
        <v>3.4482758620689655E-2</v>
      </c>
      <c r="N270" s="16">
        <v>3.4482758620689655E-2</v>
      </c>
      <c r="O270" s="16">
        <v>3.4482758620689655E-2</v>
      </c>
      <c r="P270" s="16">
        <v>3.4482758620689655E-2</v>
      </c>
      <c r="Q270" s="16">
        <v>3.4482758620689655E-2</v>
      </c>
      <c r="R270" s="16">
        <v>3.4482758620689655E-2</v>
      </c>
      <c r="S270" s="16">
        <v>3.4482758620689655E-2</v>
      </c>
      <c r="T270" s="16">
        <v>3.4482758620689655E-2</v>
      </c>
      <c r="U270" s="16">
        <v>3.4482758620689655E-2</v>
      </c>
      <c r="V270" s="16">
        <v>3.4482758620689655E-2</v>
      </c>
      <c r="W270" s="16">
        <v>3.4482758620689655E-2</v>
      </c>
      <c r="X270" s="16">
        <v>3.4482758620689655E-2</v>
      </c>
      <c r="Y270" s="16">
        <v>3.4482758620689655E-2</v>
      </c>
      <c r="Z270" s="16">
        <v>3.4482758620689655E-2</v>
      </c>
      <c r="AA270" s="16">
        <v>3.4482758620689655E-2</v>
      </c>
      <c r="AB270" s="16">
        <v>3.4482758620689655E-2</v>
      </c>
      <c r="AC270" s="16">
        <v>3.4482758620689655E-2</v>
      </c>
      <c r="AD270" s="16">
        <v>3.4482758620689655E-2</v>
      </c>
      <c r="AE270" s="16">
        <v>3.4482758620689655E-2</v>
      </c>
      <c r="AF270" s="16" t="s">
        <v>788</v>
      </c>
      <c r="AG270" s="16" t="s">
        <v>788</v>
      </c>
      <c r="AH270" s="16" t="s">
        <v>788</v>
      </c>
      <c r="AI270" s="16" t="s">
        <v>788</v>
      </c>
      <c r="AJ270" s="16" t="s">
        <v>788</v>
      </c>
      <c r="AK270" s="16" t="s">
        <v>788</v>
      </c>
      <c r="AL270" s="16" t="s">
        <v>788</v>
      </c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</row>
    <row r="271" spans="1:62" ht="12" customHeight="1">
      <c r="A271" s="14" t="s">
        <v>817</v>
      </c>
      <c r="B271" s="31">
        <v>270</v>
      </c>
      <c r="C271" s="16">
        <v>3.3333333333333333E-2</v>
      </c>
      <c r="D271" s="16">
        <v>3.3333333333333333E-2</v>
      </c>
      <c r="E271" s="16">
        <v>3.3333333333333333E-2</v>
      </c>
      <c r="F271" s="16">
        <v>3.3333333333333333E-2</v>
      </c>
      <c r="G271" s="16">
        <v>3.3333333333333333E-2</v>
      </c>
      <c r="H271" s="16">
        <v>3.3333333333333333E-2</v>
      </c>
      <c r="I271" s="16">
        <v>3.3333333333333333E-2</v>
      </c>
      <c r="J271" s="16">
        <v>3.3333333333333333E-2</v>
      </c>
      <c r="K271" s="16">
        <v>3.3333333333333333E-2</v>
      </c>
      <c r="L271" s="16">
        <v>3.3333333333333333E-2</v>
      </c>
      <c r="M271" s="16">
        <v>3.3333333333333333E-2</v>
      </c>
      <c r="N271" s="16">
        <v>3.3333333333333333E-2</v>
      </c>
      <c r="O271" s="16">
        <v>3.3333333333333333E-2</v>
      </c>
      <c r="P271" s="16">
        <v>3.3333333333333333E-2</v>
      </c>
      <c r="Q271" s="16">
        <v>3.3333333333333333E-2</v>
      </c>
      <c r="R271" s="16">
        <v>3.3333333333333333E-2</v>
      </c>
      <c r="S271" s="16">
        <v>3.3333333333333333E-2</v>
      </c>
      <c r="T271" s="16">
        <v>3.3333333333333333E-2</v>
      </c>
      <c r="U271" s="16">
        <v>3.3333333333333333E-2</v>
      </c>
      <c r="V271" s="16">
        <v>3.3333333333333333E-2</v>
      </c>
      <c r="W271" s="16">
        <v>3.3333333333333333E-2</v>
      </c>
      <c r="X271" s="16">
        <v>3.3333333333333333E-2</v>
      </c>
      <c r="Y271" s="16">
        <v>3.3333333333333333E-2</v>
      </c>
      <c r="Z271" s="16">
        <v>3.3333333333333333E-2</v>
      </c>
      <c r="AA271" s="16">
        <v>3.3333333333333333E-2</v>
      </c>
      <c r="AB271" s="16">
        <v>3.3333333333333333E-2</v>
      </c>
      <c r="AC271" s="16">
        <v>3.3333333333333333E-2</v>
      </c>
      <c r="AD271" s="16">
        <v>3.3333333333333333E-2</v>
      </c>
      <c r="AE271" s="16">
        <v>3.3333333333333333E-2</v>
      </c>
      <c r="AF271" s="16">
        <v>3.3333333333333333E-2</v>
      </c>
      <c r="AG271" s="16" t="s">
        <v>788</v>
      </c>
      <c r="AH271" s="16" t="s">
        <v>788</v>
      </c>
      <c r="AI271" s="16" t="s">
        <v>788</v>
      </c>
      <c r="AJ271" s="16" t="s">
        <v>788</v>
      </c>
      <c r="AK271" s="16" t="s">
        <v>788</v>
      </c>
      <c r="AL271" s="16" t="s">
        <v>788</v>
      </c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</row>
    <row r="272" spans="1:62" ht="12" customHeight="1">
      <c r="A272" s="14" t="s">
        <v>818</v>
      </c>
      <c r="B272" s="31">
        <v>271</v>
      </c>
      <c r="C272" s="16">
        <v>3.2258064516129031E-2</v>
      </c>
      <c r="D272" s="16">
        <v>3.2258064516129031E-2</v>
      </c>
      <c r="E272" s="16">
        <v>3.2258064516129031E-2</v>
      </c>
      <c r="F272" s="16">
        <v>3.2258064516129031E-2</v>
      </c>
      <c r="G272" s="16">
        <v>3.2258064516129031E-2</v>
      </c>
      <c r="H272" s="16">
        <v>3.2258064516129031E-2</v>
      </c>
      <c r="I272" s="16">
        <v>3.2258064516129031E-2</v>
      </c>
      <c r="J272" s="16">
        <v>3.2258064516129031E-2</v>
      </c>
      <c r="K272" s="16">
        <v>3.2258064516129031E-2</v>
      </c>
      <c r="L272" s="16">
        <v>3.2258064516129031E-2</v>
      </c>
      <c r="M272" s="16">
        <v>3.2258064516129031E-2</v>
      </c>
      <c r="N272" s="16">
        <v>3.2258064516129031E-2</v>
      </c>
      <c r="O272" s="16">
        <v>3.2258064516129031E-2</v>
      </c>
      <c r="P272" s="16">
        <v>3.2258064516129031E-2</v>
      </c>
      <c r="Q272" s="16">
        <v>3.2258064516129031E-2</v>
      </c>
      <c r="R272" s="16">
        <v>3.2258064516129031E-2</v>
      </c>
      <c r="S272" s="16">
        <v>3.2258064516129031E-2</v>
      </c>
      <c r="T272" s="16">
        <v>3.2258064516129031E-2</v>
      </c>
      <c r="U272" s="16">
        <v>3.2258064516129031E-2</v>
      </c>
      <c r="V272" s="16">
        <v>3.2258064516129031E-2</v>
      </c>
      <c r="W272" s="16">
        <v>3.2258064516129031E-2</v>
      </c>
      <c r="X272" s="16">
        <v>3.2258064516129031E-2</v>
      </c>
      <c r="Y272" s="16">
        <v>3.2258064516129031E-2</v>
      </c>
      <c r="Z272" s="16">
        <v>3.2258064516129031E-2</v>
      </c>
      <c r="AA272" s="16">
        <v>3.2258064516129031E-2</v>
      </c>
      <c r="AB272" s="16">
        <v>3.2258064516129031E-2</v>
      </c>
      <c r="AC272" s="16">
        <v>3.2258064516129031E-2</v>
      </c>
      <c r="AD272" s="16">
        <v>3.2258064516129031E-2</v>
      </c>
      <c r="AE272" s="16">
        <v>3.2258064516129031E-2</v>
      </c>
      <c r="AF272" s="16">
        <v>3.2258064516129031E-2</v>
      </c>
      <c r="AG272" s="16">
        <v>3.2258064516129031E-2</v>
      </c>
      <c r="AH272" s="16" t="s">
        <v>788</v>
      </c>
      <c r="AI272" s="16" t="s">
        <v>788</v>
      </c>
      <c r="AJ272" s="16" t="s">
        <v>788</v>
      </c>
      <c r="AK272" s="16" t="s">
        <v>788</v>
      </c>
      <c r="AL272" s="16" t="s">
        <v>788</v>
      </c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</row>
    <row r="273" spans="1:62" ht="12" customHeight="1">
      <c r="A273" s="14" t="s">
        <v>819</v>
      </c>
      <c r="B273" s="31">
        <v>272</v>
      </c>
      <c r="C273" s="16">
        <v>3.125E-2</v>
      </c>
      <c r="D273" s="16">
        <v>3.125E-2</v>
      </c>
      <c r="E273" s="16">
        <v>3.125E-2</v>
      </c>
      <c r="F273" s="16">
        <v>3.125E-2</v>
      </c>
      <c r="G273" s="16">
        <v>3.125E-2</v>
      </c>
      <c r="H273" s="16">
        <v>3.125E-2</v>
      </c>
      <c r="I273" s="16">
        <v>3.125E-2</v>
      </c>
      <c r="J273" s="16">
        <v>3.125E-2</v>
      </c>
      <c r="K273" s="16">
        <v>3.125E-2</v>
      </c>
      <c r="L273" s="16">
        <v>3.125E-2</v>
      </c>
      <c r="M273" s="16">
        <v>3.125E-2</v>
      </c>
      <c r="N273" s="16">
        <v>3.125E-2</v>
      </c>
      <c r="O273" s="16">
        <v>3.125E-2</v>
      </c>
      <c r="P273" s="16">
        <v>3.125E-2</v>
      </c>
      <c r="Q273" s="16">
        <v>3.125E-2</v>
      </c>
      <c r="R273" s="16">
        <v>3.125E-2</v>
      </c>
      <c r="S273" s="16">
        <v>3.125E-2</v>
      </c>
      <c r="T273" s="16">
        <v>3.125E-2</v>
      </c>
      <c r="U273" s="16">
        <v>3.125E-2</v>
      </c>
      <c r="V273" s="16">
        <v>3.125E-2</v>
      </c>
      <c r="W273" s="16">
        <v>3.125E-2</v>
      </c>
      <c r="X273" s="16">
        <v>3.125E-2</v>
      </c>
      <c r="Y273" s="16">
        <v>3.125E-2</v>
      </c>
      <c r="Z273" s="16">
        <v>3.125E-2</v>
      </c>
      <c r="AA273" s="16">
        <v>3.125E-2</v>
      </c>
      <c r="AB273" s="16">
        <v>3.125E-2</v>
      </c>
      <c r="AC273" s="16">
        <v>3.125E-2</v>
      </c>
      <c r="AD273" s="16">
        <v>3.125E-2</v>
      </c>
      <c r="AE273" s="16">
        <v>3.125E-2</v>
      </c>
      <c r="AF273" s="16">
        <v>3.125E-2</v>
      </c>
      <c r="AG273" s="16">
        <v>3.125E-2</v>
      </c>
      <c r="AH273" s="16">
        <v>3.125E-2</v>
      </c>
      <c r="AI273" s="16" t="s">
        <v>788</v>
      </c>
      <c r="AJ273" s="16" t="s">
        <v>788</v>
      </c>
      <c r="AK273" s="16" t="s">
        <v>788</v>
      </c>
      <c r="AL273" s="16" t="s">
        <v>788</v>
      </c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</row>
    <row r="274" spans="1:62" ht="12" customHeight="1">
      <c r="A274" s="14" t="s">
        <v>820</v>
      </c>
      <c r="B274" s="31">
        <v>273</v>
      </c>
      <c r="C274" s="16">
        <v>3.0303030303030304E-2</v>
      </c>
      <c r="D274" s="16">
        <v>3.0303030303030304E-2</v>
      </c>
      <c r="E274" s="16">
        <v>3.0303030303030304E-2</v>
      </c>
      <c r="F274" s="16">
        <v>3.0303030303030304E-2</v>
      </c>
      <c r="G274" s="16">
        <v>3.0303030303030304E-2</v>
      </c>
      <c r="H274" s="16">
        <v>3.0303030303030304E-2</v>
      </c>
      <c r="I274" s="16">
        <v>3.0303030303030304E-2</v>
      </c>
      <c r="J274" s="16">
        <v>3.0303030303030304E-2</v>
      </c>
      <c r="K274" s="16">
        <v>3.0303030303030304E-2</v>
      </c>
      <c r="L274" s="16">
        <v>3.0303030303030304E-2</v>
      </c>
      <c r="M274" s="16">
        <v>3.0303030303030304E-2</v>
      </c>
      <c r="N274" s="16">
        <v>3.0303030303030304E-2</v>
      </c>
      <c r="O274" s="16">
        <v>3.0303030303030304E-2</v>
      </c>
      <c r="P274" s="16">
        <v>3.0303030303030304E-2</v>
      </c>
      <c r="Q274" s="16">
        <v>3.0303030303030304E-2</v>
      </c>
      <c r="R274" s="16">
        <v>3.0303030303030304E-2</v>
      </c>
      <c r="S274" s="16">
        <v>3.0303030303030304E-2</v>
      </c>
      <c r="T274" s="16">
        <v>3.0303030303030304E-2</v>
      </c>
      <c r="U274" s="16">
        <v>3.0303030303030304E-2</v>
      </c>
      <c r="V274" s="16">
        <v>3.0303030303030304E-2</v>
      </c>
      <c r="W274" s="16">
        <v>3.0303030303030304E-2</v>
      </c>
      <c r="X274" s="16">
        <v>3.0303030303030304E-2</v>
      </c>
      <c r="Y274" s="16">
        <v>3.0303030303030304E-2</v>
      </c>
      <c r="Z274" s="16">
        <v>3.0303030303030304E-2</v>
      </c>
      <c r="AA274" s="16">
        <v>3.0303030303030304E-2</v>
      </c>
      <c r="AB274" s="16">
        <v>3.0303030303030304E-2</v>
      </c>
      <c r="AC274" s="16">
        <v>3.0303030303030304E-2</v>
      </c>
      <c r="AD274" s="16">
        <v>3.0303030303030304E-2</v>
      </c>
      <c r="AE274" s="16">
        <v>3.0303030303030304E-2</v>
      </c>
      <c r="AF274" s="16">
        <v>3.0303030303030304E-2</v>
      </c>
      <c r="AG274" s="16">
        <v>3.0303030303030304E-2</v>
      </c>
      <c r="AH274" s="16">
        <v>3.0303030303030304E-2</v>
      </c>
      <c r="AI274" s="16">
        <v>3.0303030303030304E-2</v>
      </c>
      <c r="AJ274" s="16" t="s">
        <v>788</v>
      </c>
      <c r="AK274" s="16" t="s">
        <v>788</v>
      </c>
      <c r="AL274" s="16" t="s">
        <v>788</v>
      </c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</row>
    <row r="275" spans="1:62" ht="12" customHeight="1">
      <c r="A275" s="14" t="s">
        <v>821</v>
      </c>
      <c r="B275" s="31">
        <v>274</v>
      </c>
      <c r="C275" s="16">
        <v>2.9411764705882353E-2</v>
      </c>
      <c r="D275" s="16">
        <v>2.9411764705882353E-2</v>
      </c>
      <c r="E275" s="16">
        <v>2.9411764705882353E-2</v>
      </c>
      <c r="F275" s="16">
        <v>2.9411764705882353E-2</v>
      </c>
      <c r="G275" s="16">
        <v>2.9411764705882353E-2</v>
      </c>
      <c r="H275" s="16">
        <v>2.9411764705882353E-2</v>
      </c>
      <c r="I275" s="16">
        <v>2.9411764705882353E-2</v>
      </c>
      <c r="J275" s="16">
        <v>2.9411764705882353E-2</v>
      </c>
      <c r="K275" s="16">
        <v>2.9411764705882353E-2</v>
      </c>
      <c r="L275" s="16">
        <v>2.9411764705882353E-2</v>
      </c>
      <c r="M275" s="16">
        <v>2.9411764705882353E-2</v>
      </c>
      <c r="N275" s="16">
        <v>2.9411764705882353E-2</v>
      </c>
      <c r="O275" s="16">
        <v>2.9411764705882353E-2</v>
      </c>
      <c r="P275" s="16">
        <v>2.9411764705882353E-2</v>
      </c>
      <c r="Q275" s="16">
        <v>2.9411764705882353E-2</v>
      </c>
      <c r="R275" s="16">
        <v>2.9411764705882353E-2</v>
      </c>
      <c r="S275" s="16">
        <v>2.9411764705882353E-2</v>
      </c>
      <c r="T275" s="16">
        <v>2.9411764705882353E-2</v>
      </c>
      <c r="U275" s="16">
        <v>2.9411764705882353E-2</v>
      </c>
      <c r="V275" s="16">
        <v>2.9411764705882353E-2</v>
      </c>
      <c r="W275" s="16">
        <v>2.9411764705882353E-2</v>
      </c>
      <c r="X275" s="16">
        <v>2.9411764705882353E-2</v>
      </c>
      <c r="Y275" s="16">
        <v>2.9411764705882353E-2</v>
      </c>
      <c r="Z275" s="16">
        <v>2.9411764705882353E-2</v>
      </c>
      <c r="AA275" s="16">
        <v>2.9411764705882353E-2</v>
      </c>
      <c r="AB275" s="16">
        <v>2.9411764705882353E-2</v>
      </c>
      <c r="AC275" s="16">
        <v>2.9411764705882353E-2</v>
      </c>
      <c r="AD275" s="16">
        <v>2.9411764705882353E-2</v>
      </c>
      <c r="AE275" s="16">
        <v>2.9411764705882353E-2</v>
      </c>
      <c r="AF275" s="16">
        <v>2.9411764705882353E-2</v>
      </c>
      <c r="AG275" s="16">
        <v>2.9411764705882353E-2</v>
      </c>
      <c r="AH275" s="16">
        <v>2.9411764705882353E-2</v>
      </c>
      <c r="AI275" s="16">
        <v>2.9411764705882353E-2</v>
      </c>
      <c r="AJ275" s="16">
        <v>2.9411764705882353E-2</v>
      </c>
      <c r="AK275" s="16" t="s">
        <v>788</v>
      </c>
      <c r="AL275" s="16" t="s">
        <v>788</v>
      </c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</row>
    <row r="276" spans="1:62" ht="12" customHeight="1">
      <c r="A276" s="14" t="s">
        <v>822</v>
      </c>
      <c r="B276" s="31">
        <v>275</v>
      </c>
      <c r="C276" s="16">
        <v>2.8571428571428571E-2</v>
      </c>
      <c r="D276" s="16">
        <v>2.8571428571428571E-2</v>
      </c>
      <c r="E276" s="16">
        <v>2.8571428571428571E-2</v>
      </c>
      <c r="F276" s="16">
        <v>2.8571428571428571E-2</v>
      </c>
      <c r="G276" s="16">
        <v>2.8571428571428571E-2</v>
      </c>
      <c r="H276" s="16">
        <v>2.8571428571428571E-2</v>
      </c>
      <c r="I276" s="16">
        <v>2.8571428571428571E-2</v>
      </c>
      <c r="J276" s="16">
        <v>2.8571428571428571E-2</v>
      </c>
      <c r="K276" s="16">
        <v>2.8571428571428571E-2</v>
      </c>
      <c r="L276" s="16">
        <v>2.8571428571428571E-2</v>
      </c>
      <c r="M276" s="16">
        <v>2.8571428571428571E-2</v>
      </c>
      <c r="N276" s="16">
        <v>2.8571428571428571E-2</v>
      </c>
      <c r="O276" s="16">
        <v>2.8571428571428571E-2</v>
      </c>
      <c r="P276" s="16">
        <v>2.8571428571428571E-2</v>
      </c>
      <c r="Q276" s="16">
        <v>2.8571428571428571E-2</v>
      </c>
      <c r="R276" s="16">
        <v>2.8571428571428571E-2</v>
      </c>
      <c r="S276" s="16">
        <v>2.8571428571428571E-2</v>
      </c>
      <c r="T276" s="16">
        <v>2.8571428571428571E-2</v>
      </c>
      <c r="U276" s="16">
        <v>2.8571428571428571E-2</v>
      </c>
      <c r="V276" s="16">
        <v>2.8571428571428571E-2</v>
      </c>
      <c r="W276" s="16">
        <v>2.8571428571428571E-2</v>
      </c>
      <c r="X276" s="16">
        <v>2.8571428571428571E-2</v>
      </c>
      <c r="Y276" s="16">
        <v>2.8571428571428571E-2</v>
      </c>
      <c r="Z276" s="16">
        <v>2.8571428571428571E-2</v>
      </c>
      <c r="AA276" s="16">
        <v>2.8571428571428571E-2</v>
      </c>
      <c r="AB276" s="16">
        <v>2.8571428571428571E-2</v>
      </c>
      <c r="AC276" s="16">
        <v>2.8571428571428571E-2</v>
      </c>
      <c r="AD276" s="16">
        <v>2.8571428571428571E-2</v>
      </c>
      <c r="AE276" s="16">
        <v>2.8571428571428571E-2</v>
      </c>
      <c r="AF276" s="16">
        <v>2.8571428571428571E-2</v>
      </c>
      <c r="AG276" s="16">
        <v>2.8571428571428571E-2</v>
      </c>
      <c r="AH276" s="16">
        <v>2.8571428571428571E-2</v>
      </c>
      <c r="AI276" s="16">
        <v>2.8571428571428571E-2</v>
      </c>
      <c r="AJ276" s="16">
        <v>2.8571428571428571E-2</v>
      </c>
      <c r="AK276" s="16">
        <v>2.8571428571428571E-2</v>
      </c>
      <c r="AL276" s="16" t="s">
        <v>788</v>
      </c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</row>
    <row r="277" spans="1:62" ht="12" customHeight="1">
      <c r="A277" s="14" t="s">
        <v>823</v>
      </c>
      <c r="B277" s="31">
        <v>276</v>
      </c>
      <c r="C277" s="16">
        <v>2.7777777777777776E-2</v>
      </c>
      <c r="D277" s="16">
        <v>2.7777777777777776E-2</v>
      </c>
      <c r="E277" s="16">
        <v>2.7777777777777776E-2</v>
      </c>
      <c r="F277" s="16">
        <v>2.7777777777777776E-2</v>
      </c>
      <c r="G277" s="16">
        <v>2.7777777777777776E-2</v>
      </c>
      <c r="H277" s="16">
        <v>2.7777777777777776E-2</v>
      </c>
      <c r="I277" s="16">
        <v>2.7777777777777776E-2</v>
      </c>
      <c r="J277" s="16">
        <v>2.7777777777777776E-2</v>
      </c>
      <c r="K277" s="16">
        <v>2.7777777777777776E-2</v>
      </c>
      <c r="L277" s="16">
        <v>2.7777777777777776E-2</v>
      </c>
      <c r="M277" s="16">
        <v>2.7777777777777776E-2</v>
      </c>
      <c r="N277" s="16">
        <v>2.7777777777777776E-2</v>
      </c>
      <c r="O277" s="16">
        <v>2.7777777777777776E-2</v>
      </c>
      <c r="P277" s="16">
        <v>2.7777777777777776E-2</v>
      </c>
      <c r="Q277" s="16">
        <v>2.7777777777777776E-2</v>
      </c>
      <c r="R277" s="16">
        <v>2.7777777777777776E-2</v>
      </c>
      <c r="S277" s="16">
        <v>2.7777777777777776E-2</v>
      </c>
      <c r="T277" s="16">
        <v>2.7777777777777776E-2</v>
      </c>
      <c r="U277" s="16">
        <v>2.7777777777777776E-2</v>
      </c>
      <c r="V277" s="16">
        <v>2.7777777777777776E-2</v>
      </c>
      <c r="W277" s="16">
        <v>2.7777777777777776E-2</v>
      </c>
      <c r="X277" s="16">
        <v>2.7777777777777776E-2</v>
      </c>
      <c r="Y277" s="16">
        <v>2.7777777777777776E-2</v>
      </c>
      <c r="Z277" s="16">
        <v>2.7777777777777776E-2</v>
      </c>
      <c r="AA277" s="16">
        <v>2.7777777777777776E-2</v>
      </c>
      <c r="AB277" s="16">
        <v>2.7777777777777776E-2</v>
      </c>
      <c r="AC277" s="16">
        <v>2.7777777777777776E-2</v>
      </c>
      <c r="AD277" s="16">
        <v>2.7777777777777776E-2</v>
      </c>
      <c r="AE277" s="16">
        <v>2.7777777777777776E-2</v>
      </c>
      <c r="AF277" s="16">
        <v>2.7777777777777776E-2</v>
      </c>
      <c r="AG277" s="16">
        <v>2.7777777777777776E-2</v>
      </c>
      <c r="AH277" s="16">
        <v>2.7777777777777776E-2</v>
      </c>
      <c r="AI277" s="16">
        <v>2.7777777777777776E-2</v>
      </c>
      <c r="AJ277" s="16">
        <v>2.7777777777777776E-2</v>
      </c>
      <c r="AK277" s="16">
        <v>2.7777777777777776E-2</v>
      </c>
      <c r="AL277" s="16">
        <v>2.7777777777777776E-2</v>
      </c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</row>
    <row r="278" spans="1:62" ht="12" customHeight="1">
      <c r="A278" s="14" t="s">
        <v>824</v>
      </c>
      <c r="B278" s="31">
        <v>277</v>
      </c>
      <c r="C278" s="16">
        <v>2.7027027027027029E-2</v>
      </c>
      <c r="D278" s="16">
        <v>2.7027027027027029E-2</v>
      </c>
      <c r="E278" s="16">
        <v>2.7027027027027029E-2</v>
      </c>
      <c r="F278" s="16">
        <v>2.7027027027027029E-2</v>
      </c>
      <c r="G278" s="16">
        <v>2.7027027027027029E-2</v>
      </c>
      <c r="H278" s="16">
        <v>2.7027027027027029E-2</v>
      </c>
      <c r="I278" s="16">
        <v>2.7027027027027029E-2</v>
      </c>
      <c r="J278" s="16">
        <v>2.7027027027027029E-2</v>
      </c>
      <c r="K278" s="16">
        <v>2.7027027027027029E-2</v>
      </c>
      <c r="L278" s="16">
        <v>2.7027027027027029E-2</v>
      </c>
      <c r="M278" s="16">
        <v>2.7027027027027029E-2</v>
      </c>
      <c r="N278" s="16">
        <v>2.7027027027027029E-2</v>
      </c>
      <c r="O278" s="16">
        <v>2.7027027027027029E-2</v>
      </c>
      <c r="P278" s="16">
        <v>2.7027027027027029E-2</v>
      </c>
      <c r="Q278" s="16">
        <v>2.7027027027027029E-2</v>
      </c>
      <c r="R278" s="16">
        <v>2.7027027027027029E-2</v>
      </c>
      <c r="S278" s="16">
        <v>2.7027027027027029E-2</v>
      </c>
      <c r="T278" s="16">
        <v>2.7027027027027029E-2</v>
      </c>
      <c r="U278" s="16">
        <v>2.7027027027027029E-2</v>
      </c>
      <c r="V278" s="16">
        <v>2.7027027027027029E-2</v>
      </c>
      <c r="W278" s="16">
        <v>2.7027027027027029E-2</v>
      </c>
      <c r="X278" s="16">
        <v>2.7027027027027029E-2</v>
      </c>
      <c r="Y278" s="16">
        <v>2.7027027027027029E-2</v>
      </c>
      <c r="Z278" s="16">
        <v>2.7027027027027029E-2</v>
      </c>
      <c r="AA278" s="16">
        <v>2.7027027027027029E-2</v>
      </c>
      <c r="AB278" s="16">
        <v>2.7027027027027029E-2</v>
      </c>
      <c r="AC278" s="16">
        <v>2.7027027027027029E-2</v>
      </c>
      <c r="AD278" s="16">
        <v>2.7027027027027029E-2</v>
      </c>
      <c r="AE278" s="16">
        <v>2.7027027027027029E-2</v>
      </c>
      <c r="AF278" s="16">
        <v>2.7027027027027029E-2</v>
      </c>
      <c r="AG278" s="16">
        <v>2.7027027027027029E-2</v>
      </c>
      <c r="AH278" s="16">
        <v>2.7027027027027029E-2</v>
      </c>
      <c r="AI278" s="16">
        <v>2.7027027027027029E-2</v>
      </c>
      <c r="AJ278" s="16">
        <v>2.7027027027027029E-2</v>
      </c>
      <c r="AK278" s="16">
        <v>2.7027027027027029E-2</v>
      </c>
      <c r="AL278" s="16">
        <v>2.7027027027027029E-2</v>
      </c>
      <c r="AM278" s="16">
        <v>2.7027027027027029E-2</v>
      </c>
      <c r="AN278" s="16" t="s">
        <v>788</v>
      </c>
      <c r="AO278" s="16" t="s">
        <v>788</v>
      </c>
      <c r="AP278" s="16" t="s">
        <v>788</v>
      </c>
      <c r="AQ278" s="16" t="s">
        <v>788</v>
      </c>
      <c r="AR278" s="16" t="s">
        <v>788</v>
      </c>
      <c r="AS278" s="16" t="s">
        <v>788</v>
      </c>
      <c r="AT278" s="16" t="s">
        <v>788</v>
      </c>
      <c r="AU278" s="16" t="s">
        <v>788</v>
      </c>
      <c r="AV278" s="16" t="s">
        <v>788</v>
      </c>
      <c r="AW278" s="16" t="s">
        <v>788</v>
      </c>
      <c r="AX278" s="16" t="s">
        <v>788</v>
      </c>
      <c r="AY278" s="16" t="s">
        <v>788</v>
      </c>
      <c r="AZ278" s="16" t="s">
        <v>788</v>
      </c>
      <c r="BA278" s="16" t="s">
        <v>788</v>
      </c>
      <c r="BB278" s="16" t="s">
        <v>788</v>
      </c>
      <c r="BC278" s="16" t="s">
        <v>788</v>
      </c>
      <c r="BD278" s="16" t="s">
        <v>788</v>
      </c>
      <c r="BE278" s="16" t="s">
        <v>788</v>
      </c>
      <c r="BF278" s="16" t="s">
        <v>788</v>
      </c>
      <c r="BG278" s="16" t="s">
        <v>788</v>
      </c>
      <c r="BH278" s="16" t="s">
        <v>788</v>
      </c>
      <c r="BI278" s="16" t="s">
        <v>788</v>
      </c>
      <c r="BJ278" s="16" t="s">
        <v>788</v>
      </c>
    </row>
    <row r="279" spans="1:62" ht="12" customHeight="1">
      <c r="A279" s="14" t="s">
        <v>825</v>
      </c>
      <c r="B279" s="31">
        <v>278</v>
      </c>
      <c r="C279" s="16">
        <v>2.6315789473684209E-2</v>
      </c>
      <c r="D279" s="16">
        <v>2.6315789473684209E-2</v>
      </c>
      <c r="E279" s="16">
        <v>2.6315789473684209E-2</v>
      </c>
      <c r="F279" s="16">
        <v>2.6315789473684209E-2</v>
      </c>
      <c r="G279" s="16">
        <v>2.6315789473684209E-2</v>
      </c>
      <c r="H279" s="16">
        <v>2.6315789473684209E-2</v>
      </c>
      <c r="I279" s="16">
        <v>2.6315789473684209E-2</v>
      </c>
      <c r="J279" s="16">
        <v>2.6315789473684209E-2</v>
      </c>
      <c r="K279" s="16">
        <v>2.6315789473684209E-2</v>
      </c>
      <c r="L279" s="16">
        <v>2.6315789473684209E-2</v>
      </c>
      <c r="M279" s="16">
        <v>2.6315789473684209E-2</v>
      </c>
      <c r="N279" s="16">
        <v>2.6315789473684209E-2</v>
      </c>
      <c r="O279" s="16">
        <v>2.6315789473684209E-2</v>
      </c>
      <c r="P279" s="16">
        <v>2.6315789473684209E-2</v>
      </c>
      <c r="Q279" s="16">
        <v>2.6315789473684209E-2</v>
      </c>
      <c r="R279" s="16">
        <v>2.6315789473684209E-2</v>
      </c>
      <c r="S279" s="16">
        <v>2.6315789473684209E-2</v>
      </c>
      <c r="T279" s="16">
        <v>2.6315789473684209E-2</v>
      </c>
      <c r="U279" s="16">
        <v>2.6315789473684209E-2</v>
      </c>
      <c r="V279" s="16">
        <v>2.6315789473684209E-2</v>
      </c>
      <c r="W279" s="16">
        <v>2.6315789473684209E-2</v>
      </c>
      <c r="X279" s="16">
        <v>2.6315789473684209E-2</v>
      </c>
      <c r="Y279" s="16">
        <v>2.6315789473684209E-2</v>
      </c>
      <c r="Z279" s="16">
        <v>2.6315789473684209E-2</v>
      </c>
      <c r="AA279" s="16">
        <v>2.6315789473684209E-2</v>
      </c>
      <c r="AB279" s="16">
        <v>2.6315789473684209E-2</v>
      </c>
      <c r="AC279" s="16">
        <v>2.6315789473684209E-2</v>
      </c>
      <c r="AD279" s="16">
        <v>2.6315789473684209E-2</v>
      </c>
      <c r="AE279" s="16">
        <v>2.6315789473684209E-2</v>
      </c>
      <c r="AF279" s="16">
        <v>2.6315789473684209E-2</v>
      </c>
      <c r="AG279" s="16">
        <v>2.6315789473684209E-2</v>
      </c>
      <c r="AH279" s="16">
        <v>2.6315789473684209E-2</v>
      </c>
      <c r="AI279" s="16">
        <v>2.6315789473684209E-2</v>
      </c>
      <c r="AJ279" s="16">
        <v>2.6315789473684209E-2</v>
      </c>
      <c r="AK279" s="16">
        <v>2.6315789473684209E-2</v>
      </c>
      <c r="AL279" s="16">
        <v>2.6315789473684209E-2</v>
      </c>
      <c r="AM279" s="16">
        <v>2.6315789473684209E-2</v>
      </c>
      <c r="AN279" s="16">
        <v>2.6315789473684209E-2</v>
      </c>
      <c r="AO279" s="16" t="s">
        <v>788</v>
      </c>
      <c r="AP279" s="16" t="s">
        <v>788</v>
      </c>
      <c r="AQ279" s="16" t="s">
        <v>788</v>
      </c>
      <c r="AR279" s="16" t="s">
        <v>788</v>
      </c>
      <c r="AS279" s="16" t="s">
        <v>788</v>
      </c>
      <c r="AT279" s="16" t="s">
        <v>788</v>
      </c>
      <c r="AU279" s="16" t="s">
        <v>788</v>
      </c>
      <c r="AV279" s="16" t="s">
        <v>788</v>
      </c>
      <c r="AW279" s="16" t="s">
        <v>788</v>
      </c>
      <c r="AX279" s="16" t="s">
        <v>788</v>
      </c>
      <c r="AY279" s="16" t="s">
        <v>788</v>
      </c>
      <c r="AZ279" s="16" t="s">
        <v>788</v>
      </c>
      <c r="BA279" s="16" t="s">
        <v>788</v>
      </c>
      <c r="BB279" s="16" t="s">
        <v>788</v>
      </c>
      <c r="BC279" s="16" t="s">
        <v>788</v>
      </c>
      <c r="BD279" s="16" t="s">
        <v>788</v>
      </c>
      <c r="BE279" s="16" t="s">
        <v>788</v>
      </c>
      <c r="BF279" s="16" t="s">
        <v>788</v>
      </c>
      <c r="BG279" s="16" t="s">
        <v>788</v>
      </c>
      <c r="BH279" s="16" t="s">
        <v>788</v>
      </c>
      <c r="BI279" s="16" t="s">
        <v>788</v>
      </c>
      <c r="BJ279" s="16" t="s">
        <v>788</v>
      </c>
    </row>
    <row r="280" spans="1:62" ht="12" customHeight="1">
      <c r="A280" s="14" t="s">
        <v>826</v>
      </c>
      <c r="B280" s="31">
        <v>279</v>
      </c>
      <c r="C280" s="16">
        <v>2.564102564102564E-2</v>
      </c>
      <c r="D280" s="16">
        <v>2.564102564102564E-2</v>
      </c>
      <c r="E280" s="16">
        <v>2.564102564102564E-2</v>
      </c>
      <c r="F280" s="16">
        <v>2.564102564102564E-2</v>
      </c>
      <c r="G280" s="16">
        <v>2.564102564102564E-2</v>
      </c>
      <c r="H280" s="16">
        <v>2.564102564102564E-2</v>
      </c>
      <c r="I280" s="16">
        <v>2.564102564102564E-2</v>
      </c>
      <c r="J280" s="16">
        <v>2.564102564102564E-2</v>
      </c>
      <c r="K280" s="16">
        <v>2.564102564102564E-2</v>
      </c>
      <c r="L280" s="16">
        <v>2.564102564102564E-2</v>
      </c>
      <c r="M280" s="16">
        <v>2.564102564102564E-2</v>
      </c>
      <c r="N280" s="16">
        <v>2.564102564102564E-2</v>
      </c>
      <c r="O280" s="16">
        <v>2.564102564102564E-2</v>
      </c>
      <c r="P280" s="16">
        <v>2.564102564102564E-2</v>
      </c>
      <c r="Q280" s="16">
        <v>2.564102564102564E-2</v>
      </c>
      <c r="R280" s="16">
        <v>2.564102564102564E-2</v>
      </c>
      <c r="S280" s="16">
        <v>2.564102564102564E-2</v>
      </c>
      <c r="T280" s="16">
        <v>2.564102564102564E-2</v>
      </c>
      <c r="U280" s="16">
        <v>2.564102564102564E-2</v>
      </c>
      <c r="V280" s="16">
        <v>2.564102564102564E-2</v>
      </c>
      <c r="W280" s="16">
        <v>2.564102564102564E-2</v>
      </c>
      <c r="X280" s="16">
        <v>2.564102564102564E-2</v>
      </c>
      <c r="Y280" s="16">
        <v>2.564102564102564E-2</v>
      </c>
      <c r="Z280" s="16">
        <v>2.564102564102564E-2</v>
      </c>
      <c r="AA280" s="16">
        <v>2.564102564102564E-2</v>
      </c>
      <c r="AB280" s="16">
        <v>2.564102564102564E-2</v>
      </c>
      <c r="AC280" s="16">
        <v>2.564102564102564E-2</v>
      </c>
      <c r="AD280" s="16">
        <v>2.564102564102564E-2</v>
      </c>
      <c r="AE280" s="16">
        <v>2.564102564102564E-2</v>
      </c>
      <c r="AF280" s="16">
        <v>2.564102564102564E-2</v>
      </c>
      <c r="AG280" s="16">
        <v>2.564102564102564E-2</v>
      </c>
      <c r="AH280" s="16">
        <v>2.564102564102564E-2</v>
      </c>
      <c r="AI280" s="16">
        <v>2.564102564102564E-2</v>
      </c>
      <c r="AJ280" s="16">
        <v>2.564102564102564E-2</v>
      </c>
      <c r="AK280" s="16">
        <v>2.564102564102564E-2</v>
      </c>
      <c r="AL280" s="16">
        <v>2.564102564102564E-2</v>
      </c>
      <c r="AM280" s="16">
        <v>2.564102564102564E-2</v>
      </c>
      <c r="AN280" s="16">
        <v>2.564102564102564E-2</v>
      </c>
      <c r="AO280" s="16">
        <v>2.564102564102564E-2</v>
      </c>
      <c r="AP280" s="16" t="s">
        <v>788</v>
      </c>
      <c r="AQ280" s="16" t="s">
        <v>788</v>
      </c>
      <c r="AR280" s="16" t="s">
        <v>788</v>
      </c>
      <c r="AS280" s="16" t="s">
        <v>788</v>
      </c>
      <c r="AT280" s="16" t="s">
        <v>788</v>
      </c>
      <c r="AU280" s="16" t="s">
        <v>788</v>
      </c>
      <c r="AV280" s="16" t="s">
        <v>788</v>
      </c>
      <c r="AW280" s="16" t="s">
        <v>788</v>
      </c>
      <c r="AX280" s="16" t="s">
        <v>788</v>
      </c>
      <c r="AY280" s="16" t="s">
        <v>788</v>
      </c>
      <c r="AZ280" s="16" t="s">
        <v>788</v>
      </c>
      <c r="BA280" s="16" t="s">
        <v>788</v>
      </c>
      <c r="BB280" s="16" t="s">
        <v>788</v>
      </c>
      <c r="BC280" s="16" t="s">
        <v>788</v>
      </c>
      <c r="BD280" s="16" t="s">
        <v>788</v>
      </c>
      <c r="BE280" s="16" t="s">
        <v>788</v>
      </c>
      <c r="BF280" s="16" t="s">
        <v>788</v>
      </c>
      <c r="BG280" s="16" t="s">
        <v>788</v>
      </c>
      <c r="BH280" s="16" t="s">
        <v>788</v>
      </c>
      <c r="BI280" s="16" t="s">
        <v>788</v>
      </c>
      <c r="BJ280" s="16" t="s">
        <v>788</v>
      </c>
    </row>
    <row r="281" spans="1:62" ht="12" customHeight="1">
      <c r="A281" s="14" t="s">
        <v>827</v>
      </c>
      <c r="B281" s="31">
        <v>280</v>
      </c>
      <c r="C281" s="16">
        <v>2.5000000000000001E-2</v>
      </c>
      <c r="D281" s="16">
        <v>2.5000000000000001E-2</v>
      </c>
      <c r="E281" s="16">
        <v>2.5000000000000001E-2</v>
      </c>
      <c r="F281" s="16">
        <v>2.5000000000000001E-2</v>
      </c>
      <c r="G281" s="16">
        <v>2.5000000000000001E-2</v>
      </c>
      <c r="H281" s="16">
        <v>2.5000000000000001E-2</v>
      </c>
      <c r="I281" s="16">
        <v>2.5000000000000001E-2</v>
      </c>
      <c r="J281" s="16">
        <v>2.5000000000000001E-2</v>
      </c>
      <c r="K281" s="16">
        <v>2.5000000000000001E-2</v>
      </c>
      <c r="L281" s="16">
        <v>2.5000000000000001E-2</v>
      </c>
      <c r="M281" s="16">
        <v>2.5000000000000001E-2</v>
      </c>
      <c r="N281" s="16">
        <v>2.5000000000000001E-2</v>
      </c>
      <c r="O281" s="16">
        <v>2.5000000000000001E-2</v>
      </c>
      <c r="P281" s="16">
        <v>2.5000000000000001E-2</v>
      </c>
      <c r="Q281" s="16">
        <v>2.5000000000000001E-2</v>
      </c>
      <c r="R281" s="16">
        <v>2.5000000000000001E-2</v>
      </c>
      <c r="S281" s="16">
        <v>2.5000000000000001E-2</v>
      </c>
      <c r="T281" s="16">
        <v>2.5000000000000001E-2</v>
      </c>
      <c r="U281" s="16">
        <v>2.5000000000000001E-2</v>
      </c>
      <c r="V281" s="16">
        <v>2.5000000000000001E-2</v>
      </c>
      <c r="W281" s="16">
        <v>2.5000000000000001E-2</v>
      </c>
      <c r="X281" s="16">
        <v>2.5000000000000001E-2</v>
      </c>
      <c r="Y281" s="16">
        <v>2.5000000000000001E-2</v>
      </c>
      <c r="Z281" s="16">
        <v>2.5000000000000001E-2</v>
      </c>
      <c r="AA281" s="16">
        <v>2.5000000000000001E-2</v>
      </c>
      <c r="AB281" s="16">
        <v>2.5000000000000001E-2</v>
      </c>
      <c r="AC281" s="16">
        <v>2.5000000000000001E-2</v>
      </c>
      <c r="AD281" s="16">
        <v>2.5000000000000001E-2</v>
      </c>
      <c r="AE281" s="16">
        <v>2.5000000000000001E-2</v>
      </c>
      <c r="AF281" s="16">
        <v>2.5000000000000001E-2</v>
      </c>
      <c r="AG281" s="16">
        <v>2.5000000000000001E-2</v>
      </c>
      <c r="AH281" s="16">
        <v>2.5000000000000001E-2</v>
      </c>
      <c r="AI281" s="16">
        <v>2.5000000000000001E-2</v>
      </c>
      <c r="AJ281" s="16">
        <v>2.5000000000000001E-2</v>
      </c>
      <c r="AK281" s="16">
        <v>2.5000000000000001E-2</v>
      </c>
      <c r="AL281" s="16">
        <v>2.5000000000000001E-2</v>
      </c>
      <c r="AM281" s="16">
        <v>2.5000000000000001E-2</v>
      </c>
      <c r="AN281" s="16">
        <v>2.5000000000000001E-2</v>
      </c>
      <c r="AO281" s="16">
        <v>2.5000000000000001E-2</v>
      </c>
      <c r="AP281" s="16">
        <v>2.5000000000000001E-2</v>
      </c>
      <c r="AQ281" s="16" t="s">
        <v>788</v>
      </c>
      <c r="AR281" s="16" t="s">
        <v>788</v>
      </c>
      <c r="AS281" s="16" t="s">
        <v>788</v>
      </c>
      <c r="AT281" s="16" t="s">
        <v>788</v>
      </c>
      <c r="AU281" s="16" t="s">
        <v>788</v>
      </c>
      <c r="AV281" s="16" t="s">
        <v>788</v>
      </c>
      <c r="AW281" s="16" t="s">
        <v>788</v>
      </c>
      <c r="AX281" s="16" t="s">
        <v>788</v>
      </c>
      <c r="AY281" s="16" t="s">
        <v>788</v>
      </c>
      <c r="AZ281" s="16" t="s">
        <v>788</v>
      </c>
      <c r="BA281" s="16" t="s">
        <v>788</v>
      </c>
      <c r="BB281" s="16" t="s">
        <v>788</v>
      </c>
      <c r="BC281" s="16" t="s">
        <v>788</v>
      </c>
      <c r="BD281" s="16" t="s">
        <v>788</v>
      </c>
      <c r="BE281" s="16" t="s">
        <v>788</v>
      </c>
      <c r="BF281" s="16" t="s">
        <v>788</v>
      </c>
      <c r="BG281" s="16" t="s">
        <v>788</v>
      </c>
      <c r="BH281" s="16" t="s">
        <v>788</v>
      </c>
      <c r="BI281" s="16" t="s">
        <v>788</v>
      </c>
      <c r="BJ281" s="16" t="s">
        <v>788</v>
      </c>
    </row>
    <row r="282" spans="1:62" ht="12" customHeight="1">
      <c r="A282" s="14" t="s">
        <v>828</v>
      </c>
      <c r="B282" s="31">
        <v>281</v>
      </c>
      <c r="C282" s="16">
        <v>2.4390243902439025E-2</v>
      </c>
      <c r="D282" s="16">
        <v>2.4390243902439025E-2</v>
      </c>
      <c r="E282" s="16">
        <v>2.4390243902439025E-2</v>
      </c>
      <c r="F282" s="16">
        <v>2.4390243902439025E-2</v>
      </c>
      <c r="G282" s="16">
        <v>2.4390243902439025E-2</v>
      </c>
      <c r="H282" s="16">
        <v>2.4390243902439025E-2</v>
      </c>
      <c r="I282" s="16">
        <v>2.4390243902439025E-2</v>
      </c>
      <c r="J282" s="16">
        <v>2.4390243902439025E-2</v>
      </c>
      <c r="K282" s="16">
        <v>2.4390243902439025E-2</v>
      </c>
      <c r="L282" s="16">
        <v>2.4390243902439025E-2</v>
      </c>
      <c r="M282" s="16">
        <v>2.4390243902439025E-2</v>
      </c>
      <c r="N282" s="16">
        <v>2.4390243902439025E-2</v>
      </c>
      <c r="O282" s="16">
        <v>2.4390243902439025E-2</v>
      </c>
      <c r="P282" s="16">
        <v>2.4390243902439025E-2</v>
      </c>
      <c r="Q282" s="16">
        <v>2.4390243902439025E-2</v>
      </c>
      <c r="R282" s="16">
        <v>2.4390243902439025E-2</v>
      </c>
      <c r="S282" s="16">
        <v>2.4390243902439025E-2</v>
      </c>
      <c r="T282" s="16">
        <v>2.4390243902439025E-2</v>
      </c>
      <c r="U282" s="16">
        <v>2.4390243902439025E-2</v>
      </c>
      <c r="V282" s="16">
        <v>2.4390243902439025E-2</v>
      </c>
      <c r="W282" s="16">
        <v>2.4390243902439025E-2</v>
      </c>
      <c r="X282" s="16">
        <v>2.4390243902439025E-2</v>
      </c>
      <c r="Y282" s="16">
        <v>2.4390243902439025E-2</v>
      </c>
      <c r="Z282" s="16">
        <v>2.4390243902439025E-2</v>
      </c>
      <c r="AA282" s="16">
        <v>2.4390243902439025E-2</v>
      </c>
      <c r="AB282" s="16">
        <v>2.4390243902439025E-2</v>
      </c>
      <c r="AC282" s="16">
        <v>2.4390243902439025E-2</v>
      </c>
      <c r="AD282" s="16">
        <v>2.4390243902439025E-2</v>
      </c>
      <c r="AE282" s="16">
        <v>2.4390243902439025E-2</v>
      </c>
      <c r="AF282" s="16">
        <v>2.4390243902439025E-2</v>
      </c>
      <c r="AG282" s="16">
        <v>2.4390243902439025E-2</v>
      </c>
      <c r="AH282" s="16">
        <v>2.4390243902439025E-2</v>
      </c>
      <c r="AI282" s="16">
        <v>2.4390243902439025E-2</v>
      </c>
      <c r="AJ282" s="16">
        <v>2.4390243902439025E-2</v>
      </c>
      <c r="AK282" s="16">
        <v>2.4390243902439025E-2</v>
      </c>
      <c r="AL282" s="16">
        <v>2.4390243902439025E-2</v>
      </c>
      <c r="AM282" s="16">
        <v>2.4390243902439025E-2</v>
      </c>
      <c r="AN282" s="16">
        <v>2.4390243902439025E-2</v>
      </c>
      <c r="AO282" s="16">
        <v>2.4390243902439025E-2</v>
      </c>
      <c r="AP282" s="16">
        <v>2.4390243902439025E-2</v>
      </c>
      <c r="AQ282" s="16">
        <v>2.4390243902439025E-2</v>
      </c>
      <c r="AR282" s="16" t="s">
        <v>788</v>
      </c>
      <c r="AS282" s="16" t="s">
        <v>788</v>
      </c>
      <c r="AT282" s="16" t="s">
        <v>788</v>
      </c>
      <c r="AU282" s="16" t="s">
        <v>788</v>
      </c>
      <c r="AV282" s="16" t="s">
        <v>788</v>
      </c>
      <c r="AW282" s="16" t="s">
        <v>788</v>
      </c>
      <c r="AX282" s="16" t="s">
        <v>788</v>
      </c>
      <c r="AY282" s="16" t="s">
        <v>788</v>
      </c>
      <c r="AZ282" s="16" t="s">
        <v>788</v>
      </c>
      <c r="BA282" s="16" t="s">
        <v>788</v>
      </c>
      <c r="BB282" s="16" t="s">
        <v>788</v>
      </c>
      <c r="BC282" s="16" t="s">
        <v>788</v>
      </c>
      <c r="BD282" s="16" t="s">
        <v>788</v>
      </c>
      <c r="BE282" s="16" t="s">
        <v>788</v>
      </c>
      <c r="BF282" s="16" t="s">
        <v>788</v>
      </c>
      <c r="BG282" s="16" t="s">
        <v>788</v>
      </c>
      <c r="BH282" s="16" t="s">
        <v>788</v>
      </c>
      <c r="BI282" s="16" t="s">
        <v>788</v>
      </c>
      <c r="BJ282" s="16" t="s">
        <v>788</v>
      </c>
    </row>
    <row r="283" spans="1:62" ht="12" customHeight="1">
      <c r="A283" s="14" t="s">
        <v>829</v>
      </c>
      <c r="B283" s="31">
        <v>282</v>
      </c>
      <c r="C283" s="16">
        <v>2.3809523809523808E-2</v>
      </c>
      <c r="D283" s="16">
        <v>2.3809523809523808E-2</v>
      </c>
      <c r="E283" s="16">
        <v>2.3809523809523808E-2</v>
      </c>
      <c r="F283" s="16">
        <v>2.3809523809523808E-2</v>
      </c>
      <c r="G283" s="16">
        <v>2.3809523809523808E-2</v>
      </c>
      <c r="H283" s="16">
        <v>2.3809523809523808E-2</v>
      </c>
      <c r="I283" s="16">
        <v>2.3809523809523808E-2</v>
      </c>
      <c r="J283" s="16">
        <v>2.3809523809523808E-2</v>
      </c>
      <c r="K283" s="16">
        <v>2.3809523809523808E-2</v>
      </c>
      <c r="L283" s="16">
        <v>2.3809523809523808E-2</v>
      </c>
      <c r="M283" s="16">
        <v>2.3809523809523808E-2</v>
      </c>
      <c r="N283" s="16">
        <v>2.3809523809523808E-2</v>
      </c>
      <c r="O283" s="16">
        <v>2.3809523809523808E-2</v>
      </c>
      <c r="P283" s="16">
        <v>2.3809523809523808E-2</v>
      </c>
      <c r="Q283" s="16">
        <v>2.3809523809523808E-2</v>
      </c>
      <c r="R283" s="16">
        <v>2.3809523809523808E-2</v>
      </c>
      <c r="S283" s="16">
        <v>2.3809523809523808E-2</v>
      </c>
      <c r="T283" s="16">
        <v>2.3809523809523808E-2</v>
      </c>
      <c r="U283" s="16">
        <v>2.3809523809523808E-2</v>
      </c>
      <c r="V283" s="16">
        <v>2.3809523809523808E-2</v>
      </c>
      <c r="W283" s="16">
        <v>2.3809523809523808E-2</v>
      </c>
      <c r="X283" s="16">
        <v>2.3809523809523808E-2</v>
      </c>
      <c r="Y283" s="16">
        <v>2.3809523809523808E-2</v>
      </c>
      <c r="Z283" s="16">
        <v>2.3809523809523808E-2</v>
      </c>
      <c r="AA283" s="16">
        <v>2.3809523809523808E-2</v>
      </c>
      <c r="AB283" s="16">
        <v>2.3809523809523808E-2</v>
      </c>
      <c r="AC283" s="16">
        <v>2.3809523809523808E-2</v>
      </c>
      <c r="AD283" s="16">
        <v>2.3809523809523808E-2</v>
      </c>
      <c r="AE283" s="16">
        <v>2.3809523809523808E-2</v>
      </c>
      <c r="AF283" s="16">
        <v>2.3809523809523808E-2</v>
      </c>
      <c r="AG283" s="16">
        <v>2.3809523809523808E-2</v>
      </c>
      <c r="AH283" s="16">
        <v>2.3809523809523808E-2</v>
      </c>
      <c r="AI283" s="16">
        <v>2.3809523809523808E-2</v>
      </c>
      <c r="AJ283" s="16">
        <v>2.3809523809523808E-2</v>
      </c>
      <c r="AK283" s="16">
        <v>2.3809523809523808E-2</v>
      </c>
      <c r="AL283" s="16">
        <v>2.3809523809523808E-2</v>
      </c>
      <c r="AM283" s="16">
        <v>2.3809523809523808E-2</v>
      </c>
      <c r="AN283" s="16">
        <v>2.3809523809523808E-2</v>
      </c>
      <c r="AO283" s="16">
        <v>2.3809523809523808E-2</v>
      </c>
      <c r="AP283" s="16">
        <v>2.3809523809523808E-2</v>
      </c>
      <c r="AQ283" s="16">
        <v>2.3809523809523808E-2</v>
      </c>
      <c r="AR283" s="16">
        <v>2.3809523809523808E-2</v>
      </c>
      <c r="AS283" s="16" t="s">
        <v>788</v>
      </c>
      <c r="AT283" s="16" t="s">
        <v>788</v>
      </c>
      <c r="AU283" s="16" t="s">
        <v>788</v>
      </c>
      <c r="AV283" s="16" t="s">
        <v>788</v>
      </c>
      <c r="AW283" s="16" t="s">
        <v>788</v>
      </c>
      <c r="AX283" s="16" t="s">
        <v>788</v>
      </c>
      <c r="AY283" s="16" t="s">
        <v>788</v>
      </c>
      <c r="AZ283" s="16" t="s">
        <v>788</v>
      </c>
      <c r="BA283" s="16" t="s">
        <v>788</v>
      </c>
      <c r="BB283" s="16" t="s">
        <v>788</v>
      </c>
      <c r="BC283" s="16" t="s">
        <v>788</v>
      </c>
      <c r="BD283" s="16" t="s">
        <v>788</v>
      </c>
      <c r="BE283" s="16" t="s">
        <v>788</v>
      </c>
      <c r="BF283" s="16" t="s">
        <v>788</v>
      </c>
      <c r="BG283" s="16" t="s">
        <v>788</v>
      </c>
      <c r="BH283" s="16" t="s">
        <v>788</v>
      </c>
      <c r="BI283" s="16" t="s">
        <v>788</v>
      </c>
      <c r="BJ283" s="16" t="s">
        <v>788</v>
      </c>
    </row>
    <row r="284" spans="1:62" ht="12" customHeight="1">
      <c r="A284" s="14" t="s">
        <v>830</v>
      </c>
      <c r="B284" s="31">
        <v>283</v>
      </c>
      <c r="C284" s="16">
        <v>2.3255813953488372E-2</v>
      </c>
      <c r="D284" s="16">
        <v>2.3255813953488372E-2</v>
      </c>
      <c r="E284" s="16">
        <v>2.3255813953488372E-2</v>
      </c>
      <c r="F284" s="16">
        <v>2.3255813953488372E-2</v>
      </c>
      <c r="G284" s="16">
        <v>2.3255813953488372E-2</v>
      </c>
      <c r="H284" s="16">
        <v>2.3255813953488372E-2</v>
      </c>
      <c r="I284" s="16">
        <v>2.3255813953488372E-2</v>
      </c>
      <c r="J284" s="16">
        <v>2.3255813953488372E-2</v>
      </c>
      <c r="K284" s="16">
        <v>2.3255813953488372E-2</v>
      </c>
      <c r="L284" s="16">
        <v>2.3255813953488372E-2</v>
      </c>
      <c r="M284" s="16">
        <v>2.3255813953488372E-2</v>
      </c>
      <c r="N284" s="16">
        <v>2.3255813953488372E-2</v>
      </c>
      <c r="O284" s="16">
        <v>2.3255813953488372E-2</v>
      </c>
      <c r="P284" s="16">
        <v>2.3255813953488372E-2</v>
      </c>
      <c r="Q284" s="16">
        <v>2.3255813953488372E-2</v>
      </c>
      <c r="R284" s="16">
        <v>2.3255813953488372E-2</v>
      </c>
      <c r="S284" s="16">
        <v>2.3255813953488372E-2</v>
      </c>
      <c r="T284" s="16">
        <v>2.3255813953488372E-2</v>
      </c>
      <c r="U284" s="16">
        <v>2.3255813953488372E-2</v>
      </c>
      <c r="V284" s="16">
        <v>2.3255813953488372E-2</v>
      </c>
      <c r="W284" s="16">
        <v>2.3255813953488372E-2</v>
      </c>
      <c r="X284" s="16">
        <v>2.3255813953488372E-2</v>
      </c>
      <c r="Y284" s="16">
        <v>2.3255813953488372E-2</v>
      </c>
      <c r="Z284" s="16">
        <v>2.3255813953488372E-2</v>
      </c>
      <c r="AA284" s="16">
        <v>2.3255813953488372E-2</v>
      </c>
      <c r="AB284" s="16">
        <v>2.3255813953488372E-2</v>
      </c>
      <c r="AC284" s="16">
        <v>2.3255813953488372E-2</v>
      </c>
      <c r="AD284" s="16">
        <v>2.3255813953488372E-2</v>
      </c>
      <c r="AE284" s="16">
        <v>2.3255813953488372E-2</v>
      </c>
      <c r="AF284" s="16">
        <v>2.3255813953488372E-2</v>
      </c>
      <c r="AG284" s="16">
        <v>2.3255813953488372E-2</v>
      </c>
      <c r="AH284" s="16">
        <v>2.3255813953488372E-2</v>
      </c>
      <c r="AI284" s="16">
        <v>2.3255813953488372E-2</v>
      </c>
      <c r="AJ284" s="16">
        <v>2.3255813953488372E-2</v>
      </c>
      <c r="AK284" s="16">
        <v>2.3255813953488372E-2</v>
      </c>
      <c r="AL284" s="16">
        <v>2.3255813953488372E-2</v>
      </c>
      <c r="AM284" s="16">
        <v>2.3255813953488372E-2</v>
      </c>
      <c r="AN284" s="16">
        <v>2.3255813953488372E-2</v>
      </c>
      <c r="AO284" s="16">
        <v>2.3255813953488372E-2</v>
      </c>
      <c r="AP284" s="16">
        <v>2.3255813953488372E-2</v>
      </c>
      <c r="AQ284" s="16">
        <v>2.3255813953488372E-2</v>
      </c>
      <c r="AR284" s="16">
        <v>2.3255813953488372E-2</v>
      </c>
      <c r="AS284" s="16">
        <v>2.3255813953488372E-2</v>
      </c>
      <c r="AT284" s="16" t="s">
        <v>788</v>
      </c>
      <c r="AU284" s="16" t="s">
        <v>788</v>
      </c>
      <c r="AV284" s="16" t="s">
        <v>788</v>
      </c>
      <c r="AW284" s="16" t="s">
        <v>788</v>
      </c>
      <c r="AX284" s="16" t="s">
        <v>788</v>
      </c>
      <c r="AY284" s="16" t="s">
        <v>788</v>
      </c>
      <c r="AZ284" s="16" t="s">
        <v>788</v>
      </c>
      <c r="BA284" s="16" t="s">
        <v>788</v>
      </c>
      <c r="BB284" s="16" t="s">
        <v>788</v>
      </c>
      <c r="BC284" s="16" t="s">
        <v>788</v>
      </c>
      <c r="BD284" s="16" t="s">
        <v>788</v>
      </c>
      <c r="BE284" s="16" t="s">
        <v>788</v>
      </c>
      <c r="BF284" s="16" t="s">
        <v>788</v>
      </c>
      <c r="BG284" s="16" t="s">
        <v>788</v>
      </c>
      <c r="BH284" s="16" t="s">
        <v>788</v>
      </c>
      <c r="BI284" s="16" t="s">
        <v>788</v>
      </c>
      <c r="BJ284" s="16" t="s">
        <v>788</v>
      </c>
    </row>
    <row r="285" spans="1:62" ht="12" customHeight="1">
      <c r="A285" s="14" t="s">
        <v>831</v>
      </c>
      <c r="B285" s="31">
        <v>284</v>
      </c>
      <c r="C285" s="16">
        <v>2.2727272727272728E-2</v>
      </c>
      <c r="D285" s="16">
        <v>2.2727272727272728E-2</v>
      </c>
      <c r="E285" s="16">
        <v>2.2727272727272728E-2</v>
      </c>
      <c r="F285" s="16">
        <v>2.2727272727272728E-2</v>
      </c>
      <c r="G285" s="16">
        <v>2.2727272727272728E-2</v>
      </c>
      <c r="H285" s="16">
        <v>2.2727272727272728E-2</v>
      </c>
      <c r="I285" s="16">
        <v>2.2727272727272728E-2</v>
      </c>
      <c r="J285" s="16">
        <v>2.2727272727272728E-2</v>
      </c>
      <c r="K285" s="16">
        <v>2.2727272727272728E-2</v>
      </c>
      <c r="L285" s="16">
        <v>2.2727272727272728E-2</v>
      </c>
      <c r="M285" s="16">
        <v>2.2727272727272728E-2</v>
      </c>
      <c r="N285" s="16">
        <v>2.2727272727272728E-2</v>
      </c>
      <c r="O285" s="16">
        <v>2.2727272727272728E-2</v>
      </c>
      <c r="P285" s="16">
        <v>2.2727272727272728E-2</v>
      </c>
      <c r="Q285" s="16">
        <v>2.2727272727272728E-2</v>
      </c>
      <c r="R285" s="16">
        <v>2.2727272727272728E-2</v>
      </c>
      <c r="S285" s="16">
        <v>2.2727272727272728E-2</v>
      </c>
      <c r="T285" s="16">
        <v>2.2727272727272728E-2</v>
      </c>
      <c r="U285" s="16">
        <v>2.2727272727272728E-2</v>
      </c>
      <c r="V285" s="16">
        <v>2.2727272727272728E-2</v>
      </c>
      <c r="W285" s="16">
        <v>2.2727272727272728E-2</v>
      </c>
      <c r="X285" s="16">
        <v>2.2727272727272728E-2</v>
      </c>
      <c r="Y285" s="16">
        <v>2.2727272727272728E-2</v>
      </c>
      <c r="Z285" s="16">
        <v>2.2727272727272728E-2</v>
      </c>
      <c r="AA285" s="16">
        <v>2.2727272727272728E-2</v>
      </c>
      <c r="AB285" s="16">
        <v>2.2727272727272728E-2</v>
      </c>
      <c r="AC285" s="16">
        <v>2.2727272727272728E-2</v>
      </c>
      <c r="AD285" s="16">
        <v>2.2727272727272728E-2</v>
      </c>
      <c r="AE285" s="16">
        <v>2.2727272727272728E-2</v>
      </c>
      <c r="AF285" s="16">
        <v>2.2727272727272728E-2</v>
      </c>
      <c r="AG285" s="16">
        <v>2.2727272727272728E-2</v>
      </c>
      <c r="AH285" s="16">
        <v>2.2727272727272728E-2</v>
      </c>
      <c r="AI285" s="16">
        <v>2.2727272727272728E-2</v>
      </c>
      <c r="AJ285" s="16">
        <v>2.2727272727272728E-2</v>
      </c>
      <c r="AK285" s="16">
        <v>2.2727272727272728E-2</v>
      </c>
      <c r="AL285" s="16">
        <v>2.2727272727272728E-2</v>
      </c>
      <c r="AM285" s="16">
        <v>2.2727272727272728E-2</v>
      </c>
      <c r="AN285" s="16">
        <v>2.2727272727272728E-2</v>
      </c>
      <c r="AO285" s="16">
        <v>2.2727272727272728E-2</v>
      </c>
      <c r="AP285" s="16">
        <v>2.2727272727272728E-2</v>
      </c>
      <c r="AQ285" s="16">
        <v>2.2727272727272728E-2</v>
      </c>
      <c r="AR285" s="16">
        <v>2.2727272727272728E-2</v>
      </c>
      <c r="AS285" s="16">
        <v>2.2727272727272728E-2</v>
      </c>
      <c r="AT285" s="16">
        <v>2.2727272727272728E-2</v>
      </c>
      <c r="AU285" s="16" t="s">
        <v>788</v>
      </c>
      <c r="AV285" s="16" t="s">
        <v>788</v>
      </c>
      <c r="AW285" s="16" t="s">
        <v>788</v>
      </c>
      <c r="AX285" s="16" t="s">
        <v>788</v>
      </c>
      <c r="AY285" s="16" t="s">
        <v>788</v>
      </c>
      <c r="AZ285" s="16" t="s">
        <v>788</v>
      </c>
      <c r="BA285" s="16" t="s">
        <v>788</v>
      </c>
      <c r="BB285" s="16" t="s">
        <v>788</v>
      </c>
      <c r="BC285" s="16" t="s">
        <v>788</v>
      </c>
      <c r="BD285" s="16" t="s">
        <v>788</v>
      </c>
      <c r="BE285" s="16" t="s">
        <v>788</v>
      </c>
      <c r="BF285" s="16" t="s">
        <v>788</v>
      </c>
      <c r="BG285" s="16" t="s">
        <v>788</v>
      </c>
      <c r="BH285" s="16" t="s">
        <v>788</v>
      </c>
      <c r="BI285" s="16" t="s">
        <v>788</v>
      </c>
      <c r="BJ285" s="16" t="s">
        <v>788</v>
      </c>
    </row>
    <row r="286" spans="1:62" ht="12" customHeight="1">
      <c r="A286" s="14" t="s">
        <v>832</v>
      </c>
      <c r="B286" s="31">
        <v>285</v>
      </c>
      <c r="C286" s="16">
        <v>2.2222222222222223E-2</v>
      </c>
      <c r="D286" s="16">
        <v>2.2222222222222223E-2</v>
      </c>
      <c r="E286" s="16">
        <v>2.2222222222222223E-2</v>
      </c>
      <c r="F286" s="16">
        <v>2.2222222222222223E-2</v>
      </c>
      <c r="G286" s="16">
        <v>2.2222222222222223E-2</v>
      </c>
      <c r="H286" s="16">
        <v>2.2222222222222223E-2</v>
      </c>
      <c r="I286" s="16">
        <v>2.2222222222222223E-2</v>
      </c>
      <c r="J286" s="16">
        <v>2.2222222222222223E-2</v>
      </c>
      <c r="K286" s="16">
        <v>2.2222222222222223E-2</v>
      </c>
      <c r="L286" s="16">
        <v>2.2222222222222223E-2</v>
      </c>
      <c r="M286" s="16">
        <v>2.2222222222222223E-2</v>
      </c>
      <c r="N286" s="16">
        <v>2.2222222222222223E-2</v>
      </c>
      <c r="O286" s="16">
        <v>2.2222222222222223E-2</v>
      </c>
      <c r="P286" s="16">
        <v>2.2222222222222223E-2</v>
      </c>
      <c r="Q286" s="16">
        <v>2.2222222222222223E-2</v>
      </c>
      <c r="R286" s="16">
        <v>2.2222222222222223E-2</v>
      </c>
      <c r="S286" s="16">
        <v>2.2222222222222223E-2</v>
      </c>
      <c r="T286" s="16">
        <v>2.2222222222222223E-2</v>
      </c>
      <c r="U286" s="16">
        <v>2.2222222222222223E-2</v>
      </c>
      <c r="V286" s="16">
        <v>2.2222222222222223E-2</v>
      </c>
      <c r="W286" s="16">
        <v>2.2222222222222223E-2</v>
      </c>
      <c r="X286" s="16">
        <v>2.2222222222222223E-2</v>
      </c>
      <c r="Y286" s="16">
        <v>2.2222222222222223E-2</v>
      </c>
      <c r="Z286" s="16">
        <v>2.2222222222222223E-2</v>
      </c>
      <c r="AA286" s="16">
        <v>2.2222222222222223E-2</v>
      </c>
      <c r="AB286" s="16">
        <v>2.2222222222222223E-2</v>
      </c>
      <c r="AC286" s="16">
        <v>2.2222222222222223E-2</v>
      </c>
      <c r="AD286" s="16">
        <v>2.2222222222222223E-2</v>
      </c>
      <c r="AE286" s="16">
        <v>2.2222222222222223E-2</v>
      </c>
      <c r="AF286" s="16">
        <v>2.2222222222222223E-2</v>
      </c>
      <c r="AG286" s="16">
        <v>2.2222222222222223E-2</v>
      </c>
      <c r="AH286" s="16">
        <v>2.2222222222222223E-2</v>
      </c>
      <c r="AI286" s="16">
        <v>2.2222222222222223E-2</v>
      </c>
      <c r="AJ286" s="16">
        <v>2.2222222222222223E-2</v>
      </c>
      <c r="AK286" s="16">
        <v>2.2222222222222223E-2</v>
      </c>
      <c r="AL286" s="16">
        <v>2.2222222222222223E-2</v>
      </c>
      <c r="AM286" s="16">
        <v>2.2222222222222223E-2</v>
      </c>
      <c r="AN286" s="16">
        <v>2.2222222222222223E-2</v>
      </c>
      <c r="AO286" s="16">
        <v>2.2222222222222223E-2</v>
      </c>
      <c r="AP286" s="16">
        <v>2.2222222222222223E-2</v>
      </c>
      <c r="AQ286" s="16">
        <v>2.2222222222222223E-2</v>
      </c>
      <c r="AR286" s="16">
        <v>2.2222222222222223E-2</v>
      </c>
      <c r="AS286" s="16">
        <v>2.2222222222222223E-2</v>
      </c>
      <c r="AT286" s="16">
        <v>2.2222222222222223E-2</v>
      </c>
      <c r="AU286" s="16">
        <v>2.2222222222222223E-2</v>
      </c>
      <c r="AV286" s="16" t="s">
        <v>788</v>
      </c>
      <c r="AW286" s="16" t="s">
        <v>788</v>
      </c>
      <c r="AX286" s="16" t="s">
        <v>788</v>
      </c>
      <c r="AY286" s="16" t="s">
        <v>788</v>
      </c>
      <c r="AZ286" s="16" t="s">
        <v>788</v>
      </c>
      <c r="BA286" s="16" t="s">
        <v>788</v>
      </c>
      <c r="BB286" s="16" t="s">
        <v>788</v>
      </c>
      <c r="BC286" s="16" t="s">
        <v>788</v>
      </c>
      <c r="BD286" s="16" t="s">
        <v>788</v>
      </c>
      <c r="BE286" s="16" t="s">
        <v>788</v>
      </c>
      <c r="BF286" s="16" t="s">
        <v>788</v>
      </c>
      <c r="BG286" s="16" t="s">
        <v>788</v>
      </c>
      <c r="BH286" s="16" t="s">
        <v>788</v>
      </c>
      <c r="BI286" s="16" t="s">
        <v>788</v>
      </c>
      <c r="BJ286" s="16" t="s">
        <v>788</v>
      </c>
    </row>
    <row r="287" spans="1:62" ht="12" customHeight="1">
      <c r="A287" s="14" t="s">
        <v>833</v>
      </c>
      <c r="B287" s="31">
        <v>286</v>
      </c>
      <c r="C287" s="16">
        <v>2.1739130434782608E-2</v>
      </c>
      <c r="D287" s="16">
        <v>2.1739130434782608E-2</v>
      </c>
      <c r="E287" s="16">
        <v>2.1739130434782608E-2</v>
      </c>
      <c r="F287" s="16">
        <v>2.1739130434782608E-2</v>
      </c>
      <c r="G287" s="16">
        <v>2.1739130434782608E-2</v>
      </c>
      <c r="H287" s="16">
        <v>2.1739130434782608E-2</v>
      </c>
      <c r="I287" s="16">
        <v>2.1739130434782608E-2</v>
      </c>
      <c r="J287" s="16">
        <v>2.1739130434782608E-2</v>
      </c>
      <c r="K287" s="16">
        <v>2.1739130434782608E-2</v>
      </c>
      <c r="L287" s="16">
        <v>2.1739130434782608E-2</v>
      </c>
      <c r="M287" s="16">
        <v>2.1739130434782608E-2</v>
      </c>
      <c r="N287" s="16">
        <v>2.1739130434782608E-2</v>
      </c>
      <c r="O287" s="16">
        <v>2.1739130434782608E-2</v>
      </c>
      <c r="P287" s="16">
        <v>2.1739130434782608E-2</v>
      </c>
      <c r="Q287" s="16">
        <v>2.1739130434782608E-2</v>
      </c>
      <c r="R287" s="16">
        <v>2.1739130434782608E-2</v>
      </c>
      <c r="S287" s="16">
        <v>2.1739130434782608E-2</v>
      </c>
      <c r="T287" s="16">
        <v>2.1739130434782608E-2</v>
      </c>
      <c r="U287" s="16">
        <v>2.1739130434782608E-2</v>
      </c>
      <c r="V287" s="16">
        <v>2.1739130434782608E-2</v>
      </c>
      <c r="W287" s="16">
        <v>2.1739130434782608E-2</v>
      </c>
      <c r="X287" s="16">
        <v>2.1739130434782608E-2</v>
      </c>
      <c r="Y287" s="16">
        <v>2.1739130434782608E-2</v>
      </c>
      <c r="Z287" s="16">
        <v>2.1739130434782608E-2</v>
      </c>
      <c r="AA287" s="16">
        <v>2.1739130434782608E-2</v>
      </c>
      <c r="AB287" s="16">
        <v>2.1739130434782608E-2</v>
      </c>
      <c r="AC287" s="16">
        <v>2.1739130434782608E-2</v>
      </c>
      <c r="AD287" s="16">
        <v>2.1739130434782608E-2</v>
      </c>
      <c r="AE287" s="16">
        <v>2.1739130434782608E-2</v>
      </c>
      <c r="AF287" s="16">
        <v>2.1739130434782608E-2</v>
      </c>
      <c r="AG287" s="16">
        <v>2.1739130434782608E-2</v>
      </c>
      <c r="AH287" s="16">
        <v>2.1739130434782608E-2</v>
      </c>
      <c r="AI287" s="16">
        <v>2.1739130434782608E-2</v>
      </c>
      <c r="AJ287" s="16">
        <v>2.1739130434782608E-2</v>
      </c>
      <c r="AK287" s="16">
        <v>2.1739130434782608E-2</v>
      </c>
      <c r="AL287" s="16">
        <v>2.1739130434782608E-2</v>
      </c>
      <c r="AM287" s="16">
        <v>2.1739130434782608E-2</v>
      </c>
      <c r="AN287" s="16">
        <v>2.1739130434782608E-2</v>
      </c>
      <c r="AO287" s="16">
        <v>2.1739130434782608E-2</v>
      </c>
      <c r="AP287" s="16">
        <v>2.1739130434782608E-2</v>
      </c>
      <c r="AQ287" s="16">
        <v>2.1739130434782608E-2</v>
      </c>
      <c r="AR287" s="16">
        <v>2.1739130434782608E-2</v>
      </c>
      <c r="AS287" s="16">
        <v>2.1739130434782608E-2</v>
      </c>
      <c r="AT287" s="16">
        <v>2.1739130434782608E-2</v>
      </c>
      <c r="AU287" s="16">
        <v>2.1739130434782608E-2</v>
      </c>
      <c r="AV287" s="16">
        <v>2.1739130434782608E-2</v>
      </c>
      <c r="AW287" s="16" t="s">
        <v>788</v>
      </c>
      <c r="AX287" s="16" t="s">
        <v>788</v>
      </c>
      <c r="AY287" s="16" t="s">
        <v>788</v>
      </c>
      <c r="AZ287" s="16" t="s">
        <v>788</v>
      </c>
      <c r="BA287" s="16" t="s">
        <v>788</v>
      </c>
      <c r="BB287" s="16" t="s">
        <v>788</v>
      </c>
      <c r="BC287" s="16" t="s">
        <v>788</v>
      </c>
      <c r="BD287" s="16" t="s">
        <v>788</v>
      </c>
      <c r="BE287" s="16" t="s">
        <v>788</v>
      </c>
      <c r="BF287" s="16" t="s">
        <v>788</v>
      </c>
      <c r="BG287" s="16" t="s">
        <v>788</v>
      </c>
      <c r="BH287" s="16" t="s">
        <v>788</v>
      </c>
      <c r="BI287" s="16" t="s">
        <v>788</v>
      </c>
      <c r="BJ287" s="16" t="s">
        <v>788</v>
      </c>
    </row>
    <row r="288" spans="1:62" ht="12" customHeight="1">
      <c r="A288" s="14" t="s">
        <v>834</v>
      </c>
      <c r="B288" s="31">
        <v>287</v>
      </c>
      <c r="C288" s="16">
        <v>2.1276595744680851E-2</v>
      </c>
      <c r="D288" s="16">
        <v>2.1276595744680851E-2</v>
      </c>
      <c r="E288" s="16">
        <v>2.1276595744680851E-2</v>
      </c>
      <c r="F288" s="16">
        <v>2.1276595744680851E-2</v>
      </c>
      <c r="G288" s="16">
        <v>2.1276595744680851E-2</v>
      </c>
      <c r="H288" s="16">
        <v>2.1276595744680851E-2</v>
      </c>
      <c r="I288" s="16">
        <v>2.1276595744680851E-2</v>
      </c>
      <c r="J288" s="16">
        <v>2.1276595744680851E-2</v>
      </c>
      <c r="K288" s="16">
        <v>2.1276595744680851E-2</v>
      </c>
      <c r="L288" s="16">
        <v>2.1276595744680851E-2</v>
      </c>
      <c r="M288" s="16">
        <v>2.1276595744680851E-2</v>
      </c>
      <c r="N288" s="16">
        <v>2.1276595744680851E-2</v>
      </c>
      <c r="O288" s="16">
        <v>2.1276595744680851E-2</v>
      </c>
      <c r="P288" s="16">
        <v>2.1276595744680851E-2</v>
      </c>
      <c r="Q288" s="16">
        <v>2.1276595744680851E-2</v>
      </c>
      <c r="R288" s="16">
        <v>2.1276595744680851E-2</v>
      </c>
      <c r="S288" s="16">
        <v>2.1276595744680851E-2</v>
      </c>
      <c r="T288" s="16">
        <v>2.1276595744680851E-2</v>
      </c>
      <c r="U288" s="16">
        <v>2.1276595744680851E-2</v>
      </c>
      <c r="V288" s="16">
        <v>2.1276595744680851E-2</v>
      </c>
      <c r="W288" s="16">
        <v>2.1276595744680851E-2</v>
      </c>
      <c r="X288" s="16">
        <v>2.1276595744680851E-2</v>
      </c>
      <c r="Y288" s="16">
        <v>2.1276595744680851E-2</v>
      </c>
      <c r="Z288" s="16">
        <v>2.1276595744680851E-2</v>
      </c>
      <c r="AA288" s="16">
        <v>2.1276595744680851E-2</v>
      </c>
      <c r="AB288" s="16">
        <v>2.1276595744680851E-2</v>
      </c>
      <c r="AC288" s="16">
        <v>2.1276595744680851E-2</v>
      </c>
      <c r="AD288" s="16">
        <v>2.1276595744680851E-2</v>
      </c>
      <c r="AE288" s="16">
        <v>2.1276595744680851E-2</v>
      </c>
      <c r="AF288" s="16">
        <v>2.1276595744680851E-2</v>
      </c>
      <c r="AG288" s="16">
        <v>2.1276595744680851E-2</v>
      </c>
      <c r="AH288" s="16">
        <v>2.1276595744680851E-2</v>
      </c>
      <c r="AI288" s="16">
        <v>2.1276595744680851E-2</v>
      </c>
      <c r="AJ288" s="16">
        <v>2.1276595744680851E-2</v>
      </c>
      <c r="AK288" s="16">
        <v>2.1276595744680851E-2</v>
      </c>
      <c r="AL288" s="16">
        <v>2.1276595744680851E-2</v>
      </c>
      <c r="AM288" s="16">
        <v>2.1276595744680851E-2</v>
      </c>
      <c r="AN288" s="16">
        <v>2.1276595744680851E-2</v>
      </c>
      <c r="AO288" s="16">
        <v>2.1276595744680851E-2</v>
      </c>
      <c r="AP288" s="16">
        <v>2.1276595744680851E-2</v>
      </c>
      <c r="AQ288" s="16">
        <v>2.1276595744680851E-2</v>
      </c>
      <c r="AR288" s="16">
        <v>2.1276595744680851E-2</v>
      </c>
      <c r="AS288" s="16">
        <v>2.1276595744680851E-2</v>
      </c>
      <c r="AT288" s="16">
        <v>2.1276595744680851E-2</v>
      </c>
      <c r="AU288" s="16">
        <v>2.1276595744680851E-2</v>
      </c>
      <c r="AV288" s="16">
        <v>2.1276595744680851E-2</v>
      </c>
      <c r="AW288" s="16">
        <v>2.1276595744680851E-2</v>
      </c>
      <c r="AX288" s="16" t="s">
        <v>788</v>
      </c>
      <c r="AY288" s="16" t="s">
        <v>788</v>
      </c>
      <c r="AZ288" s="16" t="s">
        <v>788</v>
      </c>
      <c r="BA288" s="16" t="s">
        <v>788</v>
      </c>
      <c r="BB288" s="16" t="s">
        <v>788</v>
      </c>
      <c r="BC288" s="16" t="s">
        <v>788</v>
      </c>
      <c r="BD288" s="16" t="s">
        <v>788</v>
      </c>
      <c r="BE288" s="16" t="s">
        <v>788</v>
      </c>
      <c r="BF288" s="16" t="s">
        <v>788</v>
      </c>
      <c r="BG288" s="16" t="s">
        <v>788</v>
      </c>
      <c r="BH288" s="16" t="s">
        <v>788</v>
      </c>
      <c r="BI288" s="16" t="s">
        <v>788</v>
      </c>
      <c r="BJ288" s="16" t="s">
        <v>788</v>
      </c>
    </row>
    <row r="289" spans="1:62" ht="12" customHeight="1">
      <c r="A289" s="14" t="s">
        <v>835</v>
      </c>
      <c r="B289" s="31">
        <v>288</v>
      </c>
      <c r="C289" s="16">
        <v>2.0833333333333332E-2</v>
      </c>
      <c r="D289" s="16">
        <v>2.0833333333333332E-2</v>
      </c>
      <c r="E289" s="16">
        <v>2.0833333333333332E-2</v>
      </c>
      <c r="F289" s="16">
        <v>2.0833333333333332E-2</v>
      </c>
      <c r="G289" s="16">
        <v>2.0833333333333332E-2</v>
      </c>
      <c r="H289" s="16">
        <v>2.0833333333333332E-2</v>
      </c>
      <c r="I289" s="16">
        <v>2.0833333333333332E-2</v>
      </c>
      <c r="J289" s="16">
        <v>2.0833333333333332E-2</v>
      </c>
      <c r="K289" s="16">
        <v>2.0833333333333332E-2</v>
      </c>
      <c r="L289" s="16">
        <v>2.0833333333333332E-2</v>
      </c>
      <c r="M289" s="16">
        <v>2.0833333333333332E-2</v>
      </c>
      <c r="N289" s="16">
        <v>2.0833333333333332E-2</v>
      </c>
      <c r="O289" s="16">
        <v>2.0833333333333332E-2</v>
      </c>
      <c r="P289" s="16">
        <v>2.0833333333333332E-2</v>
      </c>
      <c r="Q289" s="16">
        <v>2.0833333333333332E-2</v>
      </c>
      <c r="R289" s="16">
        <v>2.0833333333333332E-2</v>
      </c>
      <c r="S289" s="16">
        <v>2.0833333333333332E-2</v>
      </c>
      <c r="T289" s="16">
        <v>2.0833333333333332E-2</v>
      </c>
      <c r="U289" s="16">
        <v>2.0833333333333332E-2</v>
      </c>
      <c r="V289" s="16">
        <v>2.0833333333333332E-2</v>
      </c>
      <c r="W289" s="16">
        <v>2.0833333333333332E-2</v>
      </c>
      <c r="X289" s="16">
        <v>2.0833333333333332E-2</v>
      </c>
      <c r="Y289" s="16">
        <v>2.0833333333333332E-2</v>
      </c>
      <c r="Z289" s="16">
        <v>2.0833333333333332E-2</v>
      </c>
      <c r="AA289" s="16">
        <v>2.0833333333333332E-2</v>
      </c>
      <c r="AB289" s="16">
        <v>2.0833333333333332E-2</v>
      </c>
      <c r="AC289" s="16">
        <v>2.0833333333333332E-2</v>
      </c>
      <c r="AD289" s="16">
        <v>2.0833333333333332E-2</v>
      </c>
      <c r="AE289" s="16">
        <v>2.0833333333333332E-2</v>
      </c>
      <c r="AF289" s="16">
        <v>2.0833333333333332E-2</v>
      </c>
      <c r="AG289" s="16">
        <v>2.0833333333333332E-2</v>
      </c>
      <c r="AH289" s="16">
        <v>2.0833333333333332E-2</v>
      </c>
      <c r="AI289" s="16">
        <v>2.0833333333333332E-2</v>
      </c>
      <c r="AJ289" s="16">
        <v>2.0833333333333332E-2</v>
      </c>
      <c r="AK289" s="16">
        <v>2.0833333333333332E-2</v>
      </c>
      <c r="AL289" s="16">
        <v>2.0833333333333332E-2</v>
      </c>
      <c r="AM289" s="16">
        <v>2.0833333333333332E-2</v>
      </c>
      <c r="AN289" s="16">
        <v>2.0833333333333332E-2</v>
      </c>
      <c r="AO289" s="16">
        <v>2.0833333333333332E-2</v>
      </c>
      <c r="AP289" s="16">
        <v>2.0833333333333332E-2</v>
      </c>
      <c r="AQ289" s="16">
        <v>2.0833333333333332E-2</v>
      </c>
      <c r="AR289" s="16">
        <v>2.0833333333333332E-2</v>
      </c>
      <c r="AS289" s="16">
        <v>2.0833333333333332E-2</v>
      </c>
      <c r="AT289" s="16">
        <v>2.0833333333333332E-2</v>
      </c>
      <c r="AU289" s="16">
        <v>2.0833333333333332E-2</v>
      </c>
      <c r="AV289" s="16">
        <v>2.0833333333333332E-2</v>
      </c>
      <c r="AW289" s="16">
        <v>2.0833333333333332E-2</v>
      </c>
      <c r="AX289" s="16">
        <v>2.0833333333333332E-2</v>
      </c>
      <c r="AY289" s="16" t="s">
        <v>788</v>
      </c>
      <c r="AZ289" s="16" t="s">
        <v>788</v>
      </c>
      <c r="BA289" s="16" t="s">
        <v>788</v>
      </c>
      <c r="BB289" s="16" t="s">
        <v>788</v>
      </c>
      <c r="BC289" s="16" t="s">
        <v>788</v>
      </c>
      <c r="BD289" s="16" t="s">
        <v>788</v>
      </c>
      <c r="BE289" s="16" t="s">
        <v>788</v>
      </c>
      <c r="BF289" s="16" t="s">
        <v>788</v>
      </c>
      <c r="BG289" s="16" t="s">
        <v>788</v>
      </c>
      <c r="BH289" s="16" t="s">
        <v>788</v>
      </c>
      <c r="BI289" s="16" t="s">
        <v>788</v>
      </c>
      <c r="BJ289" s="16" t="s">
        <v>788</v>
      </c>
    </row>
    <row r="290" spans="1:62" ht="12" customHeight="1">
      <c r="A290" s="14" t="s">
        <v>836</v>
      </c>
      <c r="B290" s="31">
        <v>289</v>
      </c>
      <c r="C290" s="16">
        <v>2.0408163265306121E-2</v>
      </c>
      <c r="D290" s="16">
        <v>2.0408163265306121E-2</v>
      </c>
      <c r="E290" s="16">
        <v>2.0408163265306121E-2</v>
      </c>
      <c r="F290" s="16">
        <v>2.0408163265306121E-2</v>
      </c>
      <c r="G290" s="16">
        <v>2.0408163265306121E-2</v>
      </c>
      <c r="H290" s="16">
        <v>2.0408163265306121E-2</v>
      </c>
      <c r="I290" s="16">
        <v>2.0408163265306121E-2</v>
      </c>
      <c r="J290" s="16">
        <v>2.0408163265306121E-2</v>
      </c>
      <c r="K290" s="16">
        <v>2.0408163265306121E-2</v>
      </c>
      <c r="L290" s="16">
        <v>2.0408163265306121E-2</v>
      </c>
      <c r="M290" s="16">
        <v>2.0408163265306121E-2</v>
      </c>
      <c r="N290" s="16">
        <v>2.0408163265306121E-2</v>
      </c>
      <c r="O290" s="16">
        <v>2.0408163265306121E-2</v>
      </c>
      <c r="P290" s="16">
        <v>2.0408163265306121E-2</v>
      </c>
      <c r="Q290" s="16">
        <v>2.0408163265306121E-2</v>
      </c>
      <c r="R290" s="16">
        <v>2.0408163265306121E-2</v>
      </c>
      <c r="S290" s="16">
        <v>2.0408163265306121E-2</v>
      </c>
      <c r="T290" s="16">
        <v>2.0408163265306121E-2</v>
      </c>
      <c r="U290" s="16">
        <v>2.0408163265306121E-2</v>
      </c>
      <c r="V290" s="16">
        <v>2.0408163265306121E-2</v>
      </c>
      <c r="W290" s="16">
        <v>2.0408163265306121E-2</v>
      </c>
      <c r="X290" s="16">
        <v>2.0408163265306121E-2</v>
      </c>
      <c r="Y290" s="16">
        <v>2.0408163265306121E-2</v>
      </c>
      <c r="Z290" s="16">
        <v>2.0408163265306121E-2</v>
      </c>
      <c r="AA290" s="16">
        <v>2.0408163265306121E-2</v>
      </c>
      <c r="AB290" s="16">
        <v>2.0408163265306121E-2</v>
      </c>
      <c r="AC290" s="16">
        <v>2.0408163265306121E-2</v>
      </c>
      <c r="AD290" s="16">
        <v>2.0408163265306121E-2</v>
      </c>
      <c r="AE290" s="16">
        <v>2.0408163265306121E-2</v>
      </c>
      <c r="AF290" s="16">
        <v>2.0408163265306121E-2</v>
      </c>
      <c r="AG290" s="16">
        <v>2.0408163265306121E-2</v>
      </c>
      <c r="AH290" s="16">
        <v>2.0408163265306121E-2</v>
      </c>
      <c r="AI290" s="16">
        <v>2.0408163265306121E-2</v>
      </c>
      <c r="AJ290" s="16">
        <v>2.0408163265306121E-2</v>
      </c>
      <c r="AK290" s="16">
        <v>2.0408163265306121E-2</v>
      </c>
      <c r="AL290" s="16">
        <v>2.0408163265306121E-2</v>
      </c>
      <c r="AM290" s="16">
        <v>2.0408163265306121E-2</v>
      </c>
      <c r="AN290" s="16">
        <v>2.0408163265306121E-2</v>
      </c>
      <c r="AO290" s="16">
        <v>2.0408163265306121E-2</v>
      </c>
      <c r="AP290" s="16">
        <v>2.0408163265306121E-2</v>
      </c>
      <c r="AQ290" s="16">
        <v>2.0408163265306121E-2</v>
      </c>
      <c r="AR290" s="16">
        <v>2.0408163265306121E-2</v>
      </c>
      <c r="AS290" s="16">
        <v>2.0408163265306121E-2</v>
      </c>
      <c r="AT290" s="16">
        <v>2.0408163265306121E-2</v>
      </c>
      <c r="AU290" s="16">
        <v>2.0408163265306121E-2</v>
      </c>
      <c r="AV290" s="16">
        <v>2.0408163265306121E-2</v>
      </c>
      <c r="AW290" s="16">
        <v>2.0408163265306121E-2</v>
      </c>
      <c r="AX290" s="16">
        <v>2.0408163265306121E-2</v>
      </c>
      <c r="AY290" s="16">
        <v>2.0408163265306121E-2</v>
      </c>
      <c r="AZ290" s="16" t="s">
        <v>788</v>
      </c>
      <c r="BA290" s="16" t="s">
        <v>788</v>
      </c>
      <c r="BB290" s="16" t="s">
        <v>788</v>
      </c>
      <c r="BC290" s="16" t="s">
        <v>788</v>
      </c>
      <c r="BD290" s="16" t="s">
        <v>788</v>
      </c>
      <c r="BE290" s="16" t="s">
        <v>788</v>
      </c>
      <c r="BF290" s="16" t="s">
        <v>788</v>
      </c>
      <c r="BG290" s="16" t="s">
        <v>788</v>
      </c>
      <c r="BH290" s="16" t="s">
        <v>788</v>
      </c>
      <c r="BI290" s="16" t="s">
        <v>788</v>
      </c>
      <c r="BJ290" s="16" t="s">
        <v>788</v>
      </c>
    </row>
    <row r="291" spans="1:62" ht="12" customHeight="1">
      <c r="A291" s="14" t="s">
        <v>837</v>
      </c>
      <c r="B291" s="31">
        <v>290</v>
      </c>
      <c r="C291" s="16">
        <v>0.02</v>
      </c>
      <c r="D291" s="16">
        <v>0.02</v>
      </c>
      <c r="E291" s="16">
        <v>0.02</v>
      </c>
      <c r="F291" s="16">
        <v>0.02</v>
      </c>
      <c r="G291" s="16">
        <v>0.02</v>
      </c>
      <c r="H291" s="16">
        <v>0.02</v>
      </c>
      <c r="I291" s="16">
        <v>0.02</v>
      </c>
      <c r="J291" s="16">
        <v>0.02</v>
      </c>
      <c r="K291" s="16">
        <v>0.02</v>
      </c>
      <c r="L291" s="16">
        <v>0.02</v>
      </c>
      <c r="M291" s="16">
        <v>0.02</v>
      </c>
      <c r="N291" s="16">
        <v>0.02</v>
      </c>
      <c r="O291" s="16">
        <v>0.02</v>
      </c>
      <c r="P291" s="16">
        <v>0.02</v>
      </c>
      <c r="Q291" s="16">
        <v>0.02</v>
      </c>
      <c r="R291" s="16">
        <v>0.02</v>
      </c>
      <c r="S291" s="16">
        <v>0.02</v>
      </c>
      <c r="T291" s="16">
        <v>0.02</v>
      </c>
      <c r="U291" s="16">
        <v>0.02</v>
      </c>
      <c r="V291" s="16">
        <v>0.02</v>
      </c>
      <c r="W291" s="16">
        <v>0.02</v>
      </c>
      <c r="X291" s="16">
        <v>0.02</v>
      </c>
      <c r="Y291" s="16">
        <v>0.02</v>
      </c>
      <c r="Z291" s="16">
        <v>0.02</v>
      </c>
      <c r="AA291" s="16">
        <v>0.02</v>
      </c>
      <c r="AB291" s="16">
        <v>0.02</v>
      </c>
      <c r="AC291" s="16">
        <v>0.02</v>
      </c>
      <c r="AD291" s="16">
        <v>0.02</v>
      </c>
      <c r="AE291" s="16">
        <v>0.02</v>
      </c>
      <c r="AF291" s="16">
        <v>0.02</v>
      </c>
      <c r="AG291" s="16">
        <v>0.02</v>
      </c>
      <c r="AH291" s="16">
        <v>0.02</v>
      </c>
      <c r="AI291" s="16">
        <v>0.02</v>
      </c>
      <c r="AJ291" s="16">
        <v>0.02</v>
      </c>
      <c r="AK291" s="16">
        <v>0.02</v>
      </c>
      <c r="AL291" s="16">
        <v>0.02</v>
      </c>
      <c r="AM291" s="16">
        <v>0.02</v>
      </c>
      <c r="AN291" s="16">
        <v>0.02</v>
      </c>
      <c r="AO291" s="16">
        <v>0.02</v>
      </c>
      <c r="AP291" s="16">
        <v>0.02</v>
      </c>
      <c r="AQ291" s="16">
        <v>0.02</v>
      </c>
      <c r="AR291" s="16">
        <v>0.02</v>
      </c>
      <c r="AS291" s="16">
        <v>0.02</v>
      </c>
      <c r="AT291" s="16">
        <v>0.02</v>
      </c>
      <c r="AU291" s="16">
        <v>0.02</v>
      </c>
      <c r="AV291" s="16">
        <v>0.02</v>
      </c>
      <c r="AW291" s="16">
        <v>0.02</v>
      </c>
      <c r="AX291" s="16">
        <v>0.02</v>
      </c>
      <c r="AY291" s="16">
        <v>0.02</v>
      </c>
      <c r="AZ291" s="16">
        <v>0.02</v>
      </c>
      <c r="BA291" s="16" t="s">
        <v>788</v>
      </c>
      <c r="BB291" s="16" t="s">
        <v>788</v>
      </c>
      <c r="BC291" s="16" t="s">
        <v>788</v>
      </c>
      <c r="BD291" s="16" t="s">
        <v>788</v>
      </c>
      <c r="BE291" s="16" t="s">
        <v>788</v>
      </c>
      <c r="BF291" s="16" t="s">
        <v>788</v>
      </c>
      <c r="BG291" s="16" t="s">
        <v>788</v>
      </c>
      <c r="BH291" s="16" t="s">
        <v>788</v>
      </c>
      <c r="BI291" s="16" t="s">
        <v>788</v>
      </c>
      <c r="BJ291" s="16" t="s">
        <v>788</v>
      </c>
    </row>
    <row r="292" spans="1:62" ht="12" customHeight="1">
      <c r="A292" s="14" t="s">
        <v>838</v>
      </c>
      <c r="B292" s="31">
        <v>291</v>
      </c>
      <c r="C292" s="16">
        <v>1.9607843137254902E-2</v>
      </c>
      <c r="D292" s="16">
        <v>1.9607843137254902E-2</v>
      </c>
      <c r="E292" s="16">
        <v>1.9607843137254902E-2</v>
      </c>
      <c r="F292" s="16">
        <v>1.9607843137254902E-2</v>
      </c>
      <c r="G292" s="16">
        <v>1.9607843137254902E-2</v>
      </c>
      <c r="H292" s="16">
        <v>1.9607843137254902E-2</v>
      </c>
      <c r="I292" s="16">
        <v>1.9607843137254902E-2</v>
      </c>
      <c r="J292" s="16">
        <v>1.9607843137254902E-2</v>
      </c>
      <c r="K292" s="16">
        <v>1.9607843137254902E-2</v>
      </c>
      <c r="L292" s="16">
        <v>1.9607843137254902E-2</v>
      </c>
      <c r="M292" s="16">
        <v>1.9607843137254902E-2</v>
      </c>
      <c r="N292" s="16">
        <v>1.9607843137254902E-2</v>
      </c>
      <c r="O292" s="16">
        <v>1.9607843137254902E-2</v>
      </c>
      <c r="P292" s="16">
        <v>1.9607843137254902E-2</v>
      </c>
      <c r="Q292" s="16">
        <v>1.9607843137254902E-2</v>
      </c>
      <c r="R292" s="16">
        <v>1.9607843137254902E-2</v>
      </c>
      <c r="S292" s="16">
        <v>1.9607843137254902E-2</v>
      </c>
      <c r="T292" s="16">
        <v>1.9607843137254902E-2</v>
      </c>
      <c r="U292" s="16">
        <v>1.9607843137254902E-2</v>
      </c>
      <c r="V292" s="16">
        <v>1.9607843137254902E-2</v>
      </c>
      <c r="W292" s="16">
        <v>1.9607843137254902E-2</v>
      </c>
      <c r="X292" s="16">
        <v>1.9607843137254902E-2</v>
      </c>
      <c r="Y292" s="16">
        <v>1.9607843137254902E-2</v>
      </c>
      <c r="Z292" s="16">
        <v>1.9607843137254902E-2</v>
      </c>
      <c r="AA292" s="16">
        <v>1.9607843137254902E-2</v>
      </c>
      <c r="AB292" s="16">
        <v>1.9607843137254902E-2</v>
      </c>
      <c r="AC292" s="16">
        <v>1.9607843137254902E-2</v>
      </c>
      <c r="AD292" s="16">
        <v>1.9607843137254902E-2</v>
      </c>
      <c r="AE292" s="16">
        <v>1.9607843137254902E-2</v>
      </c>
      <c r="AF292" s="16">
        <v>1.9607843137254902E-2</v>
      </c>
      <c r="AG292" s="16">
        <v>1.9607843137254902E-2</v>
      </c>
      <c r="AH292" s="16">
        <v>1.9607843137254902E-2</v>
      </c>
      <c r="AI292" s="16">
        <v>1.9607843137254902E-2</v>
      </c>
      <c r="AJ292" s="16">
        <v>1.9607843137254902E-2</v>
      </c>
      <c r="AK292" s="16">
        <v>1.9607843137254902E-2</v>
      </c>
      <c r="AL292" s="16">
        <v>1.9607843137254902E-2</v>
      </c>
      <c r="AM292" s="16">
        <v>1.9607843137254902E-2</v>
      </c>
      <c r="AN292" s="16">
        <v>1.9607843137254902E-2</v>
      </c>
      <c r="AO292" s="16">
        <v>1.9607843137254902E-2</v>
      </c>
      <c r="AP292" s="16">
        <v>1.9607843137254902E-2</v>
      </c>
      <c r="AQ292" s="16">
        <v>1.9607843137254902E-2</v>
      </c>
      <c r="AR292" s="16">
        <v>1.9607843137254902E-2</v>
      </c>
      <c r="AS292" s="16">
        <v>1.9607843137254902E-2</v>
      </c>
      <c r="AT292" s="16">
        <v>1.9607843137254902E-2</v>
      </c>
      <c r="AU292" s="16">
        <v>1.9607843137254902E-2</v>
      </c>
      <c r="AV292" s="16">
        <v>1.9607843137254902E-2</v>
      </c>
      <c r="AW292" s="16">
        <v>1.9607843137254902E-2</v>
      </c>
      <c r="AX292" s="16">
        <v>1.9607843137254902E-2</v>
      </c>
      <c r="AY292" s="16">
        <v>1.9607843137254902E-2</v>
      </c>
      <c r="AZ292" s="16">
        <v>1.9607843137254902E-2</v>
      </c>
      <c r="BA292" s="16">
        <v>1.9607843137254902E-2</v>
      </c>
      <c r="BB292" s="16" t="s">
        <v>788</v>
      </c>
      <c r="BC292" s="16" t="s">
        <v>788</v>
      </c>
      <c r="BD292" s="16" t="s">
        <v>788</v>
      </c>
      <c r="BE292" s="16" t="s">
        <v>788</v>
      </c>
      <c r="BF292" s="16" t="s">
        <v>788</v>
      </c>
      <c r="BG292" s="16" t="s">
        <v>788</v>
      </c>
      <c r="BH292" s="16" t="s">
        <v>788</v>
      </c>
      <c r="BI292" s="16" t="s">
        <v>788</v>
      </c>
      <c r="BJ292" s="16" t="s">
        <v>788</v>
      </c>
    </row>
    <row r="293" spans="1:62" ht="12" customHeight="1">
      <c r="A293" s="14" t="s">
        <v>839</v>
      </c>
      <c r="B293" s="31">
        <v>292</v>
      </c>
      <c r="C293" s="16">
        <v>1.9230769230769232E-2</v>
      </c>
      <c r="D293" s="16">
        <v>1.9230769230769232E-2</v>
      </c>
      <c r="E293" s="16">
        <v>1.9230769230769232E-2</v>
      </c>
      <c r="F293" s="16">
        <v>1.9230769230769232E-2</v>
      </c>
      <c r="G293" s="16">
        <v>1.9230769230769232E-2</v>
      </c>
      <c r="H293" s="16">
        <v>1.9230769230769232E-2</v>
      </c>
      <c r="I293" s="16">
        <v>1.9230769230769232E-2</v>
      </c>
      <c r="J293" s="16">
        <v>1.9230769230769232E-2</v>
      </c>
      <c r="K293" s="16">
        <v>1.9230769230769232E-2</v>
      </c>
      <c r="L293" s="16">
        <v>1.9230769230769232E-2</v>
      </c>
      <c r="M293" s="16">
        <v>1.9230769230769232E-2</v>
      </c>
      <c r="N293" s="16">
        <v>1.9230769230769232E-2</v>
      </c>
      <c r="O293" s="16">
        <v>1.9230769230769232E-2</v>
      </c>
      <c r="P293" s="16">
        <v>1.9230769230769232E-2</v>
      </c>
      <c r="Q293" s="16">
        <v>1.9230769230769232E-2</v>
      </c>
      <c r="R293" s="16">
        <v>1.9230769230769232E-2</v>
      </c>
      <c r="S293" s="16">
        <v>1.9230769230769232E-2</v>
      </c>
      <c r="T293" s="16">
        <v>1.9230769230769232E-2</v>
      </c>
      <c r="U293" s="16">
        <v>1.9230769230769232E-2</v>
      </c>
      <c r="V293" s="16">
        <v>1.9230769230769232E-2</v>
      </c>
      <c r="W293" s="16">
        <v>1.9230769230769232E-2</v>
      </c>
      <c r="X293" s="16">
        <v>1.9230769230769232E-2</v>
      </c>
      <c r="Y293" s="16">
        <v>1.9230769230769232E-2</v>
      </c>
      <c r="Z293" s="16">
        <v>1.9230769230769232E-2</v>
      </c>
      <c r="AA293" s="16">
        <v>1.9230769230769232E-2</v>
      </c>
      <c r="AB293" s="16">
        <v>1.9230769230769232E-2</v>
      </c>
      <c r="AC293" s="16">
        <v>1.9230769230769232E-2</v>
      </c>
      <c r="AD293" s="16">
        <v>1.9230769230769232E-2</v>
      </c>
      <c r="AE293" s="16">
        <v>1.9230769230769232E-2</v>
      </c>
      <c r="AF293" s="16">
        <v>1.9230769230769232E-2</v>
      </c>
      <c r="AG293" s="16">
        <v>1.9230769230769232E-2</v>
      </c>
      <c r="AH293" s="16">
        <v>1.9230769230769232E-2</v>
      </c>
      <c r="AI293" s="16">
        <v>1.9230769230769232E-2</v>
      </c>
      <c r="AJ293" s="16">
        <v>1.9230769230769232E-2</v>
      </c>
      <c r="AK293" s="16">
        <v>1.9230769230769232E-2</v>
      </c>
      <c r="AL293" s="16">
        <v>1.9230769230769232E-2</v>
      </c>
      <c r="AM293" s="16">
        <v>1.9230769230769232E-2</v>
      </c>
      <c r="AN293" s="16">
        <v>1.9230769230769232E-2</v>
      </c>
      <c r="AO293" s="16">
        <v>1.9230769230769232E-2</v>
      </c>
      <c r="AP293" s="16">
        <v>1.9230769230769232E-2</v>
      </c>
      <c r="AQ293" s="16">
        <v>1.9230769230769232E-2</v>
      </c>
      <c r="AR293" s="16">
        <v>1.9230769230769232E-2</v>
      </c>
      <c r="AS293" s="16">
        <v>1.9230769230769232E-2</v>
      </c>
      <c r="AT293" s="16">
        <v>1.9230769230769232E-2</v>
      </c>
      <c r="AU293" s="16">
        <v>1.9230769230769232E-2</v>
      </c>
      <c r="AV293" s="16">
        <v>1.9230769230769232E-2</v>
      </c>
      <c r="AW293" s="16">
        <v>1.9230769230769232E-2</v>
      </c>
      <c r="AX293" s="16">
        <v>1.9230769230769232E-2</v>
      </c>
      <c r="AY293" s="16">
        <v>1.9230769230769232E-2</v>
      </c>
      <c r="AZ293" s="16">
        <v>1.9230769230769232E-2</v>
      </c>
      <c r="BA293" s="16">
        <v>1.9230769230769232E-2</v>
      </c>
      <c r="BB293" s="16">
        <v>1.9230769230769232E-2</v>
      </c>
      <c r="BC293" s="16" t="s">
        <v>788</v>
      </c>
      <c r="BD293" s="16" t="s">
        <v>788</v>
      </c>
      <c r="BE293" s="16" t="s">
        <v>788</v>
      </c>
      <c r="BF293" s="16" t="s">
        <v>788</v>
      </c>
      <c r="BG293" s="16" t="s">
        <v>788</v>
      </c>
      <c r="BH293" s="16" t="s">
        <v>788</v>
      </c>
      <c r="BI293" s="16" t="s">
        <v>788</v>
      </c>
      <c r="BJ293" s="16" t="s">
        <v>788</v>
      </c>
    </row>
    <row r="294" spans="1:62" ht="12" customHeight="1">
      <c r="A294" s="14" t="s">
        <v>840</v>
      </c>
      <c r="B294" s="31">
        <v>293</v>
      </c>
      <c r="C294" s="16">
        <v>1.8867924528301886E-2</v>
      </c>
      <c r="D294" s="16">
        <v>1.8867924528301886E-2</v>
      </c>
      <c r="E294" s="16">
        <v>1.8867924528301886E-2</v>
      </c>
      <c r="F294" s="16">
        <v>1.8867924528301886E-2</v>
      </c>
      <c r="G294" s="16">
        <v>1.8867924528301886E-2</v>
      </c>
      <c r="H294" s="16">
        <v>1.8867924528301886E-2</v>
      </c>
      <c r="I294" s="16">
        <v>1.8867924528301886E-2</v>
      </c>
      <c r="J294" s="16">
        <v>1.8867924528301886E-2</v>
      </c>
      <c r="K294" s="16">
        <v>1.8867924528301886E-2</v>
      </c>
      <c r="L294" s="16">
        <v>1.8867924528301886E-2</v>
      </c>
      <c r="M294" s="16">
        <v>1.8867924528301886E-2</v>
      </c>
      <c r="N294" s="16">
        <v>1.8867924528301886E-2</v>
      </c>
      <c r="O294" s="16">
        <v>1.8867924528301886E-2</v>
      </c>
      <c r="P294" s="16">
        <v>1.8867924528301886E-2</v>
      </c>
      <c r="Q294" s="16">
        <v>1.8867924528301886E-2</v>
      </c>
      <c r="R294" s="16">
        <v>1.8867924528301886E-2</v>
      </c>
      <c r="S294" s="16">
        <v>1.8867924528301886E-2</v>
      </c>
      <c r="T294" s="16">
        <v>1.8867924528301886E-2</v>
      </c>
      <c r="U294" s="16">
        <v>1.8867924528301886E-2</v>
      </c>
      <c r="V294" s="16">
        <v>1.8867924528301886E-2</v>
      </c>
      <c r="W294" s="16">
        <v>1.8867924528301886E-2</v>
      </c>
      <c r="X294" s="16">
        <v>1.8867924528301886E-2</v>
      </c>
      <c r="Y294" s="16">
        <v>1.8867924528301886E-2</v>
      </c>
      <c r="Z294" s="16">
        <v>1.8867924528301886E-2</v>
      </c>
      <c r="AA294" s="16">
        <v>1.8867924528301886E-2</v>
      </c>
      <c r="AB294" s="16">
        <v>1.8867924528301886E-2</v>
      </c>
      <c r="AC294" s="16">
        <v>1.8867924528301886E-2</v>
      </c>
      <c r="AD294" s="16">
        <v>1.8867924528301886E-2</v>
      </c>
      <c r="AE294" s="16">
        <v>1.8867924528301886E-2</v>
      </c>
      <c r="AF294" s="16">
        <v>1.8867924528301886E-2</v>
      </c>
      <c r="AG294" s="16">
        <v>1.8867924528301886E-2</v>
      </c>
      <c r="AH294" s="16">
        <v>1.8867924528301886E-2</v>
      </c>
      <c r="AI294" s="16">
        <v>1.8867924528301886E-2</v>
      </c>
      <c r="AJ294" s="16">
        <v>1.8867924528301886E-2</v>
      </c>
      <c r="AK294" s="16">
        <v>1.8867924528301886E-2</v>
      </c>
      <c r="AL294" s="16">
        <v>1.8867924528301886E-2</v>
      </c>
      <c r="AM294" s="16">
        <v>1.8867924528301886E-2</v>
      </c>
      <c r="AN294" s="16">
        <v>1.8867924528301886E-2</v>
      </c>
      <c r="AO294" s="16">
        <v>1.8867924528301886E-2</v>
      </c>
      <c r="AP294" s="16">
        <v>1.8867924528301886E-2</v>
      </c>
      <c r="AQ294" s="16">
        <v>1.8867924528301886E-2</v>
      </c>
      <c r="AR294" s="16">
        <v>1.8867924528301886E-2</v>
      </c>
      <c r="AS294" s="16">
        <v>1.8867924528301886E-2</v>
      </c>
      <c r="AT294" s="16">
        <v>1.8867924528301886E-2</v>
      </c>
      <c r="AU294" s="16">
        <v>1.8867924528301886E-2</v>
      </c>
      <c r="AV294" s="16">
        <v>1.8867924528301886E-2</v>
      </c>
      <c r="AW294" s="16">
        <v>1.8867924528301886E-2</v>
      </c>
      <c r="AX294" s="16">
        <v>1.8867924528301886E-2</v>
      </c>
      <c r="AY294" s="16">
        <v>1.8867924528301886E-2</v>
      </c>
      <c r="AZ294" s="16">
        <v>1.8867924528301886E-2</v>
      </c>
      <c r="BA294" s="16">
        <v>1.8867924528301886E-2</v>
      </c>
      <c r="BB294" s="16">
        <v>1.8867924528301886E-2</v>
      </c>
      <c r="BC294" s="16">
        <v>1.8867924528301886E-2</v>
      </c>
      <c r="BD294" s="16" t="s">
        <v>788</v>
      </c>
      <c r="BE294" s="16" t="s">
        <v>788</v>
      </c>
      <c r="BF294" s="16" t="s">
        <v>788</v>
      </c>
      <c r="BG294" s="16" t="s">
        <v>788</v>
      </c>
      <c r="BH294" s="16" t="s">
        <v>788</v>
      </c>
      <c r="BI294" s="16" t="s">
        <v>788</v>
      </c>
      <c r="BJ294" s="16" t="s">
        <v>788</v>
      </c>
    </row>
    <row r="295" spans="1:62" ht="12" customHeight="1">
      <c r="A295" s="14" t="s">
        <v>841</v>
      </c>
      <c r="B295" s="31">
        <v>294</v>
      </c>
      <c r="C295" s="16">
        <v>1.8518518518518517E-2</v>
      </c>
      <c r="D295" s="16">
        <v>1.8518518518518517E-2</v>
      </c>
      <c r="E295" s="16">
        <v>1.8518518518518517E-2</v>
      </c>
      <c r="F295" s="16">
        <v>1.8518518518518517E-2</v>
      </c>
      <c r="G295" s="16">
        <v>1.8518518518518517E-2</v>
      </c>
      <c r="H295" s="16">
        <v>1.8518518518518517E-2</v>
      </c>
      <c r="I295" s="16">
        <v>1.8518518518518517E-2</v>
      </c>
      <c r="J295" s="16">
        <v>1.8518518518518517E-2</v>
      </c>
      <c r="K295" s="16">
        <v>1.8518518518518517E-2</v>
      </c>
      <c r="L295" s="16">
        <v>1.8518518518518517E-2</v>
      </c>
      <c r="M295" s="16">
        <v>1.8518518518518517E-2</v>
      </c>
      <c r="N295" s="16">
        <v>1.8518518518518517E-2</v>
      </c>
      <c r="O295" s="16">
        <v>1.8518518518518517E-2</v>
      </c>
      <c r="P295" s="16">
        <v>1.8518518518518517E-2</v>
      </c>
      <c r="Q295" s="16">
        <v>1.8518518518518517E-2</v>
      </c>
      <c r="R295" s="16">
        <v>1.8518518518518517E-2</v>
      </c>
      <c r="S295" s="16">
        <v>1.8518518518518517E-2</v>
      </c>
      <c r="T295" s="16">
        <v>1.8518518518518517E-2</v>
      </c>
      <c r="U295" s="16">
        <v>1.8518518518518517E-2</v>
      </c>
      <c r="V295" s="16">
        <v>1.8518518518518517E-2</v>
      </c>
      <c r="W295" s="16">
        <v>1.8518518518518517E-2</v>
      </c>
      <c r="X295" s="16">
        <v>1.8518518518518517E-2</v>
      </c>
      <c r="Y295" s="16">
        <v>1.8518518518518517E-2</v>
      </c>
      <c r="Z295" s="16">
        <v>1.8518518518518517E-2</v>
      </c>
      <c r="AA295" s="16">
        <v>1.8518518518518517E-2</v>
      </c>
      <c r="AB295" s="16">
        <v>1.8518518518518517E-2</v>
      </c>
      <c r="AC295" s="16">
        <v>1.8518518518518517E-2</v>
      </c>
      <c r="AD295" s="16">
        <v>1.8518518518518517E-2</v>
      </c>
      <c r="AE295" s="16">
        <v>1.8518518518518517E-2</v>
      </c>
      <c r="AF295" s="16">
        <v>1.8518518518518517E-2</v>
      </c>
      <c r="AG295" s="16">
        <v>1.8518518518518517E-2</v>
      </c>
      <c r="AH295" s="16">
        <v>1.8518518518518517E-2</v>
      </c>
      <c r="AI295" s="16">
        <v>1.8518518518518517E-2</v>
      </c>
      <c r="AJ295" s="16">
        <v>1.8518518518518517E-2</v>
      </c>
      <c r="AK295" s="16">
        <v>1.8518518518518517E-2</v>
      </c>
      <c r="AL295" s="16">
        <v>1.8518518518518517E-2</v>
      </c>
      <c r="AM295" s="16">
        <v>1.8518518518518517E-2</v>
      </c>
      <c r="AN295" s="16">
        <v>1.8518518518518517E-2</v>
      </c>
      <c r="AO295" s="16">
        <v>1.8518518518518517E-2</v>
      </c>
      <c r="AP295" s="16">
        <v>1.8518518518518517E-2</v>
      </c>
      <c r="AQ295" s="16">
        <v>1.8518518518518517E-2</v>
      </c>
      <c r="AR295" s="16">
        <v>1.8518518518518517E-2</v>
      </c>
      <c r="AS295" s="16">
        <v>1.8518518518518517E-2</v>
      </c>
      <c r="AT295" s="16">
        <v>1.8518518518518517E-2</v>
      </c>
      <c r="AU295" s="16">
        <v>1.8518518518518517E-2</v>
      </c>
      <c r="AV295" s="16">
        <v>1.8518518518518517E-2</v>
      </c>
      <c r="AW295" s="16">
        <v>1.8518518518518517E-2</v>
      </c>
      <c r="AX295" s="16">
        <v>1.8518518518518517E-2</v>
      </c>
      <c r="AY295" s="16">
        <v>1.8518518518518517E-2</v>
      </c>
      <c r="AZ295" s="16">
        <v>1.8518518518518517E-2</v>
      </c>
      <c r="BA295" s="16">
        <v>1.8518518518518517E-2</v>
      </c>
      <c r="BB295" s="16">
        <v>1.8518518518518517E-2</v>
      </c>
      <c r="BC295" s="16">
        <v>1.8518518518518517E-2</v>
      </c>
      <c r="BD295" s="16">
        <v>1.8518518518518517E-2</v>
      </c>
      <c r="BE295" s="16" t="s">
        <v>788</v>
      </c>
      <c r="BF295" s="16" t="s">
        <v>788</v>
      </c>
      <c r="BG295" s="16" t="s">
        <v>788</v>
      </c>
      <c r="BH295" s="16" t="s">
        <v>788</v>
      </c>
      <c r="BI295" s="16" t="s">
        <v>788</v>
      </c>
      <c r="BJ295" s="16" t="s">
        <v>788</v>
      </c>
    </row>
    <row r="296" spans="1:62" ht="12" customHeight="1">
      <c r="A296" s="14" t="s">
        <v>842</v>
      </c>
      <c r="B296" s="31">
        <v>295</v>
      </c>
      <c r="C296" s="16">
        <v>1.8181818181818181E-2</v>
      </c>
      <c r="D296" s="16">
        <v>1.8181818181818181E-2</v>
      </c>
      <c r="E296" s="16">
        <v>1.8181818181818181E-2</v>
      </c>
      <c r="F296" s="16">
        <v>1.8181818181818181E-2</v>
      </c>
      <c r="G296" s="16">
        <v>1.8181818181818181E-2</v>
      </c>
      <c r="H296" s="16">
        <v>1.8181818181818181E-2</v>
      </c>
      <c r="I296" s="16">
        <v>1.8181818181818181E-2</v>
      </c>
      <c r="J296" s="16">
        <v>1.8181818181818181E-2</v>
      </c>
      <c r="K296" s="16">
        <v>1.8181818181818181E-2</v>
      </c>
      <c r="L296" s="16">
        <v>1.8181818181818181E-2</v>
      </c>
      <c r="M296" s="16">
        <v>1.8181818181818181E-2</v>
      </c>
      <c r="N296" s="16">
        <v>1.8181818181818181E-2</v>
      </c>
      <c r="O296" s="16">
        <v>1.8181818181818181E-2</v>
      </c>
      <c r="P296" s="16">
        <v>1.8181818181818181E-2</v>
      </c>
      <c r="Q296" s="16">
        <v>1.8181818181818181E-2</v>
      </c>
      <c r="R296" s="16">
        <v>1.8181818181818181E-2</v>
      </c>
      <c r="S296" s="16">
        <v>1.8181818181818181E-2</v>
      </c>
      <c r="T296" s="16">
        <v>1.8181818181818181E-2</v>
      </c>
      <c r="U296" s="16">
        <v>1.8181818181818181E-2</v>
      </c>
      <c r="V296" s="16">
        <v>1.8181818181818181E-2</v>
      </c>
      <c r="W296" s="16">
        <v>1.8181818181818181E-2</v>
      </c>
      <c r="X296" s="16">
        <v>1.8181818181818181E-2</v>
      </c>
      <c r="Y296" s="16">
        <v>1.8181818181818181E-2</v>
      </c>
      <c r="Z296" s="16">
        <v>1.8181818181818181E-2</v>
      </c>
      <c r="AA296" s="16">
        <v>1.8181818181818181E-2</v>
      </c>
      <c r="AB296" s="16">
        <v>1.8181818181818181E-2</v>
      </c>
      <c r="AC296" s="16">
        <v>1.8181818181818181E-2</v>
      </c>
      <c r="AD296" s="16">
        <v>1.8181818181818181E-2</v>
      </c>
      <c r="AE296" s="16">
        <v>1.8181818181818181E-2</v>
      </c>
      <c r="AF296" s="16">
        <v>1.8181818181818181E-2</v>
      </c>
      <c r="AG296" s="16">
        <v>1.8181818181818181E-2</v>
      </c>
      <c r="AH296" s="16">
        <v>1.8181818181818181E-2</v>
      </c>
      <c r="AI296" s="16">
        <v>1.8181818181818181E-2</v>
      </c>
      <c r="AJ296" s="16">
        <v>1.8181818181818181E-2</v>
      </c>
      <c r="AK296" s="16">
        <v>1.8181818181818181E-2</v>
      </c>
      <c r="AL296" s="16">
        <v>1.8181818181818181E-2</v>
      </c>
      <c r="AM296" s="16">
        <v>1.8181818181818181E-2</v>
      </c>
      <c r="AN296" s="16">
        <v>1.8181818181818181E-2</v>
      </c>
      <c r="AO296" s="16">
        <v>1.8181818181818181E-2</v>
      </c>
      <c r="AP296" s="16">
        <v>1.8181818181818181E-2</v>
      </c>
      <c r="AQ296" s="16">
        <v>1.8181818181818181E-2</v>
      </c>
      <c r="AR296" s="16">
        <v>1.8181818181818181E-2</v>
      </c>
      <c r="AS296" s="16">
        <v>1.8181818181818181E-2</v>
      </c>
      <c r="AT296" s="16">
        <v>1.8181818181818181E-2</v>
      </c>
      <c r="AU296" s="16">
        <v>1.8181818181818181E-2</v>
      </c>
      <c r="AV296" s="16">
        <v>1.8181818181818181E-2</v>
      </c>
      <c r="AW296" s="16">
        <v>1.8181818181818181E-2</v>
      </c>
      <c r="AX296" s="16">
        <v>1.8181818181818181E-2</v>
      </c>
      <c r="AY296" s="16">
        <v>1.8181818181818181E-2</v>
      </c>
      <c r="AZ296" s="16">
        <v>1.8181818181818181E-2</v>
      </c>
      <c r="BA296" s="16">
        <v>1.8181818181818181E-2</v>
      </c>
      <c r="BB296" s="16">
        <v>1.8181818181818181E-2</v>
      </c>
      <c r="BC296" s="16">
        <v>1.8181818181818181E-2</v>
      </c>
      <c r="BD296" s="16">
        <v>1.8181818181818181E-2</v>
      </c>
      <c r="BE296" s="16">
        <v>1.8181818181818181E-2</v>
      </c>
      <c r="BF296" s="16" t="s">
        <v>788</v>
      </c>
      <c r="BG296" s="16" t="s">
        <v>788</v>
      </c>
      <c r="BH296" s="16" t="s">
        <v>788</v>
      </c>
      <c r="BI296" s="16" t="s">
        <v>788</v>
      </c>
      <c r="BJ296" s="16" t="s">
        <v>788</v>
      </c>
    </row>
    <row r="297" spans="1:62" ht="12" customHeight="1">
      <c r="A297" s="14" t="s">
        <v>843</v>
      </c>
      <c r="B297" s="31">
        <v>296</v>
      </c>
      <c r="C297" s="16">
        <v>1.7857142857142856E-2</v>
      </c>
      <c r="D297" s="16">
        <v>1.7857142857142856E-2</v>
      </c>
      <c r="E297" s="16">
        <v>1.7857142857142856E-2</v>
      </c>
      <c r="F297" s="16">
        <v>1.7857142857142856E-2</v>
      </c>
      <c r="G297" s="16">
        <v>1.7857142857142856E-2</v>
      </c>
      <c r="H297" s="16">
        <v>1.7857142857142856E-2</v>
      </c>
      <c r="I297" s="16">
        <v>1.7857142857142856E-2</v>
      </c>
      <c r="J297" s="16">
        <v>1.7857142857142856E-2</v>
      </c>
      <c r="K297" s="16">
        <v>1.7857142857142856E-2</v>
      </c>
      <c r="L297" s="16">
        <v>1.7857142857142856E-2</v>
      </c>
      <c r="M297" s="16">
        <v>1.7857142857142856E-2</v>
      </c>
      <c r="N297" s="16">
        <v>1.7857142857142856E-2</v>
      </c>
      <c r="O297" s="16">
        <v>1.7857142857142856E-2</v>
      </c>
      <c r="P297" s="16">
        <v>1.7857142857142856E-2</v>
      </c>
      <c r="Q297" s="16">
        <v>1.7857142857142856E-2</v>
      </c>
      <c r="R297" s="16">
        <v>1.7857142857142856E-2</v>
      </c>
      <c r="S297" s="16">
        <v>1.7857142857142856E-2</v>
      </c>
      <c r="T297" s="16">
        <v>1.7857142857142856E-2</v>
      </c>
      <c r="U297" s="16">
        <v>1.7857142857142856E-2</v>
      </c>
      <c r="V297" s="16">
        <v>1.7857142857142856E-2</v>
      </c>
      <c r="W297" s="16">
        <v>1.7857142857142856E-2</v>
      </c>
      <c r="X297" s="16">
        <v>1.7857142857142856E-2</v>
      </c>
      <c r="Y297" s="16">
        <v>1.7857142857142856E-2</v>
      </c>
      <c r="Z297" s="16">
        <v>1.7857142857142856E-2</v>
      </c>
      <c r="AA297" s="16">
        <v>1.7857142857142856E-2</v>
      </c>
      <c r="AB297" s="16">
        <v>1.7857142857142856E-2</v>
      </c>
      <c r="AC297" s="16">
        <v>1.7857142857142856E-2</v>
      </c>
      <c r="AD297" s="16">
        <v>1.7857142857142856E-2</v>
      </c>
      <c r="AE297" s="16">
        <v>1.7857142857142856E-2</v>
      </c>
      <c r="AF297" s="16">
        <v>1.7857142857142856E-2</v>
      </c>
      <c r="AG297" s="16">
        <v>1.7857142857142856E-2</v>
      </c>
      <c r="AH297" s="16">
        <v>1.7857142857142856E-2</v>
      </c>
      <c r="AI297" s="16">
        <v>1.7857142857142856E-2</v>
      </c>
      <c r="AJ297" s="16">
        <v>1.7857142857142856E-2</v>
      </c>
      <c r="AK297" s="16">
        <v>1.7857142857142856E-2</v>
      </c>
      <c r="AL297" s="16">
        <v>1.7857142857142856E-2</v>
      </c>
      <c r="AM297" s="16">
        <v>1.7857142857142856E-2</v>
      </c>
      <c r="AN297" s="16">
        <v>1.7857142857142856E-2</v>
      </c>
      <c r="AO297" s="16">
        <v>1.7857142857142856E-2</v>
      </c>
      <c r="AP297" s="16">
        <v>1.7857142857142856E-2</v>
      </c>
      <c r="AQ297" s="16">
        <v>1.7857142857142856E-2</v>
      </c>
      <c r="AR297" s="16">
        <v>1.7857142857142856E-2</v>
      </c>
      <c r="AS297" s="16">
        <v>1.7857142857142856E-2</v>
      </c>
      <c r="AT297" s="16">
        <v>1.7857142857142856E-2</v>
      </c>
      <c r="AU297" s="16">
        <v>1.7857142857142856E-2</v>
      </c>
      <c r="AV297" s="16">
        <v>1.7857142857142856E-2</v>
      </c>
      <c r="AW297" s="16">
        <v>1.7857142857142856E-2</v>
      </c>
      <c r="AX297" s="16">
        <v>1.7857142857142856E-2</v>
      </c>
      <c r="AY297" s="16">
        <v>1.7857142857142856E-2</v>
      </c>
      <c r="AZ297" s="16">
        <v>1.7857142857142856E-2</v>
      </c>
      <c r="BA297" s="16">
        <v>1.7857142857142856E-2</v>
      </c>
      <c r="BB297" s="16">
        <v>1.7857142857142856E-2</v>
      </c>
      <c r="BC297" s="16">
        <v>1.7857142857142856E-2</v>
      </c>
      <c r="BD297" s="16">
        <v>1.7857142857142856E-2</v>
      </c>
      <c r="BE297" s="16">
        <v>1.7857142857142856E-2</v>
      </c>
      <c r="BF297" s="16">
        <v>1.7857142857142856E-2</v>
      </c>
      <c r="BG297" s="16" t="s">
        <v>788</v>
      </c>
      <c r="BH297" s="16" t="s">
        <v>788</v>
      </c>
      <c r="BI297" s="16" t="s">
        <v>788</v>
      </c>
      <c r="BJ297" s="16" t="s">
        <v>788</v>
      </c>
    </row>
    <row r="298" spans="1:62" ht="12" customHeight="1">
      <c r="A298" s="14" t="s">
        <v>844</v>
      </c>
      <c r="B298" s="31">
        <v>297</v>
      </c>
      <c r="C298" s="16">
        <v>1.7543859649122806E-2</v>
      </c>
      <c r="D298" s="16">
        <v>1.7543859649122806E-2</v>
      </c>
      <c r="E298" s="16">
        <v>1.7543859649122806E-2</v>
      </c>
      <c r="F298" s="16">
        <v>1.7543859649122806E-2</v>
      </c>
      <c r="G298" s="16">
        <v>1.7543859649122806E-2</v>
      </c>
      <c r="H298" s="16">
        <v>1.7543859649122806E-2</v>
      </c>
      <c r="I298" s="16">
        <v>1.7543859649122806E-2</v>
      </c>
      <c r="J298" s="16">
        <v>1.7543859649122806E-2</v>
      </c>
      <c r="K298" s="16">
        <v>1.7543859649122806E-2</v>
      </c>
      <c r="L298" s="16">
        <v>1.7543859649122806E-2</v>
      </c>
      <c r="M298" s="16">
        <v>1.7543859649122806E-2</v>
      </c>
      <c r="N298" s="16">
        <v>1.7543859649122806E-2</v>
      </c>
      <c r="O298" s="16">
        <v>1.7543859649122806E-2</v>
      </c>
      <c r="P298" s="16">
        <v>1.7543859649122806E-2</v>
      </c>
      <c r="Q298" s="16">
        <v>1.7543859649122806E-2</v>
      </c>
      <c r="R298" s="16">
        <v>1.7543859649122806E-2</v>
      </c>
      <c r="S298" s="16">
        <v>1.7543859649122806E-2</v>
      </c>
      <c r="T298" s="16">
        <v>1.7543859649122806E-2</v>
      </c>
      <c r="U298" s="16">
        <v>1.7543859649122806E-2</v>
      </c>
      <c r="V298" s="16">
        <v>1.7543859649122806E-2</v>
      </c>
      <c r="W298" s="16">
        <v>1.7543859649122806E-2</v>
      </c>
      <c r="X298" s="16">
        <v>1.7543859649122806E-2</v>
      </c>
      <c r="Y298" s="16">
        <v>1.7543859649122806E-2</v>
      </c>
      <c r="Z298" s="16">
        <v>1.7543859649122806E-2</v>
      </c>
      <c r="AA298" s="16">
        <v>1.7543859649122806E-2</v>
      </c>
      <c r="AB298" s="16">
        <v>1.7543859649122806E-2</v>
      </c>
      <c r="AC298" s="16">
        <v>1.7543859649122806E-2</v>
      </c>
      <c r="AD298" s="16">
        <v>1.7543859649122806E-2</v>
      </c>
      <c r="AE298" s="16">
        <v>1.7543859649122806E-2</v>
      </c>
      <c r="AF298" s="16">
        <v>1.7543859649122806E-2</v>
      </c>
      <c r="AG298" s="16">
        <v>1.7543859649122806E-2</v>
      </c>
      <c r="AH298" s="16">
        <v>1.7543859649122806E-2</v>
      </c>
      <c r="AI298" s="16">
        <v>1.7543859649122806E-2</v>
      </c>
      <c r="AJ298" s="16">
        <v>1.7543859649122806E-2</v>
      </c>
      <c r="AK298" s="16">
        <v>1.7543859649122806E-2</v>
      </c>
      <c r="AL298" s="16">
        <v>1.7543859649122806E-2</v>
      </c>
      <c r="AM298" s="16">
        <v>1.7543859649122806E-2</v>
      </c>
      <c r="AN298" s="16">
        <v>1.7543859649122806E-2</v>
      </c>
      <c r="AO298" s="16">
        <v>1.7543859649122806E-2</v>
      </c>
      <c r="AP298" s="16">
        <v>1.7543859649122806E-2</v>
      </c>
      <c r="AQ298" s="16">
        <v>1.7543859649122806E-2</v>
      </c>
      <c r="AR298" s="16">
        <v>1.7543859649122806E-2</v>
      </c>
      <c r="AS298" s="16">
        <v>1.7543859649122806E-2</v>
      </c>
      <c r="AT298" s="16">
        <v>1.7543859649122806E-2</v>
      </c>
      <c r="AU298" s="16">
        <v>1.7543859649122806E-2</v>
      </c>
      <c r="AV298" s="16">
        <v>1.7543859649122806E-2</v>
      </c>
      <c r="AW298" s="16">
        <v>1.7543859649122806E-2</v>
      </c>
      <c r="AX298" s="16">
        <v>1.7543859649122806E-2</v>
      </c>
      <c r="AY298" s="16">
        <v>1.7543859649122806E-2</v>
      </c>
      <c r="AZ298" s="16">
        <v>1.7543859649122806E-2</v>
      </c>
      <c r="BA298" s="16">
        <v>1.7543859649122806E-2</v>
      </c>
      <c r="BB298" s="16">
        <v>1.7543859649122806E-2</v>
      </c>
      <c r="BC298" s="16">
        <v>1.7543859649122806E-2</v>
      </c>
      <c r="BD298" s="16">
        <v>1.7543859649122806E-2</v>
      </c>
      <c r="BE298" s="16">
        <v>1.7543859649122806E-2</v>
      </c>
      <c r="BF298" s="16">
        <v>1.7543859649122806E-2</v>
      </c>
      <c r="BG298" s="16">
        <v>1.7543859649122806E-2</v>
      </c>
      <c r="BH298" s="16" t="s">
        <v>788</v>
      </c>
      <c r="BI298" s="16" t="s">
        <v>788</v>
      </c>
      <c r="BJ298" s="16" t="s">
        <v>788</v>
      </c>
    </row>
    <row r="299" spans="1:62" ht="12" customHeight="1">
      <c r="A299" s="14" t="s">
        <v>845</v>
      </c>
      <c r="B299" s="31">
        <v>298</v>
      </c>
      <c r="C299" s="16">
        <v>1.7241379310344827E-2</v>
      </c>
      <c r="D299" s="16">
        <v>1.7241379310344827E-2</v>
      </c>
      <c r="E299" s="16">
        <v>1.7241379310344827E-2</v>
      </c>
      <c r="F299" s="16">
        <v>1.7241379310344827E-2</v>
      </c>
      <c r="G299" s="16">
        <v>1.7241379310344827E-2</v>
      </c>
      <c r="H299" s="16">
        <v>1.7241379310344827E-2</v>
      </c>
      <c r="I299" s="16">
        <v>1.7241379310344827E-2</v>
      </c>
      <c r="J299" s="16">
        <v>1.7241379310344827E-2</v>
      </c>
      <c r="K299" s="16">
        <v>1.7241379310344827E-2</v>
      </c>
      <c r="L299" s="16">
        <v>1.7241379310344827E-2</v>
      </c>
      <c r="M299" s="16">
        <v>1.7241379310344827E-2</v>
      </c>
      <c r="N299" s="16">
        <v>1.7241379310344827E-2</v>
      </c>
      <c r="O299" s="16">
        <v>1.7241379310344827E-2</v>
      </c>
      <c r="P299" s="16">
        <v>1.7241379310344827E-2</v>
      </c>
      <c r="Q299" s="16">
        <v>1.7241379310344827E-2</v>
      </c>
      <c r="R299" s="16">
        <v>1.7241379310344827E-2</v>
      </c>
      <c r="S299" s="16">
        <v>1.7241379310344827E-2</v>
      </c>
      <c r="T299" s="16">
        <v>1.7241379310344827E-2</v>
      </c>
      <c r="U299" s="16">
        <v>1.7241379310344827E-2</v>
      </c>
      <c r="V299" s="16">
        <v>1.7241379310344827E-2</v>
      </c>
      <c r="W299" s="16">
        <v>1.7241379310344827E-2</v>
      </c>
      <c r="X299" s="16">
        <v>1.7241379310344827E-2</v>
      </c>
      <c r="Y299" s="16">
        <v>1.7241379310344827E-2</v>
      </c>
      <c r="Z299" s="16">
        <v>1.7241379310344827E-2</v>
      </c>
      <c r="AA299" s="16">
        <v>1.7241379310344827E-2</v>
      </c>
      <c r="AB299" s="16">
        <v>1.7241379310344827E-2</v>
      </c>
      <c r="AC299" s="16">
        <v>1.7241379310344827E-2</v>
      </c>
      <c r="AD299" s="16">
        <v>1.7241379310344827E-2</v>
      </c>
      <c r="AE299" s="16">
        <v>1.7241379310344827E-2</v>
      </c>
      <c r="AF299" s="16">
        <v>1.7241379310344827E-2</v>
      </c>
      <c r="AG299" s="16">
        <v>1.7241379310344827E-2</v>
      </c>
      <c r="AH299" s="16">
        <v>1.7241379310344827E-2</v>
      </c>
      <c r="AI299" s="16">
        <v>1.7241379310344827E-2</v>
      </c>
      <c r="AJ299" s="16">
        <v>1.7241379310344827E-2</v>
      </c>
      <c r="AK299" s="16">
        <v>1.7241379310344827E-2</v>
      </c>
      <c r="AL299" s="16">
        <v>1.7241379310344827E-2</v>
      </c>
      <c r="AM299" s="16">
        <v>1.7241379310344827E-2</v>
      </c>
      <c r="AN299" s="16">
        <v>1.7241379310344827E-2</v>
      </c>
      <c r="AO299" s="16">
        <v>1.7241379310344827E-2</v>
      </c>
      <c r="AP299" s="16">
        <v>1.7241379310344827E-2</v>
      </c>
      <c r="AQ299" s="16">
        <v>1.7241379310344827E-2</v>
      </c>
      <c r="AR299" s="16">
        <v>1.7241379310344827E-2</v>
      </c>
      <c r="AS299" s="16">
        <v>1.7241379310344827E-2</v>
      </c>
      <c r="AT299" s="16">
        <v>1.7241379310344827E-2</v>
      </c>
      <c r="AU299" s="16">
        <v>1.7241379310344827E-2</v>
      </c>
      <c r="AV299" s="16">
        <v>1.7241379310344827E-2</v>
      </c>
      <c r="AW299" s="16">
        <v>1.7241379310344827E-2</v>
      </c>
      <c r="AX299" s="16">
        <v>1.7241379310344827E-2</v>
      </c>
      <c r="AY299" s="16">
        <v>1.7241379310344827E-2</v>
      </c>
      <c r="AZ299" s="16">
        <v>1.7241379310344827E-2</v>
      </c>
      <c r="BA299" s="16">
        <v>1.7241379310344827E-2</v>
      </c>
      <c r="BB299" s="16">
        <v>1.7241379310344827E-2</v>
      </c>
      <c r="BC299" s="16">
        <v>1.7241379310344827E-2</v>
      </c>
      <c r="BD299" s="16">
        <v>1.7241379310344827E-2</v>
      </c>
      <c r="BE299" s="16">
        <v>1.7241379310344827E-2</v>
      </c>
      <c r="BF299" s="16">
        <v>1.7241379310344827E-2</v>
      </c>
      <c r="BG299" s="16">
        <v>1.7241379310344827E-2</v>
      </c>
      <c r="BH299" s="16">
        <v>1.7241379310344827E-2</v>
      </c>
      <c r="BI299" s="16" t="s">
        <v>788</v>
      </c>
      <c r="BJ299" s="16" t="s">
        <v>788</v>
      </c>
    </row>
    <row r="300" spans="1:62" ht="12" customHeight="1">
      <c r="A300" s="14" t="s">
        <v>846</v>
      </c>
      <c r="B300" s="31">
        <v>299</v>
      </c>
      <c r="C300" s="16">
        <v>1.6949152542372881E-2</v>
      </c>
      <c r="D300" s="16">
        <v>1.6949152542372881E-2</v>
      </c>
      <c r="E300" s="16">
        <v>1.6949152542372881E-2</v>
      </c>
      <c r="F300" s="16">
        <v>1.6949152542372881E-2</v>
      </c>
      <c r="G300" s="16">
        <v>1.6949152542372881E-2</v>
      </c>
      <c r="H300" s="16">
        <v>1.6949152542372881E-2</v>
      </c>
      <c r="I300" s="16">
        <v>1.6949152542372881E-2</v>
      </c>
      <c r="J300" s="16">
        <v>1.6949152542372881E-2</v>
      </c>
      <c r="K300" s="16">
        <v>1.6949152542372881E-2</v>
      </c>
      <c r="L300" s="16">
        <v>1.6949152542372881E-2</v>
      </c>
      <c r="M300" s="16">
        <v>1.6949152542372881E-2</v>
      </c>
      <c r="N300" s="16">
        <v>1.6949152542372881E-2</v>
      </c>
      <c r="O300" s="16">
        <v>1.6949152542372881E-2</v>
      </c>
      <c r="P300" s="16">
        <v>1.6949152542372881E-2</v>
      </c>
      <c r="Q300" s="16">
        <v>1.6949152542372881E-2</v>
      </c>
      <c r="R300" s="16">
        <v>1.6949152542372881E-2</v>
      </c>
      <c r="S300" s="16">
        <v>1.6949152542372881E-2</v>
      </c>
      <c r="T300" s="16">
        <v>1.6949152542372881E-2</v>
      </c>
      <c r="U300" s="16">
        <v>1.6949152542372881E-2</v>
      </c>
      <c r="V300" s="16">
        <v>1.6949152542372881E-2</v>
      </c>
      <c r="W300" s="16">
        <v>1.6949152542372881E-2</v>
      </c>
      <c r="X300" s="16">
        <v>1.6949152542372881E-2</v>
      </c>
      <c r="Y300" s="16">
        <v>1.6949152542372881E-2</v>
      </c>
      <c r="Z300" s="16">
        <v>1.6949152542372881E-2</v>
      </c>
      <c r="AA300" s="16">
        <v>1.6949152542372881E-2</v>
      </c>
      <c r="AB300" s="16">
        <v>1.6949152542372881E-2</v>
      </c>
      <c r="AC300" s="16">
        <v>1.6949152542372881E-2</v>
      </c>
      <c r="AD300" s="16">
        <v>1.6949152542372881E-2</v>
      </c>
      <c r="AE300" s="16">
        <v>1.6949152542372881E-2</v>
      </c>
      <c r="AF300" s="16">
        <v>1.6949152542372881E-2</v>
      </c>
      <c r="AG300" s="16">
        <v>1.6949152542372881E-2</v>
      </c>
      <c r="AH300" s="16">
        <v>1.6949152542372881E-2</v>
      </c>
      <c r="AI300" s="16">
        <v>1.6949152542372881E-2</v>
      </c>
      <c r="AJ300" s="16">
        <v>1.6949152542372881E-2</v>
      </c>
      <c r="AK300" s="16">
        <v>1.6949152542372881E-2</v>
      </c>
      <c r="AL300" s="16">
        <v>1.6949152542372881E-2</v>
      </c>
      <c r="AM300" s="16">
        <v>1.6949152542372881E-2</v>
      </c>
      <c r="AN300" s="16">
        <v>1.6949152542372881E-2</v>
      </c>
      <c r="AO300" s="16">
        <v>1.6949152542372881E-2</v>
      </c>
      <c r="AP300" s="16">
        <v>1.6949152542372881E-2</v>
      </c>
      <c r="AQ300" s="16">
        <v>1.6949152542372881E-2</v>
      </c>
      <c r="AR300" s="16">
        <v>1.6949152542372881E-2</v>
      </c>
      <c r="AS300" s="16">
        <v>1.6949152542372881E-2</v>
      </c>
      <c r="AT300" s="16">
        <v>1.6949152542372881E-2</v>
      </c>
      <c r="AU300" s="16">
        <v>1.6949152542372881E-2</v>
      </c>
      <c r="AV300" s="16">
        <v>1.6949152542372881E-2</v>
      </c>
      <c r="AW300" s="16">
        <v>1.6949152542372881E-2</v>
      </c>
      <c r="AX300" s="16">
        <v>1.6949152542372881E-2</v>
      </c>
      <c r="AY300" s="16">
        <v>1.6949152542372881E-2</v>
      </c>
      <c r="AZ300" s="16">
        <v>1.6949152542372881E-2</v>
      </c>
      <c r="BA300" s="16">
        <v>1.6949152542372881E-2</v>
      </c>
      <c r="BB300" s="16">
        <v>1.6949152542372881E-2</v>
      </c>
      <c r="BC300" s="16">
        <v>1.6949152542372881E-2</v>
      </c>
      <c r="BD300" s="16">
        <v>1.6949152542372881E-2</v>
      </c>
      <c r="BE300" s="16">
        <v>1.6949152542372881E-2</v>
      </c>
      <c r="BF300" s="16">
        <v>1.6949152542372881E-2</v>
      </c>
      <c r="BG300" s="16">
        <v>1.6949152542372881E-2</v>
      </c>
      <c r="BH300" s="16">
        <v>1.6949152542372881E-2</v>
      </c>
      <c r="BI300" s="16">
        <v>1.6949152542372881E-2</v>
      </c>
      <c r="BJ300" s="16" t="s">
        <v>788</v>
      </c>
    </row>
    <row r="301" spans="1:62" ht="12" customHeight="1">
      <c r="A301" s="14" t="s">
        <v>847</v>
      </c>
      <c r="B301" s="31">
        <v>300</v>
      </c>
      <c r="C301" s="16">
        <v>1.6666666666666666E-2</v>
      </c>
      <c r="D301" s="16">
        <v>1.6666666666666666E-2</v>
      </c>
      <c r="E301" s="16">
        <v>1.6666666666666666E-2</v>
      </c>
      <c r="F301" s="16">
        <v>1.6666666666666666E-2</v>
      </c>
      <c r="G301" s="16">
        <v>1.6666666666666666E-2</v>
      </c>
      <c r="H301" s="16">
        <v>1.6666666666666666E-2</v>
      </c>
      <c r="I301" s="16">
        <v>1.6666666666666666E-2</v>
      </c>
      <c r="J301" s="16">
        <v>1.6666666666666666E-2</v>
      </c>
      <c r="K301" s="16">
        <v>1.6666666666666666E-2</v>
      </c>
      <c r="L301" s="16">
        <v>1.6666666666666666E-2</v>
      </c>
      <c r="M301" s="16">
        <v>1.6666666666666666E-2</v>
      </c>
      <c r="N301" s="16">
        <v>1.6666666666666666E-2</v>
      </c>
      <c r="O301" s="16">
        <v>1.6666666666666666E-2</v>
      </c>
      <c r="P301" s="16">
        <v>1.6666666666666666E-2</v>
      </c>
      <c r="Q301" s="16">
        <v>1.6666666666666666E-2</v>
      </c>
      <c r="R301" s="16">
        <v>1.6666666666666666E-2</v>
      </c>
      <c r="S301" s="16">
        <v>1.6666666666666666E-2</v>
      </c>
      <c r="T301" s="16">
        <v>1.6666666666666666E-2</v>
      </c>
      <c r="U301" s="16">
        <v>1.6666666666666666E-2</v>
      </c>
      <c r="V301" s="16">
        <v>1.6666666666666666E-2</v>
      </c>
      <c r="W301" s="16">
        <v>1.6666666666666666E-2</v>
      </c>
      <c r="X301" s="16">
        <v>1.6666666666666666E-2</v>
      </c>
      <c r="Y301" s="16">
        <v>1.6666666666666666E-2</v>
      </c>
      <c r="Z301" s="16">
        <v>1.6666666666666666E-2</v>
      </c>
      <c r="AA301" s="16">
        <v>1.6666666666666666E-2</v>
      </c>
      <c r="AB301" s="16">
        <v>1.6666666666666666E-2</v>
      </c>
      <c r="AC301" s="16">
        <v>1.6666666666666666E-2</v>
      </c>
      <c r="AD301" s="16">
        <v>1.6666666666666666E-2</v>
      </c>
      <c r="AE301" s="16">
        <v>1.6666666666666666E-2</v>
      </c>
      <c r="AF301" s="16">
        <v>1.6666666666666666E-2</v>
      </c>
      <c r="AG301" s="16">
        <v>1.6666666666666666E-2</v>
      </c>
      <c r="AH301" s="16">
        <v>1.6666666666666666E-2</v>
      </c>
      <c r="AI301" s="16">
        <v>1.6666666666666666E-2</v>
      </c>
      <c r="AJ301" s="16">
        <v>1.6666666666666666E-2</v>
      </c>
      <c r="AK301" s="16">
        <v>1.6666666666666666E-2</v>
      </c>
      <c r="AL301" s="16">
        <v>1.6666666666666666E-2</v>
      </c>
      <c r="AM301" s="16">
        <v>1.6666666666666666E-2</v>
      </c>
      <c r="AN301" s="16">
        <v>1.6666666666666666E-2</v>
      </c>
      <c r="AO301" s="16">
        <v>1.6666666666666666E-2</v>
      </c>
      <c r="AP301" s="16">
        <v>1.6666666666666666E-2</v>
      </c>
      <c r="AQ301" s="16">
        <v>1.6666666666666666E-2</v>
      </c>
      <c r="AR301" s="16">
        <v>1.6666666666666666E-2</v>
      </c>
      <c r="AS301" s="16">
        <v>1.6666666666666666E-2</v>
      </c>
      <c r="AT301" s="16">
        <v>1.6666666666666666E-2</v>
      </c>
      <c r="AU301" s="16">
        <v>1.6666666666666666E-2</v>
      </c>
      <c r="AV301" s="16">
        <v>1.6666666666666666E-2</v>
      </c>
      <c r="AW301" s="16">
        <v>1.6666666666666666E-2</v>
      </c>
      <c r="AX301" s="16">
        <v>1.6666666666666666E-2</v>
      </c>
      <c r="AY301" s="16">
        <v>1.6666666666666666E-2</v>
      </c>
      <c r="AZ301" s="16">
        <v>1.6666666666666666E-2</v>
      </c>
      <c r="BA301" s="16">
        <v>1.6666666666666666E-2</v>
      </c>
      <c r="BB301" s="16">
        <v>1.6666666666666666E-2</v>
      </c>
      <c r="BC301" s="16">
        <v>1.6666666666666666E-2</v>
      </c>
      <c r="BD301" s="16">
        <v>1.6666666666666666E-2</v>
      </c>
      <c r="BE301" s="16">
        <v>1.6666666666666666E-2</v>
      </c>
      <c r="BF301" s="16">
        <v>1.6666666666666666E-2</v>
      </c>
      <c r="BG301" s="16">
        <v>1.6666666666666666E-2</v>
      </c>
      <c r="BH301" s="16">
        <v>1.6666666666666666E-2</v>
      </c>
      <c r="BI301" s="16">
        <v>1.6666666666666666E-2</v>
      </c>
      <c r="BJ301" s="16">
        <v>1.6666666666666666E-2</v>
      </c>
    </row>
    <row r="303" spans="1:62" ht="12" customHeight="1">
      <c r="A303" s="30" t="s">
        <v>545</v>
      </c>
    </row>
    <row r="304" spans="1:62" ht="12" customHeight="1">
      <c r="A304" s="14">
        <v>38</v>
      </c>
    </row>
    <row r="305" spans="1:1" ht="12" customHeight="1">
      <c r="A305" s="14">
        <v>50</v>
      </c>
    </row>
    <row r="306" spans="1:1" ht="12" customHeight="1">
      <c r="A306" s="14">
        <v>60</v>
      </c>
    </row>
    <row r="307" spans="1:1" ht="12" customHeight="1">
      <c r="A307" s="14">
        <v>70</v>
      </c>
    </row>
    <row r="308" spans="1:1" ht="12" customHeight="1">
      <c r="A308" s="14" t="s">
        <v>371</v>
      </c>
    </row>
  </sheetData>
  <phoneticPr fontId="8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F6EF-A4D3-4D5F-AAD4-A2415DBF8D81}">
  <sheetPr codeName="Planilha5">
    <outlinePr summaryBelow="0" summaryRight="0"/>
  </sheetPr>
  <dimension ref="B2:BP773"/>
  <sheetViews>
    <sheetView zoomScale="85" zoomScaleNormal="85" workbookViewId="0">
      <pane xSplit="5" ySplit="3" topLeftCell="F677" activePane="bottomRight" state="frozen"/>
      <selection pane="bottomRight" activeCell="G670" sqref="G670"/>
      <selection pane="bottomLeft" activeCell="A4" sqref="A4"/>
      <selection pane="topRight" activeCell="F1" sqref="F1"/>
    </sheetView>
  </sheetViews>
  <sheetFormatPr defaultColWidth="8.85546875" defaultRowHeight="9.9499999999999993" outlineLevelRow="1" outlineLevelCol="1"/>
  <cols>
    <col min="1" max="1" width="0.85546875" style="71" customWidth="1"/>
    <col min="2" max="2" width="4.85546875" style="71" customWidth="1"/>
    <col min="3" max="3" width="40.85546875" style="71" customWidth="1"/>
    <col min="4" max="5" width="8.85546875" style="71" customWidth="1"/>
    <col min="6" max="6" width="0.85546875" style="71" customWidth="1" outlineLevel="1"/>
    <col min="7" max="66" width="5.85546875" style="71" customWidth="1" outlineLevel="1"/>
    <col min="67" max="67" width="0.85546875" style="71" customWidth="1"/>
    <col min="68" max="68" width="10.85546875" style="71" customWidth="1"/>
    <col min="69" max="70" width="12.85546875" style="71" customWidth="1"/>
    <col min="71" max="16384" width="8.85546875" style="71"/>
  </cols>
  <sheetData>
    <row r="2" spans="2:66" ht="24" customHeight="1">
      <c r="B2" s="613" t="s">
        <v>848</v>
      </c>
      <c r="C2" s="613"/>
      <c r="D2" s="613"/>
      <c r="E2" s="613"/>
      <c r="F2" s="65"/>
      <c r="G2" s="141" t="s">
        <v>355</v>
      </c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 t="s">
        <v>356</v>
      </c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 t="s">
        <v>357</v>
      </c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 t="s">
        <v>358</v>
      </c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1"/>
      <c r="BC2" s="141" t="s">
        <v>359</v>
      </c>
      <c r="BD2" s="141"/>
      <c r="BE2" s="141"/>
      <c r="BF2" s="141"/>
      <c r="BG2" s="141"/>
      <c r="BH2" s="141"/>
      <c r="BI2" s="141"/>
      <c r="BJ2" s="141"/>
      <c r="BK2" s="141"/>
      <c r="BL2" s="141"/>
      <c r="BM2" s="141"/>
      <c r="BN2" s="141"/>
    </row>
    <row r="3" spans="2:66" ht="24" customHeight="1" collapsed="1">
      <c r="B3" s="613"/>
      <c r="C3" s="613"/>
      <c r="D3" s="613"/>
      <c r="E3" s="613"/>
      <c r="F3" s="65"/>
      <c r="G3" s="142">
        <v>1</v>
      </c>
      <c r="H3" s="142">
        <v>2</v>
      </c>
      <c r="I3" s="142">
        <v>3</v>
      </c>
      <c r="J3" s="142">
        <v>4</v>
      </c>
      <c r="K3" s="142">
        <v>5</v>
      </c>
      <c r="L3" s="142">
        <v>6</v>
      </c>
      <c r="M3" s="142">
        <v>7</v>
      </c>
      <c r="N3" s="142">
        <v>8</v>
      </c>
      <c r="O3" s="142">
        <v>9</v>
      </c>
      <c r="P3" s="142">
        <v>10</v>
      </c>
      <c r="Q3" s="142">
        <v>11</v>
      </c>
      <c r="R3" s="142">
        <v>12</v>
      </c>
      <c r="S3" s="142">
        <v>13</v>
      </c>
      <c r="T3" s="142">
        <v>14</v>
      </c>
      <c r="U3" s="142">
        <v>15</v>
      </c>
      <c r="V3" s="142">
        <v>16</v>
      </c>
      <c r="W3" s="142">
        <v>17</v>
      </c>
      <c r="X3" s="142">
        <v>18</v>
      </c>
      <c r="Y3" s="142">
        <v>19</v>
      </c>
      <c r="Z3" s="142">
        <v>20</v>
      </c>
      <c r="AA3" s="142">
        <v>21</v>
      </c>
      <c r="AB3" s="142">
        <v>22</v>
      </c>
      <c r="AC3" s="142">
        <v>23</v>
      </c>
      <c r="AD3" s="142">
        <v>24</v>
      </c>
      <c r="AE3" s="142">
        <v>25</v>
      </c>
      <c r="AF3" s="142">
        <v>26</v>
      </c>
      <c r="AG3" s="142">
        <v>27</v>
      </c>
      <c r="AH3" s="142">
        <v>28</v>
      </c>
      <c r="AI3" s="142">
        <v>29</v>
      </c>
      <c r="AJ3" s="142">
        <v>30</v>
      </c>
      <c r="AK3" s="142">
        <v>31</v>
      </c>
      <c r="AL3" s="142">
        <v>32</v>
      </c>
      <c r="AM3" s="142">
        <v>33</v>
      </c>
      <c r="AN3" s="142">
        <v>34</v>
      </c>
      <c r="AO3" s="142">
        <v>35</v>
      </c>
      <c r="AP3" s="142">
        <v>36</v>
      </c>
      <c r="AQ3" s="142">
        <v>37</v>
      </c>
      <c r="AR3" s="142">
        <v>38</v>
      </c>
      <c r="AS3" s="142">
        <v>39</v>
      </c>
      <c r="AT3" s="142">
        <v>40</v>
      </c>
      <c r="AU3" s="142">
        <v>41</v>
      </c>
      <c r="AV3" s="142">
        <v>42</v>
      </c>
      <c r="AW3" s="142">
        <v>43</v>
      </c>
      <c r="AX3" s="142">
        <v>44</v>
      </c>
      <c r="AY3" s="142">
        <v>45</v>
      </c>
      <c r="AZ3" s="142">
        <v>46</v>
      </c>
      <c r="BA3" s="142">
        <v>47</v>
      </c>
      <c r="BB3" s="142">
        <v>48</v>
      </c>
      <c r="BC3" s="142">
        <v>49</v>
      </c>
      <c r="BD3" s="142">
        <v>50</v>
      </c>
      <c r="BE3" s="142">
        <v>51</v>
      </c>
      <c r="BF3" s="142">
        <v>52</v>
      </c>
      <c r="BG3" s="142">
        <v>53</v>
      </c>
      <c r="BH3" s="142">
        <v>54</v>
      </c>
      <c r="BI3" s="142">
        <v>55</v>
      </c>
      <c r="BJ3" s="142">
        <v>56</v>
      </c>
      <c r="BK3" s="142">
        <v>57</v>
      </c>
      <c r="BL3" s="142">
        <v>58</v>
      </c>
      <c r="BM3" s="142">
        <v>59</v>
      </c>
      <c r="BN3" s="142">
        <v>60</v>
      </c>
    </row>
    <row r="4" spans="2:66" ht="12" customHeight="1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</row>
    <row r="5" spans="2:66" ht="24" customHeight="1">
      <c r="B5" s="613" t="s">
        <v>849</v>
      </c>
      <c r="C5" s="613"/>
      <c r="D5" s="613"/>
      <c r="E5" s="613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</row>
    <row r="6" spans="2:66" ht="24" customHeight="1" collapsed="1">
      <c r="B6" s="142" t="s">
        <v>196</v>
      </c>
      <c r="C6" s="142" t="s">
        <v>253</v>
      </c>
      <c r="D6" s="142" t="s">
        <v>255</v>
      </c>
      <c r="E6" s="142" t="s">
        <v>850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</row>
    <row r="7" spans="2:66" ht="12" hidden="1" customHeight="1" outlineLevel="1">
      <c r="B7" s="76">
        <v>1</v>
      </c>
      <c r="C7" s="143" t="str">
        <f>IFERROR(VLOOKUP(B7,'Cronog. e Histog.'!$BZ$213:$CA$747,2,0),"")</f>
        <v>GER. (OBRA/PROJ)</v>
      </c>
      <c r="D7" s="144">
        <f t="shared" ref="D7:D70" si="0">IFERROR(ROUNDUP(SUM(G7:BN7)/COUNTIF(G7:BN7,"&gt;0"),0),0)</f>
        <v>1</v>
      </c>
      <c r="E7" s="144">
        <f t="shared" ref="E7:E70" si="1">COUNTIF(G7:BN7,"&gt;0")</f>
        <v>10</v>
      </c>
      <c r="F7" s="65"/>
      <c r="G7" s="144">
        <f>IFERROR(_xlfn.XLOOKUP($B7,'Cronog. e Histog.'!$BZ:$BZ,'Cronog. e Histog.'!CB:CB),"")</f>
        <v>0.02</v>
      </c>
      <c r="H7" s="144">
        <f>IFERROR(_xlfn.XLOOKUP($B7,'Cronog. e Histog.'!$BZ:$BZ,'Cronog. e Histog.'!CC:CC),"")</f>
        <v>0.02</v>
      </c>
      <c r="I7" s="144">
        <f>IFERROR(_xlfn.XLOOKUP($B7,'Cronog. e Histog.'!$BZ:$BZ,'Cronog. e Histog.'!CD:CD),"")</f>
        <v>0.02</v>
      </c>
      <c r="J7" s="144">
        <f>IFERROR(_xlfn.XLOOKUP($B7,'Cronog. e Histog.'!$BZ:$BZ,'Cronog. e Histog.'!CE:CE),"")</f>
        <v>0.02</v>
      </c>
      <c r="K7" s="144">
        <f>IFERROR(_xlfn.XLOOKUP($B7,'Cronog. e Histog.'!$BZ:$BZ,'Cronog. e Histog.'!CF:CF),"")</f>
        <v>0.02</v>
      </c>
      <c r="L7" s="144">
        <f>IFERROR(_xlfn.XLOOKUP($B7,'Cronog. e Histog.'!$BZ:$BZ,'Cronog. e Histog.'!CG:CG),"")</f>
        <v>0.02</v>
      </c>
      <c r="M7" s="144">
        <f>IFERROR(_xlfn.XLOOKUP($B7,'Cronog. e Histog.'!$BZ:$BZ,'Cronog. e Histog.'!CH:CH),"")</f>
        <v>0.02</v>
      </c>
      <c r="N7" s="144">
        <f>IFERROR(_xlfn.XLOOKUP($B7,'Cronog. e Histog.'!$BZ:$BZ,'Cronog. e Histog.'!CI:CI),"")</f>
        <v>0.02</v>
      </c>
      <c r="O7" s="144">
        <f>IFERROR(_xlfn.XLOOKUP($B7,'Cronog. e Histog.'!$BZ:$BZ,'Cronog. e Histog.'!CJ:CJ),"")</f>
        <v>0.02</v>
      </c>
      <c r="P7" s="144">
        <f>IFERROR(_xlfn.XLOOKUP($B7,'Cronog. e Histog.'!$BZ:$BZ,'Cronog. e Histog.'!CK:CK),"")</f>
        <v>0.02</v>
      </c>
      <c r="Q7" s="144">
        <f>IFERROR(_xlfn.XLOOKUP($B7,'Cronog. e Histog.'!$BZ:$BZ,'Cronog. e Histog.'!CL:CL),"")</f>
        <v>0</v>
      </c>
      <c r="R7" s="144">
        <f>IFERROR(_xlfn.XLOOKUP($B7,'Cronog. e Histog.'!$BZ:$BZ,'Cronog. e Histog.'!CM:CM),"")</f>
        <v>0</v>
      </c>
      <c r="S7" s="144">
        <f>IFERROR(_xlfn.XLOOKUP($B7,'Cronog. e Histog.'!$BZ:$BZ,'Cronog. e Histog.'!CN:CN),"")</f>
        <v>0</v>
      </c>
      <c r="T7" s="144">
        <f>IFERROR(_xlfn.XLOOKUP($B7,'Cronog. e Histog.'!$BZ:$BZ,'Cronog. e Histog.'!CO:CO),"")</f>
        <v>0</v>
      </c>
      <c r="U7" s="144">
        <f>IFERROR(_xlfn.XLOOKUP($B7,'Cronog. e Histog.'!$BZ:$BZ,'Cronog. e Histog.'!CP:CP),"")</f>
        <v>0</v>
      </c>
      <c r="V7" s="144">
        <f>IFERROR(_xlfn.XLOOKUP($B7,'Cronog. e Histog.'!$BZ:$BZ,'Cronog. e Histog.'!CQ:CQ),"")</f>
        <v>0</v>
      </c>
      <c r="W7" s="144">
        <f>IFERROR(_xlfn.XLOOKUP($B7,'Cronog. e Histog.'!$BZ:$BZ,'Cronog. e Histog.'!CR:CR),"")</f>
        <v>0</v>
      </c>
      <c r="X7" s="144">
        <f>IFERROR(_xlfn.XLOOKUP($B7,'Cronog. e Histog.'!$BZ:$BZ,'Cronog. e Histog.'!CS:CS),"")</f>
        <v>0</v>
      </c>
      <c r="Y7" s="144">
        <f>IFERROR(_xlfn.XLOOKUP($B7,'Cronog. e Histog.'!$BZ:$BZ,'Cronog. e Histog.'!CT:CT),"")</f>
        <v>0</v>
      </c>
      <c r="Z7" s="144">
        <f>IFERROR(_xlfn.XLOOKUP($B7,'Cronog. e Histog.'!$BZ:$BZ,'Cronog. e Histog.'!CU:CU),"")</f>
        <v>0</v>
      </c>
      <c r="AA7" s="144">
        <f>IFERROR(_xlfn.XLOOKUP($B7,'Cronog. e Histog.'!$BZ:$BZ,'Cronog. e Histog.'!CV:CV),"")</f>
        <v>0</v>
      </c>
      <c r="AB7" s="144">
        <f>IFERROR(_xlfn.XLOOKUP($B7,'Cronog. e Histog.'!$BZ:$BZ,'Cronog. e Histog.'!CW:CW),"")</f>
        <v>0</v>
      </c>
      <c r="AC7" s="144">
        <f>IFERROR(_xlfn.XLOOKUP($B7,'Cronog. e Histog.'!$BZ:$BZ,'Cronog. e Histog.'!CX:CX),"")</f>
        <v>0</v>
      </c>
      <c r="AD7" s="144">
        <f>IFERROR(_xlfn.XLOOKUP($B7,'Cronog. e Histog.'!$BZ:$BZ,'Cronog. e Histog.'!CY:CY),"")</f>
        <v>0</v>
      </c>
      <c r="AE7" s="144">
        <f>IFERROR(_xlfn.XLOOKUP($B7,'Cronog. e Histog.'!$BZ:$BZ,'Cronog. e Histog.'!CZ:CZ),"")</f>
        <v>0</v>
      </c>
      <c r="AF7" s="144">
        <f>IFERROR(_xlfn.XLOOKUP($B7,'Cronog. e Histog.'!$BZ:$BZ,'Cronog. e Histog.'!DA:DA),"")</f>
        <v>0</v>
      </c>
      <c r="AG7" s="144">
        <f>IFERROR(_xlfn.XLOOKUP($B7,'Cronog. e Histog.'!$BZ:$BZ,'Cronog. e Histog.'!DB:DB),"")</f>
        <v>0</v>
      </c>
      <c r="AH7" s="144">
        <f>IFERROR(_xlfn.XLOOKUP($B7,'Cronog. e Histog.'!$BZ:$BZ,'Cronog. e Histog.'!DC:DC),"")</f>
        <v>0</v>
      </c>
      <c r="AI7" s="144">
        <f>IFERROR(_xlfn.XLOOKUP($B7,'Cronog. e Histog.'!$BZ:$BZ,'Cronog. e Histog.'!DD:DD),"")</f>
        <v>0</v>
      </c>
      <c r="AJ7" s="144">
        <f>IFERROR(_xlfn.XLOOKUP($B7,'Cronog. e Histog.'!$BZ:$BZ,'Cronog. e Histog.'!DE:DE),"")</f>
        <v>0</v>
      </c>
      <c r="AK7" s="144">
        <f>IFERROR(_xlfn.XLOOKUP($B7,'Cronog. e Histog.'!$BZ:$BZ,'Cronog. e Histog.'!DF:DF),"")</f>
        <v>0</v>
      </c>
      <c r="AL7" s="144">
        <f>IFERROR(_xlfn.XLOOKUP($B7,'Cronog. e Histog.'!$BZ:$BZ,'Cronog. e Histog.'!DG:DG),"")</f>
        <v>0</v>
      </c>
      <c r="AM7" s="144">
        <f>IFERROR(_xlfn.XLOOKUP($B7,'Cronog. e Histog.'!$BZ:$BZ,'Cronog. e Histog.'!DH:DH),"")</f>
        <v>0</v>
      </c>
      <c r="AN7" s="144">
        <f>IFERROR(_xlfn.XLOOKUP($B7,'Cronog. e Histog.'!$BZ:$BZ,'Cronog. e Histog.'!DI:DI),"")</f>
        <v>0</v>
      </c>
      <c r="AO7" s="144">
        <f>IFERROR(_xlfn.XLOOKUP($B7,'Cronog. e Histog.'!$BZ:$BZ,'Cronog. e Histog.'!DJ:DJ),"")</f>
        <v>0</v>
      </c>
      <c r="AP7" s="144">
        <f>IFERROR(_xlfn.XLOOKUP($B7,'Cronog. e Histog.'!$BZ:$BZ,'Cronog. e Histog.'!DK:DK),"")</f>
        <v>0</v>
      </c>
      <c r="AQ7" s="144">
        <f>IFERROR(_xlfn.XLOOKUP($B7,'Cronog. e Histog.'!$BZ:$BZ,'Cronog. e Histog.'!DL:DL),"")</f>
        <v>0</v>
      </c>
      <c r="AR7" s="144">
        <f>IFERROR(_xlfn.XLOOKUP($B7,'Cronog. e Histog.'!$BZ:$BZ,'Cronog. e Histog.'!DM:DM),"")</f>
        <v>0</v>
      </c>
      <c r="AS7" s="144">
        <f>IFERROR(_xlfn.XLOOKUP($B7,'Cronog. e Histog.'!$BZ:$BZ,'Cronog. e Histog.'!DN:DN),"")</f>
        <v>0</v>
      </c>
      <c r="AT7" s="144">
        <f>IFERROR(_xlfn.XLOOKUP($B7,'Cronog. e Histog.'!$BZ:$BZ,'Cronog. e Histog.'!DO:DO),"")</f>
        <v>0</v>
      </c>
      <c r="AU7" s="144">
        <f>IFERROR(_xlfn.XLOOKUP($B7,'Cronog. e Histog.'!$BZ:$BZ,'Cronog. e Histog.'!DP:DP),"")</f>
        <v>0</v>
      </c>
      <c r="AV7" s="144">
        <f>IFERROR(_xlfn.XLOOKUP($B7,'Cronog. e Histog.'!$BZ:$BZ,'Cronog. e Histog.'!DQ:DQ),"")</f>
        <v>0</v>
      </c>
      <c r="AW7" s="144">
        <f>IFERROR(_xlfn.XLOOKUP($B7,'Cronog. e Histog.'!$BZ:$BZ,'Cronog. e Histog.'!DR:DR),"")</f>
        <v>0</v>
      </c>
      <c r="AX7" s="144">
        <f>IFERROR(_xlfn.XLOOKUP($B7,'Cronog. e Histog.'!$BZ:$BZ,'Cronog. e Histog.'!DS:DS),"")</f>
        <v>0</v>
      </c>
      <c r="AY7" s="144">
        <f>IFERROR(_xlfn.XLOOKUP($B7,'Cronog. e Histog.'!$BZ:$BZ,'Cronog. e Histog.'!DT:DT),"")</f>
        <v>0</v>
      </c>
      <c r="AZ7" s="144">
        <f>IFERROR(_xlfn.XLOOKUP($B7,'Cronog. e Histog.'!$BZ:$BZ,'Cronog. e Histog.'!DU:DU),"")</f>
        <v>0</v>
      </c>
      <c r="BA7" s="144">
        <f>IFERROR(_xlfn.XLOOKUP($B7,'Cronog. e Histog.'!$BZ:$BZ,'Cronog. e Histog.'!DV:DV),"")</f>
        <v>0</v>
      </c>
      <c r="BB7" s="144">
        <f>IFERROR(_xlfn.XLOOKUP($B7,'Cronog. e Histog.'!$BZ:$BZ,'Cronog. e Histog.'!DW:DW),"")</f>
        <v>0</v>
      </c>
      <c r="BC7" s="144">
        <f>IFERROR(_xlfn.XLOOKUP($B7,'Cronog. e Histog.'!$BZ:$BZ,'Cronog. e Histog.'!DX:DX),"")</f>
        <v>0</v>
      </c>
      <c r="BD7" s="144">
        <f>IFERROR(_xlfn.XLOOKUP($B7,'Cronog. e Histog.'!$BZ:$BZ,'Cronog. e Histog.'!DY:DY),"")</f>
        <v>0</v>
      </c>
      <c r="BE7" s="144">
        <f>IFERROR(_xlfn.XLOOKUP($B7,'Cronog. e Histog.'!$BZ:$BZ,'Cronog. e Histog.'!DZ:DZ),"")</f>
        <v>0</v>
      </c>
      <c r="BF7" s="144">
        <f>IFERROR(_xlfn.XLOOKUP($B7,'Cronog. e Histog.'!$BZ:$BZ,'Cronog. e Histog.'!EA:EA),"")</f>
        <v>0</v>
      </c>
      <c r="BG7" s="144">
        <f>IFERROR(_xlfn.XLOOKUP($B7,'Cronog. e Histog.'!$BZ:$BZ,'Cronog. e Histog.'!EB:EB),"")</f>
        <v>0</v>
      </c>
      <c r="BH7" s="144">
        <f>IFERROR(_xlfn.XLOOKUP($B7,'Cronog. e Histog.'!$BZ:$BZ,'Cronog. e Histog.'!EC:EC),"")</f>
        <v>0</v>
      </c>
      <c r="BI7" s="144">
        <f>IFERROR(_xlfn.XLOOKUP($B7,'Cronog. e Histog.'!$BZ:$BZ,'Cronog. e Histog.'!ED:ED),"")</f>
        <v>0</v>
      </c>
      <c r="BJ7" s="144">
        <f>IFERROR(_xlfn.XLOOKUP($B7,'Cronog. e Histog.'!$BZ:$BZ,'Cronog. e Histog.'!EE:EE),"")</f>
        <v>0</v>
      </c>
      <c r="BK7" s="144">
        <f>IFERROR(_xlfn.XLOOKUP($B7,'Cronog. e Histog.'!$BZ:$BZ,'Cronog. e Histog.'!EF:EF),"")</f>
        <v>0</v>
      </c>
      <c r="BL7" s="144">
        <f>IFERROR(_xlfn.XLOOKUP($B7,'Cronog. e Histog.'!$BZ:$BZ,'Cronog. e Histog.'!EG:EG),"")</f>
        <v>0</v>
      </c>
      <c r="BM7" s="144">
        <f>IFERROR(_xlfn.XLOOKUP($B7,'Cronog. e Histog.'!$BZ:$BZ,'Cronog. e Histog.'!EH:EH),"")</f>
        <v>0</v>
      </c>
      <c r="BN7" s="144">
        <f>IFERROR(_xlfn.XLOOKUP($B7,'Cronog. e Histog.'!$BZ:$BZ,'Cronog. e Histog.'!EI:EI),"")</f>
        <v>0</v>
      </c>
    </row>
    <row r="8" spans="2:66" ht="12" hidden="1" customHeight="1" outlineLevel="1">
      <c r="B8" s="76">
        <v>2</v>
      </c>
      <c r="C8" s="143" t="str">
        <f>IFERROR(VLOOKUP(B8,'Cronog. e Histog.'!$BZ$213:$CA$747,2,0),"")</f>
        <v>COORD.</v>
      </c>
      <c r="D8" s="144">
        <f t="shared" si="0"/>
        <v>1</v>
      </c>
      <c r="E8" s="144">
        <f t="shared" si="1"/>
        <v>10</v>
      </c>
      <c r="F8" s="65"/>
      <c r="G8" s="144">
        <f>IFERROR(_xlfn.XLOOKUP($B8,'Cronog. e Histog.'!$BZ:$BZ,'Cronog. e Histog.'!CB:CB),"")</f>
        <v>1</v>
      </c>
      <c r="H8" s="144">
        <f>IFERROR(_xlfn.XLOOKUP($B8,'Cronog. e Histog.'!$BZ:$BZ,'Cronog. e Histog.'!CC:CC),"")</f>
        <v>1</v>
      </c>
      <c r="I8" s="144">
        <f>IFERROR(_xlfn.XLOOKUP($B8,'Cronog. e Histog.'!$BZ:$BZ,'Cronog. e Histog.'!CD:CD),"")</f>
        <v>1</v>
      </c>
      <c r="J8" s="144">
        <f>IFERROR(_xlfn.XLOOKUP($B8,'Cronog. e Histog.'!$BZ:$BZ,'Cronog. e Histog.'!CE:CE),"")</f>
        <v>1</v>
      </c>
      <c r="K8" s="144">
        <f>IFERROR(_xlfn.XLOOKUP($B8,'Cronog. e Histog.'!$BZ:$BZ,'Cronog. e Histog.'!CF:CF),"")</f>
        <v>1</v>
      </c>
      <c r="L8" s="144">
        <f>IFERROR(_xlfn.XLOOKUP($B8,'Cronog. e Histog.'!$BZ:$BZ,'Cronog. e Histog.'!CG:CG),"")</f>
        <v>1</v>
      </c>
      <c r="M8" s="144">
        <f>IFERROR(_xlfn.XLOOKUP($B8,'Cronog. e Histog.'!$BZ:$BZ,'Cronog. e Histog.'!CH:CH),"")</f>
        <v>1</v>
      </c>
      <c r="N8" s="144">
        <f>IFERROR(_xlfn.XLOOKUP($B8,'Cronog. e Histog.'!$BZ:$BZ,'Cronog. e Histog.'!CI:CI),"")</f>
        <v>1</v>
      </c>
      <c r="O8" s="144">
        <f>IFERROR(_xlfn.XLOOKUP($B8,'Cronog. e Histog.'!$BZ:$BZ,'Cronog. e Histog.'!CJ:CJ),"")</f>
        <v>1</v>
      </c>
      <c r="P8" s="144">
        <f>IFERROR(_xlfn.XLOOKUP($B8,'Cronog. e Histog.'!$BZ:$BZ,'Cronog. e Histog.'!CK:CK),"")</f>
        <v>1</v>
      </c>
      <c r="Q8" s="144">
        <f>IFERROR(_xlfn.XLOOKUP($B8,'Cronog. e Histog.'!$BZ:$BZ,'Cronog. e Histog.'!CL:CL),"")</f>
        <v>0</v>
      </c>
      <c r="R8" s="144">
        <f>IFERROR(_xlfn.XLOOKUP($B8,'Cronog. e Histog.'!$BZ:$BZ,'Cronog. e Histog.'!CM:CM),"")</f>
        <v>0</v>
      </c>
      <c r="S8" s="144">
        <f>IFERROR(_xlfn.XLOOKUP($B8,'Cronog. e Histog.'!$BZ:$BZ,'Cronog. e Histog.'!CN:CN),"")</f>
        <v>0</v>
      </c>
      <c r="T8" s="144">
        <f>IFERROR(_xlfn.XLOOKUP($B8,'Cronog. e Histog.'!$BZ:$BZ,'Cronog. e Histog.'!CO:CO),"")</f>
        <v>0</v>
      </c>
      <c r="U8" s="144">
        <f>IFERROR(_xlfn.XLOOKUP($B8,'Cronog. e Histog.'!$BZ:$BZ,'Cronog. e Histog.'!CP:CP),"")</f>
        <v>0</v>
      </c>
      <c r="V8" s="144">
        <f>IFERROR(_xlfn.XLOOKUP($B8,'Cronog. e Histog.'!$BZ:$BZ,'Cronog. e Histog.'!CQ:CQ),"")</f>
        <v>0</v>
      </c>
      <c r="W8" s="144">
        <f>IFERROR(_xlfn.XLOOKUP($B8,'Cronog. e Histog.'!$BZ:$BZ,'Cronog. e Histog.'!CR:CR),"")</f>
        <v>0</v>
      </c>
      <c r="X8" s="144">
        <f>IFERROR(_xlfn.XLOOKUP($B8,'Cronog. e Histog.'!$BZ:$BZ,'Cronog. e Histog.'!CS:CS),"")</f>
        <v>0</v>
      </c>
      <c r="Y8" s="144">
        <f>IFERROR(_xlfn.XLOOKUP($B8,'Cronog. e Histog.'!$BZ:$BZ,'Cronog. e Histog.'!CT:CT),"")</f>
        <v>0</v>
      </c>
      <c r="Z8" s="144">
        <f>IFERROR(_xlfn.XLOOKUP($B8,'Cronog. e Histog.'!$BZ:$BZ,'Cronog. e Histog.'!CU:CU),"")</f>
        <v>0</v>
      </c>
      <c r="AA8" s="144">
        <f>IFERROR(_xlfn.XLOOKUP($B8,'Cronog. e Histog.'!$BZ:$BZ,'Cronog. e Histog.'!CV:CV),"")</f>
        <v>0</v>
      </c>
      <c r="AB8" s="144">
        <f>IFERROR(_xlfn.XLOOKUP($B8,'Cronog. e Histog.'!$BZ:$BZ,'Cronog. e Histog.'!CW:CW),"")</f>
        <v>0</v>
      </c>
      <c r="AC8" s="144">
        <f>IFERROR(_xlfn.XLOOKUP($B8,'Cronog. e Histog.'!$BZ:$BZ,'Cronog. e Histog.'!CX:CX),"")</f>
        <v>0</v>
      </c>
      <c r="AD8" s="144">
        <f>IFERROR(_xlfn.XLOOKUP($B8,'Cronog. e Histog.'!$BZ:$BZ,'Cronog. e Histog.'!CY:CY),"")</f>
        <v>0</v>
      </c>
      <c r="AE8" s="144">
        <f>IFERROR(_xlfn.XLOOKUP($B8,'Cronog. e Histog.'!$BZ:$BZ,'Cronog. e Histog.'!CZ:CZ),"")</f>
        <v>0</v>
      </c>
      <c r="AF8" s="144">
        <f>IFERROR(_xlfn.XLOOKUP($B8,'Cronog. e Histog.'!$BZ:$BZ,'Cronog. e Histog.'!DA:DA),"")</f>
        <v>0</v>
      </c>
      <c r="AG8" s="144">
        <f>IFERROR(_xlfn.XLOOKUP($B8,'Cronog. e Histog.'!$BZ:$BZ,'Cronog. e Histog.'!DB:DB),"")</f>
        <v>0</v>
      </c>
      <c r="AH8" s="144">
        <f>IFERROR(_xlfn.XLOOKUP($B8,'Cronog. e Histog.'!$BZ:$BZ,'Cronog. e Histog.'!DC:DC),"")</f>
        <v>0</v>
      </c>
      <c r="AI8" s="144">
        <f>IFERROR(_xlfn.XLOOKUP($B8,'Cronog. e Histog.'!$BZ:$BZ,'Cronog. e Histog.'!DD:DD),"")</f>
        <v>0</v>
      </c>
      <c r="AJ8" s="144">
        <f>IFERROR(_xlfn.XLOOKUP($B8,'Cronog. e Histog.'!$BZ:$BZ,'Cronog. e Histog.'!DE:DE),"")</f>
        <v>0</v>
      </c>
      <c r="AK8" s="144">
        <f>IFERROR(_xlfn.XLOOKUP($B8,'Cronog. e Histog.'!$BZ:$BZ,'Cronog. e Histog.'!DF:DF),"")</f>
        <v>0</v>
      </c>
      <c r="AL8" s="144">
        <f>IFERROR(_xlfn.XLOOKUP($B8,'Cronog. e Histog.'!$BZ:$BZ,'Cronog. e Histog.'!DG:DG),"")</f>
        <v>0</v>
      </c>
      <c r="AM8" s="144">
        <f>IFERROR(_xlfn.XLOOKUP($B8,'Cronog. e Histog.'!$BZ:$BZ,'Cronog. e Histog.'!DH:DH),"")</f>
        <v>0</v>
      </c>
      <c r="AN8" s="144">
        <f>IFERROR(_xlfn.XLOOKUP($B8,'Cronog. e Histog.'!$BZ:$BZ,'Cronog. e Histog.'!DI:DI),"")</f>
        <v>0</v>
      </c>
      <c r="AO8" s="144">
        <f>IFERROR(_xlfn.XLOOKUP($B8,'Cronog. e Histog.'!$BZ:$BZ,'Cronog. e Histog.'!DJ:DJ),"")</f>
        <v>0</v>
      </c>
      <c r="AP8" s="144">
        <f>IFERROR(_xlfn.XLOOKUP($B8,'Cronog. e Histog.'!$BZ:$BZ,'Cronog. e Histog.'!DK:DK),"")</f>
        <v>0</v>
      </c>
      <c r="AQ8" s="144">
        <f>IFERROR(_xlfn.XLOOKUP($B8,'Cronog. e Histog.'!$BZ:$BZ,'Cronog. e Histog.'!DL:DL),"")</f>
        <v>0</v>
      </c>
      <c r="AR8" s="144">
        <f>IFERROR(_xlfn.XLOOKUP($B8,'Cronog. e Histog.'!$BZ:$BZ,'Cronog. e Histog.'!DM:DM),"")</f>
        <v>0</v>
      </c>
      <c r="AS8" s="144">
        <f>IFERROR(_xlfn.XLOOKUP($B8,'Cronog. e Histog.'!$BZ:$BZ,'Cronog. e Histog.'!DN:DN),"")</f>
        <v>0</v>
      </c>
      <c r="AT8" s="144">
        <f>IFERROR(_xlfn.XLOOKUP($B8,'Cronog. e Histog.'!$BZ:$BZ,'Cronog. e Histog.'!DO:DO),"")</f>
        <v>0</v>
      </c>
      <c r="AU8" s="144">
        <f>IFERROR(_xlfn.XLOOKUP($B8,'Cronog. e Histog.'!$BZ:$BZ,'Cronog. e Histog.'!DP:DP),"")</f>
        <v>0</v>
      </c>
      <c r="AV8" s="144">
        <f>IFERROR(_xlfn.XLOOKUP($B8,'Cronog. e Histog.'!$BZ:$BZ,'Cronog. e Histog.'!DQ:DQ),"")</f>
        <v>0</v>
      </c>
      <c r="AW8" s="144">
        <f>IFERROR(_xlfn.XLOOKUP($B8,'Cronog. e Histog.'!$BZ:$BZ,'Cronog. e Histog.'!DR:DR),"")</f>
        <v>0</v>
      </c>
      <c r="AX8" s="144">
        <f>IFERROR(_xlfn.XLOOKUP($B8,'Cronog. e Histog.'!$BZ:$BZ,'Cronog. e Histog.'!DS:DS),"")</f>
        <v>0</v>
      </c>
      <c r="AY8" s="144">
        <f>IFERROR(_xlfn.XLOOKUP($B8,'Cronog. e Histog.'!$BZ:$BZ,'Cronog. e Histog.'!DT:DT),"")</f>
        <v>0</v>
      </c>
      <c r="AZ8" s="144">
        <f>IFERROR(_xlfn.XLOOKUP($B8,'Cronog. e Histog.'!$BZ:$BZ,'Cronog. e Histog.'!DU:DU),"")</f>
        <v>0</v>
      </c>
      <c r="BA8" s="144">
        <f>IFERROR(_xlfn.XLOOKUP($B8,'Cronog. e Histog.'!$BZ:$BZ,'Cronog. e Histog.'!DV:DV),"")</f>
        <v>0</v>
      </c>
      <c r="BB8" s="144">
        <f>IFERROR(_xlfn.XLOOKUP($B8,'Cronog. e Histog.'!$BZ:$BZ,'Cronog. e Histog.'!DW:DW),"")</f>
        <v>0</v>
      </c>
      <c r="BC8" s="144">
        <f>IFERROR(_xlfn.XLOOKUP($B8,'Cronog. e Histog.'!$BZ:$BZ,'Cronog. e Histog.'!DX:DX),"")</f>
        <v>0</v>
      </c>
      <c r="BD8" s="144">
        <f>IFERROR(_xlfn.XLOOKUP($B8,'Cronog. e Histog.'!$BZ:$BZ,'Cronog. e Histog.'!DY:DY),"")</f>
        <v>0</v>
      </c>
      <c r="BE8" s="144">
        <f>IFERROR(_xlfn.XLOOKUP($B8,'Cronog. e Histog.'!$BZ:$BZ,'Cronog. e Histog.'!DZ:DZ),"")</f>
        <v>0</v>
      </c>
      <c r="BF8" s="144">
        <f>IFERROR(_xlfn.XLOOKUP($B8,'Cronog. e Histog.'!$BZ:$BZ,'Cronog. e Histog.'!EA:EA),"")</f>
        <v>0</v>
      </c>
      <c r="BG8" s="144">
        <f>IFERROR(_xlfn.XLOOKUP($B8,'Cronog. e Histog.'!$BZ:$BZ,'Cronog. e Histog.'!EB:EB),"")</f>
        <v>0</v>
      </c>
      <c r="BH8" s="144">
        <f>IFERROR(_xlfn.XLOOKUP($B8,'Cronog. e Histog.'!$BZ:$BZ,'Cronog. e Histog.'!EC:EC),"")</f>
        <v>0</v>
      </c>
      <c r="BI8" s="144">
        <f>IFERROR(_xlfn.XLOOKUP($B8,'Cronog. e Histog.'!$BZ:$BZ,'Cronog. e Histog.'!ED:ED),"")</f>
        <v>0</v>
      </c>
      <c r="BJ8" s="144">
        <f>IFERROR(_xlfn.XLOOKUP($B8,'Cronog. e Histog.'!$BZ:$BZ,'Cronog. e Histog.'!EE:EE),"")</f>
        <v>0</v>
      </c>
      <c r="BK8" s="144">
        <f>IFERROR(_xlfn.XLOOKUP($B8,'Cronog. e Histog.'!$BZ:$BZ,'Cronog. e Histog.'!EF:EF),"")</f>
        <v>0</v>
      </c>
      <c r="BL8" s="144">
        <f>IFERROR(_xlfn.XLOOKUP($B8,'Cronog. e Histog.'!$BZ:$BZ,'Cronog. e Histog.'!EG:EG),"")</f>
        <v>0</v>
      </c>
      <c r="BM8" s="144">
        <f>IFERROR(_xlfn.XLOOKUP($B8,'Cronog. e Histog.'!$BZ:$BZ,'Cronog. e Histog.'!EH:EH),"")</f>
        <v>0</v>
      </c>
      <c r="BN8" s="144">
        <f>IFERROR(_xlfn.XLOOKUP($B8,'Cronog. e Histog.'!$BZ:$BZ,'Cronog. e Histog.'!EI:EI),"")</f>
        <v>0</v>
      </c>
    </row>
    <row r="9" spans="2:66" ht="12" hidden="1" customHeight="1" outlineLevel="1">
      <c r="B9" s="76">
        <v>3</v>
      </c>
      <c r="C9" s="143" t="str">
        <f>IFERROR(VLOOKUP(B9,'Cronog. e Histog.'!$BZ$213:$CA$747,2,0),"")</f>
        <v>SUP.-ESP</v>
      </c>
      <c r="D9" s="144">
        <f t="shared" si="0"/>
        <v>0</v>
      </c>
      <c r="E9" s="144">
        <f t="shared" si="1"/>
        <v>0</v>
      </c>
      <c r="F9" s="65"/>
      <c r="G9" s="144">
        <f>IFERROR(_xlfn.XLOOKUP($B9,'Cronog. e Histog.'!$BZ:$BZ,'Cronog. e Histog.'!CB:CB),"")</f>
        <v>0</v>
      </c>
      <c r="H9" s="144">
        <f>IFERROR(_xlfn.XLOOKUP($B9,'Cronog. e Histog.'!$BZ:$BZ,'Cronog. e Histog.'!CC:CC),"")</f>
        <v>0</v>
      </c>
      <c r="I9" s="144">
        <f>IFERROR(_xlfn.XLOOKUP($B9,'Cronog. e Histog.'!$BZ:$BZ,'Cronog. e Histog.'!CD:CD),"")</f>
        <v>0</v>
      </c>
      <c r="J9" s="144">
        <f>IFERROR(_xlfn.XLOOKUP($B9,'Cronog. e Histog.'!$BZ:$BZ,'Cronog. e Histog.'!CE:CE),"")</f>
        <v>0</v>
      </c>
      <c r="K9" s="144">
        <f>IFERROR(_xlfn.XLOOKUP($B9,'Cronog. e Histog.'!$BZ:$BZ,'Cronog. e Histog.'!CF:CF),"")</f>
        <v>0</v>
      </c>
      <c r="L9" s="144">
        <f>IFERROR(_xlfn.XLOOKUP($B9,'Cronog. e Histog.'!$BZ:$BZ,'Cronog. e Histog.'!CG:CG),"")</f>
        <v>0</v>
      </c>
      <c r="M9" s="144">
        <f>IFERROR(_xlfn.XLOOKUP($B9,'Cronog. e Histog.'!$BZ:$BZ,'Cronog. e Histog.'!CH:CH),"")</f>
        <v>0</v>
      </c>
      <c r="N9" s="144">
        <f>IFERROR(_xlfn.XLOOKUP($B9,'Cronog. e Histog.'!$BZ:$BZ,'Cronog. e Histog.'!CI:CI),"")</f>
        <v>0</v>
      </c>
      <c r="O9" s="144">
        <f>IFERROR(_xlfn.XLOOKUP($B9,'Cronog. e Histog.'!$BZ:$BZ,'Cronog. e Histog.'!CJ:CJ),"")</f>
        <v>0</v>
      </c>
      <c r="P9" s="144">
        <f>IFERROR(_xlfn.XLOOKUP($B9,'Cronog. e Histog.'!$BZ:$BZ,'Cronog. e Histog.'!CK:CK),"")</f>
        <v>0</v>
      </c>
      <c r="Q9" s="144">
        <f>IFERROR(_xlfn.XLOOKUP($B9,'Cronog. e Histog.'!$BZ:$BZ,'Cronog. e Histog.'!CL:CL),"")</f>
        <v>0</v>
      </c>
      <c r="R9" s="144">
        <f>IFERROR(_xlfn.XLOOKUP($B9,'Cronog. e Histog.'!$BZ:$BZ,'Cronog. e Histog.'!CM:CM),"")</f>
        <v>0</v>
      </c>
      <c r="S9" s="144">
        <f>IFERROR(_xlfn.XLOOKUP($B9,'Cronog. e Histog.'!$BZ:$BZ,'Cronog. e Histog.'!CN:CN),"")</f>
        <v>0</v>
      </c>
      <c r="T9" s="144">
        <f>IFERROR(_xlfn.XLOOKUP($B9,'Cronog. e Histog.'!$BZ:$BZ,'Cronog. e Histog.'!CO:CO),"")</f>
        <v>0</v>
      </c>
      <c r="U9" s="144">
        <f>IFERROR(_xlfn.XLOOKUP($B9,'Cronog. e Histog.'!$BZ:$BZ,'Cronog. e Histog.'!CP:CP),"")</f>
        <v>0</v>
      </c>
      <c r="V9" s="144">
        <f>IFERROR(_xlfn.XLOOKUP($B9,'Cronog. e Histog.'!$BZ:$BZ,'Cronog. e Histog.'!CQ:CQ),"")</f>
        <v>0</v>
      </c>
      <c r="W9" s="144">
        <f>IFERROR(_xlfn.XLOOKUP($B9,'Cronog. e Histog.'!$BZ:$BZ,'Cronog. e Histog.'!CR:CR),"")</f>
        <v>0</v>
      </c>
      <c r="X9" s="144">
        <f>IFERROR(_xlfn.XLOOKUP($B9,'Cronog. e Histog.'!$BZ:$BZ,'Cronog. e Histog.'!CS:CS),"")</f>
        <v>0</v>
      </c>
      <c r="Y9" s="144">
        <f>IFERROR(_xlfn.XLOOKUP($B9,'Cronog. e Histog.'!$BZ:$BZ,'Cronog. e Histog.'!CT:CT),"")</f>
        <v>0</v>
      </c>
      <c r="Z9" s="144">
        <f>IFERROR(_xlfn.XLOOKUP($B9,'Cronog. e Histog.'!$BZ:$BZ,'Cronog. e Histog.'!CU:CU),"")</f>
        <v>0</v>
      </c>
      <c r="AA9" s="144">
        <f>IFERROR(_xlfn.XLOOKUP($B9,'Cronog. e Histog.'!$BZ:$BZ,'Cronog. e Histog.'!CV:CV),"")</f>
        <v>0</v>
      </c>
      <c r="AB9" s="144">
        <f>IFERROR(_xlfn.XLOOKUP($B9,'Cronog. e Histog.'!$BZ:$BZ,'Cronog. e Histog.'!CW:CW),"")</f>
        <v>0</v>
      </c>
      <c r="AC9" s="144">
        <f>IFERROR(_xlfn.XLOOKUP($B9,'Cronog. e Histog.'!$BZ:$BZ,'Cronog. e Histog.'!CX:CX),"")</f>
        <v>0</v>
      </c>
      <c r="AD9" s="144">
        <f>IFERROR(_xlfn.XLOOKUP($B9,'Cronog. e Histog.'!$BZ:$BZ,'Cronog. e Histog.'!CY:CY),"")</f>
        <v>0</v>
      </c>
      <c r="AE9" s="144">
        <f>IFERROR(_xlfn.XLOOKUP($B9,'Cronog. e Histog.'!$BZ:$BZ,'Cronog. e Histog.'!CZ:CZ),"")</f>
        <v>0</v>
      </c>
      <c r="AF9" s="144">
        <f>IFERROR(_xlfn.XLOOKUP($B9,'Cronog. e Histog.'!$BZ:$BZ,'Cronog. e Histog.'!DA:DA),"")</f>
        <v>0</v>
      </c>
      <c r="AG9" s="144">
        <f>IFERROR(_xlfn.XLOOKUP($B9,'Cronog. e Histog.'!$BZ:$BZ,'Cronog. e Histog.'!DB:DB),"")</f>
        <v>0</v>
      </c>
      <c r="AH9" s="144">
        <f>IFERROR(_xlfn.XLOOKUP($B9,'Cronog. e Histog.'!$BZ:$BZ,'Cronog. e Histog.'!DC:DC),"")</f>
        <v>0</v>
      </c>
      <c r="AI9" s="144">
        <f>IFERROR(_xlfn.XLOOKUP($B9,'Cronog. e Histog.'!$BZ:$BZ,'Cronog. e Histog.'!DD:DD),"")</f>
        <v>0</v>
      </c>
      <c r="AJ9" s="144">
        <f>IFERROR(_xlfn.XLOOKUP($B9,'Cronog. e Histog.'!$BZ:$BZ,'Cronog. e Histog.'!DE:DE),"")</f>
        <v>0</v>
      </c>
      <c r="AK9" s="144">
        <f>IFERROR(_xlfn.XLOOKUP($B9,'Cronog. e Histog.'!$BZ:$BZ,'Cronog. e Histog.'!DF:DF),"")</f>
        <v>0</v>
      </c>
      <c r="AL9" s="144">
        <f>IFERROR(_xlfn.XLOOKUP($B9,'Cronog. e Histog.'!$BZ:$BZ,'Cronog. e Histog.'!DG:DG),"")</f>
        <v>0</v>
      </c>
      <c r="AM9" s="144">
        <f>IFERROR(_xlfn.XLOOKUP($B9,'Cronog. e Histog.'!$BZ:$BZ,'Cronog. e Histog.'!DH:DH),"")</f>
        <v>0</v>
      </c>
      <c r="AN9" s="144">
        <f>IFERROR(_xlfn.XLOOKUP($B9,'Cronog. e Histog.'!$BZ:$BZ,'Cronog. e Histog.'!DI:DI),"")</f>
        <v>0</v>
      </c>
      <c r="AO9" s="144">
        <f>IFERROR(_xlfn.XLOOKUP($B9,'Cronog. e Histog.'!$BZ:$BZ,'Cronog. e Histog.'!DJ:DJ),"")</f>
        <v>0</v>
      </c>
      <c r="AP9" s="144">
        <f>IFERROR(_xlfn.XLOOKUP($B9,'Cronog. e Histog.'!$BZ:$BZ,'Cronog. e Histog.'!DK:DK),"")</f>
        <v>0</v>
      </c>
      <c r="AQ9" s="144">
        <f>IFERROR(_xlfn.XLOOKUP($B9,'Cronog. e Histog.'!$BZ:$BZ,'Cronog. e Histog.'!DL:DL),"")</f>
        <v>0</v>
      </c>
      <c r="AR9" s="144">
        <f>IFERROR(_xlfn.XLOOKUP($B9,'Cronog. e Histog.'!$BZ:$BZ,'Cronog. e Histog.'!DM:DM),"")</f>
        <v>0</v>
      </c>
      <c r="AS9" s="144">
        <f>IFERROR(_xlfn.XLOOKUP($B9,'Cronog. e Histog.'!$BZ:$BZ,'Cronog. e Histog.'!DN:DN),"")</f>
        <v>0</v>
      </c>
      <c r="AT9" s="144">
        <f>IFERROR(_xlfn.XLOOKUP($B9,'Cronog. e Histog.'!$BZ:$BZ,'Cronog. e Histog.'!DO:DO),"")</f>
        <v>0</v>
      </c>
      <c r="AU9" s="144">
        <f>IFERROR(_xlfn.XLOOKUP($B9,'Cronog. e Histog.'!$BZ:$BZ,'Cronog. e Histog.'!DP:DP),"")</f>
        <v>0</v>
      </c>
      <c r="AV9" s="144">
        <f>IFERROR(_xlfn.XLOOKUP($B9,'Cronog. e Histog.'!$BZ:$BZ,'Cronog. e Histog.'!DQ:DQ),"")</f>
        <v>0</v>
      </c>
      <c r="AW9" s="144">
        <f>IFERROR(_xlfn.XLOOKUP($B9,'Cronog. e Histog.'!$BZ:$BZ,'Cronog. e Histog.'!DR:DR),"")</f>
        <v>0</v>
      </c>
      <c r="AX9" s="144">
        <f>IFERROR(_xlfn.XLOOKUP($B9,'Cronog. e Histog.'!$BZ:$BZ,'Cronog. e Histog.'!DS:DS),"")</f>
        <v>0</v>
      </c>
      <c r="AY9" s="144">
        <f>IFERROR(_xlfn.XLOOKUP($B9,'Cronog. e Histog.'!$BZ:$BZ,'Cronog. e Histog.'!DT:DT),"")</f>
        <v>0</v>
      </c>
      <c r="AZ9" s="144">
        <f>IFERROR(_xlfn.XLOOKUP($B9,'Cronog. e Histog.'!$BZ:$BZ,'Cronog. e Histog.'!DU:DU),"")</f>
        <v>0</v>
      </c>
      <c r="BA9" s="144">
        <f>IFERROR(_xlfn.XLOOKUP($B9,'Cronog. e Histog.'!$BZ:$BZ,'Cronog. e Histog.'!DV:DV),"")</f>
        <v>0</v>
      </c>
      <c r="BB9" s="144">
        <f>IFERROR(_xlfn.XLOOKUP($B9,'Cronog. e Histog.'!$BZ:$BZ,'Cronog. e Histog.'!DW:DW),"")</f>
        <v>0</v>
      </c>
      <c r="BC9" s="144">
        <f>IFERROR(_xlfn.XLOOKUP($B9,'Cronog. e Histog.'!$BZ:$BZ,'Cronog. e Histog.'!DX:DX),"")</f>
        <v>0</v>
      </c>
      <c r="BD9" s="144">
        <f>IFERROR(_xlfn.XLOOKUP($B9,'Cronog. e Histog.'!$BZ:$BZ,'Cronog. e Histog.'!DY:DY),"")</f>
        <v>0</v>
      </c>
      <c r="BE9" s="144">
        <f>IFERROR(_xlfn.XLOOKUP($B9,'Cronog. e Histog.'!$BZ:$BZ,'Cronog. e Histog.'!DZ:DZ),"")</f>
        <v>0</v>
      </c>
      <c r="BF9" s="144">
        <f>IFERROR(_xlfn.XLOOKUP($B9,'Cronog. e Histog.'!$BZ:$BZ,'Cronog. e Histog.'!EA:EA),"")</f>
        <v>0</v>
      </c>
      <c r="BG9" s="144">
        <f>IFERROR(_xlfn.XLOOKUP($B9,'Cronog. e Histog.'!$BZ:$BZ,'Cronog. e Histog.'!EB:EB),"")</f>
        <v>0</v>
      </c>
      <c r="BH9" s="144">
        <f>IFERROR(_xlfn.XLOOKUP($B9,'Cronog. e Histog.'!$BZ:$BZ,'Cronog. e Histog.'!EC:EC),"")</f>
        <v>0</v>
      </c>
      <c r="BI9" s="144">
        <f>IFERROR(_xlfn.XLOOKUP($B9,'Cronog. e Histog.'!$BZ:$BZ,'Cronog. e Histog.'!ED:ED),"")</f>
        <v>0</v>
      </c>
      <c r="BJ9" s="144">
        <f>IFERROR(_xlfn.XLOOKUP($B9,'Cronog. e Histog.'!$BZ:$BZ,'Cronog. e Histog.'!EE:EE),"")</f>
        <v>0</v>
      </c>
      <c r="BK9" s="144">
        <f>IFERROR(_xlfn.XLOOKUP($B9,'Cronog. e Histog.'!$BZ:$BZ,'Cronog. e Histog.'!EF:EF),"")</f>
        <v>0</v>
      </c>
      <c r="BL9" s="144">
        <f>IFERROR(_xlfn.XLOOKUP($B9,'Cronog. e Histog.'!$BZ:$BZ,'Cronog. e Histog.'!EG:EG),"")</f>
        <v>0</v>
      </c>
      <c r="BM9" s="144">
        <f>IFERROR(_xlfn.XLOOKUP($B9,'Cronog. e Histog.'!$BZ:$BZ,'Cronog. e Histog.'!EH:EH),"")</f>
        <v>0</v>
      </c>
      <c r="BN9" s="144">
        <f>IFERROR(_xlfn.XLOOKUP($B9,'Cronog. e Histog.'!$BZ:$BZ,'Cronog. e Histog.'!EI:EI),"")</f>
        <v>0</v>
      </c>
    </row>
    <row r="10" spans="2:66" ht="12" hidden="1" customHeight="1" outlineLevel="1">
      <c r="B10" s="76">
        <v>4</v>
      </c>
      <c r="C10" s="143" t="str">
        <f>IFERROR(VLOOKUP(B10,'Cronog. e Histog.'!$BZ$213:$CA$747,2,0),"")</f>
        <v>ENG/ARQ SR.</v>
      </c>
      <c r="D10" s="144">
        <f t="shared" si="0"/>
        <v>1</v>
      </c>
      <c r="E10" s="144">
        <f t="shared" si="1"/>
        <v>10</v>
      </c>
      <c r="F10" s="65"/>
      <c r="G10" s="144">
        <f>IFERROR(_xlfn.XLOOKUP($B10,'Cronog. e Histog.'!$BZ:$BZ,'Cronog. e Histog.'!CB:CB),"")</f>
        <v>0.01</v>
      </c>
      <c r="H10" s="144">
        <f>IFERROR(_xlfn.XLOOKUP($B10,'Cronog. e Histog.'!$BZ:$BZ,'Cronog. e Histog.'!CC:CC),"")</f>
        <v>0.01</v>
      </c>
      <c r="I10" s="144">
        <f>IFERROR(_xlfn.XLOOKUP($B10,'Cronog. e Histog.'!$BZ:$BZ,'Cronog. e Histog.'!CD:CD),"")</f>
        <v>0.01</v>
      </c>
      <c r="J10" s="144">
        <f>IFERROR(_xlfn.XLOOKUP($B10,'Cronog. e Histog.'!$BZ:$BZ,'Cronog. e Histog.'!CE:CE),"")</f>
        <v>0.01</v>
      </c>
      <c r="K10" s="144">
        <f>IFERROR(_xlfn.XLOOKUP($B10,'Cronog. e Histog.'!$BZ:$BZ,'Cronog. e Histog.'!CF:CF),"")</f>
        <v>0.01</v>
      </c>
      <c r="L10" s="144">
        <f>IFERROR(_xlfn.XLOOKUP($B10,'Cronog. e Histog.'!$BZ:$BZ,'Cronog. e Histog.'!CG:CG),"")</f>
        <v>0.01</v>
      </c>
      <c r="M10" s="144">
        <f>IFERROR(_xlfn.XLOOKUP($B10,'Cronog. e Histog.'!$BZ:$BZ,'Cronog. e Histog.'!CH:CH),"")</f>
        <v>0.01</v>
      </c>
      <c r="N10" s="144">
        <f>IFERROR(_xlfn.XLOOKUP($B10,'Cronog. e Histog.'!$BZ:$BZ,'Cronog. e Histog.'!CI:CI),"")</f>
        <v>0.01</v>
      </c>
      <c r="O10" s="144">
        <f>IFERROR(_xlfn.XLOOKUP($B10,'Cronog. e Histog.'!$BZ:$BZ,'Cronog. e Histog.'!CJ:CJ),"")</f>
        <v>0.01</v>
      </c>
      <c r="P10" s="144">
        <f>IFERROR(_xlfn.XLOOKUP($B10,'Cronog. e Histog.'!$BZ:$BZ,'Cronog. e Histog.'!CK:CK),"")</f>
        <v>0.01</v>
      </c>
      <c r="Q10" s="144">
        <f>IFERROR(_xlfn.XLOOKUP($B10,'Cronog. e Histog.'!$BZ:$BZ,'Cronog. e Histog.'!CL:CL),"")</f>
        <v>0</v>
      </c>
      <c r="R10" s="144">
        <f>IFERROR(_xlfn.XLOOKUP($B10,'Cronog. e Histog.'!$BZ:$BZ,'Cronog. e Histog.'!CM:CM),"")</f>
        <v>0</v>
      </c>
      <c r="S10" s="144">
        <f>IFERROR(_xlfn.XLOOKUP($B10,'Cronog. e Histog.'!$BZ:$BZ,'Cronog. e Histog.'!CN:CN),"")</f>
        <v>0</v>
      </c>
      <c r="T10" s="144">
        <f>IFERROR(_xlfn.XLOOKUP($B10,'Cronog. e Histog.'!$BZ:$BZ,'Cronog. e Histog.'!CO:CO),"")</f>
        <v>0</v>
      </c>
      <c r="U10" s="144">
        <f>IFERROR(_xlfn.XLOOKUP($B10,'Cronog. e Histog.'!$BZ:$BZ,'Cronog. e Histog.'!CP:CP),"")</f>
        <v>0</v>
      </c>
      <c r="V10" s="144">
        <f>IFERROR(_xlfn.XLOOKUP($B10,'Cronog. e Histog.'!$BZ:$BZ,'Cronog. e Histog.'!CQ:CQ),"")</f>
        <v>0</v>
      </c>
      <c r="W10" s="144">
        <f>IFERROR(_xlfn.XLOOKUP($B10,'Cronog. e Histog.'!$BZ:$BZ,'Cronog. e Histog.'!CR:CR),"")</f>
        <v>0</v>
      </c>
      <c r="X10" s="144">
        <f>IFERROR(_xlfn.XLOOKUP($B10,'Cronog. e Histog.'!$BZ:$BZ,'Cronog. e Histog.'!CS:CS),"")</f>
        <v>0</v>
      </c>
      <c r="Y10" s="144">
        <f>IFERROR(_xlfn.XLOOKUP($B10,'Cronog. e Histog.'!$BZ:$BZ,'Cronog. e Histog.'!CT:CT),"")</f>
        <v>0</v>
      </c>
      <c r="Z10" s="144">
        <f>IFERROR(_xlfn.XLOOKUP($B10,'Cronog. e Histog.'!$BZ:$BZ,'Cronog. e Histog.'!CU:CU),"")</f>
        <v>0</v>
      </c>
      <c r="AA10" s="144">
        <f>IFERROR(_xlfn.XLOOKUP($B10,'Cronog. e Histog.'!$BZ:$BZ,'Cronog. e Histog.'!CV:CV),"")</f>
        <v>0</v>
      </c>
      <c r="AB10" s="144">
        <f>IFERROR(_xlfn.XLOOKUP($B10,'Cronog. e Histog.'!$BZ:$BZ,'Cronog. e Histog.'!CW:CW),"")</f>
        <v>0</v>
      </c>
      <c r="AC10" s="144">
        <f>IFERROR(_xlfn.XLOOKUP($B10,'Cronog. e Histog.'!$BZ:$BZ,'Cronog. e Histog.'!CX:CX),"")</f>
        <v>0</v>
      </c>
      <c r="AD10" s="144">
        <f>IFERROR(_xlfn.XLOOKUP($B10,'Cronog. e Histog.'!$BZ:$BZ,'Cronog. e Histog.'!CY:CY),"")</f>
        <v>0</v>
      </c>
      <c r="AE10" s="144">
        <f>IFERROR(_xlfn.XLOOKUP($B10,'Cronog. e Histog.'!$BZ:$BZ,'Cronog. e Histog.'!CZ:CZ),"")</f>
        <v>0</v>
      </c>
      <c r="AF10" s="144">
        <f>IFERROR(_xlfn.XLOOKUP($B10,'Cronog. e Histog.'!$BZ:$BZ,'Cronog. e Histog.'!DA:DA),"")</f>
        <v>0</v>
      </c>
      <c r="AG10" s="144">
        <f>IFERROR(_xlfn.XLOOKUP($B10,'Cronog. e Histog.'!$BZ:$BZ,'Cronog. e Histog.'!DB:DB),"")</f>
        <v>0</v>
      </c>
      <c r="AH10" s="144">
        <f>IFERROR(_xlfn.XLOOKUP($B10,'Cronog. e Histog.'!$BZ:$BZ,'Cronog. e Histog.'!DC:DC),"")</f>
        <v>0</v>
      </c>
      <c r="AI10" s="144">
        <f>IFERROR(_xlfn.XLOOKUP($B10,'Cronog. e Histog.'!$BZ:$BZ,'Cronog. e Histog.'!DD:DD),"")</f>
        <v>0</v>
      </c>
      <c r="AJ10" s="144">
        <f>IFERROR(_xlfn.XLOOKUP($B10,'Cronog. e Histog.'!$BZ:$BZ,'Cronog. e Histog.'!DE:DE),"")</f>
        <v>0</v>
      </c>
      <c r="AK10" s="144">
        <f>IFERROR(_xlfn.XLOOKUP($B10,'Cronog. e Histog.'!$BZ:$BZ,'Cronog. e Histog.'!DF:DF),"")</f>
        <v>0</v>
      </c>
      <c r="AL10" s="144">
        <f>IFERROR(_xlfn.XLOOKUP($B10,'Cronog. e Histog.'!$BZ:$BZ,'Cronog. e Histog.'!DG:DG),"")</f>
        <v>0</v>
      </c>
      <c r="AM10" s="144">
        <f>IFERROR(_xlfn.XLOOKUP($B10,'Cronog. e Histog.'!$BZ:$BZ,'Cronog. e Histog.'!DH:DH),"")</f>
        <v>0</v>
      </c>
      <c r="AN10" s="144">
        <f>IFERROR(_xlfn.XLOOKUP($B10,'Cronog. e Histog.'!$BZ:$BZ,'Cronog. e Histog.'!DI:DI),"")</f>
        <v>0</v>
      </c>
      <c r="AO10" s="144">
        <f>IFERROR(_xlfn.XLOOKUP($B10,'Cronog. e Histog.'!$BZ:$BZ,'Cronog. e Histog.'!DJ:DJ),"")</f>
        <v>0</v>
      </c>
      <c r="AP10" s="144">
        <f>IFERROR(_xlfn.XLOOKUP($B10,'Cronog. e Histog.'!$BZ:$BZ,'Cronog. e Histog.'!DK:DK),"")</f>
        <v>0</v>
      </c>
      <c r="AQ10" s="144">
        <f>IFERROR(_xlfn.XLOOKUP($B10,'Cronog. e Histog.'!$BZ:$BZ,'Cronog. e Histog.'!DL:DL),"")</f>
        <v>0</v>
      </c>
      <c r="AR10" s="144">
        <f>IFERROR(_xlfn.XLOOKUP($B10,'Cronog. e Histog.'!$BZ:$BZ,'Cronog. e Histog.'!DM:DM),"")</f>
        <v>0</v>
      </c>
      <c r="AS10" s="144">
        <f>IFERROR(_xlfn.XLOOKUP($B10,'Cronog. e Histog.'!$BZ:$BZ,'Cronog. e Histog.'!DN:DN),"")</f>
        <v>0</v>
      </c>
      <c r="AT10" s="144">
        <f>IFERROR(_xlfn.XLOOKUP($B10,'Cronog. e Histog.'!$BZ:$BZ,'Cronog. e Histog.'!DO:DO),"")</f>
        <v>0</v>
      </c>
      <c r="AU10" s="144">
        <f>IFERROR(_xlfn.XLOOKUP($B10,'Cronog. e Histog.'!$BZ:$BZ,'Cronog. e Histog.'!DP:DP),"")</f>
        <v>0</v>
      </c>
      <c r="AV10" s="144">
        <f>IFERROR(_xlfn.XLOOKUP($B10,'Cronog. e Histog.'!$BZ:$BZ,'Cronog. e Histog.'!DQ:DQ),"")</f>
        <v>0</v>
      </c>
      <c r="AW10" s="144">
        <f>IFERROR(_xlfn.XLOOKUP($B10,'Cronog. e Histog.'!$BZ:$BZ,'Cronog. e Histog.'!DR:DR),"")</f>
        <v>0</v>
      </c>
      <c r="AX10" s="144">
        <f>IFERROR(_xlfn.XLOOKUP($B10,'Cronog. e Histog.'!$BZ:$BZ,'Cronog. e Histog.'!DS:DS),"")</f>
        <v>0</v>
      </c>
      <c r="AY10" s="144">
        <f>IFERROR(_xlfn.XLOOKUP($B10,'Cronog. e Histog.'!$BZ:$BZ,'Cronog. e Histog.'!DT:DT),"")</f>
        <v>0</v>
      </c>
      <c r="AZ10" s="144">
        <f>IFERROR(_xlfn.XLOOKUP($B10,'Cronog. e Histog.'!$BZ:$BZ,'Cronog. e Histog.'!DU:DU),"")</f>
        <v>0</v>
      </c>
      <c r="BA10" s="144">
        <f>IFERROR(_xlfn.XLOOKUP($B10,'Cronog. e Histog.'!$BZ:$BZ,'Cronog. e Histog.'!DV:DV),"")</f>
        <v>0</v>
      </c>
      <c r="BB10" s="144">
        <f>IFERROR(_xlfn.XLOOKUP($B10,'Cronog. e Histog.'!$BZ:$BZ,'Cronog. e Histog.'!DW:DW),"")</f>
        <v>0</v>
      </c>
      <c r="BC10" s="144">
        <f>IFERROR(_xlfn.XLOOKUP($B10,'Cronog. e Histog.'!$BZ:$BZ,'Cronog. e Histog.'!DX:DX),"")</f>
        <v>0</v>
      </c>
      <c r="BD10" s="144">
        <f>IFERROR(_xlfn.XLOOKUP($B10,'Cronog. e Histog.'!$BZ:$BZ,'Cronog. e Histog.'!DY:DY),"")</f>
        <v>0</v>
      </c>
      <c r="BE10" s="144">
        <f>IFERROR(_xlfn.XLOOKUP($B10,'Cronog. e Histog.'!$BZ:$BZ,'Cronog. e Histog.'!DZ:DZ),"")</f>
        <v>0</v>
      </c>
      <c r="BF10" s="144">
        <f>IFERROR(_xlfn.XLOOKUP($B10,'Cronog. e Histog.'!$BZ:$BZ,'Cronog. e Histog.'!EA:EA),"")</f>
        <v>0</v>
      </c>
      <c r="BG10" s="144">
        <f>IFERROR(_xlfn.XLOOKUP($B10,'Cronog. e Histog.'!$BZ:$BZ,'Cronog. e Histog.'!EB:EB),"")</f>
        <v>0</v>
      </c>
      <c r="BH10" s="144">
        <f>IFERROR(_xlfn.XLOOKUP($B10,'Cronog. e Histog.'!$BZ:$BZ,'Cronog. e Histog.'!EC:EC),"")</f>
        <v>0</v>
      </c>
      <c r="BI10" s="144">
        <f>IFERROR(_xlfn.XLOOKUP($B10,'Cronog. e Histog.'!$BZ:$BZ,'Cronog. e Histog.'!ED:ED),"")</f>
        <v>0</v>
      </c>
      <c r="BJ10" s="144">
        <f>IFERROR(_xlfn.XLOOKUP($B10,'Cronog. e Histog.'!$BZ:$BZ,'Cronog. e Histog.'!EE:EE),"")</f>
        <v>0</v>
      </c>
      <c r="BK10" s="144">
        <f>IFERROR(_xlfn.XLOOKUP($B10,'Cronog. e Histog.'!$BZ:$BZ,'Cronog. e Histog.'!EF:EF),"")</f>
        <v>0</v>
      </c>
      <c r="BL10" s="144">
        <f>IFERROR(_xlfn.XLOOKUP($B10,'Cronog. e Histog.'!$BZ:$BZ,'Cronog. e Histog.'!EG:EG),"")</f>
        <v>0</v>
      </c>
      <c r="BM10" s="144">
        <f>IFERROR(_xlfn.XLOOKUP($B10,'Cronog. e Histog.'!$BZ:$BZ,'Cronog. e Histog.'!EH:EH),"")</f>
        <v>0</v>
      </c>
      <c r="BN10" s="144">
        <f>IFERROR(_xlfn.XLOOKUP($B10,'Cronog. e Histog.'!$BZ:$BZ,'Cronog. e Histog.'!EI:EI),"")</f>
        <v>0</v>
      </c>
    </row>
    <row r="11" spans="2:66" ht="12" hidden="1" customHeight="1" outlineLevel="1">
      <c r="B11" s="76">
        <v>5</v>
      </c>
      <c r="C11" s="143" t="str">
        <f>IFERROR(VLOOKUP(B11,'Cronog. e Histog.'!$BZ$213:$CA$747,2,0),"")</f>
        <v>ENG/ARQ PL.</v>
      </c>
      <c r="D11" s="144">
        <f t="shared" si="0"/>
        <v>0</v>
      </c>
      <c r="E11" s="144">
        <f t="shared" si="1"/>
        <v>0</v>
      </c>
      <c r="F11" s="65"/>
      <c r="G11" s="144">
        <f>IFERROR(_xlfn.XLOOKUP($B11,'Cronog. e Histog.'!$BZ:$BZ,'Cronog. e Histog.'!CB:CB),"")</f>
        <v>0</v>
      </c>
      <c r="H11" s="144">
        <f>IFERROR(_xlfn.XLOOKUP($B11,'Cronog. e Histog.'!$BZ:$BZ,'Cronog. e Histog.'!CC:CC),"")</f>
        <v>0</v>
      </c>
      <c r="I11" s="144">
        <f>IFERROR(_xlfn.XLOOKUP($B11,'Cronog. e Histog.'!$BZ:$BZ,'Cronog. e Histog.'!CD:CD),"")</f>
        <v>0</v>
      </c>
      <c r="J11" s="144">
        <f>IFERROR(_xlfn.XLOOKUP($B11,'Cronog. e Histog.'!$BZ:$BZ,'Cronog. e Histog.'!CE:CE),"")</f>
        <v>0</v>
      </c>
      <c r="K11" s="144">
        <f>IFERROR(_xlfn.XLOOKUP($B11,'Cronog. e Histog.'!$BZ:$BZ,'Cronog. e Histog.'!CF:CF),"")</f>
        <v>0</v>
      </c>
      <c r="L11" s="144">
        <f>IFERROR(_xlfn.XLOOKUP($B11,'Cronog. e Histog.'!$BZ:$BZ,'Cronog. e Histog.'!CG:CG),"")</f>
        <v>0</v>
      </c>
      <c r="M11" s="144">
        <f>IFERROR(_xlfn.XLOOKUP($B11,'Cronog. e Histog.'!$BZ:$BZ,'Cronog. e Histog.'!CH:CH),"")</f>
        <v>0</v>
      </c>
      <c r="N11" s="144">
        <f>IFERROR(_xlfn.XLOOKUP($B11,'Cronog. e Histog.'!$BZ:$BZ,'Cronog. e Histog.'!CI:CI),"")</f>
        <v>0</v>
      </c>
      <c r="O11" s="144">
        <f>IFERROR(_xlfn.XLOOKUP($B11,'Cronog. e Histog.'!$BZ:$BZ,'Cronog. e Histog.'!CJ:CJ),"")</f>
        <v>0</v>
      </c>
      <c r="P11" s="144">
        <f>IFERROR(_xlfn.XLOOKUP($B11,'Cronog. e Histog.'!$BZ:$BZ,'Cronog. e Histog.'!CK:CK),"")</f>
        <v>0</v>
      </c>
      <c r="Q11" s="144">
        <f>IFERROR(_xlfn.XLOOKUP($B11,'Cronog. e Histog.'!$BZ:$BZ,'Cronog. e Histog.'!CL:CL),"")</f>
        <v>0</v>
      </c>
      <c r="R11" s="144">
        <f>IFERROR(_xlfn.XLOOKUP($B11,'Cronog. e Histog.'!$BZ:$BZ,'Cronog. e Histog.'!CM:CM),"")</f>
        <v>0</v>
      </c>
      <c r="S11" s="144">
        <f>IFERROR(_xlfn.XLOOKUP($B11,'Cronog. e Histog.'!$BZ:$BZ,'Cronog. e Histog.'!CN:CN),"")</f>
        <v>0</v>
      </c>
      <c r="T11" s="144">
        <f>IFERROR(_xlfn.XLOOKUP($B11,'Cronog. e Histog.'!$BZ:$BZ,'Cronog. e Histog.'!CO:CO),"")</f>
        <v>0</v>
      </c>
      <c r="U11" s="144">
        <f>IFERROR(_xlfn.XLOOKUP($B11,'Cronog. e Histog.'!$BZ:$BZ,'Cronog. e Histog.'!CP:CP),"")</f>
        <v>0</v>
      </c>
      <c r="V11" s="144">
        <f>IFERROR(_xlfn.XLOOKUP($B11,'Cronog. e Histog.'!$BZ:$BZ,'Cronog. e Histog.'!CQ:CQ),"")</f>
        <v>0</v>
      </c>
      <c r="W11" s="144">
        <f>IFERROR(_xlfn.XLOOKUP($B11,'Cronog. e Histog.'!$BZ:$BZ,'Cronog. e Histog.'!CR:CR),"")</f>
        <v>0</v>
      </c>
      <c r="X11" s="144">
        <f>IFERROR(_xlfn.XLOOKUP($B11,'Cronog. e Histog.'!$BZ:$BZ,'Cronog. e Histog.'!CS:CS),"")</f>
        <v>0</v>
      </c>
      <c r="Y11" s="144">
        <f>IFERROR(_xlfn.XLOOKUP($B11,'Cronog. e Histog.'!$BZ:$BZ,'Cronog. e Histog.'!CT:CT),"")</f>
        <v>0</v>
      </c>
      <c r="Z11" s="144">
        <f>IFERROR(_xlfn.XLOOKUP($B11,'Cronog. e Histog.'!$BZ:$BZ,'Cronog. e Histog.'!CU:CU),"")</f>
        <v>0</v>
      </c>
      <c r="AA11" s="144">
        <f>IFERROR(_xlfn.XLOOKUP($B11,'Cronog. e Histog.'!$BZ:$BZ,'Cronog. e Histog.'!CV:CV),"")</f>
        <v>0</v>
      </c>
      <c r="AB11" s="144">
        <f>IFERROR(_xlfn.XLOOKUP($B11,'Cronog. e Histog.'!$BZ:$BZ,'Cronog. e Histog.'!CW:CW),"")</f>
        <v>0</v>
      </c>
      <c r="AC11" s="144">
        <f>IFERROR(_xlfn.XLOOKUP($B11,'Cronog. e Histog.'!$BZ:$BZ,'Cronog. e Histog.'!CX:CX),"")</f>
        <v>0</v>
      </c>
      <c r="AD11" s="144">
        <f>IFERROR(_xlfn.XLOOKUP($B11,'Cronog. e Histog.'!$BZ:$BZ,'Cronog. e Histog.'!CY:CY),"")</f>
        <v>0</v>
      </c>
      <c r="AE11" s="144">
        <f>IFERROR(_xlfn.XLOOKUP($B11,'Cronog. e Histog.'!$BZ:$BZ,'Cronog. e Histog.'!CZ:CZ),"")</f>
        <v>0</v>
      </c>
      <c r="AF11" s="144">
        <f>IFERROR(_xlfn.XLOOKUP($B11,'Cronog. e Histog.'!$BZ:$BZ,'Cronog. e Histog.'!DA:DA),"")</f>
        <v>0</v>
      </c>
      <c r="AG11" s="144">
        <f>IFERROR(_xlfn.XLOOKUP($B11,'Cronog. e Histog.'!$BZ:$BZ,'Cronog. e Histog.'!DB:DB),"")</f>
        <v>0</v>
      </c>
      <c r="AH11" s="144">
        <f>IFERROR(_xlfn.XLOOKUP($B11,'Cronog. e Histog.'!$BZ:$BZ,'Cronog. e Histog.'!DC:DC),"")</f>
        <v>0</v>
      </c>
      <c r="AI11" s="144">
        <f>IFERROR(_xlfn.XLOOKUP($B11,'Cronog. e Histog.'!$BZ:$BZ,'Cronog. e Histog.'!DD:DD),"")</f>
        <v>0</v>
      </c>
      <c r="AJ11" s="144">
        <f>IFERROR(_xlfn.XLOOKUP($B11,'Cronog. e Histog.'!$BZ:$BZ,'Cronog. e Histog.'!DE:DE),"")</f>
        <v>0</v>
      </c>
      <c r="AK11" s="144">
        <f>IFERROR(_xlfn.XLOOKUP($B11,'Cronog. e Histog.'!$BZ:$BZ,'Cronog. e Histog.'!DF:DF),"")</f>
        <v>0</v>
      </c>
      <c r="AL11" s="144">
        <f>IFERROR(_xlfn.XLOOKUP($B11,'Cronog. e Histog.'!$BZ:$BZ,'Cronog. e Histog.'!DG:DG),"")</f>
        <v>0</v>
      </c>
      <c r="AM11" s="144">
        <f>IFERROR(_xlfn.XLOOKUP($B11,'Cronog. e Histog.'!$BZ:$BZ,'Cronog. e Histog.'!DH:DH),"")</f>
        <v>0</v>
      </c>
      <c r="AN11" s="144">
        <f>IFERROR(_xlfn.XLOOKUP($B11,'Cronog. e Histog.'!$BZ:$BZ,'Cronog. e Histog.'!DI:DI),"")</f>
        <v>0</v>
      </c>
      <c r="AO11" s="144">
        <f>IFERROR(_xlfn.XLOOKUP($B11,'Cronog. e Histog.'!$BZ:$BZ,'Cronog. e Histog.'!DJ:DJ),"")</f>
        <v>0</v>
      </c>
      <c r="AP11" s="144">
        <f>IFERROR(_xlfn.XLOOKUP($B11,'Cronog. e Histog.'!$BZ:$BZ,'Cronog. e Histog.'!DK:DK),"")</f>
        <v>0</v>
      </c>
      <c r="AQ11" s="144">
        <f>IFERROR(_xlfn.XLOOKUP($B11,'Cronog. e Histog.'!$BZ:$BZ,'Cronog. e Histog.'!DL:DL),"")</f>
        <v>0</v>
      </c>
      <c r="AR11" s="144">
        <f>IFERROR(_xlfn.XLOOKUP($B11,'Cronog. e Histog.'!$BZ:$BZ,'Cronog. e Histog.'!DM:DM),"")</f>
        <v>0</v>
      </c>
      <c r="AS11" s="144">
        <f>IFERROR(_xlfn.XLOOKUP($B11,'Cronog. e Histog.'!$BZ:$BZ,'Cronog. e Histog.'!DN:DN),"")</f>
        <v>0</v>
      </c>
      <c r="AT11" s="144">
        <f>IFERROR(_xlfn.XLOOKUP($B11,'Cronog. e Histog.'!$BZ:$BZ,'Cronog. e Histog.'!DO:DO),"")</f>
        <v>0</v>
      </c>
      <c r="AU11" s="144">
        <f>IFERROR(_xlfn.XLOOKUP($B11,'Cronog. e Histog.'!$BZ:$BZ,'Cronog. e Histog.'!DP:DP),"")</f>
        <v>0</v>
      </c>
      <c r="AV11" s="144">
        <f>IFERROR(_xlfn.XLOOKUP($B11,'Cronog. e Histog.'!$BZ:$BZ,'Cronog. e Histog.'!DQ:DQ),"")</f>
        <v>0</v>
      </c>
      <c r="AW11" s="144">
        <f>IFERROR(_xlfn.XLOOKUP($B11,'Cronog. e Histog.'!$BZ:$BZ,'Cronog. e Histog.'!DR:DR),"")</f>
        <v>0</v>
      </c>
      <c r="AX11" s="144">
        <f>IFERROR(_xlfn.XLOOKUP($B11,'Cronog. e Histog.'!$BZ:$BZ,'Cronog. e Histog.'!DS:DS),"")</f>
        <v>0</v>
      </c>
      <c r="AY11" s="144">
        <f>IFERROR(_xlfn.XLOOKUP($B11,'Cronog. e Histog.'!$BZ:$BZ,'Cronog. e Histog.'!DT:DT),"")</f>
        <v>0</v>
      </c>
      <c r="AZ11" s="144">
        <f>IFERROR(_xlfn.XLOOKUP($B11,'Cronog. e Histog.'!$BZ:$BZ,'Cronog. e Histog.'!DU:DU),"")</f>
        <v>0</v>
      </c>
      <c r="BA11" s="144">
        <f>IFERROR(_xlfn.XLOOKUP($B11,'Cronog. e Histog.'!$BZ:$BZ,'Cronog. e Histog.'!DV:DV),"")</f>
        <v>0</v>
      </c>
      <c r="BB11" s="144">
        <f>IFERROR(_xlfn.XLOOKUP($B11,'Cronog. e Histog.'!$BZ:$BZ,'Cronog. e Histog.'!DW:DW),"")</f>
        <v>0</v>
      </c>
      <c r="BC11" s="144">
        <f>IFERROR(_xlfn.XLOOKUP($B11,'Cronog. e Histog.'!$BZ:$BZ,'Cronog. e Histog.'!DX:DX),"")</f>
        <v>0</v>
      </c>
      <c r="BD11" s="144">
        <f>IFERROR(_xlfn.XLOOKUP($B11,'Cronog. e Histog.'!$BZ:$BZ,'Cronog. e Histog.'!DY:DY),"")</f>
        <v>0</v>
      </c>
      <c r="BE11" s="144">
        <f>IFERROR(_xlfn.XLOOKUP($B11,'Cronog. e Histog.'!$BZ:$BZ,'Cronog. e Histog.'!DZ:DZ),"")</f>
        <v>0</v>
      </c>
      <c r="BF11" s="144">
        <f>IFERROR(_xlfn.XLOOKUP($B11,'Cronog. e Histog.'!$BZ:$BZ,'Cronog. e Histog.'!EA:EA),"")</f>
        <v>0</v>
      </c>
      <c r="BG11" s="144">
        <f>IFERROR(_xlfn.XLOOKUP($B11,'Cronog. e Histog.'!$BZ:$BZ,'Cronog. e Histog.'!EB:EB),"")</f>
        <v>0</v>
      </c>
      <c r="BH11" s="144">
        <f>IFERROR(_xlfn.XLOOKUP($B11,'Cronog. e Histog.'!$BZ:$BZ,'Cronog. e Histog.'!EC:EC),"")</f>
        <v>0</v>
      </c>
      <c r="BI11" s="144">
        <f>IFERROR(_xlfn.XLOOKUP($B11,'Cronog. e Histog.'!$BZ:$BZ,'Cronog. e Histog.'!ED:ED),"")</f>
        <v>0</v>
      </c>
      <c r="BJ11" s="144">
        <f>IFERROR(_xlfn.XLOOKUP($B11,'Cronog. e Histog.'!$BZ:$BZ,'Cronog. e Histog.'!EE:EE),"")</f>
        <v>0</v>
      </c>
      <c r="BK11" s="144">
        <f>IFERROR(_xlfn.XLOOKUP($B11,'Cronog. e Histog.'!$BZ:$BZ,'Cronog. e Histog.'!EF:EF),"")</f>
        <v>0</v>
      </c>
      <c r="BL11" s="144">
        <f>IFERROR(_xlfn.XLOOKUP($B11,'Cronog. e Histog.'!$BZ:$BZ,'Cronog. e Histog.'!EG:EG),"")</f>
        <v>0</v>
      </c>
      <c r="BM11" s="144">
        <f>IFERROR(_xlfn.XLOOKUP($B11,'Cronog. e Histog.'!$BZ:$BZ,'Cronog. e Histog.'!EH:EH),"")</f>
        <v>0</v>
      </c>
      <c r="BN11" s="144">
        <f>IFERROR(_xlfn.XLOOKUP($B11,'Cronog. e Histog.'!$BZ:$BZ,'Cronog. e Histog.'!EI:EI),"")</f>
        <v>0</v>
      </c>
    </row>
    <row r="12" spans="2:66" ht="12" hidden="1" customHeight="1" outlineLevel="1">
      <c r="B12" s="76">
        <v>6</v>
      </c>
      <c r="C12" s="143" t="str">
        <f>IFERROR(VLOOKUP(B12,'Cronog. e Histog.'!$BZ$213:$CA$747,2,0),"")</f>
        <v>ENG/ARQ JR.</v>
      </c>
      <c r="D12" s="144">
        <f t="shared" si="0"/>
        <v>0</v>
      </c>
      <c r="E12" s="144">
        <f t="shared" si="1"/>
        <v>0</v>
      </c>
      <c r="F12" s="65"/>
      <c r="G12" s="144">
        <f>IFERROR(_xlfn.XLOOKUP($B12,'Cronog. e Histog.'!$BZ:$BZ,'Cronog. e Histog.'!CB:CB),"")</f>
        <v>0</v>
      </c>
      <c r="H12" s="144">
        <f>IFERROR(_xlfn.XLOOKUP($B12,'Cronog. e Histog.'!$BZ:$BZ,'Cronog. e Histog.'!CC:CC),"")</f>
        <v>0</v>
      </c>
      <c r="I12" s="144">
        <f>IFERROR(_xlfn.XLOOKUP($B12,'Cronog. e Histog.'!$BZ:$BZ,'Cronog. e Histog.'!CD:CD),"")</f>
        <v>0</v>
      </c>
      <c r="J12" s="144">
        <f>IFERROR(_xlfn.XLOOKUP($B12,'Cronog. e Histog.'!$BZ:$BZ,'Cronog. e Histog.'!CE:CE),"")</f>
        <v>0</v>
      </c>
      <c r="K12" s="144">
        <f>IFERROR(_xlfn.XLOOKUP($B12,'Cronog. e Histog.'!$BZ:$BZ,'Cronog. e Histog.'!CF:CF),"")</f>
        <v>0</v>
      </c>
      <c r="L12" s="144">
        <f>IFERROR(_xlfn.XLOOKUP($B12,'Cronog. e Histog.'!$BZ:$BZ,'Cronog. e Histog.'!CG:CG),"")</f>
        <v>0</v>
      </c>
      <c r="M12" s="144">
        <f>IFERROR(_xlfn.XLOOKUP($B12,'Cronog. e Histog.'!$BZ:$BZ,'Cronog. e Histog.'!CH:CH),"")</f>
        <v>0</v>
      </c>
      <c r="N12" s="144">
        <f>IFERROR(_xlfn.XLOOKUP($B12,'Cronog. e Histog.'!$BZ:$BZ,'Cronog. e Histog.'!CI:CI),"")</f>
        <v>0</v>
      </c>
      <c r="O12" s="144">
        <f>IFERROR(_xlfn.XLOOKUP($B12,'Cronog. e Histog.'!$BZ:$BZ,'Cronog. e Histog.'!CJ:CJ),"")</f>
        <v>0</v>
      </c>
      <c r="P12" s="144">
        <f>IFERROR(_xlfn.XLOOKUP($B12,'Cronog. e Histog.'!$BZ:$BZ,'Cronog. e Histog.'!CK:CK),"")</f>
        <v>0</v>
      </c>
      <c r="Q12" s="144">
        <f>IFERROR(_xlfn.XLOOKUP($B12,'Cronog. e Histog.'!$BZ:$BZ,'Cronog. e Histog.'!CL:CL),"")</f>
        <v>0</v>
      </c>
      <c r="R12" s="144">
        <f>IFERROR(_xlfn.XLOOKUP($B12,'Cronog. e Histog.'!$BZ:$BZ,'Cronog. e Histog.'!CM:CM),"")</f>
        <v>0</v>
      </c>
      <c r="S12" s="144">
        <f>IFERROR(_xlfn.XLOOKUP($B12,'Cronog. e Histog.'!$BZ:$BZ,'Cronog. e Histog.'!CN:CN),"")</f>
        <v>0</v>
      </c>
      <c r="T12" s="144">
        <f>IFERROR(_xlfn.XLOOKUP($B12,'Cronog. e Histog.'!$BZ:$BZ,'Cronog. e Histog.'!CO:CO),"")</f>
        <v>0</v>
      </c>
      <c r="U12" s="144">
        <f>IFERROR(_xlfn.XLOOKUP($B12,'Cronog. e Histog.'!$BZ:$BZ,'Cronog. e Histog.'!CP:CP),"")</f>
        <v>0</v>
      </c>
      <c r="V12" s="144">
        <f>IFERROR(_xlfn.XLOOKUP($B12,'Cronog. e Histog.'!$BZ:$BZ,'Cronog. e Histog.'!CQ:CQ),"")</f>
        <v>0</v>
      </c>
      <c r="W12" s="144">
        <f>IFERROR(_xlfn.XLOOKUP($B12,'Cronog. e Histog.'!$BZ:$BZ,'Cronog. e Histog.'!CR:CR),"")</f>
        <v>0</v>
      </c>
      <c r="X12" s="144">
        <f>IFERROR(_xlfn.XLOOKUP($B12,'Cronog. e Histog.'!$BZ:$BZ,'Cronog. e Histog.'!CS:CS),"")</f>
        <v>0</v>
      </c>
      <c r="Y12" s="144">
        <f>IFERROR(_xlfn.XLOOKUP($B12,'Cronog. e Histog.'!$BZ:$BZ,'Cronog. e Histog.'!CT:CT),"")</f>
        <v>0</v>
      </c>
      <c r="Z12" s="144">
        <f>IFERROR(_xlfn.XLOOKUP($B12,'Cronog. e Histog.'!$BZ:$BZ,'Cronog. e Histog.'!CU:CU),"")</f>
        <v>0</v>
      </c>
      <c r="AA12" s="144">
        <f>IFERROR(_xlfn.XLOOKUP($B12,'Cronog. e Histog.'!$BZ:$BZ,'Cronog. e Histog.'!CV:CV),"")</f>
        <v>0</v>
      </c>
      <c r="AB12" s="144">
        <f>IFERROR(_xlfn.XLOOKUP($B12,'Cronog. e Histog.'!$BZ:$BZ,'Cronog. e Histog.'!CW:CW),"")</f>
        <v>0</v>
      </c>
      <c r="AC12" s="144">
        <f>IFERROR(_xlfn.XLOOKUP($B12,'Cronog. e Histog.'!$BZ:$BZ,'Cronog. e Histog.'!CX:CX),"")</f>
        <v>0</v>
      </c>
      <c r="AD12" s="144">
        <f>IFERROR(_xlfn.XLOOKUP($B12,'Cronog. e Histog.'!$BZ:$BZ,'Cronog. e Histog.'!CY:CY),"")</f>
        <v>0</v>
      </c>
      <c r="AE12" s="144">
        <f>IFERROR(_xlfn.XLOOKUP($B12,'Cronog. e Histog.'!$BZ:$BZ,'Cronog. e Histog.'!CZ:CZ),"")</f>
        <v>0</v>
      </c>
      <c r="AF12" s="144">
        <f>IFERROR(_xlfn.XLOOKUP($B12,'Cronog. e Histog.'!$BZ:$BZ,'Cronog. e Histog.'!DA:DA),"")</f>
        <v>0</v>
      </c>
      <c r="AG12" s="144">
        <f>IFERROR(_xlfn.XLOOKUP($B12,'Cronog. e Histog.'!$BZ:$BZ,'Cronog. e Histog.'!DB:DB),"")</f>
        <v>0</v>
      </c>
      <c r="AH12" s="144">
        <f>IFERROR(_xlfn.XLOOKUP($B12,'Cronog. e Histog.'!$BZ:$BZ,'Cronog. e Histog.'!DC:DC),"")</f>
        <v>0</v>
      </c>
      <c r="AI12" s="144">
        <f>IFERROR(_xlfn.XLOOKUP($B12,'Cronog. e Histog.'!$BZ:$BZ,'Cronog. e Histog.'!DD:DD),"")</f>
        <v>0</v>
      </c>
      <c r="AJ12" s="144">
        <f>IFERROR(_xlfn.XLOOKUP($B12,'Cronog. e Histog.'!$BZ:$BZ,'Cronog. e Histog.'!DE:DE),"")</f>
        <v>0</v>
      </c>
      <c r="AK12" s="144">
        <f>IFERROR(_xlfn.XLOOKUP($B12,'Cronog. e Histog.'!$BZ:$BZ,'Cronog. e Histog.'!DF:DF),"")</f>
        <v>0</v>
      </c>
      <c r="AL12" s="144">
        <f>IFERROR(_xlfn.XLOOKUP($B12,'Cronog. e Histog.'!$BZ:$BZ,'Cronog. e Histog.'!DG:DG),"")</f>
        <v>0</v>
      </c>
      <c r="AM12" s="144">
        <f>IFERROR(_xlfn.XLOOKUP($B12,'Cronog. e Histog.'!$BZ:$BZ,'Cronog. e Histog.'!DH:DH),"")</f>
        <v>0</v>
      </c>
      <c r="AN12" s="144">
        <f>IFERROR(_xlfn.XLOOKUP($B12,'Cronog. e Histog.'!$BZ:$BZ,'Cronog. e Histog.'!DI:DI),"")</f>
        <v>0</v>
      </c>
      <c r="AO12" s="144">
        <f>IFERROR(_xlfn.XLOOKUP($B12,'Cronog. e Histog.'!$BZ:$BZ,'Cronog. e Histog.'!DJ:DJ),"")</f>
        <v>0</v>
      </c>
      <c r="AP12" s="144">
        <f>IFERROR(_xlfn.XLOOKUP($B12,'Cronog. e Histog.'!$BZ:$BZ,'Cronog. e Histog.'!DK:DK),"")</f>
        <v>0</v>
      </c>
      <c r="AQ12" s="144">
        <f>IFERROR(_xlfn.XLOOKUP($B12,'Cronog. e Histog.'!$BZ:$BZ,'Cronog. e Histog.'!DL:DL),"")</f>
        <v>0</v>
      </c>
      <c r="AR12" s="144">
        <f>IFERROR(_xlfn.XLOOKUP($B12,'Cronog. e Histog.'!$BZ:$BZ,'Cronog. e Histog.'!DM:DM),"")</f>
        <v>0</v>
      </c>
      <c r="AS12" s="144">
        <f>IFERROR(_xlfn.XLOOKUP($B12,'Cronog. e Histog.'!$BZ:$BZ,'Cronog. e Histog.'!DN:DN),"")</f>
        <v>0</v>
      </c>
      <c r="AT12" s="144">
        <f>IFERROR(_xlfn.XLOOKUP($B12,'Cronog. e Histog.'!$BZ:$BZ,'Cronog. e Histog.'!DO:DO),"")</f>
        <v>0</v>
      </c>
      <c r="AU12" s="144">
        <f>IFERROR(_xlfn.XLOOKUP($B12,'Cronog. e Histog.'!$BZ:$BZ,'Cronog. e Histog.'!DP:DP),"")</f>
        <v>0</v>
      </c>
      <c r="AV12" s="144">
        <f>IFERROR(_xlfn.XLOOKUP($B12,'Cronog. e Histog.'!$BZ:$BZ,'Cronog. e Histog.'!DQ:DQ),"")</f>
        <v>0</v>
      </c>
      <c r="AW12" s="144">
        <f>IFERROR(_xlfn.XLOOKUP($B12,'Cronog. e Histog.'!$BZ:$BZ,'Cronog. e Histog.'!DR:DR),"")</f>
        <v>0</v>
      </c>
      <c r="AX12" s="144">
        <f>IFERROR(_xlfn.XLOOKUP($B12,'Cronog. e Histog.'!$BZ:$BZ,'Cronog. e Histog.'!DS:DS),"")</f>
        <v>0</v>
      </c>
      <c r="AY12" s="144">
        <f>IFERROR(_xlfn.XLOOKUP($B12,'Cronog. e Histog.'!$BZ:$BZ,'Cronog. e Histog.'!DT:DT),"")</f>
        <v>0</v>
      </c>
      <c r="AZ12" s="144">
        <f>IFERROR(_xlfn.XLOOKUP($B12,'Cronog. e Histog.'!$BZ:$BZ,'Cronog. e Histog.'!DU:DU),"")</f>
        <v>0</v>
      </c>
      <c r="BA12" s="144">
        <f>IFERROR(_xlfn.XLOOKUP($B12,'Cronog. e Histog.'!$BZ:$BZ,'Cronog. e Histog.'!DV:DV),"")</f>
        <v>0</v>
      </c>
      <c r="BB12" s="144">
        <f>IFERROR(_xlfn.XLOOKUP($B12,'Cronog. e Histog.'!$BZ:$BZ,'Cronog. e Histog.'!DW:DW),"")</f>
        <v>0</v>
      </c>
      <c r="BC12" s="144">
        <f>IFERROR(_xlfn.XLOOKUP($B12,'Cronog. e Histog.'!$BZ:$BZ,'Cronog. e Histog.'!DX:DX),"")</f>
        <v>0</v>
      </c>
      <c r="BD12" s="144">
        <f>IFERROR(_xlfn.XLOOKUP($B12,'Cronog. e Histog.'!$BZ:$BZ,'Cronog. e Histog.'!DY:DY),"")</f>
        <v>0</v>
      </c>
      <c r="BE12" s="144">
        <f>IFERROR(_xlfn.XLOOKUP($B12,'Cronog. e Histog.'!$BZ:$BZ,'Cronog. e Histog.'!DZ:DZ),"")</f>
        <v>0</v>
      </c>
      <c r="BF12" s="144">
        <f>IFERROR(_xlfn.XLOOKUP($B12,'Cronog. e Histog.'!$BZ:$BZ,'Cronog. e Histog.'!EA:EA),"")</f>
        <v>0</v>
      </c>
      <c r="BG12" s="144">
        <f>IFERROR(_xlfn.XLOOKUP($B12,'Cronog. e Histog.'!$BZ:$BZ,'Cronog. e Histog.'!EB:EB),"")</f>
        <v>0</v>
      </c>
      <c r="BH12" s="144">
        <f>IFERROR(_xlfn.XLOOKUP($B12,'Cronog. e Histog.'!$BZ:$BZ,'Cronog. e Histog.'!EC:EC),"")</f>
        <v>0</v>
      </c>
      <c r="BI12" s="144">
        <f>IFERROR(_xlfn.XLOOKUP($B12,'Cronog. e Histog.'!$BZ:$BZ,'Cronog. e Histog.'!ED:ED),"")</f>
        <v>0</v>
      </c>
      <c r="BJ12" s="144">
        <f>IFERROR(_xlfn.XLOOKUP($B12,'Cronog. e Histog.'!$BZ:$BZ,'Cronog. e Histog.'!EE:EE),"")</f>
        <v>0</v>
      </c>
      <c r="BK12" s="144">
        <f>IFERROR(_xlfn.XLOOKUP($B12,'Cronog. e Histog.'!$BZ:$BZ,'Cronog. e Histog.'!EF:EF),"")</f>
        <v>0</v>
      </c>
      <c r="BL12" s="144">
        <f>IFERROR(_xlfn.XLOOKUP($B12,'Cronog. e Histog.'!$BZ:$BZ,'Cronog. e Histog.'!EG:EG),"")</f>
        <v>0</v>
      </c>
      <c r="BM12" s="144">
        <f>IFERROR(_xlfn.XLOOKUP($B12,'Cronog. e Histog.'!$BZ:$BZ,'Cronog. e Histog.'!EH:EH),"")</f>
        <v>0</v>
      </c>
      <c r="BN12" s="144">
        <f>IFERROR(_xlfn.XLOOKUP($B12,'Cronog. e Histog.'!$BZ:$BZ,'Cronog. e Histog.'!EI:EI),"")</f>
        <v>0</v>
      </c>
    </row>
    <row r="13" spans="2:66" ht="12" hidden="1" customHeight="1" outlineLevel="1">
      <c r="B13" s="76">
        <v>7</v>
      </c>
      <c r="C13" s="143" t="str">
        <f>IFERROR(VLOOKUP(B13,'Cronog. e Histog.'!$BZ$213:$CA$747,2,0),"")</f>
        <v>AN SR. ENG/ARQ</v>
      </c>
      <c r="D13" s="144">
        <f t="shared" si="0"/>
        <v>0</v>
      </c>
      <c r="E13" s="144">
        <f t="shared" si="1"/>
        <v>0</v>
      </c>
      <c r="F13" s="65"/>
      <c r="G13" s="144">
        <f>IFERROR(_xlfn.XLOOKUP($B13,'Cronog. e Histog.'!$BZ:$BZ,'Cronog. e Histog.'!CB:CB),"")</f>
        <v>0</v>
      </c>
      <c r="H13" s="144">
        <f>IFERROR(_xlfn.XLOOKUP($B13,'Cronog. e Histog.'!$BZ:$BZ,'Cronog. e Histog.'!CC:CC),"")</f>
        <v>0</v>
      </c>
      <c r="I13" s="144">
        <f>IFERROR(_xlfn.XLOOKUP($B13,'Cronog. e Histog.'!$BZ:$BZ,'Cronog. e Histog.'!CD:CD),"")</f>
        <v>0</v>
      </c>
      <c r="J13" s="144">
        <f>IFERROR(_xlfn.XLOOKUP($B13,'Cronog. e Histog.'!$BZ:$BZ,'Cronog. e Histog.'!CE:CE),"")</f>
        <v>0</v>
      </c>
      <c r="K13" s="144">
        <f>IFERROR(_xlfn.XLOOKUP($B13,'Cronog. e Histog.'!$BZ:$BZ,'Cronog. e Histog.'!CF:CF),"")</f>
        <v>0</v>
      </c>
      <c r="L13" s="144">
        <f>IFERROR(_xlfn.XLOOKUP($B13,'Cronog. e Histog.'!$BZ:$BZ,'Cronog. e Histog.'!CG:CG),"")</f>
        <v>0</v>
      </c>
      <c r="M13" s="144">
        <f>IFERROR(_xlfn.XLOOKUP($B13,'Cronog. e Histog.'!$BZ:$BZ,'Cronog. e Histog.'!CH:CH),"")</f>
        <v>0</v>
      </c>
      <c r="N13" s="144">
        <f>IFERROR(_xlfn.XLOOKUP($B13,'Cronog. e Histog.'!$BZ:$BZ,'Cronog. e Histog.'!CI:CI),"")</f>
        <v>0</v>
      </c>
      <c r="O13" s="144">
        <f>IFERROR(_xlfn.XLOOKUP($B13,'Cronog. e Histog.'!$BZ:$BZ,'Cronog. e Histog.'!CJ:CJ),"")</f>
        <v>0</v>
      </c>
      <c r="P13" s="144">
        <f>IFERROR(_xlfn.XLOOKUP($B13,'Cronog. e Histog.'!$BZ:$BZ,'Cronog. e Histog.'!CK:CK),"")</f>
        <v>0</v>
      </c>
      <c r="Q13" s="144">
        <f>IFERROR(_xlfn.XLOOKUP($B13,'Cronog. e Histog.'!$BZ:$BZ,'Cronog. e Histog.'!CL:CL),"")</f>
        <v>0</v>
      </c>
      <c r="R13" s="144">
        <f>IFERROR(_xlfn.XLOOKUP($B13,'Cronog. e Histog.'!$BZ:$BZ,'Cronog. e Histog.'!CM:CM),"")</f>
        <v>0</v>
      </c>
      <c r="S13" s="144">
        <f>IFERROR(_xlfn.XLOOKUP($B13,'Cronog. e Histog.'!$BZ:$BZ,'Cronog. e Histog.'!CN:CN),"")</f>
        <v>0</v>
      </c>
      <c r="T13" s="144">
        <f>IFERROR(_xlfn.XLOOKUP($B13,'Cronog. e Histog.'!$BZ:$BZ,'Cronog. e Histog.'!CO:CO),"")</f>
        <v>0</v>
      </c>
      <c r="U13" s="144">
        <f>IFERROR(_xlfn.XLOOKUP($B13,'Cronog. e Histog.'!$BZ:$BZ,'Cronog. e Histog.'!CP:CP),"")</f>
        <v>0</v>
      </c>
      <c r="V13" s="144">
        <f>IFERROR(_xlfn.XLOOKUP($B13,'Cronog. e Histog.'!$BZ:$BZ,'Cronog. e Histog.'!CQ:CQ),"")</f>
        <v>0</v>
      </c>
      <c r="W13" s="144">
        <f>IFERROR(_xlfn.XLOOKUP($B13,'Cronog. e Histog.'!$BZ:$BZ,'Cronog. e Histog.'!CR:CR),"")</f>
        <v>0</v>
      </c>
      <c r="X13" s="144">
        <f>IFERROR(_xlfn.XLOOKUP($B13,'Cronog. e Histog.'!$BZ:$BZ,'Cronog. e Histog.'!CS:CS),"")</f>
        <v>0</v>
      </c>
      <c r="Y13" s="144">
        <f>IFERROR(_xlfn.XLOOKUP($B13,'Cronog. e Histog.'!$BZ:$BZ,'Cronog. e Histog.'!CT:CT),"")</f>
        <v>0</v>
      </c>
      <c r="Z13" s="144">
        <f>IFERROR(_xlfn.XLOOKUP($B13,'Cronog. e Histog.'!$BZ:$BZ,'Cronog. e Histog.'!CU:CU),"")</f>
        <v>0</v>
      </c>
      <c r="AA13" s="144">
        <f>IFERROR(_xlfn.XLOOKUP($B13,'Cronog. e Histog.'!$BZ:$BZ,'Cronog. e Histog.'!CV:CV),"")</f>
        <v>0</v>
      </c>
      <c r="AB13" s="144">
        <f>IFERROR(_xlfn.XLOOKUP($B13,'Cronog. e Histog.'!$BZ:$BZ,'Cronog. e Histog.'!CW:CW),"")</f>
        <v>0</v>
      </c>
      <c r="AC13" s="144">
        <f>IFERROR(_xlfn.XLOOKUP($B13,'Cronog. e Histog.'!$BZ:$BZ,'Cronog. e Histog.'!CX:CX),"")</f>
        <v>0</v>
      </c>
      <c r="AD13" s="144">
        <f>IFERROR(_xlfn.XLOOKUP($B13,'Cronog. e Histog.'!$BZ:$BZ,'Cronog. e Histog.'!CY:CY),"")</f>
        <v>0</v>
      </c>
      <c r="AE13" s="144">
        <f>IFERROR(_xlfn.XLOOKUP($B13,'Cronog. e Histog.'!$BZ:$BZ,'Cronog. e Histog.'!CZ:CZ),"")</f>
        <v>0</v>
      </c>
      <c r="AF13" s="144">
        <f>IFERROR(_xlfn.XLOOKUP($B13,'Cronog. e Histog.'!$BZ:$BZ,'Cronog. e Histog.'!DA:DA),"")</f>
        <v>0</v>
      </c>
      <c r="AG13" s="144">
        <f>IFERROR(_xlfn.XLOOKUP($B13,'Cronog. e Histog.'!$BZ:$BZ,'Cronog. e Histog.'!DB:DB),"")</f>
        <v>0</v>
      </c>
      <c r="AH13" s="144">
        <f>IFERROR(_xlfn.XLOOKUP($B13,'Cronog. e Histog.'!$BZ:$BZ,'Cronog. e Histog.'!DC:DC),"")</f>
        <v>0</v>
      </c>
      <c r="AI13" s="144">
        <f>IFERROR(_xlfn.XLOOKUP($B13,'Cronog. e Histog.'!$BZ:$BZ,'Cronog. e Histog.'!DD:DD),"")</f>
        <v>0</v>
      </c>
      <c r="AJ13" s="144">
        <f>IFERROR(_xlfn.XLOOKUP($B13,'Cronog. e Histog.'!$BZ:$BZ,'Cronog. e Histog.'!DE:DE),"")</f>
        <v>0</v>
      </c>
      <c r="AK13" s="144">
        <f>IFERROR(_xlfn.XLOOKUP($B13,'Cronog. e Histog.'!$BZ:$BZ,'Cronog. e Histog.'!DF:DF),"")</f>
        <v>0</v>
      </c>
      <c r="AL13" s="144">
        <f>IFERROR(_xlfn.XLOOKUP($B13,'Cronog. e Histog.'!$BZ:$BZ,'Cronog. e Histog.'!DG:DG),"")</f>
        <v>0</v>
      </c>
      <c r="AM13" s="144">
        <f>IFERROR(_xlfn.XLOOKUP($B13,'Cronog. e Histog.'!$BZ:$BZ,'Cronog. e Histog.'!DH:DH),"")</f>
        <v>0</v>
      </c>
      <c r="AN13" s="144">
        <f>IFERROR(_xlfn.XLOOKUP($B13,'Cronog. e Histog.'!$BZ:$BZ,'Cronog. e Histog.'!DI:DI),"")</f>
        <v>0</v>
      </c>
      <c r="AO13" s="144">
        <f>IFERROR(_xlfn.XLOOKUP($B13,'Cronog. e Histog.'!$BZ:$BZ,'Cronog. e Histog.'!DJ:DJ),"")</f>
        <v>0</v>
      </c>
      <c r="AP13" s="144">
        <f>IFERROR(_xlfn.XLOOKUP($B13,'Cronog. e Histog.'!$BZ:$BZ,'Cronog. e Histog.'!DK:DK),"")</f>
        <v>0</v>
      </c>
      <c r="AQ13" s="144">
        <f>IFERROR(_xlfn.XLOOKUP($B13,'Cronog. e Histog.'!$BZ:$BZ,'Cronog. e Histog.'!DL:DL),"")</f>
        <v>0</v>
      </c>
      <c r="AR13" s="144">
        <f>IFERROR(_xlfn.XLOOKUP($B13,'Cronog. e Histog.'!$BZ:$BZ,'Cronog. e Histog.'!DM:DM),"")</f>
        <v>0</v>
      </c>
      <c r="AS13" s="144">
        <f>IFERROR(_xlfn.XLOOKUP($B13,'Cronog. e Histog.'!$BZ:$BZ,'Cronog. e Histog.'!DN:DN),"")</f>
        <v>0</v>
      </c>
      <c r="AT13" s="144">
        <f>IFERROR(_xlfn.XLOOKUP($B13,'Cronog. e Histog.'!$BZ:$BZ,'Cronog. e Histog.'!DO:DO),"")</f>
        <v>0</v>
      </c>
      <c r="AU13" s="144">
        <f>IFERROR(_xlfn.XLOOKUP($B13,'Cronog. e Histog.'!$BZ:$BZ,'Cronog. e Histog.'!DP:DP),"")</f>
        <v>0</v>
      </c>
      <c r="AV13" s="144">
        <f>IFERROR(_xlfn.XLOOKUP($B13,'Cronog. e Histog.'!$BZ:$BZ,'Cronog. e Histog.'!DQ:DQ),"")</f>
        <v>0</v>
      </c>
      <c r="AW13" s="144">
        <f>IFERROR(_xlfn.XLOOKUP($B13,'Cronog. e Histog.'!$BZ:$BZ,'Cronog. e Histog.'!DR:DR),"")</f>
        <v>0</v>
      </c>
      <c r="AX13" s="144">
        <f>IFERROR(_xlfn.XLOOKUP($B13,'Cronog. e Histog.'!$BZ:$BZ,'Cronog. e Histog.'!DS:DS),"")</f>
        <v>0</v>
      </c>
      <c r="AY13" s="144">
        <f>IFERROR(_xlfn.XLOOKUP($B13,'Cronog. e Histog.'!$BZ:$BZ,'Cronog. e Histog.'!DT:DT),"")</f>
        <v>0</v>
      </c>
      <c r="AZ13" s="144">
        <f>IFERROR(_xlfn.XLOOKUP($B13,'Cronog. e Histog.'!$BZ:$BZ,'Cronog. e Histog.'!DU:DU),"")</f>
        <v>0</v>
      </c>
      <c r="BA13" s="144">
        <f>IFERROR(_xlfn.XLOOKUP($B13,'Cronog. e Histog.'!$BZ:$BZ,'Cronog. e Histog.'!DV:DV),"")</f>
        <v>0</v>
      </c>
      <c r="BB13" s="144">
        <f>IFERROR(_xlfn.XLOOKUP($B13,'Cronog. e Histog.'!$BZ:$BZ,'Cronog. e Histog.'!DW:DW),"")</f>
        <v>0</v>
      </c>
      <c r="BC13" s="144">
        <f>IFERROR(_xlfn.XLOOKUP($B13,'Cronog. e Histog.'!$BZ:$BZ,'Cronog. e Histog.'!DX:DX),"")</f>
        <v>0</v>
      </c>
      <c r="BD13" s="144">
        <f>IFERROR(_xlfn.XLOOKUP($B13,'Cronog. e Histog.'!$BZ:$BZ,'Cronog. e Histog.'!DY:DY),"")</f>
        <v>0</v>
      </c>
      <c r="BE13" s="144">
        <f>IFERROR(_xlfn.XLOOKUP($B13,'Cronog. e Histog.'!$BZ:$BZ,'Cronog. e Histog.'!DZ:DZ),"")</f>
        <v>0</v>
      </c>
      <c r="BF13" s="144">
        <f>IFERROR(_xlfn.XLOOKUP($B13,'Cronog. e Histog.'!$BZ:$BZ,'Cronog. e Histog.'!EA:EA),"")</f>
        <v>0</v>
      </c>
      <c r="BG13" s="144">
        <f>IFERROR(_xlfn.XLOOKUP($B13,'Cronog. e Histog.'!$BZ:$BZ,'Cronog. e Histog.'!EB:EB),"")</f>
        <v>0</v>
      </c>
      <c r="BH13" s="144">
        <f>IFERROR(_xlfn.XLOOKUP($B13,'Cronog. e Histog.'!$BZ:$BZ,'Cronog. e Histog.'!EC:EC),"")</f>
        <v>0</v>
      </c>
      <c r="BI13" s="144">
        <f>IFERROR(_xlfn.XLOOKUP($B13,'Cronog. e Histog.'!$BZ:$BZ,'Cronog. e Histog.'!ED:ED),"")</f>
        <v>0</v>
      </c>
      <c r="BJ13" s="144">
        <f>IFERROR(_xlfn.XLOOKUP($B13,'Cronog. e Histog.'!$BZ:$BZ,'Cronog. e Histog.'!EE:EE),"")</f>
        <v>0</v>
      </c>
      <c r="BK13" s="144">
        <f>IFERROR(_xlfn.XLOOKUP($B13,'Cronog. e Histog.'!$BZ:$BZ,'Cronog. e Histog.'!EF:EF),"")</f>
        <v>0</v>
      </c>
      <c r="BL13" s="144">
        <f>IFERROR(_xlfn.XLOOKUP($B13,'Cronog. e Histog.'!$BZ:$BZ,'Cronog. e Histog.'!EG:EG),"")</f>
        <v>0</v>
      </c>
      <c r="BM13" s="144">
        <f>IFERROR(_xlfn.XLOOKUP($B13,'Cronog. e Histog.'!$BZ:$BZ,'Cronog. e Histog.'!EH:EH),"")</f>
        <v>0</v>
      </c>
      <c r="BN13" s="144">
        <f>IFERROR(_xlfn.XLOOKUP($B13,'Cronog. e Histog.'!$BZ:$BZ,'Cronog. e Histog.'!EI:EI),"")</f>
        <v>0</v>
      </c>
    </row>
    <row r="14" spans="2:66" ht="12" hidden="1" customHeight="1" outlineLevel="1">
      <c r="B14" s="76">
        <v>8</v>
      </c>
      <c r="C14" s="143" t="str">
        <f>IFERROR(VLOOKUP(B14,'Cronog. e Histog.'!$BZ$213:$CA$747,2,0),"")</f>
        <v>AN PL. ENG/ARQ</v>
      </c>
      <c r="D14" s="144">
        <f t="shared" si="0"/>
        <v>0</v>
      </c>
      <c r="E14" s="144">
        <f t="shared" si="1"/>
        <v>0</v>
      </c>
      <c r="F14" s="65"/>
      <c r="G14" s="144">
        <f>IFERROR(_xlfn.XLOOKUP($B14,'Cronog. e Histog.'!$BZ:$BZ,'Cronog. e Histog.'!CB:CB),"")</f>
        <v>0</v>
      </c>
      <c r="H14" s="144">
        <f>IFERROR(_xlfn.XLOOKUP($B14,'Cronog. e Histog.'!$BZ:$BZ,'Cronog. e Histog.'!CC:CC),"")</f>
        <v>0</v>
      </c>
      <c r="I14" s="144">
        <f>IFERROR(_xlfn.XLOOKUP($B14,'Cronog. e Histog.'!$BZ:$BZ,'Cronog. e Histog.'!CD:CD),"")</f>
        <v>0</v>
      </c>
      <c r="J14" s="144">
        <f>IFERROR(_xlfn.XLOOKUP($B14,'Cronog. e Histog.'!$BZ:$BZ,'Cronog. e Histog.'!CE:CE),"")</f>
        <v>0</v>
      </c>
      <c r="K14" s="144">
        <f>IFERROR(_xlfn.XLOOKUP($B14,'Cronog. e Histog.'!$BZ:$BZ,'Cronog. e Histog.'!CF:CF),"")</f>
        <v>0</v>
      </c>
      <c r="L14" s="144">
        <f>IFERROR(_xlfn.XLOOKUP($B14,'Cronog. e Histog.'!$BZ:$BZ,'Cronog. e Histog.'!CG:CG),"")</f>
        <v>0</v>
      </c>
      <c r="M14" s="144">
        <f>IFERROR(_xlfn.XLOOKUP($B14,'Cronog. e Histog.'!$BZ:$BZ,'Cronog. e Histog.'!CH:CH),"")</f>
        <v>0</v>
      </c>
      <c r="N14" s="144">
        <f>IFERROR(_xlfn.XLOOKUP($B14,'Cronog. e Histog.'!$BZ:$BZ,'Cronog. e Histog.'!CI:CI),"")</f>
        <v>0</v>
      </c>
      <c r="O14" s="144">
        <f>IFERROR(_xlfn.XLOOKUP($B14,'Cronog. e Histog.'!$BZ:$BZ,'Cronog. e Histog.'!CJ:CJ),"")</f>
        <v>0</v>
      </c>
      <c r="P14" s="144">
        <f>IFERROR(_xlfn.XLOOKUP($B14,'Cronog. e Histog.'!$BZ:$BZ,'Cronog. e Histog.'!CK:CK),"")</f>
        <v>0</v>
      </c>
      <c r="Q14" s="144">
        <f>IFERROR(_xlfn.XLOOKUP($B14,'Cronog. e Histog.'!$BZ:$BZ,'Cronog. e Histog.'!CL:CL),"")</f>
        <v>0</v>
      </c>
      <c r="R14" s="144">
        <f>IFERROR(_xlfn.XLOOKUP($B14,'Cronog. e Histog.'!$BZ:$BZ,'Cronog. e Histog.'!CM:CM),"")</f>
        <v>0</v>
      </c>
      <c r="S14" s="144">
        <f>IFERROR(_xlfn.XLOOKUP($B14,'Cronog. e Histog.'!$BZ:$BZ,'Cronog. e Histog.'!CN:CN),"")</f>
        <v>0</v>
      </c>
      <c r="T14" s="144">
        <f>IFERROR(_xlfn.XLOOKUP($B14,'Cronog. e Histog.'!$BZ:$BZ,'Cronog. e Histog.'!CO:CO),"")</f>
        <v>0</v>
      </c>
      <c r="U14" s="144">
        <f>IFERROR(_xlfn.XLOOKUP($B14,'Cronog. e Histog.'!$BZ:$BZ,'Cronog. e Histog.'!CP:CP),"")</f>
        <v>0</v>
      </c>
      <c r="V14" s="144">
        <f>IFERROR(_xlfn.XLOOKUP($B14,'Cronog. e Histog.'!$BZ:$BZ,'Cronog. e Histog.'!CQ:CQ),"")</f>
        <v>0</v>
      </c>
      <c r="W14" s="144">
        <f>IFERROR(_xlfn.XLOOKUP($B14,'Cronog. e Histog.'!$BZ:$BZ,'Cronog. e Histog.'!CR:CR),"")</f>
        <v>0</v>
      </c>
      <c r="X14" s="144">
        <f>IFERROR(_xlfn.XLOOKUP($B14,'Cronog. e Histog.'!$BZ:$BZ,'Cronog. e Histog.'!CS:CS),"")</f>
        <v>0</v>
      </c>
      <c r="Y14" s="144">
        <f>IFERROR(_xlfn.XLOOKUP($B14,'Cronog. e Histog.'!$BZ:$BZ,'Cronog. e Histog.'!CT:CT),"")</f>
        <v>0</v>
      </c>
      <c r="Z14" s="144">
        <f>IFERROR(_xlfn.XLOOKUP($B14,'Cronog. e Histog.'!$BZ:$BZ,'Cronog. e Histog.'!CU:CU),"")</f>
        <v>0</v>
      </c>
      <c r="AA14" s="144">
        <f>IFERROR(_xlfn.XLOOKUP($B14,'Cronog. e Histog.'!$BZ:$BZ,'Cronog. e Histog.'!CV:CV),"")</f>
        <v>0</v>
      </c>
      <c r="AB14" s="144">
        <f>IFERROR(_xlfn.XLOOKUP($B14,'Cronog. e Histog.'!$BZ:$BZ,'Cronog. e Histog.'!CW:CW),"")</f>
        <v>0</v>
      </c>
      <c r="AC14" s="144">
        <f>IFERROR(_xlfn.XLOOKUP($B14,'Cronog. e Histog.'!$BZ:$BZ,'Cronog. e Histog.'!CX:CX),"")</f>
        <v>0</v>
      </c>
      <c r="AD14" s="144">
        <f>IFERROR(_xlfn.XLOOKUP($B14,'Cronog. e Histog.'!$BZ:$BZ,'Cronog. e Histog.'!CY:CY),"")</f>
        <v>0</v>
      </c>
      <c r="AE14" s="144">
        <f>IFERROR(_xlfn.XLOOKUP($B14,'Cronog. e Histog.'!$BZ:$BZ,'Cronog. e Histog.'!CZ:CZ),"")</f>
        <v>0</v>
      </c>
      <c r="AF14" s="144">
        <f>IFERROR(_xlfn.XLOOKUP($B14,'Cronog. e Histog.'!$BZ:$BZ,'Cronog. e Histog.'!DA:DA),"")</f>
        <v>0</v>
      </c>
      <c r="AG14" s="144">
        <f>IFERROR(_xlfn.XLOOKUP($B14,'Cronog. e Histog.'!$BZ:$BZ,'Cronog. e Histog.'!DB:DB),"")</f>
        <v>0</v>
      </c>
      <c r="AH14" s="144">
        <f>IFERROR(_xlfn.XLOOKUP($B14,'Cronog. e Histog.'!$BZ:$BZ,'Cronog. e Histog.'!DC:DC),"")</f>
        <v>0</v>
      </c>
      <c r="AI14" s="144">
        <f>IFERROR(_xlfn.XLOOKUP($B14,'Cronog. e Histog.'!$BZ:$BZ,'Cronog. e Histog.'!DD:DD),"")</f>
        <v>0</v>
      </c>
      <c r="AJ14" s="144">
        <f>IFERROR(_xlfn.XLOOKUP($B14,'Cronog. e Histog.'!$BZ:$BZ,'Cronog. e Histog.'!DE:DE),"")</f>
        <v>0</v>
      </c>
      <c r="AK14" s="144">
        <f>IFERROR(_xlfn.XLOOKUP($B14,'Cronog. e Histog.'!$BZ:$BZ,'Cronog. e Histog.'!DF:DF),"")</f>
        <v>0</v>
      </c>
      <c r="AL14" s="144">
        <f>IFERROR(_xlfn.XLOOKUP($B14,'Cronog. e Histog.'!$BZ:$BZ,'Cronog. e Histog.'!DG:DG),"")</f>
        <v>0</v>
      </c>
      <c r="AM14" s="144">
        <f>IFERROR(_xlfn.XLOOKUP($B14,'Cronog. e Histog.'!$BZ:$BZ,'Cronog. e Histog.'!DH:DH),"")</f>
        <v>0</v>
      </c>
      <c r="AN14" s="144">
        <f>IFERROR(_xlfn.XLOOKUP($B14,'Cronog. e Histog.'!$BZ:$BZ,'Cronog. e Histog.'!DI:DI),"")</f>
        <v>0</v>
      </c>
      <c r="AO14" s="144">
        <f>IFERROR(_xlfn.XLOOKUP($B14,'Cronog. e Histog.'!$BZ:$BZ,'Cronog. e Histog.'!DJ:DJ),"")</f>
        <v>0</v>
      </c>
      <c r="AP14" s="144">
        <f>IFERROR(_xlfn.XLOOKUP($B14,'Cronog. e Histog.'!$BZ:$BZ,'Cronog. e Histog.'!DK:DK),"")</f>
        <v>0</v>
      </c>
      <c r="AQ14" s="144">
        <f>IFERROR(_xlfn.XLOOKUP($B14,'Cronog. e Histog.'!$BZ:$BZ,'Cronog. e Histog.'!DL:DL),"")</f>
        <v>0</v>
      </c>
      <c r="AR14" s="144">
        <f>IFERROR(_xlfn.XLOOKUP($B14,'Cronog. e Histog.'!$BZ:$BZ,'Cronog. e Histog.'!DM:DM),"")</f>
        <v>0</v>
      </c>
      <c r="AS14" s="144">
        <f>IFERROR(_xlfn.XLOOKUP($B14,'Cronog. e Histog.'!$BZ:$BZ,'Cronog. e Histog.'!DN:DN),"")</f>
        <v>0</v>
      </c>
      <c r="AT14" s="144">
        <f>IFERROR(_xlfn.XLOOKUP($B14,'Cronog. e Histog.'!$BZ:$BZ,'Cronog. e Histog.'!DO:DO),"")</f>
        <v>0</v>
      </c>
      <c r="AU14" s="144">
        <f>IFERROR(_xlfn.XLOOKUP($B14,'Cronog. e Histog.'!$BZ:$BZ,'Cronog. e Histog.'!DP:DP),"")</f>
        <v>0</v>
      </c>
      <c r="AV14" s="144">
        <f>IFERROR(_xlfn.XLOOKUP($B14,'Cronog. e Histog.'!$BZ:$BZ,'Cronog. e Histog.'!DQ:DQ),"")</f>
        <v>0</v>
      </c>
      <c r="AW14" s="144">
        <f>IFERROR(_xlfn.XLOOKUP($B14,'Cronog. e Histog.'!$BZ:$BZ,'Cronog. e Histog.'!DR:DR),"")</f>
        <v>0</v>
      </c>
      <c r="AX14" s="144">
        <f>IFERROR(_xlfn.XLOOKUP($B14,'Cronog. e Histog.'!$BZ:$BZ,'Cronog. e Histog.'!DS:DS),"")</f>
        <v>0</v>
      </c>
      <c r="AY14" s="144">
        <f>IFERROR(_xlfn.XLOOKUP($B14,'Cronog. e Histog.'!$BZ:$BZ,'Cronog. e Histog.'!DT:DT),"")</f>
        <v>0</v>
      </c>
      <c r="AZ14" s="144">
        <f>IFERROR(_xlfn.XLOOKUP($B14,'Cronog. e Histog.'!$BZ:$BZ,'Cronog. e Histog.'!DU:DU),"")</f>
        <v>0</v>
      </c>
      <c r="BA14" s="144">
        <f>IFERROR(_xlfn.XLOOKUP($B14,'Cronog. e Histog.'!$BZ:$BZ,'Cronog. e Histog.'!DV:DV),"")</f>
        <v>0</v>
      </c>
      <c r="BB14" s="144">
        <f>IFERROR(_xlfn.XLOOKUP($B14,'Cronog. e Histog.'!$BZ:$BZ,'Cronog. e Histog.'!DW:DW),"")</f>
        <v>0</v>
      </c>
      <c r="BC14" s="144">
        <f>IFERROR(_xlfn.XLOOKUP($B14,'Cronog. e Histog.'!$BZ:$BZ,'Cronog. e Histog.'!DX:DX),"")</f>
        <v>0</v>
      </c>
      <c r="BD14" s="144">
        <f>IFERROR(_xlfn.XLOOKUP($B14,'Cronog. e Histog.'!$BZ:$BZ,'Cronog. e Histog.'!DY:DY),"")</f>
        <v>0</v>
      </c>
      <c r="BE14" s="144">
        <f>IFERROR(_xlfn.XLOOKUP($B14,'Cronog. e Histog.'!$BZ:$BZ,'Cronog. e Histog.'!DZ:DZ),"")</f>
        <v>0</v>
      </c>
      <c r="BF14" s="144">
        <f>IFERROR(_xlfn.XLOOKUP($B14,'Cronog. e Histog.'!$BZ:$BZ,'Cronog. e Histog.'!EA:EA),"")</f>
        <v>0</v>
      </c>
      <c r="BG14" s="144">
        <f>IFERROR(_xlfn.XLOOKUP($B14,'Cronog. e Histog.'!$BZ:$BZ,'Cronog. e Histog.'!EB:EB),"")</f>
        <v>0</v>
      </c>
      <c r="BH14" s="144">
        <f>IFERROR(_xlfn.XLOOKUP($B14,'Cronog. e Histog.'!$BZ:$BZ,'Cronog. e Histog.'!EC:EC),"")</f>
        <v>0</v>
      </c>
      <c r="BI14" s="144">
        <f>IFERROR(_xlfn.XLOOKUP($B14,'Cronog. e Histog.'!$BZ:$BZ,'Cronog. e Histog.'!ED:ED),"")</f>
        <v>0</v>
      </c>
      <c r="BJ14" s="144">
        <f>IFERROR(_xlfn.XLOOKUP($B14,'Cronog. e Histog.'!$BZ:$BZ,'Cronog. e Histog.'!EE:EE),"")</f>
        <v>0</v>
      </c>
      <c r="BK14" s="144">
        <f>IFERROR(_xlfn.XLOOKUP($B14,'Cronog. e Histog.'!$BZ:$BZ,'Cronog. e Histog.'!EF:EF),"")</f>
        <v>0</v>
      </c>
      <c r="BL14" s="144">
        <f>IFERROR(_xlfn.XLOOKUP($B14,'Cronog. e Histog.'!$BZ:$BZ,'Cronog. e Histog.'!EG:EG),"")</f>
        <v>0</v>
      </c>
      <c r="BM14" s="144">
        <f>IFERROR(_xlfn.XLOOKUP($B14,'Cronog. e Histog.'!$BZ:$BZ,'Cronog. e Histog.'!EH:EH),"")</f>
        <v>0</v>
      </c>
      <c r="BN14" s="144">
        <f>IFERROR(_xlfn.XLOOKUP($B14,'Cronog. e Histog.'!$BZ:$BZ,'Cronog. e Histog.'!EI:EI),"")</f>
        <v>0</v>
      </c>
    </row>
    <row r="15" spans="2:66" ht="12" hidden="1" customHeight="1" outlineLevel="1">
      <c r="B15" s="76">
        <v>9</v>
      </c>
      <c r="C15" s="143" t="str">
        <f>IFERROR(VLOOKUP(B15,'Cronog. e Histog.'!$BZ$213:$CA$747,2,0),"")</f>
        <v>AN JR. ENG/ARQ</v>
      </c>
      <c r="D15" s="144">
        <f t="shared" si="0"/>
        <v>0</v>
      </c>
      <c r="E15" s="144">
        <f t="shared" si="1"/>
        <v>0</v>
      </c>
      <c r="F15" s="65"/>
      <c r="G15" s="144">
        <f>IFERROR(_xlfn.XLOOKUP($B15,'Cronog. e Histog.'!$BZ:$BZ,'Cronog. e Histog.'!CB:CB),"")</f>
        <v>0</v>
      </c>
      <c r="H15" s="144">
        <f>IFERROR(_xlfn.XLOOKUP($B15,'Cronog. e Histog.'!$BZ:$BZ,'Cronog. e Histog.'!CC:CC),"")</f>
        <v>0</v>
      </c>
      <c r="I15" s="144">
        <f>IFERROR(_xlfn.XLOOKUP($B15,'Cronog. e Histog.'!$BZ:$BZ,'Cronog. e Histog.'!CD:CD),"")</f>
        <v>0</v>
      </c>
      <c r="J15" s="144">
        <f>IFERROR(_xlfn.XLOOKUP($B15,'Cronog. e Histog.'!$BZ:$BZ,'Cronog. e Histog.'!CE:CE),"")</f>
        <v>0</v>
      </c>
      <c r="K15" s="144">
        <f>IFERROR(_xlfn.XLOOKUP($B15,'Cronog. e Histog.'!$BZ:$BZ,'Cronog. e Histog.'!CF:CF),"")</f>
        <v>0</v>
      </c>
      <c r="L15" s="144">
        <f>IFERROR(_xlfn.XLOOKUP($B15,'Cronog. e Histog.'!$BZ:$BZ,'Cronog. e Histog.'!CG:CG),"")</f>
        <v>0</v>
      </c>
      <c r="M15" s="144">
        <f>IFERROR(_xlfn.XLOOKUP($B15,'Cronog. e Histog.'!$BZ:$BZ,'Cronog. e Histog.'!CH:CH),"")</f>
        <v>0</v>
      </c>
      <c r="N15" s="144">
        <f>IFERROR(_xlfn.XLOOKUP($B15,'Cronog. e Histog.'!$BZ:$BZ,'Cronog. e Histog.'!CI:CI),"")</f>
        <v>0</v>
      </c>
      <c r="O15" s="144">
        <f>IFERROR(_xlfn.XLOOKUP($B15,'Cronog. e Histog.'!$BZ:$BZ,'Cronog. e Histog.'!CJ:CJ),"")</f>
        <v>0</v>
      </c>
      <c r="P15" s="144">
        <f>IFERROR(_xlfn.XLOOKUP($B15,'Cronog. e Histog.'!$BZ:$BZ,'Cronog. e Histog.'!CK:CK),"")</f>
        <v>0</v>
      </c>
      <c r="Q15" s="144">
        <f>IFERROR(_xlfn.XLOOKUP($B15,'Cronog. e Histog.'!$BZ:$BZ,'Cronog. e Histog.'!CL:CL),"")</f>
        <v>0</v>
      </c>
      <c r="R15" s="144">
        <f>IFERROR(_xlfn.XLOOKUP($B15,'Cronog. e Histog.'!$BZ:$BZ,'Cronog. e Histog.'!CM:CM),"")</f>
        <v>0</v>
      </c>
      <c r="S15" s="144">
        <f>IFERROR(_xlfn.XLOOKUP($B15,'Cronog. e Histog.'!$BZ:$BZ,'Cronog. e Histog.'!CN:CN),"")</f>
        <v>0</v>
      </c>
      <c r="T15" s="144">
        <f>IFERROR(_xlfn.XLOOKUP($B15,'Cronog. e Histog.'!$BZ:$BZ,'Cronog. e Histog.'!CO:CO),"")</f>
        <v>0</v>
      </c>
      <c r="U15" s="144">
        <f>IFERROR(_xlfn.XLOOKUP($B15,'Cronog. e Histog.'!$BZ:$BZ,'Cronog. e Histog.'!CP:CP),"")</f>
        <v>0</v>
      </c>
      <c r="V15" s="144">
        <f>IFERROR(_xlfn.XLOOKUP($B15,'Cronog. e Histog.'!$BZ:$BZ,'Cronog. e Histog.'!CQ:CQ),"")</f>
        <v>0</v>
      </c>
      <c r="W15" s="144">
        <f>IFERROR(_xlfn.XLOOKUP($B15,'Cronog. e Histog.'!$BZ:$BZ,'Cronog. e Histog.'!CR:CR),"")</f>
        <v>0</v>
      </c>
      <c r="X15" s="144">
        <f>IFERROR(_xlfn.XLOOKUP($B15,'Cronog. e Histog.'!$BZ:$BZ,'Cronog. e Histog.'!CS:CS),"")</f>
        <v>0</v>
      </c>
      <c r="Y15" s="144">
        <f>IFERROR(_xlfn.XLOOKUP($B15,'Cronog. e Histog.'!$BZ:$BZ,'Cronog. e Histog.'!CT:CT),"")</f>
        <v>0</v>
      </c>
      <c r="Z15" s="144">
        <f>IFERROR(_xlfn.XLOOKUP($B15,'Cronog. e Histog.'!$BZ:$BZ,'Cronog. e Histog.'!CU:CU),"")</f>
        <v>0</v>
      </c>
      <c r="AA15" s="144">
        <f>IFERROR(_xlfn.XLOOKUP($B15,'Cronog. e Histog.'!$BZ:$BZ,'Cronog. e Histog.'!CV:CV),"")</f>
        <v>0</v>
      </c>
      <c r="AB15" s="144">
        <f>IFERROR(_xlfn.XLOOKUP($B15,'Cronog. e Histog.'!$BZ:$BZ,'Cronog. e Histog.'!CW:CW),"")</f>
        <v>0</v>
      </c>
      <c r="AC15" s="144">
        <f>IFERROR(_xlfn.XLOOKUP($B15,'Cronog. e Histog.'!$BZ:$BZ,'Cronog. e Histog.'!CX:CX),"")</f>
        <v>0</v>
      </c>
      <c r="AD15" s="144">
        <f>IFERROR(_xlfn.XLOOKUP($B15,'Cronog. e Histog.'!$BZ:$BZ,'Cronog. e Histog.'!CY:CY),"")</f>
        <v>0</v>
      </c>
      <c r="AE15" s="144">
        <f>IFERROR(_xlfn.XLOOKUP($B15,'Cronog. e Histog.'!$BZ:$BZ,'Cronog. e Histog.'!CZ:CZ),"")</f>
        <v>0</v>
      </c>
      <c r="AF15" s="144">
        <f>IFERROR(_xlfn.XLOOKUP($B15,'Cronog. e Histog.'!$BZ:$BZ,'Cronog. e Histog.'!DA:DA),"")</f>
        <v>0</v>
      </c>
      <c r="AG15" s="144">
        <f>IFERROR(_xlfn.XLOOKUP($B15,'Cronog. e Histog.'!$BZ:$BZ,'Cronog. e Histog.'!DB:DB),"")</f>
        <v>0</v>
      </c>
      <c r="AH15" s="144">
        <f>IFERROR(_xlfn.XLOOKUP($B15,'Cronog. e Histog.'!$BZ:$BZ,'Cronog. e Histog.'!DC:DC),"")</f>
        <v>0</v>
      </c>
      <c r="AI15" s="144">
        <f>IFERROR(_xlfn.XLOOKUP($B15,'Cronog. e Histog.'!$BZ:$BZ,'Cronog. e Histog.'!DD:DD),"")</f>
        <v>0</v>
      </c>
      <c r="AJ15" s="144">
        <f>IFERROR(_xlfn.XLOOKUP($B15,'Cronog. e Histog.'!$BZ:$BZ,'Cronog. e Histog.'!DE:DE),"")</f>
        <v>0</v>
      </c>
      <c r="AK15" s="144">
        <f>IFERROR(_xlfn.XLOOKUP($B15,'Cronog. e Histog.'!$BZ:$BZ,'Cronog. e Histog.'!DF:DF),"")</f>
        <v>0</v>
      </c>
      <c r="AL15" s="144">
        <f>IFERROR(_xlfn.XLOOKUP($B15,'Cronog. e Histog.'!$BZ:$BZ,'Cronog. e Histog.'!DG:DG),"")</f>
        <v>0</v>
      </c>
      <c r="AM15" s="144">
        <f>IFERROR(_xlfn.XLOOKUP($B15,'Cronog. e Histog.'!$BZ:$BZ,'Cronog. e Histog.'!DH:DH),"")</f>
        <v>0</v>
      </c>
      <c r="AN15" s="144">
        <f>IFERROR(_xlfn.XLOOKUP($B15,'Cronog. e Histog.'!$BZ:$BZ,'Cronog. e Histog.'!DI:DI),"")</f>
        <v>0</v>
      </c>
      <c r="AO15" s="144">
        <f>IFERROR(_xlfn.XLOOKUP($B15,'Cronog. e Histog.'!$BZ:$BZ,'Cronog. e Histog.'!DJ:DJ),"")</f>
        <v>0</v>
      </c>
      <c r="AP15" s="144">
        <f>IFERROR(_xlfn.XLOOKUP($B15,'Cronog. e Histog.'!$BZ:$BZ,'Cronog. e Histog.'!DK:DK),"")</f>
        <v>0</v>
      </c>
      <c r="AQ15" s="144">
        <f>IFERROR(_xlfn.XLOOKUP($B15,'Cronog. e Histog.'!$BZ:$BZ,'Cronog. e Histog.'!DL:DL),"")</f>
        <v>0</v>
      </c>
      <c r="AR15" s="144">
        <f>IFERROR(_xlfn.XLOOKUP($B15,'Cronog. e Histog.'!$BZ:$BZ,'Cronog. e Histog.'!DM:DM),"")</f>
        <v>0</v>
      </c>
      <c r="AS15" s="144">
        <f>IFERROR(_xlfn.XLOOKUP($B15,'Cronog. e Histog.'!$BZ:$BZ,'Cronog. e Histog.'!DN:DN),"")</f>
        <v>0</v>
      </c>
      <c r="AT15" s="144">
        <f>IFERROR(_xlfn.XLOOKUP($B15,'Cronog. e Histog.'!$BZ:$BZ,'Cronog. e Histog.'!DO:DO),"")</f>
        <v>0</v>
      </c>
      <c r="AU15" s="144">
        <f>IFERROR(_xlfn.XLOOKUP($B15,'Cronog. e Histog.'!$BZ:$BZ,'Cronog. e Histog.'!DP:DP),"")</f>
        <v>0</v>
      </c>
      <c r="AV15" s="144">
        <f>IFERROR(_xlfn.XLOOKUP($B15,'Cronog. e Histog.'!$BZ:$BZ,'Cronog. e Histog.'!DQ:DQ),"")</f>
        <v>0</v>
      </c>
      <c r="AW15" s="144">
        <f>IFERROR(_xlfn.XLOOKUP($B15,'Cronog. e Histog.'!$BZ:$BZ,'Cronog. e Histog.'!DR:DR),"")</f>
        <v>0</v>
      </c>
      <c r="AX15" s="144">
        <f>IFERROR(_xlfn.XLOOKUP($B15,'Cronog. e Histog.'!$BZ:$BZ,'Cronog. e Histog.'!DS:DS),"")</f>
        <v>0</v>
      </c>
      <c r="AY15" s="144">
        <f>IFERROR(_xlfn.XLOOKUP($B15,'Cronog. e Histog.'!$BZ:$BZ,'Cronog. e Histog.'!DT:DT),"")</f>
        <v>0</v>
      </c>
      <c r="AZ15" s="144">
        <f>IFERROR(_xlfn.XLOOKUP($B15,'Cronog. e Histog.'!$BZ:$BZ,'Cronog. e Histog.'!DU:DU),"")</f>
        <v>0</v>
      </c>
      <c r="BA15" s="144">
        <f>IFERROR(_xlfn.XLOOKUP($B15,'Cronog. e Histog.'!$BZ:$BZ,'Cronog. e Histog.'!DV:DV),"")</f>
        <v>0</v>
      </c>
      <c r="BB15" s="144">
        <f>IFERROR(_xlfn.XLOOKUP($B15,'Cronog. e Histog.'!$BZ:$BZ,'Cronog. e Histog.'!DW:DW),"")</f>
        <v>0</v>
      </c>
      <c r="BC15" s="144">
        <f>IFERROR(_xlfn.XLOOKUP($B15,'Cronog. e Histog.'!$BZ:$BZ,'Cronog. e Histog.'!DX:DX),"")</f>
        <v>0</v>
      </c>
      <c r="BD15" s="144">
        <f>IFERROR(_xlfn.XLOOKUP($B15,'Cronog. e Histog.'!$BZ:$BZ,'Cronog. e Histog.'!DY:DY),"")</f>
        <v>0</v>
      </c>
      <c r="BE15" s="144">
        <f>IFERROR(_xlfn.XLOOKUP($B15,'Cronog. e Histog.'!$BZ:$BZ,'Cronog. e Histog.'!DZ:DZ),"")</f>
        <v>0</v>
      </c>
      <c r="BF15" s="144">
        <f>IFERROR(_xlfn.XLOOKUP($B15,'Cronog. e Histog.'!$BZ:$BZ,'Cronog. e Histog.'!EA:EA),"")</f>
        <v>0</v>
      </c>
      <c r="BG15" s="144">
        <f>IFERROR(_xlfn.XLOOKUP($B15,'Cronog. e Histog.'!$BZ:$BZ,'Cronog. e Histog.'!EB:EB),"")</f>
        <v>0</v>
      </c>
      <c r="BH15" s="144">
        <f>IFERROR(_xlfn.XLOOKUP($B15,'Cronog. e Histog.'!$BZ:$BZ,'Cronog. e Histog.'!EC:EC),"")</f>
        <v>0</v>
      </c>
      <c r="BI15" s="144">
        <f>IFERROR(_xlfn.XLOOKUP($B15,'Cronog. e Histog.'!$BZ:$BZ,'Cronog. e Histog.'!ED:ED),"")</f>
        <v>0</v>
      </c>
      <c r="BJ15" s="144">
        <f>IFERROR(_xlfn.XLOOKUP($B15,'Cronog. e Histog.'!$BZ:$BZ,'Cronog. e Histog.'!EE:EE),"")</f>
        <v>0</v>
      </c>
      <c r="BK15" s="144">
        <f>IFERROR(_xlfn.XLOOKUP($B15,'Cronog. e Histog.'!$BZ:$BZ,'Cronog. e Histog.'!EF:EF),"")</f>
        <v>0</v>
      </c>
      <c r="BL15" s="144">
        <f>IFERROR(_xlfn.XLOOKUP($B15,'Cronog. e Histog.'!$BZ:$BZ,'Cronog. e Histog.'!EG:EG),"")</f>
        <v>0</v>
      </c>
      <c r="BM15" s="144">
        <f>IFERROR(_xlfn.XLOOKUP($B15,'Cronog. e Histog.'!$BZ:$BZ,'Cronog. e Histog.'!EH:EH),"")</f>
        <v>0</v>
      </c>
      <c r="BN15" s="144">
        <f>IFERROR(_xlfn.XLOOKUP($B15,'Cronog. e Histog.'!$BZ:$BZ,'Cronog. e Histog.'!EI:EI),"")</f>
        <v>0</v>
      </c>
    </row>
    <row r="16" spans="2:66" ht="12" hidden="1" customHeight="1" outlineLevel="1">
      <c r="B16" s="76">
        <v>10</v>
      </c>
      <c r="C16" s="143" t="str">
        <f>IFERROR(VLOOKUP(B16,'Cronog. e Histog.'!$BZ$213:$CA$747,2,0),"")</f>
        <v>AN SR. ADM/CRP</v>
      </c>
      <c r="D16" s="144">
        <f t="shared" si="0"/>
        <v>0</v>
      </c>
      <c r="E16" s="144">
        <f t="shared" si="1"/>
        <v>0</v>
      </c>
      <c r="F16" s="65"/>
      <c r="G16" s="144">
        <f>IFERROR(_xlfn.XLOOKUP($B16,'Cronog. e Histog.'!$BZ:$BZ,'Cronog. e Histog.'!CB:CB),"")</f>
        <v>0</v>
      </c>
      <c r="H16" s="144">
        <f>IFERROR(_xlfn.XLOOKUP($B16,'Cronog. e Histog.'!$BZ:$BZ,'Cronog. e Histog.'!CC:CC),"")</f>
        <v>0</v>
      </c>
      <c r="I16" s="144">
        <f>IFERROR(_xlfn.XLOOKUP($B16,'Cronog. e Histog.'!$BZ:$BZ,'Cronog. e Histog.'!CD:CD),"")</f>
        <v>0</v>
      </c>
      <c r="J16" s="144">
        <f>IFERROR(_xlfn.XLOOKUP($B16,'Cronog. e Histog.'!$BZ:$BZ,'Cronog. e Histog.'!CE:CE),"")</f>
        <v>0</v>
      </c>
      <c r="K16" s="144">
        <f>IFERROR(_xlfn.XLOOKUP($B16,'Cronog. e Histog.'!$BZ:$BZ,'Cronog. e Histog.'!CF:CF),"")</f>
        <v>0</v>
      </c>
      <c r="L16" s="144">
        <f>IFERROR(_xlfn.XLOOKUP($B16,'Cronog. e Histog.'!$BZ:$BZ,'Cronog. e Histog.'!CG:CG),"")</f>
        <v>0</v>
      </c>
      <c r="M16" s="144">
        <f>IFERROR(_xlfn.XLOOKUP($B16,'Cronog. e Histog.'!$BZ:$BZ,'Cronog. e Histog.'!CH:CH),"")</f>
        <v>0</v>
      </c>
      <c r="N16" s="144">
        <f>IFERROR(_xlfn.XLOOKUP($B16,'Cronog. e Histog.'!$BZ:$BZ,'Cronog. e Histog.'!CI:CI),"")</f>
        <v>0</v>
      </c>
      <c r="O16" s="144">
        <f>IFERROR(_xlfn.XLOOKUP($B16,'Cronog. e Histog.'!$BZ:$BZ,'Cronog. e Histog.'!CJ:CJ),"")</f>
        <v>0</v>
      </c>
      <c r="P16" s="144">
        <f>IFERROR(_xlfn.XLOOKUP($B16,'Cronog. e Histog.'!$BZ:$BZ,'Cronog. e Histog.'!CK:CK),"")</f>
        <v>0</v>
      </c>
      <c r="Q16" s="144">
        <f>IFERROR(_xlfn.XLOOKUP($B16,'Cronog. e Histog.'!$BZ:$BZ,'Cronog. e Histog.'!CL:CL),"")</f>
        <v>0</v>
      </c>
      <c r="R16" s="144">
        <f>IFERROR(_xlfn.XLOOKUP($B16,'Cronog. e Histog.'!$BZ:$BZ,'Cronog. e Histog.'!CM:CM),"")</f>
        <v>0</v>
      </c>
      <c r="S16" s="144">
        <f>IFERROR(_xlfn.XLOOKUP($B16,'Cronog. e Histog.'!$BZ:$BZ,'Cronog. e Histog.'!CN:CN),"")</f>
        <v>0</v>
      </c>
      <c r="T16" s="144">
        <f>IFERROR(_xlfn.XLOOKUP($B16,'Cronog. e Histog.'!$BZ:$BZ,'Cronog. e Histog.'!CO:CO),"")</f>
        <v>0</v>
      </c>
      <c r="U16" s="144">
        <f>IFERROR(_xlfn.XLOOKUP($B16,'Cronog. e Histog.'!$BZ:$BZ,'Cronog. e Histog.'!CP:CP),"")</f>
        <v>0</v>
      </c>
      <c r="V16" s="144">
        <f>IFERROR(_xlfn.XLOOKUP($B16,'Cronog. e Histog.'!$BZ:$BZ,'Cronog. e Histog.'!CQ:CQ),"")</f>
        <v>0</v>
      </c>
      <c r="W16" s="144">
        <f>IFERROR(_xlfn.XLOOKUP($B16,'Cronog. e Histog.'!$BZ:$BZ,'Cronog. e Histog.'!CR:CR),"")</f>
        <v>0</v>
      </c>
      <c r="X16" s="144">
        <f>IFERROR(_xlfn.XLOOKUP($B16,'Cronog. e Histog.'!$BZ:$BZ,'Cronog. e Histog.'!CS:CS),"")</f>
        <v>0</v>
      </c>
      <c r="Y16" s="144">
        <f>IFERROR(_xlfn.XLOOKUP($B16,'Cronog. e Histog.'!$BZ:$BZ,'Cronog. e Histog.'!CT:CT),"")</f>
        <v>0</v>
      </c>
      <c r="Z16" s="144">
        <f>IFERROR(_xlfn.XLOOKUP($B16,'Cronog. e Histog.'!$BZ:$BZ,'Cronog. e Histog.'!CU:CU),"")</f>
        <v>0</v>
      </c>
      <c r="AA16" s="144">
        <f>IFERROR(_xlfn.XLOOKUP($B16,'Cronog. e Histog.'!$BZ:$BZ,'Cronog. e Histog.'!CV:CV),"")</f>
        <v>0</v>
      </c>
      <c r="AB16" s="144">
        <f>IFERROR(_xlfn.XLOOKUP($B16,'Cronog. e Histog.'!$BZ:$BZ,'Cronog. e Histog.'!CW:CW),"")</f>
        <v>0</v>
      </c>
      <c r="AC16" s="144">
        <f>IFERROR(_xlfn.XLOOKUP($B16,'Cronog. e Histog.'!$BZ:$BZ,'Cronog. e Histog.'!CX:CX),"")</f>
        <v>0</v>
      </c>
      <c r="AD16" s="144">
        <f>IFERROR(_xlfn.XLOOKUP($B16,'Cronog. e Histog.'!$BZ:$BZ,'Cronog. e Histog.'!CY:CY),"")</f>
        <v>0</v>
      </c>
      <c r="AE16" s="144">
        <f>IFERROR(_xlfn.XLOOKUP($B16,'Cronog. e Histog.'!$BZ:$BZ,'Cronog. e Histog.'!CZ:CZ),"")</f>
        <v>0</v>
      </c>
      <c r="AF16" s="144">
        <f>IFERROR(_xlfn.XLOOKUP($B16,'Cronog. e Histog.'!$BZ:$BZ,'Cronog. e Histog.'!DA:DA),"")</f>
        <v>0</v>
      </c>
      <c r="AG16" s="144">
        <f>IFERROR(_xlfn.XLOOKUP($B16,'Cronog. e Histog.'!$BZ:$BZ,'Cronog. e Histog.'!DB:DB),"")</f>
        <v>0</v>
      </c>
      <c r="AH16" s="144">
        <f>IFERROR(_xlfn.XLOOKUP($B16,'Cronog. e Histog.'!$BZ:$BZ,'Cronog. e Histog.'!DC:DC),"")</f>
        <v>0</v>
      </c>
      <c r="AI16" s="144">
        <f>IFERROR(_xlfn.XLOOKUP($B16,'Cronog. e Histog.'!$BZ:$BZ,'Cronog. e Histog.'!DD:DD),"")</f>
        <v>0</v>
      </c>
      <c r="AJ16" s="144">
        <f>IFERROR(_xlfn.XLOOKUP($B16,'Cronog. e Histog.'!$BZ:$BZ,'Cronog. e Histog.'!DE:DE),"")</f>
        <v>0</v>
      </c>
      <c r="AK16" s="144">
        <f>IFERROR(_xlfn.XLOOKUP($B16,'Cronog. e Histog.'!$BZ:$BZ,'Cronog. e Histog.'!DF:DF),"")</f>
        <v>0</v>
      </c>
      <c r="AL16" s="144">
        <f>IFERROR(_xlfn.XLOOKUP($B16,'Cronog. e Histog.'!$BZ:$BZ,'Cronog. e Histog.'!DG:DG),"")</f>
        <v>0</v>
      </c>
      <c r="AM16" s="144">
        <f>IFERROR(_xlfn.XLOOKUP($B16,'Cronog. e Histog.'!$BZ:$BZ,'Cronog. e Histog.'!DH:DH),"")</f>
        <v>0</v>
      </c>
      <c r="AN16" s="144">
        <f>IFERROR(_xlfn.XLOOKUP($B16,'Cronog. e Histog.'!$BZ:$BZ,'Cronog. e Histog.'!DI:DI),"")</f>
        <v>0</v>
      </c>
      <c r="AO16" s="144">
        <f>IFERROR(_xlfn.XLOOKUP($B16,'Cronog. e Histog.'!$BZ:$BZ,'Cronog. e Histog.'!DJ:DJ),"")</f>
        <v>0</v>
      </c>
      <c r="AP16" s="144">
        <f>IFERROR(_xlfn.XLOOKUP($B16,'Cronog. e Histog.'!$BZ:$BZ,'Cronog. e Histog.'!DK:DK),"")</f>
        <v>0</v>
      </c>
      <c r="AQ16" s="144">
        <f>IFERROR(_xlfn.XLOOKUP($B16,'Cronog. e Histog.'!$BZ:$BZ,'Cronog. e Histog.'!DL:DL),"")</f>
        <v>0</v>
      </c>
      <c r="AR16" s="144">
        <f>IFERROR(_xlfn.XLOOKUP($B16,'Cronog. e Histog.'!$BZ:$BZ,'Cronog. e Histog.'!DM:DM),"")</f>
        <v>0</v>
      </c>
      <c r="AS16" s="144">
        <f>IFERROR(_xlfn.XLOOKUP($B16,'Cronog. e Histog.'!$BZ:$BZ,'Cronog. e Histog.'!DN:DN),"")</f>
        <v>0</v>
      </c>
      <c r="AT16" s="144">
        <f>IFERROR(_xlfn.XLOOKUP($B16,'Cronog. e Histog.'!$BZ:$BZ,'Cronog. e Histog.'!DO:DO),"")</f>
        <v>0</v>
      </c>
      <c r="AU16" s="144">
        <f>IFERROR(_xlfn.XLOOKUP($B16,'Cronog. e Histog.'!$BZ:$BZ,'Cronog. e Histog.'!DP:DP),"")</f>
        <v>0</v>
      </c>
      <c r="AV16" s="144">
        <f>IFERROR(_xlfn.XLOOKUP($B16,'Cronog. e Histog.'!$BZ:$BZ,'Cronog. e Histog.'!DQ:DQ),"")</f>
        <v>0</v>
      </c>
      <c r="AW16" s="144">
        <f>IFERROR(_xlfn.XLOOKUP($B16,'Cronog. e Histog.'!$BZ:$BZ,'Cronog. e Histog.'!DR:DR),"")</f>
        <v>0</v>
      </c>
      <c r="AX16" s="144">
        <f>IFERROR(_xlfn.XLOOKUP($B16,'Cronog. e Histog.'!$BZ:$BZ,'Cronog. e Histog.'!DS:DS),"")</f>
        <v>0</v>
      </c>
      <c r="AY16" s="144">
        <f>IFERROR(_xlfn.XLOOKUP($B16,'Cronog. e Histog.'!$BZ:$BZ,'Cronog. e Histog.'!DT:DT),"")</f>
        <v>0</v>
      </c>
      <c r="AZ16" s="144">
        <f>IFERROR(_xlfn.XLOOKUP($B16,'Cronog. e Histog.'!$BZ:$BZ,'Cronog. e Histog.'!DU:DU),"")</f>
        <v>0</v>
      </c>
      <c r="BA16" s="144">
        <f>IFERROR(_xlfn.XLOOKUP($B16,'Cronog. e Histog.'!$BZ:$BZ,'Cronog. e Histog.'!DV:DV),"")</f>
        <v>0</v>
      </c>
      <c r="BB16" s="144">
        <f>IFERROR(_xlfn.XLOOKUP($B16,'Cronog. e Histog.'!$BZ:$BZ,'Cronog. e Histog.'!DW:DW),"")</f>
        <v>0</v>
      </c>
      <c r="BC16" s="144">
        <f>IFERROR(_xlfn.XLOOKUP($B16,'Cronog. e Histog.'!$BZ:$BZ,'Cronog. e Histog.'!DX:DX),"")</f>
        <v>0</v>
      </c>
      <c r="BD16" s="144">
        <f>IFERROR(_xlfn.XLOOKUP($B16,'Cronog. e Histog.'!$BZ:$BZ,'Cronog. e Histog.'!DY:DY),"")</f>
        <v>0</v>
      </c>
      <c r="BE16" s="144">
        <f>IFERROR(_xlfn.XLOOKUP($B16,'Cronog. e Histog.'!$BZ:$BZ,'Cronog. e Histog.'!DZ:DZ),"")</f>
        <v>0</v>
      </c>
      <c r="BF16" s="144">
        <f>IFERROR(_xlfn.XLOOKUP($B16,'Cronog. e Histog.'!$BZ:$BZ,'Cronog. e Histog.'!EA:EA),"")</f>
        <v>0</v>
      </c>
      <c r="BG16" s="144">
        <f>IFERROR(_xlfn.XLOOKUP($B16,'Cronog. e Histog.'!$BZ:$BZ,'Cronog. e Histog.'!EB:EB),"")</f>
        <v>0</v>
      </c>
      <c r="BH16" s="144">
        <f>IFERROR(_xlfn.XLOOKUP($B16,'Cronog. e Histog.'!$BZ:$BZ,'Cronog. e Histog.'!EC:EC),"")</f>
        <v>0</v>
      </c>
      <c r="BI16" s="144">
        <f>IFERROR(_xlfn.XLOOKUP($B16,'Cronog. e Histog.'!$BZ:$BZ,'Cronog. e Histog.'!ED:ED),"")</f>
        <v>0</v>
      </c>
      <c r="BJ16" s="144">
        <f>IFERROR(_xlfn.XLOOKUP($B16,'Cronog. e Histog.'!$BZ:$BZ,'Cronog. e Histog.'!EE:EE),"")</f>
        <v>0</v>
      </c>
      <c r="BK16" s="144">
        <f>IFERROR(_xlfn.XLOOKUP($B16,'Cronog. e Histog.'!$BZ:$BZ,'Cronog. e Histog.'!EF:EF),"")</f>
        <v>0</v>
      </c>
      <c r="BL16" s="144">
        <f>IFERROR(_xlfn.XLOOKUP($B16,'Cronog. e Histog.'!$BZ:$BZ,'Cronog. e Histog.'!EG:EG),"")</f>
        <v>0</v>
      </c>
      <c r="BM16" s="144">
        <f>IFERROR(_xlfn.XLOOKUP($B16,'Cronog. e Histog.'!$BZ:$BZ,'Cronog. e Histog.'!EH:EH),"")</f>
        <v>0</v>
      </c>
      <c r="BN16" s="144">
        <f>IFERROR(_xlfn.XLOOKUP($B16,'Cronog. e Histog.'!$BZ:$BZ,'Cronog. e Histog.'!EI:EI),"")</f>
        <v>0</v>
      </c>
    </row>
    <row r="17" spans="2:66" ht="12" hidden="1" customHeight="1" outlineLevel="1">
      <c r="B17" s="76">
        <v>11</v>
      </c>
      <c r="C17" s="143" t="str">
        <f>IFERROR(VLOOKUP(B17,'Cronog. e Histog.'!$BZ$213:$CA$747,2,0),"")</f>
        <v>AN PL. ADM/CRP</v>
      </c>
      <c r="D17" s="144">
        <f t="shared" si="0"/>
        <v>0</v>
      </c>
      <c r="E17" s="144">
        <f t="shared" si="1"/>
        <v>0</v>
      </c>
      <c r="F17" s="65"/>
      <c r="G17" s="144">
        <f>IFERROR(_xlfn.XLOOKUP($B17,'Cronog. e Histog.'!$BZ:$BZ,'Cronog. e Histog.'!CB:CB),"")</f>
        <v>0</v>
      </c>
      <c r="H17" s="144">
        <f>IFERROR(_xlfn.XLOOKUP($B17,'Cronog. e Histog.'!$BZ:$BZ,'Cronog. e Histog.'!CC:CC),"")</f>
        <v>0</v>
      </c>
      <c r="I17" s="144">
        <f>IFERROR(_xlfn.XLOOKUP($B17,'Cronog. e Histog.'!$BZ:$BZ,'Cronog. e Histog.'!CD:CD),"")</f>
        <v>0</v>
      </c>
      <c r="J17" s="144">
        <f>IFERROR(_xlfn.XLOOKUP($B17,'Cronog. e Histog.'!$BZ:$BZ,'Cronog. e Histog.'!CE:CE),"")</f>
        <v>0</v>
      </c>
      <c r="K17" s="144">
        <f>IFERROR(_xlfn.XLOOKUP($B17,'Cronog. e Histog.'!$BZ:$BZ,'Cronog. e Histog.'!CF:CF),"")</f>
        <v>0</v>
      </c>
      <c r="L17" s="144">
        <f>IFERROR(_xlfn.XLOOKUP($B17,'Cronog. e Histog.'!$BZ:$BZ,'Cronog. e Histog.'!CG:CG),"")</f>
        <v>0</v>
      </c>
      <c r="M17" s="144">
        <f>IFERROR(_xlfn.XLOOKUP($B17,'Cronog. e Histog.'!$BZ:$BZ,'Cronog. e Histog.'!CH:CH),"")</f>
        <v>0</v>
      </c>
      <c r="N17" s="144">
        <f>IFERROR(_xlfn.XLOOKUP($B17,'Cronog. e Histog.'!$BZ:$BZ,'Cronog. e Histog.'!CI:CI),"")</f>
        <v>0</v>
      </c>
      <c r="O17" s="144">
        <f>IFERROR(_xlfn.XLOOKUP($B17,'Cronog. e Histog.'!$BZ:$BZ,'Cronog. e Histog.'!CJ:CJ),"")</f>
        <v>0</v>
      </c>
      <c r="P17" s="144">
        <f>IFERROR(_xlfn.XLOOKUP($B17,'Cronog. e Histog.'!$BZ:$BZ,'Cronog. e Histog.'!CK:CK),"")</f>
        <v>0</v>
      </c>
      <c r="Q17" s="144">
        <f>IFERROR(_xlfn.XLOOKUP($B17,'Cronog. e Histog.'!$BZ:$BZ,'Cronog. e Histog.'!CL:CL),"")</f>
        <v>0</v>
      </c>
      <c r="R17" s="144">
        <f>IFERROR(_xlfn.XLOOKUP($B17,'Cronog. e Histog.'!$BZ:$BZ,'Cronog. e Histog.'!CM:CM),"")</f>
        <v>0</v>
      </c>
      <c r="S17" s="144">
        <f>IFERROR(_xlfn.XLOOKUP($B17,'Cronog. e Histog.'!$BZ:$BZ,'Cronog. e Histog.'!CN:CN),"")</f>
        <v>0</v>
      </c>
      <c r="T17" s="144">
        <f>IFERROR(_xlfn.XLOOKUP($B17,'Cronog. e Histog.'!$BZ:$BZ,'Cronog. e Histog.'!CO:CO),"")</f>
        <v>0</v>
      </c>
      <c r="U17" s="144">
        <f>IFERROR(_xlfn.XLOOKUP($B17,'Cronog. e Histog.'!$BZ:$BZ,'Cronog. e Histog.'!CP:CP),"")</f>
        <v>0</v>
      </c>
      <c r="V17" s="144">
        <f>IFERROR(_xlfn.XLOOKUP($B17,'Cronog. e Histog.'!$BZ:$BZ,'Cronog. e Histog.'!CQ:CQ),"")</f>
        <v>0</v>
      </c>
      <c r="W17" s="144">
        <f>IFERROR(_xlfn.XLOOKUP($B17,'Cronog. e Histog.'!$BZ:$BZ,'Cronog. e Histog.'!CR:CR),"")</f>
        <v>0</v>
      </c>
      <c r="X17" s="144">
        <f>IFERROR(_xlfn.XLOOKUP($B17,'Cronog. e Histog.'!$BZ:$BZ,'Cronog. e Histog.'!CS:CS),"")</f>
        <v>0</v>
      </c>
      <c r="Y17" s="144">
        <f>IFERROR(_xlfn.XLOOKUP($B17,'Cronog. e Histog.'!$BZ:$BZ,'Cronog. e Histog.'!CT:CT),"")</f>
        <v>0</v>
      </c>
      <c r="Z17" s="144">
        <f>IFERROR(_xlfn.XLOOKUP($B17,'Cronog. e Histog.'!$BZ:$BZ,'Cronog. e Histog.'!CU:CU),"")</f>
        <v>0</v>
      </c>
      <c r="AA17" s="144">
        <f>IFERROR(_xlfn.XLOOKUP($B17,'Cronog. e Histog.'!$BZ:$BZ,'Cronog. e Histog.'!CV:CV),"")</f>
        <v>0</v>
      </c>
      <c r="AB17" s="144">
        <f>IFERROR(_xlfn.XLOOKUP($B17,'Cronog. e Histog.'!$BZ:$BZ,'Cronog. e Histog.'!CW:CW),"")</f>
        <v>0</v>
      </c>
      <c r="AC17" s="144">
        <f>IFERROR(_xlfn.XLOOKUP($B17,'Cronog. e Histog.'!$BZ:$BZ,'Cronog. e Histog.'!CX:CX),"")</f>
        <v>0</v>
      </c>
      <c r="AD17" s="144">
        <f>IFERROR(_xlfn.XLOOKUP($B17,'Cronog. e Histog.'!$BZ:$BZ,'Cronog. e Histog.'!CY:CY),"")</f>
        <v>0</v>
      </c>
      <c r="AE17" s="144">
        <f>IFERROR(_xlfn.XLOOKUP($B17,'Cronog. e Histog.'!$BZ:$BZ,'Cronog. e Histog.'!CZ:CZ),"")</f>
        <v>0</v>
      </c>
      <c r="AF17" s="144">
        <f>IFERROR(_xlfn.XLOOKUP($B17,'Cronog. e Histog.'!$BZ:$BZ,'Cronog. e Histog.'!DA:DA),"")</f>
        <v>0</v>
      </c>
      <c r="AG17" s="144">
        <f>IFERROR(_xlfn.XLOOKUP($B17,'Cronog. e Histog.'!$BZ:$BZ,'Cronog. e Histog.'!DB:DB),"")</f>
        <v>0</v>
      </c>
      <c r="AH17" s="144">
        <f>IFERROR(_xlfn.XLOOKUP($B17,'Cronog. e Histog.'!$BZ:$BZ,'Cronog. e Histog.'!DC:DC),"")</f>
        <v>0</v>
      </c>
      <c r="AI17" s="144">
        <f>IFERROR(_xlfn.XLOOKUP($B17,'Cronog. e Histog.'!$BZ:$BZ,'Cronog. e Histog.'!DD:DD),"")</f>
        <v>0</v>
      </c>
      <c r="AJ17" s="144">
        <f>IFERROR(_xlfn.XLOOKUP($B17,'Cronog. e Histog.'!$BZ:$BZ,'Cronog. e Histog.'!DE:DE),"")</f>
        <v>0</v>
      </c>
      <c r="AK17" s="144">
        <f>IFERROR(_xlfn.XLOOKUP($B17,'Cronog. e Histog.'!$BZ:$BZ,'Cronog. e Histog.'!DF:DF),"")</f>
        <v>0</v>
      </c>
      <c r="AL17" s="144">
        <f>IFERROR(_xlfn.XLOOKUP($B17,'Cronog. e Histog.'!$BZ:$BZ,'Cronog. e Histog.'!DG:DG),"")</f>
        <v>0</v>
      </c>
      <c r="AM17" s="144">
        <f>IFERROR(_xlfn.XLOOKUP($B17,'Cronog. e Histog.'!$BZ:$BZ,'Cronog. e Histog.'!DH:DH),"")</f>
        <v>0</v>
      </c>
      <c r="AN17" s="144">
        <f>IFERROR(_xlfn.XLOOKUP($B17,'Cronog. e Histog.'!$BZ:$BZ,'Cronog. e Histog.'!DI:DI),"")</f>
        <v>0</v>
      </c>
      <c r="AO17" s="144">
        <f>IFERROR(_xlfn.XLOOKUP($B17,'Cronog. e Histog.'!$BZ:$BZ,'Cronog. e Histog.'!DJ:DJ),"")</f>
        <v>0</v>
      </c>
      <c r="AP17" s="144">
        <f>IFERROR(_xlfn.XLOOKUP($B17,'Cronog. e Histog.'!$BZ:$BZ,'Cronog. e Histog.'!DK:DK),"")</f>
        <v>0</v>
      </c>
      <c r="AQ17" s="144">
        <f>IFERROR(_xlfn.XLOOKUP($B17,'Cronog. e Histog.'!$BZ:$BZ,'Cronog. e Histog.'!DL:DL),"")</f>
        <v>0</v>
      </c>
      <c r="AR17" s="144">
        <f>IFERROR(_xlfn.XLOOKUP($B17,'Cronog. e Histog.'!$BZ:$BZ,'Cronog. e Histog.'!DM:DM),"")</f>
        <v>0</v>
      </c>
      <c r="AS17" s="144">
        <f>IFERROR(_xlfn.XLOOKUP($B17,'Cronog. e Histog.'!$BZ:$BZ,'Cronog. e Histog.'!DN:DN),"")</f>
        <v>0</v>
      </c>
      <c r="AT17" s="144">
        <f>IFERROR(_xlfn.XLOOKUP($B17,'Cronog. e Histog.'!$BZ:$BZ,'Cronog. e Histog.'!DO:DO),"")</f>
        <v>0</v>
      </c>
      <c r="AU17" s="144">
        <f>IFERROR(_xlfn.XLOOKUP($B17,'Cronog. e Histog.'!$BZ:$BZ,'Cronog. e Histog.'!DP:DP),"")</f>
        <v>0</v>
      </c>
      <c r="AV17" s="144">
        <f>IFERROR(_xlfn.XLOOKUP($B17,'Cronog. e Histog.'!$BZ:$BZ,'Cronog. e Histog.'!DQ:DQ),"")</f>
        <v>0</v>
      </c>
      <c r="AW17" s="144">
        <f>IFERROR(_xlfn.XLOOKUP($B17,'Cronog. e Histog.'!$BZ:$BZ,'Cronog. e Histog.'!DR:DR),"")</f>
        <v>0</v>
      </c>
      <c r="AX17" s="144">
        <f>IFERROR(_xlfn.XLOOKUP($B17,'Cronog. e Histog.'!$BZ:$BZ,'Cronog. e Histog.'!DS:DS),"")</f>
        <v>0</v>
      </c>
      <c r="AY17" s="144">
        <f>IFERROR(_xlfn.XLOOKUP($B17,'Cronog. e Histog.'!$BZ:$BZ,'Cronog. e Histog.'!DT:DT),"")</f>
        <v>0</v>
      </c>
      <c r="AZ17" s="144">
        <f>IFERROR(_xlfn.XLOOKUP($B17,'Cronog. e Histog.'!$BZ:$BZ,'Cronog. e Histog.'!DU:DU),"")</f>
        <v>0</v>
      </c>
      <c r="BA17" s="144">
        <f>IFERROR(_xlfn.XLOOKUP($B17,'Cronog. e Histog.'!$BZ:$BZ,'Cronog. e Histog.'!DV:DV),"")</f>
        <v>0</v>
      </c>
      <c r="BB17" s="144">
        <f>IFERROR(_xlfn.XLOOKUP($B17,'Cronog. e Histog.'!$BZ:$BZ,'Cronog. e Histog.'!DW:DW),"")</f>
        <v>0</v>
      </c>
      <c r="BC17" s="144">
        <f>IFERROR(_xlfn.XLOOKUP($B17,'Cronog. e Histog.'!$BZ:$BZ,'Cronog. e Histog.'!DX:DX),"")</f>
        <v>0</v>
      </c>
      <c r="BD17" s="144">
        <f>IFERROR(_xlfn.XLOOKUP($B17,'Cronog. e Histog.'!$BZ:$BZ,'Cronog. e Histog.'!DY:DY),"")</f>
        <v>0</v>
      </c>
      <c r="BE17" s="144">
        <f>IFERROR(_xlfn.XLOOKUP($B17,'Cronog. e Histog.'!$BZ:$BZ,'Cronog. e Histog.'!DZ:DZ),"")</f>
        <v>0</v>
      </c>
      <c r="BF17" s="144">
        <f>IFERROR(_xlfn.XLOOKUP($B17,'Cronog. e Histog.'!$BZ:$BZ,'Cronog. e Histog.'!EA:EA),"")</f>
        <v>0</v>
      </c>
      <c r="BG17" s="144">
        <f>IFERROR(_xlfn.XLOOKUP($B17,'Cronog. e Histog.'!$BZ:$BZ,'Cronog. e Histog.'!EB:EB),"")</f>
        <v>0</v>
      </c>
      <c r="BH17" s="144">
        <f>IFERROR(_xlfn.XLOOKUP($B17,'Cronog. e Histog.'!$BZ:$BZ,'Cronog. e Histog.'!EC:EC),"")</f>
        <v>0</v>
      </c>
      <c r="BI17" s="144">
        <f>IFERROR(_xlfn.XLOOKUP($B17,'Cronog. e Histog.'!$BZ:$BZ,'Cronog. e Histog.'!ED:ED),"")</f>
        <v>0</v>
      </c>
      <c r="BJ17" s="144">
        <f>IFERROR(_xlfn.XLOOKUP($B17,'Cronog. e Histog.'!$BZ:$BZ,'Cronog. e Histog.'!EE:EE),"")</f>
        <v>0</v>
      </c>
      <c r="BK17" s="144">
        <f>IFERROR(_xlfn.XLOOKUP($B17,'Cronog. e Histog.'!$BZ:$BZ,'Cronog. e Histog.'!EF:EF),"")</f>
        <v>0</v>
      </c>
      <c r="BL17" s="144">
        <f>IFERROR(_xlfn.XLOOKUP($B17,'Cronog. e Histog.'!$BZ:$BZ,'Cronog. e Histog.'!EG:EG),"")</f>
        <v>0</v>
      </c>
      <c r="BM17" s="144">
        <f>IFERROR(_xlfn.XLOOKUP($B17,'Cronog. e Histog.'!$BZ:$BZ,'Cronog. e Histog.'!EH:EH),"")</f>
        <v>0</v>
      </c>
      <c r="BN17" s="144">
        <f>IFERROR(_xlfn.XLOOKUP($B17,'Cronog. e Histog.'!$BZ:$BZ,'Cronog. e Histog.'!EI:EI),"")</f>
        <v>0</v>
      </c>
    </row>
    <row r="18" spans="2:66" ht="12" hidden="1" customHeight="1" outlineLevel="1">
      <c r="B18" s="76">
        <v>12</v>
      </c>
      <c r="C18" s="143" t="str">
        <f>IFERROR(VLOOKUP(B18,'Cronog. e Histog.'!$BZ$213:$CA$747,2,0),"")</f>
        <v>AN JR. ADM/CRP</v>
      </c>
      <c r="D18" s="144">
        <f t="shared" si="0"/>
        <v>0</v>
      </c>
      <c r="E18" s="144">
        <f t="shared" si="1"/>
        <v>0</v>
      </c>
      <c r="F18" s="65"/>
      <c r="G18" s="144">
        <f>IFERROR(_xlfn.XLOOKUP($B18,'Cronog. e Histog.'!$BZ:$BZ,'Cronog. e Histog.'!CB:CB),"")</f>
        <v>0</v>
      </c>
      <c r="H18" s="144">
        <f>IFERROR(_xlfn.XLOOKUP($B18,'Cronog. e Histog.'!$BZ:$BZ,'Cronog. e Histog.'!CC:CC),"")</f>
        <v>0</v>
      </c>
      <c r="I18" s="144">
        <f>IFERROR(_xlfn.XLOOKUP($B18,'Cronog. e Histog.'!$BZ:$BZ,'Cronog. e Histog.'!CD:CD),"")</f>
        <v>0</v>
      </c>
      <c r="J18" s="144">
        <f>IFERROR(_xlfn.XLOOKUP($B18,'Cronog. e Histog.'!$BZ:$BZ,'Cronog. e Histog.'!CE:CE),"")</f>
        <v>0</v>
      </c>
      <c r="K18" s="144">
        <f>IFERROR(_xlfn.XLOOKUP($B18,'Cronog. e Histog.'!$BZ:$BZ,'Cronog. e Histog.'!CF:CF),"")</f>
        <v>0</v>
      </c>
      <c r="L18" s="144">
        <f>IFERROR(_xlfn.XLOOKUP($B18,'Cronog. e Histog.'!$BZ:$BZ,'Cronog. e Histog.'!CG:CG),"")</f>
        <v>0</v>
      </c>
      <c r="M18" s="144">
        <f>IFERROR(_xlfn.XLOOKUP($B18,'Cronog. e Histog.'!$BZ:$BZ,'Cronog. e Histog.'!CH:CH),"")</f>
        <v>0</v>
      </c>
      <c r="N18" s="144">
        <f>IFERROR(_xlfn.XLOOKUP($B18,'Cronog. e Histog.'!$BZ:$BZ,'Cronog. e Histog.'!CI:CI),"")</f>
        <v>0</v>
      </c>
      <c r="O18" s="144">
        <f>IFERROR(_xlfn.XLOOKUP($B18,'Cronog. e Histog.'!$BZ:$BZ,'Cronog. e Histog.'!CJ:CJ),"")</f>
        <v>0</v>
      </c>
      <c r="P18" s="144">
        <f>IFERROR(_xlfn.XLOOKUP($B18,'Cronog. e Histog.'!$BZ:$BZ,'Cronog. e Histog.'!CK:CK),"")</f>
        <v>0</v>
      </c>
      <c r="Q18" s="144">
        <f>IFERROR(_xlfn.XLOOKUP($B18,'Cronog. e Histog.'!$BZ:$BZ,'Cronog. e Histog.'!CL:CL),"")</f>
        <v>0</v>
      </c>
      <c r="R18" s="144">
        <f>IFERROR(_xlfn.XLOOKUP($B18,'Cronog. e Histog.'!$BZ:$BZ,'Cronog. e Histog.'!CM:CM),"")</f>
        <v>0</v>
      </c>
      <c r="S18" s="144">
        <f>IFERROR(_xlfn.XLOOKUP($B18,'Cronog. e Histog.'!$BZ:$BZ,'Cronog. e Histog.'!CN:CN),"")</f>
        <v>0</v>
      </c>
      <c r="T18" s="144">
        <f>IFERROR(_xlfn.XLOOKUP($B18,'Cronog. e Histog.'!$BZ:$BZ,'Cronog. e Histog.'!CO:CO),"")</f>
        <v>0</v>
      </c>
      <c r="U18" s="144">
        <f>IFERROR(_xlfn.XLOOKUP($B18,'Cronog. e Histog.'!$BZ:$BZ,'Cronog. e Histog.'!CP:CP),"")</f>
        <v>0</v>
      </c>
      <c r="V18" s="144">
        <f>IFERROR(_xlfn.XLOOKUP($B18,'Cronog. e Histog.'!$BZ:$BZ,'Cronog. e Histog.'!CQ:CQ),"")</f>
        <v>0</v>
      </c>
      <c r="W18" s="144">
        <f>IFERROR(_xlfn.XLOOKUP($B18,'Cronog. e Histog.'!$BZ:$BZ,'Cronog. e Histog.'!CR:CR),"")</f>
        <v>0</v>
      </c>
      <c r="X18" s="144">
        <f>IFERROR(_xlfn.XLOOKUP($B18,'Cronog. e Histog.'!$BZ:$BZ,'Cronog. e Histog.'!CS:CS),"")</f>
        <v>0</v>
      </c>
      <c r="Y18" s="144">
        <f>IFERROR(_xlfn.XLOOKUP($B18,'Cronog. e Histog.'!$BZ:$BZ,'Cronog. e Histog.'!CT:CT),"")</f>
        <v>0</v>
      </c>
      <c r="Z18" s="144">
        <f>IFERROR(_xlfn.XLOOKUP($B18,'Cronog. e Histog.'!$BZ:$BZ,'Cronog. e Histog.'!CU:CU),"")</f>
        <v>0</v>
      </c>
      <c r="AA18" s="144">
        <f>IFERROR(_xlfn.XLOOKUP($B18,'Cronog. e Histog.'!$BZ:$BZ,'Cronog. e Histog.'!CV:CV),"")</f>
        <v>0</v>
      </c>
      <c r="AB18" s="144">
        <f>IFERROR(_xlfn.XLOOKUP($B18,'Cronog. e Histog.'!$BZ:$BZ,'Cronog. e Histog.'!CW:CW),"")</f>
        <v>0</v>
      </c>
      <c r="AC18" s="144">
        <f>IFERROR(_xlfn.XLOOKUP($B18,'Cronog. e Histog.'!$BZ:$BZ,'Cronog. e Histog.'!CX:CX),"")</f>
        <v>0</v>
      </c>
      <c r="AD18" s="144">
        <f>IFERROR(_xlfn.XLOOKUP($B18,'Cronog. e Histog.'!$BZ:$BZ,'Cronog. e Histog.'!CY:CY),"")</f>
        <v>0</v>
      </c>
      <c r="AE18" s="144">
        <f>IFERROR(_xlfn.XLOOKUP($B18,'Cronog. e Histog.'!$BZ:$BZ,'Cronog. e Histog.'!CZ:CZ),"")</f>
        <v>0</v>
      </c>
      <c r="AF18" s="144">
        <f>IFERROR(_xlfn.XLOOKUP($B18,'Cronog. e Histog.'!$BZ:$BZ,'Cronog. e Histog.'!DA:DA),"")</f>
        <v>0</v>
      </c>
      <c r="AG18" s="144">
        <f>IFERROR(_xlfn.XLOOKUP($B18,'Cronog. e Histog.'!$BZ:$BZ,'Cronog. e Histog.'!DB:DB),"")</f>
        <v>0</v>
      </c>
      <c r="AH18" s="144">
        <f>IFERROR(_xlfn.XLOOKUP($B18,'Cronog. e Histog.'!$BZ:$BZ,'Cronog. e Histog.'!DC:DC),"")</f>
        <v>0</v>
      </c>
      <c r="AI18" s="144">
        <f>IFERROR(_xlfn.XLOOKUP($B18,'Cronog. e Histog.'!$BZ:$BZ,'Cronog. e Histog.'!DD:DD),"")</f>
        <v>0</v>
      </c>
      <c r="AJ18" s="144">
        <f>IFERROR(_xlfn.XLOOKUP($B18,'Cronog. e Histog.'!$BZ:$BZ,'Cronog. e Histog.'!DE:DE),"")</f>
        <v>0</v>
      </c>
      <c r="AK18" s="144">
        <f>IFERROR(_xlfn.XLOOKUP($B18,'Cronog. e Histog.'!$BZ:$BZ,'Cronog. e Histog.'!DF:DF),"")</f>
        <v>0</v>
      </c>
      <c r="AL18" s="144">
        <f>IFERROR(_xlfn.XLOOKUP($B18,'Cronog. e Histog.'!$BZ:$BZ,'Cronog. e Histog.'!DG:DG),"")</f>
        <v>0</v>
      </c>
      <c r="AM18" s="144">
        <f>IFERROR(_xlfn.XLOOKUP($B18,'Cronog. e Histog.'!$BZ:$BZ,'Cronog. e Histog.'!DH:DH),"")</f>
        <v>0</v>
      </c>
      <c r="AN18" s="144">
        <f>IFERROR(_xlfn.XLOOKUP($B18,'Cronog. e Histog.'!$BZ:$BZ,'Cronog. e Histog.'!DI:DI),"")</f>
        <v>0</v>
      </c>
      <c r="AO18" s="144">
        <f>IFERROR(_xlfn.XLOOKUP($B18,'Cronog. e Histog.'!$BZ:$BZ,'Cronog. e Histog.'!DJ:DJ),"")</f>
        <v>0</v>
      </c>
      <c r="AP18" s="144">
        <f>IFERROR(_xlfn.XLOOKUP($B18,'Cronog. e Histog.'!$BZ:$BZ,'Cronog. e Histog.'!DK:DK),"")</f>
        <v>0</v>
      </c>
      <c r="AQ18" s="144">
        <f>IFERROR(_xlfn.XLOOKUP($B18,'Cronog. e Histog.'!$BZ:$BZ,'Cronog. e Histog.'!DL:DL),"")</f>
        <v>0</v>
      </c>
      <c r="AR18" s="144">
        <f>IFERROR(_xlfn.XLOOKUP($B18,'Cronog. e Histog.'!$BZ:$BZ,'Cronog. e Histog.'!DM:DM),"")</f>
        <v>0</v>
      </c>
      <c r="AS18" s="144">
        <f>IFERROR(_xlfn.XLOOKUP($B18,'Cronog. e Histog.'!$BZ:$BZ,'Cronog. e Histog.'!DN:DN),"")</f>
        <v>0</v>
      </c>
      <c r="AT18" s="144">
        <f>IFERROR(_xlfn.XLOOKUP($B18,'Cronog. e Histog.'!$BZ:$BZ,'Cronog. e Histog.'!DO:DO),"")</f>
        <v>0</v>
      </c>
      <c r="AU18" s="144">
        <f>IFERROR(_xlfn.XLOOKUP($B18,'Cronog. e Histog.'!$BZ:$BZ,'Cronog. e Histog.'!DP:DP),"")</f>
        <v>0</v>
      </c>
      <c r="AV18" s="144">
        <f>IFERROR(_xlfn.XLOOKUP($B18,'Cronog. e Histog.'!$BZ:$BZ,'Cronog. e Histog.'!DQ:DQ),"")</f>
        <v>0</v>
      </c>
      <c r="AW18" s="144">
        <f>IFERROR(_xlfn.XLOOKUP($B18,'Cronog. e Histog.'!$BZ:$BZ,'Cronog. e Histog.'!DR:DR),"")</f>
        <v>0</v>
      </c>
      <c r="AX18" s="144">
        <f>IFERROR(_xlfn.XLOOKUP($B18,'Cronog. e Histog.'!$BZ:$BZ,'Cronog. e Histog.'!DS:DS),"")</f>
        <v>0</v>
      </c>
      <c r="AY18" s="144">
        <f>IFERROR(_xlfn.XLOOKUP($B18,'Cronog. e Histog.'!$BZ:$BZ,'Cronog. e Histog.'!DT:DT),"")</f>
        <v>0</v>
      </c>
      <c r="AZ18" s="144">
        <f>IFERROR(_xlfn.XLOOKUP($B18,'Cronog. e Histog.'!$BZ:$BZ,'Cronog. e Histog.'!DU:DU),"")</f>
        <v>0</v>
      </c>
      <c r="BA18" s="144">
        <f>IFERROR(_xlfn.XLOOKUP($B18,'Cronog. e Histog.'!$BZ:$BZ,'Cronog. e Histog.'!DV:DV),"")</f>
        <v>0</v>
      </c>
      <c r="BB18" s="144">
        <f>IFERROR(_xlfn.XLOOKUP($B18,'Cronog. e Histog.'!$BZ:$BZ,'Cronog. e Histog.'!DW:DW),"")</f>
        <v>0</v>
      </c>
      <c r="BC18" s="144">
        <f>IFERROR(_xlfn.XLOOKUP($B18,'Cronog. e Histog.'!$BZ:$BZ,'Cronog. e Histog.'!DX:DX),"")</f>
        <v>0</v>
      </c>
      <c r="BD18" s="144">
        <f>IFERROR(_xlfn.XLOOKUP($B18,'Cronog. e Histog.'!$BZ:$BZ,'Cronog. e Histog.'!DY:DY),"")</f>
        <v>0</v>
      </c>
      <c r="BE18" s="144">
        <f>IFERROR(_xlfn.XLOOKUP($B18,'Cronog. e Histog.'!$BZ:$BZ,'Cronog. e Histog.'!DZ:DZ),"")</f>
        <v>0</v>
      </c>
      <c r="BF18" s="144">
        <f>IFERROR(_xlfn.XLOOKUP($B18,'Cronog. e Histog.'!$BZ:$BZ,'Cronog. e Histog.'!EA:EA),"")</f>
        <v>0</v>
      </c>
      <c r="BG18" s="144">
        <f>IFERROR(_xlfn.XLOOKUP($B18,'Cronog. e Histog.'!$BZ:$BZ,'Cronog. e Histog.'!EB:EB),"")</f>
        <v>0</v>
      </c>
      <c r="BH18" s="144">
        <f>IFERROR(_xlfn.XLOOKUP($B18,'Cronog. e Histog.'!$BZ:$BZ,'Cronog. e Histog.'!EC:EC),"")</f>
        <v>0</v>
      </c>
      <c r="BI18" s="144">
        <f>IFERROR(_xlfn.XLOOKUP($B18,'Cronog. e Histog.'!$BZ:$BZ,'Cronog. e Histog.'!ED:ED),"")</f>
        <v>0</v>
      </c>
      <c r="BJ18" s="144">
        <f>IFERROR(_xlfn.XLOOKUP($B18,'Cronog. e Histog.'!$BZ:$BZ,'Cronog. e Histog.'!EE:EE),"")</f>
        <v>0</v>
      </c>
      <c r="BK18" s="144">
        <f>IFERROR(_xlfn.XLOOKUP($B18,'Cronog. e Histog.'!$BZ:$BZ,'Cronog. e Histog.'!EF:EF),"")</f>
        <v>0</v>
      </c>
      <c r="BL18" s="144">
        <f>IFERROR(_xlfn.XLOOKUP($B18,'Cronog. e Histog.'!$BZ:$BZ,'Cronog. e Histog.'!EG:EG),"")</f>
        <v>0</v>
      </c>
      <c r="BM18" s="144">
        <f>IFERROR(_xlfn.XLOOKUP($B18,'Cronog. e Histog.'!$BZ:$BZ,'Cronog. e Histog.'!EH:EH),"")</f>
        <v>0</v>
      </c>
      <c r="BN18" s="144">
        <f>IFERROR(_xlfn.XLOOKUP($B18,'Cronog. e Histog.'!$BZ:$BZ,'Cronog. e Histog.'!EI:EI),"")</f>
        <v>0</v>
      </c>
    </row>
    <row r="19" spans="2:66" ht="12" hidden="1" customHeight="1" outlineLevel="1">
      <c r="B19" s="76">
        <v>13</v>
      </c>
      <c r="C19" s="143" t="str">
        <f>IFERROR(VLOOKUP(B19,'Cronog. e Histog.'!$BZ$213:$CA$747,2,0),"")</f>
        <v>TEC III</v>
      </c>
      <c r="D19" s="144">
        <f t="shared" si="0"/>
        <v>0</v>
      </c>
      <c r="E19" s="144">
        <f t="shared" si="1"/>
        <v>0</v>
      </c>
      <c r="F19" s="65"/>
      <c r="G19" s="144">
        <f>IFERROR(_xlfn.XLOOKUP($B19,'Cronog. e Histog.'!$BZ:$BZ,'Cronog. e Histog.'!CB:CB),"")</f>
        <v>0</v>
      </c>
      <c r="H19" s="144">
        <f>IFERROR(_xlfn.XLOOKUP($B19,'Cronog. e Histog.'!$BZ:$BZ,'Cronog. e Histog.'!CC:CC),"")</f>
        <v>0</v>
      </c>
      <c r="I19" s="144">
        <f>IFERROR(_xlfn.XLOOKUP($B19,'Cronog. e Histog.'!$BZ:$BZ,'Cronog. e Histog.'!CD:CD),"")</f>
        <v>0</v>
      </c>
      <c r="J19" s="144">
        <f>IFERROR(_xlfn.XLOOKUP($B19,'Cronog. e Histog.'!$BZ:$BZ,'Cronog. e Histog.'!CE:CE),"")</f>
        <v>0</v>
      </c>
      <c r="K19" s="144">
        <f>IFERROR(_xlfn.XLOOKUP($B19,'Cronog. e Histog.'!$BZ:$BZ,'Cronog. e Histog.'!CF:CF),"")</f>
        <v>0</v>
      </c>
      <c r="L19" s="144">
        <f>IFERROR(_xlfn.XLOOKUP($B19,'Cronog. e Histog.'!$BZ:$BZ,'Cronog. e Histog.'!CG:CG),"")</f>
        <v>0</v>
      </c>
      <c r="M19" s="144">
        <f>IFERROR(_xlfn.XLOOKUP($B19,'Cronog. e Histog.'!$BZ:$BZ,'Cronog. e Histog.'!CH:CH),"")</f>
        <v>0</v>
      </c>
      <c r="N19" s="144">
        <f>IFERROR(_xlfn.XLOOKUP($B19,'Cronog. e Histog.'!$BZ:$BZ,'Cronog. e Histog.'!CI:CI),"")</f>
        <v>0</v>
      </c>
      <c r="O19" s="144">
        <f>IFERROR(_xlfn.XLOOKUP($B19,'Cronog. e Histog.'!$BZ:$BZ,'Cronog. e Histog.'!CJ:CJ),"")</f>
        <v>0</v>
      </c>
      <c r="P19" s="144">
        <f>IFERROR(_xlfn.XLOOKUP($B19,'Cronog. e Histog.'!$BZ:$BZ,'Cronog. e Histog.'!CK:CK),"")</f>
        <v>0</v>
      </c>
      <c r="Q19" s="144">
        <f>IFERROR(_xlfn.XLOOKUP($B19,'Cronog. e Histog.'!$BZ:$BZ,'Cronog. e Histog.'!CL:CL),"")</f>
        <v>0</v>
      </c>
      <c r="R19" s="144">
        <f>IFERROR(_xlfn.XLOOKUP($B19,'Cronog. e Histog.'!$BZ:$BZ,'Cronog. e Histog.'!CM:CM),"")</f>
        <v>0</v>
      </c>
      <c r="S19" s="144">
        <f>IFERROR(_xlfn.XLOOKUP($B19,'Cronog. e Histog.'!$BZ:$BZ,'Cronog. e Histog.'!CN:CN),"")</f>
        <v>0</v>
      </c>
      <c r="T19" s="144">
        <f>IFERROR(_xlfn.XLOOKUP($B19,'Cronog. e Histog.'!$BZ:$BZ,'Cronog. e Histog.'!CO:CO),"")</f>
        <v>0</v>
      </c>
      <c r="U19" s="144">
        <f>IFERROR(_xlfn.XLOOKUP($B19,'Cronog. e Histog.'!$BZ:$BZ,'Cronog. e Histog.'!CP:CP),"")</f>
        <v>0</v>
      </c>
      <c r="V19" s="144">
        <f>IFERROR(_xlfn.XLOOKUP($B19,'Cronog. e Histog.'!$BZ:$BZ,'Cronog. e Histog.'!CQ:CQ),"")</f>
        <v>0</v>
      </c>
      <c r="W19" s="144">
        <f>IFERROR(_xlfn.XLOOKUP($B19,'Cronog. e Histog.'!$BZ:$BZ,'Cronog. e Histog.'!CR:CR),"")</f>
        <v>0</v>
      </c>
      <c r="X19" s="144">
        <f>IFERROR(_xlfn.XLOOKUP($B19,'Cronog. e Histog.'!$BZ:$BZ,'Cronog. e Histog.'!CS:CS),"")</f>
        <v>0</v>
      </c>
      <c r="Y19" s="144">
        <f>IFERROR(_xlfn.XLOOKUP($B19,'Cronog. e Histog.'!$BZ:$BZ,'Cronog. e Histog.'!CT:CT),"")</f>
        <v>0</v>
      </c>
      <c r="Z19" s="144">
        <f>IFERROR(_xlfn.XLOOKUP($B19,'Cronog. e Histog.'!$BZ:$BZ,'Cronog. e Histog.'!CU:CU),"")</f>
        <v>0</v>
      </c>
      <c r="AA19" s="144">
        <f>IFERROR(_xlfn.XLOOKUP($B19,'Cronog. e Histog.'!$BZ:$BZ,'Cronog. e Histog.'!CV:CV),"")</f>
        <v>0</v>
      </c>
      <c r="AB19" s="144">
        <f>IFERROR(_xlfn.XLOOKUP($B19,'Cronog. e Histog.'!$BZ:$BZ,'Cronog. e Histog.'!CW:CW),"")</f>
        <v>0</v>
      </c>
      <c r="AC19" s="144">
        <f>IFERROR(_xlfn.XLOOKUP($B19,'Cronog. e Histog.'!$BZ:$BZ,'Cronog. e Histog.'!CX:CX),"")</f>
        <v>0</v>
      </c>
      <c r="AD19" s="144">
        <f>IFERROR(_xlfn.XLOOKUP($B19,'Cronog. e Histog.'!$BZ:$BZ,'Cronog. e Histog.'!CY:CY),"")</f>
        <v>0</v>
      </c>
      <c r="AE19" s="144">
        <f>IFERROR(_xlfn.XLOOKUP($B19,'Cronog. e Histog.'!$BZ:$BZ,'Cronog. e Histog.'!CZ:CZ),"")</f>
        <v>0</v>
      </c>
      <c r="AF19" s="144">
        <f>IFERROR(_xlfn.XLOOKUP($B19,'Cronog. e Histog.'!$BZ:$BZ,'Cronog. e Histog.'!DA:DA),"")</f>
        <v>0</v>
      </c>
      <c r="AG19" s="144">
        <f>IFERROR(_xlfn.XLOOKUP($B19,'Cronog. e Histog.'!$BZ:$BZ,'Cronog. e Histog.'!DB:DB),"")</f>
        <v>0</v>
      </c>
      <c r="AH19" s="144">
        <f>IFERROR(_xlfn.XLOOKUP($B19,'Cronog. e Histog.'!$BZ:$BZ,'Cronog. e Histog.'!DC:DC),"")</f>
        <v>0</v>
      </c>
      <c r="AI19" s="144">
        <f>IFERROR(_xlfn.XLOOKUP($B19,'Cronog. e Histog.'!$BZ:$BZ,'Cronog. e Histog.'!DD:DD),"")</f>
        <v>0</v>
      </c>
      <c r="AJ19" s="144">
        <f>IFERROR(_xlfn.XLOOKUP($B19,'Cronog. e Histog.'!$BZ:$BZ,'Cronog. e Histog.'!DE:DE),"")</f>
        <v>0</v>
      </c>
      <c r="AK19" s="144">
        <f>IFERROR(_xlfn.XLOOKUP($B19,'Cronog. e Histog.'!$BZ:$BZ,'Cronog. e Histog.'!DF:DF),"")</f>
        <v>0</v>
      </c>
      <c r="AL19" s="144">
        <f>IFERROR(_xlfn.XLOOKUP($B19,'Cronog. e Histog.'!$BZ:$BZ,'Cronog. e Histog.'!DG:DG),"")</f>
        <v>0</v>
      </c>
      <c r="AM19" s="144">
        <f>IFERROR(_xlfn.XLOOKUP($B19,'Cronog. e Histog.'!$BZ:$BZ,'Cronog. e Histog.'!DH:DH),"")</f>
        <v>0</v>
      </c>
      <c r="AN19" s="144">
        <f>IFERROR(_xlfn.XLOOKUP($B19,'Cronog. e Histog.'!$BZ:$BZ,'Cronog. e Histog.'!DI:DI),"")</f>
        <v>0</v>
      </c>
      <c r="AO19" s="144">
        <f>IFERROR(_xlfn.XLOOKUP($B19,'Cronog. e Histog.'!$BZ:$BZ,'Cronog. e Histog.'!DJ:DJ),"")</f>
        <v>0</v>
      </c>
      <c r="AP19" s="144">
        <f>IFERROR(_xlfn.XLOOKUP($B19,'Cronog. e Histog.'!$BZ:$BZ,'Cronog. e Histog.'!DK:DK),"")</f>
        <v>0</v>
      </c>
      <c r="AQ19" s="144">
        <f>IFERROR(_xlfn.XLOOKUP($B19,'Cronog. e Histog.'!$BZ:$BZ,'Cronog. e Histog.'!DL:DL),"")</f>
        <v>0</v>
      </c>
      <c r="AR19" s="144">
        <f>IFERROR(_xlfn.XLOOKUP($B19,'Cronog. e Histog.'!$BZ:$BZ,'Cronog. e Histog.'!DM:DM),"")</f>
        <v>0</v>
      </c>
      <c r="AS19" s="144">
        <f>IFERROR(_xlfn.XLOOKUP($B19,'Cronog. e Histog.'!$BZ:$BZ,'Cronog. e Histog.'!DN:DN),"")</f>
        <v>0</v>
      </c>
      <c r="AT19" s="144">
        <f>IFERROR(_xlfn.XLOOKUP($B19,'Cronog. e Histog.'!$BZ:$BZ,'Cronog. e Histog.'!DO:DO),"")</f>
        <v>0</v>
      </c>
      <c r="AU19" s="144">
        <f>IFERROR(_xlfn.XLOOKUP($B19,'Cronog. e Histog.'!$BZ:$BZ,'Cronog. e Histog.'!DP:DP),"")</f>
        <v>0</v>
      </c>
      <c r="AV19" s="144">
        <f>IFERROR(_xlfn.XLOOKUP($B19,'Cronog. e Histog.'!$BZ:$BZ,'Cronog. e Histog.'!DQ:DQ),"")</f>
        <v>0</v>
      </c>
      <c r="AW19" s="144">
        <f>IFERROR(_xlfn.XLOOKUP($B19,'Cronog. e Histog.'!$BZ:$BZ,'Cronog. e Histog.'!DR:DR),"")</f>
        <v>0</v>
      </c>
      <c r="AX19" s="144">
        <f>IFERROR(_xlfn.XLOOKUP($B19,'Cronog. e Histog.'!$BZ:$BZ,'Cronog. e Histog.'!DS:DS),"")</f>
        <v>0</v>
      </c>
      <c r="AY19" s="144">
        <f>IFERROR(_xlfn.XLOOKUP($B19,'Cronog. e Histog.'!$BZ:$BZ,'Cronog. e Histog.'!DT:DT),"")</f>
        <v>0</v>
      </c>
      <c r="AZ19" s="144">
        <f>IFERROR(_xlfn.XLOOKUP($B19,'Cronog. e Histog.'!$BZ:$BZ,'Cronog. e Histog.'!DU:DU),"")</f>
        <v>0</v>
      </c>
      <c r="BA19" s="144">
        <f>IFERROR(_xlfn.XLOOKUP($B19,'Cronog. e Histog.'!$BZ:$BZ,'Cronog. e Histog.'!DV:DV),"")</f>
        <v>0</v>
      </c>
      <c r="BB19" s="144">
        <f>IFERROR(_xlfn.XLOOKUP($B19,'Cronog. e Histog.'!$BZ:$BZ,'Cronog. e Histog.'!DW:DW),"")</f>
        <v>0</v>
      </c>
      <c r="BC19" s="144">
        <f>IFERROR(_xlfn.XLOOKUP($B19,'Cronog. e Histog.'!$BZ:$BZ,'Cronog. e Histog.'!DX:DX),"")</f>
        <v>0</v>
      </c>
      <c r="BD19" s="144">
        <f>IFERROR(_xlfn.XLOOKUP($B19,'Cronog. e Histog.'!$BZ:$BZ,'Cronog. e Histog.'!DY:DY),"")</f>
        <v>0</v>
      </c>
      <c r="BE19" s="144">
        <f>IFERROR(_xlfn.XLOOKUP($B19,'Cronog. e Histog.'!$BZ:$BZ,'Cronog. e Histog.'!DZ:DZ),"")</f>
        <v>0</v>
      </c>
      <c r="BF19" s="144">
        <f>IFERROR(_xlfn.XLOOKUP($B19,'Cronog. e Histog.'!$BZ:$BZ,'Cronog. e Histog.'!EA:EA),"")</f>
        <v>0</v>
      </c>
      <c r="BG19" s="144">
        <f>IFERROR(_xlfn.XLOOKUP($B19,'Cronog. e Histog.'!$BZ:$BZ,'Cronog. e Histog.'!EB:EB),"")</f>
        <v>0</v>
      </c>
      <c r="BH19" s="144">
        <f>IFERROR(_xlfn.XLOOKUP($B19,'Cronog. e Histog.'!$BZ:$BZ,'Cronog. e Histog.'!EC:EC),"")</f>
        <v>0</v>
      </c>
      <c r="BI19" s="144">
        <f>IFERROR(_xlfn.XLOOKUP($B19,'Cronog. e Histog.'!$BZ:$BZ,'Cronog. e Histog.'!ED:ED),"")</f>
        <v>0</v>
      </c>
      <c r="BJ19" s="144">
        <f>IFERROR(_xlfn.XLOOKUP($B19,'Cronog. e Histog.'!$BZ:$BZ,'Cronog. e Histog.'!EE:EE),"")</f>
        <v>0</v>
      </c>
      <c r="BK19" s="144">
        <f>IFERROR(_xlfn.XLOOKUP($B19,'Cronog. e Histog.'!$BZ:$BZ,'Cronog. e Histog.'!EF:EF),"")</f>
        <v>0</v>
      </c>
      <c r="BL19" s="144">
        <f>IFERROR(_xlfn.XLOOKUP($B19,'Cronog. e Histog.'!$BZ:$BZ,'Cronog. e Histog.'!EG:EG),"")</f>
        <v>0</v>
      </c>
      <c r="BM19" s="144">
        <f>IFERROR(_xlfn.XLOOKUP($B19,'Cronog. e Histog.'!$BZ:$BZ,'Cronog. e Histog.'!EH:EH),"")</f>
        <v>0</v>
      </c>
      <c r="BN19" s="144">
        <f>IFERROR(_xlfn.XLOOKUP($B19,'Cronog. e Histog.'!$BZ:$BZ,'Cronog. e Histog.'!EI:EI),"")</f>
        <v>0</v>
      </c>
    </row>
    <row r="20" spans="2:66" ht="12" hidden="1" customHeight="1" outlineLevel="1">
      <c r="B20" s="76">
        <v>14</v>
      </c>
      <c r="C20" s="143" t="str">
        <f>IFERROR(VLOOKUP(B20,'Cronog. e Histog.'!$BZ$213:$CA$747,2,0),"")</f>
        <v>TEC II</v>
      </c>
      <c r="D20" s="144">
        <f t="shared" si="0"/>
        <v>0</v>
      </c>
      <c r="E20" s="144">
        <f t="shared" si="1"/>
        <v>0</v>
      </c>
      <c r="F20" s="65"/>
      <c r="G20" s="144">
        <f>IFERROR(_xlfn.XLOOKUP($B20,'Cronog. e Histog.'!$BZ:$BZ,'Cronog. e Histog.'!CB:CB),"")</f>
        <v>0</v>
      </c>
      <c r="H20" s="144">
        <f>IFERROR(_xlfn.XLOOKUP($B20,'Cronog. e Histog.'!$BZ:$BZ,'Cronog. e Histog.'!CC:CC),"")</f>
        <v>0</v>
      </c>
      <c r="I20" s="144">
        <f>IFERROR(_xlfn.XLOOKUP($B20,'Cronog. e Histog.'!$BZ:$BZ,'Cronog. e Histog.'!CD:CD),"")</f>
        <v>0</v>
      </c>
      <c r="J20" s="144">
        <f>IFERROR(_xlfn.XLOOKUP($B20,'Cronog. e Histog.'!$BZ:$BZ,'Cronog. e Histog.'!CE:CE),"")</f>
        <v>0</v>
      </c>
      <c r="K20" s="144">
        <f>IFERROR(_xlfn.XLOOKUP($B20,'Cronog. e Histog.'!$BZ:$BZ,'Cronog. e Histog.'!CF:CF),"")</f>
        <v>0</v>
      </c>
      <c r="L20" s="144">
        <f>IFERROR(_xlfn.XLOOKUP($B20,'Cronog. e Histog.'!$BZ:$BZ,'Cronog. e Histog.'!CG:CG),"")</f>
        <v>0</v>
      </c>
      <c r="M20" s="144">
        <f>IFERROR(_xlfn.XLOOKUP($B20,'Cronog. e Histog.'!$BZ:$BZ,'Cronog. e Histog.'!CH:CH),"")</f>
        <v>0</v>
      </c>
      <c r="N20" s="144">
        <f>IFERROR(_xlfn.XLOOKUP($B20,'Cronog. e Histog.'!$BZ:$BZ,'Cronog. e Histog.'!CI:CI),"")</f>
        <v>0</v>
      </c>
      <c r="O20" s="144">
        <f>IFERROR(_xlfn.XLOOKUP($B20,'Cronog. e Histog.'!$BZ:$BZ,'Cronog. e Histog.'!CJ:CJ),"")</f>
        <v>0</v>
      </c>
      <c r="P20" s="144">
        <f>IFERROR(_xlfn.XLOOKUP($B20,'Cronog. e Histog.'!$BZ:$BZ,'Cronog. e Histog.'!CK:CK),"")</f>
        <v>0</v>
      </c>
      <c r="Q20" s="144">
        <f>IFERROR(_xlfn.XLOOKUP($B20,'Cronog. e Histog.'!$BZ:$BZ,'Cronog. e Histog.'!CL:CL),"")</f>
        <v>0</v>
      </c>
      <c r="R20" s="144">
        <f>IFERROR(_xlfn.XLOOKUP($B20,'Cronog. e Histog.'!$BZ:$BZ,'Cronog. e Histog.'!CM:CM),"")</f>
        <v>0</v>
      </c>
      <c r="S20" s="144">
        <f>IFERROR(_xlfn.XLOOKUP($B20,'Cronog. e Histog.'!$BZ:$BZ,'Cronog. e Histog.'!CN:CN),"")</f>
        <v>0</v>
      </c>
      <c r="T20" s="144">
        <f>IFERROR(_xlfn.XLOOKUP($B20,'Cronog. e Histog.'!$BZ:$BZ,'Cronog. e Histog.'!CO:CO),"")</f>
        <v>0</v>
      </c>
      <c r="U20" s="144">
        <f>IFERROR(_xlfn.XLOOKUP($B20,'Cronog. e Histog.'!$BZ:$BZ,'Cronog. e Histog.'!CP:CP),"")</f>
        <v>0</v>
      </c>
      <c r="V20" s="144">
        <f>IFERROR(_xlfn.XLOOKUP($B20,'Cronog. e Histog.'!$BZ:$BZ,'Cronog. e Histog.'!CQ:CQ),"")</f>
        <v>0</v>
      </c>
      <c r="W20" s="144">
        <f>IFERROR(_xlfn.XLOOKUP($B20,'Cronog. e Histog.'!$BZ:$BZ,'Cronog. e Histog.'!CR:CR),"")</f>
        <v>0</v>
      </c>
      <c r="X20" s="144">
        <f>IFERROR(_xlfn.XLOOKUP($B20,'Cronog. e Histog.'!$BZ:$BZ,'Cronog. e Histog.'!CS:CS),"")</f>
        <v>0</v>
      </c>
      <c r="Y20" s="144">
        <f>IFERROR(_xlfn.XLOOKUP($B20,'Cronog. e Histog.'!$BZ:$BZ,'Cronog. e Histog.'!CT:CT),"")</f>
        <v>0</v>
      </c>
      <c r="Z20" s="144">
        <f>IFERROR(_xlfn.XLOOKUP($B20,'Cronog. e Histog.'!$BZ:$BZ,'Cronog. e Histog.'!CU:CU),"")</f>
        <v>0</v>
      </c>
      <c r="AA20" s="144">
        <f>IFERROR(_xlfn.XLOOKUP($B20,'Cronog. e Histog.'!$BZ:$BZ,'Cronog. e Histog.'!CV:CV),"")</f>
        <v>0</v>
      </c>
      <c r="AB20" s="144">
        <f>IFERROR(_xlfn.XLOOKUP($B20,'Cronog. e Histog.'!$BZ:$BZ,'Cronog. e Histog.'!CW:CW),"")</f>
        <v>0</v>
      </c>
      <c r="AC20" s="144">
        <f>IFERROR(_xlfn.XLOOKUP($B20,'Cronog. e Histog.'!$BZ:$BZ,'Cronog. e Histog.'!CX:CX),"")</f>
        <v>0</v>
      </c>
      <c r="AD20" s="144">
        <f>IFERROR(_xlfn.XLOOKUP($B20,'Cronog. e Histog.'!$BZ:$BZ,'Cronog. e Histog.'!CY:CY),"")</f>
        <v>0</v>
      </c>
      <c r="AE20" s="144">
        <f>IFERROR(_xlfn.XLOOKUP($B20,'Cronog. e Histog.'!$BZ:$BZ,'Cronog. e Histog.'!CZ:CZ),"")</f>
        <v>0</v>
      </c>
      <c r="AF20" s="144">
        <f>IFERROR(_xlfn.XLOOKUP($B20,'Cronog. e Histog.'!$BZ:$BZ,'Cronog. e Histog.'!DA:DA),"")</f>
        <v>0</v>
      </c>
      <c r="AG20" s="144">
        <f>IFERROR(_xlfn.XLOOKUP($B20,'Cronog. e Histog.'!$BZ:$BZ,'Cronog. e Histog.'!DB:DB),"")</f>
        <v>0</v>
      </c>
      <c r="AH20" s="144">
        <f>IFERROR(_xlfn.XLOOKUP($B20,'Cronog. e Histog.'!$BZ:$BZ,'Cronog. e Histog.'!DC:DC),"")</f>
        <v>0</v>
      </c>
      <c r="AI20" s="144">
        <f>IFERROR(_xlfn.XLOOKUP($B20,'Cronog. e Histog.'!$BZ:$BZ,'Cronog. e Histog.'!DD:DD),"")</f>
        <v>0</v>
      </c>
      <c r="AJ20" s="144">
        <f>IFERROR(_xlfn.XLOOKUP($B20,'Cronog. e Histog.'!$BZ:$BZ,'Cronog. e Histog.'!DE:DE),"")</f>
        <v>0</v>
      </c>
      <c r="AK20" s="144">
        <f>IFERROR(_xlfn.XLOOKUP($B20,'Cronog. e Histog.'!$BZ:$BZ,'Cronog. e Histog.'!DF:DF),"")</f>
        <v>0</v>
      </c>
      <c r="AL20" s="144">
        <f>IFERROR(_xlfn.XLOOKUP($B20,'Cronog. e Histog.'!$BZ:$BZ,'Cronog. e Histog.'!DG:DG),"")</f>
        <v>0</v>
      </c>
      <c r="AM20" s="144">
        <f>IFERROR(_xlfn.XLOOKUP($B20,'Cronog. e Histog.'!$BZ:$BZ,'Cronog. e Histog.'!DH:DH),"")</f>
        <v>0</v>
      </c>
      <c r="AN20" s="144">
        <f>IFERROR(_xlfn.XLOOKUP($B20,'Cronog. e Histog.'!$BZ:$BZ,'Cronog. e Histog.'!DI:DI),"")</f>
        <v>0</v>
      </c>
      <c r="AO20" s="144">
        <f>IFERROR(_xlfn.XLOOKUP($B20,'Cronog. e Histog.'!$BZ:$BZ,'Cronog. e Histog.'!DJ:DJ),"")</f>
        <v>0</v>
      </c>
      <c r="AP20" s="144">
        <f>IFERROR(_xlfn.XLOOKUP($B20,'Cronog. e Histog.'!$BZ:$BZ,'Cronog. e Histog.'!DK:DK),"")</f>
        <v>0</v>
      </c>
      <c r="AQ20" s="144">
        <f>IFERROR(_xlfn.XLOOKUP($B20,'Cronog. e Histog.'!$BZ:$BZ,'Cronog. e Histog.'!DL:DL),"")</f>
        <v>0</v>
      </c>
      <c r="AR20" s="144">
        <f>IFERROR(_xlfn.XLOOKUP($B20,'Cronog. e Histog.'!$BZ:$BZ,'Cronog. e Histog.'!DM:DM),"")</f>
        <v>0</v>
      </c>
      <c r="AS20" s="144">
        <f>IFERROR(_xlfn.XLOOKUP($B20,'Cronog. e Histog.'!$BZ:$BZ,'Cronog. e Histog.'!DN:DN),"")</f>
        <v>0</v>
      </c>
      <c r="AT20" s="144">
        <f>IFERROR(_xlfn.XLOOKUP($B20,'Cronog. e Histog.'!$BZ:$BZ,'Cronog. e Histog.'!DO:DO),"")</f>
        <v>0</v>
      </c>
      <c r="AU20" s="144">
        <f>IFERROR(_xlfn.XLOOKUP($B20,'Cronog. e Histog.'!$BZ:$BZ,'Cronog. e Histog.'!DP:DP),"")</f>
        <v>0</v>
      </c>
      <c r="AV20" s="144">
        <f>IFERROR(_xlfn.XLOOKUP($B20,'Cronog. e Histog.'!$BZ:$BZ,'Cronog. e Histog.'!DQ:DQ),"")</f>
        <v>0</v>
      </c>
      <c r="AW20" s="144">
        <f>IFERROR(_xlfn.XLOOKUP($B20,'Cronog. e Histog.'!$BZ:$BZ,'Cronog. e Histog.'!DR:DR),"")</f>
        <v>0</v>
      </c>
      <c r="AX20" s="144">
        <f>IFERROR(_xlfn.XLOOKUP($B20,'Cronog. e Histog.'!$BZ:$BZ,'Cronog. e Histog.'!DS:DS),"")</f>
        <v>0</v>
      </c>
      <c r="AY20" s="144">
        <f>IFERROR(_xlfn.XLOOKUP($B20,'Cronog. e Histog.'!$BZ:$BZ,'Cronog. e Histog.'!DT:DT),"")</f>
        <v>0</v>
      </c>
      <c r="AZ20" s="144">
        <f>IFERROR(_xlfn.XLOOKUP($B20,'Cronog. e Histog.'!$BZ:$BZ,'Cronog. e Histog.'!DU:DU),"")</f>
        <v>0</v>
      </c>
      <c r="BA20" s="144">
        <f>IFERROR(_xlfn.XLOOKUP($B20,'Cronog. e Histog.'!$BZ:$BZ,'Cronog. e Histog.'!DV:DV),"")</f>
        <v>0</v>
      </c>
      <c r="BB20" s="144">
        <f>IFERROR(_xlfn.XLOOKUP($B20,'Cronog. e Histog.'!$BZ:$BZ,'Cronog. e Histog.'!DW:DW),"")</f>
        <v>0</v>
      </c>
      <c r="BC20" s="144">
        <f>IFERROR(_xlfn.XLOOKUP($B20,'Cronog. e Histog.'!$BZ:$BZ,'Cronog. e Histog.'!DX:DX),"")</f>
        <v>0</v>
      </c>
      <c r="BD20" s="144">
        <f>IFERROR(_xlfn.XLOOKUP($B20,'Cronog. e Histog.'!$BZ:$BZ,'Cronog. e Histog.'!DY:DY),"")</f>
        <v>0</v>
      </c>
      <c r="BE20" s="144">
        <f>IFERROR(_xlfn.XLOOKUP($B20,'Cronog. e Histog.'!$BZ:$BZ,'Cronog. e Histog.'!DZ:DZ),"")</f>
        <v>0</v>
      </c>
      <c r="BF20" s="144">
        <f>IFERROR(_xlfn.XLOOKUP($B20,'Cronog. e Histog.'!$BZ:$BZ,'Cronog. e Histog.'!EA:EA),"")</f>
        <v>0</v>
      </c>
      <c r="BG20" s="144">
        <f>IFERROR(_xlfn.XLOOKUP($B20,'Cronog. e Histog.'!$BZ:$BZ,'Cronog. e Histog.'!EB:EB),"")</f>
        <v>0</v>
      </c>
      <c r="BH20" s="144">
        <f>IFERROR(_xlfn.XLOOKUP($B20,'Cronog. e Histog.'!$BZ:$BZ,'Cronog. e Histog.'!EC:EC),"")</f>
        <v>0</v>
      </c>
      <c r="BI20" s="144">
        <f>IFERROR(_xlfn.XLOOKUP($B20,'Cronog. e Histog.'!$BZ:$BZ,'Cronog. e Histog.'!ED:ED),"")</f>
        <v>0</v>
      </c>
      <c r="BJ20" s="144">
        <f>IFERROR(_xlfn.XLOOKUP($B20,'Cronog. e Histog.'!$BZ:$BZ,'Cronog. e Histog.'!EE:EE),"")</f>
        <v>0</v>
      </c>
      <c r="BK20" s="144">
        <f>IFERROR(_xlfn.XLOOKUP($B20,'Cronog. e Histog.'!$BZ:$BZ,'Cronog. e Histog.'!EF:EF),"")</f>
        <v>0</v>
      </c>
      <c r="BL20" s="144">
        <f>IFERROR(_xlfn.XLOOKUP($B20,'Cronog. e Histog.'!$BZ:$BZ,'Cronog. e Histog.'!EG:EG),"")</f>
        <v>0</v>
      </c>
      <c r="BM20" s="144">
        <f>IFERROR(_xlfn.XLOOKUP($B20,'Cronog. e Histog.'!$BZ:$BZ,'Cronog. e Histog.'!EH:EH),"")</f>
        <v>0</v>
      </c>
      <c r="BN20" s="144">
        <f>IFERROR(_xlfn.XLOOKUP($B20,'Cronog. e Histog.'!$BZ:$BZ,'Cronog. e Histog.'!EI:EI),"")</f>
        <v>0</v>
      </c>
    </row>
    <row r="21" spans="2:66" ht="12" hidden="1" customHeight="1" outlineLevel="1">
      <c r="B21" s="76">
        <v>15</v>
      </c>
      <c r="C21" s="143" t="str">
        <f>IFERROR(VLOOKUP(B21,'Cronog. e Histog.'!$BZ$213:$CA$747,2,0),"")</f>
        <v>TEC I</v>
      </c>
      <c r="D21" s="144">
        <f t="shared" si="0"/>
        <v>0</v>
      </c>
      <c r="E21" s="144">
        <f t="shared" si="1"/>
        <v>0</v>
      </c>
      <c r="F21" s="65"/>
      <c r="G21" s="144">
        <f>IFERROR(_xlfn.XLOOKUP($B21,'Cronog. e Histog.'!$BZ:$BZ,'Cronog. e Histog.'!CB:CB),"")</f>
        <v>0</v>
      </c>
      <c r="H21" s="144">
        <f>IFERROR(_xlfn.XLOOKUP($B21,'Cronog. e Histog.'!$BZ:$BZ,'Cronog. e Histog.'!CC:CC),"")</f>
        <v>0</v>
      </c>
      <c r="I21" s="144">
        <f>IFERROR(_xlfn.XLOOKUP($B21,'Cronog. e Histog.'!$BZ:$BZ,'Cronog. e Histog.'!CD:CD),"")</f>
        <v>0</v>
      </c>
      <c r="J21" s="144">
        <f>IFERROR(_xlfn.XLOOKUP($B21,'Cronog. e Histog.'!$BZ:$BZ,'Cronog. e Histog.'!CE:CE),"")</f>
        <v>0</v>
      </c>
      <c r="K21" s="144">
        <f>IFERROR(_xlfn.XLOOKUP($B21,'Cronog. e Histog.'!$BZ:$BZ,'Cronog. e Histog.'!CF:CF),"")</f>
        <v>0</v>
      </c>
      <c r="L21" s="144">
        <f>IFERROR(_xlfn.XLOOKUP($B21,'Cronog. e Histog.'!$BZ:$BZ,'Cronog. e Histog.'!CG:CG),"")</f>
        <v>0</v>
      </c>
      <c r="M21" s="144">
        <f>IFERROR(_xlfn.XLOOKUP($B21,'Cronog. e Histog.'!$BZ:$BZ,'Cronog. e Histog.'!CH:CH),"")</f>
        <v>0</v>
      </c>
      <c r="N21" s="144">
        <f>IFERROR(_xlfn.XLOOKUP($B21,'Cronog. e Histog.'!$BZ:$BZ,'Cronog. e Histog.'!CI:CI),"")</f>
        <v>0</v>
      </c>
      <c r="O21" s="144">
        <f>IFERROR(_xlfn.XLOOKUP($B21,'Cronog. e Histog.'!$BZ:$BZ,'Cronog. e Histog.'!CJ:CJ),"")</f>
        <v>0</v>
      </c>
      <c r="P21" s="144">
        <f>IFERROR(_xlfn.XLOOKUP($B21,'Cronog. e Histog.'!$BZ:$BZ,'Cronog. e Histog.'!CK:CK),"")</f>
        <v>0</v>
      </c>
      <c r="Q21" s="144">
        <f>IFERROR(_xlfn.XLOOKUP($B21,'Cronog. e Histog.'!$BZ:$BZ,'Cronog. e Histog.'!CL:CL),"")</f>
        <v>0</v>
      </c>
      <c r="R21" s="144">
        <f>IFERROR(_xlfn.XLOOKUP($B21,'Cronog. e Histog.'!$BZ:$BZ,'Cronog. e Histog.'!CM:CM),"")</f>
        <v>0</v>
      </c>
      <c r="S21" s="144">
        <f>IFERROR(_xlfn.XLOOKUP($B21,'Cronog. e Histog.'!$BZ:$BZ,'Cronog. e Histog.'!CN:CN),"")</f>
        <v>0</v>
      </c>
      <c r="T21" s="144">
        <f>IFERROR(_xlfn.XLOOKUP($B21,'Cronog. e Histog.'!$BZ:$BZ,'Cronog. e Histog.'!CO:CO),"")</f>
        <v>0</v>
      </c>
      <c r="U21" s="144">
        <f>IFERROR(_xlfn.XLOOKUP($B21,'Cronog. e Histog.'!$BZ:$BZ,'Cronog. e Histog.'!CP:CP),"")</f>
        <v>0</v>
      </c>
      <c r="V21" s="144">
        <f>IFERROR(_xlfn.XLOOKUP($B21,'Cronog. e Histog.'!$BZ:$BZ,'Cronog. e Histog.'!CQ:CQ),"")</f>
        <v>0</v>
      </c>
      <c r="W21" s="144">
        <f>IFERROR(_xlfn.XLOOKUP($B21,'Cronog. e Histog.'!$BZ:$BZ,'Cronog. e Histog.'!CR:CR),"")</f>
        <v>0</v>
      </c>
      <c r="X21" s="144">
        <f>IFERROR(_xlfn.XLOOKUP($B21,'Cronog. e Histog.'!$BZ:$BZ,'Cronog. e Histog.'!CS:CS),"")</f>
        <v>0</v>
      </c>
      <c r="Y21" s="144">
        <f>IFERROR(_xlfn.XLOOKUP($B21,'Cronog. e Histog.'!$BZ:$BZ,'Cronog. e Histog.'!CT:CT),"")</f>
        <v>0</v>
      </c>
      <c r="Z21" s="144">
        <f>IFERROR(_xlfn.XLOOKUP($B21,'Cronog. e Histog.'!$BZ:$BZ,'Cronog. e Histog.'!CU:CU),"")</f>
        <v>0</v>
      </c>
      <c r="AA21" s="144">
        <f>IFERROR(_xlfn.XLOOKUP($B21,'Cronog. e Histog.'!$BZ:$BZ,'Cronog. e Histog.'!CV:CV),"")</f>
        <v>0</v>
      </c>
      <c r="AB21" s="144">
        <f>IFERROR(_xlfn.XLOOKUP($B21,'Cronog. e Histog.'!$BZ:$BZ,'Cronog. e Histog.'!CW:CW),"")</f>
        <v>0</v>
      </c>
      <c r="AC21" s="144">
        <f>IFERROR(_xlfn.XLOOKUP($B21,'Cronog. e Histog.'!$BZ:$BZ,'Cronog. e Histog.'!CX:CX),"")</f>
        <v>0</v>
      </c>
      <c r="AD21" s="144">
        <f>IFERROR(_xlfn.XLOOKUP($B21,'Cronog. e Histog.'!$BZ:$BZ,'Cronog. e Histog.'!CY:CY),"")</f>
        <v>0</v>
      </c>
      <c r="AE21" s="144">
        <f>IFERROR(_xlfn.XLOOKUP($B21,'Cronog. e Histog.'!$BZ:$BZ,'Cronog. e Histog.'!CZ:CZ),"")</f>
        <v>0</v>
      </c>
      <c r="AF21" s="144">
        <f>IFERROR(_xlfn.XLOOKUP($B21,'Cronog. e Histog.'!$BZ:$BZ,'Cronog. e Histog.'!DA:DA),"")</f>
        <v>0</v>
      </c>
      <c r="AG21" s="144">
        <f>IFERROR(_xlfn.XLOOKUP($B21,'Cronog. e Histog.'!$BZ:$BZ,'Cronog. e Histog.'!DB:DB),"")</f>
        <v>0</v>
      </c>
      <c r="AH21" s="144">
        <f>IFERROR(_xlfn.XLOOKUP($B21,'Cronog. e Histog.'!$BZ:$BZ,'Cronog. e Histog.'!DC:DC),"")</f>
        <v>0</v>
      </c>
      <c r="AI21" s="144">
        <f>IFERROR(_xlfn.XLOOKUP($B21,'Cronog. e Histog.'!$BZ:$BZ,'Cronog. e Histog.'!DD:DD),"")</f>
        <v>0</v>
      </c>
      <c r="AJ21" s="144">
        <f>IFERROR(_xlfn.XLOOKUP($B21,'Cronog. e Histog.'!$BZ:$BZ,'Cronog. e Histog.'!DE:DE),"")</f>
        <v>0</v>
      </c>
      <c r="AK21" s="144">
        <f>IFERROR(_xlfn.XLOOKUP($B21,'Cronog. e Histog.'!$BZ:$BZ,'Cronog. e Histog.'!DF:DF),"")</f>
        <v>0</v>
      </c>
      <c r="AL21" s="144">
        <f>IFERROR(_xlfn.XLOOKUP($B21,'Cronog. e Histog.'!$BZ:$BZ,'Cronog. e Histog.'!DG:DG),"")</f>
        <v>0</v>
      </c>
      <c r="AM21" s="144">
        <f>IFERROR(_xlfn.XLOOKUP($B21,'Cronog. e Histog.'!$BZ:$BZ,'Cronog. e Histog.'!DH:DH),"")</f>
        <v>0</v>
      </c>
      <c r="AN21" s="144">
        <f>IFERROR(_xlfn.XLOOKUP($B21,'Cronog. e Histog.'!$BZ:$BZ,'Cronog. e Histog.'!DI:DI),"")</f>
        <v>0</v>
      </c>
      <c r="AO21" s="144">
        <f>IFERROR(_xlfn.XLOOKUP($B21,'Cronog. e Histog.'!$BZ:$BZ,'Cronog. e Histog.'!DJ:DJ),"")</f>
        <v>0</v>
      </c>
      <c r="AP21" s="144">
        <f>IFERROR(_xlfn.XLOOKUP($B21,'Cronog. e Histog.'!$BZ:$BZ,'Cronog. e Histog.'!DK:DK),"")</f>
        <v>0</v>
      </c>
      <c r="AQ21" s="144">
        <f>IFERROR(_xlfn.XLOOKUP($B21,'Cronog. e Histog.'!$BZ:$BZ,'Cronog. e Histog.'!DL:DL),"")</f>
        <v>0</v>
      </c>
      <c r="AR21" s="144">
        <f>IFERROR(_xlfn.XLOOKUP($B21,'Cronog. e Histog.'!$BZ:$BZ,'Cronog. e Histog.'!DM:DM),"")</f>
        <v>0</v>
      </c>
      <c r="AS21" s="144">
        <f>IFERROR(_xlfn.XLOOKUP($B21,'Cronog. e Histog.'!$BZ:$BZ,'Cronog. e Histog.'!DN:DN),"")</f>
        <v>0</v>
      </c>
      <c r="AT21" s="144">
        <f>IFERROR(_xlfn.XLOOKUP($B21,'Cronog. e Histog.'!$BZ:$BZ,'Cronog. e Histog.'!DO:DO),"")</f>
        <v>0</v>
      </c>
      <c r="AU21" s="144">
        <f>IFERROR(_xlfn.XLOOKUP($B21,'Cronog. e Histog.'!$BZ:$BZ,'Cronog. e Histog.'!DP:DP),"")</f>
        <v>0</v>
      </c>
      <c r="AV21" s="144">
        <f>IFERROR(_xlfn.XLOOKUP($B21,'Cronog. e Histog.'!$BZ:$BZ,'Cronog. e Histog.'!DQ:DQ),"")</f>
        <v>0</v>
      </c>
      <c r="AW21" s="144">
        <f>IFERROR(_xlfn.XLOOKUP($B21,'Cronog. e Histog.'!$BZ:$BZ,'Cronog. e Histog.'!DR:DR),"")</f>
        <v>0</v>
      </c>
      <c r="AX21" s="144">
        <f>IFERROR(_xlfn.XLOOKUP($B21,'Cronog. e Histog.'!$BZ:$BZ,'Cronog. e Histog.'!DS:DS),"")</f>
        <v>0</v>
      </c>
      <c r="AY21" s="144">
        <f>IFERROR(_xlfn.XLOOKUP($B21,'Cronog. e Histog.'!$BZ:$BZ,'Cronog. e Histog.'!DT:DT),"")</f>
        <v>0</v>
      </c>
      <c r="AZ21" s="144">
        <f>IFERROR(_xlfn.XLOOKUP($B21,'Cronog. e Histog.'!$BZ:$BZ,'Cronog. e Histog.'!DU:DU),"")</f>
        <v>0</v>
      </c>
      <c r="BA21" s="144">
        <f>IFERROR(_xlfn.XLOOKUP($B21,'Cronog. e Histog.'!$BZ:$BZ,'Cronog. e Histog.'!DV:DV),"")</f>
        <v>0</v>
      </c>
      <c r="BB21" s="144">
        <f>IFERROR(_xlfn.XLOOKUP($B21,'Cronog. e Histog.'!$BZ:$BZ,'Cronog. e Histog.'!DW:DW),"")</f>
        <v>0</v>
      </c>
      <c r="BC21" s="144">
        <f>IFERROR(_xlfn.XLOOKUP($B21,'Cronog. e Histog.'!$BZ:$BZ,'Cronog. e Histog.'!DX:DX),"")</f>
        <v>0</v>
      </c>
      <c r="BD21" s="144">
        <f>IFERROR(_xlfn.XLOOKUP($B21,'Cronog. e Histog.'!$BZ:$BZ,'Cronog. e Histog.'!DY:DY),"")</f>
        <v>0</v>
      </c>
      <c r="BE21" s="144">
        <f>IFERROR(_xlfn.XLOOKUP($B21,'Cronog. e Histog.'!$BZ:$BZ,'Cronog. e Histog.'!DZ:DZ),"")</f>
        <v>0</v>
      </c>
      <c r="BF21" s="144">
        <f>IFERROR(_xlfn.XLOOKUP($B21,'Cronog. e Histog.'!$BZ:$BZ,'Cronog. e Histog.'!EA:EA),"")</f>
        <v>0</v>
      </c>
      <c r="BG21" s="144">
        <f>IFERROR(_xlfn.XLOOKUP($B21,'Cronog. e Histog.'!$BZ:$BZ,'Cronog. e Histog.'!EB:EB),"")</f>
        <v>0</v>
      </c>
      <c r="BH21" s="144">
        <f>IFERROR(_xlfn.XLOOKUP($B21,'Cronog. e Histog.'!$BZ:$BZ,'Cronog. e Histog.'!EC:EC),"")</f>
        <v>0</v>
      </c>
      <c r="BI21" s="144">
        <f>IFERROR(_xlfn.XLOOKUP($B21,'Cronog. e Histog.'!$BZ:$BZ,'Cronog. e Histog.'!ED:ED),"")</f>
        <v>0</v>
      </c>
      <c r="BJ21" s="144">
        <f>IFERROR(_xlfn.XLOOKUP($B21,'Cronog. e Histog.'!$BZ:$BZ,'Cronog. e Histog.'!EE:EE),"")</f>
        <v>0</v>
      </c>
      <c r="BK21" s="144">
        <f>IFERROR(_xlfn.XLOOKUP($B21,'Cronog. e Histog.'!$BZ:$BZ,'Cronog. e Histog.'!EF:EF),"")</f>
        <v>0</v>
      </c>
      <c r="BL21" s="144">
        <f>IFERROR(_xlfn.XLOOKUP($B21,'Cronog. e Histog.'!$BZ:$BZ,'Cronog. e Histog.'!EG:EG),"")</f>
        <v>0</v>
      </c>
      <c r="BM21" s="144">
        <f>IFERROR(_xlfn.XLOOKUP($B21,'Cronog. e Histog.'!$BZ:$BZ,'Cronog. e Histog.'!EH:EH),"")</f>
        <v>0</v>
      </c>
      <c r="BN21" s="144">
        <f>IFERROR(_xlfn.XLOOKUP($B21,'Cronog. e Histog.'!$BZ:$BZ,'Cronog. e Histog.'!EI:EI),"")</f>
        <v>0</v>
      </c>
    </row>
    <row r="22" spans="2:66" ht="12" hidden="1" customHeight="1" outlineLevel="1">
      <c r="B22" s="76">
        <v>16</v>
      </c>
      <c r="C22" s="143" t="str">
        <f>IFERROR(VLOOKUP(B22,'Cronog. e Histog.'!$BZ$213:$CA$747,2,0),"")</f>
        <v>AUX TEC</v>
      </c>
      <c r="D22" s="144">
        <f t="shared" si="0"/>
        <v>0</v>
      </c>
      <c r="E22" s="144">
        <f t="shared" si="1"/>
        <v>0</v>
      </c>
      <c r="F22" s="65"/>
      <c r="G22" s="144">
        <f>IFERROR(_xlfn.XLOOKUP($B22,'Cronog. e Histog.'!$BZ:$BZ,'Cronog. e Histog.'!CB:CB),"")</f>
        <v>0</v>
      </c>
      <c r="H22" s="144">
        <f>IFERROR(_xlfn.XLOOKUP($B22,'Cronog. e Histog.'!$BZ:$BZ,'Cronog. e Histog.'!CC:CC),"")</f>
        <v>0</v>
      </c>
      <c r="I22" s="144">
        <f>IFERROR(_xlfn.XLOOKUP($B22,'Cronog. e Histog.'!$BZ:$BZ,'Cronog. e Histog.'!CD:CD),"")</f>
        <v>0</v>
      </c>
      <c r="J22" s="144">
        <f>IFERROR(_xlfn.XLOOKUP($B22,'Cronog. e Histog.'!$BZ:$BZ,'Cronog. e Histog.'!CE:CE),"")</f>
        <v>0</v>
      </c>
      <c r="K22" s="144">
        <f>IFERROR(_xlfn.XLOOKUP($B22,'Cronog. e Histog.'!$BZ:$BZ,'Cronog. e Histog.'!CF:CF),"")</f>
        <v>0</v>
      </c>
      <c r="L22" s="144">
        <f>IFERROR(_xlfn.XLOOKUP($B22,'Cronog. e Histog.'!$BZ:$BZ,'Cronog. e Histog.'!CG:CG),"")</f>
        <v>0</v>
      </c>
      <c r="M22" s="144">
        <f>IFERROR(_xlfn.XLOOKUP($B22,'Cronog. e Histog.'!$BZ:$BZ,'Cronog. e Histog.'!CH:CH),"")</f>
        <v>0</v>
      </c>
      <c r="N22" s="144">
        <f>IFERROR(_xlfn.XLOOKUP($B22,'Cronog. e Histog.'!$BZ:$BZ,'Cronog. e Histog.'!CI:CI),"")</f>
        <v>0</v>
      </c>
      <c r="O22" s="144">
        <f>IFERROR(_xlfn.XLOOKUP($B22,'Cronog. e Histog.'!$BZ:$BZ,'Cronog. e Histog.'!CJ:CJ),"")</f>
        <v>0</v>
      </c>
      <c r="P22" s="144">
        <f>IFERROR(_xlfn.XLOOKUP($B22,'Cronog. e Histog.'!$BZ:$BZ,'Cronog. e Histog.'!CK:CK),"")</f>
        <v>0</v>
      </c>
      <c r="Q22" s="144">
        <f>IFERROR(_xlfn.XLOOKUP($B22,'Cronog. e Histog.'!$BZ:$BZ,'Cronog. e Histog.'!CL:CL),"")</f>
        <v>0</v>
      </c>
      <c r="R22" s="144">
        <f>IFERROR(_xlfn.XLOOKUP($B22,'Cronog. e Histog.'!$BZ:$BZ,'Cronog. e Histog.'!CM:CM),"")</f>
        <v>0</v>
      </c>
      <c r="S22" s="144">
        <f>IFERROR(_xlfn.XLOOKUP($B22,'Cronog. e Histog.'!$BZ:$BZ,'Cronog. e Histog.'!CN:CN),"")</f>
        <v>0</v>
      </c>
      <c r="T22" s="144">
        <f>IFERROR(_xlfn.XLOOKUP($B22,'Cronog. e Histog.'!$BZ:$BZ,'Cronog. e Histog.'!CO:CO),"")</f>
        <v>0</v>
      </c>
      <c r="U22" s="144">
        <f>IFERROR(_xlfn.XLOOKUP($B22,'Cronog. e Histog.'!$BZ:$BZ,'Cronog. e Histog.'!CP:CP),"")</f>
        <v>0</v>
      </c>
      <c r="V22" s="144">
        <f>IFERROR(_xlfn.XLOOKUP($B22,'Cronog. e Histog.'!$BZ:$BZ,'Cronog. e Histog.'!CQ:CQ),"")</f>
        <v>0</v>
      </c>
      <c r="W22" s="144">
        <f>IFERROR(_xlfn.XLOOKUP($B22,'Cronog. e Histog.'!$BZ:$BZ,'Cronog. e Histog.'!CR:CR),"")</f>
        <v>0</v>
      </c>
      <c r="X22" s="144">
        <f>IFERROR(_xlfn.XLOOKUP($B22,'Cronog. e Histog.'!$BZ:$BZ,'Cronog. e Histog.'!CS:CS),"")</f>
        <v>0</v>
      </c>
      <c r="Y22" s="144">
        <f>IFERROR(_xlfn.XLOOKUP($B22,'Cronog. e Histog.'!$BZ:$BZ,'Cronog. e Histog.'!CT:CT),"")</f>
        <v>0</v>
      </c>
      <c r="Z22" s="144">
        <f>IFERROR(_xlfn.XLOOKUP($B22,'Cronog. e Histog.'!$BZ:$BZ,'Cronog. e Histog.'!CU:CU),"")</f>
        <v>0</v>
      </c>
      <c r="AA22" s="144">
        <f>IFERROR(_xlfn.XLOOKUP($B22,'Cronog. e Histog.'!$BZ:$BZ,'Cronog. e Histog.'!CV:CV),"")</f>
        <v>0</v>
      </c>
      <c r="AB22" s="144">
        <f>IFERROR(_xlfn.XLOOKUP($B22,'Cronog. e Histog.'!$BZ:$BZ,'Cronog. e Histog.'!CW:CW),"")</f>
        <v>0</v>
      </c>
      <c r="AC22" s="144">
        <f>IFERROR(_xlfn.XLOOKUP($B22,'Cronog. e Histog.'!$BZ:$BZ,'Cronog. e Histog.'!CX:CX),"")</f>
        <v>0</v>
      </c>
      <c r="AD22" s="144">
        <f>IFERROR(_xlfn.XLOOKUP($B22,'Cronog. e Histog.'!$BZ:$BZ,'Cronog. e Histog.'!CY:CY),"")</f>
        <v>0</v>
      </c>
      <c r="AE22" s="144">
        <f>IFERROR(_xlfn.XLOOKUP($B22,'Cronog. e Histog.'!$BZ:$BZ,'Cronog. e Histog.'!CZ:CZ),"")</f>
        <v>0</v>
      </c>
      <c r="AF22" s="144">
        <f>IFERROR(_xlfn.XLOOKUP($B22,'Cronog. e Histog.'!$BZ:$BZ,'Cronog. e Histog.'!DA:DA),"")</f>
        <v>0</v>
      </c>
      <c r="AG22" s="144">
        <f>IFERROR(_xlfn.XLOOKUP($B22,'Cronog. e Histog.'!$BZ:$BZ,'Cronog. e Histog.'!DB:DB),"")</f>
        <v>0</v>
      </c>
      <c r="AH22" s="144">
        <f>IFERROR(_xlfn.XLOOKUP($B22,'Cronog. e Histog.'!$BZ:$BZ,'Cronog. e Histog.'!DC:DC),"")</f>
        <v>0</v>
      </c>
      <c r="AI22" s="144">
        <f>IFERROR(_xlfn.XLOOKUP($B22,'Cronog. e Histog.'!$BZ:$BZ,'Cronog. e Histog.'!DD:DD),"")</f>
        <v>0</v>
      </c>
      <c r="AJ22" s="144">
        <f>IFERROR(_xlfn.XLOOKUP($B22,'Cronog. e Histog.'!$BZ:$BZ,'Cronog. e Histog.'!DE:DE),"")</f>
        <v>0</v>
      </c>
      <c r="AK22" s="144">
        <f>IFERROR(_xlfn.XLOOKUP($B22,'Cronog. e Histog.'!$BZ:$BZ,'Cronog. e Histog.'!DF:DF),"")</f>
        <v>0</v>
      </c>
      <c r="AL22" s="144">
        <f>IFERROR(_xlfn.XLOOKUP($B22,'Cronog. e Histog.'!$BZ:$BZ,'Cronog. e Histog.'!DG:DG),"")</f>
        <v>0</v>
      </c>
      <c r="AM22" s="144">
        <f>IFERROR(_xlfn.XLOOKUP($B22,'Cronog. e Histog.'!$BZ:$BZ,'Cronog. e Histog.'!DH:DH),"")</f>
        <v>0</v>
      </c>
      <c r="AN22" s="144">
        <f>IFERROR(_xlfn.XLOOKUP($B22,'Cronog. e Histog.'!$BZ:$BZ,'Cronog. e Histog.'!DI:DI),"")</f>
        <v>0</v>
      </c>
      <c r="AO22" s="144">
        <f>IFERROR(_xlfn.XLOOKUP($B22,'Cronog. e Histog.'!$BZ:$BZ,'Cronog. e Histog.'!DJ:DJ),"")</f>
        <v>0</v>
      </c>
      <c r="AP22" s="144">
        <f>IFERROR(_xlfn.XLOOKUP($B22,'Cronog. e Histog.'!$BZ:$BZ,'Cronog. e Histog.'!DK:DK),"")</f>
        <v>0</v>
      </c>
      <c r="AQ22" s="144">
        <f>IFERROR(_xlfn.XLOOKUP($B22,'Cronog. e Histog.'!$BZ:$BZ,'Cronog. e Histog.'!DL:DL),"")</f>
        <v>0</v>
      </c>
      <c r="AR22" s="144">
        <f>IFERROR(_xlfn.XLOOKUP($B22,'Cronog. e Histog.'!$BZ:$BZ,'Cronog. e Histog.'!DM:DM),"")</f>
        <v>0</v>
      </c>
      <c r="AS22" s="144">
        <f>IFERROR(_xlfn.XLOOKUP($B22,'Cronog. e Histog.'!$BZ:$BZ,'Cronog. e Histog.'!DN:DN),"")</f>
        <v>0</v>
      </c>
      <c r="AT22" s="144">
        <f>IFERROR(_xlfn.XLOOKUP($B22,'Cronog. e Histog.'!$BZ:$BZ,'Cronog. e Histog.'!DO:DO),"")</f>
        <v>0</v>
      </c>
      <c r="AU22" s="144">
        <f>IFERROR(_xlfn.XLOOKUP($B22,'Cronog. e Histog.'!$BZ:$BZ,'Cronog. e Histog.'!DP:DP),"")</f>
        <v>0</v>
      </c>
      <c r="AV22" s="144">
        <f>IFERROR(_xlfn.XLOOKUP($B22,'Cronog. e Histog.'!$BZ:$BZ,'Cronog. e Histog.'!DQ:DQ),"")</f>
        <v>0</v>
      </c>
      <c r="AW22" s="144">
        <f>IFERROR(_xlfn.XLOOKUP($B22,'Cronog. e Histog.'!$BZ:$BZ,'Cronog. e Histog.'!DR:DR),"")</f>
        <v>0</v>
      </c>
      <c r="AX22" s="144">
        <f>IFERROR(_xlfn.XLOOKUP($B22,'Cronog. e Histog.'!$BZ:$BZ,'Cronog. e Histog.'!DS:DS),"")</f>
        <v>0</v>
      </c>
      <c r="AY22" s="144">
        <f>IFERROR(_xlfn.XLOOKUP($B22,'Cronog. e Histog.'!$BZ:$BZ,'Cronog. e Histog.'!DT:DT),"")</f>
        <v>0</v>
      </c>
      <c r="AZ22" s="144">
        <f>IFERROR(_xlfn.XLOOKUP($B22,'Cronog. e Histog.'!$BZ:$BZ,'Cronog. e Histog.'!DU:DU),"")</f>
        <v>0</v>
      </c>
      <c r="BA22" s="144">
        <f>IFERROR(_xlfn.XLOOKUP($B22,'Cronog. e Histog.'!$BZ:$BZ,'Cronog. e Histog.'!DV:DV),"")</f>
        <v>0</v>
      </c>
      <c r="BB22" s="144">
        <f>IFERROR(_xlfn.XLOOKUP($B22,'Cronog. e Histog.'!$BZ:$BZ,'Cronog. e Histog.'!DW:DW),"")</f>
        <v>0</v>
      </c>
      <c r="BC22" s="144">
        <f>IFERROR(_xlfn.XLOOKUP($B22,'Cronog. e Histog.'!$BZ:$BZ,'Cronog. e Histog.'!DX:DX),"")</f>
        <v>0</v>
      </c>
      <c r="BD22" s="144">
        <f>IFERROR(_xlfn.XLOOKUP($B22,'Cronog. e Histog.'!$BZ:$BZ,'Cronog. e Histog.'!DY:DY),"")</f>
        <v>0</v>
      </c>
      <c r="BE22" s="144">
        <f>IFERROR(_xlfn.XLOOKUP($B22,'Cronog. e Histog.'!$BZ:$BZ,'Cronog. e Histog.'!DZ:DZ),"")</f>
        <v>0</v>
      </c>
      <c r="BF22" s="144">
        <f>IFERROR(_xlfn.XLOOKUP($B22,'Cronog. e Histog.'!$BZ:$BZ,'Cronog. e Histog.'!EA:EA),"")</f>
        <v>0</v>
      </c>
      <c r="BG22" s="144">
        <f>IFERROR(_xlfn.XLOOKUP($B22,'Cronog. e Histog.'!$BZ:$BZ,'Cronog. e Histog.'!EB:EB),"")</f>
        <v>0</v>
      </c>
      <c r="BH22" s="144">
        <f>IFERROR(_xlfn.XLOOKUP($B22,'Cronog. e Histog.'!$BZ:$BZ,'Cronog. e Histog.'!EC:EC),"")</f>
        <v>0</v>
      </c>
      <c r="BI22" s="144">
        <f>IFERROR(_xlfn.XLOOKUP($B22,'Cronog. e Histog.'!$BZ:$BZ,'Cronog. e Histog.'!ED:ED),"")</f>
        <v>0</v>
      </c>
      <c r="BJ22" s="144">
        <f>IFERROR(_xlfn.XLOOKUP($B22,'Cronog. e Histog.'!$BZ:$BZ,'Cronog. e Histog.'!EE:EE),"")</f>
        <v>0</v>
      </c>
      <c r="BK22" s="144">
        <f>IFERROR(_xlfn.XLOOKUP($B22,'Cronog. e Histog.'!$BZ:$BZ,'Cronog. e Histog.'!EF:EF),"")</f>
        <v>0</v>
      </c>
      <c r="BL22" s="144">
        <f>IFERROR(_xlfn.XLOOKUP($B22,'Cronog. e Histog.'!$BZ:$BZ,'Cronog. e Histog.'!EG:EG),"")</f>
        <v>0</v>
      </c>
      <c r="BM22" s="144">
        <f>IFERROR(_xlfn.XLOOKUP($B22,'Cronog. e Histog.'!$BZ:$BZ,'Cronog. e Histog.'!EH:EH),"")</f>
        <v>0</v>
      </c>
      <c r="BN22" s="144">
        <f>IFERROR(_xlfn.XLOOKUP($B22,'Cronog. e Histog.'!$BZ:$BZ,'Cronog. e Histog.'!EI:EI),"")</f>
        <v>0</v>
      </c>
    </row>
    <row r="23" spans="2:66" ht="12" hidden="1" customHeight="1" outlineLevel="1">
      <c r="B23" s="76">
        <v>17</v>
      </c>
      <c r="C23" s="143" t="str">
        <f>IFERROR(VLOOKUP(B23,'Cronog. e Histog.'!$BZ$213:$CA$747,2,0),"")</f>
        <v>AUX ADM</v>
      </c>
      <c r="D23" s="144">
        <f t="shared" si="0"/>
        <v>0</v>
      </c>
      <c r="E23" s="144">
        <f t="shared" si="1"/>
        <v>0</v>
      </c>
      <c r="F23" s="65"/>
      <c r="G23" s="144">
        <f>IFERROR(_xlfn.XLOOKUP($B23,'Cronog. e Histog.'!$BZ:$BZ,'Cronog. e Histog.'!CB:CB),"")</f>
        <v>0</v>
      </c>
      <c r="H23" s="144">
        <f>IFERROR(_xlfn.XLOOKUP($B23,'Cronog. e Histog.'!$BZ:$BZ,'Cronog. e Histog.'!CC:CC),"")</f>
        <v>0</v>
      </c>
      <c r="I23" s="144">
        <f>IFERROR(_xlfn.XLOOKUP($B23,'Cronog. e Histog.'!$BZ:$BZ,'Cronog. e Histog.'!CD:CD),"")</f>
        <v>0</v>
      </c>
      <c r="J23" s="144">
        <f>IFERROR(_xlfn.XLOOKUP($B23,'Cronog. e Histog.'!$BZ:$BZ,'Cronog. e Histog.'!CE:CE),"")</f>
        <v>0</v>
      </c>
      <c r="K23" s="144">
        <f>IFERROR(_xlfn.XLOOKUP($B23,'Cronog. e Histog.'!$BZ:$BZ,'Cronog. e Histog.'!CF:CF),"")</f>
        <v>0</v>
      </c>
      <c r="L23" s="144">
        <f>IFERROR(_xlfn.XLOOKUP($B23,'Cronog. e Histog.'!$BZ:$BZ,'Cronog. e Histog.'!CG:CG),"")</f>
        <v>0</v>
      </c>
      <c r="M23" s="144">
        <f>IFERROR(_xlfn.XLOOKUP($B23,'Cronog. e Histog.'!$BZ:$BZ,'Cronog. e Histog.'!CH:CH),"")</f>
        <v>0</v>
      </c>
      <c r="N23" s="144">
        <f>IFERROR(_xlfn.XLOOKUP($B23,'Cronog. e Histog.'!$BZ:$BZ,'Cronog. e Histog.'!CI:CI),"")</f>
        <v>0</v>
      </c>
      <c r="O23" s="144">
        <f>IFERROR(_xlfn.XLOOKUP($B23,'Cronog. e Histog.'!$BZ:$BZ,'Cronog. e Histog.'!CJ:CJ),"")</f>
        <v>0</v>
      </c>
      <c r="P23" s="144">
        <f>IFERROR(_xlfn.XLOOKUP($B23,'Cronog. e Histog.'!$BZ:$BZ,'Cronog. e Histog.'!CK:CK),"")</f>
        <v>0</v>
      </c>
      <c r="Q23" s="144">
        <f>IFERROR(_xlfn.XLOOKUP($B23,'Cronog. e Histog.'!$BZ:$BZ,'Cronog. e Histog.'!CL:CL),"")</f>
        <v>0</v>
      </c>
      <c r="R23" s="144">
        <f>IFERROR(_xlfn.XLOOKUP($B23,'Cronog. e Histog.'!$BZ:$BZ,'Cronog. e Histog.'!CM:CM),"")</f>
        <v>0</v>
      </c>
      <c r="S23" s="144">
        <f>IFERROR(_xlfn.XLOOKUP($B23,'Cronog. e Histog.'!$BZ:$BZ,'Cronog. e Histog.'!CN:CN),"")</f>
        <v>0</v>
      </c>
      <c r="T23" s="144">
        <f>IFERROR(_xlfn.XLOOKUP($B23,'Cronog. e Histog.'!$BZ:$BZ,'Cronog. e Histog.'!CO:CO),"")</f>
        <v>0</v>
      </c>
      <c r="U23" s="144">
        <f>IFERROR(_xlfn.XLOOKUP($B23,'Cronog. e Histog.'!$BZ:$BZ,'Cronog. e Histog.'!CP:CP),"")</f>
        <v>0</v>
      </c>
      <c r="V23" s="144">
        <f>IFERROR(_xlfn.XLOOKUP($B23,'Cronog. e Histog.'!$BZ:$BZ,'Cronog. e Histog.'!CQ:CQ),"")</f>
        <v>0</v>
      </c>
      <c r="W23" s="144">
        <f>IFERROR(_xlfn.XLOOKUP($B23,'Cronog. e Histog.'!$BZ:$BZ,'Cronog. e Histog.'!CR:CR),"")</f>
        <v>0</v>
      </c>
      <c r="X23" s="144">
        <f>IFERROR(_xlfn.XLOOKUP($B23,'Cronog. e Histog.'!$BZ:$BZ,'Cronog. e Histog.'!CS:CS),"")</f>
        <v>0</v>
      </c>
      <c r="Y23" s="144">
        <f>IFERROR(_xlfn.XLOOKUP($B23,'Cronog. e Histog.'!$BZ:$BZ,'Cronog. e Histog.'!CT:CT),"")</f>
        <v>0</v>
      </c>
      <c r="Z23" s="144">
        <f>IFERROR(_xlfn.XLOOKUP($B23,'Cronog. e Histog.'!$BZ:$BZ,'Cronog. e Histog.'!CU:CU),"")</f>
        <v>0</v>
      </c>
      <c r="AA23" s="144">
        <f>IFERROR(_xlfn.XLOOKUP($B23,'Cronog. e Histog.'!$BZ:$BZ,'Cronog. e Histog.'!CV:CV),"")</f>
        <v>0</v>
      </c>
      <c r="AB23" s="144">
        <f>IFERROR(_xlfn.XLOOKUP($B23,'Cronog. e Histog.'!$BZ:$BZ,'Cronog. e Histog.'!CW:CW),"")</f>
        <v>0</v>
      </c>
      <c r="AC23" s="144">
        <f>IFERROR(_xlfn.XLOOKUP($B23,'Cronog. e Histog.'!$BZ:$BZ,'Cronog. e Histog.'!CX:CX),"")</f>
        <v>0</v>
      </c>
      <c r="AD23" s="144">
        <f>IFERROR(_xlfn.XLOOKUP($B23,'Cronog. e Histog.'!$BZ:$BZ,'Cronog. e Histog.'!CY:CY),"")</f>
        <v>0</v>
      </c>
      <c r="AE23" s="144">
        <f>IFERROR(_xlfn.XLOOKUP($B23,'Cronog. e Histog.'!$BZ:$BZ,'Cronog. e Histog.'!CZ:CZ),"")</f>
        <v>0</v>
      </c>
      <c r="AF23" s="144">
        <f>IFERROR(_xlfn.XLOOKUP($B23,'Cronog. e Histog.'!$BZ:$BZ,'Cronog. e Histog.'!DA:DA),"")</f>
        <v>0</v>
      </c>
      <c r="AG23" s="144">
        <f>IFERROR(_xlfn.XLOOKUP($B23,'Cronog. e Histog.'!$BZ:$BZ,'Cronog. e Histog.'!DB:DB),"")</f>
        <v>0</v>
      </c>
      <c r="AH23" s="144">
        <f>IFERROR(_xlfn.XLOOKUP($B23,'Cronog. e Histog.'!$BZ:$BZ,'Cronog. e Histog.'!DC:DC),"")</f>
        <v>0</v>
      </c>
      <c r="AI23" s="144">
        <f>IFERROR(_xlfn.XLOOKUP($B23,'Cronog. e Histog.'!$BZ:$BZ,'Cronog. e Histog.'!DD:DD),"")</f>
        <v>0</v>
      </c>
      <c r="AJ23" s="144">
        <f>IFERROR(_xlfn.XLOOKUP($B23,'Cronog. e Histog.'!$BZ:$BZ,'Cronog. e Histog.'!DE:DE),"")</f>
        <v>0</v>
      </c>
      <c r="AK23" s="144">
        <f>IFERROR(_xlfn.XLOOKUP($B23,'Cronog. e Histog.'!$BZ:$BZ,'Cronog. e Histog.'!DF:DF),"")</f>
        <v>0</v>
      </c>
      <c r="AL23" s="144">
        <f>IFERROR(_xlfn.XLOOKUP($B23,'Cronog. e Histog.'!$BZ:$BZ,'Cronog. e Histog.'!DG:DG),"")</f>
        <v>0</v>
      </c>
      <c r="AM23" s="144">
        <f>IFERROR(_xlfn.XLOOKUP($B23,'Cronog. e Histog.'!$BZ:$BZ,'Cronog. e Histog.'!DH:DH),"")</f>
        <v>0</v>
      </c>
      <c r="AN23" s="144">
        <f>IFERROR(_xlfn.XLOOKUP($B23,'Cronog. e Histog.'!$BZ:$BZ,'Cronog. e Histog.'!DI:DI),"")</f>
        <v>0</v>
      </c>
      <c r="AO23" s="144">
        <f>IFERROR(_xlfn.XLOOKUP($B23,'Cronog. e Histog.'!$BZ:$BZ,'Cronog. e Histog.'!DJ:DJ),"")</f>
        <v>0</v>
      </c>
      <c r="AP23" s="144">
        <f>IFERROR(_xlfn.XLOOKUP($B23,'Cronog. e Histog.'!$BZ:$BZ,'Cronog. e Histog.'!DK:DK),"")</f>
        <v>0</v>
      </c>
      <c r="AQ23" s="144">
        <f>IFERROR(_xlfn.XLOOKUP($B23,'Cronog. e Histog.'!$BZ:$BZ,'Cronog. e Histog.'!DL:DL),"")</f>
        <v>0</v>
      </c>
      <c r="AR23" s="144">
        <f>IFERROR(_xlfn.XLOOKUP($B23,'Cronog. e Histog.'!$BZ:$BZ,'Cronog. e Histog.'!DM:DM),"")</f>
        <v>0</v>
      </c>
      <c r="AS23" s="144">
        <f>IFERROR(_xlfn.XLOOKUP($B23,'Cronog. e Histog.'!$BZ:$BZ,'Cronog. e Histog.'!DN:DN),"")</f>
        <v>0</v>
      </c>
      <c r="AT23" s="144">
        <f>IFERROR(_xlfn.XLOOKUP($B23,'Cronog. e Histog.'!$BZ:$BZ,'Cronog. e Histog.'!DO:DO),"")</f>
        <v>0</v>
      </c>
      <c r="AU23" s="144">
        <f>IFERROR(_xlfn.XLOOKUP($B23,'Cronog. e Histog.'!$BZ:$BZ,'Cronog. e Histog.'!DP:DP),"")</f>
        <v>0</v>
      </c>
      <c r="AV23" s="144">
        <f>IFERROR(_xlfn.XLOOKUP($B23,'Cronog. e Histog.'!$BZ:$BZ,'Cronog. e Histog.'!DQ:DQ),"")</f>
        <v>0</v>
      </c>
      <c r="AW23" s="144">
        <f>IFERROR(_xlfn.XLOOKUP($B23,'Cronog. e Histog.'!$BZ:$BZ,'Cronog. e Histog.'!DR:DR),"")</f>
        <v>0</v>
      </c>
      <c r="AX23" s="144">
        <f>IFERROR(_xlfn.XLOOKUP($B23,'Cronog. e Histog.'!$BZ:$BZ,'Cronog. e Histog.'!DS:DS),"")</f>
        <v>0</v>
      </c>
      <c r="AY23" s="144">
        <f>IFERROR(_xlfn.XLOOKUP($B23,'Cronog. e Histog.'!$BZ:$BZ,'Cronog. e Histog.'!DT:DT),"")</f>
        <v>0</v>
      </c>
      <c r="AZ23" s="144">
        <f>IFERROR(_xlfn.XLOOKUP($B23,'Cronog. e Histog.'!$BZ:$BZ,'Cronog. e Histog.'!DU:DU),"")</f>
        <v>0</v>
      </c>
      <c r="BA23" s="144">
        <f>IFERROR(_xlfn.XLOOKUP($B23,'Cronog. e Histog.'!$BZ:$BZ,'Cronog. e Histog.'!DV:DV),"")</f>
        <v>0</v>
      </c>
      <c r="BB23" s="144">
        <f>IFERROR(_xlfn.XLOOKUP($B23,'Cronog. e Histog.'!$BZ:$BZ,'Cronog. e Histog.'!DW:DW),"")</f>
        <v>0</v>
      </c>
      <c r="BC23" s="144">
        <f>IFERROR(_xlfn.XLOOKUP($B23,'Cronog. e Histog.'!$BZ:$BZ,'Cronog. e Histog.'!DX:DX),"")</f>
        <v>0</v>
      </c>
      <c r="BD23" s="144">
        <f>IFERROR(_xlfn.XLOOKUP($B23,'Cronog. e Histog.'!$BZ:$BZ,'Cronog. e Histog.'!DY:DY),"")</f>
        <v>0</v>
      </c>
      <c r="BE23" s="144">
        <f>IFERROR(_xlfn.XLOOKUP($B23,'Cronog. e Histog.'!$BZ:$BZ,'Cronog. e Histog.'!DZ:DZ),"")</f>
        <v>0</v>
      </c>
      <c r="BF23" s="144">
        <f>IFERROR(_xlfn.XLOOKUP($B23,'Cronog. e Histog.'!$BZ:$BZ,'Cronog. e Histog.'!EA:EA),"")</f>
        <v>0</v>
      </c>
      <c r="BG23" s="144">
        <f>IFERROR(_xlfn.XLOOKUP($B23,'Cronog. e Histog.'!$BZ:$BZ,'Cronog. e Histog.'!EB:EB),"")</f>
        <v>0</v>
      </c>
      <c r="BH23" s="144">
        <f>IFERROR(_xlfn.XLOOKUP($B23,'Cronog. e Histog.'!$BZ:$BZ,'Cronog. e Histog.'!EC:EC),"")</f>
        <v>0</v>
      </c>
      <c r="BI23" s="144">
        <f>IFERROR(_xlfn.XLOOKUP($B23,'Cronog. e Histog.'!$BZ:$BZ,'Cronog. e Histog.'!ED:ED),"")</f>
        <v>0</v>
      </c>
      <c r="BJ23" s="144">
        <f>IFERROR(_xlfn.XLOOKUP($B23,'Cronog. e Histog.'!$BZ:$BZ,'Cronog. e Histog.'!EE:EE),"")</f>
        <v>0</v>
      </c>
      <c r="BK23" s="144">
        <f>IFERROR(_xlfn.XLOOKUP($B23,'Cronog. e Histog.'!$BZ:$BZ,'Cronog. e Histog.'!EF:EF),"")</f>
        <v>0</v>
      </c>
      <c r="BL23" s="144">
        <f>IFERROR(_xlfn.XLOOKUP($B23,'Cronog. e Histog.'!$BZ:$BZ,'Cronog. e Histog.'!EG:EG),"")</f>
        <v>0</v>
      </c>
      <c r="BM23" s="144">
        <f>IFERROR(_xlfn.XLOOKUP($B23,'Cronog. e Histog.'!$BZ:$BZ,'Cronog. e Histog.'!EH:EH),"")</f>
        <v>0</v>
      </c>
      <c r="BN23" s="144">
        <f>IFERROR(_xlfn.XLOOKUP($B23,'Cronog. e Histog.'!$BZ:$BZ,'Cronog. e Histog.'!EI:EI),"")</f>
        <v>0</v>
      </c>
    </row>
    <row r="24" spans="2:66" ht="12" hidden="1" customHeight="1" outlineLevel="1">
      <c r="B24" s="76">
        <v>18</v>
      </c>
      <c r="C24" s="143" t="str">
        <f>IFERROR(VLOOKUP(B24,'Cronog. e Histog.'!$BZ$213:$CA$747,2,0),"")</f>
        <v>EST</v>
      </c>
      <c r="D24" s="144">
        <f t="shared" si="0"/>
        <v>0</v>
      </c>
      <c r="E24" s="144">
        <f t="shared" si="1"/>
        <v>0</v>
      </c>
      <c r="F24" s="65"/>
      <c r="G24" s="144">
        <f>IFERROR(_xlfn.XLOOKUP($B24,'Cronog. e Histog.'!$BZ:$BZ,'Cronog. e Histog.'!CB:CB),"")</f>
        <v>0</v>
      </c>
      <c r="H24" s="144">
        <f>IFERROR(_xlfn.XLOOKUP($B24,'Cronog. e Histog.'!$BZ:$BZ,'Cronog. e Histog.'!CC:CC),"")</f>
        <v>0</v>
      </c>
      <c r="I24" s="144">
        <f>IFERROR(_xlfn.XLOOKUP($B24,'Cronog. e Histog.'!$BZ:$BZ,'Cronog. e Histog.'!CD:CD),"")</f>
        <v>0</v>
      </c>
      <c r="J24" s="144">
        <f>IFERROR(_xlfn.XLOOKUP($B24,'Cronog. e Histog.'!$BZ:$BZ,'Cronog. e Histog.'!CE:CE),"")</f>
        <v>0</v>
      </c>
      <c r="K24" s="144">
        <f>IFERROR(_xlfn.XLOOKUP($B24,'Cronog. e Histog.'!$BZ:$BZ,'Cronog. e Histog.'!CF:CF),"")</f>
        <v>0</v>
      </c>
      <c r="L24" s="144">
        <f>IFERROR(_xlfn.XLOOKUP($B24,'Cronog. e Histog.'!$BZ:$BZ,'Cronog. e Histog.'!CG:CG),"")</f>
        <v>0</v>
      </c>
      <c r="M24" s="144">
        <f>IFERROR(_xlfn.XLOOKUP($B24,'Cronog. e Histog.'!$BZ:$BZ,'Cronog. e Histog.'!CH:CH),"")</f>
        <v>0</v>
      </c>
      <c r="N24" s="144">
        <f>IFERROR(_xlfn.XLOOKUP($B24,'Cronog. e Histog.'!$BZ:$BZ,'Cronog. e Histog.'!CI:CI),"")</f>
        <v>0</v>
      </c>
      <c r="O24" s="144">
        <f>IFERROR(_xlfn.XLOOKUP($B24,'Cronog. e Histog.'!$BZ:$BZ,'Cronog. e Histog.'!CJ:CJ),"")</f>
        <v>0</v>
      </c>
      <c r="P24" s="144">
        <f>IFERROR(_xlfn.XLOOKUP($B24,'Cronog. e Histog.'!$BZ:$BZ,'Cronog. e Histog.'!CK:CK),"")</f>
        <v>0</v>
      </c>
      <c r="Q24" s="144">
        <f>IFERROR(_xlfn.XLOOKUP($B24,'Cronog. e Histog.'!$BZ:$BZ,'Cronog. e Histog.'!CL:CL),"")</f>
        <v>0</v>
      </c>
      <c r="R24" s="144">
        <f>IFERROR(_xlfn.XLOOKUP($B24,'Cronog. e Histog.'!$BZ:$BZ,'Cronog. e Histog.'!CM:CM),"")</f>
        <v>0</v>
      </c>
      <c r="S24" s="144">
        <f>IFERROR(_xlfn.XLOOKUP($B24,'Cronog. e Histog.'!$BZ:$BZ,'Cronog. e Histog.'!CN:CN),"")</f>
        <v>0</v>
      </c>
      <c r="T24" s="144">
        <f>IFERROR(_xlfn.XLOOKUP($B24,'Cronog. e Histog.'!$BZ:$BZ,'Cronog. e Histog.'!CO:CO),"")</f>
        <v>0</v>
      </c>
      <c r="U24" s="144">
        <f>IFERROR(_xlfn.XLOOKUP($B24,'Cronog. e Histog.'!$BZ:$BZ,'Cronog. e Histog.'!CP:CP),"")</f>
        <v>0</v>
      </c>
      <c r="V24" s="144">
        <f>IFERROR(_xlfn.XLOOKUP($B24,'Cronog. e Histog.'!$BZ:$BZ,'Cronog. e Histog.'!CQ:CQ),"")</f>
        <v>0</v>
      </c>
      <c r="W24" s="144">
        <f>IFERROR(_xlfn.XLOOKUP($B24,'Cronog. e Histog.'!$BZ:$BZ,'Cronog. e Histog.'!CR:CR),"")</f>
        <v>0</v>
      </c>
      <c r="X24" s="144">
        <f>IFERROR(_xlfn.XLOOKUP($B24,'Cronog. e Histog.'!$BZ:$BZ,'Cronog. e Histog.'!CS:CS),"")</f>
        <v>0</v>
      </c>
      <c r="Y24" s="144">
        <f>IFERROR(_xlfn.XLOOKUP($B24,'Cronog. e Histog.'!$BZ:$BZ,'Cronog. e Histog.'!CT:CT),"")</f>
        <v>0</v>
      </c>
      <c r="Z24" s="144">
        <f>IFERROR(_xlfn.XLOOKUP($B24,'Cronog. e Histog.'!$BZ:$BZ,'Cronog. e Histog.'!CU:CU),"")</f>
        <v>0</v>
      </c>
      <c r="AA24" s="144">
        <f>IFERROR(_xlfn.XLOOKUP($B24,'Cronog. e Histog.'!$BZ:$BZ,'Cronog. e Histog.'!CV:CV),"")</f>
        <v>0</v>
      </c>
      <c r="AB24" s="144">
        <f>IFERROR(_xlfn.XLOOKUP($B24,'Cronog. e Histog.'!$BZ:$BZ,'Cronog. e Histog.'!CW:CW),"")</f>
        <v>0</v>
      </c>
      <c r="AC24" s="144">
        <f>IFERROR(_xlfn.XLOOKUP($B24,'Cronog. e Histog.'!$BZ:$BZ,'Cronog. e Histog.'!CX:CX),"")</f>
        <v>0</v>
      </c>
      <c r="AD24" s="144">
        <f>IFERROR(_xlfn.XLOOKUP($B24,'Cronog. e Histog.'!$BZ:$BZ,'Cronog. e Histog.'!CY:CY),"")</f>
        <v>0</v>
      </c>
      <c r="AE24" s="144">
        <f>IFERROR(_xlfn.XLOOKUP($B24,'Cronog. e Histog.'!$BZ:$BZ,'Cronog. e Histog.'!CZ:CZ),"")</f>
        <v>0</v>
      </c>
      <c r="AF24" s="144">
        <f>IFERROR(_xlfn.XLOOKUP($B24,'Cronog. e Histog.'!$BZ:$BZ,'Cronog. e Histog.'!DA:DA),"")</f>
        <v>0</v>
      </c>
      <c r="AG24" s="144">
        <f>IFERROR(_xlfn.XLOOKUP($B24,'Cronog. e Histog.'!$BZ:$BZ,'Cronog. e Histog.'!DB:DB),"")</f>
        <v>0</v>
      </c>
      <c r="AH24" s="144">
        <f>IFERROR(_xlfn.XLOOKUP($B24,'Cronog. e Histog.'!$BZ:$BZ,'Cronog. e Histog.'!DC:DC),"")</f>
        <v>0</v>
      </c>
      <c r="AI24" s="144">
        <f>IFERROR(_xlfn.XLOOKUP($B24,'Cronog. e Histog.'!$BZ:$BZ,'Cronog. e Histog.'!DD:DD),"")</f>
        <v>0</v>
      </c>
      <c r="AJ24" s="144">
        <f>IFERROR(_xlfn.XLOOKUP($B24,'Cronog. e Histog.'!$BZ:$BZ,'Cronog. e Histog.'!DE:DE),"")</f>
        <v>0</v>
      </c>
      <c r="AK24" s="144">
        <f>IFERROR(_xlfn.XLOOKUP($B24,'Cronog. e Histog.'!$BZ:$BZ,'Cronog. e Histog.'!DF:DF),"")</f>
        <v>0</v>
      </c>
      <c r="AL24" s="144">
        <f>IFERROR(_xlfn.XLOOKUP($B24,'Cronog. e Histog.'!$BZ:$BZ,'Cronog. e Histog.'!DG:DG),"")</f>
        <v>0</v>
      </c>
      <c r="AM24" s="144">
        <f>IFERROR(_xlfn.XLOOKUP($B24,'Cronog. e Histog.'!$BZ:$BZ,'Cronog. e Histog.'!DH:DH),"")</f>
        <v>0</v>
      </c>
      <c r="AN24" s="144">
        <f>IFERROR(_xlfn.XLOOKUP($B24,'Cronog. e Histog.'!$BZ:$BZ,'Cronog. e Histog.'!DI:DI),"")</f>
        <v>0</v>
      </c>
      <c r="AO24" s="144">
        <f>IFERROR(_xlfn.XLOOKUP($B24,'Cronog. e Histog.'!$BZ:$BZ,'Cronog. e Histog.'!DJ:DJ),"")</f>
        <v>0</v>
      </c>
      <c r="AP24" s="144">
        <f>IFERROR(_xlfn.XLOOKUP($B24,'Cronog. e Histog.'!$BZ:$BZ,'Cronog. e Histog.'!DK:DK),"")</f>
        <v>0</v>
      </c>
      <c r="AQ24" s="144">
        <f>IFERROR(_xlfn.XLOOKUP($B24,'Cronog. e Histog.'!$BZ:$BZ,'Cronog. e Histog.'!DL:DL),"")</f>
        <v>0</v>
      </c>
      <c r="AR24" s="144">
        <f>IFERROR(_xlfn.XLOOKUP($B24,'Cronog. e Histog.'!$BZ:$BZ,'Cronog. e Histog.'!DM:DM),"")</f>
        <v>0</v>
      </c>
      <c r="AS24" s="144">
        <f>IFERROR(_xlfn.XLOOKUP($B24,'Cronog. e Histog.'!$BZ:$BZ,'Cronog. e Histog.'!DN:DN),"")</f>
        <v>0</v>
      </c>
      <c r="AT24" s="144">
        <f>IFERROR(_xlfn.XLOOKUP($B24,'Cronog. e Histog.'!$BZ:$BZ,'Cronog. e Histog.'!DO:DO),"")</f>
        <v>0</v>
      </c>
      <c r="AU24" s="144">
        <f>IFERROR(_xlfn.XLOOKUP($B24,'Cronog. e Histog.'!$BZ:$BZ,'Cronog. e Histog.'!DP:DP),"")</f>
        <v>0</v>
      </c>
      <c r="AV24" s="144">
        <f>IFERROR(_xlfn.XLOOKUP($B24,'Cronog. e Histog.'!$BZ:$BZ,'Cronog. e Histog.'!DQ:DQ),"")</f>
        <v>0</v>
      </c>
      <c r="AW24" s="144">
        <f>IFERROR(_xlfn.XLOOKUP($B24,'Cronog. e Histog.'!$BZ:$BZ,'Cronog. e Histog.'!DR:DR),"")</f>
        <v>0</v>
      </c>
      <c r="AX24" s="144">
        <f>IFERROR(_xlfn.XLOOKUP($B24,'Cronog. e Histog.'!$BZ:$BZ,'Cronog. e Histog.'!DS:DS),"")</f>
        <v>0</v>
      </c>
      <c r="AY24" s="144">
        <f>IFERROR(_xlfn.XLOOKUP($B24,'Cronog. e Histog.'!$BZ:$BZ,'Cronog. e Histog.'!DT:DT),"")</f>
        <v>0</v>
      </c>
      <c r="AZ24" s="144">
        <f>IFERROR(_xlfn.XLOOKUP($B24,'Cronog. e Histog.'!$BZ:$BZ,'Cronog. e Histog.'!DU:DU),"")</f>
        <v>0</v>
      </c>
      <c r="BA24" s="144">
        <f>IFERROR(_xlfn.XLOOKUP($B24,'Cronog. e Histog.'!$BZ:$BZ,'Cronog. e Histog.'!DV:DV),"")</f>
        <v>0</v>
      </c>
      <c r="BB24" s="144">
        <f>IFERROR(_xlfn.XLOOKUP($B24,'Cronog. e Histog.'!$BZ:$BZ,'Cronog. e Histog.'!DW:DW),"")</f>
        <v>0</v>
      </c>
      <c r="BC24" s="144">
        <f>IFERROR(_xlfn.XLOOKUP($B24,'Cronog. e Histog.'!$BZ:$BZ,'Cronog. e Histog.'!DX:DX),"")</f>
        <v>0</v>
      </c>
      <c r="BD24" s="144">
        <f>IFERROR(_xlfn.XLOOKUP($B24,'Cronog. e Histog.'!$BZ:$BZ,'Cronog. e Histog.'!DY:DY),"")</f>
        <v>0</v>
      </c>
      <c r="BE24" s="144">
        <f>IFERROR(_xlfn.XLOOKUP($B24,'Cronog. e Histog.'!$BZ:$BZ,'Cronog. e Histog.'!DZ:DZ),"")</f>
        <v>0</v>
      </c>
      <c r="BF24" s="144">
        <f>IFERROR(_xlfn.XLOOKUP($B24,'Cronog. e Histog.'!$BZ:$BZ,'Cronog. e Histog.'!EA:EA),"")</f>
        <v>0</v>
      </c>
      <c r="BG24" s="144">
        <f>IFERROR(_xlfn.XLOOKUP($B24,'Cronog. e Histog.'!$BZ:$BZ,'Cronog. e Histog.'!EB:EB),"")</f>
        <v>0</v>
      </c>
      <c r="BH24" s="144">
        <f>IFERROR(_xlfn.XLOOKUP($B24,'Cronog. e Histog.'!$BZ:$BZ,'Cronog. e Histog.'!EC:EC),"")</f>
        <v>0</v>
      </c>
      <c r="BI24" s="144">
        <f>IFERROR(_xlfn.XLOOKUP($B24,'Cronog. e Histog.'!$BZ:$BZ,'Cronog. e Histog.'!ED:ED),"")</f>
        <v>0</v>
      </c>
      <c r="BJ24" s="144">
        <f>IFERROR(_xlfn.XLOOKUP($B24,'Cronog. e Histog.'!$BZ:$BZ,'Cronog. e Histog.'!EE:EE),"")</f>
        <v>0</v>
      </c>
      <c r="BK24" s="144">
        <f>IFERROR(_xlfn.XLOOKUP($B24,'Cronog. e Histog.'!$BZ:$BZ,'Cronog. e Histog.'!EF:EF),"")</f>
        <v>0</v>
      </c>
      <c r="BL24" s="144">
        <f>IFERROR(_xlfn.XLOOKUP($B24,'Cronog. e Histog.'!$BZ:$BZ,'Cronog. e Histog.'!EG:EG),"")</f>
        <v>0</v>
      </c>
      <c r="BM24" s="144">
        <f>IFERROR(_xlfn.XLOOKUP($B24,'Cronog. e Histog.'!$BZ:$BZ,'Cronog. e Histog.'!EH:EH),"")</f>
        <v>0</v>
      </c>
      <c r="BN24" s="144">
        <f>IFERROR(_xlfn.XLOOKUP($B24,'Cronog. e Histog.'!$BZ:$BZ,'Cronog. e Histog.'!EI:EI),"")</f>
        <v>0</v>
      </c>
    </row>
    <row r="25" spans="2:66" ht="12" hidden="1" customHeight="1" outlineLevel="1">
      <c r="B25" s="76">
        <v>19</v>
      </c>
      <c r="C25" s="143" t="str">
        <f>IFERROR(VLOOKUP(B25,'Cronog. e Histog.'!$BZ$213:$CA$747,2,0),"")</f>
        <v>EST_II</v>
      </c>
      <c r="D25" s="144">
        <f t="shared" si="0"/>
        <v>0</v>
      </c>
      <c r="E25" s="144">
        <f t="shared" si="1"/>
        <v>0</v>
      </c>
      <c r="F25" s="65"/>
      <c r="G25" s="144">
        <f>IFERROR(_xlfn.XLOOKUP($B25,'Cronog. e Histog.'!$BZ:$BZ,'Cronog. e Histog.'!CB:CB),"")</f>
        <v>0</v>
      </c>
      <c r="H25" s="144">
        <f>IFERROR(_xlfn.XLOOKUP($B25,'Cronog. e Histog.'!$BZ:$BZ,'Cronog. e Histog.'!CC:CC),"")</f>
        <v>0</v>
      </c>
      <c r="I25" s="144">
        <f>IFERROR(_xlfn.XLOOKUP($B25,'Cronog. e Histog.'!$BZ:$BZ,'Cronog. e Histog.'!CD:CD),"")</f>
        <v>0</v>
      </c>
      <c r="J25" s="144">
        <f>IFERROR(_xlfn.XLOOKUP($B25,'Cronog. e Histog.'!$BZ:$BZ,'Cronog. e Histog.'!CE:CE),"")</f>
        <v>0</v>
      </c>
      <c r="K25" s="144">
        <f>IFERROR(_xlfn.XLOOKUP($B25,'Cronog. e Histog.'!$BZ:$BZ,'Cronog. e Histog.'!CF:CF),"")</f>
        <v>0</v>
      </c>
      <c r="L25" s="144">
        <f>IFERROR(_xlfn.XLOOKUP($B25,'Cronog. e Histog.'!$BZ:$BZ,'Cronog. e Histog.'!CG:CG),"")</f>
        <v>0</v>
      </c>
      <c r="M25" s="144">
        <f>IFERROR(_xlfn.XLOOKUP($B25,'Cronog. e Histog.'!$BZ:$BZ,'Cronog. e Histog.'!CH:CH),"")</f>
        <v>0</v>
      </c>
      <c r="N25" s="144">
        <f>IFERROR(_xlfn.XLOOKUP($B25,'Cronog. e Histog.'!$BZ:$BZ,'Cronog. e Histog.'!CI:CI),"")</f>
        <v>0</v>
      </c>
      <c r="O25" s="144">
        <f>IFERROR(_xlfn.XLOOKUP($B25,'Cronog. e Histog.'!$BZ:$BZ,'Cronog. e Histog.'!CJ:CJ),"")</f>
        <v>0</v>
      </c>
      <c r="P25" s="144">
        <f>IFERROR(_xlfn.XLOOKUP($B25,'Cronog. e Histog.'!$BZ:$BZ,'Cronog. e Histog.'!CK:CK),"")</f>
        <v>0</v>
      </c>
      <c r="Q25" s="144">
        <f>IFERROR(_xlfn.XLOOKUP($B25,'Cronog. e Histog.'!$BZ:$BZ,'Cronog. e Histog.'!CL:CL),"")</f>
        <v>0</v>
      </c>
      <c r="R25" s="144">
        <f>IFERROR(_xlfn.XLOOKUP($B25,'Cronog. e Histog.'!$BZ:$BZ,'Cronog. e Histog.'!CM:CM),"")</f>
        <v>0</v>
      </c>
      <c r="S25" s="144">
        <f>IFERROR(_xlfn.XLOOKUP($B25,'Cronog. e Histog.'!$BZ:$BZ,'Cronog. e Histog.'!CN:CN),"")</f>
        <v>0</v>
      </c>
      <c r="T25" s="144">
        <f>IFERROR(_xlfn.XLOOKUP($B25,'Cronog. e Histog.'!$BZ:$BZ,'Cronog. e Histog.'!CO:CO),"")</f>
        <v>0</v>
      </c>
      <c r="U25" s="144">
        <f>IFERROR(_xlfn.XLOOKUP($B25,'Cronog. e Histog.'!$BZ:$BZ,'Cronog. e Histog.'!CP:CP),"")</f>
        <v>0</v>
      </c>
      <c r="V25" s="144">
        <f>IFERROR(_xlfn.XLOOKUP($B25,'Cronog. e Histog.'!$BZ:$BZ,'Cronog. e Histog.'!CQ:CQ),"")</f>
        <v>0</v>
      </c>
      <c r="W25" s="144">
        <f>IFERROR(_xlfn.XLOOKUP($B25,'Cronog. e Histog.'!$BZ:$BZ,'Cronog. e Histog.'!CR:CR),"")</f>
        <v>0</v>
      </c>
      <c r="X25" s="144">
        <f>IFERROR(_xlfn.XLOOKUP($B25,'Cronog. e Histog.'!$BZ:$BZ,'Cronog. e Histog.'!CS:CS),"")</f>
        <v>0</v>
      </c>
      <c r="Y25" s="144">
        <f>IFERROR(_xlfn.XLOOKUP($B25,'Cronog. e Histog.'!$BZ:$BZ,'Cronog. e Histog.'!CT:CT),"")</f>
        <v>0</v>
      </c>
      <c r="Z25" s="144">
        <f>IFERROR(_xlfn.XLOOKUP($B25,'Cronog. e Histog.'!$BZ:$BZ,'Cronog. e Histog.'!CU:CU),"")</f>
        <v>0</v>
      </c>
      <c r="AA25" s="144">
        <f>IFERROR(_xlfn.XLOOKUP($B25,'Cronog. e Histog.'!$BZ:$BZ,'Cronog. e Histog.'!CV:CV),"")</f>
        <v>0</v>
      </c>
      <c r="AB25" s="144">
        <f>IFERROR(_xlfn.XLOOKUP($B25,'Cronog. e Histog.'!$BZ:$BZ,'Cronog. e Histog.'!CW:CW),"")</f>
        <v>0</v>
      </c>
      <c r="AC25" s="144">
        <f>IFERROR(_xlfn.XLOOKUP($B25,'Cronog. e Histog.'!$BZ:$BZ,'Cronog. e Histog.'!CX:CX),"")</f>
        <v>0</v>
      </c>
      <c r="AD25" s="144">
        <f>IFERROR(_xlfn.XLOOKUP($B25,'Cronog. e Histog.'!$BZ:$BZ,'Cronog. e Histog.'!CY:CY),"")</f>
        <v>0</v>
      </c>
      <c r="AE25" s="144">
        <f>IFERROR(_xlfn.XLOOKUP($B25,'Cronog. e Histog.'!$BZ:$BZ,'Cronog. e Histog.'!CZ:CZ),"")</f>
        <v>0</v>
      </c>
      <c r="AF25" s="144">
        <f>IFERROR(_xlfn.XLOOKUP($B25,'Cronog. e Histog.'!$BZ:$BZ,'Cronog. e Histog.'!DA:DA),"")</f>
        <v>0</v>
      </c>
      <c r="AG25" s="144">
        <f>IFERROR(_xlfn.XLOOKUP($B25,'Cronog. e Histog.'!$BZ:$BZ,'Cronog. e Histog.'!DB:DB),"")</f>
        <v>0</v>
      </c>
      <c r="AH25" s="144">
        <f>IFERROR(_xlfn.XLOOKUP($B25,'Cronog. e Histog.'!$BZ:$BZ,'Cronog. e Histog.'!DC:DC),"")</f>
        <v>0</v>
      </c>
      <c r="AI25" s="144">
        <f>IFERROR(_xlfn.XLOOKUP($B25,'Cronog. e Histog.'!$BZ:$BZ,'Cronog. e Histog.'!DD:DD),"")</f>
        <v>0</v>
      </c>
      <c r="AJ25" s="144">
        <f>IFERROR(_xlfn.XLOOKUP($B25,'Cronog. e Histog.'!$BZ:$BZ,'Cronog. e Histog.'!DE:DE),"")</f>
        <v>0</v>
      </c>
      <c r="AK25" s="144">
        <f>IFERROR(_xlfn.XLOOKUP($B25,'Cronog. e Histog.'!$BZ:$BZ,'Cronog. e Histog.'!DF:DF),"")</f>
        <v>0</v>
      </c>
      <c r="AL25" s="144">
        <f>IFERROR(_xlfn.XLOOKUP($B25,'Cronog. e Histog.'!$BZ:$BZ,'Cronog. e Histog.'!DG:DG),"")</f>
        <v>0</v>
      </c>
      <c r="AM25" s="144">
        <f>IFERROR(_xlfn.XLOOKUP($B25,'Cronog. e Histog.'!$BZ:$BZ,'Cronog. e Histog.'!DH:DH),"")</f>
        <v>0</v>
      </c>
      <c r="AN25" s="144">
        <f>IFERROR(_xlfn.XLOOKUP($B25,'Cronog. e Histog.'!$BZ:$BZ,'Cronog. e Histog.'!DI:DI),"")</f>
        <v>0</v>
      </c>
      <c r="AO25" s="144">
        <f>IFERROR(_xlfn.XLOOKUP($B25,'Cronog. e Histog.'!$BZ:$BZ,'Cronog. e Histog.'!DJ:DJ),"")</f>
        <v>0</v>
      </c>
      <c r="AP25" s="144">
        <f>IFERROR(_xlfn.XLOOKUP($B25,'Cronog. e Histog.'!$BZ:$BZ,'Cronog. e Histog.'!DK:DK),"")</f>
        <v>0</v>
      </c>
      <c r="AQ25" s="144">
        <f>IFERROR(_xlfn.XLOOKUP($B25,'Cronog. e Histog.'!$BZ:$BZ,'Cronog. e Histog.'!DL:DL),"")</f>
        <v>0</v>
      </c>
      <c r="AR25" s="144">
        <f>IFERROR(_xlfn.XLOOKUP($B25,'Cronog. e Histog.'!$BZ:$BZ,'Cronog. e Histog.'!DM:DM),"")</f>
        <v>0</v>
      </c>
      <c r="AS25" s="144">
        <f>IFERROR(_xlfn.XLOOKUP($B25,'Cronog. e Histog.'!$BZ:$BZ,'Cronog. e Histog.'!DN:DN),"")</f>
        <v>0</v>
      </c>
      <c r="AT25" s="144">
        <f>IFERROR(_xlfn.XLOOKUP($B25,'Cronog. e Histog.'!$BZ:$BZ,'Cronog. e Histog.'!DO:DO),"")</f>
        <v>0</v>
      </c>
      <c r="AU25" s="144">
        <f>IFERROR(_xlfn.XLOOKUP($B25,'Cronog. e Histog.'!$BZ:$BZ,'Cronog. e Histog.'!DP:DP),"")</f>
        <v>0</v>
      </c>
      <c r="AV25" s="144">
        <f>IFERROR(_xlfn.XLOOKUP($B25,'Cronog. e Histog.'!$BZ:$BZ,'Cronog. e Histog.'!DQ:DQ),"")</f>
        <v>0</v>
      </c>
      <c r="AW25" s="144">
        <f>IFERROR(_xlfn.XLOOKUP($B25,'Cronog. e Histog.'!$BZ:$BZ,'Cronog. e Histog.'!DR:DR),"")</f>
        <v>0</v>
      </c>
      <c r="AX25" s="144">
        <f>IFERROR(_xlfn.XLOOKUP($B25,'Cronog. e Histog.'!$BZ:$BZ,'Cronog. e Histog.'!DS:DS),"")</f>
        <v>0</v>
      </c>
      <c r="AY25" s="144">
        <f>IFERROR(_xlfn.XLOOKUP($B25,'Cronog. e Histog.'!$BZ:$BZ,'Cronog. e Histog.'!DT:DT),"")</f>
        <v>0</v>
      </c>
      <c r="AZ25" s="144">
        <f>IFERROR(_xlfn.XLOOKUP($B25,'Cronog. e Histog.'!$BZ:$BZ,'Cronog. e Histog.'!DU:DU),"")</f>
        <v>0</v>
      </c>
      <c r="BA25" s="144">
        <f>IFERROR(_xlfn.XLOOKUP($B25,'Cronog. e Histog.'!$BZ:$BZ,'Cronog. e Histog.'!DV:DV),"")</f>
        <v>0</v>
      </c>
      <c r="BB25" s="144">
        <f>IFERROR(_xlfn.XLOOKUP($B25,'Cronog. e Histog.'!$BZ:$BZ,'Cronog. e Histog.'!DW:DW),"")</f>
        <v>0</v>
      </c>
      <c r="BC25" s="144">
        <f>IFERROR(_xlfn.XLOOKUP($B25,'Cronog. e Histog.'!$BZ:$BZ,'Cronog. e Histog.'!DX:DX),"")</f>
        <v>0</v>
      </c>
      <c r="BD25" s="144">
        <f>IFERROR(_xlfn.XLOOKUP($B25,'Cronog. e Histog.'!$BZ:$BZ,'Cronog. e Histog.'!DY:DY),"")</f>
        <v>0</v>
      </c>
      <c r="BE25" s="144">
        <f>IFERROR(_xlfn.XLOOKUP($B25,'Cronog. e Histog.'!$BZ:$BZ,'Cronog. e Histog.'!DZ:DZ),"")</f>
        <v>0</v>
      </c>
      <c r="BF25" s="144">
        <f>IFERROR(_xlfn.XLOOKUP($B25,'Cronog. e Histog.'!$BZ:$BZ,'Cronog. e Histog.'!EA:EA),"")</f>
        <v>0</v>
      </c>
      <c r="BG25" s="144">
        <f>IFERROR(_xlfn.XLOOKUP($B25,'Cronog. e Histog.'!$BZ:$BZ,'Cronog. e Histog.'!EB:EB),"")</f>
        <v>0</v>
      </c>
      <c r="BH25" s="144">
        <f>IFERROR(_xlfn.XLOOKUP($B25,'Cronog. e Histog.'!$BZ:$BZ,'Cronog. e Histog.'!EC:EC),"")</f>
        <v>0</v>
      </c>
      <c r="BI25" s="144">
        <f>IFERROR(_xlfn.XLOOKUP($B25,'Cronog. e Histog.'!$BZ:$BZ,'Cronog. e Histog.'!ED:ED),"")</f>
        <v>0</v>
      </c>
      <c r="BJ25" s="144">
        <f>IFERROR(_xlfn.XLOOKUP($B25,'Cronog. e Histog.'!$BZ:$BZ,'Cronog. e Histog.'!EE:EE),"")</f>
        <v>0</v>
      </c>
      <c r="BK25" s="144">
        <f>IFERROR(_xlfn.XLOOKUP($B25,'Cronog. e Histog.'!$BZ:$BZ,'Cronog. e Histog.'!EF:EF),"")</f>
        <v>0</v>
      </c>
      <c r="BL25" s="144">
        <f>IFERROR(_xlfn.XLOOKUP($B25,'Cronog. e Histog.'!$BZ:$BZ,'Cronog. e Histog.'!EG:EG),"")</f>
        <v>0</v>
      </c>
      <c r="BM25" s="144">
        <f>IFERROR(_xlfn.XLOOKUP($B25,'Cronog. e Histog.'!$BZ:$BZ,'Cronog. e Histog.'!EH:EH),"")</f>
        <v>0</v>
      </c>
      <c r="BN25" s="144">
        <f>IFERROR(_xlfn.XLOOKUP($B25,'Cronog. e Histog.'!$BZ:$BZ,'Cronog. e Histog.'!EI:EI),"")</f>
        <v>0</v>
      </c>
    </row>
    <row r="26" spans="2:66" ht="12" hidden="1" customHeight="1" outlineLevel="1">
      <c r="B26" s="76">
        <v>20</v>
      </c>
      <c r="C26" s="143" t="str">
        <f>IFERROR(VLOOKUP(B26,'Cronog. e Histog.'!$BZ$213:$CA$747,2,0),"")</f>
        <v>EST_III</v>
      </c>
      <c r="D26" s="144">
        <f t="shared" si="0"/>
        <v>0</v>
      </c>
      <c r="E26" s="144">
        <f t="shared" si="1"/>
        <v>0</v>
      </c>
      <c r="F26" s="65"/>
      <c r="G26" s="144">
        <f>IFERROR(_xlfn.XLOOKUP($B26,'Cronog. e Histog.'!$BZ:$BZ,'Cronog. e Histog.'!CB:CB),"")</f>
        <v>0</v>
      </c>
      <c r="H26" s="144">
        <f>IFERROR(_xlfn.XLOOKUP($B26,'Cronog. e Histog.'!$BZ:$BZ,'Cronog. e Histog.'!CC:CC),"")</f>
        <v>0</v>
      </c>
      <c r="I26" s="144">
        <f>IFERROR(_xlfn.XLOOKUP($B26,'Cronog. e Histog.'!$BZ:$BZ,'Cronog. e Histog.'!CD:CD),"")</f>
        <v>0</v>
      </c>
      <c r="J26" s="144">
        <f>IFERROR(_xlfn.XLOOKUP($B26,'Cronog. e Histog.'!$BZ:$BZ,'Cronog. e Histog.'!CE:CE),"")</f>
        <v>0</v>
      </c>
      <c r="K26" s="144">
        <f>IFERROR(_xlfn.XLOOKUP($B26,'Cronog. e Histog.'!$BZ:$BZ,'Cronog. e Histog.'!CF:CF),"")</f>
        <v>0</v>
      </c>
      <c r="L26" s="144">
        <f>IFERROR(_xlfn.XLOOKUP($B26,'Cronog. e Histog.'!$BZ:$BZ,'Cronog. e Histog.'!CG:CG),"")</f>
        <v>0</v>
      </c>
      <c r="M26" s="144">
        <f>IFERROR(_xlfn.XLOOKUP($B26,'Cronog. e Histog.'!$BZ:$BZ,'Cronog. e Histog.'!CH:CH),"")</f>
        <v>0</v>
      </c>
      <c r="N26" s="144">
        <f>IFERROR(_xlfn.XLOOKUP($B26,'Cronog. e Histog.'!$BZ:$BZ,'Cronog. e Histog.'!CI:CI),"")</f>
        <v>0</v>
      </c>
      <c r="O26" s="144">
        <f>IFERROR(_xlfn.XLOOKUP($B26,'Cronog. e Histog.'!$BZ:$BZ,'Cronog. e Histog.'!CJ:CJ),"")</f>
        <v>0</v>
      </c>
      <c r="P26" s="144">
        <f>IFERROR(_xlfn.XLOOKUP($B26,'Cronog. e Histog.'!$BZ:$BZ,'Cronog. e Histog.'!CK:CK),"")</f>
        <v>0</v>
      </c>
      <c r="Q26" s="144">
        <f>IFERROR(_xlfn.XLOOKUP($B26,'Cronog. e Histog.'!$BZ:$BZ,'Cronog. e Histog.'!CL:CL),"")</f>
        <v>0</v>
      </c>
      <c r="R26" s="144">
        <f>IFERROR(_xlfn.XLOOKUP($B26,'Cronog. e Histog.'!$BZ:$BZ,'Cronog. e Histog.'!CM:CM),"")</f>
        <v>0</v>
      </c>
      <c r="S26" s="144">
        <f>IFERROR(_xlfn.XLOOKUP($B26,'Cronog. e Histog.'!$BZ:$BZ,'Cronog. e Histog.'!CN:CN),"")</f>
        <v>0</v>
      </c>
      <c r="T26" s="144">
        <f>IFERROR(_xlfn.XLOOKUP($B26,'Cronog. e Histog.'!$BZ:$BZ,'Cronog. e Histog.'!CO:CO),"")</f>
        <v>0</v>
      </c>
      <c r="U26" s="144">
        <f>IFERROR(_xlfn.XLOOKUP($B26,'Cronog. e Histog.'!$BZ:$BZ,'Cronog. e Histog.'!CP:CP),"")</f>
        <v>0</v>
      </c>
      <c r="V26" s="144">
        <f>IFERROR(_xlfn.XLOOKUP($B26,'Cronog. e Histog.'!$BZ:$BZ,'Cronog. e Histog.'!CQ:CQ),"")</f>
        <v>0</v>
      </c>
      <c r="W26" s="144">
        <f>IFERROR(_xlfn.XLOOKUP($B26,'Cronog. e Histog.'!$BZ:$BZ,'Cronog. e Histog.'!CR:CR),"")</f>
        <v>0</v>
      </c>
      <c r="X26" s="144">
        <f>IFERROR(_xlfn.XLOOKUP($B26,'Cronog. e Histog.'!$BZ:$BZ,'Cronog. e Histog.'!CS:CS),"")</f>
        <v>0</v>
      </c>
      <c r="Y26" s="144">
        <f>IFERROR(_xlfn.XLOOKUP($B26,'Cronog. e Histog.'!$BZ:$BZ,'Cronog. e Histog.'!CT:CT),"")</f>
        <v>0</v>
      </c>
      <c r="Z26" s="144">
        <f>IFERROR(_xlfn.XLOOKUP($B26,'Cronog. e Histog.'!$BZ:$BZ,'Cronog. e Histog.'!CU:CU),"")</f>
        <v>0</v>
      </c>
      <c r="AA26" s="144">
        <f>IFERROR(_xlfn.XLOOKUP($B26,'Cronog. e Histog.'!$BZ:$BZ,'Cronog. e Histog.'!CV:CV),"")</f>
        <v>0</v>
      </c>
      <c r="AB26" s="144">
        <f>IFERROR(_xlfn.XLOOKUP($B26,'Cronog. e Histog.'!$BZ:$BZ,'Cronog. e Histog.'!CW:CW),"")</f>
        <v>0</v>
      </c>
      <c r="AC26" s="144">
        <f>IFERROR(_xlfn.XLOOKUP($B26,'Cronog. e Histog.'!$BZ:$BZ,'Cronog. e Histog.'!CX:CX),"")</f>
        <v>0</v>
      </c>
      <c r="AD26" s="144">
        <f>IFERROR(_xlfn.XLOOKUP($B26,'Cronog. e Histog.'!$BZ:$BZ,'Cronog. e Histog.'!CY:CY),"")</f>
        <v>0</v>
      </c>
      <c r="AE26" s="144">
        <f>IFERROR(_xlfn.XLOOKUP($B26,'Cronog. e Histog.'!$BZ:$BZ,'Cronog. e Histog.'!CZ:CZ),"")</f>
        <v>0</v>
      </c>
      <c r="AF26" s="144">
        <f>IFERROR(_xlfn.XLOOKUP($B26,'Cronog. e Histog.'!$BZ:$BZ,'Cronog. e Histog.'!DA:DA),"")</f>
        <v>0</v>
      </c>
      <c r="AG26" s="144">
        <f>IFERROR(_xlfn.XLOOKUP($B26,'Cronog. e Histog.'!$BZ:$BZ,'Cronog. e Histog.'!DB:DB),"")</f>
        <v>0</v>
      </c>
      <c r="AH26" s="144">
        <f>IFERROR(_xlfn.XLOOKUP($B26,'Cronog. e Histog.'!$BZ:$BZ,'Cronog. e Histog.'!DC:DC),"")</f>
        <v>0</v>
      </c>
      <c r="AI26" s="144">
        <f>IFERROR(_xlfn.XLOOKUP($B26,'Cronog. e Histog.'!$BZ:$BZ,'Cronog. e Histog.'!DD:DD),"")</f>
        <v>0</v>
      </c>
      <c r="AJ26" s="144">
        <f>IFERROR(_xlfn.XLOOKUP($B26,'Cronog. e Histog.'!$BZ:$BZ,'Cronog. e Histog.'!DE:DE),"")</f>
        <v>0</v>
      </c>
      <c r="AK26" s="144">
        <f>IFERROR(_xlfn.XLOOKUP($B26,'Cronog. e Histog.'!$BZ:$BZ,'Cronog. e Histog.'!DF:DF),"")</f>
        <v>0</v>
      </c>
      <c r="AL26" s="144">
        <f>IFERROR(_xlfn.XLOOKUP($B26,'Cronog. e Histog.'!$BZ:$BZ,'Cronog. e Histog.'!DG:DG),"")</f>
        <v>0</v>
      </c>
      <c r="AM26" s="144">
        <f>IFERROR(_xlfn.XLOOKUP($B26,'Cronog. e Histog.'!$BZ:$BZ,'Cronog. e Histog.'!DH:DH),"")</f>
        <v>0</v>
      </c>
      <c r="AN26" s="144">
        <f>IFERROR(_xlfn.XLOOKUP($B26,'Cronog. e Histog.'!$BZ:$BZ,'Cronog. e Histog.'!DI:DI),"")</f>
        <v>0</v>
      </c>
      <c r="AO26" s="144">
        <f>IFERROR(_xlfn.XLOOKUP($B26,'Cronog. e Histog.'!$BZ:$BZ,'Cronog. e Histog.'!DJ:DJ),"")</f>
        <v>0</v>
      </c>
      <c r="AP26" s="144">
        <f>IFERROR(_xlfn.XLOOKUP($B26,'Cronog. e Histog.'!$BZ:$BZ,'Cronog. e Histog.'!DK:DK),"")</f>
        <v>0</v>
      </c>
      <c r="AQ26" s="144">
        <f>IFERROR(_xlfn.XLOOKUP($B26,'Cronog. e Histog.'!$BZ:$BZ,'Cronog. e Histog.'!DL:DL),"")</f>
        <v>0</v>
      </c>
      <c r="AR26" s="144">
        <f>IFERROR(_xlfn.XLOOKUP($B26,'Cronog. e Histog.'!$BZ:$BZ,'Cronog. e Histog.'!DM:DM),"")</f>
        <v>0</v>
      </c>
      <c r="AS26" s="144">
        <f>IFERROR(_xlfn.XLOOKUP($B26,'Cronog. e Histog.'!$BZ:$BZ,'Cronog. e Histog.'!DN:DN),"")</f>
        <v>0</v>
      </c>
      <c r="AT26" s="144">
        <f>IFERROR(_xlfn.XLOOKUP($B26,'Cronog. e Histog.'!$BZ:$BZ,'Cronog. e Histog.'!DO:DO),"")</f>
        <v>0</v>
      </c>
      <c r="AU26" s="144">
        <f>IFERROR(_xlfn.XLOOKUP($B26,'Cronog. e Histog.'!$BZ:$BZ,'Cronog. e Histog.'!DP:DP),"")</f>
        <v>0</v>
      </c>
      <c r="AV26" s="144">
        <f>IFERROR(_xlfn.XLOOKUP($B26,'Cronog. e Histog.'!$BZ:$BZ,'Cronog. e Histog.'!DQ:DQ),"")</f>
        <v>0</v>
      </c>
      <c r="AW26" s="144">
        <f>IFERROR(_xlfn.XLOOKUP($B26,'Cronog. e Histog.'!$BZ:$BZ,'Cronog. e Histog.'!DR:DR),"")</f>
        <v>0</v>
      </c>
      <c r="AX26" s="144">
        <f>IFERROR(_xlfn.XLOOKUP($B26,'Cronog. e Histog.'!$BZ:$BZ,'Cronog. e Histog.'!DS:DS),"")</f>
        <v>0</v>
      </c>
      <c r="AY26" s="144">
        <f>IFERROR(_xlfn.XLOOKUP($B26,'Cronog. e Histog.'!$BZ:$BZ,'Cronog. e Histog.'!DT:DT),"")</f>
        <v>0</v>
      </c>
      <c r="AZ26" s="144">
        <f>IFERROR(_xlfn.XLOOKUP($B26,'Cronog. e Histog.'!$BZ:$BZ,'Cronog. e Histog.'!DU:DU),"")</f>
        <v>0</v>
      </c>
      <c r="BA26" s="144">
        <f>IFERROR(_xlfn.XLOOKUP($B26,'Cronog. e Histog.'!$BZ:$BZ,'Cronog. e Histog.'!DV:DV),"")</f>
        <v>0</v>
      </c>
      <c r="BB26" s="144">
        <f>IFERROR(_xlfn.XLOOKUP($B26,'Cronog. e Histog.'!$BZ:$BZ,'Cronog. e Histog.'!DW:DW),"")</f>
        <v>0</v>
      </c>
      <c r="BC26" s="144">
        <f>IFERROR(_xlfn.XLOOKUP($B26,'Cronog. e Histog.'!$BZ:$BZ,'Cronog. e Histog.'!DX:DX),"")</f>
        <v>0</v>
      </c>
      <c r="BD26" s="144">
        <f>IFERROR(_xlfn.XLOOKUP($B26,'Cronog. e Histog.'!$BZ:$BZ,'Cronog. e Histog.'!DY:DY),"")</f>
        <v>0</v>
      </c>
      <c r="BE26" s="144">
        <f>IFERROR(_xlfn.XLOOKUP($B26,'Cronog. e Histog.'!$BZ:$BZ,'Cronog. e Histog.'!DZ:DZ),"")</f>
        <v>0</v>
      </c>
      <c r="BF26" s="144">
        <f>IFERROR(_xlfn.XLOOKUP($B26,'Cronog. e Histog.'!$BZ:$BZ,'Cronog. e Histog.'!EA:EA),"")</f>
        <v>0</v>
      </c>
      <c r="BG26" s="144">
        <f>IFERROR(_xlfn.XLOOKUP($B26,'Cronog. e Histog.'!$BZ:$BZ,'Cronog. e Histog.'!EB:EB),"")</f>
        <v>0</v>
      </c>
      <c r="BH26" s="144">
        <f>IFERROR(_xlfn.XLOOKUP($B26,'Cronog. e Histog.'!$BZ:$BZ,'Cronog. e Histog.'!EC:EC),"")</f>
        <v>0</v>
      </c>
      <c r="BI26" s="144">
        <f>IFERROR(_xlfn.XLOOKUP($B26,'Cronog. e Histog.'!$BZ:$BZ,'Cronog. e Histog.'!ED:ED),"")</f>
        <v>0</v>
      </c>
      <c r="BJ26" s="144">
        <f>IFERROR(_xlfn.XLOOKUP($B26,'Cronog. e Histog.'!$BZ:$BZ,'Cronog. e Histog.'!EE:EE),"")</f>
        <v>0</v>
      </c>
      <c r="BK26" s="144">
        <f>IFERROR(_xlfn.XLOOKUP($B26,'Cronog. e Histog.'!$BZ:$BZ,'Cronog. e Histog.'!EF:EF),"")</f>
        <v>0</v>
      </c>
      <c r="BL26" s="144">
        <f>IFERROR(_xlfn.XLOOKUP($B26,'Cronog. e Histog.'!$BZ:$BZ,'Cronog. e Histog.'!EG:EG),"")</f>
        <v>0</v>
      </c>
      <c r="BM26" s="144">
        <f>IFERROR(_xlfn.XLOOKUP($B26,'Cronog. e Histog.'!$BZ:$BZ,'Cronog. e Histog.'!EH:EH),"")</f>
        <v>0</v>
      </c>
      <c r="BN26" s="144">
        <f>IFERROR(_xlfn.XLOOKUP($B26,'Cronog. e Histog.'!$BZ:$BZ,'Cronog. e Histog.'!EI:EI),"")</f>
        <v>0</v>
      </c>
    </row>
    <row r="27" spans="2:66" ht="12" hidden="1" customHeight="1" outlineLevel="1">
      <c r="B27" s="76">
        <v>21</v>
      </c>
      <c r="C27" s="143" t="str">
        <f>IFERROR(VLOOKUP(B27,'Cronog. e Histog.'!$BZ$213:$CA$747,2,0),"")</f>
        <v>GER. (OBRA/PROJ)</v>
      </c>
      <c r="D27" s="144">
        <f t="shared" si="0"/>
        <v>1</v>
      </c>
      <c r="E27" s="144">
        <f t="shared" si="1"/>
        <v>10</v>
      </c>
      <c r="F27" s="65"/>
      <c r="G27" s="144">
        <f>IFERROR(_xlfn.XLOOKUP($B27,'Cronog. e Histog.'!$BZ:$BZ,'Cronog. e Histog.'!CB:CB),"")</f>
        <v>0.01</v>
      </c>
      <c r="H27" s="144">
        <f>IFERROR(_xlfn.XLOOKUP($B27,'Cronog. e Histog.'!$BZ:$BZ,'Cronog. e Histog.'!CC:CC),"")</f>
        <v>0.01</v>
      </c>
      <c r="I27" s="144">
        <f>IFERROR(_xlfn.XLOOKUP($B27,'Cronog. e Histog.'!$BZ:$BZ,'Cronog. e Histog.'!CD:CD),"")</f>
        <v>0.01</v>
      </c>
      <c r="J27" s="144">
        <f>IFERROR(_xlfn.XLOOKUP($B27,'Cronog. e Histog.'!$BZ:$BZ,'Cronog. e Histog.'!CE:CE),"")</f>
        <v>0.01</v>
      </c>
      <c r="K27" s="144">
        <f>IFERROR(_xlfn.XLOOKUP($B27,'Cronog. e Histog.'!$BZ:$BZ,'Cronog. e Histog.'!CF:CF),"")</f>
        <v>0.01</v>
      </c>
      <c r="L27" s="144">
        <f>IFERROR(_xlfn.XLOOKUP($B27,'Cronog. e Histog.'!$BZ:$BZ,'Cronog. e Histog.'!CG:CG),"")</f>
        <v>0.01</v>
      </c>
      <c r="M27" s="144">
        <f>IFERROR(_xlfn.XLOOKUP($B27,'Cronog. e Histog.'!$BZ:$BZ,'Cronog. e Histog.'!CH:CH),"")</f>
        <v>0.01</v>
      </c>
      <c r="N27" s="144">
        <f>IFERROR(_xlfn.XLOOKUP($B27,'Cronog. e Histog.'!$BZ:$BZ,'Cronog. e Histog.'!CI:CI),"")</f>
        <v>0.01</v>
      </c>
      <c r="O27" s="144">
        <f>IFERROR(_xlfn.XLOOKUP($B27,'Cronog. e Histog.'!$BZ:$BZ,'Cronog. e Histog.'!CJ:CJ),"")</f>
        <v>0.01</v>
      </c>
      <c r="P27" s="144">
        <f>IFERROR(_xlfn.XLOOKUP($B27,'Cronog. e Histog.'!$BZ:$BZ,'Cronog. e Histog.'!CK:CK),"")</f>
        <v>0.01</v>
      </c>
      <c r="Q27" s="144">
        <f>IFERROR(_xlfn.XLOOKUP($B27,'Cronog. e Histog.'!$BZ:$BZ,'Cronog. e Histog.'!CL:CL),"")</f>
        <v>0</v>
      </c>
      <c r="R27" s="144">
        <f>IFERROR(_xlfn.XLOOKUP($B27,'Cronog. e Histog.'!$BZ:$BZ,'Cronog. e Histog.'!CM:CM),"")</f>
        <v>0</v>
      </c>
      <c r="S27" s="144">
        <f>IFERROR(_xlfn.XLOOKUP($B27,'Cronog. e Histog.'!$BZ:$BZ,'Cronog. e Histog.'!CN:CN),"")</f>
        <v>0</v>
      </c>
      <c r="T27" s="144">
        <f>IFERROR(_xlfn.XLOOKUP($B27,'Cronog. e Histog.'!$BZ:$BZ,'Cronog. e Histog.'!CO:CO),"")</f>
        <v>0</v>
      </c>
      <c r="U27" s="144">
        <f>IFERROR(_xlfn.XLOOKUP($B27,'Cronog. e Histog.'!$BZ:$BZ,'Cronog. e Histog.'!CP:CP),"")</f>
        <v>0</v>
      </c>
      <c r="V27" s="144">
        <f>IFERROR(_xlfn.XLOOKUP($B27,'Cronog. e Histog.'!$BZ:$BZ,'Cronog. e Histog.'!CQ:CQ),"")</f>
        <v>0</v>
      </c>
      <c r="W27" s="144">
        <f>IFERROR(_xlfn.XLOOKUP($B27,'Cronog. e Histog.'!$BZ:$BZ,'Cronog. e Histog.'!CR:CR),"")</f>
        <v>0</v>
      </c>
      <c r="X27" s="144">
        <f>IFERROR(_xlfn.XLOOKUP($B27,'Cronog. e Histog.'!$BZ:$BZ,'Cronog. e Histog.'!CS:CS),"")</f>
        <v>0</v>
      </c>
      <c r="Y27" s="144">
        <f>IFERROR(_xlfn.XLOOKUP($B27,'Cronog. e Histog.'!$BZ:$BZ,'Cronog. e Histog.'!CT:CT),"")</f>
        <v>0</v>
      </c>
      <c r="Z27" s="144">
        <f>IFERROR(_xlfn.XLOOKUP($B27,'Cronog. e Histog.'!$BZ:$BZ,'Cronog. e Histog.'!CU:CU),"")</f>
        <v>0</v>
      </c>
      <c r="AA27" s="144">
        <f>IFERROR(_xlfn.XLOOKUP($B27,'Cronog. e Histog.'!$BZ:$BZ,'Cronog. e Histog.'!CV:CV),"")</f>
        <v>0</v>
      </c>
      <c r="AB27" s="144">
        <f>IFERROR(_xlfn.XLOOKUP($B27,'Cronog. e Histog.'!$BZ:$BZ,'Cronog. e Histog.'!CW:CW),"")</f>
        <v>0</v>
      </c>
      <c r="AC27" s="144">
        <f>IFERROR(_xlfn.XLOOKUP($B27,'Cronog. e Histog.'!$BZ:$BZ,'Cronog. e Histog.'!CX:CX),"")</f>
        <v>0</v>
      </c>
      <c r="AD27" s="144">
        <f>IFERROR(_xlfn.XLOOKUP($B27,'Cronog. e Histog.'!$BZ:$BZ,'Cronog. e Histog.'!CY:CY),"")</f>
        <v>0</v>
      </c>
      <c r="AE27" s="144">
        <f>IFERROR(_xlfn.XLOOKUP($B27,'Cronog. e Histog.'!$BZ:$BZ,'Cronog. e Histog.'!CZ:CZ),"")</f>
        <v>0</v>
      </c>
      <c r="AF27" s="144">
        <f>IFERROR(_xlfn.XLOOKUP($B27,'Cronog. e Histog.'!$BZ:$BZ,'Cronog. e Histog.'!DA:DA),"")</f>
        <v>0</v>
      </c>
      <c r="AG27" s="144">
        <f>IFERROR(_xlfn.XLOOKUP($B27,'Cronog. e Histog.'!$BZ:$BZ,'Cronog. e Histog.'!DB:DB),"")</f>
        <v>0</v>
      </c>
      <c r="AH27" s="144">
        <f>IFERROR(_xlfn.XLOOKUP($B27,'Cronog. e Histog.'!$BZ:$BZ,'Cronog. e Histog.'!DC:DC),"")</f>
        <v>0</v>
      </c>
      <c r="AI27" s="144">
        <f>IFERROR(_xlfn.XLOOKUP($B27,'Cronog. e Histog.'!$BZ:$BZ,'Cronog. e Histog.'!DD:DD),"")</f>
        <v>0</v>
      </c>
      <c r="AJ27" s="144">
        <f>IFERROR(_xlfn.XLOOKUP($B27,'Cronog. e Histog.'!$BZ:$BZ,'Cronog. e Histog.'!DE:DE),"")</f>
        <v>0</v>
      </c>
      <c r="AK27" s="144">
        <f>IFERROR(_xlfn.XLOOKUP($B27,'Cronog. e Histog.'!$BZ:$BZ,'Cronog. e Histog.'!DF:DF),"")</f>
        <v>0</v>
      </c>
      <c r="AL27" s="144">
        <f>IFERROR(_xlfn.XLOOKUP($B27,'Cronog. e Histog.'!$BZ:$BZ,'Cronog. e Histog.'!DG:DG),"")</f>
        <v>0</v>
      </c>
      <c r="AM27" s="144">
        <f>IFERROR(_xlfn.XLOOKUP($B27,'Cronog. e Histog.'!$BZ:$BZ,'Cronog. e Histog.'!DH:DH),"")</f>
        <v>0</v>
      </c>
      <c r="AN27" s="144">
        <f>IFERROR(_xlfn.XLOOKUP($B27,'Cronog. e Histog.'!$BZ:$BZ,'Cronog. e Histog.'!DI:DI),"")</f>
        <v>0</v>
      </c>
      <c r="AO27" s="144">
        <f>IFERROR(_xlfn.XLOOKUP($B27,'Cronog. e Histog.'!$BZ:$BZ,'Cronog. e Histog.'!DJ:DJ),"")</f>
        <v>0</v>
      </c>
      <c r="AP27" s="144">
        <f>IFERROR(_xlfn.XLOOKUP($B27,'Cronog. e Histog.'!$BZ:$BZ,'Cronog. e Histog.'!DK:DK),"")</f>
        <v>0</v>
      </c>
      <c r="AQ27" s="144">
        <f>IFERROR(_xlfn.XLOOKUP($B27,'Cronog. e Histog.'!$BZ:$BZ,'Cronog. e Histog.'!DL:DL),"")</f>
        <v>0</v>
      </c>
      <c r="AR27" s="144">
        <f>IFERROR(_xlfn.XLOOKUP($B27,'Cronog. e Histog.'!$BZ:$BZ,'Cronog. e Histog.'!DM:DM),"")</f>
        <v>0</v>
      </c>
      <c r="AS27" s="144">
        <f>IFERROR(_xlfn.XLOOKUP($B27,'Cronog. e Histog.'!$BZ:$BZ,'Cronog. e Histog.'!DN:DN),"")</f>
        <v>0</v>
      </c>
      <c r="AT27" s="144">
        <f>IFERROR(_xlfn.XLOOKUP($B27,'Cronog. e Histog.'!$BZ:$BZ,'Cronog. e Histog.'!DO:DO),"")</f>
        <v>0</v>
      </c>
      <c r="AU27" s="144">
        <f>IFERROR(_xlfn.XLOOKUP($B27,'Cronog. e Histog.'!$BZ:$BZ,'Cronog. e Histog.'!DP:DP),"")</f>
        <v>0</v>
      </c>
      <c r="AV27" s="144">
        <f>IFERROR(_xlfn.XLOOKUP($B27,'Cronog. e Histog.'!$BZ:$BZ,'Cronog. e Histog.'!DQ:DQ),"")</f>
        <v>0</v>
      </c>
      <c r="AW27" s="144">
        <f>IFERROR(_xlfn.XLOOKUP($B27,'Cronog. e Histog.'!$BZ:$BZ,'Cronog. e Histog.'!DR:DR),"")</f>
        <v>0</v>
      </c>
      <c r="AX27" s="144">
        <f>IFERROR(_xlfn.XLOOKUP($B27,'Cronog. e Histog.'!$BZ:$BZ,'Cronog. e Histog.'!DS:DS),"")</f>
        <v>0</v>
      </c>
      <c r="AY27" s="144">
        <f>IFERROR(_xlfn.XLOOKUP($B27,'Cronog. e Histog.'!$BZ:$BZ,'Cronog. e Histog.'!DT:DT),"")</f>
        <v>0</v>
      </c>
      <c r="AZ27" s="144">
        <f>IFERROR(_xlfn.XLOOKUP($B27,'Cronog. e Histog.'!$BZ:$BZ,'Cronog. e Histog.'!DU:DU),"")</f>
        <v>0</v>
      </c>
      <c r="BA27" s="144">
        <f>IFERROR(_xlfn.XLOOKUP($B27,'Cronog. e Histog.'!$BZ:$BZ,'Cronog. e Histog.'!DV:DV),"")</f>
        <v>0</v>
      </c>
      <c r="BB27" s="144">
        <f>IFERROR(_xlfn.XLOOKUP($B27,'Cronog. e Histog.'!$BZ:$BZ,'Cronog. e Histog.'!DW:DW),"")</f>
        <v>0</v>
      </c>
      <c r="BC27" s="144">
        <f>IFERROR(_xlfn.XLOOKUP($B27,'Cronog. e Histog.'!$BZ:$BZ,'Cronog. e Histog.'!DX:DX),"")</f>
        <v>0</v>
      </c>
      <c r="BD27" s="144">
        <f>IFERROR(_xlfn.XLOOKUP($B27,'Cronog. e Histog.'!$BZ:$BZ,'Cronog. e Histog.'!DY:DY),"")</f>
        <v>0</v>
      </c>
      <c r="BE27" s="144">
        <f>IFERROR(_xlfn.XLOOKUP($B27,'Cronog. e Histog.'!$BZ:$BZ,'Cronog. e Histog.'!DZ:DZ),"")</f>
        <v>0</v>
      </c>
      <c r="BF27" s="144">
        <f>IFERROR(_xlfn.XLOOKUP($B27,'Cronog. e Histog.'!$BZ:$BZ,'Cronog. e Histog.'!EA:EA),"")</f>
        <v>0</v>
      </c>
      <c r="BG27" s="144">
        <f>IFERROR(_xlfn.XLOOKUP($B27,'Cronog. e Histog.'!$BZ:$BZ,'Cronog. e Histog.'!EB:EB),"")</f>
        <v>0</v>
      </c>
      <c r="BH27" s="144">
        <f>IFERROR(_xlfn.XLOOKUP($B27,'Cronog. e Histog.'!$BZ:$BZ,'Cronog. e Histog.'!EC:EC),"")</f>
        <v>0</v>
      </c>
      <c r="BI27" s="144">
        <f>IFERROR(_xlfn.XLOOKUP($B27,'Cronog. e Histog.'!$BZ:$BZ,'Cronog. e Histog.'!ED:ED),"")</f>
        <v>0</v>
      </c>
      <c r="BJ27" s="144">
        <f>IFERROR(_xlfn.XLOOKUP($B27,'Cronog. e Histog.'!$BZ:$BZ,'Cronog. e Histog.'!EE:EE),"")</f>
        <v>0</v>
      </c>
      <c r="BK27" s="144">
        <f>IFERROR(_xlfn.XLOOKUP($B27,'Cronog. e Histog.'!$BZ:$BZ,'Cronog. e Histog.'!EF:EF),"")</f>
        <v>0</v>
      </c>
      <c r="BL27" s="144">
        <f>IFERROR(_xlfn.XLOOKUP($B27,'Cronog. e Histog.'!$BZ:$BZ,'Cronog. e Histog.'!EG:EG),"")</f>
        <v>0</v>
      </c>
      <c r="BM27" s="144">
        <f>IFERROR(_xlfn.XLOOKUP($B27,'Cronog. e Histog.'!$BZ:$BZ,'Cronog. e Histog.'!EH:EH),"")</f>
        <v>0</v>
      </c>
      <c r="BN27" s="144">
        <f>IFERROR(_xlfn.XLOOKUP($B27,'Cronog. e Histog.'!$BZ:$BZ,'Cronog. e Histog.'!EI:EI),"")</f>
        <v>0</v>
      </c>
    </row>
    <row r="28" spans="2:66" ht="12" hidden="1" customHeight="1" outlineLevel="1">
      <c r="B28" s="76">
        <v>22</v>
      </c>
      <c r="C28" s="143" t="str">
        <f>IFERROR(VLOOKUP(B28,'Cronog. e Histog.'!$BZ$213:$CA$747,2,0),"")</f>
        <v>COORD.</v>
      </c>
      <c r="D28" s="144">
        <f t="shared" si="0"/>
        <v>0</v>
      </c>
      <c r="E28" s="144">
        <f t="shared" si="1"/>
        <v>0</v>
      </c>
      <c r="F28" s="65"/>
      <c r="G28" s="144">
        <f>IFERROR(_xlfn.XLOOKUP($B28,'Cronog. e Histog.'!$BZ:$BZ,'Cronog. e Histog.'!CB:CB),"")</f>
        <v>0</v>
      </c>
      <c r="H28" s="144">
        <f>IFERROR(_xlfn.XLOOKUP($B28,'Cronog. e Histog.'!$BZ:$BZ,'Cronog. e Histog.'!CC:CC),"")</f>
        <v>0</v>
      </c>
      <c r="I28" s="144">
        <f>IFERROR(_xlfn.XLOOKUP($B28,'Cronog. e Histog.'!$BZ:$BZ,'Cronog. e Histog.'!CD:CD),"")</f>
        <v>0</v>
      </c>
      <c r="J28" s="144">
        <f>IFERROR(_xlfn.XLOOKUP($B28,'Cronog. e Histog.'!$BZ:$BZ,'Cronog. e Histog.'!CE:CE),"")</f>
        <v>0</v>
      </c>
      <c r="K28" s="144">
        <f>IFERROR(_xlfn.XLOOKUP($B28,'Cronog. e Histog.'!$BZ:$BZ,'Cronog. e Histog.'!CF:CF),"")</f>
        <v>0</v>
      </c>
      <c r="L28" s="144">
        <f>IFERROR(_xlfn.XLOOKUP($B28,'Cronog. e Histog.'!$BZ:$BZ,'Cronog. e Histog.'!CG:CG),"")</f>
        <v>0</v>
      </c>
      <c r="M28" s="144">
        <f>IFERROR(_xlfn.XLOOKUP($B28,'Cronog. e Histog.'!$BZ:$BZ,'Cronog. e Histog.'!CH:CH),"")</f>
        <v>0</v>
      </c>
      <c r="N28" s="144">
        <f>IFERROR(_xlfn.XLOOKUP($B28,'Cronog. e Histog.'!$BZ:$BZ,'Cronog. e Histog.'!CI:CI),"")</f>
        <v>0</v>
      </c>
      <c r="O28" s="144">
        <f>IFERROR(_xlfn.XLOOKUP($B28,'Cronog. e Histog.'!$BZ:$BZ,'Cronog. e Histog.'!CJ:CJ),"")</f>
        <v>0</v>
      </c>
      <c r="P28" s="144">
        <f>IFERROR(_xlfn.XLOOKUP($B28,'Cronog. e Histog.'!$BZ:$BZ,'Cronog. e Histog.'!CK:CK),"")</f>
        <v>0</v>
      </c>
      <c r="Q28" s="144">
        <f>IFERROR(_xlfn.XLOOKUP($B28,'Cronog. e Histog.'!$BZ:$BZ,'Cronog. e Histog.'!CL:CL),"")</f>
        <v>0</v>
      </c>
      <c r="R28" s="144">
        <f>IFERROR(_xlfn.XLOOKUP($B28,'Cronog. e Histog.'!$BZ:$BZ,'Cronog. e Histog.'!CM:CM),"")</f>
        <v>0</v>
      </c>
      <c r="S28" s="144">
        <f>IFERROR(_xlfn.XLOOKUP($B28,'Cronog. e Histog.'!$BZ:$BZ,'Cronog. e Histog.'!CN:CN),"")</f>
        <v>0</v>
      </c>
      <c r="T28" s="144">
        <f>IFERROR(_xlfn.XLOOKUP($B28,'Cronog. e Histog.'!$BZ:$BZ,'Cronog. e Histog.'!CO:CO),"")</f>
        <v>0</v>
      </c>
      <c r="U28" s="144">
        <f>IFERROR(_xlfn.XLOOKUP($B28,'Cronog. e Histog.'!$BZ:$BZ,'Cronog. e Histog.'!CP:CP),"")</f>
        <v>0</v>
      </c>
      <c r="V28" s="144">
        <f>IFERROR(_xlfn.XLOOKUP($B28,'Cronog. e Histog.'!$BZ:$BZ,'Cronog. e Histog.'!CQ:CQ),"")</f>
        <v>0</v>
      </c>
      <c r="W28" s="144">
        <f>IFERROR(_xlfn.XLOOKUP($B28,'Cronog. e Histog.'!$BZ:$BZ,'Cronog. e Histog.'!CR:CR),"")</f>
        <v>0</v>
      </c>
      <c r="X28" s="144">
        <f>IFERROR(_xlfn.XLOOKUP($B28,'Cronog. e Histog.'!$BZ:$BZ,'Cronog. e Histog.'!CS:CS),"")</f>
        <v>0</v>
      </c>
      <c r="Y28" s="144">
        <f>IFERROR(_xlfn.XLOOKUP($B28,'Cronog. e Histog.'!$BZ:$BZ,'Cronog. e Histog.'!CT:CT),"")</f>
        <v>0</v>
      </c>
      <c r="Z28" s="144">
        <f>IFERROR(_xlfn.XLOOKUP($B28,'Cronog. e Histog.'!$BZ:$BZ,'Cronog. e Histog.'!CU:CU),"")</f>
        <v>0</v>
      </c>
      <c r="AA28" s="144">
        <f>IFERROR(_xlfn.XLOOKUP($B28,'Cronog. e Histog.'!$BZ:$BZ,'Cronog. e Histog.'!CV:CV),"")</f>
        <v>0</v>
      </c>
      <c r="AB28" s="144">
        <f>IFERROR(_xlfn.XLOOKUP($B28,'Cronog. e Histog.'!$BZ:$BZ,'Cronog. e Histog.'!CW:CW),"")</f>
        <v>0</v>
      </c>
      <c r="AC28" s="144">
        <f>IFERROR(_xlfn.XLOOKUP($B28,'Cronog. e Histog.'!$BZ:$BZ,'Cronog. e Histog.'!CX:CX),"")</f>
        <v>0</v>
      </c>
      <c r="AD28" s="144">
        <f>IFERROR(_xlfn.XLOOKUP($B28,'Cronog. e Histog.'!$BZ:$BZ,'Cronog. e Histog.'!CY:CY),"")</f>
        <v>0</v>
      </c>
      <c r="AE28" s="144">
        <f>IFERROR(_xlfn.XLOOKUP($B28,'Cronog. e Histog.'!$BZ:$BZ,'Cronog. e Histog.'!CZ:CZ),"")</f>
        <v>0</v>
      </c>
      <c r="AF28" s="144">
        <f>IFERROR(_xlfn.XLOOKUP($B28,'Cronog. e Histog.'!$BZ:$BZ,'Cronog. e Histog.'!DA:DA),"")</f>
        <v>0</v>
      </c>
      <c r="AG28" s="144">
        <f>IFERROR(_xlfn.XLOOKUP($B28,'Cronog. e Histog.'!$BZ:$BZ,'Cronog. e Histog.'!DB:DB),"")</f>
        <v>0</v>
      </c>
      <c r="AH28" s="144">
        <f>IFERROR(_xlfn.XLOOKUP($B28,'Cronog. e Histog.'!$BZ:$BZ,'Cronog. e Histog.'!DC:DC),"")</f>
        <v>0</v>
      </c>
      <c r="AI28" s="144">
        <f>IFERROR(_xlfn.XLOOKUP($B28,'Cronog. e Histog.'!$BZ:$BZ,'Cronog. e Histog.'!DD:DD),"")</f>
        <v>0</v>
      </c>
      <c r="AJ28" s="144">
        <f>IFERROR(_xlfn.XLOOKUP($B28,'Cronog. e Histog.'!$BZ:$BZ,'Cronog. e Histog.'!DE:DE),"")</f>
        <v>0</v>
      </c>
      <c r="AK28" s="144">
        <f>IFERROR(_xlfn.XLOOKUP($B28,'Cronog. e Histog.'!$BZ:$BZ,'Cronog. e Histog.'!DF:DF),"")</f>
        <v>0</v>
      </c>
      <c r="AL28" s="144">
        <f>IFERROR(_xlfn.XLOOKUP($B28,'Cronog. e Histog.'!$BZ:$BZ,'Cronog. e Histog.'!DG:DG),"")</f>
        <v>0</v>
      </c>
      <c r="AM28" s="144">
        <f>IFERROR(_xlfn.XLOOKUP($B28,'Cronog. e Histog.'!$BZ:$BZ,'Cronog. e Histog.'!DH:DH),"")</f>
        <v>0</v>
      </c>
      <c r="AN28" s="144">
        <f>IFERROR(_xlfn.XLOOKUP($B28,'Cronog. e Histog.'!$BZ:$BZ,'Cronog. e Histog.'!DI:DI),"")</f>
        <v>0</v>
      </c>
      <c r="AO28" s="144">
        <f>IFERROR(_xlfn.XLOOKUP($B28,'Cronog. e Histog.'!$BZ:$BZ,'Cronog. e Histog.'!DJ:DJ),"")</f>
        <v>0</v>
      </c>
      <c r="AP28" s="144">
        <f>IFERROR(_xlfn.XLOOKUP($B28,'Cronog. e Histog.'!$BZ:$BZ,'Cronog. e Histog.'!DK:DK),"")</f>
        <v>0</v>
      </c>
      <c r="AQ28" s="144">
        <f>IFERROR(_xlfn.XLOOKUP($B28,'Cronog. e Histog.'!$BZ:$BZ,'Cronog. e Histog.'!DL:DL),"")</f>
        <v>0</v>
      </c>
      <c r="AR28" s="144">
        <f>IFERROR(_xlfn.XLOOKUP($B28,'Cronog. e Histog.'!$BZ:$BZ,'Cronog. e Histog.'!DM:DM),"")</f>
        <v>0</v>
      </c>
      <c r="AS28" s="144">
        <f>IFERROR(_xlfn.XLOOKUP($B28,'Cronog. e Histog.'!$BZ:$BZ,'Cronog. e Histog.'!DN:DN),"")</f>
        <v>0</v>
      </c>
      <c r="AT28" s="144">
        <f>IFERROR(_xlfn.XLOOKUP($B28,'Cronog. e Histog.'!$BZ:$BZ,'Cronog. e Histog.'!DO:DO),"")</f>
        <v>0</v>
      </c>
      <c r="AU28" s="144">
        <f>IFERROR(_xlfn.XLOOKUP($B28,'Cronog. e Histog.'!$BZ:$BZ,'Cronog. e Histog.'!DP:DP),"")</f>
        <v>0</v>
      </c>
      <c r="AV28" s="144">
        <f>IFERROR(_xlfn.XLOOKUP($B28,'Cronog. e Histog.'!$BZ:$BZ,'Cronog. e Histog.'!DQ:DQ),"")</f>
        <v>0</v>
      </c>
      <c r="AW28" s="144">
        <f>IFERROR(_xlfn.XLOOKUP($B28,'Cronog. e Histog.'!$BZ:$BZ,'Cronog. e Histog.'!DR:DR),"")</f>
        <v>0</v>
      </c>
      <c r="AX28" s="144">
        <f>IFERROR(_xlfn.XLOOKUP($B28,'Cronog. e Histog.'!$BZ:$BZ,'Cronog. e Histog.'!DS:DS),"")</f>
        <v>0</v>
      </c>
      <c r="AY28" s="144">
        <f>IFERROR(_xlfn.XLOOKUP($B28,'Cronog. e Histog.'!$BZ:$BZ,'Cronog. e Histog.'!DT:DT),"")</f>
        <v>0</v>
      </c>
      <c r="AZ28" s="144">
        <f>IFERROR(_xlfn.XLOOKUP($B28,'Cronog. e Histog.'!$BZ:$BZ,'Cronog. e Histog.'!DU:DU),"")</f>
        <v>0</v>
      </c>
      <c r="BA28" s="144">
        <f>IFERROR(_xlfn.XLOOKUP($B28,'Cronog. e Histog.'!$BZ:$BZ,'Cronog. e Histog.'!DV:DV),"")</f>
        <v>0</v>
      </c>
      <c r="BB28" s="144">
        <f>IFERROR(_xlfn.XLOOKUP($B28,'Cronog. e Histog.'!$BZ:$BZ,'Cronog. e Histog.'!DW:DW),"")</f>
        <v>0</v>
      </c>
      <c r="BC28" s="144">
        <f>IFERROR(_xlfn.XLOOKUP($B28,'Cronog. e Histog.'!$BZ:$BZ,'Cronog. e Histog.'!DX:DX),"")</f>
        <v>0</v>
      </c>
      <c r="BD28" s="144">
        <f>IFERROR(_xlfn.XLOOKUP($B28,'Cronog. e Histog.'!$BZ:$BZ,'Cronog. e Histog.'!DY:DY),"")</f>
        <v>0</v>
      </c>
      <c r="BE28" s="144">
        <f>IFERROR(_xlfn.XLOOKUP($B28,'Cronog. e Histog.'!$BZ:$BZ,'Cronog. e Histog.'!DZ:DZ),"")</f>
        <v>0</v>
      </c>
      <c r="BF28" s="144">
        <f>IFERROR(_xlfn.XLOOKUP($B28,'Cronog. e Histog.'!$BZ:$BZ,'Cronog. e Histog.'!EA:EA),"")</f>
        <v>0</v>
      </c>
      <c r="BG28" s="144">
        <f>IFERROR(_xlfn.XLOOKUP($B28,'Cronog. e Histog.'!$BZ:$BZ,'Cronog. e Histog.'!EB:EB),"")</f>
        <v>0</v>
      </c>
      <c r="BH28" s="144">
        <f>IFERROR(_xlfn.XLOOKUP($B28,'Cronog. e Histog.'!$BZ:$BZ,'Cronog. e Histog.'!EC:EC),"")</f>
        <v>0</v>
      </c>
      <c r="BI28" s="144">
        <f>IFERROR(_xlfn.XLOOKUP($B28,'Cronog. e Histog.'!$BZ:$BZ,'Cronog. e Histog.'!ED:ED),"")</f>
        <v>0</v>
      </c>
      <c r="BJ28" s="144">
        <f>IFERROR(_xlfn.XLOOKUP($B28,'Cronog. e Histog.'!$BZ:$BZ,'Cronog. e Histog.'!EE:EE),"")</f>
        <v>0</v>
      </c>
      <c r="BK28" s="144">
        <f>IFERROR(_xlfn.XLOOKUP($B28,'Cronog. e Histog.'!$BZ:$BZ,'Cronog. e Histog.'!EF:EF),"")</f>
        <v>0</v>
      </c>
      <c r="BL28" s="144">
        <f>IFERROR(_xlfn.XLOOKUP($B28,'Cronog. e Histog.'!$BZ:$BZ,'Cronog. e Histog.'!EG:EG),"")</f>
        <v>0</v>
      </c>
      <c r="BM28" s="144">
        <f>IFERROR(_xlfn.XLOOKUP($B28,'Cronog. e Histog.'!$BZ:$BZ,'Cronog. e Histog.'!EH:EH),"")</f>
        <v>0</v>
      </c>
      <c r="BN28" s="144">
        <f>IFERROR(_xlfn.XLOOKUP($B28,'Cronog. e Histog.'!$BZ:$BZ,'Cronog. e Histog.'!EI:EI),"")</f>
        <v>0</v>
      </c>
    </row>
    <row r="29" spans="2:66" ht="12" hidden="1" customHeight="1" outlineLevel="1">
      <c r="B29" s="76">
        <v>23</v>
      </c>
      <c r="C29" s="143" t="str">
        <f>IFERROR(VLOOKUP(B29,'Cronog. e Histog.'!$BZ$213:$CA$747,2,0),"")</f>
        <v>SUP.-ESP</v>
      </c>
      <c r="D29" s="144">
        <f t="shared" si="0"/>
        <v>0</v>
      </c>
      <c r="E29" s="144">
        <f t="shared" si="1"/>
        <v>0</v>
      </c>
      <c r="F29" s="65"/>
      <c r="G29" s="144">
        <f>IFERROR(_xlfn.XLOOKUP($B29,'Cronog. e Histog.'!$BZ:$BZ,'Cronog. e Histog.'!CB:CB),"")</f>
        <v>0</v>
      </c>
      <c r="H29" s="144">
        <f>IFERROR(_xlfn.XLOOKUP($B29,'Cronog. e Histog.'!$BZ:$BZ,'Cronog. e Histog.'!CC:CC),"")</f>
        <v>0</v>
      </c>
      <c r="I29" s="144">
        <f>IFERROR(_xlfn.XLOOKUP($B29,'Cronog. e Histog.'!$BZ:$BZ,'Cronog. e Histog.'!CD:CD),"")</f>
        <v>0</v>
      </c>
      <c r="J29" s="144">
        <f>IFERROR(_xlfn.XLOOKUP($B29,'Cronog. e Histog.'!$BZ:$BZ,'Cronog. e Histog.'!CE:CE),"")</f>
        <v>0</v>
      </c>
      <c r="K29" s="144">
        <f>IFERROR(_xlfn.XLOOKUP($B29,'Cronog. e Histog.'!$BZ:$BZ,'Cronog. e Histog.'!CF:CF),"")</f>
        <v>0</v>
      </c>
      <c r="L29" s="144">
        <f>IFERROR(_xlfn.XLOOKUP($B29,'Cronog. e Histog.'!$BZ:$BZ,'Cronog. e Histog.'!CG:CG),"")</f>
        <v>0</v>
      </c>
      <c r="M29" s="144">
        <f>IFERROR(_xlfn.XLOOKUP($B29,'Cronog. e Histog.'!$BZ:$BZ,'Cronog. e Histog.'!CH:CH),"")</f>
        <v>0</v>
      </c>
      <c r="N29" s="144">
        <f>IFERROR(_xlfn.XLOOKUP($B29,'Cronog. e Histog.'!$BZ:$BZ,'Cronog. e Histog.'!CI:CI),"")</f>
        <v>0</v>
      </c>
      <c r="O29" s="144">
        <f>IFERROR(_xlfn.XLOOKUP($B29,'Cronog. e Histog.'!$BZ:$BZ,'Cronog. e Histog.'!CJ:CJ),"")</f>
        <v>0</v>
      </c>
      <c r="P29" s="144">
        <f>IFERROR(_xlfn.XLOOKUP($B29,'Cronog. e Histog.'!$BZ:$BZ,'Cronog. e Histog.'!CK:CK),"")</f>
        <v>0</v>
      </c>
      <c r="Q29" s="144">
        <f>IFERROR(_xlfn.XLOOKUP($B29,'Cronog. e Histog.'!$BZ:$BZ,'Cronog. e Histog.'!CL:CL),"")</f>
        <v>0</v>
      </c>
      <c r="R29" s="144">
        <f>IFERROR(_xlfn.XLOOKUP($B29,'Cronog. e Histog.'!$BZ:$BZ,'Cronog. e Histog.'!CM:CM),"")</f>
        <v>0</v>
      </c>
      <c r="S29" s="144">
        <f>IFERROR(_xlfn.XLOOKUP($B29,'Cronog. e Histog.'!$BZ:$BZ,'Cronog. e Histog.'!CN:CN),"")</f>
        <v>0</v>
      </c>
      <c r="T29" s="144">
        <f>IFERROR(_xlfn.XLOOKUP($B29,'Cronog. e Histog.'!$BZ:$BZ,'Cronog. e Histog.'!CO:CO),"")</f>
        <v>0</v>
      </c>
      <c r="U29" s="144">
        <f>IFERROR(_xlfn.XLOOKUP($B29,'Cronog. e Histog.'!$BZ:$BZ,'Cronog. e Histog.'!CP:CP),"")</f>
        <v>0</v>
      </c>
      <c r="V29" s="144">
        <f>IFERROR(_xlfn.XLOOKUP($B29,'Cronog. e Histog.'!$BZ:$BZ,'Cronog. e Histog.'!CQ:CQ),"")</f>
        <v>0</v>
      </c>
      <c r="W29" s="144">
        <f>IFERROR(_xlfn.XLOOKUP($B29,'Cronog. e Histog.'!$BZ:$BZ,'Cronog. e Histog.'!CR:CR),"")</f>
        <v>0</v>
      </c>
      <c r="X29" s="144">
        <f>IFERROR(_xlfn.XLOOKUP($B29,'Cronog. e Histog.'!$BZ:$BZ,'Cronog. e Histog.'!CS:CS),"")</f>
        <v>0</v>
      </c>
      <c r="Y29" s="144">
        <f>IFERROR(_xlfn.XLOOKUP($B29,'Cronog. e Histog.'!$BZ:$BZ,'Cronog. e Histog.'!CT:CT),"")</f>
        <v>0</v>
      </c>
      <c r="Z29" s="144">
        <f>IFERROR(_xlfn.XLOOKUP($B29,'Cronog. e Histog.'!$BZ:$BZ,'Cronog. e Histog.'!CU:CU),"")</f>
        <v>0</v>
      </c>
      <c r="AA29" s="144">
        <f>IFERROR(_xlfn.XLOOKUP($B29,'Cronog. e Histog.'!$BZ:$BZ,'Cronog. e Histog.'!CV:CV),"")</f>
        <v>0</v>
      </c>
      <c r="AB29" s="144">
        <f>IFERROR(_xlfn.XLOOKUP($B29,'Cronog. e Histog.'!$BZ:$BZ,'Cronog. e Histog.'!CW:CW),"")</f>
        <v>0</v>
      </c>
      <c r="AC29" s="144">
        <f>IFERROR(_xlfn.XLOOKUP($B29,'Cronog. e Histog.'!$BZ:$BZ,'Cronog. e Histog.'!CX:CX),"")</f>
        <v>0</v>
      </c>
      <c r="AD29" s="144">
        <f>IFERROR(_xlfn.XLOOKUP($B29,'Cronog. e Histog.'!$BZ:$BZ,'Cronog. e Histog.'!CY:CY),"")</f>
        <v>0</v>
      </c>
      <c r="AE29" s="144">
        <f>IFERROR(_xlfn.XLOOKUP($B29,'Cronog. e Histog.'!$BZ:$BZ,'Cronog. e Histog.'!CZ:CZ),"")</f>
        <v>0</v>
      </c>
      <c r="AF29" s="144">
        <f>IFERROR(_xlfn.XLOOKUP($B29,'Cronog. e Histog.'!$BZ:$BZ,'Cronog. e Histog.'!DA:DA),"")</f>
        <v>0</v>
      </c>
      <c r="AG29" s="144">
        <f>IFERROR(_xlfn.XLOOKUP($B29,'Cronog. e Histog.'!$BZ:$BZ,'Cronog. e Histog.'!DB:DB),"")</f>
        <v>0</v>
      </c>
      <c r="AH29" s="144">
        <f>IFERROR(_xlfn.XLOOKUP($B29,'Cronog. e Histog.'!$BZ:$BZ,'Cronog. e Histog.'!DC:DC),"")</f>
        <v>0</v>
      </c>
      <c r="AI29" s="144">
        <f>IFERROR(_xlfn.XLOOKUP($B29,'Cronog. e Histog.'!$BZ:$BZ,'Cronog. e Histog.'!DD:DD),"")</f>
        <v>0</v>
      </c>
      <c r="AJ29" s="144">
        <f>IFERROR(_xlfn.XLOOKUP($B29,'Cronog. e Histog.'!$BZ:$BZ,'Cronog. e Histog.'!DE:DE),"")</f>
        <v>0</v>
      </c>
      <c r="AK29" s="144">
        <f>IFERROR(_xlfn.XLOOKUP($B29,'Cronog. e Histog.'!$BZ:$BZ,'Cronog. e Histog.'!DF:DF),"")</f>
        <v>0</v>
      </c>
      <c r="AL29" s="144">
        <f>IFERROR(_xlfn.XLOOKUP($B29,'Cronog. e Histog.'!$BZ:$BZ,'Cronog. e Histog.'!DG:DG),"")</f>
        <v>0</v>
      </c>
      <c r="AM29" s="144">
        <f>IFERROR(_xlfn.XLOOKUP($B29,'Cronog. e Histog.'!$BZ:$BZ,'Cronog. e Histog.'!DH:DH),"")</f>
        <v>0</v>
      </c>
      <c r="AN29" s="144">
        <f>IFERROR(_xlfn.XLOOKUP($B29,'Cronog. e Histog.'!$BZ:$BZ,'Cronog. e Histog.'!DI:DI),"")</f>
        <v>0</v>
      </c>
      <c r="AO29" s="144">
        <f>IFERROR(_xlfn.XLOOKUP($B29,'Cronog. e Histog.'!$BZ:$BZ,'Cronog. e Histog.'!DJ:DJ),"")</f>
        <v>0</v>
      </c>
      <c r="AP29" s="144">
        <f>IFERROR(_xlfn.XLOOKUP($B29,'Cronog. e Histog.'!$BZ:$BZ,'Cronog. e Histog.'!DK:DK),"")</f>
        <v>0</v>
      </c>
      <c r="AQ29" s="144">
        <f>IFERROR(_xlfn.XLOOKUP($B29,'Cronog. e Histog.'!$BZ:$BZ,'Cronog. e Histog.'!DL:DL),"")</f>
        <v>0</v>
      </c>
      <c r="AR29" s="144">
        <f>IFERROR(_xlfn.XLOOKUP($B29,'Cronog. e Histog.'!$BZ:$BZ,'Cronog. e Histog.'!DM:DM),"")</f>
        <v>0</v>
      </c>
      <c r="AS29" s="144">
        <f>IFERROR(_xlfn.XLOOKUP($B29,'Cronog. e Histog.'!$BZ:$BZ,'Cronog. e Histog.'!DN:DN),"")</f>
        <v>0</v>
      </c>
      <c r="AT29" s="144">
        <f>IFERROR(_xlfn.XLOOKUP($B29,'Cronog. e Histog.'!$BZ:$BZ,'Cronog. e Histog.'!DO:DO),"")</f>
        <v>0</v>
      </c>
      <c r="AU29" s="144">
        <f>IFERROR(_xlfn.XLOOKUP($B29,'Cronog. e Histog.'!$BZ:$BZ,'Cronog. e Histog.'!DP:DP),"")</f>
        <v>0</v>
      </c>
      <c r="AV29" s="144">
        <f>IFERROR(_xlfn.XLOOKUP($B29,'Cronog. e Histog.'!$BZ:$BZ,'Cronog. e Histog.'!DQ:DQ),"")</f>
        <v>0</v>
      </c>
      <c r="AW29" s="144">
        <f>IFERROR(_xlfn.XLOOKUP($B29,'Cronog. e Histog.'!$BZ:$BZ,'Cronog. e Histog.'!DR:DR),"")</f>
        <v>0</v>
      </c>
      <c r="AX29" s="144">
        <f>IFERROR(_xlfn.XLOOKUP($B29,'Cronog. e Histog.'!$BZ:$BZ,'Cronog. e Histog.'!DS:DS),"")</f>
        <v>0</v>
      </c>
      <c r="AY29" s="144">
        <f>IFERROR(_xlfn.XLOOKUP($B29,'Cronog. e Histog.'!$BZ:$BZ,'Cronog. e Histog.'!DT:DT),"")</f>
        <v>0</v>
      </c>
      <c r="AZ29" s="144">
        <f>IFERROR(_xlfn.XLOOKUP($B29,'Cronog. e Histog.'!$BZ:$BZ,'Cronog. e Histog.'!DU:DU),"")</f>
        <v>0</v>
      </c>
      <c r="BA29" s="144">
        <f>IFERROR(_xlfn.XLOOKUP($B29,'Cronog. e Histog.'!$BZ:$BZ,'Cronog. e Histog.'!DV:DV),"")</f>
        <v>0</v>
      </c>
      <c r="BB29" s="144">
        <f>IFERROR(_xlfn.XLOOKUP($B29,'Cronog. e Histog.'!$BZ:$BZ,'Cronog. e Histog.'!DW:DW),"")</f>
        <v>0</v>
      </c>
      <c r="BC29" s="144">
        <f>IFERROR(_xlfn.XLOOKUP($B29,'Cronog. e Histog.'!$BZ:$BZ,'Cronog. e Histog.'!DX:DX),"")</f>
        <v>0</v>
      </c>
      <c r="BD29" s="144">
        <f>IFERROR(_xlfn.XLOOKUP($B29,'Cronog. e Histog.'!$BZ:$BZ,'Cronog. e Histog.'!DY:DY),"")</f>
        <v>0</v>
      </c>
      <c r="BE29" s="144">
        <f>IFERROR(_xlfn.XLOOKUP($B29,'Cronog. e Histog.'!$BZ:$BZ,'Cronog. e Histog.'!DZ:DZ),"")</f>
        <v>0</v>
      </c>
      <c r="BF29" s="144">
        <f>IFERROR(_xlfn.XLOOKUP($B29,'Cronog. e Histog.'!$BZ:$BZ,'Cronog. e Histog.'!EA:EA),"")</f>
        <v>0</v>
      </c>
      <c r="BG29" s="144">
        <f>IFERROR(_xlfn.XLOOKUP($B29,'Cronog. e Histog.'!$BZ:$BZ,'Cronog. e Histog.'!EB:EB),"")</f>
        <v>0</v>
      </c>
      <c r="BH29" s="144">
        <f>IFERROR(_xlfn.XLOOKUP($B29,'Cronog. e Histog.'!$BZ:$BZ,'Cronog. e Histog.'!EC:EC),"")</f>
        <v>0</v>
      </c>
      <c r="BI29" s="144">
        <f>IFERROR(_xlfn.XLOOKUP($B29,'Cronog. e Histog.'!$BZ:$BZ,'Cronog. e Histog.'!ED:ED),"")</f>
        <v>0</v>
      </c>
      <c r="BJ29" s="144">
        <f>IFERROR(_xlfn.XLOOKUP($B29,'Cronog. e Histog.'!$BZ:$BZ,'Cronog. e Histog.'!EE:EE),"")</f>
        <v>0</v>
      </c>
      <c r="BK29" s="144">
        <f>IFERROR(_xlfn.XLOOKUP($B29,'Cronog. e Histog.'!$BZ:$BZ,'Cronog. e Histog.'!EF:EF),"")</f>
        <v>0</v>
      </c>
      <c r="BL29" s="144">
        <f>IFERROR(_xlfn.XLOOKUP($B29,'Cronog. e Histog.'!$BZ:$BZ,'Cronog. e Histog.'!EG:EG),"")</f>
        <v>0</v>
      </c>
      <c r="BM29" s="144">
        <f>IFERROR(_xlfn.XLOOKUP($B29,'Cronog. e Histog.'!$BZ:$BZ,'Cronog. e Histog.'!EH:EH),"")</f>
        <v>0</v>
      </c>
      <c r="BN29" s="144">
        <f>IFERROR(_xlfn.XLOOKUP($B29,'Cronog. e Histog.'!$BZ:$BZ,'Cronog. e Histog.'!EI:EI),"")</f>
        <v>0</v>
      </c>
    </row>
    <row r="30" spans="2:66" ht="12" hidden="1" customHeight="1" outlineLevel="1">
      <c r="B30" s="76">
        <v>24</v>
      </c>
      <c r="C30" s="143" t="str">
        <f>IFERROR(VLOOKUP(B30,'Cronog. e Histog.'!$BZ$213:$CA$747,2,0),"")</f>
        <v>ENG/ARQ SR.</v>
      </c>
      <c r="D30" s="144">
        <f t="shared" si="0"/>
        <v>1</v>
      </c>
      <c r="E30" s="144">
        <f t="shared" si="1"/>
        <v>10</v>
      </c>
      <c r="F30" s="65"/>
      <c r="G30" s="144">
        <f>IFERROR(_xlfn.XLOOKUP($B30,'Cronog. e Histog.'!$BZ:$BZ,'Cronog. e Histog.'!CB:CB),"")</f>
        <v>0.01</v>
      </c>
      <c r="H30" s="144">
        <f>IFERROR(_xlfn.XLOOKUP($B30,'Cronog. e Histog.'!$BZ:$BZ,'Cronog. e Histog.'!CC:CC),"")</f>
        <v>0.01</v>
      </c>
      <c r="I30" s="144">
        <f>IFERROR(_xlfn.XLOOKUP($B30,'Cronog. e Histog.'!$BZ:$BZ,'Cronog. e Histog.'!CD:CD),"")</f>
        <v>0.01</v>
      </c>
      <c r="J30" s="144">
        <f>IFERROR(_xlfn.XLOOKUP($B30,'Cronog. e Histog.'!$BZ:$BZ,'Cronog. e Histog.'!CE:CE),"")</f>
        <v>0.01</v>
      </c>
      <c r="K30" s="144">
        <f>IFERROR(_xlfn.XLOOKUP($B30,'Cronog. e Histog.'!$BZ:$BZ,'Cronog. e Histog.'!CF:CF),"")</f>
        <v>0.01</v>
      </c>
      <c r="L30" s="144">
        <f>IFERROR(_xlfn.XLOOKUP($B30,'Cronog. e Histog.'!$BZ:$BZ,'Cronog. e Histog.'!CG:CG),"")</f>
        <v>0.01</v>
      </c>
      <c r="M30" s="144">
        <f>IFERROR(_xlfn.XLOOKUP($B30,'Cronog. e Histog.'!$BZ:$BZ,'Cronog. e Histog.'!CH:CH),"")</f>
        <v>0.01</v>
      </c>
      <c r="N30" s="144">
        <f>IFERROR(_xlfn.XLOOKUP($B30,'Cronog. e Histog.'!$BZ:$BZ,'Cronog. e Histog.'!CI:CI),"")</f>
        <v>0.01</v>
      </c>
      <c r="O30" s="144">
        <f>IFERROR(_xlfn.XLOOKUP($B30,'Cronog. e Histog.'!$BZ:$BZ,'Cronog. e Histog.'!CJ:CJ),"")</f>
        <v>0.01</v>
      </c>
      <c r="P30" s="144">
        <f>IFERROR(_xlfn.XLOOKUP($B30,'Cronog. e Histog.'!$BZ:$BZ,'Cronog. e Histog.'!CK:CK),"")</f>
        <v>0.01</v>
      </c>
      <c r="Q30" s="144">
        <f>IFERROR(_xlfn.XLOOKUP($B30,'Cronog. e Histog.'!$BZ:$BZ,'Cronog. e Histog.'!CL:CL),"")</f>
        <v>0</v>
      </c>
      <c r="R30" s="144">
        <f>IFERROR(_xlfn.XLOOKUP($B30,'Cronog. e Histog.'!$BZ:$BZ,'Cronog. e Histog.'!CM:CM),"")</f>
        <v>0</v>
      </c>
      <c r="S30" s="144">
        <f>IFERROR(_xlfn.XLOOKUP($B30,'Cronog. e Histog.'!$BZ:$BZ,'Cronog. e Histog.'!CN:CN),"")</f>
        <v>0</v>
      </c>
      <c r="T30" s="144">
        <f>IFERROR(_xlfn.XLOOKUP($B30,'Cronog. e Histog.'!$BZ:$BZ,'Cronog. e Histog.'!CO:CO),"")</f>
        <v>0</v>
      </c>
      <c r="U30" s="144">
        <f>IFERROR(_xlfn.XLOOKUP($B30,'Cronog. e Histog.'!$BZ:$BZ,'Cronog. e Histog.'!CP:CP),"")</f>
        <v>0</v>
      </c>
      <c r="V30" s="144">
        <f>IFERROR(_xlfn.XLOOKUP($B30,'Cronog. e Histog.'!$BZ:$BZ,'Cronog. e Histog.'!CQ:CQ),"")</f>
        <v>0</v>
      </c>
      <c r="W30" s="144">
        <f>IFERROR(_xlfn.XLOOKUP($B30,'Cronog. e Histog.'!$BZ:$BZ,'Cronog. e Histog.'!CR:CR),"")</f>
        <v>0</v>
      </c>
      <c r="X30" s="144">
        <f>IFERROR(_xlfn.XLOOKUP($B30,'Cronog. e Histog.'!$BZ:$BZ,'Cronog. e Histog.'!CS:CS),"")</f>
        <v>0</v>
      </c>
      <c r="Y30" s="144">
        <f>IFERROR(_xlfn.XLOOKUP($B30,'Cronog. e Histog.'!$BZ:$BZ,'Cronog. e Histog.'!CT:CT),"")</f>
        <v>0</v>
      </c>
      <c r="Z30" s="144">
        <f>IFERROR(_xlfn.XLOOKUP($B30,'Cronog. e Histog.'!$BZ:$BZ,'Cronog. e Histog.'!CU:CU),"")</f>
        <v>0</v>
      </c>
      <c r="AA30" s="144">
        <f>IFERROR(_xlfn.XLOOKUP($B30,'Cronog. e Histog.'!$BZ:$BZ,'Cronog. e Histog.'!CV:CV),"")</f>
        <v>0</v>
      </c>
      <c r="AB30" s="144">
        <f>IFERROR(_xlfn.XLOOKUP($B30,'Cronog. e Histog.'!$BZ:$BZ,'Cronog. e Histog.'!CW:CW),"")</f>
        <v>0</v>
      </c>
      <c r="AC30" s="144">
        <f>IFERROR(_xlfn.XLOOKUP($B30,'Cronog. e Histog.'!$BZ:$BZ,'Cronog. e Histog.'!CX:CX),"")</f>
        <v>0</v>
      </c>
      <c r="AD30" s="144">
        <f>IFERROR(_xlfn.XLOOKUP($B30,'Cronog. e Histog.'!$BZ:$BZ,'Cronog. e Histog.'!CY:CY),"")</f>
        <v>0</v>
      </c>
      <c r="AE30" s="144">
        <f>IFERROR(_xlfn.XLOOKUP($B30,'Cronog. e Histog.'!$BZ:$BZ,'Cronog. e Histog.'!CZ:CZ),"")</f>
        <v>0</v>
      </c>
      <c r="AF30" s="144">
        <f>IFERROR(_xlfn.XLOOKUP($B30,'Cronog. e Histog.'!$BZ:$BZ,'Cronog. e Histog.'!DA:DA),"")</f>
        <v>0</v>
      </c>
      <c r="AG30" s="144">
        <f>IFERROR(_xlfn.XLOOKUP($B30,'Cronog. e Histog.'!$BZ:$BZ,'Cronog. e Histog.'!DB:DB),"")</f>
        <v>0</v>
      </c>
      <c r="AH30" s="144">
        <f>IFERROR(_xlfn.XLOOKUP($B30,'Cronog. e Histog.'!$BZ:$BZ,'Cronog. e Histog.'!DC:DC),"")</f>
        <v>0</v>
      </c>
      <c r="AI30" s="144">
        <f>IFERROR(_xlfn.XLOOKUP($B30,'Cronog. e Histog.'!$BZ:$BZ,'Cronog. e Histog.'!DD:DD),"")</f>
        <v>0</v>
      </c>
      <c r="AJ30" s="144">
        <f>IFERROR(_xlfn.XLOOKUP($B30,'Cronog. e Histog.'!$BZ:$BZ,'Cronog. e Histog.'!DE:DE),"")</f>
        <v>0</v>
      </c>
      <c r="AK30" s="144">
        <f>IFERROR(_xlfn.XLOOKUP($B30,'Cronog. e Histog.'!$BZ:$BZ,'Cronog. e Histog.'!DF:DF),"")</f>
        <v>0</v>
      </c>
      <c r="AL30" s="144">
        <f>IFERROR(_xlfn.XLOOKUP($B30,'Cronog. e Histog.'!$BZ:$BZ,'Cronog. e Histog.'!DG:DG),"")</f>
        <v>0</v>
      </c>
      <c r="AM30" s="144">
        <f>IFERROR(_xlfn.XLOOKUP($B30,'Cronog. e Histog.'!$BZ:$BZ,'Cronog. e Histog.'!DH:DH),"")</f>
        <v>0</v>
      </c>
      <c r="AN30" s="144">
        <f>IFERROR(_xlfn.XLOOKUP($B30,'Cronog. e Histog.'!$BZ:$BZ,'Cronog. e Histog.'!DI:DI),"")</f>
        <v>0</v>
      </c>
      <c r="AO30" s="144">
        <f>IFERROR(_xlfn.XLOOKUP($B30,'Cronog. e Histog.'!$BZ:$BZ,'Cronog. e Histog.'!DJ:DJ),"")</f>
        <v>0</v>
      </c>
      <c r="AP30" s="144">
        <f>IFERROR(_xlfn.XLOOKUP($B30,'Cronog. e Histog.'!$BZ:$BZ,'Cronog. e Histog.'!DK:DK),"")</f>
        <v>0</v>
      </c>
      <c r="AQ30" s="144">
        <f>IFERROR(_xlfn.XLOOKUP($B30,'Cronog. e Histog.'!$BZ:$BZ,'Cronog. e Histog.'!DL:DL),"")</f>
        <v>0</v>
      </c>
      <c r="AR30" s="144">
        <f>IFERROR(_xlfn.XLOOKUP($B30,'Cronog. e Histog.'!$BZ:$BZ,'Cronog. e Histog.'!DM:DM),"")</f>
        <v>0</v>
      </c>
      <c r="AS30" s="144">
        <f>IFERROR(_xlfn.XLOOKUP($B30,'Cronog. e Histog.'!$BZ:$BZ,'Cronog. e Histog.'!DN:DN),"")</f>
        <v>0</v>
      </c>
      <c r="AT30" s="144">
        <f>IFERROR(_xlfn.XLOOKUP($B30,'Cronog. e Histog.'!$BZ:$BZ,'Cronog. e Histog.'!DO:DO),"")</f>
        <v>0</v>
      </c>
      <c r="AU30" s="144">
        <f>IFERROR(_xlfn.XLOOKUP($B30,'Cronog. e Histog.'!$BZ:$BZ,'Cronog. e Histog.'!DP:DP),"")</f>
        <v>0</v>
      </c>
      <c r="AV30" s="144">
        <f>IFERROR(_xlfn.XLOOKUP($B30,'Cronog. e Histog.'!$BZ:$BZ,'Cronog. e Histog.'!DQ:DQ),"")</f>
        <v>0</v>
      </c>
      <c r="AW30" s="144">
        <f>IFERROR(_xlfn.XLOOKUP($B30,'Cronog. e Histog.'!$BZ:$BZ,'Cronog. e Histog.'!DR:DR),"")</f>
        <v>0</v>
      </c>
      <c r="AX30" s="144">
        <f>IFERROR(_xlfn.XLOOKUP($B30,'Cronog. e Histog.'!$BZ:$BZ,'Cronog. e Histog.'!DS:DS),"")</f>
        <v>0</v>
      </c>
      <c r="AY30" s="144">
        <f>IFERROR(_xlfn.XLOOKUP($B30,'Cronog. e Histog.'!$BZ:$BZ,'Cronog. e Histog.'!DT:DT),"")</f>
        <v>0</v>
      </c>
      <c r="AZ30" s="144">
        <f>IFERROR(_xlfn.XLOOKUP($B30,'Cronog. e Histog.'!$BZ:$BZ,'Cronog. e Histog.'!DU:DU),"")</f>
        <v>0</v>
      </c>
      <c r="BA30" s="144">
        <f>IFERROR(_xlfn.XLOOKUP($B30,'Cronog. e Histog.'!$BZ:$BZ,'Cronog. e Histog.'!DV:DV),"")</f>
        <v>0</v>
      </c>
      <c r="BB30" s="144">
        <f>IFERROR(_xlfn.XLOOKUP($B30,'Cronog. e Histog.'!$BZ:$BZ,'Cronog. e Histog.'!DW:DW),"")</f>
        <v>0</v>
      </c>
      <c r="BC30" s="144">
        <f>IFERROR(_xlfn.XLOOKUP($B30,'Cronog. e Histog.'!$BZ:$BZ,'Cronog. e Histog.'!DX:DX),"")</f>
        <v>0</v>
      </c>
      <c r="BD30" s="144">
        <f>IFERROR(_xlfn.XLOOKUP($B30,'Cronog. e Histog.'!$BZ:$BZ,'Cronog. e Histog.'!DY:DY),"")</f>
        <v>0</v>
      </c>
      <c r="BE30" s="144">
        <f>IFERROR(_xlfn.XLOOKUP($B30,'Cronog. e Histog.'!$BZ:$BZ,'Cronog. e Histog.'!DZ:DZ),"")</f>
        <v>0</v>
      </c>
      <c r="BF30" s="144">
        <f>IFERROR(_xlfn.XLOOKUP($B30,'Cronog. e Histog.'!$BZ:$BZ,'Cronog. e Histog.'!EA:EA),"")</f>
        <v>0</v>
      </c>
      <c r="BG30" s="144">
        <f>IFERROR(_xlfn.XLOOKUP($B30,'Cronog. e Histog.'!$BZ:$BZ,'Cronog. e Histog.'!EB:EB),"")</f>
        <v>0</v>
      </c>
      <c r="BH30" s="144">
        <f>IFERROR(_xlfn.XLOOKUP($B30,'Cronog. e Histog.'!$BZ:$BZ,'Cronog. e Histog.'!EC:EC),"")</f>
        <v>0</v>
      </c>
      <c r="BI30" s="144">
        <f>IFERROR(_xlfn.XLOOKUP($B30,'Cronog. e Histog.'!$BZ:$BZ,'Cronog. e Histog.'!ED:ED),"")</f>
        <v>0</v>
      </c>
      <c r="BJ30" s="144">
        <f>IFERROR(_xlfn.XLOOKUP($B30,'Cronog. e Histog.'!$BZ:$BZ,'Cronog. e Histog.'!EE:EE),"")</f>
        <v>0</v>
      </c>
      <c r="BK30" s="144">
        <f>IFERROR(_xlfn.XLOOKUP($B30,'Cronog. e Histog.'!$BZ:$BZ,'Cronog. e Histog.'!EF:EF),"")</f>
        <v>0</v>
      </c>
      <c r="BL30" s="144">
        <f>IFERROR(_xlfn.XLOOKUP($B30,'Cronog. e Histog.'!$BZ:$BZ,'Cronog. e Histog.'!EG:EG),"")</f>
        <v>0</v>
      </c>
      <c r="BM30" s="144">
        <f>IFERROR(_xlfn.XLOOKUP($B30,'Cronog. e Histog.'!$BZ:$BZ,'Cronog. e Histog.'!EH:EH),"")</f>
        <v>0</v>
      </c>
      <c r="BN30" s="144">
        <f>IFERROR(_xlfn.XLOOKUP($B30,'Cronog. e Histog.'!$BZ:$BZ,'Cronog. e Histog.'!EI:EI),"")</f>
        <v>0</v>
      </c>
    </row>
    <row r="31" spans="2:66" ht="12" hidden="1" customHeight="1" outlineLevel="1">
      <c r="B31" s="76">
        <v>25</v>
      </c>
      <c r="C31" s="143" t="str">
        <f>IFERROR(VLOOKUP(B31,'Cronog. e Histog.'!$BZ$213:$CA$747,2,0),"")</f>
        <v>ENG/ARQ PL.</v>
      </c>
      <c r="D31" s="144">
        <f t="shared" si="0"/>
        <v>1</v>
      </c>
      <c r="E31" s="144">
        <f t="shared" si="1"/>
        <v>10</v>
      </c>
      <c r="F31" s="65"/>
      <c r="G31" s="144">
        <f>IFERROR(_xlfn.XLOOKUP($B31,'Cronog. e Histog.'!$BZ:$BZ,'Cronog. e Histog.'!CB:CB),"")</f>
        <v>0.71</v>
      </c>
      <c r="H31" s="144">
        <f>IFERROR(_xlfn.XLOOKUP($B31,'Cronog. e Histog.'!$BZ:$BZ,'Cronog. e Histog.'!CC:CC),"")</f>
        <v>0.71</v>
      </c>
      <c r="I31" s="144">
        <f>IFERROR(_xlfn.XLOOKUP($B31,'Cronog. e Histog.'!$BZ:$BZ,'Cronog. e Histog.'!CD:CD),"")</f>
        <v>0.71</v>
      </c>
      <c r="J31" s="144">
        <f>IFERROR(_xlfn.XLOOKUP($B31,'Cronog. e Histog.'!$BZ:$BZ,'Cronog. e Histog.'!CE:CE),"")</f>
        <v>0.71</v>
      </c>
      <c r="K31" s="144">
        <f>IFERROR(_xlfn.XLOOKUP($B31,'Cronog. e Histog.'!$BZ:$BZ,'Cronog. e Histog.'!CF:CF),"")</f>
        <v>0.71</v>
      </c>
      <c r="L31" s="144">
        <f>IFERROR(_xlfn.XLOOKUP($B31,'Cronog. e Histog.'!$BZ:$BZ,'Cronog. e Histog.'!CG:CG),"")</f>
        <v>0.71</v>
      </c>
      <c r="M31" s="144">
        <f>IFERROR(_xlfn.XLOOKUP($B31,'Cronog. e Histog.'!$BZ:$BZ,'Cronog. e Histog.'!CH:CH),"")</f>
        <v>0.71</v>
      </c>
      <c r="N31" s="144">
        <f>IFERROR(_xlfn.XLOOKUP($B31,'Cronog. e Histog.'!$BZ:$BZ,'Cronog. e Histog.'!CI:CI),"")</f>
        <v>0.71</v>
      </c>
      <c r="O31" s="144">
        <f>IFERROR(_xlfn.XLOOKUP($B31,'Cronog. e Histog.'!$BZ:$BZ,'Cronog. e Histog.'!CJ:CJ),"")</f>
        <v>0.71</v>
      </c>
      <c r="P31" s="144">
        <f>IFERROR(_xlfn.XLOOKUP($B31,'Cronog. e Histog.'!$BZ:$BZ,'Cronog. e Histog.'!CK:CK),"")</f>
        <v>0.71</v>
      </c>
      <c r="Q31" s="144">
        <f>IFERROR(_xlfn.XLOOKUP($B31,'Cronog. e Histog.'!$BZ:$BZ,'Cronog. e Histog.'!CL:CL),"")</f>
        <v>0</v>
      </c>
      <c r="R31" s="144">
        <f>IFERROR(_xlfn.XLOOKUP($B31,'Cronog. e Histog.'!$BZ:$BZ,'Cronog. e Histog.'!CM:CM),"")</f>
        <v>0</v>
      </c>
      <c r="S31" s="144">
        <f>IFERROR(_xlfn.XLOOKUP($B31,'Cronog. e Histog.'!$BZ:$BZ,'Cronog. e Histog.'!CN:CN),"")</f>
        <v>0</v>
      </c>
      <c r="T31" s="144">
        <f>IFERROR(_xlfn.XLOOKUP($B31,'Cronog. e Histog.'!$BZ:$BZ,'Cronog. e Histog.'!CO:CO),"")</f>
        <v>0</v>
      </c>
      <c r="U31" s="144">
        <f>IFERROR(_xlfn.XLOOKUP($B31,'Cronog. e Histog.'!$BZ:$BZ,'Cronog. e Histog.'!CP:CP),"")</f>
        <v>0</v>
      </c>
      <c r="V31" s="144">
        <f>IFERROR(_xlfn.XLOOKUP($B31,'Cronog. e Histog.'!$BZ:$BZ,'Cronog. e Histog.'!CQ:CQ),"")</f>
        <v>0</v>
      </c>
      <c r="W31" s="144">
        <f>IFERROR(_xlfn.XLOOKUP($B31,'Cronog. e Histog.'!$BZ:$BZ,'Cronog. e Histog.'!CR:CR),"")</f>
        <v>0</v>
      </c>
      <c r="X31" s="144">
        <f>IFERROR(_xlfn.XLOOKUP($B31,'Cronog. e Histog.'!$BZ:$BZ,'Cronog. e Histog.'!CS:CS),"")</f>
        <v>0</v>
      </c>
      <c r="Y31" s="144">
        <f>IFERROR(_xlfn.XLOOKUP($B31,'Cronog. e Histog.'!$BZ:$BZ,'Cronog. e Histog.'!CT:CT),"")</f>
        <v>0</v>
      </c>
      <c r="Z31" s="144">
        <f>IFERROR(_xlfn.XLOOKUP($B31,'Cronog. e Histog.'!$BZ:$BZ,'Cronog. e Histog.'!CU:CU),"")</f>
        <v>0</v>
      </c>
      <c r="AA31" s="144">
        <f>IFERROR(_xlfn.XLOOKUP($B31,'Cronog. e Histog.'!$BZ:$BZ,'Cronog. e Histog.'!CV:CV),"")</f>
        <v>0</v>
      </c>
      <c r="AB31" s="144">
        <f>IFERROR(_xlfn.XLOOKUP($B31,'Cronog. e Histog.'!$BZ:$BZ,'Cronog. e Histog.'!CW:CW),"")</f>
        <v>0</v>
      </c>
      <c r="AC31" s="144">
        <f>IFERROR(_xlfn.XLOOKUP($B31,'Cronog. e Histog.'!$BZ:$BZ,'Cronog. e Histog.'!CX:CX),"")</f>
        <v>0</v>
      </c>
      <c r="AD31" s="144">
        <f>IFERROR(_xlfn.XLOOKUP($B31,'Cronog. e Histog.'!$BZ:$BZ,'Cronog. e Histog.'!CY:CY),"")</f>
        <v>0</v>
      </c>
      <c r="AE31" s="144">
        <f>IFERROR(_xlfn.XLOOKUP($B31,'Cronog. e Histog.'!$BZ:$BZ,'Cronog. e Histog.'!CZ:CZ),"")</f>
        <v>0</v>
      </c>
      <c r="AF31" s="144">
        <f>IFERROR(_xlfn.XLOOKUP($B31,'Cronog. e Histog.'!$BZ:$BZ,'Cronog. e Histog.'!DA:DA),"")</f>
        <v>0</v>
      </c>
      <c r="AG31" s="144">
        <f>IFERROR(_xlfn.XLOOKUP($B31,'Cronog. e Histog.'!$BZ:$BZ,'Cronog. e Histog.'!DB:DB),"")</f>
        <v>0</v>
      </c>
      <c r="AH31" s="144">
        <f>IFERROR(_xlfn.XLOOKUP($B31,'Cronog. e Histog.'!$BZ:$BZ,'Cronog. e Histog.'!DC:DC),"")</f>
        <v>0</v>
      </c>
      <c r="AI31" s="144">
        <f>IFERROR(_xlfn.XLOOKUP($B31,'Cronog. e Histog.'!$BZ:$BZ,'Cronog. e Histog.'!DD:DD),"")</f>
        <v>0</v>
      </c>
      <c r="AJ31" s="144">
        <f>IFERROR(_xlfn.XLOOKUP($B31,'Cronog. e Histog.'!$BZ:$BZ,'Cronog. e Histog.'!DE:DE),"")</f>
        <v>0</v>
      </c>
      <c r="AK31" s="144">
        <f>IFERROR(_xlfn.XLOOKUP($B31,'Cronog. e Histog.'!$BZ:$BZ,'Cronog. e Histog.'!DF:DF),"")</f>
        <v>0</v>
      </c>
      <c r="AL31" s="144">
        <f>IFERROR(_xlfn.XLOOKUP($B31,'Cronog. e Histog.'!$BZ:$BZ,'Cronog. e Histog.'!DG:DG),"")</f>
        <v>0</v>
      </c>
      <c r="AM31" s="144">
        <f>IFERROR(_xlfn.XLOOKUP($B31,'Cronog. e Histog.'!$BZ:$BZ,'Cronog. e Histog.'!DH:DH),"")</f>
        <v>0</v>
      </c>
      <c r="AN31" s="144">
        <f>IFERROR(_xlfn.XLOOKUP($B31,'Cronog. e Histog.'!$BZ:$BZ,'Cronog. e Histog.'!DI:DI),"")</f>
        <v>0</v>
      </c>
      <c r="AO31" s="144">
        <f>IFERROR(_xlfn.XLOOKUP($B31,'Cronog. e Histog.'!$BZ:$BZ,'Cronog. e Histog.'!DJ:DJ),"")</f>
        <v>0</v>
      </c>
      <c r="AP31" s="144">
        <f>IFERROR(_xlfn.XLOOKUP($B31,'Cronog. e Histog.'!$BZ:$BZ,'Cronog. e Histog.'!DK:DK),"")</f>
        <v>0</v>
      </c>
      <c r="AQ31" s="144">
        <f>IFERROR(_xlfn.XLOOKUP($B31,'Cronog. e Histog.'!$BZ:$BZ,'Cronog. e Histog.'!DL:DL),"")</f>
        <v>0</v>
      </c>
      <c r="AR31" s="144">
        <f>IFERROR(_xlfn.XLOOKUP($B31,'Cronog. e Histog.'!$BZ:$BZ,'Cronog. e Histog.'!DM:DM),"")</f>
        <v>0</v>
      </c>
      <c r="AS31" s="144">
        <f>IFERROR(_xlfn.XLOOKUP($B31,'Cronog. e Histog.'!$BZ:$BZ,'Cronog. e Histog.'!DN:DN),"")</f>
        <v>0</v>
      </c>
      <c r="AT31" s="144">
        <f>IFERROR(_xlfn.XLOOKUP($B31,'Cronog. e Histog.'!$BZ:$BZ,'Cronog. e Histog.'!DO:DO),"")</f>
        <v>0</v>
      </c>
      <c r="AU31" s="144">
        <f>IFERROR(_xlfn.XLOOKUP($B31,'Cronog. e Histog.'!$BZ:$BZ,'Cronog. e Histog.'!DP:DP),"")</f>
        <v>0</v>
      </c>
      <c r="AV31" s="144">
        <f>IFERROR(_xlfn.XLOOKUP($B31,'Cronog. e Histog.'!$BZ:$BZ,'Cronog. e Histog.'!DQ:DQ),"")</f>
        <v>0</v>
      </c>
      <c r="AW31" s="144">
        <f>IFERROR(_xlfn.XLOOKUP($B31,'Cronog. e Histog.'!$BZ:$BZ,'Cronog. e Histog.'!DR:DR),"")</f>
        <v>0</v>
      </c>
      <c r="AX31" s="144">
        <f>IFERROR(_xlfn.XLOOKUP($B31,'Cronog. e Histog.'!$BZ:$BZ,'Cronog. e Histog.'!DS:DS),"")</f>
        <v>0</v>
      </c>
      <c r="AY31" s="144">
        <f>IFERROR(_xlfn.XLOOKUP($B31,'Cronog. e Histog.'!$BZ:$BZ,'Cronog. e Histog.'!DT:DT),"")</f>
        <v>0</v>
      </c>
      <c r="AZ31" s="144">
        <f>IFERROR(_xlfn.XLOOKUP($B31,'Cronog. e Histog.'!$BZ:$BZ,'Cronog. e Histog.'!DU:DU),"")</f>
        <v>0</v>
      </c>
      <c r="BA31" s="144">
        <f>IFERROR(_xlfn.XLOOKUP($B31,'Cronog. e Histog.'!$BZ:$BZ,'Cronog. e Histog.'!DV:DV),"")</f>
        <v>0</v>
      </c>
      <c r="BB31" s="144">
        <f>IFERROR(_xlfn.XLOOKUP($B31,'Cronog. e Histog.'!$BZ:$BZ,'Cronog. e Histog.'!DW:DW),"")</f>
        <v>0</v>
      </c>
      <c r="BC31" s="144">
        <f>IFERROR(_xlfn.XLOOKUP($B31,'Cronog. e Histog.'!$BZ:$BZ,'Cronog. e Histog.'!DX:DX),"")</f>
        <v>0</v>
      </c>
      <c r="BD31" s="144">
        <f>IFERROR(_xlfn.XLOOKUP($B31,'Cronog. e Histog.'!$BZ:$BZ,'Cronog. e Histog.'!DY:DY),"")</f>
        <v>0</v>
      </c>
      <c r="BE31" s="144">
        <f>IFERROR(_xlfn.XLOOKUP($B31,'Cronog. e Histog.'!$BZ:$BZ,'Cronog. e Histog.'!DZ:DZ),"")</f>
        <v>0</v>
      </c>
      <c r="BF31" s="144">
        <f>IFERROR(_xlfn.XLOOKUP($B31,'Cronog. e Histog.'!$BZ:$BZ,'Cronog. e Histog.'!EA:EA),"")</f>
        <v>0</v>
      </c>
      <c r="BG31" s="144">
        <f>IFERROR(_xlfn.XLOOKUP($B31,'Cronog. e Histog.'!$BZ:$BZ,'Cronog. e Histog.'!EB:EB),"")</f>
        <v>0</v>
      </c>
      <c r="BH31" s="144">
        <f>IFERROR(_xlfn.XLOOKUP($B31,'Cronog. e Histog.'!$BZ:$BZ,'Cronog. e Histog.'!EC:EC),"")</f>
        <v>0</v>
      </c>
      <c r="BI31" s="144">
        <f>IFERROR(_xlfn.XLOOKUP($B31,'Cronog. e Histog.'!$BZ:$BZ,'Cronog. e Histog.'!ED:ED),"")</f>
        <v>0</v>
      </c>
      <c r="BJ31" s="144">
        <f>IFERROR(_xlfn.XLOOKUP($B31,'Cronog. e Histog.'!$BZ:$BZ,'Cronog. e Histog.'!EE:EE),"")</f>
        <v>0</v>
      </c>
      <c r="BK31" s="144">
        <f>IFERROR(_xlfn.XLOOKUP($B31,'Cronog. e Histog.'!$BZ:$BZ,'Cronog. e Histog.'!EF:EF),"")</f>
        <v>0</v>
      </c>
      <c r="BL31" s="144">
        <f>IFERROR(_xlfn.XLOOKUP($B31,'Cronog. e Histog.'!$BZ:$BZ,'Cronog. e Histog.'!EG:EG),"")</f>
        <v>0</v>
      </c>
      <c r="BM31" s="144">
        <f>IFERROR(_xlfn.XLOOKUP($B31,'Cronog. e Histog.'!$BZ:$BZ,'Cronog. e Histog.'!EH:EH),"")</f>
        <v>0</v>
      </c>
      <c r="BN31" s="144">
        <f>IFERROR(_xlfn.XLOOKUP($B31,'Cronog. e Histog.'!$BZ:$BZ,'Cronog. e Histog.'!EI:EI),"")</f>
        <v>0</v>
      </c>
    </row>
    <row r="32" spans="2:66" ht="12" hidden="1" customHeight="1" outlineLevel="1">
      <c r="B32" s="76">
        <v>26</v>
      </c>
      <c r="C32" s="143" t="str">
        <f>IFERROR(VLOOKUP(B32,'Cronog. e Histog.'!$BZ$213:$CA$747,2,0),"")</f>
        <v>ENG/ARQ JR.</v>
      </c>
      <c r="D32" s="144">
        <f t="shared" si="0"/>
        <v>0</v>
      </c>
      <c r="E32" s="144">
        <f t="shared" si="1"/>
        <v>0</v>
      </c>
      <c r="F32" s="65"/>
      <c r="G32" s="144">
        <f>IFERROR(_xlfn.XLOOKUP($B32,'Cronog. e Histog.'!$BZ:$BZ,'Cronog. e Histog.'!CB:CB),"")</f>
        <v>0</v>
      </c>
      <c r="H32" s="144">
        <f>IFERROR(_xlfn.XLOOKUP($B32,'Cronog. e Histog.'!$BZ:$BZ,'Cronog. e Histog.'!CC:CC),"")</f>
        <v>0</v>
      </c>
      <c r="I32" s="144">
        <f>IFERROR(_xlfn.XLOOKUP($B32,'Cronog. e Histog.'!$BZ:$BZ,'Cronog. e Histog.'!CD:CD),"")</f>
        <v>0</v>
      </c>
      <c r="J32" s="144">
        <f>IFERROR(_xlfn.XLOOKUP($B32,'Cronog. e Histog.'!$BZ:$BZ,'Cronog. e Histog.'!CE:CE),"")</f>
        <v>0</v>
      </c>
      <c r="K32" s="144">
        <f>IFERROR(_xlfn.XLOOKUP($B32,'Cronog. e Histog.'!$BZ:$BZ,'Cronog. e Histog.'!CF:CF),"")</f>
        <v>0</v>
      </c>
      <c r="L32" s="144">
        <f>IFERROR(_xlfn.XLOOKUP($B32,'Cronog. e Histog.'!$BZ:$BZ,'Cronog. e Histog.'!CG:CG),"")</f>
        <v>0</v>
      </c>
      <c r="M32" s="144">
        <f>IFERROR(_xlfn.XLOOKUP($B32,'Cronog. e Histog.'!$BZ:$BZ,'Cronog. e Histog.'!CH:CH),"")</f>
        <v>0</v>
      </c>
      <c r="N32" s="144">
        <f>IFERROR(_xlfn.XLOOKUP($B32,'Cronog. e Histog.'!$BZ:$BZ,'Cronog. e Histog.'!CI:CI),"")</f>
        <v>0</v>
      </c>
      <c r="O32" s="144">
        <f>IFERROR(_xlfn.XLOOKUP($B32,'Cronog. e Histog.'!$BZ:$BZ,'Cronog. e Histog.'!CJ:CJ),"")</f>
        <v>0</v>
      </c>
      <c r="P32" s="144">
        <f>IFERROR(_xlfn.XLOOKUP($B32,'Cronog. e Histog.'!$BZ:$BZ,'Cronog. e Histog.'!CK:CK),"")</f>
        <v>0</v>
      </c>
      <c r="Q32" s="144">
        <f>IFERROR(_xlfn.XLOOKUP($B32,'Cronog. e Histog.'!$BZ:$BZ,'Cronog. e Histog.'!CL:CL),"")</f>
        <v>0</v>
      </c>
      <c r="R32" s="144">
        <f>IFERROR(_xlfn.XLOOKUP($B32,'Cronog. e Histog.'!$BZ:$BZ,'Cronog. e Histog.'!CM:CM),"")</f>
        <v>0</v>
      </c>
      <c r="S32" s="144">
        <f>IFERROR(_xlfn.XLOOKUP($B32,'Cronog. e Histog.'!$BZ:$BZ,'Cronog. e Histog.'!CN:CN),"")</f>
        <v>0</v>
      </c>
      <c r="T32" s="144">
        <f>IFERROR(_xlfn.XLOOKUP($B32,'Cronog. e Histog.'!$BZ:$BZ,'Cronog. e Histog.'!CO:CO),"")</f>
        <v>0</v>
      </c>
      <c r="U32" s="144">
        <f>IFERROR(_xlfn.XLOOKUP($B32,'Cronog. e Histog.'!$BZ:$BZ,'Cronog. e Histog.'!CP:CP),"")</f>
        <v>0</v>
      </c>
      <c r="V32" s="144">
        <f>IFERROR(_xlfn.XLOOKUP($B32,'Cronog. e Histog.'!$BZ:$BZ,'Cronog. e Histog.'!CQ:CQ),"")</f>
        <v>0</v>
      </c>
      <c r="W32" s="144">
        <f>IFERROR(_xlfn.XLOOKUP($B32,'Cronog. e Histog.'!$BZ:$BZ,'Cronog. e Histog.'!CR:CR),"")</f>
        <v>0</v>
      </c>
      <c r="X32" s="144">
        <f>IFERROR(_xlfn.XLOOKUP($B32,'Cronog. e Histog.'!$BZ:$BZ,'Cronog. e Histog.'!CS:CS),"")</f>
        <v>0</v>
      </c>
      <c r="Y32" s="144">
        <f>IFERROR(_xlfn.XLOOKUP($B32,'Cronog. e Histog.'!$BZ:$BZ,'Cronog. e Histog.'!CT:CT),"")</f>
        <v>0</v>
      </c>
      <c r="Z32" s="144">
        <f>IFERROR(_xlfn.XLOOKUP($B32,'Cronog. e Histog.'!$BZ:$BZ,'Cronog. e Histog.'!CU:CU),"")</f>
        <v>0</v>
      </c>
      <c r="AA32" s="144">
        <f>IFERROR(_xlfn.XLOOKUP($B32,'Cronog. e Histog.'!$BZ:$BZ,'Cronog. e Histog.'!CV:CV),"")</f>
        <v>0</v>
      </c>
      <c r="AB32" s="144">
        <f>IFERROR(_xlfn.XLOOKUP($B32,'Cronog. e Histog.'!$BZ:$BZ,'Cronog. e Histog.'!CW:CW),"")</f>
        <v>0</v>
      </c>
      <c r="AC32" s="144">
        <f>IFERROR(_xlfn.XLOOKUP($B32,'Cronog. e Histog.'!$BZ:$BZ,'Cronog. e Histog.'!CX:CX),"")</f>
        <v>0</v>
      </c>
      <c r="AD32" s="144">
        <f>IFERROR(_xlfn.XLOOKUP($B32,'Cronog. e Histog.'!$BZ:$BZ,'Cronog. e Histog.'!CY:CY),"")</f>
        <v>0</v>
      </c>
      <c r="AE32" s="144">
        <f>IFERROR(_xlfn.XLOOKUP($B32,'Cronog. e Histog.'!$BZ:$BZ,'Cronog. e Histog.'!CZ:CZ),"")</f>
        <v>0</v>
      </c>
      <c r="AF32" s="144">
        <f>IFERROR(_xlfn.XLOOKUP($B32,'Cronog. e Histog.'!$BZ:$BZ,'Cronog. e Histog.'!DA:DA),"")</f>
        <v>0</v>
      </c>
      <c r="AG32" s="144">
        <f>IFERROR(_xlfn.XLOOKUP($B32,'Cronog. e Histog.'!$BZ:$BZ,'Cronog. e Histog.'!DB:DB),"")</f>
        <v>0</v>
      </c>
      <c r="AH32" s="144">
        <f>IFERROR(_xlfn.XLOOKUP($B32,'Cronog. e Histog.'!$BZ:$BZ,'Cronog. e Histog.'!DC:DC),"")</f>
        <v>0</v>
      </c>
      <c r="AI32" s="144">
        <f>IFERROR(_xlfn.XLOOKUP($B32,'Cronog. e Histog.'!$BZ:$BZ,'Cronog. e Histog.'!DD:DD),"")</f>
        <v>0</v>
      </c>
      <c r="AJ32" s="144">
        <f>IFERROR(_xlfn.XLOOKUP($B32,'Cronog. e Histog.'!$BZ:$BZ,'Cronog. e Histog.'!DE:DE),"")</f>
        <v>0</v>
      </c>
      <c r="AK32" s="144">
        <f>IFERROR(_xlfn.XLOOKUP($B32,'Cronog. e Histog.'!$BZ:$BZ,'Cronog. e Histog.'!DF:DF),"")</f>
        <v>0</v>
      </c>
      <c r="AL32" s="144">
        <f>IFERROR(_xlfn.XLOOKUP($B32,'Cronog. e Histog.'!$BZ:$BZ,'Cronog. e Histog.'!DG:DG),"")</f>
        <v>0</v>
      </c>
      <c r="AM32" s="144">
        <f>IFERROR(_xlfn.XLOOKUP($B32,'Cronog. e Histog.'!$BZ:$BZ,'Cronog. e Histog.'!DH:DH),"")</f>
        <v>0</v>
      </c>
      <c r="AN32" s="144">
        <f>IFERROR(_xlfn.XLOOKUP($B32,'Cronog. e Histog.'!$BZ:$BZ,'Cronog. e Histog.'!DI:DI),"")</f>
        <v>0</v>
      </c>
      <c r="AO32" s="144">
        <f>IFERROR(_xlfn.XLOOKUP($B32,'Cronog. e Histog.'!$BZ:$BZ,'Cronog. e Histog.'!DJ:DJ),"")</f>
        <v>0</v>
      </c>
      <c r="AP32" s="144">
        <f>IFERROR(_xlfn.XLOOKUP($B32,'Cronog. e Histog.'!$BZ:$BZ,'Cronog. e Histog.'!DK:DK),"")</f>
        <v>0</v>
      </c>
      <c r="AQ32" s="144">
        <f>IFERROR(_xlfn.XLOOKUP($B32,'Cronog. e Histog.'!$BZ:$BZ,'Cronog. e Histog.'!DL:DL),"")</f>
        <v>0</v>
      </c>
      <c r="AR32" s="144">
        <f>IFERROR(_xlfn.XLOOKUP($B32,'Cronog. e Histog.'!$BZ:$BZ,'Cronog. e Histog.'!DM:DM),"")</f>
        <v>0</v>
      </c>
      <c r="AS32" s="144">
        <f>IFERROR(_xlfn.XLOOKUP($B32,'Cronog. e Histog.'!$BZ:$BZ,'Cronog. e Histog.'!DN:DN),"")</f>
        <v>0</v>
      </c>
      <c r="AT32" s="144">
        <f>IFERROR(_xlfn.XLOOKUP($B32,'Cronog. e Histog.'!$BZ:$BZ,'Cronog. e Histog.'!DO:DO),"")</f>
        <v>0</v>
      </c>
      <c r="AU32" s="144">
        <f>IFERROR(_xlfn.XLOOKUP($B32,'Cronog. e Histog.'!$BZ:$BZ,'Cronog. e Histog.'!DP:DP),"")</f>
        <v>0</v>
      </c>
      <c r="AV32" s="144">
        <f>IFERROR(_xlfn.XLOOKUP($B32,'Cronog. e Histog.'!$BZ:$BZ,'Cronog. e Histog.'!DQ:DQ),"")</f>
        <v>0</v>
      </c>
      <c r="AW32" s="144">
        <f>IFERROR(_xlfn.XLOOKUP($B32,'Cronog. e Histog.'!$BZ:$BZ,'Cronog. e Histog.'!DR:DR),"")</f>
        <v>0</v>
      </c>
      <c r="AX32" s="144">
        <f>IFERROR(_xlfn.XLOOKUP($B32,'Cronog. e Histog.'!$BZ:$BZ,'Cronog. e Histog.'!DS:DS),"")</f>
        <v>0</v>
      </c>
      <c r="AY32" s="144">
        <f>IFERROR(_xlfn.XLOOKUP($B32,'Cronog. e Histog.'!$BZ:$BZ,'Cronog. e Histog.'!DT:DT),"")</f>
        <v>0</v>
      </c>
      <c r="AZ32" s="144">
        <f>IFERROR(_xlfn.XLOOKUP($B32,'Cronog. e Histog.'!$BZ:$BZ,'Cronog. e Histog.'!DU:DU),"")</f>
        <v>0</v>
      </c>
      <c r="BA32" s="144">
        <f>IFERROR(_xlfn.XLOOKUP($B32,'Cronog. e Histog.'!$BZ:$BZ,'Cronog. e Histog.'!DV:DV),"")</f>
        <v>0</v>
      </c>
      <c r="BB32" s="144">
        <f>IFERROR(_xlfn.XLOOKUP($B32,'Cronog. e Histog.'!$BZ:$BZ,'Cronog. e Histog.'!DW:DW),"")</f>
        <v>0</v>
      </c>
      <c r="BC32" s="144">
        <f>IFERROR(_xlfn.XLOOKUP($B32,'Cronog. e Histog.'!$BZ:$BZ,'Cronog. e Histog.'!DX:DX),"")</f>
        <v>0</v>
      </c>
      <c r="BD32" s="144">
        <f>IFERROR(_xlfn.XLOOKUP($B32,'Cronog. e Histog.'!$BZ:$BZ,'Cronog. e Histog.'!DY:DY),"")</f>
        <v>0</v>
      </c>
      <c r="BE32" s="144">
        <f>IFERROR(_xlfn.XLOOKUP($B32,'Cronog. e Histog.'!$BZ:$BZ,'Cronog. e Histog.'!DZ:DZ),"")</f>
        <v>0</v>
      </c>
      <c r="BF32" s="144">
        <f>IFERROR(_xlfn.XLOOKUP($B32,'Cronog. e Histog.'!$BZ:$BZ,'Cronog. e Histog.'!EA:EA),"")</f>
        <v>0</v>
      </c>
      <c r="BG32" s="144">
        <f>IFERROR(_xlfn.XLOOKUP($B32,'Cronog. e Histog.'!$BZ:$BZ,'Cronog. e Histog.'!EB:EB),"")</f>
        <v>0</v>
      </c>
      <c r="BH32" s="144">
        <f>IFERROR(_xlfn.XLOOKUP($B32,'Cronog. e Histog.'!$BZ:$BZ,'Cronog. e Histog.'!EC:EC),"")</f>
        <v>0</v>
      </c>
      <c r="BI32" s="144">
        <f>IFERROR(_xlfn.XLOOKUP($B32,'Cronog. e Histog.'!$BZ:$BZ,'Cronog. e Histog.'!ED:ED),"")</f>
        <v>0</v>
      </c>
      <c r="BJ32" s="144">
        <f>IFERROR(_xlfn.XLOOKUP($B32,'Cronog. e Histog.'!$BZ:$BZ,'Cronog. e Histog.'!EE:EE),"")</f>
        <v>0</v>
      </c>
      <c r="BK32" s="144">
        <f>IFERROR(_xlfn.XLOOKUP($B32,'Cronog. e Histog.'!$BZ:$BZ,'Cronog. e Histog.'!EF:EF),"")</f>
        <v>0</v>
      </c>
      <c r="BL32" s="144">
        <f>IFERROR(_xlfn.XLOOKUP($B32,'Cronog. e Histog.'!$BZ:$BZ,'Cronog. e Histog.'!EG:EG),"")</f>
        <v>0</v>
      </c>
      <c r="BM32" s="144">
        <f>IFERROR(_xlfn.XLOOKUP($B32,'Cronog. e Histog.'!$BZ:$BZ,'Cronog. e Histog.'!EH:EH),"")</f>
        <v>0</v>
      </c>
      <c r="BN32" s="144">
        <f>IFERROR(_xlfn.XLOOKUP($B32,'Cronog. e Histog.'!$BZ:$BZ,'Cronog. e Histog.'!EI:EI),"")</f>
        <v>0</v>
      </c>
    </row>
    <row r="33" spans="2:66" ht="12" hidden="1" customHeight="1" outlineLevel="1">
      <c r="B33" s="76">
        <v>27</v>
      </c>
      <c r="C33" s="143" t="str">
        <f>IFERROR(VLOOKUP(B33,'Cronog. e Histog.'!$BZ$213:$CA$747,2,0),"")</f>
        <v>AN SR. ENG/ARQ</v>
      </c>
      <c r="D33" s="144">
        <f t="shared" si="0"/>
        <v>0</v>
      </c>
      <c r="E33" s="144">
        <f t="shared" si="1"/>
        <v>0</v>
      </c>
      <c r="F33" s="65"/>
      <c r="G33" s="144">
        <f>IFERROR(_xlfn.XLOOKUP($B33,'Cronog. e Histog.'!$BZ:$BZ,'Cronog. e Histog.'!CB:CB),"")</f>
        <v>0</v>
      </c>
      <c r="H33" s="144">
        <f>IFERROR(_xlfn.XLOOKUP($B33,'Cronog. e Histog.'!$BZ:$BZ,'Cronog. e Histog.'!CC:CC),"")</f>
        <v>0</v>
      </c>
      <c r="I33" s="144">
        <f>IFERROR(_xlfn.XLOOKUP($B33,'Cronog. e Histog.'!$BZ:$BZ,'Cronog. e Histog.'!CD:CD),"")</f>
        <v>0</v>
      </c>
      <c r="J33" s="144">
        <f>IFERROR(_xlfn.XLOOKUP($B33,'Cronog. e Histog.'!$BZ:$BZ,'Cronog. e Histog.'!CE:CE),"")</f>
        <v>0</v>
      </c>
      <c r="K33" s="144">
        <f>IFERROR(_xlfn.XLOOKUP($B33,'Cronog. e Histog.'!$BZ:$BZ,'Cronog. e Histog.'!CF:CF),"")</f>
        <v>0</v>
      </c>
      <c r="L33" s="144">
        <f>IFERROR(_xlfn.XLOOKUP($B33,'Cronog. e Histog.'!$BZ:$BZ,'Cronog. e Histog.'!CG:CG),"")</f>
        <v>0</v>
      </c>
      <c r="M33" s="144">
        <f>IFERROR(_xlfn.XLOOKUP($B33,'Cronog. e Histog.'!$BZ:$BZ,'Cronog. e Histog.'!CH:CH),"")</f>
        <v>0</v>
      </c>
      <c r="N33" s="144">
        <f>IFERROR(_xlfn.XLOOKUP($B33,'Cronog. e Histog.'!$BZ:$BZ,'Cronog. e Histog.'!CI:CI),"")</f>
        <v>0</v>
      </c>
      <c r="O33" s="144">
        <f>IFERROR(_xlfn.XLOOKUP($B33,'Cronog. e Histog.'!$BZ:$BZ,'Cronog. e Histog.'!CJ:CJ),"")</f>
        <v>0</v>
      </c>
      <c r="P33" s="144">
        <f>IFERROR(_xlfn.XLOOKUP($B33,'Cronog. e Histog.'!$BZ:$BZ,'Cronog. e Histog.'!CK:CK),"")</f>
        <v>0</v>
      </c>
      <c r="Q33" s="144">
        <f>IFERROR(_xlfn.XLOOKUP($B33,'Cronog. e Histog.'!$BZ:$BZ,'Cronog. e Histog.'!CL:CL),"")</f>
        <v>0</v>
      </c>
      <c r="R33" s="144">
        <f>IFERROR(_xlfn.XLOOKUP($B33,'Cronog. e Histog.'!$BZ:$BZ,'Cronog. e Histog.'!CM:CM),"")</f>
        <v>0</v>
      </c>
      <c r="S33" s="144">
        <f>IFERROR(_xlfn.XLOOKUP($B33,'Cronog. e Histog.'!$BZ:$BZ,'Cronog. e Histog.'!CN:CN),"")</f>
        <v>0</v>
      </c>
      <c r="T33" s="144">
        <f>IFERROR(_xlfn.XLOOKUP($B33,'Cronog. e Histog.'!$BZ:$BZ,'Cronog. e Histog.'!CO:CO),"")</f>
        <v>0</v>
      </c>
      <c r="U33" s="144">
        <f>IFERROR(_xlfn.XLOOKUP($B33,'Cronog. e Histog.'!$BZ:$BZ,'Cronog. e Histog.'!CP:CP),"")</f>
        <v>0</v>
      </c>
      <c r="V33" s="144">
        <f>IFERROR(_xlfn.XLOOKUP($B33,'Cronog. e Histog.'!$BZ:$BZ,'Cronog. e Histog.'!CQ:CQ),"")</f>
        <v>0</v>
      </c>
      <c r="W33" s="144">
        <f>IFERROR(_xlfn.XLOOKUP($B33,'Cronog. e Histog.'!$BZ:$BZ,'Cronog. e Histog.'!CR:CR),"")</f>
        <v>0</v>
      </c>
      <c r="X33" s="144">
        <f>IFERROR(_xlfn.XLOOKUP($B33,'Cronog. e Histog.'!$BZ:$BZ,'Cronog. e Histog.'!CS:CS),"")</f>
        <v>0</v>
      </c>
      <c r="Y33" s="144">
        <f>IFERROR(_xlfn.XLOOKUP($B33,'Cronog. e Histog.'!$BZ:$BZ,'Cronog. e Histog.'!CT:CT),"")</f>
        <v>0</v>
      </c>
      <c r="Z33" s="144">
        <f>IFERROR(_xlfn.XLOOKUP($B33,'Cronog. e Histog.'!$BZ:$BZ,'Cronog. e Histog.'!CU:CU),"")</f>
        <v>0</v>
      </c>
      <c r="AA33" s="144">
        <f>IFERROR(_xlfn.XLOOKUP($B33,'Cronog. e Histog.'!$BZ:$BZ,'Cronog. e Histog.'!CV:CV),"")</f>
        <v>0</v>
      </c>
      <c r="AB33" s="144">
        <f>IFERROR(_xlfn.XLOOKUP($B33,'Cronog. e Histog.'!$BZ:$BZ,'Cronog. e Histog.'!CW:CW),"")</f>
        <v>0</v>
      </c>
      <c r="AC33" s="144">
        <f>IFERROR(_xlfn.XLOOKUP($B33,'Cronog. e Histog.'!$BZ:$BZ,'Cronog. e Histog.'!CX:CX),"")</f>
        <v>0</v>
      </c>
      <c r="AD33" s="144">
        <f>IFERROR(_xlfn.XLOOKUP($B33,'Cronog. e Histog.'!$BZ:$BZ,'Cronog. e Histog.'!CY:CY),"")</f>
        <v>0</v>
      </c>
      <c r="AE33" s="144">
        <f>IFERROR(_xlfn.XLOOKUP($B33,'Cronog. e Histog.'!$BZ:$BZ,'Cronog. e Histog.'!CZ:CZ),"")</f>
        <v>0</v>
      </c>
      <c r="AF33" s="144">
        <f>IFERROR(_xlfn.XLOOKUP($B33,'Cronog. e Histog.'!$BZ:$BZ,'Cronog. e Histog.'!DA:DA),"")</f>
        <v>0</v>
      </c>
      <c r="AG33" s="144">
        <f>IFERROR(_xlfn.XLOOKUP($B33,'Cronog. e Histog.'!$BZ:$BZ,'Cronog. e Histog.'!DB:DB),"")</f>
        <v>0</v>
      </c>
      <c r="AH33" s="144">
        <f>IFERROR(_xlfn.XLOOKUP($B33,'Cronog. e Histog.'!$BZ:$BZ,'Cronog. e Histog.'!DC:DC),"")</f>
        <v>0</v>
      </c>
      <c r="AI33" s="144">
        <f>IFERROR(_xlfn.XLOOKUP($B33,'Cronog. e Histog.'!$BZ:$BZ,'Cronog. e Histog.'!DD:DD),"")</f>
        <v>0</v>
      </c>
      <c r="AJ33" s="144">
        <f>IFERROR(_xlfn.XLOOKUP($B33,'Cronog. e Histog.'!$BZ:$BZ,'Cronog. e Histog.'!DE:DE),"")</f>
        <v>0</v>
      </c>
      <c r="AK33" s="144">
        <f>IFERROR(_xlfn.XLOOKUP($B33,'Cronog. e Histog.'!$BZ:$BZ,'Cronog. e Histog.'!DF:DF),"")</f>
        <v>0</v>
      </c>
      <c r="AL33" s="144">
        <f>IFERROR(_xlfn.XLOOKUP($B33,'Cronog. e Histog.'!$BZ:$BZ,'Cronog. e Histog.'!DG:DG),"")</f>
        <v>0</v>
      </c>
      <c r="AM33" s="144">
        <f>IFERROR(_xlfn.XLOOKUP($B33,'Cronog. e Histog.'!$BZ:$BZ,'Cronog. e Histog.'!DH:DH),"")</f>
        <v>0</v>
      </c>
      <c r="AN33" s="144">
        <f>IFERROR(_xlfn.XLOOKUP($B33,'Cronog. e Histog.'!$BZ:$BZ,'Cronog. e Histog.'!DI:DI),"")</f>
        <v>0</v>
      </c>
      <c r="AO33" s="144">
        <f>IFERROR(_xlfn.XLOOKUP($B33,'Cronog. e Histog.'!$BZ:$BZ,'Cronog. e Histog.'!DJ:DJ),"")</f>
        <v>0</v>
      </c>
      <c r="AP33" s="144">
        <f>IFERROR(_xlfn.XLOOKUP($B33,'Cronog. e Histog.'!$BZ:$BZ,'Cronog. e Histog.'!DK:DK),"")</f>
        <v>0</v>
      </c>
      <c r="AQ33" s="144">
        <f>IFERROR(_xlfn.XLOOKUP($B33,'Cronog. e Histog.'!$BZ:$BZ,'Cronog. e Histog.'!DL:DL),"")</f>
        <v>0</v>
      </c>
      <c r="AR33" s="144">
        <f>IFERROR(_xlfn.XLOOKUP($B33,'Cronog. e Histog.'!$BZ:$BZ,'Cronog. e Histog.'!DM:DM),"")</f>
        <v>0</v>
      </c>
      <c r="AS33" s="144">
        <f>IFERROR(_xlfn.XLOOKUP($B33,'Cronog. e Histog.'!$BZ:$BZ,'Cronog. e Histog.'!DN:DN),"")</f>
        <v>0</v>
      </c>
      <c r="AT33" s="144">
        <f>IFERROR(_xlfn.XLOOKUP($B33,'Cronog. e Histog.'!$BZ:$BZ,'Cronog. e Histog.'!DO:DO),"")</f>
        <v>0</v>
      </c>
      <c r="AU33" s="144">
        <f>IFERROR(_xlfn.XLOOKUP($B33,'Cronog. e Histog.'!$BZ:$BZ,'Cronog. e Histog.'!DP:DP),"")</f>
        <v>0</v>
      </c>
      <c r="AV33" s="144">
        <f>IFERROR(_xlfn.XLOOKUP($B33,'Cronog. e Histog.'!$BZ:$BZ,'Cronog. e Histog.'!DQ:DQ),"")</f>
        <v>0</v>
      </c>
      <c r="AW33" s="144">
        <f>IFERROR(_xlfn.XLOOKUP($B33,'Cronog. e Histog.'!$BZ:$BZ,'Cronog. e Histog.'!DR:DR),"")</f>
        <v>0</v>
      </c>
      <c r="AX33" s="144">
        <f>IFERROR(_xlfn.XLOOKUP($B33,'Cronog. e Histog.'!$BZ:$BZ,'Cronog. e Histog.'!DS:DS),"")</f>
        <v>0</v>
      </c>
      <c r="AY33" s="144">
        <f>IFERROR(_xlfn.XLOOKUP($B33,'Cronog. e Histog.'!$BZ:$BZ,'Cronog. e Histog.'!DT:DT),"")</f>
        <v>0</v>
      </c>
      <c r="AZ33" s="144">
        <f>IFERROR(_xlfn.XLOOKUP($B33,'Cronog. e Histog.'!$BZ:$BZ,'Cronog. e Histog.'!DU:DU),"")</f>
        <v>0</v>
      </c>
      <c r="BA33" s="144">
        <f>IFERROR(_xlfn.XLOOKUP($B33,'Cronog. e Histog.'!$BZ:$BZ,'Cronog. e Histog.'!DV:DV),"")</f>
        <v>0</v>
      </c>
      <c r="BB33" s="144">
        <f>IFERROR(_xlfn.XLOOKUP($B33,'Cronog. e Histog.'!$BZ:$BZ,'Cronog. e Histog.'!DW:DW),"")</f>
        <v>0</v>
      </c>
      <c r="BC33" s="144">
        <f>IFERROR(_xlfn.XLOOKUP($B33,'Cronog. e Histog.'!$BZ:$BZ,'Cronog. e Histog.'!DX:DX),"")</f>
        <v>0</v>
      </c>
      <c r="BD33" s="144">
        <f>IFERROR(_xlfn.XLOOKUP($B33,'Cronog. e Histog.'!$BZ:$BZ,'Cronog. e Histog.'!DY:DY),"")</f>
        <v>0</v>
      </c>
      <c r="BE33" s="144">
        <f>IFERROR(_xlfn.XLOOKUP($B33,'Cronog. e Histog.'!$BZ:$BZ,'Cronog. e Histog.'!DZ:DZ),"")</f>
        <v>0</v>
      </c>
      <c r="BF33" s="144">
        <f>IFERROR(_xlfn.XLOOKUP($B33,'Cronog. e Histog.'!$BZ:$BZ,'Cronog. e Histog.'!EA:EA),"")</f>
        <v>0</v>
      </c>
      <c r="BG33" s="144">
        <f>IFERROR(_xlfn.XLOOKUP($B33,'Cronog. e Histog.'!$BZ:$BZ,'Cronog. e Histog.'!EB:EB),"")</f>
        <v>0</v>
      </c>
      <c r="BH33" s="144">
        <f>IFERROR(_xlfn.XLOOKUP($B33,'Cronog. e Histog.'!$BZ:$BZ,'Cronog. e Histog.'!EC:EC),"")</f>
        <v>0</v>
      </c>
      <c r="BI33" s="144">
        <f>IFERROR(_xlfn.XLOOKUP($B33,'Cronog. e Histog.'!$BZ:$BZ,'Cronog. e Histog.'!ED:ED),"")</f>
        <v>0</v>
      </c>
      <c r="BJ33" s="144">
        <f>IFERROR(_xlfn.XLOOKUP($B33,'Cronog. e Histog.'!$BZ:$BZ,'Cronog. e Histog.'!EE:EE),"")</f>
        <v>0</v>
      </c>
      <c r="BK33" s="144">
        <f>IFERROR(_xlfn.XLOOKUP($B33,'Cronog. e Histog.'!$BZ:$BZ,'Cronog. e Histog.'!EF:EF),"")</f>
        <v>0</v>
      </c>
      <c r="BL33" s="144">
        <f>IFERROR(_xlfn.XLOOKUP($B33,'Cronog. e Histog.'!$BZ:$BZ,'Cronog. e Histog.'!EG:EG),"")</f>
        <v>0</v>
      </c>
      <c r="BM33" s="144">
        <f>IFERROR(_xlfn.XLOOKUP($B33,'Cronog. e Histog.'!$BZ:$BZ,'Cronog. e Histog.'!EH:EH),"")</f>
        <v>0</v>
      </c>
      <c r="BN33" s="144">
        <f>IFERROR(_xlfn.XLOOKUP($B33,'Cronog. e Histog.'!$BZ:$BZ,'Cronog. e Histog.'!EI:EI),"")</f>
        <v>0</v>
      </c>
    </row>
    <row r="34" spans="2:66" ht="12" hidden="1" customHeight="1" outlineLevel="1">
      <c r="B34" s="76">
        <v>28</v>
      </c>
      <c r="C34" s="143" t="str">
        <f>IFERROR(VLOOKUP(B34,'Cronog. e Histog.'!$BZ$213:$CA$747,2,0),"")</f>
        <v>AN PL. ENG/ARQ</v>
      </c>
      <c r="D34" s="144">
        <f t="shared" si="0"/>
        <v>0</v>
      </c>
      <c r="E34" s="144">
        <f t="shared" si="1"/>
        <v>0</v>
      </c>
      <c r="F34" s="65"/>
      <c r="G34" s="144">
        <f>IFERROR(_xlfn.XLOOKUP($B34,'Cronog. e Histog.'!$BZ:$BZ,'Cronog. e Histog.'!CB:CB),"")</f>
        <v>0</v>
      </c>
      <c r="H34" s="144">
        <f>IFERROR(_xlfn.XLOOKUP($B34,'Cronog. e Histog.'!$BZ:$BZ,'Cronog. e Histog.'!CC:CC),"")</f>
        <v>0</v>
      </c>
      <c r="I34" s="144">
        <f>IFERROR(_xlfn.XLOOKUP($B34,'Cronog. e Histog.'!$BZ:$BZ,'Cronog. e Histog.'!CD:CD),"")</f>
        <v>0</v>
      </c>
      <c r="J34" s="144">
        <f>IFERROR(_xlfn.XLOOKUP($B34,'Cronog. e Histog.'!$BZ:$BZ,'Cronog. e Histog.'!CE:CE),"")</f>
        <v>0</v>
      </c>
      <c r="K34" s="144">
        <f>IFERROR(_xlfn.XLOOKUP($B34,'Cronog. e Histog.'!$BZ:$BZ,'Cronog. e Histog.'!CF:CF),"")</f>
        <v>0</v>
      </c>
      <c r="L34" s="144">
        <f>IFERROR(_xlfn.XLOOKUP($B34,'Cronog. e Histog.'!$BZ:$BZ,'Cronog. e Histog.'!CG:CG),"")</f>
        <v>0</v>
      </c>
      <c r="M34" s="144">
        <f>IFERROR(_xlfn.XLOOKUP($B34,'Cronog. e Histog.'!$BZ:$BZ,'Cronog. e Histog.'!CH:CH),"")</f>
        <v>0</v>
      </c>
      <c r="N34" s="144">
        <f>IFERROR(_xlfn.XLOOKUP($B34,'Cronog. e Histog.'!$BZ:$BZ,'Cronog. e Histog.'!CI:CI),"")</f>
        <v>0</v>
      </c>
      <c r="O34" s="144">
        <f>IFERROR(_xlfn.XLOOKUP($B34,'Cronog. e Histog.'!$BZ:$BZ,'Cronog. e Histog.'!CJ:CJ),"")</f>
        <v>0</v>
      </c>
      <c r="P34" s="144">
        <f>IFERROR(_xlfn.XLOOKUP($B34,'Cronog. e Histog.'!$BZ:$BZ,'Cronog. e Histog.'!CK:CK),"")</f>
        <v>0</v>
      </c>
      <c r="Q34" s="144">
        <f>IFERROR(_xlfn.XLOOKUP($B34,'Cronog. e Histog.'!$BZ:$BZ,'Cronog. e Histog.'!CL:CL),"")</f>
        <v>0</v>
      </c>
      <c r="R34" s="144">
        <f>IFERROR(_xlfn.XLOOKUP($B34,'Cronog. e Histog.'!$BZ:$BZ,'Cronog. e Histog.'!CM:CM),"")</f>
        <v>0</v>
      </c>
      <c r="S34" s="144">
        <f>IFERROR(_xlfn.XLOOKUP($B34,'Cronog. e Histog.'!$BZ:$BZ,'Cronog. e Histog.'!CN:CN),"")</f>
        <v>0</v>
      </c>
      <c r="T34" s="144">
        <f>IFERROR(_xlfn.XLOOKUP($B34,'Cronog. e Histog.'!$BZ:$BZ,'Cronog. e Histog.'!CO:CO),"")</f>
        <v>0</v>
      </c>
      <c r="U34" s="144">
        <f>IFERROR(_xlfn.XLOOKUP($B34,'Cronog. e Histog.'!$BZ:$BZ,'Cronog. e Histog.'!CP:CP),"")</f>
        <v>0</v>
      </c>
      <c r="V34" s="144">
        <f>IFERROR(_xlfn.XLOOKUP($B34,'Cronog. e Histog.'!$BZ:$BZ,'Cronog. e Histog.'!CQ:CQ),"")</f>
        <v>0</v>
      </c>
      <c r="W34" s="144">
        <f>IFERROR(_xlfn.XLOOKUP($B34,'Cronog. e Histog.'!$BZ:$BZ,'Cronog. e Histog.'!CR:CR),"")</f>
        <v>0</v>
      </c>
      <c r="X34" s="144">
        <f>IFERROR(_xlfn.XLOOKUP($B34,'Cronog. e Histog.'!$BZ:$BZ,'Cronog. e Histog.'!CS:CS),"")</f>
        <v>0</v>
      </c>
      <c r="Y34" s="144">
        <f>IFERROR(_xlfn.XLOOKUP($B34,'Cronog. e Histog.'!$BZ:$BZ,'Cronog. e Histog.'!CT:CT),"")</f>
        <v>0</v>
      </c>
      <c r="Z34" s="144">
        <f>IFERROR(_xlfn.XLOOKUP($B34,'Cronog. e Histog.'!$BZ:$BZ,'Cronog. e Histog.'!CU:CU),"")</f>
        <v>0</v>
      </c>
      <c r="AA34" s="144">
        <f>IFERROR(_xlfn.XLOOKUP($B34,'Cronog. e Histog.'!$BZ:$BZ,'Cronog. e Histog.'!CV:CV),"")</f>
        <v>0</v>
      </c>
      <c r="AB34" s="144">
        <f>IFERROR(_xlfn.XLOOKUP($B34,'Cronog. e Histog.'!$BZ:$BZ,'Cronog. e Histog.'!CW:CW),"")</f>
        <v>0</v>
      </c>
      <c r="AC34" s="144">
        <f>IFERROR(_xlfn.XLOOKUP($B34,'Cronog. e Histog.'!$BZ:$BZ,'Cronog. e Histog.'!CX:CX),"")</f>
        <v>0</v>
      </c>
      <c r="AD34" s="144">
        <f>IFERROR(_xlfn.XLOOKUP($B34,'Cronog. e Histog.'!$BZ:$BZ,'Cronog. e Histog.'!CY:CY),"")</f>
        <v>0</v>
      </c>
      <c r="AE34" s="144">
        <f>IFERROR(_xlfn.XLOOKUP($B34,'Cronog. e Histog.'!$BZ:$BZ,'Cronog. e Histog.'!CZ:CZ),"")</f>
        <v>0</v>
      </c>
      <c r="AF34" s="144">
        <f>IFERROR(_xlfn.XLOOKUP($B34,'Cronog. e Histog.'!$BZ:$BZ,'Cronog. e Histog.'!DA:DA),"")</f>
        <v>0</v>
      </c>
      <c r="AG34" s="144">
        <f>IFERROR(_xlfn.XLOOKUP($B34,'Cronog. e Histog.'!$BZ:$BZ,'Cronog. e Histog.'!DB:DB),"")</f>
        <v>0</v>
      </c>
      <c r="AH34" s="144">
        <f>IFERROR(_xlfn.XLOOKUP($B34,'Cronog. e Histog.'!$BZ:$BZ,'Cronog. e Histog.'!DC:DC),"")</f>
        <v>0</v>
      </c>
      <c r="AI34" s="144">
        <f>IFERROR(_xlfn.XLOOKUP($B34,'Cronog. e Histog.'!$BZ:$BZ,'Cronog. e Histog.'!DD:DD),"")</f>
        <v>0</v>
      </c>
      <c r="AJ34" s="144">
        <f>IFERROR(_xlfn.XLOOKUP($B34,'Cronog. e Histog.'!$BZ:$BZ,'Cronog. e Histog.'!DE:DE),"")</f>
        <v>0</v>
      </c>
      <c r="AK34" s="144">
        <f>IFERROR(_xlfn.XLOOKUP($B34,'Cronog. e Histog.'!$BZ:$BZ,'Cronog. e Histog.'!DF:DF),"")</f>
        <v>0</v>
      </c>
      <c r="AL34" s="144">
        <f>IFERROR(_xlfn.XLOOKUP($B34,'Cronog. e Histog.'!$BZ:$BZ,'Cronog. e Histog.'!DG:DG),"")</f>
        <v>0</v>
      </c>
      <c r="AM34" s="144">
        <f>IFERROR(_xlfn.XLOOKUP($B34,'Cronog. e Histog.'!$BZ:$BZ,'Cronog. e Histog.'!DH:DH),"")</f>
        <v>0</v>
      </c>
      <c r="AN34" s="144">
        <f>IFERROR(_xlfn.XLOOKUP($B34,'Cronog. e Histog.'!$BZ:$BZ,'Cronog. e Histog.'!DI:DI),"")</f>
        <v>0</v>
      </c>
      <c r="AO34" s="144">
        <f>IFERROR(_xlfn.XLOOKUP($B34,'Cronog. e Histog.'!$BZ:$BZ,'Cronog. e Histog.'!DJ:DJ),"")</f>
        <v>0</v>
      </c>
      <c r="AP34" s="144">
        <f>IFERROR(_xlfn.XLOOKUP($B34,'Cronog. e Histog.'!$BZ:$BZ,'Cronog. e Histog.'!DK:DK),"")</f>
        <v>0</v>
      </c>
      <c r="AQ34" s="144">
        <f>IFERROR(_xlfn.XLOOKUP($B34,'Cronog. e Histog.'!$BZ:$BZ,'Cronog. e Histog.'!DL:DL),"")</f>
        <v>0</v>
      </c>
      <c r="AR34" s="144">
        <f>IFERROR(_xlfn.XLOOKUP($B34,'Cronog. e Histog.'!$BZ:$BZ,'Cronog. e Histog.'!DM:DM),"")</f>
        <v>0</v>
      </c>
      <c r="AS34" s="144">
        <f>IFERROR(_xlfn.XLOOKUP($B34,'Cronog. e Histog.'!$BZ:$BZ,'Cronog. e Histog.'!DN:DN),"")</f>
        <v>0</v>
      </c>
      <c r="AT34" s="144">
        <f>IFERROR(_xlfn.XLOOKUP($B34,'Cronog. e Histog.'!$BZ:$BZ,'Cronog. e Histog.'!DO:DO),"")</f>
        <v>0</v>
      </c>
      <c r="AU34" s="144">
        <f>IFERROR(_xlfn.XLOOKUP($B34,'Cronog. e Histog.'!$BZ:$BZ,'Cronog. e Histog.'!DP:DP),"")</f>
        <v>0</v>
      </c>
      <c r="AV34" s="144">
        <f>IFERROR(_xlfn.XLOOKUP($B34,'Cronog. e Histog.'!$BZ:$BZ,'Cronog. e Histog.'!DQ:DQ),"")</f>
        <v>0</v>
      </c>
      <c r="AW34" s="144">
        <f>IFERROR(_xlfn.XLOOKUP($B34,'Cronog. e Histog.'!$BZ:$BZ,'Cronog. e Histog.'!DR:DR),"")</f>
        <v>0</v>
      </c>
      <c r="AX34" s="144">
        <f>IFERROR(_xlfn.XLOOKUP($B34,'Cronog. e Histog.'!$BZ:$BZ,'Cronog. e Histog.'!DS:DS),"")</f>
        <v>0</v>
      </c>
      <c r="AY34" s="144">
        <f>IFERROR(_xlfn.XLOOKUP($B34,'Cronog. e Histog.'!$BZ:$BZ,'Cronog. e Histog.'!DT:DT),"")</f>
        <v>0</v>
      </c>
      <c r="AZ34" s="144">
        <f>IFERROR(_xlfn.XLOOKUP($B34,'Cronog. e Histog.'!$BZ:$BZ,'Cronog. e Histog.'!DU:DU),"")</f>
        <v>0</v>
      </c>
      <c r="BA34" s="144">
        <f>IFERROR(_xlfn.XLOOKUP($B34,'Cronog. e Histog.'!$BZ:$BZ,'Cronog. e Histog.'!DV:DV),"")</f>
        <v>0</v>
      </c>
      <c r="BB34" s="144">
        <f>IFERROR(_xlfn.XLOOKUP($B34,'Cronog. e Histog.'!$BZ:$BZ,'Cronog. e Histog.'!DW:DW),"")</f>
        <v>0</v>
      </c>
      <c r="BC34" s="144">
        <f>IFERROR(_xlfn.XLOOKUP($B34,'Cronog. e Histog.'!$BZ:$BZ,'Cronog. e Histog.'!DX:DX),"")</f>
        <v>0</v>
      </c>
      <c r="BD34" s="144">
        <f>IFERROR(_xlfn.XLOOKUP($B34,'Cronog. e Histog.'!$BZ:$BZ,'Cronog. e Histog.'!DY:DY),"")</f>
        <v>0</v>
      </c>
      <c r="BE34" s="144">
        <f>IFERROR(_xlfn.XLOOKUP($B34,'Cronog. e Histog.'!$BZ:$BZ,'Cronog. e Histog.'!DZ:DZ),"")</f>
        <v>0</v>
      </c>
      <c r="BF34" s="144">
        <f>IFERROR(_xlfn.XLOOKUP($B34,'Cronog. e Histog.'!$BZ:$BZ,'Cronog. e Histog.'!EA:EA),"")</f>
        <v>0</v>
      </c>
      <c r="BG34" s="144">
        <f>IFERROR(_xlfn.XLOOKUP($B34,'Cronog. e Histog.'!$BZ:$BZ,'Cronog. e Histog.'!EB:EB),"")</f>
        <v>0</v>
      </c>
      <c r="BH34" s="144">
        <f>IFERROR(_xlfn.XLOOKUP($B34,'Cronog. e Histog.'!$BZ:$BZ,'Cronog. e Histog.'!EC:EC),"")</f>
        <v>0</v>
      </c>
      <c r="BI34" s="144">
        <f>IFERROR(_xlfn.XLOOKUP($B34,'Cronog. e Histog.'!$BZ:$BZ,'Cronog. e Histog.'!ED:ED),"")</f>
        <v>0</v>
      </c>
      <c r="BJ34" s="144">
        <f>IFERROR(_xlfn.XLOOKUP($B34,'Cronog. e Histog.'!$BZ:$BZ,'Cronog. e Histog.'!EE:EE),"")</f>
        <v>0</v>
      </c>
      <c r="BK34" s="144">
        <f>IFERROR(_xlfn.XLOOKUP($B34,'Cronog. e Histog.'!$BZ:$BZ,'Cronog. e Histog.'!EF:EF),"")</f>
        <v>0</v>
      </c>
      <c r="BL34" s="144">
        <f>IFERROR(_xlfn.XLOOKUP($B34,'Cronog. e Histog.'!$BZ:$BZ,'Cronog. e Histog.'!EG:EG),"")</f>
        <v>0</v>
      </c>
      <c r="BM34" s="144">
        <f>IFERROR(_xlfn.XLOOKUP($B34,'Cronog. e Histog.'!$BZ:$BZ,'Cronog. e Histog.'!EH:EH),"")</f>
        <v>0</v>
      </c>
      <c r="BN34" s="144">
        <f>IFERROR(_xlfn.XLOOKUP($B34,'Cronog. e Histog.'!$BZ:$BZ,'Cronog. e Histog.'!EI:EI),"")</f>
        <v>0</v>
      </c>
    </row>
    <row r="35" spans="2:66" ht="12" hidden="1" customHeight="1" outlineLevel="1">
      <c r="B35" s="76">
        <v>29</v>
      </c>
      <c r="C35" s="143" t="str">
        <f>IFERROR(VLOOKUP(B35,'Cronog. e Histog.'!$BZ$213:$CA$747,2,0),"")</f>
        <v>AN JR. ENG/ARQ</v>
      </c>
      <c r="D35" s="144">
        <f t="shared" si="0"/>
        <v>0</v>
      </c>
      <c r="E35" s="144">
        <f t="shared" si="1"/>
        <v>0</v>
      </c>
      <c r="F35" s="65"/>
      <c r="G35" s="144">
        <f>IFERROR(_xlfn.XLOOKUP($B35,'Cronog. e Histog.'!$BZ:$BZ,'Cronog. e Histog.'!CB:CB),"")</f>
        <v>0</v>
      </c>
      <c r="H35" s="144">
        <f>IFERROR(_xlfn.XLOOKUP($B35,'Cronog. e Histog.'!$BZ:$BZ,'Cronog. e Histog.'!CC:CC),"")</f>
        <v>0</v>
      </c>
      <c r="I35" s="144">
        <f>IFERROR(_xlfn.XLOOKUP($B35,'Cronog. e Histog.'!$BZ:$BZ,'Cronog. e Histog.'!CD:CD),"")</f>
        <v>0</v>
      </c>
      <c r="J35" s="144">
        <f>IFERROR(_xlfn.XLOOKUP($B35,'Cronog. e Histog.'!$BZ:$BZ,'Cronog. e Histog.'!CE:CE),"")</f>
        <v>0</v>
      </c>
      <c r="K35" s="144">
        <f>IFERROR(_xlfn.XLOOKUP($B35,'Cronog. e Histog.'!$BZ:$BZ,'Cronog. e Histog.'!CF:CF),"")</f>
        <v>0</v>
      </c>
      <c r="L35" s="144">
        <f>IFERROR(_xlfn.XLOOKUP($B35,'Cronog. e Histog.'!$BZ:$BZ,'Cronog. e Histog.'!CG:CG),"")</f>
        <v>0</v>
      </c>
      <c r="M35" s="144">
        <f>IFERROR(_xlfn.XLOOKUP($B35,'Cronog. e Histog.'!$BZ:$BZ,'Cronog. e Histog.'!CH:CH),"")</f>
        <v>0</v>
      </c>
      <c r="N35" s="144">
        <f>IFERROR(_xlfn.XLOOKUP($B35,'Cronog. e Histog.'!$BZ:$BZ,'Cronog. e Histog.'!CI:CI),"")</f>
        <v>0</v>
      </c>
      <c r="O35" s="144">
        <f>IFERROR(_xlfn.XLOOKUP($B35,'Cronog. e Histog.'!$BZ:$BZ,'Cronog. e Histog.'!CJ:CJ),"")</f>
        <v>0</v>
      </c>
      <c r="P35" s="144">
        <f>IFERROR(_xlfn.XLOOKUP($B35,'Cronog. e Histog.'!$BZ:$BZ,'Cronog. e Histog.'!CK:CK),"")</f>
        <v>0</v>
      </c>
      <c r="Q35" s="144">
        <f>IFERROR(_xlfn.XLOOKUP($B35,'Cronog. e Histog.'!$BZ:$BZ,'Cronog. e Histog.'!CL:CL),"")</f>
        <v>0</v>
      </c>
      <c r="R35" s="144">
        <f>IFERROR(_xlfn.XLOOKUP($B35,'Cronog. e Histog.'!$BZ:$BZ,'Cronog. e Histog.'!CM:CM),"")</f>
        <v>0</v>
      </c>
      <c r="S35" s="144">
        <f>IFERROR(_xlfn.XLOOKUP($B35,'Cronog. e Histog.'!$BZ:$BZ,'Cronog. e Histog.'!CN:CN),"")</f>
        <v>0</v>
      </c>
      <c r="T35" s="144">
        <f>IFERROR(_xlfn.XLOOKUP($B35,'Cronog. e Histog.'!$BZ:$BZ,'Cronog. e Histog.'!CO:CO),"")</f>
        <v>0</v>
      </c>
      <c r="U35" s="144">
        <f>IFERROR(_xlfn.XLOOKUP($B35,'Cronog. e Histog.'!$BZ:$BZ,'Cronog. e Histog.'!CP:CP),"")</f>
        <v>0</v>
      </c>
      <c r="V35" s="144">
        <f>IFERROR(_xlfn.XLOOKUP($B35,'Cronog. e Histog.'!$BZ:$BZ,'Cronog. e Histog.'!CQ:CQ),"")</f>
        <v>0</v>
      </c>
      <c r="W35" s="144">
        <f>IFERROR(_xlfn.XLOOKUP($B35,'Cronog. e Histog.'!$BZ:$BZ,'Cronog. e Histog.'!CR:CR),"")</f>
        <v>0</v>
      </c>
      <c r="X35" s="144">
        <f>IFERROR(_xlfn.XLOOKUP($B35,'Cronog. e Histog.'!$BZ:$BZ,'Cronog. e Histog.'!CS:CS),"")</f>
        <v>0</v>
      </c>
      <c r="Y35" s="144">
        <f>IFERROR(_xlfn.XLOOKUP($B35,'Cronog. e Histog.'!$BZ:$BZ,'Cronog. e Histog.'!CT:CT),"")</f>
        <v>0</v>
      </c>
      <c r="Z35" s="144">
        <f>IFERROR(_xlfn.XLOOKUP($B35,'Cronog. e Histog.'!$BZ:$BZ,'Cronog. e Histog.'!CU:CU),"")</f>
        <v>0</v>
      </c>
      <c r="AA35" s="144">
        <f>IFERROR(_xlfn.XLOOKUP($B35,'Cronog. e Histog.'!$BZ:$BZ,'Cronog. e Histog.'!CV:CV),"")</f>
        <v>0</v>
      </c>
      <c r="AB35" s="144">
        <f>IFERROR(_xlfn.XLOOKUP($B35,'Cronog. e Histog.'!$BZ:$BZ,'Cronog. e Histog.'!CW:CW),"")</f>
        <v>0</v>
      </c>
      <c r="AC35" s="144">
        <f>IFERROR(_xlfn.XLOOKUP($B35,'Cronog. e Histog.'!$BZ:$BZ,'Cronog. e Histog.'!CX:CX),"")</f>
        <v>0</v>
      </c>
      <c r="AD35" s="144">
        <f>IFERROR(_xlfn.XLOOKUP($B35,'Cronog. e Histog.'!$BZ:$BZ,'Cronog. e Histog.'!CY:CY),"")</f>
        <v>0</v>
      </c>
      <c r="AE35" s="144">
        <f>IFERROR(_xlfn.XLOOKUP($B35,'Cronog. e Histog.'!$BZ:$BZ,'Cronog. e Histog.'!CZ:CZ),"")</f>
        <v>0</v>
      </c>
      <c r="AF35" s="144">
        <f>IFERROR(_xlfn.XLOOKUP($B35,'Cronog. e Histog.'!$BZ:$BZ,'Cronog. e Histog.'!DA:DA),"")</f>
        <v>0</v>
      </c>
      <c r="AG35" s="144">
        <f>IFERROR(_xlfn.XLOOKUP($B35,'Cronog. e Histog.'!$BZ:$BZ,'Cronog. e Histog.'!DB:DB),"")</f>
        <v>0</v>
      </c>
      <c r="AH35" s="144">
        <f>IFERROR(_xlfn.XLOOKUP($B35,'Cronog. e Histog.'!$BZ:$BZ,'Cronog. e Histog.'!DC:DC),"")</f>
        <v>0</v>
      </c>
      <c r="AI35" s="144">
        <f>IFERROR(_xlfn.XLOOKUP($B35,'Cronog. e Histog.'!$BZ:$BZ,'Cronog. e Histog.'!DD:DD),"")</f>
        <v>0</v>
      </c>
      <c r="AJ35" s="144">
        <f>IFERROR(_xlfn.XLOOKUP($B35,'Cronog. e Histog.'!$BZ:$BZ,'Cronog. e Histog.'!DE:DE),"")</f>
        <v>0</v>
      </c>
      <c r="AK35" s="144">
        <f>IFERROR(_xlfn.XLOOKUP($B35,'Cronog. e Histog.'!$BZ:$BZ,'Cronog. e Histog.'!DF:DF),"")</f>
        <v>0</v>
      </c>
      <c r="AL35" s="144">
        <f>IFERROR(_xlfn.XLOOKUP($B35,'Cronog. e Histog.'!$BZ:$BZ,'Cronog. e Histog.'!DG:DG),"")</f>
        <v>0</v>
      </c>
      <c r="AM35" s="144">
        <f>IFERROR(_xlfn.XLOOKUP($B35,'Cronog. e Histog.'!$BZ:$BZ,'Cronog. e Histog.'!DH:DH),"")</f>
        <v>0</v>
      </c>
      <c r="AN35" s="144">
        <f>IFERROR(_xlfn.XLOOKUP($B35,'Cronog. e Histog.'!$BZ:$BZ,'Cronog. e Histog.'!DI:DI),"")</f>
        <v>0</v>
      </c>
      <c r="AO35" s="144">
        <f>IFERROR(_xlfn.XLOOKUP($B35,'Cronog. e Histog.'!$BZ:$BZ,'Cronog. e Histog.'!DJ:DJ),"")</f>
        <v>0</v>
      </c>
      <c r="AP35" s="144">
        <f>IFERROR(_xlfn.XLOOKUP($B35,'Cronog. e Histog.'!$BZ:$BZ,'Cronog. e Histog.'!DK:DK),"")</f>
        <v>0</v>
      </c>
      <c r="AQ35" s="144">
        <f>IFERROR(_xlfn.XLOOKUP($B35,'Cronog. e Histog.'!$BZ:$BZ,'Cronog. e Histog.'!DL:DL),"")</f>
        <v>0</v>
      </c>
      <c r="AR35" s="144">
        <f>IFERROR(_xlfn.XLOOKUP($B35,'Cronog. e Histog.'!$BZ:$BZ,'Cronog. e Histog.'!DM:DM),"")</f>
        <v>0</v>
      </c>
      <c r="AS35" s="144">
        <f>IFERROR(_xlfn.XLOOKUP($B35,'Cronog. e Histog.'!$BZ:$BZ,'Cronog. e Histog.'!DN:DN),"")</f>
        <v>0</v>
      </c>
      <c r="AT35" s="144">
        <f>IFERROR(_xlfn.XLOOKUP($B35,'Cronog. e Histog.'!$BZ:$BZ,'Cronog. e Histog.'!DO:DO),"")</f>
        <v>0</v>
      </c>
      <c r="AU35" s="144">
        <f>IFERROR(_xlfn.XLOOKUP($B35,'Cronog. e Histog.'!$BZ:$BZ,'Cronog. e Histog.'!DP:DP),"")</f>
        <v>0</v>
      </c>
      <c r="AV35" s="144">
        <f>IFERROR(_xlfn.XLOOKUP($B35,'Cronog. e Histog.'!$BZ:$BZ,'Cronog. e Histog.'!DQ:DQ),"")</f>
        <v>0</v>
      </c>
      <c r="AW35" s="144">
        <f>IFERROR(_xlfn.XLOOKUP($B35,'Cronog. e Histog.'!$BZ:$BZ,'Cronog. e Histog.'!DR:DR),"")</f>
        <v>0</v>
      </c>
      <c r="AX35" s="144">
        <f>IFERROR(_xlfn.XLOOKUP($B35,'Cronog. e Histog.'!$BZ:$BZ,'Cronog. e Histog.'!DS:DS),"")</f>
        <v>0</v>
      </c>
      <c r="AY35" s="144">
        <f>IFERROR(_xlfn.XLOOKUP($B35,'Cronog. e Histog.'!$BZ:$BZ,'Cronog. e Histog.'!DT:DT),"")</f>
        <v>0</v>
      </c>
      <c r="AZ35" s="144">
        <f>IFERROR(_xlfn.XLOOKUP($B35,'Cronog. e Histog.'!$BZ:$BZ,'Cronog. e Histog.'!DU:DU),"")</f>
        <v>0</v>
      </c>
      <c r="BA35" s="144">
        <f>IFERROR(_xlfn.XLOOKUP($B35,'Cronog. e Histog.'!$BZ:$BZ,'Cronog. e Histog.'!DV:DV),"")</f>
        <v>0</v>
      </c>
      <c r="BB35" s="144">
        <f>IFERROR(_xlfn.XLOOKUP($B35,'Cronog. e Histog.'!$BZ:$BZ,'Cronog. e Histog.'!DW:DW),"")</f>
        <v>0</v>
      </c>
      <c r="BC35" s="144">
        <f>IFERROR(_xlfn.XLOOKUP($B35,'Cronog. e Histog.'!$BZ:$BZ,'Cronog. e Histog.'!DX:DX),"")</f>
        <v>0</v>
      </c>
      <c r="BD35" s="144">
        <f>IFERROR(_xlfn.XLOOKUP($B35,'Cronog. e Histog.'!$BZ:$BZ,'Cronog. e Histog.'!DY:DY),"")</f>
        <v>0</v>
      </c>
      <c r="BE35" s="144">
        <f>IFERROR(_xlfn.XLOOKUP($B35,'Cronog. e Histog.'!$BZ:$BZ,'Cronog. e Histog.'!DZ:DZ),"")</f>
        <v>0</v>
      </c>
      <c r="BF35" s="144">
        <f>IFERROR(_xlfn.XLOOKUP($B35,'Cronog. e Histog.'!$BZ:$BZ,'Cronog. e Histog.'!EA:EA),"")</f>
        <v>0</v>
      </c>
      <c r="BG35" s="144">
        <f>IFERROR(_xlfn.XLOOKUP($B35,'Cronog. e Histog.'!$BZ:$BZ,'Cronog. e Histog.'!EB:EB),"")</f>
        <v>0</v>
      </c>
      <c r="BH35" s="144">
        <f>IFERROR(_xlfn.XLOOKUP($B35,'Cronog. e Histog.'!$BZ:$BZ,'Cronog. e Histog.'!EC:EC),"")</f>
        <v>0</v>
      </c>
      <c r="BI35" s="144">
        <f>IFERROR(_xlfn.XLOOKUP($B35,'Cronog. e Histog.'!$BZ:$BZ,'Cronog. e Histog.'!ED:ED),"")</f>
        <v>0</v>
      </c>
      <c r="BJ35" s="144">
        <f>IFERROR(_xlfn.XLOOKUP($B35,'Cronog. e Histog.'!$BZ:$BZ,'Cronog. e Histog.'!EE:EE),"")</f>
        <v>0</v>
      </c>
      <c r="BK35" s="144">
        <f>IFERROR(_xlfn.XLOOKUP($B35,'Cronog. e Histog.'!$BZ:$BZ,'Cronog. e Histog.'!EF:EF),"")</f>
        <v>0</v>
      </c>
      <c r="BL35" s="144">
        <f>IFERROR(_xlfn.XLOOKUP($B35,'Cronog. e Histog.'!$BZ:$BZ,'Cronog. e Histog.'!EG:EG),"")</f>
        <v>0</v>
      </c>
      <c r="BM35" s="144">
        <f>IFERROR(_xlfn.XLOOKUP($B35,'Cronog. e Histog.'!$BZ:$BZ,'Cronog. e Histog.'!EH:EH),"")</f>
        <v>0</v>
      </c>
      <c r="BN35" s="144">
        <f>IFERROR(_xlfn.XLOOKUP($B35,'Cronog. e Histog.'!$BZ:$BZ,'Cronog. e Histog.'!EI:EI),"")</f>
        <v>0</v>
      </c>
    </row>
    <row r="36" spans="2:66" ht="12" hidden="1" customHeight="1" outlineLevel="1">
      <c r="B36" s="76">
        <v>30</v>
      </c>
      <c r="C36" s="143" t="str">
        <f>IFERROR(VLOOKUP(B36,'Cronog. e Histog.'!$BZ$213:$CA$747,2,0),"")</f>
        <v>AN SR. ADM/CRP</v>
      </c>
      <c r="D36" s="144">
        <f t="shared" si="0"/>
        <v>0</v>
      </c>
      <c r="E36" s="144">
        <f t="shared" si="1"/>
        <v>0</v>
      </c>
      <c r="F36" s="65"/>
      <c r="G36" s="144">
        <f>IFERROR(_xlfn.XLOOKUP($B36,'Cronog. e Histog.'!$BZ:$BZ,'Cronog. e Histog.'!CB:CB),"")</f>
        <v>0</v>
      </c>
      <c r="H36" s="144">
        <f>IFERROR(_xlfn.XLOOKUP($B36,'Cronog. e Histog.'!$BZ:$BZ,'Cronog. e Histog.'!CC:CC),"")</f>
        <v>0</v>
      </c>
      <c r="I36" s="144">
        <f>IFERROR(_xlfn.XLOOKUP($B36,'Cronog. e Histog.'!$BZ:$BZ,'Cronog. e Histog.'!CD:CD),"")</f>
        <v>0</v>
      </c>
      <c r="J36" s="144">
        <f>IFERROR(_xlfn.XLOOKUP($B36,'Cronog. e Histog.'!$BZ:$BZ,'Cronog. e Histog.'!CE:CE),"")</f>
        <v>0</v>
      </c>
      <c r="K36" s="144">
        <f>IFERROR(_xlfn.XLOOKUP($B36,'Cronog. e Histog.'!$BZ:$BZ,'Cronog. e Histog.'!CF:CF),"")</f>
        <v>0</v>
      </c>
      <c r="L36" s="144">
        <f>IFERROR(_xlfn.XLOOKUP($B36,'Cronog. e Histog.'!$BZ:$BZ,'Cronog. e Histog.'!CG:CG),"")</f>
        <v>0</v>
      </c>
      <c r="M36" s="144">
        <f>IFERROR(_xlfn.XLOOKUP($B36,'Cronog. e Histog.'!$BZ:$BZ,'Cronog. e Histog.'!CH:CH),"")</f>
        <v>0</v>
      </c>
      <c r="N36" s="144">
        <f>IFERROR(_xlfn.XLOOKUP($B36,'Cronog. e Histog.'!$BZ:$BZ,'Cronog. e Histog.'!CI:CI),"")</f>
        <v>0</v>
      </c>
      <c r="O36" s="144">
        <f>IFERROR(_xlfn.XLOOKUP($B36,'Cronog. e Histog.'!$BZ:$BZ,'Cronog. e Histog.'!CJ:CJ),"")</f>
        <v>0</v>
      </c>
      <c r="P36" s="144">
        <f>IFERROR(_xlfn.XLOOKUP($B36,'Cronog. e Histog.'!$BZ:$BZ,'Cronog. e Histog.'!CK:CK),"")</f>
        <v>0</v>
      </c>
      <c r="Q36" s="144">
        <f>IFERROR(_xlfn.XLOOKUP($B36,'Cronog. e Histog.'!$BZ:$BZ,'Cronog. e Histog.'!CL:CL),"")</f>
        <v>0</v>
      </c>
      <c r="R36" s="144">
        <f>IFERROR(_xlfn.XLOOKUP($B36,'Cronog. e Histog.'!$BZ:$BZ,'Cronog. e Histog.'!CM:CM),"")</f>
        <v>0</v>
      </c>
      <c r="S36" s="144">
        <f>IFERROR(_xlfn.XLOOKUP($B36,'Cronog. e Histog.'!$BZ:$BZ,'Cronog. e Histog.'!CN:CN),"")</f>
        <v>0</v>
      </c>
      <c r="T36" s="144">
        <f>IFERROR(_xlfn.XLOOKUP($B36,'Cronog. e Histog.'!$BZ:$BZ,'Cronog. e Histog.'!CO:CO),"")</f>
        <v>0</v>
      </c>
      <c r="U36" s="144">
        <f>IFERROR(_xlfn.XLOOKUP($B36,'Cronog. e Histog.'!$BZ:$BZ,'Cronog. e Histog.'!CP:CP),"")</f>
        <v>0</v>
      </c>
      <c r="V36" s="144">
        <f>IFERROR(_xlfn.XLOOKUP($B36,'Cronog. e Histog.'!$BZ:$BZ,'Cronog. e Histog.'!CQ:CQ),"")</f>
        <v>0</v>
      </c>
      <c r="W36" s="144">
        <f>IFERROR(_xlfn.XLOOKUP($B36,'Cronog. e Histog.'!$BZ:$BZ,'Cronog. e Histog.'!CR:CR),"")</f>
        <v>0</v>
      </c>
      <c r="X36" s="144">
        <f>IFERROR(_xlfn.XLOOKUP($B36,'Cronog. e Histog.'!$BZ:$BZ,'Cronog. e Histog.'!CS:CS),"")</f>
        <v>0</v>
      </c>
      <c r="Y36" s="144">
        <f>IFERROR(_xlfn.XLOOKUP($B36,'Cronog. e Histog.'!$BZ:$BZ,'Cronog. e Histog.'!CT:CT),"")</f>
        <v>0</v>
      </c>
      <c r="Z36" s="144">
        <f>IFERROR(_xlfn.XLOOKUP($B36,'Cronog. e Histog.'!$BZ:$BZ,'Cronog. e Histog.'!CU:CU),"")</f>
        <v>0</v>
      </c>
      <c r="AA36" s="144">
        <f>IFERROR(_xlfn.XLOOKUP($B36,'Cronog. e Histog.'!$BZ:$BZ,'Cronog. e Histog.'!CV:CV),"")</f>
        <v>0</v>
      </c>
      <c r="AB36" s="144">
        <f>IFERROR(_xlfn.XLOOKUP($B36,'Cronog. e Histog.'!$BZ:$BZ,'Cronog. e Histog.'!CW:CW),"")</f>
        <v>0</v>
      </c>
      <c r="AC36" s="144">
        <f>IFERROR(_xlfn.XLOOKUP($B36,'Cronog. e Histog.'!$BZ:$BZ,'Cronog. e Histog.'!CX:CX),"")</f>
        <v>0</v>
      </c>
      <c r="AD36" s="144">
        <f>IFERROR(_xlfn.XLOOKUP($B36,'Cronog. e Histog.'!$BZ:$BZ,'Cronog. e Histog.'!CY:CY),"")</f>
        <v>0</v>
      </c>
      <c r="AE36" s="144">
        <f>IFERROR(_xlfn.XLOOKUP($B36,'Cronog. e Histog.'!$BZ:$BZ,'Cronog. e Histog.'!CZ:CZ),"")</f>
        <v>0</v>
      </c>
      <c r="AF36" s="144">
        <f>IFERROR(_xlfn.XLOOKUP($B36,'Cronog. e Histog.'!$BZ:$BZ,'Cronog. e Histog.'!DA:DA),"")</f>
        <v>0</v>
      </c>
      <c r="AG36" s="144">
        <f>IFERROR(_xlfn.XLOOKUP($B36,'Cronog. e Histog.'!$BZ:$BZ,'Cronog. e Histog.'!DB:DB),"")</f>
        <v>0</v>
      </c>
      <c r="AH36" s="144">
        <f>IFERROR(_xlfn.XLOOKUP($B36,'Cronog. e Histog.'!$BZ:$BZ,'Cronog. e Histog.'!DC:DC),"")</f>
        <v>0</v>
      </c>
      <c r="AI36" s="144">
        <f>IFERROR(_xlfn.XLOOKUP($B36,'Cronog. e Histog.'!$BZ:$BZ,'Cronog. e Histog.'!DD:DD),"")</f>
        <v>0</v>
      </c>
      <c r="AJ36" s="144">
        <f>IFERROR(_xlfn.XLOOKUP($B36,'Cronog. e Histog.'!$BZ:$BZ,'Cronog. e Histog.'!DE:DE),"")</f>
        <v>0</v>
      </c>
      <c r="AK36" s="144">
        <f>IFERROR(_xlfn.XLOOKUP($B36,'Cronog. e Histog.'!$BZ:$BZ,'Cronog. e Histog.'!DF:DF),"")</f>
        <v>0</v>
      </c>
      <c r="AL36" s="144">
        <f>IFERROR(_xlfn.XLOOKUP($B36,'Cronog. e Histog.'!$BZ:$BZ,'Cronog. e Histog.'!DG:DG),"")</f>
        <v>0</v>
      </c>
      <c r="AM36" s="144">
        <f>IFERROR(_xlfn.XLOOKUP($B36,'Cronog. e Histog.'!$BZ:$BZ,'Cronog. e Histog.'!DH:DH),"")</f>
        <v>0</v>
      </c>
      <c r="AN36" s="144">
        <f>IFERROR(_xlfn.XLOOKUP($B36,'Cronog. e Histog.'!$BZ:$BZ,'Cronog. e Histog.'!DI:DI),"")</f>
        <v>0</v>
      </c>
      <c r="AO36" s="144">
        <f>IFERROR(_xlfn.XLOOKUP($B36,'Cronog. e Histog.'!$BZ:$BZ,'Cronog. e Histog.'!DJ:DJ),"")</f>
        <v>0</v>
      </c>
      <c r="AP36" s="144">
        <f>IFERROR(_xlfn.XLOOKUP($B36,'Cronog. e Histog.'!$BZ:$BZ,'Cronog. e Histog.'!DK:DK),"")</f>
        <v>0</v>
      </c>
      <c r="AQ36" s="144">
        <f>IFERROR(_xlfn.XLOOKUP($B36,'Cronog. e Histog.'!$BZ:$BZ,'Cronog. e Histog.'!DL:DL),"")</f>
        <v>0</v>
      </c>
      <c r="AR36" s="144">
        <f>IFERROR(_xlfn.XLOOKUP($B36,'Cronog. e Histog.'!$BZ:$BZ,'Cronog. e Histog.'!DM:DM),"")</f>
        <v>0</v>
      </c>
      <c r="AS36" s="144">
        <f>IFERROR(_xlfn.XLOOKUP($B36,'Cronog. e Histog.'!$BZ:$BZ,'Cronog. e Histog.'!DN:DN),"")</f>
        <v>0</v>
      </c>
      <c r="AT36" s="144">
        <f>IFERROR(_xlfn.XLOOKUP($B36,'Cronog. e Histog.'!$BZ:$BZ,'Cronog. e Histog.'!DO:DO),"")</f>
        <v>0</v>
      </c>
      <c r="AU36" s="144">
        <f>IFERROR(_xlfn.XLOOKUP($B36,'Cronog. e Histog.'!$BZ:$BZ,'Cronog. e Histog.'!DP:DP),"")</f>
        <v>0</v>
      </c>
      <c r="AV36" s="144">
        <f>IFERROR(_xlfn.XLOOKUP($B36,'Cronog. e Histog.'!$BZ:$BZ,'Cronog. e Histog.'!DQ:DQ),"")</f>
        <v>0</v>
      </c>
      <c r="AW36" s="144">
        <f>IFERROR(_xlfn.XLOOKUP($B36,'Cronog. e Histog.'!$BZ:$BZ,'Cronog. e Histog.'!DR:DR),"")</f>
        <v>0</v>
      </c>
      <c r="AX36" s="144">
        <f>IFERROR(_xlfn.XLOOKUP($B36,'Cronog. e Histog.'!$BZ:$BZ,'Cronog. e Histog.'!DS:DS),"")</f>
        <v>0</v>
      </c>
      <c r="AY36" s="144">
        <f>IFERROR(_xlfn.XLOOKUP($B36,'Cronog. e Histog.'!$BZ:$BZ,'Cronog. e Histog.'!DT:DT),"")</f>
        <v>0</v>
      </c>
      <c r="AZ36" s="144">
        <f>IFERROR(_xlfn.XLOOKUP($B36,'Cronog. e Histog.'!$BZ:$BZ,'Cronog. e Histog.'!DU:DU),"")</f>
        <v>0</v>
      </c>
      <c r="BA36" s="144">
        <f>IFERROR(_xlfn.XLOOKUP($B36,'Cronog. e Histog.'!$BZ:$BZ,'Cronog. e Histog.'!DV:DV),"")</f>
        <v>0</v>
      </c>
      <c r="BB36" s="144">
        <f>IFERROR(_xlfn.XLOOKUP($B36,'Cronog. e Histog.'!$BZ:$BZ,'Cronog. e Histog.'!DW:DW),"")</f>
        <v>0</v>
      </c>
      <c r="BC36" s="144">
        <f>IFERROR(_xlfn.XLOOKUP($B36,'Cronog. e Histog.'!$BZ:$BZ,'Cronog. e Histog.'!DX:DX),"")</f>
        <v>0</v>
      </c>
      <c r="BD36" s="144">
        <f>IFERROR(_xlfn.XLOOKUP($B36,'Cronog. e Histog.'!$BZ:$BZ,'Cronog. e Histog.'!DY:DY),"")</f>
        <v>0</v>
      </c>
      <c r="BE36" s="144">
        <f>IFERROR(_xlfn.XLOOKUP($B36,'Cronog. e Histog.'!$BZ:$BZ,'Cronog. e Histog.'!DZ:DZ),"")</f>
        <v>0</v>
      </c>
      <c r="BF36" s="144">
        <f>IFERROR(_xlfn.XLOOKUP($B36,'Cronog. e Histog.'!$BZ:$BZ,'Cronog. e Histog.'!EA:EA),"")</f>
        <v>0</v>
      </c>
      <c r="BG36" s="144">
        <f>IFERROR(_xlfn.XLOOKUP($B36,'Cronog. e Histog.'!$BZ:$BZ,'Cronog. e Histog.'!EB:EB),"")</f>
        <v>0</v>
      </c>
      <c r="BH36" s="144">
        <f>IFERROR(_xlfn.XLOOKUP($B36,'Cronog. e Histog.'!$BZ:$BZ,'Cronog. e Histog.'!EC:EC),"")</f>
        <v>0</v>
      </c>
      <c r="BI36" s="144">
        <f>IFERROR(_xlfn.XLOOKUP($B36,'Cronog. e Histog.'!$BZ:$BZ,'Cronog. e Histog.'!ED:ED),"")</f>
        <v>0</v>
      </c>
      <c r="BJ36" s="144">
        <f>IFERROR(_xlfn.XLOOKUP($B36,'Cronog. e Histog.'!$BZ:$BZ,'Cronog. e Histog.'!EE:EE),"")</f>
        <v>0</v>
      </c>
      <c r="BK36" s="144">
        <f>IFERROR(_xlfn.XLOOKUP($B36,'Cronog. e Histog.'!$BZ:$BZ,'Cronog. e Histog.'!EF:EF),"")</f>
        <v>0</v>
      </c>
      <c r="BL36" s="144">
        <f>IFERROR(_xlfn.XLOOKUP($B36,'Cronog. e Histog.'!$BZ:$BZ,'Cronog. e Histog.'!EG:EG),"")</f>
        <v>0</v>
      </c>
      <c r="BM36" s="144">
        <f>IFERROR(_xlfn.XLOOKUP($B36,'Cronog. e Histog.'!$BZ:$BZ,'Cronog. e Histog.'!EH:EH),"")</f>
        <v>0</v>
      </c>
      <c r="BN36" s="144">
        <f>IFERROR(_xlfn.XLOOKUP($B36,'Cronog. e Histog.'!$BZ:$BZ,'Cronog. e Histog.'!EI:EI),"")</f>
        <v>0</v>
      </c>
    </row>
    <row r="37" spans="2:66" ht="12" hidden="1" customHeight="1" outlineLevel="1">
      <c r="B37" s="76">
        <v>31</v>
      </c>
      <c r="C37" s="143" t="str">
        <f>IFERROR(VLOOKUP(B37,'Cronog. e Histog.'!$BZ$213:$CA$747,2,0),"")</f>
        <v>AN PL. ADM/CRP</v>
      </c>
      <c r="D37" s="144">
        <f t="shared" si="0"/>
        <v>0</v>
      </c>
      <c r="E37" s="144">
        <f t="shared" si="1"/>
        <v>0</v>
      </c>
      <c r="F37" s="65"/>
      <c r="G37" s="144">
        <f>IFERROR(_xlfn.XLOOKUP($B37,'Cronog. e Histog.'!$BZ:$BZ,'Cronog. e Histog.'!CB:CB),"")</f>
        <v>0</v>
      </c>
      <c r="H37" s="144">
        <f>IFERROR(_xlfn.XLOOKUP($B37,'Cronog. e Histog.'!$BZ:$BZ,'Cronog. e Histog.'!CC:CC),"")</f>
        <v>0</v>
      </c>
      <c r="I37" s="144">
        <f>IFERROR(_xlfn.XLOOKUP($B37,'Cronog. e Histog.'!$BZ:$BZ,'Cronog. e Histog.'!CD:CD),"")</f>
        <v>0</v>
      </c>
      <c r="J37" s="144">
        <f>IFERROR(_xlfn.XLOOKUP($B37,'Cronog. e Histog.'!$BZ:$BZ,'Cronog. e Histog.'!CE:CE),"")</f>
        <v>0</v>
      </c>
      <c r="K37" s="144">
        <f>IFERROR(_xlfn.XLOOKUP($B37,'Cronog. e Histog.'!$BZ:$BZ,'Cronog. e Histog.'!CF:CF),"")</f>
        <v>0</v>
      </c>
      <c r="L37" s="144">
        <f>IFERROR(_xlfn.XLOOKUP($B37,'Cronog. e Histog.'!$BZ:$BZ,'Cronog. e Histog.'!CG:CG),"")</f>
        <v>0</v>
      </c>
      <c r="M37" s="144">
        <f>IFERROR(_xlfn.XLOOKUP($B37,'Cronog. e Histog.'!$BZ:$BZ,'Cronog. e Histog.'!CH:CH),"")</f>
        <v>0</v>
      </c>
      <c r="N37" s="144">
        <f>IFERROR(_xlfn.XLOOKUP($B37,'Cronog. e Histog.'!$BZ:$BZ,'Cronog. e Histog.'!CI:CI),"")</f>
        <v>0</v>
      </c>
      <c r="O37" s="144">
        <f>IFERROR(_xlfn.XLOOKUP($B37,'Cronog. e Histog.'!$BZ:$BZ,'Cronog. e Histog.'!CJ:CJ),"")</f>
        <v>0</v>
      </c>
      <c r="P37" s="144">
        <f>IFERROR(_xlfn.XLOOKUP($B37,'Cronog. e Histog.'!$BZ:$BZ,'Cronog. e Histog.'!CK:CK),"")</f>
        <v>0</v>
      </c>
      <c r="Q37" s="144">
        <f>IFERROR(_xlfn.XLOOKUP($B37,'Cronog. e Histog.'!$BZ:$BZ,'Cronog. e Histog.'!CL:CL),"")</f>
        <v>0</v>
      </c>
      <c r="R37" s="144">
        <f>IFERROR(_xlfn.XLOOKUP($B37,'Cronog. e Histog.'!$BZ:$BZ,'Cronog. e Histog.'!CM:CM),"")</f>
        <v>0</v>
      </c>
      <c r="S37" s="144">
        <f>IFERROR(_xlfn.XLOOKUP($B37,'Cronog. e Histog.'!$BZ:$BZ,'Cronog. e Histog.'!CN:CN),"")</f>
        <v>0</v>
      </c>
      <c r="T37" s="144">
        <f>IFERROR(_xlfn.XLOOKUP($B37,'Cronog. e Histog.'!$BZ:$BZ,'Cronog. e Histog.'!CO:CO),"")</f>
        <v>0</v>
      </c>
      <c r="U37" s="144">
        <f>IFERROR(_xlfn.XLOOKUP($B37,'Cronog. e Histog.'!$BZ:$BZ,'Cronog. e Histog.'!CP:CP),"")</f>
        <v>0</v>
      </c>
      <c r="V37" s="144">
        <f>IFERROR(_xlfn.XLOOKUP($B37,'Cronog. e Histog.'!$BZ:$BZ,'Cronog. e Histog.'!CQ:CQ),"")</f>
        <v>0</v>
      </c>
      <c r="W37" s="144">
        <f>IFERROR(_xlfn.XLOOKUP($B37,'Cronog. e Histog.'!$BZ:$BZ,'Cronog. e Histog.'!CR:CR),"")</f>
        <v>0</v>
      </c>
      <c r="X37" s="144">
        <f>IFERROR(_xlfn.XLOOKUP($B37,'Cronog. e Histog.'!$BZ:$BZ,'Cronog. e Histog.'!CS:CS),"")</f>
        <v>0</v>
      </c>
      <c r="Y37" s="144">
        <f>IFERROR(_xlfn.XLOOKUP($B37,'Cronog. e Histog.'!$BZ:$BZ,'Cronog. e Histog.'!CT:CT),"")</f>
        <v>0</v>
      </c>
      <c r="Z37" s="144">
        <f>IFERROR(_xlfn.XLOOKUP($B37,'Cronog. e Histog.'!$BZ:$BZ,'Cronog. e Histog.'!CU:CU),"")</f>
        <v>0</v>
      </c>
      <c r="AA37" s="144">
        <f>IFERROR(_xlfn.XLOOKUP($B37,'Cronog. e Histog.'!$BZ:$BZ,'Cronog. e Histog.'!CV:CV),"")</f>
        <v>0</v>
      </c>
      <c r="AB37" s="144">
        <f>IFERROR(_xlfn.XLOOKUP($B37,'Cronog. e Histog.'!$BZ:$BZ,'Cronog. e Histog.'!CW:CW),"")</f>
        <v>0</v>
      </c>
      <c r="AC37" s="144">
        <f>IFERROR(_xlfn.XLOOKUP($B37,'Cronog. e Histog.'!$BZ:$BZ,'Cronog. e Histog.'!CX:CX),"")</f>
        <v>0</v>
      </c>
      <c r="AD37" s="144">
        <f>IFERROR(_xlfn.XLOOKUP($B37,'Cronog. e Histog.'!$BZ:$BZ,'Cronog. e Histog.'!CY:CY),"")</f>
        <v>0</v>
      </c>
      <c r="AE37" s="144">
        <f>IFERROR(_xlfn.XLOOKUP($B37,'Cronog. e Histog.'!$BZ:$BZ,'Cronog. e Histog.'!CZ:CZ),"")</f>
        <v>0</v>
      </c>
      <c r="AF37" s="144">
        <f>IFERROR(_xlfn.XLOOKUP($B37,'Cronog. e Histog.'!$BZ:$BZ,'Cronog. e Histog.'!DA:DA),"")</f>
        <v>0</v>
      </c>
      <c r="AG37" s="144">
        <f>IFERROR(_xlfn.XLOOKUP($B37,'Cronog. e Histog.'!$BZ:$BZ,'Cronog. e Histog.'!DB:DB),"")</f>
        <v>0</v>
      </c>
      <c r="AH37" s="144">
        <f>IFERROR(_xlfn.XLOOKUP($B37,'Cronog. e Histog.'!$BZ:$BZ,'Cronog. e Histog.'!DC:DC),"")</f>
        <v>0</v>
      </c>
      <c r="AI37" s="144">
        <f>IFERROR(_xlfn.XLOOKUP($B37,'Cronog. e Histog.'!$BZ:$BZ,'Cronog. e Histog.'!DD:DD),"")</f>
        <v>0</v>
      </c>
      <c r="AJ37" s="144">
        <f>IFERROR(_xlfn.XLOOKUP($B37,'Cronog. e Histog.'!$BZ:$BZ,'Cronog. e Histog.'!DE:DE),"")</f>
        <v>0</v>
      </c>
      <c r="AK37" s="144">
        <f>IFERROR(_xlfn.XLOOKUP($B37,'Cronog. e Histog.'!$BZ:$BZ,'Cronog. e Histog.'!DF:DF),"")</f>
        <v>0</v>
      </c>
      <c r="AL37" s="144">
        <f>IFERROR(_xlfn.XLOOKUP($B37,'Cronog. e Histog.'!$BZ:$BZ,'Cronog. e Histog.'!DG:DG),"")</f>
        <v>0</v>
      </c>
      <c r="AM37" s="144">
        <f>IFERROR(_xlfn.XLOOKUP($B37,'Cronog. e Histog.'!$BZ:$BZ,'Cronog. e Histog.'!DH:DH),"")</f>
        <v>0</v>
      </c>
      <c r="AN37" s="144">
        <f>IFERROR(_xlfn.XLOOKUP($B37,'Cronog. e Histog.'!$BZ:$BZ,'Cronog. e Histog.'!DI:DI),"")</f>
        <v>0</v>
      </c>
      <c r="AO37" s="144">
        <f>IFERROR(_xlfn.XLOOKUP($B37,'Cronog. e Histog.'!$BZ:$BZ,'Cronog. e Histog.'!DJ:DJ),"")</f>
        <v>0</v>
      </c>
      <c r="AP37" s="144">
        <f>IFERROR(_xlfn.XLOOKUP($B37,'Cronog. e Histog.'!$BZ:$BZ,'Cronog. e Histog.'!DK:DK),"")</f>
        <v>0</v>
      </c>
      <c r="AQ37" s="144">
        <f>IFERROR(_xlfn.XLOOKUP($B37,'Cronog. e Histog.'!$BZ:$BZ,'Cronog. e Histog.'!DL:DL),"")</f>
        <v>0</v>
      </c>
      <c r="AR37" s="144">
        <f>IFERROR(_xlfn.XLOOKUP($B37,'Cronog. e Histog.'!$BZ:$BZ,'Cronog. e Histog.'!DM:DM),"")</f>
        <v>0</v>
      </c>
      <c r="AS37" s="144">
        <f>IFERROR(_xlfn.XLOOKUP($B37,'Cronog. e Histog.'!$BZ:$BZ,'Cronog. e Histog.'!DN:DN),"")</f>
        <v>0</v>
      </c>
      <c r="AT37" s="144">
        <f>IFERROR(_xlfn.XLOOKUP($B37,'Cronog. e Histog.'!$BZ:$BZ,'Cronog. e Histog.'!DO:DO),"")</f>
        <v>0</v>
      </c>
      <c r="AU37" s="144">
        <f>IFERROR(_xlfn.XLOOKUP($B37,'Cronog. e Histog.'!$BZ:$BZ,'Cronog. e Histog.'!DP:DP),"")</f>
        <v>0</v>
      </c>
      <c r="AV37" s="144">
        <f>IFERROR(_xlfn.XLOOKUP($B37,'Cronog. e Histog.'!$BZ:$BZ,'Cronog. e Histog.'!DQ:DQ),"")</f>
        <v>0</v>
      </c>
      <c r="AW37" s="144">
        <f>IFERROR(_xlfn.XLOOKUP($B37,'Cronog. e Histog.'!$BZ:$BZ,'Cronog. e Histog.'!DR:DR),"")</f>
        <v>0</v>
      </c>
      <c r="AX37" s="144">
        <f>IFERROR(_xlfn.XLOOKUP($B37,'Cronog. e Histog.'!$BZ:$BZ,'Cronog. e Histog.'!DS:DS),"")</f>
        <v>0</v>
      </c>
      <c r="AY37" s="144">
        <f>IFERROR(_xlfn.XLOOKUP($B37,'Cronog. e Histog.'!$BZ:$BZ,'Cronog. e Histog.'!DT:DT),"")</f>
        <v>0</v>
      </c>
      <c r="AZ37" s="144">
        <f>IFERROR(_xlfn.XLOOKUP($B37,'Cronog. e Histog.'!$BZ:$BZ,'Cronog. e Histog.'!DU:DU),"")</f>
        <v>0</v>
      </c>
      <c r="BA37" s="144">
        <f>IFERROR(_xlfn.XLOOKUP($B37,'Cronog. e Histog.'!$BZ:$BZ,'Cronog. e Histog.'!DV:DV),"")</f>
        <v>0</v>
      </c>
      <c r="BB37" s="144">
        <f>IFERROR(_xlfn.XLOOKUP($B37,'Cronog. e Histog.'!$BZ:$BZ,'Cronog. e Histog.'!DW:DW),"")</f>
        <v>0</v>
      </c>
      <c r="BC37" s="144">
        <f>IFERROR(_xlfn.XLOOKUP($B37,'Cronog. e Histog.'!$BZ:$BZ,'Cronog. e Histog.'!DX:DX),"")</f>
        <v>0</v>
      </c>
      <c r="BD37" s="144">
        <f>IFERROR(_xlfn.XLOOKUP($B37,'Cronog. e Histog.'!$BZ:$BZ,'Cronog. e Histog.'!DY:DY),"")</f>
        <v>0</v>
      </c>
      <c r="BE37" s="144">
        <f>IFERROR(_xlfn.XLOOKUP($B37,'Cronog. e Histog.'!$BZ:$BZ,'Cronog. e Histog.'!DZ:DZ),"")</f>
        <v>0</v>
      </c>
      <c r="BF37" s="144">
        <f>IFERROR(_xlfn.XLOOKUP($B37,'Cronog. e Histog.'!$BZ:$BZ,'Cronog. e Histog.'!EA:EA),"")</f>
        <v>0</v>
      </c>
      <c r="BG37" s="144">
        <f>IFERROR(_xlfn.XLOOKUP($B37,'Cronog. e Histog.'!$BZ:$BZ,'Cronog. e Histog.'!EB:EB),"")</f>
        <v>0</v>
      </c>
      <c r="BH37" s="144">
        <f>IFERROR(_xlfn.XLOOKUP($B37,'Cronog. e Histog.'!$BZ:$BZ,'Cronog. e Histog.'!EC:EC),"")</f>
        <v>0</v>
      </c>
      <c r="BI37" s="144">
        <f>IFERROR(_xlfn.XLOOKUP($B37,'Cronog. e Histog.'!$BZ:$BZ,'Cronog. e Histog.'!ED:ED),"")</f>
        <v>0</v>
      </c>
      <c r="BJ37" s="144">
        <f>IFERROR(_xlfn.XLOOKUP($B37,'Cronog. e Histog.'!$BZ:$BZ,'Cronog. e Histog.'!EE:EE),"")</f>
        <v>0</v>
      </c>
      <c r="BK37" s="144">
        <f>IFERROR(_xlfn.XLOOKUP($B37,'Cronog. e Histog.'!$BZ:$BZ,'Cronog. e Histog.'!EF:EF),"")</f>
        <v>0</v>
      </c>
      <c r="BL37" s="144">
        <f>IFERROR(_xlfn.XLOOKUP($B37,'Cronog. e Histog.'!$BZ:$BZ,'Cronog. e Histog.'!EG:EG),"")</f>
        <v>0</v>
      </c>
      <c r="BM37" s="144">
        <f>IFERROR(_xlfn.XLOOKUP($B37,'Cronog. e Histog.'!$BZ:$BZ,'Cronog. e Histog.'!EH:EH),"")</f>
        <v>0</v>
      </c>
      <c r="BN37" s="144">
        <f>IFERROR(_xlfn.XLOOKUP($B37,'Cronog. e Histog.'!$BZ:$BZ,'Cronog. e Histog.'!EI:EI),"")</f>
        <v>0</v>
      </c>
    </row>
    <row r="38" spans="2:66" ht="12" hidden="1" customHeight="1" outlineLevel="1">
      <c r="B38" s="76">
        <v>32</v>
      </c>
      <c r="C38" s="143" t="str">
        <f>IFERROR(VLOOKUP(B38,'Cronog. e Histog.'!$BZ$213:$CA$747,2,0),"")</f>
        <v>AN JR. ADM/CRP</v>
      </c>
      <c r="D38" s="144">
        <f t="shared" si="0"/>
        <v>0</v>
      </c>
      <c r="E38" s="144">
        <f t="shared" si="1"/>
        <v>0</v>
      </c>
      <c r="F38" s="65"/>
      <c r="G38" s="144">
        <f>IFERROR(_xlfn.XLOOKUP($B38,'Cronog. e Histog.'!$BZ:$BZ,'Cronog. e Histog.'!CB:CB),"")</f>
        <v>0</v>
      </c>
      <c r="H38" s="144">
        <f>IFERROR(_xlfn.XLOOKUP($B38,'Cronog. e Histog.'!$BZ:$BZ,'Cronog. e Histog.'!CC:CC),"")</f>
        <v>0</v>
      </c>
      <c r="I38" s="144">
        <f>IFERROR(_xlfn.XLOOKUP($B38,'Cronog. e Histog.'!$BZ:$BZ,'Cronog. e Histog.'!CD:CD),"")</f>
        <v>0</v>
      </c>
      <c r="J38" s="144">
        <f>IFERROR(_xlfn.XLOOKUP($B38,'Cronog. e Histog.'!$BZ:$BZ,'Cronog. e Histog.'!CE:CE),"")</f>
        <v>0</v>
      </c>
      <c r="K38" s="144">
        <f>IFERROR(_xlfn.XLOOKUP($B38,'Cronog. e Histog.'!$BZ:$BZ,'Cronog. e Histog.'!CF:CF),"")</f>
        <v>0</v>
      </c>
      <c r="L38" s="144">
        <f>IFERROR(_xlfn.XLOOKUP($B38,'Cronog. e Histog.'!$BZ:$BZ,'Cronog. e Histog.'!CG:CG),"")</f>
        <v>0</v>
      </c>
      <c r="M38" s="144">
        <f>IFERROR(_xlfn.XLOOKUP($B38,'Cronog. e Histog.'!$BZ:$BZ,'Cronog. e Histog.'!CH:CH),"")</f>
        <v>0</v>
      </c>
      <c r="N38" s="144">
        <f>IFERROR(_xlfn.XLOOKUP($B38,'Cronog. e Histog.'!$BZ:$BZ,'Cronog. e Histog.'!CI:CI),"")</f>
        <v>0</v>
      </c>
      <c r="O38" s="144">
        <f>IFERROR(_xlfn.XLOOKUP($B38,'Cronog. e Histog.'!$BZ:$BZ,'Cronog. e Histog.'!CJ:CJ),"")</f>
        <v>0</v>
      </c>
      <c r="P38" s="144">
        <f>IFERROR(_xlfn.XLOOKUP($B38,'Cronog. e Histog.'!$BZ:$BZ,'Cronog. e Histog.'!CK:CK),"")</f>
        <v>0</v>
      </c>
      <c r="Q38" s="144">
        <f>IFERROR(_xlfn.XLOOKUP($B38,'Cronog. e Histog.'!$BZ:$BZ,'Cronog. e Histog.'!CL:CL),"")</f>
        <v>0</v>
      </c>
      <c r="R38" s="144">
        <f>IFERROR(_xlfn.XLOOKUP($B38,'Cronog. e Histog.'!$BZ:$BZ,'Cronog. e Histog.'!CM:CM),"")</f>
        <v>0</v>
      </c>
      <c r="S38" s="144">
        <f>IFERROR(_xlfn.XLOOKUP($B38,'Cronog. e Histog.'!$BZ:$BZ,'Cronog. e Histog.'!CN:CN),"")</f>
        <v>0</v>
      </c>
      <c r="T38" s="144">
        <f>IFERROR(_xlfn.XLOOKUP($B38,'Cronog. e Histog.'!$BZ:$BZ,'Cronog. e Histog.'!CO:CO),"")</f>
        <v>0</v>
      </c>
      <c r="U38" s="144">
        <f>IFERROR(_xlfn.XLOOKUP($B38,'Cronog. e Histog.'!$BZ:$BZ,'Cronog. e Histog.'!CP:CP),"")</f>
        <v>0</v>
      </c>
      <c r="V38" s="144">
        <f>IFERROR(_xlfn.XLOOKUP($B38,'Cronog. e Histog.'!$BZ:$BZ,'Cronog. e Histog.'!CQ:CQ),"")</f>
        <v>0</v>
      </c>
      <c r="W38" s="144">
        <f>IFERROR(_xlfn.XLOOKUP($B38,'Cronog. e Histog.'!$BZ:$BZ,'Cronog. e Histog.'!CR:CR),"")</f>
        <v>0</v>
      </c>
      <c r="X38" s="144">
        <f>IFERROR(_xlfn.XLOOKUP($B38,'Cronog. e Histog.'!$BZ:$BZ,'Cronog. e Histog.'!CS:CS),"")</f>
        <v>0</v>
      </c>
      <c r="Y38" s="144">
        <f>IFERROR(_xlfn.XLOOKUP($B38,'Cronog. e Histog.'!$BZ:$BZ,'Cronog. e Histog.'!CT:CT),"")</f>
        <v>0</v>
      </c>
      <c r="Z38" s="144">
        <f>IFERROR(_xlfn.XLOOKUP($B38,'Cronog. e Histog.'!$BZ:$BZ,'Cronog. e Histog.'!CU:CU),"")</f>
        <v>0</v>
      </c>
      <c r="AA38" s="144">
        <f>IFERROR(_xlfn.XLOOKUP($B38,'Cronog. e Histog.'!$BZ:$BZ,'Cronog. e Histog.'!CV:CV),"")</f>
        <v>0</v>
      </c>
      <c r="AB38" s="144">
        <f>IFERROR(_xlfn.XLOOKUP($B38,'Cronog. e Histog.'!$BZ:$BZ,'Cronog. e Histog.'!CW:CW),"")</f>
        <v>0</v>
      </c>
      <c r="AC38" s="144">
        <f>IFERROR(_xlfn.XLOOKUP($B38,'Cronog. e Histog.'!$BZ:$BZ,'Cronog. e Histog.'!CX:CX),"")</f>
        <v>0</v>
      </c>
      <c r="AD38" s="144">
        <f>IFERROR(_xlfn.XLOOKUP($B38,'Cronog. e Histog.'!$BZ:$BZ,'Cronog. e Histog.'!CY:CY),"")</f>
        <v>0</v>
      </c>
      <c r="AE38" s="144">
        <f>IFERROR(_xlfn.XLOOKUP($B38,'Cronog. e Histog.'!$BZ:$BZ,'Cronog. e Histog.'!CZ:CZ),"")</f>
        <v>0</v>
      </c>
      <c r="AF38" s="144">
        <f>IFERROR(_xlfn.XLOOKUP($B38,'Cronog. e Histog.'!$BZ:$BZ,'Cronog. e Histog.'!DA:DA),"")</f>
        <v>0</v>
      </c>
      <c r="AG38" s="144">
        <f>IFERROR(_xlfn.XLOOKUP($B38,'Cronog. e Histog.'!$BZ:$BZ,'Cronog. e Histog.'!DB:DB),"")</f>
        <v>0</v>
      </c>
      <c r="AH38" s="144">
        <f>IFERROR(_xlfn.XLOOKUP($B38,'Cronog. e Histog.'!$BZ:$BZ,'Cronog. e Histog.'!DC:DC),"")</f>
        <v>0</v>
      </c>
      <c r="AI38" s="144">
        <f>IFERROR(_xlfn.XLOOKUP($B38,'Cronog. e Histog.'!$BZ:$BZ,'Cronog. e Histog.'!DD:DD),"")</f>
        <v>0</v>
      </c>
      <c r="AJ38" s="144">
        <f>IFERROR(_xlfn.XLOOKUP($B38,'Cronog. e Histog.'!$BZ:$BZ,'Cronog. e Histog.'!DE:DE),"")</f>
        <v>0</v>
      </c>
      <c r="AK38" s="144">
        <f>IFERROR(_xlfn.XLOOKUP($B38,'Cronog. e Histog.'!$BZ:$BZ,'Cronog. e Histog.'!DF:DF),"")</f>
        <v>0</v>
      </c>
      <c r="AL38" s="144">
        <f>IFERROR(_xlfn.XLOOKUP($B38,'Cronog. e Histog.'!$BZ:$BZ,'Cronog. e Histog.'!DG:DG),"")</f>
        <v>0</v>
      </c>
      <c r="AM38" s="144">
        <f>IFERROR(_xlfn.XLOOKUP($B38,'Cronog. e Histog.'!$BZ:$BZ,'Cronog. e Histog.'!DH:DH),"")</f>
        <v>0</v>
      </c>
      <c r="AN38" s="144">
        <f>IFERROR(_xlfn.XLOOKUP($B38,'Cronog. e Histog.'!$BZ:$BZ,'Cronog. e Histog.'!DI:DI),"")</f>
        <v>0</v>
      </c>
      <c r="AO38" s="144">
        <f>IFERROR(_xlfn.XLOOKUP($B38,'Cronog. e Histog.'!$BZ:$BZ,'Cronog. e Histog.'!DJ:DJ),"")</f>
        <v>0</v>
      </c>
      <c r="AP38" s="144">
        <f>IFERROR(_xlfn.XLOOKUP($B38,'Cronog. e Histog.'!$BZ:$BZ,'Cronog. e Histog.'!DK:DK),"")</f>
        <v>0</v>
      </c>
      <c r="AQ38" s="144">
        <f>IFERROR(_xlfn.XLOOKUP($B38,'Cronog. e Histog.'!$BZ:$BZ,'Cronog. e Histog.'!DL:DL),"")</f>
        <v>0</v>
      </c>
      <c r="AR38" s="144">
        <f>IFERROR(_xlfn.XLOOKUP($B38,'Cronog. e Histog.'!$BZ:$BZ,'Cronog. e Histog.'!DM:DM),"")</f>
        <v>0</v>
      </c>
      <c r="AS38" s="144">
        <f>IFERROR(_xlfn.XLOOKUP($B38,'Cronog. e Histog.'!$BZ:$BZ,'Cronog. e Histog.'!DN:DN),"")</f>
        <v>0</v>
      </c>
      <c r="AT38" s="144">
        <f>IFERROR(_xlfn.XLOOKUP($B38,'Cronog. e Histog.'!$BZ:$BZ,'Cronog. e Histog.'!DO:DO),"")</f>
        <v>0</v>
      </c>
      <c r="AU38" s="144">
        <f>IFERROR(_xlfn.XLOOKUP($B38,'Cronog. e Histog.'!$BZ:$BZ,'Cronog. e Histog.'!DP:DP),"")</f>
        <v>0</v>
      </c>
      <c r="AV38" s="144">
        <f>IFERROR(_xlfn.XLOOKUP($B38,'Cronog. e Histog.'!$BZ:$BZ,'Cronog. e Histog.'!DQ:DQ),"")</f>
        <v>0</v>
      </c>
      <c r="AW38" s="144">
        <f>IFERROR(_xlfn.XLOOKUP($B38,'Cronog. e Histog.'!$BZ:$BZ,'Cronog. e Histog.'!DR:DR),"")</f>
        <v>0</v>
      </c>
      <c r="AX38" s="144">
        <f>IFERROR(_xlfn.XLOOKUP($B38,'Cronog. e Histog.'!$BZ:$BZ,'Cronog. e Histog.'!DS:DS),"")</f>
        <v>0</v>
      </c>
      <c r="AY38" s="144">
        <f>IFERROR(_xlfn.XLOOKUP($B38,'Cronog. e Histog.'!$BZ:$BZ,'Cronog. e Histog.'!DT:DT),"")</f>
        <v>0</v>
      </c>
      <c r="AZ38" s="144">
        <f>IFERROR(_xlfn.XLOOKUP($B38,'Cronog. e Histog.'!$BZ:$BZ,'Cronog. e Histog.'!DU:DU),"")</f>
        <v>0</v>
      </c>
      <c r="BA38" s="144">
        <f>IFERROR(_xlfn.XLOOKUP($B38,'Cronog. e Histog.'!$BZ:$BZ,'Cronog. e Histog.'!DV:DV),"")</f>
        <v>0</v>
      </c>
      <c r="BB38" s="144">
        <f>IFERROR(_xlfn.XLOOKUP($B38,'Cronog. e Histog.'!$BZ:$BZ,'Cronog. e Histog.'!DW:DW),"")</f>
        <v>0</v>
      </c>
      <c r="BC38" s="144">
        <f>IFERROR(_xlfn.XLOOKUP($B38,'Cronog. e Histog.'!$BZ:$BZ,'Cronog. e Histog.'!DX:DX),"")</f>
        <v>0</v>
      </c>
      <c r="BD38" s="144">
        <f>IFERROR(_xlfn.XLOOKUP($B38,'Cronog. e Histog.'!$BZ:$BZ,'Cronog. e Histog.'!DY:DY),"")</f>
        <v>0</v>
      </c>
      <c r="BE38" s="144">
        <f>IFERROR(_xlfn.XLOOKUP($B38,'Cronog. e Histog.'!$BZ:$BZ,'Cronog. e Histog.'!DZ:DZ),"")</f>
        <v>0</v>
      </c>
      <c r="BF38" s="144">
        <f>IFERROR(_xlfn.XLOOKUP($B38,'Cronog. e Histog.'!$BZ:$BZ,'Cronog. e Histog.'!EA:EA),"")</f>
        <v>0</v>
      </c>
      <c r="BG38" s="144">
        <f>IFERROR(_xlfn.XLOOKUP($B38,'Cronog. e Histog.'!$BZ:$BZ,'Cronog. e Histog.'!EB:EB),"")</f>
        <v>0</v>
      </c>
      <c r="BH38" s="144">
        <f>IFERROR(_xlfn.XLOOKUP($B38,'Cronog. e Histog.'!$BZ:$BZ,'Cronog. e Histog.'!EC:EC),"")</f>
        <v>0</v>
      </c>
      <c r="BI38" s="144">
        <f>IFERROR(_xlfn.XLOOKUP($B38,'Cronog. e Histog.'!$BZ:$BZ,'Cronog. e Histog.'!ED:ED),"")</f>
        <v>0</v>
      </c>
      <c r="BJ38" s="144">
        <f>IFERROR(_xlfn.XLOOKUP($B38,'Cronog. e Histog.'!$BZ:$BZ,'Cronog. e Histog.'!EE:EE),"")</f>
        <v>0</v>
      </c>
      <c r="BK38" s="144">
        <f>IFERROR(_xlfn.XLOOKUP($B38,'Cronog. e Histog.'!$BZ:$BZ,'Cronog. e Histog.'!EF:EF),"")</f>
        <v>0</v>
      </c>
      <c r="BL38" s="144">
        <f>IFERROR(_xlfn.XLOOKUP($B38,'Cronog. e Histog.'!$BZ:$BZ,'Cronog. e Histog.'!EG:EG),"")</f>
        <v>0</v>
      </c>
      <c r="BM38" s="144">
        <f>IFERROR(_xlfn.XLOOKUP($B38,'Cronog. e Histog.'!$BZ:$BZ,'Cronog. e Histog.'!EH:EH),"")</f>
        <v>0</v>
      </c>
      <c r="BN38" s="144">
        <f>IFERROR(_xlfn.XLOOKUP($B38,'Cronog. e Histog.'!$BZ:$BZ,'Cronog. e Histog.'!EI:EI),"")</f>
        <v>0</v>
      </c>
    </row>
    <row r="39" spans="2:66" ht="12" hidden="1" customHeight="1" outlineLevel="1">
      <c r="B39" s="76">
        <v>33</v>
      </c>
      <c r="C39" s="143" t="str">
        <f>IFERROR(VLOOKUP(B39,'Cronog. e Histog.'!$BZ$213:$CA$747,2,0),"")</f>
        <v>TEC III</v>
      </c>
      <c r="D39" s="144">
        <f t="shared" si="0"/>
        <v>0</v>
      </c>
      <c r="E39" s="144">
        <f t="shared" si="1"/>
        <v>0</v>
      </c>
      <c r="F39" s="65"/>
      <c r="G39" s="144">
        <f>IFERROR(_xlfn.XLOOKUP($B39,'Cronog. e Histog.'!$BZ:$BZ,'Cronog. e Histog.'!CB:CB),"")</f>
        <v>0</v>
      </c>
      <c r="H39" s="144">
        <f>IFERROR(_xlfn.XLOOKUP($B39,'Cronog. e Histog.'!$BZ:$BZ,'Cronog. e Histog.'!CC:CC),"")</f>
        <v>0</v>
      </c>
      <c r="I39" s="144">
        <f>IFERROR(_xlfn.XLOOKUP($B39,'Cronog. e Histog.'!$BZ:$BZ,'Cronog. e Histog.'!CD:CD),"")</f>
        <v>0</v>
      </c>
      <c r="J39" s="144">
        <f>IFERROR(_xlfn.XLOOKUP($B39,'Cronog. e Histog.'!$BZ:$BZ,'Cronog. e Histog.'!CE:CE),"")</f>
        <v>0</v>
      </c>
      <c r="K39" s="144">
        <f>IFERROR(_xlfn.XLOOKUP($B39,'Cronog. e Histog.'!$BZ:$BZ,'Cronog. e Histog.'!CF:CF),"")</f>
        <v>0</v>
      </c>
      <c r="L39" s="144">
        <f>IFERROR(_xlfn.XLOOKUP($B39,'Cronog. e Histog.'!$BZ:$BZ,'Cronog. e Histog.'!CG:CG),"")</f>
        <v>0</v>
      </c>
      <c r="M39" s="144">
        <f>IFERROR(_xlfn.XLOOKUP($B39,'Cronog. e Histog.'!$BZ:$BZ,'Cronog. e Histog.'!CH:CH),"")</f>
        <v>0</v>
      </c>
      <c r="N39" s="144">
        <f>IFERROR(_xlfn.XLOOKUP($B39,'Cronog. e Histog.'!$BZ:$BZ,'Cronog. e Histog.'!CI:CI),"")</f>
        <v>0</v>
      </c>
      <c r="O39" s="144">
        <f>IFERROR(_xlfn.XLOOKUP($B39,'Cronog. e Histog.'!$BZ:$BZ,'Cronog. e Histog.'!CJ:CJ),"")</f>
        <v>0</v>
      </c>
      <c r="P39" s="144">
        <f>IFERROR(_xlfn.XLOOKUP($B39,'Cronog. e Histog.'!$BZ:$BZ,'Cronog. e Histog.'!CK:CK),"")</f>
        <v>0</v>
      </c>
      <c r="Q39" s="144">
        <f>IFERROR(_xlfn.XLOOKUP($B39,'Cronog. e Histog.'!$BZ:$BZ,'Cronog. e Histog.'!CL:CL),"")</f>
        <v>0</v>
      </c>
      <c r="R39" s="144">
        <f>IFERROR(_xlfn.XLOOKUP($B39,'Cronog. e Histog.'!$BZ:$BZ,'Cronog. e Histog.'!CM:CM),"")</f>
        <v>0</v>
      </c>
      <c r="S39" s="144">
        <f>IFERROR(_xlfn.XLOOKUP($B39,'Cronog. e Histog.'!$BZ:$BZ,'Cronog. e Histog.'!CN:CN),"")</f>
        <v>0</v>
      </c>
      <c r="T39" s="144">
        <f>IFERROR(_xlfn.XLOOKUP($B39,'Cronog. e Histog.'!$BZ:$BZ,'Cronog. e Histog.'!CO:CO),"")</f>
        <v>0</v>
      </c>
      <c r="U39" s="144">
        <f>IFERROR(_xlfn.XLOOKUP($B39,'Cronog. e Histog.'!$BZ:$BZ,'Cronog. e Histog.'!CP:CP),"")</f>
        <v>0</v>
      </c>
      <c r="V39" s="144">
        <f>IFERROR(_xlfn.XLOOKUP($B39,'Cronog. e Histog.'!$BZ:$BZ,'Cronog. e Histog.'!CQ:CQ),"")</f>
        <v>0</v>
      </c>
      <c r="W39" s="144">
        <f>IFERROR(_xlfn.XLOOKUP($B39,'Cronog. e Histog.'!$BZ:$BZ,'Cronog. e Histog.'!CR:CR),"")</f>
        <v>0</v>
      </c>
      <c r="X39" s="144">
        <f>IFERROR(_xlfn.XLOOKUP($B39,'Cronog. e Histog.'!$BZ:$BZ,'Cronog. e Histog.'!CS:CS),"")</f>
        <v>0</v>
      </c>
      <c r="Y39" s="144">
        <f>IFERROR(_xlfn.XLOOKUP($B39,'Cronog. e Histog.'!$BZ:$BZ,'Cronog. e Histog.'!CT:CT),"")</f>
        <v>0</v>
      </c>
      <c r="Z39" s="144">
        <f>IFERROR(_xlfn.XLOOKUP($B39,'Cronog. e Histog.'!$BZ:$BZ,'Cronog. e Histog.'!CU:CU),"")</f>
        <v>0</v>
      </c>
      <c r="AA39" s="144">
        <f>IFERROR(_xlfn.XLOOKUP($B39,'Cronog. e Histog.'!$BZ:$BZ,'Cronog. e Histog.'!CV:CV),"")</f>
        <v>0</v>
      </c>
      <c r="AB39" s="144">
        <f>IFERROR(_xlfn.XLOOKUP($B39,'Cronog. e Histog.'!$BZ:$BZ,'Cronog. e Histog.'!CW:CW),"")</f>
        <v>0</v>
      </c>
      <c r="AC39" s="144">
        <f>IFERROR(_xlfn.XLOOKUP($B39,'Cronog. e Histog.'!$BZ:$BZ,'Cronog. e Histog.'!CX:CX),"")</f>
        <v>0</v>
      </c>
      <c r="AD39" s="144">
        <f>IFERROR(_xlfn.XLOOKUP($B39,'Cronog. e Histog.'!$BZ:$BZ,'Cronog. e Histog.'!CY:CY),"")</f>
        <v>0</v>
      </c>
      <c r="AE39" s="144">
        <f>IFERROR(_xlfn.XLOOKUP($B39,'Cronog. e Histog.'!$BZ:$BZ,'Cronog. e Histog.'!CZ:CZ),"")</f>
        <v>0</v>
      </c>
      <c r="AF39" s="144">
        <f>IFERROR(_xlfn.XLOOKUP($B39,'Cronog. e Histog.'!$BZ:$BZ,'Cronog. e Histog.'!DA:DA),"")</f>
        <v>0</v>
      </c>
      <c r="AG39" s="144">
        <f>IFERROR(_xlfn.XLOOKUP($B39,'Cronog. e Histog.'!$BZ:$BZ,'Cronog. e Histog.'!DB:DB),"")</f>
        <v>0</v>
      </c>
      <c r="AH39" s="144">
        <f>IFERROR(_xlfn.XLOOKUP($B39,'Cronog. e Histog.'!$BZ:$BZ,'Cronog. e Histog.'!DC:DC),"")</f>
        <v>0</v>
      </c>
      <c r="AI39" s="144">
        <f>IFERROR(_xlfn.XLOOKUP($B39,'Cronog. e Histog.'!$BZ:$BZ,'Cronog. e Histog.'!DD:DD),"")</f>
        <v>0</v>
      </c>
      <c r="AJ39" s="144">
        <f>IFERROR(_xlfn.XLOOKUP($B39,'Cronog. e Histog.'!$BZ:$BZ,'Cronog. e Histog.'!DE:DE),"")</f>
        <v>0</v>
      </c>
      <c r="AK39" s="144">
        <f>IFERROR(_xlfn.XLOOKUP($B39,'Cronog. e Histog.'!$BZ:$BZ,'Cronog. e Histog.'!DF:DF),"")</f>
        <v>0</v>
      </c>
      <c r="AL39" s="144">
        <f>IFERROR(_xlfn.XLOOKUP($B39,'Cronog. e Histog.'!$BZ:$BZ,'Cronog. e Histog.'!DG:DG),"")</f>
        <v>0</v>
      </c>
      <c r="AM39" s="144">
        <f>IFERROR(_xlfn.XLOOKUP($B39,'Cronog. e Histog.'!$BZ:$BZ,'Cronog. e Histog.'!DH:DH),"")</f>
        <v>0</v>
      </c>
      <c r="AN39" s="144">
        <f>IFERROR(_xlfn.XLOOKUP($B39,'Cronog. e Histog.'!$BZ:$BZ,'Cronog. e Histog.'!DI:DI),"")</f>
        <v>0</v>
      </c>
      <c r="AO39" s="144">
        <f>IFERROR(_xlfn.XLOOKUP($B39,'Cronog. e Histog.'!$BZ:$BZ,'Cronog. e Histog.'!DJ:DJ),"")</f>
        <v>0</v>
      </c>
      <c r="AP39" s="144">
        <f>IFERROR(_xlfn.XLOOKUP($B39,'Cronog. e Histog.'!$BZ:$BZ,'Cronog. e Histog.'!DK:DK),"")</f>
        <v>0</v>
      </c>
      <c r="AQ39" s="144">
        <f>IFERROR(_xlfn.XLOOKUP($B39,'Cronog. e Histog.'!$BZ:$BZ,'Cronog. e Histog.'!DL:DL),"")</f>
        <v>0</v>
      </c>
      <c r="AR39" s="144">
        <f>IFERROR(_xlfn.XLOOKUP($B39,'Cronog. e Histog.'!$BZ:$BZ,'Cronog. e Histog.'!DM:DM),"")</f>
        <v>0</v>
      </c>
      <c r="AS39" s="144">
        <f>IFERROR(_xlfn.XLOOKUP($B39,'Cronog. e Histog.'!$BZ:$BZ,'Cronog. e Histog.'!DN:DN),"")</f>
        <v>0</v>
      </c>
      <c r="AT39" s="144">
        <f>IFERROR(_xlfn.XLOOKUP($B39,'Cronog. e Histog.'!$BZ:$BZ,'Cronog. e Histog.'!DO:DO),"")</f>
        <v>0</v>
      </c>
      <c r="AU39" s="144">
        <f>IFERROR(_xlfn.XLOOKUP($B39,'Cronog. e Histog.'!$BZ:$BZ,'Cronog. e Histog.'!DP:DP),"")</f>
        <v>0</v>
      </c>
      <c r="AV39" s="144">
        <f>IFERROR(_xlfn.XLOOKUP($B39,'Cronog. e Histog.'!$BZ:$BZ,'Cronog. e Histog.'!DQ:DQ),"")</f>
        <v>0</v>
      </c>
      <c r="AW39" s="144">
        <f>IFERROR(_xlfn.XLOOKUP($B39,'Cronog. e Histog.'!$BZ:$BZ,'Cronog. e Histog.'!DR:DR),"")</f>
        <v>0</v>
      </c>
      <c r="AX39" s="144">
        <f>IFERROR(_xlfn.XLOOKUP($B39,'Cronog. e Histog.'!$BZ:$BZ,'Cronog. e Histog.'!DS:DS),"")</f>
        <v>0</v>
      </c>
      <c r="AY39" s="144">
        <f>IFERROR(_xlfn.XLOOKUP($B39,'Cronog. e Histog.'!$BZ:$BZ,'Cronog. e Histog.'!DT:DT),"")</f>
        <v>0</v>
      </c>
      <c r="AZ39" s="144">
        <f>IFERROR(_xlfn.XLOOKUP($B39,'Cronog. e Histog.'!$BZ:$BZ,'Cronog. e Histog.'!DU:DU),"")</f>
        <v>0</v>
      </c>
      <c r="BA39" s="144">
        <f>IFERROR(_xlfn.XLOOKUP($B39,'Cronog. e Histog.'!$BZ:$BZ,'Cronog. e Histog.'!DV:DV),"")</f>
        <v>0</v>
      </c>
      <c r="BB39" s="144">
        <f>IFERROR(_xlfn.XLOOKUP($B39,'Cronog. e Histog.'!$BZ:$BZ,'Cronog. e Histog.'!DW:DW),"")</f>
        <v>0</v>
      </c>
      <c r="BC39" s="144">
        <f>IFERROR(_xlfn.XLOOKUP($B39,'Cronog. e Histog.'!$BZ:$BZ,'Cronog. e Histog.'!DX:DX),"")</f>
        <v>0</v>
      </c>
      <c r="BD39" s="144">
        <f>IFERROR(_xlfn.XLOOKUP($B39,'Cronog. e Histog.'!$BZ:$BZ,'Cronog. e Histog.'!DY:DY),"")</f>
        <v>0</v>
      </c>
      <c r="BE39" s="144">
        <f>IFERROR(_xlfn.XLOOKUP($B39,'Cronog. e Histog.'!$BZ:$BZ,'Cronog. e Histog.'!DZ:DZ),"")</f>
        <v>0</v>
      </c>
      <c r="BF39" s="144">
        <f>IFERROR(_xlfn.XLOOKUP($B39,'Cronog. e Histog.'!$BZ:$BZ,'Cronog. e Histog.'!EA:EA),"")</f>
        <v>0</v>
      </c>
      <c r="BG39" s="144">
        <f>IFERROR(_xlfn.XLOOKUP($B39,'Cronog. e Histog.'!$BZ:$BZ,'Cronog. e Histog.'!EB:EB),"")</f>
        <v>0</v>
      </c>
      <c r="BH39" s="144">
        <f>IFERROR(_xlfn.XLOOKUP($B39,'Cronog. e Histog.'!$BZ:$BZ,'Cronog. e Histog.'!EC:EC),"")</f>
        <v>0</v>
      </c>
      <c r="BI39" s="144">
        <f>IFERROR(_xlfn.XLOOKUP($B39,'Cronog. e Histog.'!$BZ:$BZ,'Cronog. e Histog.'!ED:ED),"")</f>
        <v>0</v>
      </c>
      <c r="BJ39" s="144">
        <f>IFERROR(_xlfn.XLOOKUP($B39,'Cronog. e Histog.'!$BZ:$BZ,'Cronog. e Histog.'!EE:EE),"")</f>
        <v>0</v>
      </c>
      <c r="BK39" s="144">
        <f>IFERROR(_xlfn.XLOOKUP($B39,'Cronog. e Histog.'!$BZ:$BZ,'Cronog. e Histog.'!EF:EF),"")</f>
        <v>0</v>
      </c>
      <c r="BL39" s="144">
        <f>IFERROR(_xlfn.XLOOKUP($B39,'Cronog. e Histog.'!$BZ:$BZ,'Cronog. e Histog.'!EG:EG),"")</f>
        <v>0</v>
      </c>
      <c r="BM39" s="144">
        <f>IFERROR(_xlfn.XLOOKUP($B39,'Cronog. e Histog.'!$BZ:$BZ,'Cronog. e Histog.'!EH:EH),"")</f>
        <v>0</v>
      </c>
      <c r="BN39" s="144">
        <f>IFERROR(_xlfn.XLOOKUP($B39,'Cronog. e Histog.'!$BZ:$BZ,'Cronog. e Histog.'!EI:EI),"")</f>
        <v>0</v>
      </c>
    </row>
    <row r="40" spans="2:66" ht="12" hidden="1" customHeight="1" outlineLevel="1">
      <c r="B40" s="76">
        <v>34</v>
      </c>
      <c r="C40" s="143" t="str">
        <f>IFERROR(VLOOKUP(B40,'Cronog. e Histog.'!$BZ$213:$CA$747,2,0),"")</f>
        <v>TEC II</v>
      </c>
      <c r="D40" s="144">
        <f t="shared" si="0"/>
        <v>0</v>
      </c>
      <c r="E40" s="144">
        <f t="shared" si="1"/>
        <v>0</v>
      </c>
      <c r="F40" s="65"/>
      <c r="G40" s="144">
        <f>IFERROR(_xlfn.XLOOKUP($B40,'Cronog. e Histog.'!$BZ:$BZ,'Cronog. e Histog.'!CB:CB),"")</f>
        <v>0</v>
      </c>
      <c r="H40" s="144">
        <f>IFERROR(_xlfn.XLOOKUP($B40,'Cronog. e Histog.'!$BZ:$BZ,'Cronog. e Histog.'!CC:CC),"")</f>
        <v>0</v>
      </c>
      <c r="I40" s="144">
        <f>IFERROR(_xlfn.XLOOKUP($B40,'Cronog. e Histog.'!$BZ:$BZ,'Cronog. e Histog.'!CD:CD),"")</f>
        <v>0</v>
      </c>
      <c r="J40" s="144">
        <f>IFERROR(_xlfn.XLOOKUP($B40,'Cronog. e Histog.'!$BZ:$BZ,'Cronog. e Histog.'!CE:CE),"")</f>
        <v>0</v>
      </c>
      <c r="K40" s="144">
        <f>IFERROR(_xlfn.XLOOKUP($B40,'Cronog. e Histog.'!$BZ:$BZ,'Cronog. e Histog.'!CF:CF),"")</f>
        <v>0</v>
      </c>
      <c r="L40" s="144">
        <f>IFERROR(_xlfn.XLOOKUP($B40,'Cronog. e Histog.'!$BZ:$BZ,'Cronog. e Histog.'!CG:CG),"")</f>
        <v>0</v>
      </c>
      <c r="M40" s="144">
        <f>IFERROR(_xlfn.XLOOKUP($B40,'Cronog. e Histog.'!$BZ:$BZ,'Cronog. e Histog.'!CH:CH),"")</f>
        <v>0</v>
      </c>
      <c r="N40" s="144">
        <f>IFERROR(_xlfn.XLOOKUP($B40,'Cronog. e Histog.'!$BZ:$BZ,'Cronog. e Histog.'!CI:CI),"")</f>
        <v>0</v>
      </c>
      <c r="O40" s="144">
        <f>IFERROR(_xlfn.XLOOKUP($B40,'Cronog. e Histog.'!$BZ:$BZ,'Cronog. e Histog.'!CJ:CJ),"")</f>
        <v>0</v>
      </c>
      <c r="P40" s="144">
        <f>IFERROR(_xlfn.XLOOKUP($B40,'Cronog. e Histog.'!$BZ:$BZ,'Cronog. e Histog.'!CK:CK),"")</f>
        <v>0</v>
      </c>
      <c r="Q40" s="144">
        <f>IFERROR(_xlfn.XLOOKUP($B40,'Cronog. e Histog.'!$BZ:$BZ,'Cronog. e Histog.'!CL:CL),"")</f>
        <v>0</v>
      </c>
      <c r="R40" s="144">
        <f>IFERROR(_xlfn.XLOOKUP($B40,'Cronog. e Histog.'!$BZ:$BZ,'Cronog. e Histog.'!CM:CM),"")</f>
        <v>0</v>
      </c>
      <c r="S40" s="144">
        <f>IFERROR(_xlfn.XLOOKUP($B40,'Cronog. e Histog.'!$BZ:$BZ,'Cronog. e Histog.'!CN:CN),"")</f>
        <v>0</v>
      </c>
      <c r="T40" s="144">
        <f>IFERROR(_xlfn.XLOOKUP($B40,'Cronog. e Histog.'!$BZ:$BZ,'Cronog. e Histog.'!CO:CO),"")</f>
        <v>0</v>
      </c>
      <c r="U40" s="144">
        <f>IFERROR(_xlfn.XLOOKUP($B40,'Cronog. e Histog.'!$BZ:$BZ,'Cronog. e Histog.'!CP:CP),"")</f>
        <v>0</v>
      </c>
      <c r="V40" s="144">
        <f>IFERROR(_xlfn.XLOOKUP($B40,'Cronog. e Histog.'!$BZ:$BZ,'Cronog. e Histog.'!CQ:CQ),"")</f>
        <v>0</v>
      </c>
      <c r="W40" s="144">
        <f>IFERROR(_xlfn.XLOOKUP($B40,'Cronog. e Histog.'!$BZ:$BZ,'Cronog. e Histog.'!CR:CR),"")</f>
        <v>0</v>
      </c>
      <c r="X40" s="144">
        <f>IFERROR(_xlfn.XLOOKUP($B40,'Cronog. e Histog.'!$BZ:$BZ,'Cronog. e Histog.'!CS:CS),"")</f>
        <v>0</v>
      </c>
      <c r="Y40" s="144">
        <f>IFERROR(_xlfn.XLOOKUP($B40,'Cronog. e Histog.'!$BZ:$BZ,'Cronog. e Histog.'!CT:CT),"")</f>
        <v>0</v>
      </c>
      <c r="Z40" s="144">
        <f>IFERROR(_xlfn.XLOOKUP($B40,'Cronog. e Histog.'!$BZ:$BZ,'Cronog. e Histog.'!CU:CU),"")</f>
        <v>0</v>
      </c>
      <c r="AA40" s="144">
        <f>IFERROR(_xlfn.XLOOKUP($B40,'Cronog. e Histog.'!$BZ:$BZ,'Cronog. e Histog.'!CV:CV),"")</f>
        <v>0</v>
      </c>
      <c r="AB40" s="144">
        <f>IFERROR(_xlfn.XLOOKUP($B40,'Cronog. e Histog.'!$BZ:$BZ,'Cronog. e Histog.'!CW:CW),"")</f>
        <v>0</v>
      </c>
      <c r="AC40" s="144">
        <f>IFERROR(_xlfn.XLOOKUP($B40,'Cronog. e Histog.'!$BZ:$BZ,'Cronog. e Histog.'!CX:CX),"")</f>
        <v>0</v>
      </c>
      <c r="AD40" s="144">
        <f>IFERROR(_xlfn.XLOOKUP($B40,'Cronog. e Histog.'!$BZ:$BZ,'Cronog. e Histog.'!CY:CY),"")</f>
        <v>0</v>
      </c>
      <c r="AE40" s="144">
        <f>IFERROR(_xlfn.XLOOKUP($B40,'Cronog. e Histog.'!$BZ:$BZ,'Cronog. e Histog.'!CZ:CZ),"")</f>
        <v>0</v>
      </c>
      <c r="AF40" s="144">
        <f>IFERROR(_xlfn.XLOOKUP($B40,'Cronog. e Histog.'!$BZ:$BZ,'Cronog. e Histog.'!DA:DA),"")</f>
        <v>0</v>
      </c>
      <c r="AG40" s="144">
        <f>IFERROR(_xlfn.XLOOKUP($B40,'Cronog. e Histog.'!$BZ:$BZ,'Cronog. e Histog.'!DB:DB),"")</f>
        <v>0</v>
      </c>
      <c r="AH40" s="144">
        <f>IFERROR(_xlfn.XLOOKUP($B40,'Cronog. e Histog.'!$BZ:$BZ,'Cronog. e Histog.'!DC:DC),"")</f>
        <v>0</v>
      </c>
      <c r="AI40" s="144">
        <f>IFERROR(_xlfn.XLOOKUP($B40,'Cronog. e Histog.'!$BZ:$BZ,'Cronog. e Histog.'!DD:DD),"")</f>
        <v>0</v>
      </c>
      <c r="AJ40" s="144">
        <f>IFERROR(_xlfn.XLOOKUP($B40,'Cronog. e Histog.'!$BZ:$BZ,'Cronog. e Histog.'!DE:DE),"")</f>
        <v>0</v>
      </c>
      <c r="AK40" s="144">
        <f>IFERROR(_xlfn.XLOOKUP($B40,'Cronog. e Histog.'!$BZ:$BZ,'Cronog. e Histog.'!DF:DF),"")</f>
        <v>0</v>
      </c>
      <c r="AL40" s="144">
        <f>IFERROR(_xlfn.XLOOKUP($B40,'Cronog. e Histog.'!$BZ:$BZ,'Cronog. e Histog.'!DG:DG),"")</f>
        <v>0</v>
      </c>
      <c r="AM40" s="144">
        <f>IFERROR(_xlfn.XLOOKUP($B40,'Cronog. e Histog.'!$BZ:$BZ,'Cronog. e Histog.'!DH:DH),"")</f>
        <v>0</v>
      </c>
      <c r="AN40" s="144">
        <f>IFERROR(_xlfn.XLOOKUP($B40,'Cronog. e Histog.'!$BZ:$BZ,'Cronog. e Histog.'!DI:DI),"")</f>
        <v>0</v>
      </c>
      <c r="AO40" s="144">
        <f>IFERROR(_xlfn.XLOOKUP($B40,'Cronog. e Histog.'!$BZ:$BZ,'Cronog. e Histog.'!DJ:DJ),"")</f>
        <v>0</v>
      </c>
      <c r="AP40" s="144">
        <f>IFERROR(_xlfn.XLOOKUP($B40,'Cronog. e Histog.'!$BZ:$BZ,'Cronog. e Histog.'!DK:DK),"")</f>
        <v>0</v>
      </c>
      <c r="AQ40" s="144">
        <f>IFERROR(_xlfn.XLOOKUP($B40,'Cronog. e Histog.'!$BZ:$BZ,'Cronog. e Histog.'!DL:DL),"")</f>
        <v>0</v>
      </c>
      <c r="AR40" s="144">
        <f>IFERROR(_xlfn.XLOOKUP($B40,'Cronog. e Histog.'!$BZ:$BZ,'Cronog. e Histog.'!DM:DM),"")</f>
        <v>0</v>
      </c>
      <c r="AS40" s="144">
        <f>IFERROR(_xlfn.XLOOKUP($B40,'Cronog. e Histog.'!$BZ:$BZ,'Cronog. e Histog.'!DN:DN),"")</f>
        <v>0</v>
      </c>
      <c r="AT40" s="144">
        <f>IFERROR(_xlfn.XLOOKUP($B40,'Cronog. e Histog.'!$BZ:$BZ,'Cronog. e Histog.'!DO:DO),"")</f>
        <v>0</v>
      </c>
      <c r="AU40" s="144">
        <f>IFERROR(_xlfn.XLOOKUP($B40,'Cronog. e Histog.'!$BZ:$BZ,'Cronog. e Histog.'!DP:DP),"")</f>
        <v>0</v>
      </c>
      <c r="AV40" s="144">
        <f>IFERROR(_xlfn.XLOOKUP($B40,'Cronog. e Histog.'!$BZ:$BZ,'Cronog. e Histog.'!DQ:DQ),"")</f>
        <v>0</v>
      </c>
      <c r="AW40" s="144">
        <f>IFERROR(_xlfn.XLOOKUP($B40,'Cronog. e Histog.'!$BZ:$BZ,'Cronog. e Histog.'!DR:DR),"")</f>
        <v>0</v>
      </c>
      <c r="AX40" s="144">
        <f>IFERROR(_xlfn.XLOOKUP($B40,'Cronog. e Histog.'!$BZ:$BZ,'Cronog. e Histog.'!DS:DS),"")</f>
        <v>0</v>
      </c>
      <c r="AY40" s="144">
        <f>IFERROR(_xlfn.XLOOKUP($B40,'Cronog. e Histog.'!$BZ:$BZ,'Cronog. e Histog.'!DT:DT),"")</f>
        <v>0</v>
      </c>
      <c r="AZ40" s="144">
        <f>IFERROR(_xlfn.XLOOKUP($B40,'Cronog. e Histog.'!$BZ:$BZ,'Cronog. e Histog.'!DU:DU),"")</f>
        <v>0</v>
      </c>
      <c r="BA40" s="144">
        <f>IFERROR(_xlfn.XLOOKUP($B40,'Cronog. e Histog.'!$BZ:$BZ,'Cronog. e Histog.'!DV:DV),"")</f>
        <v>0</v>
      </c>
      <c r="BB40" s="144">
        <f>IFERROR(_xlfn.XLOOKUP($B40,'Cronog. e Histog.'!$BZ:$BZ,'Cronog. e Histog.'!DW:DW),"")</f>
        <v>0</v>
      </c>
      <c r="BC40" s="144">
        <f>IFERROR(_xlfn.XLOOKUP($B40,'Cronog. e Histog.'!$BZ:$BZ,'Cronog. e Histog.'!DX:DX),"")</f>
        <v>0</v>
      </c>
      <c r="BD40" s="144">
        <f>IFERROR(_xlfn.XLOOKUP($B40,'Cronog. e Histog.'!$BZ:$BZ,'Cronog. e Histog.'!DY:DY),"")</f>
        <v>0</v>
      </c>
      <c r="BE40" s="144">
        <f>IFERROR(_xlfn.XLOOKUP($B40,'Cronog. e Histog.'!$BZ:$BZ,'Cronog. e Histog.'!DZ:DZ),"")</f>
        <v>0</v>
      </c>
      <c r="BF40" s="144">
        <f>IFERROR(_xlfn.XLOOKUP($B40,'Cronog. e Histog.'!$BZ:$BZ,'Cronog. e Histog.'!EA:EA),"")</f>
        <v>0</v>
      </c>
      <c r="BG40" s="144">
        <f>IFERROR(_xlfn.XLOOKUP($B40,'Cronog. e Histog.'!$BZ:$BZ,'Cronog. e Histog.'!EB:EB),"")</f>
        <v>0</v>
      </c>
      <c r="BH40" s="144">
        <f>IFERROR(_xlfn.XLOOKUP($B40,'Cronog. e Histog.'!$BZ:$BZ,'Cronog. e Histog.'!EC:EC),"")</f>
        <v>0</v>
      </c>
      <c r="BI40" s="144">
        <f>IFERROR(_xlfn.XLOOKUP($B40,'Cronog. e Histog.'!$BZ:$BZ,'Cronog. e Histog.'!ED:ED),"")</f>
        <v>0</v>
      </c>
      <c r="BJ40" s="144">
        <f>IFERROR(_xlfn.XLOOKUP($B40,'Cronog. e Histog.'!$BZ:$BZ,'Cronog. e Histog.'!EE:EE),"")</f>
        <v>0</v>
      </c>
      <c r="BK40" s="144">
        <f>IFERROR(_xlfn.XLOOKUP($B40,'Cronog. e Histog.'!$BZ:$BZ,'Cronog. e Histog.'!EF:EF),"")</f>
        <v>0</v>
      </c>
      <c r="BL40" s="144">
        <f>IFERROR(_xlfn.XLOOKUP($B40,'Cronog. e Histog.'!$BZ:$BZ,'Cronog. e Histog.'!EG:EG),"")</f>
        <v>0</v>
      </c>
      <c r="BM40" s="144">
        <f>IFERROR(_xlfn.XLOOKUP($B40,'Cronog. e Histog.'!$BZ:$BZ,'Cronog. e Histog.'!EH:EH),"")</f>
        <v>0</v>
      </c>
      <c r="BN40" s="144">
        <f>IFERROR(_xlfn.XLOOKUP($B40,'Cronog. e Histog.'!$BZ:$BZ,'Cronog. e Histog.'!EI:EI),"")</f>
        <v>0</v>
      </c>
    </row>
    <row r="41" spans="2:66" ht="12" hidden="1" customHeight="1" outlineLevel="1">
      <c r="B41" s="76">
        <v>35</v>
      </c>
      <c r="C41" s="143" t="str">
        <f>IFERROR(VLOOKUP(B41,'Cronog. e Histog.'!$BZ$213:$CA$747,2,0),"")</f>
        <v>TEC I</v>
      </c>
      <c r="D41" s="144">
        <f t="shared" si="0"/>
        <v>0</v>
      </c>
      <c r="E41" s="144">
        <f t="shared" si="1"/>
        <v>0</v>
      </c>
      <c r="F41" s="65"/>
      <c r="G41" s="144">
        <f>IFERROR(_xlfn.XLOOKUP($B41,'Cronog. e Histog.'!$BZ:$BZ,'Cronog. e Histog.'!CB:CB),"")</f>
        <v>0</v>
      </c>
      <c r="H41" s="144">
        <f>IFERROR(_xlfn.XLOOKUP($B41,'Cronog. e Histog.'!$BZ:$BZ,'Cronog. e Histog.'!CC:CC),"")</f>
        <v>0</v>
      </c>
      <c r="I41" s="144">
        <f>IFERROR(_xlfn.XLOOKUP($B41,'Cronog. e Histog.'!$BZ:$BZ,'Cronog. e Histog.'!CD:CD),"")</f>
        <v>0</v>
      </c>
      <c r="J41" s="144">
        <f>IFERROR(_xlfn.XLOOKUP($B41,'Cronog. e Histog.'!$BZ:$BZ,'Cronog. e Histog.'!CE:CE),"")</f>
        <v>0</v>
      </c>
      <c r="K41" s="144">
        <f>IFERROR(_xlfn.XLOOKUP($B41,'Cronog. e Histog.'!$BZ:$BZ,'Cronog. e Histog.'!CF:CF),"")</f>
        <v>0</v>
      </c>
      <c r="L41" s="144">
        <f>IFERROR(_xlfn.XLOOKUP($B41,'Cronog. e Histog.'!$BZ:$BZ,'Cronog. e Histog.'!CG:CG),"")</f>
        <v>0</v>
      </c>
      <c r="M41" s="144">
        <f>IFERROR(_xlfn.XLOOKUP($B41,'Cronog. e Histog.'!$BZ:$BZ,'Cronog. e Histog.'!CH:CH),"")</f>
        <v>0</v>
      </c>
      <c r="N41" s="144">
        <f>IFERROR(_xlfn.XLOOKUP($B41,'Cronog. e Histog.'!$BZ:$BZ,'Cronog. e Histog.'!CI:CI),"")</f>
        <v>0</v>
      </c>
      <c r="O41" s="144">
        <f>IFERROR(_xlfn.XLOOKUP($B41,'Cronog. e Histog.'!$BZ:$BZ,'Cronog. e Histog.'!CJ:CJ),"")</f>
        <v>0</v>
      </c>
      <c r="P41" s="144">
        <f>IFERROR(_xlfn.XLOOKUP($B41,'Cronog. e Histog.'!$BZ:$BZ,'Cronog. e Histog.'!CK:CK),"")</f>
        <v>0</v>
      </c>
      <c r="Q41" s="144">
        <f>IFERROR(_xlfn.XLOOKUP($B41,'Cronog. e Histog.'!$BZ:$BZ,'Cronog. e Histog.'!CL:CL),"")</f>
        <v>0</v>
      </c>
      <c r="R41" s="144">
        <f>IFERROR(_xlfn.XLOOKUP($B41,'Cronog. e Histog.'!$BZ:$BZ,'Cronog. e Histog.'!CM:CM),"")</f>
        <v>0</v>
      </c>
      <c r="S41" s="144">
        <f>IFERROR(_xlfn.XLOOKUP($B41,'Cronog. e Histog.'!$BZ:$BZ,'Cronog. e Histog.'!CN:CN),"")</f>
        <v>0</v>
      </c>
      <c r="T41" s="144">
        <f>IFERROR(_xlfn.XLOOKUP($B41,'Cronog. e Histog.'!$BZ:$BZ,'Cronog. e Histog.'!CO:CO),"")</f>
        <v>0</v>
      </c>
      <c r="U41" s="144">
        <f>IFERROR(_xlfn.XLOOKUP($B41,'Cronog. e Histog.'!$BZ:$BZ,'Cronog. e Histog.'!CP:CP),"")</f>
        <v>0</v>
      </c>
      <c r="V41" s="144">
        <f>IFERROR(_xlfn.XLOOKUP($B41,'Cronog. e Histog.'!$BZ:$BZ,'Cronog. e Histog.'!CQ:CQ),"")</f>
        <v>0</v>
      </c>
      <c r="W41" s="144">
        <f>IFERROR(_xlfn.XLOOKUP($B41,'Cronog. e Histog.'!$BZ:$BZ,'Cronog. e Histog.'!CR:CR),"")</f>
        <v>0</v>
      </c>
      <c r="X41" s="144">
        <f>IFERROR(_xlfn.XLOOKUP($B41,'Cronog. e Histog.'!$BZ:$BZ,'Cronog. e Histog.'!CS:CS),"")</f>
        <v>0</v>
      </c>
      <c r="Y41" s="144">
        <f>IFERROR(_xlfn.XLOOKUP($B41,'Cronog. e Histog.'!$BZ:$BZ,'Cronog. e Histog.'!CT:CT),"")</f>
        <v>0</v>
      </c>
      <c r="Z41" s="144">
        <f>IFERROR(_xlfn.XLOOKUP($B41,'Cronog. e Histog.'!$BZ:$BZ,'Cronog. e Histog.'!CU:CU),"")</f>
        <v>0</v>
      </c>
      <c r="AA41" s="144">
        <f>IFERROR(_xlfn.XLOOKUP($B41,'Cronog. e Histog.'!$BZ:$BZ,'Cronog. e Histog.'!CV:CV),"")</f>
        <v>0</v>
      </c>
      <c r="AB41" s="144">
        <f>IFERROR(_xlfn.XLOOKUP($B41,'Cronog. e Histog.'!$BZ:$BZ,'Cronog. e Histog.'!CW:CW),"")</f>
        <v>0</v>
      </c>
      <c r="AC41" s="144">
        <f>IFERROR(_xlfn.XLOOKUP($B41,'Cronog. e Histog.'!$BZ:$BZ,'Cronog. e Histog.'!CX:CX),"")</f>
        <v>0</v>
      </c>
      <c r="AD41" s="144">
        <f>IFERROR(_xlfn.XLOOKUP($B41,'Cronog. e Histog.'!$BZ:$BZ,'Cronog. e Histog.'!CY:CY),"")</f>
        <v>0</v>
      </c>
      <c r="AE41" s="144">
        <f>IFERROR(_xlfn.XLOOKUP($B41,'Cronog. e Histog.'!$BZ:$BZ,'Cronog. e Histog.'!CZ:CZ),"")</f>
        <v>0</v>
      </c>
      <c r="AF41" s="144">
        <f>IFERROR(_xlfn.XLOOKUP($B41,'Cronog. e Histog.'!$BZ:$BZ,'Cronog. e Histog.'!DA:DA),"")</f>
        <v>0</v>
      </c>
      <c r="AG41" s="144">
        <f>IFERROR(_xlfn.XLOOKUP($B41,'Cronog. e Histog.'!$BZ:$BZ,'Cronog. e Histog.'!DB:DB),"")</f>
        <v>0</v>
      </c>
      <c r="AH41" s="144">
        <f>IFERROR(_xlfn.XLOOKUP($B41,'Cronog. e Histog.'!$BZ:$BZ,'Cronog. e Histog.'!DC:DC),"")</f>
        <v>0</v>
      </c>
      <c r="AI41" s="144">
        <f>IFERROR(_xlfn.XLOOKUP($B41,'Cronog. e Histog.'!$BZ:$BZ,'Cronog. e Histog.'!DD:DD),"")</f>
        <v>0</v>
      </c>
      <c r="AJ41" s="144">
        <f>IFERROR(_xlfn.XLOOKUP($B41,'Cronog. e Histog.'!$BZ:$BZ,'Cronog. e Histog.'!DE:DE),"")</f>
        <v>0</v>
      </c>
      <c r="AK41" s="144">
        <f>IFERROR(_xlfn.XLOOKUP($B41,'Cronog. e Histog.'!$BZ:$BZ,'Cronog. e Histog.'!DF:DF),"")</f>
        <v>0</v>
      </c>
      <c r="AL41" s="144">
        <f>IFERROR(_xlfn.XLOOKUP($B41,'Cronog. e Histog.'!$BZ:$BZ,'Cronog. e Histog.'!DG:DG),"")</f>
        <v>0</v>
      </c>
      <c r="AM41" s="144">
        <f>IFERROR(_xlfn.XLOOKUP($B41,'Cronog. e Histog.'!$BZ:$BZ,'Cronog. e Histog.'!DH:DH),"")</f>
        <v>0</v>
      </c>
      <c r="AN41" s="144">
        <f>IFERROR(_xlfn.XLOOKUP($B41,'Cronog. e Histog.'!$BZ:$BZ,'Cronog. e Histog.'!DI:DI),"")</f>
        <v>0</v>
      </c>
      <c r="AO41" s="144">
        <f>IFERROR(_xlfn.XLOOKUP($B41,'Cronog. e Histog.'!$BZ:$BZ,'Cronog. e Histog.'!DJ:DJ),"")</f>
        <v>0</v>
      </c>
      <c r="AP41" s="144">
        <f>IFERROR(_xlfn.XLOOKUP($B41,'Cronog. e Histog.'!$BZ:$BZ,'Cronog. e Histog.'!DK:DK),"")</f>
        <v>0</v>
      </c>
      <c r="AQ41" s="144">
        <f>IFERROR(_xlfn.XLOOKUP($B41,'Cronog. e Histog.'!$BZ:$BZ,'Cronog. e Histog.'!DL:DL),"")</f>
        <v>0</v>
      </c>
      <c r="AR41" s="144">
        <f>IFERROR(_xlfn.XLOOKUP($B41,'Cronog. e Histog.'!$BZ:$BZ,'Cronog. e Histog.'!DM:DM),"")</f>
        <v>0</v>
      </c>
      <c r="AS41" s="144">
        <f>IFERROR(_xlfn.XLOOKUP($B41,'Cronog. e Histog.'!$BZ:$BZ,'Cronog. e Histog.'!DN:DN),"")</f>
        <v>0</v>
      </c>
      <c r="AT41" s="144">
        <f>IFERROR(_xlfn.XLOOKUP($B41,'Cronog. e Histog.'!$BZ:$BZ,'Cronog. e Histog.'!DO:DO),"")</f>
        <v>0</v>
      </c>
      <c r="AU41" s="144">
        <f>IFERROR(_xlfn.XLOOKUP($B41,'Cronog. e Histog.'!$BZ:$BZ,'Cronog. e Histog.'!DP:DP),"")</f>
        <v>0</v>
      </c>
      <c r="AV41" s="144">
        <f>IFERROR(_xlfn.XLOOKUP($B41,'Cronog. e Histog.'!$BZ:$BZ,'Cronog. e Histog.'!DQ:DQ),"")</f>
        <v>0</v>
      </c>
      <c r="AW41" s="144">
        <f>IFERROR(_xlfn.XLOOKUP($B41,'Cronog. e Histog.'!$BZ:$BZ,'Cronog. e Histog.'!DR:DR),"")</f>
        <v>0</v>
      </c>
      <c r="AX41" s="144">
        <f>IFERROR(_xlfn.XLOOKUP($B41,'Cronog. e Histog.'!$BZ:$BZ,'Cronog. e Histog.'!DS:DS),"")</f>
        <v>0</v>
      </c>
      <c r="AY41" s="144">
        <f>IFERROR(_xlfn.XLOOKUP($B41,'Cronog. e Histog.'!$BZ:$BZ,'Cronog. e Histog.'!DT:DT),"")</f>
        <v>0</v>
      </c>
      <c r="AZ41" s="144">
        <f>IFERROR(_xlfn.XLOOKUP($B41,'Cronog. e Histog.'!$BZ:$BZ,'Cronog. e Histog.'!DU:DU),"")</f>
        <v>0</v>
      </c>
      <c r="BA41" s="144">
        <f>IFERROR(_xlfn.XLOOKUP($B41,'Cronog. e Histog.'!$BZ:$BZ,'Cronog. e Histog.'!DV:DV),"")</f>
        <v>0</v>
      </c>
      <c r="BB41" s="144">
        <f>IFERROR(_xlfn.XLOOKUP($B41,'Cronog. e Histog.'!$BZ:$BZ,'Cronog. e Histog.'!DW:DW),"")</f>
        <v>0</v>
      </c>
      <c r="BC41" s="144">
        <f>IFERROR(_xlfn.XLOOKUP($B41,'Cronog. e Histog.'!$BZ:$BZ,'Cronog. e Histog.'!DX:DX),"")</f>
        <v>0</v>
      </c>
      <c r="BD41" s="144">
        <f>IFERROR(_xlfn.XLOOKUP($B41,'Cronog. e Histog.'!$BZ:$BZ,'Cronog. e Histog.'!DY:DY),"")</f>
        <v>0</v>
      </c>
      <c r="BE41" s="144">
        <f>IFERROR(_xlfn.XLOOKUP($B41,'Cronog. e Histog.'!$BZ:$BZ,'Cronog. e Histog.'!DZ:DZ),"")</f>
        <v>0</v>
      </c>
      <c r="BF41" s="144">
        <f>IFERROR(_xlfn.XLOOKUP($B41,'Cronog. e Histog.'!$BZ:$BZ,'Cronog. e Histog.'!EA:EA),"")</f>
        <v>0</v>
      </c>
      <c r="BG41" s="144">
        <f>IFERROR(_xlfn.XLOOKUP($B41,'Cronog. e Histog.'!$BZ:$BZ,'Cronog. e Histog.'!EB:EB),"")</f>
        <v>0</v>
      </c>
      <c r="BH41" s="144">
        <f>IFERROR(_xlfn.XLOOKUP($B41,'Cronog. e Histog.'!$BZ:$BZ,'Cronog. e Histog.'!EC:EC),"")</f>
        <v>0</v>
      </c>
      <c r="BI41" s="144">
        <f>IFERROR(_xlfn.XLOOKUP($B41,'Cronog. e Histog.'!$BZ:$BZ,'Cronog. e Histog.'!ED:ED),"")</f>
        <v>0</v>
      </c>
      <c r="BJ41" s="144">
        <f>IFERROR(_xlfn.XLOOKUP($B41,'Cronog. e Histog.'!$BZ:$BZ,'Cronog. e Histog.'!EE:EE),"")</f>
        <v>0</v>
      </c>
      <c r="BK41" s="144">
        <f>IFERROR(_xlfn.XLOOKUP($B41,'Cronog. e Histog.'!$BZ:$BZ,'Cronog. e Histog.'!EF:EF),"")</f>
        <v>0</v>
      </c>
      <c r="BL41" s="144">
        <f>IFERROR(_xlfn.XLOOKUP($B41,'Cronog. e Histog.'!$BZ:$BZ,'Cronog. e Histog.'!EG:EG),"")</f>
        <v>0</v>
      </c>
      <c r="BM41" s="144">
        <f>IFERROR(_xlfn.XLOOKUP($B41,'Cronog. e Histog.'!$BZ:$BZ,'Cronog. e Histog.'!EH:EH),"")</f>
        <v>0</v>
      </c>
      <c r="BN41" s="144">
        <f>IFERROR(_xlfn.XLOOKUP($B41,'Cronog. e Histog.'!$BZ:$BZ,'Cronog. e Histog.'!EI:EI),"")</f>
        <v>0</v>
      </c>
    </row>
    <row r="42" spans="2:66" ht="12" hidden="1" customHeight="1" outlineLevel="1">
      <c r="B42" s="76">
        <v>36</v>
      </c>
      <c r="C42" s="143" t="str">
        <f>IFERROR(VLOOKUP(B42,'Cronog. e Histog.'!$BZ$213:$CA$747,2,0),"")</f>
        <v>AUX TEC</v>
      </c>
      <c r="D42" s="144">
        <f t="shared" si="0"/>
        <v>0</v>
      </c>
      <c r="E42" s="144">
        <f t="shared" si="1"/>
        <v>0</v>
      </c>
      <c r="F42" s="65"/>
      <c r="G42" s="144">
        <f>IFERROR(_xlfn.XLOOKUP($B42,'Cronog. e Histog.'!$BZ:$BZ,'Cronog. e Histog.'!CB:CB),"")</f>
        <v>0</v>
      </c>
      <c r="H42" s="144">
        <f>IFERROR(_xlfn.XLOOKUP($B42,'Cronog. e Histog.'!$BZ:$BZ,'Cronog. e Histog.'!CC:CC),"")</f>
        <v>0</v>
      </c>
      <c r="I42" s="144">
        <f>IFERROR(_xlfn.XLOOKUP($B42,'Cronog. e Histog.'!$BZ:$BZ,'Cronog. e Histog.'!CD:CD),"")</f>
        <v>0</v>
      </c>
      <c r="J42" s="144">
        <f>IFERROR(_xlfn.XLOOKUP($B42,'Cronog. e Histog.'!$BZ:$BZ,'Cronog. e Histog.'!CE:CE),"")</f>
        <v>0</v>
      </c>
      <c r="K42" s="144">
        <f>IFERROR(_xlfn.XLOOKUP($B42,'Cronog. e Histog.'!$BZ:$BZ,'Cronog. e Histog.'!CF:CF),"")</f>
        <v>0</v>
      </c>
      <c r="L42" s="144">
        <f>IFERROR(_xlfn.XLOOKUP($B42,'Cronog. e Histog.'!$BZ:$BZ,'Cronog. e Histog.'!CG:CG),"")</f>
        <v>0</v>
      </c>
      <c r="M42" s="144">
        <f>IFERROR(_xlfn.XLOOKUP($B42,'Cronog. e Histog.'!$BZ:$BZ,'Cronog. e Histog.'!CH:CH),"")</f>
        <v>0</v>
      </c>
      <c r="N42" s="144">
        <f>IFERROR(_xlfn.XLOOKUP($B42,'Cronog. e Histog.'!$BZ:$BZ,'Cronog. e Histog.'!CI:CI),"")</f>
        <v>0</v>
      </c>
      <c r="O42" s="144">
        <f>IFERROR(_xlfn.XLOOKUP($B42,'Cronog. e Histog.'!$BZ:$BZ,'Cronog. e Histog.'!CJ:CJ),"")</f>
        <v>0</v>
      </c>
      <c r="P42" s="144">
        <f>IFERROR(_xlfn.XLOOKUP($B42,'Cronog. e Histog.'!$BZ:$BZ,'Cronog. e Histog.'!CK:CK),"")</f>
        <v>0</v>
      </c>
      <c r="Q42" s="144">
        <f>IFERROR(_xlfn.XLOOKUP($B42,'Cronog. e Histog.'!$BZ:$BZ,'Cronog. e Histog.'!CL:CL),"")</f>
        <v>0</v>
      </c>
      <c r="R42" s="144">
        <f>IFERROR(_xlfn.XLOOKUP($B42,'Cronog. e Histog.'!$BZ:$BZ,'Cronog. e Histog.'!CM:CM),"")</f>
        <v>0</v>
      </c>
      <c r="S42" s="144">
        <f>IFERROR(_xlfn.XLOOKUP($B42,'Cronog. e Histog.'!$BZ:$BZ,'Cronog. e Histog.'!CN:CN),"")</f>
        <v>0</v>
      </c>
      <c r="T42" s="144">
        <f>IFERROR(_xlfn.XLOOKUP($B42,'Cronog. e Histog.'!$BZ:$BZ,'Cronog. e Histog.'!CO:CO),"")</f>
        <v>0</v>
      </c>
      <c r="U42" s="144">
        <f>IFERROR(_xlfn.XLOOKUP($B42,'Cronog. e Histog.'!$BZ:$BZ,'Cronog. e Histog.'!CP:CP),"")</f>
        <v>0</v>
      </c>
      <c r="V42" s="144">
        <f>IFERROR(_xlfn.XLOOKUP($B42,'Cronog. e Histog.'!$BZ:$BZ,'Cronog. e Histog.'!CQ:CQ),"")</f>
        <v>0</v>
      </c>
      <c r="W42" s="144">
        <f>IFERROR(_xlfn.XLOOKUP($B42,'Cronog. e Histog.'!$BZ:$BZ,'Cronog. e Histog.'!CR:CR),"")</f>
        <v>0</v>
      </c>
      <c r="X42" s="144">
        <f>IFERROR(_xlfn.XLOOKUP($B42,'Cronog. e Histog.'!$BZ:$BZ,'Cronog. e Histog.'!CS:CS),"")</f>
        <v>0</v>
      </c>
      <c r="Y42" s="144">
        <f>IFERROR(_xlfn.XLOOKUP($B42,'Cronog. e Histog.'!$BZ:$BZ,'Cronog. e Histog.'!CT:CT),"")</f>
        <v>0</v>
      </c>
      <c r="Z42" s="144">
        <f>IFERROR(_xlfn.XLOOKUP($B42,'Cronog. e Histog.'!$BZ:$BZ,'Cronog. e Histog.'!CU:CU),"")</f>
        <v>0</v>
      </c>
      <c r="AA42" s="144">
        <f>IFERROR(_xlfn.XLOOKUP($B42,'Cronog. e Histog.'!$BZ:$BZ,'Cronog. e Histog.'!CV:CV),"")</f>
        <v>0</v>
      </c>
      <c r="AB42" s="144">
        <f>IFERROR(_xlfn.XLOOKUP($B42,'Cronog. e Histog.'!$BZ:$BZ,'Cronog. e Histog.'!CW:CW),"")</f>
        <v>0</v>
      </c>
      <c r="AC42" s="144">
        <f>IFERROR(_xlfn.XLOOKUP($B42,'Cronog. e Histog.'!$BZ:$BZ,'Cronog. e Histog.'!CX:CX),"")</f>
        <v>0</v>
      </c>
      <c r="AD42" s="144">
        <f>IFERROR(_xlfn.XLOOKUP($B42,'Cronog. e Histog.'!$BZ:$BZ,'Cronog. e Histog.'!CY:CY),"")</f>
        <v>0</v>
      </c>
      <c r="AE42" s="144">
        <f>IFERROR(_xlfn.XLOOKUP($B42,'Cronog. e Histog.'!$BZ:$BZ,'Cronog. e Histog.'!CZ:CZ),"")</f>
        <v>0</v>
      </c>
      <c r="AF42" s="144">
        <f>IFERROR(_xlfn.XLOOKUP($B42,'Cronog. e Histog.'!$BZ:$BZ,'Cronog. e Histog.'!DA:DA),"")</f>
        <v>0</v>
      </c>
      <c r="AG42" s="144">
        <f>IFERROR(_xlfn.XLOOKUP($B42,'Cronog. e Histog.'!$BZ:$BZ,'Cronog. e Histog.'!DB:DB),"")</f>
        <v>0</v>
      </c>
      <c r="AH42" s="144">
        <f>IFERROR(_xlfn.XLOOKUP($B42,'Cronog. e Histog.'!$BZ:$BZ,'Cronog. e Histog.'!DC:DC),"")</f>
        <v>0</v>
      </c>
      <c r="AI42" s="144">
        <f>IFERROR(_xlfn.XLOOKUP($B42,'Cronog. e Histog.'!$BZ:$BZ,'Cronog. e Histog.'!DD:DD),"")</f>
        <v>0</v>
      </c>
      <c r="AJ42" s="144">
        <f>IFERROR(_xlfn.XLOOKUP($B42,'Cronog. e Histog.'!$BZ:$BZ,'Cronog. e Histog.'!DE:DE),"")</f>
        <v>0</v>
      </c>
      <c r="AK42" s="144">
        <f>IFERROR(_xlfn.XLOOKUP($B42,'Cronog. e Histog.'!$BZ:$BZ,'Cronog. e Histog.'!DF:DF),"")</f>
        <v>0</v>
      </c>
      <c r="AL42" s="144">
        <f>IFERROR(_xlfn.XLOOKUP($B42,'Cronog. e Histog.'!$BZ:$BZ,'Cronog. e Histog.'!DG:DG),"")</f>
        <v>0</v>
      </c>
      <c r="AM42" s="144">
        <f>IFERROR(_xlfn.XLOOKUP($B42,'Cronog. e Histog.'!$BZ:$BZ,'Cronog. e Histog.'!DH:DH),"")</f>
        <v>0</v>
      </c>
      <c r="AN42" s="144">
        <f>IFERROR(_xlfn.XLOOKUP($B42,'Cronog. e Histog.'!$BZ:$BZ,'Cronog. e Histog.'!DI:DI),"")</f>
        <v>0</v>
      </c>
      <c r="AO42" s="144">
        <f>IFERROR(_xlfn.XLOOKUP($B42,'Cronog. e Histog.'!$BZ:$BZ,'Cronog. e Histog.'!DJ:DJ),"")</f>
        <v>0</v>
      </c>
      <c r="AP42" s="144">
        <f>IFERROR(_xlfn.XLOOKUP($B42,'Cronog. e Histog.'!$BZ:$BZ,'Cronog. e Histog.'!DK:DK),"")</f>
        <v>0</v>
      </c>
      <c r="AQ42" s="144">
        <f>IFERROR(_xlfn.XLOOKUP($B42,'Cronog. e Histog.'!$BZ:$BZ,'Cronog. e Histog.'!DL:DL),"")</f>
        <v>0</v>
      </c>
      <c r="AR42" s="144">
        <f>IFERROR(_xlfn.XLOOKUP($B42,'Cronog. e Histog.'!$BZ:$BZ,'Cronog. e Histog.'!DM:DM),"")</f>
        <v>0</v>
      </c>
      <c r="AS42" s="144">
        <f>IFERROR(_xlfn.XLOOKUP($B42,'Cronog. e Histog.'!$BZ:$BZ,'Cronog. e Histog.'!DN:DN),"")</f>
        <v>0</v>
      </c>
      <c r="AT42" s="144">
        <f>IFERROR(_xlfn.XLOOKUP($B42,'Cronog. e Histog.'!$BZ:$BZ,'Cronog. e Histog.'!DO:DO),"")</f>
        <v>0</v>
      </c>
      <c r="AU42" s="144">
        <f>IFERROR(_xlfn.XLOOKUP($B42,'Cronog. e Histog.'!$BZ:$BZ,'Cronog. e Histog.'!DP:DP),"")</f>
        <v>0</v>
      </c>
      <c r="AV42" s="144">
        <f>IFERROR(_xlfn.XLOOKUP($B42,'Cronog. e Histog.'!$BZ:$BZ,'Cronog. e Histog.'!DQ:DQ),"")</f>
        <v>0</v>
      </c>
      <c r="AW42" s="144">
        <f>IFERROR(_xlfn.XLOOKUP($B42,'Cronog. e Histog.'!$BZ:$BZ,'Cronog. e Histog.'!DR:DR),"")</f>
        <v>0</v>
      </c>
      <c r="AX42" s="144">
        <f>IFERROR(_xlfn.XLOOKUP($B42,'Cronog. e Histog.'!$BZ:$BZ,'Cronog. e Histog.'!DS:DS),"")</f>
        <v>0</v>
      </c>
      <c r="AY42" s="144">
        <f>IFERROR(_xlfn.XLOOKUP($B42,'Cronog. e Histog.'!$BZ:$BZ,'Cronog. e Histog.'!DT:DT),"")</f>
        <v>0</v>
      </c>
      <c r="AZ42" s="144">
        <f>IFERROR(_xlfn.XLOOKUP($B42,'Cronog. e Histog.'!$BZ:$BZ,'Cronog. e Histog.'!DU:DU),"")</f>
        <v>0</v>
      </c>
      <c r="BA42" s="144">
        <f>IFERROR(_xlfn.XLOOKUP($B42,'Cronog. e Histog.'!$BZ:$BZ,'Cronog. e Histog.'!DV:DV),"")</f>
        <v>0</v>
      </c>
      <c r="BB42" s="144">
        <f>IFERROR(_xlfn.XLOOKUP($B42,'Cronog. e Histog.'!$BZ:$BZ,'Cronog. e Histog.'!DW:DW),"")</f>
        <v>0</v>
      </c>
      <c r="BC42" s="144">
        <f>IFERROR(_xlfn.XLOOKUP($B42,'Cronog. e Histog.'!$BZ:$BZ,'Cronog. e Histog.'!DX:DX),"")</f>
        <v>0</v>
      </c>
      <c r="BD42" s="144">
        <f>IFERROR(_xlfn.XLOOKUP($B42,'Cronog. e Histog.'!$BZ:$BZ,'Cronog. e Histog.'!DY:DY),"")</f>
        <v>0</v>
      </c>
      <c r="BE42" s="144">
        <f>IFERROR(_xlfn.XLOOKUP($B42,'Cronog. e Histog.'!$BZ:$BZ,'Cronog. e Histog.'!DZ:DZ),"")</f>
        <v>0</v>
      </c>
      <c r="BF42" s="144">
        <f>IFERROR(_xlfn.XLOOKUP($B42,'Cronog. e Histog.'!$BZ:$BZ,'Cronog. e Histog.'!EA:EA),"")</f>
        <v>0</v>
      </c>
      <c r="BG42" s="144">
        <f>IFERROR(_xlfn.XLOOKUP($B42,'Cronog. e Histog.'!$BZ:$BZ,'Cronog. e Histog.'!EB:EB),"")</f>
        <v>0</v>
      </c>
      <c r="BH42" s="144">
        <f>IFERROR(_xlfn.XLOOKUP($B42,'Cronog. e Histog.'!$BZ:$BZ,'Cronog. e Histog.'!EC:EC),"")</f>
        <v>0</v>
      </c>
      <c r="BI42" s="144">
        <f>IFERROR(_xlfn.XLOOKUP($B42,'Cronog. e Histog.'!$BZ:$BZ,'Cronog. e Histog.'!ED:ED),"")</f>
        <v>0</v>
      </c>
      <c r="BJ42" s="144">
        <f>IFERROR(_xlfn.XLOOKUP($B42,'Cronog. e Histog.'!$BZ:$BZ,'Cronog. e Histog.'!EE:EE),"")</f>
        <v>0</v>
      </c>
      <c r="BK42" s="144">
        <f>IFERROR(_xlfn.XLOOKUP($B42,'Cronog. e Histog.'!$BZ:$BZ,'Cronog. e Histog.'!EF:EF),"")</f>
        <v>0</v>
      </c>
      <c r="BL42" s="144">
        <f>IFERROR(_xlfn.XLOOKUP($B42,'Cronog. e Histog.'!$BZ:$BZ,'Cronog. e Histog.'!EG:EG),"")</f>
        <v>0</v>
      </c>
      <c r="BM42" s="144">
        <f>IFERROR(_xlfn.XLOOKUP($B42,'Cronog. e Histog.'!$BZ:$BZ,'Cronog. e Histog.'!EH:EH),"")</f>
        <v>0</v>
      </c>
      <c r="BN42" s="144">
        <f>IFERROR(_xlfn.XLOOKUP($B42,'Cronog. e Histog.'!$BZ:$BZ,'Cronog. e Histog.'!EI:EI),"")</f>
        <v>0</v>
      </c>
    </row>
    <row r="43" spans="2:66" ht="12" hidden="1" customHeight="1" outlineLevel="1">
      <c r="B43" s="76">
        <v>37</v>
      </c>
      <c r="C43" s="143" t="str">
        <f>IFERROR(VLOOKUP(B43,'Cronog. e Histog.'!$BZ$213:$CA$747,2,0),"")</f>
        <v>AUX ADM</v>
      </c>
      <c r="D43" s="144">
        <f t="shared" si="0"/>
        <v>0</v>
      </c>
      <c r="E43" s="144">
        <f t="shared" si="1"/>
        <v>0</v>
      </c>
      <c r="F43" s="65"/>
      <c r="G43" s="144">
        <f>IFERROR(_xlfn.XLOOKUP($B43,'Cronog. e Histog.'!$BZ:$BZ,'Cronog. e Histog.'!CB:CB),"")</f>
        <v>0</v>
      </c>
      <c r="H43" s="144">
        <f>IFERROR(_xlfn.XLOOKUP($B43,'Cronog. e Histog.'!$BZ:$BZ,'Cronog. e Histog.'!CC:CC),"")</f>
        <v>0</v>
      </c>
      <c r="I43" s="144">
        <f>IFERROR(_xlfn.XLOOKUP($B43,'Cronog. e Histog.'!$BZ:$BZ,'Cronog. e Histog.'!CD:CD),"")</f>
        <v>0</v>
      </c>
      <c r="J43" s="144">
        <f>IFERROR(_xlfn.XLOOKUP($B43,'Cronog. e Histog.'!$BZ:$BZ,'Cronog. e Histog.'!CE:CE),"")</f>
        <v>0</v>
      </c>
      <c r="K43" s="144">
        <f>IFERROR(_xlfn.XLOOKUP($B43,'Cronog. e Histog.'!$BZ:$BZ,'Cronog. e Histog.'!CF:CF),"")</f>
        <v>0</v>
      </c>
      <c r="L43" s="144">
        <f>IFERROR(_xlfn.XLOOKUP($B43,'Cronog. e Histog.'!$BZ:$BZ,'Cronog. e Histog.'!CG:CG),"")</f>
        <v>0</v>
      </c>
      <c r="M43" s="144">
        <f>IFERROR(_xlfn.XLOOKUP($B43,'Cronog. e Histog.'!$BZ:$BZ,'Cronog. e Histog.'!CH:CH),"")</f>
        <v>0</v>
      </c>
      <c r="N43" s="144">
        <f>IFERROR(_xlfn.XLOOKUP($B43,'Cronog. e Histog.'!$BZ:$BZ,'Cronog. e Histog.'!CI:CI),"")</f>
        <v>0</v>
      </c>
      <c r="O43" s="144">
        <f>IFERROR(_xlfn.XLOOKUP($B43,'Cronog. e Histog.'!$BZ:$BZ,'Cronog. e Histog.'!CJ:CJ),"")</f>
        <v>0</v>
      </c>
      <c r="P43" s="144">
        <f>IFERROR(_xlfn.XLOOKUP($B43,'Cronog. e Histog.'!$BZ:$BZ,'Cronog. e Histog.'!CK:CK),"")</f>
        <v>0</v>
      </c>
      <c r="Q43" s="144">
        <f>IFERROR(_xlfn.XLOOKUP($B43,'Cronog. e Histog.'!$BZ:$BZ,'Cronog. e Histog.'!CL:CL),"")</f>
        <v>0</v>
      </c>
      <c r="R43" s="144">
        <f>IFERROR(_xlfn.XLOOKUP($B43,'Cronog. e Histog.'!$BZ:$BZ,'Cronog. e Histog.'!CM:CM),"")</f>
        <v>0</v>
      </c>
      <c r="S43" s="144">
        <f>IFERROR(_xlfn.XLOOKUP($B43,'Cronog. e Histog.'!$BZ:$BZ,'Cronog. e Histog.'!CN:CN),"")</f>
        <v>0</v>
      </c>
      <c r="T43" s="144">
        <f>IFERROR(_xlfn.XLOOKUP($B43,'Cronog. e Histog.'!$BZ:$BZ,'Cronog. e Histog.'!CO:CO),"")</f>
        <v>0</v>
      </c>
      <c r="U43" s="144">
        <f>IFERROR(_xlfn.XLOOKUP($B43,'Cronog. e Histog.'!$BZ:$BZ,'Cronog. e Histog.'!CP:CP),"")</f>
        <v>0</v>
      </c>
      <c r="V43" s="144">
        <f>IFERROR(_xlfn.XLOOKUP($B43,'Cronog. e Histog.'!$BZ:$BZ,'Cronog. e Histog.'!CQ:CQ),"")</f>
        <v>0</v>
      </c>
      <c r="W43" s="144">
        <f>IFERROR(_xlfn.XLOOKUP($B43,'Cronog. e Histog.'!$BZ:$BZ,'Cronog. e Histog.'!CR:CR),"")</f>
        <v>0</v>
      </c>
      <c r="X43" s="144">
        <f>IFERROR(_xlfn.XLOOKUP($B43,'Cronog. e Histog.'!$BZ:$BZ,'Cronog. e Histog.'!CS:CS),"")</f>
        <v>0</v>
      </c>
      <c r="Y43" s="144">
        <f>IFERROR(_xlfn.XLOOKUP($B43,'Cronog. e Histog.'!$BZ:$BZ,'Cronog. e Histog.'!CT:CT),"")</f>
        <v>0</v>
      </c>
      <c r="Z43" s="144">
        <f>IFERROR(_xlfn.XLOOKUP($B43,'Cronog. e Histog.'!$BZ:$BZ,'Cronog. e Histog.'!CU:CU),"")</f>
        <v>0</v>
      </c>
      <c r="AA43" s="144">
        <f>IFERROR(_xlfn.XLOOKUP($B43,'Cronog. e Histog.'!$BZ:$BZ,'Cronog. e Histog.'!CV:CV),"")</f>
        <v>0</v>
      </c>
      <c r="AB43" s="144">
        <f>IFERROR(_xlfn.XLOOKUP($B43,'Cronog. e Histog.'!$BZ:$BZ,'Cronog. e Histog.'!CW:CW),"")</f>
        <v>0</v>
      </c>
      <c r="AC43" s="144">
        <f>IFERROR(_xlfn.XLOOKUP($B43,'Cronog. e Histog.'!$BZ:$BZ,'Cronog. e Histog.'!CX:CX),"")</f>
        <v>0</v>
      </c>
      <c r="AD43" s="144">
        <f>IFERROR(_xlfn.XLOOKUP($B43,'Cronog. e Histog.'!$BZ:$BZ,'Cronog. e Histog.'!CY:CY),"")</f>
        <v>0</v>
      </c>
      <c r="AE43" s="144">
        <f>IFERROR(_xlfn.XLOOKUP($B43,'Cronog. e Histog.'!$BZ:$BZ,'Cronog. e Histog.'!CZ:CZ),"")</f>
        <v>0</v>
      </c>
      <c r="AF43" s="144">
        <f>IFERROR(_xlfn.XLOOKUP($B43,'Cronog. e Histog.'!$BZ:$BZ,'Cronog. e Histog.'!DA:DA),"")</f>
        <v>0</v>
      </c>
      <c r="AG43" s="144">
        <f>IFERROR(_xlfn.XLOOKUP($B43,'Cronog. e Histog.'!$BZ:$BZ,'Cronog. e Histog.'!DB:DB),"")</f>
        <v>0</v>
      </c>
      <c r="AH43" s="144">
        <f>IFERROR(_xlfn.XLOOKUP($B43,'Cronog. e Histog.'!$BZ:$BZ,'Cronog. e Histog.'!DC:DC),"")</f>
        <v>0</v>
      </c>
      <c r="AI43" s="144">
        <f>IFERROR(_xlfn.XLOOKUP($B43,'Cronog. e Histog.'!$BZ:$BZ,'Cronog. e Histog.'!DD:DD),"")</f>
        <v>0</v>
      </c>
      <c r="AJ43" s="144">
        <f>IFERROR(_xlfn.XLOOKUP($B43,'Cronog. e Histog.'!$BZ:$BZ,'Cronog. e Histog.'!DE:DE),"")</f>
        <v>0</v>
      </c>
      <c r="AK43" s="144">
        <f>IFERROR(_xlfn.XLOOKUP($B43,'Cronog. e Histog.'!$BZ:$BZ,'Cronog. e Histog.'!DF:DF),"")</f>
        <v>0</v>
      </c>
      <c r="AL43" s="144">
        <f>IFERROR(_xlfn.XLOOKUP($B43,'Cronog. e Histog.'!$BZ:$BZ,'Cronog. e Histog.'!DG:DG),"")</f>
        <v>0</v>
      </c>
      <c r="AM43" s="144">
        <f>IFERROR(_xlfn.XLOOKUP($B43,'Cronog. e Histog.'!$BZ:$BZ,'Cronog. e Histog.'!DH:DH),"")</f>
        <v>0</v>
      </c>
      <c r="AN43" s="144">
        <f>IFERROR(_xlfn.XLOOKUP($B43,'Cronog. e Histog.'!$BZ:$BZ,'Cronog. e Histog.'!DI:DI),"")</f>
        <v>0</v>
      </c>
      <c r="AO43" s="144">
        <f>IFERROR(_xlfn.XLOOKUP($B43,'Cronog. e Histog.'!$BZ:$BZ,'Cronog. e Histog.'!DJ:DJ),"")</f>
        <v>0</v>
      </c>
      <c r="AP43" s="144">
        <f>IFERROR(_xlfn.XLOOKUP($B43,'Cronog. e Histog.'!$BZ:$BZ,'Cronog. e Histog.'!DK:DK),"")</f>
        <v>0</v>
      </c>
      <c r="AQ43" s="144">
        <f>IFERROR(_xlfn.XLOOKUP($B43,'Cronog. e Histog.'!$BZ:$BZ,'Cronog. e Histog.'!DL:DL),"")</f>
        <v>0</v>
      </c>
      <c r="AR43" s="144">
        <f>IFERROR(_xlfn.XLOOKUP($B43,'Cronog. e Histog.'!$BZ:$BZ,'Cronog. e Histog.'!DM:DM),"")</f>
        <v>0</v>
      </c>
      <c r="AS43" s="144">
        <f>IFERROR(_xlfn.XLOOKUP($B43,'Cronog. e Histog.'!$BZ:$BZ,'Cronog. e Histog.'!DN:DN),"")</f>
        <v>0</v>
      </c>
      <c r="AT43" s="144">
        <f>IFERROR(_xlfn.XLOOKUP($B43,'Cronog. e Histog.'!$BZ:$BZ,'Cronog. e Histog.'!DO:DO),"")</f>
        <v>0</v>
      </c>
      <c r="AU43" s="144">
        <f>IFERROR(_xlfn.XLOOKUP($B43,'Cronog. e Histog.'!$BZ:$BZ,'Cronog. e Histog.'!DP:DP),"")</f>
        <v>0</v>
      </c>
      <c r="AV43" s="144">
        <f>IFERROR(_xlfn.XLOOKUP($B43,'Cronog. e Histog.'!$BZ:$BZ,'Cronog. e Histog.'!DQ:DQ),"")</f>
        <v>0</v>
      </c>
      <c r="AW43" s="144">
        <f>IFERROR(_xlfn.XLOOKUP($B43,'Cronog. e Histog.'!$BZ:$BZ,'Cronog. e Histog.'!DR:DR),"")</f>
        <v>0</v>
      </c>
      <c r="AX43" s="144">
        <f>IFERROR(_xlfn.XLOOKUP($B43,'Cronog. e Histog.'!$BZ:$BZ,'Cronog. e Histog.'!DS:DS),"")</f>
        <v>0</v>
      </c>
      <c r="AY43" s="144">
        <f>IFERROR(_xlfn.XLOOKUP($B43,'Cronog. e Histog.'!$BZ:$BZ,'Cronog. e Histog.'!DT:DT),"")</f>
        <v>0</v>
      </c>
      <c r="AZ43" s="144">
        <f>IFERROR(_xlfn.XLOOKUP($B43,'Cronog. e Histog.'!$BZ:$BZ,'Cronog. e Histog.'!DU:DU),"")</f>
        <v>0</v>
      </c>
      <c r="BA43" s="144">
        <f>IFERROR(_xlfn.XLOOKUP($B43,'Cronog. e Histog.'!$BZ:$BZ,'Cronog. e Histog.'!DV:DV),"")</f>
        <v>0</v>
      </c>
      <c r="BB43" s="144">
        <f>IFERROR(_xlfn.XLOOKUP($B43,'Cronog. e Histog.'!$BZ:$BZ,'Cronog. e Histog.'!DW:DW),"")</f>
        <v>0</v>
      </c>
      <c r="BC43" s="144">
        <f>IFERROR(_xlfn.XLOOKUP($B43,'Cronog. e Histog.'!$BZ:$BZ,'Cronog. e Histog.'!DX:DX),"")</f>
        <v>0</v>
      </c>
      <c r="BD43" s="144">
        <f>IFERROR(_xlfn.XLOOKUP($B43,'Cronog. e Histog.'!$BZ:$BZ,'Cronog. e Histog.'!DY:DY),"")</f>
        <v>0</v>
      </c>
      <c r="BE43" s="144">
        <f>IFERROR(_xlfn.XLOOKUP($B43,'Cronog. e Histog.'!$BZ:$BZ,'Cronog. e Histog.'!DZ:DZ),"")</f>
        <v>0</v>
      </c>
      <c r="BF43" s="144">
        <f>IFERROR(_xlfn.XLOOKUP($B43,'Cronog. e Histog.'!$BZ:$BZ,'Cronog. e Histog.'!EA:EA),"")</f>
        <v>0</v>
      </c>
      <c r="BG43" s="144">
        <f>IFERROR(_xlfn.XLOOKUP($B43,'Cronog. e Histog.'!$BZ:$BZ,'Cronog. e Histog.'!EB:EB),"")</f>
        <v>0</v>
      </c>
      <c r="BH43" s="144">
        <f>IFERROR(_xlfn.XLOOKUP($B43,'Cronog. e Histog.'!$BZ:$BZ,'Cronog. e Histog.'!EC:EC),"")</f>
        <v>0</v>
      </c>
      <c r="BI43" s="144">
        <f>IFERROR(_xlfn.XLOOKUP($B43,'Cronog. e Histog.'!$BZ:$BZ,'Cronog. e Histog.'!ED:ED),"")</f>
        <v>0</v>
      </c>
      <c r="BJ43" s="144">
        <f>IFERROR(_xlfn.XLOOKUP($B43,'Cronog. e Histog.'!$BZ:$BZ,'Cronog. e Histog.'!EE:EE),"")</f>
        <v>0</v>
      </c>
      <c r="BK43" s="144">
        <f>IFERROR(_xlfn.XLOOKUP($B43,'Cronog. e Histog.'!$BZ:$BZ,'Cronog. e Histog.'!EF:EF),"")</f>
        <v>0</v>
      </c>
      <c r="BL43" s="144">
        <f>IFERROR(_xlfn.XLOOKUP($B43,'Cronog. e Histog.'!$BZ:$BZ,'Cronog. e Histog.'!EG:EG),"")</f>
        <v>0</v>
      </c>
      <c r="BM43" s="144">
        <f>IFERROR(_xlfn.XLOOKUP($B43,'Cronog. e Histog.'!$BZ:$BZ,'Cronog. e Histog.'!EH:EH),"")</f>
        <v>0</v>
      </c>
      <c r="BN43" s="144">
        <f>IFERROR(_xlfn.XLOOKUP($B43,'Cronog. e Histog.'!$BZ:$BZ,'Cronog. e Histog.'!EI:EI),"")</f>
        <v>0</v>
      </c>
    </row>
    <row r="44" spans="2:66" ht="12" hidden="1" customHeight="1" outlineLevel="1">
      <c r="B44" s="76">
        <v>38</v>
      </c>
      <c r="C44" s="143" t="str">
        <f>IFERROR(VLOOKUP(B44,'Cronog. e Histog.'!$BZ$213:$CA$747,2,0),"")</f>
        <v>EST</v>
      </c>
      <c r="D44" s="144">
        <f t="shared" si="0"/>
        <v>0</v>
      </c>
      <c r="E44" s="144">
        <f t="shared" si="1"/>
        <v>0</v>
      </c>
      <c r="F44" s="65"/>
      <c r="G44" s="144">
        <f>IFERROR(_xlfn.XLOOKUP($B44,'Cronog. e Histog.'!$BZ:$BZ,'Cronog. e Histog.'!CB:CB),"")</f>
        <v>0</v>
      </c>
      <c r="H44" s="144">
        <f>IFERROR(_xlfn.XLOOKUP($B44,'Cronog. e Histog.'!$BZ:$BZ,'Cronog. e Histog.'!CC:CC),"")</f>
        <v>0</v>
      </c>
      <c r="I44" s="144">
        <f>IFERROR(_xlfn.XLOOKUP($B44,'Cronog. e Histog.'!$BZ:$BZ,'Cronog. e Histog.'!CD:CD),"")</f>
        <v>0</v>
      </c>
      <c r="J44" s="144">
        <f>IFERROR(_xlfn.XLOOKUP($B44,'Cronog. e Histog.'!$BZ:$BZ,'Cronog. e Histog.'!CE:CE),"")</f>
        <v>0</v>
      </c>
      <c r="K44" s="144">
        <f>IFERROR(_xlfn.XLOOKUP($B44,'Cronog. e Histog.'!$BZ:$BZ,'Cronog. e Histog.'!CF:CF),"")</f>
        <v>0</v>
      </c>
      <c r="L44" s="144">
        <f>IFERROR(_xlfn.XLOOKUP($B44,'Cronog. e Histog.'!$BZ:$BZ,'Cronog. e Histog.'!CG:CG),"")</f>
        <v>0</v>
      </c>
      <c r="M44" s="144">
        <f>IFERROR(_xlfn.XLOOKUP($B44,'Cronog. e Histog.'!$BZ:$BZ,'Cronog. e Histog.'!CH:CH),"")</f>
        <v>0</v>
      </c>
      <c r="N44" s="144">
        <f>IFERROR(_xlfn.XLOOKUP($B44,'Cronog. e Histog.'!$BZ:$BZ,'Cronog. e Histog.'!CI:CI),"")</f>
        <v>0</v>
      </c>
      <c r="O44" s="144">
        <f>IFERROR(_xlfn.XLOOKUP($B44,'Cronog. e Histog.'!$BZ:$BZ,'Cronog. e Histog.'!CJ:CJ),"")</f>
        <v>0</v>
      </c>
      <c r="P44" s="144">
        <f>IFERROR(_xlfn.XLOOKUP($B44,'Cronog. e Histog.'!$BZ:$BZ,'Cronog. e Histog.'!CK:CK),"")</f>
        <v>0</v>
      </c>
      <c r="Q44" s="144">
        <f>IFERROR(_xlfn.XLOOKUP($B44,'Cronog. e Histog.'!$BZ:$BZ,'Cronog. e Histog.'!CL:CL),"")</f>
        <v>0</v>
      </c>
      <c r="R44" s="144">
        <f>IFERROR(_xlfn.XLOOKUP($B44,'Cronog. e Histog.'!$BZ:$BZ,'Cronog. e Histog.'!CM:CM),"")</f>
        <v>0</v>
      </c>
      <c r="S44" s="144">
        <f>IFERROR(_xlfn.XLOOKUP($B44,'Cronog. e Histog.'!$BZ:$BZ,'Cronog. e Histog.'!CN:CN),"")</f>
        <v>0</v>
      </c>
      <c r="T44" s="144">
        <f>IFERROR(_xlfn.XLOOKUP($B44,'Cronog. e Histog.'!$BZ:$BZ,'Cronog. e Histog.'!CO:CO),"")</f>
        <v>0</v>
      </c>
      <c r="U44" s="144">
        <f>IFERROR(_xlfn.XLOOKUP($B44,'Cronog. e Histog.'!$BZ:$BZ,'Cronog. e Histog.'!CP:CP),"")</f>
        <v>0</v>
      </c>
      <c r="V44" s="144">
        <f>IFERROR(_xlfn.XLOOKUP($B44,'Cronog. e Histog.'!$BZ:$BZ,'Cronog. e Histog.'!CQ:CQ),"")</f>
        <v>0</v>
      </c>
      <c r="W44" s="144">
        <f>IFERROR(_xlfn.XLOOKUP($B44,'Cronog. e Histog.'!$BZ:$BZ,'Cronog. e Histog.'!CR:CR),"")</f>
        <v>0</v>
      </c>
      <c r="X44" s="144">
        <f>IFERROR(_xlfn.XLOOKUP($B44,'Cronog. e Histog.'!$BZ:$BZ,'Cronog. e Histog.'!CS:CS),"")</f>
        <v>0</v>
      </c>
      <c r="Y44" s="144">
        <f>IFERROR(_xlfn.XLOOKUP($B44,'Cronog. e Histog.'!$BZ:$BZ,'Cronog. e Histog.'!CT:CT),"")</f>
        <v>0</v>
      </c>
      <c r="Z44" s="144">
        <f>IFERROR(_xlfn.XLOOKUP($B44,'Cronog. e Histog.'!$BZ:$BZ,'Cronog. e Histog.'!CU:CU),"")</f>
        <v>0</v>
      </c>
      <c r="AA44" s="144">
        <f>IFERROR(_xlfn.XLOOKUP($B44,'Cronog. e Histog.'!$BZ:$BZ,'Cronog. e Histog.'!CV:CV),"")</f>
        <v>0</v>
      </c>
      <c r="AB44" s="144">
        <f>IFERROR(_xlfn.XLOOKUP($B44,'Cronog. e Histog.'!$BZ:$BZ,'Cronog. e Histog.'!CW:CW),"")</f>
        <v>0</v>
      </c>
      <c r="AC44" s="144">
        <f>IFERROR(_xlfn.XLOOKUP($B44,'Cronog. e Histog.'!$BZ:$BZ,'Cronog. e Histog.'!CX:CX),"")</f>
        <v>0</v>
      </c>
      <c r="AD44" s="144">
        <f>IFERROR(_xlfn.XLOOKUP($B44,'Cronog. e Histog.'!$BZ:$BZ,'Cronog. e Histog.'!CY:CY),"")</f>
        <v>0</v>
      </c>
      <c r="AE44" s="144">
        <f>IFERROR(_xlfn.XLOOKUP($B44,'Cronog. e Histog.'!$BZ:$BZ,'Cronog. e Histog.'!CZ:CZ),"")</f>
        <v>0</v>
      </c>
      <c r="AF44" s="144">
        <f>IFERROR(_xlfn.XLOOKUP($B44,'Cronog. e Histog.'!$BZ:$BZ,'Cronog. e Histog.'!DA:DA),"")</f>
        <v>0</v>
      </c>
      <c r="AG44" s="144">
        <f>IFERROR(_xlfn.XLOOKUP($B44,'Cronog. e Histog.'!$BZ:$BZ,'Cronog. e Histog.'!DB:DB),"")</f>
        <v>0</v>
      </c>
      <c r="AH44" s="144">
        <f>IFERROR(_xlfn.XLOOKUP($B44,'Cronog. e Histog.'!$BZ:$BZ,'Cronog. e Histog.'!DC:DC),"")</f>
        <v>0</v>
      </c>
      <c r="AI44" s="144">
        <f>IFERROR(_xlfn.XLOOKUP($B44,'Cronog. e Histog.'!$BZ:$BZ,'Cronog. e Histog.'!DD:DD),"")</f>
        <v>0</v>
      </c>
      <c r="AJ44" s="144">
        <f>IFERROR(_xlfn.XLOOKUP($B44,'Cronog. e Histog.'!$BZ:$BZ,'Cronog. e Histog.'!DE:DE),"")</f>
        <v>0</v>
      </c>
      <c r="AK44" s="144">
        <f>IFERROR(_xlfn.XLOOKUP($B44,'Cronog. e Histog.'!$BZ:$BZ,'Cronog. e Histog.'!DF:DF),"")</f>
        <v>0</v>
      </c>
      <c r="AL44" s="144">
        <f>IFERROR(_xlfn.XLOOKUP($B44,'Cronog. e Histog.'!$BZ:$BZ,'Cronog. e Histog.'!DG:DG),"")</f>
        <v>0</v>
      </c>
      <c r="AM44" s="144">
        <f>IFERROR(_xlfn.XLOOKUP($B44,'Cronog. e Histog.'!$BZ:$BZ,'Cronog. e Histog.'!DH:DH),"")</f>
        <v>0</v>
      </c>
      <c r="AN44" s="144">
        <f>IFERROR(_xlfn.XLOOKUP($B44,'Cronog. e Histog.'!$BZ:$BZ,'Cronog. e Histog.'!DI:DI),"")</f>
        <v>0</v>
      </c>
      <c r="AO44" s="144">
        <f>IFERROR(_xlfn.XLOOKUP($B44,'Cronog. e Histog.'!$BZ:$BZ,'Cronog. e Histog.'!DJ:DJ),"")</f>
        <v>0</v>
      </c>
      <c r="AP44" s="144">
        <f>IFERROR(_xlfn.XLOOKUP($B44,'Cronog. e Histog.'!$BZ:$BZ,'Cronog. e Histog.'!DK:DK),"")</f>
        <v>0</v>
      </c>
      <c r="AQ44" s="144">
        <f>IFERROR(_xlfn.XLOOKUP($B44,'Cronog. e Histog.'!$BZ:$BZ,'Cronog. e Histog.'!DL:DL),"")</f>
        <v>0</v>
      </c>
      <c r="AR44" s="144">
        <f>IFERROR(_xlfn.XLOOKUP($B44,'Cronog. e Histog.'!$BZ:$BZ,'Cronog. e Histog.'!DM:DM),"")</f>
        <v>0</v>
      </c>
      <c r="AS44" s="144">
        <f>IFERROR(_xlfn.XLOOKUP($B44,'Cronog. e Histog.'!$BZ:$BZ,'Cronog. e Histog.'!DN:DN),"")</f>
        <v>0</v>
      </c>
      <c r="AT44" s="144">
        <f>IFERROR(_xlfn.XLOOKUP($B44,'Cronog. e Histog.'!$BZ:$BZ,'Cronog. e Histog.'!DO:DO),"")</f>
        <v>0</v>
      </c>
      <c r="AU44" s="144">
        <f>IFERROR(_xlfn.XLOOKUP($B44,'Cronog. e Histog.'!$BZ:$BZ,'Cronog. e Histog.'!DP:DP),"")</f>
        <v>0</v>
      </c>
      <c r="AV44" s="144">
        <f>IFERROR(_xlfn.XLOOKUP($B44,'Cronog. e Histog.'!$BZ:$BZ,'Cronog. e Histog.'!DQ:DQ),"")</f>
        <v>0</v>
      </c>
      <c r="AW44" s="144">
        <f>IFERROR(_xlfn.XLOOKUP($B44,'Cronog. e Histog.'!$BZ:$BZ,'Cronog. e Histog.'!DR:DR),"")</f>
        <v>0</v>
      </c>
      <c r="AX44" s="144">
        <f>IFERROR(_xlfn.XLOOKUP($B44,'Cronog. e Histog.'!$BZ:$BZ,'Cronog. e Histog.'!DS:DS),"")</f>
        <v>0</v>
      </c>
      <c r="AY44" s="144">
        <f>IFERROR(_xlfn.XLOOKUP($B44,'Cronog. e Histog.'!$BZ:$BZ,'Cronog. e Histog.'!DT:DT),"")</f>
        <v>0</v>
      </c>
      <c r="AZ44" s="144">
        <f>IFERROR(_xlfn.XLOOKUP($B44,'Cronog. e Histog.'!$BZ:$BZ,'Cronog. e Histog.'!DU:DU),"")</f>
        <v>0</v>
      </c>
      <c r="BA44" s="144">
        <f>IFERROR(_xlfn.XLOOKUP($B44,'Cronog. e Histog.'!$BZ:$BZ,'Cronog. e Histog.'!DV:DV),"")</f>
        <v>0</v>
      </c>
      <c r="BB44" s="144">
        <f>IFERROR(_xlfn.XLOOKUP($B44,'Cronog. e Histog.'!$BZ:$BZ,'Cronog. e Histog.'!DW:DW),"")</f>
        <v>0</v>
      </c>
      <c r="BC44" s="144">
        <f>IFERROR(_xlfn.XLOOKUP($B44,'Cronog. e Histog.'!$BZ:$BZ,'Cronog. e Histog.'!DX:DX),"")</f>
        <v>0</v>
      </c>
      <c r="BD44" s="144">
        <f>IFERROR(_xlfn.XLOOKUP($B44,'Cronog. e Histog.'!$BZ:$BZ,'Cronog. e Histog.'!DY:DY),"")</f>
        <v>0</v>
      </c>
      <c r="BE44" s="144">
        <f>IFERROR(_xlfn.XLOOKUP($B44,'Cronog. e Histog.'!$BZ:$BZ,'Cronog. e Histog.'!DZ:DZ),"")</f>
        <v>0</v>
      </c>
      <c r="BF44" s="144">
        <f>IFERROR(_xlfn.XLOOKUP($B44,'Cronog. e Histog.'!$BZ:$BZ,'Cronog. e Histog.'!EA:EA),"")</f>
        <v>0</v>
      </c>
      <c r="BG44" s="144">
        <f>IFERROR(_xlfn.XLOOKUP($B44,'Cronog. e Histog.'!$BZ:$BZ,'Cronog. e Histog.'!EB:EB),"")</f>
        <v>0</v>
      </c>
      <c r="BH44" s="144">
        <f>IFERROR(_xlfn.XLOOKUP($B44,'Cronog. e Histog.'!$BZ:$BZ,'Cronog. e Histog.'!EC:EC),"")</f>
        <v>0</v>
      </c>
      <c r="BI44" s="144">
        <f>IFERROR(_xlfn.XLOOKUP($B44,'Cronog. e Histog.'!$BZ:$BZ,'Cronog. e Histog.'!ED:ED),"")</f>
        <v>0</v>
      </c>
      <c r="BJ44" s="144">
        <f>IFERROR(_xlfn.XLOOKUP($B44,'Cronog. e Histog.'!$BZ:$BZ,'Cronog. e Histog.'!EE:EE),"")</f>
        <v>0</v>
      </c>
      <c r="BK44" s="144">
        <f>IFERROR(_xlfn.XLOOKUP($B44,'Cronog. e Histog.'!$BZ:$BZ,'Cronog. e Histog.'!EF:EF),"")</f>
        <v>0</v>
      </c>
      <c r="BL44" s="144">
        <f>IFERROR(_xlfn.XLOOKUP($B44,'Cronog. e Histog.'!$BZ:$BZ,'Cronog. e Histog.'!EG:EG),"")</f>
        <v>0</v>
      </c>
      <c r="BM44" s="144">
        <f>IFERROR(_xlfn.XLOOKUP($B44,'Cronog. e Histog.'!$BZ:$BZ,'Cronog. e Histog.'!EH:EH),"")</f>
        <v>0</v>
      </c>
      <c r="BN44" s="144">
        <f>IFERROR(_xlfn.XLOOKUP($B44,'Cronog. e Histog.'!$BZ:$BZ,'Cronog. e Histog.'!EI:EI),"")</f>
        <v>0</v>
      </c>
    </row>
    <row r="45" spans="2:66" ht="12" hidden="1" customHeight="1" outlineLevel="1">
      <c r="B45" s="76">
        <v>39</v>
      </c>
      <c r="C45" s="143" t="str">
        <f>IFERROR(VLOOKUP(B45,'Cronog. e Histog.'!$BZ$213:$CA$747,2,0),"")</f>
        <v>EST_II</v>
      </c>
      <c r="D45" s="144">
        <f t="shared" si="0"/>
        <v>0</v>
      </c>
      <c r="E45" s="144">
        <f t="shared" si="1"/>
        <v>0</v>
      </c>
      <c r="F45" s="65"/>
      <c r="G45" s="144">
        <f>IFERROR(_xlfn.XLOOKUP($B45,'Cronog. e Histog.'!$BZ:$BZ,'Cronog. e Histog.'!CB:CB),"")</f>
        <v>0</v>
      </c>
      <c r="H45" s="144">
        <f>IFERROR(_xlfn.XLOOKUP($B45,'Cronog. e Histog.'!$BZ:$BZ,'Cronog. e Histog.'!CC:CC),"")</f>
        <v>0</v>
      </c>
      <c r="I45" s="144">
        <f>IFERROR(_xlfn.XLOOKUP($B45,'Cronog. e Histog.'!$BZ:$BZ,'Cronog. e Histog.'!CD:CD),"")</f>
        <v>0</v>
      </c>
      <c r="J45" s="144">
        <f>IFERROR(_xlfn.XLOOKUP($B45,'Cronog. e Histog.'!$BZ:$BZ,'Cronog. e Histog.'!CE:CE),"")</f>
        <v>0</v>
      </c>
      <c r="K45" s="144">
        <f>IFERROR(_xlfn.XLOOKUP($B45,'Cronog. e Histog.'!$BZ:$BZ,'Cronog. e Histog.'!CF:CF),"")</f>
        <v>0</v>
      </c>
      <c r="L45" s="144">
        <f>IFERROR(_xlfn.XLOOKUP($B45,'Cronog. e Histog.'!$BZ:$BZ,'Cronog. e Histog.'!CG:CG),"")</f>
        <v>0</v>
      </c>
      <c r="M45" s="144">
        <f>IFERROR(_xlfn.XLOOKUP($B45,'Cronog. e Histog.'!$BZ:$BZ,'Cronog. e Histog.'!CH:CH),"")</f>
        <v>0</v>
      </c>
      <c r="N45" s="144">
        <f>IFERROR(_xlfn.XLOOKUP($B45,'Cronog. e Histog.'!$BZ:$BZ,'Cronog. e Histog.'!CI:CI),"")</f>
        <v>0</v>
      </c>
      <c r="O45" s="144">
        <f>IFERROR(_xlfn.XLOOKUP($B45,'Cronog. e Histog.'!$BZ:$BZ,'Cronog. e Histog.'!CJ:CJ),"")</f>
        <v>0</v>
      </c>
      <c r="P45" s="144">
        <f>IFERROR(_xlfn.XLOOKUP($B45,'Cronog. e Histog.'!$BZ:$BZ,'Cronog. e Histog.'!CK:CK),"")</f>
        <v>0</v>
      </c>
      <c r="Q45" s="144">
        <f>IFERROR(_xlfn.XLOOKUP($B45,'Cronog. e Histog.'!$BZ:$BZ,'Cronog. e Histog.'!CL:CL),"")</f>
        <v>0</v>
      </c>
      <c r="R45" s="144">
        <f>IFERROR(_xlfn.XLOOKUP($B45,'Cronog. e Histog.'!$BZ:$BZ,'Cronog. e Histog.'!CM:CM),"")</f>
        <v>0</v>
      </c>
      <c r="S45" s="144">
        <f>IFERROR(_xlfn.XLOOKUP($B45,'Cronog. e Histog.'!$BZ:$BZ,'Cronog. e Histog.'!CN:CN),"")</f>
        <v>0</v>
      </c>
      <c r="T45" s="144">
        <f>IFERROR(_xlfn.XLOOKUP($B45,'Cronog. e Histog.'!$BZ:$BZ,'Cronog. e Histog.'!CO:CO),"")</f>
        <v>0</v>
      </c>
      <c r="U45" s="144">
        <f>IFERROR(_xlfn.XLOOKUP($B45,'Cronog. e Histog.'!$BZ:$BZ,'Cronog. e Histog.'!CP:CP),"")</f>
        <v>0</v>
      </c>
      <c r="V45" s="144">
        <f>IFERROR(_xlfn.XLOOKUP($B45,'Cronog. e Histog.'!$BZ:$BZ,'Cronog. e Histog.'!CQ:CQ),"")</f>
        <v>0</v>
      </c>
      <c r="W45" s="144">
        <f>IFERROR(_xlfn.XLOOKUP($B45,'Cronog. e Histog.'!$BZ:$BZ,'Cronog. e Histog.'!CR:CR),"")</f>
        <v>0</v>
      </c>
      <c r="X45" s="144">
        <f>IFERROR(_xlfn.XLOOKUP($B45,'Cronog. e Histog.'!$BZ:$BZ,'Cronog. e Histog.'!CS:CS),"")</f>
        <v>0</v>
      </c>
      <c r="Y45" s="144">
        <f>IFERROR(_xlfn.XLOOKUP($B45,'Cronog. e Histog.'!$BZ:$BZ,'Cronog. e Histog.'!CT:CT),"")</f>
        <v>0</v>
      </c>
      <c r="Z45" s="144">
        <f>IFERROR(_xlfn.XLOOKUP($B45,'Cronog. e Histog.'!$BZ:$BZ,'Cronog. e Histog.'!CU:CU),"")</f>
        <v>0</v>
      </c>
      <c r="AA45" s="144">
        <f>IFERROR(_xlfn.XLOOKUP($B45,'Cronog. e Histog.'!$BZ:$BZ,'Cronog. e Histog.'!CV:CV),"")</f>
        <v>0</v>
      </c>
      <c r="AB45" s="144">
        <f>IFERROR(_xlfn.XLOOKUP($B45,'Cronog. e Histog.'!$BZ:$BZ,'Cronog. e Histog.'!CW:CW),"")</f>
        <v>0</v>
      </c>
      <c r="AC45" s="144">
        <f>IFERROR(_xlfn.XLOOKUP($B45,'Cronog. e Histog.'!$BZ:$BZ,'Cronog. e Histog.'!CX:CX),"")</f>
        <v>0</v>
      </c>
      <c r="AD45" s="144">
        <f>IFERROR(_xlfn.XLOOKUP($B45,'Cronog. e Histog.'!$BZ:$BZ,'Cronog. e Histog.'!CY:CY),"")</f>
        <v>0</v>
      </c>
      <c r="AE45" s="144">
        <f>IFERROR(_xlfn.XLOOKUP($B45,'Cronog. e Histog.'!$BZ:$BZ,'Cronog. e Histog.'!CZ:CZ),"")</f>
        <v>0</v>
      </c>
      <c r="AF45" s="144">
        <f>IFERROR(_xlfn.XLOOKUP($B45,'Cronog. e Histog.'!$BZ:$BZ,'Cronog. e Histog.'!DA:DA),"")</f>
        <v>0</v>
      </c>
      <c r="AG45" s="144">
        <f>IFERROR(_xlfn.XLOOKUP($B45,'Cronog. e Histog.'!$BZ:$BZ,'Cronog. e Histog.'!DB:DB),"")</f>
        <v>0</v>
      </c>
      <c r="AH45" s="144">
        <f>IFERROR(_xlfn.XLOOKUP($B45,'Cronog. e Histog.'!$BZ:$BZ,'Cronog. e Histog.'!DC:DC),"")</f>
        <v>0</v>
      </c>
      <c r="AI45" s="144">
        <f>IFERROR(_xlfn.XLOOKUP($B45,'Cronog. e Histog.'!$BZ:$BZ,'Cronog. e Histog.'!DD:DD),"")</f>
        <v>0</v>
      </c>
      <c r="AJ45" s="144">
        <f>IFERROR(_xlfn.XLOOKUP($B45,'Cronog. e Histog.'!$BZ:$BZ,'Cronog. e Histog.'!DE:DE),"")</f>
        <v>0</v>
      </c>
      <c r="AK45" s="144">
        <f>IFERROR(_xlfn.XLOOKUP($B45,'Cronog. e Histog.'!$BZ:$BZ,'Cronog. e Histog.'!DF:DF),"")</f>
        <v>0</v>
      </c>
      <c r="AL45" s="144">
        <f>IFERROR(_xlfn.XLOOKUP($B45,'Cronog. e Histog.'!$BZ:$BZ,'Cronog. e Histog.'!DG:DG),"")</f>
        <v>0</v>
      </c>
      <c r="AM45" s="144">
        <f>IFERROR(_xlfn.XLOOKUP($B45,'Cronog. e Histog.'!$BZ:$BZ,'Cronog. e Histog.'!DH:DH),"")</f>
        <v>0</v>
      </c>
      <c r="AN45" s="144">
        <f>IFERROR(_xlfn.XLOOKUP($B45,'Cronog. e Histog.'!$BZ:$BZ,'Cronog. e Histog.'!DI:DI),"")</f>
        <v>0</v>
      </c>
      <c r="AO45" s="144">
        <f>IFERROR(_xlfn.XLOOKUP($B45,'Cronog. e Histog.'!$BZ:$BZ,'Cronog. e Histog.'!DJ:DJ),"")</f>
        <v>0</v>
      </c>
      <c r="AP45" s="144">
        <f>IFERROR(_xlfn.XLOOKUP($B45,'Cronog. e Histog.'!$BZ:$BZ,'Cronog. e Histog.'!DK:DK),"")</f>
        <v>0</v>
      </c>
      <c r="AQ45" s="144">
        <f>IFERROR(_xlfn.XLOOKUP($B45,'Cronog. e Histog.'!$BZ:$BZ,'Cronog. e Histog.'!DL:DL),"")</f>
        <v>0</v>
      </c>
      <c r="AR45" s="144">
        <f>IFERROR(_xlfn.XLOOKUP($B45,'Cronog. e Histog.'!$BZ:$BZ,'Cronog. e Histog.'!DM:DM),"")</f>
        <v>0</v>
      </c>
      <c r="AS45" s="144">
        <f>IFERROR(_xlfn.XLOOKUP($B45,'Cronog. e Histog.'!$BZ:$BZ,'Cronog. e Histog.'!DN:DN),"")</f>
        <v>0</v>
      </c>
      <c r="AT45" s="144">
        <f>IFERROR(_xlfn.XLOOKUP($B45,'Cronog. e Histog.'!$BZ:$BZ,'Cronog. e Histog.'!DO:DO),"")</f>
        <v>0</v>
      </c>
      <c r="AU45" s="144">
        <f>IFERROR(_xlfn.XLOOKUP($B45,'Cronog. e Histog.'!$BZ:$BZ,'Cronog. e Histog.'!DP:DP),"")</f>
        <v>0</v>
      </c>
      <c r="AV45" s="144">
        <f>IFERROR(_xlfn.XLOOKUP($B45,'Cronog. e Histog.'!$BZ:$BZ,'Cronog. e Histog.'!DQ:DQ),"")</f>
        <v>0</v>
      </c>
      <c r="AW45" s="144">
        <f>IFERROR(_xlfn.XLOOKUP($B45,'Cronog. e Histog.'!$BZ:$BZ,'Cronog. e Histog.'!DR:DR),"")</f>
        <v>0</v>
      </c>
      <c r="AX45" s="144">
        <f>IFERROR(_xlfn.XLOOKUP($B45,'Cronog. e Histog.'!$BZ:$BZ,'Cronog. e Histog.'!DS:DS),"")</f>
        <v>0</v>
      </c>
      <c r="AY45" s="144">
        <f>IFERROR(_xlfn.XLOOKUP($B45,'Cronog. e Histog.'!$BZ:$BZ,'Cronog. e Histog.'!DT:DT),"")</f>
        <v>0</v>
      </c>
      <c r="AZ45" s="144">
        <f>IFERROR(_xlfn.XLOOKUP($B45,'Cronog. e Histog.'!$BZ:$BZ,'Cronog. e Histog.'!DU:DU),"")</f>
        <v>0</v>
      </c>
      <c r="BA45" s="144">
        <f>IFERROR(_xlfn.XLOOKUP($B45,'Cronog. e Histog.'!$BZ:$BZ,'Cronog. e Histog.'!DV:DV),"")</f>
        <v>0</v>
      </c>
      <c r="BB45" s="144">
        <f>IFERROR(_xlfn.XLOOKUP($B45,'Cronog. e Histog.'!$BZ:$BZ,'Cronog. e Histog.'!DW:DW),"")</f>
        <v>0</v>
      </c>
      <c r="BC45" s="144">
        <f>IFERROR(_xlfn.XLOOKUP($B45,'Cronog. e Histog.'!$BZ:$BZ,'Cronog. e Histog.'!DX:DX),"")</f>
        <v>0</v>
      </c>
      <c r="BD45" s="144">
        <f>IFERROR(_xlfn.XLOOKUP($B45,'Cronog. e Histog.'!$BZ:$BZ,'Cronog. e Histog.'!DY:DY),"")</f>
        <v>0</v>
      </c>
      <c r="BE45" s="144">
        <f>IFERROR(_xlfn.XLOOKUP($B45,'Cronog. e Histog.'!$BZ:$BZ,'Cronog. e Histog.'!DZ:DZ),"")</f>
        <v>0</v>
      </c>
      <c r="BF45" s="144">
        <f>IFERROR(_xlfn.XLOOKUP($B45,'Cronog. e Histog.'!$BZ:$BZ,'Cronog. e Histog.'!EA:EA),"")</f>
        <v>0</v>
      </c>
      <c r="BG45" s="144">
        <f>IFERROR(_xlfn.XLOOKUP($B45,'Cronog. e Histog.'!$BZ:$BZ,'Cronog. e Histog.'!EB:EB),"")</f>
        <v>0</v>
      </c>
      <c r="BH45" s="144">
        <f>IFERROR(_xlfn.XLOOKUP($B45,'Cronog. e Histog.'!$BZ:$BZ,'Cronog. e Histog.'!EC:EC),"")</f>
        <v>0</v>
      </c>
      <c r="BI45" s="144">
        <f>IFERROR(_xlfn.XLOOKUP($B45,'Cronog. e Histog.'!$BZ:$BZ,'Cronog. e Histog.'!ED:ED),"")</f>
        <v>0</v>
      </c>
      <c r="BJ45" s="144">
        <f>IFERROR(_xlfn.XLOOKUP($B45,'Cronog. e Histog.'!$BZ:$BZ,'Cronog. e Histog.'!EE:EE),"")</f>
        <v>0</v>
      </c>
      <c r="BK45" s="144">
        <f>IFERROR(_xlfn.XLOOKUP($B45,'Cronog. e Histog.'!$BZ:$BZ,'Cronog. e Histog.'!EF:EF),"")</f>
        <v>0</v>
      </c>
      <c r="BL45" s="144">
        <f>IFERROR(_xlfn.XLOOKUP($B45,'Cronog. e Histog.'!$BZ:$BZ,'Cronog. e Histog.'!EG:EG),"")</f>
        <v>0</v>
      </c>
      <c r="BM45" s="144">
        <f>IFERROR(_xlfn.XLOOKUP($B45,'Cronog. e Histog.'!$BZ:$BZ,'Cronog. e Histog.'!EH:EH),"")</f>
        <v>0</v>
      </c>
      <c r="BN45" s="144">
        <f>IFERROR(_xlfn.XLOOKUP($B45,'Cronog. e Histog.'!$BZ:$BZ,'Cronog. e Histog.'!EI:EI),"")</f>
        <v>0</v>
      </c>
    </row>
    <row r="46" spans="2:66" ht="12" hidden="1" customHeight="1" outlineLevel="1">
      <c r="B46" s="76">
        <v>40</v>
      </c>
      <c r="C46" s="143" t="str">
        <f>IFERROR(VLOOKUP(B46,'Cronog. e Histog.'!$BZ$213:$CA$747,2,0),"")</f>
        <v>EST_III</v>
      </c>
      <c r="D46" s="144">
        <f t="shared" si="0"/>
        <v>0</v>
      </c>
      <c r="E46" s="144">
        <f t="shared" si="1"/>
        <v>0</v>
      </c>
      <c r="F46" s="65"/>
      <c r="G46" s="144">
        <f>IFERROR(_xlfn.XLOOKUP($B46,'Cronog. e Histog.'!$BZ:$BZ,'Cronog. e Histog.'!CB:CB),"")</f>
        <v>0</v>
      </c>
      <c r="H46" s="144">
        <f>IFERROR(_xlfn.XLOOKUP($B46,'Cronog. e Histog.'!$BZ:$BZ,'Cronog. e Histog.'!CC:CC),"")</f>
        <v>0</v>
      </c>
      <c r="I46" s="144">
        <f>IFERROR(_xlfn.XLOOKUP($B46,'Cronog. e Histog.'!$BZ:$BZ,'Cronog. e Histog.'!CD:CD),"")</f>
        <v>0</v>
      </c>
      <c r="J46" s="144">
        <f>IFERROR(_xlfn.XLOOKUP($B46,'Cronog. e Histog.'!$BZ:$BZ,'Cronog. e Histog.'!CE:CE),"")</f>
        <v>0</v>
      </c>
      <c r="K46" s="144">
        <f>IFERROR(_xlfn.XLOOKUP($B46,'Cronog. e Histog.'!$BZ:$BZ,'Cronog. e Histog.'!CF:CF),"")</f>
        <v>0</v>
      </c>
      <c r="L46" s="144">
        <f>IFERROR(_xlfn.XLOOKUP($B46,'Cronog. e Histog.'!$BZ:$BZ,'Cronog. e Histog.'!CG:CG),"")</f>
        <v>0</v>
      </c>
      <c r="M46" s="144">
        <f>IFERROR(_xlfn.XLOOKUP($B46,'Cronog. e Histog.'!$BZ:$BZ,'Cronog. e Histog.'!CH:CH),"")</f>
        <v>0</v>
      </c>
      <c r="N46" s="144">
        <f>IFERROR(_xlfn.XLOOKUP($B46,'Cronog. e Histog.'!$BZ:$BZ,'Cronog. e Histog.'!CI:CI),"")</f>
        <v>0</v>
      </c>
      <c r="O46" s="144">
        <f>IFERROR(_xlfn.XLOOKUP($B46,'Cronog. e Histog.'!$BZ:$BZ,'Cronog. e Histog.'!CJ:CJ),"")</f>
        <v>0</v>
      </c>
      <c r="P46" s="144">
        <f>IFERROR(_xlfn.XLOOKUP($B46,'Cronog. e Histog.'!$BZ:$BZ,'Cronog. e Histog.'!CK:CK),"")</f>
        <v>0</v>
      </c>
      <c r="Q46" s="144">
        <f>IFERROR(_xlfn.XLOOKUP($B46,'Cronog. e Histog.'!$BZ:$BZ,'Cronog. e Histog.'!CL:CL),"")</f>
        <v>0</v>
      </c>
      <c r="R46" s="144">
        <f>IFERROR(_xlfn.XLOOKUP($B46,'Cronog. e Histog.'!$BZ:$BZ,'Cronog. e Histog.'!CM:CM),"")</f>
        <v>0</v>
      </c>
      <c r="S46" s="144">
        <f>IFERROR(_xlfn.XLOOKUP($B46,'Cronog. e Histog.'!$BZ:$BZ,'Cronog. e Histog.'!CN:CN),"")</f>
        <v>0</v>
      </c>
      <c r="T46" s="144">
        <f>IFERROR(_xlfn.XLOOKUP($B46,'Cronog. e Histog.'!$BZ:$BZ,'Cronog. e Histog.'!CO:CO),"")</f>
        <v>0</v>
      </c>
      <c r="U46" s="144">
        <f>IFERROR(_xlfn.XLOOKUP($B46,'Cronog. e Histog.'!$BZ:$BZ,'Cronog. e Histog.'!CP:CP),"")</f>
        <v>0</v>
      </c>
      <c r="V46" s="144">
        <f>IFERROR(_xlfn.XLOOKUP($B46,'Cronog. e Histog.'!$BZ:$BZ,'Cronog. e Histog.'!CQ:CQ),"")</f>
        <v>0</v>
      </c>
      <c r="W46" s="144">
        <f>IFERROR(_xlfn.XLOOKUP($B46,'Cronog. e Histog.'!$BZ:$BZ,'Cronog. e Histog.'!CR:CR),"")</f>
        <v>0</v>
      </c>
      <c r="X46" s="144">
        <f>IFERROR(_xlfn.XLOOKUP($B46,'Cronog. e Histog.'!$BZ:$BZ,'Cronog. e Histog.'!CS:CS),"")</f>
        <v>0</v>
      </c>
      <c r="Y46" s="144">
        <f>IFERROR(_xlfn.XLOOKUP($B46,'Cronog. e Histog.'!$BZ:$BZ,'Cronog. e Histog.'!CT:CT),"")</f>
        <v>0</v>
      </c>
      <c r="Z46" s="144">
        <f>IFERROR(_xlfn.XLOOKUP($B46,'Cronog. e Histog.'!$BZ:$BZ,'Cronog. e Histog.'!CU:CU),"")</f>
        <v>0</v>
      </c>
      <c r="AA46" s="144">
        <f>IFERROR(_xlfn.XLOOKUP($B46,'Cronog. e Histog.'!$BZ:$BZ,'Cronog. e Histog.'!CV:CV),"")</f>
        <v>0</v>
      </c>
      <c r="AB46" s="144">
        <f>IFERROR(_xlfn.XLOOKUP($B46,'Cronog. e Histog.'!$BZ:$BZ,'Cronog. e Histog.'!CW:CW),"")</f>
        <v>0</v>
      </c>
      <c r="AC46" s="144">
        <f>IFERROR(_xlfn.XLOOKUP($B46,'Cronog. e Histog.'!$BZ:$BZ,'Cronog. e Histog.'!CX:CX),"")</f>
        <v>0</v>
      </c>
      <c r="AD46" s="144">
        <f>IFERROR(_xlfn.XLOOKUP($B46,'Cronog. e Histog.'!$BZ:$BZ,'Cronog. e Histog.'!CY:CY),"")</f>
        <v>0</v>
      </c>
      <c r="AE46" s="144">
        <f>IFERROR(_xlfn.XLOOKUP($B46,'Cronog. e Histog.'!$BZ:$BZ,'Cronog. e Histog.'!CZ:CZ),"")</f>
        <v>0</v>
      </c>
      <c r="AF46" s="144">
        <f>IFERROR(_xlfn.XLOOKUP($B46,'Cronog. e Histog.'!$BZ:$BZ,'Cronog. e Histog.'!DA:DA),"")</f>
        <v>0</v>
      </c>
      <c r="AG46" s="144">
        <f>IFERROR(_xlfn.XLOOKUP($B46,'Cronog. e Histog.'!$BZ:$BZ,'Cronog. e Histog.'!DB:DB),"")</f>
        <v>0</v>
      </c>
      <c r="AH46" s="144">
        <f>IFERROR(_xlfn.XLOOKUP($B46,'Cronog. e Histog.'!$BZ:$BZ,'Cronog. e Histog.'!DC:DC),"")</f>
        <v>0</v>
      </c>
      <c r="AI46" s="144">
        <f>IFERROR(_xlfn.XLOOKUP($B46,'Cronog. e Histog.'!$BZ:$BZ,'Cronog. e Histog.'!DD:DD),"")</f>
        <v>0</v>
      </c>
      <c r="AJ46" s="144">
        <f>IFERROR(_xlfn.XLOOKUP($B46,'Cronog. e Histog.'!$BZ:$BZ,'Cronog. e Histog.'!DE:DE),"")</f>
        <v>0</v>
      </c>
      <c r="AK46" s="144">
        <f>IFERROR(_xlfn.XLOOKUP($B46,'Cronog. e Histog.'!$BZ:$BZ,'Cronog. e Histog.'!DF:DF),"")</f>
        <v>0</v>
      </c>
      <c r="AL46" s="144">
        <f>IFERROR(_xlfn.XLOOKUP($B46,'Cronog. e Histog.'!$BZ:$BZ,'Cronog. e Histog.'!DG:DG),"")</f>
        <v>0</v>
      </c>
      <c r="AM46" s="144">
        <f>IFERROR(_xlfn.XLOOKUP($B46,'Cronog. e Histog.'!$BZ:$BZ,'Cronog. e Histog.'!DH:DH),"")</f>
        <v>0</v>
      </c>
      <c r="AN46" s="144">
        <f>IFERROR(_xlfn.XLOOKUP($B46,'Cronog. e Histog.'!$BZ:$BZ,'Cronog. e Histog.'!DI:DI),"")</f>
        <v>0</v>
      </c>
      <c r="AO46" s="144">
        <f>IFERROR(_xlfn.XLOOKUP($B46,'Cronog. e Histog.'!$BZ:$BZ,'Cronog. e Histog.'!DJ:DJ),"")</f>
        <v>0</v>
      </c>
      <c r="AP46" s="144">
        <f>IFERROR(_xlfn.XLOOKUP($B46,'Cronog. e Histog.'!$BZ:$BZ,'Cronog. e Histog.'!DK:DK),"")</f>
        <v>0</v>
      </c>
      <c r="AQ46" s="144">
        <f>IFERROR(_xlfn.XLOOKUP($B46,'Cronog. e Histog.'!$BZ:$BZ,'Cronog. e Histog.'!DL:DL),"")</f>
        <v>0</v>
      </c>
      <c r="AR46" s="144">
        <f>IFERROR(_xlfn.XLOOKUP($B46,'Cronog. e Histog.'!$BZ:$BZ,'Cronog. e Histog.'!DM:DM),"")</f>
        <v>0</v>
      </c>
      <c r="AS46" s="144">
        <f>IFERROR(_xlfn.XLOOKUP($B46,'Cronog. e Histog.'!$BZ:$BZ,'Cronog. e Histog.'!DN:DN),"")</f>
        <v>0</v>
      </c>
      <c r="AT46" s="144">
        <f>IFERROR(_xlfn.XLOOKUP($B46,'Cronog. e Histog.'!$BZ:$BZ,'Cronog. e Histog.'!DO:DO),"")</f>
        <v>0</v>
      </c>
      <c r="AU46" s="144">
        <f>IFERROR(_xlfn.XLOOKUP($B46,'Cronog. e Histog.'!$BZ:$BZ,'Cronog. e Histog.'!DP:DP),"")</f>
        <v>0</v>
      </c>
      <c r="AV46" s="144">
        <f>IFERROR(_xlfn.XLOOKUP($B46,'Cronog. e Histog.'!$BZ:$BZ,'Cronog. e Histog.'!DQ:DQ),"")</f>
        <v>0</v>
      </c>
      <c r="AW46" s="144">
        <f>IFERROR(_xlfn.XLOOKUP($B46,'Cronog. e Histog.'!$BZ:$BZ,'Cronog. e Histog.'!DR:DR),"")</f>
        <v>0</v>
      </c>
      <c r="AX46" s="144">
        <f>IFERROR(_xlfn.XLOOKUP($B46,'Cronog. e Histog.'!$BZ:$BZ,'Cronog. e Histog.'!DS:DS),"")</f>
        <v>0</v>
      </c>
      <c r="AY46" s="144">
        <f>IFERROR(_xlfn.XLOOKUP($B46,'Cronog. e Histog.'!$BZ:$BZ,'Cronog. e Histog.'!DT:DT),"")</f>
        <v>0</v>
      </c>
      <c r="AZ46" s="144">
        <f>IFERROR(_xlfn.XLOOKUP($B46,'Cronog. e Histog.'!$BZ:$BZ,'Cronog. e Histog.'!DU:DU),"")</f>
        <v>0</v>
      </c>
      <c r="BA46" s="144">
        <f>IFERROR(_xlfn.XLOOKUP($B46,'Cronog. e Histog.'!$BZ:$BZ,'Cronog. e Histog.'!DV:DV),"")</f>
        <v>0</v>
      </c>
      <c r="BB46" s="144">
        <f>IFERROR(_xlfn.XLOOKUP($B46,'Cronog. e Histog.'!$BZ:$BZ,'Cronog. e Histog.'!DW:DW),"")</f>
        <v>0</v>
      </c>
      <c r="BC46" s="144">
        <f>IFERROR(_xlfn.XLOOKUP($B46,'Cronog. e Histog.'!$BZ:$BZ,'Cronog. e Histog.'!DX:DX),"")</f>
        <v>0</v>
      </c>
      <c r="BD46" s="144">
        <f>IFERROR(_xlfn.XLOOKUP($B46,'Cronog. e Histog.'!$BZ:$BZ,'Cronog. e Histog.'!DY:DY),"")</f>
        <v>0</v>
      </c>
      <c r="BE46" s="144">
        <f>IFERROR(_xlfn.XLOOKUP($B46,'Cronog. e Histog.'!$BZ:$BZ,'Cronog. e Histog.'!DZ:DZ),"")</f>
        <v>0</v>
      </c>
      <c r="BF46" s="144">
        <f>IFERROR(_xlfn.XLOOKUP($B46,'Cronog. e Histog.'!$BZ:$BZ,'Cronog. e Histog.'!EA:EA),"")</f>
        <v>0</v>
      </c>
      <c r="BG46" s="144">
        <f>IFERROR(_xlfn.XLOOKUP($B46,'Cronog. e Histog.'!$BZ:$BZ,'Cronog. e Histog.'!EB:EB),"")</f>
        <v>0</v>
      </c>
      <c r="BH46" s="144">
        <f>IFERROR(_xlfn.XLOOKUP($B46,'Cronog. e Histog.'!$BZ:$BZ,'Cronog. e Histog.'!EC:EC),"")</f>
        <v>0</v>
      </c>
      <c r="BI46" s="144">
        <f>IFERROR(_xlfn.XLOOKUP($B46,'Cronog. e Histog.'!$BZ:$BZ,'Cronog. e Histog.'!ED:ED),"")</f>
        <v>0</v>
      </c>
      <c r="BJ46" s="144">
        <f>IFERROR(_xlfn.XLOOKUP($B46,'Cronog. e Histog.'!$BZ:$BZ,'Cronog. e Histog.'!EE:EE),"")</f>
        <v>0</v>
      </c>
      <c r="BK46" s="144">
        <f>IFERROR(_xlfn.XLOOKUP($B46,'Cronog. e Histog.'!$BZ:$BZ,'Cronog. e Histog.'!EF:EF),"")</f>
        <v>0</v>
      </c>
      <c r="BL46" s="144">
        <f>IFERROR(_xlfn.XLOOKUP($B46,'Cronog. e Histog.'!$BZ:$BZ,'Cronog. e Histog.'!EG:EG),"")</f>
        <v>0</v>
      </c>
      <c r="BM46" s="144">
        <f>IFERROR(_xlfn.XLOOKUP($B46,'Cronog. e Histog.'!$BZ:$BZ,'Cronog. e Histog.'!EH:EH),"")</f>
        <v>0</v>
      </c>
      <c r="BN46" s="144">
        <f>IFERROR(_xlfn.XLOOKUP($B46,'Cronog. e Histog.'!$BZ:$BZ,'Cronog. e Histog.'!EI:EI),"")</f>
        <v>0</v>
      </c>
    </row>
    <row r="47" spans="2:66" ht="12" hidden="1" customHeight="1" outlineLevel="1">
      <c r="B47" s="76">
        <v>41</v>
      </c>
      <c r="C47" s="143" t="str">
        <f>IFERROR(VLOOKUP(B47,'Cronog. e Histog.'!$BZ$213:$CA$747,2,0),"")</f>
        <v>GER. (OBRA/PROJ)</v>
      </c>
      <c r="D47" s="144">
        <f t="shared" si="0"/>
        <v>0</v>
      </c>
      <c r="E47" s="144">
        <f t="shared" si="1"/>
        <v>0</v>
      </c>
      <c r="F47" s="65"/>
      <c r="G47" s="144">
        <f>IFERROR(_xlfn.XLOOKUP($B47,'Cronog. e Histog.'!$BZ:$BZ,'Cronog. e Histog.'!CB:CB),"")</f>
        <v>0</v>
      </c>
      <c r="H47" s="144">
        <f>IFERROR(_xlfn.XLOOKUP($B47,'Cronog. e Histog.'!$BZ:$BZ,'Cronog. e Histog.'!CC:CC),"")</f>
        <v>0</v>
      </c>
      <c r="I47" s="144">
        <f>IFERROR(_xlfn.XLOOKUP($B47,'Cronog. e Histog.'!$BZ:$BZ,'Cronog. e Histog.'!CD:CD),"")</f>
        <v>0</v>
      </c>
      <c r="J47" s="144">
        <f>IFERROR(_xlfn.XLOOKUP($B47,'Cronog. e Histog.'!$BZ:$BZ,'Cronog. e Histog.'!CE:CE),"")</f>
        <v>0</v>
      </c>
      <c r="K47" s="144">
        <f>IFERROR(_xlfn.XLOOKUP($B47,'Cronog. e Histog.'!$BZ:$BZ,'Cronog. e Histog.'!CF:CF),"")</f>
        <v>0</v>
      </c>
      <c r="L47" s="144">
        <f>IFERROR(_xlfn.XLOOKUP($B47,'Cronog. e Histog.'!$BZ:$BZ,'Cronog. e Histog.'!CG:CG),"")</f>
        <v>0</v>
      </c>
      <c r="M47" s="144">
        <f>IFERROR(_xlfn.XLOOKUP($B47,'Cronog. e Histog.'!$BZ:$BZ,'Cronog. e Histog.'!CH:CH),"")</f>
        <v>0</v>
      </c>
      <c r="N47" s="144">
        <f>IFERROR(_xlfn.XLOOKUP($B47,'Cronog. e Histog.'!$BZ:$BZ,'Cronog. e Histog.'!CI:CI),"")</f>
        <v>0</v>
      </c>
      <c r="O47" s="144">
        <f>IFERROR(_xlfn.XLOOKUP($B47,'Cronog. e Histog.'!$BZ:$BZ,'Cronog. e Histog.'!CJ:CJ),"")</f>
        <v>0</v>
      </c>
      <c r="P47" s="144">
        <f>IFERROR(_xlfn.XLOOKUP($B47,'Cronog. e Histog.'!$BZ:$BZ,'Cronog. e Histog.'!CK:CK),"")</f>
        <v>0</v>
      </c>
      <c r="Q47" s="144">
        <f>IFERROR(_xlfn.XLOOKUP($B47,'Cronog. e Histog.'!$BZ:$BZ,'Cronog. e Histog.'!CL:CL),"")</f>
        <v>0</v>
      </c>
      <c r="R47" s="144">
        <f>IFERROR(_xlfn.XLOOKUP($B47,'Cronog. e Histog.'!$BZ:$BZ,'Cronog. e Histog.'!CM:CM),"")</f>
        <v>0</v>
      </c>
      <c r="S47" s="144">
        <f>IFERROR(_xlfn.XLOOKUP($B47,'Cronog. e Histog.'!$BZ:$BZ,'Cronog. e Histog.'!CN:CN),"")</f>
        <v>0</v>
      </c>
      <c r="T47" s="144">
        <f>IFERROR(_xlfn.XLOOKUP($B47,'Cronog. e Histog.'!$BZ:$BZ,'Cronog. e Histog.'!CO:CO),"")</f>
        <v>0</v>
      </c>
      <c r="U47" s="144">
        <f>IFERROR(_xlfn.XLOOKUP($B47,'Cronog. e Histog.'!$BZ:$BZ,'Cronog. e Histog.'!CP:CP),"")</f>
        <v>0</v>
      </c>
      <c r="V47" s="144">
        <f>IFERROR(_xlfn.XLOOKUP($B47,'Cronog. e Histog.'!$BZ:$BZ,'Cronog. e Histog.'!CQ:CQ),"")</f>
        <v>0</v>
      </c>
      <c r="W47" s="144">
        <f>IFERROR(_xlfn.XLOOKUP($B47,'Cronog. e Histog.'!$BZ:$BZ,'Cronog. e Histog.'!CR:CR),"")</f>
        <v>0</v>
      </c>
      <c r="X47" s="144">
        <f>IFERROR(_xlfn.XLOOKUP($B47,'Cronog. e Histog.'!$BZ:$BZ,'Cronog. e Histog.'!CS:CS),"")</f>
        <v>0</v>
      </c>
      <c r="Y47" s="144">
        <f>IFERROR(_xlfn.XLOOKUP($B47,'Cronog. e Histog.'!$BZ:$BZ,'Cronog. e Histog.'!CT:CT),"")</f>
        <v>0</v>
      </c>
      <c r="Z47" s="144">
        <f>IFERROR(_xlfn.XLOOKUP($B47,'Cronog. e Histog.'!$BZ:$BZ,'Cronog. e Histog.'!CU:CU),"")</f>
        <v>0</v>
      </c>
      <c r="AA47" s="144">
        <f>IFERROR(_xlfn.XLOOKUP($B47,'Cronog. e Histog.'!$BZ:$BZ,'Cronog. e Histog.'!CV:CV),"")</f>
        <v>0</v>
      </c>
      <c r="AB47" s="144">
        <f>IFERROR(_xlfn.XLOOKUP($B47,'Cronog. e Histog.'!$BZ:$BZ,'Cronog. e Histog.'!CW:CW),"")</f>
        <v>0</v>
      </c>
      <c r="AC47" s="144">
        <f>IFERROR(_xlfn.XLOOKUP($B47,'Cronog. e Histog.'!$BZ:$BZ,'Cronog. e Histog.'!CX:CX),"")</f>
        <v>0</v>
      </c>
      <c r="AD47" s="144">
        <f>IFERROR(_xlfn.XLOOKUP($B47,'Cronog. e Histog.'!$BZ:$BZ,'Cronog. e Histog.'!CY:CY),"")</f>
        <v>0</v>
      </c>
      <c r="AE47" s="144">
        <f>IFERROR(_xlfn.XLOOKUP($B47,'Cronog. e Histog.'!$BZ:$BZ,'Cronog. e Histog.'!CZ:CZ),"")</f>
        <v>0</v>
      </c>
      <c r="AF47" s="144">
        <f>IFERROR(_xlfn.XLOOKUP($B47,'Cronog. e Histog.'!$BZ:$BZ,'Cronog. e Histog.'!DA:DA),"")</f>
        <v>0</v>
      </c>
      <c r="AG47" s="144">
        <f>IFERROR(_xlfn.XLOOKUP($B47,'Cronog. e Histog.'!$BZ:$BZ,'Cronog. e Histog.'!DB:DB),"")</f>
        <v>0</v>
      </c>
      <c r="AH47" s="144">
        <f>IFERROR(_xlfn.XLOOKUP($B47,'Cronog. e Histog.'!$BZ:$BZ,'Cronog. e Histog.'!DC:DC),"")</f>
        <v>0</v>
      </c>
      <c r="AI47" s="144">
        <f>IFERROR(_xlfn.XLOOKUP($B47,'Cronog. e Histog.'!$BZ:$BZ,'Cronog. e Histog.'!DD:DD),"")</f>
        <v>0</v>
      </c>
      <c r="AJ47" s="144">
        <f>IFERROR(_xlfn.XLOOKUP($B47,'Cronog. e Histog.'!$BZ:$BZ,'Cronog. e Histog.'!DE:DE),"")</f>
        <v>0</v>
      </c>
      <c r="AK47" s="144">
        <f>IFERROR(_xlfn.XLOOKUP($B47,'Cronog. e Histog.'!$BZ:$BZ,'Cronog. e Histog.'!DF:DF),"")</f>
        <v>0</v>
      </c>
      <c r="AL47" s="144">
        <f>IFERROR(_xlfn.XLOOKUP($B47,'Cronog. e Histog.'!$BZ:$BZ,'Cronog. e Histog.'!DG:DG),"")</f>
        <v>0</v>
      </c>
      <c r="AM47" s="144">
        <f>IFERROR(_xlfn.XLOOKUP($B47,'Cronog. e Histog.'!$BZ:$BZ,'Cronog. e Histog.'!DH:DH),"")</f>
        <v>0</v>
      </c>
      <c r="AN47" s="144">
        <f>IFERROR(_xlfn.XLOOKUP($B47,'Cronog. e Histog.'!$BZ:$BZ,'Cronog. e Histog.'!DI:DI),"")</f>
        <v>0</v>
      </c>
      <c r="AO47" s="144">
        <f>IFERROR(_xlfn.XLOOKUP($B47,'Cronog. e Histog.'!$BZ:$BZ,'Cronog. e Histog.'!DJ:DJ),"")</f>
        <v>0</v>
      </c>
      <c r="AP47" s="144">
        <f>IFERROR(_xlfn.XLOOKUP($B47,'Cronog. e Histog.'!$BZ:$BZ,'Cronog. e Histog.'!DK:DK),"")</f>
        <v>0</v>
      </c>
      <c r="AQ47" s="144">
        <f>IFERROR(_xlfn.XLOOKUP($B47,'Cronog. e Histog.'!$BZ:$BZ,'Cronog. e Histog.'!DL:DL),"")</f>
        <v>0</v>
      </c>
      <c r="AR47" s="144">
        <f>IFERROR(_xlfn.XLOOKUP($B47,'Cronog. e Histog.'!$BZ:$BZ,'Cronog. e Histog.'!DM:DM),"")</f>
        <v>0</v>
      </c>
      <c r="AS47" s="144">
        <f>IFERROR(_xlfn.XLOOKUP($B47,'Cronog. e Histog.'!$BZ:$BZ,'Cronog. e Histog.'!DN:DN),"")</f>
        <v>0</v>
      </c>
      <c r="AT47" s="144">
        <f>IFERROR(_xlfn.XLOOKUP($B47,'Cronog. e Histog.'!$BZ:$BZ,'Cronog. e Histog.'!DO:DO),"")</f>
        <v>0</v>
      </c>
      <c r="AU47" s="144">
        <f>IFERROR(_xlfn.XLOOKUP($B47,'Cronog. e Histog.'!$BZ:$BZ,'Cronog. e Histog.'!DP:DP),"")</f>
        <v>0</v>
      </c>
      <c r="AV47" s="144">
        <f>IFERROR(_xlfn.XLOOKUP($B47,'Cronog. e Histog.'!$BZ:$BZ,'Cronog. e Histog.'!DQ:DQ),"")</f>
        <v>0</v>
      </c>
      <c r="AW47" s="144">
        <f>IFERROR(_xlfn.XLOOKUP($B47,'Cronog. e Histog.'!$BZ:$BZ,'Cronog. e Histog.'!DR:DR),"")</f>
        <v>0</v>
      </c>
      <c r="AX47" s="144">
        <f>IFERROR(_xlfn.XLOOKUP($B47,'Cronog. e Histog.'!$BZ:$BZ,'Cronog. e Histog.'!DS:DS),"")</f>
        <v>0</v>
      </c>
      <c r="AY47" s="144">
        <f>IFERROR(_xlfn.XLOOKUP($B47,'Cronog. e Histog.'!$BZ:$BZ,'Cronog. e Histog.'!DT:DT),"")</f>
        <v>0</v>
      </c>
      <c r="AZ47" s="144">
        <f>IFERROR(_xlfn.XLOOKUP($B47,'Cronog. e Histog.'!$BZ:$BZ,'Cronog. e Histog.'!DU:DU),"")</f>
        <v>0</v>
      </c>
      <c r="BA47" s="144">
        <f>IFERROR(_xlfn.XLOOKUP($B47,'Cronog. e Histog.'!$BZ:$BZ,'Cronog. e Histog.'!DV:DV),"")</f>
        <v>0</v>
      </c>
      <c r="BB47" s="144">
        <f>IFERROR(_xlfn.XLOOKUP($B47,'Cronog. e Histog.'!$BZ:$BZ,'Cronog. e Histog.'!DW:DW),"")</f>
        <v>0</v>
      </c>
      <c r="BC47" s="144">
        <f>IFERROR(_xlfn.XLOOKUP($B47,'Cronog. e Histog.'!$BZ:$BZ,'Cronog. e Histog.'!DX:DX),"")</f>
        <v>0</v>
      </c>
      <c r="BD47" s="144">
        <f>IFERROR(_xlfn.XLOOKUP($B47,'Cronog. e Histog.'!$BZ:$BZ,'Cronog. e Histog.'!DY:DY),"")</f>
        <v>0</v>
      </c>
      <c r="BE47" s="144">
        <f>IFERROR(_xlfn.XLOOKUP($B47,'Cronog. e Histog.'!$BZ:$BZ,'Cronog. e Histog.'!DZ:DZ),"")</f>
        <v>0</v>
      </c>
      <c r="BF47" s="144">
        <f>IFERROR(_xlfn.XLOOKUP($B47,'Cronog. e Histog.'!$BZ:$BZ,'Cronog. e Histog.'!EA:EA),"")</f>
        <v>0</v>
      </c>
      <c r="BG47" s="144">
        <f>IFERROR(_xlfn.XLOOKUP($B47,'Cronog. e Histog.'!$BZ:$BZ,'Cronog. e Histog.'!EB:EB),"")</f>
        <v>0</v>
      </c>
      <c r="BH47" s="144">
        <f>IFERROR(_xlfn.XLOOKUP($B47,'Cronog. e Histog.'!$BZ:$BZ,'Cronog. e Histog.'!EC:EC),"")</f>
        <v>0</v>
      </c>
      <c r="BI47" s="144">
        <f>IFERROR(_xlfn.XLOOKUP($B47,'Cronog. e Histog.'!$BZ:$BZ,'Cronog. e Histog.'!ED:ED),"")</f>
        <v>0</v>
      </c>
      <c r="BJ47" s="144">
        <f>IFERROR(_xlfn.XLOOKUP($B47,'Cronog. e Histog.'!$BZ:$BZ,'Cronog. e Histog.'!EE:EE),"")</f>
        <v>0</v>
      </c>
      <c r="BK47" s="144">
        <f>IFERROR(_xlfn.XLOOKUP($B47,'Cronog. e Histog.'!$BZ:$BZ,'Cronog. e Histog.'!EF:EF),"")</f>
        <v>0</v>
      </c>
      <c r="BL47" s="144">
        <f>IFERROR(_xlfn.XLOOKUP($B47,'Cronog. e Histog.'!$BZ:$BZ,'Cronog. e Histog.'!EG:EG),"")</f>
        <v>0</v>
      </c>
      <c r="BM47" s="144">
        <f>IFERROR(_xlfn.XLOOKUP($B47,'Cronog. e Histog.'!$BZ:$BZ,'Cronog. e Histog.'!EH:EH),"")</f>
        <v>0</v>
      </c>
      <c r="BN47" s="144">
        <f>IFERROR(_xlfn.XLOOKUP($B47,'Cronog. e Histog.'!$BZ:$BZ,'Cronog. e Histog.'!EI:EI),"")</f>
        <v>0</v>
      </c>
    </row>
    <row r="48" spans="2:66" ht="12" hidden="1" customHeight="1" outlineLevel="1">
      <c r="B48" s="76">
        <v>42</v>
      </c>
      <c r="C48" s="143" t="str">
        <f>IFERROR(VLOOKUP(B48,'Cronog. e Histog.'!$BZ$213:$CA$747,2,0),"")</f>
        <v>COORD.</v>
      </c>
      <c r="D48" s="144">
        <f t="shared" si="0"/>
        <v>0</v>
      </c>
      <c r="E48" s="144">
        <f t="shared" si="1"/>
        <v>0</v>
      </c>
      <c r="F48" s="65"/>
      <c r="G48" s="144">
        <f>IFERROR(_xlfn.XLOOKUP($B48,'Cronog. e Histog.'!$BZ:$BZ,'Cronog. e Histog.'!CB:CB),"")</f>
        <v>0</v>
      </c>
      <c r="H48" s="144">
        <f>IFERROR(_xlfn.XLOOKUP($B48,'Cronog. e Histog.'!$BZ:$BZ,'Cronog. e Histog.'!CC:CC),"")</f>
        <v>0</v>
      </c>
      <c r="I48" s="144">
        <f>IFERROR(_xlfn.XLOOKUP($B48,'Cronog. e Histog.'!$BZ:$BZ,'Cronog. e Histog.'!CD:CD),"")</f>
        <v>0</v>
      </c>
      <c r="J48" s="144">
        <f>IFERROR(_xlfn.XLOOKUP($B48,'Cronog. e Histog.'!$BZ:$BZ,'Cronog. e Histog.'!CE:CE),"")</f>
        <v>0</v>
      </c>
      <c r="K48" s="144">
        <f>IFERROR(_xlfn.XLOOKUP($B48,'Cronog. e Histog.'!$BZ:$BZ,'Cronog. e Histog.'!CF:CF),"")</f>
        <v>0</v>
      </c>
      <c r="L48" s="144">
        <f>IFERROR(_xlfn.XLOOKUP($B48,'Cronog. e Histog.'!$BZ:$BZ,'Cronog. e Histog.'!CG:CG),"")</f>
        <v>0</v>
      </c>
      <c r="M48" s="144">
        <f>IFERROR(_xlfn.XLOOKUP($B48,'Cronog. e Histog.'!$BZ:$BZ,'Cronog. e Histog.'!CH:CH),"")</f>
        <v>0</v>
      </c>
      <c r="N48" s="144">
        <f>IFERROR(_xlfn.XLOOKUP($B48,'Cronog. e Histog.'!$BZ:$BZ,'Cronog. e Histog.'!CI:CI),"")</f>
        <v>0</v>
      </c>
      <c r="O48" s="144">
        <f>IFERROR(_xlfn.XLOOKUP($B48,'Cronog. e Histog.'!$BZ:$BZ,'Cronog. e Histog.'!CJ:CJ),"")</f>
        <v>0</v>
      </c>
      <c r="P48" s="144">
        <f>IFERROR(_xlfn.XLOOKUP($B48,'Cronog. e Histog.'!$BZ:$BZ,'Cronog. e Histog.'!CK:CK),"")</f>
        <v>0</v>
      </c>
      <c r="Q48" s="144">
        <f>IFERROR(_xlfn.XLOOKUP($B48,'Cronog. e Histog.'!$BZ:$BZ,'Cronog. e Histog.'!CL:CL),"")</f>
        <v>0</v>
      </c>
      <c r="R48" s="144">
        <f>IFERROR(_xlfn.XLOOKUP($B48,'Cronog. e Histog.'!$BZ:$BZ,'Cronog. e Histog.'!CM:CM),"")</f>
        <v>0</v>
      </c>
      <c r="S48" s="144">
        <f>IFERROR(_xlfn.XLOOKUP($B48,'Cronog. e Histog.'!$BZ:$BZ,'Cronog. e Histog.'!CN:CN),"")</f>
        <v>0</v>
      </c>
      <c r="T48" s="144">
        <f>IFERROR(_xlfn.XLOOKUP($B48,'Cronog. e Histog.'!$BZ:$BZ,'Cronog. e Histog.'!CO:CO),"")</f>
        <v>0</v>
      </c>
      <c r="U48" s="144">
        <f>IFERROR(_xlfn.XLOOKUP($B48,'Cronog. e Histog.'!$BZ:$BZ,'Cronog. e Histog.'!CP:CP),"")</f>
        <v>0</v>
      </c>
      <c r="V48" s="144">
        <f>IFERROR(_xlfn.XLOOKUP($B48,'Cronog. e Histog.'!$BZ:$BZ,'Cronog. e Histog.'!CQ:CQ),"")</f>
        <v>0</v>
      </c>
      <c r="W48" s="144">
        <f>IFERROR(_xlfn.XLOOKUP($B48,'Cronog. e Histog.'!$BZ:$BZ,'Cronog. e Histog.'!CR:CR),"")</f>
        <v>0</v>
      </c>
      <c r="X48" s="144">
        <f>IFERROR(_xlfn.XLOOKUP($B48,'Cronog. e Histog.'!$BZ:$BZ,'Cronog. e Histog.'!CS:CS),"")</f>
        <v>0</v>
      </c>
      <c r="Y48" s="144">
        <f>IFERROR(_xlfn.XLOOKUP($B48,'Cronog. e Histog.'!$BZ:$BZ,'Cronog. e Histog.'!CT:CT),"")</f>
        <v>0</v>
      </c>
      <c r="Z48" s="144">
        <f>IFERROR(_xlfn.XLOOKUP($B48,'Cronog. e Histog.'!$BZ:$BZ,'Cronog. e Histog.'!CU:CU),"")</f>
        <v>0</v>
      </c>
      <c r="AA48" s="144">
        <f>IFERROR(_xlfn.XLOOKUP($B48,'Cronog. e Histog.'!$BZ:$BZ,'Cronog. e Histog.'!CV:CV),"")</f>
        <v>0</v>
      </c>
      <c r="AB48" s="144">
        <f>IFERROR(_xlfn.XLOOKUP($B48,'Cronog. e Histog.'!$BZ:$BZ,'Cronog. e Histog.'!CW:CW),"")</f>
        <v>0</v>
      </c>
      <c r="AC48" s="144">
        <f>IFERROR(_xlfn.XLOOKUP($B48,'Cronog. e Histog.'!$BZ:$BZ,'Cronog. e Histog.'!CX:CX),"")</f>
        <v>0</v>
      </c>
      <c r="AD48" s="144">
        <f>IFERROR(_xlfn.XLOOKUP($B48,'Cronog. e Histog.'!$BZ:$BZ,'Cronog. e Histog.'!CY:CY),"")</f>
        <v>0</v>
      </c>
      <c r="AE48" s="144">
        <f>IFERROR(_xlfn.XLOOKUP($B48,'Cronog. e Histog.'!$BZ:$BZ,'Cronog. e Histog.'!CZ:CZ),"")</f>
        <v>0</v>
      </c>
      <c r="AF48" s="144">
        <f>IFERROR(_xlfn.XLOOKUP($B48,'Cronog. e Histog.'!$BZ:$BZ,'Cronog. e Histog.'!DA:DA),"")</f>
        <v>0</v>
      </c>
      <c r="AG48" s="144">
        <f>IFERROR(_xlfn.XLOOKUP($B48,'Cronog. e Histog.'!$BZ:$BZ,'Cronog. e Histog.'!DB:DB),"")</f>
        <v>0</v>
      </c>
      <c r="AH48" s="144">
        <f>IFERROR(_xlfn.XLOOKUP($B48,'Cronog. e Histog.'!$BZ:$BZ,'Cronog. e Histog.'!DC:DC),"")</f>
        <v>0</v>
      </c>
      <c r="AI48" s="144">
        <f>IFERROR(_xlfn.XLOOKUP($B48,'Cronog. e Histog.'!$BZ:$BZ,'Cronog. e Histog.'!DD:DD),"")</f>
        <v>0</v>
      </c>
      <c r="AJ48" s="144">
        <f>IFERROR(_xlfn.XLOOKUP($B48,'Cronog. e Histog.'!$BZ:$BZ,'Cronog. e Histog.'!DE:DE),"")</f>
        <v>0</v>
      </c>
      <c r="AK48" s="144">
        <f>IFERROR(_xlfn.XLOOKUP($B48,'Cronog. e Histog.'!$BZ:$BZ,'Cronog. e Histog.'!DF:DF),"")</f>
        <v>0</v>
      </c>
      <c r="AL48" s="144">
        <f>IFERROR(_xlfn.XLOOKUP($B48,'Cronog. e Histog.'!$BZ:$BZ,'Cronog. e Histog.'!DG:DG),"")</f>
        <v>0</v>
      </c>
      <c r="AM48" s="144">
        <f>IFERROR(_xlfn.XLOOKUP($B48,'Cronog. e Histog.'!$BZ:$BZ,'Cronog. e Histog.'!DH:DH),"")</f>
        <v>0</v>
      </c>
      <c r="AN48" s="144">
        <f>IFERROR(_xlfn.XLOOKUP($B48,'Cronog. e Histog.'!$BZ:$BZ,'Cronog. e Histog.'!DI:DI),"")</f>
        <v>0</v>
      </c>
      <c r="AO48" s="144">
        <f>IFERROR(_xlfn.XLOOKUP($B48,'Cronog. e Histog.'!$BZ:$BZ,'Cronog. e Histog.'!DJ:DJ),"")</f>
        <v>0</v>
      </c>
      <c r="AP48" s="144">
        <f>IFERROR(_xlfn.XLOOKUP($B48,'Cronog. e Histog.'!$BZ:$BZ,'Cronog. e Histog.'!DK:DK),"")</f>
        <v>0</v>
      </c>
      <c r="AQ48" s="144">
        <f>IFERROR(_xlfn.XLOOKUP($B48,'Cronog. e Histog.'!$BZ:$BZ,'Cronog. e Histog.'!DL:DL),"")</f>
        <v>0</v>
      </c>
      <c r="AR48" s="144">
        <f>IFERROR(_xlfn.XLOOKUP($B48,'Cronog. e Histog.'!$BZ:$BZ,'Cronog. e Histog.'!DM:DM),"")</f>
        <v>0</v>
      </c>
      <c r="AS48" s="144">
        <f>IFERROR(_xlfn.XLOOKUP($B48,'Cronog. e Histog.'!$BZ:$BZ,'Cronog. e Histog.'!DN:DN),"")</f>
        <v>0</v>
      </c>
      <c r="AT48" s="144">
        <f>IFERROR(_xlfn.XLOOKUP($B48,'Cronog. e Histog.'!$BZ:$BZ,'Cronog. e Histog.'!DO:DO),"")</f>
        <v>0</v>
      </c>
      <c r="AU48" s="144">
        <f>IFERROR(_xlfn.XLOOKUP($B48,'Cronog. e Histog.'!$BZ:$BZ,'Cronog. e Histog.'!DP:DP),"")</f>
        <v>0</v>
      </c>
      <c r="AV48" s="144">
        <f>IFERROR(_xlfn.XLOOKUP($B48,'Cronog. e Histog.'!$BZ:$BZ,'Cronog. e Histog.'!DQ:DQ),"")</f>
        <v>0</v>
      </c>
      <c r="AW48" s="144">
        <f>IFERROR(_xlfn.XLOOKUP($B48,'Cronog. e Histog.'!$BZ:$BZ,'Cronog. e Histog.'!DR:DR),"")</f>
        <v>0</v>
      </c>
      <c r="AX48" s="144">
        <f>IFERROR(_xlfn.XLOOKUP($B48,'Cronog. e Histog.'!$BZ:$BZ,'Cronog. e Histog.'!DS:DS),"")</f>
        <v>0</v>
      </c>
      <c r="AY48" s="144">
        <f>IFERROR(_xlfn.XLOOKUP($B48,'Cronog. e Histog.'!$BZ:$BZ,'Cronog. e Histog.'!DT:DT),"")</f>
        <v>0</v>
      </c>
      <c r="AZ48" s="144">
        <f>IFERROR(_xlfn.XLOOKUP($B48,'Cronog. e Histog.'!$BZ:$BZ,'Cronog. e Histog.'!DU:DU),"")</f>
        <v>0</v>
      </c>
      <c r="BA48" s="144">
        <f>IFERROR(_xlfn.XLOOKUP($B48,'Cronog. e Histog.'!$BZ:$BZ,'Cronog. e Histog.'!DV:DV),"")</f>
        <v>0</v>
      </c>
      <c r="BB48" s="144">
        <f>IFERROR(_xlfn.XLOOKUP($B48,'Cronog. e Histog.'!$BZ:$BZ,'Cronog. e Histog.'!DW:DW),"")</f>
        <v>0</v>
      </c>
      <c r="BC48" s="144">
        <f>IFERROR(_xlfn.XLOOKUP($B48,'Cronog. e Histog.'!$BZ:$BZ,'Cronog. e Histog.'!DX:DX),"")</f>
        <v>0</v>
      </c>
      <c r="BD48" s="144">
        <f>IFERROR(_xlfn.XLOOKUP($B48,'Cronog. e Histog.'!$BZ:$BZ,'Cronog. e Histog.'!DY:DY),"")</f>
        <v>0</v>
      </c>
      <c r="BE48" s="144">
        <f>IFERROR(_xlfn.XLOOKUP($B48,'Cronog. e Histog.'!$BZ:$BZ,'Cronog. e Histog.'!DZ:DZ),"")</f>
        <v>0</v>
      </c>
      <c r="BF48" s="144">
        <f>IFERROR(_xlfn.XLOOKUP($B48,'Cronog. e Histog.'!$BZ:$BZ,'Cronog. e Histog.'!EA:EA),"")</f>
        <v>0</v>
      </c>
      <c r="BG48" s="144">
        <f>IFERROR(_xlfn.XLOOKUP($B48,'Cronog. e Histog.'!$BZ:$BZ,'Cronog. e Histog.'!EB:EB),"")</f>
        <v>0</v>
      </c>
      <c r="BH48" s="144">
        <f>IFERROR(_xlfn.XLOOKUP($B48,'Cronog. e Histog.'!$BZ:$BZ,'Cronog. e Histog.'!EC:EC),"")</f>
        <v>0</v>
      </c>
      <c r="BI48" s="144">
        <f>IFERROR(_xlfn.XLOOKUP($B48,'Cronog. e Histog.'!$BZ:$BZ,'Cronog. e Histog.'!ED:ED),"")</f>
        <v>0</v>
      </c>
      <c r="BJ48" s="144">
        <f>IFERROR(_xlfn.XLOOKUP($B48,'Cronog. e Histog.'!$BZ:$BZ,'Cronog. e Histog.'!EE:EE),"")</f>
        <v>0</v>
      </c>
      <c r="BK48" s="144">
        <f>IFERROR(_xlfn.XLOOKUP($B48,'Cronog. e Histog.'!$BZ:$BZ,'Cronog. e Histog.'!EF:EF),"")</f>
        <v>0</v>
      </c>
      <c r="BL48" s="144">
        <f>IFERROR(_xlfn.XLOOKUP($B48,'Cronog. e Histog.'!$BZ:$BZ,'Cronog. e Histog.'!EG:EG),"")</f>
        <v>0</v>
      </c>
      <c r="BM48" s="144">
        <f>IFERROR(_xlfn.XLOOKUP($B48,'Cronog. e Histog.'!$BZ:$BZ,'Cronog. e Histog.'!EH:EH),"")</f>
        <v>0</v>
      </c>
      <c r="BN48" s="144">
        <f>IFERROR(_xlfn.XLOOKUP($B48,'Cronog. e Histog.'!$BZ:$BZ,'Cronog. e Histog.'!EI:EI),"")</f>
        <v>0</v>
      </c>
    </row>
    <row r="49" spans="2:66" ht="12" hidden="1" customHeight="1" outlineLevel="1">
      <c r="B49" s="76">
        <v>43</v>
      </c>
      <c r="C49" s="143" t="str">
        <f>IFERROR(VLOOKUP(B49,'Cronog. e Histog.'!$BZ$213:$CA$747,2,0),"")</f>
        <v>SUP.-ESP</v>
      </c>
      <c r="D49" s="144">
        <f t="shared" si="0"/>
        <v>0</v>
      </c>
      <c r="E49" s="144">
        <f t="shared" si="1"/>
        <v>0</v>
      </c>
      <c r="F49" s="65"/>
      <c r="G49" s="144">
        <f>IFERROR(_xlfn.XLOOKUP($B49,'Cronog. e Histog.'!$BZ:$BZ,'Cronog. e Histog.'!CB:CB),"")</f>
        <v>0</v>
      </c>
      <c r="H49" s="144">
        <f>IFERROR(_xlfn.XLOOKUP($B49,'Cronog. e Histog.'!$BZ:$BZ,'Cronog. e Histog.'!CC:CC),"")</f>
        <v>0</v>
      </c>
      <c r="I49" s="144">
        <f>IFERROR(_xlfn.XLOOKUP($B49,'Cronog. e Histog.'!$BZ:$BZ,'Cronog. e Histog.'!CD:CD),"")</f>
        <v>0</v>
      </c>
      <c r="J49" s="144">
        <f>IFERROR(_xlfn.XLOOKUP($B49,'Cronog. e Histog.'!$BZ:$BZ,'Cronog. e Histog.'!CE:CE),"")</f>
        <v>0</v>
      </c>
      <c r="K49" s="144">
        <f>IFERROR(_xlfn.XLOOKUP($B49,'Cronog. e Histog.'!$BZ:$BZ,'Cronog. e Histog.'!CF:CF),"")</f>
        <v>0</v>
      </c>
      <c r="L49" s="144">
        <f>IFERROR(_xlfn.XLOOKUP($B49,'Cronog. e Histog.'!$BZ:$BZ,'Cronog. e Histog.'!CG:CG),"")</f>
        <v>0</v>
      </c>
      <c r="M49" s="144">
        <f>IFERROR(_xlfn.XLOOKUP($B49,'Cronog. e Histog.'!$BZ:$BZ,'Cronog. e Histog.'!CH:CH),"")</f>
        <v>0</v>
      </c>
      <c r="N49" s="144">
        <f>IFERROR(_xlfn.XLOOKUP($B49,'Cronog. e Histog.'!$BZ:$BZ,'Cronog. e Histog.'!CI:CI),"")</f>
        <v>0</v>
      </c>
      <c r="O49" s="144">
        <f>IFERROR(_xlfn.XLOOKUP($B49,'Cronog. e Histog.'!$BZ:$BZ,'Cronog. e Histog.'!CJ:CJ),"")</f>
        <v>0</v>
      </c>
      <c r="P49" s="144">
        <f>IFERROR(_xlfn.XLOOKUP($B49,'Cronog. e Histog.'!$BZ:$BZ,'Cronog. e Histog.'!CK:CK),"")</f>
        <v>0</v>
      </c>
      <c r="Q49" s="144">
        <f>IFERROR(_xlfn.XLOOKUP($B49,'Cronog. e Histog.'!$BZ:$BZ,'Cronog. e Histog.'!CL:CL),"")</f>
        <v>0</v>
      </c>
      <c r="R49" s="144">
        <f>IFERROR(_xlfn.XLOOKUP($B49,'Cronog. e Histog.'!$BZ:$BZ,'Cronog. e Histog.'!CM:CM),"")</f>
        <v>0</v>
      </c>
      <c r="S49" s="144">
        <f>IFERROR(_xlfn.XLOOKUP($B49,'Cronog. e Histog.'!$BZ:$BZ,'Cronog. e Histog.'!CN:CN),"")</f>
        <v>0</v>
      </c>
      <c r="T49" s="144">
        <f>IFERROR(_xlfn.XLOOKUP($B49,'Cronog. e Histog.'!$BZ:$BZ,'Cronog. e Histog.'!CO:CO),"")</f>
        <v>0</v>
      </c>
      <c r="U49" s="144">
        <f>IFERROR(_xlfn.XLOOKUP($B49,'Cronog. e Histog.'!$BZ:$BZ,'Cronog. e Histog.'!CP:CP),"")</f>
        <v>0</v>
      </c>
      <c r="V49" s="144">
        <f>IFERROR(_xlfn.XLOOKUP($B49,'Cronog. e Histog.'!$BZ:$BZ,'Cronog. e Histog.'!CQ:CQ),"")</f>
        <v>0</v>
      </c>
      <c r="W49" s="144">
        <f>IFERROR(_xlfn.XLOOKUP($B49,'Cronog. e Histog.'!$BZ:$BZ,'Cronog. e Histog.'!CR:CR),"")</f>
        <v>0</v>
      </c>
      <c r="X49" s="144">
        <f>IFERROR(_xlfn.XLOOKUP($B49,'Cronog. e Histog.'!$BZ:$BZ,'Cronog. e Histog.'!CS:CS),"")</f>
        <v>0</v>
      </c>
      <c r="Y49" s="144">
        <f>IFERROR(_xlfn.XLOOKUP($B49,'Cronog. e Histog.'!$BZ:$BZ,'Cronog. e Histog.'!CT:CT),"")</f>
        <v>0</v>
      </c>
      <c r="Z49" s="144">
        <f>IFERROR(_xlfn.XLOOKUP($B49,'Cronog. e Histog.'!$BZ:$BZ,'Cronog. e Histog.'!CU:CU),"")</f>
        <v>0</v>
      </c>
      <c r="AA49" s="144">
        <f>IFERROR(_xlfn.XLOOKUP($B49,'Cronog. e Histog.'!$BZ:$BZ,'Cronog. e Histog.'!CV:CV),"")</f>
        <v>0</v>
      </c>
      <c r="AB49" s="144">
        <f>IFERROR(_xlfn.XLOOKUP($B49,'Cronog. e Histog.'!$BZ:$BZ,'Cronog. e Histog.'!CW:CW),"")</f>
        <v>0</v>
      </c>
      <c r="AC49" s="144">
        <f>IFERROR(_xlfn.XLOOKUP($B49,'Cronog. e Histog.'!$BZ:$BZ,'Cronog. e Histog.'!CX:CX),"")</f>
        <v>0</v>
      </c>
      <c r="AD49" s="144">
        <f>IFERROR(_xlfn.XLOOKUP($B49,'Cronog. e Histog.'!$BZ:$BZ,'Cronog. e Histog.'!CY:CY),"")</f>
        <v>0</v>
      </c>
      <c r="AE49" s="144">
        <f>IFERROR(_xlfn.XLOOKUP($B49,'Cronog. e Histog.'!$BZ:$BZ,'Cronog. e Histog.'!CZ:CZ),"")</f>
        <v>0</v>
      </c>
      <c r="AF49" s="144">
        <f>IFERROR(_xlfn.XLOOKUP($B49,'Cronog. e Histog.'!$BZ:$BZ,'Cronog. e Histog.'!DA:DA),"")</f>
        <v>0</v>
      </c>
      <c r="AG49" s="144">
        <f>IFERROR(_xlfn.XLOOKUP($B49,'Cronog. e Histog.'!$BZ:$BZ,'Cronog. e Histog.'!DB:DB),"")</f>
        <v>0</v>
      </c>
      <c r="AH49" s="144">
        <f>IFERROR(_xlfn.XLOOKUP($B49,'Cronog. e Histog.'!$BZ:$BZ,'Cronog. e Histog.'!DC:DC),"")</f>
        <v>0</v>
      </c>
      <c r="AI49" s="144">
        <f>IFERROR(_xlfn.XLOOKUP($B49,'Cronog. e Histog.'!$BZ:$BZ,'Cronog. e Histog.'!DD:DD),"")</f>
        <v>0</v>
      </c>
      <c r="AJ49" s="144">
        <f>IFERROR(_xlfn.XLOOKUP($B49,'Cronog. e Histog.'!$BZ:$BZ,'Cronog. e Histog.'!DE:DE),"")</f>
        <v>0</v>
      </c>
      <c r="AK49" s="144">
        <f>IFERROR(_xlfn.XLOOKUP($B49,'Cronog. e Histog.'!$BZ:$BZ,'Cronog. e Histog.'!DF:DF),"")</f>
        <v>0</v>
      </c>
      <c r="AL49" s="144">
        <f>IFERROR(_xlfn.XLOOKUP($B49,'Cronog. e Histog.'!$BZ:$BZ,'Cronog. e Histog.'!DG:DG),"")</f>
        <v>0</v>
      </c>
      <c r="AM49" s="144">
        <f>IFERROR(_xlfn.XLOOKUP($B49,'Cronog. e Histog.'!$BZ:$BZ,'Cronog. e Histog.'!DH:DH),"")</f>
        <v>0</v>
      </c>
      <c r="AN49" s="144">
        <f>IFERROR(_xlfn.XLOOKUP($B49,'Cronog. e Histog.'!$BZ:$BZ,'Cronog. e Histog.'!DI:DI),"")</f>
        <v>0</v>
      </c>
      <c r="AO49" s="144">
        <f>IFERROR(_xlfn.XLOOKUP($B49,'Cronog. e Histog.'!$BZ:$BZ,'Cronog. e Histog.'!DJ:DJ),"")</f>
        <v>0</v>
      </c>
      <c r="AP49" s="144">
        <f>IFERROR(_xlfn.XLOOKUP($B49,'Cronog. e Histog.'!$BZ:$BZ,'Cronog. e Histog.'!DK:DK),"")</f>
        <v>0</v>
      </c>
      <c r="AQ49" s="144">
        <f>IFERROR(_xlfn.XLOOKUP($B49,'Cronog. e Histog.'!$BZ:$BZ,'Cronog. e Histog.'!DL:DL),"")</f>
        <v>0</v>
      </c>
      <c r="AR49" s="144">
        <f>IFERROR(_xlfn.XLOOKUP($B49,'Cronog. e Histog.'!$BZ:$BZ,'Cronog. e Histog.'!DM:DM),"")</f>
        <v>0</v>
      </c>
      <c r="AS49" s="144">
        <f>IFERROR(_xlfn.XLOOKUP($B49,'Cronog. e Histog.'!$BZ:$BZ,'Cronog. e Histog.'!DN:DN),"")</f>
        <v>0</v>
      </c>
      <c r="AT49" s="144">
        <f>IFERROR(_xlfn.XLOOKUP($B49,'Cronog. e Histog.'!$BZ:$BZ,'Cronog. e Histog.'!DO:DO),"")</f>
        <v>0</v>
      </c>
      <c r="AU49" s="144">
        <f>IFERROR(_xlfn.XLOOKUP($B49,'Cronog. e Histog.'!$BZ:$BZ,'Cronog. e Histog.'!DP:DP),"")</f>
        <v>0</v>
      </c>
      <c r="AV49" s="144">
        <f>IFERROR(_xlfn.XLOOKUP($B49,'Cronog. e Histog.'!$BZ:$BZ,'Cronog. e Histog.'!DQ:DQ),"")</f>
        <v>0</v>
      </c>
      <c r="AW49" s="144">
        <f>IFERROR(_xlfn.XLOOKUP($B49,'Cronog. e Histog.'!$BZ:$BZ,'Cronog. e Histog.'!DR:DR),"")</f>
        <v>0</v>
      </c>
      <c r="AX49" s="144">
        <f>IFERROR(_xlfn.XLOOKUP($B49,'Cronog. e Histog.'!$BZ:$BZ,'Cronog. e Histog.'!DS:DS),"")</f>
        <v>0</v>
      </c>
      <c r="AY49" s="144">
        <f>IFERROR(_xlfn.XLOOKUP($B49,'Cronog. e Histog.'!$BZ:$BZ,'Cronog. e Histog.'!DT:DT),"")</f>
        <v>0</v>
      </c>
      <c r="AZ49" s="144">
        <f>IFERROR(_xlfn.XLOOKUP($B49,'Cronog. e Histog.'!$BZ:$BZ,'Cronog. e Histog.'!DU:DU),"")</f>
        <v>0</v>
      </c>
      <c r="BA49" s="144">
        <f>IFERROR(_xlfn.XLOOKUP($B49,'Cronog. e Histog.'!$BZ:$BZ,'Cronog. e Histog.'!DV:DV),"")</f>
        <v>0</v>
      </c>
      <c r="BB49" s="144">
        <f>IFERROR(_xlfn.XLOOKUP($B49,'Cronog. e Histog.'!$BZ:$BZ,'Cronog. e Histog.'!DW:DW),"")</f>
        <v>0</v>
      </c>
      <c r="BC49" s="144">
        <f>IFERROR(_xlfn.XLOOKUP($B49,'Cronog. e Histog.'!$BZ:$BZ,'Cronog. e Histog.'!DX:DX),"")</f>
        <v>0</v>
      </c>
      <c r="BD49" s="144">
        <f>IFERROR(_xlfn.XLOOKUP($B49,'Cronog. e Histog.'!$BZ:$BZ,'Cronog. e Histog.'!DY:DY),"")</f>
        <v>0</v>
      </c>
      <c r="BE49" s="144">
        <f>IFERROR(_xlfn.XLOOKUP($B49,'Cronog. e Histog.'!$BZ:$BZ,'Cronog. e Histog.'!DZ:DZ),"")</f>
        <v>0</v>
      </c>
      <c r="BF49" s="144">
        <f>IFERROR(_xlfn.XLOOKUP($B49,'Cronog. e Histog.'!$BZ:$BZ,'Cronog. e Histog.'!EA:EA),"")</f>
        <v>0</v>
      </c>
      <c r="BG49" s="144">
        <f>IFERROR(_xlfn.XLOOKUP($B49,'Cronog. e Histog.'!$BZ:$BZ,'Cronog. e Histog.'!EB:EB),"")</f>
        <v>0</v>
      </c>
      <c r="BH49" s="144">
        <f>IFERROR(_xlfn.XLOOKUP($B49,'Cronog. e Histog.'!$BZ:$BZ,'Cronog. e Histog.'!EC:EC),"")</f>
        <v>0</v>
      </c>
      <c r="BI49" s="144">
        <f>IFERROR(_xlfn.XLOOKUP($B49,'Cronog. e Histog.'!$BZ:$BZ,'Cronog. e Histog.'!ED:ED),"")</f>
        <v>0</v>
      </c>
      <c r="BJ49" s="144">
        <f>IFERROR(_xlfn.XLOOKUP($B49,'Cronog. e Histog.'!$BZ:$BZ,'Cronog. e Histog.'!EE:EE),"")</f>
        <v>0</v>
      </c>
      <c r="BK49" s="144">
        <f>IFERROR(_xlfn.XLOOKUP($B49,'Cronog. e Histog.'!$BZ:$BZ,'Cronog. e Histog.'!EF:EF),"")</f>
        <v>0</v>
      </c>
      <c r="BL49" s="144">
        <f>IFERROR(_xlfn.XLOOKUP($B49,'Cronog. e Histog.'!$BZ:$BZ,'Cronog. e Histog.'!EG:EG),"")</f>
        <v>0</v>
      </c>
      <c r="BM49" s="144">
        <f>IFERROR(_xlfn.XLOOKUP($B49,'Cronog. e Histog.'!$BZ:$BZ,'Cronog. e Histog.'!EH:EH),"")</f>
        <v>0</v>
      </c>
      <c r="BN49" s="144">
        <f>IFERROR(_xlfn.XLOOKUP($B49,'Cronog. e Histog.'!$BZ:$BZ,'Cronog. e Histog.'!EI:EI),"")</f>
        <v>0</v>
      </c>
    </row>
    <row r="50" spans="2:66" ht="12" hidden="1" customHeight="1" outlineLevel="1">
      <c r="B50" s="76">
        <v>44</v>
      </c>
      <c r="C50" s="143" t="str">
        <f>IFERROR(VLOOKUP(B50,'Cronog. e Histog.'!$BZ$213:$CA$747,2,0),"")</f>
        <v>ENG/ARQ SR.</v>
      </c>
      <c r="D50" s="144">
        <f t="shared" si="0"/>
        <v>0</v>
      </c>
      <c r="E50" s="144">
        <f t="shared" si="1"/>
        <v>0</v>
      </c>
      <c r="F50" s="65"/>
      <c r="G50" s="144">
        <f>IFERROR(_xlfn.XLOOKUP($B50,'Cronog. e Histog.'!$BZ:$BZ,'Cronog. e Histog.'!CB:CB),"")</f>
        <v>0</v>
      </c>
      <c r="H50" s="144">
        <f>IFERROR(_xlfn.XLOOKUP($B50,'Cronog. e Histog.'!$BZ:$BZ,'Cronog. e Histog.'!CC:CC),"")</f>
        <v>0</v>
      </c>
      <c r="I50" s="144">
        <f>IFERROR(_xlfn.XLOOKUP($B50,'Cronog. e Histog.'!$BZ:$BZ,'Cronog. e Histog.'!CD:CD),"")</f>
        <v>0</v>
      </c>
      <c r="J50" s="144">
        <f>IFERROR(_xlfn.XLOOKUP($B50,'Cronog. e Histog.'!$BZ:$BZ,'Cronog. e Histog.'!CE:CE),"")</f>
        <v>0</v>
      </c>
      <c r="K50" s="144">
        <f>IFERROR(_xlfn.XLOOKUP($B50,'Cronog. e Histog.'!$BZ:$BZ,'Cronog. e Histog.'!CF:CF),"")</f>
        <v>0</v>
      </c>
      <c r="L50" s="144">
        <f>IFERROR(_xlfn.XLOOKUP($B50,'Cronog. e Histog.'!$BZ:$BZ,'Cronog. e Histog.'!CG:CG),"")</f>
        <v>0</v>
      </c>
      <c r="M50" s="144">
        <f>IFERROR(_xlfn.XLOOKUP($B50,'Cronog. e Histog.'!$BZ:$BZ,'Cronog. e Histog.'!CH:CH),"")</f>
        <v>0</v>
      </c>
      <c r="N50" s="144">
        <f>IFERROR(_xlfn.XLOOKUP($B50,'Cronog. e Histog.'!$BZ:$BZ,'Cronog. e Histog.'!CI:CI),"")</f>
        <v>0</v>
      </c>
      <c r="O50" s="144">
        <f>IFERROR(_xlfn.XLOOKUP($B50,'Cronog. e Histog.'!$BZ:$BZ,'Cronog. e Histog.'!CJ:CJ),"")</f>
        <v>0</v>
      </c>
      <c r="P50" s="144">
        <f>IFERROR(_xlfn.XLOOKUP($B50,'Cronog. e Histog.'!$BZ:$BZ,'Cronog. e Histog.'!CK:CK),"")</f>
        <v>0</v>
      </c>
      <c r="Q50" s="144">
        <f>IFERROR(_xlfn.XLOOKUP($B50,'Cronog. e Histog.'!$BZ:$BZ,'Cronog. e Histog.'!CL:CL),"")</f>
        <v>0</v>
      </c>
      <c r="R50" s="144">
        <f>IFERROR(_xlfn.XLOOKUP($B50,'Cronog. e Histog.'!$BZ:$BZ,'Cronog. e Histog.'!CM:CM),"")</f>
        <v>0</v>
      </c>
      <c r="S50" s="144">
        <f>IFERROR(_xlfn.XLOOKUP($B50,'Cronog. e Histog.'!$BZ:$BZ,'Cronog. e Histog.'!CN:CN),"")</f>
        <v>0</v>
      </c>
      <c r="T50" s="144">
        <f>IFERROR(_xlfn.XLOOKUP($B50,'Cronog. e Histog.'!$BZ:$BZ,'Cronog. e Histog.'!CO:CO),"")</f>
        <v>0</v>
      </c>
      <c r="U50" s="144">
        <f>IFERROR(_xlfn.XLOOKUP($B50,'Cronog. e Histog.'!$BZ:$BZ,'Cronog. e Histog.'!CP:CP),"")</f>
        <v>0</v>
      </c>
      <c r="V50" s="144">
        <f>IFERROR(_xlfn.XLOOKUP($B50,'Cronog. e Histog.'!$BZ:$BZ,'Cronog. e Histog.'!CQ:CQ),"")</f>
        <v>0</v>
      </c>
      <c r="W50" s="144">
        <f>IFERROR(_xlfn.XLOOKUP($B50,'Cronog. e Histog.'!$BZ:$BZ,'Cronog. e Histog.'!CR:CR),"")</f>
        <v>0</v>
      </c>
      <c r="X50" s="144">
        <f>IFERROR(_xlfn.XLOOKUP($B50,'Cronog. e Histog.'!$BZ:$BZ,'Cronog. e Histog.'!CS:CS),"")</f>
        <v>0</v>
      </c>
      <c r="Y50" s="144">
        <f>IFERROR(_xlfn.XLOOKUP($B50,'Cronog. e Histog.'!$BZ:$BZ,'Cronog. e Histog.'!CT:CT),"")</f>
        <v>0</v>
      </c>
      <c r="Z50" s="144">
        <f>IFERROR(_xlfn.XLOOKUP($B50,'Cronog. e Histog.'!$BZ:$BZ,'Cronog. e Histog.'!CU:CU),"")</f>
        <v>0</v>
      </c>
      <c r="AA50" s="144">
        <f>IFERROR(_xlfn.XLOOKUP($B50,'Cronog. e Histog.'!$BZ:$BZ,'Cronog. e Histog.'!CV:CV),"")</f>
        <v>0</v>
      </c>
      <c r="AB50" s="144">
        <f>IFERROR(_xlfn.XLOOKUP($B50,'Cronog. e Histog.'!$BZ:$BZ,'Cronog. e Histog.'!CW:CW),"")</f>
        <v>0</v>
      </c>
      <c r="AC50" s="144">
        <f>IFERROR(_xlfn.XLOOKUP($B50,'Cronog. e Histog.'!$BZ:$BZ,'Cronog. e Histog.'!CX:CX),"")</f>
        <v>0</v>
      </c>
      <c r="AD50" s="144">
        <f>IFERROR(_xlfn.XLOOKUP($B50,'Cronog. e Histog.'!$BZ:$BZ,'Cronog. e Histog.'!CY:CY),"")</f>
        <v>0</v>
      </c>
      <c r="AE50" s="144">
        <f>IFERROR(_xlfn.XLOOKUP($B50,'Cronog. e Histog.'!$BZ:$BZ,'Cronog. e Histog.'!CZ:CZ),"")</f>
        <v>0</v>
      </c>
      <c r="AF50" s="144">
        <f>IFERROR(_xlfn.XLOOKUP($B50,'Cronog. e Histog.'!$BZ:$BZ,'Cronog. e Histog.'!DA:DA),"")</f>
        <v>0</v>
      </c>
      <c r="AG50" s="144">
        <f>IFERROR(_xlfn.XLOOKUP($B50,'Cronog. e Histog.'!$BZ:$BZ,'Cronog. e Histog.'!DB:DB),"")</f>
        <v>0</v>
      </c>
      <c r="AH50" s="144">
        <f>IFERROR(_xlfn.XLOOKUP($B50,'Cronog. e Histog.'!$BZ:$BZ,'Cronog. e Histog.'!DC:DC),"")</f>
        <v>0</v>
      </c>
      <c r="AI50" s="144">
        <f>IFERROR(_xlfn.XLOOKUP($B50,'Cronog. e Histog.'!$BZ:$BZ,'Cronog. e Histog.'!DD:DD),"")</f>
        <v>0</v>
      </c>
      <c r="AJ50" s="144">
        <f>IFERROR(_xlfn.XLOOKUP($B50,'Cronog. e Histog.'!$BZ:$BZ,'Cronog. e Histog.'!DE:DE),"")</f>
        <v>0</v>
      </c>
      <c r="AK50" s="144">
        <f>IFERROR(_xlfn.XLOOKUP($B50,'Cronog. e Histog.'!$BZ:$BZ,'Cronog. e Histog.'!DF:DF),"")</f>
        <v>0</v>
      </c>
      <c r="AL50" s="144">
        <f>IFERROR(_xlfn.XLOOKUP($B50,'Cronog. e Histog.'!$BZ:$BZ,'Cronog. e Histog.'!DG:DG),"")</f>
        <v>0</v>
      </c>
      <c r="AM50" s="144">
        <f>IFERROR(_xlfn.XLOOKUP($B50,'Cronog. e Histog.'!$BZ:$BZ,'Cronog. e Histog.'!DH:DH),"")</f>
        <v>0</v>
      </c>
      <c r="AN50" s="144">
        <f>IFERROR(_xlfn.XLOOKUP($B50,'Cronog. e Histog.'!$BZ:$BZ,'Cronog. e Histog.'!DI:DI),"")</f>
        <v>0</v>
      </c>
      <c r="AO50" s="144">
        <f>IFERROR(_xlfn.XLOOKUP($B50,'Cronog. e Histog.'!$BZ:$BZ,'Cronog. e Histog.'!DJ:DJ),"")</f>
        <v>0</v>
      </c>
      <c r="AP50" s="144">
        <f>IFERROR(_xlfn.XLOOKUP($B50,'Cronog. e Histog.'!$BZ:$BZ,'Cronog. e Histog.'!DK:DK),"")</f>
        <v>0</v>
      </c>
      <c r="AQ50" s="144">
        <f>IFERROR(_xlfn.XLOOKUP($B50,'Cronog. e Histog.'!$BZ:$BZ,'Cronog. e Histog.'!DL:DL),"")</f>
        <v>0</v>
      </c>
      <c r="AR50" s="144">
        <f>IFERROR(_xlfn.XLOOKUP($B50,'Cronog. e Histog.'!$BZ:$BZ,'Cronog. e Histog.'!DM:DM),"")</f>
        <v>0</v>
      </c>
      <c r="AS50" s="144">
        <f>IFERROR(_xlfn.XLOOKUP($B50,'Cronog. e Histog.'!$BZ:$BZ,'Cronog. e Histog.'!DN:DN),"")</f>
        <v>0</v>
      </c>
      <c r="AT50" s="144">
        <f>IFERROR(_xlfn.XLOOKUP($B50,'Cronog. e Histog.'!$BZ:$BZ,'Cronog. e Histog.'!DO:DO),"")</f>
        <v>0</v>
      </c>
      <c r="AU50" s="144">
        <f>IFERROR(_xlfn.XLOOKUP($B50,'Cronog. e Histog.'!$BZ:$BZ,'Cronog. e Histog.'!DP:DP),"")</f>
        <v>0</v>
      </c>
      <c r="AV50" s="144">
        <f>IFERROR(_xlfn.XLOOKUP($B50,'Cronog. e Histog.'!$BZ:$BZ,'Cronog. e Histog.'!DQ:DQ),"")</f>
        <v>0</v>
      </c>
      <c r="AW50" s="144">
        <f>IFERROR(_xlfn.XLOOKUP($B50,'Cronog. e Histog.'!$BZ:$BZ,'Cronog. e Histog.'!DR:DR),"")</f>
        <v>0</v>
      </c>
      <c r="AX50" s="144">
        <f>IFERROR(_xlfn.XLOOKUP($B50,'Cronog. e Histog.'!$BZ:$BZ,'Cronog. e Histog.'!DS:DS),"")</f>
        <v>0</v>
      </c>
      <c r="AY50" s="144">
        <f>IFERROR(_xlfn.XLOOKUP($B50,'Cronog. e Histog.'!$BZ:$BZ,'Cronog. e Histog.'!DT:DT),"")</f>
        <v>0</v>
      </c>
      <c r="AZ50" s="144">
        <f>IFERROR(_xlfn.XLOOKUP($B50,'Cronog. e Histog.'!$BZ:$BZ,'Cronog. e Histog.'!DU:DU),"")</f>
        <v>0</v>
      </c>
      <c r="BA50" s="144">
        <f>IFERROR(_xlfn.XLOOKUP($B50,'Cronog. e Histog.'!$BZ:$BZ,'Cronog. e Histog.'!DV:DV),"")</f>
        <v>0</v>
      </c>
      <c r="BB50" s="144">
        <f>IFERROR(_xlfn.XLOOKUP($B50,'Cronog. e Histog.'!$BZ:$BZ,'Cronog. e Histog.'!DW:DW),"")</f>
        <v>0</v>
      </c>
      <c r="BC50" s="144">
        <f>IFERROR(_xlfn.XLOOKUP($B50,'Cronog. e Histog.'!$BZ:$BZ,'Cronog. e Histog.'!DX:DX),"")</f>
        <v>0</v>
      </c>
      <c r="BD50" s="144">
        <f>IFERROR(_xlfn.XLOOKUP($B50,'Cronog. e Histog.'!$BZ:$BZ,'Cronog. e Histog.'!DY:DY),"")</f>
        <v>0</v>
      </c>
      <c r="BE50" s="144">
        <f>IFERROR(_xlfn.XLOOKUP($B50,'Cronog. e Histog.'!$BZ:$BZ,'Cronog. e Histog.'!DZ:DZ),"")</f>
        <v>0</v>
      </c>
      <c r="BF50" s="144">
        <f>IFERROR(_xlfn.XLOOKUP($B50,'Cronog. e Histog.'!$BZ:$BZ,'Cronog. e Histog.'!EA:EA),"")</f>
        <v>0</v>
      </c>
      <c r="BG50" s="144">
        <f>IFERROR(_xlfn.XLOOKUP($B50,'Cronog. e Histog.'!$BZ:$BZ,'Cronog. e Histog.'!EB:EB),"")</f>
        <v>0</v>
      </c>
      <c r="BH50" s="144">
        <f>IFERROR(_xlfn.XLOOKUP($B50,'Cronog. e Histog.'!$BZ:$BZ,'Cronog. e Histog.'!EC:EC),"")</f>
        <v>0</v>
      </c>
      <c r="BI50" s="144">
        <f>IFERROR(_xlfn.XLOOKUP($B50,'Cronog. e Histog.'!$BZ:$BZ,'Cronog. e Histog.'!ED:ED),"")</f>
        <v>0</v>
      </c>
      <c r="BJ50" s="144">
        <f>IFERROR(_xlfn.XLOOKUP($B50,'Cronog. e Histog.'!$BZ:$BZ,'Cronog. e Histog.'!EE:EE),"")</f>
        <v>0</v>
      </c>
      <c r="BK50" s="144">
        <f>IFERROR(_xlfn.XLOOKUP($B50,'Cronog. e Histog.'!$BZ:$BZ,'Cronog. e Histog.'!EF:EF),"")</f>
        <v>0</v>
      </c>
      <c r="BL50" s="144">
        <f>IFERROR(_xlfn.XLOOKUP($B50,'Cronog. e Histog.'!$BZ:$BZ,'Cronog. e Histog.'!EG:EG),"")</f>
        <v>0</v>
      </c>
      <c r="BM50" s="144">
        <f>IFERROR(_xlfn.XLOOKUP($B50,'Cronog. e Histog.'!$BZ:$BZ,'Cronog. e Histog.'!EH:EH),"")</f>
        <v>0</v>
      </c>
      <c r="BN50" s="144">
        <f>IFERROR(_xlfn.XLOOKUP($B50,'Cronog. e Histog.'!$BZ:$BZ,'Cronog. e Histog.'!EI:EI),"")</f>
        <v>0</v>
      </c>
    </row>
    <row r="51" spans="2:66" ht="12" hidden="1" customHeight="1" outlineLevel="1">
      <c r="B51" s="76">
        <v>45</v>
      </c>
      <c r="C51" s="143" t="str">
        <f>IFERROR(VLOOKUP(B51,'Cronog. e Histog.'!$BZ$213:$CA$747,2,0),"")</f>
        <v>ENG/ARQ PL.</v>
      </c>
      <c r="D51" s="144">
        <f t="shared" si="0"/>
        <v>0</v>
      </c>
      <c r="E51" s="144">
        <f t="shared" si="1"/>
        <v>0</v>
      </c>
      <c r="F51" s="65"/>
      <c r="G51" s="144">
        <f>IFERROR(_xlfn.XLOOKUP($B51,'Cronog. e Histog.'!$BZ:$BZ,'Cronog. e Histog.'!CB:CB),"")</f>
        <v>0</v>
      </c>
      <c r="H51" s="144">
        <f>IFERROR(_xlfn.XLOOKUP($B51,'Cronog. e Histog.'!$BZ:$BZ,'Cronog. e Histog.'!CC:CC),"")</f>
        <v>0</v>
      </c>
      <c r="I51" s="144">
        <f>IFERROR(_xlfn.XLOOKUP($B51,'Cronog. e Histog.'!$BZ:$BZ,'Cronog. e Histog.'!CD:CD),"")</f>
        <v>0</v>
      </c>
      <c r="J51" s="144">
        <f>IFERROR(_xlfn.XLOOKUP($B51,'Cronog. e Histog.'!$BZ:$BZ,'Cronog. e Histog.'!CE:CE),"")</f>
        <v>0</v>
      </c>
      <c r="K51" s="144">
        <f>IFERROR(_xlfn.XLOOKUP($B51,'Cronog. e Histog.'!$BZ:$BZ,'Cronog. e Histog.'!CF:CF),"")</f>
        <v>0</v>
      </c>
      <c r="L51" s="144">
        <f>IFERROR(_xlfn.XLOOKUP($B51,'Cronog. e Histog.'!$BZ:$BZ,'Cronog. e Histog.'!CG:CG),"")</f>
        <v>0</v>
      </c>
      <c r="M51" s="144">
        <f>IFERROR(_xlfn.XLOOKUP($B51,'Cronog. e Histog.'!$BZ:$BZ,'Cronog. e Histog.'!CH:CH),"")</f>
        <v>0</v>
      </c>
      <c r="N51" s="144">
        <f>IFERROR(_xlfn.XLOOKUP($B51,'Cronog. e Histog.'!$BZ:$BZ,'Cronog. e Histog.'!CI:CI),"")</f>
        <v>0</v>
      </c>
      <c r="O51" s="144">
        <f>IFERROR(_xlfn.XLOOKUP($B51,'Cronog. e Histog.'!$BZ:$BZ,'Cronog. e Histog.'!CJ:CJ),"")</f>
        <v>0</v>
      </c>
      <c r="P51" s="144">
        <f>IFERROR(_xlfn.XLOOKUP($B51,'Cronog. e Histog.'!$BZ:$BZ,'Cronog. e Histog.'!CK:CK),"")</f>
        <v>0</v>
      </c>
      <c r="Q51" s="144">
        <f>IFERROR(_xlfn.XLOOKUP($B51,'Cronog. e Histog.'!$BZ:$BZ,'Cronog. e Histog.'!CL:CL),"")</f>
        <v>0</v>
      </c>
      <c r="R51" s="144">
        <f>IFERROR(_xlfn.XLOOKUP($B51,'Cronog. e Histog.'!$BZ:$BZ,'Cronog. e Histog.'!CM:CM),"")</f>
        <v>0</v>
      </c>
      <c r="S51" s="144">
        <f>IFERROR(_xlfn.XLOOKUP($B51,'Cronog. e Histog.'!$BZ:$BZ,'Cronog. e Histog.'!CN:CN),"")</f>
        <v>0</v>
      </c>
      <c r="T51" s="144">
        <f>IFERROR(_xlfn.XLOOKUP($B51,'Cronog. e Histog.'!$BZ:$BZ,'Cronog. e Histog.'!CO:CO),"")</f>
        <v>0</v>
      </c>
      <c r="U51" s="144">
        <f>IFERROR(_xlfn.XLOOKUP($B51,'Cronog. e Histog.'!$BZ:$BZ,'Cronog. e Histog.'!CP:CP),"")</f>
        <v>0</v>
      </c>
      <c r="V51" s="144">
        <f>IFERROR(_xlfn.XLOOKUP($B51,'Cronog. e Histog.'!$BZ:$BZ,'Cronog. e Histog.'!CQ:CQ),"")</f>
        <v>0</v>
      </c>
      <c r="W51" s="144">
        <f>IFERROR(_xlfn.XLOOKUP($B51,'Cronog. e Histog.'!$BZ:$BZ,'Cronog. e Histog.'!CR:CR),"")</f>
        <v>0</v>
      </c>
      <c r="X51" s="144">
        <f>IFERROR(_xlfn.XLOOKUP($B51,'Cronog. e Histog.'!$BZ:$BZ,'Cronog. e Histog.'!CS:CS),"")</f>
        <v>0</v>
      </c>
      <c r="Y51" s="144">
        <f>IFERROR(_xlfn.XLOOKUP($B51,'Cronog. e Histog.'!$BZ:$BZ,'Cronog. e Histog.'!CT:CT),"")</f>
        <v>0</v>
      </c>
      <c r="Z51" s="144">
        <f>IFERROR(_xlfn.XLOOKUP($B51,'Cronog. e Histog.'!$BZ:$BZ,'Cronog. e Histog.'!CU:CU),"")</f>
        <v>0</v>
      </c>
      <c r="AA51" s="144">
        <f>IFERROR(_xlfn.XLOOKUP($B51,'Cronog. e Histog.'!$BZ:$BZ,'Cronog. e Histog.'!CV:CV),"")</f>
        <v>0</v>
      </c>
      <c r="AB51" s="144">
        <f>IFERROR(_xlfn.XLOOKUP($B51,'Cronog. e Histog.'!$BZ:$BZ,'Cronog. e Histog.'!CW:CW),"")</f>
        <v>0</v>
      </c>
      <c r="AC51" s="144">
        <f>IFERROR(_xlfn.XLOOKUP($B51,'Cronog. e Histog.'!$BZ:$BZ,'Cronog. e Histog.'!CX:CX),"")</f>
        <v>0</v>
      </c>
      <c r="AD51" s="144">
        <f>IFERROR(_xlfn.XLOOKUP($B51,'Cronog. e Histog.'!$BZ:$BZ,'Cronog. e Histog.'!CY:CY),"")</f>
        <v>0</v>
      </c>
      <c r="AE51" s="144">
        <f>IFERROR(_xlfn.XLOOKUP($B51,'Cronog. e Histog.'!$BZ:$BZ,'Cronog. e Histog.'!CZ:CZ),"")</f>
        <v>0</v>
      </c>
      <c r="AF51" s="144">
        <f>IFERROR(_xlfn.XLOOKUP($B51,'Cronog. e Histog.'!$BZ:$BZ,'Cronog. e Histog.'!DA:DA),"")</f>
        <v>0</v>
      </c>
      <c r="AG51" s="144">
        <f>IFERROR(_xlfn.XLOOKUP($B51,'Cronog. e Histog.'!$BZ:$BZ,'Cronog. e Histog.'!DB:DB),"")</f>
        <v>0</v>
      </c>
      <c r="AH51" s="144">
        <f>IFERROR(_xlfn.XLOOKUP($B51,'Cronog. e Histog.'!$BZ:$BZ,'Cronog. e Histog.'!DC:DC),"")</f>
        <v>0</v>
      </c>
      <c r="AI51" s="144">
        <f>IFERROR(_xlfn.XLOOKUP($B51,'Cronog. e Histog.'!$BZ:$BZ,'Cronog. e Histog.'!DD:DD),"")</f>
        <v>0</v>
      </c>
      <c r="AJ51" s="144">
        <f>IFERROR(_xlfn.XLOOKUP($B51,'Cronog. e Histog.'!$BZ:$BZ,'Cronog. e Histog.'!DE:DE),"")</f>
        <v>0</v>
      </c>
      <c r="AK51" s="144">
        <f>IFERROR(_xlfn.XLOOKUP($B51,'Cronog. e Histog.'!$BZ:$BZ,'Cronog. e Histog.'!DF:DF),"")</f>
        <v>0</v>
      </c>
      <c r="AL51" s="144">
        <f>IFERROR(_xlfn.XLOOKUP($B51,'Cronog. e Histog.'!$BZ:$BZ,'Cronog. e Histog.'!DG:DG),"")</f>
        <v>0</v>
      </c>
      <c r="AM51" s="144">
        <f>IFERROR(_xlfn.XLOOKUP($B51,'Cronog. e Histog.'!$BZ:$BZ,'Cronog. e Histog.'!DH:DH),"")</f>
        <v>0</v>
      </c>
      <c r="AN51" s="144">
        <f>IFERROR(_xlfn.XLOOKUP($B51,'Cronog. e Histog.'!$BZ:$BZ,'Cronog. e Histog.'!DI:DI),"")</f>
        <v>0</v>
      </c>
      <c r="AO51" s="144">
        <f>IFERROR(_xlfn.XLOOKUP($B51,'Cronog. e Histog.'!$BZ:$BZ,'Cronog. e Histog.'!DJ:DJ),"")</f>
        <v>0</v>
      </c>
      <c r="AP51" s="144">
        <f>IFERROR(_xlfn.XLOOKUP($B51,'Cronog. e Histog.'!$BZ:$BZ,'Cronog. e Histog.'!DK:DK),"")</f>
        <v>0</v>
      </c>
      <c r="AQ51" s="144">
        <f>IFERROR(_xlfn.XLOOKUP($B51,'Cronog. e Histog.'!$BZ:$BZ,'Cronog. e Histog.'!DL:DL),"")</f>
        <v>0</v>
      </c>
      <c r="AR51" s="144">
        <f>IFERROR(_xlfn.XLOOKUP($B51,'Cronog. e Histog.'!$BZ:$BZ,'Cronog. e Histog.'!DM:DM),"")</f>
        <v>0</v>
      </c>
      <c r="AS51" s="144">
        <f>IFERROR(_xlfn.XLOOKUP($B51,'Cronog. e Histog.'!$BZ:$BZ,'Cronog. e Histog.'!DN:DN),"")</f>
        <v>0</v>
      </c>
      <c r="AT51" s="144">
        <f>IFERROR(_xlfn.XLOOKUP($B51,'Cronog. e Histog.'!$BZ:$BZ,'Cronog. e Histog.'!DO:DO),"")</f>
        <v>0</v>
      </c>
      <c r="AU51" s="144">
        <f>IFERROR(_xlfn.XLOOKUP($B51,'Cronog. e Histog.'!$BZ:$BZ,'Cronog. e Histog.'!DP:DP),"")</f>
        <v>0</v>
      </c>
      <c r="AV51" s="144">
        <f>IFERROR(_xlfn.XLOOKUP($B51,'Cronog. e Histog.'!$BZ:$BZ,'Cronog. e Histog.'!DQ:DQ),"")</f>
        <v>0</v>
      </c>
      <c r="AW51" s="144">
        <f>IFERROR(_xlfn.XLOOKUP($B51,'Cronog. e Histog.'!$BZ:$BZ,'Cronog. e Histog.'!DR:DR),"")</f>
        <v>0</v>
      </c>
      <c r="AX51" s="144">
        <f>IFERROR(_xlfn.XLOOKUP($B51,'Cronog. e Histog.'!$BZ:$BZ,'Cronog. e Histog.'!DS:DS),"")</f>
        <v>0</v>
      </c>
      <c r="AY51" s="144">
        <f>IFERROR(_xlfn.XLOOKUP($B51,'Cronog. e Histog.'!$BZ:$BZ,'Cronog. e Histog.'!DT:DT),"")</f>
        <v>0</v>
      </c>
      <c r="AZ51" s="144">
        <f>IFERROR(_xlfn.XLOOKUP($B51,'Cronog. e Histog.'!$BZ:$BZ,'Cronog. e Histog.'!DU:DU),"")</f>
        <v>0</v>
      </c>
      <c r="BA51" s="144">
        <f>IFERROR(_xlfn.XLOOKUP($B51,'Cronog. e Histog.'!$BZ:$BZ,'Cronog. e Histog.'!DV:DV),"")</f>
        <v>0</v>
      </c>
      <c r="BB51" s="144">
        <f>IFERROR(_xlfn.XLOOKUP($B51,'Cronog. e Histog.'!$BZ:$BZ,'Cronog. e Histog.'!DW:DW),"")</f>
        <v>0</v>
      </c>
      <c r="BC51" s="144">
        <f>IFERROR(_xlfn.XLOOKUP($B51,'Cronog. e Histog.'!$BZ:$BZ,'Cronog. e Histog.'!DX:DX),"")</f>
        <v>0</v>
      </c>
      <c r="BD51" s="144">
        <f>IFERROR(_xlfn.XLOOKUP($B51,'Cronog. e Histog.'!$BZ:$BZ,'Cronog. e Histog.'!DY:DY),"")</f>
        <v>0</v>
      </c>
      <c r="BE51" s="144">
        <f>IFERROR(_xlfn.XLOOKUP($B51,'Cronog. e Histog.'!$BZ:$BZ,'Cronog. e Histog.'!DZ:DZ),"")</f>
        <v>0</v>
      </c>
      <c r="BF51" s="144">
        <f>IFERROR(_xlfn.XLOOKUP($B51,'Cronog. e Histog.'!$BZ:$BZ,'Cronog. e Histog.'!EA:EA),"")</f>
        <v>0</v>
      </c>
      <c r="BG51" s="144">
        <f>IFERROR(_xlfn.XLOOKUP($B51,'Cronog. e Histog.'!$BZ:$BZ,'Cronog. e Histog.'!EB:EB),"")</f>
        <v>0</v>
      </c>
      <c r="BH51" s="144">
        <f>IFERROR(_xlfn.XLOOKUP($B51,'Cronog. e Histog.'!$BZ:$BZ,'Cronog. e Histog.'!EC:EC),"")</f>
        <v>0</v>
      </c>
      <c r="BI51" s="144">
        <f>IFERROR(_xlfn.XLOOKUP($B51,'Cronog. e Histog.'!$BZ:$BZ,'Cronog. e Histog.'!ED:ED),"")</f>
        <v>0</v>
      </c>
      <c r="BJ51" s="144">
        <f>IFERROR(_xlfn.XLOOKUP($B51,'Cronog. e Histog.'!$BZ:$BZ,'Cronog. e Histog.'!EE:EE),"")</f>
        <v>0</v>
      </c>
      <c r="BK51" s="144">
        <f>IFERROR(_xlfn.XLOOKUP($B51,'Cronog. e Histog.'!$BZ:$BZ,'Cronog. e Histog.'!EF:EF),"")</f>
        <v>0</v>
      </c>
      <c r="BL51" s="144">
        <f>IFERROR(_xlfn.XLOOKUP($B51,'Cronog. e Histog.'!$BZ:$BZ,'Cronog. e Histog.'!EG:EG),"")</f>
        <v>0</v>
      </c>
      <c r="BM51" s="144">
        <f>IFERROR(_xlfn.XLOOKUP($B51,'Cronog. e Histog.'!$BZ:$BZ,'Cronog. e Histog.'!EH:EH),"")</f>
        <v>0</v>
      </c>
      <c r="BN51" s="144">
        <f>IFERROR(_xlfn.XLOOKUP($B51,'Cronog. e Histog.'!$BZ:$BZ,'Cronog. e Histog.'!EI:EI),"")</f>
        <v>0</v>
      </c>
    </row>
    <row r="52" spans="2:66" ht="12" hidden="1" customHeight="1" outlineLevel="1">
      <c r="B52" s="76">
        <v>46</v>
      </c>
      <c r="C52" s="143" t="str">
        <f>IFERROR(VLOOKUP(B52,'Cronog. e Histog.'!$BZ$213:$CA$747,2,0),"")</f>
        <v>ENG/ARQ JR.</v>
      </c>
      <c r="D52" s="144">
        <f t="shared" si="0"/>
        <v>1</v>
      </c>
      <c r="E52" s="144">
        <f t="shared" si="1"/>
        <v>10</v>
      </c>
      <c r="F52" s="65"/>
      <c r="G52" s="144">
        <f>IFERROR(_xlfn.XLOOKUP($B52,'Cronog. e Histog.'!$BZ:$BZ,'Cronog. e Histog.'!CB:CB),"")</f>
        <v>0.13</v>
      </c>
      <c r="H52" s="144">
        <f>IFERROR(_xlfn.XLOOKUP($B52,'Cronog. e Histog.'!$BZ:$BZ,'Cronog. e Histog.'!CC:CC),"")</f>
        <v>0.13</v>
      </c>
      <c r="I52" s="144">
        <f>IFERROR(_xlfn.XLOOKUP($B52,'Cronog. e Histog.'!$BZ:$BZ,'Cronog. e Histog.'!CD:CD),"")</f>
        <v>0.13</v>
      </c>
      <c r="J52" s="144">
        <f>IFERROR(_xlfn.XLOOKUP($B52,'Cronog. e Histog.'!$BZ:$BZ,'Cronog. e Histog.'!CE:CE),"")</f>
        <v>0.13</v>
      </c>
      <c r="K52" s="144">
        <f>IFERROR(_xlfn.XLOOKUP($B52,'Cronog. e Histog.'!$BZ:$BZ,'Cronog. e Histog.'!CF:CF),"")</f>
        <v>0.13</v>
      </c>
      <c r="L52" s="144">
        <f>IFERROR(_xlfn.XLOOKUP($B52,'Cronog. e Histog.'!$BZ:$BZ,'Cronog. e Histog.'!CG:CG),"")</f>
        <v>0.13</v>
      </c>
      <c r="M52" s="144">
        <f>IFERROR(_xlfn.XLOOKUP($B52,'Cronog. e Histog.'!$BZ:$BZ,'Cronog. e Histog.'!CH:CH),"")</f>
        <v>0.13</v>
      </c>
      <c r="N52" s="144">
        <f>IFERROR(_xlfn.XLOOKUP($B52,'Cronog. e Histog.'!$BZ:$BZ,'Cronog. e Histog.'!CI:CI),"")</f>
        <v>0.13</v>
      </c>
      <c r="O52" s="144">
        <f>IFERROR(_xlfn.XLOOKUP($B52,'Cronog. e Histog.'!$BZ:$BZ,'Cronog. e Histog.'!CJ:CJ),"")</f>
        <v>0.13</v>
      </c>
      <c r="P52" s="144">
        <f>IFERROR(_xlfn.XLOOKUP($B52,'Cronog. e Histog.'!$BZ:$BZ,'Cronog. e Histog.'!CK:CK),"")</f>
        <v>0.13</v>
      </c>
      <c r="Q52" s="144">
        <f>IFERROR(_xlfn.XLOOKUP($B52,'Cronog. e Histog.'!$BZ:$BZ,'Cronog. e Histog.'!CL:CL),"")</f>
        <v>0</v>
      </c>
      <c r="R52" s="144">
        <f>IFERROR(_xlfn.XLOOKUP($B52,'Cronog. e Histog.'!$BZ:$BZ,'Cronog. e Histog.'!CM:CM),"")</f>
        <v>0</v>
      </c>
      <c r="S52" s="144">
        <f>IFERROR(_xlfn.XLOOKUP($B52,'Cronog. e Histog.'!$BZ:$BZ,'Cronog. e Histog.'!CN:CN),"")</f>
        <v>0</v>
      </c>
      <c r="T52" s="144">
        <f>IFERROR(_xlfn.XLOOKUP($B52,'Cronog. e Histog.'!$BZ:$BZ,'Cronog. e Histog.'!CO:CO),"")</f>
        <v>0</v>
      </c>
      <c r="U52" s="144">
        <f>IFERROR(_xlfn.XLOOKUP($B52,'Cronog. e Histog.'!$BZ:$BZ,'Cronog. e Histog.'!CP:CP),"")</f>
        <v>0</v>
      </c>
      <c r="V52" s="144">
        <f>IFERROR(_xlfn.XLOOKUP($B52,'Cronog. e Histog.'!$BZ:$BZ,'Cronog. e Histog.'!CQ:CQ),"")</f>
        <v>0</v>
      </c>
      <c r="W52" s="144">
        <f>IFERROR(_xlfn.XLOOKUP($B52,'Cronog. e Histog.'!$BZ:$BZ,'Cronog. e Histog.'!CR:CR),"")</f>
        <v>0</v>
      </c>
      <c r="X52" s="144">
        <f>IFERROR(_xlfn.XLOOKUP($B52,'Cronog. e Histog.'!$BZ:$BZ,'Cronog. e Histog.'!CS:CS),"")</f>
        <v>0</v>
      </c>
      <c r="Y52" s="144">
        <f>IFERROR(_xlfn.XLOOKUP($B52,'Cronog. e Histog.'!$BZ:$BZ,'Cronog. e Histog.'!CT:CT),"")</f>
        <v>0</v>
      </c>
      <c r="Z52" s="144">
        <f>IFERROR(_xlfn.XLOOKUP($B52,'Cronog. e Histog.'!$BZ:$BZ,'Cronog. e Histog.'!CU:CU),"")</f>
        <v>0</v>
      </c>
      <c r="AA52" s="144">
        <f>IFERROR(_xlfn.XLOOKUP($B52,'Cronog. e Histog.'!$BZ:$BZ,'Cronog. e Histog.'!CV:CV),"")</f>
        <v>0</v>
      </c>
      <c r="AB52" s="144">
        <f>IFERROR(_xlfn.XLOOKUP($B52,'Cronog. e Histog.'!$BZ:$BZ,'Cronog. e Histog.'!CW:CW),"")</f>
        <v>0</v>
      </c>
      <c r="AC52" s="144">
        <f>IFERROR(_xlfn.XLOOKUP($B52,'Cronog. e Histog.'!$BZ:$BZ,'Cronog. e Histog.'!CX:CX),"")</f>
        <v>0</v>
      </c>
      <c r="AD52" s="144">
        <f>IFERROR(_xlfn.XLOOKUP($B52,'Cronog. e Histog.'!$BZ:$BZ,'Cronog. e Histog.'!CY:CY),"")</f>
        <v>0</v>
      </c>
      <c r="AE52" s="144">
        <f>IFERROR(_xlfn.XLOOKUP($B52,'Cronog. e Histog.'!$BZ:$BZ,'Cronog. e Histog.'!CZ:CZ),"")</f>
        <v>0</v>
      </c>
      <c r="AF52" s="144">
        <f>IFERROR(_xlfn.XLOOKUP($B52,'Cronog. e Histog.'!$BZ:$BZ,'Cronog. e Histog.'!DA:DA),"")</f>
        <v>0</v>
      </c>
      <c r="AG52" s="144">
        <f>IFERROR(_xlfn.XLOOKUP($B52,'Cronog. e Histog.'!$BZ:$BZ,'Cronog. e Histog.'!DB:DB),"")</f>
        <v>0</v>
      </c>
      <c r="AH52" s="144">
        <f>IFERROR(_xlfn.XLOOKUP($B52,'Cronog. e Histog.'!$BZ:$BZ,'Cronog. e Histog.'!DC:DC),"")</f>
        <v>0</v>
      </c>
      <c r="AI52" s="144">
        <f>IFERROR(_xlfn.XLOOKUP($B52,'Cronog. e Histog.'!$BZ:$BZ,'Cronog. e Histog.'!DD:DD),"")</f>
        <v>0</v>
      </c>
      <c r="AJ52" s="144">
        <f>IFERROR(_xlfn.XLOOKUP($B52,'Cronog. e Histog.'!$BZ:$BZ,'Cronog. e Histog.'!DE:DE),"")</f>
        <v>0</v>
      </c>
      <c r="AK52" s="144">
        <f>IFERROR(_xlfn.XLOOKUP($B52,'Cronog. e Histog.'!$BZ:$BZ,'Cronog. e Histog.'!DF:DF),"")</f>
        <v>0</v>
      </c>
      <c r="AL52" s="144">
        <f>IFERROR(_xlfn.XLOOKUP($B52,'Cronog. e Histog.'!$BZ:$BZ,'Cronog. e Histog.'!DG:DG),"")</f>
        <v>0</v>
      </c>
      <c r="AM52" s="144">
        <f>IFERROR(_xlfn.XLOOKUP($B52,'Cronog. e Histog.'!$BZ:$BZ,'Cronog. e Histog.'!DH:DH),"")</f>
        <v>0</v>
      </c>
      <c r="AN52" s="144">
        <f>IFERROR(_xlfn.XLOOKUP($B52,'Cronog. e Histog.'!$BZ:$BZ,'Cronog. e Histog.'!DI:DI),"")</f>
        <v>0</v>
      </c>
      <c r="AO52" s="144">
        <f>IFERROR(_xlfn.XLOOKUP($B52,'Cronog. e Histog.'!$BZ:$BZ,'Cronog. e Histog.'!DJ:DJ),"")</f>
        <v>0</v>
      </c>
      <c r="AP52" s="144">
        <f>IFERROR(_xlfn.XLOOKUP($B52,'Cronog. e Histog.'!$BZ:$BZ,'Cronog. e Histog.'!DK:DK),"")</f>
        <v>0</v>
      </c>
      <c r="AQ52" s="144">
        <f>IFERROR(_xlfn.XLOOKUP($B52,'Cronog. e Histog.'!$BZ:$BZ,'Cronog. e Histog.'!DL:DL),"")</f>
        <v>0</v>
      </c>
      <c r="AR52" s="144">
        <f>IFERROR(_xlfn.XLOOKUP($B52,'Cronog. e Histog.'!$BZ:$BZ,'Cronog. e Histog.'!DM:DM),"")</f>
        <v>0</v>
      </c>
      <c r="AS52" s="144">
        <f>IFERROR(_xlfn.XLOOKUP($B52,'Cronog. e Histog.'!$BZ:$BZ,'Cronog. e Histog.'!DN:DN),"")</f>
        <v>0</v>
      </c>
      <c r="AT52" s="144">
        <f>IFERROR(_xlfn.XLOOKUP($B52,'Cronog. e Histog.'!$BZ:$BZ,'Cronog. e Histog.'!DO:DO),"")</f>
        <v>0</v>
      </c>
      <c r="AU52" s="144">
        <f>IFERROR(_xlfn.XLOOKUP($B52,'Cronog. e Histog.'!$BZ:$BZ,'Cronog. e Histog.'!DP:DP),"")</f>
        <v>0</v>
      </c>
      <c r="AV52" s="144">
        <f>IFERROR(_xlfn.XLOOKUP($B52,'Cronog. e Histog.'!$BZ:$BZ,'Cronog. e Histog.'!DQ:DQ),"")</f>
        <v>0</v>
      </c>
      <c r="AW52" s="144">
        <f>IFERROR(_xlfn.XLOOKUP($B52,'Cronog. e Histog.'!$BZ:$BZ,'Cronog. e Histog.'!DR:DR),"")</f>
        <v>0</v>
      </c>
      <c r="AX52" s="144">
        <f>IFERROR(_xlfn.XLOOKUP($B52,'Cronog. e Histog.'!$BZ:$BZ,'Cronog. e Histog.'!DS:DS),"")</f>
        <v>0</v>
      </c>
      <c r="AY52" s="144">
        <f>IFERROR(_xlfn.XLOOKUP($B52,'Cronog. e Histog.'!$BZ:$BZ,'Cronog. e Histog.'!DT:DT),"")</f>
        <v>0</v>
      </c>
      <c r="AZ52" s="144">
        <f>IFERROR(_xlfn.XLOOKUP($B52,'Cronog. e Histog.'!$BZ:$BZ,'Cronog. e Histog.'!DU:DU),"")</f>
        <v>0</v>
      </c>
      <c r="BA52" s="144">
        <f>IFERROR(_xlfn.XLOOKUP($B52,'Cronog. e Histog.'!$BZ:$BZ,'Cronog. e Histog.'!DV:DV),"")</f>
        <v>0</v>
      </c>
      <c r="BB52" s="144">
        <f>IFERROR(_xlfn.XLOOKUP($B52,'Cronog. e Histog.'!$BZ:$BZ,'Cronog. e Histog.'!DW:DW),"")</f>
        <v>0</v>
      </c>
      <c r="BC52" s="144">
        <f>IFERROR(_xlfn.XLOOKUP($B52,'Cronog. e Histog.'!$BZ:$BZ,'Cronog. e Histog.'!DX:DX),"")</f>
        <v>0</v>
      </c>
      <c r="BD52" s="144">
        <f>IFERROR(_xlfn.XLOOKUP($B52,'Cronog. e Histog.'!$BZ:$BZ,'Cronog. e Histog.'!DY:DY),"")</f>
        <v>0</v>
      </c>
      <c r="BE52" s="144">
        <f>IFERROR(_xlfn.XLOOKUP($B52,'Cronog. e Histog.'!$BZ:$BZ,'Cronog. e Histog.'!DZ:DZ),"")</f>
        <v>0</v>
      </c>
      <c r="BF52" s="144">
        <f>IFERROR(_xlfn.XLOOKUP($B52,'Cronog. e Histog.'!$BZ:$BZ,'Cronog. e Histog.'!EA:EA),"")</f>
        <v>0</v>
      </c>
      <c r="BG52" s="144">
        <f>IFERROR(_xlfn.XLOOKUP($B52,'Cronog. e Histog.'!$BZ:$BZ,'Cronog. e Histog.'!EB:EB),"")</f>
        <v>0</v>
      </c>
      <c r="BH52" s="144">
        <f>IFERROR(_xlfn.XLOOKUP($B52,'Cronog. e Histog.'!$BZ:$BZ,'Cronog. e Histog.'!EC:EC),"")</f>
        <v>0</v>
      </c>
      <c r="BI52" s="144">
        <f>IFERROR(_xlfn.XLOOKUP($B52,'Cronog. e Histog.'!$BZ:$BZ,'Cronog. e Histog.'!ED:ED),"")</f>
        <v>0</v>
      </c>
      <c r="BJ52" s="144">
        <f>IFERROR(_xlfn.XLOOKUP($B52,'Cronog. e Histog.'!$BZ:$BZ,'Cronog. e Histog.'!EE:EE),"")</f>
        <v>0</v>
      </c>
      <c r="BK52" s="144">
        <f>IFERROR(_xlfn.XLOOKUP($B52,'Cronog. e Histog.'!$BZ:$BZ,'Cronog. e Histog.'!EF:EF),"")</f>
        <v>0</v>
      </c>
      <c r="BL52" s="144">
        <f>IFERROR(_xlfn.XLOOKUP($B52,'Cronog. e Histog.'!$BZ:$BZ,'Cronog. e Histog.'!EG:EG),"")</f>
        <v>0</v>
      </c>
      <c r="BM52" s="144">
        <f>IFERROR(_xlfn.XLOOKUP($B52,'Cronog. e Histog.'!$BZ:$BZ,'Cronog. e Histog.'!EH:EH),"")</f>
        <v>0</v>
      </c>
      <c r="BN52" s="144">
        <f>IFERROR(_xlfn.XLOOKUP($B52,'Cronog. e Histog.'!$BZ:$BZ,'Cronog. e Histog.'!EI:EI),"")</f>
        <v>0</v>
      </c>
    </row>
    <row r="53" spans="2:66" ht="12" hidden="1" customHeight="1" outlineLevel="1">
      <c r="B53" s="76">
        <v>47</v>
      </c>
      <c r="C53" s="143" t="str">
        <f>IFERROR(VLOOKUP(B53,'Cronog. e Histog.'!$BZ$213:$CA$747,2,0),"")</f>
        <v>AN SR. ENG/ARQ</v>
      </c>
      <c r="D53" s="144">
        <f t="shared" si="0"/>
        <v>0</v>
      </c>
      <c r="E53" s="144">
        <f t="shared" si="1"/>
        <v>0</v>
      </c>
      <c r="F53" s="65"/>
      <c r="G53" s="144">
        <f>IFERROR(_xlfn.XLOOKUP($B53,'Cronog. e Histog.'!$BZ:$BZ,'Cronog. e Histog.'!CB:CB),"")</f>
        <v>0</v>
      </c>
      <c r="H53" s="144">
        <f>IFERROR(_xlfn.XLOOKUP($B53,'Cronog. e Histog.'!$BZ:$BZ,'Cronog. e Histog.'!CC:CC),"")</f>
        <v>0</v>
      </c>
      <c r="I53" s="144">
        <f>IFERROR(_xlfn.XLOOKUP($B53,'Cronog. e Histog.'!$BZ:$BZ,'Cronog. e Histog.'!CD:CD),"")</f>
        <v>0</v>
      </c>
      <c r="J53" s="144">
        <f>IFERROR(_xlfn.XLOOKUP($B53,'Cronog. e Histog.'!$BZ:$BZ,'Cronog. e Histog.'!CE:CE),"")</f>
        <v>0</v>
      </c>
      <c r="K53" s="144">
        <f>IFERROR(_xlfn.XLOOKUP($B53,'Cronog. e Histog.'!$BZ:$BZ,'Cronog. e Histog.'!CF:CF),"")</f>
        <v>0</v>
      </c>
      <c r="L53" s="144">
        <f>IFERROR(_xlfn.XLOOKUP($B53,'Cronog. e Histog.'!$BZ:$BZ,'Cronog. e Histog.'!CG:CG),"")</f>
        <v>0</v>
      </c>
      <c r="M53" s="144">
        <f>IFERROR(_xlfn.XLOOKUP($B53,'Cronog. e Histog.'!$BZ:$BZ,'Cronog. e Histog.'!CH:CH),"")</f>
        <v>0</v>
      </c>
      <c r="N53" s="144">
        <f>IFERROR(_xlfn.XLOOKUP($B53,'Cronog. e Histog.'!$BZ:$BZ,'Cronog. e Histog.'!CI:CI),"")</f>
        <v>0</v>
      </c>
      <c r="O53" s="144">
        <f>IFERROR(_xlfn.XLOOKUP($B53,'Cronog. e Histog.'!$BZ:$BZ,'Cronog. e Histog.'!CJ:CJ),"")</f>
        <v>0</v>
      </c>
      <c r="P53" s="144">
        <f>IFERROR(_xlfn.XLOOKUP($B53,'Cronog. e Histog.'!$BZ:$BZ,'Cronog. e Histog.'!CK:CK),"")</f>
        <v>0</v>
      </c>
      <c r="Q53" s="144">
        <f>IFERROR(_xlfn.XLOOKUP($B53,'Cronog. e Histog.'!$BZ:$BZ,'Cronog. e Histog.'!CL:CL),"")</f>
        <v>0</v>
      </c>
      <c r="R53" s="144">
        <f>IFERROR(_xlfn.XLOOKUP($B53,'Cronog. e Histog.'!$BZ:$BZ,'Cronog. e Histog.'!CM:CM),"")</f>
        <v>0</v>
      </c>
      <c r="S53" s="144">
        <f>IFERROR(_xlfn.XLOOKUP($B53,'Cronog. e Histog.'!$BZ:$BZ,'Cronog. e Histog.'!CN:CN),"")</f>
        <v>0</v>
      </c>
      <c r="T53" s="144">
        <f>IFERROR(_xlfn.XLOOKUP($B53,'Cronog. e Histog.'!$BZ:$BZ,'Cronog. e Histog.'!CO:CO),"")</f>
        <v>0</v>
      </c>
      <c r="U53" s="144">
        <f>IFERROR(_xlfn.XLOOKUP($B53,'Cronog. e Histog.'!$BZ:$BZ,'Cronog. e Histog.'!CP:CP),"")</f>
        <v>0</v>
      </c>
      <c r="V53" s="144">
        <f>IFERROR(_xlfn.XLOOKUP($B53,'Cronog. e Histog.'!$BZ:$BZ,'Cronog. e Histog.'!CQ:CQ),"")</f>
        <v>0</v>
      </c>
      <c r="W53" s="144">
        <f>IFERROR(_xlfn.XLOOKUP($B53,'Cronog. e Histog.'!$BZ:$BZ,'Cronog. e Histog.'!CR:CR),"")</f>
        <v>0</v>
      </c>
      <c r="X53" s="144">
        <f>IFERROR(_xlfn.XLOOKUP($B53,'Cronog. e Histog.'!$BZ:$BZ,'Cronog. e Histog.'!CS:CS),"")</f>
        <v>0</v>
      </c>
      <c r="Y53" s="144">
        <f>IFERROR(_xlfn.XLOOKUP($B53,'Cronog. e Histog.'!$BZ:$BZ,'Cronog. e Histog.'!CT:CT),"")</f>
        <v>0</v>
      </c>
      <c r="Z53" s="144">
        <f>IFERROR(_xlfn.XLOOKUP($B53,'Cronog. e Histog.'!$BZ:$BZ,'Cronog. e Histog.'!CU:CU),"")</f>
        <v>0</v>
      </c>
      <c r="AA53" s="144">
        <f>IFERROR(_xlfn.XLOOKUP($B53,'Cronog. e Histog.'!$BZ:$BZ,'Cronog. e Histog.'!CV:CV),"")</f>
        <v>0</v>
      </c>
      <c r="AB53" s="144">
        <f>IFERROR(_xlfn.XLOOKUP($B53,'Cronog. e Histog.'!$BZ:$BZ,'Cronog. e Histog.'!CW:CW),"")</f>
        <v>0</v>
      </c>
      <c r="AC53" s="144">
        <f>IFERROR(_xlfn.XLOOKUP($B53,'Cronog. e Histog.'!$BZ:$BZ,'Cronog. e Histog.'!CX:CX),"")</f>
        <v>0</v>
      </c>
      <c r="AD53" s="144">
        <f>IFERROR(_xlfn.XLOOKUP($B53,'Cronog. e Histog.'!$BZ:$BZ,'Cronog. e Histog.'!CY:CY),"")</f>
        <v>0</v>
      </c>
      <c r="AE53" s="144">
        <f>IFERROR(_xlfn.XLOOKUP($B53,'Cronog. e Histog.'!$BZ:$BZ,'Cronog. e Histog.'!CZ:CZ),"")</f>
        <v>0</v>
      </c>
      <c r="AF53" s="144">
        <f>IFERROR(_xlfn.XLOOKUP($B53,'Cronog. e Histog.'!$BZ:$BZ,'Cronog. e Histog.'!DA:DA),"")</f>
        <v>0</v>
      </c>
      <c r="AG53" s="144">
        <f>IFERROR(_xlfn.XLOOKUP($B53,'Cronog. e Histog.'!$BZ:$BZ,'Cronog. e Histog.'!DB:DB),"")</f>
        <v>0</v>
      </c>
      <c r="AH53" s="144">
        <f>IFERROR(_xlfn.XLOOKUP($B53,'Cronog. e Histog.'!$BZ:$BZ,'Cronog. e Histog.'!DC:DC),"")</f>
        <v>0</v>
      </c>
      <c r="AI53" s="144">
        <f>IFERROR(_xlfn.XLOOKUP($B53,'Cronog. e Histog.'!$BZ:$BZ,'Cronog. e Histog.'!DD:DD),"")</f>
        <v>0</v>
      </c>
      <c r="AJ53" s="144">
        <f>IFERROR(_xlfn.XLOOKUP($B53,'Cronog. e Histog.'!$BZ:$BZ,'Cronog. e Histog.'!DE:DE),"")</f>
        <v>0</v>
      </c>
      <c r="AK53" s="144">
        <f>IFERROR(_xlfn.XLOOKUP($B53,'Cronog. e Histog.'!$BZ:$BZ,'Cronog. e Histog.'!DF:DF),"")</f>
        <v>0</v>
      </c>
      <c r="AL53" s="144">
        <f>IFERROR(_xlfn.XLOOKUP($B53,'Cronog. e Histog.'!$BZ:$BZ,'Cronog. e Histog.'!DG:DG),"")</f>
        <v>0</v>
      </c>
      <c r="AM53" s="144">
        <f>IFERROR(_xlfn.XLOOKUP($B53,'Cronog. e Histog.'!$BZ:$BZ,'Cronog. e Histog.'!DH:DH),"")</f>
        <v>0</v>
      </c>
      <c r="AN53" s="144">
        <f>IFERROR(_xlfn.XLOOKUP($B53,'Cronog. e Histog.'!$BZ:$BZ,'Cronog. e Histog.'!DI:DI),"")</f>
        <v>0</v>
      </c>
      <c r="AO53" s="144">
        <f>IFERROR(_xlfn.XLOOKUP($B53,'Cronog. e Histog.'!$BZ:$BZ,'Cronog. e Histog.'!DJ:DJ),"")</f>
        <v>0</v>
      </c>
      <c r="AP53" s="144">
        <f>IFERROR(_xlfn.XLOOKUP($B53,'Cronog. e Histog.'!$BZ:$BZ,'Cronog. e Histog.'!DK:DK),"")</f>
        <v>0</v>
      </c>
      <c r="AQ53" s="144">
        <f>IFERROR(_xlfn.XLOOKUP($B53,'Cronog. e Histog.'!$BZ:$BZ,'Cronog. e Histog.'!DL:DL),"")</f>
        <v>0</v>
      </c>
      <c r="AR53" s="144">
        <f>IFERROR(_xlfn.XLOOKUP($B53,'Cronog. e Histog.'!$BZ:$BZ,'Cronog. e Histog.'!DM:DM),"")</f>
        <v>0</v>
      </c>
      <c r="AS53" s="144">
        <f>IFERROR(_xlfn.XLOOKUP($B53,'Cronog. e Histog.'!$BZ:$BZ,'Cronog. e Histog.'!DN:DN),"")</f>
        <v>0</v>
      </c>
      <c r="AT53" s="144">
        <f>IFERROR(_xlfn.XLOOKUP($B53,'Cronog. e Histog.'!$BZ:$BZ,'Cronog. e Histog.'!DO:DO),"")</f>
        <v>0</v>
      </c>
      <c r="AU53" s="144">
        <f>IFERROR(_xlfn.XLOOKUP($B53,'Cronog. e Histog.'!$BZ:$BZ,'Cronog. e Histog.'!DP:DP),"")</f>
        <v>0</v>
      </c>
      <c r="AV53" s="144">
        <f>IFERROR(_xlfn.XLOOKUP($B53,'Cronog. e Histog.'!$BZ:$BZ,'Cronog. e Histog.'!DQ:DQ),"")</f>
        <v>0</v>
      </c>
      <c r="AW53" s="144">
        <f>IFERROR(_xlfn.XLOOKUP($B53,'Cronog. e Histog.'!$BZ:$BZ,'Cronog. e Histog.'!DR:DR),"")</f>
        <v>0</v>
      </c>
      <c r="AX53" s="144">
        <f>IFERROR(_xlfn.XLOOKUP($B53,'Cronog. e Histog.'!$BZ:$BZ,'Cronog. e Histog.'!DS:DS),"")</f>
        <v>0</v>
      </c>
      <c r="AY53" s="144">
        <f>IFERROR(_xlfn.XLOOKUP($B53,'Cronog. e Histog.'!$BZ:$BZ,'Cronog. e Histog.'!DT:DT),"")</f>
        <v>0</v>
      </c>
      <c r="AZ53" s="144">
        <f>IFERROR(_xlfn.XLOOKUP($B53,'Cronog. e Histog.'!$BZ:$BZ,'Cronog. e Histog.'!DU:DU),"")</f>
        <v>0</v>
      </c>
      <c r="BA53" s="144">
        <f>IFERROR(_xlfn.XLOOKUP($B53,'Cronog. e Histog.'!$BZ:$BZ,'Cronog. e Histog.'!DV:DV),"")</f>
        <v>0</v>
      </c>
      <c r="BB53" s="144">
        <f>IFERROR(_xlfn.XLOOKUP($B53,'Cronog. e Histog.'!$BZ:$BZ,'Cronog. e Histog.'!DW:DW),"")</f>
        <v>0</v>
      </c>
      <c r="BC53" s="144">
        <f>IFERROR(_xlfn.XLOOKUP($B53,'Cronog. e Histog.'!$BZ:$BZ,'Cronog. e Histog.'!DX:DX),"")</f>
        <v>0</v>
      </c>
      <c r="BD53" s="144">
        <f>IFERROR(_xlfn.XLOOKUP($B53,'Cronog. e Histog.'!$BZ:$BZ,'Cronog. e Histog.'!DY:DY),"")</f>
        <v>0</v>
      </c>
      <c r="BE53" s="144">
        <f>IFERROR(_xlfn.XLOOKUP($B53,'Cronog. e Histog.'!$BZ:$BZ,'Cronog. e Histog.'!DZ:DZ),"")</f>
        <v>0</v>
      </c>
      <c r="BF53" s="144">
        <f>IFERROR(_xlfn.XLOOKUP($B53,'Cronog. e Histog.'!$BZ:$BZ,'Cronog. e Histog.'!EA:EA),"")</f>
        <v>0</v>
      </c>
      <c r="BG53" s="144">
        <f>IFERROR(_xlfn.XLOOKUP($B53,'Cronog. e Histog.'!$BZ:$BZ,'Cronog. e Histog.'!EB:EB),"")</f>
        <v>0</v>
      </c>
      <c r="BH53" s="144">
        <f>IFERROR(_xlfn.XLOOKUP($B53,'Cronog. e Histog.'!$BZ:$BZ,'Cronog. e Histog.'!EC:EC),"")</f>
        <v>0</v>
      </c>
      <c r="BI53" s="144">
        <f>IFERROR(_xlfn.XLOOKUP($B53,'Cronog. e Histog.'!$BZ:$BZ,'Cronog. e Histog.'!ED:ED),"")</f>
        <v>0</v>
      </c>
      <c r="BJ53" s="144">
        <f>IFERROR(_xlfn.XLOOKUP($B53,'Cronog. e Histog.'!$BZ:$BZ,'Cronog. e Histog.'!EE:EE),"")</f>
        <v>0</v>
      </c>
      <c r="BK53" s="144">
        <f>IFERROR(_xlfn.XLOOKUP($B53,'Cronog. e Histog.'!$BZ:$BZ,'Cronog. e Histog.'!EF:EF),"")</f>
        <v>0</v>
      </c>
      <c r="BL53" s="144">
        <f>IFERROR(_xlfn.XLOOKUP($B53,'Cronog. e Histog.'!$BZ:$BZ,'Cronog. e Histog.'!EG:EG),"")</f>
        <v>0</v>
      </c>
      <c r="BM53" s="144">
        <f>IFERROR(_xlfn.XLOOKUP($B53,'Cronog. e Histog.'!$BZ:$BZ,'Cronog. e Histog.'!EH:EH),"")</f>
        <v>0</v>
      </c>
      <c r="BN53" s="144">
        <f>IFERROR(_xlfn.XLOOKUP($B53,'Cronog. e Histog.'!$BZ:$BZ,'Cronog. e Histog.'!EI:EI),"")</f>
        <v>0</v>
      </c>
    </row>
    <row r="54" spans="2:66" ht="12" hidden="1" customHeight="1" outlineLevel="1">
      <c r="B54" s="76">
        <v>48</v>
      </c>
      <c r="C54" s="143" t="str">
        <f>IFERROR(VLOOKUP(B54,'Cronog. e Histog.'!$BZ$213:$CA$747,2,0),"")</f>
        <v>AN PL. ENG/ARQ</v>
      </c>
      <c r="D54" s="144">
        <f t="shared" si="0"/>
        <v>0</v>
      </c>
      <c r="E54" s="144">
        <f t="shared" si="1"/>
        <v>0</v>
      </c>
      <c r="F54" s="65"/>
      <c r="G54" s="144">
        <f>IFERROR(_xlfn.XLOOKUP($B54,'Cronog. e Histog.'!$BZ:$BZ,'Cronog. e Histog.'!CB:CB),"")</f>
        <v>0</v>
      </c>
      <c r="H54" s="144">
        <f>IFERROR(_xlfn.XLOOKUP($B54,'Cronog. e Histog.'!$BZ:$BZ,'Cronog. e Histog.'!CC:CC),"")</f>
        <v>0</v>
      </c>
      <c r="I54" s="144">
        <f>IFERROR(_xlfn.XLOOKUP($B54,'Cronog. e Histog.'!$BZ:$BZ,'Cronog. e Histog.'!CD:CD),"")</f>
        <v>0</v>
      </c>
      <c r="J54" s="144">
        <f>IFERROR(_xlfn.XLOOKUP($B54,'Cronog. e Histog.'!$BZ:$BZ,'Cronog. e Histog.'!CE:CE),"")</f>
        <v>0</v>
      </c>
      <c r="K54" s="144">
        <f>IFERROR(_xlfn.XLOOKUP($B54,'Cronog. e Histog.'!$BZ:$BZ,'Cronog. e Histog.'!CF:CF),"")</f>
        <v>0</v>
      </c>
      <c r="L54" s="144">
        <f>IFERROR(_xlfn.XLOOKUP($B54,'Cronog. e Histog.'!$BZ:$BZ,'Cronog. e Histog.'!CG:CG),"")</f>
        <v>0</v>
      </c>
      <c r="M54" s="144">
        <f>IFERROR(_xlfn.XLOOKUP($B54,'Cronog. e Histog.'!$BZ:$BZ,'Cronog. e Histog.'!CH:CH),"")</f>
        <v>0</v>
      </c>
      <c r="N54" s="144">
        <f>IFERROR(_xlfn.XLOOKUP($B54,'Cronog. e Histog.'!$BZ:$BZ,'Cronog. e Histog.'!CI:CI),"")</f>
        <v>0</v>
      </c>
      <c r="O54" s="144">
        <f>IFERROR(_xlfn.XLOOKUP($B54,'Cronog. e Histog.'!$BZ:$BZ,'Cronog. e Histog.'!CJ:CJ),"")</f>
        <v>0</v>
      </c>
      <c r="P54" s="144">
        <f>IFERROR(_xlfn.XLOOKUP($B54,'Cronog. e Histog.'!$BZ:$BZ,'Cronog. e Histog.'!CK:CK),"")</f>
        <v>0</v>
      </c>
      <c r="Q54" s="144">
        <f>IFERROR(_xlfn.XLOOKUP($B54,'Cronog. e Histog.'!$BZ:$BZ,'Cronog. e Histog.'!CL:CL),"")</f>
        <v>0</v>
      </c>
      <c r="R54" s="144">
        <f>IFERROR(_xlfn.XLOOKUP($B54,'Cronog. e Histog.'!$BZ:$BZ,'Cronog. e Histog.'!CM:CM),"")</f>
        <v>0</v>
      </c>
      <c r="S54" s="144">
        <f>IFERROR(_xlfn.XLOOKUP($B54,'Cronog. e Histog.'!$BZ:$BZ,'Cronog. e Histog.'!CN:CN),"")</f>
        <v>0</v>
      </c>
      <c r="T54" s="144">
        <f>IFERROR(_xlfn.XLOOKUP($B54,'Cronog. e Histog.'!$BZ:$BZ,'Cronog. e Histog.'!CO:CO),"")</f>
        <v>0</v>
      </c>
      <c r="U54" s="144">
        <f>IFERROR(_xlfn.XLOOKUP($B54,'Cronog. e Histog.'!$BZ:$BZ,'Cronog. e Histog.'!CP:CP),"")</f>
        <v>0</v>
      </c>
      <c r="V54" s="144">
        <f>IFERROR(_xlfn.XLOOKUP($B54,'Cronog. e Histog.'!$BZ:$BZ,'Cronog. e Histog.'!CQ:CQ),"")</f>
        <v>0</v>
      </c>
      <c r="W54" s="144">
        <f>IFERROR(_xlfn.XLOOKUP($B54,'Cronog. e Histog.'!$BZ:$BZ,'Cronog. e Histog.'!CR:CR),"")</f>
        <v>0</v>
      </c>
      <c r="X54" s="144">
        <f>IFERROR(_xlfn.XLOOKUP($B54,'Cronog. e Histog.'!$BZ:$BZ,'Cronog. e Histog.'!CS:CS),"")</f>
        <v>0</v>
      </c>
      <c r="Y54" s="144">
        <f>IFERROR(_xlfn.XLOOKUP($B54,'Cronog. e Histog.'!$BZ:$BZ,'Cronog. e Histog.'!CT:CT),"")</f>
        <v>0</v>
      </c>
      <c r="Z54" s="144">
        <f>IFERROR(_xlfn.XLOOKUP($B54,'Cronog. e Histog.'!$BZ:$BZ,'Cronog. e Histog.'!CU:CU),"")</f>
        <v>0</v>
      </c>
      <c r="AA54" s="144">
        <f>IFERROR(_xlfn.XLOOKUP($B54,'Cronog. e Histog.'!$BZ:$BZ,'Cronog. e Histog.'!CV:CV),"")</f>
        <v>0</v>
      </c>
      <c r="AB54" s="144">
        <f>IFERROR(_xlfn.XLOOKUP($B54,'Cronog. e Histog.'!$BZ:$BZ,'Cronog. e Histog.'!CW:CW),"")</f>
        <v>0</v>
      </c>
      <c r="AC54" s="144">
        <f>IFERROR(_xlfn.XLOOKUP($B54,'Cronog. e Histog.'!$BZ:$BZ,'Cronog. e Histog.'!CX:CX),"")</f>
        <v>0</v>
      </c>
      <c r="AD54" s="144">
        <f>IFERROR(_xlfn.XLOOKUP($B54,'Cronog. e Histog.'!$BZ:$BZ,'Cronog. e Histog.'!CY:CY),"")</f>
        <v>0</v>
      </c>
      <c r="AE54" s="144">
        <f>IFERROR(_xlfn.XLOOKUP($B54,'Cronog. e Histog.'!$BZ:$BZ,'Cronog. e Histog.'!CZ:CZ),"")</f>
        <v>0</v>
      </c>
      <c r="AF54" s="144">
        <f>IFERROR(_xlfn.XLOOKUP($B54,'Cronog. e Histog.'!$BZ:$BZ,'Cronog. e Histog.'!DA:DA),"")</f>
        <v>0</v>
      </c>
      <c r="AG54" s="144">
        <f>IFERROR(_xlfn.XLOOKUP($B54,'Cronog. e Histog.'!$BZ:$BZ,'Cronog. e Histog.'!DB:DB),"")</f>
        <v>0</v>
      </c>
      <c r="AH54" s="144">
        <f>IFERROR(_xlfn.XLOOKUP($B54,'Cronog. e Histog.'!$BZ:$BZ,'Cronog. e Histog.'!DC:DC),"")</f>
        <v>0</v>
      </c>
      <c r="AI54" s="144">
        <f>IFERROR(_xlfn.XLOOKUP($B54,'Cronog. e Histog.'!$BZ:$BZ,'Cronog. e Histog.'!DD:DD),"")</f>
        <v>0</v>
      </c>
      <c r="AJ54" s="144">
        <f>IFERROR(_xlfn.XLOOKUP($B54,'Cronog. e Histog.'!$BZ:$BZ,'Cronog. e Histog.'!DE:DE),"")</f>
        <v>0</v>
      </c>
      <c r="AK54" s="144">
        <f>IFERROR(_xlfn.XLOOKUP($B54,'Cronog. e Histog.'!$BZ:$BZ,'Cronog. e Histog.'!DF:DF),"")</f>
        <v>0</v>
      </c>
      <c r="AL54" s="144">
        <f>IFERROR(_xlfn.XLOOKUP($B54,'Cronog. e Histog.'!$BZ:$BZ,'Cronog. e Histog.'!DG:DG),"")</f>
        <v>0</v>
      </c>
      <c r="AM54" s="144">
        <f>IFERROR(_xlfn.XLOOKUP($B54,'Cronog. e Histog.'!$BZ:$BZ,'Cronog. e Histog.'!DH:DH),"")</f>
        <v>0</v>
      </c>
      <c r="AN54" s="144">
        <f>IFERROR(_xlfn.XLOOKUP($B54,'Cronog. e Histog.'!$BZ:$BZ,'Cronog. e Histog.'!DI:DI),"")</f>
        <v>0</v>
      </c>
      <c r="AO54" s="144">
        <f>IFERROR(_xlfn.XLOOKUP($B54,'Cronog. e Histog.'!$BZ:$BZ,'Cronog. e Histog.'!DJ:DJ),"")</f>
        <v>0</v>
      </c>
      <c r="AP54" s="144">
        <f>IFERROR(_xlfn.XLOOKUP($B54,'Cronog. e Histog.'!$BZ:$BZ,'Cronog. e Histog.'!DK:DK),"")</f>
        <v>0</v>
      </c>
      <c r="AQ54" s="144">
        <f>IFERROR(_xlfn.XLOOKUP($B54,'Cronog. e Histog.'!$BZ:$BZ,'Cronog. e Histog.'!DL:DL),"")</f>
        <v>0</v>
      </c>
      <c r="AR54" s="144">
        <f>IFERROR(_xlfn.XLOOKUP($B54,'Cronog. e Histog.'!$BZ:$BZ,'Cronog. e Histog.'!DM:DM),"")</f>
        <v>0</v>
      </c>
      <c r="AS54" s="144">
        <f>IFERROR(_xlfn.XLOOKUP($B54,'Cronog. e Histog.'!$BZ:$BZ,'Cronog. e Histog.'!DN:DN),"")</f>
        <v>0</v>
      </c>
      <c r="AT54" s="144">
        <f>IFERROR(_xlfn.XLOOKUP($B54,'Cronog. e Histog.'!$BZ:$BZ,'Cronog. e Histog.'!DO:DO),"")</f>
        <v>0</v>
      </c>
      <c r="AU54" s="144">
        <f>IFERROR(_xlfn.XLOOKUP($B54,'Cronog. e Histog.'!$BZ:$BZ,'Cronog. e Histog.'!DP:DP),"")</f>
        <v>0</v>
      </c>
      <c r="AV54" s="144">
        <f>IFERROR(_xlfn.XLOOKUP($B54,'Cronog. e Histog.'!$BZ:$BZ,'Cronog. e Histog.'!DQ:DQ),"")</f>
        <v>0</v>
      </c>
      <c r="AW54" s="144">
        <f>IFERROR(_xlfn.XLOOKUP($B54,'Cronog. e Histog.'!$BZ:$BZ,'Cronog. e Histog.'!DR:DR),"")</f>
        <v>0</v>
      </c>
      <c r="AX54" s="144">
        <f>IFERROR(_xlfn.XLOOKUP($B54,'Cronog. e Histog.'!$BZ:$BZ,'Cronog. e Histog.'!DS:DS),"")</f>
        <v>0</v>
      </c>
      <c r="AY54" s="144">
        <f>IFERROR(_xlfn.XLOOKUP($B54,'Cronog. e Histog.'!$BZ:$BZ,'Cronog. e Histog.'!DT:DT),"")</f>
        <v>0</v>
      </c>
      <c r="AZ54" s="144">
        <f>IFERROR(_xlfn.XLOOKUP($B54,'Cronog. e Histog.'!$BZ:$BZ,'Cronog. e Histog.'!DU:DU),"")</f>
        <v>0</v>
      </c>
      <c r="BA54" s="144">
        <f>IFERROR(_xlfn.XLOOKUP($B54,'Cronog. e Histog.'!$BZ:$BZ,'Cronog. e Histog.'!DV:DV),"")</f>
        <v>0</v>
      </c>
      <c r="BB54" s="144">
        <f>IFERROR(_xlfn.XLOOKUP($B54,'Cronog. e Histog.'!$BZ:$BZ,'Cronog. e Histog.'!DW:DW),"")</f>
        <v>0</v>
      </c>
      <c r="BC54" s="144">
        <f>IFERROR(_xlfn.XLOOKUP($B54,'Cronog. e Histog.'!$BZ:$BZ,'Cronog. e Histog.'!DX:DX),"")</f>
        <v>0</v>
      </c>
      <c r="BD54" s="144">
        <f>IFERROR(_xlfn.XLOOKUP($B54,'Cronog. e Histog.'!$BZ:$BZ,'Cronog. e Histog.'!DY:DY),"")</f>
        <v>0</v>
      </c>
      <c r="BE54" s="144">
        <f>IFERROR(_xlfn.XLOOKUP($B54,'Cronog. e Histog.'!$BZ:$BZ,'Cronog. e Histog.'!DZ:DZ),"")</f>
        <v>0</v>
      </c>
      <c r="BF54" s="144">
        <f>IFERROR(_xlfn.XLOOKUP($B54,'Cronog. e Histog.'!$BZ:$BZ,'Cronog. e Histog.'!EA:EA),"")</f>
        <v>0</v>
      </c>
      <c r="BG54" s="144">
        <f>IFERROR(_xlfn.XLOOKUP($B54,'Cronog. e Histog.'!$BZ:$BZ,'Cronog. e Histog.'!EB:EB),"")</f>
        <v>0</v>
      </c>
      <c r="BH54" s="144">
        <f>IFERROR(_xlfn.XLOOKUP($B54,'Cronog. e Histog.'!$BZ:$BZ,'Cronog. e Histog.'!EC:EC),"")</f>
        <v>0</v>
      </c>
      <c r="BI54" s="144">
        <f>IFERROR(_xlfn.XLOOKUP($B54,'Cronog. e Histog.'!$BZ:$BZ,'Cronog. e Histog.'!ED:ED),"")</f>
        <v>0</v>
      </c>
      <c r="BJ54" s="144">
        <f>IFERROR(_xlfn.XLOOKUP($B54,'Cronog. e Histog.'!$BZ:$BZ,'Cronog. e Histog.'!EE:EE),"")</f>
        <v>0</v>
      </c>
      <c r="BK54" s="144">
        <f>IFERROR(_xlfn.XLOOKUP($B54,'Cronog. e Histog.'!$BZ:$BZ,'Cronog. e Histog.'!EF:EF),"")</f>
        <v>0</v>
      </c>
      <c r="BL54" s="144">
        <f>IFERROR(_xlfn.XLOOKUP($B54,'Cronog. e Histog.'!$BZ:$BZ,'Cronog. e Histog.'!EG:EG),"")</f>
        <v>0</v>
      </c>
      <c r="BM54" s="144">
        <f>IFERROR(_xlfn.XLOOKUP($B54,'Cronog. e Histog.'!$BZ:$BZ,'Cronog. e Histog.'!EH:EH),"")</f>
        <v>0</v>
      </c>
      <c r="BN54" s="144">
        <f>IFERROR(_xlfn.XLOOKUP($B54,'Cronog. e Histog.'!$BZ:$BZ,'Cronog. e Histog.'!EI:EI),"")</f>
        <v>0</v>
      </c>
    </row>
    <row r="55" spans="2:66" ht="12" hidden="1" customHeight="1" outlineLevel="1">
      <c r="B55" s="76">
        <v>49</v>
      </c>
      <c r="C55" s="143" t="str">
        <f>IFERROR(VLOOKUP(B55,'Cronog. e Histog.'!$BZ$213:$CA$747,2,0),"")</f>
        <v>AN JR. ENG/ARQ</v>
      </c>
      <c r="D55" s="144">
        <f t="shared" si="0"/>
        <v>0</v>
      </c>
      <c r="E55" s="144">
        <f t="shared" si="1"/>
        <v>0</v>
      </c>
      <c r="F55" s="65"/>
      <c r="G55" s="144">
        <f>IFERROR(_xlfn.XLOOKUP($B55,'Cronog. e Histog.'!$BZ:$BZ,'Cronog. e Histog.'!CB:CB),"")</f>
        <v>0</v>
      </c>
      <c r="H55" s="144">
        <f>IFERROR(_xlfn.XLOOKUP($B55,'Cronog. e Histog.'!$BZ:$BZ,'Cronog. e Histog.'!CC:CC),"")</f>
        <v>0</v>
      </c>
      <c r="I55" s="144">
        <f>IFERROR(_xlfn.XLOOKUP($B55,'Cronog. e Histog.'!$BZ:$BZ,'Cronog. e Histog.'!CD:CD),"")</f>
        <v>0</v>
      </c>
      <c r="J55" s="144">
        <f>IFERROR(_xlfn.XLOOKUP($B55,'Cronog. e Histog.'!$BZ:$BZ,'Cronog. e Histog.'!CE:CE),"")</f>
        <v>0</v>
      </c>
      <c r="K55" s="144">
        <f>IFERROR(_xlfn.XLOOKUP($B55,'Cronog. e Histog.'!$BZ:$BZ,'Cronog. e Histog.'!CF:CF),"")</f>
        <v>0</v>
      </c>
      <c r="L55" s="144">
        <f>IFERROR(_xlfn.XLOOKUP($B55,'Cronog. e Histog.'!$BZ:$BZ,'Cronog. e Histog.'!CG:CG),"")</f>
        <v>0</v>
      </c>
      <c r="M55" s="144">
        <f>IFERROR(_xlfn.XLOOKUP($B55,'Cronog. e Histog.'!$BZ:$BZ,'Cronog. e Histog.'!CH:CH),"")</f>
        <v>0</v>
      </c>
      <c r="N55" s="144">
        <f>IFERROR(_xlfn.XLOOKUP($B55,'Cronog. e Histog.'!$BZ:$BZ,'Cronog. e Histog.'!CI:CI),"")</f>
        <v>0</v>
      </c>
      <c r="O55" s="144">
        <f>IFERROR(_xlfn.XLOOKUP($B55,'Cronog. e Histog.'!$BZ:$BZ,'Cronog. e Histog.'!CJ:CJ),"")</f>
        <v>0</v>
      </c>
      <c r="P55" s="144">
        <f>IFERROR(_xlfn.XLOOKUP($B55,'Cronog. e Histog.'!$BZ:$BZ,'Cronog. e Histog.'!CK:CK),"")</f>
        <v>0</v>
      </c>
      <c r="Q55" s="144">
        <f>IFERROR(_xlfn.XLOOKUP($B55,'Cronog. e Histog.'!$BZ:$BZ,'Cronog. e Histog.'!CL:CL),"")</f>
        <v>0</v>
      </c>
      <c r="R55" s="144">
        <f>IFERROR(_xlfn.XLOOKUP($B55,'Cronog. e Histog.'!$BZ:$BZ,'Cronog. e Histog.'!CM:CM),"")</f>
        <v>0</v>
      </c>
      <c r="S55" s="144">
        <f>IFERROR(_xlfn.XLOOKUP($B55,'Cronog. e Histog.'!$BZ:$BZ,'Cronog. e Histog.'!CN:CN),"")</f>
        <v>0</v>
      </c>
      <c r="T55" s="144">
        <f>IFERROR(_xlfn.XLOOKUP($B55,'Cronog. e Histog.'!$BZ:$BZ,'Cronog. e Histog.'!CO:CO),"")</f>
        <v>0</v>
      </c>
      <c r="U55" s="144">
        <f>IFERROR(_xlfn.XLOOKUP($B55,'Cronog. e Histog.'!$BZ:$BZ,'Cronog. e Histog.'!CP:CP),"")</f>
        <v>0</v>
      </c>
      <c r="V55" s="144">
        <f>IFERROR(_xlfn.XLOOKUP($B55,'Cronog. e Histog.'!$BZ:$BZ,'Cronog. e Histog.'!CQ:CQ),"")</f>
        <v>0</v>
      </c>
      <c r="W55" s="144">
        <f>IFERROR(_xlfn.XLOOKUP($B55,'Cronog. e Histog.'!$BZ:$BZ,'Cronog. e Histog.'!CR:CR),"")</f>
        <v>0</v>
      </c>
      <c r="X55" s="144">
        <f>IFERROR(_xlfn.XLOOKUP($B55,'Cronog. e Histog.'!$BZ:$BZ,'Cronog. e Histog.'!CS:CS),"")</f>
        <v>0</v>
      </c>
      <c r="Y55" s="144">
        <f>IFERROR(_xlfn.XLOOKUP($B55,'Cronog. e Histog.'!$BZ:$BZ,'Cronog. e Histog.'!CT:CT),"")</f>
        <v>0</v>
      </c>
      <c r="Z55" s="144">
        <f>IFERROR(_xlfn.XLOOKUP($B55,'Cronog. e Histog.'!$BZ:$BZ,'Cronog. e Histog.'!CU:CU),"")</f>
        <v>0</v>
      </c>
      <c r="AA55" s="144">
        <f>IFERROR(_xlfn.XLOOKUP($B55,'Cronog. e Histog.'!$BZ:$BZ,'Cronog. e Histog.'!CV:CV),"")</f>
        <v>0</v>
      </c>
      <c r="AB55" s="144">
        <f>IFERROR(_xlfn.XLOOKUP($B55,'Cronog. e Histog.'!$BZ:$BZ,'Cronog. e Histog.'!CW:CW),"")</f>
        <v>0</v>
      </c>
      <c r="AC55" s="144">
        <f>IFERROR(_xlfn.XLOOKUP($B55,'Cronog. e Histog.'!$BZ:$BZ,'Cronog. e Histog.'!CX:CX),"")</f>
        <v>0</v>
      </c>
      <c r="AD55" s="144">
        <f>IFERROR(_xlfn.XLOOKUP($B55,'Cronog. e Histog.'!$BZ:$BZ,'Cronog. e Histog.'!CY:CY),"")</f>
        <v>0</v>
      </c>
      <c r="AE55" s="144">
        <f>IFERROR(_xlfn.XLOOKUP($B55,'Cronog. e Histog.'!$BZ:$BZ,'Cronog. e Histog.'!CZ:CZ),"")</f>
        <v>0</v>
      </c>
      <c r="AF55" s="144">
        <f>IFERROR(_xlfn.XLOOKUP($B55,'Cronog. e Histog.'!$BZ:$BZ,'Cronog. e Histog.'!DA:DA),"")</f>
        <v>0</v>
      </c>
      <c r="AG55" s="144">
        <f>IFERROR(_xlfn.XLOOKUP($B55,'Cronog. e Histog.'!$BZ:$BZ,'Cronog. e Histog.'!DB:DB),"")</f>
        <v>0</v>
      </c>
      <c r="AH55" s="144">
        <f>IFERROR(_xlfn.XLOOKUP($B55,'Cronog. e Histog.'!$BZ:$BZ,'Cronog. e Histog.'!DC:DC),"")</f>
        <v>0</v>
      </c>
      <c r="AI55" s="144">
        <f>IFERROR(_xlfn.XLOOKUP($B55,'Cronog. e Histog.'!$BZ:$BZ,'Cronog. e Histog.'!DD:DD),"")</f>
        <v>0</v>
      </c>
      <c r="AJ55" s="144">
        <f>IFERROR(_xlfn.XLOOKUP($B55,'Cronog. e Histog.'!$BZ:$BZ,'Cronog. e Histog.'!DE:DE),"")</f>
        <v>0</v>
      </c>
      <c r="AK55" s="144">
        <f>IFERROR(_xlfn.XLOOKUP($B55,'Cronog. e Histog.'!$BZ:$BZ,'Cronog. e Histog.'!DF:DF),"")</f>
        <v>0</v>
      </c>
      <c r="AL55" s="144">
        <f>IFERROR(_xlfn.XLOOKUP($B55,'Cronog. e Histog.'!$BZ:$BZ,'Cronog. e Histog.'!DG:DG),"")</f>
        <v>0</v>
      </c>
      <c r="AM55" s="144">
        <f>IFERROR(_xlfn.XLOOKUP($B55,'Cronog. e Histog.'!$BZ:$BZ,'Cronog. e Histog.'!DH:DH),"")</f>
        <v>0</v>
      </c>
      <c r="AN55" s="144">
        <f>IFERROR(_xlfn.XLOOKUP($B55,'Cronog. e Histog.'!$BZ:$BZ,'Cronog. e Histog.'!DI:DI),"")</f>
        <v>0</v>
      </c>
      <c r="AO55" s="144">
        <f>IFERROR(_xlfn.XLOOKUP($B55,'Cronog. e Histog.'!$BZ:$BZ,'Cronog. e Histog.'!DJ:DJ),"")</f>
        <v>0</v>
      </c>
      <c r="AP55" s="144">
        <f>IFERROR(_xlfn.XLOOKUP($B55,'Cronog. e Histog.'!$BZ:$BZ,'Cronog. e Histog.'!DK:DK),"")</f>
        <v>0</v>
      </c>
      <c r="AQ55" s="144">
        <f>IFERROR(_xlfn.XLOOKUP($B55,'Cronog. e Histog.'!$BZ:$BZ,'Cronog. e Histog.'!DL:DL),"")</f>
        <v>0</v>
      </c>
      <c r="AR55" s="144">
        <f>IFERROR(_xlfn.XLOOKUP($B55,'Cronog. e Histog.'!$BZ:$BZ,'Cronog. e Histog.'!DM:DM),"")</f>
        <v>0</v>
      </c>
      <c r="AS55" s="144">
        <f>IFERROR(_xlfn.XLOOKUP($B55,'Cronog. e Histog.'!$BZ:$BZ,'Cronog. e Histog.'!DN:DN),"")</f>
        <v>0</v>
      </c>
      <c r="AT55" s="144">
        <f>IFERROR(_xlfn.XLOOKUP($B55,'Cronog. e Histog.'!$BZ:$BZ,'Cronog. e Histog.'!DO:DO),"")</f>
        <v>0</v>
      </c>
      <c r="AU55" s="144">
        <f>IFERROR(_xlfn.XLOOKUP($B55,'Cronog. e Histog.'!$BZ:$BZ,'Cronog. e Histog.'!DP:DP),"")</f>
        <v>0</v>
      </c>
      <c r="AV55" s="144">
        <f>IFERROR(_xlfn.XLOOKUP($B55,'Cronog. e Histog.'!$BZ:$BZ,'Cronog. e Histog.'!DQ:DQ),"")</f>
        <v>0</v>
      </c>
      <c r="AW55" s="144">
        <f>IFERROR(_xlfn.XLOOKUP($B55,'Cronog. e Histog.'!$BZ:$BZ,'Cronog. e Histog.'!DR:DR),"")</f>
        <v>0</v>
      </c>
      <c r="AX55" s="144">
        <f>IFERROR(_xlfn.XLOOKUP($B55,'Cronog. e Histog.'!$BZ:$BZ,'Cronog. e Histog.'!DS:DS),"")</f>
        <v>0</v>
      </c>
      <c r="AY55" s="144">
        <f>IFERROR(_xlfn.XLOOKUP($B55,'Cronog. e Histog.'!$BZ:$BZ,'Cronog. e Histog.'!DT:DT),"")</f>
        <v>0</v>
      </c>
      <c r="AZ55" s="144">
        <f>IFERROR(_xlfn.XLOOKUP($B55,'Cronog. e Histog.'!$BZ:$BZ,'Cronog. e Histog.'!DU:DU),"")</f>
        <v>0</v>
      </c>
      <c r="BA55" s="144">
        <f>IFERROR(_xlfn.XLOOKUP($B55,'Cronog. e Histog.'!$BZ:$BZ,'Cronog. e Histog.'!DV:DV),"")</f>
        <v>0</v>
      </c>
      <c r="BB55" s="144">
        <f>IFERROR(_xlfn.XLOOKUP($B55,'Cronog. e Histog.'!$BZ:$BZ,'Cronog. e Histog.'!DW:DW),"")</f>
        <v>0</v>
      </c>
      <c r="BC55" s="144">
        <f>IFERROR(_xlfn.XLOOKUP($B55,'Cronog. e Histog.'!$BZ:$BZ,'Cronog. e Histog.'!DX:DX),"")</f>
        <v>0</v>
      </c>
      <c r="BD55" s="144">
        <f>IFERROR(_xlfn.XLOOKUP($B55,'Cronog. e Histog.'!$BZ:$BZ,'Cronog. e Histog.'!DY:DY),"")</f>
        <v>0</v>
      </c>
      <c r="BE55" s="144">
        <f>IFERROR(_xlfn.XLOOKUP($B55,'Cronog. e Histog.'!$BZ:$BZ,'Cronog. e Histog.'!DZ:DZ),"")</f>
        <v>0</v>
      </c>
      <c r="BF55" s="144">
        <f>IFERROR(_xlfn.XLOOKUP($B55,'Cronog. e Histog.'!$BZ:$BZ,'Cronog. e Histog.'!EA:EA),"")</f>
        <v>0</v>
      </c>
      <c r="BG55" s="144">
        <f>IFERROR(_xlfn.XLOOKUP($B55,'Cronog. e Histog.'!$BZ:$BZ,'Cronog. e Histog.'!EB:EB),"")</f>
        <v>0</v>
      </c>
      <c r="BH55" s="144">
        <f>IFERROR(_xlfn.XLOOKUP($B55,'Cronog. e Histog.'!$BZ:$BZ,'Cronog. e Histog.'!EC:EC),"")</f>
        <v>0</v>
      </c>
      <c r="BI55" s="144">
        <f>IFERROR(_xlfn.XLOOKUP($B55,'Cronog. e Histog.'!$BZ:$BZ,'Cronog. e Histog.'!ED:ED),"")</f>
        <v>0</v>
      </c>
      <c r="BJ55" s="144">
        <f>IFERROR(_xlfn.XLOOKUP($B55,'Cronog. e Histog.'!$BZ:$BZ,'Cronog. e Histog.'!EE:EE),"")</f>
        <v>0</v>
      </c>
      <c r="BK55" s="144">
        <f>IFERROR(_xlfn.XLOOKUP($B55,'Cronog. e Histog.'!$BZ:$BZ,'Cronog. e Histog.'!EF:EF),"")</f>
        <v>0</v>
      </c>
      <c r="BL55" s="144">
        <f>IFERROR(_xlfn.XLOOKUP($B55,'Cronog. e Histog.'!$BZ:$BZ,'Cronog. e Histog.'!EG:EG),"")</f>
        <v>0</v>
      </c>
      <c r="BM55" s="144">
        <f>IFERROR(_xlfn.XLOOKUP($B55,'Cronog. e Histog.'!$BZ:$BZ,'Cronog. e Histog.'!EH:EH),"")</f>
        <v>0</v>
      </c>
      <c r="BN55" s="144">
        <f>IFERROR(_xlfn.XLOOKUP($B55,'Cronog. e Histog.'!$BZ:$BZ,'Cronog. e Histog.'!EI:EI),"")</f>
        <v>0</v>
      </c>
    </row>
    <row r="56" spans="2:66" ht="12" hidden="1" customHeight="1" outlineLevel="1">
      <c r="B56" s="76">
        <v>50</v>
      </c>
      <c r="C56" s="143" t="str">
        <f>IFERROR(VLOOKUP(B56,'Cronog. e Histog.'!$BZ$213:$CA$747,2,0),"")</f>
        <v>AN SR. ADM/CRP</v>
      </c>
      <c r="D56" s="144">
        <f t="shared" si="0"/>
        <v>0</v>
      </c>
      <c r="E56" s="144">
        <f t="shared" si="1"/>
        <v>0</v>
      </c>
      <c r="F56" s="65"/>
      <c r="G56" s="144">
        <f>IFERROR(_xlfn.XLOOKUP($B56,'Cronog. e Histog.'!$BZ:$BZ,'Cronog. e Histog.'!CB:CB),"")</f>
        <v>0</v>
      </c>
      <c r="H56" s="144">
        <f>IFERROR(_xlfn.XLOOKUP($B56,'Cronog. e Histog.'!$BZ:$BZ,'Cronog. e Histog.'!CC:CC),"")</f>
        <v>0</v>
      </c>
      <c r="I56" s="144">
        <f>IFERROR(_xlfn.XLOOKUP($B56,'Cronog. e Histog.'!$BZ:$BZ,'Cronog. e Histog.'!CD:CD),"")</f>
        <v>0</v>
      </c>
      <c r="J56" s="144">
        <f>IFERROR(_xlfn.XLOOKUP($B56,'Cronog. e Histog.'!$BZ:$BZ,'Cronog. e Histog.'!CE:CE),"")</f>
        <v>0</v>
      </c>
      <c r="K56" s="144">
        <f>IFERROR(_xlfn.XLOOKUP($B56,'Cronog. e Histog.'!$BZ:$BZ,'Cronog. e Histog.'!CF:CF),"")</f>
        <v>0</v>
      </c>
      <c r="L56" s="144">
        <f>IFERROR(_xlfn.XLOOKUP($B56,'Cronog. e Histog.'!$BZ:$BZ,'Cronog. e Histog.'!CG:CG),"")</f>
        <v>0</v>
      </c>
      <c r="M56" s="144">
        <f>IFERROR(_xlfn.XLOOKUP($B56,'Cronog. e Histog.'!$BZ:$BZ,'Cronog. e Histog.'!CH:CH),"")</f>
        <v>0</v>
      </c>
      <c r="N56" s="144">
        <f>IFERROR(_xlfn.XLOOKUP($B56,'Cronog. e Histog.'!$BZ:$BZ,'Cronog. e Histog.'!CI:CI),"")</f>
        <v>0</v>
      </c>
      <c r="O56" s="144">
        <f>IFERROR(_xlfn.XLOOKUP($B56,'Cronog. e Histog.'!$BZ:$BZ,'Cronog. e Histog.'!CJ:CJ),"")</f>
        <v>0</v>
      </c>
      <c r="P56" s="144">
        <f>IFERROR(_xlfn.XLOOKUP($B56,'Cronog. e Histog.'!$BZ:$BZ,'Cronog. e Histog.'!CK:CK),"")</f>
        <v>0</v>
      </c>
      <c r="Q56" s="144">
        <f>IFERROR(_xlfn.XLOOKUP($B56,'Cronog. e Histog.'!$BZ:$BZ,'Cronog. e Histog.'!CL:CL),"")</f>
        <v>0</v>
      </c>
      <c r="R56" s="144">
        <f>IFERROR(_xlfn.XLOOKUP($B56,'Cronog. e Histog.'!$BZ:$BZ,'Cronog. e Histog.'!CM:CM),"")</f>
        <v>0</v>
      </c>
      <c r="S56" s="144">
        <f>IFERROR(_xlfn.XLOOKUP($B56,'Cronog. e Histog.'!$BZ:$BZ,'Cronog. e Histog.'!CN:CN),"")</f>
        <v>0</v>
      </c>
      <c r="T56" s="144">
        <f>IFERROR(_xlfn.XLOOKUP($B56,'Cronog. e Histog.'!$BZ:$BZ,'Cronog. e Histog.'!CO:CO),"")</f>
        <v>0</v>
      </c>
      <c r="U56" s="144">
        <f>IFERROR(_xlfn.XLOOKUP($B56,'Cronog. e Histog.'!$BZ:$BZ,'Cronog. e Histog.'!CP:CP),"")</f>
        <v>0</v>
      </c>
      <c r="V56" s="144">
        <f>IFERROR(_xlfn.XLOOKUP($B56,'Cronog. e Histog.'!$BZ:$BZ,'Cronog. e Histog.'!CQ:CQ),"")</f>
        <v>0</v>
      </c>
      <c r="W56" s="144">
        <f>IFERROR(_xlfn.XLOOKUP($B56,'Cronog. e Histog.'!$BZ:$BZ,'Cronog. e Histog.'!CR:CR),"")</f>
        <v>0</v>
      </c>
      <c r="X56" s="144">
        <f>IFERROR(_xlfn.XLOOKUP($B56,'Cronog. e Histog.'!$BZ:$BZ,'Cronog. e Histog.'!CS:CS),"")</f>
        <v>0</v>
      </c>
      <c r="Y56" s="144">
        <f>IFERROR(_xlfn.XLOOKUP($B56,'Cronog. e Histog.'!$BZ:$BZ,'Cronog. e Histog.'!CT:CT),"")</f>
        <v>0</v>
      </c>
      <c r="Z56" s="144">
        <f>IFERROR(_xlfn.XLOOKUP($B56,'Cronog. e Histog.'!$BZ:$BZ,'Cronog. e Histog.'!CU:CU),"")</f>
        <v>0</v>
      </c>
      <c r="AA56" s="144">
        <f>IFERROR(_xlfn.XLOOKUP($B56,'Cronog. e Histog.'!$BZ:$BZ,'Cronog. e Histog.'!CV:CV),"")</f>
        <v>0</v>
      </c>
      <c r="AB56" s="144">
        <f>IFERROR(_xlfn.XLOOKUP($B56,'Cronog. e Histog.'!$BZ:$BZ,'Cronog. e Histog.'!CW:CW),"")</f>
        <v>0</v>
      </c>
      <c r="AC56" s="144">
        <f>IFERROR(_xlfn.XLOOKUP($B56,'Cronog. e Histog.'!$BZ:$BZ,'Cronog. e Histog.'!CX:CX),"")</f>
        <v>0</v>
      </c>
      <c r="AD56" s="144">
        <f>IFERROR(_xlfn.XLOOKUP($B56,'Cronog. e Histog.'!$BZ:$BZ,'Cronog. e Histog.'!CY:CY),"")</f>
        <v>0</v>
      </c>
      <c r="AE56" s="144">
        <f>IFERROR(_xlfn.XLOOKUP($B56,'Cronog. e Histog.'!$BZ:$BZ,'Cronog. e Histog.'!CZ:CZ),"")</f>
        <v>0</v>
      </c>
      <c r="AF56" s="144">
        <f>IFERROR(_xlfn.XLOOKUP($B56,'Cronog. e Histog.'!$BZ:$BZ,'Cronog. e Histog.'!DA:DA),"")</f>
        <v>0</v>
      </c>
      <c r="AG56" s="144">
        <f>IFERROR(_xlfn.XLOOKUP($B56,'Cronog. e Histog.'!$BZ:$BZ,'Cronog. e Histog.'!DB:DB),"")</f>
        <v>0</v>
      </c>
      <c r="AH56" s="144">
        <f>IFERROR(_xlfn.XLOOKUP($B56,'Cronog. e Histog.'!$BZ:$BZ,'Cronog. e Histog.'!DC:DC),"")</f>
        <v>0</v>
      </c>
      <c r="AI56" s="144">
        <f>IFERROR(_xlfn.XLOOKUP($B56,'Cronog. e Histog.'!$BZ:$BZ,'Cronog. e Histog.'!DD:DD),"")</f>
        <v>0</v>
      </c>
      <c r="AJ56" s="144">
        <f>IFERROR(_xlfn.XLOOKUP($B56,'Cronog. e Histog.'!$BZ:$BZ,'Cronog. e Histog.'!DE:DE),"")</f>
        <v>0</v>
      </c>
      <c r="AK56" s="144">
        <f>IFERROR(_xlfn.XLOOKUP($B56,'Cronog. e Histog.'!$BZ:$BZ,'Cronog. e Histog.'!DF:DF),"")</f>
        <v>0</v>
      </c>
      <c r="AL56" s="144">
        <f>IFERROR(_xlfn.XLOOKUP($B56,'Cronog. e Histog.'!$BZ:$BZ,'Cronog. e Histog.'!DG:DG),"")</f>
        <v>0</v>
      </c>
      <c r="AM56" s="144">
        <f>IFERROR(_xlfn.XLOOKUP($B56,'Cronog. e Histog.'!$BZ:$BZ,'Cronog. e Histog.'!DH:DH),"")</f>
        <v>0</v>
      </c>
      <c r="AN56" s="144">
        <f>IFERROR(_xlfn.XLOOKUP($B56,'Cronog. e Histog.'!$BZ:$BZ,'Cronog. e Histog.'!DI:DI),"")</f>
        <v>0</v>
      </c>
      <c r="AO56" s="144">
        <f>IFERROR(_xlfn.XLOOKUP($B56,'Cronog. e Histog.'!$BZ:$BZ,'Cronog. e Histog.'!DJ:DJ),"")</f>
        <v>0</v>
      </c>
      <c r="AP56" s="144">
        <f>IFERROR(_xlfn.XLOOKUP($B56,'Cronog. e Histog.'!$BZ:$BZ,'Cronog. e Histog.'!DK:DK),"")</f>
        <v>0</v>
      </c>
      <c r="AQ56" s="144">
        <f>IFERROR(_xlfn.XLOOKUP($B56,'Cronog. e Histog.'!$BZ:$BZ,'Cronog. e Histog.'!DL:DL),"")</f>
        <v>0</v>
      </c>
      <c r="AR56" s="144">
        <f>IFERROR(_xlfn.XLOOKUP($B56,'Cronog. e Histog.'!$BZ:$BZ,'Cronog. e Histog.'!DM:DM),"")</f>
        <v>0</v>
      </c>
      <c r="AS56" s="144">
        <f>IFERROR(_xlfn.XLOOKUP($B56,'Cronog. e Histog.'!$BZ:$BZ,'Cronog. e Histog.'!DN:DN),"")</f>
        <v>0</v>
      </c>
      <c r="AT56" s="144">
        <f>IFERROR(_xlfn.XLOOKUP($B56,'Cronog. e Histog.'!$BZ:$BZ,'Cronog. e Histog.'!DO:DO),"")</f>
        <v>0</v>
      </c>
      <c r="AU56" s="144">
        <f>IFERROR(_xlfn.XLOOKUP($B56,'Cronog. e Histog.'!$BZ:$BZ,'Cronog. e Histog.'!DP:DP),"")</f>
        <v>0</v>
      </c>
      <c r="AV56" s="144">
        <f>IFERROR(_xlfn.XLOOKUP($B56,'Cronog. e Histog.'!$BZ:$BZ,'Cronog. e Histog.'!DQ:DQ),"")</f>
        <v>0</v>
      </c>
      <c r="AW56" s="144">
        <f>IFERROR(_xlfn.XLOOKUP($B56,'Cronog. e Histog.'!$BZ:$BZ,'Cronog. e Histog.'!DR:DR),"")</f>
        <v>0</v>
      </c>
      <c r="AX56" s="144">
        <f>IFERROR(_xlfn.XLOOKUP($B56,'Cronog. e Histog.'!$BZ:$BZ,'Cronog. e Histog.'!DS:DS),"")</f>
        <v>0</v>
      </c>
      <c r="AY56" s="144">
        <f>IFERROR(_xlfn.XLOOKUP($B56,'Cronog. e Histog.'!$BZ:$BZ,'Cronog. e Histog.'!DT:DT),"")</f>
        <v>0</v>
      </c>
      <c r="AZ56" s="144">
        <f>IFERROR(_xlfn.XLOOKUP($B56,'Cronog. e Histog.'!$BZ:$BZ,'Cronog. e Histog.'!DU:DU),"")</f>
        <v>0</v>
      </c>
      <c r="BA56" s="144">
        <f>IFERROR(_xlfn.XLOOKUP($B56,'Cronog. e Histog.'!$BZ:$BZ,'Cronog. e Histog.'!DV:DV),"")</f>
        <v>0</v>
      </c>
      <c r="BB56" s="144">
        <f>IFERROR(_xlfn.XLOOKUP($B56,'Cronog. e Histog.'!$BZ:$BZ,'Cronog. e Histog.'!DW:DW),"")</f>
        <v>0</v>
      </c>
      <c r="BC56" s="144">
        <f>IFERROR(_xlfn.XLOOKUP($B56,'Cronog. e Histog.'!$BZ:$BZ,'Cronog. e Histog.'!DX:DX),"")</f>
        <v>0</v>
      </c>
      <c r="BD56" s="144">
        <f>IFERROR(_xlfn.XLOOKUP($B56,'Cronog. e Histog.'!$BZ:$BZ,'Cronog. e Histog.'!DY:DY),"")</f>
        <v>0</v>
      </c>
      <c r="BE56" s="144">
        <f>IFERROR(_xlfn.XLOOKUP($B56,'Cronog. e Histog.'!$BZ:$BZ,'Cronog. e Histog.'!DZ:DZ),"")</f>
        <v>0</v>
      </c>
      <c r="BF56" s="144">
        <f>IFERROR(_xlfn.XLOOKUP($B56,'Cronog. e Histog.'!$BZ:$BZ,'Cronog. e Histog.'!EA:EA),"")</f>
        <v>0</v>
      </c>
      <c r="BG56" s="144">
        <f>IFERROR(_xlfn.XLOOKUP($B56,'Cronog. e Histog.'!$BZ:$BZ,'Cronog. e Histog.'!EB:EB),"")</f>
        <v>0</v>
      </c>
      <c r="BH56" s="144">
        <f>IFERROR(_xlfn.XLOOKUP($B56,'Cronog. e Histog.'!$BZ:$BZ,'Cronog. e Histog.'!EC:EC),"")</f>
        <v>0</v>
      </c>
      <c r="BI56" s="144">
        <f>IFERROR(_xlfn.XLOOKUP($B56,'Cronog. e Histog.'!$BZ:$BZ,'Cronog. e Histog.'!ED:ED),"")</f>
        <v>0</v>
      </c>
      <c r="BJ56" s="144">
        <f>IFERROR(_xlfn.XLOOKUP($B56,'Cronog. e Histog.'!$BZ:$BZ,'Cronog. e Histog.'!EE:EE),"")</f>
        <v>0</v>
      </c>
      <c r="BK56" s="144">
        <f>IFERROR(_xlfn.XLOOKUP($B56,'Cronog. e Histog.'!$BZ:$BZ,'Cronog. e Histog.'!EF:EF),"")</f>
        <v>0</v>
      </c>
      <c r="BL56" s="144">
        <f>IFERROR(_xlfn.XLOOKUP($B56,'Cronog. e Histog.'!$BZ:$BZ,'Cronog. e Histog.'!EG:EG),"")</f>
        <v>0</v>
      </c>
      <c r="BM56" s="144">
        <f>IFERROR(_xlfn.XLOOKUP($B56,'Cronog. e Histog.'!$BZ:$BZ,'Cronog. e Histog.'!EH:EH),"")</f>
        <v>0</v>
      </c>
      <c r="BN56" s="144">
        <f>IFERROR(_xlfn.XLOOKUP($B56,'Cronog. e Histog.'!$BZ:$BZ,'Cronog. e Histog.'!EI:EI),"")</f>
        <v>0</v>
      </c>
    </row>
    <row r="57" spans="2:66" ht="12" hidden="1" customHeight="1" outlineLevel="1">
      <c r="B57" s="76">
        <v>51</v>
      </c>
      <c r="C57" s="143" t="str">
        <f>IFERROR(VLOOKUP(B57,'Cronog. e Histog.'!$BZ$213:$CA$747,2,0),"")</f>
        <v>AN PL. ADM/CRP</v>
      </c>
      <c r="D57" s="144">
        <f t="shared" si="0"/>
        <v>0</v>
      </c>
      <c r="E57" s="144">
        <f t="shared" si="1"/>
        <v>0</v>
      </c>
      <c r="F57" s="65"/>
      <c r="G57" s="144">
        <f>IFERROR(_xlfn.XLOOKUP($B57,'Cronog. e Histog.'!$BZ:$BZ,'Cronog. e Histog.'!CB:CB),"")</f>
        <v>0</v>
      </c>
      <c r="H57" s="144">
        <f>IFERROR(_xlfn.XLOOKUP($B57,'Cronog. e Histog.'!$BZ:$BZ,'Cronog. e Histog.'!CC:CC),"")</f>
        <v>0</v>
      </c>
      <c r="I57" s="144">
        <f>IFERROR(_xlfn.XLOOKUP($B57,'Cronog. e Histog.'!$BZ:$BZ,'Cronog. e Histog.'!CD:CD),"")</f>
        <v>0</v>
      </c>
      <c r="J57" s="144">
        <f>IFERROR(_xlfn.XLOOKUP($B57,'Cronog. e Histog.'!$BZ:$BZ,'Cronog. e Histog.'!CE:CE),"")</f>
        <v>0</v>
      </c>
      <c r="K57" s="144">
        <f>IFERROR(_xlfn.XLOOKUP($B57,'Cronog. e Histog.'!$BZ:$BZ,'Cronog. e Histog.'!CF:CF),"")</f>
        <v>0</v>
      </c>
      <c r="L57" s="144">
        <f>IFERROR(_xlfn.XLOOKUP($B57,'Cronog. e Histog.'!$BZ:$BZ,'Cronog. e Histog.'!CG:CG),"")</f>
        <v>0</v>
      </c>
      <c r="M57" s="144">
        <f>IFERROR(_xlfn.XLOOKUP($B57,'Cronog. e Histog.'!$BZ:$BZ,'Cronog. e Histog.'!CH:CH),"")</f>
        <v>0</v>
      </c>
      <c r="N57" s="144">
        <f>IFERROR(_xlfn.XLOOKUP($B57,'Cronog. e Histog.'!$BZ:$BZ,'Cronog. e Histog.'!CI:CI),"")</f>
        <v>0</v>
      </c>
      <c r="O57" s="144">
        <f>IFERROR(_xlfn.XLOOKUP($B57,'Cronog. e Histog.'!$BZ:$BZ,'Cronog. e Histog.'!CJ:CJ),"")</f>
        <v>0</v>
      </c>
      <c r="P57" s="144">
        <f>IFERROR(_xlfn.XLOOKUP($B57,'Cronog. e Histog.'!$BZ:$BZ,'Cronog. e Histog.'!CK:CK),"")</f>
        <v>0</v>
      </c>
      <c r="Q57" s="144">
        <f>IFERROR(_xlfn.XLOOKUP($B57,'Cronog. e Histog.'!$BZ:$BZ,'Cronog. e Histog.'!CL:CL),"")</f>
        <v>0</v>
      </c>
      <c r="R57" s="144">
        <f>IFERROR(_xlfn.XLOOKUP($B57,'Cronog. e Histog.'!$BZ:$BZ,'Cronog. e Histog.'!CM:CM),"")</f>
        <v>0</v>
      </c>
      <c r="S57" s="144">
        <f>IFERROR(_xlfn.XLOOKUP($B57,'Cronog. e Histog.'!$BZ:$BZ,'Cronog. e Histog.'!CN:CN),"")</f>
        <v>0</v>
      </c>
      <c r="T57" s="144">
        <f>IFERROR(_xlfn.XLOOKUP($B57,'Cronog. e Histog.'!$BZ:$BZ,'Cronog. e Histog.'!CO:CO),"")</f>
        <v>0</v>
      </c>
      <c r="U57" s="144">
        <f>IFERROR(_xlfn.XLOOKUP($B57,'Cronog. e Histog.'!$BZ:$BZ,'Cronog. e Histog.'!CP:CP),"")</f>
        <v>0</v>
      </c>
      <c r="V57" s="144">
        <f>IFERROR(_xlfn.XLOOKUP($B57,'Cronog. e Histog.'!$BZ:$BZ,'Cronog. e Histog.'!CQ:CQ),"")</f>
        <v>0</v>
      </c>
      <c r="W57" s="144">
        <f>IFERROR(_xlfn.XLOOKUP($B57,'Cronog. e Histog.'!$BZ:$BZ,'Cronog. e Histog.'!CR:CR),"")</f>
        <v>0</v>
      </c>
      <c r="X57" s="144">
        <f>IFERROR(_xlfn.XLOOKUP($B57,'Cronog. e Histog.'!$BZ:$BZ,'Cronog. e Histog.'!CS:CS),"")</f>
        <v>0</v>
      </c>
      <c r="Y57" s="144">
        <f>IFERROR(_xlfn.XLOOKUP($B57,'Cronog. e Histog.'!$BZ:$BZ,'Cronog. e Histog.'!CT:CT),"")</f>
        <v>0</v>
      </c>
      <c r="Z57" s="144">
        <f>IFERROR(_xlfn.XLOOKUP($B57,'Cronog. e Histog.'!$BZ:$BZ,'Cronog. e Histog.'!CU:CU),"")</f>
        <v>0</v>
      </c>
      <c r="AA57" s="144">
        <f>IFERROR(_xlfn.XLOOKUP($B57,'Cronog. e Histog.'!$BZ:$BZ,'Cronog. e Histog.'!CV:CV),"")</f>
        <v>0</v>
      </c>
      <c r="AB57" s="144">
        <f>IFERROR(_xlfn.XLOOKUP($B57,'Cronog. e Histog.'!$BZ:$BZ,'Cronog. e Histog.'!CW:CW),"")</f>
        <v>0</v>
      </c>
      <c r="AC57" s="144">
        <f>IFERROR(_xlfn.XLOOKUP($B57,'Cronog. e Histog.'!$BZ:$BZ,'Cronog. e Histog.'!CX:CX),"")</f>
        <v>0</v>
      </c>
      <c r="AD57" s="144">
        <f>IFERROR(_xlfn.XLOOKUP($B57,'Cronog. e Histog.'!$BZ:$BZ,'Cronog. e Histog.'!CY:CY),"")</f>
        <v>0</v>
      </c>
      <c r="AE57" s="144">
        <f>IFERROR(_xlfn.XLOOKUP($B57,'Cronog. e Histog.'!$BZ:$BZ,'Cronog. e Histog.'!CZ:CZ),"")</f>
        <v>0</v>
      </c>
      <c r="AF57" s="144">
        <f>IFERROR(_xlfn.XLOOKUP($B57,'Cronog. e Histog.'!$BZ:$BZ,'Cronog. e Histog.'!DA:DA),"")</f>
        <v>0</v>
      </c>
      <c r="AG57" s="144">
        <f>IFERROR(_xlfn.XLOOKUP($B57,'Cronog. e Histog.'!$BZ:$BZ,'Cronog. e Histog.'!DB:DB),"")</f>
        <v>0</v>
      </c>
      <c r="AH57" s="144">
        <f>IFERROR(_xlfn.XLOOKUP($B57,'Cronog. e Histog.'!$BZ:$BZ,'Cronog. e Histog.'!DC:DC),"")</f>
        <v>0</v>
      </c>
      <c r="AI57" s="144">
        <f>IFERROR(_xlfn.XLOOKUP($B57,'Cronog. e Histog.'!$BZ:$BZ,'Cronog. e Histog.'!DD:DD),"")</f>
        <v>0</v>
      </c>
      <c r="AJ57" s="144">
        <f>IFERROR(_xlfn.XLOOKUP($B57,'Cronog. e Histog.'!$BZ:$BZ,'Cronog. e Histog.'!DE:DE),"")</f>
        <v>0</v>
      </c>
      <c r="AK57" s="144">
        <f>IFERROR(_xlfn.XLOOKUP($B57,'Cronog. e Histog.'!$BZ:$BZ,'Cronog. e Histog.'!DF:DF),"")</f>
        <v>0</v>
      </c>
      <c r="AL57" s="144">
        <f>IFERROR(_xlfn.XLOOKUP($B57,'Cronog. e Histog.'!$BZ:$BZ,'Cronog. e Histog.'!DG:DG),"")</f>
        <v>0</v>
      </c>
      <c r="AM57" s="144">
        <f>IFERROR(_xlfn.XLOOKUP($B57,'Cronog. e Histog.'!$BZ:$BZ,'Cronog. e Histog.'!DH:DH),"")</f>
        <v>0</v>
      </c>
      <c r="AN57" s="144">
        <f>IFERROR(_xlfn.XLOOKUP($B57,'Cronog. e Histog.'!$BZ:$BZ,'Cronog. e Histog.'!DI:DI),"")</f>
        <v>0</v>
      </c>
      <c r="AO57" s="144">
        <f>IFERROR(_xlfn.XLOOKUP($B57,'Cronog. e Histog.'!$BZ:$BZ,'Cronog. e Histog.'!DJ:DJ),"")</f>
        <v>0</v>
      </c>
      <c r="AP57" s="144">
        <f>IFERROR(_xlfn.XLOOKUP($B57,'Cronog. e Histog.'!$BZ:$BZ,'Cronog. e Histog.'!DK:DK),"")</f>
        <v>0</v>
      </c>
      <c r="AQ57" s="144">
        <f>IFERROR(_xlfn.XLOOKUP($B57,'Cronog. e Histog.'!$BZ:$BZ,'Cronog. e Histog.'!DL:DL),"")</f>
        <v>0</v>
      </c>
      <c r="AR57" s="144">
        <f>IFERROR(_xlfn.XLOOKUP($B57,'Cronog. e Histog.'!$BZ:$BZ,'Cronog. e Histog.'!DM:DM),"")</f>
        <v>0</v>
      </c>
      <c r="AS57" s="144">
        <f>IFERROR(_xlfn.XLOOKUP($B57,'Cronog. e Histog.'!$BZ:$BZ,'Cronog. e Histog.'!DN:DN),"")</f>
        <v>0</v>
      </c>
      <c r="AT57" s="144">
        <f>IFERROR(_xlfn.XLOOKUP($B57,'Cronog. e Histog.'!$BZ:$BZ,'Cronog. e Histog.'!DO:DO),"")</f>
        <v>0</v>
      </c>
      <c r="AU57" s="144">
        <f>IFERROR(_xlfn.XLOOKUP($B57,'Cronog. e Histog.'!$BZ:$BZ,'Cronog. e Histog.'!DP:DP),"")</f>
        <v>0</v>
      </c>
      <c r="AV57" s="144">
        <f>IFERROR(_xlfn.XLOOKUP($B57,'Cronog. e Histog.'!$BZ:$BZ,'Cronog. e Histog.'!DQ:DQ),"")</f>
        <v>0</v>
      </c>
      <c r="AW57" s="144">
        <f>IFERROR(_xlfn.XLOOKUP($B57,'Cronog. e Histog.'!$BZ:$BZ,'Cronog. e Histog.'!DR:DR),"")</f>
        <v>0</v>
      </c>
      <c r="AX57" s="144">
        <f>IFERROR(_xlfn.XLOOKUP($B57,'Cronog. e Histog.'!$BZ:$BZ,'Cronog. e Histog.'!DS:DS),"")</f>
        <v>0</v>
      </c>
      <c r="AY57" s="144">
        <f>IFERROR(_xlfn.XLOOKUP($B57,'Cronog. e Histog.'!$BZ:$BZ,'Cronog. e Histog.'!DT:DT),"")</f>
        <v>0</v>
      </c>
      <c r="AZ57" s="144">
        <f>IFERROR(_xlfn.XLOOKUP($B57,'Cronog. e Histog.'!$BZ:$BZ,'Cronog. e Histog.'!DU:DU),"")</f>
        <v>0</v>
      </c>
      <c r="BA57" s="144">
        <f>IFERROR(_xlfn.XLOOKUP($B57,'Cronog. e Histog.'!$BZ:$BZ,'Cronog. e Histog.'!DV:DV),"")</f>
        <v>0</v>
      </c>
      <c r="BB57" s="144">
        <f>IFERROR(_xlfn.XLOOKUP($B57,'Cronog. e Histog.'!$BZ:$BZ,'Cronog. e Histog.'!DW:DW),"")</f>
        <v>0</v>
      </c>
      <c r="BC57" s="144">
        <f>IFERROR(_xlfn.XLOOKUP($B57,'Cronog. e Histog.'!$BZ:$BZ,'Cronog. e Histog.'!DX:DX),"")</f>
        <v>0</v>
      </c>
      <c r="BD57" s="144">
        <f>IFERROR(_xlfn.XLOOKUP($B57,'Cronog. e Histog.'!$BZ:$BZ,'Cronog. e Histog.'!DY:DY),"")</f>
        <v>0</v>
      </c>
      <c r="BE57" s="144">
        <f>IFERROR(_xlfn.XLOOKUP($B57,'Cronog. e Histog.'!$BZ:$BZ,'Cronog. e Histog.'!DZ:DZ),"")</f>
        <v>0</v>
      </c>
      <c r="BF57" s="144">
        <f>IFERROR(_xlfn.XLOOKUP($B57,'Cronog. e Histog.'!$BZ:$BZ,'Cronog. e Histog.'!EA:EA),"")</f>
        <v>0</v>
      </c>
      <c r="BG57" s="144">
        <f>IFERROR(_xlfn.XLOOKUP($B57,'Cronog. e Histog.'!$BZ:$BZ,'Cronog. e Histog.'!EB:EB),"")</f>
        <v>0</v>
      </c>
      <c r="BH57" s="144">
        <f>IFERROR(_xlfn.XLOOKUP($B57,'Cronog. e Histog.'!$BZ:$BZ,'Cronog. e Histog.'!EC:EC),"")</f>
        <v>0</v>
      </c>
      <c r="BI57" s="144">
        <f>IFERROR(_xlfn.XLOOKUP($B57,'Cronog. e Histog.'!$BZ:$BZ,'Cronog. e Histog.'!ED:ED),"")</f>
        <v>0</v>
      </c>
      <c r="BJ57" s="144">
        <f>IFERROR(_xlfn.XLOOKUP($B57,'Cronog. e Histog.'!$BZ:$BZ,'Cronog. e Histog.'!EE:EE),"")</f>
        <v>0</v>
      </c>
      <c r="BK57" s="144">
        <f>IFERROR(_xlfn.XLOOKUP($B57,'Cronog. e Histog.'!$BZ:$BZ,'Cronog. e Histog.'!EF:EF),"")</f>
        <v>0</v>
      </c>
      <c r="BL57" s="144">
        <f>IFERROR(_xlfn.XLOOKUP($B57,'Cronog. e Histog.'!$BZ:$BZ,'Cronog. e Histog.'!EG:EG),"")</f>
        <v>0</v>
      </c>
      <c r="BM57" s="144">
        <f>IFERROR(_xlfn.XLOOKUP($B57,'Cronog. e Histog.'!$BZ:$BZ,'Cronog. e Histog.'!EH:EH),"")</f>
        <v>0</v>
      </c>
      <c r="BN57" s="144">
        <f>IFERROR(_xlfn.XLOOKUP($B57,'Cronog. e Histog.'!$BZ:$BZ,'Cronog. e Histog.'!EI:EI),"")</f>
        <v>0</v>
      </c>
    </row>
    <row r="58" spans="2:66" ht="12" hidden="1" customHeight="1" outlineLevel="1">
      <c r="B58" s="76">
        <v>52</v>
      </c>
      <c r="C58" s="143" t="str">
        <f>IFERROR(VLOOKUP(B58,'Cronog. e Histog.'!$BZ$213:$CA$747,2,0),"")</f>
        <v>AN JR. ADM/CRP</v>
      </c>
      <c r="D58" s="144">
        <f t="shared" si="0"/>
        <v>0</v>
      </c>
      <c r="E58" s="144">
        <f t="shared" si="1"/>
        <v>0</v>
      </c>
      <c r="F58" s="65"/>
      <c r="G58" s="144">
        <f>IFERROR(_xlfn.XLOOKUP($B58,'Cronog. e Histog.'!$BZ:$BZ,'Cronog. e Histog.'!CB:CB),"")</f>
        <v>0</v>
      </c>
      <c r="H58" s="144">
        <f>IFERROR(_xlfn.XLOOKUP($B58,'Cronog. e Histog.'!$BZ:$BZ,'Cronog. e Histog.'!CC:CC),"")</f>
        <v>0</v>
      </c>
      <c r="I58" s="144">
        <f>IFERROR(_xlfn.XLOOKUP($B58,'Cronog. e Histog.'!$BZ:$BZ,'Cronog. e Histog.'!CD:CD),"")</f>
        <v>0</v>
      </c>
      <c r="J58" s="144">
        <f>IFERROR(_xlfn.XLOOKUP($B58,'Cronog. e Histog.'!$BZ:$BZ,'Cronog. e Histog.'!CE:CE),"")</f>
        <v>0</v>
      </c>
      <c r="K58" s="144">
        <f>IFERROR(_xlfn.XLOOKUP($B58,'Cronog. e Histog.'!$BZ:$BZ,'Cronog. e Histog.'!CF:CF),"")</f>
        <v>0</v>
      </c>
      <c r="L58" s="144">
        <f>IFERROR(_xlfn.XLOOKUP($B58,'Cronog. e Histog.'!$BZ:$BZ,'Cronog. e Histog.'!CG:CG),"")</f>
        <v>0</v>
      </c>
      <c r="M58" s="144">
        <f>IFERROR(_xlfn.XLOOKUP($B58,'Cronog. e Histog.'!$BZ:$BZ,'Cronog. e Histog.'!CH:CH),"")</f>
        <v>0</v>
      </c>
      <c r="N58" s="144">
        <f>IFERROR(_xlfn.XLOOKUP($B58,'Cronog. e Histog.'!$BZ:$BZ,'Cronog. e Histog.'!CI:CI),"")</f>
        <v>0</v>
      </c>
      <c r="O58" s="144">
        <f>IFERROR(_xlfn.XLOOKUP($B58,'Cronog. e Histog.'!$BZ:$BZ,'Cronog. e Histog.'!CJ:CJ),"")</f>
        <v>0</v>
      </c>
      <c r="P58" s="144">
        <f>IFERROR(_xlfn.XLOOKUP($B58,'Cronog. e Histog.'!$BZ:$BZ,'Cronog. e Histog.'!CK:CK),"")</f>
        <v>0</v>
      </c>
      <c r="Q58" s="144">
        <f>IFERROR(_xlfn.XLOOKUP($B58,'Cronog. e Histog.'!$BZ:$BZ,'Cronog. e Histog.'!CL:CL),"")</f>
        <v>0</v>
      </c>
      <c r="R58" s="144">
        <f>IFERROR(_xlfn.XLOOKUP($B58,'Cronog. e Histog.'!$BZ:$BZ,'Cronog. e Histog.'!CM:CM),"")</f>
        <v>0</v>
      </c>
      <c r="S58" s="144">
        <f>IFERROR(_xlfn.XLOOKUP($B58,'Cronog. e Histog.'!$BZ:$BZ,'Cronog. e Histog.'!CN:CN),"")</f>
        <v>0</v>
      </c>
      <c r="T58" s="144">
        <f>IFERROR(_xlfn.XLOOKUP($B58,'Cronog. e Histog.'!$BZ:$BZ,'Cronog. e Histog.'!CO:CO),"")</f>
        <v>0</v>
      </c>
      <c r="U58" s="144">
        <f>IFERROR(_xlfn.XLOOKUP($B58,'Cronog. e Histog.'!$BZ:$BZ,'Cronog. e Histog.'!CP:CP),"")</f>
        <v>0</v>
      </c>
      <c r="V58" s="144">
        <f>IFERROR(_xlfn.XLOOKUP($B58,'Cronog. e Histog.'!$BZ:$BZ,'Cronog. e Histog.'!CQ:CQ),"")</f>
        <v>0</v>
      </c>
      <c r="W58" s="144">
        <f>IFERROR(_xlfn.XLOOKUP($B58,'Cronog. e Histog.'!$BZ:$BZ,'Cronog. e Histog.'!CR:CR),"")</f>
        <v>0</v>
      </c>
      <c r="X58" s="144">
        <f>IFERROR(_xlfn.XLOOKUP($B58,'Cronog. e Histog.'!$BZ:$BZ,'Cronog. e Histog.'!CS:CS),"")</f>
        <v>0</v>
      </c>
      <c r="Y58" s="144">
        <f>IFERROR(_xlfn.XLOOKUP($B58,'Cronog. e Histog.'!$BZ:$BZ,'Cronog. e Histog.'!CT:CT),"")</f>
        <v>0</v>
      </c>
      <c r="Z58" s="144">
        <f>IFERROR(_xlfn.XLOOKUP($B58,'Cronog. e Histog.'!$BZ:$BZ,'Cronog. e Histog.'!CU:CU),"")</f>
        <v>0</v>
      </c>
      <c r="AA58" s="144">
        <f>IFERROR(_xlfn.XLOOKUP($B58,'Cronog. e Histog.'!$BZ:$BZ,'Cronog. e Histog.'!CV:CV),"")</f>
        <v>0</v>
      </c>
      <c r="AB58" s="144">
        <f>IFERROR(_xlfn.XLOOKUP($B58,'Cronog. e Histog.'!$BZ:$BZ,'Cronog. e Histog.'!CW:CW),"")</f>
        <v>0</v>
      </c>
      <c r="AC58" s="144">
        <f>IFERROR(_xlfn.XLOOKUP($B58,'Cronog. e Histog.'!$BZ:$BZ,'Cronog. e Histog.'!CX:CX),"")</f>
        <v>0</v>
      </c>
      <c r="AD58" s="144">
        <f>IFERROR(_xlfn.XLOOKUP($B58,'Cronog. e Histog.'!$BZ:$BZ,'Cronog. e Histog.'!CY:CY),"")</f>
        <v>0</v>
      </c>
      <c r="AE58" s="144">
        <f>IFERROR(_xlfn.XLOOKUP($B58,'Cronog. e Histog.'!$BZ:$BZ,'Cronog. e Histog.'!CZ:CZ),"")</f>
        <v>0</v>
      </c>
      <c r="AF58" s="144">
        <f>IFERROR(_xlfn.XLOOKUP($B58,'Cronog. e Histog.'!$BZ:$BZ,'Cronog. e Histog.'!DA:DA),"")</f>
        <v>0</v>
      </c>
      <c r="AG58" s="144">
        <f>IFERROR(_xlfn.XLOOKUP($B58,'Cronog. e Histog.'!$BZ:$BZ,'Cronog. e Histog.'!DB:DB),"")</f>
        <v>0</v>
      </c>
      <c r="AH58" s="144">
        <f>IFERROR(_xlfn.XLOOKUP($B58,'Cronog. e Histog.'!$BZ:$BZ,'Cronog. e Histog.'!DC:DC),"")</f>
        <v>0</v>
      </c>
      <c r="AI58" s="144">
        <f>IFERROR(_xlfn.XLOOKUP($B58,'Cronog. e Histog.'!$BZ:$BZ,'Cronog. e Histog.'!DD:DD),"")</f>
        <v>0</v>
      </c>
      <c r="AJ58" s="144">
        <f>IFERROR(_xlfn.XLOOKUP($B58,'Cronog. e Histog.'!$BZ:$BZ,'Cronog. e Histog.'!DE:DE),"")</f>
        <v>0</v>
      </c>
      <c r="AK58" s="144">
        <f>IFERROR(_xlfn.XLOOKUP($B58,'Cronog. e Histog.'!$BZ:$BZ,'Cronog. e Histog.'!DF:DF),"")</f>
        <v>0</v>
      </c>
      <c r="AL58" s="144">
        <f>IFERROR(_xlfn.XLOOKUP($B58,'Cronog. e Histog.'!$BZ:$BZ,'Cronog. e Histog.'!DG:DG),"")</f>
        <v>0</v>
      </c>
      <c r="AM58" s="144">
        <f>IFERROR(_xlfn.XLOOKUP($B58,'Cronog. e Histog.'!$BZ:$BZ,'Cronog. e Histog.'!DH:DH),"")</f>
        <v>0</v>
      </c>
      <c r="AN58" s="144">
        <f>IFERROR(_xlfn.XLOOKUP($B58,'Cronog. e Histog.'!$BZ:$BZ,'Cronog. e Histog.'!DI:DI),"")</f>
        <v>0</v>
      </c>
      <c r="AO58" s="144">
        <f>IFERROR(_xlfn.XLOOKUP($B58,'Cronog. e Histog.'!$BZ:$BZ,'Cronog. e Histog.'!DJ:DJ),"")</f>
        <v>0</v>
      </c>
      <c r="AP58" s="144">
        <f>IFERROR(_xlfn.XLOOKUP($B58,'Cronog. e Histog.'!$BZ:$BZ,'Cronog. e Histog.'!DK:DK),"")</f>
        <v>0</v>
      </c>
      <c r="AQ58" s="144">
        <f>IFERROR(_xlfn.XLOOKUP($B58,'Cronog. e Histog.'!$BZ:$BZ,'Cronog. e Histog.'!DL:DL),"")</f>
        <v>0</v>
      </c>
      <c r="AR58" s="144">
        <f>IFERROR(_xlfn.XLOOKUP($B58,'Cronog. e Histog.'!$BZ:$BZ,'Cronog. e Histog.'!DM:DM),"")</f>
        <v>0</v>
      </c>
      <c r="AS58" s="144">
        <f>IFERROR(_xlfn.XLOOKUP($B58,'Cronog. e Histog.'!$BZ:$BZ,'Cronog. e Histog.'!DN:DN),"")</f>
        <v>0</v>
      </c>
      <c r="AT58" s="144">
        <f>IFERROR(_xlfn.XLOOKUP($B58,'Cronog. e Histog.'!$BZ:$BZ,'Cronog. e Histog.'!DO:DO),"")</f>
        <v>0</v>
      </c>
      <c r="AU58" s="144">
        <f>IFERROR(_xlfn.XLOOKUP($B58,'Cronog. e Histog.'!$BZ:$BZ,'Cronog. e Histog.'!DP:DP),"")</f>
        <v>0</v>
      </c>
      <c r="AV58" s="144">
        <f>IFERROR(_xlfn.XLOOKUP($B58,'Cronog. e Histog.'!$BZ:$BZ,'Cronog. e Histog.'!DQ:DQ),"")</f>
        <v>0</v>
      </c>
      <c r="AW58" s="144">
        <f>IFERROR(_xlfn.XLOOKUP($B58,'Cronog. e Histog.'!$BZ:$BZ,'Cronog. e Histog.'!DR:DR),"")</f>
        <v>0</v>
      </c>
      <c r="AX58" s="144">
        <f>IFERROR(_xlfn.XLOOKUP($B58,'Cronog. e Histog.'!$BZ:$BZ,'Cronog. e Histog.'!DS:DS),"")</f>
        <v>0</v>
      </c>
      <c r="AY58" s="144">
        <f>IFERROR(_xlfn.XLOOKUP($B58,'Cronog. e Histog.'!$BZ:$BZ,'Cronog. e Histog.'!DT:DT),"")</f>
        <v>0</v>
      </c>
      <c r="AZ58" s="144">
        <f>IFERROR(_xlfn.XLOOKUP($B58,'Cronog. e Histog.'!$BZ:$BZ,'Cronog. e Histog.'!DU:DU),"")</f>
        <v>0</v>
      </c>
      <c r="BA58" s="144">
        <f>IFERROR(_xlfn.XLOOKUP($B58,'Cronog. e Histog.'!$BZ:$BZ,'Cronog. e Histog.'!DV:DV),"")</f>
        <v>0</v>
      </c>
      <c r="BB58" s="144">
        <f>IFERROR(_xlfn.XLOOKUP($B58,'Cronog. e Histog.'!$BZ:$BZ,'Cronog. e Histog.'!DW:DW),"")</f>
        <v>0</v>
      </c>
      <c r="BC58" s="144">
        <f>IFERROR(_xlfn.XLOOKUP($B58,'Cronog. e Histog.'!$BZ:$BZ,'Cronog. e Histog.'!DX:DX),"")</f>
        <v>0</v>
      </c>
      <c r="BD58" s="144">
        <f>IFERROR(_xlfn.XLOOKUP($B58,'Cronog. e Histog.'!$BZ:$BZ,'Cronog. e Histog.'!DY:DY),"")</f>
        <v>0</v>
      </c>
      <c r="BE58" s="144">
        <f>IFERROR(_xlfn.XLOOKUP($B58,'Cronog. e Histog.'!$BZ:$BZ,'Cronog. e Histog.'!DZ:DZ),"")</f>
        <v>0</v>
      </c>
      <c r="BF58" s="144">
        <f>IFERROR(_xlfn.XLOOKUP($B58,'Cronog. e Histog.'!$BZ:$BZ,'Cronog. e Histog.'!EA:EA),"")</f>
        <v>0</v>
      </c>
      <c r="BG58" s="144">
        <f>IFERROR(_xlfn.XLOOKUP($B58,'Cronog. e Histog.'!$BZ:$BZ,'Cronog. e Histog.'!EB:EB),"")</f>
        <v>0</v>
      </c>
      <c r="BH58" s="144">
        <f>IFERROR(_xlfn.XLOOKUP($B58,'Cronog. e Histog.'!$BZ:$BZ,'Cronog. e Histog.'!EC:EC),"")</f>
        <v>0</v>
      </c>
      <c r="BI58" s="144">
        <f>IFERROR(_xlfn.XLOOKUP($B58,'Cronog. e Histog.'!$BZ:$BZ,'Cronog. e Histog.'!ED:ED),"")</f>
        <v>0</v>
      </c>
      <c r="BJ58" s="144">
        <f>IFERROR(_xlfn.XLOOKUP($B58,'Cronog. e Histog.'!$BZ:$BZ,'Cronog. e Histog.'!EE:EE),"")</f>
        <v>0</v>
      </c>
      <c r="BK58" s="144">
        <f>IFERROR(_xlfn.XLOOKUP($B58,'Cronog. e Histog.'!$BZ:$BZ,'Cronog. e Histog.'!EF:EF),"")</f>
        <v>0</v>
      </c>
      <c r="BL58" s="144">
        <f>IFERROR(_xlfn.XLOOKUP($B58,'Cronog. e Histog.'!$BZ:$BZ,'Cronog. e Histog.'!EG:EG),"")</f>
        <v>0</v>
      </c>
      <c r="BM58" s="144">
        <f>IFERROR(_xlfn.XLOOKUP($B58,'Cronog. e Histog.'!$BZ:$BZ,'Cronog. e Histog.'!EH:EH),"")</f>
        <v>0</v>
      </c>
      <c r="BN58" s="144">
        <f>IFERROR(_xlfn.XLOOKUP($B58,'Cronog. e Histog.'!$BZ:$BZ,'Cronog. e Histog.'!EI:EI),"")</f>
        <v>0</v>
      </c>
    </row>
    <row r="59" spans="2:66" ht="12" hidden="1" customHeight="1" outlineLevel="1">
      <c r="B59" s="76">
        <v>53</v>
      </c>
      <c r="C59" s="143" t="str">
        <f>IFERROR(VLOOKUP(B59,'Cronog. e Histog.'!$BZ$213:$CA$747,2,0),"")</f>
        <v>TEC III</v>
      </c>
      <c r="D59" s="144">
        <f t="shared" si="0"/>
        <v>0</v>
      </c>
      <c r="E59" s="144">
        <f t="shared" si="1"/>
        <v>0</v>
      </c>
      <c r="F59" s="65"/>
      <c r="G59" s="144">
        <f>IFERROR(_xlfn.XLOOKUP($B59,'Cronog. e Histog.'!$BZ:$BZ,'Cronog. e Histog.'!CB:CB),"")</f>
        <v>0</v>
      </c>
      <c r="H59" s="144">
        <f>IFERROR(_xlfn.XLOOKUP($B59,'Cronog. e Histog.'!$BZ:$BZ,'Cronog. e Histog.'!CC:CC),"")</f>
        <v>0</v>
      </c>
      <c r="I59" s="144">
        <f>IFERROR(_xlfn.XLOOKUP($B59,'Cronog. e Histog.'!$BZ:$BZ,'Cronog. e Histog.'!CD:CD),"")</f>
        <v>0</v>
      </c>
      <c r="J59" s="144">
        <f>IFERROR(_xlfn.XLOOKUP($B59,'Cronog. e Histog.'!$BZ:$BZ,'Cronog. e Histog.'!CE:CE),"")</f>
        <v>0</v>
      </c>
      <c r="K59" s="144">
        <f>IFERROR(_xlfn.XLOOKUP($B59,'Cronog. e Histog.'!$BZ:$BZ,'Cronog. e Histog.'!CF:CF),"")</f>
        <v>0</v>
      </c>
      <c r="L59" s="144">
        <f>IFERROR(_xlfn.XLOOKUP($B59,'Cronog. e Histog.'!$BZ:$BZ,'Cronog. e Histog.'!CG:CG),"")</f>
        <v>0</v>
      </c>
      <c r="M59" s="144">
        <f>IFERROR(_xlfn.XLOOKUP($B59,'Cronog. e Histog.'!$BZ:$BZ,'Cronog. e Histog.'!CH:CH),"")</f>
        <v>0</v>
      </c>
      <c r="N59" s="144">
        <f>IFERROR(_xlfn.XLOOKUP($B59,'Cronog. e Histog.'!$BZ:$BZ,'Cronog. e Histog.'!CI:CI),"")</f>
        <v>0</v>
      </c>
      <c r="O59" s="144">
        <f>IFERROR(_xlfn.XLOOKUP($B59,'Cronog. e Histog.'!$BZ:$BZ,'Cronog. e Histog.'!CJ:CJ),"")</f>
        <v>0</v>
      </c>
      <c r="P59" s="144">
        <f>IFERROR(_xlfn.XLOOKUP($B59,'Cronog. e Histog.'!$BZ:$BZ,'Cronog. e Histog.'!CK:CK),"")</f>
        <v>0</v>
      </c>
      <c r="Q59" s="144">
        <f>IFERROR(_xlfn.XLOOKUP($B59,'Cronog. e Histog.'!$BZ:$BZ,'Cronog. e Histog.'!CL:CL),"")</f>
        <v>0</v>
      </c>
      <c r="R59" s="144">
        <f>IFERROR(_xlfn.XLOOKUP($B59,'Cronog. e Histog.'!$BZ:$BZ,'Cronog. e Histog.'!CM:CM),"")</f>
        <v>0</v>
      </c>
      <c r="S59" s="144">
        <f>IFERROR(_xlfn.XLOOKUP($B59,'Cronog. e Histog.'!$BZ:$BZ,'Cronog. e Histog.'!CN:CN),"")</f>
        <v>0</v>
      </c>
      <c r="T59" s="144">
        <f>IFERROR(_xlfn.XLOOKUP($B59,'Cronog. e Histog.'!$BZ:$BZ,'Cronog. e Histog.'!CO:CO),"")</f>
        <v>0</v>
      </c>
      <c r="U59" s="144">
        <f>IFERROR(_xlfn.XLOOKUP($B59,'Cronog. e Histog.'!$BZ:$BZ,'Cronog. e Histog.'!CP:CP),"")</f>
        <v>0</v>
      </c>
      <c r="V59" s="144">
        <f>IFERROR(_xlfn.XLOOKUP($B59,'Cronog. e Histog.'!$BZ:$BZ,'Cronog. e Histog.'!CQ:CQ),"")</f>
        <v>0</v>
      </c>
      <c r="W59" s="144">
        <f>IFERROR(_xlfn.XLOOKUP($B59,'Cronog. e Histog.'!$BZ:$BZ,'Cronog. e Histog.'!CR:CR),"")</f>
        <v>0</v>
      </c>
      <c r="X59" s="144">
        <f>IFERROR(_xlfn.XLOOKUP($B59,'Cronog. e Histog.'!$BZ:$BZ,'Cronog. e Histog.'!CS:CS),"")</f>
        <v>0</v>
      </c>
      <c r="Y59" s="144">
        <f>IFERROR(_xlfn.XLOOKUP($B59,'Cronog. e Histog.'!$BZ:$BZ,'Cronog. e Histog.'!CT:CT),"")</f>
        <v>0</v>
      </c>
      <c r="Z59" s="144">
        <f>IFERROR(_xlfn.XLOOKUP($B59,'Cronog. e Histog.'!$BZ:$BZ,'Cronog. e Histog.'!CU:CU),"")</f>
        <v>0</v>
      </c>
      <c r="AA59" s="144">
        <f>IFERROR(_xlfn.XLOOKUP($B59,'Cronog. e Histog.'!$BZ:$BZ,'Cronog. e Histog.'!CV:CV),"")</f>
        <v>0</v>
      </c>
      <c r="AB59" s="144">
        <f>IFERROR(_xlfn.XLOOKUP($B59,'Cronog. e Histog.'!$BZ:$BZ,'Cronog. e Histog.'!CW:CW),"")</f>
        <v>0</v>
      </c>
      <c r="AC59" s="144">
        <f>IFERROR(_xlfn.XLOOKUP($B59,'Cronog. e Histog.'!$BZ:$BZ,'Cronog. e Histog.'!CX:CX),"")</f>
        <v>0</v>
      </c>
      <c r="AD59" s="144">
        <f>IFERROR(_xlfn.XLOOKUP($B59,'Cronog. e Histog.'!$BZ:$BZ,'Cronog. e Histog.'!CY:CY),"")</f>
        <v>0</v>
      </c>
      <c r="AE59" s="144">
        <f>IFERROR(_xlfn.XLOOKUP($B59,'Cronog. e Histog.'!$BZ:$BZ,'Cronog. e Histog.'!CZ:CZ),"")</f>
        <v>0</v>
      </c>
      <c r="AF59" s="144">
        <f>IFERROR(_xlfn.XLOOKUP($B59,'Cronog. e Histog.'!$BZ:$BZ,'Cronog. e Histog.'!DA:DA),"")</f>
        <v>0</v>
      </c>
      <c r="AG59" s="144">
        <f>IFERROR(_xlfn.XLOOKUP($B59,'Cronog. e Histog.'!$BZ:$BZ,'Cronog. e Histog.'!DB:DB),"")</f>
        <v>0</v>
      </c>
      <c r="AH59" s="144">
        <f>IFERROR(_xlfn.XLOOKUP($B59,'Cronog. e Histog.'!$BZ:$BZ,'Cronog. e Histog.'!DC:DC),"")</f>
        <v>0</v>
      </c>
      <c r="AI59" s="144">
        <f>IFERROR(_xlfn.XLOOKUP($B59,'Cronog. e Histog.'!$BZ:$BZ,'Cronog. e Histog.'!DD:DD),"")</f>
        <v>0</v>
      </c>
      <c r="AJ59" s="144">
        <f>IFERROR(_xlfn.XLOOKUP($B59,'Cronog. e Histog.'!$BZ:$BZ,'Cronog. e Histog.'!DE:DE),"")</f>
        <v>0</v>
      </c>
      <c r="AK59" s="144">
        <f>IFERROR(_xlfn.XLOOKUP($B59,'Cronog. e Histog.'!$BZ:$BZ,'Cronog. e Histog.'!DF:DF),"")</f>
        <v>0</v>
      </c>
      <c r="AL59" s="144">
        <f>IFERROR(_xlfn.XLOOKUP($B59,'Cronog. e Histog.'!$BZ:$BZ,'Cronog. e Histog.'!DG:DG),"")</f>
        <v>0</v>
      </c>
      <c r="AM59" s="144">
        <f>IFERROR(_xlfn.XLOOKUP($B59,'Cronog. e Histog.'!$BZ:$BZ,'Cronog. e Histog.'!DH:DH),"")</f>
        <v>0</v>
      </c>
      <c r="AN59" s="144">
        <f>IFERROR(_xlfn.XLOOKUP($B59,'Cronog. e Histog.'!$BZ:$BZ,'Cronog. e Histog.'!DI:DI),"")</f>
        <v>0</v>
      </c>
      <c r="AO59" s="144">
        <f>IFERROR(_xlfn.XLOOKUP($B59,'Cronog. e Histog.'!$BZ:$BZ,'Cronog. e Histog.'!DJ:DJ),"")</f>
        <v>0</v>
      </c>
      <c r="AP59" s="144">
        <f>IFERROR(_xlfn.XLOOKUP($B59,'Cronog. e Histog.'!$BZ:$BZ,'Cronog. e Histog.'!DK:DK),"")</f>
        <v>0</v>
      </c>
      <c r="AQ59" s="144">
        <f>IFERROR(_xlfn.XLOOKUP($B59,'Cronog. e Histog.'!$BZ:$BZ,'Cronog. e Histog.'!DL:DL),"")</f>
        <v>0</v>
      </c>
      <c r="AR59" s="144">
        <f>IFERROR(_xlfn.XLOOKUP($B59,'Cronog. e Histog.'!$BZ:$BZ,'Cronog. e Histog.'!DM:DM),"")</f>
        <v>0</v>
      </c>
      <c r="AS59" s="144">
        <f>IFERROR(_xlfn.XLOOKUP($B59,'Cronog. e Histog.'!$BZ:$BZ,'Cronog. e Histog.'!DN:DN),"")</f>
        <v>0</v>
      </c>
      <c r="AT59" s="144">
        <f>IFERROR(_xlfn.XLOOKUP($B59,'Cronog. e Histog.'!$BZ:$BZ,'Cronog. e Histog.'!DO:DO),"")</f>
        <v>0</v>
      </c>
      <c r="AU59" s="144">
        <f>IFERROR(_xlfn.XLOOKUP($B59,'Cronog. e Histog.'!$BZ:$BZ,'Cronog. e Histog.'!DP:DP),"")</f>
        <v>0</v>
      </c>
      <c r="AV59" s="144">
        <f>IFERROR(_xlfn.XLOOKUP($B59,'Cronog. e Histog.'!$BZ:$BZ,'Cronog. e Histog.'!DQ:DQ),"")</f>
        <v>0</v>
      </c>
      <c r="AW59" s="144">
        <f>IFERROR(_xlfn.XLOOKUP($B59,'Cronog. e Histog.'!$BZ:$BZ,'Cronog. e Histog.'!DR:DR),"")</f>
        <v>0</v>
      </c>
      <c r="AX59" s="144">
        <f>IFERROR(_xlfn.XLOOKUP($B59,'Cronog. e Histog.'!$BZ:$BZ,'Cronog. e Histog.'!DS:DS),"")</f>
        <v>0</v>
      </c>
      <c r="AY59" s="144">
        <f>IFERROR(_xlfn.XLOOKUP($B59,'Cronog. e Histog.'!$BZ:$BZ,'Cronog. e Histog.'!DT:DT),"")</f>
        <v>0</v>
      </c>
      <c r="AZ59" s="144">
        <f>IFERROR(_xlfn.XLOOKUP($B59,'Cronog. e Histog.'!$BZ:$BZ,'Cronog. e Histog.'!DU:DU),"")</f>
        <v>0</v>
      </c>
      <c r="BA59" s="144">
        <f>IFERROR(_xlfn.XLOOKUP($B59,'Cronog. e Histog.'!$BZ:$BZ,'Cronog. e Histog.'!DV:DV),"")</f>
        <v>0</v>
      </c>
      <c r="BB59" s="144">
        <f>IFERROR(_xlfn.XLOOKUP($B59,'Cronog. e Histog.'!$BZ:$BZ,'Cronog. e Histog.'!DW:DW),"")</f>
        <v>0</v>
      </c>
      <c r="BC59" s="144">
        <f>IFERROR(_xlfn.XLOOKUP($B59,'Cronog. e Histog.'!$BZ:$BZ,'Cronog. e Histog.'!DX:DX),"")</f>
        <v>0</v>
      </c>
      <c r="BD59" s="144">
        <f>IFERROR(_xlfn.XLOOKUP($B59,'Cronog. e Histog.'!$BZ:$BZ,'Cronog. e Histog.'!DY:DY),"")</f>
        <v>0</v>
      </c>
      <c r="BE59" s="144">
        <f>IFERROR(_xlfn.XLOOKUP($B59,'Cronog. e Histog.'!$BZ:$BZ,'Cronog. e Histog.'!DZ:DZ),"")</f>
        <v>0</v>
      </c>
      <c r="BF59" s="144">
        <f>IFERROR(_xlfn.XLOOKUP($B59,'Cronog. e Histog.'!$BZ:$BZ,'Cronog. e Histog.'!EA:EA),"")</f>
        <v>0</v>
      </c>
      <c r="BG59" s="144">
        <f>IFERROR(_xlfn.XLOOKUP($B59,'Cronog. e Histog.'!$BZ:$BZ,'Cronog. e Histog.'!EB:EB),"")</f>
        <v>0</v>
      </c>
      <c r="BH59" s="144">
        <f>IFERROR(_xlfn.XLOOKUP($B59,'Cronog. e Histog.'!$BZ:$BZ,'Cronog. e Histog.'!EC:EC),"")</f>
        <v>0</v>
      </c>
      <c r="BI59" s="144">
        <f>IFERROR(_xlfn.XLOOKUP($B59,'Cronog. e Histog.'!$BZ:$BZ,'Cronog. e Histog.'!ED:ED),"")</f>
        <v>0</v>
      </c>
      <c r="BJ59" s="144">
        <f>IFERROR(_xlfn.XLOOKUP($B59,'Cronog. e Histog.'!$BZ:$BZ,'Cronog. e Histog.'!EE:EE),"")</f>
        <v>0</v>
      </c>
      <c r="BK59" s="144">
        <f>IFERROR(_xlfn.XLOOKUP($B59,'Cronog. e Histog.'!$BZ:$BZ,'Cronog. e Histog.'!EF:EF),"")</f>
        <v>0</v>
      </c>
      <c r="BL59" s="144">
        <f>IFERROR(_xlfn.XLOOKUP($B59,'Cronog. e Histog.'!$BZ:$BZ,'Cronog. e Histog.'!EG:EG),"")</f>
        <v>0</v>
      </c>
      <c r="BM59" s="144">
        <f>IFERROR(_xlfn.XLOOKUP($B59,'Cronog. e Histog.'!$BZ:$BZ,'Cronog. e Histog.'!EH:EH),"")</f>
        <v>0</v>
      </c>
      <c r="BN59" s="144">
        <f>IFERROR(_xlfn.XLOOKUP($B59,'Cronog. e Histog.'!$BZ:$BZ,'Cronog. e Histog.'!EI:EI),"")</f>
        <v>0</v>
      </c>
    </row>
    <row r="60" spans="2:66" ht="12" hidden="1" customHeight="1" outlineLevel="1">
      <c r="B60" s="76">
        <v>54</v>
      </c>
      <c r="C60" s="143" t="str">
        <f>IFERROR(VLOOKUP(B60,'Cronog. e Histog.'!$BZ$213:$CA$747,2,0),"")</f>
        <v>TEC II</v>
      </c>
      <c r="D60" s="144">
        <f t="shared" si="0"/>
        <v>0</v>
      </c>
      <c r="E60" s="144">
        <f t="shared" si="1"/>
        <v>0</v>
      </c>
      <c r="F60" s="65"/>
      <c r="G60" s="144">
        <f>IFERROR(_xlfn.XLOOKUP($B60,'Cronog. e Histog.'!$BZ:$BZ,'Cronog. e Histog.'!CB:CB),"")</f>
        <v>0</v>
      </c>
      <c r="H60" s="144">
        <f>IFERROR(_xlfn.XLOOKUP($B60,'Cronog. e Histog.'!$BZ:$BZ,'Cronog. e Histog.'!CC:CC),"")</f>
        <v>0</v>
      </c>
      <c r="I60" s="144">
        <f>IFERROR(_xlfn.XLOOKUP($B60,'Cronog. e Histog.'!$BZ:$BZ,'Cronog. e Histog.'!CD:CD),"")</f>
        <v>0</v>
      </c>
      <c r="J60" s="144">
        <f>IFERROR(_xlfn.XLOOKUP($B60,'Cronog. e Histog.'!$BZ:$BZ,'Cronog. e Histog.'!CE:CE),"")</f>
        <v>0</v>
      </c>
      <c r="K60" s="144">
        <f>IFERROR(_xlfn.XLOOKUP($B60,'Cronog. e Histog.'!$BZ:$BZ,'Cronog. e Histog.'!CF:CF),"")</f>
        <v>0</v>
      </c>
      <c r="L60" s="144">
        <f>IFERROR(_xlfn.XLOOKUP($B60,'Cronog. e Histog.'!$BZ:$BZ,'Cronog. e Histog.'!CG:CG),"")</f>
        <v>0</v>
      </c>
      <c r="M60" s="144">
        <f>IFERROR(_xlfn.XLOOKUP($B60,'Cronog. e Histog.'!$BZ:$BZ,'Cronog. e Histog.'!CH:CH),"")</f>
        <v>0</v>
      </c>
      <c r="N60" s="144">
        <f>IFERROR(_xlfn.XLOOKUP($B60,'Cronog. e Histog.'!$BZ:$BZ,'Cronog. e Histog.'!CI:CI),"")</f>
        <v>0</v>
      </c>
      <c r="O60" s="144">
        <f>IFERROR(_xlfn.XLOOKUP($B60,'Cronog. e Histog.'!$BZ:$BZ,'Cronog. e Histog.'!CJ:CJ),"")</f>
        <v>0</v>
      </c>
      <c r="P60" s="144">
        <f>IFERROR(_xlfn.XLOOKUP($B60,'Cronog. e Histog.'!$BZ:$BZ,'Cronog. e Histog.'!CK:CK),"")</f>
        <v>0</v>
      </c>
      <c r="Q60" s="144">
        <f>IFERROR(_xlfn.XLOOKUP($B60,'Cronog. e Histog.'!$BZ:$BZ,'Cronog. e Histog.'!CL:CL),"")</f>
        <v>0</v>
      </c>
      <c r="R60" s="144">
        <f>IFERROR(_xlfn.XLOOKUP($B60,'Cronog. e Histog.'!$BZ:$BZ,'Cronog. e Histog.'!CM:CM),"")</f>
        <v>0</v>
      </c>
      <c r="S60" s="144">
        <f>IFERROR(_xlfn.XLOOKUP($B60,'Cronog. e Histog.'!$BZ:$BZ,'Cronog. e Histog.'!CN:CN),"")</f>
        <v>0</v>
      </c>
      <c r="T60" s="144">
        <f>IFERROR(_xlfn.XLOOKUP($B60,'Cronog. e Histog.'!$BZ:$BZ,'Cronog. e Histog.'!CO:CO),"")</f>
        <v>0</v>
      </c>
      <c r="U60" s="144">
        <f>IFERROR(_xlfn.XLOOKUP($B60,'Cronog. e Histog.'!$BZ:$BZ,'Cronog. e Histog.'!CP:CP),"")</f>
        <v>0</v>
      </c>
      <c r="V60" s="144">
        <f>IFERROR(_xlfn.XLOOKUP($B60,'Cronog. e Histog.'!$BZ:$BZ,'Cronog. e Histog.'!CQ:CQ),"")</f>
        <v>0</v>
      </c>
      <c r="W60" s="144">
        <f>IFERROR(_xlfn.XLOOKUP($B60,'Cronog. e Histog.'!$BZ:$BZ,'Cronog. e Histog.'!CR:CR),"")</f>
        <v>0</v>
      </c>
      <c r="X60" s="144">
        <f>IFERROR(_xlfn.XLOOKUP($B60,'Cronog. e Histog.'!$BZ:$BZ,'Cronog. e Histog.'!CS:CS),"")</f>
        <v>0</v>
      </c>
      <c r="Y60" s="144">
        <f>IFERROR(_xlfn.XLOOKUP($B60,'Cronog. e Histog.'!$BZ:$BZ,'Cronog. e Histog.'!CT:CT),"")</f>
        <v>0</v>
      </c>
      <c r="Z60" s="144">
        <f>IFERROR(_xlfn.XLOOKUP($B60,'Cronog. e Histog.'!$BZ:$BZ,'Cronog. e Histog.'!CU:CU),"")</f>
        <v>0</v>
      </c>
      <c r="AA60" s="144">
        <f>IFERROR(_xlfn.XLOOKUP($B60,'Cronog. e Histog.'!$BZ:$BZ,'Cronog. e Histog.'!CV:CV),"")</f>
        <v>0</v>
      </c>
      <c r="AB60" s="144">
        <f>IFERROR(_xlfn.XLOOKUP($B60,'Cronog. e Histog.'!$BZ:$BZ,'Cronog. e Histog.'!CW:CW),"")</f>
        <v>0</v>
      </c>
      <c r="AC60" s="144">
        <f>IFERROR(_xlfn.XLOOKUP($B60,'Cronog. e Histog.'!$BZ:$BZ,'Cronog. e Histog.'!CX:CX),"")</f>
        <v>0</v>
      </c>
      <c r="AD60" s="144">
        <f>IFERROR(_xlfn.XLOOKUP($B60,'Cronog. e Histog.'!$BZ:$BZ,'Cronog. e Histog.'!CY:CY),"")</f>
        <v>0</v>
      </c>
      <c r="AE60" s="144">
        <f>IFERROR(_xlfn.XLOOKUP($B60,'Cronog. e Histog.'!$BZ:$BZ,'Cronog. e Histog.'!CZ:CZ),"")</f>
        <v>0</v>
      </c>
      <c r="AF60" s="144">
        <f>IFERROR(_xlfn.XLOOKUP($B60,'Cronog. e Histog.'!$BZ:$BZ,'Cronog. e Histog.'!DA:DA),"")</f>
        <v>0</v>
      </c>
      <c r="AG60" s="144">
        <f>IFERROR(_xlfn.XLOOKUP($B60,'Cronog. e Histog.'!$BZ:$BZ,'Cronog. e Histog.'!DB:DB),"")</f>
        <v>0</v>
      </c>
      <c r="AH60" s="144">
        <f>IFERROR(_xlfn.XLOOKUP($B60,'Cronog. e Histog.'!$BZ:$BZ,'Cronog. e Histog.'!DC:DC),"")</f>
        <v>0</v>
      </c>
      <c r="AI60" s="144">
        <f>IFERROR(_xlfn.XLOOKUP($B60,'Cronog. e Histog.'!$BZ:$BZ,'Cronog. e Histog.'!DD:DD),"")</f>
        <v>0</v>
      </c>
      <c r="AJ60" s="144">
        <f>IFERROR(_xlfn.XLOOKUP($B60,'Cronog. e Histog.'!$BZ:$BZ,'Cronog. e Histog.'!DE:DE),"")</f>
        <v>0</v>
      </c>
      <c r="AK60" s="144">
        <f>IFERROR(_xlfn.XLOOKUP($B60,'Cronog. e Histog.'!$BZ:$BZ,'Cronog. e Histog.'!DF:DF),"")</f>
        <v>0</v>
      </c>
      <c r="AL60" s="144">
        <f>IFERROR(_xlfn.XLOOKUP($B60,'Cronog. e Histog.'!$BZ:$BZ,'Cronog. e Histog.'!DG:DG),"")</f>
        <v>0</v>
      </c>
      <c r="AM60" s="144">
        <f>IFERROR(_xlfn.XLOOKUP($B60,'Cronog. e Histog.'!$BZ:$BZ,'Cronog. e Histog.'!DH:DH),"")</f>
        <v>0</v>
      </c>
      <c r="AN60" s="144">
        <f>IFERROR(_xlfn.XLOOKUP($B60,'Cronog. e Histog.'!$BZ:$BZ,'Cronog. e Histog.'!DI:DI),"")</f>
        <v>0</v>
      </c>
      <c r="AO60" s="144">
        <f>IFERROR(_xlfn.XLOOKUP($B60,'Cronog. e Histog.'!$BZ:$BZ,'Cronog. e Histog.'!DJ:DJ),"")</f>
        <v>0</v>
      </c>
      <c r="AP60" s="144">
        <f>IFERROR(_xlfn.XLOOKUP($B60,'Cronog. e Histog.'!$BZ:$BZ,'Cronog. e Histog.'!DK:DK),"")</f>
        <v>0</v>
      </c>
      <c r="AQ60" s="144">
        <f>IFERROR(_xlfn.XLOOKUP($B60,'Cronog. e Histog.'!$BZ:$BZ,'Cronog. e Histog.'!DL:DL),"")</f>
        <v>0</v>
      </c>
      <c r="AR60" s="144">
        <f>IFERROR(_xlfn.XLOOKUP($B60,'Cronog. e Histog.'!$BZ:$BZ,'Cronog. e Histog.'!DM:DM),"")</f>
        <v>0</v>
      </c>
      <c r="AS60" s="144">
        <f>IFERROR(_xlfn.XLOOKUP($B60,'Cronog. e Histog.'!$BZ:$BZ,'Cronog. e Histog.'!DN:DN),"")</f>
        <v>0</v>
      </c>
      <c r="AT60" s="144">
        <f>IFERROR(_xlfn.XLOOKUP($B60,'Cronog. e Histog.'!$BZ:$BZ,'Cronog. e Histog.'!DO:DO),"")</f>
        <v>0</v>
      </c>
      <c r="AU60" s="144">
        <f>IFERROR(_xlfn.XLOOKUP($B60,'Cronog. e Histog.'!$BZ:$BZ,'Cronog. e Histog.'!DP:DP),"")</f>
        <v>0</v>
      </c>
      <c r="AV60" s="144">
        <f>IFERROR(_xlfn.XLOOKUP($B60,'Cronog. e Histog.'!$BZ:$BZ,'Cronog. e Histog.'!DQ:DQ),"")</f>
        <v>0</v>
      </c>
      <c r="AW60" s="144">
        <f>IFERROR(_xlfn.XLOOKUP($B60,'Cronog. e Histog.'!$BZ:$BZ,'Cronog. e Histog.'!DR:DR),"")</f>
        <v>0</v>
      </c>
      <c r="AX60" s="144">
        <f>IFERROR(_xlfn.XLOOKUP($B60,'Cronog. e Histog.'!$BZ:$BZ,'Cronog. e Histog.'!DS:DS),"")</f>
        <v>0</v>
      </c>
      <c r="AY60" s="144">
        <f>IFERROR(_xlfn.XLOOKUP($B60,'Cronog. e Histog.'!$BZ:$BZ,'Cronog. e Histog.'!DT:DT),"")</f>
        <v>0</v>
      </c>
      <c r="AZ60" s="144">
        <f>IFERROR(_xlfn.XLOOKUP($B60,'Cronog. e Histog.'!$BZ:$BZ,'Cronog. e Histog.'!DU:DU),"")</f>
        <v>0</v>
      </c>
      <c r="BA60" s="144">
        <f>IFERROR(_xlfn.XLOOKUP($B60,'Cronog. e Histog.'!$BZ:$BZ,'Cronog. e Histog.'!DV:DV),"")</f>
        <v>0</v>
      </c>
      <c r="BB60" s="144">
        <f>IFERROR(_xlfn.XLOOKUP($B60,'Cronog. e Histog.'!$BZ:$BZ,'Cronog. e Histog.'!DW:DW),"")</f>
        <v>0</v>
      </c>
      <c r="BC60" s="144">
        <f>IFERROR(_xlfn.XLOOKUP($B60,'Cronog. e Histog.'!$BZ:$BZ,'Cronog. e Histog.'!DX:DX),"")</f>
        <v>0</v>
      </c>
      <c r="BD60" s="144">
        <f>IFERROR(_xlfn.XLOOKUP($B60,'Cronog. e Histog.'!$BZ:$BZ,'Cronog. e Histog.'!DY:DY),"")</f>
        <v>0</v>
      </c>
      <c r="BE60" s="144">
        <f>IFERROR(_xlfn.XLOOKUP($B60,'Cronog. e Histog.'!$BZ:$BZ,'Cronog. e Histog.'!DZ:DZ),"")</f>
        <v>0</v>
      </c>
      <c r="BF60" s="144">
        <f>IFERROR(_xlfn.XLOOKUP($B60,'Cronog. e Histog.'!$BZ:$BZ,'Cronog. e Histog.'!EA:EA),"")</f>
        <v>0</v>
      </c>
      <c r="BG60" s="144">
        <f>IFERROR(_xlfn.XLOOKUP($B60,'Cronog. e Histog.'!$BZ:$BZ,'Cronog. e Histog.'!EB:EB),"")</f>
        <v>0</v>
      </c>
      <c r="BH60" s="144">
        <f>IFERROR(_xlfn.XLOOKUP($B60,'Cronog. e Histog.'!$BZ:$BZ,'Cronog. e Histog.'!EC:EC),"")</f>
        <v>0</v>
      </c>
      <c r="BI60" s="144">
        <f>IFERROR(_xlfn.XLOOKUP($B60,'Cronog. e Histog.'!$BZ:$BZ,'Cronog. e Histog.'!ED:ED),"")</f>
        <v>0</v>
      </c>
      <c r="BJ60" s="144">
        <f>IFERROR(_xlfn.XLOOKUP($B60,'Cronog. e Histog.'!$BZ:$BZ,'Cronog. e Histog.'!EE:EE),"")</f>
        <v>0</v>
      </c>
      <c r="BK60" s="144">
        <f>IFERROR(_xlfn.XLOOKUP($B60,'Cronog. e Histog.'!$BZ:$BZ,'Cronog. e Histog.'!EF:EF),"")</f>
        <v>0</v>
      </c>
      <c r="BL60" s="144">
        <f>IFERROR(_xlfn.XLOOKUP($B60,'Cronog. e Histog.'!$BZ:$BZ,'Cronog. e Histog.'!EG:EG),"")</f>
        <v>0</v>
      </c>
      <c r="BM60" s="144">
        <f>IFERROR(_xlfn.XLOOKUP($B60,'Cronog. e Histog.'!$BZ:$BZ,'Cronog. e Histog.'!EH:EH),"")</f>
        <v>0</v>
      </c>
      <c r="BN60" s="144">
        <f>IFERROR(_xlfn.XLOOKUP($B60,'Cronog. e Histog.'!$BZ:$BZ,'Cronog. e Histog.'!EI:EI),"")</f>
        <v>0</v>
      </c>
    </row>
    <row r="61" spans="2:66" ht="12" hidden="1" customHeight="1" outlineLevel="1">
      <c r="B61" s="76">
        <v>55</v>
      </c>
      <c r="C61" s="143" t="str">
        <f>IFERROR(VLOOKUP(B61,'Cronog. e Histog.'!$BZ$213:$CA$747,2,0),"")</f>
        <v>TEC I</v>
      </c>
      <c r="D61" s="144">
        <f t="shared" si="0"/>
        <v>0</v>
      </c>
      <c r="E61" s="144">
        <f t="shared" si="1"/>
        <v>0</v>
      </c>
      <c r="F61" s="65"/>
      <c r="G61" s="144">
        <f>IFERROR(_xlfn.XLOOKUP($B61,'Cronog. e Histog.'!$BZ:$BZ,'Cronog. e Histog.'!CB:CB),"")</f>
        <v>0</v>
      </c>
      <c r="H61" s="144">
        <f>IFERROR(_xlfn.XLOOKUP($B61,'Cronog. e Histog.'!$BZ:$BZ,'Cronog. e Histog.'!CC:CC),"")</f>
        <v>0</v>
      </c>
      <c r="I61" s="144">
        <f>IFERROR(_xlfn.XLOOKUP($B61,'Cronog. e Histog.'!$BZ:$BZ,'Cronog. e Histog.'!CD:CD),"")</f>
        <v>0</v>
      </c>
      <c r="J61" s="144">
        <f>IFERROR(_xlfn.XLOOKUP($B61,'Cronog. e Histog.'!$BZ:$BZ,'Cronog. e Histog.'!CE:CE),"")</f>
        <v>0</v>
      </c>
      <c r="K61" s="144">
        <f>IFERROR(_xlfn.XLOOKUP($B61,'Cronog. e Histog.'!$BZ:$BZ,'Cronog. e Histog.'!CF:CF),"")</f>
        <v>0</v>
      </c>
      <c r="L61" s="144">
        <f>IFERROR(_xlfn.XLOOKUP($B61,'Cronog. e Histog.'!$BZ:$BZ,'Cronog. e Histog.'!CG:CG),"")</f>
        <v>0</v>
      </c>
      <c r="M61" s="144">
        <f>IFERROR(_xlfn.XLOOKUP($B61,'Cronog. e Histog.'!$BZ:$BZ,'Cronog. e Histog.'!CH:CH),"")</f>
        <v>0</v>
      </c>
      <c r="N61" s="144">
        <f>IFERROR(_xlfn.XLOOKUP($B61,'Cronog. e Histog.'!$BZ:$BZ,'Cronog. e Histog.'!CI:CI),"")</f>
        <v>0</v>
      </c>
      <c r="O61" s="144">
        <f>IFERROR(_xlfn.XLOOKUP($B61,'Cronog. e Histog.'!$BZ:$BZ,'Cronog. e Histog.'!CJ:CJ),"")</f>
        <v>0</v>
      </c>
      <c r="P61" s="144">
        <f>IFERROR(_xlfn.XLOOKUP($B61,'Cronog. e Histog.'!$BZ:$BZ,'Cronog. e Histog.'!CK:CK),"")</f>
        <v>0</v>
      </c>
      <c r="Q61" s="144">
        <f>IFERROR(_xlfn.XLOOKUP($B61,'Cronog. e Histog.'!$BZ:$BZ,'Cronog. e Histog.'!CL:CL),"")</f>
        <v>0</v>
      </c>
      <c r="R61" s="144">
        <f>IFERROR(_xlfn.XLOOKUP($B61,'Cronog. e Histog.'!$BZ:$BZ,'Cronog. e Histog.'!CM:CM),"")</f>
        <v>0</v>
      </c>
      <c r="S61" s="144">
        <f>IFERROR(_xlfn.XLOOKUP($B61,'Cronog. e Histog.'!$BZ:$BZ,'Cronog. e Histog.'!CN:CN),"")</f>
        <v>0</v>
      </c>
      <c r="T61" s="144">
        <f>IFERROR(_xlfn.XLOOKUP($B61,'Cronog. e Histog.'!$BZ:$BZ,'Cronog. e Histog.'!CO:CO),"")</f>
        <v>0</v>
      </c>
      <c r="U61" s="144">
        <f>IFERROR(_xlfn.XLOOKUP($B61,'Cronog. e Histog.'!$BZ:$BZ,'Cronog. e Histog.'!CP:CP),"")</f>
        <v>0</v>
      </c>
      <c r="V61" s="144">
        <f>IFERROR(_xlfn.XLOOKUP($B61,'Cronog. e Histog.'!$BZ:$BZ,'Cronog. e Histog.'!CQ:CQ),"")</f>
        <v>0</v>
      </c>
      <c r="W61" s="144">
        <f>IFERROR(_xlfn.XLOOKUP($B61,'Cronog. e Histog.'!$BZ:$BZ,'Cronog. e Histog.'!CR:CR),"")</f>
        <v>0</v>
      </c>
      <c r="X61" s="144">
        <f>IFERROR(_xlfn.XLOOKUP($B61,'Cronog. e Histog.'!$BZ:$BZ,'Cronog. e Histog.'!CS:CS),"")</f>
        <v>0</v>
      </c>
      <c r="Y61" s="144">
        <f>IFERROR(_xlfn.XLOOKUP($B61,'Cronog. e Histog.'!$BZ:$BZ,'Cronog. e Histog.'!CT:CT),"")</f>
        <v>0</v>
      </c>
      <c r="Z61" s="144">
        <f>IFERROR(_xlfn.XLOOKUP($B61,'Cronog. e Histog.'!$BZ:$BZ,'Cronog. e Histog.'!CU:CU),"")</f>
        <v>0</v>
      </c>
      <c r="AA61" s="144">
        <f>IFERROR(_xlfn.XLOOKUP($B61,'Cronog. e Histog.'!$BZ:$BZ,'Cronog. e Histog.'!CV:CV),"")</f>
        <v>0</v>
      </c>
      <c r="AB61" s="144">
        <f>IFERROR(_xlfn.XLOOKUP($B61,'Cronog. e Histog.'!$BZ:$BZ,'Cronog. e Histog.'!CW:CW),"")</f>
        <v>0</v>
      </c>
      <c r="AC61" s="144">
        <f>IFERROR(_xlfn.XLOOKUP($B61,'Cronog. e Histog.'!$BZ:$BZ,'Cronog. e Histog.'!CX:CX),"")</f>
        <v>0</v>
      </c>
      <c r="AD61" s="144">
        <f>IFERROR(_xlfn.XLOOKUP($B61,'Cronog. e Histog.'!$BZ:$BZ,'Cronog. e Histog.'!CY:CY),"")</f>
        <v>0</v>
      </c>
      <c r="AE61" s="144">
        <f>IFERROR(_xlfn.XLOOKUP($B61,'Cronog. e Histog.'!$BZ:$BZ,'Cronog. e Histog.'!CZ:CZ),"")</f>
        <v>0</v>
      </c>
      <c r="AF61" s="144">
        <f>IFERROR(_xlfn.XLOOKUP($B61,'Cronog. e Histog.'!$BZ:$BZ,'Cronog. e Histog.'!DA:DA),"")</f>
        <v>0</v>
      </c>
      <c r="AG61" s="144">
        <f>IFERROR(_xlfn.XLOOKUP($B61,'Cronog. e Histog.'!$BZ:$BZ,'Cronog. e Histog.'!DB:DB),"")</f>
        <v>0</v>
      </c>
      <c r="AH61" s="144">
        <f>IFERROR(_xlfn.XLOOKUP($B61,'Cronog. e Histog.'!$BZ:$BZ,'Cronog. e Histog.'!DC:DC),"")</f>
        <v>0</v>
      </c>
      <c r="AI61" s="144">
        <f>IFERROR(_xlfn.XLOOKUP($B61,'Cronog. e Histog.'!$BZ:$BZ,'Cronog. e Histog.'!DD:DD),"")</f>
        <v>0</v>
      </c>
      <c r="AJ61" s="144">
        <f>IFERROR(_xlfn.XLOOKUP($B61,'Cronog. e Histog.'!$BZ:$BZ,'Cronog. e Histog.'!DE:DE),"")</f>
        <v>0</v>
      </c>
      <c r="AK61" s="144">
        <f>IFERROR(_xlfn.XLOOKUP($B61,'Cronog. e Histog.'!$BZ:$BZ,'Cronog. e Histog.'!DF:DF),"")</f>
        <v>0</v>
      </c>
      <c r="AL61" s="144">
        <f>IFERROR(_xlfn.XLOOKUP($B61,'Cronog. e Histog.'!$BZ:$BZ,'Cronog. e Histog.'!DG:DG),"")</f>
        <v>0</v>
      </c>
      <c r="AM61" s="144">
        <f>IFERROR(_xlfn.XLOOKUP($B61,'Cronog. e Histog.'!$BZ:$BZ,'Cronog. e Histog.'!DH:DH),"")</f>
        <v>0</v>
      </c>
      <c r="AN61" s="144">
        <f>IFERROR(_xlfn.XLOOKUP($B61,'Cronog. e Histog.'!$BZ:$BZ,'Cronog. e Histog.'!DI:DI),"")</f>
        <v>0</v>
      </c>
      <c r="AO61" s="144">
        <f>IFERROR(_xlfn.XLOOKUP($B61,'Cronog. e Histog.'!$BZ:$BZ,'Cronog. e Histog.'!DJ:DJ),"")</f>
        <v>0</v>
      </c>
      <c r="AP61" s="144">
        <f>IFERROR(_xlfn.XLOOKUP($B61,'Cronog. e Histog.'!$BZ:$BZ,'Cronog. e Histog.'!DK:DK),"")</f>
        <v>0</v>
      </c>
      <c r="AQ61" s="144">
        <f>IFERROR(_xlfn.XLOOKUP($B61,'Cronog. e Histog.'!$BZ:$BZ,'Cronog. e Histog.'!DL:DL),"")</f>
        <v>0</v>
      </c>
      <c r="AR61" s="144">
        <f>IFERROR(_xlfn.XLOOKUP($B61,'Cronog. e Histog.'!$BZ:$BZ,'Cronog. e Histog.'!DM:DM),"")</f>
        <v>0</v>
      </c>
      <c r="AS61" s="144">
        <f>IFERROR(_xlfn.XLOOKUP($B61,'Cronog. e Histog.'!$BZ:$BZ,'Cronog. e Histog.'!DN:DN),"")</f>
        <v>0</v>
      </c>
      <c r="AT61" s="144">
        <f>IFERROR(_xlfn.XLOOKUP($B61,'Cronog. e Histog.'!$BZ:$BZ,'Cronog. e Histog.'!DO:DO),"")</f>
        <v>0</v>
      </c>
      <c r="AU61" s="144">
        <f>IFERROR(_xlfn.XLOOKUP($B61,'Cronog. e Histog.'!$BZ:$BZ,'Cronog. e Histog.'!DP:DP),"")</f>
        <v>0</v>
      </c>
      <c r="AV61" s="144">
        <f>IFERROR(_xlfn.XLOOKUP($B61,'Cronog. e Histog.'!$BZ:$BZ,'Cronog. e Histog.'!DQ:DQ),"")</f>
        <v>0</v>
      </c>
      <c r="AW61" s="144">
        <f>IFERROR(_xlfn.XLOOKUP($B61,'Cronog. e Histog.'!$BZ:$BZ,'Cronog. e Histog.'!DR:DR),"")</f>
        <v>0</v>
      </c>
      <c r="AX61" s="144">
        <f>IFERROR(_xlfn.XLOOKUP($B61,'Cronog. e Histog.'!$BZ:$BZ,'Cronog. e Histog.'!DS:DS),"")</f>
        <v>0</v>
      </c>
      <c r="AY61" s="144">
        <f>IFERROR(_xlfn.XLOOKUP($B61,'Cronog. e Histog.'!$BZ:$BZ,'Cronog. e Histog.'!DT:DT),"")</f>
        <v>0</v>
      </c>
      <c r="AZ61" s="144">
        <f>IFERROR(_xlfn.XLOOKUP($B61,'Cronog. e Histog.'!$BZ:$BZ,'Cronog. e Histog.'!DU:DU),"")</f>
        <v>0</v>
      </c>
      <c r="BA61" s="144">
        <f>IFERROR(_xlfn.XLOOKUP($B61,'Cronog. e Histog.'!$BZ:$BZ,'Cronog. e Histog.'!DV:DV),"")</f>
        <v>0</v>
      </c>
      <c r="BB61" s="144">
        <f>IFERROR(_xlfn.XLOOKUP($B61,'Cronog. e Histog.'!$BZ:$BZ,'Cronog. e Histog.'!DW:DW),"")</f>
        <v>0</v>
      </c>
      <c r="BC61" s="144">
        <f>IFERROR(_xlfn.XLOOKUP($B61,'Cronog. e Histog.'!$BZ:$BZ,'Cronog. e Histog.'!DX:DX),"")</f>
        <v>0</v>
      </c>
      <c r="BD61" s="144">
        <f>IFERROR(_xlfn.XLOOKUP($B61,'Cronog. e Histog.'!$BZ:$BZ,'Cronog. e Histog.'!DY:DY),"")</f>
        <v>0</v>
      </c>
      <c r="BE61" s="144">
        <f>IFERROR(_xlfn.XLOOKUP($B61,'Cronog. e Histog.'!$BZ:$BZ,'Cronog. e Histog.'!DZ:DZ),"")</f>
        <v>0</v>
      </c>
      <c r="BF61" s="144">
        <f>IFERROR(_xlfn.XLOOKUP($B61,'Cronog. e Histog.'!$BZ:$BZ,'Cronog. e Histog.'!EA:EA),"")</f>
        <v>0</v>
      </c>
      <c r="BG61" s="144">
        <f>IFERROR(_xlfn.XLOOKUP($B61,'Cronog. e Histog.'!$BZ:$BZ,'Cronog. e Histog.'!EB:EB),"")</f>
        <v>0</v>
      </c>
      <c r="BH61" s="144">
        <f>IFERROR(_xlfn.XLOOKUP($B61,'Cronog. e Histog.'!$BZ:$BZ,'Cronog. e Histog.'!EC:EC),"")</f>
        <v>0</v>
      </c>
      <c r="BI61" s="144">
        <f>IFERROR(_xlfn.XLOOKUP($B61,'Cronog. e Histog.'!$BZ:$BZ,'Cronog. e Histog.'!ED:ED),"")</f>
        <v>0</v>
      </c>
      <c r="BJ61" s="144">
        <f>IFERROR(_xlfn.XLOOKUP($B61,'Cronog. e Histog.'!$BZ:$BZ,'Cronog. e Histog.'!EE:EE),"")</f>
        <v>0</v>
      </c>
      <c r="BK61" s="144">
        <f>IFERROR(_xlfn.XLOOKUP($B61,'Cronog. e Histog.'!$BZ:$BZ,'Cronog. e Histog.'!EF:EF),"")</f>
        <v>0</v>
      </c>
      <c r="BL61" s="144">
        <f>IFERROR(_xlfn.XLOOKUP($B61,'Cronog. e Histog.'!$BZ:$BZ,'Cronog. e Histog.'!EG:EG),"")</f>
        <v>0</v>
      </c>
      <c r="BM61" s="144">
        <f>IFERROR(_xlfn.XLOOKUP($B61,'Cronog. e Histog.'!$BZ:$BZ,'Cronog. e Histog.'!EH:EH),"")</f>
        <v>0</v>
      </c>
      <c r="BN61" s="144">
        <f>IFERROR(_xlfn.XLOOKUP($B61,'Cronog. e Histog.'!$BZ:$BZ,'Cronog. e Histog.'!EI:EI),"")</f>
        <v>0</v>
      </c>
    </row>
    <row r="62" spans="2:66" ht="12" hidden="1" customHeight="1" outlineLevel="1">
      <c r="B62" s="76">
        <v>56</v>
      </c>
      <c r="C62" s="143" t="str">
        <f>IFERROR(VLOOKUP(B62,'Cronog. e Histog.'!$BZ$213:$CA$747,2,0),"")</f>
        <v>AUX TEC</v>
      </c>
      <c r="D62" s="144">
        <f t="shared" si="0"/>
        <v>0</v>
      </c>
      <c r="E62" s="144">
        <f t="shared" si="1"/>
        <v>0</v>
      </c>
      <c r="F62" s="65"/>
      <c r="G62" s="144">
        <f>IFERROR(_xlfn.XLOOKUP($B62,'Cronog. e Histog.'!$BZ:$BZ,'Cronog. e Histog.'!CB:CB),"")</f>
        <v>0</v>
      </c>
      <c r="H62" s="144">
        <f>IFERROR(_xlfn.XLOOKUP($B62,'Cronog. e Histog.'!$BZ:$BZ,'Cronog. e Histog.'!CC:CC),"")</f>
        <v>0</v>
      </c>
      <c r="I62" s="144">
        <f>IFERROR(_xlfn.XLOOKUP($B62,'Cronog. e Histog.'!$BZ:$BZ,'Cronog. e Histog.'!CD:CD),"")</f>
        <v>0</v>
      </c>
      <c r="J62" s="144">
        <f>IFERROR(_xlfn.XLOOKUP($B62,'Cronog. e Histog.'!$BZ:$BZ,'Cronog. e Histog.'!CE:CE),"")</f>
        <v>0</v>
      </c>
      <c r="K62" s="144">
        <f>IFERROR(_xlfn.XLOOKUP($B62,'Cronog. e Histog.'!$BZ:$BZ,'Cronog. e Histog.'!CF:CF),"")</f>
        <v>0</v>
      </c>
      <c r="L62" s="144">
        <f>IFERROR(_xlfn.XLOOKUP($B62,'Cronog. e Histog.'!$BZ:$BZ,'Cronog. e Histog.'!CG:CG),"")</f>
        <v>0</v>
      </c>
      <c r="M62" s="144">
        <f>IFERROR(_xlfn.XLOOKUP($B62,'Cronog. e Histog.'!$BZ:$BZ,'Cronog. e Histog.'!CH:CH),"")</f>
        <v>0</v>
      </c>
      <c r="N62" s="144">
        <f>IFERROR(_xlfn.XLOOKUP($B62,'Cronog. e Histog.'!$BZ:$BZ,'Cronog. e Histog.'!CI:CI),"")</f>
        <v>0</v>
      </c>
      <c r="O62" s="144">
        <f>IFERROR(_xlfn.XLOOKUP($B62,'Cronog. e Histog.'!$BZ:$BZ,'Cronog. e Histog.'!CJ:CJ),"")</f>
        <v>0</v>
      </c>
      <c r="P62" s="144">
        <f>IFERROR(_xlfn.XLOOKUP($B62,'Cronog. e Histog.'!$BZ:$BZ,'Cronog. e Histog.'!CK:CK),"")</f>
        <v>0</v>
      </c>
      <c r="Q62" s="144">
        <f>IFERROR(_xlfn.XLOOKUP($B62,'Cronog. e Histog.'!$BZ:$BZ,'Cronog. e Histog.'!CL:CL),"")</f>
        <v>0</v>
      </c>
      <c r="R62" s="144">
        <f>IFERROR(_xlfn.XLOOKUP($B62,'Cronog. e Histog.'!$BZ:$BZ,'Cronog. e Histog.'!CM:CM),"")</f>
        <v>0</v>
      </c>
      <c r="S62" s="144">
        <f>IFERROR(_xlfn.XLOOKUP($B62,'Cronog. e Histog.'!$BZ:$BZ,'Cronog. e Histog.'!CN:CN),"")</f>
        <v>0</v>
      </c>
      <c r="T62" s="144">
        <f>IFERROR(_xlfn.XLOOKUP($B62,'Cronog. e Histog.'!$BZ:$BZ,'Cronog. e Histog.'!CO:CO),"")</f>
        <v>0</v>
      </c>
      <c r="U62" s="144">
        <f>IFERROR(_xlfn.XLOOKUP($B62,'Cronog. e Histog.'!$BZ:$BZ,'Cronog. e Histog.'!CP:CP),"")</f>
        <v>0</v>
      </c>
      <c r="V62" s="144">
        <f>IFERROR(_xlfn.XLOOKUP($B62,'Cronog. e Histog.'!$BZ:$BZ,'Cronog. e Histog.'!CQ:CQ),"")</f>
        <v>0</v>
      </c>
      <c r="W62" s="144">
        <f>IFERROR(_xlfn.XLOOKUP($B62,'Cronog. e Histog.'!$BZ:$BZ,'Cronog. e Histog.'!CR:CR),"")</f>
        <v>0</v>
      </c>
      <c r="X62" s="144">
        <f>IFERROR(_xlfn.XLOOKUP($B62,'Cronog. e Histog.'!$BZ:$BZ,'Cronog. e Histog.'!CS:CS),"")</f>
        <v>0</v>
      </c>
      <c r="Y62" s="144">
        <f>IFERROR(_xlfn.XLOOKUP($B62,'Cronog. e Histog.'!$BZ:$BZ,'Cronog. e Histog.'!CT:CT),"")</f>
        <v>0</v>
      </c>
      <c r="Z62" s="144">
        <f>IFERROR(_xlfn.XLOOKUP($B62,'Cronog. e Histog.'!$BZ:$BZ,'Cronog. e Histog.'!CU:CU),"")</f>
        <v>0</v>
      </c>
      <c r="AA62" s="144">
        <f>IFERROR(_xlfn.XLOOKUP($B62,'Cronog. e Histog.'!$BZ:$BZ,'Cronog. e Histog.'!CV:CV),"")</f>
        <v>0</v>
      </c>
      <c r="AB62" s="144">
        <f>IFERROR(_xlfn.XLOOKUP($B62,'Cronog. e Histog.'!$BZ:$BZ,'Cronog. e Histog.'!CW:CW),"")</f>
        <v>0</v>
      </c>
      <c r="AC62" s="144">
        <f>IFERROR(_xlfn.XLOOKUP($B62,'Cronog. e Histog.'!$BZ:$BZ,'Cronog. e Histog.'!CX:CX),"")</f>
        <v>0</v>
      </c>
      <c r="AD62" s="144">
        <f>IFERROR(_xlfn.XLOOKUP($B62,'Cronog. e Histog.'!$BZ:$BZ,'Cronog. e Histog.'!CY:CY),"")</f>
        <v>0</v>
      </c>
      <c r="AE62" s="144">
        <f>IFERROR(_xlfn.XLOOKUP($B62,'Cronog. e Histog.'!$BZ:$BZ,'Cronog. e Histog.'!CZ:CZ),"")</f>
        <v>0</v>
      </c>
      <c r="AF62" s="144">
        <f>IFERROR(_xlfn.XLOOKUP($B62,'Cronog. e Histog.'!$BZ:$BZ,'Cronog. e Histog.'!DA:DA),"")</f>
        <v>0</v>
      </c>
      <c r="AG62" s="144">
        <f>IFERROR(_xlfn.XLOOKUP($B62,'Cronog. e Histog.'!$BZ:$BZ,'Cronog. e Histog.'!DB:DB),"")</f>
        <v>0</v>
      </c>
      <c r="AH62" s="144">
        <f>IFERROR(_xlfn.XLOOKUP($B62,'Cronog. e Histog.'!$BZ:$BZ,'Cronog. e Histog.'!DC:DC),"")</f>
        <v>0</v>
      </c>
      <c r="AI62" s="144">
        <f>IFERROR(_xlfn.XLOOKUP($B62,'Cronog. e Histog.'!$BZ:$BZ,'Cronog. e Histog.'!DD:DD),"")</f>
        <v>0</v>
      </c>
      <c r="AJ62" s="144">
        <f>IFERROR(_xlfn.XLOOKUP($B62,'Cronog. e Histog.'!$BZ:$BZ,'Cronog. e Histog.'!DE:DE),"")</f>
        <v>0</v>
      </c>
      <c r="AK62" s="144">
        <f>IFERROR(_xlfn.XLOOKUP($B62,'Cronog. e Histog.'!$BZ:$BZ,'Cronog. e Histog.'!DF:DF),"")</f>
        <v>0</v>
      </c>
      <c r="AL62" s="144">
        <f>IFERROR(_xlfn.XLOOKUP($B62,'Cronog. e Histog.'!$BZ:$BZ,'Cronog. e Histog.'!DG:DG),"")</f>
        <v>0</v>
      </c>
      <c r="AM62" s="144">
        <f>IFERROR(_xlfn.XLOOKUP($B62,'Cronog. e Histog.'!$BZ:$BZ,'Cronog. e Histog.'!DH:DH),"")</f>
        <v>0</v>
      </c>
      <c r="AN62" s="144">
        <f>IFERROR(_xlfn.XLOOKUP($B62,'Cronog. e Histog.'!$BZ:$BZ,'Cronog. e Histog.'!DI:DI),"")</f>
        <v>0</v>
      </c>
      <c r="AO62" s="144">
        <f>IFERROR(_xlfn.XLOOKUP($B62,'Cronog. e Histog.'!$BZ:$BZ,'Cronog. e Histog.'!DJ:DJ),"")</f>
        <v>0</v>
      </c>
      <c r="AP62" s="144">
        <f>IFERROR(_xlfn.XLOOKUP($B62,'Cronog. e Histog.'!$BZ:$BZ,'Cronog. e Histog.'!DK:DK),"")</f>
        <v>0</v>
      </c>
      <c r="AQ62" s="144">
        <f>IFERROR(_xlfn.XLOOKUP($B62,'Cronog. e Histog.'!$BZ:$BZ,'Cronog. e Histog.'!DL:DL),"")</f>
        <v>0</v>
      </c>
      <c r="AR62" s="144">
        <f>IFERROR(_xlfn.XLOOKUP($B62,'Cronog. e Histog.'!$BZ:$BZ,'Cronog. e Histog.'!DM:DM),"")</f>
        <v>0</v>
      </c>
      <c r="AS62" s="144">
        <f>IFERROR(_xlfn.XLOOKUP($B62,'Cronog. e Histog.'!$BZ:$BZ,'Cronog. e Histog.'!DN:DN),"")</f>
        <v>0</v>
      </c>
      <c r="AT62" s="144">
        <f>IFERROR(_xlfn.XLOOKUP($B62,'Cronog. e Histog.'!$BZ:$BZ,'Cronog. e Histog.'!DO:DO),"")</f>
        <v>0</v>
      </c>
      <c r="AU62" s="144">
        <f>IFERROR(_xlfn.XLOOKUP($B62,'Cronog. e Histog.'!$BZ:$BZ,'Cronog. e Histog.'!DP:DP),"")</f>
        <v>0</v>
      </c>
      <c r="AV62" s="144">
        <f>IFERROR(_xlfn.XLOOKUP($B62,'Cronog. e Histog.'!$BZ:$BZ,'Cronog. e Histog.'!DQ:DQ),"")</f>
        <v>0</v>
      </c>
      <c r="AW62" s="144">
        <f>IFERROR(_xlfn.XLOOKUP($B62,'Cronog. e Histog.'!$BZ:$BZ,'Cronog. e Histog.'!DR:DR),"")</f>
        <v>0</v>
      </c>
      <c r="AX62" s="144">
        <f>IFERROR(_xlfn.XLOOKUP($B62,'Cronog. e Histog.'!$BZ:$BZ,'Cronog. e Histog.'!DS:DS),"")</f>
        <v>0</v>
      </c>
      <c r="AY62" s="144">
        <f>IFERROR(_xlfn.XLOOKUP($B62,'Cronog. e Histog.'!$BZ:$BZ,'Cronog. e Histog.'!DT:DT),"")</f>
        <v>0</v>
      </c>
      <c r="AZ62" s="144">
        <f>IFERROR(_xlfn.XLOOKUP($B62,'Cronog. e Histog.'!$BZ:$BZ,'Cronog. e Histog.'!DU:DU),"")</f>
        <v>0</v>
      </c>
      <c r="BA62" s="144">
        <f>IFERROR(_xlfn.XLOOKUP($B62,'Cronog. e Histog.'!$BZ:$BZ,'Cronog. e Histog.'!DV:DV),"")</f>
        <v>0</v>
      </c>
      <c r="BB62" s="144">
        <f>IFERROR(_xlfn.XLOOKUP($B62,'Cronog. e Histog.'!$BZ:$BZ,'Cronog. e Histog.'!DW:DW),"")</f>
        <v>0</v>
      </c>
      <c r="BC62" s="144">
        <f>IFERROR(_xlfn.XLOOKUP($B62,'Cronog. e Histog.'!$BZ:$BZ,'Cronog. e Histog.'!DX:DX),"")</f>
        <v>0</v>
      </c>
      <c r="BD62" s="144">
        <f>IFERROR(_xlfn.XLOOKUP($B62,'Cronog. e Histog.'!$BZ:$BZ,'Cronog. e Histog.'!DY:DY),"")</f>
        <v>0</v>
      </c>
      <c r="BE62" s="144">
        <f>IFERROR(_xlfn.XLOOKUP($B62,'Cronog. e Histog.'!$BZ:$BZ,'Cronog. e Histog.'!DZ:DZ),"")</f>
        <v>0</v>
      </c>
      <c r="BF62" s="144">
        <f>IFERROR(_xlfn.XLOOKUP($B62,'Cronog. e Histog.'!$BZ:$BZ,'Cronog. e Histog.'!EA:EA),"")</f>
        <v>0</v>
      </c>
      <c r="BG62" s="144">
        <f>IFERROR(_xlfn.XLOOKUP($B62,'Cronog. e Histog.'!$BZ:$BZ,'Cronog. e Histog.'!EB:EB),"")</f>
        <v>0</v>
      </c>
      <c r="BH62" s="144">
        <f>IFERROR(_xlfn.XLOOKUP($B62,'Cronog. e Histog.'!$BZ:$BZ,'Cronog. e Histog.'!EC:EC),"")</f>
        <v>0</v>
      </c>
      <c r="BI62" s="144">
        <f>IFERROR(_xlfn.XLOOKUP($B62,'Cronog. e Histog.'!$BZ:$BZ,'Cronog. e Histog.'!ED:ED),"")</f>
        <v>0</v>
      </c>
      <c r="BJ62" s="144">
        <f>IFERROR(_xlfn.XLOOKUP($B62,'Cronog. e Histog.'!$BZ:$BZ,'Cronog. e Histog.'!EE:EE),"")</f>
        <v>0</v>
      </c>
      <c r="BK62" s="144">
        <f>IFERROR(_xlfn.XLOOKUP($B62,'Cronog. e Histog.'!$BZ:$BZ,'Cronog. e Histog.'!EF:EF),"")</f>
        <v>0</v>
      </c>
      <c r="BL62" s="144">
        <f>IFERROR(_xlfn.XLOOKUP($B62,'Cronog. e Histog.'!$BZ:$BZ,'Cronog. e Histog.'!EG:EG),"")</f>
        <v>0</v>
      </c>
      <c r="BM62" s="144">
        <f>IFERROR(_xlfn.XLOOKUP($B62,'Cronog. e Histog.'!$BZ:$BZ,'Cronog. e Histog.'!EH:EH),"")</f>
        <v>0</v>
      </c>
      <c r="BN62" s="144">
        <f>IFERROR(_xlfn.XLOOKUP($B62,'Cronog. e Histog.'!$BZ:$BZ,'Cronog. e Histog.'!EI:EI),"")</f>
        <v>0</v>
      </c>
    </row>
    <row r="63" spans="2:66" ht="12" hidden="1" customHeight="1" outlineLevel="1">
      <c r="B63" s="76">
        <v>57</v>
      </c>
      <c r="C63" s="143" t="str">
        <f>IFERROR(VLOOKUP(B63,'Cronog. e Histog.'!$BZ$213:$CA$747,2,0),"")</f>
        <v>AUX ADM</v>
      </c>
      <c r="D63" s="144">
        <f t="shared" si="0"/>
        <v>0</v>
      </c>
      <c r="E63" s="144">
        <f t="shared" si="1"/>
        <v>0</v>
      </c>
      <c r="F63" s="65"/>
      <c r="G63" s="144">
        <f>IFERROR(_xlfn.XLOOKUP($B63,'Cronog. e Histog.'!$BZ:$BZ,'Cronog. e Histog.'!CB:CB),"")</f>
        <v>0</v>
      </c>
      <c r="H63" s="144">
        <f>IFERROR(_xlfn.XLOOKUP($B63,'Cronog. e Histog.'!$BZ:$BZ,'Cronog. e Histog.'!CC:CC),"")</f>
        <v>0</v>
      </c>
      <c r="I63" s="144">
        <f>IFERROR(_xlfn.XLOOKUP($B63,'Cronog. e Histog.'!$BZ:$BZ,'Cronog. e Histog.'!CD:CD),"")</f>
        <v>0</v>
      </c>
      <c r="J63" s="144">
        <f>IFERROR(_xlfn.XLOOKUP($B63,'Cronog. e Histog.'!$BZ:$BZ,'Cronog. e Histog.'!CE:CE),"")</f>
        <v>0</v>
      </c>
      <c r="K63" s="144">
        <f>IFERROR(_xlfn.XLOOKUP($B63,'Cronog. e Histog.'!$BZ:$BZ,'Cronog. e Histog.'!CF:CF),"")</f>
        <v>0</v>
      </c>
      <c r="L63" s="144">
        <f>IFERROR(_xlfn.XLOOKUP($B63,'Cronog. e Histog.'!$BZ:$BZ,'Cronog. e Histog.'!CG:CG),"")</f>
        <v>0</v>
      </c>
      <c r="M63" s="144">
        <f>IFERROR(_xlfn.XLOOKUP($B63,'Cronog. e Histog.'!$BZ:$BZ,'Cronog. e Histog.'!CH:CH),"")</f>
        <v>0</v>
      </c>
      <c r="N63" s="144">
        <f>IFERROR(_xlfn.XLOOKUP($B63,'Cronog. e Histog.'!$BZ:$BZ,'Cronog. e Histog.'!CI:CI),"")</f>
        <v>0</v>
      </c>
      <c r="O63" s="144">
        <f>IFERROR(_xlfn.XLOOKUP($B63,'Cronog. e Histog.'!$BZ:$BZ,'Cronog. e Histog.'!CJ:CJ),"")</f>
        <v>0</v>
      </c>
      <c r="P63" s="144">
        <f>IFERROR(_xlfn.XLOOKUP($B63,'Cronog. e Histog.'!$BZ:$BZ,'Cronog. e Histog.'!CK:CK),"")</f>
        <v>0</v>
      </c>
      <c r="Q63" s="144">
        <f>IFERROR(_xlfn.XLOOKUP($B63,'Cronog. e Histog.'!$BZ:$BZ,'Cronog. e Histog.'!CL:CL),"")</f>
        <v>0</v>
      </c>
      <c r="R63" s="144">
        <f>IFERROR(_xlfn.XLOOKUP($B63,'Cronog. e Histog.'!$BZ:$BZ,'Cronog. e Histog.'!CM:CM),"")</f>
        <v>0</v>
      </c>
      <c r="S63" s="144">
        <f>IFERROR(_xlfn.XLOOKUP($B63,'Cronog. e Histog.'!$BZ:$BZ,'Cronog. e Histog.'!CN:CN),"")</f>
        <v>0</v>
      </c>
      <c r="T63" s="144">
        <f>IFERROR(_xlfn.XLOOKUP($B63,'Cronog. e Histog.'!$BZ:$BZ,'Cronog. e Histog.'!CO:CO),"")</f>
        <v>0</v>
      </c>
      <c r="U63" s="144">
        <f>IFERROR(_xlfn.XLOOKUP($B63,'Cronog. e Histog.'!$BZ:$BZ,'Cronog. e Histog.'!CP:CP),"")</f>
        <v>0</v>
      </c>
      <c r="V63" s="144">
        <f>IFERROR(_xlfn.XLOOKUP($B63,'Cronog. e Histog.'!$BZ:$BZ,'Cronog. e Histog.'!CQ:CQ),"")</f>
        <v>0</v>
      </c>
      <c r="W63" s="144">
        <f>IFERROR(_xlfn.XLOOKUP($B63,'Cronog. e Histog.'!$BZ:$BZ,'Cronog. e Histog.'!CR:CR),"")</f>
        <v>0</v>
      </c>
      <c r="X63" s="144">
        <f>IFERROR(_xlfn.XLOOKUP($B63,'Cronog. e Histog.'!$BZ:$BZ,'Cronog. e Histog.'!CS:CS),"")</f>
        <v>0</v>
      </c>
      <c r="Y63" s="144">
        <f>IFERROR(_xlfn.XLOOKUP($B63,'Cronog. e Histog.'!$BZ:$BZ,'Cronog. e Histog.'!CT:CT),"")</f>
        <v>0</v>
      </c>
      <c r="Z63" s="144">
        <f>IFERROR(_xlfn.XLOOKUP($B63,'Cronog. e Histog.'!$BZ:$BZ,'Cronog. e Histog.'!CU:CU),"")</f>
        <v>0</v>
      </c>
      <c r="AA63" s="144">
        <f>IFERROR(_xlfn.XLOOKUP($B63,'Cronog. e Histog.'!$BZ:$BZ,'Cronog. e Histog.'!CV:CV),"")</f>
        <v>0</v>
      </c>
      <c r="AB63" s="144">
        <f>IFERROR(_xlfn.XLOOKUP($B63,'Cronog. e Histog.'!$BZ:$BZ,'Cronog. e Histog.'!CW:CW),"")</f>
        <v>0</v>
      </c>
      <c r="AC63" s="144">
        <f>IFERROR(_xlfn.XLOOKUP($B63,'Cronog. e Histog.'!$BZ:$BZ,'Cronog. e Histog.'!CX:CX),"")</f>
        <v>0</v>
      </c>
      <c r="AD63" s="144">
        <f>IFERROR(_xlfn.XLOOKUP($B63,'Cronog. e Histog.'!$BZ:$BZ,'Cronog. e Histog.'!CY:CY),"")</f>
        <v>0</v>
      </c>
      <c r="AE63" s="144">
        <f>IFERROR(_xlfn.XLOOKUP($B63,'Cronog. e Histog.'!$BZ:$BZ,'Cronog. e Histog.'!CZ:CZ),"")</f>
        <v>0</v>
      </c>
      <c r="AF63" s="144">
        <f>IFERROR(_xlfn.XLOOKUP($B63,'Cronog. e Histog.'!$BZ:$BZ,'Cronog. e Histog.'!DA:DA),"")</f>
        <v>0</v>
      </c>
      <c r="AG63" s="144">
        <f>IFERROR(_xlfn.XLOOKUP($B63,'Cronog. e Histog.'!$BZ:$BZ,'Cronog. e Histog.'!DB:DB),"")</f>
        <v>0</v>
      </c>
      <c r="AH63" s="144">
        <f>IFERROR(_xlfn.XLOOKUP($B63,'Cronog. e Histog.'!$BZ:$BZ,'Cronog. e Histog.'!DC:DC),"")</f>
        <v>0</v>
      </c>
      <c r="AI63" s="144">
        <f>IFERROR(_xlfn.XLOOKUP($B63,'Cronog. e Histog.'!$BZ:$BZ,'Cronog. e Histog.'!DD:DD),"")</f>
        <v>0</v>
      </c>
      <c r="AJ63" s="144">
        <f>IFERROR(_xlfn.XLOOKUP($B63,'Cronog. e Histog.'!$BZ:$BZ,'Cronog. e Histog.'!DE:DE),"")</f>
        <v>0</v>
      </c>
      <c r="AK63" s="144">
        <f>IFERROR(_xlfn.XLOOKUP($B63,'Cronog. e Histog.'!$BZ:$BZ,'Cronog. e Histog.'!DF:DF),"")</f>
        <v>0</v>
      </c>
      <c r="AL63" s="144">
        <f>IFERROR(_xlfn.XLOOKUP($B63,'Cronog. e Histog.'!$BZ:$BZ,'Cronog. e Histog.'!DG:DG),"")</f>
        <v>0</v>
      </c>
      <c r="AM63" s="144">
        <f>IFERROR(_xlfn.XLOOKUP($B63,'Cronog. e Histog.'!$BZ:$BZ,'Cronog. e Histog.'!DH:DH),"")</f>
        <v>0</v>
      </c>
      <c r="AN63" s="144">
        <f>IFERROR(_xlfn.XLOOKUP($B63,'Cronog. e Histog.'!$BZ:$BZ,'Cronog. e Histog.'!DI:DI),"")</f>
        <v>0</v>
      </c>
      <c r="AO63" s="144">
        <f>IFERROR(_xlfn.XLOOKUP($B63,'Cronog. e Histog.'!$BZ:$BZ,'Cronog. e Histog.'!DJ:DJ),"")</f>
        <v>0</v>
      </c>
      <c r="AP63" s="144">
        <f>IFERROR(_xlfn.XLOOKUP($B63,'Cronog. e Histog.'!$BZ:$BZ,'Cronog. e Histog.'!DK:DK),"")</f>
        <v>0</v>
      </c>
      <c r="AQ63" s="144">
        <f>IFERROR(_xlfn.XLOOKUP($B63,'Cronog. e Histog.'!$BZ:$BZ,'Cronog. e Histog.'!DL:DL),"")</f>
        <v>0</v>
      </c>
      <c r="AR63" s="144">
        <f>IFERROR(_xlfn.XLOOKUP($B63,'Cronog. e Histog.'!$BZ:$BZ,'Cronog. e Histog.'!DM:DM),"")</f>
        <v>0</v>
      </c>
      <c r="AS63" s="144">
        <f>IFERROR(_xlfn.XLOOKUP($B63,'Cronog. e Histog.'!$BZ:$BZ,'Cronog. e Histog.'!DN:DN),"")</f>
        <v>0</v>
      </c>
      <c r="AT63" s="144">
        <f>IFERROR(_xlfn.XLOOKUP($B63,'Cronog. e Histog.'!$BZ:$BZ,'Cronog. e Histog.'!DO:DO),"")</f>
        <v>0</v>
      </c>
      <c r="AU63" s="144">
        <f>IFERROR(_xlfn.XLOOKUP($B63,'Cronog. e Histog.'!$BZ:$BZ,'Cronog. e Histog.'!DP:DP),"")</f>
        <v>0</v>
      </c>
      <c r="AV63" s="144">
        <f>IFERROR(_xlfn.XLOOKUP($B63,'Cronog. e Histog.'!$BZ:$BZ,'Cronog. e Histog.'!DQ:DQ),"")</f>
        <v>0</v>
      </c>
      <c r="AW63" s="144">
        <f>IFERROR(_xlfn.XLOOKUP($B63,'Cronog. e Histog.'!$BZ:$BZ,'Cronog. e Histog.'!DR:DR),"")</f>
        <v>0</v>
      </c>
      <c r="AX63" s="144">
        <f>IFERROR(_xlfn.XLOOKUP($B63,'Cronog. e Histog.'!$BZ:$BZ,'Cronog. e Histog.'!DS:DS),"")</f>
        <v>0</v>
      </c>
      <c r="AY63" s="144">
        <f>IFERROR(_xlfn.XLOOKUP($B63,'Cronog. e Histog.'!$BZ:$BZ,'Cronog. e Histog.'!DT:DT),"")</f>
        <v>0</v>
      </c>
      <c r="AZ63" s="144">
        <f>IFERROR(_xlfn.XLOOKUP($B63,'Cronog. e Histog.'!$BZ:$BZ,'Cronog. e Histog.'!DU:DU),"")</f>
        <v>0</v>
      </c>
      <c r="BA63" s="144">
        <f>IFERROR(_xlfn.XLOOKUP($B63,'Cronog. e Histog.'!$BZ:$BZ,'Cronog. e Histog.'!DV:DV),"")</f>
        <v>0</v>
      </c>
      <c r="BB63" s="144">
        <f>IFERROR(_xlfn.XLOOKUP($B63,'Cronog. e Histog.'!$BZ:$BZ,'Cronog. e Histog.'!DW:DW),"")</f>
        <v>0</v>
      </c>
      <c r="BC63" s="144">
        <f>IFERROR(_xlfn.XLOOKUP($B63,'Cronog. e Histog.'!$BZ:$BZ,'Cronog. e Histog.'!DX:DX),"")</f>
        <v>0</v>
      </c>
      <c r="BD63" s="144">
        <f>IFERROR(_xlfn.XLOOKUP($B63,'Cronog. e Histog.'!$BZ:$BZ,'Cronog. e Histog.'!DY:DY),"")</f>
        <v>0</v>
      </c>
      <c r="BE63" s="144">
        <f>IFERROR(_xlfn.XLOOKUP($B63,'Cronog. e Histog.'!$BZ:$BZ,'Cronog. e Histog.'!DZ:DZ),"")</f>
        <v>0</v>
      </c>
      <c r="BF63" s="144">
        <f>IFERROR(_xlfn.XLOOKUP($B63,'Cronog. e Histog.'!$BZ:$BZ,'Cronog. e Histog.'!EA:EA),"")</f>
        <v>0</v>
      </c>
      <c r="BG63" s="144">
        <f>IFERROR(_xlfn.XLOOKUP($B63,'Cronog. e Histog.'!$BZ:$BZ,'Cronog. e Histog.'!EB:EB),"")</f>
        <v>0</v>
      </c>
      <c r="BH63" s="144">
        <f>IFERROR(_xlfn.XLOOKUP($B63,'Cronog. e Histog.'!$BZ:$BZ,'Cronog. e Histog.'!EC:EC),"")</f>
        <v>0</v>
      </c>
      <c r="BI63" s="144">
        <f>IFERROR(_xlfn.XLOOKUP($B63,'Cronog. e Histog.'!$BZ:$BZ,'Cronog. e Histog.'!ED:ED),"")</f>
        <v>0</v>
      </c>
      <c r="BJ63" s="144">
        <f>IFERROR(_xlfn.XLOOKUP($B63,'Cronog. e Histog.'!$BZ:$BZ,'Cronog. e Histog.'!EE:EE),"")</f>
        <v>0</v>
      </c>
      <c r="BK63" s="144">
        <f>IFERROR(_xlfn.XLOOKUP($B63,'Cronog. e Histog.'!$BZ:$BZ,'Cronog. e Histog.'!EF:EF),"")</f>
        <v>0</v>
      </c>
      <c r="BL63" s="144">
        <f>IFERROR(_xlfn.XLOOKUP($B63,'Cronog. e Histog.'!$BZ:$BZ,'Cronog. e Histog.'!EG:EG),"")</f>
        <v>0</v>
      </c>
      <c r="BM63" s="144">
        <f>IFERROR(_xlfn.XLOOKUP($B63,'Cronog. e Histog.'!$BZ:$BZ,'Cronog. e Histog.'!EH:EH),"")</f>
        <v>0</v>
      </c>
      <c r="BN63" s="144">
        <f>IFERROR(_xlfn.XLOOKUP($B63,'Cronog. e Histog.'!$BZ:$BZ,'Cronog. e Histog.'!EI:EI),"")</f>
        <v>0</v>
      </c>
    </row>
    <row r="64" spans="2:66" ht="12" hidden="1" customHeight="1" outlineLevel="1">
      <c r="B64" s="76">
        <v>58</v>
      </c>
      <c r="C64" s="143" t="str">
        <f>IFERROR(VLOOKUP(B64,'Cronog. e Histog.'!$BZ$213:$CA$747,2,0),"")</f>
        <v>EST</v>
      </c>
      <c r="D64" s="144">
        <f t="shared" si="0"/>
        <v>0</v>
      </c>
      <c r="E64" s="144">
        <f t="shared" si="1"/>
        <v>0</v>
      </c>
      <c r="F64" s="65"/>
      <c r="G64" s="144">
        <f>IFERROR(_xlfn.XLOOKUP($B64,'Cronog. e Histog.'!$BZ:$BZ,'Cronog. e Histog.'!CB:CB),"")</f>
        <v>0</v>
      </c>
      <c r="H64" s="144">
        <f>IFERROR(_xlfn.XLOOKUP($B64,'Cronog. e Histog.'!$BZ:$BZ,'Cronog. e Histog.'!CC:CC),"")</f>
        <v>0</v>
      </c>
      <c r="I64" s="144">
        <f>IFERROR(_xlfn.XLOOKUP($B64,'Cronog. e Histog.'!$BZ:$BZ,'Cronog. e Histog.'!CD:CD),"")</f>
        <v>0</v>
      </c>
      <c r="J64" s="144">
        <f>IFERROR(_xlfn.XLOOKUP($B64,'Cronog. e Histog.'!$BZ:$BZ,'Cronog. e Histog.'!CE:CE),"")</f>
        <v>0</v>
      </c>
      <c r="K64" s="144">
        <f>IFERROR(_xlfn.XLOOKUP($B64,'Cronog. e Histog.'!$BZ:$BZ,'Cronog. e Histog.'!CF:CF),"")</f>
        <v>0</v>
      </c>
      <c r="L64" s="144">
        <f>IFERROR(_xlfn.XLOOKUP($B64,'Cronog. e Histog.'!$BZ:$BZ,'Cronog. e Histog.'!CG:CG),"")</f>
        <v>0</v>
      </c>
      <c r="M64" s="144">
        <f>IFERROR(_xlfn.XLOOKUP($B64,'Cronog. e Histog.'!$BZ:$BZ,'Cronog. e Histog.'!CH:CH),"")</f>
        <v>0</v>
      </c>
      <c r="N64" s="144">
        <f>IFERROR(_xlfn.XLOOKUP($B64,'Cronog. e Histog.'!$BZ:$BZ,'Cronog. e Histog.'!CI:CI),"")</f>
        <v>0</v>
      </c>
      <c r="O64" s="144">
        <f>IFERROR(_xlfn.XLOOKUP($B64,'Cronog. e Histog.'!$BZ:$BZ,'Cronog. e Histog.'!CJ:CJ),"")</f>
        <v>0</v>
      </c>
      <c r="P64" s="144">
        <f>IFERROR(_xlfn.XLOOKUP($B64,'Cronog. e Histog.'!$BZ:$BZ,'Cronog. e Histog.'!CK:CK),"")</f>
        <v>0</v>
      </c>
      <c r="Q64" s="144">
        <f>IFERROR(_xlfn.XLOOKUP($B64,'Cronog. e Histog.'!$BZ:$BZ,'Cronog. e Histog.'!CL:CL),"")</f>
        <v>0</v>
      </c>
      <c r="R64" s="144">
        <f>IFERROR(_xlfn.XLOOKUP($B64,'Cronog. e Histog.'!$BZ:$BZ,'Cronog. e Histog.'!CM:CM),"")</f>
        <v>0</v>
      </c>
      <c r="S64" s="144">
        <f>IFERROR(_xlfn.XLOOKUP($B64,'Cronog. e Histog.'!$BZ:$BZ,'Cronog. e Histog.'!CN:CN),"")</f>
        <v>0</v>
      </c>
      <c r="T64" s="144">
        <f>IFERROR(_xlfn.XLOOKUP($B64,'Cronog. e Histog.'!$BZ:$BZ,'Cronog. e Histog.'!CO:CO),"")</f>
        <v>0</v>
      </c>
      <c r="U64" s="144">
        <f>IFERROR(_xlfn.XLOOKUP($B64,'Cronog. e Histog.'!$BZ:$BZ,'Cronog. e Histog.'!CP:CP),"")</f>
        <v>0</v>
      </c>
      <c r="V64" s="144">
        <f>IFERROR(_xlfn.XLOOKUP($B64,'Cronog. e Histog.'!$BZ:$BZ,'Cronog. e Histog.'!CQ:CQ),"")</f>
        <v>0</v>
      </c>
      <c r="W64" s="144">
        <f>IFERROR(_xlfn.XLOOKUP($B64,'Cronog. e Histog.'!$BZ:$BZ,'Cronog. e Histog.'!CR:CR),"")</f>
        <v>0</v>
      </c>
      <c r="X64" s="144">
        <f>IFERROR(_xlfn.XLOOKUP($B64,'Cronog. e Histog.'!$BZ:$BZ,'Cronog. e Histog.'!CS:CS),"")</f>
        <v>0</v>
      </c>
      <c r="Y64" s="144">
        <f>IFERROR(_xlfn.XLOOKUP($B64,'Cronog. e Histog.'!$BZ:$BZ,'Cronog. e Histog.'!CT:CT),"")</f>
        <v>0</v>
      </c>
      <c r="Z64" s="144">
        <f>IFERROR(_xlfn.XLOOKUP($B64,'Cronog. e Histog.'!$BZ:$BZ,'Cronog. e Histog.'!CU:CU),"")</f>
        <v>0</v>
      </c>
      <c r="AA64" s="144">
        <f>IFERROR(_xlfn.XLOOKUP($B64,'Cronog. e Histog.'!$BZ:$BZ,'Cronog. e Histog.'!CV:CV),"")</f>
        <v>0</v>
      </c>
      <c r="AB64" s="144">
        <f>IFERROR(_xlfn.XLOOKUP($B64,'Cronog. e Histog.'!$BZ:$BZ,'Cronog. e Histog.'!CW:CW),"")</f>
        <v>0</v>
      </c>
      <c r="AC64" s="144">
        <f>IFERROR(_xlfn.XLOOKUP($B64,'Cronog. e Histog.'!$BZ:$BZ,'Cronog. e Histog.'!CX:CX),"")</f>
        <v>0</v>
      </c>
      <c r="AD64" s="144">
        <f>IFERROR(_xlfn.XLOOKUP($B64,'Cronog. e Histog.'!$BZ:$BZ,'Cronog. e Histog.'!CY:CY),"")</f>
        <v>0</v>
      </c>
      <c r="AE64" s="144">
        <f>IFERROR(_xlfn.XLOOKUP($B64,'Cronog. e Histog.'!$BZ:$BZ,'Cronog. e Histog.'!CZ:CZ),"")</f>
        <v>0</v>
      </c>
      <c r="AF64" s="144">
        <f>IFERROR(_xlfn.XLOOKUP($B64,'Cronog. e Histog.'!$BZ:$BZ,'Cronog. e Histog.'!DA:DA),"")</f>
        <v>0</v>
      </c>
      <c r="AG64" s="144">
        <f>IFERROR(_xlfn.XLOOKUP($B64,'Cronog. e Histog.'!$BZ:$BZ,'Cronog. e Histog.'!DB:DB),"")</f>
        <v>0</v>
      </c>
      <c r="AH64" s="144">
        <f>IFERROR(_xlfn.XLOOKUP($B64,'Cronog. e Histog.'!$BZ:$BZ,'Cronog. e Histog.'!DC:DC),"")</f>
        <v>0</v>
      </c>
      <c r="AI64" s="144">
        <f>IFERROR(_xlfn.XLOOKUP($B64,'Cronog. e Histog.'!$BZ:$BZ,'Cronog. e Histog.'!DD:DD),"")</f>
        <v>0</v>
      </c>
      <c r="AJ64" s="144">
        <f>IFERROR(_xlfn.XLOOKUP($B64,'Cronog. e Histog.'!$BZ:$BZ,'Cronog. e Histog.'!DE:DE),"")</f>
        <v>0</v>
      </c>
      <c r="AK64" s="144">
        <f>IFERROR(_xlfn.XLOOKUP($B64,'Cronog. e Histog.'!$BZ:$BZ,'Cronog. e Histog.'!DF:DF),"")</f>
        <v>0</v>
      </c>
      <c r="AL64" s="144">
        <f>IFERROR(_xlfn.XLOOKUP($B64,'Cronog. e Histog.'!$BZ:$BZ,'Cronog. e Histog.'!DG:DG),"")</f>
        <v>0</v>
      </c>
      <c r="AM64" s="144">
        <f>IFERROR(_xlfn.XLOOKUP($B64,'Cronog. e Histog.'!$BZ:$BZ,'Cronog. e Histog.'!DH:DH),"")</f>
        <v>0</v>
      </c>
      <c r="AN64" s="144">
        <f>IFERROR(_xlfn.XLOOKUP($B64,'Cronog. e Histog.'!$BZ:$BZ,'Cronog. e Histog.'!DI:DI),"")</f>
        <v>0</v>
      </c>
      <c r="AO64" s="144">
        <f>IFERROR(_xlfn.XLOOKUP($B64,'Cronog. e Histog.'!$BZ:$BZ,'Cronog. e Histog.'!DJ:DJ),"")</f>
        <v>0</v>
      </c>
      <c r="AP64" s="144">
        <f>IFERROR(_xlfn.XLOOKUP($B64,'Cronog. e Histog.'!$BZ:$BZ,'Cronog. e Histog.'!DK:DK),"")</f>
        <v>0</v>
      </c>
      <c r="AQ64" s="144">
        <f>IFERROR(_xlfn.XLOOKUP($B64,'Cronog. e Histog.'!$BZ:$BZ,'Cronog. e Histog.'!DL:DL),"")</f>
        <v>0</v>
      </c>
      <c r="AR64" s="144">
        <f>IFERROR(_xlfn.XLOOKUP($B64,'Cronog. e Histog.'!$BZ:$BZ,'Cronog. e Histog.'!DM:DM),"")</f>
        <v>0</v>
      </c>
      <c r="AS64" s="144">
        <f>IFERROR(_xlfn.XLOOKUP($B64,'Cronog. e Histog.'!$BZ:$BZ,'Cronog. e Histog.'!DN:DN),"")</f>
        <v>0</v>
      </c>
      <c r="AT64" s="144">
        <f>IFERROR(_xlfn.XLOOKUP($B64,'Cronog. e Histog.'!$BZ:$BZ,'Cronog. e Histog.'!DO:DO),"")</f>
        <v>0</v>
      </c>
      <c r="AU64" s="144">
        <f>IFERROR(_xlfn.XLOOKUP($B64,'Cronog. e Histog.'!$BZ:$BZ,'Cronog. e Histog.'!DP:DP),"")</f>
        <v>0</v>
      </c>
      <c r="AV64" s="144">
        <f>IFERROR(_xlfn.XLOOKUP($B64,'Cronog. e Histog.'!$BZ:$BZ,'Cronog. e Histog.'!DQ:DQ),"")</f>
        <v>0</v>
      </c>
      <c r="AW64" s="144">
        <f>IFERROR(_xlfn.XLOOKUP($B64,'Cronog. e Histog.'!$BZ:$BZ,'Cronog. e Histog.'!DR:DR),"")</f>
        <v>0</v>
      </c>
      <c r="AX64" s="144">
        <f>IFERROR(_xlfn.XLOOKUP($B64,'Cronog. e Histog.'!$BZ:$BZ,'Cronog. e Histog.'!DS:DS),"")</f>
        <v>0</v>
      </c>
      <c r="AY64" s="144">
        <f>IFERROR(_xlfn.XLOOKUP($B64,'Cronog. e Histog.'!$BZ:$BZ,'Cronog. e Histog.'!DT:DT),"")</f>
        <v>0</v>
      </c>
      <c r="AZ64" s="144">
        <f>IFERROR(_xlfn.XLOOKUP($B64,'Cronog. e Histog.'!$BZ:$BZ,'Cronog. e Histog.'!DU:DU),"")</f>
        <v>0</v>
      </c>
      <c r="BA64" s="144">
        <f>IFERROR(_xlfn.XLOOKUP($B64,'Cronog. e Histog.'!$BZ:$BZ,'Cronog. e Histog.'!DV:DV),"")</f>
        <v>0</v>
      </c>
      <c r="BB64" s="144">
        <f>IFERROR(_xlfn.XLOOKUP($B64,'Cronog. e Histog.'!$BZ:$BZ,'Cronog. e Histog.'!DW:DW),"")</f>
        <v>0</v>
      </c>
      <c r="BC64" s="144">
        <f>IFERROR(_xlfn.XLOOKUP($B64,'Cronog. e Histog.'!$BZ:$BZ,'Cronog. e Histog.'!DX:DX),"")</f>
        <v>0</v>
      </c>
      <c r="BD64" s="144">
        <f>IFERROR(_xlfn.XLOOKUP($B64,'Cronog. e Histog.'!$BZ:$BZ,'Cronog. e Histog.'!DY:DY),"")</f>
        <v>0</v>
      </c>
      <c r="BE64" s="144">
        <f>IFERROR(_xlfn.XLOOKUP($B64,'Cronog. e Histog.'!$BZ:$BZ,'Cronog. e Histog.'!DZ:DZ),"")</f>
        <v>0</v>
      </c>
      <c r="BF64" s="144">
        <f>IFERROR(_xlfn.XLOOKUP($B64,'Cronog. e Histog.'!$BZ:$BZ,'Cronog. e Histog.'!EA:EA),"")</f>
        <v>0</v>
      </c>
      <c r="BG64" s="144">
        <f>IFERROR(_xlfn.XLOOKUP($B64,'Cronog. e Histog.'!$BZ:$BZ,'Cronog. e Histog.'!EB:EB),"")</f>
        <v>0</v>
      </c>
      <c r="BH64" s="144">
        <f>IFERROR(_xlfn.XLOOKUP($B64,'Cronog. e Histog.'!$BZ:$BZ,'Cronog. e Histog.'!EC:EC),"")</f>
        <v>0</v>
      </c>
      <c r="BI64" s="144">
        <f>IFERROR(_xlfn.XLOOKUP($B64,'Cronog. e Histog.'!$BZ:$BZ,'Cronog. e Histog.'!ED:ED),"")</f>
        <v>0</v>
      </c>
      <c r="BJ64" s="144">
        <f>IFERROR(_xlfn.XLOOKUP($B64,'Cronog. e Histog.'!$BZ:$BZ,'Cronog. e Histog.'!EE:EE),"")</f>
        <v>0</v>
      </c>
      <c r="BK64" s="144">
        <f>IFERROR(_xlfn.XLOOKUP($B64,'Cronog. e Histog.'!$BZ:$BZ,'Cronog. e Histog.'!EF:EF),"")</f>
        <v>0</v>
      </c>
      <c r="BL64" s="144">
        <f>IFERROR(_xlfn.XLOOKUP($B64,'Cronog. e Histog.'!$BZ:$BZ,'Cronog. e Histog.'!EG:EG),"")</f>
        <v>0</v>
      </c>
      <c r="BM64" s="144">
        <f>IFERROR(_xlfn.XLOOKUP($B64,'Cronog. e Histog.'!$BZ:$BZ,'Cronog. e Histog.'!EH:EH),"")</f>
        <v>0</v>
      </c>
      <c r="BN64" s="144">
        <f>IFERROR(_xlfn.XLOOKUP($B64,'Cronog. e Histog.'!$BZ:$BZ,'Cronog. e Histog.'!EI:EI),"")</f>
        <v>0</v>
      </c>
    </row>
    <row r="65" spans="2:66" ht="12" hidden="1" customHeight="1" outlineLevel="1">
      <c r="B65" s="76">
        <v>59</v>
      </c>
      <c r="C65" s="143" t="str">
        <f>IFERROR(VLOOKUP(B65,'Cronog. e Histog.'!$BZ$213:$CA$747,2,0),"")</f>
        <v>EST_II</v>
      </c>
      <c r="D65" s="144">
        <f t="shared" si="0"/>
        <v>0</v>
      </c>
      <c r="E65" s="144">
        <f t="shared" si="1"/>
        <v>0</v>
      </c>
      <c r="F65" s="65"/>
      <c r="G65" s="144">
        <f>IFERROR(_xlfn.XLOOKUP($B65,'Cronog. e Histog.'!$BZ:$BZ,'Cronog. e Histog.'!CB:CB),"")</f>
        <v>0</v>
      </c>
      <c r="H65" s="144">
        <f>IFERROR(_xlfn.XLOOKUP($B65,'Cronog. e Histog.'!$BZ:$BZ,'Cronog. e Histog.'!CC:CC),"")</f>
        <v>0</v>
      </c>
      <c r="I65" s="144">
        <f>IFERROR(_xlfn.XLOOKUP($B65,'Cronog. e Histog.'!$BZ:$BZ,'Cronog. e Histog.'!CD:CD),"")</f>
        <v>0</v>
      </c>
      <c r="J65" s="144">
        <f>IFERROR(_xlfn.XLOOKUP($B65,'Cronog. e Histog.'!$BZ:$BZ,'Cronog. e Histog.'!CE:CE),"")</f>
        <v>0</v>
      </c>
      <c r="K65" s="144">
        <f>IFERROR(_xlfn.XLOOKUP($B65,'Cronog. e Histog.'!$BZ:$BZ,'Cronog. e Histog.'!CF:CF),"")</f>
        <v>0</v>
      </c>
      <c r="L65" s="144">
        <f>IFERROR(_xlfn.XLOOKUP($B65,'Cronog. e Histog.'!$BZ:$BZ,'Cronog. e Histog.'!CG:CG),"")</f>
        <v>0</v>
      </c>
      <c r="M65" s="144">
        <f>IFERROR(_xlfn.XLOOKUP($B65,'Cronog. e Histog.'!$BZ:$BZ,'Cronog. e Histog.'!CH:CH),"")</f>
        <v>0</v>
      </c>
      <c r="N65" s="144">
        <f>IFERROR(_xlfn.XLOOKUP($B65,'Cronog. e Histog.'!$BZ:$BZ,'Cronog. e Histog.'!CI:CI),"")</f>
        <v>0</v>
      </c>
      <c r="O65" s="144">
        <f>IFERROR(_xlfn.XLOOKUP($B65,'Cronog. e Histog.'!$BZ:$BZ,'Cronog. e Histog.'!CJ:CJ),"")</f>
        <v>0</v>
      </c>
      <c r="P65" s="144">
        <f>IFERROR(_xlfn.XLOOKUP($B65,'Cronog. e Histog.'!$BZ:$BZ,'Cronog. e Histog.'!CK:CK),"")</f>
        <v>0</v>
      </c>
      <c r="Q65" s="144">
        <f>IFERROR(_xlfn.XLOOKUP($B65,'Cronog. e Histog.'!$BZ:$BZ,'Cronog. e Histog.'!CL:CL),"")</f>
        <v>0</v>
      </c>
      <c r="R65" s="144">
        <f>IFERROR(_xlfn.XLOOKUP($B65,'Cronog. e Histog.'!$BZ:$BZ,'Cronog. e Histog.'!CM:CM),"")</f>
        <v>0</v>
      </c>
      <c r="S65" s="144">
        <f>IFERROR(_xlfn.XLOOKUP($B65,'Cronog. e Histog.'!$BZ:$BZ,'Cronog. e Histog.'!CN:CN),"")</f>
        <v>0</v>
      </c>
      <c r="T65" s="144">
        <f>IFERROR(_xlfn.XLOOKUP($B65,'Cronog. e Histog.'!$BZ:$BZ,'Cronog. e Histog.'!CO:CO),"")</f>
        <v>0</v>
      </c>
      <c r="U65" s="144">
        <f>IFERROR(_xlfn.XLOOKUP($B65,'Cronog. e Histog.'!$BZ:$BZ,'Cronog. e Histog.'!CP:CP),"")</f>
        <v>0</v>
      </c>
      <c r="V65" s="144">
        <f>IFERROR(_xlfn.XLOOKUP($B65,'Cronog. e Histog.'!$BZ:$BZ,'Cronog. e Histog.'!CQ:CQ),"")</f>
        <v>0</v>
      </c>
      <c r="W65" s="144">
        <f>IFERROR(_xlfn.XLOOKUP($B65,'Cronog. e Histog.'!$BZ:$BZ,'Cronog. e Histog.'!CR:CR),"")</f>
        <v>0</v>
      </c>
      <c r="X65" s="144">
        <f>IFERROR(_xlfn.XLOOKUP($B65,'Cronog. e Histog.'!$BZ:$BZ,'Cronog. e Histog.'!CS:CS),"")</f>
        <v>0</v>
      </c>
      <c r="Y65" s="144">
        <f>IFERROR(_xlfn.XLOOKUP($B65,'Cronog. e Histog.'!$BZ:$BZ,'Cronog. e Histog.'!CT:CT),"")</f>
        <v>0</v>
      </c>
      <c r="Z65" s="144">
        <f>IFERROR(_xlfn.XLOOKUP($B65,'Cronog. e Histog.'!$BZ:$BZ,'Cronog. e Histog.'!CU:CU),"")</f>
        <v>0</v>
      </c>
      <c r="AA65" s="144">
        <f>IFERROR(_xlfn.XLOOKUP($B65,'Cronog. e Histog.'!$BZ:$BZ,'Cronog. e Histog.'!CV:CV),"")</f>
        <v>0</v>
      </c>
      <c r="AB65" s="144">
        <f>IFERROR(_xlfn.XLOOKUP($B65,'Cronog. e Histog.'!$BZ:$BZ,'Cronog. e Histog.'!CW:CW),"")</f>
        <v>0</v>
      </c>
      <c r="AC65" s="144">
        <f>IFERROR(_xlfn.XLOOKUP($B65,'Cronog. e Histog.'!$BZ:$BZ,'Cronog. e Histog.'!CX:CX),"")</f>
        <v>0</v>
      </c>
      <c r="AD65" s="144">
        <f>IFERROR(_xlfn.XLOOKUP($B65,'Cronog. e Histog.'!$BZ:$BZ,'Cronog. e Histog.'!CY:CY),"")</f>
        <v>0</v>
      </c>
      <c r="AE65" s="144">
        <f>IFERROR(_xlfn.XLOOKUP($B65,'Cronog. e Histog.'!$BZ:$BZ,'Cronog. e Histog.'!CZ:CZ),"")</f>
        <v>0</v>
      </c>
      <c r="AF65" s="144">
        <f>IFERROR(_xlfn.XLOOKUP($B65,'Cronog. e Histog.'!$BZ:$BZ,'Cronog. e Histog.'!DA:DA),"")</f>
        <v>0</v>
      </c>
      <c r="AG65" s="144">
        <f>IFERROR(_xlfn.XLOOKUP($B65,'Cronog. e Histog.'!$BZ:$BZ,'Cronog. e Histog.'!DB:DB),"")</f>
        <v>0</v>
      </c>
      <c r="AH65" s="144">
        <f>IFERROR(_xlfn.XLOOKUP($B65,'Cronog. e Histog.'!$BZ:$BZ,'Cronog. e Histog.'!DC:DC),"")</f>
        <v>0</v>
      </c>
      <c r="AI65" s="144">
        <f>IFERROR(_xlfn.XLOOKUP($B65,'Cronog. e Histog.'!$BZ:$BZ,'Cronog. e Histog.'!DD:DD),"")</f>
        <v>0</v>
      </c>
      <c r="AJ65" s="144">
        <f>IFERROR(_xlfn.XLOOKUP($B65,'Cronog. e Histog.'!$BZ:$BZ,'Cronog. e Histog.'!DE:DE),"")</f>
        <v>0</v>
      </c>
      <c r="AK65" s="144">
        <f>IFERROR(_xlfn.XLOOKUP($B65,'Cronog. e Histog.'!$BZ:$BZ,'Cronog. e Histog.'!DF:DF),"")</f>
        <v>0</v>
      </c>
      <c r="AL65" s="144">
        <f>IFERROR(_xlfn.XLOOKUP($B65,'Cronog. e Histog.'!$BZ:$BZ,'Cronog. e Histog.'!DG:DG),"")</f>
        <v>0</v>
      </c>
      <c r="AM65" s="144">
        <f>IFERROR(_xlfn.XLOOKUP($B65,'Cronog. e Histog.'!$BZ:$BZ,'Cronog. e Histog.'!DH:DH),"")</f>
        <v>0</v>
      </c>
      <c r="AN65" s="144">
        <f>IFERROR(_xlfn.XLOOKUP($B65,'Cronog. e Histog.'!$BZ:$BZ,'Cronog. e Histog.'!DI:DI),"")</f>
        <v>0</v>
      </c>
      <c r="AO65" s="144">
        <f>IFERROR(_xlfn.XLOOKUP($B65,'Cronog. e Histog.'!$BZ:$BZ,'Cronog. e Histog.'!DJ:DJ),"")</f>
        <v>0</v>
      </c>
      <c r="AP65" s="144">
        <f>IFERROR(_xlfn.XLOOKUP($B65,'Cronog. e Histog.'!$BZ:$BZ,'Cronog. e Histog.'!DK:DK),"")</f>
        <v>0</v>
      </c>
      <c r="AQ65" s="144">
        <f>IFERROR(_xlfn.XLOOKUP($B65,'Cronog. e Histog.'!$BZ:$BZ,'Cronog. e Histog.'!DL:DL),"")</f>
        <v>0</v>
      </c>
      <c r="AR65" s="144">
        <f>IFERROR(_xlfn.XLOOKUP($B65,'Cronog. e Histog.'!$BZ:$BZ,'Cronog. e Histog.'!DM:DM),"")</f>
        <v>0</v>
      </c>
      <c r="AS65" s="144">
        <f>IFERROR(_xlfn.XLOOKUP($B65,'Cronog. e Histog.'!$BZ:$BZ,'Cronog. e Histog.'!DN:DN),"")</f>
        <v>0</v>
      </c>
      <c r="AT65" s="144">
        <f>IFERROR(_xlfn.XLOOKUP($B65,'Cronog. e Histog.'!$BZ:$BZ,'Cronog. e Histog.'!DO:DO),"")</f>
        <v>0</v>
      </c>
      <c r="AU65" s="144">
        <f>IFERROR(_xlfn.XLOOKUP($B65,'Cronog. e Histog.'!$BZ:$BZ,'Cronog. e Histog.'!DP:DP),"")</f>
        <v>0</v>
      </c>
      <c r="AV65" s="144">
        <f>IFERROR(_xlfn.XLOOKUP($B65,'Cronog. e Histog.'!$BZ:$BZ,'Cronog. e Histog.'!DQ:DQ),"")</f>
        <v>0</v>
      </c>
      <c r="AW65" s="144">
        <f>IFERROR(_xlfn.XLOOKUP($B65,'Cronog. e Histog.'!$BZ:$BZ,'Cronog. e Histog.'!DR:DR),"")</f>
        <v>0</v>
      </c>
      <c r="AX65" s="144">
        <f>IFERROR(_xlfn.XLOOKUP($B65,'Cronog. e Histog.'!$BZ:$BZ,'Cronog. e Histog.'!DS:DS),"")</f>
        <v>0</v>
      </c>
      <c r="AY65" s="144">
        <f>IFERROR(_xlfn.XLOOKUP($B65,'Cronog. e Histog.'!$BZ:$BZ,'Cronog. e Histog.'!DT:DT),"")</f>
        <v>0</v>
      </c>
      <c r="AZ65" s="144">
        <f>IFERROR(_xlfn.XLOOKUP($B65,'Cronog. e Histog.'!$BZ:$BZ,'Cronog. e Histog.'!DU:DU),"")</f>
        <v>0</v>
      </c>
      <c r="BA65" s="144">
        <f>IFERROR(_xlfn.XLOOKUP($B65,'Cronog. e Histog.'!$BZ:$BZ,'Cronog. e Histog.'!DV:DV),"")</f>
        <v>0</v>
      </c>
      <c r="BB65" s="144">
        <f>IFERROR(_xlfn.XLOOKUP($B65,'Cronog. e Histog.'!$BZ:$BZ,'Cronog. e Histog.'!DW:DW),"")</f>
        <v>0</v>
      </c>
      <c r="BC65" s="144">
        <f>IFERROR(_xlfn.XLOOKUP($B65,'Cronog. e Histog.'!$BZ:$BZ,'Cronog. e Histog.'!DX:DX),"")</f>
        <v>0</v>
      </c>
      <c r="BD65" s="144">
        <f>IFERROR(_xlfn.XLOOKUP($B65,'Cronog. e Histog.'!$BZ:$BZ,'Cronog. e Histog.'!DY:DY),"")</f>
        <v>0</v>
      </c>
      <c r="BE65" s="144">
        <f>IFERROR(_xlfn.XLOOKUP($B65,'Cronog. e Histog.'!$BZ:$BZ,'Cronog. e Histog.'!DZ:DZ),"")</f>
        <v>0</v>
      </c>
      <c r="BF65" s="144">
        <f>IFERROR(_xlfn.XLOOKUP($B65,'Cronog. e Histog.'!$BZ:$BZ,'Cronog. e Histog.'!EA:EA),"")</f>
        <v>0</v>
      </c>
      <c r="BG65" s="144">
        <f>IFERROR(_xlfn.XLOOKUP($B65,'Cronog. e Histog.'!$BZ:$BZ,'Cronog. e Histog.'!EB:EB),"")</f>
        <v>0</v>
      </c>
      <c r="BH65" s="144">
        <f>IFERROR(_xlfn.XLOOKUP($B65,'Cronog. e Histog.'!$BZ:$BZ,'Cronog. e Histog.'!EC:EC),"")</f>
        <v>0</v>
      </c>
      <c r="BI65" s="144">
        <f>IFERROR(_xlfn.XLOOKUP($B65,'Cronog. e Histog.'!$BZ:$BZ,'Cronog. e Histog.'!ED:ED),"")</f>
        <v>0</v>
      </c>
      <c r="BJ65" s="144">
        <f>IFERROR(_xlfn.XLOOKUP($B65,'Cronog. e Histog.'!$BZ:$BZ,'Cronog. e Histog.'!EE:EE),"")</f>
        <v>0</v>
      </c>
      <c r="BK65" s="144">
        <f>IFERROR(_xlfn.XLOOKUP($B65,'Cronog. e Histog.'!$BZ:$BZ,'Cronog. e Histog.'!EF:EF),"")</f>
        <v>0</v>
      </c>
      <c r="BL65" s="144">
        <f>IFERROR(_xlfn.XLOOKUP($B65,'Cronog. e Histog.'!$BZ:$BZ,'Cronog. e Histog.'!EG:EG),"")</f>
        <v>0</v>
      </c>
      <c r="BM65" s="144">
        <f>IFERROR(_xlfn.XLOOKUP($B65,'Cronog. e Histog.'!$BZ:$BZ,'Cronog. e Histog.'!EH:EH),"")</f>
        <v>0</v>
      </c>
      <c r="BN65" s="144">
        <f>IFERROR(_xlfn.XLOOKUP($B65,'Cronog. e Histog.'!$BZ:$BZ,'Cronog. e Histog.'!EI:EI),"")</f>
        <v>0</v>
      </c>
    </row>
    <row r="66" spans="2:66" ht="12" hidden="1" customHeight="1" outlineLevel="1">
      <c r="B66" s="76">
        <v>60</v>
      </c>
      <c r="C66" s="143" t="str">
        <f>IFERROR(VLOOKUP(B66,'Cronog. e Histog.'!$BZ$213:$CA$747,2,0),"")</f>
        <v>EST_III</v>
      </c>
      <c r="D66" s="144">
        <f t="shared" si="0"/>
        <v>0</v>
      </c>
      <c r="E66" s="144">
        <f t="shared" si="1"/>
        <v>0</v>
      </c>
      <c r="F66" s="65"/>
      <c r="G66" s="144">
        <f>IFERROR(_xlfn.XLOOKUP($B66,'Cronog. e Histog.'!$BZ:$BZ,'Cronog. e Histog.'!CB:CB),"")</f>
        <v>0</v>
      </c>
      <c r="H66" s="144">
        <f>IFERROR(_xlfn.XLOOKUP($B66,'Cronog. e Histog.'!$BZ:$BZ,'Cronog. e Histog.'!CC:CC),"")</f>
        <v>0</v>
      </c>
      <c r="I66" s="144">
        <f>IFERROR(_xlfn.XLOOKUP($B66,'Cronog. e Histog.'!$BZ:$BZ,'Cronog. e Histog.'!CD:CD),"")</f>
        <v>0</v>
      </c>
      <c r="J66" s="144">
        <f>IFERROR(_xlfn.XLOOKUP($B66,'Cronog. e Histog.'!$BZ:$BZ,'Cronog. e Histog.'!CE:CE),"")</f>
        <v>0</v>
      </c>
      <c r="K66" s="144">
        <f>IFERROR(_xlfn.XLOOKUP($B66,'Cronog. e Histog.'!$BZ:$BZ,'Cronog. e Histog.'!CF:CF),"")</f>
        <v>0</v>
      </c>
      <c r="L66" s="144">
        <f>IFERROR(_xlfn.XLOOKUP($B66,'Cronog. e Histog.'!$BZ:$BZ,'Cronog. e Histog.'!CG:CG),"")</f>
        <v>0</v>
      </c>
      <c r="M66" s="144">
        <f>IFERROR(_xlfn.XLOOKUP($B66,'Cronog. e Histog.'!$BZ:$BZ,'Cronog. e Histog.'!CH:CH),"")</f>
        <v>0</v>
      </c>
      <c r="N66" s="144">
        <f>IFERROR(_xlfn.XLOOKUP($B66,'Cronog. e Histog.'!$BZ:$BZ,'Cronog. e Histog.'!CI:CI),"")</f>
        <v>0</v>
      </c>
      <c r="O66" s="144">
        <f>IFERROR(_xlfn.XLOOKUP($B66,'Cronog. e Histog.'!$BZ:$BZ,'Cronog. e Histog.'!CJ:CJ),"")</f>
        <v>0</v>
      </c>
      <c r="P66" s="144">
        <f>IFERROR(_xlfn.XLOOKUP($B66,'Cronog. e Histog.'!$BZ:$BZ,'Cronog. e Histog.'!CK:CK),"")</f>
        <v>0</v>
      </c>
      <c r="Q66" s="144">
        <f>IFERROR(_xlfn.XLOOKUP($B66,'Cronog. e Histog.'!$BZ:$BZ,'Cronog. e Histog.'!CL:CL),"")</f>
        <v>0</v>
      </c>
      <c r="R66" s="144">
        <f>IFERROR(_xlfn.XLOOKUP($B66,'Cronog. e Histog.'!$BZ:$BZ,'Cronog. e Histog.'!CM:CM),"")</f>
        <v>0</v>
      </c>
      <c r="S66" s="144">
        <f>IFERROR(_xlfn.XLOOKUP($B66,'Cronog. e Histog.'!$BZ:$BZ,'Cronog. e Histog.'!CN:CN),"")</f>
        <v>0</v>
      </c>
      <c r="T66" s="144">
        <f>IFERROR(_xlfn.XLOOKUP($B66,'Cronog. e Histog.'!$BZ:$BZ,'Cronog. e Histog.'!CO:CO),"")</f>
        <v>0</v>
      </c>
      <c r="U66" s="144">
        <f>IFERROR(_xlfn.XLOOKUP($B66,'Cronog. e Histog.'!$BZ:$BZ,'Cronog. e Histog.'!CP:CP),"")</f>
        <v>0</v>
      </c>
      <c r="V66" s="144">
        <f>IFERROR(_xlfn.XLOOKUP($B66,'Cronog. e Histog.'!$BZ:$BZ,'Cronog. e Histog.'!CQ:CQ),"")</f>
        <v>0</v>
      </c>
      <c r="W66" s="144">
        <f>IFERROR(_xlfn.XLOOKUP($B66,'Cronog. e Histog.'!$BZ:$BZ,'Cronog. e Histog.'!CR:CR),"")</f>
        <v>0</v>
      </c>
      <c r="X66" s="144">
        <f>IFERROR(_xlfn.XLOOKUP($B66,'Cronog. e Histog.'!$BZ:$BZ,'Cronog. e Histog.'!CS:CS),"")</f>
        <v>0</v>
      </c>
      <c r="Y66" s="144">
        <f>IFERROR(_xlfn.XLOOKUP($B66,'Cronog. e Histog.'!$BZ:$BZ,'Cronog. e Histog.'!CT:CT),"")</f>
        <v>0</v>
      </c>
      <c r="Z66" s="144">
        <f>IFERROR(_xlfn.XLOOKUP($B66,'Cronog. e Histog.'!$BZ:$BZ,'Cronog. e Histog.'!CU:CU),"")</f>
        <v>0</v>
      </c>
      <c r="AA66" s="144">
        <f>IFERROR(_xlfn.XLOOKUP($B66,'Cronog. e Histog.'!$BZ:$BZ,'Cronog. e Histog.'!CV:CV),"")</f>
        <v>0</v>
      </c>
      <c r="AB66" s="144">
        <f>IFERROR(_xlfn.XLOOKUP($B66,'Cronog. e Histog.'!$BZ:$BZ,'Cronog. e Histog.'!CW:CW),"")</f>
        <v>0</v>
      </c>
      <c r="AC66" s="144">
        <f>IFERROR(_xlfn.XLOOKUP($B66,'Cronog. e Histog.'!$BZ:$BZ,'Cronog. e Histog.'!CX:CX),"")</f>
        <v>0</v>
      </c>
      <c r="AD66" s="144">
        <f>IFERROR(_xlfn.XLOOKUP($B66,'Cronog. e Histog.'!$BZ:$BZ,'Cronog. e Histog.'!CY:CY),"")</f>
        <v>0</v>
      </c>
      <c r="AE66" s="144">
        <f>IFERROR(_xlfn.XLOOKUP($B66,'Cronog. e Histog.'!$BZ:$BZ,'Cronog. e Histog.'!CZ:CZ),"")</f>
        <v>0</v>
      </c>
      <c r="AF66" s="144">
        <f>IFERROR(_xlfn.XLOOKUP($B66,'Cronog. e Histog.'!$BZ:$BZ,'Cronog. e Histog.'!DA:DA),"")</f>
        <v>0</v>
      </c>
      <c r="AG66" s="144">
        <f>IFERROR(_xlfn.XLOOKUP($B66,'Cronog. e Histog.'!$BZ:$BZ,'Cronog. e Histog.'!DB:DB),"")</f>
        <v>0</v>
      </c>
      <c r="AH66" s="144">
        <f>IFERROR(_xlfn.XLOOKUP($B66,'Cronog. e Histog.'!$BZ:$BZ,'Cronog. e Histog.'!DC:DC),"")</f>
        <v>0</v>
      </c>
      <c r="AI66" s="144">
        <f>IFERROR(_xlfn.XLOOKUP($B66,'Cronog. e Histog.'!$BZ:$BZ,'Cronog. e Histog.'!DD:DD),"")</f>
        <v>0</v>
      </c>
      <c r="AJ66" s="144">
        <f>IFERROR(_xlfn.XLOOKUP($B66,'Cronog. e Histog.'!$BZ:$BZ,'Cronog. e Histog.'!DE:DE),"")</f>
        <v>0</v>
      </c>
      <c r="AK66" s="144">
        <f>IFERROR(_xlfn.XLOOKUP($B66,'Cronog. e Histog.'!$BZ:$BZ,'Cronog. e Histog.'!DF:DF),"")</f>
        <v>0</v>
      </c>
      <c r="AL66" s="144">
        <f>IFERROR(_xlfn.XLOOKUP($B66,'Cronog. e Histog.'!$BZ:$BZ,'Cronog. e Histog.'!DG:DG),"")</f>
        <v>0</v>
      </c>
      <c r="AM66" s="144">
        <f>IFERROR(_xlfn.XLOOKUP($B66,'Cronog. e Histog.'!$BZ:$BZ,'Cronog. e Histog.'!DH:DH),"")</f>
        <v>0</v>
      </c>
      <c r="AN66" s="144">
        <f>IFERROR(_xlfn.XLOOKUP($B66,'Cronog. e Histog.'!$BZ:$BZ,'Cronog. e Histog.'!DI:DI),"")</f>
        <v>0</v>
      </c>
      <c r="AO66" s="144">
        <f>IFERROR(_xlfn.XLOOKUP($B66,'Cronog. e Histog.'!$BZ:$BZ,'Cronog. e Histog.'!DJ:DJ),"")</f>
        <v>0</v>
      </c>
      <c r="AP66" s="144">
        <f>IFERROR(_xlfn.XLOOKUP($B66,'Cronog. e Histog.'!$BZ:$BZ,'Cronog. e Histog.'!DK:DK),"")</f>
        <v>0</v>
      </c>
      <c r="AQ66" s="144">
        <f>IFERROR(_xlfn.XLOOKUP($B66,'Cronog. e Histog.'!$BZ:$BZ,'Cronog. e Histog.'!DL:DL),"")</f>
        <v>0</v>
      </c>
      <c r="AR66" s="144">
        <f>IFERROR(_xlfn.XLOOKUP($B66,'Cronog. e Histog.'!$BZ:$BZ,'Cronog. e Histog.'!DM:DM),"")</f>
        <v>0</v>
      </c>
      <c r="AS66" s="144">
        <f>IFERROR(_xlfn.XLOOKUP($B66,'Cronog. e Histog.'!$BZ:$BZ,'Cronog. e Histog.'!DN:DN),"")</f>
        <v>0</v>
      </c>
      <c r="AT66" s="144">
        <f>IFERROR(_xlfn.XLOOKUP($B66,'Cronog. e Histog.'!$BZ:$BZ,'Cronog. e Histog.'!DO:DO),"")</f>
        <v>0</v>
      </c>
      <c r="AU66" s="144">
        <f>IFERROR(_xlfn.XLOOKUP($B66,'Cronog. e Histog.'!$BZ:$BZ,'Cronog. e Histog.'!DP:DP),"")</f>
        <v>0</v>
      </c>
      <c r="AV66" s="144">
        <f>IFERROR(_xlfn.XLOOKUP($B66,'Cronog. e Histog.'!$BZ:$BZ,'Cronog. e Histog.'!DQ:DQ),"")</f>
        <v>0</v>
      </c>
      <c r="AW66" s="144">
        <f>IFERROR(_xlfn.XLOOKUP($B66,'Cronog. e Histog.'!$BZ:$BZ,'Cronog. e Histog.'!DR:DR),"")</f>
        <v>0</v>
      </c>
      <c r="AX66" s="144">
        <f>IFERROR(_xlfn.XLOOKUP($B66,'Cronog. e Histog.'!$BZ:$BZ,'Cronog. e Histog.'!DS:DS),"")</f>
        <v>0</v>
      </c>
      <c r="AY66" s="144">
        <f>IFERROR(_xlfn.XLOOKUP($B66,'Cronog. e Histog.'!$BZ:$BZ,'Cronog. e Histog.'!DT:DT),"")</f>
        <v>0</v>
      </c>
      <c r="AZ66" s="144">
        <f>IFERROR(_xlfn.XLOOKUP($B66,'Cronog. e Histog.'!$BZ:$BZ,'Cronog. e Histog.'!DU:DU),"")</f>
        <v>0</v>
      </c>
      <c r="BA66" s="144">
        <f>IFERROR(_xlfn.XLOOKUP($B66,'Cronog. e Histog.'!$BZ:$BZ,'Cronog. e Histog.'!DV:DV),"")</f>
        <v>0</v>
      </c>
      <c r="BB66" s="144">
        <f>IFERROR(_xlfn.XLOOKUP($B66,'Cronog. e Histog.'!$BZ:$BZ,'Cronog. e Histog.'!DW:DW),"")</f>
        <v>0</v>
      </c>
      <c r="BC66" s="144">
        <f>IFERROR(_xlfn.XLOOKUP($B66,'Cronog. e Histog.'!$BZ:$BZ,'Cronog. e Histog.'!DX:DX),"")</f>
        <v>0</v>
      </c>
      <c r="BD66" s="144">
        <f>IFERROR(_xlfn.XLOOKUP($B66,'Cronog. e Histog.'!$BZ:$BZ,'Cronog. e Histog.'!DY:DY),"")</f>
        <v>0</v>
      </c>
      <c r="BE66" s="144">
        <f>IFERROR(_xlfn.XLOOKUP($B66,'Cronog. e Histog.'!$BZ:$BZ,'Cronog. e Histog.'!DZ:DZ),"")</f>
        <v>0</v>
      </c>
      <c r="BF66" s="144">
        <f>IFERROR(_xlfn.XLOOKUP($B66,'Cronog. e Histog.'!$BZ:$BZ,'Cronog. e Histog.'!EA:EA),"")</f>
        <v>0</v>
      </c>
      <c r="BG66" s="144">
        <f>IFERROR(_xlfn.XLOOKUP($B66,'Cronog. e Histog.'!$BZ:$BZ,'Cronog. e Histog.'!EB:EB),"")</f>
        <v>0</v>
      </c>
      <c r="BH66" s="144">
        <f>IFERROR(_xlfn.XLOOKUP($B66,'Cronog. e Histog.'!$BZ:$BZ,'Cronog. e Histog.'!EC:EC),"")</f>
        <v>0</v>
      </c>
      <c r="BI66" s="144">
        <f>IFERROR(_xlfn.XLOOKUP($B66,'Cronog. e Histog.'!$BZ:$BZ,'Cronog. e Histog.'!ED:ED),"")</f>
        <v>0</v>
      </c>
      <c r="BJ66" s="144">
        <f>IFERROR(_xlfn.XLOOKUP($B66,'Cronog. e Histog.'!$BZ:$BZ,'Cronog. e Histog.'!EE:EE),"")</f>
        <v>0</v>
      </c>
      <c r="BK66" s="144">
        <f>IFERROR(_xlfn.XLOOKUP($B66,'Cronog. e Histog.'!$BZ:$BZ,'Cronog. e Histog.'!EF:EF),"")</f>
        <v>0</v>
      </c>
      <c r="BL66" s="144">
        <f>IFERROR(_xlfn.XLOOKUP($B66,'Cronog. e Histog.'!$BZ:$BZ,'Cronog. e Histog.'!EG:EG),"")</f>
        <v>0</v>
      </c>
      <c r="BM66" s="144">
        <f>IFERROR(_xlfn.XLOOKUP($B66,'Cronog. e Histog.'!$BZ:$BZ,'Cronog. e Histog.'!EH:EH),"")</f>
        <v>0</v>
      </c>
      <c r="BN66" s="144">
        <f>IFERROR(_xlfn.XLOOKUP($B66,'Cronog. e Histog.'!$BZ:$BZ,'Cronog. e Histog.'!EI:EI),"")</f>
        <v>0</v>
      </c>
    </row>
    <row r="67" spans="2:66" ht="12" hidden="1" customHeight="1" outlineLevel="1">
      <c r="B67" s="76">
        <v>61</v>
      </c>
      <c r="C67" s="143" t="str">
        <f>IFERROR(VLOOKUP(B67,'Cronog. e Histog.'!$BZ$213:$CA$747,2,0),"")</f>
        <v>GER. (OBRA/PROJ)</v>
      </c>
      <c r="D67" s="144">
        <f t="shared" si="0"/>
        <v>0</v>
      </c>
      <c r="E67" s="144">
        <f t="shared" si="1"/>
        <v>0</v>
      </c>
      <c r="F67" s="65"/>
      <c r="G67" s="144">
        <f>IFERROR(_xlfn.XLOOKUP($B67,'Cronog. e Histog.'!$BZ:$BZ,'Cronog. e Histog.'!CB:CB),"")</f>
        <v>0</v>
      </c>
      <c r="H67" s="144">
        <f>IFERROR(_xlfn.XLOOKUP($B67,'Cronog. e Histog.'!$BZ:$BZ,'Cronog. e Histog.'!CC:CC),"")</f>
        <v>0</v>
      </c>
      <c r="I67" s="144">
        <f>IFERROR(_xlfn.XLOOKUP($B67,'Cronog. e Histog.'!$BZ:$BZ,'Cronog. e Histog.'!CD:CD),"")</f>
        <v>0</v>
      </c>
      <c r="J67" s="144">
        <f>IFERROR(_xlfn.XLOOKUP($B67,'Cronog. e Histog.'!$BZ:$BZ,'Cronog. e Histog.'!CE:CE),"")</f>
        <v>0</v>
      </c>
      <c r="K67" s="144">
        <f>IFERROR(_xlfn.XLOOKUP($B67,'Cronog. e Histog.'!$BZ:$BZ,'Cronog. e Histog.'!CF:CF),"")</f>
        <v>0</v>
      </c>
      <c r="L67" s="144">
        <f>IFERROR(_xlfn.XLOOKUP($B67,'Cronog. e Histog.'!$BZ:$BZ,'Cronog. e Histog.'!CG:CG),"")</f>
        <v>0</v>
      </c>
      <c r="M67" s="144">
        <f>IFERROR(_xlfn.XLOOKUP($B67,'Cronog. e Histog.'!$BZ:$BZ,'Cronog. e Histog.'!CH:CH),"")</f>
        <v>0</v>
      </c>
      <c r="N67" s="144">
        <f>IFERROR(_xlfn.XLOOKUP($B67,'Cronog. e Histog.'!$BZ:$BZ,'Cronog. e Histog.'!CI:CI),"")</f>
        <v>0</v>
      </c>
      <c r="O67" s="144">
        <f>IFERROR(_xlfn.XLOOKUP($B67,'Cronog. e Histog.'!$BZ:$BZ,'Cronog. e Histog.'!CJ:CJ),"")</f>
        <v>0</v>
      </c>
      <c r="P67" s="144">
        <f>IFERROR(_xlfn.XLOOKUP($B67,'Cronog. e Histog.'!$BZ:$BZ,'Cronog. e Histog.'!CK:CK),"")</f>
        <v>0</v>
      </c>
      <c r="Q67" s="144">
        <f>IFERROR(_xlfn.XLOOKUP($B67,'Cronog. e Histog.'!$BZ:$BZ,'Cronog. e Histog.'!CL:CL),"")</f>
        <v>0</v>
      </c>
      <c r="R67" s="144">
        <f>IFERROR(_xlfn.XLOOKUP($B67,'Cronog. e Histog.'!$BZ:$BZ,'Cronog. e Histog.'!CM:CM),"")</f>
        <v>0</v>
      </c>
      <c r="S67" s="144">
        <f>IFERROR(_xlfn.XLOOKUP($B67,'Cronog. e Histog.'!$BZ:$BZ,'Cronog. e Histog.'!CN:CN),"")</f>
        <v>0</v>
      </c>
      <c r="T67" s="144">
        <f>IFERROR(_xlfn.XLOOKUP($B67,'Cronog. e Histog.'!$BZ:$BZ,'Cronog. e Histog.'!CO:CO),"")</f>
        <v>0</v>
      </c>
      <c r="U67" s="144">
        <f>IFERROR(_xlfn.XLOOKUP($B67,'Cronog. e Histog.'!$BZ:$BZ,'Cronog. e Histog.'!CP:CP),"")</f>
        <v>0</v>
      </c>
      <c r="V67" s="144">
        <f>IFERROR(_xlfn.XLOOKUP($B67,'Cronog. e Histog.'!$BZ:$BZ,'Cronog. e Histog.'!CQ:CQ),"")</f>
        <v>0</v>
      </c>
      <c r="W67" s="144">
        <f>IFERROR(_xlfn.XLOOKUP($B67,'Cronog. e Histog.'!$BZ:$BZ,'Cronog. e Histog.'!CR:CR),"")</f>
        <v>0</v>
      </c>
      <c r="X67" s="144">
        <f>IFERROR(_xlfn.XLOOKUP($B67,'Cronog. e Histog.'!$BZ:$BZ,'Cronog. e Histog.'!CS:CS),"")</f>
        <v>0</v>
      </c>
      <c r="Y67" s="144">
        <f>IFERROR(_xlfn.XLOOKUP($B67,'Cronog. e Histog.'!$BZ:$BZ,'Cronog. e Histog.'!CT:CT),"")</f>
        <v>0</v>
      </c>
      <c r="Z67" s="144">
        <f>IFERROR(_xlfn.XLOOKUP($B67,'Cronog. e Histog.'!$BZ:$BZ,'Cronog. e Histog.'!CU:CU),"")</f>
        <v>0</v>
      </c>
      <c r="AA67" s="144">
        <f>IFERROR(_xlfn.XLOOKUP($B67,'Cronog. e Histog.'!$BZ:$BZ,'Cronog. e Histog.'!CV:CV),"")</f>
        <v>0</v>
      </c>
      <c r="AB67" s="144">
        <f>IFERROR(_xlfn.XLOOKUP($B67,'Cronog. e Histog.'!$BZ:$BZ,'Cronog. e Histog.'!CW:CW),"")</f>
        <v>0</v>
      </c>
      <c r="AC67" s="144">
        <f>IFERROR(_xlfn.XLOOKUP($B67,'Cronog. e Histog.'!$BZ:$BZ,'Cronog. e Histog.'!CX:CX),"")</f>
        <v>0</v>
      </c>
      <c r="AD67" s="144">
        <f>IFERROR(_xlfn.XLOOKUP($B67,'Cronog. e Histog.'!$BZ:$BZ,'Cronog. e Histog.'!CY:CY),"")</f>
        <v>0</v>
      </c>
      <c r="AE67" s="144">
        <f>IFERROR(_xlfn.XLOOKUP($B67,'Cronog. e Histog.'!$BZ:$BZ,'Cronog. e Histog.'!CZ:CZ),"")</f>
        <v>0</v>
      </c>
      <c r="AF67" s="144">
        <f>IFERROR(_xlfn.XLOOKUP($B67,'Cronog. e Histog.'!$BZ:$BZ,'Cronog. e Histog.'!DA:DA),"")</f>
        <v>0</v>
      </c>
      <c r="AG67" s="144">
        <f>IFERROR(_xlfn.XLOOKUP($B67,'Cronog. e Histog.'!$BZ:$BZ,'Cronog. e Histog.'!DB:DB),"")</f>
        <v>0</v>
      </c>
      <c r="AH67" s="144">
        <f>IFERROR(_xlfn.XLOOKUP($B67,'Cronog. e Histog.'!$BZ:$BZ,'Cronog. e Histog.'!DC:DC),"")</f>
        <v>0</v>
      </c>
      <c r="AI67" s="144">
        <f>IFERROR(_xlfn.XLOOKUP($B67,'Cronog. e Histog.'!$BZ:$BZ,'Cronog. e Histog.'!DD:DD),"")</f>
        <v>0</v>
      </c>
      <c r="AJ67" s="144">
        <f>IFERROR(_xlfn.XLOOKUP($B67,'Cronog. e Histog.'!$BZ:$BZ,'Cronog. e Histog.'!DE:DE),"")</f>
        <v>0</v>
      </c>
      <c r="AK67" s="144">
        <f>IFERROR(_xlfn.XLOOKUP($B67,'Cronog. e Histog.'!$BZ:$BZ,'Cronog. e Histog.'!DF:DF),"")</f>
        <v>0</v>
      </c>
      <c r="AL67" s="144">
        <f>IFERROR(_xlfn.XLOOKUP($B67,'Cronog. e Histog.'!$BZ:$BZ,'Cronog. e Histog.'!DG:DG),"")</f>
        <v>0</v>
      </c>
      <c r="AM67" s="144">
        <f>IFERROR(_xlfn.XLOOKUP($B67,'Cronog. e Histog.'!$BZ:$BZ,'Cronog. e Histog.'!DH:DH),"")</f>
        <v>0</v>
      </c>
      <c r="AN67" s="144">
        <f>IFERROR(_xlfn.XLOOKUP($B67,'Cronog. e Histog.'!$BZ:$BZ,'Cronog. e Histog.'!DI:DI),"")</f>
        <v>0</v>
      </c>
      <c r="AO67" s="144">
        <f>IFERROR(_xlfn.XLOOKUP($B67,'Cronog. e Histog.'!$BZ:$BZ,'Cronog. e Histog.'!DJ:DJ),"")</f>
        <v>0</v>
      </c>
      <c r="AP67" s="144">
        <f>IFERROR(_xlfn.XLOOKUP($B67,'Cronog. e Histog.'!$BZ:$BZ,'Cronog. e Histog.'!DK:DK),"")</f>
        <v>0</v>
      </c>
      <c r="AQ67" s="144">
        <f>IFERROR(_xlfn.XLOOKUP($B67,'Cronog. e Histog.'!$BZ:$BZ,'Cronog. e Histog.'!DL:DL),"")</f>
        <v>0</v>
      </c>
      <c r="AR67" s="144">
        <f>IFERROR(_xlfn.XLOOKUP($B67,'Cronog. e Histog.'!$BZ:$BZ,'Cronog. e Histog.'!DM:DM),"")</f>
        <v>0</v>
      </c>
      <c r="AS67" s="144">
        <f>IFERROR(_xlfn.XLOOKUP($B67,'Cronog. e Histog.'!$BZ:$BZ,'Cronog. e Histog.'!DN:DN),"")</f>
        <v>0</v>
      </c>
      <c r="AT67" s="144">
        <f>IFERROR(_xlfn.XLOOKUP($B67,'Cronog. e Histog.'!$BZ:$BZ,'Cronog. e Histog.'!DO:DO),"")</f>
        <v>0</v>
      </c>
      <c r="AU67" s="144">
        <f>IFERROR(_xlfn.XLOOKUP($B67,'Cronog. e Histog.'!$BZ:$BZ,'Cronog. e Histog.'!DP:DP),"")</f>
        <v>0</v>
      </c>
      <c r="AV67" s="144">
        <f>IFERROR(_xlfn.XLOOKUP($B67,'Cronog. e Histog.'!$BZ:$BZ,'Cronog. e Histog.'!DQ:DQ),"")</f>
        <v>0</v>
      </c>
      <c r="AW67" s="144">
        <f>IFERROR(_xlfn.XLOOKUP($B67,'Cronog. e Histog.'!$BZ:$BZ,'Cronog. e Histog.'!DR:DR),"")</f>
        <v>0</v>
      </c>
      <c r="AX67" s="144">
        <f>IFERROR(_xlfn.XLOOKUP($B67,'Cronog. e Histog.'!$BZ:$BZ,'Cronog. e Histog.'!DS:DS),"")</f>
        <v>0</v>
      </c>
      <c r="AY67" s="144">
        <f>IFERROR(_xlfn.XLOOKUP($B67,'Cronog. e Histog.'!$BZ:$BZ,'Cronog. e Histog.'!DT:DT),"")</f>
        <v>0</v>
      </c>
      <c r="AZ67" s="144">
        <f>IFERROR(_xlfn.XLOOKUP($B67,'Cronog. e Histog.'!$BZ:$BZ,'Cronog. e Histog.'!DU:DU),"")</f>
        <v>0</v>
      </c>
      <c r="BA67" s="144">
        <f>IFERROR(_xlfn.XLOOKUP($B67,'Cronog. e Histog.'!$BZ:$BZ,'Cronog. e Histog.'!DV:DV),"")</f>
        <v>0</v>
      </c>
      <c r="BB67" s="144">
        <f>IFERROR(_xlfn.XLOOKUP($B67,'Cronog. e Histog.'!$BZ:$BZ,'Cronog. e Histog.'!DW:DW),"")</f>
        <v>0</v>
      </c>
      <c r="BC67" s="144">
        <f>IFERROR(_xlfn.XLOOKUP($B67,'Cronog. e Histog.'!$BZ:$BZ,'Cronog. e Histog.'!DX:DX),"")</f>
        <v>0</v>
      </c>
      <c r="BD67" s="144">
        <f>IFERROR(_xlfn.XLOOKUP($B67,'Cronog. e Histog.'!$BZ:$BZ,'Cronog. e Histog.'!DY:DY),"")</f>
        <v>0</v>
      </c>
      <c r="BE67" s="144">
        <f>IFERROR(_xlfn.XLOOKUP($B67,'Cronog. e Histog.'!$BZ:$BZ,'Cronog. e Histog.'!DZ:DZ),"")</f>
        <v>0</v>
      </c>
      <c r="BF67" s="144">
        <f>IFERROR(_xlfn.XLOOKUP($B67,'Cronog. e Histog.'!$BZ:$BZ,'Cronog. e Histog.'!EA:EA),"")</f>
        <v>0</v>
      </c>
      <c r="BG67" s="144">
        <f>IFERROR(_xlfn.XLOOKUP($B67,'Cronog. e Histog.'!$BZ:$BZ,'Cronog. e Histog.'!EB:EB),"")</f>
        <v>0</v>
      </c>
      <c r="BH67" s="144">
        <f>IFERROR(_xlfn.XLOOKUP($B67,'Cronog. e Histog.'!$BZ:$BZ,'Cronog. e Histog.'!EC:EC),"")</f>
        <v>0</v>
      </c>
      <c r="BI67" s="144">
        <f>IFERROR(_xlfn.XLOOKUP($B67,'Cronog. e Histog.'!$BZ:$BZ,'Cronog. e Histog.'!ED:ED),"")</f>
        <v>0</v>
      </c>
      <c r="BJ67" s="144">
        <f>IFERROR(_xlfn.XLOOKUP($B67,'Cronog. e Histog.'!$BZ:$BZ,'Cronog. e Histog.'!EE:EE),"")</f>
        <v>0</v>
      </c>
      <c r="BK67" s="144">
        <f>IFERROR(_xlfn.XLOOKUP($B67,'Cronog. e Histog.'!$BZ:$BZ,'Cronog. e Histog.'!EF:EF),"")</f>
        <v>0</v>
      </c>
      <c r="BL67" s="144">
        <f>IFERROR(_xlfn.XLOOKUP($B67,'Cronog. e Histog.'!$BZ:$BZ,'Cronog. e Histog.'!EG:EG),"")</f>
        <v>0</v>
      </c>
      <c r="BM67" s="144">
        <f>IFERROR(_xlfn.XLOOKUP($B67,'Cronog. e Histog.'!$BZ:$BZ,'Cronog. e Histog.'!EH:EH),"")</f>
        <v>0</v>
      </c>
      <c r="BN67" s="144">
        <f>IFERROR(_xlfn.XLOOKUP($B67,'Cronog. e Histog.'!$BZ:$BZ,'Cronog. e Histog.'!EI:EI),"")</f>
        <v>0</v>
      </c>
    </row>
    <row r="68" spans="2:66" ht="12" hidden="1" customHeight="1" outlineLevel="1">
      <c r="B68" s="76">
        <v>62</v>
      </c>
      <c r="C68" s="143" t="str">
        <f>IFERROR(VLOOKUP(B68,'Cronog. e Histog.'!$BZ$213:$CA$747,2,0),"")</f>
        <v>COORD.</v>
      </c>
      <c r="D68" s="144">
        <f t="shared" si="0"/>
        <v>0</v>
      </c>
      <c r="E68" s="144">
        <f t="shared" si="1"/>
        <v>0</v>
      </c>
      <c r="F68" s="65"/>
      <c r="G68" s="144">
        <f>IFERROR(_xlfn.XLOOKUP($B68,'Cronog. e Histog.'!$BZ:$BZ,'Cronog. e Histog.'!CB:CB),"")</f>
        <v>0</v>
      </c>
      <c r="H68" s="144">
        <f>IFERROR(_xlfn.XLOOKUP($B68,'Cronog. e Histog.'!$BZ:$BZ,'Cronog. e Histog.'!CC:CC),"")</f>
        <v>0</v>
      </c>
      <c r="I68" s="144">
        <f>IFERROR(_xlfn.XLOOKUP($B68,'Cronog. e Histog.'!$BZ:$BZ,'Cronog. e Histog.'!CD:CD),"")</f>
        <v>0</v>
      </c>
      <c r="J68" s="144">
        <f>IFERROR(_xlfn.XLOOKUP($B68,'Cronog. e Histog.'!$BZ:$BZ,'Cronog. e Histog.'!CE:CE),"")</f>
        <v>0</v>
      </c>
      <c r="K68" s="144">
        <f>IFERROR(_xlfn.XLOOKUP($B68,'Cronog. e Histog.'!$BZ:$BZ,'Cronog. e Histog.'!CF:CF),"")</f>
        <v>0</v>
      </c>
      <c r="L68" s="144">
        <f>IFERROR(_xlfn.XLOOKUP($B68,'Cronog. e Histog.'!$BZ:$BZ,'Cronog. e Histog.'!CG:CG),"")</f>
        <v>0</v>
      </c>
      <c r="M68" s="144">
        <f>IFERROR(_xlfn.XLOOKUP($B68,'Cronog. e Histog.'!$BZ:$BZ,'Cronog. e Histog.'!CH:CH),"")</f>
        <v>0</v>
      </c>
      <c r="N68" s="144">
        <f>IFERROR(_xlfn.XLOOKUP($B68,'Cronog. e Histog.'!$BZ:$BZ,'Cronog. e Histog.'!CI:CI),"")</f>
        <v>0</v>
      </c>
      <c r="O68" s="144">
        <f>IFERROR(_xlfn.XLOOKUP($B68,'Cronog. e Histog.'!$BZ:$BZ,'Cronog. e Histog.'!CJ:CJ),"")</f>
        <v>0</v>
      </c>
      <c r="P68" s="144">
        <f>IFERROR(_xlfn.XLOOKUP($B68,'Cronog. e Histog.'!$BZ:$BZ,'Cronog. e Histog.'!CK:CK),"")</f>
        <v>0</v>
      </c>
      <c r="Q68" s="144">
        <f>IFERROR(_xlfn.XLOOKUP($B68,'Cronog. e Histog.'!$BZ:$BZ,'Cronog. e Histog.'!CL:CL),"")</f>
        <v>0</v>
      </c>
      <c r="R68" s="144">
        <f>IFERROR(_xlfn.XLOOKUP($B68,'Cronog. e Histog.'!$BZ:$BZ,'Cronog. e Histog.'!CM:CM),"")</f>
        <v>0</v>
      </c>
      <c r="S68" s="144">
        <f>IFERROR(_xlfn.XLOOKUP($B68,'Cronog. e Histog.'!$BZ:$BZ,'Cronog. e Histog.'!CN:CN),"")</f>
        <v>0</v>
      </c>
      <c r="T68" s="144">
        <f>IFERROR(_xlfn.XLOOKUP($B68,'Cronog. e Histog.'!$BZ:$BZ,'Cronog. e Histog.'!CO:CO),"")</f>
        <v>0</v>
      </c>
      <c r="U68" s="144">
        <f>IFERROR(_xlfn.XLOOKUP($B68,'Cronog. e Histog.'!$BZ:$BZ,'Cronog. e Histog.'!CP:CP),"")</f>
        <v>0</v>
      </c>
      <c r="V68" s="144">
        <f>IFERROR(_xlfn.XLOOKUP($B68,'Cronog. e Histog.'!$BZ:$BZ,'Cronog. e Histog.'!CQ:CQ),"")</f>
        <v>0</v>
      </c>
      <c r="W68" s="144">
        <f>IFERROR(_xlfn.XLOOKUP($B68,'Cronog. e Histog.'!$BZ:$BZ,'Cronog. e Histog.'!CR:CR),"")</f>
        <v>0</v>
      </c>
      <c r="X68" s="144">
        <f>IFERROR(_xlfn.XLOOKUP($B68,'Cronog. e Histog.'!$BZ:$BZ,'Cronog. e Histog.'!CS:CS),"")</f>
        <v>0</v>
      </c>
      <c r="Y68" s="144">
        <f>IFERROR(_xlfn.XLOOKUP($B68,'Cronog. e Histog.'!$BZ:$BZ,'Cronog. e Histog.'!CT:CT),"")</f>
        <v>0</v>
      </c>
      <c r="Z68" s="144">
        <f>IFERROR(_xlfn.XLOOKUP($B68,'Cronog. e Histog.'!$BZ:$BZ,'Cronog. e Histog.'!CU:CU),"")</f>
        <v>0</v>
      </c>
      <c r="AA68" s="144">
        <f>IFERROR(_xlfn.XLOOKUP($B68,'Cronog. e Histog.'!$BZ:$BZ,'Cronog. e Histog.'!CV:CV),"")</f>
        <v>0</v>
      </c>
      <c r="AB68" s="144">
        <f>IFERROR(_xlfn.XLOOKUP($B68,'Cronog. e Histog.'!$BZ:$BZ,'Cronog. e Histog.'!CW:CW),"")</f>
        <v>0</v>
      </c>
      <c r="AC68" s="144">
        <f>IFERROR(_xlfn.XLOOKUP($B68,'Cronog. e Histog.'!$BZ:$BZ,'Cronog. e Histog.'!CX:CX),"")</f>
        <v>0</v>
      </c>
      <c r="AD68" s="144">
        <f>IFERROR(_xlfn.XLOOKUP($B68,'Cronog. e Histog.'!$BZ:$BZ,'Cronog. e Histog.'!CY:CY),"")</f>
        <v>0</v>
      </c>
      <c r="AE68" s="144">
        <f>IFERROR(_xlfn.XLOOKUP($B68,'Cronog. e Histog.'!$BZ:$BZ,'Cronog. e Histog.'!CZ:CZ),"")</f>
        <v>0</v>
      </c>
      <c r="AF68" s="144">
        <f>IFERROR(_xlfn.XLOOKUP($B68,'Cronog. e Histog.'!$BZ:$BZ,'Cronog. e Histog.'!DA:DA),"")</f>
        <v>0</v>
      </c>
      <c r="AG68" s="144">
        <f>IFERROR(_xlfn.XLOOKUP($B68,'Cronog. e Histog.'!$BZ:$BZ,'Cronog. e Histog.'!DB:DB),"")</f>
        <v>0</v>
      </c>
      <c r="AH68" s="144">
        <f>IFERROR(_xlfn.XLOOKUP($B68,'Cronog. e Histog.'!$BZ:$BZ,'Cronog. e Histog.'!DC:DC),"")</f>
        <v>0</v>
      </c>
      <c r="AI68" s="144">
        <f>IFERROR(_xlfn.XLOOKUP($B68,'Cronog. e Histog.'!$BZ:$BZ,'Cronog. e Histog.'!DD:DD),"")</f>
        <v>0</v>
      </c>
      <c r="AJ68" s="144">
        <f>IFERROR(_xlfn.XLOOKUP($B68,'Cronog. e Histog.'!$BZ:$BZ,'Cronog. e Histog.'!DE:DE),"")</f>
        <v>0</v>
      </c>
      <c r="AK68" s="144">
        <f>IFERROR(_xlfn.XLOOKUP($B68,'Cronog. e Histog.'!$BZ:$BZ,'Cronog. e Histog.'!DF:DF),"")</f>
        <v>0</v>
      </c>
      <c r="AL68" s="144">
        <f>IFERROR(_xlfn.XLOOKUP($B68,'Cronog. e Histog.'!$BZ:$BZ,'Cronog. e Histog.'!DG:DG),"")</f>
        <v>0</v>
      </c>
      <c r="AM68" s="144">
        <f>IFERROR(_xlfn.XLOOKUP($B68,'Cronog. e Histog.'!$BZ:$BZ,'Cronog. e Histog.'!DH:DH),"")</f>
        <v>0</v>
      </c>
      <c r="AN68" s="144">
        <f>IFERROR(_xlfn.XLOOKUP($B68,'Cronog. e Histog.'!$BZ:$BZ,'Cronog. e Histog.'!DI:DI),"")</f>
        <v>0</v>
      </c>
      <c r="AO68" s="144">
        <f>IFERROR(_xlfn.XLOOKUP($B68,'Cronog. e Histog.'!$BZ:$BZ,'Cronog. e Histog.'!DJ:DJ),"")</f>
        <v>0</v>
      </c>
      <c r="AP68" s="144">
        <f>IFERROR(_xlfn.XLOOKUP($B68,'Cronog. e Histog.'!$BZ:$BZ,'Cronog. e Histog.'!DK:DK),"")</f>
        <v>0</v>
      </c>
      <c r="AQ68" s="144">
        <f>IFERROR(_xlfn.XLOOKUP($B68,'Cronog. e Histog.'!$BZ:$BZ,'Cronog. e Histog.'!DL:DL),"")</f>
        <v>0</v>
      </c>
      <c r="AR68" s="144">
        <f>IFERROR(_xlfn.XLOOKUP($B68,'Cronog. e Histog.'!$BZ:$BZ,'Cronog. e Histog.'!DM:DM),"")</f>
        <v>0</v>
      </c>
      <c r="AS68" s="144">
        <f>IFERROR(_xlfn.XLOOKUP($B68,'Cronog. e Histog.'!$BZ:$BZ,'Cronog. e Histog.'!DN:DN),"")</f>
        <v>0</v>
      </c>
      <c r="AT68" s="144">
        <f>IFERROR(_xlfn.XLOOKUP($B68,'Cronog. e Histog.'!$BZ:$BZ,'Cronog. e Histog.'!DO:DO),"")</f>
        <v>0</v>
      </c>
      <c r="AU68" s="144">
        <f>IFERROR(_xlfn.XLOOKUP($B68,'Cronog. e Histog.'!$BZ:$BZ,'Cronog. e Histog.'!DP:DP),"")</f>
        <v>0</v>
      </c>
      <c r="AV68" s="144">
        <f>IFERROR(_xlfn.XLOOKUP($B68,'Cronog. e Histog.'!$BZ:$BZ,'Cronog. e Histog.'!DQ:DQ),"")</f>
        <v>0</v>
      </c>
      <c r="AW68" s="144">
        <f>IFERROR(_xlfn.XLOOKUP($B68,'Cronog. e Histog.'!$BZ:$BZ,'Cronog. e Histog.'!DR:DR),"")</f>
        <v>0</v>
      </c>
      <c r="AX68" s="144">
        <f>IFERROR(_xlfn.XLOOKUP($B68,'Cronog. e Histog.'!$BZ:$BZ,'Cronog. e Histog.'!DS:DS),"")</f>
        <v>0</v>
      </c>
      <c r="AY68" s="144">
        <f>IFERROR(_xlfn.XLOOKUP($B68,'Cronog. e Histog.'!$BZ:$BZ,'Cronog. e Histog.'!DT:DT),"")</f>
        <v>0</v>
      </c>
      <c r="AZ68" s="144">
        <f>IFERROR(_xlfn.XLOOKUP($B68,'Cronog. e Histog.'!$BZ:$BZ,'Cronog. e Histog.'!DU:DU),"")</f>
        <v>0</v>
      </c>
      <c r="BA68" s="144">
        <f>IFERROR(_xlfn.XLOOKUP($B68,'Cronog. e Histog.'!$BZ:$BZ,'Cronog. e Histog.'!DV:DV),"")</f>
        <v>0</v>
      </c>
      <c r="BB68" s="144">
        <f>IFERROR(_xlfn.XLOOKUP($B68,'Cronog. e Histog.'!$BZ:$BZ,'Cronog. e Histog.'!DW:DW),"")</f>
        <v>0</v>
      </c>
      <c r="BC68" s="144">
        <f>IFERROR(_xlfn.XLOOKUP($B68,'Cronog. e Histog.'!$BZ:$BZ,'Cronog. e Histog.'!DX:DX),"")</f>
        <v>0</v>
      </c>
      <c r="BD68" s="144">
        <f>IFERROR(_xlfn.XLOOKUP($B68,'Cronog. e Histog.'!$BZ:$BZ,'Cronog. e Histog.'!DY:DY),"")</f>
        <v>0</v>
      </c>
      <c r="BE68" s="144">
        <f>IFERROR(_xlfn.XLOOKUP($B68,'Cronog. e Histog.'!$BZ:$BZ,'Cronog. e Histog.'!DZ:DZ),"")</f>
        <v>0</v>
      </c>
      <c r="BF68" s="144">
        <f>IFERROR(_xlfn.XLOOKUP($B68,'Cronog. e Histog.'!$BZ:$BZ,'Cronog. e Histog.'!EA:EA),"")</f>
        <v>0</v>
      </c>
      <c r="BG68" s="144">
        <f>IFERROR(_xlfn.XLOOKUP($B68,'Cronog. e Histog.'!$BZ:$BZ,'Cronog. e Histog.'!EB:EB),"")</f>
        <v>0</v>
      </c>
      <c r="BH68" s="144">
        <f>IFERROR(_xlfn.XLOOKUP($B68,'Cronog. e Histog.'!$BZ:$BZ,'Cronog. e Histog.'!EC:EC),"")</f>
        <v>0</v>
      </c>
      <c r="BI68" s="144">
        <f>IFERROR(_xlfn.XLOOKUP($B68,'Cronog. e Histog.'!$BZ:$BZ,'Cronog. e Histog.'!ED:ED),"")</f>
        <v>0</v>
      </c>
      <c r="BJ68" s="144">
        <f>IFERROR(_xlfn.XLOOKUP($B68,'Cronog. e Histog.'!$BZ:$BZ,'Cronog. e Histog.'!EE:EE),"")</f>
        <v>0</v>
      </c>
      <c r="BK68" s="144">
        <f>IFERROR(_xlfn.XLOOKUP($B68,'Cronog. e Histog.'!$BZ:$BZ,'Cronog. e Histog.'!EF:EF),"")</f>
        <v>0</v>
      </c>
      <c r="BL68" s="144">
        <f>IFERROR(_xlfn.XLOOKUP($B68,'Cronog. e Histog.'!$BZ:$BZ,'Cronog. e Histog.'!EG:EG),"")</f>
        <v>0</v>
      </c>
      <c r="BM68" s="144">
        <f>IFERROR(_xlfn.XLOOKUP($B68,'Cronog. e Histog.'!$BZ:$BZ,'Cronog. e Histog.'!EH:EH),"")</f>
        <v>0</v>
      </c>
      <c r="BN68" s="144">
        <f>IFERROR(_xlfn.XLOOKUP($B68,'Cronog. e Histog.'!$BZ:$BZ,'Cronog. e Histog.'!EI:EI),"")</f>
        <v>0</v>
      </c>
    </row>
    <row r="69" spans="2:66" ht="12" hidden="1" customHeight="1" outlineLevel="1">
      <c r="B69" s="76">
        <v>63</v>
      </c>
      <c r="C69" s="143" t="str">
        <f>IFERROR(VLOOKUP(B69,'Cronog. e Histog.'!$BZ$213:$CA$747,2,0),"")</f>
        <v>SUP.-ESP</v>
      </c>
      <c r="D69" s="144">
        <f t="shared" si="0"/>
        <v>0</v>
      </c>
      <c r="E69" s="144">
        <f t="shared" si="1"/>
        <v>0</v>
      </c>
      <c r="F69" s="65"/>
      <c r="G69" s="144">
        <f>IFERROR(_xlfn.XLOOKUP($B69,'Cronog. e Histog.'!$BZ:$BZ,'Cronog. e Histog.'!CB:CB),"")</f>
        <v>0</v>
      </c>
      <c r="H69" s="144">
        <f>IFERROR(_xlfn.XLOOKUP($B69,'Cronog. e Histog.'!$BZ:$BZ,'Cronog. e Histog.'!CC:CC),"")</f>
        <v>0</v>
      </c>
      <c r="I69" s="144">
        <f>IFERROR(_xlfn.XLOOKUP($B69,'Cronog. e Histog.'!$BZ:$BZ,'Cronog. e Histog.'!CD:CD),"")</f>
        <v>0</v>
      </c>
      <c r="J69" s="144">
        <f>IFERROR(_xlfn.XLOOKUP($B69,'Cronog. e Histog.'!$BZ:$BZ,'Cronog. e Histog.'!CE:CE),"")</f>
        <v>0</v>
      </c>
      <c r="K69" s="144">
        <f>IFERROR(_xlfn.XLOOKUP($B69,'Cronog. e Histog.'!$BZ:$BZ,'Cronog. e Histog.'!CF:CF),"")</f>
        <v>0</v>
      </c>
      <c r="L69" s="144">
        <f>IFERROR(_xlfn.XLOOKUP($B69,'Cronog. e Histog.'!$BZ:$BZ,'Cronog. e Histog.'!CG:CG),"")</f>
        <v>0</v>
      </c>
      <c r="M69" s="144">
        <f>IFERROR(_xlfn.XLOOKUP($B69,'Cronog. e Histog.'!$BZ:$BZ,'Cronog. e Histog.'!CH:CH),"")</f>
        <v>0</v>
      </c>
      <c r="N69" s="144">
        <f>IFERROR(_xlfn.XLOOKUP($B69,'Cronog. e Histog.'!$BZ:$BZ,'Cronog. e Histog.'!CI:CI),"")</f>
        <v>0</v>
      </c>
      <c r="O69" s="144">
        <f>IFERROR(_xlfn.XLOOKUP($B69,'Cronog. e Histog.'!$BZ:$BZ,'Cronog. e Histog.'!CJ:CJ),"")</f>
        <v>0</v>
      </c>
      <c r="P69" s="144">
        <f>IFERROR(_xlfn.XLOOKUP($B69,'Cronog. e Histog.'!$BZ:$BZ,'Cronog. e Histog.'!CK:CK),"")</f>
        <v>0</v>
      </c>
      <c r="Q69" s="144">
        <f>IFERROR(_xlfn.XLOOKUP($B69,'Cronog. e Histog.'!$BZ:$BZ,'Cronog. e Histog.'!CL:CL),"")</f>
        <v>0</v>
      </c>
      <c r="R69" s="144">
        <f>IFERROR(_xlfn.XLOOKUP($B69,'Cronog. e Histog.'!$BZ:$BZ,'Cronog. e Histog.'!CM:CM),"")</f>
        <v>0</v>
      </c>
      <c r="S69" s="144">
        <f>IFERROR(_xlfn.XLOOKUP($B69,'Cronog. e Histog.'!$BZ:$BZ,'Cronog. e Histog.'!CN:CN),"")</f>
        <v>0</v>
      </c>
      <c r="T69" s="144">
        <f>IFERROR(_xlfn.XLOOKUP($B69,'Cronog. e Histog.'!$BZ:$BZ,'Cronog. e Histog.'!CO:CO),"")</f>
        <v>0</v>
      </c>
      <c r="U69" s="144">
        <f>IFERROR(_xlfn.XLOOKUP($B69,'Cronog. e Histog.'!$BZ:$BZ,'Cronog. e Histog.'!CP:CP),"")</f>
        <v>0</v>
      </c>
      <c r="V69" s="144">
        <f>IFERROR(_xlfn.XLOOKUP($B69,'Cronog. e Histog.'!$BZ:$BZ,'Cronog. e Histog.'!CQ:CQ),"")</f>
        <v>0</v>
      </c>
      <c r="W69" s="144">
        <f>IFERROR(_xlfn.XLOOKUP($B69,'Cronog. e Histog.'!$BZ:$BZ,'Cronog. e Histog.'!CR:CR),"")</f>
        <v>0</v>
      </c>
      <c r="X69" s="144">
        <f>IFERROR(_xlfn.XLOOKUP($B69,'Cronog. e Histog.'!$BZ:$BZ,'Cronog. e Histog.'!CS:CS),"")</f>
        <v>0</v>
      </c>
      <c r="Y69" s="144">
        <f>IFERROR(_xlfn.XLOOKUP($B69,'Cronog. e Histog.'!$BZ:$BZ,'Cronog. e Histog.'!CT:CT),"")</f>
        <v>0</v>
      </c>
      <c r="Z69" s="144">
        <f>IFERROR(_xlfn.XLOOKUP($B69,'Cronog. e Histog.'!$BZ:$BZ,'Cronog. e Histog.'!CU:CU),"")</f>
        <v>0</v>
      </c>
      <c r="AA69" s="144">
        <f>IFERROR(_xlfn.XLOOKUP($B69,'Cronog. e Histog.'!$BZ:$BZ,'Cronog. e Histog.'!CV:CV),"")</f>
        <v>0</v>
      </c>
      <c r="AB69" s="144">
        <f>IFERROR(_xlfn.XLOOKUP($B69,'Cronog. e Histog.'!$BZ:$BZ,'Cronog. e Histog.'!CW:CW),"")</f>
        <v>0</v>
      </c>
      <c r="AC69" s="144">
        <f>IFERROR(_xlfn.XLOOKUP($B69,'Cronog. e Histog.'!$BZ:$BZ,'Cronog. e Histog.'!CX:CX),"")</f>
        <v>0</v>
      </c>
      <c r="AD69" s="144">
        <f>IFERROR(_xlfn.XLOOKUP($B69,'Cronog. e Histog.'!$BZ:$BZ,'Cronog. e Histog.'!CY:CY),"")</f>
        <v>0</v>
      </c>
      <c r="AE69" s="144">
        <f>IFERROR(_xlfn.XLOOKUP($B69,'Cronog. e Histog.'!$BZ:$BZ,'Cronog. e Histog.'!CZ:CZ),"")</f>
        <v>0</v>
      </c>
      <c r="AF69" s="144">
        <f>IFERROR(_xlfn.XLOOKUP($B69,'Cronog. e Histog.'!$BZ:$BZ,'Cronog. e Histog.'!DA:DA),"")</f>
        <v>0</v>
      </c>
      <c r="AG69" s="144">
        <f>IFERROR(_xlfn.XLOOKUP($B69,'Cronog. e Histog.'!$BZ:$BZ,'Cronog. e Histog.'!DB:DB),"")</f>
        <v>0</v>
      </c>
      <c r="AH69" s="144">
        <f>IFERROR(_xlfn.XLOOKUP($B69,'Cronog. e Histog.'!$BZ:$BZ,'Cronog. e Histog.'!DC:DC),"")</f>
        <v>0</v>
      </c>
      <c r="AI69" s="144">
        <f>IFERROR(_xlfn.XLOOKUP($B69,'Cronog. e Histog.'!$BZ:$BZ,'Cronog. e Histog.'!DD:DD),"")</f>
        <v>0</v>
      </c>
      <c r="AJ69" s="144">
        <f>IFERROR(_xlfn.XLOOKUP($B69,'Cronog. e Histog.'!$BZ:$BZ,'Cronog. e Histog.'!DE:DE),"")</f>
        <v>0</v>
      </c>
      <c r="AK69" s="144">
        <f>IFERROR(_xlfn.XLOOKUP($B69,'Cronog. e Histog.'!$BZ:$BZ,'Cronog. e Histog.'!DF:DF),"")</f>
        <v>0</v>
      </c>
      <c r="AL69" s="144">
        <f>IFERROR(_xlfn.XLOOKUP($B69,'Cronog. e Histog.'!$BZ:$BZ,'Cronog. e Histog.'!DG:DG),"")</f>
        <v>0</v>
      </c>
      <c r="AM69" s="144">
        <f>IFERROR(_xlfn.XLOOKUP($B69,'Cronog. e Histog.'!$BZ:$BZ,'Cronog. e Histog.'!DH:DH),"")</f>
        <v>0</v>
      </c>
      <c r="AN69" s="144">
        <f>IFERROR(_xlfn.XLOOKUP($B69,'Cronog. e Histog.'!$BZ:$BZ,'Cronog. e Histog.'!DI:DI),"")</f>
        <v>0</v>
      </c>
      <c r="AO69" s="144">
        <f>IFERROR(_xlfn.XLOOKUP($B69,'Cronog. e Histog.'!$BZ:$BZ,'Cronog. e Histog.'!DJ:DJ),"")</f>
        <v>0</v>
      </c>
      <c r="AP69" s="144">
        <f>IFERROR(_xlfn.XLOOKUP($B69,'Cronog. e Histog.'!$BZ:$BZ,'Cronog. e Histog.'!DK:DK),"")</f>
        <v>0</v>
      </c>
      <c r="AQ69" s="144">
        <f>IFERROR(_xlfn.XLOOKUP($B69,'Cronog. e Histog.'!$BZ:$BZ,'Cronog. e Histog.'!DL:DL),"")</f>
        <v>0</v>
      </c>
      <c r="AR69" s="144">
        <f>IFERROR(_xlfn.XLOOKUP($B69,'Cronog. e Histog.'!$BZ:$BZ,'Cronog. e Histog.'!DM:DM),"")</f>
        <v>0</v>
      </c>
      <c r="AS69" s="144">
        <f>IFERROR(_xlfn.XLOOKUP($B69,'Cronog. e Histog.'!$BZ:$BZ,'Cronog. e Histog.'!DN:DN),"")</f>
        <v>0</v>
      </c>
      <c r="AT69" s="144">
        <f>IFERROR(_xlfn.XLOOKUP($B69,'Cronog. e Histog.'!$BZ:$BZ,'Cronog. e Histog.'!DO:DO),"")</f>
        <v>0</v>
      </c>
      <c r="AU69" s="144">
        <f>IFERROR(_xlfn.XLOOKUP($B69,'Cronog. e Histog.'!$BZ:$BZ,'Cronog. e Histog.'!DP:DP),"")</f>
        <v>0</v>
      </c>
      <c r="AV69" s="144">
        <f>IFERROR(_xlfn.XLOOKUP($B69,'Cronog. e Histog.'!$BZ:$BZ,'Cronog. e Histog.'!DQ:DQ),"")</f>
        <v>0</v>
      </c>
      <c r="AW69" s="144">
        <f>IFERROR(_xlfn.XLOOKUP($B69,'Cronog. e Histog.'!$BZ:$BZ,'Cronog. e Histog.'!DR:DR),"")</f>
        <v>0</v>
      </c>
      <c r="AX69" s="144">
        <f>IFERROR(_xlfn.XLOOKUP($B69,'Cronog. e Histog.'!$BZ:$BZ,'Cronog. e Histog.'!DS:DS),"")</f>
        <v>0</v>
      </c>
      <c r="AY69" s="144">
        <f>IFERROR(_xlfn.XLOOKUP($B69,'Cronog. e Histog.'!$BZ:$BZ,'Cronog. e Histog.'!DT:DT),"")</f>
        <v>0</v>
      </c>
      <c r="AZ69" s="144">
        <f>IFERROR(_xlfn.XLOOKUP($B69,'Cronog. e Histog.'!$BZ:$BZ,'Cronog. e Histog.'!DU:DU),"")</f>
        <v>0</v>
      </c>
      <c r="BA69" s="144">
        <f>IFERROR(_xlfn.XLOOKUP($B69,'Cronog. e Histog.'!$BZ:$BZ,'Cronog. e Histog.'!DV:DV),"")</f>
        <v>0</v>
      </c>
      <c r="BB69" s="144">
        <f>IFERROR(_xlfn.XLOOKUP($B69,'Cronog. e Histog.'!$BZ:$BZ,'Cronog. e Histog.'!DW:DW),"")</f>
        <v>0</v>
      </c>
      <c r="BC69" s="144">
        <f>IFERROR(_xlfn.XLOOKUP($B69,'Cronog. e Histog.'!$BZ:$BZ,'Cronog. e Histog.'!DX:DX),"")</f>
        <v>0</v>
      </c>
      <c r="BD69" s="144">
        <f>IFERROR(_xlfn.XLOOKUP($B69,'Cronog. e Histog.'!$BZ:$BZ,'Cronog. e Histog.'!DY:DY),"")</f>
        <v>0</v>
      </c>
      <c r="BE69" s="144">
        <f>IFERROR(_xlfn.XLOOKUP($B69,'Cronog. e Histog.'!$BZ:$BZ,'Cronog. e Histog.'!DZ:DZ),"")</f>
        <v>0</v>
      </c>
      <c r="BF69" s="144">
        <f>IFERROR(_xlfn.XLOOKUP($B69,'Cronog. e Histog.'!$BZ:$BZ,'Cronog. e Histog.'!EA:EA),"")</f>
        <v>0</v>
      </c>
      <c r="BG69" s="144">
        <f>IFERROR(_xlfn.XLOOKUP($B69,'Cronog. e Histog.'!$BZ:$BZ,'Cronog. e Histog.'!EB:EB),"")</f>
        <v>0</v>
      </c>
      <c r="BH69" s="144">
        <f>IFERROR(_xlfn.XLOOKUP($B69,'Cronog. e Histog.'!$BZ:$BZ,'Cronog. e Histog.'!EC:EC),"")</f>
        <v>0</v>
      </c>
      <c r="BI69" s="144">
        <f>IFERROR(_xlfn.XLOOKUP($B69,'Cronog. e Histog.'!$BZ:$BZ,'Cronog. e Histog.'!ED:ED),"")</f>
        <v>0</v>
      </c>
      <c r="BJ69" s="144">
        <f>IFERROR(_xlfn.XLOOKUP($B69,'Cronog. e Histog.'!$BZ:$BZ,'Cronog. e Histog.'!EE:EE),"")</f>
        <v>0</v>
      </c>
      <c r="BK69" s="144">
        <f>IFERROR(_xlfn.XLOOKUP($B69,'Cronog. e Histog.'!$BZ:$BZ,'Cronog. e Histog.'!EF:EF),"")</f>
        <v>0</v>
      </c>
      <c r="BL69" s="144">
        <f>IFERROR(_xlfn.XLOOKUP($B69,'Cronog. e Histog.'!$BZ:$BZ,'Cronog. e Histog.'!EG:EG),"")</f>
        <v>0</v>
      </c>
      <c r="BM69" s="144">
        <f>IFERROR(_xlfn.XLOOKUP($B69,'Cronog. e Histog.'!$BZ:$BZ,'Cronog. e Histog.'!EH:EH),"")</f>
        <v>0</v>
      </c>
      <c r="BN69" s="144">
        <f>IFERROR(_xlfn.XLOOKUP($B69,'Cronog. e Histog.'!$BZ:$BZ,'Cronog. e Histog.'!EI:EI),"")</f>
        <v>0</v>
      </c>
    </row>
    <row r="70" spans="2:66" ht="12" hidden="1" customHeight="1" outlineLevel="1">
      <c r="B70" s="76">
        <v>64</v>
      </c>
      <c r="C70" s="143" t="str">
        <f>IFERROR(VLOOKUP(B70,'Cronog. e Histog.'!$BZ$213:$CA$747,2,0),"")</f>
        <v>ENG/ARQ SR.</v>
      </c>
      <c r="D70" s="144">
        <f t="shared" si="0"/>
        <v>0</v>
      </c>
      <c r="E70" s="144">
        <f t="shared" si="1"/>
        <v>0</v>
      </c>
      <c r="F70" s="65"/>
      <c r="G70" s="144">
        <f>IFERROR(_xlfn.XLOOKUP($B70,'Cronog. e Histog.'!$BZ:$BZ,'Cronog. e Histog.'!CB:CB),"")</f>
        <v>0</v>
      </c>
      <c r="H70" s="144">
        <f>IFERROR(_xlfn.XLOOKUP($B70,'Cronog. e Histog.'!$BZ:$BZ,'Cronog. e Histog.'!CC:CC),"")</f>
        <v>0</v>
      </c>
      <c r="I70" s="144">
        <f>IFERROR(_xlfn.XLOOKUP($B70,'Cronog. e Histog.'!$BZ:$BZ,'Cronog. e Histog.'!CD:CD),"")</f>
        <v>0</v>
      </c>
      <c r="J70" s="144">
        <f>IFERROR(_xlfn.XLOOKUP($B70,'Cronog. e Histog.'!$BZ:$BZ,'Cronog. e Histog.'!CE:CE),"")</f>
        <v>0</v>
      </c>
      <c r="K70" s="144">
        <f>IFERROR(_xlfn.XLOOKUP($B70,'Cronog. e Histog.'!$BZ:$BZ,'Cronog. e Histog.'!CF:CF),"")</f>
        <v>0</v>
      </c>
      <c r="L70" s="144">
        <f>IFERROR(_xlfn.XLOOKUP($B70,'Cronog. e Histog.'!$BZ:$BZ,'Cronog. e Histog.'!CG:CG),"")</f>
        <v>0</v>
      </c>
      <c r="M70" s="144">
        <f>IFERROR(_xlfn.XLOOKUP($B70,'Cronog. e Histog.'!$BZ:$BZ,'Cronog. e Histog.'!CH:CH),"")</f>
        <v>0</v>
      </c>
      <c r="N70" s="144">
        <f>IFERROR(_xlfn.XLOOKUP($B70,'Cronog. e Histog.'!$BZ:$BZ,'Cronog. e Histog.'!CI:CI),"")</f>
        <v>0</v>
      </c>
      <c r="O70" s="144">
        <f>IFERROR(_xlfn.XLOOKUP($B70,'Cronog. e Histog.'!$BZ:$BZ,'Cronog. e Histog.'!CJ:CJ),"")</f>
        <v>0</v>
      </c>
      <c r="P70" s="144">
        <f>IFERROR(_xlfn.XLOOKUP($B70,'Cronog. e Histog.'!$BZ:$BZ,'Cronog. e Histog.'!CK:CK),"")</f>
        <v>0</v>
      </c>
      <c r="Q70" s="144">
        <f>IFERROR(_xlfn.XLOOKUP($B70,'Cronog. e Histog.'!$BZ:$BZ,'Cronog. e Histog.'!CL:CL),"")</f>
        <v>0</v>
      </c>
      <c r="R70" s="144">
        <f>IFERROR(_xlfn.XLOOKUP($B70,'Cronog. e Histog.'!$BZ:$BZ,'Cronog. e Histog.'!CM:CM),"")</f>
        <v>0</v>
      </c>
      <c r="S70" s="144">
        <f>IFERROR(_xlfn.XLOOKUP($B70,'Cronog. e Histog.'!$BZ:$BZ,'Cronog. e Histog.'!CN:CN),"")</f>
        <v>0</v>
      </c>
      <c r="T70" s="144">
        <f>IFERROR(_xlfn.XLOOKUP($B70,'Cronog. e Histog.'!$BZ:$BZ,'Cronog. e Histog.'!CO:CO),"")</f>
        <v>0</v>
      </c>
      <c r="U70" s="144">
        <f>IFERROR(_xlfn.XLOOKUP($B70,'Cronog. e Histog.'!$BZ:$BZ,'Cronog. e Histog.'!CP:CP),"")</f>
        <v>0</v>
      </c>
      <c r="V70" s="144">
        <f>IFERROR(_xlfn.XLOOKUP($B70,'Cronog. e Histog.'!$BZ:$BZ,'Cronog. e Histog.'!CQ:CQ),"")</f>
        <v>0</v>
      </c>
      <c r="W70" s="144">
        <f>IFERROR(_xlfn.XLOOKUP($B70,'Cronog. e Histog.'!$BZ:$BZ,'Cronog. e Histog.'!CR:CR),"")</f>
        <v>0</v>
      </c>
      <c r="X70" s="144">
        <f>IFERROR(_xlfn.XLOOKUP($B70,'Cronog. e Histog.'!$BZ:$BZ,'Cronog. e Histog.'!CS:CS),"")</f>
        <v>0</v>
      </c>
      <c r="Y70" s="144">
        <f>IFERROR(_xlfn.XLOOKUP($B70,'Cronog. e Histog.'!$BZ:$BZ,'Cronog. e Histog.'!CT:CT),"")</f>
        <v>0</v>
      </c>
      <c r="Z70" s="144">
        <f>IFERROR(_xlfn.XLOOKUP($B70,'Cronog. e Histog.'!$BZ:$BZ,'Cronog. e Histog.'!CU:CU),"")</f>
        <v>0</v>
      </c>
      <c r="AA70" s="144">
        <f>IFERROR(_xlfn.XLOOKUP($B70,'Cronog. e Histog.'!$BZ:$BZ,'Cronog. e Histog.'!CV:CV),"")</f>
        <v>0</v>
      </c>
      <c r="AB70" s="144">
        <f>IFERROR(_xlfn.XLOOKUP($B70,'Cronog. e Histog.'!$BZ:$BZ,'Cronog. e Histog.'!CW:CW),"")</f>
        <v>0</v>
      </c>
      <c r="AC70" s="144">
        <f>IFERROR(_xlfn.XLOOKUP($B70,'Cronog. e Histog.'!$BZ:$BZ,'Cronog. e Histog.'!CX:CX),"")</f>
        <v>0</v>
      </c>
      <c r="AD70" s="144">
        <f>IFERROR(_xlfn.XLOOKUP($B70,'Cronog. e Histog.'!$BZ:$BZ,'Cronog. e Histog.'!CY:CY),"")</f>
        <v>0</v>
      </c>
      <c r="AE70" s="144">
        <f>IFERROR(_xlfn.XLOOKUP($B70,'Cronog. e Histog.'!$BZ:$BZ,'Cronog. e Histog.'!CZ:CZ),"")</f>
        <v>0</v>
      </c>
      <c r="AF70" s="144">
        <f>IFERROR(_xlfn.XLOOKUP($B70,'Cronog. e Histog.'!$BZ:$BZ,'Cronog. e Histog.'!DA:DA),"")</f>
        <v>0</v>
      </c>
      <c r="AG70" s="144">
        <f>IFERROR(_xlfn.XLOOKUP($B70,'Cronog. e Histog.'!$BZ:$BZ,'Cronog. e Histog.'!DB:DB),"")</f>
        <v>0</v>
      </c>
      <c r="AH70" s="144">
        <f>IFERROR(_xlfn.XLOOKUP($B70,'Cronog. e Histog.'!$BZ:$BZ,'Cronog. e Histog.'!DC:DC),"")</f>
        <v>0</v>
      </c>
      <c r="AI70" s="144">
        <f>IFERROR(_xlfn.XLOOKUP($B70,'Cronog. e Histog.'!$BZ:$BZ,'Cronog. e Histog.'!DD:DD),"")</f>
        <v>0</v>
      </c>
      <c r="AJ70" s="144">
        <f>IFERROR(_xlfn.XLOOKUP($B70,'Cronog. e Histog.'!$BZ:$BZ,'Cronog. e Histog.'!DE:DE),"")</f>
        <v>0</v>
      </c>
      <c r="AK70" s="144">
        <f>IFERROR(_xlfn.XLOOKUP($B70,'Cronog. e Histog.'!$BZ:$BZ,'Cronog. e Histog.'!DF:DF),"")</f>
        <v>0</v>
      </c>
      <c r="AL70" s="144">
        <f>IFERROR(_xlfn.XLOOKUP($B70,'Cronog. e Histog.'!$BZ:$BZ,'Cronog. e Histog.'!DG:DG),"")</f>
        <v>0</v>
      </c>
      <c r="AM70" s="144">
        <f>IFERROR(_xlfn.XLOOKUP($B70,'Cronog. e Histog.'!$BZ:$BZ,'Cronog. e Histog.'!DH:DH),"")</f>
        <v>0</v>
      </c>
      <c r="AN70" s="144">
        <f>IFERROR(_xlfn.XLOOKUP($B70,'Cronog. e Histog.'!$BZ:$BZ,'Cronog. e Histog.'!DI:DI),"")</f>
        <v>0</v>
      </c>
      <c r="AO70" s="144">
        <f>IFERROR(_xlfn.XLOOKUP($B70,'Cronog. e Histog.'!$BZ:$BZ,'Cronog. e Histog.'!DJ:DJ),"")</f>
        <v>0</v>
      </c>
      <c r="AP70" s="144">
        <f>IFERROR(_xlfn.XLOOKUP($B70,'Cronog. e Histog.'!$BZ:$BZ,'Cronog. e Histog.'!DK:DK),"")</f>
        <v>0</v>
      </c>
      <c r="AQ70" s="144">
        <f>IFERROR(_xlfn.XLOOKUP($B70,'Cronog. e Histog.'!$BZ:$BZ,'Cronog. e Histog.'!DL:DL),"")</f>
        <v>0</v>
      </c>
      <c r="AR70" s="144">
        <f>IFERROR(_xlfn.XLOOKUP($B70,'Cronog. e Histog.'!$BZ:$BZ,'Cronog. e Histog.'!DM:DM),"")</f>
        <v>0</v>
      </c>
      <c r="AS70" s="144">
        <f>IFERROR(_xlfn.XLOOKUP($B70,'Cronog. e Histog.'!$BZ:$BZ,'Cronog. e Histog.'!DN:DN),"")</f>
        <v>0</v>
      </c>
      <c r="AT70" s="144">
        <f>IFERROR(_xlfn.XLOOKUP($B70,'Cronog. e Histog.'!$BZ:$BZ,'Cronog. e Histog.'!DO:DO),"")</f>
        <v>0</v>
      </c>
      <c r="AU70" s="144">
        <f>IFERROR(_xlfn.XLOOKUP($B70,'Cronog. e Histog.'!$BZ:$BZ,'Cronog. e Histog.'!DP:DP),"")</f>
        <v>0</v>
      </c>
      <c r="AV70" s="144">
        <f>IFERROR(_xlfn.XLOOKUP($B70,'Cronog. e Histog.'!$BZ:$BZ,'Cronog. e Histog.'!DQ:DQ),"")</f>
        <v>0</v>
      </c>
      <c r="AW70" s="144">
        <f>IFERROR(_xlfn.XLOOKUP($B70,'Cronog. e Histog.'!$BZ:$BZ,'Cronog. e Histog.'!DR:DR),"")</f>
        <v>0</v>
      </c>
      <c r="AX70" s="144">
        <f>IFERROR(_xlfn.XLOOKUP($B70,'Cronog. e Histog.'!$BZ:$BZ,'Cronog. e Histog.'!DS:DS),"")</f>
        <v>0</v>
      </c>
      <c r="AY70" s="144">
        <f>IFERROR(_xlfn.XLOOKUP($B70,'Cronog. e Histog.'!$BZ:$BZ,'Cronog. e Histog.'!DT:DT),"")</f>
        <v>0</v>
      </c>
      <c r="AZ70" s="144">
        <f>IFERROR(_xlfn.XLOOKUP($B70,'Cronog. e Histog.'!$BZ:$BZ,'Cronog. e Histog.'!DU:DU),"")</f>
        <v>0</v>
      </c>
      <c r="BA70" s="144">
        <f>IFERROR(_xlfn.XLOOKUP($B70,'Cronog. e Histog.'!$BZ:$BZ,'Cronog. e Histog.'!DV:DV),"")</f>
        <v>0</v>
      </c>
      <c r="BB70" s="144">
        <f>IFERROR(_xlfn.XLOOKUP($B70,'Cronog. e Histog.'!$BZ:$BZ,'Cronog. e Histog.'!DW:DW),"")</f>
        <v>0</v>
      </c>
      <c r="BC70" s="144">
        <f>IFERROR(_xlfn.XLOOKUP($B70,'Cronog. e Histog.'!$BZ:$BZ,'Cronog. e Histog.'!DX:DX),"")</f>
        <v>0</v>
      </c>
      <c r="BD70" s="144">
        <f>IFERROR(_xlfn.XLOOKUP($B70,'Cronog. e Histog.'!$BZ:$BZ,'Cronog. e Histog.'!DY:DY),"")</f>
        <v>0</v>
      </c>
      <c r="BE70" s="144">
        <f>IFERROR(_xlfn.XLOOKUP($B70,'Cronog. e Histog.'!$BZ:$BZ,'Cronog. e Histog.'!DZ:DZ),"")</f>
        <v>0</v>
      </c>
      <c r="BF70" s="144">
        <f>IFERROR(_xlfn.XLOOKUP($B70,'Cronog. e Histog.'!$BZ:$BZ,'Cronog. e Histog.'!EA:EA),"")</f>
        <v>0</v>
      </c>
      <c r="BG70" s="144">
        <f>IFERROR(_xlfn.XLOOKUP($B70,'Cronog. e Histog.'!$BZ:$BZ,'Cronog. e Histog.'!EB:EB),"")</f>
        <v>0</v>
      </c>
      <c r="BH70" s="144">
        <f>IFERROR(_xlfn.XLOOKUP($B70,'Cronog. e Histog.'!$BZ:$BZ,'Cronog. e Histog.'!EC:EC),"")</f>
        <v>0</v>
      </c>
      <c r="BI70" s="144">
        <f>IFERROR(_xlfn.XLOOKUP($B70,'Cronog. e Histog.'!$BZ:$BZ,'Cronog. e Histog.'!ED:ED),"")</f>
        <v>0</v>
      </c>
      <c r="BJ70" s="144">
        <f>IFERROR(_xlfn.XLOOKUP($B70,'Cronog. e Histog.'!$BZ:$BZ,'Cronog. e Histog.'!EE:EE),"")</f>
        <v>0</v>
      </c>
      <c r="BK70" s="144">
        <f>IFERROR(_xlfn.XLOOKUP($B70,'Cronog. e Histog.'!$BZ:$BZ,'Cronog. e Histog.'!EF:EF),"")</f>
        <v>0</v>
      </c>
      <c r="BL70" s="144">
        <f>IFERROR(_xlfn.XLOOKUP($B70,'Cronog. e Histog.'!$BZ:$BZ,'Cronog. e Histog.'!EG:EG),"")</f>
        <v>0</v>
      </c>
      <c r="BM70" s="144">
        <f>IFERROR(_xlfn.XLOOKUP($B70,'Cronog. e Histog.'!$BZ:$BZ,'Cronog. e Histog.'!EH:EH),"")</f>
        <v>0</v>
      </c>
      <c r="BN70" s="144">
        <f>IFERROR(_xlfn.XLOOKUP($B70,'Cronog. e Histog.'!$BZ:$BZ,'Cronog. e Histog.'!EI:EI),"")</f>
        <v>0</v>
      </c>
    </row>
    <row r="71" spans="2:66" ht="12" hidden="1" customHeight="1" outlineLevel="1">
      <c r="B71" s="76">
        <v>65</v>
      </c>
      <c r="C71" s="143" t="str">
        <f>IFERROR(VLOOKUP(B71,'Cronog. e Histog.'!$BZ$213:$CA$747,2,0),"")</f>
        <v>ENG/ARQ PL.</v>
      </c>
      <c r="D71" s="144">
        <f t="shared" ref="D71:D134" si="2">IFERROR(ROUNDUP(SUM(G71:BN71)/COUNTIF(G71:BN71,"&gt;0"),0),0)</f>
        <v>0</v>
      </c>
      <c r="E71" s="144">
        <f t="shared" ref="E71:E134" si="3">COUNTIF(G71:BN71,"&gt;0")</f>
        <v>0</v>
      </c>
      <c r="F71" s="65"/>
      <c r="G71" s="144">
        <f>IFERROR(_xlfn.XLOOKUP($B71,'Cronog. e Histog.'!$BZ:$BZ,'Cronog. e Histog.'!CB:CB),"")</f>
        <v>0</v>
      </c>
      <c r="H71" s="144">
        <f>IFERROR(_xlfn.XLOOKUP($B71,'Cronog. e Histog.'!$BZ:$BZ,'Cronog. e Histog.'!CC:CC),"")</f>
        <v>0</v>
      </c>
      <c r="I71" s="144">
        <f>IFERROR(_xlfn.XLOOKUP($B71,'Cronog. e Histog.'!$BZ:$BZ,'Cronog. e Histog.'!CD:CD),"")</f>
        <v>0</v>
      </c>
      <c r="J71" s="144">
        <f>IFERROR(_xlfn.XLOOKUP($B71,'Cronog. e Histog.'!$BZ:$BZ,'Cronog. e Histog.'!CE:CE),"")</f>
        <v>0</v>
      </c>
      <c r="K71" s="144">
        <f>IFERROR(_xlfn.XLOOKUP($B71,'Cronog. e Histog.'!$BZ:$BZ,'Cronog. e Histog.'!CF:CF),"")</f>
        <v>0</v>
      </c>
      <c r="L71" s="144">
        <f>IFERROR(_xlfn.XLOOKUP($B71,'Cronog. e Histog.'!$BZ:$BZ,'Cronog. e Histog.'!CG:CG),"")</f>
        <v>0</v>
      </c>
      <c r="M71" s="144">
        <f>IFERROR(_xlfn.XLOOKUP($B71,'Cronog. e Histog.'!$BZ:$BZ,'Cronog. e Histog.'!CH:CH),"")</f>
        <v>0</v>
      </c>
      <c r="N71" s="144">
        <f>IFERROR(_xlfn.XLOOKUP($B71,'Cronog. e Histog.'!$BZ:$BZ,'Cronog. e Histog.'!CI:CI),"")</f>
        <v>0</v>
      </c>
      <c r="O71" s="144">
        <f>IFERROR(_xlfn.XLOOKUP($B71,'Cronog. e Histog.'!$BZ:$BZ,'Cronog. e Histog.'!CJ:CJ),"")</f>
        <v>0</v>
      </c>
      <c r="P71" s="144">
        <f>IFERROR(_xlfn.XLOOKUP($B71,'Cronog. e Histog.'!$BZ:$BZ,'Cronog. e Histog.'!CK:CK),"")</f>
        <v>0</v>
      </c>
      <c r="Q71" s="144">
        <f>IFERROR(_xlfn.XLOOKUP($B71,'Cronog. e Histog.'!$BZ:$BZ,'Cronog. e Histog.'!CL:CL),"")</f>
        <v>0</v>
      </c>
      <c r="R71" s="144">
        <f>IFERROR(_xlfn.XLOOKUP($B71,'Cronog. e Histog.'!$BZ:$BZ,'Cronog. e Histog.'!CM:CM),"")</f>
        <v>0</v>
      </c>
      <c r="S71" s="144">
        <f>IFERROR(_xlfn.XLOOKUP($B71,'Cronog. e Histog.'!$BZ:$BZ,'Cronog. e Histog.'!CN:CN),"")</f>
        <v>0</v>
      </c>
      <c r="T71" s="144">
        <f>IFERROR(_xlfn.XLOOKUP($B71,'Cronog. e Histog.'!$BZ:$BZ,'Cronog. e Histog.'!CO:CO),"")</f>
        <v>0</v>
      </c>
      <c r="U71" s="144">
        <f>IFERROR(_xlfn.XLOOKUP($B71,'Cronog. e Histog.'!$BZ:$BZ,'Cronog. e Histog.'!CP:CP),"")</f>
        <v>0</v>
      </c>
      <c r="V71" s="144">
        <f>IFERROR(_xlfn.XLOOKUP($B71,'Cronog. e Histog.'!$BZ:$BZ,'Cronog. e Histog.'!CQ:CQ),"")</f>
        <v>0</v>
      </c>
      <c r="W71" s="144">
        <f>IFERROR(_xlfn.XLOOKUP($B71,'Cronog. e Histog.'!$BZ:$BZ,'Cronog. e Histog.'!CR:CR),"")</f>
        <v>0</v>
      </c>
      <c r="X71" s="144">
        <f>IFERROR(_xlfn.XLOOKUP($B71,'Cronog. e Histog.'!$BZ:$BZ,'Cronog. e Histog.'!CS:CS),"")</f>
        <v>0</v>
      </c>
      <c r="Y71" s="144">
        <f>IFERROR(_xlfn.XLOOKUP($B71,'Cronog. e Histog.'!$BZ:$BZ,'Cronog. e Histog.'!CT:CT),"")</f>
        <v>0</v>
      </c>
      <c r="Z71" s="144">
        <f>IFERROR(_xlfn.XLOOKUP($B71,'Cronog. e Histog.'!$BZ:$BZ,'Cronog. e Histog.'!CU:CU),"")</f>
        <v>0</v>
      </c>
      <c r="AA71" s="144">
        <f>IFERROR(_xlfn.XLOOKUP($B71,'Cronog. e Histog.'!$BZ:$BZ,'Cronog. e Histog.'!CV:CV),"")</f>
        <v>0</v>
      </c>
      <c r="AB71" s="144">
        <f>IFERROR(_xlfn.XLOOKUP($B71,'Cronog. e Histog.'!$BZ:$BZ,'Cronog. e Histog.'!CW:CW),"")</f>
        <v>0</v>
      </c>
      <c r="AC71" s="144">
        <f>IFERROR(_xlfn.XLOOKUP($B71,'Cronog. e Histog.'!$BZ:$BZ,'Cronog. e Histog.'!CX:CX),"")</f>
        <v>0</v>
      </c>
      <c r="AD71" s="144">
        <f>IFERROR(_xlfn.XLOOKUP($B71,'Cronog. e Histog.'!$BZ:$BZ,'Cronog. e Histog.'!CY:CY),"")</f>
        <v>0</v>
      </c>
      <c r="AE71" s="144">
        <f>IFERROR(_xlfn.XLOOKUP($B71,'Cronog. e Histog.'!$BZ:$BZ,'Cronog. e Histog.'!CZ:CZ),"")</f>
        <v>0</v>
      </c>
      <c r="AF71" s="144">
        <f>IFERROR(_xlfn.XLOOKUP($B71,'Cronog. e Histog.'!$BZ:$BZ,'Cronog. e Histog.'!DA:DA),"")</f>
        <v>0</v>
      </c>
      <c r="AG71" s="144">
        <f>IFERROR(_xlfn.XLOOKUP($B71,'Cronog. e Histog.'!$BZ:$BZ,'Cronog. e Histog.'!DB:DB),"")</f>
        <v>0</v>
      </c>
      <c r="AH71" s="144">
        <f>IFERROR(_xlfn.XLOOKUP($B71,'Cronog. e Histog.'!$BZ:$BZ,'Cronog. e Histog.'!DC:DC),"")</f>
        <v>0</v>
      </c>
      <c r="AI71" s="144">
        <f>IFERROR(_xlfn.XLOOKUP($B71,'Cronog. e Histog.'!$BZ:$BZ,'Cronog. e Histog.'!DD:DD),"")</f>
        <v>0</v>
      </c>
      <c r="AJ71" s="144">
        <f>IFERROR(_xlfn.XLOOKUP($B71,'Cronog. e Histog.'!$BZ:$BZ,'Cronog. e Histog.'!DE:DE),"")</f>
        <v>0</v>
      </c>
      <c r="AK71" s="144">
        <f>IFERROR(_xlfn.XLOOKUP($B71,'Cronog. e Histog.'!$BZ:$BZ,'Cronog. e Histog.'!DF:DF),"")</f>
        <v>0</v>
      </c>
      <c r="AL71" s="144">
        <f>IFERROR(_xlfn.XLOOKUP($B71,'Cronog. e Histog.'!$BZ:$BZ,'Cronog. e Histog.'!DG:DG),"")</f>
        <v>0</v>
      </c>
      <c r="AM71" s="144">
        <f>IFERROR(_xlfn.XLOOKUP($B71,'Cronog. e Histog.'!$BZ:$BZ,'Cronog. e Histog.'!DH:DH),"")</f>
        <v>0</v>
      </c>
      <c r="AN71" s="144">
        <f>IFERROR(_xlfn.XLOOKUP($B71,'Cronog. e Histog.'!$BZ:$BZ,'Cronog. e Histog.'!DI:DI),"")</f>
        <v>0</v>
      </c>
      <c r="AO71" s="144">
        <f>IFERROR(_xlfn.XLOOKUP($B71,'Cronog. e Histog.'!$BZ:$BZ,'Cronog. e Histog.'!DJ:DJ),"")</f>
        <v>0</v>
      </c>
      <c r="AP71" s="144">
        <f>IFERROR(_xlfn.XLOOKUP($B71,'Cronog. e Histog.'!$BZ:$BZ,'Cronog. e Histog.'!DK:DK),"")</f>
        <v>0</v>
      </c>
      <c r="AQ71" s="144">
        <f>IFERROR(_xlfn.XLOOKUP($B71,'Cronog. e Histog.'!$BZ:$BZ,'Cronog. e Histog.'!DL:DL),"")</f>
        <v>0</v>
      </c>
      <c r="AR71" s="144">
        <f>IFERROR(_xlfn.XLOOKUP($B71,'Cronog. e Histog.'!$BZ:$BZ,'Cronog. e Histog.'!DM:DM),"")</f>
        <v>0</v>
      </c>
      <c r="AS71" s="144">
        <f>IFERROR(_xlfn.XLOOKUP($B71,'Cronog. e Histog.'!$BZ:$BZ,'Cronog. e Histog.'!DN:DN),"")</f>
        <v>0</v>
      </c>
      <c r="AT71" s="144">
        <f>IFERROR(_xlfn.XLOOKUP($B71,'Cronog. e Histog.'!$BZ:$BZ,'Cronog. e Histog.'!DO:DO),"")</f>
        <v>0</v>
      </c>
      <c r="AU71" s="144">
        <f>IFERROR(_xlfn.XLOOKUP($B71,'Cronog. e Histog.'!$BZ:$BZ,'Cronog. e Histog.'!DP:DP),"")</f>
        <v>0</v>
      </c>
      <c r="AV71" s="144">
        <f>IFERROR(_xlfn.XLOOKUP($B71,'Cronog. e Histog.'!$BZ:$BZ,'Cronog. e Histog.'!DQ:DQ),"")</f>
        <v>0</v>
      </c>
      <c r="AW71" s="144">
        <f>IFERROR(_xlfn.XLOOKUP($B71,'Cronog. e Histog.'!$BZ:$BZ,'Cronog. e Histog.'!DR:DR),"")</f>
        <v>0</v>
      </c>
      <c r="AX71" s="144">
        <f>IFERROR(_xlfn.XLOOKUP($B71,'Cronog. e Histog.'!$BZ:$BZ,'Cronog. e Histog.'!DS:DS),"")</f>
        <v>0</v>
      </c>
      <c r="AY71" s="144">
        <f>IFERROR(_xlfn.XLOOKUP($B71,'Cronog. e Histog.'!$BZ:$BZ,'Cronog. e Histog.'!DT:DT),"")</f>
        <v>0</v>
      </c>
      <c r="AZ71" s="144">
        <f>IFERROR(_xlfn.XLOOKUP($B71,'Cronog. e Histog.'!$BZ:$BZ,'Cronog. e Histog.'!DU:DU),"")</f>
        <v>0</v>
      </c>
      <c r="BA71" s="144">
        <f>IFERROR(_xlfn.XLOOKUP($B71,'Cronog. e Histog.'!$BZ:$BZ,'Cronog. e Histog.'!DV:DV),"")</f>
        <v>0</v>
      </c>
      <c r="BB71" s="144">
        <f>IFERROR(_xlfn.XLOOKUP($B71,'Cronog. e Histog.'!$BZ:$BZ,'Cronog. e Histog.'!DW:DW),"")</f>
        <v>0</v>
      </c>
      <c r="BC71" s="144">
        <f>IFERROR(_xlfn.XLOOKUP($B71,'Cronog. e Histog.'!$BZ:$BZ,'Cronog. e Histog.'!DX:DX),"")</f>
        <v>0</v>
      </c>
      <c r="BD71" s="144">
        <f>IFERROR(_xlfn.XLOOKUP($B71,'Cronog. e Histog.'!$BZ:$BZ,'Cronog. e Histog.'!DY:DY),"")</f>
        <v>0</v>
      </c>
      <c r="BE71" s="144">
        <f>IFERROR(_xlfn.XLOOKUP($B71,'Cronog. e Histog.'!$BZ:$BZ,'Cronog. e Histog.'!DZ:DZ),"")</f>
        <v>0</v>
      </c>
      <c r="BF71" s="144">
        <f>IFERROR(_xlfn.XLOOKUP($B71,'Cronog. e Histog.'!$BZ:$BZ,'Cronog. e Histog.'!EA:EA),"")</f>
        <v>0</v>
      </c>
      <c r="BG71" s="144">
        <f>IFERROR(_xlfn.XLOOKUP($B71,'Cronog. e Histog.'!$BZ:$BZ,'Cronog. e Histog.'!EB:EB),"")</f>
        <v>0</v>
      </c>
      <c r="BH71" s="144">
        <f>IFERROR(_xlfn.XLOOKUP($B71,'Cronog. e Histog.'!$BZ:$BZ,'Cronog. e Histog.'!EC:EC),"")</f>
        <v>0</v>
      </c>
      <c r="BI71" s="144">
        <f>IFERROR(_xlfn.XLOOKUP($B71,'Cronog. e Histog.'!$BZ:$BZ,'Cronog. e Histog.'!ED:ED),"")</f>
        <v>0</v>
      </c>
      <c r="BJ71" s="144">
        <f>IFERROR(_xlfn.XLOOKUP($B71,'Cronog. e Histog.'!$BZ:$BZ,'Cronog. e Histog.'!EE:EE),"")</f>
        <v>0</v>
      </c>
      <c r="BK71" s="144">
        <f>IFERROR(_xlfn.XLOOKUP($B71,'Cronog. e Histog.'!$BZ:$BZ,'Cronog. e Histog.'!EF:EF),"")</f>
        <v>0</v>
      </c>
      <c r="BL71" s="144">
        <f>IFERROR(_xlfn.XLOOKUP($B71,'Cronog. e Histog.'!$BZ:$BZ,'Cronog. e Histog.'!EG:EG),"")</f>
        <v>0</v>
      </c>
      <c r="BM71" s="144">
        <f>IFERROR(_xlfn.XLOOKUP($B71,'Cronog. e Histog.'!$BZ:$BZ,'Cronog. e Histog.'!EH:EH),"")</f>
        <v>0</v>
      </c>
      <c r="BN71" s="144">
        <f>IFERROR(_xlfn.XLOOKUP($B71,'Cronog. e Histog.'!$BZ:$BZ,'Cronog. e Histog.'!EI:EI),"")</f>
        <v>0</v>
      </c>
    </row>
    <row r="72" spans="2:66" ht="12" hidden="1" customHeight="1" outlineLevel="1">
      <c r="B72" s="76">
        <v>66</v>
      </c>
      <c r="C72" s="143" t="str">
        <f>IFERROR(VLOOKUP(B72,'Cronog. e Histog.'!$BZ$213:$CA$747,2,0),"")</f>
        <v>ENG/ARQ JR.</v>
      </c>
      <c r="D72" s="144">
        <f t="shared" si="2"/>
        <v>0</v>
      </c>
      <c r="E72" s="144">
        <f t="shared" si="3"/>
        <v>0</v>
      </c>
      <c r="F72" s="65"/>
      <c r="G72" s="144">
        <f>IFERROR(_xlfn.XLOOKUP($B72,'Cronog. e Histog.'!$BZ:$BZ,'Cronog. e Histog.'!CB:CB),"")</f>
        <v>0</v>
      </c>
      <c r="H72" s="144">
        <f>IFERROR(_xlfn.XLOOKUP($B72,'Cronog. e Histog.'!$BZ:$BZ,'Cronog. e Histog.'!CC:CC),"")</f>
        <v>0</v>
      </c>
      <c r="I72" s="144">
        <f>IFERROR(_xlfn.XLOOKUP($B72,'Cronog. e Histog.'!$BZ:$BZ,'Cronog. e Histog.'!CD:CD),"")</f>
        <v>0</v>
      </c>
      <c r="J72" s="144">
        <f>IFERROR(_xlfn.XLOOKUP($B72,'Cronog. e Histog.'!$BZ:$BZ,'Cronog. e Histog.'!CE:CE),"")</f>
        <v>0</v>
      </c>
      <c r="K72" s="144">
        <f>IFERROR(_xlfn.XLOOKUP($B72,'Cronog. e Histog.'!$BZ:$BZ,'Cronog. e Histog.'!CF:CF),"")</f>
        <v>0</v>
      </c>
      <c r="L72" s="144">
        <f>IFERROR(_xlfn.XLOOKUP($B72,'Cronog. e Histog.'!$BZ:$BZ,'Cronog. e Histog.'!CG:CG),"")</f>
        <v>0</v>
      </c>
      <c r="M72" s="144">
        <f>IFERROR(_xlfn.XLOOKUP($B72,'Cronog. e Histog.'!$BZ:$BZ,'Cronog. e Histog.'!CH:CH),"")</f>
        <v>0</v>
      </c>
      <c r="N72" s="144">
        <f>IFERROR(_xlfn.XLOOKUP($B72,'Cronog. e Histog.'!$BZ:$BZ,'Cronog. e Histog.'!CI:CI),"")</f>
        <v>0</v>
      </c>
      <c r="O72" s="144">
        <f>IFERROR(_xlfn.XLOOKUP($B72,'Cronog. e Histog.'!$BZ:$BZ,'Cronog. e Histog.'!CJ:CJ),"")</f>
        <v>0</v>
      </c>
      <c r="P72" s="144">
        <f>IFERROR(_xlfn.XLOOKUP($B72,'Cronog. e Histog.'!$BZ:$BZ,'Cronog. e Histog.'!CK:CK),"")</f>
        <v>0</v>
      </c>
      <c r="Q72" s="144">
        <f>IFERROR(_xlfn.XLOOKUP($B72,'Cronog. e Histog.'!$BZ:$BZ,'Cronog. e Histog.'!CL:CL),"")</f>
        <v>0</v>
      </c>
      <c r="R72" s="144">
        <f>IFERROR(_xlfn.XLOOKUP($B72,'Cronog. e Histog.'!$BZ:$BZ,'Cronog. e Histog.'!CM:CM),"")</f>
        <v>0</v>
      </c>
      <c r="S72" s="144">
        <f>IFERROR(_xlfn.XLOOKUP($B72,'Cronog. e Histog.'!$BZ:$BZ,'Cronog. e Histog.'!CN:CN),"")</f>
        <v>0</v>
      </c>
      <c r="T72" s="144">
        <f>IFERROR(_xlfn.XLOOKUP($B72,'Cronog. e Histog.'!$BZ:$BZ,'Cronog. e Histog.'!CO:CO),"")</f>
        <v>0</v>
      </c>
      <c r="U72" s="144">
        <f>IFERROR(_xlfn.XLOOKUP($B72,'Cronog. e Histog.'!$BZ:$BZ,'Cronog. e Histog.'!CP:CP),"")</f>
        <v>0</v>
      </c>
      <c r="V72" s="144">
        <f>IFERROR(_xlfn.XLOOKUP($B72,'Cronog. e Histog.'!$BZ:$BZ,'Cronog. e Histog.'!CQ:CQ),"")</f>
        <v>0</v>
      </c>
      <c r="W72" s="144">
        <f>IFERROR(_xlfn.XLOOKUP($B72,'Cronog. e Histog.'!$BZ:$BZ,'Cronog. e Histog.'!CR:CR),"")</f>
        <v>0</v>
      </c>
      <c r="X72" s="144">
        <f>IFERROR(_xlfn.XLOOKUP($B72,'Cronog. e Histog.'!$BZ:$BZ,'Cronog. e Histog.'!CS:CS),"")</f>
        <v>0</v>
      </c>
      <c r="Y72" s="144">
        <f>IFERROR(_xlfn.XLOOKUP($B72,'Cronog. e Histog.'!$BZ:$BZ,'Cronog. e Histog.'!CT:CT),"")</f>
        <v>0</v>
      </c>
      <c r="Z72" s="144">
        <f>IFERROR(_xlfn.XLOOKUP($B72,'Cronog. e Histog.'!$BZ:$BZ,'Cronog. e Histog.'!CU:CU),"")</f>
        <v>0</v>
      </c>
      <c r="AA72" s="144">
        <f>IFERROR(_xlfn.XLOOKUP($B72,'Cronog. e Histog.'!$BZ:$BZ,'Cronog. e Histog.'!CV:CV),"")</f>
        <v>0</v>
      </c>
      <c r="AB72" s="144">
        <f>IFERROR(_xlfn.XLOOKUP($B72,'Cronog. e Histog.'!$BZ:$BZ,'Cronog. e Histog.'!CW:CW),"")</f>
        <v>0</v>
      </c>
      <c r="AC72" s="144">
        <f>IFERROR(_xlfn.XLOOKUP($B72,'Cronog. e Histog.'!$BZ:$BZ,'Cronog. e Histog.'!CX:CX),"")</f>
        <v>0</v>
      </c>
      <c r="AD72" s="144">
        <f>IFERROR(_xlfn.XLOOKUP($B72,'Cronog. e Histog.'!$BZ:$BZ,'Cronog. e Histog.'!CY:CY),"")</f>
        <v>0</v>
      </c>
      <c r="AE72" s="144">
        <f>IFERROR(_xlfn.XLOOKUP($B72,'Cronog. e Histog.'!$BZ:$BZ,'Cronog. e Histog.'!CZ:CZ),"")</f>
        <v>0</v>
      </c>
      <c r="AF72" s="144">
        <f>IFERROR(_xlfn.XLOOKUP($B72,'Cronog. e Histog.'!$BZ:$BZ,'Cronog. e Histog.'!DA:DA),"")</f>
        <v>0</v>
      </c>
      <c r="AG72" s="144">
        <f>IFERROR(_xlfn.XLOOKUP($B72,'Cronog. e Histog.'!$BZ:$BZ,'Cronog. e Histog.'!DB:DB),"")</f>
        <v>0</v>
      </c>
      <c r="AH72" s="144">
        <f>IFERROR(_xlfn.XLOOKUP($B72,'Cronog. e Histog.'!$BZ:$BZ,'Cronog. e Histog.'!DC:DC),"")</f>
        <v>0</v>
      </c>
      <c r="AI72" s="144">
        <f>IFERROR(_xlfn.XLOOKUP($B72,'Cronog. e Histog.'!$BZ:$BZ,'Cronog. e Histog.'!DD:DD),"")</f>
        <v>0</v>
      </c>
      <c r="AJ72" s="144">
        <f>IFERROR(_xlfn.XLOOKUP($B72,'Cronog. e Histog.'!$BZ:$BZ,'Cronog. e Histog.'!DE:DE),"")</f>
        <v>0</v>
      </c>
      <c r="AK72" s="144">
        <f>IFERROR(_xlfn.XLOOKUP($B72,'Cronog. e Histog.'!$BZ:$BZ,'Cronog. e Histog.'!DF:DF),"")</f>
        <v>0</v>
      </c>
      <c r="AL72" s="144">
        <f>IFERROR(_xlfn.XLOOKUP($B72,'Cronog. e Histog.'!$BZ:$BZ,'Cronog. e Histog.'!DG:DG),"")</f>
        <v>0</v>
      </c>
      <c r="AM72" s="144">
        <f>IFERROR(_xlfn.XLOOKUP($B72,'Cronog. e Histog.'!$BZ:$BZ,'Cronog. e Histog.'!DH:DH),"")</f>
        <v>0</v>
      </c>
      <c r="AN72" s="144">
        <f>IFERROR(_xlfn.XLOOKUP($B72,'Cronog. e Histog.'!$BZ:$BZ,'Cronog. e Histog.'!DI:DI),"")</f>
        <v>0</v>
      </c>
      <c r="AO72" s="144">
        <f>IFERROR(_xlfn.XLOOKUP($B72,'Cronog. e Histog.'!$BZ:$BZ,'Cronog. e Histog.'!DJ:DJ),"")</f>
        <v>0</v>
      </c>
      <c r="AP72" s="144">
        <f>IFERROR(_xlfn.XLOOKUP($B72,'Cronog. e Histog.'!$BZ:$BZ,'Cronog. e Histog.'!DK:DK),"")</f>
        <v>0</v>
      </c>
      <c r="AQ72" s="144">
        <f>IFERROR(_xlfn.XLOOKUP($B72,'Cronog. e Histog.'!$BZ:$BZ,'Cronog. e Histog.'!DL:DL),"")</f>
        <v>0</v>
      </c>
      <c r="AR72" s="144">
        <f>IFERROR(_xlfn.XLOOKUP($B72,'Cronog. e Histog.'!$BZ:$BZ,'Cronog. e Histog.'!DM:DM),"")</f>
        <v>0</v>
      </c>
      <c r="AS72" s="144">
        <f>IFERROR(_xlfn.XLOOKUP($B72,'Cronog. e Histog.'!$BZ:$BZ,'Cronog. e Histog.'!DN:DN),"")</f>
        <v>0</v>
      </c>
      <c r="AT72" s="144">
        <f>IFERROR(_xlfn.XLOOKUP($B72,'Cronog. e Histog.'!$BZ:$BZ,'Cronog. e Histog.'!DO:DO),"")</f>
        <v>0</v>
      </c>
      <c r="AU72" s="144">
        <f>IFERROR(_xlfn.XLOOKUP($B72,'Cronog. e Histog.'!$BZ:$BZ,'Cronog. e Histog.'!DP:DP),"")</f>
        <v>0</v>
      </c>
      <c r="AV72" s="144">
        <f>IFERROR(_xlfn.XLOOKUP($B72,'Cronog. e Histog.'!$BZ:$BZ,'Cronog. e Histog.'!DQ:DQ),"")</f>
        <v>0</v>
      </c>
      <c r="AW72" s="144">
        <f>IFERROR(_xlfn.XLOOKUP($B72,'Cronog. e Histog.'!$BZ:$BZ,'Cronog. e Histog.'!DR:DR),"")</f>
        <v>0</v>
      </c>
      <c r="AX72" s="144">
        <f>IFERROR(_xlfn.XLOOKUP($B72,'Cronog. e Histog.'!$BZ:$BZ,'Cronog. e Histog.'!DS:DS),"")</f>
        <v>0</v>
      </c>
      <c r="AY72" s="144">
        <f>IFERROR(_xlfn.XLOOKUP($B72,'Cronog. e Histog.'!$BZ:$BZ,'Cronog. e Histog.'!DT:DT),"")</f>
        <v>0</v>
      </c>
      <c r="AZ72" s="144">
        <f>IFERROR(_xlfn.XLOOKUP($B72,'Cronog. e Histog.'!$BZ:$BZ,'Cronog. e Histog.'!DU:DU),"")</f>
        <v>0</v>
      </c>
      <c r="BA72" s="144">
        <f>IFERROR(_xlfn.XLOOKUP($B72,'Cronog. e Histog.'!$BZ:$BZ,'Cronog. e Histog.'!DV:DV),"")</f>
        <v>0</v>
      </c>
      <c r="BB72" s="144">
        <f>IFERROR(_xlfn.XLOOKUP($B72,'Cronog. e Histog.'!$BZ:$BZ,'Cronog. e Histog.'!DW:DW),"")</f>
        <v>0</v>
      </c>
      <c r="BC72" s="144">
        <f>IFERROR(_xlfn.XLOOKUP($B72,'Cronog. e Histog.'!$BZ:$BZ,'Cronog. e Histog.'!DX:DX),"")</f>
        <v>0</v>
      </c>
      <c r="BD72" s="144">
        <f>IFERROR(_xlfn.XLOOKUP($B72,'Cronog. e Histog.'!$BZ:$BZ,'Cronog. e Histog.'!DY:DY),"")</f>
        <v>0</v>
      </c>
      <c r="BE72" s="144">
        <f>IFERROR(_xlfn.XLOOKUP($B72,'Cronog. e Histog.'!$BZ:$BZ,'Cronog. e Histog.'!DZ:DZ),"")</f>
        <v>0</v>
      </c>
      <c r="BF72" s="144">
        <f>IFERROR(_xlfn.XLOOKUP($B72,'Cronog. e Histog.'!$BZ:$BZ,'Cronog. e Histog.'!EA:EA),"")</f>
        <v>0</v>
      </c>
      <c r="BG72" s="144">
        <f>IFERROR(_xlfn.XLOOKUP($B72,'Cronog. e Histog.'!$BZ:$BZ,'Cronog. e Histog.'!EB:EB),"")</f>
        <v>0</v>
      </c>
      <c r="BH72" s="144">
        <f>IFERROR(_xlfn.XLOOKUP($B72,'Cronog. e Histog.'!$BZ:$BZ,'Cronog. e Histog.'!EC:EC),"")</f>
        <v>0</v>
      </c>
      <c r="BI72" s="144">
        <f>IFERROR(_xlfn.XLOOKUP($B72,'Cronog. e Histog.'!$BZ:$BZ,'Cronog. e Histog.'!ED:ED),"")</f>
        <v>0</v>
      </c>
      <c r="BJ72" s="144">
        <f>IFERROR(_xlfn.XLOOKUP($B72,'Cronog. e Histog.'!$BZ:$BZ,'Cronog. e Histog.'!EE:EE),"")</f>
        <v>0</v>
      </c>
      <c r="BK72" s="144">
        <f>IFERROR(_xlfn.XLOOKUP($B72,'Cronog. e Histog.'!$BZ:$BZ,'Cronog. e Histog.'!EF:EF),"")</f>
        <v>0</v>
      </c>
      <c r="BL72" s="144">
        <f>IFERROR(_xlfn.XLOOKUP($B72,'Cronog. e Histog.'!$BZ:$BZ,'Cronog. e Histog.'!EG:EG),"")</f>
        <v>0</v>
      </c>
      <c r="BM72" s="144">
        <f>IFERROR(_xlfn.XLOOKUP($B72,'Cronog. e Histog.'!$BZ:$BZ,'Cronog. e Histog.'!EH:EH),"")</f>
        <v>0</v>
      </c>
      <c r="BN72" s="144">
        <f>IFERROR(_xlfn.XLOOKUP($B72,'Cronog. e Histog.'!$BZ:$BZ,'Cronog. e Histog.'!EI:EI),"")</f>
        <v>0</v>
      </c>
    </row>
    <row r="73" spans="2:66" ht="12" hidden="1" customHeight="1" outlineLevel="1">
      <c r="B73" s="76">
        <v>67</v>
      </c>
      <c r="C73" s="143" t="str">
        <f>IFERROR(VLOOKUP(B73,'Cronog. e Histog.'!$BZ$213:$CA$747,2,0),"")</f>
        <v>AN SR. ENG/ARQ</v>
      </c>
      <c r="D73" s="144">
        <f t="shared" si="2"/>
        <v>0</v>
      </c>
      <c r="E73" s="144">
        <f t="shared" si="3"/>
        <v>0</v>
      </c>
      <c r="F73" s="65"/>
      <c r="G73" s="144">
        <f>IFERROR(_xlfn.XLOOKUP($B73,'Cronog. e Histog.'!$BZ:$BZ,'Cronog. e Histog.'!CB:CB),"")</f>
        <v>0</v>
      </c>
      <c r="H73" s="144">
        <f>IFERROR(_xlfn.XLOOKUP($B73,'Cronog. e Histog.'!$BZ:$BZ,'Cronog. e Histog.'!CC:CC),"")</f>
        <v>0</v>
      </c>
      <c r="I73" s="144">
        <f>IFERROR(_xlfn.XLOOKUP($B73,'Cronog. e Histog.'!$BZ:$BZ,'Cronog. e Histog.'!CD:CD),"")</f>
        <v>0</v>
      </c>
      <c r="J73" s="144">
        <f>IFERROR(_xlfn.XLOOKUP($B73,'Cronog. e Histog.'!$BZ:$BZ,'Cronog. e Histog.'!CE:CE),"")</f>
        <v>0</v>
      </c>
      <c r="K73" s="144">
        <f>IFERROR(_xlfn.XLOOKUP($B73,'Cronog. e Histog.'!$BZ:$BZ,'Cronog. e Histog.'!CF:CF),"")</f>
        <v>0</v>
      </c>
      <c r="L73" s="144">
        <f>IFERROR(_xlfn.XLOOKUP($B73,'Cronog. e Histog.'!$BZ:$BZ,'Cronog. e Histog.'!CG:CG),"")</f>
        <v>0</v>
      </c>
      <c r="M73" s="144">
        <f>IFERROR(_xlfn.XLOOKUP($B73,'Cronog. e Histog.'!$BZ:$BZ,'Cronog. e Histog.'!CH:CH),"")</f>
        <v>0</v>
      </c>
      <c r="N73" s="144">
        <f>IFERROR(_xlfn.XLOOKUP($B73,'Cronog. e Histog.'!$BZ:$BZ,'Cronog. e Histog.'!CI:CI),"")</f>
        <v>0</v>
      </c>
      <c r="O73" s="144">
        <f>IFERROR(_xlfn.XLOOKUP($B73,'Cronog. e Histog.'!$BZ:$BZ,'Cronog. e Histog.'!CJ:CJ),"")</f>
        <v>0</v>
      </c>
      <c r="P73" s="144">
        <f>IFERROR(_xlfn.XLOOKUP($B73,'Cronog. e Histog.'!$BZ:$BZ,'Cronog. e Histog.'!CK:CK),"")</f>
        <v>0</v>
      </c>
      <c r="Q73" s="144">
        <f>IFERROR(_xlfn.XLOOKUP($B73,'Cronog. e Histog.'!$BZ:$BZ,'Cronog. e Histog.'!CL:CL),"")</f>
        <v>0</v>
      </c>
      <c r="R73" s="144">
        <f>IFERROR(_xlfn.XLOOKUP($B73,'Cronog. e Histog.'!$BZ:$BZ,'Cronog. e Histog.'!CM:CM),"")</f>
        <v>0</v>
      </c>
      <c r="S73" s="144">
        <f>IFERROR(_xlfn.XLOOKUP($B73,'Cronog. e Histog.'!$BZ:$BZ,'Cronog. e Histog.'!CN:CN),"")</f>
        <v>0</v>
      </c>
      <c r="T73" s="144">
        <f>IFERROR(_xlfn.XLOOKUP($B73,'Cronog. e Histog.'!$BZ:$BZ,'Cronog. e Histog.'!CO:CO),"")</f>
        <v>0</v>
      </c>
      <c r="U73" s="144">
        <f>IFERROR(_xlfn.XLOOKUP($B73,'Cronog. e Histog.'!$BZ:$BZ,'Cronog. e Histog.'!CP:CP),"")</f>
        <v>0</v>
      </c>
      <c r="V73" s="144">
        <f>IFERROR(_xlfn.XLOOKUP($B73,'Cronog. e Histog.'!$BZ:$BZ,'Cronog. e Histog.'!CQ:CQ),"")</f>
        <v>0</v>
      </c>
      <c r="W73" s="144">
        <f>IFERROR(_xlfn.XLOOKUP($B73,'Cronog. e Histog.'!$BZ:$BZ,'Cronog. e Histog.'!CR:CR),"")</f>
        <v>0</v>
      </c>
      <c r="X73" s="144">
        <f>IFERROR(_xlfn.XLOOKUP($B73,'Cronog. e Histog.'!$BZ:$BZ,'Cronog. e Histog.'!CS:CS),"")</f>
        <v>0</v>
      </c>
      <c r="Y73" s="144">
        <f>IFERROR(_xlfn.XLOOKUP($B73,'Cronog. e Histog.'!$BZ:$BZ,'Cronog. e Histog.'!CT:CT),"")</f>
        <v>0</v>
      </c>
      <c r="Z73" s="144">
        <f>IFERROR(_xlfn.XLOOKUP($B73,'Cronog. e Histog.'!$BZ:$BZ,'Cronog. e Histog.'!CU:CU),"")</f>
        <v>0</v>
      </c>
      <c r="AA73" s="144">
        <f>IFERROR(_xlfn.XLOOKUP($B73,'Cronog. e Histog.'!$BZ:$BZ,'Cronog. e Histog.'!CV:CV),"")</f>
        <v>0</v>
      </c>
      <c r="AB73" s="144">
        <f>IFERROR(_xlfn.XLOOKUP($B73,'Cronog. e Histog.'!$BZ:$BZ,'Cronog. e Histog.'!CW:CW),"")</f>
        <v>0</v>
      </c>
      <c r="AC73" s="144">
        <f>IFERROR(_xlfn.XLOOKUP($B73,'Cronog. e Histog.'!$BZ:$BZ,'Cronog. e Histog.'!CX:CX),"")</f>
        <v>0</v>
      </c>
      <c r="AD73" s="144">
        <f>IFERROR(_xlfn.XLOOKUP($B73,'Cronog. e Histog.'!$BZ:$BZ,'Cronog. e Histog.'!CY:CY),"")</f>
        <v>0</v>
      </c>
      <c r="AE73" s="144">
        <f>IFERROR(_xlfn.XLOOKUP($B73,'Cronog. e Histog.'!$BZ:$BZ,'Cronog. e Histog.'!CZ:CZ),"")</f>
        <v>0</v>
      </c>
      <c r="AF73" s="144">
        <f>IFERROR(_xlfn.XLOOKUP($B73,'Cronog. e Histog.'!$BZ:$BZ,'Cronog. e Histog.'!DA:DA),"")</f>
        <v>0</v>
      </c>
      <c r="AG73" s="144">
        <f>IFERROR(_xlfn.XLOOKUP($B73,'Cronog. e Histog.'!$BZ:$BZ,'Cronog. e Histog.'!DB:DB),"")</f>
        <v>0</v>
      </c>
      <c r="AH73" s="144">
        <f>IFERROR(_xlfn.XLOOKUP($B73,'Cronog. e Histog.'!$BZ:$BZ,'Cronog. e Histog.'!DC:DC),"")</f>
        <v>0</v>
      </c>
      <c r="AI73" s="144">
        <f>IFERROR(_xlfn.XLOOKUP($B73,'Cronog. e Histog.'!$BZ:$BZ,'Cronog. e Histog.'!DD:DD),"")</f>
        <v>0</v>
      </c>
      <c r="AJ73" s="144">
        <f>IFERROR(_xlfn.XLOOKUP($B73,'Cronog. e Histog.'!$BZ:$BZ,'Cronog. e Histog.'!DE:DE),"")</f>
        <v>0</v>
      </c>
      <c r="AK73" s="144">
        <f>IFERROR(_xlfn.XLOOKUP($B73,'Cronog. e Histog.'!$BZ:$BZ,'Cronog. e Histog.'!DF:DF),"")</f>
        <v>0</v>
      </c>
      <c r="AL73" s="144">
        <f>IFERROR(_xlfn.XLOOKUP($B73,'Cronog. e Histog.'!$BZ:$BZ,'Cronog. e Histog.'!DG:DG),"")</f>
        <v>0</v>
      </c>
      <c r="AM73" s="144">
        <f>IFERROR(_xlfn.XLOOKUP($B73,'Cronog. e Histog.'!$BZ:$BZ,'Cronog. e Histog.'!DH:DH),"")</f>
        <v>0</v>
      </c>
      <c r="AN73" s="144">
        <f>IFERROR(_xlfn.XLOOKUP($B73,'Cronog. e Histog.'!$BZ:$BZ,'Cronog. e Histog.'!DI:DI),"")</f>
        <v>0</v>
      </c>
      <c r="AO73" s="144">
        <f>IFERROR(_xlfn.XLOOKUP($B73,'Cronog. e Histog.'!$BZ:$BZ,'Cronog. e Histog.'!DJ:DJ),"")</f>
        <v>0</v>
      </c>
      <c r="AP73" s="144">
        <f>IFERROR(_xlfn.XLOOKUP($B73,'Cronog. e Histog.'!$BZ:$BZ,'Cronog. e Histog.'!DK:DK),"")</f>
        <v>0</v>
      </c>
      <c r="AQ73" s="144">
        <f>IFERROR(_xlfn.XLOOKUP($B73,'Cronog. e Histog.'!$BZ:$BZ,'Cronog. e Histog.'!DL:DL),"")</f>
        <v>0</v>
      </c>
      <c r="AR73" s="144">
        <f>IFERROR(_xlfn.XLOOKUP($B73,'Cronog. e Histog.'!$BZ:$BZ,'Cronog. e Histog.'!DM:DM),"")</f>
        <v>0</v>
      </c>
      <c r="AS73" s="144">
        <f>IFERROR(_xlfn.XLOOKUP($B73,'Cronog. e Histog.'!$BZ:$BZ,'Cronog. e Histog.'!DN:DN),"")</f>
        <v>0</v>
      </c>
      <c r="AT73" s="144">
        <f>IFERROR(_xlfn.XLOOKUP($B73,'Cronog. e Histog.'!$BZ:$BZ,'Cronog. e Histog.'!DO:DO),"")</f>
        <v>0</v>
      </c>
      <c r="AU73" s="144">
        <f>IFERROR(_xlfn.XLOOKUP($B73,'Cronog. e Histog.'!$BZ:$BZ,'Cronog. e Histog.'!DP:DP),"")</f>
        <v>0</v>
      </c>
      <c r="AV73" s="144">
        <f>IFERROR(_xlfn.XLOOKUP($B73,'Cronog. e Histog.'!$BZ:$BZ,'Cronog. e Histog.'!DQ:DQ),"")</f>
        <v>0</v>
      </c>
      <c r="AW73" s="144">
        <f>IFERROR(_xlfn.XLOOKUP($B73,'Cronog. e Histog.'!$BZ:$BZ,'Cronog. e Histog.'!DR:DR),"")</f>
        <v>0</v>
      </c>
      <c r="AX73" s="144">
        <f>IFERROR(_xlfn.XLOOKUP($B73,'Cronog. e Histog.'!$BZ:$BZ,'Cronog. e Histog.'!DS:DS),"")</f>
        <v>0</v>
      </c>
      <c r="AY73" s="144">
        <f>IFERROR(_xlfn.XLOOKUP($B73,'Cronog. e Histog.'!$BZ:$BZ,'Cronog. e Histog.'!DT:DT),"")</f>
        <v>0</v>
      </c>
      <c r="AZ73" s="144">
        <f>IFERROR(_xlfn.XLOOKUP($B73,'Cronog. e Histog.'!$BZ:$BZ,'Cronog. e Histog.'!DU:DU),"")</f>
        <v>0</v>
      </c>
      <c r="BA73" s="144">
        <f>IFERROR(_xlfn.XLOOKUP($B73,'Cronog. e Histog.'!$BZ:$BZ,'Cronog. e Histog.'!DV:DV),"")</f>
        <v>0</v>
      </c>
      <c r="BB73" s="144">
        <f>IFERROR(_xlfn.XLOOKUP($B73,'Cronog. e Histog.'!$BZ:$BZ,'Cronog. e Histog.'!DW:DW),"")</f>
        <v>0</v>
      </c>
      <c r="BC73" s="144">
        <f>IFERROR(_xlfn.XLOOKUP($B73,'Cronog. e Histog.'!$BZ:$BZ,'Cronog. e Histog.'!DX:DX),"")</f>
        <v>0</v>
      </c>
      <c r="BD73" s="144">
        <f>IFERROR(_xlfn.XLOOKUP($B73,'Cronog. e Histog.'!$BZ:$BZ,'Cronog. e Histog.'!DY:DY),"")</f>
        <v>0</v>
      </c>
      <c r="BE73" s="144">
        <f>IFERROR(_xlfn.XLOOKUP($B73,'Cronog. e Histog.'!$BZ:$BZ,'Cronog. e Histog.'!DZ:DZ),"")</f>
        <v>0</v>
      </c>
      <c r="BF73" s="144">
        <f>IFERROR(_xlfn.XLOOKUP($B73,'Cronog. e Histog.'!$BZ:$BZ,'Cronog. e Histog.'!EA:EA),"")</f>
        <v>0</v>
      </c>
      <c r="BG73" s="144">
        <f>IFERROR(_xlfn.XLOOKUP($B73,'Cronog. e Histog.'!$BZ:$BZ,'Cronog. e Histog.'!EB:EB),"")</f>
        <v>0</v>
      </c>
      <c r="BH73" s="144">
        <f>IFERROR(_xlfn.XLOOKUP($B73,'Cronog. e Histog.'!$BZ:$BZ,'Cronog. e Histog.'!EC:EC),"")</f>
        <v>0</v>
      </c>
      <c r="BI73" s="144">
        <f>IFERROR(_xlfn.XLOOKUP($B73,'Cronog. e Histog.'!$BZ:$BZ,'Cronog. e Histog.'!ED:ED),"")</f>
        <v>0</v>
      </c>
      <c r="BJ73" s="144">
        <f>IFERROR(_xlfn.XLOOKUP($B73,'Cronog. e Histog.'!$BZ:$BZ,'Cronog. e Histog.'!EE:EE),"")</f>
        <v>0</v>
      </c>
      <c r="BK73" s="144">
        <f>IFERROR(_xlfn.XLOOKUP($B73,'Cronog. e Histog.'!$BZ:$BZ,'Cronog. e Histog.'!EF:EF),"")</f>
        <v>0</v>
      </c>
      <c r="BL73" s="144">
        <f>IFERROR(_xlfn.XLOOKUP($B73,'Cronog. e Histog.'!$BZ:$BZ,'Cronog. e Histog.'!EG:EG),"")</f>
        <v>0</v>
      </c>
      <c r="BM73" s="144">
        <f>IFERROR(_xlfn.XLOOKUP($B73,'Cronog. e Histog.'!$BZ:$BZ,'Cronog. e Histog.'!EH:EH),"")</f>
        <v>0</v>
      </c>
      <c r="BN73" s="144">
        <f>IFERROR(_xlfn.XLOOKUP($B73,'Cronog. e Histog.'!$BZ:$BZ,'Cronog. e Histog.'!EI:EI),"")</f>
        <v>0</v>
      </c>
    </row>
    <row r="74" spans="2:66" ht="12" hidden="1" customHeight="1" outlineLevel="1">
      <c r="B74" s="76">
        <v>68</v>
      </c>
      <c r="C74" s="143" t="str">
        <f>IFERROR(VLOOKUP(B74,'Cronog. e Histog.'!$BZ$213:$CA$747,2,0),"")</f>
        <v>AN PL. ENG/ARQ</v>
      </c>
      <c r="D74" s="144">
        <f t="shared" si="2"/>
        <v>0</v>
      </c>
      <c r="E74" s="144">
        <f t="shared" si="3"/>
        <v>0</v>
      </c>
      <c r="F74" s="65"/>
      <c r="G74" s="144">
        <f>IFERROR(_xlfn.XLOOKUP($B74,'Cronog. e Histog.'!$BZ:$BZ,'Cronog. e Histog.'!CB:CB),"")</f>
        <v>0</v>
      </c>
      <c r="H74" s="144">
        <f>IFERROR(_xlfn.XLOOKUP($B74,'Cronog. e Histog.'!$BZ:$BZ,'Cronog. e Histog.'!CC:CC),"")</f>
        <v>0</v>
      </c>
      <c r="I74" s="144">
        <f>IFERROR(_xlfn.XLOOKUP($B74,'Cronog. e Histog.'!$BZ:$BZ,'Cronog. e Histog.'!CD:CD),"")</f>
        <v>0</v>
      </c>
      <c r="J74" s="144">
        <f>IFERROR(_xlfn.XLOOKUP($B74,'Cronog. e Histog.'!$BZ:$BZ,'Cronog. e Histog.'!CE:CE),"")</f>
        <v>0</v>
      </c>
      <c r="K74" s="144">
        <f>IFERROR(_xlfn.XLOOKUP($B74,'Cronog. e Histog.'!$BZ:$BZ,'Cronog. e Histog.'!CF:CF),"")</f>
        <v>0</v>
      </c>
      <c r="L74" s="144">
        <f>IFERROR(_xlfn.XLOOKUP($B74,'Cronog. e Histog.'!$BZ:$BZ,'Cronog. e Histog.'!CG:CG),"")</f>
        <v>0</v>
      </c>
      <c r="M74" s="144">
        <f>IFERROR(_xlfn.XLOOKUP($B74,'Cronog. e Histog.'!$BZ:$BZ,'Cronog. e Histog.'!CH:CH),"")</f>
        <v>0</v>
      </c>
      <c r="N74" s="144">
        <f>IFERROR(_xlfn.XLOOKUP($B74,'Cronog. e Histog.'!$BZ:$BZ,'Cronog. e Histog.'!CI:CI),"")</f>
        <v>0</v>
      </c>
      <c r="O74" s="144">
        <f>IFERROR(_xlfn.XLOOKUP($B74,'Cronog. e Histog.'!$BZ:$BZ,'Cronog. e Histog.'!CJ:CJ),"")</f>
        <v>0</v>
      </c>
      <c r="P74" s="144">
        <f>IFERROR(_xlfn.XLOOKUP($B74,'Cronog. e Histog.'!$BZ:$BZ,'Cronog. e Histog.'!CK:CK),"")</f>
        <v>0</v>
      </c>
      <c r="Q74" s="144">
        <f>IFERROR(_xlfn.XLOOKUP($B74,'Cronog. e Histog.'!$BZ:$BZ,'Cronog. e Histog.'!CL:CL),"")</f>
        <v>0</v>
      </c>
      <c r="R74" s="144">
        <f>IFERROR(_xlfn.XLOOKUP($B74,'Cronog. e Histog.'!$BZ:$BZ,'Cronog. e Histog.'!CM:CM),"")</f>
        <v>0</v>
      </c>
      <c r="S74" s="144">
        <f>IFERROR(_xlfn.XLOOKUP($B74,'Cronog. e Histog.'!$BZ:$BZ,'Cronog. e Histog.'!CN:CN),"")</f>
        <v>0</v>
      </c>
      <c r="T74" s="144">
        <f>IFERROR(_xlfn.XLOOKUP($B74,'Cronog. e Histog.'!$BZ:$BZ,'Cronog. e Histog.'!CO:CO),"")</f>
        <v>0</v>
      </c>
      <c r="U74" s="144">
        <f>IFERROR(_xlfn.XLOOKUP($B74,'Cronog. e Histog.'!$BZ:$BZ,'Cronog. e Histog.'!CP:CP),"")</f>
        <v>0</v>
      </c>
      <c r="V74" s="144">
        <f>IFERROR(_xlfn.XLOOKUP($B74,'Cronog. e Histog.'!$BZ:$BZ,'Cronog. e Histog.'!CQ:CQ),"")</f>
        <v>0</v>
      </c>
      <c r="W74" s="144">
        <f>IFERROR(_xlfn.XLOOKUP($B74,'Cronog. e Histog.'!$BZ:$BZ,'Cronog. e Histog.'!CR:CR),"")</f>
        <v>0</v>
      </c>
      <c r="X74" s="144">
        <f>IFERROR(_xlfn.XLOOKUP($B74,'Cronog. e Histog.'!$BZ:$BZ,'Cronog. e Histog.'!CS:CS),"")</f>
        <v>0</v>
      </c>
      <c r="Y74" s="144">
        <f>IFERROR(_xlfn.XLOOKUP($B74,'Cronog. e Histog.'!$BZ:$BZ,'Cronog. e Histog.'!CT:CT),"")</f>
        <v>0</v>
      </c>
      <c r="Z74" s="144">
        <f>IFERROR(_xlfn.XLOOKUP($B74,'Cronog. e Histog.'!$BZ:$BZ,'Cronog. e Histog.'!CU:CU),"")</f>
        <v>0</v>
      </c>
      <c r="AA74" s="144">
        <f>IFERROR(_xlfn.XLOOKUP($B74,'Cronog. e Histog.'!$BZ:$BZ,'Cronog. e Histog.'!CV:CV),"")</f>
        <v>0</v>
      </c>
      <c r="AB74" s="144">
        <f>IFERROR(_xlfn.XLOOKUP($B74,'Cronog. e Histog.'!$BZ:$BZ,'Cronog. e Histog.'!CW:CW),"")</f>
        <v>0</v>
      </c>
      <c r="AC74" s="144">
        <f>IFERROR(_xlfn.XLOOKUP($B74,'Cronog. e Histog.'!$BZ:$BZ,'Cronog. e Histog.'!CX:CX),"")</f>
        <v>0</v>
      </c>
      <c r="AD74" s="144">
        <f>IFERROR(_xlfn.XLOOKUP($B74,'Cronog. e Histog.'!$BZ:$BZ,'Cronog. e Histog.'!CY:CY),"")</f>
        <v>0</v>
      </c>
      <c r="AE74" s="144">
        <f>IFERROR(_xlfn.XLOOKUP($B74,'Cronog. e Histog.'!$BZ:$BZ,'Cronog. e Histog.'!CZ:CZ),"")</f>
        <v>0</v>
      </c>
      <c r="AF74" s="144">
        <f>IFERROR(_xlfn.XLOOKUP($B74,'Cronog. e Histog.'!$BZ:$BZ,'Cronog. e Histog.'!DA:DA),"")</f>
        <v>0</v>
      </c>
      <c r="AG74" s="144">
        <f>IFERROR(_xlfn.XLOOKUP($B74,'Cronog. e Histog.'!$BZ:$BZ,'Cronog. e Histog.'!DB:DB),"")</f>
        <v>0</v>
      </c>
      <c r="AH74" s="144">
        <f>IFERROR(_xlfn.XLOOKUP($B74,'Cronog. e Histog.'!$BZ:$BZ,'Cronog. e Histog.'!DC:DC),"")</f>
        <v>0</v>
      </c>
      <c r="AI74" s="144">
        <f>IFERROR(_xlfn.XLOOKUP($B74,'Cronog. e Histog.'!$BZ:$BZ,'Cronog. e Histog.'!DD:DD),"")</f>
        <v>0</v>
      </c>
      <c r="AJ74" s="144">
        <f>IFERROR(_xlfn.XLOOKUP($B74,'Cronog. e Histog.'!$BZ:$BZ,'Cronog. e Histog.'!DE:DE),"")</f>
        <v>0</v>
      </c>
      <c r="AK74" s="144">
        <f>IFERROR(_xlfn.XLOOKUP($B74,'Cronog. e Histog.'!$BZ:$BZ,'Cronog. e Histog.'!DF:DF),"")</f>
        <v>0</v>
      </c>
      <c r="AL74" s="144">
        <f>IFERROR(_xlfn.XLOOKUP($B74,'Cronog. e Histog.'!$BZ:$BZ,'Cronog. e Histog.'!DG:DG),"")</f>
        <v>0</v>
      </c>
      <c r="AM74" s="144">
        <f>IFERROR(_xlfn.XLOOKUP($B74,'Cronog. e Histog.'!$BZ:$BZ,'Cronog. e Histog.'!DH:DH),"")</f>
        <v>0</v>
      </c>
      <c r="AN74" s="144">
        <f>IFERROR(_xlfn.XLOOKUP($B74,'Cronog. e Histog.'!$BZ:$BZ,'Cronog. e Histog.'!DI:DI),"")</f>
        <v>0</v>
      </c>
      <c r="AO74" s="144">
        <f>IFERROR(_xlfn.XLOOKUP($B74,'Cronog. e Histog.'!$BZ:$BZ,'Cronog. e Histog.'!DJ:DJ),"")</f>
        <v>0</v>
      </c>
      <c r="AP74" s="144">
        <f>IFERROR(_xlfn.XLOOKUP($B74,'Cronog. e Histog.'!$BZ:$BZ,'Cronog. e Histog.'!DK:DK),"")</f>
        <v>0</v>
      </c>
      <c r="AQ74" s="144">
        <f>IFERROR(_xlfn.XLOOKUP($B74,'Cronog. e Histog.'!$BZ:$BZ,'Cronog. e Histog.'!DL:DL),"")</f>
        <v>0</v>
      </c>
      <c r="AR74" s="144">
        <f>IFERROR(_xlfn.XLOOKUP($B74,'Cronog. e Histog.'!$BZ:$BZ,'Cronog. e Histog.'!DM:DM),"")</f>
        <v>0</v>
      </c>
      <c r="AS74" s="144">
        <f>IFERROR(_xlfn.XLOOKUP($B74,'Cronog. e Histog.'!$BZ:$BZ,'Cronog. e Histog.'!DN:DN),"")</f>
        <v>0</v>
      </c>
      <c r="AT74" s="144">
        <f>IFERROR(_xlfn.XLOOKUP($B74,'Cronog. e Histog.'!$BZ:$BZ,'Cronog. e Histog.'!DO:DO),"")</f>
        <v>0</v>
      </c>
      <c r="AU74" s="144">
        <f>IFERROR(_xlfn.XLOOKUP($B74,'Cronog. e Histog.'!$BZ:$BZ,'Cronog. e Histog.'!DP:DP),"")</f>
        <v>0</v>
      </c>
      <c r="AV74" s="144">
        <f>IFERROR(_xlfn.XLOOKUP($B74,'Cronog. e Histog.'!$BZ:$BZ,'Cronog. e Histog.'!DQ:DQ),"")</f>
        <v>0</v>
      </c>
      <c r="AW74" s="144">
        <f>IFERROR(_xlfn.XLOOKUP($B74,'Cronog. e Histog.'!$BZ:$BZ,'Cronog. e Histog.'!DR:DR),"")</f>
        <v>0</v>
      </c>
      <c r="AX74" s="144">
        <f>IFERROR(_xlfn.XLOOKUP($B74,'Cronog. e Histog.'!$BZ:$BZ,'Cronog. e Histog.'!DS:DS),"")</f>
        <v>0</v>
      </c>
      <c r="AY74" s="144">
        <f>IFERROR(_xlfn.XLOOKUP($B74,'Cronog. e Histog.'!$BZ:$BZ,'Cronog. e Histog.'!DT:DT),"")</f>
        <v>0</v>
      </c>
      <c r="AZ74" s="144">
        <f>IFERROR(_xlfn.XLOOKUP($B74,'Cronog. e Histog.'!$BZ:$BZ,'Cronog. e Histog.'!DU:DU),"")</f>
        <v>0</v>
      </c>
      <c r="BA74" s="144">
        <f>IFERROR(_xlfn.XLOOKUP($B74,'Cronog. e Histog.'!$BZ:$BZ,'Cronog. e Histog.'!DV:DV),"")</f>
        <v>0</v>
      </c>
      <c r="BB74" s="144">
        <f>IFERROR(_xlfn.XLOOKUP($B74,'Cronog. e Histog.'!$BZ:$BZ,'Cronog. e Histog.'!DW:DW),"")</f>
        <v>0</v>
      </c>
      <c r="BC74" s="144">
        <f>IFERROR(_xlfn.XLOOKUP($B74,'Cronog. e Histog.'!$BZ:$BZ,'Cronog. e Histog.'!DX:DX),"")</f>
        <v>0</v>
      </c>
      <c r="BD74" s="144">
        <f>IFERROR(_xlfn.XLOOKUP($B74,'Cronog. e Histog.'!$BZ:$BZ,'Cronog. e Histog.'!DY:DY),"")</f>
        <v>0</v>
      </c>
      <c r="BE74" s="144">
        <f>IFERROR(_xlfn.XLOOKUP($B74,'Cronog. e Histog.'!$BZ:$BZ,'Cronog. e Histog.'!DZ:DZ),"")</f>
        <v>0</v>
      </c>
      <c r="BF74" s="144">
        <f>IFERROR(_xlfn.XLOOKUP($B74,'Cronog. e Histog.'!$BZ:$BZ,'Cronog. e Histog.'!EA:EA),"")</f>
        <v>0</v>
      </c>
      <c r="BG74" s="144">
        <f>IFERROR(_xlfn.XLOOKUP($B74,'Cronog. e Histog.'!$BZ:$BZ,'Cronog. e Histog.'!EB:EB),"")</f>
        <v>0</v>
      </c>
      <c r="BH74" s="144">
        <f>IFERROR(_xlfn.XLOOKUP($B74,'Cronog. e Histog.'!$BZ:$BZ,'Cronog. e Histog.'!EC:EC),"")</f>
        <v>0</v>
      </c>
      <c r="BI74" s="144">
        <f>IFERROR(_xlfn.XLOOKUP($B74,'Cronog. e Histog.'!$BZ:$BZ,'Cronog. e Histog.'!ED:ED),"")</f>
        <v>0</v>
      </c>
      <c r="BJ74" s="144">
        <f>IFERROR(_xlfn.XLOOKUP($B74,'Cronog. e Histog.'!$BZ:$BZ,'Cronog. e Histog.'!EE:EE),"")</f>
        <v>0</v>
      </c>
      <c r="BK74" s="144">
        <f>IFERROR(_xlfn.XLOOKUP($B74,'Cronog. e Histog.'!$BZ:$BZ,'Cronog. e Histog.'!EF:EF),"")</f>
        <v>0</v>
      </c>
      <c r="BL74" s="144">
        <f>IFERROR(_xlfn.XLOOKUP($B74,'Cronog. e Histog.'!$BZ:$BZ,'Cronog. e Histog.'!EG:EG),"")</f>
        <v>0</v>
      </c>
      <c r="BM74" s="144">
        <f>IFERROR(_xlfn.XLOOKUP($B74,'Cronog. e Histog.'!$BZ:$BZ,'Cronog. e Histog.'!EH:EH),"")</f>
        <v>0</v>
      </c>
      <c r="BN74" s="144">
        <f>IFERROR(_xlfn.XLOOKUP($B74,'Cronog. e Histog.'!$BZ:$BZ,'Cronog. e Histog.'!EI:EI),"")</f>
        <v>0</v>
      </c>
    </row>
    <row r="75" spans="2:66" ht="12" hidden="1" customHeight="1" outlineLevel="1">
      <c r="B75" s="76">
        <v>69</v>
      </c>
      <c r="C75" s="143" t="str">
        <f>IFERROR(VLOOKUP(B75,'Cronog. e Histog.'!$BZ$213:$CA$747,2,0),"")</f>
        <v>AN JR. ENG/ARQ</v>
      </c>
      <c r="D75" s="144">
        <f t="shared" si="2"/>
        <v>0</v>
      </c>
      <c r="E75" s="144">
        <f t="shared" si="3"/>
        <v>0</v>
      </c>
      <c r="F75" s="65"/>
      <c r="G75" s="144">
        <f>IFERROR(_xlfn.XLOOKUP($B75,'Cronog. e Histog.'!$BZ:$BZ,'Cronog. e Histog.'!CB:CB),"")</f>
        <v>0</v>
      </c>
      <c r="H75" s="144">
        <f>IFERROR(_xlfn.XLOOKUP($B75,'Cronog. e Histog.'!$BZ:$BZ,'Cronog. e Histog.'!CC:CC),"")</f>
        <v>0</v>
      </c>
      <c r="I75" s="144">
        <f>IFERROR(_xlfn.XLOOKUP($B75,'Cronog. e Histog.'!$BZ:$BZ,'Cronog. e Histog.'!CD:CD),"")</f>
        <v>0</v>
      </c>
      <c r="J75" s="144">
        <f>IFERROR(_xlfn.XLOOKUP($B75,'Cronog. e Histog.'!$BZ:$BZ,'Cronog. e Histog.'!CE:CE),"")</f>
        <v>0</v>
      </c>
      <c r="K75" s="144">
        <f>IFERROR(_xlfn.XLOOKUP($B75,'Cronog. e Histog.'!$BZ:$BZ,'Cronog. e Histog.'!CF:CF),"")</f>
        <v>0</v>
      </c>
      <c r="L75" s="144">
        <f>IFERROR(_xlfn.XLOOKUP($B75,'Cronog. e Histog.'!$BZ:$BZ,'Cronog. e Histog.'!CG:CG),"")</f>
        <v>0</v>
      </c>
      <c r="M75" s="144">
        <f>IFERROR(_xlfn.XLOOKUP($B75,'Cronog. e Histog.'!$BZ:$BZ,'Cronog. e Histog.'!CH:CH),"")</f>
        <v>0</v>
      </c>
      <c r="N75" s="144">
        <f>IFERROR(_xlfn.XLOOKUP($B75,'Cronog. e Histog.'!$BZ:$BZ,'Cronog. e Histog.'!CI:CI),"")</f>
        <v>0</v>
      </c>
      <c r="O75" s="144">
        <f>IFERROR(_xlfn.XLOOKUP($B75,'Cronog. e Histog.'!$BZ:$BZ,'Cronog. e Histog.'!CJ:CJ),"")</f>
        <v>0</v>
      </c>
      <c r="P75" s="144">
        <f>IFERROR(_xlfn.XLOOKUP($B75,'Cronog. e Histog.'!$BZ:$BZ,'Cronog. e Histog.'!CK:CK),"")</f>
        <v>0</v>
      </c>
      <c r="Q75" s="144">
        <f>IFERROR(_xlfn.XLOOKUP($B75,'Cronog. e Histog.'!$BZ:$BZ,'Cronog. e Histog.'!CL:CL),"")</f>
        <v>0</v>
      </c>
      <c r="R75" s="144">
        <f>IFERROR(_xlfn.XLOOKUP($B75,'Cronog. e Histog.'!$BZ:$BZ,'Cronog. e Histog.'!CM:CM),"")</f>
        <v>0</v>
      </c>
      <c r="S75" s="144">
        <f>IFERROR(_xlfn.XLOOKUP($B75,'Cronog. e Histog.'!$BZ:$BZ,'Cronog. e Histog.'!CN:CN),"")</f>
        <v>0</v>
      </c>
      <c r="T75" s="144">
        <f>IFERROR(_xlfn.XLOOKUP($B75,'Cronog. e Histog.'!$BZ:$BZ,'Cronog. e Histog.'!CO:CO),"")</f>
        <v>0</v>
      </c>
      <c r="U75" s="144">
        <f>IFERROR(_xlfn.XLOOKUP($B75,'Cronog. e Histog.'!$BZ:$BZ,'Cronog. e Histog.'!CP:CP),"")</f>
        <v>0</v>
      </c>
      <c r="V75" s="144">
        <f>IFERROR(_xlfn.XLOOKUP($B75,'Cronog. e Histog.'!$BZ:$BZ,'Cronog. e Histog.'!CQ:CQ),"")</f>
        <v>0</v>
      </c>
      <c r="W75" s="144">
        <f>IFERROR(_xlfn.XLOOKUP($B75,'Cronog. e Histog.'!$BZ:$BZ,'Cronog. e Histog.'!CR:CR),"")</f>
        <v>0</v>
      </c>
      <c r="X75" s="144">
        <f>IFERROR(_xlfn.XLOOKUP($B75,'Cronog. e Histog.'!$BZ:$BZ,'Cronog. e Histog.'!CS:CS),"")</f>
        <v>0</v>
      </c>
      <c r="Y75" s="144">
        <f>IFERROR(_xlfn.XLOOKUP($B75,'Cronog. e Histog.'!$BZ:$BZ,'Cronog. e Histog.'!CT:CT),"")</f>
        <v>0</v>
      </c>
      <c r="Z75" s="144">
        <f>IFERROR(_xlfn.XLOOKUP($B75,'Cronog. e Histog.'!$BZ:$BZ,'Cronog. e Histog.'!CU:CU),"")</f>
        <v>0</v>
      </c>
      <c r="AA75" s="144">
        <f>IFERROR(_xlfn.XLOOKUP($B75,'Cronog. e Histog.'!$BZ:$BZ,'Cronog. e Histog.'!CV:CV),"")</f>
        <v>0</v>
      </c>
      <c r="AB75" s="144">
        <f>IFERROR(_xlfn.XLOOKUP($B75,'Cronog. e Histog.'!$BZ:$BZ,'Cronog. e Histog.'!CW:CW),"")</f>
        <v>0</v>
      </c>
      <c r="AC75" s="144">
        <f>IFERROR(_xlfn.XLOOKUP($B75,'Cronog. e Histog.'!$BZ:$BZ,'Cronog. e Histog.'!CX:CX),"")</f>
        <v>0</v>
      </c>
      <c r="AD75" s="144">
        <f>IFERROR(_xlfn.XLOOKUP($B75,'Cronog. e Histog.'!$BZ:$BZ,'Cronog. e Histog.'!CY:CY),"")</f>
        <v>0</v>
      </c>
      <c r="AE75" s="144">
        <f>IFERROR(_xlfn.XLOOKUP($B75,'Cronog. e Histog.'!$BZ:$BZ,'Cronog. e Histog.'!CZ:CZ),"")</f>
        <v>0</v>
      </c>
      <c r="AF75" s="144">
        <f>IFERROR(_xlfn.XLOOKUP($B75,'Cronog. e Histog.'!$BZ:$BZ,'Cronog. e Histog.'!DA:DA),"")</f>
        <v>0</v>
      </c>
      <c r="AG75" s="144">
        <f>IFERROR(_xlfn.XLOOKUP($B75,'Cronog. e Histog.'!$BZ:$BZ,'Cronog. e Histog.'!DB:DB),"")</f>
        <v>0</v>
      </c>
      <c r="AH75" s="144">
        <f>IFERROR(_xlfn.XLOOKUP($B75,'Cronog. e Histog.'!$BZ:$BZ,'Cronog. e Histog.'!DC:DC),"")</f>
        <v>0</v>
      </c>
      <c r="AI75" s="144">
        <f>IFERROR(_xlfn.XLOOKUP($B75,'Cronog. e Histog.'!$BZ:$BZ,'Cronog. e Histog.'!DD:DD),"")</f>
        <v>0</v>
      </c>
      <c r="AJ75" s="144">
        <f>IFERROR(_xlfn.XLOOKUP($B75,'Cronog. e Histog.'!$BZ:$BZ,'Cronog. e Histog.'!DE:DE),"")</f>
        <v>0</v>
      </c>
      <c r="AK75" s="144">
        <f>IFERROR(_xlfn.XLOOKUP($B75,'Cronog. e Histog.'!$BZ:$BZ,'Cronog. e Histog.'!DF:DF),"")</f>
        <v>0</v>
      </c>
      <c r="AL75" s="144">
        <f>IFERROR(_xlfn.XLOOKUP($B75,'Cronog. e Histog.'!$BZ:$BZ,'Cronog. e Histog.'!DG:DG),"")</f>
        <v>0</v>
      </c>
      <c r="AM75" s="144">
        <f>IFERROR(_xlfn.XLOOKUP($B75,'Cronog. e Histog.'!$BZ:$BZ,'Cronog. e Histog.'!DH:DH),"")</f>
        <v>0</v>
      </c>
      <c r="AN75" s="144">
        <f>IFERROR(_xlfn.XLOOKUP($B75,'Cronog. e Histog.'!$BZ:$BZ,'Cronog. e Histog.'!DI:DI),"")</f>
        <v>0</v>
      </c>
      <c r="AO75" s="144">
        <f>IFERROR(_xlfn.XLOOKUP($B75,'Cronog. e Histog.'!$BZ:$BZ,'Cronog. e Histog.'!DJ:DJ),"")</f>
        <v>0</v>
      </c>
      <c r="AP75" s="144">
        <f>IFERROR(_xlfn.XLOOKUP($B75,'Cronog. e Histog.'!$BZ:$BZ,'Cronog. e Histog.'!DK:DK),"")</f>
        <v>0</v>
      </c>
      <c r="AQ75" s="144">
        <f>IFERROR(_xlfn.XLOOKUP($B75,'Cronog. e Histog.'!$BZ:$BZ,'Cronog. e Histog.'!DL:DL),"")</f>
        <v>0</v>
      </c>
      <c r="AR75" s="144">
        <f>IFERROR(_xlfn.XLOOKUP($B75,'Cronog. e Histog.'!$BZ:$BZ,'Cronog. e Histog.'!DM:DM),"")</f>
        <v>0</v>
      </c>
      <c r="AS75" s="144">
        <f>IFERROR(_xlfn.XLOOKUP($B75,'Cronog. e Histog.'!$BZ:$BZ,'Cronog. e Histog.'!DN:DN),"")</f>
        <v>0</v>
      </c>
      <c r="AT75" s="144">
        <f>IFERROR(_xlfn.XLOOKUP($B75,'Cronog. e Histog.'!$BZ:$BZ,'Cronog. e Histog.'!DO:DO),"")</f>
        <v>0</v>
      </c>
      <c r="AU75" s="144">
        <f>IFERROR(_xlfn.XLOOKUP($B75,'Cronog. e Histog.'!$BZ:$BZ,'Cronog. e Histog.'!DP:DP),"")</f>
        <v>0</v>
      </c>
      <c r="AV75" s="144">
        <f>IFERROR(_xlfn.XLOOKUP($B75,'Cronog. e Histog.'!$BZ:$BZ,'Cronog. e Histog.'!DQ:DQ),"")</f>
        <v>0</v>
      </c>
      <c r="AW75" s="144">
        <f>IFERROR(_xlfn.XLOOKUP($B75,'Cronog. e Histog.'!$BZ:$BZ,'Cronog. e Histog.'!DR:DR),"")</f>
        <v>0</v>
      </c>
      <c r="AX75" s="144">
        <f>IFERROR(_xlfn.XLOOKUP($B75,'Cronog. e Histog.'!$BZ:$BZ,'Cronog. e Histog.'!DS:DS),"")</f>
        <v>0</v>
      </c>
      <c r="AY75" s="144">
        <f>IFERROR(_xlfn.XLOOKUP($B75,'Cronog. e Histog.'!$BZ:$BZ,'Cronog. e Histog.'!DT:DT),"")</f>
        <v>0</v>
      </c>
      <c r="AZ75" s="144">
        <f>IFERROR(_xlfn.XLOOKUP($B75,'Cronog. e Histog.'!$BZ:$BZ,'Cronog. e Histog.'!DU:DU),"")</f>
        <v>0</v>
      </c>
      <c r="BA75" s="144">
        <f>IFERROR(_xlfn.XLOOKUP($B75,'Cronog. e Histog.'!$BZ:$BZ,'Cronog. e Histog.'!DV:DV),"")</f>
        <v>0</v>
      </c>
      <c r="BB75" s="144">
        <f>IFERROR(_xlfn.XLOOKUP($B75,'Cronog. e Histog.'!$BZ:$BZ,'Cronog. e Histog.'!DW:DW),"")</f>
        <v>0</v>
      </c>
      <c r="BC75" s="144">
        <f>IFERROR(_xlfn.XLOOKUP($B75,'Cronog. e Histog.'!$BZ:$BZ,'Cronog. e Histog.'!DX:DX),"")</f>
        <v>0</v>
      </c>
      <c r="BD75" s="144">
        <f>IFERROR(_xlfn.XLOOKUP($B75,'Cronog. e Histog.'!$BZ:$BZ,'Cronog. e Histog.'!DY:DY),"")</f>
        <v>0</v>
      </c>
      <c r="BE75" s="144">
        <f>IFERROR(_xlfn.XLOOKUP($B75,'Cronog. e Histog.'!$BZ:$BZ,'Cronog. e Histog.'!DZ:DZ),"")</f>
        <v>0</v>
      </c>
      <c r="BF75" s="144">
        <f>IFERROR(_xlfn.XLOOKUP($B75,'Cronog. e Histog.'!$BZ:$BZ,'Cronog. e Histog.'!EA:EA),"")</f>
        <v>0</v>
      </c>
      <c r="BG75" s="144">
        <f>IFERROR(_xlfn.XLOOKUP($B75,'Cronog. e Histog.'!$BZ:$BZ,'Cronog. e Histog.'!EB:EB),"")</f>
        <v>0</v>
      </c>
      <c r="BH75" s="144">
        <f>IFERROR(_xlfn.XLOOKUP($B75,'Cronog. e Histog.'!$BZ:$BZ,'Cronog. e Histog.'!EC:EC),"")</f>
        <v>0</v>
      </c>
      <c r="BI75" s="144">
        <f>IFERROR(_xlfn.XLOOKUP($B75,'Cronog. e Histog.'!$BZ:$BZ,'Cronog. e Histog.'!ED:ED),"")</f>
        <v>0</v>
      </c>
      <c r="BJ75" s="144">
        <f>IFERROR(_xlfn.XLOOKUP($B75,'Cronog. e Histog.'!$BZ:$BZ,'Cronog. e Histog.'!EE:EE),"")</f>
        <v>0</v>
      </c>
      <c r="BK75" s="144">
        <f>IFERROR(_xlfn.XLOOKUP($B75,'Cronog. e Histog.'!$BZ:$BZ,'Cronog. e Histog.'!EF:EF),"")</f>
        <v>0</v>
      </c>
      <c r="BL75" s="144">
        <f>IFERROR(_xlfn.XLOOKUP($B75,'Cronog. e Histog.'!$BZ:$BZ,'Cronog. e Histog.'!EG:EG),"")</f>
        <v>0</v>
      </c>
      <c r="BM75" s="144">
        <f>IFERROR(_xlfn.XLOOKUP($B75,'Cronog. e Histog.'!$BZ:$BZ,'Cronog. e Histog.'!EH:EH),"")</f>
        <v>0</v>
      </c>
      <c r="BN75" s="144">
        <f>IFERROR(_xlfn.XLOOKUP($B75,'Cronog. e Histog.'!$BZ:$BZ,'Cronog. e Histog.'!EI:EI),"")</f>
        <v>0</v>
      </c>
    </row>
    <row r="76" spans="2:66" ht="12" hidden="1" customHeight="1" outlineLevel="1">
      <c r="B76" s="76">
        <v>70</v>
      </c>
      <c r="C76" s="143" t="str">
        <f>IFERROR(VLOOKUP(B76,'Cronog. e Histog.'!$BZ$213:$CA$747,2,0),"")</f>
        <v>AN SR. ADM/CRP</v>
      </c>
      <c r="D76" s="144">
        <f t="shared" si="2"/>
        <v>1</v>
      </c>
      <c r="E76" s="144">
        <f t="shared" si="3"/>
        <v>10</v>
      </c>
      <c r="F76" s="65"/>
      <c r="G76" s="144">
        <f>IFERROR(_xlfn.XLOOKUP($B76,'Cronog. e Histog.'!$BZ:$BZ,'Cronog. e Histog.'!CB:CB),"")</f>
        <v>0.3</v>
      </c>
      <c r="H76" s="144">
        <f>IFERROR(_xlfn.XLOOKUP($B76,'Cronog. e Histog.'!$BZ:$BZ,'Cronog. e Histog.'!CC:CC),"")</f>
        <v>0.3</v>
      </c>
      <c r="I76" s="144">
        <f>IFERROR(_xlfn.XLOOKUP($B76,'Cronog. e Histog.'!$BZ:$BZ,'Cronog. e Histog.'!CD:CD),"")</f>
        <v>0.3</v>
      </c>
      <c r="J76" s="144">
        <f>IFERROR(_xlfn.XLOOKUP($B76,'Cronog. e Histog.'!$BZ:$BZ,'Cronog. e Histog.'!CE:CE),"")</f>
        <v>0.3</v>
      </c>
      <c r="K76" s="144">
        <f>IFERROR(_xlfn.XLOOKUP($B76,'Cronog. e Histog.'!$BZ:$BZ,'Cronog. e Histog.'!CF:CF),"")</f>
        <v>0.3</v>
      </c>
      <c r="L76" s="144">
        <f>IFERROR(_xlfn.XLOOKUP($B76,'Cronog. e Histog.'!$BZ:$BZ,'Cronog. e Histog.'!CG:CG),"")</f>
        <v>0.3</v>
      </c>
      <c r="M76" s="144">
        <f>IFERROR(_xlfn.XLOOKUP($B76,'Cronog. e Histog.'!$BZ:$BZ,'Cronog. e Histog.'!CH:CH),"")</f>
        <v>0.3</v>
      </c>
      <c r="N76" s="144">
        <f>IFERROR(_xlfn.XLOOKUP($B76,'Cronog. e Histog.'!$BZ:$BZ,'Cronog. e Histog.'!CI:CI),"")</f>
        <v>0.3</v>
      </c>
      <c r="O76" s="144">
        <f>IFERROR(_xlfn.XLOOKUP($B76,'Cronog. e Histog.'!$BZ:$BZ,'Cronog. e Histog.'!CJ:CJ),"")</f>
        <v>0.3</v>
      </c>
      <c r="P76" s="144">
        <f>IFERROR(_xlfn.XLOOKUP($B76,'Cronog. e Histog.'!$BZ:$BZ,'Cronog. e Histog.'!CK:CK),"")</f>
        <v>0.3</v>
      </c>
      <c r="Q76" s="144">
        <f>IFERROR(_xlfn.XLOOKUP($B76,'Cronog. e Histog.'!$BZ:$BZ,'Cronog. e Histog.'!CL:CL),"")</f>
        <v>0</v>
      </c>
      <c r="R76" s="144">
        <f>IFERROR(_xlfn.XLOOKUP($B76,'Cronog. e Histog.'!$BZ:$BZ,'Cronog. e Histog.'!CM:CM),"")</f>
        <v>0</v>
      </c>
      <c r="S76" s="144">
        <f>IFERROR(_xlfn.XLOOKUP($B76,'Cronog. e Histog.'!$BZ:$BZ,'Cronog. e Histog.'!CN:CN),"")</f>
        <v>0</v>
      </c>
      <c r="T76" s="144">
        <f>IFERROR(_xlfn.XLOOKUP($B76,'Cronog. e Histog.'!$BZ:$BZ,'Cronog. e Histog.'!CO:CO),"")</f>
        <v>0</v>
      </c>
      <c r="U76" s="144">
        <f>IFERROR(_xlfn.XLOOKUP($B76,'Cronog. e Histog.'!$BZ:$BZ,'Cronog. e Histog.'!CP:CP),"")</f>
        <v>0</v>
      </c>
      <c r="V76" s="144">
        <f>IFERROR(_xlfn.XLOOKUP($B76,'Cronog. e Histog.'!$BZ:$BZ,'Cronog. e Histog.'!CQ:CQ),"")</f>
        <v>0</v>
      </c>
      <c r="W76" s="144">
        <f>IFERROR(_xlfn.XLOOKUP($B76,'Cronog. e Histog.'!$BZ:$BZ,'Cronog. e Histog.'!CR:CR),"")</f>
        <v>0</v>
      </c>
      <c r="X76" s="144">
        <f>IFERROR(_xlfn.XLOOKUP($B76,'Cronog. e Histog.'!$BZ:$BZ,'Cronog. e Histog.'!CS:CS),"")</f>
        <v>0</v>
      </c>
      <c r="Y76" s="144">
        <f>IFERROR(_xlfn.XLOOKUP($B76,'Cronog. e Histog.'!$BZ:$BZ,'Cronog. e Histog.'!CT:CT),"")</f>
        <v>0</v>
      </c>
      <c r="Z76" s="144">
        <f>IFERROR(_xlfn.XLOOKUP($B76,'Cronog. e Histog.'!$BZ:$BZ,'Cronog. e Histog.'!CU:CU),"")</f>
        <v>0</v>
      </c>
      <c r="AA76" s="144">
        <f>IFERROR(_xlfn.XLOOKUP($B76,'Cronog. e Histog.'!$BZ:$BZ,'Cronog. e Histog.'!CV:CV),"")</f>
        <v>0</v>
      </c>
      <c r="AB76" s="144">
        <f>IFERROR(_xlfn.XLOOKUP($B76,'Cronog. e Histog.'!$BZ:$BZ,'Cronog. e Histog.'!CW:CW),"")</f>
        <v>0</v>
      </c>
      <c r="AC76" s="144">
        <f>IFERROR(_xlfn.XLOOKUP($B76,'Cronog. e Histog.'!$BZ:$BZ,'Cronog. e Histog.'!CX:CX),"")</f>
        <v>0</v>
      </c>
      <c r="AD76" s="144">
        <f>IFERROR(_xlfn.XLOOKUP($B76,'Cronog. e Histog.'!$BZ:$BZ,'Cronog. e Histog.'!CY:CY),"")</f>
        <v>0</v>
      </c>
      <c r="AE76" s="144">
        <f>IFERROR(_xlfn.XLOOKUP($B76,'Cronog. e Histog.'!$BZ:$BZ,'Cronog. e Histog.'!CZ:CZ),"")</f>
        <v>0</v>
      </c>
      <c r="AF76" s="144">
        <f>IFERROR(_xlfn.XLOOKUP($B76,'Cronog. e Histog.'!$BZ:$BZ,'Cronog. e Histog.'!DA:DA),"")</f>
        <v>0</v>
      </c>
      <c r="AG76" s="144">
        <f>IFERROR(_xlfn.XLOOKUP($B76,'Cronog. e Histog.'!$BZ:$BZ,'Cronog. e Histog.'!DB:DB),"")</f>
        <v>0</v>
      </c>
      <c r="AH76" s="144">
        <f>IFERROR(_xlfn.XLOOKUP($B76,'Cronog. e Histog.'!$BZ:$BZ,'Cronog. e Histog.'!DC:DC),"")</f>
        <v>0</v>
      </c>
      <c r="AI76" s="144">
        <f>IFERROR(_xlfn.XLOOKUP($B76,'Cronog. e Histog.'!$BZ:$BZ,'Cronog. e Histog.'!DD:DD),"")</f>
        <v>0</v>
      </c>
      <c r="AJ76" s="144">
        <f>IFERROR(_xlfn.XLOOKUP($B76,'Cronog. e Histog.'!$BZ:$BZ,'Cronog. e Histog.'!DE:DE),"")</f>
        <v>0</v>
      </c>
      <c r="AK76" s="144">
        <f>IFERROR(_xlfn.XLOOKUP($B76,'Cronog. e Histog.'!$BZ:$BZ,'Cronog. e Histog.'!DF:DF),"")</f>
        <v>0</v>
      </c>
      <c r="AL76" s="144">
        <f>IFERROR(_xlfn.XLOOKUP($B76,'Cronog. e Histog.'!$BZ:$BZ,'Cronog. e Histog.'!DG:DG),"")</f>
        <v>0</v>
      </c>
      <c r="AM76" s="144">
        <f>IFERROR(_xlfn.XLOOKUP($B76,'Cronog. e Histog.'!$BZ:$BZ,'Cronog. e Histog.'!DH:DH),"")</f>
        <v>0</v>
      </c>
      <c r="AN76" s="144">
        <f>IFERROR(_xlfn.XLOOKUP($B76,'Cronog. e Histog.'!$BZ:$BZ,'Cronog. e Histog.'!DI:DI),"")</f>
        <v>0</v>
      </c>
      <c r="AO76" s="144">
        <f>IFERROR(_xlfn.XLOOKUP($B76,'Cronog. e Histog.'!$BZ:$BZ,'Cronog. e Histog.'!DJ:DJ),"")</f>
        <v>0</v>
      </c>
      <c r="AP76" s="144">
        <f>IFERROR(_xlfn.XLOOKUP($B76,'Cronog. e Histog.'!$BZ:$BZ,'Cronog. e Histog.'!DK:DK),"")</f>
        <v>0</v>
      </c>
      <c r="AQ76" s="144">
        <f>IFERROR(_xlfn.XLOOKUP($B76,'Cronog. e Histog.'!$BZ:$BZ,'Cronog. e Histog.'!DL:DL),"")</f>
        <v>0</v>
      </c>
      <c r="AR76" s="144">
        <f>IFERROR(_xlfn.XLOOKUP($B76,'Cronog. e Histog.'!$BZ:$BZ,'Cronog. e Histog.'!DM:DM),"")</f>
        <v>0</v>
      </c>
      <c r="AS76" s="144">
        <f>IFERROR(_xlfn.XLOOKUP($B76,'Cronog. e Histog.'!$BZ:$BZ,'Cronog. e Histog.'!DN:DN),"")</f>
        <v>0</v>
      </c>
      <c r="AT76" s="144">
        <f>IFERROR(_xlfn.XLOOKUP($B76,'Cronog. e Histog.'!$BZ:$BZ,'Cronog. e Histog.'!DO:DO),"")</f>
        <v>0</v>
      </c>
      <c r="AU76" s="144">
        <f>IFERROR(_xlfn.XLOOKUP($B76,'Cronog. e Histog.'!$BZ:$BZ,'Cronog. e Histog.'!DP:DP),"")</f>
        <v>0</v>
      </c>
      <c r="AV76" s="144">
        <f>IFERROR(_xlfn.XLOOKUP($B76,'Cronog. e Histog.'!$BZ:$BZ,'Cronog. e Histog.'!DQ:DQ),"")</f>
        <v>0</v>
      </c>
      <c r="AW76" s="144">
        <f>IFERROR(_xlfn.XLOOKUP($B76,'Cronog. e Histog.'!$BZ:$BZ,'Cronog. e Histog.'!DR:DR),"")</f>
        <v>0</v>
      </c>
      <c r="AX76" s="144">
        <f>IFERROR(_xlfn.XLOOKUP($B76,'Cronog. e Histog.'!$BZ:$BZ,'Cronog. e Histog.'!DS:DS),"")</f>
        <v>0</v>
      </c>
      <c r="AY76" s="144">
        <f>IFERROR(_xlfn.XLOOKUP($B76,'Cronog. e Histog.'!$BZ:$BZ,'Cronog. e Histog.'!DT:DT),"")</f>
        <v>0</v>
      </c>
      <c r="AZ76" s="144">
        <f>IFERROR(_xlfn.XLOOKUP($B76,'Cronog. e Histog.'!$BZ:$BZ,'Cronog. e Histog.'!DU:DU),"")</f>
        <v>0</v>
      </c>
      <c r="BA76" s="144">
        <f>IFERROR(_xlfn.XLOOKUP($B76,'Cronog. e Histog.'!$BZ:$BZ,'Cronog. e Histog.'!DV:DV),"")</f>
        <v>0</v>
      </c>
      <c r="BB76" s="144">
        <f>IFERROR(_xlfn.XLOOKUP($B76,'Cronog. e Histog.'!$BZ:$BZ,'Cronog. e Histog.'!DW:DW),"")</f>
        <v>0</v>
      </c>
      <c r="BC76" s="144">
        <f>IFERROR(_xlfn.XLOOKUP($B76,'Cronog. e Histog.'!$BZ:$BZ,'Cronog. e Histog.'!DX:DX),"")</f>
        <v>0</v>
      </c>
      <c r="BD76" s="144">
        <f>IFERROR(_xlfn.XLOOKUP($B76,'Cronog. e Histog.'!$BZ:$BZ,'Cronog. e Histog.'!DY:DY),"")</f>
        <v>0</v>
      </c>
      <c r="BE76" s="144">
        <f>IFERROR(_xlfn.XLOOKUP($B76,'Cronog. e Histog.'!$BZ:$BZ,'Cronog. e Histog.'!DZ:DZ),"")</f>
        <v>0</v>
      </c>
      <c r="BF76" s="144">
        <f>IFERROR(_xlfn.XLOOKUP($B76,'Cronog. e Histog.'!$BZ:$BZ,'Cronog. e Histog.'!EA:EA),"")</f>
        <v>0</v>
      </c>
      <c r="BG76" s="144">
        <f>IFERROR(_xlfn.XLOOKUP($B76,'Cronog. e Histog.'!$BZ:$BZ,'Cronog. e Histog.'!EB:EB),"")</f>
        <v>0</v>
      </c>
      <c r="BH76" s="144">
        <f>IFERROR(_xlfn.XLOOKUP($B76,'Cronog. e Histog.'!$BZ:$BZ,'Cronog. e Histog.'!EC:EC),"")</f>
        <v>0</v>
      </c>
      <c r="BI76" s="144">
        <f>IFERROR(_xlfn.XLOOKUP($B76,'Cronog. e Histog.'!$BZ:$BZ,'Cronog. e Histog.'!ED:ED),"")</f>
        <v>0</v>
      </c>
      <c r="BJ76" s="144">
        <f>IFERROR(_xlfn.XLOOKUP($B76,'Cronog. e Histog.'!$BZ:$BZ,'Cronog. e Histog.'!EE:EE),"")</f>
        <v>0</v>
      </c>
      <c r="BK76" s="144">
        <f>IFERROR(_xlfn.XLOOKUP($B76,'Cronog. e Histog.'!$BZ:$BZ,'Cronog. e Histog.'!EF:EF),"")</f>
        <v>0</v>
      </c>
      <c r="BL76" s="144">
        <f>IFERROR(_xlfn.XLOOKUP($B76,'Cronog. e Histog.'!$BZ:$BZ,'Cronog. e Histog.'!EG:EG),"")</f>
        <v>0</v>
      </c>
      <c r="BM76" s="144">
        <f>IFERROR(_xlfn.XLOOKUP($B76,'Cronog. e Histog.'!$BZ:$BZ,'Cronog. e Histog.'!EH:EH),"")</f>
        <v>0</v>
      </c>
      <c r="BN76" s="144">
        <f>IFERROR(_xlfn.XLOOKUP($B76,'Cronog. e Histog.'!$BZ:$BZ,'Cronog. e Histog.'!EI:EI),"")</f>
        <v>0</v>
      </c>
    </row>
    <row r="77" spans="2:66" ht="12" hidden="1" customHeight="1" outlineLevel="1">
      <c r="B77" s="76">
        <v>71</v>
      </c>
      <c r="C77" s="143" t="str">
        <f>IFERROR(VLOOKUP(B77,'Cronog. e Histog.'!$BZ$213:$CA$747,2,0),"")</f>
        <v>AN PL. ADM/CRP</v>
      </c>
      <c r="D77" s="144">
        <f t="shared" si="2"/>
        <v>0</v>
      </c>
      <c r="E77" s="144">
        <f t="shared" si="3"/>
        <v>0</v>
      </c>
      <c r="F77" s="65"/>
      <c r="G77" s="144">
        <f>IFERROR(_xlfn.XLOOKUP($B77,'Cronog. e Histog.'!$BZ:$BZ,'Cronog. e Histog.'!CB:CB),"")</f>
        <v>0</v>
      </c>
      <c r="H77" s="144">
        <f>IFERROR(_xlfn.XLOOKUP($B77,'Cronog. e Histog.'!$BZ:$BZ,'Cronog. e Histog.'!CC:CC),"")</f>
        <v>0</v>
      </c>
      <c r="I77" s="144">
        <f>IFERROR(_xlfn.XLOOKUP($B77,'Cronog. e Histog.'!$BZ:$BZ,'Cronog. e Histog.'!CD:CD),"")</f>
        <v>0</v>
      </c>
      <c r="J77" s="144">
        <f>IFERROR(_xlfn.XLOOKUP($B77,'Cronog. e Histog.'!$BZ:$BZ,'Cronog. e Histog.'!CE:CE),"")</f>
        <v>0</v>
      </c>
      <c r="K77" s="144">
        <f>IFERROR(_xlfn.XLOOKUP($B77,'Cronog. e Histog.'!$BZ:$BZ,'Cronog. e Histog.'!CF:CF),"")</f>
        <v>0</v>
      </c>
      <c r="L77" s="144">
        <f>IFERROR(_xlfn.XLOOKUP($B77,'Cronog. e Histog.'!$BZ:$BZ,'Cronog. e Histog.'!CG:CG),"")</f>
        <v>0</v>
      </c>
      <c r="M77" s="144">
        <f>IFERROR(_xlfn.XLOOKUP($B77,'Cronog. e Histog.'!$BZ:$BZ,'Cronog. e Histog.'!CH:CH),"")</f>
        <v>0</v>
      </c>
      <c r="N77" s="144">
        <f>IFERROR(_xlfn.XLOOKUP($B77,'Cronog. e Histog.'!$BZ:$BZ,'Cronog. e Histog.'!CI:CI),"")</f>
        <v>0</v>
      </c>
      <c r="O77" s="144">
        <f>IFERROR(_xlfn.XLOOKUP($B77,'Cronog. e Histog.'!$BZ:$BZ,'Cronog. e Histog.'!CJ:CJ),"")</f>
        <v>0</v>
      </c>
      <c r="P77" s="144">
        <f>IFERROR(_xlfn.XLOOKUP($B77,'Cronog. e Histog.'!$BZ:$BZ,'Cronog. e Histog.'!CK:CK),"")</f>
        <v>0</v>
      </c>
      <c r="Q77" s="144">
        <f>IFERROR(_xlfn.XLOOKUP($B77,'Cronog. e Histog.'!$BZ:$BZ,'Cronog. e Histog.'!CL:CL),"")</f>
        <v>0</v>
      </c>
      <c r="R77" s="144">
        <f>IFERROR(_xlfn.XLOOKUP($B77,'Cronog. e Histog.'!$BZ:$BZ,'Cronog. e Histog.'!CM:CM),"")</f>
        <v>0</v>
      </c>
      <c r="S77" s="144">
        <f>IFERROR(_xlfn.XLOOKUP($B77,'Cronog. e Histog.'!$BZ:$BZ,'Cronog. e Histog.'!CN:CN),"")</f>
        <v>0</v>
      </c>
      <c r="T77" s="144">
        <f>IFERROR(_xlfn.XLOOKUP($B77,'Cronog. e Histog.'!$BZ:$BZ,'Cronog. e Histog.'!CO:CO),"")</f>
        <v>0</v>
      </c>
      <c r="U77" s="144">
        <f>IFERROR(_xlfn.XLOOKUP($B77,'Cronog. e Histog.'!$BZ:$BZ,'Cronog. e Histog.'!CP:CP),"")</f>
        <v>0</v>
      </c>
      <c r="V77" s="144">
        <f>IFERROR(_xlfn.XLOOKUP($B77,'Cronog. e Histog.'!$BZ:$BZ,'Cronog. e Histog.'!CQ:CQ),"")</f>
        <v>0</v>
      </c>
      <c r="W77" s="144">
        <f>IFERROR(_xlfn.XLOOKUP($B77,'Cronog. e Histog.'!$BZ:$BZ,'Cronog. e Histog.'!CR:CR),"")</f>
        <v>0</v>
      </c>
      <c r="X77" s="144">
        <f>IFERROR(_xlfn.XLOOKUP($B77,'Cronog. e Histog.'!$BZ:$BZ,'Cronog. e Histog.'!CS:CS),"")</f>
        <v>0</v>
      </c>
      <c r="Y77" s="144">
        <f>IFERROR(_xlfn.XLOOKUP($B77,'Cronog. e Histog.'!$BZ:$BZ,'Cronog. e Histog.'!CT:CT),"")</f>
        <v>0</v>
      </c>
      <c r="Z77" s="144">
        <f>IFERROR(_xlfn.XLOOKUP($B77,'Cronog. e Histog.'!$BZ:$BZ,'Cronog. e Histog.'!CU:CU),"")</f>
        <v>0</v>
      </c>
      <c r="AA77" s="144">
        <f>IFERROR(_xlfn.XLOOKUP($B77,'Cronog. e Histog.'!$BZ:$BZ,'Cronog. e Histog.'!CV:CV),"")</f>
        <v>0</v>
      </c>
      <c r="AB77" s="144">
        <f>IFERROR(_xlfn.XLOOKUP($B77,'Cronog. e Histog.'!$BZ:$BZ,'Cronog. e Histog.'!CW:CW),"")</f>
        <v>0</v>
      </c>
      <c r="AC77" s="144">
        <f>IFERROR(_xlfn.XLOOKUP($B77,'Cronog. e Histog.'!$BZ:$BZ,'Cronog. e Histog.'!CX:CX),"")</f>
        <v>0</v>
      </c>
      <c r="AD77" s="144">
        <f>IFERROR(_xlfn.XLOOKUP($B77,'Cronog. e Histog.'!$BZ:$BZ,'Cronog. e Histog.'!CY:CY),"")</f>
        <v>0</v>
      </c>
      <c r="AE77" s="144">
        <f>IFERROR(_xlfn.XLOOKUP($B77,'Cronog. e Histog.'!$BZ:$BZ,'Cronog. e Histog.'!CZ:CZ),"")</f>
        <v>0</v>
      </c>
      <c r="AF77" s="144">
        <f>IFERROR(_xlfn.XLOOKUP($B77,'Cronog. e Histog.'!$BZ:$BZ,'Cronog. e Histog.'!DA:DA),"")</f>
        <v>0</v>
      </c>
      <c r="AG77" s="144">
        <f>IFERROR(_xlfn.XLOOKUP($B77,'Cronog. e Histog.'!$BZ:$BZ,'Cronog. e Histog.'!DB:DB),"")</f>
        <v>0</v>
      </c>
      <c r="AH77" s="144">
        <f>IFERROR(_xlfn.XLOOKUP($B77,'Cronog. e Histog.'!$BZ:$BZ,'Cronog. e Histog.'!DC:DC),"")</f>
        <v>0</v>
      </c>
      <c r="AI77" s="144">
        <f>IFERROR(_xlfn.XLOOKUP($B77,'Cronog. e Histog.'!$BZ:$BZ,'Cronog. e Histog.'!DD:DD),"")</f>
        <v>0</v>
      </c>
      <c r="AJ77" s="144">
        <f>IFERROR(_xlfn.XLOOKUP($B77,'Cronog. e Histog.'!$BZ:$BZ,'Cronog. e Histog.'!DE:DE),"")</f>
        <v>0</v>
      </c>
      <c r="AK77" s="144">
        <f>IFERROR(_xlfn.XLOOKUP($B77,'Cronog. e Histog.'!$BZ:$BZ,'Cronog. e Histog.'!DF:DF),"")</f>
        <v>0</v>
      </c>
      <c r="AL77" s="144">
        <f>IFERROR(_xlfn.XLOOKUP($B77,'Cronog. e Histog.'!$BZ:$BZ,'Cronog. e Histog.'!DG:DG),"")</f>
        <v>0</v>
      </c>
      <c r="AM77" s="144">
        <f>IFERROR(_xlfn.XLOOKUP($B77,'Cronog. e Histog.'!$BZ:$BZ,'Cronog. e Histog.'!DH:DH),"")</f>
        <v>0</v>
      </c>
      <c r="AN77" s="144">
        <f>IFERROR(_xlfn.XLOOKUP($B77,'Cronog. e Histog.'!$BZ:$BZ,'Cronog. e Histog.'!DI:DI),"")</f>
        <v>0</v>
      </c>
      <c r="AO77" s="144">
        <f>IFERROR(_xlfn.XLOOKUP($B77,'Cronog. e Histog.'!$BZ:$BZ,'Cronog. e Histog.'!DJ:DJ),"")</f>
        <v>0</v>
      </c>
      <c r="AP77" s="144">
        <f>IFERROR(_xlfn.XLOOKUP($B77,'Cronog. e Histog.'!$BZ:$BZ,'Cronog. e Histog.'!DK:DK),"")</f>
        <v>0</v>
      </c>
      <c r="AQ77" s="144">
        <f>IFERROR(_xlfn.XLOOKUP($B77,'Cronog. e Histog.'!$BZ:$BZ,'Cronog. e Histog.'!DL:DL),"")</f>
        <v>0</v>
      </c>
      <c r="AR77" s="144">
        <f>IFERROR(_xlfn.XLOOKUP($B77,'Cronog. e Histog.'!$BZ:$BZ,'Cronog. e Histog.'!DM:DM),"")</f>
        <v>0</v>
      </c>
      <c r="AS77" s="144">
        <f>IFERROR(_xlfn.XLOOKUP($B77,'Cronog. e Histog.'!$BZ:$BZ,'Cronog. e Histog.'!DN:DN),"")</f>
        <v>0</v>
      </c>
      <c r="AT77" s="144">
        <f>IFERROR(_xlfn.XLOOKUP($B77,'Cronog. e Histog.'!$BZ:$BZ,'Cronog. e Histog.'!DO:DO),"")</f>
        <v>0</v>
      </c>
      <c r="AU77" s="144">
        <f>IFERROR(_xlfn.XLOOKUP($B77,'Cronog. e Histog.'!$BZ:$BZ,'Cronog. e Histog.'!DP:DP),"")</f>
        <v>0</v>
      </c>
      <c r="AV77" s="144">
        <f>IFERROR(_xlfn.XLOOKUP($B77,'Cronog. e Histog.'!$BZ:$BZ,'Cronog. e Histog.'!DQ:DQ),"")</f>
        <v>0</v>
      </c>
      <c r="AW77" s="144">
        <f>IFERROR(_xlfn.XLOOKUP($B77,'Cronog. e Histog.'!$BZ:$BZ,'Cronog. e Histog.'!DR:DR),"")</f>
        <v>0</v>
      </c>
      <c r="AX77" s="144">
        <f>IFERROR(_xlfn.XLOOKUP($B77,'Cronog. e Histog.'!$BZ:$BZ,'Cronog. e Histog.'!DS:DS),"")</f>
        <v>0</v>
      </c>
      <c r="AY77" s="144">
        <f>IFERROR(_xlfn.XLOOKUP($B77,'Cronog. e Histog.'!$BZ:$BZ,'Cronog. e Histog.'!DT:DT),"")</f>
        <v>0</v>
      </c>
      <c r="AZ77" s="144">
        <f>IFERROR(_xlfn.XLOOKUP($B77,'Cronog. e Histog.'!$BZ:$BZ,'Cronog. e Histog.'!DU:DU),"")</f>
        <v>0</v>
      </c>
      <c r="BA77" s="144">
        <f>IFERROR(_xlfn.XLOOKUP($B77,'Cronog. e Histog.'!$BZ:$BZ,'Cronog. e Histog.'!DV:DV),"")</f>
        <v>0</v>
      </c>
      <c r="BB77" s="144">
        <f>IFERROR(_xlfn.XLOOKUP($B77,'Cronog. e Histog.'!$BZ:$BZ,'Cronog. e Histog.'!DW:DW),"")</f>
        <v>0</v>
      </c>
      <c r="BC77" s="144">
        <f>IFERROR(_xlfn.XLOOKUP($B77,'Cronog. e Histog.'!$BZ:$BZ,'Cronog. e Histog.'!DX:DX),"")</f>
        <v>0</v>
      </c>
      <c r="BD77" s="144">
        <f>IFERROR(_xlfn.XLOOKUP($B77,'Cronog. e Histog.'!$BZ:$BZ,'Cronog. e Histog.'!DY:DY),"")</f>
        <v>0</v>
      </c>
      <c r="BE77" s="144">
        <f>IFERROR(_xlfn.XLOOKUP($B77,'Cronog. e Histog.'!$BZ:$BZ,'Cronog. e Histog.'!DZ:DZ),"")</f>
        <v>0</v>
      </c>
      <c r="BF77" s="144">
        <f>IFERROR(_xlfn.XLOOKUP($B77,'Cronog. e Histog.'!$BZ:$BZ,'Cronog. e Histog.'!EA:EA),"")</f>
        <v>0</v>
      </c>
      <c r="BG77" s="144">
        <f>IFERROR(_xlfn.XLOOKUP($B77,'Cronog. e Histog.'!$BZ:$BZ,'Cronog. e Histog.'!EB:EB),"")</f>
        <v>0</v>
      </c>
      <c r="BH77" s="144">
        <f>IFERROR(_xlfn.XLOOKUP($B77,'Cronog. e Histog.'!$BZ:$BZ,'Cronog. e Histog.'!EC:EC),"")</f>
        <v>0</v>
      </c>
      <c r="BI77" s="144">
        <f>IFERROR(_xlfn.XLOOKUP($B77,'Cronog. e Histog.'!$BZ:$BZ,'Cronog. e Histog.'!ED:ED),"")</f>
        <v>0</v>
      </c>
      <c r="BJ77" s="144">
        <f>IFERROR(_xlfn.XLOOKUP($B77,'Cronog. e Histog.'!$BZ:$BZ,'Cronog. e Histog.'!EE:EE),"")</f>
        <v>0</v>
      </c>
      <c r="BK77" s="144">
        <f>IFERROR(_xlfn.XLOOKUP($B77,'Cronog. e Histog.'!$BZ:$BZ,'Cronog. e Histog.'!EF:EF),"")</f>
        <v>0</v>
      </c>
      <c r="BL77" s="144">
        <f>IFERROR(_xlfn.XLOOKUP($B77,'Cronog. e Histog.'!$BZ:$BZ,'Cronog. e Histog.'!EG:EG),"")</f>
        <v>0</v>
      </c>
      <c r="BM77" s="144">
        <f>IFERROR(_xlfn.XLOOKUP($B77,'Cronog. e Histog.'!$BZ:$BZ,'Cronog. e Histog.'!EH:EH),"")</f>
        <v>0</v>
      </c>
      <c r="BN77" s="144">
        <f>IFERROR(_xlfn.XLOOKUP($B77,'Cronog. e Histog.'!$BZ:$BZ,'Cronog. e Histog.'!EI:EI),"")</f>
        <v>0</v>
      </c>
    </row>
    <row r="78" spans="2:66" ht="12" hidden="1" customHeight="1" outlineLevel="1">
      <c r="B78" s="76">
        <v>72</v>
      </c>
      <c r="C78" s="143" t="str">
        <f>IFERROR(VLOOKUP(B78,'Cronog. e Histog.'!$BZ$213:$CA$747,2,0),"")</f>
        <v>AN JR. ADM/CRP</v>
      </c>
      <c r="D78" s="144">
        <f t="shared" si="2"/>
        <v>0</v>
      </c>
      <c r="E78" s="144">
        <f t="shared" si="3"/>
        <v>0</v>
      </c>
      <c r="F78" s="65"/>
      <c r="G78" s="144">
        <f>IFERROR(_xlfn.XLOOKUP($B78,'Cronog. e Histog.'!$BZ:$BZ,'Cronog. e Histog.'!CB:CB),"")</f>
        <v>0</v>
      </c>
      <c r="H78" s="144">
        <f>IFERROR(_xlfn.XLOOKUP($B78,'Cronog. e Histog.'!$BZ:$BZ,'Cronog. e Histog.'!CC:CC),"")</f>
        <v>0</v>
      </c>
      <c r="I78" s="144">
        <f>IFERROR(_xlfn.XLOOKUP($B78,'Cronog. e Histog.'!$BZ:$BZ,'Cronog. e Histog.'!CD:CD),"")</f>
        <v>0</v>
      </c>
      <c r="J78" s="144">
        <f>IFERROR(_xlfn.XLOOKUP($B78,'Cronog. e Histog.'!$BZ:$BZ,'Cronog. e Histog.'!CE:CE),"")</f>
        <v>0</v>
      </c>
      <c r="K78" s="144">
        <f>IFERROR(_xlfn.XLOOKUP($B78,'Cronog. e Histog.'!$BZ:$BZ,'Cronog. e Histog.'!CF:CF),"")</f>
        <v>0</v>
      </c>
      <c r="L78" s="144">
        <f>IFERROR(_xlfn.XLOOKUP($B78,'Cronog. e Histog.'!$BZ:$BZ,'Cronog. e Histog.'!CG:CG),"")</f>
        <v>0</v>
      </c>
      <c r="M78" s="144">
        <f>IFERROR(_xlfn.XLOOKUP($B78,'Cronog. e Histog.'!$BZ:$BZ,'Cronog. e Histog.'!CH:CH),"")</f>
        <v>0</v>
      </c>
      <c r="N78" s="144">
        <f>IFERROR(_xlfn.XLOOKUP($B78,'Cronog. e Histog.'!$BZ:$BZ,'Cronog. e Histog.'!CI:CI),"")</f>
        <v>0</v>
      </c>
      <c r="O78" s="144">
        <f>IFERROR(_xlfn.XLOOKUP($B78,'Cronog. e Histog.'!$BZ:$BZ,'Cronog. e Histog.'!CJ:CJ),"")</f>
        <v>0</v>
      </c>
      <c r="P78" s="144">
        <f>IFERROR(_xlfn.XLOOKUP($B78,'Cronog. e Histog.'!$BZ:$BZ,'Cronog. e Histog.'!CK:CK),"")</f>
        <v>0</v>
      </c>
      <c r="Q78" s="144">
        <f>IFERROR(_xlfn.XLOOKUP($B78,'Cronog. e Histog.'!$BZ:$BZ,'Cronog. e Histog.'!CL:CL),"")</f>
        <v>0</v>
      </c>
      <c r="R78" s="144">
        <f>IFERROR(_xlfn.XLOOKUP($B78,'Cronog. e Histog.'!$BZ:$BZ,'Cronog. e Histog.'!CM:CM),"")</f>
        <v>0</v>
      </c>
      <c r="S78" s="144">
        <f>IFERROR(_xlfn.XLOOKUP($B78,'Cronog. e Histog.'!$BZ:$BZ,'Cronog. e Histog.'!CN:CN),"")</f>
        <v>0</v>
      </c>
      <c r="T78" s="144">
        <f>IFERROR(_xlfn.XLOOKUP($B78,'Cronog. e Histog.'!$BZ:$BZ,'Cronog. e Histog.'!CO:CO),"")</f>
        <v>0</v>
      </c>
      <c r="U78" s="144">
        <f>IFERROR(_xlfn.XLOOKUP($B78,'Cronog. e Histog.'!$BZ:$BZ,'Cronog. e Histog.'!CP:CP),"")</f>
        <v>0</v>
      </c>
      <c r="V78" s="144">
        <f>IFERROR(_xlfn.XLOOKUP($B78,'Cronog. e Histog.'!$BZ:$BZ,'Cronog. e Histog.'!CQ:CQ),"")</f>
        <v>0</v>
      </c>
      <c r="W78" s="144">
        <f>IFERROR(_xlfn.XLOOKUP($B78,'Cronog. e Histog.'!$BZ:$BZ,'Cronog. e Histog.'!CR:CR),"")</f>
        <v>0</v>
      </c>
      <c r="X78" s="144">
        <f>IFERROR(_xlfn.XLOOKUP($B78,'Cronog. e Histog.'!$BZ:$BZ,'Cronog. e Histog.'!CS:CS),"")</f>
        <v>0</v>
      </c>
      <c r="Y78" s="144">
        <f>IFERROR(_xlfn.XLOOKUP($B78,'Cronog. e Histog.'!$BZ:$BZ,'Cronog. e Histog.'!CT:CT),"")</f>
        <v>0</v>
      </c>
      <c r="Z78" s="144">
        <f>IFERROR(_xlfn.XLOOKUP($B78,'Cronog. e Histog.'!$BZ:$BZ,'Cronog. e Histog.'!CU:CU),"")</f>
        <v>0</v>
      </c>
      <c r="AA78" s="144">
        <f>IFERROR(_xlfn.XLOOKUP($B78,'Cronog. e Histog.'!$BZ:$BZ,'Cronog. e Histog.'!CV:CV),"")</f>
        <v>0</v>
      </c>
      <c r="AB78" s="144">
        <f>IFERROR(_xlfn.XLOOKUP($B78,'Cronog. e Histog.'!$BZ:$BZ,'Cronog. e Histog.'!CW:CW),"")</f>
        <v>0</v>
      </c>
      <c r="AC78" s="144">
        <f>IFERROR(_xlfn.XLOOKUP($B78,'Cronog. e Histog.'!$BZ:$BZ,'Cronog. e Histog.'!CX:CX),"")</f>
        <v>0</v>
      </c>
      <c r="AD78" s="144">
        <f>IFERROR(_xlfn.XLOOKUP($B78,'Cronog. e Histog.'!$BZ:$BZ,'Cronog. e Histog.'!CY:CY),"")</f>
        <v>0</v>
      </c>
      <c r="AE78" s="144">
        <f>IFERROR(_xlfn.XLOOKUP($B78,'Cronog. e Histog.'!$BZ:$BZ,'Cronog. e Histog.'!CZ:CZ),"")</f>
        <v>0</v>
      </c>
      <c r="AF78" s="144">
        <f>IFERROR(_xlfn.XLOOKUP($B78,'Cronog. e Histog.'!$BZ:$BZ,'Cronog. e Histog.'!DA:DA),"")</f>
        <v>0</v>
      </c>
      <c r="AG78" s="144">
        <f>IFERROR(_xlfn.XLOOKUP($B78,'Cronog. e Histog.'!$BZ:$BZ,'Cronog. e Histog.'!DB:DB),"")</f>
        <v>0</v>
      </c>
      <c r="AH78" s="144">
        <f>IFERROR(_xlfn.XLOOKUP($B78,'Cronog. e Histog.'!$BZ:$BZ,'Cronog. e Histog.'!DC:DC),"")</f>
        <v>0</v>
      </c>
      <c r="AI78" s="144">
        <f>IFERROR(_xlfn.XLOOKUP($B78,'Cronog. e Histog.'!$BZ:$BZ,'Cronog. e Histog.'!DD:DD),"")</f>
        <v>0</v>
      </c>
      <c r="AJ78" s="144">
        <f>IFERROR(_xlfn.XLOOKUP($B78,'Cronog. e Histog.'!$BZ:$BZ,'Cronog. e Histog.'!DE:DE),"")</f>
        <v>0</v>
      </c>
      <c r="AK78" s="144">
        <f>IFERROR(_xlfn.XLOOKUP($B78,'Cronog. e Histog.'!$BZ:$BZ,'Cronog. e Histog.'!DF:DF),"")</f>
        <v>0</v>
      </c>
      <c r="AL78" s="144">
        <f>IFERROR(_xlfn.XLOOKUP($B78,'Cronog. e Histog.'!$BZ:$BZ,'Cronog. e Histog.'!DG:DG),"")</f>
        <v>0</v>
      </c>
      <c r="AM78" s="144">
        <f>IFERROR(_xlfn.XLOOKUP($B78,'Cronog. e Histog.'!$BZ:$BZ,'Cronog. e Histog.'!DH:DH),"")</f>
        <v>0</v>
      </c>
      <c r="AN78" s="144">
        <f>IFERROR(_xlfn.XLOOKUP($B78,'Cronog. e Histog.'!$BZ:$BZ,'Cronog. e Histog.'!DI:DI),"")</f>
        <v>0</v>
      </c>
      <c r="AO78" s="144">
        <f>IFERROR(_xlfn.XLOOKUP($B78,'Cronog. e Histog.'!$BZ:$BZ,'Cronog. e Histog.'!DJ:DJ),"")</f>
        <v>0</v>
      </c>
      <c r="AP78" s="144">
        <f>IFERROR(_xlfn.XLOOKUP($B78,'Cronog. e Histog.'!$BZ:$BZ,'Cronog. e Histog.'!DK:DK),"")</f>
        <v>0</v>
      </c>
      <c r="AQ78" s="144">
        <f>IFERROR(_xlfn.XLOOKUP($B78,'Cronog. e Histog.'!$BZ:$BZ,'Cronog. e Histog.'!DL:DL),"")</f>
        <v>0</v>
      </c>
      <c r="AR78" s="144">
        <f>IFERROR(_xlfn.XLOOKUP($B78,'Cronog. e Histog.'!$BZ:$BZ,'Cronog. e Histog.'!DM:DM),"")</f>
        <v>0</v>
      </c>
      <c r="AS78" s="144">
        <f>IFERROR(_xlfn.XLOOKUP($B78,'Cronog. e Histog.'!$BZ:$BZ,'Cronog. e Histog.'!DN:DN),"")</f>
        <v>0</v>
      </c>
      <c r="AT78" s="144">
        <f>IFERROR(_xlfn.XLOOKUP($B78,'Cronog. e Histog.'!$BZ:$BZ,'Cronog. e Histog.'!DO:DO),"")</f>
        <v>0</v>
      </c>
      <c r="AU78" s="144">
        <f>IFERROR(_xlfn.XLOOKUP($B78,'Cronog. e Histog.'!$BZ:$BZ,'Cronog. e Histog.'!DP:DP),"")</f>
        <v>0</v>
      </c>
      <c r="AV78" s="144">
        <f>IFERROR(_xlfn.XLOOKUP($B78,'Cronog. e Histog.'!$BZ:$BZ,'Cronog. e Histog.'!DQ:DQ),"")</f>
        <v>0</v>
      </c>
      <c r="AW78" s="144">
        <f>IFERROR(_xlfn.XLOOKUP($B78,'Cronog. e Histog.'!$BZ:$BZ,'Cronog. e Histog.'!DR:DR),"")</f>
        <v>0</v>
      </c>
      <c r="AX78" s="144">
        <f>IFERROR(_xlfn.XLOOKUP($B78,'Cronog. e Histog.'!$BZ:$BZ,'Cronog. e Histog.'!DS:DS),"")</f>
        <v>0</v>
      </c>
      <c r="AY78" s="144">
        <f>IFERROR(_xlfn.XLOOKUP($B78,'Cronog. e Histog.'!$BZ:$BZ,'Cronog. e Histog.'!DT:DT),"")</f>
        <v>0</v>
      </c>
      <c r="AZ78" s="144">
        <f>IFERROR(_xlfn.XLOOKUP($B78,'Cronog. e Histog.'!$BZ:$BZ,'Cronog. e Histog.'!DU:DU),"")</f>
        <v>0</v>
      </c>
      <c r="BA78" s="144">
        <f>IFERROR(_xlfn.XLOOKUP($B78,'Cronog. e Histog.'!$BZ:$BZ,'Cronog. e Histog.'!DV:DV),"")</f>
        <v>0</v>
      </c>
      <c r="BB78" s="144">
        <f>IFERROR(_xlfn.XLOOKUP($B78,'Cronog. e Histog.'!$BZ:$BZ,'Cronog. e Histog.'!DW:DW),"")</f>
        <v>0</v>
      </c>
      <c r="BC78" s="144">
        <f>IFERROR(_xlfn.XLOOKUP($B78,'Cronog. e Histog.'!$BZ:$BZ,'Cronog. e Histog.'!DX:DX),"")</f>
        <v>0</v>
      </c>
      <c r="BD78" s="144">
        <f>IFERROR(_xlfn.XLOOKUP($B78,'Cronog. e Histog.'!$BZ:$BZ,'Cronog. e Histog.'!DY:DY),"")</f>
        <v>0</v>
      </c>
      <c r="BE78" s="144">
        <f>IFERROR(_xlfn.XLOOKUP($B78,'Cronog. e Histog.'!$BZ:$BZ,'Cronog. e Histog.'!DZ:DZ),"")</f>
        <v>0</v>
      </c>
      <c r="BF78" s="144">
        <f>IFERROR(_xlfn.XLOOKUP($B78,'Cronog. e Histog.'!$BZ:$BZ,'Cronog. e Histog.'!EA:EA),"")</f>
        <v>0</v>
      </c>
      <c r="BG78" s="144">
        <f>IFERROR(_xlfn.XLOOKUP($B78,'Cronog. e Histog.'!$BZ:$BZ,'Cronog. e Histog.'!EB:EB),"")</f>
        <v>0</v>
      </c>
      <c r="BH78" s="144">
        <f>IFERROR(_xlfn.XLOOKUP($B78,'Cronog. e Histog.'!$BZ:$BZ,'Cronog. e Histog.'!EC:EC),"")</f>
        <v>0</v>
      </c>
      <c r="BI78" s="144">
        <f>IFERROR(_xlfn.XLOOKUP($B78,'Cronog. e Histog.'!$BZ:$BZ,'Cronog. e Histog.'!ED:ED),"")</f>
        <v>0</v>
      </c>
      <c r="BJ78" s="144">
        <f>IFERROR(_xlfn.XLOOKUP($B78,'Cronog. e Histog.'!$BZ:$BZ,'Cronog. e Histog.'!EE:EE),"")</f>
        <v>0</v>
      </c>
      <c r="BK78" s="144">
        <f>IFERROR(_xlfn.XLOOKUP($B78,'Cronog. e Histog.'!$BZ:$BZ,'Cronog. e Histog.'!EF:EF),"")</f>
        <v>0</v>
      </c>
      <c r="BL78" s="144">
        <f>IFERROR(_xlfn.XLOOKUP($B78,'Cronog. e Histog.'!$BZ:$BZ,'Cronog. e Histog.'!EG:EG),"")</f>
        <v>0</v>
      </c>
      <c r="BM78" s="144">
        <f>IFERROR(_xlfn.XLOOKUP($B78,'Cronog. e Histog.'!$BZ:$BZ,'Cronog. e Histog.'!EH:EH),"")</f>
        <v>0</v>
      </c>
      <c r="BN78" s="144">
        <f>IFERROR(_xlfn.XLOOKUP($B78,'Cronog. e Histog.'!$BZ:$BZ,'Cronog. e Histog.'!EI:EI),"")</f>
        <v>0</v>
      </c>
    </row>
    <row r="79" spans="2:66" ht="12" hidden="1" customHeight="1" outlineLevel="1">
      <c r="B79" s="76">
        <v>73</v>
      </c>
      <c r="C79" s="143" t="str">
        <f>IFERROR(VLOOKUP(B79,'Cronog. e Histog.'!$BZ$213:$CA$747,2,0),"")</f>
        <v>TEC III</v>
      </c>
      <c r="D79" s="144">
        <f t="shared" si="2"/>
        <v>0</v>
      </c>
      <c r="E79" s="144">
        <f t="shared" si="3"/>
        <v>0</v>
      </c>
      <c r="F79" s="65"/>
      <c r="G79" s="144">
        <f>IFERROR(_xlfn.XLOOKUP($B79,'Cronog. e Histog.'!$BZ:$BZ,'Cronog. e Histog.'!CB:CB),"")</f>
        <v>0</v>
      </c>
      <c r="H79" s="144">
        <f>IFERROR(_xlfn.XLOOKUP($B79,'Cronog. e Histog.'!$BZ:$BZ,'Cronog. e Histog.'!CC:CC),"")</f>
        <v>0</v>
      </c>
      <c r="I79" s="144">
        <f>IFERROR(_xlfn.XLOOKUP($B79,'Cronog. e Histog.'!$BZ:$BZ,'Cronog. e Histog.'!CD:CD),"")</f>
        <v>0</v>
      </c>
      <c r="J79" s="144">
        <f>IFERROR(_xlfn.XLOOKUP($B79,'Cronog. e Histog.'!$BZ:$BZ,'Cronog. e Histog.'!CE:CE),"")</f>
        <v>0</v>
      </c>
      <c r="K79" s="144">
        <f>IFERROR(_xlfn.XLOOKUP($B79,'Cronog. e Histog.'!$BZ:$BZ,'Cronog. e Histog.'!CF:CF),"")</f>
        <v>0</v>
      </c>
      <c r="L79" s="144">
        <f>IFERROR(_xlfn.XLOOKUP($B79,'Cronog. e Histog.'!$BZ:$BZ,'Cronog. e Histog.'!CG:CG),"")</f>
        <v>0</v>
      </c>
      <c r="M79" s="144">
        <f>IFERROR(_xlfn.XLOOKUP($B79,'Cronog. e Histog.'!$BZ:$BZ,'Cronog. e Histog.'!CH:CH),"")</f>
        <v>0</v>
      </c>
      <c r="N79" s="144">
        <f>IFERROR(_xlfn.XLOOKUP($B79,'Cronog. e Histog.'!$BZ:$BZ,'Cronog. e Histog.'!CI:CI),"")</f>
        <v>0</v>
      </c>
      <c r="O79" s="144">
        <f>IFERROR(_xlfn.XLOOKUP($B79,'Cronog. e Histog.'!$BZ:$BZ,'Cronog. e Histog.'!CJ:CJ),"")</f>
        <v>0</v>
      </c>
      <c r="P79" s="144">
        <f>IFERROR(_xlfn.XLOOKUP($B79,'Cronog. e Histog.'!$BZ:$BZ,'Cronog. e Histog.'!CK:CK),"")</f>
        <v>0</v>
      </c>
      <c r="Q79" s="144">
        <f>IFERROR(_xlfn.XLOOKUP($B79,'Cronog. e Histog.'!$BZ:$BZ,'Cronog. e Histog.'!CL:CL),"")</f>
        <v>0</v>
      </c>
      <c r="R79" s="144">
        <f>IFERROR(_xlfn.XLOOKUP($B79,'Cronog. e Histog.'!$BZ:$BZ,'Cronog. e Histog.'!CM:CM),"")</f>
        <v>0</v>
      </c>
      <c r="S79" s="144">
        <f>IFERROR(_xlfn.XLOOKUP($B79,'Cronog. e Histog.'!$BZ:$BZ,'Cronog. e Histog.'!CN:CN),"")</f>
        <v>0</v>
      </c>
      <c r="T79" s="144">
        <f>IFERROR(_xlfn.XLOOKUP($B79,'Cronog. e Histog.'!$BZ:$BZ,'Cronog. e Histog.'!CO:CO),"")</f>
        <v>0</v>
      </c>
      <c r="U79" s="144">
        <f>IFERROR(_xlfn.XLOOKUP($B79,'Cronog. e Histog.'!$BZ:$BZ,'Cronog. e Histog.'!CP:CP),"")</f>
        <v>0</v>
      </c>
      <c r="V79" s="144">
        <f>IFERROR(_xlfn.XLOOKUP($B79,'Cronog. e Histog.'!$BZ:$BZ,'Cronog. e Histog.'!CQ:CQ),"")</f>
        <v>0</v>
      </c>
      <c r="W79" s="144">
        <f>IFERROR(_xlfn.XLOOKUP($B79,'Cronog. e Histog.'!$BZ:$BZ,'Cronog. e Histog.'!CR:CR),"")</f>
        <v>0</v>
      </c>
      <c r="X79" s="144">
        <f>IFERROR(_xlfn.XLOOKUP($B79,'Cronog. e Histog.'!$BZ:$BZ,'Cronog. e Histog.'!CS:CS),"")</f>
        <v>0</v>
      </c>
      <c r="Y79" s="144">
        <f>IFERROR(_xlfn.XLOOKUP($B79,'Cronog. e Histog.'!$BZ:$BZ,'Cronog. e Histog.'!CT:CT),"")</f>
        <v>0</v>
      </c>
      <c r="Z79" s="144">
        <f>IFERROR(_xlfn.XLOOKUP($B79,'Cronog. e Histog.'!$BZ:$BZ,'Cronog. e Histog.'!CU:CU),"")</f>
        <v>0</v>
      </c>
      <c r="AA79" s="144">
        <f>IFERROR(_xlfn.XLOOKUP($B79,'Cronog. e Histog.'!$BZ:$BZ,'Cronog. e Histog.'!CV:CV),"")</f>
        <v>0</v>
      </c>
      <c r="AB79" s="144">
        <f>IFERROR(_xlfn.XLOOKUP($B79,'Cronog. e Histog.'!$BZ:$BZ,'Cronog. e Histog.'!CW:CW),"")</f>
        <v>0</v>
      </c>
      <c r="AC79" s="144">
        <f>IFERROR(_xlfn.XLOOKUP($B79,'Cronog. e Histog.'!$BZ:$BZ,'Cronog. e Histog.'!CX:CX),"")</f>
        <v>0</v>
      </c>
      <c r="AD79" s="144">
        <f>IFERROR(_xlfn.XLOOKUP($B79,'Cronog. e Histog.'!$BZ:$BZ,'Cronog. e Histog.'!CY:CY),"")</f>
        <v>0</v>
      </c>
      <c r="AE79" s="144">
        <f>IFERROR(_xlfn.XLOOKUP($B79,'Cronog. e Histog.'!$BZ:$BZ,'Cronog. e Histog.'!CZ:CZ),"")</f>
        <v>0</v>
      </c>
      <c r="AF79" s="144">
        <f>IFERROR(_xlfn.XLOOKUP($B79,'Cronog. e Histog.'!$BZ:$BZ,'Cronog. e Histog.'!DA:DA),"")</f>
        <v>0</v>
      </c>
      <c r="AG79" s="144">
        <f>IFERROR(_xlfn.XLOOKUP($B79,'Cronog. e Histog.'!$BZ:$BZ,'Cronog. e Histog.'!DB:DB),"")</f>
        <v>0</v>
      </c>
      <c r="AH79" s="144">
        <f>IFERROR(_xlfn.XLOOKUP($B79,'Cronog. e Histog.'!$BZ:$BZ,'Cronog. e Histog.'!DC:DC),"")</f>
        <v>0</v>
      </c>
      <c r="AI79" s="144">
        <f>IFERROR(_xlfn.XLOOKUP($B79,'Cronog. e Histog.'!$BZ:$BZ,'Cronog. e Histog.'!DD:DD),"")</f>
        <v>0</v>
      </c>
      <c r="AJ79" s="144">
        <f>IFERROR(_xlfn.XLOOKUP($B79,'Cronog. e Histog.'!$BZ:$BZ,'Cronog. e Histog.'!DE:DE),"")</f>
        <v>0</v>
      </c>
      <c r="AK79" s="144">
        <f>IFERROR(_xlfn.XLOOKUP($B79,'Cronog. e Histog.'!$BZ:$BZ,'Cronog. e Histog.'!DF:DF),"")</f>
        <v>0</v>
      </c>
      <c r="AL79" s="144">
        <f>IFERROR(_xlfn.XLOOKUP($B79,'Cronog. e Histog.'!$BZ:$BZ,'Cronog. e Histog.'!DG:DG),"")</f>
        <v>0</v>
      </c>
      <c r="AM79" s="144">
        <f>IFERROR(_xlfn.XLOOKUP($B79,'Cronog. e Histog.'!$BZ:$BZ,'Cronog. e Histog.'!DH:DH),"")</f>
        <v>0</v>
      </c>
      <c r="AN79" s="144">
        <f>IFERROR(_xlfn.XLOOKUP($B79,'Cronog. e Histog.'!$BZ:$BZ,'Cronog. e Histog.'!DI:DI),"")</f>
        <v>0</v>
      </c>
      <c r="AO79" s="144">
        <f>IFERROR(_xlfn.XLOOKUP($B79,'Cronog. e Histog.'!$BZ:$BZ,'Cronog. e Histog.'!DJ:DJ),"")</f>
        <v>0</v>
      </c>
      <c r="AP79" s="144">
        <f>IFERROR(_xlfn.XLOOKUP($B79,'Cronog. e Histog.'!$BZ:$BZ,'Cronog. e Histog.'!DK:DK),"")</f>
        <v>0</v>
      </c>
      <c r="AQ79" s="144">
        <f>IFERROR(_xlfn.XLOOKUP($B79,'Cronog. e Histog.'!$BZ:$BZ,'Cronog. e Histog.'!DL:DL),"")</f>
        <v>0</v>
      </c>
      <c r="AR79" s="144">
        <f>IFERROR(_xlfn.XLOOKUP($B79,'Cronog. e Histog.'!$BZ:$BZ,'Cronog. e Histog.'!DM:DM),"")</f>
        <v>0</v>
      </c>
      <c r="AS79" s="144">
        <f>IFERROR(_xlfn.XLOOKUP($B79,'Cronog. e Histog.'!$BZ:$BZ,'Cronog. e Histog.'!DN:DN),"")</f>
        <v>0</v>
      </c>
      <c r="AT79" s="144">
        <f>IFERROR(_xlfn.XLOOKUP($B79,'Cronog. e Histog.'!$BZ:$BZ,'Cronog. e Histog.'!DO:DO),"")</f>
        <v>0</v>
      </c>
      <c r="AU79" s="144">
        <f>IFERROR(_xlfn.XLOOKUP($B79,'Cronog. e Histog.'!$BZ:$BZ,'Cronog. e Histog.'!DP:DP),"")</f>
        <v>0</v>
      </c>
      <c r="AV79" s="144">
        <f>IFERROR(_xlfn.XLOOKUP($B79,'Cronog. e Histog.'!$BZ:$BZ,'Cronog. e Histog.'!DQ:DQ),"")</f>
        <v>0</v>
      </c>
      <c r="AW79" s="144">
        <f>IFERROR(_xlfn.XLOOKUP($B79,'Cronog. e Histog.'!$BZ:$BZ,'Cronog. e Histog.'!DR:DR),"")</f>
        <v>0</v>
      </c>
      <c r="AX79" s="144">
        <f>IFERROR(_xlfn.XLOOKUP($B79,'Cronog. e Histog.'!$BZ:$BZ,'Cronog. e Histog.'!DS:DS),"")</f>
        <v>0</v>
      </c>
      <c r="AY79" s="144">
        <f>IFERROR(_xlfn.XLOOKUP($B79,'Cronog. e Histog.'!$BZ:$BZ,'Cronog. e Histog.'!DT:DT),"")</f>
        <v>0</v>
      </c>
      <c r="AZ79" s="144">
        <f>IFERROR(_xlfn.XLOOKUP($B79,'Cronog. e Histog.'!$BZ:$BZ,'Cronog. e Histog.'!DU:DU),"")</f>
        <v>0</v>
      </c>
      <c r="BA79" s="144">
        <f>IFERROR(_xlfn.XLOOKUP($B79,'Cronog. e Histog.'!$BZ:$BZ,'Cronog. e Histog.'!DV:DV),"")</f>
        <v>0</v>
      </c>
      <c r="BB79" s="144">
        <f>IFERROR(_xlfn.XLOOKUP($B79,'Cronog. e Histog.'!$BZ:$BZ,'Cronog. e Histog.'!DW:DW),"")</f>
        <v>0</v>
      </c>
      <c r="BC79" s="144">
        <f>IFERROR(_xlfn.XLOOKUP($B79,'Cronog. e Histog.'!$BZ:$BZ,'Cronog. e Histog.'!DX:DX),"")</f>
        <v>0</v>
      </c>
      <c r="BD79" s="144">
        <f>IFERROR(_xlfn.XLOOKUP($B79,'Cronog. e Histog.'!$BZ:$BZ,'Cronog. e Histog.'!DY:DY),"")</f>
        <v>0</v>
      </c>
      <c r="BE79" s="144">
        <f>IFERROR(_xlfn.XLOOKUP($B79,'Cronog. e Histog.'!$BZ:$BZ,'Cronog. e Histog.'!DZ:DZ),"")</f>
        <v>0</v>
      </c>
      <c r="BF79" s="144">
        <f>IFERROR(_xlfn.XLOOKUP($B79,'Cronog. e Histog.'!$BZ:$BZ,'Cronog. e Histog.'!EA:EA),"")</f>
        <v>0</v>
      </c>
      <c r="BG79" s="144">
        <f>IFERROR(_xlfn.XLOOKUP($B79,'Cronog. e Histog.'!$BZ:$BZ,'Cronog. e Histog.'!EB:EB),"")</f>
        <v>0</v>
      </c>
      <c r="BH79" s="144">
        <f>IFERROR(_xlfn.XLOOKUP($B79,'Cronog. e Histog.'!$BZ:$BZ,'Cronog. e Histog.'!EC:EC),"")</f>
        <v>0</v>
      </c>
      <c r="BI79" s="144">
        <f>IFERROR(_xlfn.XLOOKUP($B79,'Cronog. e Histog.'!$BZ:$BZ,'Cronog. e Histog.'!ED:ED),"")</f>
        <v>0</v>
      </c>
      <c r="BJ79" s="144">
        <f>IFERROR(_xlfn.XLOOKUP($B79,'Cronog. e Histog.'!$BZ:$BZ,'Cronog. e Histog.'!EE:EE),"")</f>
        <v>0</v>
      </c>
      <c r="BK79" s="144">
        <f>IFERROR(_xlfn.XLOOKUP($B79,'Cronog. e Histog.'!$BZ:$BZ,'Cronog. e Histog.'!EF:EF),"")</f>
        <v>0</v>
      </c>
      <c r="BL79" s="144">
        <f>IFERROR(_xlfn.XLOOKUP($B79,'Cronog. e Histog.'!$BZ:$BZ,'Cronog. e Histog.'!EG:EG),"")</f>
        <v>0</v>
      </c>
      <c r="BM79" s="144">
        <f>IFERROR(_xlfn.XLOOKUP($B79,'Cronog. e Histog.'!$BZ:$BZ,'Cronog. e Histog.'!EH:EH),"")</f>
        <v>0</v>
      </c>
      <c r="BN79" s="144">
        <f>IFERROR(_xlfn.XLOOKUP($B79,'Cronog. e Histog.'!$BZ:$BZ,'Cronog. e Histog.'!EI:EI),"")</f>
        <v>0</v>
      </c>
    </row>
    <row r="80" spans="2:66" ht="12" hidden="1" customHeight="1" outlineLevel="1">
      <c r="B80" s="76">
        <v>74</v>
      </c>
      <c r="C80" s="143" t="str">
        <f>IFERROR(VLOOKUP(B80,'Cronog. e Histog.'!$BZ$213:$CA$747,2,0),"")</f>
        <v>TEC II</v>
      </c>
      <c r="D80" s="144">
        <f t="shared" si="2"/>
        <v>0</v>
      </c>
      <c r="E80" s="144">
        <f t="shared" si="3"/>
        <v>0</v>
      </c>
      <c r="F80" s="65"/>
      <c r="G80" s="144">
        <f>IFERROR(_xlfn.XLOOKUP($B80,'Cronog. e Histog.'!$BZ:$BZ,'Cronog. e Histog.'!CB:CB),"")</f>
        <v>0</v>
      </c>
      <c r="H80" s="144">
        <f>IFERROR(_xlfn.XLOOKUP($B80,'Cronog. e Histog.'!$BZ:$BZ,'Cronog. e Histog.'!CC:CC),"")</f>
        <v>0</v>
      </c>
      <c r="I80" s="144">
        <f>IFERROR(_xlfn.XLOOKUP($B80,'Cronog. e Histog.'!$BZ:$BZ,'Cronog. e Histog.'!CD:CD),"")</f>
        <v>0</v>
      </c>
      <c r="J80" s="144">
        <f>IFERROR(_xlfn.XLOOKUP($B80,'Cronog. e Histog.'!$BZ:$BZ,'Cronog. e Histog.'!CE:CE),"")</f>
        <v>0</v>
      </c>
      <c r="K80" s="144">
        <f>IFERROR(_xlfn.XLOOKUP($B80,'Cronog. e Histog.'!$BZ:$BZ,'Cronog. e Histog.'!CF:CF),"")</f>
        <v>0</v>
      </c>
      <c r="L80" s="144">
        <f>IFERROR(_xlfn.XLOOKUP($B80,'Cronog. e Histog.'!$BZ:$BZ,'Cronog. e Histog.'!CG:CG),"")</f>
        <v>0</v>
      </c>
      <c r="M80" s="144">
        <f>IFERROR(_xlfn.XLOOKUP($B80,'Cronog. e Histog.'!$BZ:$BZ,'Cronog. e Histog.'!CH:CH),"")</f>
        <v>0</v>
      </c>
      <c r="N80" s="144">
        <f>IFERROR(_xlfn.XLOOKUP($B80,'Cronog. e Histog.'!$BZ:$BZ,'Cronog. e Histog.'!CI:CI),"")</f>
        <v>0</v>
      </c>
      <c r="O80" s="144">
        <f>IFERROR(_xlfn.XLOOKUP($B80,'Cronog. e Histog.'!$BZ:$BZ,'Cronog. e Histog.'!CJ:CJ),"")</f>
        <v>0</v>
      </c>
      <c r="P80" s="144">
        <f>IFERROR(_xlfn.XLOOKUP($B80,'Cronog. e Histog.'!$BZ:$BZ,'Cronog. e Histog.'!CK:CK),"")</f>
        <v>0</v>
      </c>
      <c r="Q80" s="144">
        <f>IFERROR(_xlfn.XLOOKUP($B80,'Cronog. e Histog.'!$BZ:$BZ,'Cronog. e Histog.'!CL:CL),"")</f>
        <v>0</v>
      </c>
      <c r="R80" s="144">
        <f>IFERROR(_xlfn.XLOOKUP($B80,'Cronog. e Histog.'!$BZ:$BZ,'Cronog. e Histog.'!CM:CM),"")</f>
        <v>0</v>
      </c>
      <c r="S80" s="144">
        <f>IFERROR(_xlfn.XLOOKUP($B80,'Cronog. e Histog.'!$BZ:$BZ,'Cronog. e Histog.'!CN:CN),"")</f>
        <v>0</v>
      </c>
      <c r="T80" s="144">
        <f>IFERROR(_xlfn.XLOOKUP($B80,'Cronog. e Histog.'!$BZ:$BZ,'Cronog. e Histog.'!CO:CO),"")</f>
        <v>0</v>
      </c>
      <c r="U80" s="144">
        <f>IFERROR(_xlfn.XLOOKUP($B80,'Cronog. e Histog.'!$BZ:$BZ,'Cronog. e Histog.'!CP:CP),"")</f>
        <v>0</v>
      </c>
      <c r="V80" s="144">
        <f>IFERROR(_xlfn.XLOOKUP($B80,'Cronog. e Histog.'!$BZ:$BZ,'Cronog. e Histog.'!CQ:CQ),"")</f>
        <v>0</v>
      </c>
      <c r="W80" s="144">
        <f>IFERROR(_xlfn.XLOOKUP($B80,'Cronog. e Histog.'!$BZ:$BZ,'Cronog. e Histog.'!CR:CR),"")</f>
        <v>0</v>
      </c>
      <c r="X80" s="144">
        <f>IFERROR(_xlfn.XLOOKUP($B80,'Cronog. e Histog.'!$BZ:$BZ,'Cronog. e Histog.'!CS:CS),"")</f>
        <v>0</v>
      </c>
      <c r="Y80" s="144">
        <f>IFERROR(_xlfn.XLOOKUP($B80,'Cronog. e Histog.'!$BZ:$BZ,'Cronog. e Histog.'!CT:CT),"")</f>
        <v>0</v>
      </c>
      <c r="Z80" s="144">
        <f>IFERROR(_xlfn.XLOOKUP($B80,'Cronog. e Histog.'!$BZ:$BZ,'Cronog. e Histog.'!CU:CU),"")</f>
        <v>0</v>
      </c>
      <c r="AA80" s="144">
        <f>IFERROR(_xlfn.XLOOKUP($B80,'Cronog. e Histog.'!$BZ:$BZ,'Cronog. e Histog.'!CV:CV),"")</f>
        <v>0</v>
      </c>
      <c r="AB80" s="144">
        <f>IFERROR(_xlfn.XLOOKUP($B80,'Cronog. e Histog.'!$BZ:$BZ,'Cronog. e Histog.'!CW:CW),"")</f>
        <v>0</v>
      </c>
      <c r="AC80" s="144">
        <f>IFERROR(_xlfn.XLOOKUP($B80,'Cronog. e Histog.'!$BZ:$BZ,'Cronog. e Histog.'!CX:CX),"")</f>
        <v>0</v>
      </c>
      <c r="AD80" s="144">
        <f>IFERROR(_xlfn.XLOOKUP($B80,'Cronog. e Histog.'!$BZ:$BZ,'Cronog. e Histog.'!CY:CY),"")</f>
        <v>0</v>
      </c>
      <c r="AE80" s="144">
        <f>IFERROR(_xlfn.XLOOKUP($B80,'Cronog. e Histog.'!$BZ:$BZ,'Cronog. e Histog.'!CZ:CZ),"")</f>
        <v>0</v>
      </c>
      <c r="AF80" s="144">
        <f>IFERROR(_xlfn.XLOOKUP($B80,'Cronog. e Histog.'!$BZ:$BZ,'Cronog. e Histog.'!DA:DA),"")</f>
        <v>0</v>
      </c>
      <c r="AG80" s="144">
        <f>IFERROR(_xlfn.XLOOKUP($B80,'Cronog. e Histog.'!$BZ:$BZ,'Cronog. e Histog.'!DB:DB),"")</f>
        <v>0</v>
      </c>
      <c r="AH80" s="144">
        <f>IFERROR(_xlfn.XLOOKUP($B80,'Cronog. e Histog.'!$BZ:$BZ,'Cronog. e Histog.'!DC:DC),"")</f>
        <v>0</v>
      </c>
      <c r="AI80" s="144">
        <f>IFERROR(_xlfn.XLOOKUP($B80,'Cronog. e Histog.'!$BZ:$BZ,'Cronog. e Histog.'!DD:DD),"")</f>
        <v>0</v>
      </c>
      <c r="AJ80" s="144">
        <f>IFERROR(_xlfn.XLOOKUP($B80,'Cronog. e Histog.'!$BZ:$BZ,'Cronog. e Histog.'!DE:DE),"")</f>
        <v>0</v>
      </c>
      <c r="AK80" s="144">
        <f>IFERROR(_xlfn.XLOOKUP($B80,'Cronog. e Histog.'!$BZ:$BZ,'Cronog. e Histog.'!DF:DF),"")</f>
        <v>0</v>
      </c>
      <c r="AL80" s="144">
        <f>IFERROR(_xlfn.XLOOKUP($B80,'Cronog. e Histog.'!$BZ:$BZ,'Cronog. e Histog.'!DG:DG),"")</f>
        <v>0</v>
      </c>
      <c r="AM80" s="144">
        <f>IFERROR(_xlfn.XLOOKUP($B80,'Cronog. e Histog.'!$BZ:$BZ,'Cronog. e Histog.'!DH:DH),"")</f>
        <v>0</v>
      </c>
      <c r="AN80" s="144">
        <f>IFERROR(_xlfn.XLOOKUP($B80,'Cronog. e Histog.'!$BZ:$BZ,'Cronog. e Histog.'!DI:DI),"")</f>
        <v>0</v>
      </c>
      <c r="AO80" s="144">
        <f>IFERROR(_xlfn.XLOOKUP($B80,'Cronog. e Histog.'!$BZ:$BZ,'Cronog. e Histog.'!DJ:DJ),"")</f>
        <v>0</v>
      </c>
      <c r="AP80" s="144">
        <f>IFERROR(_xlfn.XLOOKUP($B80,'Cronog. e Histog.'!$BZ:$BZ,'Cronog. e Histog.'!DK:DK),"")</f>
        <v>0</v>
      </c>
      <c r="AQ80" s="144">
        <f>IFERROR(_xlfn.XLOOKUP($B80,'Cronog. e Histog.'!$BZ:$BZ,'Cronog. e Histog.'!DL:DL),"")</f>
        <v>0</v>
      </c>
      <c r="AR80" s="144">
        <f>IFERROR(_xlfn.XLOOKUP($B80,'Cronog. e Histog.'!$BZ:$BZ,'Cronog. e Histog.'!DM:DM),"")</f>
        <v>0</v>
      </c>
      <c r="AS80" s="144">
        <f>IFERROR(_xlfn.XLOOKUP($B80,'Cronog. e Histog.'!$BZ:$BZ,'Cronog. e Histog.'!DN:DN),"")</f>
        <v>0</v>
      </c>
      <c r="AT80" s="144">
        <f>IFERROR(_xlfn.XLOOKUP($B80,'Cronog. e Histog.'!$BZ:$BZ,'Cronog. e Histog.'!DO:DO),"")</f>
        <v>0</v>
      </c>
      <c r="AU80" s="144">
        <f>IFERROR(_xlfn.XLOOKUP($B80,'Cronog. e Histog.'!$BZ:$BZ,'Cronog. e Histog.'!DP:DP),"")</f>
        <v>0</v>
      </c>
      <c r="AV80" s="144">
        <f>IFERROR(_xlfn.XLOOKUP($B80,'Cronog. e Histog.'!$BZ:$BZ,'Cronog. e Histog.'!DQ:DQ),"")</f>
        <v>0</v>
      </c>
      <c r="AW80" s="144">
        <f>IFERROR(_xlfn.XLOOKUP($B80,'Cronog. e Histog.'!$BZ:$BZ,'Cronog. e Histog.'!DR:DR),"")</f>
        <v>0</v>
      </c>
      <c r="AX80" s="144">
        <f>IFERROR(_xlfn.XLOOKUP($B80,'Cronog. e Histog.'!$BZ:$BZ,'Cronog. e Histog.'!DS:DS),"")</f>
        <v>0</v>
      </c>
      <c r="AY80" s="144">
        <f>IFERROR(_xlfn.XLOOKUP($B80,'Cronog. e Histog.'!$BZ:$BZ,'Cronog. e Histog.'!DT:DT),"")</f>
        <v>0</v>
      </c>
      <c r="AZ80" s="144">
        <f>IFERROR(_xlfn.XLOOKUP($B80,'Cronog. e Histog.'!$BZ:$BZ,'Cronog. e Histog.'!DU:DU),"")</f>
        <v>0</v>
      </c>
      <c r="BA80" s="144">
        <f>IFERROR(_xlfn.XLOOKUP($B80,'Cronog. e Histog.'!$BZ:$BZ,'Cronog. e Histog.'!DV:DV),"")</f>
        <v>0</v>
      </c>
      <c r="BB80" s="144">
        <f>IFERROR(_xlfn.XLOOKUP($B80,'Cronog. e Histog.'!$BZ:$BZ,'Cronog. e Histog.'!DW:DW),"")</f>
        <v>0</v>
      </c>
      <c r="BC80" s="144">
        <f>IFERROR(_xlfn.XLOOKUP($B80,'Cronog. e Histog.'!$BZ:$BZ,'Cronog. e Histog.'!DX:DX),"")</f>
        <v>0</v>
      </c>
      <c r="BD80" s="144">
        <f>IFERROR(_xlfn.XLOOKUP($B80,'Cronog. e Histog.'!$BZ:$BZ,'Cronog. e Histog.'!DY:DY),"")</f>
        <v>0</v>
      </c>
      <c r="BE80" s="144">
        <f>IFERROR(_xlfn.XLOOKUP($B80,'Cronog. e Histog.'!$BZ:$BZ,'Cronog. e Histog.'!DZ:DZ),"")</f>
        <v>0</v>
      </c>
      <c r="BF80" s="144">
        <f>IFERROR(_xlfn.XLOOKUP($B80,'Cronog. e Histog.'!$BZ:$BZ,'Cronog. e Histog.'!EA:EA),"")</f>
        <v>0</v>
      </c>
      <c r="BG80" s="144">
        <f>IFERROR(_xlfn.XLOOKUP($B80,'Cronog. e Histog.'!$BZ:$BZ,'Cronog. e Histog.'!EB:EB),"")</f>
        <v>0</v>
      </c>
      <c r="BH80" s="144">
        <f>IFERROR(_xlfn.XLOOKUP($B80,'Cronog. e Histog.'!$BZ:$BZ,'Cronog. e Histog.'!EC:EC),"")</f>
        <v>0</v>
      </c>
      <c r="BI80" s="144">
        <f>IFERROR(_xlfn.XLOOKUP($B80,'Cronog. e Histog.'!$BZ:$BZ,'Cronog. e Histog.'!ED:ED),"")</f>
        <v>0</v>
      </c>
      <c r="BJ80" s="144">
        <f>IFERROR(_xlfn.XLOOKUP($B80,'Cronog. e Histog.'!$BZ:$BZ,'Cronog. e Histog.'!EE:EE),"")</f>
        <v>0</v>
      </c>
      <c r="BK80" s="144">
        <f>IFERROR(_xlfn.XLOOKUP($B80,'Cronog. e Histog.'!$BZ:$BZ,'Cronog. e Histog.'!EF:EF),"")</f>
        <v>0</v>
      </c>
      <c r="BL80" s="144">
        <f>IFERROR(_xlfn.XLOOKUP($B80,'Cronog. e Histog.'!$BZ:$BZ,'Cronog. e Histog.'!EG:EG),"")</f>
        <v>0</v>
      </c>
      <c r="BM80" s="144">
        <f>IFERROR(_xlfn.XLOOKUP($B80,'Cronog. e Histog.'!$BZ:$BZ,'Cronog. e Histog.'!EH:EH),"")</f>
        <v>0</v>
      </c>
      <c r="BN80" s="144">
        <f>IFERROR(_xlfn.XLOOKUP($B80,'Cronog. e Histog.'!$BZ:$BZ,'Cronog. e Histog.'!EI:EI),"")</f>
        <v>0</v>
      </c>
    </row>
    <row r="81" spans="2:66" ht="12" hidden="1" customHeight="1" outlineLevel="1">
      <c r="B81" s="76">
        <v>75</v>
      </c>
      <c r="C81" s="143" t="str">
        <f>IFERROR(VLOOKUP(B81,'Cronog. e Histog.'!$BZ$213:$CA$747,2,0),"")</f>
        <v>TEC I</v>
      </c>
      <c r="D81" s="144">
        <f t="shared" si="2"/>
        <v>0</v>
      </c>
      <c r="E81" s="144">
        <f t="shared" si="3"/>
        <v>0</v>
      </c>
      <c r="F81" s="65"/>
      <c r="G81" s="144">
        <f>IFERROR(_xlfn.XLOOKUP($B81,'Cronog. e Histog.'!$BZ:$BZ,'Cronog. e Histog.'!CB:CB),"")</f>
        <v>0</v>
      </c>
      <c r="H81" s="144">
        <f>IFERROR(_xlfn.XLOOKUP($B81,'Cronog. e Histog.'!$BZ:$BZ,'Cronog. e Histog.'!CC:CC),"")</f>
        <v>0</v>
      </c>
      <c r="I81" s="144">
        <f>IFERROR(_xlfn.XLOOKUP($B81,'Cronog. e Histog.'!$BZ:$BZ,'Cronog. e Histog.'!CD:CD),"")</f>
        <v>0</v>
      </c>
      <c r="J81" s="144">
        <f>IFERROR(_xlfn.XLOOKUP($B81,'Cronog. e Histog.'!$BZ:$BZ,'Cronog. e Histog.'!CE:CE),"")</f>
        <v>0</v>
      </c>
      <c r="K81" s="144">
        <f>IFERROR(_xlfn.XLOOKUP($B81,'Cronog. e Histog.'!$BZ:$BZ,'Cronog. e Histog.'!CF:CF),"")</f>
        <v>0</v>
      </c>
      <c r="L81" s="144">
        <f>IFERROR(_xlfn.XLOOKUP($B81,'Cronog. e Histog.'!$BZ:$BZ,'Cronog. e Histog.'!CG:CG),"")</f>
        <v>0</v>
      </c>
      <c r="M81" s="144">
        <f>IFERROR(_xlfn.XLOOKUP($B81,'Cronog. e Histog.'!$BZ:$BZ,'Cronog. e Histog.'!CH:CH),"")</f>
        <v>0</v>
      </c>
      <c r="N81" s="144">
        <f>IFERROR(_xlfn.XLOOKUP($B81,'Cronog. e Histog.'!$BZ:$BZ,'Cronog. e Histog.'!CI:CI),"")</f>
        <v>0</v>
      </c>
      <c r="O81" s="144">
        <f>IFERROR(_xlfn.XLOOKUP($B81,'Cronog. e Histog.'!$BZ:$BZ,'Cronog. e Histog.'!CJ:CJ),"")</f>
        <v>0</v>
      </c>
      <c r="P81" s="144">
        <f>IFERROR(_xlfn.XLOOKUP($B81,'Cronog. e Histog.'!$BZ:$BZ,'Cronog. e Histog.'!CK:CK),"")</f>
        <v>0</v>
      </c>
      <c r="Q81" s="144">
        <f>IFERROR(_xlfn.XLOOKUP($B81,'Cronog. e Histog.'!$BZ:$BZ,'Cronog. e Histog.'!CL:CL),"")</f>
        <v>0</v>
      </c>
      <c r="R81" s="144">
        <f>IFERROR(_xlfn.XLOOKUP($B81,'Cronog. e Histog.'!$BZ:$BZ,'Cronog. e Histog.'!CM:CM),"")</f>
        <v>0</v>
      </c>
      <c r="S81" s="144">
        <f>IFERROR(_xlfn.XLOOKUP($B81,'Cronog. e Histog.'!$BZ:$BZ,'Cronog. e Histog.'!CN:CN),"")</f>
        <v>0</v>
      </c>
      <c r="T81" s="144">
        <f>IFERROR(_xlfn.XLOOKUP($B81,'Cronog. e Histog.'!$BZ:$BZ,'Cronog. e Histog.'!CO:CO),"")</f>
        <v>0</v>
      </c>
      <c r="U81" s="144">
        <f>IFERROR(_xlfn.XLOOKUP($B81,'Cronog. e Histog.'!$BZ:$BZ,'Cronog. e Histog.'!CP:CP),"")</f>
        <v>0</v>
      </c>
      <c r="V81" s="144">
        <f>IFERROR(_xlfn.XLOOKUP($B81,'Cronog. e Histog.'!$BZ:$BZ,'Cronog. e Histog.'!CQ:CQ),"")</f>
        <v>0</v>
      </c>
      <c r="W81" s="144">
        <f>IFERROR(_xlfn.XLOOKUP($B81,'Cronog. e Histog.'!$BZ:$BZ,'Cronog. e Histog.'!CR:CR),"")</f>
        <v>0</v>
      </c>
      <c r="X81" s="144">
        <f>IFERROR(_xlfn.XLOOKUP($B81,'Cronog. e Histog.'!$BZ:$BZ,'Cronog. e Histog.'!CS:CS),"")</f>
        <v>0</v>
      </c>
      <c r="Y81" s="144">
        <f>IFERROR(_xlfn.XLOOKUP($B81,'Cronog. e Histog.'!$BZ:$BZ,'Cronog. e Histog.'!CT:CT),"")</f>
        <v>0</v>
      </c>
      <c r="Z81" s="144">
        <f>IFERROR(_xlfn.XLOOKUP($B81,'Cronog. e Histog.'!$BZ:$BZ,'Cronog. e Histog.'!CU:CU),"")</f>
        <v>0</v>
      </c>
      <c r="AA81" s="144">
        <f>IFERROR(_xlfn.XLOOKUP($B81,'Cronog. e Histog.'!$BZ:$BZ,'Cronog. e Histog.'!CV:CV),"")</f>
        <v>0</v>
      </c>
      <c r="AB81" s="144">
        <f>IFERROR(_xlfn.XLOOKUP($B81,'Cronog. e Histog.'!$BZ:$BZ,'Cronog. e Histog.'!CW:CW),"")</f>
        <v>0</v>
      </c>
      <c r="AC81" s="144">
        <f>IFERROR(_xlfn.XLOOKUP($B81,'Cronog. e Histog.'!$BZ:$BZ,'Cronog. e Histog.'!CX:CX),"")</f>
        <v>0</v>
      </c>
      <c r="AD81" s="144">
        <f>IFERROR(_xlfn.XLOOKUP($B81,'Cronog. e Histog.'!$BZ:$BZ,'Cronog. e Histog.'!CY:CY),"")</f>
        <v>0</v>
      </c>
      <c r="AE81" s="144">
        <f>IFERROR(_xlfn.XLOOKUP($B81,'Cronog. e Histog.'!$BZ:$BZ,'Cronog. e Histog.'!CZ:CZ),"")</f>
        <v>0</v>
      </c>
      <c r="AF81" s="144">
        <f>IFERROR(_xlfn.XLOOKUP($B81,'Cronog. e Histog.'!$BZ:$BZ,'Cronog. e Histog.'!DA:DA),"")</f>
        <v>0</v>
      </c>
      <c r="AG81" s="144">
        <f>IFERROR(_xlfn.XLOOKUP($B81,'Cronog. e Histog.'!$BZ:$BZ,'Cronog. e Histog.'!DB:DB),"")</f>
        <v>0</v>
      </c>
      <c r="AH81" s="144">
        <f>IFERROR(_xlfn.XLOOKUP($B81,'Cronog. e Histog.'!$BZ:$BZ,'Cronog. e Histog.'!DC:DC),"")</f>
        <v>0</v>
      </c>
      <c r="AI81" s="144">
        <f>IFERROR(_xlfn.XLOOKUP($B81,'Cronog. e Histog.'!$BZ:$BZ,'Cronog. e Histog.'!DD:DD),"")</f>
        <v>0</v>
      </c>
      <c r="AJ81" s="144">
        <f>IFERROR(_xlfn.XLOOKUP($B81,'Cronog. e Histog.'!$BZ:$BZ,'Cronog. e Histog.'!DE:DE),"")</f>
        <v>0</v>
      </c>
      <c r="AK81" s="144">
        <f>IFERROR(_xlfn.XLOOKUP($B81,'Cronog. e Histog.'!$BZ:$BZ,'Cronog. e Histog.'!DF:DF),"")</f>
        <v>0</v>
      </c>
      <c r="AL81" s="144">
        <f>IFERROR(_xlfn.XLOOKUP($B81,'Cronog. e Histog.'!$BZ:$BZ,'Cronog. e Histog.'!DG:DG),"")</f>
        <v>0</v>
      </c>
      <c r="AM81" s="144">
        <f>IFERROR(_xlfn.XLOOKUP($B81,'Cronog. e Histog.'!$BZ:$BZ,'Cronog. e Histog.'!DH:DH),"")</f>
        <v>0</v>
      </c>
      <c r="AN81" s="144">
        <f>IFERROR(_xlfn.XLOOKUP($B81,'Cronog. e Histog.'!$BZ:$BZ,'Cronog. e Histog.'!DI:DI),"")</f>
        <v>0</v>
      </c>
      <c r="AO81" s="144">
        <f>IFERROR(_xlfn.XLOOKUP($B81,'Cronog. e Histog.'!$BZ:$BZ,'Cronog. e Histog.'!DJ:DJ),"")</f>
        <v>0</v>
      </c>
      <c r="AP81" s="144">
        <f>IFERROR(_xlfn.XLOOKUP($B81,'Cronog. e Histog.'!$BZ:$BZ,'Cronog. e Histog.'!DK:DK),"")</f>
        <v>0</v>
      </c>
      <c r="AQ81" s="144">
        <f>IFERROR(_xlfn.XLOOKUP($B81,'Cronog. e Histog.'!$BZ:$BZ,'Cronog. e Histog.'!DL:DL),"")</f>
        <v>0</v>
      </c>
      <c r="AR81" s="144">
        <f>IFERROR(_xlfn.XLOOKUP($B81,'Cronog. e Histog.'!$BZ:$BZ,'Cronog. e Histog.'!DM:DM),"")</f>
        <v>0</v>
      </c>
      <c r="AS81" s="144">
        <f>IFERROR(_xlfn.XLOOKUP($B81,'Cronog. e Histog.'!$BZ:$BZ,'Cronog. e Histog.'!DN:DN),"")</f>
        <v>0</v>
      </c>
      <c r="AT81" s="144">
        <f>IFERROR(_xlfn.XLOOKUP($B81,'Cronog. e Histog.'!$BZ:$BZ,'Cronog. e Histog.'!DO:DO),"")</f>
        <v>0</v>
      </c>
      <c r="AU81" s="144">
        <f>IFERROR(_xlfn.XLOOKUP($B81,'Cronog. e Histog.'!$BZ:$BZ,'Cronog. e Histog.'!DP:DP),"")</f>
        <v>0</v>
      </c>
      <c r="AV81" s="144">
        <f>IFERROR(_xlfn.XLOOKUP($B81,'Cronog. e Histog.'!$BZ:$BZ,'Cronog. e Histog.'!DQ:DQ),"")</f>
        <v>0</v>
      </c>
      <c r="AW81" s="144">
        <f>IFERROR(_xlfn.XLOOKUP($B81,'Cronog. e Histog.'!$BZ:$BZ,'Cronog. e Histog.'!DR:DR),"")</f>
        <v>0</v>
      </c>
      <c r="AX81" s="144">
        <f>IFERROR(_xlfn.XLOOKUP($B81,'Cronog. e Histog.'!$BZ:$BZ,'Cronog. e Histog.'!DS:DS),"")</f>
        <v>0</v>
      </c>
      <c r="AY81" s="144">
        <f>IFERROR(_xlfn.XLOOKUP($B81,'Cronog. e Histog.'!$BZ:$BZ,'Cronog. e Histog.'!DT:DT),"")</f>
        <v>0</v>
      </c>
      <c r="AZ81" s="144">
        <f>IFERROR(_xlfn.XLOOKUP($B81,'Cronog. e Histog.'!$BZ:$BZ,'Cronog. e Histog.'!DU:DU),"")</f>
        <v>0</v>
      </c>
      <c r="BA81" s="144">
        <f>IFERROR(_xlfn.XLOOKUP($B81,'Cronog. e Histog.'!$BZ:$BZ,'Cronog. e Histog.'!DV:DV),"")</f>
        <v>0</v>
      </c>
      <c r="BB81" s="144">
        <f>IFERROR(_xlfn.XLOOKUP($B81,'Cronog. e Histog.'!$BZ:$BZ,'Cronog. e Histog.'!DW:DW),"")</f>
        <v>0</v>
      </c>
      <c r="BC81" s="144">
        <f>IFERROR(_xlfn.XLOOKUP($B81,'Cronog. e Histog.'!$BZ:$BZ,'Cronog. e Histog.'!DX:DX),"")</f>
        <v>0</v>
      </c>
      <c r="BD81" s="144">
        <f>IFERROR(_xlfn.XLOOKUP($B81,'Cronog. e Histog.'!$BZ:$BZ,'Cronog. e Histog.'!DY:DY),"")</f>
        <v>0</v>
      </c>
      <c r="BE81" s="144">
        <f>IFERROR(_xlfn.XLOOKUP($B81,'Cronog. e Histog.'!$BZ:$BZ,'Cronog. e Histog.'!DZ:DZ),"")</f>
        <v>0</v>
      </c>
      <c r="BF81" s="144">
        <f>IFERROR(_xlfn.XLOOKUP($B81,'Cronog. e Histog.'!$BZ:$BZ,'Cronog. e Histog.'!EA:EA),"")</f>
        <v>0</v>
      </c>
      <c r="BG81" s="144">
        <f>IFERROR(_xlfn.XLOOKUP($B81,'Cronog. e Histog.'!$BZ:$BZ,'Cronog. e Histog.'!EB:EB),"")</f>
        <v>0</v>
      </c>
      <c r="BH81" s="144">
        <f>IFERROR(_xlfn.XLOOKUP($B81,'Cronog. e Histog.'!$BZ:$BZ,'Cronog. e Histog.'!EC:EC),"")</f>
        <v>0</v>
      </c>
      <c r="BI81" s="144">
        <f>IFERROR(_xlfn.XLOOKUP($B81,'Cronog. e Histog.'!$BZ:$BZ,'Cronog. e Histog.'!ED:ED),"")</f>
        <v>0</v>
      </c>
      <c r="BJ81" s="144">
        <f>IFERROR(_xlfn.XLOOKUP($B81,'Cronog. e Histog.'!$BZ:$BZ,'Cronog. e Histog.'!EE:EE),"")</f>
        <v>0</v>
      </c>
      <c r="BK81" s="144">
        <f>IFERROR(_xlfn.XLOOKUP($B81,'Cronog. e Histog.'!$BZ:$BZ,'Cronog. e Histog.'!EF:EF),"")</f>
        <v>0</v>
      </c>
      <c r="BL81" s="144">
        <f>IFERROR(_xlfn.XLOOKUP($B81,'Cronog. e Histog.'!$BZ:$BZ,'Cronog. e Histog.'!EG:EG),"")</f>
        <v>0</v>
      </c>
      <c r="BM81" s="144">
        <f>IFERROR(_xlfn.XLOOKUP($B81,'Cronog. e Histog.'!$BZ:$BZ,'Cronog. e Histog.'!EH:EH),"")</f>
        <v>0</v>
      </c>
      <c r="BN81" s="144">
        <f>IFERROR(_xlfn.XLOOKUP($B81,'Cronog. e Histog.'!$BZ:$BZ,'Cronog. e Histog.'!EI:EI),"")</f>
        <v>0</v>
      </c>
    </row>
    <row r="82" spans="2:66" ht="12" hidden="1" customHeight="1" outlineLevel="1">
      <c r="B82" s="76">
        <v>76</v>
      </c>
      <c r="C82" s="143" t="str">
        <f>IFERROR(VLOOKUP(B82,'Cronog. e Histog.'!$BZ$213:$CA$747,2,0),"")</f>
        <v>AUX TEC</v>
      </c>
      <c r="D82" s="144">
        <f t="shared" si="2"/>
        <v>0</v>
      </c>
      <c r="E82" s="144">
        <f t="shared" si="3"/>
        <v>0</v>
      </c>
      <c r="F82" s="65"/>
      <c r="G82" s="144">
        <f>IFERROR(_xlfn.XLOOKUP($B82,'Cronog. e Histog.'!$BZ:$BZ,'Cronog. e Histog.'!CB:CB),"")</f>
        <v>0</v>
      </c>
      <c r="H82" s="144">
        <f>IFERROR(_xlfn.XLOOKUP($B82,'Cronog. e Histog.'!$BZ:$BZ,'Cronog. e Histog.'!CC:CC),"")</f>
        <v>0</v>
      </c>
      <c r="I82" s="144">
        <f>IFERROR(_xlfn.XLOOKUP($B82,'Cronog. e Histog.'!$BZ:$BZ,'Cronog. e Histog.'!CD:CD),"")</f>
        <v>0</v>
      </c>
      <c r="J82" s="144">
        <f>IFERROR(_xlfn.XLOOKUP($B82,'Cronog. e Histog.'!$BZ:$BZ,'Cronog. e Histog.'!CE:CE),"")</f>
        <v>0</v>
      </c>
      <c r="K82" s="144">
        <f>IFERROR(_xlfn.XLOOKUP($B82,'Cronog. e Histog.'!$BZ:$BZ,'Cronog. e Histog.'!CF:CF),"")</f>
        <v>0</v>
      </c>
      <c r="L82" s="144">
        <f>IFERROR(_xlfn.XLOOKUP($B82,'Cronog. e Histog.'!$BZ:$BZ,'Cronog. e Histog.'!CG:CG),"")</f>
        <v>0</v>
      </c>
      <c r="M82" s="144">
        <f>IFERROR(_xlfn.XLOOKUP($B82,'Cronog. e Histog.'!$BZ:$BZ,'Cronog. e Histog.'!CH:CH),"")</f>
        <v>0</v>
      </c>
      <c r="N82" s="144">
        <f>IFERROR(_xlfn.XLOOKUP($B82,'Cronog. e Histog.'!$BZ:$BZ,'Cronog. e Histog.'!CI:CI),"")</f>
        <v>0</v>
      </c>
      <c r="O82" s="144">
        <f>IFERROR(_xlfn.XLOOKUP($B82,'Cronog. e Histog.'!$BZ:$BZ,'Cronog. e Histog.'!CJ:CJ),"")</f>
        <v>0</v>
      </c>
      <c r="P82" s="144">
        <f>IFERROR(_xlfn.XLOOKUP($B82,'Cronog. e Histog.'!$BZ:$BZ,'Cronog. e Histog.'!CK:CK),"")</f>
        <v>0</v>
      </c>
      <c r="Q82" s="144">
        <f>IFERROR(_xlfn.XLOOKUP($B82,'Cronog. e Histog.'!$BZ:$BZ,'Cronog. e Histog.'!CL:CL),"")</f>
        <v>0</v>
      </c>
      <c r="R82" s="144">
        <f>IFERROR(_xlfn.XLOOKUP($B82,'Cronog. e Histog.'!$BZ:$BZ,'Cronog. e Histog.'!CM:CM),"")</f>
        <v>0</v>
      </c>
      <c r="S82" s="144">
        <f>IFERROR(_xlfn.XLOOKUP($B82,'Cronog. e Histog.'!$BZ:$BZ,'Cronog. e Histog.'!CN:CN),"")</f>
        <v>0</v>
      </c>
      <c r="T82" s="144">
        <f>IFERROR(_xlfn.XLOOKUP($B82,'Cronog. e Histog.'!$BZ:$BZ,'Cronog. e Histog.'!CO:CO),"")</f>
        <v>0</v>
      </c>
      <c r="U82" s="144">
        <f>IFERROR(_xlfn.XLOOKUP($B82,'Cronog. e Histog.'!$BZ:$BZ,'Cronog. e Histog.'!CP:CP),"")</f>
        <v>0</v>
      </c>
      <c r="V82" s="144">
        <f>IFERROR(_xlfn.XLOOKUP($B82,'Cronog. e Histog.'!$BZ:$BZ,'Cronog. e Histog.'!CQ:CQ),"")</f>
        <v>0</v>
      </c>
      <c r="W82" s="144">
        <f>IFERROR(_xlfn.XLOOKUP($B82,'Cronog. e Histog.'!$BZ:$BZ,'Cronog. e Histog.'!CR:CR),"")</f>
        <v>0</v>
      </c>
      <c r="X82" s="144">
        <f>IFERROR(_xlfn.XLOOKUP($B82,'Cronog. e Histog.'!$BZ:$BZ,'Cronog. e Histog.'!CS:CS),"")</f>
        <v>0</v>
      </c>
      <c r="Y82" s="144">
        <f>IFERROR(_xlfn.XLOOKUP($B82,'Cronog. e Histog.'!$BZ:$BZ,'Cronog. e Histog.'!CT:CT),"")</f>
        <v>0</v>
      </c>
      <c r="Z82" s="144">
        <f>IFERROR(_xlfn.XLOOKUP($B82,'Cronog. e Histog.'!$BZ:$BZ,'Cronog. e Histog.'!CU:CU),"")</f>
        <v>0</v>
      </c>
      <c r="AA82" s="144">
        <f>IFERROR(_xlfn.XLOOKUP($B82,'Cronog. e Histog.'!$BZ:$BZ,'Cronog. e Histog.'!CV:CV),"")</f>
        <v>0</v>
      </c>
      <c r="AB82" s="144">
        <f>IFERROR(_xlfn.XLOOKUP($B82,'Cronog. e Histog.'!$BZ:$BZ,'Cronog. e Histog.'!CW:CW),"")</f>
        <v>0</v>
      </c>
      <c r="AC82" s="144">
        <f>IFERROR(_xlfn.XLOOKUP($B82,'Cronog. e Histog.'!$BZ:$BZ,'Cronog. e Histog.'!CX:CX),"")</f>
        <v>0</v>
      </c>
      <c r="AD82" s="144">
        <f>IFERROR(_xlfn.XLOOKUP($B82,'Cronog. e Histog.'!$BZ:$BZ,'Cronog. e Histog.'!CY:CY),"")</f>
        <v>0</v>
      </c>
      <c r="AE82" s="144">
        <f>IFERROR(_xlfn.XLOOKUP($B82,'Cronog. e Histog.'!$BZ:$BZ,'Cronog. e Histog.'!CZ:CZ),"")</f>
        <v>0</v>
      </c>
      <c r="AF82" s="144">
        <f>IFERROR(_xlfn.XLOOKUP($B82,'Cronog. e Histog.'!$BZ:$BZ,'Cronog. e Histog.'!DA:DA),"")</f>
        <v>0</v>
      </c>
      <c r="AG82" s="144">
        <f>IFERROR(_xlfn.XLOOKUP($B82,'Cronog. e Histog.'!$BZ:$BZ,'Cronog. e Histog.'!DB:DB),"")</f>
        <v>0</v>
      </c>
      <c r="AH82" s="144">
        <f>IFERROR(_xlfn.XLOOKUP($B82,'Cronog. e Histog.'!$BZ:$BZ,'Cronog. e Histog.'!DC:DC),"")</f>
        <v>0</v>
      </c>
      <c r="AI82" s="144">
        <f>IFERROR(_xlfn.XLOOKUP($B82,'Cronog. e Histog.'!$BZ:$BZ,'Cronog. e Histog.'!DD:DD),"")</f>
        <v>0</v>
      </c>
      <c r="AJ82" s="144">
        <f>IFERROR(_xlfn.XLOOKUP($B82,'Cronog. e Histog.'!$BZ:$BZ,'Cronog. e Histog.'!DE:DE),"")</f>
        <v>0</v>
      </c>
      <c r="AK82" s="144">
        <f>IFERROR(_xlfn.XLOOKUP($B82,'Cronog. e Histog.'!$BZ:$BZ,'Cronog. e Histog.'!DF:DF),"")</f>
        <v>0</v>
      </c>
      <c r="AL82" s="144">
        <f>IFERROR(_xlfn.XLOOKUP($B82,'Cronog. e Histog.'!$BZ:$BZ,'Cronog. e Histog.'!DG:DG),"")</f>
        <v>0</v>
      </c>
      <c r="AM82" s="144">
        <f>IFERROR(_xlfn.XLOOKUP($B82,'Cronog. e Histog.'!$BZ:$BZ,'Cronog. e Histog.'!DH:DH),"")</f>
        <v>0</v>
      </c>
      <c r="AN82" s="144">
        <f>IFERROR(_xlfn.XLOOKUP($B82,'Cronog. e Histog.'!$BZ:$BZ,'Cronog. e Histog.'!DI:DI),"")</f>
        <v>0</v>
      </c>
      <c r="AO82" s="144">
        <f>IFERROR(_xlfn.XLOOKUP($B82,'Cronog. e Histog.'!$BZ:$BZ,'Cronog. e Histog.'!DJ:DJ),"")</f>
        <v>0</v>
      </c>
      <c r="AP82" s="144">
        <f>IFERROR(_xlfn.XLOOKUP($B82,'Cronog. e Histog.'!$BZ:$BZ,'Cronog. e Histog.'!DK:DK),"")</f>
        <v>0</v>
      </c>
      <c r="AQ82" s="144">
        <f>IFERROR(_xlfn.XLOOKUP($B82,'Cronog. e Histog.'!$BZ:$BZ,'Cronog. e Histog.'!DL:DL),"")</f>
        <v>0</v>
      </c>
      <c r="AR82" s="144">
        <f>IFERROR(_xlfn.XLOOKUP($B82,'Cronog. e Histog.'!$BZ:$BZ,'Cronog. e Histog.'!DM:DM),"")</f>
        <v>0</v>
      </c>
      <c r="AS82" s="144">
        <f>IFERROR(_xlfn.XLOOKUP($B82,'Cronog. e Histog.'!$BZ:$BZ,'Cronog. e Histog.'!DN:DN),"")</f>
        <v>0</v>
      </c>
      <c r="AT82" s="144">
        <f>IFERROR(_xlfn.XLOOKUP($B82,'Cronog. e Histog.'!$BZ:$BZ,'Cronog. e Histog.'!DO:DO),"")</f>
        <v>0</v>
      </c>
      <c r="AU82" s="144">
        <f>IFERROR(_xlfn.XLOOKUP($B82,'Cronog. e Histog.'!$BZ:$BZ,'Cronog. e Histog.'!DP:DP),"")</f>
        <v>0</v>
      </c>
      <c r="AV82" s="144">
        <f>IFERROR(_xlfn.XLOOKUP($B82,'Cronog. e Histog.'!$BZ:$BZ,'Cronog. e Histog.'!DQ:DQ),"")</f>
        <v>0</v>
      </c>
      <c r="AW82" s="144">
        <f>IFERROR(_xlfn.XLOOKUP($B82,'Cronog. e Histog.'!$BZ:$BZ,'Cronog. e Histog.'!DR:DR),"")</f>
        <v>0</v>
      </c>
      <c r="AX82" s="144">
        <f>IFERROR(_xlfn.XLOOKUP($B82,'Cronog. e Histog.'!$BZ:$BZ,'Cronog. e Histog.'!DS:DS),"")</f>
        <v>0</v>
      </c>
      <c r="AY82" s="144">
        <f>IFERROR(_xlfn.XLOOKUP($B82,'Cronog. e Histog.'!$BZ:$BZ,'Cronog. e Histog.'!DT:DT),"")</f>
        <v>0</v>
      </c>
      <c r="AZ82" s="144">
        <f>IFERROR(_xlfn.XLOOKUP($B82,'Cronog. e Histog.'!$BZ:$BZ,'Cronog. e Histog.'!DU:DU),"")</f>
        <v>0</v>
      </c>
      <c r="BA82" s="144">
        <f>IFERROR(_xlfn.XLOOKUP($B82,'Cronog. e Histog.'!$BZ:$BZ,'Cronog. e Histog.'!DV:DV),"")</f>
        <v>0</v>
      </c>
      <c r="BB82" s="144">
        <f>IFERROR(_xlfn.XLOOKUP($B82,'Cronog. e Histog.'!$BZ:$BZ,'Cronog. e Histog.'!DW:DW),"")</f>
        <v>0</v>
      </c>
      <c r="BC82" s="144">
        <f>IFERROR(_xlfn.XLOOKUP($B82,'Cronog. e Histog.'!$BZ:$BZ,'Cronog. e Histog.'!DX:DX),"")</f>
        <v>0</v>
      </c>
      <c r="BD82" s="144">
        <f>IFERROR(_xlfn.XLOOKUP($B82,'Cronog. e Histog.'!$BZ:$BZ,'Cronog. e Histog.'!DY:DY),"")</f>
        <v>0</v>
      </c>
      <c r="BE82" s="144">
        <f>IFERROR(_xlfn.XLOOKUP($B82,'Cronog. e Histog.'!$BZ:$BZ,'Cronog. e Histog.'!DZ:DZ),"")</f>
        <v>0</v>
      </c>
      <c r="BF82" s="144">
        <f>IFERROR(_xlfn.XLOOKUP($B82,'Cronog. e Histog.'!$BZ:$BZ,'Cronog. e Histog.'!EA:EA),"")</f>
        <v>0</v>
      </c>
      <c r="BG82" s="144">
        <f>IFERROR(_xlfn.XLOOKUP($B82,'Cronog. e Histog.'!$BZ:$BZ,'Cronog. e Histog.'!EB:EB),"")</f>
        <v>0</v>
      </c>
      <c r="BH82" s="144">
        <f>IFERROR(_xlfn.XLOOKUP($B82,'Cronog. e Histog.'!$BZ:$BZ,'Cronog. e Histog.'!EC:EC),"")</f>
        <v>0</v>
      </c>
      <c r="BI82" s="144">
        <f>IFERROR(_xlfn.XLOOKUP($B82,'Cronog. e Histog.'!$BZ:$BZ,'Cronog. e Histog.'!ED:ED),"")</f>
        <v>0</v>
      </c>
      <c r="BJ82" s="144">
        <f>IFERROR(_xlfn.XLOOKUP($B82,'Cronog. e Histog.'!$BZ:$BZ,'Cronog. e Histog.'!EE:EE),"")</f>
        <v>0</v>
      </c>
      <c r="BK82" s="144">
        <f>IFERROR(_xlfn.XLOOKUP($B82,'Cronog. e Histog.'!$BZ:$BZ,'Cronog. e Histog.'!EF:EF),"")</f>
        <v>0</v>
      </c>
      <c r="BL82" s="144">
        <f>IFERROR(_xlfn.XLOOKUP($B82,'Cronog. e Histog.'!$BZ:$BZ,'Cronog. e Histog.'!EG:EG),"")</f>
        <v>0</v>
      </c>
      <c r="BM82" s="144">
        <f>IFERROR(_xlfn.XLOOKUP($B82,'Cronog. e Histog.'!$BZ:$BZ,'Cronog. e Histog.'!EH:EH),"")</f>
        <v>0</v>
      </c>
      <c r="BN82" s="144">
        <f>IFERROR(_xlfn.XLOOKUP($B82,'Cronog. e Histog.'!$BZ:$BZ,'Cronog. e Histog.'!EI:EI),"")</f>
        <v>0</v>
      </c>
    </row>
    <row r="83" spans="2:66" ht="12" hidden="1" customHeight="1" outlineLevel="1">
      <c r="B83" s="76">
        <v>77</v>
      </c>
      <c r="C83" s="143" t="str">
        <f>IFERROR(VLOOKUP(B83,'Cronog. e Histog.'!$BZ$213:$CA$747,2,0),"")</f>
        <v>AUX ADM</v>
      </c>
      <c r="D83" s="144">
        <f t="shared" si="2"/>
        <v>0</v>
      </c>
      <c r="E83" s="144">
        <f t="shared" si="3"/>
        <v>0</v>
      </c>
      <c r="F83" s="65"/>
      <c r="G83" s="144">
        <f>IFERROR(_xlfn.XLOOKUP($B83,'Cronog. e Histog.'!$BZ:$BZ,'Cronog. e Histog.'!CB:CB),"")</f>
        <v>0</v>
      </c>
      <c r="H83" s="144">
        <f>IFERROR(_xlfn.XLOOKUP($B83,'Cronog. e Histog.'!$BZ:$BZ,'Cronog. e Histog.'!CC:CC),"")</f>
        <v>0</v>
      </c>
      <c r="I83" s="144">
        <f>IFERROR(_xlfn.XLOOKUP($B83,'Cronog. e Histog.'!$BZ:$BZ,'Cronog. e Histog.'!CD:CD),"")</f>
        <v>0</v>
      </c>
      <c r="J83" s="144">
        <f>IFERROR(_xlfn.XLOOKUP($B83,'Cronog. e Histog.'!$BZ:$BZ,'Cronog. e Histog.'!CE:CE),"")</f>
        <v>0</v>
      </c>
      <c r="K83" s="144">
        <f>IFERROR(_xlfn.XLOOKUP($B83,'Cronog. e Histog.'!$BZ:$BZ,'Cronog. e Histog.'!CF:CF),"")</f>
        <v>0</v>
      </c>
      <c r="L83" s="144">
        <f>IFERROR(_xlfn.XLOOKUP($B83,'Cronog. e Histog.'!$BZ:$BZ,'Cronog. e Histog.'!CG:CG),"")</f>
        <v>0</v>
      </c>
      <c r="M83" s="144">
        <f>IFERROR(_xlfn.XLOOKUP($B83,'Cronog. e Histog.'!$BZ:$BZ,'Cronog. e Histog.'!CH:CH),"")</f>
        <v>0</v>
      </c>
      <c r="N83" s="144">
        <f>IFERROR(_xlfn.XLOOKUP($B83,'Cronog. e Histog.'!$BZ:$BZ,'Cronog. e Histog.'!CI:CI),"")</f>
        <v>0</v>
      </c>
      <c r="O83" s="144">
        <f>IFERROR(_xlfn.XLOOKUP($B83,'Cronog. e Histog.'!$BZ:$BZ,'Cronog. e Histog.'!CJ:CJ),"")</f>
        <v>0</v>
      </c>
      <c r="P83" s="144">
        <f>IFERROR(_xlfn.XLOOKUP($B83,'Cronog. e Histog.'!$BZ:$BZ,'Cronog. e Histog.'!CK:CK),"")</f>
        <v>0</v>
      </c>
      <c r="Q83" s="144">
        <f>IFERROR(_xlfn.XLOOKUP($B83,'Cronog. e Histog.'!$BZ:$BZ,'Cronog. e Histog.'!CL:CL),"")</f>
        <v>0</v>
      </c>
      <c r="R83" s="144">
        <f>IFERROR(_xlfn.XLOOKUP($B83,'Cronog. e Histog.'!$BZ:$BZ,'Cronog. e Histog.'!CM:CM),"")</f>
        <v>0</v>
      </c>
      <c r="S83" s="144">
        <f>IFERROR(_xlfn.XLOOKUP($B83,'Cronog. e Histog.'!$BZ:$BZ,'Cronog. e Histog.'!CN:CN),"")</f>
        <v>0</v>
      </c>
      <c r="T83" s="144">
        <f>IFERROR(_xlfn.XLOOKUP($B83,'Cronog. e Histog.'!$BZ:$BZ,'Cronog. e Histog.'!CO:CO),"")</f>
        <v>0</v>
      </c>
      <c r="U83" s="144">
        <f>IFERROR(_xlfn.XLOOKUP($B83,'Cronog. e Histog.'!$BZ:$BZ,'Cronog. e Histog.'!CP:CP),"")</f>
        <v>0</v>
      </c>
      <c r="V83" s="144">
        <f>IFERROR(_xlfn.XLOOKUP($B83,'Cronog. e Histog.'!$BZ:$BZ,'Cronog. e Histog.'!CQ:CQ),"")</f>
        <v>0</v>
      </c>
      <c r="W83" s="144">
        <f>IFERROR(_xlfn.XLOOKUP($B83,'Cronog. e Histog.'!$BZ:$BZ,'Cronog. e Histog.'!CR:CR),"")</f>
        <v>0</v>
      </c>
      <c r="X83" s="144">
        <f>IFERROR(_xlfn.XLOOKUP($B83,'Cronog. e Histog.'!$BZ:$BZ,'Cronog. e Histog.'!CS:CS),"")</f>
        <v>0</v>
      </c>
      <c r="Y83" s="144">
        <f>IFERROR(_xlfn.XLOOKUP($B83,'Cronog. e Histog.'!$BZ:$BZ,'Cronog. e Histog.'!CT:CT),"")</f>
        <v>0</v>
      </c>
      <c r="Z83" s="144">
        <f>IFERROR(_xlfn.XLOOKUP($B83,'Cronog. e Histog.'!$BZ:$BZ,'Cronog. e Histog.'!CU:CU),"")</f>
        <v>0</v>
      </c>
      <c r="AA83" s="144">
        <f>IFERROR(_xlfn.XLOOKUP($B83,'Cronog. e Histog.'!$BZ:$BZ,'Cronog. e Histog.'!CV:CV),"")</f>
        <v>0</v>
      </c>
      <c r="AB83" s="144">
        <f>IFERROR(_xlfn.XLOOKUP($B83,'Cronog. e Histog.'!$BZ:$BZ,'Cronog. e Histog.'!CW:CW),"")</f>
        <v>0</v>
      </c>
      <c r="AC83" s="144">
        <f>IFERROR(_xlfn.XLOOKUP($B83,'Cronog. e Histog.'!$BZ:$BZ,'Cronog. e Histog.'!CX:CX),"")</f>
        <v>0</v>
      </c>
      <c r="AD83" s="144">
        <f>IFERROR(_xlfn.XLOOKUP($B83,'Cronog. e Histog.'!$BZ:$BZ,'Cronog. e Histog.'!CY:CY),"")</f>
        <v>0</v>
      </c>
      <c r="AE83" s="144">
        <f>IFERROR(_xlfn.XLOOKUP($B83,'Cronog. e Histog.'!$BZ:$BZ,'Cronog. e Histog.'!CZ:CZ),"")</f>
        <v>0</v>
      </c>
      <c r="AF83" s="144">
        <f>IFERROR(_xlfn.XLOOKUP($B83,'Cronog. e Histog.'!$BZ:$BZ,'Cronog. e Histog.'!DA:DA),"")</f>
        <v>0</v>
      </c>
      <c r="AG83" s="144">
        <f>IFERROR(_xlfn.XLOOKUP($B83,'Cronog. e Histog.'!$BZ:$BZ,'Cronog. e Histog.'!DB:DB),"")</f>
        <v>0</v>
      </c>
      <c r="AH83" s="144">
        <f>IFERROR(_xlfn.XLOOKUP($B83,'Cronog. e Histog.'!$BZ:$BZ,'Cronog. e Histog.'!DC:DC),"")</f>
        <v>0</v>
      </c>
      <c r="AI83" s="144">
        <f>IFERROR(_xlfn.XLOOKUP($B83,'Cronog. e Histog.'!$BZ:$BZ,'Cronog. e Histog.'!DD:DD),"")</f>
        <v>0</v>
      </c>
      <c r="AJ83" s="144">
        <f>IFERROR(_xlfn.XLOOKUP($B83,'Cronog. e Histog.'!$BZ:$BZ,'Cronog. e Histog.'!DE:DE),"")</f>
        <v>0</v>
      </c>
      <c r="AK83" s="144">
        <f>IFERROR(_xlfn.XLOOKUP($B83,'Cronog. e Histog.'!$BZ:$BZ,'Cronog. e Histog.'!DF:DF),"")</f>
        <v>0</v>
      </c>
      <c r="AL83" s="144">
        <f>IFERROR(_xlfn.XLOOKUP($B83,'Cronog. e Histog.'!$BZ:$BZ,'Cronog. e Histog.'!DG:DG),"")</f>
        <v>0</v>
      </c>
      <c r="AM83" s="144">
        <f>IFERROR(_xlfn.XLOOKUP($B83,'Cronog. e Histog.'!$BZ:$BZ,'Cronog. e Histog.'!DH:DH),"")</f>
        <v>0</v>
      </c>
      <c r="AN83" s="144">
        <f>IFERROR(_xlfn.XLOOKUP($B83,'Cronog. e Histog.'!$BZ:$BZ,'Cronog. e Histog.'!DI:DI),"")</f>
        <v>0</v>
      </c>
      <c r="AO83" s="144">
        <f>IFERROR(_xlfn.XLOOKUP($B83,'Cronog. e Histog.'!$BZ:$BZ,'Cronog. e Histog.'!DJ:DJ),"")</f>
        <v>0</v>
      </c>
      <c r="AP83" s="144">
        <f>IFERROR(_xlfn.XLOOKUP($B83,'Cronog. e Histog.'!$BZ:$BZ,'Cronog. e Histog.'!DK:DK),"")</f>
        <v>0</v>
      </c>
      <c r="AQ83" s="144">
        <f>IFERROR(_xlfn.XLOOKUP($B83,'Cronog. e Histog.'!$BZ:$BZ,'Cronog. e Histog.'!DL:DL),"")</f>
        <v>0</v>
      </c>
      <c r="AR83" s="144">
        <f>IFERROR(_xlfn.XLOOKUP($B83,'Cronog. e Histog.'!$BZ:$BZ,'Cronog. e Histog.'!DM:DM),"")</f>
        <v>0</v>
      </c>
      <c r="AS83" s="144">
        <f>IFERROR(_xlfn.XLOOKUP($B83,'Cronog. e Histog.'!$BZ:$BZ,'Cronog. e Histog.'!DN:DN),"")</f>
        <v>0</v>
      </c>
      <c r="AT83" s="144">
        <f>IFERROR(_xlfn.XLOOKUP($B83,'Cronog. e Histog.'!$BZ:$BZ,'Cronog. e Histog.'!DO:DO),"")</f>
        <v>0</v>
      </c>
      <c r="AU83" s="144">
        <f>IFERROR(_xlfn.XLOOKUP($B83,'Cronog. e Histog.'!$BZ:$BZ,'Cronog. e Histog.'!DP:DP),"")</f>
        <v>0</v>
      </c>
      <c r="AV83" s="144">
        <f>IFERROR(_xlfn.XLOOKUP($B83,'Cronog. e Histog.'!$BZ:$BZ,'Cronog. e Histog.'!DQ:DQ),"")</f>
        <v>0</v>
      </c>
      <c r="AW83" s="144">
        <f>IFERROR(_xlfn.XLOOKUP($B83,'Cronog. e Histog.'!$BZ:$BZ,'Cronog. e Histog.'!DR:DR),"")</f>
        <v>0</v>
      </c>
      <c r="AX83" s="144">
        <f>IFERROR(_xlfn.XLOOKUP($B83,'Cronog. e Histog.'!$BZ:$BZ,'Cronog. e Histog.'!DS:DS),"")</f>
        <v>0</v>
      </c>
      <c r="AY83" s="144">
        <f>IFERROR(_xlfn.XLOOKUP($B83,'Cronog. e Histog.'!$BZ:$BZ,'Cronog. e Histog.'!DT:DT),"")</f>
        <v>0</v>
      </c>
      <c r="AZ83" s="144">
        <f>IFERROR(_xlfn.XLOOKUP($B83,'Cronog. e Histog.'!$BZ:$BZ,'Cronog. e Histog.'!DU:DU),"")</f>
        <v>0</v>
      </c>
      <c r="BA83" s="144">
        <f>IFERROR(_xlfn.XLOOKUP($B83,'Cronog. e Histog.'!$BZ:$BZ,'Cronog. e Histog.'!DV:DV),"")</f>
        <v>0</v>
      </c>
      <c r="BB83" s="144">
        <f>IFERROR(_xlfn.XLOOKUP($B83,'Cronog. e Histog.'!$BZ:$BZ,'Cronog. e Histog.'!DW:DW),"")</f>
        <v>0</v>
      </c>
      <c r="BC83" s="144">
        <f>IFERROR(_xlfn.XLOOKUP($B83,'Cronog. e Histog.'!$BZ:$BZ,'Cronog. e Histog.'!DX:DX),"")</f>
        <v>0</v>
      </c>
      <c r="BD83" s="144">
        <f>IFERROR(_xlfn.XLOOKUP($B83,'Cronog. e Histog.'!$BZ:$BZ,'Cronog. e Histog.'!DY:DY),"")</f>
        <v>0</v>
      </c>
      <c r="BE83" s="144">
        <f>IFERROR(_xlfn.XLOOKUP($B83,'Cronog. e Histog.'!$BZ:$BZ,'Cronog. e Histog.'!DZ:DZ),"")</f>
        <v>0</v>
      </c>
      <c r="BF83" s="144">
        <f>IFERROR(_xlfn.XLOOKUP($B83,'Cronog. e Histog.'!$BZ:$BZ,'Cronog. e Histog.'!EA:EA),"")</f>
        <v>0</v>
      </c>
      <c r="BG83" s="144">
        <f>IFERROR(_xlfn.XLOOKUP($B83,'Cronog. e Histog.'!$BZ:$BZ,'Cronog. e Histog.'!EB:EB),"")</f>
        <v>0</v>
      </c>
      <c r="BH83" s="144">
        <f>IFERROR(_xlfn.XLOOKUP($B83,'Cronog. e Histog.'!$BZ:$BZ,'Cronog. e Histog.'!EC:EC),"")</f>
        <v>0</v>
      </c>
      <c r="BI83" s="144">
        <f>IFERROR(_xlfn.XLOOKUP($B83,'Cronog. e Histog.'!$BZ:$BZ,'Cronog. e Histog.'!ED:ED),"")</f>
        <v>0</v>
      </c>
      <c r="BJ83" s="144">
        <f>IFERROR(_xlfn.XLOOKUP($B83,'Cronog. e Histog.'!$BZ:$BZ,'Cronog. e Histog.'!EE:EE),"")</f>
        <v>0</v>
      </c>
      <c r="BK83" s="144">
        <f>IFERROR(_xlfn.XLOOKUP($B83,'Cronog. e Histog.'!$BZ:$BZ,'Cronog. e Histog.'!EF:EF),"")</f>
        <v>0</v>
      </c>
      <c r="BL83" s="144">
        <f>IFERROR(_xlfn.XLOOKUP($B83,'Cronog. e Histog.'!$BZ:$BZ,'Cronog. e Histog.'!EG:EG),"")</f>
        <v>0</v>
      </c>
      <c r="BM83" s="144">
        <f>IFERROR(_xlfn.XLOOKUP($B83,'Cronog. e Histog.'!$BZ:$BZ,'Cronog. e Histog.'!EH:EH),"")</f>
        <v>0</v>
      </c>
      <c r="BN83" s="144">
        <f>IFERROR(_xlfn.XLOOKUP($B83,'Cronog. e Histog.'!$BZ:$BZ,'Cronog. e Histog.'!EI:EI),"")</f>
        <v>0</v>
      </c>
    </row>
    <row r="84" spans="2:66" ht="12" hidden="1" customHeight="1" outlineLevel="1">
      <c r="B84" s="76">
        <v>78</v>
      </c>
      <c r="C84" s="143" t="str">
        <f>IFERROR(VLOOKUP(B84,'Cronog. e Histog.'!$BZ$213:$CA$747,2,0),"")</f>
        <v>EST</v>
      </c>
      <c r="D84" s="144">
        <f t="shared" si="2"/>
        <v>0</v>
      </c>
      <c r="E84" s="144">
        <f t="shared" si="3"/>
        <v>0</v>
      </c>
      <c r="F84" s="65"/>
      <c r="G84" s="144">
        <f>IFERROR(_xlfn.XLOOKUP($B84,'Cronog. e Histog.'!$BZ:$BZ,'Cronog. e Histog.'!CB:CB),"")</f>
        <v>0</v>
      </c>
      <c r="H84" s="144">
        <f>IFERROR(_xlfn.XLOOKUP($B84,'Cronog. e Histog.'!$BZ:$BZ,'Cronog. e Histog.'!CC:CC),"")</f>
        <v>0</v>
      </c>
      <c r="I84" s="144">
        <f>IFERROR(_xlfn.XLOOKUP($B84,'Cronog. e Histog.'!$BZ:$BZ,'Cronog. e Histog.'!CD:CD),"")</f>
        <v>0</v>
      </c>
      <c r="J84" s="144">
        <f>IFERROR(_xlfn.XLOOKUP($B84,'Cronog. e Histog.'!$BZ:$BZ,'Cronog. e Histog.'!CE:CE),"")</f>
        <v>0</v>
      </c>
      <c r="K84" s="144">
        <f>IFERROR(_xlfn.XLOOKUP($B84,'Cronog. e Histog.'!$BZ:$BZ,'Cronog. e Histog.'!CF:CF),"")</f>
        <v>0</v>
      </c>
      <c r="L84" s="144">
        <f>IFERROR(_xlfn.XLOOKUP($B84,'Cronog. e Histog.'!$BZ:$BZ,'Cronog. e Histog.'!CG:CG),"")</f>
        <v>0</v>
      </c>
      <c r="M84" s="144">
        <f>IFERROR(_xlfn.XLOOKUP($B84,'Cronog. e Histog.'!$BZ:$BZ,'Cronog. e Histog.'!CH:CH),"")</f>
        <v>0</v>
      </c>
      <c r="N84" s="144">
        <f>IFERROR(_xlfn.XLOOKUP($B84,'Cronog. e Histog.'!$BZ:$BZ,'Cronog. e Histog.'!CI:CI),"")</f>
        <v>0</v>
      </c>
      <c r="O84" s="144">
        <f>IFERROR(_xlfn.XLOOKUP($B84,'Cronog. e Histog.'!$BZ:$BZ,'Cronog. e Histog.'!CJ:CJ),"")</f>
        <v>0</v>
      </c>
      <c r="P84" s="144">
        <f>IFERROR(_xlfn.XLOOKUP($B84,'Cronog. e Histog.'!$BZ:$BZ,'Cronog. e Histog.'!CK:CK),"")</f>
        <v>0</v>
      </c>
      <c r="Q84" s="144">
        <f>IFERROR(_xlfn.XLOOKUP($B84,'Cronog. e Histog.'!$BZ:$BZ,'Cronog. e Histog.'!CL:CL),"")</f>
        <v>0</v>
      </c>
      <c r="R84" s="144">
        <f>IFERROR(_xlfn.XLOOKUP($B84,'Cronog. e Histog.'!$BZ:$BZ,'Cronog. e Histog.'!CM:CM),"")</f>
        <v>0</v>
      </c>
      <c r="S84" s="144">
        <f>IFERROR(_xlfn.XLOOKUP($B84,'Cronog. e Histog.'!$BZ:$BZ,'Cronog. e Histog.'!CN:CN),"")</f>
        <v>0</v>
      </c>
      <c r="T84" s="144">
        <f>IFERROR(_xlfn.XLOOKUP($B84,'Cronog. e Histog.'!$BZ:$BZ,'Cronog. e Histog.'!CO:CO),"")</f>
        <v>0</v>
      </c>
      <c r="U84" s="144">
        <f>IFERROR(_xlfn.XLOOKUP($B84,'Cronog. e Histog.'!$BZ:$BZ,'Cronog. e Histog.'!CP:CP),"")</f>
        <v>0</v>
      </c>
      <c r="V84" s="144">
        <f>IFERROR(_xlfn.XLOOKUP($B84,'Cronog. e Histog.'!$BZ:$BZ,'Cronog. e Histog.'!CQ:CQ),"")</f>
        <v>0</v>
      </c>
      <c r="W84" s="144">
        <f>IFERROR(_xlfn.XLOOKUP($B84,'Cronog. e Histog.'!$BZ:$BZ,'Cronog. e Histog.'!CR:CR),"")</f>
        <v>0</v>
      </c>
      <c r="X84" s="144">
        <f>IFERROR(_xlfn.XLOOKUP($B84,'Cronog. e Histog.'!$BZ:$BZ,'Cronog. e Histog.'!CS:CS),"")</f>
        <v>0</v>
      </c>
      <c r="Y84" s="144">
        <f>IFERROR(_xlfn.XLOOKUP($B84,'Cronog. e Histog.'!$BZ:$BZ,'Cronog. e Histog.'!CT:CT),"")</f>
        <v>0</v>
      </c>
      <c r="Z84" s="144">
        <f>IFERROR(_xlfn.XLOOKUP($B84,'Cronog. e Histog.'!$BZ:$BZ,'Cronog. e Histog.'!CU:CU),"")</f>
        <v>0</v>
      </c>
      <c r="AA84" s="144">
        <f>IFERROR(_xlfn.XLOOKUP($B84,'Cronog. e Histog.'!$BZ:$BZ,'Cronog. e Histog.'!CV:CV),"")</f>
        <v>0</v>
      </c>
      <c r="AB84" s="144">
        <f>IFERROR(_xlfn.XLOOKUP($B84,'Cronog. e Histog.'!$BZ:$BZ,'Cronog. e Histog.'!CW:CW),"")</f>
        <v>0</v>
      </c>
      <c r="AC84" s="144">
        <f>IFERROR(_xlfn.XLOOKUP($B84,'Cronog. e Histog.'!$BZ:$BZ,'Cronog. e Histog.'!CX:CX),"")</f>
        <v>0</v>
      </c>
      <c r="AD84" s="144">
        <f>IFERROR(_xlfn.XLOOKUP($B84,'Cronog. e Histog.'!$BZ:$BZ,'Cronog. e Histog.'!CY:CY),"")</f>
        <v>0</v>
      </c>
      <c r="AE84" s="144">
        <f>IFERROR(_xlfn.XLOOKUP($B84,'Cronog. e Histog.'!$BZ:$BZ,'Cronog. e Histog.'!CZ:CZ),"")</f>
        <v>0</v>
      </c>
      <c r="AF84" s="144">
        <f>IFERROR(_xlfn.XLOOKUP($B84,'Cronog. e Histog.'!$BZ:$BZ,'Cronog. e Histog.'!DA:DA),"")</f>
        <v>0</v>
      </c>
      <c r="AG84" s="144">
        <f>IFERROR(_xlfn.XLOOKUP($B84,'Cronog. e Histog.'!$BZ:$BZ,'Cronog. e Histog.'!DB:DB),"")</f>
        <v>0</v>
      </c>
      <c r="AH84" s="144">
        <f>IFERROR(_xlfn.XLOOKUP($B84,'Cronog. e Histog.'!$BZ:$BZ,'Cronog. e Histog.'!DC:DC),"")</f>
        <v>0</v>
      </c>
      <c r="AI84" s="144">
        <f>IFERROR(_xlfn.XLOOKUP($B84,'Cronog. e Histog.'!$BZ:$BZ,'Cronog. e Histog.'!DD:DD),"")</f>
        <v>0</v>
      </c>
      <c r="AJ84" s="144">
        <f>IFERROR(_xlfn.XLOOKUP($B84,'Cronog. e Histog.'!$BZ:$BZ,'Cronog. e Histog.'!DE:DE),"")</f>
        <v>0</v>
      </c>
      <c r="AK84" s="144">
        <f>IFERROR(_xlfn.XLOOKUP($B84,'Cronog. e Histog.'!$BZ:$BZ,'Cronog. e Histog.'!DF:DF),"")</f>
        <v>0</v>
      </c>
      <c r="AL84" s="144">
        <f>IFERROR(_xlfn.XLOOKUP($B84,'Cronog. e Histog.'!$BZ:$BZ,'Cronog. e Histog.'!DG:DG),"")</f>
        <v>0</v>
      </c>
      <c r="AM84" s="144">
        <f>IFERROR(_xlfn.XLOOKUP($B84,'Cronog. e Histog.'!$BZ:$BZ,'Cronog. e Histog.'!DH:DH),"")</f>
        <v>0</v>
      </c>
      <c r="AN84" s="144">
        <f>IFERROR(_xlfn.XLOOKUP($B84,'Cronog. e Histog.'!$BZ:$BZ,'Cronog. e Histog.'!DI:DI),"")</f>
        <v>0</v>
      </c>
      <c r="AO84" s="144">
        <f>IFERROR(_xlfn.XLOOKUP($B84,'Cronog. e Histog.'!$BZ:$BZ,'Cronog. e Histog.'!DJ:DJ),"")</f>
        <v>0</v>
      </c>
      <c r="AP84" s="144">
        <f>IFERROR(_xlfn.XLOOKUP($B84,'Cronog. e Histog.'!$BZ:$BZ,'Cronog. e Histog.'!DK:DK),"")</f>
        <v>0</v>
      </c>
      <c r="AQ84" s="144">
        <f>IFERROR(_xlfn.XLOOKUP($B84,'Cronog. e Histog.'!$BZ:$BZ,'Cronog. e Histog.'!DL:DL),"")</f>
        <v>0</v>
      </c>
      <c r="AR84" s="144">
        <f>IFERROR(_xlfn.XLOOKUP($B84,'Cronog. e Histog.'!$BZ:$BZ,'Cronog. e Histog.'!DM:DM),"")</f>
        <v>0</v>
      </c>
      <c r="AS84" s="144">
        <f>IFERROR(_xlfn.XLOOKUP($B84,'Cronog. e Histog.'!$BZ:$BZ,'Cronog. e Histog.'!DN:DN),"")</f>
        <v>0</v>
      </c>
      <c r="AT84" s="144">
        <f>IFERROR(_xlfn.XLOOKUP($B84,'Cronog. e Histog.'!$BZ:$BZ,'Cronog. e Histog.'!DO:DO),"")</f>
        <v>0</v>
      </c>
      <c r="AU84" s="144">
        <f>IFERROR(_xlfn.XLOOKUP($B84,'Cronog. e Histog.'!$BZ:$BZ,'Cronog. e Histog.'!DP:DP),"")</f>
        <v>0</v>
      </c>
      <c r="AV84" s="144">
        <f>IFERROR(_xlfn.XLOOKUP($B84,'Cronog. e Histog.'!$BZ:$BZ,'Cronog. e Histog.'!DQ:DQ),"")</f>
        <v>0</v>
      </c>
      <c r="AW84" s="144">
        <f>IFERROR(_xlfn.XLOOKUP($B84,'Cronog. e Histog.'!$BZ:$BZ,'Cronog. e Histog.'!DR:DR),"")</f>
        <v>0</v>
      </c>
      <c r="AX84" s="144">
        <f>IFERROR(_xlfn.XLOOKUP($B84,'Cronog. e Histog.'!$BZ:$BZ,'Cronog. e Histog.'!DS:DS),"")</f>
        <v>0</v>
      </c>
      <c r="AY84" s="144">
        <f>IFERROR(_xlfn.XLOOKUP($B84,'Cronog. e Histog.'!$BZ:$BZ,'Cronog. e Histog.'!DT:DT),"")</f>
        <v>0</v>
      </c>
      <c r="AZ84" s="144">
        <f>IFERROR(_xlfn.XLOOKUP($B84,'Cronog. e Histog.'!$BZ:$BZ,'Cronog. e Histog.'!DU:DU),"")</f>
        <v>0</v>
      </c>
      <c r="BA84" s="144">
        <f>IFERROR(_xlfn.XLOOKUP($B84,'Cronog. e Histog.'!$BZ:$BZ,'Cronog. e Histog.'!DV:DV),"")</f>
        <v>0</v>
      </c>
      <c r="BB84" s="144">
        <f>IFERROR(_xlfn.XLOOKUP($B84,'Cronog. e Histog.'!$BZ:$BZ,'Cronog. e Histog.'!DW:DW),"")</f>
        <v>0</v>
      </c>
      <c r="BC84" s="144">
        <f>IFERROR(_xlfn.XLOOKUP($B84,'Cronog. e Histog.'!$BZ:$BZ,'Cronog. e Histog.'!DX:DX),"")</f>
        <v>0</v>
      </c>
      <c r="BD84" s="144">
        <f>IFERROR(_xlfn.XLOOKUP($B84,'Cronog. e Histog.'!$BZ:$BZ,'Cronog. e Histog.'!DY:DY),"")</f>
        <v>0</v>
      </c>
      <c r="BE84" s="144">
        <f>IFERROR(_xlfn.XLOOKUP($B84,'Cronog. e Histog.'!$BZ:$BZ,'Cronog. e Histog.'!DZ:DZ),"")</f>
        <v>0</v>
      </c>
      <c r="BF84" s="144">
        <f>IFERROR(_xlfn.XLOOKUP($B84,'Cronog. e Histog.'!$BZ:$BZ,'Cronog. e Histog.'!EA:EA),"")</f>
        <v>0</v>
      </c>
      <c r="BG84" s="144">
        <f>IFERROR(_xlfn.XLOOKUP($B84,'Cronog. e Histog.'!$BZ:$BZ,'Cronog. e Histog.'!EB:EB),"")</f>
        <v>0</v>
      </c>
      <c r="BH84" s="144">
        <f>IFERROR(_xlfn.XLOOKUP($B84,'Cronog. e Histog.'!$BZ:$BZ,'Cronog. e Histog.'!EC:EC),"")</f>
        <v>0</v>
      </c>
      <c r="BI84" s="144">
        <f>IFERROR(_xlfn.XLOOKUP($B84,'Cronog. e Histog.'!$BZ:$BZ,'Cronog. e Histog.'!ED:ED),"")</f>
        <v>0</v>
      </c>
      <c r="BJ84" s="144">
        <f>IFERROR(_xlfn.XLOOKUP($B84,'Cronog. e Histog.'!$BZ:$BZ,'Cronog. e Histog.'!EE:EE),"")</f>
        <v>0</v>
      </c>
      <c r="BK84" s="144">
        <f>IFERROR(_xlfn.XLOOKUP($B84,'Cronog. e Histog.'!$BZ:$BZ,'Cronog. e Histog.'!EF:EF),"")</f>
        <v>0</v>
      </c>
      <c r="BL84" s="144">
        <f>IFERROR(_xlfn.XLOOKUP($B84,'Cronog. e Histog.'!$BZ:$BZ,'Cronog. e Histog.'!EG:EG),"")</f>
        <v>0</v>
      </c>
      <c r="BM84" s="144">
        <f>IFERROR(_xlfn.XLOOKUP($B84,'Cronog. e Histog.'!$BZ:$BZ,'Cronog. e Histog.'!EH:EH),"")</f>
        <v>0</v>
      </c>
      <c r="BN84" s="144">
        <f>IFERROR(_xlfn.XLOOKUP($B84,'Cronog. e Histog.'!$BZ:$BZ,'Cronog. e Histog.'!EI:EI),"")</f>
        <v>0</v>
      </c>
    </row>
    <row r="85" spans="2:66" ht="12" hidden="1" customHeight="1" outlineLevel="1">
      <c r="B85" s="76">
        <v>79</v>
      </c>
      <c r="C85" s="143" t="str">
        <f>IFERROR(VLOOKUP(B85,'Cronog. e Histog.'!$BZ$213:$CA$747,2,0),"")</f>
        <v>EST_II</v>
      </c>
      <c r="D85" s="144">
        <f t="shared" si="2"/>
        <v>0</v>
      </c>
      <c r="E85" s="144">
        <f t="shared" si="3"/>
        <v>0</v>
      </c>
      <c r="F85" s="65"/>
      <c r="G85" s="144">
        <f>IFERROR(_xlfn.XLOOKUP($B85,'Cronog. e Histog.'!$BZ:$BZ,'Cronog. e Histog.'!CB:CB),"")</f>
        <v>0</v>
      </c>
      <c r="H85" s="144">
        <f>IFERROR(_xlfn.XLOOKUP($B85,'Cronog. e Histog.'!$BZ:$BZ,'Cronog. e Histog.'!CC:CC),"")</f>
        <v>0</v>
      </c>
      <c r="I85" s="144">
        <f>IFERROR(_xlfn.XLOOKUP($B85,'Cronog. e Histog.'!$BZ:$BZ,'Cronog. e Histog.'!CD:CD),"")</f>
        <v>0</v>
      </c>
      <c r="J85" s="144">
        <f>IFERROR(_xlfn.XLOOKUP($B85,'Cronog. e Histog.'!$BZ:$BZ,'Cronog. e Histog.'!CE:CE),"")</f>
        <v>0</v>
      </c>
      <c r="K85" s="144">
        <f>IFERROR(_xlfn.XLOOKUP($B85,'Cronog. e Histog.'!$BZ:$BZ,'Cronog. e Histog.'!CF:CF),"")</f>
        <v>0</v>
      </c>
      <c r="L85" s="144">
        <f>IFERROR(_xlfn.XLOOKUP($B85,'Cronog. e Histog.'!$BZ:$BZ,'Cronog. e Histog.'!CG:CG),"")</f>
        <v>0</v>
      </c>
      <c r="M85" s="144">
        <f>IFERROR(_xlfn.XLOOKUP($B85,'Cronog. e Histog.'!$BZ:$BZ,'Cronog. e Histog.'!CH:CH),"")</f>
        <v>0</v>
      </c>
      <c r="N85" s="144">
        <f>IFERROR(_xlfn.XLOOKUP($B85,'Cronog. e Histog.'!$BZ:$BZ,'Cronog. e Histog.'!CI:CI),"")</f>
        <v>0</v>
      </c>
      <c r="O85" s="144">
        <f>IFERROR(_xlfn.XLOOKUP($B85,'Cronog. e Histog.'!$BZ:$BZ,'Cronog. e Histog.'!CJ:CJ),"")</f>
        <v>0</v>
      </c>
      <c r="P85" s="144">
        <f>IFERROR(_xlfn.XLOOKUP($B85,'Cronog. e Histog.'!$BZ:$BZ,'Cronog. e Histog.'!CK:CK),"")</f>
        <v>0</v>
      </c>
      <c r="Q85" s="144">
        <f>IFERROR(_xlfn.XLOOKUP($B85,'Cronog. e Histog.'!$BZ:$BZ,'Cronog. e Histog.'!CL:CL),"")</f>
        <v>0</v>
      </c>
      <c r="R85" s="144">
        <f>IFERROR(_xlfn.XLOOKUP($B85,'Cronog. e Histog.'!$BZ:$BZ,'Cronog. e Histog.'!CM:CM),"")</f>
        <v>0</v>
      </c>
      <c r="S85" s="144">
        <f>IFERROR(_xlfn.XLOOKUP($B85,'Cronog. e Histog.'!$BZ:$BZ,'Cronog. e Histog.'!CN:CN),"")</f>
        <v>0</v>
      </c>
      <c r="T85" s="144">
        <f>IFERROR(_xlfn.XLOOKUP($B85,'Cronog. e Histog.'!$BZ:$BZ,'Cronog. e Histog.'!CO:CO),"")</f>
        <v>0</v>
      </c>
      <c r="U85" s="144">
        <f>IFERROR(_xlfn.XLOOKUP($B85,'Cronog. e Histog.'!$BZ:$BZ,'Cronog. e Histog.'!CP:CP),"")</f>
        <v>0</v>
      </c>
      <c r="V85" s="144">
        <f>IFERROR(_xlfn.XLOOKUP($B85,'Cronog. e Histog.'!$BZ:$BZ,'Cronog. e Histog.'!CQ:CQ),"")</f>
        <v>0</v>
      </c>
      <c r="W85" s="144">
        <f>IFERROR(_xlfn.XLOOKUP($B85,'Cronog. e Histog.'!$BZ:$BZ,'Cronog. e Histog.'!CR:CR),"")</f>
        <v>0</v>
      </c>
      <c r="X85" s="144">
        <f>IFERROR(_xlfn.XLOOKUP($B85,'Cronog. e Histog.'!$BZ:$BZ,'Cronog. e Histog.'!CS:CS),"")</f>
        <v>0</v>
      </c>
      <c r="Y85" s="144">
        <f>IFERROR(_xlfn.XLOOKUP($B85,'Cronog. e Histog.'!$BZ:$BZ,'Cronog. e Histog.'!CT:CT),"")</f>
        <v>0</v>
      </c>
      <c r="Z85" s="144">
        <f>IFERROR(_xlfn.XLOOKUP($B85,'Cronog. e Histog.'!$BZ:$BZ,'Cronog. e Histog.'!CU:CU),"")</f>
        <v>0</v>
      </c>
      <c r="AA85" s="144">
        <f>IFERROR(_xlfn.XLOOKUP($B85,'Cronog. e Histog.'!$BZ:$BZ,'Cronog. e Histog.'!CV:CV),"")</f>
        <v>0</v>
      </c>
      <c r="AB85" s="144">
        <f>IFERROR(_xlfn.XLOOKUP($B85,'Cronog. e Histog.'!$BZ:$BZ,'Cronog. e Histog.'!CW:CW),"")</f>
        <v>0</v>
      </c>
      <c r="AC85" s="144">
        <f>IFERROR(_xlfn.XLOOKUP($B85,'Cronog. e Histog.'!$BZ:$BZ,'Cronog. e Histog.'!CX:CX),"")</f>
        <v>0</v>
      </c>
      <c r="AD85" s="144">
        <f>IFERROR(_xlfn.XLOOKUP($B85,'Cronog. e Histog.'!$BZ:$BZ,'Cronog. e Histog.'!CY:CY),"")</f>
        <v>0</v>
      </c>
      <c r="AE85" s="144">
        <f>IFERROR(_xlfn.XLOOKUP($B85,'Cronog. e Histog.'!$BZ:$BZ,'Cronog. e Histog.'!CZ:CZ),"")</f>
        <v>0</v>
      </c>
      <c r="AF85" s="144">
        <f>IFERROR(_xlfn.XLOOKUP($B85,'Cronog. e Histog.'!$BZ:$BZ,'Cronog. e Histog.'!DA:DA),"")</f>
        <v>0</v>
      </c>
      <c r="AG85" s="144">
        <f>IFERROR(_xlfn.XLOOKUP($B85,'Cronog. e Histog.'!$BZ:$BZ,'Cronog. e Histog.'!DB:DB),"")</f>
        <v>0</v>
      </c>
      <c r="AH85" s="144">
        <f>IFERROR(_xlfn.XLOOKUP($B85,'Cronog. e Histog.'!$BZ:$BZ,'Cronog. e Histog.'!DC:DC),"")</f>
        <v>0</v>
      </c>
      <c r="AI85" s="144">
        <f>IFERROR(_xlfn.XLOOKUP($B85,'Cronog. e Histog.'!$BZ:$BZ,'Cronog. e Histog.'!DD:DD),"")</f>
        <v>0</v>
      </c>
      <c r="AJ85" s="144">
        <f>IFERROR(_xlfn.XLOOKUP($B85,'Cronog. e Histog.'!$BZ:$BZ,'Cronog. e Histog.'!DE:DE),"")</f>
        <v>0</v>
      </c>
      <c r="AK85" s="144">
        <f>IFERROR(_xlfn.XLOOKUP($B85,'Cronog. e Histog.'!$BZ:$BZ,'Cronog. e Histog.'!DF:DF),"")</f>
        <v>0</v>
      </c>
      <c r="AL85" s="144">
        <f>IFERROR(_xlfn.XLOOKUP($B85,'Cronog. e Histog.'!$BZ:$BZ,'Cronog. e Histog.'!DG:DG),"")</f>
        <v>0</v>
      </c>
      <c r="AM85" s="144">
        <f>IFERROR(_xlfn.XLOOKUP($B85,'Cronog. e Histog.'!$BZ:$BZ,'Cronog. e Histog.'!DH:DH),"")</f>
        <v>0</v>
      </c>
      <c r="AN85" s="144">
        <f>IFERROR(_xlfn.XLOOKUP($B85,'Cronog. e Histog.'!$BZ:$BZ,'Cronog. e Histog.'!DI:DI),"")</f>
        <v>0</v>
      </c>
      <c r="AO85" s="144">
        <f>IFERROR(_xlfn.XLOOKUP($B85,'Cronog. e Histog.'!$BZ:$BZ,'Cronog. e Histog.'!DJ:DJ),"")</f>
        <v>0</v>
      </c>
      <c r="AP85" s="144">
        <f>IFERROR(_xlfn.XLOOKUP($B85,'Cronog. e Histog.'!$BZ:$BZ,'Cronog. e Histog.'!DK:DK),"")</f>
        <v>0</v>
      </c>
      <c r="AQ85" s="144">
        <f>IFERROR(_xlfn.XLOOKUP($B85,'Cronog. e Histog.'!$BZ:$BZ,'Cronog. e Histog.'!DL:DL),"")</f>
        <v>0</v>
      </c>
      <c r="AR85" s="144">
        <f>IFERROR(_xlfn.XLOOKUP($B85,'Cronog. e Histog.'!$BZ:$BZ,'Cronog. e Histog.'!DM:DM),"")</f>
        <v>0</v>
      </c>
      <c r="AS85" s="144">
        <f>IFERROR(_xlfn.XLOOKUP($B85,'Cronog. e Histog.'!$BZ:$BZ,'Cronog. e Histog.'!DN:DN),"")</f>
        <v>0</v>
      </c>
      <c r="AT85" s="144">
        <f>IFERROR(_xlfn.XLOOKUP($B85,'Cronog. e Histog.'!$BZ:$BZ,'Cronog. e Histog.'!DO:DO),"")</f>
        <v>0</v>
      </c>
      <c r="AU85" s="144">
        <f>IFERROR(_xlfn.XLOOKUP($B85,'Cronog. e Histog.'!$BZ:$BZ,'Cronog. e Histog.'!DP:DP),"")</f>
        <v>0</v>
      </c>
      <c r="AV85" s="144">
        <f>IFERROR(_xlfn.XLOOKUP($B85,'Cronog. e Histog.'!$BZ:$BZ,'Cronog. e Histog.'!DQ:DQ),"")</f>
        <v>0</v>
      </c>
      <c r="AW85" s="144">
        <f>IFERROR(_xlfn.XLOOKUP($B85,'Cronog. e Histog.'!$BZ:$BZ,'Cronog. e Histog.'!DR:DR),"")</f>
        <v>0</v>
      </c>
      <c r="AX85" s="144">
        <f>IFERROR(_xlfn.XLOOKUP($B85,'Cronog. e Histog.'!$BZ:$BZ,'Cronog. e Histog.'!DS:DS),"")</f>
        <v>0</v>
      </c>
      <c r="AY85" s="144">
        <f>IFERROR(_xlfn.XLOOKUP($B85,'Cronog. e Histog.'!$BZ:$BZ,'Cronog. e Histog.'!DT:DT),"")</f>
        <v>0</v>
      </c>
      <c r="AZ85" s="144">
        <f>IFERROR(_xlfn.XLOOKUP($B85,'Cronog. e Histog.'!$BZ:$BZ,'Cronog. e Histog.'!DU:DU),"")</f>
        <v>0</v>
      </c>
      <c r="BA85" s="144">
        <f>IFERROR(_xlfn.XLOOKUP($B85,'Cronog. e Histog.'!$BZ:$BZ,'Cronog. e Histog.'!DV:DV),"")</f>
        <v>0</v>
      </c>
      <c r="BB85" s="144">
        <f>IFERROR(_xlfn.XLOOKUP($B85,'Cronog. e Histog.'!$BZ:$BZ,'Cronog. e Histog.'!DW:DW),"")</f>
        <v>0</v>
      </c>
      <c r="BC85" s="144">
        <f>IFERROR(_xlfn.XLOOKUP($B85,'Cronog. e Histog.'!$BZ:$BZ,'Cronog. e Histog.'!DX:DX),"")</f>
        <v>0</v>
      </c>
      <c r="BD85" s="144">
        <f>IFERROR(_xlfn.XLOOKUP($B85,'Cronog. e Histog.'!$BZ:$BZ,'Cronog. e Histog.'!DY:DY),"")</f>
        <v>0</v>
      </c>
      <c r="BE85" s="144">
        <f>IFERROR(_xlfn.XLOOKUP($B85,'Cronog. e Histog.'!$BZ:$BZ,'Cronog. e Histog.'!DZ:DZ),"")</f>
        <v>0</v>
      </c>
      <c r="BF85" s="144">
        <f>IFERROR(_xlfn.XLOOKUP($B85,'Cronog. e Histog.'!$BZ:$BZ,'Cronog. e Histog.'!EA:EA),"")</f>
        <v>0</v>
      </c>
      <c r="BG85" s="144">
        <f>IFERROR(_xlfn.XLOOKUP($B85,'Cronog. e Histog.'!$BZ:$BZ,'Cronog. e Histog.'!EB:EB),"")</f>
        <v>0</v>
      </c>
      <c r="BH85" s="144">
        <f>IFERROR(_xlfn.XLOOKUP($B85,'Cronog. e Histog.'!$BZ:$BZ,'Cronog. e Histog.'!EC:EC),"")</f>
        <v>0</v>
      </c>
      <c r="BI85" s="144">
        <f>IFERROR(_xlfn.XLOOKUP($B85,'Cronog. e Histog.'!$BZ:$BZ,'Cronog. e Histog.'!ED:ED),"")</f>
        <v>0</v>
      </c>
      <c r="BJ85" s="144">
        <f>IFERROR(_xlfn.XLOOKUP($B85,'Cronog. e Histog.'!$BZ:$BZ,'Cronog. e Histog.'!EE:EE),"")</f>
        <v>0</v>
      </c>
      <c r="BK85" s="144">
        <f>IFERROR(_xlfn.XLOOKUP($B85,'Cronog. e Histog.'!$BZ:$BZ,'Cronog. e Histog.'!EF:EF),"")</f>
        <v>0</v>
      </c>
      <c r="BL85" s="144">
        <f>IFERROR(_xlfn.XLOOKUP($B85,'Cronog. e Histog.'!$BZ:$BZ,'Cronog. e Histog.'!EG:EG),"")</f>
        <v>0</v>
      </c>
      <c r="BM85" s="144">
        <f>IFERROR(_xlfn.XLOOKUP($B85,'Cronog. e Histog.'!$BZ:$BZ,'Cronog. e Histog.'!EH:EH),"")</f>
        <v>0</v>
      </c>
      <c r="BN85" s="144">
        <f>IFERROR(_xlfn.XLOOKUP($B85,'Cronog. e Histog.'!$BZ:$BZ,'Cronog. e Histog.'!EI:EI),"")</f>
        <v>0</v>
      </c>
    </row>
    <row r="86" spans="2:66" ht="12" hidden="1" customHeight="1" outlineLevel="1">
      <c r="B86" s="76">
        <v>80</v>
      </c>
      <c r="C86" s="143" t="str">
        <f>IFERROR(VLOOKUP(B86,'Cronog. e Histog.'!$BZ$213:$CA$747,2,0),"")</f>
        <v>EST_III</v>
      </c>
      <c r="D86" s="144">
        <f t="shared" si="2"/>
        <v>0</v>
      </c>
      <c r="E86" s="144">
        <f t="shared" si="3"/>
        <v>0</v>
      </c>
      <c r="F86" s="65"/>
      <c r="G86" s="144">
        <f>IFERROR(_xlfn.XLOOKUP($B86,'Cronog. e Histog.'!$BZ:$BZ,'Cronog. e Histog.'!CB:CB),"")</f>
        <v>0</v>
      </c>
      <c r="H86" s="144">
        <f>IFERROR(_xlfn.XLOOKUP($B86,'Cronog. e Histog.'!$BZ:$BZ,'Cronog. e Histog.'!CC:CC),"")</f>
        <v>0</v>
      </c>
      <c r="I86" s="144">
        <f>IFERROR(_xlfn.XLOOKUP($B86,'Cronog. e Histog.'!$BZ:$BZ,'Cronog. e Histog.'!CD:CD),"")</f>
        <v>0</v>
      </c>
      <c r="J86" s="144">
        <f>IFERROR(_xlfn.XLOOKUP($B86,'Cronog. e Histog.'!$BZ:$BZ,'Cronog. e Histog.'!CE:CE),"")</f>
        <v>0</v>
      </c>
      <c r="K86" s="144">
        <f>IFERROR(_xlfn.XLOOKUP($B86,'Cronog. e Histog.'!$BZ:$BZ,'Cronog. e Histog.'!CF:CF),"")</f>
        <v>0</v>
      </c>
      <c r="L86" s="144">
        <f>IFERROR(_xlfn.XLOOKUP($B86,'Cronog. e Histog.'!$BZ:$BZ,'Cronog. e Histog.'!CG:CG),"")</f>
        <v>0</v>
      </c>
      <c r="M86" s="144">
        <f>IFERROR(_xlfn.XLOOKUP($B86,'Cronog. e Histog.'!$BZ:$BZ,'Cronog. e Histog.'!CH:CH),"")</f>
        <v>0</v>
      </c>
      <c r="N86" s="144">
        <f>IFERROR(_xlfn.XLOOKUP($B86,'Cronog. e Histog.'!$BZ:$BZ,'Cronog. e Histog.'!CI:CI),"")</f>
        <v>0</v>
      </c>
      <c r="O86" s="144">
        <f>IFERROR(_xlfn.XLOOKUP($B86,'Cronog. e Histog.'!$BZ:$BZ,'Cronog. e Histog.'!CJ:CJ),"")</f>
        <v>0</v>
      </c>
      <c r="P86" s="144">
        <f>IFERROR(_xlfn.XLOOKUP($B86,'Cronog. e Histog.'!$BZ:$BZ,'Cronog. e Histog.'!CK:CK),"")</f>
        <v>0</v>
      </c>
      <c r="Q86" s="144">
        <f>IFERROR(_xlfn.XLOOKUP($B86,'Cronog. e Histog.'!$BZ:$BZ,'Cronog. e Histog.'!CL:CL),"")</f>
        <v>0</v>
      </c>
      <c r="R86" s="144">
        <f>IFERROR(_xlfn.XLOOKUP($B86,'Cronog. e Histog.'!$BZ:$BZ,'Cronog. e Histog.'!CM:CM),"")</f>
        <v>0</v>
      </c>
      <c r="S86" s="144">
        <f>IFERROR(_xlfn.XLOOKUP($B86,'Cronog. e Histog.'!$BZ:$BZ,'Cronog. e Histog.'!CN:CN),"")</f>
        <v>0</v>
      </c>
      <c r="T86" s="144">
        <f>IFERROR(_xlfn.XLOOKUP($B86,'Cronog. e Histog.'!$BZ:$BZ,'Cronog. e Histog.'!CO:CO),"")</f>
        <v>0</v>
      </c>
      <c r="U86" s="144">
        <f>IFERROR(_xlfn.XLOOKUP($B86,'Cronog. e Histog.'!$BZ:$BZ,'Cronog. e Histog.'!CP:CP),"")</f>
        <v>0</v>
      </c>
      <c r="V86" s="144">
        <f>IFERROR(_xlfn.XLOOKUP($B86,'Cronog. e Histog.'!$BZ:$BZ,'Cronog. e Histog.'!CQ:CQ),"")</f>
        <v>0</v>
      </c>
      <c r="W86" s="144">
        <f>IFERROR(_xlfn.XLOOKUP($B86,'Cronog. e Histog.'!$BZ:$BZ,'Cronog. e Histog.'!CR:CR),"")</f>
        <v>0</v>
      </c>
      <c r="X86" s="144">
        <f>IFERROR(_xlfn.XLOOKUP($B86,'Cronog. e Histog.'!$BZ:$BZ,'Cronog. e Histog.'!CS:CS),"")</f>
        <v>0</v>
      </c>
      <c r="Y86" s="144">
        <f>IFERROR(_xlfn.XLOOKUP($B86,'Cronog. e Histog.'!$BZ:$BZ,'Cronog. e Histog.'!CT:CT),"")</f>
        <v>0</v>
      </c>
      <c r="Z86" s="144">
        <f>IFERROR(_xlfn.XLOOKUP($B86,'Cronog. e Histog.'!$BZ:$BZ,'Cronog. e Histog.'!CU:CU),"")</f>
        <v>0</v>
      </c>
      <c r="AA86" s="144">
        <f>IFERROR(_xlfn.XLOOKUP($B86,'Cronog. e Histog.'!$BZ:$BZ,'Cronog. e Histog.'!CV:CV),"")</f>
        <v>0</v>
      </c>
      <c r="AB86" s="144">
        <f>IFERROR(_xlfn.XLOOKUP($B86,'Cronog. e Histog.'!$BZ:$BZ,'Cronog. e Histog.'!CW:CW),"")</f>
        <v>0</v>
      </c>
      <c r="AC86" s="144">
        <f>IFERROR(_xlfn.XLOOKUP($B86,'Cronog. e Histog.'!$BZ:$BZ,'Cronog. e Histog.'!CX:CX),"")</f>
        <v>0</v>
      </c>
      <c r="AD86" s="144">
        <f>IFERROR(_xlfn.XLOOKUP($B86,'Cronog. e Histog.'!$BZ:$BZ,'Cronog. e Histog.'!CY:CY),"")</f>
        <v>0</v>
      </c>
      <c r="AE86" s="144">
        <f>IFERROR(_xlfn.XLOOKUP($B86,'Cronog. e Histog.'!$BZ:$BZ,'Cronog. e Histog.'!CZ:CZ),"")</f>
        <v>0</v>
      </c>
      <c r="AF86" s="144">
        <f>IFERROR(_xlfn.XLOOKUP($B86,'Cronog. e Histog.'!$BZ:$BZ,'Cronog. e Histog.'!DA:DA),"")</f>
        <v>0</v>
      </c>
      <c r="AG86" s="144">
        <f>IFERROR(_xlfn.XLOOKUP($B86,'Cronog. e Histog.'!$BZ:$BZ,'Cronog. e Histog.'!DB:DB),"")</f>
        <v>0</v>
      </c>
      <c r="AH86" s="144">
        <f>IFERROR(_xlfn.XLOOKUP($B86,'Cronog. e Histog.'!$BZ:$BZ,'Cronog. e Histog.'!DC:DC),"")</f>
        <v>0</v>
      </c>
      <c r="AI86" s="144">
        <f>IFERROR(_xlfn.XLOOKUP($B86,'Cronog. e Histog.'!$BZ:$BZ,'Cronog. e Histog.'!DD:DD),"")</f>
        <v>0</v>
      </c>
      <c r="AJ86" s="144">
        <f>IFERROR(_xlfn.XLOOKUP($B86,'Cronog. e Histog.'!$BZ:$BZ,'Cronog. e Histog.'!DE:DE),"")</f>
        <v>0</v>
      </c>
      <c r="AK86" s="144">
        <f>IFERROR(_xlfn.XLOOKUP($B86,'Cronog. e Histog.'!$BZ:$BZ,'Cronog. e Histog.'!DF:DF),"")</f>
        <v>0</v>
      </c>
      <c r="AL86" s="144">
        <f>IFERROR(_xlfn.XLOOKUP($B86,'Cronog. e Histog.'!$BZ:$BZ,'Cronog. e Histog.'!DG:DG),"")</f>
        <v>0</v>
      </c>
      <c r="AM86" s="144">
        <f>IFERROR(_xlfn.XLOOKUP($B86,'Cronog. e Histog.'!$BZ:$BZ,'Cronog. e Histog.'!DH:DH),"")</f>
        <v>0</v>
      </c>
      <c r="AN86" s="144">
        <f>IFERROR(_xlfn.XLOOKUP($B86,'Cronog. e Histog.'!$BZ:$BZ,'Cronog. e Histog.'!DI:DI),"")</f>
        <v>0</v>
      </c>
      <c r="AO86" s="144">
        <f>IFERROR(_xlfn.XLOOKUP($B86,'Cronog. e Histog.'!$BZ:$BZ,'Cronog. e Histog.'!DJ:DJ),"")</f>
        <v>0</v>
      </c>
      <c r="AP86" s="144">
        <f>IFERROR(_xlfn.XLOOKUP($B86,'Cronog. e Histog.'!$BZ:$BZ,'Cronog. e Histog.'!DK:DK),"")</f>
        <v>0</v>
      </c>
      <c r="AQ86" s="144">
        <f>IFERROR(_xlfn.XLOOKUP($B86,'Cronog. e Histog.'!$BZ:$BZ,'Cronog. e Histog.'!DL:DL),"")</f>
        <v>0</v>
      </c>
      <c r="AR86" s="144">
        <f>IFERROR(_xlfn.XLOOKUP($B86,'Cronog. e Histog.'!$BZ:$BZ,'Cronog. e Histog.'!DM:DM),"")</f>
        <v>0</v>
      </c>
      <c r="AS86" s="144">
        <f>IFERROR(_xlfn.XLOOKUP($B86,'Cronog. e Histog.'!$BZ:$BZ,'Cronog. e Histog.'!DN:DN),"")</f>
        <v>0</v>
      </c>
      <c r="AT86" s="144">
        <f>IFERROR(_xlfn.XLOOKUP($B86,'Cronog. e Histog.'!$BZ:$BZ,'Cronog. e Histog.'!DO:DO),"")</f>
        <v>0</v>
      </c>
      <c r="AU86" s="144">
        <f>IFERROR(_xlfn.XLOOKUP($B86,'Cronog. e Histog.'!$BZ:$BZ,'Cronog. e Histog.'!DP:DP),"")</f>
        <v>0</v>
      </c>
      <c r="AV86" s="144">
        <f>IFERROR(_xlfn.XLOOKUP($B86,'Cronog. e Histog.'!$BZ:$BZ,'Cronog. e Histog.'!DQ:DQ),"")</f>
        <v>0</v>
      </c>
      <c r="AW86" s="144">
        <f>IFERROR(_xlfn.XLOOKUP($B86,'Cronog. e Histog.'!$BZ:$BZ,'Cronog. e Histog.'!DR:DR),"")</f>
        <v>0</v>
      </c>
      <c r="AX86" s="144">
        <f>IFERROR(_xlfn.XLOOKUP($B86,'Cronog. e Histog.'!$BZ:$BZ,'Cronog. e Histog.'!DS:DS),"")</f>
        <v>0</v>
      </c>
      <c r="AY86" s="144">
        <f>IFERROR(_xlfn.XLOOKUP($B86,'Cronog. e Histog.'!$BZ:$BZ,'Cronog. e Histog.'!DT:DT),"")</f>
        <v>0</v>
      </c>
      <c r="AZ86" s="144">
        <f>IFERROR(_xlfn.XLOOKUP($B86,'Cronog. e Histog.'!$BZ:$BZ,'Cronog. e Histog.'!DU:DU),"")</f>
        <v>0</v>
      </c>
      <c r="BA86" s="144">
        <f>IFERROR(_xlfn.XLOOKUP($B86,'Cronog. e Histog.'!$BZ:$BZ,'Cronog. e Histog.'!DV:DV),"")</f>
        <v>0</v>
      </c>
      <c r="BB86" s="144">
        <f>IFERROR(_xlfn.XLOOKUP($B86,'Cronog. e Histog.'!$BZ:$BZ,'Cronog. e Histog.'!DW:DW),"")</f>
        <v>0</v>
      </c>
      <c r="BC86" s="144">
        <f>IFERROR(_xlfn.XLOOKUP($B86,'Cronog. e Histog.'!$BZ:$BZ,'Cronog. e Histog.'!DX:DX),"")</f>
        <v>0</v>
      </c>
      <c r="BD86" s="144">
        <f>IFERROR(_xlfn.XLOOKUP($B86,'Cronog. e Histog.'!$BZ:$BZ,'Cronog. e Histog.'!DY:DY),"")</f>
        <v>0</v>
      </c>
      <c r="BE86" s="144">
        <f>IFERROR(_xlfn.XLOOKUP($B86,'Cronog. e Histog.'!$BZ:$BZ,'Cronog. e Histog.'!DZ:DZ),"")</f>
        <v>0</v>
      </c>
      <c r="BF86" s="144">
        <f>IFERROR(_xlfn.XLOOKUP($B86,'Cronog. e Histog.'!$BZ:$BZ,'Cronog. e Histog.'!EA:EA),"")</f>
        <v>0</v>
      </c>
      <c r="BG86" s="144">
        <f>IFERROR(_xlfn.XLOOKUP($B86,'Cronog. e Histog.'!$BZ:$BZ,'Cronog. e Histog.'!EB:EB),"")</f>
        <v>0</v>
      </c>
      <c r="BH86" s="144">
        <f>IFERROR(_xlfn.XLOOKUP($B86,'Cronog. e Histog.'!$BZ:$BZ,'Cronog. e Histog.'!EC:EC),"")</f>
        <v>0</v>
      </c>
      <c r="BI86" s="144">
        <f>IFERROR(_xlfn.XLOOKUP($B86,'Cronog. e Histog.'!$BZ:$BZ,'Cronog. e Histog.'!ED:ED),"")</f>
        <v>0</v>
      </c>
      <c r="BJ86" s="144">
        <f>IFERROR(_xlfn.XLOOKUP($B86,'Cronog. e Histog.'!$BZ:$BZ,'Cronog. e Histog.'!EE:EE),"")</f>
        <v>0</v>
      </c>
      <c r="BK86" s="144">
        <f>IFERROR(_xlfn.XLOOKUP($B86,'Cronog. e Histog.'!$BZ:$BZ,'Cronog. e Histog.'!EF:EF),"")</f>
        <v>0</v>
      </c>
      <c r="BL86" s="144">
        <f>IFERROR(_xlfn.XLOOKUP($B86,'Cronog. e Histog.'!$BZ:$BZ,'Cronog. e Histog.'!EG:EG),"")</f>
        <v>0</v>
      </c>
      <c r="BM86" s="144">
        <f>IFERROR(_xlfn.XLOOKUP($B86,'Cronog. e Histog.'!$BZ:$BZ,'Cronog. e Histog.'!EH:EH),"")</f>
        <v>0</v>
      </c>
      <c r="BN86" s="144">
        <f>IFERROR(_xlfn.XLOOKUP($B86,'Cronog. e Histog.'!$BZ:$BZ,'Cronog. e Histog.'!EI:EI),"")</f>
        <v>0</v>
      </c>
    </row>
    <row r="87" spans="2:66" ht="12" hidden="1" customHeight="1" outlineLevel="1">
      <c r="B87" s="76">
        <v>81</v>
      </c>
      <c r="C87" s="143" t="str">
        <f>IFERROR(VLOOKUP(B87,'Cronog. e Histog.'!$BZ$213:$CA$747,2,0),"")</f>
        <v>GER. (OBRA/PROJ)</v>
      </c>
      <c r="D87" s="144">
        <f t="shared" si="2"/>
        <v>0</v>
      </c>
      <c r="E87" s="144">
        <f t="shared" si="3"/>
        <v>0</v>
      </c>
      <c r="F87" s="65"/>
      <c r="G87" s="144">
        <f>IFERROR(_xlfn.XLOOKUP($B87,'Cronog. e Histog.'!$BZ:$BZ,'Cronog. e Histog.'!CB:CB),"")</f>
        <v>0</v>
      </c>
      <c r="H87" s="144">
        <f>IFERROR(_xlfn.XLOOKUP($B87,'Cronog. e Histog.'!$BZ:$BZ,'Cronog. e Histog.'!CC:CC),"")</f>
        <v>0</v>
      </c>
      <c r="I87" s="144">
        <f>IFERROR(_xlfn.XLOOKUP($B87,'Cronog. e Histog.'!$BZ:$BZ,'Cronog. e Histog.'!CD:CD),"")</f>
        <v>0</v>
      </c>
      <c r="J87" s="144">
        <f>IFERROR(_xlfn.XLOOKUP($B87,'Cronog. e Histog.'!$BZ:$BZ,'Cronog. e Histog.'!CE:CE),"")</f>
        <v>0</v>
      </c>
      <c r="K87" s="144">
        <f>IFERROR(_xlfn.XLOOKUP($B87,'Cronog. e Histog.'!$BZ:$BZ,'Cronog. e Histog.'!CF:CF),"")</f>
        <v>0</v>
      </c>
      <c r="L87" s="144">
        <f>IFERROR(_xlfn.XLOOKUP($B87,'Cronog. e Histog.'!$BZ:$BZ,'Cronog. e Histog.'!CG:CG),"")</f>
        <v>0</v>
      </c>
      <c r="M87" s="144">
        <f>IFERROR(_xlfn.XLOOKUP($B87,'Cronog. e Histog.'!$BZ:$BZ,'Cronog. e Histog.'!CH:CH),"")</f>
        <v>0</v>
      </c>
      <c r="N87" s="144">
        <f>IFERROR(_xlfn.XLOOKUP($B87,'Cronog. e Histog.'!$BZ:$BZ,'Cronog. e Histog.'!CI:CI),"")</f>
        <v>0</v>
      </c>
      <c r="O87" s="144">
        <f>IFERROR(_xlfn.XLOOKUP($B87,'Cronog. e Histog.'!$BZ:$BZ,'Cronog. e Histog.'!CJ:CJ),"")</f>
        <v>0</v>
      </c>
      <c r="P87" s="144">
        <f>IFERROR(_xlfn.XLOOKUP($B87,'Cronog. e Histog.'!$BZ:$BZ,'Cronog. e Histog.'!CK:CK),"")</f>
        <v>0</v>
      </c>
      <c r="Q87" s="144">
        <f>IFERROR(_xlfn.XLOOKUP($B87,'Cronog. e Histog.'!$BZ:$BZ,'Cronog. e Histog.'!CL:CL),"")</f>
        <v>0</v>
      </c>
      <c r="R87" s="144">
        <f>IFERROR(_xlfn.XLOOKUP($B87,'Cronog. e Histog.'!$BZ:$BZ,'Cronog. e Histog.'!CM:CM),"")</f>
        <v>0</v>
      </c>
      <c r="S87" s="144">
        <f>IFERROR(_xlfn.XLOOKUP($B87,'Cronog. e Histog.'!$BZ:$BZ,'Cronog. e Histog.'!CN:CN),"")</f>
        <v>0</v>
      </c>
      <c r="T87" s="144">
        <f>IFERROR(_xlfn.XLOOKUP($B87,'Cronog. e Histog.'!$BZ:$BZ,'Cronog. e Histog.'!CO:CO),"")</f>
        <v>0</v>
      </c>
      <c r="U87" s="144">
        <f>IFERROR(_xlfn.XLOOKUP($B87,'Cronog. e Histog.'!$BZ:$BZ,'Cronog. e Histog.'!CP:CP),"")</f>
        <v>0</v>
      </c>
      <c r="V87" s="144">
        <f>IFERROR(_xlfn.XLOOKUP($B87,'Cronog. e Histog.'!$BZ:$BZ,'Cronog. e Histog.'!CQ:CQ),"")</f>
        <v>0</v>
      </c>
      <c r="W87" s="144">
        <f>IFERROR(_xlfn.XLOOKUP($B87,'Cronog. e Histog.'!$BZ:$BZ,'Cronog. e Histog.'!CR:CR),"")</f>
        <v>0</v>
      </c>
      <c r="X87" s="144">
        <f>IFERROR(_xlfn.XLOOKUP($B87,'Cronog. e Histog.'!$BZ:$BZ,'Cronog. e Histog.'!CS:CS),"")</f>
        <v>0</v>
      </c>
      <c r="Y87" s="144">
        <f>IFERROR(_xlfn.XLOOKUP($B87,'Cronog. e Histog.'!$BZ:$BZ,'Cronog. e Histog.'!CT:CT),"")</f>
        <v>0</v>
      </c>
      <c r="Z87" s="144">
        <f>IFERROR(_xlfn.XLOOKUP($B87,'Cronog. e Histog.'!$BZ:$BZ,'Cronog. e Histog.'!CU:CU),"")</f>
        <v>0</v>
      </c>
      <c r="AA87" s="144">
        <f>IFERROR(_xlfn.XLOOKUP($B87,'Cronog. e Histog.'!$BZ:$BZ,'Cronog. e Histog.'!CV:CV),"")</f>
        <v>0</v>
      </c>
      <c r="AB87" s="144">
        <f>IFERROR(_xlfn.XLOOKUP($B87,'Cronog. e Histog.'!$BZ:$BZ,'Cronog. e Histog.'!CW:CW),"")</f>
        <v>0</v>
      </c>
      <c r="AC87" s="144">
        <f>IFERROR(_xlfn.XLOOKUP($B87,'Cronog. e Histog.'!$BZ:$BZ,'Cronog. e Histog.'!CX:CX),"")</f>
        <v>0</v>
      </c>
      <c r="AD87" s="144">
        <f>IFERROR(_xlfn.XLOOKUP($B87,'Cronog. e Histog.'!$BZ:$BZ,'Cronog. e Histog.'!CY:CY),"")</f>
        <v>0</v>
      </c>
      <c r="AE87" s="144">
        <f>IFERROR(_xlfn.XLOOKUP($B87,'Cronog. e Histog.'!$BZ:$BZ,'Cronog. e Histog.'!CZ:CZ),"")</f>
        <v>0</v>
      </c>
      <c r="AF87" s="144">
        <f>IFERROR(_xlfn.XLOOKUP($B87,'Cronog. e Histog.'!$BZ:$BZ,'Cronog. e Histog.'!DA:DA),"")</f>
        <v>0</v>
      </c>
      <c r="AG87" s="144">
        <f>IFERROR(_xlfn.XLOOKUP($B87,'Cronog. e Histog.'!$BZ:$BZ,'Cronog. e Histog.'!DB:DB),"")</f>
        <v>0</v>
      </c>
      <c r="AH87" s="144">
        <f>IFERROR(_xlfn.XLOOKUP($B87,'Cronog. e Histog.'!$BZ:$BZ,'Cronog. e Histog.'!DC:DC),"")</f>
        <v>0</v>
      </c>
      <c r="AI87" s="144">
        <f>IFERROR(_xlfn.XLOOKUP($B87,'Cronog. e Histog.'!$BZ:$BZ,'Cronog. e Histog.'!DD:DD),"")</f>
        <v>0</v>
      </c>
      <c r="AJ87" s="144">
        <f>IFERROR(_xlfn.XLOOKUP($B87,'Cronog. e Histog.'!$BZ:$BZ,'Cronog. e Histog.'!DE:DE),"")</f>
        <v>0</v>
      </c>
      <c r="AK87" s="144">
        <f>IFERROR(_xlfn.XLOOKUP($B87,'Cronog. e Histog.'!$BZ:$BZ,'Cronog. e Histog.'!DF:DF),"")</f>
        <v>0</v>
      </c>
      <c r="AL87" s="144">
        <f>IFERROR(_xlfn.XLOOKUP($B87,'Cronog. e Histog.'!$BZ:$BZ,'Cronog. e Histog.'!DG:DG),"")</f>
        <v>0</v>
      </c>
      <c r="AM87" s="144">
        <f>IFERROR(_xlfn.XLOOKUP($B87,'Cronog. e Histog.'!$BZ:$BZ,'Cronog. e Histog.'!DH:DH),"")</f>
        <v>0</v>
      </c>
      <c r="AN87" s="144">
        <f>IFERROR(_xlfn.XLOOKUP($B87,'Cronog. e Histog.'!$BZ:$BZ,'Cronog. e Histog.'!DI:DI),"")</f>
        <v>0</v>
      </c>
      <c r="AO87" s="144">
        <f>IFERROR(_xlfn.XLOOKUP($B87,'Cronog. e Histog.'!$BZ:$BZ,'Cronog. e Histog.'!DJ:DJ),"")</f>
        <v>0</v>
      </c>
      <c r="AP87" s="144">
        <f>IFERROR(_xlfn.XLOOKUP($B87,'Cronog. e Histog.'!$BZ:$BZ,'Cronog. e Histog.'!DK:DK),"")</f>
        <v>0</v>
      </c>
      <c r="AQ87" s="144">
        <f>IFERROR(_xlfn.XLOOKUP($B87,'Cronog. e Histog.'!$BZ:$BZ,'Cronog. e Histog.'!DL:DL),"")</f>
        <v>0</v>
      </c>
      <c r="AR87" s="144">
        <f>IFERROR(_xlfn.XLOOKUP($B87,'Cronog. e Histog.'!$BZ:$BZ,'Cronog. e Histog.'!DM:DM),"")</f>
        <v>0</v>
      </c>
      <c r="AS87" s="144">
        <f>IFERROR(_xlfn.XLOOKUP($B87,'Cronog. e Histog.'!$BZ:$BZ,'Cronog. e Histog.'!DN:DN),"")</f>
        <v>0</v>
      </c>
      <c r="AT87" s="144">
        <f>IFERROR(_xlfn.XLOOKUP($B87,'Cronog. e Histog.'!$BZ:$BZ,'Cronog. e Histog.'!DO:DO),"")</f>
        <v>0</v>
      </c>
      <c r="AU87" s="144">
        <f>IFERROR(_xlfn.XLOOKUP($B87,'Cronog. e Histog.'!$BZ:$BZ,'Cronog. e Histog.'!DP:DP),"")</f>
        <v>0</v>
      </c>
      <c r="AV87" s="144">
        <f>IFERROR(_xlfn.XLOOKUP($B87,'Cronog. e Histog.'!$BZ:$BZ,'Cronog. e Histog.'!DQ:DQ),"")</f>
        <v>0</v>
      </c>
      <c r="AW87" s="144">
        <f>IFERROR(_xlfn.XLOOKUP($B87,'Cronog. e Histog.'!$BZ:$BZ,'Cronog. e Histog.'!DR:DR),"")</f>
        <v>0</v>
      </c>
      <c r="AX87" s="144">
        <f>IFERROR(_xlfn.XLOOKUP($B87,'Cronog. e Histog.'!$BZ:$BZ,'Cronog. e Histog.'!DS:DS),"")</f>
        <v>0</v>
      </c>
      <c r="AY87" s="144">
        <f>IFERROR(_xlfn.XLOOKUP($B87,'Cronog. e Histog.'!$BZ:$BZ,'Cronog. e Histog.'!DT:DT),"")</f>
        <v>0</v>
      </c>
      <c r="AZ87" s="144">
        <f>IFERROR(_xlfn.XLOOKUP($B87,'Cronog. e Histog.'!$BZ:$BZ,'Cronog. e Histog.'!DU:DU),"")</f>
        <v>0</v>
      </c>
      <c r="BA87" s="144">
        <f>IFERROR(_xlfn.XLOOKUP($B87,'Cronog. e Histog.'!$BZ:$BZ,'Cronog. e Histog.'!DV:DV),"")</f>
        <v>0</v>
      </c>
      <c r="BB87" s="144">
        <f>IFERROR(_xlfn.XLOOKUP($B87,'Cronog. e Histog.'!$BZ:$BZ,'Cronog. e Histog.'!DW:DW),"")</f>
        <v>0</v>
      </c>
      <c r="BC87" s="144">
        <f>IFERROR(_xlfn.XLOOKUP($B87,'Cronog. e Histog.'!$BZ:$BZ,'Cronog. e Histog.'!DX:DX),"")</f>
        <v>0</v>
      </c>
      <c r="BD87" s="144">
        <f>IFERROR(_xlfn.XLOOKUP($B87,'Cronog. e Histog.'!$BZ:$BZ,'Cronog. e Histog.'!DY:DY),"")</f>
        <v>0</v>
      </c>
      <c r="BE87" s="144">
        <f>IFERROR(_xlfn.XLOOKUP($B87,'Cronog. e Histog.'!$BZ:$BZ,'Cronog. e Histog.'!DZ:DZ),"")</f>
        <v>0</v>
      </c>
      <c r="BF87" s="144">
        <f>IFERROR(_xlfn.XLOOKUP($B87,'Cronog. e Histog.'!$BZ:$BZ,'Cronog. e Histog.'!EA:EA),"")</f>
        <v>0</v>
      </c>
      <c r="BG87" s="144">
        <f>IFERROR(_xlfn.XLOOKUP($B87,'Cronog. e Histog.'!$BZ:$BZ,'Cronog. e Histog.'!EB:EB),"")</f>
        <v>0</v>
      </c>
      <c r="BH87" s="144">
        <f>IFERROR(_xlfn.XLOOKUP($B87,'Cronog. e Histog.'!$BZ:$BZ,'Cronog. e Histog.'!EC:EC),"")</f>
        <v>0</v>
      </c>
      <c r="BI87" s="144">
        <f>IFERROR(_xlfn.XLOOKUP($B87,'Cronog. e Histog.'!$BZ:$BZ,'Cronog. e Histog.'!ED:ED),"")</f>
        <v>0</v>
      </c>
      <c r="BJ87" s="144">
        <f>IFERROR(_xlfn.XLOOKUP($B87,'Cronog. e Histog.'!$BZ:$BZ,'Cronog. e Histog.'!EE:EE),"")</f>
        <v>0</v>
      </c>
      <c r="BK87" s="144">
        <f>IFERROR(_xlfn.XLOOKUP($B87,'Cronog. e Histog.'!$BZ:$BZ,'Cronog. e Histog.'!EF:EF),"")</f>
        <v>0</v>
      </c>
      <c r="BL87" s="144">
        <f>IFERROR(_xlfn.XLOOKUP($B87,'Cronog. e Histog.'!$BZ:$BZ,'Cronog. e Histog.'!EG:EG),"")</f>
        <v>0</v>
      </c>
      <c r="BM87" s="144">
        <f>IFERROR(_xlfn.XLOOKUP($B87,'Cronog. e Histog.'!$BZ:$BZ,'Cronog. e Histog.'!EH:EH),"")</f>
        <v>0</v>
      </c>
      <c r="BN87" s="144">
        <f>IFERROR(_xlfn.XLOOKUP($B87,'Cronog. e Histog.'!$BZ:$BZ,'Cronog. e Histog.'!EI:EI),"")</f>
        <v>0</v>
      </c>
    </row>
    <row r="88" spans="2:66" ht="12" hidden="1" customHeight="1" outlineLevel="1">
      <c r="B88" s="76">
        <v>82</v>
      </c>
      <c r="C88" s="143" t="str">
        <f>IFERROR(VLOOKUP(B88,'Cronog. e Histog.'!$BZ$213:$CA$747,2,0),"")</f>
        <v>COORD.</v>
      </c>
      <c r="D88" s="144">
        <f t="shared" si="2"/>
        <v>0</v>
      </c>
      <c r="E88" s="144">
        <f t="shared" si="3"/>
        <v>0</v>
      </c>
      <c r="F88" s="65"/>
      <c r="G88" s="144">
        <f>IFERROR(_xlfn.XLOOKUP($B88,'Cronog. e Histog.'!$BZ:$BZ,'Cronog. e Histog.'!CB:CB),"")</f>
        <v>0</v>
      </c>
      <c r="H88" s="144">
        <f>IFERROR(_xlfn.XLOOKUP($B88,'Cronog. e Histog.'!$BZ:$BZ,'Cronog. e Histog.'!CC:CC),"")</f>
        <v>0</v>
      </c>
      <c r="I88" s="144">
        <f>IFERROR(_xlfn.XLOOKUP($B88,'Cronog. e Histog.'!$BZ:$BZ,'Cronog. e Histog.'!CD:CD),"")</f>
        <v>0</v>
      </c>
      <c r="J88" s="144">
        <f>IFERROR(_xlfn.XLOOKUP($B88,'Cronog. e Histog.'!$BZ:$BZ,'Cronog. e Histog.'!CE:CE),"")</f>
        <v>0</v>
      </c>
      <c r="K88" s="144">
        <f>IFERROR(_xlfn.XLOOKUP($B88,'Cronog. e Histog.'!$BZ:$BZ,'Cronog. e Histog.'!CF:CF),"")</f>
        <v>0</v>
      </c>
      <c r="L88" s="144">
        <f>IFERROR(_xlfn.XLOOKUP($B88,'Cronog. e Histog.'!$BZ:$BZ,'Cronog. e Histog.'!CG:CG),"")</f>
        <v>0</v>
      </c>
      <c r="M88" s="144">
        <f>IFERROR(_xlfn.XLOOKUP($B88,'Cronog. e Histog.'!$BZ:$BZ,'Cronog. e Histog.'!CH:CH),"")</f>
        <v>0</v>
      </c>
      <c r="N88" s="144">
        <f>IFERROR(_xlfn.XLOOKUP($B88,'Cronog. e Histog.'!$BZ:$BZ,'Cronog. e Histog.'!CI:CI),"")</f>
        <v>0</v>
      </c>
      <c r="O88" s="144">
        <f>IFERROR(_xlfn.XLOOKUP($B88,'Cronog. e Histog.'!$BZ:$BZ,'Cronog. e Histog.'!CJ:CJ),"")</f>
        <v>0</v>
      </c>
      <c r="P88" s="144">
        <f>IFERROR(_xlfn.XLOOKUP($B88,'Cronog. e Histog.'!$BZ:$BZ,'Cronog. e Histog.'!CK:CK),"")</f>
        <v>0</v>
      </c>
      <c r="Q88" s="144">
        <f>IFERROR(_xlfn.XLOOKUP($B88,'Cronog. e Histog.'!$BZ:$BZ,'Cronog. e Histog.'!CL:CL),"")</f>
        <v>0</v>
      </c>
      <c r="R88" s="144">
        <f>IFERROR(_xlfn.XLOOKUP($B88,'Cronog. e Histog.'!$BZ:$BZ,'Cronog. e Histog.'!CM:CM),"")</f>
        <v>0</v>
      </c>
      <c r="S88" s="144">
        <f>IFERROR(_xlfn.XLOOKUP($B88,'Cronog. e Histog.'!$BZ:$BZ,'Cronog. e Histog.'!CN:CN),"")</f>
        <v>0</v>
      </c>
      <c r="T88" s="144">
        <f>IFERROR(_xlfn.XLOOKUP($B88,'Cronog. e Histog.'!$BZ:$BZ,'Cronog. e Histog.'!CO:CO),"")</f>
        <v>0</v>
      </c>
      <c r="U88" s="144">
        <f>IFERROR(_xlfn.XLOOKUP($B88,'Cronog. e Histog.'!$BZ:$BZ,'Cronog. e Histog.'!CP:CP),"")</f>
        <v>0</v>
      </c>
      <c r="V88" s="144">
        <f>IFERROR(_xlfn.XLOOKUP($B88,'Cronog. e Histog.'!$BZ:$BZ,'Cronog. e Histog.'!CQ:CQ),"")</f>
        <v>0</v>
      </c>
      <c r="W88" s="144">
        <f>IFERROR(_xlfn.XLOOKUP($B88,'Cronog. e Histog.'!$BZ:$BZ,'Cronog. e Histog.'!CR:CR),"")</f>
        <v>0</v>
      </c>
      <c r="X88" s="144">
        <f>IFERROR(_xlfn.XLOOKUP($B88,'Cronog. e Histog.'!$BZ:$BZ,'Cronog. e Histog.'!CS:CS),"")</f>
        <v>0</v>
      </c>
      <c r="Y88" s="144">
        <f>IFERROR(_xlfn.XLOOKUP($B88,'Cronog. e Histog.'!$BZ:$BZ,'Cronog. e Histog.'!CT:CT),"")</f>
        <v>0</v>
      </c>
      <c r="Z88" s="144">
        <f>IFERROR(_xlfn.XLOOKUP($B88,'Cronog. e Histog.'!$BZ:$BZ,'Cronog. e Histog.'!CU:CU),"")</f>
        <v>0</v>
      </c>
      <c r="AA88" s="144">
        <f>IFERROR(_xlfn.XLOOKUP($B88,'Cronog. e Histog.'!$BZ:$BZ,'Cronog. e Histog.'!CV:CV),"")</f>
        <v>0</v>
      </c>
      <c r="AB88" s="144">
        <f>IFERROR(_xlfn.XLOOKUP($B88,'Cronog. e Histog.'!$BZ:$BZ,'Cronog. e Histog.'!CW:CW),"")</f>
        <v>0</v>
      </c>
      <c r="AC88" s="144">
        <f>IFERROR(_xlfn.XLOOKUP($B88,'Cronog. e Histog.'!$BZ:$BZ,'Cronog. e Histog.'!CX:CX),"")</f>
        <v>0</v>
      </c>
      <c r="AD88" s="144">
        <f>IFERROR(_xlfn.XLOOKUP($B88,'Cronog. e Histog.'!$BZ:$BZ,'Cronog. e Histog.'!CY:CY),"")</f>
        <v>0</v>
      </c>
      <c r="AE88" s="144">
        <f>IFERROR(_xlfn.XLOOKUP($B88,'Cronog. e Histog.'!$BZ:$BZ,'Cronog. e Histog.'!CZ:CZ),"")</f>
        <v>0</v>
      </c>
      <c r="AF88" s="144">
        <f>IFERROR(_xlfn.XLOOKUP($B88,'Cronog. e Histog.'!$BZ:$BZ,'Cronog. e Histog.'!DA:DA),"")</f>
        <v>0</v>
      </c>
      <c r="AG88" s="144">
        <f>IFERROR(_xlfn.XLOOKUP($B88,'Cronog. e Histog.'!$BZ:$BZ,'Cronog. e Histog.'!DB:DB),"")</f>
        <v>0</v>
      </c>
      <c r="AH88" s="144">
        <f>IFERROR(_xlfn.XLOOKUP($B88,'Cronog. e Histog.'!$BZ:$BZ,'Cronog. e Histog.'!DC:DC),"")</f>
        <v>0</v>
      </c>
      <c r="AI88" s="144">
        <f>IFERROR(_xlfn.XLOOKUP($B88,'Cronog. e Histog.'!$BZ:$BZ,'Cronog. e Histog.'!DD:DD),"")</f>
        <v>0</v>
      </c>
      <c r="AJ88" s="144">
        <f>IFERROR(_xlfn.XLOOKUP($B88,'Cronog. e Histog.'!$BZ:$BZ,'Cronog. e Histog.'!DE:DE),"")</f>
        <v>0</v>
      </c>
      <c r="AK88" s="144">
        <f>IFERROR(_xlfn.XLOOKUP($B88,'Cronog. e Histog.'!$BZ:$BZ,'Cronog. e Histog.'!DF:DF),"")</f>
        <v>0</v>
      </c>
      <c r="AL88" s="144">
        <f>IFERROR(_xlfn.XLOOKUP($B88,'Cronog. e Histog.'!$BZ:$BZ,'Cronog. e Histog.'!DG:DG),"")</f>
        <v>0</v>
      </c>
      <c r="AM88" s="144">
        <f>IFERROR(_xlfn.XLOOKUP($B88,'Cronog. e Histog.'!$BZ:$BZ,'Cronog. e Histog.'!DH:DH),"")</f>
        <v>0</v>
      </c>
      <c r="AN88" s="144">
        <f>IFERROR(_xlfn.XLOOKUP($B88,'Cronog. e Histog.'!$BZ:$BZ,'Cronog. e Histog.'!DI:DI),"")</f>
        <v>0</v>
      </c>
      <c r="AO88" s="144">
        <f>IFERROR(_xlfn.XLOOKUP($B88,'Cronog. e Histog.'!$BZ:$BZ,'Cronog. e Histog.'!DJ:DJ),"")</f>
        <v>0</v>
      </c>
      <c r="AP88" s="144">
        <f>IFERROR(_xlfn.XLOOKUP($B88,'Cronog. e Histog.'!$BZ:$BZ,'Cronog. e Histog.'!DK:DK),"")</f>
        <v>0</v>
      </c>
      <c r="AQ88" s="144">
        <f>IFERROR(_xlfn.XLOOKUP($B88,'Cronog. e Histog.'!$BZ:$BZ,'Cronog. e Histog.'!DL:DL),"")</f>
        <v>0</v>
      </c>
      <c r="AR88" s="144">
        <f>IFERROR(_xlfn.XLOOKUP($B88,'Cronog. e Histog.'!$BZ:$BZ,'Cronog. e Histog.'!DM:DM),"")</f>
        <v>0</v>
      </c>
      <c r="AS88" s="144">
        <f>IFERROR(_xlfn.XLOOKUP($B88,'Cronog. e Histog.'!$BZ:$BZ,'Cronog. e Histog.'!DN:DN),"")</f>
        <v>0</v>
      </c>
      <c r="AT88" s="144">
        <f>IFERROR(_xlfn.XLOOKUP($B88,'Cronog. e Histog.'!$BZ:$BZ,'Cronog. e Histog.'!DO:DO),"")</f>
        <v>0</v>
      </c>
      <c r="AU88" s="144">
        <f>IFERROR(_xlfn.XLOOKUP($B88,'Cronog. e Histog.'!$BZ:$BZ,'Cronog. e Histog.'!DP:DP),"")</f>
        <v>0</v>
      </c>
      <c r="AV88" s="144">
        <f>IFERROR(_xlfn.XLOOKUP($B88,'Cronog. e Histog.'!$BZ:$BZ,'Cronog. e Histog.'!DQ:DQ),"")</f>
        <v>0</v>
      </c>
      <c r="AW88" s="144">
        <f>IFERROR(_xlfn.XLOOKUP($B88,'Cronog. e Histog.'!$BZ:$BZ,'Cronog. e Histog.'!DR:DR),"")</f>
        <v>0</v>
      </c>
      <c r="AX88" s="144">
        <f>IFERROR(_xlfn.XLOOKUP($B88,'Cronog. e Histog.'!$BZ:$BZ,'Cronog. e Histog.'!DS:DS),"")</f>
        <v>0</v>
      </c>
      <c r="AY88" s="144">
        <f>IFERROR(_xlfn.XLOOKUP($B88,'Cronog. e Histog.'!$BZ:$BZ,'Cronog. e Histog.'!DT:DT),"")</f>
        <v>0</v>
      </c>
      <c r="AZ88" s="144">
        <f>IFERROR(_xlfn.XLOOKUP($B88,'Cronog. e Histog.'!$BZ:$BZ,'Cronog. e Histog.'!DU:DU),"")</f>
        <v>0</v>
      </c>
      <c r="BA88" s="144">
        <f>IFERROR(_xlfn.XLOOKUP($B88,'Cronog. e Histog.'!$BZ:$BZ,'Cronog. e Histog.'!DV:DV),"")</f>
        <v>0</v>
      </c>
      <c r="BB88" s="144">
        <f>IFERROR(_xlfn.XLOOKUP($B88,'Cronog. e Histog.'!$BZ:$BZ,'Cronog. e Histog.'!DW:DW),"")</f>
        <v>0</v>
      </c>
      <c r="BC88" s="144">
        <f>IFERROR(_xlfn.XLOOKUP($B88,'Cronog. e Histog.'!$BZ:$BZ,'Cronog. e Histog.'!DX:DX),"")</f>
        <v>0</v>
      </c>
      <c r="BD88" s="144">
        <f>IFERROR(_xlfn.XLOOKUP($B88,'Cronog. e Histog.'!$BZ:$BZ,'Cronog. e Histog.'!DY:DY),"")</f>
        <v>0</v>
      </c>
      <c r="BE88" s="144">
        <f>IFERROR(_xlfn.XLOOKUP($B88,'Cronog. e Histog.'!$BZ:$BZ,'Cronog. e Histog.'!DZ:DZ),"")</f>
        <v>0</v>
      </c>
      <c r="BF88" s="144">
        <f>IFERROR(_xlfn.XLOOKUP($B88,'Cronog. e Histog.'!$BZ:$BZ,'Cronog. e Histog.'!EA:EA),"")</f>
        <v>0</v>
      </c>
      <c r="BG88" s="144">
        <f>IFERROR(_xlfn.XLOOKUP($B88,'Cronog. e Histog.'!$BZ:$BZ,'Cronog. e Histog.'!EB:EB),"")</f>
        <v>0</v>
      </c>
      <c r="BH88" s="144">
        <f>IFERROR(_xlfn.XLOOKUP($B88,'Cronog. e Histog.'!$BZ:$BZ,'Cronog. e Histog.'!EC:EC),"")</f>
        <v>0</v>
      </c>
      <c r="BI88" s="144">
        <f>IFERROR(_xlfn.XLOOKUP($B88,'Cronog. e Histog.'!$BZ:$BZ,'Cronog. e Histog.'!ED:ED),"")</f>
        <v>0</v>
      </c>
      <c r="BJ88" s="144">
        <f>IFERROR(_xlfn.XLOOKUP($B88,'Cronog. e Histog.'!$BZ:$BZ,'Cronog. e Histog.'!EE:EE),"")</f>
        <v>0</v>
      </c>
      <c r="BK88" s="144">
        <f>IFERROR(_xlfn.XLOOKUP($B88,'Cronog. e Histog.'!$BZ:$BZ,'Cronog. e Histog.'!EF:EF),"")</f>
        <v>0</v>
      </c>
      <c r="BL88" s="144">
        <f>IFERROR(_xlfn.XLOOKUP($B88,'Cronog. e Histog.'!$BZ:$BZ,'Cronog. e Histog.'!EG:EG),"")</f>
        <v>0</v>
      </c>
      <c r="BM88" s="144">
        <f>IFERROR(_xlfn.XLOOKUP($B88,'Cronog. e Histog.'!$BZ:$BZ,'Cronog. e Histog.'!EH:EH),"")</f>
        <v>0</v>
      </c>
      <c r="BN88" s="144">
        <f>IFERROR(_xlfn.XLOOKUP($B88,'Cronog. e Histog.'!$BZ:$BZ,'Cronog. e Histog.'!EI:EI),"")</f>
        <v>0</v>
      </c>
    </row>
    <row r="89" spans="2:66" ht="12" hidden="1" customHeight="1" outlineLevel="1">
      <c r="B89" s="76">
        <v>83</v>
      </c>
      <c r="C89" s="143" t="str">
        <f>IFERROR(VLOOKUP(B89,'Cronog. e Histog.'!$BZ$213:$CA$747,2,0),"")</f>
        <v>SUP.-ESP</v>
      </c>
      <c r="D89" s="144">
        <f t="shared" si="2"/>
        <v>0</v>
      </c>
      <c r="E89" s="144">
        <f t="shared" si="3"/>
        <v>0</v>
      </c>
      <c r="F89" s="65"/>
      <c r="G89" s="144">
        <f>IFERROR(_xlfn.XLOOKUP($B89,'Cronog. e Histog.'!$BZ:$BZ,'Cronog. e Histog.'!CB:CB),"")</f>
        <v>0</v>
      </c>
      <c r="H89" s="144">
        <f>IFERROR(_xlfn.XLOOKUP($B89,'Cronog. e Histog.'!$BZ:$BZ,'Cronog. e Histog.'!CC:CC),"")</f>
        <v>0</v>
      </c>
      <c r="I89" s="144">
        <f>IFERROR(_xlfn.XLOOKUP($B89,'Cronog. e Histog.'!$BZ:$BZ,'Cronog. e Histog.'!CD:CD),"")</f>
        <v>0</v>
      </c>
      <c r="J89" s="144">
        <f>IFERROR(_xlfn.XLOOKUP($B89,'Cronog. e Histog.'!$BZ:$BZ,'Cronog. e Histog.'!CE:CE),"")</f>
        <v>0</v>
      </c>
      <c r="K89" s="144">
        <f>IFERROR(_xlfn.XLOOKUP($B89,'Cronog. e Histog.'!$BZ:$BZ,'Cronog. e Histog.'!CF:CF),"")</f>
        <v>0</v>
      </c>
      <c r="L89" s="144">
        <f>IFERROR(_xlfn.XLOOKUP($B89,'Cronog. e Histog.'!$BZ:$BZ,'Cronog. e Histog.'!CG:CG),"")</f>
        <v>0</v>
      </c>
      <c r="M89" s="144">
        <f>IFERROR(_xlfn.XLOOKUP($B89,'Cronog. e Histog.'!$BZ:$BZ,'Cronog. e Histog.'!CH:CH),"")</f>
        <v>0</v>
      </c>
      <c r="N89" s="144">
        <f>IFERROR(_xlfn.XLOOKUP($B89,'Cronog. e Histog.'!$BZ:$BZ,'Cronog. e Histog.'!CI:CI),"")</f>
        <v>0</v>
      </c>
      <c r="O89" s="144">
        <f>IFERROR(_xlfn.XLOOKUP($B89,'Cronog. e Histog.'!$BZ:$BZ,'Cronog. e Histog.'!CJ:CJ),"")</f>
        <v>0</v>
      </c>
      <c r="P89" s="144">
        <f>IFERROR(_xlfn.XLOOKUP($B89,'Cronog. e Histog.'!$BZ:$BZ,'Cronog. e Histog.'!CK:CK),"")</f>
        <v>0</v>
      </c>
      <c r="Q89" s="144">
        <f>IFERROR(_xlfn.XLOOKUP($B89,'Cronog. e Histog.'!$BZ:$BZ,'Cronog. e Histog.'!CL:CL),"")</f>
        <v>0</v>
      </c>
      <c r="R89" s="144">
        <f>IFERROR(_xlfn.XLOOKUP($B89,'Cronog. e Histog.'!$BZ:$BZ,'Cronog. e Histog.'!CM:CM),"")</f>
        <v>0</v>
      </c>
      <c r="S89" s="144">
        <f>IFERROR(_xlfn.XLOOKUP($B89,'Cronog. e Histog.'!$BZ:$BZ,'Cronog. e Histog.'!CN:CN),"")</f>
        <v>0</v>
      </c>
      <c r="T89" s="144">
        <f>IFERROR(_xlfn.XLOOKUP($B89,'Cronog. e Histog.'!$BZ:$BZ,'Cronog. e Histog.'!CO:CO),"")</f>
        <v>0</v>
      </c>
      <c r="U89" s="144">
        <f>IFERROR(_xlfn.XLOOKUP($B89,'Cronog. e Histog.'!$BZ:$BZ,'Cronog. e Histog.'!CP:CP),"")</f>
        <v>0</v>
      </c>
      <c r="V89" s="144">
        <f>IFERROR(_xlfn.XLOOKUP($B89,'Cronog. e Histog.'!$BZ:$BZ,'Cronog. e Histog.'!CQ:CQ),"")</f>
        <v>0</v>
      </c>
      <c r="W89" s="144">
        <f>IFERROR(_xlfn.XLOOKUP($B89,'Cronog. e Histog.'!$BZ:$BZ,'Cronog. e Histog.'!CR:CR),"")</f>
        <v>0</v>
      </c>
      <c r="X89" s="144">
        <f>IFERROR(_xlfn.XLOOKUP($B89,'Cronog. e Histog.'!$BZ:$BZ,'Cronog. e Histog.'!CS:CS),"")</f>
        <v>0</v>
      </c>
      <c r="Y89" s="144">
        <f>IFERROR(_xlfn.XLOOKUP($B89,'Cronog. e Histog.'!$BZ:$BZ,'Cronog. e Histog.'!CT:CT),"")</f>
        <v>0</v>
      </c>
      <c r="Z89" s="144">
        <f>IFERROR(_xlfn.XLOOKUP($B89,'Cronog. e Histog.'!$BZ:$BZ,'Cronog. e Histog.'!CU:CU),"")</f>
        <v>0</v>
      </c>
      <c r="AA89" s="144">
        <f>IFERROR(_xlfn.XLOOKUP($B89,'Cronog. e Histog.'!$BZ:$BZ,'Cronog. e Histog.'!CV:CV),"")</f>
        <v>0</v>
      </c>
      <c r="AB89" s="144">
        <f>IFERROR(_xlfn.XLOOKUP($B89,'Cronog. e Histog.'!$BZ:$BZ,'Cronog. e Histog.'!CW:CW),"")</f>
        <v>0</v>
      </c>
      <c r="AC89" s="144">
        <f>IFERROR(_xlfn.XLOOKUP($B89,'Cronog. e Histog.'!$BZ:$BZ,'Cronog. e Histog.'!CX:CX),"")</f>
        <v>0</v>
      </c>
      <c r="AD89" s="144">
        <f>IFERROR(_xlfn.XLOOKUP($B89,'Cronog. e Histog.'!$BZ:$BZ,'Cronog. e Histog.'!CY:CY),"")</f>
        <v>0</v>
      </c>
      <c r="AE89" s="144">
        <f>IFERROR(_xlfn.XLOOKUP($B89,'Cronog. e Histog.'!$BZ:$BZ,'Cronog. e Histog.'!CZ:CZ),"")</f>
        <v>0</v>
      </c>
      <c r="AF89" s="144">
        <f>IFERROR(_xlfn.XLOOKUP($B89,'Cronog. e Histog.'!$BZ:$BZ,'Cronog. e Histog.'!DA:DA),"")</f>
        <v>0</v>
      </c>
      <c r="AG89" s="144">
        <f>IFERROR(_xlfn.XLOOKUP($B89,'Cronog. e Histog.'!$BZ:$BZ,'Cronog. e Histog.'!DB:DB),"")</f>
        <v>0</v>
      </c>
      <c r="AH89" s="144">
        <f>IFERROR(_xlfn.XLOOKUP($B89,'Cronog. e Histog.'!$BZ:$BZ,'Cronog. e Histog.'!DC:DC),"")</f>
        <v>0</v>
      </c>
      <c r="AI89" s="144">
        <f>IFERROR(_xlfn.XLOOKUP($B89,'Cronog. e Histog.'!$BZ:$BZ,'Cronog. e Histog.'!DD:DD),"")</f>
        <v>0</v>
      </c>
      <c r="AJ89" s="144">
        <f>IFERROR(_xlfn.XLOOKUP($B89,'Cronog. e Histog.'!$BZ:$BZ,'Cronog. e Histog.'!DE:DE),"")</f>
        <v>0</v>
      </c>
      <c r="AK89" s="144">
        <f>IFERROR(_xlfn.XLOOKUP($B89,'Cronog. e Histog.'!$BZ:$BZ,'Cronog. e Histog.'!DF:DF),"")</f>
        <v>0</v>
      </c>
      <c r="AL89" s="144">
        <f>IFERROR(_xlfn.XLOOKUP($B89,'Cronog. e Histog.'!$BZ:$BZ,'Cronog. e Histog.'!DG:DG),"")</f>
        <v>0</v>
      </c>
      <c r="AM89" s="144">
        <f>IFERROR(_xlfn.XLOOKUP($B89,'Cronog. e Histog.'!$BZ:$BZ,'Cronog. e Histog.'!DH:DH),"")</f>
        <v>0</v>
      </c>
      <c r="AN89" s="144">
        <f>IFERROR(_xlfn.XLOOKUP($B89,'Cronog. e Histog.'!$BZ:$BZ,'Cronog. e Histog.'!DI:DI),"")</f>
        <v>0</v>
      </c>
      <c r="AO89" s="144">
        <f>IFERROR(_xlfn.XLOOKUP($B89,'Cronog. e Histog.'!$BZ:$BZ,'Cronog. e Histog.'!DJ:DJ),"")</f>
        <v>0</v>
      </c>
      <c r="AP89" s="144">
        <f>IFERROR(_xlfn.XLOOKUP($B89,'Cronog. e Histog.'!$BZ:$BZ,'Cronog. e Histog.'!DK:DK),"")</f>
        <v>0</v>
      </c>
      <c r="AQ89" s="144">
        <f>IFERROR(_xlfn.XLOOKUP($B89,'Cronog. e Histog.'!$BZ:$BZ,'Cronog. e Histog.'!DL:DL),"")</f>
        <v>0</v>
      </c>
      <c r="AR89" s="144">
        <f>IFERROR(_xlfn.XLOOKUP($B89,'Cronog. e Histog.'!$BZ:$BZ,'Cronog. e Histog.'!DM:DM),"")</f>
        <v>0</v>
      </c>
      <c r="AS89" s="144">
        <f>IFERROR(_xlfn.XLOOKUP($B89,'Cronog. e Histog.'!$BZ:$BZ,'Cronog. e Histog.'!DN:DN),"")</f>
        <v>0</v>
      </c>
      <c r="AT89" s="144">
        <f>IFERROR(_xlfn.XLOOKUP($B89,'Cronog. e Histog.'!$BZ:$BZ,'Cronog. e Histog.'!DO:DO),"")</f>
        <v>0</v>
      </c>
      <c r="AU89" s="144">
        <f>IFERROR(_xlfn.XLOOKUP($B89,'Cronog. e Histog.'!$BZ:$BZ,'Cronog. e Histog.'!DP:DP),"")</f>
        <v>0</v>
      </c>
      <c r="AV89" s="144">
        <f>IFERROR(_xlfn.XLOOKUP($B89,'Cronog. e Histog.'!$BZ:$BZ,'Cronog. e Histog.'!DQ:DQ),"")</f>
        <v>0</v>
      </c>
      <c r="AW89" s="144">
        <f>IFERROR(_xlfn.XLOOKUP($B89,'Cronog. e Histog.'!$BZ:$BZ,'Cronog. e Histog.'!DR:DR),"")</f>
        <v>0</v>
      </c>
      <c r="AX89" s="144">
        <f>IFERROR(_xlfn.XLOOKUP($B89,'Cronog. e Histog.'!$BZ:$BZ,'Cronog. e Histog.'!DS:DS),"")</f>
        <v>0</v>
      </c>
      <c r="AY89" s="144">
        <f>IFERROR(_xlfn.XLOOKUP($B89,'Cronog. e Histog.'!$BZ:$BZ,'Cronog. e Histog.'!DT:DT),"")</f>
        <v>0</v>
      </c>
      <c r="AZ89" s="144">
        <f>IFERROR(_xlfn.XLOOKUP($B89,'Cronog. e Histog.'!$BZ:$BZ,'Cronog. e Histog.'!DU:DU),"")</f>
        <v>0</v>
      </c>
      <c r="BA89" s="144">
        <f>IFERROR(_xlfn.XLOOKUP($B89,'Cronog. e Histog.'!$BZ:$BZ,'Cronog. e Histog.'!DV:DV),"")</f>
        <v>0</v>
      </c>
      <c r="BB89" s="144">
        <f>IFERROR(_xlfn.XLOOKUP($B89,'Cronog. e Histog.'!$BZ:$BZ,'Cronog. e Histog.'!DW:DW),"")</f>
        <v>0</v>
      </c>
      <c r="BC89" s="144">
        <f>IFERROR(_xlfn.XLOOKUP($B89,'Cronog. e Histog.'!$BZ:$BZ,'Cronog. e Histog.'!DX:DX),"")</f>
        <v>0</v>
      </c>
      <c r="BD89" s="144">
        <f>IFERROR(_xlfn.XLOOKUP($B89,'Cronog. e Histog.'!$BZ:$BZ,'Cronog. e Histog.'!DY:DY),"")</f>
        <v>0</v>
      </c>
      <c r="BE89" s="144">
        <f>IFERROR(_xlfn.XLOOKUP($B89,'Cronog. e Histog.'!$BZ:$BZ,'Cronog. e Histog.'!DZ:DZ),"")</f>
        <v>0</v>
      </c>
      <c r="BF89" s="144">
        <f>IFERROR(_xlfn.XLOOKUP($B89,'Cronog. e Histog.'!$BZ:$BZ,'Cronog. e Histog.'!EA:EA),"")</f>
        <v>0</v>
      </c>
      <c r="BG89" s="144">
        <f>IFERROR(_xlfn.XLOOKUP($B89,'Cronog. e Histog.'!$BZ:$BZ,'Cronog. e Histog.'!EB:EB),"")</f>
        <v>0</v>
      </c>
      <c r="BH89" s="144">
        <f>IFERROR(_xlfn.XLOOKUP($B89,'Cronog. e Histog.'!$BZ:$BZ,'Cronog. e Histog.'!EC:EC),"")</f>
        <v>0</v>
      </c>
      <c r="BI89" s="144">
        <f>IFERROR(_xlfn.XLOOKUP($B89,'Cronog. e Histog.'!$BZ:$BZ,'Cronog. e Histog.'!ED:ED),"")</f>
        <v>0</v>
      </c>
      <c r="BJ89" s="144">
        <f>IFERROR(_xlfn.XLOOKUP($B89,'Cronog. e Histog.'!$BZ:$BZ,'Cronog. e Histog.'!EE:EE),"")</f>
        <v>0</v>
      </c>
      <c r="BK89" s="144">
        <f>IFERROR(_xlfn.XLOOKUP($B89,'Cronog. e Histog.'!$BZ:$BZ,'Cronog. e Histog.'!EF:EF),"")</f>
        <v>0</v>
      </c>
      <c r="BL89" s="144">
        <f>IFERROR(_xlfn.XLOOKUP($B89,'Cronog. e Histog.'!$BZ:$BZ,'Cronog. e Histog.'!EG:EG),"")</f>
        <v>0</v>
      </c>
      <c r="BM89" s="144">
        <f>IFERROR(_xlfn.XLOOKUP($B89,'Cronog. e Histog.'!$BZ:$BZ,'Cronog. e Histog.'!EH:EH),"")</f>
        <v>0</v>
      </c>
      <c r="BN89" s="144">
        <f>IFERROR(_xlfn.XLOOKUP($B89,'Cronog. e Histog.'!$BZ:$BZ,'Cronog. e Histog.'!EI:EI),"")</f>
        <v>0</v>
      </c>
    </row>
    <row r="90" spans="2:66" ht="12" hidden="1" customHeight="1" outlineLevel="1">
      <c r="B90" s="76">
        <v>84</v>
      </c>
      <c r="C90" s="143" t="str">
        <f>IFERROR(VLOOKUP(B90,'Cronog. e Histog.'!$BZ$213:$CA$747,2,0),"")</f>
        <v>ENG/ARQ SR.</v>
      </c>
      <c r="D90" s="144">
        <f t="shared" si="2"/>
        <v>1</v>
      </c>
      <c r="E90" s="144">
        <f t="shared" si="3"/>
        <v>10</v>
      </c>
      <c r="F90" s="65"/>
      <c r="G90" s="144">
        <f>IFERROR(_xlfn.XLOOKUP($B90,'Cronog. e Histog.'!$BZ:$BZ,'Cronog. e Histog.'!CB:CB),"")</f>
        <v>0.01</v>
      </c>
      <c r="H90" s="144">
        <f>IFERROR(_xlfn.XLOOKUP($B90,'Cronog. e Histog.'!$BZ:$BZ,'Cronog. e Histog.'!CC:CC),"")</f>
        <v>0.01</v>
      </c>
      <c r="I90" s="144">
        <f>IFERROR(_xlfn.XLOOKUP($B90,'Cronog. e Histog.'!$BZ:$BZ,'Cronog. e Histog.'!CD:CD),"")</f>
        <v>0.01</v>
      </c>
      <c r="J90" s="144">
        <f>IFERROR(_xlfn.XLOOKUP($B90,'Cronog. e Histog.'!$BZ:$BZ,'Cronog. e Histog.'!CE:CE),"")</f>
        <v>0.01</v>
      </c>
      <c r="K90" s="144">
        <f>IFERROR(_xlfn.XLOOKUP($B90,'Cronog. e Histog.'!$BZ:$BZ,'Cronog. e Histog.'!CF:CF),"")</f>
        <v>0.01</v>
      </c>
      <c r="L90" s="144">
        <f>IFERROR(_xlfn.XLOOKUP($B90,'Cronog. e Histog.'!$BZ:$BZ,'Cronog. e Histog.'!CG:CG),"")</f>
        <v>0.01</v>
      </c>
      <c r="M90" s="144">
        <f>IFERROR(_xlfn.XLOOKUP($B90,'Cronog. e Histog.'!$BZ:$BZ,'Cronog. e Histog.'!CH:CH),"")</f>
        <v>0.01</v>
      </c>
      <c r="N90" s="144">
        <f>IFERROR(_xlfn.XLOOKUP($B90,'Cronog. e Histog.'!$BZ:$BZ,'Cronog. e Histog.'!CI:CI),"")</f>
        <v>0.01</v>
      </c>
      <c r="O90" s="144">
        <f>IFERROR(_xlfn.XLOOKUP($B90,'Cronog. e Histog.'!$BZ:$BZ,'Cronog. e Histog.'!CJ:CJ),"")</f>
        <v>0.01</v>
      </c>
      <c r="P90" s="144">
        <f>IFERROR(_xlfn.XLOOKUP($B90,'Cronog. e Histog.'!$BZ:$BZ,'Cronog. e Histog.'!CK:CK),"")</f>
        <v>0.01</v>
      </c>
      <c r="Q90" s="144">
        <f>IFERROR(_xlfn.XLOOKUP($B90,'Cronog. e Histog.'!$BZ:$BZ,'Cronog. e Histog.'!CL:CL),"")</f>
        <v>0</v>
      </c>
      <c r="R90" s="144">
        <f>IFERROR(_xlfn.XLOOKUP($B90,'Cronog. e Histog.'!$BZ:$BZ,'Cronog. e Histog.'!CM:CM),"")</f>
        <v>0</v>
      </c>
      <c r="S90" s="144">
        <f>IFERROR(_xlfn.XLOOKUP($B90,'Cronog. e Histog.'!$BZ:$BZ,'Cronog. e Histog.'!CN:CN),"")</f>
        <v>0</v>
      </c>
      <c r="T90" s="144">
        <f>IFERROR(_xlfn.XLOOKUP($B90,'Cronog. e Histog.'!$BZ:$BZ,'Cronog. e Histog.'!CO:CO),"")</f>
        <v>0</v>
      </c>
      <c r="U90" s="144">
        <f>IFERROR(_xlfn.XLOOKUP($B90,'Cronog. e Histog.'!$BZ:$BZ,'Cronog. e Histog.'!CP:CP),"")</f>
        <v>0</v>
      </c>
      <c r="V90" s="144">
        <f>IFERROR(_xlfn.XLOOKUP($B90,'Cronog. e Histog.'!$BZ:$BZ,'Cronog. e Histog.'!CQ:CQ),"")</f>
        <v>0</v>
      </c>
      <c r="W90" s="144">
        <f>IFERROR(_xlfn.XLOOKUP($B90,'Cronog. e Histog.'!$BZ:$BZ,'Cronog. e Histog.'!CR:CR),"")</f>
        <v>0</v>
      </c>
      <c r="X90" s="144">
        <f>IFERROR(_xlfn.XLOOKUP($B90,'Cronog. e Histog.'!$BZ:$BZ,'Cronog. e Histog.'!CS:CS),"")</f>
        <v>0</v>
      </c>
      <c r="Y90" s="144">
        <f>IFERROR(_xlfn.XLOOKUP($B90,'Cronog. e Histog.'!$BZ:$BZ,'Cronog. e Histog.'!CT:CT),"")</f>
        <v>0</v>
      </c>
      <c r="Z90" s="144">
        <f>IFERROR(_xlfn.XLOOKUP($B90,'Cronog. e Histog.'!$BZ:$BZ,'Cronog. e Histog.'!CU:CU),"")</f>
        <v>0</v>
      </c>
      <c r="AA90" s="144">
        <f>IFERROR(_xlfn.XLOOKUP($B90,'Cronog. e Histog.'!$BZ:$BZ,'Cronog. e Histog.'!CV:CV),"")</f>
        <v>0</v>
      </c>
      <c r="AB90" s="144">
        <f>IFERROR(_xlfn.XLOOKUP($B90,'Cronog. e Histog.'!$BZ:$BZ,'Cronog. e Histog.'!CW:CW),"")</f>
        <v>0</v>
      </c>
      <c r="AC90" s="144">
        <f>IFERROR(_xlfn.XLOOKUP($B90,'Cronog. e Histog.'!$BZ:$BZ,'Cronog. e Histog.'!CX:CX),"")</f>
        <v>0</v>
      </c>
      <c r="AD90" s="144">
        <f>IFERROR(_xlfn.XLOOKUP($B90,'Cronog. e Histog.'!$BZ:$BZ,'Cronog. e Histog.'!CY:CY),"")</f>
        <v>0</v>
      </c>
      <c r="AE90" s="144">
        <f>IFERROR(_xlfn.XLOOKUP($B90,'Cronog. e Histog.'!$BZ:$BZ,'Cronog. e Histog.'!CZ:CZ),"")</f>
        <v>0</v>
      </c>
      <c r="AF90" s="144">
        <f>IFERROR(_xlfn.XLOOKUP($B90,'Cronog. e Histog.'!$BZ:$BZ,'Cronog. e Histog.'!DA:DA),"")</f>
        <v>0</v>
      </c>
      <c r="AG90" s="144">
        <f>IFERROR(_xlfn.XLOOKUP($B90,'Cronog. e Histog.'!$BZ:$BZ,'Cronog. e Histog.'!DB:DB),"")</f>
        <v>0</v>
      </c>
      <c r="AH90" s="144">
        <f>IFERROR(_xlfn.XLOOKUP($B90,'Cronog. e Histog.'!$BZ:$BZ,'Cronog. e Histog.'!DC:DC),"")</f>
        <v>0</v>
      </c>
      <c r="AI90" s="144">
        <f>IFERROR(_xlfn.XLOOKUP($B90,'Cronog. e Histog.'!$BZ:$BZ,'Cronog. e Histog.'!DD:DD),"")</f>
        <v>0</v>
      </c>
      <c r="AJ90" s="144">
        <f>IFERROR(_xlfn.XLOOKUP($B90,'Cronog. e Histog.'!$BZ:$BZ,'Cronog. e Histog.'!DE:DE),"")</f>
        <v>0</v>
      </c>
      <c r="AK90" s="144">
        <f>IFERROR(_xlfn.XLOOKUP($B90,'Cronog. e Histog.'!$BZ:$BZ,'Cronog. e Histog.'!DF:DF),"")</f>
        <v>0</v>
      </c>
      <c r="AL90" s="144">
        <f>IFERROR(_xlfn.XLOOKUP($B90,'Cronog. e Histog.'!$BZ:$BZ,'Cronog. e Histog.'!DG:DG),"")</f>
        <v>0</v>
      </c>
      <c r="AM90" s="144">
        <f>IFERROR(_xlfn.XLOOKUP($B90,'Cronog. e Histog.'!$BZ:$BZ,'Cronog. e Histog.'!DH:DH),"")</f>
        <v>0</v>
      </c>
      <c r="AN90" s="144">
        <f>IFERROR(_xlfn.XLOOKUP($B90,'Cronog. e Histog.'!$BZ:$BZ,'Cronog. e Histog.'!DI:DI),"")</f>
        <v>0</v>
      </c>
      <c r="AO90" s="144">
        <f>IFERROR(_xlfn.XLOOKUP($B90,'Cronog. e Histog.'!$BZ:$BZ,'Cronog. e Histog.'!DJ:DJ),"")</f>
        <v>0</v>
      </c>
      <c r="AP90" s="144">
        <f>IFERROR(_xlfn.XLOOKUP($B90,'Cronog. e Histog.'!$BZ:$BZ,'Cronog. e Histog.'!DK:DK),"")</f>
        <v>0</v>
      </c>
      <c r="AQ90" s="144">
        <f>IFERROR(_xlfn.XLOOKUP($B90,'Cronog. e Histog.'!$BZ:$BZ,'Cronog. e Histog.'!DL:DL),"")</f>
        <v>0</v>
      </c>
      <c r="AR90" s="144">
        <f>IFERROR(_xlfn.XLOOKUP($B90,'Cronog. e Histog.'!$BZ:$BZ,'Cronog. e Histog.'!DM:DM),"")</f>
        <v>0</v>
      </c>
      <c r="AS90" s="144">
        <f>IFERROR(_xlfn.XLOOKUP($B90,'Cronog. e Histog.'!$BZ:$BZ,'Cronog. e Histog.'!DN:DN),"")</f>
        <v>0</v>
      </c>
      <c r="AT90" s="144">
        <f>IFERROR(_xlfn.XLOOKUP($B90,'Cronog. e Histog.'!$BZ:$BZ,'Cronog. e Histog.'!DO:DO),"")</f>
        <v>0</v>
      </c>
      <c r="AU90" s="144">
        <f>IFERROR(_xlfn.XLOOKUP($B90,'Cronog. e Histog.'!$BZ:$BZ,'Cronog. e Histog.'!DP:DP),"")</f>
        <v>0</v>
      </c>
      <c r="AV90" s="144">
        <f>IFERROR(_xlfn.XLOOKUP($B90,'Cronog. e Histog.'!$BZ:$BZ,'Cronog. e Histog.'!DQ:DQ),"")</f>
        <v>0</v>
      </c>
      <c r="AW90" s="144">
        <f>IFERROR(_xlfn.XLOOKUP($B90,'Cronog. e Histog.'!$BZ:$BZ,'Cronog. e Histog.'!DR:DR),"")</f>
        <v>0</v>
      </c>
      <c r="AX90" s="144">
        <f>IFERROR(_xlfn.XLOOKUP($B90,'Cronog. e Histog.'!$BZ:$BZ,'Cronog. e Histog.'!DS:DS),"")</f>
        <v>0</v>
      </c>
      <c r="AY90" s="144">
        <f>IFERROR(_xlfn.XLOOKUP($B90,'Cronog. e Histog.'!$BZ:$BZ,'Cronog. e Histog.'!DT:DT),"")</f>
        <v>0</v>
      </c>
      <c r="AZ90" s="144">
        <f>IFERROR(_xlfn.XLOOKUP($B90,'Cronog. e Histog.'!$BZ:$BZ,'Cronog. e Histog.'!DU:DU),"")</f>
        <v>0</v>
      </c>
      <c r="BA90" s="144">
        <f>IFERROR(_xlfn.XLOOKUP($B90,'Cronog. e Histog.'!$BZ:$BZ,'Cronog. e Histog.'!DV:DV),"")</f>
        <v>0</v>
      </c>
      <c r="BB90" s="144">
        <f>IFERROR(_xlfn.XLOOKUP($B90,'Cronog. e Histog.'!$BZ:$BZ,'Cronog. e Histog.'!DW:DW),"")</f>
        <v>0</v>
      </c>
      <c r="BC90" s="144">
        <f>IFERROR(_xlfn.XLOOKUP($B90,'Cronog. e Histog.'!$BZ:$BZ,'Cronog. e Histog.'!DX:DX),"")</f>
        <v>0</v>
      </c>
      <c r="BD90" s="144">
        <f>IFERROR(_xlfn.XLOOKUP($B90,'Cronog. e Histog.'!$BZ:$BZ,'Cronog. e Histog.'!DY:DY),"")</f>
        <v>0</v>
      </c>
      <c r="BE90" s="144">
        <f>IFERROR(_xlfn.XLOOKUP($B90,'Cronog. e Histog.'!$BZ:$BZ,'Cronog. e Histog.'!DZ:DZ),"")</f>
        <v>0</v>
      </c>
      <c r="BF90" s="144">
        <f>IFERROR(_xlfn.XLOOKUP($B90,'Cronog. e Histog.'!$BZ:$BZ,'Cronog. e Histog.'!EA:EA),"")</f>
        <v>0</v>
      </c>
      <c r="BG90" s="144">
        <f>IFERROR(_xlfn.XLOOKUP($B90,'Cronog. e Histog.'!$BZ:$BZ,'Cronog. e Histog.'!EB:EB),"")</f>
        <v>0</v>
      </c>
      <c r="BH90" s="144">
        <f>IFERROR(_xlfn.XLOOKUP($B90,'Cronog. e Histog.'!$BZ:$BZ,'Cronog. e Histog.'!EC:EC),"")</f>
        <v>0</v>
      </c>
      <c r="BI90" s="144">
        <f>IFERROR(_xlfn.XLOOKUP($B90,'Cronog. e Histog.'!$BZ:$BZ,'Cronog. e Histog.'!ED:ED),"")</f>
        <v>0</v>
      </c>
      <c r="BJ90" s="144">
        <f>IFERROR(_xlfn.XLOOKUP($B90,'Cronog. e Histog.'!$BZ:$BZ,'Cronog. e Histog.'!EE:EE),"")</f>
        <v>0</v>
      </c>
      <c r="BK90" s="144">
        <f>IFERROR(_xlfn.XLOOKUP($B90,'Cronog. e Histog.'!$BZ:$BZ,'Cronog. e Histog.'!EF:EF),"")</f>
        <v>0</v>
      </c>
      <c r="BL90" s="144">
        <f>IFERROR(_xlfn.XLOOKUP($B90,'Cronog. e Histog.'!$BZ:$BZ,'Cronog. e Histog.'!EG:EG),"")</f>
        <v>0</v>
      </c>
      <c r="BM90" s="144">
        <f>IFERROR(_xlfn.XLOOKUP($B90,'Cronog. e Histog.'!$BZ:$BZ,'Cronog. e Histog.'!EH:EH),"")</f>
        <v>0</v>
      </c>
      <c r="BN90" s="144">
        <f>IFERROR(_xlfn.XLOOKUP($B90,'Cronog. e Histog.'!$BZ:$BZ,'Cronog. e Histog.'!EI:EI),"")</f>
        <v>0</v>
      </c>
    </row>
    <row r="91" spans="2:66" ht="12" hidden="1" customHeight="1" outlineLevel="1">
      <c r="B91" s="76">
        <v>85</v>
      </c>
      <c r="C91" s="143" t="str">
        <f>IFERROR(VLOOKUP(B91,'Cronog. e Histog.'!$BZ$213:$CA$747,2,0),"")</f>
        <v>ENG/ARQ PL.</v>
      </c>
      <c r="D91" s="144">
        <f t="shared" si="2"/>
        <v>1</v>
      </c>
      <c r="E91" s="144">
        <f t="shared" si="3"/>
        <v>10</v>
      </c>
      <c r="F91" s="65"/>
      <c r="G91" s="144">
        <f>IFERROR(_xlfn.XLOOKUP($B91,'Cronog. e Histog.'!$BZ:$BZ,'Cronog. e Histog.'!CB:CB),"")</f>
        <v>0.6</v>
      </c>
      <c r="H91" s="144">
        <f>IFERROR(_xlfn.XLOOKUP($B91,'Cronog. e Histog.'!$BZ:$BZ,'Cronog. e Histog.'!CC:CC),"")</f>
        <v>0.6</v>
      </c>
      <c r="I91" s="144">
        <f>IFERROR(_xlfn.XLOOKUP($B91,'Cronog. e Histog.'!$BZ:$BZ,'Cronog. e Histog.'!CD:CD),"")</f>
        <v>0.6</v>
      </c>
      <c r="J91" s="144">
        <f>IFERROR(_xlfn.XLOOKUP($B91,'Cronog. e Histog.'!$BZ:$BZ,'Cronog. e Histog.'!CE:CE),"")</f>
        <v>0.6</v>
      </c>
      <c r="K91" s="144">
        <f>IFERROR(_xlfn.XLOOKUP($B91,'Cronog. e Histog.'!$BZ:$BZ,'Cronog. e Histog.'!CF:CF),"")</f>
        <v>0.6</v>
      </c>
      <c r="L91" s="144">
        <f>IFERROR(_xlfn.XLOOKUP($B91,'Cronog. e Histog.'!$BZ:$BZ,'Cronog. e Histog.'!CG:CG),"")</f>
        <v>0.6</v>
      </c>
      <c r="M91" s="144">
        <f>IFERROR(_xlfn.XLOOKUP($B91,'Cronog. e Histog.'!$BZ:$BZ,'Cronog. e Histog.'!CH:CH),"")</f>
        <v>0.6</v>
      </c>
      <c r="N91" s="144">
        <f>IFERROR(_xlfn.XLOOKUP($B91,'Cronog. e Histog.'!$BZ:$BZ,'Cronog. e Histog.'!CI:CI),"")</f>
        <v>0.6</v>
      </c>
      <c r="O91" s="144">
        <f>IFERROR(_xlfn.XLOOKUP($B91,'Cronog. e Histog.'!$BZ:$BZ,'Cronog. e Histog.'!CJ:CJ),"")</f>
        <v>0.6</v>
      </c>
      <c r="P91" s="144">
        <f>IFERROR(_xlfn.XLOOKUP($B91,'Cronog. e Histog.'!$BZ:$BZ,'Cronog. e Histog.'!CK:CK),"")</f>
        <v>0.6</v>
      </c>
      <c r="Q91" s="144">
        <f>IFERROR(_xlfn.XLOOKUP($B91,'Cronog. e Histog.'!$BZ:$BZ,'Cronog. e Histog.'!CL:CL),"")</f>
        <v>0</v>
      </c>
      <c r="R91" s="144">
        <f>IFERROR(_xlfn.XLOOKUP($B91,'Cronog. e Histog.'!$BZ:$BZ,'Cronog. e Histog.'!CM:CM),"")</f>
        <v>0</v>
      </c>
      <c r="S91" s="144">
        <f>IFERROR(_xlfn.XLOOKUP($B91,'Cronog. e Histog.'!$BZ:$BZ,'Cronog. e Histog.'!CN:CN),"")</f>
        <v>0</v>
      </c>
      <c r="T91" s="144">
        <f>IFERROR(_xlfn.XLOOKUP($B91,'Cronog. e Histog.'!$BZ:$BZ,'Cronog. e Histog.'!CO:CO),"")</f>
        <v>0</v>
      </c>
      <c r="U91" s="144">
        <f>IFERROR(_xlfn.XLOOKUP($B91,'Cronog. e Histog.'!$BZ:$BZ,'Cronog. e Histog.'!CP:CP),"")</f>
        <v>0</v>
      </c>
      <c r="V91" s="144">
        <f>IFERROR(_xlfn.XLOOKUP($B91,'Cronog. e Histog.'!$BZ:$BZ,'Cronog. e Histog.'!CQ:CQ),"")</f>
        <v>0</v>
      </c>
      <c r="W91" s="144">
        <f>IFERROR(_xlfn.XLOOKUP($B91,'Cronog. e Histog.'!$BZ:$BZ,'Cronog. e Histog.'!CR:CR),"")</f>
        <v>0</v>
      </c>
      <c r="X91" s="144">
        <f>IFERROR(_xlfn.XLOOKUP($B91,'Cronog. e Histog.'!$BZ:$BZ,'Cronog. e Histog.'!CS:CS),"")</f>
        <v>0</v>
      </c>
      <c r="Y91" s="144">
        <f>IFERROR(_xlfn.XLOOKUP($B91,'Cronog. e Histog.'!$BZ:$BZ,'Cronog. e Histog.'!CT:CT),"")</f>
        <v>0</v>
      </c>
      <c r="Z91" s="144">
        <f>IFERROR(_xlfn.XLOOKUP($B91,'Cronog. e Histog.'!$BZ:$BZ,'Cronog. e Histog.'!CU:CU),"")</f>
        <v>0</v>
      </c>
      <c r="AA91" s="144">
        <f>IFERROR(_xlfn.XLOOKUP($B91,'Cronog. e Histog.'!$BZ:$BZ,'Cronog. e Histog.'!CV:CV),"")</f>
        <v>0</v>
      </c>
      <c r="AB91" s="144">
        <f>IFERROR(_xlfn.XLOOKUP($B91,'Cronog. e Histog.'!$BZ:$BZ,'Cronog. e Histog.'!CW:CW),"")</f>
        <v>0</v>
      </c>
      <c r="AC91" s="144">
        <f>IFERROR(_xlfn.XLOOKUP($B91,'Cronog. e Histog.'!$BZ:$BZ,'Cronog. e Histog.'!CX:CX),"")</f>
        <v>0</v>
      </c>
      <c r="AD91" s="144">
        <f>IFERROR(_xlfn.XLOOKUP($B91,'Cronog. e Histog.'!$BZ:$BZ,'Cronog. e Histog.'!CY:CY),"")</f>
        <v>0</v>
      </c>
      <c r="AE91" s="144">
        <f>IFERROR(_xlfn.XLOOKUP($B91,'Cronog. e Histog.'!$BZ:$BZ,'Cronog. e Histog.'!CZ:CZ),"")</f>
        <v>0</v>
      </c>
      <c r="AF91" s="144">
        <f>IFERROR(_xlfn.XLOOKUP($B91,'Cronog. e Histog.'!$BZ:$BZ,'Cronog. e Histog.'!DA:DA),"")</f>
        <v>0</v>
      </c>
      <c r="AG91" s="144">
        <f>IFERROR(_xlfn.XLOOKUP($B91,'Cronog. e Histog.'!$BZ:$BZ,'Cronog. e Histog.'!DB:DB),"")</f>
        <v>0</v>
      </c>
      <c r="AH91" s="144">
        <f>IFERROR(_xlfn.XLOOKUP($B91,'Cronog. e Histog.'!$BZ:$BZ,'Cronog. e Histog.'!DC:DC),"")</f>
        <v>0</v>
      </c>
      <c r="AI91" s="144">
        <f>IFERROR(_xlfn.XLOOKUP($B91,'Cronog. e Histog.'!$BZ:$BZ,'Cronog. e Histog.'!DD:DD),"")</f>
        <v>0</v>
      </c>
      <c r="AJ91" s="144">
        <f>IFERROR(_xlfn.XLOOKUP($B91,'Cronog. e Histog.'!$BZ:$BZ,'Cronog. e Histog.'!DE:DE),"")</f>
        <v>0</v>
      </c>
      <c r="AK91" s="144">
        <f>IFERROR(_xlfn.XLOOKUP($B91,'Cronog. e Histog.'!$BZ:$BZ,'Cronog. e Histog.'!DF:DF),"")</f>
        <v>0</v>
      </c>
      <c r="AL91" s="144">
        <f>IFERROR(_xlfn.XLOOKUP($B91,'Cronog. e Histog.'!$BZ:$BZ,'Cronog. e Histog.'!DG:DG),"")</f>
        <v>0</v>
      </c>
      <c r="AM91" s="144">
        <f>IFERROR(_xlfn.XLOOKUP($B91,'Cronog. e Histog.'!$BZ:$BZ,'Cronog. e Histog.'!DH:DH),"")</f>
        <v>0</v>
      </c>
      <c r="AN91" s="144">
        <f>IFERROR(_xlfn.XLOOKUP($B91,'Cronog. e Histog.'!$BZ:$BZ,'Cronog. e Histog.'!DI:DI),"")</f>
        <v>0</v>
      </c>
      <c r="AO91" s="144">
        <f>IFERROR(_xlfn.XLOOKUP($B91,'Cronog. e Histog.'!$BZ:$BZ,'Cronog. e Histog.'!DJ:DJ),"")</f>
        <v>0</v>
      </c>
      <c r="AP91" s="144">
        <f>IFERROR(_xlfn.XLOOKUP($B91,'Cronog. e Histog.'!$BZ:$BZ,'Cronog. e Histog.'!DK:DK),"")</f>
        <v>0</v>
      </c>
      <c r="AQ91" s="144">
        <f>IFERROR(_xlfn.XLOOKUP($B91,'Cronog. e Histog.'!$BZ:$BZ,'Cronog. e Histog.'!DL:DL),"")</f>
        <v>0</v>
      </c>
      <c r="AR91" s="144">
        <f>IFERROR(_xlfn.XLOOKUP($B91,'Cronog. e Histog.'!$BZ:$BZ,'Cronog. e Histog.'!DM:DM),"")</f>
        <v>0</v>
      </c>
      <c r="AS91" s="144">
        <f>IFERROR(_xlfn.XLOOKUP($B91,'Cronog. e Histog.'!$BZ:$BZ,'Cronog. e Histog.'!DN:DN),"")</f>
        <v>0</v>
      </c>
      <c r="AT91" s="144">
        <f>IFERROR(_xlfn.XLOOKUP($B91,'Cronog. e Histog.'!$BZ:$BZ,'Cronog. e Histog.'!DO:DO),"")</f>
        <v>0</v>
      </c>
      <c r="AU91" s="144">
        <f>IFERROR(_xlfn.XLOOKUP($B91,'Cronog. e Histog.'!$BZ:$BZ,'Cronog. e Histog.'!DP:DP),"")</f>
        <v>0</v>
      </c>
      <c r="AV91" s="144">
        <f>IFERROR(_xlfn.XLOOKUP($B91,'Cronog. e Histog.'!$BZ:$BZ,'Cronog. e Histog.'!DQ:DQ),"")</f>
        <v>0</v>
      </c>
      <c r="AW91" s="144">
        <f>IFERROR(_xlfn.XLOOKUP($B91,'Cronog. e Histog.'!$BZ:$BZ,'Cronog. e Histog.'!DR:DR),"")</f>
        <v>0</v>
      </c>
      <c r="AX91" s="144">
        <f>IFERROR(_xlfn.XLOOKUP($B91,'Cronog. e Histog.'!$BZ:$BZ,'Cronog. e Histog.'!DS:DS),"")</f>
        <v>0</v>
      </c>
      <c r="AY91" s="144">
        <f>IFERROR(_xlfn.XLOOKUP($B91,'Cronog. e Histog.'!$BZ:$BZ,'Cronog. e Histog.'!DT:DT),"")</f>
        <v>0</v>
      </c>
      <c r="AZ91" s="144">
        <f>IFERROR(_xlfn.XLOOKUP($B91,'Cronog. e Histog.'!$BZ:$BZ,'Cronog. e Histog.'!DU:DU),"")</f>
        <v>0</v>
      </c>
      <c r="BA91" s="144">
        <f>IFERROR(_xlfn.XLOOKUP($B91,'Cronog. e Histog.'!$BZ:$BZ,'Cronog. e Histog.'!DV:DV),"")</f>
        <v>0</v>
      </c>
      <c r="BB91" s="144">
        <f>IFERROR(_xlfn.XLOOKUP($B91,'Cronog. e Histog.'!$BZ:$BZ,'Cronog. e Histog.'!DW:DW),"")</f>
        <v>0</v>
      </c>
      <c r="BC91" s="144">
        <f>IFERROR(_xlfn.XLOOKUP($B91,'Cronog. e Histog.'!$BZ:$BZ,'Cronog. e Histog.'!DX:DX),"")</f>
        <v>0</v>
      </c>
      <c r="BD91" s="144">
        <f>IFERROR(_xlfn.XLOOKUP($B91,'Cronog. e Histog.'!$BZ:$BZ,'Cronog. e Histog.'!DY:DY),"")</f>
        <v>0</v>
      </c>
      <c r="BE91" s="144">
        <f>IFERROR(_xlfn.XLOOKUP($B91,'Cronog. e Histog.'!$BZ:$BZ,'Cronog. e Histog.'!DZ:DZ),"")</f>
        <v>0</v>
      </c>
      <c r="BF91" s="144">
        <f>IFERROR(_xlfn.XLOOKUP($B91,'Cronog. e Histog.'!$BZ:$BZ,'Cronog. e Histog.'!EA:EA),"")</f>
        <v>0</v>
      </c>
      <c r="BG91" s="144">
        <f>IFERROR(_xlfn.XLOOKUP($B91,'Cronog. e Histog.'!$BZ:$BZ,'Cronog. e Histog.'!EB:EB),"")</f>
        <v>0</v>
      </c>
      <c r="BH91" s="144">
        <f>IFERROR(_xlfn.XLOOKUP($B91,'Cronog. e Histog.'!$BZ:$BZ,'Cronog. e Histog.'!EC:EC),"")</f>
        <v>0</v>
      </c>
      <c r="BI91" s="144">
        <f>IFERROR(_xlfn.XLOOKUP($B91,'Cronog. e Histog.'!$BZ:$BZ,'Cronog. e Histog.'!ED:ED),"")</f>
        <v>0</v>
      </c>
      <c r="BJ91" s="144">
        <f>IFERROR(_xlfn.XLOOKUP($B91,'Cronog. e Histog.'!$BZ:$BZ,'Cronog. e Histog.'!EE:EE),"")</f>
        <v>0</v>
      </c>
      <c r="BK91" s="144">
        <f>IFERROR(_xlfn.XLOOKUP($B91,'Cronog. e Histog.'!$BZ:$BZ,'Cronog. e Histog.'!EF:EF),"")</f>
        <v>0</v>
      </c>
      <c r="BL91" s="144">
        <f>IFERROR(_xlfn.XLOOKUP($B91,'Cronog. e Histog.'!$BZ:$BZ,'Cronog. e Histog.'!EG:EG),"")</f>
        <v>0</v>
      </c>
      <c r="BM91" s="144">
        <f>IFERROR(_xlfn.XLOOKUP($B91,'Cronog. e Histog.'!$BZ:$BZ,'Cronog. e Histog.'!EH:EH),"")</f>
        <v>0</v>
      </c>
      <c r="BN91" s="144">
        <f>IFERROR(_xlfn.XLOOKUP($B91,'Cronog. e Histog.'!$BZ:$BZ,'Cronog. e Histog.'!EI:EI),"")</f>
        <v>0</v>
      </c>
    </row>
    <row r="92" spans="2:66" ht="12" hidden="1" customHeight="1" outlineLevel="1">
      <c r="B92" s="76">
        <v>86</v>
      </c>
      <c r="C92" s="143" t="str">
        <f>IFERROR(VLOOKUP(B92,'Cronog. e Histog.'!$BZ$213:$CA$747,2,0),"")</f>
        <v>ENG/ARQ JR.</v>
      </c>
      <c r="D92" s="144">
        <f t="shared" si="2"/>
        <v>0</v>
      </c>
      <c r="E92" s="144">
        <f t="shared" si="3"/>
        <v>0</v>
      </c>
      <c r="F92" s="65"/>
      <c r="G92" s="144">
        <f>IFERROR(_xlfn.XLOOKUP($B92,'Cronog. e Histog.'!$BZ:$BZ,'Cronog. e Histog.'!CB:CB),"")</f>
        <v>0</v>
      </c>
      <c r="H92" s="144">
        <f>IFERROR(_xlfn.XLOOKUP($B92,'Cronog. e Histog.'!$BZ:$BZ,'Cronog. e Histog.'!CC:CC),"")</f>
        <v>0</v>
      </c>
      <c r="I92" s="144">
        <f>IFERROR(_xlfn.XLOOKUP($B92,'Cronog. e Histog.'!$BZ:$BZ,'Cronog. e Histog.'!CD:CD),"")</f>
        <v>0</v>
      </c>
      <c r="J92" s="144">
        <f>IFERROR(_xlfn.XLOOKUP($B92,'Cronog. e Histog.'!$BZ:$BZ,'Cronog. e Histog.'!CE:CE),"")</f>
        <v>0</v>
      </c>
      <c r="K92" s="144">
        <f>IFERROR(_xlfn.XLOOKUP($B92,'Cronog. e Histog.'!$BZ:$BZ,'Cronog. e Histog.'!CF:CF),"")</f>
        <v>0</v>
      </c>
      <c r="L92" s="144">
        <f>IFERROR(_xlfn.XLOOKUP($B92,'Cronog. e Histog.'!$BZ:$BZ,'Cronog. e Histog.'!CG:CG),"")</f>
        <v>0</v>
      </c>
      <c r="M92" s="144">
        <f>IFERROR(_xlfn.XLOOKUP($B92,'Cronog. e Histog.'!$BZ:$BZ,'Cronog. e Histog.'!CH:CH),"")</f>
        <v>0</v>
      </c>
      <c r="N92" s="144">
        <f>IFERROR(_xlfn.XLOOKUP($B92,'Cronog. e Histog.'!$BZ:$BZ,'Cronog. e Histog.'!CI:CI),"")</f>
        <v>0</v>
      </c>
      <c r="O92" s="144">
        <f>IFERROR(_xlfn.XLOOKUP($B92,'Cronog. e Histog.'!$BZ:$BZ,'Cronog. e Histog.'!CJ:CJ),"")</f>
        <v>0</v>
      </c>
      <c r="P92" s="144">
        <f>IFERROR(_xlfn.XLOOKUP($B92,'Cronog. e Histog.'!$BZ:$BZ,'Cronog. e Histog.'!CK:CK),"")</f>
        <v>0</v>
      </c>
      <c r="Q92" s="144">
        <f>IFERROR(_xlfn.XLOOKUP($B92,'Cronog. e Histog.'!$BZ:$BZ,'Cronog. e Histog.'!CL:CL),"")</f>
        <v>0</v>
      </c>
      <c r="R92" s="144">
        <f>IFERROR(_xlfn.XLOOKUP($B92,'Cronog. e Histog.'!$BZ:$BZ,'Cronog. e Histog.'!CM:CM),"")</f>
        <v>0</v>
      </c>
      <c r="S92" s="144">
        <f>IFERROR(_xlfn.XLOOKUP($B92,'Cronog. e Histog.'!$BZ:$BZ,'Cronog. e Histog.'!CN:CN),"")</f>
        <v>0</v>
      </c>
      <c r="T92" s="144">
        <f>IFERROR(_xlfn.XLOOKUP($B92,'Cronog. e Histog.'!$BZ:$BZ,'Cronog. e Histog.'!CO:CO),"")</f>
        <v>0</v>
      </c>
      <c r="U92" s="144">
        <f>IFERROR(_xlfn.XLOOKUP($B92,'Cronog. e Histog.'!$BZ:$BZ,'Cronog. e Histog.'!CP:CP),"")</f>
        <v>0</v>
      </c>
      <c r="V92" s="144">
        <f>IFERROR(_xlfn.XLOOKUP($B92,'Cronog. e Histog.'!$BZ:$BZ,'Cronog. e Histog.'!CQ:CQ),"")</f>
        <v>0</v>
      </c>
      <c r="W92" s="144">
        <f>IFERROR(_xlfn.XLOOKUP($B92,'Cronog. e Histog.'!$BZ:$BZ,'Cronog. e Histog.'!CR:CR),"")</f>
        <v>0</v>
      </c>
      <c r="X92" s="144">
        <f>IFERROR(_xlfn.XLOOKUP($B92,'Cronog. e Histog.'!$BZ:$BZ,'Cronog. e Histog.'!CS:CS),"")</f>
        <v>0</v>
      </c>
      <c r="Y92" s="144">
        <f>IFERROR(_xlfn.XLOOKUP($B92,'Cronog. e Histog.'!$BZ:$BZ,'Cronog. e Histog.'!CT:CT),"")</f>
        <v>0</v>
      </c>
      <c r="Z92" s="144">
        <f>IFERROR(_xlfn.XLOOKUP($B92,'Cronog. e Histog.'!$BZ:$BZ,'Cronog. e Histog.'!CU:CU),"")</f>
        <v>0</v>
      </c>
      <c r="AA92" s="144">
        <f>IFERROR(_xlfn.XLOOKUP($B92,'Cronog. e Histog.'!$BZ:$BZ,'Cronog. e Histog.'!CV:CV),"")</f>
        <v>0</v>
      </c>
      <c r="AB92" s="144">
        <f>IFERROR(_xlfn.XLOOKUP($B92,'Cronog. e Histog.'!$BZ:$BZ,'Cronog. e Histog.'!CW:CW),"")</f>
        <v>0</v>
      </c>
      <c r="AC92" s="144">
        <f>IFERROR(_xlfn.XLOOKUP($B92,'Cronog. e Histog.'!$BZ:$BZ,'Cronog. e Histog.'!CX:CX),"")</f>
        <v>0</v>
      </c>
      <c r="AD92" s="144">
        <f>IFERROR(_xlfn.XLOOKUP($B92,'Cronog. e Histog.'!$BZ:$BZ,'Cronog. e Histog.'!CY:CY),"")</f>
        <v>0</v>
      </c>
      <c r="AE92" s="144">
        <f>IFERROR(_xlfn.XLOOKUP($B92,'Cronog. e Histog.'!$BZ:$BZ,'Cronog. e Histog.'!CZ:CZ),"")</f>
        <v>0</v>
      </c>
      <c r="AF92" s="144">
        <f>IFERROR(_xlfn.XLOOKUP($B92,'Cronog. e Histog.'!$BZ:$BZ,'Cronog. e Histog.'!DA:DA),"")</f>
        <v>0</v>
      </c>
      <c r="AG92" s="144">
        <f>IFERROR(_xlfn.XLOOKUP($B92,'Cronog. e Histog.'!$BZ:$BZ,'Cronog. e Histog.'!DB:DB),"")</f>
        <v>0</v>
      </c>
      <c r="AH92" s="144">
        <f>IFERROR(_xlfn.XLOOKUP($B92,'Cronog. e Histog.'!$BZ:$BZ,'Cronog. e Histog.'!DC:DC),"")</f>
        <v>0</v>
      </c>
      <c r="AI92" s="144">
        <f>IFERROR(_xlfn.XLOOKUP($B92,'Cronog. e Histog.'!$BZ:$BZ,'Cronog. e Histog.'!DD:DD),"")</f>
        <v>0</v>
      </c>
      <c r="AJ92" s="144">
        <f>IFERROR(_xlfn.XLOOKUP($B92,'Cronog. e Histog.'!$BZ:$BZ,'Cronog. e Histog.'!DE:DE),"")</f>
        <v>0</v>
      </c>
      <c r="AK92" s="144">
        <f>IFERROR(_xlfn.XLOOKUP($B92,'Cronog. e Histog.'!$BZ:$BZ,'Cronog. e Histog.'!DF:DF),"")</f>
        <v>0</v>
      </c>
      <c r="AL92" s="144">
        <f>IFERROR(_xlfn.XLOOKUP($B92,'Cronog. e Histog.'!$BZ:$BZ,'Cronog. e Histog.'!DG:DG),"")</f>
        <v>0</v>
      </c>
      <c r="AM92" s="144">
        <f>IFERROR(_xlfn.XLOOKUP($B92,'Cronog. e Histog.'!$BZ:$BZ,'Cronog. e Histog.'!DH:DH),"")</f>
        <v>0</v>
      </c>
      <c r="AN92" s="144">
        <f>IFERROR(_xlfn.XLOOKUP($B92,'Cronog. e Histog.'!$BZ:$BZ,'Cronog. e Histog.'!DI:DI),"")</f>
        <v>0</v>
      </c>
      <c r="AO92" s="144">
        <f>IFERROR(_xlfn.XLOOKUP($B92,'Cronog. e Histog.'!$BZ:$BZ,'Cronog. e Histog.'!DJ:DJ),"")</f>
        <v>0</v>
      </c>
      <c r="AP92" s="144">
        <f>IFERROR(_xlfn.XLOOKUP($B92,'Cronog. e Histog.'!$BZ:$BZ,'Cronog. e Histog.'!DK:DK),"")</f>
        <v>0</v>
      </c>
      <c r="AQ92" s="144">
        <f>IFERROR(_xlfn.XLOOKUP($B92,'Cronog. e Histog.'!$BZ:$BZ,'Cronog. e Histog.'!DL:DL),"")</f>
        <v>0</v>
      </c>
      <c r="AR92" s="144">
        <f>IFERROR(_xlfn.XLOOKUP($B92,'Cronog. e Histog.'!$BZ:$BZ,'Cronog. e Histog.'!DM:DM),"")</f>
        <v>0</v>
      </c>
      <c r="AS92" s="144">
        <f>IFERROR(_xlfn.XLOOKUP($B92,'Cronog. e Histog.'!$BZ:$BZ,'Cronog. e Histog.'!DN:DN),"")</f>
        <v>0</v>
      </c>
      <c r="AT92" s="144">
        <f>IFERROR(_xlfn.XLOOKUP($B92,'Cronog. e Histog.'!$BZ:$BZ,'Cronog. e Histog.'!DO:DO),"")</f>
        <v>0</v>
      </c>
      <c r="AU92" s="144">
        <f>IFERROR(_xlfn.XLOOKUP($B92,'Cronog. e Histog.'!$BZ:$BZ,'Cronog. e Histog.'!DP:DP),"")</f>
        <v>0</v>
      </c>
      <c r="AV92" s="144">
        <f>IFERROR(_xlfn.XLOOKUP($B92,'Cronog. e Histog.'!$BZ:$BZ,'Cronog. e Histog.'!DQ:DQ),"")</f>
        <v>0</v>
      </c>
      <c r="AW92" s="144">
        <f>IFERROR(_xlfn.XLOOKUP($B92,'Cronog. e Histog.'!$BZ:$BZ,'Cronog. e Histog.'!DR:DR),"")</f>
        <v>0</v>
      </c>
      <c r="AX92" s="144">
        <f>IFERROR(_xlfn.XLOOKUP($B92,'Cronog. e Histog.'!$BZ:$BZ,'Cronog. e Histog.'!DS:DS),"")</f>
        <v>0</v>
      </c>
      <c r="AY92" s="144">
        <f>IFERROR(_xlfn.XLOOKUP($B92,'Cronog. e Histog.'!$BZ:$BZ,'Cronog. e Histog.'!DT:DT),"")</f>
        <v>0</v>
      </c>
      <c r="AZ92" s="144">
        <f>IFERROR(_xlfn.XLOOKUP($B92,'Cronog. e Histog.'!$BZ:$BZ,'Cronog. e Histog.'!DU:DU),"")</f>
        <v>0</v>
      </c>
      <c r="BA92" s="144">
        <f>IFERROR(_xlfn.XLOOKUP($B92,'Cronog. e Histog.'!$BZ:$BZ,'Cronog. e Histog.'!DV:DV),"")</f>
        <v>0</v>
      </c>
      <c r="BB92" s="144">
        <f>IFERROR(_xlfn.XLOOKUP($B92,'Cronog. e Histog.'!$BZ:$BZ,'Cronog. e Histog.'!DW:DW),"")</f>
        <v>0</v>
      </c>
      <c r="BC92" s="144">
        <f>IFERROR(_xlfn.XLOOKUP($B92,'Cronog. e Histog.'!$BZ:$BZ,'Cronog. e Histog.'!DX:DX),"")</f>
        <v>0</v>
      </c>
      <c r="BD92" s="144">
        <f>IFERROR(_xlfn.XLOOKUP($B92,'Cronog. e Histog.'!$BZ:$BZ,'Cronog. e Histog.'!DY:DY),"")</f>
        <v>0</v>
      </c>
      <c r="BE92" s="144">
        <f>IFERROR(_xlfn.XLOOKUP($B92,'Cronog. e Histog.'!$BZ:$BZ,'Cronog. e Histog.'!DZ:DZ),"")</f>
        <v>0</v>
      </c>
      <c r="BF92" s="144">
        <f>IFERROR(_xlfn.XLOOKUP($B92,'Cronog. e Histog.'!$BZ:$BZ,'Cronog. e Histog.'!EA:EA),"")</f>
        <v>0</v>
      </c>
      <c r="BG92" s="144">
        <f>IFERROR(_xlfn.XLOOKUP($B92,'Cronog. e Histog.'!$BZ:$BZ,'Cronog. e Histog.'!EB:EB),"")</f>
        <v>0</v>
      </c>
      <c r="BH92" s="144">
        <f>IFERROR(_xlfn.XLOOKUP($B92,'Cronog. e Histog.'!$BZ:$BZ,'Cronog. e Histog.'!EC:EC),"")</f>
        <v>0</v>
      </c>
      <c r="BI92" s="144">
        <f>IFERROR(_xlfn.XLOOKUP($B92,'Cronog. e Histog.'!$BZ:$BZ,'Cronog. e Histog.'!ED:ED),"")</f>
        <v>0</v>
      </c>
      <c r="BJ92" s="144">
        <f>IFERROR(_xlfn.XLOOKUP($B92,'Cronog. e Histog.'!$BZ:$BZ,'Cronog. e Histog.'!EE:EE),"")</f>
        <v>0</v>
      </c>
      <c r="BK92" s="144">
        <f>IFERROR(_xlfn.XLOOKUP($B92,'Cronog. e Histog.'!$BZ:$BZ,'Cronog. e Histog.'!EF:EF),"")</f>
        <v>0</v>
      </c>
      <c r="BL92" s="144">
        <f>IFERROR(_xlfn.XLOOKUP($B92,'Cronog. e Histog.'!$BZ:$BZ,'Cronog. e Histog.'!EG:EG),"")</f>
        <v>0</v>
      </c>
      <c r="BM92" s="144">
        <f>IFERROR(_xlfn.XLOOKUP($B92,'Cronog. e Histog.'!$BZ:$BZ,'Cronog. e Histog.'!EH:EH),"")</f>
        <v>0</v>
      </c>
      <c r="BN92" s="144">
        <f>IFERROR(_xlfn.XLOOKUP($B92,'Cronog. e Histog.'!$BZ:$BZ,'Cronog. e Histog.'!EI:EI),"")</f>
        <v>0</v>
      </c>
    </row>
    <row r="93" spans="2:66" ht="12" hidden="1" customHeight="1" outlineLevel="1">
      <c r="B93" s="76">
        <v>87</v>
      </c>
      <c r="C93" s="143" t="str">
        <f>IFERROR(VLOOKUP(B93,'Cronog. e Histog.'!$BZ$213:$CA$747,2,0),"")</f>
        <v>AN SR. ENG/ARQ</v>
      </c>
      <c r="D93" s="144">
        <f t="shared" si="2"/>
        <v>0</v>
      </c>
      <c r="E93" s="144">
        <f t="shared" si="3"/>
        <v>0</v>
      </c>
      <c r="F93" s="65"/>
      <c r="G93" s="144">
        <f>IFERROR(_xlfn.XLOOKUP($B93,'Cronog. e Histog.'!$BZ:$BZ,'Cronog. e Histog.'!CB:CB),"")</f>
        <v>0</v>
      </c>
      <c r="H93" s="144">
        <f>IFERROR(_xlfn.XLOOKUP($B93,'Cronog. e Histog.'!$BZ:$BZ,'Cronog. e Histog.'!CC:CC),"")</f>
        <v>0</v>
      </c>
      <c r="I93" s="144">
        <f>IFERROR(_xlfn.XLOOKUP($B93,'Cronog. e Histog.'!$BZ:$BZ,'Cronog. e Histog.'!CD:CD),"")</f>
        <v>0</v>
      </c>
      <c r="J93" s="144">
        <f>IFERROR(_xlfn.XLOOKUP($B93,'Cronog. e Histog.'!$BZ:$BZ,'Cronog. e Histog.'!CE:CE),"")</f>
        <v>0</v>
      </c>
      <c r="K93" s="144">
        <f>IFERROR(_xlfn.XLOOKUP($B93,'Cronog. e Histog.'!$BZ:$BZ,'Cronog. e Histog.'!CF:CF),"")</f>
        <v>0</v>
      </c>
      <c r="L93" s="144">
        <f>IFERROR(_xlfn.XLOOKUP($B93,'Cronog. e Histog.'!$BZ:$BZ,'Cronog. e Histog.'!CG:CG),"")</f>
        <v>0</v>
      </c>
      <c r="M93" s="144">
        <f>IFERROR(_xlfn.XLOOKUP($B93,'Cronog. e Histog.'!$BZ:$BZ,'Cronog. e Histog.'!CH:CH),"")</f>
        <v>0</v>
      </c>
      <c r="N93" s="144">
        <f>IFERROR(_xlfn.XLOOKUP($B93,'Cronog. e Histog.'!$BZ:$BZ,'Cronog. e Histog.'!CI:CI),"")</f>
        <v>0</v>
      </c>
      <c r="O93" s="144">
        <f>IFERROR(_xlfn.XLOOKUP($B93,'Cronog. e Histog.'!$BZ:$BZ,'Cronog. e Histog.'!CJ:CJ),"")</f>
        <v>0</v>
      </c>
      <c r="P93" s="144">
        <f>IFERROR(_xlfn.XLOOKUP($B93,'Cronog. e Histog.'!$BZ:$BZ,'Cronog. e Histog.'!CK:CK),"")</f>
        <v>0</v>
      </c>
      <c r="Q93" s="144">
        <f>IFERROR(_xlfn.XLOOKUP($B93,'Cronog. e Histog.'!$BZ:$BZ,'Cronog. e Histog.'!CL:CL),"")</f>
        <v>0</v>
      </c>
      <c r="R93" s="144">
        <f>IFERROR(_xlfn.XLOOKUP($B93,'Cronog. e Histog.'!$BZ:$BZ,'Cronog. e Histog.'!CM:CM),"")</f>
        <v>0</v>
      </c>
      <c r="S93" s="144">
        <f>IFERROR(_xlfn.XLOOKUP($B93,'Cronog. e Histog.'!$BZ:$BZ,'Cronog. e Histog.'!CN:CN),"")</f>
        <v>0</v>
      </c>
      <c r="T93" s="144">
        <f>IFERROR(_xlfn.XLOOKUP($B93,'Cronog. e Histog.'!$BZ:$BZ,'Cronog. e Histog.'!CO:CO),"")</f>
        <v>0</v>
      </c>
      <c r="U93" s="144">
        <f>IFERROR(_xlfn.XLOOKUP($B93,'Cronog. e Histog.'!$BZ:$BZ,'Cronog. e Histog.'!CP:CP),"")</f>
        <v>0</v>
      </c>
      <c r="V93" s="144">
        <f>IFERROR(_xlfn.XLOOKUP($B93,'Cronog. e Histog.'!$BZ:$BZ,'Cronog. e Histog.'!CQ:CQ),"")</f>
        <v>0</v>
      </c>
      <c r="W93" s="144">
        <f>IFERROR(_xlfn.XLOOKUP($B93,'Cronog. e Histog.'!$BZ:$BZ,'Cronog. e Histog.'!CR:CR),"")</f>
        <v>0</v>
      </c>
      <c r="X93" s="144">
        <f>IFERROR(_xlfn.XLOOKUP($B93,'Cronog. e Histog.'!$BZ:$BZ,'Cronog. e Histog.'!CS:CS),"")</f>
        <v>0</v>
      </c>
      <c r="Y93" s="144">
        <f>IFERROR(_xlfn.XLOOKUP($B93,'Cronog. e Histog.'!$BZ:$BZ,'Cronog. e Histog.'!CT:CT),"")</f>
        <v>0</v>
      </c>
      <c r="Z93" s="144">
        <f>IFERROR(_xlfn.XLOOKUP($B93,'Cronog. e Histog.'!$BZ:$BZ,'Cronog. e Histog.'!CU:CU),"")</f>
        <v>0</v>
      </c>
      <c r="AA93" s="144">
        <f>IFERROR(_xlfn.XLOOKUP($B93,'Cronog. e Histog.'!$BZ:$BZ,'Cronog. e Histog.'!CV:CV),"")</f>
        <v>0</v>
      </c>
      <c r="AB93" s="144">
        <f>IFERROR(_xlfn.XLOOKUP($B93,'Cronog. e Histog.'!$BZ:$BZ,'Cronog. e Histog.'!CW:CW),"")</f>
        <v>0</v>
      </c>
      <c r="AC93" s="144">
        <f>IFERROR(_xlfn.XLOOKUP($B93,'Cronog. e Histog.'!$BZ:$BZ,'Cronog. e Histog.'!CX:CX),"")</f>
        <v>0</v>
      </c>
      <c r="AD93" s="144">
        <f>IFERROR(_xlfn.XLOOKUP($B93,'Cronog. e Histog.'!$BZ:$BZ,'Cronog. e Histog.'!CY:CY),"")</f>
        <v>0</v>
      </c>
      <c r="AE93" s="144">
        <f>IFERROR(_xlfn.XLOOKUP($B93,'Cronog. e Histog.'!$BZ:$BZ,'Cronog. e Histog.'!CZ:CZ),"")</f>
        <v>0</v>
      </c>
      <c r="AF93" s="144">
        <f>IFERROR(_xlfn.XLOOKUP($B93,'Cronog. e Histog.'!$BZ:$BZ,'Cronog. e Histog.'!DA:DA),"")</f>
        <v>0</v>
      </c>
      <c r="AG93" s="144">
        <f>IFERROR(_xlfn.XLOOKUP($B93,'Cronog. e Histog.'!$BZ:$BZ,'Cronog. e Histog.'!DB:DB),"")</f>
        <v>0</v>
      </c>
      <c r="AH93" s="144">
        <f>IFERROR(_xlfn.XLOOKUP($B93,'Cronog. e Histog.'!$BZ:$BZ,'Cronog. e Histog.'!DC:DC),"")</f>
        <v>0</v>
      </c>
      <c r="AI93" s="144">
        <f>IFERROR(_xlfn.XLOOKUP($B93,'Cronog. e Histog.'!$BZ:$BZ,'Cronog. e Histog.'!DD:DD),"")</f>
        <v>0</v>
      </c>
      <c r="AJ93" s="144">
        <f>IFERROR(_xlfn.XLOOKUP($B93,'Cronog. e Histog.'!$BZ:$BZ,'Cronog. e Histog.'!DE:DE),"")</f>
        <v>0</v>
      </c>
      <c r="AK93" s="144">
        <f>IFERROR(_xlfn.XLOOKUP($B93,'Cronog. e Histog.'!$BZ:$BZ,'Cronog. e Histog.'!DF:DF),"")</f>
        <v>0</v>
      </c>
      <c r="AL93" s="144">
        <f>IFERROR(_xlfn.XLOOKUP($B93,'Cronog. e Histog.'!$BZ:$BZ,'Cronog. e Histog.'!DG:DG),"")</f>
        <v>0</v>
      </c>
      <c r="AM93" s="144">
        <f>IFERROR(_xlfn.XLOOKUP($B93,'Cronog. e Histog.'!$BZ:$BZ,'Cronog. e Histog.'!DH:DH),"")</f>
        <v>0</v>
      </c>
      <c r="AN93" s="144">
        <f>IFERROR(_xlfn.XLOOKUP($B93,'Cronog. e Histog.'!$BZ:$BZ,'Cronog. e Histog.'!DI:DI),"")</f>
        <v>0</v>
      </c>
      <c r="AO93" s="144">
        <f>IFERROR(_xlfn.XLOOKUP($B93,'Cronog. e Histog.'!$BZ:$BZ,'Cronog. e Histog.'!DJ:DJ),"")</f>
        <v>0</v>
      </c>
      <c r="AP93" s="144">
        <f>IFERROR(_xlfn.XLOOKUP($B93,'Cronog. e Histog.'!$BZ:$BZ,'Cronog. e Histog.'!DK:DK),"")</f>
        <v>0</v>
      </c>
      <c r="AQ93" s="144">
        <f>IFERROR(_xlfn.XLOOKUP($B93,'Cronog. e Histog.'!$BZ:$BZ,'Cronog. e Histog.'!DL:DL),"")</f>
        <v>0</v>
      </c>
      <c r="AR93" s="144">
        <f>IFERROR(_xlfn.XLOOKUP($B93,'Cronog. e Histog.'!$BZ:$BZ,'Cronog. e Histog.'!DM:DM),"")</f>
        <v>0</v>
      </c>
      <c r="AS93" s="144">
        <f>IFERROR(_xlfn.XLOOKUP($B93,'Cronog. e Histog.'!$BZ:$BZ,'Cronog. e Histog.'!DN:DN),"")</f>
        <v>0</v>
      </c>
      <c r="AT93" s="144">
        <f>IFERROR(_xlfn.XLOOKUP($B93,'Cronog. e Histog.'!$BZ:$BZ,'Cronog. e Histog.'!DO:DO),"")</f>
        <v>0</v>
      </c>
      <c r="AU93" s="144">
        <f>IFERROR(_xlfn.XLOOKUP($B93,'Cronog. e Histog.'!$BZ:$BZ,'Cronog. e Histog.'!DP:DP),"")</f>
        <v>0</v>
      </c>
      <c r="AV93" s="144">
        <f>IFERROR(_xlfn.XLOOKUP($B93,'Cronog. e Histog.'!$BZ:$BZ,'Cronog. e Histog.'!DQ:DQ),"")</f>
        <v>0</v>
      </c>
      <c r="AW93" s="144">
        <f>IFERROR(_xlfn.XLOOKUP($B93,'Cronog. e Histog.'!$BZ:$BZ,'Cronog. e Histog.'!DR:DR),"")</f>
        <v>0</v>
      </c>
      <c r="AX93" s="144">
        <f>IFERROR(_xlfn.XLOOKUP($B93,'Cronog. e Histog.'!$BZ:$BZ,'Cronog. e Histog.'!DS:DS),"")</f>
        <v>0</v>
      </c>
      <c r="AY93" s="144">
        <f>IFERROR(_xlfn.XLOOKUP($B93,'Cronog. e Histog.'!$BZ:$BZ,'Cronog. e Histog.'!DT:DT),"")</f>
        <v>0</v>
      </c>
      <c r="AZ93" s="144">
        <f>IFERROR(_xlfn.XLOOKUP($B93,'Cronog. e Histog.'!$BZ:$BZ,'Cronog. e Histog.'!DU:DU),"")</f>
        <v>0</v>
      </c>
      <c r="BA93" s="144">
        <f>IFERROR(_xlfn.XLOOKUP($B93,'Cronog. e Histog.'!$BZ:$BZ,'Cronog. e Histog.'!DV:DV),"")</f>
        <v>0</v>
      </c>
      <c r="BB93" s="144">
        <f>IFERROR(_xlfn.XLOOKUP($B93,'Cronog. e Histog.'!$BZ:$BZ,'Cronog. e Histog.'!DW:DW),"")</f>
        <v>0</v>
      </c>
      <c r="BC93" s="144">
        <f>IFERROR(_xlfn.XLOOKUP($B93,'Cronog. e Histog.'!$BZ:$BZ,'Cronog. e Histog.'!DX:DX),"")</f>
        <v>0</v>
      </c>
      <c r="BD93" s="144">
        <f>IFERROR(_xlfn.XLOOKUP($B93,'Cronog. e Histog.'!$BZ:$BZ,'Cronog. e Histog.'!DY:DY),"")</f>
        <v>0</v>
      </c>
      <c r="BE93" s="144">
        <f>IFERROR(_xlfn.XLOOKUP($B93,'Cronog. e Histog.'!$BZ:$BZ,'Cronog. e Histog.'!DZ:DZ),"")</f>
        <v>0</v>
      </c>
      <c r="BF93" s="144">
        <f>IFERROR(_xlfn.XLOOKUP($B93,'Cronog. e Histog.'!$BZ:$BZ,'Cronog. e Histog.'!EA:EA),"")</f>
        <v>0</v>
      </c>
      <c r="BG93" s="144">
        <f>IFERROR(_xlfn.XLOOKUP($B93,'Cronog. e Histog.'!$BZ:$BZ,'Cronog. e Histog.'!EB:EB),"")</f>
        <v>0</v>
      </c>
      <c r="BH93" s="144">
        <f>IFERROR(_xlfn.XLOOKUP($B93,'Cronog. e Histog.'!$BZ:$BZ,'Cronog. e Histog.'!EC:EC),"")</f>
        <v>0</v>
      </c>
      <c r="BI93" s="144">
        <f>IFERROR(_xlfn.XLOOKUP($B93,'Cronog. e Histog.'!$BZ:$BZ,'Cronog. e Histog.'!ED:ED),"")</f>
        <v>0</v>
      </c>
      <c r="BJ93" s="144">
        <f>IFERROR(_xlfn.XLOOKUP($B93,'Cronog. e Histog.'!$BZ:$BZ,'Cronog. e Histog.'!EE:EE),"")</f>
        <v>0</v>
      </c>
      <c r="BK93" s="144">
        <f>IFERROR(_xlfn.XLOOKUP($B93,'Cronog. e Histog.'!$BZ:$BZ,'Cronog. e Histog.'!EF:EF),"")</f>
        <v>0</v>
      </c>
      <c r="BL93" s="144">
        <f>IFERROR(_xlfn.XLOOKUP($B93,'Cronog. e Histog.'!$BZ:$BZ,'Cronog. e Histog.'!EG:EG),"")</f>
        <v>0</v>
      </c>
      <c r="BM93" s="144">
        <f>IFERROR(_xlfn.XLOOKUP($B93,'Cronog. e Histog.'!$BZ:$BZ,'Cronog. e Histog.'!EH:EH),"")</f>
        <v>0</v>
      </c>
      <c r="BN93" s="144">
        <f>IFERROR(_xlfn.XLOOKUP($B93,'Cronog. e Histog.'!$BZ:$BZ,'Cronog. e Histog.'!EI:EI),"")</f>
        <v>0</v>
      </c>
    </row>
    <row r="94" spans="2:66" ht="12" hidden="1" customHeight="1" outlineLevel="1">
      <c r="B94" s="76">
        <v>88</v>
      </c>
      <c r="C94" s="143" t="str">
        <f>IFERROR(VLOOKUP(B94,'Cronog. e Histog.'!$BZ$213:$CA$747,2,0),"")</f>
        <v>AN PL. ENG/ARQ</v>
      </c>
      <c r="D94" s="144">
        <f t="shared" si="2"/>
        <v>0</v>
      </c>
      <c r="E94" s="144">
        <f t="shared" si="3"/>
        <v>0</v>
      </c>
      <c r="F94" s="65"/>
      <c r="G94" s="144">
        <f>IFERROR(_xlfn.XLOOKUP($B94,'Cronog. e Histog.'!$BZ:$BZ,'Cronog. e Histog.'!CB:CB),"")</f>
        <v>0</v>
      </c>
      <c r="H94" s="144">
        <f>IFERROR(_xlfn.XLOOKUP($B94,'Cronog. e Histog.'!$BZ:$BZ,'Cronog. e Histog.'!CC:CC),"")</f>
        <v>0</v>
      </c>
      <c r="I94" s="144">
        <f>IFERROR(_xlfn.XLOOKUP($B94,'Cronog. e Histog.'!$BZ:$BZ,'Cronog. e Histog.'!CD:CD),"")</f>
        <v>0</v>
      </c>
      <c r="J94" s="144">
        <f>IFERROR(_xlfn.XLOOKUP($B94,'Cronog. e Histog.'!$BZ:$BZ,'Cronog. e Histog.'!CE:CE),"")</f>
        <v>0</v>
      </c>
      <c r="K94" s="144">
        <f>IFERROR(_xlfn.XLOOKUP($B94,'Cronog. e Histog.'!$BZ:$BZ,'Cronog. e Histog.'!CF:CF),"")</f>
        <v>0</v>
      </c>
      <c r="L94" s="144">
        <f>IFERROR(_xlfn.XLOOKUP($B94,'Cronog. e Histog.'!$BZ:$BZ,'Cronog. e Histog.'!CG:CG),"")</f>
        <v>0</v>
      </c>
      <c r="M94" s="144">
        <f>IFERROR(_xlfn.XLOOKUP($B94,'Cronog. e Histog.'!$BZ:$BZ,'Cronog. e Histog.'!CH:CH),"")</f>
        <v>0</v>
      </c>
      <c r="N94" s="144">
        <f>IFERROR(_xlfn.XLOOKUP($B94,'Cronog. e Histog.'!$BZ:$BZ,'Cronog. e Histog.'!CI:CI),"")</f>
        <v>0</v>
      </c>
      <c r="O94" s="144">
        <f>IFERROR(_xlfn.XLOOKUP($B94,'Cronog. e Histog.'!$BZ:$BZ,'Cronog. e Histog.'!CJ:CJ),"")</f>
        <v>0</v>
      </c>
      <c r="P94" s="144">
        <f>IFERROR(_xlfn.XLOOKUP($B94,'Cronog. e Histog.'!$BZ:$BZ,'Cronog. e Histog.'!CK:CK),"")</f>
        <v>0</v>
      </c>
      <c r="Q94" s="144">
        <f>IFERROR(_xlfn.XLOOKUP($B94,'Cronog. e Histog.'!$BZ:$BZ,'Cronog. e Histog.'!CL:CL),"")</f>
        <v>0</v>
      </c>
      <c r="R94" s="144">
        <f>IFERROR(_xlfn.XLOOKUP($B94,'Cronog. e Histog.'!$BZ:$BZ,'Cronog. e Histog.'!CM:CM),"")</f>
        <v>0</v>
      </c>
      <c r="S94" s="144">
        <f>IFERROR(_xlfn.XLOOKUP($B94,'Cronog. e Histog.'!$BZ:$BZ,'Cronog. e Histog.'!CN:CN),"")</f>
        <v>0</v>
      </c>
      <c r="T94" s="144">
        <f>IFERROR(_xlfn.XLOOKUP($B94,'Cronog. e Histog.'!$BZ:$BZ,'Cronog. e Histog.'!CO:CO),"")</f>
        <v>0</v>
      </c>
      <c r="U94" s="144">
        <f>IFERROR(_xlfn.XLOOKUP($B94,'Cronog. e Histog.'!$BZ:$BZ,'Cronog. e Histog.'!CP:CP),"")</f>
        <v>0</v>
      </c>
      <c r="V94" s="144">
        <f>IFERROR(_xlfn.XLOOKUP($B94,'Cronog. e Histog.'!$BZ:$BZ,'Cronog. e Histog.'!CQ:CQ),"")</f>
        <v>0</v>
      </c>
      <c r="W94" s="144">
        <f>IFERROR(_xlfn.XLOOKUP($B94,'Cronog. e Histog.'!$BZ:$BZ,'Cronog. e Histog.'!CR:CR),"")</f>
        <v>0</v>
      </c>
      <c r="X94" s="144">
        <f>IFERROR(_xlfn.XLOOKUP($B94,'Cronog. e Histog.'!$BZ:$BZ,'Cronog. e Histog.'!CS:CS),"")</f>
        <v>0</v>
      </c>
      <c r="Y94" s="144">
        <f>IFERROR(_xlfn.XLOOKUP($B94,'Cronog. e Histog.'!$BZ:$BZ,'Cronog. e Histog.'!CT:CT),"")</f>
        <v>0</v>
      </c>
      <c r="Z94" s="144">
        <f>IFERROR(_xlfn.XLOOKUP($B94,'Cronog. e Histog.'!$BZ:$BZ,'Cronog. e Histog.'!CU:CU),"")</f>
        <v>0</v>
      </c>
      <c r="AA94" s="144">
        <f>IFERROR(_xlfn.XLOOKUP($B94,'Cronog. e Histog.'!$BZ:$BZ,'Cronog. e Histog.'!CV:CV),"")</f>
        <v>0</v>
      </c>
      <c r="AB94" s="144">
        <f>IFERROR(_xlfn.XLOOKUP($B94,'Cronog. e Histog.'!$BZ:$BZ,'Cronog. e Histog.'!CW:CW),"")</f>
        <v>0</v>
      </c>
      <c r="AC94" s="144">
        <f>IFERROR(_xlfn.XLOOKUP($B94,'Cronog. e Histog.'!$BZ:$BZ,'Cronog. e Histog.'!CX:CX),"")</f>
        <v>0</v>
      </c>
      <c r="AD94" s="144">
        <f>IFERROR(_xlfn.XLOOKUP($B94,'Cronog. e Histog.'!$BZ:$BZ,'Cronog. e Histog.'!CY:CY),"")</f>
        <v>0</v>
      </c>
      <c r="AE94" s="144">
        <f>IFERROR(_xlfn.XLOOKUP($B94,'Cronog. e Histog.'!$BZ:$BZ,'Cronog. e Histog.'!CZ:CZ),"")</f>
        <v>0</v>
      </c>
      <c r="AF94" s="144">
        <f>IFERROR(_xlfn.XLOOKUP($B94,'Cronog. e Histog.'!$BZ:$BZ,'Cronog. e Histog.'!DA:DA),"")</f>
        <v>0</v>
      </c>
      <c r="AG94" s="144">
        <f>IFERROR(_xlfn.XLOOKUP($B94,'Cronog. e Histog.'!$BZ:$BZ,'Cronog. e Histog.'!DB:DB),"")</f>
        <v>0</v>
      </c>
      <c r="AH94" s="144">
        <f>IFERROR(_xlfn.XLOOKUP($B94,'Cronog. e Histog.'!$BZ:$BZ,'Cronog. e Histog.'!DC:DC),"")</f>
        <v>0</v>
      </c>
      <c r="AI94" s="144">
        <f>IFERROR(_xlfn.XLOOKUP($B94,'Cronog. e Histog.'!$BZ:$BZ,'Cronog. e Histog.'!DD:DD),"")</f>
        <v>0</v>
      </c>
      <c r="AJ94" s="144">
        <f>IFERROR(_xlfn.XLOOKUP($B94,'Cronog. e Histog.'!$BZ:$BZ,'Cronog. e Histog.'!DE:DE),"")</f>
        <v>0</v>
      </c>
      <c r="AK94" s="144">
        <f>IFERROR(_xlfn.XLOOKUP($B94,'Cronog. e Histog.'!$BZ:$BZ,'Cronog. e Histog.'!DF:DF),"")</f>
        <v>0</v>
      </c>
      <c r="AL94" s="144">
        <f>IFERROR(_xlfn.XLOOKUP($B94,'Cronog. e Histog.'!$BZ:$BZ,'Cronog. e Histog.'!DG:DG),"")</f>
        <v>0</v>
      </c>
      <c r="AM94" s="144">
        <f>IFERROR(_xlfn.XLOOKUP($B94,'Cronog. e Histog.'!$BZ:$BZ,'Cronog. e Histog.'!DH:DH),"")</f>
        <v>0</v>
      </c>
      <c r="AN94" s="144">
        <f>IFERROR(_xlfn.XLOOKUP($B94,'Cronog. e Histog.'!$BZ:$BZ,'Cronog. e Histog.'!DI:DI),"")</f>
        <v>0</v>
      </c>
      <c r="AO94" s="144">
        <f>IFERROR(_xlfn.XLOOKUP($B94,'Cronog. e Histog.'!$BZ:$BZ,'Cronog. e Histog.'!DJ:DJ),"")</f>
        <v>0</v>
      </c>
      <c r="AP94" s="144">
        <f>IFERROR(_xlfn.XLOOKUP($B94,'Cronog. e Histog.'!$BZ:$BZ,'Cronog. e Histog.'!DK:DK),"")</f>
        <v>0</v>
      </c>
      <c r="AQ94" s="144">
        <f>IFERROR(_xlfn.XLOOKUP($B94,'Cronog. e Histog.'!$BZ:$BZ,'Cronog. e Histog.'!DL:DL),"")</f>
        <v>0</v>
      </c>
      <c r="AR94" s="144">
        <f>IFERROR(_xlfn.XLOOKUP($B94,'Cronog. e Histog.'!$BZ:$BZ,'Cronog. e Histog.'!DM:DM),"")</f>
        <v>0</v>
      </c>
      <c r="AS94" s="144">
        <f>IFERROR(_xlfn.XLOOKUP($B94,'Cronog. e Histog.'!$BZ:$BZ,'Cronog. e Histog.'!DN:DN),"")</f>
        <v>0</v>
      </c>
      <c r="AT94" s="144">
        <f>IFERROR(_xlfn.XLOOKUP($B94,'Cronog. e Histog.'!$BZ:$BZ,'Cronog. e Histog.'!DO:DO),"")</f>
        <v>0</v>
      </c>
      <c r="AU94" s="144">
        <f>IFERROR(_xlfn.XLOOKUP($B94,'Cronog. e Histog.'!$BZ:$BZ,'Cronog. e Histog.'!DP:DP),"")</f>
        <v>0</v>
      </c>
      <c r="AV94" s="144">
        <f>IFERROR(_xlfn.XLOOKUP($B94,'Cronog. e Histog.'!$BZ:$BZ,'Cronog. e Histog.'!DQ:DQ),"")</f>
        <v>0</v>
      </c>
      <c r="AW94" s="144">
        <f>IFERROR(_xlfn.XLOOKUP($B94,'Cronog. e Histog.'!$BZ:$BZ,'Cronog. e Histog.'!DR:DR),"")</f>
        <v>0</v>
      </c>
      <c r="AX94" s="144">
        <f>IFERROR(_xlfn.XLOOKUP($B94,'Cronog. e Histog.'!$BZ:$BZ,'Cronog. e Histog.'!DS:DS),"")</f>
        <v>0</v>
      </c>
      <c r="AY94" s="144">
        <f>IFERROR(_xlfn.XLOOKUP($B94,'Cronog. e Histog.'!$BZ:$BZ,'Cronog. e Histog.'!DT:DT),"")</f>
        <v>0</v>
      </c>
      <c r="AZ94" s="144">
        <f>IFERROR(_xlfn.XLOOKUP($B94,'Cronog. e Histog.'!$BZ:$BZ,'Cronog. e Histog.'!DU:DU),"")</f>
        <v>0</v>
      </c>
      <c r="BA94" s="144">
        <f>IFERROR(_xlfn.XLOOKUP($B94,'Cronog. e Histog.'!$BZ:$BZ,'Cronog. e Histog.'!DV:DV),"")</f>
        <v>0</v>
      </c>
      <c r="BB94" s="144">
        <f>IFERROR(_xlfn.XLOOKUP($B94,'Cronog. e Histog.'!$BZ:$BZ,'Cronog. e Histog.'!DW:DW),"")</f>
        <v>0</v>
      </c>
      <c r="BC94" s="144">
        <f>IFERROR(_xlfn.XLOOKUP($B94,'Cronog. e Histog.'!$BZ:$BZ,'Cronog. e Histog.'!DX:DX),"")</f>
        <v>0</v>
      </c>
      <c r="BD94" s="144">
        <f>IFERROR(_xlfn.XLOOKUP($B94,'Cronog. e Histog.'!$BZ:$BZ,'Cronog. e Histog.'!DY:DY),"")</f>
        <v>0</v>
      </c>
      <c r="BE94" s="144">
        <f>IFERROR(_xlfn.XLOOKUP($B94,'Cronog. e Histog.'!$BZ:$BZ,'Cronog. e Histog.'!DZ:DZ),"")</f>
        <v>0</v>
      </c>
      <c r="BF94" s="144">
        <f>IFERROR(_xlfn.XLOOKUP($B94,'Cronog. e Histog.'!$BZ:$BZ,'Cronog. e Histog.'!EA:EA),"")</f>
        <v>0</v>
      </c>
      <c r="BG94" s="144">
        <f>IFERROR(_xlfn.XLOOKUP($B94,'Cronog. e Histog.'!$BZ:$BZ,'Cronog. e Histog.'!EB:EB),"")</f>
        <v>0</v>
      </c>
      <c r="BH94" s="144">
        <f>IFERROR(_xlfn.XLOOKUP($B94,'Cronog. e Histog.'!$BZ:$BZ,'Cronog. e Histog.'!EC:EC),"")</f>
        <v>0</v>
      </c>
      <c r="BI94" s="144">
        <f>IFERROR(_xlfn.XLOOKUP($B94,'Cronog. e Histog.'!$BZ:$BZ,'Cronog. e Histog.'!ED:ED),"")</f>
        <v>0</v>
      </c>
      <c r="BJ94" s="144">
        <f>IFERROR(_xlfn.XLOOKUP($B94,'Cronog. e Histog.'!$BZ:$BZ,'Cronog. e Histog.'!EE:EE),"")</f>
        <v>0</v>
      </c>
      <c r="BK94" s="144">
        <f>IFERROR(_xlfn.XLOOKUP($B94,'Cronog. e Histog.'!$BZ:$BZ,'Cronog. e Histog.'!EF:EF),"")</f>
        <v>0</v>
      </c>
      <c r="BL94" s="144">
        <f>IFERROR(_xlfn.XLOOKUP($B94,'Cronog. e Histog.'!$BZ:$BZ,'Cronog. e Histog.'!EG:EG),"")</f>
        <v>0</v>
      </c>
      <c r="BM94" s="144">
        <f>IFERROR(_xlfn.XLOOKUP($B94,'Cronog. e Histog.'!$BZ:$BZ,'Cronog. e Histog.'!EH:EH),"")</f>
        <v>0</v>
      </c>
      <c r="BN94" s="144">
        <f>IFERROR(_xlfn.XLOOKUP($B94,'Cronog. e Histog.'!$BZ:$BZ,'Cronog. e Histog.'!EI:EI),"")</f>
        <v>0</v>
      </c>
    </row>
    <row r="95" spans="2:66" ht="12" hidden="1" customHeight="1" outlineLevel="1">
      <c r="B95" s="76">
        <v>89</v>
      </c>
      <c r="C95" s="143" t="str">
        <f>IFERROR(VLOOKUP(B95,'Cronog. e Histog.'!$BZ$213:$CA$747,2,0),"")</f>
        <v>AN JR. ENG/ARQ</v>
      </c>
      <c r="D95" s="144">
        <f t="shared" si="2"/>
        <v>0</v>
      </c>
      <c r="E95" s="144">
        <f t="shared" si="3"/>
        <v>0</v>
      </c>
      <c r="F95" s="65"/>
      <c r="G95" s="144">
        <f>IFERROR(_xlfn.XLOOKUP($B95,'Cronog. e Histog.'!$BZ:$BZ,'Cronog. e Histog.'!CB:CB),"")</f>
        <v>0</v>
      </c>
      <c r="H95" s="144">
        <f>IFERROR(_xlfn.XLOOKUP($B95,'Cronog. e Histog.'!$BZ:$BZ,'Cronog. e Histog.'!CC:CC),"")</f>
        <v>0</v>
      </c>
      <c r="I95" s="144">
        <f>IFERROR(_xlfn.XLOOKUP($B95,'Cronog. e Histog.'!$BZ:$BZ,'Cronog. e Histog.'!CD:CD),"")</f>
        <v>0</v>
      </c>
      <c r="J95" s="144">
        <f>IFERROR(_xlfn.XLOOKUP($B95,'Cronog. e Histog.'!$BZ:$BZ,'Cronog. e Histog.'!CE:CE),"")</f>
        <v>0</v>
      </c>
      <c r="K95" s="144">
        <f>IFERROR(_xlfn.XLOOKUP($B95,'Cronog. e Histog.'!$BZ:$BZ,'Cronog. e Histog.'!CF:CF),"")</f>
        <v>0</v>
      </c>
      <c r="L95" s="144">
        <f>IFERROR(_xlfn.XLOOKUP($B95,'Cronog. e Histog.'!$BZ:$BZ,'Cronog. e Histog.'!CG:CG),"")</f>
        <v>0</v>
      </c>
      <c r="M95" s="144">
        <f>IFERROR(_xlfn.XLOOKUP($B95,'Cronog. e Histog.'!$BZ:$BZ,'Cronog. e Histog.'!CH:CH),"")</f>
        <v>0</v>
      </c>
      <c r="N95" s="144">
        <f>IFERROR(_xlfn.XLOOKUP($B95,'Cronog. e Histog.'!$BZ:$BZ,'Cronog. e Histog.'!CI:CI),"")</f>
        <v>0</v>
      </c>
      <c r="O95" s="144">
        <f>IFERROR(_xlfn.XLOOKUP($B95,'Cronog. e Histog.'!$BZ:$BZ,'Cronog. e Histog.'!CJ:CJ),"")</f>
        <v>0</v>
      </c>
      <c r="P95" s="144">
        <f>IFERROR(_xlfn.XLOOKUP($B95,'Cronog. e Histog.'!$BZ:$BZ,'Cronog. e Histog.'!CK:CK),"")</f>
        <v>0</v>
      </c>
      <c r="Q95" s="144">
        <f>IFERROR(_xlfn.XLOOKUP($B95,'Cronog. e Histog.'!$BZ:$BZ,'Cronog. e Histog.'!CL:CL),"")</f>
        <v>0</v>
      </c>
      <c r="R95" s="144">
        <f>IFERROR(_xlfn.XLOOKUP($B95,'Cronog. e Histog.'!$BZ:$BZ,'Cronog. e Histog.'!CM:CM),"")</f>
        <v>0</v>
      </c>
      <c r="S95" s="144">
        <f>IFERROR(_xlfn.XLOOKUP($B95,'Cronog. e Histog.'!$BZ:$BZ,'Cronog. e Histog.'!CN:CN),"")</f>
        <v>0</v>
      </c>
      <c r="T95" s="144">
        <f>IFERROR(_xlfn.XLOOKUP($B95,'Cronog. e Histog.'!$BZ:$BZ,'Cronog. e Histog.'!CO:CO),"")</f>
        <v>0</v>
      </c>
      <c r="U95" s="144">
        <f>IFERROR(_xlfn.XLOOKUP($B95,'Cronog. e Histog.'!$BZ:$BZ,'Cronog. e Histog.'!CP:CP),"")</f>
        <v>0</v>
      </c>
      <c r="V95" s="144">
        <f>IFERROR(_xlfn.XLOOKUP($B95,'Cronog. e Histog.'!$BZ:$BZ,'Cronog. e Histog.'!CQ:CQ),"")</f>
        <v>0</v>
      </c>
      <c r="W95" s="144">
        <f>IFERROR(_xlfn.XLOOKUP($B95,'Cronog. e Histog.'!$BZ:$BZ,'Cronog. e Histog.'!CR:CR),"")</f>
        <v>0</v>
      </c>
      <c r="X95" s="144">
        <f>IFERROR(_xlfn.XLOOKUP($B95,'Cronog. e Histog.'!$BZ:$BZ,'Cronog. e Histog.'!CS:CS),"")</f>
        <v>0</v>
      </c>
      <c r="Y95" s="144">
        <f>IFERROR(_xlfn.XLOOKUP($B95,'Cronog. e Histog.'!$BZ:$BZ,'Cronog. e Histog.'!CT:CT),"")</f>
        <v>0</v>
      </c>
      <c r="Z95" s="144">
        <f>IFERROR(_xlfn.XLOOKUP($B95,'Cronog. e Histog.'!$BZ:$BZ,'Cronog. e Histog.'!CU:CU),"")</f>
        <v>0</v>
      </c>
      <c r="AA95" s="144">
        <f>IFERROR(_xlfn.XLOOKUP($B95,'Cronog. e Histog.'!$BZ:$BZ,'Cronog. e Histog.'!CV:CV),"")</f>
        <v>0</v>
      </c>
      <c r="AB95" s="144">
        <f>IFERROR(_xlfn.XLOOKUP($B95,'Cronog. e Histog.'!$BZ:$BZ,'Cronog. e Histog.'!CW:CW),"")</f>
        <v>0</v>
      </c>
      <c r="AC95" s="144">
        <f>IFERROR(_xlfn.XLOOKUP($B95,'Cronog. e Histog.'!$BZ:$BZ,'Cronog. e Histog.'!CX:CX),"")</f>
        <v>0</v>
      </c>
      <c r="AD95" s="144">
        <f>IFERROR(_xlfn.XLOOKUP($B95,'Cronog. e Histog.'!$BZ:$BZ,'Cronog. e Histog.'!CY:CY),"")</f>
        <v>0</v>
      </c>
      <c r="AE95" s="144">
        <f>IFERROR(_xlfn.XLOOKUP($B95,'Cronog. e Histog.'!$BZ:$BZ,'Cronog. e Histog.'!CZ:CZ),"")</f>
        <v>0</v>
      </c>
      <c r="AF95" s="144">
        <f>IFERROR(_xlfn.XLOOKUP($B95,'Cronog. e Histog.'!$BZ:$BZ,'Cronog. e Histog.'!DA:DA),"")</f>
        <v>0</v>
      </c>
      <c r="AG95" s="144">
        <f>IFERROR(_xlfn.XLOOKUP($B95,'Cronog. e Histog.'!$BZ:$BZ,'Cronog. e Histog.'!DB:DB),"")</f>
        <v>0</v>
      </c>
      <c r="AH95" s="144">
        <f>IFERROR(_xlfn.XLOOKUP($B95,'Cronog. e Histog.'!$BZ:$BZ,'Cronog. e Histog.'!DC:DC),"")</f>
        <v>0</v>
      </c>
      <c r="AI95" s="144">
        <f>IFERROR(_xlfn.XLOOKUP($B95,'Cronog. e Histog.'!$BZ:$BZ,'Cronog. e Histog.'!DD:DD),"")</f>
        <v>0</v>
      </c>
      <c r="AJ95" s="144">
        <f>IFERROR(_xlfn.XLOOKUP($B95,'Cronog. e Histog.'!$BZ:$BZ,'Cronog. e Histog.'!DE:DE),"")</f>
        <v>0</v>
      </c>
      <c r="AK95" s="144">
        <f>IFERROR(_xlfn.XLOOKUP($B95,'Cronog. e Histog.'!$BZ:$BZ,'Cronog. e Histog.'!DF:DF),"")</f>
        <v>0</v>
      </c>
      <c r="AL95" s="144">
        <f>IFERROR(_xlfn.XLOOKUP($B95,'Cronog. e Histog.'!$BZ:$BZ,'Cronog. e Histog.'!DG:DG),"")</f>
        <v>0</v>
      </c>
      <c r="AM95" s="144">
        <f>IFERROR(_xlfn.XLOOKUP($B95,'Cronog. e Histog.'!$BZ:$BZ,'Cronog. e Histog.'!DH:DH),"")</f>
        <v>0</v>
      </c>
      <c r="AN95" s="144">
        <f>IFERROR(_xlfn.XLOOKUP($B95,'Cronog. e Histog.'!$BZ:$BZ,'Cronog. e Histog.'!DI:DI),"")</f>
        <v>0</v>
      </c>
      <c r="AO95" s="144">
        <f>IFERROR(_xlfn.XLOOKUP($B95,'Cronog. e Histog.'!$BZ:$BZ,'Cronog. e Histog.'!DJ:DJ),"")</f>
        <v>0</v>
      </c>
      <c r="AP95" s="144">
        <f>IFERROR(_xlfn.XLOOKUP($B95,'Cronog. e Histog.'!$BZ:$BZ,'Cronog. e Histog.'!DK:DK),"")</f>
        <v>0</v>
      </c>
      <c r="AQ95" s="144">
        <f>IFERROR(_xlfn.XLOOKUP($B95,'Cronog. e Histog.'!$BZ:$BZ,'Cronog. e Histog.'!DL:DL),"")</f>
        <v>0</v>
      </c>
      <c r="AR95" s="144">
        <f>IFERROR(_xlfn.XLOOKUP($B95,'Cronog. e Histog.'!$BZ:$BZ,'Cronog. e Histog.'!DM:DM),"")</f>
        <v>0</v>
      </c>
      <c r="AS95" s="144">
        <f>IFERROR(_xlfn.XLOOKUP($B95,'Cronog. e Histog.'!$BZ:$BZ,'Cronog. e Histog.'!DN:DN),"")</f>
        <v>0</v>
      </c>
      <c r="AT95" s="144">
        <f>IFERROR(_xlfn.XLOOKUP($B95,'Cronog. e Histog.'!$BZ:$BZ,'Cronog. e Histog.'!DO:DO),"")</f>
        <v>0</v>
      </c>
      <c r="AU95" s="144">
        <f>IFERROR(_xlfn.XLOOKUP($B95,'Cronog. e Histog.'!$BZ:$BZ,'Cronog. e Histog.'!DP:DP),"")</f>
        <v>0</v>
      </c>
      <c r="AV95" s="144">
        <f>IFERROR(_xlfn.XLOOKUP($B95,'Cronog. e Histog.'!$BZ:$BZ,'Cronog. e Histog.'!DQ:DQ),"")</f>
        <v>0</v>
      </c>
      <c r="AW95" s="144">
        <f>IFERROR(_xlfn.XLOOKUP($B95,'Cronog. e Histog.'!$BZ:$BZ,'Cronog. e Histog.'!DR:DR),"")</f>
        <v>0</v>
      </c>
      <c r="AX95" s="144">
        <f>IFERROR(_xlfn.XLOOKUP($B95,'Cronog. e Histog.'!$BZ:$BZ,'Cronog. e Histog.'!DS:DS),"")</f>
        <v>0</v>
      </c>
      <c r="AY95" s="144">
        <f>IFERROR(_xlfn.XLOOKUP($B95,'Cronog. e Histog.'!$BZ:$BZ,'Cronog. e Histog.'!DT:DT),"")</f>
        <v>0</v>
      </c>
      <c r="AZ95" s="144">
        <f>IFERROR(_xlfn.XLOOKUP($B95,'Cronog. e Histog.'!$BZ:$BZ,'Cronog. e Histog.'!DU:DU),"")</f>
        <v>0</v>
      </c>
      <c r="BA95" s="144">
        <f>IFERROR(_xlfn.XLOOKUP($B95,'Cronog. e Histog.'!$BZ:$BZ,'Cronog. e Histog.'!DV:DV),"")</f>
        <v>0</v>
      </c>
      <c r="BB95" s="144">
        <f>IFERROR(_xlfn.XLOOKUP($B95,'Cronog. e Histog.'!$BZ:$BZ,'Cronog. e Histog.'!DW:DW),"")</f>
        <v>0</v>
      </c>
      <c r="BC95" s="144">
        <f>IFERROR(_xlfn.XLOOKUP($B95,'Cronog. e Histog.'!$BZ:$BZ,'Cronog. e Histog.'!DX:DX),"")</f>
        <v>0</v>
      </c>
      <c r="BD95" s="144">
        <f>IFERROR(_xlfn.XLOOKUP($B95,'Cronog. e Histog.'!$BZ:$BZ,'Cronog. e Histog.'!DY:DY),"")</f>
        <v>0</v>
      </c>
      <c r="BE95" s="144">
        <f>IFERROR(_xlfn.XLOOKUP($B95,'Cronog. e Histog.'!$BZ:$BZ,'Cronog. e Histog.'!DZ:DZ),"")</f>
        <v>0</v>
      </c>
      <c r="BF95" s="144">
        <f>IFERROR(_xlfn.XLOOKUP($B95,'Cronog. e Histog.'!$BZ:$BZ,'Cronog. e Histog.'!EA:EA),"")</f>
        <v>0</v>
      </c>
      <c r="BG95" s="144">
        <f>IFERROR(_xlfn.XLOOKUP($B95,'Cronog. e Histog.'!$BZ:$BZ,'Cronog. e Histog.'!EB:EB),"")</f>
        <v>0</v>
      </c>
      <c r="BH95" s="144">
        <f>IFERROR(_xlfn.XLOOKUP($B95,'Cronog. e Histog.'!$BZ:$BZ,'Cronog. e Histog.'!EC:EC),"")</f>
        <v>0</v>
      </c>
      <c r="BI95" s="144">
        <f>IFERROR(_xlfn.XLOOKUP($B95,'Cronog. e Histog.'!$BZ:$BZ,'Cronog. e Histog.'!ED:ED),"")</f>
        <v>0</v>
      </c>
      <c r="BJ95" s="144">
        <f>IFERROR(_xlfn.XLOOKUP($B95,'Cronog. e Histog.'!$BZ:$BZ,'Cronog. e Histog.'!EE:EE),"")</f>
        <v>0</v>
      </c>
      <c r="BK95" s="144">
        <f>IFERROR(_xlfn.XLOOKUP($B95,'Cronog. e Histog.'!$BZ:$BZ,'Cronog. e Histog.'!EF:EF),"")</f>
        <v>0</v>
      </c>
      <c r="BL95" s="144">
        <f>IFERROR(_xlfn.XLOOKUP($B95,'Cronog. e Histog.'!$BZ:$BZ,'Cronog. e Histog.'!EG:EG),"")</f>
        <v>0</v>
      </c>
      <c r="BM95" s="144">
        <f>IFERROR(_xlfn.XLOOKUP($B95,'Cronog. e Histog.'!$BZ:$BZ,'Cronog. e Histog.'!EH:EH),"")</f>
        <v>0</v>
      </c>
      <c r="BN95" s="144">
        <f>IFERROR(_xlfn.XLOOKUP($B95,'Cronog. e Histog.'!$BZ:$BZ,'Cronog. e Histog.'!EI:EI),"")</f>
        <v>0</v>
      </c>
    </row>
    <row r="96" spans="2:66" ht="12" hidden="1" customHeight="1" outlineLevel="1">
      <c r="B96" s="76">
        <v>90</v>
      </c>
      <c r="C96" s="143" t="str">
        <f>IFERROR(VLOOKUP(B96,'Cronog. e Histog.'!$BZ$213:$CA$747,2,0),"")</f>
        <v>AN SR. ADM/CRP</v>
      </c>
      <c r="D96" s="144">
        <f t="shared" si="2"/>
        <v>0</v>
      </c>
      <c r="E96" s="144">
        <f t="shared" si="3"/>
        <v>0</v>
      </c>
      <c r="F96" s="65"/>
      <c r="G96" s="144">
        <f>IFERROR(_xlfn.XLOOKUP($B96,'Cronog. e Histog.'!$BZ:$BZ,'Cronog. e Histog.'!CB:CB),"")</f>
        <v>0</v>
      </c>
      <c r="H96" s="144">
        <f>IFERROR(_xlfn.XLOOKUP($B96,'Cronog. e Histog.'!$BZ:$BZ,'Cronog. e Histog.'!CC:CC),"")</f>
        <v>0</v>
      </c>
      <c r="I96" s="144">
        <f>IFERROR(_xlfn.XLOOKUP($B96,'Cronog. e Histog.'!$BZ:$BZ,'Cronog. e Histog.'!CD:CD),"")</f>
        <v>0</v>
      </c>
      <c r="J96" s="144">
        <f>IFERROR(_xlfn.XLOOKUP($B96,'Cronog. e Histog.'!$BZ:$BZ,'Cronog. e Histog.'!CE:CE),"")</f>
        <v>0</v>
      </c>
      <c r="K96" s="144">
        <f>IFERROR(_xlfn.XLOOKUP($B96,'Cronog. e Histog.'!$BZ:$BZ,'Cronog. e Histog.'!CF:CF),"")</f>
        <v>0</v>
      </c>
      <c r="L96" s="144">
        <f>IFERROR(_xlfn.XLOOKUP($B96,'Cronog. e Histog.'!$BZ:$BZ,'Cronog. e Histog.'!CG:CG),"")</f>
        <v>0</v>
      </c>
      <c r="M96" s="144">
        <f>IFERROR(_xlfn.XLOOKUP($B96,'Cronog. e Histog.'!$BZ:$BZ,'Cronog. e Histog.'!CH:CH),"")</f>
        <v>0</v>
      </c>
      <c r="N96" s="144">
        <f>IFERROR(_xlfn.XLOOKUP($B96,'Cronog. e Histog.'!$BZ:$BZ,'Cronog. e Histog.'!CI:CI),"")</f>
        <v>0</v>
      </c>
      <c r="O96" s="144">
        <f>IFERROR(_xlfn.XLOOKUP($B96,'Cronog. e Histog.'!$BZ:$BZ,'Cronog. e Histog.'!CJ:CJ),"")</f>
        <v>0</v>
      </c>
      <c r="P96" s="144">
        <f>IFERROR(_xlfn.XLOOKUP($B96,'Cronog. e Histog.'!$BZ:$BZ,'Cronog. e Histog.'!CK:CK),"")</f>
        <v>0</v>
      </c>
      <c r="Q96" s="144">
        <f>IFERROR(_xlfn.XLOOKUP($B96,'Cronog. e Histog.'!$BZ:$BZ,'Cronog. e Histog.'!CL:CL),"")</f>
        <v>0</v>
      </c>
      <c r="R96" s="144">
        <f>IFERROR(_xlfn.XLOOKUP($B96,'Cronog. e Histog.'!$BZ:$BZ,'Cronog. e Histog.'!CM:CM),"")</f>
        <v>0</v>
      </c>
      <c r="S96" s="144">
        <f>IFERROR(_xlfn.XLOOKUP($B96,'Cronog. e Histog.'!$BZ:$BZ,'Cronog. e Histog.'!CN:CN),"")</f>
        <v>0</v>
      </c>
      <c r="T96" s="144">
        <f>IFERROR(_xlfn.XLOOKUP($B96,'Cronog. e Histog.'!$BZ:$BZ,'Cronog. e Histog.'!CO:CO),"")</f>
        <v>0</v>
      </c>
      <c r="U96" s="144">
        <f>IFERROR(_xlfn.XLOOKUP($B96,'Cronog. e Histog.'!$BZ:$BZ,'Cronog. e Histog.'!CP:CP),"")</f>
        <v>0</v>
      </c>
      <c r="V96" s="144">
        <f>IFERROR(_xlfn.XLOOKUP($B96,'Cronog. e Histog.'!$BZ:$BZ,'Cronog. e Histog.'!CQ:CQ),"")</f>
        <v>0</v>
      </c>
      <c r="W96" s="144">
        <f>IFERROR(_xlfn.XLOOKUP($B96,'Cronog. e Histog.'!$BZ:$BZ,'Cronog. e Histog.'!CR:CR),"")</f>
        <v>0</v>
      </c>
      <c r="X96" s="144">
        <f>IFERROR(_xlfn.XLOOKUP($B96,'Cronog. e Histog.'!$BZ:$BZ,'Cronog. e Histog.'!CS:CS),"")</f>
        <v>0</v>
      </c>
      <c r="Y96" s="144">
        <f>IFERROR(_xlfn.XLOOKUP($B96,'Cronog. e Histog.'!$BZ:$BZ,'Cronog. e Histog.'!CT:CT),"")</f>
        <v>0</v>
      </c>
      <c r="Z96" s="144">
        <f>IFERROR(_xlfn.XLOOKUP($B96,'Cronog. e Histog.'!$BZ:$BZ,'Cronog. e Histog.'!CU:CU),"")</f>
        <v>0</v>
      </c>
      <c r="AA96" s="144">
        <f>IFERROR(_xlfn.XLOOKUP($B96,'Cronog. e Histog.'!$BZ:$BZ,'Cronog. e Histog.'!CV:CV),"")</f>
        <v>0</v>
      </c>
      <c r="AB96" s="144">
        <f>IFERROR(_xlfn.XLOOKUP($B96,'Cronog. e Histog.'!$BZ:$BZ,'Cronog. e Histog.'!CW:CW),"")</f>
        <v>0</v>
      </c>
      <c r="AC96" s="144">
        <f>IFERROR(_xlfn.XLOOKUP($B96,'Cronog. e Histog.'!$BZ:$BZ,'Cronog. e Histog.'!CX:CX),"")</f>
        <v>0</v>
      </c>
      <c r="AD96" s="144">
        <f>IFERROR(_xlfn.XLOOKUP($B96,'Cronog. e Histog.'!$BZ:$BZ,'Cronog. e Histog.'!CY:CY),"")</f>
        <v>0</v>
      </c>
      <c r="AE96" s="144">
        <f>IFERROR(_xlfn.XLOOKUP($B96,'Cronog. e Histog.'!$BZ:$BZ,'Cronog. e Histog.'!CZ:CZ),"")</f>
        <v>0</v>
      </c>
      <c r="AF96" s="144">
        <f>IFERROR(_xlfn.XLOOKUP($B96,'Cronog. e Histog.'!$BZ:$BZ,'Cronog. e Histog.'!DA:DA),"")</f>
        <v>0</v>
      </c>
      <c r="AG96" s="144">
        <f>IFERROR(_xlfn.XLOOKUP($B96,'Cronog. e Histog.'!$BZ:$BZ,'Cronog. e Histog.'!DB:DB),"")</f>
        <v>0</v>
      </c>
      <c r="AH96" s="144">
        <f>IFERROR(_xlfn.XLOOKUP($B96,'Cronog. e Histog.'!$BZ:$BZ,'Cronog. e Histog.'!DC:DC),"")</f>
        <v>0</v>
      </c>
      <c r="AI96" s="144">
        <f>IFERROR(_xlfn.XLOOKUP($B96,'Cronog. e Histog.'!$BZ:$BZ,'Cronog. e Histog.'!DD:DD),"")</f>
        <v>0</v>
      </c>
      <c r="AJ96" s="144">
        <f>IFERROR(_xlfn.XLOOKUP($B96,'Cronog. e Histog.'!$BZ:$BZ,'Cronog. e Histog.'!DE:DE),"")</f>
        <v>0</v>
      </c>
      <c r="AK96" s="144">
        <f>IFERROR(_xlfn.XLOOKUP($B96,'Cronog. e Histog.'!$BZ:$BZ,'Cronog. e Histog.'!DF:DF),"")</f>
        <v>0</v>
      </c>
      <c r="AL96" s="144">
        <f>IFERROR(_xlfn.XLOOKUP($B96,'Cronog. e Histog.'!$BZ:$BZ,'Cronog. e Histog.'!DG:DG),"")</f>
        <v>0</v>
      </c>
      <c r="AM96" s="144">
        <f>IFERROR(_xlfn.XLOOKUP($B96,'Cronog. e Histog.'!$BZ:$BZ,'Cronog. e Histog.'!DH:DH),"")</f>
        <v>0</v>
      </c>
      <c r="AN96" s="144">
        <f>IFERROR(_xlfn.XLOOKUP($B96,'Cronog. e Histog.'!$BZ:$BZ,'Cronog. e Histog.'!DI:DI),"")</f>
        <v>0</v>
      </c>
      <c r="AO96" s="144">
        <f>IFERROR(_xlfn.XLOOKUP($B96,'Cronog. e Histog.'!$BZ:$BZ,'Cronog. e Histog.'!DJ:DJ),"")</f>
        <v>0</v>
      </c>
      <c r="AP96" s="144">
        <f>IFERROR(_xlfn.XLOOKUP($B96,'Cronog. e Histog.'!$BZ:$BZ,'Cronog. e Histog.'!DK:DK),"")</f>
        <v>0</v>
      </c>
      <c r="AQ96" s="144">
        <f>IFERROR(_xlfn.XLOOKUP($B96,'Cronog. e Histog.'!$BZ:$BZ,'Cronog. e Histog.'!DL:DL),"")</f>
        <v>0</v>
      </c>
      <c r="AR96" s="144">
        <f>IFERROR(_xlfn.XLOOKUP($B96,'Cronog. e Histog.'!$BZ:$BZ,'Cronog. e Histog.'!DM:DM),"")</f>
        <v>0</v>
      </c>
      <c r="AS96" s="144">
        <f>IFERROR(_xlfn.XLOOKUP($B96,'Cronog. e Histog.'!$BZ:$BZ,'Cronog. e Histog.'!DN:DN),"")</f>
        <v>0</v>
      </c>
      <c r="AT96" s="144">
        <f>IFERROR(_xlfn.XLOOKUP($B96,'Cronog. e Histog.'!$BZ:$BZ,'Cronog. e Histog.'!DO:DO),"")</f>
        <v>0</v>
      </c>
      <c r="AU96" s="144">
        <f>IFERROR(_xlfn.XLOOKUP($B96,'Cronog. e Histog.'!$BZ:$BZ,'Cronog. e Histog.'!DP:DP),"")</f>
        <v>0</v>
      </c>
      <c r="AV96" s="144">
        <f>IFERROR(_xlfn.XLOOKUP($B96,'Cronog. e Histog.'!$BZ:$BZ,'Cronog. e Histog.'!DQ:DQ),"")</f>
        <v>0</v>
      </c>
      <c r="AW96" s="144">
        <f>IFERROR(_xlfn.XLOOKUP($B96,'Cronog. e Histog.'!$BZ:$BZ,'Cronog. e Histog.'!DR:DR),"")</f>
        <v>0</v>
      </c>
      <c r="AX96" s="144">
        <f>IFERROR(_xlfn.XLOOKUP($B96,'Cronog. e Histog.'!$BZ:$BZ,'Cronog. e Histog.'!DS:DS),"")</f>
        <v>0</v>
      </c>
      <c r="AY96" s="144">
        <f>IFERROR(_xlfn.XLOOKUP($B96,'Cronog. e Histog.'!$BZ:$BZ,'Cronog. e Histog.'!DT:DT),"")</f>
        <v>0</v>
      </c>
      <c r="AZ96" s="144">
        <f>IFERROR(_xlfn.XLOOKUP($B96,'Cronog. e Histog.'!$BZ:$BZ,'Cronog. e Histog.'!DU:DU),"")</f>
        <v>0</v>
      </c>
      <c r="BA96" s="144">
        <f>IFERROR(_xlfn.XLOOKUP($B96,'Cronog. e Histog.'!$BZ:$BZ,'Cronog. e Histog.'!DV:DV),"")</f>
        <v>0</v>
      </c>
      <c r="BB96" s="144">
        <f>IFERROR(_xlfn.XLOOKUP($B96,'Cronog. e Histog.'!$BZ:$BZ,'Cronog. e Histog.'!DW:DW),"")</f>
        <v>0</v>
      </c>
      <c r="BC96" s="144">
        <f>IFERROR(_xlfn.XLOOKUP($B96,'Cronog. e Histog.'!$BZ:$BZ,'Cronog. e Histog.'!DX:DX),"")</f>
        <v>0</v>
      </c>
      <c r="BD96" s="144">
        <f>IFERROR(_xlfn.XLOOKUP($B96,'Cronog. e Histog.'!$BZ:$BZ,'Cronog. e Histog.'!DY:DY),"")</f>
        <v>0</v>
      </c>
      <c r="BE96" s="144">
        <f>IFERROR(_xlfn.XLOOKUP($B96,'Cronog. e Histog.'!$BZ:$BZ,'Cronog. e Histog.'!DZ:DZ),"")</f>
        <v>0</v>
      </c>
      <c r="BF96" s="144">
        <f>IFERROR(_xlfn.XLOOKUP($B96,'Cronog. e Histog.'!$BZ:$BZ,'Cronog. e Histog.'!EA:EA),"")</f>
        <v>0</v>
      </c>
      <c r="BG96" s="144">
        <f>IFERROR(_xlfn.XLOOKUP($B96,'Cronog. e Histog.'!$BZ:$BZ,'Cronog. e Histog.'!EB:EB),"")</f>
        <v>0</v>
      </c>
      <c r="BH96" s="144">
        <f>IFERROR(_xlfn.XLOOKUP($B96,'Cronog. e Histog.'!$BZ:$BZ,'Cronog. e Histog.'!EC:EC),"")</f>
        <v>0</v>
      </c>
      <c r="BI96" s="144">
        <f>IFERROR(_xlfn.XLOOKUP($B96,'Cronog. e Histog.'!$BZ:$BZ,'Cronog. e Histog.'!ED:ED),"")</f>
        <v>0</v>
      </c>
      <c r="BJ96" s="144">
        <f>IFERROR(_xlfn.XLOOKUP($B96,'Cronog. e Histog.'!$BZ:$BZ,'Cronog. e Histog.'!EE:EE),"")</f>
        <v>0</v>
      </c>
      <c r="BK96" s="144">
        <f>IFERROR(_xlfn.XLOOKUP($B96,'Cronog. e Histog.'!$BZ:$BZ,'Cronog. e Histog.'!EF:EF),"")</f>
        <v>0</v>
      </c>
      <c r="BL96" s="144">
        <f>IFERROR(_xlfn.XLOOKUP($B96,'Cronog. e Histog.'!$BZ:$BZ,'Cronog. e Histog.'!EG:EG),"")</f>
        <v>0</v>
      </c>
      <c r="BM96" s="144">
        <f>IFERROR(_xlfn.XLOOKUP($B96,'Cronog. e Histog.'!$BZ:$BZ,'Cronog. e Histog.'!EH:EH),"")</f>
        <v>0</v>
      </c>
      <c r="BN96" s="144">
        <f>IFERROR(_xlfn.XLOOKUP($B96,'Cronog. e Histog.'!$BZ:$BZ,'Cronog. e Histog.'!EI:EI),"")</f>
        <v>0</v>
      </c>
    </row>
    <row r="97" spans="2:66" ht="12" hidden="1" customHeight="1" outlineLevel="1">
      <c r="B97" s="76">
        <v>91</v>
      </c>
      <c r="C97" s="143" t="str">
        <f>IFERROR(VLOOKUP(B97,'Cronog. e Histog.'!$BZ$213:$CA$747,2,0),"")</f>
        <v>AN PL. ADM/CRP</v>
      </c>
      <c r="D97" s="144">
        <f t="shared" si="2"/>
        <v>0</v>
      </c>
      <c r="E97" s="144">
        <f t="shared" si="3"/>
        <v>0</v>
      </c>
      <c r="F97" s="65"/>
      <c r="G97" s="144">
        <f>IFERROR(_xlfn.XLOOKUP($B97,'Cronog. e Histog.'!$BZ:$BZ,'Cronog. e Histog.'!CB:CB),"")</f>
        <v>0</v>
      </c>
      <c r="H97" s="144">
        <f>IFERROR(_xlfn.XLOOKUP($B97,'Cronog. e Histog.'!$BZ:$BZ,'Cronog. e Histog.'!CC:CC),"")</f>
        <v>0</v>
      </c>
      <c r="I97" s="144">
        <f>IFERROR(_xlfn.XLOOKUP($B97,'Cronog. e Histog.'!$BZ:$BZ,'Cronog. e Histog.'!CD:CD),"")</f>
        <v>0</v>
      </c>
      <c r="J97" s="144">
        <f>IFERROR(_xlfn.XLOOKUP($B97,'Cronog. e Histog.'!$BZ:$BZ,'Cronog. e Histog.'!CE:CE),"")</f>
        <v>0</v>
      </c>
      <c r="K97" s="144">
        <f>IFERROR(_xlfn.XLOOKUP($B97,'Cronog. e Histog.'!$BZ:$BZ,'Cronog. e Histog.'!CF:CF),"")</f>
        <v>0</v>
      </c>
      <c r="L97" s="144">
        <f>IFERROR(_xlfn.XLOOKUP($B97,'Cronog. e Histog.'!$BZ:$BZ,'Cronog. e Histog.'!CG:CG),"")</f>
        <v>0</v>
      </c>
      <c r="M97" s="144">
        <f>IFERROR(_xlfn.XLOOKUP($B97,'Cronog. e Histog.'!$BZ:$BZ,'Cronog. e Histog.'!CH:CH),"")</f>
        <v>0</v>
      </c>
      <c r="N97" s="144">
        <f>IFERROR(_xlfn.XLOOKUP($B97,'Cronog. e Histog.'!$BZ:$BZ,'Cronog. e Histog.'!CI:CI),"")</f>
        <v>0</v>
      </c>
      <c r="O97" s="144">
        <f>IFERROR(_xlfn.XLOOKUP($B97,'Cronog. e Histog.'!$BZ:$BZ,'Cronog. e Histog.'!CJ:CJ),"")</f>
        <v>0</v>
      </c>
      <c r="P97" s="144">
        <f>IFERROR(_xlfn.XLOOKUP($B97,'Cronog. e Histog.'!$BZ:$BZ,'Cronog. e Histog.'!CK:CK),"")</f>
        <v>0</v>
      </c>
      <c r="Q97" s="144">
        <f>IFERROR(_xlfn.XLOOKUP($B97,'Cronog. e Histog.'!$BZ:$BZ,'Cronog. e Histog.'!CL:CL),"")</f>
        <v>0</v>
      </c>
      <c r="R97" s="144">
        <f>IFERROR(_xlfn.XLOOKUP($B97,'Cronog. e Histog.'!$BZ:$BZ,'Cronog. e Histog.'!CM:CM),"")</f>
        <v>0</v>
      </c>
      <c r="S97" s="144">
        <f>IFERROR(_xlfn.XLOOKUP($B97,'Cronog. e Histog.'!$BZ:$BZ,'Cronog. e Histog.'!CN:CN),"")</f>
        <v>0</v>
      </c>
      <c r="T97" s="144">
        <f>IFERROR(_xlfn.XLOOKUP($B97,'Cronog. e Histog.'!$BZ:$BZ,'Cronog. e Histog.'!CO:CO),"")</f>
        <v>0</v>
      </c>
      <c r="U97" s="144">
        <f>IFERROR(_xlfn.XLOOKUP($B97,'Cronog. e Histog.'!$BZ:$BZ,'Cronog. e Histog.'!CP:CP),"")</f>
        <v>0</v>
      </c>
      <c r="V97" s="144">
        <f>IFERROR(_xlfn.XLOOKUP($B97,'Cronog. e Histog.'!$BZ:$BZ,'Cronog. e Histog.'!CQ:CQ),"")</f>
        <v>0</v>
      </c>
      <c r="W97" s="144">
        <f>IFERROR(_xlfn.XLOOKUP($B97,'Cronog. e Histog.'!$BZ:$BZ,'Cronog. e Histog.'!CR:CR),"")</f>
        <v>0</v>
      </c>
      <c r="X97" s="144">
        <f>IFERROR(_xlfn.XLOOKUP($B97,'Cronog. e Histog.'!$BZ:$BZ,'Cronog. e Histog.'!CS:CS),"")</f>
        <v>0</v>
      </c>
      <c r="Y97" s="144">
        <f>IFERROR(_xlfn.XLOOKUP($B97,'Cronog. e Histog.'!$BZ:$BZ,'Cronog. e Histog.'!CT:CT),"")</f>
        <v>0</v>
      </c>
      <c r="Z97" s="144">
        <f>IFERROR(_xlfn.XLOOKUP($B97,'Cronog. e Histog.'!$BZ:$BZ,'Cronog. e Histog.'!CU:CU),"")</f>
        <v>0</v>
      </c>
      <c r="AA97" s="144">
        <f>IFERROR(_xlfn.XLOOKUP($B97,'Cronog. e Histog.'!$BZ:$BZ,'Cronog. e Histog.'!CV:CV),"")</f>
        <v>0</v>
      </c>
      <c r="AB97" s="144">
        <f>IFERROR(_xlfn.XLOOKUP($B97,'Cronog. e Histog.'!$BZ:$BZ,'Cronog. e Histog.'!CW:CW),"")</f>
        <v>0</v>
      </c>
      <c r="AC97" s="144">
        <f>IFERROR(_xlfn.XLOOKUP($B97,'Cronog. e Histog.'!$BZ:$BZ,'Cronog. e Histog.'!CX:CX),"")</f>
        <v>0</v>
      </c>
      <c r="AD97" s="144">
        <f>IFERROR(_xlfn.XLOOKUP($B97,'Cronog. e Histog.'!$BZ:$BZ,'Cronog. e Histog.'!CY:CY),"")</f>
        <v>0</v>
      </c>
      <c r="AE97" s="144">
        <f>IFERROR(_xlfn.XLOOKUP($B97,'Cronog. e Histog.'!$BZ:$BZ,'Cronog. e Histog.'!CZ:CZ),"")</f>
        <v>0</v>
      </c>
      <c r="AF97" s="144">
        <f>IFERROR(_xlfn.XLOOKUP($B97,'Cronog. e Histog.'!$BZ:$BZ,'Cronog. e Histog.'!DA:DA),"")</f>
        <v>0</v>
      </c>
      <c r="AG97" s="144">
        <f>IFERROR(_xlfn.XLOOKUP($B97,'Cronog. e Histog.'!$BZ:$BZ,'Cronog. e Histog.'!DB:DB),"")</f>
        <v>0</v>
      </c>
      <c r="AH97" s="144">
        <f>IFERROR(_xlfn.XLOOKUP($B97,'Cronog. e Histog.'!$BZ:$BZ,'Cronog. e Histog.'!DC:DC),"")</f>
        <v>0</v>
      </c>
      <c r="AI97" s="144">
        <f>IFERROR(_xlfn.XLOOKUP($B97,'Cronog. e Histog.'!$BZ:$BZ,'Cronog. e Histog.'!DD:DD),"")</f>
        <v>0</v>
      </c>
      <c r="AJ97" s="144">
        <f>IFERROR(_xlfn.XLOOKUP($B97,'Cronog. e Histog.'!$BZ:$BZ,'Cronog. e Histog.'!DE:DE),"")</f>
        <v>0</v>
      </c>
      <c r="AK97" s="144">
        <f>IFERROR(_xlfn.XLOOKUP($B97,'Cronog. e Histog.'!$BZ:$BZ,'Cronog. e Histog.'!DF:DF),"")</f>
        <v>0</v>
      </c>
      <c r="AL97" s="144">
        <f>IFERROR(_xlfn.XLOOKUP($B97,'Cronog. e Histog.'!$BZ:$BZ,'Cronog. e Histog.'!DG:DG),"")</f>
        <v>0</v>
      </c>
      <c r="AM97" s="144">
        <f>IFERROR(_xlfn.XLOOKUP($B97,'Cronog. e Histog.'!$BZ:$BZ,'Cronog. e Histog.'!DH:DH),"")</f>
        <v>0</v>
      </c>
      <c r="AN97" s="144">
        <f>IFERROR(_xlfn.XLOOKUP($B97,'Cronog. e Histog.'!$BZ:$BZ,'Cronog. e Histog.'!DI:DI),"")</f>
        <v>0</v>
      </c>
      <c r="AO97" s="144">
        <f>IFERROR(_xlfn.XLOOKUP($B97,'Cronog. e Histog.'!$BZ:$BZ,'Cronog. e Histog.'!DJ:DJ),"")</f>
        <v>0</v>
      </c>
      <c r="AP97" s="144">
        <f>IFERROR(_xlfn.XLOOKUP($B97,'Cronog. e Histog.'!$BZ:$BZ,'Cronog. e Histog.'!DK:DK),"")</f>
        <v>0</v>
      </c>
      <c r="AQ97" s="144">
        <f>IFERROR(_xlfn.XLOOKUP($B97,'Cronog. e Histog.'!$BZ:$BZ,'Cronog. e Histog.'!DL:DL),"")</f>
        <v>0</v>
      </c>
      <c r="AR97" s="144">
        <f>IFERROR(_xlfn.XLOOKUP($B97,'Cronog. e Histog.'!$BZ:$BZ,'Cronog. e Histog.'!DM:DM),"")</f>
        <v>0</v>
      </c>
      <c r="AS97" s="144">
        <f>IFERROR(_xlfn.XLOOKUP($B97,'Cronog. e Histog.'!$BZ:$BZ,'Cronog. e Histog.'!DN:DN),"")</f>
        <v>0</v>
      </c>
      <c r="AT97" s="144">
        <f>IFERROR(_xlfn.XLOOKUP($B97,'Cronog. e Histog.'!$BZ:$BZ,'Cronog. e Histog.'!DO:DO),"")</f>
        <v>0</v>
      </c>
      <c r="AU97" s="144">
        <f>IFERROR(_xlfn.XLOOKUP($B97,'Cronog. e Histog.'!$BZ:$BZ,'Cronog. e Histog.'!DP:DP),"")</f>
        <v>0</v>
      </c>
      <c r="AV97" s="144">
        <f>IFERROR(_xlfn.XLOOKUP($B97,'Cronog. e Histog.'!$BZ:$BZ,'Cronog. e Histog.'!DQ:DQ),"")</f>
        <v>0</v>
      </c>
      <c r="AW97" s="144">
        <f>IFERROR(_xlfn.XLOOKUP($B97,'Cronog. e Histog.'!$BZ:$BZ,'Cronog. e Histog.'!DR:DR),"")</f>
        <v>0</v>
      </c>
      <c r="AX97" s="144">
        <f>IFERROR(_xlfn.XLOOKUP($B97,'Cronog. e Histog.'!$BZ:$BZ,'Cronog. e Histog.'!DS:DS),"")</f>
        <v>0</v>
      </c>
      <c r="AY97" s="144">
        <f>IFERROR(_xlfn.XLOOKUP($B97,'Cronog. e Histog.'!$BZ:$BZ,'Cronog. e Histog.'!DT:DT),"")</f>
        <v>0</v>
      </c>
      <c r="AZ97" s="144">
        <f>IFERROR(_xlfn.XLOOKUP($B97,'Cronog. e Histog.'!$BZ:$BZ,'Cronog. e Histog.'!DU:DU),"")</f>
        <v>0</v>
      </c>
      <c r="BA97" s="144">
        <f>IFERROR(_xlfn.XLOOKUP($B97,'Cronog. e Histog.'!$BZ:$BZ,'Cronog. e Histog.'!DV:DV),"")</f>
        <v>0</v>
      </c>
      <c r="BB97" s="144">
        <f>IFERROR(_xlfn.XLOOKUP($B97,'Cronog. e Histog.'!$BZ:$BZ,'Cronog. e Histog.'!DW:DW),"")</f>
        <v>0</v>
      </c>
      <c r="BC97" s="144">
        <f>IFERROR(_xlfn.XLOOKUP($B97,'Cronog. e Histog.'!$BZ:$BZ,'Cronog. e Histog.'!DX:DX),"")</f>
        <v>0</v>
      </c>
      <c r="BD97" s="144">
        <f>IFERROR(_xlfn.XLOOKUP($B97,'Cronog. e Histog.'!$BZ:$BZ,'Cronog. e Histog.'!DY:DY),"")</f>
        <v>0</v>
      </c>
      <c r="BE97" s="144">
        <f>IFERROR(_xlfn.XLOOKUP($B97,'Cronog. e Histog.'!$BZ:$BZ,'Cronog. e Histog.'!DZ:DZ),"")</f>
        <v>0</v>
      </c>
      <c r="BF97" s="144">
        <f>IFERROR(_xlfn.XLOOKUP($B97,'Cronog. e Histog.'!$BZ:$BZ,'Cronog. e Histog.'!EA:EA),"")</f>
        <v>0</v>
      </c>
      <c r="BG97" s="144">
        <f>IFERROR(_xlfn.XLOOKUP($B97,'Cronog. e Histog.'!$BZ:$BZ,'Cronog. e Histog.'!EB:EB),"")</f>
        <v>0</v>
      </c>
      <c r="BH97" s="144">
        <f>IFERROR(_xlfn.XLOOKUP($B97,'Cronog. e Histog.'!$BZ:$BZ,'Cronog. e Histog.'!EC:EC),"")</f>
        <v>0</v>
      </c>
      <c r="BI97" s="144">
        <f>IFERROR(_xlfn.XLOOKUP($B97,'Cronog. e Histog.'!$BZ:$BZ,'Cronog. e Histog.'!ED:ED),"")</f>
        <v>0</v>
      </c>
      <c r="BJ97" s="144">
        <f>IFERROR(_xlfn.XLOOKUP($B97,'Cronog. e Histog.'!$BZ:$BZ,'Cronog. e Histog.'!EE:EE),"")</f>
        <v>0</v>
      </c>
      <c r="BK97" s="144">
        <f>IFERROR(_xlfn.XLOOKUP($B97,'Cronog. e Histog.'!$BZ:$BZ,'Cronog. e Histog.'!EF:EF),"")</f>
        <v>0</v>
      </c>
      <c r="BL97" s="144">
        <f>IFERROR(_xlfn.XLOOKUP($B97,'Cronog. e Histog.'!$BZ:$BZ,'Cronog. e Histog.'!EG:EG),"")</f>
        <v>0</v>
      </c>
      <c r="BM97" s="144">
        <f>IFERROR(_xlfn.XLOOKUP($B97,'Cronog. e Histog.'!$BZ:$BZ,'Cronog. e Histog.'!EH:EH),"")</f>
        <v>0</v>
      </c>
      <c r="BN97" s="144">
        <f>IFERROR(_xlfn.XLOOKUP($B97,'Cronog. e Histog.'!$BZ:$BZ,'Cronog. e Histog.'!EI:EI),"")</f>
        <v>0</v>
      </c>
    </row>
    <row r="98" spans="2:66" ht="12" hidden="1" customHeight="1" outlineLevel="1">
      <c r="B98" s="76">
        <v>92</v>
      </c>
      <c r="C98" s="143" t="str">
        <f>IFERROR(VLOOKUP(B98,'Cronog. e Histog.'!$BZ$213:$CA$747,2,0),"")</f>
        <v>AN JR. ADM/CRP</v>
      </c>
      <c r="D98" s="144">
        <f t="shared" si="2"/>
        <v>0</v>
      </c>
      <c r="E98" s="144">
        <f t="shared" si="3"/>
        <v>0</v>
      </c>
      <c r="F98" s="65"/>
      <c r="G98" s="144">
        <f>IFERROR(_xlfn.XLOOKUP($B98,'Cronog. e Histog.'!$BZ:$BZ,'Cronog. e Histog.'!CB:CB),"")</f>
        <v>0</v>
      </c>
      <c r="H98" s="144">
        <f>IFERROR(_xlfn.XLOOKUP($B98,'Cronog. e Histog.'!$BZ:$BZ,'Cronog. e Histog.'!CC:CC),"")</f>
        <v>0</v>
      </c>
      <c r="I98" s="144">
        <f>IFERROR(_xlfn.XLOOKUP($B98,'Cronog. e Histog.'!$BZ:$BZ,'Cronog. e Histog.'!CD:CD),"")</f>
        <v>0</v>
      </c>
      <c r="J98" s="144">
        <f>IFERROR(_xlfn.XLOOKUP($B98,'Cronog. e Histog.'!$BZ:$BZ,'Cronog. e Histog.'!CE:CE),"")</f>
        <v>0</v>
      </c>
      <c r="K98" s="144">
        <f>IFERROR(_xlfn.XLOOKUP($B98,'Cronog. e Histog.'!$BZ:$BZ,'Cronog. e Histog.'!CF:CF),"")</f>
        <v>0</v>
      </c>
      <c r="L98" s="144">
        <f>IFERROR(_xlfn.XLOOKUP($B98,'Cronog. e Histog.'!$BZ:$BZ,'Cronog. e Histog.'!CG:CG),"")</f>
        <v>0</v>
      </c>
      <c r="M98" s="144">
        <f>IFERROR(_xlfn.XLOOKUP($B98,'Cronog. e Histog.'!$BZ:$BZ,'Cronog. e Histog.'!CH:CH),"")</f>
        <v>0</v>
      </c>
      <c r="N98" s="144">
        <f>IFERROR(_xlfn.XLOOKUP($B98,'Cronog. e Histog.'!$BZ:$BZ,'Cronog. e Histog.'!CI:CI),"")</f>
        <v>0</v>
      </c>
      <c r="O98" s="144">
        <f>IFERROR(_xlfn.XLOOKUP($B98,'Cronog. e Histog.'!$BZ:$BZ,'Cronog. e Histog.'!CJ:CJ),"")</f>
        <v>0</v>
      </c>
      <c r="P98" s="144">
        <f>IFERROR(_xlfn.XLOOKUP($B98,'Cronog. e Histog.'!$BZ:$BZ,'Cronog. e Histog.'!CK:CK),"")</f>
        <v>0</v>
      </c>
      <c r="Q98" s="144">
        <f>IFERROR(_xlfn.XLOOKUP($B98,'Cronog. e Histog.'!$BZ:$BZ,'Cronog. e Histog.'!CL:CL),"")</f>
        <v>0</v>
      </c>
      <c r="R98" s="144">
        <f>IFERROR(_xlfn.XLOOKUP($B98,'Cronog. e Histog.'!$BZ:$BZ,'Cronog. e Histog.'!CM:CM),"")</f>
        <v>0</v>
      </c>
      <c r="S98" s="144">
        <f>IFERROR(_xlfn.XLOOKUP($B98,'Cronog. e Histog.'!$BZ:$BZ,'Cronog. e Histog.'!CN:CN),"")</f>
        <v>0</v>
      </c>
      <c r="T98" s="144">
        <f>IFERROR(_xlfn.XLOOKUP($B98,'Cronog. e Histog.'!$BZ:$BZ,'Cronog. e Histog.'!CO:CO),"")</f>
        <v>0</v>
      </c>
      <c r="U98" s="144">
        <f>IFERROR(_xlfn.XLOOKUP($B98,'Cronog. e Histog.'!$BZ:$BZ,'Cronog. e Histog.'!CP:CP),"")</f>
        <v>0</v>
      </c>
      <c r="V98" s="144">
        <f>IFERROR(_xlfn.XLOOKUP($B98,'Cronog. e Histog.'!$BZ:$BZ,'Cronog. e Histog.'!CQ:CQ),"")</f>
        <v>0</v>
      </c>
      <c r="W98" s="144">
        <f>IFERROR(_xlfn.XLOOKUP($B98,'Cronog. e Histog.'!$BZ:$BZ,'Cronog. e Histog.'!CR:CR),"")</f>
        <v>0</v>
      </c>
      <c r="X98" s="144">
        <f>IFERROR(_xlfn.XLOOKUP($B98,'Cronog. e Histog.'!$BZ:$BZ,'Cronog. e Histog.'!CS:CS),"")</f>
        <v>0</v>
      </c>
      <c r="Y98" s="144">
        <f>IFERROR(_xlfn.XLOOKUP($B98,'Cronog. e Histog.'!$BZ:$BZ,'Cronog. e Histog.'!CT:CT),"")</f>
        <v>0</v>
      </c>
      <c r="Z98" s="144">
        <f>IFERROR(_xlfn.XLOOKUP($B98,'Cronog. e Histog.'!$BZ:$BZ,'Cronog. e Histog.'!CU:CU),"")</f>
        <v>0</v>
      </c>
      <c r="AA98" s="144">
        <f>IFERROR(_xlfn.XLOOKUP($B98,'Cronog. e Histog.'!$BZ:$BZ,'Cronog. e Histog.'!CV:CV),"")</f>
        <v>0</v>
      </c>
      <c r="AB98" s="144">
        <f>IFERROR(_xlfn.XLOOKUP($B98,'Cronog. e Histog.'!$BZ:$BZ,'Cronog. e Histog.'!CW:CW),"")</f>
        <v>0</v>
      </c>
      <c r="AC98" s="144">
        <f>IFERROR(_xlfn.XLOOKUP($B98,'Cronog. e Histog.'!$BZ:$BZ,'Cronog. e Histog.'!CX:CX),"")</f>
        <v>0</v>
      </c>
      <c r="AD98" s="144">
        <f>IFERROR(_xlfn.XLOOKUP($B98,'Cronog. e Histog.'!$BZ:$BZ,'Cronog. e Histog.'!CY:CY),"")</f>
        <v>0</v>
      </c>
      <c r="AE98" s="144">
        <f>IFERROR(_xlfn.XLOOKUP($B98,'Cronog. e Histog.'!$BZ:$BZ,'Cronog. e Histog.'!CZ:CZ),"")</f>
        <v>0</v>
      </c>
      <c r="AF98" s="144">
        <f>IFERROR(_xlfn.XLOOKUP($B98,'Cronog. e Histog.'!$BZ:$BZ,'Cronog. e Histog.'!DA:DA),"")</f>
        <v>0</v>
      </c>
      <c r="AG98" s="144">
        <f>IFERROR(_xlfn.XLOOKUP($B98,'Cronog. e Histog.'!$BZ:$BZ,'Cronog. e Histog.'!DB:DB),"")</f>
        <v>0</v>
      </c>
      <c r="AH98" s="144">
        <f>IFERROR(_xlfn.XLOOKUP($B98,'Cronog. e Histog.'!$BZ:$BZ,'Cronog. e Histog.'!DC:DC),"")</f>
        <v>0</v>
      </c>
      <c r="AI98" s="144">
        <f>IFERROR(_xlfn.XLOOKUP($B98,'Cronog. e Histog.'!$BZ:$BZ,'Cronog. e Histog.'!DD:DD),"")</f>
        <v>0</v>
      </c>
      <c r="AJ98" s="144">
        <f>IFERROR(_xlfn.XLOOKUP($B98,'Cronog. e Histog.'!$BZ:$BZ,'Cronog. e Histog.'!DE:DE),"")</f>
        <v>0</v>
      </c>
      <c r="AK98" s="144">
        <f>IFERROR(_xlfn.XLOOKUP($B98,'Cronog. e Histog.'!$BZ:$BZ,'Cronog. e Histog.'!DF:DF),"")</f>
        <v>0</v>
      </c>
      <c r="AL98" s="144">
        <f>IFERROR(_xlfn.XLOOKUP($B98,'Cronog. e Histog.'!$BZ:$BZ,'Cronog. e Histog.'!DG:DG),"")</f>
        <v>0</v>
      </c>
      <c r="AM98" s="144">
        <f>IFERROR(_xlfn.XLOOKUP($B98,'Cronog. e Histog.'!$BZ:$BZ,'Cronog. e Histog.'!DH:DH),"")</f>
        <v>0</v>
      </c>
      <c r="AN98" s="144">
        <f>IFERROR(_xlfn.XLOOKUP($B98,'Cronog. e Histog.'!$BZ:$BZ,'Cronog. e Histog.'!DI:DI),"")</f>
        <v>0</v>
      </c>
      <c r="AO98" s="144">
        <f>IFERROR(_xlfn.XLOOKUP($B98,'Cronog. e Histog.'!$BZ:$BZ,'Cronog. e Histog.'!DJ:DJ),"")</f>
        <v>0</v>
      </c>
      <c r="AP98" s="144">
        <f>IFERROR(_xlfn.XLOOKUP($B98,'Cronog. e Histog.'!$BZ:$BZ,'Cronog. e Histog.'!DK:DK),"")</f>
        <v>0</v>
      </c>
      <c r="AQ98" s="144">
        <f>IFERROR(_xlfn.XLOOKUP($B98,'Cronog. e Histog.'!$BZ:$BZ,'Cronog. e Histog.'!DL:DL),"")</f>
        <v>0</v>
      </c>
      <c r="AR98" s="144">
        <f>IFERROR(_xlfn.XLOOKUP($B98,'Cronog. e Histog.'!$BZ:$BZ,'Cronog. e Histog.'!DM:DM),"")</f>
        <v>0</v>
      </c>
      <c r="AS98" s="144">
        <f>IFERROR(_xlfn.XLOOKUP($B98,'Cronog. e Histog.'!$BZ:$BZ,'Cronog. e Histog.'!DN:DN),"")</f>
        <v>0</v>
      </c>
      <c r="AT98" s="144">
        <f>IFERROR(_xlfn.XLOOKUP($B98,'Cronog. e Histog.'!$BZ:$BZ,'Cronog. e Histog.'!DO:DO),"")</f>
        <v>0</v>
      </c>
      <c r="AU98" s="144">
        <f>IFERROR(_xlfn.XLOOKUP($B98,'Cronog. e Histog.'!$BZ:$BZ,'Cronog. e Histog.'!DP:DP),"")</f>
        <v>0</v>
      </c>
      <c r="AV98" s="144">
        <f>IFERROR(_xlfn.XLOOKUP($B98,'Cronog. e Histog.'!$BZ:$BZ,'Cronog. e Histog.'!DQ:DQ),"")</f>
        <v>0</v>
      </c>
      <c r="AW98" s="144">
        <f>IFERROR(_xlfn.XLOOKUP($B98,'Cronog. e Histog.'!$BZ:$BZ,'Cronog. e Histog.'!DR:DR),"")</f>
        <v>0</v>
      </c>
      <c r="AX98" s="144">
        <f>IFERROR(_xlfn.XLOOKUP($B98,'Cronog. e Histog.'!$BZ:$BZ,'Cronog. e Histog.'!DS:DS),"")</f>
        <v>0</v>
      </c>
      <c r="AY98" s="144">
        <f>IFERROR(_xlfn.XLOOKUP($B98,'Cronog. e Histog.'!$BZ:$BZ,'Cronog. e Histog.'!DT:DT),"")</f>
        <v>0</v>
      </c>
      <c r="AZ98" s="144">
        <f>IFERROR(_xlfn.XLOOKUP($B98,'Cronog. e Histog.'!$BZ:$BZ,'Cronog. e Histog.'!DU:DU),"")</f>
        <v>0</v>
      </c>
      <c r="BA98" s="144">
        <f>IFERROR(_xlfn.XLOOKUP($B98,'Cronog. e Histog.'!$BZ:$BZ,'Cronog. e Histog.'!DV:DV),"")</f>
        <v>0</v>
      </c>
      <c r="BB98" s="144">
        <f>IFERROR(_xlfn.XLOOKUP($B98,'Cronog. e Histog.'!$BZ:$BZ,'Cronog. e Histog.'!DW:DW),"")</f>
        <v>0</v>
      </c>
      <c r="BC98" s="144">
        <f>IFERROR(_xlfn.XLOOKUP($B98,'Cronog. e Histog.'!$BZ:$BZ,'Cronog. e Histog.'!DX:DX),"")</f>
        <v>0</v>
      </c>
      <c r="BD98" s="144">
        <f>IFERROR(_xlfn.XLOOKUP($B98,'Cronog. e Histog.'!$BZ:$BZ,'Cronog. e Histog.'!DY:DY),"")</f>
        <v>0</v>
      </c>
      <c r="BE98" s="144">
        <f>IFERROR(_xlfn.XLOOKUP($B98,'Cronog. e Histog.'!$BZ:$BZ,'Cronog. e Histog.'!DZ:DZ),"")</f>
        <v>0</v>
      </c>
      <c r="BF98" s="144">
        <f>IFERROR(_xlfn.XLOOKUP($B98,'Cronog. e Histog.'!$BZ:$BZ,'Cronog. e Histog.'!EA:EA),"")</f>
        <v>0</v>
      </c>
      <c r="BG98" s="144">
        <f>IFERROR(_xlfn.XLOOKUP($B98,'Cronog. e Histog.'!$BZ:$BZ,'Cronog. e Histog.'!EB:EB),"")</f>
        <v>0</v>
      </c>
      <c r="BH98" s="144">
        <f>IFERROR(_xlfn.XLOOKUP($B98,'Cronog. e Histog.'!$BZ:$BZ,'Cronog. e Histog.'!EC:EC),"")</f>
        <v>0</v>
      </c>
      <c r="BI98" s="144">
        <f>IFERROR(_xlfn.XLOOKUP($B98,'Cronog. e Histog.'!$BZ:$BZ,'Cronog. e Histog.'!ED:ED),"")</f>
        <v>0</v>
      </c>
      <c r="BJ98" s="144">
        <f>IFERROR(_xlfn.XLOOKUP($B98,'Cronog. e Histog.'!$BZ:$BZ,'Cronog. e Histog.'!EE:EE),"")</f>
        <v>0</v>
      </c>
      <c r="BK98" s="144">
        <f>IFERROR(_xlfn.XLOOKUP($B98,'Cronog. e Histog.'!$BZ:$BZ,'Cronog. e Histog.'!EF:EF),"")</f>
        <v>0</v>
      </c>
      <c r="BL98" s="144">
        <f>IFERROR(_xlfn.XLOOKUP($B98,'Cronog. e Histog.'!$BZ:$BZ,'Cronog. e Histog.'!EG:EG),"")</f>
        <v>0</v>
      </c>
      <c r="BM98" s="144">
        <f>IFERROR(_xlfn.XLOOKUP($B98,'Cronog. e Histog.'!$BZ:$BZ,'Cronog. e Histog.'!EH:EH),"")</f>
        <v>0</v>
      </c>
      <c r="BN98" s="144">
        <f>IFERROR(_xlfn.XLOOKUP($B98,'Cronog. e Histog.'!$BZ:$BZ,'Cronog. e Histog.'!EI:EI),"")</f>
        <v>0</v>
      </c>
    </row>
    <row r="99" spans="2:66" ht="12" hidden="1" customHeight="1" outlineLevel="1">
      <c r="B99" s="76">
        <v>93</v>
      </c>
      <c r="C99" s="143" t="str">
        <f>IFERROR(VLOOKUP(B99,'Cronog. e Histog.'!$BZ$213:$CA$747,2,0),"")</f>
        <v>TEC III</v>
      </c>
      <c r="D99" s="144">
        <f t="shared" si="2"/>
        <v>0</v>
      </c>
      <c r="E99" s="144">
        <f t="shared" si="3"/>
        <v>0</v>
      </c>
      <c r="F99" s="65"/>
      <c r="G99" s="144">
        <f>IFERROR(_xlfn.XLOOKUP($B99,'Cronog. e Histog.'!$BZ:$BZ,'Cronog. e Histog.'!CB:CB),"")</f>
        <v>0</v>
      </c>
      <c r="H99" s="144">
        <f>IFERROR(_xlfn.XLOOKUP($B99,'Cronog. e Histog.'!$BZ:$BZ,'Cronog. e Histog.'!CC:CC),"")</f>
        <v>0</v>
      </c>
      <c r="I99" s="144">
        <f>IFERROR(_xlfn.XLOOKUP($B99,'Cronog. e Histog.'!$BZ:$BZ,'Cronog. e Histog.'!CD:CD),"")</f>
        <v>0</v>
      </c>
      <c r="J99" s="144">
        <f>IFERROR(_xlfn.XLOOKUP($B99,'Cronog. e Histog.'!$BZ:$BZ,'Cronog. e Histog.'!CE:CE),"")</f>
        <v>0</v>
      </c>
      <c r="K99" s="144">
        <f>IFERROR(_xlfn.XLOOKUP($B99,'Cronog. e Histog.'!$BZ:$BZ,'Cronog. e Histog.'!CF:CF),"")</f>
        <v>0</v>
      </c>
      <c r="L99" s="144">
        <f>IFERROR(_xlfn.XLOOKUP($B99,'Cronog. e Histog.'!$BZ:$BZ,'Cronog. e Histog.'!CG:CG),"")</f>
        <v>0</v>
      </c>
      <c r="M99" s="144">
        <f>IFERROR(_xlfn.XLOOKUP($B99,'Cronog. e Histog.'!$BZ:$BZ,'Cronog. e Histog.'!CH:CH),"")</f>
        <v>0</v>
      </c>
      <c r="N99" s="144">
        <f>IFERROR(_xlfn.XLOOKUP($B99,'Cronog. e Histog.'!$BZ:$BZ,'Cronog. e Histog.'!CI:CI),"")</f>
        <v>0</v>
      </c>
      <c r="O99" s="144">
        <f>IFERROR(_xlfn.XLOOKUP($B99,'Cronog. e Histog.'!$BZ:$BZ,'Cronog. e Histog.'!CJ:CJ),"")</f>
        <v>0</v>
      </c>
      <c r="P99" s="144">
        <f>IFERROR(_xlfn.XLOOKUP($B99,'Cronog. e Histog.'!$BZ:$BZ,'Cronog. e Histog.'!CK:CK),"")</f>
        <v>0</v>
      </c>
      <c r="Q99" s="144">
        <f>IFERROR(_xlfn.XLOOKUP($B99,'Cronog. e Histog.'!$BZ:$BZ,'Cronog. e Histog.'!CL:CL),"")</f>
        <v>0</v>
      </c>
      <c r="R99" s="144">
        <f>IFERROR(_xlfn.XLOOKUP($B99,'Cronog. e Histog.'!$BZ:$BZ,'Cronog. e Histog.'!CM:CM),"")</f>
        <v>0</v>
      </c>
      <c r="S99" s="144">
        <f>IFERROR(_xlfn.XLOOKUP($B99,'Cronog. e Histog.'!$BZ:$BZ,'Cronog. e Histog.'!CN:CN),"")</f>
        <v>0</v>
      </c>
      <c r="T99" s="144">
        <f>IFERROR(_xlfn.XLOOKUP($B99,'Cronog. e Histog.'!$BZ:$BZ,'Cronog. e Histog.'!CO:CO),"")</f>
        <v>0</v>
      </c>
      <c r="U99" s="144">
        <f>IFERROR(_xlfn.XLOOKUP($B99,'Cronog. e Histog.'!$BZ:$BZ,'Cronog. e Histog.'!CP:CP),"")</f>
        <v>0</v>
      </c>
      <c r="V99" s="144">
        <f>IFERROR(_xlfn.XLOOKUP($B99,'Cronog. e Histog.'!$BZ:$BZ,'Cronog. e Histog.'!CQ:CQ),"")</f>
        <v>0</v>
      </c>
      <c r="W99" s="144">
        <f>IFERROR(_xlfn.XLOOKUP($B99,'Cronog. e Histog.'!$BZ:$BZ,'Cronog. e Histog.'!CR:CR),"")</f>
        <v>0</v>
      </c>
      <c r="X99" s="144">
        <f>IFERROR(_xlfn.XLOOKUP($B99,'Cronog. e Histog.'!$BZ:$BZ,'Cronog. e Histog.'!CS:CS),"")</f>
        <v>0</v>
      </c>
      <c r="Y99" s="144">
        <f>IFERROR(_xlfn.XLOOKUP($B99,'Cronog. e Histog.'!$BZ:$BZ,'Cronog. e Histog.'!CT:CT),"")</f>
        <v>0</v>
      </c>
      <c r="Z99" s="144">
        <f>IFERROR(_xlfn.XLOOKUP($B99,'Cronog. e Histog.'!$BZ:$BZ,'Cronog. e Histog.'!CU:CU),"")</f>
        <v>0</v>
      </c>
      <c r="AA99" s="144">
        <f>IFERROR(_xlfn.XLOOKUP($B99,'Cronog. e Histog.'!$BZ:$BZ,'Cronog. e Histog.'!CV:CV),"")</f>
        <v>0</v>
      </c>
      <c r="AB99" s="144">
        <f>IFERROR(_xlfn.XLOOKUP($B99,'Cronog. e Histog.'!$BZ:$BZ,'Cronog. e Histog.'!CW:CW),"")</f>
        <v>0</v>
      </c>
      <c r="AC99" s="144">
        <f>IFERROR(_xlfn.XLOOKUP($B99,'Cronog. e Histog.'!$BZ:$BZ,'Cronog. e Histog.'!CX:CX),"")</f>
        <v>0</v>
      </c>
      <c r="AD99" s="144">
        <f>IFERROR(_xlfn.XLOOKUP($B99,'Cronog. e Histog.'!$BZ:$BZ,'Cronog. e Histog.'!CY:CY),"")</f>
        <v>0</v>
      </c>
      <c r="AE99" s="144">
        <f>IFERROR(_xlfn.XLOOKUP($B99,'Cronog. e Histog.'!$BZ:$BZ,'Cronog. e Histog.'!CZ:CZ),"")</f>
        <v>0</v>
      </c>
      <c r="AF99" s="144">
        <f>IFERROR(_xlfn.XLOOKUP($B99,'Cronog. e Histog.'!$BZ:$BZ,'Cronog. e Histog.'!DA:DA),"")</f>
        <v>0</v>
      </c>
      <c r="AG99" s="144">
        <f>IFERROR(_xlfn.XLOOKUP($B99,'Cronog. e Histog.'!$BZ:$BZ,'Cronog. e Histog.'!DB:DB),"")</f>
        <v>0</v>
      </c>
      <c r="AH99" s="144">
        <f>IFERROR(_xlfn.XLOOKUP($B99,'Cronog. e Histog.'!$BZ:$BZ,'Cronog. e Histog.'!DC:DC),"")</f>
        <v>0</v>
      </c>
      <c r="AI99" s="144">
        <f>IFERROR(_xlfn.XLOOKUP($B99,'Cronog. e Histog.'!$BZ:$BZ,'Cronog. e Histog.'!DD:DD),"")</f>
        <v>0</v>
      </c>
      <c r="AJ99" s="144">
        <f>IFERROR(_xlfn.XLOOKUP($B99,'Cronog. e Histog.'!$BZ:$BZ,'Cronog. e Histog.'!DE:DE),"")</f>
        <v>0</v>
      </c>
      <c r="AK99" s="144">
        <f>IFERROR(_xlfn.XLOOKUP($B99,'Cronog. e Histog.'!$BZ:$BZ,'Cronog. e Histog.'!DF:DF),"")</f>
        <v>0</v>
      </c>
      <c r="AL99" s="144">
        <f>IFERROR(_xlfn.XLOOKUP($B99,'Cronog. e Histog.'!$BZ:$BZ,'Cronog. e Histog.'!DG:DG),"")</f>
        <v>0</v>
      </c>
      <c r="AM99" s="144">
        <f>IFERROR(_xlfn.XLOOKUP($B99,'Cronog. e Histog.'!$BZ:$BZ,'Cronog. e Histog.'!DH:DH),"")</f>
        <v>0</v>
      </c>
      <c r="AN99" s="144">
        <f>IFERROR(_xlfn.XLOOKUP($B99,'Cronog. e Histog.'!$BZ:$BZ,'Cronog. e Histog.'!DI:DI),"")</f>
        <v>0</v>
      </c>
      <c r="AO99" s="144">
        <f>IFERROR(_xlfn.XLOOKUP($B99,'Cronog. e Histog.'!$BZ:$BZ,'Cronog. e Histog.'!DJ:DJ),"")</f>
        <v>0</v>
      </c>
      <c r="AP99" s="144">
        <f>IFERROR(_xlfn.XLOOKUP($B99,'Cronog. e Histog.'!$BZ:$BZ,'Cronog. e Histog.'!DK:DK),"")</f>
        <v>0</v>
      </c>
      <c r="AQ99" s="144">
        <f>IFERROR(_xlfn.XLOOKUP($B99,'Cronog. e Histog.'!$BZ:$BZ,'Cronog. e Histog.'!DL:DL),"")</f>
        <v>0</v>
      </c>
      <c r="AR99" s="144">
        <f>IFERROR(_xlfn.XLOOKUP($B99,'Cronog. e Histog.'!$BZ:$BZ,'Cronog. e Histog.'!DM:DM),"")</f>
        <v>0</v>
      </c>
      <c r="AS99" s="144">
        <f>IFERROR(_xlfn.XLOOKUP($B99,'Cronog. e Histog.'!$BZ:$BZ,'Cronog. e Histog.'!DN:DN),"")</f>
        <v>0</v>
      </c>
      <c r="AT99" s="144">
        <f>IFERROR(_xlfn.XLOOKUP($B99,'Cronog. e Histog.'!$BZ:$BZ,'Cronog. e Histog.'!DO:DO),"")</f>
        <v>0</v>
      </c>
      <c r="AU99" s="144">
        <f>IFERROR(_xlfn.XLOOKUP($B99,'Cronog. e Histog.'!$BZ:$BZ,'Cronog. e Histog.'!DP:DP),"")</f>
        <v>0</v>
      </c>
      <c r="AV99" s="144">
        <f>IFERROR(_xlfn.XLOOKUP($B99,'Cronog. e Histog.'!$BZ:$BZ,'Cronog. e Histog.'!DQ:DQ),"")</f>
        <v>0</v>
      </c>
      <c r="AW99" s="144">
        <f>IFERROR(_xlfn.XLOOKUP($B99,'Cronog. e Histog.'!$BZ:$BZ,'Cronog. e Histog.'!DR:DR),"")</f>
        <v>0</v>
      </c>
      <c r="AX99" s="144">
        <f>IFERROR(_xlfn.XLOOKUP($B99,'Cronog. e Histog.'!$BZ:$BZ,'Cronog. e Histog.'!DS:DS),"")</f>
        <v>0</v>
      </c>
      <c r="AY99" s="144">
        <f>IFERROR(_xlfn.XLOOKUP($B99,'Cronog. e Histog.'!$BZ:$BZ,'Cronog. e Histog.'!DT:DT),"")</f>
        <v>0</v>
      </c>
      <c r="AZ99" s="144">
        <f>IFERROR(_xlfn.XLOOKUP($B99,'Cronog. e Histog.'!$BZ:$BZ,'Cronog. e Histog.'!DU:DU),"")</f>
        <v>0</v>
      </c>
      <c r="BA99" s="144">
        <f>IFERROR(_xlfn.XLOOKUP($B99,'Cronog. e Histog.'!$BZ:$BZ,'Cronog. e Histog.'!DV:DV),"")</f>
        <v>0</v>
      </c>
      <c r="BB99" s="144">
        <f>IFERROR(_xlfn.XLOOKUP($B99,'Cronog. e Histog.'!$BZ:$BZ,'Cronog. e Histog.'!DW:DW),"")</f>
        <v>0</v>
      </c>
      <c r="BC99" s="144">
        <f>IFERROR(_xlfn.XLOOKUP($B99,'Cronog. e Histog.'!$BZ:$BZ,'Cronog. e Histog.'!DX:DX),"")</f>
        <v>0</v>
      </c>
      <c r="BD99" s="144">
        <f>IFERROR(_xlfn.XLOOKUP($B99,'Cronog. e Histog.'!$BZ:$BZ,'Cronog. e Histog.'!DY:DY),"")</f>
        <v>0</v>
      </c>
      <c r="BE99" s="144">
        <f>IFERROR(_xlfn.XLOOKUP($B99,'Cronog. e Histog.'!$BZ:$BZ,'Cronog. e Histog.'!DZ:DZ),"")</f>
        <v>0</v>
      </c>
      <c r="BF99" s="144">
        <f>IFERROR(_xlfn.XLOOKUP($B99,'Cronog. e Histog.'!$BZ:$BZ,'Cronog. e Histog.'!EA:EA),"")</f>
        <v>0</v>
      </c>
      <c r="BG99" s="144">
        <f>IFERROR(_xlfn.XLOOKUP($B99,'Cronog. e Histog.'!$BZ:$BZ,'Cronog. e Histog.'!EB:EB),"")</f>
        <v>0</v>
      </c>
      <c r="BH99" s="144">
        <f>IFERROR(_xlfn.XLOOKUP($B99,'Cronog. e Histog.'!$BZ:$BZ,'Cronog. e Histog.'!EC:EC),"")</f>
        <v>0</v>
      </c>
      <c r="BI99" s="144">
        <f>IFERROR(_xlfn.XLOOKUP($B99,'Cronog. e Histog.'!$BZ:$BZ,'Cronog. e Histog.'!ED:ED),"")</f>
        <v>0</v>
      </c>
      <c r="BJ99" s="144">
        <f>IFERROR(_xlfn.XLOOKUP($B99,'Cronog. e Histog.'!$BZ:$BZ,'Cronog. e Histog.'!EE:EE),"")</f>
        <v>0</v>
      </c>
      <c r="BK99" s="144">
        <f>IFERROR(_xlfn.XLOOKUP($B99,'Cronog. e Histog.'!$BZ:$BZ,'Cronog. e Histog.'!EF:EF),"")</f>
        <v>0</v>
      </c>
      <c r="BL99" s="144">
        <f>IFERROR(_xlfn.XLOOKUP($B99,'Cronog. e Histog.'!$BZ:$BZ,'Cronog. e Histog.'!EG:EG),"")</f>
        <v>0</v>
      </c>
      <c r="BM99" s="144">
        <f>IFERROR(_xlfn.XLOOKUP($B99,'Cronog. e Histog.'!$BZ:$BZ,'Cronog. e Histog.'!EH:EH),"")</f>
        <v>0</v>
      </c>
      <c r="BN99" s="144">
        <f>IFERROR(_xlfn.XLOOKUP($B99,'Cronog. e Histog.'!$BZ:$BZ,'Cronog. e Histog.'!EI:EI),"")</f>
        <v>0</v>
      </c>
    </row>
    <row r="100" spans="2:66" ht="12" hidden="1" customHeight="1" outlineLevel="1">
      <c r="B100" s="76">
        <v>94</v>
      </c>
      <c r="C100" s="143" t="str">
        <f>IFERROR(VLOOKUP(B100,'Cronog. e Histog.'!$BZ$213:$CA$747,2,0),"")</f>
        <v>TEC II</v>
      </c>
      <c r="D100" s="144">
        <f t="shared" si="2"/>
        <v>0</v>
      </c>
      <c r="E100" s="144">
        <f t="shared" si="3"/>
        <v>0</v>
      </c>
      <c r="F100" s="65"/>
      <c r="G100" s="144">
        <f>IFERROR(_xlfn.XLOOKUP($B100,'Cronog. e Histog.'!$BZ:$BZ,'Cronog. e Histog.'!CB:CB),"")</f>
        <v>0</v>
      </c>
      <c r="H100" s="144">
        <f>IFERROR(_xlfn.XLOOKUP($B100,'Cronog. e Histog.'!$BZ:$BZ,'Cronog. e Histog.'!CC:CC),"")</f>
        <v>0</v>
      </c>
      <c r="I100" s="144">
        <f>IFERROR(_xlfn.XLOOKUP($B100,'Cronog. e Histog.'!$BZ:$BZ,'Cronog. e Histog.'!CD:CD),"")</f>
        <v>0</v>
      </c>
      <c r="J100" s="144">
        <f>IFERROR(_xlfn.XLOOKUP($B100,'Cronog. e Histog.'!$BZ:$BZ,'Cronog. e Histog.'!CE:CE),"")</f>
        <v>0</v>
      </c>
      <c r="K100" s="144">
        <f>IFERROR(_xlfn.XLOOKUP($B100,'Cronog. e Histog.'!$BZ:$BZ,'Cronog. e Histog.'!CF:CF),"")</f>
        <v>0</v>
      </c>
      <c r="L100" s="144">
        <f>IFERROR(_xlfn.XLOOKUP($B100,'Cronog. e Histog.'!$BZ:$BZ,'Cronog. e Histog.'!CG:CG),"")</f>
        <v>0</v>
      </c>
      <c r="M100" s="144">
        <f>IFERROR(_xlfn.XLOOKUP($B100,'Cronog. e Histog.'!$BZ:$BZ,'Cronog. e Histog.'!CH:CH),"")</f>
        <v>0</v>
      </c>
      <c r="N100" s="144">
        <f>IFERROR(_xlfn.XLOOKUP($B100,'Cronog. e Histog.'!$BZ:$BZ,'Cronog. e Histog.'!CI:CI),"")</f>
        <v>0</v>
      </c>
      <c r="O100" s="144">
        <f>IFERROR(_xlfn.XLOOKUP($B100,'Cronog. e Histog.'!$BZ:$BZ,'Cronog. e Histog.'!CJ:CJ),"")</f>
        <v>0</v>
      </c>
      <c r="P100" s="144">
        <f>IFERROR(_xlfn.XLOOKUP($B100,'Cronog. e Histog.'!$BZ:$BZ,'Cronog. e Histog.'!CK:CK),"")</f>
        <v>0</v>
      </c>
      <c r="Q100" s="144">
        <f>IFERROR(_xlfn.XLOOKUP($B100,'Cronog. e Histog.'!$BZ:$BZ,'Cronog. e Histog.'!CL:CL),"")</f>
        <v>0</v>
      </c>
      <c r="R100" s="144">
        <f>IFERROR(_xlfn.XLOOKUP($B100,'Cronog. e Histog.'!$BZ:$BZ,'Cronog. e Histog.'!CM:CM),"")</f>
        <v>0</v>
      </c>
      <c r="S100" s="144">
        <f>IFERROR(_xlfn.XLOOKUP($B100,'Cronog. e Histog.'!$BZ:$BZ,'Cronog. e Histog.'!CN:CN),"")</f>
        <v>0</v>
      </c>
      <c r="T100" s="144">
        <f>IFERROR(_xlfn.XLOOKUP($B100,'Cronog. e Histog.'!$BZ:$BZ,'Cronog. e Histog.'!CO:CO),"")</f>
        <v>0</v>
      </c>
      <c r="U100" s="144">
        <f>IFERROR(_xlfn.XLOOKUP($B100,'Cronog. e Histog.'!$BZ:$BZ,'Cronog. e Histog.'!CP:CP),"")</f>
        <v>0</v>
      </c>
      <c r="V100" s="144">
        <f>IFERROR(_xlfn.XLOOKUP($B100,'Cronog. e Histog.'!$BZ:$BZ,'Cronog. e Histog.'!CQ:CQ),"")</f>
        <v>0</v>
      </c>
      <c r="W100" s="144">
        <f>IFERROR(_xlfn.XLOOKUP($B100,'Cronog. e Histog.'!$BZ:$BZ,'Cronog. e Histog.'!CR:CR),"")</f>
        <v>0</v>
      </c>
      <c r="X100" s="144">
        <f>IFERROR(_xlfn.XLOOKUP($B100,'Cronog. e Histog.'!$BZ:$BZ,'Cronog. e Histog.'!CS:CS),"")</f>
        <v>0</v>
      </c>
      <c r="Y100" s="144">
        <f>IFERROR(_xlfn.XLOOKUP($B100,'Cronog. e Histog.'!$BZ:$BZ,'Cronog. e Histog.'!CT:CT),"")</f>
        <v>0</v>
      </c>
      <c r="Z100" s="144">
        <f>IFERROR(_xlfn.XLOOKUP($B100,'Cronog. e Histog.'!$BZ:$BZ,'Cronog. e Histog.'!CU:CU),"")</f>
        <v>0</v>
      </c>
      <c r="AA100" s="144">
        <f>IFERROR(_xlfn.XLOOKUP($B100,'Cronog. e Histog.'!$BZ:$BZ,'Cronog. e Histog.'!CV:CV),"")</f>
        <v>0</v>
      </c>
      <c r="AB100" s="144">
        <f>IFERROR(_xlfn.XLOOKUP($B100,'Cronog. e Histog.'!$BZ:$BZ,'Cronog. e Histog.'!CW:CW),"")</f>
        <v>0</v>
      </c>
      <c r="AC100" s="144">
        <f>IFERROR(_xlfn.XLOOKUP($B100,'Cronog. e Histog.'!$BZ:$BZ,'Cronog. e Histog.'!CX:CX),"")</f>
        <v>0</v>
      </c>
      <c r="AD100" s="144">
        <f>IFERROR(_xlfn.XLOOKUP($B100,'Cronog. e Histog.'!$BZ:$BZ,'Cronog. e Histog.'!CY:CY),"")</f>
        <v>0</v>
      </c>
      <c r="AE100" s="144">
        <f>IFERROR(_xlfn.XLOOKUP($B100,'Cronog. e Histog.'!$BZ:$BZ,'Cronog. e Histog.'!CZ:CZ),"")</f>
        <v>0</v>
      </c>
      <c r="AF100" s="144">
        <f>IFERROR(_xlfn.XLOOKUP($B100,'Cronog. e Histog.'!$BZ:$BZ,'Cronog. e Histog.'!DA:DA),"")</f>
        <v>0</v>
      </c>
      <c r="AG100" s="144">
        <f>IFERROR(_xlfn.XLOOKUP($B100,'Cronog. e Histog.'!$BZ:$BZ,'Cronog. e Histog.'!DB:DB),"")</f>
        <v>0</v>
      </c>
      <c r="AH100" s="144">
        <f>IFERROR(_xlfn.XLOOKUP($B100,'Cronog. e Histog.'!$BZ:$BZ,'Cronog. e Histog.'!DC:DC),"")</f>
        <v>0</v>
      </c>
      <c r="AI100" s="144">
        <f>IFERROR(_xlfn.XLOOKUP($B100,'Cronog. e Histog.'!$BZ:$BZ,'Cronog. e Histog.'!DD:DD),"")</f>
        <v>0</v>
      </c>
      <c r="AJ100" s="144">
        <f>IFERROR(_xlfn.XLOOKUP($B100,'Cronog. e Histog.'!$BZ:$BZ,'Cronog. e Histog.'!DE:DE),"")</f>
        <v>0</v>
      </c>
      <c r="AK100" s="144">
        <f>IFERROR(_xlfn.XLOOKUP($B100,'Cronog. e Histog.'!$BZ:$BZ,'Cronog. e Histog.'!DF:DF),"")</f>
        <v>0</v>
      </c>
      <c r="AL100" s="144">
        <f>IFERROR(_xlfn.XLOOKUP($B100,'Cronog. e Histog.'!$BZ:$BZ,'Cronog. e Histog.'!DG:DG),"")</f>
        <v>0</v>
      </c>
      <c r="AM100" s="144">
        <f>IFERROR(_xlfn.XLOOKUP($B100,'Cronog. e Histog.'!$BZ:$BZ,'Cronog. e Histog.'!DH:DH),"")</f>
        <v>0</v>
      </c>
      <c r="AN100" s="144">
        <f>IFERROR(_xlfn.XLOOKUP($B100,'Cronog. e Histog.'!$BZ:$BZ,'Cronog. e Histog.'!DI:DI),"")</f>
        <v>0</v>
      </c>
      <c r="AO100" s="144">
        <f>IFERROR(_xlfn.XLOOKUP($B100,'Cronog. e Histog.'!$BZ:$BZ,'Cronog. e Histog.'!DJ:DJ),"")</f>
        <v>0</v>
      </c>
      <c r="AP100" s="144">
        <f>IFERROR(_xlfn.XLOOKUP($B100,'Cronog. e Histog.'!$BZ:$BZ,'Cronog. e Histog.'!DK:DK),"")</f>
        <v>0</v>
      </c>
      <c r="AQ100" s="144">
        <f>IFERROR(_xlfn.XLOOKUP($B100,'Cronog. e Histog.'!$BZ:$BZ,'Cronog. e Histog.'!DL:DL),"")</f>
        <v>0</v>
      </c>
      <c r="AR100" s="144">
        <f>IFERROR(_xlfn.XLOOKUP($B100,'Cronog. e Histog.'!$BZ:$BZ,'Cronog. e Histog.'!DM:DM),"")</f>
        <v>0</v>
      </c>
      <c r="AS100" s="144">
        <f>IFERROR(_xlfn.XLOOKUP($B100,'Cronog. e Histog.'!$BZ:$BZ,'Cronog. e Histog.'!DN:DN),"")</f>
        <v>0</v>
      </c>
      <c r="AT100" s="144">
        <f>IFERROR(_xlfn.XLOOKUP($B100,'Cronog. e Histog.'!$BZ:$BZ,'Cronog. e Histog.'!DO:DO),"")</f>
        <v>0</v>
      </c>
      <c r="AU100" s="144">
        <f>IFERROR(_xlfn.XLOOKUP($B100,'Cronog. e Histog.'!$BZ:$BZ,'Cronog. e Histog.'!DP:DP),"")</f>
        <v>0</v>
      </c>
      <c r="AV100" s="144">
        <f>IFERROR(_xlfn.XLOOKUP($B100,'Cronog. e Histog.'!$BZ:$BZ,'Cronog. e Histog.'!DQ:DQ),"")</f>
        <v>0</v>
      </c>
      <c r="AW100" s="144">
        <f>IFERROR(_xlfn.XLOOKUP($B100,'Cronog. e Histog.'!$BZ:$BZ,'Cronog. e Histog.'!DR:DR),"")</f>
        <v>0</v>
      </c>
      <c r="AX100" s="144">
        <f>IFERROR(_xlfn.XLOOKUP($B100,'Cronog. e Histog.'!$BZ:$BZ,'Cronog. e Histog.'!DS:DS),"")</f>
        <v>0</v>
      </c>
      <c r="AY100" s="144">
        <f>IFERROR(_xlfn.XLOOKUP($B100,'Cronog. e Histog.'!$BZ:$BZ,'Cronog. e Histog.'!DT:DT),"")</f>
        <v>0</v>
      </c>
      <c r="AZ100" s="144">
        <f>IFERROR(_xlfn.XLOOKUP($B100,'Cronog. e Histog.'!$BZ:$BZ,'Cronog. e Histog.'!DU:DU),"")</f>
        <v>0</v>
      </c>
      <c r="BA100" s="144">
        <f>IFERROR(_xlfn.XLOOKUP($B100,'Cronog. e Histog.'!$BZ:$BZ,'Cronog. e Histog.'!DV:DV),"")</f>
        <v>0</v>
      </c>
      <c r="BB100" s="144">
        <f>IFERROR(_xlfn.XLOOKUP($B100,'Cronog. e Histog.'!$BZ:$BZ,'Cronog. e Histog.'!DW:DW),"")</f>
        <v>0</v>
      </c>
      <c r="BC100" s="144">
        <f>IFERROR(_xlfn.XLOOKUP($B100,'Cronog. e Histog.'!$BZ:$BZ,'Cronog. e Histog.'!DX:DX),"")</f>
        <v>0</v>
      </c>
      <c r="BD100" s="144">
        <f>IFERROR(_xlfn.XLOOKUP($B100,'Cronog. e Histog.'!$BZ:$BZ,'Cronog. e Histog.'!DY:DY),"")</f>
        <v>0</v>
      </c>
      <c r="BE100" s="144">
        <f>IFERROR(_xlfn.XLOOKUP($B100,'Cronog. e Histog.'!$BZ:$BZ,'Cronog. e Histog.'!DZ:DZ),"")</f>
        <v>0</v>
      </c>
      <c r="BF100" s="144">
        <f>IFERROR(_xlfn.XLOOKUP($B100,'Cronog. e Histog.'!$BZ:$BZ,'Cronog. e Histog.'!EA:EA),"")</f>
        <v>0</v>
      </c>
      <c r="BG100" s="144">
        <f>IFERROR(_xlfn.XLOOKUP($B100,'Cronog. e Histog.'!$BZ:$BZ,'Cronog. e Histog.'!EB:EB),"")</f>
        <v>0</v>
      </c>
      <c r="BH100" s="144">
        <f>IFERROR(_xlfn.XLOOKUP($B100,'Cronog. e Histog.'!$BZ:$BZ,'Cronog. e Histog.'!EC:EC),"")</f>
        <v>0</v>
      </c>
      <c r="BI100" s="144">
        <f>IFERROR(_xlfn.XLOOKUP($B100,'Cronog. e Histog.'!$BZ:$BZ,'Cronog. e Histog.'!ED:ED),"")</f>
        <v>0</v>
      </c>
      <c r="BJ100" s="144">
        <f>IFERROR(_xlfn.XLOOKUP($B100,'Cronog. e Histog.'!$BZ:$BZ,'Cronog. e Histog.'!EE:EE),"")</f>
        <v>0</v>
      </c>
      <c r="BK100" s="144">
        <f>IFERROR(_xlfn.XLOOKUP($B100,'Cronog. e Histog.'!$BZ:$BZ,'Cronog. e Histog.'!EF:EF),"")</f>
        <v>0</v>
      </c>
      <c r="BL100" s="144">
        <f>IFERROR(_xlfn.XLOOKUP($B100,'Cronog. e Histog.'!$BZ:$BZ,'Cronog. e Histog.'!EG:EG),"")</f>
        <v>0</v>
      </c>
      <c r="BM100" s="144">
        <f>IFERROR(_xlfn.XLOOKUP($B100,'Cronog. e Histog.'!$BZ:$BZ,'Cronog. e Histog.'!EH:EH),"")</f>
        <v>0</v>
      </c>
      <c r="BN100" s="144">
        <f>IFERROR(_xlfn.XLOOKUP($B100,'Cronog. e Histog.'!$BZ:$BZ,'Cronog. e Histog.'!EI:EI),"")</f>
        <v>0</v>
      </c>
    </row>
    <row r="101" spans="2:66" ht="12" hidden="1" customHeight="1" outlineLevel="1">
      <c r="B101" s="76">
        <v>95</v>
      </c>
      <c r="C101" s="143" t="str">
        <f>IFERROR(VLOOKUP(B101,'Cronog. e Histog.'!$BZ$213:$CA$747,2,0),"")</f>
        <v>TEC I</v>
      </c>
      <c r="D101" s="144">
        <f t="shared" si="2"/>
        <v>0</v>
      </c>
      <c r="E101" s="144">
        <f t="shared" si="3"/>
        <v>0</v>
      </c>
      <c r="F101" s="65"/>
      <c r="G101" s="144">
        <f>IFERROR(_xlfn.XLOOKUP($B101,'Cronog. e Histog.'!$BZ:$BZ,'Cronog. e Histog.'!CB:CB),"")</f>
        <v>0</v>
      </c>
      <c r="H101" s="144">
        <f>IFERROR(_xlfn.XLOOKUP($B101,'Cronog. e Histog.'!$BZ:$BZ,'Cronog. e Histog.'!CC:CC),"")</f>
        <v>0</v>
      </c>
      <c r="I101" s="144">
        <f>IFERROR(_xlfn.XLOOKUP($B101,'Cronog. e Histog.'!$BZ:$BZ,'Cronog. e Histog.'!CD:CD),"")</f>
        <v>0</v>
      </c>
      <c r="J101" s="144">
        <f>IFERROR(_xlfn.XLOOKUP($B101,'Cronog. e Histog.'!$BZ:$BZ,'Cronog. e Histog.'!CE:CE),"")</f>
        <v>0</v>
      </c>
      <c r="K101" s="144">
        <f>IFERROR(_xlfn.XLOOKUP($B101,'Cronog. e Histog.'!$BZ:$BZ,'Cronog. e Histog.'!CF:CF),"")</f>
        <v>0</v>
      </c>
      <c r="L101" s="144">
        <f>IFERROR(_xlfn.XLOOKUP($B101,'Cronog. e Histog.'!$BZ:$BZ,'Cronog. e Histog.'!CG:CG),"")</f>
        <v>0</v>
      </c>
      <c r="M101" s="144">
        <f>IFERROR(_xlfn.XLOOKUP($B101,'Cronog. e Histog.'!$BZ:$BZ,'Cronog. e Histog.'!CH:CH),"")</f>
        <v>0</v>
      </c>
      <c r="N101" s="144">
        <f>IFERROR(_xlfn.XLOOKUP($B101,'Cronog. e Histog.'!$BZ:$BZ,'Cronog. e Histog.'!CI:CI),"")</f>
        <v>0</v>
      </c>
      <c r="O101" s="144">
        <f>IFERROR(_xlfn.XLOOKUP($B101,'Cronog. e Histog.'!$BZ:$BZ,'Cronog. e Histog.'!CJ:CJ),"")</f>
        <v>0</v>
      </c>
      <c r="P101" s="144">
        <f>IFERROR(_xlfn.XLOOKUP($B101,'Cronog. e Histog.'!$BZ:$BZ,'Cronog. e Histog.'!CK:CK),"")</f>
        <v>0</v>
      </c>
      <c r="Q101" s="144">
        <f>IFERROR(_xlfn.XLOOKUP($B101,'Cronog. e Histog.'!$BZ:$BZ,'Cronog. e Histog.'!CL:CL),"")</f>
        <v>0</v>
      </c>
      <c r="R101" s="144">
        <f>IFERROR(_xlfn.XLOOKUP($B101,'Cronog. e Histog.'!$BZ:$BZ,'Cronog. e Histog.'!CM:CM),"")</f>
        <v>0</v>
      </c>
      <c r="S101" s="144">
        <f>IFERROR(_xlfn.XLOOKUP($B101,'Cronog. e Histog.'!$BZ:$BZ,'Cronog. e Histog.'!CN:CN),"")</f>
        <v>0</v>
      </c>
      <c r="T101" s="144">
        <f>IFERROR(_xlfn.XLOOKUP($B101,'Cronog. e Histog.'!$BZ:$BZ,'Cronog. e Histog.'!CO:CO),"")</f>
        <v>0</v>
      </c>
      <c r="U101" s="144">
        <f>IFERROR(_xlfn.XLOOKUP($B101,'Cronog. e Histog.'!$BZ:$BZ,'Cronog. e Histog.'!CP:CP),"")</f>
        <v>0</v>
      </c>
      <c r="V101" s="144">
        <f>IFERROR(_xlfn.XLOOKUP($B101,'Cronog. e Histog.'!$BZ:$BZ,'Cronog. e Histog.'!CQ:CQ),"")</f>
        <v>0</v>
      </c>
      <c r="W101" s="144">
        <f>IFERROR(_xlfn.XLOOKUP($B101,'Cronog. e Histog.'!$BZ:$BZ,'Cronog. e Histog.'!CR:CR),"")</f>
        <v>0</v>
      </c>
      <c r="X101" s="144">
        <f>IFERROR(_xlfn.XLOOKUP($B101,'Cronog. e Histog.'!$BZ:$BZ,'Cronog. e Histog.'!CS:CS),"")</f>
        <v>0</v>
      </c>
      <c r="Y101" s="144">
        <f>IFERROR(_xlfn.XLOOKUP($B101,'Cronog. e Histog.'!$BZ:$BZ,'Cronog. e Histog.'!CT:CT),"")</f>
        <v>0</v>
      </c>
      <c r="Z101" s="144">
        <f>IFERROR(_xlfn.XLOOKUP($B101,'Cronog. e Histog.'!$BZ:$BZ,'Cronog. e Histog.'!CU:CU),"")</f>
        <v>0</v>
      </c>
      <c r="AA101" s="144">
        <f>IFERROR(_xlfn.XLOOKUP($B101,'Cronog. e Histog.'!$BZ:$BZ,'Cronog. e Histog.'!CV:CV),"")</f>
        <v>0</v>
      </c>
      <c r="AB101" s="144">
        <f>IFERROR(_xlfn.XLOOKUP($B101,'Cronog. e Histog.'!$BZ:$BZ,'Cronog. e Histog.'!CW:CW),"")</f>
        <v>0</v>
      </c>
      <c r="AC101" s="144">
        <f>IFERROR(_xlfn.XLOOKUP($B101,'Cronog. e Histog.'!$BZ:$BZ,'Cronog. e Histog.'!CX:CX),"")</f>
        <v>0</v>
      </c>
      <c r="AD101" s="144">
        <f>IFERROR(_xlfn.XLOOKUP($B101,'Cronog. e Histog.'!$BZ:$BZ,'Cronog. e Histog.'!CY:CY),"")</f>
        <v>0</v>
      </c>
      <c r="AE101" s="144">
        <f>IFERROR(_xlfn.XLOOKUP($B101,'Cronog. e Histog.'!$BZ:$BZ,'Cronog. e Histog.'!CZ:CZ),"")</f>
        <v>0</v>
      </c>
      <c r="AF101" s="144">
        <f>IFERROR(_xlfn.XLOOKUP($B101,'Cronog. e Histog.'!$BZ:$BZ,'Cronog. e Histog.'!DA:DA),"")</f>
        <v>0</v>
      </c>
      <c r="AG101" s="144">
        <f>IFERROR(_xlfn.XLOOKUP($B101,'Cronog. e Histog.'!$BZ:$BZ,'Cronog. e Histog.'!DB:DB),"")</f>
        <v>0</v>
      </c>
      <c r="AH101" s="144">
        <f>IFERROR(_xlfn.XLOOKUP($B101,'Cronog. e Histog.'!$BZ:$BZ,'Cronog. e Histog.'!DC:DC),"")</f>
        <v>0</v>
      </c>
      <c r="AI101" s="144">
        <f>IFERROR(_xlfn.XLOOKUP($B101,'Cronog. e Histog.'!$BZ:$BZ,'Cronog. e Histog.'!DD:DD),"")</f>
        <v>0</v>
      </c>
      <c r="AJ101" s="144">
        <f>IFERROR(_xlfn.XLOOKUP($B101,'Cronog. e Histog.'!$BZ:$BZ,'Cronog. e Histog.'!DE:DE),"")</f>
        <v>0</v>
      </c>
      <c r="AK101" s="144">
        <f>IFERROR(_xlfn.XLOOKUP($B101,'Cronog. e Histog.'!$BZ:$BZ,'Cronog. e Histog.'!DF:DF),"")</f>
        <v>0</v>
      </c>
      <c r="AL101" s="144">
        <f>IFERROR(_xlfn.XLOOKUP($B101,'Cronog. e Histog.'!$BZ:$BZ,'Cronog. e Histog.'!DG:DG),"")</f>
        <v>0</v>
      </c>
      <c r="AM101" s="144">
        <f>IFERROR(_xlfn.XLOOKUP($B101,'Cronog. e Histog.'!$BZ:$BZ,'Cronog. e Histog.'!DH:DH),"")</f>
        <v>0</v>
      </c>
      <c r="AN101" s="144">
        <f>IFERROR(_xlfn.XLOOKUP($B101,'Cronog. e Histog.'!$BZ:$BZ,'Cronog. e Histog.'!DI:DI),"")</f>
        <v>0</v>
      </c>
      <c r="AO101" s="144">
        <f>IFERROR(_xlfn.XLOOKUP($B101,'Cronog. e Histog.'!$BZ:$BZ,'Cronog. e Histog.'!DJ:DJ),"")</f>
        <v>0</v>
      </c>
      <c r="AP101" s="144">
        <f>IFERROR(_xlfn.XLOOKUP($B101,'Cronog. e Histog.'!$BZ:$BZ,'Cronog. e Histog.'!DK:DK),"")</f>
        <v>0</v>
      </c>
      <c r="AQ101" s="144">
        <f>IFERROR(_xlfn.XLOOKUP($B101,'Cronog. e Histog.'!$BZ:$BZ,'Cronog. e Histog.'!DL:DL),"")</f>
        <v>0</v>
      </c>
      <c r="AR101" s="144">
        <f>IFERROR(_xlfn.XLOOKUP($B101,'Cronog. e Histog.'!$BZ:$BZ,'Cronog. e Histog.'!DM:DM),"")</f>
        <v>0</v>
      </c>
      <c r="AS101" s="144">
        <f>IFERROR(_xlfn.XLOOKUP($B101,'Cronog. e Histog.'!$BZ:$BZ,'Cronog. e Histog.'!DN:DN),"")</f>
        <v>0</v>
      </c>
      <c r="AT101" s="144">
        <f>IFERROR(_xlfn.XLOOKUP($B101,'Cronog. e Histog.'!$BZ:$BZ,'Cronog. e Histog.'!DO:DO),"")</f>
        <v>0</v>
      </c>
      <c r="AU101" s="144">
        <f>IFERROR(_xlfn.XLOOKUP($B101,'Cronog. e Histog.'!$BZ:$BZ,'Cronog. e Histog.'!DP:DP),"")</f>
        <v>0</v>
      </c>
      <c r="AV101" s="144">
        <f>IFERROR(_xlfn.XLOOKUP($B101,'Cronog. e Histog.'!$BZ:$BZ,'Cronog. e Histog.'!DQ:DQ),"")</f>
        <v>0</v>
      </c>
      <c r="AW101" s="144">
        <f>IFERROR(_xlfn.XLOOKUP($B101,'Cronog. e Histog.'!$BZ:$BZ,'Cronog. e Histog.'!DR:DR),"")</f>
        <v>0</v>
      </c>
      <c r="AX101" s="144">
        <f>IFERROR(_xlfn.XLOOKUP($B101,'Cronog. e Histog.'!$BZ:$BZ,'Cronog. e Histog.'!DS:DS),"")</f>
        <v>0</v>
      </c>
      <c r="AY101" s="144">
        <f>IFERROR(_xlfn.XLOOKUP($B101,'Cronog. e Histog.'!$BZ:$BZ,'Cronog. e Histog.'!DT:DT),"")</f>
        <v>0</v>
      </c>
      <c r="AZ101" s="144">
        <f>IFERROR(_xlfn.XLOOKUP($B101,'Cronog. e Histog.'!$BZ:$BZ,'Cronog. e Histog.'!DU:DU),"")</f>
        <v>0</v>
      </c>
      <c r="BA101" s="144">
        <f>IFERROR(_xlfn.XLOOKUP($B101,'Cronog. e Histog.'!$BZ:$BZ,'Cronog. e Histog.'!DV:DV),"")</f>
        <v>0</v>
      </c>
      <c r="BB101" s="144">
        <f>IFERROR(_xlfn.XLOOKUP($B101,'Cronog. e Histog.'!$BZ:$BZ,'Cronog. e Histog.'!DW:DW),"")</f>
        <v>0</v>
      </c>
      <c r="BC101" s="144">
        <f>IFERROR(_xlfn.XLOOKUP($B101,'Cronog. e Histog.'!$BZ:$BZ,'Cronog. e Histog.'!DX:DX),"")</f>
        <v>0</v>
      </c>
      <c r="BD101" s="144">
        <f>IFERROR(_xlfn.XLOOKUP($B101,'Cronog. e Histog.'!$BZ:$BZ,'Cronog. e Histog.'!DY:DY),"")</f>
        <v>0</v>
      </c>
      <c r="BE101" s="144">
        <f>IFERROR(_xlfn.XLOOKUP($B101,'Cronog. e Histog.'!$BZ:$BZ,'Cronog. e Histog.'!DZ:DZ),"")</f>
        <v>0</v>
      </c>
      <c r="BF101" s="144">
        <f>IFERROR(_xlfn.XLOOKUP($B101,'Cronog. e Histog.'!$BZ:$BZ,'Cronog. e Histog.'!EA:EA),"")</f>
        <v>0</v>
      </c>
      <c r="BG101" s="144">
        <f>IFERROR(_xlfn.XLOOKUP($B101,'Cronog. e Histog.'!$BZ:$BZ,'Cronog. e Histog.'!EB:EB),"")</f>
        <v>0</v>
      </c>
      <c r="BH101" s="144">
        <f>IFERROR(_xlfn.XLOOKUP($B101,'Cronog. e Histog.'!$BZ:$BZ,'Cronog. e Histog.'!EC:EC),"")</f>
        <v>0</v>
      </c>
      <c r="BI101" s="144">
        <f>IFERROR(_xlfn.XLOOKUP($B101,'Cronog. e Histog.'!$BZ:$BZ,'Cronog. e Histog.'!ED:ED),"")</f>
        <v>0</v>
      </c>
      <c r="BJ101" s="144">
        <f>IFERROR(_xlfn.XLOOKUP($B101,'Cronog. e Histog.'!$BZ:$BZ,'Cronog. e Histog.'!EE:EE),"")</f>
        <v>0</v>
      </c>
      <c r="BK101" s="144">
        <f>IFERROR(_xlfn.XLOOKUP($B101,'Cronog. e Histog.'!$BZ:$BZ,'Cronog. e Histog.'!EF:EF),"")</f>
        <v>0</v>
      </c>
      <c r="BL101" s="144">
        <f>IFERROR(_xlfn.XLOOKUP($B101,'Cronog. e Histog.'!$BZ:$BZ,'Cronog. e Histog.'!EG:EG),"")</f>
        <v>0</v>
      </c>
      <c r="BM101" s="144">
        <f>IFERROR(_xlfn.XLOOKUP($B101,'Cronog. e Histog.'!$BZ:$BZ,'Cronog. e Histog.'!EH:EH),"")</f>
        <v>0</v>
      </c>
      <c r="BN101" s="144">
        <f>IFERROR(_xlfn.XLOOKUP($B101,'Cronog. e Histog.'!$BZ:$BZ,'Cronog. e Histog.'!EI:EI),"")</f>
        <v>0</v>
      </c>
    </row>
    <row r="102" spans="2:66" ht="12" hidden="1" customHeight="1" outlineLevel="1">
      <c r="B102" s="76">
        <v>96</v>
      </c>
      <c r="C102" s="143" t="str">
        <f>IFERROR(VLOOKUP(B102,'Cronog. e Histog.'!$BZ$213:$CA$747,2,0),"")</f>
        <v>AUX TEC</v>
      </c>
      <c r="D102" s="144">
        <f t="shared" si="2"/>
        <v>0</v>
      </c>
      <c r="E102" s="144">
        <f t="shared" si="3"/>
        <v>0</v>
      </c>
      <c r="F102" s="65"/>
      <c r="G102" s="144">
        <f>IFERROR(_xlfn.XLOOKUP($B102,'Cronog. e Histog.'!$BZ:$BZ,'Cronog. e Histog.'!CB:CB),"")</f>
        <v>0</v>
      </c>
      <c r="H102" s="144">
        <f>IFERROR(_xlfn.XLOOKUP($B102,'Cronog. e Histog.'!$BZ:$BZ,'Cronog. e Histog.'!CC:CC),"")</f>
        <v>0</v>
      </c>
      <c r="I102" s="144">
        <f>IFERROR(_xlfn.XLOOKUP($B102,'Cronog. e Histog.'!$BZ:$BZ,'Cronog. e Histog.'!CD:CD),"")</f>
        <v>0</v>
      </c>
      <c r="J102" s="144">
        <f>IFERROR(_xlfn.XLOOKUP($B102,'Cronog. e Histog.'!$BZ:$BZ,'Cronog. e Histog.'!CE:CE),"")</f>
        <v>0</v>
      </c>
      <c r="K102" s="144">
        <f>IFERROR(_xlfn.XLOOKUP($B102,'Cronog. e Histog.'!$BZ:$BZ,'Cronog. e Histog.'!CF:CF),"")</f>
        <v>0</v>
      </c>
      <c r="L102" s="144">
        <f>IFERROR(_xlfn.XLOOKUP($B102,'Cronog. e Histog.'!$BZ:$BZ,'Cronog. e Histog.'!CG:CG),"")</f>
        <v>0</v>
      </c>
      <c r="M102" s="144">
        <f>IFERROR(_xlfn.XLOOKUP($B102,'Cronog. e Histog.'!$BZ:$BZ,'Cronog. e Histog.'!CH:CH),"")</f>
        <v>0</v>
      </c>
      <c r="N102" s="144">
        <f>IFERROR(_xlfn.XLOOKUP($B102,'Cronog. e Histog.'!$BZ:$BZ,'Cronog. e Histog.'!CI:CI),"")</f>
        <v>0</v>
      </c>
      <c r="O102" s="144">
        <f>IFERROR(_xlfn.XLOOKUP($B102,'Cronog. e Histog.'!$BZ:$BZ,'Cronog. e Histog.'!CJ:CJ),"")</f>
        <v>0</v>
      </c>
      <c r="P102" s="144">
        <f>IFERROR(_xlfn.XLOOKUP($B102,'Cronog. e Histog.'!$BZ:$BZ,'Cronog. e Histog.'!CK:CK),"")</f>
        <v>0</v>
      </c>
      <c r="Q102" s="144">
        <f>IFERROR(_xlfn.XLOOKUP($B102,'Cronog. e Histog.'!$BZ:$BZ,'Cronog. e Histog.'!CL:CL),"")</f>
        <v>0</v>
      </c>
      <c r="R102" s="144">
        <f>IFERROR(_xlfn.XLOOKUP($B102,'Cronog. e Histog.'!$BZ:$BZ,'Cronog. e Histog.'!CM:CM),"")</f>
        <v>0</v>
      </c>
      <c r="S102" s="144">
        <f>IFERROR(_xlfn.XLOOKUP($B102,'Cronog. e Histog.'!$BZ:$BZ,'Cronog. e Histog.'!CN:CN),"")</f>
        <v>0</v>
      </c>
      <c r="T102" s="144">
        <f>IFERROR(_xlfn.XLOOKUP($B102,'Cronog. e Histog.'!$BZ:$BZ,'Cronog. e Histog.'!CO:CO),"")</f>
        <v>0</v>
      </c>
      <c r="U102" s="144">
        <f>IFERROR(_xlfn.XLOOKUP($B102,'Cronog. e Histog.'!$BZ:$BZ,'Cronog. e Histog.'!CP:CP),"")</f>
        <v>0</v>
      </c>
      <c r="V102" s="144">
        <f>IFERROR(_xlfn.XLOOKUP($B102,'Cronog. e Histog.'!$BZ:$BZ,'Cronog. e Histog.'!CQ:CQ),"")</f>
        <v>0</v>
      </c>
      <c r="W102" s="144">
        <f>IFERROR(_xlfn.XLOOKUP($B102,'Cronog. e Histog.'!$BZ:$BZ,'Cronog. e Histog.'!CR:CR),"")</f>
        <v>0</v>
      </c>
      <c r="X102" s="144">
        <f>IFERROR(_xlfn.XLOOKUP($B102,'Cronog. e Histog.'!$BZ:$BZ,'Cronog. e Histog.'!CS:CS),"")</f>
        <v>0</v>
      </c>
      <c r="Y102" s="144">
        <f>IFERROR(_xlfn.XLOOKUP($B102,'Cronog. e Histog.'!$BZ:$BZ,'Cronog. e Histog.'!CT:CT),"")</f>
        <v>0</v>
      </c>
      <c r="Z102" s="144">
        <f>IFERROR(_xlfn.XLOOKUP($B102,'Cronog. e Histog.'!$BZ:$BZ,'Cronog. e Histog.'!CU:CU),"")</f>
        <v>0</v>
      </c>
      <c r="AA102" s="144">
        <f>IFERROR(_xlfn.XLOOKUP($B102,'Cronog. e Histog.'!$BZ:$BZ,'Cronog. e Histog.'!CV:CV),"")</f>
        <v>0</v>
      </c>
      <c r="AB102" s="144">
        <f>IFERROR(_xlfn.XLOOKUP($B102,'Cronog. e Histog.'!$BZ:$BZ,'Cronog. e Histog.'!CW:CW),"")</f>
        <v>0</v>
      </c>
      <c r="AC102" s="144">
        <f>IFERROR(_xlfn.XLOOKUP($B102,'Cronog. e Histog.'!$BZ:$BZ,'Cronog. e Histog.'!CX:CX),"")</f>
        <v>0</v>
      </c>
      <c r="AD102" s="144">
        <f>IFERROR(_xlfn.XLOOKUP($B102,'Cronog. e Histog.'!$BZ:$BZ,'Cronog. e Histog.'!CY:CY),"")</f>
        <v>0</v>
      </c>
      <c r="AE102" s="144">
        <f>IFERROR(_xlfn.XLOOKUP($B102,'Cronog. e Histog.'!$BZ:$BZ,'Cronog. e Histog.'!CZ:CZ),"")</f>
        <v>0</v>
      </c>
      <c r="AF102" s="144">
        <f>IFERROR(_xlfn.XLOOKUP($B102,'Cronog. e Histog.'!$BZ:$BZ,'Cronog. e Histog.'!DA:DA),"")</f>
        <v>0</v>
      </c>
      <c r="AG102" s="144">
        <f>IFERROR(_xlfn.XLOOKUP($B102,'Cronog. e Histog.'!$BZ:$BZ,'Cronog. e Histog.'!DB:DB),"")</f>
        <v>0</v>
      </c>
      <c r="AH102" s="144">
        <f>IFERROR(_xlfn.XLOOKUP($B102,'Cronog. e Histog.'!$BZ:$BZ,'Cronog. e Histog.'!DC:DC),"")</f>
        <v>0</v>
      </c>
      <c r="AI102" s="144">
        <f>IFERROR(_xlfn.XLOOKUP($B102,'Cronog. e Histog.'!$BZ:$BZ,'Cronog. e Histog.'!DD:DD),"")</f>
        <v>0</v>
      </c>
      <c r="AJ102" s="144">
        <f>IFERROR(_xlfn.XLOOKUP($B102,'Cronog. e Histog.'!$BZ:$BZ,'Cronog. e Histog.'!DE:DE),"")</f>
        <v>0</v>
      </c>
      <c r="AK102" s="144">
        <f>IFERROR(_xlfn.XLOOKUP($B102,'Cronog. e Histog.'!$BZ:$BZ,'Cronog. e Histog.'!DF:DF),"")</f>
        <v>0</v>
      </c>
      <c r="AL102" s="144">
        <f>IFERROR(_xlfn.XLOOKUP($B102,'Cronog. e Histog.'!$BZ:$BZ,'Cronog. e Histog.'!DG:DG),"")</f>
        <v>0</v>
      </c>
      <c r="AM102" s="144">
        <f>IFERROR(_xlfn.XLOOKUP($B102,'Cronog. e Histog.'!$BZ:$BZ,'Cronog. e Histog.'!DH:DH),"")</f>
        <v>0</v>
      </c>
      <c r="AN102" s="144">
        <f>IFERROR(_xlfn.XLOOKUP($B102,'Cronog. e Histog.'!$BZ:$BZ,'Cronog. e Histog.'!DI:DI),"")</f>
        <v>0</v>
      </c>
      <c r="AO102" s="144">
        <f>IFERROR(_xlfn.XLOOKUP($B102,'Cronog. e Histog.'!$BZ:$BZ,'Cronog. e Histog.'!DJ:DJ),"")</f>
        <v>0</v>
      </c>
      <c r="AP102" s="144">
        <f>IFERROR(_xlfn.XLOOKUP($B102,'Cronog. e Histog.'!$BZ:$BZ,'Cronog. e Histog.'!DK:DK),"")</f>
        <v>0</v>
      </c>
      <c r="AQ102" s="144">
        <f>IFERROR(_xlfn.XLOOKUP($B102,'Cronog. e Histog.'!$BZ:$BZ,'Cronog. e Histog.'!DL:DL),"")</f>
        <v>0</v>
      </c>
      <c r="AR102" s="144">
        <f>IFERROR(_xlfn.XLOOKUP($B102,'Cronog. e Histog.'!$BZ:$BZ,'Cronog. e Histog.'!DM:DM),"")</f>
        <v>0</v>
      </c>
      <c r="AS102" s="144">
        <f>IFERROR(_xlfn.XLOOKUP($B102,'Cronog. e Histog.'!$BZ:$BZ,'Cronog. e Histog.'!DN:DN),"")</f>
        <v>0</v>
      </c>
      <c r="AT102" s="144">
        <f>IFERROR(_xlfn.XLOOKUP($B102,'Cronog. e Histog.'!$BZ:$BZ,'Cronog. e Histog.'!DO:DO),"")</f>
        <v>0</v>
      </c>
      <c r="AU102" s="144">
        <f>IFERROR(_xlfn.XLOOKUP($B102,'Cronog. e Histog.'!$BZ:$BZ,'Cronog. e Histog.'!DP:DP),"")</f>
        <v>0</v>
      </c>
      <c r="AV102" s="144">
        <f>IFERROR(_xlfn.XLOOKUP($B102,'Cronog. e Histog.'!$BZ:$BZ,'Cronog. e Histog.'!DQ:DQ),"")</f>
        <v>0</v>
      </c>
      <c r="AW102" s="144">
        <f>IFERROR(_xlfn.XLOOKUP($B102,'Cronog. e Histog.'!$BZ:$BZ,'Cronog. e Histog.'!DR:DR),"")</f>
        <v>0</v>
      </c>
      <c r="AX102" s="144">
        <f>IFERROR(_xlfn.XLOOKUP($B102,'Cronog. e Histog.'!$BZ:$BZ,'Cronog. e Histog.'!DS:DS),"")</f>
        <v>0</v>
      </c>
      <c r="AY102" s="144">
        <f>IFERROR(_xlfn.XLOOKUP($B102,'Cronog. e Histog.'!$BZ:$BZ,'Cronog. e Histog.'!DT:DT),"")</f>
        <v>0</v>
      </c>
      <c r="AZ102" s="144">
        <f>IFERROR(_xlfn.XLOOKUP($B102,'Cronog. e Histog.'!$BZ:$BZ,'Cronog. e Histog.'!DU:DU),"")</f>
        <v>0</v>
      </c>
      <c r="BA102" s="144">
        <f>IFERROR(_xlfn.XLOOKUP($B102,'Cronog. e Histog.'!$BZ:$BZ,'Cronog. e Histog.'!DV:DV),"")</f>
        <v>0</v>
      </c>
      <c r="BB102" s="144">
        <f>IFERROR(_xlfn.XLOOKUP($B102,'Cronog. e Histog.'!$BZ:$BZ,'Cronog. e Histog.'!DW:DW),"")</f>
        <v>0</v>
      </c>
      <c r="BC102" s="144">
        <f>IFERROR(_xlfn.XLOOKUP($B102,'Cronog. e Histog.'!$BZ:$BZ,'Cronog. e Histog.'!DX:DX),"")</f>
        <v>0</v>
      </c>
      <c r="BD102" s="144">
        <f>IFERROR(_xlfn.XLOOKUP($B102,'Cronog. e Histog.'!$BZ:$BZ,'Cronog. e Histog.'!DY:DY),"")</f>
        <v>0</v>
      </c>
      <c r="BE102" s="144">
        <f>IFERROR(_xlfn.XLOOKUP($B102,'Cronog. e Histog.'!$BZ:$BZ,'Cronog. e Histog.'!DZ:DZ),"")</f>
        <v>0</v>
      </c>
      <c r="BF102" s="144">
        <f>IFERROR(_xlfn.XLOOKUP($B102,'Cronog. e Histog.'!$BZ:$BZ,'Cronog. e Histog.'!EA:EA),"")</f>
        <v>0</v>
      </c>
      <c r="BG102" s="144">
        <f>IFERROR(_xlfn.XLOOKUP($B102,'Cronog. e Histog.'!$BZ:$BZ,'Cronog. e Histog.'!EB:EB),"")</f>
        <v>0</v>
      </c>
      <c r="BH102" s="144">
        <f>IFERROR(_xlfn.XLOOKUP($B102,'Cronog. e Histog.'!$BZ:$BZ,'Cronog. e Histog.'!EC:EC),"")</f>
        <v>0</v>
      </c>
      <c r="BI102" s="144">
        <f>IFERROR(_xlfn.XLOOKUP($B102,'Cronog. e Histog.'!$BZ:$BZ,'Cronog. e Histog.'!ED:ED),"")</f>
        <v>0</v>
      </c>
      <c r="BJ102" s="144">
        <f>IFERROR(_xlfn.XLOOKUP($B102,'Cronog. e Histog.'!$BZ:$BZ,'Cronog. e Histog.'!EE:EE),"")</f>
        <v>0</v>
      </c>
      <c r="BK102" s="144">
        <f>IFERROR(_xlfn.XLOOKUP($B102,'Cronog. e Histog.'!$BZ:$BZ,'Cronog. e Histog.'!EF:EF),"")</f>
        <v>0</v>
      </c>
      <c r="BL102" s="144">
        <f>IFERROR(_xlfn.XLOOKUP($B102,'Cronog. e Histog.'!$BZ:$BZ,'Cronog. e Histog.'!EG:EG),"")</f>
        <v>0</v>
      </c>
      <c r="BM102" s="144">
        <f>IFERROR(_xlfn.XLOOKUP($B102,'Cronog. e Histog.'!$BZ:$BZ,'Cronog. e Histog.'!EH:EH),"")</f>
        <v>0</v>
      </c>
      <c r="BN102" s="144">
        <f>IFERROR(_xlfn.XLOOKUP($B102,'Cronog. e Histog.'!$BZ:$BZ,'Cronog. e Histog.'!EI:EI),"")</f>
        <v>0</v>
      </c>
    </row>
    <row r="103" spans="2:66" ht="12" hidden="1" customHeight="1" outlineLevel="1">
      <c r="B103" s="76">
        <v>97</v>
      </c>
      <c r="C103" s="143" t="str">
        <f>IFERROR(VLOOKUP(B103,'Cronog. e Histog.'!$BZ$213:$CA$747,2,0),"")</f>
        <v>AUX ADM</v>
      </c>
      <c r="D103" s="144">
        <f t="shared" si="2"/>
        <v>0</v>
      </c>
      <c r="E103" s="144">
        <f t="shared" si="3"/>
        <v>0</v>
      </c>
      <c r="F103" s="65"/>
      <c r="G103" s="144">
        <f>IFERROR(_xlfn.XLOOKUP($B103,'Cronog. e Histog.'!$BZ:$BZ,'Cronog. e Histog.'!CB:CB),"")</f>
        <v>0</v>
      </c>
      <c r="H103" s="144">
        <f>IFERROR(_xlfn.XLOOKUP($B103,'Cronog. e Histog.'!$BZ:$BZ,'Cronog. e Histog.'!CC:CC),"")</f>
        <v>0</v>
      </c>
      <c r="I103" s="144">
        <f>IFERROR(_xlfn.XLOOKUP($B103,'Cronog. e Histog.'!$BZ:$BZ,'Cronog. e Histog.'!CD:CD),"")</f>
        <v>0</v>
      </c>
      <c r="J103" s="144">
        <f>IFERROR(_xlfn.XLOOKUP($B103,'Cronog. e Histog.'!$BZ:$BZ,'Cronog. e Histog.'!CE:CE),"")</f>
        <v>0</v>
      </c>
      <c r="K103" s="144">
        <f>IFERROR(_xlfn.XLOOKUP($B103,'Cronog. e Histog.'!$BZ:$BZ,'Cronog. e Histog.'!CF:CF),"")</f>
        <v>0</v>
      </c>
      <c r="L103" s="144">
        <f>IFERROR(_xlfn.XLOOKUP($B103,'Cronog. e Histog.'!$BZ:$BZ,'Cronog. e Histog.'!CG:CG),"")</f>
        <v>0</v>
      </c>
      <c r="M103" s="144">
        <f>IFERROR(_xlfn.XLOOKUP($B103,'Cronog. e Histog.'!$BZ:$BZ,'Cronog. e Histog.'!CH:CH),"")</f>
        <v>0</v>
      </c>
      <c r="N103" s="144">
        <f>IFERROR(_xlfn.XLOOKUP($B103,'Cronog. e Histog.'!$BZ:$BZ,'Cronog. e Histog.'!CI:CI),"")</f>
        <v>0</v>
      </c>
      <c r="O103" s="144">
        <f>IFERROR(_xlfn.XLOOKUP($B103,'Cronog. e Histog.'!$BZ:$BZ,'Cronog. e Histog.'!CJ:CJ),"")</f>
        <v>0</v>
      </c>
      <c r="P103" s="144">
        <f>IFERROR(_xlfn.XLOOKUP($B103,'Cronog. e Histog.'!$BZ:$BZ,'Cronog. e Histog.'!CK:CK),"")</f>
        <v>0</v>
      </c>
      <c r="Q103" s="144">
        <f>IFERROR(_xlfn.XLOOKUP($B103,'Cronog. e Histog.'!$BZ:$BZ,'Cronog. e Histog.'!CL:CL),"")</f>
        <v>0</v>
      </c>
      <c r="R103" s="144">
        <f>IFERROR(_xlfn.XLOOKUP($B103,'Cronog. e Histog.'!$BZ:$BZ,'Cronog. e Histog.'!CM:CM),"")</f>
        <v>0</v>
      </c>
      <c r="S103" s="144">
        <f>IFERROR(_xlfn.XLOOKUP($B103,'Cronog. e Histog.'!$BZ:$BZ,'Cronog. e Histog.'!CN:CN),"")</f>
        <v>0</v>
      </c>
      <c r="T103" s="144">
        <f>IFERROR(_xlfn.XLOOKUP($B103,'Cronog. e Histog.'!$BZ:$BZ,'Cronog. e Histog.'!CO:CO),"")</f>
        <v>0</v>
      </c>
      <c r="U103" s="144">
        <f>IFERROR(_xlfn.XLOOKUP($B103,'Cronog. e Histog.'!$BZ:$BZ,'Cronog. e Histog.'!CP:CP),"")</f>
        <v>0</v>
      </c>
      <c r="V103" s="144">
        <f>IFERROR(_xlfn.XLOOKUP($B103,'Cronog. e Histog.'!$BZ:$BZ,'Cronog. e Histog.'!CQ:CQ),"")</f>
        <v>0</v>
      </c>
      <c r="W103" s="144">
        <f>IFERROR(_xlfn.XLOOKUP($B103,'Cronog. e Histog.'!$BZ:$BZ,'Cronog. e Histog.'!CR:CR),"")</f>
        <v>0</v>
      </c>
      <c r="X103" s="144">
        <f>IFERROR(_xlfn.XLOOKUP($B103,'Cronog. e Histog.'!$BZ:$BZ,'Cronog. e Histog.'!CS:CS),"")</f>
        <v>0</v>
      </c>
      <c r="Y103" s="144">
        <f>IFERROR(_xlfn.XLOOKUP($B103,'Cronog. e Histog.'!$BZ:$BZ,'Cronog. e Histog.'!CT:CT),"")</f>
        <v>0</v>
      </c>
      <c r="Z103" s="144">
        <f>IFERROR(_xlfn.XLOOKUP($B103,'Cronog. e Histog.'!$BZ:$BZ,'Cronog. e Histog.'!CU:CU),"")</f>
        <v>0</v>
      </c>
      <c r="AA103" s="144">
        <f>IFERROR(_xlfn.XLOOKUP($B103,'Cronog. e Histog.'!$BZ:$BZ,'Cronog. e Histog.'!CV:CV),"")</f>
        <v>0</v>
      </c>
      <c r="AB103" s="144">
        <f>IFERROR(_xlfn.XLOOKUP($B103,'Cronog. e Histog.'!$BZ:$BZ,'Cronog. e Histog.'!CW:CW),"")</f>
        <v>0</v>
      </c>
      <c r="AC103" s="144">
        <f>IFERROR(_xlfn.XLOOKUP($B103,'Cronog. e Histog.'!$BZ:$BZ,'Cronog. e Histog.'!CX:CX),"")</f>
        <v>0</v>
      </c>
      <c r="AD103" s="144">
        <f>IFERROR(_xlfn.XLOOKUP($B103,'Cronog. e Histog.'!$BZ:$BZ,'Cronog. e Histog.'!CY:CY),"")</f>
        <v>0</v>
      </c>
      <c r="AE103" s="144">
        <f>IFERROR(_xlfn.XLOOKUP($B103,'Cronog. e Histog.'!$BZ:$BZ,'Cronog. e Histog.'!CZ:CZ),"")</f>
        <v>0</v>
      </c>
      <c r="AF103" s="144">
        <f>IFERROR(_xlfn.XLOOKUP($B103,'Cronog. e Histog.'!$BZ:$BZ,'Cronog. e Histog.'!DA:DA),"")</f>
        <v>0</v>
      </c>
      <c r="AG103" s="144">
        <f>IFERROR(_xlfn.XLOOKUP($B103,'Cronog. e Histog.'!$BZ:$BZ,'Cronog. e Histog.'!DB:DB),"")</f>
        <v>0</v>
      </c>
      <c r="AH103" s="144">
        <f>IFERROR(_xlfn.XLOOKUP($B103,'Cronog. e Histog.'!$BZ:$BZ,'Cronog. e Histog.'!DC:DC),"")</f>
        <v>0</v>
      </c>
      <c r="AI103" s="144">
        <f>IFERROR(_xlfn.XLOOKUP($B103,'Cronog. e Histog.'!$BZ:$BZ,'Cronog. e Histog.'!DD:DD),"")</f>
        <v>0</v>
      </c>
      <c r="AJ103" s="144">
        <f>IFERROR(_xlfn.XLOOKUP($B103,'Cronog. e Histog.'!$BZ:$BZ,'Cronog. e Histog.'!DE:DE),"")</f>
        <v>0</v>
      </c>
      <c r="AK103" s="144">
        <f>IFERROR(_xlfn.XLOOKUP($B103,'Cronog. e Histog.'!$BZ:$BZ,'Cronog. e Histog.'!DF:DF),"")</f>
        <v>0</v>
      </c>
      <c r="AL103" s="144">
        <f>IFERROR(_xlfn.XLOOKUP($B103,'Cronog. e Histog.'!$BZ:$BZ,'Cronog. e Histog.'!DG:DG),"")</f>
        <v>0</v>
      </c>
      <c r="AM103" s="144">
        <f>IFERROR(_xlfn.XLOOKUP($B103,'Cronog. e Histog.'!$BZ:$BZ,'Cronog. e Histog.'!DH:DH),"")</f>
        <v>0</v>
      </c>
      <c r="AN103" s="144">
        <f>IFERROR(_xlfn.XLOOKUP($B103,'Cronog. e Histog.'!$BZ:$BZ,'Cronog. e Histog.'!DI:DI),"")</f>
        <v>0</v>
      </c>
      <c r="AO103" s="144">
        <f>IFERROR(_xlfn.XLOOKUP($B103,'Cronog. e Histog.'!$BZ:$BZ,'Cronog. e Histog.'!DJ:DJ),"")</f>
        <v>0</v>
      </c>
      <c r="AP103" s="144">
        <f>IFERROR(_xlfn.XLOOKUP($B103,'Cronog. e Histog.'!$BZ:$BZ,'Cronog. e Histog.'!DK:DK),"")</f>
        <v>0</v>
      </c>
      <c r="AQ103" s="144">
        <f>IFERROR(_xlfn.XLOOKUP($B103,'Cronog. e Histog.'!$BZ:$BZ,'Cronog. e Histog.'!DL:DL),"")</f>
        <v>0</v>
      </c>
      <c r="AR103" s="144">
        <f>IFERROR(_xlfn.XLOOKUP($B103,'Cronog. e Histog.'!$BZ:$BZ,'Cronog. e Histog.'!DM:DM),"")</f>
        <v>0</v>
      </c>
      <c r="AS103" s="144">
        <f>IFERROR(_xlfn.XLOOKUP($B103,'Cronog. e Histog.'!$BZ:$BZ,'Cronog. e Histog.'!DN:DN),"")</f>
        <v>0</v>
      </c>
      <c r="AT103" s="144">
        <f>IFERROR(_xlfn.XLOOKUP($B103,'Cronog. e Histog.'!$BZ:$BZ,'Cronog. e Histog.'!DO:DO),"")</f>
        <v>0</v>
      </c>
      <c r="AU103" s="144">
        <f>IFERROR(_xlfn.XLOOKUP($B103,'Cronog. e Histog.'!$BZ:$BZ,'Cronog. e Histog.'!DP:DP),"")</f>
        <v>0</v>
      </c>
      <c r="AV103" s="144">
        <f>IFERROR(_xlfn.XLOOKUP($B103,'Cronog. e Histog.'!$BZ:$BZ,'Cronog. e Histog.'!DQ:DQ),"")</f>
        <v>0</v>
      </c>
      <c r="AW103" s="144">
        <f>IFERROR(_xlfn.XLOOKUP($B103,'Cronog. e Histog.'!$BZ:$BZ,'Cronog. e Histog.'!DR:DR),"")</f>
        <v>0</v>
      </c>
      <c r="AX103" s="144">
        <f>IFERROR(_xlfn.XLOOKUP($B103,'Cronog. e Histog.'!$BZ:$BZ,'Cronog. e Histog.'!DS:DS),"")</f>
        <v>0</v>
      </c>
      <c r="AY103" s="144">
        <f>IFERROR(_xlfn.XLOOKUP($B103,'Cronog. e Histog.'!$BZ:$BZ,'Cronog. e Histog.'!DT:DT),"")</f>
        <v>0</v>
      </c>
      <c r="AZ103" s="144">
        <f>IFERROR(_xlfn.XLOOKUP($B103,'Cronog. e Histog.'!$BZ:$BZ,'Cronog. e Histog.'!DU:DU),"")</f>
        <v>0</v>
      </c>
      <c r="BA103" s="144">
        <f>IFERROR(_xlfn.XLOOKUP($B103,'Cronog. e Histog.'!$BZ:$BZ,'Cronog. e Histog.'!DV:DV),"")</f>
        <v>0</v>
      </c>
      <c r="BB103" s="144">
        <f>IFERROR(_xlfn.XLOOKUP($B103,'Cronog. e Histog.'!$BZ:$BZ,'Cronog. e Histog.'!DW:DW),"")</f>
        <v>0</v>
      </c>
      <c r="BC103" s="144">
        <f>IFERROR(_xlfn.XLOOKUP($B103,'Cronog. e Histog.'!$BZ:$BZ,'Cronog. e Histog.'!DX:DX),"")</f>
        <v>0</v>
      </c>
      <c r="BD103" s="144">
        <f>IFERROR(_xlfn.XLOOKUP($B103,'Cronog. e Histog.'!$BZ:$BZ,'Cronog. e Histog.'!DY:DY),"")</f>
        <v>0</v>
      </c>
      <c r="BE103" s="144">
        <f>IFERROR(_xlfn.XLOOKUP($B103,'Cronog. e Histog.'!$BZ:$BZ,'Cronog. e Histog.'!DZ:DZ),"")</f>
        <v>0</v>
      </c>
      <c r="BF103" s="144">
        <f>IFERROR(_xlfn.XLOOKUP($B103,'Cronog. e Histog.'!$BZ:$BZ,'Cronog. e Histog.'!EA:EA),"")</f>
        <v>0</v>
      </c>
      <c r="BG103" s="144">
        <f>IFERROR(_xlfn.XLOOKUP($B103,'Cronog. e Histog.'!$BZ:$BZ,'Cronog. e Histog.'!EB:EB),"")</f>
        <v>0</v>
      </c>
      <c r="BH103" s="144">
        <f>IFERROR(_xlfn.XLOOKUP($B103,'Cronog. e Histog.'!$BZ:$BZ,'Cronog. e Histog.'!EC:EC),"")</f>
        <v>0</v>
      </c>
      <c r="BI103" s="144">
        <f>IFERROR(_xlfn.XLOOKUP($B103,'Cronog. e Histog.'!$BZ:$BZ,'Cronog. e Histog.'!ED:ED),"")</f>
        <v>0</v>
      </c>
      <c r="BJ103" s="144">
        <f>IFERROR(_xlfn.XLOOKUP($B103,'Cronog. e Histog.'!$BZ:$BZ,'Cronog. e Histog.'!EE:EE),"")</f>
        <v>0</v>
      </c>
      <c r="BK103" s="144">
        <f>IFERROR(_xlfn.XLOOKUP($B103,'Cronog. e Histog.'!$BZ:$BZ,'Cronog. e Histog.'!EF:EF),"")</f>
        <v>0</v>
      </c>
      <c r="BL103" s="144">
        <f>IFERROR(_xlfn.XLOOKUP($B103,'Cronog. e Histog.'!$BZ:$BZ,'Cronog. e Histog.'!EG:EG),"")</f>
        <v>0</v>
      </c>
      <c r="BM103" s="144">
        <f>IFERROR(_xlfn.XLOOKUP($B103,'Cronog. e Histog.'!$BZ:$BZ,'Cronog. e Histog.'!EH:EH),"")</f>
        <v>0</v>
      </c>
      <c r="BN103" s="144">
        <f>IFERROR(_xlfn.XLOOKUP($B103,'Cronog. e Histog.'!$BZ:$BZ,'Cronog. e Histog.'!EI:EI),"")</f>
        <v>0</v>
      </c>
    </row>
    <row r="104" spans="2:66" ht="12" hidden="1" customHeight="1" outlineLevel="1">
      <c r="B104" s="76">
        <v>98</v>
      </c>
      <c r="C104" s="143" t="str">
        <f>IFERROR(VLOOKUP(B104,'Cronog. e Histog.'!$BZ$213:$CA$747,2,0),"")</f>
        <v>EST</v>
      </c>
      <c r="D104" s="144">
        <f t="shared" si="2"/>
        <v>0</v>
      </c>
      <c r="E104" s="144">
        <f t="shared" si="3"/>
        <v>0</v>
      </c>
      <c r="F104" s="65"/>
      <c r="G104" s="144">
        <f>IFERROR(_xlfn.XLOOKUP($B104,'Cronog. e Histog.'!$BZ:$BZ,'Cronog. e Histog.'!CB:CB),"")</f>
        <v>0</v>
      </c>
      <c r="H104" s="144">
        <f>IFERROR(_xlfn.XLOOKUP($B104,'Cronog. e Histog.'!$BZ:$BZ,'Cronog. e Histog.'!CC:CC),"")</f>
        <v>0</v>
      </c>
      <c r="I104" s="144">
        <f>IFERROR(_xlfn.XLOOKUP($B104,'Cronog. e Histog.'!$BZ:$BZ,'Cronog. e Histog.'!CD:CD),"")</f>
        <v>0</v>
      </c>
      <c r="J104" s="144">
        <f>IFERROR(_xlfn.XLOOKUP($B104,'Cronog. e Histog.'!$BZ:$BZ,'Cronog. e Histog.'!CE:CE),"")</f>
        <v>0</v>
      </c>
      <c r="K104" s="144">
        <f>IFERROR(_xlfn.XLOOKUP($B104,'Cronog. e Histog.'!$BZ:$BZ,'Cronog. e Histog.'!CF:CF),"")</f>
        <v>0</v>
      </c>
      <c r="L104" s="144">
        <f>IFERROR(_xlfn.XLOOKUP($B104,'Cronog. e Histog.'!$BZ:$BZ,'Cronog. e Histog.'!CG:CG),"")</f>
        <v>0</v>
      </c>
      <c r="M104" s="144">
        <f>IFERROR(_xlfn.XLOOKUP($B104,'Cronog. e Histog.'!$BZ:$BZ,'Cronog. e Histog.'!CH:CH),"")</f>
        <v>0</v>
      </c>
      <c r="N104" s="144">
        <f>IFERROR(_xlfn.XLOOKUP($B104,'Cronog. e Histog.'!$BZ:$BZ,'Cronog. e Histog.'!CI:CI),"")</f>
        <v>0</v>
      </c>
      <c r="O104" s="144">
        <f>IFERROR(_xlfn.XLOOKUP($B104,'Cronog. e Histog.'!$BZ:$BZ,'Cronog. e Histog.'!CJ:CJ),"")</f>
        <v>0</v>
      </c>
      <c r="P104" s="144">
        <f>IFERROR(_xlfn.XLOOKUP($B104,'Cronog. e Histog.'!$BZ:$BZ,'Cronog. e Histog.'!CK:CK),"")</f>
        <v>0</v>
      </c>
      <c r="Q104" s="144">
        <f>IFERROR(_xlfn.XLOOKUP($B104,'Cronog. e Histog.'!$BZ:$BZ,'Cronog. e Histog.'!CL:CL),"")</f>
        <v>0</v>
      </c>
      <c r="R104" s="144">
        <f>IFERROR(_xlfn.XLOOKUP($B104,'Cronog. e Histog.'!$BZ:$BZ,'Cronog. e Histog.'!CM:CM),"")</f>
        <v>0</v>
      </c>
      <c r="S104" s="144">
        <f>IFERROR(_xlfn.XLOOKUP($B104,'Cronog. e Histog.'!$BZ:$BZ,'Cronog. e Histog.'!CN:CN),"")</f>
        <v>0</v>
      </c>
      <c r="T104" s="144">
        <f>IFERROR(_xlfn.XLOOKUP($B104,'Cronog. e Histog.'!$BZ:$BZ,'Cronog. e Histog.'!CO:CO),"")</f>
        <v>0</v>
      </c>
      <c r="U104" s="144">
        <f>IFERROR(_xlfn.XLOOKUP($B104,'Cronog. e Histog.'!$BZ:$BZ,'Cronog. e Histog.'!CP:CP),"")</f>
        <v>0</v>
      </c>
      <c r="V104" s="144">
        <f>IFERROR(_xlfn.XLOOKUP($B104,'Cronog. e Histog.'!$BZ:$BZ,'Cronog. e Histog.'!CQ:CQ),"")</f>
        <v>0</v>
      </c>
      <c r="W104" s="144">
        <f>IFERROR(_xlfn.XLOOKUP($B104,'Cronog. e Histog.'!$BZ:$BZ,'Cronog. e Histog.'!CR:CR),"")</f>
        <v>0</v>
      </c>
      <c r="X104" s="144">
        <f>IFERROR(_xlfn.XLOOKUP($B104,'Cronog. e Histog.'!$BZ:$BZ,'Cronog. e Histog.'!CS:CS),"")</f>
        <v>0</v>
      </c>
      <c r="Y104" s="144">
        <f>IFERROR(_xlfn.XLOOKUP($B104,'Cronog. e Histog.'!$BZ:$BZ,'Cronog. e Histog.'!CT:CT),"")</f>
        <v>0</v>
      </c>
      <c r="Z104" s="144">
        <f>IFERROR(_xlfn.XLOOKUP($B104,'Cronog. e Histog.'!$BZ:$BZ,'Cronog. e Histog.'!CU:CU),"")</f>
        <v>0</v>
      </c>
      <c r="AA104" s="144">
        <f>IFERROR(_xlfn.XLOOKUP($B104,'Cronog. e Histog.'!$BZ:$BZ,'Cronog. e Histog.'!CV:CV),"")</f>
        <v>0</v>
      </c>
      <c r="AB104" s="144">
        <f>IFERROR(_xlfn.XLOOKUP($B104,'Cronog. e Histog.'!$BZ:$BZ,'Cronog. e Histog.'!CW:CW),"")</f>
        <v>0</v>
      </c>
      <c r="AC104" s="144">
        <f>IFERROR(_xlfn.XLOOKUP($B104,'Cronog. e Histog.'!$BZ:$BZ,'Cronog. e Histog.'!CX:CX),"")</f>
        <v>0</v>
      </c>
      <c r="AD104" s="144">
        <f>IFERROR(_xlfn.XLOOKUP($B104,'Cronog. e Histog.'!$BZ:$BZ,'Cronog. e Histog.'!CY:CY),"")</f>
        <v>0</v>
      </c>
      <c r="AE104" s="144">
        <f>IFERROR(_xlfn.XLOOKUP($B104,'Cronog. e Histog.'!$BZ:$BZ,'Cronog. e Histog.'!CZ:CZ),"")</f>
        <v>0</v>
      </c>
      <c r="AF104" s="144">
        <f>IFERROR(_xlfn.XLOOKUP($B104,'Cronog. e Histog.'!$BZ:$BZ,'Cronog. e Histog.'!DA:DA),"")</f>
        <v>0</v>
      </c>
      <c r="AG104" s="144">
        <f>IFERROR(_xlfn.XLOOKUP($B104,'Cronog. e Histog.'!$BZ:$BZ,'Cronog. e Histog.'!DB:DB),"")</f>
        <v>0</v>
      </c>
      <c r="AH104" s="144">
        <f>IFERROR(_xlfn.XLOOKUP($B104,'Cronog. e Histog.'!$BZ:$BZ,'Cronog. e Histog.'!DC:DC),"")</f>
        <v>0</v>
      </c>
      <c r="AI104" s="144">
        <f>IFERROR(_xlfn.XLOOKUP($B104,'Cronog. e Histog.'!$BZ:$BZ,'Cronog. e Histog.'!DD:DD),"")</f>
        <v>0</v>
      </c>
      <c r="AJ104" s="144">
        <f>IFERROR(_xlfn.XLOOKUP($B104,'Cronog. e Histog.'!$BZ:$BZ,'Cronog. e Histog.'!DE:DE),"")</f>
        <v>0</v>
      </c>
      <c r="AK104" s="144">
        <f>IFERROR(_xlfn.XLOOKUP($B104,'Cronog. e Histog.'!$BZ:$BZ,'Cronog. e Histog.'!DF:DF),"")</f>
        <v>0</v>
      </c>
      <c r="AL104" s="144">
        <f>IFERROR(_xlfn.XLOOKUP($B104,'Cronog. e Histog.'!$BZ:$BZ,'Cronog. e Histog.'!DG:DG),"")</f>
        <v>0</v>
      </c>
      <c r="AM104" s="144">
        <f>IFERROR(_xlfn.XLOOKUP($B104,'Cronog. e Histog.'!$BZ:$BZ,'Cronog. e Histog.'!DH:DH),"")</f>
        <v>0</v>
      </c>
      <c r="AN104" s="144">
        <f>IFERROR(_xlfn.XLOOKUP($B104,'Cronog. e Histog.'!$BZ:$BZ,'Cronog. e Histog.'!DI:DI),"")</f>
        <v>0</v>
      </c>
      <c r="AO104" s="144">
        <f>IFERROR(_xlfn.XLOOKUP($B104,'Cronog. e Histog.'!$BZ:$BZ,'Cronog. e Histog.'!DJ:DJ),"")</f>
        <v>0</v>
      </c>
      <c r="AP104" s="144">
        <f>IFERROR(_xlfn.XLOOKUP($B104,'Cronog. e Histog.'!$BZ:$BZ,'Cronog. e Histog.'!DK:DK),"")</f>
        <v>0</v>
      </c>
      <c r="AQ104" s="144">
        <f>IFERROR(_xlfn.XLOOKUP($B104,'Cronog. e Histog.'!$BZ:$BZ,'Cronog. e Histog.'!DL:DL),"")</f>
        <v>0</v>
      </c>
      <c r="AR104" s="144">
        <f>IFERROR(_xlfn.XLOOKUP($B104,'Cronog. e Histog.'!$BZ:$BZ,'Cronog. e Histog.'!DM:DM),"")</f>
        <v>0</v>
      </c>
      <c r="AS104" s="144">
        <f>IFERROR(_xlfn.XLOOKUP($B104,'Cronog. e Histog.'!$BZ:$BZ,'Cronog. e Histog.'!DN:DN),"")</f>
        <v>0</v>
      </c>
      <c r="AT104" s="144">
        <f>IFERROR(_xlfn.XLOOKUP($B104,'Cronog. e Histog.'!$BZ:$BZ,'Cronog. e Histog.'!DO:DO),"")</f>
        <v>0</v>
      </c>
      <c r="AU104" s="144">
        <f>IFERROR(_xlfn.XLOOKUP($B104,'Cronog. e Histog.'!$BZ:$BZ,'Cronog. e Histog.'!DP:DP),"")</f>
        <v>0</v>
      </c>
      <c r="AV104" s="144">
        <f>IFERROR(_xlfn.XLOOKUP($B104,'Cronog. e Histog.'!$BZ:$BZ,'Cronog. e Histog.'!DQ:DQ),"")</f>
        <v>0</v>
      </c>
      <c r="AW104" s="144">
        <f>IFERROR(_xlfn.XLOOKUP($B104,'Cronog. e Histog.'!$BZ:$BZ,'Cronog. e Histog.'!DR:DR),"")</f>
        <v>0</v>
      </c>
      <c r="AX104" s="144">
        <f>IFERROR(_xlfn.XLOOKUP($B104,'Cronog. e Histog.'!$BZ:$BZ,'Cronog. e Histog.'!DS:DS),"")</f>
        <v>0</v>
      </c>
      <c r="AY104" s="144">
        <f>IFERROR(_xlfn.XLOOKUP($B104,'Cronog. e Histog.'!$BZ:$BZ,'Cronog. e Histog.'!DT:DT),"")</f>
        <v>0</v>
      </c>
      <c r="AZ104" s="144">
        <f>IFERROR(_xlfn.XLOOKUP($B104,'Cronog. e Histog.'!$BZ:$BZ,'Cronog. e Histog.'!DU:DU),"")</f>
        <v>0</v>
      </c>
      <c r="BA104" s="144">
        <f>IFERROR(_xlfn.XLOOKUP($B104,'Cronog. e Histog.'!$BZ:$BZ,'Cronog. e Histog.'!DV:DV),"")</f>
        <v>0</v>
      </c>
      <c r="BB104" s="144">
        <f>IFERROR(_xlfn.XLOOKUP($B104,'Cronog. e Histog.'!$BZ:$BZ,'Cronog. e Histog.'!DW:DW),"")</f>
        <v>0</v>
      </c>
      <c r="BC104" s="144">
        <f>IFERROR(_xlfn.XLOOKUP($B104,'Cronog. e Histog.'!$BZ:$BZ,'Cronog. e Histog.'!DX:DX),"")</f>
        <v>0</v>
      </c>
      <c r="BD104" s="144">
        <f>IFERROR(_xlfn.XLOOKUP($B104,'Cronog. e Histog.'!$BZ:$BZ,'Cronog. e Histog.'!DY:DY),"")</f>
        <v>0</v>
      </c>
      <c r="BE104" s="144">
        <f>IFERROR(_xlfn.XLOOKUP($B104,'Cronog. e Histog.'!$BZ:$BZ,'Cronog. e Histog.'!DZ:DZ),"")</f>
        <v>0</v>
      </c>
      <c r="BF104" s="144">
        <f>IFERROR(_xlfn.XLOOKUP($B104,'Cronog. e Histog.'!$BZ:$BZ,'Cronog. e Histog.'!EA:EA),"")</f>
        <v>0</v>
      </c>
      <c r="BG104" s="144">
        <f>IFERROR(_xlfn.XLOOKUP($B104,'Cronog. e Histog.'!$BZ:$BZ,'Cronog. e Histog.'!EB:EB),"")</f>
        <v>0</v>
      </c>
      <c r="BH104" s="144">
        <f>IFERROR(_xlfn.XLOOKUP($B104,'Cronog. e Histog.'!$BZ:$BZ,'Cronog. e Histog.'!EC:EC),"")</f>
        <v>0</v>
      </c>
      <c r="BI104" s="144">
        <f>IFERROR(_xlfn.XLOOKUP($B104,'Cronog. e Histog.'!$BZ:$BZ,'Cronog. e Histog.'!ED:ED),"")</f>
        <v>0</v>
      </c>
      <c r="BJ104" s="144">
        <f>IFERROR(_xlfn.XLOOKUP($B104,'Cronog. e Histog.'!$BZ:$BZ,'Cronog. e Histog.'!EE:EE),"")</f>
        <v>0</v>
      </c>
      <c r="BK104" s="144">
        <f>IFERROR(_xlfn.XLOOKUP($B104,'Cronog. e Histog.'!$BZ:$BZ,'Cronog. e Histog.'!EF:EF),"")</f>
        <v>0</v>
      </c>
      <c r="BL104" s="144">
        <f>IFERROR(_xlfn.XLOOKUP($B104,'Cronog. e Histog.'!$BZ:$BZ,'Cronog. e Histog.'!EG:EG),"")</f>
        <v>0</v>
      </c>
      <c r="BM104" s="144">
        <f>IFERROR(_xlfn.XLOOKUP($B104,'Cronog. e Histog.'!$BZ:$BZ,'Cronog. e Histog.'!EH:EH),"")</f>
        <v>0</v>
      </c>
      <c r="BN104" s="144">
        <f>IFERROR(_xlfn.XLOOKUP($B104,'Cronog. e Histog.'!$BZ:$BZ,'Cronog. e Histog.'!EI:EI),"")</f>
        <v>0</v>
      </c>
    </row>
    <row r="105" spans="2:66" ht="12" hidden="1" customHeight="1" outlineLevel="1">
      <c r="B105" s="76">
        <v>99</v>
      </c>
      <c r="C105" s="143" t="str">
        <f>IFERROR(VLOOKUP(B105,'Cronog. e Histog.'!$BZ$213:$CA$747,2,0),"")</f>
        <v>EST_II</v>
      </c>
      <c r="D105" s="144">
        <f t="shared" si="2"/>
        <v>0</v>
      </c>
      <c r="E105" s="144">
        <f t="shared" si="3"/>
        <v>0</v>
      </c>
      <c r="F105" s="65"/>
      <c r="G105" s="144">
        <f>IFERROR(_xlfn.XLOOKUP($B105,'Cronog. e Histog.'!$BZ:$BZ,'Cronog. e Histog.'!CB:CB),"")</f>
        <v>0</v>
      </c>
      <c r="H105" s="144">
        <f>IFERROR(_xlfn.XLOOKUP($B105,'Cronog. e Histog.'!$BZ:$BZ,'Cronog. e Histog.'!CC:CC),"")</f>
        <v>0</v>
      </c>
      <c r="I105" s="144">
        <f>IFERROR(_xlfn.XLOOKUP($B105,'Cronog. e Histog.'!$BZ:$BZ,'Cronog. e Histog.'!CD:CD),"")</f>
        <v>0</v>
      </c>
      <c r="J105" s="144">
        <f>IFERROR(_xlfn.XLOOKUP($B105,'Cronog. e Histog.'!$BZ:$BZ,'Cronog. e Histog.'!CE:CE),"")</f>
        <v>0</v>
      </c>
      <c r="K105" s="144">
        <f>IFERROR(_xlfn.XLOOKUP($B105,'Cronog. e Histog.'!$BZ:$BZ,'Cronog. e Histog.'!CF:CF),"")</f>
        <v>0</v>
      </c>
      <c r="L105" s="144">
        <f>IFERROR(_xlfn.XLOOKUP($B105,'Cronog. e Histog.'!$BZ:$BZ,'Cronog. e Histog.'!CG:CG),"")</f>
        <v>0</v>
      </c>
      <c r="M105" s="144">
        <f>IFERROR(_xlfn.XLOOKUP($B105,'Cronog. e Histog.'!$BZ:$BZ,'Cronog. e Histog.'!CH:CH),"")</f>
        <v>0</v>
      </c>
      <c r="N105" s="144">
        <f>IFERROR(_xlfn.XLOOKUP($B105,'Cronog. e Histog.'!$BZ:$BZ,'Cronog. e Histog.'!CI:CI),"")</f>
        <v>0</v>
      </c>
      <c r="O105" s="144">
        <f>IFERROR(_xlfn.XLOOKUP($B105,'Cronog. e Histog.'!$BZ:$BZ,'Cronog. e Histog.'!CJ:CJ),"")</f>
        <v>0</v>
      </c>
      <c r="P105" s="144">
        <f>IFERROR(_xlfn.XLOOKUP($B105,'Cronog. e Histog.'!$BZ:$BZ,'Cronog. e Histog.'!CK:CK),"")</f>
        <v>0</v>
      </c>
      <c r="Q105" s="144">
        <f>IFERROR(_xlfn.XLOOKUP($B105,'Cronog. e Histog.'!$BZ:$BZ,'Cronog. e Histog.'!CL:CL),"")</f>
        <v>0</v>
      </c>
      <c r="R105" s="144">
        <f>IFERROR(_xlfn.XLOOKUP($B105,'Cronog. e Histog.'!$BZ:$BZ,'Cronog. e Histog.'!CM:CM),"")</f>
        <v>0</v>
      </c>
      <c r="S105" s="144">
        <f>IFERROR(_xlfn.XLOOKUP($B105,'Cronog. e Histog.'!$BZ:$BZ,'Cronog. e Histog.'!CN:CN),"")</f>
        <v>0</v>
      </c>
      <c r="T105" s="144">
        <f>IFERROR(_xlfn.XLOOKUP($B105,'Cronog. e Histog.'!$BZ:$BZ,'Cronog. e Histog.'!CO:CO),"")</f>
        <v>0</v>
      </c>
      <c r="U105" s="144">
        <f>IFERROR(_xlfn.XLOOKUP($B105,'Cronog. e Histog.'!$BZ:$BZ,'Cronog. e Histog.'!CP:CP),"")</f>
        <v>0</v>
      </c>
      <c r="V105" s="144">
        <f>IFERROR(_xlfn.XLOOKUP($B105,'Cronog. e Histog.'!$BZ:$BZ,'Cronog. e Histog.'!CQ:CQ),"")</f>
        <v>0</v>
      </c>
      <c r="W105" s="144">
        <f>IFERROR(_xlfn.XLOOKUP($B105,'Cronog. e Histog.'!$BZ:$BZ,'Cronog. e Histog.'!CR:CR),"")</f>
        <v>0</v>
      </c>
      <c r="X105" s="144">
        <f>IFERROR(_xlfn.XLOOKUP($B105,'Cronog. e Histog.'!$BZ:$BZ,'Cronog. e Histog.'!CS:CS),"")</f>
        <v>0</v>
      </c>
      <c r="Y105" s="144">
        <f>IFERROR(_xlfn.XLOOKUP($B105,'Cronog. e Histog.'!$BZ:$BZ,'Cronog. e Histog.'!CT:CT),"")</f>
        <v>0</v>
      </c>
      <c r="Z105" s="144">
        <f>IFERROR(_xlfn.XLOOKUP($B105,'Cronog. e Histog.'!$BZ:$BZ,'Cronog. e Histog.'!CU:CU),"")</f>
        <v>0</v>
      </c>
      <c r="AA105" s="144">
        <f>IFERROR(_xlfn.XLOOKUP($B105,'Cronog. e Histog.'!$BZ:$BZ,'Cronog. e Histog.'!CV:CV),"")</f>
        <v>0</v>
      </c>
      <c r="AB105" s="144">
        <f>IFERROR(_xlfn.XLOOKUP($B105,'Cronog. e Histog.'!$BZ:$BZ,'Cronog. e Histog.'!CW:CW),"")</f>
        <v>0</v>
      </c>
      <c r="AC105" s="144">
        <f>IFERROR(_xlfn.XLOOKUP($B105,'Cronog. e Histog.'!$BZ:$BZ,'Cronog. e Histog.'!CX:CX),"")</f>
        <v>0</v>
      </c>
      <c r="AD105" s="144">
        <f>IFERROR(_xlfn.XLOOKUP($B105,'Cronog. e Histog.'!$BZ:$BZ,'Cronog. e Histog.'!CY:CY),"")</f>
        <v>0</v>
      </c>
      <c r="AE105" s="144">
        <f>IFERROR(_xlfn.XLOOKUP($B105,'Cronog. e Histog.'!$BZ:$BZ,'Cronog. e Histog.'!CZ:CZ),"")</f>
        <v>0</v>
      </c>
      <c r="AF105" s="144">
        <f>IFERROR(_xlfn.XLOOKUP($B105,'Cronog. e Histog.'!$BZ:$BZ,'Cronog. e Histog.'!DA:DA),"")</f>
        <v>0</v>
      </c>
      <c r="AG105" s="144">
        <f>IFERROR(_xlfn.XLOOKUP($B105,'Cronog. e Histog.'!$BZ:$BZ,'Cronog. e Histog.'!DB:DB),"")</f>
        <v>0</v>
      </c>
      <c r="AH105" s="144">
        <f>IFERROR(_xlfn.XLOOKUP($B105,'Cronog. e Histog.'!$BZ:$BZ,'Cronog. e Histog.'!DC:DC),"")</f>
        <v>0</v>
      </c>
      <c r="AI105" s="144">
        <f>IFERROR(_xlfn.XLOOKUP($B105,'Cronog. e Histog.'!$BZ:$BZ,'Cronog. e Histog.'!DD:DD),"")</f>
        <v>0</v>
      </c>
      <c r="AJ105" s="144">
        <f>IFERROR(_xlfn.XLOOKUP($B105,'Cronog. e Histog.'!$BZ:$BZ,'Cronog. e Histog.'!DE:DE),"")</f>
        <v>0</v>
      </c>
      <c r="AK105" s="144">
        <f>IFERROR(_xlfn.XLOOKUP($B105,'Cronog. e Histog.'!$BZ:$BZ,'Cronog. e Histog.'!DF:DF),"")</f>
        <v>0</v>
      </c>
      <c r="AL105" s="144">
        <f>IFERROR(_xlfn.XLOOKUP($B105,'Cronog. e Histog.'!$BZ:$BZ,'Cronog. e Histog.'!DG:DG),"")</f>
        <v>0</v>
      </c>
      <c r="AM105" s="144">
        <f>IFERROR(_xlfn.XLOOKUP($B105,'Cronog. e Histog.'!$BZ:$BZ,'Cronog. e Histog.'!DH:DH),"")</f>
        <v>0</v>
      </c>
      <c r="AN105" s="144">
        <f>IFERROR(_xlfn.XLOOKUP($B105,'Cronog. e Histog.'!$BZ:$BZ,'Cronog. e Histog.'!DI:DI),"")</f>
        <v>0</v>
      </c>
      <c r="AO105" s="144">
        <f>IFERROR(_xlfn.XLOOKUP($B105,'Cronog. e Histog.'!$BZ:$BZ,'Cronog. e Histog.'!DJ:DJ),"")</f>
        <v>0</v>
      </c>
      <c r="AP105" s="144">
        <f>IFERROR(_xlfn.XLOOKUP($B105,'Cronog. e Histog.'!$BZ:$BZ,'Cronog. e Histog.'!DK:DK),"")</f>
        <v>0</v>
      </c>
      <c r="AQ105" s="144">
        <f>IFERROR(_xlfn.XLOOKUP($B105,'Cronog. e Histog.'!$BZ:$BZ,'Cronog. e Histog.'!DL:DL),"")</f>
        <v>0</v>
      </c>
      <c r="AR105" s="144">
        <f>IFERROR(_xlfn.XLOOKUP($B105,'Cronog. e Histog.'!$BZ:$BZ,'Cronog. e Histog.'!DM:DM),"")</f>
        <v>0</v>
      </c>
      <c r="AS105" s="144">
        <f>IFERROR(_xlfn.XLOOKUP($B105,'Cronog. e Histog.'!$BZ:$BZ,'Cronog. e Histog.'!DN:DN),"")</f>
        <v>0</v>
      </c>
      <c r="AT105" s="144">
        <f>IFERROR(_xlfn.XLOOKUP($B105,'Cronog. e Histog.'!$BZ:$BZ,'Cronog. e Histog.'!DO:DO),"")</f>
        <v>0</v>
      </c>
      <c r="AU105" s="144">
        <f>IFERROR(_xlfn.XLOOKUP($B105,'Cronog. e Histog.'!$BZ:$BZ,'Cronog. e Histog.'!DP:DP),"")</f>
        <v>0</v>
      </c>
      <c r="AV105" s="144">
        <f>IFERROR(_xlfn.XLOOKUP($B105,'Cronog. e Histog.'!$BZ:$BZ,'Cronog. e Histog.'!DQ:DQ),"")</f>
        <v>0</v>
      </c>
      <c r="AW105" s="144">
        <f>IFERROR(_xlfn.XLOOKUP($B105,'Cronog. e Histog.'!$BZ:$BZ,'Cronog. e Histog.'!DR:DR),"")</f>
        <v>0</v>
      </c>
      <c r="AX105" s="144">
        <f>IFERROR(_xlfn.XLOOKUP($B105,'Cronog. e Histog.'!$BZ:$BZ,'Cronog. e Histog.'!DS:DS),"")</f>
        <v>0</v>
      </c>
      <c r="AY105" s="144">
        <f>IFERROR(_xlfn.XLOOKUP($B105,'Cronog. e Histog.'!$BZ:$BZ,'Cronog. e Histog.'!DT:DT),"")</f>
        <v>0</v>
      </c>
      <c r="AZ105" s="144">
        <f>IFERROR(_xlfn.XLOOKUP($B105,'Cronog. e Histog.'!$BZ:$BZ,'Cronog. e Histog.'!DU:DU),"")</f>
        <v>0</v>
      </c>
      <c r="BA105" s="144">
        <f>IFERROR(_xlfn.XLOOKUP($B105,'Cronog. e Histog.'!$BZ:$BZ,'Cronog. e Histog.'!DV:DV),"")</f>
        <v>0</v>
      </c>
      <c r="BB105" s="144">
        <f>IFERROR(_xlfn.XLOOKUP($B105,'Cronog. e Histog.'!$BZ:$BZ,'Cronog. e Histog.'!DW:DW),"")</f>
        <v>0</v>
      </c>
      <c r="BC105" s="144">
        <f>IFERROR(_xlfn.XLOOKUP($B105,'Cronog. e Histog.'!$BZ:$BZ,'Cronog. e Histog.'!DX:DX),"")</f>
        <v>0</v>
      </c>
      <c r="BD105" s="144">
        <f>IFERROR(_xlfn.XLOOKUP($B105,'Cronog. e Histog.'!$BZ:$BZ,'Cronog. e Histog.'!DY:DY),"")</f>
        <v>0</v>
      </c>
      <c r="BE105" s="144">
        <f>IFERROR(_xlfn.XLOOKUP($B105,'Cronog. e Histog.'!$BZ:$BZ,'Cronog. e Histog.'!DZ:DZ),"")</f>
        <v>0</v>
      </c>
      <c r="BF105" s="144">
        <f>IFERROR(_xlfn.XLOOKUP($B105,'Cronog. e Histog.'!$BZ:$BZ,'Cronog. e Histog.'!EA:EA),"")</f>
        <v>0</v>
      </c>
      <c r="BG105" s="144">
        <f>IFERROR(_xlfn.XLOOKUP($B105,'Cronog. e Histog.'!$BZ:$BZ,'Cronog. e Histog.'!EB:EB),"")</f>
        <v>0</v>
      </c>
      <c r="BH105" s="144">
        <f>IFERROR(_xlfn.XLOOKUP($B105,'Cronog. e Histog.'!$BZ:$BZ,'Cronog. e Histog.'!EC:EC),"")</f>
        <v>0</v>
      </c>
      <c r="BI105" s="144">
        <f>IFERROR(_xlfn.XLOOKUP($B105,'Cronog. e Histog.'!$BZ:$BZ,'Cronog. e Histog.'!ED:ED),"")</f>
        <v>0</v>
      </c>
      <c r="BJ105" s="144">
        <f>IFERROR(_xlfn.XLOOKUP($B105,'Cronog. e Histog.'!$BZ:$BZ,'Cronog. e Histog.'!EE:EE),"")</f>
        <v>0</v>
      </c>
      <c r="BK105" s="144">
        <f>IFERROR(_xlfn.XLOOKUP($B105,'Cronog. e Histog.'!$BZ:$BZ,'Cronog. e Histog.'!EF:EF),"")</f>
        <v>0</v>
      </c>
      <c r="BL105" s="144">
        <f>IFERROR(_xlfn.XLOOKUP($B105,'Cronog. e Histog.'!$BZ:$BZ,'Cronog. e Histog.'!EG:EG),"")</f>
        <v>0</v>
      </c>
      <c r="BM105" s="144">
        <f>IFERROR(_xlfn.XLOOKUP($B105,'Cronog. e Histog.'!$BZ:$BZ,'Cronog. e Histog.'!EH:EH),"")</f>
        <v>0</v>
      </c>
      <c r="BN105" s="144">
        <f>IFERROR(_xlfn.XLOOKUP($B105,'Cronog. e Histog.'!$BZ:$BZ,'Cronog. e Histog.'!EI:EI),"")</f>
        <v>0</v>
      </c>
    </row>
    <row r="106" spans="2:66" ht="12" hidden="1" customHeight="1" outlineLevel="1">
      <c r="B106" s="76">
        <v>100</v>
      </c>
      <c r="C106" s="143" t="str">
        <f>IFERROR(VLOOKUP(B106,'Cronog. e Histog.'!$BZ$213:$CA$747,2,0),"")</f>
        <v>EST_III</v>
      </c>
      <c r="D106" s="144">
        <f t="shared" si="2"/>
        <v>0</v>
      </c>
      <c r="E106" s="144">
        <f t="shared" si="3"/>
        <v>0</v>
      </c>
      <c r="F106" s="65"/>
      <c r="G106" s="144">
        <f>IFERROR(_xlfn.XLOOKUP($B106,'Cronog. e Histog.'!$BZ:$BZ,'Cronog. e Histog.'!CB:CB),"")</f>
        <v>0</v>
      </c>
      <c r="H106" s="144">
        <f>IFERROR(_xlfn.XLOOKUP($B106,'Cronog. e Histog.'!$BZ:$BZ,'Cronog. e Histog.'!CC:CC),"")</f>
        <v>0</v>
      </c>
      <c r="I106" s="144">
        <f>IFERROR(_xlfn.XLOOKUP($B106,'Cronog. e Histog.'!$BZ:$BZ,'Cronog. e Histog.'!CD:CD),"")</f>
        <v>0</v>
      </c>
      <c r="J106" s="144">
        <f>IFERROR(_xlfn.XLOOKUP($B106,'Cronog. e Histog.'!$BZ:$BZ,'Cronog. e Histog.'!CE:CE),"")</f>
        <v>0</v>
      </c>
      <c r="K106" s="144">
        <f>IFERROR(_xlfn.XLOOKUP($B106,'Cronog. e Histog.'!$BZ:$BZ,'Cronog. e Histog.'!CF:CF),"")</f>
        <v>0</v>
      </c>
      <c r="L106" s="144">
        <f>IFERROR(_xlfn.XLOOKUP($B106,'Cronog. e Histog.'!$BZ:$BZ,'Cronog. e Histog.'!CG:CG),"")</f>
        <v>0</v>
      </c>
      <c r="M106" s="144">
        <f>IFERROR(_xlfn.XLOOKUP($B106,'Cronog. e Histog.'!$BZ:$BZ,'Cronog. e Histog.'!CH:CH),"")</f>
        <v>0</v>
      </c>
      <c r="N106" s="144">
        <f>IFERROR(_xlfn.XLOOKUP($B106,'Cronog. e Histog.'!$BZ:$BZ,'Cronog. e Histog.'!CI:CI),"")</f>
        <v>0</v>
      </c>
      <c r="O106" s="144">
        <f>IFERROR(_xlfn.XLOOKUP($B106,'Cronog. e Histog.'!$BZ:$BZ,'Cronog. e Histog.'!CJ:CJ),"")</f>
        <v>0</v>
      </c>
      <c r="P106" s="144">
        <f>IFERROR(_xlfn.XLOOKUP($B106,'Cronog. e Histog.'!$BZ:$BZ,'Cronog. e Histog.'!CK:CK),"")</f>
        <v>0</v>
      </c>
      <c r="Q106" s="144">
        <f>IFERROR(_xlfn.XLOOKUP($B106,'Cronog. e Histog.'!$BZ:$BZ,'Cronog. e Histog.'!CL:CL),"")</f>
        <v>0</v>
      </c>
      <c r="R106" s="144">
        <f>IFERROR(_xlfn.XLOOKUP($B106,'Cronog. e Histog.'!$BZ:$BZ,'Cronog. e Histog.'!CM:CM),"")</f>
        <v>0</v>
      </c>
      <c r="S106" s="144">
        <f>IFERROR(_xlfn.XLOOKUP($B106,'Cronog. e Histog.'!$BZ:$BZ,'Cronog. e Histog.'!CN:CN),"")</f>
        <v>0</v>
      </c>
      <c r="T106" s="144">
        <f>IFERROR(_xlfn.XLOOKUP($B106,'Cronog. e Histog.'!$BZ:$BZ,'Cronog. e Histog.'!CO:CO),"")</f>
        <v>0</v>
      </c>
      <c r="U106" s="144">
        <f>IFERROR(_xlfn.XLOOKUP($B106,'Cronog. e Histog.'!$BZ:$BZ,'Cronog. e Histog.'!CP:CP),"")</f>
        <v>0</v>
      </c>
      <c r="V106" s="144">
        <f>IFERROR(_xlfn.XLOOKUP($B106,'Cronog. e Histog.'!$BZ:$BZ,'Cronog. e Histog.'!CQ:CQ),"")</f>
        <v>0</v>
      </c>
      <c r="W106" s="144">
        <f>IFERROR(_xlfn.XLOOKUP($B106,'Cronog. e Histog.'!$BZ:$BZ,'Cronog. e Histog.'!CR:CR),"")</f>
        <v>0</v>
      </c>
      <c r="X106" s="144">
        <f>IFERROR(_xlfn.XLOOKUP($B106,'Cronog. e Histog.'!$BZ:$BZ,'Cronog. e Histog.'!CS:CS),"")</f>
        <v>0</v>
      </c>
      <c r="Y106" s="144">
        <f>IFERROR(_xlfn.XLOOKUP($B106,'Cronog. e Histog.'!$BZ:$BZ,'Cronog. e Histog.'!CT:CT),"")</f>
        <v>0</v>
      </c>
      <c r="Z106" s="144">
        <f>IFERROR(_xlfn.XLOOKUP($B106,'Cronog. e Histog.'!$BZ:$BZ,'Cronog. e Histog.'!CU:CU),"")</f>
        <v>0</v>
      </c>
      <c r="AA106" s="144">
        <f>IFERROR(_xlfn.XLOOKUP($B106,'Cronog. e Histog.'!$BZ:$BZ,'Cronog. e Histog.'!CV:CV),"")</f>
        <v>0</v>
      </c>
      <c r="AB106" s="144">
        <f>IFERROR(_xlfn.XLOOKUP($B106,'Cronog. e Histog.'!$BZ:$BZ,'Cronog. e Histog.'!CW:CW),"")</f>
        <v>0</v>
      </c>
      <c r="AC106" s="144">
        <f>IFERROR(_xlfn.XLOOKUP($B106,'Cronog. e Histog.'!$BZ:$BZ,'Cronog. e Histog.'!CX:CX),"")</f>
        <v>0</v>
      </c>
      <c r="AD106" s="144">
        <f>IFERROR(_xlfn.XLOOKUP($B106,'Cronog. e Histog.'!$BZ:$BZ,'Cronog. e Histog.'!CY:CY),"")</f>
        <v>0</v>
      </c>
      <c r="AE106" s="144">
        <f>IFERROR(_xlfn.XLOOKUP($B106,'Cronog. e Histog.'!$BZ:$BZ,'Cronog. e Histog.'!CZ:CZ),"")</f>
        <v>0</v>
      </c>
      <c r="AF106" s="144">
        <f>IFERROR(_xlfn.XLOOKUP($B106,'Cronog. e Histog.'!$BZ:$BZ,'Cronog. e Histog.'!DA:DA),"")</f>
        <v>0</v>
      </c>
      <c r="AG106" s="144">
        <f>IFERROR(_xlfn.XLOOKUP($B106,'Cronog. e Histog.'!$BZ:$BZ,'Cronog. e Histog.'!DB:DB),"")</f>
        <v>0</v>
      </c>
      <c r="AH106" s="144">
        <f>IFERROR(_xlfn.XLOOKUP($B106,'Cronog. e Histog.'!$BZ:$BZ,'Cronog. e Histog.'!DC:DC),"")</f>
        <v>0</v>
      </c>
      <c r="AI106" s="144">
        <f>IFERROR(_xlfn.XLOOKUP($B106,'Cronog. e Histog.'!$BZ:$BZ,'Cronog. e Histog.'!DD:DD),"")</f>
        <v>0</v>
      </c>
      <c r="AJ106" s="144">
        <f>IFERROR(_xlfn.XLOOKUP($B106,'Cronog. e Histog.'!$BZ:$BZ,'Cronog. e Histog.'!DE:DE),"")</f>
        <v>0</v>
      </c>
      <c r="AK106" s="144">
        <f>IFERROR(_xlfn.XLOOKUP($B106,'Cronog. e Histog.'!$BZ:$BZ,'Cronog. e Histog.'!DF:DF),"")</f>
        <v>0</v>
      </c>
      <c r="AL106" s="144">
        <f>IFERROR(_xlfn.XLOOKUP($B106,'Cronog. e Histog.'!$BZ:$BZ,'Cronog. e Histog.'!DG:DG),"")</f>
        <v>0</v>
      </c>
      <c r="AM106" s="144">
        <f>IFERROR(_xlfn.XLOOKUP($B106,'Cronog. e Histog.'!$BZ:$BZ,'Cronog. e Histog.'!DH:DH),"")</f>
        <v>0</v>
      </c>
      <c r="AN106" s="144">
        <f>IFERROR(_xlfn.XLOOKUP($B106,'Cronog. e Histog.'!$BZ:$BZ,'Cronog. e Histog.'!DI:DI),"")</f>
        <v>0</v>
      </c>
      <c r="AO106" s="144">
        <f>IFERROR(_xlfn.XLOOKUP($B106,'Cronog. e Histog.'!$BZ:$BZ,'Cronog. e Histog.'!DJ:DJ),"")</f>
        <v>0</v>
      </c>
      <c r="AP106" s="144">
        <f>IFERROR(_xlfn.XLOOKUP($B106,'Cronog. e Histog.'!$BZ:$BZ,'Cronog. e Histog.'!DK:DK),"")</f>
        <v>0</v>
      </c>
      <c r="AQ106" s="144">
        <f>IFERROR(_xlfn.XLOOKUP($B106,'Cronog. e Histog.'!$BZ:$BZ,'Cronog. e Histog.'!DL:DL),"")</f>
        <v>0</v>
      </c>
      <c r="AR106" s="144">
        <f>IFERROR(_xlfn.XLOOKUP($B106,'Cronog. e Histog.'!$BZ:$BZ,'Cronog. e Histog.'!DM:DM),"")</f>
        <v>0</v>
      </c>
      <c r="AS106" s="144">
        <f>IFERROR(_xlfn.XLOOKUP($B106,'Cronog. e Histog.'!$BZ:$BZ,'Cronog. e Histog.'!DN:DN),"")</f>
        <v>0</v>
      </c>
      <c r="AT106" s="144">
        <f>IFERROR(_xlfn.XLOOKUP($B106,'Cronog. e Histog.'!$BZ:$BZ,'Cronog. e Histog.'!DO:DO),"")</f>
        <v>0</v>
      </c>
      <c r="AU106" s="144">
        <f>IFERROR(_xlfn.XLOOKUP($B106,'Cronog. e Histog.'!$BZ:$BZ,'Cronog. e Histog.'!DP:DP),"")</f>
        <v>0</v>
      </c>
      <c r="AV106" s="144">
        <f>IFERROR(_xlfn.XLOOKUP($B106,'Cronog. e Histog.'!$BZ:$BZ,'Cronog. e Histog.'!DQ:DQ),"")</f>
        <v>0</v>
      </c>
      <c r="AW106" s="144">
        <f>IFERROR(_xlfn.XLOOKUP($B106,'Cronog. e Histog.'!$BZ:$BZ,'Cronog. e Histog.'!DR:DR),"")</f>
        <v>0</v>
      </c>
      <c r="AX106" s="144">
        <f>IFERROR(_xlfn.XLOOKUP($B106,'Cronog. e Histog.'!$BZ:$BZ,'Cronog. e Histog.'!DS:DS),"")</f>
        <v>0</v>
      </c>
      <c r="AY106" s="144">
        <f>IFERROR(_xlfn.XLOOKUP($B106,'Cronog. e Histog.'!$BZ:$BZ,'Cronog. e Histog.'!DT:DT),"")</f>
        <v>0</v>
      </c>
      <c r="AZ106" s="144">
        <f>IFERROR(_xlfn.XLOOKUP($B106,'Cronog. e Histog.'!$BZ:$BZ,'Cronog. e Histog.'!DU:DU),"")</f>
        <v>0</v>
      </c>
      <c r="BA106" s="144">
        <f>IFERROR(_xlfn.XLOOKUP($B106,'Cronog. e Histog.'!$BZ:$BZ,'Cronog. e Histog.'!DV:DV),"")</f>
        <v>0</v>
      </c>
      <c r="BB106" s="144">
        <f>IFERROR(_xlfn.XLOOKUP($B106,'Cronog. e Histog.'!$BZ:$BZ,'Cronog. e Histog.'!DW:DW),"")</f>
        <v>0</v>
      </c>
      <c r="BC106" s="144">
        <f>IFERROR(_xlfn.XLOOKUP($B106,'Cronog. e Histog.'!$BZ:$BZ,'Cronog. e Histog.'!DX:DX),"")</f>
        <v>0</v>
      </c>
      <c r="BD106" s="144">
        <f>IFERROR(_xlfn.XLOOKUP($B106,'Cronog. e Histog.'!$BZ:$BZ,'Cronog. e Histog.'!DY:DY),"")</f>
        <v>0</v>
      </c>
      <c r="BE106" s="144">
        <f>IFERROR(_xlfn.XLOOKUP($B106,'Cronog. e Histog.'!$BZ:$BZ,'Cronog. e Histog.'!DZ:DZ),"")</f>
        <v>0</v>
      </c>
      <c r="BF106" s="144">
        <f>IFERROR(_xlfn.XLOOKUP($B106,'Cronog. e Histog.'!$BZ:$BZ,'Cronog. e Histog.'!EA:EA),"")</f>
        <v>0</v>
      </c>
      <c r="BG106" s="144">
        <f>IFERROR(_xlfn.XLOOKUP($B106,'Cronog. e Histog.'!$BZ:$BZ,'Cronog. e Histog.'!EB:EB),"")</f>
        <v>0</v>
      </c>
      <c r="BH106" s="144">
        <f>IFERROR(_xlfn.XLOOKUP($B106,'Cronog. e Histog.'!$BZ:$BZ,'Cronog. e Histog.'!EC:EC),"")</f>
        <v>0</v>
      </c>
      <c r="BI106" s="144">
        <f>IFERROR(_xlfn.XLOOKUP($B106,'Cronog. e Histog.'!$BZ:$BZ,'Cronog. e Histog.'!ED:ED),"")</f>
        <v>0</v>
      </c>
      <c r="BJ106" s="144">
        <f>IFERROR(_xlfn.XLOOKUP($B106,'Cronog. e Histog.'!$BZ:$BZ,'Cronog. e Histog.'!EE:EE),"")</f>
        <v>0</v>
      </c>
      <c r="BK106" s="144">
        <f>IFERROR(_xlfn.XLOOKUP($B106,'Cronog. e Histog.'!$BZ:$BZ,'Cronog. e Histog.'!EF:EF),"")</f>
        <v>0</v>
      </c>
      <c r="BL106" s="144">
        <f>IFERROR(_xlfn.XLOOKUP($B106,'Cronog. e Histog.'!$BZ:$BZ,'Cronog. e Histog.'!EG:EG),"")</f>
        <v>0</v>
      </c>
      <c r="BM106" s="144">
        <f>IFERROR(_xlfn.XLOOKUP($B106,'Cronog. e Histog.'!$BZ:$BZ,'Cronog. e Histog.'!EH:EH),"")</f>
        <v>0</v>
      </c>
      <c r="BN106" s="144">
        <f>IFERROR(_xlfn.XLOOKUP($B106,'Cronog. e Histog.'!$BZ:$BZ,'Cronog. e Histog.'!EI:EI),"")</f>
        <v>0</v>
      </c>
    </row>
    <row r="107" spans="2:66" ht="12" hidden="1" customHeight="1" outlineLevel="1">
      <c r="B107" s="76">
        <v>101</v>
      </c>
      <c r="C107" s="143" t="str">
        <f>IFERROR(VLOOKUP(B107,'Cronog. e Histog.'!$BZ$213:$CA$747,2,0),"")</f>
        <v>GER. (OBRA/PROJ)</v>
      </c>
      <c r="D107" s="144">
        <f t="shared" si="2"/>
        <v>1</v>
      </c>
      <c r="E107" s="144">
        <f t="shared" si="3"/>
        <v>10</v>
      </c>
      <c r="F107" s="65"/>
      <c r="G107" s="144">
        <f>IFERROR(_xlfn.XLOOKUP($B107,'Cronog. e Histog.'!$BZ:$BZ,'Cronog. e Histog.'!CB:CB),"")</f>
        <v>0.02</v>
      </c>
      <c r="H107" s="144">
        <f>IFERROR(_xlfn.XLOOKUP($B107,'Cronog. e Histog.'!$BZ:$BZ,'Cronog. e Histog.'!CC:CC),"")</f>
        <v>0.02</v>
      </c>
      <c r="I107" s="144">
        <f>IFERROR(_xlfn.XLOOKUP($B107,'Cronog. e Histog.'!$BZ:$BZ,'Cronog. e Histog.'!CD:CD),"")</f>
        <v>0.02</v>
      </c>
      <c r="J107" s="144">
        <f>IFERROR(_xlfn.XLOOKUP($B107,'Cronog. e Histog.'!$BZ:$BZ,'Cronog. e Histog.'!CE:CE),"")</f>
        <v>0.02</v>
      </c>
      <c r="K107" s="144">
        <f>IFERROR(_xlfn.XLOOKUP($B107,'Cronog. e Histog.'!$BZ:$BZ,'Cronog. e Histog.'!CF:CF),"")</f>
        <v>0.02</v>
      </c>
      <c r="L107" s="144">
        <f>IFERROR(_xlfn.XLOOKUP($B107,'Cronog. e Histog.'!$BZ:$BZ,'Cronog. e Histog.'!CG:CG),"")</f>
        <v>0.02</v>
      </c>
      <c r="M107" s="144">
        <f>IFERROR(_xlfn.XLOOKUP($B107,'Cronog. e Histog.'!$BZ:$BZ,'Cronog. e Histog.'!CH:CH),"")</f>
        <v>0.02</v>
      </c>
      <c r="N107" s="144">
        <f>IFERROR(_xlfn.XLOOKUP($B107,'Cronog. e Histog.'!$BZ:$BZ,'Cronog. e Histog.'!CI:CI),"")</f>
        <v>0.02</v>
      </c>
      <c r="O107" s="144">
        <f>IFERROR(_xlfn.XLOOKUP($B107,'Cronog. e Histog.'!$BZ:$BZ,'Cronog. e Histog.'!CJ:CJ),"")</f>
        <v>0.02</v>
      </c>
      <c r="P107" s="144">
        <f>IFERROR(_xlfn.XLOOKUP($B107,'Cronog. e Histog.'!$BZ:$BZ,'Cronog. e Histog.'!CK:CK),"")</f>
        <v>0.02</v>
      </c>
      <c r="Q107" s="144">
        <f>IFERROR(_xlfn.XLOOKUP($B107,'Cronog. e Histog.'!$BZ:$BZ,'Cronog. e Histog.'!CL:CL),"")</f>
        <v>0</v>
      </c>
      <c r="R107" s="144">
        <f>IFERROR(_xlfn.XLOOKUP($B107,'Cronog. e Histog.'!$BZ:$BZ,'Cronog. e Histog.'!CM:CM),"")</f>
        <v>0</v>
      </c>
      <c r="S107" s="144">
        <f>IFERROR(_xlfn.XLOOKUP($B107,'Cronog. e Histog.'!$BZ:$BZ,'Cronog. e Histog.'!CN:CN),"")</f>
        <v>0</v>
      </c>
      <c r="T107" s="144">
        <f>IFERROR(_xlfn.XLOOKUP($B107,'Cronog. e Histog.'!$BZ:$BZ,'Cronog. e Histog.'!CO:CO),"")</f>
        <v>0</v>
      </c>
      <c r="U107" s="144">
        <f>IFERROR(_xlfn.XLOOKUP($B107,'Cronog. e Histog.'!$BZ:$BZ,'Cronog. e Histog.'!CP:CP),"")</f>
        <v>0</v>
      </c>
      <c r="V107" s="144">
        <f>IFERROR(_xlfn.XLOOKUP($B107,'Cronog. e Histog.'!$BZ:$BZ,'Cronog. e Histog.'!CQ:CQ),"")</f>
        <v>0</v>
      </c>
      <c r="W107" s="144">
        <f>IFERROR(_xlfn.XLOOKUP($B107,'Cronog. e Histog.'!$BZ:$BZ,'Cronog. e Histog.'!CR:CR),"")</f>
        <v>0</v>
      </c>
      <c r="X107" s="144">
        <f>IFERROR(_xlfn.XLOOKUP($B107,'Cronog. e Histog.'!$BZ:$BZ,'Cronog. e Histog.'!CS:CS),"")</f>
        <v>0</v>
      </c>
      <c r="Y107" s="144">
        <f>IFERROR(_xlfn.XLOOKUP($B107,'Cronog. e Histog.'!$BZ:$BZ,'Cronog. e Histog.'!CT:CT),"")</f>
        <v>0</v>
      </c>
      <c r="Z107" s="144">
        <f>IFERROR(_xlfn.XLOOKUP($B107,'Cronog. e Histog.'!$BZ:$BZ,'Cronog. e Histog.'!CU:CU),"")</f>
        <v>0</v>
      </c>
      <c r="AA107" s="144">
        <f>IFERROR(_xlfn.XLOOKUP($B107,'Cronog. e Histog.'!$BZ:$BZ,'Cronog. e Histog.'!CV:CV),"")</f>
        <v>0</v>
      </c>
      <c r="AB107" s="144">
        <f>IFERROR(_xlfn.XLOOKUP($B107,'Cronog. e Histog.'!$BZ:$BZ,'Cronog. e Histog.'!CW:CW),"")</f>
        <v>0</v>
      </c>
      <c r="AC107" s="144">
        <f>IFERROR(_xlfn.XLOOKUP($B107,'Cronog. e Histog.'!$BZ:$BZ,'Cronog. e Histog.'!CX:CX),"")</f>
        <v>0</v>
      </c>
      <c r="AD107" s="144">
        <f>IFERROR(_xlfn.XLOOKUP($B107,'Cronog. e Histog.'!$BZ:$BZ,'Cronog. e Histog.'!CY:CY),"")</f>
        <v>0</v>
      </c>
      <c r="AE107" s="144">
        <f>IFERROR(_xlfn.XLOOKUP($B107,'Cronog. e Histog.'!$BZ:$BZ,'Cronog. e Histog.'!CZ:CZ),"")</f>
        <v>0</v>
      </c>
      <c r="AF107" s="144">
        <f>IFERROR(_xlfn.XLOOKUP($B107,'Cronog. e Histog.'!$BZ:$BZ,'Cronog. e Histog.'!DA:DA),"")</f>
        <v>0</v>
      </c>
      <c r="AG107" s="144">
        <f>IFERROR(_xlfn.XLOOKUP($B107,'Cronog. e Histog.'!$BZ:$BZ,'Cronog. e Histog.'!DB:DB),"")</f>
        <v>0</v>
      </c>
      <c r="AH107" s="144">
        <f>IFERROR(_xlfn.XLOOKUP($B107,'Cronog. e Histog.'!$BZ:$BZ,'Cronog. e Histog.'!DC:DC),"")</f>
        <v>0</v>
      </c>
      <c r="AI107" s="144">
        <f>IFERROR(_xlfn.XLOOKUP($B107,'Cronog. e Histog.'!$BZ:$BZ,'Cronog. e Histog.'!DD:DD),"")</f>
        <v>0</v>
      </c>
      <c r="AJ107" s="144">
        <f>IFERROR(_xlfn.XLOOKUP($B107,'Cronog. e Histog.'!$BZ:$BZ,'Cronog. e Histog.'!DE:DE),"")</f>
        <v>0</v>
      </c>
      <c r="AK107" s="144">
        <f>IFERROR(_xlfn.XLOOKUP($B107,'Cronog. e Histog.'!$BZ:$BZ,'Cronog. e Histog.'!DF:DF),"")</f>
        <v>0</v>
      </c>
      <c r="AL107" s="144">
        <f>IFERROR(_xlfn.XLOOKUP($B107,'Cronog. e Histog.'!$BZ:$BZ,'Cronog. e Histog.'!DG:DG),"")</f>
        <v>0</v>
      </c>
      <c r="AM107" s="144">
        <f>IFERROR(_xlfn.XLOOKUP($B107,'Cronog. e Histog.'!$BZ:$BZ,'Cronog. e Histog.'!DH:DH),"")</f>
        <v>0</v>
      </c>
      <c r="AN107" s="144">
        <f>IFERROR(_xlfn.XLOOKUP($B107,'Cronog. e Histog.'!$BZ:$BZ,'Cronog. e Histog.'!DI:DI),"")</f>
        <v>0</v>
      </c>
      <c r="AO107" s="144">
        <f>IFERROR(_xlfn.XLOOKUP($B107,'Cronog. e Histog.'!$BZ:$BZ,'Cronog. e Histog.'!DJ:DJ),"")</f>
        <v>0</v>
      </c>
      <c r="AP107" s="144">
        <f>IFERROR(_xlfn.XLOOKUP($B107,'Cronog. e Histog.'!$BZ:$BZ,'Cronog. e Histog.'!DK:DK),"")</f>
        <v>0</v>
      </c>
      <c r="AQ107" s="144">
        <f>IFERROR(_xlfn.XLOOKUP($B107,'Cronog. e Histog.'!$BZ:$BZ,'Cronog. e Histog.'!DL:DL),"")</f>
        <v>0</v>
      </c>
      <c r="AR107" s="144">
        <f>IFERROR(_xlfn.XLOOKUP($B107,'Cronog. e Histog.'!$BZ:$BZ,'Cronog. e Histog.'!DM:DM),"")</f>
        <v>0</v>
      </c>
      <c r="AS107" s="144">
        <f>IFERROR(_xlfn.XLOOKUP($B107,'Cronog. e Histog.'!$BZ:$BZ,'Cronog. e Histog.'!DN:DN),"")</f>
        <v>0</v>
      </c>
      <c r="AT107" s="144">
        <f>IFERROR(_xlfn.XLOOKUP($B107,'Cronog. e Histog.'!$BZ:$BZ,'Cronog. e Histog.'!DO:DO),"")</f>
        <v>0</v>
      </c>
      <c r="AU107" s="144">
        <f>IFERROR(_xlfn.XLOOKUP($B107,'Cronog. e Histog.'!$BZ:$BZ,'Cronog. e Histog.'!DP:DP),"")</f>
        <v>0</v>
      </c>
      <c r="AV107" s="144">
        <f>IFERROR(_xlfn.XLOOKUP($B107,'Cronog. e Histog.'!$BZ:$BZ,'Cronog. e Histog.'!DQ:DQ),"")</f>
        <v>0</v>
      </c>
      <c r="AW107" s="144">
        <f>IFERROR(_xlfn.XLOOKUP($B107,'Cronog. e Histog.'!$BZ:$BZ,'Cronog. e Histog.'!DR:DR),"")</f>
        <v>0</v>
      </c>
      <c r="AX107" s="144">
        <f>IFERROR(_xlfn.XLOOKUP($B107,'Cronog. e Histog.'!$BZ:$BZ,'Cronog. e Histog.'!DS:DS),"")</f>
        <v>0</v>
      </c>
      <c r="AY107" s="144">
        <f>IFERROR(_xlfn.XLOOKUP($B107,'Cronog. e Histog.'!$BZ:$BZ,'Cronog. e Histog.'!DT:DT),"")</f>
        <v>0</v>
      </c>
      <c r="AZ107" s="144">
        <f>IFERROR(_xlfn.XLOOKUP($B107,'Cronog. e Histog.'!$BZ:$BZ,'Cronog. e Histog.'!DU:DU),"")</f>
        <v>0</v>
      </c>
      <c r="BA107" s="144">
        <f>IFERROR(_xlfn.XLOOKUP($B107,'Cronog. e Histog.'!$BZ:$BZ,'Cronog. e Histog.'!DV:DV),"")</f>
        <v>0</v>
      </c>
      <c r="BB107" s="144">
        <f>IFERROR(_xlfn.XLOOKUP($B107,'Cronog. e Histog.'!$BZ:$BZ,'Cronog. e Histog.'!DW:DW),"")</f>
        <v>0</v>
      </c>
      <c r="BC107" s="144">
        <f>IFERROR(_xlfn.XLOOKUP($B107,'Cronog. e Histog.'!$BZ:$BZ,'Cronog. e Histog.'!DX:DX),"")</f>
        <v>0</v>
      </c>
      <c r="BD107" s="144">
        <f>IFERROR(_xlfn.XLOOKUP($B107,'Cronog. e Histog.'!$BZ:$BZ,'Cronog. e Histog.'!DY:DY),"")</f>
        <v>0</v>
      </c>
      <c r="BE107" s="144">
        <f>IFERROR(_xlfn.XLOOKUP($B107,'Cronog. e Histog.'!$BZ:$BZ,'Cronog. e Histog.'!DZ:DZ),"")</f>
        <v>0</v>
      </c>
      <c r="BF107" s="144">
        <f>IFERROR(_xlfn.XLOOKUP($B107,'Cronog. e Histog.'!$BZ:$BZ,'Cronog. e Histog.'!EA:EA),"")</f>
        <v>0</v>
      </c>
      <c r="BG107" s="144">
        <f>IFERROR(_xlfn.XLOOKUP($B107,'Cronog. e Histog.'!$BZ:$BZ,'Cronog. e Histog.'!EB:EB),"")</f>
        <v>0</v>
      </c>
      <c r="BH107" s="144">
        <f>IFERROR(_xlfn.XLOOKUP($B107,'Cronog. e Histog.'!$BZ:$BZ,'Cronog. e Histog.'!EC:EC),"")</f>
        <v>0</v>
      </c>
      <c r="BI107" s="144">
        <f>IFERROR(_xlfn.XLOOKUP($B107,'Cronog. e Histog.'!$BZ:$BZ,'Cronog. e Histog.'!ED:ED),"")</f>
        <v>0</v>
      </c>
      <c r="BJ107" s="144">
        <f>IFERROR(_xlfn.XLOOKUP($B107,'Cronog. e Histog.'!$BZ:$BZ,'Cronog. e Histog.'!EE:EE),"")</f>
        <v>0</v>
      </c>
      <c r="BK107" s="144">
        <f>IFERROR(_xlfn.XLOOKUP($B107,'Cronog. e Histog.'!$BZ:$BZ,'Cronog. e Histog.'!EF:EF),"")</f>
        <v>0</v>
      </c>
      <c r="BL107" s="144">
        <f>IFERROR(_xlfn.XLOOKUP($B107,'Cronog. e Histog.'!$BZ:$BZ,'Cronog. e Histog.'!EG:EG),"")</f>
        <v>0</v>
      </c>
      <c r="BM107" s="144">
        <f>IFERROR(_xlfn.XLOOKUP($B107,'Cronog. e Histog.'!$BZ:$BZ,'Cronog. e Histog.'!EH:EH),"")</f>
        <v>0</v>
      </c>
      <c r="BN107" s="144">
        <f>IFERROR(_xlfn.XLOOKUP($B107,'Cronog. e Histog.'!$BZ:$BZ,'Cronog. e Histog.'!EI:EI),"")</f>
        <v>0</v>
      </c>
    </row>
    <row r="108" spans="2:66" ht="12" hidden="1" customHeight="1" outlineLevel="1">
      <c r="B108" s="76">
        <v>102</v>
      </c>
      <c r="C108" s="143" t="str">
        <f>IFERROR(VLOOKUP(B108,'Cronog. e Histog.'!$BZ$213:$CA$747,2,0),"")</f>
        <v>COORD.</v>
      </c>
      <c r="D108" s="144">
        <f t="shared" si="2"/>
        <v>0</v>
      </c>
      <c r="E108" s="144">
        <f t="shared" si="3"/>
        <v>0</v>
      </c>
      <c r="F108" s="65"/>
      <c r="G108" s="144">
        <f>IFERROR(_xlfn.XLOOKUP($B108,'Cronog. e Histog.'!$BZ:$BZ,'Cronog. e Histog.'!CB:CB),"")</f>
        <v>0</v>
      </c>
      <c r="H108" s="144">
        <f>IFERROR(_xlfn.XLOOKUP($B108,'Cronog. e Histog.'!$BZ:$BZ,'Cronog. e Histog.'!CC:CC),"")</f>
        <v>0</v>
      </c>
      <c r="I108" s="144">
        <f>IFERROR(_xlfn.XLOOKUP($B108,'Cronog. e Histog.'!$BZ:$BZ,'Cronog. e Histog.'!CD:CD),"")</f>
        <v>0</v>
      </c>
      <c r="J108" s="144">
        <f>IFERROR(_xlfn.XLOOKUP($B108,'Cronog. e Histog.'!$BZ:$BZ,'Cronog. e Histog.'!CE:CE),"")</f>
        <v>0</v>
      </c>
      <c r="K108" s="144">
        <f>IFERROR(_xlfn.XLOOKUP($B108,'Cronog. e Histog.'!$BZ:$BZ,'Cronog. e Histog.'!CF:CF),"")</f>
        <v>0</v>
      </c>
      <c r="L108" s="144">
        <f>IFERROR(_xlfn.XLOOKUP($B108,'Cronog. e Histog.'!$BZ:$BZ,'Cronog. e Histog.'!CG:CG),"")</f>
        <v>0</v>
      </c>
      <c r="M108" s="144">
        <f>IFERROR(_xlfn.XLOOKUP($B108,'Cronog. e Histog.'!$BZ:$BZ,'Cronog. e Histog.'!CH:CH),"")</f>
        <v>0</v>
      </c>
      <c r="N108" s="144">
        <f>IFERROR(_xlfn.XLOOKUP($B108,'Cronog. e Histog.'!$BZ:$BZ,'Cronog. e Histog.'!CI:CI),"")</f>
        <v>0</v>
      </c>
      <c r="O108" s="144">
        <f>IFERROR(_xlfn.XLOOKUP($B108,'Cronog. e Histog.'!$BZ:$BZ,'Cronog. e Histog.'!CJ:CJ),"")</f>
        <v>0</v>
      </c>
      <c r="P108" s="144">
        <f>IFERROR(_xlfn.XLOOKUP($B108,'Cronog. e Histog.'!$BZ:$BZ,'Cronog. e Histog.'!CK:CK),"")</f>
        <v>0</v>
      </c>
      <c r="Q108" s="144">
        <f>IFERROR(_xlfn.XLOOKUP($B108,'Cronog. e Histog.'!$BZ:$BZ,'Cronog. e Histog.'!CL:CL),"")</f>
        <v>0</v>
      </c>
      <c r="R108" s="144">
        <f>IFERROR(_xlfn.XLOOKUP($B108,'Cronog. e Histog.'!$BZ:$BZ,'Cronog. e Histog.'!CM:CM),"")</f>
        <v>0</v>
      </c>
      <c r="S108" s="144">
        <f>IFERROR(_xlfn.XLOOKUP($B108,'Cronog. e Histog.'!$BZ:$BZ,'Cronog. e Histog.'!CN:CN),"")</f>
        <v>0</v>
      </c>
      <c r="T108" s="144">
        <f>IFERROR(_xlfn.XLOOKUP($B108,'Cronog. e Histog.'!$BZ:$BZ,'Cronog. e Histog.'!CO:CO),"")</f>
        <v>0</v>
      </c>
      <c r="U108" s="144">
        <f>IFERROR(_xlfn.XLOOKUP($B108,'Cronog. e Histog.'!$BZ:$BZ,'Cronog. e Histog.'!CP:CP),"")</f>
        <v>0</v>
      </c>
      <c r="V108" s="144">
        <f>IFERROR(_xlfn.XLOOKUP($B108,'Cronog. e Histog.'!$BZ:$BZ,'Cronog. e Histog.'!CQ:CQ),"")</f>
        <v>0</v>
      </c>
      <c r="W108" s="144">
        <f>IFERROR(_xlfn.XLOOKUP($B108,'Cronog. e Histog.'!$BZ:$BZ,'Cronog. e Histog.'!CR:CR),"")</f>
        <v>0</v>
      </c>
      <c r="X108" s="144">
        <f>IFERROR(_xlfn.XLOOKUP($B108,'Cronog. e Histog.'!$BZ:$BZ,'Cronog. e Histog.'!CS:CS),"")</f>
        <v>0</v>
      </c>
      <c r="Y108" s="144">
        <f>IFERROR(_xlfn.XLOOKUP($B108,'Cronog. e Histog.'!$BZ:$BZ,'Cronog. e Histog.'!CT:CT),"")</f>
        <v>0</v>
      </c>
      <c r="Z108" s="144">
        <f>IFERROR(_xlfn.XLOOKUP($B108,'Cronog. e Histog.'!$BZ:$BZ,'Cronog. e Histog.'!CU:CU),"")</f>
        <v>0</v>
      </c>
      <c r="AA108" s="144">
        <f>IFERROR(_xlfn.XLOOKUP($B108,'Cronog. e Histog.'!$BZ:$BZ,'Cronog. e Histog.'!CV:CV),"")</f>
        <v>0</v>
      </c>
      <c r="AB108" s="144">
        <f>IFERROR(_xlfn.XLOOKUP($B108,'Cronog. e Histog.'!$BZ:$BZ,'Cronog. e Histog.'!CW:CW),"")</f>
        <v>0</v>
      </c>
      <c r="AC108" s="144">
        <f>IFERROR(_xlfn.XLOOKUP($B108,'Cronog. e Histog.'!$BZ:$BZ,'Cronog. e Histog.'!CX:CX),"")</f>
        <v>0</v>
      </c>
      <c r="AD108" s="144">
        <f>IFERROR(_xlfn.XLOOKUP($B108,'Cronog. e Histog.'!$BZ:$BZ,'Cronog. e Histog.'!CY:CY),"")</f>
        <v>0</v>
      </c>
      <c r="AE108" s="144">
        <f>IFERROR(_xlfn.XLOOKUP($B108,'Cronog. e Histog.'!$BZ:$BZ,'Cronog. e Histog.'!CZ:CZ),"")</f>
        <v>0</v>
      </c>
      <c r="AF108" s="144">
        <f>IFERROR(_xlfn.XLOOKUP($B108,'Cronog. e Histog.'!$BZ:$BZ,'Cronog. e Histog.'!DA:DA),"")</f>
        <v>0</v>
      </c>
      <c r="AG108" s="144">
        <f>IFERROR(_xlfn.XLOOKUP($B108,'Cronog. e Histog.'!$BZ:$BZ,'Cronog. e Histog.'!DB:DB),"")</f>
        <v>0</v>
      </c>
      <c r="AH108" s="144">
        <f>IFERROR(_xlfn.XLOOKUP($B108,'Cronog. e Histog.'!$BZ:$BZ,'Cronog. e Histog.'!DC:DC),"")</f>
        <v>0</v>
      </c>
      <c r="AI108" s="144">
        <f>IFERROR(_xlfn.XLOOKUP($B108,'Cronog. e Histog.'!$BZ:$BZ,'Cronog. e Histog.'!DD:DD),"")</f>
        <v>0</v>
      </c>
      <c r="AJ108" s="144">
        <f>IFERROR(_xlfn.XLOOKUP($B108,'Cronog. e Histog.'!$BZ:$BZ,'Cronog. e Histog.'!DE:DE),"")</f>
        <v>0</v>
      </c>
      <c r="AK108" s="144">
        <f>IFERROR(_xlfn.XLOOKUP($B108,'Cronog. e Histog.'!$BZ:$BZ,'Cronog. e Histog.'!DF:DF),"")</f>
        <v>0</v>
      </c>
      <c r="AL108" s="144">
        <f>IFERROR(_xlfn.XLOOKUP($B108,'Cronog. e Histog.'!$BZ:$BZ,'Cronog. e Histog.'!DG:DG),"")</f>
        <v>0</v>
      </c>
      <c r="AM108" s="144">
        <f>IFERROR(_xlfn.XLOOKUP($B108,'Cronog. e Histog.'!$BZ:$BZ,'Cronog. e Histog.'!DH:DH),"")</f>
        <v>0</v>
      </c>
      <c r="AN108" s="144">
        <f>IFERROR(_xlfn.XLOOKUP($B108,'Cronog. e Histog.'!$BZ:$BZ,'Cronog. e Histog.'!DI:DI),"")</f>
        <v>0</v>
      </c>
      <c r="AO108" s="144">
        <f>IFERROR(_xlfn.XLOOKUP($B108,'Cronog. e Histog.'!$BZ:$BZ,'Cronog. e Histog.'!DJ:DJ),"")</f>
        <v>0</v>
      </c>
      <c r="AP108" s="144">
        <f>IFERROR(_xlfn.XLOOKUP($B108,'Cronog. e Histog.'!$BZ:$BZ,'Cronog. e Histog.'!DK:DK),"")</f>
        <v>0</v>
      </c>
      <c r="AQ108" s="144">
        <f>IFERROR(_xlfn.XLOOKUP($B108,'Cronog. e Histog.'!$BZ:$BZ,'Cronog. e Histog.'!DL:DL),"")</f>
        <v>0</v>
      </c>
      <c r="AR108" s="144">
        <f>IFERROR(_xlfn.XLOOKUP($B108,'Cronog. e Histog.'!$BZ:$BZ,'Cronog. e Histog.'!DM:DM),"")</f>
        <v>0</v>
      </c>
      <c r="AS108" s="144">
        <f>IFERROR(_xlfn.XLOOKUP($B108,'Cronog. e Histog.'!$BZ:$BZ,'Cronog. e Histog.'!DN:DN),"")</f>
        <v>0</v>
      </c>
      <c r="AT108" s="144">
        <f>IFERROR(_xlfn.XLOOKUP($B108,'Cronog. e Histog.'!$BZ:$BZ,'Cronog. e Histog.'!DO:DO),"")</f>
        <v>0</v>
      </c>
      <c r="AU108" s="144">
        <f>IFERROR(_xlfn.XLOOKUP($B108,'Cronog. e Histog.'!$BZ:$BZ,'Cronog. e Histog.'!DP:DP),"")</f>
        <v>0</v>
      </c>
      <c r="AV108" s="144">
        <f>IFERROR(_xlfn.XLOOKUP($B108,'Cronog. e Histog.'!$BZ:$BZ,'Cronog. e Histog.'!DQ:DQ),"")</f>
        <v>0</v>
      </c>
      <c r="AW108" s="144">
        <f>IFERROR(_xlfn.XLOOKUP($B108,'Cronog. e Histog.'!$BZ:$BZ,'Cronog. e Histog.'!DR:DR),"")</f>
        <v>0</v>
      </c>
      <c r="AX108" s="144">
        <f>IFERROR(_xlfn.XLOOKUP($B108,'Cronog. e Histog.'!$BZ:$BZ,'Cronog. e Histog.'!DS:DS),"")</f>
        <v>0</v>
      </c>
      <c r="AY108" s="144">
        <f>IFERROR(_xlfn.XLOOKUP($B108,'Cronog. e Histog.'!$BZ:$BZ,'Cronog. e Histog.'!DT:DT),"")</f>
        <v>0</v>
      </c>
      <c r="AZ108" s="144">
        <f>IFERROR(_xlfn.XLOOKUP($B108,'Cronog. e Histog.'!$BZ:$BZ,'Cronog. e Histog.'!DU:DU),"")</f>
        <v>0</v>
      </c>
      <c r="BA108" s="144">
        <f>IFERROR(_xlfn.XLOOKUP($B108,'Cronog. e Histog.'!$BZ:$BZ,'Cronog. e Histog.'!DV:DV),"")</f>
        <v>0</v>
      </c>
      <c r="BB108" s="144">
        <f>IFERROR(_xlfn.XLOOKUP($B108,'Cronog. e Histog.'!$BZ:$BZ,'Cronog. e Histog.'!DW:DW),"")</f>
        <v>0</v>
      </c>
      <c r="BC108" s="144">
        <f>IFERROR(_xlfn.XLOOKUP($B108,'Cronog. e Histog.'!$BZ:$BZ,'Cronog. e Histog.'!DX:DX),"")</f>
        <v>0</v>
      </c>
      <c r="BD108" s="144">
        <f>IFERROR(_xlfn.XLOOKUP($B108,'Cronog. e Histog.'!$BZ:$BZ,'Cronog. e Histog.'!DY:DY),"")</f>
        <v>0</v>
      </c>
      <c r="BE108" s="144">
        <f>IFERROR(_xlfn.XLOOKUP($B108,'Cronog. e Histog.'!$BZ:$BZ,'Cronog. e Histog.'!DZ:DZ),"")</f>
        <v>0</v>
      </c>
      <c r="BF108" s="144">
        <f>IFERROR(_xlfn.XLOOKUP($B108,'Cronog. e Histog.'!$BZ:$BZ,'Cronog. e Histog.'!EA:EA),"")</f>
        <v>0</v>
      </c>
      <c r="BG108" s="144">
        <f>IFERROR(_xlfn.XLOOKUP($B108,'Cronog. e Histog.'!$BZ:$BZ,'Cronog. e Histog.'!EB:EB),"")</f>
        <v>0</v>
      </c>
      <c r="BH108" s="144">
        <f>IFERROR(_xlfn.XLOOKUP($B108,'Cronog. e Histog.'!$BZ:$BZ,'Cronog. e Histog.'!EC:EC),"")</f>
        <v>0</v>
      </c>
      <c r="BI108" s="144">
        <f>IFERROR(_xlfn.XLOOKUP($B108,'Cronog. e Histog.'!$BZ:$BZ,'Cronog. e Histog.'!ED:ED),"")</f>
        <v>0</v>
      </c>
      <c r="BJ108" s="144">
        <f>IFERROR(_xlfn.XLOOKUP($B108,'Cronog. e Histog.'!$BZ:$BZ,'Cronog. e Histog.'!EE:EE),"")</f>
        <v>0</v>
      </c>
      <c r="BK108" s="144">
        <f>IFERROR(_xlfn.XLOOKUP($B108,'Cronog. e Histog.'!$BZ:$BZ,'Cronog. e Histog.'!EF:EF),"")</f>
        <v>0</v>
      </c>
      <c r="BL108" s="144">
        <f>IFERROR(_xlfn.XLOOKUP($B108,'Cronog. e Histog.'!$BZ:$BZ,'Cronog. e Histog.'!EG:EG),"")</f>
        <v>0</v>
      </c>
      <c r="BM108" s="144">
        <f>IFERROR(_xlfn.XLOOKUP($B108,'Cronog. e Histog.'!$BZ:$BZ,'Cronog. e Histog.'!EH:EH),"")</f>
        <v>0</v>
      </c>
      <c r="BN108" s="144">
        <f>IFERROR(_xlfn.XLOOKUP($B108,'Cronog. e Histog.'!$BZ:$BZ,'Cronog. e Histog.'!EI:EI),"")</f>
        <v>0</v>
      </c>
    </row>
    <row r="109" spans="2:66" ht="12" hidden="1" customHeight="1" outlineLevel="1">
      <c r="B109" s="76">
        <v>103</v>
      </c>
      <c r="C109" s="143" t="str">
        <f>IFERROR(VLOOKUP(B109,'Cronog. e Histog.'!$BZ$213:$CA$747,2,0),"")</f>
        <v>SUP.-ESP</v>
      </c>
      <c r="D109" s="144">
        <f t="shared" si="2"/>
        <v>0</v>
      </c>
      <c r="E109" s="144">
        <f t="shared" si="3"/>
        <v>0</v>
      </c>
      <c r="F109" s="65"/>
      <c r="G109" s="144">
        <f>IFERROR(_xlfn.XLOOKUP($B109,'Cronog. e Histog.'!$BZ:$BZ,'Cronog. e Histog.'!CB:CB),"")</f>
        <v>0</v>
      </c>
      <c r="H109" s="144">
        <f>IFERROR(_xlfn.XLOOKUP($B109,'Cronog. e Histog.'!$BZ:$BZ,'Cronog. e Histog.'!CC:CC),"")</f>
        <v>0</v>
      </c>
      <c r="I109" s="144">
        <f>IFERROR(_xlfn.XLOOKUP($B109,'Cronog. e Histog.'!$BZ:$BZ,'Cronog. e Histog.'!CD:CD),"")</f>
        <v>0</v>
      </c>
      <c r="J109" s="144">
        <f>IFERROR(_xlfn.XLOOKUP($B109,'Cronog. e Histog.'!$BZ:$BZ,'Cronog. e Histog.'!CE:CE),"")</f>
        <v>0</v>
      </c>
      <c r="K109" s="144">
        <f>IFERROR(_xlfn.XLOOKUP($B109,'Cronog. e Histog.'!$BZ:$BZ,'Cronog. e Histog.'!CF:CF),"")</f>
        <v>0</v>
      </c>
      <c r="L109" s="144">
        <f>IFERROR(_xlfn.XLOOKUP($B109,'Cronog. e Histog.'!$BZ:$BZ,'Cronog. e Histog.'!CG:CG),"")</f>
        <v>0</v>
      </c>
      <c r="M109" s="144">
        <f>IFERROR(_xlfn.XLOOKUP($B109,'Cronog. e Histog.'!$BZ:$BZ,'Cronog. e Histog.'!CH:CH),"")</f>
        <v>0</v>
      </c>
      <c r="N109" s="144">
        <f>IFERROR(_xlfn.XLOOKUP($B109,'Cronog. e Histog.'!$BZ:$BZ,'Cronog. e Histog.'!CI:CI),"")</f>
        <v>0</v>
      </c>
      <c r="O109" s="144">
        <f>IFERROR(_xlfn.XLOOKUP($B109,'Cronog. e Histog.'!$BZ:$BZ,'Cronog. e Histog.'!CJ:CJ),"")</f>
        <v>0</v>
      </c>
      <c r="P109" s="144">
        <f>IFERROR(_xlfn.XLOOKUP($B109,'Cronog. e Histog.'!$BZ:$BZ,'Cronog. e Histog.'!CK:CK),"")</f>
        <v>0</v>
      </c>
      <c r="Q109" s="144">
        <f>IFERROR(_xlfn.XLOOKUP($B109,'Cronog. e Histog.'!$BZ:$BZ,'Cronog. e Histog.'!CL:CL),"")</f>
        <v>0</v>
      </c>
      <c r="R109" s="144">
        <f>IFERROR(_xlfn.XLOOKUP($B109,'Cronog. e Histog.'!$BZ:$BZ,'Cronog. e Histog.'!CM:CM),"")</f>
        <v>0</v>
      </c>
      <c r="S109" s="144">
        <f>IFERROR(_xlfn.XLOOKUP($B109,'Cronog. e Histog.'!$BZ:$BZ,'Cronog. e Histog.'!CN:CN),"")</f>
        <v>0</v>
      </c>
      <c r="T109" s="144">
        <f>IFERROR(_xlfn.XLOOKUP($B109,'Cronog. e Histog.'!$BZ:$BZ,'Cronog. e Histog.'!CO:CO),"")</f>
        <v>0</v>
      </c>
      <c r="U109" s="144">
        <f>IFERROR(_xlfn.XLOOKUP($B109,'Cronog. e Histog.'!$BZ:$BZ,'Cronog. e Histog.'!CP:CP),"")</f>
        <v>0</v>
      </c>
      <c r="V109" s="144">
        <f>IFERROR(_xlfn.XLOOKUP($B109,'Cronog. e Histog.'!$BZ:$BZ,'Cronog. e Histog.'!CQ:CQ),"")</f>
        <v>0</v>
      </c>
      <c r="W109" s="144">
        <f>IFERROR(_xlfn.XLOOKUP($B109,'Cronog. e Histog.'!$BZ:$BZ,'Cronog. e Histog.'!CR:CR),"")</f>
        <v>0</v>
      </c>
      <c r="X109" s="144">
        <f>IFERROR(_xlfn.XLOOKUP($B109,'Cronog. e Histog.'!$BZ:$BZ,'Cronog. e Histog.'!CS:CS),"")</f>
        <v>0</v>
      </c>
      <c r="Y109" s="144">
        <f>IFERROR(_xlfn.XLOOKUP($B109,'Cronog. e Histog.'!$BZ:$BZ,'Cronog. e Histog.'!CT:CT),"")</f>
        <v>0</v>
      </c>
      <c r="Z109" s="144">
        <f>IFERROR(_xlfn.XLOOKUP($B109,'Cronog. e Histog.'!$BZ:$BZ,'Cronog. e Histog.'!CU:CU),"")</f>
        <v>0</v>
      </c>
      <c r="AA109" s="144">
        <f>IFERROR(_xlfn.XLOOKUP($B109,'Cronog. e Histog.'!$BZ:$BZ,'Cronog. e Histog.'!CV:CV),"")</f>
        <v>0</v>
      </c>
      <c r="AB109" s="144">
        <f>IFERROR(_xlfn.XLOOKUP($B109,'Cronog. e Histog.'!$BZ:$BZ,'Cronog. e Histog.'!CW:CW),"")</f>
        <v>0</v>
      </c>
      <c r="AC109" s="144">
        <f>IFERROR(_xlfn.XLOOKUP($B109,'Cronog. e Histog.'!$BZ:$BZ,'Cronog. e Histog.'!CX:CX),"")</f>
        <v>0</v>
      </c>
      <c r="AD109" s="144">
        <f>IFERROR(_xlfn.XLOOKUP($B109,'Cronog. e Histog.'!$BZ:$BZ,'Cronog. e Histog.'!CY:CY),"")</f>
        <v>0</v>
      </c>
      <c r="AE109" s="144">
        <f>IFERROR(_xlfn.XLOOKUP($B109,'Cronog. e Histog.'!$BZ:$BZ,'Cronog. e Histog.'!CZ:CZ),"")</f>
        <v>0</v>
      </c>
      <c r="AF109" s="144">
        <f>IFERROR(_xlfn.XLOOKUP($B109,'Cronog. e Histog.'!$BZ:$BZ,'Cronog. e Histog.'!DA:DA),"")</f>
        <v>0</v>
      </c>
      <c r="AG109" s="144">
        <f>IFERROR(_xlfn.XLOOKUP($B109,'Cronog. e Histog.'!$BZ:$BZ,'Cronog. e Histog.'!DB:DB),"")</f>
        <v>0</v>
      </c>
      <c r="AH109" s="144">
        <f>IFERROR(_xlfn.XLOOKUP($B109,'Cronog. e Histog.'!$BZ:$BZ,'Cronog. e Histog.'!DC:DC),"")</f>
        <v>0</v>
      </c>
      <c r="AI109" s="144">
        <f>IFERROR(_xlfn.XLOOKUP($B109,'Cronog. e Histog.'!$BZ:$BZ,'Cronog. e Histog.'!DD:DD),"")</f>
        <v>0</v>
      </c>
      <c r="AJ109" s="144">
        <f>IFERROR(_xlfn.XLOOKUP($B109,'Cronog. e Histog.'!$BZ:$BZ,'Cronog. e Histog.'!DE:DE),"")</f>
        <v>0</v>
      </c>
      <c r="AK109" s="144">
        <f>IFERROR(_xlfn.XLOOKUP($B109,'Cronog. e Histog.'!$BZ:$BZ,'Cronog. e Histog.'!DF:DF),"")</f>
        <v>0</v>
      </c>
      <c r="AL109" s="144">
        <f>IFERROR(_xlfn.XLOOKUP($B109,'Cronog. e Histog.'!$BZ:$BZ,'Cronog. e Histog.'!DG:DG),"")</f>
        <v>0</v>
      </c>
      <c r="AM109" s="144">
        <f>IFERROR(_xlfn.XLOOKUP($B109,'Cronog. e Histog.'!$BZ:$BZ,'Cronog. e Histog.'!DH:DH),"")</f>
        <v>0</v>
      </c>
      <c r="AN109" s="144">
        <f>IFERROR(_xlfn.XLOOKUP($B109,'Cronog. e Histog.'!$BZ:$BZ,'Cronog. e Histog.'!DI:DI),"")</f>
        <v>0</v>
      </c>
      <c r="AO109" s="144">
        <f>IFERROR(_xlfn.XLOOKUP($B109,'Cronog. e Histog.'!$BZ:$BZ,'Cronog. e Histog.'!DJ:DJ),"")</f>
        <v>0</v>
      </c>
      <c r="AP109" s="144">
        <f>IFERROR(_xlfn.XLOOKUP($B109,'Cronog. e Histog.'!$BZ:$BZ,'Cronog. e Histog.'!DK:DK),"")</f>
        <v>0</v>
      </c>
      <c r="AQ109" s="144">
        <f>IFERROR(_xlfn.XLOOKUP($B109,'Cronog. e Histog.'!$BZ:$BZ,'Cronog. e Histog.'!DL:DL),"")</f>
        <v>0</v>
      </c>
      <c r="AR109" s="144">
        <f>IFERROR(_xlfn.XLOOKUP($B109,'Cronog. e Histog.'!$BZ:$BZ,'Cronog. e Histog.'!DM:DM),"")</f>
        <v>0</v>
      </c>
      <c r="AS109" s="144">
        <f>IFERROR(_xlfn.XLOOKUP($B109,'Cronog. e Histog.'!$BZ:$BZ,'Cronog. e Histog.'!DN:DN),"")</f>
        <v>0</v>
      </c>
      <c r="AT109" s="144">
        <f>IFERROR(_xlfn.XLOOKUP($B109,'Cronog. e Histog.'!$BZ:$BZ,'Cronog. e Histog.'!DO:DO),"")</f>
        <v>0</v>
      </c>
      <c r="AU109" s="144">
        <f>IFERROR(_xlfn.XLOOKUP($B109,'Cronog. e Histog.'!$BZ:$BZ,'Cronog. e Histog.'!DP:DP),"")</f>
        <v>0</v>
      </c>
      <c r="AV109" s="144">
        <f>IFERROR(_xlfn.XLOOKUP($B109,'Cronog. e Histog.'!$BZ:$BZ,'Cronog. e Histog.'!DQ:DQ),"")</f>
        <v>0</v>
      </c>
      <c r="AW109" s="144">
        <f>IFERROR(_xlfn.XLOOKUP($B109,'Cronog. e Histog.'!$BZ:$BZ,'Cronog. e Histog.'!DR:DR),"")</f>
        <v>0</v>
      </c>
      <c r="AX109" s="144">
        <f>IFERROR(_xlfn.XLOOKUP($B109,'Cronog. e Histog.'!$BZ:$BZ,'Cronog. e Histog.'!DS:DS),"")</f>
        <v>0</v>
      </c>
      <c r="AY109" s="144">
        <f>IFERROR(_xlfn.XLOOKUP($B109,'Cronog. e Histog.'!$BZ:$BZ,'Cronog. e Histog.'!DT:DT),"")</f>
        <v>0</v>
      </c>
      <c r="AZ109" s="144">
        <f>IFERROR(_xlfn.XLOOKUP($B109,'Cronog. e Histog.'!$BZ:$BZ,'Cronog. e Histog.'!DU:DU),"")</f>
        <v>0</v>
      </c>
      <c r="BA109" s="144">
        <f>IFERROR(_xlfn.XLOOKUP($B109,'Cronog. e Histog.'!$BZ:$BZ,'Cronog. e Histog.'!DV:DV),"")</f>
        <v>0</v>
      </c>
      <c r="BB109" s="144">
        <f>IFERROR(_xlfn.XLOOKUP($B109,'Cronog. e Histog.'!$BZ:$BZ,'Cronog. e Histog.'!DW:DW),"")</f>
        <v>0</v>
      </c>
      <c r="BC109" s="144">
        <f>IFERROR(_xlfn.XLOOKUP($B109,'Cronog. e Histog.'!$BZ:$BZ,'Cronog. e Histog.'!DX:DX),"")</f>
        <v>0</v>
      </c>
      <c r="BD109" s="144">
        <f>IFERROR(_xlfn.XLOOKUP($B109,'Cronog. e Histog.'!$BZ:$BZ,'Cronog. e Histog.'!DY:DY),"")</f>
        <v>0</v>
      </c>
      <c r="BE109" s="144">
        <f>IFERROR(_xlfn.XLOOKUP($B109,'Cronog. e Histog.'!$BZ:$BZ,'Cronog. e Histog.'!DZ:DZ),"")</f>
        <v>0</v>
      </c>
      <c r="BF109" s="144">
        <f>IFERROR(_xlfn.XLOOKUP($B109,'Cronog. e Histog.'!$BZ:$BZ,'Cronog. e Histog.'!EA:EA),"")</f>
        <v>0</v>
      </c>
      <c r="BG109" s="144">
        <f>IFERROR(_xlfn.XLOOKUP($B109,'Cronog. e Histog.'!$BZ:$BZ,'Cronog. e Histog.'!EB:EB),"")</f>
        <v>0</v>
      </c>
      <c r="BH109" s="144">
        <f>IFERROR(_xlfn.XLOOKUP($B109,'Cronog. e Histog.'!$BZ:$BZ,'Cronog. e Histog.'!EC:EC),"")</f>
        <v>0</v>
      </c>
      <c r="BI109" s="144">
        <f>IFERROR(_xlfn.XLOOKUP($B109,'Cronog. e Histog.'!$BZ:$BZ,'Cronog. e Histog.'!ED:ED),"")</f>
        <v>0</v>
      </c>
      <c r="BJ109" s="144">
        <f>IFERROR(_xlfn.XLOOKUP($B109,'Cronog. e Histog.'!$BZ:$BZ,'Cronog. e Histog.'!EE:EE),"")</f>
        <v>0</v>
      </c>
      <c r="BK109" s="144">
        <f>IFERROR(_xlfn.XLOOKUP($B109,'Cronog. e Histog.'!$BZ:$BZ,'Cronog. e Histog.'!EF:EF),"")</f>
        <v>0</v>
      </c>
      <c r="BL109" s="144">
        <f>IFERROR(_xlfn.XLOOKUP($B109,'Cronog. e Histog.'!$BZ:$BZ,'Cronog. e Histog.'!EG:EG),"")</f>
        <v>0</v>
      </c>
      <c r="BM109" s="144">
        <f>IFERROR(_xlfn.XLOOKUP($B109,'Cronog. e Histog.'!$BZ:$BZ,'Cronog. e Histog.'!EH:EH),"")</f>
        <v>0</v>
      </c>
      <c r="BN109" s="144">
        <f>IFERROR(_xlfn.XLOOKUP($B109,'Cronog. e Histog.'!$BZ:$BZ,'Cronog. e Histog.'!EI:EI),"")</f>
        <v>0</v>
      </c>
    </row>
    <row r="110" spans="2:66" ht="12" hidden="1" customHeight="1" outlineLevel="1">
      <c r="B110" s="76">
        <v>104</v>
      </c>
      <c r="C110" s="143" t="str">
        <f>IFERROR(VLOOKUP(B110,'Cronog. e Histog.'!$BZ$213:$CA$747,2,0),"")</f>
        <v>ENG/ARQ SR.</v>
      </c>
      <c r="D110" s="144">
        <f t="shared" si="2"/>
        <v>1</v>
      </c>
      <c r="E110" s="144">
        <f t="shared" si="3"/>
        <v>10</v>
      </c>
      <c r="F110" s="65"/>
      <c r="G110" s="144">
        <f>IFERROR(_xlfn.XLOOKUP($B110,'Cronog. e Histog.'!$BZ:$BZ,'Cronog. e Histog.'!CB:CB),"")</f>
        <v>0.01</v>
      </c>
      <c r="H110" s="144">
        <f>IFERROR(_xlfn.XLOOKUP($B110,'Cronog. e Histog.'!$BZ:$BZ,'Cronog. e Histog.'!CC:CC),"")</f>
        <v>0.01</v>
      </c>
      <c r="I110" s="144">
        <f>IFERROR(_xlfn.XLOOKUP($B110,'Cronog. e Histog.'!$BZ:$BZ,'Cronog. e Histog.'!CD:CD),"")</f>
        <v>0.01</v>
      </c>
      <c r="J110" s="144">
        <f>IFERROR(_xlfn.XLOOKUP($B110,'Cronog. e Histog.'!$BZ:$BZ,'Cronog. e Histog.'!CE:CE),"")</f>
        <v>0.01</v>
      </c>
      <c r="K110" s="144">
        <f>IFERROR(_xlfn.XLOOKUP($B110,'Cronog. e Histog.'!$BZ:$BZ,'Cronog. e Histog.'!CF:CF),"")</f>
        <v>0.01</v>
      </c>
      <c r="L110" s="144">
        <f>IFERROR(_xlfn.XLOOKUP($B110,'Cronog. e Histog.'!$BZ:$BZ,'Cronog. e Histog.'!CG:CG),"")</f>
        <v>0.01</v>
      </c>
      <c r="M110" s="144">
        <f>IFERROR(_xlfn.XLOOKUP($B110,'Cronog. e Histog.'!$BZ:$BZ,'Cronog. e Histog.'!CH:CH),"")</f>
        <v>0.01</v>
      </c>
      <c r="N110" s="144">
        <f>IFERROR(_xlfn.XLOOKUP($B110,'Cronog. e Histog.'!$BZ:$BZ,'Cronog. e Histog.'!CI:CI),"")</f>
        <v>0.01</v>
      </c>
      <c r="O110" s="144">
        <f>IFERROR(_xlfn.XLOOKUP($B110,'Cronog. e Histog.'!$BZ:$BZ,'Cronog. e Histog.'!CJ:CJ),"")</f>
        <v>0.01</v>
      </c>
      <c r="P110" s="144">
        <f>IFERROR(_xlfn.XLOOKUP($B110,'Cronog. e Histog.'!$BZ:$BZ,'Cronog. e Histog.'!CK:CK),"")</f>
        <v>0.01</v>
      </c>
      <c r="Q110" s="144">
        <f>IFERROR(_xlfn.XLOOKUP($B110,'Cronog. e Histog.'!$BZ:$BZ,'Cronog. e Histog.'!CL:CL),"")</f>
        <v>0</v>
      </c>
      <c r="R110" s="144">
        <f>IFERROR(_xlfn.XLOOKUP($B110,'Cronog. e Histog.'!$BZ:$BZ,'Cronog. e Histog.'!CM:CM),"")</f>
        <v>0</v>
      </c>
      <c r="S110" s="144">
        <f>IFERROR(_xlfn.XLOOKUP($B110,'Cronog. e Histog.'!$BZ:$BZ,'Cronog. e Histog.'!CN:CN),"")</f>
        <v>0</v>
      </c>
      <c r="T110" s="144">
        <f>IFERROR(_xlfn.XLOOKUP($B110,'Cronog. e Histog.'!$BZ:$BZ,'Cronog. e Histog.'!CO:CO),"")</f>
        <v>0</v>
      </c>
      <c r="U110" s="144">
        <f>IFERROR(_xlfn.XLOOKUP($B110,'Cronog. e Histog.'!$BZ:$BZ,'Cronog. e Histog.'!CP:CP),"")</f>
        <v>0</v>
      </c>
      <c r="V110" s="144">
        <f>IFERROR(_xlfn.XLOOKUP($B110,'Cronog. e Histog.'!$BZ:$BZ,'Cronog. e Histog.'!CQ:CQ),"")</f>
        <v>0</v>
      </c>
      <c r="W110" s="144">
        <f>IFERROR(_xlfn.XLOOKUP($B110,'Cronog. e Histog.'!$BZ:$BZ,'Cronog. e Histog.'!CR:CR),"")</f>
        <v>0</v>
      </c>
      <c r="X110" s="144">
        <f>IFERROR(_xlfn.XLOOKUP($B110,'Cronog. e Histog.'!$BZ:$BZ,'Cronog. e Histog.'!CS:CS),"")</f>
        <v>0</v>
      </c>
      <c r="Y110" s="144">
        <f>IFERROR(_xlfn.XLOOKUP($B110,'Cronog. e Histog.'!$BZ:$BZ,'Cronog. e Histog.'!CT:CT),"")</f>
        <v>0</v>
      </c>
      <c r="Z110" s="144">
        <f>IFERROR(_xlfn.XLOOKUP($B110,'Cronog. e Histog.'!$BZ:$BZ,'Cronog. e Histog.'!CU:CU),"")</f>
        <v>0</v>
      </c>
      <c r="AA110" s="144">
        <f>IFERROR(_xlfn.XLOOKUP($B110,'Cronog. e Histog.'!$BZ:$BZ,'Cronog. e Histog.'!CV:CV),"")</f>
        <v>0</v>
      </c>
      <c r="AB110" s="144">
        <f>IFERROR(_xlfn.XLOOKUP($B110,'Cronog. e Histog.'!$BZ:$BZ,'Cronog. e Histog.'!CW:CW),"")</f>
        <v>0</v>
      </c>
      <c r="AC110" s="144">
        <f>IFERROR(_xlfn.XLOOKUP($B110,'Cronog. e Histog.'!$BZ:$BZ,'Cronog. e Histog.'!CX:CX),"")</f>
        <v>0</v>
      </c>
      <c r="AD110" s="144">
        <f>IFERROR(_xlfn.XLOOKUP($B110,'Cronog. e Histog.'!$BZ:$BZ,'Cronog. e Histog.'!CY:CY),"")</f>
        <v>0</v>
      </c>
      <c r="AE110" s="144">
        <f>IFERROR(_xlfn.XLOOKUP($B110,'Cronog. e Histog.'!$BZ:$BZ,'Cronog. e Histog.'!CZ:CZ),"")</f>
        <v>0</v>
      </c>
      <c r="AF110" s="144">
        <f>IFERROR(_xlfn.XLOOKUP($B110,'Cronog. e Histog.'!$BZ:$BZ,'Cronog. e Histog.'!DA:DA),"")</f>
        <v>0</v>
      </c>
      <c r="AG110" s="144">
        <f>IFERROR(_xlfn.XLOOKUP($B110,'Cronog. e Histog.'!$BZ:$BZ,'Cronog. e Histog.'!DB:DB),"")</f>
        <v>0</v>
      </c>
      <c r="AH110" s="144">
        <f>IFERROR(_xlfn.XLOOKUP($B110,'Cronog. e Histog.'!$BZ:$BZ,'Cronog. e Histog.'!DC:DC),"")</f>
        <v>0</v>
      </c>
      <c r="AI110" s="144">
        <f>IFERROR(_xlfn.XLOOKUP($B110,'Cronog. e Histog.'!$BZ:$BZ,'Cronog. e Histog.'!DD:DD),"")</f>
        <v>0</v>
      </c>
      <c r="AJ110" s="144">
        <f>IFERROR(_xlfn.XLOOKUP($B110,'Cronog. e Histog.'!$BZ:$BZ,'Cronog. e Histog.'!DE:DE),"")</f>
        <v>0</v>
      </c>
      <c r="AK110" s="144">
        <f>IFERROR(_xlfn.XLOOKUP($B110,'Cronog. e Histog.'!$BZ:$BZ,'Cronog. e Histog.'!DF:DF),"")</f>
        <v>0</v>
      </c>
      <c r="AL110" s="144">
        <f>IFERROR(_xlfn.XLOOKUP($B110,'Cronog. e Histog.'!$BZ:$BZ,'Cronog. e Histog.'!DG:DG),"")</f>
        <v>0</v>
      </c>
      <c r="AM110" s="144">
        <f>IFERROR(_xlfn.XLOOKUP($B110,'Cronog. e Histog.'!$BZ:$BZ,'Cronog. e Histog.'!DH:DH),"")</f>
        <v>0</v>
      </c>
      <c r="AN110" s="144">
        <f>IFERROR(_xlfn.XLOOKUP($B110,'Cronog. e Histog.'!$BZ:$BZ,'Cronog. e Histog.'!DI:DI),"")</f>
        <v>0</v>
      </c>
      <c r="AO110" s="144">
        <f>IFERROR(_xlfn.XLOOKUP($B110,'Cronog. e Histog.'!$BZ:$BZ,'Cronog. e Histog.'!DJ:DJ),"")</f>
        <v>0</v>
      </c>
      <c r="AP110" s="144">
        <f>IFERROR(_xlfn.XLOOKUP($B110,'Cronog. e Histog.'!$BZ:$BZ,'Cronog. e Histog.'!DK:DK),"")</f>
        <v>0</v>
      </c>
      <c r="AQ110" s="144">
        <f>IFERROR(_xlfn.XLOOKUP($B110,'Cronog. e Histog.'!$BZ:$BZ,'Cronog. e Histog.'!DL:DL),"")</f>
        <v>0</v>
      </c>
      <c r="AR110" s="144">
        <f>IFERROR(_xlfn.XLOOKUP($B110,'Cronog. e Histog.'!$BZ:$BZ,'Cronog. e Histog.'!DM:DM),"")</f>
        <v>0</v>
      </c>
      <c r="AS110" s="144">
        <f>IFERROR(_xlfn.XLOOKUP($B110,'Cronog. e Histog.'!$BZ:$BZ,'Cronog. e Histog.'!DN:DN),"")</f>
        <v>0</v>
      </c>
      <c r="AT110" s="144">
        <f>IFERROR(_xlfn.XLOOKUP($B110,'Cronog. e Histog.'!$BZ:$BZ,'Cronog. e Histog.'!DO:DO),"")</f>
        <v>0</v>
      </c>
      <c r="AU110" s="144">
        <f>IFERROR(_xlfn.XLOOKUP($B110,'Cronog. e Histog.'!$BZ:$BZ,'Cronog. e Histog.'!DP:DP),"")</f>
        <v>0</v>
      </c>
      <c r="AV110" s="144">
        <f>IFERROR(_xlfn.XLOOKUP($B110,'Cronog. e Histog.'!$BZ:$BZ,'Cronog. e Histog.'!DQ:DQ),"")</f>
        <v>0</v>
      </c>
      <c r="AW110" s="144">
        <f>IFERROR(_xlfn.XLOOKUP($B110,'Cronog. e Histog.'!$BZ:$BZ,'Cronog. e Histog.'!DR:DR),"")</f>
        <v>0</v>
      </c>
      <c r="AX110" s="144">
        <f>IFERROR(_xlfn.XLOOKUP($B110,'Cronog. e Histog.'!$BZ:$BZ,'Cronog. e Histog.'!DS:DS),"")</f>
        <v>0</v>
      </c>
      <c r="AY110" s="144">
        <f>IFERROR(_xlfn.XLOOKUP($B110,'Cronog. e Histog.'!$BZ:$BZ,'Cronog. e Histog.'!DT:DT),"")</f>
        <v>0</v>
      </c>
      <c r="AZ110" s="144">
        <f>IFERROR(_xlfn.XLOOKUP($B110,'Cronog. e Histog.'!$BZ:$BZ,'Cronog. e Histog.'!DU:DU),"")</f>
        <v>0</v>
      </c>
      <c r="BA110" s="144">
        <f>IFERROR(_xlfn.XLOOKUP($B110,'Cronog. e Histog.'!$BZ:$BZ,'Cronog. e Histog.'!DV:DV),"")</f>
        <v>0</v>
      </c>
      <c r="BB110" s="144">
        <f>IFERROR(_xlfn.XLOOKUP($B110,'Cronog. e Histog.'!$BZ:$BZ,'Cronog. e Histog.'!DW:DW),"")</f>
        <v>0</v>
      </c>
      <c r="BC110" s="144">
        <f>IFERROR(_xlfn.XLOOKUP($B110,'Cronog. e Histog.'!$BZ:$BZ,'Cronog. e Histog.'!DX:DX),"")</f>
        <v>0</v>
      </c>
      <c r="BD110" s="144">
        <f>IFERROR(_xlfn.XLOOKUP($B110,'Cronog. e Histog.'!$BZ:$BZ,'Cronog. e Histog.'!DY:DY),"")</f>
        <v>0</v>
      </c>
      <c r="BE110" s="144">
        <f>IFERROR(_xlfn.XLOOKUP($B110,'Cronog. e Histog.'!$BZ:$BZ,'Cronog. e Histog.'!DZ:DZ),"")</f>
        <v>0</v>
      </c>
      <c r="BF110" s="144">
        <f>IFERROR(_xlfn.XLOOKUP($B110,'Cronog. e Histog.'!$BZ:$BZ,'Cronog. e Histog.'!EA:EA),"")</f>
        <v>0</v>
      </c>
      <c r="BG110" s="144">
        <f>IFERROR(_xlfn.XLOOKUP($B110,'Cronog. e Histog.'!$BZ:$BZ,'Cronog. e Histog.'!EB:EB),"")</f>
        <v>0</v>
      </c>
      <c r="BH110" s="144">
        <f>IFERROR(_xlfn.XLOOKUP($B110,'Cronog. e Histog.'!$BZ:$BZ,'Cronog. e Histog.'!EC:EC),"")</f>
        <v>0</v>
      </c>
      <c r="BI110" s="144">
        <f>IFERROR(_xlfn.XLOOKUP($B110,'Cronog. e Histog.'!$BZ:$BZ,'Cronog. e Histog.'!ED:ED),"")</f>
        <v>0</v>
      </c>
      <c r="BJ110" s="144">
        <f>IFERROR(_xlfn.XLOOKUP($B110,'Cronog. e Histog.'!$BZ:$BZ,'Cronog. e Histog.'!EE:EE),"")</f>
        <v>0</v>
      </c>
      <c r="BK110" s="144">
        <f>IFERROR(_xlfn.XLOOKUP($B110,'Cronog. e Histog.'!$BZ:$BZ,'Cronog. e Histog.'!EF:EF),"")</f>
        <v>0</v>
      </c>
      <c r="BL110" s="144">
        <f>IFERROR(_xlfn.XLOOKUP($B110,'Cronog. e Histog.'!$BZ:$BZ,'Cronog. e Histog.'!EG:EG),"")</f>
        <v>0</v>
      </c>
      <c r="BM110" s="144">
        <f>IFERROR(_xlfn.XLOOKUP($B110,'Cronog. e Histog.'!$BZ:$BZ,'Cronog. e Histog.'!EH:EH),"")</f>
        <v>0</v>
      </c>
      <c r="BN110" s="144">
        <f>IFERROR(_xlfn.XLOOKUP($B110,'Cronog. e Histog.'!$BZ:$BZ,'Cronog. e Histog.'!EI:EI),"")</f>
        <v>0</v>
      </c>
    </row>
    <row r="111" spans="2:66" ht="12" hidden="1" customHeight="1" outlineLevel="1">
      <c r="B111" s="76">
        <v>105</v>
      </c>
      <c r="C111" s="143" t="str">
        <f>IFERROR(VLOOKUP(B111,'Cronog. e Histog.'!$BZ$213:$CA$747,2,0),"")</f>
        <v>ENG/ARQ PL.</v>
      </c>
      <c r="D111" s="144">
        <f t="shared" si="2"/>
        <v>0</v>
      </c>
      <c r="E111" s="144">
        <f t="shared" si="3"/>
        <v>0</v>
      </c>
      <c r="F111" s="65"/>
      <c r="G111" s="144">
        <f>IFERROR(_xlfn.XLOOKUP($B111,'Cronog. e Histog.'!$BZ:$BZ,'Cronog. e Histog.'!CB:CB),"")</f>
        <v>0</v>
      </c>
      <c r="H111" s="144">
        <f>IFERROR(_xlfn.XLOOKUP($B111,'Cronog. e Histog.'!$BZ:$BZ,'Cronog. e Histog.'!CC:CC),"")</f>
        <v>0</v>
      </c>
      <c r="I111" s="144">
        <f>IFERROR(_xlfn.XLOOKUP($B111,'Cronog. e Histog.'!$BZ:$BZ,'Cronog. e Histog.'!CD:CD),"")</f>
        <v>0</v>
      </c>
      <c r="J111" s="144">
        <f>IFERROR(_xlfn.XLOOKUP($B111,'Cronog. e Histog.'!$BZ:$BZ,'Cronog. e Histog.'!CE:CE),"")</f>
        <v>0</v>
      </c>
      <c r="K111" s="144">
        <f>IFERROR(_xlfn.XLOOKUP($B111,'Cronog. e Histog.'!$BZ:$BZ,'Cronog. e Histog.'!CF:CF),"")</f>
        <v>0</v>
      </c>
      <c r="L111" s="144">
        <f>IFERROR(_xlfn.XLOOKUP($B111,'Cronog. e Histog.'!$BZ:$BZ,'Cronog. e Histog.'!CG:CG),"")</f>
        <v>0</v>
      </c>
      <c r="M111" s="144">
        <f>IFERROR(_xlfn.XLOOKUP($B111,'Cronog. e Histog.'!$BZ:$BZ,'Cronog. e Histog.'!CH:CH),"")</f>
        <v>0</v>
      </c>
      <c r="N111" s="144">
        <f>IFERROR(_xlfn.XLOOKUP($B111,'Cronog. e Histog.'!$BZ:$BZ,'Cronog. e Histog.'!CI:CI),"")</f>
        <v>0</v>
      </c>
      <c r="O111" s="144">
        <f>IFERROR(_xlfn.XLOOKUP($B111,'Cronog. e Histog.'!$BZ:$BZ,'Cronog. e Histog.'!CJ:CJ),"")</f>
        <v>0</v>
      </c>
      <c r="P111" s="144">
        <f>IFERROR(_xlfn.XLOOKUP($B111,'Cronog. e Histog.'!$BZ:$BZ,'Cronog. e Histog.'!CK:CK),"")</f>
        <v>0</v>
      </c>
      <c r="Q111" s="144">
        <f>IFERROR(_xlfn.XLOOKUP($B111,'Cronog. e Histog.'!$BZ:$BZ,'Cronog. e Histog.'!CL:CL),"")</f>
        <v>0</v>
      </c>
      <c r="R111" s="144">
        <f>IFERROR(_xlfn.XLOOKUP($B111,'Cronog. e Histog.'!$BZ:$BZ,'Cronog. e Histog.'!CM:CM),"")</f>
        <v>0</v>
      </c>
      <c r="S111" s="144">
        <f>IFERROR(_xlfn.XLOOKUP($B111,'Cronog. e Histog.'!$BZ:$BZ,'Cronog. e Histog.'!CN:CN),"")</f>
        <v>0</v>
      </c>
      <c r="T111" s="144">
        <f>IFERROR(_xlfn.XLOOKUP($B111,'Cronog. e Histog.'!$BZ:$BZ,'Cronog. e Histog.'!CO:CO),"")</f>
        <v>0</v>
      </c>
      <c r="U111" s="144">
        <f>IFERROR(_xlfn.XLOOKUP($B111,'Cronog. e Histog.'!$BZ:$BZ,'Cronog. e Histog.'!CP:CP),"")</f>
        <v>0</v>
      </c>
      <c r="V111" s="144">
        <f>IFERROR(_xlfn.XLOOKUP($B111,'Cronog. e Histog.'!$BZ:$BZ,'Cronog. e Histog.'!CQ:CQ),"")</f>
        <v>0</v>
      </c>
      <c r="W111" s="144">
        <f>IFERROR(_xlfn.XLOOKUP($B111,'Cronog. e Histog.'!$BZ:$BZ,'Cronog. e Histog.'!CR:CR),"")</f>
        <v>0</v>
      </c>
      <c r="X111" s="144">
        <f>IFERROR(_xlfn.XLOOKUP($B111,'Cronog. e Histog.'!$BZ:$BZ,'Cronog. e Histog.'!CS:CS),"")</f>
        <v>0</v>
      </c>
      <c r="Y111" s="144">
        <f>IFERROR(_xlfn.XLOOKUP($B111,'Cronog. e Histog.'!$BZ:$BZ,'Cronog. e Histog.'!CT:CT),"")</f>
        <v>0</v>
      </c>
      <c r="Z111" s="144">
        <f>IFERROR(_xlfn.XLOOKUP($B111,'Cronog. e Histog.'!$BZ:$BZ,'Cronog. e Histog.'!CU:CU),"")</f>
        <v>0</v>
      </c>
      <c r="AA111" s="144">
        <f>IFERROR(_xlfn.XLOOKUP($B111,'Cronog. e Histog.'!$BZ:$BZ,'Cronog. e Histog.'!CV:CV),"")</f>
        <v>0</v>
      </c>
      <c r="AB111" s="144">
        <f>IFERROR(_xlfn.XLOOKUP($B111,'Cronog. e Histog.'!$BZ:$BZ,'Cronog. e Histog.'!CW:CW),"")</f>
        <v>0</v>
      </c>
      <c r="AC111" s="144">
        <f>IFERROR(_xlfn.XLOOKUP($B111,'Cronog. e Histog.'!$BZ:$BZ,'Cronog. e Histog.'!CX:CX),"")</f>
        <v>0</v>
      </c>
      <c r="AD111" s="144">
        <f>IFERROR(_xlfn.XLOOKUP($B111,'Cronog. e Histog.'!$BZ:$BZ,'Cronog. e Histog.'!CY:CY),"")</f>
        <v>0</v>
      </c>
      <c r="AE111" s="144">
        <f>IFERROR(_xlfn.XLOOKUP($B111,'Cronog. e Histog.'!$BZ:$BZ,'Cronog. e Histog.'!CZ:CZ),"")</f>
        <v>0</v>
      </c>
      <c r="AF111" s="144">
        <f>IFERROR(_xlfn.XLOOKUP($B111,'Cronog. e Histog.'!$BZ:$BZ,'Cronog. e Histog.'!DA:DA),"")</f>
        <v>0</v>
      </c>
      <c r="AG111" s="144">
        <f>IFERROR(_xlfn.XLOOKUP($B111,'Cronog. e Histog.'!$BZ:$BZ,'Cronog. e Histog.'!DB:DB),"")</f>
        <v>0</v>
      </c>
      <c r="AH111" s="144">
        <f>IFERROR(_xlfn.XLOOKUP($B111,'Cronog. e Histog.'!$BZ:$BZ,'Cronog. e Histog.'!DC:DC),"")</f>
        <v>0</v>
      </c>
      <c r="AI111" s="144">
        <f>IFERROR(_xlfn.XLOOKUP($B111,'Cronog. e Histog.'!$BZ:$BZ,'Cronog. e Histog.'!DD:DD),"")</f>
        <v>0</v>
      </c>
      <c r="AJ111" s="144">
        <f>IFERROR(_xlfn.XLOOKUP($B111,'Cronog. e Histog.'!$BZ:$BZ,'Cronog. e Histog.'!DE:DE),"")</f>
        <v>0</v>
      </c>
      <c r="AK111" s="144">
        <f>IFERROR(_xlfn.XLOOKUP($B111,'Cronog. e Histog.'!$BZ:$BZ,'Cronog. e Histog.'!DF:DF),"")</f>
        <v>0</v>
      </c>
      <c r="AL111" s="144">
        <f>IFERROR(_xlfn.XLOOKUP($B111,'Cronog. e Histog.'!$BZ:$BZ,'Cronog. e Histog.'!DG:DG),"")</f>
        <v>0</v>
      </c>
      <c r="AM111" s="144">
        <f>IFERROR(_xlfn.XLOOKUP($B111,'Cronog. e Histog.'!$BZ:$BZ,'Cronog. e Histog.'!DH:DH),"")</f>
        <v>0</v>
      </c>
      <c r="AN111" s="144">
        <f>IFERROR(_xlfn.XLOOKUP($B111,'Cronog. e Histog.'!$BZ:$BZ,'Cronog. e Histog.'!DI:DI),"")</f>
        <v>0</v>
      </c>
      <c r="AO111" s="144">
        <f>IFERROR(_xlfn.XLOOKUP($B111,'Cronog. e Histog.'!$BZ:$BZ,'Cronog. e Histog.'!DJ:DJ),"")</f>
        <v>0</v>
      </c>
      <c r="AP111" s="144">
        <f>IFERROR(_xlfn.XLOOKUP($B111,'Cronog. e Histog.'!$BZ:$BZ,'Cronog. e Histog.'!DK:DK),"")</f>
        <v>0</v>
      </c>
      <c r="AQ111" s="144">
        <f>IFERROR(_xlfn.XLOOKUP($B111,'Cronog. e Histog.'!$BZ:$BZ,'Cronog. e Histog.'!DL:DL),"")</f>
        <v>0</v>
      </c>
      <c r="AR111" s="144">
        <f>IFERROR(_xlfn.XLOOKUP($B111,'Cronog. e Histog.'!$BZ:$BZ,'Cronog. e Histog.'!DM:DM),"")</f>
        <v>0</v>
      </c>
      <c r="AS111" s="144">
        <f>IFERROR(_xlfn.XLOOKUP($B111,'Cronog. e Histog.'!$BZ:$BZ,'Cronog. e Histog.'!DN:DN),"")</f>
        <v>0</v>
      </c>
      <c r="AT111" s="144">
        <f>IFERROR(_xlfn.XLOOKUP($B111,'Cronog. e Histog.'!$BZ:$BZ,'Cronog. e Histog.'!DO:DO),"")</f>
        <v>0</v>
      </c>
      <c r="AU111" s="144">
        <f>IFERROR(_xlfn.XLOOKUP($B111,'Cronog. e Histog.'!$BZ:$BZ,'Cronog. e Histog.'!DP:DP),"")</f>
        <v>0</v>
      </c>
      <c r="AV111" s="144">
        <f>IFERROR(_xlfn.XLOOKUP($B111,'Cronog. e Histog.'!$BZ:$BZ,'Cronog. e Histog.'!DQ:DQ),"")</f>
        <v>0</v>
      </c>
      <c r="AW111" s="144">
        <f>IFERROR(_xlfn.XLOOKUP($B111,'Cronog. e Histog.'!$BZ:$BZ,'Cronog. e Histog.'!DR:DR),"")</f>
        <v>0</v>
      </c>
      <c r="AX111" s="144">
        <f>IFERROR(_xlfn.XLOOKUP($B111,'Cronog. e Histog.'!$BZ:$BZ,'Cronog. e Histog.'!DS:DS),"")</f>
        <v>0</v>
      </c>
      <c r="AY111" s="144">
        <f>IFERROR(_xlfn.XLOOKUP($B111,'Cronog. e Histog.'!$BZ:$BZ,'Cronog. e Histog.'!DT:DT),"")</f>
        <v>0</v>
      </c>
      <c r="AZ111" s="144">
        <f>IFERROR(_xlfn.XLOOKUP($B111,'Cronog. e Histog.'!$BZ:$BZ,'Cronog. e Histog.'!DU:DU),"")</f>
        <v>0</v>
      </c>
      <c r="BA111" s="144">
        <f>IFERROR(_xlfn.XLOOKUP($B111,'Cronog. e Histog.'!$BZ:$BZ,'Cronog. e Histog.'!DV:DV),"")</f>
        <v>0</v>
      </c>
      <c r="BB111" s="144">
        <f>IFERROR(_xlfn.XLOOKUP($B111,'Cronog. e Histog.'!$BZ:$BZ,'Cronog. e Histog.'!DW:DW),"")</f>
        <v>0</v>
      </c>
      <c r="BC111" s="144">
        <f>IFERROR(_xlfn.XLOOKUP($B111,'Cronog. e Histog.'!$BZ:$BZ,'Cronog. e Histog.'!DX:DX),"")</f>
        <v>0</v>
      </c>
      <c r="BD111" s="144">
        <f>IFERROR(_xlfn.XLOOKUP($B111,'Cronog. e Histog.'!$BZ:$BZ,'Cronog. e Histog.'!DY:DY),"")</f>
        <v>0</v>
      </c>
      <c r="BE111" s="144">
        <f>IFERROR(_xlfn.XLOOKUP($B111,'Cronog. e Histog.'!$BZ:$BZ,'Cronog. e Histog.'!DZ:DZ),"")</f>
        <v>0</v>
      </c>
      <c r="BF111" s="144">
        <f>IFERROR(_xlfn.XLOOKUP($B111,'Cronog. e Histog.'!$BZ:$BZ,'Cronog. e Histog.'!EA:EA),"")</f>
        <v>0</v>
      </c>
      <c r="BG111" s="144">
        <f>IFERROR(_xlfn.XLOOKUP($B111,'Cronog. e Histog.'!$BZ:$BZ,'Cronog. e Histog.'!EB:EB),"")</f>
        <v>0</v>
      </c>
      <c r="BH111" s="144">
        <f>IFERROR(_xlfn.XLOOKUP($B111,'Cronog. e Histog.'!$BZ:$BZ,'Cronog. e Histog.'!EC:EC),"")</f>
        <v>0</v>
      </c>
      <c r="BI111" s="144">
        <f>IFERROR(_xlfn.XLOOKUP($B111,'Cronog. e Histog.'!$BZ:$BZ,'Cronog. e Histog.'!ED:ED),"")</f>
        <v>0</v>
      </c>
      <c r="BJ111" s="144">
        <f>IFERROR(_xlfn.XLOOKUP($B111,'Cronog. e Histog.'!$BZ:$BZ,'Cronog. e Histog.'!EE:EE),"")</f>
        <v>0</v>
      </c>
      <c r="BK111" s="144">
        <f>IFERROR(_xlfn.XLOOKUP($B111,'Cronog. e Histog.'!$BZ:$BZ,'Cronog. e Histog.'!EF:EF),"")</f>
        <v>0</v>
      </c>
      <c r="BL111" s="144">
        <f>IFERROR(_xlfn.XLOOKUP($B111,'Cronog. e Histog.'!$BZ:$BZ,'Cronog. e Histog.'!EG:EG),"")</f>
        <v>0</v>
      </c>
      <c r="BM111" s="144">
        <f>IFERROR(_xlfn.XLOOKUP($B111,'Cronog. e Histog.'!$BZ:$BZ,'Cronog. e Histog.'!EH:EH),"")</f>
        <v>0</v>
      </c>
      <c r="BN111" s="144">
        <f>IFERROR(_xlfn.XLOOKUP($B111,'Cronog. e Histog.'!$BZ:$BZ,'Cronog. e Histog.'!EI:EI),"")</f>
        <v>0</v>
      </c>
    </row>
    <row r="112" spans="2:66" ht="12" hidden="1" customHeight="1" outlineLevel="1">
      <c r="B112" s="76">
        <v>106</v>
      </c>
      <c r="C112" s="143" t="str">
        <f>IFERROR(VLOOKUP(B112,'Cronog. e Histog.'!$BZ$213:$CA$747,2,0),"")</f>
        <v>ENG/ARQ JR.</v>
      </c>
      <c r="D112" s="144">
        <f t="shared" si="2"/>
        <v>0</v>
      </c>
      <c r="E112" s="144">
        <f t="shared" si="3"/>
        <v>0</v>
      </c>
      <c r="F112" s="65"/>
      <c r="G112" s="144">
        <f>IFERROR(_xlfn.XLOOKUP($B112,'Cronog. e Histog.'!$BZ:$BZ,'Cronog. e Histog.'!CB:CB),"")</f>
        <v>0</v>
      </c>
      <c r="H112" s="144">
        <f>IFERROR(_xlfn.XLOOKUP($B112,'Cronog. e Histog.'!$BZ:$BZ,'Cronog. e Histog.'!CC:CC),"")</f>
        <v>0</v>
      </c>
      <c r="I112" s="144">
        <f>IFERROR(_xlfn.XLOOKUP($B112,'Cronog. e Histog.'!$BZ:$BZ,'Cronog. e Histog.'!CD:CD),"")</f>
        <v>0</v>
      </c>
      <c r="J112" s="144">
        <f>IFERROR(_xlfn.XLOOKUP($B112,'Cronog. e Histog.'!$BZ:$BZ,'Cronog. e Histog.'!CE:CE),"")</f>
        <v>0</v>
      </c>
      <c r="K112" s="144">
        <f>IFERROR(_xlfn.XLOOKUP($B112,'Cronog. e Histog.'!$BZ:$BZ,'Cronog. e Histog.'!CF:CF),"")</f>
        <v>0</v>
      </c>
      <c r="L112" s="144">
        <f>IFERROR(_xlfn.XLOOKUP($B112,'Cronog. e Histog.'!$BZ:$BZ,'Cronog. e Histog.'!CG:CG),"")</f>
        <v>0</v>
      </c>
      <c r="M112" s="144">
        <f>IFERROR(_xlfn.XLOOKUP($B112,'Cronog. e Histog.'!$BZ:$BZ,'Cronog. e Histog.'!CH:CH),"")</f>
        <v>0</v>
      </c>
      <c r="N112" s="144">
        <f>IFERROR(_xlfn.XLOOKUP($B112,'Cronog. e Histog.'!$BZ:$BZ,'Cronog. e Histog.'!CI:CI),"")</f>
        <v>0</v>
      </c>
      <c r="O112" s="144">
        <f>IFERROR(_xlfn.XLOOKUP($B112,'Cronog. e Histog.'!$BZ:$BZ,'Cronog. e Histog.'!CJ:CJ),"")</f>
        <v>0</v>
      </c>
      <c r="P112" s="144">
        <f>IFERROR(_xlfn.XLOOKUP($B112,'Cronog. e Histog.'!$BZ:$BZ,'Cronog. e Histog.'!CK:CK),"")</f>
        <v>0</v>
      </c>
      <c r="Q112" s="144">
        <f>IFERROR(_xlfn.XLOOKUP($B112,'Cronog. e Histog.'!$BZ:$BZ,'Cronog. e Histog.'!CL:CL),"")</f>
        <v>0</v>
      </c>
      <c r="R112" s="144">
        <f>IFERROR(_xlfn.XLOOKUP($B112,'Cronog. e Histog.'!$BZ:$BZ,'Cronog. e Histog.'!CM:CM),"")</f>
        <v>0</v>
      </c>
      <c r="S112" s="144">
        <f>IFERROR(_xlfn.XLOOKUP($B112,'Cronog. e Histog.'!$BZ:$BZ,'Cronog. e Histog.'!CN:CN),"")</f>
        <v>0</v>
      </c>
      <c r="T112" s="144">
        <f>IFERROR(_xlfn.XLOOKUP($B112,'Cronog. e Histog.'!$BZ:$BZ,'Cronog. e Histog.'!CO:CO),"")</f>
        <v>0</v>
      </c>
      <c r="U112" s="144">
        <f>IFERROR(_xlfn.XLOOKUP($B112,'Cronog. e Histog.'!$BZ:$BZ,'Cronog. e Histog.'!CP:CP),"")</f>
        <v>0</v>
      </c>
      <c r="V112" s="144">
        <f>IFERROR(_xlfn.XLOOKUP($B112,'Cronog. e Histog.'!$BZ:$BZ,'Cronog. e Histog.'!CQ:CQ),"")</f>
        <v>0</v>
      </c>
      <c r="W112" s="144">
        <f>IFERROR(_xlfn.XLOOKUP($B112,'Cronog. e Histog.'!$BZ:$BZ,'Cronog. e Histog.'!CR:CR),"")</f>
        <v>0</v>
      </c>
      <c r="X112" s="144">
        <f>IFERROR(_xlfn.XLOOKUP($B112,'Cronog. e Histog.'!$BZ:$BZ,'Cronog. e Histog.'!CS:CS),"")</f>
        <v>0</v>
      </c>
      <c r="Y112" s="144">
        <f>IFERROR(_xlfn.XLOOKUP($B112,'Cronog. e Histog.'!$BZ:$BZ,'Cronog. e Histog.'!CT:CT),"")</f>
        <v>0</v>
      </c>
      <c r="Z112" s="144">
        <f>IFERROR(_xlfn.XLOOKUP($B112,'Cronog. e Histog.'!$BZ:$BZ,'Cronog. e Histog.'!CU:CU),"")</f>
        <v>0</v>
      </c>
      <c r="AA112" s="144">
        <f>IFERROR(_xlfn.XLOOKUP($B112,'Cronog. e Histog.'!$BZ:$BZ,'Cronog. e Histog.'!CV:CV),"")</f>
        <v>0</v>
      </c>
      <c r="AB112" s="144">
        <f>IFERROR(_xlfn.XLOOKUP($B112,'Cronog. e Histog.'!$BZ:$BZ,'Cronog. e Histog.'!CW:CW),"")</f>
        <v>0</v>
      </c>
      <c r="AC112" s="144">
        <f>IFERROR(_xlfn.XLOOKUP($B112,'Cronog. e Histog.'!$BZ:$BZ,'Cronog. e Histog.'!CX:CX),"")</f>
        <v>0</v>
      </c>
      <c r="AD112" s="144">
        <f>IFERROR(_xlfn.XLOOKUP($B112,'Cronog. e Histog.'!$BZ:$BZ,'Cronog. e Histog.'!CY:CY),"")</f>
        <v>0</v>
      </c>
      <c r="AE112" s="144">
        <f>IFERROR(_xlfn.XLOOKUP($B112,'Cronog. e Histog.'!$BZ:$BZ,'Cronog. e Histog.'!CZ:CZ),"")</f>
        <v>0</v>
      </c>
      <c r="AF112" s="144">
        <f>IFERROR(_xlfn.XLOOKUP($B112,'Cronog. e Histog.'!$BZ:$BZ,'Cronog. e Histog.'!DA:DA),"")</f>
        <v>0</v>
      </c>
      <c r="AG112" s="144">
        <f>IFERROR(_xlfn.XLOOKUP($B112,'Cronog. e Histog.'!$BZ:$BZ,'Cronog. e Histog.'!DB:DB),"")</f>
        <v>0</v>
      </c>
      <c r="AH112" s="144">
        <f>IFERROR(_xlfn.XLOOKUP($B112,'Cronog. e Histog.'!$BZ:$BZ,'Cronog. e Histog.'!DC:DC),"")</f>
        <v>0</v>
      </c>
      <c r="AI112" s="144">
        <f>IFERROR(_xlfn.XLOOKUP($B112,'Cronog. e Histog.'!$BZ:$BZ,'Cronog. e Histog.'!DD:DD),"")</f>
        <v>0</v>
      </c>
      <c r="AJ112" s="144">
        <f>IFERROR(_xlfn.XLOOKUP($B112,'Cronog. e Histog.'!$BZ:$BZ,'Cronog. e Histog.'!DE:DE),"")</f>
        <v>0</v>
      </c>
      <c r="AK112" s="144">
        <f>IFERROR(_xlfn.XLOOKUP($B112,'Cronog. e Histog.'!$BZ:$BZ,'Cronog. e Histog.'!DF:DF),"")</f>
        <v>0</v>
      </c>
      <c r="AL112" s="144">
        <f>IFERROR(_xlfn.XLOOKUP($B112,'Cronog. e Histog.'!$BZ:$BZ,'Cronog. e Histog.'!DG:DG),"")</f>
        <v>0</v>
      </c>
      <c r="AM112" s="144">
        <f>IFERROR(_xlfn.XLOOKUP($B112,'Cronog. e Histog.'!$BZ:$BZ,'Cronog. e Histog.'!DH:DH),"")</f>
        <v>0</v>
      </c>
      <c r="AN112" s="144">
        <f>IFERROR(_xlfn.XLOOKUP($B112,'Cronog. e Histog.'!$BZ:$BZ,'Cronog. e Histog.'!DI:DI),"")</f>
        <v>0</v>
      </c>
      <c r="AO112" s="144">
        <f>IFERROR(_xlfn.XLOOKUP($B112,'Cronog. e Histog.'!$BZ:$BZ,'Cronog. e Histog.'!DJ:DJ),"")</f>
        <v>0</v>
      </c>
      <c r="AP112" s="144">
        <f>IFERROR(_xlfn.XLOOKUP($B112,'Cronog. e Histog.'!$BZ:$BZ,'Cronog. e Histog.'!DK:DK),"")</f>
        <v>0</v>
      </c>
      <c r="AQ112" s="144">
        <f>IFERROR(_xlfn.XLOOKUP($B112,'Cronog. e Histog.'!$BZ:$BZ,'Cronog. e Histog.'!DL:DL),"")</f>
        <v>0</v>
      </c>
      <c r="AR112" s="144">
        <f>IFERROR(_xlfn.XLOOKUP($B112,'Cronog. e Histog.'!$BZ:$BZ,'Cronog. e Histog.'!DM:DM),"")</f>
        <v>0</v>
      </c>
      <c r="AS112" s="144">
        <f>IFERROR(_xlfn.XLOOKUP($B112,'Cronog. e Histog.'!$BZ:$BZ,'Cronog. e Histog.'!DN:DN),"")</f>
        <v>0</v>
      </c>
      <c r="AT112" s="144">
        <f>IFERROR(_xlfn.XLOOKUP($B112,'Cronog. e Histog.'!$BZ:$BZ,'Cronog. e Histog.'!DO:DO),"")</f>
        <v>0</v>
      </c>
      <c r="AU112" s="144">
        <f>IFERROR(_xlfn.XLOOKUP($B112,'Cronog. e Histog.'!$BZ:$BZ,'Cronog. e Histog.'!DP:DP),"")</f>
        <v>0</v>
      </c>
      <c r="AV112" s="144">
        <f>IFERROR(_xlfn.XLOOKUP($B112,'Cronog. e Histog.'!$BZ:$BZ,'Cronog. e Histog.'!DQ:DQ),"")</f>
        <v>0</v>
      </c>
      <c r="AW112" s="144">
        <f>IFERROR(_xlfn.XLOOKUP($B112,'Cronog. e Histog.'!$BZ:$BZ,'Cronog. e Histog.'!DR:DR),"")</f>
        <v>0</v>
      </c>
      <c r="AX112" s="144">
        <f>IFERROR(_xlfn.XLOOKUP($B112,'Cronog. e Histog.'!$BZ:$BZ,'Cronog. e Histog.'!DS:DS),"")</f>
        <v>0</v>
      </c>
      <c r="AY112" s="144">
        <f>IFERROR(_xlfn.XLOOKUP($B112,'Cronog. e Histog.'!$BZ:$BZ,'Cronog. e Histog.'!DT:DT),"")</f>
        <v>0</v>
      </c>
      <c r="AZ112" s="144">
        <f>IFERROR(_xlfn.XLOOKUP($B112,'Cronog. e Histog.'!$BZ:$BZ,'Cronog. e Histog.'!DU:DU),"")</f>
        <v>0</v>
      </c>
      <c r="BA112" s="144">
        <f>IFERROR(_xlfn.XLOOKUP($B112,'Cronog. e Histog.'!$BZ:$BZ,'Cronog. e Histog.'!DV:DV),"")</f>
        <v>0</v>
      </c>
      <c r="BB112" s="144">
        <f>IFERROR(_xlfn.XLOOKUP($B112,'Cronog. e Histog.'!$BZ:$BZ,'Cronog. e Histog.'!DW:DW),"")</f>
        <v>0</v>
      </c>
      <c r="BC112" s="144">
        <f>IFERROR(_xlfn.XLOOKUP($B112,'Cronog. e Histog.'!$BZ:$BZ,'Cronog. e Histog.'!DX:DX),"")</f>
        <v>0</v>
      </c>
      <c r="BD112" s="144">
        <f>IFERROR(_xlfn.XLOOKUP($B112,'Cronog. e Histog.'!$BZ:$BZ,'Cronog. e Histog.'!DY:DY),"")</f>
        <v>0</v>
      </c>
      <c r="BE112" s="144">
        <f>IFERROR(_xlfn.XLOOKUP($B112,'Cronog. e Histog.'!$BZ:$BZ,'Cronog. e Histog.'!DZ:DZ),"")</f>
        <v>0</v>
      </c>
      <c r="BF112" s="144">
        <f>IFERROR(_xlfn.XLOOKUP($B112,'Cronog. e Histog.'!$BZ:$BZ,'Cronog. e Histog.'!EA:EA),"")</f>
        <v>0</v>
      </c>
      <c r="BG112" s="144">
        <f>IFERROR(_xlfn.XLOOKUP($B112,'Cronog. e Histog.'!$BZ:$BZ,'Cronog. e Histog.'!EB:EB),"")</f>
        <v>0</v>
      </c>
      <c r="BH112" s="144">
        <f>IFERROR(_xlfn.XLOOKUP($B112,'Cronog. e Histog.'!$BZ:$BZ,'Cronog. e Histog.'!EC:EC),"")</f>
        <v>0</v>
      </c>
      <c r="BI112" s="144">
        <f>IFERROR(_xlfn.XLOOKUP($B112,'Cronog. e Histog.'!$BZ:$BZ,'Cronog. e Histog.'!ED:ED),"")</f>
        <v>0</v>
      </c>
      <c r="BJ112" s="144">
        <f>IFERROR(_xlfn.XLOOKUP($B112,'Cronog. e Histog.'!$BZ:$BZ,'Cronog. e Histog.'!EE:EE),"")</f>
        <v>0</v>
      </c>
      <c r="BK112" s="144">
        <f>IFERROR(_xlfn.XLOOKUP($B112,'Cronog. e Histog.'!$BZ:$BZ,'Cronog. e Histog.'!EF:EF),"")</f>
        <v>0</v>
      </c>
      <c r="BL112" s="144">
        <f>IFERROR(_xlfn.XLOOKUP($B112,'Cronog. e Histog.'!$BZ:$BZ,'Cronog. e Histog.'!EG:EG),"")</f>
        <v>0</v>
      </c>
      <c r="BM112" s="144">
        <f>IFERROR(_xlfn.XLOOKUP($B112,'Cronog. e Histog.'!$BZ:$BZ,'Cronog. e Histog.'!EH:EH),"")</f>
        <v>0</v>
      </c>
      <c r="BN112" s="144">
        <f>IFERROR(_xlfn.XLOOKUP($B112,'Cronog. e Histog.'!$BZ:$BZ,'Cronog. e Histog.'!EI:EI),"")</f>
        <v>0</v>
      </c>
    </row>
    <row r="113" spans="2:66" ht="12" hidden="1" customHeight="1" outlineLevel="1">
      <c r="B113" s="76">
        <v>107</v>
      </c>
      <c r="C113" s="143" t="str">
        <f>IFERROR(VLOOKUP(B113,'Cronog. e Histog.'!$BZ$213:$CA$747,2,0),"")</f>
        <v>AN SR. ENG/ARQ</v>
      </c>
      <c r="D113" s="144">
        <f t="shared" si="2"/>
        <v>0</v>
      </c>
      <c r="E113" s="144">
        <f t="shared" si="3"/>
        <v>0</v>
      </c>
      <c r="F113" s="65"/>
      <c r="G113" s="144">
        <f>IFERROR(_xlfn.XLOOKUP($B113,'Cronog. e Histog.'!$BZ:$BZ,'Cronog. e Histog.'!CB:CB),"")</f>
        <v>0</v>
      </c>
      <c r="H113" s="144">
        <f>IFERROR(_xlfn.XLOOKUP($B113,'Cronog. e Histog.'!$BZ:$BZ,'Cronog. e Histog.'!CC:CC),"")</f>
        <v>0</v>
      </c>
      <c r="I113" s="144">
        <f>IFERROR(_xlfn.XLOOKUP($B113,'Cronog. e Histog.'!$BZ:$BZ,'Cronog. e Histog.'!CD:CD),"")</f>
        <v>0</v>
      </c>
      <c r="J113" s="144">
        <f>IFERROR(_xlfn.XLOOKUP($B113,'Cronog. e Histog.'!$BZ:$BZ,'Cronog. e Histog.'!CE:CE),"")</f>
        <v>0</v>
      </c>
      <c r="K113" s="144">
        <f>IFERROR(_xlfn.XLOOKUP($B113,'Cronog. e Histog.'!$BZ:$BZ,'Cronog. e Histog.'!CF:CF),"")</f>
        <v>0</v>
      </c>
      <c r="L113" s="144">
        <f>IFERROR(_xlfn.XLOOKUP($B113,'Cronog. e Histog.'!$BZ:$BZ,'Cronog. e Histog.'!CG:CG),"")</f>
        <v>0</v>
      </c>
      <c r="M113" s="144">
        <f>IFERROR(_xlfn.XLOOKUP($B113,'Cronog. e Histog.'!$BZ:$BZ,'Cronog. e Histog.'!CH:CH),"")</f>
        <v>0</v>
      </c>
      <c r="N113" s="144">
        <f>IFERROR(_xlfn.XLOOKUP($B113,'Cronog. e Histog.'!$BZ:$BZ,'Cronog. e Histog.'!CI:CI),"")</f>
        <v>0</v>
      </c>
      <c r="O113" s="144">
        <f>IFERROR(_xlfn.XLOOKUP($B113,'Cronog. e Histog.'!$BZ:$BZ,'Cronog. e Histog.'!CJ:CJ),"")</f>
        <v>0</v>
      </c>
      <c r="P113" s="144">
        <f>IFERROR(_xlfn.XLOOKUP($B113,'Cronog. e Histog.'!$BZ:$BZ,'Cronog. e Histog.'!CK:CK),"")</f>
        <v>0</v>
      </c>
      <c r="Q113" s="144">
        <f>IFERROR(_xlfn.XLOOKUP($B113,'Cronog. e Histog.'!$BZ:$BZ,'Cronog. e Histog.'!CL:CL),"")</f>
        <v>0</v>
      </c>
      <c r="R113" s="144">
        <f>IFERROR(_xlfn.XLOOKUP($B113,'Cronog. e Histog.'!$BZ:$BZ,'Cronog. e Histog.'!CM:CM),"")</f>
        <v>0</v>
      </c>
      <c r="S113" s="144">
        <f>IFERROR(_xlfn.XLOOKUP($B113,'Cronog. e Histog.'!$BZ:$BZ,'Cronog. e Histog.'!CN:CN),"")</f>
        <v>0</v>
      </c>
      <c r="T113" s="144">
        <f>IFERROR(_xlfn.XLOOKUP($B113,'Cronog. e Histog.'!$BZ:$BZ,'Cronog. e Histog.'!CO:CO),"")</f>
        <v>0</v>
      </c>
      <c r="U113" s="144">
        <f>IFERROR(_xlfn.XLOOKUP($B113,'Cronog. e Histog.'!$BZ:$BZ,'Cronog. e Histog.'!CP:CP),"")</f>
        <v>0</v>
      </c>
      <c r="V113" s="144">
        <f>IFERROR(_xlfn.XLOOKUP($B113,'Cronog. e Histog.'!$BZ:$BZ,'Cronog. e Histog.'!CQ:CQ),"")</f>
        <v>0</v>
      </c>
      <c r="W113" s="144">
        <f>IFERROR(_xlfn.XLOOKUP($B113,'Cronog. e Histog.'!$BZ:$BZ,'Cronog. e Histog.'!CR:CR),"")</f>
        <v>0</v>
      </c>
      <c r="X113" s="144">
        <f>IFERROR(_xlfn.XLOOKUP($B113,'Cronog. e Histog.'!$BZ:$BZ,'Cronog. e Histog.'!CS:CS),"")</f>
        <v>0</v>
      </c>
      <c r="Y113" s="144">
        <f>IFERROR(_xlfn.XLOOKUP($B113,'Cronog. e Histog.'!$BZ:$BZ,'Cronog. e Histog.'!CT:CT),"")</f>
        <v>0</v>
      </c>
      <c r="Z113" s="144">
        <f>IFERROR(_xlfn.XLOOKUP($B113,'Cronog. e Histog.'!$BZ:$BZ,'Cronog. e Histog.'!CU:CU),"")</f>
        <v>0</v>
      </c>
      <c r="AA113" s="144">
        <f>IFERROR(_xlfn.XLOOKUP($B113,'Cronog. e Histog.'!$BZ:$BZ,'Cronog. e Histog.'!CV:CV),"")</f>
        <v>0</v>
      </c>
      <c r="AB113" s="144">
        <f>IFERROR(_xlfn.XLOOKUP($B113,'Cronog. e Histog.'!$BZ:$BZ,'Cronog. e Histog.'!CW:CW),"")</f>
        <v>0</v>
      </c>
      <c r="AC113" s="144">
        <f>IFERROR(_xlfn.XLOOKUP($B113,'Cronog. e Histog.'!$BZ:$BZ,'Cronog. e Histog.'!CX:CX),"")</f>
        <v>0</v>
      </c>
      <c r="AD113" s="144">
        <f>IFERROR(_xlfn.XLOOKUP($B113,'Cronog. e Histog.'!$BZ:$BZ,'Cronog. e Histog.'!CY:CY),"")</f>
        <v>0</v>
      </c>
      <c r="AE113" s="144">
        <f>IFERROR(_xlfn.XLOOKUP($B113,'Cronog. e Histog.'!$BZ:$BZ,'Cronog. e Histog.'!CZ:CZ),"")</f>
        <v>0</v>
      </c>
      <c r="AF113" s="144">
        <f>IFERROR(_xlfn.XLOOKUP($B113,'Cronog. e Histog.'!$BZ:$BZ,'Cronog. e Histog.'!DA:DA),"")</f>
        <v>0</v>
      </c>
      <c r="AG113" s="144">
        <f>IFERROR(_xlfn.XLOOKUP($B113,'Cronog. e Histog.'!$BZ:$BZ,'Cronog. e Histog.'!DB:DB),"")</f>
        <v>0</v>
      </c>
      <c r="AH113" s="144">
        <f>IFERROR(_xlfn.XLOOKUP($B113,'Cronog. e Histog.'!$BZ:$BZ,'Cronog. e Histog.'!DC:DC),"")</f>
        <v>0</v>
      </c>
      <c r="AI113" s="144">
        <f>IFERROR(_xlfn.XLOOKUP($B113,'Cronog. e Histog.'!$BZ:$BZ,'Cronog. e Histog.'!DD:DD),"")</f>
        <v>0</v>
      </c>
      <c r="AJ113" s="144">
        <f>IFERROR(_xlfn.XLOOKUP($B113,'Cronog. e Histog.'!$BZ:$BZ,'Cronog. e Histog.'!DE:DE),"")</f>
        <v>0</v>
      </c>
      <c r="AK113" s="144">
        <f>IFERROR(_xlfn.XLOOKUP($B113,'Cronog. e Histog.'!$BZ:$BZ,'Cronog. e Histog.'!DF:DF),"")</f>
        <v>0</v>
      </c>
      <c r="AL113" s="144">
        <f>IFERROR(_xlfn.XLOOKUP($B113,'Cronog. e Histog.'!$BZ:$BZ,'Cronog. e Histog.'!DG:DG),"")</f>
        <v>0</v>
      </c>
      <c r="AM113" s="144">
        <f>IFERROR(_xlfn.XLOOKUP($B113,'Cronog. e Histog.'!$BZ:$BZ,'Cronog. e Histog.'!DH:DH),"")</f>
        <v>0</v>
      </c>
      <c r="AN113" s="144">
        <f>IFERROR(_xlfn.XLOOKUP($B113,'Cronog. e Histog.'!$BZ:$BZ,'Cronog. e Histog.'!DI:DI),"")</f>
        <v>0</v>
      </c>
      <c r="AO113" s="144">
        <f>IFERROR(_xlfn.XLOOKUP($B113,'Cronog. e Histog.'!$BZ:$BZ,'Cronog. e Histog.'!DJ:DJ),"")</f>
        <v>0</v>
      </c>
      <c r="AP113" s="144">
        <f>IFERROR(_xlfn.XLOOKUP($B113,'Cronog. e Histog.'!$BZ:$BZ,'Cronog. e Histog.'!DK:DK),"")</f>
        <v>0</v>
      </c>
      <c r="AQ113" s="144">
        <f>IFERROR(_xlfn.XLOOKUP($B113,'Cronog. e Histog.'!$BZ:$BZ,'Cronog. e Histog.'!DL:DL),"")</f>
        <v>0</v>
      </c>
      <c r="AR113" s="144">
        <f>IFERROR(_xlfn.XLOOKUP($B113,'Cronog. e Histog.'!$BZ:$BZ,'Cronog. e Histog.'!DM:DM),"")</f>
        <v>0</v>
      </c>
      <c r="AS113" s="144">
        <f>IFERROR(_xlfn.XLOOKUP($B113,'Cronog. e Histog.'!$BZ:$BZ,'Cronog. e Histog.'!DN:DN),"")</f>
        <v>0</v>
      </c>
      <c r="AT113" s="144">
        <f>IFERROR(_xlfn.XLOOKUP($B113,'Cronog. e Histog.'!$BZ:$BZ,'Cronog. e Histog.'!DO:DO),"")</f>
        <v>0</v>
      </c>
      <c r="AU113" s="144">
        <f>IFERROR(_xlfn.XLOOKUP($B113,'Cronog. e Histog.'!$BZ:$BZ,'Cronog. e Histog.'!DP:DP),"")</f>
        <v>0</v>
      </c>
      <c r="AV113" s="144">
        <f>IFERROR(_xlfn.XLOOKUP($B113,'Cronog. e Histog.'!$BZ:$BZ,'Cronog. e Histog.'!DQ:DQ),"")</f>
        <v>0</v>
      </c>
      <c r="AW113" s="144">
        <f>IFERROR(_xlfn.XLOOKUP($B113,'Cronog. e Histog.'!$BZ:$BZ,'Cronog. e Histog.'!DR:DR),"")</f>
        <v>0</v>
      </c>
      <c r="AX113" s="144">
        <f>IFERROR(_xlfn.XLOOKUP($B113,'Cronog. e Histog.'!$BZ:$BZ,'Cronog. e Histog.'!DS:DS),"")</f>
        <v>0</v>
      </c>
      <c r="AY113" s="144">
        <f>IFERROR(_xlfn.XLOOKUP($B113,'Cronog. e Histog.'!$BZ:$BZ,'Cronog. e Histog.'!DT:DT),"")</f>
        <v>0</v>
      </c>
      <c r="AZ113" s="144">
        <f>IFERROR(_xlfn.XLOOKUP($B113,'Cronog. e Histog.'!$BZ:$BZ,'Cronog. e Histog.'!DU:DU),"")</f>
        <v>0</v>
      </c>
      <c r="BA113" s="144">
        <f>IFERROR(_xlfn.XLOOKUP($B113,'Cronog. e Histog.'!$BZ:$BZ,'Cronog. e Histog.'!DV:DV),"")</f>
        <v>0</v>
      </c>
      <c r="BB113" s="144">
        <f>IFERROR(_xlfn.XLOOKUP($B113,'Cronog. e Histog.'!$BZ:$BZ,'Cronog. e Histog.'!DW:DW),"")</f>
        <v>0</v>
      </c>
      <c r="BC113" s="144">
        <f>IFERROR(_xlfn.XLOOKUP($B113,'Cronog. e Histog.'!$BZ:$BZ,'Cronog. e Histog.'!DX:DX),"")</f>
        <v>0</v>
      </c>
      <c r="BD113" s="144">
        <f>IFERROR(_xlfn.XLOOKUP($B113,'Cronog. e Histog.'!$BZ:$BZ,'Cronog. e Histog.'!DY:DY),"")</f>
        <v>0</v>
      </c>
      <c r="BE113" s="144">
        <f>IFERROR(_xlfn.XLOOKUP($B113,'Cronog. e Histog.'!$BZ:$BZ,'Cronog. e Histog.'!DZ:DZ),"")</f>
        <v>0</v>
      </c>
      <c r="BF113" s="144">
        <f>IFERROR(_xlfn.XLOOKUP($B113,'Cronog. e Histog.'!$BZ:$BZ,'Cronog. e Histog.'!EA:EA),"")</f>
        <v>0</v>
      </c>
      <c r="BG113" s="144">
        <f>IFERROR(_xlfn.XLOOKUP($B113,'Cronog. e Histog.'!$BZ:$BZ,'Cronog. e Histog.'!EB:EB),"")</f>
        <v>0</v>
      </c>
      <c r="BH113" s="144">
        <f>IFERROR(_xlfn.XLOOKUP($B113,'Cronog. e Histog.'!$BZ:$BZ,'Cronog. e Histog.'!EC:EC),"")</f>
        <v>0</v>
      </c>
      <c r="BI113" s="144">
        <f>IFERROR(_xlfn.XLOOKUP($B113,'Cronog. e Histog.'!$BZ:$BZ,'Cronog. e Histog.'!ED:ED),"")</f>
        <v>0</v>
      </c>
      <c r="BJ113" s="144">
        <f>IFERROR(_xlfn.XLOOKUP($B113,'Cronog. e Histog.'!$BZ:$BZ,'Cronog. e Histog.'!EE:EE),"")</f>
        <v>0</v>
      </c>
      <c r="BK113" s="144">
        <f>IFERROR(_xlfn.XLOOKUP($B113,'Cronog. e Histog.'!$BZ:$BZ,'Cronog. e Histog.'!EF:EF),"")</f>
        <v>0</v>
      </c>
      <c r="BL113" s="144">
        <f>IFERROR(_xlfn.XLOOKUP($B113,'Cronog. e Histog.'!$BZ:$BZ,'Cronog. e Histog.'!EG:EG),"")</f>
        <v>0</v>
      </c>
      <c r="BM113" s="144">
        <f>IFERROR(_xlfn.XLOOKUP($B113,'Cronog. e Histog.'!$BZ:$BZ,'Cronog. e Histog.'!EH:EH),"")</f>
        <v>0</v>
      </c>
      <c r="BN113" s="144">
        <f>IFERROR(_xlfn.XLOOKUP($B113,'Cronog. e Histog.'!$BZ:$BZ,'Cronog. e Histog.'!EI:EI),"")</f>
        <v>0</v>
      </c>
    </row>
    <row r="114" spans="2:66" ht="12" hidden="1" customHeight="1" outlineLevel="1">
      <c r="B114" s="76">
        <v>108</v>
      </c>
      <c r="C114" s="143" t="str">
        <f>IFERROR(VLOOKUP(B114,'Cronog. e Histog.'!$BZ$213:$CA$747,2,0),"")</f>
        <v>AN PL. ENG/ARQ</v>
      </c>
      <c r="D114" s="144">
        <f t="shared" si="2"/>
        <v>0</v>
      </c>
      <c r="E114" s="144">
        <f t="shared" si="3"/>
        <v>0</v>
      </c>
      <c r="F114" s="65"/>
      <c r="G114" s="144">
        <f>IFERROR(_xlfn.XLOOKUP($B114,'Cronog. e Histog.'!$BZ:$BZ,'Cronog. e Histog.'!CB:CB),"")</f>
        <v>0</v>
      </c>
      <c r="H114" s="144">
        <f>IFERROR(_xlfn.XLOOKUP($B114,'Cronog. e Histog.'!$BZ:$BZ,'Cronog. e Histog.'!CC:CC),"")</f>
        <v>0</v>
      </c>
      <c r="I114" s="144">
        <f>IFERROR(_xlfn.XLOOKUP($B114,'Cronog. e Histog.'!$BZ:$BZ,'Cronog. e Histog.'!CD:CD),"")</f>
        <v>0</v>
      </c>
      <c r="J114" s="144">
        <f>IFERROR(_xlfn.XLOOKUP($B114,'Cronog. e Histog.'!$BZ:$BZ,'Cronog. e Histog.'!CE:CE),"")</f>
        <v>0</v>
      </c>
      <c r="K114" s="144">
        <f>IFERROR(_xlfn.XLOOKUP($B114,'Cronog. e Histog.'!$BZ:$BZ,'Cronog. e Histog.'!CF:CF),"")</f>
        <v>0</v>
      </c>
      <c r="L114" s="144">
        <f>IFERROR(_xlfn.XLOOKUP($B114,'Cronog. e Histog.'!$BZ:$BZ,'Cronog. e Histog.'!CG:CG),"")</f>
        <v>0</v>
      </c>
      <c r="M114" s="144">
        <f>IFERROR(_xlfn.XLOOKUP($B114,'Cronog. e Histog.'!$BZ:$BZ,'Cronog. e Histog.'!CH:CH),"")</f>
        <v>0</v>
      </c>
      <c r="N114" s="144">
        <f>IFERROR(_xlfn.XLOOKUP($B114,'Cronog. e Histog.'!$BZ:$BZ,'Cronog. e Histog.'!CI:CI),"")</f>
        <v>0</v>
      </c>
      <c r="O114" s="144">
        <f>IFERROR(_xlfn.XLOOKUP($B114,'Cronog. e Histog.'!$BZ:$BZ,'Cronog. e Histog.'!CJ:CJ),"")</f>
        <v>0</v>
      </c>
      <c r="P114" s="144">
        <f>IFERROR(_xlfn.XLOOKUP($B114,'Cronog. e Histog.'!$BZ:$BZ,'Cronog. e Histog.'!CK:CK),"")</f>
        <v>0</v>
      </c>
      <c r="Q114" s="144">
        <f>IFERROR(_xlfn.XLOOKUP($B114,'Cronog. e Histog.'!$BZ:$BZ,'Cronog. e Histog.'!CL:CL),"")</f>
        <v>0</v>
      </c>
      <c r="R114" s="144">
        <f>IFERROR(_xlfn.XLOOKUP($B114,'Cronog. e Histog.'!$BZ:$BZ,'Cronog. e Histog.'!CM:CM),"")</f>
        <v>0</v>
      </c>
      <c r="S114" s="144">
        <f>IFERROR(_xlfn.XLOOKUP($B114,'Cronog. e Histog.'!$BZ:$BZ,'Cronog. e Histog.'!CN:CN),"")</f>
        <v>0</v>
      </c>
      <c r="T114" s="144">
        <f>IFERROR(_xlfn.XLOOKUP($B114,'Cronog. e Histog.'!$BZ:$BZ,'Cronog. e Histog.'!CO:CO),"")</f>
        <v>0</v>
      </c>
      <c r="U114" s="144">
        <f>IFERROR(_xlfn.XLOOKUP($B114,'Cronog. e Histog.'!$BZ:$BZ,'Cronog. e Histog.'!CP:CP),"")</f>
        <v>0</v>
      </c>
      <c r="V114" s="144">
        <f>IFERROR(_xlfn.XLOOKUP($B114,'Cronog. e Histog.'!$BZ:$BZ,'Cronog. e Histog.'!CQ:CQ),"")</f>
        <v>0</v>
      </c>
      <c r="W114" s="144">
        <f>IFERROR(_xlfn.XLOOKUP($B114,'Cronog. e Histog.'!$BZ:$BZ,'Cronog. e Histog.'!CR:CR),"")</f>
        <v>0</v>
      </c>
      <c r="X114" s="144">
        <f>IFERROR(_xlfn.XLOOKUP($B114,'Cronog. e Histog.'!$BZ:$BZ,'Cronog. e Histog.'!CS:CS),"")</f>
        <v>0</v>
      </c>
      <c r="Y114" s="144">
        <f>IFERROR(_xlfn.XLOOKUP($B114,'Cronog. e Histog.'!$BZ:$BZ,'Cronog. e Histog.'!CT:CT),"")</f>
        <v>0</v>
      </c>
      <c r="Z114" s="144">
        <f>IFERROR(_xlfn.XLOOKUP($B114,'Cronog. e Histog.'!$BZ:$BZ,'Cronog. e Histog.'!CU:CU),"")</f>
        <v>0</v>
      </c>
      <c r="AA114" s="144">
        <f>IFERROR(_xlfn.XLOOKUP($B114,'Cronog. e Histog.'!$BZ:$BZ,'Cronog. e Histog.'!CV:CV),"")</f>
        <v>0</v>
      </c>
      <c r="AB114" s="144">
        <f>IFERROR(_xlfn.XLOOKUP($B114,'Cronog. e Histog.'!$BZ:$BZ,'Cronog. e Histog.'!CW:CW),"")</f>
        <v>0</v>
      </c>
      <c r="AC114" s="144">
        <f>IFERROR(_xlfn.XLOOKUP($B114,'Cronog. e Histog.'!$BZ:$BZ,'Cronog. e Histog.'!CX:CX),"")</f>
        <v>0</v>
      </c>
      <c r="AD114" s="144">
        <f>IFERROR(_xlfn.XLOOKUP($B114,'Cronog. e Histog.'!$BZ:$BZ,'Cronog. e Histog.'!CY:CY),"")</f>
        <v>0</v>
      </c>
      <c r="AE114" s="144">
        <f>IFERROR(_xlfn.XLOOKUP($B114,'Cronog. e Histog.'!$BZ:$BZ,'Cronog. e Histog.'!CZ:CZ),"")</f>
        <v>0</v>
      </c>
      <c r="AF114" s="144">
        <f>IFERROR(_xlfn.XLOOKUP($B114,'Cronog. e Histog.'!$BZ:$BZ,'Cronog. e Histog.'!DA:DA),"")</f>
        <v>0</v>
      </c>
      <c r="AG114" s="144">
        <f>IFERROR(_xlfn.XLOOKUP($B114,'Cronog. e Histog.'!$BZ:$BZ,'Cronog. e Histog.'!DB:DB),"")</f>
        <v>0</v>
      </c>
      <c r="AH114" s="144">
        <f>IFERROR(_xlfn.XLOOKUP($B114,'Cronog. e Histog.'!$BZ:$BZ,'Cronog. e Histog.'!DC:DC),"")</f>
        <v>0</v>
      </c>
      <c r="AI114" s="144">
        <f>IFERROR(_xlfn.XLOOKUP($B114,'Cronog. e Histog.'!$BZ:$BZ,'Cronog. e Histog.'!DD:DD),"")</f>
        <v>0</v>
      </c>
      <c r="AJ114" s="144">
        <f>IFERROR(_xlfn.XLOOKUP($B114,'Cronog. e Histog.'!$BZ:$BZ,'Cronog. e Histog.'!DE:DE),"")</f>
        <v>0</v>
      </c>
      <c r="AK114" s="144">
        <f>IFERROR(_xlfn.XLOOKUP($B114,'Cronog. e Histog.'!$BZ:$BZ,'Cronog. e Histog.'!DF:DF),"")</f>
        <v>0</v>
      </c>
      <c r="AL114" s="144">
        <f>IFERROR(_xlfn.XLOOKUP($B114,'Cronog. e Histog.'!$BZ:$BZ,'Cronog. e Histog.'!DG:DG),"")</f>
        <v>0</v>
      </c>
      <c r="AM114" s="144">
        <f>IFERROR(_xlfn.XLOOKUP($B114,'Cronog. e Histog.'!$BZ:$BZ,'Cronog. e Histog.'!DH:DH),"")</f>
        <v>0</v>
      </c>
      <c r="AN114" s="144">
        <f>IFERROR(_xlfn.XLOOKUP($B114,'Cronog. e Histog.'!$BZ:$BZ,'Cronog. e Histog.'!DI:DI),"")</f>
        <v>0</v>
      </c>
      <c r="AO114" s="144">
        <f>IFERROR(_xlfn.XLOOKUP($B114,'Cronog. e Histog.'!$BZ:$BZ,'Cronog. e Histog.'!DJ:DJ),"")</f>
        <v>0</v>
      </c>
      <c r="AP114" s="144">
        <f>IFERROR(_xlfn.XLOOKUP($B114,'Cronog. e Histog.'!$BZ:$BZ,'Cronog. e Histog.'!DK:DK),"")</f>
        <v>0</v>
      </c>
      <c r="AQ114" s="144">
        <f>IFERROR(_xlfn.XLOOKUP($B114,'Cronog. e Histog.'!$BZ:$BZ,'Cronog. e Histog.'!DL:DL),"")</f>
        <v>0</v>
      </c>
      <c r="AR114" s="144">
        <f>IFERROR(_xlfn.XLOOKUP($B114,'Cronog. e Histog.'!$BZ:$BZ,'Cronog. e Histog.'!DM:DM),"")</f>
        <v>0</v>
      </c>
      <c r="AS114" s="144">
        <f>IFERROR(_xlfn.XLOOKUP($B114,'Cronog. e Histog.'!$BZ:$BZ,'Cronog. e Histog.'!DN:DN),"")</f>
        <v>0</v>
      </c>
      <c r="AT114" s="144">
        <f>IFERROR(_xlfn.XLOOKUP($B114,'Cronog. e Histog.'!$BZ:$BZ,'Cronog. e Histog.'!DO:DO),"")</f>
        <v>0</v>
      </c>
      <c r="AU114" s="144">
        <f>IFERROR(_xlfn.XLOOKUP($B114,'Cronog. e Histog.'!$BZ:$BZ,'Cronog. e Histog.'!DP:DP),"")</f>
        <v>0</v>
      </c>
      <c r="AV114" s="144">
        <f>IFERROR(_xlfn.XLOOKUP($B114,'Cronog. e Histog.'!$BZ:$BZ,'Cronog. e Histog.'!DQ:DQ),"")</f>
        <v>0</v>
      </c>
      <c r="AW114" s="144">
        <f>IFERROR(_xlfn.XLOOKUP($B114,'Cronog. e Histog.'!$BZ:$BZ,'Cronog. e Histog.'!DR:DR),"")</f>
        <v>0</v>
      </c>
      <c r="AX114" s="144">
        <f>IFERROR(_xlfn.XLOOKUP($B114,'Cronog. e Histog.'!$BZ:$BZ,'Cronog. e Histog.'!DS:DS),"")</f>
        <v>0</v>
      </c>
      <c r="AY114" s="144">
        <f>IFERROR(_xlfn.XLOOKUP($B114,'Cronog. e Histog.'!$BZ:$BZ,'Cronog. e Histog.'!DT:DT),"")</f>
        <v>0</v>
      </c>
      <c r="AZ114" s="144">
        <f>IFERROR(_xlfn.XLOOKUP($B114,'Cronog. e Histog.'!$BZ:$BZ,'Cronog. e Histog.'!DU:DU),"")</f>
        <v>0</v>
      </c>
      <c r="BA114" s="144">
        <f>IFERROR(_xlfn.XLOOKUP($B114,'Cronog. e Histog.'!$BZ:$BZ,'Cronog. e Histog.'!DV:DV),"")</f>
        <v>0</v>
      </c>
      <c r="BB114" s="144">
        <f>IFERROR(_xlfn.XLOOKUP($B114,'Cronog. e Histog.'!$BZ:$BZ,'Cronog. e Histog.'!DW:DW),"")</f>
        <v>0</v>
      </c>
      <c r="BC114" s="144">
        <f>IFERROR(_xlfn.XLOOKUP($B114,'Cronog. e Histog.'!$BZ:$BZ,'Cronog. e Histog.'!DX:DX),"")</f>
        <v>0</v>
      </c>
      <c r="BD114" s="144">
        <f>IFERROR(_xlfn.XLOOKUP($B114,'Cronog. e Histog.'!$BZ:$BZ,'Cronog. e Histog.'!DY:DY),"")</f>
        <v>0</v>
      </c>
      <c r="BE114" s="144">
        <f>IFERROR(_xlfn.XLOOKUP($B114,'Cronog. e Histog.'!$BZ:$BZ,'Cronog. e Histog.'!DZ:DZ),"")</f>
        <v>0</v>
      </c>
      <c r="BF114" s="144">
        <f>IFERROR(_xlfn.XLOOKUP($B114,'Cronog. e Histog.'!$BZ:$BZ,'Cronog. e Histog.'!EA:EA),"")</f>
        <v>0</v>
      </c>
      <c r="BG114" s="144">
        <f>IFERROR(_xlfn.XLOOKUP($B114,'Cronog. e Histog.'!$BZ:$BZ,'Cronog. e Histog.'!EB:EB),"")</f>
        <v>0</v>
      </c>
      <c r="BH114" s="144">
        <f>IFERROR(_xlfn.XLOOKUP($B114,'Cronog. e Histog.'!$BZ:$BZ,'Cronog. e Histog.'!EC:EC),"")</f>
        <v>0</v>
      </c>
      <c r="BI114" s="144">
        <f>IFERROR(_xlfn.XLOOKUP($B114,'Cronog. e Histog.'!$BZ:$BZ,'Cronog. e Histog.'!ED:ED),"")</f>
        <v>0</v>
      </c>
      <c r="BJ114" s="144">
        <f>IFERROR(_xlfn.XLOOKUP($B114,'Cronog. e Histog.'!$BZ:$BZ,'Cronog. e Histog.'!EE:EE),"")</f>
        <v>0</v>
      </c>
      <c r="BK114" s="144">
        <f>IFERROR(_xlfn.XLOOKUP($B114,'Cronog. e Histog.'!$BZ:$BZ,'Cronog. e Histog.'!EF:EF),"")</f>
        <v>0</v>
      </c>
      <c r="BL114" s="144">
        <f>IFERROR(_xlfn.XLOOKUP($B114,'Cronog. e Histog.'!$BZ:$BZ,'Cronog. e Histog.'!EG:EG),"")</f>
        <v>0</v>
      </c>
      <c r="BM114" s="144">
        <f>IFERROR(_xlfn.XLOOKUP($B114,'Cronog. e Histog.'!$BZ:$BZ,'Cronog. e Histog.'!EH:EH),"")</f>
        <v>0</v>
      </c>
      <c r="BN114" s="144">
        <f>IFERROR(_xlfn.XLOOKUP($B114,'Cronog. e Histog.'!$BZ:$BZ,'Cronog. e Histog.'!EI:EI),"")</f>
        <v>0</v>
      </c>
    </row>
    <row r="115" spans="2:66" ht="12" hidden="1" customHeight="1" outlineLevel="1">
      <c r="B115" s="76">
        <v>109</v>
      </c>
      <c r="C115" s="143" t="str">
        <f>IFERROR(VLOOKUP(B115,'Cronog. e Histog.'!$BZ$213:$CA$747,2,0),"")</f>
        <v>AN JR. ENG/ARQ</v>
      </c>
      <c r="D115" s="144">
        <f t="shared" si="2"/>
        <v>0</v>
      </c>
      <c r="E115" s="144">
        <f t="shared" si="3"/>
        <v>0</v>
      </c>
      <c r="F115" s="65"/>
      <c r="G115" s="144">
        <f>IFERROR(_xlfn.XLOOKUP($B115,'Cronog. e Histog.'!$BZ:$BZ,'Cronog. e Histog.'!CB:CB),"")</f>
        <v>0</v>
      </c>
      <c r="H115" s="144">
        <f>IFERROR(_xlfn.XLOOKUP($B115,'Cronog. e Histog.'!$BZ:$BZ,'Cronog. e Histog.'!CC:CC),"")</f>
        <v>0</v>
      </c>
      <c r="I115" s="144">
        <f>IFERROR(_xlfn.XLOOKUP($B115,'Cronog. e Histog.'!$BZ:$BZ,'Cronog. e Histog.'!CD:CD),"")</f>
        <v>0</v>
      </c>
      <c r="J115" s="144">
        <f>IFERROR(_xlfn.XLOOKUP($B115,'Cronog. e Histog.'!$BZ:$BZ,'Cronog. e Histog.'!CE:CE),"")</f>
        <v>0</v>
      </c>
      <c r="K115" s="144">
        <f>IFERROR(_xlfn.XLOOKUP($B115,'Cronog. e Histog.'!$BZ:$BZ,'Cronog. e Histog.'!CF:CF),"")</f>
        <v>0</v>
      </c>
      <c r="L115" s="144">
        <f>IFERROR(_xlfn.XLOOKUP($B115,'Cronog. e Histog.'!$BZ:$BZ,'Cronog. e Histog.'!CG:CG),"")</f>
        <v>0</v>
      </c>
      <c r="M115" s="144">
        <f>IFERROR(_xlfn.XLOOKUP($B115,'Cronog. e Histog.'!$BZ:$BZ,'Cronog. e Histog.'!CH:CH),"")</f>
        <v>0</v>
      </c>
      <c r="N115" s="144">
        <f>IFERROR(_xlfn.XLOOKUP($B115,'Cronog. e Histog.'!$BZ:$BZ,'Cronog. e Histog.'!CI:CI),"")</f>
        <v>0</v>
      </c>
      <c r="O115" s="144">
        <f>IFERROR(_xlfn.XLOOKUP($B115,'Cronog. e Histog.'!$BZ:$BZ,'Cronog. e Histog.'!CJ:CJ),"")</f>
        <v>0</v>
      </c>
      <c r="P115" s="144">
        <f>IFERROR(_xlfn.XLOOKUP($B115,'Cronog. e Histog.'!$BZ:$BZ,'Cronog. e Histog.'!CK:CK),"")</f>
        <v>0</v>
      </c>
      <c r="Q115" s="144">
        <f>IFERROR(_xlfn.XLOOKUP($B115,'Cronog. e Histog.'!$BZ:$BZ,'Cronog. e Histog.'!CL:CL),"")</f>
        <v>0</v>
      </c>
      <c r="R115" s="144">
        <f>IFERROR(_xlfn.XLOOKUP($B115,'Cronog. e Histog.'!$BZ:$BZ,'Cronog. e Histog.'!CM:CM),"")</f>
        <v>0</v>
      </c>
      <c r="S115" s="144">
        <f>IFERROR(_xlfn.XLOOKUP($B115,'Cronog. e Histog.'!$BZ:$BZ,'Cronog. e Histog.'!CN:CN),"")</f>
        <v>0</v>
      </c>
      <c r="T115" s="144">
        <f>IFERROR(_xlfn.XLOOKUP($B115,'Cronog. e Histog.'!$BZ:$BZ,'Cronog. e Histog.'!CO:CO),"")</f>
        <v>0</v>
      </c>
      <c r="U115" s="144">
        <f>IFERROR(_xlfn.XLOOKUP($B115,'Cronog. e Histog.'!$BZ:$BZ,'Cronog. e Histog.'!CP:CP),"")</f>
        <v>0</v>
      </c>
      <c r="V115" s="144">
        <f>IFERROR(_xlfn.XLOOKUP($B115,'Cronog. e Histog.'!$BZ:$BZ,'Cronog. e Histog.'!CQ:CQ),"")</f>
        <v>0</v>
      </c>
      <c r="W115" s="144">
        <f>IFERROR(_xlfn.XLOOKUP($B115,'Cronog. e Histog.'!$BZ:$BZ,'Cronog. e Histog.'!CR:CR),"")</f>
        <v>0</v>
      </c>
      <c r="X115" s="144">
        <f>IFERROR(_xlfn.XLOOKUP($B115,'Cronog. e Histog.'!$BZ:$BZ,'Cronog. e Histog.'!CS:CS),"")</f>
        <v>0</v>
      </c>
      <c r="Y115" s="144">
        <f>IFERROR(_xlfn.XLOOKUP($B115,'Cronog. e Histog.'!$BZ:$BZ,'Cronog. e Histog.'!CT:CT),"")</f>
        <v>0</v>
      </c>
      <c r="Z115" s="144">
        <f>IFERROR(_xlfn.XLOOKUP($B115,'Cronog. e Histog.'!$BZ:$BZ,'Cronog. e Histog.'!CU:CU),"")</f>
        <v>0</v>
      </c>
      <c r="AA115" s="144">
        <f>IFERROR(_xlfn.XLOOKUP($B115,'Cronog. e Histog.'!$BZ:$BZ,'Cronog. e Histog.'!CV:CV),"")</f>
        <v>0</v>
      </c>
      <c r="AB115" s="144">
        <f>IFERROR(_xlfn.XLOOKUP($B115,'Cronog. e Histog.'!$BZ:$BZ,'Cronog. e Histog.'!CW:CW),"")</f>
        <v>0</v>
      </c>
      <c r="AC115" s="144">
        <f>IFERROR(_xlfn.XLOOKUP($B115,'Cronog. e Histog.'!$BZ:$BZ,'Cronog. e Histog.'!CX:CX),"")</f>
        <v>0</v>
      </c>
      <c r="AD115" s="144">
        <f>IFERROR(_xlfn.XLOOKUP($B115,'Cronog. e Histog.'!$BZ:$BZ,'Cronog. e Histog.'!CY:CY),"")</f>
        <v>0</v>
      </c>
      <c r="AE115" s="144">
        <f>IFERROR(_xlfn.XLOOKUP($B115,'Cronog. e Histog.'!$BZ:$BZ,'Cronog. e Histog.'!CZ:CZ),"")</f>
        <v>0</v>
      </c>
      <c r="AF115" s="144">
        <f>IFERROR(_xlfn.XLOOKUP($B115,'Cronog. e Histog.'!$BZ:$BZ,'Cronog. e Histog.'!DA:DA),"")</f>
        <v>0</v>
      </c>
      <c r="AG115" s="144">
        <f>IFERROR(_xlfn.XLOOKUP($B115,'Cronog. e Histog.'!$BZ:$BZ,'Cronog. e Histog.'!DB:DB),"")</f>
        <v>0</v>
      </c>
      <c r="AH115" s="144">
        <f>IFERROR(_xlfn.XLOOKUP($B115,'Cronog. e Histog.'!$BZ:$BZ,'Cronog. e Histog.'!DC:DC),"")</f>
        <v>0</v>
      </c>
      <c r="AI115" s="144">
        <f>IFERROR(_xlfn.XLOOKUP($B115,'Cronog. e Histog.'!$BZ:$BZ,'Cronog. e Histog.'!DD:DD),"")</f>
        <v>0</v>
      </c>
      <c r="AJ115" s="144">
        <f>IFERROR(_xlfn.XLOOKUP($B115,'Cronog. e Histog.'!$BZ:$BZ,'Cronog. e Histog.'!DE:DE),"")</f>
        <v>0</v>
      </c>
      <c r="AK115" s="144">
        <f>IFERROR(_xlfn.XLOOKUP($B115,'Cronog. e Histog.'!$BZ:$BZ,'Cronog. e Histog.'!DF:DF),"")</f>
        <v>0</v>
      </c>
      <c r="AL115" s="144">
        <f>IFERROR(_xlfn.XLOOKUP($B115,'Cronog. e Histog.'!$BZ:$BZ,'Cronog. e Histog.'!DG:DG),"")</f>
        <v>0</v>
      </c>
      <c r="AM115" s="144">
        <f>IFERROR(_xlfn.XLOOKUP($B115,'Cronog. e Histog.'!$BZ:$BZ,'Cronog. e Histog.'!DH:DH),"")</f>
        <v>0</v>
      </c>
      <c r="AN115" s="144">
        <f>IFERROR(_xlfn.XLOOKUP($B115,'Cronog. e Histog.'!$BZ:$BZ,'Cronog. e Histog.'!DI:DI),"")</f>
        <v>0</v>
      </c>
      <c r="AO115" s="144">
        <f>IFERROR(_xlfn.XLOOKUP($B115,'Cronog. e Histog.'!$BZ:$BZ,'Cronog. e Histog.'!DJ:DJ),"")</f>
        <v>0</v>
      </c>
      <c r="AP115" s="144">
        <f>IFERROR(_xlfn.XLOOKUP($B115,'Cronog. e Histog.'!$BZ:$BZ,'Cronog. e Histog.'!DK:DK),"")</f>
        <v>0</v>
      </c>
      <c r="AQ115" s="144">
        <f>IFERROR(_xlfn.XLOOKUP($B115,'Cronog. e Histog.'!$BZ:$BZ,'Cronog. e Histog.'!DL:DL),"")</f>
        <v>0</v>
      </c>
      <c r="AR115" s="144">
        <f>IFERROR(_xlfn.XLOOKUP($B115,'Cronog. e Histog.'!$BZ:$BZ,'Cronog. e Histog.'!DM:DM),"")</f>
        <v>0</v>
      </c>
      <c r="AS115" s="144">
        <f>IFERROR(_xlfn.XLOOKUP($B115,'Cronog. e Histog.'!$BZ:$BZ,'Cronog. e Histog.'!DN:DN),"")</f>
        <v>0</v>
      </c>
      <c r="AT115" s="144">
        <f>IFERROR(_xlfn.XLOOKUP($B115,'Cronog. e Histog.'!$BZ:$BZ,'Cronog. e Histog.'!DO:DO),"")</f>
        <v>0</v>
      </c>
      <c r="AU115" s="144">
        <f>IFERROR(_xlfn.XLOOKUP($B115,'Cronog. e Histog.'!$BZ:$BZ,'Cronog. e Histog.'!DP:DP),"")</f>
        <v>0</v>
      </c>
      <c r="AV115" s="144">
        <f>IFERROR(_xlfn.XLOOKUP($B115,'Cronog. e Histog.'!$BZ:$BZ,'Cronog. e Histog.'!DQ:DQ),"")</f>
        <v>0</v>
      </c>
      <c r="AW115" s="144">
        <f>IFERROR(_xlfn.XLOOKUP($B115,'Cronog. e Histog.'!$BZ:$BZ,'Cronog. e Histog.'!DR:DR),"")</f>
        <v>0</v>
      </c>
      <c r="AX115" s="144">
        <f>IFERROR(_xlfn.XLOOKUP($B115,'Cronog. e Histog.'!$BZ:$BZ,'Cronog. e Histog.'!DS:DS),"")</f>
        <v>0</v>
      </c>
      <c r="AY115" s="144">
        <f>IFERROR(_xlfn.XLOOKUP($B115,'Cronog. e Histog.'!$BZ:$BZ,'Cronog. e Histog.'!DT:DT),"")</f>
        <v>0</v>
      </c>
      <c r="AZ115" s="144">
        <f>IFERROR(_xlfn.XLOOKUP($B115,'Cronog. e Histog.'!$BZ:$BZ,'Cronog. e Histog.'!DU:DU),"")</f>
        <v>0</v>
      </c>
      <c r="BA115" s="144">
        <f>IFERROR(_xlfn.XLOOKUP($B115,'Cronog. e Histog.'!$BZ:$BZ,'Cronog. e Histog.'!DV:DV),"")</f>
        <v>0</v>
      </c>
      <c r="BB115" s="144">
        <f>IFERROR(_xlfn.XLOOKUP($B115,'Cronog. e Histog.'!$BZ:$BZ,'Cronog. e Histog.'!DW:DW),"")</f>
        <v>0</v>
      </c>
      <c r="BC115" s="144">
        <f>IFERROR(_xlfn.XLOOKUP($B115,'Cronog. e Histog.'!$BZ:$BZ,'Cronog. e Histog.'!DX:DX),"")</f>
        <v>0</v>
      </c>
      <c r="BD115" s="144">
        <f>IFERROR(_xlfn.XLOOKUP($B115,'Cronog. e Histog.'!$BZ:$BZ,'Cronog. e Histog.'!DY:DY),"")</f>
        <v>0</v>
      </c>
      <c r="BE115" s="144">
        <f>IFERROR(_xlfn.XLOOKUP($B115,'Cronog. e Histog.'!$BZ:$BZ,'Cronog. e Histog.'!DZ:DZ),"")</f>
        <v>0</v>
      </c>
      <c r="BF115" s="144">
        <f>IFERROR(_xlfn.XLOOKUP($B115,'Cronog. e Histog.'!$BZ:$BZ,'Cronog. e Histog.'!EA:EA),"")</f>
        <v>0</v>
      </c>
      <c r="BG115" s="144">
        <f>IFERROR(_xlfn.XLOOKUP($B115,'Cronog. e Histog.'!$BZ:$BZ,'Cronog. e Histog.'!EB:EB),"")</f>
        <v>0</v>
      </c>
      <c r="BH115" s="144">
        <f>IFERROR(_xlfn.XLOOKUP($B115,'Cronog. e Histog.'!$BZ:$BZ,'Cronog. e Histog.'!EC:EC),"")</f>
        <v>0</v>
      </c>
      <c r="BI115" s="144">
        <f>IFERROR(_xlfn.XLOOKUP($B115,'Cronog. e Histog.'!$BZ:$BZ,'Cronog. e Histog.'!ED:ED),"")</f>
        <v>0</v>
      </c>
      <c r="BJ115" s="144">
        <f>IFERROR(_xlfn.XLOOKUP($B115,'Cronog. e Histog.'!$BZ:$BZ,'Cronog. e Histog.'!EE:EE),"")</f>
        <v>0</v>
      </c>
      <c r="BK115" s="144">
        <f>IFERROR(_xlfn.XLOOKUP($B115,'Cronog. e Histog.'!$BZ:$BZ,'Cronog. e Histog.'!EF:EF),"")</f>
        <v>0</v>
      </c>
      <c r="BL115" s="144">
        <f>IFERROR(_xlfn.XLOOKUP($B115,'Cronog. e Histog.'!$BZ:$BZ,'Cronog. e Histog.'!EG:EG),"")</f>
        <v>0</v>
      </c>
      <c r="BM115" s="144">
        <f>IFERROR(_xlfn.XLOOKUP($B115,'Cronog. e Histog.'!$BZ:$BZ,'Cronog. e Histog.'!EH:EH),"")</f>
        <v>0</v>
      </c>
      <c r="BN115" s="144">
        <f>IFERROR(_xlfn.XLOOKUP($B115,'Cronog. e Histog.'!$BZ:$BZ,'Cronog. e Histog.'!EI:EI),"")</f>
        <v>0</v>
      </c>
    </row>
    <row r="116" spans="2:66" ht="12" hidden="1" customHeight="1" outlineLevel="1">
      <c r="B116" s="76">
        <v>110</v>
      </c>
      <c r="C116" s="143" t="str">
        <f>IFERROR(VLOOKUP(B116,'Cronog. e Histog.'!$BZ$213:$CA$747,2,0),"")</f>
        <v>AN SR. ADM/CRP</v>
      </c>
      <c r="D116" s="144">
        <f t="shared" si="2"/>
        <v>1</v>
      </c>
      <c r="E116" s="144">
        <f t="shared" si="3"/>
        <v>10</v>
      </c>
      <c r="F116" s="65"/>
      <c r="G116" s="144">
        <f>IFERROR(_xlfn.XLOOKUP($B116,'Cronog. e Histog.'!$BZ:$BZ,'Cronog. e Histog.'!CB:CB),"")</f>
        <v>0.05</v>
      </c>
      <c r="H116" s="144">
        <f>IFERROR(_xlfn.XLOOKUP($B116,'Cronog. e Histog.'!$BZ:$BZ,'Cronog. e Histog.'!CC:CC),"")</f>
        <v>0.05</v>
      </c>
      <c r="I116" s="144">
        <f>IFERROR(_xlfn.XLOOKUP($B116,'Cronog. e Histog.'!$BZ:$BZ,'Cronog. e Histog.'!CD:CD),"")</f>
        <v>0.05</v>
      </c>
      <c r="J116" s="144">
        <f>IFERROR(_xlfn.XLOOKUP($B116,'Cronog. e Histog.'!$BZ:$BZ,'Cronog. e Histog.'!CE:CE),"")</f>
        <v>0.05</v>
      </c>
      <c r="K116" s="144">
        <f>IFERROR(_xlfn.XLOOKUP($B116,'Cronog. e Histog.'!$BZ:$BZ,'Cronog. e Histog.'!CF:CF),"")</f>
        <v>0.05</v>
      </c>
      <c r="L116" s="144">
        <f>IFERROR(_xlfn.XLOOKUP($B116,'Cronog. e Histog.'!$BZ:$BZ,'Cronog. e Histog.'!CG:CG),"")</f>
        <v>0.05</v>
      </c>
      <c r="M116" s="144">
        <f>IFERROR(_xlfn.XLOOKUP($B116,'Cronog. e Histog.'!$BZ:$BZ,'Cronog. e Histog.'!CH:CH),"")</f>
        <v>0.05</v>
      </c>
      <c r="N116" s="144">
        <f>IFERROR(_xlfn.XLOOKUP($B116,'Cronog. e Histog.'!$BZ:$BZ,'Cronog. e Histog.'!CI:CI),"")</f>
        <v>0.05</v>
      </c>
      <c r="O116" s="144">
        <f>IFERROR(_xlfn.XLOOKUP($B116,'Cronog. e Histog.'!$BZ:$BZ,'Cronog. e Histog.'!CJ:CJ),"")</f>
        <v>0.05</v>
      </c>
      <c r="P116" s="144">
        <f>IFERROR(_xlfn.XLOOKUP($B116,'Cronog. e Histog.'!$BZ:$BZ,'Cronog. e Histog.'!CK:CK),"")</f>
        <v>0.05</v>
      </c>
      <c r="Q116" s="144">
        <f>IFERROR(_xlfn.XLOOKUP($B116,'Cronog. e Histog.'!$BZ:$BZ,'Cronog. e Histog.'!CL:CL),"")</f>
        <v>0</v>
      </c>
      <c r="R116" s="144">
        <f>IFERROR(_xlfn.XLOOKUP($B116,'Cronog. e Histog.'!$BZ:$BZ,'Cronog. e Histog.'!CM:CM),"")</f>
        <v>0</v>
      </c>
      <c r="S116" s="144">
        <f>IFERROR(_xlfn.XLOOKUP($B116,'Cronog. e Histog.'!$BZ:$BZ,'Cronog. e Histog.'!CN:CN),"")</f>
        <v>0</v>
      </c>
      <c r="T116" s="144">
        <f>IFERROR(_xlfn.XLOOKUP($B116,'Cronog. e Histog.'!$BZ:$BZ,'Cronog. e Histog.'!CO:CO),"")</f>
        <v>0</v>
      </c>
      <c r="U116" s="144">
        <f>IFERROR(_xlfn.XLOOKUP($B116,'Cronog. e Histog.'!$BZ:$BZ,'Cronog. e Histog.'!CP:CP),"")</f>
        <v>0</v>
      </c>
      <c r="V116" s="144">
        <f>IFERROR(_xlfn.XLOOKUP($B116,'Cronog. e Histog.'!$BZ:$BZ,'Cronog. e Histog.'!CQ:CQ),"")</f>
        <v>0</v>
      </c>
      <c r="W116" s="144">
        <f>IFERROR(_xlfn.XLOOKUP($B116,'Cronog. e Histog.'!$BZ:$BZ,'Cronog. e Histog.'!CR:CR),"")</f>
        <v>0</v>
      </c>
      <c r="X116" s="144">
        <f>IFERROR(_xlfn.XLOOKUP($B116,'Cronog. e Histog.'!$BZ:$BZ,'Cronog. e Histog.'!CS:CS),"")</f>
        <v>0</v>
      </c>
      <c r="Y116" s="144">
        <f>IFERROR(_xlfn.XLOOKUP($B116,'Cronog. e Histog.'!$BZ:$BZ,'Cronog. e Histog.'!CT:CT),"")</f>
        <v>0</v>
      </c>
      <c r="Z116" s="144">
        <f>IFERROR(_xlfn.XLOOKUP($B116,'Cronog. e Histog.'!$BZ:$BZ,'Cronog. e Histog.'!CU:CU),"")</f>
        <v>0</v>
      </c>
      <c r="AA116" s="144">
        <f>IFERROR(_xlfn.XLOOKUP($B116,'Cronog. e Histog.'!$BZ:$BZ,'Cronog. e Histog.'!CV:CV),"")</f>
        <v>0</v>
      </c>
      <c r="AB116" s="144">
        <f>IFERROR(_xlfn.XLOOKUP($B116,'Cronog. e Histog.'!$BZ:$BZ,'Cronog. e Histog.'!CW:CW),"")</f>
        <v>0</v>
      </c>
      <c r="AC116" s="144">
        <f>IFERROR(_xlfn.XLOOKUP($B116,'Cronog. e Histog.'!$BZ:$BZ,'Cronog. e Histog.'!CX:CX),"")</f>
        <v>0</v>
      </c>
      <c r="AD116" s="144">
        <f>IFERROR(_xlfn.XLOOKUP($B116,'Cronog. e Histog.'!$BZ:$BZ,'Cronog. e Histog.'!CY:CY),"")</f>
        <v>0</v>
      </c>
      <c r="AE116" s="144">
        <f>IFERROR(_xlfn.XLOOKUP($B116,'Cronog. e Histog.'!$BZ:$BZ,'Cronog. e Histog.'!CZ:CZ),"")</f>
        <v>0</v>
      </c>
      <c r="AF116" s="144">
        <f>IFERROR(_xlfn.XLOOKUP($B116,'Cronog. e Histog.'!$BZ:$BZ,'Cronog. e Histog.'!DA:DA),"")</f>
        <v>0</v>
      </c>
      <c r="AG116" s="144">
        <f>IFERROR(_xlfn.XLOOKUP($B116,'Cronog. e Histog.'!$BZ:$BZ,'Cronog. e Histog.'!DB:DB),"")</f>
        <v>0</v>
      </c>
      <c r="AH116" s="144">
        <f>IFERROR(_xlfn.XLOOKUP($B116,'Cronog. e Histog.'!$BZ:$BZ,'Cronog. e Histog.'!DC:DC),"")</f>
        <v>0</v>
      </c>
      <c r="AI116" s="144">
        <f>IFERROR(_xlfn.XLOOKUP($B116,'Cronog. e Histog.'!$BZ:$BZ,'Cronog. e Histog.'!DD:DD),"")</f>
        <v>0</v>
      </c>
      <c r="AJ116" s="144">
        <f>IFERROR(_xlfn.XLOOKUP($B116,'Cronog. e Histog.'!$BZ:$BZ,'Cronog. e Histog.'!DE:DE),"")</f>
        <v>0</v>
      </c>
      <c r="AK116" s="144">
        <f>IFERROR(_xlfn.XLOOKUP($B116,'Cronog. e Histog.'!$BZ:$BZ,'Cronog. e Histog.'!DF:DF),"")</f>
        <v>0</v>
      </c>
      <c r="AL116" s="144">
        <f>IFERROR(_xlfn.XLOOKUP($B116,'Cronog. e Histog.'!$BZ:$BZ,'Cronog. e Histog.'!DG:DG),"")</f>
        <v>0</v>
      </c>
      <c r="AM116" s="144">
        <f>IFERROR(_xlfn.XLOOKUP($B116,'Cronog. e Histog.'!$BZ:$BZ,'Cronog. e Histog.'!DH:DH),"")</f>
        <v>0</v>
      </c>
      <c r="AN116" s="144">
        <f>IFERROR(_xlfn.XLOOKUP($B116,'Cronog. e Histog.'!$BZ:$BZ,'Cronog. e Histog.'!DI:DI),"")</f>
        <v>0</v>
      </c>
      <c r="AO116" s="144">
        <f>IFERROR(_xlfn.XLOOKUP($B116,'Cronog. e Histog.'!$BZ:$BZ,'Cronog. e Histog.'!DJ:DJ),"")</f>
        <v>0</v>
      </c>
      <c r="AP116" s="144">
        <f>IFERROR(_xlfn.XLOOKUP($B116,'Cronog. e Histog.'!$BZ:$BZ,'Cronog. e Histog.'!DK:DK),"")</f>
        <v>0</v>
      </c>
      <c r="AQ116" s="144">
        <f>IFERROR(_xlfn.XLOOKUP($B116,'Cronog. e Histog.'!$BZ:$BZ,'Cronog. e Histog.'!DL:DL),"")</f>
        <v>0</v>
      </c>
      <c r="AR116" s="144">
        <f>IFERROR(_xlfn.XLOOKUP($B116,'Cronog. e Histog.'!$BZ:$BZ,'Cronog. e Histog.'!DM:DM),"")</f>
        <v>0</v>
      </c>
      <c r="AS116" s="144">
        <f>IFERROR(_xlfn.XLOOKUP($B116,'Cronog. e Histog.'!$BZ:$BZ,'Cronog. e Histog.'!DN:DN),"")</f>
        <v>0</v>
      </c>
      <c r="AT116" s="144">
        <f>IFERROR(_xlfn.XLOOKUP($B116,'Cronog. e Histog.'!$BZ:$BZ,'Cronog. e Histog.'!DO:DO),"")</f>
        <v>0</v>
      </c>
      <c r="AU116" s="144">
        <f>IFERROR(_xlfn.XLOOKUP($B116,'Cronog. e Histog.'!$BZ:$BZ,'Cronog. e Histog.'!DP:DP),"")</f>
        <v>0</v>
      </c>
      <c r="AV116" s="144">
        <f>IFERROR(_xlfn.XLOOKUP($B116,'Cronog. e Histog.'!$BZ:$BZ,'Cronog. e Histog.'!DQ:DQ),"")</f>
        <v>0</v>
      </c>
      <c r="AW116" s="144">
        <f>IFERROR(_xlfn.XLOOKUP($B116,'Cronog. e Histog.'!$BZ:$BZ,'Cronog. e Histog.'!DR:DR),"")</f>
        <v>0</v>
      </c>
      <c r="AX116" s="144">
        <f>IFERROR(_xlfn.XLOOKUP($B116,'Cronog. e Histog.'!$BZ:$BZ,'Cronog. e Histog.'!DS:DS),"")</f>
        <v>0</v>
      </c>
      <c r="AY116" s="144">
        <f>IFERROR(_xlfn.XLOOKUP($B116,'Cronog. e Histog.'!$BZ:$BZ,'Cronog. e Histog.'!DT:DT),"")</f>
        <v>0</v>
      </c>
      <c r="AZ116" s="144">
        <f>IFERROR(_xlfn.XLOOKUP($B116,'Cronog. e Histog.'!$BZ:$BZ,'Cronog. e Histog.'!DU:DU),"")</f>
        <v>0</v>
      </c>
      <c r="BA116" s="144">
        <f>IFERROR(_xlfn.XLOOKUP($B116,'Cronog. e Histog.'!$BZ:$BZ,'Cronog. e Histog.'!DV:DV),"")</f>
        <v>0</v>
      </c>
      <c r="BB116" s="144">
        <f>IFERROR(_xlfn.XLOOKUP($B116,'Cronog. e Histog.'!$BZ:$BZ,'Cronog. e Histog.'!DW:DW),"")</f>
        <v>0</v>
      </c>
      <c r="BC116" s="144">
        <f>IFERROR(_xlfn.XLOOKUP($B116,'Cronog. e Histog.'!$BZ:$BZ,'Cronog. e Histog.'!DX:DX),"")</f>
        <v>0</v>
      </c>
      <c r="BD116" s="144">
        <f>IFERROR(_xlfn.XLOOKUP($B116,'Cronog. e Histog.'!$BZ:$BZ,'Cronog. e Histog.'!DY:DY),"")</f>
        <v>0</v>
      </c>
      <c r="BE116" s="144">
        <f>IFERROR(_xlfn.XLOOKUP($B116,'Cronog. e Histog.'!$BZ:$BZ,'Cronog. e Histog.'!DZ:DZ),"")</f>
        <v>0</v>
      </c>
      <c r="BF116" s="144">
        <f>IFERROR(_xlfn.XLOOKUP($B116,'Cronog. e Histog.'!$BZ:$BZ,'Cronog. e Histog.'!EA:EA),"")</f>
        <v>0</v>
      </c>
      <c r="BG116" s="144">
        <f>IFERROR(_xlfn.XLOOKUP($B116,'Cronog. e Histog.'!$BZ:$BZ,'Cronog. e Histog.'!EB:EB),"")</f>
        <v>0</v>
      </c>
      <c r="BH116" s="144">
        <f>IFERROR(_xlfn.XLOOKUP($B116,'Cronog. e Histog.'!$BZ:$BZ,'Cronog. e Histog.'!EC:EC),"")</f>
        <v>0</v>
      </c>
      <c r="BI116" s="144">
        <f>IFERROR(_xlfn.XLOOKUP($B116,'Cronog. e Histog.'!$BZ:$BZ,'Cronog. e Histog.'!ED:ED),"")</f>
        <v>0</v>
      </c>
      <c r="BJ116" s="144">
        <f>IFERROR(_xlfn.XLOOKUP($B116,'Cronog. e Histog.'!$BZ:$BZ,'Cronog. e Histog.'!EE:EE),"")</f>
        <v>0</v>
      </c>
      <c r="BK116" s="144">
        <f>IFERROR(_xlfn.XLOOKUP($B116,'Cronog. e Histog.'!$BZ:$BZ,'Cronog. e Histog.'!EF:EF),"")</f>
        <v>0</v>
      </c>
      <c r="BL116" s="144">
        <f>IFERROR(_xlfn.XLOOKUP($B116,'Cronog. e Histog.'!$BZ:$BZ,'Cronog. e Histog.'!EG:EG),"")</f>
        <v>0</v>
      </c>
      <c r="BM116" s="144">
        <f>IFERROR(_xlfn.XLOOKUP($B116,'Cronog. e Histog.'!$BZ:$BZ,'Cronog. e Histog.'!EH:EH),"")</f>
        <v>0</v>
      </c>
      <c r="BN116" s="144">
        <f>IFERROR(_xlfn.XLOOKUP($B116,'Cronog. e Histog.'!$BZ:$BZ,'Cronog. e Histog.'!EI:EI),"")</f>
        <v>0</v>
      </c>
    </row>
    <row r="117" spans="2:66" ht="12" hidden="1" customHeight="1" outlineLevel="1">
      <c r="B117" s="76">
        <v>111</v>
      </c>
      <c r="C117" s="143" t="str">
        <f>IFERROR(VLOOKUP(B117,'Cronog. e Histog.'!$BZ$213:$CA$747,2,0),"")</f>
        <v>AN PL. ADM/CRP</v>
      </c>
      <c r="D117" s="144">
        <f t="shared" si="2"/>
        <v>0</v>
      </c>
      <c r="E117" s="144">
        <f t="shared" si="3"/>
        <v>0</v>
      </c>
      <c r="F117" s="65"/>
      <c r="G117" s="144">
        <f>IFERROR(_xlfn.XLOOKUP($B117,'Cronog. e Histog.'!$BZ:$BZ,'Cronog. e Histog.'!CB:CB),"")</f>
        <v>0</v>
      </c>
      <c r="H117" s="144">
        <f>IFERROR(_xlfn.XLOOKUP($B117,'Cronog. e Histog.'!$BZ:$BZ,'Cronog. e Histog.'!CC:CC),"")</f>
        <v>0</v>
      </c>
      <c r="I117" s="144">
        <f>IFERROR(_xlfn.XLOOKUP($B117,'Cronog. e Histog.'!$BZ:$BZ,'Cronog. e Histog.'!CD:CD),"")</f>
        <v>0</v>
      </c>
      <c r="J117" s="144">
        <f>IFERROR(_xlfn.XLOOKUP($B117,'Cronog. e Histog.'!$BZ:$BZ,'Cronog. e Histog.'!CE:CE),"")</f>
        <v>0</v>
      </c>
      <c r="K117" s="144">
        <f>IFERROR(_xlfn.XLOOKUP($B117,'Cronog. e Histog.'!$BZ:$BZ,'Cronog. e Histog.'!CF:CF),"")</f>
        <v>0</v>
      </c>
      <c r="L117" s="144">
        <f>IFERROR(_xlfn.XLOOKUP($B117,'Cronog. e Histog.'!$BZ:$BZ,'Cronog. e Histog.'!CG:CG),"")</f>
        <v>0</v>
      </c>
      <c r="M117" s="144">
        <f>IFERROR(_xlfn.XLOOKUP($B117,'Cronog. e Histog.'!$BZ:$BZ,'Cronog. e Histog.'!CH:CH),"")</f>
        <v>0</v>
      </c>
      <c r="N117" s="144">
        <f>IFERROR(_xlfn.XLOOKUP($B117,'Cronog. e Histog.'!$BZ:$BZ,'Cronog. e Histog.'!CI:CI),"")</f>
        <v>0</v>
      </c>
      <c r="O117" s="144">
        <f>IFERROR(_xlfn.XLOOKUP($B117,'Cronog. e Histog.'!$BZ:$BZ,'Cronog. e Histog.'!CJ:CJ),"")</f>
        <v>0</v>
      </c>
      <c r="P117" s="144">
        <f>IFERROR(_xlfn.XLOOKUP($B117,'Cronog. e Histog.'!$BZ:$BZ,'Cronog. e Histog.'!CK:CK),"")</f>
        <v>0</v>
      </c>
      <c r="Q117" s="144">
        <f>IFERROR(_xlfn.XLOOKUP($B117,'Cronog. e Histog.'!$BZ:$BZ,'Cronog. e Histog.'!CL:CL),"")</f>
        <v>0</v>
      </c>
      <c r="R117" s="144">
        <f>IFERROR(_xlfn.XLOOKUP($B117,'Cronog. e Histog.'!$BZ:$BZ,'Cronog. e Histog.'!CM:CM),"")</f>
        <v>0</v>
      </c>
      <c r="S117" s="144">
        <f>IFERROR(_xlfn.XLOOKUP($B117,'Cronog. e Histog.'!$BZ:$BZ,'Cronog. e Histog.'!CN:CN),"")</f>
        <v>0</v>
      </c>
      <c r="T117" s="144">
        <f>IFERROR(_xlfn.XLOOKUP($B117,'Cronog. e Histog.'!$BZ:$BZ,'Cronog. e Histog.'!CO:CO),"")</f>
        <v>0</v>
      </c>
      <c r="U117" s="144">
        <f>IFERROR(_xlfn.XLOOKUP($B117,'Cronog. e Histog.'!$BZ:$BZ,'Cronog. e Histog.'!CP:CP),"")</f>
        <v>0</v>
      </c>
      <c r="V117" s="144">
        <f>IFERROR(_xlfn.XLOOKUP($B117,'Cronog. e Histog.'!$BZ:$BZ,'Cronog. e Histog.'!CQ:CQ),"")</f>
        <v>0</v>
      </c>
      <c r="W117" s="144">
        <f>IFERROR(_xlfn.XLOOKUP($B117,'Cronog. e Histog.'!$BZ:$BZ,'Cronog. e Histog.'!CR:CR),"")</f>
        <v>0</v>
      </c>
      <c r="X117" s="144">
        <f>IFERROR(_xlfn.XLOOKUP($B117,'Cronog. e Histog.'!$BZ:$BZ,'Cronog. e Histog.'!CS:CS),"")</f>
        <v>0</v>
      </c>
      <c r="Y117" s="144">
        <f>IFERROR(_xlfn.XLOOKUP($B117,'Cronog. e Histog.'!$BZ:$BZ,'Cronog. e Histog.'!CT:CT),"")</f>
        <v>0</v>
      </c>
      <c r="Z117" s="144">
        <f>IFERROR(_xlfn.XLOOKUP($B117,'Cronog. e Histog.'!$BZ:$BZ,'Cronog. e Histog.'!CU:CU),"")</f>
        <v>0</v>
      </c>
      <c r="AA117" s="144">
        <f>IFERROR(_xlfn.XLOOKUP($B117,'Cronog. e Histog.'!$BZ:$BZ,'Cronog. e Histog.'!CV:CV),"")</f>
        <v>0</v>
      </c>
      <c r="AB117" s="144">
        <f>IFERROR(_xlfn.XLOOKUP($B117,'Cronog. e Histog.'!$BZ:$BZ,'Cronog. e Histog.'!CW:CW),"")</f>
        <v>0</v>
      </c>
      <c r="AC117" s="144">
        <f>IFERROR(_xlfn.XLOOKUP($B117,'Cronog. e Histog.'!$BZ:$BZ,'Cronog. e Histog.'!CX:CX),"")</f>
        <v>0</v>
      </c>
      <c r="AD117" s="144">
        <f>IFERROR(_xlfn.XLOOKUP($B117,'Cronog. e Histog.'!$BZ:$BZ,'Cronog. e Histog.'!CY:CY),"")</f>
        <v>0</v>
      </c>
      <c r="AE117" s="144">
        <f>IFERROR(_xlfn.XLOOKUP($B117,'Cronog. e Histog.'!$BZ:$BZ,'Cronog. e Histog.'!CZ:CZ),"")</f>
        <v>0</v>
      </c>
      <c r="AF117" s="144">
        <f>IFERROR(_xlfn.XLOOKUP($B117,'Cronog. e Histog.'!$BZ:$BZ,'Cronog. e Histog.'!DA:DA),"")</f>
        <v>0</v>
      </c>
      <c r="AG117" s="144">
        <f>IFERROR(_xlfn.XLOOKUP($B117,'Cronog. e Histog.'!$BZ:$BZ,'Cronog. e Histog.'!DB:DB),"")</f>
        <v>0</v>
      </c>
      <c r="AH117" s="144">
        <f>IFERROR(_xlfn.XLOOKUP($B117,'Cronog. e Histog.'!$BZ:$BZ,'Cronog. e Histog.'!DC:DC),"")</f>
        <v>0</v>
      </c>
      <c r="AI117" s="144">
        <f>IFERROR(_xlfn.XLOOKUP($B117,'Cronog. e Histog.'!$BZ:$BZ,'Cronog. e Histog.'!DD:DD),"")</f>
        <v>0</v>
      </c>
      <c r="AJ117" s="144">
        <f>IFERROR(_xlfn.XLOOKUP($B117,'Cronog. e Histog.'!$BZ:$BZ,'Cronog. e Histog.'!DE:DE),"")</f>
        <v>0</v>
      </c>
      <c r="AK117" s="144">
        <f>IFERROR(_xlfn.XLOOKUP($B117,'Cronog. e Histog.'!$BZ:$BZ,'Cronog. e Histog.'!DF:DF),"")</f>
        <v>0</v>
      </c>
      <c r="AL117" s="144">
        <f>IFERROR(_xlfn.XLOOKUP($B117,'Cronog. e Histog.'!$BZ:$BZ,'Cronog. e Histog.'!DG:DG),"")</f>
        <v>0</v>
      </c>
      <c r="AM117" s="144">
        <f>IFERROR(_xlfn.XLOOKUP($B117,'Cronog. e Histog.'!$BZ:$BZ,'Cronog. e Histog.'!DH:DH),"")</f>
        <v>0</v>
      </c>
      <c r="AN117" s="144">
        <f>IFERROR(_xlfn.XLOOKUP($B117,'Cronog. e Histog.'!$BZ:$BZ,'Cronog. e Histog.'!DI:DI),"")</f>
        <v>0</v>
      </c>
      <c r="AO117" s="144">
        <f>IFERROR(_xlfn.XLOOKUP($B117,'Cronog. e Histog.'!$BZ:$BZ,'Cronog. e Histog.'!DJ:DJ),"")</f>
        <v>0</v>
      </c>
      <c r="AP117" s="144">
        <f>IFERROR(_xlfn.XLOOKUP($B117,'Cronog. e Histog.'!$BZ:$BZ,'Cronog. e Histog.'!DK:DK),"")</f>
        <v>0</v>
      </c>
      <c r="AQ117" s="144">
        <f>IFERROR(_xlfn.XLOOKUP($B117,'Cronog. e Histog.'!$BZ:$BZ,'Cronog. e Histog.'!DL:DL),"")</f>
        <v>0</v>
      </c>
      <c r="AR117" s="144">
        <f>IFERROR(_xlfn.XLOOKUP($B117,'Cronog. e Histog.'!$BZ:$BZ,'Cronog. e Histog.'!DM:DM),"")</f>
        <v>0</v>
      </c>
      <c r="AS117" s="144">
        <f>IFERROR(_xlfn.XLOOKUP($B117,'Cronog. e Histog.'!$BZ:$BZ,'Cronog. e Histog.'!DN:DN),"")</f>
        <v>0</v>
      </c>
      <c r="AT117" s="144">
        <f>IFERROR(_xlfn.XLOOKUP($B117,'Cronog. e Histog.'!$BZ:$BZ,'Cronog. e Histog.'!DO:DO),"")</f>
        <v>0</v>
      </c>
      <c r="AU117" s="144">
        <f>IFERROR(_xlfn.XLOOKUP($B117,'Cronog. e Histog.'!$BZ:$BZ,'Cronog. e Histog.'!DP:DP),"")</f>
        <v>0</v>
      </c>
      <c r="AV117" s="144">
        <f>IFERROR(_xlfn.XLOOKUP($B117,'Cronog. e Histog.'!$BZ:$BZ,'Cronog. e Histog.'!DQ:DQ),"")</f>
        <v>0</v>
      </c>
      <c r="AW117" s="144">
        <f>IFERROR(_xlfn.XLOOKUP($B117,'Cronog. e Histog.'!$BZ:$BZ,'Cronog. e Histog.'!DR:DR),"")</f>
        <v>0</v>
      </c>
      <c r="AX117" s="144">
        <f>IFERROR(_xlfn.XLOOKUP($B117,'Cronog. e Histog.'!$BZ:$BZ,'Cronog. e Histog.'!DS:DS),"")</f>
        <v>0</v>
      </c>
      <c r="AY117" s="144">
        <f>IFERROR(_xlfn.XLOOKUP($B117,'Cronog. e Histog.'!$BZ:$BZ,'Cronog. e Histog.'!DT:DT),"")</f>
        <v>0</v>
      </c>
      <c r="AZ117" s="144">
        <f>IFERROR(_xlfn.XLOOKUP($B117,'Cronog. e Histog.'!$BZ:$BZ,'Cronog. e Histog.'!DU:DU),"")</f>
        <v>0</v>
      </c>
      <c r="BA117" s="144">
        <f>IFERROR(_xlfn.XLOOKUP($B117,'Cronog. e Histog.'!$BZ:$BZ,'Cronog. e Histog.'!DV:DV),"")</f>
        <v>0</v>
      </c>
      <c r="BB117" s="144">
        <f>IFERROR(_xlfn.XLOOKUP($B117,'Cronog. e Histog.'!$BZ:$BZ,'Cronog. e Histog.'!DW:DW),"")</f>
        <v>0</v>
      </c>
      <c r="BC117" s="144">
        <f>IFERROR(_xlfn.XLOOKUP($B117,'Cronog. e Histog.'!$BZ:$BZ,'Cronog. e Histog.'!DX:DX),"")</f>
        <v>0</v>
      </c>
      <c r="BD117" s="144">
        <f>IFERROR(_xlfn.XLOOKUP($B117,'Cronog. e Histog.'!$BZ:$BZ,'Cronog. e Histog.'!DY:DY),"")</f>
        <v>0</v>
      </c>
      <c r="BE117" s="144">
        <f>IFERROR(_xlfn.XLOOKUP($B117,'Cronog. e Histog.'!$BZ:$BZ,'Cronog. e Histog.'!DZ:DZ),"")</f>
        <v>0</v>
      </c>
      <c r="BF117" s="144">
        <f>IFERROR(_xlfn.XLOOKUP($B117,'Cronog. e Histog.'!$BZ:$BZ,'Cronog. e Histog.'!EA:EA),"")</f>
        <v>0</v>
      </c>
      <c r="BG117" s="144">
        <f>IFERROR(_xlfn.XLOOKUP($B117,'Cronog. e Histog.'!$BZ:$BZ,'Cronog. e Histog.'!EB:EB),"")</f>
        <v>0</v>
      </c>
      <c r="BH117" s="144">
        <f>IFERROR(_xlfn.XLOOKUP($B117,'Cronog. e Histog.'!$BZ:$BZ,'Cronog. e Histog.'!EC:EC),"")</f>
        <v>0</v>
      </c>
      <c r="BI117" s="144">
        <f>IFERROR(_xlfn.XLOOKUP($B117,'Cronog. e Histog.'!$BZ:$BZ,'Cronog. e Histog.'!ED:ED),"")</f>
        <v>0</v>
      </c>
      <c r="BJ117" s="144">
        <f>IFERROR(_xlfn.XLOOKUP($B117,'Cronog. e Histog.'!$BZ:$BZ,'Cronog. e Histog.'!EE:EE),"")</f>
        <v>0</v>
      </c>
      <c r="BK117" s="144">
        <f>IFERROR(_xlfn.XLOOKUP($B117,'Cronog. e Histog.'!$BZ:$BZ,'Cronog. e Histog.'!EF:EF),"")</f>
        <v>0</v>
      </c>
      <c r="BL117" s="144">
        <f>IFERROR(_xlfn.XLOOKUP($B117,'Cronog. e Histog.'!$BZ:$BZ,'Cronog. e Histog.'!EG:EG),"")</f>
        <v>0</v>
      </c>
      <c r="BM117" s="144">
        <f>IFERROR(_xlfn.XLOOKUP($B117,'Cronog. e Histog.'!$BZ:$BZ,'Cronog. e Histog.'!EH:EH),"")</f>
        <v>0</v>
      </c>
      <c r="BN117" s="144">
        <f>IFERROR(_xlfn.XLOOKUP($B117,'Cronog. e Histog.'!$BZ:$BZ,'Cronog. e Histog.'!EI:EI),"")</f>
        <v>0</v>
      </c>
    </row>
    <row r="118" spans="2:66" ht="12" hidden="1" customHeight="1" outlineLevel="1">
      <c r="B118" s="76">
        <v>112</v>
      </c>
      <c r="C118" s="143" t="str">
        <f>IFERROR(VLOOKUP(B118,'Cronog. e Histog.'!$BZ$213:$CA$747,2,0),"")</f>
        <v>AN JR. ADM/CRP</v>
      </c>
      <c r="D118" s="144">
        <f t="shared" si="2"/>
        <v>0</v>
      </c>
      <c r="E118" s="144">
        <f t="shared" si="3"/>
        <v>0</v>
      </c>
      <c r="F118" s="65"/>
      <c r="G118" s="144">
        <f>IFERROR(_xlfn.XLOOKUP($B118,'Cronog. e Histog.'!$BZ:$BZ,'Cronog. e Histog.'!CB:CB),"")</f>
        <v>0</v>
      </c>
      <c r="H118" s="144">
        <f>IFERROR(_xlfn.XLOOKUP($B118,'Cronog. e Histog.'!$BZ:$BZ,'Cronog. e Histog.'!CC:CC),"")</f>
        <v>0</v>
      </c>
      <c r="I118" s="144">
        <f>IFERROR(_xlfn.XLOOKUP($B118,'Cronog. e Histog.'!$BZ:$BZ,'Cronog. e Histog.'!CD:CD),"")</f>
        <v>0</v>
      </c>
      <c r="J118" s="144">
        <f>IFERROR(_xlfn.XLOOKUP($B118,'Cronog. e Histog.'!$BZ:$BZ,'Cronog. e Histog.'!CE:CE),"")</f>
        <v>0</v>
      </c>
      <c r="K118" s="144">
        <f>IFERROR(_xlfn.XLOOKUP($B118,'Cronog. e Histog.'!$BZ:$BZ,'Cronog. e Histog.'!CF:CF),"")</f>
        <v>0</v>
      </c>
      <c r="L118" s="144">
        <f>IFERROR(_xlfn.XLOOKUP($B118,'Cronog. e Histog.'!$BZ:$BZ,'Cronog. e Histog.'!CG:CG),"")</f>
        <v>0</v>
      </c>
      <c r="M118" s="144">
        <f>IFERROR(_xlfn.XLOOKUP($B118,'Cronog. e Histog.'!$BZ:$BZ,'Cronog. e Histog.'!CH:CH),"")</f>
        <v>0</v>
      </c>
      <c r="N118" s="144">
        <f>IFERROR(_xlfn.XLOOKUP($B118,'Cronog. e Histog.'!$BZ:$BZ,'Cronog. e Histog.'!CI:CI),"")</f>
        <v>0</v>
      </c>
      <c r="O118" s="144">
        <f>IFERROR(_xlfn.XLOOKUP($B118,'Cronog. e Histog.'!$BZ:$BZ,'Cronog. e Histog.'!CJ:CJ),"")</f>
        <v>0</v>
      </c>
      <c r="P118" s="144">
        <f>IFERROR(_xlfn.XLOOKUP($B118,'Cronog. e Histog.'!$BZ:$BZ,'Cronog. e Histog.'!CK:CK),"")</f>
        <v>0</v>
      </c>
      <c r="Q118" s="144">
        <f>IFERROR(_xlfn.XLOOKUP($B118,'Cronog. e Histog.'!$BZ:$BZ,'Cronog. e Histog.'!CL:CL),"")</f>
        <v>0</v>
      </c>
      <c r="R118" s="144">
        <f>IFERROR(_xlfn.XLOOKUP($B118,'Cronog. e Histog.'!$BZ:$BZ,'Cronog. e Histog.'!CM:CM),"")</f>
        <v>0</v>
      </c>
      <c r="S118" s="144">
        <f>IFERROR(_xlfn.XLOOKUP($B118,'Cronog. e Histog.'!$BZ:$BZ,'Cronog. e Histog.'!CN:CN),"")</f>
        <v>0</v>
      </c>
      <c r="T118" s="144">
        <f>IFERROR(_xlfn.XLOOKUP($B118,'Cronog. e Histog.'!$BZ:$BZ,'Cronog. e Histog.'!CO:CO),"")</f>
        <v>0</v>
      </c>
      <c r="U118" s="144">
        <f>IFERROR(_xlfn.XLOOKUP($B118,'Cronog. e Histog.'!$BZ:$BZ,'Cronog. e Histog.'!CP:CP),"")</f>
        <v>0</v>
      </c>
      <c r="V118" s="144">
        <f>IFERROR(_xlfn.XLOOKUP($B118,'Cronog. e Histog.'!$BZ:$BZ,'Cronog. e Histog.'!CQ:CQ),"")</f>
        <v>0</v>
      </c>
      <c r="W118" s="144">
        <f>IFERROR(_xlfn.XLOOKUP($B118,'Cronog. e Histog.'!$BZ:$BZ,'Cronog. e Histog.'!CR:CR),"")</f>
        <v>0</v>
      </c>
      <c r="X118" s="144">
        <f>IFERROR(_xlfn.XLOOKUP($B118,'Cronog. e Histog.'!$BZ:$BZ,'Cronog. e Histog.'!CS:CS),"")</f>
        <v>0</v>
      </c>
      <c r="Y118" s="144">
        <f>IFERROR(_xlfn.XLOOKUP($B118,'Cronog. e Histog.'!$BZ:$BZ,'Cronog. e Histog.'!CT:CT),"")</f>
        <v>0</v>
      </c>
      <c r="Z118" s="144">
        <f>IFERROR(_xlfn.XLOOKUP($B118,'Cronog. e Histog.'!$BZ:$BZ,'Cronog. e Histog.'!CU:CU),"")</f>
        <v>0</v>
      </c>
      <c r="AA118" s="144">
        <f>IFERROR(_xlfn.XLOOKUP($B118,'Cronog. e Histog.'!$BZ:$BZ,'Cronog. e Histog.'!CV:CV),"")</f>
        <v>0</v>
      </c>
      <c r="AB118" s="144">
        <f>IFERROR(_xlfn.XLOOKUP($B118,'Cronog. e Histog.'!$BZ:$BZ,'Cronog. e Histog.'!CW:CW),"")</f>
        <v>0</v>
      </c>
      <c r="AC118" s="144">
        <f>IFERROR(_xlfn.XLOOKUP($B118,'Cronog. e Histog.'!$BZ:$BZ,'Cronog. e Histog.'!CX:CX),"")</f>
        <v>0</v>
      </c>
      <c r="AD118" s="144">
        <f>IFERROR(_xlfn.XLOOKUP($B118,'Cronog. e Histog.'!$BZ:$BZ,'Cronog. e Histog.'!CY:CY),"")</f>
        <v>0</v>
      </c>
      <c r="AE118" s="144">
        <f>IFERROR(_xlfn.XLOOKUP($B118,'Cronog. e Histog.'!$BZ:$BZ,'Cronog. e Histog.'!CZ:CZ),"")</f>
        <v>0</v>
      </c>
      <c r="AF118" s="144">
        <f>IFERROR(_xlfn.XLOOKUP($B118,'Cronog. e Histog.'!$BZ:$BZ,'Cronog. e Histog.'!DA:DA),"")</f>
        <v>0</v>
      </c>
      <c r="AG118" s="144">
        <f>IFERROR(_xlfn.XLOOKUP($B118,'Cronog. e Histog.'!$BZ:$BZ,'Cronog. e Histog.'!DB:DB),"")</f>
        <v>0</v>
      </c>
      <c r="AH118" s="144">
        <f>IFERROR(_xlfn.XLOOKUP($B118,'Cronog. e Histog.'!$BZ:$BZ,'Cronog. e Histog.'!DC:DC),"")</f>
        <v>0</v>
      </c>
      <c r="AI118" s="144">
        <f>IFERROR(_xlfn.XLOOKUP($B118,'Cronog. e Histog.'!$BZ:$BZ,'Cronog. e Histog.'!DD:DD),"")</f>
        <v>0</v>
      </c>
      <c r="AJ118" s="144">
        <f>IFERROR(_xlfn.XLOOKUP($B118,'Cronog. e Histog.'!$BZ:$BZ,'Cronog. e Histog.'!DE:DE),"")</f>
        <v>0</v>
      </c>
      <c r="AK118" s="144">
        <f>IFERROR(_xlfn.XLOOKUP($B118,'Cronog. e Histog.'!$BZ:$BZ,'Cronog. e Histog.'!DF:DF),"")</f>
        <v>0</v>
      </c>
      <c r="AL118" s="144">
        <f>IFERROR(_xlfn.XLOOKUP($B118,'Cronog. e Histog.'!$BZ:$BZ,'Cronog. e Histog.'!DG:DG),"")</f>
        <v>0</v>
      </c>
      <c r="AM118" s="144">
        <f>IFERROR(_xlfn.XLOOKUP($B118,'Cronog. e Histog.'!$BZ:$BZ,'Cronog. e Histog.'!DH:DH),"")</f>
        <v>0</v>
      </c>
      <c r="AN118" s="144">
        <f>IFERROR(_xlfn.XLOOKUP($B118,'Cronog. e Histog.'!$BZ:$BZ,'Cronog. e Histog.'!DI:DI),"")</f>
        <v>0</v>
      </c>
      <c r="AO118" s="144">
        <f>IFERROR(_xlfn.XLOOKUP($B118,'Cronog. e Histog.'!$BZ:$BZ,'Cronog. e Histog.'!DJ:DJ),"")</f>
        <v>0</v>
      </c>
      <c r="AP118" s="144">
        <f>IFERROR(_xlfn.XLOOKUP($B118,'Cronog. e Histog.'!$BZ:$BZ,'Cronog. e Histog.'!DK:DK),"")</f>
        <v>0</v>
      </c>
      <c r="AQ118" s="144">
        <f>IFERROR(_xlfn.XLOOKUP($B118,'Cronog. e Histog.'!$BZ:$BZ,'Cronog. e Histog.'!DL:DL),"")</f>
        <v>0</v>
      </c>
      <c r="AR118" s="144">
        <f>IFERROR(_xlfn.XLOOKUP($B118,'Cronog. e Histog.'!$BZ:$BZ,'Cronog. e Histog.'!DM:DM),"")</f>
        <v>0</v>
      </c>
      <c r="AS118" s="144">
        <f>IFERROR(_xlfn.XLOOKUP($B118,'Cronog. e Histog.'!$BZ:$BZ,'Cronog. e Histog.'!DN:DN),"")</f>
        <v>0</v>
      </c>
      <c r="AT118" s="144">
        <f>IFERROR(_xlfn.XLOOKUP($B118,'Cronog. e Histog.'!$BZ:$BZ,'Cronog. e Histog.'!DO:DO),"")</f>
        <v>0</v>
      </c>
      <c r="AU118" s="144">
        <f>IFERROR(_xlfn.XLOOKUP($B118,'Cronog. e Histog.'!$BZ:$BZ,'Cronog. e Histog.'!DP:DP),"")</f>
        <v>0</v>
      </c>
      <c r="AV118" s="144">
        <f>IFERROR(_xlfn.XLOOKUP($B118,'Cronog. e Histog.'!$BZ:$BZ,'Cronog. e Histog.'!DQ:DQ),"")</f>
        <v>0</v>
      </c>
      <c r="AW118" s="144">
        <f>IFERROR(_xlfn.XLOOKUP($B118,'Cronog. e Histog.'!$BZ:$BZ,'Cronog. e Histog.'!DR:DR),"")</f>
        <v>0</v>
      </c>
      <c r="AX118" s="144">
        <f>IFERROR(_xlfn.XLOOKUP($B118,'Cronog. e Histog.'!$BZ:$BZ,'Cronog. e Histog.'!DS:DS),"")</f>
        <v>0</v>
      </c>
      <c r="AY118" s="144">
        <f>IFERROR(_xlfn.XLOOKUP($B118,'Cronog. e Histog.'!$BZ:$BZ,'Cronog. e Histog.'!DT:DT),"")</f>
        <v>0</v>
      </c>
      <c r="AZ118" s="144">
        <f>IFERROR(_xlfn.XLOOKUP($B118,'Cronog. e Histog.'!$BZ:$BZ,'Cronog. e Histog.'!DU:DU),"")</f>
        <v>0</v>
      </c>
      <c r="BA118" s="144">
        <f>IFERROR(_xlfn.XLOOKUP($B118,'Cronog. e Histog.'!$BZ:$BZ,'Cronog. e Histog.'!DV:DV),"")</f>
        <v>0</v>
      </c>
      <c r="BB118" s="144">
        <f>IFERROR(_xlfn.XLOOKUP($B118,'Cronog. e Histog.'!$BZ:$BZ,'Cronog. e Histog.'!DW:DW),"")</f>
        <v>0</v>
      </c>
      <c r="BC118" s="144">
        <f>IFERROR(_xlfn.XLOOKUP($B118,'Cronog. e Histog.'!$BZ:$BZ,'Cronog. e Histog.'!DX:DX),"")</f>
        <v>0</v>
      </c>
      <c r="BD118" s="144">
        <f>IFERROR(_xlfn.XLOOKUP($B118,'Cronog. e Histog.'!$BZ:$BZ,'Cronog. e Histog.'!DY:DY),"")</f>
        <v>0</v>
      </c>
      <c r="BE118" s="144">
        <f>IFERROR(_xlfn.XLOOKUP($B118,'Cronog. e Histog.'!$BZ:$BZ,'Cronog. e Histog.'!DZ:DZ),"")</f>
        <v>0</v>
      </c>
      <c r="BF118" s="144">
        <f>IFERROR(_xlfn.XLOOKUP($B118,'Cronog. e Histog.'!$BZ:$BZ,'Cronog. e Histog.'!EA:EA),"")</f>
        <v>0</v>
      </c>
      <c r="BG118" s="144">
        <f>IFERROR(_xlfn.XLOOKUP($B118,'Cronog. e Histog.'!$BZ:$BZ,'Cronog. e Histog.'!EB:EB),"")</f>
        <v>0</v>
      </c>
      <c r="BH118" s="144">
        <f>IFERROR(_xlfn.XLOOKUP($B118,'Cronog. e Histog.'!$BZ:$BZ,'Cronog. e Histog.'!EC:EC),"")</f>
        <v>0</v>
      </c>
      <c r="BI118" s="144">
        <f>IFERROR(_xlfn.XLOOKUP($B118,'Cronog. e Histog.'!$BZ:$BZ,'Cronog. e Histog.'!ED:ED),"")</f>
        <v>0</v>
      </c>
      <c r="BJ118" s="144">
        <f>IFERROR(_xlfn.XLOOKUP($B118,'Cronog. e Histog.'!$BZ:$BZ,'Cronog. e Histog.'!EE:EE),"")</f>
        <v>0</v>
      </c>
      <c r="BK118" s="144">
        <f>IFERROR(_xlfn.XLOOKUP($B118,'Cronog. e Histog.'!$BZ:$BZ,'Cronog. e Histog.'!EF:EF),"")</f>
        <v>0</v>
      </c>
      <c r="BL118" s="144">
        <f>IFERROR(_xlfn.XLOOKUP($B118,'Cronog. e Histog.'!$BZ:$BZ,'Cronog. e Histog.'!EG:EG),"")</f>
        <v>0</v>
      </c>
      <c r="BM118" s="144">
        <f>IFERROR(_xlfn.XLOOKUP($B118,'Cronog. e Histog.'!$BZ:$BZ,'Cronog. e Histog.'!EH:EH),"")</f>
        <v>0</v>
      </c>
      <c r="BN118" s="144">
        <f>IFERROR(_xlfn.XLOOKUP($B118,'Cronog. e Histog.'!$BZ:$BZ,'Cronog. e Histog.'!EI:EI),"")</f>
        <v>0</v>
      </c>
    </row>
    <row r="119" spans="2:66" ht="12" hidden="1" customHeight="1" outlineLevel="1">
      <c r="B119" s="76">
        <v>113</v>
      </c>
      <c r="C119" s="143" t="str">
        <f>IFERROR(VLOOKUP(B119,'Cronog. e Histog.'!$BZ$213:$CA$747,2,0),"")</f>
        <v>TEC III</v>
      </c>
      <c r="D119" s="144">
        <f t="shared" si="2"/>
        <v>1</v>
      </c>
      <c r="E119" s="144">
        <f t="shared" si="3"/>
        <v>10</v>
      </c>
      <c r="F119" s="65"/>
      <c r="G119" s="144">
        <f>IFERROR(_xlfn.XLOOKUP($B119,'Cronog. e Histog.'!$BZ:$BZ,'Cronog. e Histog.'!CB:CB),"")</f>
        <v>1</v>
      </c>
      <c r="H119" s="144">
        <f>IFERROR(_xlfn.XLOOKUP($B119,'Cronog. e Histog.'!$BZ:$BZ,'Cronog. e Histog.'!CC:CC),"")</f>
        <v>1</v>
      </c>
      <c r="I119" s="144">
        <f>IFERROR(_xlfn.XLOOKUP($B119,'Cronog. e Histog.'!$BZ:$BZ,'Cronog. e Histog.'!CD:CD),"")</f>
        <v>1</v>
      </c>
      <c r="J119" s="144">
        <f>IFERROR(_xlfn.XLOOKUP($B119,'Cronog. e Histog.'!$BZ:$BZ,'Cronog. e Histog.'!CE:CE),"")</f>
        <v>1</v>
      </c>
      <c r="K119" s="144">
        <f>IFERROR(_xlfn.XLOOKUP($B119,'Cronog. e Histog.'!$BZ:$BZ,'Cronog. e Histog.'!CF:CF),"")</f>
        <v>1</v>
      </c>
      <c r="L119" s="144">
        <f>IFERROR(_xlfn.XLOOKUP($B119,'Cronog. e Histog.'!$BZ:$BZ,'Cronog. e Histog.'!CG:CG),"")</f>
        <v>1</v>
      </c>
      <c r="M119" s="144">
        <f>IFERROR(_xlfn.XLOOKUP($B119,'Cronog. e Histog.'!$BZ:$BZ,'Cronog. e Histog.'!CH:CH),"")</f>
        <v>1</v>
      </c>
      <c r="N119" s="144">
        <f>IFERROR(_xlfn.XLOOKUP($B119,'Cronog. e Histog.'!$BZ:$BZ,'Cronog. e Histog.'!CI:CI),"")</f>
        <v>1</v>
      </c>
      <c r="O119" s="144">
        <f>IFERROR(_xlfn.XLOOKUP($B119,'Cronog. e Histog.'!$BZ:$BZ,'Cronog. e Histog.'!CJ:CJ),"")</f>
        <v>1</v>
      </c>
      <c r="P119" s="144">
        <f>IFERROR(_xlfn.XLOOKUP($B119,'Cronog. e Histog.'!$BZ:$BZ,'Cronog. e Histog.'!CK:CK),"")</f>
        <v>1</v>
      </c>
      <c r="Q119" s="144">
        <f>IFERROR(_xlfn.XLOOKUP($B119,'Cronog. e Histog.'!$BZ:$BZ,'Cronog. e Histog.'!CL:CL),"")</f>
        <v>0</v>
      </c>
      <c r="R119" s="144">
        <f>IFERROR(_xlfn.XLOOKUP($B119,'Cronog. e Histog.'!$BZ:$BZ,'Cronog. e Histog.'!CM:CM),"")</f>
        <v>0</v>
      </c>
      <c r="S119" s="144">
        <f>IFERROR(_xlfn.XLOOKUP($B119,'Cronog. e Histog.'!$BZ:$BZ,'Cronog. e Histog.'!CN:CN),"")</f>
        <v>0</v>
      </c>
      <c r="T119" s="144">
        <f>IFERROR(_xlfn.XLOOKUP($B119,'Cronog. e Histog.'!$BZ:$BZ,'Cronog. e Histog.'!CO:CO),"")</f>
        <v>0</v>
      </c>
      <c r="U119" s="144">
        <f>IFERROR(_xlfn.XLOOKUP($B119,'Cronog. e Histog.'!$BZ:$BZ,'Cronog. e Histog.'!CP:CP),"")</f>
        <v>0</v>
      </c>
      <c r="V119" s="144">
        <f>IFERROR(_xlfn.XLOOKUP($B119,'Cronog. e Histog.'!$BZ:$BZ,'Cronog. e Histog.'!CQ:CQ),"")</f>
        <v>0</v>
      </c>
      <c r="W119" s="144">
        <f>IFERROR(_xlfn.XLOOKUP($B119,'Cronog. e Histog.'!$BZ:$BZ,'Cronog. e Histog.'!CR:CR),"")</f>
        <v>0</v>
      </c>
      <c r="X119" s="144">
        <f>IFERROR(_xlfn.XLOOKUP($B119,'Cronog. e Histog.'!$BZ:$BZ,'Cronog. e Histog.'!CS:CS),"")</f>
        <v>0</v>
      </c>
      <c r="Y119" s="144">
        <f>IFERROR(_xlfn.XLOOKUP($B119,'Cronog. e Histog.'!$BZ:$BZ,'Cronog. e Histog.'!CT:CT),"")</f>
        <v>0</v>
      </c>
      <c r="Z119" s="144">
        <f>IFERROR(_xlfn.XLOOKUP($B119,'Cronog. e Histog.'!$BZ:$BZ,'Cronog. e Histog.'!CU:CU),"")</f>
        <v>0</v>
      </c>
      <c r="AA119" s="144">
        <f>IFERROR(_xlfn.XLOOKUP($B119,'Cronog. e Histog.'!$BZ:$BZ,'Cronog. e Histog.'!CV:CV),"")</f>
        <v>0</v>
      </c>
      <c r="AB119" s="144">
        <f>IFERROR(_xlfn.XLOOKUP($B119,'Cronog. e Histog.'!$BZ:$BZ,'Cronog. e Histog.'!CW:CW),"")</f>
        <v>0</v>
      </c>
      <c r="AC119" s="144">
        <f>IFERROR(_xlfn.XLOOKUP($B119,'Cronog. e Histog.'!$BZ:$BZ,'Cronog. e Histog.'!CX:CX),"")</f>
        <v>0</v>
      </c>
      <c r="AD119" s="144">
        <f>IFERROR(_xlfn.XLOOKUP($B119,'Cronog. e Histog.'!$BZ:$BZ,'Cronog. e Histog.'!CY:CY),"")</f>
        <v>0</v>
      </c>
      <c r="AE119" s="144">
        <f>IFERROR(_xlfn.XLOOKUP($B119,'Cronog. e Histog.'!$BZ:$BZ,'Cronog. e Histog.'!CZ:CZ),"")</f>
        <v>0</v>
      </c>
      <c r="AF119" s="144">
        <f>IFERROR(_xlfn.XLOOKUP($B119,'Cronog. e Histog.'!$BZ:$BZ,'Cronog. e Histog.'!DA:DA),"")</f>
        <v>0</v>
      </c>
      <c r="AG119" s="144">
        <f>IFERROR(_xlfn.XLOOKUP($B119,'Cronog. e Histog.'!$BZ:$BZ,'Cronog. e Histog.'!DB:DB),"")</f>
        <v>0</v>
      </c>
      <c r="AH119" s="144">
        <f>IFERROR(_xlfn.XLOOKUP($B119,'Cronog. e Histog.'!$BZ:$BZ,'Cronog. e Histog.'!DC:DC),"")</f>
        <v>0</v>
      </c>
      <c r="AI119" s="144">
        <f>IFERROR(_xlfn.XLOOKUP($B119,'Cronog. e Histog.'!$BZ:$BZ,'Cronog. e Histog.'!DD:DD),"")</f>
        <v>0</v>
      </c>
      <c r="AJ119" s="144">
        <f>IFERROR(_xlfn.XLOOKUP($B119,'Cronog. e Histog.'!$BZ:$BZ,'Cronog. e Histog.'!DE:DE),"")</f>
        <v>0</v>
      </c>
      <c r="AK119" s="144">
        <f>IFERROR(_xlfn.XLOOKUP($B119,'Cronog. e Histog.'!$BZ:$BZ,'Cronog. e Histog.'!DF:DF),"")</f>
        <v>0</v>
      </c>
      <c r="AL119" s="144">
        <f>IFERROR(_xlfn.XLOOKUP($B119,'Cronog. e Histog.'!$BZ:$BZ,'Cronog. e Histog.'!DG:DG),"")</f>
        <v>0</v>
      </c>
      <c r="AM119" s="144">
        <f>IFERROR(_xlfn.XLOOKUP($B119,'Cronog. e Histog.'!$BZ:$BZ,'Cronog. e Histog.'!DH:DH),"")</f>
        <v>0</v>
      </c>
      <c r="AN119" s="144">
        <f>IFERROR(_xlfn.XLOOKUP($B119,'Cronog. e Histog.'!$BZ:$BZ,'Cronog. e Histog.'!DI:DI),"")</f>
        <v>0</v>
      </c>
      <c r="AO119" s="144">
        <f>IFERROR(_xlfn.XLOOKUP($B119,'Cronog. e Histog.'!$BZ:$BZ,'Cronog. e Histog.'!DJ:DJ),"")</f>
        <v>0</v>
      </c>
      <c r="AP119" s="144">
        <f>IFERROR(_xlfn.XLOOKUP($B119,'Cronog. e Histog.'!$BZ:$BZ,'Cronog. e Histog.'!DK:DK),"")</f>
        <v>0</v>
      </c>
      <c r="AQ119" s="144">
        <f>IFERROR(_xlfn.XLOOKUP($B119,'Cronog. e Histog.'!$BZ:$BZ,'Cronog. e Histog.'!DL:DL),"")</f>
        <v>0</v>
      </c>
      <c r="AR119" s="144">
        <f>IFERROR(_xlfn.XLOOKUP($B119,'Cronog. e Histog.'!$BZ:$BZ,'Cronog. e Histog.'!DM:DM),"")</f>
        <v>0</v>
      </c>
      <c r="AS119" s="144">
        <f>IFERROR(_xlfn.XLOOKUP($B119,'Cronog. e Histog.'!$BZ:$BZ,'Cronog. e Histog.'!DN:DN),"")</f>
        <v>0</v>
      </c>
      <c r="AT119" s="144">
        <f>IFERROR(_xlfn.XLOOKUP($B119,'Cronog. e Histog.'!$BZ:$BZ,'Cronog. e Histog.'!DO:DO),"")</f>
        <v>0</v>
      </c>
      <c r="AU119" s="144">
        <f>IFERROR(_xlfn.XLOOKUP($B119,'Cronog. e Histog.'!$BZ:$BZ,'Cronog. e Histog.'!DP:DP),"")</f>
        <v>0</v>
      </c>
      <c r="AV119" s="144">
        <f>IFERROR(_xlfn.XLOOKUP($B119,'Cronog. e Histog.'!$BZ:$BZ,'Cronog. e Histog.'!DQ:DQ),"")</f>
        <v>0</v>
      </c>
      <c r="AW119" s="144">
        <f>IFERROR(_xlfn.XLOOKUP($B119,'Cronog. e Histog.'!$BZ:$BZ,'Cronog. e Histog.'!DR:DR),"")</f>
        <v>0</v>
      </c>
      <c r="AX119" s="144">
        <f>IFERROR(_xlfn.XLOOKUP($B119,'Cronog. e Histog.'!$BZ:$BZ,'Cronog. e Histog.'!DS:DS),"")</f>
        <v>0</v>
      </c>
      <c r="AY119" s="144">
        <f>IFERROR(_xlfn.XLOOKUP($B119,'Cronog. e Histog.'!$BZ:$BZ,'Cronog. e Histog.'!DT:DT),"")</f>
        <v>0</v>
      </c>
      <c r="AZ119" s="144">
        <f>IFERROR(_xlfn.XLOOKUP($B119,'Cronog. e Histog.'!$BZ:$BZ,'Cronog. e Histog.'!DU:DU),"")</f>
        <v>0</v>
      </c>
      <c r="BA119" s="144">
        <f>IFERROR(_xlfn.XLOOKUP($B119,'Cronog. e Histog.'!$BZ:$BZ,'Cronog. e Histog.'!DV:DV),"")</f>
        <v>0</v>
      </c>
      <c r="BB119" s="144">
        <f>IFERROR(_xlfn.XLOOKUP($B119,'Cronog. e Histog.'!$BZ:$BZ,'Cronog. e Histog.'!DW:DW),"")</f>
        <v>0</v>
      </c>
      <c r="BC119" s="144">
        <f>IFERROR(_xlfn.XLOOKUP($B119,'Cronog. e Histog.'!$BZ:$BZ,'Cronog. e Histog.'!DX:DX),"")</f>
        <v>0</v>
      </c>
      <c r="BD119" s="144">
        <f>IFERROR(_xlfn.XLOOKUP($B119,'Cronog. e Histog.'!$BZ:$BZ,'Cronog. e Histog.'!DY:DY),"")</f>
        <v>0</v>
      </c>
      <c r="BE119" s="144">
        <f>IFERROR(_xlfn.XLOOKUP($B119,'Cronog. e Histog.'!$BZ:$BZ,'Cronog. e Histog.'!DZ:DZ),"")</f>
        <v>0</v>
      </c>
      <c r="BF119" s="144">
        <f>IFERROR(_xlfn.XLOOKUP($B119,'Cronog. e Histog.'!$BZ:$BZ,'Cronog. e Histog.'!EA:EA),"")</f>
        <v>0</v>
      </c>
      <c r="BG119" s="144">
        <f>IFERROR(_xlfn.XLOOKUP($B119,'Cronog. e Histog.'!$BZ:$BZ,'Cronog. e Histog.'!EB:EB),"")</f>
        <v>0</v>
      </c>
      <c r="BH119" s="144">
        <f>IFERROR(_xlfn.XLOOKUP($B119,'Cronog. e Histog.'!$BZ:$BZ,'Cronog. e Histog.'!EC:EC),"")</f>
        <v>0</v>
      </c>
      <c r="BI119" s="144">
        <f>IFERROR(_xlfn.XLOOKUP($B119,'Cronog. e Histog.'!$BZ:$BZ,'Cronog. e Histog.'!ED:ED),"")</f>
        <v>0</v>
      </c>
      <c r="BJ119" s="144">
        <f>IFERROR(_xlfn.XLOOKUP($B119,'Cronog. e Histog.'!$BZ:$BZ,'Cronog. e Histog.'!EE:EE),"")</f>
        <v>0</v>
      </c>
      <c r="BK119" s="144">
        <f>IFERROR(_xlfn.XLOOKUP($B119,'Cronog. e Histog.'!$BZ:$BZ,'Cronog. e Histog.'!EF:EF),"")</f>
        <v>0</v>
      </c>
      <c r="BL119" s="144">
        <f>IFERROR(_xlfn.XLOOKUP($B119,'Cronog. e Histog.'!$BZ:$BZ,'Cronog. e Histog.'!EG:EG),"")</f>
        <v>0</v>
      </c>
      <c r="BM119" s="144">
        <f>IFERROR(_xlfn.XLOOKUP($B119,'Cronog. e Histog.'!$BZ:$BZ,'Cronog. e Histog.'!EH:EH),"")</f>
        <v>0</v>
      </c>
      <c r="BN119" s="144">
        <f>IFERROR(_xlfn.XLOOKUP($B119,'Cronog. e Histog.'!$BZ:$BZ,'Cronog. e Histog.'!EI:EI),"")</f>
        <v>0</v>
      </c>
    </row>
    <row r="120" spans="2:66" ht="12" hidden="1" customHeight="1" outlineLevel="1">
      <c r="B120" s="76">
        <v>114</v>
      </c>
      <c r="C120" s="143" t="str">
        <f>IFERROR(VLOOKUP(B120,'Cronog. e Histog.'!$BZ$213:$CA$747,2,0),"")</f>
        <v>TEC II</v>
      </c>
      <c r="D120" s="144">
        <f t="shared" si="2"/>
        <v>0</v>
      </c>
      <c r="E120" s="144">
        <f t="shared" si="3"/>
        <v>0</v>
      </c>
      <c r="F120" s="65"/>
      <c r="G120" s="144">
        <f>IFERROR(_xlfn.XLOOKUP($B120,'Cronog. e Histog.'!$BZ:$BZ,'Cronog. e Histog.'!CB:CB),"")</f>
        <v>0</v>
      </c>
      <c r="H120" s="144">
        <f>IFERROR(_xlfn.XLOOKUP($B120,'Cronog. e Histog.'!$BZ:$BZ,'Cronog. e Histog.'!CC:CC),"")</f>
        <v>0</v>
      </c>
      <c r="I120" s="144">
        <f>IFERROR(_xlfn.XLOOKUP($B120,'Cronog. e Histog.'!$BZ:$BZ,'Cronog. e Histog.'!CD:CD),"")</f>
        <v>0</v>
      </c>
      <c r="J120" s="144">
        <f>IFERROR(_xlfn.XLOOKUP($B120,'Cronog. e Histog.'!$BZ:$BZ,'Cronog. e Histog.'!CE:CE),"")</f>
        <v>0</v>
      </c>
      <c r="K120" s="144">
        <f>IFERROR(_xlfn.XLOOKUP($B120,'Cronog. e Histog.'!$BZ:$BZ,'Cronog. e Histog.'!CF:CF),"")</f>
        <v>0</v>
      </c>
      <c r="L120" s="144">
        <f>IFERROR(_xlfn.XLOOKUP($B120,'Cronog. e Histog.'!$BZ:$BZ,'Cronog. e Histog.'!CG:CG),"")</f>
        <v>0</v>
      </c>
      <c r="M120" s="144">
        <f>IFERROR(_xlfn.XLOOKUP($B120,'Cronog. e Histog.'!$BZ:$BZ,'Cronog. e Histog.'!CH:CH),"")</f>
        <v>0</v>
      </c>
      <c r="N120" s="144">
        <f>IFERROR(_xlfn.XLOOKUP($B120,'Cronog. e Histog.'!$BZ:$BZ,'Cronog. e Histog.'!CI:CI),"")</f>
        <v>0</v>
      </c>
      <c r="O120" s="144">
        <f>IFERROR(_xlfn.XLOOKUP($B120,'Cronog. e Histog.'!$BZ:$BZ,'Cronog. e Histog.'!CJ:CJ),"")</f>
        <v>0</v>
      </c>
      <c r="P120" s="144">
        <f>IFERROR(_xlfn.XLOOKUP($B120,'Cronog. e Histog.'!$BZ:$BZ,'Cronog. e Histog.'!CK:CK),"")</f>
        <v>0</v>
      </c>
      <c r="Q120" s="144">
        <f>IFERROR(_xlfn.XLOOKUP($B120,'Cronog. e Histog.'!$BZ:$BZ,'Cronog. e Histog.'!CL:CL),"")</f>
        <v>0</v>
      </c>
      <c r="R120" s="144">
        <f>IFERROR(_xlfn.XLOOKUP($B120,'Cronog. e Histog.'!$BZ:$BZ,'Cronog. e Histog.'!CM:CM),"")</f>
        <v>0</v>
      </c>
      <c r="S120" s="144">
        <f>IFERROR(_xlfn.XLOOKUP($B120,'Cronog. e Histog.'!$BZ:$BZ,'Cronog. e Histog.'!CN:CN),"")</f>
        <v>0</v>
      </c>
      <c r="T120" s="144">
        <f>IFERROR(_xlfn.XLOOKUP($B120,'Cronog. e Histog.'!$BZ:$BZ,'Cronog. e Histog.'!CO:CO),"")</f>
        <v>0</v>
      </c>
      <c r="U120" s="144">
        <f>IFERROR(_xlfn.XLOOKUP($B120,'Cronog. e Histog.'!$BZ:$BZ,'Cronog. e Histog.'!CP:CP),"")</f>
        <v>0</v>
      </c>
      <c r="V120" s="144">
        <f>IFERROR(_xlfn.XLOOKUP($B120,'Cronog. e Histog.'!$BZ:$BZ,'Cronog. e Histog.'!CQ:CQ),"")</f>
        <v>0</v>
      </c>
      <c r="W120" s="144">
        <f>IFERROR(_xlfn.XLOOKUP($B120,'Cronog. e Histog.'!$BZ:$BZ,'Cronog. e Histog.'!CR:CR),"")</f>
        <v>0</v>
      </c>
      <c r="X120" s="144">
        <f>IFERROR(_xlfn.XLOOKUP($B120,'Cronog. e Histog.'!$BZ:$BZ,'Cronog. e Histog.'!CS:CS),"")</f>
        <v>0</v>
      </c>
      <c r="Y120" s="144">
        <f>IFERROR(_xlfn.XLOOKUP($B120,'Cronog. e Histog.'!$BZ:$BZ,'Cronog. e Histog.'!CT:CT),"")</f>
        <v>0</v>
      </c>
      <c r="Z120" s="144">
        <f>IFERROR(_xlfn.XLOOKUP($B120,'Cronog. e Histog.'!$BZ:$BZ,'Cronog. e Histog.'!CU:CU),"")</f>
        <v>0</v>
      </c>
      <c r="AA120" s="144">
        <f>IFERROR(_xlfn.XLOOKUP($B120,'Cronog. e Histog.'!$BZ:$BZ,'Cronog. e Histog.'!CV:CV),"")</f>
        <v>0</v>
      </c>
      <c r="AB120" s="144">
        <f>IFERROR(_xlfn.XLOOKUP($B120,'Cronog. e Histog.'!$BZ:$BZ,'Cronog. e Histog.'!CW:CW),"")</f>
        <v>0</v>
      </c>
      <c r="AC120" s="144">
        <f>IFERROR(_xlfn.XLOOKUP($B120,'Cronog. e Histog.'!$BZ:$BZ,'Cronog. e Histog.'!CX:CX),"")</f>
        <v>0</v>
      </c>
      <c r="AD120" s="144">
        <f>IFERROR(_xlfn.XLOOKUP($B120,'Cronog. e Histog.'!$BZ:$BZ,'Cronog. e Histog.'!CY:CY),"")</f>
        <v>0</v>
      </c>
      <c r="AE120" s="144">
        <f>IFERROR(_xlfn.XLOOKUP($B120,'Cronog. e Histog.'!$BZ:$BZ,'Cronog. e Histog.'!CZ:CZ),"")</f>
        <v>0</v>
      </c>
      <c r="AF120" s="144">
        <f>IFERROR(_xlfn.XLOOKUP($B120,'Cronog. e Histog.'!$BZ:$BZ,'Cronog. e Histog.'!DA:DA),"")</f>
        <v>0</v>
      </c>
      <c r="AG120" s="144">
        <f>IFERROR(_xlfn.XLOOKUP($B120,'Cronog. e Histog.'!$BZ:$BZ,'Cronog. e Histog.'!DB:DB),"")</f>
        <v>0</v>
      </c>
      <c r="AH120" s="144">
        <f>IFERROR(_xlfn.XLOOKUP($B120,'Cronog. e Histog.'!$BZ:$BZ,'Cronog. e Histog.'!DC:DC),"")</f>
        <v>0</v>
      </c>
      <c r="AI120" s="144">
        <f>IFERROR(_xlfn.XLOOKUP($B120,'Cronog. e Histog.'!$BZ:$BZ,'Cronog. e Histog.'!DD:DD),"")</f>
        <v>0</v>
      </c>
      <c r="AJ120" s="144">
        <f>IFERROR(_xlfn.XLOOKUP($B120,'Cronog. e Histog.'!$BZ:$BZ,'Cronog. e Histog.'!DE:DE),"")</f>
        <v>0</v>
      </c>
      <c r="AK120" s="144">
        <f>IFERROR(_xlfn.XLOOKUP($B120,'Cronog. e Histog.'!$BZ:$BZ,'Cronog. e Histog.'!DF:DF),"")</f>
        <v>0</v>
      </c>
      <c r="AL120" s="144">
        <f>IFERROR(_xlfn.XLOOKUP($B120,'Cronog. e Histog.'!$BZ:$BZ,'Cronog. e Histog.'!DG:DG),"")</f>
        <v>0</v>
      </c>
      <c r="AM120" s="144">
        <f>IFERROR(_xlfn.XLOOKUP($B120,'Cronog. e Histog.'!$BZ:$BZ,'Cronog. e Histog.'!DH:DH),"")</f>
        <v>0</v>
      </c>
      <c r="AN120" s="144">
        <f>IFERROR(_xlfn.XLOOKUP($B120,'Cronog. e Histog.'!$BZ:$BZ,'Cronog. e Histog.'!DI:DI),"")</f>
        <v>0</v>
      </c>
      <c r="AO120" s="144">
        <f>IFERROR(_xlfn.XLOOKUP($B120,'Cronog. e Histog.'!$BZ:$BZ,'Cronog. e Histog.'!DJ:DJ),"")</f>
        <v>0</v>
      </c>
      <c r="AP120" s="144">
        <f>IFERROR(_xlfn.XLOOKUP($B120,'Cronog. e Histog.'!$BZ:$BZ,'Cronog. e Histog.'!DK:DK),"")</f>
        <v>0</v>
      </c>
      <c r="AQ120" s="144">
        <f>IFERROR(_xlfn.XLOOKUP($B120,'Cronog. e Histog.'!$BZ:$BZ,'Cronog. e Histog.'!DL:DL),"")</f>
        <v>0</v>
      </c>
      <c r="AR120" s="144">
        <f>IFERROR(_xlfn.XLOOKUP($B120,'Cronog. e Histog.'!$BZ:$BZ,'Cronog. e Histog.'!DM:DM),"")</f>
        <v>0</v>
      </c>
      <c r="AS120" s="144">
        <f>IFERROR(_xlfn.XLOOKUP($B120,'Cronog. e Histog.'!$BZ:$BZ,'Cronog. e Histog.'!DN:DN),"")</f>
        <v>0</v>
      </c>
      <c r="AT120" s="144">
        <f>IFERROR(_xlfn.XLOOKUP($B120,'Cronog. e Histog.'!$BZ:$BZ,'Cronog. e Histog.'!DO:DO),"")</f>
        <v>0</v>
      </c>
      <c r="AU120" s="144">
        <f>IFERROR(_xlfn.XLOOKUP($B120,'Cronog. e Histog.'!$BZ:$BZ,'Cronog. e Histog.'!DP:DP),"")</f>
        <v>0</v>
      </c>
      <c r="AV120" s="144">
        <f>IFERROR(_xlfn.XLOOKUP($B120,'Cronog. e Histog.'!$BZ:$BZ,'Cronog. e Histog.'!DQ:DQ),"")</f>
        <v>0</v>
      </c>
      <c r="AW120" s="144">
        <f>IFERROR(_xlfn.XLOOKUP($B120,'Cronog. e Histog.'!$BZ:$BZ,'Cronog. e Histog.'!DR:DR),"")</f>
        <v>0</v>
      </c>
      <c r="AX120" s="144">
        <f>IFERROR(_xlfn.XLOOKUP($B120,'Cronog. e Histog.'!$BZ:$BZ,'Cronog. e Histog.'!DS:DS),"")</f>
        <v>0</v>
      </c>
      <c r="AY120" s="144">
        <f>IFERROR(_xlfn.XLOOKUP($B120,'Cronog. e Histog.'!$BZ:$BZ,'Cronog. e Histog.'!DT:DT),"")</f>
        <v>0</v>
      </c>
      <c r="AZ120" s="144">
        <f>IFERROR(_xlfn.XLOOKUP($B120,'Cronog. e Histog.'!$BZ:$BZ,'Cronog. e Histog.'!DU:DU),"")</f>
        <v>0</v>
      </c>
      <c r="BA120" s="144">
        <f>IFERROR(_xlfn.XLOOKUP($B120,'Cronog. e Histog.'!$BZ:$BZ,'Cronog. e Histog.'!DV:DV),"")</f>
        <v>0</v>
      </c>
      <c r="BB120" s="144">
        <f>IFERROR(_xlfn.XLOOKUP($B120,'Cronog. e Histog.'!$BZ:$BZ,'Cronog. e Histog.'!DW:DW),"")</f>
        <v>0</v>
      </c>
      <c r="BC120" s="144">
        <f>IFERROR(_xlfn.XLOOKUP($B120,'Cronog. e Histog.'!$BZ:$BZ,'Cronog. e Histog.'!DX:DX),"")</f>
        <v>0</v>
      </c>
      <c r="BD120" s="144">
        <f>IFERROR(_xlfn.XLOOKUP($B120,'Cronog. e Histog.'!$BZ:$BZ,'Cronog. e Histog.'!DY:DY),"")</f>
        <v>0</v>
      </c>
      <c r="BE120" s="144">
        <f>IFERROR(_xlfn.XLOOKUP($B120,'Cronog. e Histog.'!$BZ:$BZ,'Cronog. e Histog.'!DZ:DZ),"")</f>
        <v>0</v>
      </c>
      <c r="BF120" s="144">
        <f>IFERROR(_xlfn.XLOOKUP($B120,'Cronog. e Histog.'!$BZ:$BZ,'Cronog. e Histog.'!EA:EA),"")</f>
        <v>0</v>
      </c>
      <c r="BG120" s="144">
        <f>IFERROR(_xlfn.XLOOKUP($B120,'Cronog. e Histog.'!$BZ:$BZ,'Cronog. e Histog.'!EB:EB),"")</f>
        <v>0</v>
      </c>
      <c r="BH120" s="144">
        <f>IFERROR(_xlfn.XLOOKUP($B120,'Cronog. e Histog.'!$BZ:$BZ,'Cronog. e Histog.'!EC:EC),"")</f>
        <v>0</v>
      </c>
      <c r="BI120" s="144">
        <f>IFERROR(_xlfn.XLOOKUP($B120,'Cronog. e Histog.'!$BZ:$BZ,'Cronog. e Histog.'!ED:ED),"")</f>
        <v>0</v>
      </c>
      <c r="BJ120" s="144">
        <f>IFERROR(_xlfn.XLOOKUP($B120,'Cronog. e Histog.'!$BZ:$BZ,'Cronog. e Histog.'!EE:EE),"")</f>
        <v>0</v>
      </c>
      <c r="BK120" s="144">
        <f>IFERROR(_xlfn.XLOOKUP($B120,'Cronog. e Histog.'!$BZ:$BZ,'Cronog. e Histog.'!EF:EF),"")</f>
        <v>0</v>
      </c>
      <c r="BL120" s="144">
        <f>IFERROR(_xlfn.XLOOKUP($B120,'Cronog. e Histog.'!$BZ:$BZ,'Cronog. e Histog.'!EG:EG),"")</f>
        <v>0</v>
      </c>
      <c r="BM120" s="144">
        <f>IFERROR(_xlfn.XLOOKUP($B120,'Cronog. e Histog.'!$BZ:$BZ,'Cronog. e Histog.'!EH:EH),"")</f>
        <v>0</v>
      </c>
      <c r="BN120" s="144">
        <f>IFERROR(_xlfn.XLOOKUP($B120,'Cronog. e Histog.'!$BZ:$BZ,'Cronog. e Histog.'!EI:EI),"")</f>
        <v>0</v>
      </c>
    </row>
    <row r="121" spans="2:66" ht="12" hidden="1" customHeight="1" outlineLevel="1">
      <c r="B121" s="76">
        <v>115</v>
      </c>
      <c r="C121" s="143" t="str">
        <f>IFERROR(VLOOKUP(B121,'Cronog. e Histog.'!$BZ$213:$CA$747,2,0),"")</f>
        <v>TEC I</v>
      </c>
      <c r="D121" s="144">
        <f t="shared" si="2"/>
        <v>0</v>
      </c>
      <c r="E121" s="144">
        <f t="shared" si="3"/>
        <v>0</v>
      </c>
      <c r="F121" s="65"/>
      <c r="G121" s="144">
        <f>IFERROR(_xlfn.XLOOKUP($B121,'Cronog. e Histog.'!$BZ:$BZ,'Cronog. e Histog.'!CB:CB),"")</f>
        <v>0</v>
      </c>
      <c r="H121" s="144">
        <f>IFERROR(_xlfn.XLOOKUP($B121,'Cronog. e Histog.'!$BZ:$BZ,'Cronog. e Histog.'!CC:CC),"")</f>
        <v>0</v>
      </c>
      <c r="I121" s="144">
        <f>IFERROR(_xlfn.XLOOKUP($B121,'Cronog. e Histog.'!$BZ:$BZ,'Cronog. e Histog.'!CD:CD),"")</f>
        <v>0</v>
      </c>
      <c r="J121" s="144">
        <f>IFERROR(_xlfn.XLOOKUP($B121,'Cronog. e Histog.'!$BZ:$BZ,'Cronog. e Histog.'!CE:CE),"")</f>
        <v>0</v>
      </c>
      <c r="K121" s="144">
        <f>IFERROR(_xlfn.XLOOKUP($B121,'Cronog. e Histog.'!$BZ:$BZ,'Cronog. e Histog.'!CF:CF),"")</f>
        <v>0</v>
      </c>
      <c r="L121" s="144">
        <f>IFERROR(_xlfn.XLOOKUP($B121,'Cronog. e Histog.'!$BZ:$BZ,'Cronog. e Histog.'!CG:CG),"")</f>
        <v>0</v>
      </c>
      <c r="M121" s="144">
        <f>IFERROR(_xlfn.XLOOKUP($B121,'Cronog. e Histog.'!$BZ:$BZ,'Cronog. e Histog.'!CH:CH),"")</f>
        <v>0</v>
      </c>
      <c r="N121" s="144">
        <f>IFERROR(_xlfn.XLOOKUP($B121,'Cronog. e Histog.'!$BZ:$BZ,'Cronog. e Histog.'!CI:CI),"")</f>
        <v>0</v>
      </c>
      <c r="O121" s="144">
        <f>IFERROR(_xlfn.XLOOKUP($B121,'Cronog. e Histog.'!$BZ:$BZ,'Cronog. e Histog.'!CJ:CJ),"")</f>
        <v>0</v>
      </c>
      <c r="P121" s="144">
        <f>IFERROR(_xlfn.XLOOKUP($B121,'Cronog. e Histog.'!$BZ:$BZ,'Cronog. e Histog.'!CK:CK),"")</f>
        <v>0</v>
      </c>
      <c r="Q121" s="144">
        <f>IFERROR(_xlfn.XLOOKUP($B121,'Cronog. e Histog.'!$BZ:$BZ,'Cronog. e Histog.'!CL:CL),"")</f>
        <v>0</v>
      </c>
      <c r="R121" s="144">
        <f>IFERROR(_xlfn.XLOOKUP($B121,'Cronog. e Histog.'!$BZ:$BZ,'Cronog. e Histog.'!CM:CM),"")</f>
        <v>0</v>
      </c>
      <c r="S121" s="144">
        <f>IFERROR(_xlfn.XLOOKUP($B121,'Cronog. e Histog.'!$BZ:$BZ,'Cronog. e Histog.'!CN:CN),"")</f>
        <v>0</v>
      </c>
      <c r="T121" s="144">
        <f>IFERROR(_xlfn.XLOOKUP($B121,'Cronog. e Histog.'!$BZ:$BZ,'Cronog. e Histog.'!CO:CO),"")</f>
        <v>0</v>
      </c>
      <c r="U121" s="144">
        <f>IFERROR(_xlfn.XLOOKUP($B121,'Cronog. e Histog.'!$BZ:$BZ,'Cronog. e Histog.'!CP:CP),"")</f>
        <v>0</v>
      </c>
      <c r="V121" s="144">
        <f>IFERROR(_xlfn.XLOOKUP($B121,'Cronog. e Histog.'!$BZ:$BZ,'Cronog. e Histog.'!CQ:CQ),"")</f>
        <v>0</v>
      </c>
      <c r="W121" s="144">
        <f>IFERROR(_xlfn.XLOOKUP($B121,'Cronog. e Histog.'!$BZ:$BZ,'Cronog. e Histog.'!CR:CR),"")</f>
        <v>0</v>
      </c>
      <c r="X121" s="144">
        <f>IFERROR(_xlfn.XLOOKUP($B121,'Cronog. e Histog.'!$BZ:$BZ,'Cronog. e Histog.'!CS:CS),"")</f>
        <v>0</v>
      </c>
      <c r="Y121" s="144">
        <f>IFERROR(_xlfn.XLOOKUP($B121,'Cronog. e Histog.'!$BZ:$BZ,'Cronog. e Histog.'!CT:CT),"")</f>
        <v>0</v>
      </c>
      <c r="Z121" s="144">
        <f>IFERROR(_xlfn.XLOOKUP($B121,'Cronog. e Histog.'!$BZ:$BZ,'Cronog. e Histog.'!CU:CU),"")</f>
        <v>0</v>
      </c>
      <c r="AA121" s="144">
        <f>IFERROR(_xlfn.XLOOKUP($B121,'Cronog. e Histog.'!$BZ:$BZ,'Cronog. e Histog.'!CV:CV),"")</f>
        <v>0</v>
      </c>
      <c r="AB121" s="144">
        <f>IFERROR(_xlfn.XLOOKUP($B121,'Cronog. e Histog.'!$BZ:$BZ,'Cronog. e Histog.'!CW:CW),"")</f>
        <v>0</v>
      </c>
      <c r="AC121" s="144">
        <f>IFERROR(_xlfn.XLOOKUP($B121,'Cronog. e Histog.'!$BZ:$BZ,'Cronog. e Histog.'!CX:CX),"")</f>
        <v>0</v>
      </c>
      <c r="AD121" s="144">
        <f>IFERROR(_xlfn.XLOOKUP($B121,'Cronog. e Histog.'!$BZ:$BZ,'Cronog. e Histog.'!CY:CY),"")</f>
        <v>0</v>
      </c>
      <c r="AE121" s="144">
        <f>IFERROR(_xlfn.XLOOKUP($B121,'Cronog. e Histog.'!$BZ:$BZ,'Cronog. e Histog.'!CZ:CZ),"")</f>
        <v>0</v>
      </c>
      <c r="AF121" s="144">
        <f>IFERROR(_xlfn.XLOOKUP($B121,'Cronog. e Histog.'!$BZ:$BZ,'Cronog. e Histog.'!DA:DA),"")</f>
        <v>0</v>
      </c>
      <c r="AG121" s="144">
        <f>IFERROR(_xlfn.XLOOKUP($B121,'Cronog. e Histog.'!$BZ:$BZ,'Cronog. e Histog.'!DB:DB),"")</f>
        <v>0</v>
      </c>
      <c r="AH121" s="144">
        <f>IFERROR(_xlfn.XLOOKUP($B121,'Cronog. e Histog.'!$BZ:$BZ,'Cronog. e Histog.'!DC:DC),"")</f>
        <v>0</v>
      </c>
      <c r="AI121" s="144">
        <f>IFERROR(_xlfn.XLOOKUP($B121,'Cronog. e Histog.'!$BZ:$BZ,'Cronog. e Histog.'!DD:DD),"")</f>
        <v>0</v>
      </c>
      <c r="AJ121" s="144">
        <f>IFERROR(_xlfn.XLOOKUP($B121,'Cronog. e Histog.'!$BZ:$BZ,'Cronog. e Histog.'!DE:DE),"")</f>
        <v>0</v>
      </c>
      <c r="AK121" s="144">
        <f>IFERROR(_xlfn.XLOOKUP($B121,'Cronog. e Histog.'!$BZ:$BZ,'Cronog. e Histog.'!DF:DF),"")</f>
        <v>0</v>
      </c>
      <c r="AL121" s="144">
        <f>IFERROR(_xlfn.XLOOKUP($B121,'Cronog. e Histog.'!$BZ:$BZ,'Cronog. e Histog.'!DG:DG),"")</f>
        <v>0</v>
      </c>
      <c r="AM121" s="144">
        <f>IFERROR(_xlfn.XLOOKUP($B121,'Cronog. e Histog.'!$BZ:$BZ,'Cronog. e Histog.'!DH:DH),"")</f>
        <v>0</v>
      </c>
      <c r="AN121" s="144">
        <f>IFERROR(_xlfn.XLOOKUP($B121,'Cronog. e Histog.'!$BZ:$BZ,'Cronog. e Histog.'!DI:DI),"")</f>
        <v>0</v>
      </c>
      <c r="AO121" s="144">
        <f>IFERROR(_xlfn.XLOOKUP($B121,'Cronog. e Histog.'!$BZ:$BZ,'Cronog. e Histog.'!DJ:DJ),"")</f>
        <v>0</v>
      </c>
      <c r="AP121" s="144">
        <f>IFERROR(_xlfn.XLOOKUP($B121,'Cronog. e Histog.'!$BZ:$BZ,'Cronog. e Histog.'!DK:DK),"")</f>
        <v>0</v>
      </c>
      <c r="AQ121" s="144">
        <f>IFERROR(_xlfn.XLOOKUP($B121,'Cronog. e Histog.'!$BZ:$BZ,'Cronog. e Histog.'!DL:DL),"")</f>
        <v>0</v>
      </c>
      <c r="AR121" s="144">
        <f>IFERROR(_xlfn.XLOOKUP($B121,'Cronog. e Histog.'!$BZ:$BZ,'Cronog. e Histog.'!DM:DM),"")</f>
        <v>0</v>
      </c>
      <c r="AS121" s="144">
        <f>IFERROR(_xlfn.XLOOKUP($B121,'Cronog. e Histog.'!$BZ:$BZ,'Cronog. e Histog.'!DN:DN),"")</f>
        <v>0</v>
      </c>
      <c r="AT121" s="144">
        <f>IFERROR(_xlfn.XLOOKUP($B121,'Cronog. e Histog.'!$BZ:$BZ,'Cronog. e Histog.'!DO:DO),"")</f>
        <v>0</v>
      </c>
      <c r="AU121" s="144">
        <f>IFERROR(_xlfn.XLOOKUP($B121,'Cronog. e Histog.'!$BZ:$BZ,'Cronog. e Histog.'!DP:DP),"")</f>
        <v>0</v>
      </c>
      <c r="AV121" s="144">
        <f>IFERROR(_xlfn.XLOOKUP($B121,'Cronog. e Histog.'!$BZ:$BZ,'Cronog. e Histog.'!DQ:DQ),"")</f>
        <v>0</v>
      </c>
      <c r="AW121" s="144">
        <f>IFERROR(_xlfn.XLOOKUP($B121,'Cronog. e Histog.'!$BZ:$BZ,'Cronog. e Histog.'!DR:DR),"")</f>
        <v>0</v>
      </c>
      <c r="AX121" s="144">
        <f>IFERROR(_xlfn.XLOOKUP($B121,'Cronog. e Histog.'!$BZ:$BZ,'Cronog. e Histog.'!DS:DS),"")</f>
        <v>0</v>
      </c>
      <c r="AY121" s="144">
        <f>IFERROR(_xlfn.XLOOKUP($B121,'Cronog. e Histog.'!$BZ:$BZ,'Cronog. e Histog.'!DT:DT),"")</f>
        <v>0</v>
      </c>
      <c r="AZ121" s="144">
        <f>IFERROR(_xlfn.XLOOKUP($B121,'Cronog. e Histog.'!$BZ:$BZ,'Cronog. e Histog.'!DU:DU),"")</f>
        <v>0</v>
      </c>
      <c r="BA121" s="144">
        <f>IFERROR(_xlfn.XLOOKUP($B121,'Cronog. e Histog.'!$BZ:$BZ,'Cronog. e Histog.'!DV:DV),"")</f>
        <v>0</v>
      </c>
      <c r="BB121" s="144">
        <f>IFERROR(_xlfn.XLOOKUP($B121,'Cronog. e Histog.'!$BZ:$BZ,'Cronog. e Histog.'!DW:DW),"")</f>
        <v>0</v>
      </c>
      <c r="BC121" s="144">
        <f>IFERROR(_xlfn.XLOOKUP($B121,'Cronog. e Histog.'!$BZ:$BZ,'Cronog. e Histog.'!DX:DX),"")</f>
        <v>0</v>
      </c>
      <c r="BD121" s="144">
        <f>IFERROR(_xlfn.XLOOKUP($B121,'Cronog. e Histog.'!$BZ:$BZ,'Cronog. e Histog.'!DY:DY),"")</f>
        <v>0</v>
      </c>
      <c r="BE121" s="144">
        <f>IFERROR(_xlfn.XLOOKUP($B121,'Cronog. e Histog.'!$BZ:$BZ,'Cronog. e Histog.'!DZ:DZ),"")</f>
        <v>0</v>
      </c>
      <c r="BF121" s="144">
        <f>IFERROR(_xlfn.XLOOKUP($B121,'Cronog. e Histog.'!$BZ:$BZ,'Cronog. e Histog.'!EA:EA),"")</f>
        <v>0</v>
      </c>
      <c r="BG121" s="144">
        <f>IFERROR(_xlfn.XLOOKUP($B121,'Cronog. e Histog.'!$BZ:$BZ,'Cronog. e Histog.'!EB:EB),"")</f>
        <v>0</v>
      </c>
      <c r="BH121" s="144">
        <f>IFERROR(_xlfn.XLOOKUP($B121,'Cronog. e Histog.'!$BZ:$BZ,'Cronog. e Histog.'!EC:EC),"")</f>
        <v>0</v>
      </c>
      <c r="BI121" s="144">
        <f>IFERROR(_xlfn.XLOOKUP($B121,'Cronog. e Histog.'!$BZ:$BZ,'Cronog. e Histog.'!ED:ED),"")</f>
        <v>0</v>
      </c>
      <c r="BJ121" s="144">
        <f>IFERROR(_xlfn.XLOOKUP($B121,'Cronog. e Histog.'!$BZ:$BZ,'Cronog. e Histog.'!EE:EE),"")</f>
        <v>0</v>
      </c>
      <c r="BK121" s="144">
        <f>IFERROR(_xlfn.XLOOKUP($B121,'Cronog. e Histog.'!$BZ:$BZ,'Cronog. e Histog.'!EF:EF),"")</f>
        <v>0</v>
      </c>
      <c r="BL121" s="144">
        <f>IFERROR(_xlfn.XLOOKUP($B121,'Cronog. e Histog.'!$BZ:$BZ,'Cronog. e Histog.'!EG:EG),"")</f>
        <v>0</v>
      </c>
      <c r="BM121" s="144">
        <f>IFERROR(_xlfn.XLOOKUP($B121,'Cronog. e Histog.'!$BZ:$BZ,'Cronog. e Histog.'!EH:EH),"")</f>
        <v>0</v>
      </c>
      <c r="BN121" s="144">
        <f>IFERROR(_xlfn.XLOOKUP($B121,'Cronog. e Histog.'!$BZ:$BZ,'Cronog. e Histog.'!EI:EI),"")</f>
        <v>0</v>
      </c>
    </row>
    <row r="122" spans="2:66" ht="12" hidden="1" customHeight="1" outlineLevel="1">
      <c r="B122" s="76">
        <v>116</v>
      </c>
      <c r="C122" s="143" t="str">
        <f>IFERROR(VLOOKUP(B122,'Cronog. e Histog.'!$BZ$213:$CA$747,2,0),"")</f>
        <v>AUX TEC</v>
      </c>
      <c r="D122" s="144">
        <f t="shared" si="2"/>
        <v>0</v>
      </c>
      <c r="E122" s="144">
        <f t="shared" si="3"/>
        <v>0</v>
      </c>
      <c r="F122" s="65"/>
      <c r="G122" s="144">
        <f>IFERROR(_xlfn.XLOOKUP($B122,'Cronog. e Histog.'!$BZ:$BZ,'Cronog. e Histog.'!CB:CB),"")</f>
        <v>0</v>
      </c>
      <c r="H122" s="144">
        <f>IFERROR(_xlfn.XLOOKUP($B122,'Cronog. e Histog.'!$BZ:$BZ,'Cronog. e Histog.'!CC:CC),"")</f>
        <v>0</v>
      </c>
      <c r="I122" s="144">
        <f>IFERROR(_xlfn.XLOOKUP($B122,'Cronog. e Histog.'!$BZ:$BZ,'Cronog. e Histog.'!CD:CD),"")</f>
        <v>0</v>
      </c>
      <c r="J122" s="144">
        <f>IFERROR(_xlfn.XLOOKUP($B122,'Cronog. e Histog.'!$BZ:$BZ,'Cronog. e Histog.'!CE:CE),"")</f>
        <v>0</v>
      </c>
      <c r="K122" s="144">
        <f>IFERROR(_xlfn.XLOOKUP($B122,'Cronog. e Histog.'!$BZ:$BZ,'Cronog. e Histog.'!CF:CF),"")</f>
        <v>0</v>
      </c>
      <c r="L122" s="144">
        <f>IFERROR(_xlfn.XLOOKUP($B122,'Cronog. e Histog.'!$BZ:$BZ,'Cronog. e Histog.'!CG:CG),"")</f>
        <v>0</v>
      </c>
      <c r="M122" s="144">
        <f>IFERROR(_xlfn.XLOOKUP($B122,'Cronog. e Histog.'!$BZ:$BZ,'Cronog. e Histog.'!CH:CH),"")</f>
        <v>0</v>
      </c>
      <c r="N122" s="144">
        <f>IFERROR(_xlfn.XLOOKUP($B122,'Cronog. e Histog.'!$BZ:$BZ,'Cronog. e Histog.'!CI:CI),"")</f>
        <v>0</v>
      </c>
      <c r="O122" s="144">
        <f>IFERROR(_xlfn.XLOOKUP($B122,'Cronog. e Histog.'!$BZ:$BZ,'Cronog. e Histog.'!CJ:CJ),"")</f>
        <v>0</v>
      </c>
      <c r="P122" s="144">
        <f>IFERROR(_xlfn.XLOOKUP($B122,'Cronog. e Histog.'!$BZ:$BZ,'Cronog. e Histog.'!CK:CK),"")</f>
        <v>0</v>
      </c>
      <c r="Q122" s="144">
        <f>IFERROR(_xlfn.XLOOKUP($B122,'Cronog. e Histog.'!$BZ:$BZ,'Cronog. e Histog.'!CL:CL),"")</f>
        <v>0</v>
      </c>
      <c r="R122" s="144">
        <f>IFERROR(_xlfn.XLOOKUP($B122,'Cronog. e Histog.'!$BZ:$BZ,'Cronog. e Histog.'!CM:CM),"")</f>
        <v>0</v>
      </c>
      <c r="S122" s="144">
        <f>IFERROR(_xlfn.XLOOKUP($B122,'Cronog. e Histog.'!$BZ:$BZ,'Cronog. e Histog.'!CN:CN),"")</f>
        <v>0</v>
      </c>
      <c r="T122" s="144">
        <f>IFERROR(_xlfn.XLOOKUP($B122,'Cronog. e Histog.'!$BZ:$BZ,'Cronog. e Histog.'!CO:CO),"")</f>
        <v>0</v>
      </c>
      <c r="U122" s="144">
        <f>IFERROR(_xlfn.XLOOKUP($B122,'Cronog. e Histog.'!$BZ:$BZ,'Cronog. e Histog.'!CP:CP),"")</f>
        <v>0</v>
      </c>
      <c r="V122" s="144">
        <f>IFERROR(_xlfn.XLOOKUP($B122,'Cronog. e Histog.'!$BZ:$BZ,'Cronog. e Histog.'!CQ:CQ),"")</f>
        <v>0</v>
      </c>
      <c r="W122" s="144">
        <f>IFERROR(_xlfn.XLOOKUP($B122,'Cronog. e Histog.'!$BZ:$BZ,'Cronog. e Histog.'!CR:CR),"")</f>
        <v>0</v>
      </c>
      <c r="X122" s="144">
        <f>IFERROR(_xlfn.XLOOKUP($B122,'Cronog. e Histog.'!$BZ:$BZ,'Cronog. e Histog.'!CS:CS),"")</f>
        <v>0</v>
      </c>
      <c r="Y122" s="144">
        <f>IFERROR(_xlfn.XLOOKUP($B122,'Cronog. e Histog.'!$BZ:$BZ,'Cronog. e Histog.'!CT:CT),"")</f>
        <v>0</v>
      </c>
      <c r="Z122" s="144">
        <f>IFERROR(_xlfn.XLOOKUP($B122,'Cronog. e Histog.'!$BZ:$BZ,'Cronog. e Histog.'!CU:CU),"")</f>
        <v>0</v>
      </c>
      <c r="AA122" s="144">
        <f>IFERROR(_xlfn.XLOOKUP($B122,'Cronog. e Histog.'!$BZ:$BZ,'Cronog. e Histog.'!CV:CV),"")</f>
        <v>0</v>
      </c>
      <c r="AB122" s="144">
        <f>IFERROR(_xlfn.XLOOKUP($B122,'Cronog. e Histog.'!$BZ:$BZ,'Cronog. e Histog.'!CW:CW),"")</f>
        <v>0</v>
      </c>
      <c r="AC122" s="144">
        <f>IFERROR(_xlfn.XLOOKUP($B122,'Cronog. e Histog.'!$BZ:$BZ,'Cronog. e Histog.'!CX:CX),"")</f>
        <v>0</v>
      </c>
      <c r="AD122" s="144">
        <f>IFERROR(_xlfn.XLOOKUP($B122,'Cronog. e Histog.'!$BZ:$BZ,'Cronog. e Histog.'!CY:CY),"")</f>
        <v>0</v>
      </c>
      <c r="AE122" s="144">
        <f>IFERROR(_xlfn.XLOOKUP($B122,'Cronog. e Histog.'!$BZ:$BZ,'Cronog. e Histog.'!CZ:CZ),"")</f>
        <v>0</v>
      </c>
      <c r="AF122" s="144">
        <f>IFERROR(_xlfn.XLOOKUP($B122,'Cronog. e Histog.'!$BZ:$BZ,'Cronog. e Histog.'!DA:DA),"")</f>
        <v>0</v>
      </c>
      <c r="AG122" s="144">
        <f>IFERROR(_xlfn.XLOOKUP($B122,'Cronog. e Histog.'!$BZ:$BZ,'Cronog. e Histog.'!DB:DB),"")</f>
        <v>0</v>
      </c>
      <c r="AH122" s="144">
        <f>IFERROR(_xlfn.XLOOKUP($B122,'Cronog. e Histog.'!$BZ:$BZ,'Cronog. e Histog.'!DC:DC),"")</f>
        <v>0</v>
      </c>
      <c r="AI122" s="144">
        <f>IFERROR(_xlfn.XLOOKUP($B122,'Cronog. e Histog.'!$BZ:$BZ,'Cronog. e Histog.'!DD:DD),"")</f>
        <v>0</v>
      </c>
      <c r="AJ122" s="144">
        <f>IFERROR(_xlfn.XLOOKUP($B122,'Cronog. e Histog.'!$BZ:$BZ,'Cronog. e Histog.'!DE:DE),"")</f>
        <v>0</v>
      </c>
      <c r="AK122" s="144">
        <f>IFERROR(_xlfn.XLOOKUP($B122,'Cronog. e Histog.'!$BZ:$BZ,'Cronog. e Histog.'!DF:DF),"")</f>
        <v>0</v>
      </c>
      <c r="AL122" s="144">
        <f>IFERROR(_xlfn.XLOOKUP($B122,'Cronog. e Histog.'!$BZ:$BZ,'Cronog. e Histog.'!DG:DG),"")</f>
        <v>0</v>
      </c>
      <c r="AM122" s="144">
        <f>IFERROR(_xlfn.XLOOKUP($B122,'Cronog. e Histog.'!$BZ:$BZ,'Cronog. e Histog.'!DH:DH),"")</f>
        <v>0</v>
      </c>
      <c r="AN122" s="144">
        <f>IFERROR(_xlfn.XLOOKUP($B122,'Cronog. e Histog.'!$BZ:$BZ,'Cronog. e Histog.'!DI:DI),"")</f>
        <v>0</v>
      </c>
      <c r="AO122" s="144">
        <f>IFERROR(_xlfn.XLOOKUP($B122,'Cronog. e Histog.'!$BZ:$BZ,'Cronog. e Histog.'!DJ:DJ),"")</f>
        <v>0</v>
      </c>
      <c r="AP122" s="144">
        <f>IFERROR(_xlfn.XLOOKUP($B122,'Cronog. e Histog.'!$BZ:$BZ,'Cronog. e Histog.'!DK:DK),"")</f>
        <v>0</v>
      </c>
      <c r="AQ122" s="144">
        <f>IFERROR(_xlfn.XLOOKUP($B122,'Cronog. e Histog.'!$BZ:$BZ,'Cronog. e Histog.'!DL:DL),"")</f>
        <v>0</v>
      </c>
      <c r="AR122" s="144">
        <f>IFERROR(_xlfn.XLOOKUP($B122,'Cronog. e Histog.'!$BZ:$BZ,'Cronog. e Histog.'!DM:DM),"")</f>
        <v>0</v>
      </c>
      <c r="AS122" s="144">
        <f>IFERROR(_xlfn.XLOOKUP($B122,'Cronog. e Histog.'!$BZ:$BZ,'Cronog. e Histog.'!DN:DN),"")</f>
        <v>0</v>
      </c>
      <c r="AT122" s="144">
        <f>IFERROR(_xlfn.XLOOKUP($B122,'Cronog. e Histog.'!$BZ:$BZ,'Cronog. e Histog.'!DO:DO),"")</f>
        <v>0</v>
      </c>
      <c r="AU122" s="144">
        <f>IFERROR(_xlfn.XLOOKUP($B122,'Cronog. e Histog.'!$BZ:$BZ,'Cronog. e Histog.'!DP:DP),"")</f>
        <v>0</v>
      </c>
      <c r="AV122" s="144">
        <f>IFERROR(_xlfn.XLOOKUP($B122,'Cronog. e Histog.'!$BZ:$BZ,'Cronog. e Histog.'!DQ:DQ),"")</f>
        <v>0</v>
      </c>
      <c r="AW122" s="144">
        <f>IFERROR(_xlfn.XLOOKUP($B122,'Cronog. e Histog.'!$BZ:$BZ,'Cronog. e Histog.'!DR:DR),"")</f>
        <v>0</v>
      </c>
      <c r="AX122" s="144">
        <f>IFERROR(_xlfn.XLOOKUP($B122,'Cronog. e Histog.'!$BZ:$BZ,'Cronog. e Histog.'!DS:DS),"")</f>
        <v>0</v>
      </c>
      <c r="AY122" s="144">
        <f>IFERROR(_xlfn.XLOOKUP($B122,'Cronog. e Histog.'!$BZ:$BZ,'Cronog. e Histog.'!DT:DT),"")</f>
        <v>0</v>
      </c>
      <c r="AZ122" s="144">
        <f>IFERROR(_xlfn.XLOOKUP($B122,'Cronog. e Histog.'!$BZ:$BZ,'Cronog. e Histog.'!DU:DU),"")</f>
        <v>0</v>
      </c>
      <c r="BA122" s="144">
        <f>IFERROR(_xlfn.XLOOKUP($B122,'Cronog. e Histog.'!$BZ:$BZ,'Cronog. e Histog.'!DV:DV),"")</f>
        <v>0</v>
      </c>
      <c r="BB122" s="144">
        <f>IFERROR(_xlfn.XLOOKUP($B122,'Cronog. e Histog.'!$BZ:$BZ,'Cronog. e Histog.'!DW:DW),"")</f>
        <v>0</v>
      </c>
      <c r="BC122" s="144">
        <f>IFERROR(_xlfn.XLOOKUP($B122,'Cronog. e Histog.'!$BZ:$BZ,'Cronog. e Histog.'!DX:DX),"")</f>
        <v>0</v>
      </c>
      <c r="BD122" s="144">
        <f>IFERROR(_xlfn.XLOOKUP($B122,'Cronog. e Histog.'!$BZ:$BZ,'Cronog. e Histog.'!DY:DY),"")</f>
        <v>0</v>
      </c>
      <c r="BE122" s="144">
        <f>IFERROR(_xlfn.XLOOKUP($B122,'Cronog. e Histog.'!$BZ:$BZ,'Cronog. e Histog.'!DZ:DZ),"")</f>
        <v>0</v>
      </c>
      <c r="BF122" s="144">
        <f>IFERROR(_xlfn.XLOOKUP($B122,'Cronog. e Histog.'!$BZ:$BZ,'Cronog. e Histog.'!EA:EA),"")</f>
        <v>0</v>
      </c>
      <c r="BG122" s="144">
        <f>IFERROR(_xlfn.XLOOKUP($B122,'Cronog. e Histog.'!$BZ:$BZ,'Cronog. e Histog.'!EB:EB),"")</f>
        <v>0</v>
      </c>
      <c r="BH122" s="144">
        <f>IFERROR(_xlfn.XLOOKUP($B122,'Cronog. e Histog.'!$BZ:$BZ,'Cronog. e Histog.'!EC:EC),"")</f>
        <v>0</v>
      </c>
      <c r="BI122" s="144">
        <f>IFERROR(_xlfn.XLOOKUP($B122,'Cronog. e Histog.'!$BZ:$BZ,'Cronog. e Histog.'!ED:ED),"")</f>
        <v>0</v>
      </c>
      <c r="BJ122" s="144">
        <f>IFERROR(_xlfn.XLOOKUP($B122,'Cronog. e Histog.'!$BZ:$BZ,'Cronog. e Histog.'!EE:EE),"")</f>
        <v>0</v>
      </c>
      <c r="BK122" s="144">
        <f>IFERROR(_xlfn.XLOOKUP($B122,'Cronog. e Histog.'!$BZ:$BZ,'Cronog. e Histog.'!EF:EF),"")</f>
        <v>0</v>
      </c>
      <c r="BL122" s="144">
        <f>IFERROR(_xlfn.XLOOKUP($B122,'Cronog. e Histog.'!$BZ:$BZ,'Cronog. e Histog.'!EG:EG),"")</f>
        <v>0</v>
      </c>
      <c r="BM122" s="144">
        <f>IFERROR(_xlfn.XLOOKUP($B122,'Cronog. e Histog.'!$BZ:$BZ,'Cronog. e Histog.'!EH:EH),"")</f>
        <v>0</v>
      </c>
      <c r="BN122" s="144">
        <f>IFERROR(_xlfn.XLOOKUP($B122,'Cronog. e Histog.'!$BZ:$BZ,'Cronog. e Histog.'!EI:EI),"")</f>
        <v>0</v>
      </c>
    </row>
    <row r="123" spans="2:66" ht="12" hidden="1" customHeight="1" outlineLevel="1">
      <c r="B123" s="76">
        <v>117</v>
      </c>
      <c r="C123" s="143" t="str">
        <f>IFERROR(VLOOKUP(B123,'Cronog. e Histog.'!$BZ$213:$CA$747,2,0),"")</f>
        <v>AUX ADM</v>
      </c>
      <c r="D123" s="144">
        <f t="shared" si="2"/>
        <v>0</v>
      </c>
      <c r="E123" s="144">
        <f t="shared" si="3"/>
        <v>0</v>
      </c>
      <c r="F123" s="65"/>
      <c r="G123" s="144">
        <f>IFERROR(_xlfn.XLOOKUP($B123,'Cronog. e Histog.'!$BZ:$BZ,'Cronog. e Histog.'!CB:CB),"")</f>
        <v>0</v>
      </c>
      <c r="H123" s="144">
        <f>IFERROR(_xlfn.XLOOKUP($B123,'Cronog. e Histog.'!$BZ:$BZ,'Cronog. e Histog.'!CC:CC),"")</f>
        <v>0</v>
      </c>
      <c r="I123" s="144">
        <f>IFERROR(_xlfn.XLOOKUP($B123,'Cronog. e Histog.'!$BZ:$BZ,'Cronog. e Histog.'!CD:CD),"")</f>
        <v>0</v>
      </c>
      <c r="J123" s="144">
        <f>IFERROR(_xlfn.XLOOKUP($B123,'Cronog. e Histog.'!$BZ:$BZ,'Cronog. e Histog.'!CE:CE),"")</f>
        <v>0</v>
      </c>
      <c r="K123" s="144">
        <f>IFERROR(_xlfn.XLOOKUP($B123,'Cronog. e Histog.'!$BZ:$BZ,'Cronog. e Histog.'!CF:CF),"")</f>
        <v>0</v>
      </c>
      <c r="L123" s="144">
        <f>IFERROR(_xlfn.XLOOKUP($B123,'Cronog. e Histog.'!$BZ:$BZ,'Cronog. e Histog.'!CG:CG),"")</f>
        <v>0</v>
      </c>
      <c r="M123" s="144">
        <f>IFERROR(_xlfn.XLOOKUP($B123,'Cronog. e Histog.'!$BZ:$BZ,'Cronog. e Histog.'!CH:CH),"")</f>
        <v>0</v>
      </c>
      <c r="N123" s="144">
        <f>IFERROR(_xlfn.XLOOKUP($B123,'Cronog. e Histog.'!$BZ:$BZ,'Cronog. e Histog.'!CI:CI),"")</f>
        <v>0</v>
      </c>
      <c r="O123" s="144">
        <f>IFERROR(_xlfn.XLOOKUP($B123,'Cronog. e Histog.'!$BZ:$BZ,'Cronog. e Histog.'!CJ:CJ),"")</f>
        <v>0</v>
      </c>
      <c r="P123" s="144">
        <f>IFERROR(_xlfn.XLOOKUP($B123,'Cronog. e Histog.'!$BZ:$BZ,'Cronog. e Histog.'!CK:CK),"")</f>
        <v>0</v>
      </c>
      <c r="Q123" s="144">
        <f>IFERROR(_xlfn.XLOOKUP($B123,'Cronog. e Histog.'!$BZ:$BZ,'Cronog. e Histog.'!CL:CL),"")</f>
        <v>0</v>
      </c>
      <c r="R123" s="144">
        <f>IFERROR(_xlfn.XLOOKUP($B123,'Cronog. e Histog.'!$BZ:$BZ,'Cronog. e Histog.'!CM:CM),"")</f>
        <v>0</v>
      </c>
      <c r="S123" s="144">
        <f>IFERROR(_xlfn.XLOOKUP($B123,'Cronog. e Histog.'!$BZ:$BZ,'Cronog. e Histog.'!CN:CN),"")</f>
        <v>0</v>
      </c>
      <c r="T123" s="144">
        <f>IFERROR(_xlfn.XLOOKUP($B123,'Cronog. e Histog.'!$BZ:$BZ,'Cronog. e Histog.'!CO:CO),"")</f>
        <v>0</v>
      </c>
      <c r="U123" s="144">
        <f>IFERROR(_xlfn.XLOOKUP($B123,'Cronog. e Histog.'!$BZ:$BZ,'Cronog. e Histog.'!CP:CP),"")</f>
        <v>0</v>
      </c>
      <c r="V123" s="144">
        <f>IFERROR(_xlfn.XLOOKUP($B123,'Cronog. e Histog.'!$BZ:$BZ,'Cronog. e Histog.'!CQ:CQ),"")</f>
        <v>0</v>
      </c>
      <c r="W123" s="144">
        <f>IFERROR(_xlfn.XLOOKUP($B123,'Cronog. e Histog.'!$BZ:$BZ,'Cronog. e Histog.'!CR:CR),"")</f>
        <v>0</v>
      </c>
      <c r="X123" s="144">
        <f>IFERROR(_xlfn.XLOOKUP($B123,'Cronog. e Histog.'!$BZ:$BZ,'Cronog. e Histog.'!CS:CS),"")</f>
        <v>0</v>
      </c>
      <c r="Y123" s="144">
        <f>IFERROR(_xlfn.XLOOKUP($B123,'Cronog. e Histog.'!$BZ:$BZ,'Cronog. e Histog.'!CT:CT),"")</f>
        <v>0</v>
      </c>
      <c r="Z123" s="144">
        <f>IFERROR(_xlfn.XLOOKUP($B123,'Cronog. e Histog.'!$BZ:$BZ,'Cronog. e Histog.'!CU:CU),"")</f>
        <v>0</v>
      </c>
      <c r="AA123" s="144">
        <f>IFERROR(_xlfn.XLOOKUP($B123,'Cronog. e Histog.'!$BZ:$BZ,'Cronog. e Histog.'!CV:CV),"")</f>
        <v>0</v>
      </c>
      <c r="AB123" s="144">
        <f>IFERROR(_xlfn.XLOOKUP($B123,'Cronog. e Histog.'!$BZ:$BZ,'Cronog. e Histog.'!CW:CW),"")</f>
        <v>0</v>
      </c>
      <c r="AC123" s="144">
        <f>IFERROR(_xlfn.XLOOKUP($B123,'Cronog. e Histog.'!$BZ:$BZ,'Cronog. e Histog.'!CX:CX),"")</f>
        <v>0</v>
      </c>
      <c r="AD123" s="144">
        <f>IFERROR(_xlfn.XLOOKUP($B123,'Cronog. e Histog.'!$BZ:$BZ,'Cronog. e Histog.'!CY:CY),"")</f>
        <v>0</v>
      </c>
      <c r="AE123" s="144">
        <f>IFERROR(_xlfn.XLOOKUP($B123,'Cronog. e Histog.'!$BZ:$BZ,'Cronog. e Histog.'!CZ:CZ),"")</f>
        <v>0</v>
      </c>
      <c r="AF123" s="144">
        <f>IFERROR(_xlfn.XLOOKUP($B123,'Cronog. e Histog.'!$BZ:$BZ,'Cronog. e Histog.'!DA:DA),"")</f>
        <v>0</v>
      </c>
      <c r="AG123" s="144">
        <f>IFERROR(_xlfn.XLOOKUP($B123,'Cronog. e Histog.'!$BZ:$BZ,'Cronog. e Histog.'!DB:DB),"")</f>
        <v>0</v>
      </c>
      <c r="AH123" s="144">
        <f>IFERROR(_xlfn.XLOOKUP($B123,'Cronog. e Histog.'!$BZ:$BZ,'Cronog. e Histog.'!DC:DC),"")</f>
        <v>0</v>
      </c>
      <c r="AI123" s="144">
        <f>IFERROR(_xlfn.XLOOKUP($B123,'Cronog. e Histog.'!$BZ:$BZ,'Cronog. e Histog.'!DD:DD),"")</f>
        <v>0</v>
      </c>
      <c r="AJ123" s="144">
        <f>IFERROR(_xlfn.XLOOKUP($B123,'Cronog. e Histog.'!$BZ:$BZ,'Cronog. e Histog.'!DE:DE),"")</f>
        <v>0</v>
      </c>
      <c r="AK123" s="144">
        <f>IFERROR(_xlfn.XLOOKUP($B123,'Cronog. e Histog.'!$BZ:$BZ,'Cronog. e Histog.'!DF:DF),"")</f>
        <v>0</v>
      </c>
      <c r="AL123" s="144">
        <f>IFERROR(_xlfn.XLOOKUP($B123,'Cronog. e Histog.'!$BZ:$BZ,'Cronog. e Histog.'!DG:DG),"")</f>
        <v>0</v>
      </c>
      <c r="AM123" s="144">
        <f>IFERROR(_xlfn.XLOOKUP($B123,'Cronog. e Histog.'!$BZ:$BZ,'Cronog. e Histog.'!DH:DH),"")</f>
        <v>0</v>
      </c>
      <c r="AN123" s="144">
        <f>IFERROR(_xlfn.XLOOKUP($B123,'Cronog. e Histog.'!$BZ:$BZ,'Cronog. e Histog.'!DI:DI),"")</f>
        <v>0</v>
      </c>
      <c r="AO123" s="144">
        <f>IFERROR(_xlfn.XLOOKUP($B123,'Cronog. e Histog.'!$BZ:$BZ,'Cronog. e Histog.'!DJ:DJ),"")</f>
        <v>0</v>
      </c>
      <c r="AP123" s="144">
        <f>IFERROR(_xlfn.XLOOKUP($B123,'Cronog. e Histog.'!$BZ:$BZ,'Cronog. e Histog.'!DK:DK),"")</f>
        <v>0</v>
      </c>
      <c r="AQ123" s="144">
        <f>IFERROR(_xlfn.XLOOKUP($B123,'Cronog. e Histog.'!$BZ:$BZ,'Cronog. e Histog.'!DL:DL),"")</f>
        <v>0</v>
      </c>
      <c r="AR123" s="144">
        <f>IFERROR(_xlfn.XLOOKUP($B123,'Cronog. e Histog.'!$BZ:$BZ,'Cronog. e Histog.'!DM:DM),"")</f>
        <v>0</v>
      </c>
      <c r="AS123" s="144">
        <f>IFERROR(_xlfn.XLOOKUP($B123,'Cronog. e Histog.'!$BZ:$BZ,'Cronog. e Histog.'!DN:DN),"")</f>
        <v>0</v>
      </c>
      <c r="AT123" s="144">
        <f>IFERROR(_xlfn.XLOOKUP($B123,'Cronog. e Histog.'!$BZ:$BZ,'Cronog. e Histog.'!DO:DO),"")</f>
        <v>0</v>
      </c>
      <c r="AU123" s="144">
        <f>IFERROR(_xlfn.XLOOKUP($B123,'Cronog. e Histog.'!$BZ:$BZ,'Cronog. e Histog.'!DP:DP),"")</f>
        <v>0</v>
      </c>
      <c r="AV123" s="144">
        <f>IFERROR(_xlfn.XLOOKUP($B123,'Cronog. e Histog.'!$BZ:$BZ,'Cronog. e Histog.'!DQ:DQ),"")</f>
        <v>0</v>
      </c>
      <c r="AW123" s="144">
        <f>IFERROR(_xlfn.XLOOKUP($B123,'Cronog. e Histog.'!$BZ:$BZ,'Cronog. e Histog.'!DR:DR),"")</f>
        <v>0</v>
      </c>
      <c r="AX123" s="144">
        <f>IFERROR(_xlfn.XLOOKUP($B123,'Cronog. e Histog.'!$BZ:$BZ,'Cronog. e Histog.'!DS:DS),"")</f>
        <v>0</v>
      </c>
      <c r="AY123" s="144">
        <f>IFERROR(_xlfn.XLOOKUP($B123,'Cronog. e Histog.'!$BZ:$BZ,'Cronog. e Histog.'!DT:DT),"")</f>
        <v>0</v>
      </c>
      <c r="AZ123" s="144">
        <f>IFERROR(_xlfn.XLOOKUP($B123,'Cronog. e Histog.'!$BZ:$BZ,'Cronog. e Histog.'!DU:DU),"")</f>
        <v>0</v>
      </c>
      <c r="BA123" s="144">
        <f>IFERROR(_xlfn.XLOOKUP($B123,'Cronog. e Histog.'!$BZ:$BZ,'Cronog. e Histog.'!DV:DV),"")</f>
        <v>0</v>
      </c>
      <c r="BB123" s="144">
        <f>IFERROR(_xlfn.XLOOKUP($B123,'Cronog. e Histog.'!$BZ:$BZ,'Cronog. e Histog.'!DW:DW),"")</f>
        <v>0</v>
      </c>
      <c r="BC123" s="144">
        <f>IFERROR(_xlfn.XLOOKUP($B123,'Cronog. e Histog.'!$BZ:$BZ,'Cronog. e Histog.'!DX:DX),"")</f>
        <v>0</v>
      </c>
      <c r="BD123" s="144">
        <f>IFERROR(_xlfn.XLOOKUP($B123,'Cronog. e Histog.'!$BZ:$BZ,'Cronog. e Histog.'!DY:DY),"")</f>
        <v>0</v>
      </c>
      <c r="BE123" s="144">
        <f>IFERROR(_xlfn.XLOOKUP($B123,'Cronog. e Histog.'!$BZ:$BZ,'Cronog. e Histog.'!DZ:DZ),"")</f>
        <v>0</v>
      </c>
      <c r="BF123" s="144">
        <f>IFERROR(_xlfn.XLOOKUP($B123,'Cronog. e Histog.'!$BZ:$BZ,'Cronog. e Histog.'!EA:EA),"")</f>
        <v>0</v>
      </c>
      <c r="BG123" s="144">
        <f>IFERROR(_xlfn.XLOOKUP($B123,'Cronog. e Histog.'!$BZ:$BZ,'Cronog. e Histog.'!EB:EB),"")</f>
        <v>0</v>
      </c>
      <c r="BH123" s="144">
        <f>IFERROR(_xlfn.XLOOKUP($B123,'Cronog. e Histog.'!$BZ:$BZ,'Cronog. e Histog.'!EC:EC),"")</f>
        <v>0</v>
      </c>
      <c r="BI123" s="144">
        <f>IFERROR(_xlfn.XLOOKUP($B123,'Cronog. e Histog.'!$BZ:$BZ,'Cronog. e Histog.'!ED:ED),"")</f>
        <v>0</v>
      </c>
      <c r="BJ123" s="144">
        <f>IFERROR(_xlfn.XLOOKUP($B123,'Cronog. e Histog.'!$BZ:$BZ,'Cronog. e Histog.'!EE:EE),"")</f>
        <v>0</v>
      </c>
      <c r="BK123" s="144">
        <f>IFERROR(_xlfn.XLOOKUP($B123,'Cronog. e Histog.'!$BZ:$BZ,'Cronog. e Histog.'!EF:EF),"")</f>
        <v>0</v>
      </c>
      <c r="BL123" s="144">
        <f>IFERROR(_xlfn.XLOOKUP($B123,'Cronog. e Histog.'!$BZ:$BZ,'Cronog. e Histog.'!EG:EG),"")</f>
        <v>0</v>
      </c>
      <c r="BM123" s="144">
        <f>IFERROR(_xlfn.XLOOKUP($B123,'Cronog. e Histog.'!$BZ:$BZ,'Cronog. e Histog.'!EH:EH),"")</f>
        <v>0</v>
      </c>
      <c r="BN123" s="144">
        <f>IFERROR(_xlfn.XLOOKUP($B123,'Cronog. e Histog.'!$BZ:$BZ,'Cronog. e Histog.'!EI:EI),"")</f>
        <v>0</v>
      </c>
    </row>
    <row r="124" spans="2:66" ht="12" hidden="1" customHeight="1" outlineLevel="1">
      <c r="B124" s="76">
        <v>118</v>
      </c>
      <c r="C124" s="143" t="str">
        <f>IFERROR(VLOOKUP(B124,'Cronog. e Histog.'!$BZ$213:$CA$747,2,0),"")</f>
        <v>EST</v>
      </c>
      <c r="D124" s="144">
        <f t="shared" si="2"/>
        <v>0</v>
      </c>
      <c r="E124" s="144">
        <f t="shared" si="3"/>
        <v>0</v>
      </c>
      <c r="F124" s="65"/>
      <c r="G124" s="144">
        <f>IFERROR(_xlfn.XLOOKUP($B124,'Cronog. e Histog.'!$BZ:$BZ,'Cronog. e Histog.'!CB:CB),"")</f>
        <v>0</v>
      </c>
      <c r="H124" s="144">
        <f>IFERROR(_xlfn.XLOOKUP($B124,'Cronog. e Histog.'!$BZ:$BZ,'Cronog. e Histog.'!CC:CC),"")</f>
        <v>0</v>
      </c>
      <c r="I124" s="144">
        <f>IFERROR(_xlfn.XLOOKUP($B124,'Cronog. e Histog.'!$BZ:$BZ,'Cronog. e Histog.'!CD:CD),"")</f>
        <v>0</v>
      </c>
      <c r="J124" s="144">
        <f>IFERROR(_xlfn.XLOOKUP($B124,'Cronog. e Histog.'!$BZ:$BZ,'Cronog. e Histog.'!CE:CE),"")</f>
        <v>0</v>
      </c>
      <c r="K124" s="144">
        <f>IFERROR(_xlfn.XLOOKUP($B124,'Cronog. e Histog.'!$BZ:$BZ,'Cronog. e Histog.'!CF:CF),"")</f>
        <v>0</v>
      </c>
      <c r="L124" s="144">
        <f>IFERROR(_xlfn.XLOOKUP($B124,'Cronog. e Histog.'!$BZ:$BZ,'Cronog. e Histog.'!CG:CG),"")</f>
        <v>0</v>
      </c>
      <c r="M124" s="144">
        <f>IFERROR(_xlfn.XLOOKUP($B124,'Cronog. e Histog.'!$BZ:$BZ,'Cronog. e Histog.'!CH:CH),"")</f>
        <v>0</v>
      </c>
      <c r="N124" s="144">
        <f>IFERROR(_xlfn.XLOOKUP($B124,'Cronog. e Histog.'!$BZ:$BZ,'Cronog. e Histog.'!CI:CI),"")</f>
        <v>0</v>
      </c>
      <c r="O124" s="144">
        <f>IFERROR(_xlfn.XLOOKUP($B124,'Cronog. e Histog.'!$BZ:$BZ,'Cronog. e Histog.'!CJ:CJ),"")</f>
        <v>0</v>
      </c>
      <c r="P124" s="144">
        <f>IFERROR(_xlfn.XLOOKUP($B124,'Cronog. e Histog.'!$BZ:$BZ,'Cronog. e Histog.'!CK:CK),"")</f>
        <v>0</v>
      </c>
      <c r="Q124" s="144">
        <f>IFERROR(_xlfn.XLOOKUP($B124,'Cronog. e Histog.'!$BZ:$BZ,'Cronog. e Histog.'!CL:CL),"")</f>
        <v>0</v>
      </c>
      <c r="R124" s="144">
        <f>IFERROR(_xlfn.XLOOKUP($B124,'Cronog. e Histog.'!$BZ:$BZ,'Cronog. e Histog.'!CM:CM),"")</f>
        <v>0</v>
      </c>
      <c r="S124" s="144">
        <f>IFERROR(_xlfn.XLOOKUP($B124,'Cronog. e Histog.'!$BZ:$BZ,'Cronog. e Histog.'!CN:CN),"")</f>
        <v>0</v>
      </c>
      <c r="T124" s="144">
        <f>IFERROR(_xlfn.XLOOKUP($B124,'Cronog. e Histog.'!$BZ:$BZ,'Cronog. e Histog.'!CO:CO),"")</f>
        <v>0</v>
      </c>
      <c r="U124" s="144">
        <f>IFERROR(_xlfn.XLOOKUP($B124,'Cronog. e Histog.'!$BZ:$BZ,'Cronog. e Histog.'!CP:CP),"")</f>
        <v>0</v>
      </c>
      <c r="V124" s="144">
        <f>IFERROR(_xlfn.XLOOKUP($B124,'Cronog. e Histog.'!$BZ:$BZ,'Cronog. e Histog.'!CQ:CQ),"")</f>
        <v>0</v>
      </c>
      <c r="W124" s="144">
        <f>IFERROR(_xlfn.XLOOKUP($B124,'Cronog. e Histog.'!$BZ:$BZ,'Cronog. e Histog.'!CR:CR),"")</f>
        <v>0</v>
      </c>
      <c r="X124" s="144">
        <f>IFERROR(_xlfn.XLOOKUP($B124,'Cronog. e Histog.'!$BZ:$BZ,'Cronog. e Histog.'!CS:CS),"")</f>
        <v>0</v>
      </c>
      <c r="Y124" s="144">
        <f>IFERROR(_xlfn.XLOOKUP($B124,'Cronog. e Histog.'!$BZ:$BZ,'Cronog. e Histog.'!CT:CT),"")</f>
        <v>0</v>
      </c>
      <c r="Z124" s="144">
        <f>IFERROR(_xlfn.XLOOKUP($B124,'Cronog. e Histog.'!$BZ:$BZ,'Cronog. e Histog.'!CU:CU),"")</f>
        <v>0</v>
      </c>
      <c r="AA124" s="144">
        <f>IFERROR(_xlfn.XLOOKUP($B124,'Cronog. e Histog.'!$BZ:$BZ,'Cronog. e Histog.'!CV:CV),"")</f>
        <v>0</v>
      </c>
      <c r="AB124" s="144">
        <f>IFERROR(_xlfn.XLOOKUP($B124,'Cronog. e Histog.'!$BZ:$BZ,'Cronog. e Histog.'!CW:CW),"")</f>
        <v>0</v>
      </c>
      <c r="AC124" s="144">
        <f>IFERROR(_xlfn.XLOOKUP($B124,'Cronog. e Histog.'!$BZ:$BZ,'Cronog. e Histog.'!CX:CX),"")</f>
        <v>0</v>
      </c>
      <c r="AD124" s="144">
        <f>IFERROR(_xlfn.XLOOKUP($B124,'Cronog. e Histog.'!$BZ:$BZ,'Cronog. e Histog.'!CY:CY),"")</f>
        <v>0</v>
      </c>
      <c r="AE124" s="144">
        <f>IFERROR(_xlfn.XLOOKUP($B124,'Cronog. e Histog.'!$BZ:$BZ,'Cronog. e Histog.'!CZ:CZ),"")</f>
        <v>0</v>
      </c>
      <c r="AF124" s="144">
        <f>IFERROR(_xlfn.XLOOKUP($B124,'Cronog. e Histog.'!$BZ:$BZ,'Cronog. e Histog.'!DA:DA),"")</f>
        <v>0</v>
      </c>
      <c r="AG124" s="144">
        <f>IFERROR(_xlfn.XLOOKUP($B124,'Cronog. e Histog.'!$BZ:$BZ,'Cronog. e Histog.'!DB:DB),"")</f>
        <v>0</v>
      </c>
      <c r="AH124" s="144">
        <f>IFERROR(_xlfn.XLOOKUP($B124,'Cronog. e Histog.'!$BZ:$BZ,'Cronog. e Histog.'!DC:DC),"")</f>
        <v>0</v>
      </c>
      <c r="AI124" s="144">
        <f>IFERROR(_xlfn.XLOOKUP($B124,'Cronog. e Histog.'!$BZ:$BZ,'Cronog. e Histog.'!DD:DD),"")</f>
        <v>0</v>
      </c>
      <c r="AJ124" s="144">
        <f>IFERROR(_xlfn.XLOOKUP($B124,'Cronog. e Histog.'!$BZ:$BZ,'Cronog. e Histog.'!DE:DE),"")</f>
        <v>0</v>
      </c>
      <c r="AK124" s="144">
        <f>IFERROR(_xlfn.XLOOKUP($B124,'Cronog. e Histog.'!$BZ:$BZ,'Cronog. e Histog.'!DF:DF),"")</f>
        <v>0</v>
      </c>
      <c r="AL124" s="144">
        <f>IFERROR(_xlfn.XLOOKUP($B124,'Cronog. e Histog.'!$BZ:$BZ,'Cronog. e Histog.'!DG:DG),"")</f>
        <v>0</v>
      </c>
      <c r="AM124" s="144">
        <f>IFERROR(_xlfn.XLOOKUP($B124,'Cronog. e Histog.'!$BZ:$BZ,'Cronog. e Histog.'!DH:DH),"")</f>
        <v>0</v>
      </c>
      <c r="AN124" s="144">
        <f>IFERROR(_xlfn.XLOOKUP($B124,'Cronog. e Histog.'!$BZ:$BZ,'Cronog. e Histog.'!DI:DI),"")</f>
        <v>0</v>
      </c>
      <c r="AO124" s="144">
        <f>IFERROR(_xlfn.XLOOKUP($B124,'Cronog. e Histog.'!$BZ:$BZ,'Cronog. e Histog.'!DJ:DJ),"")</f>
        <v>0</v>
      </c>
      <c r="AP124" s="144">
        <f>IFERROR(_xlfn.XLOOKUP($B124,'Cronog. e Histog.'!$BZ:$BZ,'Cronog. e Histog.'!DK:DK),"")</f>
        <v>0</v>
      </c>
      <c r="AQ124" s="144">
        <f>IFERROR(_xlfn.XLOOKUP($B124,'Cronog. e Histog.'!$BZ:$BZ,'Cronog. e Histog.'!DL:DL),"")</f>
        <v>0</v>
      </c>
      <c r="AR124" s="144">
        <f>IFERROR(_xlfn.XLOOKUP($B124,'Cronog. e Histog.'!$BZ:$BZ,'Cronog. e Histog.'!DM:DM),"")</f>
        <v>0</v>
      </c>
      <c r="AS124" s="144">
        <f>IFERROR(_xlfn.XLOOKUP($B124,'Cronog. e Histog.'!$BZ:$BZ,'Cronog. e Histog.'!DN:DN),"")</f>
        <v>0</v>
      </c>
      <c r="AT124" s="144">
        <f>IFERROR(_xlfn.XLOOKUP($B124,'Cronog. e Histog.'!$BZ:$BZ,'Cronog. e Histog.'!DO:DO),"")</f>
        <v>0</v>
      </c>
      <c r="AU124" s="144">
        <f>IFERROR(_xlfn.XLOOKUP($B124,'Cronog. e Histog.'!$BZ:$BZ,'Cronog. e Histog.'!DP:DP),"")</f>
        <v>0</v>
      </c>
      <c r="AV124" s="144">
        <f>IFERROR(_xlfn.XLOOKUP($B124,'Cronog. e Histog.'!$BZ:$BZ,'Cronog. e Histog.'!DQ:DQ),"")</f>
        <v>0</v>
      </c>
      <c r="AW124" s="144">
        <f>IFERROR(_xlfn.XLOOKUP($B124,'Cronog. e Histog.'!$BZ:$BZ,'Cronog. e Histog.'!DR:DR),"")</f>
        <v>0</v>
      </c>
      <c r="AX124" s="144">
        <f>IFERROR(_xlfn.XLOOKUP($B124,'Cronog. e Histog.'!$BZ:$BZ,'Cronog. e Histog.'!DS:DS),"")</f>
        <v>0</v>
      </c>
      <c r="AY124" s="144">
        <f>IFERROR(_xlfn.XLOOKUP($B124,'Cronog. e Histog.'!$BZ:$BZ,'Cronog. e Histog.'!DT:DT),"")</f>
        <v>0</v>
      </c>
      <c r="AZ124" s="144">
        <f>IFERROR(_xlfn.XLOOKUP($B124,'Cronog. e Histog.'!$BZ:$BZ,'Cronog. e Histog.'!DU:DU),"")</f>
        <v>0</v>
      </c>
      <c r="BA124" s="144">
        <f>IFERROR(_xlfn.XLOOKUP($B124,'Cronog. e Histog.'!$BZ:$BZ,'Cronog. e Histog.'!DV:DV),"")</f>
        <v>0</v>
      </c>
      <c r="BB124" s="144">
        <f>IFERROR(_xlfn.XLOOKUP($B124,'Cronog. e Histog.'!$BZ:$BZ,'Cronog. e Histog.'!DW:DW),"")</f>
        <v>0</v>
      </c>
      <c r="BC124" s="144">
        <f>IFERROR(_xlfn.XLOOKUP($B124,'Cronog. e Histog.'!$BZ:$BZ,'Cronog. e Histog.'!DX:DX),"")</f>
        <v>0</v>
      </c>
      <c r="BD124" s="144">
        <f>IFERROR(_xlfn.XLOOKUP($B124,'Cronog. e Histog.'!$BZ:$BZ,'Cronog. e Histog.'!DY:DY),"")</f>
        <v>0</v>
      </c>
      <c r="BE124" s="144">
        <f>IFERROR(_xlfn.XLOOKUP($B124,'Cronog. e Histog.'!$BZ:$BZ,'Cronog. e Histog.'!DZ:DZ),"")</f>
        <v>0</v>
      </c>
      <c r="BF124" s="144">
        <f>IFERROR(_xlfn.XLOOKUP($B124,'Cronog. e Histog.'!$BZ:$BZ,'Cronog. e Histog.'!EA:EA),"")</f>
        <v>0</v>
      </c>
      <c r="BG124" s="144">
        <f>IFERROR(_xlfn.XLOOKUP($B124,'Cronog. e Histog.'!$BZ:$BZ,'Cronog. e Histog.'!EB:EB),"")</f>
        <v>0</v>
      </c>
      <c r="BH124" s="144">
        <f>IFERROR(_xlfn.XLOOKUP($B124,'Cronog. e Histog.'!$BZ:$BZ,'Cronog. e Histog.'!EC:EC),"")</f>
        <v>0</v>
      </c>
      <c r="BI124" s="144">
        <f>IFERROR(_xlfn.XLOOKUP($B124,'Cronog. e Histog.'!$BZ:$BZ,'Cronog. e Histog.'!ED:ED),"")</f>
        <v>0</v>
      </c>
      <c r="BJ124" s="144">
        <f>IFERROR(_xlfn.XLOOKUP($B124,'Cronog. e Histog.'!$BZ:$BZ,'Cronog. e Histog.'!EE:EE),"")</f>
        <v>0</v>
      </c>
      <c r="BK124" s="144">
        <f>IFERROR(_xlfn.XLOOKUP($B124,'Cronog. e Histog.'!$BZ:$BZ,'Cronog. e Histog.'!EF:EF),"")</f>
        <v>0</v>
      </c>
      <c r="BL124" s="144">
        <f>IFERROR(_xlfn.XLOOKUP($B124,'Cronog. e Histog.'!$BZ:$BZ,'Cronog. e Histog.'!EG:EG),"")</f>
        <v>0</v>
      </c>
      <c r="BM124" s="144">
        <f>IFERROR(_xlfn.XLOOKUP($B124,'Cronog. e Histog.'!$BZ:$BZ,'Cronog. e Histog.'!EH:EH),"")</f>
        <v>0</v>
      </c>
      <c r="BN124" s="144">
        <f>IFERROR(_xlfn.XLOOKUP($B124,'Cronog. e Histog.'!$BZ:$BZ,'Cronog. e Histog.'!EI:EI),"")</f>
        <v>0</v>
      </c>
    </row>
    <row r="125" spans="2:66" ht="12" hidden="1" customHeight="1" outlineLevel="1">
      <c r="B125" s="76">
        <v>119</v>
      </c>
      <c r="C125" s="143" t="str">
        <f>IFERROR(VLOOKUP(B125,'Cronog. e Histog.'!$BZ$213:$CA$747,2,0),"")</f>
        <v>EST_II</v>
      </c>
      <c r="D125" s="144">
        <f t="shared" si="2"/>
        <v>0</v>
      </c>
      <c r="E125" s="144">
        <f t="shared" si="3"/>
        <v>0</v>
      </c>
      <c r="F125" s="65"/>
      <c r="G125" s="144">
        <f>IFERROR(_xlfn.XLOOKUP($B125,'Cronog. e Histog.'!$BZ:$BZ,'Cronog. e Histog.'!CB:CB),"")</f>
        <v>0</v>
      </c>
      <c r="H125" s="144">
        <f>IFERROR(_xlfn.XLOOKUP($B125,'Cronog. e Histog.'!$BZ:$BZ,'Cronog. e Histog.'!CC:CC),"")</f>
        <v>0</v>
      </c>
      <c r="I125" s="144">
        <f>IFERROR(_xlfn.XLOOKUP($B125,'Cronog. e Histog.'!$BZ:$BZ,'Cronog. e Histog.'!CD:CD),"")</f>
        <v>0</v>
      </c>
      <c r="J125" s="144">
        <f>IFERROR(_xlfn.XLOOKUP($B125,'Cronog. e Histog.'!$BZ:$BZ,'Cronog. e Histog.'!CE:CE),"")</f>
        <v>0</v>
      </c>
      <c r="K125" s="144">
        <f>IFERROR(_xlfn.XLOOKUP($B125,'Cronog. e Histog.'!$BZ:$BZ,'Cronog. e Histog.'!CF:CF),"")</f>
        <v>0</v>
      </c>
      <c r="L125" s="144">
        <f>IFERROR(_xlfn.XLOOKUP($B125,'Cronog. e Histog.'!$BZ:$BZ,'Cronog. e Histog.'!CG:CG),"")</f>
        <v>0</v>
      </c>
      <c r="M125" s="144">
        <f>IFERROR(_xlfn.XLOOKUP($B125,'Cronog. e Histog.'!$BZ:$BZ,'Cronog. e Histog.'!CH:CH),"")</f>
        <v>0</v>
      </c>
      <c r="N125" s="144">
        <f>IFERROR(_xlfn.XLOOKUP($B125,'Cronog. e Histog.'!$BZ:$BZ,'Cronog. e Histog.'!CI:CI),"")</f>
        <v>0</v>
      </c>
      <c r="O125" s="144">
        <f>IFERROR(_xlfn.XLOOKUP($B125,'Cronog. e Histog.'!$BZ:$BZ,'Cronog. e Histog.'!CJ:CJ),"")</f>
        <v>0</v>
      </c>
      <c r="P125" s="144">
        <f>IFERROR(_xlfn.XLOOKUP($B125,'Cronog. e Histog.'!$BZ:$BZ,'Cronog. e Histog.'!CK:CK),"")</f>
        <v>0</v>
      </c>
      <c r="Q125" s="144">
        <f>IFERROR(_xlfn.XLOOKUP($B125,'Cronog. e Histog.'!$BZ:$BZ,'Cronog. e Histog.'!CL:CL),"")</f>
        <v>0</v>
      </c>
      <c r="R125" s="144">
        <f>IFERROR(_xlfn.XLOOKUP($B125,'Cronog. e Histog.'!$BZ:$BZ,'Cronog. e Histog.'!CM:CM),"")</f>
        <v>0</v>
      </c>
      <c r="S125" s="144">
        <f>IFERROR(_xlfn.XLOOKUP($B125,'Cronog. e Histog.'!$BZ:$BZ,'Cronog. e Histog.'!CN:CN),"")</f>
        <v>0</v>
      </c>
      <c r="T125" s="144">
        <f>IFERROR(_xlfn.XLOOKUP($B125,'Cronog. e Histog.'!$BZ:$BZ,'Cronog. e Histog.'!CO:CO),"")</f>
        <v>0</v>
      </c>
      <c r="U125" s="144">
        <f>IFERROR(_xlfn.XLOOKUP($B125,'Cronog. e Histog.'!$BZ:$BZ,'Cronog. e Histog.'!CP:CP),"")</f>
        <v>0</v>
      </c>
      <c r="V125" s="144">
        <f>IFERROR(_xlfn.XLOOKUP($B125,'Cronog. e Histog.'!$BZ:$BZ,'Cronog. e Histog.'!CQ:CQ),"")</f>
        <v>0</v>
      </c>
      <c r="W125" s="144">
        <f>IFERROR(_xlfn.XLOOKUP($B125,'Cronog. e Histog.'!$BZ:$BZ,'Cronog. e Histog.'!CR:CR),"")</f>
        <v>0</v>
      </c>
      <c r="X125" s="144">
        <f>IFERROR(_xlfn.XLOOKUP($B125,'Cronog. e Histog.'!$BZ:$BZ,'Cronog. e Histog.'!CS:CS),"")</f>
        <v>0</v>
      </c>
      <c r="Y125" s="144">
        <f>IFERROR(_xlfn.XLOOKUP($B125,'Cronog. e Histog.'!$BZ:$BZ,'Cronog. e Histog.'!CT:CT),"")</f>
        <v>0</v>
      </c>
      <c r="Z125" s="144">
        <f>IFERROR(_xlfn.XLOOKUP($B125,'Cronog. e Histog.'!$BZ:$BZ,'Cronog. e Histog.'!CU:CU),"")</f>
        <v>0</v>
      </c>
      <c r="AA125" s="144">
        <f>IFERROR(_xlfn.XLOOKUP($B125,'Cronog. e Histog.'!$BZ:$BZ,'Cronog. e Histog.'!CV:CV),"")</f>
        <v>0</v>
      </c>
      <c r="AB125" s="144">
        <f>IFERROR(_xlfn.XLOOKUP($B125,'Cronog. e Histog.'!$BZ:$BZ,'Cronog. e Histog.'!CW:CW),"")</f>
        <v>0</v>
      </c>
      <c r="AC125" s="144">
        <f>IFERROR(_xlfn.XLOOKUP($B125,'Cronog. e Histog.'!$BZ:$BZ,'Cronog. e Histog.'!CX:CX),"")</f>
        <v>0</v>
      </c>
      <c r="AD125" s="144">
        <f>IFERROR(_xlfn.XLOOKUP($B125,'Cronog. e Histog.'!$BZ:$BZ,'Cronog. e Histog.'!CY:CY),"")</f>
        <v>0</v>
      </c>
      <c r="AE125" s="144">
        <f>IFERROR(_xlfn.XLOOKUP($B125,'Cronog. e Histog.'!$BZ:$BZ,'Cronog. e Histog.'!CZ:CZ),"")</f>
        <v>0</v>
      </c>
      <c r="AF125" s="144">
        <f>IFERROR(_xlfn.XLOOKUP($B125,'Cronog. e Histog.'!$BZ:$BZ,'Cronog. e Histog.'!DA:DA),"")</f>
        <v>0</v>
      </c>
      <c r="AG125" s="144">
        <f>IFERROR(_xlfn.XLOOKUP($B125,'Cronog. e Histog.'!$BZ:$BZ,'Cronog. e Histog.'!DB:DB),"")</f>
        <v>0</v>
      </c>
      <c r="AH125" s="144">
        <f>IFERROR(_xlfn.XLOOKUP($B125,'Cronog. e Histog.'!$BZ:$BZ,'Cronog. e Histog.'!DC:DC),"")</f>
        <v>0</v>
      </c>
      <c r="AI125" s="144">
        <f>IFERROR(_xlfn.XLOOKUP($B125,'Cronog. e Histog.'!$BZ:$BZ,'Cronog. e Histog.'!DD:DD),"")</f>
        <v>0</v>
      </c>
      <c r="AJ125" s="144">
        <f>IFERROR(_xlfn.XLOOKUP($B125,'Cronog. e Histog.'!$BZ:$BZ,'Cronog. e Histog.'!DE:DE),"")</f>
        <v>0</v>
      </c>
      <c r="AK125" s="144">
        <f>IFERROR(_xlfn.XLOOKUP($B125,'Cronog. e Histog.'!$BZ:$BZ,'Cronog. e Histog.'!DF:DF),"")</f>
        <v>0</v>
      </c>
      <c r="AL125" s="144">
        <f>IFERROR(_xlfn.XLOOKUP($B125,'Cronog. e Histog.'!$BZ:$BZ,'Cronog. e Histog.'!DG:DG),"")</f>
        <v>0</v>
      </c>
      <c r="AM125" s="144">
        <f>IFERROR(_xlfn.XLOOKUP($B125,'Cronog. e Histog.'!$BZ:$BZ,'Cronog. e Histog.'!DH:DH),"")</f>
        <v>0</v>
      </c>
      <c r="AN125" s="144">
        <f>IFERROR(_xlfn.XLOOKUP($B125,'Cronog. e Histog.'!$BZ:$BZ,'Cronog. e Histog.'!DI:DI),"")</f>
        <v>0</v>
      </c>
      <c r="AO125" s="144">
        <f>IFERROR(_xlfn.XLOOKUP($B125,'Cronog. e Histog.'!$BZ:$BZ,'Cronog. e Histog.'!DJ:DJ),"")</f>
        <v>0</v>
      </c>
      <c r="AP125" s="144">
        <f>IFERROR(_xlfn.XLOOKUP($B125,'Cronog. e Histog.'!$BZ:$BZ,'Cronog. e Histog.'!DK:DK),"")</f>
        <v>0</v>
      </c>
      <c r="AQ125" s="144">
        <f>IFERROR(_xlfn.XLOOKUP($B125,'Cronog. e Histog.'!$BZ:$BZ,'Cronog. e Histog.'!DL:DL),"")</f>
        <v>0</v>
      </c>
      <c r="AR125" s="144">
        <f>IFERROR(_xlfn.XLOOKUP($B125,'Cronog. e Histog.'!$BZ:$BZ,'Cronog. e Histog.'!DM:DM),"")</f>
        <v>0</v>
      </c>
      <c r="AS125" s="144">
        <f>IFERROR(_xlfn.XLOOKUP($B125,'Cronog. e Histog.'!$BZ:$BZ,'Cronog. e Histog.'!DN:DN),"")</f>
        <v>0</v>
      </c>
      <c r="AT125" s="144">
        <f>IFERROR(_xlfn.XLOOKUP($B125,'Cronog. e Histog.'!$BZ:$BZ,'Cronog. e Histog.'!DO:DO),"")</f>
        <v>0</v>
      </c>
      <c r="AU125" s="144">
        <f>IFERROR(_xlfn.XLOOKUP($B125,'Cronog. e Histog.'!$BZ:$BZ,'Cronog. e Histog.'!DP:DP),"")</f>
        <v>0</v>
      </c>
      <c r="AV125" s="144">
        <f>IFERROR(_xlfn.XLOOKUP($B125,'Cronog. e Histog.'!$BZ:$BZ,'Cronog. e Histog.'!DQ:DQ),"")</f>
        <v>0</v>
      </c>
      <c r="AW125" s="144">
        <f>IFERROR(_xlfn.XLOOKUP($B125,'Cronog. e Histog.'!$BZ:$BZ,'Cronog. e Histog.'!DR:DR),"")</f>
        <v>0</v>
      </c>
      <c r="AX125" s="144">
        <f>IFERROR(_xlfn.XLOOKUP($B125,'Cronog. e Histog.'!$BZ:$BZ,'Cronog. e Histog.'!DS:DS),"")</f>
        <v>0</v>
      </c>
      <c r="AY125" s="144">
        <f>IFERROR(_xlfn.XLOOKUP($B125,'Cronog. e Histog.'!$BZ:$BZ,'Cronog. e Histog.'!DT:DT),"")</f>
        <v>0</v>
      </c>
      <c r="AZ125" s="144">
        <f>IFERROR(_xlfn.XLOOKUP($B125,'Cronog. e Histog.'!$BZ:$BZ,'Cronog. e Histog.'!DU:DU),"")</f>
        <v>0</v>
      </c>
      <c r="BA125" s="144">
        <f>IFERROR(_xlfn.XLOOKUP($B125,'Cronog. e Histog.'!$BZ:$BZ,'Cronog. e Histog.'!DV:DV),"")</f>
        <v>0</v>
      </c>
      <c r="BB125" s="144">
        <f>IFERROR(_xlfn.XLOOKUP($B125,'Cronog. e Histog.'!$BZ:$BZ,'Cronog. e Histog.'!DW:DW),"")</f>
        <v>0</v>
      </c>
      <c r="BC125" s="144">
        <f>IFERROR(_xlfn.XLOOKUP($B125,'Cronog. e Histog.'!$BZ:$BZ,'Cronog. e Histog.'!DX:DX),"")</f>
        <v>0</v>
      </c>
      <c r="BD125" s="144">
        <f>IFERROR(_xlfn.XLOOKUP($B125,'Cronog. e Histog.'!$BZ:$BZ,'Cronog. e Histog.'!DY:DY),"")</f>
        <v>0</v>
      </c>
      <c r="BE125" s="144">
        <f>IFERROR(_xlfn.XLOOKUP($B125,'Cronog. e Histog.'!$BZ:$BZ,'Cronog. e Histog.'!DZ:DZ),"")</f>
        <v>0</v>
      </c>
      <c r="BF125" s="144">
        <f>IFERROR(_xlfn.XLOOKUP($B125,'Cronog. e Histog.'!$BZ:$BZ,'Cronog. e Histog.'!EA:EA),"")</f>
        <v>0</v>
      </c>
      <c r="BG125" s="144">
        <f>IFERROR(_xlfn.XLOOKUP($B125,'Cronog. e Histog.'!$BZ:$BZ,'Cronog. e Histog.'!EB:EB),"")</f>
        <v>0</v>
      </c>
      <c r="BH125" s="144">
        <f>IFERROR(_xlfn.XLOOKUP($B125,'Cronog. e Histog.'!$BZ:$BZ,'Cronog. e Histog.'!EC:EC),"")</f>
        <v>0</v>
      </c>
      <c r="BI125" s="144">
        <f>IFERROR(_xlfn.XLOOKUP($B125,'Cronog. e Histog.'!$BZ:$BZ,'Cronog. e Histog.'!ED:ED),"")</f>
        <v>0</v>
      </c>
      <c r="BJ125" s="144">
        <f>IFERROR(_xlfn.XLOOKUP($B125,'Cronog. e Histog.'!$BZ:$BZ,'Cronog. e Histog.'!EE:EE),"")</f>
        <v>0</v>
      </c>
      <c r="BK125" s="144">
        <f>IFERROR(_xlfn.XLOOKUP($B125,'Cronog. e Histog.'!$BZ:$BZ,'Cronog. e Histog.'!EF:EF),"")</f>
        <v>0</v>
      </c>
      <c r="BL125" s="144">
        <f>IFERROR(_xlfn.XLOOKUP($B125,'Cronog. e Histog.'!$BZ:$BZ,'Cronog. e Histog.'!EG:EG),"")</f>
        <v>0</v>
      </c>
      <c r="BM125" s="144">
        <f>IFERROR(_xlfn.XLOOKUP($B125,'Cronog. e Histog.'!$BZ:$BZ,'Cronog. e Histog.'!EH:EH),"")</f>
        <v>0</v>
      </c>
      <c r="BN125" s="144">
        <f>IFERROR(_xlfn.XLOOKUP($B125,'Cronog. e Histog.'!$BZ:$BZ,'Cronog. e Histog.'!EI:EI),"")</f>
        <v>0</v>
      </c>
    </row>
    <row r="126" spans="2:66" ht="12" hidden="1" customHeight="1" outlineLevel="1">
      <c r="B126" s="76">
        <v>120</v>
      </c>
      <c r="C126" s="143" t="str">
        <f>IFERROR(VLOOKUP(B126,'Cronog. e Histog.'!$BZ$213:$CA$747,2,0),"")</f>
        <v>EST_III</v>
      </c>
      <c r="D126" s="144">
        <f t="shared" si="2"/>
        <v>0</v>
      </c>
      <c r="E126" s="144">
        <f t="shared" si="3"/>
        <v>0</v>
      </c>
      <c r="F126" s="65"/>
      <c r="G126" s="144">
        <f>IFERROR(_xlfn.XLOOKUP($B126,'Cronog. e Histog.'!$BZ:$BZ,'Cronog. e Histog.'!CB:CB),"")</f>
        <v>0</v>
      </c>
      <c r="H126" s="144">
        <f>IFERROR(_xlfn.XLOOKUP($B126,'Cronog. e Histog.'!$BZ:$BZ,'Cronog. e Histog.'!CC:CC),"")</f>
        <v>0</v>
      </c>
      <c r="I126" s="144">
        <f>IFERROR(_xlfn.XLOOKUP($B126,'Cronog. e Histog.'!$BZ:$BZ,'Cronog. e Histog.'!CD:CD),"")</f>
        <v>0</v>
      </c>
      <c r="J126" s="144">
        <f>IFERROR(_xlfn.XLOOKUP($B126,'Cronog. e Histog.'!$BZ:$BZ,'Cronog. e Histog.'!CE:CE),"")</f>
        <v>0</v>
      </c>
      <c r="K126" s="144">
        <f>IFERROR(_xlfn.XLOOKUP($B126,'Cronog. e Histog.'!$BZ:$BZ,'Cronog. e Histog.'!CF:CF),"")</f>
        <v>0</v>
      </c>
      <c r="L126" s="144">
        <f>IFERROR(_xlfn.XLOOKUP($B126,'Cronog. e Histog.'!$BZ:$BZ,'Cronog. e Histog.'!CG:CG),"")</f>
        <v>0</v>
      </c>
      <c r="M126" s="144">
        <f>IFERROR(_xlfn.XLOOKUP($B126,'Cronog. e Histog.'!$BZ:$BZ,'Cronog. e Histog.'!CH:CH),"")</f>
        <v>0</v>
      </c>
      <c r="N126" s="144">
        <f>IFERROR(_xlfn.XLOOKUP($B126,'Cronog. e Histog.'!$BZ:$BZ,'Cronog. e Histog.'!CI:CI),"")</f>
        <v>0</v>
      </c>
      <c r="O126" s="144">
        <f>IFERROR(_xlfn.XLOOKUP($B126,'Cronog. e Histog.'!$BZ:$BZ,'Cronog. e Histog.'!CJ:CJ),"")</f>
        <v>0</v>
      </c>
      <c r="P126" s="144">
        <f>IFERROR(_xlfn.XLOOKUP($B126,'Cronog. e Histog.'!$BZ:$BZ,'Cronog. e Histog.'!CK:CK),"")</f>
        <v>0</v>
      </c>
      <c r="Q126" s="144">
        <f>IFERROR(_xlfn.XLOOKUP($B126,'Cronog. e Histog.'!$BZ:$BZ,'Cronog. e Histog.'!CL:CL),"")</f>
        <v>0</v>
      </c>
      <c r="R126" s="144">
        <f>IFERROR(_xlfn.XLOOKUP($B126,'Cronog. e Histog.'!$BZ:$BZ,'Cronog. e Histog.'!CM:CM),"")</f>
        <v>0</v>
      </c>
      <c r="S126" s="144">
        <f>IFERROR(_xlfn.XLOOKUP($B126,'Cronog. e Histog.'!$BZ:$BZ,'Cronog. e Histog.'!CN:CN),"")</f>
        <v>0</v>
      </c>
      <c r="T126" s="144">
        <f>IFERROR(_xlfn.XLOOKUP($B126,'Cronog. e Histog.'!$BZ:$BZ,'Cronog. e Histog.'!CO:CO),"")</f>
        <v>0</v>
      </c>
      <c r="U126" s="144">
        <f>IFERROR(_xlfn.XLOOKUP($B126,'Cronog. e Histog.'!$BZ:$BZ,'Cronog. e Histog.'!CP:CP),"")</f>
        <v>0</v>
      </c>
      <c r="V126" s="144">
        <f>IFERROR(_xlfn.XLOOKUP($B126,'Cronog. e Histog.'!$BZ:$BZ,'Cronog. e Histog.'!CQ:CQ),"")</f>
        <v>0</v>
      </c>
      <c r="W126" s="144">
        <f>IFERROR(_xlfn.XLOOKUP($B126,'Cronog. e Histog.'!$BZ:$BZ,'Cronog. e Histog.'!CR:CR),"")</f>
        <v>0</v>
      </c>
      <c r="X126" s="144">
        <f>IFERROR(_xlfn.XLOOKUP($B126,'Cronog. e Histog.'!$BZ:$BZ,'Cronog. e Histog.'!CS:CS),"")</f>
        <v>0</v>
      </c>
      <c r="Y126" s="144">
        <f>IFERROR(_xlfn.XLOOKUP($B126,'Cronog. e Histog.'!$BZ:$BZ,'Cronog. e Histog.'!CT:CT),"")</f>
        <v>0</v>
      </c>
      <c r="Z126" s="144">
        <f>IFERROR(_xlfn.XLOOKUP($B126,'Cronog. e Histog.'!$BZ:$BZ,'Cronog. e Histog.'!CU:CU),"")</f>
        <v>0</v>
      </c>
      <c r="AA126" s="144">
        <f>IFERROR(_xlfn.XLOOKUP($B126,'Cronog. e Histog.'!$BZ:$BZ,'Cronog. e Histog.'!CV:CV),"")</f>
        <v>0</v>
      </c>
      <c r="AB126" s="144">
        <f>IFERROR(_xlfn.XLOOKUP($B126,'Cronog. e Histog.'!$BZ:$BZ,'Cronog. e Histog.'!CW:CW),"")</f>
        <v>0</v>
      </c>
      <c r="AC126" s="144">
        <f>IFERROR(_xlfn.XLOOKUP($B126,'Cronog. e Histog.'!$BZ:$BZ,'Cronog. e Histog.'!CX:CX),"")</f>
        <v>0</v>
      </c>
      <c r="AD126" s="144">
        <f>IFERROR(_xlfn.XLOOKUP($B126,'Cronog. e Histog.'!$BZ:$BZ,'Cronog. e Histog.'!CY:CY),"")</f>
        <v>0</v>
      </c>
      <c r="AE126" s="144">
        <f>IFERROR(_xlfn.XLOOKUP($B126,'Cronog. e Histog.'!$BZ:$BZ,'Cronog. e Histog.'!CZ:CZ),"")</f>
        <v>0</v>
      </c>
      <c r="AF126" s="144">
        <f>IFERROR(_xlfn.XLOOKUP($B126,'Cronog. e Histog.'!$BZ:$BZ,'Cronog. e Histog.'!DA:DA),"")</f>
        <v>0</v>
      </c>
      <c r="AG126" s="144">
        <f>IFERROR(_xlfn.XLOOKUP($B126,'Cronog. e Histog.'!$BZ:$BZ,'Cronog. e Histog.'!DB:DB),"")</f>
        <v>0</v>
      </c>
      <c r="AH126" s="144">
        <f>IFERROR(_xlfn.XLOOKUP($B126,'Cronog. e Histog.'!$BZ:$BZ,'Cronog. e Histog.'!DC:DC),"")</f>
        <v>0</v>
      </c>
      <c r="AI126" s="144">
        <f>IFERROR(_xlfn.XLOOKUP($B126,'Cronog. e Histog.'!$BZ:$BZ,'Cronog. e Histog.'!DD:DD),"")</f>
        <v>0</v>
      </c>
      <c r="AJ126" s="144">
        <f>IFERROR(_xlfn.XLOOKUP($B126,'Cronog. e Histog.'!$BZ:$BZ,'Cronog. e Histog.'!DE:DE),"")</f>
        <v>0</v>
      </c>
      <c r="AK126" s="144">
        <f>IFERROR(_xlfn.XLOOKUP($B126,'Cronog. e Histog.'!$BZ:$BZ,'Cronog. e Histog.'!DF:DF),"")</f>
        <v>0</v>
      </c>
      <c r="AL126" s="144">
        <f>IFERROR(_xlfn.XLOOKUP($B126,'Cronog. e Histog.'!$BZ:$BZ,'Cronog. e Histog.'!DG:DG),"")</f>
        <v>0</v>
      </c>
      <c r="AM126" s="144">
        <f>IFERROR(_xlfn.XLOOKUP($B126,'Cronog. e Histog.'!$BZ:$BZ,'Cronog. e Histog.'!DH:DH),"")</f>
        <v>0</v>
      </c>
      <c r="AN126" s="144">
        <f>IFERROR(_xlfn.XLOOKUP($B126,'Cronog. e Histog.'!$BZ:$BZ,'Cronog. e Histog.'!DI:DI),"")</f>
        <v>0</v>
      </c>
      <c r="AO126" s="144">
        <f>IFERROR(_xlfn.XLOOKUP($B126,'Cronog. e Histog.'!$BZ:$BZ,'Cronog. e Histog.'!DJ:DJ),"")</f>
        <v>0</v>
      </c>
      <c r="AP126" s="144">
        <f>IFERROR(_xlfn.XLOOKUP($B126,'Cronog. e Histog.'!$BZ:$BZ,'Cronog. e Histog.'!DK:DK),"")</f>
        <v>0</v>
      </c>
      <c r="AQ126" s="144">
        <f>IFERROR(_xlfn.XLOOKUP($B126,'Cronog. e Histog.'!$BZ:$BZ,'Cronog. e Histog.'!DL:DL),"")</f>
        <v>0</v>
      </c>
      <c r="AR126" s="144">
        <f>IFERROR(_xlfn.XLOOKUP($B126,'Cronog. e Histog.'!$BZ:$BZ,'Cronog. e Histog.'!DM:DM),"")</f>
        <v>0</v>
      </c>
      <c r="AS126" s="144">
        <f>IFERROR(_xlfn.XLOOKUP($B126,'Cronog. e Histog.'!$BZ:$BZ,'Cronog. e Histog.'!DN:DN),"")</f>
        <v>0</v>
      </c>
      <c r="AT126" s="144">
        <f>IFERROR(_xlfn.XLOOKUP($B126,'Cronog. e Histog.'!$BZ:$BZ,'Cronog. e Histog.'!DO:DO),"")</f>
        <v>0</v>
      </c>
      <c r="AU126" s="144">
        <f>IFERROR(_xlfn.XLOOKUP($B126,'Cronog. e Histog.'!$BZ:$BZ,'Cronog. e Histog.'!DP:DP),"")</f>
        <v>0</v>
      </c>
      <c r="AV126" s="144">
        <f>IFERROR(_xlfn.XLOOKUP($B126,'Cronog. e Histog.'!$BZ:$BZ,'Cronog. e Histog.'!DQ:DQ),"")</f>
        <v>0</v>
      </c>
      <c r="AW126" s="144">
        <f>IFERROR(_xlfn.XLOOKUP($B126,'Cronog. e Histog.'!$BZ:$BZ,'Cronog. e Histog.'!DR:DR),"")</f>
        <v>0</v>
      </c>
      <c r="AX126" s="144">
        <f>IFERROR(_xlfn.XLOOKUP($B126,'Cronog. e Histog.'!$BZ:$BZ,'Cronog. e Histog.'!DS:DS),"")</f>
        <v>0</v>
      </c>
      <c r="AY126" s="144">
        <f>IFERROR(_xlfn.XLOOKUP($B126,'Cronog. e Histog.'!$BZ:$BZ,'Cronog. e Histog.'!DT:DT),"")</f>
        <v>0</v>
      </c>
      <c r="AZ126" s="144">
        <f>IFERROR(_xlfn.XLOOKUP($B126,'Cronog. e Histog.'!$BZ:$BZ,'Cronog. e Histog.'!DU:DU),"")</f>
        <v>0</v>
      </c>
      <c r="BA126" s="144">
        <f>IFERROR(_xlfn.XLOOKUP($B126,'Cronog. e Histog.'!$BZ:$BZ,'Cronog. e Histog.'!DV:DV),"")</f>
        <v>0</v>
      </c>
      <c r="BB126" s="144">
        <f>IFERROR(_xlfn.XLOOKUP($B126,'Cronog. e Histog.'!$BZ:$BZ,'Cronog. e Histog.'!DW:DW),"")</f>
        <v>0</v>
      </c>
      <c r="BC126" s="144">
        <f>IFERROR(_xlfn.XLOOKUP($B126,'Cronog. e Histog.'!$BZ:$BZ,'Cronog. e Histog.'!DX:DX),"")</f>
        <v>0</v>
      </c>
      <c r="BD126" s="144">
        <f>IFERROR(_xlfn.XLOOKUP($B126,'Cronog. e Histog.'!$BZ:$BZ,'Cronog. e Histog.'!DY:DY),"")</f>
        <v>0</v>
      </c>
      <c r="BE126" s="144">
        <f>IFERROR(_xlfn.XLOOKUP($B126,'Cronog. e Histog.'!$BZ:$BZ,'Cronog. e Histog.'!DZ:DZ),"")</f>
        <v>0</v>
      </c>
      <c r="BF126" s="144">
        <f>IFERROR(_xlfn.XLOOKUP($B126,'Cronog. e Histog.'!$BZ:$BZ,'Cronog. e Histog.'!EA:EA),"")</f>
        <v>0</v>
      </c>
      <c r="BG126" s="144">
        <f>IFERROR(_xlfn.XLOOKUP($B126,'Cronog. e Histog.'!$BZ:$BZ,'Cronog. e Histog.'!EB:EB),"")</f>
        <v>0</v>
      </c>
      <c r="BH126" s="144">
        <f>IFERROR(_xlfn.XLOOKUP($B126,'Cronog. e Histog.'!$BZ:$BZ,'Cronog. e Histog.'!EC:EC),"")</f>
        <v>0</v>
      </c>
      <c r="BI126" s="144">
        <f>IFERROR(_xlfn.XLOOKUP($B126,'Cronog. e Histog.'!$BZ:$BZ,'Cronog. e Histog.'!ED:ED),"")</f>
        <v>0</v>
      </c>
      <c r="BJ126" s="144">
        <f>IFERROR(_xlfn.XLOOKUP($B126,'Cronog. e Histog.'!$BZ:$BZ,'Cronog. e Histog.'!EE:EE),"")</f>
        <v>0</v>
      </c>
      <c r="BK126" s="144">
        <f>IFERROR(_xlfn.XLOOKUP($B126,'Cronog. e Histog.'!$BZ:$BZ,'Cronog. e Histog.'!EF:EF),"")</f>
        <v>0</v>
      </c>
      <c r="BL126" s="144">
        <f>IFERROR(_xlfn.XLOOKUP($B126,'Cronog. e Histog.'!$BZ:$BZ,'Cronog. e Histog.'!EG:EG),"")</f>
        <v>0</v>
      </c>
      <c r="BM126" s="144">
        <f>IFERROR(_xlfn.XLOOKUP($B126,'Cronog. e Histog.'!$BZ:$BZ,'Cronog. e Histog.'!EH:EH),"")</f>
        <v>0</v>
      </c>
      <c r="BN126" s="144">
        <f>IFERROR(_xlfn.XLOOKUP($B126,'Cronog. e Histog.'!$BZ:$BZ,'Cronog. e Histog.'!EI:EI),"")</f>
        <v>0</v>
      </c>
    </row>
    <row r="127" spans="2:66" ht="12" hidden="1" customHeight="1" outlineLevel="1">
      <c r="B127" s="76">
        <v>121</v>
      </c>
      <c r="C127" s="143" t="str">
        <f>IFERROR(VLOOKUP(B127,'Cronog. e Histog.'!$BZ$213:$CA$747,2,0),"")</f>
        <v>GER. (OBRA/PROJ)</v>
      </c>
      <c r="D127" s="144">
        <f t="shared" si="2"/>
        <v>0</v>
      </c>
      <c r="E127" s="144">
        <f t="shared" si="3"/>
        <v>0</v>
      </c>
      <c r="F127" s="65"/>
      <c r="G127" s="144">
        <f>IFERROR(_xlfn.XLOOKUP($B127,'Cronog. e Histog.'!$BZ:$BZ,'Cronog. e Histog.'!CB:CB),"")</f>
        <v>0</v>
      </c>
      <c r="H127" s="144">
        <f>IFERROR(_xlfn.XLOOKUP($B127,'Cronog. e Histog.'!$BZ:$BZ,'Cronog. e Histog.'!CC:CC),"")</f>
        <v>0</v>
      </c>
      <c r="I127" s="144">
        <f>IFERROR(_xlfn.XLOOKUP($B127,'Cronog. e Histog.'!$BZ:$BZ,'Cronog. e Histog.'!CD:CD),"")</f>
        <v>0</v>
      </c>
      <c r="J127" s="144">
        <f>IFERROR(_xlfn.XLOOKUP($B127,'Cronog. e Histog.'!$BZ:$BZ,'Cronog. e Histog.'!CE:CE),"")</f>
        <v>0</v>
      </c>
      <c r="K127" s="144">
        <f>IFERROR(_xlfn.XLOOKUP($B127,'Cronog. e Histog.'!$BZ:$BZ,'Cronog. e Histog.'!CF:CF),"")</f>
        <v>0</v>
      </c>
      <c r="L127" s="144">
        <f>IFERROR(_xlfn.XLOOKUP($B127,'Cronog. e Histog.'!$BZ:$BZ,'Cronog. e Histog.'!CG:CG),"")</f>
        <v>0</v>
      </c>
      <c r="M127" s="144">
        <f>IFERROR(_xlfn.XLOOKUP($B127,'Cronog. e Histog.'!$BZ:$BZ,'Cronog. e Histog.'!CH:CH),"")</f>
        <v>0</v>
      </c>
      <c r="N127" s="144">
        <f>IFERROR(_xlfn.XLOOKUP($B127,'Cronog. e Histog.'!$BZ:$BZ,'Cronog. e Histog.'!CI:CI),"")</f>
        <v>0</v>
      </c>
      <c r="O127" s="144">
        <f>IFERROR(_xlfn.XLOOKUP($B127,'Cronog. e Histog.'!$BZ:$BZ,'Cronog. e Histog.'!CJ:CJ),"")</f>
        <v>0</v>
      </c>
      <c r="P127" s="144">
        <f>IFERROR(_xlfn.XLOOKUP($B127,'Cronog. e Histog.'!$BZ:$BZ,'Cronog. e Histog.'!CK:CK),"")</f>
        <v>0</v>
      </c>
      <c r="Q127" s="144">
        <f>IFERROR(_xlfn.XLOOKUP($B127,'Cronog. e Histog.'!$BZ:$BZ,'Cronog. e Histog.'!CL:CL),"")</f>
        <v>0</v>
      </c>
      <c r="R127" s="144">
        <f>IFERROR(_xlfn.XLOOKUP($B127,'Cronog. e Histog.'!$BZ:$BZ,'Cronog. e Histog.'!CM:CM),"")</f>
        <v>0</v>
      </c>
      <c r="S127" s="144">
        <f>IFERROR(_xlfn.XLOOKUP($B127,'Cronog. e Histog.'!$BZ:$BZ,'Cronog. e Histog.'!CN:CN),"")</f>
        <v>0</v>
      </c>
      <c r="T127" s="144">
        <f>IFERROR(_xlfn.XLOOKUP($B127,'Cronog. e Histog.'!$BZ:$BZ,'Cronog. e Histog.'!CO:CO),"")</f>
        <v>0</v>
      </c>
      <c r="U127" s="144">
        <f>IFERROR(_xlfn.XLOOKUP($B127,'Cronog. e Histog.'!$BZ:$BZ,'Cronog. e Histog.'!CP:CP),"")</f>
        <v>0</v>
      </c>
      <c r="V127" s="144">
        <f>IFERROR(_xlfn.XLOOKUP($B127,'Cronog. e Histog.'!$BZ:$BZ,'Cronog. e Histog.'!CQ:CQ),"")</f>
        <v>0</v>
      </c>
      <c r="W127" s="144">
        <f>IFERROR(_xlfn.XLOOKUP($B127,'Cronog. e Histog.'!$BZ:$BZ,'Cronog. e Histog.'!CR:CR),"")</f>
        <v>0</v>
      </c>
      <c r="X127" s="144">
        <f>IFERROR(_xlfn.XLOOKUP($B127,'Cronog. e Histog.'!$BZ:$BZ,'Cronog. e Histog.'!CS:CS),"")</f>
        <v>0</v>
      </c>
      <c r="Y127" s="144">
        <f>IFERROR(_xlfn.XLOOKUP($B127,'Cronog. e Histog.'!$BZ:$BZ,'Cronog. e Histog.'!CT:CT),"")</f>
        <v>0</v>
      </c>
      <c r="Z127" s="144">
        <f>IFERROR(_xlfn.XLOOKUP($B127,'Cronog. e Histog.'!$BZ:$BZ,'Cronog. e Histog.'!CU:CU),"")</f>
        <v>0</v>
      </c>
      <c r="AA127" s="144">
        <f>IFERROR(_xlfn.XLOOKUP($B127,'Cronog. e Histog.'!$BZ:$BZ,'Cronog. e Histog.'!CV:CV),"")</f>
        <v>0</v>
      </c>
      <c r="AB127" s="144">
        <f>IFERROR(_xlfn.XLOOKUP($B127,'Cronog. e Histog.'!$BZ:$BZ,'Cronog. e Histog.'!CW:CW),"")</f>
        <v>0</v>
      </c>
      <c r="AC127" s="144">
        <f>IFERROR(_xlfn.XLOOKUP($B127,'Cronog. e Histog.'!$BZ:$BZ,'Cronog. e Histog.'!CX:CX),"")</f>
        <v>0</v>
      </c>
      <c r="AD127" s="144">
        <f>IFERROR(_xlfn.XLOOKUP($B127,'Cronog. e Histog.'!$BZ:$BZ,'Cronog. e Histog.'!CY:CY),"")</f>
        <v>0</v>
      </c>
      <c r="AE127" s="144">
        <f>IFERROR(_xlfn.XLOOKUP($B127,'Cronog. e Histog.'!$BZ:$BZ,'Cronog. e Histog.'!CZ:CZ),"")</f>
        <v>0</v>
      </c>
      <c r="AF127" s="144">
        <f>IFERROR(_xlfn.XLOOKUP($B127,'Cronog. e Histog.'!$BZ:$BZ,'Cronog. e Histog.'!DA:DA),"")</f>
        <v>0</v>
      </c>
      <c r="AG127" s="144">
        <f>IFERROR(_xlfn.XLOOKUP($B127,'Cronog. e Histog.'!$BZ:$BZ,'Cronog. e Histog.'!DB:DB),"")</f>
        <v>0</v>
      </c>
      <c r="AH127" s="144">
        <f>IFERROR(_xlfn.XLOOKUP($B127,'Cronog. e Histog.'!$BZ:$BZ,'Cronog. e Histog.'!DC:DC),"")</f>
        <v>0</v>
      </c>
      <c r="AI127" s="144">
        <f>IFERROR(_xlfn.XLOOKUP($B127,'Cronog. e Histog.'!$BZ:$BZ,'Cronog. e Histog.'!DD:DD),"")</f>
        <v>0</v>
      </c>
      <c r="AJ127" s="144">
        <f>IFERROR(_xlfn.XLOOKUP($B127,'Cronog. e Histog.'!$BZ:$BZ,'Cronog. e Histog.'!DE:DE),"")</f>
        <v>0</v>
      </c>
      <c r="AK127" s="144">
        <f>IFERROR(_xlfn.XLOOKUP($B127,'Cronog. e Histog.'!$BZ:$BZ,'Cronog. e Histog.'!DF:DF),"")</f>
        <v>0</v>
      </c>
      <c r="AL127" s="144">
        <f>IFERROR(_xlfn.XLOOKUP($B127,'Cronog. e Histog.'!$BZ:$BZ,'Cronog. e Histog.'!DG:DG),"")</f>
        <v>0</v>
      </c>
      <c r="AM127" s="144">
        <f>IFERROR(_xlfn.XLOOKUP($B127,'Cronog. e Histog.'!$BZ:$BZ,'Cronog. e Histog.'!DH:DH),"")</f>
        <v>0</v>
      </c>
      <c r="AN127" s="144">
        <f>IFERROR(_xlfn.XLOOKUP($B127,'Cronog. e Histog.'!$BZ:$BZ,'Cronog. e Histog.'!DI:DI),"")</f>
        <v>0</v>
      </c>
      <c r="AO127" s="144">
        <f>IFERROR(_xlfn.XLOOKUP($B127,'Cronog. e Histog.'!$BZ:$BZ,'Cronog. e Histog.'!DJ:DJ),"")</f>
        <v>0</v>
      </c>
      <c r="AP127" s="144">
        <f>IFERROR(_xlfn.XLOOKUP($B127,'Cronog. e Histog.'!$BZ:$BZ,'Cronog. e Histog.'!DK:DK),"")</f>
        <v>0</v>
      </c>
      <c r="AQ127" s="144">
        <f>IFERROR(_xlfn.XLOOKUP($B127,'Cronog. e Histog.'!$BZ:$BZ,'Cronog. e Histog.'!DL:DL),"")</f>
        <v>0</v>
      </c>
      <c r="AR127" s="144">
        <f>IFERROR(_xlfn.XLOOKUP($B127,'Cronog. e Histog.'!$BZ:$BZ,'Cronog. e Histog.'!DM:DM),"")</f>
        <v>0</v>
      </c>
      <c r="AS127" s="144">
        <f>IFERROR(_xlfn.XLOOKUP($B127,'Cronog. e Histog.'!$BZ:$BZ,'Cronog. e Histog.'!DN:DN),"")</f>
        <v>0</v>
      </c>
      <c r="AT127" s="144">
        <f>IFERROR(_xlfn.XLOOKUP($B127,'Cronog. e Histog.'!$BZ:$BZ,'Cronog. e Histog.'!DO:DO),"")</f>
        <v>0</v>
      </c>
      <c r="AU127" s="144">
        <f>IFERROR(_xlfn.XLOOKUP($B127,'Cronog. e Histog.'!$BZ:$BZ,'Cronog. e Histog.'!DP:DP),"")</f>
        <v>0</v>
      </c>
      <c r="AV127" s="144">
        <f>IFERROR(_xlfn.XLOOKUP($B127,'Cronog. e Histog.'!$BZ:$BZ,'Cronog. e Histog.'!DQ:DQ),"")</f>
        <v>0</v>
      </c>
      <c r="AW127" s="144">
        <f>IFERROR(_xlfn.XLOOKUP($B127,'Cronog. e Histog.'!$BZ:$BZ,'Cronog. e Histog.'!DR:DR),"")</f>
        <v>0</v>
      </c>
      <c r="AX127" s="144">
        <f>IFERROR(_xlfn.XLOOKUP($B127,'Cronog. e Histog.'!$BZ:$BZ,'Cronog. e Histog.'!DS:DS),"")</f>
        <v>0</v>
      </c>
      <c r="AY127" s="144">
        <f>IFERROR(_xlfn.XLOOKUP($B127,'Cronog. e Histog.'!$BZ:$BZ,'Cronog. e Histog.'!DT:DT),"")</f>
        <v>0</v>
      </c>
      <c r="AZ127" s="144">
        <f>IFERROR(_xlfn.XLOOKUP($B127,'Cronog. e Histog.'!$BZ:$BZ,'Cronog. e Histog.'!DU:DU),"")</f>
        <v>0</v>
      </c>
      <c r="BA127" s="144">
        <f>IFERROR(_xlfn.XLOOKUP($B127,'Cronog. e Histog.'!$BZ:$BZ,'Cronog. e Histog.'!DV:DV),"")</f>
        <v>0</v>
      </c>
      <c r="BB127" s="144">
        <f>IFERROR(_xlfn.XLOOKUP($B127,'Cronog. e Histog.'!$BZ:$BZ,'Cronog. e Histog.'!DW:DW),"")</f>
        <v>0</v>
      </c>
      <c r="BC127" s="144">
        <f>IFERROR(_xlfn.XLOOKUP($B127,'Cronog. e Histog.'!$BZ:$BZ,'Cronog. e Histog.'!DX:DX),"")</f>
        <v>0</v>
      </c>
      <c r="BD127" s="144">
        <f>IFERROR(_xlfn.XLOOKUP($B127,'Cronog. e Histog.'!$BZ:$BZ,'Cronog. e Histog.'!DY:DY),"")</f>
        <v>0</v>
      </c>
      <c r="BE127" s="144">
        <f>IFERROR(_xlfn.XLOOKUP($B127,'Cronog. e Histog.'!$BZ:$BZ,'Cronog. e Histog.'!DZ:DZ),"")</f>
        <v>0</v>
      </c>
      <c r="BF127" s="144">
        <f>IFERROR(_xlfn.XLOOKUP($B127,'Cronog. e Histog.'!$BZ:$BZ,'Cronog. e Histog.'!EA:EA),"")</f>
        <v>0</v>
      </c>
      <c r="BG127" s="144">
        <f>IFERROR(_xlfn.XLOOKUP($B127,'Cronog. e Histog.'!$BZ:$BZ,'Cronog. e Histog.'!EB:EB),"")</f>
        <v>0</v>
      </c>
      <c r="BH127" s="144">
        <f>IFERROR(_xlfn.XLOOKUP($B127,'Cronog. e Histog.'!$BZ:$BZ,'Cronog. e Histog.'!EC:EC),"")</f>
        <v>0</v>
      </c>
      <c r="BI127" s="144">
        <f>IFERROR(_xlfn.XLOOKUP($B127,'Cronog. e Histog.'!$BZ:$BZ,'Cronog. e Histog.'!ED:ED),"")</f>
        <v>0</v>
      </c>
      <c r="BJ127" s="144">
        <f>IFERROR(_xlfn.XLOOKUP($B127,'Cronog. e Histog.'!$BZ:$BZ,'Cronog. e Histog.'!EE:EE),"")</f>
        <v>0</v>
      </c>
      <c r="BK127" s="144">
        <f>IFERROR(_xlfn.XLOOKUP($B127,'Cronog. e Histog.'!$BZ:$BZ,'Cronog. e Histog.'!EF:EF),"")</f>
        <v>0</v>
      </c>
      <c r="BL127" s="144">
        <f>IFERROR(_xlfn.XLOOKUP($B127,'Cronog. e Histog.'!$BZ:$BZ,'Cronog. e Histog.'!EG:EG),"")</f>
        <v>0</v>
      </c>
      <c r="BM127" s="144">
        <f>IFERROR(_xlfn.XLOOKUP($B127,'Cronog. e Histog.'!$BZ:$BZ,'Cronog. e Histog.'!EH:EH),"")</f>
        <v>0</v>
      </c>
      <c r="BN127" s="144">
        <f>IFERROR(_xlfn.XLOOKUP($B127,'Cronog. e Histog.'!$BZ:$BZ,'Cronog. e Histog.'!EI:EI),"")</f>
        <v>0</v>
      </c>
    </row>
    <row r="128" spans="2:66" ht="12" hidden="1" customHeight="1" outlineLevel="1">
      <c r="B128" s="76">
        <v>122</v>
      </c>
      <c r="C128" s="143" t="str">
        <f>IFERROR(VLOOKUP(B128,'Cronog. e Histog.'!$BZ$213:$CA$747,2,0),"")</f>
        <v>COORD.</v>
      </c>
      <c r="D128" s="144">
        <f t="shared" si="2"/>
        <v>0</v>
      </c>
      <c r="E128" s="144">
        <f t="shared" si="3"/>
        <v>0</v>
      </c>
      <c r="F128" s="65"/>
      <c r="G128" s="144">
        <f>IFERROR(_xlfn.XLOOKUP($B128,'Cronog. e Histog.'!$BZ:$BZ,'Cronog. e Histog.'!CB:CB),"")</f>
        <v>0</v>
      </c>
      <c r="H128" s="144">
        <f>IFERROR(_xlfn.XLOOKUP($B128,'Cronog. e Histog.'!$BZ:$BZ,'Cronog. e Histog.'!CC:CC),"")</f>
        <v>0</v>
      </c>
      <c r="I128" s="144">
        <f>IFERROR(_xlfn.XLOOKUP($B128,'Cronog. e Histog.'!$BZ:$BZ,'Cronog. e Histog.'!CD:CD),"")</f>
        <v>0</v>
      </c>
      <c r="J128" s="144">
        <f>IFERROR(_xlfn.XLOOKUP($B128,'Cronog. e Histog.'!$BZ:$BZ,'Cronog. e Histog.'!CE:CE),"")</f>
        <v>0</v>
      </c>
      <c r="K128" s="144">
        <f>IFERROR(_xlfn.XLOOKUP($B128,'Cronog. e Histog.'!$BZ:$BZ,'Cronog. e Histog.'!CF:CF),"")</f>
        <v>0</v>
      </c>
      <c r="L128" s="144">
        <f>IFERROR(_xlfn.XLOOKUP($B128,'Cronog. e Histog.'!$BZ:$BZ,'Cronog. e Histog.'!CG:CG),"")</f>
        <v>0</v>
      </c>
      <c r="M128" s="144">
        <f>IFERROR(_xlfn.XLOOKUP($B128,'Cronog. e Histog.'!$BZ:$BZ,'Cronog. e Histog.'!CH:CH),"")</f>
        <v>0</v>
      </c>
      <c r="N128" s="144">
        <f>IFERROR(_xlfn.XLOOKUP($B128,'Cronog. e Histog.'!$BZ:$BZ,'Cronog. e Histog.'!CI:CI),"")</f>
        <v>0</v>
      </c>
      <c r="O128" s="144">
        <f>IFERROR(_xlfn.XLOOKUP($B128,'Cronog. e Histog.'!$BZ:$BZ,'Cronog. e Histog.'!CJ:CJ),"")</f>
        <v>0</v>
      </c>
      <c r="P128" s="144">
        <f>IFERROR(_xlfn.XLOOKUP($B128,'Cronog. e Histog.'!$BZ:$BZ,'Cronog. e Histog.'!CK:CK),"")</f>
        <v>0</v>
      </c>
      <c r="Q128" s="144">
        <f>IFERROR(_xlfn.XLOOKUP($B128,'Cronog. e Histog.'!$BZ:$BZ,'Cronog. e Histog.'!CL:CL),"")</f>
        <v>0</v>
      </c>
      <c r="R128" s="144">
        <f>IFERROR(_xlfn.XLOOKUP($B128,'Cronog. e Histog.'!$BZ:$BZ,'Cronog. e Histog.'!CM:CM),"")</f>
        <v>0</v>
      </c>
      <c r="S128" s="144">
        <f>IFERROR(_xlfn.XLOOKUP($B128,'Cronog. e Histog.'!$BZ:$BZ,'Cronog. e Histog.'!CN:CN),"")</f>
        <v>0</v>
      </c>
      <c r="T128" s="144">
        <f>IFERROR(_xlfn.XLOOKUP($B128,'Cronog. e Histog.'!$BZ:$BZ,'Cronog. e Histog.'!CO:CO),"")</f>
        <v>0</v>
      </c>
      <c r="U128" s="144">
        <f>IFERROR(_xlfn.XLOOKUP($B128,'Cronog. e Histog.'!$BZ:$BZ,'Cronog. e Histog.'!CP:CP),"")</f>
        <v>0</v>
      </c>
      <c r="V128" s="144">
        <f>IFERROR(_xlfn.XLOOKUP($B128,'Cronog. e Histog.'!$BZ:$BZ,'Cronog. e Histog.'!CQ:CQ),"")</f>
        <v>0</v>
      </c>
      <c r="W128" s="144">
        <f>IFERROR(_xlfn.XLOOKUP($B128,'Cronog. e Histog.'!$BZ:$BZ,'Cronog. e Histog.'!CR:CR),"")</f>
        <v>0</v>
      </c>
      <c r="X128" s="144">
        <f>IFERROR(_xlfn.XLOOKUP($B128,'Cronog. e Histog.'!$BZ:$BZ,'Cronog. e Histog.'!CS:CS),"")</f>
        <v>0</v>
      </c>
      <c r="Y128" s="144">
        <f>IFERROR(_xlfn.XLOOKUP($B128,'Cronog. e Histog.'!$BZ:$BZ,'Cronog. e Histog.'!CT:CT),"")</f>
        <v>0</v>
      </c>
      <c r="Z128" s="144">
        <f>IFERROR(_xlfn.XLOOKUP($B128,'Cronog. e Histog.'!$BZ:$BZ,'Cronog. e Histog.'!CU:CU),"")</f>
        <v>0</v>
      </c>
      <c r="AA128" s="144">
        <f>IFERROR(_xlfn.XLOOKUP($B128,'Cronog. e Histog.'!$BZ:$BZ,'Cronog. e Histog.'!CV:CV),"")</f>
        <v>0</v>
      </c>
      <c r="AB128" s="144">
        <f>IFERROR(_xlfn.XLOOKUP($B128,'Cronog. e Histog.'!$BZ:$BZ,'Cronog. e Histog.'!CW:CW),"")</f>
        <v>0</v>
      </c>
      <c r="AC128" s="144">
        <f>IFERROR(_xlfn.XLOOKUP($B128,'Cronog. e Histog.'!$BZ:$BZ,'Cronog. e Histog.'!CX:CX),"")</f>
        <v>0</v>
      </c>
      <c r="AD128" s="144">
        <f>IFERROR(_xlfn.XLOOKUP($B128,'Cronog. e Histog.'!$BZ:$BZ,'Cronog. e Histog.'!CY:CY),"")</f>
        <v>0</v>
      </c>
      <c r="AE128" s="144">
        <f>IFERROR(_xlfn.XLOOKUP($B128,'Cronog. e Histog.'!$BZ:$BZ,'Cronog. e Histog.'!CZ:CZ),"")</f>
        <v>0</v>
      </c>
      <c r="AF128" s="144">
        <f>IFERROR(_xlfn.XLOOKUP($B128,'Cronog. e Histog.'!$BZ:$BZ,'Cronog. e Histog.'!DA:DA),"")</f>
        <v>0</v>
      </c>
      <c r="AG128" s="144">
        <f>IFERROR(_xlfn.XLOOKUP($B128,'Cronog. e Histog.'!$BZ:$BZ,'Cronog. e Histog.'!DB:DB),"")</f>
        <v>0</v>
      </c>
      <c r="AH128" s="144">
        <f>IFERROR(_xlfn.XLOOKUP($B128,'Cronog. e Histog.'!$BZ:$BZ,'Cronog. e Histog.'!DC:DC),"")</f>
        <v>0</v>
      </c>
      <c r="AI128" s="144">
        <f>IFERROR(_xlfn.XLOOKUP($B128,'Cronog. e Histog.'!$BZ:$BZ,'Cronog. e Histog.'!DD:DD),"")</f>
        <v>0</v>
      </c>
      <c r="AJ128" s="144">
        <f>IFERROR(_xlfn.XLOOKUP($B128,'Cronog. e Histog.'!$BZ:$BZ,'Cronog. e Histog.'!DE:DE),"")</f>
        <v>0</v>
      </c>
      <c r="AK128" s="144">
        <f>IFERROR(_xlfn.XLOOKUP($B128,'Cronog. e Histog.'!$BZ:$BZ,'Cronog. e Histog.'!DF:DF),"")</f>
        <v>0</v>
      </c>
      <c r="AL128" s="144">
        <f>IFERROR(_xlfn.XLOOKUP($B128,'Cronog. e Histog.'!$BZ:$BZ,'Cronog. e Histog.'!DG:DG),"")</f>
        <v>0</v>
      </c>
      <c r="AM128" s="144">
        <f>IFERROR(_xlfn.XLOOKUP($B128,'Cronog. e Histog.'!$BZ:$BZ,'Cronog. e Histog.'!DH:DH),"")</f>
        <v>0</v>
      </c>
      <c r="AN128" s="144">
        <f>IFERROR(_xlfn.XLOOKUP($B128,'Cronog. e Histog.'!$BZ:$BZ,'Cronog. e Histog.'!DI:DI),"")</f>
        <v>0</v>
      </c>
      <c r="AO128" s="144">
        <f>IFERROR(_xlfn.XLOOKUP($B128,'Cronog. e Histog.'!$BZ:$BZ,'Cronog. e Histog.'!DJ:DJ),"")</f>
        <v>0</v>
      </c>
      <c r="AP128" s="144">
        <f>IFERROR(_xlfn.XLOOKUP($B128,'Cronog. e Histog.'!$BZ:$BZ,'Cronog. e Histog.'!DK:DK),"")</f>
        <v>0</v>
      </c>
      <c r="AQ128" s="144">
        <f>IFERROR(_xlfn.XLOOKUP($B128,'Cronog. e Histog.'!$BZ:$BZ,'Cronog. e Histog.'!DL:DL),"")</f>
        <v>0</v>
      </c>
      <c r="AR128" s="144">
        <f>IFERROR(_xlfn.XLOOKUP($B128,'Cronog. e Histog.'!$BZ:$BZ,'Cronog. e Histog.'!DM:DM),"")</f>
        <v>0</v>
      </c>
      <c r="AS128" s="144">
        <f>IFERROR(_xlfn.XLOOKUP($B128,'Cronog. e Histog.'!$BZ:$BZ,'Cronog. e Histog.'!DN:DN),"")</f>
        <v>0</v>
      </c>
      <c r="AT128" s="144">
        <f>IFERROR(_xlfn.XLOOKUP($B128,'Cronog. e Histog.'!$BZ:$BZ,'Cronog. e Histog.'!DO:DO),"")</f>
        <v>0</v>
      </c>
      <c r="AU128" s="144">
        <f>IFERROR(_xlfn.XLOOKUP($B128,'Cronog. e Histog.'!$BZ:$BZ,'Cronog. e Histog.'!DP:DP),"")</f>
        <v>0</v>
      </c>
      <c r="AV128" s="144">
        <f>IFERROR(_xlfn.XLOOKUP($B128,'Cronog. e Histog.'!$BZ:$BZ,'Cronog. e Histog.'!DQ:DQ),"")</f>
        <v>0</v>
      </c>
      <c r="AW128" s="144">
        <f>IFERROR(_xlfn.XLOOKUP($B128,'Cronog. e Histog.'!$BZ:$BZ,'Cronog. e Histog.'!DR:DR),"")</f>
        <v>0</v>
      </c>
      <c r="AX128" s="144">
        <f>IFERROR(_xlfn.XLOOKUP($B128,'Cronog. e Histog.'!$BZ:$BZ,'Cronog. e Histog.'!DS:DS),"")</f>
        <v>0</v>
      </c>
      <c r="AY128" s="144">
        <f>IFERROR(_xlfn.XLOOKUP($B128,'Cronog. e Histog.'!$BZ:$BZ,'Cronog. e Histog.'!DT:DT),"")</f>
        <v>0</v>
      </c>
      <c r="AZ128" s="144">
        <f>IFERROR(_xlfn.XLOOKUP($B128,'Cronog. e Histog.'!$BZ:$BZ,'Cronog. e Histog.'!DU:DU),"")</f>
        <v>0</v>
      </c>
      <c r="BA128" s="144">
        <f>IFERROR(_xlfn.XLOOKUP($B128,'Cronog. e Histog.'!$BZ:$BZ,'Cronog. e Histog.'!DV:DV),"")</f>
        <v>0</v>
      </c>
      <c r="BB128" s="144">
        <f>IFERROR(_xlfn.XLOOKUP($B128,'Cronog. e Histog.'!$BZ:$BZ,'Cronog. e Histog.'!DW:DW),"")</f>
        <v>0</v>
      </c>
      <c r="BC128" s="144">
        <f>IFERROR(_xlfn.XLOOKUP($B128,'Cronog. e Histog.'!$BZ:$BZ,'Cronog. e Histog.'!DX:DX),"")</f>
        <v>0</v>
      </c>
      <c r="BD128" s="144">
        <f>IFERROR(_xlfn.XLOOKUP($B128,'Cronog. e Histog.'!$BZ:$BZ,'Cronog. e Histog.'!DY:DY),"")</f>
        <v>0</v>
      </c>
      <c r="BE128" s="144">
        <f>IFERROR(_xlfn.XLOOKUP($B128,'Cronog. e Histog.'!$BZ:$BZ,'Cronog. e Histog.'!DZ:DZ),"")</f>
        <v>0</v>
      </c>
      <c r="BF128" s="144">
        <f>IFERROR(_xlfn.XLOOKUP($B128,'Cronog. e Histog.'!$BZ:$BZ,'Cronog. e Histog.'!EA:EA),"")</f>
        <v>0</v>
      </c>
      <c r="BG128" s="144">
        <f>IFERROR(_xlfn.XLOOKUP($B128,'Cronog. e Histog.'!$BZ:$BZ,'Cronog. e Histog.'!EB:EB),"")</f>
        <v>0</v>
      </c>
      <c r="BH128" s="144">
        <f>IFERROR(_xlfn.XLOOKUP($B128,'Cronog. e Histog.'!$BZ:$BZ,'Cronog. e Histog.'!EC:EC),"")</f>
        <v>0</v>
      </c>
      <c r="BI128" s="144">
        <f>IFERROR(_xlfn.XLOOKUP($B128,'Cronog. e Histog.'!$BZ:$BZ,'Cronog. e Histog.'!ED:ED),"")</f>
        <v>0</v>
      </c>
      <c r="BJ128" s="144">
        <f>IFERROR(_xlfn.XLOOKUP($B128,'Cronog. e Histog.'!$BZ:$BZ,'Cronog. e Histog.'!EE:EE),"")</f>
        <v>0</v>
      </c>
      <c r="BK128" s="144">
        <f>IFERROR(_xlfn.XLOOKUP($B128,'Cronog. e Histog.'!$BZ:$BZ,'Cronog. e Histog.'!EF:EF),"")</f>
        <v>0</v>
      </c>
      <c r="BL128" s="144">
        <f>IFERROR(_xlfn.XLOOKUP($B128,'Cronog. e Histog.'!$BZ:$BZ,'Cronog. e Histog.'!EG:EG),"")</f>
        <v>0</v>
      </c>
      <c r="BM128" s="144">
        <f>IFERROR(_xlfn.XLOOKUP($B128,'Cronog. e Histog.'!$BZ:$BZ,'Cronog. e Histog.'!EH:EH),"")</f>
        <v>0</v>
      </c>
      <c r="BN128" s="144">
        <f>IFERROR(_xlfn.XLOOKUP($B128,'Cronog. e Histog.'!$BZ:$BZ,'Cronog. e Histog.'!EI:EI),"")</f>
        <v>0</v>
      </c>
    </row>
    <row r="129" spans="2:66" ht="12" hidden="1" customHeight="1" outlineLevel="1">
      <c r="B129" s="76">
        <v>123</v>
      </c>
      <c r="C129" s="143" t="str">
        <f>IFERROR(VLOOKUP(B129,'Cronog. e Histog.'!$BZ$213:$CA$747,2,0),"")</f>
        <v>SUP.-ESP</v>
      </c>
      <c r="D129" s="144">
        <f t="shared" si="2"/>
        <v>0</v>
      </c>
      <c r="E129" s="144">
        <f t="shared" si="3"/>
        <v>0</v>
      </c>
      <c r="F129" s="65"/>
      <c r="G129" s="144">
        <f>IFERROR(_xlfn.XLOOKUP($B129,'Cronog. e Histog.'!$BZ:$BZ,'Cronog. e Histog.'!CB:CB),"")</f>
        <v>0</v>
      </c>
      <c r="H129" s="144">
        <f>IFERROR(_xlfn.XLOOKUP($B129,'Cronog. e Histog.'!$BZ:$BZ,'Cronog. e Histog.'!CC:CC),"")</f>
        <v>0</v>
      </c>
      <c r="I129" s="144">
        <f>IFERROR(_xlfn.XLOOKUP($B129,'Cronog. e Histog.'!$BZ:$BZ,'Cronog. e Histog.'!CD:CD),"")</f>
        <v>0</v>
      </c>
      <c r="J129" s="144">
        <f>IFERROR(_xlfn.XLOOKUP($B129,'Cronog. e Histog.'!$BZ:$BZ,'Cronog. e Histog.'!CE:CE),"")</f>
        <v>0</v>
      </c>
      <c r="K129" s="144">
        <f>IFERROR(_xlfn.XLOOKUP($B129,'Cronog. e Histog.'!$BZ:$BZ,'Cronog. e Histog.'!CF:CF),"")</f>
        <v>0</v>
      </c>
      <c r="L129" s="144">
        <f>IFERROR(_xlfn.XLOOKUP($B129,'Cronog. e Histog.'!$BZ:$BZ,'Cronog. e Histog.'!CG:CG),"")</f>
        <v>0</v>
      </c>
      <c r="M129" s="144">
        <f>IFERROR(_xlfn.XLOOKUP($B129,'Cronog. e Histog.'!$BZ:$BZ,'Cronog. e Histog.'!CH:CH),"")</f>
        <v>0</v>
      </c>
      <c r="N129" s="144">
        <f>IFERROR(_xlfn.XLOOKUP($B129,'Cronog. e Histog.'!$BZ:$BZ,'Cronog. e Histog.'!CI:CI),"")</f>
        <v>0</v>
      </c>
      <c r="O129" s="144">
        <f>IFERROR(_xlfn.XLOOKUP($B129,'Cronog. e Histog.'!$BZ:$BZ,'Cronog. e Histog.'!CJ:CJ),"")</f>
        <v>0</v>
      </c>
      <c r="P129" s="144">
        <f>IFERROR(_xlfn.XLOOKUP($B129,'Cronog. e Histog.'!$BZ:$BZ,'Cronog. e Histog.'!CK:CK),"")</f>
        <v>0</v>
      </c>
      <c r="Q129" s="144">
        <f>IFERROR(_xlfn.XLOOKUP($B129,'Cronog. e Histog.'!$BZ:$BZ,'Cronog. e Histog.'!CL:CL),"")</f>
        <v>0</v>
      </c>
      <c r="R129" s="144">
        <f>IFERROR(_xlfn.XLOOKUP($B129,'Cronog. e Histog.'!$BZ:$BZ,'Cronog. e Histog.'!CM:CM),"")</f>
        <v>0</v>
      </c>
      <c r="S129" s="144">
        <f>IFERROR(_xlfn.XLOOKUP($B129,'Cronog. e Histog.'!$BZ:$BZ,'Cronog. e Histog.'!CN:CN),"")</f>
        <v>0</v>
      </c>
      <c r="T129" s="144">
        <f>IFERROR(_xlfn.XLOOKUP($B129,'Cronog. e Histog.'!$BZ:$BZ,'Cronog. e Histog.'!CO:CO),"")</f>
        <v>0</v>
      </c>
      <c r="U129" s="144">
        <f>IFERROR(_xlfn.XLOOKUP($B129,'Cronog. e Histog.'!$BZ:$BZ,'Cronog. e Histog.'!CP:CP),"")</f>
        <v>0</v>
      </c>
      <c r="V129" s="144">
        <f>IFERROR(_xlfn.XLOOKUP($B129,'Cronog. e Histog.'!$BZ:$BZ,'Cronog. e Histog.'!CQ:CQ),"")</f>
        <v>0</v>
      </c>
      <c r="W129" s="144">
        <f>IFERROR(_xlfn.XLOOKUP($B129,'Cronog. e Histog.'!$BZ:$BZ,'Cronog. e Histog.'!CR:CR),"")</f>
        <v>0</v>
      </c>
      <c r="X129" s="144">
        <f>IFERROR(_xlfn.XLOOKUP($B129,'Cronog. e Histog.'!$BZ:$BZ,'Cronog. e Histog.'!CS:CS),"")</f>
        <v>0</v>
      </c>
      <c r="Y129" s="144">
        <f>IFERROR(_xlfn.XLOOKUP($B129,'Cronog. e Histog.'!$BZ:$BZ,'Cronog. e Histog.'!CT:CT),"")</f>
        <v>0</v>
      </c>
      <c r="Z129" s="144">
        <f>IFERROR(_xlfn.XLOOKUP($B129,'Cronog. e Histog.'!$BZ:$BZ,'Cronog. e Histog.'!CU:CU),"")</f>
        <v>0</v>
      </c>
      <c r="AA129" s="144">
        <f>IFERROR(_xlfn.XLOOKUP($B129,'Cronog. e Histog.'!$BZ:$BZ,'Cronog. e Histog.'!CV:CV),"")</f>
        <v>0</v>
      </c>
      <c r="AB129" s="144">
        <f>IFERROR(_xlfn.XLOOKUP($B129,'Cronog. e Histog.'!$BZ:$BZ,'Cronog. e Histog.'!CW:CW),"")</f>
        <v>0</v>
      </c>
      <c r="AC129" s="144">
        <f>IFERROR(_xlfn.XLOOKUP($B129,'Cronog. e Histog.'!$BZ:$BZ,'Cronog. e Histog.'!CX:CX),"")</f>
        <v>0</v>
      </c>
      <c r="AD129" s="144">
        <f>IFERROR(_xlfn.XLOOKUP($B129,'Cronog. e Histog.'!$BZ:$BZ,'Cronog. e Histog.'!CY:CY),"")</f>
        <v>0</v>
      </c>
      <c r="AE129" s="144">
        <f>IFERROR(_xlfn.XLOOKUP($B129,'Cronog. e Histog.'!$BZ:$BZ,'Cronog. e Histog.'!CZ:CZ),"")</f>
        <v>0</v>
      </c>
      <c r="AF129" s="144">
        <f>IFERROR(_xlfn.XLOOKUP($B129,'Cronog. e Histog.'!$BZ:$BZ,'Cronog. e Histog.'!DA:DA),"")</f>
        <v>0</v>
      </c>
      <c r="AG129" s="144">
        <f>IFERROR(_xlfn.XLOOKUP($B129,'Cronog. e Histog.'!$BZ:$BZ,'Cronog. e Histog.'!DB:DB),"")</f>
        <v>0</v>
      </c>
      <c r="AH129" s="144">
        <f>IFERROR(_xlfn.XLOOKUP($B129,'Cronog. e Histog.'!$BZ:$BZ,'Cronog. e Histog.'!DC:DC),"")</f>
        <v>0</v>
      </c>
      <c r="AI129" s="144">
        <f>IFERROR(_xlfn.XLOOKUP($B129,'Cronog. e Histog.'!$BZ:$BZ,'Cronog. e Histog.'!DD:DD),"")</f>
        <v>0</v>
      </c>
      <c r="AJ129" s="144">
        <f>IFERROR(_xlfn.XLOOKUP($B129,'Cronog. e Histog.'!$BZ:$BZ,'Cronog. e Histog.'!DE:DE),"")</f>
        <v>0</v>
      </c>
      <c r="AK129" s="144">
        <f>IFERROR(_xlfn.XLOOKUP($B129,'Cronog. e Histog.'!$BZ:$BZ,'Cronog. e Histog.'!DF:DF),"")</f>
        <v>0</v>
      </c>
      <c r="AL129" s="144">
        <f>IFERROR(_xlfn.XLOOKUP($B129,'Cronog. e Histog.'!$BZ:$BZ,'Cronog. e Histog.'!DG:DG),"")</f>
        <v>0</v>
      </c>
      <c r="AM129" s="144">
        <f>IFERROR(_xlfn.XLOOKUP($B129,'Cronog. e Histog.'!$BZ:$BZ,'Cronog. e Histog.'!DH:DH),"")</f>
        <v>0</v>
      </c>
      <c r="AN129" s="144">
        <f>IFERROR(_xlfn.XLOOKUP($B129,'Cronog. e Histog.'!$BZ:$BZ,'Cronog. e Histog.'!DI:DI),"")</f>
        <v>0</v>
      </c>
      <c r="AO129" s="144">
        <f>IFERROR(_xlfn.XLOOKUP($B129,'Cronog. e Histog.'!$BZ:$BZ,'Cronog. e Histog.'!DJ:DJ),"")</f>
        <v>0</v>
      </c>
      <c r="AP129" s="144">
        <f>IFERROR(_xlfn.XLOOKUP($B129,'Cronog. e Histog.'!$BZ:$BZ,'Cronog. e Histog.'!DK:DK),"")</f>
        <v>0</v>
      </c>
      <c r="AQ129" s="144">
        <f>IFERROR(_xlfn.XLOOKUP($B129,'Cronog. e Histog.'!$BZ:$BZ,'Cronog. e Histog.'!DL:DL),"")</f>
        <v>0</v>
      </c>
      <c r="AR129" s="144">
        <f>IFERROR(_xlfn.XLOOKUP($B129,'Cronog. e Histog.'!$BZ:$BZ,'Cronog. e Histog.'!DM:DM),"")</f>
        <v>0</v>
      </c>
      <c r="AS129" s="144">
        <f>IFERROR(_xlfn.XLOOKUP($B129,'Cronog. e Histog.'!$BZ:$BZ,'Cronog. e Histog.'!DN:DN),"")</f>
        <v>0</v>
      </c>
      <c r="AT129" s="144">
        <f>IFERROR(_xlfn.XLOOKUP($B129,'Cronog. e Histog.'!$BZ:$BZ,'Cronog. e Histog.'!DO:DO),"")</f>
        <v>0</v>
      </c>
      <c r="AU129" s="144">
        <f>IFERROR(_xlfn.XLOOKUP($B129,'Cronog. e Histog.'!$BZ:$BZ,'Cronog. e Histog.'!DP:DP),"")</f>
        <v>0</v>
      </c>
      <c r="AV129" s="144">
        <f>IFERROR(_xlfn.XLOOKUP($B129,'Cronog. e Histog.'!$BZ:$BZ,'Cronog. e Histog.'!DQ:DQ),"")</f>
        <v>0</v>
      </c>
      <c r="AW129" s="144">
        <f>IFERROR(_xlfn.XLOOKUP($B129,'Cronog. e Histog.'!$BZ:$BZ,'Cronog. e Histog.'!DR:DR),"")</f>
        <v>0</v>
      </c>
      <c r="AX129" s="144">
        <f>IFERROR(_xlfn.XLOOKUP($B129,'Cronog. e Histog.'!$BZ:$BZ,'Cronog. e Histog.'!DS:DS),"")</f>
        <v>0</v>
      </c>
      <c r="AY129" s="144">
        <f>IFERROR(_xlfn.XLOOKUP($B129,'Cronog. e Histog.'!$BZ:$BZ,'Cronog. e Histog.'!DT:DT),"")</f>
        <v>0</v>
      </c>
      <c r="AZ129" s="144">
        <f>IFERROR(_xlfn.XLOOKUP($B129,'Cronog. e Histog.'!$BZ:$BZ,'Cronog. e Histog.'!DU:DU),"")</f>
        <v>0</v>
      </c>
      <c r="BA129" s="144">
        <f>IFERROR(_xlfn.XLOOKUP($B129,'Cronog. e Histog.'!$BZ:$BZ,'Cronog. e Histog.'!DV:DV),"")</f>
        <v>0</v>
      </c>
      <c r="BB129" s="144">
        <f>IFERROR(_xlfn.XLOOKUP($B129,'Cronog. e Histog.'!$BZ:$BZ,'Cronog. e Histog.'!DW:DW),"")</f>
        <v>0</v>
      </c>
      <c r="BC129" s="144">
        <f>IFERROR(_xlfn.XLOOKUP($B129,'Cronog. e Histog.'!$BZ:$BZ,'Cronog. e Histog.'!DX:DX),"")</f>
        <v>0</v>
      </c>
      <c r="BD129" s="144">
        <f>IFERROR(_xlfn.XLOOKUP($B129,'Cronog. e Histog.'!$BZ:$BZ,'Cronog. e Histog.'!DY:DY),"")</f>
        <v>0</v>
      </c>
      <c r="BE129" s="144">
        <f>IFERROR(_xlfn.XLOOKUP($B129,'Cronog. e Histog.'!$BZ:$BZ,'Cronog. e Histog.'!DZ:DZ),"")</f>
        <v>0</v>
      </c>
      <c r="BF129" s="144">
        <f>IFERROR(_xlfn.XLOOKUP($B129,'Cronog. e Histog.'!$BZ:$BZ,'Cronog. e Histog.'!EA:EA),"")</f>
        <v>0</v>
      </c>
      <c r="BG129" s="144">
        <f>IFERROR(_xlfn.XLOOKUP($B129,'Cronog. e Histog.'!$BZ:$BZ,'Cronog. e Histog.'!EB:EB),"")</f>
        <v>0</v>
      </c>
      <c r="BH129" s="144">
        <f>IFERROR(_xlfn.XLOOKUP($B129,'Cronog. e Histog.'!$BZ:$BZ,'Cronog. e Histog.'!EC:EC),"")</f>
        <v>0</v>
      </c>
      <c r="BI129" s="144">
        <f>IFERROR(_xlfn.XLOOKUP($B129,'Cronog. e Histog.'!$BZ:$BZ,'Cronog. e Histog.'!ED:ED),"")</f>
        <v>0</v>
      </c>
      <c r="BJ129" s="144">
        <f>IFERROR(_xlfn.XLOOKUP($B129,'Cronog. e Histog.'!$BZ:$BZ,'Cronog. e Histog.'!EE:EE),"")</f>
        <v>0</v>
      </c>
      <c r="BK129" s="144">
        <f>IFERROR(_xlfn.XLOOKUP($B129,'Cronog. e Histog.'!$BZ:$BZ,'Cronog. e Histog.'!EF:EF),"")</f>
        <v>0</v>
      </c>
      <c r="BL129" s="144">
        <f>IFERROR(_xlfn.XLOOKUP($B129,'Cronog. e Histog.'!$BZ:$BZ,'Cronog. e Histog.'!EG:EG),"")</f>
        <v>0</v>
      </c>
      <c r="BM129" s="144">
        <f>IFERROR(_xlfn.XLOOKUP($B129,'Cronog. e Histog.'!$BZ:$BZ,'Cronog. e Histog.'!EH:EH),"")</f>
        <v>0</v>
      </c>
      <c r="BN129" s="144">
        <f>IFERROR(_xlfn.XLOOKUP($B129,'Cronog. e Histog.'!$BZ:$BZ,'Cronog. e Histog.'!EI:EI),"")</f>
        <v>0</v>
      </c>
    </row>
    <row r="130" spans="2:66" ht="12" hidden="1" customHeight="1" outlineLevel="1">
      <c r="B130" s="76">
        <v>124</v>
      </c>
      <c r="C130" s="143" t="str">
        <f>IFERROR(VLOOKUP(B130,'Cronog. e Histog.'!$BZ$213:$CA$747,2,0),"")</f>
        <v>ENG/ARQ SR.</v>
      </c>
      <c r="D130" s="144">
        <f t="shared" si="2"/>
        <v>0</v>
      </c>
      <c r="E130" s="144">
        <f t="shared" si="3"/>
        <v>0</v>
      </c>
      <c r="F130" s="65"/>
      <c r="G130" s="144">
        <f>IFERROR(_xlfn.XLOOKUP($B130,'Cronog. e Histog.'!$BZ:$BZ,'Cronog. e Histog.'!CB:CB),"")</f>
        <v>0</v>
      </c>
      <c r="H130" s="144">
        <f>IFERROR(_xlfn.XLOOKUP($B130,'Cronog. e Histog.'!$BZ:$BZ,'Cronog. e Histog.'!CC:CC),"")</f>
        <v>0</v>
      </c>
      <c r="I130" s="144">
        <f>IFERROR(_xlfn.XLOOKUP($B130,'Cronog. e Histog.'!$BZ:$BZ,'Cronog. e Histog.'!CD:CD),"")</f>
        <v>0</v>
      </c>
      <c r="J130" s="144">
        <f>IFERROR(_xlfn.XLOOKUP($B130,'Cronog. e Histog.'!$BZ:$BZ,'Cronog. e Histog.'!CE:CE),"")</f>
        <v>0</v>
      </c>
      <c r="K130" s="144">
        <f>IFERROR(_xlfn.XLOOKUP($B130,'Cronog. e Histog.'!$BZ:$BZ,'Cronog. e Histog.'!CF:CF),"")</f>
        <v>0</v>
      </c>
      <c r="L130" s="144">
        <f>IFERROR(_xlfn.XLOOKUP($B130,'Cronog. e Histog.'!$BZ:$BZ,'Cronog. e Histog.'!CG:CG),"")</f>
        <v>0</v>
      </c>
      <c r="M130" s="144">
        <f>IFERROR(_xlfn.XLOOKUP($B130,'Cronog. e Histog.'!$BZ:$BZ,'Cronog. e Histog.'!CH:CH),"")</f>
        <v>0</v>
      </c>
      <c r="N130" s="144">
        <f>IFERROR(_xlfn.XLOOKUP($B130,'Cronog. e Histog.'!$BZ:$BZ,'Cronog. e Histog.'!CI:CI),"")</f>
        <v>0</v>
      </c>
      <c r="O130" s="144">
        <f>IFERROR(_xlfn.XLOOKUP($B130,'Cronog. e Histog.'!$BZ:$BZ,'Cronog. e Histog.'!CJ:CJ),"")</f>
        <v>0</v>
      </c>
      <c r="P130" s="144">
        <f>IFERROR(_xlfn.XLOOKUP($B130,'Cronog. e Histog.'!$BZ:$BZ,'Cronog. e Histog.'!CK:CK),"")</f>
        <v>0</v>
      </c>
      <c r="Q130" s="144">
        <f>IFERROR(_xlfn.XLOOKUP($B130,'Cronog. e Histog.'!$BZ:$BZ,'Cronog. e Histog.'!CL:CL),"")</f>
        <v>0</v>
      </c>
      <c r="R130" s="144">
        <f>IFERROR(_xlfn.XLOOKUP($B130,'Cronog. e Histog.'!$BZ:$BZ,'Cronog. e Histog.'!CM:CM),"")</f>
        <v>0</v>
      </c>
      <c r="S130" s="144">
        <f>IFERROR(_xlfn.XLOOKUP($B130,'Cronog. e Histog.'!$BZ:$BZ,'Cronog. e Histog.'!CN:CN),"")</f>
        <v>0</v>
      </c>
      <c r="T130" s="144">
        <f>IFERROR(_xlfn.XLOOKUP($B130,'Cronog. e Histog.'!$BZ:$BZ,'Cronog. e Histog.'!CO:CO),"")</f>
        <v>0</v>
      </c>
      <c r="U130" s="144">
        <f>IFERROR(_xlfn.XLOOKUP($B130,'Cronog. e Histog.'!$BZ:$BZ,'Cronog. e Histog.'!CP:CP),"")</f>
        <v>0</v>
      </c>
      <c r="V130" s="144">
        <f>IFERROR(_xlfn.XLOOKUP($B130,'Cronog. e Histog.'!$BZ:$BZ,'Cronog. e Histog.'!CQ:CQ),"")</f>
        <v>0</v>
      </c>
      <c r="W130" s="144">
        <f>IFERROR(_xlfn.XLOOKUP($B130,'Cronog. e Histog.'!$BZ:$BZ,'Cronog. e Histog.'!CR:CR),"")</f>
        <v>0</v>
      </c>
      <c r="X130" s="144">
        <f>IFERROR(_xlfn.XLOOKUP($B130,'Cronog. e Histog.'!$BZ:$BZ,'Cronog. e Histog.'!CS:CS),"")</f>
        <v>0</v>
      </c>
      <c r="Y130" s="144">
        <f>IFERROR(_xlfn.XLOOKUP($B130,'Cronog. e Histog.'!$BZ:$BZ,'Cronog. e Histog.'!CT:CT),"")</f>
        <v>0</v>
      </c>
      <c r="Z130" s="144">
        <f>IFERROR(_xlfn.XLOOKUP($B130,'Cronog. e Histog.'!$BZ:$BZ,'Cronog. e Histog.'!CU:CU),"")</f>
        <v>0</v>
      </c>
      <c r="AA130" s="144">
        <f>IFERROR(_xlfn.XLOOKUP($B130,'Cronog. e Histog.'!$BZ:$BZ,'Cronog. e Histog.'!CV:CV),"")</f>
        <v>0</v>
      </c>
      <c r="AB130" s="144">
        <f>IFERROR(_xlfn.XLOOKUP($B130,'Cronog. e Histog.'!$BZ:$BZ,'Cronog. e Histog.'!CW:CW),"")</f>
        <v>0</v>
      </c>
      <c r="AC130" s="144">
        <f>IFERROR(_xlfn.XLOOKUP($B130,'Cronog. e Histog.'!$BZ:$BZ,'Cronog. e Histog.'!CX:CX),"")</f>
        <v>0</v>
      </c>
      <c r="AD130" s="144">
        <f>IFERROR(_xlfn.XLOOKUP($B130,'Cronog. e Histog.'!$BZ:$BZ,'Cronog. e Histog.'!CY:CY),"")</f>
        <v>0</v>
      </c>
      <c r="AE130" s="144">
        <f>IFERROR(_xlfn.XLOOKUP($B130,'Cronog. e Histog.'!$BZ:$BZ,'Cronog. e Histog.'!CZ:CZ),"")</f>
        <v>0</v>
      </c>
      <c r="AF130" s="144">
        <f>IFERROR(_xlfn.XLOOKUP($B130,'Cronog. e Histog.'!$BZ:$BZ,'Cronog. e Histog.'!DA:DA),"")</f>
        <v>0</v>
      </c>
      <c r="AG130" s="144">
        <f>IFERROR(_xlfn.XLOOKUP($B130,'Cronog. e Histog.'!$BZ:$BZ,'Cronog. e Histog.'!DB:DB),"")</f>
        <v>0</v>
      </c>
      <c r="AH130" s="144">
        <f>IFERROR(_xlfn.XLOOKUP($B130,'Cronog. e Histog.'!$BZ:$BZ,'Cronog. e Histog.'!DC:DC),"")</f>
        <v>0</v>
      </c>
      <c r="AI130" s="144">
        <f>IFERROR(_xlfn.XLOOKUP($B130,'Cronog. e Histog.'!$BZ:$BZ,'Cronog. e Histog.'!DD:DD),"")</f>
        <v>0</v>
      </c>
      <c r="AJ130" s="144">
        <f>IFERROR(_xlfn.XLOOKUP($B130,'Cronog. e Histog.'!$BZ:$BZ,'Cronog. e Histog.'!DE:DE),"")</f>
        <v>0</v>
      </c>
      <c r="AK130" s="144">
        <f>IFERROR(_xlfn.XLOOKUP($B130,'Cronog. e Histog.'!$BZ:$BZ,'Cronog. e Histog.'!DF:DF),"")</f>
        <v>0</v>
      </c>
      <c r="AL130" s="144">
        <f>IFERROR(_xlfn.XLOOKUP($B130,'Cronog. e Histog.'!$BZ:$BZ,'Cronog. e Histog.'!DG:DG),"")</f>
        <v>0</v>
      </c>
      <c r="AM130" s="144">
        <f>IFERROR(_xlfn.XLOOKUP($B130,'Cronog. e Histog.'!$BZ:$BZ,'Cronog. e Histog.'!DH:DH),"")</f>
        <v>0</v>
      </c>
      <c r="AN130" s="144">
        <f>IFERROR(_xlfn.XLOOKUP($B130,'Cronog. e Histog.'!$BZ:$BZ,'Cronog. e Histog.'!DI:DI),"")</f>
        <v>0</v>
      </c>
      <c r="AO130" s="144">
        <f>IFERROR(_xlfn.XLOOKUP($B130,'Cronog. e Histog.'!$BZ:$BZ,'Cronog. e Histog.'!DJ:DJ),"")</f>
        <v>0</v>
      </c>
      <c r="AP130" s="144">
        <f>IFERROR(_xlfn.XLOOKUP($B130,'Cronog. e Histog.'!$BZ:$BZ,'Cronog. e Histog.'!DK:DK),"")</f>
        <v>0</v>
      </c>
      <c r="AQ130" s="144">
        <f>IFERROR(_xlfn.XLOOKUP($B130,'Cronog. e Histog.'!$BZ:$BZ,'Cronog. e Histog.'!DL:DL),"")</f>
        <v>0</v>
      </c>
      <c r="AR130" s="144">
        <f>IFERROR(_xlfn.XLOOKUP($B130,'Cronog. e Histog.'!$BZ:$BZ,'Cronog. e Histog.'!DM:DM),"")</f>
        <v>0</v>
      </c>
      <c r="AS130" s="144">
        <f>IFERROR(_xlfn.XLOOKUP($B130,'Cronog. e Histog.'!$BZ:$BZ,'Cronog. e Histog.'!DN:DN),"")</f>
        <v>0</v>
      </c>
      <c r="AT130" s="144">
        <f>IFERROR(_xlfn.XLOOKUP($B130,'Cronog. e Histog.'!$BZ:$BZ,'Cronog. e Histog.'!DO:DO),"")</f>
        <v>0</v>
      </c>
      <c r="AU130" s="144">
        <f>IFERROR(_xlfn.XLOOKUP($B130,'Cronog. e Histog.'!$BZ:$BZ,'Cronog. e Histog.'!DP:DP),"")</f>
        <v>0</v>
      </c>
      <c r="AV130" s="144">
        <f>IFERROR(_xlfn.XLOOKUP($B130,'Cronog. e Histog.'!$BZ:$BZ,'Cronog. e Histog.'!DQ:DQ),"")</f>
        <v>0</v>
      </c>
      <c r="AW130" s="144">
        <f>IFERROR(_xlfn.XLOOKUP($B130,'Cronog. e Histog.'!$BZ:$BZ,'Cronog. e Histog.'!DR:DR),"")</f>
        <v>0</v>
      </c>
      <c r="AX130" s="144">
        <f>IFERROR(_xlfn.XLOOKUP($B130,'Cronog. e Histog.'!$BZ:$BZ,'Cronog. e Histog.'!DS:DS),"")</f>
        <v>0</v>
      </c>
      <c r="AY130" s="144">
        <f>IFERROR(_xlfn.XLOOKUP($B130,'Cronog. e Histog.'!$BZ:$BZ,'Cronog. e Histog.'!DT:DT),"")</f>
        <v>0</v>
      </c>
      <c r="AZ130" s="144">
        <f>IFERROR(_xlfn.XLOOKUP($B130,'Cronog. e Histog.'!$BZ:$BZ,'Cronog. e Histog.'!DU:DU),"")</f>
        <v>0</v>
      </c>
      <c r="BA130" s="144">
        <f>IFERROR(_xlfn.XLOOKUP($B130,'Cronog. e Histog.'!$BZ:$BZ,'Cronog. e Histog.'!DV:DV),"")</f>
        <v>0</v>
      </c>
      <c r="BB130" s="144">
        <f>IFERROR(_xlfn.XLOOKUP($B130,'Cronog. e Histog.'!$BZ:$BZ,'Cronog. e Histog.'!DW:DW),"")</f>
        <v>0</v>
      </c>
      <c r="BC130" s="144">
        <f>IFERROR(_xlfn.XLOOKUP($B130,'Cronog. e Histog.'!$BZ:$BZ,'Cronog. e Histog.'!DX:DX),"")</f>
        <v>0</v>
      </c>
      <c r="BD130" s="144">
        <f>IFERROR(_xlfn.XLOOKUP($B130,'Cronog. e Histog.'!$BZ:$BZ,'Cronog. e Histog.'!DY:DY),"")</f>
        <v>0</v>
      </c>
      <c r="BE130" s="144">
        <f>IFERROR(_xlfn.XLOOKUP($B130,'Cronog. e Histog.'!$BZ:$BZ,'Cronog. e Histog.'!DZ:DZ),"")</f>
        <v>0</v>
      </c>
      <c r="BF130" s="144">
        <f>IFERROR(_xlfn.XLOOKUP($B130,'Cronog. e Histog.'!$BZ:$BZ,'Cronog. e Histog.'!EA:EA),"")</f>
        <v>0</v>
      </c>
      <c r="BG130" s="144">
        <f>IFERROR(_xlfn.XLOOKUP($B130,'Cronog. e Histog.'!$BZ:$BZ,'Cronog. e Histog.'!EB:EB),"")</f>
        <v>0</v>
      </c>
      <c r="BH130" s="144">
        <f>IFERROR(_xlfn.XLOOKUP($B130,'Cronog. e Histog.'!$BZ:$BZ,'Cronog. e Histog.'!EC:EC),"")</f>
        <v>0</v>
      </c>
      <c r="BI130" s="144">
        <f>IFERROR(_xlfn.XLOOKUP($B130,'Cronog. e Histog.'!$BZ:$BZ,'Cronog. e Histog.'!ED:ED),"")</f>
        <v>0</v>
      </c>
      <c r="BJ130" s="144">
        <f>IFERROR(_xlfn.XLOOKUP($B130,'Cronog. e Histog.'!$BZ:$BZ,'Cronog. e Histog.'!EE:EE),"")</f>
        <v>0</v>
      </c>
      <c r="BK130" s="144">
        <f>IFERROR(_xlfn.XLOOKUP($B130,'Cronog. e Histog.'!$BZ:$BZ,'Cronog. e Histog.'!EF:EF),"")</f>
        <v>0</v>
      </c>
      <c r="BL130" s="144">
        <f>IFERROR(_xlfn.XLOOKUP($B130,'Cronog. e Histog.'!$BZ:$BZ,'Cronog. e Histog.'!EG:EG),"")</f>
        <v>0</v>
      </c>
      <c r="BM130" s="144">
        <f>IFERROR(_xlfn.XLOOKUP($B130,'Cronog. e Histog.'!$BZ:$BZ,'Cronog. e Histog.'!EH:EH),"")</f>
        <v>0</v>
      </c>
      <c r="BN130" s="144">
        <f>IFERROR(_xlfn.XLOOKUP($B130,'Cronog. e Histog.'!$BZ:$BZ,'Cronog. e Histog.'!EI:EI),"")</f>
        <v>0</v>
      </c>
    </row>
    <row r="131" spans="2:66" ht="12" hidden="1" customHeight="1" outlineLevel="1">
      <c r="B131" s="76">
        <v>125</v>
      </c>
      <c r="C131" s="143" t="str">
        <f>IFERROR(VLOOKUP(B131,'Cronog. e Histog.'!$BZ$213:$CA$747,2,0),"")</f>
        <v>ENG/ARQ PL.</v>
      </c>
      <c r="D131" s="144">
        <f t="shared" si="2"/>
        <v>0</v>
      </c>
      <c r="E131" s="144">
        <f t="shared" si="3"/>
        <v>0</v>
      </c>
      <c r="F131" s="65"/>
      <c r="G131" s="144">
        <f>IFERROR(_xlfn.XLOOKUP($B131,'Cronog. e Histog.'!$BZ:$BZ,'Cronog. e Histog.'!CB:CB),"")</f>
        <v>0</v>
      </c>
      <c r="H131" s="144">
        <f>IFERROR(_xlfn.XLOOKUP($B131,'Cronog. e Histog.'!$BZ:$BZ,'Cronog. e Histog.'!CC:CC),"")</f>
        <v>0</v>
      </c>
      <c r="I131" s="144">
        <f>IFERROR(_xlfn.XLOOKUP($B131,'Cronog. e Histog.'!$BZ:$BZ,'Cronog. e Histog.'!CD:CD),"")</f>
        <v>0</v>
      </c>
      <c r="J131" s="144">
        <f>IFERROR(_xlfn.XLOOKUP($B131,'Cronog. e Histog.'!$BZ:$BZ,'Cronog. e Histog.'!CE:CE),"")</f>
        <v>0</v>
      </c>
      <c r="K131" s="144">
        <f>IFERROR(_xlfn.XLOOKUP($B131,'Cronog. e Histog.'!$BZ:$BZ,'Cronog. e Histog.'!CF:CF),"")</f>
        <v>0</v>
      </c>
      <c r="L131" s="144">
        <f>IFERROR(_xlfn.XLOOKUP($B131,'Cronog. e Histog.'!$BZ:$BZ,'Cronog. e Histog.'!CG:CG),"")</f>
        <v>0</v>
      </c>
      <c r="M131" s="144">
        <f>IFERROR(_xlfn.XLOOKUP($B131,'Cronog. e Histog.'!$BZ:$BZ,'Cronog. e Histog.'!CH:CH),"")</f>
        <v>0</v>
      </c>
      <c r="N131" s="144">
        <f>IFERROR(_xlfn.XLOOKUP($B131,'Cronog. e Histog.'!$BZ:$BZ,'Cronog. e Histog.'!CI:CI),"")</f>
        <v>0</v>
      </c>
      <c r="O131" s="144">
        <f>IFERROR(_xlfn.XLOOKUP($B131,'Cronog. e Histog.'!$BZ:$BZ,'Cronog. e Histog.'!CJ:CJ),"")</f>
        <v>0</v>
      </c>
      <c r="P131" s="144">
        <f>IFERROR(_xlfn.XLOOKUP($B131,'Cronog. e Histog.'!$BZ:$BZ,'Cronog. e Histog.'!CK:CK),"")</f>
        <v>0</v>
      </c>
      <c r="Q131" s="144">
        <f>IFERROR(_xlfn.XLOOKUP($B131,'Cronog. e Histog.'!$BZ:$BZ,'Cronog. e Histog.'!CL:CL),"")</f>
        <v>0</v>
      </c>
      <c r="R131" s="144">
        <f>IFERROR(_xlfn.XLOOKUP($B131,'Cronog. e Histog.'!$BZ:$BZ,'Cronog. e Histog.'!CM:CM),"")</f>
        <v>0</v>
      </c>
      <c r="S131" s="144">
        <f>IFERROR(_xlfn.XLOOKUP($B131,'Cronog. e Histog.'!$BZ:$BZ,'Cronog. e Histog.'!CN:CN),"")</f>
        <v>0</v>
      </c>
      <c r="T131" s="144">
        <f>IFERROR(_xlfn.XLOOKUP($B131,'Cronog. e Histog.'!$BZ:$BZ,'Cronog. e Histog.'!CO:CO),"")</f>
        <v>0</v>
      </c>
      <c r="U131" s="144">
        <f>IFERROR(_xlfn.XLOOKUP($B131,'Cronog. e Histog.'!$BZ:$BZ,'Cronog. e Histog.'!CP:CP),"")</f>
        <v>0</v>
      </c>
      <c r="V131" s="144">
        <f>IFERROR(_xlfn.XLOOKUP($B131,'Cronog. e Histog.'!$BZ:$BZ,'Cronog. e Histog.'!CQ:CQ),"")</f>
        <v>0</v>
      </c>
      <c r="W131" s="144">
        <f>IFERROR(_xlfn.XLOOKUP($B131,'Cronog. e Histog.'!$BZ:$BZ,'Cronog. e Histog.'!CR:CR),"")</f>
        <v>0</v>
      </c>
      <c r="X131" s="144">
        <f>IFERROR(_xlfn.XLOOKUP($B131,'Cronog. e Histog.'!$BZ:$BZ,'Cronog. e Histog.'!CS:CS),"")</f>
        <v>0</v>
      </c>
      <c r="Y131" s="144">
        <f>IFERROR(_xlfn.XLOOKUP($B131,'Cronog. e Histog.'!$BZ:$BZ,'Cronog. e Histog.'!CT:CT),"")</f>
        <v>0</v>
      </c>
      <c r="Z131" s="144">
        <f>IFERROR(_xlfn.XLOOKUP($B131,'Cronog. e Histog.'!$BZ:$BZ,'Cronog. e Histog.'!CU:CU),"")</f>
        <v>0</v>
      </c>
      <c r="AA131" s="144">
        <f>IFERROR(_xlfn.XLOOKUP($B131,'Cronog. e Histog.'!$BZ:$BZ,'Cronog. e Histog.'!CV:CV),"")</f>
        <v>0</v>
      </c>
      <c r="AB131" s="144">
        <f>IFERROR(_xlfn.XLOOKUP($B131,'Cronog. e Histog.'!$BZ:$BZ,'Cronog. e Histog.'!CW:CW),"")</f>
        <v>0</v>
      </c>
      <c r="AC131" s="144">
        <f>IFERROR(_xlfn.XLOOKUP($B131,'Cronog. e Histog.'!$BZ:$BZ,'Cronog. e Histog.'!CX:CX),"")</f>
        <v>0</v>
      </c>
      <c r="AD131" s="144">
        <f>IFERROR(_xlfn.XLOOKUP($B131,'Cronog. e Histog.'!$BZ:$BZ,'Cronog. e Histog.'!CY:CY),"")</f>
        <v>0</v>
      </c>
      <c r="AE131" s="144">
        <f>IFERROR(_xlfn.XLOOKUP($B131,'Cronog. e Histog.'!$BZ:$BZ,'Cronog. e Histog.'!CZ:CZ),"")</f>
        <v>0</v>
      </c>
      <c r="AF131" s="144">
        <f>IFERROR(_xlfn.XLOOKUP($B131,'Cronog. e Histog.'!$BZ:$BZ,'Cronog. e Histog.'!DA:DA),"")</f>
        <v>0</v>
      </c>
      <c r="AG131" s="144">
        <f>IFERROR(_xlfn.XLOOKUP($B131,'Cronog. e Histog.'!$BZ:$BZ,'Cronog. e Histog.'!DB:DB),"")</f>
        <v>0</v>
      </c>
      <c r="AH131" s="144">
        <f>IFERROR(_xlfn.XLOOKUP($B131,'Cronog. e Histog.'!$BZ:$BZ,'Cronog. e Histog.'!DC:DC),"")</f>
        <v>0</v>
      </c>
      <c r="AI131" s="144">
        <f>IFERROR(_xlfn.XLOOKUP($B131,'Cronog. e Histog.'!$BZ:$BZ,'Cronog. e Histog.'!DD:DD),"")</f>
        <v>0</v>
      </c>
      <c r="AJ131" s="144">
        <f>IFERROR(_xlfn.XLOOKUP($B131,'Cronog. e Histog.'!$BZ:$BZ,'Cronog. e Histog.'!DE:DE),"")</f>
        <v>0</v>
      </c>
      <c r="AK131" s="144">
        <f>IFERROR(_xlfn.XLOOKUP($B131,'Cronog. e Histog.'!$BZ:$BZ,'Cronog. e Histog.'!DF:DF),"")</f>
        <v>0</v>
      </c>
      <c r="AL131" s="144">
        <f>IFERROR(_xlfn.XLOOKUP($B131,'Cronog. e Histog.'!$BZ:$BZ,'Cronog. e Histog.'!DG:DG),"")</f>
        <v>0</v>
      </c>
      <c r="AM131" s="144">
        <f>IFERROR(_xlfn.XLOOKUP($B131,'Cronog. e Histog.'!$BZ:$BZ,'Cronog. e Histog.'!DH:DH),"")</f>
        <v>0</v>
      </c>
      <c r="AN131" s="144">
        <f>IFERROR(_xlfn.XLOOKUP($B131,'Cronog. e Histog.'!$BZ:$BZ,'Cronog. e Histog.'!DI:DI),"")</f>
        <v>0</v>
      </c>
      <c r="AO131" s="144">
        <f>IFERROR(_xlfn.XLOOKUP($B131,'Cronog. e Histog.'!$BZ:$BZ,'Cronog. e Histog.'!DJ:DJ),"")</f>
        <v>0</v>
      </c>
      <c r="AP131" s="144">
        <f>IFERROR(_xlfn.XLOOKUP($B131,'Cronog. e Histog.'!$BZ:$BZ,'Cronog. e Histog.'!DK:DK),"")</f>
        <v>0</v>
      </c>
      <c r="AQ131" s="144">
        <f>IFERROR(_xlfn.XLOOKUP($B131,'Cronog. e Histog.'!$BZ:$BZ,'Cronog. e Histog.'!DL:DL),"")</f>
        <v>0</v>
      </c>
      <c r="AR131" s="144">
        <f>IFERROR(_xlfn.XLOOKUP($B131,'Cronog. e Histog.'!$BZ:$BZ,'Cronog. e Histog.'!DM:DM),"")</f>
        <v>0</v>
      </c>
      <c r="AS131" s="144">
        <f>IFERROR(_xlfn.XLOOKUP($B131,'Cronog. e Histog.'!$BZ:$BZ,'Cronog. e Histog.'!DN:DN),"")</f>
        <v>0</v>
      </c>
      <c r="AT131" s="144">
        <f>IFERROR(_xlfn.XLOOKUP($B131,'Cronog. e Histog.'!$BZ:$BZ,'Cronog. e Histog.'!DO:DO),"")</f>
        <v>0</v>
      </c>
      <c r="AU131" s="144">
        <f>IFERROR(_xlfn.XLOOKUP($B131,'Cronog. e Histog.'!$BZ:$BZ,'Cronog. e Histog.'!DP:DP),"")</f>
        <v>0</v>
      </c>
      <c r="AV131" s="144">
        <f>IFERROR(_xlfn.XLOOKUP($B131,'Cronog. e Histog.'!$BZ:$BZ,'Cronog. e Histog.'!DQ:DQ),"")</f>
        <v>0</v>
      </c>
      <c r="AW131" s="144">
        <f>IFERROR(_xlfn.XLOOKUP($B131,'Cronog. e Histog.'!$BZ:$BZ,'Cronog. e Histog.'!DR:DR),"")</f>
        <v>0</v>
      </c>
      <c r="AX131" s="144">
        <f>IFERROR(_xlfn.XLOOKUP($B131,'Cronog. e Histog.'!$BZ:$BZ,'Cronog. e Histog.'!DS:DS),"")</f>
        <v>0</v>
      </c>
      <c r="AY131" s="144">
        <f>IFERROR(_xlfn.XLOOKUP($B131,'Cronog. e Histog.'!$BZ:$BZ,'Cronog. e Histog.'!DT:DT),"")</f>
        <v>0</v>
      </c>
      <c r="AZ131" s="144">
        <f>IFERROR(_xlfn.XLOOKUP($B131,'Cronog. e Histog.'!$BZ:$BZ,'Cronog. e Histog.'!DU:DU),"")</f>
        <v>0</v>
      </c>
      <c r="BA131" s="144">
        <f>IFERROR(_xlfn.XLOOKUP($B131,'Cronog. e Histog.'!$BZ:$BZ,'Cronog. e Histog.'!DV:DV),"")</f>
        <v>0</v>
      </c>
      <c r="BB131" s="144">
        <f>IFERROR(_xlfn.XLOOKUP($B131,'Cronog. e Histog.'!$BZ:$BZ,'Cronog. e Histog.'!DW:DW),"")</f>
        <v>0</v>
      </c>
      <c r="BC131" s="144">
        <f>IFERROR(_xlfn.XLOOKUP($B131,'Cronog. e Histog.'!$BZ:$BZ,'Cronog. e Histog.'!DX:DX),"")</f>
        <v>0</v>
      </c>
      <c r="BD131" s="144">
        <f>IFERROR(_xlfn.XLOOKUP($B131,'Cronog. e Histog.'!$BZ:$BZ,'Cronog. e Histog.'!DY:DY),"")</f>
        <v>0</v>
      </c>
      <c r="BE131" s="144">
        <f>IFERROR(_xlfn.XLOOKUP($B131,'Cronog. e Histog.'!$BZ:$BZ,'Cronog. e Histog.'!DZ:DZ),"")</f>
        <v>0</v>
      </c>
      <c r="BF131" s="144">
        <f>IFERROR(_xlfn.XLOOKUP($B131,'Cronog. e Histog.'!$BZ:$BZ,'Cronog. e Histog.'!EA:EA),"")</f>
        <v>0</v>
      </c>
      <c r="BG131" s="144">
        <f>IFERROR(_xlfn.XLOOKUP($B131,'Cronog. e Histog.'!$BZ:$BZ,'Cronog. e Histog.'!EB:EB),"")</f>
        <v>0</v>
      </c>
      <c r="BH131" s="144">
        <f>IFERROR(_xlfn.XLOOKUP($B131,'Cronog. e Histog.'!$BZ:$BZ,'Cronog. e Histog.'!EC:EC),"")</f>
        <v>0</v>
      </c>
      <c r="BI131" s="144">
        <f>IFERROR(_xlfn.XLOOKUP($B131,'Cronog. e Histog.'!$BZ:$BZ,'Cronog. e Histog.'!ED:ED),"")</f>
        <v>0</v>
      </c>
      <c r="BJ131" s="144">
        <f>IFERROR(_xlfn.XLOOKUP($B131,'Cronog. e Histog.'!$BZ:$BZ,'Cronog. e Histog.'!EE:EE),"")</f>
        <v>0</v>
      </c>
      <c r="BK131" s="144">
        <f>IFERROR(_xlfn.XLOOKUP($B131,'Cronog. e Histog.'!$BZ:$BZ,'Cronog. e Histog.'!EF:EF),"")</f>
        <v>0</v>
      </c>
      <c r="BL131" s="144">
        <f>IFERROR(_xlfn.XLOOKUP($B131,'Cronog. e Histog.'!$BZ:$BZ,'Cronog. e Histog.'!EG:EG),"")</f>
        <v>0</v>
      </c>
      <c r="BM131" s="144">
        <f>IFERROR(_xlfn.XLOOKUP($B131,'Cronog. e Histog.'!$BZ:$BZ,'Cronog. e Histog.'!EH:EH),"")</f>
        <v>0</v>
      </c>
      <c r="BN131" s="144">
        <f>IFERROR(_xlfn.XLOOKUP($B131,'Cronog. e Histog.'!$BZ:$BZ,'Cronog. e Histog.'!EI:EI),"")</f>
        <v>0</v>
      </c>
    </row>
    <row r="132" spans="2:66" ht="12" hidden="1" customHeight="1" outlineLevel="1">
      <c r="B132" s="76">
        <v>126</v>
      </c>
      <c r="C132" s="143" t="str">
        <f>IFERROR(VLOOKUP(B132,'Cronog. e Histog.'!$BZ$213:$CA$747,2,0),"")</f>
        <v>ENG/ARQ JR.</v>
      </c>
      <c r="D132" s="144">
        <f t="shared" si="2"/>
        <v>0</v>
      </c>
      <c r="E132" s="144">
        <f t="shared" si="3"/>
        <v>0</v>
      </c>
      <c r="F132" s="65"/>
      <c r="G132" s="144">
        <f>IFERROR(_xlfn.XLOOKUP($B132,'Cronog. e Histog.'!$BZ:$BZ,'Cronog. e Histog.'!CB:CB),"")</f>
        <v>0</v>
      </c>
      <c r="H132" s="144">
        <f>IFERROR(_xlfn.XLOOKUP($B132,'Cronog. e Histog.'!$BZ:$BZ,'Cronog. e Histog.'!CC:CC),"")</f>
        <v>0</v>
      </c>
      <c r="I132" s="144">
        <f>IFERROR(_xlfn.XLOOKUP($B132,'Cronog. e Histog.'!$BZ:$BZ,'Cronog. e Histog.'!CD:CD),"")</f>
        <v>0</v>
      </c>
      <c r="J132" s="144">
        <f>IFERROR(_xlfn.XLOOKUP($B132,'Cronog. e Histog.'!$BZ:$BZ,'Cronog. e Histog.'!CE:CE),"")</f>
        <v>0</v>
      </c>
      <c r="K132" s="144">
        <f>IFERROR(_xlfn.XLOOKUP($B132,'Cronog. e Histog.'!$BZ:$BZ,'Cronog. e Histog.'!CF:CF),"")</f>
        <v>0</v>
      </c>
      <c r="L132" s="144">
        <f>IFERROR(_xlfn.XLOOKUP($B132,'Cronog. e Histog.'!$BZ:$BZ,'Cronog. e Histog.'!CG:CG),"")</f>
        <v>0</v>
      </c>
      <c r="M132" s="144">
        <f>IFERROR(_xlfn.XLOOKUP($B132,'Cronog. e Histog.'!$BZ:$BZ,'Cronog. e Histog.'!CH:CH),"")</f>
        <v>0</v>
      </c>
      <c r="N132" s="144">
        <f>IFERROR(_xlfn.XLOOKUP($B132,'Cronog. e Histog.'!$BZ:$BZ,'Cronog. e Histog.'!CI:CI),"")</f>
        <v>0</v>
      </c>
      <c r="O132" s="144">
        <f>IFERROR(_xlfn.XLOOKUP($B132,'Cronog. e Histog.'!$BZ:$BZ,'Cronog. e Histog.'!CJ:CJ),"")</f>
        <v>0</v>
      </c>
      <c r="P132" s="144">
        <f>IFERROR(_xlfn.XLOOKUP($B132,'Cronog. e Histog.'!$BZ:$BZ,'Cronog. e Histog.'!CK:CK),"")</f>
        <v>0</v>
      </c>
      <c r="Q132" s="144">
        <f>IFERROR(_xlfn.XLOOKUP($B132,'Cronog. e Histog.'!$BZ:$BZ,'Cronog. e Histog.'!CL:CL),"")</f>
        <v>0</v>
      </c>
      <c r="R132" s="144">
        <f>IFERROR(_xlfn.XLOOKUP($B132,'Cronog. e Histog.'!$BZ:$BZ,'Cronog. e Histog.'!CM:CM),"")</f>
        <v>0</v>
      </c>
      <c r="S132" s="144">
        <f>IFERROR(_xlfn.XLOOKUP($B132,'Cronog. e Histog.'!$BZ:$BZ,'Cronog. e Histog.'!CN:CN),"")</f>
        <v>0</v>
      </c>
      <c r="T132" s="144">
        <f>IFERROR(_xlfn.XLOOKUP($B132,'Cronog. e Histog.'!$BZ:$BZ,'Cronog. e Histog.'!CO:CO),"")</f>
        <v>0</v>
      </c>
      <c r="U132" s="144">
        <f>IFERROR(_xlfn.XLOOKUP($B132,'Cronog. e Histog.'!$BZ:$BZ,'Cronog. e Histog.'!CP:CP),"")</f>
        <v>0</v>
      </c>
      <c r="V132" s="144">
        <f>IFERROR(_xlfn.XLOOKUP($B132,'Cronog. e Histog.'!$BZ:$BZ,'Cronog. e Histog.'!CQ:CQ),"")</f>
        <v>0</v>
      </c>
      <c r="W132" s="144">
        <f>IFERROR(_xlfn.XLOOKUP($B132,'Cronog. e Histog.'!$BZ:$BZ,'Cronog. e Histog.'!CR:CR),"")</f>
        <v>0</v>
      </c>
      <c r="X132" s="144">
        <f>IFERROR(_xlfn.XLOOKUP($B132,'Cronog. e Histog.'!$BZ:$BZ,'Cronog. e Histog.'!CS:CS),"")</f>
        <v>0</v>
      </c>
      <c r="Y132" s="144">
        <f>IFERROR(_xlfn.XLOOKUP($B132,'Cronog. e Histog.'!$BZ:$BZ,'Cronog. e Histog.'!CT:CT),"")</f>
        <v>0</v>
      </c>
      <c r="Z132" s="144">
        <f>IFERROR(_xlfn.XLOOKUP($B132,'Cronog. e Histog.'!$BZ:$BZ,'Cronog. e Histog.'!CU:CU),"")</f>
        <v>0</v>
      </c>
      <c r="AA132" s="144">
        <f>IFERROR(_xlfn.XLOOKUP($B132,'Cronog. e Histog.'!$BZ:$BZ,'Cronog. e Histog.'!CV:CV),"")</f>
        <v>0</v>
      </c>
      <c r="AB132" s="144">
        <f>IFERROR(_xlfn.XLOOKUP($B132,'Cronog. e Histog.'!$BZ:$BZ,'Cronog. e Histog.'!CW:CW),"")</f>
        <v>0</v>
      </c>
      <c r="AC132" s="144">
        <f>IFERROR(_xlfn.XLOOKUP($B132,'Cronog. e Histog.'!$BZ:$BZ,'Cronog. e Histog.'!CX:CX),"")</f>
        <v>0</v>
      </c>
      <c r="AD132" s="144">
        <f>IFERROR(_xlfn.XLOOKUP($B132,'Cronog. e Histog.'!$BZ:$BZ,'Cronog. e Histog.'!CY:CY),"")</f>
        <v>0</v>
      </c>
      <c r="AE132" s="144">
        <f>IFERROR(_xlfn.XLOOKUP($B132,'Cronog. e Histog.'!$BZ:$BZ,'Cronog. e Histog.'!CZ:CZ),"")</f>
        <v>0</v>
      </c>
      <c r="AF132" s="144">
        <f>IFERROR(_xlfn.XLOOKUP($B132,'Cronog. e Histog.'!$BZ:$BZ,'Cronog. e Histog.'!DA:DA),"")</f>
        <v>0</v>
      </c>
      <c r="AG132" s="144">
        <f>IFERROR(_xlfn.XLOOKUP($B132,'Cronog. e Histog.'!$BZ:$BZ,'Cronog. e Histog.'!DB:DB),"")</f>
        <v>0</v>
      </c>
      <c r="AH132" s="144">
        <f>IFERROR(_xlfn.XLOOKUP($B132,'Cronog. e Histog.'!$BZ:$BZ,'Cronog. e Histog.'!DC:DC),"")</f>
        <v>0</v>
      </c>
      <c r="AI132" s="144">
        <f>IFERROR(_xlfn.XLOOKUP($B132,'Cronog. e Histog.'!$BZ:$BZ,'Cronog. e Histog.'!DD:DD),"")</f>
        <v>0</v>
      </c>
      <c r="AJ132" s="144">
        <f>IFERROR(_xlfn.XLOOKUP($B132,'Cronog. e Histog.'!$BZ:$BZ,'Cronog. e Histog.'!DE:DE),"")</f>
        <v>0</v>
      </c>
      <c r="AK132" s="144">
        <f>IFERROR(_xlfn.XLOOKUP($B132,'Cronog. e Histog.'!$BZ:$BZ,'Cronog. e Histog.'!DF:DF),"")</f>
        <v>0</v>
      </c>
      <c r="AL132" s="144">
        <f>IFERROR(_xlfn.XLOOKUP($B132,'Cronog. e Histog.'!$BZ:$BZ,'Cronog. e Histog.'!DG:DG),"")</f>
        <v>0</v>
      </c>
      <c r="AM132" s="144">
        <f>IFERROR(_xlfn.XLOOKUP($B132,'Cronog. e Histog.'!$BZ:$BZ,'Cronog. e Histog.'!DH:DH),"")</f>
        <v>0</v>
      </c>
      <c r="AN132" s="144">
        <f>IFERROR(_xlfn.XLOOKUP($B132,'Cronog. e Histog.'!$BZ:$BZ,'Cronog. e Histog.'!DI:DI),"")</f>
        <v>0</v>
      </c>
      <c r="AO132" s="144">
        <f>IFERROR(_xlfn.XLOOKUP($B132,'Cronog. e Histog.'!$BZ:$BZ,'Cronog. e Histog.'!DJ:DJ),"")</f>
        <v>0</v>
      </c>
      <c r="AP132" s="144">
        <f>IFERROR(_xlfn.XLOOKUP($B132,'Cronog. e Histog.'!$BZ:$BZ,'Cronog. e Histog.'!DK:DK),"")</f>
        <v>0</v>
      </c>
      <c r="AQ132" s="144">
        <f>IFERROR(_xlfn.XLOOKUP($B132,'Cronog. e Histog.'!$BZ:$BZ,'Cronog. e Histog.'!DL:DL),"")</f>
        <v>0</v>
      </c>
      <c r="AR132" s="144">
        <f>IFERROR(_xlfn.XLOOKUP($B132,'Cronog. e Histog.'!$BZ:$BZ,'Cronog. e Histog.'!DM:DM),"")</f>
        <v>0</v>
      </c>
      <c r="AS132" s="144">
        <f>IFERROR(_xlfn.XLOOKUP($B132,'Cronog. e Histog.'!$BZ:$BZ,'Cronog. e Histog.'!DN:DN),"")</f>
        <v>0</v>
      </c>
      <c r="AT132" s="144">
        <f>IFERROR(_xlfn.XLOOKUP($B132,'Cronog. e Histog.'!$BZ:$BZ,'Cronog. e Histog.'!DO:DO),"")</f>
        <v>0</v>
      </c>
      <c r="AU132" s="144">
        <f>IFERROR(_xlfn.XLOOKUP($B132,'Cronog. e Histog.'!$BZ:$BZ,'Cronog. e Histog.'!DP:DP),"")</f>
        <v>0</v>
      </c>
      <c r="AV132" s="144">
        <f>IFERROR(_xlfn.XLOOKUP($B132,'Cronog. e Histog.'!$BZ:$BZ,'Cronog. e Histog.'!DQ:DQ),"")</f>
        <v>0</v>
      </c>
      <c r="AW132" s="144">
        <f>IFERROR(_xlfn.XLOOKUP($B132,'Cronog. e Histog.'!$BZ:$BZ,'Cronog. e Histog.'!DR:DR),"")</f>
        <v>0</v>
      </c>
      <c r="AX132" s="144">
        <f>IFERROR(_xlfn.XLOOKUP($B132,'Cronog. e Histog.'!$BZ:$BZ,'Cronog. e Histog.'!DS:DS),"")</f>
        <v>0</v>
      </c>
      <c r="AY132" s="144">
        <f>IFERROR(_xlfn.XLOOKUP($B132,'Cronog. e Histog.'!$BZ:$BZ,'Cronog. e Histog.'!DT:DT),"")</f>
        <v>0</v>
      </c>
      <c r="AZ132" s="144">
        <f>IFERROR(_xlfn.XLOOKUP($B132,'Cronog. e Histog.'!$BZ:$BZ,'Cronog. e Histog.'!DU:DU),"")</f>
        <v>0</v>
      </c>
      <c r="BA132" s="144">
        <f>IFERROR(_xlfn.XLOOKUP($B132,'Cronog. e Histog.'!$BZ:$BZ,'Cronog. e Histog.'!DV:DV),"")</f>
        <v>0</v>
      </c>
      <c r="BB132" s="144">
        <f>IFERROR(_xlfn.XLOOKUP($B132,'Cronog. e Histog.'!$BZ:$BZ,'Cronog. e Histog.'!DW:DW),"")</f>
        <v>0</v>
      </c>
      <c r="BC132" s="144">
        <f>IFERROR(_xlfn.XLOOKUP($B132,'Cronog. e Histog.'!$BZ:$BZ,'Cronog. e Histog.'!DX:DX),"")</f>
        <v>0</v>
      </c>
      <c r="BD132" s="144">
        <f>IFERROR(_xlfn.XLOOKUP($B132,'Cronog. e Histog.'!$BZ:$BZ,'Cronog. e Histog.'!DY:DY),"")</f>
        <v>0</v>
      </c>
      <c r="BE132" s="144">
        <f>IFERROR(_xlfn.XLOOKUP($B132,'Cronog. e Histog.'!$BZ:$BZ,'Cronog. e Histog.'!DZ:DZ),"")</f>
        <v>0</v>
      </c>
      <c r="BF132" s="144">
        <f>IFERROR(_xlfn.XLOOKUP($B132,'Cronog. e Histog.'!$BZ:$BZ,'Cronog. e Histog.'!EA:EA),"")</f>
        <v>0</v>
      </c>
      <c r="BG132" s="144">
        <f>IFERROR(_xlfn.XLOOKUP($B132,'Cronog. e Histog.'!$BZ:$BZ,'Cronog. e Histog.'!EB:EB),"")</f>
        <v>0</v>
      </c>
      <c r="BH132" s="144">
        <f>IFERROR(_xlfn.XLOOKUP($B132,'Cronog. e Histog.'!$BZ:$BZ,'Cronog. e Histog.'!EC:EC),"")</f>
        <v>0</v>
      </c>
      <c r="BI132" s="144">
        <f>IFERROR(_xlfn.XLOOKUP($B132,'Cronog. e Histog.'!$BZ:$BZ,'Cronog. e Histog.'!ED:ED),"")</f>
        <v>0</v>
      </c>
      <c r="BJ132" s="144">
        <f>IFERROR(_xlfn.XLOOKUP($B132,'Cronog. e Histog.'!$BZ:$BZ,'Cronog. e Histog.'!EE:EE),"")</f>
        <v>0</v>
      </c>
      <c r="BK132" s="144">
        <f>IFERROR(_xlfn.XLOOKUP($B132,'Cronog. e Histog.'!$BZ:$BZ,'Cronog. e Histog.'!EF:EF),"")</f>
        <v>0</v>
      </c>
      <c r="BL132" s="144">
        <f>IFERROR(_xlfn.XLOOKUP($B132,'Cronog. e Histog.'!$BZ:$BZ,'Cronog. e Histog.'!EG:EG),"")</f>
        <v>0</v>
      </c>
      <c r="BM132" s="144">
        <f>IFERROR(_xlfn.XLOOKUP($B132,'Cronog. e Histog.'!$BZ:$BZ,'Cronog. e Histog.'!EH:EH),"")</f>
        <v>0</v>
      </c>
      <c r="BN132" s="144">
        <f>IFERROR(_xlfn.XLOOKUP($B132,'Cronog. e Histog.'!$BZ:$BZ,'Cronog. e Histog.'!EI:EI),"")</f>
        <v>0</v>
      </c>
    </row>
    <row r="133" spans="2:66" ht="12" hidden="1" customHeight="1" outlineLevel="1">
      <c r="B133" s="76">
        <v>127</v>
      </c>
      <c r="C133" s="143" t="str">
        <f>IFERROR(VLOOKUP(B133,'Cronog. e Histog.'!$BZ$213:$CA$747,2,0),"")</f>
        <v>AN SR. ENG/ARQ</v>
      </c>
      <c r="D133" s="144">
        <f t="shared" si="2"/>
        <v>0</v>
      </c>
      <c r="E133" s="144">
        <f t="shared" si="3"/>
        <v>0</v>
      </c>
      <c r="F133" s="65"/>
      <c r="G133" s="144">
        <f>IFERROR(_xlfn.XLOOKUP($B133,'Cronog. e Histog.'!$BZ:$BZ,'Cronog. e Histog.'!CB:CB),"")</f>
        <v>0</v>
      </c>
      <c r="H133" s="144">
        <f>IFERROR(_xlfn.XLOOKUP($B133,'Cronog. e Histog.'!$BZ:$BZ,'Cronog. e Histog.'!CC:CC),"")</f>
        <v>0</v>
      </c>
      <c r="I133" s="144">
        <f>IFERROR(_xlfn.XLOOKUP($B133,'Cronog. e Histog.'!$BZ:$BZ,'Cronog. e Histog.'!CD:CD),"")</f>
        <v>0</v>
      </c>
      <c r="J133" s="144">
        <f>IFERROR(_xlfn.XLOOKUP($B133,'Cronog. e Histog.'!$BZ:$BZ,'Cronog. e Histog.'!CE:CE),"")</f>
        <v>0</v>
      </c>
      <c r="K133" s="144">
        <f>IFERROR(_xlfn.XLOOKUP($B133,'Cronog. e Histog.'!$BZ:$BZ,'Cronog. e Histog.'!CF:CF),"")</f>
        <v>0</v>
      </c>
      <c r="L133" s="144">
        <f>IFERROR(_xlfn.XLOOKUP($B133,'Cronog. e Histog.'!$BZ:$BZ,'Cronog. e Histog.'!CG:CG),"")</f>
        <v>0</v>
      </c>
      <c r="M133" s="144">
        <f>IFERROR(_xlfn.XLOOKUP($B133,'Cronog. e Histog.'!$BZ:$BZ,'Cronog. e Histog.'!CH:CH),"")</f>
        <v>0</v>
      </c>
      <c r="N133" s="144">
        <f>IFERROR(_xlfn.XLOOKUP($B133,'Cronog. e Histog.'!$BZ:$BZ,'Cronog. e Histog.'!CI:CI),"")</f>
        <v>0</v>
      </c>
      <c r="O133" s="144">
        <f>IFERROR(_xlfn.XLOOKUP($B133,'Cronog. e Histog.'!$BZ:$BZ,'Cronog. e Histog.'!CJ:CJ),"")</f>
        <v>0</v>
      </c>
      <c r="P133" s="144">
        <f>IFERROR(_xlfn.XLOOKUP($B133,'Cronog. e Histog.'!$BZ:$BZ,'Cronog. e Histog.'!CK:CK),"")</f>
        <v>0</v>
      </c>
      <c r="Q133" s="144">
        <f>IFERROR(_xlfn.XLOOKUP($B133,'Cronog. e Histog.'!$BZ:$BZ,'Cronog. e Histog.'!CL:CL),"")</f>
        <v>0</v>
      </c>
      <c r="R133" s="144">
        <f>IFERROR(_xlfn.XLOOKUP($B133,'Cronog. e Histog.'!$BZ:$BZ,'Cronog. e Histog.'!CM:CM),"")</f>
        <v>0</v>
      </c>
      <c r="S133" s="144">
        <f>IFERROR(_xlfn.XLOOKUP($B133,'Cronog. e Histog.'!$BZ:$BZ,'Cronog. e Histog.'!CN:CN),"")</f>
        <v>0</v>
      </c>
      <c r="T133" s="144">
        <f>IFERROR(_xlfn.XLOOKUP($B133,'Cronog. e Histog.'!$BZ:$BZ,'Cronog. e Histog.'!CO:CO),"")</f>
        <v>0</v>
      </c>
      <c r="U133" s="144">
        <f>IFERROR(_xlfn.XLOOKUP($B133,'Cronog. e Histog.'!$BZ:$BZ,'Cronog. e Histog.'!CP:CP),"")</f>
        <v>0</v>
      </c>
      <c r="V133" s="144">
        <f>IFERROR(_xlfn.XLOOKUP($B133,'Cronog. e Histog.'!$BZ:$BZ,'Cronog. e Histog.'!CQ:CQ),"")</f>
        <v>0</v>
      </c>
      <c r="W133" s="144">
        <f>IFERROR(_xlfn.XLOOKUP($B133,'Cronog. e Histog.'!$BZ:$BZ,'Cronog. e Histog.'!CR:CR),"")</f>
        <v>0</v>
      </c>
      <c r="X133" s="144">
        <f>IFERROR(_xlfn.XLOOKUP($B133,'Cronog. e Histog.'!$BZ:$BZ,'Cronog. e Histog.'!CS:CS),"")</f>
        <v>0</v>
      </c>
      <c r="Y133" s="144">
        <f>IFERROR(_xlfn.XLOOKUP($B133,'Cronog. e Histog.'!$BZ:$BZ,'Cronog. e Histog.'!CT:CT),"")</f>
        <v>0</v>
      </c>
      <c r="Z133" s="144">
        <f>IFERROR(_xlfn.XLOOKUP($B133,'Cronog. e Histog.'!$BZ:$BZ,'Cronog. e Histog.'!CU:CU),"")</f>
        <v>0</v>
      </c>
      <c r="AA133" s="144">
        <f>IFERROR(_xlfn.XLOOKUP($B133,'Cronog. e Histog.'!$BZ:$BZ,'Cronog. e Histog.'!CV:CV),"")</f>
        <v>0</v>
      </c>
      <c r="AB133" s="144">
        <f>IFERROR(_xlfn.XLOOKUP($B133,'Cronog. e Histog.'!$BZ:$BZ,'Cronog. e Histog.'!CW:CW),"")</f>
        <v>0</v>
      </c>
      <c r="AC133" s="144">
        <f>IFERROR(_xlfn.XLOOKUP($B133,'Cronog. e Histog.'!$BZ:$BZ,'Cronog. e Histog.'!CX:CX),"")</f>
        <v>0</v>
      </c>
      <c r="AD133" s="144">
        <f>IFERROR(_xlfn.XLOOKUP($B133,'Cronog. e Histog.'!$BZ:$BZ,'Cronog. e Histog.'!CY:CY),"")</f>
        <v>0</v>
      </c>
      <c r="AE133" s="144">
        <f>IFERROR(_xlfn.XLOOKUP($B133,'Cronog. e Histog.'!$BZ:$BZ,'Cronog. e Histog.'!CZ:CZ),"")</f>
        <v>0</v>
      </c>
      <c r="AF133" s="144">
        <f>IFERROR(_xlfn.XLOOKUP($B133,'Cronog. e Histog.'!$BZ:$BZ,'Cronog. e Histog.'!DA:DA),"")</f>
        <v>0</v>
      </c>
      <c r="AG133" s="144">
        <f>IFERROR(_xlfn.XLOOKUP($B133,'Cronog. e Histog.'!$BZ:$BZ,'Cronog. e Histog.'!DB:DB),"")</f>
        <v>0</v>
      </c>
      <c r="AH133" s="144">
        <f>IFERROR(_xlfn.XLOOKUP($B133,'Cronog. e Histog.'!$BZ:$BZ,'Cronog. e Histog.'!DC:DC),"")</f>
        <v>0</v>
      </c>
      <c r="AI133" s="144">
        <f>IFERROR(_xlfn.XLOOKUP($B133,'Cronog. e Histog.'!$BZ:$BZ,'Cronog. e Histog.'!DD:DD),"")</f>
        <v>0</v>
      </c>
      <c r="AJ133" s="144">
        <f>IFERROR(_xlfn.XLOOKUP($B133,'Cronog. e Histog.'!$BZ:$BZ,'Cronog. e Histog.'!DE:DE),"")</f>
        <v>0</v>
      </c>
      <c r="AK133" s="144">
        <f>IFERROR(_xlfn.XLOOKUP($B133,'Cronog. e Histog.'!$BZ:$BZ,'Cronog. e Histog.'!DF:DF),"")</f>
        <v>0</v>
      </c>
      <c r="AL133" s="144">
        <f>IFERROR(_xlfn.XLOOKUP($B133,'Cronog. e Histog.'!$BZ:$BZ,'Cronog. e Histog.'!DG:DG),"")</f>
        <v>0</v>
      </c>
      <c r="AM133" s="144">
        <f>IFERROR(_xlfn.XLOOKUP($B133,'Cronog. e Histog.'!$BZ:$BZ,'Cronog. e Histog.'!DH:DH),"")</f>
        <v>0</v>
      </c>
      <c r="AN133" s="144">
        <f>IFERROR(_xlfn.XLOOKUP($B133,'Cronog. e Histog.'!$BZ:$BZ,'Cronog. e Histog.'!DI:DI),"")</f>
        <v>0</v>
      </c>
      <c r="AO133" s="144">
        <f>IFERROR(_xlfn.XLOOKUP($B133,'Cronog. e Histog.'!$BZ:$BZ,'Cronog. e Histog.'!DJ:DJ),"")</f>
        <v>0</v>
      </c>
      <c r="AP133" s="144">
        <f>IFERROR(_xlfn.XLOOKUP($B133,'Cronog. e Histog.'!$BZ:$BZ,'Cronog. e Histog.'!DK:DK),"")</f>
        <v>0</v>
      </c>
      <c r="AQ133" s="144">
        <f>IFERROR(_xlfn.XLOOKUP($B133,'Cronog. e Histog.'!$BZ:$BZ,'Cronog. e Histog.'!DL:DL),"")</f>
        <v>0</v>
      </c>
      <c r="AR133" s="144">
        <f>IFERROR(_xlfn.XLOOKUP($B133,'Cronog. e Histog.'!$BZ:$BZ,'Cronog. e Histog.'!DM:DM),"")</f>
        <v>0</v>
      </c>
      <c r="AS133" s="144">
        <f>IFERROR(_xlfn.XLOOKUP($B133,'Cronog. e Histog.'!$BZ:$BZ,'Cronog. e Histog.'!DN:DN),"")</f>
        <v>0</v>
      </c>
      <c r="AT133" s="144">
        <f>IFERROR(_xlfn.XLOOKUP($B133,'Cronog. e Histog.'!$BZ:$BZ,'Cronog. e Histog.'!DO:DO),"")</f>
        <v>0</v>
      </c>
      <c r="AU133" s="144">
        <f>IFERROR(_xlfn.XLOOKUP($B133,'Cronog. e Histog.'!$BZ:$BZ,'Cronog. e Histog.'!DP:DP),"")</f>
        <v>0</v>
      </c>
      <c r="AV133" s="144">
        <f>IFERROR(_xlfn.XLOOKUP($B133,'Cronog. e Histog.'!$BZ:$BZ,'Cronog. e Histog.'!DQ:DQ),"")</f>
        <v>0</v>
      </c>
      <c r="AW133" s="144">
        <f>IFERROR(_xlfn.XLOOKUP($B133,'Cronog. e Histog.'!$BZ:$BZ,'Cronog. e Histog.'!DR:DR),"")</f>
        <v>0</v>
      </c>
      <c r="AX133" s="144">
        <f>IFERROR(_xlfn.XLOOKUP($B133,'Cronog. e Histog.'!$BZ:$BZ,'Cronog. e Histog.'!DS:DS),"")</f>
        <v>0</v>
      </c>
      <c r="AY133" s="144">
        <f>IFERROR(_xlfn.XLOOKUP($B133,'Cronog. e Histog.'!$BZ:$BZ,'Cronog. e Histog.'!DT:DT),"")</f>
        <v>0</v>
      </c>
      <c r="AZ133" s="144">
        <f>IFERROR(_xlfn.XLOOKUP($B133,'Cronog. e Histog.'!$BZ:$BZ,'Cronog. e Histog.'!DU:DU),"")</f>
        <v>0</v>
      </c>
      <c r="BA133" s="144">
        <f>IFERROR(_xlfn.XLOOKUP($B133,'Cronog. e Histog.'!$BZ:$BZ,'Cronog. e Histog.'!DV:DV),"")</f>
        <v>0</v>
      </c>
      <c r="BB133" s="144">
        <f>IFERROR(_xlfn.XLOOKUP($B133,'Cronog. e Histog.'!$BZ:$BZ,'Cronog. e Histog.'!DW:DW),"")</f>
        <v>0</v>
      </c>
      <c r="BC133" s="144">
        <f>IFERROR(_xlfn.XLOOKUP($B133,'Cronog. e Histog.'!$BZ:$BZ,'Cronog. e Histog.'!DX:DX),"")</f>
        <v>0</v>
      </c>
      <c r="BD133" s="144">
        <f>IFERROR(_xlfn.XLOOKUP($B133,'Cronog. e Histog.'!$BZ:$BZ,'Cronog. e Histog.'!DY:DY),"")</f>
        <v>0</v>
      </c>
      <c r="BE133" s="144">
        <f>IFERROR(_xlfn.XLOOKUP($B133,'Cronog. e Histog.'!$BZ:$BZ,'Cronog. e Histog.'!DZ:DZ),"")</f>
        <v>0</v>
      </c>
      <c r="BF133" s="144">
        <f>IFERROR(_xlfn.XLOOKUP($B133,'Cronog. e Histog.'!$BZ:$BZ,'Cronog. e Histog.'!EA:EA),"")</f>
        <v>0</v>
      </c>
      <c r="BG133" s="144">
        <f>IFERROR(_xlfn.XLOOKUP($B133,'Cronog. e Histog.'!$BZ:$BZ,'Cronog. e Histog.'!EB:EB),"")</f>
        <v>0</v>
      </c>
      <c r="BH133" s="144">
        <f>IFERROR(_xlfn.XLOOKUP($B133,'Cronog. e Histog.'!$BZ:$BZ,'Cronog. e Histog.'!EC:EC),"")</f>
        <v>0</v>
      </c>
      <c r="BI133" s="144">
        <f>IFERROR(_xlfn.XLOOKUP($B133,'Cronog. e Histog.'!$BZ:$BZ,'Cronog. e Histog.'!ED:ED),"")</f>
        <v>0</v>
      </c>
      <c r="BJ133" s="144">
        <f>IFERROR(_xlfn.XLOOKUP($B133,'Cronog. e Histog.'!$BZ:$BZ,'Cronog. e Histog.'!EE:EE),"")</f>
        <v>0</v>
      </c>
      <c r="BK133" s="144">
        <f>IFERROR(_xlfn.XLOOKUP($B133,'Cronog. e Histog.'!$BZ:$BZ,'Cronog. e Histog.'!EF:EF),"")</f>
        <v>0</v>
      </c>
      <c r="BL133" s="144">
        <f>IFERROR(_xlfn.XLOOKUP($B133,'Cronog. e Histog.'!$BZ:$BZ,'Cronog. e Histog.'!EG:EG),"")</f>
        <v>0</v>
      </c>
      <c r="BM133" s="144">
        <f>IFERROR(_xlfn.XLOOKUP($B133,'Cronog. e Histog.'!$BZ:$BZ,'Cronog. e Histog.'!EH:EH),"")</f>
        <v>0</v>
      </c>
      <c r="BN133" s="144">
        <f>IFERROR(_xlfn.XLOOKUP($B133,'Cronog. e Histog.'!$BZ:$BZ,'Cronog. e Histog.'!EI:EI),"")</f>
        <v>0</v>
      </c>
    </row>
    <row r="134" spans="2:66" ht="12" hidden="1" customHeight="1" outlineLevel="1">
      <c r="B134" s="76">
        <v>128</v>
      </c>
      <c r="C134" s="143" t="str">
        <f>IFERROR(VLOOKUP(B134,'Cronog. e Histog.'!$BZ$213:$CA$747,2,0),"")</f>
        <v>AN PL. ENG/ARQ</v>
      </c>
      <c r="D134" s="144">
        <f t="shared" si="2"/>
        <v>0</v>
      </c>
      <c r="E134" s="144">
        <f t="shared" si="3"/>
        <v>0</v>
      </c>
      <c r="F134" s="65"/>
      <c r="G134" s="144">
        <f>IFERROR(_xlfn.XLOOKUP($B134,'Cronog. e Histog.'!$BZ:$BZ,'Cronog. e Histog.'!CB:CB),"")</f>
        <v>0</v>
      </c>
      <c r="H134" s="144">
        <f>IFERROR(_xlfn.XLOOKUP($B134,'Cronog. e Histog.'!$BZ:$BZ,'Cronog. e Histog.'!CC:CC),"")</f>
        <v>0</v>
      </c>
      <c r="I134" s="144">
        <f>IFERROR(_xlfn.XLOOKUP($B134,'Cronog. e Histog.'!$BZ:$BZ,'Cronog. e Histog.'!CD:CD),"")</f>
        <v>0</v>
      </c>
      <c r="J134" s="144">
        <f>IFERROR(_xlfn.XLOOKUP($B134,'Cronog. e Histog.'!$BZ:$BZ,'Cronog. e Histog.'!CE:CE),"")</f>
        <v>0</v>
      </c>
      <c r="K134" s="144">
        <f>IFERROR(_xlfn.XLOOKUP($B134,'Cronog. e Histog.'!$BZ:$BZ,'Cronog. e Histog.'!CF:CF),"")</f>
        <v>0</v>
      </c>
      <c r="L134" s="144">
        <f>IFERROR(_xlfn.XLOOKUP($B134,'Cronog. e Histog.'!$BZ:$BZ,'Cronog. e Histog.'!CG:CG),"")</f>
        <v>0</v>
      </c>
      <c r="M134" s="144">
        <f>IFERROR(_xlfn.XLOOKUP($B134,'Cronog. e Histog.'!$BZ:$BZ,'Cronog. e Histog.'!CH:CH),"")</f>
        <v>0</v>
      </c>
      <c r="N134" s="144">
        <f>IFERROR(_xlfn.XLOOKUP($B134,'Cronog. e Histog.'!$BZ:$BZ,'Cronog. e Histog.'!CI:CI),"")</f>
        <v>0</v>
      </c>
      <c r="O134" s="144">
        <f>IFERROR(_xlfn.XLOOKUP($B134,'Cronog. e Histog.'!$BZ:$BZ,'Cronog. e Histog.'!CJ:CJ),"")</f>
        <v>0</v>
      </c>
      <c r="P134" s="144">
        <f>IFERROR(_xlfn.XLOOKUP($B134,'Cronog. e Histog.'!$BZ:$BZ,'Cronog. e Histog.'!CK:CK),"")</f>
        <v>0</v>
      </c>
      <c r="Q134" s="144">
        <f>IFERROR(_xlfn.XLOOKUP($B134,'Cronog. e Histog.'!$BZ:$BZ,'Cronog. e Histog.'!CL:CL),"")</f>
        <v>0</v>
      </c>
      <c r="R134" s="144">
        <f>IFERROR(_xlfn.XLOOKUP($B134,'Cronog. e Histog.'!$BZ:$BZ,'Cronog. e Histog.'!CM:CM),"")</f>
        <v>0</v>
      </c>
      <c r="S134" s="144">
        <f>IFERROR(_xlfn.XLOOKUP($B134,'Cronog. e Histog.'!$BZ:$BZ,'Cronog. e Histog.'!CN:CN),"")</f>
        <v>0</v>
      </c>
      <c r="T134" s="144">
        <f>IFERROR(_xlfn.XLOOKUP($B134,'Cronog. e Histog.'!$BZ:$BZ,'Cronog. e Histog.'!CO:CO),"")</f>
        <v>0</v>
      </c>
      <c r="U134" s="144">
        <f>IFERROR(_xlfn.XLOOKUP($B134,'Cronog. e Histog.'!$BZ:$BZ,'Cronog. e Histog.'!CP:CP),"")</f>
        <v>0</v>
      </c>
      <c r="V134" s="144">
        <f>IFERROR(_xlfn.XLOOKUP($B134,'Cronog. e Histog.'!$BZ:$BZ,'Cronog. e Histog.'!CQ:CQ),"")</f>
        <v>0</v>
      </c>
      <c r="W134" s="144">
        <f>IFERROR(_xlfn.XLOOKUP($B134,'Cronog. e Histog.'!$BZ:$BZ,'Cronog. e Histog.'!CR:CR),"")</f>
        <v>0</v>
      </c>
      <c r="X134" s="144">
        <f>IFERROR(_xlfn.XLOOKUP($B134,'Cronog. e Histog.'!$BZ:$BZ,'Cronog. e Histog.'!CS:CS),"")</f>
        <v>0</v>
      </c>
      <c r="Y134" s="144">
        <f>IFERROR(_xlfn.XLOOKUP($B134,'Cronog. e Histog.'!$BZ:$BZ,'Cronog. e Histog.'!CT:CT),"")</f>
        <v>0</v>
      </c>
      <c r="Z134" s="144">
        <f>IFERROR(_xlfn.XLOOKUP($B134,'Cronog. e Histog.'!$BZ:$BZ,'Cronog. e Histog.'!CU:CU),"")</f>
        <v>0</v>
      </c>
      <c r="AA134" s="144">
        <f>IFERROR(_xlfn.XLOOKUP($B134,'Cronog. e Histog.'!$BZ:$BZ,'Cronog. e Histog.'!CV:CV),"")</f>
        <v>0</v>
      </c>
      <c r="AB134" s="144">
        <f>IFERROR(_xlfn.XLOOKUP($B134,'Cronog. e Histog.'!$BZ:$BZ,'Cronog. e Histog.'!CW:CW),"")</f>
        <v>0</v>
      </c>
      <c r="AC134" s="144">
        <f>IFERROR(_xlfn.XLOOKUP($B134,'Cronog. e Histog.'!$BZ:$BZ,'Cronog. e Histog.'!CX:CX),"")</f>
        <v>0</v>
      </c>
      <c r="AD134" s="144">
        <f>IFERROR(_xlfn.XLOOKUP($B134,'Cronog. e Histog.'!$BZ:$BZ,'Cronog. e Histog.'!CY:CY),"")</f>
        <v>0</v>
      </c>
      <c r="AE134" s="144">
        <f>IFERROR(_xlfn.XLOOKUP($B134,'Cronog. e Histog.'!$BZ:$BZ,'Cronog. e Histog.'!CZ:CZ),"")</f>
        <v>0</v>
      </c>
      <c r="AF134" s="144">
        <f>IFERROR(_xlfn.XLOOKUP($B134,'Cronog. e Histog.'!$BZ:$BZ,'Cronog. e Histog.'!DA:DA),"")</f>
        <v>0</v>
      </c>
      <c r="AG134" s="144">
        <f>IFERROR(_xlfn.XLOOKUP($B134,'Cronog. e Histog.'!$BZ:$BZ,'Cronog. e Histog.'!DB:DB),"")</f>
        <v>0</v>
      </c>
      <c r="AH134" s="144">
        <f>IFERROR(_xlfn.XLOOKUP($B134,'Cronog. e Histog.'!$BZ:$BZ,'Cronog. e Histog.'!DC:DC),"")</f>
        <v>0</v>
      </c>
      <c r="AI134" s="144">
        <f>IFERROR(_xlfn.XLOOKUP($B134,'Cronog. e Histog.'!$BZ:$BZ,'Cronog. e Histog.'!DD:DD),"")</f>
        <v>0</v>
      </c>
      <c r="AJ134" s="144">
        <f>IFERROR(_xlfn.XLOOKUP($B134,'Cronog. e Histog.'!$BZ:$BZ,'Cronog. e Histog.'!DE:DE),"")</f>
        <v>0</v>
      </c>
      <c r="AK134" s="144">
        <f>IFERROR(_xlfn.XLOOKUP($B134,'Cronog. e Histog.'!$BZ:$BZ,'Cronog. e Histog.'!DF:DF),"")</f>
        <v>0</v>
      </c>
      <c r="AL134" s="144">
        <f>IFERROR(_xlfn.XLOOKUP($B134,'Cronog. e Histog.'!$BZ:$BZ,'Cronog. e Histog.'!DG:DG),"")</f>
        <v>0</v>
      </c>
      <c r="AM134" s="144">
        <f>IFERROR(_xlfn.XLOOKUP($B134,'Cronog. e Histog.'!$BZ:$BZ,'Cronog. e Histog.'!DH:DH),"")</f>
        <v>0</v>
      </c>
      <c r="AN134" s="144">
        <f>IFERROR(_xlfn.XLOOKUP($B134,'Cronog. e Histog.'!$BZ:$BZ,'Cronog. e Histog.'!DI:DI),"")</f>
        <v>0</v>
      </c>
      <c r="AO134" s="144">
        <f>IFERROR(_xlfn.XLOOKUP($B134,'Cronog. e Histog.'!$BZ:$BZ,'Cronog. e Histog.'!DJ:DJ),"")</f>
        <v>0</v>
      </c>
      <c r="AP134" s="144">
        <f>IFERROR(_xlfn.XLOOKUP($B134,'Cronog. e Histog.'!$BZ:$BZ,'Cronog. e Histog.'!DK:DK),"")</f>
        <v>0</v>
      </c>
      <c r="AQ134" s="144">
        <f>IFERROR(_xlfn.XLOOKUP($B134,'Cronog. e Histog.'!$BZ:$BZ,'Cronog. e Histog.'!DL:DL),"")</f>
        <v>0</v>
      </c>
      <c r="AR134" s="144">
        <f>IFERROR(_xlfn.XLOOKUP($B134,'Cronog. e Histog.'!$BZ:$BZ,'Cronog. e Histog.'!DM:DM),"")</f>
        <v>0</v>
      </c>
      <c r="AS134" s="144">
        <f>IFERROR(_xlfn.XLOOKUP($B134,'Cronog. e Histog.'!$BZ:$BZ,'Cronog. e Histog.'!DN:DN),"")</f>
        <v>0</v>
      </c>
      <c r="AT134" s="144">
        <f>IFERROR(_xlfn.XLOOKUP($B134,'Cronog. e Histog.'!$BZ:$BZ,'Cronog. e Histog.'!DO:DO),"")</f>
        <v>0</v>
      </c>
      <c r="AU134" s="144">
        <f>IFERROR(_xlfn.XLOOKUP($B134,'Cronog. e Histog.'!$BZ:$BZ,'Cronog. e Histog.'!DP:DP),"")</f>
        <v>0</v>
      </c>
      <c r="AV134" s="144">
        <f>IFERROR(_xlfn.XLOOKUP($B134,'Cronog. e Histog.'!$BZ:$BZ,'Cronog. e Histog.'!DQ:DQ),"")</f>
        <v>0</v>
      </c>
      <c r="AW134" s="144">
        <f>IFERROR(_xlfn.XLOOKUP($B134,'Cronog. e Histog.'!$BZ:$BZ,'Cronog. e Histog.'!DR:DR),"")</f>
        <v>0</v>
      </c>
      <c r="AX134" s="144">
        <f>IFERROR(_xlfn.XLOOKUP($B134,'Cronog. e Histog.'!$BZ:$BZ,'Cronog. e Histog.'!DS:DS),"")</f>
        <v>0</v>
      </c>
      <c r="AY134" s="144">
        <f>IFERROR(_xlfn.XLOOKUP($B134,'Cronog. e Histog.'!$BZ:$BZ,'Cronog. e Histog.'!DT:DT),"")</f>
        <v>0</v>
      </c>
      <c r="AZ134" s="144">
        <f>IFERROR(_xlfn.XLOOKUP($B134,'Cronog. e Histog.'!$BZ:$BZ,'Cronog. e Histog.'!DU:DU),"")</f>
        <v>0</v>
      </c>
      <c r="BA134" s="144">
        <f>IFERROR(_xlfn.XLOOKUP($B134,'Cronog. e Histog.'!$BZ:$BZ,'Cronog. e Histog.'!DV:DV),"")</f>
        <v>0</v>
      </c>
      <c r="BB134" s="144">
        <f>IFERROR(_xlfn.XLOOKUP($B134,'Cronog. e Histog.'!$BZ:$BZ,'Cronog. e Histog.'!DW:DW),"")</f>
        <v>0</v>
      </c>
      <c r="BC134" s="144">
        <f>IFERROR(_xlfn.XLOOKUP($B134,'Cronog. e Histog.'!$BZ:$BZ,'Cronog. e Histog.'!DX:DX),"")</f>
        <v>0</v>
      </c>
      <c r="BD134" s="144">
        <f>IFERROR(_xlfn.XLOOKUP($B134,'Cronog. e Histog.'!$BZ:$BZ,'Cronog. e Histog.'!DY:DY),"")</f>
        <v>0</v>
      </c>
      <c r="BE134" s="144">
        <f>IFERROR(_xlfn.XLOOKUP($B134,'Cronog. e Histog.'!$BZ:$BZ,'Cronog. e Histog.'!DZ:DZ),"")</f>
        <v>0</v>
      </c>
      <c r="BF134" s="144">
        <f>IFERROR(_xlfn.XLOOKUP($B134,'Cronog. e Histog.'!$BZ:$BZ,'Cronog. e Histog.'!EA:EA),"")</f>
        <v>0</v>
      </c>
      <c r="BG134" s="144">
        <f>IFERROR(_xlfn.XLOOKUP($B134,'Cronog. e Histog.'!$BZ:$BZ,'Cronog. e Histog.'!EB:EB),"")</f>
        <v>0</v>
      </c>
      <c r="BH134" s="144">
        <f>IFERROR(_xlfn.XLOOKUP($B134,'Cronog. e Histog.'!$BZ:$BZ,'Cronog. e Histog.'!EC:EC),"")</f>
        <v>0</v>
      </c>
      <c r="BI134" s="144">
        <f>IFERROR(_xlfn.XLOOKUP($B134,'Cronog. e Histog.'!$BZ:$BZ,'Cronog. e Histog.'!ED:ED),"")</f>
        <v>0</v>
      </c>
      <c r="BJ134" s="144">
        <f>IFERROR(_xlfn.XLOOKUP($B134,'Cronog. e Histog.'!$BZ:$BZ,'Cronog. e Histog.'!EE:EE),"")</f>
        <v>0</v>
      </c>
      <c r="BK134" s="144">
        <f>IFERROR(_xlfn.XLOOKUP($B134,'Cronog. e Histog.'!$BZ:$BZ,'Cronog. e Histog.'!EF:EF),"")</f>
        <v>0</v>
      </c>
      <c r="BL134" s="144">
        <f>IFERROR(_xlfn.XLOOKUP($B134,'Cronog. e Histog.'!$BZ:$BZ,'Cronog. e Histog.'!EG:EG),"")</f>
        <v>0</v>
      </c>
      <c r="BM134" s="144">
        <f>IFERROR(_xlfn.XLOOKUP($B134,'Cronog. e Histog.'!$BZ:$BZ,'Cronog. e Histog.'!EH:EH),"")</f>
        <v>0</v>
      </c>
      <c r="BN134" s="144">
        <f>IFERROR(_xlfn.XLOOKUP($B134,'Cronog. e Histog.'!$BZ:$BZ,'Cronog. e Histog.'!EI:EI),"")</f>
        <v>0</v>
      </c>
    </row>
    <row r="135" spans="2:66" ht="12" hidden="1" customHeight="1" outlineLevel="1">
      <c r="B135" s="76">
        <v>129</v>
      </c>
      <c r="C135" s="143" t="str">
        <f>IFERROR(VLOOKUP(B135,'Cronog. e Histog.'!$BZ$213:$CA$747,2,0),"")</f>
        <v>AN JR. ENG/ARQ</v>
      </c>
      <c r="D135" s="144">
        <f t="shared" ref="D135:D198" si="4">IFERROR(ROUNDUP(SUM(G135:BN135)/COUNTIF(G135:BN135,"&gt;0"),0),0)</f>
        <v>0</v>
      </c>
      <c r="E135" s="144">
        <f t="shared" ref="E135:E198" si="5">COUNTIF(G135:BN135,"&gt;0")</f>
        <v>0</v>
      </c>
      <c r="F135" s="65"/>
      <c r="G135" s="144">
        <f>IFERROR(_xlfn.XLOOKUP($B135,'Cronog. e Histog.'!$BZ:$BZ,'Cronog. e Histog.'!CB:CB),"")</f>
        <v>0</v>
      </c>
      <c r="H135" s="144">
        <f>IFERROR(_xlfn.XLOOKUP($B135,'Cronog. e Histog.'!$BZ:$BZ,'Cronog. e Histog.'!CC:CC),"")</f>
        <v>0</v>
      </c>
      <c r="I135" s="144">
        <f>IFERROR(_xlfn.XLOOKUP($B135,'Cronog. e Histog.'!$BZ:$BZ,'Cronog. e Histog.'!CD:CD),"")</f>
        <v>0</v>
      </c>
      <c r="J135" s="144">
        <f>IFERROR(_xlfn.XLOOKUP($B135,'Cronog. e Histog.'!$BZ:$BZ,'Cronog. e Histog.'!CE:CE),"")</f>
        <v>0</v>
      </c>
      <c r="K135" s="144">
        <f>IFERROR(_xlfn.XLOOKUP($B135,'Cronog. e Histog.'!$BZ:$BZ,'Cronog. e Histog.'!CF:CF),"")</f>
        <v>0</v>
      </c>
      <c r="L135" s="144">
        <f>IFERROR(_xlfn.XLOOKUP($B135,'Cronog. e Histog.'!$BZ:$BZ,'Cronog. e Histog.'!CG:CG),"")</f>
        <v>0</v>
      </c>
      <c r="M135" s="144">
        <f>IFERROR(_xlfn.XLOOKUP($B135,'Cronog. e Histog.'!$BZ:$BZ,'Cronog. e Histog.'!CH:CH),"")</f>
        <v>0</v>
      </c>
      <c r="N135" s="144">
        <f>IFERROR(_xlfn.XLOOKUP($B135,'Cronog. e Histog.'!$BZ:$BZ,'Cronog. e Histog.'!CI:CI),"")</f>
        <v>0</v>
      </c>
      <c r="O135" s="144">
        <f>IFERROR(_xlfn.XLOOKUP($B135,'Cronog. e Histog.'!$BZ:$BZ,'Cronog. e Histog.'!CJ:CJ),"")</f>
        <v>0</v>
      </c>
      <c r="P135" s="144">
        <f>IFERROR(_xlfn.XLOOKUP($B135,'Cronog. e Histog.'!$BZ:$BZ,'Cronog. e Histog.'!CK:CK),"")</f>
        <v>0</v>
      </c>
      <c r="Q135" s="144">
        <f>IFERROR(_xlfn.XLOOKUP($B135,'Cronog. e Histog.'!$BZ:$BZ,'Cronog. e Histog.'!CL:CL),"")</f>
        <v>0</v>
      </c>
      <c r="R135" s="144">
        <f>IFERROR(_xlfn.XLOOKUP($B135,'Cronog. e Histog.'!$BZ:$BZ,'Cronog. e Histog.'!CM:CM),"")</f>
        <v>0</v>
      </c>
      <c r="S135" s="144">
        <f>IFERROR(_xlfn.XLOOKUP($B135,'Cronog. e Histog.'!$BZ:$BZ,'Cronog. e Histog.'!CN:CN),"")</f>
        <v>0</v>
      </c>
      <c r="T135" s="144">
        <f>IFERROR(_xlfn.XLOOKUP($B135,'Cronog. e Histog.'!$BZ:$BZ,'Cronog. e Histog.'!CO:CO),"")</f>
        <v>0</v>
      </c>
      <c r="U135" s="144">
        <f>IFERROR(_xlfn.XLOOKUP($B135,'Cronog. e Histog.'!$BZ:$BZ,'Cronog. e Histog.'!CP:CP),"")</f>
        <v>0</v>
      </c>
      <c r="V135" s="144">
        <f>IFERROR(_xlfn.XLOOKUP($B135,'Cronog. e Histog.'!$BZ:$BZ,'Cronog. e Histog.'!CQ:CQ),"")</f>
        <v>0</v>
      </c>
      <c r="W135" s="144">
        <f>IFERROR(_xlfn.XLOOKUP($B135,'Cronog. e Histog.'!$BZ:$BZ,'Cronog. e Histog.'!CR:CR),"")</f>
        <v>0</v>
      </c>
      <c r="X135" s="144">
        <f>IFERROR(_xlfn.XLOOKUP($B135,'Cronog. e Histog.'!$BZ:$BZ,'Cronog. e Histog.'!CS:CS),"")</f>
        <v>0</v>
      </c>
      <c r="Y135" s="144">
        <f>IFERROR(_xlfn.XLOOKUP($B135,'Cronog. e Histog.'!$BZ:$BZ,'Cronog. e Histog.'!CT:CT),"")</f>
        <v>0</v>
      </c>
      <c r="Z135" s="144">
        <f>IFERROR(_xlfn.XLOOKUP($B135,'Cronog. e Histog.'!$BZ:$BZ,'Cronog. e Histog.'!CU:CU),"")</f>
        <v>0</v>
      </c>
      <c r="AA135" s="144">
        <f>IFERROR(_xlfn.XLOOKUP($B135,'Cronog. e Histog.'!$BZ:$BZ,'Cronog. e Histog.'!CV:CV),"")</f>
        <v>0</v>
      </c>
      <c r="AB135" s="144">
        <f>IFERROR(_xlfn.XLOOKUP($B135,'Cronog. e Histog.'!$BZ:$BZ,'Cronog. e Histog.'!CW:CW),"")</f>
        <v>0</v>
      </c>
      <c r="AC135" s="144">
        <f>IFERROR(_xlfn.XLOOKUP($B135,'Cronog. e Histog.'!$BZ:$BZ,'Cronog. e Histog.'!CX:CX),"")</f>
        <v>0</v>
      </c>
      <c r="AD135" s="144">
        <f>IFERROR(_xlfn.XLOOKUP($B135,'Cronog. e Histog.'!$BZ:$BZ,'Cronog. e Histog.'!CY:CY),"")</f>
        <v>0</v>
      </c>
      <c r="AE135" s="144">
        <f>IFERROR(_xlfn.XLOOKUP($B135,'Cronog. e Histog.'!$BZ:$BZ,'Cronog. e Histog.'!CZ:CZ),"")</f>
        <v>0</v>
      </c>
      <c r="AF135" s="144">
        <f>IFERROR(_xlfn.XLOOKUP($B135,'Cronog. e Histog.'!$BZ:$BZ,'Cronog. e Histog.'!DA:DA),"")</f>
        <v>0</v>
      </c>
      <c r="AG135" s="144">
        <f>IFERROR(_xlfn.XLOOKUP($B135,'Cronog. e Histog.'!$BZ:$BZ,'Cronog. e Histog.'!DB:DB),"")</f>
        <v>0</v>
      </c>
      <c r="AH135" s="144">
        <f>IFERROR(_xlfn.XLOOKUP($B135,'Cronog. e Histog.'!$BZ:$BZ,'Cronog. e Histog.'!DC:DC),"")</f>
        <v>0</v>
      </c>
      <c r="AI135" s="144">
        <f>IFERROR(_xlfn.XLOOKUP($B135,'Cronog. e Histog.'!$BZ:$BZ,'Cronog. e Histog.'!DD:DD),"")</f>
        <v>0</v>
      </c>
      <c r="AJ135" s="144">
        <f>IFERROR(_xlfn.XLOOKUP($B135,'Cronog. e Histog.'!$BZ:$BZ,'Cronog. e Histog.'!DE:DE),"")</f>
        <v>0</v>
      </c>
      <c r="AK135" s="144">
        <f>IFERROR(_xlfn.XLOOKUP($B135,'Cronog. e Histog.'!$BZ:$BZ,'Cronog. e Histog.'!DF:DF),"")</f>
        <v>0</v>
      </c>
      <c r="AL135" s="144">
        <f>IFERROR(_xlfn.XLOOKUP($B135,'Cronog. e Histog.'!$BZ:$BZ,'Cronog. e Histog.'!DG:DG),"")</f>
        <v>0</v>
      </c>
      <c r="AM135" s="144">
        <f>IFERROR(_xlfn.XLOOKUP($B135,'Cronog. e Histog.'!$BZ:$BZ,'Cronog. e Histog.'!DH:DH),"")</f>
        <v>0</v>
      </c>
      <c r="AN135" s="144">
        <f>IFERROR(_xlfn.XLOOKUP($B135,'Cronog. e Histog.'!$BZ:$BZ,'Cronog. e Histog.'!DI:DI),"")</f>
        <v>0</v>
      </c>
      <c r="AO135" s="144">
        <f>IFERROR(_xlfn.XLOOKUP($B135,'Cronog. e Histog.'!$BZ:$BZ,'Cronog. e Histog.'!DJ:DJ),"")</f>
        <v>0</v>
      </c>
      <c r="AP135" s="144">
        <f>IFERROR(_xlfn.XLOOKUP($B135,'Cronog. e Histog.'!$BZ:$BZ,'Cronog. e Histog.'!DK:DK),"")</f>
        <v>0</v>
      </c>
      <c r="AQ135" s="144">
        <f>IFERROR(_xlfn.XLOOKUP($B135,'Cronog. e Histog.'!$BZ:$BZ,'Cronog. e Histog.'!DL:DL),"")</f>
        <v>0</v>
      </c>
      <c r="AR135" s="144">
        <f>IFERROR(_xlfn.XLOOKUP($B135,'Cronog. e Histog.'!$BZ:$BZ,'Cronog. e Histog.'!DM:DM),"")</f>
        <v>0</v>
      </c>
      <c r="AS135" s="144">
        <f>IFERROR(_xlfn.XLOOKUP($B135,'Cronog. e Histog.'!$BZ:$BZ,'Cronog. e Histog.'!DN:DN),"")</f>
        <v>0</v>
      </c>
      <c r="AT135" s="144">
        <f>IFERROR(_xlfn.XLOOKUP($B135,'Cronog. e Histog.'!$BZ:$BZ,'Cronog. e Histog.'!DO:DO),"")</f>
        <v>0</v>
      </c>
      <c r="AU135" s="144">
        <f>IFERROR(_xlfn.XLOOKUP($B135,'Cronog. e Histog.'!$BZ:$BZ,'Cronog. e Histog.'!DP:DP),"")</f>
        <v>0</v>
      </c>
      <c r="AV135" s="144">
        <f>IFERROR(_xlfn.XLOOKUP($B135,'Cronog. e Histog.'!$BZ:$BZ,'Cronog. e Histog.'!DQ:DQ),"")</f>
        <v>0</v>
      </c>
      <c r="AW135" s="144">
        <f>IFERROR(_xlfn.XLOOKUP($B135,'Cronog. e Histog.'!$BZ:$BZ,'Cronog. e Histog.'!DR:DR),"")</f>
        <v>0</v>
      </c>
      <c r="AX135" s="144">
        <f>IFERROR(_xlfn.XLOOKUP($B135,'Cronog. e Histog.'!$BZ:$BZ,'Cronog. e Histog.'!DS:DS),"")</f>
        <v>0</v>
      </c>
      <c r="AY135" s="144">
        <f>IFERROR(_xlfn.XLOOKUP($B135,'Cronog. e Histog.'!$BZ:$BZ,'Cronog. e Histog.'!DT:DT),"")</f>
        <v>0</v>
      </c>
      <c r="AZ135" s="144">
        <f>IFERROR(_xlfn.XLOOKUP($B135,'Cronog. e Histog.'!$BZ:$BZ,'Cronog. e Histog.'!DU:DU),"")</f>
        <v>0</v>
      </c>
      <c r="BA135" s="144">
        <f>IFERROR(_xlfn.XLOOKUP($B135,'Cronog. e Histog.'!$BZ:$BZ,'Cronog. e Histog.'!DV:DV),"")</f>
        <v>0</v>
      </c>
      <c r="BB135" s="144">
        <f>IFERROR(_xlfn.XLOOKUP($B135,'Cronog. e Histog.'!$BZ:$BZ,'Cronog. e Histog.'!DW:DW),"")</f>
        <v>0</v>
      </c>
      <c r="BC135" s="144">
        <f>IFERROR(_xlfn.XLOOKUP($B135,'Cronog. e Histog.'!$BZ:$BZ,'Cronog. e Histog.'!DX:DX),"")</f>
        <v>0</v>
      </c>
      <c r="BD135" s="144">
        <f>IFERROR(_xlfn.XLOOKUP($B135,'Cronog. e Histog.'!$BZ:$BZ,'Cronog. e Histog.'!DY:DY),"")</f>
        <v>0</v>
      </c>
      <c r="BE135" s="144">
        <f>IFERROR(_xlfn.XLOOKUP($B135,'Cronog. e Histog.'!$BZ:$BZ,'Cronog. e Histog.'!DZ:DZ),"")</f>
        <v>0</v>
      </c>
      <c r="BF135" s="144">
        <f>IFERROR(_xlfn.XLOOKUP($B135,'Cronog. e Histog.'!$BZ:$BZ,'Cronog. e Histog.'!EA:EA),"")</f>
        <v>0</v>
      </c>
      <c r="BG135" s="144">
        <f>IFERROR(_xlfn.XLOOKUP($B135,'Cronog. e Histog.'!$BZ:$BZ,'Cronog. e Histog.'!EB:EB),"")</f>
        <v>0</v>
      </c>
      <c r="BH135" s="144">
        <f>IFERROR(_xlfn.XLOOKUP($B135,'Cronog. e Histog.'!$BZ:$BZ,'Cronog. e Histog.'!EC:EC),"")</f>
        <v>0</v>
      </c>
      <c r="BI135" s="144">
        <f>IFERROR(_xlfn.XLOOKUP($B135,'Cronog. e Histog.'!$BZ:$BZ,'Cronog. e Histog.'!ED:ED),"")</f>
        <v>0</v>
      </c>
      <c r="BJ135" s="144">
        <f>IFERROR(_xlfn.XLOOKUP($B135,'Cronog. e Histog.'!$BZ:$BZ,'Cronog. e Histog.'!EE:EE),"")</f>
        <v>0</v>
      </c>
      <c r="BK135" s="144">
        <f>IFERROR(_xlfn.XLOOKUP($B135,'Cronog. e Histog.'!$BZ:$BZ,'Cronog. e Histog.'!EF:EF),"")</f>
        <v>0</v>
      </c>
      <c r="BL135" s="144">
        <f>IFERROR(_xlfn.XLOOKUP($B135,'Cronog. e Histog.'!$BZ:$BZ,'Cronog. e Histog.'!EG:EG),"")</f>
        <v>0</v>
      </c>
      <c r="BM135" s="144">
        <f>IFERROR(_xlfn.XLOOKUP($B135,'Cronog. e Histog.'!$BZ:$BZ,'Cronog. e Histog.'!EH:EH),"")</f>
        <v>0</v>
      </c>
      <c r="BN135" s="144">
        <f>IFERROR(_xlfn.XLOOKUP($B135,'Cronog. e Histog.'!$BZ:$BZ,'Cronog. e Histog.'!EI:EI),"")</f>
        <v>0</v>
      </c>
    </row>
    <row r="136" spans="2:66" ht="12" hidden="1" customHeight="1" outlineLevel="1">
      <c r="B136" s="76">
        <v>130</v>
      </c>
      <c r="C136" s="143" t="str">
        <f>IFERROR(VLOOKUP(B136,'Cronog. e Histog.'!$BZ$213:$CA$747,2,0),"")</f>
        <v>AN SR. ADM/CRP</v>
      </c>
      <c r="D136" s="144">
        <f t="shared" si="4"/>
        <v>0</v>
      </c>
      <c r="E136" s="144">
        <f t="shared" si="5"/>
        <v>0</v>
      </c>
      <c r="F136" s="65"/>
      <c r="G136" s="144">
        <f>IFERROR(_xlfn.XLOOKUP($B136,'Cronog. e Histog.'!$BZ:$BZ,'Cronog. e Histog.'!CB:CB),"")</f>
        <v>0</v>
      </c>
      <c r="H136" s="144">
        <f>IFERROR(_xlfn.XLOOKUP($B136,'Cronog. e Histog.'!$BZ:$BZ,'Cronog. e Histog.'!CC:CC),"")</f>
        <v>0</v>
      </c>
      <c r="I136" s="144">
        <f>IFERROR(_xlfn.XLOOKUP($B136,'Cronog. e Histog.'!$BZ:$BZ,'Cronog. e Histog.'!CD:CD),"")</f>
        <v>0</v>
      </c>
      <c r="J136" s="144">
        <f>IFERROR(_xlfn.XLOOKUP($B136,'Cronog. e Histog.'!$BZ:$BZ,'Cronog. e Histog.'!CE:CE),"")</f>
        <v>0</v>
      </c>
      <c r="K136" s="144">
        <f>IFERROR(_xlfn.XLOOKUP($B136,'Cronog. e Histog.'!$BZ:$BZ,'Cronog. e Histog.'!CF:CF),"")</f>
        <v>0</v>
      </c>
      <c r="L136" s="144">
        <f>IFERROR(_xlfn.XLOOKUP($B136,'Cronog. e Histog.'!$BZ:$BZ,'Cronog. e Histog.'!CG:CG),"")</f>
        <v>0</v>
      </c>
      <c r="M136" s="144">
        <f>IFERROR(_xlfn.XLOOKUP($B136,'Cronog. e Histog.'!$BZ:$BZ,'Cronog. e Histog.'!CH:CH),"")</f>
        <v>0</v>
      </c>
      <c r="N136" s="144">
        <f>IFERROR(_xlfn.XLOOKUP($B136,'Cronog. e Histog.'!$BZ:$BZ,'Cronog. e Histog.'!CI:CI),"")</f>
        <v>0</v>
      </c>
      <c r="O136" s="144">
        <f>IFERROR(_xlfn.XLOOKUP($B136,'Cronog. e Histog.'!$BZ:$BZ,'Cronog. e Histog.'!CJ:CJ),"")</f>
        <v>0</v>
      </c>
      <c r="P136" s="144">
        <f>IFERROR(_xlfn.XLOOKUP($B136,'Cronog. e Histog.'!$BZ:$BZ,'Cronog. e Histog.'!CK:CK),"")</f>
        <v>0</v>
      </c>
      <c r="Q136" s="144">
        <f>IFERROR(_xlfn.XLOOKUP($B136,'Cronog. e Histog.'!$BZ:$BZ,'Cronog. e Histog.'!CL:CL),"")</f>
        <v>0</v>
      </c>
      <c r="R136" s="144">
        <f>IFERROR(_xlfn.XLOOKUP($B136,'Cronog. e Histog.'!$BZ:$BZ,'Cronog. e Histog.'!CM:CM),"")</f>
        <v>0</v>
      </c>
      <c r="S136" s="144">
        <f>IFERROR(_xlfn.XLOOKUP($B136,'Cronog. e Histog.'!$BZ:$BZ,'Cronog. e Histog.'!CN:CN),"")</f>
        <v>0</v>
      </c>
      <c r="T136" s="144">
        <f>IFERROR(_xlfn.XLOOKUP($B136,'Cronog. e Histog.'!$BZ:$BZ,'Cronog. e Histog.'!CO:CO),"")</f>
        <v>0</v>
      </c>
      <c r="U136" s="144">
        <f>IFERROR(_xlfn.XLOOKUP($B136,'Cronog. e Histog.'!$BZ:$BZ,'Cronog. e Histog.'!CP:CP),"")</f>
        <v>0</v>
      </c>
      <c r="V136" s="144">
        <f>IFERROR(_xlfn.XLOOKUP($B136,'Cronog. e Histog.'!$BZ:$BZ,'Cronog. e Histog.'!CQ:CQ),"")</f>
        <v>0</v>
      </c>
      <c r="W136" s="144">
        <f>IFERROR(_xlfn.XLOOKUP($B136,'Cronog. e Histog.'!$BZ:$BZ,'Cronog. e Histog.'!CR:CR),"")</f>
        <v>0</v>
      </c>
      <c r="X136" s="144">
        <f>IFERROR(_xlfn.XLOOKUP($B136,'Cronog. e Histog.'!$BZ:$BZ,'Cronog. e Histog.'!CS:CS),"")</f>
        <v>0</v>
      </c>
      <c r="Y136" s="144">
        <f>IFERROR(_xlfn.XLOOKUP($B136,'Cronog. e Histog.'!$BZ:$BZ,'Cronog. e Histog.'!CT:CT),"")</f>
        <v>0</v>
      </c>
      <c r="Z136" s="144">
        <f>IFERROR(_xlfn.XLOOKUP($B136,'Cronog. e Histog.'!$BZ:$BZ,'Cronog. e Histog.'!CU:CU),"")</f>
        <v>0</v>
      </c>
      <c r="AA136" s="144">
        <f>IFERROR(_xlfn.XLOOKUP($B136,'Cronog. e Histog.'!$BZ:$BZ,'Cronog. e Histog.'!CV:CV),"")</f>
        <v>0</v>
      </c>
      <c r="AB136" s="144">
        <f>IFERROR(_xlfn.XLOOKUP($B136,'Cronog. e Histog.'!$BZ:$BZ,'Cronog. e Histog.'!CW:CW),"")</f>
        <v>0</v>
      </c>
      <c r="AC136" s="144">
        <f>IFERROR(_xlfn.XLOOKUP($B136,'Cronog. e Histog.'!$BZ:$BZ,'Cronog. e Histog.'!CX:CX),"")</f>
        <v>0</v>
      </c>
      <c r="AD136" s="144">
        <f>IFERROR(_xlfn.XLOOKUP($B136,'Cronog. e Histog.'!$BZ:$BZ,'Cronog. e Histog.'!CY:CY),"")</f>
        <v>0</v>
      </c>
      <c r="AE136" s="144">
        <f>IFERROR(_xlfn.XLOOKUP($B136,'Cronog. e Histog.'!$BZ:$BZ,'Cronog. e Histog.'!CZ:CZ),"")</f>
        <v>0</v>
      </c>
      <c r="AF136" s="144">
        <f>IFERROR(_xlfn.XLOOKUP($B136,'Cronog. e Histog.'!$BZ:$BZ,'Cronog. e Histog.'!DA:DA),"")</f>
        <v>0</v>
      </c>
      <c r="AG136" s="144">
        <f>IFERROR(_xlfn.XLOOKUP($B136,'Cronog. e Histog.'!$BZ:$BZ,'Cronog. e Histog.'!DB:DB),"")</f>
        <v>0</v>
      </c>
      <c r="AH136" s="144">
        <f>IFERROR(_xlfn.XLOOKUP($B136,'Cronog. e Histog.'!$BZ:$BZ,'Cronog. e Histog.'!DC:DC),"")</f>
        <v>0</v>
      </c>
      <c r="AI136" s="144">
        <f>IFERROR(_xlfn.XLOOKUP($B136,'Cronog. e Histog.'!$BZ:$BZ,'Cronog. e Histog.'!DD:DD),"")</f>
        <v>0</v>
      </c>
      <c r="AJ136" s="144">
        <f>IFERROR(_xlfn.XLOOKUP($B136,'Cronog. e Histog.'!$BZ:$BZ,'Cronog. e Histog.'!DE:DE),"")</f>
        <v>0</v>
      </c>
      <c r="AK136" s="144">
        <f>IFERROR(_xlfn.XLOOKUP($B136,'Cronog. e Histog.'!$BZ:$BZ,'Cronog. e Histog.'!DF:DF),"")</f>
        <v>0</v>
      </c>
      <c r="AL136" s="144">
        <f>IFERROR(_xlfn.XLOOKUP($B136,'Cronog. e Histog.'!$BZ:$BZ,'Cronog. e Histog.'!DG:DG),"")</f>
        <v>0</v>
      </c>
      <c r="AM136" s="144">
        <f>IFERROR(_xlfn.XLOOKUP($B136,'Cronog. e Histog.'!$BZ:$BZ,'Cronog. e Histog.'!DH:DH),"")</f>
        <v>0</v>
      </c>
      <c r="AN136" s="144">
        <f>IFERROR(_xlfn.XLOOKUP($B136,'Cronog. e Histog.'!$BZ:$BZ,'Cronog. e Histog.'!DI:DI),"")</f>
        <v>0</v>
      </c>
      <c r="AO136" s="144">
        <f>IFERROR(_xlfn.XLOOKUP($B136,'Cronog. e Histog.'!$BZ:$BZ,'Cronog. e Histog.'!DJ:DJ),"")</f>
        <v>0</v>
      </c>
      <c r="AP136" s="144">
        <f>IFERROR(_xlfn.XLOOKUP($B136,'Cronog. e Histog.'!$BZ:$BZ,'Cronog. e Histog.'!DK:DK),"")</f>
        <v>0</v>
      </c>
      <c r="AQ136" s="144">
        <f>IFERROR(_xlfn.XLOOKUP($B136,'Cronog. e Histog.'!$BZ:$BZ,'Cronog. e Histog.'!DL:DL),"")</f>
        <v>0</v>
      </c>
      <c r="AR136" s="144">
        <f>IFERROR(_xlfn.XLOOKUP($B136,'Cronog. e Histog.'!$BZ:$BZ,'Cronog. e Histog.'!DM:DM),"")</f>
        <v>0</v>
      </c>
      <c r="AS136" s="144">
        <f>IFERROR(_xlfn.XLOOKUP($B136,'Cronog. e Histog.'!$BZ:$BZ,'Cronog. e Histog.'!DN:DN),"")</f>
        <v>0</v>
      </c>
      <c r="AT136" s="144">
        <f>IFERROR(_xlfn.XLOOKUP($B136,'Cronog. e Histog.'!$BZ:$BZ,'Cronog. e Histog.'!DO:DO),"")</f>
        <v>0</v>
      </c>
      <c r="AU136" s="144">
        <f>IFERROR(_xlfn.XLOOKUP($B136,'Cronog. e Histog.'!$BZ:$BZ,'Cronog. e Histog.'!DP:DP),"")</f>
        <v>0</v>
      </c>
      <c r="AV136" s="144">
        <f>IFERROR(_xlfn.XLOOKUP($B136,'Cronog. e Histog.'!$BZ:$BZ,'Cronog. e Histog.'!DQ:DQ),"")</f>
        <v>0</v>
      </c>
      <c r="AW136" s="144">
        <f>IFERROR(_xlfn.XLOOKUP($B136,'Cronog. e Histog.'!$BZ:$BZ,'Cronog. e Histog.'!DR:DR),"")</f>
        <v>0</v>
      </c>
      <c r="AX136" s="144">
        <f>IFERROR(_xlfn.XLOOKUP($B136,'Cronog. e Histog.'!$BZ:$BZ,'Cronog. e Histog.'!DS:DS),"")</f>
        <v>0</v>
      </c>
      <c r="AY136" s="144">
        <f>IFERROR(_xlfn.XLOOKUP($B136,'Cronog. e Histog.'!$BZ:$BZ,'Cronog. e Histog.'!DT:DT),"")</f>
        <v>0</v>
      </c>
      <c r="AZ136" s="144">
        <f>IFERROR(_xlfn.XLOOKUP($B136,'Cronog. e Histog.'!$BZ:$BZ,'Cronog. e Histog.'!DU:DU),"")</f>
        <v>0</v>
      </c>
      <c r="BA136" s="144">
        <f>IFERROR(_xlfn.XLOOKUP($B136,'Cronog. e Histog.'!$BZ:$BZ,'Cronog. e Histog.'!DV:DV),"")</f>
        <v>0</v>
      </c>
      <c r="BB136" s="144">
        <f>IFERROR(_xlfn.XLOOKUP($B136,'Cronog. e Histog.'!$BZ:$BZ,'Cronog. e Histog.'!DW:DW),"")</f>
        <v>0</v>
      </c>
      <c r="BC136" s="144">
        <f>IFERROR(_xlfn.XLOOKUP($B136,'Cronog. e Histog.'!$BZ:$BZ,'Cronog. e Histog.'!DX:DX),"")</f>
        <v>0</v>
      </c>
      <c r="BD136" s="144">
        <f>IFERROR(_xlfn.XLOOKUP($B136,'Cronog. e Histog.'!$BZ:$BZ,'Cronog. e Histog.'!DY:DY),"")</f>
        <v>0</v>
      </c>
      <c r="BE136" s="144">
        <f>IFERROR(_xlfn.XLOOKUP($B136,'Cronog. e Histog.'!$BZ:$BZ,'Cronog. e Histog.'!DZ:DZ),"")</f>
        <v>0</v>
      </c>
      <c r="BF136" s="144">
        <f>IFERROR(_xlfn.XLOOKUP($B136,'Cronog. e Histog.'!$BZ:$BZ,'Cronog. e Histog.'!EA:EA),"")</f>
        <v>0</v>
      </c>
      <c r="BG136" s="144">
        <f>IFERROR(_xlfn.XLOOKUP($B136,'Cronog. e Histog.'!$BZ:$BZ,'Cronog. e Histog.'!EB:EB),"")</f>
        <v>0</v>
      </c>
      <c r="BH136" s="144">
        <f>IFERROR(_xlfn.XLOOKUP($B136,'Cronog. e Histog.'!$BZ:$BZ,'Cronog. e Histog.'!EC:EC),"")</f>
        <v>0</v>
      </c>
      <c r="BI136" s="144">
        <f>IFERROR(_xlfn.XLOOKUP($B136,'Cronog. e Histog.'!$BZ:$BZ,'Cronog. e Histog.'!ED:ED),"")</f>
        <v>0</v>
      </c>
      <c r="BJ136" s="144">
        <f>IFERROR(_xlfn.XLOOKUP($B136,'Cronog. e Histog.'!$BZ:$BZ,'Cronog. e Histog.'!EE:EE),"")</f>
        <v>0</v>
      </c>
      <c r="BK136" s="144">
        <f>IFERROR(_xlfn.XLOOKUP($B136,'Cronog. e Histog.'!$BZ:$BZ,'Cronog. e Histog.'!EF:EF),"")</f>
        <v>0</v>
      </c>
      <c r="BL136" s="144">
        <f>IFERROR(_xlfn.XLOOKUP($B136,'Cronog. e Histog.'!$BZ:$BZ,'Cronog. e Histog.'!EG:EG),"")</f>
        <v>0</v>
      </c>
      <c r="BM136" s="144">
        <f>IFERROR(_xlfn.XLOOKUP($B136,'Cronog. e Histog.'!$BZ:$BZ,'Cronog. e Histog.'!EH:EH),"")</f>
        <v>0</v>
      </c>
      <c r="BN136" s="144">
        <f>IFERROR(_xlfn.XLOOKUP($B136,'Cronog. e Histog.'!$BZ:$BZ,'Cronog. e Histog.'!EI:EI),"")</f>
        <v>0</v>
      </c>
    </row>
    <row r="137" spans="2:66" ht="12" hidden="1" customHeight="1" outlineLevel="1">
      <c r="B137" s="76">
        <v>131</v>
      </c>
      <c r="C137" s="143" t="str">
        <f>IFERROR(VLOOKUP(B137,'Cronog. e Histog.'!$BZ$213:$CA$747,2,0),"")</f>
        <v>AN PL. ADM/CRP</v>
      </c>
      <c r="D137" s="144">
        <f t="shared" si="4"/>
        <v>0</v>
      </c>
      <c r="E137" s="144">
        <f t="shared" si="5"/>
        <v>0</v>
      </c>
      <c r="F137" s="65"/>
      <c r="G137" s="144">
        <f>IFERROR(_xlfn.XLOOKUP($B137,'Cronog. e Histog.'!$BZ:$BZ,'Cronog. e Histog.'!CB:CB),"")</f>
        <v>0</v>
      </c>
      <c r="H137" s="144">
        <f>IFERROR(_xlfn.XLOOKUP($B137,'Cronog. e Histog.'!$BZ:$BZ,'Cronog. e Histog.'!CC:CC),"")</f>
        <v>0</v>
      </c>
      <c r="I137" s="144">
        <f>IFERROR(_xlfn.XLOOKUP($B137,'Cronog. e Histog.'!$BZ:$BZ,'Cronog. e Histog.'!CD:CD),"")</f>
        <v>0</v>
      </c>
      <c r="J137" s="144">
        <f>IFERROR(_xlfn.XLOOKUP($B137,'Cronog. e Histog.'!$BZ:$BZ,'Cronog. e Histog.'!CE:CE),"")</f>
        <v>0</v>
      </c>
      <c r="K137" s="144">
        <f>IFERROR(_xlfn.XLOOKUP($B137,'Cronog. e Histog.'!$BZ:$BZ,'Cronog. e Histog.'!CF:CF),"")</f>
        <v>0</v>
      </c>
      <c r="L137" s="144">
        <f>IFERROR(_xlfn.XLOOKUP($B137,'Cronog. e Histog.'!$BZ:$BZ,'Cronog. e Histog.'!CG:CG),"")</f>
        <v>0</v>
      </c>
      <c r="M137" s="144">
        <f>IFERROR(_xlfn.XLOOKUP($B137,'Cronog. e Histog.'!$BZ:$BZ,'Cronog. e Histog.'!CH:CH),"")</f>
        <v>0</v>
      </c>
      <c r="N137" s="144">
        <f>IFERROR(_xlfn.XLOOKUP($B137,'Cronog. e Histog.'!$BZ:$BZ,'Cronog. e Histog.'!CI:CI),"")</f>
        <v>0</v>
      </c>
      <c r="O137" s="144">
        <f>IFERROR(_xlfn.XLOOKUP($B137,'Cronog. e Histog.'!$BZ:$BZ,'Cronog. e Histog.'!CJ:CJ),"")</f>
        <v>0</v>
      </c>
      <c r="P137" s="144">
        <f>IFERROR(_xlfn.XLOOKUP($B137,'Cronog. e Histog.'!$BZ:$BZ,'Cronog. e Histog.'!CK:CK),"")</f>
        <v>0</v>
      </c>
      <c r="Q137" s="144">
        <f>IFERROR(_xlfn.XLOOKUP($B137,'Cronog. e Histog.'!$BZ:$BZ,'Cronog. e Histog.'!CL:CL),"")</f>
        <v>0</v>
      </c>
      <c r="R137" s="144">
        <f>IFERROR(_xlfn.XLOOKUP($B137,'Cronog. e Histog.'!$BZ:$BZ,'Cronog. e Histog.'!CM:CM),"")</f>
        <v>0</v>
      </c>
      <c r="S137" s="144">
        <f>IFERROR(_xlfn.XLOOKUP($B137,'Cronog. e Histog.'!$BZ:$BZ,'Cronog. e Histog.'!CN:CN),"")</f>
        <v>0</v>
      </c>
      <c r="T137" s="144">
        <f>IFERROR(_xlfn.XLOOKUP($B137,'Cronog. e Histog.'!$BZ:$BZ,'Cronog. e Histog.'!CO:CO),"")</f>
        <v>0</v>
      </c>
      <c r="U137" s="144">
        <f>IFERROR(_xlfn.XLOOKUP($B137,'Cronog. e Histog.'!$BZ:$BZ,'Cronog. e Histog.'!CP:CP),"")</f>
        <v>0</v>
      </c>
      <c r="V137" s="144">
        <f>IFERROR(_xlfn.XLOOKUP($B137,'Cronog. e Histog.'!$BZ:$BZ,'Cronog. e Histog.'!CQ:CQ),"")</f>
        <v>0</v>
      </c>
      <c r="W137" s="144">
        <f>IFERROR(_xlfn.XLOOKUP($B137,'Cronog. e Histog.'!$BZ:$BZ,'Cronog. e Histog.'!CR:CR),"")</f>
        <v>0</v>
      </c>
      <c r="X137" s="144">
        <f>IFERROR(_xlfn.XLOOKUP($B137,'Cronog. e Histog.'!$BZ:$BZ,'Cronog. e Histog.'!CS:CS),"")</f>
        <v>0</v>
      </c>
      <c r="Y137" s="144">
        <f>IFERROR(_xlfn.XLOOKUP($B137,'Cronog. e Histog.'!$BZ:$BZ,'Cronog. e Histog.'!CT:CT),"")</f>
        <v>0</v>
      </c>
      <c r="Z137" s="144">
        <f>IFERROR(_xlfn.XLOOKUP($B137,'Cronog. e Histog.'!$BZ:$BZ,'Cronog. e Histog.'!CU:CU),"")</f>
        <v>0</v>
      </c>
      <c r="AA137" s="144">
        <f>IFERROR(_xlfn.XLOOKUP($B137,'Cronog. e Histog.'!$BZ:$BZ,'Cronog. e Histog.'!CV:CV),"")</f>
        <v>0</v>
      </c>
      <c r="AB137" s="144">
        <f>IFERROR(_xlfn.XLOOKUP($B137,'Cronog. e Histog.'!$BZ:$BZ,'Cronog. e Histog.'!CW:CW),"")</f>
        <v>0</v>
      </c>
      <c r="AC137" s="144">
        <f>IFERROR(_xlfn.XLOOKUP($B137,'Cronog. e Histog.'!$BZ:$BZ,'Cronog. e Histog.'!CX:CX),"")</f>
        <v>0</v>
      </c>
      <c r="AD137" s="144">
        <f>IFERROR(_xlfn.XLOOKUP($B137,'Cronog. e Histog.'!$BZ:$BZ,'Cronog. e Histog.'!CY:CY),"")</f>
        <v>0</v>
      </c>
      <c r="AE137" s="144">
        <f>IFERROR(_xlfn.XLOOKUP($B137,'Cronog. e Histog.'!$BZ:$BZ,'Cronog. e Histog.'!CZ:CZ),"")</f>
        <v>0</v>
      </c>
      <c r="AF137" s="144">
        <f>IFERROR(_xlfn.XLOOKUP($B137,'Cronog. e Histog.'!$BZ:$BZ,'Cronog. e Histog.'!DA:DA),"")</f>
        <v>0</v>
      </c>
      <c r="AG137" s="144">
        <f>IFERROR(_xlfn.XLOOKUP($B137,'Cronog. e Histog.'!$BZ:$BZ,'Cronog. e Histog.'!DB:DB),"")</f>
        <v>0</v>
      </c>
      <c r="AH137" s="144">
        <f>IFERROR(_xlfn.XLOOKUP($B137,'Cronog. e Histog.'!$BZ:$BZ,'Cronog. e Histog.'!DC:DC),"")</f>
        <v>0</v>
      </c>
      <c r="AI137" s="144">
        <f>IFERROR(_xlfn.XLOOKUP($B137,'Cronog. e Histog.'!$BZ:$BZ,'Cronog. e Histog.'!DD:DD),"")</f>
        <v>0</v>
      </c>
      <c r="AJ137" s="144">
        <f>IFERROR(_xlfn.XLOOKUP($B137,'Cronog. e Histog.'!$BZ:$BZ,'Cronog. e Histog.'!DE:DE),"")</f>
        <v>0</v>
      </c>
      <c r="AK137" s="144">
        <f>IFERROR(_xlfn.XLOOKUP($B137,'Cronog. e Histog.'!$BZ:$BZ,'Cronog. e Histog.'!DF:DF),"")</f>
        <v>0</v>
      </c>
      <c r="AL137" s="144">
        <f>IFERROR(_xlfn.XLOOKUP($B137,'Cronog. e Histog.'!$BZ:$BZ,'Cronog. e Histog.'!DG:DG),"")</f>
        <v>0</v>
      </c>
      <c r="AM137" s="144">
        <f>IFERROR(_xlfn.XLOOKUP($B137,'Cronog. e Histog.'!$BZ:$BZ,'Cronog. e Histog.'!DH:DH),"")</f>
        <v>0</v>
      </c>
      <c r="AN137" s="144">
        <f>IFERROR(_xlfn.XLOOKUP($B137,'Cronog. e Histog.'!$BZ:$BZ,'Cronog. e Histog.'!DI:DI),"")</f>
        <v>0</v>
      </c>
      <c r="AO137" s="144">
        <f>IFERROR(_xlfn.XLOOKUP($B137,'Cronog. e Histog.'!$BZ:$BZ,'Cronog. e Histog.'!DJ:DJ),"")</f>
        <v>0</v>
      </c>
      <c r="AP137" s="144">
        <f>IFERROR(_xlfn.XLOOKUP($B137,'Cronog. e Histog.'!$BZ:$BZ,'Cronog. e Histog.'!DK:DK),"")</f>
        <v>0</v>
      </c>
      <c r="AQ137" s="144">
        <f>IFERROR(_xlfn.XLOOKUP($B137,'Cronog. e Histog.'!$BZ:$BZ,'Cronog. e Histog.'!DL:DL),"")</f>
        <v>0</v>
      </c>
      <c r="AR137" s="144">
        <f>IFERROR(_xlfn.XLOOKUP($B137,'Cronog. e Histog.'!$BZ:$BZ,'Cronog. e Histog.'!DM:DM),"")</f>
        <v>0</v>
      </c>
      <c r="AS137" s="144">
        <f>IFERROR(_xlfn.XLOOKUP($B137,'Cronog. e Histog.'!$BZ:$BZ,'Cronog. e Histog.'!DN:DN),"")</f>
        <v>0</v>
      </c>
      <c r="AT137" s="144">
        <f>IFERROR(_xlfn.XLOOKUP($B137,'Cronog. e Histog.'!$BZ:$BZ,'Cronog. e Histog.'!DO:DO),"")</f>
        <v>0</v>
      </c>
      <c r="AU137" s="144">
        <f>IFERROR(_xlfn.XLOOKUP($B137,'Cronog. e Histog.'!$BZ:$BZ,'Cronog. e Histog.'!DP:DP),"")</f>
        <v>0</v>
      </c>
      <c r="AV137" s="144">
        <f>IFERROR(_xlfn.XLOOKUP($B137,'Cronog. e Histog.'!$BZ:$BZ,'Cronog. e Histog.'!DQ:DQ),"")</f>
        <v>0</v>
      </c>
      <c r="AW137" s="144">
        <f>IFERROR(_xlfn.XLOOKUP($B137,'Cronog. e Histog.'!$BZ:$BZ,'Cronog. e Histog.'!DR:DR),"")</f>
        <v>0</v>
      </c>
      <c r="AX137" s="144">
        <f>IFERROR(_xlfn.XLOOKUP($B137,'Cronog. e Histog.'!$BZ:$BZ,'Cronog. e Histog.'!DS:DS),"")</f>
        <v>0</v>
      </c>
      <c r="AY137" s="144">
        <f>IFERROR(_xlfn.XLOOKUP($B137,'Cronog. e Histog.'!$BZ:$BZ,'Cronog. e Histog.'!DT:DT),"")</f>
        <v>0</v>
      </c>
      <c r="AZ137" s="144">
        <f>IFERROR(_xlfn.XLOOKUP($B137,'Cronog. e Histog.'!$BZ:$BZ,'Cronog. e Histog.'!DU:DU),"")</f>
        <v>0</v>
      </c>
      <c r="BA137" s="144">
        <f>IFERROR(_xlfn.XLOOKUP($B137,'Cronog. e Histog.'!$BZ:$BZ,'Cronog. e Histog.'!DV:DV),"")</f>
        <v>0</v>
      </c>
      <c r="BB137" s="144">
        <f>IFERROR(_xlfn.XLOOKUP($B137,'Cronog. e Histog.'!$BZ:$BZ,'Cronog. e Histog.'!DW:DW),"")</f>
        <v>0</v>
      </c>
      <c r="BC137" s="144">
        <f>IFERROR(_xlfn.XLOOKUP($B137,'Cronog. e Histog.'!$BZ:$BZ,'Cronog. e Histog.'!DX:DX),"")</f>
        <v>0</v>
      </c>
      <c r="BD137" s="144">
        <f>IFERROR(_xlfn.XLOOKUP($B137,'Cronog. e Histog.'!$BZ:$BZ,'Cronog. e Histog.'!DY:DY),"")</f>
        <v>0</v>
      </c>
      <c r="BE137" s="144">
        <f>IFERROR(_xlfn.XLOOKUP($B137,'Cronog. e Histog.'!$BZ:$BZ,'Cronog. e Histog.'!DZ:DZ),"")</f>
        <v>0</v>
      </c>
      <c r="BF137" s="144">
        <f>IFERROR(_xlfn.XLOOKUP($B137,'Cronog. e Histog.'!$BZ:$BZ,'Cronog. e Histog.'!EA:EA),"")</f>
        <v>0</v>
      </c>
      <c r="BG137" s="144">
        <f>IFERROR(_xlfn.XLOOKUP($B137,'Cronog. e Histog.'!$BZ:$BZ,'Cronog. e Histog.'!EB:EB),"")</f>
        <v>0</v>
      </c>
      <c r="BH137" s="144">
        <f>IFERROR(_xlfn.XLOOKUP($B137,'Cronog. e Histog.'!$BZ:$BZ,'Cronog. e Histog.'!EC:EC),"")</f>
        <v>0</v>
      </c>
      <c r="BI137" s="144">
        <f>IFERROR(_xlfn.XLOOKUP($B137,'Cronog. e Histog.'!$BZ:$BZ,'Cronog. e Histog.'!ED:ED),"")</f>
        <v>0</v>
      </c>
      <c r="BJ137" s="144">
        <f>IFERROR(_xlfn.XLOOKUP($B137,'Cronog. e Histog.'!$BZ:$BZ,'Cronog. e Histog.'!EE:EE),"")</f>
        <v>0</v>
      </c>
      <c r="BK137" s="144">
        <f>IFERROR(_xlfn.XLOOKUP($B137,'Cronog. e Histog.'!$BZ:$BZ,'Cronog. e Histog.'!EF:EF),"")</f>
        <v>0</v>
      </c>
      <c r="BL137" s="144">
        <f>IFERROR(_xlfn.XLOOKUP($B137,'Cronog. e Histog.'!$BZ:$BZ,'Cronog. e Histog.'!EG:EG),"")</f>
        <v>0</v>
      </c>
      <c r="BM137" s="144">
        <f>IFERROR(_xlfn.XLOOKUP($B137,'Cronog. e Histog.'!$BZ:$BZ,'Cronog. e Histog.'!EH:EH),"")</f>
        <v>0</v>
      </c>
      <c r="BN137" s="144">
        <f>IFERROR(_xlfn.XLOOKUP($B137,'Cronog. e Histog.'!$BZ:$BZ,'Cronog. e Histog.'!EI:EI),"")</f>
        <v>0</v>
      </c>
    </row>
    <row r="138" spans="2:66" ht="12" hidden="1" customHeight="1" outlineLevel="1">
      <c r="B138" s="76">
        <v>132</v>
      </c>
      <c r="C138" s="143" t="str">
        <f>IFERROR(VLOOKUP(B138,'Cronog. e Histog.'!$BZ$213:$CA$747,2,0),"")</f>
        <v>AN JR. ADM/CRP</v>
      </c>
      <c r="D138" s="144">
        <f t="shared" si="4"/>
        <v>0</v>
      </c>
      <c r="E138" s="144">
        <f t="shared" si="5"/>
        <v>0</v>
      </c>
      <c r="F138" s="65"/>
      <c r="G138" s="144">
        <f>IFERROR(_xlfn.XLOOKUP($B138,'Cronog. e Histog.'!$BZ:$BZ,'Cronog. e Histog.'!CB:CB),"")</f>
        <v>0</v>
      </c>
      <c r="H138" s="144">
        <f>IFERROR(_xlfn.XLOOKUP($B138,'Cronog. e Histog.'!$BZ:$BZ,'Cronog. e Histog.'!CC:CC),"")</f>
        <v>0</v>
      </c>
      <c r="I138" s="144">
        <f>IFERROR(_xlfn.XLOOKUP($B138,'Cronog. e Histog.'!$BZ:$BZ,'Cronog. e Histog.'!CD:CD),"")</f>
        <v>0</v>
      </c>
      <c r="J138" s="144">
        <f>IFERROR(_xlfn.XLOOKUP($B138,'Cronog. e Histog.'!$BZ:$BZ,'Cronog. e Histog.'!CE:CE),"")</f>
        <v>0</v>
      </c>
      <c r="K138" s="144">
        <f>IFERROR(_xlfn.XLOOKUP($B138,'Cronog. e Histog.'!$BZ:$BZ,'Cronog. e Histog.'!CF:CF),"")</f>
        <v>0</v>
      </c>
      <c r="L138" s="144">
        <f>IFERROR(_xlfn.XLOOKUP($B138,'Cronog. e Histog.'!$BZ:$BZ,'Cronog. e Histog.'!CG:CG),"")</f>
        <v>0</v>
      </c>
      <c r="M138" s="144">
        <f>IFERROR(_xlfn.XLOOKUP($B138,'Cronog. e Histog.'!$BZ:$BZ,'Cronog. e Histog.'!CH:CH),"")</f>
        <v>0</v>
      </c>
      <c r="N138" s="144">
        <f>IFERROR(_xlfn.XLOOKUP($B138,'Cronog. e Histog.'!$BZ:$BZ,'Cronog. e Histog.'!CI:CI),"")</f>
        <v>0</v>
      </c>
      <c r="O138" s="144">
        <f>IFERROR(_xlfn.XLOOKUP($B138,'Cronog. e Histog.'!$BZ:$BZ,'Cronog. e Histog.'!CJ:CJ),"")</f>
        <v>0</v>
      </c>
      <c r="P138" s="144">
        <f>IFERROR(_xlfn.XLOOKUP($B138,'Cronog. e Histog.'!$BZ:$BZ,'Cronog. e Histog.'!CK:CK),"")</f>
        <v>0</v>
      </c>
      <c r="Q138" s="144">
        <f>IFERROR(_xlfn.XLOOKUP($B138,'Cronog. e Histog.'!$BZ:$BZ,'Cronog. e Histog.'!CL:CL),"")</f>
        <v>0</v>
      </c>
      <c r="R138" s="144">
        <f>IFERROR(_xlfn.XLOOKUP($B138,'Cronog. e Histog.'!$BZ:$BZ,'Cronog. e Histog.'!CM:CM),"")</f>
        <v>0</v>
      </c>
      <c r="S138" s="144">
        <f>IFERROR(_xlfn.XLOOKUP($B138,'Cronog. e Histog.'!$BZ:$BZ,'Cronog. e Histog.'!CN:CN),"")</f>
        <v>0</v>
      </c>
      <c r="T138" s="144">
        <f>IFERROR(_xlfn.XLOOKUP($B138,'Cronog. e Histog.'!$BZ:$BZ,'Cronog. e Histog.'!CO:CO),"")</f>
        <v>0</v>
      </c>
      <c r="U138" s="144">
        <f>IFERROR(_xlfn.XLOOKUP($B138,'Cronog. e Histog.'!$BZ:$BZ,'Cronog. e Histog.'!CP:CP),"")</f>
        <v>0</v>
      </c>
      <c r="V138" s="144">
        <f>IFERROR(_xlfn.XLOOKUP($B138,'Cronog. e Histog.'!$BZ:$BZ,'Cronog. e Histog.'!CQ:CQ),"")</f>
        <v>0</v>
      </c>
      <c r="W138" s="144">
        <f>IFERROR(_xlfn.XLOOKUP($B138,'Cronog. e Histog.'!$BZ:$BZ,'Cronog. e Histog.'!CR:CR),"")</f>
        <v>0</v>
      </c>
      <c r="X138" s="144">
        <f>IFERROR(_xlfn.XLOOKUP($B138,'Cronog. e Histog.'!$BZ:$BZ,'Cronog. e Histog.'!CS:CS),"")</f>
        <v>0</v>
      </c>
      <c r="Y138" s="144">
        <f>IFERROR(_xlfn.XLOOKUP($B138,'Cronog. e Histog.'!$BZ:$BZ,'Cronog. e Histog.'!CT:CT),"")</f>
        <v>0</v>
      </c>
      <c r="Z138" s="144">
        <f>IFERROR(_xlfn.XLOOKUP($B138,'Cronog. e Histog.'!$BZ:$BZ,'Cronog. e Histog.'!CU:CU),"")</f>
        <v>0</v>
      </c>
      <c r="AA138" s="144">
        <f>IFERROR(_xlfn.XLOOKUP($B138,'Cronog. e Histog.'!$BZ:$BZ,'Cronog. e Histog.'!CV:CV),"")</f>
        <v>0</v>
      </c>
      <c r="AB138" s="144">
        <f>IFERROR(_xlfn.XLOOKUP($B138,'Cronog. e Histog.'!$BZ:$BZ,'Cronog. e Histog.'!CW:CW),"")</f>
        <v>0</v>
      </c>
      <c r="AC138" s="144">
        <f>IFERROR(_xlfn.XLOOKUP($B138,'Cronog. e Histog.'!$BZ:$BZ,'Cronog. e Histog.'!CX:CX),"")</f>
        <v>0</v>
      </c>
      <c r="AD138" s="144">
        <f>IFERROR(_xlfn.XLOOKUP($B138,'Cronog. e Histog.'!$BZ:$BZ,'Cronog. e Histog.'!CY:CY),"")</f>
        <v>0</v>
      </c>
      <c r="AE138" s="144">
        <f>IFERROR(_xlfn.XLOOKUP($B138,'Cronog. e Histog.'!$BZ:$BZ,'Cronog. e Histog.'!CZ:CZ),"")</f>
        <v>0</v>
      </c>
      <c r="AF138" s="144">
        <f>IFERROR(_xlfn.XLOOKUP($B138,'Cronog. e Histog.'!$BZ:$BZ,'Cronog. e Histog.'!DA:DA),"")</f>
        <v>0</v>
      </c>
      <c r="AG138" s="144">
        <f>IFERROR(_xlfn.XLOOKUP($B138,'Cronog. e Histog.'!$BZ:$BZ,'Cronog. e Histog.'!DB:DB),"")</f>
        <v>0</v>
      </c>
      <c r="AH138" s="144">
        <f>IFERROR(_xlfn.XLOOKUP($B138,'Cronog. e Histog.'!$BZ:$BZ,'Cronog. e Histog.'!DC:DC),"")</f>
        <v>0</v>
      </c>
      <c r="AI138" s="144">
        <f>IFERROR(_xlfn.XLOOKUP($B138,'Cronog. e Histog.'!$BZ:$BZ,'Cronog. e Histog.'!DD:DD),"")</f>
        <v>0</v>
      </c>
      <c r="AJ138" s="144">
        <f>IFERROR(_xlfn.XLOOKUP($B138,'Cronog. e Histog.'!$BZ:$BZ,'Cronog. e Histog.'!DE:DE),"")</f>
        <v>0</v>
      </c>
      <c r="AK138" s="144">
        <f>IFERROR(_xlfn.XLOOKUP($B138,'Cronog. e Histog.'!$BZ:$BZ,'Cronog. e Histog.'!DF:DF),"")</f>
        <v>0</v>
      </c>
      <c r="AL138" s="144">
        <f>IFERROR(_xlfn.XLOOKUP($B138,'Cronog. e Histog.'!$BZ:$BZ,'Cronog. e Histog.'!DG:DG),"")</f>
        <v>0</v>
      </c>
      <c r="AM138" s="144">
        <f>IFERROR(_xlfn.XLOOKUP($B138,'Cronog. e Histog.'!$BZ:$BZ,'Cronog. e Histog.'!DH:DH),"")</f>
        <v>0</v>
      </c>
      <c r="AN138" s="144">
        <f>IFERROR(_xlfn.XLOOKUP($B138,'Cronog. e Histog.'!$BZ:$BZ,'Cronog. e Histog.'!DI:DI),"")</f>
        <v>0</v>
      </c>
      <c r="AO138" s="144">
        <f>IFERROR(_xlfn.XLOOKUP($B138,'Cronog. e Histog.'!$BZ:$BZ,'Cronog. e Histog.'!DJ:DJ),"")</f>
        <v>0</v>
      </c>
      <c r="AP138" s="144">
        <f>IFERROR(_xlfn.XLOOKUP($B138,'Cronog. e Histog.'!$BZ:$BZ,'Cronog. e Histog.'!DK:DK),"")</f>
        <v>0</v>
      </c>
      <c r="AQ138" s="144">
        <f>IFERROR(_xlfn.XLOOKUP($B138,'Cronog. e Histog.'!$BZ:$BZ,'Cronog. e Histog.'!DL:DL),"")</f>
        <v>0</v>
      </c>
      <c r="AR138" s="144">
        <f>IFERROR(_xlfn.XLOOKUP($B138,'Cronog. e Histog.'!$BZ:$BZ,'Cronog. e Histog.'!DM:DM),"")</f>
        <v>0</v>
      </c>
      <c r="AS138" s="144">
        <f>IFERROR(_xlfn.XLOOKUP($B138,'Cronog. e Histog.'!$BZ:$BZ,'Cronog. e Histog.'!DN:DN),"")</f>
        <v>0</v>
      </c>
      <c r="AT138" s="144">
        <f>IFERROR(_xlfn.XLOOKUP($B138,'Cronog. e Histog.'!$BZ:$BZ,'Cronog. e Histog.'!DO:DO),"")</f>
        <v>0</v>
      </c>
      <c r="AU138" s="144">
        <f>IFERROR(_xlfn.XLOOKUP($B138,'Cronog. e Histog.'!$BZ:$BZ,'Cronog. e Histog.'!DP:DP),"")</f>
        <v>0</v>
      </c>
      <c r="AV138" s="144">
        <f>IFERROR(_xlfn.XLOOKUP($B138,'Cronog. e Histog.'!$BZ:$BZ,'Cronog. e Histog.'!DQ:DQ),"")</f>
        <v>0</v>
      </c>
      <c r="AW138" s="144">
        <f>IFERROR(_xlfn.XLOOKUP($B138,'Cronog. e Histog.'!$BZ:$BZ,'Cronog. e Histog.'!DR:DR),"")</f>
        <v>0</v>
      </c>
      <c r="AX138" s="144">
        <f>IFERROR(_xlfn.XLOOKUP($B138,'Cronog. e Histog.'!$BZ:$BZ,'Cronog. e Histog.'!DS:DS),"")</f>
        <v>0</v>
      </c>
      <c r="AY138" s="144">
        <f>IFERROR(_xlfn.XLOOKUP($B138,'Cronog. e Histog.'!$BZ:$BZ,'Cronog. e Histog.'!DT:DT),"")</f>
        <v>0</v>
      </c>
      <c r="AZ138" s="144">
        <f>IFERROR(_xlfn.XLOOKUP($B138,'Cronog. e Histog.'!$BZ:$BZ,'Cronog. e Histog.'!DU:DU),"")</f>
        <v>0</v>
      </c>
      <c r="BA138" s="144">
        <f>IFERROR(_xlfn.XLOOKUP($B138,'Cronog. e Histog.'!$BZ:$BZ,'Cronog. e Histog.'!DV:DV),"")</f>
        <v>0</v>
      </c>
      <c r="BB138" s="144">
        <f>IFERROR(_xlfn.XLOOKUP($B138,'Cronog. e Histog.'!$BZ:$BZ,'Cronog. e Histog.'!DW:DW),"")</f>
        <v>0</v>
      </c>
      <c r="BC138" s="144">
        <f>IFERROR(_xlfn.XLOOKUP($B138,'Cronog. e Histog.'!$BZ:$BZ,'Cronog. e Histog.'!DX:DX),"")</f>
        <v>0</v>
      </c>
      <c r="BD138" s="144">
        <f>IFERROR(_xlfn.XLOOKUP($B138,'Cronog. e Histog.'!$BZ:$BZ,'Cronog. e Histog.'!DY:DY),"")</f>
        <v>0</v>
      </c>
      <c r="BE138" s="144">
        <f>IFERROR(_xlfn.XLOOKUP($B138,'Cronog. e Histog.'!$BZ:$BZ,'Cronog. e Histog.'!DZ:DZ),"")</f>
        <v>0</v>
      </c>
      <c r="BF138" s="144">
        <f>IFERROR(_xlfn.XLOOKUP($B138,'Cronog. e Histog.'!$BZ:$BZ,'Cronog. e Histog.'!EA:EA),"")</f>
        <v>0</v>
      </c>
      <c r="BG138" s="144">
        <f>IFERROR(_xlfn.XLOOKUP($B138,'Cronog. e Histog.'!$BZ:$BZ,'Cronog. e Histog.'!EB:EB),"")</f>
        <v>0</v>
      </c>
      <c r="BH138" s="144">
        <f>IFERROR(_xlfn.XLOOKUP($B138,'Cronog. e Histog.'!$BZ:$BZ,'Cronog. e Histog.'!EC:EC),"")</f>
        <v>0</v>
      </c>
      <c r="BI138" s="144">
        <f>IFERROR(_xlfn.XLOOKUP($B138,'Cronog. e Histog.'!$BZ:$BZ,'Cronog. e Histog.'!ED:ED),"")</f>
        <v>0</v>
      </c>
      <c r="BJ138" s="144">
        <f>IFERROR(_xlfn.XLOOKUP($B138,'Cronog. e Histog.'!$BZ:$BZ,'Cronog. e Histog.'!EE:EE),"")</f>
        <v>0</v>
      </c>
      <c r="BK138" s="144">
        <f>IFERROR(_xlfn.XLOOKUP($B138,'Cronog. e Histog.'!$BZ:$BZ,'Cronog. e Histog.'!EF:EF),"")</f>
        <v>0</v>
      </c>
      <c r="BL138" s="144">
        <f>IFERROR(_xlfn.XLOOKUP($B138,'Cronog. e Histog.'!$BZ:$BZ,'Cronog. e Histog.'!EG:EG),"")</f>
        <v>0</v>
      </c>
      <c r="BM138" s="144">
        <f>IFERROR(_xlfn.XLOOKUP($B138,'Cronog. e Histog.'!$BZ:$BZ,'Cronog. e Histog.'!EH:EH),"")</f>
        <v>0</v>
      </c>
      <c r="BN138" s="144">
        <f>IFERROR(_xlfn.XLOOKUP($B138,'Cronog. e Histog.'!$BZ:$BZ,'Cronog. e Histog.'!EI:EI),"")</f>
        <v>0</v>
      </c>
    </row>
    <row r="139" spans="2:66" ht="12" hidden="1" customHeight="1" outlineLevel="1">
      <c r="B139" s="76">
        <v>133</v>
      </c>
      <c r="C139" s="143" t="str">
        <f>IFERROR(VLOOKUP(B139,'Cronog. e Histog.'!$BZ$213:$CA$747,2,0),"")</f>
        <v>TEC III</v>
      </c>
      <c r="D139" s="144">
        <f t="shared" si="4"/>
        <v>0</v>
      </c>
      <c r="E139" s="144">
        <f t="shared" si="5"/>
        <v>0</v>
      </c>
      <c r="F139" s="65"/>
      <c r="G139" s="144">
        <f>IFERROR(_xlfn.XLOOKUP($B139,'Cronog. e Histog.'!$BZ:$BZ,'Cronog. e Histog.'!CB:CB),"")</f>
        <v>0</v>
      </c>
      <c r="H139" s="144">
        <f>IFERROR(_xlfn.XLOOKUP($B139,'Cronog. e Histog.'!$BZ:$BZ,'Cronog. e Histog.'!CC:CC),"")</f>
        <v>0</v>
      </c>
      <c r="I139" s="144">
        <f>IFERROR(_xlfn.XLOOKUP($B139,'Cronog. e Histog.'!$BZ:$BZ,'Cronog. e Histog.'!CD:CD),"")</f>
        <v>0</v>
      </c>
      <c r="J139" s="144">
        <f>IFERROR(_xlfn.XLOOKUP($B139,'Cronog. e Histog.'!$BZ:$BZ,'Cronog. e Histog.'!CE:CE),"")</f>
        <v>0</v>
      </c>
      <c r="K139" s="144">
        <f>IFERROR(_xlfn.XLOOKUP($B139,'Cronog. e Histog.'!$BZ:$BZ,'Cronog. e Histog.'!CF:CF),"")</f>
        <v>0</v>
      </c>
      <c r="L139" s="144">
        <f>IFERROR(_xlfn.XLOOKUP($B139,'Cronog. e Histog.'!$BZ:$BZ,'Cronog. e Histog.'!CG:CG),"")</f>
        <v>0</v>
      </c>
      <c r="M139" s="144">
        <f>IFERROR(_xlfn.XLOOKUP($B139,'Cronog. e Histog.'!$BZ:$BZ,'Cronog. e Histog.'!CH:CH),"")</f>
        <v>0</v>
      </c>
      <c r="N139" s="144">
        <f>IFERROR(_xlfn.XLOOKUP($B139,'Cronog. e Histog.'!$BZ:$BZ,'Cronog. e Histog.'!CI:CI),"")</f>
        <v>0</v>
      </c>
      <c r="O139" s="144">
        <f>IFERROR(_xlfn.XLOOKUP($B139,'Cronog. e Histog.'!$BZ:$BZ,'Cronog. e Histog.'!CJ:CJ),"")</f>
        <v>0</v>
      </c>
      <c r="P139" s="144">
        <f>IFERROR(_xlfn.XLOOKUP($B139,'Cronog. e Histog.'!$BZ:$BZ,'Cronog. e Histog.'!CK:CK),"")</f>
        <v>0</v>
      </c>
      <c r="Q139" s="144">
        <f>IFERROR(_xlfn.XLOOKUP($B139,'Cronog. e Histog.'!$BZ:$BZ,'Cronog. e Histog.'!CL:CL),"")</f>
        <v>0</v>
      </c>
      <c r="R139" s="144">
        <f>IFERROR(_xlfn.XLOOKUP($B139,'Cronog. e Histog.'!$BZ:$BZ,'Cronog. e Histog.'!CM:CM),"")</f>
        <v>0</v>
      </c>
      <c r="S139" s="144">
        <f>IFERROR(_xlfn.XLOOKUP($B139,'Cronog. e Histog.'!$BZ:$BZ,'Cronog. e Histog.'!CN:CN),"")</f>
        <v>0</v>
      </c>
      <c r="T139" s="144">
        <f>IFERROR(_xlfn.XLOOKUP($B139,'Cronog. e Histog.'!$BZ:$BZ,'Cronog. e Histog.'!CO:CO),"")</f>
        <v>0</v>
      </c>
      <c r="U139" s="144">
        <f>IFERROR(_xlfn.XLOOKUP($B139,'Cronog. e Histog.'!$BZ:$BZ,'Cronog. e Histog.'!CP:CP),"")</f>
        <v>0</v>
      </c>
      <c r="V139" s="144">
        <f>IFERROR(_xlfn.XLOOKUP($B139,'Cronog. e Histog.'!$BZ:$BZ,'Cronog. e Histog.'!CQ:CQ),"")</f>
        <v>0</v>
      </c>
      <c r="W139" s="144">
        <f>IFERROR(_xlfn.XLOOKUP($B139,'Cronog. e Histog.'!$BZ:$BZ,'Cronog. e Histog.'!CR:CR),"")</f>
        <v>0</v>
      </c>
      <c r="X139" s="144">
        <f>IFERROR(_xlfn.XLOOKUP($B139,'Cronog. e Histog.'!$BZ:$BZ,'Cronog. e Histog.'!CS:CS),"")</f>
        <v>0</v>
      </c>
      <c r="Y139" s="144">
        <f>IFERROR(_xlfn.XLOOKUP($B139,'Cronog. e Histog.'!$BZ:$BZ,'Cronog. e Histog.'!CT:CT),"")</f>
        <v>0</v>
      </c>
      <c r="Z139" s="144">
        <f>IFERROR(_xlfn.XLOOKUP($B139,'Cronog. e Histog.'!$BZ:$BZ,'Cronog. e Histog.'!CU:CU),"")</f>
        <v>0</v>
      </c>
      <c r="AA139" s="144">
        <f>IFERROR(_xlfn.XLOOKUP($B139,'Cronog. e Histog.'!$BZ:$BZ,'Cronog. e Histog.'!CV:CV),"")</f>
        <v>0</v>
      </c>
      <c r="AB139" s="144">
        <f>IFERROR(_xlfn.XLOOKUP($B139,'Cronog. e Histog.'!$BZ:$BZ,'Cronog. e Histog.'!CW:CW),"")</f>
        <v>0</v>
      </c>
      <c r="AC139" s="144">
        <f>IFERROR(_xlfn.XLOOKUP($B139,'Cronog. e Histog.'!$BZ:$BZ,'Cronog. e Histog.'!CX:CX),"")</f>
        <v>0</v>
      </c>
      <c r="AD139" s="144">
        <f>IFERROR(_xlfn.XLOOKUP($B139,'Cronog. e Histog.'!$BZ:$BZ,'Cronog. e Histog.'!CY:CY),"")</f>
        <v>0</v>
      </c>
      <c r="AE139" s="144">
        <f>IFERROR(_xlfn.XLOOKUP($B139,'Cronog. e Histog.'!$BZ:$BZ,'Cronog. e Histog.'!CZ:CZ),"")</f>
        <v>0</v>
      </c>
      <c r="AF139" s="144">
        <f>IFERROR(_xlfn.XLOOKUP($B139,'Cronog. e Histog.'!$BZ:$BZ,'Cronog. e Histog.'!DA:DA),"")</f>
        <v>0</v>
      </c>
      <c r="AG139" s="144">
        <f>IFERROR(_xlfn.XLOOKUP($B139,'Cronog. e Histog.'!$BZ:$BZ,'Cronog. e Histog.'!DB:DB),"")</f>
        <v>0</v>
      </c>
      <c r="AH139" s="144">
        <f>IFERROR(_xlfn.XLOOKUP($B139,'Cronog. e Histog.'!$BZ:$BZ,'Cronog. e Histog.'!DC:DC),"")</f>
        <v>0</v>
      </c>
      <c r="AI139" s="144">
        <f>IFERROR(_xlfn.XLOOKUP($B139,'Cronog. e Histog.'!$BZ:$BZ,'Cronog. e Histog.'!DD:DD),"")</f>
        <v>0</v>
      </c>
      <c r="AJ139" s="144">
        <f>IFERROR(_xlfn.XLOOKUP($B139,'Cronog. e Histog.'!$BZ:$BZ,'Cronog. e Histog.'!DE:DE),"")</f>
        <v>0</v>
      </c>
      <c r="AK139" s="144">
        <f>IFERROR(_xlfn.XLOOKUP($B139,'Cronog. e Histog.'!$BZ:$BZ,'Cronog. e Histog.'!DF:DF),"")</f>
        <v>0</v>
      </c>
      <c r="AL139" s="144">
        <f>IFERROR(_xlfn.XLOOKUP($B139,'Cronog. e Histog.'!$BZ:$BZ,'Cronog. e Histog.'!DG:DG),"")</f>
        <v>0</v>
      </c>
      <c r="AM139" s="144">
        <f>IFERROR(_xlfn.XLOOKUP($B139,'Cronog. e Histog.'!$BZ:$BZ,'Cronog. e Histog.'!DH:DH),"")</f>
        <v>0</v>
      </c>
      <c r="AN139" s="144">
        <f>IFERROR(_xlfn.XLOOKUP($B139,'Cronog. e Histog.'!$BZ:$BZ,'Cronog. e Histog.'!DI:DI),"")</f>
        <v>0</v>
      </c>
      <c r="AO139" s="144">
        <f>IFERROR(_xlfn.XLOOKUP($B139,'Cronog. e Histog.'!$BZ:$BZ,'Cronog. e Histog.'!DJ:DJ),"")</f>
        <v>0</v>
      </c>
      <c r="AP139" s="144">
        <f>IFERROR(_xlfn.XLOOKUP($B139,'Cronog. e Histog.'!$BZ:$BZ,'Cronog. e Histog.'!DK:DK),"")</f>
        <v>0</v>
      </c>
      <c r="AQ139" s="144">
        <f>IFERROR(_xlfn.XLOOKUP($B139,'Cronog. e Histog.'!$BZ:$BZ,'Cronog. e Histog.'!DL:DL),"")</f>
        <v>0</v>
      </c>
      <c r="AR139" s="144">
        <f>IFERROR(_xlfn.XLOOKUP($B139,'Cronog. e Histog.'!$BZ:$BZ,'Cronog. e Histog.'!DM:DM),"")</f>
        <v>0</v>
      </c>
      <c r="AS139" s="144">
        <f>IFERROR(_xlfn.XLOOKUP($B139,'Cronog. e Histog.'!$BZ:$BZ,'Cronog. e Histog.'!DN:DN),"")</f>
        <v>0</v>
      </c>
      <c r="AT139" s="144">
        <f>IFERROR(_xlfn.XLOOKUP($B139,'Cronog. e Histog.'!$BZ:$BZ,'Cronog. e Histog.'!DO:DO),"")</f>
        <v>0</v>
      </c>
      <c r="AU139" s="144">
        <f>IFERROR(_xlfn.XLOOKUP($B139,'Cronog. e Histog.'!$BZ:$BZ,'Cronog. e Histog.'!DP:DP),"")</f>
        <v>0</v>
      </c>
      <c r="AV139" s="144">
        <f>IFERROR(_xlfn.XLOOKUP($B139,'Cronog. e Histog.'!$BZ:$BZ,'Cronog. e Histog.'!DQ:DQ),"")</f>
        <v>0</v>
      </c>
      <c r="AW139" s="144">
        <f>IFERROR(_xlfn.XLOOKUP($B139,'Cronog. e Histog.'!$BZ:$BZ,'Cronog. e Histog.'!DR:DR),"")</f>
        <v>0</v>
      </c>
      <c r="AX139" s="144">
        <f>IFERROR(_xlfn.XLOOKUP($B139,'Cronog. e Histog.'!$BZ:$BZ,'Cronog. e Histog.'!DS:DS),"")</f>
        <v>0</v>
      </c>
      <c r="AY139" s="144">
        <f>IFERROR(_xlfn.XLOOKUP($B139,'Cronog. e Histog.'!$BZ:$BZ,'Cronog. e Histog.'!DT:DT),"")</f>
        <v>0</v>
      </c>
      <c r="AZ139" s="144">
        <f>IFERROR(_xlfn.XLOOKUP($B139,'Cronog. e Histog.'!$BZ:$BZ,'Cronog. e Histog.'!DU:DU),"")</f>
        <v>0</v>
      </c>
      <c r="BA139" s="144">
        <f>IFERROR(_xlfn.XLOOKUP($B139,'Cronog. e Histog.'!$BZ:$BZ,'Cronog. e Histog.'!DV:DV),"")</f>
        <v>0</v>
      </c>
      <c r="BB139" s="144">
        <f>IFERROR(_xlfn.XLOOKUP($B139,'Cronog. e Histog.'!$BZ:$BZ,'Cronog. e Histog.'!DW:DW),"")</f>
        <v>0</v>
      </c>
      <c r="BC139" s="144">
        <f>IFERROR(_xlfn.XLOOKUP($B139,'Cronog. e Histog.'!$BZ:$BZ,'Cronog. e Histog.'!DX:DX),"")</f>
        <v>0</v>
      </c>
      <c r="BD139" s="144">
        <f>IFERROR(_xlfn.XLOOKUP($B139,'Cronog. e Histog.'!$BZ:$BZ,'Cronog. e Histog.'!DY:DY),"")</f>
        <v>0</v>
      </c>
      <c r="BE139" s="144">
        <f>IFERROR(_xlfn.XLOOKUP($B139,'Cronog. e Histog.'!$BZ:$BZ,'Cronog. e Histog.'!DZ:DZ),"")</f>
        <v>0</v>
      </c>
      <c r="BF139" s="144">
        <f>IFERROR(_xlfn.XLOOKUP($B139,'Cronog. e Histog.'!$BZ:$BZ,'Cronog. e Histog.'!EA:EA),"")</f>
        <v>0</v>
      </c>
      <c r="BG139" s="144">
        <f>IFERROR(_xlfn.XLOOKUP($B139,'Cronog. e Histog.'!$BZ:$BZ,'Cronog. e Histog.'!EB:EB),"")</f>
        <v>0</v>
      </c>
      <c r="BH139" s="144">
        <f>IFERROR(_xlfn.XLOOKUP($B139,'Cronog. e Histog.'!$BZ:$BZ,'Cronog. e Histog.'!EC:EC),"")</f>
        <v>0</v>
      </c>
      <c r="BI139" s="144">
        <f>IFERROR(_xlfn.XLOOKUP($B139,'Cronog. e Histog.'!$BZ:$BZ,'Cronog. e Histog.'!ED:ED),"")</f>
        <v>0</v>
      </c>
      <c r="BJ139" s="144">
        <f>IFERROR(_xlfn.XLOOKUP($B139,'Cronog. e Histog.'!$BZ:$BZ,'Cronog. e Histog.'!EE:EE),"")</f>
        <v>0</v>
      </c>
      <c r="BK139" s="144">
        <f>IFERROR(_xlfn.XLOOKUP($B139,'Cronog. e Histog.'!$BZ:$BZ,'Cronog. e Histog.'!EF:EF),"")</f>
        <v>0</v>
      </c>
      <c r="BL139" s="144">
        <f>IFERROR(_xlfn.XLOOKUP($B139,'Cronog. e Histog.'!$BZ:$BZ,'Cronog. e Histog.'!EG:EG),"")</f>
        <v>0</v>
      </c>
      <c r="BM139" s="144">
        <f>IFERROR(_xlfn.XLOOKUP($B139,'Cronog. e Histog.'!$BZ:$BZ,'Cronog. e Histog.'!EH:EH),"")</f>
        <v>0</v>
      </c>
      <c r="BN139" s="144">
        <f>IFERROR(_xlfn.XLOOKUP($B139,'Cronog. e Histog.'!$BZ:$BZ,'Cronog. e Histog.'!EI:EI),"")</f>
        <v>0</v>
      </c>
    </row>
    <row r="140" spans="2:66" ht="12" hidden="1" customHeight="1" outlineLevel="1">
      <c r="B140" s="76">
        <v>134</v>
      </c>
      <c r="C140" s="143" t="str">
        <f>IFERROR(VLOOKUP(B140,'Cronog. e Histog.'!$BZ$213:$CA$747,2,0),"")</f>
        <v>TEC II</v>
      </c>
      <c r="D140" s="144">
        <f t="shared" si="4"/>
        <v>0</v>
      </c>
      <c r="E140" s="144">
        <f t="shared" si="5"/>
        <v>0</v>
      </c>
      <c r="F140" s="65"/>
      <c r="G140" s="144">
        <f>IFERROR(_xlfn.XLOOKUP($B140,'Cronog. e Histog.'!$BZ:$BZ,'Cronog. e Histog.'!CB:CB),"")</f>
        <v>0</v>
      </c>
      <c r="H140" s="144">
        <f>IFERROR(_xlfn.XLOOKUP($B140,'Cronog. e Histog.'!$BZ:$BZ,'Cronog. e Histog.'!CC:CC),"")</f>
        <v>0</v>
      </c>
      <c r="I140" s="144">
        <f>IFERROR(_xlfn.XLOOKUP($B140,'Cronog. e Histog.'!$BZ:$BZ,'Cronog. e Histog.'!CD:CD),"")</f>
        <v>0</v>
      </c>
      <c r="J140" s="144">
        <f>IFERROR(_xlfn.XLOOKUP($B140,'Cronog. e Histog.'!$BZ:$BZ,'Cronog. e Histog.'!CE:CE),"")</f>
        <v>0</v>
      </c>
      <c r="K140" s="144">
        <f>IFERROR(_xlfn.XLOOKUP($B140,'Cronog. e Histog.'!$BZ:$BZ,'Cronog. e Histog.'!CF:CF),"")</f>
        <v>0</v>
      </c>
      <c r="L140" s="144">
        <f>IFERROR(_xlfn.XLOOKUP($B140,'Cronog. e Histog.'!$BZ:$BZ,'Cronog. e Histog.'!CG:CG),"")</f>
        <v>0</v>
      </c>
      <c r="M140" s="144">
        <f>IFERROR(_xlfn.XLOOKUP($B140,'Cronog. e Histog.'!$BZ:$BZ,'Cronog. e Histog.'!CH:CH),"")</f>
        <v>0</v>
      </c>
      <c r="N140" s="144">
        <f>IFERROR(_xlfn.XLOOKUP($B140,'Cronog. e Histog.'!$BZ:$BZ,'Cronog. e Histog.'!CI:CI),"")</f>
        <v>0</v>
      </c>
      <c r="O140" s="144">
        <f>IFERROR(_xlfn.XLOOKUP($B140,'Cronog. e Histog.'!$BZ:$BZ,'Cronog. e Histog.'!CJ:CJ),"")</f>
        <v>0</v>
      </c>
      <c r="P140" s="144">
        <f>IFERROR(_xlfn.XLOOKUP($B140,'Cronog. e Histog.'!$BZ:$BZ,'Cronog. e Histog.'!CK:CK),"")</f>
        <v>0</v>
      </c>
      <c r="Q140" s="144">
        <f>IFERROR(_xlfn.XLOOKUP($B140,'Cronog. e Histog.'!$BZ:$BZ,'Cronog. e Histog.'!CL:CL),"")</f>
        <v>0</v>
      </c>
      <c r="R140" s="144">
        <f>IFERROR(_xlfn.XLOOKUP($B140,'Cronog. e Histog.'!$BZ:$BZ,'Cronog. e Histog.'!CM:CM),"")</f>
        <v>0</v>
      </c>
      <c r="S140" s="144">
        <f>IFERROR(_xlfn.XLOOKUP($B140,'Cronog. e Histog.'!$BZ:$BZ,'Cronog. e Histog.'!CN:CN),"")</f>
        <v>0</v>
      </c>
      <c r="T140" s="144">
        <f>IFERROR(_xlfn.XLOOKUP($B140,'Cronog. e Histog.'!$BZ:$BZ,'Cronog. e Histog.'!CO:CO),"")</f>
        <v>0</v>
      </c>
      <c r="U140" s="144">
        <f>IFERROR(_xlfn.XLOOKUP($B140,'Cronog. e Histog.'!$BZ:$BZ,'Cronog. e Histog.'!CP:CP),"")</f>
        <v>0</v>
      </c>
      <c r="V140" s="144">
        <f>IFERROR(_xlfn.XLOOKUP($B140,'Cronog. e Histog.'!$BZ:$BZ,'Cronog. e Histog.'!CQ:CQ),"")</f>
        <v>0</v>
      </c>
      <c r="W140" s="144">
        <f>IFERROR(_xlfn.XLOOKUP($B140,'Cronog. e Histog.'!$BZ:$BZ,'Cronog. e Histog.'!CR:CR),"")</f>
        <v>0</v>
      </c>
      <c r="X140" s="144">
        <f>IFERROR(_xlfn.XLOOKUP($B140,'Cronog. e Histog.'!$BZ:$BZ,'Cronog. e Histog.'!CS:CS),"")</f>
        <v>0</v>
      </c>
      <c r="Y140" s="144">
        <f>IFERROR(_xlfn.XLOOKUP($B140,'Cronog. e Histog.'!$BZ:$BZ,'Cronog. e Histog.'!CT:CT),"")</f>
        <v>0</v>
      </c>
      <c r="Z140" s="144">
        <f>IFERROR(_xlfn.XLOOKUP($B140,'Cronog. e Histog.'!$BZ:$BZ,'Cronog. e Histog.'!CU:CU),"")</f>
        <v>0</v>
      </c>
      <c r="AA140" s="144">
        <f>IFERROR(_xlfn.XLOOKUP($B140,'Cronog. e Histog.'!$BZ:$BZ,'Cronog. e Histog.'!CV:CV),"")</f>
        <v>0</v>
      </c>
      <c r="AB140" s="144">
        <f>IFERROR(_xlfn.XLOOKUP($B140,'Cronog. e Histog.'!$BZ:$BZ,'Cronog. e Histog.'!CW:CW),"")</f>
        <v>0</v>
      </c>
      <c r="AC140" s="144">
        <f>IFERROR(_xlfn.XLOOKUP($B140,'Cronog. e Histog.'!$BZ:$BZ,'Cronog. e Histog.'!CX:CX),"")</f>
        <v>0</v>
      </c>
      <c r="AD140" s="144">
        <f>IFERROR(_xlfn.XLOOKUP($B140,'Cronog. e Histog.'!$BZ:$BZ,'Cronog. e Histog.'!CY:CY),"")</f>
        <v>0</v>
      </c>
      <c r="AE140" s="144">
        <f>IFERROR(_xlfn.XLOOKUP($B140,'Cronog. e Histog.'!$BZ:$BZ,'Cronog. e Histog.'!CZ:CZ),"")</f>
        <v>0</v>
      </c>
      <c r="AF140" s="144">
        <f>IFERROR(_xlfn.XLOOKUP($B140,'Cronog. e Histog.'!$BZ:$BZ,'Cronog. e Histog.'!DA:DA),"")</f>
        <v>0</v>
      </c>
      <c r="AG140" s="144">
        <f>IFERROR(_xlfn.XLOOKUP($B140,'Cronog. e Histog.'!$BZ:$BZ,'Cronog. e Histog.'!DB:DB),"")</f>
        <v>0</v>
      </c>
      <c r="AH140" s="144">
        <f>IFERROR(_xlfn.XLOOKUP($B140,'Cronog. e Histog.'!$BZ:$BZ,'Cronog. e Histog.'!DC:DC),"")</f>
        <v>0</v>
      </c>
      <c r="AI140" s="144">
        <f>IFERROR(_xlfn.XLOOKUP($B140,'Cronog. e Histog.'!$BZ:$BZ,'Cronog. e Histog.'!DD:DD),"")</f>
        <v>0</v>
      </c>
      <c r="AJ140" s="144">
        <f>IFERROR(_xlfn.XLOOKUP($B140,'Cronog. e Histog.'!$BZ:$BZ,'Cronog. e Histog.'!DE:DE),"")</f>
        <v>0</v>
      </c>
      <c r="AK140" s="144">
        <f>IFERROR(_xlfn.XLOOKUP($B140,'Cronog. e Histog.'!$BZ:$BZ,'Cronog. e Histog.'!DF:DF),"")</f>
        <v>0</v>
      </c>
      <c r="AL140" s="144">
        <f>IFERROR(_xlfn.XLOOKUP($B140,'Cronog. e Histog.'!$BZ:$BZ,'Cronog. e Histog.'!DG:DG),"")</f>
        <v>0</v>
      </c>
      <c r="AM140" s="144">
        <f>IFERROR(_xlfn.XLOOKUP($B140,'Cronog. e Histog.'!$BZ:$BZ,'Cronog. e Histog.'!DH:DH),"")</f>
        <v>0</v>
      </c>
      <c r="AN140" s="144">
        <f>IFERROR(_xlfn.XLOOKUP($B140,'Cronog. e Histog.'!$BZ:$BZ,'Cronog. e Histog.'!DI:DI),"")</f>
        <v>0</v>
      </c>
      <c r="AO140" s="144">
        <f>IFERROR(_xlfn.XLOOKUP($B140,'Cronog. e Histog.'!$BZ:$BZ,'Cronog. e Histog.'!DJ:DJ),"")</f>
        <v>0</v>
      </c>
      <c r="AP140" s="144">
        <f>IFERROR(_xlfn.XLOOKUP($B140,'Cronog. e Histog.'!$BZ:$BZ,'Cronog. e Histog.'!DK:DK),"")</f>
        <v>0</v>
      </c>
      <c r="AQ140" s="144">
        <f>IFERROR(_xlfn.XLOOKUP($B140,'Cronog. e Histog.'!$BZ:$BZ,'Cronog. e Histog.'!DL:DL),"")</f>
        <v>0</v>
      </c>
      <c r="AR140" s="144">
        <f>IFERROR(_xlfn.XLOOKUP($B140,'Cronog. e Histog.'!$BZ:$BZ,'Cronog. e Histog.'!DM:DM),"")</f>
        <v>0</v>
      </c>
      <c r="AS140" s="144">
        <f>IFERROR(_xlfn.XLOOKUP($B140,'Cronog. e Histog.'!$BZ:$BZ,'Cronog. e Histog.'!DN:DN),"")</f>
        <v>0</v>
      </c>
      <c r="AT140" s="144">
        <f>IFERROR(_xlfn.XLOOKUP($B140,'Cronog. e Histog.'!$BZ:$BZ,'Cronog. e Histog.'!DO:DO),"")</f>
        <v>0</v>
      </c>
      <c r="AU140" s="144">
        <f>IFERROR(_xlfn.XLOOKUP($B140,'Cronog. e Histog.'!$BZ:$BZ,'Cronog. e Histog.'!DP:DP),"")</f>
        <v>0</v>
      </c>
      <c r="AV140" s="144">
        <f>IFERROR(_xlfn.XLOOKUP($B140,'Cronog. e Histog.'!$BZ:$BZ,'Cronog. e Histog.'!DQ:DQ),"")</f>
        <v>0</v>
      </c>
      <c r="AW140" s="144">
        <f>IFERROR(_xlfn.XLOOKUP($B140,'Cronog. e Histog.'!$BZ:$BZ,'Cronog. e Histog.'!DR:DR),"")</f>
        <v>0</v>
      </c>
      <c r="AX140" s="144">
        <f>IFERROR(_xlfn.XLOOKUP($B140,'Cronog. e Histog.'!$BZ:$BZ,'Cronog. e Histog.'!DS:DS),"")</f>
        <v>0</v>
      </c>
      <c r="AY140" s="144">
        <f>IFERROR(_xlfn.XLOOKUP($B140,'Cronog. e Histog.'!$BZ:$BZ,'Cronog. e Histog.'!DT:DT),"")</f>
        <v>0</v>
      </c>
      <c r="AZ140" s="144">
        <f>IFERROR(_xlfn.XLOOKUP($B140,'Cronog. e Histog.'!$BZ:$BZ,'Cronog. e Histog.'!DU:DU),"")</f>
        <v>0</v>
      </c>
      <c r="BA140" s="144">
        <f>IFERROR(_xlfn.XLOOKUP($B140,'Cronog. e Histog.'!$BZ:$BZ,'Cronog. e Histog.'!DV:DV),"")</f>
        <v>0</v>
      </c>
      <c r="BB140" s="144">
        <f>IFERROR(_xlfn.XLOOKUP($B140,'Cronog. e Histog.'!$BZ:$BZ,'Cronog. e Histog.'!DW:DW),"")</f>
        <v>0</v>
      </c>
      <c r="BC140" s="144">
        <f>IFERROR(_xlfn.XLOOKUP($B140,'Cronog. e Histog.'!$BZ:$BZ,'Cronog. e Histog.'!DX:DX),"")</f>
        <v>0</v>
      </c>
      <c r="BD140" s="144">
        <f>IFERROR(_xlfn.XLOOKUP($B140,'Cronog. e Histog.'!$BZ:$BZ,'Cronog. e Histog.'!DY:DY),"")</f>
        <v>0</v>
      </c>
      <c r="BE140" s="144">
        <f>IFERROR(_xlfn.XLOOKUP($B140,'Cronog. e Histog.'!$BZ:$BZ,'Cronog. e Histog.'!DZ:DZ),"")</f>
        <v>0</v>
      </c>
      <c r="BF140" s="144">
        <f>IFERROR(_xlfn.XLOOKUP($B140,'Cronog. e Histog.'!$BZ:$BZ,'Cronog. e Histog.'!EA:EA),"")</f>
        <v>0</v>
      </c>
      <c r="BG140" s="144">
        <f>IFERROR(_xlfn.XLOOKUP($B140,'Cronog. e Histog.'!$BZ:$BZ,'Cronog. e Histog.'!EB:EB),"")</f>
        <v>0</v>
      </c>
      <c r="BH140" s="144">
        <f>IFERROR(_xlfn.XLOOKUP($B140,'Cronog. e Histog.'!$BZ:$BZ,'Cronog. e Histog.'!EC:EC),"")</f>
        <v>0</v>
      </c>
      <c r="BI140" s="144">
        <f>IFERROR(_xlfn.XLOOKUP($B140,'Cronog. e Histog.'!$BZ:$BZ,'Cronog. e Histog.'!ED:ED),"")</f>
        <v>0</v>
      </c>
      <c r="BJ140" s="144">
        <f>IFERROR(_xlfn.XLOOKUP($B140,'Cronog. e Histog.'!$BZ:$BZ,'Cronog. e Histog.'!EE:EE),"")</f>
        <v>0</v>
      </c>
      <c r="BK140" s="144">
        <f>IFERROR(_xlfn.XLOOKUP($B140,'Cronog. e Histog.'!$BZ:$BZ,'Cronog. e Histog.'!EF:EF),"")</f>
        <v>0</v>
      </c>
      <c r="BL140" s="144">
        <f>IFERROR(_xlfn.XLOOKUP($B140,'Cronog. e Histog.'!$BZ:$BZ,'Cronog. e Histog.'!EG:EG),"")</f>
        <v>0</v>
      </c>
      <c r="BM140" s="144">
        <f>IFERROR(_xlfn.XLOOKUP($B140,'Cronog. e Histog.'!$BZ:$BZ,'Cronog. e Histog.'!EH:EH),"")</f>
        <v>0</v>
      </c>
      <c r="BN140" s="144">
        <f>IFERROR(_xlfn.XLOOKUP($B140,'Cronog. e Histog.'!$BZ:$BZ,'Cronog. e Histog.'!EI:EI),"")</f>
        <v>0</v>
      </c>
    </row>
    <row r="141" spans="2:66" ht="12" hidden="1" customHeight="1" outlineLevel="1">
      <c r="B141" s="76">
        <v>135</v>
      </c>
      <c r="C141" s="143" t="str">
        <f>IFERROR(VLOOKUP(B141,'Cronog. e Histog.'!$BZ$213:$CA$747,2,0),"")</f>
        <v>TEC I</v>
      </c>
      <c r="D141" s="144">
        <f t="shared" si="4"/>
        <v>0</v>
      </c>
      <c r="E141" s="144">
        <f t="shared" si="5"/>
        <v>0</v>
      </c>
      <c r="F141" s="65"/>
      <c r="G141" s="144">
        <f>IFERROR(_xlfn.XLOOKUP($B141,'Cronog. e Histog.'!$BZ:$BZ,'Cronog. e Histog.'!CB:CB),"")</f>
        <v>0</v>
      </c>
      <c r="H141" s="144">
        <f>IFERROR(_xlfn.XLOOKUP($B141,'Cronog. e Histog.'!$BZ:$BZ,'Cronog. e Histog.'!CC:CC),"")</f>
        <v>0</v>
      </c>
      <c r="I141" s="144">
        <f>IFERROR(_xlfn.XLOOKUP($B141,'Cronog. e Histog.'!$BZ:$BZ,'Cronog. e Histog.'!CD:CD),"")</f>
        <v>0</v>
      </c>
      <c r="J141" s="144">
        <f>IFERROR(_xlfn.XLOOKUP($B141,'Cronog. e Histog.'!$BZ:$BZ,'Cronog. e Histog.'!CE:CE),"")</f>
        <v>0</v>
      </c>
      <c r="K141" s="144">
        <f>IFERROR(_xlfn.XLOOKUP($B141,'Cronog. e Histog.'!$BZ:$BZ,'Cronog. e Histog.'!CF:CF),"")</f>
        <v>0</v>
      </c>
      <c r="L141" s="144">
        <f>IFERROR(_xlfn.XLOOKUP($B141,'Cronog. e Histog.'!$BZ:$BZ,'Cronog. e Histog.'!CG:CG),"")</f>
        <v>0</v>
      </c>
      <c r="M141" s="144">
        <f>IFERROR(_xlfn.XLOOKUP($B141,'Cronog. e Histog.'!$BZ:$BZ,'Cronog. e Histog.'!CH:CH),"")</f>
        <v>0</v>
      </c>
      <c r="N141" s="144">
        <f>IFERROR(_xlfn.XLOOKUP($B141,'Cronog. e Histog.'!$BZ:$BZ,'Cronog. e Histog.'!CI:CI),"")</f>
        <v>0</v>
      </c>
      <c r="O141" s="144">
        <f>IFERROR(_xlfn.XLOOKUP($B141,'Cronog. e Histog.'!$BZ:$BZ,'Cronog. e Histog.'!CJ:CJ),"")</f>
        <v>0</v>
      </c>
      <c r="P141" s="144">
        <f>IFERROR(_xlfn.XLOOKUP($B141,'Cronog. e Histog.'!$BZ:$BZ,'Cronog. e Histog.'!CK:CK),"")</f>
        <v>0</v>
      </c>
      <c r="Q141" s="144">
        <f>IFERROR(_xlfn.XLOOKUP($B141,'Cronog. e Histog.'!$BZ:$BZ,'Cronog. e Histog.'!CL:CL),"")</f>
        <v>0</v>
      </c>
      <c r="R141" s="144">
        <f>IFERROR(_xlfn.XLOOKUP($B141,'Cronog. e Histog.'!$BZ:$BZ,'Cronog. e Histog.'!CM:CM),"")</f>
        <v>0</v>
      </c>
      <c r="S141" s="144">
        <f>IFERROR(_xlfn.XLOOKUP($B141,'Cronog. e Histog.'!$BZ:$BZ,'Cronog. e Histog.'!CN:CN),"")</f>
        <v>0</v>
      </c>
      <c r="T141" s="144">
        <f>IFERROR(_xlfn.XLOOKUP($B141,'Cronog. e Histog.'!$BZ:$BZ,'Cronog. e Histog.'!CO:CO),"")</f>
        <v>0</v>
      </c>
      <c r="U141" s="144">
        <f>IFERROR(_xlfn.XLOOKUP($B141,'Cronog. e Histog.'!$BZ:$BZ,'Cronog. e Histog.'!CP:CP),"")</f>
        <v>0</v>
      </c>
      <c r="V141" s="144">
        <f>IFERROR(_xlfn.XLOOKUP($B141,'Cronog. e Histog.'!$BZ:$BZ,'Cronog. e Histog.'!CQ:CQ),"")</f>
        <v>0</v>
      </c>
      <c r="W141" s="144">
        <f>IFERROR(_xlfn.XLOOKUP($B141,'Cronog. e Histog.'!$BZ:$BZ,'Cronog. e Histog.'!CR:CR),"")</f>
        <v>0</v>
      </c>
      <c r="X141" s="144">
        <f>IFERROR(_xlfn.XLOOKUP($B141,'Cronog. e Histog.'!$BZ:$BZ,'Cronog. e Histog.'!CS:CS),"")</f>
        <v>0</v>
      </c>
      <c r="Y141" s="144">
        <f>IFERROR(_xlfn.XLOOKUP($B141,'Cronog. e Histog.'!$BZ:$BZ,'Cronog. e Histog.'!CT:CT),"")</f>
        <v>0</v>
      </c>
      <c r="Z141" s="144">
        <f>IFERROR(_xlfn.XLOOKUP($B141,'Cronog. e Histog.'!$BZ:$BZ,'Cronog. e Histog.'!CU:CU),"")</f>
        <v>0</v>
      </c>
      <c r="AA141" s="144">
        <f>IFERROR(_xlfn.XLOOKUP($B141,'Cronog. e Histog.'!$BZ:$BZ,'Cronog. e Histog.'!CV:CV),"")</f>
        <v>0</v>
      </c>
      <c r="AB141" s="144">
        <f>IFERROR(_xlfn.XLOOKUP($B141,'Cronog. e Histog.'!$BZ:$BZ,'Cronog. e Histog.'!CW:CW),"")</f>
        <v>0</v>
      </c>
      <c r="AC141" s="144">
        <f>IFERROR(_xlfn.XLOOKUP($B141,'Cronog. e Histog.'!$BZ:$BZ,'Cronog. e Histog.'!CX:CX),"")</f>
        <v>0</v>
      </c>
      <c r="AD141" s="144">
        <f>IFERROR(_xlfn.XLOOKUP($B141,'Cronog. e Histog.'!$BZ:$BZ,'Cronog. e Histog.'!CY:CY),"")</f>
        <v>0</v>
      </c>
      <c r="AE141" s="144">
        <f>IFERROR(_xlfn.XLOOKUP($B141,'Cronog. e Histog.'!$BZ:$BZ,'Cronog. e Histog.'!CZ:CZ),"")</f>
        <v>0</v>
      </c>
      <c r="AF141" s="144">
        <f>IFERROR(_xlfn.XLOOKUP($B141,'Cronog. e Histog.'!$BZ:$BZ,'Cronog. e Histog.'!DA:DA),"")</f>
        <v>0</v>
      </c>
      <c r="AG141" s="144">
        <f>IFERROR(_xlfn.XLOOKUP($B141,'Cronog. e Histog.'!$BZ:$BZ,'Cronog. e Histog.'!DB:DB),"")</f>
        <v>0</v>
      </c>
      <c r="AH141" s="144">
        <f>IFERROR(_xlfn.XLOOKUP($B141,'Cronog. e Histog.'!$BZ:$BZ,'Cronog. e Histog.'!DC:DC),"")</f>
        <v>0</v>
      </c>
      <c r="AI141" s="144">
        <f>IFERROR(_xlfn.XLOOKUP($B141,'Cronog. e Histog.'!$BZ:$BZ,'Cronog. e Histog.'!DD:DD),"")</f>
        <v>0</v>
      </c>
      <c r="AJ141" s="144">
        <f>IFERROR(_xlfn.XLOOKUP($B141,'Cronog. e Histog.'!$BZ:$BZ,'Cronog. e Histog.'!DE:DE),"")</f>
        <v>0</v>
      </c>
      <c r="AK141" s="144">
        <f>IFERROR(_xlfn.XLOOKUP($B141,'Cronog. e Histog.'!$BZ:$BZ,'Cronog. e Histog.'!DF:DF),"")</f>
        <v>0</v>
      </c>
      <c r="AL141" s="144">
        <f>IFERROR(_xlfn.XLOOKUP($B141,'Cronog. e Histog.'!$BZ:$BZ,'Cronog. e Histog.'!DG:DG),"")</f>
        <v>0</v>
      </c>
      <c r="AM141" s="144">
        <f>IFERROR(_xlfn.XLOOKUP($B141,'Cronog. e Histog.'!$BZ:$BZ,'Cronog. e Histog.'!DH:DH),"")</f>
        <v>0</v>
      </c>
      <c r="AN141" s="144">
        <f>IFERROR(_xlfn.XLOOKUP($B141,'Cronog. e Histog.'!$BZ:$BZ,'Cronog. e Histog.'!DI:DI),"")</f>
        <v>0</v>
      </c>
      <c r="AO141" s="144">
        <f>IFERROR(_xlfn.XLOOKUP($B141,'Cronog. e Histog.'!$BZ:$BZ,'Cronog. e Histog.'!DJ:DJ),"")</f>
        <v>0</v>
      </c>
      <c r="AP141" s="144">
        <f>IFERROR(_xlfn.XLOOKUP($B141,'Cronog. e Histog.'!$BZ:$BZ,'Cronog. e Histog.'!DK:DK),"")</f>
        <v>0</v>
      </c>
      <c r="AQ141" s="144">
        <f>IFERROR(_xlfn.XLOOKUP($B141,'Cronog. e Histog.'!$BZ:$BZ,'Cronog. e Histog.'!DL:DL),"")</f>
        <v>0</v>
      </c>
      <c r="AR141" s="144">
        <f>IFERROR(_xlfn.XLOOKUP($B141,'Cronog. e Histog.'!$BZ:$BZ,'Cronog. e Histog.'!DM:DM),"")</f>
        <v>0</v>
      </c>
      <c r="AS141" s="144">
        <f>IFERROR(_xlfn.XLOOKUP($B141,'Cronog. e Histog.'!$BZ:$BZ,'Cronog. e Histog.'!DN:DN),"")</f>
        <v>0</v>
      </c>
      <c r="AT141" s="144">
        <f>IFERROR(_xlfn.XLOOKUP($B141,'Cronog. e Histog.'!$BZ:$BZ,'Cronog. e Histog.'!DO:DO),"")</f>
        <v>0</v>
      </c>
      <c r="AU141" s="144">
        <f>IFERROR(_xlfn.XLOOKUP($B141,'Cronog. e Histog.'!$BZ:$BZ,'Cronog. e Histog.'!DP:DP),"")</f>
        <v>0</v>
      </c>
      <c r="AV141" s="144">
        <f>IFERROR(_xlfn.XLOOKUP($B141,'Cronog. e Histog.'!$BZ:$BZ,'Cronog. e Histog.'!DQ:DQ),"")</f>
        <v>0</v>
      </c>
      <c r="AW141" s="144">
        <f>IFERROR(_xlfn.XLOOKUP($B141,'Cronog. e Histog.'!$BZ:$BZ,'Cronog. e Histog.'!DR:DR),"")</f>
        <v>0</v>
      </c>
      <c r="AX141" s="144">
        <f>IFERROR(_xlfn.XLOOKUP($B141,'Cronog. e Histog.'!$BZ:$BZ,'Cronog. e Histog.'!DS:DS),"")</f>
        <v>0</v>
      </c>
      <c r="AY141" s="144">
        <f>IFERROR(_xlfn.XLOOKUP($B141,'Cronog. e Histog.'!$BZ:$BZ,'Cronog. e Histog.'!DT:DT),"")</f>
        <v>0</v>
      </c>
      <c r="AZ141" s="144">
        <f>IFERROR(_xlfn.XLOOKUP($B141,'Cronog. e Histog.'!$BZ:$BZ,'Cronog. e Histog.'!DU:DU),"")</f>
        <v>0</v>
      </c>
      <c r="BA141" s="144">
        <f>IFERROR(_xlfn.XLOOKUP($B141,'Cronog. e Histog.'!$BZ:$BZ,'Cronog. e Histog.'!DV:DV),"")</f>
        <v>0</v>
      </c>
      <c r="BB141" s="144">
        <f>IFERROR(_xlfn.XLOOKUP($B141,'Cronog. e Histog.'!$BZ:$BZ,'Cronog. e Histog.'!DW:DW),"")</f>
        <v>0</v>
      </c>
      <c r="BC141" s="144">
        <f>IFERROR(_xlfn.XLOOKUP($B141,'Cronog. e Histog.'!$BZ:$BZ,'Cronog. e Histog.'!DX:DX),"")</f>
        <v>0</v>
      </c>
      <c r="BD141" s="144">
        <f>IFERROR(_xlfn.XLOOKUP($B141,'Cronog. e Histog.'!$BZ:$BZ,'Cronog. e Histog.'!DY:DY),"")</f>
        <v>0</v>
      </c>
      <c r="BE141" s="144">
        <f>IFERROR(_xlfn.XLOOKUP($B141,'Cronog. e Histog.'!$BZ:$BZ,'Cronog. e Histog.'!DZ:DZ),"")</f>
        <v>0</v>
      </c>
      <c r="BF141" s="144">
        <f>IFERROR(_xlfn.XLOOKUP($B141,'Cronog. e Histog.'!$BZ:$BZ,'Cronog. e Histog.'!EA:EA),"")</f>
        <v>0</v>
      </c>
      <c r="BG141" s="144">
        <f>IFERROR(_xlfn.XLOOKUP($B141,'Cronog. e Histog.'!$BZ:$BZ,'Cronog. e Histog.'!EB:EB),"")</f>
        <v>0</v>
      </c>
      <c r="BH141" s="144">
        <f>IFERROR(_xlfn.XLOOKUP($B141,'Cronog. e Histog.'!$BZ:$BZ,'Cronog. e Histog.'!EC:EC),"")</f>
        <v>0</v>
      </c>
      <c r="BI141" s="144">
        <f>IFERROR(_xlfn.XLOOKUP($B141,'Cronog. e Histog.'!$BZ:$BZ,'Cronog. e Histog.'!ED:ED),"")</f>
        <v>0</v>
      </c>
      <c r="BJ141" s="144">
        <f>IFERROR(_xlfn.XLOOKUP($B141,'Cronog. e Histog.'!$BZ:$BZ,'Cronog. e Histog.'!EE:EE),"")</f>
        <v>0</v>
      </c>
      <c r="BK141" s="144">
        <f>IFERROR(_xlfn.XLOOKUP($B141,'Cronog. e Histog.'!$BZ:$BZ,'Cronog. e Histog.'!EF:EF),"")</f>
        <v>0</v>
      </c>
      <c r="BL141" s="144">
        <f>IFERROR(_xlfn.XLOOKUP($B141,'Cronog. e Histog.'!$BZ:$BZ,'Cronog. e Histog.'!EG:EG),"")</f>
        <v>0</v>
      </c>
      <c r="BM141" s="144">
        <f>IFERROR(_xlfn.XLOOKUP($B141,'Cronog. e Histog.'!$BZ:$BZ,'Cronog. e Histog.'!EH:EH),"")</f>
        <v>0</v>
      </c>
      <c r="BN141" s="144">
        <f>IFERROR(_xlfn.XLOOKUP($B141,'Cronog. e Histog.'!$BZ:$BZ,'Cronog. e Histog.'!EI:EI),"")</f>
        <v>0</v>
      </c>
    </row>
    <row r="142" spans="2:66" ht="12" hidden="1" customHeight="1" outlineLevel="1">
      <c r="B142" s="76">
        <v>136</v>
      </c>
      <c r="C142" s="143" t="str">
        <f>IFERROR(VLOOKUP(B142,'Cronog. e Histog.'!$BZ$213:$CA$747,2,0),"")</f>
        <v>AUX TEC</v>
      </c>
      <c r="D142" s="144">
        <f t="shared" si="4"/>
        <v>0</v>
      </c>
      <c r="E142" s="144">
        <f t="shared" si="5"/>
        <v>0</v>
      </c>
      <c r="F142" s="65"/>
      <c r="G142" s="144">
        <f>IFERROR(_xlfn.XLOOKUP($B142,'Cronog. e Histog.'!$BZ:$BZ,'Cronog. e Histog.'!CB:CB),"")</f>
        <v>0</v>
      </c>
      <c r="H142" s="144">
        <f>IFERROR(_xlfn.XLOOKUP($B142,'Cronog. e Histog.'!$BZ:$BZ,'Cronog. e Histog.'!CC:CC),"")</f>
        <v>0</v>
      </c>
      <c r="I142" s="144">
        <f>IFERROR(_xlfn.XLOOKUP($B142,'Cronog. e Histog.'!$BZ:$BZ,'Cronog. e Histog.'!CD:CD),"")</f>
        <v>0</v>
      </c>
      <c r="J142" s="144">
        <f>IFERROR(_xlfn.XLOOKUP($B142,'Cronog. e Histog.'!$BZ:$BZ,'Cronog. e Histog.'!CE:CE),"")</f>
        <v>0</v>
      </c>
      <c r="K142" s="144">
        <f>IFERROR(_xlfn.XLOOKUP($B142,'Cronog. e Histog.'!$BZ:$BZ,'Cronog. e Histog.'!CF:CF),"")</f>
        <v>0</v>
      </c>
      <c r="L142" s="144">
        <f>IFERROR(_xlfn.XLOOKUP($B142,'Cronog. e Histog.'!$BZ:$BZ,'Cronog. e Histog.'!CG:CG),"")</f>
        <v>0</v>
      </c>
      <c r="M142" s="144">
        <f>IFERROR(_xlfn.XLOOKUP($B142,'Cronog. e Histog.'!$BZ:$BZ,'Cronog. e Histog.'!CH:CH),"")</f>
        <v>0</v>
      </c>
      <c r="N142" s="144">
        <f>IFERROR(_xlfn.XLOOKUP($B142,'Cronog. e Histog.'!$BZ:$BZ,'Cronog. e Histog.'!CI:CI),"")</f>
        <v>0</v>
      </c>
      <c r="O142" s="144">
        <f>IFERROR(_xlfn.XLOOKUP($B142,'Cronog. e Histog.'!$BZ:$BZ,'Cronog. e Histog.'!CJ:CJ),"")</f>
        <v>0</v>
      </c>
      <c r="P142" s="144">
        <f>IFERROR(_xlfn.XLOOKUP($B142,'Cronog. e Histog.'!$BZ:$BZ,'Cronog. e Histog.'!CK:CK),"")</f>
        <v>0</v>
      </c>
      <c r="Q142" s="144">
        <f>IFERROR(_xlfn.XLOOKUP($B142,'Cronog. e Histog.'!$BZ:$BZ,'Cronog. e Histog.'!CL:CL),"")</f>
        <v>0</v>
      </c>
      <c r="R142" s="144">
        <f>IFERROR(_xlfn.XLOOKUP($B142,'Cronog. e Histog.'!$BZ:$BZ,'Cronog. e Histog.'!CM:CM),"")</f>
        <v>0</v>
      </c>
      <c r="S142" s="144">
        <f>IFERROR(_xlfn.XLOOKUP($B142,'Cronog. e Histog.'!$BZ:$BZ,'Cronog. e Histog.'!CN:CN),"")</f>
        <v>0</v>
      </c>
      <c r="T142" s="144">
        <f>IFERROR(_xlfn.XLOOKUP($B142,'Cronog. e Histog.'!$BZ:$BZ,'Cronog. e Histog.'!CO:CO),"")</f>
        <v>0</v>
      </c>
      <c r="U142" s="144">
        <f>IFERROR(_xlfn.XLOOKUP($B142,'Cronog. e Histog.'!$BZ:$BZ,'Cronog. e Histog.'!CP:CP),"")</f>
        <v>0</v>
      </c>
      <c r="V142" s="144">
        <f>IFERROR(_xlfn.XLOOKUP($B142,'Cronog. e Histog.'!$BZ:$BZ,'Cronog. e Histog.'!CQ:CQ),"")</f>
        <v>0</v>
      </c>
      <c r="W142" s="144">
        <f>IFERROR(_xlfn.XLOOKUP($B142,'Cronog. e Histog.'!$BZ:$BZ,'Cronog. e Histog.'!CR:CR),"")</f>
        <v>0</v>
      </c>
      <c r="X142" s="144">
        <f>IFERROR(_xlfn.XLOOKUP($B142,'Cronog. e Histog.'!$BZ:$BZ,'Cronog. e Histog.'!CS:CS),"")</f>
        <v>0</v>
      </c>
      <c r="Y142" s="144">
        <f>IFERROR(_xlfn.XLOOKUP($B142,'Cronog. e Histog.'!$BZ:$BZ,'Cronog. e Histog.'!CT:CT),"")</f>
        <v>0</v>
      </c>
      <c r="Z142" s="144">
        <f>IFERROR(_xlfn.XLOOKUP($B142,'Cronog. e Histog.'!$BZ:$BZ,'Cronog. e Histog.'!CU:CU),"")</f>
        <v>0</v>
      </c>
      <c r="AA142" s="144">
        <f>IFERROR(_xlfn.XLOOKUP($B142,'Cronog. e Histog.'!$BZ:$BZ,'Cronog. e Histog.'!CV:CV),"")</f>
        <v>0</v>
      </c>
      <c r="AB142" s="144">
        <f>IFERROR(_xlfn.XLOOKUP($B142,'Cronog. e Histog.'!$BZ:$BZ,'Cronog. e Histog.'!CW:CW),"")</f>
        <v>0</v>
      </c>
      <c r="AC142" s="144">
        <f>IFERROR(_xlfn.XLOOKUP($B142,'Cronog. e Histog.'!$BZ:$BZ,'Cronog. e Histog.'!CX:CX),"")</f>
        <v>0</v>
      </c>
      <c r="AD142" s="144">
        <f>IFERROR(_xlfn.XLOOKUP($B142,'Cronog. e Histog.'!$BZ:$BZ,'Cronog. e Histog.'!CY:CY),"")</f>
        <v>0</v>
      </c>
      <c r="AE142" s="144">
        <f>IFERROR(_xlfn.XLOOKUP($B142,'Cronog. e Histog.'!$BZ:$BZ,'Cronog. e Histog.'!CZ:CZ),"")</f>
        <v>0</v>
      </c>
      <c r="AF142" s="144">
        <f>IFERROR(_xlfn.XLOOKUP($B142,'Cronog. e Histog.'!$BZ:$BZ,'Cronog. e Histog.'!DA:DA),"")</f>
        <v>0</v>
      </c>
      <c r="AG142" s="144">
        <f>IFERROR(_xlfn.XLOOKUP($B142,'Cronog. e Histog.'!$BZ:$BZ,'Cronog. e Histog.'!DB:DB),"")</f>
        <v>0</v>
      </c>
      <c r="AH142" s="144">
        <f>IFERROR(_xlfn.XLOOKUP($B142,'Cronog. e Histog.'!$BZ:$BZ,'Cronog. e Histog.'!DC:DC),"")</f>
        <v>0</v>
      </c>
      <c r="AI142" s="144">
        <f>IFERROR(_xlfn.XLOOKUP($B142,'Cronog. e Histog.'!$BZ:$BZ,'Cronog. e Histog.'!DD:DD),"")</f>
        <v>0</v>
      </c>
      <c r="AJ142" s="144">
        <f>IFERROR(_xlfn.XLOOKUP($B142,'Cronog. e Histog.'!$BZ:$BZ,'Cronog. e Histog.'!DE:DE),"")</f>
        <v>0</v>
      </c>
      <c r="AK142" s="144">
        <f>IFERROR(_xlfn.XLOOKUP($B142,'Cronog. e Histog.'!$BZ:$BZ,'Cronog. e Histog.'!DF:DF),"")</f>
        <v>0</v>
      </c>
      <c r="AL142" s="144">
        <f>IFERROR(_xlfn.XLOOKUP($B142,'Cronog. e Histog.'!$BZ:$BZ,'Cronog. e Histog.'!DG:DG),"")</f>
        <v>0</v>
      </c>
      <c r="AM142" s="144">
        <f>IFERROR(_xlfn.XLOOKUP($B142,'Cronog. e Histog.'!$BZ:$BZ,'Cronog. e Histog.'!DH:DH),"")</f>
        <v>0</v>
      </c>
      <c r="AN142" s="144">
        <f>IFERROR(_xlfn.XLOOKUP($B142,'Cronog. e Histog.'!$BZ:$BZ,'Cronog. e Histog.'!DI:DI),"")</f>
        <v>0</v>
      </c>
      <c r="AO142" s="144">
        <f>IFERROR(_xlfn.XLOOKUP($B142,'Cronog. e Histog.'!$BZ:$BZ,'Cronog. e Histog.'!DJ:DJ),"")</f>
        <v>0</v>
      </c>
      <c r="AP142" s="144">
        <f>IFERROR(_xlfn.XLOOKUP($B142,'Cronog. e Histog.'!$BZ:$BZ,'Cronog. e Histog.'!DK:DK),"")</f>
        <v>0</v>
      </c>
      <c r="AQ142" s="144">
        <f>IFERROR(_xlfn.XLOOKUP($B142,'Cronog. e Histog.'!$BZ:$BZ,'Cronog. e Histog.'!DL:DL),"")</f>
        <v>0</v>
      </c>
      <c r="AR142" s="144">
        <f>IFERROR(_xlfn.XLOOKUP($B142,'Cronog. e Histog.'!$BZ:$BZ,'Cronog. e Histog.'!DM:DM),"")</f>
        <v>0</v>
      </c>
      <c r="AS142" s="144">
        <f>IFERROR(_xlfn.XLOOKUP($B142,'Cronog. e Histog.'!$BZ:$BZ,'Cronog. e Histog.'!DN:DN),"")</f>
        <v>0</v>
      </c>
      <c r="AT142" s="144">
        <f>IFERROR(_xlfn.XLOOKUP($B142,'Cronog. e Histog.'!$BZ:$BZ,'Cronog. e Histog.'!DO:DO),"")</f>
        <v>0</v>
      </c>
      <c r="AU142" s="144">
        <f>IFERROR(_xlfn.XLOOKUP($B142,'Cronog. e Histog.'!$BZ:$BZ,'Cronog. e Histog.'!DP:DP),"")</f>
        <v>0</v>
      </c>
      <c r="AV142" s="144">
        <f>IFERROR(_xlfn.XLOOKUP($B142,'Cronog. e Histog.'!$BZ:$BZ,'Cronog. e Histog.'!DQ:DQ),"")</f>
        <v>0</v>
      </c>
      <c r="AW142" s="144">
        <f>IFERROR(_xlfn.XLOOKUP($B142,'Cronog. e Histog.'!$BZ:$BZ,'Cronog. e Histog.'!DR:DR),"")</f>
        <v>0</v>
      </c>
      <c r="AX142" s="144">
        <f>IFERROR(_xlfn.XLOOKUP($B142,'Cronog. e Histog.'!$BZ:$BZ,'Cronog. e Histog.'!DS:DS),"")</f>
        <v>0</v>
      </c>
      <c r="AY142" s="144">
        <f>IFERROR(_xlfn.XLOOKUP($B142,'Cronog. e Histog.'!$BZ:$BZ,'Cronog. e Histog.'!DT:DT),"")</f>
        <v>0</v>
      </c>
      <c r="AZ142" s="144">
        <f>IFERROR(_xlfn.XLOOKUP($B142,'Cronog. e Histog.'!$BZ:$BZ,'Cronog. e Histog.'!DU:DU),"")</f>
        <v>0</v>
      </c>
      <c r="BA142" s="144">
        <f>IFERROR(_xlfn.XLOOKUP($B142,'Cronog. e Histog.'!$BZ:$BZ,'Cronog. e Histog.'!DV:DV),"")</f>
        <v>0</v>
      </c>
      <c r="BB142" s="144">
        <f>IFERROR(_xlfn.XLOOKUP($B142,'Cronog. e Histog.'!$BZ:$BZ,'Cronog. e Histog.'!DW:DW),"")</f>
        <v>0</v>
      </c>
      <c r="BC142" s="144">
        <f>IFERROR(_xlfn.XLOOKUP($B142,'Cronog. e Histog.'!$BZ:$BZ,'Cronog. e Histog.'!DX:DX),"")</f>
        <v>0</v>
      </c>
      <c r="BD142" s="144">
        <f>IFERROR(_xlfn.XLOOKUP($B142,'Cronog. e Histog.'!$BZ:$BZ,'Cronog. e Histog.'!DY:DY),"")</f>
        <v>0</v>
      </c>
      <c r="BE142" s="144">
        <f>IFERROR(_xlfn.XLOOKUP($B142,'Cronog. e Histog.'!$BZ:$BZ,'Cronog. e Histog.'!DZ:DZ),"")</f>
        <v>0</v>
      </c>
      <c r="BF142" s="144">
        <f>IFERROR(_xlfn.XLOOKUP($B142,'Cronog. e Histog.'!$BZ:$BZ,'Cronog. e Histog.'!EA:EA),"")</f>
        <v>0</v>
      </c>
      <c r="BG142" s="144">
        <f>IFERROR(_xlfn.XLOOKUP($B142,'Cronog. e Histog.'!$BZ:$BZ,'Cronog. e Histog.'!EB:EB),"")</f>
        <v>0</v>
      </c>
      <c r="BH142" s="144">
        <f>IFERROR(_xlfn.XLOOKUP($B142,'Cronog. e Histog.'!$BZ:$BZ,'Cronog. e Histog.'!EC:EC),"")</f>
        <v>0</v>
      </c>
      <c r="BI142" s="144">
        <f>IFERROR(_xlfn.XLOOKUP($B142,'Cronog. e Histog.'!$BZ:$BZ,'Cronog. e Histog.'!ED:ED),"")</f>
        <v>0</v>
      </c>
      <c r="BJ142" s="144">
        <f>IFERROR(_xlfn.XLOOKUP($B142,'Cronog. e Histog.'!$BZ:$BZ,'Cronog. e Histog.'!EE:EE),"")</f>
        <v>0</v>
      </c>
      <c r="BK142" s="144">
        <f>IFERROR(_xlfn.XLOOKUP($B142,'Cronog. e Histog.'!$BZ:$BZ,'Cronog. e Histog.'!EF:EF),"")</f>
        <v>0</v>
      </c>
      <c r="BL142" s="144">
        <f>IFERROR(_xlfn.XLOOKUP($B142,'Cronog. e Histog.'!$BZ:$BZ,'Cronog. e Histog.'!EG:EG),"")</f>
        <v>0</v>
      </c>
      <c r="BM142" s="144">
        <f>IFERROR(_xlfn.XLOOKUP($B142,'Cronog. e Histog.'!$BZ:$BZ,'Cronog. e Histog.'!EH:EH),"")</f>
        <v>0</v>
      </c>
      <c r="BN142" s="144">
        <f>IFERROR(_xlfn.XLOOKUP($B142,'Cronog. e Histog.'!$BZ:$BZ,'Cronog. e Histog.'!EI:EI),"")</f>
        <v>0</v>
      </c>
    </row>
    <row r="143" spans="2:66" ht="12" hidden="1" customHeight="1" outlineLevel="1">
      <c r="B143" s="76">
        <v>137</v>
      </c>
      <c r="C143" s="143" t="str">
        <f>IFERROR(VLOOKUP(B143,'Cronog. e Histog.'!$BZ$213:$CA$747,2,0),"")</f>
        <v>AUX ADM</v>
      </c>
      <c r="D143" s="144">
        <f t="shared" si="4"/>
        <v>0</v>
      </c>
      <c r="E143" s="144">
        <f t="shared" si="5"/>
        <v>0</v>
      </c>
      <c r="F143" s="65"/>
      <c r="G143" s="144">
        <f>IFERROR(_xlfn.XLOOKUP($B143,'Cronog. e Histog.'!$BZ:$BZ,'Cronog. e Histog.'!CB:CB),"")</f>
        <v>0</v>
      </c>
      <c r="H143" s="144">
        <f>IFERROR(_xlfn.XLOOKUP($B143,'Cronog. e Histog.'!$BZ:$BZ,'Cronog. e Histog.'!CC:CC),"")</f>
        <v>0</v>
      </c>
      <c r="I143" s="144">
        <f>IFERROR(_xlfn.XLOOKUP($B143,'Cronog. e Histog.'!$BZ:$BZ,'Cronog. e Histog.'!CD:CD),"")</f>
        <v>0</v>
      </c>
      <c r="J143" s="144">
        <f>IFERROR(_xlfn.XLOOKUP($B143,'Cronog. e Histog.'!$BZ:$BZ,'Cronog. e Histog.'!CE:CE),"")</f>
        <v>0</v>
      </c>
      <c r="K143" s="144">
        <f>IFERROR(_xlfn.XLOOKUP($B143,'Cronog. e Histog.'!$BZ:$BZ,'Cronog. e Histog.'!CF:CF),"")</f>
        <v>0</v>
      </c>
      <c r="L143" s="144">
        <f>IFERROR(_xlfn.XLOOKUP($B143,'Cronog. e Histog.'!$BZ:$BZ,'Cronog. e Histog.'!CG:CG),"")</f>
        <v>0</v>
      </c>
      <c r="M143" s="144">
        <f>IFERROR(_xlfn.XLOOKUP($B143,'Cronog. e Histog.'!$BZ:$BZ,'Cronog. e Histog.'!CH:CH),"")</f>
        <v>0</v>
      </c>
      <c r="N143" s="144">
        <f>IFERROR(_xlfn.XLOOKUP($B143,'Cronog. e Histog.'!$BZ:$BZ,'Cronog. e Histog.'!CI:CI),"")</f>
        <v>0</v>
      </c>
      <c r="O143" s="144">
        <f>IFERROR(_xlfn.XLOOKUP($B143,'Cronog. e Histog.'!$BZ:$BZ,'Cronog. e Histog.'!CJ:CJ),"")</f>
        <v>0</v>
      </c>
      <c r="P143" s="144">
        <f>IFERROR(_xlfn.XLOOKUP($B143,'Cronog. e Histog.'!$BZ:$BZ,'Cronog. e Histog.'!CK:CK),"")</f>
        <v>0</v>
      </c>
      <c r="Q143" s="144">
        <f>IFERROR(_xlfn.XLOOKUP($B143,'Cronog. e Histog.'!$BZ:$BZ,'Cronog. e Histog.'!CL:CL),"")</f>
        <v>0</v>
      </c>
      <c r="R143" s="144">
        <f>IFERROR(_xlfn.XLOOKUP($B143,'Cronog. e Histog.'!$BZ:$BZ,'Cronog. e Histog.'!CM:CM),"")</f>
        <v>0</v>
      </c>
      <c r="S143" s="144">
        <f>IFERROR(_xlfn.XLOOKUP($B143,'Cronog. e Histog.'!$BZ:$BZ,'Cronog. e Histog.'!CN:CN),"")</f>
        <v>0</v>
      </c>
      <c r="T143" s="144">
        <f>IFERROR(_xlfn.XLOOKUP($B143,'Cronog. e Histog.'!$BZ:$BZ,'Cronog. e Histog.'!CO:CO),"")</f>
        <v>0</v>
      </c>
      <c r="U143" s="144">
        <f>IFERROR(_xlfn.XLOOKUP($B143,'Cronog. e Histog.'!$BZ:$BZ,'Cronog. e Histog.'!CP:CP),"")</f>
        <v>0</v>
      </c>
      <c r="V143" s="144">
        <f>IFERROR(_xlfn.XLOOKUP($B143,'Cronog. e Histog.'!$BZ:$BZ,'Cronog. e Histog.'!CQ:CQ),"")</f>
        <v>0</v>
      </c>
      <c r="W143" s="144">
        <f>IFERROR(_xlfn.XLOOKUP($B143,'Cronog. e Histog.'!$BZ:$BZ,'Cronog. e Histog.'!CR:CR),"")</f>
        <v>0</v>
      </c>
      <c r="X143" s="144">
        <f>IFERROR(_xlfn.XLOOKUP($B143,'Cronog. e Histog.'!$BZ:$BZ,'Cronog. e Histog.'!CS:CS),"")</f>
        <v>0</v>
      </c>
      <c r="Y143" s="144">
        <f>IFERROR(_xlfn.XLOOKUP($B143,'Cronog. e Histog.'!$BZ:$BZ,'Cronog. e Histog.'!CT:CT),"")</f>
        <v>0</v>
      </c>
      <c r="Z143" s="144">
        <f>IFERROR(_xlfn.XLOOKUP($B143,'Cronog. e Histog.'!$BZ:$BZ,'Cronog. e Histog.'!CU:CU),"")</f>
        <v>0</v>
      </c>
      <c r="AA143" s="144">
        <f>IFERROR(_xlfn.XLOOKUP($B143,'Cronog. e Histog.'!$BZ:$BZ,'Cronog. e Histog.'!CV:CV),"")</f>
        <v>0</v>
      </c>
      <c r="AB143" s="144">
        <f>IFERROR(_xlfn.XLOOKUP($B143,'Cronog. e Histog.'!$BZ:$BZ,'Cronog. e Histog.'!CW:CW),"")</f>
        <v>0</v>
      </c>
      <c r="AC143" s="144">
        <f>IFERROR(_xlfn.XLOOKUP($B143,'Cronog. e Histog.'!$BZ:$BZ,'Cronog. e Histog.'!CX:CX),"")</f>
        <v>0</v>
      </c>
      <c r="AD143" s="144">
        <f>IFERROR(_xlfn.XLOOKUP($B143,'Cronog. e Histog.'!$BZ:$BZ,'Cronog. e Histog.'!CY:CY),"")</f>
        <v>0</v>
      </c>
      <c r="AE143" s="144">
        <f>IFERROR(_xlfn.XLOOKUP($B143,'Cronog. e Histog.'!$BZ:$BZ,'Cronog. e Histog.'!CZ:CZ),"")</f>
        <v>0</v>
      </c>
      <c r="AF143" s="144">
        <f>IFERROR(_xlfn.XLOOKUP($B143,'Cronog. e Histog.'!$BZ:$BZ,'Cronog. e Histog.'!DA:DA),"")</f>
        <v>0</v>
      </c>
      <c r="AG143" s="144">
        <f>IFERROR(_xlfn.XLOOKUP($B143,'Cronog. e Histog.'!$BZ:$BZ,'Cronog. e Histog.'!DB:DB),"")</f>
        <v>0</v>
      </c>
      <c r="AH143" s="144">
        <f>IFERROR(_xlfn.XLOOKUP($B143,'Cronog. e Histog.'!$BZ:$BZ,'Cronog. e Histog.'!DC:DC),"")</f>
        <v>0</v>
      </c>
      <c r="AI143" s="144">
        <f>IFERROR(_xlfn.XLOOKUP($B143,'Cronog. e Histog.'!$BZ:$BZ,'Cronog. e Histog.'!DD:DD),"")</f>
        <v>0</v>
      </c>
      <c r="AJ143" s="144">
        <f>IFERROR(_xlfn.XLOOKUP($B143,'Cronog. e Histog.'!$BZ:$BZ,'Cronog. e Histog.'!DE:DE),"")</f>
        <v>0</v>
      </c>
      <c r="AK143" s="144">
        <f>IFERROR(_xlfn.XLOOKUP($B143,'Cronog. e Histog.'!$BZ:$BZ,'Cronog. e Histog.'!DF:DF),"")</f>
        <v>0</v>
      </c>
      <c r="AL143" s="144">
        <f>IFERROR(_xlfn.XLOOKUP($B143,'Cronog. e Histog.'!$BZ:$BZ,'Cronog. e Histog.'!DG:DG),"")</f>
        <v>0</v>
      </c>
      <c r="AM143" s="144">
        <f>IFERROR(_xlfn.XLOOKUP($B143,'Cronog. e Histog.'!$BZ:$BZ,'Cronog. e Histog.'!DH:DH),"")</f>
        <v>0</v>
      </c>
      <c r="AN143" s="144">
        <f>IFERROR(_xlfn.XLOOKUP($B143,'Cronog. e Histog.'!$BZ:$BZ,'Cronog. e Histog.'!DI:DI),"")</f>
        <v>0</v>
      </c>
      <c r="AO143" s="144">
        <f>IFERROR(_xlfn.XLOOKUP($B143,'Cronog. e Histog.'!$BZ:$BZ,'Cronog. e Histog.'!DJ:DJ),"")</f>
        <v>0</v>
      </c>
      <c r="AP143" s="144">
        <f>IFERROR(_xlfn.XLOOKUP($B143,'Cronog. e Histog.'!$BZ:$BZ,'Cronog. e Histog.'!DK:DK),"")</f>
        <v>0</v>
      </c>
      <c r="AQ143" s="144">
        <f>IFERROR(_xlfn.XLOOKUP($B143,'Cronog. e Histog.'!$BZ:$BZ,'Cronog. e Histog.'!DL:DL),"")</f>
        <v>0</v>
      </c>
      <c r="AR143" s="144">
        <f>IFERROR(_xlfn.XLOOKUP($B143,'Cronog. e Histog.'!$BZ:$BZ,'Cronog. e Histog.'!DM:DM),"")</f>
        <v>0</v>
      </c>
      <c r="AS143" s="144">
        <f>IFERROR(_xlfn.XLOOKUP($B143,'Cronog. e Histog.'!$BZ:$BZ,'Cronog. e Histog.'!DN:DN),"")</f>
        <v>0</v>
      </c>
      <c r="AT143" s="144">
        <f>IFERROR(_xlfn.XLOOKUP($B143,'Cronog. e Histog.'!$BZ:$BZ,'Cronog. e Histog.'!DO:DO),"")</f>
        <v>0</v>
      </c>
      <c r="AU143" s="144">
        <f>IFERROR(_xlfn.XLOOKUP($B143,'Cronog. e Histog.'!$BZ:$BZ,'Cronog. e Histog.'!DP:DP),"")</f>
        <v>0</v>
      </c>
      <c r="AV143" s="144">
        <f>IFERROR(_xlfn.XLOOKUP($B143,'Cronog. e Histog.'!$BZ:$BZ,'Cronog. e Histog.'!DQ:DQ),"")</f>
        <v>0</v>
      </c>
      <c r="AW143" s="144">
        <f>IFERROR(_xlfn.XLOOKUP($B143,'Cronog. e Histog.'!$BZ:$BZ,'Cronog. e Histog.'!DR:DR),"")</f>
        <v>0</v>
      </c>
      <c r="AX143" s="144">
        <f>IFERROR(_xlfn.XLOOKUP($B143,'Cronog. e Histog.'!$BZ:$BZ,'Cronog. e Histog.'!DS:DS),"")</f>
        <v>0</v>
      </c>
      <c r="AY143" s="144">
        <f>IFERROR(_xlfn.XLOOKUP($B143,'Cronog. e Histog.'!$BZ:$BZ,'Cronog. e Histog.'!DT:DT),"")</f>
        <v>0</v>
      </c>
      <c r="AZ143" s="144">
        <f>IFERROR(_xlfn.XLOOKUP($B143,'Cronog. e Histog.'!$BZ:$BZ,'Cronog. e Histog.'!DU:DU),"")</f>
        <v>0</v>
      </c>
      <c r="BA143" s="144">
        <f>IFERROR(_xlfn.XLOOKUP($B143,'Cronog. e Histog.'!$BZ:$BZ,'Cronog. e Histog.'!DV:DV),"")</f>
        <v>0</v>
      </c>
      <c r="BB143" s="144">
        <f>IFERROR(_xlfn.XLOOKUP($B143,'Cronog. e Histog.'!$BZ:$BZ,'Cronog. e Histog.'!DW:DW),"")</f>
        <v>0</v>
      </c>
      <c r="BC143" s="144">
        <f>IFERROR(_xlfn.XLOOKUP($B143,'Cronog. e Histog.'!$BZ:$BZ,'Cronog. e Histog.'!DX:DX),"")</f>
        <v>0</v>
      </c>
      <c r="BD143" s="144">
        <f>IFERROR(_xlfn.XLOOKUP($B143,'Cronog. e Histog.'!$BZ:$BZ,'Cronog. e Histog.'!DY:DY),"")</f>
        <v>0</v>
      </c>
      <c r="BE143" s="144">
        <f>IFERROR(_xlfn.XLOOKUP($B143,'Cronog. e Histog.'!$BZ:$BZ,'Cronog. e Histog.'!DZ:DZ),"")</f>
        <v>0</v>
      </c>
      <c r="BF143" s="144">
        <f>IFERROR(_xlfn.XLOOKUP($B143,'Cronog. e Histog.'!$BZ:$BZ,'Cronog. e Histog.'!EA:EA),"")</f>
        <v>0</v>
      </c>
      <c r="BG143" s="144">
        <f>IFERROR(_xlfn.XLOOKUP($B143,'Cronog. e Histog.'!$BZ:$BZ,'Cronog. e Histog.'!EB:EB),"")</f>
        <v>0</v>
      </c>
      <c r="BH143" s="144">
        <f>IFERROR(_xlfn.XLOOKUP($B143,'Cronog. e Histog.'!$BZ:$BZ,'Cronog. e Histog.'!EC:EC),"")</f>
        <v>0</v>
      </c>
      <c r="BI143" s="144">
        <f>IFERROR(_xlfn.XLOOKUP($B143,'Cronog. e Histog.'!$BZ:$BZ,'Cronog. e Histog.'!ED:ED),"")</f>
        <v>0</v>
      </c>
      <c r="BJ143" s="144">
        <f>IFERROR(_xlfn.XLOOKUP($B143,'Cronog. e Histog.'!$BZ:$BZ,'Cronog. e Histog.'!EE:EE),"")</f>
        <v>0</v>
      </c>
      <c r="BK143" s="144">
        <f>IFERROR(_xlfn.XLOOKUP($B143,'Cronog. e Histog.'!$BZ:$BZ,'Cronog. e Histog.'!EF:EF),"")</f>
        <v>0</v>
      </c>
      <c r="BL143" s="144">
        <f>IFERROR(_xlfn.XLOOKUP($B143,'Cronog. e Histog.'!$BZ:$BZ,'Cronog. e Histog.'!EG:EG),"")</f>
        <v>0</v>
      </c>
      <c r="BM143" s="144">
        <f>IFERROR(_xlfn.XLOOKUP($B143,'Cronog. e Histog.'!$BZ:$BZ,'Cronog. e Histog.'!EH:EH),"")</f>
        <v>0</v>
      </c>
      <c r="BN143" s="144">
        <f>IFERROR(_xlfn.XLOOKUP($B143,'Cronog. e Histog.'!$BZ:$BZ,'Cronog. e Histog.'!EI:EI),"")</f>
        <v>0</v>
      </c>
    </row>
    <row r="144" spans="2:66" ht="12" hidden="1" customHeight="1" outlineLevel="1">
      <c r="B144" s="76">
        <v>138</v>
      </c>
      <c r="C144" s="143" t="str">
        <f>IFERROR(VLOOKUP(B144,'Cronog. e Histog.'!$BZ$213:$CA$747,2,0),"")</f>
        <v>EST</v>
      </c>
      <c r="D144" s="144">
        <f t="shared" si="4"/>
        <v>0</v>
      </c>
      <c r="E144" s="144">
        <f t="shared" si="5"/>
        <v>0</v>
      </c>
      <c r="F144" s="65"/>
      <c r="G144" s="144">
        <f>IFERROR(_xlfn.XLOOKUP($B144,'Cronog. e Histog.'!$BZ:$BZ,'Cronog. e Histog.'!CB:CB),"")</f>
        <v>0</v>
      </c>
      <c r="H144" s="144">
        <f>IFERROR(_xlfn.XLOOKUP($B144,'Cronog. e Histog.'!$BZ:$BZ,'Cronog. e Histog.'!CC:CC),"")</f>
        <v>0</v>
      </c>
      <c r="I144" s="144">
        <f>IFERROR(_xlfn.XLOOKUP($B144,'Cronog. e Histog.'!$BZ:$BZ,'Cronog. e Histog.'!CD:CD),"")</f>
        <v>0</v>
      </c>
      <c r="J144" s="144">
        <f>IFERROR(_xlfn.XLOOKUP($B144,'Cronog. e Histog.'!$BZ:$BZ,'Cronog. e Histog.'!CE:CE),"")</f>
        <v>0</v>
      </c>
      <c r="K144" s="144">
        <f>IFERROR(_xlfn.XLOOKUP($B144,'Cronog. e Histog.'!$BZ:$BZ,'Cronog. e Histog.'!CF:CF),"")</f>
        <v>0</v>
      </c>
      <c r="L144" s="144">
        <f>IFERROR(_xlfn.XLOOKUP($B144,'Cronog. e Histog.'!$BZ:$BZ,'Cronog. e Histog.'!CG:CG),"")</f>
        <v>0</v>
      </c>
      <c r="M144" s="144">
        <f>IFERROR(_xlfn.XLOOKUP($B144,'Cronog. e Histog.'!$BZ:$BZ,'Cronog. e Histog.'!CH:CH),"")</f>
        <v>0</v>
      </c>
      <c r="N144" s="144">
        <f>IFERROR(_xlfn.XLOOKUP($B144,'Cronog. e Histog.'!$BZ:$BZ,'Cronog. e Histog.'!CI:CI),"")</f>
        <v>0</v>
      </c>
      <c r="O144" s="144">
        <f>IFERROR(_xlfn.XLOOKUP($B144,'Cronog. e Histog.'!$BZ:$BZ,'Cronog. e Histog.'!CJ:CJ),"")</f>
        <v>0</v>
      </c>
      <c r="P144" s="144">
        <f>IFERROR(_xlfn.XLOOKUP($B144,'Cronog. e Histog.'!$BZ:$BZ,'Cronog. e Histog.'!CK:CK),"")</f>
        <v>0</v>
      </c>
      <c r="Q144" s="144">
        <f>IFERROR(_xlfn.XLOOKUP($B144,'Cronog. e Histog.'!$BZ:$BZ,'Cronog. e Histog.'!CL:CL),"")</f>
        <v>0</v>
      </c>
      <c r="R144" s="144">
        <f>IFERROR(_xlfn.XLOOKUP($B144,'Cronog. e Histog.'!$BZ:$BZ,'Cronog. e Histog.'!CM:CM),"")</f>
        <v>0</v>
      </c>
      <c r="S144" s="144">
        <f>IFERROR(_xlfn.XLOOKUP($B144,'Cronog. e Histog.'!$BZ:$BZ,'Cronog. e Histog.'!CN:CN),"")</f>
        <v>0</v>
      </c>
      <c r="T144" s="144">
        <f>IFERROR(_xlfn.XLOOKUP($B144,'Cronog. e Histog.'!$BZ:$BZ,'Cronog. e Histog.'!CO:CO),"")</f>
        <v>0</v>
      </c>
      <c r="U144" s="144">
        <f>IFERROR(_xlfn.XLOOKUP($B144,'Cronog. e Histog.'!$BZ:$BZ,'Cronog. e Histog.'!CP:CP),"")</f>
        <v>0</v>
      </c>
      <c r="V144" s="144">
        <f>IFERROR(_xlfn.XLOOKUP($B144,'Cronog. e Histog.'!$BZ:$BZ,'Cronog. e Histog.'!CQ:CQ),"")</f>
        <v>0</v>
      </c>
      <c r="W144" s="144">
        <f>IFERROR(_xlfn.XLOOKUP($B144,'Cronog. e Histog.'!$BZ:$BZ,'Cronog. e Histog.'!CR:CR),"")</f>
        <v>0</v>
      </c>
      <c r="X144" s="144">
        <f>IFERROR(_xlfn.XLOOKUP($B144,'Cronog. e Histog.'!$BZ:$BZ,'Cronog. e Histog.'!CS:CS),"")</f>
        <v>0</v>
      </c>
      <c r="Y144" s="144">
        <f>IFERROR(_xlfn.XLOOKUP($B144,'Cronog. e Histog.'!$BZ:$BZ,'Cronog. e Histog.'!CT:CT),"")</f>
        <v>0</v>
      </c>
      <c r="Z144" s="144">
        <f>IFERROR(_xlfn.XLOOKUP($B144,'Cronog. e Histog.'!$BZ:$BZ,'Cronog. e Histog.'!CU:CU),"")</f>
        <v>0</v>
      </c>
      <c r="AA144" s="144">
        <f>IFERROR(_xlfn.XLOOKUP($B144,'Cronog. e Histog.'!$BZ:$BZ,'Cronog. e Histog.'!CV:CV),"")</f>
        <v>0</v>
      </c>
      <c r="AB144" s="144">
        <f>IFERROR(_xlfn.XLOOKUP($B144,'Cronog. e Histog.'!$BZ:$BZ,'Cronog. e Histog.'!CW:CW),"")</f>
        <v>0</v>
      </c>
      <c r="AC144" s="144">
        <f>IFERROR(_xlfn.XLOOKUP($B144,'Cronog. e Histog.'!$BZ:$BZ,'Cronog. e Histog.'!CX:CX),"")</f>
        <v>0</v>
      </c>
      <c r="AD144" s="144">
        <f>IFERROR(_xlfn.XLOOKUP($B144,'Cronog. e Histog.'!$BZ:$BZ,'Cronog. e Histog.'!CY:CY),"")</f>
        <v>0</v>
      </c>
      <c r="AE144" s="144">
        <f>IFERROR(_xlfn.XLOOKUP($B144,'Cronog. e Histog.'!$BZ:$BZ,'Cronog. e Histog.'!CZ:CZ),"")</f>
        <v>0</v>
      </c>
      <c r="AF144" s="144">
        <f>IFERROR(_xlfn.XLOOKUP($B144,'Cronog. e Histog.'!$BZ:$BZ,'Cronog. e Histog.'!DA:DA),"")</f>
        <v>0</v>
      </c>
      <c r="AG144" s="144">
        <f>IFERROR(_xlfn.XLOOKUP($B144,'Cronog. e Histog.'!$BZ:$BZ,'Cronog. e Histog.'!DB:DB),"")</f>
        <v>0</v>
      </c>
      <c r="AH144" s="144">
        <f>IFERROR(_xlfn.XLOOKUP($B144,'Cronog. e Histog.'!$BZ:$BZ,'Cronog. e Histog.'!DC:DC),"")</f>
        <v>0</v>
      </c>
      <c r="AI144" s="144">
        <f>IFERROR(_xlfn.XLOOKUP($B144,'Cronog. e Histog.'!$BZ:$BZ,'Cronog. e Histog.'!DD:DD),"")</f>
        <v>0</v>
      </c>
      <c r="AJ144" s="144">
        <f>IFERROR(_xlfn.XLOOKUP($B144,'Cronog. e Histog.'!$BZ:$BZ,'Cronog. e Histog.'!DE:DE),"")</f>
        <v>0</v>
      </c>
      <c r="AK144" s="144">
        <f>IFERROR(_xlfn.XLOOKUP($B144,'Cronog. e Histog.'!$BZ:$BZ,'Cronog. e Histog.'!DF:DF),"")</f>
        <v>0</v>
      </c>
      <c r="AL144" s="144">
        <f>IFERROR(_xlfn.XLOOKUP($B144,'Cronog. e Histog.'!$BZ:$BZ,'Cronog. e Histog.'!DG:DG),"")</f>
        <v>0</v>
      </c>
      <c r="AM144" s="144">
        <f>IFERROR(_xlfn.XLOOKUP($B144,'Cronog. e Histog.'!$BZ:$BZ,'Cronog. e Histog.'!DH:DH),"")</f>
        <v>0</v>
      </c>
      <c r="AN144" s="144">
        <f>IFERROR(_xlfn.XLOOKUP($B144,'Cronog. e Histog.'!$BZ:$BZ,'Cronog. e Histog.'!DI:DI),"")</f>
        <v>0</v>
      </c>
      <c r="AO144" s="144">
        <f>IFERROR(_xlfn.XLOOKUP($B144,'Cronog. e Histog.'!$BZ:$BZ,'Cronog. e Histog.'!DJ:DJ),"")</f>
        <v>0</v>
      </c>
      <c r="AP144" s="144">
        <f>IFERROR(_xlfn.XLOOKUP($B144,'Cronog. e Histog.'!$BZ:$BZ,'Cronog. e Histog.'!DK:DK),"")</f>
        <v>0</v>
      </c>
      <c r="AQ144" s="144">
        <f>IFERROR(_xlfn.XLOOKUP($B144,'Cronog. e Histog.'!$BZ:$BZ,'Cronog. e Histog.'!DL:DL),"")</f>
        <v>0</v>
      </c>
      <c r="AR144" s="144">
        <f>IFERROR(_xlfn.XLOOKUP($B144,'Cronog. e Histog.'!$BZ:$BZ,'Cronog. e Histog.'!DM:DM),"")</f>
        <v>0</v>
      </c>
      <c r="AS144" s="144">
        <f>IFERROR(_xlfn.XLOOKUP($B144,'Cronog. e Histog.'!$BZ:$BZ,'Cronog. e Histog.'!DN:DN),"")</f>
        <v>0</v>
      </c>
      <c r="AT144" s="144">
        <f>IFERROR(_xlfn.XLOOKUP($B144,'Cronog. e Histog.'!$BZ:$BZ,'Cronog. e Histog.'!DO:DO),"")</f>
        <v>0</v>
      </c>
      <c r="AU144" s="144">
        <f>IFERROR(_xlfn.XLOOKUP($B144,'Cronog. e Histog.'!$BZ:$BZ,'Cronog. e Histog.'!DP:DP),"")</f>
        <v>0</v>
      </c>
      <c r="AV144" s="144">
        <f>IFERROR(_xlfn.XLOOKUP($B144,'Cronog. e Histog.'!$BZ:$BZ,'Cronog. e Histog.'!DQ:DQ),"")</f>
        <v>0</v>
      </c>
      <c r="AW144" s="144">
        <f>IFERROR(_xlfn.XLOOKUP($B144,'Cronog. e Histog.'!$BZ:$BZ,'Cronog. e Histog.'!DR:DR),"")</f>
        <v>0</v>
      </c>
      <c r="AX144" s="144">
        <f>IFERROR(_xlfn.XLOOKUP($B144,'Cronog. e Histog.'!$BZ:$BZ,'Cronog. e Histog.'!DS:DS),"")</f>
        <v>0</v>
      </c>
      <c r="AY144" s="144">
        <f>IFERROR(_xlfn.XLOOKUP($B144,'Cronog. e Histog.'!$BZ:$BZ,'Cronog. e Histog.'!DT:DT),"")</f>
        <v>0</v>
      </c>
      <c r="AZ144" s="144">
        <f>IFERROR(_xlfn.XLOOKUP($B144,'Cronog. e Histog.'!$BZ:$BZ,'Cronog. e Histog.'!DU:DU),"")</f>
        <v>0</v>
      </c>
      <c r="BA144" s="144">
        <f>IFERROR(_xlfn.XLOOKUP($B144,'Cronog. e Histog.'!$BZ:$BZ,'Cronog. e Histog.'!DV:DV),"")</f>
        <v>0</v>
      </c>
      <c r="BB144" s="144">
        <f>IFERROR(_xlfn.XLOOKUP($B144,'Cronog. e Histog.'!$BZ:$BZ,'Cronog. e Histog.'!DW:DW),"")</f>
        <v>0</v>
      </c>
      <c r="BC144" s="144">
        <f>IFERROR(_xlfn.XLOOKUP($B144,'Cronog. e Histog.'!$BZ:$BZ,'Cronog. e Histog.'!DX:DX),"")</f>
        <v>0</v>
      </c>
      <c r="BD144" s="144">
        <f>IFERROR(_xlfn.XLOOKUP($B144,'Cronog. e Histog.'!$BZ:$BZ,'Cronog. e Histog.'!DY:DY),"")</f>
        <v>0</v>
      </c>
      <c r="BE144" s="144">
        <f>IFERROR(_xlfn.XLOOKUP($B144,'Cronog. e Histog.'!$BZ:$BZ,'Cronog. e Histog.'!DZ:DZ),"")</f>
        <v>0</v>
      </c>
      <c r="BF144" s="144">
        <f>IFERROR(_xlfn.XLOOKUP($B144,'Cronog. e Histog.'!$BZ:$BZ,'Cronog. e Histog.'!EA:EA),"")</f>
        <v>0</v>
      </c>
      <c r="BG144" s="144">
        <f>IFERROR(_xlfn.XLOOKUP($B144,'Cronog. e Histog.'!$BZ:$BZ,'Cronog. e Histog.'!EB:EB),"")</f>
        <v>0</v>
      </c>
      <c r="BH144" s="144">
        <f>IFERROR(_xlfn.XLOOKUP($B144,'Cronog. e Histog.'!$BZ:$BZ,'Cronog. e Histog.'!EC:EC),"")</f>
        <v>0</v>
      </c>
      <c r="BI144" s="144">
        <f>IFERROR(_xlfn.XLOOKUP($B144,'Cronog. e Histog.'!$BZ:$BZ,'Cronog. e Histog.'!ED:ED),"")</f>
        <v>0</v>
      </c>
      <c r="BJ144" s="144">
        <f>IFERROR(_xlfn.XLOOKUP($B144,'Cronog. e Histog.'!$BZ:$BZ,'Cronog. e Histog.'!EE:EE),"")</f>
        <v>0</v>
      </c>
      <c r="BK144" s="144">
        <f>IFERROR(_xlfn.XLOOKUP($B144,'Cronog. e Histog.'!$BZ:$BZ,'Cronog. e Histog.'!EF:EF),"")</f>
        <v>0</v>
      </c>
      <c r="BL144" s="144">
        <f>IFERROR(_xlfn.XLOOKUP($B144,'Cronog. e Histog.'!$BZ:$BZ,'Cronog. e Histog.'!EG:EG),"")</f>
        <v>0</v>
      </c>
      <c r="BM144" s="144">
        <f>IFERROR(_xlfn.XLOOKUP($B144,'Cronog. e Histog.'!$BZ:$BZ,'Cronog. e Histog.'!EH:EH),"")</f>
        <v>0</v>
      </c>
      <c r="BN144" s="144">
        <f>IFERROR(_xlfn.XLOOKUP($B144,'Cronog. e Histog.'!$BZ:$BZ,'Cronog. e Histog.'!EI:EI),"")</f>
        <v>0</v>
      </c>
    </row>
    <row r="145" spans="2:66" ht="12" hidden="1" customHeight="1" outlineLevel="1">
      <c r="B145" s="76">
        <v>139</v>
      </c>
      <c r="C145" s="143" t="str">
        <f>IFERROR(VLOOKUP(B145,'Cronog. e Histog.'!$BZ$213:$CA$747,2,0),"")</f>
        <v>EST_II</v>
      </c>
      <c r="D145" s="144">
        <f t="shared" si="4"/>
        <v>0</v>
      </c>
      <c r="E145" s="144">
        <f t="shared" si="5"/>
        <v>0</v>
      </c>
      <c r="F145" s="65"/>
      <c r="G145" s="144">
        <f>IFERROR(_xlfn.XLOOKUP($B145,'Cronog. e Histog.'!$BZ:$BZ,'Cronog. e Histog.'!CB:CB),"")</f>
        <v>0</v>
      </c>
      <c r="H145" s="144">
        <f>IFERROR(_xlfn.XLOOKUP($B145,'Cronog. e Histog.'!$BZ:$BZ,'Cronog. e Histog.'!CC:CC),"")</f>
        <v>0</v>
      </c>
      <c r="I145" s="144">
        <f>IFERROR(_xlfn.XLOOKUP($B145,'Cronog. e Histog.'!$BZ:$BZ,'Cronog. e Histog.'!CD:CD),"")</f>
        <v>0</v>
      </c>
      <c r="J145" s="144">
        <f>IFERROR(_xlfn.XLOOKUP($B145,'Cronog. e Histog.'!$BZ:$BZ,'Cronog. e Histog.'!CE:CE),"")</f>
        <v>0</v>
      </c>
      <c r="K145" s="144">
        <f>IFERROR(_xlfn.XLOOKUP($B145,'Cronog. e Histog.'!$BZ:$BZ,'Cronog. e Histog.'!CF:CF),"")</f>
        <v>0</v>
      </c>
      <c r="L145" s="144">
        <f>IFERROR(_xlfn.XLOOKUP($B145,'Cronog. e Histog.'!$BZ:$BZ,'Cronog. e Histog.'!CG:CG),"")</f>
        <v>0</v>
      </c>
      <c r="M145" s="144">
        <f>IFERROR(_xlfn.XLOOKUP($B145,'Cronog. e Histog.'!$BZ:$BZ,'Cronog. e Histog.'!CH:CH),"")</f>
        <v>0</v>
      </c>
      <c r="N145" s="144">
        <f>IFERROR(_xlfn.XLOOKUP($B145,'Cronog. e Histog.'!$BZ:$BZ,'Cronog. e Histog.'!CI:CI),"")</f>
        <v>0</v>
      </c>
      <c r="O145" s="144">
        <f>IFERROR(_xlfn.XLOOKUP($B145,'Cronog. e Histog.'!$BZ:$BZ,'Cronog. e Histog.'!CJ:CJ),"")</f>
        <v>0</v>
      </c>
      <c r="P145" s="144">
        <f>IFERROR(_xlfn.XLOOKUP($B145,'Cronog. e Histog.'!$BZ:$BZ,'Cronog. e Histog.'!CK:CK),"")</f>
        <v>0</v>
      </c>
      <c r="Q145" s="144">
        <f>IFERROR(_xlfn.XLOOKUP($B145,'Cronog. e Histog.'!$BZ:$BZ,'Cronog. e Histog.'!CL:CL),"")</f>
        <v>0</v>
      </c>
      <c r="R145" s="144">
        <f>IFERROR(_xlfn.XLOOKUP($B145,'Cronog. e Histog.'!$BZ:$BZ,'Cronog. e Histog.'!CM:CM),"")</f>
        <v>0</v>
      </c>
      <c r="S145" s="144">
        <f>IFERROR(_xlfn.XLOOKUP($B145,'Cronog. e Histog.'!$BZ:$BZ,'Cronog. e Histog.'!CN:CN),"")</f>
        <v>0</v>
      </c>
      <c r="T145" s="144">
        <f>IFERROR(_xlfn.XLOOKUP($B145,'Cronog. e Histog.'!$BZ:$BZ,'Cronog. e Histog.'!CO:CO),"")</f>
        <v>0</v>
      </c>
      <c r="U145" s="144">
        <f>IFERROR(_xlfn.XLOOKUP($B145,'Cronog. e Histog.'!$BZ:$BZ,'Cronog. e Histog.'!CP:CP),"")</f>
        <v>0</v>
      </c>
      <c r="V145" s="144">
        <f>IFERROR(_xlfn.XLOOKUP($B145,'Cronog. e Histog.'!$BZ:$BZ,'Cronog. e Histog.'!CQ:CQ),"")</f>
        <v>0</v>
      </c>
      <c r="W145" s="144">
        <f>IFERROR(_xlfn.XLOOKUP($B145,'Cronog. e Histog.'!$BZ:$BZ,'Cronog. e Histog.'!CR:CR),"")</f>
        <v>0</v>
      </c>
      <c r="X145" s="144">
        <f>IFERROR(_xlfn.XLOOKUP($B145,'Cronog. e Histog.'!$BZ:$BZ,'Cronog. e Histog.'!CS:CS),"")</f>
        <v>0</v>
      </c>
      <c r="Y145" s="144">
        <f>IFERROR(_xlfn.XLOOKUP($B145,'Cronog. e Histog.'!$BZ:$BZ,'Cronog. e Histog.'!CT:CT),"")</f>
        <v>0</v>
      </c>
      <c r="Z145" s="144">
        <f>IFERROR(_xlfn.XLOOKUP($B145,'Cronog. e Histog.'!$BZ:$BZ,'Cronog. e Histog.'!CU:CU),"")</f>
        <v>0</v>
      </c>
      <c r="AA145" s="144">
        <f>IFERROR(_xlfn.XLOOKUP($B145,'Cronog. e Histog.'!$BZ:$BZ,'Cronog. e Histog.'!CV:CV),"")</f>
        <v>0</v>
      </c>
      <c r="AB145" s="144">
        <f>IFERROR(_xlfn.XLOOKUP($B145,'Cronog. e Histog.'!$BZ:$BZ,'Cronog. e Histog.'!CW:CW),"")</f>
        <v>0</v>
      </c>
      <c r="AC145" s="144">
        <f>IFERROR(_xlfn.XLOOKUP($B145,'Cronog. e Histog.'!$BZ:$BZ,'Cronog. e Histog.'!CX:CX),"")</f>
        <v>0</v>
      </c>
      <c r="AD145" s="144">
        <f>IFERROR(_xlfn.XLOOKUP($B145,'Cronog. e Histog.'!$BZ:$BZ,'Cronog. e Histog.'!CY:CY),"")</f>
        <v>0</v>
      </c>
      <c r="AE145" s="144">
        <f>IFERROR(_xlfn.XLOOKUP($B145,'Cronog. e Histog.'!$BZ:$BZ,'Cronog. e Histog.'!CZ:CZ),"")</f>
        <v>0</v>
      </c>
      <c r="AF145" s="144">
        <f>IFERROR(_xlfn.XLOOKUP($B145,'Cronog. e Histog.'!$BZ:$BZ,'Cronog. e Histog.'!DA:DA),"")</f>
        <v>0</v>
      </c>
      <c r="AG145" s="144">
        <f>IFERROR(_xlfn.XLOOKUP($B145,'Cronog. e Histog.'!$BZ:$BZ,'Cronog. e Histog.'!DB:DB),"")</f>
        <v>0</v>
      </c>
      <c r="AH145" s="144">
        <f>IFERROR(_xlfn.XLOOKUP($B145,'Cronog. e Histog.'!$BZ:$BZ,'Cronog. e Histog.'!DC:DC),"")</f>
        <v>0</v>
      </c>
      <c r="AI145" s="144">
        <f>IFERROR(_xlfn.XLOOKUP($B145,'Cronog. e Histog.'!$BZ:$BZ,'Cronog. e Histog.'!DD:DD),"")</f>
        <v>0</v>
      </c>
      <c r="AJ145" s="144">
        <f>IFERROR(_xlfn.XLOOKUP($B145,'Cronog. e Histog.'!$BZ:$BZ,'Cronog. e Histog.'!DE:DE),"")</f>
        <v>0</v>
      </c>
      <c r="AK145" s="144">
        <f>IFERROR(_xlfn.XLOOKUP($B145,'Cronog. e Histog.'!$BZ:$BZ,'Cronog. e Histog.'!DF:DF),"")</f>
        <v>0</v>
      </c>
      <c r="AL145" s="144">
        <f>IFERROR(_xlfn.XLOOKUP($B145,'Cronog. e Histog.'!$BZ:$BZ,'Cronog. e Histog.'!DG:DG),"")</f>
        <v>0</v>
      </c>
      <c r="AM145" s="144">
        <f>IFERROR(_xlfn.XLOOKUP($B145,'Cronog. e Histog.'!$BZ:$BZ,'Cronog. e Histog.'!DH:DH),"")</f>
        <v>0</v>
      </c>
      <c r="AN145" s="144">
        <f>IFERROR(_xlfn.XLOOKUP($B145,'Cronog. e Histog.'!$BZ:$BZ,'Cronog. e Histog.'!DI:DI),"")</f>
        <v>0</v>
      </c>
      <c r="AO145" s="144">
        <f>IFERROR(_xlfn.XLOOKUP($B145,'Cronog. e Histog.'!$BZ:$BZ,'Cronog. e Histog.'!DJ:DJ),"")</f>
        <v>0</v>
      </c>
      <c r="AP145" s="144">
        <f>IFERROR(_xlfn.XLOOKUP($B145,'Cronog. e Histog.'!$BZ:$BZ,'Cronog. e Histog.'!DK:DK),"")</f>
        <v>0</v>
      </c>
      <c r="AQ145" s="144">
        <f>IFERROR(_xlfn.XLOOKUP($B145,'Cronog. e Histog.'!$BZ:$BZ,'Cronog. e Histog.'!DL:DL),"")</f>
        <v>0</v>
      </c>
      <c r="AR145" s="144">
        <f>IFERROR(_xlfn.XLOOKUP($B145,'Cronog. e Histog.'!$BZ:$BZ,'Cronog. e Histog.'!DM:DM),"")</f>
        <v>0</v>
      </c>
      <c r="AS145" s="144">
        <f>IFERROR(_xlfn.XLOOKUP($B145,'Cronog. e Histog.'!$BZ:$BZ,'Cronog. e Histog.'!DN:DN),"")</f>
        <v>0</v>
      </c>
      <c r="AT145" s="144">
        <f>IFERROR(_xlfn.XLOOKUP($B145,'Cronog. e Histog.'!$BZ:$BZ,'Cronog. e Histog.'!DO:DO),"")</f>
        <v>0</v>
      </c>
      <c r="AU145" s="144">
        <f>IFERROR(_xlfn.XLOOKUP($B145,'Cronog. e Histog.'!$BZ:$BZ,'Cronog. e Histog.'!DP:DP),"")</f>
        <v>0</v>
      </c>
      <c r="AV145" s="144">
        <f>IFERROR(_xlfn.XLOOKUP($B145,'Cronog. e Histog.'!$BZ:$BZ,'Cronog. e Histog.'!DQ:DQ),"")</f>
        <v>0</v>
      </c>
      <c r="AW145" s="144">
        <f>IFERROR(_xlfn.XLOOKUP($B145,'Cronog. e Histog.'!$BZ:$BZ,'Cronog. e Histog.'!DR:DR),"")</f>
        <v>0</v>
      </c>
      <c r="AX145" s="144">
        <f>IFERROR(_xlfn.XLOOKUP($B145,'Cronog. e Histog.'!$BZ:$BZ,'Cronog. e Histog.'!DS:DS),"")</f>
        <v>0</v>
      </c>
      <c r="AY145" s="144">
        <f>IFERROR(_xlfn.XLOOKUP($B145,'Cronog. e Histog.'!$BZ:$BZ,'Cronog. e Histog.'!DT:DT),"")</f>
        <v>0</v>
      </c>
      <c r="AZ145" s="144">
        <f>IFERROR(_xlfn.XLOOKUP($B145,'Cronog. e Histog.'!$BZ:$BZ,'Cronog. e Histog.'!DU:DU),"")</f>
        <v>0</v>
      </c>
      <c r="BA145" s="144">
        <f>IFERROR(_xlfn.XLOOKUP($B145,'Cronog. e Histog.'!$BZ:$BZ,'Cronog. e Histog.'!DV:DV),"")</f>
        <v>0</v>
      </c>
      <c r="BB145" s="144">
        <f>IFERROR(_xlfn.XLOOKUP($B145,'Cronog. e Histog.'!$BZ:$BZ,'Cronog. e Histog.'!DW:DW),"")</f>
        <v>0</v>
      </c>
      <c r="BC145" s="144">
        <f>IFERROR(_xlfn.XLOOKUP($B145,'Cronog. e Histog.'!$BZ:$BZ,'Cronog. e Histog.'!DX:DX),"")</f>
        <v>0</v>
      </c>
      <c r="BD145" s="144">
        <f>IFERROR(_xlfn.XLOOKUP($B145,'Cronog. e Histog.'!$BZ:$BZ,'Cronog. e Histog.'!DY:DY),"")</f>
        <v>0</v>
      </c>
      <c r="BE145" s="144">
        <f>IFERROR(_xlfn.XLOOKUP($B145,'Cronog. e Histog.'!$BZ:$BZ,'Cronog. e Histog.'!DZ:DZ),"")</f>
        <v>0</v>
      </c>
      <c r="BF145" s="144">
        <f>IFERROR(_xlfn.XLOOKUP($B145,'Cronog. e Histog.'!$BZ:$BZ,'Cronog. e Histog.'!EA:EA),"")</f>
        <v>0</v>
      </c>
      <c r="BG145" s="144">
        <f>IFERROR(_xlfn.XLOOKUP($B145,'Cronog. e Histog.'!$BZ:$BZ,'Cronog. e Histog.'!EB:EB),"")</f>
        <v>0</v>
      </c>
      <c r="BH145" s="144">
        <f>IFERROR(_xlfn.XLOOKUP($B145,'Cronog. e Histog.'!$BZ:$BZ,'Cronog. e Histog.'!EC:EC),"")</f>
        <v>0</v>
      </c>
      <c r="BI145" s="144">
        <f>IFERROR(_xlfn.XLOOKUP($B145,'Cronog. e Histog.'!$BZ:$BZ,'Cronog. e Histog.'!ED:ED),"")</f>
        <v>0</v>
      </c>
      <c r="BJ145" s="144">
        <f>IFERROR(_xlfn.XLOOKUP($B145,'Cronog. e Histog.'!$BZ:$BZ,'Cronog. e Histog.'!EE:EE),"")</f>
        <v>0</v>
      </c>
      <c r="BK145" s="144">
        <f>IFERROR(_xlfn.XLOOKUP($B145,'Cronog. e Histog.'!$BZ:$BZ,'Cronog. e Histog.'!EF:EF),"")</f>
        <v>0</v>
      </c>
      <c r="BL145" s="144">
        <f>IFERROR(_xlfn.XLOOKUP($B145,'Cronog. e Histog.'!$BZ:$BZ,'Cronog. e Histog.'!EG:EG),"")</f>
        <v>0</v>
      </c>
      <c r="BM145" s="144">
        <f>IFERROR(_xlfn.XLOOKUP($B145,'Cronog. e Histog.'!$BZ:$BZ,'Cronog. e Histog.'!EH:EH),"")</f>
        <v>0</v>
      </c>
      <c r="BN145" s="144">
        <f>IFERROR(_xlfn.XLOOKUP($B145,'Cronog. e Histog.'!$BZ:$BZ,'Cronog. e Histog.'!EI:EI),"")</f>
        <v>0</v>
      </c>
    </row>
    <row r="146" spans="2:66" ht="12" hidden="1" customHeight="1" outlineLevel="1">
      <c r="B146" s="76">
        <v>140</v>
      </c>
      <c r="C146" s="143" t="str">
        <f>IFERROR(VLOOKUP(B146,'Cronog. e Histog.'!$BZ$213:$CA$747,2,0),"")</f>
        <v>EST_III</v>
      </c>
      <c r="D146" s="144">
        <f t="shared" si="4"/>
        <v>0</v>
      </c>
      <c r="E146" s="144">
        <f t="shared" si="5"/>
        <v>0</v>
      </c>
      <c r="F146" s="65"/>
      <c r="G146" s="144">
        <f>IFERROR(_xlfn.XLOOKUP($B146,'Cronog. e Histog.'!$BZ:$BZ,'Cronog. e Histog.'!CB:CB),"")</f>
        <v>0</v>
      </c>
      <c r="H146" s="144">
        <f>IFERROR(_xlfn.XLOOKUP($B146,'Cronog. e Histog.'!$BZ:$BZ,'Cronog. e Histog.'!CC:CC),"")</f>
        <v>0</v>
      </c>
      <c r="I146" s="144">
        <f>IFERROR(_xlfn.XLOOKUP($B146,'Cronog. e Histog.'!$BZ:$BZ,'Cronog. e Histog.'!CD:CD),"")</f>
        <v>0</v>
      </c>
      <c r="J146" s="144">
        <f>IFERROR(_xlfn.XLOOKUP($B146,'Cronog. e Histog.'!$BZ:$BZ,'Cronog. e Histog.'!CE:CE),"")</f>
        <v>0</v>
      </c>
      <c r="K146" s="144">
        <f>IFERROR(_xlfn.XLOOKUP($B146,'Cronog. e Histog.'!$BZ:$BZ,'Cronog. e Histog.'!CF:CF),"")</f>
        <v>0</v>
      </c>
      <c r="L146" s="144">
        <f>IFERROR(_xlfn.XLOOKUP($B146,'Cronog. e Histog.'!$BZ:$BZ,'Cronog. e Histog.'!CG:CG),"")</f>
        <v>0</v>
      </c>
      <c r="M146" s="144">
        <f>IFERROR(_xlfn.XLOOKUP($B146,'Cronog. e Histog.'!$BZ:$BZ,'Cronog. e Histog.'!CH:CH),"")</f>
        <v>0</v>
      </c>
      <c r="N146" s="144">
        <f>IFERROR(_xlfn.XLOOKUP($B146,'Cronog. e Histog.'!$BZ:$BZ,'Cronog. e Histog.'!CI:CI),"")</f>
        <v>0</v>
      </c>
      <c r="O146" s="144">
        <f>IFERROR(_xlfn.XLOOKUP($B146,'Cronog. e Histog.'!$BZ:$BZ,'Cronog. e Histog.'!CJ:CJ),"")</f>
        <v>0</v>
      </c>
      <c r="P146" s="144">
        <f>IFERROR(_xlfn.XLOOKUP($B146,'Cronog. e Histog.'!$BZ:$BZ,'Cronog. e Histog.'!CK:CK),"")</f>
        <v>0</v>
      </c>
      <c r="Q146" s="144">
        <f>IFERROR(_xlfn.XLOOKUP($B146,'Cronog. e Histog.'!$BZ:$BZ,'Cronog. e Histog.'!CL:CL),"")</f>
        <v>0</v>
      </c>
      <c r="R146" s="144">
        <f>IFERROR(_xlfn.XLOOKUP($B146,'Cronog. e Histog.'!$BZ:$BZ,'Cronog. e Histog.'!CM:CM),"")</f>
        <v>0</v>
      </c>
      <c r="S146" s="144">
        <f>IFERROR(_xlfn.XLOOKUP($B146,'Cronog. e Histog.'!$BZ:$BZ,'Cronog. e Histog.'!CN:CN),"")</f>
        <v>0</v>
      </c>
      <c r="T146" s="144">
        <f>IFERROR(_xlfn.XLOOKUP($B146,'Cronog. e Histog.'!$BZ:$BZ,'Cronog. e Histog.'!CO:CO),"")</f>
        <v>0</v>
      </c>
      <c r="U146" s="144">
        <f>IFERROR(_xlfn.XLOOKUP($B146,'Cronog. e Histog.'!$BZ:$BZ,'Cronog. e Histog.'!CP:CP),"")</f>
        <v>0</v>
      </c>
      <c r="V146" s="144">
        <f>IFERROR(_xlfn.XLOOKUP($B146,'Cronog. e Histog.'!$BZ:$BZ,'Cronog. e Histog.'!CQ:CQ),"")</f>
        <v>0</v>
      </c>
      <c r="W146" s="144">
        <f>IFERROR(_xlfn.XLOOKUP($B146,'Cronog. e Histog.'!$BZ:$BZ,'Cronog. e Histog.'!CR:CR),"")</f>
        <v>0</v>
      </c>
      <c r="X146" s="144">
        <f>IFERROR(_xlfn.XLOOKUP($B146,'Cronog. e Histog.'!$BZ:$BZ,'Cronog. e Histog.'!CS:CS),"")</f>
        <v>0</v>
      </c>
      <c r="Y146" s="144">
        <f>IFERROR(_xlfn.XLOOKUP($B146,'Cronog. e Histog.'!$BZ:$BZ,'Cronog. e Histog.'!CT:CT),"")</f>
        <v>0</v>
      </c>
      <c r="Z146" s="144">
        <f>IFERROR(_xlfn.XLOOKUP($B146,'Cronog. e Histog.'!$BZ:$BZ,'Cronog. e Histog.'!CU:CU),"")</f>
        <v>0</v>
      </c>
      <c r="AA146" s="144">
        <f>IFERROR(_xlfn.XLOOKUP($B146,'Cronog. e Histog.'!$BZ:$BZ,'Cronog. e Histog.'!CV:CV),"")</f>
        <v>0</v>
      </c>
      <c r="AB146" s="144">
        <f>IFERROR(_xlfn.XLOOKUP($B146,'Cronog. e Histog.'!$BZ:$BZ,'Cronog. e Histog.'!CW:CW),"")</f>
        <v>0</v>
      </c>
      <c r="AC146" s="144">
        <f>IFERROR(_xlfn.XLOOKUP($B146,'Cronog. e Histog.'!$BZ:$BZ,'Cronog. e Histog.'!CX:CX),"")</f>
        <v>0</v>
      </c>
      <c r="AD146" s="144">
        <f>IFERROR(_xlfn.XLOOKUP($B146,'Cronog. e Histog.'!$BZ:$BZ,'Cronog. e Histog.'!CY:CY),"")</f>
        <v>0</v>
      </c>
      <c r="AE146" s="144">
        <f>IFERROR(_xlfn.XLOOKUP($B146,'Cronog. e Histog.'!$BZ:$BZ,'Cronog. e Histog.'!CZ:CZ),"")</f>
        <v>0</v>
      </c>
      <c r="AF146" s="144">
        <f>IFERROR(_xlfn.XLOOKUP($B146,'Cronog. e Histog.'!$BZ:$BZ,'Cronog. e Histog.'!DA:DA),"")</f>
        <v>0</v>
      </c>
      <c r="AG146" s="144">
        <f>IFERROR(_xlfn.XLOOKUP($B146,'Cronog. e Histog.'!$BZ:$BZ,'Cronog. e Histog.'!DB:DB),"")</f>
        <v>0</v>
      </c>
      <c r="AH146" s="144">
        <f>IFERROR(_xlfn.XLOOKUP($B146,'Cronog. e Histog.'!$BZ:$BZ,'Cronog. e Histog.'!DC:DC),"")</f>
        <v>0</v>
      </c>
      <c r="AI146" s="144">
        <f>IFERROR(_xlfn.XLOOKUP($B146,'Cronog. e Histog.'!$BZ:$BZ,'Cronog. e Histog.'!DD:DD),"")</f>
        <v>0</v>
      </c>
      <c r="AJ146" s="144">
        <f>IFERROR(_xlfn.XLOOKUP($B146,'Cronog. e Histog.'!$BZ:$BZ,'Cronog. e Histog.'!DE:DE),"")</f>
        <v>0</v>
      </c>
      <c r="AK146" s="144">
        <f>IFERROR(_xlfn.XLOOKUP($B146,'Cronog. e Histog.'!$BZ:$BZ,'Cronog. e Histog.'!DF:DF),"")</f>
        <v>0</v>
      </c>
      <c r="AL146" s="144">
        <f>IFERROR(_xlfn.XLOOKUP($B146,'Cronog. e Histog.'!$BZ:$BZ,'Cronog. e Histog.'!DG:DG),"")</f>
        <v>0</v>
      </c>
      <c r="AM146" s="144">
        <f>IFERROR(_xlfn.XLOOKUP($B146,'Cronog. e Histog.'!$BZ:$BZ,'Cronog. e Histog.'!DH:DH),"")</f>
        <v>0</v>
      </c>
      <c r="AN146" s="144">
        <f>IFERROR(_xlfn.XLOOKUP($B146,'Cronog. e Histog.'!$BZ:$BZ,'Cronog. e Histog.'!DI:DI),"")</f>
        <v>0</v>
      </c>
      <c r="AO146" s="144">
        <f>IFERROR(_xlfn.XLOOKUP($B146,'Cronog. e Histog.'!$BZ:$BZ,'Cronog. e Histog.'!DJ:DJ),"")</f>
        <v>0</v>
      </c>
      <c r="AP146" s="144">
        <f>IFERROR(_xlfn.XLOOKUP($B146,'Cronog. e Histog.'!$BZ:$BZ,'Cronog. e Histog.'!DK:DK),"")</f>
        <v>0</v>
      </c>
      <c r="AQ146" s="144">
        <f>IFERROR(_xlfn.XLOOKUP($B146,'Cronog. e Histog.'!$BZ:$BZ,'Cronog. e Histog.'!DL:DL),"")</f>
        <v>0</v>
      </c>
      <c r="AR146" s="144">
        <f>IFERROR(_xlfn.XLOOKUP($B146,'Cronog. e Histog.'!$BZ:$BZ,'Cronog. e Histog.'!DM:DM),"")</f>
        <v>0</v>
      </c>
      <c r="AS146" s="144">
        <f>IFERROR(_xlfn.XLOOKUP($B146,'Cronog. e Histog.'!$BZ:$BZ,'Cronog. e Histog.'!DN:DN),"")</f>
        <v>0</v>
      </c>
      <c r="AT146" s="144">
        <f>IFERROR(_xlfn.XLOOKUP($B146,'Cronog. e Histog.'!$BZ:$BZ,'Cronog. e Histog.'!DO:DO),"")</f>
        <v>0</v>
      </c>
      <c r="AU146" s="144">
        <f>IFERROR(_xlfn.XLOOKUP($B146,'Cronog. e Histog.'!$BZ:$BZ,'Cronog. e Histog.'!DP:DP),"")</f>
        <v>0</v>
      </c>
      <c r="AV146" s="144">
        <f>IFERROR(_xlfn.XLOOKUP($B146,'Cronog. e Histog.'!$BZ:$BZ,'Cronog. e Histog.'!DQ:DQ),"")</f>
        <v>0</v>
      </c>
      <c r="AW146" s="144">
        <f>IFERROR(_xlfn.XLOOKUP($B146,'Cronog. e Histog.'!$BZ:$BZ,'Cronog. e Histog.'!DR:DR),"")</f>
        <v>0</v>
      </c>
      <c r="AX146" s="144">
        <f>IFERROR(_xlfn.XLOOKUP($B146,'Cronog. e Histog.'!$BZ:$BZ,'Cronog. e Histog.'!DS:DS),"")</f>
        <v>0</v>
      </c>
      <c r="AY146" s="144">
        <f>IFERROR(_xlfn.XLOOKUP($B146,'Cronog. e Histog.'!$BZ:$BZ,'Cronog. e Histog.'!DT:DT),"")</f>
        <v>0</v>
      </c>
      <c r="AZ146" s="144">
        <f>IFERROR(_xlfn.XLOOKUP($B146,'Cronog. e Histog.'!$BZ:$BZ,'Cronog. e Histog.'!DU:DU),"")</f>
        <v>0</v>
      </c>
      <c r="BA146" s="144">
        <f>IFERROR(_xlfn.XLOOKUP($B146,'Cronog. e Histog.'!$BZ:$BZ,'Cronog. e Histog.'!DV:DV),"")</f>
        <v>0</v>
      </c>
      <c r="BB146" s="144">
        <f>IFERROR(_xlfn.XLOOKUP($B146,'Cronog. e Histog.'!$BZ:$BZ,'Cronog. e Histog.'!DW:DW),"")</f>
        <v>0</v>
      </c>
      <c r="BC146" s="144">
        <f>IFERROR(_xlfn.XLOOKUP($B146,'Cronog. e Histog.'!$BZ:$BZ,'Cronog. e Histog.'!DX:DX),"")</f>
        <v>0</v>
      </c>
      <c r="BD146" s="144">
        <f>IFERROR(_xlfn.XLOOKUP($B146,'Cronog. e Histog.'!$BZ:$BZ,'Cronog. e Histog.'!DY:DY),"")</f>
        <v>0</v>
      </c>
      <c r="BE146" s="144">
        <f>IFERROR(_xlfn.XLOOKUP($B146,'Cronog. e Histog.'!$BZ:$BZ,'Cronog. e Histog.'!DZ:DZ),"")</f>
        <v>0</v>
      </c>
      <c r="BF146" s="144">
        <f>IFERROR(_xlfn.XLOOKUP($B146,'Cronog. e Histog.'!$BZ:$BZ,'Cronog. e Histog.'!EA:EA),"")</f>
        <v>0</v>
      </c>
      <c r="BG146" s="144">
        <f>IFERROR(_xlfn.XLOOKUP($B146,'Cronog. e Histog.'!$BZ:$BZ,'Cronog. e Histog.'!EB:EB),"")</f>
        <v>0</v>
      </c>
      <c r="BH146" s="144">
        <f>IFERROR(_xlfn.XLOOKUP($B146,'Cronog. e Histog.'!$BZ:$BZ,'Cronog. e Histog.'!EC:EC),"")</f>
        <v>0</v>
      </c>
      <c r="BI146" s="144">
        <f>IFERROR(_xlfn.XLOOKUP($B146,'Cronog. e Histog.'!$BZ:$BZ,'Cronog. e Histog.'!ED:ED),"")</f>
        <v>0</v>
      </c>
      <c r="BJ146" s="144">
        <f>IFERROR(_xlfn.XLOOKUP($B146,'Cronog. e Histog.'!$BZ:$BZ,'Cronog. e Histog.'!EE:EE),"")</f>
        <v>0</v>
      </c>
      <c r="BK146" s="144">
        <f>IFERROR(_xlfn.XLOOKUP($B146,'Cronog. e Histog.'!$BZ:$BZ,'Cronog. e Histog.'!EF:EF),"")</f>
        <v>0</v>
      </c>
      <c r="BL146" s="144">
        <f>IFERROR(_xlfn.XLOOKUP($B146,'Cronog. e Histog.'!$BZ:$BZ,'Cronog. e Histog.'!EG:EG),"")</f>
        <v>0</v>
      </c>
      <c r="BM146" s="144">
        <f>IFERROR(_xlfn.XLOOKUP($B146,'Cronog. e Histog.'!$BZ:$BZ,'Cronog. e Histog.'!EH:EH),"")</f>
        <v>0</v>
      </c>
      <c r="BN146" s="144">
        <f>IFERROR(_xlfn.XLOOKUP($B146,'Cronog. e Histog.'!$BZ:$BZ,'Cronog. e Histog.'!EI:EI),"")</f>
        <v>0</v>
      </c>
    </row>
    <row r="147" spans="2:66" ht="12" hidden="1" customHeight="1" outlineLevel="1">
      <c r="B147" s="76">
        <v>141</v>
      </c>
      <c r="C147" s="143" t="str">
        <f>IFERROR(VLOOKUP(B147,'Cronog. e Histog.'!$BZ$213:$CA$747,2,0),"")</f>
        <v>GER. (OBRA/PROJ)</v>
      </c>
      <c r="D147" s="144">
        <f t="shared" si="4"/>
        <v>0</v>
      </c>
      <c r="E147" s="144">
        <f t="shared" si="5"/>
        <v>0</v>
      </c>
      <c r="F147" s="65"/>
      <c r="G147" s="144">
        <f>IFERROR(_xlfn.XLOOKUP($B147,'Cronog. e Histog.'!$BZ:$BZ,'Cronog. e Histog.'!CB:CB),"")</f>
        <v>0</v>
      </c>
      <c r="H147" s="144">
        <f>IFERROR(_xlfn.XLOOKUP($B147,'Cronog. e Histog.'!$BZ:$BZ,'Cronog. e Histog.'!CC:CC),"")</f>
        <v>0</v>
      </c>
      <c r="I147" s="144">
        <f>IFERROR(_xlfn.XLOOKUP($B147,'Cronog. e Histog.'!$BZ:$BZ,'Cronog. e Histog.'!CD:CD),"")</f>
        <v>0</v>
      </c>
      <c r="J147" s="144">
        <f>IFERROR(_xlfn.XLOOKUP($B147,'Cronog. e Histog.'!$BZ:$BZ,'Cronog. e Histog.'!CE:CE),"")</f>
        <v>0</v>
      </c>
      <c r="K147" s="144">
        <f>IFERROR(_xlfn.XLOOKUP($B147,'Cronog. e Histog.'!$BZ:$BZ,'Cronog. e Histog.'!CF:CF),"")</f>
        <v>0</v>
      </c>
      <c r="L147" s="144">
        <f>IFERROR(_xlfn.XLOOKUP($B147,'Cronog. e Histog.'!$BZ:$BZ,'Cronog. e Histog.'!CG:CG),"")</f>
        <v>0</v>
      </c>
      <c r="M147" s="144">
        <f>IFERROR(_xlfn.XLOOKUP($B147,'Cronog. e Histog.'!$BZ:$BZ,'Cronog. e Histog.'!CH:CH),"")</f>
        <v>0</v>
      </c>
      <c r="N147" s="144">
        <f>IFERROR(_xlfn.XLOOKUP($B147,'Cronog. e Histog.'!$BZ:$BZ,'Cronog. e Histog.'!CI:CI),"")</f>
        <v>0</v>
      </c>
      <c r="O147" s="144">
        <f>IFERROR(_xlfn.XLOOKUP($B147,'Cronog. e Histog.'!$BZ:$BZ,'Cronog. e Histog.'!CJ:CJ),"")</f>
        <v>0</v>
      </c>
      <c r="P147" s="144">
        <f>IFERROR(_xlfn.XLOOKUP($B147,'Cronog. e Histog.'!$BZ:$BZ,'Cronog. e Histog.'!CK:CK),"")</f>
        <v>0</v>
      </c>
      <c r="Q147" s="144">
        <f>IFERROR(_xlfn.XLOOKUP($B147,'Cronog. e Histog.'!$BZ:$BZ,'Cronog. e Histog.'!CL:CL),"")</f>
        <v>0</v>
      </c>
      <c r="R147" s="144">
        <f>IFERROR(_xlfn.XLOOKUP($B147,'Cronog. e Histog.'!$BZ:$BZ,'Cronog. e Histog.'!CM:CM),"")</f>
        <v>0</v>
      </c>
      <c r="S147" s="144">
        <f>IFERROR(_xlfn.XLOOKUP($B147,'Cronog. e Histog.'!$BZ:$BZ,'Cronog. e Histog.'!CN:CN),"")</f>
        <v>0</v>
      </c>
      <c r="T147" s="144">
        <f>IFERROR(_xlfn.XLOOKUP($B147,'Cronog. e Histog.'!$BZ:$BZ,'Cronog. e Histog.'!CO:CO),"")</f>
        <v>0</v>
      </c>
      <c r="U147" s="144">
        <f>IFERROR(_xlfn.XLOOKUP($B147,'Cronog. e Histog.'!$BZ:$BZ,'Cronog. e Histog.'!CP:CP),"")</f>
        <v>0</v>
      </c>
      <c r="V147" s="144">
        <f>IFERROR(_xlfn.XLOOKUP($B147,'Cronog. e Histog.'!$BZ:$BZ,'Cronog. e Histog.'!CQ:CQ),"")</f>
        <v>0</v>
      </c>
      <c r="W147" s="144">
        <f>IFERROR(_xlfn.XLOOKUP($B147,'Cronog. e Histog.'!$BZ:$BZ,'Cronog. e Histog.'!CR:CR),"")</f>
        <v>0</v>
      </c>
      <c r="X147" s="144">
        <f>IFERROR(_xlfn.XLOOKUP($B147,'Cronog. e Histog.'!$BZ:$BZ,'Cronog. e Histog.'!CS:CS),"")</f>
        <v>0</v>
      </c>
      <c r="Y147" s="144">
        <f>IFERROR(_xlfn.XLOOKUP($B147,'Cronog. e Histog.'!$BZ:$BZ,'Cronog. e Histog.'!CT:CT),"")</f>
        <v>0</v>
      </c>
      <c r="Z147" s="144">
        <f>IFERROR(_xlfn.XLOOKUP($B147,'Cronog. e Histog.'!$BZ:$BZ,'Cronog. e Histog.'!CU:CU),"")</f>
        <v>0</v>
      </c>
      <c r="AA147" s="144">
        <f>IFERROR(_xlfn.XLOOKUP($B147,'Cronog. e Histog.'!$BZ:$BZ,'Cronog. e Histog.'!CV:CV),"")</f>
        <v>0</v>
      </c>
      <c r="AB147" s="144">
        <f>IFERROR(_xlfn.XLOOKUP($B147,'Cronog. e Histog.'!$BZ:$BZ,'Cronog. e Histog.'!CW:CW),"")</f>
        <v>0</v>
      </c>
      <c r="AC147" s="144">
        <f>IFERROR(_xlfn.XLOOKUP($B147,'Cronog. e Histog.'!$BZ:$BZ,'Cronog. e Histog.'!CX:CX),"")</f>
        <v>0</v>
      </c>
      <c r="AD147" s="144">
        <f>IFERROR(_xlfn.XLOOKUP($B147,'Cronog. e Histog.'!$BZ:$BZ,'Cronog. e Histog.'!CY:CY),"")</f>
        <v>0</v>
      </c>
      <c r="AE147" s="144">
        <f>IFERROR(_xlfn.XLOOKUP($B147,'Cronog. e Histog.'!$BZ:$BZ,'Cronog. e Histog.'!CZ:CZ),"")</f>
        <v>0</v>
      </c>
      <c r="AF147" s="144">
        <f>IFERROR(_xlfn.XLOOKUP($B147,'Cronog. e Histog.'!$BZ:$BZ,'Cronog. e Histog.'!DA:DA),"")</f>
        <v>0</v>
      </c>
      <c r="AG147" s="144">
        <f>IFERROR(_xlfn.XLOOKUP($B147,'Cronog. e Histog.'!$BZ:$BZ,'Cronog. e Histog.'!DB:DB),"")</f>
        <v>0</v>
      </c>
      <c r="AH147" s="144">
        <f>IFERROR(_xlfn.XLOOKUP($B147,'Cronog. e Histog.'!$BZ:$BZ,'Cronog. e Histog.'!DC:DC),"")</f>
        <v>0</v>
      </c>
      <c r="AI147" s="144">
        <f>IFERROR(_xlfn.XLOOKUP($B147,'Cronog. e Histog.'!$BZ:$BZ,'Cronog. e Histog.'!DD:DD),"")</f>
        <v>0</v>
      </c>
      <c r="AJ147" s="144">
        <f>IFERROR(_xlfn.XLOOKUP($B147,'Cronog. e Histog.'!$BZ:$BZ,'Cronog. e Histog.'!DE:DE),"")</f>
        <v>0</v>
      </c>
      <c r="AK147" s="144">
        <f>IFERROR(_xlfn.XLOOKUP($B147,'Cronog. e Histog.'!$BZ:$BZ,'Cronog. e Histog.'!DF:DF),"")</f>
        <v>0</v>
      </c>
      <c r="AL147" s="144">
        <f>IFERROR(_xlfn.XLOOKUP($B147,'Cronog. e Histog.'!$BZ:$BZ,'Cronog. e Histog.'!DG:DG),"")</f>
        <v>0</v>
      </c>
      <c r="AM147" s="144">
        <f>IFERROR(_xlfn.XLOOKUP($B147,'Cronog. e Histog.'!$BZ:$BZ,'Cronog. e Histog.'!DH:DH),"")</f>
        <v>0</v>
      </c>
      <c r="AN147" s="144">
        <f>IFERROR(_xlfn.XLOOKUP($B147,'Cronog. e Histog.'!$BZ:$BZ,'Cronog. e Histog.'!DI:DI),"")</f>
        <v>0</v>
      </c>
      <c r="AO147" s="144">
        <f>IFERROR(_xlfn.XLOOKUP($B147,'Cronog. e Histog.'!$BZ:$BZ,'Cronog. e Histog.'!DJ:DJ),"")</f>
        <v>0</v>
      </c>
      <c r="AP147" s="144">
        <f>IFERROR(_xlfn.XLOOKUP($B147,'Cronog. e Histog.'!$BZ:$BZ,'Cronog. e Histog.'!DK:DK),"")</f>
        <v>0</v>
      </c>
      <c r="AQ147" s="144">
        <f>IFERROR(_xlfn.XLOOKUP($B147,'Cronog. e Histog.'!$BZ:$BZ,'Cronog. e Histog.'!DL:DL),"")</f>
        <v>0</v>
      </c>
      <c r="AR147" s="144">
        <f>IFERROR(_xlfn.XLOOKUP($B147,'Cronog. e Histog.'!$BZ:$BZ,'Cronog. e Histog.'!DM:DM),"")</f>
        <v>0</v>
      </c>
      <c r="AS147" s="144">
        <f>IFERROR(_xlfn.XLOOKUP($B147,'Cronog. e Histog.'!$BZ:$BZ,'Cronog. e Histog.'!DN:DN),"")</f>
        <v>0</v>
      </c>
      <c r="AT147" s="144">
        <f>IFERROR(_xlfn.XLOOKUP($B147,'Cronog. e Histog.'!$BZ:$BZ,'Cronog. e Histog.'!DO:DO),"")</f>
        <v>0</v>
      </c>
      <c r="AU147" s="144">
        <f>IFERROR(_xlfn.XLOOKUP($B147,'Cronog. e Histog.'!$BZ:$BZ,'Cronog. e Histog.'!DP:DP),"")</f>
        <v>0</v>
      </c>
      <c r="AV147" s="144">
        <f>IFERROR(_xlfn.XLOOKUP($B147,'Cronog. e Histog.'!$BZ:$BZ,'Cronog. e Histog.'!DQ:DQ),"")</f>
        <v>0</v>
      </c>
      <c r="AW147" s="144">
        <f>IFERROR(_xlfn.XLOOKUP($B147,'Cronog. e Histog.'!$BZ:$BZ,'Cronog. e Histog.'!DR:DR),"")</f>
        <v>0</v>
      </c>
      <c r="AX147" s="144">
        <f>IFERROR(_xlfn.XLOOKUP($B147,'Cronog. e Histog.'!$BZ:$BZ,'Cronog. e Histog.'!DS:DS),"")</f>
        <v>0</v>
      </c>
      <c r="AY147" s="144">
        <f>IFERROR(_xlfn.XLOOKUP($B147,'Cronog. e Histog.'!$BZ:$BZ,'Cronog. e Histog.'!DT:DT),"")</f>
        <v>0</v>
      </c>
      <c r="AZ147" s="144">
        <f>IFERROR(_xlfn.XLOOKUP($B147,'Cronog. e Histog.'!$BZ:$BZ,'Cronog. e Histog.'!DU:DU),"")</f>
        <v>0</v>
      </c>
      <c r="BA147" s="144">
        <f>IFERROR(_xlfn.XLOOKUP($B147,'Cronog. e Histog.'!$BZ:$BZ,'Cronog. e Histog.'!DV:DV),"")</f>
        <v>0</v>
      </c>
      <c r="BB147" s="144">
        <f>IFERROR(_xlfn.XLOOKUP($B147,'Cronog. e Histog.'!$BZ:$BZ,'Cronog. e Histog.'!DW:DW),"")</f>
        <v>0</v>
      </c>
      <c r="BC147" s="144">
        <f>IFERROR(_xlfn.XLOOKUP($B147,'Cronog. e Histog.'!$BZ:$BZ,'Cronog. e Histog.'!DX:DX),"")</f>
        <v>0</v>
      </c>
      <c r="BD147" s="144">
        <f>IFERROR(_xlfn.XLOOKUP($B147,'Cronog. e Histog.'!$BZ:$BZ,'Cronog. e Histog.'!DY:DY),"")</f>
        <v>0</v>
      </c>
      <c r="BE147" s="144">
        <f>IFERROR(_xlfn.XLOOKUP($B147,'Cronog. e Histog.'!$BZ:$BZ,'Cronog. e Histog.'!DZ:DZ),"")</f>
        <v>0</v>
      </c>
      <c r="BF147" s="144">
        <f>IFERROR(_xlfn.XLOOKUP($B147,'Cronog. e Histog.'!$BZ:$BZ,'Cronog. e Histog.'!EA:EA),"")</f>
        <v>0</v>
      </c>
      <c r="BG147" s="144">
        <f>IFERROR(_xlfn.XLOOKUP($B147,'Cronog. e Histog.'!$BZ:$BZ,'Cronog. e Histog.'!EB:EB),"")</f>
        <v>0</v>
      </c>
      <c r="BH147" s="144">
        <f>IFERROR(_xlfn.XLOOKUP($B147,'Cronog. e Histog.'!$BZ:$BZ,'Cronog. e Histog.'!EC:EC),"")</f>
        <v>0</v>
      </c>
      <c r="BI147" s="144">
        <f>IFERROR(_xlfn.XLOOKUP($B147,'Cronog. e Histog.'!$BZ:$BZ,'Cronog. e Histog.'!ED:ED),"")</f>
        <v>0</v>
      </c>
      <c r="BJ147" s="144">
        <f>IFERROR(_xlfn.XLOOKUP($B147,'Cronog. e Histog.'!$BZ:$BZ,'Cronog. e Histog.'!EE:EE),"")</f>
        <v>0</v>
      </c>
      <c r="BK147" s="144">
        <f>IFERROR(_xlfn.XLOOKUP($B147,'Cronog. e Histog.'!$BZ:$BZ,'Cronog. e Histog.'!EF:EF),"")</f>
        <v>0</v>
      </c>
      <c r="BL147" s="144">
        <f>IFERROR(_xlfn.XLOOKUP($B147,'Cronog. e Histog.'!$BZ:$BZ,'Cronog. e Histog.'!EG:EG),"")</f>
        <v>0</v>
      </c>
      <c r="BM147" s="144">
        <f>IFERROR(_xlfn.XLOOKUP($B147,'Cronog. e Histog.'!$BZ:$BZ,'Cronog. e Histog.'!EH:EH),"")</f>
        <v>0</v>
      </c>
      <c r="BN147" s="144">
        <f>IFERROR(_xlfn.XLOOKUP($B147,'Cronog. e Histog.'!$BZ:$BZ,'Cronog. e Histog.'!EI:EI),"")</f>
        <v>0</v>
      </c>
    </row>
    <row r="148" spans="2:66" ht="12" hidden="1" customHeight="1" outlineLevel="1">
      <c r="B148" s="76">
        <v>142</v>
      </c>
      <c r="C148" s="143" t="str">
        <f>IFERROR(VLOOKUP(B148,'Cronog. e Histog.'!$BZ$213:$CA$747,2,0),"")</f>
        <v>COORD.</v>
      </c>
      <c r="D148" s="144">
        <f t="shared" si="4"/>
        <v>0</v>
      </c>
      <c r="E148" s="144">
        <f t="shared" si="5"/>
        <v>0</v>
      </c>
      <c r="F148" s="65"/>
      <c r="G148" s="144">
        <f>IFERROR(_xlfn.XLOOKUP($B148,'Cronog. e Histog.'!$BZ:$BZ,'Cronog. e Histog.'!CB:CB),"")</f>
        <v>0</v>
      </c>
      <c r="H148" s="144">
        <f>IFERROR(_xlfn.XLOOKUP($B148,'Cronog. e Histog.'!$BZ:$BZ,'Cronog. e Histog.'!CC:CC),"")</f>
        <v>0</v>
      </c>
      <c r="I148" s="144">
        <f>IFERROR(_xlfn.XLOOKUP($B148,'Cronog. e Histog.'!$BZ:$BZ,'Cronog. e Histog.'!CD:CD),"")</f>
        <v>0</v>
      </c>
      <c r="J148" s="144">
        <f>IFERROR(_xlfn.XLOOKUP($B148,'Cronog. e Histog.'!$BZ:$BZ,'Cronog. e Histog.'!CE:CE),"")</f>
        <v>0</v>
      </c>
      <c r="K148" s="144">
        <f>IFERROR(_xlfn.XLOOKUP($B148,'Cronog. e Histog.'!$BZ:$BZ,'Cronog. e Histog.'!CF:CF),"")</f>
        <v>0</v>
      </c>
      <c r="L148" s="144">
        <f>IFERROR(_xlfn.XLOOKUP($B148,'Cronog. e Histog.'!$BZ:$BZ,'Cronog. e Histog.'!CG:CG),"")</f>
        <v>0</v>
      </c>
      <c r="M148" s="144">
        <f>IFERROR(_xlfn.XLOOKUP($B148,'Cronog. e Histog.'!$BZ:$BZ,'Cronog. e Histog.'!CH:CH),"")</f>
        <v>0</v>
      </c>
      <c r="N148" s="144">
        <f>IFERROR(_xlfn.XLOOKUP($B148,'Cronog. e Histog.'!$BZ:$BZ,'Cronog. e Histog.'!CI:CI),"")</f>
        <v>0</v>
      </c>
      <c r="O148" s="144">
        <f>IFERROR(_xlfn.XLOOKUP($B148,'Cronog. e Histog.'!$BZ:$BZ,'Cronog. e Histog.'!CJ:CJ),"")</f>
        <v>0</v>
      </c>
      <c r="P148" s="144">
        <f>IFERROR(_xlfn.XLOOKUP($B148,'Cronog. e Histog.'!$BZ:$BZ,'Cronog. e Histog.'!CK:CK),"")</f>
        <v>0</v>
      </c>
      <c r="Q148" s="144">
        <f>IFERROR(_xlfn.XLOOKUP($B148,'Cronog. e Histog.'!$BZ:$BZ,'Cronog. e Histog.'!CL:CL),"")</f>
        <v>0</v>
      </c>
      <c r="R148" s="144">
        <f>IFERROR(_xlfn.XLOOKUP($B148,'Cronog. e Histog.'!$BZ:$BZ,'Cronog. e Histog.'!CM:CM),"")</f>
        <v>0</v>
      </c>
      <c r="S148" s="144">
        <f>IFERROR(_xlfn.XLOOKUP($B148,'Cronog. e Histog.'!$BZ:$BZ,'Cronog. e Histog.'!CN:CN),"")</f>
        <v>0</v>
      </c>
      <c r="T148" s="144">
        <f>IFERROR(_xlfn.XLOOKUP($B148,'Cronog. e Histog.'!$BZ:$BZ,'Cronog. e Histog.'!CO:CO),"")</f>
        <v>0</v>
      </c>
      <c r="U148" s="144">
        <f>IFERROR(_xlfn.XLOOKUP($B148,'Cronog. e Histog.'!$BZ:$BZ,'Cronog. e Histog.'!CP:CP),"")</f>
        <v>0</v>
      </c>
      <c r="V148" s="144">
        <f>IFERROR(_xlfn.XLOOKUP($B148,'Cronog. e Histog.'!$BZ:$BZ,'Cronog. e Histog.'!CQ:CQ),"")</f>
        <v>0</v>
      </c>
      <c r="W148" s="144">
        <f>IFERROR(_xlfn.XLOOKUP($B148,'Cronog. e Histog.'!$BZ:$BZ,'Cronog. e Histog.'!CR:CR),"")</f>
        <v>0</v>
      </c>
      <c r="X148" s="144">
        <f>IFERROR(_xlfn.XLOOKUP($B148,'Cronog. e Histog.'!$BZ:$BZ,'Cronog. e Histog.'!CS:CS),"")</f>
        <v>0</v>
      </c>
      <c r="Y148" s="144">
        <f>IFERROR(_xlfn.XLOOKUP($B148,'Cronog. e Histog.'!$BZ:$BZ,'Cronog. e Histog.'!CT:CT),"")</f>
        <v>0</v>
      </c>
      <c r="Z148" s="144">
        <f>IFERROR(_xlfn.XLOOKUP($B148,'Cronog. e Histog.'!$BZ:$BZ,'Cronog. e Histog.'!CU:CU),"")</f>
        <v>0</v>
      </c>
      <c r="AA148" s="144">
        <f>IFERROR(_xlfn.XLOOKUP($B148,'Cronog. e Histog.'!$BZ:$BZ,'Cronog. e Histog.'!CV:CV),"")</f>
        <v>0</v>
      </c>
      <c r="AB148" s="144">
        <f>IFERROR(_xlfn.XLOOKUP($B148,'Cronog. e Histog.'!$BZ:$BZ,'Cronog. e Histog.'!CW:CW),"")</f>
        <v>0</v>
      </c>
      <c r="AC148" s="144">
        <f>IFERROR(_xlfn.XLOOKUP($B148,'Cronog. e Histog.'!$BZ:$BZ,'Cronog. e Histog.'!CX:CX),"")</f>
        <v>0</v>
      </c>
      <c r="AD148" s="144">
        <f>IFERROR(_xlfn.XLOOKUP($B148,'Cronog. e Histog.'!$BZ:$BZ,'Cronog. e Histog.'!CY:CY),"")</f>
        <v>0</v>
      </c>
      <c r="AE148" s="144">
        <f>IFERROR(_xlfn.XLOOKUP($B148,'Cronog. e Histog.'!$BZ:$BZ,'Cronog. e Histog.'!CZ:CZ),"")</f>
        <v>0</v>
      </c>
      <c r="AF148" s="144">
        <f>IFERROR(_xlfn.XLOOKUP($B148,'Cronog. e Histog.'!$BZ:$BZ,'Cronog. e Histog.'!DA:DA),"")</f>
        <v>0</v>
      </c>
      <c r="AG148" s="144">
        <f>IFERROR(_xlfn.XLOOKUP($B148,'Cronog. e Histog.'!$BZ:$BZ,'Cronog. e Histog.'!DB:DB),"")</f>
        <v>0</v>
      </c>
      <c r="AH148" s="144">
        <f>IFERROR(_xlfn.XLOOKUP($B148,'Cronog. e Histog.'!$BZ:$BZ,'Cronog. e Histog.'!DC:DC),"")</f>
        <v>0</v>
      </c>
      <c r="AI148" s="144">
        <f>IFERROR(_xlfn.XLOOKUP($B148,'Cronog. e Histog.'!$BZ:$BZ,'Cronog. e Histog.'!DD:DD),"")</f>
        <v>0</v>
      </c>
      <c r="AJ148" s="144">
        <f>IFERROR(_xlfn.XLOOKUP($B148,'Cronog. e Histog.'!$BZ:$BZ,'Cronog. e Histog.'!DE:DE),"")</f>
        <v>0</v>
      </c>
      <c r="AK148" s="144">
        <f>IFERROR(_xlfn.XLOOKUP($B148,'Cronog. e Histog.'!$BZ:$BZ,'Cronog. e Histog.'!DF:DF),"")</f>
        <v>0</v>
      </c>
      <c r="AL148" s="144">
        <f>IFERROR(_xlfn.XLOOKUP($B148,'Cronog. e Histog.'!$BZ:$BZ,'Cronog. e Histog.'!DG:DG),"")</f>
        <v>0</v>
      </c>
      <c r="AM148" s="144">
        <f>IFERROR(_xlfn.XLOOKUP($B148,'Cronog. e Histog.'!$BZ:$BZ,'Cronog. e Histog.'!DH:DH),"")</f>
        <v>0</v>
      </c>
      <c r="AN148" s="144">
        <f>IFERROR(_xlfn.XLOOKUP($B148,'Cronog. e Histog.'!$BZ:$BZ,'Cronog. e Histog.'!DI:DI),"")</f>
        <v>0</v>
      </c>
      <c r="AO148" s="144">
        <f>IFERROR(_xlfn.XLOOKUP($B148,'Cronog. e Histog.'!$BZ:$BZ,'Cronog. e Histog.'!DJ:DJ),"")</f>
        <v>0</v>
      </c>
      <c r="AP148" s="144">
        <f>IFERROR(_xlfn.XLOOKUP($B148,'Cronog. e Histog.'!$BZ:$BZ,'Cronog. e Histog.'!DK:DK),"")</f>
        <v>0</v>
      </c>
      <c r="AQ148" s="144">
        <f>IFERROR(_xlfn.XLOOKUP($B148,'Cronog. e Histog.'!$BZ:$BZ,'Cronog. e Histog.'!DL:DL),"")</f>
        <v>0</v>
      </c>
      <c r="AR148" s="144">
        <f>IFERROR(_xlfn.XLOOKUP($B148,'Cronog. e Histog.'!$BZ:$BZ,'Cronog. e Histog.'!DM:DM),"")</f>
        <v>0</v>
      </c>
      <c r="AS148" s="144">
        <f>IFERROR(_xlfn.XLOOKUP($B148,'Cronog. e Histog.'!$BZ:$BZ,'Cronog. e Histog.'!DN:DN),"")</f>
        <v>0</v>
      </c>
      <c r="AT148" s="144">
        <f>IFERROR(_xlfn.XLOOKUP($B148,'Cronog. e Histog.'!$BZ:$BZ,'Cronog. e Histog.'!DO:DO),"")</f>
        <v>0</v>
      </c>
      <c r="AU148" s="144">
        <f>IFERROR(_xlfn.XLOOKUP($B148,'Cronog. e Histog.'!$BZ:$BZ,'Cronog. e Histog.'!DP:DP),"")</f>
        <v>0</v>
      </c>
      <c r="AV148" s="144">
        <f>IFERROR(_xlfn.XLOOKUP($B148,'Cronog. e Histog.'!$BZ:$BZ,'Cronog. e Histog.'!DQ:DQ),"")</f>
        <v>0</v>
      </c>
      <c r="AW148" s="144">
        <f>IFERROR(_xlfn.XLOOKUP($B148,'Cronog. e Histog.'!$BZ:$BZ,'Cronog. e Histog.'!DR:DR),"")</f>
        <v>0</v>
      </c>
      <c r="AX148" s="144">
        <f>IFERROR(_xlfn.XLOOKUP($B148,'Cronog. e Histog.'!$BZ:$BZ,'Cronog. e Histog.'!DS:DS),"")</f>
        <v>0</v>
      </c>
      <c r="AY148" s="144">
        <f>IFERROR(_xlfn.XLOOKUP($B148,'Cronog. e Histog.'!$BZ:$BZ,'Cronog. e Histog.'!DT:DT),"")</f>
        <v>0</v>
      </c>
      <c r="AZ148" s="144">
        <f>IFERROR(_xlfn.XLOOKUP($B148,'Cronog. e Histog.'!$BZ:$BZ,'Cronog. e Histog.'!DU:DU),"")</f>
        <v>0</v>
      </c>
      <c r="BA148" s="144">
        <f>IFERROR(_xlfn.XLOOKUP($B148,'Cronog. e Histog.'!$BZ:$BZ,'Cronog. e Histog.'!DV:DV),"")</f>
        <v>0</v>
      </c>
      <c r="BB148" s="144">
        <f>IFERROR(_xlfn.XLOOKUP($B148,'Cronog. e Histog.'!$BZ:$BZ,'Cronog. e Histog.'!DW:DW),"")</f>
        <v>0</v>
      </c>
      <c r="BC148" s="144">
        <f>IFERROR(_xlfn.XLOOKUP($B148,'Cronog. e Histog.'!$BZ:$BZ,'Cronog. e Histog.'!DX:DX),"")</f>
        <v>0</v>
      </c>
      <c r="BD148" s="144">
        <f>IFERROR(_xlfn.XLOOKUP($B148,'Cronog. e Histog.'!$BZ:$BZ,'Cronog. e Histog.'!DY:DY),"")</f>
        <v>0</v>
      </c>
      <c r="BE148" s="144">
        <f>IFERROR(_xlfn.XLOOKUP($B148,'Cronog. e Histog.'!$BZ:$BZ,'Cronog. e Histog.'!DZ:DZ),"")</f>
        <v>0</v>
      </c>
      <c r="BF148" s="144">
        <f>IFERROR(_xlfn.XLOOKUP($B148,'Cronog. e Histog.'!$BZ:$BZ,'Cronog. e Histog.'!EA:EA),"")</f>
        <v>0</v>
      </c>
      <c r="BG148" s="144">
        <f>IFERROR(_xlfn.XLOOKUP($B148,'Cronog. e Histog.'!$BZ:$BZ,'Cronog. e Histog.'!EB:EB),"")</f>
        <v>0</v>
      </c>
      <c r="BH148" s="144">
        <f>IFERROR(_xlfn.XLOOKUP($B148,'Cronog. e Histog.'!$BZ:$BZ,'Cronog. e Histog.'!EC:EC),"")</f>
        <v>0</v>
      </c>
      <c r="BI148" s="144">
        <f>IFERROR(_xlfn.XLOOKUP($B148,'Cronog. e Histog.'!$BZ:$BZ,'Cronog. e Histog.'!ED:ED),"")</f>
        <v>0</v>
      </c>
      <c r="BJ148" s="144">
        <f>IFERROR(_xlfn.XLOOKUP($B148,'Cronog. e Histog.'!$BZ:$BZ,'Cronog. e Histog.'!EE:EE),"")</f>
        <v>0</v>
      </c>
      <c r="BK148" s="144">
        <f>IFERROR(_xlfn.XLOOKUP($B148,'Cronog. e Histog.'!$BZ:$BZ,'Cronog. e Histog.'!EF:EF),"")</f>
        <v>0</v>
      </c>
      <c r="BL148" s="144">
        <f>IFERROR(_xlfn.XLOOKUP($B148,'Cronog. e Histog.'!$BZ:$BZ,'Cronog. e Histog.'!EG:EG),"")</f>
        <v>0</v>
      </c>
      <c r="BM148" s="144">
        <f>IFERROR(_xlfn.XLOOKUP($B148,'Cronog. e Histog.'!$BZ:$BZ,'Cronog. e Histog.'!EH:EH),"")</f>
        <v>0</v>
      </c>
      <c r="BN148" s="144">
        <f>IFERROR(_xlfn.XLOOKUP($B148,'Cronog. e Histog.'!$BZ:$BZ,'Cronog. e Histog.'!EI:EI),"")</f>
        <v>0</v>
      </c>
    </row>
    <row r="149" spans="2:66" ht="12" hidden="1" customHeight="1" outlineLevel="1">
      <c r="B149" s="76">
        <v>143</v>
      </c>
      <c r="C149" s="143" t="str">
        <f>IFERROR(VLOOKUP(B149,'Cronog. e Histog.'!$BZ$213:$CA$747,2,0),"")</f>
        <v>SUP.-ESP</v>
      </c>
      <c r="D149" s="144">
        <f t="shared" si="4"/>
        <v>0</v>
      </c>
      <c r="E149" s="144">
        <f t="shared" si="5"/>
        <v>0</v>
      </c>
      <c r="F149" s="65"/>
      <c r="G149" s="144">
        <f>IFERROR(_xlfn.XLOOKUP($B149,'Cronog. e Histog.'!$BZ:$BZ,'Cronog. e Histog.'!CB:CB),"")</f>
        <v>0</v>
      </c>
      <c r="H149" s="144">
        <f>IFERROR(_xlfn.XLOOKUP($B149,'Cronog. e Histog.'!$BZ:$BZ,'Cronog. e Histog.'!CC:CC),"")</f>
        <v>0</v>
      </c>
      <c r="I149" s="144">
        <f>IFERROR(_xlfn.XLOOKUP($B149,'Cronog. e Histog.'!$BZ:$BZ,'Cronog. e Histog.'!CD:CD),"")</f>
        <v>0</v>
      </c>
      <c r="J149" s="144">
        <f>IFERROR(_xlfn.XLOOKUP($B149,'Cronog. e Histog.'!$BZ:$BZ,'Cronog. e Histog.'!CE:CE),"")</f>
        <v>0</v>
      </c>
      <c r="K149" s="144">
        <f>IFERROR(_xlfn.XLOOKUP($B149,'Cronog. e Histog.'!$BZ:$BZ,'Cronog. e Histog.'!CF:CF),"")</f>
        <v>0</v>
      </c>
      <c r="L149" s="144">
        <f>IFERROR(_xlfn.XLOOKUP($B149,'Cronog. e Histog.'!$BZ:$BZ,'Cronog. e Histog.'!CG:CG),"")</f>
        <v>0</v>
      </c>
      <c r="M149" s="144">
        <f>IFERROR(_xlfn.XLOOKUP($B149,'Cronog. e Histog.'!$BZ:$BZ,'Cronog. e Histog.'!CH:CH),"")</f>
        <v>0</v>
      </c>
      <c r="N149" s="144">
        <f>IFERROR(_xlfn.XLOOKUP($B149,'Cronog. e Histog.'!$BZ:$BZ,'Cronog. e Histog.'!CI:CI),"")</f>
        <v>0</v>
      </c>
      <c r="O149" s="144">
        <f>IFERROR(_xlfn.XLOOKUP($B149,'Cronog. e Histog.'!$BZ:$BZ,'Cronog. e Histog.'!CJ:CJ),"")</f>
        <v>0</v>
      </c>
      <c r="P149" s="144">
        <f>IFERROR(_xlfn.XLOOKUP($B149,'Cronog. e Histog.'!$BZ:$BZ,'Cronog. e Histog.'!CK:CK),"")</f>
        <v>0</v>
      </c>
      <c r="Q149" s="144">
        <f>IFERROR(_xlfn.XLOOKUP($B149,'Cronog. e Histog.'!$BZ:$BZ,'Cronog. e Histog.'!CL:CL),"")</f>
        <v>0</v>
      </c>
      <c r="R149" s="144">
        <f>IFERROR(_xlfn.XLOOKUP($B149,'Cronog. e Histog.'!$BZ:$BZ,'Cronog. e Histog.'!CM:CM),"")</f>
        <v>0</v>
      </c>
      <c r="S149" s="144">
        <f>IFERROR(_xlfn.XLOOKUP($B149,'Cronog. e Histog.'!$BZ:$BZ,'Cronog. e Histog.'!CN:CN),"")</f>
        <v>0</v>
      </c>
      <c r="T149" s="144">
        <f>IFERROR(_xlfn.XLOOKUP($B149,'Cronog. e Histog.'!$BZ:$BZ,'Cronog. e Histog.'!CO:CO),"")</f>
        <v>0</v>
      </c>
      <c r="U149" s="144">
        <f>IFERROR(_xlfn.XLOOKUP($B149,'Cronog. e Histog.'!$BZ:$BZ,'Cronog. e Histog.'!CP:CP),"")</f>
        <v>0</v>
      </c>
      <c r="V149" s="144">
        <f>IFERROR(_xlfn.XLOOKUP($B149,'Cronog. e Histog.'!$BZ:$BZ,'Cronog. e Histog.'!CQ:CQ),"")</f>
        <v>0</v>
      </c>
      <c r="W149" s="144">
        <f>IFERROR(_xlfn.XLOOKUP($B149,'Cronog. e Histog.'!$BZ:$BZ,'Cronog. e Histog.'!CR:CR),"")</f>
        <v>0</v>
      </c>
      <c r="X149" s="144">
        <f>IFERROR(_xlfn.XLOOKUP($B149,'Cronog. e Histog.'!$BZ:$BZ,'Cronog. e Histog.'!CS:CS),"")</f>
        <v>0</v>
      </c>
      <c r="Y149" s="144">
        <f>IFERROR(_xlfn.XLOOKUP($B149,'Cronog. e Histog.'!$BZ:$BZ,'Cronog. e Histog.'!CT:CT),"")</f>
        <v>0</v>
      </c>
      <c r="Z149" s="144">
        <f>IFERROR(_xlfn.XLOOKUP($B149,'Cronog. e Histog.'!$BZ:$BZ,'Cronog. e Histog.'!CU:CU),"")</f>
        <v>0</v>
      </c>
      <c r="AA149" s="144">
        <f>IFERROR(_xlfn.XLOOKUP($B149,'Cronog. e Histog.'!$BZ:$BZ,'Cronog. e Histog.'!CV:CV),"")</f>
        <v>0</v>
      </c>
      <c r="AB149" s="144">
        <f>IFERROR(_xlfn.XLOOKUP($B149,'Cronog. e Histog.'!$BZ:$BZ,'Cronog. e Histog.'!CW:CW),"")</f>
        <v>0</v>
      </c>
      <c r="AC149" s="144">
        <f>IFERROR(_xlfn.XLOOKUP($B149,'Cronog. e Histog.'!$BZ:$BZ,'Cronog. e Histog.'!CX:CX),"")</f>
        <v>0</v>
      </c>
      <c r="AD149" s="144">
        <f>IFERROR(_xlfn.XLOOKUP($B149,'Cronog. e Histog.'!$BZ:$BZ,'Cronog. e Histog.'!CY:CY),"")</f>
        <v>0</v>
      </c>
      <c r="AE149" s="144">
        <f>IFERROR(_xlfn.XLOOKUP($B149,'Cronog. e Histog.'!$BZ:$BZ,'Cronog. e Histog.'!CZ:CZ),"")</f>
        <v>0</v>
      </c>
      <c r="AF149" s="144">
        <f>IFERROR(_xlfn.XLOOKUP($B149,'Cronog. e Histog.'!$BZ:$BZ,'Cronog. e Histog.'!DA:DA),"")</f>
        <v>0</v>
      </c>
      <c r="AG149" s="144">
        <f>IFERROR(_xlfn.XLOOKUP($B149,'Cronog. e Histog.'!$BZ:$BZ,'Cronog. e Histog.'!DB:DB),"")</f>
        <v>0</v>
      </c>
      <c r="AH149" s="144">
        <f>IFERROR(_xlfn.XLOOKUP($B149,'Cronog. e Histog.'!$BZ:$BZ,'Cronog. e Histog.'!DC:DC),"")</f>
        <v>0</v>
      </c>
      <c r="AI149" s="144">
        <f>IFERROR(_xlfn.XLOOKUP($B149,'Cronog. e Histog.'!$BZ:$BZ,'Cronog. e Histog.'!DD:DD),"")</f>
        <v>0</v>
      </c>
      <c r="AJ149" s="144">
        <f>IFERROR(_xlfn.XLOOKUP($B149,'Cronog. e Histog.'!$BZ:$BZ,'Cronog. e Histog.'!DE:DE),"")</f>
        <v>0</v>
      </c>
      <c r="AK149" s="144">
        <f>IFERROR(_xlfn.XLOOKUP($B149,'Cronog. e Histog.'!$BZ:$BZ,'Cronog. e Histog.'!DF:DF),"")</f>
        <v>0</v>
      </c>
      <c r="AL149" s="144">
        <f>IFERROR(_xlfn.XLOOKUP($B149,'Cronog. e Histog.'!$BZ:$BZ,'Cronog. e Histog.'!DG:DG),"")</f>
        <v>0</v>
      </c>
      <c r="AM149" s="144">
        <f>IFERROR(_xlfn.XLOOKUP($B149,'Cronog. e Histog.'!$BZ:$BZ,'Cronog. e Histog.'!DH:DH),"")</f>
        <v>0</v>
      </c>
      <c r="AN149" s="144">
        <f>IFERROR(_xlfn.XLOOKUP($B149,'Cronog. e Histog.'!$BZ:$BZ,'Cronog. e Histog.'!DI:DI),"")</f>
        <v>0</v>
      </c>
      <c r="AO149" s="144">
        <f>IFERROR(_xlfn.XLOOKUP($B149,'Cronog. e Histog.'!$BZ:$BZ,'Cronog. e Histog.'!DJ:DJ),"")</f>
        <v>0</v>
      </c>
      <c r="AP149" s="144">
        <f>IFERROR(_xlfn.XLOOKUP($B149,'Cronog. e Histog.'!$BZ:$BZ,'Cronog. e Histog.'!DK:DK),"")</f>
        <v>0</v>
      </c>
      <c r="AQ149" s="144">
        <f>IFERROR(_xlfn.XLOOKUP($B149,'Cronog. e Histog.'!$BZ:$BZ,'Cronog. e Histog.'!DL:DL),"")</f>
        <v>0</v>
      </c>
      <c r="AR149" s="144">
        <f>IFERROR(_xlfn.XLOOKUP($B149,'Cronog. e Histog.'!$BZ:$BZ,'Cronog. e Histog.'!DM:DM),"")</f>
        <v>0</v>
      </c>
      <c r="AS149" s="144">
        <f>IFERROR(_xlfn.XLOOKUP($B149,'Cronog. e Histog.'!$BZ:$BZ,'Cronog. e Histog.'!DN:DN),"")</f>
        <v>0</v>
      </c>
      <c r="AT149" s="144">
        <f>IFERROR(_xlfn.XLOOKUP($B149,'Cronog. e Histog.'!$BZ:$BZ,'Cronog. e Histog.'!DO:DO),"")</f>
        <v>0</v>
      </c>
      <c r="AU149" s="144">
        <f>IFERROR(_xlfn.XLOOKUP($B149,'Cronog. e Histog.'!$BZ:$BZ,'Cronog. e Histog.'!DP:DP),"")</f>
        <v>0</v>
      </c>
      <c r="AV149" s="144">
        <f>IFERROR(_xlfn.XLOOKUP($B149,'Cronog. e Histog.'!$BZ:$BZ,'Cronog. e Histog.'!DQ:DQ),"")</f>
        <v>0</v>
      </c>
      <c r="AW149" s="144">
        <f>IFERROR(_xlfn.XLOOKUP($B149,'Cronog. e Histog.'!$BZ:$BZ,'Cronog. e Histog.'!DR:DR),"")</f>
        <v>0</v>
      </c>
      <c r="AX149" s="144">
        <f>IFERROR(_xlfn.XLOOKUP($B149,'Cronog. e Histog.'!$BZ:$BZ,'Cronog. e Histog.'!DS:DS),"")</f>
        <v>0</v>
      </c>
      <c r="AY149" s="144">
        <f>IFERROR(_xlfn.XLOOKUP($B149,'Cronog. e Histog.'!$BZ:$BZ,'Cronog. e Histog.'!DT:DT),"")</f>
        <v>0</v>
      </c>
      <c r="AZ149" s="144">
        <f>IFERROR(_xlfn.XLOOKUP($B149,'Cronog. e Histog.'!$BZ:$BZ,'Cronog. e Histog.'!DU:DU),"")</f>
        <v>0</v>
      </c>
      <c r="BA149" s="144">
        <f>IFERROR(_xlfn.XLOOKUP($B149,'Cronog. e Histog.'!$BZ:$BZ,'Cronog. e Histog.'!DV:DV),"")</f>
        <v>0</v>
      </c>
      <c r="BB149" s="144">
        <f>IFERROR(_xlfn.XLOOKUP($B149,'Cronog. e Histog.'!$BZ:$BZ,'Cronog. e Histog.'!DW:DW),"")</f>
        <v>0</v>
      </c>
      <c r="BC149" s="144">
        <f>IFERROR(_xlfn.XLOOKUP($B149,'Cronog. e Histog.'!$BZ:$BZ,'Cronog. e Histog.'!DX:DX),"")</f>
        <v>0</v>
      </c>
      <c r="BD149" s="144">
        <f>IFERROR(_xlfn.XLOOKUP($B149,'Cronog. e Histog.'!$BZ:$BZ,'Cronog. e Histog.'!DY:DY),"")</f>
        <v>0</v>
      </c>
      <c r="BE149" s="144">
        <f>IFERROR(_xlfn.XLOOKUP($B149,'Cronog. e Histog.'!$BZ:$BZ,'Cronog. e Histog.'!DZ:DZ),"")</f>
        <v>0</v>
      </c>
      <c r="BF149" s="144">
        <f>IFERROR(_xlfn.XLOOKUP($B149,'Cronog. e Histog.'!$BZ:$BZ,'Cronog. e Histog.'!EA:EA),"")</f>
        <v>0</v>
      </c>
      <c r="BG149" s="144">
        <f>IFERROR(_xlfn.XLOOKUP($B149,'Cronog. e Histog.'!$BZ:$BZ,'Cronog. e Histog.'!EB:EB),"")</f>
        <v>0</v>
      </c>
      <c r="BH149" s="144">
        <f>IFERROR(_xlfn.XLOOKUP($B149,'Cronog. e Histog.'!$BZ:$BZ,'Cronog. e Histog.'!EC:EC),"")</f>
        <v>0</v>
      </c>
      <c r="BI149" s="144">
        <f>IFERROR(_xlfn.XLOOKUP($B149,'Cronog. e Histog.'!$BZ:$BZ,'Cronog. e Histog.'!ED:ED),"")</f>
        <v>0</v>
      </c>
      <c r="BJ149" s="144">
        <f>IFERROR(_xlfn.XLOOKUP($B149,'Cronog. e Histog.'!$BZ:$BZ,'Cronog. e Histog.'!EE:EE),"")</f>
        <v>0</v>
      </c>
      <c r="BK149" s="144">
        <f>IFERROR(_xlfn.XLOOKUP($B149,'Cronog. e Histog.'!$BZ:$BZ,'Cronog. e Histog.'!EF:EF),"")</f>
        <v>0</v>
      </c>
      <c r="BL149" s="144">
        <f>IFERROR(_xlfn.XLOOKUP($B149,'Cronog. e Histog.'!$BZ:$BZ,'Cronog. e Histog.'!EG:EG),"")</f>
        <v>0</v>
      </c>
      <c r="BM149" s="144">
        <f>IFERROR(_xlfn.XLOOKUP($B149,'Cronog. e Histog.'!$BZ:$BZ,'Cronog. e Histog.'!EH:EH),"")</f>
        <v>0</v>
      </c>
      <c r="BN149" s="144">
        <f>IFERROR(_xlfn.XLOOKUP($B149,'Cronog. e Histog.'!$BZ:$BZ,'Cronog. e Histog.'!EI:EI),"")</f>
        <v>0</v>
      </c>
    </row>
    <row r="150" spans="2:66" ht="12" hidden="1" customHeight="1" outlineLevel="1">
      <c r="B150" s="76">
        <v>144</v>
      </c>
      <c r="C150" s="143" t="str">
        <f>IFERROR(VLOOKUP(B150,'Cronog. e Histog.'!$BZ$213:$CA$747,2,0),"")</f>
        <v>ENG/ARQ SR.</v>
      </c>
      <c r="D150" s="144">
        <f t="shared" si="4"/>
        <v>0</v>
      </c>
      <c r="E150" s="144">
        <f t="shared" si="5"/>
        <v>0</v>
      </c>
      <c r="F150" s="65"/>
      <c r="G150" s="144">
        <f>IFERROR(_xlfn.XLOOKUP($B150,'Cronog. e Histog.'!$BZ:$BZ,'Cronog. e Histog.'!CB:CB),"")</f>
        <v>0</v>
      </c>
      <c r="H150" s="144">
        <f>IFERROR(_xlfn.XLOOKUP($B150,'Cronog. e Histog.'!$BZ:$BZ,'Cronog. e Histog.'!CC:CC),"")</f>
        <v>0</v>
      </c>
      <c r="I150" s="144">
        <f>IFERROR(_xlfn.XLOOKUP($B150,'Cronog. e Histog.'!$BZ:$BZ,'Cronog. e Histog.'!CD:CD),"")</f>
        <v>0</v>
      </c>
      <c r="J150" s="144">
        <f>IFERROR(_xlfn.XLOOKUP($B150,'Cronog. e Histog.'!$BZ:$BZ,'Cronog. e Histog.'!CE:CE),"")</f>
        <v>0</v>
      </c>
      <c r="K150" s="144">
        <f>IFERROR(_xlfn.XLOOKUP($B150,'Cronog. e Histog.'!$BZ:$BZ,'Cronog. e Histog.'!CF:CF),"")</f>
        <v>0</v>
      </c>
      <c r="L150" s="144">
        <f>IFERROR(_xlfn.XLOOKUP($B150,'Cronog. e Histog.'!$BZ:$BZ,'Cronog. e Histog.'!CG:CG),"")</f>
        <v>0</v>
      </c>
      <c r="M150" s="144">
        <f>IFERROR(_xlfn.XLOOKUP($B150,'Cronog. e Histog.'!$BZ:$BZ,'Cronog. e Histog.'!CH:CH),"")</f>
        <v>0</v>
      </c>
      <c r="N150" s="144">
        <f>IFERROR(_xlfn.XLOOKUP($B150,'Cronog. e Histog.'!$BZ:$BZ,'Cronog. e Histog.'!CI:CI),"")</f>
        <v>0</v>
      </c>
      <c r="O150" s="144">
        <f>IFERROR(_xlfn.XLOOKUP($B150,'Cronog. e Histog.'!$BZ:$BZ,'Cronog. e Histog.'!CJ:CJ),"")</f>
        <v>0</v>
      </c>
      <c r="P150" s="144">
        <f>IFERROR(_xlfn.XLOOKUP($B150,'Cronog. e Histog.'!$BZ:$BZ,'Cronog. e Histog.'!CK:CK),"")</f>
        <v>0</v>
      </c>
      <c r="Q150" s="144">
        <f>IFERROR(_xlfn.XLOOKUP($B150,'Cronog. e Histog.'!$BZ:$BZ,'Cronog. e Histog.'!CL:CL),"")</f>
        <v>0</v>
      </c>
      <c r="R150" s="144">
        <f>IFERROR(_xlfn.XLOOKUP($B150,'Cronog. e Histog.'!$BZ:$BZ,'Cronog. e Histog.'!CM:CM),"")</f>
        <v>0</v>
      </c>
      <c r="S150" s="144">
        <f>IFERROR(_xlfn.XLOOKUP($B150,'Cronog. e Histog.'!$BZ:$BZ,'Cronog. e Histog.'!CN:CN),"")</f>
        <v>0</v>
      </c>
      <c r="T150" s="144">
        <f>IFERROR(_xlfn.XLOOKUP($B150,'Cronog. e Histog.'!$BZ:$BZ,'Cronog. e Histog.'!CO:CO),"")</f>
        <v>0</v>
      </c>
      <c r="U150" s="144">
        <f>IFERROR(_xlfn.XLOOKUP($B150,'Cronog. e Histog.'!$BZ:$BZ,'Cronog. e Histog.'!CP:CP),"")</f>
        <v>0</v>
      </c>
      <c r="V150" s="144">
        <f>IFERROR(_xlfn.XLOOKUP($B150,'Cronog. e Histog.'!$BZ:$BZ,'Cronog. e Histog.'!CQ:CQ),"")</f>
        <v>0</v>
      </c>
      <c r="W150" s="144">
        <f>IFERROR(_xlfn.XLOOKUP($B150,'Cronog. e Histog.'!$BZ:$BZ,'Cronog. e Histog.'!CR:CR),"")</f>
        <v>0</v>
      </c>
      <c r="X150" s="144">
        <f>IFERROR(_xlfn.XLOOKUP($B150,'Cronog. e Histog.'!$BZ:$BZ,'Cronog. e Histog.'!CS:CS),"")</f>
        <v>0</v>
      </c>
      <c r="Y150" s="144">
        <f>IFERROR(_xlfn.XLOOKUP($B150,'Cronog. e Histog.'!$BZ:$BZ,'Cronog. e Histog.'!CT:CT),"")</f>
        <v>0</v>
      </c>
      <c r="Z150" s="144">
        <f>IFERROR(_xlfn.XLOOKUP($B150,'Cronog. e Histog.'!$BZ:$BZ,'Cronog. e Histog.'!CU:CU),"")</f>
        <v>0</v>
      </c>
      <c r="AA150" s="144">
        <f>IFERROR(_xlfn.XLOOKUP($B150,'Cronog. e Histog.'!$BZ:$BZ,'Cronog. e Histog.'!CV:CV),"")</f>
        <v>0</v>
      </c>
      <c r="AB150" s="144">
        <f>IFERROR(_xlfn.XLOOKUP($B150,'Cronog. e Histog.'!$BZ:$BZ,'Cronog. e Histog.'!CW:CW),"")</f>
        <v>0</v>
      </c>
      <c r="AC150" s="144">
        <f>IFERROR(_xlfn.XLOOKUP($B150,'Cronog. e Histog.'!$BZ:$BZ,'Cronog. e Histog.'!CX:CX),"")</f>
        <v>0</v>
      </c>
      <c r="AD150" s="144">
        <f>IFERROR(_xlfn.XLOOKUP($B150,'Cronog. e Histog.'!$BZ:$BZ,'Cronog. e Histog.'!CY:CY),"")</f>
        <v>0</v>
      </c>
      <c r="AE150" s="144">
        <f>IFERROR(_xlfn.XLOOKUP($B150,'Cronog. e Histog.'!$BZ:$BZ,'Cronog. e Histog.'!CZ:CZ),"")</f>
        <v>0</v>
      </c>
      <c r="AF150" s="144">
        <f>IFERROR(_xlfn.XLOOKUP($B150,'Cronog. e Histog.'!$BZ:$BZ,'Cronog. e Histog.'!DA:DA),"")</f>
        <v>0</v>
      </c>
      <c r="AG150" s="144">
        <f>IFERROR(_xlfn.XLOOKUP($B150,'Cronog. e Histog.'!$BZ:$BZ,'Cronog. e Histog.'!DB:DB),"")</f>
        <v>0</v>
      </c>
      <c r="AH150" s="144">
        <f>IFERROR(_xlfn.XLOOKUP($B150,'Cronog. e Histog.'!$BZ:$BZ,'Cronog. e Histog.'!DC:DC),"")</f>
        <v>0</v>
      </c>
      <c r="AI150" s="144">
        <f>IFERROR(_xlfn.XLOOKUP($B150,'Cronog. e Histog.'!$BZ:$BZ,'Cronog. e Histog.'!DD:DD),"")</f>
        <v>0</v>
      </c>
      <c r="AJ150" s="144">
        <f>IFERROR(_xlfn.XLOOKUP($B150,'Cronog. e Histog.'!$BZ:$BZ,'Cronog. e Histog.'!DE:DE),"")</f>
        <v>0</v>
      </c>
      <c r="AK150" s="144">
        <f>IFERROR(_xlfn.XLOOKUP($B150,'Cronog. e Histog.'!$BZ:$BZ,'Cronog. e Histog.'!DF:DF),"")</f>
        <v>0</v>
      </c>
      <c r="AL150" s="144">
        <f>IFERROR(_xlfn.XLOOKUP($B150,'Cronog. e Histog.'!$BZ:$BZ,'Cronog. e Histog.'!DG:DG),"")</f>
        <v>0</v>
      </c>
      <c r="AM150" s="144">
        <f>IFERROR(_xlfn.XLOOKUP($B150,'Cronog. e Histog.'!$BZ:$BZ,'Cronog. e Histog.'!DH:DH),"")</f>
        <v>0</v>
      </c>
      <c r="AN150" s="144">
        <f>IFERROR(_xlfn.XLOOKUP($B150,'Cronog. e Histog.'!$BZ:$BZ,'Cronog. e Histog.'!DI:DI),"")</f>
        <v>0</v>
      </c>
      <c r="AO150" s="144">
        <f>IFERROR(_xlfn.XLOOKUP($B150,'Cronog. e Histog.'!$BZ:$BZ,'Cronog. e Histog.'!DJ:DJ),"")</f>
        <v>0</v>
      </c>
      <c r="AP150" s="144">
        <f>IFERROR(_xlfn.XLOOKUP($B150,'Cronog. e Histog.'!$BZ:$BZ,'Cronog. e Histog.'!DK:DK),"")</f>
        <v>0</v>
      </c>
      <c r="AQ150" s="144">
        <f>IFERROR(_xlfn.XLOOKUP($B150,'Cronog. e Histog.'!$BZ:$BZ,'Cronog. e Histog.'!DL:DL),"")</f>
        <v>0</v>
      </c>
      <c r="AR150" s="144">
        <f>IFERROR(_xlfn.XLOOKUP($B150,'Cronog. e Histog.'!$BZ:$BZ,'Cronog. e Histog.'!DM:DM),"")</f>
        <v>0</v>
      </c>
      <c r="AS150" s="144">
        <f>IFERROR(_xlfn.XLOOKUP($B150,'Cronog. e Histog.'!$BZ:$BZ,'Cronog. e Histog.'!DN:DN),"")</f>
        <v>0</v>
      </c>
      <c r="AT150" s="144">
        <f>IFERROR(_xlfn.XLOOKUP($B150,'Cronog. e Histog.'!$BZ:$BZ,'Cronog. e Histog.'!DO:DO),"")</f>
        <v>0</v>
      </c>
      <c r="AU150" s="144">
        <f>IFERROR(_xlfn.XLOOKUP($B150,'Cronog. e Histog.'!$BZ:$BZ,'Cronog. e Histog.'!DP:DP),"")</f>
        <v>0</v>
      </c>
      <c r="AV150" s="144">
        <f>IFERROR(_xlfn.XLOOKUP($B150,'Cronog. e Histog.'!$BZ:$BZ,'Cronog. e Histog.'!DQ:DQ),"")</f>
        <v>0</v>
      </c>
      <c r="AW150" s="144">
        <f>IFERROR(_xlfn.XLOOKUP($B150,'Cronog. e Histog.'!$BZ:$BZ,'Cronog. e Histog.'!DR:DR),"")</f>
        <v>0</v>
      </c>
      <c r="AX150" s="144">
        <f>IFERROR(_xlfn.XLOOKUP($B150,'Cronog. e Histog.'!$BZ:$BZ,'Cronog. e Histog.'!DS:DS),"")</f>
        <v>0</v>
      </c>
      <c r="AY150" s="144">
        <f>IFERROR(_xlfn.XLOOKUP($B150,'Cronog. e Histog.'!$BZ:$BZ,'Cronog. e Histog.'!DT:DT),"")</f>
        <v>0</v>
      </c>
      <c r="AZ150" s="144">
        <f>IFERROR(_xlfn.XLOOKUP($B150,'Cronog. e Histog.'!$BZ:$BZ,'Cronog. e Histog.'!DU:DU),"")</f>
        <v>0</v>
      </c>
      <c r="BA150" s="144">
        <f>IFERROR(_xlfn.XLOOKUP($B150,'Cronog. e Histog.'!$BZ:$BZ,'Cronog. e Histog.'!DV:DV),"")</f>
        <v>0</v>
      </c>
      <c r="BB150" s="144">
        <f>IFERROR(_xlfn.XLOOKUP($B150,'Cronog. e Histog.'!$BZ:$BZ,'Cronog. e Histog.'!DW:DW),"")</f>
        <v>0</v>
      </c>
      <c r="BC150" s="144">
        <f>IFERROR(_xlfn.XLOOKUP($B150,'Cronog. e Histog.'!$BZ:$BZ,'Cronog. e Histog.'!DX:DX),"")</f>
        <v>0</v>
      </c>
      <c r="BD150" s="144">
        <f>IFERROR(_xlfn.XLOOKUP($B150,'Cronog. e Histog.'!$BZ:$BZ,'Cronog. e Histog.'!DY:DY),"")</f>
        <v>0</v>
      </c>
      <c r="BE150" s="144">
        <f>IFERROR(_xlfn.XLOOKUP($B150,'Cronog. e Histog.'!$BZ:$BZ,'Cronog. e Histog.'!DZ:DZ),"")</f>
        <v>0</v>
      </c>
      <c r="BF150" s="144">
        <f>IFERROR(_xlfn.XLOOKUP($B150,'Cronog. e Histog.'!$BZ:$BZ,'Cronog. e Histog.'!EA:EA),"")</f>
        <v>0</v>
      </c>
      <c r="BG150" s="144">
        <f>IFERROR(_xlfn.XLOOKUP($B150,'Cronog. e Histog.'!$BZ:$BZ,'Cronog. e Histog.'!EB:EB),"")</f>
        <v>0</v>
      </c>
      <c r="BH150" s="144">
        <f>IFERROR(_xlfn.XLOOKUP($B150,'Cronog. e Histog.'!$BZ:$BZ,'Cronog. e Histog.'!EC:EC),"")</f>
        <v>0</v>
      </c>
      <c r="BI150" s="144">
        <f>IFERROR(_xlfn.XLOOKUP($B150,'Cronog. e Histog.'!$BZ:$BZ,'Cronog. e Histog.'!ED:ED),"")</f>
        <v>0</v>
      </c>
      <c r="BJ150" s="144">
        <f>IFERROR(_xlfn.XLOOKUP($B150,'Cronog. e Histog.'!$BZ:$BZ,'Cronog. e Histog.'!EE:EE),"")</f>
        <v>0</v>
      </c>
      <c r="BK150" s="144">
        <f>IFERROR(_xlfn.XLOOKUP($B150,'Cronog. e Histog.'!$BZ:$BZ,'Cronog. e Histog.'!EF:EF),"")</f>
        <v>0</v>
      </c>
      <c r="BL150" s="144">
        <f>IFERROR(_xlfn.XLOOKUP($B150,'Cronog. e Histog.'!$BZ:$BZ,'Cronog. e Histog.'!EG:EG),"")</f>
        <v>0</v>
      </c>
      <c r="BM150" s="144">
        <f>IFERROR(_xlfn.XLOOKUP($B150,'Cronog. e Histog.'!$BZ:$BZ,'Cronog. e Histog.'!EH:EH),"")</f>
        <v>0</v>
      </c>
      <c r="BN150" s="144">
        <f>IFERROR(_xlfn.XLOOKUP($B150,'Cronog. e Histog.'!$BZ:$BZ,'Cronog. e Histog.'!EI:EI),"")</f>
        <v>0</v>
      </c>
    </row>
    <row r="151" spans="2:66" ht="12" hidden="1" customHeight="1" outlineLevel="1">
      <c r="B151" s="76">
        <v>145</v>
      </c>
      <c r="C151" s="143" t="str">
        <f>IFERROR(VLOOKUP(B151,'Cronog. e Histog.'!$BZ$213:$CA$747,2,0),"")</f>
        <v>ENG/ARQ PL.</v>
      </c>
      <c r="D151" s="144">
        <f t="shared" si="4"/>
        <v>0</v>
      </c>
      <c r="E151" s="144">
        <f t="shared" si="5"/>
        <v>0</v>
      </c>
      <c r="F151" s="65"/>
      <c r="G151" s="144">
        <f>IFERROR(_xlfn.XLOOKUP($B151,'Cronog. e Histog.'!$BZ:$BZ,'Cronog. e Histog.'!CB:CB),"")</f>
        <v>0</v>
      </c>
      <c r="H151" s="144">
        <f>IFERROR(_xlfn.XLOOKUP($B151,'Cronog. e Histog.'!$BZ:$BZ,'Cronog. e Histog.'!CC:CC),"")</f>
        <v>0</v>
      </c>
      <c r="I151" s="144">
        <f>IFERROR(_xlfn.XLOOKUP($B151,'Cronog. e Histog.'!$BZ:$BZ,'Cronog. e Histog.'!CD:CD),"")</f>
        <v>0</v>
      </c>
      <c r="J151" s="144">
        <f>IFERROR(_xlfn.XLOOKUP($B151,'Cronog. e Histog.'!$BZ:$BZ,'Cronog. e Histog.'!CE:CE),"")</f>
        <v>0</v>
      </c>
      <c r="K151" s="144">
        <f>IFERROR(_xlfn.XLOOKUP($B151,'Cronog. e Histog.'!$BZ:$BZ,'Cronog. e Histog.'!CF:CF),"")</f>
        <v>0</v>
      </c>
      <c r="L151" s="144">
        <f>IFERROR(_xlfn.XLOOKUP($B151,'Cronog. e Histog.'!$BZ:$BZ,'Cronog. e Histog.'!CG:CG),"")</f>
        <v>0</v>
      </c>
      <c r="M151" s="144">
        <f>IFERROR(_xlfn.XLOOKUP($B151,'Cronog. e Histog.'!$BZ:$BZ,'Cronog. e Histog.'!CH:CH),"")</f>
        <v>0</v>
      </c>
      <c r="N151" s="144">
        <f>IFERROR(_xlfn.XLOOKUP($B151,'Cronog. e Histog.'!$BZ:$BZ,'Cronog. e Histog.'!CI:CI),"")</f>
        <v>0</v>
      </c>
      <c r="O151" s="144">
        <f>IFERROR(_xlfn.XLOOKUP($B151,'Cronog. e Histog.'!$BZ:$BZ,'Cronog. e Histog.'!CJ:CJ),"")</f>
        <v>0</v>
      </c>
      <c r="P151" s="144">
        <f>IFERROR(_xlfn.XLOOKUP($B151,'Cronog. e Histog.'!$BZ:$BZ,'Cronog. e Histog.'!CK:CK),"")</f>
        <v>0</v>
      </c>
      <c r="Q151" s="144">
        <f>IFERROR(_xlfn.XLOOKUP($B151,'Cronog. e Histog.'!$BZ:$BZ,'Cronog. e Histog.'!CL:CL),"")</f>
        <v>0</v>
      </c>
      <c r="R151" s="144">
        <f>IFERROR(_xlfn.XLOOKUP($B151,'Cronog. e Histog.'!$BZ:$BZ,'Cronog. e Histog.'!CM:CM),"")</f>
        <v>0</v>
      </c>
      <c r="S151" s="144">
        <f>IFERROR(_xlfn.XLOOKUP($B151,'Cronog. e Histog.'!$BZ:$BZ,'Cronog. e Histog.'!CN:CN),"")</f>
        <v>0</v>
      </c>
      <c r="T151" s="144">
        <f>IFERROR(_xlfn.XLOOKUP($B151,'Cronog. e Histog.'!$BZ:$BZ,'Cronog. e Histog.'!CO:CO),"")</f>
        <v>0</v>
      </c>
      <c r="U151" s="144">
        <f>IFERROR(_xlfn.XLOOKUP($B151,'Cronog. e Histog.'!$BZ:$BZ,'Cronog. e Histog.'!CP:CP),"")</f>
        <v>0</v>
      </c>
      <c r="V151" s="144">
        <f>IFERROR(_xlfn.XLOOKUP($B151,'Cronog. e Histog.'!$BZ:$BZ,'Cronog. e Histog.'!CQ:CQ),"")</f>
        <v>0</v>
      </c>
      <c r="W151" s="144">
        <f>IFERROR(_xlfn.XLOOKUP($B151,'Cronog. e Histog.'!$BZ:$BZ,'Cronog. e Histog.'!CR:CR),"")</f>
        <v>0</v>
      </c>
      <c r="X151" s="144">
        <f>IFERROR(_xlfn.XLOOKUP($B151,'Cronog. e Histog.'!$BZ:$BZ,'Cronog. e Histog.'!CS:CS),"")</f>
        <v>0</v>
      </c>
      <c r="Y151" s="144">
        <f>IFERROR(_xlfn.XLOOKUP($B151,'Cronog. e Histog.'!$BZ:$BZ,'Cronog. e Histog.'!CT:CT),"")</f>
        <v>0</v>
      </c>
      <c r="Z151" s="144">
        <f>IFERROR(_xlfn.XLOOKUP($B151,'Cronog. e Histog.'!$BZ:$BZ,'Cronog. e Histog.'!CU:CU),"")</f>
        <v>0</v>
      </c>
      <c r="AA151" s="144">
        <f>IFERROR(_xlfn.XLOOKUP($B151,'Cronog. e Histog.'!$BZ:$BZ,'Cronog. e Histog.'!CV:CV),"")</f>
        <v>0</v>
      </c>
      <c r="AB151" s="144">
        <f>IFERROR(_xlfn.XLOOKUP($B151,'Cronog. e Histog.'!$BZ:$BZ,'Cronog. e Histog.'!CW:CW),"")</f>
        <v>0</v>
      </c>
      <c r="AC151" s="144">
        <f>IFERROR(_xlfn.XLOOKUP($B151,'Cronog. e Histog.'!$BZ:$BZ,'Cronog. e Histog.'!CX:CX),"")</f>
        <v>0</v>
      </c>
      <c r="AD151" s="144">
        <f>IFERROR(_xlfn.XLOOKUP($B151,'Cronog. e Histog.'!$BZ:$BZ,'Cronog. e Histog.'!CY:CY),"")</f>
        <v>0</v>
      </c>
      <c r="AE151" s="144">
        <f>IFERROR(_xlfn.XLOOKUP($B151,'Cronog. e Histog.'!$BZ:$BZ,'Cronog. e Histog.'!CZ:CZ),"")</f>
        <v>0</v>
      </c>
      <c r="AF151" s="144">
        <f>IFERROR(_xlfn.XLOOKUP($B151,'Cronog. e Histog.'!$BZ:$BZ,'Cronog. e Histog.'!DA:DA),"")</f>
        <v>0</v>
      </c>
      <c r="AG151" s="144">
        <f>IFERROR(_xlfn.XLOOKUP($B151,'Cronog. e Histog.'!$BZ:$BZ,'Cronog. e Histog.'!DB:DB),"")</f>
        <v>0</v>
      </c>
      <c r="AH151" s="144">
        <f>IFERROR(_xlfn.XLOOKUP($B151,'Cronog. e Histog.'!$BZ:$BZ,'Cronog. e Histog.'!DC:DC),"")</f>
        <v>0</v>
      </c>
      <c r="AI151" s="144">
        <f>IFERROR(_xlfn.XLOOKUP($B151,'Cronog. e Histog.'!$BZ:$BZ,'Cronog. e Histog.'!DD:DD),"")</f>
        <v>0</v>
      </c>
      <c r="AJ151" s="144">
        <f>IFERROR(_xlfn.XLOOKUP($B151,'Cronog. e Histog.'!$BZ:$BZ,'Cronog. e Histog.'!DE:DE),"")</f>
        <v>0</v>
      </c>
      <c r="AK151" s="144">
        <f>IFERROR(_xlfn.XLOOKUP($B151,'Cronog. e Histog.'!$BZ:$BZ,'Cronog. e Histog.'!DF:DF),"")</f>
        <v>0</v>
      </c>
      <c r="AL151" s="144">
        <f>IFERROR(_xlfn.XLOOKUP($B151,'Cronog. e Histog.'!$BZ:$BZ,'Cronog. e Histog.'!DG:DG),"")</f>
        <v>0</v>
      </c>
      <c r="AM151" s="144">
        <f>IFERROR(_xlfn.XLOOKUP($B151,'Cronog. e Histog.'!$BZ:$BZ,'Cronog. e Histog.'!DH:DH),"")</f>
        <v>0</v>
      </c>
      <c r="AN151" s="144">
        <f>IFERROR(_xlfn.XLOOKUP($B151,'Cronog. e Histog.'!$BZ:$BZ,'Cronog. e Histog.'!DI:DI),"")</f>
        <v>0</v>
      </c>
      <c r="AO151" s="144">
        <f>IFERROR(_xlfn.XLOOKUP($B151,'Cronog. e Histog.'!$BZ:$BZ,'Cronog. e Histog.'!DJ:DJ),"")</f>
        <v>0</v>
      </c>
      <c r="AP151" s="144">
        <f>IFERROR(_xlfn.XLOOKUP($B151,'Cronog. e Histog.'!$BZ:$BZ,'Cronog. e Histog.'!DK:DK),"")</f>
        <v>0</v>
      </c>
      <c r="AQ151" s="144">
        <f>IFERROR(_xlfn.XLOOKUP($B151,'Cronog. e Histog.'!$BZ:$BZ,'Cronog. e Histog.'!DL:DL),"")</f>
        <v>0</v>
      </c>
      <c r="AR151" s="144">
        <f>IFERROR(_xlfn.XLOOKUP($B151,'Cronog. e Histog.'!$BZ:$BZ,'Cronog. e Histog.'!DM:DM),"")</f>
        <v>0</v>
      </c>
      <c r="AS151" s="144">
        <f>IFERROR(_xlfn.XLOOKUP($B151,'Cronog. e Histog.'!$BZ:$BZ,'Cronog. e Histog.'!DN:DN),"")</f>
        <v>0</v>
      </c>
      <c r="AT151" s="144">
        <f>IFERROR(_xlfn.XLOOKUP($B151,'Cronog. e Histog.'!$BZ:$BZ,'Cronog. e Histog.'!DO:DO),"")</f>
        <v>0</v>
      </c>
      <c r="AU151" s="144">
        <f>IFERROR(_xlfn.XLOOKUP($B151,'Cronog. e Histog.'!$BZ:$BZ,'Cronog. e Histog.'!DP:DP),"")</f>
        <v>0</v>
      </c>
      <c r="AV151" s="144">
        <f>IFERROR(_xlfn.XLOOKUP($B151,'Cronog. e Histog.'!$BZ:$BZ,'Cronog. e Histog.'!DQ:DQ),"")</f>
        <v>0</v>
      </c>
      <c r="AW151" s="144">
        <f>IFERROR(_xlfn.XLOOKUP($B151,'Cronog. e Histog.'!$BZ:$BZ,'Cronog. e Histog.'!DR:DR),"")</f>
        <v>0</v>
      </c>
      <c r="AX151" s="144">
        <f>IFERROR(_xlfn.XLOOKUP($B151,'Cronog. e Histog.'!$BZ:$BZ,'Cronog. e Histog.'!DS:DS),"")</f>
        <v>0</v>
      </c>
      <c r="AY151" s="144">
        <f>IFERROR(_xlfn.XLOOKUP($B151,'Cronog. e Histog.'!$BZ:$BZ,'Cronog. e Histog.'!DT:DT),"")</f>
        <v>0</v>
      </c>
      <c r="AZ151" s="144">
        <f>IFERROR(_xlfn.XLOOKUP($B151,'Cronog. e Histog.'!$BZ:$BZ,'Cronog. e Histog.'!DU:DU),"")</f>
        <v>0</v>
      </c>
      <c r="BA151" s="144">
        <f>IFERROR(_xlfn.XLOOKUP($B151,'Cronog. e Histog.'!$BZ:$BZ,'Cronog. e Histog.'!DV:DV),"")</f>
        <v>0</v>
      </c>
      <c r="BB151" s="144">
        <f>IFERROR(_xlfn.XLOOKUP($B151,'Cronog. e Histog.'!$BZ:$BZ,'Cronog. e Histog.'!DW:DW),"")</f>
        <v>0</v>
      </c>
      <c r="BC151" s="144">
        <f>IFERROR(_xlfn.XLOOKUP($B151,'Cronog. e Histog.'!$BZ:$BZ,'Cronog. e Histog.'!DX:DX),"")</f>
        <v>0</v>
      </c>
      <c r="BD151" s="144">
        <f>IFERROR(_xlfn.XLOOKUP($B151,'Cronog. e Histog.'!$BZ:$BZ,'Cronog. e Histog.'!DY:DY),"")</f>
        <v>0</v>
      </c>
      <c r="BE151" s="144">
        <f>IFERROR(_xlfn.XLOOKUP($B151,'Cronog. e Histog.'!$BZ:$BZ,'Cronog. e Histog.'!DZ:DZ),"")</f>
        <v>0</v>
      </c>
      <c r="BF151" s="144">
        <f>IFERROR(_xlfn.XLOOKUP($B151,'Cronog. e Histog.'!$BZ:$BZ,'Cronog. e Histog.'!EA:EA),"")</f>
        <v>0</v>
      </c>
      <c r="BG151" s="144">
        <f>IFERROR(_xlfn.XLOOKUP($B151,'Cronog. e Histog.'!$BZ:$BZ,'Cronog. e Histog.'!EB:EB),"")</f>
        <v>0</v>
      </c>
      <c r="BH151" s="144">
        <f>IFERROR(_xlfn.XLOOKUP($B151,'Cronog. e Histog.'!$BZ:$BZ,'Cronog. e Histog.'!EC:EC),"")</f>
        <v>0</v>
      </c>
      <c r="BI151" s="144">
        <f>IFERROR(_xlfn.XLOOKUP($B151,'Cronog. e Histog.'!$BZ:$BZ,'Cronog. e Histog.'!ED:ED),"")</f>
        <v>0</v>
      </c>
      <c r="BJ151" s="144">
        <f>IFERROR(_xlfn.XLOOKUP($B151,'Cronog. e Histog.'!$BZ:$BZ,'Cronog. e Histog.'!EE:EE),"")</f>
        <v>0</v>
      </c>
      <c r="BK151" s="144">
        <f>IFERROR(_xlfn.XLOOKUP($B151,'Cronog. e Histog.'!$BZ:$BZ,'Cronog. e Histog.'!EF:EF),"")</f>
        <v>0</v>
      </c>
      <c r="BL151" s="144">
        <f>IFERROR(_xlfn.XLOOKUP($B151,'Cronog. e Histog.'!$BZ:$BZ,'Cronog. e Histog.'!EG:EG),"")</f>
        <v>0</v>
      </c>
      <c r="BM151" s="144">
        <f>IFERROR(_xlfn.XLOOKUP($B151,'Cronog. e Histog.'!$BZ:$BZ,'Cronog. e Histog.'!EH:EH),"")</f>
        <v>0</v>
      </c>
      <c r="BN151" s="144">
        <f>IFERROR(_xlfn.XLOOKUP($B151,'Cronog. e Histog.'!$BZ:$BZ,'Cronog. e Histog.'!EI:EI),"")</f>
        <v>0</v>
      </c>
    </row>
    <row r="152" spans="2:66" ht="12" hidden="1" customHeight="1" outlineLevel="1">
      <c r="B152" s="76">
        <v>146</v>
      </c>
      <c r="C152" s="143" t="str">
        <f>IFERROR(VLOOKUP(B152,'Cronog. e Histog.'!$BZ$213:$CA$747,2,0),"")</f>
        <v>ENG/ARQ JR.</v>
      </c>
      <c r="D152" s="144">
        <f t="shared" si="4"/>
        <v>0</v>
      </c>
      <c r="E152" s="144">
        <f t="shared" si="5"/>
        <v>0</v>
      </c>
      <c r="F152" s="65"/>
      <c r="G152" s="144">
        <f>IFERROR(_xlfn.XLOOKUP($B152,'Cronog. e Histog.'!$BZ:$BZ,'Cronog. e Histog.'!CB:CB),"")</f>
        <v>0</v>
      </c>
      <c r="H152" s="144">
        <f>IFERROR(_xlfn.XLOOKUP($B152,'Cronog. e Histog.'!$BZ:$BZ,'Cronog. e Histog.'!CC:CC),"")</f>
        <v>0</v>
      </c>
      <c r="I152" s="144">
        <f>IFERROR(_xlfn.XLOOKUP($B152,'Cronog. e Histog.'!$BZ:$BZ,'Cronog. e Histog.'!CD:CD),"")</f>
        <v>0</v>
      </c>
      <c r="J152" s="144">
        <f>IFERROR(_xlfn.XLOOKUP($B152,'Cronog. e Histog.'!$BZ:$BZ,'Cronog. e Histog.'!CE:CE),"")</f>
        <v>0</v>
      </c>
      <c r="K152" s="144">
        <f>IFERROR(_xlfn.XLOOKUP($B152,'Cronog. e Histog.'!$BZ:$BZ,'Cronog. e Histog.'!CF:CF),"")</f>
        <v>0</v>
      </c>
      <c r="L152" s="144">
        <f>IFERROR(_xlfn.XLOOKUP($B152,'Cronog. e Histog.'!$BZ:$BZ,'Cronog. e Histog.'!CG:CG),"")</f>
        <v>0</v>
      </c>
      <c r="M152" s="144">
        <f>IFERROR(_xlfn.XLOOKUP($B152,'Cronog. e Histog.'!$BZ:$BZ,'Cronog. e Histog.'!CH:CH),"")</f>
        <v>0</v>
      </c>
      <c r="N152" s="144">
        <f>IFERROR(_xlfn.XLOOKUP($B152,'Cronog. e Histog.'!$BZ:$BZ,'Cronog. e Histog.'!CI:CI),"")</f>
        <v>0</v>
      </c>
      <c r="O152" s="144">
        <f>IFERROR(_xlfn.XLOOKUP($B152,'Cronog. e Histog.'!$BZ:$BZ,'Cronog. e Histog.'!CJ:CJ),"")</f>
        <v>0</v>
      </c>
      <c r="P152" s="144">
        <f>IFERROR(_xlfn.XLOOKUP($B152,'Cronog. e Histog.'!$BZ:$BZ,'Cronog. e Histog.'!CK:CK),"")</f>
        <v>0</v>
      </c>
      <c r="Q152" s="144">
        <f>IFERROR(_xlfn.XLOOKUP($B152,'Cronog. e Histog.'!$BZ:$BZ,'Cronog. e Histog.'!CL:CL),"")</f>
        <v>0</v>
      </c>
      <c r="R152" s="144">
        <f>IFERROR(_xlfn.XLOOKUP($B152,'Cronog. e Histog.'!$BZ:$BZ,'Cronog. e Histog.'!CM:CM),"")</f>
        <v>0</v>
      </c>
      <c r="S152" s="144">
        <f>IFERROR(_xlfn.XLOOKUP($B152,'Cronog. e Histog.'!$BZ:$BZ,'Cronog. e Histog.'!CN:CN),"")</f>
        <v>0</v>
      </c>
      <c r="T152" s="144">
        <f>IFERROR(_xlfn.XLOOKUP($B152,'Cronog. e Histog.'!$BZ:$BZ,'Cronog. e Histog.'!CO:CO),"")</f>
        <v>0</v>
      </c>
      <c r="U152" s="144">
        <f>IFERROR(_xlfn.XLOOKUP($B152,'Cronog. e Histog.'!$BZ:$BZ,'Cronog. e Histog.'!CP:CP),"")</f>
        <v>0</v>
      </c>
      <c r="V152" s="144">
        <f>IFERROR(_xlfn.XLOOKUP($B152,'Cronog. e Histog.'!$BZ:$BZ,'Cronog. e Histog.'!CQ:CQ),"")</f>
        <v>0</v>
      </c>
      <c r="W152" s="144">
        <f>IFERROR(_xlfn.XLOOKUP($B152,'Cronog. e Histog.'!$BZ:$BZ,'Cronog. e Histog.'!CR:CR),"")</f>
        <v>0</v>
      </c>
      <c r="X152" s="144">
        <f>IFERROR(_xlfn.XLOOKUP($B152,'Cronog. e Histog.'!$BZ:$BZ,'Cronog. e Histog.'!CS:CS),"")</f>
        <v>0</v>
      </c>
      <c r="Y152" s="144">
        <f>IFERROR(_xlfn.XLOOKUP($B152,'Cronog. e Histog.'!$BZ:$BZ,'Cronog. e Histog.'!CT:CT),"")</f>
        <v>0</v>
      </c>
      <c r="Z152" s="144">
        <f>IFERROR(_xlfn.XLOOKUP($B152,'Cronog. e Histog.'!$BZ:$BZ,'Cronog. e Histog.'!CU:CU),"")</f>
        <v>0</v>
      </c>
      <c r="AA152" s="144">
        <f>IFERROR(_xlfn.XLOOKUP($B152,'Cronog. e Histog.'!$BZ:$BZ,'Cronog. e Histog.'!CV:CV),"")</f>
        <v>0</v>
      </c>
      <c r="AB152" s="144">
        <f>IFERROR(_xlfn.XLOOKUP($B152,'Cronog. e Histog.'!$BZ:$BZ,'Cronog. e Histog.'!CW:CW),"")</f>
        <v>0</v>
      </c>
      <c r="AC152" s="144">
        <f>IFERROR(_xlfn.XLOOKUP($B152,'Cronog. e Histog.'!$BZ:$BZ,'Cronog. e Histog.'!CX:CX),"")</f>
        <v>0</v>
      </c>
      <c r="AD152" s="144">
        <f>IFERROR(_xlfn.XLOOKUP($B152,'Cronog. e Histog.'!$BZ:$BZ,'Cronog. e Histog.'!CY:CY),"")</f>
        <v>0</v>
      </c>
      <c r="AE152" s="144">
        <f>IFERROR(_xlfn.XLOOKUP($B152,'Cronog. e Histog.'!$BZ:$BZ,'Cronog. e Histog.'!CZ:CZ),"")</f>
        <v>0</v>
      </c>
      <c r="AF152" s="144">
        <f>IFERROR(_xlfn.XLOOKUP($B152,'Cronog. e Histog.'!$BZ:$BZ,'Cronog. e Histog.'!DA:DA),"")</f>
        <v>0</v>
      </c>
      <c r="AG152" s="144">
        <f>IFERROR(_xlfn.XLOOKUP($B152,'Cronog. e Histog.'!$BZ:$BZ,'Cronog. e Histog.'!DB:DB),"")</f>
        <v>0</v>
      </c>
      <c r="AH152" s="144">
        <f>IFERROR(_xlfn.XLOOKUP($B152,'Cronog. e Histog.'!$BZ:$BZ,'Cronog. e Histog.'!DC:DC),"")</f>
        <v>0</v>
      </c>
      <c r="AI152" s="144">
        <f>IFERROR(_xlfn.XLOOKUP($B152,'Cronog. e Histog.'!$BZ:$BZ,'Cronog. e Histog.'!DD:DD),"")</f>
        <v>0</v>
      </c>
      <c r="AJ152" s="144">
        <f>IFERROR(_xlfn.XLOOKUP($B152,'Cronog. e Histog.'!$BZ:$BZ,'Cronog. e Histog.'!DE:DE),"")</f>
        <v>0</v>
      </c>
      <c r="AK152" s="144">
        <f>IFERROR(_xlfn.XLOOKUP($B152,'Cronog. e Histog.'!$BZ:$BZ,'Cronog. e Histog.'!DF:DF),"")</f>
        <v>0</v>
      </c>
      <c r="AL152" s="144">
        <f>IFERROR(_xlfn.XLOOKUP($B152,'Cronog. e Histog.'!$BZ:$BZ,'Cronog. e Histog.'!DG:DG),"")</f>
        <v>0</v>
      </c>
      <c r="AM152" s="144">
        <f>IFERROR(_xlfn.XLOOKUP($B152,'Cronog. e Histog.'!$BZ:$BZ,'Cronog. e Histog.'!DH:DH),"")</f>
        <v>0</v>
      </c>
      <c r="AN152" s="144">
        <f>IFERROR(_xlfn.XLOOKUP($B152,'Cronog. e Histog.'!$BZ:$BZ,'Cronog. e Histog.'!DI:DI),"")</f>
        <v>0</v>
      </c>
      <c r="AO152" s="144">
        <f>IFERROR(_xlfn.XLOOKUP($B152,'Cronog. e Histog.'!$BZ:$BZ,'Cronog. e Histog.'!DJ:DJ),"")</f>
        <v>0</v>
      </c>
      <c r="AP152" s="144">
        <f>IFERROR(_xlfn.XLOOKUP($B152,'Cronog. e Histog.'!$BZ:$BZ,'Cronog. e Histog.'!DK:DK),"")</f>
        <v>0</v>
      </c>
      <c r="AQ152" s="144">
        <f>IFERROR(_xlfn.XLOOKUP($B152,'Cronog. e Histog.'!$BZ:$BZ,'Cronog. e Histog.'!DL:DL),"")</f>
        <v>0</v>
      </c>
      <c r="AR152" s="144">
        <f>IFERROR(_xlfn.XLOOKUP($B152,'Cronog. e Histog.'!$BZ:$BZ,'Cronog. e Histog.'!DM:DM),"")</f>
        <v>0</v>
      </c>
      <c r="AS152" s="144">
        <f>IFERROR(_xlfn.XLOOKUP($B152,'Cronog. e Histog.'!$BZ:$BZ,'Cronog. e Histog.'!DN:DN),"")</f>
        <v>0</v>
      </c>
      <c r="AT152" s="144">
        <f>IFERROR(_xlfn.XLOOKUP($B152,'Cronog. e Histog.'!$BZ:$BZ,'Cronog. e Histog.'!DO:DO),"")</f>
        <v>0</v>
      </c>
      <c r="AU152" s="144">
        <f>IFERROR(_xlfn.XLOOKUP($B152,'Cronog. e Histog.'!$BZ:$BZ,'Cronog. e Histog.'!DP:DP),"")</f>
        <v>0</v>
      </c>
      <c r="AV152" s="144">
        <f>IFERROR(_xlfn.XLOOKUP($B152,'Cronog. e Histog.'!$BZ:$BZ,'Cronog. e Histog.'!DQ:DQ),"")</f>
        <v>0</v>
      </c>
      <c r="AW152" s="144">
        <f>IFERROR(_xlfn.XLOOKUP($B152,'Cronog. e Histog.'!$BZ:$BZ,'Cronog. e Histog.'!DR:DR),"")</f>
        <v>0</v>
      </c>
      <c r="AX152" s="144">
        <f>IFERROR(_xlfn.XLOOKUP($B152,'Cronog. e Histog.'!$BZ:$BZ,'Cronog. e Histog.'!DS:DS),"")</f>
        <v>0</v>
      </c>
      <c r="AY152" s="144">
        <f>IFERROR(_xlfn.XLOOKUP($B152,'Cronog. e Histog.'!$BZ:$BZ,'Cronog. e Histog.'!DT:DT),"")</f>
        <v>0</v>
      </c>
      <c r="AZ152" s="144">
        <f>IFERROR(_xlfn.XLOOKUP($B152,'Cronog. e Histog.'!$BZ:$BZ,'Cronog. e Histog.'!DU:DU),"")</f>
        <v>0</v>
      </c>
      <c r="BA152" s="144">
        <f>IFERROR(_xlfn.XLOOKUP($B152,'Cronog. e Histog.'!$BZ:$BZ,'Cronog. e Histog.'!DV:DV),"")</f>
        <v>0</v>
      </c>
      <c r="BB152" s="144">
        <f>IFERROR(_xlfn.XLOOKUP($B152,'Cronog. e Histog.'!$BZ:$BZ,'Cronog. e Histog.'!DW:DW),"")</f>
        <v>0</v>
      </c>
      <c r="BC152" s="144">
        <f>IFERROR(_xlfn.XLOOKUP($B152,'Cronog. e Histog.'!$BZ:$BZ,'Cronog. e Histog.'!DX:DX),"")</f>
        <v>0</v>
      </c>
      <c r="BD152" s="144">
        <f>IFERROR(_xlfn.XLOOKUP($B152,'Cronog. e Histog.'!$BZ:$BZ,'Cronog. e Histog.'!DY:DY),"")</f>
        <v>0</v>
      </c>
      <c r="BE152" s="144">
        <f>IFERROR(_xlfn.XLOOKUP($B152,'Cronog. e Histog.'!$BZ:$BZ,'Cronog. e Histog.'!DZ:DZ),"")</f>
        <v>0</v>
      </c>
      <c r="BF152" s="144">
        <f>IFERROR(_xlfn.XLOOKUP($B152,'Cronog. e Histog.'!$BZ:$BZ,'Cronog. e Histog.'!EA:EA),"")</f>
        <v>0</v>
      </c>
      <c r="BG152" s="144">
        <f>IFERROR(_xlfn.XLOOKUP($B152,'Cronog. e Histog.'!$BZ:$BZ,'Cronog. e Histog.'!EB:EB),"")</f>
        <v>0</v>
      </c>
      <c r="BH152" s="144">
        <f>IFERROR(_xlfn.XLOOKUP($B152,'Cronog. e Histog.'!$BZ:$BZ,'Cronog. e Histog.'!EC:EC),"")</f>
        <v>0</v>
      </c>
      <c r="BI152" s="144">
        <f>IFERROR(_xlfn.XLOOKUP($B152,'Cronog. e Histog.'!$BZ:$BZ,'Cronog. e Histog.'!ED:ED),"")</f>
        <v>0</v>
      </c>
      <c r="BJ152" s="144">
        <f>IFERROR(_xlfn.XLOOKUP($B152,'Cronog. e Histog.'!$BZ:$BZ,'Cronog. e Histog.'!EE:EE),"")</f>
        <v>0</v>
      </c>
      <c r="BK152" s="144">
        <f>IFERROR(_xlfn.XLOOKUP($B152,'Cronog. e Histog.'!$BZ:$BZ,'Cronog. e Histog.'!EF:EF),"")</f>
        <v>0</v>
      </c>
      <c r="BL152" s="144">
        <f>IFERROR(_xlfn.XLOOKUP($B152,'Cronog. e Histog.'!$BZ:$BZ,'Cronog. e Histog.'!EG:EG),"")</f>
        <v>0</v>
      </c>
      <c r="BM152" s="144">
        <f>IFERROR(_xlfn.XLOOKUP($B152,'Cronog. e Histog.'!$BZ:$BZ,'Cronog. e Histog.'!EH:EH),"")</f>
        <v>0</v>
      </c>
      <c r="BN152" s="144">
        <f>IFERROR(_xlfn.XLOOKUP($B152,'Cronog. e Histog.'!$BZ:$BZ,'Cronog. e Histog.'!EI:EI),"")</f>
        <v>0</v>
      </c>
    </row>
    <row r="153" spans="2:66" ht="12" hidden="1" customHeight="1" outlineLevel="1">
      <c r="B153" s="76">
        <v>147</v>
      </c>
      <c r="C153" s="143" t="str">
        <f>IFERROR(VLOOKUP(B153,'Cronog. e Histog.'!$BZ$213:$CA$747,2,0),"")</f>
        <v>AN SR. ENG/ARQ</v>
      </c>
      <c r="D153" s="144">
        <f t="shared" si="4"/>
        <v>0</v>
      </c>
      <c r="E153" s="144">
        <f t="shared" si="5"/>
        <v>0</v>
      </c>
      <c r="F153" s="65"/>
      <c r="G153" s="144">
        <f>IFERROR(_xlfn.XLOOKUP($B153,'Cronog. e Histog.'!$BZ:$BZ,'Cronog. e Histog.'!CB:CB),"")</f>
        <v>0</v>
      </c>
      <c r="H153" s="144">
        <f>IFERROR(_xlfn.XLOOKUP($B153,'Cronog. e Histog.'!$BZ:$BZ,'Cronog. e Histog.'!CC:CC),"")</f>
        <v>0</v>
      </c>
      <c r="I153" s="144">
        <f>IFERROR(_xlfn.XLOOKUP($B153,'Cronog. e Histog.'!$BZ:$BZ,'Cronog. e Histog.'!CD:CD),"")</f>
        <v>0</v>
      </c>
      <c r="J153" s="144">
        <f>IFERROR(_xlfn.XLOOKUP($B153,'Cronog. e Histog.'!$BZ:$BZ,'Cronog. e Histog.'!CE:CE),"")</f>
        <v>0</v>
      </c>
      <c r="K153" s="144">
        <f>IFERROR(_xlfn.XLOOKUP($B153,'Cronog. e Histog.'!$BZ:$BZ,'Cronog. e Histog.'!CF:CF),"")</f>
        <v>0</v>
      </c>
      <c r="L153" s="144">
        <f>IFERROR(_xlfn.XLOOKUP($B153,'Cronog. e Histog.'!$BZ:$BZ,'Cronog. e Histog.'!CG:CG),"")</f>
        <v>0</v>
      </c>
      <c r="M153" s="144">
        <f>IFERROR(_xlfn.XLOOKUP($B153,'Cronog. e Histog.'!$BZ:$BZ,'Cronog. e Histog.'!CH:CH),"")</f>
        <v>0</v>
      </c>
      <c r="N153" s="144">
        <f>IFERROR(_xlfn.XLOOKUP($B153,'Cronog. e Histog.'!$BZ:$BZ,'Cronog. e Histog.'!CI:CI),"")</f>
        <v>0</v>
      </c>
      <c r="O153" s="144">
        <f>IFERROR(_xlfn.XLOOKUP($B153,'Cronog. e Histog.'!$BZ:$BZ,'Cronog. e Histog.'!CJ:CJ),"")</f>
        <v>0</v>
      </c>
      <c r="P153" s="144">
        <f>IFERROR(_xlfn.XLOOKUP($B153,'Cronog. e Histog.'!$BZ:$BZ,'Cronog. e Histog.'!CK:CK),"")</f>
        <v>0</v>
      </c>
      <c r="Q153" s="144">
        <f>IFERROR(_xlfn.XLOOKUP($B153,'Cronog. e Histog.'!$BZ:$BZ,'Cronog. e Histog.'!CL:CL),"")</f>
        <v>0</v>
      </c>
      <c r="R153" s="144">
        <f>IFERROR(_xlfn.XLOOKUP($B153,'Cronog. e Histog.'!$BZ:$BZ,'Cronog. e Histog.'!CM:CM),"")</f>
        <v>0</v>
      </c>
      <c r="S153" s="144">
        <f>IFERROR(_xlfn.XLOOKUP($B153,'Cronog. e Histog.'!$BZ:$BZ,'Cronog. e Histog.'!CN:CN),"")</f>
        <v>0</v>
      </c>
      <c r="T153" s="144">
        <f>IFERROR(_xlfn.XLOOKUP($B153,'Cronog. e Histog.'!$BZ:$BZ,'Cronog. e Histog.'!CO:CO),"")</f>
        <v>0</v>
      </c>
      <c r="U153" s="144">
        <f>IFERROR(_xlfn.XLOOKUP($B153,'Cronog. e Histog.'!$BZ:$BZ,'Cronog. e Histog.'!CP:CP),"")</f>
        <v>0</v>
      </c>
      <c r="V153" s="144">
        <f>IFERROR(_xlfn.XLOOKUP($B153,'Cronog. e Histog.'!$BZ:$BZ,'Cronog. e Histog.'!CQ:CQ),"")</f>
        <v>0</v>
      </c>
      <c r="W153" s="144">
        <f>IFERROR(_xlfn.XLOOKUP($B153,'Cronog. e Histog.'!$BZ:$BZ,'Cronog. e Histog.'!CR:CR),"")</f>
        <v>0</v>
      </c>
      <c r="X153" s="144">
        <f>IFERROR(_xlfn.XLOOKUP($B153,'Cronog. e Histog.'!$BZ:$BZ,'Cronog. e Histog.'!CS:CS),"")</f>
        <v>0</v>
      </c>
      <c r="Y153" s="144">
        <f>IFERROR(_xlfn.XLOOKUP($B153,'Cronog. e Histog.'!$BZ:$BZ,'Cronog. e Histog.'!CT:CT),"")</f>
        <v>0</v>
      </c>
      <c r="Z153" s="144">
        <f>IFERROR(_xlfn.XLOOKUP($B153,'Cronog. e Histog.'!$BZ:$BZ,'Cronog. e Histog.'!CU:CU),"")</f>
        <v>0</v>
      </c>
      <c r="AA153" s="144">
        <f>IFERROR(_xlfn.XLOOKUP($B153,'Cronog. e Histog.'!$BZ:$BZ,'Cronog. e Histog.'!CV:CV),"")</f>
        <v>0</v>
      </c>
      <c r="AB153" s="144">
        <f>IFERROR(_xlfn.XLOOKUP($B153,'Cronog. e Histog.'!$BZ:$BZ,'Cronog. e Histog.'!CW:CW),"")</f>
        <v>0</v>
      </c>
      <c r="AC153" s="144">
        <f>IFERROR(_xlfn.XLOOKUP($B153,'Cronog. e Histog.'!$BZ:$BZ,'Cronog. e Histog.'!CX:CX),"")</f>
        <v>0</v>
      </c>
      <c r="AD153" s="144">
        <f>IFERROR(_xlfn.XLOOKUP($B153,'Cronog. e Histog.'!$BZ:$BZ,'Cronog. e Histog.'!CY:CY),"")</f>
        <v>0</v>
      </c>
      <c r="AE153" s="144">
        <f>IFERROR(_xlfn.XLOOKUP($B153,'Cronog. e Histog.'!$BZ:$BZ,'Cronog. e Histog.'!CZ:CZ),"")</f>
        <v>0</v>
      </c>
      <c r="AF153" s="144">
        <f>IFERROR(_xlfn.XLOOKUP($B153,'Cronog. e Histog.'!$BZ:$BZ,'Cronog. e Histog.'!DA:DA),"")</f>
        <v>0</v>
      </c>
      <c r="AG153" s="144">
        <f>IFERROR(_xlfn.XLOOKUP($B153,'Cronog. e Histog.'!$BZ:$BZ,'Cronog. e Histog.'!DB:DB),"")</f>
        <v>0</v>
      </c>
      <c r="AH153" s="144">
        <f>IFERROR(_xlfn.XLOOKUP($B153,'Cronog. e Histog.'!$BZ:$BZ,'Cronog. e Histog.'!DC:DC),"")</f>
        <v>0</v>
      </c>
      <c r="AI153" s="144">
        <f>IFERROR(_xlfn.XLOOKUP($B153,'Cronog. e Histog.'!$BZ:$BZ,'Cronog. e Histog.'!DD:DD),"")</f>
        <v>0</v>
      </c>
      <c r="AJ153" s="144">
        <f>IFERROR(_xlfn.XLOOKUP($B153,'Cronog. e Histog.'!$BZ:$BZ,'Cronog. e Histog.'!DE:DE),"")</f>
        <v>0</v>
      </c>
      <c r="AK153" s="144">
        <f>IFERROR(_xlfn.XLOOKUP($B153,'Cronog. e Histog.'!$BZ:$BZ,'Cronog. e Histog.'!DF:DF),"")</f>
        <v>0</v>
      </c>
      <c r="AL153" s="144">
        <f>IFERROR(_xlfn.XLOOKUP($B153,'Cronog. e Histog.'!$BZ:$BZ,'Cronog. e Histog.'!DG:DG),"")</f>
        <v>0</v>
      </c>
      <c r="AM153" s="144">
        <f>IFERROR(_xlfn.XLOOKUP($B153,'Cronog. e Histog.'!$BZ:$BZ,'Cronog. e Histog.'!DH:DH),"")</f>
        <v>0</v>
      </c>
      <c r="AN153" s="144">
        <f>IFERROR(_xlfn.XLOOKUP($B153,'Cronog. e Histog.'!$BZ:$BZ,'Cronog. e Histog.'!DI:DI),"")</f>
        <v>0</v>
      </c>
      <c r="AO153" s="144">
        <f>IFERROR(_xlfn.XLOOKUP($B153,'Cronog. e Histog.'!$BZ:$BZ,'Cronog. e Histog.'!DJ:DJ),"")</f>
        <v>0</v>
      </c>
      <c r="AP153" s="144">
        <f>IFERROR(_xlfn.XLOOKUP($B153,'Cronog. e Histog.'!$BZ:$BZ,'Cronog. e Histog.'!DK:DK),"")</f>
        <v>0</v>
      </c>
      <c r="AQ153" s="144">
        <f>IFERROR(_xlfn.XLOOKUP($B153,'Cronog. e Histog.'!$BZ:$BZ,'Cronog. e Histog.'!DL:DL),"")</f>
        <v>0</v>
      </c>
      <c r="AR153" s="144">
        <f>IFERROR(_xlfn.XLOOKUP($B153,'Cronog. e Histog.'!$BZ:$BZ,'Cronog. e Histog.'!DM:DM),"")</f>
        <v>0</v>
      </c>
      <c r="AS153" s="144">
        <f>IFERROR(_xlfn.XLOOKUP($B153,'Cronog. e Histog.'!$BZ:$BZ,'Cronog. e Histog.'!DN:DN),"")</f>
        <v>0</v>
      </c>
      <c r="AT153" s="144">
        <f>IFERROR(_xlfn.XLOOKUP($B153,'Cronog. e Histog.'!$BZ:$BZ,'Cronog. e Histog.'!DO:DO),"")</f>
        <v>0</v>
      </c>
      <c r="AU153" s="144">
        <f>IFERROR(_xlfn.XLOOKUP($B153,'Cronog. e Histog.'!$BZ:$BZ,'Cronog. e Histog.'!DP:DP),"")</f>
        <v>0</v>
      </c>
      <c r="AV153" s="144">
        <f>IFERROR(_xlfn.XLOOKUP($B153,'Cronog. e Histog.'!$BZ:$BZ,'Cronog. e Histog.'!DQ:DQ),"")</f>
        <v>0</v>
      </c>
      <c r="AW153" s="144">
        <f>IFERROR(_xlfn.XLOOKUP($B153,'Cronog. e Histog.'!$BZ:$BZ,'Cronog. e Histog.'!DR:DR),"")</f>
        <v>0</v>
      </c>
      <c r="AX153" s="144">
        <f>IFERROR(_xlfn.XLOOKUP($B153,'Cronog. e Histog.'!$BZ:$BZ,'Cronog. e Histog.'!DS:DS),"")</f>
        <v>0</v>
      </c>
      <c r="AY153" s="144">
        <f>IFERROR(_xlfn.XLOOKUP($B153,'Cronog. e Histog.'!$BZ:$BZ,'Cronog. e Histog.'!DT:DT),"")</f>
        <v>0</v>
      </c>
      <c r="AZ153" s="144">
        <f>IFERROR(_xlfn.XLOOKUP($B153,'Cronog. e Histog.'!$BZ:$BZ,'Cronog. e Histog.'!DU:DU),"")</f>
        <v>0</v>
      </c>
      <c r="BA153" s="144">
        <f>IFERROR(_xlfn.XLOOKUP($B153,'Cronog. e Histog.'!$BZ:$BZ,'Cronog. e Histog.'!DV:DV),"")</f>
        <v>0</v>
      </c>
      <c r="BB153" s="144">
        <f>IFERROR(_xlfn.XLOOKUP($B153,'Cronog. e Histog.'!$BZ:$BZ,'Cronog. e Histog.'!DW:DW),"")</f>
        <v>0</v>
      </c>
      <c r="BC153" s="144">
        <f>IFERROR(_xlfn.XLOOKUP($B153,'Cronog. e Histog.'!$BZ:$BZ,'Cronog. e Histog.'!DX:DX),"")</f>
        <v>0</v>
      </c>
      <c r="BD153" s="144">
        <f>IFERROR(_xlfn.XLOOKUP($B153,'Cronog. e Histog.'!$BZ:$BZ,'Cronog. e Histog.'!DY:DY),"")</f>
        <v>0</v>
      </c>
      <c r="BE153" s="144">
        <f>IFERROR(_xlfn.XLOOKUP($B153,'Cronog. e Histog.'!$BZ:$BZ,'Cronog. e Histog.'!DZ:DZ),"")</f>
        <v>0</v>
      </c>
      <c r="BF153" s="144">
        <f>IFERROR(_xlfn.XLOOKUP($B153,'Cronog. e Histog.'!$BZ:$BZ,'Cronog. e Histog.'!EA:EA),"")</f>
        <v>0</v>
      </c>
      <c r="BG153" s="144">
        <f>IFERROR(_xlfn.XLOOKUP($B153,'Cronog. e Histog.'!$BZ:$BZ,'Cronog. e Histog.'!EB:EB),"")</f>
        <v>0</v>
      </c>
      <c r="BH153" s="144">
        <f>IFERROR(_xlfn.XLOOKUP($B153,'Cronog. e Histog.'!$BZ:$BZ,'Cronog. e Histog.'!EC:EC),"")</f>
        <v>0</v>
      </c>
      <c r="BI153" s="144">
        <f>IFERROR(_xlfn.XLOOKUP($B153,'Cronog. e Histog.'!$BZ:$BZ,'Cronog. e Histog.'!ED:ED),"")</f>
        <v>0</v>
      </c>
      <c r="BJ153" s="144">
        <f>IFERROR(_xlfn.XLOOKUP($B153,'Cronog. e Histog.'!$BZ:$BZ,'Cronog. e Histog.'!EE:EE),"")</f>
        <v>0</v>
      </c>
      <c r="BK153" s="144">
        <f>IFERROR(_xlfn.XLOOKUP($B153,'Cronog. e Histog.'!$BZ:$BZ,'Cronog. e Histog.'!EF:EF),"")</f>
        <v>0</v>
      </c>
      <c r="BL153" s="144">
        <f>IFERROR(_xlfn.XLOOKUP($B153,'Cronog. e Histog.'!$BZ:$BZ,'Cronog. e Histog.'!EG:EG),"")</f>
        <v>0</v>
      </c>
      <c r="BM153" s="144">
        <f>IFERROR(_xlfn.XLOOKUP($B153,'Cronog. e Histog.'!$BZ:$BZ,'Cronog. e Histog.'!EH:EH),"")</f>
        <v>0</v>
      </c>
      <c r="BN153" s="144">
        <f>IFERROR(_xlfn.XLOOKUP($B153,'Cronog. e Histog.'!$BZ:$BZ,'Cronog. e Histog.'!EI:EI),"")</f>
        <v>0</v>
      </c>
    </row>
    <row r="154" spans="2:66" ht="12" hidden="1" customHeight="1" outlineLevel="1">
      <c r="B154" s="76">
        <v>148</v>
      </c>
      <c r="C154" s="143" t="str">
        <f>IFERROR(VLOOKUP(B154,'Cronog. e Histog.'!$BZ$213:$CA$747,2,0),"")</f>
        <v>AN PL. ENG/ARQ</v>
      </c>
      <c r="D154" s="144">
        <f t="shared" si="4"/>
        <v>0</v>
      </c>
      <c r="E154" s="144">
        <f t="shared" si="5"/>
        <v>0</v>
      </c>
      <c r="F154" s="65"/>
      <c r="G154" s="144">
        <f>IFERROR(_xlfn.XLOOKUP($B154,'Cronog. e Histog.'!$BZ:$BZ,'Cronog. e Histog.'!CB:CB),"")</f>
        <v>0</v>
      </c>
      <c r="H154" s="144">
        <f>IFERROR(_xlfn.XLOOKUP($B154,'Cronog. e Histog.'!$BZ:$BZ,'Cronog. e Histog.'!CC:CC),"")</f>
        <v>0</v>
      </c>
      <c r="I154" s="144">
        <f>IFERROR(_xlfn.XLOOKUP($B154,'Cronog. e Histog.'!$BZ:$BZ,'Cronog. e Histog.'!CD:CD),"")</f>
        <v>0</v>
      </c>
      <c r="J154" s="144">
        <f>IFERROR(_xlfn.XLOOKUP($B154,'Cronog. e Histog.'!$BZ:$BZ,'Cronog. e Histog.'!CE:CE),"")</f>
        <v>0</v>
      </c>
      <c r="K154" s="144">
        <f>IFERROR(_xlfn.XLOOKUP($B154,'Cronog. e Histog.'!$BZ:$BZ,'Cronog. e Histog.'!CF:CF),"")</f>
        <v>0</v>
      </c>
      <c r="L154" s="144">
        <f>IFERROR(_xlfn.XLOOKUP($B154,'Cronog. e Histog.'!$BZ:$BZ,'Cronog. e Histog.'!CG:CG),"")</f>
        <v>0</v>
      </c>
      <c r="M154" s="144">
        <f>IFERROR(_xlfn.XLOOKUP($B154,'Cronog. e Histog.'!$BZ:$BZ,'Cronog. e Histog.'!CH:CH),"")</f>
        <v>0</v>
      </c>
      <c r="N154" s="144">
        <f>IFERROR(_xlfn.XLOOKUP($B154,'Cronog. e Histog.'!$BZ:$BZ,'Cronog. e Histog.'!CI:CI),"")</f>
        <v>0</v>
      </c>
      <c r="O154" s="144">
        <f>IFERROR(_xlfn.XLOOKUP($B154,'Cronog. e Histog.'!$BZ:$BZ,'Cronog. e Histog.'!CJ:CJ),"")</f>
        <v>0</v>
      </c>
      <c r="P154" s="144">
        <f>IFERROR(_xlfn.XLOOKUP($B154,'Cronog. e Histog.'!$BZ:$BZ,'Cronog. e Histog.'!CK:CK),"")</f>
        <v>0</v>
      </c>
      <c r="Q154" s="144">
        <f>IFERROR(_xlfn.XLOOKUP($B154,'Cronog. e Histog.'!$BZ:$BZ,'Cronog. e Histog.'!CL:CL),"")</f>
        <v>0</v>
      </c>
      <c r="R154" s="144">
        <f>IFERROR(_xlfn.XLOOKUP($B154,'Cronog. e Histog.'!$BZ:$BZ,'Cronog. e Histog.'!CM:CM),"")</f>
        <v>0</v>
      </c>
      <c r="S154" s="144">
        <f>IFERROR(_xlfn.XLOOKUP($B154,'Cronog. e Histog.'!$BZ:$BZ,'Cronog. e Histog.'!CN:CN),"")</f>
        <v>0</v>
      </c>
      <c r="T154" s="144">
        <f>IFERROR(_xlfn.XLOOKUP($B154,'Cronog. e Histog.'!$BZ:$BZ,'Cronog. e Histog.'!CO:CO),"")</f>
        <v>0</v>
      </c>
      <c r="U154" s="144">
        <f>IFERROR(_xlfn.XLOOKUP($B154,'Cronog. e Histog.'!$BZ:$BZ,'Cronog. e Histog.'!CP:CP),"")</f>
        <v>0</v>
      </c>
      <c r="V154" s="144">
        <f>IFERROR(_xlfn.XLOOKUP($B154,'Cronog. e Histog.'!$BZ:$BZ,'Cronog. e Histog.'!CQ:CQ),"")</f>
        <v>0</v>
      </c>
      <c r="W154" s="144">
        <f>IFERROR(_xlfn.XLOOKUP($B154,'Cronog. e Histog.'!$BZ:$BZ,'Cronog. e Histog.'!CR:CR),"")</f>
        <v>0</v>
      </c>
      <c r="X154" s="144">
        <f>IFERROR(_xlfn.XLOOKUP($B154,'Cronog. e Histog.'!$BZ:$BZ,'Cronog. e Histog.'!CS:CS),"")</f>
        <v>0</v>
      </c>
      <c r="Y154" s="144">
        <f>IFERROR(_xlfn.XLOOKUP($B154,'Cronog. e Histog.'!$BZ:$BZ,'Cronog. e Histog.'!CT:CT),"")</f>
        <v>0</v>
      </c>
      <c r="Z154" s="144">
        <f>IFERROR(_xlfn.XLOOKUP($B154,'Cronog. e Histog.'!$BZ:$BZ,'Cronog. e Histog.'!CU:CU),"")</f>
        <v>0</v>
      </c>
      <c r="AA154" s="144">
        <f>IFERROR(_xlfn.XLOOKUP($B154,'Cronog. e Histog.'!$BZ:$BZ,'Cronog. e Histog.'!CV:CV),"")</f>
        <v>0</v>
      </c>
      <c r="AB154" s="144">
        <f>IFERROR(_xlfn.XLOOKUP($B154,'Cronog. e Histog.'!$BZ:$BZ,'Cronog. e Histog.'!CW:CW),"")</f>
        <v>0</v>
      </c>
      <c r="AC154" s="144">
        <f>IFERROR(_xlfn.XLOOKUP($B154,'Cronog. e Histog.'!$BZ:$BZ,'Cronog. e Histog.'!CX:CX),"")</f>
        <v>0</v>
      </c>
      <c r="AD154" s="144">
        <f>IFERROR(_xlfn.XLOOKUP($B154,'Cronog. e Histog.'!$BZ:$BZ,'Cronog. e Histog.'!CY:CY),"")</f>
        <v>0</v>
      </c>
      <c r="AE154" s="144">
        <f>IFERROR(_xlfn.XLOOKUP($B154,'Cronog. e Histog.'!$BZ:$BZ,'Cronog. e Histog.'!CZ:CZ),"")</f>
        <v>0</v>
      </c>
      <c r="AF154" s="144">
        <f>IFERROR(_xlfn.XLOOKUP($B154,'Cronog. e Histog.'!$BZ:$BZ,'Cronog. e Histog.'!DA:DA),"")</f>
        <v>0</v>
      </c>
      <c r="AG154" s="144">
        <f>IFERROR(_xlfn.XLOOKUP($B154,'Cronog. e Histog.'!$BZ:$BZ,'Cronog. e Histog.'!DB:DB),"")</f>
        <v>0</v>
      </c>
      <c r="AH154" s="144">
        <f>IFERROR(_xlfn.XLOOKUP($B154,'Cronog. e Histog.'!$BZ:$BZ,'Cronog. e Histog.'!DC:DC),"")</f>
        <v>0</v>
      </c>
      <c r="AI154" s="144">
        <f>IFERROR(_xlfn.XLOOKUP($B154,'Cronog. e Histog.'!$BZ:$BZ,'Cronog. e Histog.'!DD:DD),"")</f>
        <v>0</v>
      </c>
      <c r="AJ154" s="144">
        <f>IFERROR(_xlfn.XLOOKUP($B154,'Cronog. e Histog.'!$BZ:$BZ,'Cronog. e Histog.'!DE:DE),"")</f>
        <v>0</v>
      </c>
      <c r="AK154" s="144">
        <f>IFERROR(_xlfn.XLOOKUP($B154,'Cronog. e Histog.'!$BZ:$BZ,'Cronog. e Histog.'!DF:DF),"")</f>
        <v>0</v>
      </c>
      <c r="AL154" s="144">
        <f>IFERROR(_xlfn.XLOOKUP($B154,'Cronog. e Histog.'!$BZ:$BZ,'Cronog. e Histog.'!DG:DG),"")</f>
        <v>0</v>
      </c>
      <c r="AM154" s="144">
        <f>IFERROR(_xlfn.XLOOKUP($B154,'Cronog. e Histog.'!$BZ:$BZ,'Cronog. e Histog.'!DH:DH),"")</f>
        <v>0</v>
      </c>
      <c r="AN154" s="144">
        <f>IFERROR(_xlfn.XLOOKUP($B154,'Cronog. e Histog.'!$BZ:$BZ,'Cronog. e Histog.'!DI:DI),"")</f>
        <v>0</v>
      </c>
      <c r="AO154" s="144">
        <f>IFERROR(_xlfn.XLOOKUP($B154,'Cronog. e Histog.'!$BZ:$BZ,'Cronog. e Histog.'!DJ:DJ),"")</f>
        <v>0</v>
      </c>
      <c r="AP154" s="144">
        <f>IFERROR(_xlfn.XLOOKUP($B154,'Cronog. e Histog.'!$BZ:$BZ,'Cronog. e Histog.'!DK:DK),"")</f>
        <v>0</v>
      </c>
      <c r="AQ154" s="144">
        <f>IFERROR(_xlfn.XLOOKUP($B154,'Cronog. e Histog.'!$BZ:$BZ,'Cronog. e Histog.'!DL:DL),"")</f>
        <v>0</v>
      </c>
      <c r="AR154" s="144">
        <f>IFERROR(_xlfn.XLOOKUP($B154,'Cronog. e Histog.'!$BZ:$BZ,'Cronog. e Histog.'!DM:DM),"")</f>
        <v>0</v>
      </c>
      <c r="AS154" s="144">
        <f>IFERROR(_xlfn.XLOOKUP($B154,'Cronog. e Histog.'!$BZ:$BZ,'Cronog. e Histog.'!DN:DN),"")</f>
        <v>0</v>
      </c>
      <c r="AT154" s="144">
        <f>IFERROR(_xlfn.XLOOKUP($B154,'Cronog. e Histog.'!$BZ:$BZ,'Cronog. e Histog.'!DO:DO),"")</f>
        <v>0</v>
      </c>
      <c r="AU154" s="144">
        <f>IFERROR(_xlfn.XLOOKUP($B154,'Cronog. e Histog.'!$BZ:$BZ,'Cronog. e Histog.'!DP:DP),"")</f>
        <v>0</v>
      </c>
      <c r="AV154" s="144">
        <f>IFERROR(_xlfn.XLOOKUP($B154,'Cronog. e Histog.'!$BZ:$BZ,'Cronog. e Histog.'!DQ:DQ),"")</f>
        <v>0</v>
      </c>
      <c r="AW154" s="144">
        <f>IFERROR(_xlfn.XLOOKUP($B154,'Cronog. e Histog.'!$BZ:$BZ,'Cronog. e Histog.'!DR:DR),"")</f>
        <v>0</v>
      </c>
      <c r="AX154" s="144">
        <f>IFERROR(_xlfn.XLOOKUP($B154,'Cronog. e Histog.'!$BZ:$BZ,'Cronog. e Histog.'!DS:DS),"")</f>
        <v>0</v>
      </c>
      <c r="AY154" s="144">
        <f>IFERROR(_xlfn.XLOOKUP($B154,'Cronog. e Histog.'!$BZ:$BZ,'Cronog. e Histog.'!DT:DT),"")</f>
        <v>0</v>
      </c>
      <c r="AZ154" s="144">
        <f>IFERROR(_xlfn.XLOOKUP($B154,'Cronog. e Histog.'!$BZ:$BZ,'Cronog. e Histog.'!DU:DU),"")</f>
        <v>0</v>
      </c>
      <c r="BA154" s="144">
        <f>IFERROR(_xlfn.XLOOKUP($B154,'Cronog. e Histog.'!$BZ:$BZ,'Cronog. e Histog.'!DV:DV),"")</f>
        <v>0</v>
      </c>
      <c r="BB154" s="144">
        <f>IFERROR(_xlfn.XLOOKUP($B154,'Cronog. e Histog.'!$BZ:$BZ,'Cronog. e Histog.'!DW:DW),"")</f>
        <v>0</v>
      </c>
      <c r="BC154" s="144">
        <f>IFERROR(_xlfn.XLOOKUP($B154,'Cronog. e Histog.'!$BZ:$BZ,'Cronog. e Histog.'!DX:DX),"")</f>
        <v>0</v>
      </c>
      <c r="BD154" s="144">
        <f>IFERROR(_xlfn.XLOOKUP($B154,'Cronog. e Histog.'!$BZ:$BZ,'Cronog. e Histog.'!DY:DY),"")</f>
        <v>0</v>
      </c>
      <c r="BE154" s="144">
        <f>IFERROR(_xlfn.XLOOKUP($B154,'Cronog. e Histog.'!$BZ:$BZ,'Cronog. e Histog.'!DZ:DZ),"")</f>
        <v>0</v>
      </c>
      <c r="BF154" s="144">
        <f>IFERROR(_xlfn.XLOOKUP($B154,'Cronog. e Histog.'!$BZ:$BZ,'Cronog. e Histog.'!EA:EA),"")</f>
        <v>0</v>
      </c>
      <c r="BG154" s="144">
        <f>IFERROR(_xlfn.XLOOKUP($B154,'Cronog. e Histog.'!$BZ:$BZ,'Cronog. e Histog.'!EB:EB),"")</f>
        <v>0</v>
      </c>
      <c r="BH154" s="144">
        <f>IFERROR(_xlfn.XLOOKUP($B154,'Cronog. e Histog.'!$BZ:$BZ,'Cronog. e Histog.'!EC:EC),"")</f>
        <v>0</v>
      </c>
      <c r="BI154" s="144">
        <f>IFERROR(_xlfn.XLOOKUP($B154,'Cronog. e Histog.'!$BZ:$BZ,'Cronog. e Histog.'!ED:ED),"")</f>
        <v>0</v>
      </c>
      <c r="BJ154" s="144">
        <f>IFERROR(_xlfn.XLOOKUP($B154,'Cronog. e Histog.'!$BZ:$BZ,'Cronog. e Histog.'!EE:EE),"")</f>
        <v>0</v>
      </c>
      <c r="BK154" s="144">
        <f>IFERROR(_xlfn.XLOOKUP($B154,'Cronog. e Histog.'!$BZ:$BZ,'Cronog. e Histog.'!EF:EF),"")</f>
        <v>0</v>
      </c>
      <c r="BL154" s="144">
        <f>IFERROR(_xlfn.XLOOKUP($B154,'Cronog. e Histog.'!$BZ:$BZ,'Cronog. e Histog.'!EG:EG),"")</f>
        <v>0</v>
      </c>
      <c r="BM154" s="144">
        <f>IFERROR(_xlfn.XLOOKUP($B154,'Cronog. e Histog.'!$BZ:$BZ,'Cronog. e Histog.'!EH:EH),"")</f>
        <v>0</v>
      </c>
      <c r="BN154" s="144">
        <f>IFERROR(_xlfn.XLOOKUP($B154,'Cronog. e Histog.'!$BZ:$BZ,'Cronog. e Histog.'!EI:EI),"")</f>
        <v>0</v>
      </c>
    </row>
    <row r="155" spans="2:66" ht="12" hidden="1" customHeight="1" outlineLevel="1">
      <c r="B155" s="76">
        <v>149</v>
      </c>
      <c r="C155" s="143" t="str">
        <f>IFERROR(VLOOKUP(B155,'Cronog. e Histog.'!$BZ$213:$CA$747,2,0),"")</f>
        <v>AN JR. ENG/ARQ</v>
      </c>
      <c r="D155" s="144">
        <f t="shared" si="4"/>
        <v>0</v>
      </c>
      <c r="E155" s="144">
        <f t="shared" si="5"/>
        <v>0</v>
      </c>
      <c r="F155" s="65"/>
      <c r="G155" s="144">
        <f>IFERROR(_xlfn.XLOOKUP($B155,'Cronog. e Histog.'!$BZ:$BZ,'Cronog. e Histog.'!CB:CB),"")</f>
        <v>0</v>
      </c>
      <c r="H155" s="144">
        <f>IFERROR(_xlfn.XLOOKUP($B155,'Cronog. e Histog.'!$BZ:$BZ,'Cronog. e Histog.'!CC:CC),"")</f>
        <v>0</v>
      </c>
      <c r="I155" s="144">
        <f>IFERROR(_xlfn.XLOOKUP($B155,'Cronog. e Histog.'!$BZ:$BZ,'Cronog. e Histog.'!CD:CD),"")</f>
        <v>0</v>
      </c>
      <c r="J155" s="144">
        <f>IFERROR(_xlfn.XLOOKUP($B155,'Cronog. e Histog.'!$BZ:$BZ,'Cronog. e Histog.'!CE:CE),"")</f>
        <v>0</v>
      </c>
      <c r="K155" s="144">
        <f>IFERROR(_xlfn.XLOOKUP($B155,'Cronog. e Histog.'!$BZ:$BZ,'Cronog. e Histog.'!CF:CF),"")</f>
        <v>0</v>
      </c>
      <c r="L155" s="144">
        <f>IFERROR(_xlfn.XLOOKUP($B155,'Cronog. e Histog.'!$BZ:$BZ,'Cronog. e Histog.'!CG:CG),"")</f>
        <v>0</v>
      </c>
      <c r="M155" s="144">
        <f>IFERROR(_xlfn.XLOOKUP($B155,'Cronog. e Histog.'!$BZ:$BZ,'Cronog. e Histog.'!CH:CH),"")</f>
        <v>0</v>
      </c>
      <c r="N155" s="144">
        <f>IFERROR(_xlfn.XLOOKUP($B155,'Cronog. e Histog.'!$BZ:$BZ,'Cronog. e Histog.'!CI:CI),"")</f>
        <v>0</v>
      </c>
      <c r="O155" s="144">
        <f>IFERROR(_xlfn.XLOOKUP($B155,'Cronog. e Histog.'!$BZ:$BZ,'Cronog. e Histog.'!CJ:CJ),"")</f>
        <v>0</v>
      </c>
      <c r="P155" s="144">
        <f>IFERROR(_xlfn.XLOOKUP($B155,'Cronog. e Histog.'!$BZ:$BZ,'Cronog. e Histog.'!CK:CK),"")</f>
        <v>0</v>
      </c>
      <c r="Q155" s="144">
        <f>IFERROR(_xlfn.XLOOKUP($B155,'Cronog. e Histog.'!$BZ:$BZ,'Cronog. e Histog.'!CL:CL),"")</f>
        <v>0</v>
      </c>
      <c r="R155" s="144">
        <f>IFERROR(_xlfn.XLOOKUP($B155,'Cronog. e Histog.'!$BZ:$BZ,'Cronog. e Histog.'!CM:CM),"")</f>
        <v>0</v>
      </c>
      <c r="S155" s="144">
        <f>IFERROR(_xlfn.XLOOKUP($B155,'Cronog. e Histog.'!$BZ:$BZ,'Cronog. e Histog.'!CN:CN),"")</f>
        <v>0</v>
      </c>
      <c r="T155" s="144">
        <f>IFERROR(_xlfn.XLOOKUP($B155,'Cronog. e Histog.'!$BZ:$BZ,'Cronog. e Histog.'!CO:CO),"")</f>
        <v>0</v>
      </c>
      <c r="U155" s="144">
        <f>IFERROR(_xlfn.XLOOKUP($B155,'Cronog. e Histog.'!$BZ:$BZ,'Cronog. e Histog.'!CP:CP),"")</f>
        <v>0</v>
      </c>
      <c r="V155" s="144">
        <f>IFERROR(_xlfn.XLOOKUP($B155,'Cronog. e Histog.'!$BZ:$BZ,'Cronog. e Histog.'!CQ:CQ),"")</f>
        <v>0</v>
      </c>
      <c r="W155" s="144">
        <f>IFERROR(_xlfn.XLOOKUP($B155,'Cronog. e Histog.'!$BZ:$BZ,'Cronog. e Histog.'!CR:CR),"")</f>
        <v>0</v>
      </c>
      <c r="X155" s="144">
        <f>IFERROR(_xlfn.XLOOKUP($B155,'Cronog. e Histog.'!$BZ:$BZ,'Cronog. e Histog.'!CS:CS),"")</f>
        <v>0</v>
      </c>
      <c r="Y155" s="144">
        <f>IFERROR(_xlfn.XLOOKUP($B155,'Cronog. e Histog.'!$BZ:$BZ,'Cronog. e Histog.'!CT:CT),"")</f>
        <v>0</v>
      </c>
      <c r="Z155" s="144">
        <f>IFERROR(_xlfn.XLOOKUP($B155,'Cronog. e Histog.'!$BZ:$BZ,'Cronog. e Histog.'!CU:CU),"")</f>
        <v>0</v>
      </c>
      <c r="AA155" s="144">
        <f>IFERROR(_xlfn.XLOOKUP($B155,'Cronog. e Histog.'!$BZ:$BZ,'Cronog. e Histog.'!CV:CV),"")</f>
        <v>0</v>
      </c>
      <c r="AB155" s="144">
        <f>IFERROR(_xlfn.XLOOKUP($B155,'Cronog. e Histog.'!$BZ:$BZ,'Cronog. e Histog.'!CW:CW),"")</f>
        <v>0</v>
      </c>
      <c r="AC155" s="144">
        <f>IFERROR(_xlfn.XLOOKUP($B155,'Cronog. e Histog.'!$BZ:$BZ,'Cronog. e Histog.'!CX:CX),"")</f>
        <v>0</v>
      </c>
      <c r="AD155" s="144">
        <f>IFERROR(_xlfn.XLOOKUP($B155,'Cronog. e Histog.'!$BZ:$BZ,'Cronog. e Histog.'!CY:CY),"")</f>
        <v>0</v>
      </c>
      <c r="AE155" s="144">
        <f>IFERROR(_xlfn.XLOOKUP($B155,'Cronog. e Histog.'!$BZ:$BZ,'Cronog. e Histog.'!CZ:CZ),"")</f>
        <v>0</v>
      </c>
      <c r="AF155" s="144">
        <f>IFERROR(_xlfn.XLOOKUP($B155,'Cronog. e Histog.'!$BZ:$BZ,'Cronog. e Histog.'!DA:DA),"")</f>
        <v>0</v>
      </c>
      <c r="AG155" s="144">
        <f>IFERROR(_xlfn.XLOOKUP($B155,'Cronog. e Histog.'!$BZ:$BZ,'Cronog. e Histog.'!DB:DB),"")</f>
        <v>0</v>
      </c>
      <c r="AH155" s="144">
        <f>IFERROR(_xlfn.XLOOKUP($B155,'Cronog. e Histog.'!$BZ:$BZ,'Cronog. e Histog.'!DC:DC),"")</f>
        <v>0</v>
      </c>
      <c r="AI155" s="144">
        <f>IFERROR(_xlfn.XLOOKUP($B155,'Cronog. e Histog.'!$BZ:$BZ,'Cronog. e Histog.'!DD:DD),"")</f>
        <v>0</v>
      </c>
      <c r="AJ155" s="144">
        <f>IFERROR(_xlfn.XLOOKUP($B155,'Cronog. e Histog.'!$BZ:$BZ,'Cronog. e Histog.'!DE:DE),"")</f>
        <v>0</v>
      </c>
      <c r="AK155" s="144">
        <f>IFERROR(_xlfn.XLOOKUP($B155,'Cronog. e Histog.'!$BZ:$BZ,'Cronog. e Histog.'!DF:DF),"")</f>
        <v>0</v>
      </c>
      <c r="AL155" s="144">
        <f>IFERROR(_xlfn.XLOOKUP($B155,'Cronog. e Histog.'!$BZ:$BZ,'Cronog. e Histog.'!DG:DG),"")</f>
        <v>0</v>
      </c>
      <c r="AM155" s="144">
        <f>IFERROR(_xlfn.XLOOKUP($B155,'Cronog. e Histog.'!$BZ:$BZ,'Cronog. e Histog.'!DH:DH),"")</f>
        <v>0</v>
      </c>
      <c r="AN155" s="144">
        <f>IFERROR(_xlfn.XLOOKUP($B155,'Cronog. e Histog.'!$BZ:$BZ,'Cronog. e Histog.'!DI:DI),"")</f>
        <v>0</v>
      </c>
      <c r="AO155" s="144">
        <f>IFERROR(_xlfn.XLOOKUP($B155,'Cronog. e Histog.'!$BZ:$BZ,'Cronog. e Histog.'!DJ:DJ),"")</f>
        <v>0</v>
      </c>
      <c r="AP155" s="144">
        <f>IFERROR(_xlfn.XLOOKUP($B155,'Cronog. e Histog.'!$BZ:$BZ,'Cronog. e Histog.'!DK:DK),"")</f>
        <v>0</v>
      </c>
      <c r="AQ155" s="144">
        <f>IFERROR(_xlfn.XLOOKUP($B155,'Cronog. e Histog.'!$BZ:$BZ,'Cronog. e Histog.'!DL:DL),"")</f>
        <v>0</v>
      </c>
      <c r="AR155" s="144">
        <f>IFERROR(_xlfn.XLOOKUP($B155,'Cronog. e Histog.'!$BZ:$BZ,'Cronog. e Histog.'!DM:DM),"")</f>
        <v>0</v>
      </c>
      <c r="AS155" s="144">
        <f>IFERROR(_xlfn.XLOOKUP($B155,'Cronog. e Histog.'!$BZ:$BZ,'Cronog. e Histog.'!DN:DN),"")</f>
        <v>0</v>
      </c>
      <c r="AT155" s="144">
        <f>IFERROR(_xlfn.XLOOKUP($B155,'Cronog. e Histog.'!$BZ:$BZ,'Cronog. e Histog.'!DO:DO),"")</f>
        <v>0</v>
      </c>
      <c r="AU155" s="144">
        <f>IFERROR(_xlfn.XLOOKUP($B155,'Cronog. e Histog.'!$BZ:$BZ,'Cronog. e Histog.'!DP:DP),"")</f>
        <v>0</v>
      </c>
      <c r="AV155" s="144">
        <f>IFERROR(_xlfn.XLOOKUP($B155,'Cronog. e Histog.'!$BZ:$BZ,'Cronog. e Histog.'!DQ:DQ),"")</f>
        <v>0</v>
      </c>
      <c r="AW155" s="144">
        <f>IFERROR(_xlfn.XLOOKUP($B155,'Cronog. e Histog.'!$BZ:$BZ,'Cronog. e Histog.'!DR:DR),"")</f>
        <v>0</v>
      </c>
      <c r="AX155" s="144">
        <f>IFERROR(_xlfn.XLOOKUP($B155,'Cronog. e Histog.'!$BZ:$BZ,'Cronog. e Histog.'!DS:DS),"")</f>
        <v>0</v>
      </c>
      <c r="AY155" s="144">
        <f>IFERROR(_xlfn.XLOOKUP($B155,'Cronog. e Histog.'!$BZ:$BZ,'Cronog. e Histog.'!DT:DT),"")</f>
        <v>0</v>
      </c>
      <c r="AZ155" s="144">
        <f>IFERROR(_xlfn.XLOOKUP($B155,'Cronog. e Histog.'!$BZ:$BZ,'Cronog. e Histog.'!DU:DU),"")</f>
        <v>0</v>
      </c>
      <c r="BA155" s="144">
        <f>IFERROR(_xlfn.XLOOKUP($B155,'Cronog. e Histog.'!$BZ:$BZ,'Cronog. e Histog.'!DV:DV),"")</f>
        <v>0</v>
      </c>
      <c r="BB155" s="144">
        <f>IFERROR(_xlfn.XLOOKUP($B155,'Cronog. e Histog.'!$BZ:$BZ,'Cronog. e Histog.'!DW:DW),"")</f>
        <v>0</v>
      </c>
      <c r="BC155" s="144">
        <f>IFERROR(_xlfn.XLOOKUP($B155,'Cronog. e Histog.'!$BZ:$BZ,'Cronog. e Histog.'!DX:DX),"")</f>
        <v>0</v>
      </c>
      <c r="BD155" s="144">
        <f>IFERROR(_xlfn.XLOOKUP($B155,'Cronog. e Histog.'!$BZ:$BZ,'Cronog. e Histog.'!DY:DY),"")</f>
        <v>0</v>
      </c>
      <c r="BE155" s="144">
        <f>IFERROR(_xlfn.XLOOKUP($B155,'Cronog. e Histog.'!$BZ:$BZ,'Cronog. e Histog.'!DZ:DZ),"")</f>
        <v>0</v>
      </c>
      <c r="BF155" s="144">
        <f>IFERROR(_xlfn.XLOOKUP($B155,'Cronog. e Histog.'!$BZ:$BZ,'Cronog. e Histog.'!EA:EA),"")</f>
        <v>0</v>
      </c>
      <c r="BG155" s="144">
        <f>IFERROR(_xlfn.XLOOKUP($B155,'Cronog. e Histog.'!$BZ:$BZ,'Cronog. e Histog.'!EB:EB),"")</f>
        <v>0</v>
      </c>
      <c r="BH155" s="144">
        <f>IFERROR(_xlfn.XLOOKUP($B155,'Cronog. e Histog.'!$BZ:$BZ,'Cronog. e Histog.'!EC:EC),"")</f>
        <v>0</v>
      </c>
      <c r="BI155" s="144">
        <f>IFERROR(_xlfn.XLOOKUP($B155,'Cronog. e Histog.'!$BZ:$BZ,'Cronog. e Histog.'!ED:ED),"")</f>
        <v>0</v>
      </c>
      <c r="BJ155" s="144">
        <f>IFERROR(_xlfn.XLOOKUP($B155,'Cronog. e Histog.'!$BZ:$BZ,'Cronog. e Histog.'!EE:EE),"")</f>
        <v>0</v>
      </c>
      <c r="BK155" s="144">
        <f>IFERROR(_xlfn.XLOOKUP($B155,'Cronog. e Histog.'!$BZ:$BZ,'Cronog. e Histog.'!EF:EF),"")</f>
        <v>0</v>
      </c>
      <c r="BL155" s="144">
        <f>IFERROR(_xlfn.XLOOKUP($B155,'Cronog. e Histog.'!$BZ:$BZ,'Cronog. e Histog.'!EG:EG),"")</f>
        <v>0</v>
      </c>
      <c r="BM155" s="144">
        <f>IFERROR(_xlfn.XLOOKUP($B155,'Cronog. e Histog.'!$BZ:$BZ,'Cronog. e Histog.'!EH:EH),"")</f>
        <v>0</v>
      </c>
      <c r="BN155" s="144">
        <f>IFERROR(_xlfn.XLOOKUP($B155,'Cronog. e Histog.'!$BZ:$BZ,'Cronog. e Histog.'!EI:EI),"")</f>
        <v>0</v>
      </c>
    </row>
    <row r="156" spans="2:66" ht="12" hidden="1" customHeight="1" outlineLevel="1">
      <c r="B156" s="76">
        <v>150</v>
      </c>
      <c r="C156" s="143" t="str">
        <f>IFERROR(VLOOKUP(B156,'Cronog. e Histog.'!$BZ$213:$CA$747,2,0),"")</f>
        <v>AN SR. ADM/CRP</v>
      </c>
      <c r="D156" s="144">
        <f t="shared" si="4"/>
        <v>0</v>
      </c>
      <c r="E156" s="144">
        <f t="shared" si="5"/>
        <v>0</v>
      </c>
      <c r="F156" s="65"/>
      <c r="G156" s="144">
        <f>IFERROR(_xlfn.XLOOKUP($B156,'Cronog. e Histog.'!$BZ:$BZ,'Cronog. e Histog.'!CB:CB),"")</f>
        <v>0</v>
      </c>
      <c r="H156" s="144">
        <f>IFERROR(_xlfn.XLOOKUP($B156,'Cronog. e Histog.'!$BZ:$BZ,'Cronog. e Histog.'!CC:CC),"")</f>
        <v>0</v>
      </c>
      <c r="I156" s="144">
        <f>IFERROR(_xlfn.XLOOKUP($B156,'Cronog. e Histog.'!$BZ:$BZ,'Cronog. e Histog.'!CD:CD),"")</f>
        <v>0</v>
      </c>
      <c r="J156" s="144">
        <f>IFERROR(_xlfn.XLOOKUP($B156,'Cronog. e Histog.'!$BZ:$BZ,'Cronog. e Histog.'!CE:CE),"")</f>
        <v>0</v>
      </c>
      <c r="K156" s="144">
        <f>IFERROR(_xlfn.XLOOKUP($B156,'Cronog. e Histog.'!$BZ:$BZ,'Cronog. e Histog.'!CF:CF),"")</f>
        <v>0</v>
      </c>
      <c r="L156" s="144">
        <f>IFERROR(_xlfn.XLOOKUP($B156,'Cronog. e Histog.'!$BZ:$BZ,'Cronog. e Histog.'!CG:CG),"")</f>
        <v>0</v>
      </c>
      <c r="M156" s="144">
        <f>IFERROR(_xlfn.XLOOKUP($B156,'Cronog. e Histog.'!$BZ:$BZ,'Cronog. e Histog.'!CH:CH),"")</f>
        <v>0</v>
      </c>
      <c r="N156" s="144">
        <f>IFERROR(_xlfn.XLOOKUP($B156,'Cronog. e Histog.'!$BZ:$BZ,'Cronog. e Histog.'!CI:CI),"")</f>
        <v>0</v>
      </c>
      <c r="O156" s="144">
        <f>IFERROR(_xlfn.XLOOKUP($B156,'Cronog. e Histog.'!$BZ:$BZ,'Cronog. e Histog.'!CJ:CJ),"")</f>
        <v>0</v>
      </c>
      <c r="P156" s="144">
        <f>IFERROR(_xlfn.XLOOKUP($B156,'Cronog. e Histog.'!$BZ:$BZ,'Cronog. e Histog.'!CK:CK),"")</f>
        <v>0</v>
      </c>
      <c r="Q156" s="144">
        <f>IFERROR(_xlfn.XLOOKUP($B156,'Cronog. e Histog.'!$BZ:$BZ,'Cronog. e Histog.'!CL:CL),"")</f>
        <v>0</v>
      </c>
      <c r="R156" s="144">
        <f>IFERROR(_xlfn.XLOOKUP($B156,'Cronog. e Histog.'!$BZ:$BZ,'Cronog. e Histog.'!CM:CM),"")</f>
        <v>0</v>
      </c>
      <c r="S156" s="144">
        <f>IFERROR(_xlfn.XLOOKUP($B156,'Cronog. e Histog.'!$BZ:$BZ,'Cronog. e Histog.'!CN:CN),"")</f>
        <v>0</v>
      </c>
      <c r="T156" s="144">
        <f>IFERROR(_xlfn.XLOOKUP($B156,'Cronog. e Histog.'!$BZ:$BZ,'Cronog. e Histog.'!CO:CO),"")</f>
        <v>0</v>
      </c>
      <c r="U156" s="144">
        <f>IFERROR(_xlfn.XLOOKUP($B156,'Cronog. e Histog.'!$BZ:$BZ,'Cronog. e Histog.'!CP:CP),"")</f>
        <v>0</v>
      </c>
      <c r="V156" s="144">
        <f>IFERROR(_xlfn.XLOOKUP($B156,'Cronog. e Histog.'!$BZ:$BZ,'Cronog. e Histog.'!CQ:CQ),"")</f>
        <v>0</v>
      </c>
      <c r="W156" s="144">
        <f>IFERROR(_xlfn.XLOOKUP($B156,'Cronog. e Histog.'!$BZ:$BZ,'Cronog. e Histog.'!CR:CR),"")</f>
        <v>0</v>
      </c>
      <c r="X156" s="144">
        <f>IFERROR(_xlfn.XLOOKUP($B156,'Cronog. e Histog.'!$BZ:$BZ,'Cronog. e Histog.'!CS:CS),"")</f>
        <v>0</v>
      </c>
      <c r="Y156" s="144">
        <f>IFERROR(_xlfn.XLOOKUP($B156,'Cronog. e Histog.'!$BZ:$BZ,'Cronog. e Histog.'!CT:CT),"")</f>
        <v>0</v>
      </c>
      <c r="Z156" s="144">
        <f>IFERROR(_xlfn.XLOOKUP($B156,'Cronog. e Histog.'!$BZ:$BZ,'Cronog. e Histog.'!CU:CU),"")</f>
        <v>0</v>
      </c>
      <c r="AA156" s="144">
        <f>IFERROR(_xlfn.XLOOKUP($B156,'Cronog. e Histog.'!$BZ:$BZ,'Cronog. e Histog.'!CV:CV),"")</f>
        <v>0</v>
      </c>
      <c r="AB156" s="144">
        <f>IFERROR(_xlfn.XLOOKUP($B156,'Cronog. e Histog.'!$BZ:$BZ,'Cronog. e Histog.'!CW:CW),"")</f>
        <v>0</v>
      </c>
      <c r="AC156" s="144">
        <f>IFERROR(_xlfn.XLOOKUP($B156,'Cronog. e Histog.'!$BZ:$BZ,'Cronog. e Histog.'!CX:CX),"")</f>
        <v>0</v>
      </c>
      <c r="AD156" s="144">
        <f>IFERROR(_xlfn.XLOOKUP($B156,'Cronog. e Histog.'!$BZ:$BZ,'Cronog. e Histog.'!CY:CY),"")</f>
        <v>0</v>
      </c>
      <c r="AE156" s="144">
        <f>IFERROR(_xlfn.XLOOKUP($B156,'Cronog. e Histog.'!$BZ:$BZ,'Cronog. e Histog.'!CZ:CZ),"")</f>
        <v>0</v>
      </c>
      <c r="AF156" s="144">
        <f>IFERROR(_xlfn.XLOOKUP($B156,'Cronog. e Histog.'!$BZ:$BZ,'Cronog. e Histog.'!DA:DA),"")</f>
        <v>0</v>
      </c>
      <c r="AG156" s="144">
        <f>IFERROR(_xlfn.XLOOKUP($B156,'Cronog. e Histog.'!$BZ:$BZ,'Cronog. e Histog.'!DB:DB),"")</f>
        <v>0</v>
      </c>
      <c r="AH156" s="144">
        <f>IFERROR(_xlfn.XLOOKUP($B156,'Cronog. e Histog.'!$BZ:$BZ,'Cronog. e Histog.'!DC:DC),"")</f>
        <v>0</v>
      </c>
      <c r="AI156" s="144">
        <f>IFERROR(_xlfn.XLOOKUP($B156,'Cronog. e Histog.'!$BZ:$BZ,'Cronog. e Histog.'!DD:DD),"")</f>
        <v>0</v>
      </c>
      <c r="AJ156" s="144">
        <f>IFERROR(_xlfn.XLOOKUP($B156,'Cronog. e Histog.'!$BZ:$BZ,'Cronog. e Histog.'!DE:DE),"")</f>
        <v>0</v>
      </c>
      <c r="AK156" s="144">
        <f>IFERROR(_xlfn.XLOOKUP($B156,'Cronog. e Histog.'!$BZ:$BZ,'Cronog. e Histog.'!DF:DF),"")</f>
        <v>0</v>
      </c>
      <c r="AL156" s="144">
        <f>IFERROR(_xlfn.XLOOKUP($B156,'Cronog. e Histog.'!$BZ:$BZ,'Cronog. e Histog.'!DG:DG),"")</f>
        <v>0</v>
      </c>
      <c r="AM156" s="144">
        <f>IFERROR(_xlfn.XLOOKUP($B156,'Cronog. e Histog.'!$BZ:$BZ,'Cronog. e Histog.'!DH:DH),"")</f>
        <v>0</v>
      </c>
      <c r="AN156" s="144">
        <f>IFERROR(_xlfn.XLOOKUP($B156,'Cronog. e Histog.'!$BZ:$BZ,'Cronog. e Histog.'!DI:DI),"")</f>
        <v>0</v>
      </c>
      <c r="AO156" s="144">
        <f>IFERROR(_xlfn.XLOOKUP($B156,'Cronog. e Histog.'!$BZ:$BZ,'Cronog. e Histog.'!DJ:DJ),"")</f>
        <v>0</v>
      </c>
      <c r="AP156" s="144">
        <f>IFERROR(_xlfn.XLOOKUP($B156,'Cronog. e Histog.'!$BZ:$BZ,'Cronog. e Histog.'!DK:DK),"")</f>
        <v>0</v>
      </c>
      <c r="AQ156" s="144">
        <f>IFERROR(_xlfn.XLOOKUP($B156,'Cronog. e Histog.'!$BZ:$BZ,'Cronog. e Histog.'!DL:DL),"")</f>
        <v>0</v>
      </c>
      <c r="AR156" s="144">
        <f>IFERROR(_xlfn.XLOOKUP($B156,'Cronog. e Histog.'!$BZ:$BZ,'Cronog. e Histog.'!DM:DM),"")</f>
        <v>0</v>
      </c>
      <c r="AS156" s="144">
        <f>IFERROR(_xlfn.XLOOKUP($B156,'Cronog. e Histog.'!$BZ:$BZ,'Cronog. e Histog.'!DN:DN),"")</f>
        <v>0</v>
      </c>
      <c r="AT156" s="144">
        <f>IFERROR(_xlfn.XLOOKUP($B156,'Cronog. e Histog.'!$BZ:$BZ,'Cronog. e Histog.'!DO:DO),"")</f>
        <v>0</v>
      </c>
      <c r="AU156" s="144">
        <f>IFERROR(_xlfn.XLOOKUP($B156,'Cronog. e Histog.'!$BZ:$BZ,'Cronog. e Histog.'!DP:DP),"")</f>
        <v>0</v>
      </c>
      <c r="AV156" s="144">
        <f>IFERROR(_xlfn.XLOOKUP($B156,'Cronog. e Histog.'!$BZ:$BZ,'Cronog. e Histog.'!DQ:DQ),"")</f>
        <v>0</v>
      </c>
      <c r="AW156" s="144">
        <f>IFERROR(_xlfn.XLOOKUP($B156,'Cronog. e Histog.'!$BZ:$BZ,'Cronog. e Histog.'!DR:DR),"")</f>
        <v>0</v>
      </c>
      <c r="AX156" s="144">
        <f>IFERROR(_xlfn.XLOOKUP($B156,'Cronog. e Histog.'!$BZ:$BZ,'Cronog. e Histog.'!DS:DS),"")</f>
        <v>0</v>
      </c>
      <c r="AY156" s="144">
        <f>IFERROR(_xlfn.XLOOKUP($B156,'Cronog. e Histog.'!$BZ:$BZ,'Cronog. e Histog.'!DT:DT),"")</f>
        <v>0</v>
      </c>
      <c r="AZ156" s="144">
        <f>IFERROR(_xlfn.XLOOKUP($B156,'Cronog. e Histog.'!$BZ:$BZ,'Cronog. e Histog.'!DU:DU),"")</f>
        <v>0</v>
      </c>
      <c r="BA156" s="144">
        <f>IFERROR(_xlfn.XLOOKUP($B156,'Cronog. e Histog.'!$BZ:$BZ,'Cronog. e Histog.'!DV:DV),"")</f>
        <v>0</v>
      </c>
      <c r="BB156" s="144">
        <f>IFERROR(_xlfn.XLOOKUP($B156,'Cronog. e Histog.'!$BZ:$BZ,'Cronog. e Histog.'!DW:DW),"")</f>
        <v>0</v>
      </c>
      <c r="BC156" s="144">
        <f>IFERROR(_xlfn.XLOOKUP($B156,'Cronog. e Histog.'!$BZ:$BZ,'Cronog. e Histog.'!DX:DX),"")</f>
        <v>0</v>
      </c>
      <c r="BD156" s="144">
        <f>IFERROR(_xlfn.XLOOKUP($B156,'Cronog. e Histog.'!$BZ:$BZ,'Cronog. e Histog.'!DY:DY),"")</f>
        <v>0</v>
      </c>
      <c r="BE156" s="144">
        <f>IFERROR(_xlfn.XLOOKUP($B156,'Cronog. e Histog.'!$BZ:$BZ,'Cronog. e Histog.'!DZ:DZ),"")</f>
        <v>0</v>
      </c>
      <c r="BF156" s="144">
        <f>IFERROR(_xlfn.XLOOKUP($B156,'Cronog. e Histog.'!$BZ:$BZ,'Cronog. e Histog.'!EA:EA),"")</f>
        <v>0</v>
      </c>
      <c r="BG156" s="144">
        <f>IFERROR(_xlfn.XLOOKUP($B156,'Cronog. e Histog.'!$BZ:$BZ,'Cronog. e Histog.'!EB:EB),"")</f>
        <v>0</v>
      </c>
      <c r="BH156" s="144">
        <f>IFERROR(_xlfn.XLOOKUP($B156,'Cronog. e Histog.'!$BZ:$BZ,'Cronog. e Histog.'!EC:EC),"")</f>
        <v>0</v>
      </c>
      <c r="BI156" s="144">
        <f>IFERROR(_xlfn.XLOOKUP($B156,'Cronog. e Histog.'!$BZ:$BZ,'Cronog. e Histog.'!ED:ED),"")</f>
        <v>0</v>
      </c>
      <c r="BJ156" s="144">
        <f>IFERROR(_xlfn.XLOOKUP($B156,'Cronog. e Histog.'!$BZ:$BZ,'Cronog. e Histog.'!EE:EE),"")</f>
        <v>0</v>
      </c>
      <c r="BK156" s="144">
        <f>IFERROR(_xlfn.XLOOKUP($B156,'Cronog. e Histog.'!$BZ:$BZ,'Cronog. e Histog.'!EF:EF),"")</f>
        <v>0</v>
      </c>
      <c r="BL156" s="144">
        <f>IFERROR(_xlfn.XLOOKUP($B156,'Cronog. e Histog.'!$BZ:$BZ,'Cronog. e Histog.'!EG:EG),"")</f>
        <v>0</v>
      </c>
      <c r="BM156" s="144">
        <f>IFERROR(_xlfn.XLOOKUP($B156,'Cronog. e Histog.'!$BZ:$BZ,'Cronog. e Histog.'!EH:EH),"")</f>
        <v>0</v>
      </c>
      <c r="BN156" s="144">
        <f>IFERROR(_xlfn.XLOOKUP($B156,'Cronog. e Histog.'!$BZ:$BZ,'Cronog. e Histog.'!EI:EI),"")</f>
        <v>0</v>
      </c>
    </row>
    <row r="157" spans="2:66" ht="12" hidden="1" customHeight="1" outlineLevel="1">
      <c r="B157" s="76">
        <v>151</v>
      </c>
      <c r="C157" s="143" t="str">
        <f>IFERROR(VLOOKUP(B157,'Cronog. e Histog.'!$BZ$213:$CA$747,2,0),"")</f>
        <v>AN PL. ADM/CRP</v>
      </c>
      <c r="D157" s="144">
        <f t="shared" si="4"/>
        <v>0</v>
      </c>
      <c r="E157" s="144">
        <f t="shared" si="5"/>
        <v>0</v>
      </c>
      <c r="F157" s="65"/>
      <c r="G157" s="144">
        <f>IFERROR(_xlfn.XLOOKUP($B157,'Cronog. e Histog.'!$BZ:$BZ,'Cronog. e Histog.'!CB:CB),"")</f>
        <v>0</v>
      </c>
      <c r="H157" s="144">
        <f>IFERROR(_xlfn.XLOOKUP($B157,'Cronog. e Histog.'!$BZ:$BZ,'Cronog. e Histog.'!CC:CC),"")</f>
        <v>0</v>
      </c>
      <c r="I157" s="144">
        <f>IFERROR(_xlfn.XLOOKUP($B157,'Cronog. e Histog.'!$BZ:$BZ,'Cronog. e Histog.'!CD:CD),"")</f>
        <v>0</v>
      </c>
      <c r="J157" s="144">
        <f>IFERROR(_xlfn.XLOOKUP($B157,'Cronog. e Histog.'!$BZ:$BZ,'Cronog. e Histog.'!CE:CE),"")</f>
        <v>0</v>
      </c>
      <c r="K157" s="144">
        <f>IFERROR(_xlfn.XLOOKUP($B157,'Cronog. e Histog.'!$BZ:$BZ,'Cronog. e Histog.'!CF:CF),"")</f>
        <v>0</v>
      </c>
      <c r="L157" s="144">
        <f>IFERROR(_xlfn.XLOOKUP($B157,'Cronog. e Histog.'!$BZ:$BZ,'Cronog. e Histog.'!CG:CG),"")</f>
        <v>0</v>
      </c>
      <c r="M157" s="144">
        <f>IFERROR(_xlfn.XLOOKUP($B157,'Cronog. e Histog.'!$BZ:$BZ,'Cronog. e Histog.'!CH:CH),"")</f>
        <v>0</v>
      </c>
      <c r="N157" s="144">
        <f>IFERROR(_xlfn.XLOOKUP($B157,'Cronog. e Histog.'!$BZ:$BZ,'Cronog. e Histog.'!CI:CI),"")</f>
        <v>0</v>
      </c>
      <c r="O157" s="144">
        <f>IFERROR(_xlfn.XLOOKUP($B157,'Cronog. e Histog.'!$BZ:$BZ,'Cronog. e Histog.'!CJ:CJ),"")</f>
        <v>0</v>
      </c>
      <c r="P157" s="144">
        <f>IFERROR(_xlfn.XLOOKUP($B157,'Cronog. e Histog.'!$BZ:$BZ,'Cronog. e Histog.'!CK:CK),"")</f>
        <v>0</v>
      </c>
      <c r="Q157" s="144">
        <f>IFERROR(_xlfn.XLOOKUP($B157,'Cronog. e Histog.'!$BZ:$BZ,'Cronog. e Histog.'!CL:CL),"")</f>
        <v>0</v>
      </c>
      <c r="R157" s="144">
        <f>IFERROR(_xlfn.XLOOKUP($B157,'Cronog. e Histog.'!$BZ:$BZ,'Cronog. e Histog.'!CM:CM),"")</f>
        <v>0</v>
      </c>
      <c r="S157" s="144">
        <f>IFERROR(_xlfn.XLOOKUP($B157,'Cronog. e Histog.'!$BZ:$BZ,'Cronog. e Histog.'!CN:CN),"")</f>
        <v>0</v>
      </c>
      <c r="T157" s="144">
        <f>IFERROR(_xlfn.XLOOKUP($B157,'Cronog. e Histog.'!$BZ:$BZ,'Cronog. e Histog.'!CO:CO),"")</f>
        <v>0</v>
      </c>
      <c r="U157" s="144">
        <f>IFERROR(_xlfn.XLOOKUP($B157,'Cronog. e Histog.'!$BZ:$BZ,'Cronog. e Histog.'!CP:CP),"")</f>
        <v>0</v>
      </c>
      <c r="V157" s="144">
        <f>IFERROR(_xlfn.XLOOKUP($B157,'Cronog. e Histog.'!$BZ:$BZ,'Cronog. e Histog.'!CQ:CQ),"")</f>
        <v>0</v>
      </c>
      <c r="W157" s="144">
        <f>IFERROR(_xlfn.XLOOKUP($B157,'Cronog. e Histog.'!$BZ:$BZ,'Cronog. e Histog.'!CR:CR),"")</f>
        <v>0</v>
      </c>
      <c r="X157" s="144">
        <f>IFERROR(_xlfn.XLOOKUP($B157,'Cronog. e Histog.'!$BZ:$BZ,'Cronog. e Histog.'!CS:CS),"")</f>
        <v>0</v>
      </c>
      <c r="Y157" s="144">
        <f>IFERROR(_xlfn.XLOOKUP($B157,'Cronog. e Histog.'!$BZ:$BZ,'Cronog. e Histog.'!CT:CT),"")</f>
        <v>0</v>
      </c>
      <c r="Z157" s="144">
        <f>IFERROR(_xlfn.XLOOKUP($B157,'Cronog. e Histog.'!$BZ:$BZ,'Cronog. e Histog.'!CU:CU),"")</f>
        <v>0</v>
      </c>
      <c r="AA157" s="144">
        <f>IFERROR(_xlfn.XLOOKUP($B157,'Cronog. e Histog.'!$BZ:$BZ,'Cronog. e Histog.'!CV:CV),"")</f>
        <v>0</v>
      </c>
      <c r="AB157" s="144">
        <f>IFERROR(_xlfn.XLOOKUP($B157,'Cronog. e Histog.'!$BZ:$BZ,'Cronog. e Histog.'!CW:CW),"")</f>
        <v>0</v>
      </c>
      <c r="AC157" s="144">
        <f>IFERROR(_xlfn.XLOOKUP($B157,'Cronog. e Histog.'!$BZ:$BZ,'Cronog. e Histog.'!CX:CX),"")</f>
        <v>0</v>
      </c>
      <c r="AD157" s="144">
        <f>IFERROR(_xlfn.XLOOKUP($B157,'Cronog. e Histog.'!$BZ:$BZ,'Cronog. e Histog.'!CY:CY),"")</f>
        <v>0</v>
      </c>
      <c r="AE157" s="144">
        <f>IFERROR(_xlfn.XLOOKUP($B157,'Cronog. e Histog.'!$BZ:$BZ,'Cronog. e Histog.'!CZ:CZ),"")</f>
        <v>0</v>
      </c>
      <c r="AF157" s="144">
        <f>IFERROR(_xlfn.XLOOKUP($B157,'Cronog. e Histog.'!$BZ:$BZ,'Cronog. e Histog.'!DA:DA),"")</f>
        <v>0</v>
      </c>
      <c r="AG157" s="144">
        <f>IFERROR(_xlfn.XLOOKUP($B157,'Cronog. e Histog.'!$BZ:$BZ,'Cronog. e Histog.'!DB:DB),"")</f>
        <v>0</v>
      </c>
      <c r="AH157" s="144">
        <f>IFERROR(_xlfn.XLOOKUP($B157,'Cronog. e Histog.'!$BZ:$BZ,'Cronog. e Histog.'!DC:DC),"")</f>
        <v>0</v>
      </c>
      <c r="AI157" s="144">
        <f>IFERROR(_xlfn.XLOOKUP($B157,'Cronog. e Histog.'!$BZ:$BZ,'Cronog. e Histog.'!DD:DD),"")</f>
        <v>0</v>
      </c>
      <c r="AJ157" s="144">
        <f>IFERROR(_xlfn.XLOOKUP($B157,'Cronog. e Histog.'!$BZ:$BZ,'Cronog. e Histog.'!DE:DE),"")</f>
        <v>0</v>
      </c>
      <c r="AK157" s="144">
        <f>IFERROR(_xlfn.XLOOKUP($B157,'Cronog. e Histog.'!$BZ:$BZ,'Cronog. e Histog.'!DF:DF),"")</f>
        <v>0</v>
      </c>
      <c r="AL157" s="144">
        <f>IFERROR(_xlfn.XLOOKUP($B157,'Cronog. e Histog.'!$BZ:$BZ,'Cronog. e Histog.'!DG:DG),"")</f>
        <v>0</v>
      </c>
      <c r="AM157" s="144">
        <f>IFERROR(_xlfn.XLOOKUP($B157,'Cronog. e Histog.'!$BZ:$BZ,'Cronog. e Histog.'!DH:DH),"")</f>
        <v>0</v>
      </c>
      <c r="AN157" s="144">
        <f>IFERROR(_xlfn.XLOOKUP($B157,'Cronog. e Histog.'!$BZ:$BZ,'Cronog. e Histog.'!DI:DI),"")</f>
        <v>0</v>
      </c>
      <c r="AO157" s="144">
        <f>IFERROR(_xlfn.XLOOKUP($B157,'Cronog. e Histog.'!$BZ:$BZ,'Cronog. e Histog.'!DJ:DJ),"")</f>
        <v>0</v>
      </c>
      <c r="AP157" s="144">
        <f>IFERROR(_xlfn.XLOOKUP($B157,'Cronog. e Histog.'!$BZ:$BZ,'Cronog. e Histog.'!DK:DK),"")</f>
        <v>0</v>
      </c>
      <c r="AQ157" s="144">
        <f>IFERROR(_xlfn.XLOOKUP($B157,'Cronog. e Histog.'!$BZ:$BZ,'Cronog. e Histog.'!DL:DL),"")</f>
        <v>0</v>
      </c>
      <c r="AR157" s="144">
        <f>IFERROR(_xlfn.XLOOKUP($B157,'Cronog. e Histog.'!$BZ:$BZ,'Cronog. e Histog.'!DM:DM),"")</f>
        <v>0</v>
      </c>
      <c r="AS157" s="144">
        <f>IFERROR(_xlfn.XLOOKUP($B157,'Cronog. e Histog.'!$BZ:$BZ,'Cronog. e Histog.'!DN:DN),"")</f>
        <v>0</v>
      </c>
      <c r="AT157" s="144">
        <f>IFERROR(_xlfn.XLOOKUP($B157,'Cronog. e Histog.'!$BZ:$BZ,'Cronog. e Histog.'!DO:DO),"")</f>
        <v>0</v>
      </c>
      <c r="AU157" s="144">
        <f>IFERROR(_xlfn.XLOOKUP($B157,'Cronog. e Histog.'!$BZ:$BZ,'Cronog. e Histog.'!DP:DP),"")</f>
        <v>0</v>
      </c>
      <c r="AV157" s="144">
        <f>IFERROR(_xlfn.XLOOKUP($B157,'Cronog. e Histog.'!$BZ:$BZ,'Cronog. e Histog.'!DQ:DQ),"")</f>
        <v>0</v>
      </c>
      <c r="AW157" s="144">
        <f>IFERROR(_xlfn.XLOOKUP($B157,'Cronog. e Histog.'!$BZ:$BZ,'Cronog. e Histog.'!DR:DR),"")</f>
        <v>0</v>
      </c>
      <c r="AX157" s="144">
        <f>IFERROR(_xlfn.XLOOKUP($B157,'Cronog. e Histog.'!$BZ:$BZ,'Cronog. e Histog.'!DS:DS),"")</f>
        <v>0</v>
      </c>
      <c r="AY157" s="144">
        <f>IFERROR(_xlfn.XLOOKUP($B157,'Cronog. e Histog.'!$BZ:$BZ,'Cronog. e Histog.'!DT:DT),"")</f>
        <v>0</v>
      </c>
      <c r="AZ157" s="144">
        <f>IFERROR(_xlfn.XLOOKUP($B157,'Cronog. e Histog.'!$BZ:$BZ,'Cronog. e Histog.'!DU:DU),"")</f>
        <v>0</v>
      </c>
      <c r="BA157" s="144">
        <f>IFERROR(_xlfn.XLOOKUP($B157,'Cronog. e Histog.'!$BZ:$BZ,'Cronog. e Histog.'!DV:DV),"")</f>
        <v>0</v>
      </c>
      <c r="BB157" s="144">
        <f>IFERROR(_xlfn.XLOOKUP($B157,'Cronog. e Histog.'!$BZ:$BZ,'Cronog. e Histog.'!DW:DW),"")</f>
        <v>0</v>
      </c>
      <c r="BC157" s="144">
        <f>IFERROR(_xlfn.XLOOKUP($B157,'Cronog. e Histog.'!$BZ:$BZ,'Cronog. e Histog.'!DX:DX),"")</f>
        <v>0</v>
      </c>
      <c r="BD157" s="144">
        <f>IFERROR(_xlfn.XLOOKUP($B157,'Cronog. e Histog.'!$BZ:$BZ,'Cronog. e Histog.'!DY:DY),"")</f>
        <v>0</v>
      </c>
      <c r="BE157" s="144">
        <f>IFERROR(_xlfn.XLOOKUP($B157,'Cronog. e Histog.'!$BZ:$BZ,'Cronog. e Histog.'!DZ:DZ),"")</f>
        <v>0</v>
      </c>
      <c r="BF157" s="144">
        <f>IFERROR(_xlfn.XLOOKUP($B157,'Cronog. e Histog.'!$BZ:$BZ,'Cronog. e Histog.'!EA:EA),"")</f>
        <v>0</v>
      </c>
      <c r="BG157" s="144">
        <f>IFERROR(_xlfn.XLOOKUP($B157,'Cronog. e Histog.'!$BZ:$BZ,'Cronog. e Histog.'!EB:EB),"")</f>
        <v>0</v>
      </c>
      <c r="BH157" s="144">
        <f>IFERROR(_xlfn.XLOOKUP($B157,'Cronog. e Histog.'!$BZ:$BZ,'Cronog. e Histog.'!EC:EC),"")</f>
        <v>0</v>
      </c>
      <c r="BI157" s="144">
        <f>IFERROR(_xlfn.XLOOKUP($B157,'Cronog. e Histog.'!$BZ:$BZ,'Cronog. e Histog.'!ED:ED),"")</f>
        <v>0</v>
      </c>
      <c r="BJ157" s="144">
        <f>IFERROR(_xlfn.XLOOKUP($B157,'Cronog. e Histog.'!$BZ:$BZ,'Cronog. e Histog.'!EE:EE),"")</f>
        <v>0</v>
      </c>
      <c r="BK157" s="144">
        <f>IFERROR(_xlfn.XLOOKUP($B157,'Cronog. e Histog.'!$BZ:$BZ,'Cronog. e Histog.'!EF:EF),"")</f>
        <v>0</v>
      </c>
      <c r="BL157" s="144">
        <f>IFERROR(_xlfn.XLOOKUP($B157,'Cronog. e Histog.'!$BZ:$BZ,'Cronog. e Histog.'!EG:EG),"")</f>
        <v>0</v>
      </c>
      <c r="BM157" s="144">
        <f>IFERROR(_xlfn.XLOOKUP($B157,'Cronog. e Histog.'!$BZ:$BZ,'Cronog. e Histog.'!EH:EH),"")</f>
        <v>0</v>
      </c>
      <c r="BN157" s="144">
        <f>IFERROR(_xlfn.XLOOKUP($B157,'Cronog. e Histog.'!$BZ:$BZ,'Cronog. e Histog.'!EI:EI),"")</f>
        <v>0</v>
      </c>
    </row>
    <row r="158" spans="2:66" ht="12" hidden="1" customHeight="1" outlineLevel="1">
      <c r="B158" s="76">
        <v>152</v>
      </c>
      <c r="C158" s="143" t="str">
        <f>IFERROR(VLOOKUP(B158,'Cronog. e Histog.'!$BZ$213:$CA$747,2,0),"")</f>
        <v>AN JR. ADM/CRP</v>
      </c>
      <c r="D158" s="144">
        <f t="shared" si="4"/>
        <v>0</v>
      </c>
      <c r="E158" s="144">
        <f t="shared" si="5"/>
        <v>0</v>
      </c>
      <c r="F158" s="65"/>
      <c r="G158" s="144">
        <f>IFERROR(_xlfn.XLOOKUP($B158,'Cronog. e Histog.'!$BZ:$BZ,'Cronog. e Histog.'!CB:CB),"")</f>
        <v>0</v>
      </c>
      <c r="H158" s="144">
        <f>IFERROR(_xlfn.XLOOKUP($B158,'Cronog. e Histog.'!$BZ:$BZ,'Cronog. e Histog.'!CC:CC),"")</f>
        <v>0</v>
      </c>
      <c r="I158" s="144">
        <f>IFERROR(_xlfn.XLOOKUP($B158,'Cronog. e Histog.'!$BZ:$BZ,'Cronog. e Histog.'!CD:CD),"")</f>
        <v>0</v>
      </c>
      <c r="J158" s="144">
        <f>IFERROR(_xlfn.XLOOKUP($B158,'Cronog. e Histog.'!$BZ:$BZ,'Cronog. e Histog.'!CE:CE),"")</f>
        <v>0</v>
      </c>
      <c r="K158" s="144">
        <f>IFERROR(_xlfn.XLOOKUP($B158,'Cronog. e Histog.'!$BZ:$BZ,'Cronog. e Histog.'!CF:CF),"")</f>
        <v>0</v>
      </c>
      <c r="L158" s="144">
        <f>IFERROR(_xlfn.XLOOKUP($B158,'Cronog. e Histog.'!$BZ:$BZ,'Cronog. e Histog.'!CG:CG),"")</f>
        <v>0</v>
      </c>
      <c r="M158" s="144">
        <f>IFERROR(_xlfn.XLOOKUP($B158,'Cronog. e Histog.'!$BZ:$BZ,'Cronog. e Histog.'!CH:CH),"")</f>
        <v>0</v>
      </c>
      <c r="N158" s="144">
        <f>IFERROR(_xlfn.XLOOKUP($B158,'Cronog. e Histog.'!$BZ:$BZ,'Cronog. e Histog.'!CI:CI),"")</f>
        <v>0</v>
      </c>
      <c r="O158" s="144">
        <f>IFERROR(_xlfn.XLOOKUP($B158,'Cronog. e Histog.'!$BZ:$BZ,'Cronog. e Histog.'!CJ:CJ),"")</f>
        <v>0</v>
      </c>
      <c r="P158" s="144">
        <f>IFERROR(_xlfn.XLOOKUP($B158,'Cronog. e Histog.'!$BZ:$BZ,'Cronog. e Histog.'!CK:CK),"")</f>
        <v>0</v>
      </c>
      <c r="Q158" s="144">
        <f>IFERROR(_xlfn.XLOOKUP($B158,'Cronog. e Histog.'!$BZ:$BZ,'Cronog. e Histog.'!CL:CL),"")</f>
        <v>0</v>
      </c>
      <c r="R158" s="144">
        <f>IFERROR(_xlfn.XLOOKUP($B158,'Cronog. e Histog.'!$BZ:$BZ,'Cronog. e Histog.'!CM:CM),"")</f>
        <v>0</v>
      </c>
      <c r="S158" s="144">
        <f>IFERROR(_xlfn.XLOOKUP($B158,'Cronog. e Histog.'!$BZ:$BZ,'Cronog. e Histog.'!CN:CN),"")</f>
        <v>0</v>
      </c>
      <c r="T158" s="144">
        <f>IFERROR(_xlfn.XLOOKUP($B158,'Cronog. e Histog.'!$BZ:$BZ,'Cronog. e Histog.'!CO:CO),"")</f>
        <v>0</v>
      </c>
      <c r="U158" s="144">
        <f>IFERROR(_xlfn.XLOOKUP($B158,'Cronog. e Histog.'!$BZ:$BZ,'Cronog. e Histog.'!CP:CP),"")</f>
        <v>0</v>
      </c>
      <c r="V158" s="144">
        <f>IFERROR(_xlfn.XLOOKUP($B158,'Cronog. e Histog.'!$BZ:$BZ,'Cronog. e Histog.'!CQ:CQ),"")</f>
        <v>0</v>
      </c>
      <c r="W158" s="144">
        <f>IFERROR(_xlfn.XLOOKUP($B158,'Cronog. e Histog.'!$BZ:$BZ,'Cronog. e Histog.'!CR:CR),"")</f>
        <v>0</v>
      </c>
      <c r="X158" s="144">
        <f>IFERROR(_xlfn.XLOOKUP($B158,'Cronog. e Histog.'!$BZ:$BZ,'Cronog. e Histog.'!CS:CS),"")</f>
        <v>0</v>
      </c>
      <c r="Y158" s="144">
        <f>IFERROR(_xlfn.XLOOKUP($B158,'Cronog. e Histog.'!$BZ:$BZ,'Cronog. e Histog.'!CT:CT),"")</f>
        <v>0</v>
      </c>
      <c r="Z158" s="144">
        <f>IFERROR(_xlfn.XLOOKUP($B158,'Cronog. e Histog.'!$BZ:$BZ,'Cronog. e Histog.'!CU:CU),"")</f>
        <v>0</v>
      </c>
      <c r="AA158" s="144">
        <f>IFERROR(_xlfn.XLOOKUP($B158,'Cronog. e Histog.'!$BZ:$BZ,'Cronog. e Histog.'!CV:CV),"")</f>
        <v>0</v>
      </c>
      <c r="AB158" s="144">
        <f>IFERROR(_xlfn.XLOOKUP($B158,'Cronog. e Histog.'!$BZ:$BZ,'Cronog. e Histog.'!CW:CW),"")</f>
        <v>0</v>
      </c>
      <c r="AC158" s="144">
        <f>IFERROR(_xlfn.XLOOKUP($B158,'Cronog. e Histog.'!$BZ:$BZ,'Cronog. e Histog.'!CX:CX),"")</f>
        <v>0</v>
      </c>
      <c r="AD158" s="144">
        <f>IFERROR(_xlfn.XLOOKUP($B158,'Cronog. e Histog.'!$BZ:$BZ,'Cronog. e Histog.'!CY:CY),"")</f>
        <v>0</v>
      </c>
      <c r="AE158" s="144">
        <f>IFERROR(_xlfn.XLOOKUP($B158,'Cronog. e Histog.'!$BZ:$BZ,'Cronog. e Histog.'!CZ:CZ),"")</f>
        <v>0</v>
      </c>
      <c r="AF158" s="144">
        <f>IFERROR(_xlfn.XLOOKUP($B158,'Cronog. e Histog.'!$BZ:$BZ,'Cronog. e Histog.'!DA:DA),"")</f>
        <v>0</v>
      </c>
      <c r="AG158" s="144">
        <f>IFERROR(_xlfn.XLOOKUP($B158,'Cronog. e Histog.'!$BZ:$BZ,'Cronog. e Histog.'!DB:DB),"")</f>
        <v>0</v>
      </c>
      <c r="AH158" s="144">
        <f>IFERROR(_xlfn.XLOOKUP($B158,'Cronog. e Histog.'!$BZ:$BZ,'Cronog. e Histog.'!DC:DC),"")</f>
        <v>0</v>
      </c>
      <c r="AI158" s="144">
        <f>IFERROR(_xlfn.XLOOKUP($B158,'Cronog. e Histog.'!$BZ:$BZ,'Cronog. e Histog.'!DD:DD),"")</f>
        <v>0</v>
      </c>
      <c r="AJ158" s="144">
        <f>IFERROR(_xlfn.XLOOKUP($B158,'Cronog. e Histog.'!$BZ:$BZ,'Cronog. e Histog.'!DE:DE),"")</f>
        <v>0</v>
      </c>
      <c r="AK158" s="144">
        <f>IFERROR(_xlfn.XLOOKUP($B158,'Cronog. e Histog.'!$BZ:$BZ,'Cronog. e Histog.'!DF:DF),"")</f>
        <v>0</v>
      </c>
      <c r="AL158" s="144">
        <f>IFERROR(_xlfn.XLOOKUP($B158,'Cronog. e Histog.'!$BZ:$BZ,'Cronog. e Histog.'!DG:DG),"")</f>
        <v>0</v>
      </c>
      <c r="AM158" s="144">
        <f>IFERROR(_xlfn.XLOOKUP($B158,'Cronog. e Histog.'!$BZ:$BZ,'Cronog. e Histog.'!DH:DH),"")</f>
        <v>0</v>
      </c>
      <c r="AN158" s="144">
        <f>IFERROR(_xlfn.XLOOKUP($B158,'Cronog. e Histog.'!$BZ:$BZ,'Cronog. e Histog.'!DI:DI),"")</f>
        <v>0</v>
      </c>
      <c r="AO158" s="144">
        <f>IFERROR(_xlfn.XLOOKUP($B158,'Cronog. e Histog.'!$BZ:$BZ,'Cronog. e Histog.'!DJ:DJ),"")</f>
        <v>0</v>
      </c>
      <c r="AP158" s="144">
        <f>IFERROR(_xlfn.XLOOKUP($B158,'Cronog. e Histog.'!$BZ:$BZ,'Cronog. e Histog.'!DK:DK),"")</f>
        <v>0</v>
      </c>
      <c r="AQ158" s="144">
        <f>IFERROR(_xlfn.XLOOKUP($B158,'Cronog. e Histog.'!$BZ:$BZ,'Cronog. e Histog.'!DL:DL),"")</f>
        <v>0</v>
      </c>
      <c r="AR158" s="144">
        <f>IFERROR(_xlfn.XLOOKUP($B158,'Cronog. e Histog.'!$BZ:$BZ,'Cronog. e Histog.'!DM:DM),"")</f>
        <v>0</v>
      </c>
      <c r="AS158" s="144">
        <f>IFERROR(_xlfn.XLOOKUP($B158,'Cronog. e Histog.'!$BZ:$BZ,'Cronog. e Histog.'!DN:DN),"")</f>
        <v>0</v>
      </c>
      <c r="AT158" s="144">
        <f>IFERROR(_xlfn.XLOOKUP($B158,'Cronog. e Histog.'!$BZ:$BZ,'Cronog. e Histog.'!DO:DO),"")</f>
        <v>0</v>
      </c>
      <c r="AU158" s="144">
        <f>IFERROR(_xlfn.XLOOKUP($B158,'Cronog. e Histog.'!$BZ:$BZ,'Cronog. e Histog.'!DP:DP),"")</f>
        <v>0</v>
      </c>
      <c r="AV158" s="144">
        <f>IFERROR(_xlfn.XLOOKUP($B158,'Cronog. e Histog.'!$BZ:$BZ,'Cronog. e Histog.'!DQ:DQ),"")</f>
        <v>0</v>
      </c>
      <c r="AW158" s="144">
        <f>IFERROR(_xlfn.XLOOKUP($B158,'Cronog. e Histog.'!$BZ:$BZ,'Cronog. e Histog.'!DR:DR),"")</f>
        <v>0</v>
      </c>
      <c r="AX158" s="144">
        <f>IFERROR(_xlfn.XLOOKUP($B158,'Cronog. e Histog.'!$BZ:$BZ,'Cronog. e Histog.'!DS:DS),"")</f>
        <v>0</v>
      </c>
      <c r="AY158" s="144">
        <f>IFERROR(_xlfn.XLOOKUP($B158,'Cronog. e Histog.'!$BZ:$BZ,'Cronog. e Histog.'!DT:DT),"")</f>
        <v>0</v>
      </c>
      <c r="AZ158" s="144">
        <f>IFERROR(_xlfn.XLOOKUP($B158,'Cronog. e Histog.'!$BZ:$BZ,'Cronog. e Histog.'!DU:DU),"")</f>
        <v>0</v>
      </c>
      <c r="BA158" s="144">
        <f>IFERROR(_xlfn.XLOOKUP($B158,'Cronog. e Histog.'!$BZ:$BZ,'Cronog. e Histog.'!DV:DV),"")</f>
        <v>0</v>
      </c>
      <c r="BB158" s="144">
        <f>IFERROR(_xlfn.XLOOKUP($B158,'Cronog. e Histog.'!$BZ:$BZ,'Cronog. e Histog.'!DW:DW),"")</f>
        <v>0</v>
      </c>
      <c r="BC158" s="144">
        <f>IFERROR(_xlfn.XLOOKUP($B158,'Cronog. e Histog.'!$BZ:$BZ,'Cronog. e Histog.'!DX:DX),"")</f>
        <v>0</v>
      </c>
      <c r="BD158" s="144">
        <f>IFERROR(_xlfn.XLOOKUP($B158,'Cronog. e Histog.'!$BZ:$BZ,'Cronog. e Histog.'!DY:DY),"")</f>
        <v>0</v>
      </c>
      <c r="BE158" s="144">
        <f>IFERROR(_xlfn.XLOOKUP($B158,'Cronog. e Histog.'!$BZ:$BZ,'Cronog. e Histog.'!DZ:DZ),"")</f>
        <v>0</v>
      </c>
      <c r="BF158" s="144">
        <f>IFERROR(_xlfn.XLOOKUP($B158,'Cronog. e Histog.'!$BZ:$BZ,'Cronog. e Histog.'!EA:EA),"")</f>
        <v>0</v>
      </c>
      <c r="BG158" s="144">
        <f>IFERROR(_xlfn.XLOOKUP($B158,'Cronog. e Histog.'!$BZ:$BZ,'Cronog. e Histog.'!EB:EB),"")</f>
        <v>0</v>
      </c>
      <c r="BH158" s="144">
        <f>IFERROR(_xlfn.XLOOKUP($B158,'Cronog. e Histog.'!$BZ:$BZ,'Cronog. e Histog.'!EC:EC),"")</f>
        <v>0</v>
      </c>
      <c r="BI158" s="144">
        <f>IFERROR(_xlfn.XLOOKUP($B158,'Cronog. e Histog.'!$BZ:$BZ,'Cronog. e Histog.'!ED:ED),"")</f>
        <v>0</v>
      </c>
      <c r="BJ158" s="144">
        <f>IFERROR(_xlfn.XLOOKUP($B158,'Cronog. e Histog.'!$BZ:$BZ,'Cronog. e Histog.'!EE:EE),"")</f>
        <v>0</v>
      </c>
      <c r="BK158" s="144">
        <f>IFERROR(_xlfn.XLOOKUP($B158,'Cronog. e Histog.'!$BZ:$BZ,'Cronog. e Histog.'!EF:EF),"")</f>
        <v>0</v>
      </c>
      <c r="BL158" s="144">
        <f>IFERROR(_xlfn.XLOOKUP($B158,'Cronog. e Histog.'!$BZ:$BZ,'Cronog. e Histog.'!EG:EG),"")</f>
        <v>0</v>
      </c>
      <c r="BM158" s="144">
        <f>IFERROR(_xlfn.XLOOKUP($B158,'Cronog. e Histog.'!$BZ:$BZ,'Cronog. e Histog.'!EH:EH),"")</f>
        <v>0</v>
      </c>
      <c r="BN158" s="144">
        <f>IFERROR(_xlfn.XLOOKUP($B158,'Cronog. e Histog.'!$BZ:$BZ,'Cronog. e Histog.'!EI:EI),"")</f>
        <v>0</v>
      </c>
    </row>
    <row r="159" spans="2:66" ht="12" hidden="1" customHeight="1" outlineLevel="1">
      <c r="B159" s="76">
        <v>153</v>
      </c>
      <c r="C159" s="143" t="str">
        <f>IFERROR(VLOOKUP(B159,'Cronog. e Histog.'!$BZ$213:$CA$747,2,0),"")</f>
        <v>TEC III</v>
      </c>
      <c r="D159" s="144">
        <f t="shared" si="4"/>
        <v>0</v>
      </c>
      <c r="E159" s="144">
        <f t="shared" si="5"/>
        <v>0</v>
      </c>
      <c r="F159" s="65"/>
      <c r="G159" s="144">
        <f>IFERROR(_xlfn.XLOOKUP($B159,'Cronog. e Histog.'!$BZ:$BZ,'Cronog. e Histog.'!CB:CB),"")</f>
        <v>0</v>
      </c>
      <c r="H159" s="144">
        <f>IFERROR(_xlfn.XLOOKUP($B159,'Cronog. e Histog.'!$BZ:$BZ,'Cronog. e Histog.'!CC:CC),"")</f>
        <v>0</v>
      </c>
      <c r="I159" s="144">
        <f>IFERROR(_xlfn.XLOOKUP($B159,'Cronog. e Histog.'!$BZ:$BZ,'Cronog. e Histog.'!CD:CD),"")</f>
        <v>0</v>
      </c>
      <c r="J159" s="144">
        <f>IFERROR(_xlfn.XLOOKUP($B159,'Cronog. e Histog.'!$BZ:$BZ,'Cronog. e Histog.'!CE:CE),"")</f>
        <v>0</v>
      </c>
      <c r="K159" s="144">
        <f>IFERROR(_xlfn.XLOOKUP($B159,'Cronog. e Histog.'!$BZ:$BZ,'Cronog. e Histog.'!CF:CF),"")</f>
        <v>0</v>
      </c>
      <c r="L159" s="144">
        <f>IFERROR(_xlfn.XLOOKUP($B159,'Cronog. e Histog.'!$BZ:$BZ,'Cronog. e Histog.'!CG:CG),"")</f>
        <v>0</v>
      </c>
      <c r="M159" s="144">
        <f>IFERROR(_xlfn.XLOOKUP($B159,'Cronog. e Histog.'!$BZ:$BZ,'Cronog. e Histog.'!CH:CH),"")</f>
        <v>0</v>
      </c>
      <c r="N159" s="144">
        <f>IFERROR(_xlfn.XLOOKUP($B159,'Cronog. e Histog.'!$BZ:$BZ,'Cronog. e Histog.'!CI:CI),"")</f>
        <v>0</v>
      </c>
      <c r="O159" s="144">
        <f>IFERROR(_xlfn.XLOOKUP($B159,'Cronog. e Histog.'!$BZ:$BZ,'Cronog. e Histog.'!CJ:CJ),"")</f>
        <v>0</v>
      </c>
      <c r="P159" s="144">
        <f>IFERROR(_xlfn.XLOOKUP($B159,'Cronog. e Histog.'!$BZ:$BZ,'Cronog. e Histog.'!CK:CK),"")</f>
        <v>0</v>
      </c>
      <c r="Q159" s="144">
        <f>IFERROR(_xlfn.XLOOKUP($B159,'Cronog. e Histog.'!$BZ:$BZ,'Cronog. e Histog.'!CL:CL),"")</f>
        <v>0</v>
      </c>
      <c r="R159" s="144">
        <f>IFERROR(_xlfn.XLOOKUP($B159,'Cronog. e Histog.'!$BZ:$BZ,'Cronog. e Histog.'!CM:CM),"")</f>
        <v>0</v>
      </c>
      <c r="S159" s="144">
        <f>IFERROR(_xlfn.XLOOKUP($B159,'Cronog. e Histog.'!$BZ:$BZ,'Cronog. e Histog.'!CN:CN),"")</f>
        <v>0</v>
      </c>
      <c r="T159" s="144">
        <f>IFERROR(_xlfn.XLOOKUP($B159,'Cronog. e Histog.'!$BZ:$BZ,'Cronog. e Histog.'!CO:CO),"")</f>
        <v>0</v>
      </c>
      <c r="U159" s="144">
        <f>IFERROR(_xlfn.XLOOKUP($B159,'Cronog. e Histog.'!$BZ:$BZ,'Cronog. e Histog.'!CP:CP),"")</f>
        <v>0</v>
      </c>
      <c r="V159" s="144">
        <f>IFERROR(_xlfn.XLOOKUP($B159,'Cronog. e Histog.'!$BZ:$BZ,'Cronog. e Histog.'!CQ:CQ),"")</f>
        <v>0</v>
      </c>
      <c r="W159" s="144">
        <f>IFERROR(_xlfn.XLOOKUP($B159,'Cronog. e Histog.'!$BZ:$BZ,'Cronog. e Histog.'!CR:CR),"")</f>
        <v>0</v>
      </c>
      <c r="X159" s="144">
        <f>IFERROR(_xlfn.XLOOKUP($B159,'Cronog. e Histog.'!$BZ:$BZ,'Cronog. e Histog.'!CS:CS),"")</f>
        <v>0</v>
      </c>
      <c r="Y159" s="144">
        <f>IFERROR(_xlfn.XLOOKUP($B159,'Cronog. e Histog.'!$BZ:$BZ,'Cronog. e Histog.'!CT:CT),"")</f>
        <v>0</v>
      </c>
      <c r="Z159" s="144">
        <f>IFERROR(_xlfn.XLOOKUP($B159,'Cronog. e Histog.'!$BZ:$BZ,'Cronog. e Histog.'!CU:CU),"")</f>
        <v>0</v>
      </c>
      <c r="AA159" s="144">
        <f>IFERROR(_xlfn.XLOOKUP($B159,'Cronog. e Histog.'!$BZ:$BZ,'Cronog. e Histog.'!CV:CV),"")</f>
        <v>0</v>
      </c>
      <c r="AB159" s="144">
        <f>IFERROR(_xlfn.XLOOKUP($B159,'Cronog. e Histog.'!$BZ:$BZ,'Cronog. e Histog.'!CW:CW),"")</f>
        <v>0</v>
      </c>
      <c r="AC159" s="144">
        <f>IFERROR(_xlfn.XLOOKUP($B159,'Cronog. e Histog.'!$BZ:$BZ,'Cronog. e Histog.'!CX:CX),"")</f>
        <v>0</v>
      </c>
      <c r="AD159" s="144">
        <f>IFERROR(_xlfn.XLOOKUP($B159,'Cronog. e Histog.'!$BZ:$BZ,'Cronog. e Histog.'!CY:CY),"")</f>
        <v>0</v>
      </c>
      <c r="AE159" s="144">
        <f>IFERROR(_xlfn.XLOOKUP($B159,'Cronog. e Histog.'!$BZ:$BZ,'Cronog. e Histog.'!CZ:CZ),"")</f>
        <v>0</v>
      </c>
      <c r="AF159" s="144">
        <f>IFERROR(_xlfn.XLOOKUP($B159,'Cronog. e Histog.'!$BZ:$BZ,'Cronog. e Histog.'!DA:DA),"")</f>
        <v>0</v>
      </c>
      <c r="AG159" s="144">
        <f>IFERROR(_xlfn.XLOOKUP($B159,'Cronog. e Histog.'!$BZ:$BZ,'Cronog. e Histog.'!DB:DB),"")</f>
        <v>0</v>
      </c>
      <c r="AH159" s="144">
        <f>IFERROR(_xlfn.XLOOKUP($B159,'Cronog. e Histog.'!$BZ:$BZ,'Cronog. e Histog.'!DC:DC),"")</f>
        <v>0</v>
      </c>
      <c r="AI159" s="144">
        <f>IFERROR(_xlfn.XLOOKUP($B159,'Cronog. e Histog.'!$BZ:$BZ,'Cronog. e Histog.'!DD:DD),"")</f>
        <v>0</v>
      </c>
      <c r="AJ159" s="144">
        <f>IFERROR(_xlfn.XLOOKUP($B159,'Cronog. e Histog.'!$BZ:$BZ,'Cronog. e Histog.'!DE:DE),"")</f>
        <v>0</v>
      </c>
      <c r="AK159" s="144">
        <f>IFERROR(_xlfn.XLOOKUP($B159,'Cronog. e Histog.'!$BZ:$BZ,'Cronog. e Histog.'!DF:DF),"")</f>
        <v>0</v>
      </c>
      <c r="AL159" s="144">
        <f>IFERROR(_xlfn.XLOOKUP($B159,'Cronog. e Histog.'!$BZ:$BZ,'Cronog. e Histog.'!DG:DG),"")</f>
        <v>0</v>
      </c>
      <c r="AM159" s="144">
        <f>IFERROR(_xlfn.XLOOKUP($B159,'Cronog. e Histog.'!$BZ:$BZ,'Cronog. e Histog.'!DH:DH),"")</f>
        <v>0</v>
      </c>
      <c r="AN159" s="144">
        <f>IFERROR(_xlfn.XLOOKUP($B159,'Cronog. e Histog.'!$BZ:$BZ,'Cronog. e Histog.'!DI:DI),"")</f>
        <v>0</v>
      </c>
      <c r="AO159" s="144">
        <f>IFERROR(_xlfn.XLOOKUP($B159,'Cronog. e Histog.'!$BZ:$BZ,'Cronog. e Histog.'!DJ:DJ),"")</f>
        <v>0</v>
      </c>
      <c r="AP159" s="144">
        <f>IFERROR(_xlfn.XLOOKUP($B159,'Cronog. e Histog.'!$BZ:$BZ,'Cronog. e Histog.'!DK:DK),"")</f>
        <v>0</v>
      </c>
      <c r="AQ159" s="144">
        <f>IFERROR(_xlfn.XLOOKUP($B159,'Cronog. e Histog.'!$BZ:$BZ,'Cronog. e Histog.'!DL:DL),"")</f>
        <v>0</v>
      </c>
      <c r="AR159" s="144">
        <f>IFERROR(_xlfn.XLOOKUP($B159,'Cronog. e Histog.'!$BZ:$BZ,'Cronog. e Histog.'!DM:DM),"")</f>
        <v>0</v>
      </c>
      <c r="AS159" s="144">
        <f>IFERROR(_xlfn.XLOOKUP($B159,'Cronog. e Histog.'!$BZ:$BZ,'Cronog. e Histog.'!DN:DN),"")</f>
        <v>0</v>
      </c>
      <c r="AT159" s="144">
        <f>IFERROR(_xlfn.XLOOKUP($B159,'Cronog. e Histog.'!$BZ:$BZ,'Cronog. e Histog.'!DO:DO),"")</f>
        <v>0</v>
      </c>
      <c r="AU159" s="144">
        <f>IFERROR(_xlfn.XLOOKUP($B159,'Cronog. e Histog.'!$BZ:$BZ,'Cronog. e Histog.'!DP:DP),"")</f>
        <v>0</v>
      </c>
      <c r="AV159" s="144">
        <f>IFERROR(_xlfn.XLOOKUP($B159,'Cronog. e Histog.'!$BZ:$BZ,'Cronog. e Histog.'!DQ:DQ),"")</f>
        <v>0</v>
      </c>
      <c r="AW159" s="144">
        <f>IFERROR(_xlfn.XLOOKUP($B159,'Cronog. e Histog.'!$BZ:$BZ,'Cronog. e Histog.'!DR:DR),"")</f>
        <v>0</v>
      </c>
      <c r="AX159" s="144">
        <f>IFERROR(_xlfn.XLOOKUP($B159,'Cronog. e Histog.'!$BZ:$BZ,'Cronog. e Histog.'!DS:DS),"")</f>
        <v>0</v>
      </c>
      <c r="AY159" s="144">
        <f>IFERROR(_xlfn.XLOOKUP($B159,'Cronog. e Histog.'!$BZ:$BZ,'Cronog. e Histog.'!DT:DT),"")</f>
        <v>0</v>
      </c>
      <c r="AZ159" s="144">
        <f>IFERROR(_xlfn.XLOOKUP($B159,'Cronog. e Histog.'!$BZ:$BZ,'Cronog. e Histog.'!DU:DU),"")</f>
        <v>0</v>
      </c>
      <c r="BA159" s="144">
        <f>IFERROR(_xlfn.XLOOKUP($B159,'Cronog. e Histog.'!$BZ:$BZ,'Cronog. e Histog.'!DV:DV),"")</f>
        <v>0</v>
      </c>
      <c r="BB159" s="144">
        <f>IFERROR(_xlfn.XLOOKUP($B159,'Cronog. e Histog.'!$BZ:$BZ,'Cronog. e Histog.'!DW:DW),"")</f>
        <v>0</v>
      </c>
      <c r="BC159" s="144">
        <f>IFERROR(_xlfn.XLOOKUP($B159,'Cronog. e Histog.'!$BZ:$BZ,'Cronog. e Histog.'!DX:DX),"")</f>
        <v>0</v>
      </c>
      <c r="BD159" s="144">
        <f>IFERROR(_xlfn.XLOOKUP($B159,'Cronog. e Histog.'!$BZ:$BZ,'Cronog. e Histog.'!DY:DY),"")</f>
        <v>0</v>
      </c>
      <c r="BE159" s="144">
        <f>IFERROR(_xlfn.XLOOKUP($B159,'Cronog. e Histog.'!$BZ:$BZ,'Cronog. e Histog.'!DZ:DZ),"")</f>
        <v>0</v>
      </c>
      <c r="BF159" s="144">
        <f>IFERROR(_xlfn.XLOOKUP($B159,'Cronog. e Histog.'!$BZ:$BZ,'Cronog. e Histog.'!EA:EA),"")</f>
        <v>0</v>
      </c>
      <c r="BG159" s="144">
        <f>IFERROR(_xlfn.XLOOKUP($B159,'Cronog. e Histog.'!$BZ:$BZ,'Cronog. e Histog.'!EB:EB),"")</f>
        <v>0</v>
      </c>
      <c r="BH159" s="144">
        <f>IFERROR(_xlfn.XLOOKUP($B159,'Cronog. e Histog.'!$BZ:$BZ,'Cronog. e Histog.'!EC:EC),"")</f>
        <v>0</v>
      </c>
      <c r="BI159" s="144">
        <f>IFERROR(_xlfn.XLOOKUP($B159,'Cronog. e Histog.'!$BZ:$BZ,'Cronog. e Histog.'!ED:ED),"")</f>
        <v>0</v>
      </c>
      <c r="BJ159" s="144">
        <f>IFERROR(_xlfn.XLOOKUP($B159,'Cronog. e Histog.'!$BZ:$BZ,'Cronog. e Histog.'!EE:EE),"")</f>
        <v>0</v>
      </c>
      <c r="BK159" s="144">
        <f>IFERROR(_xlfn.XLOOKUP($B159,'Cronog. e Histog.'!$BZ:$BZ,'Cronog. e Histog.'!EF:EF),"")</f>
        <v>0</v>
      </c>
      <c r="BL159" s="144">
        <f>IFERROR(_xlfn.XLOOKUP($B159,'Cronog. e Histog.'!$BZ:$BZ,'Cronog. e Histog.'!EG:EG),"")</f>
        <v>0</v>
      </c>
      <c r="BM159" s="144">
        <f>IFERROR(_xlfn.XLOOKUP($B159,'Cronog. e Histog.'!$BZ:$BZ,'Cronog. e Histog.'!EH:EH),"")</f>
        <v>0</v>
      </c>
      <c r="BN159" s="144">
        <f>IFERROR(_xlfn.XLOOKUP($B159,'Cronog. e Histog.'!$BZ:$BZ,'Cronog. e Histog.'!EI:EI),"")</f>
        <v>0</v>
      </c>
    </row>
    <row r="160" spans="2:66" ht="12" hidden="1" customHeight="1" outlineLevel="1">
      <c r="B160" s="76">
        <v>154</v>
      </c>
      <c r="C160" s="143" t="str">
        <f>IFERROR(VLOOKUP(B160,'Cronog. e Histog.'!$BZ$213:$CA$747,2,0),"")</f>
        <v>TEC II</v>
      </c>
      <c r="D160" s="144">
        <f t="shared" si="4"/>
        <v>0</v>
      </c>
      <c r="E160" s="144">
        <f t="shared" si="5"/>
        <v>0</v>
      </c>
      <c r="F160" s="65"/>
      <c r="G160" s="144">
        <f>IFERROR(_xlfn.XLOOKUP($B160,'Cronog. e Histog.'!$BZ:$BZ,'Cronog. e Histog.'!CB:CB),"")</f>
        <v>0</v>
      </c>
      <c r="H160" s="144">
        <f>IFERROR(_xlfn.XLOOKUP($B160,'Cronog. e Histog.'!$BZ:$BZ,'Cronog. e Histog.'!CC:CC),"")</f>
        <v>0</v>
      </c>
      <c r="I160" s="144">
        <f>IFERROR(_xlfn.XLOOKUP($B160,'Cronog. e Histog.'!$BZ:$BZ,'Cronog. e Histog.'!CD:CD),"")</f>
        <v>0</v>
      </c>
      <c r="J160" s="144">
        <f>IFERROR(_xlfn.XLOOKUP($B160,'Cronog. e Histog.'!$BZ:$BZ,'Cronog. e Histog.'!CE:CE),"")</f>
        <v>0</v>
      </c>
      <c r="K160" s="144">
        <f>IFERROR(_xlfn.XLOOKUP($B160,'Cronog. e Histog.'!$BZ:$BZ,'Cronog. e Histog.'!CF:CF),"")</f>
        <v>0</v>
      </c>
      <c r="L160" s="144">
        <f>IFERROR(_xlfn.XLOOKUP($B160,'Cronog. e Histog.'!$BZ:$BZ,'Cronog. e Histog.'!CG:CG),"")</f>
        <v>0</v>
      </c>
      <c r="M160" s="144">
        <f>IFERROR(_xlfn.XLOOKUP($B160,'Cronog. e Histog.'!$BZ:$BZ,'Cronog. e Histog.'!CH:CH),"")</f>
        <v>0</v>
      </c>
      <c r="N160" s="144">
        <f>IFERROR(_xlfn.XLOOKUP($B160,'Cronog. e Histog.'!$BZ:$BZ,'Cronog. e Histog.'!CI:CI),"")</f>
        <v>0</v>
      </c>
      <c r="O160" s="144">
        <f>IFERROR(_xlfn.XLOOKUP($B160,'Cronog. e Histog.'!$BZ:$BZ,'Cronog. e Histog.'!CJ:CJ),"")</f>
        <v>0</v>
      </c>
      <c r="P160" s="144">
        <f>IFERROR(_xlfn.XLOOKUP($B160,'Cronog. e Histog.'!$BZ:$BZ,'Cronog. e Histog.'!CK:CK),"")</f>
        <v>0</v>
      </c>
      <c r="Q160" s="144">
        <f>IFERROR(_xlfn.XLOOKUP($B160,'Cronog. e Histog.'!$BZ:$BZ,'Cronog. e Histog.'!CL:CL),"")</f>
        <v>0</v>
      </c>
      <c r="R160" s="144">
        <f>IFERROR(_xlfn.XLOOKUP($B160,'Cronog. e Histog.'!$BZ:$BZ,'Cronog. e Histog.'!CM:CM),"")</f>
        <v>0</v>
      </c>
      <c r="S160" s="144">
        <f>IFERROR(_xlfn.XLOOKUP($B160,'Cronog. e Histog.'!$BZ:$BZ,'Cronog. e Histog.'!CN:CN),"")</f>
        <v>0</v>
      </c>
      <c r="T160" s="144">
        <f>IFERROR(_xlfn.XLOOKUP($B160,'Cronog. e Histog.'!$BZ:$BZ,'Cronog. e Histog.'!CO:CO),"")</f>
        <v>0</v>
      </c>
      <c r="U160" s="144">
        <f>IFERROR(_xlfn.XLOOKUP($B160,'Cronog. e Histog.'!$BZ:$BZ,'Cronog. e Histog.'!CP:CP),"")</f>
        <v>0</v>
      </c>
      <c r="V160" s="144">
        <f>IFERROR(_xlfn.XLOOKUP($B160,'Cronog. e Histog.'!$BZ:$BZ,'Cronog. e Histog.'!CQ:CQ),"")</f>
        <v>0</v>
      </c>
      <c r="W160" s="144">
        <f>IFERROR(_xlfn.XLOOKUP($B160,'Cronog. e Histog.'!$BZ:$BZ,'Cronog. e Histog.'!CR:CR),"")</f>
        <v>0</v>
      </c>
      <c r="X160" s="144">
        <f>IFERROR(_xlfn.XLOOKUP($B160,'Cronog. e Histog.'!$BZ:$BZ,'Cronog. e Histog.'!CS:CS),"")</f>
        <v>0</v>
      </c>
      <c r="Y160" s="144">
        <f>IFERROR(_xlfn.XLOOKUP($B160,'Cronog. e Histog.'!$BZ:$BZ,'Cronog. e Histog.'!CT:CT),"")</f>
        <v>0</v>
      </c>
      <c r="Z160" s="144">
        <f>IFERROR(_xlfn.XLOOKUP($B160,'Cronog. e Histog.'!$BZ:$BZ,'Cronog. e Histog.'!CU:CU),"")</f>
        <v>0</v>
      </c>
      <c r="AA160" s="144">
        <f>IFERROR(_xlfn.XLOOKUP($B160,'Cronog. e Histog.'!$BZ:$BZ,'Cronog. e Histog.'!CV:CV),"")</f>
        <v>0</v>
      </c>
      <c r="AB160" s="144">
        <f>IFERROR(_xlfn.XLOOKUP($B160,'Cronog. e Histog.'!$BZ:$BZ,'Cronog. e Histog.'!CW:CW),"")</f>
        <v>0</v>
      </c>
      <c r="AC160" s="144">
        <f>IFERROR(_xlfn.XLOOKUP($B160,'Cronog. e Histog.'!$BZ:$BZ,'Cronog. e Histog.'!CX:CX),"")</f>
        <v>0</v>
      </c>
      <c r="AD160" s="144">
        <f>IFERROR(_xlfn.XLOOKUP($B160,'Cronog. e Histog.'!$BZ:$BZ,'Cronog. e Histog.'!CY:CY),"")</f>
        <v>0</v>
      </c>
      <c r="AE160" s="144">
        <f>IFERROR(_xlfn.XLOOKUP($B160,'Cronog. e Histog.'!$BZ:$BZ,'Cronog. e Histog.'!CZ:CZ),"")</f>
        <v>0</v>
      </c>
      <c r="AF160" s="144">
        <f>IFERROR(_xlfn.XLOOKUP($B160,'Cronog. e Histog.'!$BZ:$BZ,'Cronog. e Histog.'!DA:DA),"")</f>
        <v>0</v>
      </c>
      <c r="AG160" s="144">
        <f>IFERROR(_xlfn.XLOOKUP($B160,'Cronog. e Histog.'!$BZ:$BZ,'Cronog. e Histog.'!DB:DB),"")</f>
        <v>0</v>
      </c>
      <c r="AH160" s="144">
        <f>IFERROR(_xlfn.XLOOKUP($B160,'Cronog. e Histog.'!$BZ:$BZ,'Cronog. e Histog.'!DC:DC),"")</f>
        <v>0</v>
      </c>
      <c r="AI160" s="144">
        <f>IFERROR(_xlfn.XLOOKUP($B160,'Cronog. e Histog.'!$BZ:$BZ,'Cronog. e Histog.'!DD:DD),"")</f>
        <v>0</v>
      </c>
      <c r="AJ160" s="144">
        <f>IFERROR(_xlfn.XLOOKUP($B160,'Cronog. e Histog.'!$BZ:$BZ,'Cronog. e Histog.'!DE:DE),"")</f>
        <v>0</v>
      </c>
      <c r="AK160" s="144">
        <f>IFERROR(_xlfn.XLOOKUP($B160,'Cronog. e Histog.'!$BZ:$BZ,'Cronog. e Histog.'!DF:DF),"")</f>
        <v>0</v>
      </c>
      <c r="AL160" s="144">
        <f>IFERROR(_xlfn.XLOOKUP($B160,'Cronog. e Histog.'!$BZ:$BZ,'Cronog. e Histog.'!DG:DG),"")</f>
        <v>0</v>
      </c>
      <c r="AM160" s="144">
        <f>IFERROR(_xlfn.XLOOKUP($B160,'Cronog. e Histog.'!$BZ:$BZ,'Cronog. e Histog.'!DH:DH),"")</f>
        <v>0</v>
      </c>
      <c r="AN160" s="144">
        <f>IFERROR(_xlfn.XLOOKUP($B160,'Cronog. e Histog.'!$BZ:$BZ,'Cronog. e Histog.'!DI:DI),"")</f>
        <v>0</v>
      </c>
      <c r="AO160" s="144">
        <f>IFERROR(_xlfn.XLOOKUP($B160,'Cronog. e Histog.'!$BZ:$BZ,'Cronog. e Histog.'!DJ:DJ),"")</f>
        <v>0</v>
      </c>
      <c r="AP160" s="144">
        <f>IFERROR(_xlfn.XLOOKUP($B160,'Cronog. e Histog.'!$BZ:$BZ,'Cronog. e Histog.'!DK:DK),"")</f>
        <v>0</v>
      </c>
      <c r="AQ160" s="144">
        <f>IFERROR(_xlfn.XLOOKUP($B160,'Cronog. e Histog.'!$BZ:$BZ,'Cronog. e Histog.'!DL:DL),"")</f>
        <v>0</v>
      </c>
      <c r="AR160" s="144">
        <f>IFERROR(_xlfn.XLOOKUP($B160,'Cronog. e Histog.'!$BZ:$BZ,'Cronog. e Histog.'!DM:DM),"")</f>
        <v>0</v>
      </c>
      <c r="AS160" s="144">
        <f>IFERROR(_xlfn.XLOOKUP($B160,'Cronog. e Histog.'!$BZ:$BZ,'Cronog. e Histog.'!DN:DN),"")</f>
        <v>0</v>
      </c>
      <c r="AT160" s="144">
        <f>IFERROR(_xlfn.XLOOKUP($B160,'Cronog. e Histog.'!$BZ:$BZ,'Cronog. e Histog.'!DO:DO),"")</f>
        <v>0</v>
      </c>
      <c r="AU160" s="144">
        <f>IFERROR(_xlfn.XLOOKUP($B160,'Cronog. e Histog.'!$BZ:$BZ,'Cronog. e Histog.'!DP:DP),"")</f>
        <v>0</v>
      </c>
      <c r="AV160" s="144">
        <f>IFERROR(_xlfn.XLOOKUP($B160,'Cronog. e Histog.'!$BZ:$BZ,'Cronog. e Histog.'!DQ:DQ),"")</f>
        <v>0</v>
      </c>
      <c r="AW160" s="144">
        <f>IFERROR(_xlfn.XLOOKUP($B160,'Cronog. e Histog.'!$BZ:$BZ,'Cronog. e Histog.'!DR:DR),"")</f>
        <v>0</v>
      </c>
      <c r="AX160" s="144">
        <f>IFERROR(_xlfn.XLOOKUP($B160,'Cronog. e Histog.'!$BZ:$BZ,'Cronog. e Histog.'!DS:DS),"")</f>
        <v>0</v>
      </c>
      <c r="AY160" s="144">
        <f>IFERROR(_xlfn.XLOOKUP($B160,'Cronog. e Histog.'!$BZ:$BZ,'Cronog. e Histog.'!DT:DT),"")</f>
        <v>0</v>
      </c>
      <c r="AZ160" s="144">
        <f>IFERROR(_xlfn.XLOOKUP($B160,'Cronog. e Histog.'!$BZ:$BZ,'Cronog. e Histog.'!DU:DU),"")</f>
        <v>0</v>
      </c>
      <c r="BA160" s="144">
        <f>IFERROR(_xlfn.XLOOKUP($B160,'Cronog. e Histog.'!$BZ:$BZ,'Cronog. e Histog.'!DV:DV),"")</f>
        <v>0</v>
      </c>
      <c r="BB160" s="144">
        <f>IFERROR(_xlfn.XLOOKUP($B160,'Cronog. e Histog.'!$BZ:$BZ,'Cronog. e Histog.'!DW:DW),"")</f>
        <v>0</v>
      </c>
      <c r="BC160" s="144">
        <f>IFERROR(_xlfn.XLOOKUP($B160,'Cronog. e Histog.'!$BZ:$BZ,'Cronog. e Histog.'!DX:DX),"")</f>
        <v>0</v>
      </c>
      <c r="BD160" s="144">
        <f>IFERROR(_xlfn.XLOOKUP($B160,'Cronog. e Histog.'!$BZ:$BZ,'Cronog. e Histog.'!DY:DY),"")</f>
        <v>0</v>
      </c>
      <c r="BE160" s="144">
        <f>IFERROR(_xlfn.XLOOKUP($B160,'Cronog. e Histog.'!$BZ:$BZ,'Cronog. e Histog.'!DZ:DZ),"")</f>
        <v>0</v>
      </c>
      <c r="BF160" s="144">
        <f>IFERROR(_xlfn.XLOOKUP($B160,'Cronog. e Histog.'!$BZ:$BZ,'Cronog. e Histog.'!EA:EA),"")</f>
        <v>0</v>
      </c>
      <c r="BG160" s="144">
        <f>IFERROR(_xlfn.XLOOKUP($B160,'Cronog. e Histog.'!$BZ:$BZ,'Cronog. e Histog.'!EB:EB),"")</f>
        <v>0</v>
      </c>
      <c r="BH160" s="144">
        <f>IFERROR(_xlfn.XLOOKUP($B160,'Cronog. e Histog.'!$BZ:$BZ,'Cronog. e Histog.'!EC:EC),"")</f>
        <v>0</v>
      </c>
      <c r="BI160" s="144">
        <f>IFERROR(_xlfn.XLOOKUP($B160,'Cronog. e Histog.'!$BZ:$BZ,'Cronog. e Histog.'!ED:ED),"")</f>
        <v>0</v>
      </c>
      <c r="BJ160" s="144">
        <f>IFERROR(_xlfn.XLOOKUP($B160,'Cronog. e Histog.'!$BZ:$BZ,'Cronog. e Histog.'!EE:EE),"")</f>
        <v>0</v>
      </c>
      <c r="BK160" s="144">
        <f>IFERROR(_xlfn.XLOOKUP($B160,'Cronog. e Histog.'!$BZ:$BZ,'Cronog. e Histog.'!EF:EF),"")</f>
        <v>0</v>
      </c>
      <c r="BL160" s="144">
        <f>IFERROR(_xlfn.XLOOKUP($B160,'Cronog. e Histog.'!$BZ:$BZ,'Cronog. e Histog.'!EG:EG),"")</f>
        <v>0</v>
      </c>
      <c r="BM160" s="144">
        <f>IFERROR(_xlfn.XLOOKUP($B160,'Cronog. e Histog.'!$BZ:$BZ,'Cronog. e Histog.'!EH:EH),"")</f>
        <v>0</v>
      </c>
      <c r="BN160" s="144">
        <f>IFERROR(_xlfn.XLOOKUP($B160,'Cronog. e Histog.'!$BZ:$BZ,'Cronog. e Histog.'!EI:EI),"")</f>
        <v>0</v>
      </c>
    </row>
    <row r="161" spans="2:66" ht="12" hidden="1" customHeight="1" outlineLevel="1">
      <c r="B161" s="76">
        <v>155</v>
      </c>
      <c r="C161" s="143" t="str">
        <f>IFERROR(VLOOKUP(B161,'Cronog. e Histog.'!$BZ$213:$CA$747,2,0),"")</f>
        <v>TEC I</v>
      </c>
      <c r="D161" s="144">
        <f t="shared" si="4"/>
        <v>0</v>
      </c>
      <c r="E161" s="144">
        <f t="shared" si="5"/>
        <v>0</v>
      </c>
      <c r="F161" s="65"/>
      <c r="G161" s="144">
        <f>IFERROR(_xlfn.XLOOKUP($B161,'Cronog. e Histog.'!$BZ:$BZ,'Cronog. e Histog.'!CB:CB),"")</f>
        <v>0</v>
      </c>
      <c r="H161" s="144">
        <f>IFERROR(_xlfn.XLOOKUP($B161,'Cronog. e Histog.'!$BZ:$BZ,'Cronog. e Histog.'!CC:CC),"")</f>
        <v>0</v>
      </c>
      <c r="I161" s="144">
        <f>IFERROR(_xlfn.XLOOKUP($B161,'Cronog. e Histog.'!$BZ:$BZ,'Cronog. e Histog.'!CD:CD),"")</f>
        <v>0</v>
      </c>
      <c r="J161" s="144">
        <f>IFERROR(_xlfn.XLOOKUP($B161,'Cronog. e Histog.'!$BZ:$BZ,'Cronog. e Histog.'!CE:CE),"")</f>
        <v>0</v>
      </c>
      <c r="K161" s="144">
        <f>IFERROR(_xlfn.XLOOKUP($B161,'Cronog. e Histog.'!$BZ:$BZ,'Cronog. e Histog.'!CF:CF),"")</f>
        <v>0</v>
      </c>
      <c r="L161" s="144">
        <f>IFERROR(_xlfn.XLOOKUP($B161,'Cronog. e Histog.'!$BZ:$BZ,'Cronog. e Histog.'!CG:CG),"")</f>
        <v>0</v>
      </c>
      <c r="M161" s="144">
        <f>IFERROR(_xlfn.XLOOKUP($B161,'Cronog. e Histog.'!$BZ:$BZ,'Cronog. e Histog.'!CH:CH),"")</f>
        <v>0</v>
      </c>
      <c r="N161" s="144">
        <f>IFERROR(_xlfn.XLOOKUP($B161,'Cronog. e Histog.'!$BZ:$BZ,'Cronog. e Histog.'!CI:CI),"")</f>
        <v>0</v>
      </c>
      <c r="O161" s="144">
        <f>IFERROR(_xlfn.XLOOKUP($B161,'Cronog. e Histog.'!$BZ:$BZ,'Cronog. e Histog.'!CJ:CJ),"")</f>
        <v>0</v>
      </c>
      <c r="P161" s="144">
        <f>IFERROR(_xlfn.XLOOKUP($B161,'Cronog. e Histog.'!$BZ:$BZ,'Cronog. e Histog.'!CK:CK),"")</f>
        <v>0</v>
      </c>
      <c r="Q161" s="144">
        <f>IFERROR(_xlfn.XLOOKUP($B161,'Cronog. e Histog.'!$BZ:$BZ,'Cronog. e Histog.'!CL:CL),"")</f>
        <v>0</v>
      </c>
      <c r="R161" s="144">
        <f>IFERROR(_xlfn.XLOOKUP($B161,'Cronog. e Histog.'!$BZ:$BZ,'Cronog. e Histog.'!CM:CM),"")</f>
        <v>0</v>
      </c>
      <c r="S161" s="144">
        <f>IFERROR(_xlfn.XLOOKUP($B161,'Cronog. e Histog.'!$BZ:$BZ,'Cronog. e Histog.'!CN:CN),"")</f>
        <v>0</v>
      </c>
      <c r="T161" s="144">
        <f>IFERROR(_xlfn.XLOOKUP($B161,'Cronog. e Histog.'!$BZ:$BZ,'Cronog. e Histog.'!CO:CO),"")</f>
        <v>0</v>
      </c>
      <c r="U161" s="144">
        <f>IFERROR(_xlfn.XLOOKUP($B161,'Cronog. e Histog.'!$BZ:$BZ,'Cronog. e Histog.'!CP:CP),"")</f>
        <v>0</v>
      </c>
      <c r="V161" s="144">
        <f>IFERROR(_xlfn.XLOOKUP($B161,'Cronog. e Histog.'!$BZ:$BZ,'Cronog. e Histog.'!CQ:CQ),"")</f>
        <v>0</v>
      </c>
      <c r="W161" s="144">
        <f>IFERROR(_xlfn.XLOOKUP($B161,'Cronog. e Histog.'!$BZ:$BZ,'Cronog. e Histog.'!CR:CR),"")</f>
        <v>0</v>
      </c>
      <c r="X161" s="144">
        <f>IFERROR(_xlfn.XLOOKUP($B161,'Cronog. e Histog.'!$BZ:$BZ,'Cronog. e Histog.'!CS:CS),"")</f>
        <v>0</v>
      </c>
      <c r="Y161" s="144">
        <f>IFERROR(_xlfn.XLOOKUP($B161,'Cronog. e Histog.'!$BZ:$BZ,'Cronog. e Histog.'!CT:CT),"")</f>
        <v>0</v>
      </c>
      <c r="Z161" s="144">
        <f>IFERROR(_xlfn.XLOOKUP($B161,'Cronog. e Histog.'!$BZ:$BZ,'Cronog. e Histog.'!CU:CU),"")</f>
        <v>0</v>
      </c>
      <c r="AA161" s="144">
        <f>IFERROR(_xlfn.XLOOKUP($B161,'Cronog. e Histog.'!$BZ:$BZ,'Cronog. e Histog.'!CV:CV),"")</f>
        <v>0</v>
      </c>
      <c r="AB161" s="144">
        <f>IFERROR(_xlfn.XLOOKUP($B161,'Cronog. e Histog.'!$BZ:$BZ,'Cronog. e Histog.'!CW:CW),"")</f>
        <v>0</v>
      </c>
      <c r="AC161" s="144">
        <f>IFERROR(_xlfn.XLOOKUP($B161,'Cronog. e Histog.'!$BZ:$BZ,'Cronog. e Histog.'!CX:CX),"")</f>
        <v>0</v>
      </c>
      <c r="AD161" s="144">
        <f>IFERROR(_xlfn.XLOOKUP($B161,'Cronog. e Histog.'!$BZ:$BZ,'Cronog. e Histog.'!CY:CY),"")</f>
        <v>0</v>
      </c>
      <c r="AE161" s="144">
        <f>IFERROR(_xlfn.XLOOKUP($B161,'Cronog. e Histog.'!$BZ:$BZ,'Cronog. e Histog.'!CZ:CZ),"")</f>
        <v>0</v>
      </c>
      <c r="AF161" s="144">
        <f>IFERROR(_xlfn.XLOOKUP($B161,'Cronog. e Histog.'!$BZ:$BZ,'Cronog. e Histog.'!DA:DA),"")</f>
        <v>0</v>
      </c>
      <c r="AG161" s="144">
        <f>IFERROR(_xlfn.XLOOKUP($B161,'Cronog. e Histog.'!$BZ:$BZ,'Cronog. e Histog.'!DB:DB),"")</f>
        <v>0</v>
      </c>
      <c r="AH161" s="144">
        <f>IFERROR(_xlfn.XLOOKUP($B161,'Cronog. e Histog.'!$BZ:$BZ,'Cronog. e Histog.'!DC:DC),"")</f>
        <v>0</v>
      </c>
      <c r="AI161" s="144">
        <f>IFERROR(_xlfn.XLOOKUP($B161,'Cronog. e Histog.'!$BZ:$BZ,'Cronog. e Histog.'!DD:DD),"")</f>
        <v>0</v>
      </c>
      <c r="AJ161" s="144">
        <f>IFERROR(_xlfn.XLOOKUP($B161,'Cronog. e Histog.'!$BZ:$BZ,'Cronog. e Histog.'!DE:DE),"")</f>
        <v>0</v>
      </c>
      <c r="AK161" s="144">
        <f>IFERROR(_xlfn.XLOOKUP($B161,'Cronog. e Histog.'!$BZ:$BZ,'Cronog. e Histog.'!DF:DF),"")</f>
        <v>0</v>
      </c>
      <c r="AL161" s="144">
        <f>IFERROR(_xlfn.XLOOKUP($B161,'Cronog. e Histog.'!$BZ:$BZ,'Cronog. e Histog.'!DG:DG),"")</f>
        <v>0</v>
      </c>
      <c r="AM161" s="144">
        <f>IFERROR(_xlfn.XLOOKUP($B161,'Cronog. e Histog.'!$BZ:$BZ,'Cronog. e Histog.'!DH:DH),"")</f>
        <v>0</v>
      </c>
      <c r="AN161" s="144">
        <f>IFERROR(_xlfn.XLOOKUP($B161,'Cronog. e Histog.'!$BZ:$BZ,'Cronog. e Histog.'!DI:DI),"")</f>
        <v>0</v>
      </c>
      <c r="AO161" s="144">
        <f>IFERROR(_xlfn.XLOOKUP($B161,'Cronog. e Histog.'!$BZ:$BZ,'Cronog. e Histog.'!DJ:DJ),"")</f>
        <v>0</v>
      </c>
      <c r="AP161" s="144">
        <f>IFERROR(_xlfn.XLOOKUP($B161,'Cronog. e Histog.'!$BZ:$BZ,'Cronog. e Histog.'!DK:DK),"")</f>
        <v>0</v>
      </c>
      <c r="AQ161" s="144">
        <f>IFERROR(_xlfn.XLOOKUP($B161,'Cronog. e Histog.'!$BZ:$BZ,'Cronog. e Histog.'!DL:DL),"")</f>
        <v>0</v>
      </c>
      <c r="AR161" s="144">
        <f>IFERROR(_xlfn.XLOOKUP($B161,'Cronog. e Histog.'!$BZ:$BZ,'Cronog. e Histog.'!DM:DM),"")</f>
        <v>0</v>
      </c>
      <c r="AS161" s="144">
        <f>IFERROR(_xlfn.XLOOKUP($B161,'Cronog. e Histog.'!$BZ:$BZ,'Cronog. e Histog.'!DN:DN),"")</f>
        <v>0</v>
      </c>
      <c r="AT161" s="144">
        <f>IFERROR(_xlfn.XLOOKUP($B161,'Cronog. e Histog.'!$BZ:$BZ,'Cronog. e Histog.'!DO:DO),"")</f>
        <v>0</v>
      </c>
      <c r="AU161" s="144">
        <f>IFERROR(_xlfn.XLOOKUP($B161,'Cronog. e Histog.'!$BZ:$BZ,'Cronog. e Histog.'!DP:DP),"")</f>
        <v>0</v>
      </c>
      <c r="AV161" s="144">
        <f>IFERROR(_xlfn.XLOOKUP($B161,'Cronog. e Histog.'!$BZ:$BZ,'Cronog. e Histog.'!DQ:DQ),"")</f>
        <v>0</v>
      </c>
      <c r="AW161" s="144">
        <f>IFERROR(_xlfn.XLOOKUP($B161,'Cronog. e Histog.'!$BZ:$BZ,'Cronog. e Histog.'!DR:DR),"")</f>
        <v>0</v>
      </c>
      <c r="AX161" s="144">
        <f>IFERROR(_xlfn.XLOOKUP($B161,'Cronog. e Histog.'!$BZ:$BZ,'Cronog. e Histog.'!DS:DS),"")</f>
        <v>0</v>
      </c>
      <c r="AY161" s="144">
        <f>IFERROR(_xlfn.XLOOKUP($B161,'Cronog. e Histog.'!$BZ:$BZ,'Cronog. e Histog.'!DT:DT),"")</f>
        <v>0</v>
      </c>
      <c r="AZ161" s="144">
        <f>IFERROR(_xlfn.XLOOKUP($B161,'Cronog. e Histog.'!$BZ:$BZ,'Cronog. e Histog.'!DU:DU),"")</f>
        <v>0</v>
      </c>
      <c r="BA161" s="144">
        <f>IFERROR(_xlfn.XLOOKUP($B161,'Cronog. e Histog.'!$BZ:$BZ,'Cronog. e Histog.'!DV:DV),"")</f>
        <v>0</v>
      </c>
      <c r="BB161" s="144">
        <f>IFERROR(_xlfn.XLOOKUP($B161,'Cronog. e Histog.'!$BZ:$BZ,'Cronog. e Histog.'!DW:DW),"")</f>
        <v>0</v>
      </c>
      <c r="BC161" s="144">
        <f>IFERROR(_xlfn.XLOOKUP($B161,'Cronog. e Histog.'!$BZ:$BZ,'Cronog. e Histog.'!DX:DX),"")</f>
        <v>0</v>
      </c>
      <c r="BD161" s="144">
        <f>IFERROR(_xlfn.XLOOKUP($B161,'Cronog. e Histog.'!$BZ:$BZ,'Cronog. e Histog.'!DY:DY),"")</f>
        <v>0</v>
      </c>
      <c r="BE161" s="144">
        <f>IFERROR(_xlfn.XLOOKUP($B161,'Cronog. e Histog.'!$BZ:$BZ,'Cronog. e Histog.'!DZ:DZ),"")</f>
        <v>0</v>
      </c>
      <c r="BF161" s="144">
        <f>IFERROR(_xlfn.XLOOKUP($B161,'Cronog. e Histog.'!$BZ:$BZ,'Cronog. e Histog.'!EA:EA),"")</f>
        <v>0</v>
      </c>
      <c r="BG161" s="144">
        <f>IFERROR(_xlfn.XLOOKUP($B161,'Cronog. e Histog.'!$BZ:$BZ,'Cronog. e Histog.'!EB:EB),"")</f>
        <v>0</v>
      </c>
      <c r="BH161" s="144">
        <f>IFERROR(_xlfn.XLOOKUP($B161,'Cronog. e Histog.'!$BZ:$BZ,'Cronog. e Histog.'!EC:EC),"")</f>
        <v>0</v>
      </c>
      <c r="BI161" s="144">
        <f>IFERROR(_xlfn.XLOOKUP($B161,'Cronog. e Histog.'!$BZ:$BZ,'Cronog. e Histog.'!ED:ED),"")</f>
        <v>0</v>
      </c>
      <c r="BJ161" s="144">
        <f>IFERROR(_xlfn.XLOOKUP($B161,'Cronog. e Histog.'!$BZ:$BZ,'Cronog. e Histog.'!EE:EE),"")</f>
        <v>0</v>
      </c>
      <c r="BK161" s="144">
        <f>IFERROR(_xlfn.XLOOKUP($B161,'Cronog. e Histog.'!$BZ:$BZ,'Cronog. e Histog.'!EF:EF),"")</f>
        <v>0</v>
      </c>
      <c r="BL161" s="144">
        <f>IFERROR(_xlfn.XLOOKUP($B161,'Cronog. e Histog.'!$BZ:$BZ,'Cronog. e Histog.'!EG:EG),"")</f>
        <v>0</v>
      </c>
      <c r="BM161" s="144">
        <f>IFERROR(_xlfn.XLOOKUP($B161,'Cronog. e Histog.'!$BZ:$BZ,'Cronog. e Histog.'!EH:EH),"")</f>
        <v>0</v>
      </c>
      <c r="BN161" s="144">
        <f>IFERROR(_xlfn.XLOOKUP($B161,'Cronog. e Histog.'!$BZ:$BZ,'Cronog. e Histog.'!EI:EI),"")</f>
        <v>0</v>
      </c>
    </row>
    <row r="162" spans="2:66" ht="12" hidden="1" customHeight="1" outlineLevel="1">
      <c r="B162" s="76">
        <v>156</v>
      </c>
      <c r="C162" s="143" t="str">
        <f>IFERROR(VLOOKUP(B162,'Cronog. e Histog.'!$BZ$213:$CA$747,2,0),"")</f>
        <v>AUX TEC</v>
      </c>
      <c r="D162" s="144">
        <f t="shared" si="4"/>
        <v>0</v>
      </c>
      <c r="E162" s="144">
        <f t="shared" si="5"/>
        <v>0</v>
      </c>
      <c r="F162" s="65"/>
      <c r="G162" s="144">
        <f>IFERROR(_xlfn.XLOOKUP($B162,'Cronog. e Histog.'!$BZ:$BZ,'Cronog. e Histog.'!CB:CB),"")</f>
        <v>0</v>
      </c>
      <c r="H162" s="144">
        <f>IFERROR(_xlfn.XLOOKUP($B162,'Cronog. e Histog.'!$BZ:$BZ,'Cronog. e Histog.'!CC:CC),"")</f>
        <v>0</v>
      </c>
      <c r="I162" s="144">
        <f>IFERROR(_xlfn.XLOOKUP($B162,'Cronog. e Histog.'!$BZ:$BZ,'Cronog. e Histog.'!CD:CD),"")</f>
        <v>0</v>
      </c>
      <c r="J162" s="144">
        <f>IFERROR(_xlfn.XLOOKUP($B162,'Cronog. e Histog.'!$BZ:$BZ,'Cronog. e Histog.'!CE:CE),"")</f>
        <v>0</v>
      </c>
      <c r="K162" s="144">
        <f>IFERROR(_xlfn.XLOOKUP($B162,'Cronog. e Histog.'!$BZ:$BZ,'Cronog. e Histog.'!CF:CF),"")</f>
        <v>0</v>
      </c>
      <c r="L162" s="144">
        <f>IFERROR(_xlfn.XLOOKUP($B162,'Cronog. e Histog.'!$BZ:$BZ,'Cronog. e Histog.'!CG:CG),"")</f>
        <v>0</v>
      </c>
      <c r="M162" s="144">
        <f>IFERROR(_xlfn.XLOOKUP($B162,'Cronog. e Histog.'!$BZ:$BZ,'Cronog. e Histog.'!CH:CH),"")</f>
        <v>0</v>
      </c>
      <c r="N162" s="144">
        <f>IFERROR(_xlfn.XLOOKUP($B162,'Cronog. e Histog.'!$BZ:$BZ,'Cronog. e Histog.'!CI:CI),"")</f>
        <v>0</v>
      </c>
      <c r="O162" s="144">
        <f>IFERROR(_xlfn.XLOOKUP($B162,'Cronog. e Histog.'!$BZ:$BZ,'Cronog. e Histog.'!CJ:CJ),"")</f>
        <v>0</v>
      </c>
      <c r="P162" s="144">
        <f>IFERROR(_xlfn.XLOOKUP($B162,'Cronog. e Histog.'!$BZ:$BZ,'Cronog. e Histog.'!CK:CK),"")</f>
        <v>0</v>
      </c>
      <c r="Q162" s="144">
        <f>IFERROR(_xlfn.XLOOKUP($B162,'Cronog. e Histog.'!$BZ:$BZ,'Cronog. e Histog.'!CL:CL),"")</f>
        <v>0</v>
      </c>
      <c r="R162" s="144">
        <f>IFERROR(_xlfn.XLOOKUP($B162,'Cronog. e Histog.'!$BZ:$BZ,'Cronog. e Histog.'!CM:CM),"")</f>
        <v>0</v>
      </c>
      <c r="S162" s="144">
        <f>IFERROR(_xlfn.XLOOKUP($B162,'Cronog. e Histog.'!$BZ:$BZ,'Cronog. e Histog.'!CN:CN),"")</f>
        <v>0</v>
      </c>
      <c r="T162" s="144">
        <f>IFERROR(_xlfn.XLOOKUP($B162,'Cronog. e Histog.'!$BZ:$BZ,'Cronog. e Histog.'!CO:CO),"")</f>
        <v>0</v>
      </c>
      <c r="U162" s="144">
        <f>IFERROR(_xlfn.XLOOKUP($B162,'Cronog. e Histog.'!$BZ:$BZ,'Cronog. e Histog.'!CP:CP),"")</f>
        <v>0</v>
      </c>
      <c r="V162" s="144">
        <f>IFERROR(_xlfn.XLOOKUP($B162,'Cronog. e Histog.'!$BZ:$BZ,'Cronog. e Histog.'!CQ:CQ),"")</f>
        <v>0</v>
      </c>
      <c r="W162" s="144">
        <f>IFERROR(_xlfn.XLOOKUP($B162,'Cronog. e Histog.'!$BZ:$BZ,'Cronog. e Histog.'!CR:CR),"")</f>
        <v>0</v>
      </c>
      <c r="X162" s="144">
        <f>IFERROR(_xlfn.XLOOKUP($B162,'Cronog. e Histog.'!$BZ:$BZ,'Cronog. e Histog.'!CS:CS),"")</f>
        <v>0</v>
      </c>
      <c r="Y162" s="144">
        <f>IFERROR(_xlfn.XLOOKUP($B162,'Cronog. e Histog.'!$BZ:$BZ,'Cronog. e Histog.'!CT:CT),"")</f>
        <v>0</v>
      </c>
      <c r="Z162" s="144">
        <f>IFERROR(_xlfn.XLOOKUP($B162,'Cronog. e Histog.'!$BZ:$BZ,'Cronog. e Histog.'!CU:CU),"")</f>
        <v>0</v>
      </c>
      <c r="AA162" s="144">
        <f>IFERROR(_xlfn.XLOOKUP($B162,'Cronog. e Histog.'!$BZ:$BZ,'Cronog. e Histog.'!CV:CV),"")</f>
        <v>0</v>
      </c>
      <c r="AB162" s="144">
        <f>IFERROR(_xlfn.XLOOKUP($B162,'Cronog. e Histog.'!$BZ:$BZ,'Cronog. e Histog.'!CW:CW),"")</f>
        <v>0</v>
      </c>
      <c r="AC162" s="144">
        <f>IFERROR(_xlfn.XLOOKUP($B162,'Cronog. e Histog.'!$BZ:$BZ,'Cronog. e Histog.'!CX:CX),"")</f>
        <v>0</v>
      </c>
      <c r="AD162" s="144">
        <f>IFERROR(_xlfn.XLOOKUP($B162,'Cronog. e Histog.'!$BZ:$BZ,'Cronog. e Histog.'!CY:CY),"")</f>
        <v>0</v>
      </c>
      <c r="AE162" s="144">
        <f>IFERROR(_xlfn.XLOOKUP($B162,'Cronog. e Histog.'!$BZ:$BZ,'Cronog. e Histog.'!CZ:CZ),"")</f>
        <v>0</v>
      </c>
      <c r="AF162" s="144">
        <f>IFERROR(_xlfn.XLOOKUP($B162,'Cronog. e Histog.'!$BZ:$BZ,'Cronog. e Histog.'!DA:DA),"")</f>
        <v>0</v>
      </c>
      <c r="AG162" s="144">
        <f>IFERROR(_xlfn.XLOOKUP($B162,'Cronog. e Histog.'!$BZ:$BZ,'Cronog. e Histog.'!DB:DB),"")</f>
        <v>0</v>
      </c>
      <c r="AH162" s="144">
        <f>IFERROR(_xlfn.XLOOKUP($B162,'Cronog. e Histog.'!$BZ:$BZ,'Cronog. e Histog.'!DC:DC),"")</f>
        <v>0</v>
      </c>
      <c r="AI162" s="144">
        <f>IFERROR(_xlfn.XLOOKUP($B162,'Cronog. e Histog.'!$BZ:$BZ,'Cronog. e Histog.'!DD:DD),"")</f>
        <v>0</v>
      </c>
      <c r="AJ162" s="144">
        <f>IFERROR(_xlfn.XLOOKUP($B162,'Cronog. e Histog.'!$BZ:$BZ,'Cronog. e Histog.'!DE:DE),"")</f>
        <v>0</v>
      </c>
      <c r="AK162" s="144">
        <f>IFERROR(_xlfn.XLOOKUP($B162,'Cronog. e Histog.'!$BZ:$BZ,'Cronog. e Histog.'!DF:DF),"")</f>
        <v>0</v>
      </c>
      <c r="AL162" s="144">
        <f>IFERROR(_xlfn.XLOOKUP($B162,'Cronog. e Histog.'!$BZ:$BZ,'Cronog. e Histog.'!DG:DG),"")</f>
        <v>0</v>
      </c>
      <c r="AM162" s="144">
        <f>IFERROR(_xlfn.XLOOKUP($B162,'Cronog. e Histog.'!$BZ:$BZ,'Cronog. e Histog.'!DH:DH),"")</f>
        <v>0</v>
      </c>
      <c r="AN162" s="144">
        <f>IFERROR(_xlfn.XLOOKUP($B162,'Cronog. e Histog.'!$BZ:$BZ,'Cronog. e Histog.'!DI:DI),"")</f>
        <v>0</v>
      </c>
      <c r="AO162" s="144">
        <f>IFERROR(_xlfn.XLOOKUP($B162,'Cronog. e Histog.'!$BZ:$BZ,'Cronog. e Histog.'!DJ:DJ),"")</f>
        <v>0</v>
      </c>
      <c r="AP162" s="144">
        <f>IFERROR(_xlfn.XLOOKUP($B162,'Cronog. e Histog.'!$BZ:$BZ,'Cronog. e Histog.'!DK:DK),"")</f>
        <v>0</v>
      </c>
      <c r="AQ162" s="144">
        <f>IFERROR(_xlfn.XLOOKUP($B162,'Cronog. e Histog.'!$BZ:$BZ,'Cronog. e Histog.'!DL:DL),"")</f>
        <v>0</v>
      </c>
      <c r="AR162" s="144">
        <f>IFERROR(_xlfn.XLOOKUP($B162,'Cronog. e Histog.'!$BZ:$BZ,'Cronog. e Histog.'!DM:DM),"")</f>
        <v>0</v>
      </c>
      <c r="AS162" s="144">
        <f>IFERROR(_xlfn.XLOOKUP($B162,'Cronog. e Histog.'!$BZ:$BZ,'Cronog. e Histog.'!DN:DN),"")</f>
        <v>0</v>
      </c>
      <c r="AT162" s="144">
        <f>IFERROR(_xlfn.XLOOKUP($B162,'Cronog. e Histog.'!$BZ:$BZ,'Cronog. e Histog.'!DO:DO),"")</f>
        <v>0</v>
      </c>
      <c r="AU162" s="144">
        <f>IFERROR(_xlfn.XLOOKUP($B162,'Cronog. e Histog.'!$BZ:$BZ,'Cronog. e Histog.'!DP:DP),"")</f>
        <v>0</v>
      </c>
      <c r="AV162" s="144">
        <f>IFERROR(_xlfn.XLOOKUP($B162,'Cronog. e Histog.'!$BZ:$BZ,'Cronog. e Histog.'!DQ:DQ),"")</f>
        <v>0</v>
      </c>
      <c r="AW162" s="144">
        <f>IFERROR(_xlfn.XLOOKUP($B162,'Cronog. e Histog.'!$BZ:$BZ,'Cronog. e Histog.'!DR:DR),"")</f>
        <v>0</v>
      </c>
      <c r="AX162" s="144">
        <f>IFERROR(_xlfn.XLOOKUP($B162,'Cronog. e Histog.'!$BZ:$BZ,'Cronog. e Histog.'!DS:DS),"")</f>
        <v>0</v>
      </c>
      <c r="AY162" s="144">
        <f>IFERROR(_xlfn.XLOOKUP($B162,'Cronog. e Histog.'!$BZ:$BZ,'Cronog. e Histog.'!DT:DT),"")</f>
        <v>0</v>
      </c>
      <c r="AZ162" s="144">
        <f>IFERROR(_xlfn.XLOOKUP($B162,'Cronog. e Histog.'!$BZ:$BZ,'Cronog. e Histog.'!DU:DU),"")</f>
        <v>0</v>
      </c>
      <c r="BA162" s="144">
        <f>IFERROR(_xlfn.XLOOKUP($B162,'Cronog. e Histog.'!$BZ:$BZ,'Cronog. e Histog.'!DV:DV),"")</f>
        <v>0</v>
      </c>
      <c r="BB162" s="144">
        <f>IFERROR(_xlfn.XLOOKUP($B162,'Cronog. e Histog.'!$BZ:$BZ,'Cronog. e Histog.'!DW:DW),"")</f>
        <v>0</v>
      </c>
      <c r="BC162" s="144">
        <f>IFERROR(_xlfn.XLOOKUP($B162,'Cronog. e Histog.'!$BZ:$BZ,'Cronog. e Histog.'!DX:DX),"")</f>
        <v>0</v>
      </c>
      <c r="BD162" s="144">
        <f>IFERROR(_xlfn.XLOOKUP($B162,'Cronog. e Histog.'!$BZ:$BZ,'Cronog. e Histog.'!DY:DY),"")</f>
        <v>0</v>
      </c>
      <c r="BE162" s="144">
        <f>IFERROR(_xlfn.XLOOKUP($B162,'Cronog. e Histog.'!$BZ:$BZ,'Cronog. e Histog.'!DZ:DZ),"")</f>
        <v>0</v>
      </c>
      <c r="BF162" s="144">
        <f>IFERROR(_xlfn.XLOOKUP($B162,'Cronog. e Histog.'!$BZ:$BZ,'Cronog. e Histog.'!EA:EA),"")</f>
        <v>0</v>
      </c>
      <c r="BG162" s="144">
        <f>IFERROR(_xlfn.XLOOKUP($B162,'Cronog. e Histog.'!$BZ:$BZ,'Cronog. e Histog.'!EB:EB),"")</f>
        <v>0</v>
      </c>
      <c r="BH162" s="144">
        <f>IFERROR(_xlfn.XLOOKUP($B162,'Cronog. e Histog.'!$BZ:$BZ,'Cronog. e Histog.'!EC:EC),"")</f>
        <v>0</v>
      </c>
      <c r="BI162" s="144">
        <f>IFERROR(_xlfn.XLOOKUP($B162,'Cronog. e Histog.'!$BZ:$BZ,'Cronog. e Histog.'!ED:ED),"")</f>
        <v>0</v>
      </c>
      <c r="BJ162" s="144">
        <f>IFERROR(_xlfn.XLOOKUP($B162,'Cronog. e Histog.'!$BZ:$BZ,'Cronog. e Histog.'!EE:EE),"")</f>
        <v>0</v>
      </c>
      <c r="BK162" s="144">
        <f>IFERROR(_xlfn.XLOOKUP($B162,'Cronog. e Histog.'!$BZ:$BZ,'Cronog. e Histog.'!EF:EF),"")</f>
        <v>0</v>
      </c>
      <c r="BL162" s="144">
        <f>IFERROR(_xlfn.XLOOKUP($B162,'Cronog. e Histog.'!$BZ:$BZ,'Cronog. e Histog.'!EG:EG),"")</f>
        <v>0</v>
      </c>
      <c r="BM162" s="144">
        <f>IFERROR(_xlfn.XLOOKUP($B162,'Cronog. e Histog.'!$BZ:$BZ,'Cronog. e Histog.'!EH:EH),"")</f>
        <v>0</v>
      </c>
      <c r="BN162" s="144">
        <f>IFERROR(_xlfn.XLOOKUP($B162,'Cronog. e Histog.'!$BZ:$BZ,'Cronog. e Histog.'!EI:EI),"")</f>
        <v>0</v>
      </c>
    </row>
    <row r="163" spans="2:66" ht="12" hidden="1" customHeight="1" outlineLevel="1">
      <c r="B163" s="76">
        <v>157</v>
      </c>
      <c r="C163" s="143" t="str">
        <f>IFERROR(VLOOKUP(B163,'Cronog. e Histog.'!$BZ$213:$CA$747,2,0),"")</f>
        <v>AUX ADM</v>
      </c>
      <c r="D163" s="144">
        <f t="shared" si="4"/>
        <v>0</v>
      </c>
      <c r="E163" s="144">
        <f t="shared" si="5"/>
        <v>0</v>
      </c>
      <c r="F163" s="65"/>
      <c r="G163" s="144">
        <f>IFERROR(_xlfn.XLOOKUP($B163,'Cronog. e Histog.'!$BZ:$BZ,'Cronog. e Histog.'!CB:CB),"")</f>
        <v>0</v>
      </c>
      <c r="H163" s="144">
        <f>IFERROR(_xlfn.XLOOKUP($B163,'Cronog. e Histog.'!$BZ:$BZ,'Cronog. e Histog.'!CC:CC),"")</f>
        <v>0</v>
      </c>
      <c r="I163" s="144">
        <f>IFERROR(_xlfn.XLOOKUP($B163,'Cronog. e Histog.'!$BZ:$BZ,'Cronog. e Histog.'!CD:CD),"")</f>
        <v>0</v>
      </c>
      <c r="J163" s="144">
        <f>IFERROR(_xlfn.XLOOKUP($B163,'Cronog. e Histog.'!$BZ:$BZ,'Cronog. e Histog.'!CE:CE),"")</f>
        <v>0</v>
      </c>
      <c r="K163" s="144">
        <f>IFERROR(_xlfn.XLOOKUP($B163,'Cronog. e Histog.'!$BZ:$BZ,'Cronog. e Histog.'!CF:CF),"")</f>
        <v>0</v>
      </c>
      <c r="L163" s="144">
        <f>IFERROR(_xlfn.XLOOKUP($B163,'Cronog. e Histog.'!$BZ:$BZ,'Cronog. e Histog.'!CG:CG),"")</f>
        <v>0</v>
      </c>
      <c r="M163" s="144">
        <f>IFERROR(_xlfn.XLOOKUP($B163,'Cronog. e Histog.'!$BZ:$BZ,'Cronog. e Histog.'!CH:CH),"")</f>
        <v>0</v>
      </c>
      <c r="N163" s="144">
        <f>IFERROR(_xlfn.XLOOKUP($B163,'Cronog. e Histog.'!$BZ:$BZ,'Cronog. e Histog.'!CI:CI),"")</f>
        <v>0</v>
      </c>
      <c r="O163" s="144">
        <f>IFERROR(_xlfn.XLOOKUP($B163,'Cronog. e Histog.'!$BZ:$BZ,'Cronog. e Histog.'!CJ:CJ),"")</f>
        <v>0</v>
      </c>
      <c r="P163" s="144">
        <f>IFERROR(_xlfn.XLOOKUP($B163,'Cronog. e Histog.'!$BZ:$BZ,'Cronog. e Histog.'!CK:CK),"")</f>
        <v>0</v>
      </c>
      <c r="Q163" s="144">
        <f>IFERROR(_xlfn.XLOOKUP($B163,'Cronog. e Histog.'!$BZ:$BZ,'Cronog. e Histog.'!CL:CL),"")</f>
        <v>0</v>
      </c>
      <c r="R163" s="144">
        <f>IFERROR(_xlfn.XLOOKUP($B163,'Cronog. e Histog.'!$BZ:$BZ,'Cronog. e Histog.'!CM:CM),"")</f>
        <v>0</v>
      </c>
      <c r="S163" s="144">
        <f>IFERROR(_xlfn.XLOOKUP($B163,'Cronog. e Histog.'!$BZ:$BZ,'Cronog. e Histog.'!CN:CN),"")</f>
        <v>0</v>
      </c>
      <c r="T163" s="144">
        <f>IFERROR(_xlfn.XLOOKUP($B163,'Cronog. e Histog.'!$BZ:$BZ,'Cronog. e Histog.'!CO:CO),"")</f>
        <v>0</v>
      </c>
      <c r="U163" s="144">
        <f>IFERROR(_xlfn.XLOOKUP($B163,'Cronog. e Histog.'!$BZ:$BZ,'Cronog. e Histog.'!CP:CP),"")</f>
        <v>0</v>
      </c>
      <c r="V163" s="144">
        <f>IFERROR(_xlfn.XLOOKUP($B163,'Cronog. e Histog.'!$BZ:$BZ,'Cronog. e Histog.'!CQ:CQ),"")</f>
        <v>0</v>
      </c>
      <c r="W163" s="144">
        <f>IFERROR(_xlfn.XLOOKUP($B163,'Cronog. e Histog.'!$BZ:$BZ,'Cronog. e Histog.'!CR:CR),"")</f>
        <v>0</v>
      </c>
      <c r="X163" s="144">
        <f>IFERROR(_xlfn.XLOOKUP($B163,'Cronog. e Histog.'!$BZ:$BZ,'Cronog. e Histog.'!CS:CS),"")</f>
        <v>0</v>
      </c>
      <c r="Y163" s="144">
        <f>IFERROR(_xlfn.XLOOKUP($B163,'Cronog. e Histog.'!$BZ:$BZ,'Cronog. e Histog.'!CT:CT),"")</f>
        <v>0</v>
      </c>
      <c r="Z163" s="144">
        <f>IFERROR(_xlfn.XLOOKUP($B163,'Cronog. e Histog.'!$BZ:$BZ,'Cronog. e Histog.'!CU:CU),"")</f>
        <v>0</v>
      </c>
      <c r="AA163" s="144">
        <f>IFERROR(_xlfn.XLOOKUP($B163,'Cronog. e Histog.'!$BZ:$BZ,'Cronog. e Histog.'!CV:CV),"")</f>
        <v>0</v>
      </c>
      <c r="AB163" s="144">
        <f>IFERROR(_xlfn.XLOOKUP($B163,'Cronog. e Histog.'!$BZ:$BZ,'Cronog. e Histog.'!CW:CW),"")</f>
        <v>0</v>
      </c>
      <c r="AC163" s="144">
        <f>IFERROR(_xlfn.XLOOKUP($B163,'Cronog. e Histog.'!$BZ:$BZ,'Cronog. e Histog.'!CX:CX),"")</f>
        <v>0</v>
      </c>
      <c r="AD163" s="144">
        <f>IFERROR(_xlfn.XLOOKUP($B163,'Cronog. e Histog.'!$BZ:$BZ,'Cronog. e Histog.'!CY:CY),"")</f>
        <v>0</v>
      </c>
      <c r="AE163" s="144">
        <f>IFERROR(_xlfn.XLOOKUP($B163,'Cronog. e Histog.'!$BZ:$BZ,'Cronog. e Histog.'!CZ:CZ),"")</f>
        <v>0</v>
      </c>
      <c r="AF163" s="144">
        <f>IFERROR(_xlfn.XLOOKUP($B163,'Cronog. e Histog.'!$BZ:$BZ,'Cronog. e Histog.'!DA:DA),"")</f>
        <v>0</v>
      </c>
      <c r="AG163" s="144">
        <f>IFERROR(_xlfn.XLOOKUP($B163,'Cronog. e Histog.'!$BZ:$BZ,'Cronog. e Histog.'!DB:DB),"")</f>
        <v>0</v>
      </c>
      <c r="AH163" s="144">
        <f>IFERROR(_xlfn.XLOOKUP($B163,'Cronog. e Histog.'!$BZ:$BZ,'Cronog. e Histog.'!DC:DC),"")</f>
        <v>0</v>
      </c>
      <c r="AI163" s="144">
        <f>IFERROR(_xlfn.XLOOKUP($B163,'Cronog. e Histog.'!$BZ:$BZ,'Cronog. e Histog.'!DD:DD),"")</f>
        <v>0</v>
      </c>
      <c r="AJ163" s="144">
        <f>IFERROR(_xlfn.XLOOKUP($B163,'Cronog. e Histog.'!$BZ:$BZ,'Cronog. e Histog.'!DE:DE),"")</f>
        <v>0</v>
      </c>
      <c r="AK163" s="144">
        <f>IFERROR(_xlfn.XLOOKUP($B163,'Cronog. e Histog.'!$BZ:$BZ,'Cronog. e Histog.'!DF:DF),"")</f>
        <v>0</v>
      </c>
      <c r="AL163" s="144">
        <f>IFERROR(_xlfn.XLOOKUP($B163,'Cronog. e Histog.'!$BZ:$BZ,'Cronog. e Histog.'!DG:DG),"")</f>
        <v>0</v>
      </c>
      <c r="AM163" s="144">
        <f>IFERROR(_xlfn.XLOOKUP($B163,'Cronog. e Histog.'!$BZ:$BZ,'Cronog. e Histog.'!DH:DH),"")</f>
        <v>0</v>
      </c>
      <c r="AN163" s="144">
        <f>IFERROR(_xlfn.XLOOKUP($B163,'Cronog. e Histog.'!$BZ:$BZ,'Cronog. e Histog.'!DI:DI),"")</f>
        <v>0</v>
      </c>
      <c r="AO163" s="144">
        <f>IFERROR(_xlfn.XLOOKUP($B163,'Cronog. e Histog.'!$BZ:$BZ,'Cronog. e Histog.'!DJ:DJ),"")</f>
        <v>0</v>
      </c>
      <c r="AP163" s="144">
        <f>IFERROR(_xlfn.XLOOKUP($B163,'Cronog. e Histog.'!$BZ:$BZ,'Cronog. e Histog.'!DK:DK),"")</f>
        <v>0</v>
      </c>
      <c r="AQ163" s="144">
        <f>IFERROR(_xlfn.XLOOKUP($B163,'Cronog. e Histog.'!$BZ:$BZ,'Cronog. e Histog.'!DL:DL),"")</f>
        <v>0</v>
      </c>
      <c r="AR163" s="144">
        <f>IFERROR(_xlfn.XLOOKUP($B163,'Cronog. e Histog.'!$BZ:$BZ,'Cronog. e Histog.'!DM:DM),"")</f>
        <v>0</v>
      </c>
      <c r="AS163" s="144">
        <f>IFERROR(_xlfn.XLOOKUP($B163,'Cronog. e Histog.'!$BZ:$BZ,'Cronog. e Histog.'!DN:DN),"")</f>
        <v>0</v>
      </c>
      <c r="AT163" s="144">
        <f>IFERROR(_xlfn.XLOOKUP($B163,'Cronog. e Histog.'!$BZ:$BZ,'Cronog. e Histog.'!DO:DO),"")</f>
        <v>0</v>
      </c>
      <c r="AU163" s="144">
        <f>IFERROR(_xlfn.XLOOKUP($B163,'Cronog. e Histog.'!$BZ:$BZ,'Cronog. e Histog.'!DP:DP),"")</f>
        <v>0</v>
      </c>
      <c r="AV163" s="144">
        <f>IFERROR(_xlfn.XLOOKUP($B163,'Cronog. e Histog.'!$BZ:$BZ,'Cronog. e Histog.'!DQ:DQ),"")</f>
        <v>0</v>
      </c>
      <c r="AW163" s="144">
        <f>IFERROR(_xlfn.XLOOKUP($B163,'Cronog. e Histog.'!$BZ:$BZ,'Cronog. e Histog.'!DR:DR),"")</f>
        <v>0</v>
      </c>
      <c r="AX163" s="144">
        <f>IFERROR(_xlfn.XLOOKUP($B163,'Cronog. e Histog.'!$BZ:$BZ,'Cronog. e Histog.'!DS:DS),"")</f>
        <v>0</v>
      </c>
      <c r="AY163" s="144">
        <f>IFERROR(_xlfn.XLOOKUP($B163,'Cronog. e Histog.'!$BZ:$BZ,'Cronog. e Histog.'!DT:DT),"")</f>
        <v>0</v>
      </c>
      <c r="AZ163" s="144">
        <f>IFERROR(_xlfn.XLOOKUP($B163,'Cronog. e Histog.'!$BZ:$BZ,'Cronog. e Histog.'!DU:DU),"")</f>
        <v>0</v>
      </c>
      <c r="BA163" s="144">
        <f>IFERROR(_xlfn.XLOOKUP($B163,'Cronog. e Histog.'!$BZ:$BZ,'Cronog. e Histog.'!DV:DV),"")</f>
        <v>0</v>
      </c>
      <c r="BB163" s="144">
        <f>IFERROR(_xlfn.XLOOKUP($B163,'Cronog. e Histog.'!$BZ:$BZ,'Cronog. e Histog.'!DW:DW),"")</f>
        <v>0</v>
      </c>
      <c r="BC163" s="144">
        <f>IFERROR(_xlfn.XLOOKUP($B163,'Cronog. e Histog.'!$BZ:$BZ,'Cronog. e Histog.'!DX:DX),"")</f>
        <v>0</v>
      </c>
      <c r="BD163" s="144">
        <f>IFERROR(_xlfn.XLOOKUP($B163,'Cronog. e Histog.'!$BZ:$BZ,'Cronog. e Histog.'!DY:DY),"")</f>
        <v>0</v>
      </c>
      <c r="BE163" s="144">
        <f>IFERROR(_xlfn.XLOOKUP($B163,'Cronog. e Histog.'!$BZ:$BZ,'Cronog. e Histog.'!DZ:DZ),"")</f>
        <v>0</v>
      </c>
      <c r="BF163" s="144">
        <f>IFERROR(_xlfn.XLOOKUP($B163,'Cronog. e Histog.'!$BZ:$BZ,'Cronog. e Histog.'!EA:EA),"")</f>
        <v>0</v>
      </c>
      <c r="BG163" s="144">
        <f>IFERROR(_xlfn.XLOOKUP($B163,'Cronog. e Histog.'!$BZ:$BZ,'Cronog. e Histog.'!EB:EB),"")</f>
        <v>0</v>
      </c>
      <c r="BH163" s="144">
        <f>IFERROR(_xlfn.XLOOKUP($B163,'Cronog. e Histog.'!$BZ:$BZ,'Cronog. e Histog.'!EC:EC),"")</f>
        <v>0</v>
      </c>
      <c r="BI163" s="144">
        <f>IFERROR(_xlfn.XLOOKUP($B163,'Cronog. e Histog.'!$BZ:$BZ,'Cronog. e Histog.'!ED:ED),"")</f>
        <v>0</v>
      </c>
      <c r="BJ163" s="144">
        <f>IFERROR(_xlfn.XLOOKUP($B163,'Cronog. e Histog.'!$BZ:$BZ,'Cronog. e Histog.'!EE:EE),"")</f>
        <v>0</v>
      </c>
      <c r="BK163" s="144">
        <f>IFERROR(_xlfn.XLOOKUP($B163,'Cronog. e Histog.'!$BZ:$BZ,'Cronog. e Histog.'!EF:EF),"")</f>
        <v>0</v>
      </c>
      <c r="BL163" s="144">
        <f>IFERROR(_xlfn.XLOOKUP($B163,'Cronog. e Histog.'!$BZ:$BZ,'Cronog. e Histog.'!EG:EG),"")</f>
        <v>0</v>
      </c>
      <c r="BM163" s="144">
        <f>IFERROR(_xlfn.XLOOKUP($B163,'Cronog. e Histog.'!$BZ:$BZ,'Cronog. e Histog.'!EH:EH),"")</f>
        <v>0</v>
      </c>
      <c r="BN163" s="144">
        <f>IFERROR(_xlfn.XLOOKUP($B163,'Cronog. e Histog.'!$BZ:$BZ,'Cronog. e Histog.'!EI:EI),"")</f>
        <v>0</v>
      </c>
    </row>
    <row r="164" spans="2:66" ht="12" hidden="1" customHeight="1" outlineLevel="1">
      <c r="B164" s="76">
        <v>158</v>
      </c>
      <c r="C164" s="143" t="str">
        <f>IFERROR(VLOOKUP(B164,'Cronog. e Histog.'!$BZ$213:$CA$747,2,0),"")</f>
        <v>EST</v>
      </c>
      <c r="D164" s="144">
        <f t="shared" si="4"/>
        <v>0</v>
      </c>
      <c r="E164" s="144">
        <f t="shared" si="5"/>
        <v>0</v>
      </c>
      <c r="F164" s="65"/>
      <c r="G164" s="144">
        <f>IFERROR(_xlfn.XLOOKUP($B164,'Cronog. e Histog.'!$BZ:$BZ,'Cronog. e Histog.'!CB:CB),"")</f>
        <v>0</v>
      </c>
      <c r="H164" s="144">
        <f>IFERROR(_xlfn.XLOOKUP($B164,'Cronog. e Histog.'!$BZ:$BZ,'Cronog. e Histog.'!CC:CC),"")</f>
        <v>0</v>
      </c>
      <c r="I164" s="144">
        <f>IFERROR(_xlfn.XLOOKUP($B164,'Cronog. e Histog.'!$BZ:$BZ,'Cronog. e Histog.'!CD:CD),"")</f>
        <v>0</v>
      </c>
      <c r="J164" s="144">
        <f>IFERROR(_xlfn.XLOOKUP($B164,'Cronog. e Histog.'!$BZ:$BZ,'Cronog. e Histog.'!CE:CE),"")</f>
        <v>0</v>
      </c>
      <c r="K164" s="144">
        <f>IFERROR(_xlfn.XLOOKUP($B164,'Cronog. e Histog.'!$BZ:$BZ,'Cronog. e Histog.'!CF:CF),"")</f>
        <v>0</v>
      </c>
      <c r="L164" s="144">
        <f>IFERROR(_xlfn.XLOOKUP($B164,'Cronog. e Histog.'!$BZ:$BZ,'Cronog. e Histog.'!CG:CG),"")</f>
        <v>0</v>
      </c>
      <c r="M164" s="144">
        <f>IFERROR(_xlfn.XLOOKUP($B164,'Cronog. e Histog.'!$BZ:$BZ,'Cronog. e Histog.'!CH:CH),"")</f>
        <v>0</v>
      </c>
      <c r="N164" s="144">
        <f>IFERROR(_xlfn.XLOOKUP($B164,'Cronog. e Histog.'!$BZ:$BZ,'Cronog. e Histog.'!CI:CI),"")</f>
        <v>0</v>
      </c>
      <c r="O164" s="144">
        <f>IFERROR(_xlfn.XLOOKUP($B164,'Cronog. e Histog.'!$BZ:$BZ,'Cronog. e Histog.'!CJ:CJ),"")</f>
        <v>0</v>
      </c>
      <c r="P164" s="144">
        <f>IFERROR(_xlfn.XLOOKUP($B164,'Cronog. e Histog.'!$BZ:$BZ,'Cronog. e Histog.'!CK:CK),"")</f>
        <v>0</v>
      </c>
      <c r="Q164" s="144">
        <f>IFERROR(_xlfn.XLOOKUP($B164,'Cronog. e Histog.'!$BZ:$BZ,'Cronog. e Histog.'!CL:CL),"")</f>
        <v>0</v>
      </c>
      <c r="R164" s="144">
        <f>IFERROR(_xlfn.XLOOKUP($B164,'Cronog. e Histog.'!$BZ:$BZ,'Cronog. e Histog.'!CM:CM),"")</f>
        <v>0</v>
      </c>
      <c r="S164" s="144">
        <f>IFERROR(_xlfn.XLOOKUP($B164,'Cronog. e Histog.'!$BZ:$BZ,'Cronog. e Histog.'!CN:CN),"")</f>
        <v>0</v>
      </c>
      <c r="T164" s="144">
        <f>IFERROR(_xlfn.XLOOKUP($B164,'Cronog. e Histog.'!$BZ:$BZ,'Cronog. e Histog.'!CO:CO),"")</f>
        <v>0</v>
      </c>
      <c r="U164" s="144">
        <f>IFERROR(_xlfn.XLOOKUP($B164,'Cronog. e Histog.'!$BZ:$BZ,'Cronog. e Histog.'!CP:CP),"")</f>
        <v>0</v>
      </c>
      <c r="V164" s="144">
        <f>IFERROR(_xlfn.XLOOKUP($B164,'Cronog. e Histog.'!$BZ:$BZ,'Cronog. e Histog.'!CQ:CQ),"")</f>
        <v>0</v>
      </c>
      <c r="W164" s="144">
        <f>IFERROR(_xlfn.XLOOKUP($B164,'Cronog. e Histog.'!$BZ:$BZ,'Cronog. e Histog.'!CR:CR),"")</f>
        <v>0</v>
      </c>
      <c r="X164" s="144">
        <f>IFERROR(_xlfn.XLOOKUP($B164,'Cronog. e Histog.'!$BZ:$BZ,'Cronog. e Histog.'!CS:CS),"")</f>
        <v>0</v>
      </c>
      <c r="Y164" s="144">
        <f>IFERROR(_xlfn.XLOOKUP($B164,'Cronog. e Histog.'!$BZ:$BZ,'Cronog. e Histog.'!CT:CT),"")</f>
        <v>0</v>
      </c>
      <c r="Z164" s="144">
        <f>IFERROR(_xlfn.XLOOKUP($B164,'Cronog. e Histog.'!$BZ:$BZ,'Cronog. e Histog.'!CU:CU),"")</f>
        <v>0</v>
      </c>
      <c r="AA164" s="144">
        <f>IFERROR(_xlfn.XLOOKUP($B164,'Cronog. e Histog.'!$BZ:$BZ,'Cronog. e Histog.'!CV:CV),"")</f>
        <v>0</v>
      </c>
      <c r="AB164" s="144">
        <f>IFERROR(_xlfn.XLOOKUP($B164,'Cronog. e Histog.'!$BZ:$BZ,'Cronog. e Histog.'!CW:CW),"")</f>
        <v>0</v>
      </c>
      <c r="AC164" s="144">
        <f>IFERROR(_xlfn.XLOOKUP($B164,'Cronog. e Histog.'!$BZ:$BZ,'Cronog. e Histog.'!CX:CX),"")</f>
        <v>0</v>
      </c>
      <c r="AD164" s="144">
        <f>IFERROR(_xlfn.XLOOKUP($B164,'Cronog. e Histog.'!$BZ:$BZ,'Cronog. e Histog.'!CY:CY),"")</f>
        <v>0</v>
      </c>
      <c r="AE164" s="144">
        <f>IFERROR(_xlfn.XLOOKUP($B164,'Cronog. e Histog.'!$BZ:$BZ,'Cronog. e Histog.'!CZ:CZ),"")</f>
        <v>0</v>
      </c>
      <c r="AF164" s="144">
        <f>IFERROR(_xlfn.XLOOKUP($B164,'Cronog. e Histog.'!$BZ:$BZ,'Cronog. e Histog.'!DA:DA),"")</f>
        <v>0</v>
      </c>
      <c r="AG164" s="144">
        <f>IFERROR(_xlfn.XLOOKUP($B164,'Cronog. e Histog.'!$BZ:$BZ,'Cronog. e Histog.'!DB:DB),"")</f>
        <v>0</v>
      </c>
      <c r="AH164" s="144">
        <f>IFERROR(_xlfn.XLOOKUP($B164,'Cronog. e Histog.'!$BZ:$BZ,'Cronog. e Histog.'!DC:DC),"")</f>
        <v>0</v>
      </c>
      <c r="AI164" s="144">
        <f>IFERROR(_xlfn.XLOOKUP($B164,'Cronog. e Histog.'!$BZ:$BZ,'Cronog. e Histog.'!DD:DD),"")</f>
        <v>0</v>
      </c>
      <c r="AJ164" s="144">
        <f>IFERROR(_xlfn.XLOOKUP($B164,'Cronog. e Histog.'!$BZ:$BZ,'Cronog. e Histog.'!DE:DE),"")</f>
        <v>0</v>
      </c>
      <c r="AK164" s="144">
        <f>IFERROR(_xlfn.XLOOKUP($B164,'Cronog. e Histog.'!$BZ:$BZ,'Cronog. e Histog.'!DF:DF),"")</f>
        <v>0</v>
      </c>
      <c r="AL164" s="144">
        <f>IFERROR(_xlfn.XLOOKUP($B164,'Cronog. e Histog.'!$BZ:$BZ,'Cronog. e Histog.'!DG:DG),"")</f>
        <v>0</v>
      </c>
      <c r="AM164" s="144">
        <f>IFERROR(_xlfn.XLOOKUP($B164,'Cronog. e Histog.'!$BZ:$BZ,'Cronog. e Histog.'!DH:DH),"")</f>
        <v>0</v>
      </c>
      <c r="AN164" s="144">
        <f>IFERROR(_xlfn.XLOOKUP($B164,'Cronog. e Histog.'!$BZ:$BZ,'Cronog. e Histog.'!DI:DI),"")</f>
        <v>0</v>
      </c>
      <c r="AO164" s="144">
        <f>IFERROR(_xlfn.XLOOKUP($B164,'Cronog. e Histog.'!$BZ:$BZ,'Cronog. e Histog.'!DJ:DJ),"")</f>
        <v>0</v>
      </c>
      <c r="AP164" s="144">
        <f>IFERROR(_xlfn.XLOOKUP($B164,'Cronog. e Histog.'!$BZ:$BZ,'Cronog. e Histog.'!DK:DK),"")</f>
        <v>0</v>
      </c>
      <c r="AQ164" s="144">
        <f>IFERROR(_xlfn.XLOOKUP($B164,'Cronog. e Histog.'!$BZ:$BZ,'Cronog. e Histog.'!DL:DL),"")</f>
        <v>0</v>
      </c>
      <c r="AR164" s="144">
        <f>IFERROR(_xlfn.XLOOKUP($B164,'Cronog. e Histog.'!$BZ:$BZ,'Cronog. e Histog.'!DM:DM),"")</f>
        <v>0</v>
      </c>
      <c r="AS164" s="144">
        <f>IFERROR(_xlfn.XLOOKUP($B164,'Cronog. e Histog.'!$BZ:$BZ,'Cronog. e Histog.'!DN:DN),"")</f>
        <v>0</v>
      </c>
      <c r="AT164" s="144">
        <f>IFERROR(_xlfn.XLOOKUP($B164,'Cronog. e Histog.'!$BZ:$BZ,'Cronog. e Histog.'!DO:DO),"")</f>
        <v>0</v>
      </c>
      <c r="AU164" s="144">
        <f>IFERROR(_xlfn.XLOOKUP($B164,'Cronog. e Histog.'!$BZ:$BZ,'Cronog. e Histog.'!DP:DP),"")</f>
        <v>0</v>
      </c>
      <c r="AV164" s="144">
        <f>IFERROR(_xlfn.XLOOKUP($B164,'Cronog. e Histog.'!$BZ:$BZ,'Cronog. e Histog.'!DQ:DQ),"")</f>
        <v>0</v>
      </c>
      <c r="AW164" s="144">
        <f>IFERROR(_xlfn.XLOOKUP($B164,'Cronog. e Histog.'!$BZ:$BZ,'Cronog. e Histog.'!DR:DR),"")</f>
        <v>0</v>
      </c>
      <c r="AX164" s="144">
        <f>IFERROR(_xlfn.XLOOKUP($B164,'Cronog. e Histog.'!$BZ:$BZ,'Cronog. e Histog.'!DS:DS),"")</f>
        <v>0</v>
      </c>
      <c r="AY164" s="144">
        <f>IFERROR(_xlfn.XLOOKUP($B164,'Cronog. e Histog.'!$BZ:$BZ,'Cronog. e Histog.'!DT:DT),"")</f>
        <v>0</v>
      </c>
      <c r="AZ164" s="144">
        <f>IFERROR(_xlfn.XLOOKUP($B164,'Cronog. e Histog.'!$BZ:$BZ,'Cronog. e Histog.'!DU:DU),"")</f>
        <v>0</v>
      </c>
      <c r="BA164" s="144">
        <f>IFERROR(_xlfn.XLOOKUP($B164,'Cronog. e Histog.'!$BZ:$BZ,'Cronog. e Histog.'!DV:DV),"")</f>
        <v>0</v>
      </c>
      <c r="BB164" s="144">
        <f>IFERROR(_xlfn.XLOOKUP($B164,'Cronog. e Histog.'!$BZ:$BZ,'Cronog. e Histog.'!DW:DW),"")</f>
        <v>0</v>
      </c>
      <c r="BC164" s="144">
        <f>IFERROR(_xlfn.XLOOKUP($B164,'Cronog. e Histog.'!$BZ:$BZ,'Cronog. e Histog.'!DX:DX),"")</f>
        <v>0</v>
      </c>
      <c r="BD164" s="144">
        <f>IFERROR(_xlfn.XLOOKUP($B164,'Cronog. e Histog.'!$BZ:$BZ,'Cronog. e Histog.'!DY:DY),"")</f>
        <v>0</v>
      </c>
      <c r="BE164" s="144">
        <f>IFERROR(_xlfn.XLOOKUP($B164,'Cronog. e Histog.'!$BZ:$BZ,'Cronog. e Histog.'!DZ:DZ),"")</f>
        <v>0</v>
      </c>
      <c r="BF164" s="144">
        <f>IFERROR(_xlfn.XLOOKUP($B164,'Cronog. e Histog.'!$BZ:$BZ,'Cronog. e Histog.'!EA:EA),"")</f>
        <v>0</v>
      </c>
      <c r="BG164" s="144">
        <f>IFERROR(_xlfn.XLOOKUP($B164,'Cronog. e Histog.'!$BZ:$BZ,'Cronog. e Histog.'!EB:EB),"")</f>
        <v>0</v>
      </c>
      <c r="BH164" s="144">
        <f>IFERROR(_xlfn.XLOOKUP($B164,'Cronog. e Histog.'!$BZ:$BZ,'Cronog. e Histog.'!EC:EC),"")</f>
        <v>0</v>
      </c>
      <c r="BI164" s="144">
        <f>IFERROR(_xlfn.XLOOKUP($B164,'Cronog. e Histog.'!$BZ:$BZ,'Cronog. e Histog.'!ED:ED),"")</f>
        <v>0</v>
      </c>
      <c r="BJ164" s="144">
        <f>IFERROR(_xlfn.XLOOKUP($B164,'Cronog. e Histog.'!$BZ:$BZ,'Cronog. e Histog.'!EE:EE),"")</f>
        <v>0</v>
      </c>
      <c r="BK164" s="144">
        <f>IFERROR(_xlfn.XLOOKUP($B164,'Cronog. e Histog.'!$BZ:$BZ,'Cronog. e Histog.'!EF:EF),"")</f>
        <v>0</v>
      </c>
      <c r="BL164" s="144">
        <f>IFERROR(_xlfn.XLOOKUP($B164,'Cronog. e Histog.'!$BZ:$BZ,'Cronog. e Histog.'!EG:EG),"")</f>
        <v>0</v>
      </c>
      <c r="BM164" s="144">
        <f>IFERROR(_xlfn.XLOOKUP($B164,'Cronog. e Histog.'!$BZ:$BZ,'Cronog. e Histog.'!EH:EH),"")</f>
        <v>0</v>
      </c>
      <c r="BN164" s="144">
        <f>IFERROR(_xlfn.XLOOKUP($B164,'Cronog. e Histog.'!$BZ:$BZ,'Cronog. e Histog.'!EI:EI),"")</f>
        <v>0</v>
      </c>
    </row>
    <row r="165" spans="2:66" ht="12" hidden="1" customHeight="1" outlineLevel="1">
      <c r="B165" s="76">
        <v>159</v>
      </c>
      <c r="C165" s="143" t="str">
        <f>IFERROR(VLOOKUP(B165,'Cronog. e Histog.'!$BZ$213:$CA$747,2,0),"")</f>
        <v>EST_II</v>
      </c>
      <c r="D165" s="144">
        <f t="shared" si="4"/>
        <v>0</v>
      </c>
      <c r="E165" s="144">
        <f t="shared" si="5"/>
        <v>0</v>
      </c>
      <c r="F165" s="65"/>
      <c r="G165" s="144">
        <f>IFERROR(_xlfn.XLOOKUP($B165,'Cronog. e Histog.'!$BZ:$BZ,'Cronog. e Histog.'!CB:CB),"")</f>
        <v>0</v>
      </c>
      <c r="H165" s="144">
        <f>IFERROR(_xlfn.XLOOKUP($B165,'Cronog. e Histog.'!$BZ:$BZ,'Cronog. e Histog.'!CC:CC),"")</f>
        <v>0</v>
      </c>
      <c r="I165" s="144">
        <f>IFERROR(_xlfn.XLOOKUP($B165,'Cronog. e Histog.'!$BZ:$BZ,'Cronog. e Histog.'!CD:CD),"")</f>
        <v>0</v>
      </c>
      <c r="J165" s="144">
        <f>IFERROR(_xlfn.XLOOKUP($B165,'Cronog. e Histog.'!$BZ:$BZ,'Cronog. e Histog.'!CE:CE),"")</f>
        <v>0</v>
      </c>
      <c r="K165" s="144">
        <f>IFERROR(_xlfn.XLOOKUP($B165,'Cronog. e Histog.'!$BZ:$BZ,'Cronog. e Histog.'!CF:CF),"")</f>
        <v>0</v>
      </c>
      <c r="L165" s="144">
        <f>IFERROR(_xlfn.XLOOKUP($B165,'Cronog. e Histog.'!$BZ:$BZ,'Cronog. e Histog.'!CG:CG),"")</f>
        <v>0</v>
      </c>
      <c r="M165" s="144">
        <f>IFERROR(_xlfn.XLOOKUP($B165,'Cronog. e Histog.'!$BZ:$BZ,'Cronog. e Histog.'!CH:CH),"")</f>
        <v>0</v>
      </c>
      <c r="N165" s="144">
        <f>IFERROR(_xlfn.XLOOKUP($B165,'Cronog. e Histog.'!$BZ:$BZ,'Cronog. e Histog.'!CI:CI),"")</f>
        <v>0</v>
      </c>
      <c r="O165" s="144">
        <f>IFERROR(_xlfn.XLOOKUP($B165,'Cronog. e Histog.'!$BZ:$BZ,'Cronog. e Histog.'!CJ:CJ),"")</f>
        <v>0</v>
      </c>
      <c r="P165" s="144">
        <f>IFERROR(_xlfn.XLOOKUP($B165,'Cronog. e Histog.'!$BZ:$BZ,'Cronog. e Histog.'!CK:CK),"")</f>
        <v>0</v>
      </c>
      <c r="Q165" s="144">
        <f>IFERROR(_xlfn.XLOOKUP($B165,'Cronog. e Histog.'!$BZ:$BZ,'Cronog. e Histog.'!CL:CL),"")</f>
        <v>0</v>
      </c>
      <c r="R165" s="144">
        <f>IFERROR(_xlfn.XLOOKUP($B165,'Cronog. e Histog.'!$BZ:$BZ,'Cronog. e Histog.'!CM:CM),"")</f>
        <v>0</v>
      </c>
      <c r="S165" s="144">
        <f>IFERROR(_xlfn.XLOOKUP($B165,'Cronog. e Histog.'!$BZ:$BZ,'Cronog. e Histog.'!CN:CN),"")</f>
        <v>0</v>
      </c>
      <c r="T165" s="144">
        <f>IFERROR(_xlfn.XLOOKUP($B165,'Cronog. e Histog.'!$BZ:$BZ,'Cronog. e Histog.'!CO:CO),"")</f>
        <v>0</v>
      </c>
      <c r="U165" s="144">
        <f>IFERROR(_xlfn.XLOOKUP($B165,'Cronog. e Histog.'!$BZ:$BZ,'Cronog. e Histog.'!CP:CP),"")</f>
        <v>0</v>
      </c>
      <c r="V165" s="144">
        <f>IFERROR(_xlfn.XLOOKUP($B165,'Cronog. e Histog.'!$BZ:$BZ,'Cronog. e Histog.'!CQ:CQ),"")</f>
        <v>0</v>
      </c>
      <c r="W165" s="144">
        <f>IFERROR(_xlfn.XLOOKUP($B165,'Cronog. e Histog.'!$BZ:$BZ,'Cronog. e Histog.'!CR:CR),"")</f>
        <v>0</v>
      </c>
      <c r="X165" s="144">
        <f>IFERROR(_xlfn.XLOOKUP($B165,'Cronog. e Histog.'!$BZ:$BZ,'Cronog. e Histog.'!CS:CS),"")</f>
        <v>0</v>
      </c>
      <c r="Y165" s="144">
        <f>IFERROR(_xlfn.XLOOKUP($B165,'Cronog. e Histog.'!$BZ:$BZ,'Cronog. e Histog.'!CT:CT),"")</f>
        <v>0</v>
      </c>
      <c r="Z165" s="144">
        <f>IFERROR(_xlfn.XLOOKUP($B165,'Cronog. e Histog.'!$BZ:$BZ,'Cronog. e Histog.'!CU:CU),"")</f>
        <v>0</v>
      </c>
      <c r="AA165" s="144">
        <f>IFERROR(_xlfn.XLOOKUP($B165,'Cronog. e Histog.'!$BZ:$BZ,'Cronog. e Histog.'!CV:CV),"")</f>
        <v>0</v>
      </c>
      <c r="AB165" s="144">
        <f>IFERROR(_xlfn.XLOOKUP($B165,'Cronog. e Histog.'!$BZ:$BZ,'Cronog. e Histog.'!CW:CW),"")</f>
        <v>0</v>
      </c>
      <c r="AC165" s="144">
        <f>IFERROR(_xlfn.XLOOKUP($B165,'Cronog. e Histog.'!$BZ:$BZ,'Cronog. e Histog.'!CX:CX),"")</f>
        <v>0</v>
      </c>
      <c r="AD165" s="144">
        <f>IFERROR(_xlfn.XLOOKUP($B165,'Cronog. e Histog.'!$BZ:$BZ,'Cronog. e Histog.'!CY:CY),"")</f>
        <v>0</v>
      </c>
      <c r="AE165" s="144">
        <f>IFERROR(_xlfn.XLOOKUP($B165,'Cronog. e Histog.'!$BZ:$BZ,'Cronog. e Histog.'!CZ:CZ),"")</f>
        <v>0</v>
      </c>
      <c r="AF165" s="144">
        <f>IFERROR(_xlfn.XLOOKUP($B165,'Cronog. e Histog.'!$BZ:$BZ,'Cronog. e Histog.'!DA:DA),"")</f>
        <v>0</v>
      </c>
      <c r="AG165" s="144">
        <f>IFERROR(_xlfn.XLOOKUP($B165,'Cronog. e Histog.'!$BZ:$BZ,'Cronog. e Histog.'!DB:DB),"")</f>
        <v>0</v>
      </c>
      <c r="AH165" s="144">
        <f>IFERROR(_xlfn.XLOOKUP($B165,'Cronog. e Histog.'!$BZ:$BZ,'Cronog. e Histog.'!DC:DC),"")</f>
        <v>0</v>
      </c>
      <c r="AI165" s="144">
        <f>IFERROR(_xlfn.XLOOKUP($B165,'Cronog. e Histog.'!$BZ:$BZ,'Cronog. e Histog.'!DD:DD),"")</f>
        <v>0</v>
      </c>
      <c r="AJ165" s="144">
        <f>IFERROR(_xlfn.XLOOKUP($B165,'Cronog. e Histog.'!$BZ:$BZ,'Cronog. e Histog.'!DE:DE),"")</f>
        <v>0</v>
      </c>
      <c r="AK165" s="144">
        <f>IFERROR(_xlfn.XLOOKUP($B165,'Cronog. e Histog.'!$BZ:$BZ,'Cronog. e Histog.'!DF:DF),"")</f>
        <v>0</v>
      </c>
      <c r="AL165" s="144">
        <f>IFERROR(_xlfn.XLOOKUP($B165,'Cronog. e Histog.'!$BZ:$BZ,'Cronog. e Histog.'!DG:DG),"")</f>
        <v>0</v>
      </c>
      <c r="AM165" s="144">
        <f>IFERROR(_xlfn.XLOOKUP($B165,'Cronog. e Histog.'!$BZ:$BZ,'Cronog. e Histog.'!DH:DH),"")</f>
        <v>0</v>
      </c>
      <c r="AN165" s="144">
        <f>IFERROR(_xlfn.XLOOKUP($B165,'Cronog. e Histog.'!$BZ:$BZ,'Cronog. e Histog.'!DI:DI),"")</f>
        <v>0</v>
      </c>
      <c r="AO165" s="144">
        <f>IFERROR(_xlfn.XLOOKUP($B165,'Cronog. e Histog.'!$BZ:$BZ,'Cronog. e Histog.'!DJ:DJ),"")</f>
        <v>0</v>
      </c>
      <c r="AP165" s="144">
        <f>IFERROR(_xlfn.XLOOKUP($B165,'Cronog. e Histog.'!$BZ:$BZ,'Cronog. e Histog.'!DK:DK),"")</f>
        <v>0</v>
      </c>
      <c r="AQ165" s="144">
        <f>IFERROR(_xlfn.XLOOKUP($B165,'Cronog. e Histog.'!$BZ:$BZ,'Cronog. e Histog.'!DL:DL),"")</f>
        <v>0</v>
      </c>
      <c r="AR165" s="144">
        <f>IFERROR(_xlfn.XLOOKUP($B165,'Cronog. e Histog.'!$BZ:$BZ,'Cronog. e Histog.'!DM:DM),"")</f>
        <v>0</v>
      </c>
      <c r="AS165" s="144">
        <f>IFERROR(_xlfn.XLOOKUP($B165,'Cronog. e Histog.'!$BZ:$BZ,'Cronog. e Histog.'!DN:DN),"")</f>
        <v>0</v>
      </c>
      <c r="AT165" s="144">
        <f>IFERROR(_xlfn.XLOOKUP($B165,'Cronog. e Histog.'!$BZ:$BZ,'Cronog. e Histog.'!DO:DO),"")</f>
        <v>0</v>
      </c>
      <c r="AU165" s="144">
        <f>IFERROR(_xlfn.XLOOKUP($B165,'Cronog. e Histog.'!$BZ:$BZ,'Cronog. e Histog.'!DP:DP),"")</f>
        <v>0</v>
      </c>
      <c r="AV165" s="144">
        <f>IFERROR(_xlfn.XLOOKUP($B165,'Cronog. e Histog.'!$BZ:$BZ,'Cronog. e Histog.'!DQ:DQ),"")</f>
        <v>0</v>
      </c>
      <c r="AW165" s="144">
        <f>IFERROR(_xlfn.XLOOKUP($B165,'Cronog. e Histog.'!$BZ:$BZ,'Cronog. e Histog.'!DR:DR),"")</f>
        <v>0</v>
      </c>
      <c r="AX165" s="144">
        <f>IFERROR(_xlfn.XLOOKUP($B165,'Cronog. e Histog.'!$BZ:$BZ,'Cronog. e Histog.'!DS:DS),"")</f>
        <v>0</v>
      </c>
      <c r="AY165" s="144">
        <f>IFERROR(_xlfn.XLOOKUP($B165,'Cronog. e Histog.'!$BZ:$BZ,'Cronog. e Histog.'!DT:DT),"")</f>
        <v>0</v>
      </c>
      <c r="AZ165" s="144">
        <f>IFERROR(_xlfn.XLOOKUP($B165,'Cronog. e Histog.'!$BZ:$BZ,'Cronog. e Histog.'!DU:DU),"")</f>
        <v>0</v>
      </c>
      <c r="BA165" s="144">
        <f>IFERROR(_xlfn.XLOOKUP($B165,'Cronog. e Histog.'!$BZ:$BZ,'Cronog. e Histog.'!DV:DV),"")</f>
        <v>0</v>
      </c>
      <c r="BB165" s="144">
        <f>IFERROR(_xlfn.XLOOKUP($B165,'Cronog. e Histog.'!$BZ:$BZ,'Cronog. e Histog.'!DW:DW),"")</f>
        <v>0</v>
      </c>
      <c r="BC165" s="144">
        <f>IFERROR(_xlfn.XLOOKUP($B165,'Cronog. e Histog.'!$BZ:$BZ,'Cronog. e Histog.'!DX:DX),"")</f>
        <v>0</v>
      </c>
      <c r="BD165" s="144">
        <f>IFERROR(_xlfn.XLOOKUP($B165,'Cronog. e Histog.'!$BZ:$BZ,'Cronog. e Histog.'!DY:DY),"")</f>
        <v>0</v>
      </c>
      <c r="BE165" s="144">
        <f>IFERROR(_xlfn.XLOOKUP($B165,'Cronog. e Histog.'!$BZ:$BZ,'Cronog. e Histog.'!DZ:DZ),"")</f>
        <v>0</v>
      </c>
      <c r="BF165" s="144">
        <f>IFERROR(_xlfn.XLOOKUP($B165,'Cronog. e Histog.'!$BZ:$BZ,'Cronog. e Histog.'!EA:EA),"")</f>
        <v>0</v>
      </c>
      <c r="BG165" s="144">
        <f>IFERROR(_xlfn.XLOOKUP($B165,'Cronog. e Histog.'!$BZ:$BZ,'Cronog. e Histog.'!EB:EB),"")</f>
        <v>0</v>
      </c>
      <c r="BH165" s="144">
        <f>IFERROR(_xlfn.XLOOKUP($B165,'Cronog. e Histog.'!$BZ:$BZ,'Cronog. e Histog.'!EC:EC),"")</f>
        <v>0</v>
      </c>
      <c r="BI165" s="144">
        <f>IFERROR(_xlfn.XLOOKUP($B165,'Cronog. e Histog.'!$BZ:$BZ,'Cronog. e Histog.'!ED:ED),"")</f>
        <v>0</v>
      </c>
      <c r="BJ165" s="144">
        <f>IFERROR(_xlfn.XLOOKUP($B165,'Cronog. e Histog.'!$BZ:$BZ,'Cronog. e Histog.'!EE:EE),"")</f>
        <v>0</v>
      </c>
      <c r="BK165" s="144">
        <f>IFERROR(_xlfn.XLOOKUP($B165,'Cronog. e Histog.'!$BZ:$BZ,'Cronog. e Histog.'!EF:EF),"")</f>
        <v>0</v>
      </c>
      <c r="BL165" s="144">
        <f>IFERROR(_xlfn.XLOOKUP($B165,'Cronog. e Histog.'!$BZ:$BZ,'Cronog. e Histog.'!EG:EG),"")</f>
        <v>0</v>
      </c>
      <c r="BM165" s="144">
        <f>IFERROR(_xlfn.XLOOKUP($B165,'Cronog. e Histog.'!$BZ:$BZ,'Cronog. e Histog.'!EH:EH),"")</f>
        <v>0</v>
      </c>
      <c r="BN165" s="144">
        <f>IFERROR(_xlfn.XLOOKUP($B165,'Cronog. e Histog.'!$BZ:$BZ,'Cronog. e Histog.'!EI:EI),"")</f>
        <v>0</v>
      </c>
    </row>
    <row r="166" spans="2:66" ht="12" hidden="1" customHeight="1" outlineLevel="1">
      <c r="B166" s="76">
        <v>160</v>
      </c>
      <c r="C166" s="143" t="str">
        <f>IFERROR(VLOOKUP(B166,'Cronog. e Histog.'!$BZ$213:$CA$747,2,0),"")</f>
        <v>EST_III</v>
      </c>
      <c r="D166" s="144">
        <f t="shared" si="4"/>
        <v>0</v>
      </c>
      <c r="E166" s="144">
        <f t="shared" si="5"/>
        <v>0</v>
      </c>
      <c r="F166" s="65"/>
      <c r="G166" s="144">
        <f>IFERROR(_xlfn.XLOOKUP($B166,'Cronog. e Histog.'!$BZ:$BZ,'Cronog. e Histog.'!CB:CB),"")</f>
        <v>0</v>
      </c>
      <c r="H166" s="144">
        <f>IFERROR(_xlfn.XLOOKUP($B166,'Cronog. e Histog.'!$BZ:$BZ,'Cronog. e Histog.'!CC:CC),"")</f>
        <v>0</v>
      </c>
      <c r="I166" s="144">
        <f>IFERROR(_xlfn.XLOOKUP($B166,'Cronog. e Histog.'!$BZ:$BZ,'Cronog. e Histog.'!CD:CD),"")</f>
        <v>0</v>
      </c>
      <c r="J166" s="144">
        <f>IFERROR(_xlfn.XLOOKUP($B166,'Cronog. e Histog.'!$BZ:$BZ,'Cronog. e Histog.'!CE:CE),"")</f>
        <v>0</v>
      </c>
      <c r="K166" s="144">
        <f>IFERROR(_xlfn.XLOOKUP($B166,'Cronog. e Histog.'!$BZ:$BZ,'Cronog. e Histog.'!CF:CF),"")</f>
        <v>0</v>
      </c>
      <c r="L166" s="144">
        <f>IFERROR(_xlfn.XLOOKUP($B166,'Cronog. e Histog.'!$BZ:$BZ,'Cronog. e Histog.'!CG:CG),"")</f>
        <v>0</v>
      </c>
      <c r="M166" s="144">
        <f>IFERROR(_xlfn.XLOOKUP($B166,'Cronog. e Histog.'!$BZ:$BZ,'Cronog. e Histog.'!CH:CH),"")</f>
        <v>0</v>
      </c>
      <c r="N166" s="144">
        <f>IFERROR(_xlfn.XLOOKUP($B166,'Cronog. e Histog.'!$BZ:$BZ,'Cronog. e Histog.'!CI:CI),"")</f>
        <v>0</v>
      </c>
      <c r="O166" s="144">
        <f>IFERROR(_xlfn.XLOOKUP($B166,'Cronog. e Histog.'!$BZ:$BZ,'Cronog. e Histog.'!CJ:CJ),"")</f>
        <v>0</v>
      </c>
      <c r="P166" s="144">
        <f>IFERROR(_xlfn.XLOOKUP($B166,'Cronog. e Histog.'!$BZ:$BZ,'Cronog. e Histog.'!CK:CK),"")</f>
        <v>0</v>
      </c>
      <c r="Q166" s="144">
        <f>IFERROR(_xlfn.XLOOKUP($B166,'Cronog. e Histog.'!$BZ:$BZ,'Cronog. e Histog.'!CL:CL),"")</f>
        <v>0</v>
      </c>
      <c r="R166" s="144">
        <f>IFERROR(_xlfn.XLOOKUP($B166,'Cronog. e Histog.'!$BZ:$BZ,'Cronog. e Histog.'!CM:CM),"")</f>
        <v>0</v>
      </c>
      <c r="S166" s="144">
        <f>IFERROR(_xlfn.XLOOKUP($B166,'Cronog. e Histog.'!$BZ:$BZ,'Cronog. e Histog.'!CN:CN),"")</f>
        <v>0</v>
      </c>
      <c r="T166" s="144">
        <f>IFERROR(_xlfn.XLOOKUP($B166,'Cronog. e Histog.'!$BZ:$BZ,'Cronog. e Histog.'!CO:CO),"")</f>
        <v>0</v>
      </c>
      <c r="U166" s="144">
        <f>IFERROR(_xlfn.XLOOKUP($B166,'Cronog. e Histog.'!$BZ:$BZ,'Cronog. e Histog.'!CP:CP),"")</f>
        <v>0</v>
      </c>
      <c r="V166" s="144">
        <f>IFERROR(_xlfn.XLOOKUP($B166,'Cronog. e Histog.'!$BZ:$BZ,'Cronog. e Histog.'!CQ:CQ),"")</f>
        <v>0</v>
      </c>
      <c r="W166" s="144">
        <f>IFERROR(_xlfn.XLOOKUP($B166,'Cronog. e Histog.'!$BZ:$BZ,'Cronog. e Histog.'!CR:CR),"")</f>
        <v>0</v>
      </c>
      <c r="X166" s="144">
        <f>IFERROR(_xlfn.XLOOKUP($B166,'Cronog. e Histog.'!$BZ:$BZ,'Cronog. e Histog.'!CS:CS),"")</f>
        <v>0</v>
      </c>
      <c r="Y166" s="144">
        <f>IFERROR(_xlfn.XLOOKUP($B166,'Cronog. e Histog.'!$BZ:$BZ,'Cronog. e Histog.'!CT:CT),"")</f>
        <v>0</v>
      </c>
      <c r="Z166" s="144">
        <f>IFERROR(_xlfn.XLOOKUP($B166,'Cronog. e Histog.'!$BZ:$BZ,'Cronog. e Histog.'!CU:CU),"")</f>
        <v>0</v>
      </c>
      <c r="AA166" s="144">
        <f>IFERROR(_xlfn.XLOOKUP($B166,'Cronog. e Histog.'!$BZ:$BZ,'Cronog. e Histog.'!CV:CV),"")</f>
        <v>0</v>
      </c>
      <c r="AB166" s="144">
        <f>IFERROR(_xlfn.XLOOKUP($B166,'Cronog. e Histog.'!$BZ:$BZ,'Cronog. e Histog.'!CW:CW),"")</f>
        <v>0</v>
      </c>
      <c r="AC166" s="144">
        <f>IFERROR(_xlfn.XLOOKUP($B166,'Cronog. e Histog.'!$BZ:$BZ,'Cronog. e Histog.'!CX:CX),"")</f>
        <v>0</v>
      </c>
      <c r="AD166" s="144">
        <f>IFERROR(_xlfn.XLOOKUP($B166,'Cronog. e Histog.'!$BZ:$BZ,'Cronog. e Histog.'!CY:CY),"")</f>
        <v>0</v>
      </c>
      <c r="AE166" s="144">
        <f>IFERROR(_xlfn.XLOOKUP($B166,'Cronog. e Histog.'!$BZ:$BZ,'Cronog. e Histog.'!CZ:CZ),"")</f>
        <v>0</v>
      </c>
      <c r="AF166" s="144">
        <f>IFERROR(_xlfn.XLOOKUP($B166,'Cronog. e Histog.'!$BZ:$BZ,'Cronog. e Histog.'!DA:DA),"")</f>
        <v>0</v>
      </c>
      <c r="AG166" s="144">
        <f>IFERROR(_xlfn.XLOOKUP($B166,'Cronog. e Histog.'!$BZ:$BZ,'Cronog. e Histog.'!DB:DB),"")</f>
        <v>0</v>
      </c>
      <c r="AH166" s="144">
        <f>IFERROR(_xlfn.XLOOKUP($B166,'Cronog. e Histog.'!$BZ:$BZ,'Cronog. e Histog.'!DC:DC),"")</f>
        <v>0</v>
      </c>
      <c r="AI166" s="144">
        <f>IFERROR(_xlfn.XLOOKUP($B166,'Cronog. e Histog.'!$BZ:$BZ,'Cronog. e Histog.'!DD:DD),"")</f>
        <v>0</v>
      </c>
      <c r="AJ166" s="144">
        <f>IFERROR(_xlfn.XLOOKUP($B166,'Cronog. e Histog.'!$BZ:$BZ,'Cronog. e Histog.'!DE:DE),"")</f>
        <v>0</v>
      </c>
      <c r="AK166" s="144">
        <f>IFERROR(_xlfn.XLOOKUP($B166,'Cronog. e Histog.'!$BZ:$BZ,'Cronog. e Histog.'!DF:DF),"")</f>
        <v>0</v>
      </c>
      <c r="AL166" s="144">
        <f>IFERROR(_xlfn.XLOOKUP($B166,'Cronog. e Histog.'!$BZ:$BZ,'Cronog. e Histog.'!DG:DG),"")</f>
        <v>0</v>
      </c>
      <c r="AM166" s="144">
        <f>IFERROR(_xlfn.XLOOKUP($B166,'Cronog. e Histog.'!$BZ:$BZ,'Cronog. e Histog.'!DH:DH),"")</f>
        <v>0</v>
      </c>
      <c r="AN166" s="144">
        <f>IFERROR(_xlfn.XLOOKUP($B166,'Cronog. e Histog.'!$BZ:$BZ,'Cronog. e Histog.'!DI:DI),"")</f>
        <v>0</v>
      </c>
      <c r="AO166" s="144">
        <f>IFERROR(_xlfn.XLOOKUP($B166,'Cronog. e Histog.'!$BZ:$BZ,'Cronog. e Histog.'!DJ:DJ),"")</f>
        <v>0</v>
      </c>
      <c r="AP166" s="144">
        <f>IFERROR(_xlfn.XLOOKUP($B166,'Cronog. e Histog.'!$BZ:$BZ,'Cronog. e Histog.'!DK:DK),"")</f>
        <v>0</v>
      </c>
      <c r="AQ166" s="144">
        <f>IFERROR(_xlfn.XLOOKUP($B166,'Cronog. e Histog.'!$BZ:$BZ,'Cronog. e Histog.'!DL:DL),"")</f>
        <v>0</v>
      </c>
      <c r="AR166" s="144">
        <f>IFERROR(_xlfn.XLOOKUP($B166,'Cronog. e Histog.'!$BZ:$BZ,'Cronog. e Histog.'!DM:DM),"")</f>
        <v>0</v>
      </c>
      <c r="AS166" s="144">
        <f>IFERROR(_xlfn.XLOOKUP($B166,'Cronog. e Histog.'!$BZ:$BZ,'Cronog. e Histog.'!DN:DN),"")</f>
        <v>0</v>
      </c>
      <c r="AT166" s="144">
        <f>IFERROR(_xlfn.XLOOKUP($B166,'Cronog. e Histog.'!$BZ:$BZ,'Cronog. e Histog.'!DO:DO),"")</f>
        <v>0</v>
      </c>
      <c r="AU166" s="144">
        <f>IFERROR(_xlfn.XLOOKUP($B166,'Cronog. e Histog.'!$BZ:$BZ,'Cronog. e Histog.'!DP:DP),"")</f>
        <v>0</v>
      </c>
      <c r="AV166" s="144">
        <f>IFERROR(_xlfn.XLOOKUP($B166,'Cronog. e Histog.'!$BZ:$BZ,'Cronog. e Histog.'!DQ:DQ),"")</f>
        <v>0</v>
      </c>
      <c r="AW166" s="144">
        <f>IFERROR(_xlfn.XLOOKUP($B166,'Cronog. e Histog.'!$BZ:$BZ,'Cronog. e Histog.'!DR:DR),"")</f>
        <v>0</v>
      </c>
      <c r="AX166" s="144">
        <f>IFERROR(_xlfn.XLOOKUP($B166,'Cronog. e Histog.'!$BZ:$BZ,'Cronog. e Histog.'!DS:DS),"")</f>
        <v>0</v>
      </c>
      <c r="AY166" s="144">
        <f>IFERROR(_xlfn.XLOOKUP($B166,'Cronog. e Histog.'!$BZ:$BZ,'Cronog. e Histog.'!DT:DT),"")</f>
        <v>0</v>
      </c>
      <c r="AZ166" s="144">
        <f>IFERROR(_xlfn.XLOOKUP($B166,'Cronog. e Histog.'!$BZ:$BZ,'Cronog. e Histog.'!DU:DU),"")</f>
        <v>0</v>
      </c>
      <c r="BA166" s="144">
        <f>IFERROR(_xlfn.XLOOKUP($B166,'Cronog. e Histog.'!$BZ:$BZ,'Cronog. e Histog.'!DV:DV),"")</f>
        <v>0</v>
      </c>
      <c r="BB166" s="144">
        <f>IFERROR(_xlfn.XLOOKUP($B166,'Cronog. e Histog.'!$BZ:$BZ,'Cronog. e Histog.'!DW:DW),"")</f>
        <v>0</v>
      </c>
      <c r="BC166" s="144">
        <f>IFERROR(_xlfn.XLOOKUP($B166,'Cronog. e Histog.'!$BZ:$BZ,'Cronog. e Histog.'!DX:DX),"")</f>
        <v>0</v>
      </c>
      <c r="BD166" s="144">
        <f>IFERROR(_xlfn.XLOOKUP($B166,'Cronog. e Histog.'!$BZ:$BZ,'Cronog. e Histog.'!DY:DY),"")</f>
        <v>0</v>
      </c>
      <c r="BE166" s="144">
        <f>IFERROR(_xlfn.XLOOKUP($B166,'Cronog. e Histog.'!$BZ:$BZ,'Cronog. e Histog.'!DZ:DZ),"")</f>
        <v>0</v>
      </c>
      <c r="BF166" s="144">
        <f>IFERROR(_xlfn.XLOOKUP($B166,'Cronog. e Histog.'!$BZ:$BZ,'Cronog. e Histog.'!EA:EA),"")</f>
        <v>0</v>
      </c>
      <c r="BG166" s="144">
        <f>IFERROR(_xlfn.XLOOKUP($B166,'Cronog. e Histog.'!$BZ:$BZ,'Cronog. e Histog.'!EB:EB),"")</f>
        <v>0</v>
      </c>
      <c r="BH166" s="144">
        <f>IFERROR(_xlfn.XLOOKUP($B166,'Cronog. e Histog.'!$BZ:$BZ,'Cronog. e Histog.'!EC:EC),"")</f>
        <v>0</v>
      </c>
      <c r="BI166" s="144">
        <f>IFERROR(_xlfn.XLOOKUP($B166,'Cronog. e Histog.'!$BZ:$BZ,'Cronog. e Histog.'!ED:ED),"")</f>
        <v>0</v>
      </c>
      <c r="BJ166" s="144">
        <f>IFERROR(_xlfn.XLOOKUP($B166,'Cronog. e Histog.'!$BZ:$BZ,'Cronog. e Histog.'!EE:EE),"")</f>
        <v>0</v>
      </c>
      <c r="BK166" s="144">
        <f>IFERROR(_xlfn.XLOOKUP($B166,'Cronog. e Histog.'!$BZ:$BZ,'Cronog. e Histog.'!EF:EF),"")</f>
        <v>0</v>
      </c>
      <c r="BL166" s="144">
        <f>IFERROR(_xlfn.XLOOKUP($B166,'Cronog. e Histog.'!$BZ:$BZ,'Cronog. e Histog.'!EG:EG),"")</f>
        <v>0</v>
      </c>
      <c r="BM166" s="144">
        <f>IFERROR(_xlfn.XLOOKUP($B166,'Cronog. e Histog.'!$BZ:$BZ,'Cronog. e Histog.'!EH:EH),"")</f>
        <v>0</v>
      </c>
      <c r="BN166" s="144">
        <f>IFERROR(_xlfn.XLOOKUP($B166,'Cronog. e Histog.'!$BZ:$BZ,'Cronog. e Histog.'!EI:EI),"")</f>
        <v>0</v>
      </c>
    </row>
    <row r="167" spans="2:66" ht="12" hidden="1" customHeight="1" outlineLevel="1">
      <c r="B167" s="76">
        <v>161</v>
      </c>
      <c r="C167" s="143" t="str">
        <f>IFERROR(VLOOKUP(B167,'Cronog. e Histog.'!$BZ$213:$CA$747,2,0),"")</f>
        <v>GER. (OBRA/PROJ)</v>
      </c>
      <c r="D167" s="144">
        <f t="shared" si="4"/>
        <v>0</v>
      </c>
      <c r="E167" s="144">
        <f t="shared" si="5"/>
        <v>0</v>
      </c>
      <c r="F167" s="65"/>
      <c r="G167" s="144">
        <f>IFERROR(_xlfn.XLOOKUP($B167,'Cronog. e Histog.'!$BZ:$BZ,'Cronog. e Histog.'!CB:CB),"")</f>
        <v>0</v>
      </c>
      <c r="H167" s="144">
        <f>IFERROR(_xlfn.XLOOKUP($B167,'Cronog. e Histog.'!$BZ:$BZ,'Cronog. e Histog.'!CC:CC),"")</f>
        <v>0</v>
      </c>
      <c r="I167" s="144">
        <f>IFERROR(_xlfn.XLOOKUP($B167,'Cronog. e Histog.'!$BZ:$BZ,'Cronog. e Histog.'!CD:CD),"")</f>
        <v>0</v>
      </c>
      <c r="J167" s="144">
        <f>IFERROR(_xlfn.XLOOKUP($B167,'Cronog. e Histog.'!$BZ:$BZ,'Cronog. e Histog.'!CE:CE),"")</f>
        <v>0</v>
      </c>
      <c r="K167" s="144">
        <f>IFERROR(_xlfn.XLOOKUP($B167,'Cronog. e Histog.'!$BZ:$BZ,'Cronog. e Histog.'!CF:CF),"")</f>
        <v>0</v>
      </c>
      <c r="L167" s="144">
        <f>IFERROR(_xlfn.XLOOKUP($B167,'Cronog. e Histog.'!$BZ:$BZ,'Cronog. e Histog.'!CG:CG),"")</f>
        <v>0</v>
      </c>
      <c r="M167" s="144">
        <f>IFERROR(_xlfn.XLOOKUP($B167,'Cronog. e Histog.'!$BZ:$BZ,'Cronog. e Histog.'!CH:CH),"")</f>
        <v>0</v>
      </c>
      <c r="N167" s="144">
        <f>IFERROR(_xlfn.XLOOKUP($B167,'Cronog. e Histog.'!$BZ:$BZ,'Cronog. e Histog.'!CI:CI),"")</f>
        <v>0</v>
      </c>
      <c r="O167" s="144">
        <f>IFERROR(_xlfn.XLOOKUP($B167,'Cronog. e Histog.'!$BZ:$BZ,'Cronog. e Histog.'!CJ:CJ),"")</f>
        <v>0</v>
      </c>
      <c r="P167" s="144">
        <f>IFERROR(_xlfn.XLOOKUP($B167,'Cronog. e Histog.'!$BZ:$BZ,'Cronog. e Histog.'!CK:CK),"")</f>
        <v>0</v>
      </c>
      <c r="Q167" s="144">
        <f>IFERROR(_xlfn.XLOOKUP($B167,'Cronog. e Histog.'!$BZ:$BZ,'Cronog. e Histog.'!CL:CL),"")</f>
        <v>0</v>
      </c>
      <c r="R167" s="144">
        <f>IFERROR(_xlfn.XLOOKUP($B167,'Cronog. e Histog.'!$BZ:$BZ,'Cronog. e Histog.'!CM:CM),"")</f>
        <v>0</v>
      </c>
      <c r="S167" s="144">
        <f>IFERROR(_xlfn.XLOOKUP($B167,'Cronog. e Histog.'!$BZ:$BZ,'Cronog. e Histog.'!CN:CN),"")</f>
        <v>0</v>
      </c>
      <c r="T167" s="144">
        <f>IFERROR(_xlfn.XLOOKUP($B167,'Cronog. e Histog.'!$BZ:$BZ,'Cronog. e Histog.'!CO:CO),"")</f>
        <v>0</v>
      </c>
      <c r="U167" s="144">
        <f>IFERROR(_xlfn.XLOOKUP($B167,'Cronog. e Histog.'!$BZ:$BZ,'Cronog. e Histog.'!CP:CP),"")</f>
        <v>0</v>
      </c>
      <c r="V167" s="144">
        <f>IFERROR(_xlfn.XLOOKUP($B167,'Cronog. e Histog.'!$BZ:$BZ,'Cronog. e Histog.'!CQ:CQ),"")</f>
        <v>0</v>
      </c>
      <c r="W167" s="144">
        <f>IFERROR(_xlfn.XLOOKUP($B167,'Cronog. e Histog.'!$BZ:$BZ,'Cronog. e Histog.'!CR:CR),"")</f>
        <v>0</v>
      </c>
      <c r="X167" s="144">
        <f>IFERROR(_xlfn.XLOOKUP($B167,'Cronog. e Histog.'!$BZ:$BZ,'Cronog. e Histog.'!CS:CS),"")</f>
        <v>0</v>
      </c>
      <c r="Y167" s="144">
        <f>IFERROR(_xlfn.XLOOKUP($B167,'Cronog. e Histog.'!$BZ:$BZ,'Cronog. e Histog.'!CT:CT),"")</f>
        <v>0</v>
      </c>
      <c r="Z167" s="144">
        <f>IFERROR(_xlfn.XLOOKUP($B167,'Cronog. e Histog.'!$BZ:$BZ,'Cronog. e Histog.'!CU:CU),"")</f>
        <v>0</v>
      </c>
      <c r="AA167" s="144">
        <f>IFERROR(_xlfn.XLOOKUP($B167,'Cronog. e Histog.'!$BZ:$BZ,'Cronog. e Histog.'!CV:CV),"")</f>
        <v>0</v>
      </c>
      <c r="AB167" s="144">
        <f>IFERROR(_xlfn.XLOOKUP($B167,'Cronog. e Histog.'!$BZ:$BZ,'Cronog. e Histog.'!CW:CW),"")</f>
        <v>0</v>
      </c>
      <c r="AC167" s="144">
        <f>IFERROR(_xlfn.XLOOKUP($B167,'Cronog. e Histog.'!$BZ:$BZ,'Cronog. e Histog.'!CX:CX),"")</f>
        <v>0</v>
      </c>
      <c r="AD167" s="144">
        <f>IFERROR(_xlfn.XLOOKUP($B167,'Cronog. e Histog.'!$BZ:$BZ,'Cronog. e Histog.'!CY:CY),"")</f>
        <v>0</v>
      </c>
      <c r="AE167" s="144">
        <f>IFERROR(_xlfn.XLOOKUP($B167,'Cronog. e Histog.'!$BZ:$BZ,'Cronog. e Histog.'!CZ:CZ),"")</f>
        <v>0</v>
      </c>
      <c r="AF167" s="144">
        <f>IFERROR(_xlfn.XLOOKUP($B167,'Cronog. e Histog.'!$BZ:$BZ,'Cronog. e Histog.'!DA:DA),"")</f>
        <v>0</v>
      </c>
      <c r="AG167" s="144">
        <f>IFERROR(_xlfn.XLOOKUP($B167,'Cronog. e Histog.'!$BZ:$BZ,'Cronog. e Histog.'!DB:DB),"")</f>
        <v>0</v>
      </c>
      <c r="AH167" s="144">
        <f>IFERROR(_xlfn.XLOOKUP($B167,'Cronog. e Histog.'!$BZ:$BZ,'Cronog. e Histog.'!DC:DC),"")</f>
        <v>0</v>
      </c>
      <c r="AI167" s="144">
        <f>IFERROR(_xlfn.XLOOKUP($B167,'Cronog. e Histog.'!$BZ:$BZ,'Cronog. e Histog.'!DD:DD),"")</f>
        <v>0</v>
      </c>
      <c r="AJ167" s="144">
        <f>IFERROR(_xlfn.XLOOKUP($B167,'Cronog. e Histog.'!$BZ:$BZ,'Cronog. e Histog.'!DE:DE),"")</f>
        <v>0</v>
      </c>
      <c r="AK167" s="144">
        <f>IFERROR(_xlfn.XLOOKUP($B167,'Cronog. e Histog.'!$BZ:$BZ,'Cronog. e Histog.'!DF:DF),"")</f>
        <v>0</v>
      </c>
      <c r="AL167" s="144">
        <f>IFERROR(_xlfn.XLOOKUP($B167,'Cronog. e Histog.'!$BZ:$BZ,'Cronog. e Histog.'!DG:DG),"")</f>
        <v>0</v>
      </c>
      <c r="AM167" s="144">
        <f>IFERROR(_xlfn.XLOOKUP($B167,'Cronog. e Histog.'!$BZ:$BZ,'Cronog. e Histog.'!DH:DH),"")</f>
        <v>0</v>
      </c>
      <c r="AN167" s="144">
        <f>IFERROR(_xlfn.XLOOKUP($B167,'Cronog. e Histog.'!$BZ:$BZ,'Cronog. e Histog.'!DI:DI),"")</f>
        <v>0</v>
      </c>
      <c r="AO167" s="144">
        <f>IFERROR(_xlfn.XLOOKUP($B167,'Cronog. e Histog.'!$BZ:$BZ,'Cronog. e Histog.'!DJ:DJ),"")</f>
        <v>0</v>
      </c>
      <c r="AP167" s="144">
        <f>IFERROR(_xlfn.XLOOKUP($B167,'Cronog. e Histog.'!$BZ:$BZ,'Cronog. e Histog.'!DK:DK),"")</f>
        <v>0</v>
      </c>
      <c r="AQ167" s="144">
        <f>IFERROR(_xlfn.XLOOKUP($B167,'Cronog. e Histog.'!$BZ:$BZ,'Cronog. e Histog.'!DL:DL),"")</f>
        <v>0</v>
      </c>
      <c r="AR167" s="144">
        <f>IFERROR(_xlfn.XLOOKUP($B167,'Cronog. e Histog.'!$BZ:$BZ,'Cronog. e Histog.'!DM:DM),"")</f>
        <v>0</v>
      </c>
      <c r="AS167" s="144">
        <f>IFERROR(_xlfn.XLOOKUP($B167,'Cronog. e Histog.'!$BZ:$BZ,'Cronog. e Histog.'!DN:DN),"")</f>
        <v>0</v>
      </c>
      <c r="AT167" s="144">
        <f>IFERROR(_xlfn.XLOOKUP($B167,'Cronog. e Histog.'!$BZ:$BZ,'Cronog. e Histog.'!DO:DO),"")</f>
        <v>0</v>
      </c>
      <c r="AU167" s="144">
        <f>IFERROR(_xlfn.XLOOKUP($B167,'Cronog. e Histog.'!$BZ:$BZ,'Cronog. e Histog.'!DP:DP),"")</f>
        <v>0</v>
      </c>
      <c r="AV167" s="144">
        <f>IFERROR(_xlfn.XLOOKUP($B167,'Cronog. e Histog.'!$BZ:$BZ,'Cronog. e Histog.'!DQ:DQ),"")</f>
        <v>0</v>
      </c>
      <c r="AW167" s="144">
        <f>IFERROR(_xlfn.XLOOKUP($B167,'Cronog. e Histog.'!$BZ:$BZ,'Cronog. e Histog.'!DR:DR),"")</f>
        <v>0</v>
      </c>
      <c r="AX167" s="144">
        <f>IFERROR(_xlfn.XLOOKUP($B167,'Cronog. e Histog.'!$BZ:$BZ,'Cronog. e Histog.'!DS:DS),"")</f>
        <v>0</v>
      </c>
      <c r="AY167" s="144">
        <f>IFERROR(_xlfn.XLOOKUP($B167,'Cronog. e Histog.'!$BZ:$BZ,'Cronog. e Histog.'!DT:DT),"")</f>
        <v>0</v>
      </c>
      <c r="AZ167" s="144">
        <f>IFERROR(_xlfn.XLOOKUP($B167,'Cronog. e Histog.'!$BZ:$BZ,'Cronog. e Histog.'!DU:DU),"")</f>
        <v>0</v>
      </c>
      <c r="BA167" s="144">
        <f>IFERROR(_xlfn.XLOOKUP($B167,'Cronog. e Histog.'!$BZ:$BZ,'Cronog. e Histog.'!DV:DV),"")</f>
        <v>0</v>
      </c>
      <c r="BB167" s="144">
        <f>IFERROR(_xlfn.XLOOKUP($B167,'Cronog. e Histog.'!$BZ:$BZ,'Cronog. e Histog.'!DW:DW),"")</f>
        <v>0</v>
      </c>
      <c r="BC167" s="144">
        <f>IFERROR(_xlfn.XLOOKUP($B167,'Cronog. e Histog.'!$BZ:$BZ,'Cronog. e Histog.'!DX:DX),"")</f>
        <v>0</v>
      </c>
      <c r="BD167" s="144">
        <f>IFERROR(_xlfn.XLOOKUP($B167,'Cronog. e Histog.'!$BZ:$BZ,'Cronog. e Histog.'!DY:DY),"")</f>
        <v>0</v>
      </c>
      <c r="BE167" s="144">
        <f>IFERROR(_xlfn.XLOOKUP($B167,'Cronog. e Histog.'!$BZ:$BZ,'Cronog. e Histog.'!DZ:DZ),"")</f>
        <v>0</v>
      </c>
      <c r="BF167" s="144">
        <f>IFERROR(_xlfn.XLOOKUP($B167,'Cronog. e Histog.'!$BZ:$BZ,'Cronog. e Histog.'!EA:EA),"")</f>
        <v>0</v>
      </c>
      <c r="BG167" s="144">
        <f>IFERROR(_xlfn.XLOOKUP($B167,'Cronog. e Histog.'!$BZ:$BZ,'Cronog. e Histog.'!EB:EB),"")</f>
        <v>0</v>
      </c>
      <c r="BH167" s="144">
        <f>IFERROR(_xlfn.XLOOKUP($B167,'Cronog. e Histog.'!$BZ:$BZ,'Cronog. e Histog.'!EC:EC),"")</f>
        <v>0</v>
      </c>
      <c r="BI167" s="144">
        <f>IFERROR(_xlfn.XLOOKUP($B167,'Cronog. e Histog.'!$BZ:$BZ,'Cronog. e Histog.'!ED:ED),"")</f>
        <v>0</v>
      </c>
      <c r="BJ167" s="144">
        <f>IFERROR(_xlfn.XLOOKUP($B167,'Cronog. e Histog.'!$BZ:$BZ,'Cronog. e Histog.'!EE:EE),"")</f>
        <v>0</v>
      </c>
      <c r="BK167" s="144">
        <f>IFERROR(_xlfn.XLOOKUP($B167,'Cronog. e Histog.'!$BZ:$BZ,'Cronog. e Histog.'!EF:EF),"")</f>
        <v>0</v>
      </c>
      <c r="BL167" s="144">
        <f>IFERROR(_xlfn.XLOOKUP($B167,'Cronog. e Histog.'!$BZ:$BZ,'Cronog. e Histog.'!EG:EG),"")</f>
        <v>0</v>
      </c>
      <c r="BM167" s="144">
        <f>IFERROR(_xlfn.XLOOKUP($B167,'Cronog. e Histog.'!$BZ:$BZ,'Cronog. e Histog.'!EH:EH),"")</f>
        <v>0</v>
      </c>
      <c r="BN167" s="144">
        <f>IFERROR(_xlfn.XLOOKUP($B167,'Cronog. e Histog.'!$BZ:$BZ,'Cronog. e Histog.'!EI:EI),"")</f>
        <v>0</v>
      </c>
    </row>
    <row r="168" spans="2:66" ht="12" hidden="1" customHeight="1" outlineLevel="1">
      <c r="B168" s="76">
        <v>162</v>
      </c>
      <c r="C168" s="143" t="str">
        <f>IFERROR(VLOOKUP(B168,'Cronog. e Histog.'!$BZ$213:$CA$747,2,0),"")</f>
        <v>COORD.</v>
      </c>
      <c r="D168" s="144">
        <f t="shared" si="4"/>
        <v>0</v>
      </c>
      <c r="E168" s="144">
        <f t="shared" si="5"/>
        <v>0</v>
      </c>
      <c r="F168" s="65"/>
      <c r="G168" s="144">
        <f>IFERROR(_xlfn.XLOOKUP($B168,'Cronog. e Histog.'!$BZ:$BZ,'Cronog. e Histog.'!CB:CB),"")</f>
        <v>0</v>
      </c>
      <c r="H168" s="144">
        <f>IFERROR(_xlfn.XLOOKUP($B168,'Cronog. e Histog.'!$BZ:$BZ,'Cronog. e Histog.'!CC:CC),"")</f>
        <v>0</v>
      </c>
      <c r="I168" s="144">
        <f>IFERROR(_xlfn.XLOOKUP($B168,'Cronog. e Histog.'!$BZ:$BZ,'Cronog. e Histog.'!CD:CD),"")</f>
        <v>0</v>
      </c>
      <c r="J168" s="144">
        <f>IFERROR(_xlfn.XLOOKUP($B168,'Cronog. e Histog.'!$BZ:$BZ,'Cronog. e Histog.'!CE:CE),"")</f>
        <v>0</v>
      </c>
      <c r="K168" s="144">
        <f>IFERROR(_xlfn.XLOOKUP($B168,'Cronog. e Histog.'!$BZ:$BZ,'Cronog. e Histog.'!CF:CF),"")</f>
        <v>0</v>
      </c>
      <c r="L168" s="144">
        <f>IFERROR(_xlfn.XLOOKUP($B168,'Cronog. e Histog.'!$BZ:$BZ,'Cronog. e Histog.'!CG:CG),"")</f>
        <v>0</v>
      </c>
      <c r="M168" s="144">
        <f>IFERROR(_xlfn.XLOOKUP($B168,'Cronog. e Histog.'!$BZ:$BZ,'Cronog. e Histog.'!CH:CH),"")</f>
        <v>0</v>
      </c>
      <c r="N168" s="144">
        <f>IFERROR(_xlfn.XLOOKUP($B168,'Cronog. e Histog.'!$BZ:$BZ,'Cronog. e Histog.'!CI:CI),"")</f>
        <v>0</v>
      </c>
      <c r="O168" s="144">
        <f>IFERROR(_xlfn.XLOOKUP($B168,'Cronog. e Histog.'!$BZ:$BZ,'Cronog. e Histog.'!CJ:CJ),"")</f>
        <v>0</v>
      </c>
      <c r="P168" s="144">
        <f>IFERROR(_xlfn.XLOOKUP($B168,'Cronog. e Histog.'!$BZ:$BZ,'Cronog. e Histog.'!CK:CK),"")</f>
        <v>0</v>
      </c>
      <c r="Q168" s="144">
        <f>IFERROR(_xlfn.XLOOKUP($B168,'Cronog. e Histog.'!$BZ:$BZ,'Cronog. e Histog.'!CL:CL),"")</f>
        <v>0</v>
      </c>
      <c r="R168" s="144">
        <f>IFERROR(_xlfn.XLOOKUP($B168,'Cronog. e Histog.'!$BZ:$BZ,'Cronog. e Histog.'!CM:CM),"")</f>
        <v>0</v>
      </c>
      <c r="S168" s="144">
        <f>IFERROR(_xlfn.XLOOKUP($B168,'Cronog. e Histog.'!$BZ:$BZ,'Cronog. e Histog.'!CN:CN),"")</f>
        <v>0</v>
      </c>
      <c r="T168" s="144">
        <f>IFERROR(_xlfn.XLOOKUP($B168,'Cronog. e Histog.'!$BZ:$BZ,'Cronog. e Histog.'!CO:CO),"")</f>
        <v>0</v>
      </c>
      <c r="U168" s="144">
        <f>IFERROR(_xlfn.XLOOKUP($B168,'Cronog. e Histog.'!$BZ:$BZ,'Cronog. e Histog.'!CP:CP),"")</f>
        <v>0</v>
      </c>
      <c r="V168" s="144">
        <f>IFERROR(_xlfn.XLOOKUP($B168,'Cronog. e Histog.'!$BZ:$BZ,'Cronog. e Histog.'!CQ:CQ),"")</f>
        <v>0</v>
      </c>
      <c r="W168" s="144">
        <f>IFERROR(_xlfn.XLOOKUP($B168,'Cronog. e Histog.'!$BZ:$BZ,'Cronog. e Histog.'!CR:CR),"")</f>
        <v>0</v>
      </c>
      <c r="X168" s="144">
        <f>IFERROR(_xlfn.XLOOKUP($B168,'Cronog. e Histog.'!$BZ:$BZ,'Cronog. e Histog.'!CS:CS),"")</f>
        <v>0</v>
      </c>
      <c r="Y168" s="144">
        <f>IFERROR(_xlfn.XLOOKUP($B168,'Cronog. e Histog.'!$BZ:$BZ,'Cronog. e Histog.'!CT:CT),"")</f>
        <v>0</v>
      </c>
      <c r="Z168" s="144">
        <f>IFERROR(_xlfn.XLOOKUP($B168,'Cronog. e Histog.'!$BZ:$BZ,'Cronog. e Histog.'!CU:CU),"")</f>
        <v>0</v>
      </c>
      <c r="AA168" s="144">
        <f>IFERROR(_xlfn.XLOOKUP($B168,'Cronog. e Histog.'!$BZ:$BZ,'Cronog. e Histog.'!CV:CV),"")</f>
        <v>0</v>
      </c>
      <c r="AB168" s="144">
        <f>IFERROR(_xlfn.XLOOKUP($B168,'Cronog. e Histog.'!$BZ:$BZ,'Cronog. e Histog.'!CW:CW),"")</f>
        <v>0</v>
      </c>
      <c r="AC168" s="144">
        <f>IFERROR(_xlfn.XLOOKUP($B168,'Cronog. e Histog.'!$BZ:$BZ,'Cronog. e Histog.'!CX:CX),"")</f>
        <v>0</v>
      </c>
      <c r="AD168" s="144">
        <f>IFERROR(_xlfn.XLOOKUP($B168,'Cronog. e Histog.'!$BZ:$BZ,'Cronog. e Histog.'!CY:CY),"")</f>
        <v>0</v>
      </c>
      <c r="AE168" s="144">
        <f>IFERROR(_xlfn.XLOOKUP($B168,'Cronog. e Histog.'!$BZ:$BZ,'Cronog. e Histog.'!CZ:CZ),"")</f>
        <v>0</v>
      </c>
      <c r="AF168" s="144">
        <f>IFERROR(_xlfn.XLOOKUP($B168,'Cronog. e Histog.'!$BZ:$BZ,'Cronog. e Histog.'!DA:DA),"")</f>
        <v>0</v>
      </c>
      <c r="AG168" s="144">
        <f>IFERROR(_xlfn.XLOOKUP($B168,'Cronog. e Histog.'!$BZ:$BZ,'Cronog. e Histog.'!DB:DB),"")</f>
        <v>0</v>
      </c>
      <c r="AH168" s="144">
        <f>IFERROR(_xlfn.XLOOKUP($B168,'Cronog. e Histog.'!$BZ:$BZ,'Cronog. e Histog.'!DC:DC),"")</f>
        <v>0</v>
      </c>
      <c r="AI168" s="144">
        <f>IFERROR(_xlfn.XLOOKUP($B168,'Cronog. e Histog.'!$BZ:$BZ,'Cronog. e Histog.'!DD:DD),"")</f>
        <v>0</v>
      </c>
      <c r="AJ168" s="144">
        <f>IFERROR(_xlfn.XLOOKUP($B168,'Cronog. e Histog.'!$BZ:$BZ,'Cronog. e Histog.'!DE:DE),"")</f>
        <v>0</v>
      </c>
      <c r="AK168" s="144">
        <f>IFERROR(_xlfn.XLOOKUP($B168,'Cronog. e Histog.'!$BZ:$BZ,'Cronog. e Histog.'!DF:DF),"")</f>
        <v>0</v>
      </c>
      <c r="AL168" s="144">
        <f>IFERROR(_xlfn.XLOOKUP($B168,'Cronog. e Histog.'!$BZ:$BZ,'Cronog. e Histog.'!DG:DG),"")</f>
        <v>0</v>
      </c>
      <c r="AM168" s="144">
        <f>IFERROR(_xlfn.XLOOKUP($B168,'Cronog. e Histog.'!$BZ:$BZ,'Cronog. e Histog.'!DH:DH),"")</f>
        <v>0</v>
      </c>
      <c r="AN168" s="144">
        <f>IFERROR(_xlfn.XLOOKUP($B168,'Cronog. e Histog.'!$BZ:$BZ,'Cronog. e Histog.'!DI:DI),"")</f>
        <v>0</v>
      </c>
      <c r="AO168" s="144">
        <f>IFERROR(_xlfn.XLOOKUP($B168,'Cronog. e Histog.'!$BZ:$BZ,'Cronog. e Histog.'!DJ:DJ),"")</f>
        <v>0</v>
      </c>
      <c r="AP168" s="144">
        <f>IFERROR(_xlfn.XLOOKUP($B168,'Cronog. e Histog.'!$BZ:$BZ,'Cronog. e Histog.'!DK:DK),"")</f>
        <v>0</v>
      </c>
      <c r="AQ168" s="144">
        <f>IFERROR(_xlfn.XLOOKUP($B168,'Cronog. e Histog.'!$BZ:$BZ,'Cronog. e Histog.'!DL:DL),"")</f>
        <v>0</v>
      </c>
      <c r="AR168" s="144">
        <f>IFERROR(_xlfn.XLOOKUP($B168,'Cronog. e Histog.'!$BZ:$BZ,'Cronog. e Histog.'!DM:DM),"")</f>
        <v>0</v>
      </c>
      <c r="AS168" s="144">
        <f>IFERROR(_xlfn.XLOOKUP($B168,'Cronog. e Histog.'!$BZ:$BZ,'Cronog. e Histog.'!DN:DN),"")</f>
        <v>0</v>
      </c>
      <c r="AT168" s="144">
        <f>IFERROR(_xlfn.XLOOKUP($B168,'Cronog. e Histog.'!$BZ:$BZ,'Cronog. e Histog.'!DO:DO),"")</f>
        <v>0</v>
      </c>
      <c r="AU168" s="144">
        <f>IFERROR(_xlfn.XLOOKUP($B168,'Cronog. e Histog.'!$BZ:$BZ,'Cronog. e Histog.'!DP:DP),"")</f>
        <v>0</v>
      </c>
      <c r="AV168" s="144">
        <f>IFERROR(_xlfn.XLOOKUP($B168,'Cronog. e Histog.'!$BZ:$BZ,'Cronog. e Histog.'!DQ:DQ),"")</f>
        <v>0</v>
      </c>
      <c r="AW168" s="144">
        <f>IFERROR(_xlfn.XLOOKUP($B168,'Cronog. e Histog.'!$BZ:$BZ,'Cronog. e Histog.'!DR:DR),"")</f>
        <v>0</v>
      </c>
      <c r="AX168" s="144">
        <f>IFERROR(_xlfn.XLOOKUP($B168,'Cronog. e Histog.'!$BZ:$BZ,'Cronog. e Histog.'!DS:DS),"")</f>
        <v>0</v>
      </c>
      <c r="AY168" s="144">
        <f>IFERROR(_xlfn.XLOOKUP($B168,'Cronog. e Histog.'!$BZ:$BZ,'Cronog. e Histog.'!DT:DT),"")</f>
        <v>0</v>
      </c>
      <c r="AZ168" s="144">
        <f>IFERROR(_xlfn.XLOOKUP($B168,'Cronog. e Histog.'!$BZ:$BZ,'Cronog. e Histog.'!DU:DU),"")</f>
        <v>0</v>
      </c>
      <c r="BA168" s="144">
        <f>IFERROR(_xlfn.XLOOKUP($B168,'Cronog. e Histog.'!$BZ:$BZ,'Cronog. e Histog.'!DV:DV),"")</f>
        <v>0</v>
      </c>
      <c r="BB168" s="144">
        <f>IFERROR(_xlfn.XLOOKUP($B168,'Cronog. e Histog.'!$BZ:$BZ,'Cronog. e Histog.'!DW:DW),"")</f>
        <v>0</v>
      </c>
      <c r="BC168" s="144">
        <f>IFERROR(_xlfn.XLOOKUP($B168,'Cronog. e Histog.'!$BZ:$BZ,'Cronog. e Histog.'!DX:DX),"")</f>
        <v>0</v>
      </c>
      <c r="BD168" s="144">
        <f>IFERROR(_xlfn.XLOOKUP($B168,'Cronog. e Histog.'!$BZ:$BZ,'Cronog. e Histog.'!DY:DY),"")</f>
        <v>0</v>
      </c>
      <c r="BE168" s="144">
        <f>IFERROR(_xlfn.XLOOKUP($B168,'Cronog. e Histog.'!$BZ:$BZ,'Cronog. e Histog.'!DZ:DZ),"")</f>
        <v>0</v>
      </c>
      <c r="BF168" s="144">
        <f>IFERROR(_xlfn.XLOOKUP($B168,'Cronog. e Histog.'!$BZ:$BZ,'Cronog. e Histog.'!EA:EA),"")</f>
        <v>0</v>
      </c>
      <c r="BG168" s="144">
        <f>IFERROR(_xlfn.XLOOKUP($B168,'Cronog. e Histog.'!$BZ:$BZ,'Cronog. e Histog.'!EB:EB),"")</f>
        <v>0</v>
      </c>
      <c r="BH168" s="144">
        <f>IFERROR(_xlfn.XLOOKUP($B168,'Cronog. e Histog.'!$BZ:$BZ,'Cronog. e Histog.'!EC:EC),"")</f>
        <v>0</v>
      </c>
      <c r="BI168" s="144">
        <f>IFERROR(_xlfn.XLOOKUP($B168,'Cronog. e Histog.'!$BZ:$BZ,'Cronog. e Histog.'!ED:ED),"")</f>
        <v>0</v>
      </c>
      <c r="BJ168" s="144">
        <f>IFERROR(_xlfn.XLOOKUP($B168,'Cronog. e Histog.'!$BZ:$BZ,'Cronog. e Histog.'!EE:EE),"")</f>
        <v>0</v>
      </c>
      <c r="BK168" s="144">
        <f>IFERROR(_xlfn.XLOOKUP($B168,'Cronog. e Histog.'!$BZ:$BZ,'Cronog. e Histog.'!EF:EF),"")</f>
        <v>0</v>
      </c>
      <c r="BL168" s="144">
        <f>IFERROR(_xlfn.XLOOKUP($B168,'Cronog. e Histog.'!$BZ:$BZ,'Cronog. e Histog.'!EG:EG),"")</f>
        <v>0</v>
      </c>
      <c r="BM168" s="144">
        <f>IFERROR(_xlfn.XLOOKUP($B168,'Cronog. e Histog.'!$BZ:$BZ,'Cronog. e Histog.'!EH:EH),"")</f>
        <v>0</v>
      </c>
      <c r="BN168" s="144">
        <f>IFERROR(_xlfn.XLOOKUP($B168,'Cronog. e Histog.'!$BZ:$BZ,'Cronog. e Histog.'!EI:EI),"")</f>
        <v>0</v>
      </c>
    </row>
    <row r="169" spans="2:66" ht="12" hidden="1" customHeight="1" outlineLevel="1">
      <c r="B169" s="76">
        <v>163</v>
      </c>
      <c r="C169" s="143" t="str">
        <f>IFERROR(VLOOKUP(B169,'Cronog. e Histog.'!$BZ$213:$CA$747,2,0),"")</f>
        <v>SUP.-ESP</v>
      </c>
      <c r="D169" s="144">
        <f t="shared" si="4"/>
        <v>0</v>
      </c>
      <c r="E169" s="144">
        <f t="shared" si="5"/>
        <v>0</v>
      </c>
      <c r="F169" s="65"/>
      <c r="G169" s="144">
        <f>IFERROR(_xlfn.XLOOKUP($B169,'Cronog. e Histog.'!$BZ:$BZ,'Cronog. e Histog.'!CB:CB),"")</f>
        <v>0</v>
      </c>
      <c r="H169" s="144">
        <f>IFERROR(_xlfn.XLOOKUP($B169,'Cronog. e Histog.'!$BZ:$BZ,'Cronog. e Histog.'!CC:CC),"")</f>
        <v>0</v>
      </c>
      <c r="I169" s="144">
        <f>IFERROR(_xlfn.XLOOKUP($B169,'Cronog. e Histog.'!$BZ:$BZ,'Cronog. e Histog.'!CD:CD),"")</f>
        <v>0</v>
      </c>
      <c r="J169" s="144">
        <f>IFERROR(_xlfn.XLOOKUP($B169,'Cronog. e Histog.'!$BZ:$BZ,'Cronog. e Histog.'!CE:CE),"")</f>
        <v>0</v>
      </c>
      <c r="K169" s="144">
        <f>IFERROR(_xlfn.XLOOKUP($B169,'Cronog. e Histog.'!$BZ:$BZ,'Cronog. e Histog.'!CF:CF),"")</f>
        <v>0</v>
      </c>
      <c r="L169" s="144">
        <f>IFERROR(_xlfn.XLOOKUP($B169,'Cronog. e Histog.'!$BZ:$BZ,'Cronog. e Histog.'!CG:CG),"")</f>
        <v>0</v>
      </c>
      <c r="M169" s="144">
        <f>IFERROR(_xlfn.XLOOKUP($B169,'Cronog. e Histog.'!$BZ:$BZ,'Cronog. e Histog.'!CH:CH),"")</f>
        <v>0</v>
      </c>
      <c r="N169" s="144">
        <f>IFERROR(_xlfn.XLOOKUP($B169,'Cronog. e Histog.'!$BZ:$BZ,'Cronog. e Histog.'!CI:CI),"")</f>
        <v>0</v>
      </c>
      <c r="O169" s="144">
        <f>IFERROR(_xlfn.XLOOKUP($B169,'Cronog. e Histog.'!$BZ:$BZ,'Cronog. e Histog.'!CJ:CJ),"")</f>
        <v>0</v>
      </c>
      <c r="P169" s="144">
        <f>IFERROR(_xlfn.XLOOKUP($B169,'Cronog. e Histog.'!$BZ:$BZ,'Cronog. e Histog.'!CK:CK),"")</f>
        <v>0</v>
      </c>
      <c r="Q169" s="144">
        <f>IFERROR(_xlfn.XLOOKUP($B169,'Cronog. e Histog.'!$BZ:$BZ,'Cronog. e Histog.'!CL:CL),"")</f>
        <v>0</v>
      </c>
      <c r="R169" s="144">
        <f>IFERROR(_xlfn.XLOOKUP($B169,'Cronog. e Histog.'!$BZ:$BZ,'Cronog. e Histog.'!CM:CM),"")</f>
        <v>0</v>
      </c>
      <c r="S169" s="144">
        <f>IFERROR(_xlfn.XLOOKUP($B169,'Cronog. e Histog.'!$BZ:$BZ,'Cronog. e Histog.'!CN:CN),"")</f>
        <v>0</v>
      </c>
      <c r="T169" s="144">
        <f>IFERROR(_xlfn.XLOOKUP($B169,'Cronog. e Histog.'!$BZ:$BZ,'Cronog. e Histog.'!CO:CO),"")</f>
        <v>0</v>
      </c>
      <c r="U169" s="144">
        <f>IFERROR(_xlfn.XLOOKUP($B169,'Cronog. e Histog.'!$BZ:$BZ,'Cronog. e Histog.'!CP:CP),"")</f>
        <v>0</v>
      </c>
      <c r="V169" s="144">
        <f>IFERROR(_xlfn.XLOOKUP($B169,'Cronog. e Histog.'!$BZ:$BZ,'Cronog. e Histog.'!CQ:CQ),"")</f>
        <v>0</v>
      </c>
      <c r="W169" s="144">
        <f>IFERROR(_xlfn.XLOOKUP($B169,'Cronog. e Histog.'!$BZ:$BZ,'Cronog. e Histog.'!CR:CR),"")</f>
        <v>0</v>
      </c>
      <c r="X169" s="144">
        <f>IFERROR(_xlfn.XLOOKUP($B169,'Cronog. e Histog.'!$BZ:$BZ,'Cronog. e Histog.'!CS:CS),"")</f>
        <v>0</v>
      </c>
      <c r="Y169" s="144">
        <f>IFERROR(_xlfn.XLOOKUP($B169,'Cronog. e Histog.'!$BZ:$BZ,'Cronog. e Histog.'!CT:CT),"")</f>
        <v>0</v>
      </c>
      <c r="Z169" s="144">
        <f>IFERROR(_xlfn.XLOOKUP($B169,'Cronog. e Histog.'!$BZ:$BZ,'Cronog. e Histog.'!CU:CU),"")</f>
        <v>0</v>
      </c>
      <c r="AA169" s="144">
        <f>IFERROR(_xlfn.XLOOKUP($B169,'Cronog. e Histog.'!$BZ:$BZ,'Cronog. e Histog.'!CV:CV),"")</f>
        <v>0</v>
      </c>
      <c r="AB169" s="144">
        <f>IFERROR(_xlfn.XLOOKUP($B169,'Cronog. e Histog.'!$BZ:$BZ,'Cronog. e Histog.'!CW:CW),"")</f>
        <v>0</v>
      </c>
      <c r="AC169" s="144">
        <f>IFERROR(_xlfn.XLOOKUP($B169,'Cronog. e Histog.'!$BZ:$BZ,'Cronog. e Histog.'!CX:CX),"")</f>
        <v>0</v>
      </c>
      <c r="AD169" s="144">
        <f>IFERROR(_xlfn.XLOOKUP($B169,'Cronog. e Histog.'!$BZ:$BZ,'Cronog. e Histog.'!CY:CY),"")</f>
        <v>0</v>
      </c>
      <c r="AE169" s="144">
        <f>IFERROR(_xlfn.XLOOKUP($B169,'Cronog. e Histog.'!$BZ:$BZ,'Cronog. e Histog.'!CZ:CZ),"")</f>
        <v>0</v>
      </c>
      <c r="AF169" s="144">
        <f>IFERROR(_xlfn.XLOOKUP($B169,'Cronog. e Histog.'!$BZ:$BZ,'Cronog. e Histog.'!DA:DA),"")</f>
        <v>0</v>
      </c>
      <c r="AG169" s="144">
        <f>IFERROR(_xlfn.XLOOKUP($B169,'Cronog. e Histog.'!$BZ:$BZ,'Cronog. e Histog.'!DB:DB),"")</f>
        <v>0</v>
      </c>
      <c r="AH169" s="144">
        <f>IFERROR(_xlfn.XLOOKUP($B169,'Cronog. e Histog.'!$BZ:$BZ,'Cronog. e Histog.'!DC:DC),"")</f>
        <v>0</v>
      </c>
      <c r="AI169" s="144">
        <f>IFERROR(_xlfn.XLOOKUP($B169,'Cronog. e Histog.'!$BZ:$BZ,'Cronog. e Histog.'!DD:DD),"")</f>
        <v>0</v>
      </c>
      <c r="AJ169" s="144">
        <f>IFERROR(_xlfn.XLOOKUP($B169,'Cronog. e Histog.'!$BZ:$BZ,'Cronog. e Histog.'!DE:DE),"")</f>
        <v>0</v>
      </c>
      <c r="AK169" s="144">
        <f>IFERROR(_xlfn.XLOOKUP($B169,'Cronog. e Histog.'!$BZ:$BZ,'Cronog. e Histog.'!DF:DF),"")</f>
        <v>0</v>
      </c>
      <c r="AL169" s="144">
        <f>IFERROR(_xlfn.XLOOKUP($B169,'Cronog. e Histog.'!$BZ:$BZ,'Cronog. e Histog.'!DG:DG),"")</f>
        <v>0</v>
      </c>
      <c r="AM169" s="144">
        <f>IFERROR(_xlfn.XLOOKUP($B169,'Cronog. e Histog.'!$BZ:$BZ,'Cronog. e Histog.'!DH:DH),"")</f>
        <v>0</v>
      </c>
      <c r="AN169" s="144">
        <f>IFERROR(_xlfn.XLOOKUP($B169,'Cronog. e Histog.'!$BZ:$BZ,'Cronog. e Histog.'!DI:DI),"")</f>
        <v>0</v>
      </c>
      <c r="AO169" s="144">
        <f>IFERROR(_xlfn.XLOOKUP($B169,'Cronog. e Histog.'!$BZ:$BZ,'Cronog. e Histog.'!DJ:DJ),"")</f>
        <v>0</v>
      </c>
      <c r="AP169" s="144">
        <f>IFERROR(_xlfn.XLOOKUP($B169,'Cronog. e Histog.'!$BZ:$BZ,'Cronog. e Histog.'!DK:DK),"")</f>
        <v>0</v>
      </c>
      <c r="AQ169" s="144">
        <f>IFERROR(_xlfn.XLOOKUP($B169,'Cronog. e Histog.'!$BZ:$BZ,'Cronog. e Histog.'!DL:DL),"")</f>
        <v>0</v>
      </c>
      <c r="AR169" s="144">
        <f>IFERROR(_xlfn.XLOOKUP($B169,'Cronog. e Histog.'!$BZ:$BZ,'Cronog. e Histog.'!DM:DM),"")</f>
        <v>0</v>
      </c>
      <c r="AS169" s="144">
        <f>IFERROR(_xlfn.XLOOKUP($B169,'Cronog. e Histog.'!$BZ:$BZ,'Cronog. e Histog.'!DN:DN),"")</f>
        <v>0</v>
      </c>
      <c r="AT169" s="144">
        <f>IFERROR(_xlfn.XLOOKUP($B169,'Cronog. e Histog.'!$BZ:$BZ,'Cronog. e Histog.'!DO:DO),"")</f>
        <v>0</v>
      </c>
      <c r="AU169" s="144">
        <f>IFERROR(_xlfn.XLOOKUP($B169,'Cronog. e Histog.'!$BZ:$BZ,'Cronog. e Histog.'!DP:DP),"")</f>
        <v>0</v>
      </c>
      <c r="AV169" s="144">
        <f>IFERROR(_xlfn.XLOOKUP($B169,'Cronog. e Histog.'!$BZ:$BZ,'Cronog. e Histog.'!DQ:DQ),"")</f>
        <v>0</v>
      </c>
      <c r="AW169" s="144">
        <f>IFERROR(_xlfn.XLOOKUP($B169,'Cronog. e Histog.'!$BZ:$BZ,'Cronog. e Histog.'!DR:DR),"")</f>
        <v>0</v>
      </c>
      <c r="AX169" s="144">
        <f>IFERROR(_xlfn.XLOOKUP($B169,'Cronog. e Histog.'!$BZ:$BZ,'Cronog. e Histog.'!DS:DS),"")</f>
        <v>0</v>
      </c>
      <c r="AY169" s="144">
        <f>IFERROR(_xlfn.XLOOKUP($B169,'Cronog. e Histog.'!$BZ:$BZ,'Cronog. e Histog.'!DT:DT),"")</f>
        <v>0</v>
      </c>
      <c r="AZ169" s="144">
        <f>IFERROR(_xlfn.XLOOKUP($B169,'Cronog. e Histog.'!$BZ:$BZ,'Cronog. e Histog.'!DU:DU),"")</f>
        <v>0</v>
      </c>
      <c r="BA169" s="144">
        <f>IFERROR(_xlfn.XLOOKUP($B169,'Cronog. e Histog.'!$BZ:$BZ,'Cronog. e Histog.'!DV:DV),"")</f>
        <v>0</v>
      </c>
      <c r="BB169" s="144">
        <f>IFERROR(_xlfn.XLOOKUP($B169,'Cronog. e Histog.'!$BZ:$BZ,'Cronog. e Histog.'!DW:DW),"")</f>
        <v>0</v>
      </c>
      <c r="BC169" s="144">
        <f>IFERROR(_xlfn.XLOOKUP($B169,'Cronog. e Histog.'!$BZ:$BZ,'Cronog. e Histog.'!DX:DX),"")</f>
        <v>0</v>
      </c>
      <c r="BD169" s="144">
        <f>IFERROR(_xlfn.XLOOKUP($B169,'Cronog. e Histog.'!$BZ:$BZ,'Cronog. e Histog.'!DY:DY),"")</f>
        <v>0</v>
      </c>
      <c r="BE169" s="144">
        <f>IFERROR(_xlfn.XLOOKUP($B169,'Cronog. e Histog.'!$BZ:$BZ,'Cronog. e Histog.'!DZ:DZ),"")</f>
        <v>0</v>
      </c>
      <c r="BF169" s="144">
        <f>IFERROR(_xlfn.XLOOKUP($B169,'Cronog. e Histog.'!$BZ:$BZ,'Cronog. e Histog.'!EA:EA),"")</f>
        <v>0</v>
      </c>
      <c r="BG169" s="144">
        <f>IFERROR(_xlfn.XLOOKUP($B169,'Cronog. e Histog.'!$BZ:$BZ,'Cronog. e Histog.'!EB:EB),"")</f>
        <v>0</v>
      </c>
      <c r="BH169" s="144">
        <f>IFERROR(_xlfn.XLOOKUP($B169,'Cronog. e Histog.'!$BZ:$BZ,'Cronog. e Histog.'!EC:EC),"")</f>
        <v>0</v>
      </c>
      <c r="BI169" s="144">
        <f>IFERROR(_xlfn.XLOOKUP($B169,'Cronog. e Histog.'!$BZ:$BZ,'Cronog. e Histog.'!ED:ED),"")</f>
        <v>0</v>
      </c>
      <c r="BJ169" s="144">
        <f>IFERROR(_xlfn.XLOOKUP($B169,'Cronog. e Histog.'!$BZ:$BZ,'Cronog. e Histog.'!EE:EE),"")</f>
        <v>0</v>
      </c>
      <c r="BK169" s="144">
        <f>IFERROR(_xlfn.XLOOKUP($B169,'Cronog. e Histog.'!$BZ:$BZ,'Cronog. e Histog.'!EF:EF),"")</f>
        <v>0</v>
      </c>
      <c r="BL169" s="144">
        <f>IFERROR(_xlfn.XLOOKUP($B169,'Cronog. e Histog.'!$BZ:$BZ,'Cronog. e Histog.'!EG:EG),"")</f>
        <v>0</v>
      </c>
      <c r="BM169" s="144">
        <f>IFERROR(_xlfn.XLOOKUP($B169,'Cronog. e Histog.'!$BZ:$BZ,'Cronog. e Histog.'!EH:EH),"")</f>
        <v>0</v>
      </c>
      <c r="BN169" s="144">
        <f>IFERROR(_xlfn.XLOOKUP($B169,'Cronog. e Histog.'!$BZ:$BZ,'Cronog. e Histog.'!EI:EI),"")</f>
        <v>0</v>
      </c>
    </row>
    <row r="170" spans="2:66" ht="12" hidden="1" customHeight="1" outlineLevel="1">
      <c r="B170" s="76">
        <v>164</v>
      </c>
      <c r="C170" s="143" t="str">
        <f>IFERROR(VLOOKUP(B170,'Cronog. e Histog.'!$BZ$213:$CA$747,2,0),"")</f>
        <v>ENG/ARQ SR.</v>
      </c>
      <c r="D170" s="144">
        <f t="shared" si="4"/>
        <v>0</v>
      </c>
      <c r="E170" s="144">
        <f t="shared" si="5"/>
        <v>0</v>
      </c>
      <c r="F170" s="65"/>
      <c r="G170" s="144">
        <f>IFERROR(_xlfn.XLOOKUP($B170,'Cronog. e Histog.'!$BZ:$BZ,'Cronog. e Histog.'!CB:CB),"")</f>
        <v>0</v>
      </c>
      <c r="H170" s="144">
        <f>IFERROR(_xlfn.XLOOKUP($B170,'Cronog. e Histog.'!$BZ:$BZ,'Cronog. e Histog.'!CC:CC),"")</f>
        <v>0</v>
      </c>
      <c r="I170" s="144">
        <f>IFERROR(_xlfn.XLOOKUP($B170,'Cronog. e Histog.'!$BZ:$BZ,'Cronog. e Histog.'!CD:CD),"")</f>
        <v>0</v>
      </c>
      <c r="J170" s="144">
        <f>IFERROR(_xlfn.XLOOKUP($B170,'Cronog. e Histog.'!$BZ:$BZ,'Cronog. e Histog.'!CE:CE),"")</f>
        <v>0</v>
      </c>
      <c r="K170" s="144">
        <f>IFERROR(_xlfn.XLOOKUP($B170,'Cronog. e Histog.'!$BZ:$BZ,'Cronog. e Histog.'!CF:CF),"")</f>
        <v>0</v>
      </c>
      <c r="L170" s="144">
        <f>IFERROR(_xlfn.XLOOKUP($B170,'Cronog. e Histog.'!$BZ:$BZ,'Cronog. e Histog.'!CG:CG),"")</f>
        <v>0</v>
      </c>
      <c r="M170" s="144">
        <f>IFERROR(_xlfn.XLOOKUP($B170,'Cronog. e Histog.'!$BZ:$BZ,'Cronog. e Histog.'!CH:CH),"")</f>
        <v>0</v>
      </c>
      <c r="N170" s="144">
        <f>IFERROR(_xlfn.XLOOKUP($B170,'Cronog. e Histog.'!$BZ:$BZ,'Cronog. e Histog.'!CI:CI),"")</f>
        <v>0</v>
      </c>
      <c r="O170" s="144">
        <f>IFERROR(_xlfn.XLOOKUP($B170,'Cronog. e Histog.'!$BZ:$BZ,'Cronog. e Histog.'!CJ:CJ),"")</f>
        <v>0</v>
      </c>
      <c r="P170" s="144">
        <f>IFERROR(_xlfn.XLOOKUP($B170,'Cronog. e Histog.'!$BZ:$BZ,'Cronog. e Histog.'!CK:CK),"")</f>
        <v>0</v>
      </c>
      <c r="Q170" s="144">
        <f>IFERROR(_xlfn.XLOOKUP($B170,'Cronog. e Histog.'!$BZ:$BZ,'Cronog. e Histog.'!CL:CL),"")</f>
        <v>0</v>
      </c>
      <c r="R170" s="144">
        <f>IFERROR(_xlfn.XLOOKUP($B170,'Cronog. e Histog.'!$BZ:$BZ,'Cronog. e Histog.'!CM:CM),"")</f>
        <v>0</v>
      </c>
      <c r="S170" s="144">
        <f>IFERROR(_xlfn.XLOOKUP($B170,'Cronog. e Histog.'!$BZ:$BZ,'Cronog. e Histog.'!CN:CN),"")</f>
        <v>0</v>
      </c>
      <c r="T170" s="144">
        <f>IFERROR(_xlfn.XLOOKUP($B170,'Cronog. e Histog.'!$BZ:$BZ,'Cronog. e Histog.'!CO:CO),"")</f>
        <v>0</v>
      </c>
      <c r="U170" s="144">
        <f>IFERROR(_xlfn.XLOOKUP($B170,'Cronog. e Histog.'!$BZ:$BZ,'Cronog. e Histog.'!CP:CP),"")</f>
        <v>0</v>
      </c>
      <c r="V170" s="144">
        <f>IFERROR(_xlfn.XLOOKUP($B170,'Cronog. e Histog.'!$BZ:$BZ,'Cronog. e Histog.'!CQ:CQ),"")</f>
        <v>0</v>
      </c>
      <c r="W170" s="144">
        <f>IFERROR(_xlfn.XLOOKUP($B170,'Cronog. e Histog.'!$BZ:$BZ,'Cronog. e Histog.'!CR:CR),"")</f>
        <v>0</v>
      </c>
      <c r="X170" s="144">
        <f>IFERROR(_xlfn.XLOOKUP($B170,'Cronog. e Histog.'!$BZ:$BZ,'Cronog. e Histog.'!CS:CS),"")</f>
        <v>0</v>
      </c>
      <c r="Y170" s="144">
        <f>IFERROR(_xlfn.XLOOKUP($B170,'Cronog. e Histog.'!$BZ:$BZ,'Cronog. e Histog.'!CT:CT),"")</f>
        <v>0</v>
      </c>
      <c r="Z170" s="144">
        <f>IFERROR(_xlfn.XLOOKUP($B170,'Cronog. e Histog.'!$BZ:$BZ,'Cronog. e Histog.'!CU:CU),"")</f>
        <v>0</v>
      </c>
      <c r="AA170" s="144">
        <f>IFERROR(_xlfn.XLOOKUP($B170,'Cronog. e Histog.'!$BZ:$BZ,'Cronog. e Histog.'!CV:CV),"")</f>
        <v>0</v>
      </c>
      <c r="AB170" s="144">
        <f>IFERROR(_xlfn.XLOOKUP($B170,'Cronog. e Histog.'!$BZ:$BZ,'Cronog. e Histog.'!CW:CW),"")</f>
        <v>0</v>
      </c>
      <c r="AC170" s="144">
        <f>IFERROR(_xlfn.XLOOKUP($B170,'Cronog. e Histog.'!$BZ:$BZ,'Cronog. e Histog.'!CX:CX),"")</f>
        <v>0</v>
      </c>
      <c r="AD170" s="144">
        <f>IFERROR(_xlfn.XLOOKUP($B170,'Cronog. e Histog.'!$BZ:$BZ,'Cronog. e Histog.'!CY:CY),"")</f>
        <v>0</v>
      </c>
      <c r="AE170" s="144">
        <f>IFERROR(_xlfn.XLOOKUP($B170,'Cronog. e Histog.'!$BZ:$BZ,'Cronog. e Histog.'!CZ:CZ),"")</f>
        <v>0</v>
      </c>
      <c r="AF170" s="144">
        <f>IFERROR(_xlfn.XLOOKUP($B170,'Cronog. e Histog.'!$BZ:$BZ,'Cronog. e Histog.'!DA:DA),"")</f>
        <v>0</v>
      </c>
      <c r="AG170" s="144">
        <f>IFERROR(_xlfn.XLOOKUP($B170,'Cronog. e Histog.'!$BZ:$BZ,'Cronog. e Histog.'!DB:DB),"")</f>
        <v>0</v>
      </c>
      <c r="AH170" s="144">
        <f>IFERROR(_xlfn.XLOOKUP($B170,'Cronog. e Histog.'!$BZ:$BZ,'Cronog. e Histog.'!DC:DC),"")</f>
        <v>0</v>
      </c>
      <c r="AI170" s="144">
        <f>IFERROR(_xlfn.XLOOKUP($B170,'Cronog. e Histog.'!$BZ:$BZ,'Cronog. e Histog.'!DD:DD),"")</f>
        <v>0</v>
      </c>
      <c r="AJ170" s="144">
        <f>IFERROR(_xlfn.XLOOKUP($B170,'Cronog. e Histog.'!$BZ:$BZ,'Cronog. e Histog.'!DE:DE),"")</f>
        <v>0</v>
      </c>
      <c r="AK170" s="144">
        <f>IFERROR(_xlfn.XLOOKUP($B170,'Cronog. e Histog.'!$BZ:$BZ,'Cronog. e Histog.'!DF:DF),"")</f>
        <v>0</v>
      </c>
      <c r="AL170" s="144">
        <f>IFERROR(_xlfn.XLOOKUP($B170,'Cronog. e Histog.'!$BZ:$BZ,'Cronog. e Histog.'!DG:DG),"")</f>
        <v>0</v>
      </c>
      <c r="AM170" s="144">
        <f>IFERROR(_xlfn.XLOOKUP($B170,'Cronog. e Histog.'!$BZ:$BZ,'Cronog. e Histog.'!DH:DH),"")</f>
        <v>0</v>
      </c>
      <c r="AN170" s="144">
        <f>IFERROR(_xlfn.XLOOKUP($B170,'Cronog. e Histog.'!$BZ:$BZ,'Cronog. e Histog.'!DI:DI),"")</f>
        <v>0</v>
      </c>
      <c r="AO170" s="144">
        <f>IFERROR(_xlfn.XLOOKUP($B170,'Cronog. e Histog.'!$BZ:$BZ,'Cronog. e Histog.'!DJ:DJ),"")</f>
        <v>0</v>
      </c>
      <c r="AP170" s="144">
        <f>IFERROR(_xlfn.XLOOKUP($B170,'Cronog. e Histog.'!$BZ:$BZ,'Cronog. e Histog.'!DK:DK),"")</f>
        <v>0</v>
      </c>
      <c r="AQ170" s="144">
        <f>IFERROR(_xlfn.XLOOKUP($B170,'Cronog. e Histog.'!$BZ:$BZ,'Cronog. e Histog.'!DL:DL),"")</f>
        <v>0</v>
      </c>
      <c r="AR170" s="144">
        <f>IFERROR(_xlfn.XLOOKUP($B170,'Cronog. e Histog.'!$BZ:$BZ,'Cronog. e Histog.'!DM:DM),"")</f>
        <v>0</v>
      </c>
      <c r="AS170" s="144">
        <f>IFERROR(_xlfn.XLOOKUP($B170,'Cronog. e Histog.'!$BZ:$BZ,'Cronog. e Histog.'!DN:DN),"")</f>
        <v>0</v>
      </c>
      <c r="AT170" s="144">
        <f>IFERROR(_xlfn.XLOOKUP($B170,'Cronog. e Histog.'!$BZ:$BZ,'Cronog. e Histog.'!DO:DO),"")</f>
        <v>0</v>
      </c>
      <c r="AU170" s="144">
        <f>IFERROR(_xlfn.XLOOKUP($B170,'Cronog. e Histog.'!$BZ:$BZ,'Cronog. e Histog.'!DP:DP),"")</f>
        <v>0</v>
      </c>
      <c r="AV170" s="144">
        <f>IFERROR(_xlfn.XLOOKUP($B170,'Cronog. e Histog.'!$BZ:$BZ,'Cronog. e Histog.'!DQ:DQ),"")</f>
        <v>0</v>
      </c>
      <c r="AW170" s="144">
        <f>IFERROR(_xlfn.XLOOKUP($B170,'Cronog. e Histog.'!$BZ:$BZ,'Cronog. e Histog.'!DR:DR),"")</f>
        <v>0</v>
      </c>
      <c r="AX170" s="144">
        <f>IFERROR(_xlfn.XLOOKUP($B170,'Cronog. e Histog.'!$BZ:$BZ,'Cronog. e Histog.'!DS:DS),"")</f>
        <v>0</v>
      </c>
      <c r="AY170" s="144">
        <f>IFERROR(_xlfn.XLOOKUP($B170,'Cronog. e Histog.'!$BZ:$BZ,'Cronog. e Histog.'!DT:DT),"")</f>
        <v>0</v>
      </c>
      <c r="AZ170" s="144">
        <f>IFERROR(_xlfn.XLOOKUP($B170,'Cronog. e Histog.'!$BZ:$BZ,'Cronog. e Histog.'!DU:DU),"")</f>
        <v>0</v>
      </c>
      <c r="BA170" s="144">
        <f>IFERROR(_xlfn.XLOOKUP($B170,'Cronog. e Histog.'!$BZ:$BZ,'Cronog. e Histog.'!DV:DV),"")</f>
        <v>0</v>
      </c>
      <c r="BB170" s="144">
        <f>IFERROR(_xlfn.XLOOKUP($B170,'Cronog. e Histog.'!$BZ:$BZ,'Cronog. e Histog.'!DW:DW),"")</f>
        <v>0</v>
      </c>
      <c r="BC170" s="144">
        <f>IFERROR(_xlfn.XLOOKUP($B170,'Cronog. e Histog.'!$BZ:$BZ,'Cronog. e Histog.'!DX:DX),"")</f>
        <v>0</v>
      </c>
      <c r="BD170" s="144">
        <f>IFERROR(_xlfn.XLOOKUP($B170,'Cronog. e Histog.'!$BZ:$BZ,'Cronog. e Histog.'!DY:DY),"")</f>
        <v>0</v>
      </c>
      <c r="BE170" s="144">
        <f>IFERROR(_xlfn.XLOOKUP($B170,'Cronog. e Histog.'!$BZ:$BZ,'Cronog. e Histog.'!DZ:DZ),"")</f>
        <v>0</v>
      </c>
      <c r="BF170" s="144">
        <f>IFERROR(_xlfn.XLOOKUP($B170,'Cronog. e Histog.'!$BZ:$BZ,'Cronog. e Histog.'!EA:EA),"")</f>
        <v>0</v>
      </c>
      <c r="BG170" s="144">
        <f>IFERROR(_xlfn.XLOOKUP($B170,'Cronog. e Histog.'!$BZ:$BZ,'Cronog. e Histog.'!EB:EB),"")</f>
        <v>0</v>
      </c>
      <c r="BH170" s="144">
        <f>IFERROR(_xlfn.XLOOKUP($B170,'Cronog. e Histog.'!$BZ:$BZ,'Cronog. e Histog.'!EC:EC),"")</f>
        <v>0</v>
      </c>
      <c r="BI170" s="144">
        <f>IFERROR(_xlfn.XLOOKUP($B170,'Cronog. e Histog.'!$BZ:$BZ,'Cronog. e Histog.'!ED:ED),"")</f>
        <v>0</v>
      </c>
      <c r="BJ170" s="144">
        <f>IFERROR(_xlfn.XLOOKUP($B170,'Cronog. e Histog.'!$BZ:$BZ,'Cronog. e Histog.'!EE:EE),"")</f>
        <v>0</v>
      </c>
      <c r="BK170" s="144">
        <f>IFERROR(_xlfn.XLOOKUP($B170,'Cronog. e Histog.'!$BZ:$BZ,'Cronog. e Histog.'!EF:EF),"")</f>
        <v>0</v>
      </c>
      <c r="BL170" s="144">
        <f>IFERROR(_xlfn.XLOOKUP($B170,'Cronog. e Histog.'!$BZ:$BZ,'Cronog. e Histog.'!EG:EG),"")</f>
        <v>0</v>
      </c>
      <c r="BM170" s="144">
        <f>IFERROR(_xlfn.XLOOKUP($B170,'Cronog. e Histog.'!$BZ:$BZ,'Cronog. e Histog.'!EH:EH),"")</f>
        <v>0</v>
      </c>
      <c r="BN170" s="144">
        <f>IFERROR(_xlfn.XLOOKUP($B170,'Cronog. e Histog.'!$BZ:$BZ,'Cronog. e Histog.'!EI:EI),"")</f>
        <v>0</v>
      </c>
    </row>
    <row r="171" spans="2:66" ht="12" hidden="1" customHeight="1" outlineLevel="1">
      <c r="B171" s="76">
        <v>165</v>
      </c>
      <c r="C171" s="143" t="str">
        <f>IFERROR(VLOOKUP(B171,'Cronog. e Histog.'!$BZ$213:$CA$747,2,0),"")</f>
        <v>ENG/ARQ PL.</v>
      </c>
      <c r="D171" s="144">
        <f t="shared" si="4"/>
        <v>0</v>
      </c>
      <c r="E171" s="144">
        <f t="shared" si="5"/>
        <v>0</v>
      </c>
      <c r="F171" s="65"/>
      <c r="G171" s="144">
        <f>IFERROR(_xlfn.XLOOKUP($B171,'Cronog. e Histog.'!$BZ:$BZ,'Cronog. e Histog.'!CB:CB),"")</f>
        <v>0</v>
      </c>
      <c r="H171" s="144">
        <f>IFERROR(_xlfn.XLOOKUP($B171,'Cronog. e Histog.'!$BZ:$BZ,'Cronog. e Histog.'!CC:CC),"")</f>
        <v>0</v>
      </c>
      <c r="I171" s="144">
        <f>IFERROR(_xlfn.XLOOKUP($B171,'Cronog. e Histog.'!$BZ:$BZ,'Cronog. e Histog.'!CD:CD),"")</f>
        <v>0</v>
      </c>
      <c r="J171" s="144">
        <f>IFERROR(_xlfn.XLOOKUP($B171,'Cronog. e Histog.'!$BZ:$BZ,'Cronog. e Histog.'!CE:CE),"")</f>
        <v>0</v>
      </c>
      <c r="K171" s="144">
        <f>IFERROR(_xlfn.XLOOKUP($B171,'Cronog. e Histog.'!$BZ:$BZ,'Cronog. e Histog.'!CF:CF),"")</f>
        <v>0</v>
      </c>
      <c r="L171" s="144">
        <f>IFERROR(_xlfn.XLOOKUP($B171,'Cronog. e Histog.'!$BZ:$BZ,'Cronog. e Histog.'!CG:CG),"")</f>
        <v>0</v>
      </c>
      <c r="M171" s="144">
        <f>IFERROR(_xlfn.XLOOKUP($B171,'Cronog. e Histog.'!$BZ:$BZ,'Cronog. e Histog.'!CH:CH),"")</f>
        <v>0</v>
      </c>
      <c r="N171" s="144">
        <f>IFERROR(_xlfn.XLOOKUP($B171,'Cronog. e Histog.'!$BZ:$BZ,'Cronog. e Histog.'!CI:CI),"")</f>
        <v>0</v>
      </c>
      <c r="O171" s="144">
        <f>IFERROR(_xlfn.XLOOKUP($B171,'Cronog. e Histog.'!$BZ:$BZ,'Cronog. e Histog.'!CJ:CJ),"")</f>
        <v>0</v>
      </c>
      <c r="P171" s="144">
        <f>IFERROR(_xlfn.XLOOKUP($B171,'Cronog. e Histog.'!$BZ:$BZ,'Cronog. e Histog.'!CK:CK),"")</f>
        <v>0</v>
      </c>
      <c r="Q171" s="144">
        <f>IFERROR(_xlfn.XLOOKUP($B171,'Cronog. e Histog.'!$BZ:$BZ,'Cronog. e Histog.'!CL:CL),"")</f>
        <v>0</v>
      </c>
      <c r="R171" s="144">
        <f>IFERROR(_xlfn.XLOOKUP($B171,'Cronog. e Histog.'!$BZ:$BZ,'Cronog. e Histog.'!CM:CM),"")</f>
        <v>0</v>
      </c>
      <c r="S171" s="144">
        <f>IFERROR(_xlfn.XLOOKUP($B171,'Cronog. e Histog.'!$BZ:$BZ,'Cronog. e Histog.'!CN:CN),"")</f>
        <v>0</v>
      </c>
      <c r="T171" s="144">
        <f>IFERROR(_xlfn.XLOOKUP($B171,'Cronog. e Histog.'!$BZ:$BZ,'Cronog. e Histog.'!CO:CO),"")</f>
        <v>0</v>
      </c>
      <c r="U171" s="144">
        <f>IFERROR(_xlfn.XLOOKUP($B171,'Cronog. e Histog.'!$BZ:$BZ,'Cronog. e Histog.'!CP:CP),"")</f>
        <v>0</v>
      </c>
      <c r="V171" s="144">
        <f>IFERROR(_xlfn.XLOOKUP($B171,'Cronog. e Histog.'!$BZ:$BZ,'Cronog. e Histog.'!CQ:CQ),"")</f>
        <v>0</v>
      </c>
      <c r="W171" s="144">
        <f>IFERROR(_xlfn.XLOOKUP($B171,'Cronog. e Histog.'!$BZ:$BZ,'Cronog. e Histog.'!CR:CR),"")</f>
        <v>0</v>
      </c>
      <c r="X171" s="144">
        <f>IFERROR(_xlfn.XLOOKUP($B171,'Cronog. e Histog.'!$BZ:$BZ,'Cronog. e Histog.'!CS:CS),"")</f>
        <v>0</v>
      </c>
      <c r="Y171" s="144">
        <f>IFERROR(_xlfn.XLOOKUP($B171,'Cronog. e Histog.'!$BZ:$BZ,'Cronog. e Histog.'!CT:CT),"")</f>
        <v>0</v>
      </c>
      <c r="Z171" s="144">
        <f>IFERROR(_xlfn.XLOOKUP($B171,'Cronog. e Histog.'!$BZ:$BZ,'Cronog. e Histog.'!CU:CU),"")</f>
        <v>0</v>
      </c>
      <c r="AA171" s="144">
        <f>IFERROR(_xlfn.XLOOKUP($B171,'Cronog. e Histog.'!$BZ:$BZ,'Cronog. e Histog.'!CV:CV),"")</f>
        <v>0</v>
      </c>
      <c r="AB171" s="144">
        <f>IFERROR(_xlfn.XLOOKUP($B171,'Cronog. e Histog.'!$BZ:$BZ,'Cronog. e Histog.'!CW:CW),"")</f>
        <v>0</v>
      </c>
      <c r="AC171" s="144">
        <f>IFERROR(_xlfn.XLOOKUP($B171,'Cronog. e Histog.'!$BZ:$BZ,'Cronog. e Histog.'!CX:CX),"")</f>
        <v>0</v>
      </c>
      <c r="AD171" s="144">
        <f>IFERROR(_xlfn.XLOOKUP($B171,'Cronog. e Histog.'!$BZ:$BZ,'Cronog. e Histog.'!CY:CY),"")</f>
        <v>0</v>
      </c>
      <c r="AE171" s="144">
        <f>IFERROR(_xlfn.XLOOKUP($B171,'Cronog. e Histog.'!$BZ:$BZ,'Cronog. e Histog.'!CZ:CZ),"")</f>
        <v>0</v>
      </c>
      <c r="AF171" s="144">
        <f>IFERROR(_xlfn.XLOOKUP($B171,'Cronog. e Histog.'!$BZ:$BZ,'Cronog. e Histog.'!DA:DA),"")</f>
        <v>0</v>
      </c>
      <c r="AG171" s="144">
        <f>IFERROR(_xlfn.XLOOKUP($B171,'Cronog. e Histog.'!$BZ:$BZ,'Cronog. e Histog.'!DB:DB),"")</f>
        <v>0</v>
      </c>
      <c r="AH171" s="144">
        <f>IFERROR(_xlfn.XLOOKUP($B171,'Cronog. e Histog.'!$BZ:$BZ,'Cronog. e Histog.'!DC:DC),"")</f>
        <v>0</v>
      </c>
      <c r="AI171" s="144">
        <f>IFERROR(_xlfn.XLOOKUP($B171,'Cronog. e Histog.'!$BZ:$BZ,'Cronog. e Histog.'!DD:DD),"")</f>
        <v>0</v>
      </c>
      <c r="AJ171" s="144">
        <f>IFERROR(_xlfn.XLOOKUP($B171,'Cronog. e Histog.'!$BZ:$BZ,'Cronog. e Histog.'!DE:DE),"")</f>
        <v>0</v>
      </c>
      <c r="AK171" s="144">
        <f>IFERROR(_xlfn.XLOOKUP($B171,'Cronog. e Histog.'!$BZ:$BZ,'Cronog. e Histog.'!DF:DF),"")</f>
        <v>0</v>
      </c>
      <c r="AL171" s="144">
        <f>IFERROR(_xlfn.XLOOKUP($B171,'Cronog. e Histog.'!$BZ:$BZ,'Cronog. e Histog.'!DG:DG),"")</f>
        <v>0</v>
      </c>
      <c r="AM171" s="144">
        <f>IFERROR(_xlfn.XLOOKUP($B171,'Cronog. e Histog.'!$BZ:$BZ,'Cronog. e Histog.'!DH:DH),"")</f>
        <v>0</v>
      </c>
      <c r="AN171" s="144">
        <f>IFERROR(_xlfn.XLOOKUP($B171,'Cronog. e Histog.'!$BZ:$BZ,'Cronog. e Histog.'!DI:DI),"")</f>
        <v>0</v>
      </c>
      <c r="AO171" s="144">
        <f>IFERROR(_xlfn.XLOOKUP($B171,'Cronog. e Histog.'!$BZ:$BZ,'Cronog. e Histog.'!DJ:DJ),"")</f>
        <v>0</v>
      </c>
      <c r="AP171" s="144">
        <f>IFERROR(_xlfn.XLOOKUP($B171,'Cronog. e Histog.'!$BZ:$BZ,'Cronog. e Histog.'!DK:DK),"")</f>
        <v>0</v>
      </c>
      <c r="AQ171" s="144">
        <f>IFERROR(_xlfn.XLOOKUP($B171,'Cronog. e Histog.'!$BZ:$BZ,'Cronog. e Histog.'!DL:DL),"")</f>
        <v>0</v>
      </c>
      <c r="AR171" s="144">
        <f>IFERROR(_xlfn.XLOOKUP($B171,'Cronog. e Histog.'!$BZ:$BZ,'Cronog. e Histog.'!DM:DM),"")</f>
        <v>0</v>
      </c>
      <c r="AS171" s="144">
        <f>IFERROR(_xlfn.XLOOKUP($B171,'Cronog. e Histog.'!$BZ:$BZ,'Cronog. e Histog.'!DN:DN),"")</f>
        <v>0</v>
      </c>
      <c r="AT171" s="144">
        <f>IFERROR(_xlfn.XLOOKUP($B171,'Cronog. e Histog.'!$BZ:$BZ,'Cronog. e Histog.'!DO:DO),"")</f>
        <v>0</v>
      </c>
      <c r="AU171" s="144">
        <f>IFERROR(_xlfn.XLOOKUP($B171,'Cronog. e Histog.'!$BZ:$BZ,'Cronog. e Histog.'!DP:DP),"")</f>
        <v>0</v>
      </c>
      <c r="AV171" s="144">
        <f>IFERROR(_xlfn.XLOOKUP($B171,'Cronog. e Histog.'!$BZ:$BZ,'Cronog. e Histog.'!DQ:DQ),"")</f>
        <v>0</v>
      </c>
      <c r="AW171" s="144">
        <f>IFERROR(_xlfn.XLOOKUP($B171,'Cronog. e Histog.'!$BZ:$BZ,'Cronog. e Histog.'!DR:DR),"")</f>
        <v>0</v>
      </c>
      <c r="AX171" s="144">
        <f>IFERROR(_xlfn.XLOOKUP($B171,'Cronog. e Histog.'!$BZ:$BZ,'Cronog. e Histog.'!DS:DS),"")</f>
        <v>0</v>
      </c>
      <c r="AY171" s="144">
        <f>IFERROR(_xlfn.XLOOKUP($B171,'Cronog. e Histog.'!$BZ:$BZ,'Cronog. e Histog.'!DT:DT),"")</f>
        <v>0</v>
      </c>
      <c r="AZ171" s="144">
        <f>IFERROR(_xlfn.XLOOKUP($B171,'Cronog. e Histog.'!$BZ:$BZ,'Cronog. e Histog.'!DU:DU),"")</f>
        <v>0</v>
      </c>
      <c r="BA171" s="144">
        <f>IFERROR(_xlfn.XLOOKUP($B171,'Cronog. e Histog.'!$BZ:$BZ,'Cronog. e Histog.'!DV:DV),"")</f>
        <v>0</v>
      </c>
      <c r="BB171" s="144">
        <f>IFERROR(_xlfn.XLOOKUP($B171,'Cronog. e Histog.'!$BZ:$BZ,'Cronog. e Histog.'!DW:DW),"")</f>
        <v>0</v>
      </c>
      <c r="BC171" s="144">
        <f>IFERROR(_xlfn.XLOOKUP($B171,'Cronog. e Histog.'!$BZ:$BZ,'Cronog. e Histog.'!DX:DX),"")</f>
        <v>0</v>
      </c>
      <c r="BD171" s="144">
        <f>IFERROR(_xlfn.XLOOKUP($B171,'Cronog. e Histog.'!$BZ:$BZ,'Cronog. e Histog.'!DY:DY),"")</f>
        <v>0</v>
      </c>
      <c r="BE171" s="144">
        <f>IFERROR(_xlfn.XLOOKUP($B171,'Cronog. e Histog.'!$BZ:$BZ,'Cronog. e Histog.'!DZ:DZ),"")</f>
        <v>0</v>
      </c>
      <c r="BF171" s="144">
        <f>IFERROR(_xlfn.XLOOKUP($B171,'Cronog. e Histog.'!$BZ:$BZ,'Cronog. e Histog.'!EA:EA),"")</f>
        <v>0</v>
      </c>
      <c r="BG171" s="144">
        <f>IFERROR(_xlfn.XLOOKUP($B171,'Cronog. e Histog.'!$BZ:$BZ,'Cronog. e Histog.'!EB:EB),"")</f>
        <v>0</v>
      </c>
      <c r="BH171" s="144">
        <f>IFERROR(_xlfn.XLOOKUP($B171,'Cronog. e Histog.'!$BZ:$BZ,'Cronog. e Histog.'!EC:EC),"")</f>
        <v>0</v>
      </c>
      <c r="BI171" s="144">
        <f>IFERROR(_xlfn.XLOOKUP($B171,'Cronog. e Histog.'!$BZ:$BZ,'Cronog. e Histog.'!ED:ED),"")</f>
        <v>0</v>
      </c>
      <c r="BJ171" s="144">
        <f>IFERROR(_xlfn.XLOOKUP($B171,'Cronog. e Histog.'!$BZ:$BZ,'Cronog. e Histog.'!EE:EE),"")</f>
        <v>0</v>
      </c>
      <c r="BK171" s="144">
        <f>IFERROR(_xlfn.XLOOKUP($B171,'Cronog. e Histog.'!$BZ:$BZ,'Cronog. e Histog.'!EF:EF),"")</f>
        <v>0</v>
      </c>
      <c r="BL171" s="144">
        <f>IFERROR(_xlfn.XLOOKUP($B171,'Cronog. e Histog.'!$BZ:$BZ,'Cronog. e Histog.'!EG:EG),"")</f>
        <v>0</v>
      </c>
      <c r="BM171" s="144">
        <f>IFERROR(_xlfn.XLOOKUP($B171,'Cronog. e Histog.'!$BZ:$BZ,'Cronog. e Histog.'!EH:EH),"")</f>
        <v>0</v>
      </c>
      <c r="BN171" s="144">
        <f>IFERROR(_xlfn.XLOOKUP($B171,'Cronog. e Histog.'!$BZ:$BZ,'Cronog. e Histog.'!EI:EI),"")</f>
        <v>0</v>
      </c>
    </row>
    <row r="172" spans="2:66" ht="12" hidden="1" customHeight="1" outlineLevel="1">
      <c r="B172" s="76">
        <v>166</v>
      </c>
      <c r="C172" s="143" t="str">
        <f>IFERROR(VLOOKUP(B172,'Cronog. e Histog.'!$BZ$213:$CA$747,2,0),"")</f>
        <v>ENG/ARQ JR.</v>
      </c>
      <c r="D172" s="144">
        <f t="shared" si="4"/>
        <v>0</v>
      </c>
      <c r="E172" s="144">
        <f t="shared" si="5"/>
        <v>0</v>
      </c>
      <c r="F172" s="65"/>
      <c r="G172" s="144">
        <f>IFERROR(_xlfn.XLOOKUP($B172,'Cronog. e Histog.'!$BZ:$BZ,'Cronog. e Histog.'!CB:CB),"")</f>
        <v>0</v>
      </c>
      <c r="H172" s="144">
        <f>IFERROR(_xlfn.XLOOKUP($B172,'Cronog. e Histog.'!$BZ:$BZ,'Cronog. e Histog.'!CC:CC),"")</f>
        <v>0</v>
      </c>
      <c r="I172" s="144">
        <f>IFERROR(_xlfn.XLOOKUP($B172,'Cronog. e Histog.'!$BZ:$BZ,'Cronog. e Histog.'!CD:CD),"")</f>
        <v>0</v>
      </c>
      <c r="J172" s="144">
        <f>IFERROR(_xlfn.XLOOKUP($B172,'Cronog. e Histog.'!$BZ:$BZ,'Cronog. e Histog.'!CE:CE),"")</f>
        <v>0</v>
      </c>
      <c r="K172" s="144">
        <f>IFERROR(_xlfn.XLOOKUP($B172,'Cronog. e Histog.'!$BZ:$BZ,'Cronog. e Histog.'!CF:CF),"")</f>
        <v>0</v>
      </c>
      <c r="L172" s="144">
        <f>IFERROR(_xlfn.XLOOKUP($B172,'Cronog. e Histog.'!$BZ:$BZ,'Cronog. e Histog.'!CG:CG),"")</f>
        <v>0</v>
      </c>
      <c r="M172" s="144">
        <f>IFERROR(_xlfn.XLOOKUP($B172,'Cronog. e Histog.'!$BZ:$BZ,'Cronog. e Histog.'!CH:CH),"")</f>
        <v>0</v>
      </c>
      <c r="N172" s="144">
        <f>IFERROR(_xlfn.XLOOKUP($B172,'Cronog. e Histog.'!$BZ:$BZ,'Cronog. e Histog.'!CI:CI),"")</f>
        <v>0</v>
      </c>
      <c r="O172" s="144">
        <f>IFERROR(_xlfn.XLOOKUP($B172,'Cronog. e Histog.'!$BZ:$BZ,'Cronog. e Histog.'!CJ:CJ),"")</f>
        <v>0</v>
      </c>
      <c r="P172" s="144">
        <f>IFERROR(_xlfn.XLOOKUP($B172,'Cronog. e Histog.'!$BZ:$BZ,'Cronog. e Histog.'!CK:CK),"")</f>
        <v>0</v>
      </c>
      <c r="Q172" s="144">
        <f>IFERROR(_xlfn.XLOOKUP($B172,'Cronog. e Histog.'!$BZ:$BZ,'Cronog. e Histog.'!CL:CL),"")</f>
        <v>0</v>
      </c>
      <c r="R172" s="144">
        <f>IFERROR(_xlfn.XLOOKUP($B172,'Cronog. e Histog.'!$BZ:$BZ,'Cronog. e Histog.'!CM:CM),"")</f>
        <v>0</v>
      </c>
      <c r="S172" s="144">
        <f>IFERROR(_xlfn.XLOOKUP($B172,'Cronog. e Histog.'!$BZ:$BZ,'Cronog. e Histog.'!CN:CN),"")</f>
        <v>0</v>
      </c>
      <c r="T172" s="144">
        <f>IFERROR(_xlfn.XLOOKUP($B172,'Cronog. e Histog.'!$BZ:$BZ,'Cronog. e Histog.'!CO:CO),"")</f>
        <v>0</v>
      </c>
      <c r="U172" s="144">
        <f>IFERROR(_xlfn.XLOOKUP($B172,'Cronog. e Histog.'!$BZ:$BZ,'Cronog. e Histog.'!CP:CP),"")</f>
        <v>0</v>
      </c>
      <c r="V172" s="144">
        <f>IFERROR(_xlfn.XLOOKUP($B172,'Cronog. e Histog.'!$BZ:$BZ,'Cronog. e Histog.'!CQ:CQ),"")</f>
        <v>0</v>
      </c>
      <c r="W172" s="144">
        <f>IFERROR(_xlfn.XLOOKUP($B172,'Cronog. e Histog.'!$BZ:$BZ,'Cronog. e Histog.'!CR:CR),"")</f>
        <v>0</v>
      </c>
      <c r="X172" s="144">
        <f>IFERROR(_xlfn.XLOOKUP($B172,'Cronog. e Histog.'!$BZ:$BZ,'Cronog. e Histog.'!CS:CS),"")</f>
        <v>0</v>
      </c>
      <c r="Y172" s="144">
        <f>IFERROR(_xlfn.XLOOKUP($B172,'Cronog. e Histog.'!$BZ:$BZ,'Cronog. e Histog.'!CT:CT),"")</f>
        <v>0</v>
      </c>
      <c r="Z172" s="144">
        <f>IFERROR(_xlfn.XLOOKUP($B172,'Cronog. e Histog.'!$BZ:$BZ,'Cronog. e Histog.'!CU:CU),"")</f>
        <v>0</v>
      </c>
      <c r="AA172" s="144">
        <f>IFERROR(_xlfn.XLOOKUP($B172,'Cronog. e Histog.'!$BZ:$BZ,'Cronog. e Histog.'!CV:CV),"")</f>
        <v>0</v>
      </c>
      <c r="AB172" s="144">
        <f>IFERROR(_xlfn.XLOOKUP($B172,'Cronog. e Histog.'!$BZ:$BZ,'Cronog. e Histog.'!CW:CW),"")</f>
        <v>0</v>
      </c>
      <c r="AC172" s="144">
        <f>IFERROR(_xlfn.XLOOKUP($B172,'Cronog. e Histog.'!$BZ:$BZ,'Cronog. e Histog.'!CX:CX),"")</f>
        <v>0</v>
      </c>
      <c r="AD172" s="144">
        <f>IFERROR(_xlfn.XLOOKUP($B172,'Cronog. e Histog.'!$BZ:$BZ,'Cronog. e Histog.'!CY:CY),"")</f>
        <v>0</v>
      </c>
      <c r="AE172" s="144">
        <f>IFERROR(_xlfn.XLOOKUP($B172,'Cronog. e Histog.'!$BZ:$BZ,'Cronog. e Histog.'!CZ:CZ),"")</f>
        <v>0</v>
      </c>
      <c r="AF172" s="144">
        <f>IFERROR(_xlfn.XLOOKUP($B172,'Cronog. e Histog.'!$BZ:$BZ,'Cronog. e Histog.'!DA:DA),"")</f>
        <v>0</v>
      </c>
      <c r="AG172" s="144">
        <f>IFERROR(_xlfn.XLOOKUP($B172,'Cronog. e Histog.'!$BZ:$BZ,'Cronog. e Histog.'!DB:DB),"")</f>
        <v>0</v>
      </c>
      <c r="AH172" s="144">
        <f>IFERROR(_xlfn.XLOOKUP($B172,'Cronog. e Histog.'!$BZ:$BZ,'Cronog. e Histog.'!DC:DC),"")</f>
        <v>0</v>
      </c>
      <c r="AI172" s="144">
        <f>IFERROR(_xlfn.XLOOKUP($B172,'Cronog. e Histog.'!$BZ:$BZ,'Cronog. e Histog.'!DD:DD),"")</f>
        <v>0</v>
      </c>
      <c r="AJ172" s="144">
        <f>IFERROR(_xlfn.XLOOKUP($B172,'Cronog. e Histog.'!$BZ:$BZ,'Cronog. e Histog.'!DE:DE),"")</f>
        <v>0</v>
      </c>
      <c r="AK172" s="144">
        <f>IFERROR(_xlfn.XLOOKUP($B172,'Cronog. e Histog.'!$BZ:$BZ,'Cronog. e Histog.'!DF:DF),"")</f>
        <v>0</v>
      </c>
      <c r="AL172" s="144">
        <f>IFERROR(_xlfn.XLOOKUP($B172,'Cronog. e Histog.'!$BZ:$BZ,'Cronog. e Histog.'!DG:DG),"")</f>
        <v>0</v>
      </c>
      <c r="AM172" s="144">
        <f>IFERROR(_xlfn.XLOOKUP($B172,'Cronog. e Histog.'!$BZ:$BZ,'Cronog. e Histog.'!DH:DH),"")</f>
        <v>0</v>
      </c>
      <c r="AN172" s="144">
        <f>IFERROR(_xlfn.XLOOKUP($B172,'Cronog. e Histog.'!$BZ:$BZ,'Cronog. e Histog.'!DI:DI),"")</f>
        <v>0</v>
      </c>
      <c r="AO172" s="144">
        <f>IFERROR(_xlfn.XLOOKUP($B172,'Cronog. e Histog.'!$BZ:$BZ,'Cronog. e Histog.'!DJ:DJ),"")</f>
        <v>0</v>
      </c>
      <c r="AP172" s="144">
        <f>IFERROR(_xlfn.XLOOKUP($B172,'Cronog. e Histog.'!$BZ:$BZ,'Cronog. e Histog.'!DK:DK),"")</f>
        <v>0</v>
      </c>
      <c r="AQ172" s="144">
        <f>IFERROR(_xlfn.XLOOKUP($B172,'Cronog. e Histog.'!$BZ:$BZ,'Cronog. e Histog.'!DL:DL),"")</f>
        <v>0</v>
      </c>
      <c r="AR172" s="144">
        <f>IFERROR(_xlfn.XLOOKUP($B172,'Cronog. e Histog.'!$BZ:$BZ,'Cronog. e Histog.'!DM:DM),"")</f>
        <v>0</v>
      </c>
      <c r="AS172" s="144">
        <f>IFERROR(_xlfn.XLOOKUP($B172,'Cronog. e Histog.'!$BZ:$BZ,'Cronog. e Histog.'!DN:DN),"")</f>
        <v>0</v>
      </c>
      <c r="AT172" s="144">
        <f>IFERROR(_xlfn.XLOOKUP($B172,'Cronog. e Histog.'!$BZ:$BZ,'Cronog. e Histog.'!DO:DO),"")</f>
        <v>0</v>
      </c>
      <c r="AU172" s="144">
        <f>IFERROR(_xlfn.XLOOKUP($B172,'Cronog. e Histog.'!$BZ:$BZ,'Cronog. e Histog.'!DP:DP),"")</f>
        <v>0</v>
      </c>
      <c r="AV172" s="144">
        <f>IFERROR(_xlfn.XLOOKUP($B172,'Cronog. e Histog.'!$BZ:$BZ,'Cronog. e Histog.'!DQ:DQ),"")</f>
        <v>0</v>
      </c>
      <c r="AW172" s="144">
        <f>IFERROR(_xlfn.XLOOKUP($B172,'Cronog. e Histog.'!$BZ:$BZ,'Cronog. e Histog.'!DR:DR),"")</f>
        <v>0</v>
      </c>
      <c r="AX172" s="144">
        <f>IFERROR(_xlfn.XLOOKUP($B172,'Cronog. e Histog.'!$BZ:$BZ,'Cronog. e Histog.'!DS:DS),"")</f>
        <v>0</v>
      </c>
      <c r="AY172" s="144">
        <f>IFERROR(_xlfn.XLOOKUP($B172,'Cronog. e Histog.'!$BZ:$BZ,'Cronog. e Histog.'!DT:DT),"")</f>
        <v>0</v>
      </c>
      <c r="AZ172" s="144">
        <f>IFERROR(_xlfn.XLOOKUP($B172,'Cronog. e Histog.'!$BZ:$BZ,'Cronog. e Histog.'!DU:DU),"")</f>
        <v>0</v>
      </c>
      <c r="BA172" s="144">
        <f>IFERROR(_xlfn.XLOOKUP($B172,'Cronog. e Histog.'!$BZ:$BZ,'Cronog. e Histog.'!DV:DV),"")</f>
        <v>0</v>
      </c>
      <c r="BB172" s="144">
        <f>IFERROR(_xlfn.XLOOKUP($B172,'Cronog. e Histog.'!$BZ:$BZ,'Cronog. e Histog.'!DW:DW),"")</f>
        <v>0</v>
      </c>
      <c r="BC172" s="144">
        <f>IFERROR(_xlfn.XLOOKUP($B172,'Cronog. e Histog.'!$BZ:$BZ,'Cronog. e Histog.'!DX:DX),"")</f>
        <v>0</v>
      </c>
      <c r="BD172" s="144">
        <f>IFERROR(_xlfn.XLOOKUP($B172,'Cronog. e Histog.'!$BZ:$BZ,'Cronog. e Histog.'!DY:DY),"")</f>
        <v>0</v>
      </c>
      <c r="BE172" s="144">
        <f>IFERROR(_xlfn.XLOOKUP($B172,'Cronog. e Histog.'!$BZ:$BZ,'Cronog. e Histog.'!DZ:DZ),"")</f>
        <v>0</v>
      </c>
      <c r="BF172" s="144">
        <f>IFERROR(_xlfn.XLOOKUP($B172,'Cronog. e Histog.'!$BZ:$BZ,'Cronog. e Histog.'!EA:EA),"")</f>
        <v>0</v>
      </c>
      <c r="BG172" s="144">
        <f>IFERROR(_xlfn.XLOOKUP($B172,'Cronog. e Histog.'!$BZ:$BZ,'Cronog. e Histog.'!EB:EB),"")</f>
        <v>0</v>
      </c>
      <c r="BH172" s="144">
        <f>IFERROR(_xlfn.XLOOKUP($B172,'Cronog. e Histog.'!$BZ:$BZ,'Cronog. e Histog.'!EC:EC),"")</f>
        <v>0</v>
      </c>
      <c r="BI172" s="144">
        <f>IFERROR(_xlfn.XLOOKUP($B172,'Cronog. e Histog.'!$BZ:$BZ,'Cronog. e Histog.'!ED:ED),"")</f>
        <v>0</v>
      </c>
      <c r="BJ172" s="144">
        <f>IFERROR(_xlfn.XLOOKUP($B172,'Cronog. e Histog.'!$BZ:$BZ,'Cronog. e Histog.'!EE:EE),"")</f>
        <v>0</v>
      </c>
      <c r="BK172" s="144">
        <f>IFERROR(_xlfn.XLOOKUP($B172,'Cronog. e Histog.'!$BZ:$BZ,'Cronog. e Histog.'!EF:EF),"")</f>
        <v>0</v>
      </c>
      <c r="BL172" s="144">
        <f>IFERROR(_xlfn.XLOOKUP($B172,'Cronog. e Histog.'!$BZ:$BZ,'Cronog. e Histog.'!EG:EG),"")</f>
        <v>0</v>
      </c>
      <c r="BM172" s="144">
        <f>IFERROR(_xlfn.XLOOKUP($B172,'Cronog. e Histog.'!$BZ:$BZ,'Cronog. e Histog.'!EH:EH),"")</f>
        <v>0</v>
      </c>
      <c r="BN172" s="144">
        <f>IFERROR(_xlfn.XLOOKUP($B172,'Cronog. e Histog.'!$BZ:$BZ,'Cronog. e Histog.'!EI:EI),"")</f>
        <v>0</v>
      </c>
    </row>
    <row r="173" spans="2:66" ht="12" hidden="1" customHeight="1" outlineLevel="1">
      <c r="B173" s="76">
        <v>167</v>
      </c>
      <c r="C173" s="143" t="str">
        <f>IFERROR(VLOOKUP(B173,'Cronog. e Histog.'!$BZ$213:$CA$747,2,0),"")</f>
        <v>AN SR. ENG/ARQ</v>
      </c>
      <c r="D173" s="144">
        <f t="shared" si="4"/>
        <v>0</v>
      </c>
      <c r="E173" s="144">
        <f t="shared" si="5"/>
        <v>0</v>
      </c>
      <c r="F173" s="65"/>
      <c r="G173" s="144">
        <f>IFERROR(_xlfn.XLOOKUP($B173,'Cronog. e Histog.'!$BZ:$BZ,'Cronog. e Histog.'!CB:CB),"")</f>
        <v>0</v>
      </c>
      <c r="H173" s="144">
        <f>IFERROR(_xlfn.XLOOKUP($B173,'Cronog. e Histog.'!$BZ:$BZ,'Cronog. e Histog.'!CC:CC),"")</f>
        <v>0</v>
      </c>
      <c r="I173" s="144">
        <f>IFERROR(_xlfn.XLOOKUP($B173,'Cronog. e Histog.'!$BZ:$BZ,'Cronog. e Histog.'!CD:CD),"")</f>
        <v>0</v>
      </c>
      <c r="J173" s="144">
        <f>IFERROR(_xlfn.XLOOKUP($B173,'Cronog. e Histog.'!$BZ:$BZ,'Cronog. e Histog.'!CE:CE),"")</f>
        <v>0</v>
      </c>
      <c r="K173" s="144">
        <f>IFERROR(_xlfn.XLOOKUP($B173,'Cronog. e Histog.'!$BZ:$BZ,'Cronog. e Histog.'!CF:CF),"")</f>
        <v>0</v>
      </c>
      <c r="L173" s="144">
        <f>IFERROR(_xlfn.XLOOKUP($B173,'Cronog. e Histog.'!$BZ:$BZ,'Cronog. e Histog.'!CG:CG),"")</f>
        <v>0</v>
      </c>
      <c r="M173" s="144">
        <f>IFERROR(_xlfn.XLOOKUP($B173,'Cronog. e Histog.'!$BZ:$BZ,'Cronog. e Histog.'!CH:CH),"")</f>
        <v>0</v>
      </c>
      <c r="N173" s="144">
        <f>IFERROR(_xlfn.XLOOKUP($B173,'Cronog. e Histog.'!$BZ:$BZ,'Cronog. e Histog.'!CI:CI),"")</f>
        <v>0</v>
      </c>
      <c r="O173" s="144">
        <f>IFERROR(_xlfn.XLOOKUP($B173,'Cronog. e Histog.'!$BZ:$BZ,'Cronog. e Histog.'!CJ:CJ),"")</f>
        <v>0</v>
      </c>
      <c r="P173" s="144">
        <f>IFERROR(_xlfn.XLOOKUP($B173,'Cronog. e Histog.'!$BZ:$BZ,'Cronog. e Histog.'!CK:CK),"")</f>
        <v>0</v>
      </c>
      <c r="Q173" s="144">
        <f>IFERROR(_xlfn.XLOOKUP($B173,'Cronog. e Histog.'!$BZ:$BZ,'Cronog. e Histog.'!CL:CL),"")</f>
        <v>0</v>
      </c>
      <c r="R173" s="144">
        <f>IFERROR(_xlfn.XLOOKUP($B173,'Cronog. e Histog.'!$BZ:$BZ,'Cronog. e Histog.'!CM:CM),"")</f>
        <v>0</v>
      </c>
      <c r="S173" s="144">
        <f>IFERROR(_xlfn.XLOOKUP($B173,'Cronog. e Histog.'!$BZ:$BZ,'Cronog. e Histog.'!CN:CN),"")</f>
        <v>0</v>
      </c>
      <c r="T173" s="144">
        <f>IFERROR(_xlfn.XLOOKUP($B173,'Cronog. e Histog.'!$BZ:$BZ,'Cronog. e Histog.'!CO:CO),"")</f>
        <v>0</v>
      </c>
      <c r="U173" s="144">
        <f>IFERROR(_xlfn.XLOOKUP($B173,'Cronog. e Histog.'!$BZ:$BZ,'Cronog. e Histog.'!CP:CP),"")</f>
        <v>0</v>
      </c>
      <c r="V173" s="144">
        <f>IFERROR(_xlfn.XLOOKUP($B173,'Cronog. e Histog.'!$BZ:$BZ,'Cronog. e Histog.'!CQ:CQ),"")</f>
        <v>0</v>
      </c>
      <c r="W173" s="144">
        <f>IFERROR(_xlfn.XLOOKUP($B173,'Cronog. e Histog.'!$BZ:$BZ,'Cronog. e Histog.'!CR:CR),"")</f>
        <v>0</v>
      </c>
      <c r="X173" s="144">
        <f>IFERROR(_xlfn.XLOOKUP($B173,'Cronog. e Histog.'!$BZ:$BZ,'Cronog. e Histog.'!CS:CS),"")</f>
        <v>0</v>
      </c>
      <c r="Y173" s="144">
        <f>IFERROR(_xlfn.XLOOKUP($B173,'Cronog. e Histog.'!$BZ:$BZ,'Cronog. e Histog.'!CT:CT),"")</f>
        <v>0</v>
      </c>
      <c r="Z173" s="144">
        <f>IFERROR(_xlfn.XLOOKUP($B173,'Cronog. e Histog.'!$BZ:$BZ,'Cronog. e Histog.'!CU:CU),"")</f>
        <v>0</v>
      </c>
      <c r="AA173" s="144">
        <f>IFERROR(_xlfn.XLOOKUP($B173,'Cronog. e Histog.'!$BZ:$BZ,'Cronog. e Histog.'!CV:CV),"")</f>
        <v>0</v>
      </c>
      <c r="AB173" s="144">
        <f>IFERROR(_xlfn.XLOOKUP($B173,'Cronog. e Histog.'!$BZ:$BZ,'Cronog. e Histog.'!CW:CW),"")</f>
        <v>0</v>
      </c>
      <c r="AC173" s="144">
        <f>IFERROR(_xlfn.XLOOKUP($B173,'Cronog. e Histog.'!$BZ:$BZ,'Cronog. e Histog.'!CX:CX),"")</f>
        <v>0</v>
      </c>
      <c r="AD173" s="144">
        <f>IFERROR(_xlfn.XLOOKUP($B173,'Cronog. e Histog.'!$BZ:$BZ,'Cronog. e Histog.'!CY:CY),"")</f>
        <v>0</v>
      </c>
      <c r="AE173" s="144">
        <f>IFERROR(_xlfn.XLOOKUP($B173,'Cronog. e Histog.'!$BZ:$BZ,'Cronog. e Histog.'!CZ:CZ),"")</f>
        <v>0</v>
      </c>
      <c r="AF173" s="144">
        <f>IFERROR(_xlfn.XLOOKUP($B173,'Cronog. e Histog.'!$BZ:$BZ,'Cronog. e Histog.'!DA:DA),"")</f>
        <v>0</v>
      </c>
      <c r="AG173" s="144">
        <f>IFERROR(_xlfn.XLOOKUP($B173,'Cronog. e Histog.'!$BZ:$BZ,'Cronog. e Histog.'!DB:DB),"")</f>
        <v>0</v>
      </c>
      <c r="AH173" s="144">
        <f>IFERROR(_xlfn.XLOOKUP($B173,'Cronog. e Histog.'!$BZ:$BZ,'Cronog. e Histog.'!DC:DC),"")</f>
        <v>0</v>
      </c>
      <c r="AI173" s="144">
        <f>IFERROR(_xlfn.XLOOKUP($B173,'Cronog. e Histog.'!$BZ:$BZ,'Cronog. e Histog.'!DD:DD),"")</f>
        <v>0</v>
      </c>
      <c r="AJ173" s="144">
        <f>IFERROR(_xlfn.XLOOKUP($B173,'Cronog. e Histog.'!$BZ:$BZ,'Cronog. e Histog.'!DE:DE),"")</f>
        <v>0</v>
      </c>
      <c r="AK173" s="144">
        <f>IFERROR(_xlfn.XLOOKUP($B173,'Cronog. e Histog.'!$BZ:$BZ,'Cronog. e Histog.'!DF:DF),"")</f>
        <v>0</v>
      </c>
      <c r="AL173" s="144">
        <f>IFERROR(_xlfn.XLOOKUP($B173,'Cronog. e Histog.'!$BZ:$BZ,'Cronog. e Histog.'!DG:DG),"")</f>
        <v>0</v>
      </c>
      <c r="AM173" s="144">
        <f>IFERROR(_xlfn.XLOOKUP($B173,'Cronog. e Histog.'!$BZ:$BZ,'Cronog. e Histog.'!DH:DH),"")</f>
        <v>0</v>
      </c>
      <c r="AN173" s="144">
        <f>IFERROR(_xlfn.XLOOKUP($B173,'Cronog. e Histog.'!$BZ:$BZ,'Cronog. e Histog.'!DI:DI),"")</f>
        <v>0</v>
      </c>
      <c r="AO173" s="144">
        <f>IFERROR(_xlfn.XLOOKUP($B173,'Cronog. e Histog.'!$BZ:$BZ,'Cronog. e Histog.'!DJ:DJ),"")</f>
        <v>0</v>
      </c>
      <c r="AP173" s="144">
        <f>IFERROR(_xlfn.XLOOKUP($B173,'Cronog. e Histog.'!$BZ:$BZ,'Cronog. e Histog.'!DK:DK),"")</f>
        <v>0</v>
      </c>
      <c r="AQ173" s="144">
        <f>IFERROR(_xlfn.XLOOKUP($B173,'Cronog. e Histog.'!$BZ:$BZ,'Cronog. e Histog.'!DL:DL),"")</f>
        <v>0</v>
      </c>
      <c r="AR173" s="144">
        <f>IFERROR(_xlfn.XLOOKUP($B173,'Cronog. e Histog.'!$BZ:$BZ,'Cronog. e Histog.'!DM:DM),"")</f>
        <v>0</v>
      </c>
      <c r="AS173" s="144">
        <f>IFERROR(_xlfn.XLOOKUP($B173,'Cronog. e Histog.'!$BZ:$BZ,'Cronog. e Histog.'!DN:DN),"")</f>
        <v>0</v>
      </c>
      <c r="AT173" s="144">
        <f>IFERROR(_xlfn.XLOOKUP($B173,'Cronog. e Histog.'!$BZ:$BZ,'Cronog. e Histog.'!DO:DO),"")</f>
        <v>0</v>
      </c>
      <c r="AU173" s="144">
        <f>IFERROR(_xlfn.XLOOKUP($B173,'Cronog. e Histog.'!$BZ:$BZ,'Cronog. e Histog.'!DP:DP),"")</f>
        <v>0</v>
      </c>
      <c r="AV173" s="144">
        <f>IFERROR(_xlfn.XLOOKUP($B173,'Cronog. e Histog.'!$BZ:$BZ,'Cronog. e Histog.'!DQ:DQ),"")</f>
        <v>0</v>
      </c>
      <c r="AW173" s="144">
        <f>IFERROR(_xlfn.XLOOKUP($B173,'Cronog. e Histog.'!$BZ:$BZ,'Cronog. e Histog.'!DR:DR),"")</f>
        <v>0</v>
      </c>
      <c r="AX173" s="144">
        <f>IFERROR(_xlfn.XLOOKUP($B173,'Cronog. e Histog.'!$BZ:$BZ,'Cronog. e Histog.'!DS:DS),"")</f>
        <v>0</v>
      </c>
      <c r="AY173" s="144">
        <f>IFERROR(_xlfn.XLOOKUP($B173,'Cronog. e Histog.'!$BZ:$BZ,'Cronog. e Histog.'!DT:DT),"")</f>
        <v>0</v>
      </c>
      <c r="AZ173" s="144">
        <f>IFERROR(_xlfn.XLOOKUP($B173,'Cronog. e Histog.'!$BZ:$BZ,'Cronog. e Histog.'!DU:DU),"")</f>
        <v>0</v>
      </c>
      <c r="BA173" s="144">
        <f>IFERROR(_xlfn.XLOOKUP($B173,'Cronog. e Histog.'!$BZ:$BZ,'Cronog. e Histog.'!DV:DV),"")</f>
        <v>0</v>
      </c>
      <c r="BB173" s="144">
        <f>IFERROR(_xlfn.XLOOKUP($B173,'Cronog. e Histog.'!$BZ:$BZ,'Cronog. e Histog.'!DW:DW),"")</f>
        <v>0</v>
      </c>
      <c r="BC173" s="144">
        <f>IFERROR(_xlfn.XLOOKUP($B173,'Cronog. e Histog.'!$BZ:$BZ,'Cronog. e Histog.'!DX:DX),"")</f>
        <v>0</v>
      </c>
      <c r="BD173" s="144">
        <f>IFERROR(_xlfn.XLOOKUP($B173,'Cronog. e Histog.'!$BZ:$BZ,'Cronog. e Histog.'!DY:DY),"")</f>
        <v>0</v>
      </c>
      <c r="BE173" s="144">
        <f>IFERROR(_xlfn.XLOOKUP($B173,'Cronog. e Histog.'!$BZ:$BZ,'Cronog. e Histog.'!DZ:DZ),"")</f>
        <v>0</v>
      </c>
      <c r="BF173" s="144">
        <f>IFERROR(_xlfn.XLOOKUP($B173,'Cronog. e Histog.'!$BZ:$BZ,'Cronog. e Histog.'!EA:EA),"")</f>
        <v>0</v>
      </c>
      <c r="BG173" s="144">
        <f>IFERROR(_xlfn.XLOOKUP($B173,'Cronog. e Histog.'!$BZ:$BZ,'Cronog. e Histog.'!EB:EB),"")</f>
        <v>0</v>
      </c>
      <c r="BH173" s="144">
        <f>IFERROR(_xlfn.XLOOKUP($B173,'Cronog. e Histog.'!$BZ:$BZ,'Cronog. e Histog.'!EC:EC),"")</f>
        <v>0</v>
      </c>
      <c r="BI173" s="144">
        <f>IFERROR(_xlfn.XLOOKUP($B173,'Cronog. e Histog.'!$BZ:$BZ,'Cronog. e Histog.'!ED:ED),"")</f>
        <v>0</v>
      </c>
      <c r="BJ173" s="144">
        <f>IFERROR(_xlfn.XLOOKUP($B173,'Cronog. e Histog.'!$BZ:$BZ,'Cronog. e Histog.'!EE:EE),"")</f>
        <v>0</v>
      </c>
      <c r="BK173" s="144">
        <f>IFERROR(_xlfn.XLOOKUP($B173,'Cronog. e Histog.'!$BZ:$BZ,'Cronog. e Histog.'!EF:EF),"")</f>
        <v>0</v>
      </c>
      <c r="BL173" s="144">
        <f>IFERROR(_xlfn.XLOOKUP($B173,'Cronog. e Histog.'!$BZ:$BZ,'Cronog. e Histog.'!EG:EG),"")</f>
        <v>0</v>
      </c>
      <c r="BM173" s="144">
        <f>IFERROR(_xlfn.XLOOKUP($B173,'Cronog. e Histog.'!$BZ:$BZ,'Cronog. e Histog.'!EH:EH),"")</f>
        <v>0</v>
      </c>
      <c r="BN173" s="144">
        <f>IFERROR(_xlfn.XLOOKUP($B173,'Cronog. e Histog.'!$BZ:$BZ,'Cronog. e Histog.'!EI:EI),"")</f>
        <v>0</v>
      </c>
    </row>
    <row r="174" spans="2:66" ht="12" hidden="1" customHeight="1" outlineLevel="1">
      <c r="B174" s="76">
        <v>168</v>
      </c>
      <c r="C174" s="143" t="str">
        <f>IFERROR(VLOOKUP(B174,'Cronog. e Histog.'!$BZ$213:$CA$747,2,0),"")</f>
        <v>AN PL. ENG/ARQ</v>
      </c>
      <c r="D174" s="144">
        <f t="shared" si="4"/>
        <v>0</v>
      </c>
      <c r="E174" s="144">
        <f t="shared" si="5"/>
        <v>0</v>
      </c>
      <c r="F174" s="65"/>
      <c r="G174" s="144">
        <f>IFERROR(_xlfn.XLOOKUP($B174,'Cronog. e Histog.'!$BZ:$BZ,'Cronog. e Histog.'!CB:CB),"")</f>
        <v>0</v>
      </c>
      <c r="H174" s="144">
        <f>IFERROR(_xlfn.XLOOKUP($B174,'Cronog. e Histog.'!$BZ:$BZ,'Cronog. e Histog.'!CC:CC),"")</f>
        <v>0</v>
      </c>
      <c r="I174" s="144">
        <f>IFERROR(_xlfn.XLOOKUP($B174,'Cronog. e Histog.'!$BZ:$BZ,'Cronog. e Histog.'!CD:CD),"")</f>
        <v>0</v>
      </c>
      <c r="J174" s="144">
        <f>IFERROR(_xlfn.XLOOKUP($B174,'Cronog. e Histog.'!$BZ:$BZ,'Cronog. e Histog.'!CE:CE),"")</f>
        <v>0</v>
      </c>
      <c r="K174" s="144">
        <f>IFERROR(_xlfn.XLOOKUP($B174,'Cronog. e Histog.'!$BZ:$BZ,'Cronog. e Histog.'!CF:CF),"")</f>
        <v>0</v>
      </c>
      <c r="L174" s="144">
        <f>IFERROR(_xlfn.XLOOKUP($B174,'Cronog. e Histog.'!$BZ:$BZ,'Cronog. e Histog.'!CG:CG),"")</f>
        <v>0</v>
      </c>
      <c r="M174" s="144">
        <f>IFERROR(_xlfn.XLOOKUP($B174,'Cronog. e Histog.'!$BZ:$BZ,'Cronog. e Histog.'!CH:CH),"")</f>
        <v>0</v>
      </c>
      <c r="N174" s="144">
        <f>IFERROR(_xlfn.XLOOKUP($B174,'Cronog. e Histog.'!$BZ:$BZ,'Cronog. e Histog.'!CI:CI),"")</f>
        <v>0</v>
      </c>
      <c r="O174" s="144">
        <f>IFERROR(_xlfn.XLOOKUP($B174,'Cronog. e Histog.'!$BZ:$BZ,'Cronog. e Histog.'!CJ:CJ),"")</f>
        <v>0</v>
      </c>
      <c r="P174" s="144">
        <f>IFERROR(_xlfn.XLOOKUP($B174,'Cronog. e Histog.'!$BZ:$BZ,'Cronog. e Histog.'!CK:CK),"")</f>
        <v>0</v>
      </c>
      <c r="Q174" s="144">
        <f>IFERROR(_xlfn.XLOOKUP($B174,'Cronog. e Histog.'!$BZ:$BZ,'Cronog. e Histog.'!CL:CL),"")</f>
        <v>0</v>
      </c>
      <c r="R174" s="144">
        <f>IFERROR(_xlfn.XLOOKUP($B174,'Cronog. e Histog.'!$BZ:$BZ,'Cronog. e Histog.'!CM:CM),"")</f>
        <v>0</v>
      </c>
      <c r="S174" s="144">
        <f>IFERROR(_xlfn.XLOOKUP($B174,'Cronog. e Histog.'!$BZ:$BZ,'Cronog. e Histog.'!CN:CN),"")</f>
        <v>0</v>
      </c>
      <c r="T174" s="144">
        <f>IFERROR(_xlfn.XLOOKUP($B174,'Cronog. e Histog.'!$BZ:$BZ,'Cronog. e Histog.'!CO:CO),"")</f>
        <v>0</v>
      </c>
      <c r="U174" s="144">
        <f>IFERROR(_xlfn.XLOOKUP($B174,'Cronog. e Histog.'!$BZ:$BZ,'Cronog. e Histog.'!CP:CP),"")</f>
        <v>0</v>
      </c>
      <c r="V174" s="144">
        <f>IFERROR(_xlfn.XLOOKUP($B174,'Cronog. e Histog.'!$BZ:$BZ,'Cronog. e Histog.'!CQ:CQ),"")</f>
        <v>0</v>
      </c>
      <c r="W174" s="144">
        <f>IFERROR(_xlfn.XLOOKUP($B174,'Cronog. e Histog.'!$BZ:$BZ,'Cronog. e Histog.'!CR:CR),"")</f>
        <v>0</v>
      </c>
      <c r="X174" s="144">
        <f>IFERROR(_xlfn.XLOOKUP($B174,'Cronog. e Histog.'!$BZ:$BZ,'Cronog. e Histog.'!CS:CS),"")</f>
        <v>0</v>
      </c>
      <c r="Y174" s="144">
        <f>IFERROR(_xlfn.XLOOKUP($B174,'Cronog. e Histog.'!$BZ:$BZ,'Cronog. e Histog.'!CT:CT),"")</f>
        <v>0</v>
      </c>
      <c r="Z174" s="144">
        <f>IFERROR(_xlfn.XLOOKUP($B174,'Cronog. e Histog.'!$BZ:$BZ,'Cronog. e Histog.'!CU:CU),"")</f>
        <v>0</v>
      </c>
      <c r="AA174" s="144">
        <f>IFERROR(_xlfn.XLOOKUP($B174,'Cronog. e Histog.'!$BZ:$BZ,'Cronog. e Histog.'!CV:CV),"")</f>
        <v>0</v>
      </c>
      <c r="AB174" s="144">
        <f>IFERROR(_xlfn.XLOOKUP($B174,'Cronog. e Histog.'!$BZ:$BZ,'Cronog. e Histog.'!CW:CW),"")</f>
        <v>0</v>
      </c>
      <c r="AC174" s="144">
        <f>IFERROR(_xlfn.XLOOKUP($B174,'Cronog. e Histog.'!$BZ:$BZ,'Cronog. e Histog.'!CX:CX),"")</f>
        <v>0</v>
      </c>
      <c r="AD174" s="144">
        <f>IFERROR(_xlfn.XLOOKUP($B174,'Cronog. e Histog.'!$BZ:$BZ,'Cronog. e Histog.'!CY:CY),"")</f>
        <v>0</v>
      </c>
      <c r="AE174" s="144">
        <f>IFERROR(_xlfn.XLOOKUP($B174,'Cronog. e Histog.'!$BZ:$BZ,'Cronog. e Histog.'!CZ:CZ),"")</f>
        <v>0</v>
      </c>
      <c r="AF174" s="144">
        <f>IFERROR(_xlfn.XLOOKUP($B174,'Cronog. e Histog.'!$BZ:$BZ,'Cronog. e Histog.'!DA:DA),"")</f>
        <v>0</v>
      </c>
      <c r="AG174" s="144">
        <f>IFERROR(_xlfn.XLOOKUP($B174,'Cronog. e Histog.'!$BZ:$BZ,'Cronog. e Histog.'!DB:DB),"")</f>
        <v>0</v>
      </c>
      <c r="AH174" s="144">
        <f>IFERROR(_xlfn.XLOOKUP($B174,'Cronog. e Histog.'!$BZ:$BZ,'Cronog. e Histog.'!DC:DC),"")</f>
        <v>0</v>
      </c>
      <c r="AI174" s="144">
        <f>IFERROR(_xlfn.XLOOKUP($B174,'Cronog. e Histog.'!$BZ:$BZ,'Cronog. e Histog.'!DD:DD),"")</f>
        <v>0</v>
      </c>
      <c r="AJ174" s="144">
        <f>IFERROR(_xlfn.XLOOKUP($B174,'Cronog. e Histog.'!$BZ:$BZ,'Cronog. e Histog.'!DE:DE),"")</f>
        <v>0</v>
      </c>
      <c r="AK174" s="144">
        <f>IFERROR(_xlfn.XLOOKUP($B174,'Cronog. e Histog.'!$BZ:$BZ,'Cronog. e Histog.'!DF:DF),"")</f>
        <v>0</v>
      </c>
      <c r="AL174" s="144">
        <f>IFERROR(_xlfn.XLOOKUP($B174,'Cronog. e Histog.'!$BZ:$BZ,'Cronog. e Histog.'!DG:DG),"")</f>
        <v>0</v>
      </c>
      <c r="AM174" s="144">
        <f>IFERROR(_xlfn.XLOOKUP($B174,'Cronog. e Histog.'!$BZ:$BZ,'Cronog. e Histog.'!DH:DH),"")</f>
        <v>0</v>
      </c>
      <c r="AN174" s="144">
        <f>IFERROR(_xlfn.XLOOKUP($B174,'Cronog. e Histog.'!$BZ:$BZ,'Cronog. e Histog.'!DI:DI),"")</f>
        <v>0</v>
      </c>
      <c r="AO174" s="144">
        <f>IFERROR(_xlfn.XLOOKUP($B174,'Cronog. e Histog.'!$BZ:$BZ,'Cronog. e Histog.'!DJ:DJ),"")</f>
        <v>0</v>
      </c>
      <c r="AP174" s="144">
        <f>IFERROR(_xlfn.XLOOKUP($B174,'Cronog. e Histog.'!$BZ:$BZ,'Cronog. e Histog.'!DK:DK),"")</f>
        <v>0</v>
      </c>
      <c r="AQ174" s="144">
        <f>IFERROR(_xlfn.XLOOKUP($B174,'Cronog. e Histog.'!$BZ:$BZ,'Cronog. e Histog.'!DL:DL),"")</f>
        <v>0</v>
      </c>
      <c r="AR174" s="144">
        <f>IFERROR(_xlfn.XLOOKUP($B174,'Cronog. e Histog.'!$BZ:$BZ,'Cronog. e Histog.'!DM:DM),"")</f>
        <v>0</v>
      </c>
      <c r="AS174" s="144">
        <f>IFERROR(_xlfn.XLOOKUP($B174,'Cronog. e Histog.'!$BZ:$BZ,'Cronog. e Histog.'!DN:DN),"")</f>
        <v>0</v>
      </c>
      <c r="AT174" s="144">
        <f>IFERROR(_xlfn.XLOOKUP($B174,'Cronog. e Histog.'!$BZ:$BZ,'Cronog. e Histog.'!DO:DO),"")</f>
        <v>0</v>
      </c>
      <c r="AU174" s="144">
        <f>IFERROR(_xlfn.XLOOKUP($B174,'Cronog. e Histog.'!$BZ:$BZ,'Cronog. e Histog.'!DP:DP),"")</f>
        <v>0</v>
      </c>
      <c r="AV174" s="144">
        <f>IFERROR(_xlfn.XLOOKUP($B174,'Cronog. e Histog.'!$BZ:$BZ,'Cronog. e Histog.'!DQ:DQ),"")</f>
        <v>0</v>
      </c>
      <c r="AW174" s="144">
        <f>IFERROR(_xlfn.XLOOKUP($B174,'Cronog. e Histog.'!$BZ:$BZ,'Cronog. e Histog.'!DR:DR),"")</f>
        <v>0</v>
      </c>
      <c r="AX174" s="144">
        <f>IFERROR(_xlfn.XLOOKUP($B174,'Cronog. e Histog.'!$BZ:$BZ,'Cronog. e Histog.'!DS:DS),"")</f>
        <v>0</v>
      </c>
      <c r="AY174" s="144">
        <f>IFERROR(_xlfn.XLOOKUP($B174,'Cronog. e Histog.'!$BZ:$BZ,'Cronog. e Histog.'!DT:DT),"")</f>
        <v>0</v>
      </c>
      <c r="AZ174" s="144">
        <f>IFERROR(_xlfn.XLOOKUP($B174,'Cronog. e Histog.'!$BZ:$BZ,'Cronog. e Histog.'!DU:DU),"")</f>
        <v>0</v>
      </c>
      <c r="BA174" s="144">
        <f>IFERROR(_xlfn.XLOOKUP($B174,'Cronog. e Histog.'!$BZ:$BZ,'Cronog. e Histog.'!DV:DV),"")</f>
        <v>0</v>
      </c>
      <c r="BB174" s="144">
        <f>IFERROR(_xlfn.XLOOKUP($B174,'Cronog. e Histog.'!$BZ:$BZ,'Cronog. e Histog.'!DW:DW),"")</f>
        <v>0</v>
      </c>
      <c r="BC174" s="144">
        <f>IFERROR(_xlfn.XLOOKUP($B174,'Cronog. e Histog.'!$BZ:$BZ,'Cronog. e Histog.'!DX:DX),"")</f>
        <v>0</v>
      </c>
      <c r="BD174" s="144">
        <f>IFERROR(_xlfn.XLOOKUP($B174,'Cronog. e Histog.'!$BZ:$BZ,'Cronog. e Histog.'!DY:DY),"")</f>
        <v>0</v>
      </c>
      <c r="BE174" s="144">
        <f>IFERROR(_xlfn.XLOOKUP($B174,'Cronog. e Histog.'!$BZ:$BZ,'Cronog. e Histog.'!DZ:DZ),"")</f>
        <v>0</v>
      </c>
      <c r="BF174" s="144">
        <f>IFERROR(_xlfn.XLOOKUP($B174,'Cronog. e Histog.'!$BZ:$BZ,'Cronog. e Histog.'!EA:EA),"")</f>
        <v>0</v>
      </c>
      <c r="BG174" s="144">
        <f>IFERROR(_xlfn.XLOOKUP($B174,'Cronog. e Histog.'!$BZ:$BZ,'Cronog. e Histog.'!EB:EB),"")</f>
        <v>0</v>
      </c>
      <c r="BH174" s="144">
        <f>IFERROR(_xlfn.XLOOKUP($B174,'Cronog. e Histog.'!$BZ:$BZ,'Cronog. e Histog.'!EC:EC),"")</f>
        <v>0</v>
      </c>
      <c r="BI174" s="144">
        <f>IFERROR(_xlfn.XLOOKUP($B174,'Cronog. e Histog.'!$BZ:$BZ,'Cronog. e Histog.'!ED:ED),"")</f>
        <v>0</v>
      </c>
      <c r="BJ174" s="144">
        <f>IFERROR(_xlfn.XLOOKUP($B174,'Cronog. e Histog.'!$BZ:$BZ,'Cronog. e Histog.'!EE:EE),"")</f>
        <v>0</v>
      </c>
      <c r="BK174" s="144">
        <f>IFERROR(_xlfn.XLOOKUP($B174,'Cronog. e Histog.'!$BZ:$BZ,'Cronog. e Histog.'!EF:EF),"")</f>
        <v>0</v>
      </c>
      <c r="BL174" s="144">
        <f>IFERROR(_xlfn.XLOOKUP($B174,'Cronog. e Histog.'!$BZ:$BZ,'Cronog. e Histog.'!EG:EG),"")</f>
        <v>0</v>
      </c>
      <c r="BM174" s="144">
        <f>IFERROR(_xlfn.XLOOKUP($B174,'Cronog. e Histog.'!$BZ:$BZ,'Cronog. e Histog.'!EH:EH),"")</f>
        <v>0</v>
      </c>
      <c r="BN174" s="144">
        <f>IFERROR(_xlfn.XLOOKUP($B174,'Cronog. e Histog.'!$BZ:$BZ,'Cronog. e Histog.'!EI:EI),"")</f>
        <v>0</v>
      </c>
    </row>
    <row r="175" spans="2:66" ht="12" hidden="1" customHeight="1" outlineLevel="1">
      <c r="B175" s="76">
        <v>169</v>
      </c>
      <c r="C175" s="143" t="str">
        <f>IFERROR(VLOOKUP(B175,'Cronog. e Histog.'!$BZ$213:$CA$747,2,0),"")</f>
        <v>AN JR. ENG/ARQ</v>
      </c>
      <c r="D175" s="144">
        <f t="shared" si="4"/>
        <v>0</v>
      </c>
      <c r="E175" s="144">
        <f t="shared" si="5"/>
        <v>0</v>
      </c>
      <c r="F175" s="65"/>
      <c r="G175" s="144">
        <f>IFERROR(_xlfn.XLOOKUP($B175,'Cronog. e Histog.'!$BZ:$BZ,'Cronog. e Histog.'!CB:CB),"")</f>
        <v>0</v>
      </c>
      <c r="H175" s="144">
        <f>IFERROR(_xlfn.XLOOKUP($B175,'Cronog. e Histog.'!$BZ:$BZ,'Cronog. e Histog.'!CC:CC),"")</f>
        <v>0</v>
      </c>
      <c r="I175" s="144">
        <f>IFERROR(_xlfn.XLOOKUP($B175,'Cronog. e Histog.'!$BZ:$BZ,'Cronog. e Histog.'!CD:CD),"")</f>
        <v>0</v>
      </c>
      <c r="J175" s="144">
        <f>IFERROR(_xlfn.XLOOKUP($B175,'Cronog. e Histog.'!$BZ:$BZ,'Cronog. e Histog.'!CE:CE),"")</f>
        <v>0</v>
      </c>
      <c r="K175" s="144">
        <f>IFERROR(_xlfn.XLOOKUP($B175,'Cronog. e Histog.'!$BZ:$BZ,'Cronog. e Histog.'!CF:CF),"")</f>
        <v>0</v>
      </c>
      <c r="L175" s="144">
        <f>IFERROR(_xlfn.XLOOKUP($B175,'Cronog. e Histog.'!$BZ:$BZ,'Cronog. e Histog.'!CG:CG),"")</f>
        <v>0</v>
      </c>
      <c r="M175" s="144">
        <f>IFERROR(_xlfn.XLOOKUP($B175,'Cronog. e Histog.'!$BZ:$BZ,'Cronog. e Histog.'!CH:CH),"")</f>
        <v>0</v>
      </c>
      <c r="N175" s="144">
        <f>IFERROR(_xlfn.XLOOKUP($B175,'Cronog. e Histog.'!$BZ:$BZ,'Cronog. e Histog.'!CI:CI),"")</f>
        <v>0</v>
      </c>
      <c r="O175" s="144">
        <f>IFERROR(_xlfn.XLOOKUP($B175,'Cronog. e Histog.'!$BZ:$BZ,'Cronog. e Histog.'!CJ:CJ),"")</f>
        <v>0</v>
      </c>
      <c r="P175" s="144">
        <f>IFERROR(_xlfn.XLOOKUP($B175,'Cronog. e Histog.'!$BZ:$BZ,'Cronog. e Histog.'!CK:CK),"")</f>
        <v>0</v>
      </c>
      <c r="Q175" s="144">
        <f>IFERROR(_xlfn.XLOOKUP($B175,'Cronog. e Histog.'!$BZ:$BZ,'Cronog. e Histog.'!CL:CL),"")</f>
        <v>0</v>
      </c>
      <c r="R175" s="144">
        <f>IFERROR(_xlfn.XLOOKUP($B175,'Cronog. e Histog.'!$BZ:$BZ,'Cronog. e Histog.'!CM:CM),"")</f>
        <v>0</v>
      </c>
      <c r="S175" s="144">
        <f>IFERROR(_xlfn.XLOOKUP($B175,'Cronog. e Histog.'!$BZ:$BZ,'Cronog. e Histog.'!CN:CN),"")</f>
        <v>0</v>
      </c>
      <c r="T175" s="144">
        <f>IFERROR(_xlfn.XLOOKUP($B175,'Cronog. e Histog.'!$BZ:$BZ,'Cronog. e Histog.'!CO:CO),"")</f>
        <v>0</v>
      </c>
      <c r="U175" s="144">
        <f>IFERROR(_xlfn.XLOOKUP($B175,'Cronog. e Histog.'!$BZ:$BZ,'Cronog. e Histog.'!CP:CP),"")</f>
        <v>0</v>
      </c>
      <c r="V175" s="144">
        <f>IFERROR(_xlfn.XLOOKUP($B175,'Cronog. e Histog.'!$BZ:$BZ,'Cronog. e Histog.'!CQ:CQ),"")</f>
        <v>0</v>
      </c>
      <c r="W175" s="144">
        <f>IFERROR(_xlfn.XLOOKUP($B175,'Cronog. e Histog.'!$BZ:$BZ,'Cronog. e Histog.'!CR:CR),"")</f>
        <v>0</v>
      </c>
      <c r="X175" s="144">
        <f>IFERROR(_xlfn.XLOOKUP($B175,'Cronog. e Histog.'!$BZ:$BZ,'Cronog. e Histog.'!CS:CS),"")</f>
        <v>0</v>
      </c>
      <c r="Y175" s="144">
        <f>IFERROR(_xlfn.XLOOKUP($B175,'Cronog. e Histog.'!$BZ:$BZ,'Cronog. e Histog.'!CT:CT),"")</f>
        <v>0</v>
      </c>
      <c r="Z175" s="144">
        <f>IFERROR(_xlfn.XLOOKUP($B175,'Cronog. e Histog.'!$BZ:$BZ,'Cronog. e Histog.'!CU:CU),"")</f>
        <v>0</v>
      </c>
      <c r="AA175" s="144">
        <f>IFERROR(_xlfn.XLOOKUP($B175,'Cronog. e Histog.'!$BZ:$BZ,'Cronog. e Histog.'!CV:CV),"")</f>
        <v>0</v>
      </c>
      <c r="AB175" s="144">
        <f>IFERROR(_xlfn.XLOOKUP($B175,'Cronog. e Histog.'!$BZ:$BZ,'Cronog. e Histog.'!CW:CW),"")</f>
        <v>0</v>
      </c>
      <c r="AC175" s="144">
        <f>IFERROR(_xlfn.XLOOKUP($B175,'Cronog. e Histog.'!$BZ:$BZ,'Cronog. e Histog.'!CX:CX),"")</f>
        <v>0</v>
      </c>
      <c r="AD175" s="144">
        <f>IFERROR(_xlfn.XLOOKUP($B175,'Cronog. e Histog.'!$BZ:$BZ,'Cronog. e Histog.'!CY:CY),"")</f>
        <v>0</v>
      </c>
      <c r="AE175" s="144">
        <f>IFERROR(_xlfn.XLOOKUP($B175,'Cronog. e Histog.'!$BZ:$BZ,'Cronog. e Histog.'!CZ:CZ),"")</f>
        <v>0</v>
      </c>
      <c r="AF175" s="144">
        <f>IFERROR(_xlfn.XLOOKUP($B175,'Cronog. e Histog.'!$BZ:$BZ,'Cronog. e Histog.'!DA:DA),"")</f>
        <v>0</v>
      </c>
      <c r="AG175" s="144">
        <f>IFERROR(_xlfn.XLOOKUP($B175,'Cronog. e Histog.'!$BZ:$BZ,'Cronog. e Histog.'!DB:DB),"")</f>
        <v>0</v>
      </c>
      <c r="AH175" s="144">
        <f>IFERROR(_xlfn.XLOOKUP($B175,'Cronog. e Histog.'!$BZ:$BZ,'Cronog. e Histog.'!DC:DC),"")</f>
        <v>0</v>
      </c>
      <c r="AI175" s="144">
        <f>IFERROR(_xlfn.XLOOKUP($B175,'Cronog. e Histog.'!$BZ:$BZ,'Cronog. e Histog.'!DD:DD),"")</f>
        <v>0</v>
      </c>
      <c r="AJ175" s="144">
        <f>IFERROR(_xlfn.XLOOKUP($B175,'Cronog. e Histog.'!$BZ:$BZ,'Cronog. e Histog.'!DE:DE),"")</f>
        <v>0</v>
      </c>
      <c r="AK175" s="144">
        <f>IFERROR(_xlfn.XLOOKUP($B175,'Cronog. e Histog.'!$BZ:$BZ,'Cronog. e Histog.'!DF:DF),"")</f>
        <v>0</v>
      </c>
      <c r="AL175" s="144">
        <f>IFERROR(_xlfn.XLOOKUP($B175,'Cronog. e Histog.'!$BZ:$BZ,'Cronog. e Histog.'!DG:DG),"")</f>
        <v>0</v>
      </c>
      <c r="AM175" s="144">
        <f>IFERROR(_xlfn.XLOOKUP($B175,'Cronog. e Histog.'!$BZ:$BZ,'Cronog. e Histog.'!DH:DH),"")</f>
        <v>0</v>
      </c>
      <c r="AN175" s="144">
        <f>IFERROR(_xlfn.XLOOKUP($B175,'Cronog. e Histog.'!$BZ:$BZ,'Cronog. e Histog.'!DI:DI),"")</f>
        <v>0</v>
      </c>
      <c r="AO175" s="144">
        <f>IFERROR(_xlfn.XLOOKUP($B175,'Cronog. e Histog.'!$BZ:$BZ,'Cronog. e Histog.'!DJ:DJ),"")</f>
        <v>0</v>
      </c>
      <c r="AP175" s="144">
        <f>IFERROR(_xlfn.XLOOKUP($B175,'Cronog. e Histog.'!$BZ:$BZ,'Cronog. e Histog.'!DK:DK),"")</f>
        <v>0</v>
      </c>
      <c r="AQ175" s="144">
        <f>IFERROR(_xlfn.XLOOKUP($B175,'Cronog. e Histog.'!$BZ:$BZ,'Cronog. e Histog.'!DL:DL),"")</f>
        <v>0</v>
      </c>
      <c r="AR175" s="144">
        <f>IFERROR(_xlfn.XLOOKUP($B175,'Cronog. e Histog.'!$BZ:$BZ,'Cronog. e Histog.'!DM:DM),"")</f>
        <v>0</v>
      </c>
      <c r="AS175" s="144">
        <f>IFERROR(_xlfn.XLOOKUP($B175,'Cronog. e Histog.'!$BZ:$BZ,'Cronog. e Histog.'!DN:DN),"")</f>
        <v>0</v>
      </c>
      <c r="AT175" s="144">
        <f>IFERROR(_xlfn.XLOOKUP($B175,'Cronog. e Histog.'!$BZ:$BZ,'Cronog. e Histog.'!DO:DO),"")</f>
        <v>0</v>
      </c>
      <c r="AU175" s="144">
        <f>IFERROR(_xlfn.XLOOKUP($B175,'Cronog. e Histog.'!$BZ:$BZ,'Cronog. e Histog.'!DP:DP),"")</f>
        <v>0</v>
      </c>
      <c r="AV175" s="144">
        <f>IFERROR(_xlfn.XLOOKUP($B175,'Cronog. e Histog.'!$BZ:$BZ,'Cronog. e Histog.'!DQ:DQ),"")</f>
        <v>0</v>
      </c>
      <c r="AW175" s="144">
        <f>IFERROR(_xlfn.XLOOKUP($B175,'Cronog. e Histog.'!$BZ:$BZ,'Cronog. e Histog.'!DR:DR),"")</f>
        <v>0</v>
      </c>
      <c r="AX175" s="144">
        <f>IFERROR(_xlfn.XLOOKUP($B175,'Cronog. e Histog.'!$BZ:$BZ,'Cronog. e Histog.'!DS:DS),"")</f>
        <v>0</v>
      </c>
      <c r="AY175" s="144">
        <f>IFERROR(_xlfn.XLOOKUP($B175,'Cronog. e Histog.'!$BZ:$BZ,'Cronog. e Histog.'!DT:DT),"")</f>
        <v>0</v>
      </c>
      <c r="AZ175" s="144">
        <f>IFERROR(_xlfn.XLOOKUP($B175,'Cronog. e Histog.'!$BZ:$BZ,'Cronog. e Histog.'!DU:DU),"")</f>
        <v>0</v>
      </c>
      <c r="BA175" s="144">
        <f>IFERROR(_xlfn.XLOOKUP($B175,'Cronog. e Histog.'!$BZ:$BZ,'Cronog. e Histog.'!DV:DV),"")</f>
        <v>0</v>
      </c>
      <c r="BB175" s="144">
        <f>IFERROR(_xlfn.XLOOKUP($B175,'Cronog. e Histog.'!$BZ:$BZ,'Cronog. e Histog.'!DW:DW),"")</f>
        <v>0</v>
      </c>
      <c r="BC175" s="144">
        <f>IFERROR(_xlfn.XLOOKUP($B175,'Cronog. e Histog.'!$BZ:$BZ,'Cronog. e Histog.'!DX:DX),"")</f>
        <v>0</v>
      </c>
      <c r="BD175" s="144">
        <f>IFERROR(_xlfn.XLOOKUP($B175,'Cronog. e Histog.'!$BZ:$BZ,'Cronog. e Histog.'!DY:DY),"")</f>
        <v>0</v>
      </c>
      <c r="BE175" s="144">
        <f>IFERROR(_xlfn.XLOOKUP($B175,'Cronog. e Histog.'!$BZ:$BZ,'Cronog. e Histog.'!DZ:DZ),"")</f>
        <v>0</v>
      </c>
      <c r="BF175" s="144">
        <f>IFERROR(_xlfn.XLOOKUP($B175,'Cronog. e Histog.'!$BZ:$BZ,'Cronog. e Histog.'!EA:EA),"")</f>
        <v>0</v>
      </c>
      <c r="BG175" s="144">
        <f>IFERROR(_xlfn.XLOOKUP($B175,'Cronog. e Histog.'!$BZ:$BZ,'Cronog. e Histog.'!EB:EB),"")</f>
        <v>0</v>
      </c>
      <c r="BH175" s="144">
        <f>IFERROR(_xlfn.XLOOKUP($B175,'Cronog. e Histog.'!$BZ:$BZ,'Cronog. e Histog.'!EC:EC),"")</f>
        <v>0</v>
      </c>
      <c r="BI175" s="144">
        <f>IFERROR(_xlfn.XLOOKUP($B175,'Cronog. e Histog.'!$BZ:$BZ,'Cronog. e Histog.'!ED:ED),"")</f>
        <v>0</v>
      </c>
      <c r="BJ175" s="144">
        <f>IFERROR(_xlfn.XLOOKUP($B175,'Cronog. e Histog.'!$BZ:$BZ,'Cronog. e Histog.'!EE:EE),"")</f>
        <v>0</v>
      </c>
      <c r="BK175" s="144">
        <f>IFERROR(_xlfn.XLOOKUP($B175,'Cronog. e Histog.'!$BZ:$BZ,'Cronog. e Histog.'!EF:EF),"")</f>
        <v>0</v>
      </c>
      <c r="BL175" s="144">
        <f>IFERROR(_xlfn.XLOOKUP($B175,'Cronog. e Histog.'!$BZ:$BZ,'Cronog. e Histog.'!EG:EG),"")</f>
        <v>0</v>
      </c>
      <c r="BM175" s="144">
        <f>IFERROR(_xlfn.XLOOKUP($B175,'Cronog. e Histog.'!$BZ:$BZ,'Cronog. e Histog.'!EH:EH),"")</f>
        <v>0</v>
      </c>
      <c r="BN175" s="144">
        <f>IFERROR(_xlfn.XLOOKUP($B175,'Cronog. e Histog.'!$BZ:$BZ,'Cronog. e Histog.'!EI:EI),"")</f>
        <v>0</v>
      </c>
    </row>
    <row r="176" spans="2:66" ht="12" hidden="1" customHeight="1" outlineLevel="1">
      <c r="B176" s="76">
        <v>170</v>
      </c>
      <c r="C176" s="143" t="str">
        <f>IFERROR(VLOOKUP(B176,'Cronog. e Histog.'!$BZ$213:$CA$747,2,0),"")</f>
        <v>AN SR. ADM/CRP</v>
      </c>
      <c r="D176" s="144">
        <f t="shared" si="4"/>
        <v>0</v>
      </c>
      <c r="E176" s="144">
        <f t="shared" si="5"/>
        <v>0</v>
      </c>
      <c r="F176" s="65"/>
      <c r="G176" s="144">
        <f>IFERROR(_xlfn.XLOOKUP($B176,'Cronog. e Histog.'!$BZ:$BZ,'Cronog. e Histog.'!CB:CB),"")</f>
        <v>0</v>
      </c>
      <c r="H176" s="144">
        <f>IFERROR(_xlfn.XLOOKUP($B176,'Cronog. e Histog.'!$BZ:$BZ,'Cronog. e Histog.'!CC:CC),"")</f>
        <v>0</v>
      </c>
      <c r="I176" s="144">
        <f>IFERROR(_xlfn.XLOOKUP($B176,'Cronog. e Histog.'!$BZ:$BZ,'Cronog. e Histog.'!CD:CD),"")</f>
        <v>0</v>
      </c>
      <c r="J176" s="144">
        <f>IFERROR(_xlfn.XLOOKUP($B176,'Cronog. e Histog.'!$BZ:$BZ,'Cronog. e Histog.'!CE:CE),"")</f>
        <v>0</v>
      </c>
      <c r="K176" s="144">
        <f>IFERROR(_xlfn.XLOOKUP($B176,'Cronog. e Histog.'!$BZ:$BZ,'Cronog. e Histog.'!CF:CF),"")</f>
        <v>0</v>
      </c>
      <c r="L176" s="144">
        <f>IFERROR(_xlfn.XLOOKUP($B176,'Cronog. e Histog.'!$BZ:$BZ,'Cronog. e Histog.'!CG:CG),"")</f>
        <v>0</v>
      </c>
      <c r="M176" s="144">
        <f>IFERROR(_xlfn.XLOOKUP($B176,'Cronog. e Histog.'!$BZ:$BZ,'Cronog. e Histog.'!CH:CH),"")</f>
        <v>0</v>
      </c>
      <c r="N176" s="144">
        <f>IFERROR(_xlfn.XLOOKUP($B176,'Cronog. e Histog.'!$BZ:$BZ,'Cronog. e Histog.'!CI:CI),"")</f>
        <v>0</v>
      </c>
      <c r="O176" s="144">
        <f>IFERROR(_xlfn.XLOOKUP($B176,'Cronog. e Histog.'!$BZ:$BZ,'Cronog. e Histog.'!CJ:CJ),"")</f>
        <v>0</v>
      </c>
      <c r="P176" s="144">
        <f>IFERROR(_xlfn.XLOOKUP($B176,'Cronog. e Histog.'!$BZ:$BZ,'Cronog. e Histog.'!CK:CK),"")</f>
        <v>0</v>
      </c>
      <c r="Q176" s="144">
        <f>IFERROR(_xlfn.XLOOKUP($B176,'Cronog. e Histog.'!$BZ:$BZ,'Cronog. e Histog.'!CL:CL),"")</f>
        <v>0</v>
      </c>
      <c r="R176" s="144">
        <f>IFERROR(_xlfn.XLOOKUP($B176,'Cronog. e Histog.'!$BZ:$BZ,'Cronog. e Histog.'!CM:CM),"")</f>
        <v>0</v>
      </c>
      <c r="S176" s="144">
        <f>IFERROR(_xlfn.XLOOKUP($B176,'Cronog. e Histog.'!$BZ:$BZ,'Cronog. e Histog.'!CN:CN),"")</f>
        <v>0</v>
      </c>
      <c r="T176" s="144">
        <f>IFERROR(_xlfn.XLOOKUP($B176,'Cronog. e Histog.'!$BZ:$BZ,'Cronog. e Histog.'!CO:CO),"")</f>
        <v>0</v>
      </c>
      <c r="U176" s="144">
        <f>IFERROR(_xlfn.XLOOKUP($B176,'Cronog. e Histog.'!$BZ:$BZ,'Cronog. e Histog.'!CP:CP),"")</f>
        <v>0</v>
      </c>
      <c r="V176" s="144">
        <f>IFERROR(_xlfn.XLOOKUP($B176,'Cronog. e Histog.'!$BZ:$BZ,'Cronog. e Histog.'!CQ:CQ),"")</f>
        <v>0</v>
      </c>
      <c r="W176" s="144">
        <f>IFERROR(_xlfn.XLOOKUP($B176,'Cronog. e Histog.'!$BZ:$BZ,'Cronog. e Histog.'!CR:CR),"")</f>
        <v>0</v>
      </c>
      <c r="X176" s="144">
        <f>IFERROR(_xlfn.XLOOKUP($B176,'Cronog. e Histog.'!$BZ:$BZ,'Cronog. e Histog.'!CS:CS),"")</f>
        <v>0</v>
      </c>
      <c r="Y176" s="144">
        <f>IFERROR(_xlfn.XLOOKUP($B176,'Cronog. e Histog.'!$BZ:$BZ,'Cronog. e Histog.'!CT:CT),"")</f>
        <v>0</v>
      </c>
      <c r="Z176" s="144">
        <f>IFERROR(_xlfn.XLOOKUP($B176,'Cronog. e Histog.'!$BZ:$BZ,'Cronog. e Histog.'!CU:CU),"")</f>
        <v>0</v>
      </c>
      <c r="AA176" s="144">
        <f>IFERROR(_xlfn.XLOOKUP($B176,'Cronog. e Histog.'!$BZ:$BZ,'Cronog. e Histog.'!CV:CV),"")</f>
        <v>0</v>
      </c>
      <c r="AB176" s="144">
        <f>IFERROR(_xlfn.XLOOKUP($B176,'Cronog. e Histog.'!$BZ:$BZ,'Cronog. e Histog.'!CW:CW),"")</f>
        <v>0</v>
      </c>
      <c r="AC176" s="144">
        <f>IFERROR(_xlfn.XLOOKUP($B176,'Cronog. e Histog.'!$BZ:$BZ,'Cronog. e Histog.'!CX:CX),"")</f>
        <v>0</v>
      </c>
      <c r="AD176" s="144">
        <f>IFERROR(_xlfn.XLOOKUP($B176,'Cronog. e Histog.'!$BZ:$BZ,'Cronog. e Histog.'!CY:CY),"")</f>
        <v>0</v>
      </c>
      <c r="AE176" s="144">
        <f>IFERROR(_xlfn.XLOOKUP($B176,'Cronog. e Histog.'!$BZ:$BZ,'Cronog. e Histog.'!CZ:CZ),"")</f>
        <v>0</v>
      </c>
      <c r="AF176" s="144">
        <f>IFERROR(_xlfn.XLOOKUP($B176,'Cronog. e Histog.'!$BZ:$BZ,'Cronog. e Histog.'!DA:DA),"")</f>
        <v>0</v>
      </c>
      <c r="AG176" s="144">
        <f>IFERROR(_xlfn.XLOOKUP($B176,'Cronog. e Histog.'!$BZ:$BZ,'Cronog. e Histog.'!DB:DB),"")</f>
        <v>0</v>
      </c>
      <c r="AH176" s="144">
        <f>IFERROR(_xlfn.XLOOKUP($B176,'Cronog. e Histog.'!$BZ:$BZ,'Cronog. e Histog.'!DC:DC),"")</f>
        <v>0</v>
      </c>
      <c r="AI176" s="144">
        <f>IFERROR(_xlfn.XLOOKUP($B176,'Cronog. e Histog.'!$BZ:$BZ,'Cronog. e Histog.'!DD:DD),"")</f>
        <v>0</v>
      </c>
      <c r="AJ176" s="144">
        <f>IFERROR(_xlfn.XLOOKUP($B176,'Cronog. e Histog.'!$BZ:$BZ,'Cronog. e Histog.'!DE:DE),"")</f>
        <v>0</v>
      </c>
      <c r="AK176" s="144">
        <f>IFERROR(_xlfn.XLOOKUP($B176,'Cronog. e Histog.'!$BZ:$BZ,'Cronog. e Histog.'!DF:DF),"")</f>
        <v>0</v>
      </c>
      <c r="AL176" s="144">
        <f>IFERROR(_xlfn.XLOOKUP($B176,'Cronog. e Histog.'!$BZ:$BZ,'Cronog. e Histog.'!DG:DG),"")</f>
        <v>0</v>
      </c>
      <c r="AM176" s="144">
        <f>IFERROR(_xlfn.XLOOKUP($B176,'Cronog. e Histog.'!$BZ:$BZ,'Cronog. e Histog.'!DH:DH),"")</f>
        <v>0</v>
      </c>
      <c r="AN176" s="144">
        <f>IFERROR(_xlfn.XLOOKUP($B176,'Cronog. e Histog.'!$BZ:$BZ,'Cronog. e Histog.'!DI:DI),"")</f>
        <v>0</v>
      </c>
      <c r="AO176" s="144">
        <f>IFERROR(_xlfn.XLOOKUP($B176,'Cronog. e Histog.'!$BZ:$BZ,'Cronog. e Histog.'!DJ:DJ),"")</f>
        <v>0</v>
      </c>
      <c r="AP176" s="144">
        <f>IFERROR(_xlfn.XLOOKUP($B176,'Cronog. e Histog.'!$BZ:$BZ,'Cronog. e Histog.'!DK:DK),"")</f>
        <v>0</v>
      </c>
      <c r="AQ176" s="144">
        <f>IFERROR(_xlfn.XLOOKUP($B176,'Cronog. e Histog.'!$BZ:$BZ,'Cronog. e Histog.'!DL:DL),"")</f>
        <v>0</v>
      </c>
      <c r="AR176" s="144">
        <f>IFERROR(_xlfn.XLOOKUP($B176,'Cronog. e Histog.'!$BZ:$BZ,'Cronog. e Histog.'!DM:DM),"")</f>
        <v>0</v>
      </c>
      <c r="AS176" s="144">
        <f>IFERROR(_xlfn.XLOOKUP($B176,'Cronog. e Histog.'!$BZ:$BZ,'Cronog. e Histog.'!DN:DN),"")</f>
        <v>0</v>
      </c>
      <c r="AT176" s="144">
        <f>IFERROR(_xlfn.XLOOKUP($B176,'Cronog. e Histog.'!$BZ:$BZ,'Cronog. e Histog.'!DO:DO),"")</f>
        <v>0</v>
      </c>
      <c r="AU176" s="144">
        <f>IFERROR(_xlfn.XLOOKUP($B176,'Cronog. e Histog.'!$BZ:$BZ,'Cronog. e Histog.'!DP:DP),"")</f>
        <v>0</v>
      </c>
      <c r="AV176" s="144">
        <f>IFERROR(_xlfn.XLOOKUP($B176,'Cronog. e Histog.'!$BZ:$BZ,'Cronog. e Histog.'!DQ:DQ),"")</f>
        <v>0</v>
      </c>
      <c r="AW176" s="144">
        <f>IFERROR(_xlfn.XLOOKUP($B176,'Cronog. e Histog.'!$BZ:$BZ,'Cronog. e Histog.'!DR:DR),"")</f>
        <v>0</v>
      </c>
      <c r="AX176" s="144">
        <f>IFERROR(_xlfn.XLOOKUP($B176,'Cronog. e Histog.'!$BZ:$BZ,'Cronog. e Histog.'!DS:DS),"")</f>
        <v>0</v>
      </c>
      <c r="AY176" s="144">
        <f>IFERROR(_xlfn.XLOOKUP($B176,'Cronog. e Histog.'!$BZ:$BZ,'Cronog. e Histog.'!DT:DT),"")</f>
        <v>0</v>
      </c>
      <c r="AZ176" s="144">
        <f>IFERROR(_xlfn.XLOOKUP($B176,'Cronog. e Histog.'!$BZ:$BZ,'Cronog. e Histog.'!DU:DU),"")</f>
        <v>0</v>
      </c>
      <c r="BA176" s="144">
        <f>IFERROR(_xlfn.XLOOKUP($B176,'Cronog. e Histog.'!$BZ:$BZ,'Cronog. e Histog.'!DV:DV),"")</f>
        <v>0</v>
      </c>
      <c r="BB176" s="144">
        <f>IFERROR(_xlfn.XLOOKUP($B176,'Cronog. e Histog.'!$BZ:$BZ,'Cronog. e Histog.'!DW:DW),"")</f>
        <v>0</v>
      </c>
      <c r="BC176" s="144">
        <f>IFERROR(_xlfn.XLOOKUP($B176,'Cronog. e Histog.'!$BZ:$BZ,'Cronog. e Histog.'!DX:DX),"")</f>
        <v>0</v>
      </c>
      <c r="BD176" s="144">
        <f>IFERROR(_xlfn.XLOOKUP($B176,'Cronog. e Histog.'!$BZ:$BZ,'Cronog. e Histog.'!DY:DY),"")</f>
        <v>0</v>
      </c>
      <c r="BE176" s="144">
        <f>IFERROR(_xlfn.XLOOKUP($B176,'Cronog. e Histog.'!$BZ:$BZ,'Cronog. e Histog.'!DZ:DZ),"")</f>
        <v>0</v>
      </c>
      <c r="BF176" s="144">
        <f>IFERROR(_xlfn.XLOOKUP($B176,'Cronog. e Histog.'!$BZ:$BZ,'Cronog. e Histog.'!EA:EA),"")</f>
        <v>0</v>
      </c>
      <c r="BG176" s="144">
        <f>IFERROR(_xlfn.XLOOKUP($B176,'Cronog. e Histog.'!$BZ:$BZ,'Cronog. e Histog.'!EB:EB),"")</f>
        <v>0</v>
      </c>
      <c r="BH176" s="144">
        <f>IFERROR(_xlfn.XLOOKUP($B176,'Cronog. e Histog.'!$BZ:$BZ,'Cronog. e Histog.'!EC:EC),"")</f>
        <v>0</v>
      </c>
      <c r="BI176" s="144">
        <f>IFERROR(_xlfn.XLOOKUP($B176,'Cronog. e Histog.'!$BZ:$BZ,'Cronog. e Histog.'!ED:ED),"")</f>
        <v>0</v>
      </c>
      <c r="BJ176" s="144">
        <f>IFERROR(_xlfn.XLOOKUP($B176,'Cronog. e Histog.'!$BZ:$BZ,'Cronog. e Histog.'!EE:EE),"")</f>
        <v>0</v>
      </c>
      <c r="BK176" s="144">
        <f>IFERROR(_xlfn.XLOOKUP($B176,'Cronog. e Histog.'!$BZ:$BZ,'Cronog. e Histog.'!EF:EF),"")</f>
        <v>0</v>
      </c>
      <c r="BL176" s="144">
        <f>IFERROR(_xlfn.XLOOKUP($B176,'Cronog. e Histog.'!$BZ:$BZ,'Cronog. e Histog.'!EG:EG),"")</f>
        <v>0</v>
      </c>
      <c r="BM176" s="144">
        <f>IFERROR(_xlfn.XLOOKUP($B176,'Cronog. e Histog.'!$BZ:$BZ,'Cronog. e Histog.'!EH:EH),"")</f>
        <v>0</v>
      </c>
      <c r="BN176" s="144">
        <f>IFERROR(_xlfn.XLOOKUP($B176,'Cronog. e Histog.'!$BZ:$BZ,'Cronog. e Histog.'!EI:EI),"")</f>
        <v>0</v>
      </c>
    </row>
    <row r="177" spans="2:66" ht="12" hidden="1" customHeight="1" outlineLevel="1">
      <c r="B177" s="76">
        <v>171</v>
      </c>
      <c r="C177" s="143" t="str">
        <f>IFERROR(VLOOKUP(B177,'Cronog. e Histog.'!$BZ$213:$CA$747,2,0),"")</f>
        <v>AN PL. ADM/CRP</v>
      </c>
      <c r="D177" s="144">
        <f t="shared" si="4"/>
        <v>0</v>
      </c>
      <c r="E177" s="144">
        <f t="shared" si="5"/>
        <v>0</v>
      </c>
      <c r="F177" s="65"/>
      <c r="G177" s="144">
        <f>IFERROR(_xlfn.XLOOKUP($B177,'Cronog. e Histog.'!$BZ:$BZ,'Cronog. e Histog.'!CB:CB),"")</f>
        <v>0</v>
      </c>
      <c r="H177" s="144">
        <f>IFERROR(_xlfn.XLOOKUP($B177,'Cronog. e Histog.'!$BZ:$BZ,'Cronog. e Histog.'!CC:CC),"")</f>
        <v>0</v>
      </c>
      <c r="I177" s="144">
        <f>IFERROR(_xlfn.XLOOKUP($B177,'Cronog. e Histog.'!$BZ:$BZ,'Cronog. e Histog.'!CD:CD),"")</f>
        <v>0</v>
      </c>
      <c r="J177" s="144">
        <f>IFERROR(_xlfn.XLOOKUP($B177,'Cronog. e Histog.'!$BZ:$BZ,'Cronog. e Histog.'!CE:CE),"")</f>
        <v>0</v>
      </c>
      <c r="K177" s="144">
        <f>IFERROR(_xlfn.XLOOKUP($B177,'Cronog. e Histog.'!$BZ:$BZ,'Cronog. e Histog.'!CF:CF),"")</f>
        <v>0</v>
      </c>
      <c r="L177" s="144">
        <f>IFERROR(_xlfn.XLOOKUP($B177,'Cronog. e Histog.'!$BZ:$BZ,'Cronog. e Histog.'!CG:CG),"")</f>
        <v>0</v>
      </c>
      <c r="M177" s="144">
        <f>IFERROR(_xlfn.XLOOKUP($B177,'Cronog. e Histog.'!$BZ:$BZ,'Cronog. e Histog.'!CH:CH),"")</f>
        <v>0</v>
      </c>
      <c r="N177" s="144">
        <f>IFERROR(_xlfn.XLOOKUP($B177,'Cronog. e Histog.'!$BZ:$BZ,'Cronog. e Histog.'!CI:CI),"")</f>
        <v>0</v>
      </c>
      <c r="O177" s="144">
        <f>IFERROR(_xlfn.XLOOKUP($B177,'Cronog. e Histog.'!$BZ:$BZ,'Cronog. e Histog.'!CJ:CJ),"")</f>
        <v>0</v>
      </c>
      <c r="P177" s="144">
        <f>IFERROR(_xlfn.XLOOKUP($B177,'Cronog. e Histog.'!$BZ:$BZ,'Cronog. e Histog.'!CK:CK),"")</f>
        <v>0</v>
      </c>
      <c r="Q177" s="144">
        <f>IFERROR(_xlfn.XLOOKUP($B177,'Cronog. e Histog.'!$BZ:$BZ,'Cronog. e Histog.'!CL:CL),"")</f>
        <v>0</v>
      </c>
      <c r="R177" s="144">
        <f>IFERROR(_xlfn.XLOOKUP($B177,'Cronog. e Histog.'!$BZ:$BZ,'Cronog. e Histog.'!CM:CM),"")</f>
        <v>0</v>
      </c>
      <c r="S177" s="144">
        <f>IFERROR(_xlfn.XLOOKUP($B177,'Cronog. e Histog.'!$BZ:$BZ,'Cronog. e Histog.'!CN:CN),"")</f>
        <v>0</v>
      </c>
      <c r="T177" s="144">
        <f>IFERROR(_xlfn.XLOOKUP($B177,'Cronog. e Histog.'!$BZ:$BZ,'Cronog. e Histog.'!CO:CO),"")</f>
        <v>0</v>
      </c>
      <c r="U177" s="144">
        <f>IFERROR(_xlfn.XLOOKUP($B177,'Cronog. e Histog.'!$BZ:$BZ,'Cronog. e Histog.'!CP:CP),"")</f>
        <v>0</v>
      </c>
      <c r="V177" s="144">
        <f>IFERROR(_xlfn.XLOOKUP($B177,'Cronog. e Histog.'!$BZ:$BZ,'Cronog. e Histog.'!CQ:CQ),"")</f>
        <v>0</v>
      </c>
      <c r="W177" s="144">
        <f>IFERROR(_xlfn.XLOOKUP($B177,'Cronog. e Histog.'!$BZ:$BZ,'Cronog. e Histog.'!CR:CR),"")</f>
        <v>0</v>
      </c>
      <c r="X177" s="144">
        <f>IFERROR(_xlfn.XLOOKUP($B177,'Cronog. e Histog.'!$BZ:$BZ,'Cronog. e Histog.'!CS:CS),"")</f>
        <v>0</v>
      </c>
      <c r="Y177" s="144">
        <f>IFERROR(_xlfn.XLOOKUP($B177,'Cronog. e Histog.'!$BZ:$BZ,'Cronog. e Histog.'!CT:CT),"")</f>
        <v>0</v>
      </c>
      <c r="Z177" s="144">
        <f>IFERROR(_xlfn.XLOOKUP($B177,'Cronog. e Histog.'!$BZ:$BZ,'Cronog. e Histog.'!CU:CU),"")</f>
        <v>0</v>
      </c>
      <c r="AA177" s="144">
        <f>IFERROR(_xlfn.XLOOKUP($B177,'Cronog. e Histog.'!$BZ:$BZ,'Cronog. e Histog.'!CV:CV),"")</f>
        <v>0</v>
      </c>
      <c r="AB177" s="144">
        <f>IFERROR(_xlfn.XLOOKUP($B177,'Cronog. e Histog.'!$BZ:$BZ,'Cronog. e Histog.'!CW:CW),"")</f>
        <v>0</v>
      </c>
      <c r="AC177" s="144">
        <f>IFERROR(_xlfn.XLOOKUP($B177,'Cronog. e Histog.'!$BZ:$BZ,'Cronog. e Histog.'!CX:CX),"")</f>
        <v>0</v>
      </c>
      <c r="AD177" s="144">
        <f>IFERROR(_xlfn.XLOOKUP($B177,'Cronog. e Histog.'!$BZ:$BZ,'Cronog. e Histog.'!CY:CY),"")</f>
        <v>0</v>
      </c>
      <c r="AE177" s="144">
        <f>IFERROR(_xlfn.XLOOKUP($B177,'Cronog. e Histog.'!$BZ:$BZ,'Cronog. e Histog.'!CZ:CZ),"")</f>
        <v>0</v>
      </c>
      <c r="AF177" s="144">
        <f>IFERROR(_xlfn.XLOOKUP($B177,'Cronog. e Histog.'!$BZ:$BZ,'Cronog. e Histog.'!DA:DA),"")</f>
        <v>0</v>
      </c>
      <c r="AG177" s="144">
        <f>IFERROR(_xlfn.XLOOKUP($B177,'Cronog. e Histog.'!$BZ:$BZ,'Cronog. e Histog.'!DB:DB),"")</f>
        <v>0</v>
      </c>
      <c r="AH177" s="144">
        <f>IFERROR(_xlfn.XLOOKUP($B177,'Cronog. e Histog.'!$BZ:$BZ,'Cronog. e Histog.'!DC:DC),"")</f>
        <v>0</v>
      </c>
      <c r="AI177" s="144">
        <f>IFERROR(_xlfn.XLOOKUP($B177,'Cronog. e Histog.'!$BZ:$BZ,'Cronog. e Histog.'!DD:DD),"")</f>
        <v>0</v>
      </c>
      <c r="AJ177" s="144">
        <f>IFERROR(_xlfn.XLOOKUP($B177,'Cronog. e Histog.'!$BZ:$BZ,'Cronog. e Histog.'!DE:DE),"")</f>
        <v>0</v>
      </c>
      <c r="AK177" s="144">
        <f>IFERROR(_xlfn.XLOOKUP($B177,'Cronog. e Histog.'!$BZ:$BZ,'Cronog. e Histog.'!DF:DF),"")</f>
        <v>0</v>
      </c>
      <c r="AL177" s="144">
        <f>IFERROR(_xlfn.XLOOKUP($B177,'Cronog. e Histog.'!$BZ:$BZ,'Cronog. e Histog.'!DG:DG),"")</f>
        <v>0</v>
      </c>
      <c r="AM177" s="144">
        <f>IFERROR(_xlfn.XLOOKUP($B177,'Cronog. e Histog.'!$BZ:$BZ,'Cronog. e Histog.'!DH:DH),"")</f>
        <v>0</v>
      </c>
      <c r="AN177" s="144">
        <f>IFERROR(_xlfn.XLOOKUP($B177,'Cronog. e Histog.'!$BZ:$BZ,'Cronog. e Histog.'!DI:DI),"")</f>
        <v>0</v>
      </c>
      <c r="AO177" s="144">
        <f>IFERROR(_xlfn.XLOOKUP($B177,'Cronog. e Histog.'!$BZ:$BZ,'Cronog. e Histog.'!DJ:DJ),"")</f>
        <v>0</v>
      </c>
      <c r="AP177" s="144">
        <f>IFERROR(_xlfn.XLOOKUP($B177,'Cronog. e Histog.'!$BZ:$BZ,'Cronog. e Histog.'!DK:DK),"")</f>
        <v>0</v>
      </c>
      <c r="AQ177" s="144">
        <f>IFERROR(_xlfn.XLOOKUP($B177,'Cronog. e Histog.'!$BZ:$BZ,'Cronog. e Histog.'!DL:DL),"")</f>
        <v>0</v>
      </c>
      <c r="AR177" s="144">
        <f>IFERROR(_xlfn.XLOOKUP($B177,'Cronog. e Histog.'!$BZ:$BZ,'Cronog. e Histog.'!DM:DM),"")</f>
        <v>0</v>
      </c>
      <c r="AS177" s="144">
        <f>IFERROR(_xlfn.XLOOKUP($B177,'Cronog. e Histog.'!$BZ:$BZ,'Cronog. e Histog.'!DN:DN),"")</f>
        <v>0</v>
      </c>
      <c r="AT177" s="144">
        <f>IFERROR(_xlfn.XLOOKUP($B177,'Cronog. e Histog.'!$BZ:$BZ,'Cronog. e Histog.'!DO:DO),"")</f>
        <v>0</v>
      </c>
      <c r="AU177" s="144">
        <f>IFERROR(_xlfn.XLOOKUP($B177,'Cronog. e Histog.'!$BZ:$BZ,'Cronog. e Histog.'!DP:DP),"")</f>
        <v>0</v>
      </c>
      <c r="AV177" s="144">
        <f>IFERROR(_xlfn.XLOOKUP($B177,'Cronog. e Histog.'!$BZ:$BZ,'Cronog. e Histog.'!DQ:DQ),"")</f>
        <v>0</v>
      </c>
      <c r="AW177" s="144">
        <f>IFERROR(_xlfn.XLOOKUP($B177,'Cronog. e Histog.'!$BZ:$BZ,'Cronog. e Histog.'!DR:DR),"")</f>
        <v>0</v>
      </c>
      <c r="AX177" s="144">
        <f>IFERROR(_xlfn.XLOOKUP($B177,'Cronog. e Histog.'!$BZ:$BZ,'Cronog. e Histog.'!DS:DS),"")</f>
        <v>0</v>
      </c>
      <c r="AY177" s="144">
        <f>IFERROR(_xlfn.XLOOKUP($B177,'Cronog. e Histog.'!$BZ:$BZ,'Cronog. e Histog.'!DT:DT),"")</f>
        <v>0</v>
      </c>
      <c r="AZ177" s="144">
        <f>IFERROR(_xlfn.XLOOKUP($B177,'Cronog. e Histog.'!$BZ:$BZ,'Cronog. e Histog.'!DU:DU),"")</f>
        <v>0</v>
      </c>
      <c r="BA177" s="144">
        <f>IFERROR(_xlfn.XLOOKUP($B177,'Cronog. e Histog.'!$BZ:$BZ,'Cronog. e Histog.'!DV:DV),"")</f>
        <v>0</v>
      </c>
      <c r="BB177" s="144">
        <f>IFERROR(_xlfn.XLOOKUP($B177,'Cronog. e Histog.'!$BZ:$BZ,'Cronog. e Histog.'!DW:DW),"")</f>
        <v>0</v>
      </c>
      <c r="BC177" s="144">
        <f>IFERROR(_xlfn.XLOOKUP($B177,'Cronog. e Histog.'!$BZ:$BZ,'Cronog. e Histog.'!DX:DX),"")</f>
        <v>0</v>
      </c>
      <c r="BD177" s="144">
        <f>IFERROR(_xlfn.XLOOKUP($B177,'Cronog. e Histog.'!$BZ:$BZ,'Cronog. e Histog.'!DY:DY),"")</f>
        <v>0</v>
      </c>
      <c r="BE177" s="144">
        <f>IFERROR(_xlfn.XLOOKUP($B177,'Cronog. e Histog.'!$BZ:$BZ,'Cronog. e Histog.'!DZ:DZ),"")</f>
        <v>0</v>
      </c>
      <c r="BF177" s="144">
        <f>IFERROR(_xlfn.XLOOKUP($B177,'Cronog. e Histog.'!$BZ:$BZ,'Cronog. e Histog.'!EA:EA),"")</f>
        <v>0</v>
      </c>
      <c r="BG177" s="144">
        <f>IFERROR(_xlfn.XLOOKUP($B177,'Cronog. e Histog.'!$BZ:$BZ,'Cronog. e Histog.'!EB:EB),"")</f>
        <v>0</v>
      </c>
      <c r="BH177" s="144">
        <f>IFERROR(_xlfn.XLOOKUP($B177,'Cronog. e Histog.'!$BZ:$BZ,'Cronog. e Histog.'!EC:EC),"")</f>
        <v>0</v>
      </c>
      <c r="BI177" s="144">
        <f>IFERROR(_xlfn.XLOOKUP($B177,'Cronog. e Histog.'!$BZ:$BZ,'Cronog. e Histog.'!ED:ED),"")</f>
        <v>0</v>
      </c>
      <c r="BJ177" s="144">
        <f>IFERROR(_xlfn.XLOOKUP($B177,'Cronog. e Histog.'!$BZ:$BZ,'Cronog. e Histog.'!EE:EE),"")</f>
        <v>0</v>
      </c>
      <c r="BK177" s="144">
        <f>IFERROR(_xlfn.XLOOKUP($B177,'Cronog. e Histog.'!$BZ:$BZ,'Cronog. e Histog.'!EF:EF),"")</f>
        <v>0</v>
      </c>
      <c r="BL177" s="144">
        <f>IFERROR(_xlfn.XLOOKUP($B177,'Cronog. e Histog.'!$BZ:$BZ,'Cronog. e Histog.'!EG:EG),"")</f>
        <v>0</v>
      </c>
      <c r="BM177" s="144">
        <f>IFERROR(_xlfn.XLOOKUP($B177,'Cronog. e Histog.'!$BZ:$BZ,'Cronog. e Histog.'!EH:EH),"")</f>
        <v>0</v>
      </c>
      <c r="BN177" s="144">
        <f>IFERROR(_xlfn.XLOOKUP($B177,'Cronog. e Histog.'!$BZ:$BZ,'Cronog. e Histog.'!EI:EI),"")</f>
        <v>0</v>
      </c>
    </row>
    <row r="178" spans="2:66" ht="12" hidden="1" customHeight="1" outlineLevel="1">
      <c r="B178" s="76">
        <v>172</v>
      </c>
      <c r="C178" s="143" t="str">
        <f>IFERROR(VLOOKUP(B178,'Cronog. e Histog.'!$BZ$213:$CA$747,2,0),"")</f>
        <v>AN JR. ADM/CRP</v>
      </c>
      <c r="D178" s="144">
        <f t="shared" si="4"/>
        <v>0</v>
      </c>
      <c r="E178" s="144">
        <f t="shared" si="5"/>
        <v>0</v>
      </c>
      <c r="F178" s="65"/>
      <c r="G178" s="144">
        <f>IFERROR(_xlfn.XLOOKUP($B178,'Cronog. e Histog.'!$BZ:$BZ,'Cronog. e Histog.'!CB:CB),"")</f>
        <v>0</v>
      </c>
      <c r="H178" s="144">
        <f>IFERROR(_xlfn.XLOOKUP($B178,'Cronog. e Histog.'!$BZ:$BZ,'Cronog. e Histog.'!CC:CC),"")</f>
        <v>0</v>
      </c>
      <c r="I178" s="144">
        <f>IFERROR(_xlfn.XLOOKUP($B178,'Cronog. e Histog.'!$BZ:$BZ,'Cronog. e Histog.'!CD:CD),"")</f>
        <v>0</v>
      </c>
      <c r="J178" s="144">
        <f>IFERROR(_xlfn.XLOOKUP($B178,'Cronog. e Histog.'!$BZ:$BZ,'Cronog. e Histog.'!CE:CE),"")</f>
        <v>0</v>
      </c>
      <c r="K178" s="144">
        <f>IFERROR(_xlfn.XLOOKUP($B178,'Cronog. e Histog.'!$BZ:$BZ,'Cronog. e Histog.'!CF:CF),"")</f>
        <v>0</v>
      </c>
      <c r="L178" s="144">
        <f>IFERROR(_xlfn.XLOOKUP($B178,'Cronog. e Histog.'!$BZ:$BZ,'Cronog. e Histog.'!CG:CG),"")</f>
        <v>0</v>
      </c>
      <c r="M178" s="144">
        <f>IFERROR(_xlfn.XLOOKUP($B178,'Cronog. e Histog.'!$BZ:$BZ,'Cronog. e Histog.'!CH:CH),"")</f>
        <v>0</v>
      </c>
      <c r="N178" s="144">
        <f>IFERROR(_xlfn.XLOOKUP($B178,'Cronog. e Histog.'!$BZ:$BZ,'Cronog. e Histog.'!CI:CI),"")</f>
        <v>0</v>
      </c>
      <c r="O178" s="144">
        <f>IFERROR(_xlfn.XLOOKUP($B178,'Cronog. e Histog.'!$BZ:$BZ,'Cronog. e Histog.'!CJ:CJ),"")</f>
        <v>0</v>
      </c>
      <c r="P178" s="144">
        <f>IFERROR(_xlfn.XLOOKUP($B178,'Cronog. e Histog.'!$BZ:$BZ,'Cronog. e Histog.'!CK:CK),"")</f>
        <v>0</v>
      </c>
      <c r="Q178" s="144">
        <f>IFERROR(_xlfn.XLOOKUP($B178,'Cronog. e Histog.'!$BZ:$BZ,'Cronog. e Histog.'!CL:CL),"")</f>
        <v>0</v>
      </c>
      <c r="R178" s="144">
        <f>IFERROR(_xlfn.XLOOKUP($B178,'Cronog. e Histog.'!$BZ:$BZ,'Cronog. e Histog.'!CM:CM),"")</f>
        <v>0</v>
      </c>
      <c r="S178" s="144">
        <f>IFERROR(_xlfn.XLOOKUP($B178,'Cronog. e Histog.'!$BZ:$BZ,'Cronog. e Histog.'!CN:CN),"")</f>
        <v>0</v>
      </c>
      <c r="T178" s="144">
        <f>IFERROR(_xlfn.XLOOKUP($B178,'Cronog. e Histog.'!$BZ:$BZ,'Cronog. e Histog.'!CO:CO),"")</f>
        <v>0</v>
      </c>
      <c r="U178" s="144">
        <f>IFERROR(_xlfn.XLOOKUP($B178,'Cronog. e Histog.'!$BZ:$BZ,'Cronog. e Histog.'!CP:CP),"")</f>
        <v>0</v>
      </c>
      <c r="V178" s="144">
        <f>IFERROR(_xlfn.XLOOKUP($B178,'Cronog. e Histog.'!$BZ:$BZ,'Cronog. e Histog.'!CQ:CQ),"")</f>
        <v>0</v>
      </c>
      <c r="W178" s="144">
        <f>IFERROR(_xlfn.XLOOKUP($B178,'Cronog. e Histog.'!$BZ:$BZ,'Cronog. e Histog.'!CR:CR),"")</f>
        <v>0</v>
      </c>
      <c r="X178" s="144">
        <f>IFERROR(_xlfn.XLOOKUP($B178,'Cronog. e Histog.'!$BZ:$BZ,'Cronog. e Histog.'!CS:CS),"")</f>
        <v>0</v>
      </c>
      <c r="Y178" s="144">
        <f>IFERROR(_xlfn.XLOOKUP($B178,'Cronog. e Histog.'!$BZ:$BZ,'Cronog. e Histog.'!CT:CT),"")</f>
        <v>0</v>
      </c>
      <c r="Z178" s="144">
        <f>IFERROR(_xlfn.XLOOKUP($B178,'Cronog. e Histog.'!$BZ:$BZ,'Cronog. e Histog.'!CU:CU),"")</f>
        <v>0</v>
      </c>
      <c r="AA178" s="144">
        <f>IFERROR(_xlfn.XLOOKUP($B178,'Cronog. e Histog.'!$BZ:$BZ,'Cronog. e Histog.'!CV:CV),"")</f>
        <v>0</v>
      </c>
      <c r="AB178" s="144">
        <f>IFERROR(_xlfn.XLOOKUP($B178,'Cronog. e Histog.'!$BZ:$BZ,'Cronog. e Histog.'!CW:CW),"")</f>
        <v>0</v>
      </c>
      <c r="AC178" s="144">
        <f>IFERROR(_xlfn.XLOOKUP($B178,'Cronog. e Histog.'!$BZ:$BZ,'Cronog. e Histog.'!CX:CX),"")</f>
        <v>0</v>
      </c>
      <c r="AD178" s="144">
        <f>IFERROR(_xlfn.XLOOKUP($B178,'Cronog. e Histog.'!$BZ:$BZ,'Cronog. e Histog.'!CY:CY),"")</f>
        <v>0</v>
      </c>
      <c r="AE178" s="144">
        <f>IFERROR(_xlfn.XLOOKUP($B178,'Cronog. e Histog.'!$BZ:$BZ,'Cronog. e Histog.'!CZ:CZ),"")</f>
        <v>0</v>
      </c>
      <c r="AF178" s="144">
        <f>IFERROR(_xlfn.XLOOKUP($B178,'Cronog. e Histog.'!$BZ:$BZ,'Cronog. e Histog.'!DA:DA),"")</f>
        <v>0</v>
      </c>
      <c r="AG178" s="144">
        <f>IFERROR(_xlfn.XLOOKUP($B178,'Cronog. e Histog.'!$BZ:$BZ,'Cronog. e Histog.'!DB:DB),"")</f>
        <v>0</v>
      </c>
      <c r="AH178" s="144">
        <f>IFERROR(_xlfn.XLOOKUP($B178,'Cronog. e Histog.'!$BZ:$BZ,'Cronog. e Histog.'!DC:DC),"")</f>
        <v>0</v>
      </c>
      <c r="AI178" s="144">
        <f>IFERROR(_xlfn.XLOOKUP($B178,'Cronog. e Histog.'!$BZ:$BZ,'Cronog. e Histog.'!DD:DD),"")</f>
        <v>0</v>
      </c>
      <c r="AJ178" s="144">
        <f>IFERROR(_xlfn.XLOOKUP($B178,'Cronog. e Histog.'!$BZ:$BZ,'Cronog. e Histog.'!DE:DE),"")</f>
        <v>0</v>
      </c>
      <c r="AK178" s="144">
        <f>IFERROR(_xlfn.XLOOKUP($B178,'Cronog. e Histog.'!$BZ:$BZ,'Cronog. e Histog.'!DF:DF),"")</f>
        <v>0</v>
      </c>
      <c r="AL178" s="144">
        <f>IFERROR(_xlfn.XLOOKUP($B178,'Cronog. e Histog.'!$BZ:$BZ,'Cronog. e Histog.'!DG:DG),"")</f>
        <v>0</v>
      </c>
      <c r="AM178" s="144">
        <f>IFERROR(_xlfn.XLOOKUP($B178,'Cronog. e Histog.'!$BZ:$BZ,'Cronog. e Histog.'!DH:DH),"")</f>
        <v>0</v>
      </c>
      <c r="AN178" s="144">
        <f>IFERROR(_xlfn.XLOOKUP($B178,'Cronog. e Histog.'!$BZ:$BZ,'Cronog. e Histog.'!DI:DI),"")</f>
        <v>0</v>
      </c>
      <c r="AO178" s="144">
        <f>IFERROR(_xlfn.XLOOKUP($B178,'Cronog. e Histog.'!$BZ:$BZ,'Cronog. e Histog.'!DJ:DJ),"")</f>
        <v>0</v>
      </c>
      <c r="AP178" s="144">
        <f>IFERROR(_xlfn.XLOOKUP($B178,'Cronog. e Histog.'!$BZ:$BZ,'Cronog. e Histog.'!DK:DK),"")</f>
        <v>0</v>
      </c>
      <c r="AQ178" s="144">
        <f>IFERROR(_xlfn.XLOOKUP($B178,'Cronog. e Histog.'!$BZ:$BZ,'Cronog. e Histog.'!DL:DL),"")</f>
        <v>0</v>
      </c>
      <c r="AR178" s="144">
        <f>IFERROR(_xlfn.XLOOKUP($B178,'Cronog. e Histog.'!$BZ:$BZ,'Cronog. e Histog.'!DM:DM),"")</f>
        <v>0</v>
      </c>
      <c r="AS178" s="144">
        <f>IFERROR(_xlfn.XLOOKUP($B178,'Cronog. e Histog.'!$BZ:$BZ,'Cronog. e Histog.'!DN:DN),"")</f>
        <v>0</v>
      </c>
      <c r="AT178" s="144">
        <f>IFERROR(_xlfn.XLOOKUP($B178,'Cronog. e Histog.'!$BZ:$BZ,'Cronog. e Histog.'!DO:DO),"")</f>
        <v>0</v>
      </c>
      <c r="AU178" s="144">
        <f>IFERROR(_xlfn.XLOOKUP($B178,'Cronog. e Histog.'!$BZ:$BZ,'Cronog. e Histog.'!DP:DP),"")</f>
        <v>0</v>
      </c>
      <c r="AV178" s="144">
        <f>IFERROR(_xlfn.XLOOKUP($B178,'Cronog. e Histog.'!$BZ:$BZ,'Cronog. e Histog.'!DQ:DQ),"")</f>
        <v>0</v>
      </c>
      <c r="AW178" s="144">
        <f>IFERROR(_xlfn.XLOOKUP($B178,'Cronog. e Histog.'!$BZ:$BZ,'Cronog. e Histog.'!DR:DR),"")</f>
        <v>0</v>
      </c>
      <c r="AX178" s="144">
        <f>IFERROR(_xlfn.XLOOKUP($B178,'Cronog. e Histog.'!$BZ:$BZ,'Cronog. e Histog.'!DS:DS),"")</f>
        <v>0</v>
      </c>
      <c r="AY178" s="144">
        <f>IFERROR(_xlfn.XLOOKUP($B178,'Cronog. e Histog.'!$BZ:$BZ,'Cronog. e Histog.'!DT:DT),"")</f>
        <v>0</v>
      </c>
      <c r="AZ178" s="144">
        <f>IFERROR(_xlfn.XLOOKUP($B178,'Cronog. e Histog.'!$BZ:$BZ,'Cronog. e Histog.'!DU:DU),"")</f>
        <v>0</v>
      </c>
      <c r="BA178" s="144">
        <f>IFERROR(_xlfn.XLOOKUP($B178,'Cronog. e Histog.'!$BZ:$BZ,'Cronog. e Histog.'!DV:DV),"")</f>
        <v>0</v>
      </c>
      <c r="BB178" s="144">
        <f>IFERROR(_xlfn.XLOOKUP($B178,'Cronog. e Histog.'!$BZ:$BZ,'Cronog. e Histog.'!DW:DW),"")</f>
        <v>0</v>
      </c>
      <c r="BC178" s="144">
        <f>IFERROR(_xlfn.XLOOKUP($B178,'Cronog. e Histog.'!$BZ:$BZ,'Cronog. e Histog.'!DX:DX),"")</f>
        <v>0</v>
      </c>
      <c r="BD178" s="144">
        <f>IFERROR(_xlfn.XLOOKUP($B178,'Cronog. e Histog.'!$BZ:$BZ,'Cronog. e Histog.'!DY:DY),"")</f>
        <v>0</v>
      </c>
      <c r="BE178" s="144">
        <f>IFERROR(_xlfn.XLOOKUP($B178,'Cronog. e Histog.'!$BZ:$BZ,'Cronog. e Histog.'!DZ:DZ),"")</f>
        <v>0</v>
      </c>
      <c r="BF178" s="144">
        <f>IFERROR(_xlfn.XLOOKUP($B178,'Cronog. e Histog.'!$BZ:$BZ,'Cronog. e Histog.'!EA:EA),"")</f>
        <v>0</v>
      </c>
      <c r="BG178" s="144">
        <f>IFERROR(_xlfn.XLOOKUP($B178,'Cronog. e Histog.'!$BZ:$BZ,'Cronog. e Histog.'!EB:EB),"")</f>
        <v>0</v>
      </c>
      <c r="BH178" s="144">
        <f>IFERROR(_xlfn.XLOOKUP($B178,'Cronog. e Histog.'!$BZ:$BZ,'Cronog. e Histog.'!EC:EC),"")</f>
        <v>0</v>
      </c>
      <c r="BI178" s="144">
        <f>IFERROR(_xlfn.XLOOKUP($B178,'Cronog. e Histog.'!$BZ:$BZ,'Cronog. e Histog.'!ED:ED),"")</f>
        <v>0</v>
      </c>
      <c r="BJ178" s="144">
        <f>IFERROR(_xlfn.XLOOKUP($B178,'Cronog. e Histog.'!$BZ:$BZ,'Cronog. e Histog.'!EE:EE),"")</f>
        <v>0</v>
      </c>
      <c r="BK178" s="144">
        <f>IFERROR(_xlfn.XLOOKUP($B178,'Cronog. e Histog.'!$BZ:$BZ,'Cronog. e Histog.'!EF:EF),"")</f>
        <v>0</v>
      </c>
      <c r="BL178" s="144">
        <f>IFERROR(_xlfn.XLOOKUP($B178,'Cronog. e Histog.'!$BZ:$BZ,'Cronog. e Histog.'!EG:EG),"")</f>
        <v>0</v>
      </c>
      <c r="BM178" s="144">
        <f>IFERROR(_xlfn.XLOOKUP($B178,'Cronog. e Histog.'!$BZ:$BZ,'Cronog. e Histog.'!EH:EH),"")</f>
        <v>0</v>
      </c>
      <c r="BN178" s="144">
        <f>IFERROR(_xlfn.XLOOKUP($B178,'Cronog. e Histog.'!$BZ:$BZ,'Cronog. e Histog.'!EI:EI),"")</f>
        <v>0</v>
      </c>
    </row>
    <row r="179" spans="2:66" ht="12" hidden="1" customHeight="1" outlineLevel="1">
      <c r="B179" s="76">
        <v>173</v>
      </c>
      <c r="C179" s="143" t="str">
        <f>IFERROR(VLOOKUP(B179,'Cronog. e Histog.'!$BZ$213:$CA$747,2,0),"")</f>
        <v>TEC III</v>
      </c>
      <c r="D179" s="144">
        <f t="shared" si="4"/>
        <v>0</v>
      </c>
      <c r="E179" s="144">
        <f t="shared" si="5"/>
        <v>0</v>
      </c>
      <c r="F179" s="65"/>
      <c r="G179" s="144">
        <f>IFERROR(_xlfn.XLOOKUP($B179,'Cronog. e Histog.'!$BZ:$BZ,'Cronog. e Histog.'!CB:CB),"")</f>
        <v>0</v>
      </c>
      <c r="H179" s="144">
        <f>IFERROR(_xlfn.XLOOKUP($B179,'Cronog. e Histog.'!$BZ:$BZ,'Cronog. e Histog.'!CC:CC),"")</f>
        <v>0</v>
      </c>
      <c r="I179" s="144">
        <f>IFERROR(_xlfn.XLOOKUP($B179,'Cronog. e Histog.'!$BZ:$BZ,'Cronog. e Histog.'!CD:CD),"")</f>
        <v>0</v>
      </c>
      <c r="J179" s="144">
        <f>IFERROR(_xlfn.XLOOKUP($B179,'Cronog. e Histog.'!$BZ:$BZ,'Cronog. e Histog.'!CE:CE),"")</f>
        <v>0</v>
      </c>
      <c r="K179" s="144">
        <f>IFERROR(_xlfn.XLOOKUP($B179,'Cronog. e Histog.'!$BZ:$BZ,'Cronog. e Histog.'!CF:CF),"")</f>
        <v>0</v>
      </c>
      <c r="L179" s="144">
        <f>IFERROR(_xlfn.XLOOKUP($B179,'Cronog. e Histog.'!$BZ:$BZ,'Cronog. e Histog.'!CG:CG),"")</f>
        <v>0</v>
      </c>
      <c r="M179" s="144">
        <f>IFERROR(_xlfn.XLOOKUP($B179,'Cronog. e Histog.'!$BZ:$BZ,'Cronog. e Histog.'!CH:CH),"")</f>
        <v>0</v>
      </c>
      <c r="N179" s="144">
        <f>IFERROR(_xlfn.XLOOKUP($B179,'Cronog. e Histog.'!$BZ:$BZ,'Cronog. e Histog.'!CI:CI),"")</f>
        <v>0</v>
      </c>
      <c r="O179" s="144">
        <f>IFERROR(_xlfn.XLOOKUP($B179,'Cronog. e Histog.'!$BZ:$BZ,'Cronog. e Histog.'!CJ:CJ),"")</f>
        <v>0</v>
      </c>
      <c r="P179" s="144">
        <f>IFERROR(_xlfn.XLOOKUP($B179,'Cronog. e Histog.'!$BZ:$BZ,'Cronog. e Histog.'!CK:CK),"")</f>
        <v>0</v>
      </c>
      <c r="Q179" s="144">
        <f>IFERROR(_xlfn.XLOOKUP($B179,'Cronog. e Histog.'!$BZ:$BZ,'Cronog. e Histog.'!CL:CL),"")</f>
        <v>0</v>
      </c>
      <c r="R179" s="144">
        <f>IFERROR(_xlfn.XLOOKUP($B179,'Cronog. e Histog.'!$BZ:$BZ,'Cronog. e Histog.'!CM:CM),"")</f>
        <v>0</v>
      </c>
      <c r="S179" s="144">
        <f>IFERROR(_xlfn.XLOOKUP($B179,'Cronog. e Histog.'!$BZ:$BZ,'Cronog. e Histog.'!CN:CN),"")</f>
        <v>0</v>
      </c>
      <c r="T179" s="144">
        <f>IFERROR(_xlfn.XLOOKUP($B179,'Cronog. e Histog.'!$BZ:$BZ,'Cronog. e Histog.'!CO:CO),"")</f>
        <v>0</v>
      </c>
      <c r="U179" s="144">
        <f>IFERROR(_xlfn.XLOOKUP($B179,'Cronog. e Histog.'!$BZ:$BZ,'Cronog. e Histog.'!CP:CP),"")</f>
        <v>0</v>
      </c>
      <c r="V179" s="144">
        <f>IFERROR(_xlfn.XLOOKUP($B179,'Cronog. e Histog.'!$BZ:$BZ,'Cronog. e Histog.'!CQ:CQ),"")</f>
        <v>0</v>
      </c>
      <c r="W179" s="144">
        <f>IFERROR(_xlfn.XLOOKUP($B179,'Cronog. e Histog.'!$BZ:$BZ,'Cronog. e Histog.'!CR:CR),"")</f>
        <v>0</v>
      </c>
      <c r="X179" s="144">
        <f>IFERROR(_xlfn.XLOOKUP($B179,'Cronog. e Histog.'!$BZ:$BZ,'Cronog. e Histog.'!CS:CS),"")</f>
        <v>0</v>
      </c>
      <c r="Y179" s="144">
        <f>IFERROR(_xlfn.XLOOKUP($B179,'Cronog. e Histog.'!$BZ:$BZ,'Cronog. e Histog.'!CT:CT),"")</f>
        <v>0</v>
      </c>
      <c r="Z179" s="144">
        <f>IFERROR(_xlfn.XLOOKUP($B179,'Cronog. e Histog.'!$BZ:$BZ,'Cronog. e Histog.'!CU:CU),"")</f>
        <v>0</v>
      </c>
      <c r="AA179" s="144">
        <f>IFERROR(_xlfn.XLOOKUP($B179,'Cronog. e Histog.'!$BZ:$BZ,'Cronog. e Histog.'!CV:CV),"")</f>
        <v>0</v>
      </c>
      <c r="AB179" s="144">
        <f>IFERROR(_xlfn.XLOOKUP($B179,'Cronog. e Histog.'!$BZ:$BZ,'Cronog. e Histog.'!CW:CW),"")</f>
        <v>0</v>
      </c>
      <c r="AC179" s="144">
        <f>IFERROR(_xlfn.XLOOKUP($B179,'Cronog. e Histog.'!$BZ:$BZ,'Cronog. e Histog.'!CX:CX),"")</f>
        <v>0</v>
      </c>
      <c r="AD179" s="144">
        <f>IFERROR(_xlfn.XLOOKUP($B179,'Cronog. e Histog.'!$BZ:$BZ,'Cronog. e Histog.'!CY:CY),"")</f>
        <v>0</v>
      </c>
      <c r="AE179" s="144">
        <f>IFERROR(_xlfn.XLOOKUP($B179,'Cronog. e Histog.'!$BZ:$BZ,'Cronog. e Histog.'!CZ:CZ),"")</f>
        <v>0</v>
      </c>
      <c r="AF179" s="144">
        <f>IFERROR(_xlfn.XLOOKUP($B179,'Cronog. e Histog.'!$BZ:$BZ,'Cronog. e Histog.'!DA:DA),"")</f>
        <v>0</v>
      </c>
      <c r="AG179" s="144">
        <f>IFERROR(_xlfn.XLOOKUP($B179,'Cronog. e Histog.'!$BZ:$BZ,'Cronog. e Histog.'!DB:DB),"")</f>
        <v>0</v>
      </c>
      <c r="AH179" s="144">
        <f>IFERROR(_xlfn.XLOOKUP($B179,'Cronog. e Histog.'!$BZ:$BZ,'Cronog. e Histog.'!DC:DC),"")</f>
        <v>0</v>
      </c>
      <c r="AI179" s="144">
        <f>IFERROR(_xlfn.XLOOKUP($B179,'Cronog. e Histog.'!$BZ:$BZ,'Cronog. e Histog.'!DD:DD),"")</f>
        <v>0</v>
      </c>
      <c r="AJ179" s="144">
        <f>IFERROR(_xlfn.XLOOKUP($B179,'Cronog. e Histog.'!$BZ:$BZ,'Cronog. e Histog.'!DE:DE),"")</f>
        <v>0</v>
      </c>
      <c r="AK179" s="144">
        <f>IFERROR(_xlfn.XLOOKUP($B179,'Cronog. e Histog.'!$BZ:$BZ,'Cronog. e Histog.'!DF:DF),"")</f>
        <v>0</v>
      </c>
      <c r="AL179" s="144">
        <f>IFERROR(_xlfn.XLOOKUP($B179,'Cronog. e Histog.'!$BZ:$BZ,'Cronog. e Histog.'!DG:DG),"")</f>
        <v>0</v>
      </c>
      <c r="AM179" s="144">
        <f>IFERROR(_xlfn.XLOOKUP($B179,'Cronog. e Histog.'!$BZ:$BZ,'Cronog. e Histog.'!DH:DH),"")</f>
        <v>0</v>
      </c>
      <c r="AN179" s="144">
        <f>IFERROR(_xlfn.XLOOKUP($B179,'Cronog. e Histog.'!$BZ:$BZ,'Cronog. e Histog.'!DI:DI),"")</f>
        <v>0</v>
      </c>
      <c r="AO179" s="144">
        <f>IFERROR(_xlfn.XLOOKUP($B179,'Cronog. e Histog.'!$BZ:$BZ,'Cronog. e Histog.'!DJ:DJ),"")</f>
        <v>0</v>
      </c>
      <c r="AP179" s="144">
        <f>IFERROR(_xlfn.XLOOKUP($B179,'Cronog. e Histog.'!$BZ:$BZ,'Cronog. e Histog.'!DK:DK),"")</f>
        <v>0</v>
      </c>
      <c r="AQ179" s="144">
        <f>IFERROR(_xlfn.XLOOKUP($B179,'Cronog. e Histog.'!$BZ:$BZ,'Cronog. e Histog.'!DL:DL),"")</f>
        <v>0</v>
      </c>
      <c r="AR179" s="144">
        <f>IFERROR(_xlfn.XLOOKUP($B179,'Cronog. e Histog.'!$BZ:$BZ,'Cronog. e Histog.'!DM:DM),"")</f>
        <v>0</v>
      </c>
      <c r="AS179" s="144">
        <f>IFERROR(_xlfn.XLOOKUP($B179,'Cronog. e Histog.'!$BZ:$BZ,'Cronog. e Histog.'!DN:DN),"")</f>
        <v>0</v>
      </c>
      <c r="AT179" s="144">
        <f>IFERROR(_xlfn.XLOOKUP($B179,'Cronog. e Histog.'!$BZ:$BZ,'Cronog. e Histog.'!DO:DO),"")</f>
        <v>0</v>
      </c>
      <c r="AU179" s="144">
        <f>IFERROR(_xlfn.XLOOKUP($B179,'Cronog. e Histog.'!$BZ:$BZ,'Cronog. e Histog.'!DP:DP),"")</f>
        <v>0</v>
      </c>
      <c r="AV179" s="144">
        <f>IFERROR(_xlfn.XLOOKUP($B179,'Cronog. e Histog.'!$BZ:$BZ,'Cronog. e Histog.'!DQ:DQ),"")</f>
        <v>0</v>
      </c>
      <c r="AW179" s="144">
        <f>IFERROR(_xlfn.XLOOKUP($B179,'Cronog. e Histog.'!$BZ:$BZ,'Cronog. e Histog.'!DR:DR),"")</f>
        <v>0</v>
      </c>
      <c r="AX179" s="144">
        <f>IFERROR(_xlfn.XLOOKUP($B179,'Cronog. e Histog.'!$BZ:$BZ,'Cronog. e Histog.'!DS:DS),"")</f>
        <v>0</v>
      </c>
      <c r="AY179" s="144">
        <f>IFERROR(_xlfn.XLOOKUP($B179,'Cronog. e Histog.'!$BZ:$BZ,'Cronog. e Histog.'!DT:DT),"")</f>
        <v>0</v>
      </c>
      <c r="AZ179" s="144">
        <f>IFERROR(_xlfn.XLOOKUP($B179,'Cronog. e Histog.'!$BZ:$BZ,'Cronog. e Histog.'!DU:DU),"")</f>
        <v>0</v>
      </c>
      <c r="BA179" s="144">
        <f>IFERROR(_xlfn.XLOOKUP($B179,'Cronog. e Histog.'!$BZ:$BZ,'Cronog. e Histog.'!DV:DV),"")</f>
        <v>0</v>
      </c>
      <c r="BB179" s="144">
        <f>IFERROR(_xlfn.XLOOKUP($B179,'Cronog. e Histog.'!$BZ:$BZ,'Cronog. e Histog.'!DW:DW),"")</f>
        <v>0</v>
      </c>
      <c r="BC179" s="144">
        <f>IFERROR(_xlfn.XLOOKUP($B179,'Cronog. e Histog.'!$BZ:$BZ,'Cronog. e Histog.'!DX:DX),"")</f>
        <v>0</v>
      </c>
      <c r="BD179" s="144">
        <f>IFERROR(_xlfn.XLOOKUP($B179,'Cronog. e Histog.'!$BZ:$BZ,'Cronog. e Histog.'!DY:DY),"")</f>
        <v>0</v>
      </c>
      <c r="BE179" s="144">
        <f>IFERROR(_xlfn.XLOOKUP($B179,'Cronog. e Histog.'!$BZ:$BZ,'Cronog. e Histog.'!DZ:DZ),"")</f>
        <v>0</v>
      </c>
      <c r="BF179" s="144">
        <f>IFERROR(_xlfn.XLOOKUP($B179,'Cronog. e Histog.'!$BZ:$BZ,'Cronog. e Histog.'!EA:EA),"")</f>
        <v>0</v>
      </c>
      <c r="BG179" s="144">
        <f>IFERROR(_xlfn.XLOOKUP($B179,'Cronog. e Histog.'!$BZ:$BZ,'Cronog. e Histog.'!EB:EB),"")</f>
        <v>0</v>
      </c>
      <c r="BH179" s="144">
        <f>IFERROR(_xlfn.XLOOKUP($B179,'Cronog. e Histog.'!$BZ:$BZ,'Cronog. e Histog.'!EC:EC),"")</f>
        <v>0</v>
      </c>
      <c r="BI179" s="144">
        <f>IFERROR(_xlfn.XLOOKUP($B179,'Cronog. e Histog.'!$BZ:$BZ,'Cronog. e Histog.'!ED:ED),"")</f>
        <v>0</v>
      </c>
      <c r="BJ179" s="144">
        <f>IFERROR(_xlfn.XLOOKUP($B179,'Cronog. e Histog.'!$BZ:$BZ,'Cronog. e Histog.'!EE:EE),"")</f>
        <v>0</v>
      </c>
      <c r="BK179" s="144">
        <f>IFERROR(_xlfn.XLOOKUP($B179,'Cronog. e Histog.'!$BZ:$BZ,'Cronog. e Histog.'!EF:EF),"")</f>
        <v>0</v>
      </c>
      <c r="BL179" s="144">
        <f>IFERROR(_xlfn.XLOOKUP($B179,'Cronog. e Histog.'!$BZ:$BZ,'Cronog. e Histog.'!EG:EG),"")</f>
        <v>0</v>
      </c>
      <c r="BM179" s="144">
        <f>IFERROR(_xlfn.XLOOKUP($B179,'Cronog. e Histog.'!$BZ:$BZ,'Cronog. e Histog.'!EH:EH),"")</f>
        <v>0</v>
      </c>
      <c r="BN179" s="144">
        <f>IFERROR(_xlfn.XLOOKUP($B179,'Cronog. e Histog.'!$BZ:$BZ,'Cronog. e Histog.'!EI:EI),"")</f>
        <v>0</v>
      </c>
    </row>
    <row r="180" spans="2:66" ht="12" hidden="1" customHeight="1" outlineLevel="1">
      <c r="B180" s="76">
        <v>174</v>
      </c>
      <c r="C180" s="143" t="str">
        <f>IFERROR(VLOOKUP(B180,'Cronog. e Histog.'!$BZ$213:$CA$747,2,0),"")</f>
        <v>TEC II</v>
      </c>
      <c r="D180" s="144">
        <f t="shared" si="4"/>
        <v>0</v>
      </c>
      <c r="E180" s="144">
        <f t="shared" si="5"/>
        <v>0</v>
      </c>
      <c r="F180" s="65"/>
      <c r="G180" s="144">
        <f>IFERROR(_xlfn.XLOOKUP($B180,'Cronog. e Histog.'!$BZ:$BZ,'Cronog. e Histog.'!CB:CB),"")</f>
        <v>0</v>
      </c>
      <c r="H180" s="144">
        <f>IFERROR(_xlfn.XLOOKUP($B180,'Cronog. e Histog.'!$BZ:$BZ,'Cronog. e Histog.'!CC:CC),"")</f>
        <v>0</v>
      </c>
      <c r="I180" s="144">
        <f>IFERROR(_xlfn.XLOOKUP($B180,'Cronog. e Histog.'!$BZ:$BZ,'Cronog. e Histog.'!CD:CD),"")</f>
        <v>0</v>
      </c>
      <c r="J180" s="144">
        <f>IFERROR(_xlfn.XLOOKUP($B180,'Cronog. e Histog.'!$BZ:$BZ,'Cronog. e Histog.'!CE:CE),"")</f>
        <v>0</v>
      </c>
      <c r="K180" s="144">
        <f>IFERROR(_xlfn.XLOOKUP($B180,'Cronog. e Histog.'!$BZ:$BZ,'Cronog. e Histog.'!CF:CF),"")</f>
        <v>0</v>
      </c>
      <c r="L180" s="144">
        <f>IFERROR(_xlfn.XLOOKUP($B180,'Cronog. e Histog.'!$BZ:$BZ,'Cronog. e Histog.'!CG:CG),"")</f>
        <v>0</v>
      </c>
      <c r="M180" s="144">
        <f>IFERROR(_xlfn.XLOOKUP($B180,'Cronog. e Histog.'!$BZ:$BZ,'Cronog. e Histog.'!CH:CH),"")</f>
        <v>0</v>
      </c>
      <c r="N180" s="144">
        <f>IFERROR(_xlfn.XLOOKUP($B180,'Cronog. e Histog.'!$BZ:$BZ,'Cronog. e Histog.'!CI:CI),"")</f>
        <v>0</v>
      </c>
      <c r="O180" s="144">
        <f>IFERROR(_xlfn.XLOOKUP($B180,'Cronog. e Histog.'!$BZ:$BZ,'Cronog. e Histog.'!CJ:CJ),"")</f>
        <v>0</v>
      </c>
      <c r="P180" s="144">
        <f>IFERROR(_xlfn.XLOOKUP($B180,'Cronog. e Histog.'!$BZ:$BZ,'Cronog. e Histog.'!CK:CK),"")</f>
        <v>0</v>
      </c>
      <c r="Q180" s="144">
        <f>IFERROR(_xlfn.XLOOKUP($B180,'Cronog. e Histog.'!$BZ:$BZ,'Cronog. e Histog.'!CL:CL),"")</f>
        <v>0</v>
      </c>
      <c r="R180" s="144">
        <f>IFERROR(_xlfn.XLOOKUP($B180,'Cronog. e Histog.'!$BZ:$BZ,'Cronog. e Histog.'!CM:CM),"")</f>
        <v>0</v>
      </c>
      <c r="S180" s="144">
        <f>IFERROR(_xlfn.XLOOKUP($B180,'Cronog. e Histog.'!$BZ:$BZ,'Cronog. e Histog.'!CN:CN),"")</f>
        <v>0</v>
      </c>
      <c r="T180" s="144">
        <f>IFERROR(_xlfn.XLOOKUP($B180,'Cronog. e Histog.'!$BZ:$BZ,'Cronog. e Histog.'!CO:CO),"")</f>
        <v>0</v>
      </c>
      <c r="U180" s="144">
        <f>IFERROR(_xlfn.XLOOKUP($B180,'Cronog. e Histog.'!$BZ:$BZ,'Cronog. e Histog.'!CP:CP),"")</f>
        <v>0</v>
      </c>
      <c r="V180" s="144">
        <f>IFERROR(_xlfn.XLOOKUP($B180,'Cronog. e Histog.'!$BZ:$BZ,'Cronog. e Histog.'!CQ:CQ),"")</f>
        <v>0</v>
      </c>
      <c r="W180" s="144">
        <f>IFERROR(_xlfn.XLOOKUP($B180,'Cronog. e Histog.'!$BZ:$BZ,'Cronog. e Histog.'!CR:CR),"")</f>
        <v>0</v>
      </c>
      <c r="X180" s="144">
        <f>IFERROR(_xlfn.XLOOKUP($B180,'Cronog. e Histog.'!$BZ:$BZ,'Cronog. e Histog.'!CS:CS),"")</f>
        <v>0</v>
      </c>
      <c r="Y180" s="144">
        <f>IFERROR(_xlfn.XLOOKUP($B180,'Cronog. e Histog.'!$BZ:$BZ,'Cronog. e Histog.'!CT:CT),"")</f>
        <v>0</v>
      </c>
      <c r="Z180" s="144">
        <f>IFERROR(_xlfn.XLOOKUP($B180,'Cronog. e Histog.'!$BZ:$BZ,'Cronog. e Histog.'!CU:CU),"")</f>
        <v>0</v>
      </c>
      <c r="AA180" s="144">
        <f>IFERROR(_xlfn.XLOOKUP($B180,'Cronog. e Histog.'!$BZ:$BZ,'Cronog. e Histog.'!CV:CV),"")</f>
        <v>0</v>
      </c>
      <c r="AB180" s="144">
        <f>IFERROR(_xlfn.XLOOKUP($B180,'Cronog. e Histog.'!$BZ:$BZ,'Cronog. e Histog.'!CW:CW),"")</f>
        <v>0</v>
      </c>
      <c r="AC180" s="144">
        <f>IFERROR(_xlfn.XLOOKUP($B180,'Cronog. e Histog.'!$BZ:$BZ,'Cronog. e Histog.'!CX:CX),"")</f>
        <v>0</v>
      </c>
      <c r="AD180" s="144">
        <f>IFERROR(_xlfn.XLOOKUP($B180,'Cronog. e Histog.'!$BZ:$BZ,'Cronog. e Histog.'!CY:CY),"")</f>
        <v>0</v>
      </c>
      <c r="AE180" s="144">
        <f>IFERROR(_xlfn.XLOOKUP($B180,'Cronog. e Histog.'!$BZ:$BZ,'Cronog. e Histog.'!CZ:CZ),"")</f>
        <v>0</v>
      </c>
      <c r="AF180" s="144">
        <f>IFERROR(_xlfn.XLOOKUP($B180,'Cronog. e Histog.'!$BZ:$BZ,'Cronog. e Histog.'!DA:DA),"")</f>
        <v>0</v>
      </c>
      <c r="AG180" s="144">
        <f>IFERROR(_xlfn.XLOOKUP($B180,'Cronog. e Histog.'!$BZ:$BZ,'Cronog. e Histog.'!DB:DB),"")</f>
        <v>0</v>
      </c>
      <c r="AH180" s="144">
        <f>IFERROR(_xlfn.XLOOKUP($B180,'Cronog. e Histog.'!$BZ:$BZ,'Cronog. e Histog.'!DC:DC),"")</f>
        <v>0</v>
      </c>
      <c r="AI180" s="144">
        <f>IFERROR(_xlfn.XLOOKUP($B180,'Cronog. e Histog.'!$BZ:$BZ,'Cronog. e Histog.'!DD:DD),"")</f>
        <v>0</v>
      </c>
      <c r="AJ180" s="144">
        <f>IFERROR(_xlfn.XLOOKUP($B180,'Cronog. e Histog.'!$BZ:$BZ,'Cronog. e Histog.'!DE:DE),"")</f>
        <v>0</v>
      </c>
      <c r="AK180" s="144">
        <f>IFERROR(_xlfn.XLOOKUP($B180,'Cronog. e Histog.'!$BZ:$BZ,'Cronog. e Histog.'!DF:DF),"")</f>
        <v>0</v>
      </c>
      <c r="AL180" s="144">
        <f>IFERROR(_xlfn.XLOOKUP($B180,'Cronog. e Histog.'!$BZ:$BZ,'Cronog. e Histog.'!DG:DG),"")</f>
        <v>0</v>
      </c>
      <c r="AM180" s="144">
        <f>IFERROR(_xlfn.XLOOKUP($B180,'Cronog. e Histog.'!$BZ:$BZ,'Cronog. e Histog.'!DH:DH),"")</f>
        <v>0</v>
      </c>
      <c r="AN180" s="144">
        <f>IFERROR(_xlfn.XLOOKUP($B180,'Cronog. e Histog.'!$BZ:$BZ,'Cronog. e Histog.'!DI:DI),"")</f>
        <v>0</v>
      </c>
      <c r="AO180" s="144">
        <f>IFERROR(_xlfn.XLOOKUP($B180,'Cronog. e Histog.'!$BZ:$BZ,'Cronog. e Histog.'!DJ:DJ),"")</f>
        <v>0</v>
      </c>
      <c r="AP180" s="144">
        <f>IFERROR(_xlfn.XLOOKUP($B180,'Cronog. e Histog.'!$BZ:$BZ,'Cronog. e Histog.'!DK:DK),"")</f>
        <v>0</v>
      </c>
      <c r="AQ180" s="144">
        <f>IFERROR(_xlfn.XLOOKUP($B180,'Cronog. e Histog.'!$BZ:$BZ,'Cronog. e Histog.'!DL:DL),"")</f>
        <v>0</v>
      </c>
      <c r="AR180" s="144">
        <f>IFERROR(_xlfn.XLOOKUP($B180,'Cronog. e Histog.'!$BZ:$BZ,'Cronog. e Histog.'!DM:DM),"")</f>
        <v>0</v>
      </c>
      <c r="AS180" s="144">
        <f>IFERROR(_xlfn.XLOOKUP($B180,'Cronog. e Histog.'!$BZ:$BZ,'Cronog. e Histog.'!DN:DN),"")</f>
        <v>0</v>
      </c>
      <c r="AT180" s="144">
        <f>IFERROR(_xlfn.XLOOKUP($B180,'Cronog. e Histog.'!$BZ:$BZ,'Cronog. e Histog.'!DO:DO),"")</f>
        <v>0</v>
      </c>
      <c r="AU180" s="144">
        <f>IFERROR(_xlfn.XLOOKUP($B180,'Cronog. e Histog.'!$BZ:$BZ,'Cronog. e Histog.'!DP:DP),"")</f>
        <v>0</v>
      </c>
      <c r="AV180" s="144">
        <f>IFERROR(_xlfn.XLOOKUP($B180,'Cronog. e Histog.'!$BZ:$BZ,'Cronog. e Histog.'!DQ:DQ),"")</f>
        <v>0</v>
      </c>
      <c r="AW180" s="144">
        <f>IFERROR(_xlfn.XLOOKUP($B180,'Cronog. e Histog.'!$BZ:$BZ,'Cronog. e Histog.'!DR:DR),"")</f>
        <v>0</v>
      </c>
      <c r="AX180" s="144">
        <f>IFERROR(_xlfn.XLOOKUP($B180,'Cronog. e Histog.'!$BZ:$BZ,'Cronog. e Histog.'!DS:DS),"")</f>
        <v>0</v>
      </c>
      <c r="AY180" s="144">
        <f>IFERROR(_xlfn.XLOOKUP($B180,'Cronog. e Histog.'!$BZ:$BZ,'Cronog. e Histog.'!DT:DT),"")</f>
        <v>0</v>
      </c>
      <c r="AZ180" s="144">
        <f>IFERROR(_xlfn.XLOOKUP($B180,'Cronog. e Histog.'!$BZ:$BZ,'Cronog. e Histog.'!DU:DU),"")</f>
        <v>0</v>
      </c>
      <c r="BA180" s="144">
        <f>IFERROR(_xlfn.XLOOKUP($B180,'Cronog. e Histog.'!$BZ:$BZ,'Cronog. e Histog.'!DV:DV),"")</f>
        <v>0</v>
      </c>
      <c r="BB180" s="144">
        <f>IFERROR(_xlfn.XLOOKUP($B180,'Cronog. e Histog.'!$BZ:$BZ,'Cronog. e Histog.'!DW:DW),"")</f>
        <v>0</v>
      </c>
      <c r="BC180" s="144">
        <f>IFERROR(_xlfn.XLOOKUP($B180,'Cronog. e Histog.'!$BZ:$BZ,'Cronog. e Histog.'!DX:DX),"")</f>
        <v>0</v>
      </c>
      <c r="BD180" s="144">
        <f>IFERROR(_xlfn.XLOOKUP($B180,'Cronog. e Histog.'!$BZ:$BZ,'Cronog. e Histog.'!DY:DY),"")</f>
        <v>0</v>
      </c>
      <c r="BE180" s="144">
        <f>IFERROR(_xlfn.XLOOKUP($B180,'Cronog. e Histog.'!$BZ:$BZ,'Cronog. e Histog.'!DZ:DZ),"")</f>
        <v>0</v>
      </c>
      <c r="BF180" s="144">
        <f>IFERROR(_xlfn.XLOOKUP($B180,'Cronog. e Histog.'!$BZ:$BZ,'Cronog. e Histog.'!EA:EA),"")</f>
        <v>0</v>
      </c>
      <c r="BG180" s="144">
        <f>IFERROR(_xlfn.XLOOKUP($B180,'Cronog. e Histog.'!$BZ:$BZ,'Cronog. e Histog.'!EB:EB),"")</f>
        <v>0</v>
      </c>
      <c r="BH180" s="144">
        <f>IFERROR(_xlfn.XLOOKUP($B180,'Cronog. e Histog.'!$BZ:$BZ,'Cronog. e Histog.'!EC:EC),"")</f>
        <v>0</v>
      </c>
      <c r="BI180" s="144">
        <f>IFERROR(_xlfn.XLOOKUP($B180,'Cronog. e Histog.'!$BZ:$BZ,'Cronog. e Histog.'!ED:ED),"")</f>
        <v>0</v>
      </c>
      <c r="BJ180" s="144">
        <f>IFERROR(_xlfn.XLOOKUP($B180,'Cronog. e Histog.'!$BZ:$BZ,'Cronog. e Histog.'!EE:EE),"")</f>
        <v>0</v>
      </c>
      <c r="BK180" s="144">
        <f>IFERROR(_xlfn.XLOOKUP($B180,'Cronog. e Histog.'!$BZ:$BZ,'Cronog. e Histog.'!EF:EF),"")</f>
        <v>0</v>
      </c>
      <c r="BL180" s="144">
        <f>IFERROR(_xlfn.XLOOKUP($B180,'Cronog. e Histog.'!$BZ:$BZ,'Cronog. e Histog.'!EG:EG),"")</f>
        <v>0</v>
      </c>
      <c r="BM180" s="144">
        <f>IFERROR(_xlfn.XLOOKUP($B180,'Cronog. e Histog.'!$BZ:$BZ,'Cronog. e Histog.'!EH:EH),"")</f>
        <v>0</v>
      </c>
      <c r="BN180" s="144">
        <f>IFERROR(_xlfn.XLOOKUP($B180,'Cronog. e Histog.'!$BZ:$BZ,'Cronog. e Histog.'!EI:EI),"")</f>
        <v>0</v>
      </c>
    </row>
    <row r="181" spans="2:66" ht="12" hidden="1" customHeight="1" outlineLevel="1">
      <c r="B181" s="76">
        <v>175</v>
      </c>
      <c r="C181" s="143" t="str">
        <f>IFERROR(VLOOKUP(B181,'Cronog. e Histog.'!$BZ$213:$CA$747,2,0),"")</f>
        <v>TEC I</v>
      </c>
      <c r="D181" s="144">
        <f t="shared" si="4"/>
        <v>0</v>
      </c>
      <c r="E181" s="144">
        <f t="shared" si="5"/>
        <v>0</v>
      </c>
      <c r="F181" s="65"/>
      <c r="G181" s="144">
        <f>IFERROR(_xlfn.XLOOKUP($B181,'Cronog. e Histog.'!$BZ:$BZ,'Cronog. e Histog.'!CB:CB),"")</f>
        <v>0</v>
      </c>
      <c r="H181" s="144">
        <f>IFERROR(_xlfn.XLOOKUP($B181,'Cronog. e Histog.'!$BZ:$BZ,'Cronog. e Histog.'!CC:CC),"")</f>
        <v>0</v>
      </c>
      <c r="I181" s="144">
        <f>IFERROR(_xlfn.XLOOKUP($B181,'Cronog. e Histog.'!$BZ:$BZ,'Cronog. e Histog.'!CD:CD),"")</f>
        <v>0</v>
      </c>
      <c r="J181" s="144">
        <f>IFERROR(_xlfn.XLOOKUP($B181,'Cronog. e Histog.'!$BZ:$BZ,'Cronog. e Histog.'!CE:CE),"")</f>
        <v>0</v>
      </c>
      <c r="K181" s="144">
        <f>IFERROR(_xlfn.XLOOKUP($B181,'Cronog. e Histog.'!$BZ:$BZ,'Cronog. e Histog.'!CF:CF),"")</f>
        <v>0</v>
      </c>
      <c r="L181" s="144">
        <f>IFERROR(_xlfn.XLOOKUP($B181,'Cronog. e Histog.'!$BZ:$BZ,'Cronog. e Histog.'!CG:CG),"")</f>
        <v>0</v>
      </c>
      <c r="M181" s="144">
        <f>IFERROR(_xlfn.XLOOKUP($B181,'Cronog. e Histog.'!$BZ:$BZ,'Cronog. e Histog.'!CH:CH),"")</f>
        <v>0</v>
      </c>
      <c r="N181" s="144">
        <f>IFERROR(_xlfn.XLOOKUP($B181,'Cronog. e Histog.'!$BZ:$BZ,'Cronog. e Histog.'!CI:CI),"")</f>
        <v>0</v>
      </c>
      <c r="O181" s="144">
        <f>IFERROR(_xlfn.XLOOKUP($B181,'Cronog. e Histog.'!$BZ:$BZ,'Cronog. e Histog.'!CJ:CJ),"")</f>
        <v>0</v>
      </c>
      <c r="P181" s="144">
        <f>IFERROR(_xlfn.XLOOKUP($B181,'Cronog. e Histog.'!$BZ:$BZ,'Cronog. e Histog.'!CK:CK),"")</f>
        <v>0</v>
      </c>
      <c r="Q181" s="144">
        <f>IFERROR(_xlfn.XLOOKUP($B181,'Cronog. e Histog.'!$BZ:$BZ,'Cronog. e Histog.'!CL:CL),"")</f>
        <v>0</v>
      </c>
      <c r="R181" s="144">
        <f>IFERROR(_xlfn.XLOOKUP($B181,'Cronog. e Histog.'!$BZ:$BZ,'Cronog. e Histog.'!CM:CM),"")</f>
        <v>0</v>
      </c>
      <c r="S181" s="144">
        <f>IFERROR(_xlfn.XLOOKUP($B181,'Cronog. e Histog.'!$BZ:$BZ,'Cronog. e Histog.'!CN:CN),"")</f>
        <v>0</v>
      </c>
      <c r="T181" s="144">
        <f>IFERROR(_xlfn.XLOOKUP($B181,'Cronog. e Histog.'!$BZ:$BZ,'Cronog. e Histog.'!CO:CO),"")</f>
        <v>0</v>
      </c>
      <c r="U181" s="144">
        <f>IFERROR(_xlfn.XLOOKUP($B181,'Cronog. e Histog.'!$BZ:$BZ,'Cronog. e Histog.'!CP:CP),"")</f>
        <v>0</v>
      </c>
      <c r="V181" s="144">
        <f>IFERROR(_xlfn.XLOOKUP($B181,'Cronog. e Histog.'!$BZ:$BZ,'Cronog. e Histog.'!CQ:CQ),"")</f>
        <v>0</v>
      </c>
      <c r="W181" s="144">
        <f>IFERROR(_xlfn.XLOOKUP($B181,'Cronog. e Histog.'!$BZ:$BZ,'Cronog. e Histog.'!CR:CR),"")</f>
        <v>0</v>
      </c>
      <c r="X181" s="144">
        <f>IFERROR(_xlfn.XLOOKUP($B181,'Cronog. e Histog.'!$BZ:$BZ,'Cronog. e Histog.'!CS:CS),"")</f>
        <v>0</v>
      </c>
      <c r="Y181" s="144">
        <f>IFERROR(_xlfn.XLOOKUP($B181,'Cronog. e Histog.'!$BZ:$BZ,'Cronog. e Histog.'!CT:CT),"")</f>
        <v>0</v>
      </c>
      <c r="Z181" s="144">
        <f>IFERROR(_xlfn.XLOOKUP($B181,'Cronog. e Histog.'!$BZ:$BZ,'Cronog. e Histog.'!CU:CU),"")</f>
        <v>0</v>
      </c>
      <c r="AA181" s="144">
        <f>IFERROR(_xlfn.XLOOKUP($B181,'Cronog. e Histog.'!$BZ:$BZ,'Cronog. e Histog.'!CV:CV),"")</f>
        <v>0</v>
      </c>
      <c r="AB181" s="144">
        <f>IFERROR(_xlfn.XLOOKUP($B181,'Cronog. e Histog.'!$BZ:$BZ,'Cronog. e Histog.'!CW:CW),"")</f>
        <v>0</v>
      </c>
      <c r="AC181" s="144">
        <f>IFERROR(_xlfn.XLOOKUP($B181,'Cronog. e Histog.'!$BZ:$BZ,'Cronog. e Histog.'!CX:CX),"")</f>
        <v>0</v>
      </c>
      <c r="AD181" s="144">
        <f>IFERROR(_xlfn.XLOOKUP($B181,'Cronog. e Histog.'!$BZ:$BZ,'Cronog. e Histog.'!CY:CY),"")</f>
        <v>0</v>
      </c>
      <c r="AE181" s="144">
        <f>IFERROR(_xlfn.XLOOKUP($B181,'Cronog. e Histog.'!$BZ:$BZ,'Cronog. e Histog.'!CZ:CZ),"")</f>
        <v>0</v>
      </c>
      <c r="AF181" s="144">
        <f>IFERROR(_xlfn.XLOOKUP($B181,'Cronog. e Histog.'!$BZ:$BZ,'Cronog. e Histog.'!DA:DA),"")</f>
        <v>0</v>
      </c>
      <c r="AG181" s="144">
        <f>IFERROR(_xlfn.XLOOKUP($B181,'Cronog. e Histog.'!$BZ:$BZ,'Cronog. e Histog.'!DB:DB),"")</f>
        <v>0</v>
      </c>
      <c r="AH181" s="144">
        <f>IFERROR(_xlfn.XLOOKUP($B181,'Cronog. e Histog.'!$BZ:$BZ,'Cronog. e Histog.'!DC:DC),"")</f>
        <v>0</v>
      </c>
      <c r="AI181" s="144">
        <f>IFERROR(_xlfn.XLOOKUP($B181,'Cronog. e Histog.'!$BZ:$BZ,'Cronog. e Histog.'!DD:DD),"")</f>
        <v>0</v>
      </c>
      <c r="AJ181" s="144">
        <f>IFERROR(_xlfn.XLOOKUP($B181,'Cronog. e Histog.'!$BZ:$BZ,'Cronog. e Histog.'!DE:DE),"")</f>
        <v>0</v>
      </c>
      <c r="AK181" s="144">
        <f>IFERROR(_xlfn.XLOOKUP($B181,'Cronog. e Histog.'!$BZ:$BZ,'Cronog. e Histog.'!DF:DF),"")</f>
        <v>0</v>
      </c>
      <c r="AL181" s="144">
        <f>IFERROR(_xlfn.XLOOKUP($B181,'Cronog. e Histog.'!$BZ:$BZ,'Cronog. e Histog.'!DG:DG),"")</f>
        <v>0</v>
      </c>
      <c r="AM181" s="144">
        <f>IFERROR(_xlfn.XLOOKUP($B181,'Cronog. e Histog.'!$BZ:$BZ,'Cronog. e Histog.'!DH:DH),"")</f>
        <v>0</v>
      </c>
      <c r="AN181" s="144">
        <f>IFERROR(_xlfn.XLOOKUP($B181,'Cronog. e Histog.'!$BZ:$BZ,'Cronog. e Histog.'!DI:DI),"")</f>
        <v>0</v>
      </c>
      <c r="AO181" s="144">
        <f>IFERROR(_xlfn.XLOOKUP($B181,'Cronog. e Histog.'!$BZ:$BZ,'Cronog. e Histog.'!DJ:DJ),"")</f>
        <v>0</v>
      </c>
      <c r="AP181" s="144">
        <f>IFERROR(_xlfn.XLOOKUP($B181,'Cronog. e Histog.'!$BZ:$BZ,'Cronog. e Histog.'!DK:DK),"")</f>
        <v>0</v>
      </c>
      <c r="AQ181" s="144">
        <f>IFERROR(_xlfn.XLOOKUP($B181,'Cronog. e Histog.'!$BZ:$BZ,'Cronog. e Histog.'!DL:DL),"")</f>
        <v>0</v>
      </c>
      <c r="AR181" s="144">
        <f>IFERROR(_xlfn.XLOOKUP($B181,'Cronog. e Histog.'!$BZ:$BZ,'Cronog. e Histog.'!DM:DM),"")</f>
        <v>0</v>
      </c>
      <c r="AS181" s="144">
        <f>IFERROR(_xlfn.XLOOKUP($B181,'Cronog. e Histog.'!$BZ:$BZ,'Cronog. e Histog.'!DN:DN),"")</f>
        <v>0</v>
      </c>
      <c r="AT181" s="144">
        <f>IFERROR(_xlfn.XLOOKUP($B181,'Cronog. e Histog.'!$BZ:$BZ,'Cronog. e Histog.'!DO:DO),"")</f>
        <v>0</v>
      </c>
      <c r="AU181" s="144">
        <f>IFERROR(_xlfn.XLOOKUP($B181,'Cronog. e Histog.'!$BZ:$BZ,'Cronog. e Histog.'!DP:DP),"")</f>
        <v>0</v>
      </c>
      <c r="AV181" s="144">
        <f>IFERROR(_xlfn.XLOOKUP($B181,'Cronog. e Histog.'!$BZ:$BZ,'Cronog. e Histog.'!DQ:DQ),"")</f>
        <v>0</v>
      </c>
      <c r="AW181" s="144">
        <f>IFERROR(_xlfn.XLOOKUP($B181,'Cronog. e Histog.'!$BZ:$BZ,'Cronog. e Histog.'!DR:DR),"")</f>
        <v>0</v>
      </c>
      <c r="AX181" s="144">
        <f>IFERROR(_xlfn.XLOOKUP($B181,'Cronog. e Histog.'!$BZ:$BZ,'Cronog. e Histog.'!DS:DS),"")</f>
        <v>0</v>
      </c>
      <c r="AY181" s="144">
        <f>IFERROR(_xlfn.XLOOKUP($B181,'Cronog. e Histog.'!$BZ:$BZ,'Cronog. e Histog.'!DT:DT),"")</f>
        <v>0</v>
      </c>
      <c r="AZ181" s="144">
        <f>IFERROR(_xlfn.XLOOKUP($B181,'Cronog. e Histog.'!$BZ:$BZ,'Cronog. e Histog.'!DU:DU),"")</f>
        <v>0</v>
      </c>
      <c r="BA181" s="144">
        <f>IFERROR(_xlfn.XLOOKUP($B181,'Cronog. e Histog.'!$BZ:$BZ,'Cronog. e Histog.'!DV:DV),"")</f>
        <v>0</v>
      </c>
      <c r="BB181" s="144">
        <f>IFERROR(_xlfn.XLOOKUP($B181,'Cronog. e Histog.'!$BZ:$BZ,'Cronog. e Histog.'!DW:DW),"")</f>
        <v>0</v>
      </c>
      <c r="BC181" s="144">
        <f>IFERROR(_xlfn.XLOOKUP($B181,'Cronog. e Histog.'!$BZ:$BZ,'Cronog. e Histog.'!DX:DX),"")</f>
        <v>0</v>
      </c>
      <c r="BD181" s="144">
        <f>IFERROR(_xlfn.XLOOKUP($B181,'Cronog. e Histog.'!$BZ:$BZ,'Cronog. e Histog.'!DY:DY),"")</f>
        <v>0</v>
      </c>
      <c r="BE181" s="144">
        <f>IFERROR(_xlfn.XLOOKUP($B181,'Cronog. e Histog.'!$BZ:$BZ,'Cronog. e Histog.'!DZ:DZ),"")</f>
        <v>0</v>
      </c>
      <c r="BF181" s="144">
        <f>IFERROR(_xlfn.XLOOKUP($B181,'Cronog. e Histog.'!$BZ:$BZ,'Cronog. e Histog.'!EA:EA),"")</f>
        <v>0</v>
      </c>
      <c r="BG181" s="144">
        <f>IFERROR(_xlfn.XLOOKUP($B181,'Cronog. e Histog.'!$BZ:$BZ,'Cronog. e Histog.'!EB:EB),"")</f>
        <v>0</v>
      </c>
      <c r="BH181" s="144">
        <f>IFERROR(_xlfn.XLOOKUP($B181,'Cronog. e Histog.'!$BZ:$BZ,'Cronog. e Histog.'!EC:EC),"")</f>
        <v>0</v>
      </c>
      <c r="BI181" s="144">
        <f>IFERROR(_xlfn.XLOOKUP($B181,'Cronog. e Histog.'!$BZ:$BZ,'Cronog. e Histog.'!ED:ED),"")</f>
        <v>0</v>
      </c>
      <c r="BJ181" s="144">
        <f>IFERROR(_xlfn.XLOOKUP($B181,'Cronog. e Histog.'!$BZ:$BZ,'Cronog. e Histog.'!EE:EE),"")</f>
        <v>0</v>
      </c>
      <c r="BK181" s="144">
        <f>IFERROR(_xlfn.XLOOKUP($B181,'Cronog. e Histog.'!$BZ:$BZ,'Cronog. e Histog.'!EF:EF),"")</f>
        <v>0</v>
      </c>
      <c r="BL181" s="144">
        <f>IFERROR(_xlfn.XLOOKUP($B181,'Cronog. e Histog.'!$BZ:$BZ,'Cronog. e Histog.'!EG:EG),"")</f>
        <v>0</v>
      </c>
      <c r="BM181" s="144">
        <f>IFERROR(_xlfn.XLOOKUP($B181,'Cronog. e Histog.'!$BZ:$BZ,'Cronog. e Histog.'!EH:EH),"")</f>
        <v>0</v>
      </c>
      <c r="BN181" s="144">
        <f>IFERROR(_xlfn.XLOOKUP($B181,'Cronog. e Histog.'!$BZ:$BZ,'Cronog. e Histog.'!EI:EI),"")</f>
        <v>0</v>
      </c>
    </row>
    <row r="182" spans="2:66" ht="12" hidden="1" customHeight="1" outlineLevel="1">
      <c r="B182" s="76">
        <v>176</v>
      </c>
      <c r="C182" s="143" t="str">
        <f>IFERROR(VLOOKUP(B182,'Cronog. e Histog.'!$BZ$213:$CA$747,2,0),"")</f>
        <v>AUX TEC</v>
      </c>
      <c r="D182" s="144">
        <f t="shared" si="4"/>
        <v>0</v>
      </c>
      <c r="E182" s="144">
        <f t="shared" si="5"/>
        <v>0</v>
      </c>
      <c r="F182" s="65"/>
      <c r="G182" s="144">
        <f>IFERROR(_xlfn.XLOOKUP($B182,'Cronog. e Histog.'!$BZ:$BZ,'Cronog. e Histog.'!CB:CB),"")</f>
        <v>0</v>
      </c>
      <c r="H182" s="144">
        <f>IFERROR(_xlfn.XLOOKUP($B182,'Cronog. e Histog.'!$BZ:$BZ,'Cronog. e Histog.'!CC:CC),"")</f>
        <v>0</v>
      </c>
      <c r="I182" s="144">
        <f>IFERROR(_xlfn.XLOOKUP($B182,'Cronog. e Histog.'!$BZ:$BZ,'Cronog. e Histog.'!CD:CD),"")</f>
        <v>0</v>
      </c>
      <c r="J182" s="144">
        <f>IFERROR(_xlfn.XLOOKUP($B182,'Cronog. e Histog.'!$BZ:$BZ,'Cronog. e Histog.'!CE:CE),"")</f>
        <v>0</v>
      </c>
      <c r="K182" s="144">
        <f>IFERROR(_xlfn.XLOOKUP($B182,'Cronog. e Histog.'!$BZ:$BZ,'Cronog. e Histog.'!CF:CF),"")</f>
        <v>0</v>
      </c>
      <c r="L182" s="144">
        <f>IFERROR(_xlfn.XLOOKUP($B182,'Cronog. e Histog.'!$BZ:$BZ,'Cronog. e Histog.'!CG:CG),"")</f>
        <v>0</v>
      </c>
      <c r="M182" s="144">
        <f>IFERROR(_xlfn.XLOOKUP($B182,'Cronog. e Histog.'!$BZ:$BZ,'Cronog. e Histog.'!CH:CH),"")</f>
        <v>0</v>
      </c>
      <c r="N182" s="144">
        <f>IFERROR(_xlfn.XLOOKUP($B182,'Cronog. e Histog.'!$BZ:$BZ,'Cronog. e Histog.'!CI:CI),"")</f>
        <v>0</v>
      </c>
      <c r="O182" s="144">
        <f>IFERROR(_xlfn.XLOOKUP($B182,'Cronog. e Histog.'!$BZ:$BZ,'Cronog. e Histog.'!CJ:CJ),"")</f>
        <v>0</v>
      </c>
      <c r="P182" s="144">
        <f>IFERROR(_xlfn.XLOOKUP($B182,'Cronog. e Histog.'!$BZ:$BZ,'Cronog. e Histog.'!CK:CK),"")</f>
        <v>0</v>
      </c>
      <c r="Q182" s="144">
        <f>IFERROR(_xlfn.XLOOKUP($B182,'Cronog. e Histog.'!$BZ:$BZ,'Cronog. e Histog.'!CL:CL),"")</f>
        <v>0</v>
      </c>
      <c r="R182" s="144">
        <f>IFERROR(_xlfn.XLOOKUP($B182,'Cronog. e Histog.'!$BZ:$BZ,'Cronog. e Histog.'!CM:CM),"")</f>
        <v>0</v>
      </c>
      <c r="S182" s="144">
        <f>IFERROR(_xlfn.XLOOKUP($B182,'Cronog. e Histog.'!$BZ:$BZ,'Cronog. e Histog.'!CN:CN),"")</f>
        <v>0</v>
      </c>
      <c r="T182" s="144">
        <f>IFERROR(_xlfn.XLOOKUP($B182,'Cronog. e Histog.'!$BZ:$BZ,'Cronog. e Histog.'!CO:CO),"")</f>
        <v>0</v>
      </c>
      <c r="U182" s="144">
        <f>IFERROR(_xlfn.XLOOKUP($B182,'Cronog. e Histog.'!$BZ:$BZ,'Cronog. e Histog.'!CP:CP),"")</f>
        <v>0</v>
      </c>
      <c r="V182" s="144">
        <f>IFERROR(_xlfn.XLOOKUP($B182,'Cronog. e Histog.'!$BZ:$BZ,'Cronog. e Histog.'!CQ:CQ),"")</f>
        <v>0</v>
      </c>
      <c r="W182" s="144">
        <f>IFERROR(_xlfn.XLOOKUP($B182,'Cronog. e Histog.'!$BZ:$BZ,'Cronog. e Histog.'!CR:CR),"")</f>
        <v>0</v>
      </c>
      <c r="X182" s="144">
        <f>IFERROR(_xlfn.XLOOKUP($B182,'Cronog. e Histog.'!$BZ:$BZ,'Cronog. e Histog.'!CS:CS),"")</f>
        <v>0</v>
      </c>
      <c r="Y182" s="144">
        <f>IFERROR(_xlfn.XLOOKUP($B182,'Cronog. e Histog.'!$BZ:$BZ,'Cronog. e Histog.'!CT:CT),"")</f>
        <v>0</v>
      </c>
      <c r="Z182" s="144">
        <f>IFERROR(_xlfn.XLOOKUP($B182,'Cronog. e Histog.'!$BZ:$BZ,'Cronog. e Histog.'!CU:CU),"")</f>
        <v>0</v>
      </c>
      <c r="AA182" s="144">
        <f>IFERROR(_xlfn.XLOOKUP($B182,'Cronog. e Histog.'!$BZ:$BZ,'Cronog. e Histog.'!CV:CV),"")</f>
        <v>0</v>
      </c>
      <c r="AB182" s="144">
        <f>IFERROR(_xlfn.XLOOKUP($B182,'Cronog. e Histog.'!$BZ:$BZ,'Cronog. e Histog.'!CW:CW),"")</f>
        <v>0</v>
      </c>
      <c r="AC182" s="144">
        <f>IFERROR(_xlfn.XLOOKUP($B182,'Cronog. e Histog.'!$BZ:$BZ,'Cronog. e Histog.'!CX:CX),"")</f>
        <v>0</v>
      </c>
      <c r="AD182" s="144">
        <f>IFERROR(_xlfn.XLOOKUP($B182,'Cronog. e Histog.'!$BZ:$BZ,'Cronog. e Histog.'!CY:CY),"")</f>
        <v>0</v>
      </c>
      <c r="AE182" s="144">
        <f>IFERROR(_xlfn.XLOOKUP($B182,'Cronog. e Histog.'!$BZ:$BZ,'Cronog. e Histog.'!CZ:CZ),"")</f>
        <v>0</v>
      </c>
      <c r="AF182" s="144">
        <f>IFERROR(_xlfn.XLOOKUP($B182,'Cronog. e Histog.'!$BZ:$BZ,'Cronog. e Histog.'!DA:DA),"")</f>
        <v>0</v>
      </c>
      <c r="AG182" s="144">
        <f>IFERROR(_xlfn.XLOOKUP($B182,'Cronog. e Histog.'!$BZ:$BZ,'Cronog. e Histog.'!DB:DB),"")</f>
        <v>0</v>
      </c>
      <c r="AH182" s="144">
        <f>IFERROR(_xlfn.XLOOKUP($B182,'Cronog. e Histog.'!$BZ:$BZ,'Cronog. e Histog.'!DC:DC),"")</f>
        <v>0</v>
      </c>
      <c r="AI182" s="144">
        <f>IFERROR(_xlfn.XLOOKUP($B182,'Cronog. e Histog.'!$BZ:$BZ,'Cronog. e Histog.'!DD:DD),"")</f>
        <v>0</v>
      </c>
      <c r="AJ182" s="144">
        <f>IFERROR(_xlfn.XLOOKUP($B182,'Cronog. e Histog.'!$BZ:$BZ,'Cronog. e Histog.'!DE:DE),"")</f>
        <v>0</v>
      </c>
      <c r="AK182" s="144">
        <f>IFERROR(_xlfn.XLOOKUP($B182,'Cronog. e Histog.'!$BZ:$BZ,'Cronog. e Histog.'!DF:DF),"")</f>
        <v>0</v>
      </c>
      <c r="AL182" s="144">
        <f>IFERROR(_xlfn.XLOOKUP($B182,'Cronog. e Histog.'!$BZ:$BZ,'Cronog. e Histog.'!DG:DG),"")</f>
        <v>0</v>
      </c>
      <c r="AM182" s="144">
        <f>IFERROR(_xlfn.XLOOKUP($B182,'Cronog. e Histog.'!$BZ:$BZ,'Cronog. e Histog.'!DH:DH),"")</f>
        <v>0</v>
      </c>
      <c r="AN182" s="144">
        <f>IFERROR(_xlfn.XLOOKUP($B182,'Cronog. e Histog.'!$BZ:$BZ,'Cronog. e Histog.'!DI:DI),"")</f>
        <v>0</v>
      </c>
      <c r="AO182" s="144">
        <f>IFERROR(_xlfn.XLOOKUP($B182,'Cronog. e Histog.'!$BZ:$BZ,'Cronog. e Histog.'!DJ:DJ),"")</f>
        <v>0</v>
      </c>
      <c r="AP182" s="144">
        <f>IFERROR(_xlfn.XLOOKUP($B182,'Cronog. e Histog.'!$BZ:$BZ,'Cronog. e Histog.'!DK:DK),"")</f>
        <v>0</v>
      </c>
      <c r="AQ182" s="144">
        <f>IFERROR(_xlfn.XLOOKUP($B182,'Cronog. e Histog.'!$BZ:$BZ,'Cronog. e Histog.'!DL:DL),"")</f>
        <v>0</v>
      </c>
      <c r="AR182" s="144">
        <f>IFERROR(_xlfn.XLOOKUP($B182,'Cronog. e Histog.'!$BZ:$BZ,'Cronog. e Histog.'!DM:DM),"")</f>
        <v>0</v>
      </c>
      <c r="AS182" s="144">
        <f>IFERROR(_xlfn.XLOOKUP($B182,'Cronog. e Histog.'!$BZ:$BZ,'Cronog. e Histog.'!DN:DN),"")</f>
        <v>0</v>
      </c>
      <c r="AT182" s="144">
        <f>IFERROR(_xlfn.XLOOKUP($B182,'Cronog. e Histog.'!$BZ:$BZ,'Cronog. e Histog.'!DO:DO),"")</f>
        <v>0</v>
      </c>
      <c r="AU182" s="144">
        <f>IFERROR(_xlfn.XLOOKUP($B182,'Cronog. e Histog.'!$BZ:$BZ,'Cronog. e Histog.'!DP:DP),"")</f>
        <v>0</v>
      </c>
      <c r="AV182" s="144">
        <f>IFERROR(_xlfn.XLOOKUP($B182,'Cronog. e Histog.'!$BZ:$BZ,'Cronog. e Histog.'!DQ:DQ),"")</f>
        <v>0</v>
      </c>
      <c r="AW182" s="144">
        <f>IFERROR(_xlfn.XLOOKUP($B182,'Cronog. e Histog.'!$BZ:$BZ,'Cronog. e Histog.'!DR:DR),"")</f>
        <v>0</v>
      </c>
      <c r="AX182" s="144">
        <f>IFERROR(_xlfn.XLOOKUP($B182,'Cronog. e Histog.'!$BZ:$BZ,'Cronog. e Histog.'!DS:DS),"")</f>
        <v>0</v>
      </c>
      <c r="AY182" s="144">
        <f>IFERROR(_xlfn.XLOOKUP($B182,'Cronog. e Histog.'!$BZ:$BZ,'Cronog. e Histog.'!DT:DT),"")</f>
        <v>0</v>
      </c>
      <c r="AZ182" s="144">
        <f>IFERROR(_xlfn.XLOOKUP($B182,'Cronog. e Histog.'!$BZ:$BZ,'Cronog. e Histog.'!DU:DU),"")</f>
        <v>0</v>
      </c>
      <c r="BA182" s="144">
        <f>IFERROR(_xlfn.XLOOKUP($B182,'Cronog. e Histog.'!$BZ:$BZ,'Cronog. e Histog.'!DV:DV),"")</f>
        <v>0</v>
      </c>
      <c r="BB182" s="144">
        <f>IFERROR(_xlfn.XLOOKUP($B182,'Cronog. e Histog.'!$BZ:$BZ,'Cronog. e Histog.'!DW:DW),"")</f>
        <v>0</v>
      </c>
      <c r="BC182" s="144">
        <f>IFERROR(_xlfn.XLOOKUP($B182,'Cronog. e Histog.'!$BZ:$BZ,'Cronog. e Histog.'!DX:DX),"")</f>
        <v>0</v>
      </c>
      <c r="BD182" s="144">
        <f>IFERROR(_xlfn.XLOOKUP($B182,'Cronog. e Histog.'!$BZ:$BZ,'Cronog. e Histog.'!DY:DY),"")</f>
        <v>0</v>
      </c>
      <c r="BE182" s="144">
        <f>IFERROR(_xlfn.XLOOKUP($B182,'Cronog. e Histog.'!$BZ:$BZ,'Cronog. e Histog.'!DZ:DZ),"")</f>
        <v>0</v>
      </c>
      <c r="BF182" s="144">
        <f>IFERROR(_xlfn.XLOOKUP($B182,'Cronog. e Histog.'!$BZ:$BZ,'Cronog. e Histog.'!EA:EA),"")</f>
        <v>0</v>
      </c>
      <c r="BG182" s="144">
        <f>IFERROR(_xlfn.XLOOKUP($B182,'Cronog. e Histog.'!$BZ:$BZ,'Cronog. e Histog.'!EB:EB),"")</f>
        <v>0</v>
      </c>
      <c r="BH182" s="144">
        <f>IFERROR(_xlfn.XLOOKUP($B182,'Cronog. e Histog.'!$BZ:$BZ,'Cronog. e Histog.'!EC:EC),"")</f>
        <v>0</v>
      </c>
      <c r="BI182" s="144">
        <f>IFERROR(_xlfn.XLOOKUP($B182,'Cronog. e Histog.'!$BZ:$BZ,'Cronog. e Histog.'!ED:ED),"")</f>
        <v>0</v>
      </c>
      <c r="BJ182" s="144">
        <f>IFERROR(_xlfn.XLOOKUP($B182,'Cronog. e Histog.'!$BZ:$BZ,'Cronog. e Histog.'!EE:EE),"")</f>
        <v>0</v>
      </c>
      <c r="BK182" s="144">
        <f>IFERROR(_xlfn.XLOOKUP($B182,'Cronog. e Histog.'!$BZ:$BZ,'Cronog. e Histog.'!EF:EF),"")</f>
        <v>0</v>
      </c>
      <c r="BL182" s="144">
        <f>IFERROR(_xlfn.XLOOKUP($B182,'Cronog. e Histog.'!$BZ:$BZ,'Cronog. e Histog.'!EG:EG),"")</f>
        <v>0</v>
      </c>
      <c r="BM182" s="144">
        <f>IFERROR(_xlfn.XLOOKUP($B182,'Cronog. e Histog.'!$BZ:$BZ,'Cronog. e Histog.'!EH:EH),"")</f>
        <v>0</v>
      </c>
      <c r="BN182" s="144">
        <f>IFERROR(_xlfn.XLOOKUP($B182,'Cronog. e Histog.'!$BZ:$BZ,'Cronog. e Histog.'!EI:EI),"")</f>
        <v>0</v>
      </c>
    </row>
    <row r="183" spans="2:66" ht="12" hidden="1" customHeight="1" outlineLevel="1">
      <c r="B183" s="76">
        <v>177</v>
      </c>
      <c r="C183" s="143" t="str">
        <f>IFERROR(VLOOKUP(B183,'Cronog. e Histog.'!$BZ$213:$CA$747,2,0),"")</f>
        <v>AUX ADM</v>
      </c>
      <c r="D183" s="144">
        <f t="shared" si="4"/>
        <v>0</v>
      </c>
      <c r="E183" s="144">
        <f t="shared" si="5"/>
        <v>0</v>
      </c>
      <c r="F183" s="65"/>
      <c r="G183" s="144">
        <f>IFERROR(_xlfn.XLOOKUP($B183,'Cronog. e Histog.'!$BZ:$BZ,'Cronog. e Histog.'!CB:CB),"")</f>
        <v>0</v>
      </c>
      <c r="H183" s="144">
        <f>IFERROR(_xlfn.XLOOKUP($B183,'Cronog. e Histog.'!$BZ:$BZ,'Cronog. e Histog.'!CC:CC),"")</f>
        <v>0</v>
      </c>
      <c r="I183" s="144">
        <f>IFERROR(_xlfn.XLOOKUP($B183,'Cronog. e Histog.'!$BZ:$BZ,'Cronog. e Histog.'!CD:CD),"")</f>
        <v>0</v>
      </c>
      <c r="J183" s="144">
        <f>IFERROR(_xlfn.XLOOKUP($B183,'Cronog. e Histog.'!$BZ:$BZ,'Cronog. e Histog.'!CE:CE),"")</f>
        <v>0</v>
      </c>
      <c r="K183" s="144">
        <f>IFERROR(_xlfn.XLOOKUP($B183,'Cronog. e Histog.'!$BZ:$BZ,'Cronog. e Histog.'!CF:CF),"")</f>
        <v>0</v>
      </c>
      <c r="L183" s="144">
        <f>IFERROR(_xlfn.XLOOKUP($B183,'Cronog. e Histog.'!$BZ:$BZ,'Cronog. e Histog.'!CG:CG),"")</f>
        <v>0</v>
      </c>
      <c r="M183" s="144">
        <f>IFERROR(_xlfn.XLOOKUP($B183,'Cronog. e Histog.'!$BZ:$BZ,'Cronog. e Histog.'!CH:CH),"")</f>
        <v>0</v>
      </c>
      <c r="N183" s="144">
        <f>IFERROR(_xlfn.XLOOKUP($B183,'Cronog. e Histog.'!$BZ:$BZ,'Cronog. e Histog.'!CI:CI),"")</f>
        <v>0</v>
      </c>
      <c r="O183" s="144">
        <f>IFERROR(_xlfn.XLOOKUP($B183,'Cronog. e Histog.'!$BZ:$BZ,'Cronog. e Histog.'!CJ:CJ),"")</f>
        <v>0</v>
      </c>
      <c r="P183" s="144">
        <f>IFERROR(_xlfn.XLOOKUP($B183,'Cronog. e Histog.'!$BZ:$BZ,'Cronog. e Histog.'!CK:CK),"")</f>
        <v>0</v>
      </c>
      <c r="Q183" s="144">
        <f>IFERROR(_xlfn.XLOOKUP($B183,'Cronog. e Histog.'!$BZ:$BZ,'Cronog. e Histog.'!CL:CL),"")</f>
        <v>0</v>
      </c>
      <c r="R183" s="144">
        <f>IFERROR(_xlfn.XLOOKUP($B183,'Cronog. e Histog.'!$BZ:$BZ,'Cronog. e Histog.'!CM:CM),"")</f>
        <v>0</v>
      </c>
      <c r="S183" s="144">
        <f>IFERROR(_xlfn.XLOOKUP($B183,'Cronog. e Histog.'!$BZ:$BZ,'Cronog. e Histog.'!CN:CN),"")</f>
        <v>0</v>
      </c>
      <c r="T183" s="144">
        <f>IFERROR(_xlfn.XLOOKUP($B183,'Cronog. e Histog.'!$BZ:$BZ,'Cronog. e Histog.'!CO:CO),"")</f>
        <v>0</v>
      </c>
      <c r="U183" s="144">
        <f>IFERROR(_xlfn.XLOOKUP($B183,'Cronog. e Histog.'!$BZ:$BZ,'Cronog. e Histog.'!CP:CP),"")</f>
        <v>0</v>
      </c>
      <c r="V183" s="144">
        <f>IFERROR(_xlfn.XLOOKUP($B183,'Cronog. e Histog.'!$BZ:$BZ,'Cronog. e Histog.'!CQ:CQ),"")</f>
        <v>0</v>
      </c>
      <c r="W183" s="144">
        <f>IFERROR(_xlfn.XLOOKUP($B183,'Cronog. e Histog.'!$BZ:$BZ,'Cronog. e Histog.'!CR:CR),"")</f>
        <v>0</v>
      </c>
      <c r="X183" s="144">
        <f>IFERROR(_xlfn.XLOOKUP($B183,'Cronog. e Histog.'!$BZ:$BZ,'Cronog. e Histog.'!CS:CS),"")</f>
        <v>0</v>
      </c>
      <c r="Y183" s="144">
        <f>IFERROR(_xlfn.XLOOKUP($B183,'Cronog. e Histog.'!$BZ:$BZ,'Cronog. e Histog.'!CT:CT),"")</f>
        <v>0</v>
      </c>
      <c r="Z183" s="144">
        <f>IFERROR(_xlfn.XLOOKUP($B183,'Cronog. e Histog.'!$BZ:$BZ,'Cronog. e Histog.'!CU:CU),"")</f>
        <v>0</v>
      </c>
      <c r="AA183" s="144">
        <f>IFERROR(_xlfn.XLOOKUP($B183,'Cronog. e Histog.'!$BZ:$BZ,'Cronog. e Histog.'!CV:CV),"")</f>
        <v>0</v>
      </c>
      <c r="AB183" s="144">
        <f>IFERROR(_xlfn.XLOOKUP($B183,'Cronog. e Histog.'!$BZ:$BZ,'Cronog. e Histog.'!CW:CW),"")</f>
        <v>0</v>
      </c>
      <c r="AC183" s="144">
        <f>IFERROR(_xlfn.XLOOKUP($B183,'Cronog. e Histog.'!$BZ:$BZ,'Cronog. e Histog.'!CX:CX),"")</f>
        <v>0</v>
      </c>
      <c r="AD183" s="144">
        <f>IFERROR(_xlfn.XLOOKUP($B183,'Cronog. e Histog.'!$BZ:$BZ,'Cronog. e Histog.'!CY:CY),"")</f>
        <v>0</v>
      </c>
      <c r="AE183" s="144">
        <f>IFERROR(_xlfn.XLOOKUP($B183,'Cronog. e Histog.'!$BZ:$BZ,'Cronog. e Histog.'!CZ:CZ),"")</f>
        <v>0</v>
      </c>
      <c r="AF183" s="144">
        <f>IFERROR(_xlfn.XLOOKUP($B183,'Cronog. e Histog.'!$BZ:$BZ,'Cronog. e Histog.'!DA:DA),"")</f>
        <v>0</v>
      </c>
      <c r="AG183" s="144">
        <f>IFERROR(_xlfn.XLOOKUP($B183,'Cronog. e Histog.'!$BZ:$BZ,'Cronog. e Histog.'!DB:DB),"")</f>
        <v>0</v>
      </c>
      <c r="AH183" s="144">
        <f>IFERROR(_xlfn.XLOOKUP($B183,'Cronog. e Histog.'!$BZ:$BZ,'Cronog. e Histog.'!DC:DC),"")</f>
        <v>0</v>
      </c>
      <c r="AI183" s="144">
        <f>IFERROR(_xlfn.XLOOKUP($B183,'Cronog. e Histog.'!$BZ:$BZ,'Cronog. e Histog.'!DD:DD),"")</f>
        <v>0</v>
      </c>
      <c r="AJ183" s="144">
        <f>IFERROR(_xlfn.XLOOKUP($B183,'Cronog. e Histog.'!$BZ:$BZ,'Cronog. e Histog.'!DE:DE),"")</f>
        <v>0</v>
      </c>
      <c r="AK183" s="144">
        <f>IFERROR(_xlfn.XLOOKUP($B183,'Cronog. e Histog.'!$BZ:$BZ,'Cronog. e Histog.'!DF:DF),"")</f>
        <v>0</v>
      </c>
      <c r="AL183" s="144">
        <f>IFERROR(_xlfn.XLOOKUP($B183,'Cronog. e Histog.'!$BZ:$BZ,'Cronog. e Histog.'!DG:DG),"")</f>
        <v>0</v>
      </c>
      <c r="AM183" s="144">
        <f>IFERROR(_xlfn.XLOOKUP($B183,'Cronog. e Histog.'!$BZ:$BZ,'Cronog. e Histog.'!DH:DH),"")</f>
        <v>0</v>
      </c>
      <c r="AN183" s="144">
        <f>IFERROR(_xlfn.XLOOKUP($B183,'Cronog. e Histog.'!$BZ:$BZ,'Cronog. e Histog.'!DI:DI),"")</f>
        <v>0</v>
      </c>
      <c r="AO183" s="144">
        <f>IFERROR(_xlfn.XLOOKUP($B183,'Cronog. e Histog.'!$BZ:$BZ,'Cronog. e Histog.'!DJ:DJ),"")</f>
        <v>0</v>
      </c>
      <c r="AP183" s="144">
        <f>IFERROR(_xlfn.XLOOKUP($B183,'Cronog. e Histog.'!$BZ:$BZ,'Cronog. e Histog.'!DK:DK),"")</f>
        <v>0</v>
      </c>
      <c r="AQ183" s="144">
        <f>IFERROR(_xlfn.XLOOKUP($B183,'Cronog. e Histog.'!$BZ:$BZ,'Cronog. e Histog.'!DL:DL),"")</f>
        <v>0</v>
      </c>
      <c r="AR183" s="144">
        <f>IFERROR(_xlfn.XLOOKUP($B183,'Cronog. e Histog.'!$BZ:$BZ,'Cronog. e Histog.'!DM:DM),"")</f>
        <v>0</v>
      </c>
      <c r="AS183" s="144">
        <f>IFERROR(_xlfn.XLOOKUP($B183,'Cronog. e Histog.'!$BZ:$BZ,'Cronog. e Histog.'!DN:DN),"")</f>
        <v>0</v>
      </c>
      <c r="AT183" s="144">
        <f>IFERROR(_xlfn.XLOOKUP($B183,'Cronog. e Histog.'!$BZ:$BZ,'Cronog. e Histog.'!DO:DO),"")</f>
        <v>0</v>
      </c>
      <c r="AU183" s="144">
        <f>IFERROR(_xlfn.XLOOKUP($B183,'Cronog. e Histog.'!$BZ:$BZ,'Cronog. e Histog.'!DP:DP),"")</f>
        <v>0</v>
      </c>
      <c r="AV183" s="144">
        <f>IFERROR(_xlfn.XLOOKUP($B183,'Cronog. e Histog.'!$BZ:$BZ,'Cronog. e Histog.'!DQ:DQ),"")</f>
        <v>0</v>
      </c>
      <c r="AW183" s="144">
        <f>IFERROR(_xlfn.XLOOKUP($B183,'Cronog. e Histog.'!$BZ:$BZ,'Cronog. e Histog.'!DR:DR),"")</f>
        <v>0</v>
      </c>
      <c r="AX183" s="144">
        <f>IFERROR(_xlfn.XLOOKUP($B183,'Cronog. e Histog.'!$BZ:$BZ,'Cronog. e Histog.'!DS:DS),"")</f>
        <v>0</v>
      </c>
      <c r="AY183" s="144">
        <f>IFERROR(_xlfn.XLOOKUP($B183,'Cronog. e Histog.'!$BZ:$BZ,'Cronog. e Histog.'!DT:DT),"")</f>
        <v>0</v>
      </c>
      <c r="AZ183" s="144">
        <f>IFERROR(_xlfn.XLOOKUP($B183,'Cronog. e Histog.'!$BZ:$BZ,'Cronog. e Histog.'!DU:DU),"")</f>
        <v>0</v>
      </c>
      <c r="BA183" s="144">
        <f>IFERROR(_xlfn.XLOOKUP($B183,'Cronog. e Histog.'!$BZ:$BZ,'Cronog. e Histog.'!DV:DV),"")</f>
        <v>0</v>
      </c>
      <c r="BB183" s="144">
        <f>IFERROR(_xlfn.XLOOKUP($B183,'Cronog. e Histog.'!$BZ:$BZ,'Cronog. e Histog.'!DW:DW),"")</f>
        <v>0</v>
      </c>
      <c r="BC183" s="144">
        <f>IFERROR(_xlfn.XLOOKUP($B183,'Cronog. e Histog.'!$BZ:$BZ,'Cronog. e Histog.'!DX:DX),"")</f>
        <v>0</v>
      </c>
      <c r="BD183" s="144">
        <f>IFERROR(_xlfn.XLOOKUP($B183,'Cronog. e Histog.'!$BZ:$BZ,'Cronog. e Histog.'!DY:DY),"")</f>
        <v>0</v>
      </c>
      <c r="BE183" s="144">
        <f>IFERROR(_xlfn.XLOOKUP($B183,'Cronog. e Histog.'!$BZ:$BZ,'Cronog. e Histog.'!DZ:DZ),"")</f>
        <v>0</v>
      </c>
      <c r="BF183" s="144">
        <f>IFERROR(_xlfn.XLOOKUP($B183,'Cronog. e Histog.'!$BZ:$BZ,'Cronog. e Histog.'!EA:EA),"")</f>
        <v>0</v>
      </c>
      <c r="BG183" s="144">
        <f>IFERROR(_xlfn.XLOOKUP($B183,'Cronog. e Histog.'!$BZ:$BZ,'Cronog. e Histog.'!EB:EB),"")</f>
        <v>0</v>
      </c>
      <c r="BH183" s="144">
        <f>IFERROR(_xlfn.XLOOKUP($B183,'Cronog. e Histog.'!$BZ:$BZ,'Cronog. e Histog.'!EC:EC),"")</f>
        <v>0</v>
      </c>
      <c r="BI183" s="144">
        <f>IFERROR(_xlfn.XLOOKUP($B183,'Cronog. e Histog.'!$BZ:$BZ,'Cronog. e Histog.'!ED:ED),"")</f>
        <v>0</v>
      </c>
      <c r="BJ183" s="144">
        <f>IFERROR(_xlfn.XLOOKUP($B183,'Cronog. e Histog.'!$BZ:$BZ,'Cronog. e Histog.'!EE:EE),"")</f>
        <v>0</v>
      </c>
      <c r="BK183" s="144">
        <f>IFERROR(_xlfn.XLOOKUP($B183,'Cronog. e Histog.'!$BZ:$BZ,'Cronog. e Histog.'!EF:EF),"")</f>
        <v>0</v>
      </c>
      <c r="BL183" s="144">
        <f>IFERROR(_xlfn.XLOOKUP($B183,'Cronog. e Histog.'!$BZ:$BZ,'Cronog. e Histog.'!EG:EG),"")</f>
        <v>0</v>
      </c>
      <c r="BM183" s="144">
        <f>IFERROR(_xlfn.XLOOKUP($B183,'Cronog. e Histog.'!$BZ:$BZ,'Cronog. e Histog.'!EH:EH),"")</f>
        <v>0</v>
      </c>
      <c r="BN183" s="144">
        <f>IFERROR(_xlfn.XLOOKUP($B183,'Cronog. e Histog.'!$BZ:$BZ,'Cronog. e Histog.'!EI:EI),"")</f>
        <v>0</v>
      </c>
    </row>
    <row r="184" spans="2:66" ht="12" hidden="1" customHeight="1" outlineLevel="1">
      <c r="B184" s="76">
        <v>178</v>
      </c>
      <c r="C184" s="143" t="str">
        <f>IFERROR(VLOOKUP(B184,'Cronog. e Histog.'!$BZ$213:$CA$747,2,0),"")</f>
        <v>EST</v>
      </c>
      <c r="D184" s="144">
        <f t="shared" si="4"/>
        <v>0</v>
      </c>
      <c r="E184" s="144">
        <f t="shared" si="5"/>
        <v>0</v>
      </c>
      <c r="F184" s="65"/>
      <c r="G184" s="144">
        <f>IFERROR(_xlfn.XLOOKUP($B184,'Cronog. e Histog.'!$BZ:$BZ,'Cronog. e Histog.'!CB:CB),"")</f>
        <v>0</v>
      </c>
      <c r="H184" s="144">
        <f>IFERROR(_xlfn.XLOOKUP($B184,'Cronog. e Histog.'!$BZ:$BZ,'Cronog. e Histog.'!CC:CC),"")</f>
        <v>0</v>
      </c>
      <c r="I184" s="144">
        <f>IFERROR(_xlfn.XLOOKUP($B184,'Cronog. e Histog.'!$BZ:$BZ,'Cronog. e Histog.'!CD:CD),"")</f>
        <v>0</v>
      </c>
      <c r="J184" s="144">
        <f>IFERROR(_xlfn.XLOOKUP($B184,'Cronog. e Histog.'!$BZ:$BZ,'Cronog. e Histog.'!CE:CE),"")</f>
        <v>0</v>
      </c>
      <c r="K184" s="144">
        <f>IFERROR(_xlfn.XLOOKUP($B184,'Cronog. e Histog.'!$BZ:$BZ,'Cronog. e Histog.'!CF:CF),"")</f>
        <v>0</v>
      </c>
      <c r="L184" s="144">
        <f>IFERROR(_xlfn.XLOOKUP($B184,'Cronog. e Histog.'!$BZ:$BZ,'Cronog. e Histog.'!CG:CG),"")</f>
        <v>0</v>
      </c>
      <c r="M184" s="144">
        <f>IFERROR(_xlfn.XLOOKUP($B184,'Cronog. e Histog.'!$BZ:$BZ,'Cronog. e Histog.'!CH:CH),"")</f>
        <v>0</v>
      </c>
      <c r="N184" s="144">
        <f>IFERROR(_xlfn.XLOOKUP($B184,'Cronog. e Histog.'!$BZ:$BZ,'Cronog. e Histog.'!CI:CI),"")</f>
        <v>0</v>
      </c>
      <c r="O184" s="144">
        <f>IFERROR(_xlfn.XLOOKUP($B184,'Cronog. e Histog.'!$BZ:$BZ,'Cronog. e Histog.'!CJ:CJ),"")</f>
        <v>0</v>
      </c>
      <c r="P184" s="144">
        <f>IFERROR(_xlfn.XLOOKUP($B184,'Cronog. e Histog.'!$BZ:$BZ,'Cronog. e Histog.'!CK:CK),"")</f>
        <v>0</v>
      </c>
      <c r="Q184" s="144">
        <f>IFERROR(_xlfn.XLOOKUP($B184,'Cronog. e Histog.'!$BZ:$BZ,'Cronog. e Histog.'!CL:CL),"")</f>
        <v>0</v>
      </c>
      <c r="R184" s="144">
        <f>IFERROR(_xlfn.XLOOKUP($B184,'Cronog. e Histog.'!$BZ:$BZ,'Cronog. e Histog.'!CM:CM),"")</f>
        <v>0</v>
      </c>
      <c r="S184" s="144">
        <f>IFERROR(_xlfn.XLOOKUP($B184,'Cronog. e Histog.'!$BZ:$BZ,'Cronog. e Histog.'!CN:CN),"")</f>
        <v>0</v>
      </c>
      <c r="T184" s="144">
        <f>IFERROR(_xlfn.XLOOKUP($B184,'Cronog. e Histog.'!$BZ:$BZ,'Cronog. e Histog.'!CO:CO),"")</f>
        <v>0</v>
      </c>
      <c r="U184" s="144">
        <f>IFERROR(_xlfn.XLOOKUP($B184,'Cronog. e Histog.'!$BZ:$BZ,'Cronog. e Histog.'!CP:CP),"")</f>
        <v>0</v>
      </c>
      <c r="V184" s="144">
        <f>IFERROR(_xlfn.XLOOKUP($B184,'Cronog. e Histog.'!$BZ:$BZ,'Cronog. e Histog.'!CQ:CQ),"")</f>
        <v>0</v>
      </c>
      <c r="W184" s="144">
        <f>IFERROR(_xlfn.XLOOKUP($B184,'Cronog. e Histog.'!$BZ:$BZ,'Cronog. e Histog.'!CR:CR),"")</f>
        <v>0</v>
      </c>
      <c r="X184" s="144">
        <f>IFERROR(_xlfn.XLOOKUP($B184,'Cronog. e Histog.'!$BZ:$BZ,'Cronog. e Histog.'!CS:CS),"")</f>
        <v>0</v>
      </c>
      <c r="Y184" s="144">
        <f>IFERROR(_xlfn.XLOOKUP($B184,'Cronog. e Histog.'!$BZ:$BZ,'Cronog. e Histog.'!CT:CT),"")</f>
        <v>0</v>
      </c>
      <c r="Z184" s="144">
        <f>IFERROR(_xlfn.XLOOKUP($B184,'Cronog. e Histog.'!$BZ:$BZ,'Cronog. e Histog.'!CU:CU),"")</f>
        <v>0</v>
      </c>
      <c r="AA184" s="144">
        <f>IFERROR(_xlfn.XLOOKUP($B184,'Cronog. e Histog.'!$BZ:$BZ,'Cronog. e Histog.'!CV:CV),"")</f>
        <v>0</v>
      </c>
      <c r="AB184" s="144">
        <f>IFERROR(_xlfn.XLOOKUP($B184,'Cronog. e Histog.'!$BZ:$BZ,'Cronog. e Histog.'!CW:CW),"")</f>
        <v>0</v>
      </c>
      <c r="AC184" s="144">
        <f>IFERROR(_xlfn.XLOOKUP($B184,'Cronog. e Histog.'!$BZ:$BZ,'Cronog. e Histog.'!CX:CX),"")</f>
        <v>0</v>
      </c>
      <c r="AD184" s="144">
        <f>IFERROR(_xlfn.XLOOKUP($B184,'Cronog. e Histog.'!$BZ:$BZ,'Cronog. e Histog.'!CY:CY),"")</f>
        <v>0</v>
      </c>
      <c r="AE184" s="144">
        <f>IFERROR(_xlfn.XLOOKUP($B184,'Cronog. e Histog.'!$BZ:$BZ,'Cronog. e Histog.'!CZ:CZ),"")</f>
        <v>0</v>
      </c>
      <c r="AF184" s="144">
        <f>IFERROR(_xlfn.XLOOKUP($B184,'Cronog. e Histog.'!$BZ:$BZ,'Cronog. e Histog.'!DA:DA),"")</f>
        <v>0</v>
      </c>
      <c r="AG184" s="144">
        <f>IFERROR(_xlfn.XLOOKUP($B184,'Cronog. e Histog.'!$BZ:$BZ,'Cronog. e Histog.'!DB:DB),"")</f>
        <v>0</v>
      </c>
      <c r="AH184" s="144">
        <f>IFERROR(_xlfn.XLOOKUP($B184,'Cronog. e Histog.'!$BZ:$BZ,'Cronog. e Histog.'!DC:DC),"")</f>
        <v>0</v>
      </c>
      <c r="AI184" s="144">
        <f>IFERROR(_xlfn.XLOOKUP($B184,'Cronog. e Histog.'!$BZ:$BZ,'Cronog. e Histog.'!DD:DD),"")</f>
        <v>0</v>
      </c>
      <c r="AJ184" s="144">
        <f>IFERROR(_xlfn.XLOOKUP($B184,'Cronog. e Histog.'!$BZ:$BZ,'Cronog. e Histog.'!DE:DE),"")</f>
        <v>0</v>
      </c>
      <c r="AK184" s="144">
        <f>IFERROR(_xlfn.XLOOKUP($B184,'Cronog. e Histog.'!$BZ:$BZ,'Cronog. e Histog.'!DF:DF),"")</f>
        <v>0</v>
      </c>
      <c r="AL184" s="144">
        <f>IFERROR(_xlfn.XLOOKUP($B184,'Cronog. e Histog.'!$BZ:$BZ,'Cronog. e Histog.'!DG:DG),"")</f>
        <v>0</v>
      </c>
      <c r="AM184" s="144">
        <f>IFERROR(_xlfn.XLOOKUP($B184,'Cronog. e Histog.'!$BZ:$BZ,'Cronog. e Histog.'!DH:DH),"")</f>
        <v>0</v>
      </c>
      <c r="AN184" s="144">
        <f>IFERROR(_xlfn.XLOOKUP($B184,'Cronog. e Histog.'!$BZ:$BZ,'Cronog. e Histog.'!DI:DI),"")</f>
        <v>0</v>
      </c>
      <c r="AO184" s="144">
        <f>IFERROR(_xlfn.XLOOKUP($B184,'Cronog. e Histog.'!$BZ:$BZ,'Cronog. e Histog.'!DJ:DJ),"")</f>
        <v>0</v>
      </c>
      <c r="AP184" s="144">
        <f>IFERROR(_xlfn.XLOOKUP($B184,'Cronog. e Histog.'!$BZ:$BZ,'Cronog. e Histog.'!DK:DK),"")</f>
        <v>0</v>
      </c>
      <c r="AQ184" s="144">
        <f>IFERROR(_xlfn.XLOOKUP($B184,'Cronog. e Histog.'!$BZ:$BZ,'Cronog. e Histog.'!DL:DL),"")</f>
        <v>0</v>
      </c>
      <c r="AR184" s="144">
        <f>IFERROR(_xlfn.XLOOKUP($B184,'Cronog. e Histog.'!$BZ:$BZ,'Cronog. e Histog.'!DM:DM),"")</f>
        <v>0</v>
      </c>
      <c r="AS184" s="144">
        <f>IFERROR(_xlfn.XLOOKUP($B184,'Cronog. e Histog.'!$BZ:$BZ,'Cronog. e Histog.'!DN:DN),"")</f>
        <v>0</v>
      </c>
      <c r="AT184" s="144">
        <f>IFERROR(_xlfn.XLOOKUP($B184,'Cronog. e Histog.'!$BZ:$BZ,'Cronog. e Histog.'!DO:DO),"")</f>
        <v>0</v>
      </c>
      <c r="AU184" s="144">
        <f>IFERROR(_xlfn.XLOOKUP($B184,'Cronog. e Histog.'!$BZ:$BZ,'Cronog. e Histog.'!DP:DP),"")</f>
        <v>0</v>
      </c>
      <c r="AV184" s="144">
        <f>IFERROR(_xlfn.XLOOKUP($B184,'Cronog. e Histog.'!$BZ:$BZ,'Cronog. e Histog.'!DQ:DQ),"")</f>
        <v>0</v>
      </c>
      <c r="AW184" s="144">
        <f>IFERROR(_xlfn.XLOOKUP($B184,'Cronog. e Histog.'!$BZ:$BZ,'Cronog. e Histog.'!DR:DR),"")</f>
        <v>0</v>
      </c>
      <c r="AX184" s="144">
        <f>IFERROR(_xlfn.XLOOKUP($B184,'Cronog. e Histog.'!$BZ:$BZ,'Cronog. e Histog.'!DS:DS),"")</f>
        <v>0</v>
      </c>
      <c r="AY184" s="144">
        <f>IFERROR(_xlfn.XLOOKUP($B184,'Cronog. e Histog.'!$BZ:$BZ,'Cronog. e Histog.'!DT:DT),"")</f>
        <v>0</v>
      </c>
      <c r="AZ184" s="144">
        <f>IFERROR(_xlfn.XLOOKUP($B184,'Cronog. e Histog.'!$BZ:$BZ,'Cronog. e Histog.'!DU:DU),"")</f>
        <v>0</v>
      </c>
      <c r="BA184" s="144">
        <f>IFERROR(_xlfn.XLOOKUP($B184,'Cronog. e Histog.'!$BZ:$BZ,'Cronog. e Histog.'!DV:DV),"")</f>
        <v>0</v>
      </c>
      <c r="BB184" s="144">
        <f>IFERROR(_xlfn.XLOOKUP($B184,'Cronog. e Histog.'!$BZ:$BZ,'Cronog. e Histog.'!DW:DW),"")</f>
        <v>0</v>
      </c>
      <c r="BC184" s="144">
        <f>IFERROR(_xlfn.XLOOKUP($B184,'Cronog. e Histog.'!$BZ:$BZ,'Cronog. e Histog.'!DX:DX),"")</f>
        <v>0</v>
      </c>
      <c r="BD184" s="144">
        <f>IFERROR(_xlfn.XLOOKUP($B184,'Cronog. e Histog.'!$BZ:$BZ,'Cronog. e Histog.'!DY:DY),"")</f>
        <v>0</v>
      </c>
      <c r="BE184" s="144">
        <f>IFERROR(_xlfn.XLOOKUP($B184,'Cronog. e Histog.'!$BZ:$BZ,'Cronog. e Histog.'!DZ:DZ),"")</f>
        <v>0</v>
      </c>
      <c r="BF184" s="144">
        <f>IFERROR(_xlfn.XLOOKUP($B184,'Cronog. e Histog.'!$BZ:$BZ,'Cronog. e Histog.'!EA:EA),"")</f>
        <v>0</v>
      </c>
      <c r="BG184" s="144">
        <f>IFERROR(_xlfn.XLOOKUP($B184,'Cronog. e Histog.'!$BZ:$BZ,'Cronog. e Histog.'!EB:EB),"")</f>
        <v>0</v>
      </c>
      <c r="BH184" s="144">
        <f>IFERROR(_xlfn.XLOOKUP($B184,'Cronog. e Histog.'!$BZ:$BZ,'Cronog. e Histog.'!EC:EC),"")</f>
        <v>0</v>
      </c>
      <c r="BI184" s="144">
        <f>IFERROR(_xlfn.XLOOKUP($B184,'Cronog. e Histog.'!$BZ:$BZ,'Cronog. e Histog.'!ED:ED),"")</f>
        <v>0</v>
      </c>
      <c r="BJ184" s="144">
        <f>IFERROR(_xlfn.XLOOKUP($B184,'Cronog. e Histog.'!$BZ:$BZ,'Cronog. e Histog.'!EE:EE),"")</f>
        <v>0</v>
      </c>
      <c r="BK184" s="144">
        <f>IFERROR(_xlfn.XLOOKUP($B184,'Cronog. e Histog.'!$BZ:$BZ,'Cronog. e Histog.'!EF:EF),"")</f>
        <v>0</v>
      </c>
      <c r="BL184" s="144">
        <f>IFERROR(_xlfn.XLOOKUP($B184,'Cronog. e Histog.'!$BZ:$BZ,'Cronog. e Histog.'!EG:EG),"")</f>
        <v>0</v>
      </c>
      <c r="BM184" s="144">
        <f>IFERROR(_xlfn.XLOOKUP($B184,'Cronog. e Histog.'!$BZ:$BZ,'Cronog. e Histog.'!EH:EH),"")</f>
        <v>0</v>
      </c>
      <c r="BN184" s="144">
        <f>IFERROR(_xlfn.XLOOKUP($B184,'Cronog. e Histog.'!$BZ:$BZ,'Cronog. e Histog.'!EI:EI),"")</f>
        <v>0</v>
      </c>
    </row>
    <row r="185" spans="2:66" ht="12" hidden="1" customHeight="1" outlineLevel="1">
      <c r="B185" s="76">
        <v>179</v>
      </c>
      <c r="C185" s="143" t="str">
        <f>IFERROR(VLOOKUP(B185,'Cronog. e Histog.'!$BZ$213:$CA$747,2,0),"")</f>
        <v>EST_II</v>
      </c>
      <c r="D185" s="144">
        <f t="shared" si="4"/>
        <v>0</v>
      </c>
      <c r="E185" s="144">
        <f t="shared" si="5"/>
        <v>0</v>
      </c>
      <c r="F185" s="65"/>
      <c r="G185" s="144">
        <f>IFERROR(_xlfn.XLOOKUP($B185,'Cronog. e Histog.'!$BZ:$BZ,'Cronog. e Histog.'!CB:CB),"")</f>
        <v>0</v>
      </c>
      <c r="H185" s="144">
        <f>IFERROR(_xlfn.XLOOKUP($B185,'Cronog. e Histog.'!$BZ:$BZ,'Cronog. e Histog.'!CC:CC),"")</f>
        <v>0</v>
      </c>
      <c r="I185" s="144">
        <f>IFERROR(_xlfn.XLOOKUP($B185,'Cronog. e Histog.'!$BZ:$BZ,'Cronog. e Histog.'!CD:CD),"")</f>
        <v>0</v>
      </c>
      <c r="J185" s="144">
        <f>IFERROR(_xlfn.XLOOKUP($B185,'Cronog. e Histog.'!$BZ:$BZ,'Cronog. e Histog.'!CE:CE),"")</f>
        <v>0</v>
      </c>
      <c r="K185" s="144">
        <f>IFERROR(_xlfn.XLOOKUP($B185,'Cronog. e Histog.'!$BZ:$BZ,'Cronog. e Histog.'!CF:CF),"")</f>
        <v>0</v>
      </c>
      <c r="L185" s="144">
        <f>IFERROR(_xlfn.XLOOKUP($B185,'Cronog. e Histog.'!$BZ:$BZ,'Cronog. e Histog.'!CG:CG),"")</f>
        <v>0</v>
      </c>
      <c r="M185" s="144">
        <f>IFERROR(_xlfn.XLOOKUP($B185,'Cronog. e Histog.'!$BZ:$BZ,'Cronog. e Histog.'!CH:CH),"")</f>
        <v>0</v>
      </c>
      <c r="N185" s="144">
        <f>IFERROR(_xlfn.XLOOKUP($B185,'Cronog. e Histog.'!$BZ:$BZ,'Cronog. e Histog.'!CI:CI),"")</f>
        <v>0</v>
      </c>
      <c r="O185" s="144">
        <f>IFERROR(_xlfn.XLOOKUP($B185,'Cronog. e Histog.'!$BZ:$BZ,'Cronog. e Histog.'!CJ:CJ),"")</f>
        <v>0</v>
      </c>
      <c r="P185" s="144">
        <f>IFERROR(_xlfn.XLOOKUP($B185,'Cronog. e Histog.'!$BZ:$BZ,'Cronog. e Histog.'!CK:CK),"")</f>
        <v>0</v>
      </c>
      <c r="Q185" s="144">
        <f>IFERROR(_xlfn.XLOOKUP($B185,'Cronog. e Histog.'!$BZ:$BZ,'Cronog. e Histog.'!CL:CL),"")</f>
        <v>0</v>
      </c>
      <c r="R185" s="144">
        <f>IFERROR(_xlfn.XLOOKUP($B185,'Cronog. e Histog.'!$BZ:$BZ,'Cronog. e Histog.'!CM:CM),"")</f>
        <v>0</v>
      </c>
      <c r="S185" s="144">
        <f>IFERROR(_xlfn.XLOOKUP($B185,'Cronog. e Histog.'!$BZ:$BZ,'Cronog. e Histog.'!CN:CN),"")</f>
        <v>0</v>
      </c>
      <c r="T185" s="144">
        <f>IFERROR(_xlfn.XLOOKUP($B185,'Cronog. e Histog.'!$BZ:$BZ,'Cronog. e Histog.'!CO:CO),"")</f>
        <v>0</v>
      </c>
      <c r="U185" s="144">
        <f>IFERROR(_xlfn.XLOOKUP($B185,'Cronog. e Histog.'!$BZ:$BZ,'Cronog. e Histog.'!CP:CP),"")</f>
        <v>0</v>
      </c>
      <c r="V185" s="144">
        <f>IFERROR(_xlfn.XLOOKUP($B185,'Cronog. e Histog.'!$BZ:$BZ,'Cronog. e Histog.'!CQ:CQ),"")</f>
        <v>0</v>
      </c>
      <c r="W185" s="144">
        <f>IFERROR(_xlfn.XLOOKUP($B185,'Cronog. e Histog.'!$BZ:$BZ,'Cronog. e Histog.'!CR:CR),"")</f>
        <v>0</v>
      </c>
      <c r="X185" s="144">
        <f>IFERROR(_xlfn.XLOOKUP($B185,'Cronog. e Histog.'!$BZ:$BZ,'Cronog. e Histog.'!CS:CS),"")</f>
        <v>0</v>
      </c>
      <c r="Y185" s="144">
        <f>IFERROR(_xlfn.XLOOKUP($B185,'Cronog. e Histog.'!$BZ:$BZ,'Cronog. e Histog.'!CT:CT),"")</f>
        <v>0</v>
      </c>
      <c r="Z185" s="144">
        <f>IFERROR(_xlfn.XLOOKUP($B185,'Cronog. e Histog.'!$BZ:$BZ,'Cronog. e Histog.'!CU:CU),"")</f>
        <v>0</v>
      </c>
      <c r="AA185" s="144">
        <f>IFERROR(_xlfn.XLOOKUP($B185,'Cronog. e Histog.'!$BZ:$BZ,'Cronog. e Histog.'!CV:CV),"")</f>
        <v>0</v>
      </c>
      <c r="AB185" s="144">
        <f>IFERROR(_xlfn.XLOOKUP($B185,'Cronog. e Histog.'!$BZ:$BZ,'Cronog. e Histog.'!CW:CW),"")</f>
        <v>0</v>
      </c>
      <c r="AC185" s="144">
        <f>IFERROR(_xlfn.XLOOKUP($B185,'Cronog. e Histog.'!$BZ:$BZ,'Cronog. e Histog.'!CX:CX),"")</f>
        <v>0</v>
      </c>
      <c r="AD185" s="144">
        <f>IFERROR(_xlfn.XLOOKUP($B185,'Cronog. e Histog.'!$BZ:$BZ,'Cronog. e Histog.'!CY:CY),"")</f>
        <v>0</v>
      </c>
      <c r="AE185" s="144">
        <f>IFERROR(_xlfn.XLOOKUP($B185,'Cronog. e Histog.'!$BZ:$BZ,'Cronog. e Histog.'!CZ:CZ),"")</f>
        <v>0</v>
      </c>
      <c r="AF185" s="144">
        <f>IFERROR(_xlfn.XLOOKUP($B185,'Cronog. e Histog.'!$BZ:$BZ,'Cronog. e Histog.'!DA:DA),"")</f>
        <v>0</v>
      </c>
      <c r="AG185" s="144">
        <f>IFERROR(_xlfn.XLOOKUP($B185,'Cronog. e Histog.'!$BZ:$BZ,'Cronog. e Histog.'!DB:DB),"")</f>
        <v>0</v>
      </c>
      <c r="AH185" s="144">
        <f>IFERROR(_xlfn.XLOOKUP($B185,'Cronog. e Histog.'!$BZ:$BZ,'Cronog. e Histog.'!DC:DC),"")</f>
        <v>0</v>
      </c>
      <c r="AI185" s="144">
        <f>IFERROR(_xlfn.XLOOKUP($B185,'Cronog. e Histog.'!$BZ:$BZ,'Cronog. e Histog.'!DD:DD),"")</f>
        <v>0</v>
      </c>
      <c r="AJ185" s="144">
        <f>IFERROR(_xlfn.XLOOKUP($B185,'Cronog. e Histog.'!$BZ:$BZ,'Cronog. e Histog.'!DE:DE),"")</f>
        <v>0</v>
      </c>
      <c r="AK185" s="144">
        <f>IFERROR(_xlfn.XLOOKUP($B185,'Cronog. e Histog.'!$BZ:$BZ,'Cronog. e Histog.'!DF:DF),"")</f>
        <v>0</v>
      </c>
      <c r="AL185" s="144">
        <f>IFERROR(_xlfn.XLOOKUP($B185,'Cronog. e Histog.'!$BZ:$BZ,'Cronog. e Histog.'!DG:DG),"")</f>
        <v>0</v>
      </c>
      <c r="AM185" s="144">
        <f>IFERROR(_xlfn.XLOOKUP($B185,'Cronog. e Histog.'!$BZ:$BZ,'Cronog. e Histog.'!DH:DH),"")</f>
        <v>0</v>
      </c>
      <c r="AN185" s="144">
        <f>IFERROR(_xlfn.XLOOKUP($B185,'Cronog. e Histog.'!$BZ:$BZ,'Cronog. e Histog.'!DI:DI),"")</f>
        <v>0</v>
      </c>
      <c r="AO185" s="144">
        <f>IFERROR(_xlfn.XLOOKUP($B185,'Cronog. e Histog.'!$BZ:$BZ,'Cronog. e Histog.'!DJ:DJ),"")</f>
        <v>0</v>
      </c>
      <c r="AP185" s="144">
        <f>IFERROR(_xlfn.XLOOKUP($B185,'Cronog. e Histog.'!$BZ:$BZ,'Cronog. e Histog.'!DK:DK),"")</f>
        <v>0</v>
      </c>
      <c r="AQ185" s="144">
        <f>IFERROR(_xlfn.XLOOKUP($B185,'Cronog. e Histog.'!$BZ:$BZ,'Cronog. e Histog.'!DL:DL),"")</f>
        <v>0</v>
      </c>
      <c r="AR185" s="144">
        <f>IFERROR(_xlfn.XLOOKUP($B185,'Cronog. e Histog.'!$BZ:$BZ,'Cronog. e Histog.'!DM:DM),"")</f>
        <v>0</v>
      </c>
      <c r="AS185" s="144">
        <f>IFERROR(_xlfn.XLOOKUP($B185,'Cronog. e Histog.'!$BZ:$BZ,'Cronog. e Histog.'!DN:DN),"")</f>
        <v>0</v>
      </c>
      <c r="AT185" s="144">
        <f>IFERROR(_xlfn.XLOOKUP($B185,'Cronog. e Histog.'!$BZ:$BZ,'Cronog. e Histog.'!DO:DO),"")</f>
        <v>0</v>
      </c>
      <c r="AU185" s="144">
        <f>IFERROR(_xlfn.XLOOKUP($B185,'Cronog. e Histog.'!$BZ:$BZ,'Cronog. e Histog.'!DP:DP),"")</f>
        <v>0</v>
      </c>
      <c r="AV185" s="144">
        <f>IFERROR(_xlfn.XLOOKUP($B185,'Cronog. e Histog.'!$BZ:$BZ,'Cronog. e Histog.'!DQ:DQ),"")</f>
        <v>0</v>
      </c>
      <c r="AW185" s="144">
        <f>IFERROR(_xlfn.XLOOKUP($B185,'Cronog. e Histog.'!$BZ:$BZ,'Cronog. e Histog.'!DR:DR),"")</f>
        <v>0</v>
      </c>
      <c r="AX185" s="144">
        <f>IFERROR(_xlfn.XLOOKUP($B185,'Cronog. e Histog.'!$BZ:$BZ,'Cronog. e Histog.'!DS:DS),"")</f>
        <v>0</v>
      </c>
      <c r="AY185" s="144">
        <f>IFERROR(_xlfn.XLOOKUP($B185,'Cronog. e Histog.'!$BZ:$BZ,'Cronog. e Histog.'!DT:DT),"")</f>
        <v>0</v>
      </c>
      <c r="AZ185" s="144">
        <f>IFERROR(_xlfn.XLOOKUP($B185,'Cronog. e Histog.'!$BZ:$BZ,'Cronog. e Histog.'!DU:DU),"")</f>
        <v>0</v>
      </c>
      <c r="BA185" s="144">
        <f>IFERROR(_xlfn.XLOOKUP($B185,'Cronog. e Histog.'!$BZ:$BZ,'Cronog. e Histog.'!DV:DV),"")</f>
        <v>0</v>
      </c>
      <c r="BB185" s="144">
        <f>IFERROR(_xlfn.XLOOKUP($B185,'Cronog. e Histog.'!$BZ:$BZ,'Cronog. e Histog.'!DW:DW),"")</f>
        <v>0</v>
      </c>
      <c r="BC185" s="144">
        <f>IFERROR(_xlfn.XLOOKUP($B185,'Cronog. e Histog.'!$BZ:$BZ,'Cronog. e Histog.'!DX:DX),"")</f>
        <v>0</v>
      </c>
      <c r="BD185" s="144">
        <f>IFERROR(_xlfn.XLOOKUP($B185,'Cronog. e Histog.'!$BZ:$BZ,'Cronog. e Histog.'!DY:DY),"")</f>
        <v>0</v>
      </c>
      <c r="BE185" s="144">
        <f>IFERROR(_xlfn.XLOOKUP($B185,'Cronog. e Histog.'!$BZ:$BZ,'Cronog. e Histog.'!DZ:DZ),"")</f>
        <v>0</v>
      </c>
      <c r="BF185" s="144">
        <f>IFERROR(_xlfn.XLOOKUP($B185,'Cronog. e Histog.'!$BZ:$BZ,'Cronog. e Histog.'!EA:EA),"")</f>
        <v>0</v>
      </c>
      <c r="BG185" s="144">
        <f>IFERROR(_xlfn.XLOOKUP($B185,'Cronog. e Histog.'!$BZ:$BZ,'Cronog. e Histog.'!EB:EB),"")</f>
        <v>0</v>
      </c>
      <c r="BH185" s="144">
        <f>IFERROR(_xlfn.XLOOKUP($B185,'Cronog. e Histog.'!$BZ:$BZ,'Cronog. e Histog.'!EC:EC),"")</f>
        <v>0</v>
      </c>
      <c r="BI185" s="144">
        <f>IFERROR(_xlfn.XLOOKUP($B185,'Cronog. e Histog.'!$BZ:$BZ,'Cronog. e Histog.'!ED:ED),"")</f>
        <v>0</v>
      </c>
      <c r="BJ185" s="144">
        <f>IFERROR(_xlfn.XLOOKUP($B185,'Cronog. e Histog.'!$BZ:$BZ,'Cronog. e Histog.'!EE:EE),"")</f>
        <v>0</v>
      </c>
      <c r="BK185" s="144">
        <f>IFERROR(_xlfn.XLOOKUP($B185,'Cronog. e Histog.'!$BZ:$BZ,'Cronog. e Histog.'!EF:EF),"")</f>
        <v>0</v>
      </c>
      <c r="BL185" s="144">
        <f>IFERROR(_xlfn.XLOOKUP($B185,'Cronog. e Histog.'!$BZ:$BZ,'Cronog. e Histog.'!EG:EG),"")</f>
        <v>0</v>
      </c>
      <c r="BM185" s="144">
        <f>IFERROR(_xlfn.XLOOKUP($B185,'Cronog. e Histog.'!$BZ:$BZ,'Cronog. e Histog.'!EH:EH),"")</f>
        <v>0</v>
      </c>
      <c r="BN185" s="144">
        <f>IFERROR(_xlfn.XLOOKUP($B185,'Cronog. e Histog.'!$BZ:$BZ,'Cronog. e Histog.'!EI:EI),"")</f>
        <v>0</v>
      </c>
    </row>
    <row r="186" spans="2:66" ht="12" hidden="1" customHeight="1" outlineLevel="1">
      <c r="B186" s="76">
        <v>180</v>
      </c>
      <c r="C186" s="143" t="str">
        <f>IFERROR(VLOOKUP(B186,'Cronog. e Histog.'!$BZ$213:$CA$747,2,0),"")</f>
        <v>EST_III</v>
      </c>
      <c r="D186" s="144">
        <f t="shared" si="4"/>
        <v>0</v>
      </c>
      <c r="E186" s="144">
        <f t="shared" si="5"/>
        <v>0</v>
      </c>
      <c r="F186" s="65"/>
      <c r="G186" s="144">
        <f>IFERROR(_xlfn.XLOOKUP($B186,'Cronog. e Histog.'!$BZ:$BZ,'Cronog. e Histog.'!CB:CB),"")</f>
        <v>0</v>
      </c>
      <c r="H186" s="144">
        <f>IFERROR(_xlfn.XLOOKUP($B186,'Cronog. e Histog.'!$BZ:$BZ,'Cronog. e Histog.'!CC:CC),"")</f>
        <v>0</v>
      </c>
      <c r="I186" s="144">
        <f>IFERROR(_xlfn.XLOOKUP($B186,'Cronog. e Histog.'!$BZ:$BZ,'Cronog. e Histog.'!CD:CD),"")</f>
        <v>0</v>
      </c>
      <c r="J186" s="144">
        <f>IFERROR(_xlfn.XLOOKUP($B186,'Cronog. e Histog.'!$BZ:$BZ,'Cronog. e Histog.'!CE:CE),"")</f>
        <v>0</v>
      </c>
      <c r="K186" s="144">
        <f>IFERROR(_xlfn.XLOOKUP($B186,'Cronog. e Histog.'!$BZ:$BZ,'Cronog. e Histog.'!CF:CF),"")</f>
        <v>0</v>
      </c>
      <c r="L186" s="144">
        <f>IFERROR(_xlfn.XLOOKUP($B186,'Cronog. e Histog.'!$BZ:$BZ,'Cronog. e Histog.'!CG:CG),"")</f>
        <v>0</v>
      </c>
      <c r="M186" s="144">
        <f>IFERROR(_xlfn.XLOOKUP($B186,'Cronog. e Histog.'!$BZ:$BZ,'Cronog. e Histog.'!CH:CH),"")</f>
        <v>0</v>
      </c>
      <c r="N186" s="144">
        <f>IFERROR(_xlfn.XLOOKUP($B186,'Cronog. e Histog.'!$BZ:$BZ,'Cronog. e Histog.'!CI:CI),"")</f>
        <v>0</v>
      </c>
      <c r="O186" s="144">
        <f>IFERROR(_xlfn.XLOOKUP($B186,'Cronog. e Histog.'!$BZ:$BZ,'Cronog. e Histog.'!CJ:CJ),"")</f>
        <v>0</v>
      </c>
      <c r="P186" s="144">
        <f>IFERROR(_xlfn.XLOOKUP($B186,'Cronog. e Histog.'!$BZ:$BZ,'Cronog. e Histog.'!CK:CK),"")</f>
        <v>0</v>
      </c>
      <c r="Q186" s="144">
        <f>IFERROR(_xlfn.XLOOKUP($B186,'Cronog. e Histog.'!$BZ:$BZ,'Cronog. e Histog.'!CL:CL),"")</f>
        <v>0</v>
      </c>
      <c r="R186" s="144">
        <f>IFERROR(_xlfn.XLOOKUP($B186,'Cronog. e Histog.'!$BZ:$BZ,'Cronog. e Histog.'!CM:CM),"")</f>
        <v>0</v>
      </c>
      <c r="S186" s="144">
        <f>IFERROR(_xlfn.XLOOKUP($B186,'Cronog. e Histog.'!$BZ:$BZ,'Cronog. e Histog.'!CN:CN),"")</f>
        <v>0</v>
      </c>
      <c r="T186" s="144">
        <f>IFERROR(_xlfn.XLOOKUP($B186,'Cronog. e Histog.'!$BZ:$BZ,'Cronog. e Histog.'!CO:CO),"")</f>
        <v>0</v>
      </c>
      <c r="U186" s="144">
        <f>IFERROR(_xlfn.XLOOKUP($B186,'Cronog. e Histog.'!$BZ:$BZ,'Cronog. e Histog.'!CP:CP),"")</f>
        <v>0</v>
      </c>
      <c r="V186" s="144">
        <f>IFERROR(_xlfn.XLOOKUP($B186,'Cronog. e Histog.'!$BZ:$BZ,'Cronog. e Histog.'!CQ:CQ),"")</f>
        <v>0</v>
      </c>
      <c r="W186" s="144">
        <f>IFERROR(_xlfn.XLOOKUP($B186,'Cronog. e Histog.'!$BZ:$BZ,'Cronog. e Histog.'!CR:CR),"")</f>
        <v>0</v>
      </c>
      <c r="X186" s="144">
        <f>IFERROR(_xlfn.XLOOKUP($B186,'Cronog. e Histog.'!$BZ:$BZ,'Cronog. e Histog.'!CS:CS),"")</f>
        <v>0</v>
      </c>
      <c r="Y186" s="144">
        <f>IFERROR(_xlfn.XLOOKUP($B186,'Cronog. e Histog.'!$BZ:$BZ,'Cronog. e Histog.'!CT:CT),"")</f>
        <v>0</v>
      </c>
      <c r="Z186" s="144">
        <f>IFERROR(_xlfn.XLOOKUP($B186,'Cronog. e Histog.'!$BZ:$BZ,'Cronog. e Histog.'!CU:CU),"")</f>
        <v>0</v>
      </c>
      <c r="AA186" s="144">
        <f>IFERROR(_xlfn.XLOOKUP($B186,'Cronog. e Histog.'!$BZ:$BZ,'Cronog. e Histog.'!CV:CV),"")</f>
        <v>0</v>
      </c>
      <c r="AB186" s="144">
        <f>IFERROR(_xlfn.XLOOKUP($B186,'Cronog. e Histog.'!$BZ:$BZ,'Cronog. e Histog.'!CW:CW),"")</f>
        <v>0</v>
      </c>
      <c r="AC186" s="144">
        <f>IFERROR(_xlfn.XLOOKUP($B186,'Cronog. e Histog.'!$BZ:$BZ,'Cronog. e Histog.'!CX:CX),"")</f>
        <v>0</v>
      </c>
      <c r="AD186" s="144">
        <f>IFERROR(_xlfn.XLOOKUP($B186,'Cronog. e Histog.'!$BZ:$BZ,'Cronog. e Histog.'!CY:CY),"")</f>
        <v>0</v>
      </c>
      <c r="AE186" s="144">
        <f>IFERROR(_xlfn.XLOOKUP($B186,'Cronog. e Histog.'!$BZ:$BZ,'Cronog. e Histog.'!CZ:CZ),"")</f>
        <v>0</v>
      </c>
      <c r="AF186" s="144">
        <f>IFERROR(_xlfn.XLOOKUP($B186,'Cronog. e Histog.'!$BZ:$BZ,'Cronog. e Histog.'!DA:DA),"")</f>
        <v>0</v>
      </c>
      <c r="AG186" s="144">
        <f>IFERROR(_xlfn.XLOOKUP($B186,'Cronog. e Histog.'!$BZ:$BZ,'Cronog. e Histog.'!DB:DB),"")</f>
        <v>0</v>
      </c>
      <c r="AH186" s="144">
        <f>IFERROR(_xlfn.XLOOKUP($B186,'Cronog. e Histog.'!$BZ:$BZ,'Cronog. e Histog.'!DC:DC),"")</f>
        <v>0</v>
      </c>
      <c r="AI186" s="144">
        <f>IFERROR(_xlfn.XLOOKUP($B186,'Cronog. e Histog.'!$BZ:$BZ,'Cronog. e Histog.'!DD:DD),"")</f>
        <v>0</v>
      </c>
      <c r="AJ186" s="144">
        <f>IFERROR(_xlfn.XLOOKUP($B186,'Cronog. e Histog.'!$BZ:$BZ,'Cronog. e Histog.'!DE:DE),"")</f>
        <v>0</v>
      </c>
      <c r="AK186" s="144">
        <f>IFERROR(_xlfn.XLOOKUP($B186,'Cronog. e Histog.'!$BZ:$BZ,'Cronog. e Histog.'!DF:DF),"")</f>
        <v>0</v>
      </c>
      <c r="AL186" s="144">
        <f>IFERROR(_xlfn.XLOOKUP($B186,'Cronog. e Histog.'!$BZ:$BZ,'Cronog. e Histog.'!DG:DG),"")</f>
        <v>0</v>
      </c>
      <c r="AM186" s="144">
        <f>IFERROR(_xlfn.XLOOKUP($B186,'Cronog. e Histog.'!$BZ:$BZ,'Cronog. e Histog.'!DH:DH),"")</f>
        <v>0</v>
      </c>
      <c r="AN186" s="144">
        <f>IFERROR(_xlfn.XLOOKUP($B186,'Cronog. e Histog.'!$BZ:$BZ,'Cronog. e Histog.'!DI:DI),"")</f>
        <v>0</v>
      </c>
      <c r="AO186" s="144">
        <f>IFERROR(_xlfn.XLOOKUP($B186,'Cronog. e Histog.'!$BZ:$BZ,'Cronog. e Histog.'!DJ:DJ),"")</f>
        <v>0</v>
      </c>
      <c r="AP186" s="144">
        <f>IFERROR(_xlfn.XLOOKUP($B186,'Cronog. e Histog.'!$BZ:$BZ,'Cronog. e Histog.'!DK:DK),"")</f>
        <v>0</v>
      </c>
      <c r="AQ186" s="144">
        <f>IFERROR(_xlfn.XLOOKUP($B186,'Cronog. e Histog.'!$BZ:$BZ,'Cronog. e Histog.'!DL:DL),"")</f>
        <v>0</v>
      </c>
      <c r="AR186" s="144">
        <f>IFERROR(_xlfn.XLOOKUP($B186,'Cronog. e Histog.'!$BZ:$BZ,'Cronog. e Histog.'!DM:DM),"")</f>
        <v>0</v>
      </c>
      <c r="AS186" s="144">
        <f>IFERROR(_xlfn.XLOOKUP($B186,'Cronog. e Histog.'!$BZ:$BZ,'Cronog. e Histog.'!DN:DN),"")</f>
        <v>0</v>
      </c>
      <c r="AT186" s="144">
        <f>IFERROR(_xlfn.XLOOKUP($B186,'Cronog. e Histog.'!$BZ:$BZ,'Cronog. e Histog.'!DO:DO),"")</f>
        <v>0</v>
      </c>
      <c r="AU186" s="144">
        <f>IFERROR(_xlfn.XLOOKUP($B186,'Cronog. e Histog.'!$BZ:$BZ,'Cronog. e Histog.'!DP:DP),"")</f>
        <v>0</v>
      </c>
      <c r="AV186" s="144">
        <f>IFERROR(_xlfn.XLOOKUP($B186,'Cronog. e Histog.'!$BZ:$BZ,'Cronog. e Histog.'!DQ:DQ),"")</f>
        <v>0</v>
      </c>
      <c r="AW186" s="144">
        <f>IFERROR(_xlfn.XLOOKUP($B186,'Cronog. e Histog.'!$BZ:$BZ,'Cronog. e Histog.'!DR:DR),"")</f>
        <v>0</v>
      </c>
      <c r="AX186" s="144">
        <f>IFERROR(_xlfn.XLOOKUP($B186,'Cronog. e Histog.'!$BZ:$BZ,'Cronog. e Histog.'!DS:DS),"")</f>
        <v>0</v>
      </c>
      <c r="AY186" s="144">
        <f>IFERROR(_xlfn.XLOOKUP($B186,'Cronog. e Histog.'!$BZ:$BZ,'Cronog. e Histog.'!DT:DT),"")</f>
        <v>0</v>
      </c>
      <c r="AZ186" s="144">
        <f>IFERROR(_xlfn.XLOOKUP($B186,'Cronog. e Histog.'!$BZ:$BZ,'Cronog. e Histog.'!DU:DU),"")</f>
        <v>0</v>
      </c>
      <c r="BA186" s="144">
        <f>IFERROR(_xlfn.XLOOKUP($B186,'Cronog. e Histog.'!$BZ:$BZ,'Cronog. e Histog.'!DV:DV),"")</f>
        <v>0</v>
      </c>
      <c r="BB186" s="144">
        <f>IFERROR(_xlfn.XLOOKUP($B186,'Cronog. e Histog.'!$BZ:$BZ,'Cronog. e Histog.'!DW:DW),"")</f>
        <v>0</v>
      </c>
      <c r="BC186" s="144">
        <f>IFERROR(_xlfn.XLOOKUP($B186,'Cronog. e Histog.'!$BZ:$BZ,'Cronog. e Histog.'!DX:DX),"")</f>
        <v>0</v>
      </c>
      <c r="BD186" s="144">
        <f>IFERROR(_xlfn.XLOOKUP($B186,'Cronog. e Histog.'!$BZ:$BZ,'Cronog. e Histog.'!DY:DY),"")</f>
        <v>0</v>
      </c>
      <c r="BE186" s="144">
        <f>IFERROR(_xlfn.XLOOKUP($B186,'Cronog. e Histog.'!$BZ:$BZ,'Cronog. e Histog.'!DZ:DZ),"")</f>
        <v>0</v>
      </c>
      <c r="BF186" s="144">
        <f>IFERROR(_xlfn.XLOOKUP($B186,'Cronog. e Histog.'!$BZ:$BZ,'Cronog. e Histog.'!EA:EA),"")</f>
        <v>0</v>
      </c>
      <c r="BG186" s="144">
        <f>IFERROR(_xlfn.XLOOKUP($B186,'Cronog. e Histog.'!$BZ:$BZ,'Cronog. e Histog.'!EB:EB),"")</f>
        <v>0</v>
      </c>
      <c r="BH186" s="144">
        <f>IFERROR(_xlfn.XLOOKUP($B186,'Cronog. e Histog.'!$BZ:$BZ,'Cronog. e Histog.'!EC:EC),"")</f>
        <v>0</v>
      </c>
      <c r="BI186" s="144">
        <f>IFERROR(_xlfn.XLOOKUP($B186,'Cronog. e Histog.'!$BZ:$BZ,'Cronog. e Histog.'!ED:ED),"")</f>
        <v>0</v>
      </c>
      <c r="BJ186" s="144">
        <f>IFERROR(_xlfn.XLOOKUP($B186,'Cronog. e Histog.'!$BZ:$BZ,'Cronog. e Histog.'!EE:EE),"")</f>
        <v>0</v>
      </c>
      <c r="BK186" s="144">
        <f>IFERROR(_xlfn.XLOOKUP($B186,'Cronog. e Histog.'!$BZ:$BZ,'Cronog. e Histog.'!EF:EF),"")</f>
        <v>0</v>
      </c>
      <c r="BL186" s="144">
        <f>IFERROR(_xlfn.XLOOKUP($B186,'Cronog. e Histog.'!$BZ:$BZ,'Cronog. e Histog.'!EG:EG),"")</f>
        <v>0</v>
      </c>
      <c r="BM186" s="144">
        <f>IFERROR(_xlfn.XLOOKUP($B186,'Cronog. e Histog.'!$BZ:$BZ,'Cronog. e Histog.'!EH:EH),"")</f>
        <v>0</v>
      </c>
      <c r="BN186" s="144">
        <f>IFERROR(_xlfn.XLOOKUP($B186,'Cronog. e Histog.'!$BZ:$BZ,'Cronog. e Histog.'!EI:EI),"")</f>
        <v>0</v>
      </c>
    </row>
    <row r="187" spans="2:66" ht="12" hidden="1" customHeight="1" outlineLevel="1">
      <c r="B187" s="76">
        <v>181</v>
      </c>
      <c r="C187" s="143" t="str">
        <f>IFERROR(VLOOKUP(B187,'Cronog. e Histog.'!$BZ$213:$CA$747,2,0),"")</f>
        <v>GER. (OBRA/PROJ)</v>
      </c>
      <c r="D187" s="144">
        <f t="shared" si="4"/>
        <v>1</v>
      </c>
      <c r="E187" s="144">
        <f t="shared" si="5"/>
        <v>10</v>
      </c>
      <c r="F187" s="65"/>
      <c r="G187" s="144">
        <f>IFERROR(_xlfn.XLOOKUP($B187,'Cronog. e Histog.'!$BZ:$BZ,'Cronog. e Histog.'!CB:CB),"")</f>
        <v>0.01</v>
      </c>
      <c r="H187" s="144">
        <f>IFERROR(_xlfn.XLOOKUP($B187,'Cronog. e Histog.'!$BZ:$BZ,'Cronog. e Histog.'!CC:CC),"")</f>
        <v>0.01</v>
      </c>
      <c r="I187" s="144">
        <f>IFERROR(_xlfn.XLOOKUP($B187,'Cronog. e Histog.'!$BZ:$BZ,'Cronog. e Histog.'!CD:CD),"")</f>
        <v>0.01</v>
      </c>
      <c r="J187" s="144">
        <f>IFERROR(_xlfn.XLOOKUP($B187,'Cronog. e Histog.'!$BZ:$BZ,'Cronog. e Histog.'!CE:CE),"")</f>
        <v>0.01</v>
      </c>
      <c r="K187" s="144">
        <f>IFERROR(_xlfn.XLOOKUP($B187,'Cronog. e Histog.'!$BZ:$BZ,'Cronog. e Histog.'!CF:CF),"")</f>
        <v>0.01</v>
      </c>
      <c r="L187" s="144">
        <f>IFERROR(_xlfn.XLOOKUP($B187,'Cronog. e Histog.'!$BZ:$BZ,'Cronog. e Histog.'!CG:CG),"")</f>
        <v>0.01</v>
      </c>
      <c r="M187" s="144">
        <f>IFERROR(_xlfn.XLOOKUP($B187,'Cronog. e Histog.'!$BZ:$BZ,'Cronog. e Histog.'!CH:CH),"")</f>
        <v>0.01</v>
      </c>
      <c r="N187" s="144">
        <f>IFERROR(_xlfn.XLOOKUP($B187,'Cronog. e Histog.'!$BZ:$BZ,'Cronog. e Histog.'!CI:CI),"")</f>
        <v>0.01</v>
      </c>
      <c r="O187" s="144">
        <f>IFERROR(_xlfn.XLOOKUP($B187,'Cronog. e Histog.'!$BZ:$BZ,'Cronog. e Histog.'!CJ:CJ),"")</f>
        <v>0.01</v>
      </c>
      <c r="P187" s="144">
        <f>IFERROR(_xlfn.XLOOKUP($B187,'Cronog. e Histog.'!$BZ:$BZ,'Cronog. e Histog.'!CK:CK),"")</f>
        <v>0.01</v>
      </c>
      <c r="Q187" s="144">
        <f>IFERROR(_xlfn.XLOOKUP($B187,'Cronog. e Histog.'!$BZ:$BZ,'Cronog. e Histog.'!CL:CL),"")</f>
        <v>0</v>
      </c>
      <c r="R187" s="144">
        <f>IFERROR(_xlfn.XLOOKUP($B187,'Cronog. e Histog.'!$BZ:$BZ,'Cronog. e Histog.'!CM:CM),"")</f>
        <v>0</v>
      </c>
      <c r="S187" s="144">
        <f>IFERROR(_xlfn.XLOOKUP($B187,'Cronog. e Histog.'!$BZ:$BZ,'Cronog. e Histog.'!CN:CN),"")</f>
        <v>0</v>
      </c>
      <c r="T187" s="144">
        <f>IFERROR(_xlfn.XLOOKUP($B187,'Cronog. e Histog.'!$BZ:$BZ,'Cronog. e Histog.'!CO:CO),"")</f>
        <v>0</v>
      </c>
      <c r="U187" s="144">
        <f>IFERROR(_xlfn.XLOOKUP($B187,'Cronog. e Histog.'!$BZ:$BZ,'Cronog. e Histog.'!CP:CP),"")</f>
        <v>0</v>
      </c>
      <c r="V187" s="144">
        <f>IFERROR(_xlfn.XLOOKUP($B187,'Cronog. e Histog.'!$BZ:$BZ,'Cronog. e Histog.'!CQ:CQ),"")</f>
        <v>0</v>
      </c>
      <c r="W187" s="144">
        <f>IFERROR(_xlfn.XLOOKUP($B187,'Cronog. e Histog.'!$BZ:$BZ,'Cronog. e Histog.'!CR:CR),"")</f>
        <v>0</v>
      </c>
      <c r="X187" s="144">
        <f>IFERROR(_xlfn.XLOOKUP($B187,'Cronog. e Histog.'!$BZ:$BZ,'Cronog. e Histog.'!CS:CS),"")</f>
        <v>0</v>
      </c>
      <c r="Y187" s="144">
        <f>IFERROR(_xlfn.XLOOKUP($B187,'Cronog. e Histog.'!$BZ:$BZ,'Cronog. e Histog.'!CT:CT),"")</f>
        <v>0</v>
      </c>
      <c r="Z187" s="144">
        <f>IFERROR(_xlfn.XLOOKUP($B187,'Cronog. e Histog.'!$BZ:$BZ,'Cronog. e Histog.'!CU:CU),"")</f>
        <v>0</v>
      </c>
      <c r="AA187" s="144">
        <f>IFERROR(_xlfn.XLOOKUP($B187,'Cronog. e Histog.'!$BZ:$BZ,'Cronog. e Histog.'!CV:CV),"")</f>
        <v>0</v>
      </c>
      <c r="AB187" s="144">
        <f>IFERROR(_xlfn.XLOOKUP($B187,'Cronog. e Histog.'!$BZ:$BZ,'Cronog. e Histog.'!CW:CW),"")</f>
        <v>0</v>
      </c>
      <c r="AC187" s="144">
        <f>IFERROR(_xlfn.XLOOKUP($B187,'Cronog. e Histog.'!$BZ:$BZ,'Cronog. e Histog.'!CX:CX),"")</f>
        <v>0</v>
      </c>
      <c r="AD187" s="144">
        <f>IFERROR(_xlfn.XLOOKUP($B187,'Cronog. e Histog.'!$BZ:$BZ,'Cronog. e Histog.'!CY:CY),"")</f>
        <v>0</v>
      </c>
      <c r="AE187" s="144">
        <f>IFERROR(_xlfn.XLOOKUP($B187,'Cronog. e Histog.'!$BZ:$BZ,'Cronog. e Histog.'!CZ:CZ),"")</f>
        <v>0</v>
      </c>
      <c r="AF187" s="144">
        <f>IFERROR(_xlfn.XLOOKUP($B187,'Cronog. e Histog.'!$BZ:$BZ,'Cronog. e Histog.'!DA:DA),"")</f>
        <v>0</v>
      </c>
      <c r="AG187" s="144">
        <f>IFERROR(_xlfn.XLOOKUP($B187,'Cronog. e Histog.'!$BZ:$BZ,'Cronog. e Histog.'!DB:DB),"")</f>
        <v>0</v>
      </c>
      <c r="AH187" s="144">
        <f>IFERROR(_xlfn.XLOOKUP($B187,'Cronog. e Histog.'!$BZ:$BZ,'Cronog. e Histog.'!DC:DC),"")</f>
        <v>0</v>
      </c>
      <c r="AI187" s="144">
        <f>IFERROR(_xlfn.XLOOKUP($B187,'Cronog. e Histog.'!$BZ:$BZ,'Cronog. e Histog.'!DD:DD),"")</f>
        <v>0</v>
      </c>
      <c r="AJ187" s="144">
        <f>IFERROR(_xlfn.XLOOKUP($B187,'Cronog. e Histog.'!$BZ:$BZ,'Cronog. e Histog.'!DE:DE),"")</f>
        <v>0</v>
      </c>
      <c r="AK187" s="144">
        <f>IFERROR(_xlfn.XLOOKUP($B187,'Cronog. e Histog.'!$BZ:$BZ,'Cronog. e Histog.'!DF:DF),"")</f>
        <v>0</v>
      </c>
      <c r="AL187" s="144">
        <f>IFERROR(_xlfn.XLOOKUP($B187,'Cronog. e Histog.'!$BZ:$BZ,'Cronog. e Histog.'!DG:DG),"")</f>
        <v>0</v>
      </c>
      <c r="AM187" s="144">
        <f>IFERROR(_xlfn.XLOOKUP($B187,'Cronog. e Histog.'!$BZ:$BZ,'Cronog. e Histog.'!DH:DH),"")</f>
        <v>0</v>
      </c>
      <c r="AN187" s="144">
        <f>IFERROR(_xlfn.XLOOKUP($B187,'Cronog. e Histog.'!$BZ:$BZ,'Cronog. e Histog.'!DI:DI),"")</f>
        <v>0</v>
      </c>
      <c r="AO187" s="144">
        <f>IFERROR(_xlfn.XLOOKUP($B187,'Cronog. e Histog.'!$BZ:$BZ,'Cronog. e Histog.'!DJ:DJ),"")</f>
        <v>0</v>
      </c>
      <c r="AP187" s="144">
        <f>IFERROR(_xlfn.XLOOKUP($B187,'Cronog. e Histog.'!$BZ:$BZ,'Cronog. e Histog.'!DK:DK),"")</f>
        <v>0</v>
      </c>
      <c r="AQ187" s="144">
        <f>IFERROR(_xlfn.XLOOKUP($B187,'Cronog. e Histog.'!$BZ:$BZ,'Cronog. e Histog.'!DL:DL),"")</f>
        <v>0</v>
      </c>
      <c r="AR187" s="144">
        <f>IFERROR(_xlfn.XLOOKUP($B187,'Cronog. e Histog.'!$BZ:$BZ,'Cronog. e Histog.'!DM:DM),"")</f>
        <v>0</v>
      </c>
      <c r="AS187" s="144">
        <f>IFERROR(_xlfn.XLOOKUP($B187,'Cronog. e Histog.'!$BZ:$BZ,'Cronog. e Histog.'!DN:DN),"")</f>
        <v>0</v>
      </c>
      <c r="AT187" s="144">
        <f>IFERROR(_xlfn.XLOOKUP($B187,'Cronog. e Histog.'!$BZ:$BZ,'Cronog. e Histog.'!DO:DO),"")</f>
        <v>0</v>
      </c>
      <c r="AU187" s="144">
        <f>IFERROR(_xlfn.XLOOKUP($B187,'Cronog. e Histog.'!$BZ:$BZ,'Cronog. e Histog.'!DP:DP),"")</f>
        <v>0</v>
      </c>
      <c r="AV187" s="144">
        <f>IFERROR(_xlfn.XLOOKUP($B187,'Cronog. e Histog.'!$BZ:$BZ,'Cronog. e Histog.'!DQ:DQ),"")</f>
        <v>0</v>
      </c>
      <c r="AW187" s="144">
        <f>IFERROR(_xlfn.XLOOKUP($B187,'Cronog. e Histog.'!$BZ:$BZ,'Cronog. e Histog.'!DR:DR),"")</f>
        <v>0</v>
      </c>
      <c r="AX187" s="144">
        <f>IFERROR(_xlfn.XLOOKUP($B187,'Cronog. e Histog.'!$BZ:$BZ,'Cronog. e Histog.'!DS:DS),"")</f>
        <v>0</v>
      </c>
      <c r="AY187" s="144">
        <f>IFERROR(_xlfn.XLOOKUP($B187,'Cronog. e Histog.'!$BZ:$BZ,'Cronog. e Histog.'!DT:DT),"")</f>
        <v>0</v>
      </c>
      <c r="AZ187" s="144">
        <f>IFERROR(_xlfn.XLOOKUP($B187,'Cronog. e Histog.'!$BZ:$BZ,'Cronog. e Histog.'!DU:DU),"")</f>
        <v>0</v>
      </c>
      <c r="BA187" s="144">
        <f>IFERROR(_xlfn.XLOOKUP($B187,'Cronog. e Histog.'!$BZ:$BZ,'Cronog. e Histog.'!DV:DV),"")</f>
        <v>0</v>
      </c>
      <c r="BB187" s="144">
        <f>IFERROR(_xlfn.XLOOKUP($B187,'Cronog. e Histog.'!$BZ:$BZ,'Cronog. e Histog.'!DW:DW),"")</f>
        <v>0</v>
      </c>
      <c r="BC187" s="144">
        <f>IFERROR(_xlfn.XLOOKUP($B187,'Cronog. e Histog.'!$BZ:$BZ,'Cronog. e Histog.'!DX:DX),"")</f>
        <v>0</v>
      </c>
      <c r="BD187" s="144">
        <f>IFERROR(_xlfn.XLOOKUP($B187,'Cronog. e Histog.'!$BZ:$BZ,'Cronog. e Histog.'!DY:DY),"")</f>
        <v>0</v>
      </c>
      <c r="BE187" s="144">
        <f>IFERROR(_xlfn.XLOOKUP($B187,'Cronog. e Histog.'!$BZ:$BZ,'Cronog. e Histog.'!DZ:DZ),"")</f>
        <v>0</v>
      </c>
      <c r="BF187" s="144">
        <f>IFERROR(_xlfn.XLOOKUP($B187,'Cronog. e Histog.'!$BZ:$BZ,'Cronog. e Histog.'!EA:EA),"")</f>
        <v>0</v>
      </c>
      <c r="BG187" s="144">
        <f>IFERROR(_xlfn.XLOOKUP($B187,'Cronog. e Histog.'!$BZ:$BZ,'Cronog. e Histog.'!EB:EB),"")</f>
        <v>0</v>
      </c>
      <c r="BH187" s="144">
        <f>IFERROR(_xlfn.XLOOKUP($B187,'Cronog. e Histog.'!$BZ:$BZ,'Cronog. e Histog.'!EC:EC),"")</f>
        <v>0</v>
      </c>
      <c r="BI187" s="144">
        <f>IFERROR(_xlfn.XLOOKUP($B187,'Cronog. e Histog.'!$BZ:$BZ,'Cronog. e Histog.'!ED:ED),"")</f>
        <v>0</v>
      </c>
      <c r="BJ187" s="144">
        <f>IFERROR(_xlfn.XLOOKUP($B187,'Cronog. e Histog.'!$BZ:$BZ,'Cronog. e Histog.'!EE:EE),"")</f>
        <v>0</v>
      </c>
      <c r="BK187" s="144">
        <f>IFERROR(_xlfn.XLOOKUP($B187,'Cronog. e Histog.'!$BZ:$BZ,'Cronog. e Histog.'!EF:EF),"")</f>
        <v>0</v>
      </c>
      <c r="BL187" s="144">
        <f>IFERROR(_xlfn.XLOOKUP($B187,'Cronog. e Histog.'!$BZ:$BZ,'Cronog. e Histog.'!EG:EG),"")</f>
        <v>0</v>
      </c>
      <c r="BM187" s="144">
        <f>IFERROR(_xlfn.XLOOKUP($B187,'Cronog. e Histog.'!$BZ:$BZ,'Cronog. e Histog.'!EH:EH),"")</f>
        <v>0</v>
      </c>
      <c r="BN187" s="144">
        <f>IFERROR(_xlfn.XLOOKUP($B187,'Cronog. e Histog.'!$BZ:$BZ,'Cronog. e Histog.'!EI:EI),"")</f>
        <v>0</v>
      </c>
    </row>
    <row r="188" spans="2:66" ht="12" hidden="1" customHeight="1" outlineLevel="1">
      <c r="B188" s="76">
        <v>182</v>
      </c>
      <c r="C188" s="143" t="str">
        <f>IFERROR(VLOOKUP(B188,'Cronog. e Histog.'!$BZ$213:$CA$747,2,0),"")</f>
        <v>COORD.</v>
      </c>
      <c r="D188" s="144">
        <f t="shared" si="4"/>
        <v>0</v>
      </c>
      <c r="E188" s="144">
        <f t="shared" si="5"/>
        <v>0</v>
      </c>
      <c r="F188" s="65"/>
      <c r="G188" s="144">
        <f>IFERROR(_xlfn.XLOOKUP($B188,'Cronog. e Histog.'!$BZ:$BZ,'Cronog. e Histog.'!CB:CB),"")</f>
        <v>0</v>
      </c>
      <c r="H188" s="144">
        <f>IFERROR(_xlfn.XLOOKUP($B188,'Cronog. e Histog.'!$BZ:$BZ,'Cronog. e Histog.'!CC:CC),"")</f>
        <v>0</v>
      </c>
      <c r="I188" s="144">
        <f>IFERROR(_xlfn.XLOOKUP($B188,'Cronog. e Histog.'!$BZ:$BZ,'Cronog. e Histog.'!CD:CD),"")</f>
        <v>0</v>
      </c>
      <c r="J188" s="144">
        <f>IFERROR(_xlfn.XLOOKUP($B188,'Cronog. e Histog.'!$BZ:$BZ,'Cronog. e Histog.'!CE:CE),"")</f>
        <v>0</v>
      </c>
      <c r="K188" s="144">
        <f>IFERROR(_xlfn.XLOOKUP($B188,'Cronog. e Histog.'!$BZ:$BZ,'Cronog. e Histog.'!CF:CF),"")</f>
        <v>0</v>
      </c>
      <c r="L188" s="144">
        <f>IFERROR(_xlfn.XLOOKUP($B188,'Cronog. e Histog.'!$BZ:$BZ,'Cronog. e Histog.'!CG:CG),"")</f>
        <v>0</v>
      </c>
      <c r="M188" s="144">
        <f>IFERROR(_xlfn.XLOOKUP($B188,'Cronog. e Histog.'!$BZ:$BZ,'Cronog. e Histog.'!CH:CH),"")</f>
        <v>0</v>
      </c>
      <c r="N188" s="144">
        <f>IFERROR(_xlfn.XLOOKUP($B188,'Cronog. e Histog.'!$BZ:$BZ,'Cronog. e Histog.'!CI:CI),"")</f>
        <v>0</v>
      </c>
      <c r="O188" s="144">
        <f>IFERROR(_xlfn.XLOOKUP($B188,'Cronog. e Histog.'!$BZ:$BZ,'Cronog. e Histog.'!CJ:CJ),"")</f>
        <v>0</v>
      </c>
      <c r="P188" s="144">
        <f>IFERROR(_xlfn.XLOOKUP($B188,'Cronog. e Histog.'!$BZ:$BZ,'Cronog. e Histog.'!CK:CK),"")</f>
        <v>0</v>
      </c>
      <c r="Q188" s="144">
        <f>IFERROR(_xlfn.XLOOKUP($B188,'Cronog. e Histog.'!$BZ:$BZ,'Cronog. e Histog.'!CL:CL),"")</f>
        <v>0</v>
      </c>
      <c r="R188" s="144">
        <f>IFERROR(_xlfn.XLOOKUP($B188,'Cronog. e Histog.'!$BZ:$BZ,'Cronog. e Histog.'!CM:CM),"")</f>
        <v>0</v>
      </c>
      <c r="S188" s="144">
        <f>IFERROR(_xlfn.XLOOKUP($B188,'Cronog. e Histog.'!$BZ:$BZ,'Cronog. e Histog.'!CN:CN),"")</f>
        <v>0</v>
      </c>
      <c r="T188" s="144">
        <f>IFERROR(_xlfn.XLOOKUP($B188,'Cronog. e Histog.'!$BZ:$BZ,'Cronog. e Histog.'!CO:CO),"")</f>
        <v>0</v>
      </c>
      <c r="U188" s="144">
        <f>IFERROR(_xlfn.XLOOKUP($B188,'Cronog. e Histog.'!$BZ:$BZ,'Cronog. e Histog.'!CP:CP),"")</f>
        <v>0</v>
      </c>
      <c r="V188" s="144">
        <f>IFERROR(_xlfn.XLOOKUP($B188,'Cronog. e Histog.'!$BZ:$BZ,'Cronog. e Histog.'!CQ:CQ),"")</f>
        <v>0</v>
      </c>
      <c r="W188" s="144">
        <f>IFERROR(_xlfn.XLOOKUP($B188,'Cronog. e Histog.'!$BZ:$BZ,'Cronog. e Histog.'!CR:CR),"")</f>
        <v>0</v>
      </c>
      <c r="X188" s="144">
        <f>IFERROR(_xlfn.XLOOKUP($B188,'Cronog. e Histog.'!$BZ:$BZ,'Cronog. e Histog.'!CS:CS),"")</f>
        <v>0</v>
      </c>
      <c r="Y188" s="144">
        <f>IFERROR(_xlfn.XLOOKUP($B188,'Cronog. e Histog.'!$BZ:$BZ,'Cronog. e Histog.'!CT:CT),"")</f>
        <v>0</v>
      </c>
      <c r="Z188" s="144">
        <f>IFERROR(_xlfn.XLOOKUP($B188,'Cronog. e Histog.'!$BZ:$BZ,'Cronog. e Histog.'!CU:CU),"")</f>
        <v>0</v>
      </c>
      <c r="AA188" s="144">
        <f>IFERROR(_xlfn.XLOOKUP($B188,'Cronog. e Histog.'!$BZ:$BZ,'Cronog. e Histog.'!CV:CV),"")</f>
        <v>0</v>
      </c>
      <c r="AB188" s="144">
        <f>IFERROR(_xlfn.XLOOKUP($B188,'Cronog. e Histog.'!$BZ:$BZ,'Cronog. e Histog.'!CW:CW),"")</f>
        <v>0</v>
      </c>
      <c r="AC188" s="144">
        <f>IFERROR(_xlfn.XLOOKUP($B188,'Cronog. e Histog.'!$BZ:$BZ,'Cronog. e Histog.'!CX:CX),"")</f>
        <v>0</v>
      </c>
      <c r="AD188" s="144">
        <f>IFERROR(_xlfn.XLOOKUP($B188,'Cronog. e Histog.'!$BZ:$BZ,'Cronog. e Histog.'!CY:CY),"")</f>
        <v>0</v>
      </c>
      <c r="AE188" s="144">
        <f>IFERROR(_xlfn.XLOOKUP($B188,'Cronog. e Histog.'!$BZ:$BZ,'Cronog. e Histog.'!CZ:CZ),"")</f>
        <v>0</v>
      </c>
      <c r="AF188" s="144">
        <f>IFERROR(_xlfn.XLOOKUP($B188,'Cronog. e Histog.'!$BZ:$BZ,'Cronog. e Histog.'!DA:DA),"")</f>
        <v>0</v>
      </c>
      <c r="AG188" s="144">
        <f>IFERROR(_xlfn.XLOOKUP($B188,'Cronog. e Histog.'!$BZ:$BZ,'Cronog. e Histog.'!DB:DB),"")</f>
        <v>0</v>
      </c>
      <c r="AH188" s="144">
        <f>IFERROR(_xlfn.XLOOKUP($B188,'Cronog. e Histog.'!$BZ:$BZ,'Cronog. e Histog.'!DC:DC),"")</f>
        <v>0</v>
      </c>
      <c r="AI188" s="144">
        <f>IFERROR(_xlfn.XLOOKUP($B188,'Cronog. e Histog.'!$BZ:$BZ,'Cronog. e Histog.'!DD:DD),"")</f>
        <v>0</v>
      </c>
      <c r="AJ188" s="144">
        <f>IFERROR(_xlfn.XLOOKUP($B188,'Cronog. e Histog.'!$BZ:$BZ,'Cronog. e Histog.'!DE:DE),"")</f>
        <v>0</v>
      </c>
      <c r="AK188" s="144">
        <f>IFERROR(_xlfn.XLOOKUP($B188,'Cronog. e Histog.'!$BZ:$BZ,'Cronog. e Histog.'!DF:DF),"")</f>
        <v>0</v>
      </c>
      <c r="AL188" s="144">
        <f>IFERROR(_xlfn.XLOOKUP($B188,'Cronog. e Histog.'!$BZ:$BZ,'Cronog. e Histog.'!DG:DG),"")</f>
        <v>0</v>
      </c>
      <c r="AM188" s="144">
        <f>IFERROR(_xlfn.XLOOKUP($B188,'Cronog. e Histog.'!$BZ:$BZ,'Cronog. e Histog.'!DH:DH),"")</f>
        <v>0</v>
      </c>
      <c r="AN188" s="144">
        <f>IFERROR(_xlfn.XLOOKUP($B188,'Cronog. e Histog.'!$BZ:$BZ,'Cronog. e Histog.'!DI:DI),"")</f>
        <v>0</v>
      </c>
      <c r="AO188" s="144">
        <f>IFERROR(_xlfn.XLOOKUP($B188,'Cronog. e Histog.'!$BZ:$BZ,'Cronog. e Histog.'!DJ:DJ),"")</f>
        <v>0</v>
      </c>
      <c r="AP188" s="144">
        <f>IFERROR(_xlfn.XLOOKUP($B188,'Cronog. e Histog.'!$BZ:$BZ,'Cronog. e Histog.'!DK:DK),"")</f>
        <v>0</v>
      </c>
      <c r="AQ188" s="144">
        <f>IFERROR(_xlfn.XLOOKUP($B188,'Cronog. e Histog.'!$BZ:$BZ,'Cronog. e Histog.'!DL:DL),"")</f>
        <v>0</v>
      </c>
      <c r="AR188" s="144">
        <f>IFERROR(_xlfn.XLOOKUP($B188,'Cronog. e Histog.'!$BZ:$BZ,'Cronog. e Histog.'!DM:DM),"")</f>
        <v>0</v>
      </c>
      <c r="AS188" s="144">
        <f>IFERROR(_xlfn.XLOOKUP($B188,'Cronog. e Histog.'!$BZ:$BZ,'Cronog. e Histog.'!DN:DN),"")</f>
        <v>0</v>
      </c>
      <c r="AT188" s="144">
        <f>IFERROR(_xlfn.XLOOKUP($B188,'Cronog. e Histog.'!$BZ:$BZ,'Cronog. e Histog.'!DO:DO),"")</f>
        <v>0</v>
      </c>
      <c r="AU188" s="144">
        <f>IFERROR(_xlfn.XLOOKUP($B188,'Cronog. e Histog.'!$BZ:$BZ,'Cronog. e Histog.'!DP:DP),"")</f>
        <v>0</v>
      </c>
      <c r="AV188" s="144">
        <f>IFERROR(_xlfn.XLOOKUP($B188,'Cronog. e Histog.'!$BZ:$BZ,'Cronog. e Histog.'!DQ:DQ),"")</f>
        <v>0</v>
      </c>
      <c r="AW188" s="144">
        <f>IFERROR(_xlfn.XLOOKUP($B188,'Cronog. e Histog.'!$BZ:$BZ,'Cronog. e Histog.'!DR:DR),"")</f>
        <v>0</v>
      </c>
      <c r="AX188" s="144">
        <f>IFERROR(_xlfn.XLOOKUP($B188,'Cronog. e Histog.'!$BZ:$BZ,'Cronog. e Histog.'!DS:DS),"")</f>
        <v>0</v>
      </c>
      <c r="AY188" s="144">
        <f>IFERROR(_xlfn.XLOOKUP($B188,'Cronog. e Histog.'!$BZ:$BZ,'Cronog. e Histog.'!DT:DT),"")</f>
        <v>0</v>
      </c>
      <c r="AZ188" s="144">
        <f>IFERROR(_xlfn.XLOOKUP($B188,'Cronog. e Histog.'!$BZ:$BZ,'Cronog. e Histog.'!DU:DU),"")</f>
        <v>0</v>
      </c>
      <c r="BA188" s="144">
        <f>IFERROR(_xlfn.XLOOKUP($B188,'Cronog. e Histog.'!$BZ:$BZ,'Cronog. e Histog.'!DV:DV),"")</f>
        <v>0</v>
      </c>
      <c r="BB188" s="144">
        <f>IFERROR(_xlfn.XLOOKUP($B188,'Cronog. e Histog.'!$BZ:$BZ,'Cronog. e Histog.'!DW:DW),"")</f>
        <v>0</v>
      </c>
      <c r="BC188" s="144">
        <f>IFERROR(_xlfn.XLOOKUP($B188,'Cronog. e Histog.'!$BZ:$BZ,'Cronog. e Histog.'!DX:DX),"")</f>
        <v>0</v>
      </c>
      <c r="BD188" s="144">
        <f>IFERROR(_xlfn.XLOOKUP($B188,'Cronog. e Histog.'!$BZ:$BZ,'Cronog. e Histog.'!DY:DY),"")</f>
        <v>0</v>
      </c>
      <c r="BE188" s="144">
        <f>IFERROR(_xlfn.XLOOKUP($B188,'Cronog. e Histog.'!$BZ:$BZ,'Cronog. e Histog.'!DZ:DZ),"")</f>
        <v>0</v>
      </c>
      <c r="BF188" s="144">
        <f>IFERROR(_xlfn.XLOOKUP($B188,'Cronog. e Histog.'!$BZ:$BZ,'Cronog. e Histog.'!EA:EA),"")</f>
        <v>0</v>
      </c>
      <c r="BG188" s="144">
        <f>IFERROR(_xlfn.XLOOKUP($B188,'Cronog. e Histog.'!$BZ:$BZ,'Cronog. e Histog.'!EB:EB),"")</f>
        <v>0</v>
      </c>
      <c r="BH188" s="144">
        <f>IFERROR(_xlfn.XLOOKUP($B188,'Cronog. e Histog.'!$BZ:$BZ,'Cronog. e Histog.'!EC:EC),"")</f>
        <v>0</v>
      </c>
      <c r="BI188" s="144">
        <f>IFERROR(_xlfn.XLOOKUP($B188,'Cronog. e Histog.'!$BZ:$BZ,'Cronog. e Histog.'!ED:ED),"")</f>
        <v>0</v>
      </c>
      <c r="BJ188" s="144">
        <f>IFERROR(_xlfn.XLOOKUP($B188,'Cronog. e Histog.'!$BZ:$BZ,'Cronog. e Histog.'!EE:EE),"")</f>
        <v>0</v>
      </c>
      <c r="BK188" s="144">
        <f>IFERROR(_xlfn.XLOOKUP($B188,'Cronog. e Histog.'!$BZ:$BZ,'Cronog. e Histog.'!EF:EF),"")</f>
        <v>0</v>
      </c>
      <c r="BL188" s="144">
        <f>IFERROR(_xlfn.XLOOKUP($B188,'Cronog. e Histog.'!$BZ:$BZ,'Cronog. e Histog.'!EG:EG),"")</f>
        <v>0</v>
      </c>
      <c r="BM188" s="144">
        <f>IFERROR(_xlfn.XLOOKUP($B188,'Cronog. e Histog.'!$BZ:$BZ,'Cronog. e Histog.'!EH:EH),"")</f>
        <v>0</v>
      </c>
      <c r="BN188" s="144">
        <f>IFERROR(_xlfn.XLOOKUP($B188,'Cronog. e Histog.'!$BZ:$BZ,'Cronog. e Histog.'!EI:EI),"")</f>
        <v>0</v>
      </c>
    </row>
    <row r="189" spans="2:66" ht="12" hidden="1" customHeight="1" outlineLevel="1">
      <c r="B189" s="76">
        <v>183</v>
      </c>
      <c r="C189" s="143" t="str">
        <f>IFERROR(VLOOKUP(B189,'Cronog. e Histog.'!$BZ$213:$CA$747,2,0),"")</f>
        <v>SUP.-ESP</v>
      </c>
      <c r="D189" s="144">
        <f t="shared" si="4"/>
        <v>0</v>
      </c>
      <c r="E189" s="144">
        <f t="shared" si="5"/>
        <v>0</v>
      </c>
      <c r="F189" s="65"/>
      <c r="G189" s="144">
        <f>IFERROR(_xlfn.XLOOKUP($B189,'Cronog. e Histog.'!$BZ:$BZ,'Cronog. e Histog.'!CB:CB),"")</f>
        <v>0</v>
      </c>
      <c r="H189" s="144">
        <f>IFERROR(_xlfn.XLOOKUP($B189,'Cronog. e Histog.'!$BZ:$BZ,'Cronog. e Histog.'!CC:CC),"")</f>
        <v>0</v>
      </c>
      <c r="I189" s="144">
        <f>IFERROR(_xlfn.XLOOKUP($B189,'Cronog. e Histog.'!$BZ:$BZ,'Cronog. e Histog.'!CD:CD),"")</f>
        <v>0</v>
      </c>
      <c r="J189" s="144">
        <f>IFERROR(_xlfn.XLOOKUP($B189,'Cronog. e Histog.'!$BZ:$BZ,'Cronog. e Histog.'!CE:CE),"")</f>
        <v>0</v>
      </c>
      <c r="K189" s="144">
        <f>IFERROR(_xlfn.XLOOKUP($B189,'Cronog. e Histog.'!$BZ:$BZ,'Cronog. e Histog.'!CF:CF),"")</f>
        <v>0</v>
      </c>
      <c r="L189" s="144">
        <f>IFERROR(_xlfn.XLOOKUP($B189,'Cronog. e Histog.'!$BZ:$BZ,'Cronog. e Histog.'!CG:CG),"")</f>
        <v>0</v>
      </c>
      <c r="M189" s="144">
        <f>IFERROR(_xlfn.XLOOKUP($B189,'Cronog. e Histog.'!$BZ:$BZ,'Cronog. e Histog.'!CH:CH),"")</f>
        <v>0</v>
      </c>
      <c r="N189" s="144">
        <f>IFERROR(_xlfn.XLOOKUP($B189,'Cronog. e Histog.'!$BZ:$BZ,'Cronog. e Histog.'!CI:CI),"")</f>
        <v>0</v>
      </c>
      <c r="O189" s="144">
        <f>IFERROR(_xlfn.XLOOKUP($B189,'Cronog. e Histog.'!$BZ:$BZ,'Cronog. e Histog.'!CJ:CJ),"")</f>
        <v>0</v>
      </c>
      <c r="P189" s="144">
        <f>IFERROR(_xlfn.XLOOKUP($B189,'Cronog. e Histog.'!$BZ:$BZ,'Cronog. e Histog.'!CK:CK),"")</f>
        <v>0</v>
      </c>
      <c r="Q189" s="144">
        <f>IFERROR(_xlfn.XLOOKUP($B189,'Cronog. e Histog.'!$BZ:$BZ,'Cronog. e Histog.'!CL:CL),"")</f>
        <v>0</v>
      </c>
      <c r="R189" s="144">
        <f>IFERROR(_xlfn.XLOOKUP($B189,'Cronog. e Histog.'!$BZ:$BZ,'Cronog. e Histog.'!CM:CM),"")</f>
        <v>0</v>
      </c>
      <c r="S189" s="144">
        <f>IFERROR(_xlfn.XLOOKUP($B189,'Cronog. e Histog.'!$BZ:$BZ,'Cronog. e Histog.'!CN:CN),"")</f>
        <v>0</v>
      </c>
      <c r="T189" s="144">
        <f>IFERROR(_xlfn.XLOOKUP($B189,'Cronog. e Histog.'!$BZ:$BZ,'Cronog. e Histog.'!CO:CO),"")</f>
        <v>0</v>
      </c>
      <c r="U189" s="144">
        <f>IFERROR(_xlfn.XLOOKUP($B189,'Cronog. e Histog.'!$BZ:$BZ,'Cronog. e Histog.'!CP:CP),"")</f>
        <v>0</v>
      </c>
      <c r="V189" s="144">
        <f>IFERROR(_xlfn.XLOOKUP($B189,'Cronog. e Histog.'!$BZ:$BZ,'Cronog. e Histog.'!CQ:CQ),"")</f>
        <v>0</v>
      </c>
      <c r="W189" s="144">
        <f>IFERROR(_xlfn.XLOOKUP($B189,'Cronog. e Histog.'!$BZ:$BZ,'Cronog. e Histog.'!CR:CR),"")</f>
        <v>0</v>
      </c>
      <c r="X189" s="144">
        <f>IFERROR(_xlfn.XLOOKUP($B189,'Cronog. e Histog.'!$BZ:$BZ,'Cronog. e Histog.'!CS:CS),"")</f>
        <v>0</v>
      </c>
      <c r="Y189" s="144">
        <f>IFERROR(_xlfn.XLOOKUP($B189,'Cronog. e Histog.'!$BZ:$BZ,'Cronog. e Histog.'!CT:CT),"")</f>
        <v>0</v>
      </c>
      <c r="Z189" s="144">
        <f>IFERROR(_xlfn.XLOOKUP($B189,'Cronog. e Histog.'!$BZ:$BZ,'Cronog. e Histog.'!CU:CU),"")</f>
        <v>0</v>
      </c>
      <c r="AA189" s="144">
        <f>IFERROR(_xlfn.XLOOKUP($B189,'Cronog. e Histog.'!$BZ:$BZ,'Cronog. e Histog.'!CV:CV),"")</f>
        <v>0</v>
      </c>
      <c r="AB189" s="144">
        <f>IFERROR(_xlfn.XLOOKUP($B189,'Cronog. e Histog.'!$BZ:$BZ,'Cronog. e Histog.'!CW:CW),"")</f>
        <v>0</v>
      </c>
      <c r="AC189" s="144">
        <f>IFERROR(_xlfn.XLOOKUP($B189,'Cronog. e Histog.'!$BZ:$BZ,'Cronog. e Histog.'!CX:CX),"")</f>
        <v>0</v>
      </c>
      <c r="AD189" s="144">
        <f>IFERROR(_xlfn.XLOOKUP($B189,'Cronog. e Histog.'!$BZ:$BZ,'Cronog. e Histog.'!CY:CY),"")</f>
        <v>0</v>
      </c>
      <c r="AE189" s="144">
        <f>IFERROR(_xlfn.XLOOKUP($B189,'Cronog. e Histog.'!$BZ:$BZ,'Cronog. e Histog.'!CZ:CZ),"")</f>
        <v>0</v>
      </c>
      <c r="AF189" s="144">
        <f>IFERROR(_xlfn.XLOOKUP($B189,'Cronog. e Histog.'!$BZ:$BZ,'Cronog. e Histog.'!DA:DA),"")</f>
        <v>0</v>
      </c>
      <c r="AG189" s="144">
        <f>IFERROR(_xlfn.XLOOKUP($B189,'Cronog. e Histog.'!$BZ:$BZ,'Cronog. e Histog.'!DB:DB),"")</f>
        <v>0</v>
      </c>
      <c r="AH189" s="144">
        <f>IFERROR(_xlfn.XLOOKUP($B189,'Cronog. e Histog.'!$BZ:$BZ,'Cronog. e Histog.'!DC:DC),"")</f>
        <v>0</v>
      </c>
      <c r="AI189" s="144">
        <f>IFERROR(_xlfn.XLOOKUP($B189,'Cronog. e Histog.'!$BZ:$BZ,'Cronog. e Histog.'!DD:DD),"")</f>
        <v>0</v>
      </c>
      <c r="AJ189" s="144">
        <f>IFERROR(_xlfn.XLOOKUP($B189,'Cronog. e Histog.'!$BZ:$BZ,'Cronog. e Histog.'!DE:DE),"")</f>
        <v>0</v>
      </c>
      <c r="AK189" s="144">
        <f>IFERROR(_xlfn.XLOOKUP($B189,'Cronog. e Histog.'!$BZ:$BZ,'Cronog. e Histog.'!DF:DF),"")</f>
        <v>0</v>
      </c>
      <c r="AL189" s="144">
        <f>IFERROR(_xlfn.XLOOKUP($B189,'Cronog. e Histog.'!$BZ:$BZ,'Cronog. e Histog.'!DG:DG),"")</f>
        <v>0</v>
      </c>
      <c r="AM189" s="144">
        <f>IFERROR(_xlfn.XLOOKUP($B189,'Cronog. e Histog.'!$BZ:$BZ,'Cronog. e Histog.'!DH:DH),"")</f>
        <v>0</v>
      </c>
      <c r="AN189" s="144">
        <f>IFERROR(_xlfn.XLOOKUP($B189,'Cronog. e Histog.'!$BZ:$BZ,'Cronog. e Histog.'!DI:DI),"")</f>
        <v>0</v>
      </c>
      <c r="AO189" s="144">
        <f>IFERROR(_xlfn.XLOOKUP($B189,'Cronog. e Histog.'!$BZ:$BZ,'Cronog. e Histog.'!DJ:DJ),"")</f>
        <v>0</v>
      </c>
      <c r="AP189" s="144">
        <f>IFERROR(_xlfn.XLOOKUP($B189,'Cronog. e Histog.'!$BZ:$BZ,'Cronog. e Histog.'!DK:DK),"")</f>
        <v>0</v>
      </c>
      <c r="AQ189" s="144">
        <f>IFERROR(_xlfn.XLOOKUP($B189,'Cronog. e Histog.'!$BZ:$BZ,'Cronog. e Histog.'!DL:DL),"")</f>
        <v>0</v>
      </c>
      <c r="AR189" s="144">
        <f>IFERROR(_xlfn.XLOOKUP($B189,'Cronog. e Histog.'!$BZ:$BZ,'Cronog. e Histog.'!DM:DM),"")</f>
        <v>0</v>
      </c>
      <c r="AS189" s="144">
        <f>IFERROR(_xlfn.XLOOKUP($B189,'Cronog. e Histog.'!$BZ:$BZ,'Cronog. e Histog.'!DN:DN),"")</f>
        <v>0</v>
      </c>
      <c r="AT189" s="144">
        <f>IFERROR(_xlfn.XLOOKUP($B189,'Cronog. e Histog.'!$BZ:$BZ,'Cronog. e Histog.'!DO:DO),"")</f>
        <v>0</v>
      </c>
      <c r="AU189" s="144">
        <f>IFERROR(_xlfn.XLOOKUP($B189,'Cronog. e Histog.'!$BZ:$BZ,'Cronog. e Histog.'!DP:DP),"")</f>
        <v>0</v>
      </c>
      <c r="AV189" s="144">
        <f>IFERROR(_xlfn.XLOOKUP($B189,'Cronog. e Histog.'!$BZ:$BZ,'Cronog. e Histog.'!DQ:DQ),"")</f>
        <v>0</v>
      </c>
      <c r="AW189" s="144">
        <f>IFERROR(_xlfn.XLOOKUP($B189,'Cronog. e Histog.'!$BZ:$BZ,'Cronog. e Histog.'!DR:DR),"")</f>
        <v>0</v>
      </c>
      <c r="AX189" s="144">
        <f>IFERROR(_xlfn.XLOOKUP($B189,'Cronog. e Histog.'!$BZ:$BZ,'Cronog. e Histog.'!DS:DS),"")</f>
        <v>0</v>
      </c>
      <c r="AY189" s="144">
        <f>IFERROR(_xlfn.XLOOKUP($B189,'Cronog. e Histog.'!$BZ:$BZ,'Cronog. e Histog.'!DT:DT),"")</f>
        <v>0</v>
      </c>
      <c r="AZ189" s="144">
        <f>IFERROR(_xlfn.XLOOKUP($B189,'Cronog. e Histog.'!$BZ:$BZ,'Cronog. e Histog.'!DU:DU),"")</f>
        <v>0</v>
      </c>
      <c r="BA189" s="144">
        <f>IFERROR(_xlfn.XLOOKUP($B189,'Cronog. e Histog.'!$BZ:$BZ,'Cronog. e Histog.'!DV:DV),"")</f>
        <v>0</v>
      </c>
      <c r="BB189" s="144">
        <f>IFERROR(_xlfn.XLOOKUP($B189,'Cronog. e Histog.'!$BZ:$BZ,'Cronog. e Histog.'!DW:DW),"")</f>
        <v>0</v>
      </c>
      <c r="BC189" s="144">
        <f>IFERROR(_xlfn.XLOOKUP($B189,'Cronog. e Histog.'!$BZ:$BZ,'Cronog. e Histog.'!DX:DX),"")</f>
        <v>0</v>
      </c>
      <c r="BD189" s="144">
        <f>IFERROR(_xlfn.XLOOKUP($B189,'Cronog. e Histog.'!$BZ:$BZ,'Cronog. e Histog.'!DY:DY),"")</f>
        <v>0</v>
      </c>
      <c r="BE189" s="144">
        <f>IFERROR(_xlfn.XLOOKUP($B189,'Cronog. e Histog.'!$BZ:$BZ,'Cronog. e Histog.'!DZ:DZ),"")</f>
        <v>0</v>
      </c>
      <c r="BF189" s="144">
        <f>IFERROR(_xlfn.XLOOKUP($B189,'Cronog. e Histog.'!$BZ:$BZ,'Cronog. e Histog.'!EA:EA),"")</f>
        <v>0</v>
      </c>
      <c r="BG189" s="144">
        <f>IFERROR(_xlfn.XLOOKUP($B189,'Cronog. e Histog.'!$BZ:$BZ,'Cronog. e Histog.'!EB:EB),"")</f>
        <v>0</v>
      </c>
      <c r="BH189" s="144">
        <f>IFERROR(_xlfn.XLOOKUP($B189,'Cronog. e Histog.'!$BZ:$BZ,'Cronog. e Histog.'!EC:EC),"")</f>
        <v>0</v>
      </c>
      <c r="BI189" s="144">
        <f>IFERROR(_xlfn.XLOOKUP($B189,'Cronog. e Histog.'!$BZ:$BZ,'Cronog. e Histog.'!ED:ED),"")</f>
        <v>0</v>
      </c>
      <c r="BJ189" s="144">
        <f>IFERROR(_xlfn.XLOOKUP($B189,'Cronog. e Histog.'!$BZ:$BZ,'Cronog. e Histog.'!EE:EE),"")</f>
        <v>0</v>
      </c>
      <c r="BK189" s="144">
        <f>IFERROR(_xlfn.XLOOKUP($B189,'Cronog. e Histog.'!$BZ:$BZ,'Cronog. e Histog.'!EF:EF),"")</f>
        <v>0</v>
      </c>
      <c r="BL189" s="144">
        <f>IFERROR(_xlfn.XLOOKUP($B189,'Cronog. e Histog.'!$BZ:$BZ,'Cronog. e Histog.'!EG:EG),"")</f>
        <v>0</v>
      </c>
      <c r="BM189" s="144">
        <f>IFERROR(_xlfn.XLOOKUP($B189,'Cronog. e Histog.'!$BZ:$BZ,'Cronog. e Histog.'!EH:EH),"")</f>
        <v>0</v>
      </c>
      <c r="BN189" s="144">
        <f>IFERROR(_xlfn.XLOOKUP($B189,'Cronog. e Histog.'!$BZ:$BZ,'Cronog. e Histog.'!EI:EI),"")</f>
        <v>0</v>
      </c>
    </row>
    <row r="190" spans="2:66" ht="12" hidden="1" customHeight="1" outlineLevel="1">
      <c r="B190" s="76">
        <v>184</v>
      </c>
      <c r="C190" s="143" t="str">
        <f>IFERROR(VLOOKUP(B190,'Cronog. e Histog.'!$BZ$213:$CA$747,2,0),"")</f>
        <v>ENG/ARQ SR.</v>
      </c>
      <c r="D190" s="144">
        <f t="shared" si="4"/>
        <v>0</v>
      </c>
      <c r="E190" s="144">
        <f t="shared" si="5"/>
        <v>0</v>
      </c>
      <c r="F190" s="65"/>
      <c r="G190" s="144">
        <f>IFERROR(_xlfn.XLOOKUP($B190,'Cronog. e Histog.'!$BZ:$BZ,'Cronog. e Histog.'!CB:CB),"")</f>
        <v>0</v>
      </c>
      <c r="H190" s="144">
        <f>IFERROR(_xlfn.XLOOKUP($B190,'Cronog. e Histog.'!$BZ:$BZ,'Cronog. e Histog.'!CC:CC),"")</f>
        <v>0</v>
      </c>
      <c r="I190" s="144">
        <f>IFERROR(_xlfn.XLOOKUP($B190,'Cronog. e Histog.'!$BZ:$BZ,'Cronog. e Histog.'!CD:CD),"")</f>
        <v>0</v>
      </c>
      <c r="J190" s="144">
        <f>IFERROR(_xlfn.XLOOKUP($B190,'Cronog. e Histog.'!$BZ:$BZ,'Cronog. e Histog.'!CE:CE),"")</f>
        <v>0</v>
      </c>
      <c r="K190" s="144">
        <f>IFERROR(_xlfn.XLOOKUP($B190,'Cronog. e Histog.'!$BZ:$BZ,'Cronog. e Histog.'!CF:CF),"")</f>
        <v>0</v>
      </c>
      <c r="L190" s="144">
        <f>IFERROR(_xlfn.XLOOKUP($B190,'Cronog. e Histog.'!$BZ:$BZ,'Cronog. e Histog.'!CG:CG),"")</f>
        <v>0</v>
      </c>
      <c r="M190" s="144">
        <f>IFERROR(_xlfn.XLOOKUP($B190,'Cronog. e Histog.'!$BZ:$BZ,'Cronog. e Histog.'!CH:CH),"")</f>
        <v>0</v>
      </c>
      <c r="N190" s="144">
        <f>IFERROR(_xlfn.XLOOKUP($B190,'Cronog. e Histog.'!$BZ:$BZ,'Cronog. e Histog.'!CI:CI),"")</f>
        <v>0</v>
      </c>
      <c r="O190" s="144">
        <f>IFERROR(_xlfn.XLOOKUP($B190,'Cronog. e Histog.'!$BZ:$BZ,'Cronog. e Histog.'!CJ:CJ),"")</f>
        <v>0</v>
      </c>
      <c r="P190" s="144">
        <f>IFERROR(_xlfn.XLOOKUP($B190,'Cronog. e Histog.'!$BZ:$BZ,'Cronog. e Histog.'!CK:CK),"")</f>
        <v>0</v>
      </c>
      <c r="Q190" s="144">
        <f>IFERROR(_xlfn.XLOOKUP($B190,'Cronog. e Histog.'!$BZ:$BZ,'Cronog. e Histog.'!CL:CL),"")</f>
        <v>0</v>
      </c>
      <c r="R190" s="144">
        <f>IFERROR(_xlfn.XLOOKUP($B190,'Cronog. e Histog.'!$BZ:$BZ,'Cronog. e Histog.'!CM:CM),"")</f>
        <v>0</v>
      </c>
      <c r="S190" s="144">
        <f>IFERROR(_xlfn.XLOOKUP($B190,'Cronog. e Histog.'!$BZ:$BZ,'Cronog. e Histog.'!CN:CN),"")</f>
        <v>0</v>
      </c>
      <c r="T190" s="144">
        <f>IFERROR(_xlfn.XLOOKUP($B190,'Cronog. e Histog.'!$BZ:$BZ,'Cronog. e Histog.'!CO:CO),"")</f>
        <v>0</v>
      </c>
      <c r="U190" s="144">
        <f>IFERROR(_xlfn.XLOOKUP($B190,'Cronog. e Histog.'!$BZ:$BZ,'Cronog. e Histog.'!CP:CP),"")</f>
        <v>0</v>
      </c>
      <c r="V190" s="144">
        <f>IFERROR(_xlfn.XLOOKUP($B190,'Cronog. e Histog.'!$BZ:$BZ,'Cronog. e Histog.'!CQ:CQ),"")</f>
        <v>0</v>
      </c>
      <c r="W190" s="144">
        <f>IFERROR(_xlfn.XLOOKUP($B190,'Cronog. e Histog.'!$BZ:$BZ,'Cronog. e Histog.'!CR:CR),"")</f>
        <v>0</v>
      </c>
      <c r="X190" s="144">
        <f>IFERROR(_xlfn.XLOOKUP($B190,'Cronog. e Histog.'!$BZ:$BZ,'Cronog. e Histog.'!CS:CS),"")</f>
        <v>0</v>
      </c>
      <c r="Y190" s="144">
        <f>IFERROR(_xlfn.XLOOKUP($B190,'Cronog. e Histog.'!$BZ:$BZ,'Cronog. e Histog.'!CT:CT),"")</f>
        <v>0</v>
      </c>
      <c r="Z190" s="144">
        <f>IFERROR(_xlfn.XLOOKUP($B190,'Cronog. e Histog.'!$BZ:$BZ,'Cronog. e Histog.'!CU:CU),"")</f>
        <v>0</v>
      </c>
      <c r="AA190" s="144">
        <f>IFERROR(_xlfn.XLOOKUP($B190,'Cronog. e Histog.'!$BZ:$BZ,'Cronog. e Histog.'!CV:CV),"")</f>
        <v>0</v>
      </c>
      <c r="AB190" s="144">
        <f>IFERROR(_xlfn.XLOOKUP($B190,'Cronog. e Histog.'!$BZ:$BZ,'Cronog. e Histog.'!CW:CW),"")</f>
        <v>0</v>
      </c>
      <c r="AC190" s="144">
        <f>IFERROR(_xlfn.XLOOKUP($B190,'Cronog. e Histog.'!$BZ:$BZ,'Cronog. e Histog.'!CX:CX),"")</f>
        <v>0</v>
      </c>
      <c r="AD190" s="144">
        <f>IFERROR(_xlfn.XLOOKUP($B190,'Cronog. e Histog.'!$BZ:$BZ,'Cronog. e Histog.'!CY:CY),"")</f>
        <v>0</v>
      </c>
      <c r="AE190" s="144">
        <f>IFERROR(_xlfn.XLOOKUP($B190,'Cronog. e Histog.'!$BZ:$BZ,'Cronog. e Histog.'!CZ:CZ),"")</f>
        <v>0</v>
      </c>
      <c r="AF190" s="144">
        <f>IFERROR(_xlfn.XLOOKUP($B190,'Cronog. e Histog.'!$BZ:$BZ,'Cronog. e Histog.'!DA:DA),"")</f>
        <v>0</v>
      </c>
      <c r="AG190" s="144">
        <f>IFERROR(_xlfn.XLOOKUP($B190,'Cronog. e Histog.'!$BZ:$BZ,'Cronog. e Histog.'!DB:DB),"")</f>
        <v>0</v>
      </c>
      <c r="AH190" s="144">
        <f>IFERROR(_xlfn.XLOOKUP($B190,'Cronog. e Histog.'!$BZ:$BZ,'Cronog. e Histog.'!DC:DC),"")</f>
        <v>0</v>
      </c>
      <c r="AI190" s="144">
        <f>IFERROR(_xlfn.XLOOKUP($B190,'Cronog. e Histog.'!$BZ:$BZ,'Cronog. e Histog.'!DD:DD),"")</f>
        <v>0</v>
      </c>
      <c r="AJ190" s="144">
        <f>IFERROR(_xlfn.XLOOKUP($B190,'Cronog. e Histog.'!$BZ:$BZ,'Cronog. e Histog.'!DE:DE),"")</f>
        <v>0</v>
      </c>
      <c r="AK190" s="144">
        <f>IFERROR(_xlfn.XLOOKUP($B190,'Cronog. e Histog.'!$BZ:$BZ,'Cronog. e Histog.'!DF:DF),"")</f>
        <v>0</v>
      </c>
      <c r="AL190" s="144">
        <f>IFERROR(_xlfn.XLOOKUP($B190,'Cronog. e Histog.'!$BZ:$BZ,'Cronog. e Histog.'!DG:DG),"")</f>
        <v>0</v>
      </c>
      <c r="AM190" s="144">
        <f>IFERROR(_xlfn.XLOOKUP($B190,'Cronog. e Histog.'!$BZ:$BZ,'Cronog. e Histog.'!DH:DH),"")</f>
        <v>0</v>
      </c>
      <c r="AN190" s="144">
        <f>IFERROR(_xlfn.XLOOKUP($B190,'Cronog. e Histog.'!$BZ:$BZ,'Cronog. e Histog.'!DI:DI),"")</f>
        <v>0</v>
      </c>
      <c r="AO190" s="144">
        <f>IFERROR(_xlfn.XLOOKUP($B190,'Cronog. e Histog.'!$BZ:$BZ,'Cronog. e Histog.'!DJ:DJ),"")</f>
        <v>0</v>
      </c>
      <c r="AP190" s="144">
        <f>IFERROR(_xlfn.XLOOKUP($B190,'Cronog. e Histog.'!$BZ:$BZ,'Cronog. e Histog.'!DK:DK),"")</f>
        <v>0</v>
      </c>
      <c r="AQ190" s="144">
        <f>IFERROR(_xlfn.XLOOKUP($B190,'Cronog. e Histog.'!$BZ:$BZ,'Cronog. e Histog.'!DL:DL),"")</f>
        <v>0</v>
      </c>
      <c r="AR190" s="144">
        <f>IFERROR(_xlfn.XLOOKUP($B190,'Cronog. e Histog.'!$BZ:$BZ,'Cronog. e Histog.'!DM:DM),"")</f>
        <v>0</v>
      </c>
      <c r="AS190" s="144">
        <f>IFERROR(_xlfn.XLOOKUP($B190,'Cronog. e Histog.'!$BZ:$BZ,'Cronog. e Histog.'!DN:DN),"")</f>
        <v>0</v>
      </c>
      <c r="AT190" s="144">
        <f>IFERROR(_xlfn.XLOOKUP($B190,'Cronog. e Histog.'!$BZ:$BZ,'Cronog. e Histog.'!DO:DO),"")</f>
        <v>0</v>
      </c>
      <c r="AU190" s="144">
        <f>IFERROR(_xlfn.XLOOKUP($B190,'Cronog. e Histog.'!$BZ:$BZ,'Cronog. e Histog.'!DP:DP),"")</f>
        <v>0</v>
      </c>
      <c r="AV190" s="144">
        <f>IFERROR(_xlfn.XLOOKUP($B190,'Cronog. e Histog.'!$BZ:$BZ,'Cronog. e Histog.'!DQ:DQ),"")</f>
        <v>0</v>
      </c>
      <c r="AW190" s="144">
        <f>IFERROR(_xlfn.XLOOKUP($B190,'Cronog. e Histog.'!$BZ:$BZ,'Cronog. e Histog.'!DR:DR),"")</f>
        <v>0</v>
      </c>
      <c r="AX190" s="144">
        <f>IFERROR(_xlfn.XLOOKUP($B190,'Cronog. e Histog.'!$BZ:$BZ,'Cronog. e Histog.'!DS:DS),"")</f>
        <v>0</v>
      </c>
      <c r="AY190" s="144">
        <f>IFERROR(_xlfn.XLOOKUP($B190,'Cronog. e Histog.'!$BZ:$BZ,'Cronog. e Histog.'!DT:DT),"")</f>
        <v>0</v>
      </c>
      <c r="AZ190" s="144">
        <f>IFERROR(_xlfn.XLOOKUP($B190,'Cronog. e Histog.'!$BZ:$BZ,'Cronog. e Histog.'!DU:DU),"")</f>
        <v>0</v>
      </c>
      <c r="BA190" s="144">
        <f>IFERROR(_xlfn.XLOOKUP($B190,'Cronog. e Histog.'!$BZ:$BZ,'Cronog. e Histog.'!DV:DV),"")</f>
        <v>0</v>
      </c>
      <c r="BB190" s="144">
        <f>IFERROR(_xlfn.XLOOKUP($B190,'Cronog. e Histog.'!$BZ:$BZ,'Cronog. e Histog.'!DW:DW),"")</f>
        <v>0</v>
      </c>
      <c r="BC190" s="144">
        <f>IFERROR(_xlfn.XLOOKUP($B190,'Cronog. e Histog.'!$BZ:$BZ,'Cronog. e Histog.'!DX:DX),"")</f>
        <v>0</v>
      </c>
      <c r="BD190" s="144">
        <f>IFERROR(_xlfn.XLOOKUP($B190,'Cronog. e Histog.'!$BZ:$BZ,'Cronog. e Histog.'!DY:DY),"")</f>
        <v>0</v>
      </c>
      <c r="BE190" s="144">
        <f>IFERROR(_xlfn.XLOOKUP($B190,'Cronog. e Histog.'!$BZ:$BZ,'Cronog. e Histog.'!DZ:DZ),"")</f>
        <v>0</v>
      </c>
      <c r="BF190" s="144">
        <f>IFERROR(_xlfn.XLOOKUP($B190,'Cronog. e Histog.'!$BZ:$BZ,'Cronog. e Histog.'!EA:EA),"")</f>
        <v>0</v>
      </c>
      <c r="BG190" s="144">
        <f>IFERROR(_xlfn.XLOOKUP($B190,'Cronog. e Histog.'!$BZ:$BZ,'Cronog. e Histog.'!EB:EB),"")</f>
        <v>0</v>
      </c>
      <c r="BH190" s="144">
        <f>IFERROR(_xlfn.XLOOKUP($B190,'Cronog. e Histog.'!$BZ:$BZ,'Cronog. e Histog.'!EC:EC),"")</f>
        <v>0</v>
      </c>
      <c r="BI190" s="144">
        <f>IFERROR(_xlfn.XLOOKUP($B190,'Cronog. e Histog.'!$BZ:$BZ,'Cronog. e Histog.'!ED:ED),"")</f>
        <v>0</v>
      </c>
      <c r="BJ190" s="144">
        <f>IFERROR(_xlfn.XLOOKUP($B190,'Cronog. e Histog.'!$BZ:$BZ,'Cronog. e Histog.'!EE:EE),"")</f>
        <v>0</v>
      </c>
      <c r="BK190" s="144">
        <f>IFERROR(_xlfn.XLOOKUP($B190,'Cronog. e Histog.'!$BZ:$BZ,'Cronog. e Histog.'!EF:EF),"")</f>
        <v>0</v>
      </c>
      <c r="BL190" s="144">
        <f>IFERROR(_xlfn.XLOOKUP($B190,'Cronog. e Histog.'!$BZ:$BZ,'Cronog. e Histog.'!EG:EG),"")</f>
        <v>0</v>
      </c>
      <c r="BM190" s="144">
        <f>IFERROR(_xlfn.XLOOKUP($B190,'Cronog. e Histog.'!$BZ:$BZ,'Cronog. e Histog.'!EH:EH),"")</f>
        <v>0</v>
      </c>
      <c r="BN190" s="144">
        <f>IFERROR(_xlfn.XLOOKUP($B190,'Cronog. e Histog.'!$BZ:$BZ,'Cronog. e Histog.'!EI:EI),"")</f>
        <v>0</v>
      </c>
    </row>
    <row r="191" spans="2:66" ht="12" hidden="1" customHeight="1" outlineLevel="1">
      <c r="B191" s="76">
        <v>185</v>
      </c>
      <c r="C191" s="143" t="str">
        <f>IFERROR(VLOOKUP(B191,'Cronog. e Histog.'!$BZ$213:$CA$747,2,0),"")</f>
        <v>ENG/ARQ PL.</v>
      </c>
      <c r="D191" s="144">
        <f t="shared" si="4"/>
        <v>1</v>
      </c>
      <c r="E191" s="144">
        <f t="shared" si="5"/>
        <v>10</v>
      </c>
      <c r="F191" s="65"/>
      <c r="G191" s="144">
        <f>IFERROR(_xlfn.XLOOKUP($B191,'Cronog. e Histog.'!$BZ:$BZ,'Cronog. e Histog.'!CB:CB),"")</f>
        <v>0.06</v>
      </c>
      <c r="H191" s="144">
        <f>IFERROR(_xlfn.XLOOKUP($B191,'Cronog. e Histog.'!$BZ:$BZ,'Cronog. e Histog.'!CC:CC),"")</f>
        <v>0.06</v>
      </c>
      <c r="I191" s="144">
        <f>IFERROR(_xlfn.XLOOKUP($B191,'Cronog. e Histog.'!$BZ:$BZ,'Cronog. e Histog.'!CD:CD),"")</f>
        <v>0.06</v>
      </c>
      <c r="J191" s="144">
        <f>IFERROR(_xlfn.XLOOKUP($B191,'Cronog. e Histog.'!$BZ:$BZ,'Cronog. e Histog.'!CE:CE),"")</f>
        <v>0.06</v>
      </c>
      <c r="K191" s="144">
        <f>IFERROR(_xlfn.XLOOKUP($B191,'Cronog. e Histog.'!$BZ:$BZ,'Cronog. e Histog.'!CF:CF),"")</f>
        <v>0.06</v>
      </c>
      <c r="L191" s="144">
        <f>IFERROR(_xlfn.XLOOKUP($B191,'Cronog. e Histog.'!$BZ:$BZ,'Cronog. e Histog.'!CG:CG),"")</f>
        <v>0.06</v>
      </c>
      <c r="M191" s="144">
        <f>IFERROR(_xlfn.XLOOKUP($B191,'Cronog. e Histog.'!$BZ:$BZ,'Cronog. e Histog.'!CH:CH),"")</f>
        <v>0.06</v>
      </c>
      <c r="N191" s="144">
        <f>IFERROR(_xlfn.XLOOKUP($B191,'Cronog. e Histog.'!$BZ:$BZ,'Cronog. e Histog.'!CI:CI),"")</f>
        <v>0.06</v>
      </c>
      <c r="O191" s="144">
        <f>IFERROR(_xlfn.XLOOKUP($B191,'Cronog. e Histog.'!$BZ:$BZ,'Cronog. e Histog.'!CJ:CJ),"")</f>
        <v>0.06</v>
      </c>
      <c r="P191" s="144">
        <f>IFERROR(_xlfn.XLOOKUP($B191,'Cronog. e Histog.'!$BZ:$BZ,'Cronog. e Histog.'!CK:CK),"")</f>
        <v>0.06</v>
      </c>
      <c r="Q191" s="144">
        <f>IFERROR(_xlfn.XLOOKUP($B191,'Cronog. e Histog.'!$BZ:$BZ,'Cronog. e Histog.'!CL:CL),"")</f>
        <v>0</v>
      </c>
      <c r="R191" s="144">
        <f>IFERROR(_xlfn.XLOOKUP($B191,'Cronog. e Histog.'!$BZ:$BZ,'Cronog. e Histog.'!CM:CM),"")</f>
        <v>0</v>
      </c>
      <c r="S191" s="144">
        <f>IFERROR(_xlfn.XLOOKUP($B191,'Cronog. e Histog.'!$BZ:$BZ,'Cronog. e Histog.'!CN:CN),"")</f>
        <v>0</v>
      </c>
      <c r="T191" s="144">
        <f>IFERROR(_xlfn.XLOOKUP($B191,'Cronog. e Histog.'!$BZ:$BZ,'Cronog. e Histog.'!CO:CO),"")</f>
        <v>0</v>
      </c>
      <c r="U191" s="144">
        <f>IFERROR(_xlfn.XLOOKUP($B191,'Cronog. e Histog.'!$BZ:$BZ,'Cronog. e Histog.'!CP:CP),"")</f>
        <v>0</v>
      </c>
      <c r="V191" s="144">
        <f>IFERROR(_xlfn.XLOOKUP($B191,'Cronog. e Histog.'!$BZ:$BZ,'Cronog. e Histog.'!CQ:CQ),"")</f>
        <v>0</v>
      </c>
      <c r="W191" s="144">
        <f>IFERROR(_xlfn.XLOOKUP($B191,'Cronog. e Histog.'!$BZ:$BZ,'Cronog. e Histog.'!CR:CR),"")</f>
        <v>0</v>
      </c>
      <c r="X191" s="144">
        <f>IFERROR(_xlfn.XLOOKUP($B191,'Cronog. e Histog.'!$BZ:$BZ,'Cronog. e Histog.'!CS:CS),"")</f>
        <v>0</v>
      </c>
      <c r="Y191" s="144">
        <f>IFERROR(_xlfn.XLOOKUP($B191,'Cronog. e Histog.'!$BZ:$BZ,'Cronog. e Histog.'!CT:CT),"")</f>
        <v>0</v>
      </c>
      <c r="Z191" s="144">
        <f>IFERROR(_xlfn.XLOOKUP($B191,'Cronog. e Histog.'!$BZ:$BZ,'Cronog. e Histog.'!CU:CU),"")</f>
        <v>0</v>
      </c>
      <c r="AA191" s="144">
        <f>IFERROR(_xlfn.XLOOKUP($B191,'Cronog. e Histog.'!$BZ:$BZ,'Cronog. e Histog.'!CV:CV),"")</f>
        <v>0</v>
      </c>
      <c r="AB191" s="144">
        <f>IFERROR(_xlfn.XLOOKUP($B191,'Cronog. e Histog.'!$BZ:$BZ,'Cronog. e Histog.'!CW:CW),"")</f>
        <v>0</v>
      </c>
      <c r="AC191" s="144">
        <f>IFERROR(_xlfn.XLOOKUP($B191,'Cronog. e Histog.'!$BZ:$BZ,'Cronog. e Histog.'!CX:CX),"")</f>
        <v>0</v>
      </c>
      <c r="AD191" s="144">
        <f>IFERROR(_xlfn.XLOOKUP($B191,'Cronog. e Histog.'!$BZ:$BZ,'Cronog. e Histog.'!CY:CY),"")</f>
        <v>0</v>
      </c>
      <c r="AE191" s="144">
        <f>IFERROR(_xlfn.XLOOKUP($B191,'Cronog. e Histog.'!$BZ:$BZ,'Cronog. e Histog.'!CZ:CZ),"")</f>
        <v>0</v>
      </c>
      <c r="AF191" s="144">
        <f>IFERROR(_xlfn.XLOOKUP($B191,'Cronog. e Histog.'!$BZ:$BZ,'Cronog. e Histog.'!DA:DA),"")</f>
        <v>0</v>
      </c>
      <c r="AG191" s="144">
        <f>IFERROR(_xlfn.XLOOKUP($B191,'Cronog. e Histog.'!$BZ:$BZ,'Cronog. e Histog.'!DB:DB),"")</f>
        <v>0</v>
      </c>
      <c r="AH191" s="144">
        <f>IFERROR(_xlfn.XLOOKUP($B191,'Cronog. e Histog.'!$BZ:$BZ,'Cronog. e Histog.'!DC:DC),"")</f>
        <v>0</v>
      </c>
      <c r="AI191" s="144">
        <f>IFERROR(_xlfn.XLOOKUP($B191,'Cronog. e Histog.'!$BZ:$BZ,'Cronog. e Histog.'!DD:DD),"")</f>
        <v>0</v>
      </c>
      <c r="AJ191" s="144">
        <f>IFERROR(_xlfn.XLOOKUP($B191,'Cronog. e Histog.'!$BZ:$BZ,'Cronog. e Histog.'!DE:DE),"")</f>
        <v>0</v>
      </c>
      <c r="AK191" s="144">
        <f>IFERROR(_xlfn.XLOOKUP($B191,'Cronog. e Histog.'!$BZ:$BZ,'Cronog. e Histog.'!DF:DF),"")</f>
        <v>0</v>
      </c>
      <c r="AL191" s="144">
        <f>IFERROR(_xlfn.XLOOKUP($B191,'Cronog. e Histog.'!$BZ:$BZ,'Cronog. e Histog.'!DG:DG),"")</f>
        <v>0</v>
      </c>
      <c r="AM191" s="144">
        <f>IFERROR(_xlfn.XLOOKUP($B191,'Cronog. e Histog.'!$BZ:$BZ,'Cronog. e Histog.'!DH:DH),"")</f>
        <v>0</v>
      </c>
      <c r="AN191" s="144">
        <f>IFERROR(_xlfn.XLOOKUP($B191,'Cronog. e Histog.'!$BZ:$BZ,'Cronog. e Histog.'!DI:DI),"")</f>
        <v>0</v>
      </c>
      <c r="AO191" s="144">
        <f>IFERROR(_xlfn.XLOOKUP($B191,'Cronog. e Histog.'!$BZ:$BZ,'Cronog. e Histog.'!DJ:DJ),"")</f>
        <v>0</v>
      </c>
      <c r="AP191" s="144">
        <f>IFERROR(_xlfn.XLOOKUP($B191,'Cronog. e Histog.'!$BZ:$BZ,'Cronog. e Histog.'!DK:DK),"")</f>
        <v>0</v>
      </c>
      <c r="AQ191" s="144">
        <f>IFERROR(_xlfn.XLOOKUP($B191,'Cronog. e Histog.'!$BZ:$BZ,'Cronog. e Histog.'!DL:DL),"")</f>
        <v>0</v>
      </c>
      <c r="AR191" s="144">
        <f>IFERROR(_xlfn.XLOOKUP($B191,'Cronog. e Histog.'!$BZ:$BZ,'Cronog. e Histog.'!DM:DM),"")</f>
        <v>0</v>
      </c>
      <c r="AS191" s="144">
        <f>IFERROR(_xlfn.XLOOKUP($B191,'Cronog. e Histog.'!$BZ:$BZ,'Cronog. e Histog.'!DN:DN),"")</f>
        <v>0</v>
      </c>
      <c r="AT191" s="144">
        <f>IFERROR(_xlfn.XLOOKUP($B191,'Cronog. e Histog.'!$BZ:$BZ,'Cronog. e Histog.'!DO:DO),"")</f>
        <v>0</v>
      </c>
      <c r="AU191" s="144">
        <f>IFERROR(_xlfn.XLOOKUP($B191,'Cronog. e Histog.'!$BZ:$BZ,'Cronog. e Histog.'!DP:DP),"")</f>
        <v>0</v>
      </c>
      <c r="AV191" s="144">
        <f>IFERROR(_xlfn.XLOOKUP($B191,'Cronog. e Histog.'!$BZ:$BZ,'Cronog. e Histog.'!DQ:DQ),"")</f>
        <v>0</v>
      </c>
      <c r="AW191" s="144">
        <f>IFERROR(_xlfn.XLOOKUP($B191,'Cronog. e Histog.'!$BZ:$BZ,'Cronog. e Histog.'!DR:DR),"")</f>
        <v>0</v>
      </c>
      <c r="AX191" s="144">
        <f>IFERROR(_xlfn.XLOOKUP($B191,'Cronog. e Histog.'!$BZ:$BZ,'Cronog. e Histog.'!DS:DS),"")</f>
        <v>0</v>
      </c>
      <c r="AY191" s="144">
        <f>IFERROR(_xlfn.XLOOKUP($B191,'Cronog. e Histog.'!$BZ:$BZ,'Cronog. e Histog.'!DT:DT),"")</f>
        <v>0</v>
      </c>
      <c r="AZ191" s="144">
        <f>IFERROR(_xlfn.XLOOKUP($B191,'Cronog. e Histog.'!$BZ:$BZ,'Cronog. e Histog.'!DU:DU),"")</f>
        <v>0</v>
      </c>
      <c r="BA191" s="144">
        <f>IFERROR(_xlfn.XLOOKUP($B191,'Cronog. e Histog.'!$BZ:$BZ,'Cronog. e Histog.'!DV:DV),"")</f>
        <v>0</v>
      </c>
      <c r="BB191" s="144">
        <f>IFERROR(_xlfn.XLOOKUP($B191,'Cronog. e Histog.'!$BZ:$BZ,'Cronog. e Histog.'!DW:DW),"")</f>
        <v>0</v>
      </c>
      <c r="BC191" s="144">
        <f>IFERROR(_xlfn.XLOOKUP($B191,'Cronog. e Histog.'!$BZ:$BZ,'Cronog. e Histog.'!DX:DX),"")</f>
        <v>0</v>
      </c>
      <c r="BD191" s="144">
        <f>IFERROR(_xlfn.XLOOKUP($B191,'Cronog. e Histog.'!$BZ:$BZ,'Cronog. e Histog.'!DY:DY),"")</f>
        <v>0</v>
      </c>
      <c r="BE191" s="144">
        <f>IFERROR(_xlfn.XLOOKUP($B191,'Cronog. e Histog.'!$BZ:$BZ,'Cronog. e Histog.'!DZ:DZ),"")</f>
        <v>0</v>
      </c>
      <c r="BF191" s="144">
        <f>IFERROR(_xlfn.XLOOKUP($B191,'Cronog. e Histog.'!$BZ:$BZ,'Cronog. e Histog.'!EA:EA),"")</f>
        <v>0</v>
      </c>
      <c r="BG191" s="144">
        <f>IFERROR(_xlfn.XLOOKUP($B191,'Cronog. e Histog.'!$BZ:$BZ,'Cronog. e Histog.'!EB:EB),"")</f>
        <v>0</v>
      </c>
      <c r="BH191" s="144">
        <f>IFERROR(_xlfn.XLOOKUP($B191,'Cronog. e Histog.'!$BZ:$BZ,'Cronog. e Histog.'!EC:EC),"")</f>
        <v>0</v>
      </c>
      <c r="BI191" s="144">
        <f>IFERROR(_xlfn.XLOOKUP($B191,'Cronog. e Histog.'!$BZ:$BZ,'Cronog. e Histog.'!ED:ED),"")</f>
        <v>0</v>
      </c>
      <c r="BJ191" s="144">
        <f>IFERROR(_xlfn.XLOOKUP($B191,'Cronog. e Histog.'!$BZ:$BZ,'Cronog. e Histog.'!EE:EE),"")</f>
        <v>0</v>
      </c>
      <c r="BK191" s="144">
        <f>IFERROR(_xlfn.XLOOKUP($B191,'Cronog. e Histog.'!$BZ:$BZ,'Cronog. e Histog.'!EF:EF),"")</f>
        <v>0</v>
      </c>
      <c r="BL191" s="144">
        <f>IFERROR(_xlfn.XLOOKUP($B191,'Cronog. e Histog.'!$BZ:$BZ,'Cronog. e Histog.'!EG:EG),"")</f>
        <v>0</v>
      </c>
      <c r="BM191" s="144">
        <f>IFERROR(_xlfn.XLOOKUP($B191,'Cronog. e Histog.'!$BZ:$BZ,'Cronog. e Histog.'!EH:EH),"")</f>
        <v>0</v>
      </c>
      <c r="BN191" s="144">
        <f>IFERROR(_xlfn.XLOOKUP($B191,'Cronog. e Histog.'!$BZ:$BZ,'Cronog. e Histog.'!EI:EI),"")</f>
        <v>0</v>
      </c>
    </row>
    <row r="192" spans="2:66" ht="12" hidden="1" customHeight="1" outlineLevel="1">
      <c r="B192" s="76">
        <v>186</v>
      </c>
      <c r="C192" s="143" t="str">
        <f>IFERROR(VLOOKUP(B192,'Cronog. e Histog.'!$BZ$213:$CA$747,2,0),"")</f>
        <v>ENG/ARQ JR.</v>
      </c>
      <c r="D192" s="144">
        <f t="shared" si="4"/>
        <v>0</v>
      </c>
      <c r="E192" s="144">
        <f t="shared" si="5"/>
        <v>0</v>
      </c>
      <c r="F192" s="65"/>
      <c r="G192" s="144">
        <f>IFERROR(_xlfn.XLOOKUP($B192,'Cronog. e Histog.'!$BZ:$BZ,'Cronog. e Histog.'!CB:CB),"")</f>
        <v>0</v>
      </c>
      <c r="H192" s="144">
        <f>IFERROR(_xlfn.XLOOKUP($B192,'Cronog. e Histog.'!$BZ:$BZ,'Cronog. e Histog.'!CC:CC),"")</f>
        <v>0</v>
      </c>
      <c r="I192" s="144">
        <f>IFERROR(_xlfn.XLOOKUP($B192,'Cronog. e Histog.'!$BZ:$BZ,'Cronog. e Histog.'!CD:CD),"")</f>
        <v>0</v>
      </c>
      <c r="J192" s="144">
        <f>IFERROR(_xlfn.XLOOKUP($B192,'Cronog. e Histog.'!$BZ:$BZ,'Cronog. e Histog.'!CE:CE),"")</f>
        <v>0</v>
      </c>
      <c r="K192" s="144">
        <f>IFERROR(_xlfn.XLOOKUP($B192,'Cronog. e Histog.'!$BZ:$BZ,'Cronog. e Histog.'!CF:CF),"")</f>
        <v>0</v>
      </c>
      <c r="L192" s="144">
        <f>IFERROR(_xlfn.XLOOKUP($B192,'Cronog. e Histog.'!$BZ:$BZ,'Cronog. e Histog.'!CG:CG),"")</f>
        <v>0</v>
      </c>
      <c r="M192" s="144">
        <f>IFERROR(_xlfn.XLOOKUP($B192,'Cronog. e Histog.'!$BZ:$BZ,'Cronog. e Histog.'!CH:CH),"")</f>
        <v>0</v>
      </c>
      <c r="N192" s="144">
        <f>IFERROR(_xlfn.XLOOKUP($B192,'Cronog. e Histog.'!$BZ:$BZ,'Cronog. e Histog.'!CI:CI),"")</f>
        <v>0</v>
      </c>
      <c r="O192" s="144">
        <f>IFERROR(_xlfn.XLOOKUP($B192,'Cronog. e Histog.'!$BZ:$BZ,'Cronog. e Histog.'!CJ:CJ),"")</f>
        <v>0</v>
      </c>
      <c r="P192" s="144">
        <f>IFERROR(_xlfn.XLOOKUP($B192,'Cronog. e Histog.'!$BZ:$BZ,'Cronog. e Histog.'!CK:CK),"")</f>
        <v>0</v>
      </c>
      <c r="Q192" s="144">
        <f>IFERROR(_xlfn.XLOOKUP($B192,'Cronog. e Histog.'!$BZ:$BZ,'Cronog. e Histog.'!CL:CL),"")</f>
        <v>0</v>
      </c>
      <c r="R192" s="144">
        <f>IFERROR(_xlfn.XLOOKUP($B192,'Cronog. e Histog.'!$BZ:$BZ,'Cronog. e Histog.'!CM:CM),"")</f>
        <v>0</v>
      </c>
      <c r="S192" s="144">
        <f>IFERROR(_xlfn.XLOOKUP($B192,'Cronog. e Histog.'!$BZ:$BZ,'Cronog. e Histog.'!CN:CN),"")</f>
        <v>0</v>
      </c>
      <c r="T192" s="144">
        <f>IFERROR(_xlfn.XLOOKUP($B192,'Cronog. e Histog.'!$BZ:$BZ,'Cronog. e Histog.'!CO:CO),"")</f>
        <v>0</v>
      </c>
      <c r="U192" s="144">
        <f>IFERROR(_xlfn.XLOOKUP($B192,'Cronog. e Histog.'!$BZ:$BZ,'Cronog. e Histog.'!CP:CP),"")</f>
        <v>0</v>
      </c>
      <c r="V192" s="144">
        <f>IFERROR(_xlfn.XLOOKUP($B192,'Cronog. e Histog.'!$BZ:$BZ,'Cronog. e Histog.'!CQ:CQ),"")</f>
        <v>0</v>
      </c>
      <c r="W192" s="144">
        <f>IFERROR(_xlfn.XLOOKUP($B192,'Cronog. e Histog.'!$BZ:$BZ,'Cronog. e Histog.'!CR:CR),"")</f>
        <v>0</v>
      </c>
      <c r="X192" s="144">
        <f>IFERROR(_xlfn.XLOOKUP($B192,'Cronog. e Histog.'!$BZ:$BZ,'Cronog. e Histog.'!CS:CS),"")</f>
        <v>0</v>
      </c>
      <c r="Y192" s="144">
        <f>IFERROR(_xlfn.XLOOKUP($B192,'Cronog. e Histog.'!$BZ:$BZ,'Cronog. e Histog.'!CT:CT),"")</f>
        <v>0</v>
      </c>
      <c r="Z192" s="144">
        <f>IFERROR(_xlfn.XLOOKUP($B192,'Cronog. e Histog.'!$BZ:$BZ,'Cronog. e Histog.'!CU:CU),"")</f>
        <v>0</v>
      </c>
      <c r="AA192" s="144">
        <f>IFERROR(_xlfn.XLOOKUP($B192,'Cronog. e Histog.'!$BZ:$BZ,'Cronog. e Histog.'!CV:CV),"")</f>
        <v>0</v>
      </c>
      <c r="AB192" s="144">
        <f>IFERROR(_xlfn.XLOOKUP($B192,'Cronog. e Histog.'!$BZ:$BZ,'Cronog. e Histog.'!CW:CW),"")</f>
        <v>0</v>
      </c>
      <c r="AC192" s="144">
        <f>IFERROR(_xlfn.XLOOKUP($B192,'Cronog. e Histog.'!$BZ:$BZ,'Cronog. e Histog.'!CX:CX),"")</f>
        <v>0</v>
      </c>
      <c r="AD192" s="144">
        <f>IFERROR(_xlfn.XLOOKUP($B192,'Cronog. e Histog.'!$BZ:$BZ,'Cronog. e Histog.'!CY:CY),"")</f>
        <v>0</v>
      </c>
      <c r="AE192" s="144">
        <f>IFERROR(_xlfn.XLOOKUP($B192,'Cronog. e Histog.'!$BZ:$BZ,'Cronog. e Histog.'!CZ:CZ),"")</f>
        <v>0</v>
      </c>
      <c r="AF192" s="144">
        <f>IFERROR(_xlfn.XLOOKUP($B192,'Cronog. e Histog.'!$BZ:$BZ,'Cronog. e Histog.'!DA:DA),"")</f>
        <v>0</v>
      </c>
      <c r="AG192" s="144">
        <f>IFERROR(_xlfn.XLOOKUP($B192,'Cronog. e Histog.'!$BZ:$BZ,'Cronog. e Histog.'!DB:DB),"")</f>
        <v>0</v>
      </c>
      <c r="AH192" s="144">
        <f>IFERROR(_xlfn.XLOOKUP($B192,'Cronog. e Histog.'!$BZ:$BZ,'Cronog. e Histog.'!DC:DC),"")</f>
        <v>0</v>
      </c>
      <c r="AI192" s="144">
        <f>IFERROR(_xlfn.XLOOKUP($B192,'Cronog. e Histog.'!$BZ:$BZ,'Cronog. e Histog.'!DD:DD),"")</f>
        <v>0</v>
      </c>
      <c r="AJ192" s="144">
        <f>IFERROR(_xlfn.XLOOKUP($B192,'Cronog. e Histog.'!$BZ:$BZ,'Cronog. e Histog.'!DE:DE),"")</f>
        <v>0</v>
      </c>
      <c r="AK192" s="144">
        <f>IFERROR(_xlfn.XLOOKUP($B192,'Cronog. e Histog.'!$BZ:$BZ,'Cronog. e Histog.'!DF:DF),"")</f>
        <v>0</v>
      </c>
      <c r="AL192" s="144">
        <f>IFERROR(_xlfn.XLOOKUP($B192,'Cronog. e Histog.'!$BZ:$BZ,'Cronog. e Histog.'!DG:DG),"")</f>
        <v>0</v>
      </c>
      <c r="AM192" s="144">
        <f>IFERROR(_xlfn.XLOOKUP($B192,'Cronog. e Histog.'!$BZ:$BZ,'Cronog. e Histog.'!DH:DH),"")</f>
        <v>0</v>
      </c>
      <c r="AN192" s="144">
        <f>IFERROR(_xlfn.XLOOKUP($B192,'Cronog. e Histog.'!$BZ:$BZ,'Cronog. e Histog.'!DI:DI),"")</f>
        <v>0</v>
      </c>
      <c r="AO192" s="144">
        <f>IFERROR(_xlfn.XLOOKUP($B192,'Cronog. e Histog.'!$BZ:$BZ,'Cronog. e Histog.'!DJ:DJ),"")</f>
        <v>0</v>
      </c>
      <c r="AP192" s="144">
        <f>IFERROR(_xlfn.XLOOKUP($B192,'Cronog. e Histog.'!$BZ:$BZ,'Cronog. e Histog.'!DK:DK),"")</f>
        <v>0</v>
      </c>
      <c r="AQ192" s="144">
        <f>IFERROR(_xlfn.XLOOKUP($B192,'Cronog. e Histog.'!$BZ:$BZ,'Cronog. e Histog.'!DL:DL),"")</f>
        <v>0</v>
      </c>
      <c r="AR192" s="144">
        <f>IFERROR(_xlfn.XLOOKUP($B192,'Cronog. e Histog.'!$BZ:$BZ,'Cronog. e Histog.'!DM:DM),"")</f>
        <v>0</v>
      </c>
      <c r="AS192" s="144">
        <f>IFERROR(_xlfn.XLOOKUP($B192,'Cronog. e Histog.'!$BZ:$BZ,'Cronog. e Histog.'!DN:DN),"")</f>
        <v>0</v>
      </c>
      <c r="AT192" s="144">
        <f>IFERROR(_xlfn.XLOOKUP($B192,'Cronog. e Histog.'!$BZ:$BZ,'Cronog. e Histog.'!DO:DO),"")</f>
        <v>0</v>
      </c>
      <c r="AU192" s="144">
        <f>IFERROR(_xlfn.XLOOKUP($B192,'Cronog. e Histog.'!$BZ:$BZ,'Cronog. e Histog.'!DP:DP),"")</f>
        <v>0</v>
      </c>
      <c r="AV192" s="144">
        <f>IFERROR(_xlfn.XLOOKUP($B192,'Cronog. e Histog.'!$BZ:$BZ,'Cronog. e Histog.'!DQ:DQ),"")</f>
        <v>0</v>
      </c>
      <c r="AW192" s="144">
        <f>IFERROR(_xlfn.XLOOKUP($B192,'Cronog. e Histog.'!$BZ:$BZ,'Cronog. e Histog.'!DR:DR),"")</f>
        <v>0</v>
      </c>
      <c r="AX192" s="144">
        <f>IFERROR(_xlfn.XLOOKUP($B192,'Cronog. e Histog.'!$BZ:$BZ,'Cronog. e Histog.'!DS:DS),"")</f>
        <v>0</v>
      </c>
      <c r="AY192" s="144">
        <f>IFERROR(_xlfn.XLOOKUP($B192,'Cronog. e Histog.'!$BZ:$BZ,'Cronog. e Histog.'!DT:DT),"")</f>
        <v>0</v>
      </c>
      <c r="AZ192" s="144">
        <f>IFERROR(_xlfn.XLOOKUP($B192,'Cronog. e Histog.'!$BZ:$BZ,'Cronog. e Histog.'!DU:DU),"")</f>
        <v>0</v>
      </c>
      <c r="BA192" s="144">
        <f>IFERROR(_xlfn.XLOOKUP($B192,'Cronog. e Histog.'!$BZ:$BZ,'Cronog. e Histog.'!DV:DV),"")</f>
        <v>0</v>
      </c>
      <c r="BB192" s="144">
        <f>IFERROR(_xlfn.XLOOKUP($B192,'Cronog. e Histog.'!$BZ:$BZ,'Cronog. e Histog.'!DW:DW),"")</f>
        <v>0</v>
      </c>
      <c r="BC192" s="144">
        <f>IFERROR(_xlfn.XLOOKUP($B192,'Cronog. e Histog.'!$BZ:$BZ,'Cronog. e Histog.'!DX:DX),"")</f>
        <v>0</v>
      </c>
      <c r="BD192" s="144">
        <f>IFERROR(_xlfn.XLOOKUP($B192,'Cronog. e Histog.'!$BZ:$BZ,'Cronog. e Histog.'!DY:DY),"")</f>
        <v>0</v>
      </c>
      <c r="BE192" s="144">
        <f>IFERROR(_xlfn.XLOOKUP($B192,'Cronog. e Histog.'!$BZ:$BZ,'Cronog. e Histog.'!DZ:DZ),"")</f>
        <v>0</v>
      </c>
      <c r="BF192" s="144">
        <f>IFERROR(_xlfn.XLOOKUP($B192,'Cronog. e Histog.'!$BZ:$BZ,'Cronog. e Histog.'!EA:EA),"")</f>
        <v>0</v>
      </c>
      <c r="BG192" s="144">
        <f>IFERROR(_xlfn.XLOOKUP($B192,'Cronog. e Histog.'!$BZ:$BZ,'Cronog. e Histog.'!EB:EB),"")</f>
        <v>0</v>
      </c>
      <c r="BH192" s="144">
        <f>IFERROR(_xlfn.XLOOKUP($B192,'Cronog. e Histog.'!$BZ:$BZ,'Cronog. e Histog.'!EC:EC),"")</f>
        <v>0</v>
      </c>
      <c r="BI192" s="144">
        <f>IFERROR(_xlfn.XLOOKUP($B192,'Cronog. e Histog.'!$BZ:$BZ,'Cronog. e Histog.'!ED:ED),"")</f>
        <v>0</v>
      </c>
      <c r="BJ192" s="144">
        <f>IFERROR(_xlfn.XLOOKUP($B192,'Cronog. e Histog.'!$BZ:$BZ,'Cronog. e Histog.'!EE:EE),"")</f>
        <v>0</v>
      </c>
      <c r="BK192" s="144">
        <f>IFERROR(_xlfn.XLOOKUP($B192,'Cronog. e Histog.'!$BZ:$BZ,'Cronog. e Histog.'!EF:EF),"")</f>
        <v>0</v>
      </c>
      <c r="BL192" s="144">
        <f>IFERROR(_xlfn.XLOOKUP($B192,'Cronog. e Histog.'!$BZ:$BZ,'Cronog. e Histog.'!EG:EG),"")</f>
        <v>0</v>
      </c>
      <c r="BM192" s="144">
        <f>IFERROR(_xlfn.XLOOKUP($B192,'Cronog. e Histog.'!$BZ:$BZ,'Cronog. e Histog.'!EH:EH),"")</f>
        <v>0</v>
      </c>
      <c r="BN192" s="144">
        <f>IFERROR(_xlfn.XLOOKUP($B192,'Cronog. e Histog.'!$BZ:$BZ,'Cronog. e Histog.'!EI:EI),"")</f>
        <v>0</v>
      </c>
    </row>
    <row r="193" spans="2:66" ht="12" hidden="1" customHeight="1" outlineLevel="1">
      <c r="B193" s="76">
        <v>187</v>
      </c>
      <c r="C193" s="143" t="str">
        <f>IFERROR(VLOOKUP(B193,'Cronog. e Histog.'!$BZ$213:$CA$747,2,0),"")</f>
        <v>AN SR. ENG/ARQ</v>
      </c>
      <c r="D193" s="144">
        <f t="shared" si="4"/>
        <v>0</v>
      </c>
      <c r="E193" s="144">
        <f t="shared" si="5"/>
        <v>0</v>
      </c>
      <c r="F193" s="65"/>
      <c r="G193" s="144">
        <f>IFERROR(_xlfn.XLOOKUP($B193,'Cronog. e Histog.'!$BZ:$BZ,'Cronog. e Histog.'!CB:CB),"")</f>
        <v>0</v>
      </c>
      <c r="H193" s="144">
        <f>IFERROR(_xlfn.XLOOKUP($B193,'Cronog. e Histog.'!$BZ:$BZ,'Cronog. e Histog.'!CC:CC),"")</f>
        <v>0</v>
      </c>
      <c r="I193" s="144">
        <f>IFERROR(_xlfn.XLOOKUP($B193,'Cronog. e Histog.'!$BZ:$BZ,'Cronog. e Histog.'!CD:CD),"")</f>
        <v>0</v>
      </c>
      <c r="J193" s="144">
        <f>IFERROR(_xlfn.XLOOKUP($B193,'Cronog. e Histog.'!$BZ:$BZ,'Cronog. e Histog.'!CE:CE),"")</f>
        <v>0</v>
      </c>
      <c r="K193" s="144">
        <f>IFERROR(_xlfn.XLOOKUP($B193,'Cronog. e Histog.'!$BZ:$BZ,'Cronog. e Histog.'!CF:CF),"")</f>
        <v>0</v>
      </c>
      <c r="L193" s="144">
        <f>IFERROR(_xlfn.XLOOKUP($B193,'Cronog. e Histog.'!$BZ:$BZ,'Cronog. e Histog.'!CG:CG),"")</f>
        <v>0</v>
      </c>
      <c r="M193" s="144">
        <f>IFERROR(_xlfn.XLOOKUP($B193,'Cronog. e Histog.'!$BZ:$BZ,'Cronog. e Histog.'!CH:CH),"")</f>
        <v>0</v>
      </c>
      <c r="N193" s="144">
        <f>IFERROR(_xlfn.XLOOKUP($B193,'Cronog. e Histog.'!$BZ:$BZ,'Cronog. e Histog.'!CI:CI),"")</f>
        <v>0</v>
      </c>
      <c r="O193" s="144">
        <f>IFERROR(_xlfn.XLOOKUP($B193,'Cronog. e Histog.'!$BZ:$BZ,'Cronog. e Histog.'!CJ:CJ),"")</f>
        <v>0</v>
      </c>
      <c r="P193" s="144">
        <f>IFERROR(_xlfn.XLOOKUP($B193,'Cronog. e Histog.'!$BZ:$BZ,'Cronog. e Histog.'!CK:CK),"")</f>
        <v>0</v>
      </c>
      <c r="Q193" s="144">
        <f>IFERROR(_xlfn.XLOOKUP($B193,'Cronog. e Histog.'!$BZ:$BZ,'Cronog. e Histog.'!CL:CL),"")</f>
        <v>0</v>
      </c>
      <c r="R193" s="144">
        <f>IFERROR(_xlfn.XLOOKUP($B193,'Cronog. e Histog.'!$BZ:$BZ,'Cronog. e Histog.'!CM:CM),"")</f>
        <v>0</v>
      </c>
      <c r="S193" s="144">
        <f>IFERROR(_xlfn.XLOOKUP($B193,'Cronog. e Histog.'!$BZ:$BZ,'Cronog. e Histog.'!CN:CN),"")</f>
        <v>0</v>
      </c>
      <c r="T193" s="144">
        <f>IFERROR(_xlfn.XLOOKUP($B193,'Cronog. e Histog.'!$BZ:$BZ,'Cronog. e Histog.'!CO:CO),"")</f>
        <v>0</v>
      </c>
      <c r="U193" s="144">
        <f>IFERROR(_xlfn.XLOOKUP($B193,'Cronog. e Histog.'!$BZ:$BZ,'Cronog. e Histog.'!CP:CP),"")</f>
        <v>0</v>
      </c>
      <c r="V193" s="144">
        <f>IFERROR(_xlfn.XLOOKUP($B193,'Cronog. e Histog.'!$BZ:$BZ,'Cronog. e Histog.'!CQ:CQ),"")</f>
        <v>0</v>
      </c>
      <c r="W193" s="144">
        <f>IFERROR(_xlfn.XLOOKUP($B193,'Cronog. e Histog.'!$BZ:$BZ,'Cronog. e Histog.'!CR:CR),"")</f>
        <v>0</v>
      </c>
      <c r="X193" s="144">
        <f>IFERROR(_xlfn.XLOOKUP($B193,'Cronog. e Histog.'!$BZ:$BZ,'Cronog. e Histog.'!CS:CS),"")</f>
        <v>0</v>
      </c>
      <c r="Y193" s="144">
        <f>IFERROR(_xlfn.XLOOKUP($B193,'Cronog. e Histog.'!$BZ:$BZ,'Cronog. e Histog.'!CT:CT),"")</f>
        <v>0</v>
      </c>
      <c r="Z193" s="144">
        <f>IFERROR(_xlfn.XLOOKUP($B193,'Cronog. e Histog.'!$BZ:$BZ,'Cronog. e Histog.'!CU:CU),"")</f>
        <v>0</v>
      </c>
      <c r="AA193" s="144">
        <f>IFERROR(_xlfn.XLOOKUP($B193,'Cronog. e Histog.'!$BZ:$BZ,'Cronog. e Histog.'!CV:CV),"")</f>
        <v>0</v>
      </c>
      <c r="AB193" s="144">
        <f>IFERROR(_xlfn.XLOOKUP($B193,'Cronog. e Histog.'!$BZ:$BZ,'Cronog. e Histog.'!CW:CW),"")</f>
        <v>0</v>
      </c>
      <c r="AC193" s="144">
        <f>IFERROR(_xlfn.XLOOKUP($B193,'Cronog. e Histog.'!$BZ:$BZ,'Cronog. e Histog.'!CX:CX),"")</f>
        <v>0</v>
      </c>
      <c r="AD193" s="144">
        <f>IFERROR(_xlfn.XLOOKUP($B193,'Cronog. e Histog.'!$BZ:$BZ,'Cronog. e Histog.'!CY:CY),"")</f>
        <v>0</v>
      </c>
      <c r="AE193" s="144">
        <f>IFERROR(_xlfn.XLOOKUP($B193,'Cronog. e Histog.'!$BZ:$BZ,'Cronog. e Histog.'!CZ:CZ),"")</f>
        <v>0</v>
      </c>
      <c r="AF193" s="144">
        <f>IFERROR(_xlfn.XLOOKUP($B193,'Cronog. e Histog.'!$BZ:$BZ,'Cronog. e Histog.'!DA:DA),"")</f>
        <v>0</v>
      </c>
      <c r="AG193" s="144">
        <f>IFERROR(_xlfn.XLOOKUP($B193,'Cronog. e Histog.'!$BZ:$BZ,'Cronog. e Histog.'!DB:DB),"")</f>
        <v>0</v>
      </c>
      <c r="AH193" s="144">
        <f>IFERROR(_xlfn.XLOOKUP($B193,'Cronog. e Histog.'!$BZ:$BZ,'Cronog. e Histog.'!DC:DC),"")</f>
        <v>0</v>
      </c>
      <c r="AI193" s="144">
        <f>IFERROR(_xlfn.XLOOKUP($B193,'Cronog. e Histog.'!$BZ:$BZ,'Cronog. e Histog.'!DD:DD),"")</f>
        <v>0</v>
      </c>
      <c r="AJ193" s="144">
        <f>IFERROR(_xlfn.XLOOKUP($B193,'Cronog. e Histog.'!$BZ:$BZ,'Cronog. e Histog.'!DE:DE),"")</f>
        <v>0</v>
      </c>
      <c r="AK193" s="144">
        <f>IFERROR(_xlfn.XLOOKUP($B193,'Cronog. e Histog.'!$BZ:$BZ,'Cronog. e Histog.'!DF:DF),"")</f>
        <v>0</v>
      </c>
      <c r="AL193" s="144">
        <f>IFERROR(_xlfn.XLOOKUP($B193,'Cronog. e Histog.'!$BZ:$BZ,'Cronog. e Histog.'!DG:DG),"")</f>
        <v>0</v>
      </c>
      <c r="AM193" s="144">
        <f>IFERROR(_xlfn.XLOOKUP($B193,'Cronog. e Histog.'!$BZ:$BZ,'Cronog. e Histog.'!DH:DH),"")</f>
        <v>0</v>
      </c>
      <c r="AN193" s="144">
        <f>IFERROR(_xlfn.XLOOKUP($B193,'Cronog. e Histog.'!$BZ:$BZ,'Cronog. e Histog.'!DI:DI),"")</f>
        <v>0</v>
      </c>
      <c r="AO193" s="144">
        <f>IFERROR(_xlfn.XLOOKUP($B193,'Cronog. e Histog.'!$BZ:$BZ,'Cronog. e Histog.'!DJ:DJ),"")</f>
        <v>0</v>
      </c>
      <c r="AP193" s="144">
        <f>IFERROR(_xlfn.XLOOKUP($B193,'Cronog. e Histog.'!$BZ:$BZ,'Cronog. e Histog.'!DK:DK),"")</f>
        <v>0</v>
      </c>
      <c r="AQ193" s="144">
        <f>IFERROR(_xlfn.XLOOKUP($B193,'Cronog. e Histog.'!$BZ:$BZ,'Cronog. e Histog.'!DL:DL),"")</f>
        <v>0</v>
      </c>
      <c r="AR193" s="144">
        <f>IFERROR(_xlfn.XLOOKUP($B193,'Cronog. e Histog.'!$BZ:$BZ,'Cronog. e Histog.'!DM:DM),"")</f>
        <v>0</v>
      </c>
      <c r="AS193" s="144">
        <f>IFERROR(_xlfn.XLOOKUP($B193,'Cronog. e Histog.'!$BZ:$BZ,'Cronog. e Histog.'!DN:DN),"")</f>
        <v>0</v>
      </c>
      <c r="AT193" s="144">
        <f>IFERROR(_xlfn.XLOOKUP($B193,'Cronog. e Histog.'!$BZ:$BZ,'Cronog. e Histog.'!DO:DO),"")</f>
        <v>0</v>
      </c>
      <c r="AU193" s="144">
        <f>IFERROR(_xlfn.XLOOKUP($B193,'Cronog. e Histog.'!$BZ:$BZ,'Cronog. e Histog.'!DP:DP),"")</f>
        <v>0</v>
      </c>
      <c r="AV193" s="144">
        <f>IFERROR(_xlfn.XLOOKUP($B193,'Cronog. e Histog.'!$BZ:$BZ,'Cronog. e Histog.'!DQ:DQ),"")</f>
        <v>0</v>
      </c>
      <c r="AW193" s="144">
        <f>IFERROR(_xlfn.XLOOKUP($B193,'Cronog. e Histog.'!$BZ:$BZ,'Cronog. e Histog.'!DR:DR),"")</f>
        <v>0</v>
      </c>
      <c r="AX193" s="144">
        <f>IFERROR(_xlfn.XLOOKUP($B193,'Cronog. e Histog.'!$BZ:$BZ,'Cronog. e Histog.'!DS:DS),"")</f>
        <v>0</v>
      </c>
      <c r="AY193" s="144">
        <f>IFERROR(_xlfn.XLOOKUP($B193,'Cronog. e Histog.'!$BZ:$BZ,'Cronog. e Histog.'!DT:DT),"")</f>
        <v>0</v>
      </c>
      <c r="AZ193" s="144">
        <f>IFERROR(_xlfn.XLOOKUP($B193,'Cronog. e Histog.'!$BZ:$BZ,'Cronog. e Histog.'!DU:DU),"")</f>
        <v>0</v>
      </c>
      <c r="BA193" s="144">
        <f>IFERROR(_xlfn.XLOOKUP($B193,'Cronog. e Histog.'!$BZ:$BZ,'Cronog. e Histog.'!DV:DV),"")</f>
        <v>0</v>
      </c>
      <c r="BB193" s="144">
        <f>IFERROR(_xlfn.XLOOKUP($B193,'Cronog. e Histog.'!$BZ:$BZ,'Cronog. e Histog.'!DW:DW),"")</f>
        <v>0</v>
      </c>
      <c r="BC193" s="144">
        <f>IFERROR(_xlfn.XLOOKUP($B193,'Cronog. e Histog.'!$BZ:$BZ,'Cronog. e Histog.'!DX:DX),"")</f>
        <v>0</v>
      </c>
      <c r="BD193" s="144">
        <f>IFERROR(_xlfn.XLOOKUP($B193,'Cronog. e Histog.'!$BZ:$BZ,'Cronog. e Histog.'!DY:DY),"")</f>
        <v>0</v>
      </c>
      <c r="BE193" s="144">
        <f>IFERROR(_xlfn.XLOOKUP($B193,'Cronog. e Histog.'!$BZ:$BZ,'Cronog. e Histog.'!DZ:DZ),"")</f>
        <v>0</v>
      </c>
      <c r="BF193" s="144">
        <f>IFERROR(_xlfn.XLOOKUP($B193,'Cronog. e Histog.'!$BZ:$BZ,'Cronog. e Histog.'!EA:EA),"")</f>
        <v>0</v>
      </c>
      <c r="BG193" s="144">
        <f>IFERROR(_xlfn.XLOOKUP($B193,'Cronog. e Histog.'!$BZ:$BZ,'Cronog. e Histog.'!EB:EB),"")</f>
        <v>0</v>
      </c>
      <c r="BH193" s="144">
        <f>IFERROR(_xlfn.XLOOKUP($B193,'Cronog. e Histog.'!$BZ:$BZ,'Cronog. e Histog.'!EC:EC),"")</f>
        <v>0</v>
      </c>
      <c r="BI193" s="144">
        <f>IFERROR(_xlfn.XLOOKUP($B193,'Cronog. e Histog.'!$BZ:$BZ,'Cronog. e Histog.'!ED:ED),"")</f>
        <v>0</v>
      </c>
      <c r="BJ193" s="144">
        <f>IFERROR(_xlfn.XLOOKUP($B193,'Cronog. e Histog.'!$BZ:$BZ,'Cronog. e Histog.'!EE:EE),"")</f>
        <v>0</v>
      </c>
      <c r="BK193" s="144">
        <f>IFERROR(_xlfn.XLOOKUP($B193,'Cronog. e Histog.'!$BZ:$BZ,'Cronog. e Histog.'!EF:EF),"")</f>
        <v>0</v>
      </c>
      <c r="BL193" s="144">
        <f>IFERROR(_xlfn.XLOOKUP($B193,'Cronog. e Histog.'!$BZ:$BZ,'Cronog. e Histog.'!EG:EG),"")</f>
        <v>0</v>
      </c>
      <c r="BM193" s="144">
        <f>IFERROR(_xlfn.XLOOKUP($B193,'Cronog. e Histog.'!$BZ:$BZ,'Cronog. e Histog.'!EH:EH),"")</f>
        <v>0</v>
      </c>
      <c r="BN193" s="144">
        <f>IFERROR(_xlfn.XLOOKUP($B193,'Cronog. e Histog.'!$BZ:$BZ,'Cronog. e Histog.'!EI:EI),"")</f>
        <v>0</v>
      </c>
    </row>
    <row r="194" spans="2:66" ht="12" hidden="1" customHeight="1" outlineLevel="1">
      <c r="B194" s="76">
        <v>188</v>
      </c>
      <c r="C194" s="143" t="str">
        <f>IFERROR(VLOOKUP(B194,'Cronog. e Histog.'!$BZ$213:$CA$747,2,0),"")</f>
        <v>AN PL. ENG/ARQ</v>
      </c>
      <c r="D194" s="144">
        <f t="shared" si="4"/>
        <v>0</v>
      </c>
      <c r="E194" s="144">
        <f t="shared" si="5"/>
        <v>0</v>
      </c>
      <c r="F194" s="65"/>
      <c r="G194" s="144">
        <f>IFERROR(_xlfn.XLOOKUP($B194,'Cronog. e Histog.'!$BZ:$BZ,'Cronog. e Histog.'!CB:CB),"")</f>
        <v>0</v>
      </c>
      <c r="H194" s="144">
        <f>IFERROR(_xlfn.XLOOKUP($B194,'Cronog. e Histog.'!$BZ:$BZ,'Cronog. e Histog.'!CC:CC),"")</f>
        <v>0</v>
      </c>
      <c r="I194" s="144">
        <f>IFERROR(_xlfn.XLOOKUP($B194,'Cronog. e Histog.'!$BZ:$BZ,'Cronog. e Histog.'!CD:CD),"")</f>
        <v>0</v>
      </c>
      <c r="J194" s="144">
        <f>IFERROR(_xlfn.XLOOKUP($B194,'Cronog. e Histog.'!$BZ:$BZ,'Cronog. e Histog.'!CE:CE),"")</f>
        <v>0</v>
      </c>
      <c r="K194" s="144">
        <f>IFERROR(_xlfn.XLOOKUP($B194,'Cronog. e Histog.'!$BZ:$BZ,'Cronog. e Histog.'!CF:CF),"")</f>
        <v>0</v>
      </c>
      <c r="L194" s="144">
        <f>IFERROR(_xlfn.XLOOKUP($B194,'Cronog. e Histog.'!$BZ:$BZ,'Cronog. e Histog.'!CG:CG),"")</f>
        <v>0</v>
      </c>
      <c r="M194" s="144">
        <f>IFERROR(_xlfn.XLOOKUP($B194,'Cronog. e Histog.'!$BZ:$BZ,'Cronog. e Histog.'!CH:CH),"")</f>
        <v>0</v>
      </c>
      <c r="N194" s="144">
        <f>IFERROR(_xlfn.XLOOKUP($B194,'Cronog. e Histog.'!$BZ:$BZ,'Cronog. e Histog.'!CI:CI),"")</f>
        <v>0</v>
      </c>
      <c r="O194" s="144">
        <f>IFERROR(_xlfn.XLOOKUP($B194,'Cronog. e Histog.'!$BZ:$BZ,'Cronog. e Histog.'!CJ:CJ),"")</f>
        <v>0</v>
      </c>
      <c r="P194" s="144">
        <f>IFERROR(_xlfn.XLOOKUP($B194,'Cronog. e Histog.'!$BZ:$BZ,'Cronog. e Histog.'!CK:CK),"")</f>
        <v>0</v>
      </c>
      <c r="Q194" s="144">
        <f>IFERROR(_xlfn.XLOOKUP($B194,'Cronog. e Histog.'!$BZ:$BZ,'Cronog. e Histog.'!CL:CL),"")</f>
        <v>0</v>
      </c>
      <c r="R194" s="144">
        <f>IFERROR(_xlfn.XLOOKUP($B194,'Cronog. e Histog.'!$BZ:$BZ,'Cronog. e Histog.'!CM:CM),"")</f>
        <v>0</v>
      </c>
      <c r="S194" s="144">
        <f>IFERROR(_xlfn.XLOOKUP($B194,'Cronog. e Histog.'!$BZ:$BZ,'Cronog. e Histog.'!CN:CN),"")</f>
        <v>0</v>
      </c>
      <c r="T194" s="144">
        <f>IFERROR(_xlfn.XLOOKUP($B194,'Cronog. e Histog.'!$BZ:$BZ,'Cronog. e Histog.'!CO:CO),"")</f>
        <v>0</v>
      </c>
      <c r="U194" s="144">
        <f>IFERROR(_xlfn.XLOOKUP($B194,'Cronog. e Histog.'!$BZ:$BZ,'Cronog. e Histog.'!CP:CP),"")</f>
        <v>0</v>
      </c>
      <c r="V194" s="144">
        <f>IFERROR(_xlfn.XLOOKUP($B194,'Cronog. e Histog.'!$BZ:$BZ,'Cronog. e Histog.'!CQ:CQ),"")</f>
        <v>0</v>
      </c>
      <c r="W194" s="144">
        <f>IFERROR(_xlfn.XLOOKUP($B194,'Cronog. e Histog.'!$BZ:$BZ,'Cronog. e Histog.'!CR:CR),"")</f>
        <v>0</v>
      </c>
      <c r="X194" s="144">
        <f>IFERROR(_xlfn.XLOOKUP($B194,'Cronog. e Histog.'!$BZ:$BZ,'Cronog. e Histog.'!CS:CS),"")</f>
        <v>0</v>
      </c>
      <c r="Y194" s="144">
        <f>IFERROR(_xlfn.XLOOKUP($B194,'Cronog. e Histog.'!$BZ:$BZ,'Cronog. e Histog.'!CT:CT),"")</f>
        <v>0</v>
      </c>
      <c r="Z194" s="144">
        <f>IFERROR(_xlfn.XLOOKUP($B194,'Cronog. e Histog.'!$BZ:$BZ,'Cronog. e Histog.'!CU:CU),"")</f>
        <v>0</v>
      </c>
      <c r="AA194" s="144">
        <f>IFERROR(_xlfn.XLOOKUP($B194,'Cronog. e Histog.'!$BZ:$BZ,'Cronog. e Histog.'!CV:CV),"")</f>
        <v>0</v>
      </c>
      <c r="AB194" s="144">
        <f>IFERROR(_xlfn.XLOOKUP($B194,'Cronog. e Histog.'!$BZ:$BZ,'Cronog. e Histog.'!CW:CW),"")</f>
        <v>0</v>
      </c>
      <c r="AC194" s="144">
        <f>IFERROR(_xlfn.XLOOKUP($B194,'Cronog. e Histog.'!$BZ:$BZ,'Cronog. e Histog.'!CX:CX),"")</f>
        <v>0</v>
      </c>
      <c r="AD194" s="144">
        <f>IFERROR(_xlfn.XLOOKUP($B194,'Cronog. e Histog.'!$BZ:$BZ,'Cronog. e Histog.'!CY:CY),"")</f>
        <v>0</v>
      </c>
      <c r="AE194" s="144">
        <f>IFERROR(_xlfn.XLOOKUP($B194,'Cronog. e Histog.'!$BZ:$BZ,'Cronog. e Histog.'!CZ:CZ),"")</f>
        <v>0</v>
      </c>
      <c r="AF194" s="144">
        <f>IFERROR(_xlfn.XLOOKUP($B194,'Cronog. e Histog.'!$BZ:$BZ,'Cronog. e Histog.'!DA:DA),"")</f>
        <v>0</v>
      </c>
      <c r="AG194" s="144">
        <f>IFERROR(_xlfn.XLOOKUP($B194,'Cronog. e Histog.'!$BZ:$BZ,'Cronog. e Histog.'!DB:DB),"")</f>
        <v>0</v>
      </c>
      <c r="AH194" s="144">
        <f>IFERROR(_xlfn.XLOOKUP($B194,'Cronog. e Histog.'!$BZ:$BZ,'Cronog. e Histog.'!DC:DC),"")</f>
        <v>0</v>
      </c>
      <c r="AI194" s="144">
        <f>IFERROR(_xlfn.XLOOKUP($B194,'Cronog. e Histog.'!$BZ:$BZ,'Cronog. e Histog.'!DD:DD),"")</f>
        <v>0</v>
      </c>
      <c r="AJ194" s="144">
        <f>IFERROR(_xlfn.XLOOKUP($B194,'Cronog. e Histog.'!$BZ:$BZ,'Cronog. e Histog.'!DE:DE),"")</f>
        <v>0</v>
      </c>
      <c r="AK194" s="144">
        <f>IFERROR(_xlfn.XLOOKUP($B194,'Cronog. e Histog.'!$BZ:$BZ,'Cronog. e Histog.'!DF:DF),"")</f>
        <v>0</v>
      </c>
      <c r="AL194" s="144">
        <f>IFERROR(_xlfn.XLOOKUP($B194,'Cronog. e Histog.'!$BZ:$BZ,'Cronog. e Histog.'!DG:DG),"")</f>
        <v>0</v>
      </c>
      <c r="AM194" s="144">
        <f>IFERROR(_xlfn.XLOOKUP($B194,'Cronog. e Histog.'!$BZ:$BZ,'Cronog. e Histog.'!DH:DH),"")</f>
        <v>0</v>
      </c>
      <c r="AN194" s="144">
        <f>IFERROR(_xlfn.XLOOKUP($B194,'Cronog. e Histog.'!$BZ:$BZ,'Cronog. e Histog.'!DI:DI),"")</f>
        <v>0</v>
      </c>
      <c r="AO194" s="144">
        <f>IFERROR(_xlfn.XLOOKUP($B194,'Cronog. e Histog.'!$BZ:$BZ,'Cronog. e Histog.'!DJ:DJ),"")</f>
        <v>0</v>
      </c>
      <c r="AP194" s="144">
        <f>IFERROR(_xlfn.XLOOKUP($B194,'Cronog. e Histog.'!$BZ:$BZ,'Cronog. e Histog.'!DK:DK),"")</f>
        <v>0</v>
      </c>
      <c r="AQ194" s="144">
        <f>IFERROR(_xlfn.XLOOKUP($B194,'Cronog. e Histog.'!$BZ:$BZ,'Cronog. e Histog.'!DL:DL),"")</f>
        <v>0</v>
      </c>
      <c r="AR194" s="144">
        <f>IFERROR(_xlfn.XLOOKUP($B194,'Cronog. e Histog.'!$BZ:$BZ,'Cronog. e Histog.'!DM:DM),"")</f>
        <v>0</v>
      </c>
      <c r="AS194" s="144">
        <f>IFERROR(_xlfn.XLOOKUP($B194,'Cronog. e Histog.'!$BZ:$BZ,'Cronog. e Histog.'!DN:DN),"")</f>
        <v>0</v>
      </c>
      <c r="AT194" s="144">
        <f>IFERROR(_xlfn.XLOOKUP($B194,'Cronog. e Histog.'!$BZ:$BZ,'Cronog. e Histog.'!DO:DO),"")</f>
        <v>0</v>
      </c>
      <c r="AU194" s="144">
        <f>IFERROR(_xlfn.XLOOKUP($B194,'Cronog. e Histog.'!$BZ:$BZ,'Cronog. e Histog.'!DP:DP),"")</f>
        <v>0</v>
      </c>
      <c r="AV194" s="144">
        <f>IFERROR(_xlfn.XLOOKUP($B194,'Cronog. e Histog.'!$BZ:$BZ,'Cronog. e Histog.'!DQ:DQ),"")</f>
        <v>0</v>
      </c>
      <c r="AW194" s="144">
        <f>IFERROR(_xlfn.XLOOKUP($B194,'Cronog. e Histog.'!$BZ:$BZ,'Cronog. e Histog.'!DR:DR),"")</f>
        <v>0</v>
      </c>
      <c r="AX194" s="144">
        <f>IFERROR(_xlfn.XLOOKUP($B194,'Cronog. e Histog.'!$BZ:$BZ,'Cronog. e Histog.'!DS:DS),"")</f>
        <v>0</v>
      </c>
      <c r="AY194" s="144">
        <f>IFERROR(_xlfn.XLOOKUP($B194,'Cronog. e Histog.'!$BZ:$BZ,'Cronog. e Histog.'!DT:DT),"")</f>
        <v>0</v>
      </c>
      <c r="AZ194" s="144">
        <f>IFERROR(_xlfn.XLOOKUP($B194,'Cronog. e Histog.'!$BZ:$BZ,'Cronog. e Histog.'!DU:DU),"")</f>
        <v>0</v>
      </c>
      <c r="BA194" s="144">
        <f>IFERROR(_xlfn.XLOOKUP($B194,'Cronog. e Histog.'!$BZ:$BZ,'Cronog. e Histog.'!DV:DV),"")</f>
        <v>0</v>
      </c>
      <c r="BB194" s="144">
        <f>IFERROR(_xlfn.XLOOKUP($B194,'Cronog. e Histog.'!$BZ:$BZ,'Cronog. e Histog.'!DW:DW),"")</f>
        <v>0</v>
      </c>
      <c r="BC194" s="144">
        <f>IFERROR(_xlfn.XLOOKUP($B194,'Cronog. e Histog.'!$BZ:$BZ,'Cronog. e Histog.'!DX:DX),"")</f>
        <v>0</v>
      </c>
      <c r="BD194" s="144">
        <f>IFERROR(_xlfn.XLOOKUP($B194,'Cronog. e Histog.'!$BZ:$BZ,'Cronog. e Histog.'!DY:DY),"")</f>
        <v>0</v>
      </c>
      <c r="BE194" s="144">
        <f>IFERROR(_xlfn.XLOOKUP($B194,'Cronog. e Histog.'!$BZ:$BZ,'Cronog. e Histog.'!DZ:DZ),"")</f>
        <v>0</v>
      </c>
      <c r="BF194" s="144">
        <f>IFERROR(_xlfn.XLOOKUP($B194,'Cronog. e Histog.'!$BZ:$BZ,'Cronog. e Histog.'!EA:EA),"")</f>
        <v>0</v>
      </c>
      <c r="BG194" s="144">
        <f>IFERROR(_xlfn.XLOOKUP($B194,'Cronog. e Histog.'!$BZ:$BZ,'Cronog. e Histog.'!EB:EB),"")</f>
        <v>0</v>
      </c>
      <c r="BH194" s="144">
        <f>IFERROR(_xlfn.XLOOKUP($B194,'Cronog. e Histog.'!$BZ:$BZ,'Cronog. e Histog.'!EC:EC),"")</f>
        <v>0</v>
      </c>
      <c r="BI194" s="144">
        <f>IFERROR(_xlfn.XLOOKUP($B194,'Cronog. e Histog.'!$BZ:$BZ,'Cronog. e Histog.'!ED:ED),"")</f>
        <v>0</v>
      </c>
      <c r="BJ194" s="144">
        <f>IFERROR(_xlfn.XLOOKUP($B194,'Cronog. e Histog.'!$BZ:$BZ,'Cronog. e Histog.'!EE:EE),"")</f>
        <v>0</v>
      </c>
      <c r="BK194" s="144">
        <f>IFERROR(_xlfn.XLOOKUP($B194,'Cronog. e Histog.'!$BZ:$BZ,'Cronog. e Histog.'!EF:EF),"")</f>
        <v>0</v>
      </c>
      <c r="BL194" s="144">
        <f>IFERROR(_xlfn.XLOOKUP($B194,'Cronog. e Histog.'!$BZ:$BZ,'Cronog. e Histog.'!EG:EG),"")</f>
        <v>0</v>
      </c>
      <c r="BM194" s="144">
        <f>IFERROR(_xlfn.XLOOKUP($B194,'Cronog. e Histog.'!$BZ:$BZ,'Cronog. e Histog.'!EH:EH),"")</f>
        <v>0</v>
      </c>
      <c r="BN194" s="144">
        <f>IFERROR(_xlfn.XLOOKUP($B194,'Cronog. e Histog.'!$BZ:$BZ,'Cronog. e Histog.'!EI:EI),"")</f>
        <v>0</v>
      </c>
    </row>
    <row r="195" spans="2:66" ht="12" hidden="1" customHeight="1" outlineLevel="1">
      <c r="B195" s="76">
        <v>189</v>
      </c>
      <c r="C195" s="143" t="str">
        <f>IFERROR(VLOOKUP(B195,'Cronog. e Histog.'!$BZ$213:$CA$747,2,0),"")</f>
        <v>AN JR. ENG/ARQ</v>
      </c>
      <c r="D195" s="144">
        <f t="shared" si="4"/>
        <v>0</v>
      </c>
      <c r="E195" s="144">
        <f t="shared" si="5"/>
        <v>0</v>
      </c>
      <c r="F195" s="65"/>
      <c r="G195" s="144">
        <f>IFERROR(_xlfn.XLOOKUP($B195,'Cronog. e Histog.'!$BZ:$BZ,'Cronog. e Histog.'!CB:CB),"")</f>
        <v>0</v>
      </c>
      <c r="H195" s="144">
        <f>IFERROR(_xlfn.XLOOKUP($B195,'Cronog. e Histog.'!$BZ:$BZ,'Cronog. e Histog.'!CC:CC),"")</f>
        <v>0</v>
      </c>
      <c r="I195" s="144">
        <f>IFERROR(_xlfn.XLOOKUP($B195,'Cronog. e Histog.'!$BZ:$BZ,'Cronog. e Histog.'!CD:CD),"")</f>
        <v>0</v>
      </c>
      <c r="J195" s="144">
        <f>IFERROR(_xlfn.XLOOKUP($B195,'Cronog. e Histog.'!$BZ:$BZ,'Cronog. e Histog.'!CE:CE),"")</f>
        <v>0</v>
      </c>
      <c r="K195" s="144">
        <f>IFERROR(_xlfn.XLOOKUP($B195,'Cronog. e Histog.'!$BZ:$BZ,'Cronog. e Histog.'!CF:CF),"")</f>
        <v>0</v>
      </c>
      <c r="L195" s="144">
        <f>IFERROR(_xlfn.XLOOKUP($B195,'Cronog. e Histog.'!$BZ:$BZ,'Cronog. e Histog.'!CG:CG),"")</f>
        <v>0</v>
      </c>
      <c r="M195" s="144">
        <f>IFERROR(_xlfn.XLOOKUP($B195,'Cronog. e Histog.'!$BZ:$BZ,'Cronog. e Histog.'!CH:CH),"")</f>
        <v>0</v>
      </c>
      <c r="N195" s="144">
        <f>IFERROR(_xlfn.XLOOKUP($B195,'Cronog. e Histog.'!$BZ:$BZ,'Cronog. e Histog.'!CI:CI),"")</f>
        <v>0</v>
      </c>
      <c r="O195" s="144">
        <f>IFERROR(_xlfn.XLOOKUP($B195,'Cronog. e Histog.'!$BZ:$BZ,'Cronog. e Histog.'!CJ:CJ),"")</f>
        <v>0</v>
      </c>
      <c r="P195" s="144">
        <f>IFERROR(_xlfn.XLOOKUP($B195,'Cronog. e Histog.'!$BZ:$BZ,'Cronog. e Histog.'!CK:CK),"")</f>
        <v>0</v>
      </c>
      <c r="Q195" s="144">
        <f>IFERROR(_xlfn.XLOOKUP($B195,'Cronog. e Histog.'!$BZ:$BZ,'Cronog. e Histog.'!CL:CL),"")</f>
        <v>0</v>
      </c>
      <c r="R195" s="144">
        <f>IFERROR(_xlfn.XLOOKUP($B195,'Cronog. e Histog.'!$BZ:$BZ,'Cronog. e Histog.'!CM:CM),"")</f>
        <v>0</v>
      </c>
      <c r="S195" s="144">
        <f>IFERROR(_xlfn.XLOOKUP($B195,'Cronog. e Histog.'!$BZ:$BZ,'Cronog. e Histog.'!CN:CN),"")</f>
        <v>0</v>
      </c>
      <c r="T195" s="144">
        <f>IFERROR(_xlfn.XLOOKUP($B195,'Cronog. e Histog.'!$BZ:$BZ,'Cronog. e Histog.'!CO:CO),"")</f>
        <v>0</v>
      </c>
      <c r="U195" s="144">
        <f>IFERROR(_xlfn.XLOOKUP($B195,'Cronog. e Histog.'!$BZ:$BZ,'Cronog. e Histog.'!CP:CP),"")</f>
        <v>0</v>
      </c>
      <c r="V195" s="144">
        <f>IFERROR(_xlfn.XLOOKUP($B195,'Cronog. e Histog.'!$BZ:$BZ,'Cronog. e Histog.'!CQ:CQ),"")</f>
        <v>0</v>
      </c>
      <c r="W195" s="144">
        <f>IFERROR(_xlfn.XLOOKUP($B195,'Cronog. e Histog.'!$BZ:$BZ,'Cronog. e Histog.'!CR:CR),"")</f>
        <v>0</v>
      </c>
      <c r="X195" s="144">
        <f>IFERROR(_xlfn.XLOOKUP($B195,'Cronog. e Histog.'!$BZ:$BZ,'Cronog. e Histog.'!CS:CS),"")</f>
        <v>0</v>
      </c>
      <c r="Y195" s="144">
        <f>IFERROR(_xlfn.XLOOKUP($B195,'Cronog. e Histog.'!$BZ:$BZ,'Cronog. e Histog.'!CT:CT),"")</f>
        <v>0</v>
      </c>
      <c r="Z195" s="144">
        <f>IFERROR(_xlfn.XLOOKUP($B195,'Cronog. e Histog.'!$BZ:$BZ,'Cronog. e Histog.'!CU:CU),"")</f>
        <v>0</v>
      </c>
      <c r="AA195" s="144">
        <f>IFERROR(_xlfn.XLOOKUP($B195,'Cronog. e Histog.'!$BZ:$BZ,'Cronog. e Histog.'!CV:CV),"")</f>
        <v>0</v>
      </c>
      <c r="AB195" s="144">
        <f>IFERROR(_xlfn.XLOOKUP($B195,'Cronog. e Histog.'!$BZ:$BZ,'Cronog. e Histog.'!CW:CW),"")</f>
        <v>0</v>
      </c>
      <c r="AC195" s="144">
        <f>IFERROR(_xlfn.XLOOKUP($B195,'Cronog. e Histog.'!$BZ:$BZ,'Cronog. e Histog.'!CX:CX),"")</f>
        <v>0</v>
      </c>
      <c r="AD195" s="144">
        <f>IFERROR(_xlfn.XLOOKUP($B195,'Cronog. e Histog.'!$BZ:$BZ,'Cronog. e Histog.'!CY:CY),"")</f>
        <v>0</v>
      </c>
      <c r="AE195" s="144">
        <f>IFERROR(_xlfn.XLOOKUP($B195,'Cronog. e Histog.'!$BZ:$BZ,'Cronog. e Histog.'!CZ:CZ),"")</f>
        <v>0</v>
      </c>
      <c r="AF195" s="144">
        <f>IFERROR(_xlfn.XLOOKUP($B195,'Cronog. e Histog.'!$BZ:$BZ,'Cronog. e Histog.'!DA:DA),"")</f>
        <v>0</v>
      </c>
      <c r="AG195" s="144">
        <f>IFERROR(_xlfn.XLOOKUP($B195,'Cronog. e Histog.'!$BZ:$BZ,'Cronog. e Histog.'!DB:DB),"")</f>
        <v>0</v>
      </c>
      <c r="AH195" s="144">
        <f>IFERROR(_xlfn.XLOOKUP($B195,'Cronog. e Histog.'!$BZ:$BZ,'Cronog. e Histog.'!DC:DC),"")</f>
        <v>0</v>
      </c>
      <c r="AI195" s="144">
        <f>IFERROR(_xlfn.XLOOKUP($B195,'Cronog. e Histog.'!$BZ:$BZ,'Cronog. e Histog.'!DD:DD),"")</f>
        <v>0</v>
      </c>
      <c r="AJ195" s="144">
        <f>IFERROR(_xlfn.XLOOKUP($B195,'Cronog. e Histog.'!$BZ:$BZ,'Cronog. e Histog.'!DE:DE),"")</f>
        <v>0</v>
      </c>
      <c r="AK195" s="144">
        <f>IFERROR(_xlfn.XLOOKUP($B195,'Cronog. e Histog.'!$BZ:$BZ,'Cronog. e Histog.'!DF:DF),"")</f>
        <v>0</v>
      </c>
      <c r="AL195" s="144">
        <f>IFERROR(_xlfn.XLOOKUP($B195,'Cronog. e Histog.'!$BZ:$BZ,'Cronog. e Histog.'!DG:DG),"")</f>
        <v>0</v>
      </c>
      <c r="AM195" s="144">
        <f>IFERROR(_xlfn.XLOOKUP($B195,'Cronog. e Histog.'!$BZ:$BZ,'Cronog. e Histog.'!DH:DH),"")</f>
        <v>0</v>
      </c>
      <c r="AN195" s="144">
        <f>IFERROR(_xlfn.XLOOKUP($B195,'Cronog. e Histog.'!$BZ:$BZ,'Cronog. e Histog.'!DI:DI),"")</f>
        <v>0</v>
      </c>
      <c r="AO195" s="144">
        <f>IFERROR(_xlfn.XLOOKUP($B195,'Cronog. e Histog.'!$BZ:$BZ,'Cronog. e Histog.'!DJ:DJ),"")</f>
        <v>0</v>
      </c>
      <c r="AP195" s="144">
        <f>IFERROR(_xlfn.XLOOKUP($B195,'Cronog. e Histog.'!$BZ:$BZ,'Cronog. e Histog.'!DK:DK),"")</f>
        <v>0</v>
      </c>
      <c r="AQ195" s="144">
        <f>IFERROR(_xlfn.XLOOKUP($B195,'Cronog. e Histog.'!$BZ:$BZ,'Cronog. e Histog.'!DL:DL),"")</f>
        <v>0</v>
      </c>
      <c r="AR195" s="144">
        <f>IFERROR(_xlfn.XLOOKUP($B195,'Cronog. e Histog.'!$BZ:$BZ,'Cronog. e Histog.'!DM:DM),"")</f>
        <v>0</v>
      </c>
      <c r="AS195" s="144">
        <f>IFERROR(_xlfn.XLOOKUP($B195,'Cronog. e Histog.'!$BZ:$BZ,'Cronog. e Histog.'!DN:DN),"")</f>
        <v>0</v>
      </c>
      <c r="AT195" s="144">
        <f>IFERROR(_xlfn.XLOOKUP($B195,'Cronog. e Histog.'!$BZ:$BZ,'Cronog. e Histog.'!DO:DO),"")</f>
        <v>0</v>
      </c>
      <c r="AU195" s="144">
        <f>IFERROR(_xlfn.XLOOKUP($B195,'Cronog. e Histog.'!$BZ:$BZ,'Cronog. e Histog.'!DP:DP),"")</f>
        <v>0</v>
      </c>
      <c r="AV195" s="144">
        <f>IFERROR(_xlfn.XLOOKUP($B195,'Cronog. e Histog.'!$BZ:$BZ,'Cronog. e Histog.'!DQ:DQ),"")</f>
        <v>0</v>
      </c>
      <c r="AW195" s="144">
        <f>IFERROR(_xlfn.XLOOKUP($B195,'Cronog. e Histog.'!$BZ:$BZ,'Cronog. e Histog.'!DR:DR),"")</f>
        <v>0</v>
      </c>
      <c r="AX195" s="144">
        <f>IFERROR(_xlfn.XLOOKUP($B195,'Cronog. e Histog.'!$BZ:$BZ,'Cronog. e Histog.'!DS:DS),"")</f>
        <v>0</v>
      </c>
      <c r="AY195" s="144">
        <f>IFERROR(_xlfn.XLOOKUP($B195,'Cronog. e Histog.'!$BZ:$BZ,'Cronog. e Histog.'!DT:DT),"")</f>
        <v>0</v>
      </c>
      <c r="AZ195" s="144">
        <f>IFERROR(_xlfn.XLOOKUP($B195,'Cronog. e Histog.'!$BZ:$BZ,'Cronog. e Histog.'!DU:DU),"")</f>
        <v>0</v>
      </c>
      <c r="BA195" s="144">
        <f>IFERROR(_xlfn.XLOOKUP($B195,'Cronog. e Histog.'!$BZ:$BZ,'Cronog. e Histog.'!DV:DV),"")</f>
        <v>0</v>
      </c>
      <c r="BB195" s="144">
        <f>IFERROR(_xlfn.XLOOKUP($B195,'Cronog. e Histog.'!$BZ:$BZ,'Cronog. e Histog.'!DW:DW),"")</f>
        <v>0</v>
      </c>
      <c r="BC195" s="144">
        <f>IFERROR(_xlfn.XLOOKUP($B195,'Cronog. e Histog.'!$BZ:$BZ,'Cronog. e Histog.'!DX:DX),"")</f>
        <v>0</v>
      </c>
      <c r="BD195" s="144">
        <f>IFERROR(_xlfn.XLOOKUP($B195,'Cronog. e Histog.'!$BZ:$BZ,'Cronog. e Histog.'!DY:DY),"")</f>
        <v>0</v>
      </c>
      <c r="BE195" s="144">
        <f>IFERROR(_xlfn.XLOOKUP($B195,'Cronog. e Histog.'!$BZ:$BZ,'Cronog. e Histog.'!DZ:DZ),"")</f>
        <v>0</v>
      </c>
      <c r="BF195" s="144">
        <f>IFERROR(_xlfn.XLOOKUP($B195,'Cronog. e Histog.'!$BZ:$BZ,'Cronog. e Histog.'!EA:EA),"")</f>
        <v>0</v>
      </c>
      <c r="BG195" s="144">
        <f>IFERROR(_xlfn.XLOOKUP($B195,'Cronog. e Histog.'!$BZ:$BZ,'Cronog. e Histog.'!EB:EB),"")</f>
        <v>0</v>
      </c>
      <c r="BH195" s="144">
        <f>IFERROR(_xlfn.XLOOKUP($B195,'Cronog. e Histog.'!$BZ:$BZ,'Cronog. e Histog.'!EC:EC),"")</f>
        <v>0</v>
      </c>
      <c r="BI195" s="144">
        <f>IFERROR(_xlfn.XLOOKUP($B195,'Cronog. e Histog.'!$BZ:$BZ,'Cronog. e Histog.'!ED:ED),"")</f>
        <v>0</v>
      </c>
      <c r="BJ195" s="144">
        <f>IFERROR(_xlfn.XLOOKUP($B195,'Cronog. e Histog.'!$BZ:$BZ,'Cronog. e Histog.'!EE:EE),"")</f>
        <v>0</v>
      </c>
      <c r="BK195" s="144">
        <f>IFERROR(_xlfn.XLOOKUP($B195,'Cronog. e Histog.'!$BZ:$BZ,'Cronog. e Histog.'!EF:EF),"")</f>
        <v>0</v>
      </c>
      <c r="BL195" s="144">
        <f>IFERROR(_xlfn.XLOOKUP($B195,'Cronog. e Histog.'!$BZ:$BZ,'Cronog. e Histog.'!EG:EG),"")</f>
        <v>0</v>
      </c>
      <c r="BM195" s="144">
        <f>IFERROR(_xlfn.XLOOKUP($B195,'Cronog. e Histog.'!$BZ:$BZ,'Cronog. e Histog.'!EH:EH),"")</f>
        <v>0</v>
      </c>
      <c r="BN195" s="144">
        <f>IFERROR(_xlfn.XLOOKUP($B195,'Cronog. e Histog.'!$BZ:$BZ,'Cronog. e Histog.'!EI:EI),"")</f>
        <v>0</v>
      </c>
    </row>
    <row r="196" spans="2:66" ht="12" hidden="1" customHeight="1" outlineLevel="1">
      <c r="B196" s="76">
        <v>190</v>
      </c>
      <c r="C196" s="143" t="str">
        <f>IFERROR(VLOOKUP(B196,'Cronog. e Histog.'!$BZ$213:$CA$747,2,0),"")</f>
        <v>AN SR. ADM/CRP</v>
      </c>
      <c r="D196" s="144">
        <f t="shared" si="4"/>
        <v>0</v>
      </c>
      <c r="E196" s="144">
        <f t="shared" si="5"/>
        <v>0</v>
      </c>
      <c r="F196" s="65"/>
      <c r="G196" s="144">
        <f>IFERROR(_xlfn.XLOOKUP($B196,'Cronog. e Histog.'!$BZ:$BZ,'Cronog. e Histog.'!CB:CB),"")</f>
        <v>0</v>
      </c>
      <c r="H196" s="144">
        <f>IFERROR(_xlfn.XLOOKUP($B196,'Cronog. e Histog.'!$BZ:$BZ,'Cronog. e Histog.'!CC:CC),"")</f>
        <v>0</v>
      </c>
      <c r="I196" s="144">
        <f>IFERROR(_xlfn.XLOOKUP($B196,'Cronog. e Histog.'!$BZ:$BZ,'Cronog. e Histog.'!CD:CD),"")</f>
        <v>0</v>
      </c>
      <c r="J196" s="144">
        <f>IFERROR(_xlfn.XLOOKUP($B196,'Cronog. e Histog.'!$BZ:$BZ,'Cronog. e Histog.'!CE:CE),"")</f>
        <v>0</v>
      </c>
      <c r="K196" s="144">
        <f>IFERROR(_xlfn.XLOOKUP($B196,'Cronog. e Histog.'!$BZ:$BZ,'Cronog. e Histog.'!CF:CF),"")</f>
        <v>0</v>
      </c>
      <c r="L196" s="144">
        <f>IFERROR(_xlfn.XLOOKUP($B196,'Cronog. e Histog.'!$BZ:$BZ,'Cronog. e Histog.'!CG:CG),"")</f>
        <v>0</v>
      </c>
      <c r="M196" s="144">
        <f>IFERROR(_xlfn.XLOOKUP($B196,'Cronog. e Histog.'!$BZ:$BZ,'Cronog. e Histog.'!CH:CH),"")</f>
        <v>0</v>
      </c>
      <c r="N196" s="144">
        <f>IFERROR(_xlfn.XLOOKUP($B196,'Cronog. e Histog.'!$BZ:$BZ,'Cronog. e Histog.'!CI:CI),"")</f>
        <v>0</v>
      </c>
      <c r="O196" s="144">
        <f>IFERROR(_xlfn.XLOOKUP($B196,'Cronog. e Histog.'!$BZ:$BZ,'Cronog. e Histog.'!CJ:CJ),"")</f>
        <v>0</v>
      </c>
      <c r="P196" s="144">
        <f>IFERROR(_xlfn.XLOOKUP($B196,'Cronog. e Histog.'!$BZ:$BZ,'Cronog. e Histog.'!CK:CK),"")</f>
        <v>0</v>
      </c>
      <c r="Q196" s="144">
        <f>IFERROR(_xlfn.XLOOKUP($B196,'Cronog. e Histog.'!$BZ:$BZ,'Cronog. e Histog.'!CL:CL),"")</f>
        <v>0</v>
      </c>
      <c r="R196" s="144">
        <f>IFERROR(_xlfn.XLOOKUP($B196,'Cronog. e Histog.'!$BZ:$BZ,'Cronog. e Histog.'!CM:CM),"")</f>
        <v>0</v>
      </c>
      <c r="S196" s="144">
        <f>IFERROR(_xlfn.XLOOKUP($B196,'Cronog. e Histog.'!$BZ:$BZ,'Cronog. e Histog.'!CN:CN),"")</f>
        <v>0</v>
      </c>
      <c r="T196" s="144">
        <f>IFERROR(_xlfn.XLOOKUP($B196,'Cronog. e Histog.'!$BZ:$BZ,'Cronog. e Histog.'!CO:CO),"")</f>
        <v>0</v>
      </c>
      <c r="U196" s="144">
        <f>IFERROR(_xlfn.XLOOKUP($B196,'Cronog. e Histog.'!$BZ:$BZ,'Cronog. e Histog.'!CP:CP),"")</f>
        <v>0</v>
      </c>
      <c r="V196" s="144">
        <f>IFERROR(_xlfn.XLOOKUP($B196,'Cronog. e Histog.'!$BZ:$BZ,'Cronog. e Histog.'!CQ:CQ),"")</f>
        <v>0</v>
      </c>
      <c r="W196" s="144">
        <f>IFERROR(_xlfn.XLOOKUP($B196,'Cronog. e Histog.'!$BZ:$BZ,'Cronog. e Histog.'!CR:CR),"")</f>
        <v>0</v>
      </c>
      <c r="X196" s="144">
        <f>IFERROR(_xlfn.XLOOKUP($B196,'Cronog. e Histog.'!$BZ:$BZ,'Cronog. e Histog.'!CS:CS),"")</f>
        <v>0</v>
      </c>
      <c r="Y196" s="144">
        <f>IFERROR(_xlfn.XLOOKUP($B196,'Cronog. e Histog.'!$BZ:$BZ,'Cronog. e Histog.'!CT:CT),"")</f>
        <v>0</v>
      </c>
      <c r="Z196" s="144">
        <f>IFERROR(_xlfn.XLOOKUP($B196,'Cronog. e Histog.'!$BZ:$BZ,'Cronog. e Histog.'!CU:CU),"")</f>
        <v>0</v>
      </c>
      <c r="AA196" s="144">
        <f>IFERROR(_xlfn.XLOOKUP($B196,'Cronog. e Histog.'!$BZ:$BZ,'Cronog. e Histog.'!CV:CV),"")</f>
        <v>0</v>
      </c>
      <c r="AB196" s="144">
        <f>IFERROR(_xlfn.XLOOKUP($B196,'Cronog. e Histog.'!$BZ:$BZ,'Cronog. e Histog.'!CW:CW),"")</f>
        <v>0</v>
      </c>
      <c r="AC196" s="144">
        <f>IFERROR(_xlfn.XLOOKUP($B196,'Cronog. e Histog.'!$BZ:$BZ,'Cronog. e Histog.'!CX:CX),"")</f>
        <v>0</v>
      </c>
      <c r="AD196" s="144">
        <f>IFERROR(_xlfn.XLOOKUP($B196,'Cronog. e Histog.'!$BZ:$BZ,'Cronog. e Histog.'!CY:CY),"")</f>
        <v>0</v>
      </c>
      <c r="AE196" s="144">
        <f>IFERROR(_xlfn.XLOOKUP($B196,'Cronog. e Histog.'!$BZ:$BZ,'Cronog. e Histog.'!CZ:CZ),"")</f>
        <v>0</v>
      </c>
      <c r="AF196" s="144">
        <f>IFERROR(_xlfn.XLOOKUP($B196,'Cronog. e Histog.'!$BZ:$BZ,'Cronog. e Histog.'!DA:DA),"")</f>
        <v>0</v>
      </c>
      <c r="AG196" s="144">
        <f>IFERROR(_xlfn.XLOOKUP($B196,'Cronog. e Histog.'!$BZ:$BZ,'Cronog. e Histog.'!DB:DB),"")</f>
        <v>0</v>
      </c>
      <c r="AH196" s="144">
        <f>IFERROR(_xlfn.XLOOKUP($B196,'Cronog. e Histog.'!$BZ:$BZ,'Cronog. e Histog.'!DC:DC),"")</f>
        <v>0</v>
      </c>
      <c r="AI196" s="144">
        <f>IFERROR(_xlfn.XLOOKUP($B196,'Cronog. e Histog.'!$BZ:$BZ,'Cronog. e Histog.'!DD:DD),"")</f>
        <v>0</v>
      </c>
      <c r="AJ196" s="144">
        <f>IFERROR(_xlfn.XLOOKUP($B196,'Cronog. e Histog.'!$BZ:$BZ,'Cronog. e Histog.'!DE:DE),"")</f>
        <v>0</v>
      </c>
      <c r="AK196" s="144">
        <f>IFERROR(_xlfn.XLOOKUP($B196,'Cronog. e Histog.'!$BZ:$BZ,'Cronog. e Histog.'!DF:DF),"")</f>
        <v>0</v>
      </c>
      <c r="AL196" s="144">
        <f>IFERROR(_xlfn.XLOOKUP($B196,'Cronog. e Histog.'!$BZ:$BZ,'Cronog. e Histog.'!DG:DG),"")</f>
        <v>0</v>
      </c>
      <c r="AM196" s="144">
        <f>IFERROR(_xlfn.XLOOKUP($B196,'Cronog. e Histog.'!$BZ:$BZ,'Cronog. e Histog.'!DH:DH),"")</f>
        <v>0</v>
      </c>
      <c r="AN196" s="144">
        <f>IFERROR(_xlfn.XLOOKUP($B196,'Cronog. e Histog.'!$BZ:$BZ,'Cronog. e Histog.'!DI:DI),"")</f>
        <v>0</v>
      </c>
      <c r="AO196" s="144">
        <f>IFERROR(_xlfn.XLOOKUP($B196,'Cronog. e Histog.'!$BZ:$BZ,'Cronog. e Histog.'!DJ:DJ),"")</f>
        <v>0</v>
      </c>
      <c r="AP196" s="144">
        <f>IFERROR(_xlfn.XLOOKUP($B196,'Cronog. e Histog.'!$BZ:$BZ,'Cronog. e Histog.'!DK:DK),"")</f>
        <v>0</v>
      </c>
      <c r="AQ196" s="144">
        <f>IFERROR(_xlfn.XLOOKUP($B196,'Cronog. e Histog.'!$BZ:$BZ,'Cronog. e Histog.'!DL:DL),"")</f>
        <v>0</v>
      </c>
      <c r="AR196" s="144">
        <f>IFERROR(_xlfn.XLOOKUP($B196,'Cronog. e Histog.'!$BZ:$BZ,'Cronog. e Histog.'!DM:DM),"")</f>
        <v>0</v>
      </c>
      <c r="AS196" s="144">
        <f>IFERROR(_xlfn.XLOOKUP($B196,'Cronog. e Histog.'!$BZ:$BZ,'Cronog. e Histog.'!DN:DN),"")</f>
        <v>0</v>
      </c>
      <c r="AT196" s="144">
        <f>IFERROR(_xlfn.XLOOKUP($B196,'Cronog. e Histog.'!$BZ:$BZ,'Cronog. e Histog.'!DO:DO),"")</f>
        <v>0</v>
      </c>
      <c r="AU196" s="144">
        <f>IFERROR(_xlfn.XLOOKUP($B196,'Cronog. e Histog.'!$BZ:$BZ,'Cronog. e Histog.'!DP:DP),"")</f>
        <v>0</v>
      </c>
      <c r="AV196" s="144">
        <f>IFERROR(_xlfn.XLOOKUP($B196,'Cronog. e Histog.'!$BZ:$BZ,'Cronog. e Histog.'!DQ:DQ),"")</f>
        <v>0</v>
      </c>
      <c r="AW196" s="144">
        <f>IFERROR(_xlfn.XLOOKUP($B196,'Cronog. e Histog.'!$BZ:$BZ,'Cronog. e Histog.'!DR:DR),"")</f>
        <v>0</v>
      </c>
      <c r="AX196" s="144">
        <f>IFERROR(_xlfn.XLOOKUP($B196,'Cronog. e Histog.'!$BZ:$BZ,'Cronog. e Histog.'!DS:DS),"")</f>
        <v>0</v>
      </c>
      <c r="AY196" s="144">
        <f>IFERROR(_xlfn.XLOOKUP($B196,'Cronog. e Histog.'!$BZ:$BZ,'Cronog. e Histog.'!DT:DT),"")</f>
        <v>0</v>
      </c>
      <c r="AZ196" s="144">
        <f>IFERROR(_xlfn.XLOOKUP($B196,'Cronog. e Histog.'!$BZ:$BZ,'Cronog. e Histog.'!DU:DU),"")</f>
        <v>0</v>
      </c>
      <c r="BA196" s="144">
        <f>IFERROR(_xlfn.XLOOKUP($B196,'Cronog. e Histog.'!$BZ:$BZ,'Cronog. e Histog.'!DV:DV),"")</f>
        <v>0</v>
      </c>
      <c r="BB196" s="144">
        <f>IFERROR(_xlfn.XLOOKUP($B196,'Cronog. e Histog.'!$BZ:$BZ,'Cronog. e Histog.'!DW:DW),"")</f>
        <v>0</v>
      </c>
      <c r="BC196" s="144">
        <f>IFERROR(_xlfn.XLOOKUP($B196,'Cronog. e Histog.'!$BZ:$BZ,'Cronog. e Histog.'!DX:DX),"")</f>
        <v>0</v>
      </c>
      <c r="BD196" s="144">
        <f>IFERROR(_xlfn.XLOOKUP($B196,'Cronog. e Histog.'!$BZ:$BZ,'Cronog. e Histog.'!DY:DY),"")</f>
        <v>0</v>
      </c>
      <c r="BE196" s="144">
        <f>IFERROR(_xlfn.XLOOKUP($B196,'Cronog. e Histog.'!$BZ:$BZ,'Cronog. e Histog.'!DZ:DZ),"")</f>
        <v>0</v>
      </c>
      <c r="BF196" s="144">
        <f>IFERROR(_xlfn.XLOOKUP($B196,'Cronog. e Histog.'!$BZ:$BZ,'Cronog. e Histog.'!EA:EA),"")</f>
        <v>0</v>
      </c>
      <c r="BG196" s="144">
        <f>IFERROR(_xlfn.XLOOKUP($B196,'Cronog. e Histog.'!$BZ:$BZ,'Cronog. e Histog.'!EB:EB),"")</f>
        <v>0</v>
      </c>
      <c r="BH196" s="144">
        <f>IFERROR(_xlfn.XLOOKUP($B196,'Cronog. e Histog.'!$BZ:$BZ,'Cronog. e Histog.'!EC:EC),"")</f>
        <v>0</v>
      </c>
      <c r="BI196" s="144">
        <f>IFERROR(_xlfn.XLOOKUP($B196,'Cronog. e Histog.'!$BZ:$BZ,'Cronog. e Histog.'!ED:ED),"")</f>
        <v>0</v>
      </c>
      <c r="BJ196" s="144">
        <f>IFERROR(_xlfn.XLOOKUP($B196,'Cronog. e Histog.'!$BZ:$BZ,'Cronog. e Histog.'!EE:EE),"")</f>
        <v>0</v>
      </c>
      <c r="BK196" s="144">
        <f>IFERROR(_xlfn.XLOOKUP($B196,'Cronog. e Histog.'!$BZ:$BZ,'Cronog. e Histog.'!EF:EF),"")</f>
        <v>0</v>
      </c>
      <c r="BL196" s="144">
        <f>IFERROR(_xlfn.XLOOKUP($B196,'Cronog. e Histog.'!$BZ:$BZ,'Cronog. e Histog.'!EG:EG),"")</f>
        <v>0</v>
      </c>
      <c r="BM196" s="144">
        <f>IFERROR(_xlfn.XLOOKUP($B196,'Cronog. e Histog.'!$BZ:$BZ,'Cronog. e Histog.'!EH:EH),"")</f>
        <v>0</v>
      </c>
      <c r="BN196" s="144">
        <f>IFERROR(_xlfn.XLOOKUP($B196,'Cronog. e Histog.'!$BZ:$BZ,'Cronog. e Histog.'!EI:EI),"")</f>
        <v>0</v>
      </c>
    </row>
    <row r="197" spans="2:66" ht="12" hidden="1" customHeight="1" outlineLevel="1">
      <c r="B197" s="76">
        <v>191</v>
      </c>
      <c r="C197" s="143" t="str">
        <f>IFERROR(VLOOKUP(B197,'Cronog. e Histog.'!$BZ$213:$CA$747,2,0),"")</f>
        <v>AN PL. ADM/CRP</v>
      </c>
      <c r="D197" s="144">
        <f t="shared" si="4"/>
        <v>0</v>
      </c>
      <c r="E197" s="144">
        <f t="shared" si="5"/>
        <v>0</v>
      </c>
      <c r="F197" s="65"/>
      <c r="G197" s="144">
        <f>IFERROR(_xlfn.XLOOKUP($B197,'Cronog. e Histog.'!$BZ:$BZ,'Cronog. e Histog.'!CB:CB),"")</f>
        <v>0</v>
      </c>
      <c r="H197" s="144">
        <f>IFERROR(_xlfn.XLOOKUP($B197,'Cronog. e Histog.'!$BZ:$BZ,'Cronog. e Histog.'!CC:CC),"")</f>
        <v>0</v>
      </c>
      <c r="I197" s="144">
        <f>IFERROR(_xlfn.XLOOKUP($B197,'Cronog. e Histog.'!$BZ:$BZ,'Cronog. e Histog.'!CD:CD),"")</f>
        <v>0</v>
      </c>
      <c r="J197" s="144">
        <f>IFERROR(_xlfn.XLOOKUP($B197,'Cronog. e Histog.'!$BZ:$BZ,'Cronog. e Histog.'!CE:CE),"")</f>
        <v>0</v>
      </c>
      <c r="K197" s="144">
        <f>IFERROR(_xlfn.XLOOKUP($B197,'Cronog. e Histog.'!$BZ:$BZ,'Cronog. e Histog.'!CF:CF),"")</f>
        <v>0</v>
      </c>
      <c r="L197" s="144">
        <f>IFERROR(_xlfn.XLOOKUP($B197,'Cronog. e Histog.'!$BZ:$BZ,'Cronog. e Histog.'!CG:CG),"")</f>
        <v>0</v>
      </c>
      <c r="M197" s="144">
        <f>IFERROR(_xlfn.XLOOKUP($B197,'Cronog. e Histog.'!$BZ:$BZ,'Cronog. e Histog.'!CH:CH),"")</f>
        <v>0</v>
      </c>
      <c r="N197" s="144">
        <f>IFERROR(_xlfn.XLOOKUP($B197,'Cronog. e Histog.'!$BZ:$BZ,'Cronog. e Histog.'!CI:CI),"")</f>
        <v>0</v>
      </c>
      <c r="O197" s="144">
        <f>IFERROR(_xlfn.XLOOKUP($B197,'Cronog. e Histog.'!$BZ:$BZ,'Cronog. e Histog.'!CJ:CJ),"")</f>
        <v>0</v>
      </c>
      <c r="P197" s="144">
        <f>IFERROR(_xlfn.XLOOKUP($B197,'Cronog. e Histog.'!$BZ:$BZ,'Cronog. e Histog.'!CK:CK),"")</f>
        <v>0</v>
      </c>
      <c r="Q197" s="144">
        <f>IFERROR(_xlfn.XLOOKUP($B197,'Cronog. e Histog.'!$BZ:$BZ,'Cronog. e Histog.'!CL:CL),"")</f>
        <v>0</v>
      </c>
      <c r="R197" s="144">
        <f>IFERROR(_xlfn.XLOOKUP($B197,'Cronog. e Histog.'!$BZ:$BZ,'Cronog. e Histog.'!CM:CM),"")</f>
        <v>0</v>
      </c>
      <c r="S197" s="144">
        <f>IFERROR(_xlfn.XLOOKUP($B197,'Cronog. e Histog.'!$BZ:$BZ,'Cronog. e Histog.'!CN:CN),"")</f>
        <v>0</v>
      </c>
      <c r="T197" s="144">
        <f>IFERROR(_xlfn.XLOOKUP($B197,'Cronog. e Histog.'!$BZ:$BZ,'Cronog. e Histog.'!CO:CO),"")</f>
        <v>0</v>
      </c>
      <c r="U197" s="144">
        <f>IFERROR(_xlfn.XLOOKUP($B197,'Cronog. e Histog.'!$BZ:$BZ,'Cronog. e Histog.'!CP:CP),"")</f>
        <v>0</v>
      </c>
      <c r="V197" s="144">
        <f>IFERROR(_xlfn.XLOOKUP($B197,'Cronog. e Histog.'!$BZ:$BZ,'Cronog. e Histog.'!CQ:CQ),"")</f>
        <v>0</v>
      </c>
      <c r="W197" s="144">
        <f>IFERROR(_xlfn.XLOOKUP($B197,'Cronog. e Histog.'!$BZ:$BZ,'Cronog. e Histog.'!CR:CR),"")</f>
        <v>0</v>
      </c>
      <c r="X197" s="144">
        <f>IFERROR(_xlfn.XLOOKUP($B197,'Cronog. e Histog.'!$BZ:$BZ,'Cronog. e Histog.'!CS:CS),"")</f>
        <v>0</v>
      </c>
      <c r="Y197" s="144">
        <f>IFERROR(_xlfn.XLOOKUP($B197,'Cronog. e Histog.'!$BZ:$BZ,'Cronog. e Histog.'!CT:CT),"")</f>
        <v>0</v>
      </c>
      <c r="Z197" s="144">
        <f>IFERROR(_xlfn.XLOOKUP($B197,'Cronog. e Histog.'!$BZ:$BZ,'Cronog. e Histog.'!CU:CU),"")</f>
        <v>0</v>
      </c>
      <c r="AA197" s="144">
        <f>IFERROR(_xlfn.XLOOKUP($B197,'Cronog. e Histog.'!$BZ:$BZ,'Cronog. e Histog.'!CV:CV),"")</f>
        <v>0</v>
      </c>
      <c r="AB197" s="144">
        <f>IFERROR(_xlfn.XLOOKUP($B197,'Cronog. e Histog.'!$BZ:$BZ,'Cronog. e Histog.'!CW:CW),"")</f>
        <v>0</v>
      </c>
      <c r="AC197" s="144">
        <f>IFERROR(_xlfn.XLOOKUP($B197,'Cronog. e Histog.'!$BZ:$BZ,'Cronog. e Histog.'!CX:CX),"")</f>
        <v>0</v>
      </c>
      <c r="AD197" s="144">
        <f>IFERROR(_xlfn.XLOOKUP($B197,'Cronog. e Histog.'!$BZ:$BZ,'Cronog. e Histog.'!CY:CY),"")</f>
        <v>0</v>
      </c>
      <c r="AE197" s="144">
        <f>IFERROR(_xlfn.XLOOKUP($B197,'Cronog. e Histog.'!$BZ:$BZ,'Cronog. e Histog.'!CZ:CZ),"")</f>
        <v>0</v>
      </c>
      <c r="AF197" s="144">
        <f>IFERROR(_xlfn.XLOOKUP($B197,'Cronog. e Histog.'!$BZ:$BZ,'Cronog. e Histog.'!DA:DA),"")</f>
        <v>0</v>
      </c>
      <c r="AG197" s="144">
        <f>IFERROR(_xlfn.XLOOKUP($B197,'Cronog. e Histog.'!$BZ:$BZ,'Cronog. e Histog.'!DB:DB),"")</f>
        <v>0</v>
      </c>
      <c r="AH197" s="144">
        <f>IFERROR(_xlfn.XLOOKUP($B197,'Cronog. e Histog.'!$BZ:$BZ,'Cronog. e Histog.'!DC:DC),"")</f>
        <v>0</v>
      </c>
      <c r="AI197" s="144">
        <f>IFERROR(_xlfn.XLOOKUP($B197,'Cronog. e Histog.'!$BZ:$BZ,'Cronog. e Histog.'!DD:DD),"")</f>
        <v>0</v>
      </c>
      <c r="AJ197" s="144">
        <f>IFERROR(_xlfn.XLOOKUP($B197,'Cronog. e Histog.'!$BZ:$BZ,'Cronog. e Histog.'!DE:DE),"")</f>
        <v>0</v>
      </c>
      <c r="AK197" s="144">
        <f>IFERROR(_xlfn.XLOOKUP($B197,'Cronog. e Histog.'!$BZ:$BZ,'Cronog. e Histog.'!DF:DF),"")</f>
        <v>0</v>
      </c>
      <c r="AL197" s="144">
        <f>IFERROR(_xlfn.XLOOKUP($B197,'Cronog. e Histog.'!$BZ:$BZ,'Cronog. e Histog.'!DG:DG),"")</f>
        <v>0</v>
      </c>
      <c r="AM197" s="144">
        <f>IFERROR(_xlfn.XLOOKUP($B197,'Cronog. e Histog.'!$BZ:$BZ,'Cronog. e Histog.'!DH:DH),"")</f>
        <v>0</v>
      </c>
      <c r="AN197" s="144">
        <f>IFERROR(_xlfn.XLOOKUP($B197,'Cronog. e Histog.'!$BZ:$BZ,'Cronog. e Histog.'!DI:DI),"")</f>
        <v>0</v>
      </c>
      <c r="AO197" s="144">
        <f>IFERROR(_xlfn.XLOOKUP($B197,'Cronog. e Histog.'!$BZ:$BZ,'Cronog. e Histog.'!DJ:DJ),"")</f>
        <v>0</v>
      </c>
      <c r="AP197" s="144">
        <f>IFERROR(_xlfn.XLOOKUP($B197,'Cronog. e Histog.'!$BZ:$BZ,'Cronog. e Histog.'!DK:DK),"")</f>
        <v>0</v>
      </c>
      <c r="AQ197" s="144">
        <f>IFERROR(_xlfn.XLOOKUP($B197,'Cronog. e Histog.'!$BZ:$BZ,'Cronog. e Histog.'!DL:DL),"")</f>
        <v>0</v>
      </c>
      <c r="AR197" s="144">
        <f>IFERROR(_xlfn.XLOOKUP($B197,'Cronog. e Histog.'!$BZ:$BZ,'Cronog. e Histog.'!DM:DM),"")</f>
        <v>0</v>
      </c>
      <c r="AS197" s="144">
        <f>IFERROR(_xlfn.XLOOKUP($B197,'Cronog. e Histog.'!$BZ:$BZ,'Cronog. e Histog.'!DN:DN),"")</f>
        <v>0</v>
      </c>
      <c r="AT197" s="144">
        <f>IFERROR(_xlfn.XLOOKUP($B197,'Cronog. e Histog.'!$BZ:$BZ,'Cronog. e Histog.'!DO:DO),"")</f>
        <v>0</v>
      </c>
      <c r="AU197" s="144">
        <f>IFERROR(_xlfn.XLOOKUP($B197,'Cronog. e Histog.'!$BZ:$BZ,'Cronog. e Histog.'!DP:DP),"")</f>
        <v>0</v>
      </c>
      <c r="AV197" s="144">
        <f>IFERROR(_xlfn.XLOOKUP($B197,'Cronog. e Histog.'!$BZ:$BZ,'Cronog. e Histog.'!DQ:DQ),"")</f>
        <v>0</v>
      </c>
      <c r="AW197" s="144">
        <f>IFERROR(_xlfn.XLOOKUP($B197,'Cronog. e Histog.'!$BZ:$BZ,'Cronog. e Histog.'!DR:DR),"")</f>
        <v>0</v>
      </c>
      <c r="AX197" s="144">
        <f>IFERROR(_xlfn.XLOOKUP($B197,'Cronog. e Histog.'!$BZ:$BZ,'Cronog. e Histog.'!DS:DS),"")</f>
        <v>0</v>
      </c>
      <c r="AY197" s="144">
        <f>IFERROR(_xlfn.XLOOKUP($B197,'Cronog. e Histog.'!$BZ:$BZ,'Cronog. e Histog.'!DT:DT),"")</f>
        <v>0</v>
      </c>
      <c r="AZ197" s="144">
        <f>IFERROR(_xlfn.XLOOKUP($B197,'Cronog. e Histog.'!$BZ:$BZ,'Cronog. e Histog.'!DU:DU),"")</f>
        <v>0</v>
      </c>
      <c r="BA197" s="144">
        <f>IFERROR(_xlfn.XLOOKUP($B197,'Cronog. e Histog.'!$BZ:$BZ,'Cronog. e Histog.'!DV:DV),"")</f>
        <v>0</v>
      </c>
      <c r="BB197" s="144">
        <f>IFERROR(_xlfn.XLOOKUP($B197,'Cronog. e Histog.'!$BZ:$BZ,'Cronog. e Histog.'!DW:DW),"")</f>
        <v>0</v>
      </c>
      <c r="BC197" s="144">
        <f>IFERROR(_xlfn.XLOOKUP($B197,'Cronog. e Histog.'!$BZ:$BZ,'Cronog. e Histog.'!DX:DX),"")</f>
        <v>0</v>
      </c>
      <c r="BD197" s="144">
        <f>IFERROR(_xlfn.XLOOKUP($B197,'Cronog. e Histog.'!$BZ:$BZ,'Cronog. e Histog.'!DY:DY),"")</f>
        <v>0</v>
      </c>
      <c r="BE197" s="144">
        <f>IFERROR(_xlfn.XLOOKUP($B197,'Cronog. e Histog.'!$BZ:$BZ,'Cronog. e Histog.'!DZ:DZ),"")</f>
        <v>0</v>
      </c>
      <c r="BF197" s="144">
        <f>IFERROR(_xlfn.XLOOKUP($B197,'Cronog. e Histog.'!$BZ:$BZ,'Cronog. e Histog.'!EA:EA),"")</f>
        <v>0</v>
      </c>
      <c r="BG197" s="144">
        <f>IFERROR(_xlfn.XLOOKUP($B197,'Cronog. e Histog.'!$BZ:$BZ,'Cronog. e Histog.'!EB:EB),"")</f>
        <v>0</v>
      </c>
      <c r="BH197" s="144">
        <f>IFERROR(_xlfn.XLOOKUP($B197,'Cronog. e Histog.'!$BZ:$BZ,'Cronog. e Histog.'!EC:EC),"")</f>
        <v>0</v>
      </c>
      <c r="BI197" s="144">
        <f>IFERROR(_xlfn.XLOOKUP($B197,'Cronog. e Histog.'!$BZ:$BZ,'Cronog. e Histog.'!ED:ED),"")</f>
        <v>0</v>
      </c>
      <c r="BJ197" s="144">
        <f>IFERROR(_xlfn.XLOOKUP($B197,'Cronog. e Histog.'!$BZ:$BZ,'Cronog. e Histog.'!EE:EE),"")</f>
        <v>0</v>
      </c>
      <c r="BK197" s="144">
        <f>IFERROR(_xlfn.XLOOKUP($B197,'Cronog. e Histog.'!$BZ:$BZ,'Cronog. e Histog.'!EF:EF),"")</f>
        <v>0</v>
      </c>
      <c r="BL197" s="144">
        <f>IFERROR(_xlfn.XLOOKUP($B197,'Cronog. e Histog.'!$BZ:$BZ,'Cronog. e Histog.'!EG:EG),"")</f>
        <v>0</v>
      </c>
      <c r="BM197" s="144">
        <f>IFERROR(_xlfn.XLOOKUP($B197,'Cronog. e Histog.'!$BZ:$BZ,'Cronog. e Histog.'!EH:EH),"")</f>
        <v>0</v>
      </c>
      <c r="BN197" s="144">
        <f>IFERROR(_xlfn.XLOOKUP($B197,'Cronog. e Histog.'!$BZ:$BZ,'Cronog. e Histog.'!EI:EI),"")</f>
        <v>0</v>
      </c>
    </row>
    <row r="198" spans="2:66" ht="12" hidden="1" customHeight="1" outlineLevel="1">
      <c r="B198" s="76">
        <v>192</v>
      </c>
      <c r="C198" s="143" t="str">
        <f>IFERROR(VLOOKUP(B198,'Cronog. e Histog.'!$BZ$213:$CA$747,2,0),"")</f>
        <v>AN JR. ADM/CRP</v>
      </c>
      <c r="D198" s="144">
        <f t="shared" si="4"/>
        <v>0</v>
      </c>
      <c r="E198" s="144">
        <f t="shared" si="5"/>
        <v>0</v>
      </c>
      <c r="F198" s="65"/>
      <c r="G198" s="144">
        <f>IFERROR(_xlfn.XLOOKUP($B198,'Cronog. e Histog.'!$BZ:$BZ,'Cronog. e Histog.'!CB:CB),"")</f>
        <v>0</v>
      </c>
      <c r="H198" s="144">
        <f>IFERROR(_xlfn.XLOOKUP($B198,'Cronog. e Histog.'!$BZ:$BZ,'Cronog. e Histog.'!CC:CC),"")</f>
        <v>0</v>
      </c>
      <c r="I198" s="144">
        <f>IFERROR(_xlfn.XLOOKUP($B198,'Cronog. e Histog.'!$BZ:$BZ,'Cronog. e Histog.'!CD:CD),"")</f>
        <v>0</v>
      </c>
      <c r="J198" s="144">
        <f>IFERROR(_xlfn.XLOOKUP($B198,'Cronog. e Histog.'!$BZ:$BZ,'Cronog. e Histog.'!CE:CE),"")</f>
        <v>0</v>
      </c>
      <c r="K198" s="144">
        <f>IFERROR(_xlfn.XLOOKUP($B198,'Cronog. e Histog.'!$BZ:$BZ,'Cronog. e Histog.'!CF:CF),"")</f>
        <v>0</v>
      </c>
      <c r="L198" s="144">
        <f>IFERROR(_xlfn.XLOOKUP($B198,'Cronog. e Histog.'!$BZ:$BZ,'Cronog. e Histog.'!CG:CG),"")</f>
        <v>0</v>
      </c>
      <c r="M198" s="144">
        <f>IFERROR(_xlfn.XLOOKUP($B198,'Cronog. e Histog.'!$BZ:$BZ,'Cronog. e Histog.'!CH:CH),"")</f>
        <v>0</v>
      </c>
      <c r="N198" s="144">
        <f>IFERROR(_xlfn.XLOOKUP($B198,'Cronog. e Histog.'!$BZ:$BZ,'Cronog. e Histog.'!CI:CI),"")</f>
        <v>0</v>
      </c>
      <c r="O198" s="144">
        <f>IFERROR(_xlfn.XLOOKUP($B198,'Cronog. e Histog.'!$BZ:$BZ,'Cronog. e Histog.'!CJ:CJ),"")</f>
        <v>0</v>
      </c>
      <c r="P198" s="144">
        <f>IFERROR(_xlfn.XLOOKUP($B198,'Cronog. e Histog.'!$BZ:$BZ,'Cronog. e Histog.'!CK:CK),"")</f>
        <v>0</v>
      </c>
      <c r="Q198" s="144">
        <f>IFERROR(_xlfn.XLOOKUP($B198,'Cronog. e Histog.'!$BZ:$BZ,'Cronog. e Histog.'!CL:CL),"")</f>
        <v>0</v>
      </c>
      <c r="R198" s="144">
        <f>IFERROR(_xlfn.XLOOKUP($B198,'Cronog. e Histog.'!$BZ:$BZ,'Cronog. e Histog.'!CM:CM),"")</f>
        <v>0</v>
      </c>
      <c r="S198" s="144">
        <f>IFERROR(_xlfn.XLOOKUP($B198,'Cronog. e Histog.'!$BZ:$BZ,'Cronog. e Histog.'!CN:CN),"")</f>
        <v>0</v>
      </c>
      <c r="T198" s="144">
        <f>IFERROR(_xlfn.XLOOKUP($B198,'Cronog. e Histog.'!$BZ:$BZ,'Cronog. e Histog.'!CO:CO),"")</f>
        <v>0</v>
      </c>
      <c r="U198" s="144">
        <f>IFERROR(_xlfn.XLOOKUP($B198,'Cronog. e Histog.'!$BZ:$BZ,'Cronog. e Histog.'!CP:CP),"")</f>
        <v>0</v>
      </c>
      <c r="V198" s="144">
        <f>IFERROR(_xlfn.XLOOKUP($B198,'Cronog. e Histog.'!$BZ:$BZ,'Cronog. e Histog.'!CQ:CQ),"")</f>
        <v>0</v>
      </c>
      <c r="W198" s="144">
        <f>IFERROR(_xlfn.XLOOKUP($B198,'Cronog. e Histog.'!$BZ:$BZ,'Cronog. e Histog.'!CR:CR),"")</f>
        <v>0</v>
      </c>
      <c r="X198" s="144">
        <f>IFERROR(_xlfn.XLOOKUP($B198,'Cronog. e Histog.'!$BZ:$BZ,'Cronog. e Histog.'!CS:CS),"")</f>
        <v>0</v>
      </c>
      <c r="Y198" s="144">
        <f>IFERROR(_xlfn.XLOOKUP($B198,'Cronog. e Histog.'!$BZ:$BZ,'Cronog. e Histog.'!CT:CT),"")</f>
        <v>0</v>
      </c>
      <c r="Z198" s="144">
        <f>IFERROR(_xlfn.XLOOKUP($B198,'Cronog. e Histog.'!$BZ:$BZ,'Cronog. e Histog.'!CU:CU),"")</f>
        <v>0</v>
      </c>
      <c r="AA198" s="144">
        <f>IFERROR(_xlfn.XLOOKUP($B198,'Cronog. e Histog.'!$BZ:$BZ,'Cronog. e Histog.'!CV:CV),"")</f>
        <v>0</v>
      </c>
      <c r="AB198" s="144">
        <f>IFERROR(_xlfn.XLOOKUP($B198,'Cronog. e Histog.'!$BZ:$BZ,'Cronog. e Histog.'!CW:CW),"")</f>
        <v>0</v>
      </c>
      <c r="AC198" s="144">
        <f>IFERROR(_xlfn.XLOOKUP($B198,'Cronog. e Histog.'!$BZ:$BZ,'Cronog. e Histog.'!CX:CX),"")</f>
        <v>0</v>
      </c>
      <c r="AD198" s="144">
        <f>IFERROR(_xlfn.XLOOKUP($B198,'Cronog. e Histog.'!$BZ:$BZ,'Cronog. e Histog.'!CY:CY),"")</f>
        <v>0</v>
      </c>
      <c r="AE198" s="144">
        <f>IFERROR(_xlfn.XLOOKUP($B198,'Cronog. e Histog.'!$BZ:$BZ,'Cronog. e Histog.'!CZ:CZ),"")</f>
        <v>0</v>
      </c>
      <c r="AF198" s="144">
        <f>IFERROR(_xlfn.XLOOKUP($B198,'Cronog. e Histog.'!$BZ:$BZ,'Cronog. e Histog.'!DA:DA),"")</f>
        <v>0</v>
      </c>
      <c r="AG198" s="144">
        <f>IFERROR(_xlfn.XLOOKUP($B198,'Cronog. e Histog.'!$BZ:$BZ,'Cronog. e Histog.'!DB:DB),"")</f>
        <v>0</v>
      </c>
      <c r="AH198" s="144">
        <f>IFERROR(_xlfn.XLOOKUP($B198,'Cronog. e Histog.'!$BZ:$BZ,'Cronog. e Histog.'!DC:DC),"")</f>
        <v>0</v>
      </c>
      <c r="AI198" s="144">
        <f>IFERROR(_xlfn.XLOOKUP($B198,'Cronog. e Histog.'!$BZ:$BZ,'Cronog. e Histog.'!DD:DD),"")</f>
        <v>0</v>
      </c>
      <c r="AJ198" s="144">
        <f>IFERROR(_xlfn.XLOOKUP($B198,'Cronog. e Histog.'!$BZ:$BZ,'Cronog. e Histog.'!DE:DE),"")</f>
        <v>0</v>
      </c>
      <c r="AK198" s="144">
        <f>IFERROR(_xlfn.XLOOKUP($B198,'Cronog. e Histog.'!$BZ:$BZ,'Cronog. e Histog.'!DF:DF),"")</f>
        <v>0</v>
      </c>
      <c r="AL198" s="144">
        <f>IFERROR(_xlfn.XLOOKUP($B198,'Cronog. e Histog.'!$BZ:$BZ,'Cronog. e Histog.'!DG:DG),"")</f>
        <v>0</v>
      </c>
      <c r="AM198" s="144">
        <f>IFERROR(_xlfn.XLOOKUP($B198,'Cronog. e Histog.'!$BZ:$BZ,'Cronog. e Histog.'!DH:DH),"")</f>
        <v>0</v>
      </c>
      <c r="AN198" s="144">
        <f>IFERROR(_xlfn.XLOOKUP($B198,'Cronog. e Histog.'!$BZ:$BZ,'Cronog. e Histog.'!DI:DI),"")</f>
        <v>0</v>
      </c>
      <c r="AO198" s="144">
        <f>IFERROR(_xlfn.XLOOKUP($B198,'Cronog. e Histog.'!$BZ:$BZ,'Cronog. e Histog.'!DJ:DJ),"")</f>
        <v>0</v>
      </c>
      <c r="AP198" s="144">
        <f>IFERROR(_xlfn.XLOOKUP($B198,'Cronog. e Histog.'!$BZ:$BZ,'Cronog. e Histog.'!DK:DK),"")</f>
        <v>0</v>
      </c>
      <c r="AQ198" s="144">
        <f>IFERROR(_xlfn.XLOOKUP($B198,'Cronog. e Histog.'!$BZ:$BZ,'Cronog. e Histog.'!DL:DL),"")</f>
        <v>0</v>
      </c>
      <c r="AR198" s="144">
        <f>IFERROR(_xlfn.XLOOKUP($B198,'Cronog. e Histog.'!$BZ:$BZ,'Cronog. e Histog.'!DM:DM),"")</f>
        <v>0</v>
      </c>
      <c r="AS198" s="144">
        <f>IFERROR(_xlfn.XLOOKUP($B198,'Cronog. e Histog.'!$BZ:$BZ,'Cronog. e Histog.'!DN:DN),"")</f>
        <v>0</v>
      </c>
      <c r="AT198" s="144">
        <f>IFERROR(_xlfn.XLOOKUP($B198,'Cronog. e Histog.'!$BZ:$BZ,'Cronog. e Histog.'!DO:DO),"")</f>
        <v>0</v>
      </c>
      <c r="AU198" s="144">
        <f>IFERROR(_xlfn.XLOOKUP($B198,'Cronog. e Histog.'!$BZ:$BZ,'Cronog. e Histog.'!DP:DP),"")</f>
        <v>0</v>
      </c>
      <c r="AV198" s="144">
        <f>IFERROR(_xlfn.XLOOKUP($B198,'Cronog. e Histog.'!$BZ:$BZ,'Cronog. e Histog.'!DQ:DQ),"")</f>
        <v>0</v>
      </c>
      <c r="AW198" s="144">
        <f>IFERROR(_xlfn.XLOOKUP($B198,'Cronog. e Histog.'!$BZ:$BZ,'Cronog. e Histog.'!DR:DR),"")</f>
        <v>0</v>
      </c>
      <c r="AX198" s="144">
        <f>IFERROR(_xlfn.XLOOKUP($B198,'Cronog. e Histog.'!$BZ:$BZ,'Cronog. e Histog.'!DS:DS),"")</f>
        <v>0</v>
      </c>
      <c r="AY198" s="144">
        <f>IFERROR(_xlfn.XLOOKUP($B198,'Cronog. e Histog.'!$BZ:$BZ,'Cronog. e Histog.'!DT:DT),"")</f>
        <v>0</v>
      </c>
      <c r="AZ198" s="144">
        <f>IFERROR(_xlfn.XLOOKUP($B198,'Cronog. e Histog.'!$BZ:$BZ,'Cronog. e Histog.'!DU:DU),"")</f>
        <v>0</v>
      </c>
      <c r="BA198" s="144">
        <f>IFERROR(_xlfn.XLOOKUP($B198,'Cronog. e Histog.'!$BZ:$BZ,'Cronog. e Histog.'!DV:DV),"")</f>
        <v>0</v>
      </c>
      <c r="BB198" s="144">
        <f>IFERROR(_xlfn.XLOOKUP($B198,'Cronog. e Histog.'!$BZ:$BZ,'Cronog. e Histog.'!DW:DW),"")</f>
        <v>0</v>
      </c>
      <c r="BC198" s="144">
        <f>IFERROR(_xlfn.XLOOKUP($B198,'Cronog. e Histog.'!$BZ:$BZ,'Cronog. e Histog.'!DX:DX),"")</f>
        <v>0</v>
      </c>
      <c r="BD198" s="144">
        <f>IFERROR(_xlfn.XLOOKUP($B198,'Cronog. e Histog.'!$BZ:$BZ,'Cronog. e Histog.'!DY:DY),"")</f>
        <v>0</v>
      </c>
      <c r="BE198" s="144">
        <f>IFERROR(_xlfn.XLOOKUP($B198,'Cronog. e Histog.'!$BZ:$BZ,'Cronog. e Histog.'!DZ:DZ),"")</f>
        <v>0</v>
      </c>
      <c r="BF198" s="144">
        <f>IFERROR(_xlfn.XLOOKUP($B198,'Cronog. e Histog.'!$BZ:$BZ,'Cronog. e Histog.'!EA:EA),"")</f>
        <v>0</v>
      </c>
      <c r="BG198" s="144">
        <f>IFERROR(_xlfn.XLOOKUP($B198,'Cronog. e Histog.'!$BZ:$BZ,'Cronog. e Histog.'!EB:EB),"")</f>
        <v>0</v>
      </c>
      <c r="BH198" s="144">
        <f>IFERROR(_xlfn.XLOOKUP($B198,'Cronog. e Histog.'!$BZ:$BZ,'Cronog. e Histog.'!EC:EC),"")</f>
        <v>0</v>
      </c>
      <c r="BI198" s="144">
        <f>IFERROR(_xlfn.XLOOKUP($B198,'Cronog. e Histog.'!$BZ:$BZ,'Cronog. e Histog.'!ED:ED),"")</f>
        <v>0</v>
      </c>
      <c r="BJ198" s="144">
        <f>IFERROR(_xlfn.XLOOKUP($B198,'Cronog. e Histog.'!$BZ:$BZ,'Cronog. e Histog.'!EE:EE),"")</f>
        <v>0</v>
      </c>
      <c r="BK198" s="144">
        <f>IFERROR(_xlfn.XLOOKUP($B198,'Cronog. e Histog.'!$BZ:$BZ,'Cronog. e Histog.'!EF:EF),"")</f>
        <v>0</v>
      </c>
      <c r="BL198" s="144">
        <f>IFERROR(_xlfn.XLOOKUP($B198,'Cronog. e Histog.'!$BZ:$BZ,'Cronog. e Histog.'!EG:EG),"")</f>
        <v>0</v>
      </c>
      <c r="BM198" s="144">
        <f>IFERROR(_xlfn.XLOOKUP($B198,'Cronog. e Histog.'!$BZ:$BZ,'Cronog. e Histog.'!EH:EH),"")</f>
        <v>0</v>
      </c>
      <c r="BN198" s="144">
        <f>IFERROR(_xlfn.XLOOKUP($B198,'Cronog. e Histog.'!$BZ:$BZ,'Cronog. e Histog.'!EI:EI),"")</f>
        <v>0</v>
      </c>
    </row>
    <row r="199" spans="2:66" ht="12" hidden="1" customHeight="1" outlineLevel="1">
      <c r="B199" s="76">
        <v>193</v>
      </c>
      <c r="C199" s="143" t="str">
        <f>IFERROR(VLOOKUP(B199,'Cronog. e Histog.'!$BZ$213:$CA$747,2,0),"")</f>
        <v>TEC III</v>
      </c>
      <c r="D199" s="144">
        <f t="shared" ref="D199:D456" si="6">IFERROR(ROUNDUP(SUM(G199:BN199)/COUNTIF(G199:BN199,"&gt;0"),0),0)</f>
        <v>0</v>
      </c>
      <c r="E199" s="144">
        <f t="shared" ref="E199:E456" si="7">COUNTIF(G199:BN199,"&gt;0")</f>
        <v>0</v>
      </c>
      <c r="F199" s="65"/>
      <c r="G199" s="144">
        <f>IFERROR(_xlfn.XLOOKUP($B199,'Cronog. e Histog.'!$BZ:$BZ,'Cronog. e Histog.'!CB:CB),"")</f>
        <v>0</v>
      </c>
      <c r="H199" s="144">
        <f>IFERROR(_xlfn.XLOOKUP($B199,'Cronog. e Histog.'!$BZ:$BZ,'Cronog. e Histog.'!CC:CC),"")</f>
        <v>0</v>
      </c>
      <c r="I199" s="144">
        <f>IFERROR(_xlfn.XLOOKUP($B199,'Cronog. e Histog.'!$BZ:$BZ,'Cronog. e Histog.'!CD:CD),"")</f>
        <v>0</v>
      </c>
      <c r="J199" s="144">
        <f>IFERROR(_xlfn.XLOOKUP($B199,'Cronog. e Histog.'!$BZ:$BZ,'Cronog. e Histog.'!CE:CE),"")</f>
        <v>0</v>
      </c>
      <c r="K199" s="144">
        <f>IFERROR(_xlfn.XLOOKUP($B199,'Cronog. e Histog.'!$BZ:$BZ,'Cronog. e Histog.'!CF:CF),"")</f>
        <v>0</v>
      </c>
      <c r="L199" s="144">
        <f>IFERROR(_xlfn.XLOOKUP($B199,'Cronog. e Histog.'!$BZ:$BZ,'Cronog. e Histog.'!CG:CG),"")</f>
        <v>0</v>
      </c>
      <c r="M199" s="144">
        <f>IFERROR(_xlfn.XLOOKUP($B199,'Cronog. e Histog.'!$BZ:$BZ,'Cronog. e Histog.'!CH:CH),"")</f>
        <v>0</v>
      </c>
      <c r="N199" s="144">
        <f>IFERROR(_xlfn.XLOOKUP($B199,'Cronog. e Histog.'!$BZ:$BZ,'Cronog. e Histog.'!CI:CI),"")</f>
        <v>0</v>
      </c>
      <c r="O199" s="144">
        <f>IFERROR(_xlfn.XLOOKUP($B199,'Cronog. e Histog.'!$BZ:$BZ,'Cronog. e Histog.'!CJ:CJ),"")</f>
        <v>0</v>
      </c>
      <c r="P199" s="144">
        <f>IFERROR(_xlfn.XLOOKUP($B199,'Cronog. e Histog.'!$BZ:$BZ,'Cronog. e Histog.'!CK:CK),"")</f>
        <v>0</v>
      </c>
      <c r="Q199" s="144">
        <f>IFERROR(_xlfn.XLOOKUP($B199,'Cronog. e Histog.'!$BZ:$BZ,'Cronog. e Histog.'!CL:CL),"")</f>
        <v>0</v>
      </c>
      <c r="R199" s="144">
        <f>IFERROR(_xlfn.XLOOKUP($B199,'Cronog. e Histog.'!$BZ:$BZ,'Cronog. e Histog.'!CM:CM),"")</f>
        <v>0</v>
      </c>
      <c r="S199" s="144">
        <f>IFERROR(_xlfn.XLOOKUP($B199,'Cronog. e Histog.'!$BZ:$BZ,'Cronog. e Histog.'!CN:CN),"")</f>
        <v>0</v>
      </c>
      <c r="T199" s="144">
        <f>IFERROR(_xlfn.XLOOKUP($B199,'Cronog. e Histog.'!$BZ:$BZ,'Cronog. e Histog.'!CO:CO),"")</f>
        <v>0</v>
      </c>
      <c r="U199" s="144">
        <f>IFERROR(_xlfn.XLOOKUP($B199,'Cronog. e Histog.'!$BZ:$BZ,'Cronog. e Histog.'!CP:CP),"")</f>
        <v>0</v>
      </c>
      <c r="V199" s="144">
        <f>IFERROR(_xlfn.XLOOKUP($B199,'Cronog. e Histog.'!$BZ:$BZ,'Cronog. e Histog.'!CQ:CQ),"")</f>
        <v>0</v>
      </c>
      <c r="W199" s="144">
        <f>IFERROR(_xlfn.XLOOKUP($B199,'Cronog. e Histog.'!$BZ:$BZ,'Cronog. e Histog.'!CR:CR),"")</f>
        <v>0</v>
      </c>
      <c r="X199" s="144">
        <f>IFERROR(_xlfn.XLOOKUP($B199,'Cronog. e Histog.'!$BZ:$BZ,'Cronog. e Histog.'!CS:CS),"")</f>
        <v>0</v>
      </c>
      <c r="Y199" s="144">
        <f>IFERROR(_xlfn.XLOOKUP($B199,'Cronog. e Histog.'!$BZ:$BZ,'Cronog. e Histog.'!CT:CT),"")</f>
        <v>0</v>
      </c>
      <c r="Z199" s="144">
        <f>IFERROR(_xlfn.XLOOKUP($B199,'Cronog. e Histog.'!$BZ:$BZ,'Cronog. e Histog.'!CU:CU),"")</f>
        <v>0</v>
      </c>
      <c r="AA199" s="144">
        <f>IFERROR(_xlfn.XLOOKUP($B199,'Cronog. e Histog.'!$BZ:$BZ,'Cronog. e Histog.'!CV:CV),"")</f>
        <v>0</v>
      </c>
      <c r="AB199" s="144">
        <f>IFERROR(_xlfn.XLOOKUP($B199,'Cronog. e Histog.'!$BZ:$BZ,'Cronog. e Histog.'!CW:CW),"")</f>
        <v>0</v>
      </c>
      <c r="AC199" s="144">
        <f>IFERROR(_xlfn.XLOOKUP($B199,'Cronog. e Histog.'!$BZ:$BZ,'Cronog. e Histog.'!CX:CX),"")</f>
        <v>0</v>
      </c>
      <c r="AD199" s="144">
        <f>IFERROR(_xlfn.XLOOKUP($B199,'Cronog. e Histog.'!$BZ:$BZ,'Cronog. e Histog.'!CY:CY),"")</f>
        <v>0</v>
      </c>
      <c r="AE199" s="144">
        <f>IFERROR(_xlfn.XLOOKUP($B199,'Cronog. e Histog.'!$BZ:$BZ,'Cronog. e Histog.'!CZ:CZ),"")</f>
        <v>0</v>
      </c>
      <c r="AF199" s="144">
        <f>IFERROR(_xlfn.XLOOKUP($B199,'Cronog. e Histog.'!$BZ:$BZ,'Cronog. e Histog.'!DA:DA),"")</f>
        <v>0</v>
      </c>
      <c r="AG199" s="144">
        <f>IFERROR(_xlfn.XLOOKUP($B199,'Cronog. e Histog.'!$BZ:$BZ,'Cronog. e Histog.'!DB:DB),"")</f>
        <v>0</v>
      </c>
      <c r="AH199" s="144">
        <f>IFERROR(_xlfn.XLOOKUP($B199,'Cronog. e Histog.'!$BZ:$BZ,'Cronog. e Histog.'!DC:DC),"")</f>
        <v>0</v>
      </c>
      <c r="AI199" s="144">
        <f>IFERROR(_xlfn.XLOOKUP($B199,'Cronog. e Histog.'!$BZ:$BZ,'Cronog. e Histog.'!DD:DD),"")</f>
        <v>0</v>
      </c>
      <c r="AJ199" s="144">
        <f>IFERROR(_xlfn.XLOOKUP($B199,'Cronog. e Histog.'!$BZ:$BZ,'Cronog. e Histog.'!DE:DE),"")</f>
        <v>0</v>
      </c>
      <c r="AK199" s="144">
        <f>IFERROR(_xlfn.XLOOKUP($B199,'Cronog. e Histog.'!$BZ:$BZ,'Cronog. e Histog.'!DF:DF),"")</f>
        <v>0</v>
      </c>
      <c r="AL199" s="144">
        <f>IFERROR(_xlfn.XLOOKUP($B199,'Cronog. e Histog.'!$BZ:$BZ,'Cronog. e Histog.'!DG:DG),"")</f>
        <v>0</v>
      </c>
      <c r="AM199" s="144">
        <f>IFERROR(_xlfn.XLOOKUP($B199,'Cronog. e Histog.'!$BZ:$BZ,'Cronog. e Histog.'!DH:DH),"")</f>
        <v>0</v>
      </c>
      <c r="AN199" s="144">
        <f>IFERROR(_xlfn.XLOOKUP($B199,'Cronog. e Histog.'!$BZ:$BZ,'Cronog. e Histog.'!DI:DI),"")</f>
        <v>0</v>
      </c>
      <c r="AO199" s="144">
        <f>IFERROR(_xlfn.XLOOKUP($B199,'Cronog. e Histog.'!$BZ:$BZ,'Cronog. e Histog.'!DJ:DJ),"")</f>
        <v>0</v>
      </c>
      <c r="AP199" s="144">
        <f>IFERROR(_xlfn.XLOOKUP($B199,'Cronog. e Histog.'!$BZ:$BZ,'Cronog. e Histog.'!DK:DK),"")</f>
        <v>0</v>
      </c>
      <c r="AQ199" s="144">
        <f>IFERROR(_xlfn.XLOOKUP($B199,'Cronog. e Histog.'!$BZ:$BZ,'Cronog. e Histog.'!DL:DL),"")</f>
        <v>0</v>
      </c>
      <c r="AR199" s="144">
        <f>IFERROR(_xlfn.XLOOKUP($B199,'Cronog. e Histog.'!$BZ:$BZ,'Cronog. e Histog.'!DM:DM),"")</f>
        <v>0</v>
      </c>
      <c r="AS199" s="144">
        <f>IFERROR(_xlfn.XLOOKUP($B199,'Cronog. e Histog.'!$BZ:$BZ,'Cronog. e Histog.'!DN:DN),"")</f>
        <v>0</v>
      </c>
      <c r="AT199" s="144">
        <f>IFERROR(_xlfn.XLOOKUP($B199,'Cronog. e Histog.'!$BZ:$BZ,'Cronog. e Histog.'!DO:DO),"")</f>
        <v>0</v>
      </c>
      <c r="AU199" s="144">
        <f>IFERROR(_xlfn.XLOOKUP($B199,'Cronog. e Histog.'!$BZ:$BZ,'Cronog. e Histog.'!DP:DP),"")</f>
        <v>0</v>
      </c>
      <c r="AV199" s="144">
        <f>IFERROR(_xlfn.XLOOKUP($B199,'Cronog. e Histog.'!$BZ:$BZ,'Cronog. e Histog.'!DQ:DQ),"")</f>
        <v>0</v>
      </c>
      <c r="AW199" s="144">
        <f>IFERROR(_xlfn.XLOOKUP($B199,'Cronog. e Histog.'!$BZ:$BZ,'Cronog. e Histog.'!DR:DR),"")</f>
        <v>0</v>
      </c>
      <c r="AX199" s="144">
        <f>IFERROR(_xlfn.XLOOKUP($B199,'Cronog. e Histog.'!$BZ:$BZ,'Cronog. e Histog.'!DS:DS),"")</f>
        <v>0</v>
      </c>
      <c r="AY199" s="144">
        <f>IFERROR(_xlfn.XLOOKUP($B199,'Cronog. e Histog.'!$BZ:$BZ,'Cronog. e Histog.'!DT:DT),"")</f>
        <v>0</v>
      </c>
      <c r="AZ199" s="144">
        <f>IFERROR(_xlfn.XLOOKUP($B199,'Cronog. e Histog.'!$BZ:$BZ,'Cronog. e Histog.'!DU:DU),"")</f>
        <v>0</v>
      </c>
      <c r="BA199" s="144">
        <f>IFERROR(_xlfn.XLOOKUP($B199,'Cronog. e Histog.'!$BZ:$BZ,'Cronog. e Histog.'!DV:DV),"")</f>
        <v>0</v>
      </c>
      <c r="BB199" s="144">
        <f>IFERROR(_xlfn.XLOOKUP($B199,'Cronog. e Histog.'!$BZ:$BZ,'Cronog. e Histog.'!DW:DW),"")</f>
        <v>0</v>
      </c>
      <c r="BC199" s="144">
        <f>IFERROR(_xlfn.XLOOKUP($B199,'Cronog. e Histog.'!$BZ:$BZ,'Cronog. e Histog.'!DX:DX),"")</f>
        <v>0</v>
      </c>
      <c r="BD199" s="144">
        <f>IFERROR(_xlfn.XLOOKUP($B199,'Cronog. e Histog.'!$BZ:$BZ,'Cronog. e Histog.'!DY:DY),"")</f>
        <v>0</v>
      </c>
      <c r="BE199" s="144">
        <f>IFERROR(_xlfn.XLOOKUP($B199,'Cronog. e Histog.'!$BZ:$BZ,'Cronog. e Histog.'!DZ:DZ),"")</f>
        <v>0</v>
      </c>
      <c r="BF199" s="144">
        <f>IFERROR(_xlfn.XLOOKUP($B199,'Cronog. e Histog.'!$BZ:$BZ,'Cronog. e Histog.'!EA:EA),"")</f>
        <v>0</v>
      </c>
      <c r="BG199" s="144">
        <f>IFERROR(_xlfn.XLOOKUP($B199,'Cronog. e Histog.'!$BZ:$BZ,'Cronog. e Histog.'!EB:EB),"")</f>
        <v>0</v>
      </c>
      <c r="BH199" s="144">
        <f>IFERROR(_xlfn.XLOOKUP($B199,'Cronog. e Histog.'!$BZ:$BZ,'Cronog. e Histog.'!EC:EC),"")</f>
        <v>0</v>
      </c>
      <c r="BI199" s="144">
        <f>IFERROR(_xlfn.XLOOKUP($B199,'Cronog. e Histog.'!$BZ:$BZ,'Cronog. e Histog.'!ED:ED),"")</f>
        <v>0</v>
      </c>
      <c r="BJ199" s="144">
        <f>IFERROR(_xlfn.XLOOKUP($B199,'Cronog. e Histog.'!$BZ:$BZ,'Cronog. e Histog.'!EE:EE),"")</f>
        <v>0</v>
      </c>
      <c r="BK199" s="144">
        <f>IFERROR(_xlfn.XLOOKUP($B199,'Cronog. e Histog.'!$BZ:$BZ,'Cronog. e Histog.'!EF:EF),"")</f>
        <v>0</v>
      </c>
      <c r="BL199" s="144">
        <f>IFERROR(_xlfn.XLOOKUP($B199,'Cronog. e Histog.'!$BZ:$BZ,'Cronog. e Histog.'!EG:EG),"")</f>
        <v>0</v>
      </c>
      <c r="BM199" s="144">
        <f>IFERROR(_xlfn.XLOOKUP($B199,'Cronog. e Histog.'!$BZ:$BZ,'Cronog. e Histog.'!EH:EH),"")</f>
        <v>0</v>
      </c>
      <c r="BN199" s="144">
        <f>IFERROR(_xlfn.XLOOKUP($B199,'Cronog. e Histog.'!$BZ:$BZ,'Cronog. e Histog.'!EI:EI),"")</f>
        <v>0</v>
      </c>
    </row>
    <row r="200" spans="2:66" ht="12" hidden="1" customHeight="1" outlineLevel="1">
      <c r="B200" s="76">
        <v>194</v>
      </c>
      <c r="C200" s="143" t="str">
        <f>IFERROR(VLOOKUP(B200,'Cronog. e Histog.'!$BZ$213:$CA$747,2,0),"")</f>
        <v>TEC II</v>
      </c>
      <c r="D200" s="144">
        <f t="shared" si="6"/>
        <v>0</v>
      </c>
      <c r="E200" s="144">
        <f t="shared" si="7"/>
        <v>0</v>
      </c>
      <c r="F200" s="65"/>
      <c r="G200" s="144">
        <f>IFERROR(_xlfn.XLOOKUP($B200,'Cronog. e Histog.'!$BZ:$BZ,'Cronog. e Histog.'!CB:CB),"")</f>
        <v>0</v>
      </c>
      <c r="H200" s="144">
        <f>IFERROR(_xlfn.XLOOKUP($B200,'Cronog. e Histog.'!$BZ:$BZ,'Cronog. e Histog.'!CC:CC),"")</f>
        <v>0</v>
      </c>
      <c r="I200" s="144">
        <f>IFERROR(_xlfn.XLOOKUP($B200,'Cronog. e Histog.'!$BZ:$BZ,'Cronog. e Histog.'!CD:CD),"")</f>
        <v>0</v>
      </c>
      <c r="J200" s="144">
        <f>IFERROR(_xlfn.XLOOKUP($B200,'Cronog. e Histog.'!$BZ:$BZ,'Cronog. e Histog.'!CE:CE),"")</f>
        <v>0</v>
      </c>
      <c r="K200" s="144">
        <f>IFERROR(_xlfn.XLOOKUP($B200,'Cronog. e Histog.'!$BZ:$BZ,'Cronog. e Histog.'!CF:CF),"")</f>
        <v>0</v>
      </c>
      <c r="L200" s="144">
        <f>IFERROR(_xlfn.XLOOKUP($B200,'Cronog. e Histog.'!$BZ:$BZ,'Cronog. e Histog.'!CG:CG),"")</f>
        <v>0</v>
      </c>
      <c r="M200" s="144">
        <f>IFERROR(_xlfn.XLOOKUP($B200,'Cronog. e Histog.'!$BZ:$BZ,'Cronog. e Histog.'!CH:CH),"")</f>
        <v>0</v>
      </c>
      <c r="N200" s="144">
        <f>IFERROR(_xlfn.XLOOKUP($B200,'Cronog. e Histog.'!$BZ:$BZ,'Cronog. e Histog.'!CI:CI),"")</f>
        <v>0</v>
      </c>
      <c r="O200" s="144">
        <f>IFERROR(_xlfn.XLOOKUP($B200,'Cronog. e Histog.'!$BZ:$BZ,'Cronog. e Histog.'!CJ:CJ),"")</f>
        <v>0</v>
      </c>
      <c r="P200" s="144">
        <f>IFERROR(_xlfn.XLOOKUP($B200,'Cronog. e Histog.'!$BZ:$BZ,'Cronog. e Histog.'!CK:CK),"")</f>
        <v>0</v>
      </c>
      <c r="Q200" s="144">
        <f>IFERROR(_xlfn.XLOOKUP($B200,'Cronog. e Histog.'!$BZ:$BZ,'Cronog. e Histog.'!CL:CL),"")</f>
        <v>0</v>
      </c>
      <c r="R200" s="144">
        <f>IFERROR(_xlfn.XLOOKUP($B200,'Cronog. e Histog.'!$BZ:$BZ,'Cronog. e Histog.'!CM:CM),"")</f>
        <v>0</v>
      </c>
      <c r="S200" s="144">
        <f>IFERROR(_xlfn.XLOOKUP($B200,'Cronog. e Histog.'!$BZ:$BZ,'Cronog. e Histog.'!CN:CN),"")</f>
        <v>0</v>
      </c>
      <c r="T200" s="144">
        <f>IFERROR(_xlfn.XLOOKUP($B200,'Cronog. e Histog.'!$BZ:$BZ,'Cronog. e Histog.'!CO:CO),"")</f>
        <v>0</v>
      </c>
      <c r="U200" s="144">
        <f>IFERROR(_xlfn.XLOOKUP($B200,'Cronog. e Histog.'!$BZ:$BZ,'Cronog. e Histog.'!CP:CP),"")</f>
        <v>0</v>
      </c>
      <c r="V200" s="144">
        <f>IFERROR(_xlfn.XLOOKUP($B200,'Cronog. e Histog.'!$BZ:$BZ,'Cronog. e Histog.'!CQ:CQ),"")</f>
        <v>0</v>
      </c>
      <c r="W200" s="144">
        <f>IFERROR(_xlfn.XLOOKUP($B200,'Cronog. e Histog.'!$BZ:$BZ,'Cronog. e Histog.'!CR:CR),"")</f>
        <v>0</v>
      </c>
      <c r="X200" s="144">
        <f>IFERROR(_xlfn.XLOOKUP($B200,'Cronog. e Histog.'!$BZ:$BZ,'Cronog. e Histog.'!CS:CS),"")</f>
        <v>0</v>
      </c>
      <c r="Y200" s="144">
        <f>IFERROR(_xlfn.XLOOKUP($B200,'Cronog. e Histog.'!$BZ:$BZ,'Cronog. e Histog.'!CT:CT),"")</f>
        <v>0</v>
      </c>
      <c r="Z200" s="144">
        <f>IFERROR(_xlfn.XLOOKUP($B200,'Cronog. e Histog.'!$BZ:$BZ,'Cronog. e Histog.'!CU:CU),"")</f>
        <v>0</v>
      </c>
      <c r="AA200" s="144">
        <f>IFERROR(_xlfn.XLOOKUP($B200,'Cronog. e Histog.'!$BZ:$BZ,'Cronog. e Histog.'!CV:CV),"")</f>
        <v>0</v>
      </c>
      <c r="AB200" s="144">
        <f>IFERROR(_xlfn.XLOOKUP($B200,'Cronog. e Histog.'!$BZ:$BZ,'Cronog. e Histog.'!CW:CW),"")</f>
        <v>0</v>
      </c>
      <c r="AC200" s="144">
        <f>IFERROR(_xlfn.XLOOKUP($B200,'Cronog. e Histog.'!$BZ:$BZ,'Cronog. e Histog.'!CX:CX),"")</f>
        <v>0</v>
      </c>
      <c r="AD200" s="144">
        <f>IFERROR(_xlfn.XLOOKUP($B200,'Cronog. e Histog.'!$BZ:$BZ,'Cronog. e Histog.'!CY:CY),"")</f>
        <v>0</v>
      </c>
      <c r="AE200" s="144">
        <f>IFERROR(_xlfn.XLOOKUP($B200,'Cronog. e Histog.'!$BZ:$BZ,'Cronog. e Histog.'!CZ:CZ),"")</f>
        <v>0</v>
      </c>
      <c r="AF200" s="144">
        <f>IFERROR(_xlfn.XLOOKUP($B200,'Cronog. e Histog.'!$BZ:$BZ,'Cronog. e Histog.'!DA:DA),"")</f>
        <v>0</v>
      </c>
      <c r="AG200" s="144">
        <f>IFERROR(_xlfn.XLOOKUP($B200,'Cronog. e Histog.'!$BZ:$BZ,'Cronog. e Histog.'!DB:DB),"")</f>
        <v>0</v>
      </c>
      <c r="AH200" s="144">
        <f>IFERROR(_xlfn.XLOOKUP($B200,'Cronog. e Histog.'!$BZ:$BZ,'Cronog. e Histog.'!DC:DC),"")</f>
        <v>0</v>
      </c>
      <c r="AI200" s="144">
        <f>IFERROR(_xlfn.XLOOKUP($B200,'Cronog. e Histog.'!$BZ:$BZ,'Cronog. e Histog.'!DD:DD),"")</f>
        <v>0</v>
      </c>
      <c r="AJ200" s="144">
        <f>IFERROR(_xlfn.XLOOKUP($B200,'Cronog. e Histog.'!$BZ:$BZ,'Cronog. e Histog.'!DE:DE),"")</f>
        <v>0</v>
      </c>
      <c r="AK200" s="144">
        <f>IFERROR(_xlfn.XLOOKUP($B200,'Cronog. e Histog.'!$BZ:$BZ,'Cronog. e Histog.'!DF:DF),"")</f>
        <v>0</v>
      </c>
      <c r="AL200" s="144">
        <f>IFERROR(_xlfn.XLOOKUP($B200,'Cronog. e Histog.'!$BZ:$BZ,'Cronog. e Histog.'!DG:DG),"")</f>
        <v>0</v>
      </c>
      <c r="AM200" s="144">
        <f>IFERROR(_xlfn.XLOOKUP($B200,'Cronog. e Histog.'!$BZ:$BZ,'Cronog. e Histog.'!DH:DH),"")</f>
        <v>0</v>
      </c>
      <c r="AN200" s="144">
        <f>IFERROR(_xlfn.XLOOKUP($B200,'Cronog. e Histog.'!$BZ:$BZ,'Cronog. e Histog.'!DI:DI),"")</f>
        <v>0</v>
      </c>
      <c r="AO200" s="144">
        <f>IFERROR(_xlfn.XLOOKUP($B200,'Cronog. e Histog.'!$BZ:$BZ,'Cronog. e Histog.'!DJ:DJ),"")</f>
        <v>0</v>
      </c>
      <c r="AP200" s="144">
        <f>IFERROR(_xlfn.XLOOKUP($B200,'Cronog. e Histog.'!$BZ:$BZ,'Cronog. e Histog.'!DK:DK),"")</f>
        <v>0</v>
      </c>
      <c r="AQ200" s="144">
        <f>IFERROR(_xlfn.XLOOKUP($B200,'Cronog. e Histog.'!$BZ:$BZ,'Cronog. e Histog.'!DL:DL),"")</f>
        <v>0</v>
      </c>
      <c r="AR200" s="144">
        <f>IFERROR(_xlfn.XLOOKUP($B200,'Cronog. e Histog.'!$BZ:$BZ,'Cronog. e Histog.'!DM:DM),"")</f>
        <v>0</v>
      </c>
      <c r="AS200" s="144">
        <f>IFERROR(_xlfn.XLOOKUP($B200,'Cronog. e Histog.'!$BZ:$BZ,'Cronog. e Histog.'!DN:DN),"")</f>
        <v>0</v>
      </c>
      <c r="AT200" s="144">
        <f>IFERROR(_xlfn.XLOOKUP($B200,'Cronog. e Histog.'!$BZ:$BZ,'Cronog. e Histog.'!DO:DO),"")</f>
        <v>0</v>
      </c>
      <c r="AU200" s="144">
        <f>IFERROR(_xlfn.XLOOKUP($B200,'Cronog. e Histog.'!$BZ:$BZ,'Cronog. e Histog.'!DP:DP),"")</f>
        <v>0</v>
      </c>
      <c r="AV200" s="144">
        <f>IFERROR(_xlfn.XLOOKUP($B200,'Cronog. e Histog.'!$BZ:$BZ,'Cronog. e Histog.'!DQ:DQ),"")</f>
        <v>0</v>
      </c>
      <c r="AW200" s="144">
        <f>IFERROR(_xlfn.XLOOKUP($B200,'Cronog. e Histog.'!$BZ:$BZ,'Cronog. e Histog.'!DR:DR),"")</f>
        <v>0</v>
      </c>
      <c r="AX200" s="144">
        <f>IFERROR(_xlfn.XLOOKUP($B200,'Cronog. e Histog.'!$BZ:$BZ,'Cronog. e Histog.'!DS:DS),"")</f>
        <v>0</v>
      </c>
      <c r="AY200" s="144">
        <f>IFERROR(_xlfn.XLOOKUP($B200,'Cronog. e Histog.'!$BZ:$BZ,'Cronog. e Histog.'!DT:DT),"")</f>
        <v>0</v>
      </c>
      <c r="AZ200" s="144">
        <f>IFERROR(_xlfn.XLOOKUP($B200,'Cronog. e Histog.'!$BZ:$BZ,'Cronog. e Histog.'!DU:DU),"")</f>
        <v>0</v>
      </c>
      <c r="BA200" s="144">
        <f>IFERROR(_xlfn.XLOOKUP($B200,'Cronog. e Histog.'!$BZ:$BZ,'Cronog. e Histog.'!DV:DV),"")</f>
        <v>0</v>
      </c>
      <c r="BB200" s="144">
        <f>IFERROR(_xlfn.XLOOKUP($B200,'Cronog. e Histog.'!$BZ:$BZ,'Cronog. e Histog.'!DW:DW),"")</f>
        <v>0</v>
      </c>
      <c r="BC200" s="144">
        <f>IFERROR(_xlfn.XLOOKUP($B200,'Cronog. e Histog.'!$BZ:$BZ,'Cronog. e Histog.'!DX:DX),"")</f>
        <v>0</v>
      </c>
      <c r="BD200" s="144">
        <f>IFERROR(_xlfn.XLOOKUP($B200,'Cronog. e Histog.'!$BZ:$BZ,'Cronog. e Histog.'!DY:DY),"")</f>
        <v>0</v>
      </c>
      <c r="BE200" s="144">
        <f>IFERROR(_xlfn.XLOOKUP($B200,'Cronog. e Histog.'!$BZ:$BZ,'Cronog. e Histog.'!DZ:DZ),"")</f>
        <v>0</v>
      </c>
      <c r="BF200" s="144">
        <f>IFERROR(_xlfn.XLOOKUP($B200,'Cronog. e Histog.'!$BZ:$BZ,'Cronog. e Histog.'!EA:EA),"")</f>
        <v>0</v>
      </c>
      <c r="BG200" s="144">
        <f>IFERROR(_xlfn.XLOOKUP($B200,'Cronog. e Histog.'!$BZ:$BZ,'Cronog. e Histog.'!EB:EB),"")</f>
        <v>0</v>
      </c>
      <c r="BH200" s="144">
        <f>IFERROR(_xlfn.XLOOKUP($B200,'Cronog. e Histog.'!$BZ:$BZ,'Cronog. e Histog.'!EC:EC),"")</f>
        <v>0</v>
      </c>
      <c r="BI200" s="144">
        <f>IFERROR(_xlfn.XLOOKUP($B200,'Cronog. e Histog.'!$BZ:$BZ,'Cronog. e Histog.'!ED:ED),"")</f>
        <v>0</v>
      </c>
      <c r="BJ200" s="144">
        <f>IFERROR(_xlfn.XLOOKUP($B200,'Cronog. e Histog.'!$BZ:$BZ,'Cronog. e Histog.'!EE:EE),"")</f>
        <v>0</v>
      </c>
      <c r="BK200" s="144">
        <f>IFERROR(_xlfn.XLOOKUP($B200,'Cronog. e Histog.'!$BZ:$BZ,'Cronog. e Histog.'!EF:EF),"")</f>
        <v>0</v>
      </c>
      <c r="BL200" s="144">
        <f>IFERROR(_xlfn.XLOOKUP($B200,'Cronog. e Histog.'!$BZ:$BZ,'Cronog. e Histog.'!EG:EG),"")</f>
        <v>0</v>
      </c>
      <c r="BM200" s="144">
        <f>IFERROR(_xlfn.XLOOKUP($B200,'Cronog. e Histog.'!$BZ:$BZ,'Cronog. e Histog.'!EH:EH),"")</f>
        <v>0</v>
      </c>
      <c r="BN200" s="144">
        <f>IFERROR(_xlfn.XLOOKUP($B200,'Cronog. e Histog.'!$BZ:$BZ,'Cronog. e Histog.'!EI:EI),"")</f>
        <v>0</v>
      </c>
    </row>
    <row r="201" spans="2:66" ht="12" hidden="1" customHeight="1" outlineLevel="1">
      <c r="B201" s="76">
        <v>195</v>
      </c>
      <c r="C201" s="143" t="str">
        <f>IFERROR(VLOOKUP(B201,'Cronog. e Histog.'!$BZ$213:$CA$747,2,0),"")</f>
        <v>TEC I</v>
      </c>
      <c r="D201" s="144">
        <f t="shared" si="6"/>
        <v>0</v>
      </c>
      <c r="E201" s="144">
        <f t="shared" si="7"/>
        <v>0</v>
      </c>
      <c r="F201" s="65"/>
      <c r="G201" s="144">
        <f>IFERROR(_xlfn.XLOOKUP($B201,'Cronog. e Histog.'!$BZ:$BZ,'Cronog. e Histog.'!CB:CB),"")</f>
        <v>0</v>
      </c>
      <c r="H201" s="144">
        <f>IFERROR(_xlfn.XLOOKUP($B201,'Cronog. e Histog.'!$BZ:$BZ,'Cronog. e Histog.'!CC:CC),"")</f>
        <v>0</v>
      </c>
      <c r="I201" s="144">
        <f>IFERROR(_xlfn.XLOOKUP($B201,'Cronog. e Histog.'!$BZ:$BZ,'Cronog. e Histog.'!CD:CD),"")</f>
        <v>0</v>
      </c>
      <c r="J201" s="144">
        <f>IFERROR(_xlfn.XLOOKUP($B201,'Cronog. e Histog.'!$BZ:$BZ,'Cronog. e Histog.'!CE:CE),"")</f>
        <v>0</v>
      </c>
      <c r="K201" s="144">
        <f>IFERROR(_xlfn.XLOOKUP($B201,'Cronog. e Histog.'!$BZ:$BZ,'Cronog. e Histog.'!CF:CF),"")</f>
        <v>0</v>
      </c>
      <c r="L201" s="144">
        <f>IFERROR(_xlfn.XLOOKUP($B201,'Cronog. e Histog.'!$BZ:$BZ,'Cronog. e Histog.'!CG:CG),"")</f>
        <v>0</v>
      </c>
      <c r="M201" s="144">
        <f>IFERROR(_xlfn.XLOOKUP($B201,'Cronog. e Histog.'!$BZ:$BZ,'Cronog. e Histog.'!CH:CH),"")</f>
        <v>0</v>
      </c>
      <c r="N201" s="144">
        <f>IFERROR(_xlfn.XLOOKUP($B201,'Cronog. e Histog.'!$BZ:$BZ,'Cronog. e Histog.'!CI:CI),"")</f>
        <v>0</v>
      </c>
      <c r="O201" s="144">
        <f>IFERROR(_xlfn.XLOOKUP($B201,'Cronog. e Histog.'!$BZ:$BZ,'Cronog. e Histog.'!CJ:CJ),"")</f>
        <v>0</v>
      </c>
      <c r="P201" s="144">
        <f>IFERROR(_xlfn.XLOOKUP($B201,'Cronog. e Histog.'!$BZ:$BZ,'Cronog. e Histog.'!CK:CK),"")</f>
        <v>0</v>
      </c>
      <c r="Q201" s="144">
        <f>IFERROR(_xlfn.XLOOKUP($B201,'Cronog. e Histog.'!$BZ:$BZ,'Cronog. e Histog.'!CL:CL),"")</f>
        <v>0</v>
      </c>
      <c r="R201" s="144">
        <f>IFERROR(_xlfn.XLOOKUP($B201,'Cronog. e Histog.'!$BZ:$BZ,'Cronog. e Histog.'!CM:CM),"")</f>
        <v>0</v>
      </c>
      <c r="S201" s="144">
        <f>IFERROR(_xlfn.XLOOKUP($B201,'Cronog. e Histog.'!$BZ:$BZ,'Cronog. e Histog.'!CN:CN),"")</f>
        <v>0</v>
      </c>
      <c r="T201" s="144">
        <f>IFERROR(_xlfn.XLOOKUP($B201,'Cronog. e Histog.'!$BZ:$BZ,'Cronog. e Histog.'!CO:CO),"")</f>
        <v>0</v>
      </c>
      <c r="U201" s="144">
        <f>IFERROR(_xlfn.XLOOKUP($B201,'Cronog. e Histog.'!$BZ:$BZ,'Cronog. e Histog.'!CP:CP),"")</f>
        <v>0</v>
      </c>
      <c r="V201" s="144">
        <f>IFERROR(_xlfn.XLOOKUP($B201,'Cronog. e Histog.'!$BZ:$BZ,'Cronog. e Histog.'!CQ:CQ),"")</f>
        <v>0</v>
      </c>
      <c r="W201" s="144">
        <f>IFERROR(_xlfn.XLOOKUP($B201,'Cronog. e Histog.'!$BZ:$BZ,'Cronog. e Histog.'!CR:CR),"")</f>
        <v>0</v>
      </c>
      <c r="X201" s="144">
        <f>IFERROR(_xlfn.XLOOKUP($B201,'Cronog. e Histog.'!$BZ:$BZ,'Cronog. e Histog.'!CS:CS),"")</f>
        <v>0</v>
      </c>
      <c r="Y201" s="144">
        <f>IFERROR(_xlfn.XLOOKUP($B201,'Cronog. e Histog.'!$BZ:$BZ,'Cronog. e Histog.'!CT:CT),"")</f>
        <v>0</v>
      </c>
      <c r="Z201" s="144">
        <f>IFERROR(_xlfn.XLOOKUP($B201,'Cronog. e Histog.'!$BZ:$BZ,'Cronog. e Histog.'!CU:CU),"")</f>
        <v>0</v>
      </c>
      <c r="AA201" s="144">
        <f>IFERROR(_xlfn.XLOOKUP($B201,'Cronog. e Histog.'!$BZ:$BZ,'Cronog. e Histog.'!CV:CV),"")</f>
        <v>0</v>
      </c>
      <c r="AB201" s="144">
        <f>IFERROR(_xlfn.XLOOKUP($B201,'Cronog. e Histog.'!$BZ:$BZ,'Cronog. e Histog.'!CW:CW),"")</f>
        <v>0</v>
      </c>
      <c r="AC201" s="144">
        <f>IFERROR(_xlfn.XLOOKUP($B201,'Cronog. e Histog.'!$BZ:$BZ,'Cronog. e Histog.'!CX:CX),"")</f>
        <v>0</v>
      </c>
      <c r="AD201" s="144">
        <f>IFERROR(_xlfn.XLOOKUP($B201,'Cronog. e Histog.'!$BZ:$BZ,'Cronog. e Histog.'!CY:CY),"")</f>
        <v>0</v>
      </c>
      <c r="AE201" s="144">
        <f>IFERROR(_xlfn.XLOOKUP($B201,'Cronog. e Histog.'!$BZ:$BZ,'Cronog. e Histog.'!CZ:CZ),"")</f>
        <v>0</v>
      </c>
      <c r="AF201" s="144">
        <f>IFERROR(_xlfn.XLOOKUP($B201,'Cronog. e Histog.'!$BZ:$BZ,'Cronog. e Histog.'!DA:DA),"")</f>
        <v>0</v>
      </c>
      <c r="AG201" s="144">
        <f>IFERROR(_xlfn.XLOOKUP($B201,'Cronog. e Histog.'!$BZ:$BZ,'Cronog. e Histog.'!DB:DB),"")</f>
        <v>0</v>
      </c>
      <c r="AH201" s="144">
        <f>IFERROR(_xlfn.XLOOKUP($B201,'Cronog. e Histog.'!$BZ:$BZ,'Cronog. e Histog.'!DC:DC),"")</f>
        <v>0</v>
      </c>
      <c r="AI201" s="144">
        <f>IFERROR(_xlfn.XLOOKUP($B201,'Cronog. e Histog.'!$BZ:$BZ,'Cronog. e Histog.'!DD:DD),"")</f>
        <v>0</v>
      </c>
      <c r="AJ201" s="144">
        <f>IFERROR(_xlfn.XLOOKUP($B201,'Cronog. e Histog.'!$BZ:$BZ,'Cronog. e Histog.'!DE:DE),"")</f>
        <v>0</v>
      </c>
      <c r="AK201" s="144">
        <f>IFERROR(_xlfn.XLOOKUP($B201,'Cronog. e Histog.'!$BZ:$BZ,'Cronog. e Histog.'!DF:DF),"")</f>
        <v>0</v>
      </c>
      <c r="AL201" s="144">
        <f>IFERROR(_xlfn.XLOOKUP($B201,'Cronog. e Histog.'!$BZ:$BZ,'Cronog. e Histog.'!DG:DG),"")</f>
        <v>0</v>
      </c>
      <c r="AM201" s="144">
        <f>IFERROR(_xlfn.XLOOKUP($B201,'Cronog. e Histog.'!$BZ:$BZ,'Cronog. e Histog.'!DH:DH),"")</f>
        <v>0</v>
      </c>
      <c r="AN201" s="144">
        <f>IFERROR(_xlfn.XLOOKUP($B201,'Cronog. e Histog.'!$BZ:$BZ,'Cronog. e Histog.'!DI:DI),"")</f>
        <v>0</v>
      </c>
      <c r="AO201" s="144">
        <f>IFERROR(_xlfn.XLOOKUP($B201,'Cronog. e Histog.'!$BZ:$BZ,'Cronog. e Histog.'!DJ:DJ),"")</f>
        <v>0</v>
      </c>
      <c r="AP201" s="144">
        <f>IFERROR(_xlfn.XLOOKUP($B201,'Cronog. e Histog.'!$BZ:$BZ,'Cronog. e Histog.'!DK:DK),"")</f>
        <v>0</v>
      </c>
      <c r="AQ201" s="144">
        <f>IFERROR(_xlfn.XLOOKUP($B201,'Cronog. e Histog.'!$BZ:$BZ,'Cronog. e Histog.'!DL:DL),"")</f>
        <v>0</v>
      </c>
      <c r="AR201" s="144">
        <f>IFERROR(_xlfn.XLOOKUP($B201,'Cronog. e Histog.'!$BZ:$BZ,'Cronog. e Histog.'!DM:DM),"")</f>
        <v>0</v>
      </c>
      <c r="AS201" s="144">
        <f>IFERROR(_xlfn.XLOOKUP($B201,'Cronog. e Histog.'!$BZ:$BZ,'Cronog. e Histog.'!DN:DN),"")</f>
        <v>0</v>
      </c>
      <c r="AT201" s="144">
        <f>IFERROR(_xlfn.XLOOKUP($B201,'Cronog. e Histog.'!$BZ:$BZ,'Cronog. e Histog.'!DO:DO),"")</f>
        <v>0</v>
      </c>
      <c r="AU201" s="144">
        <f>IFERROR(_xlfn.XLOOKUP($B201,'Cronog. e Histog.'!$BZ:$BZ,'Cronog. e Histog.'!DP:DP),"")</f>
        <v>0</v>
      </c>
      <c r="AV201" s="144">
        <f>IFERROR(_xlfn.XLOOKUP($B201,'Cronog. e Histog.'!$BZ:$BZ,'Cronog. e Histog.'!DQ:DQ),"")</f>
        <v>0</v>
      </c>
      <c r="AW201" s="144">
        <f>IFERROR(_xlfn.XLOOKUP($B201,'Cronog. e Histog.'!$BZ:$BZ,'Cronog. e Histog.'!DR:DR),"")</f>
        <v>0</v>
      </c>
      <c r="AX201" s="144">
        <f>IFERROR(_xlfn.XLOOKUP($B201,'Cronog. e Histog.'!$BZ:$BZ,'Cronog. e Histog.'!DS:DS),"")</f>
        <v>0</v>
      </c>
      <c r="AY201" s="144">
        <f>IFERROR(_xlfn.XLOOKUP($B201,'Cronog. e Histog.'!$BZ:$BZ,'Cronog. e Histog.'!DT:DT),"")</f>
        <v>0</v>
      </c>
      <c r="AZ201" s="144">
        <f>IFERROR(_xlfn.XLOOKUP($B201,'Cronog. e Histog.'!$BZ:$BZ,'Cronog. e Histog.'!DU:DU),"")</f>
        <v>0</v>
      </c>
      <c r="BA201" s="144">
        <f>IFERROR(_xlfn.XLOOKUP($B201,'Cronog. e Histog.'!$BZ:$BZ,'Cronog. e Histog.'!DV:DV),"")</f>
        <v>0</v>
      </c>
      <c r="BB201" s="144">
        <f>IFERROR(_xlfn.XLOOKUP($B201,'Cronog. e Histog.'!$BZ:$BZ,'Cronog. e Histog.'!DW:DW),"")</f>
        <v>0</v>
      </c>
      <c r="BC201" s="144">
        <f>IFERROR(_xlfn.XLOOKUP($B201,'Cronog. e Histog.'!$BZ:$BZ,'Cronog. e Histog.'!DX:DX),"")</f>
        <v>0</v>
      </c>
      <c r="BD201" s="144">
        <f>IFERROR(_xlfn.XLOOKUP($B201,'Cronog. e Histog.'!$BZ:$BZ,'Cronog. e Histog.'!DY:DY),"")</f>
        <v>0</v>
      </c>
      <c r="BE201" s="144">
        <f>IFERROR(_xlfn.XLOOKUP($B201,'Cronog. e Histog.'!$BZ:$BZ,'Cronog. e Histog.'!DZ:DZ),"")</f>
        <v>0</v>
      </c>
      <c r="BF201" s="144">
        <f>IFERROR(_xlfn.XLOOKUP($B201,'Cronog. e Histog.'!$BZ:$BZ,'Cronog. e Histog.'!EA:EA),"")</f>
        <v>0</v>
      </c>
      <c r="BG201" s="144">
        <f>IFERROR(_xlfn.XLOOKUP($B201,'Cronog. e Histog.'!$BZ:$BZ,'Cronog. e Histog.'!EB:EB),"")</f>
        <v>0</v>
      </c>
      <c r="BH201" s="144">
        <f>IFERROR(_xlfn.XLOOKUP($B201,'Cronog. e Histog.'!$BZ:$BZ,'Cronog. e Histog.'!EC:EC),"")</f>
        <v>0</v>
      </c>
      <c r="BI201" s="144">
        <f>IFERROR(_xlfn.XLOOKUP($B201,'Cronog. e Histog.'!$BZ:$BZ,'Cronog. e Histog.'!ED:ED),"")</f>
        <v>0</v>
      </c>
      <c r="BJ201" s="144">
        <f>IFERROR(_xlfn.XLOOKUP($B201,'Cronog. e Histog.'!$BZ:$BZ,'Cronog. e Histog.'!EE:EE),"")</f>
        <v>0</v>
      </c>
      <c r="BK201" s="144">
        <f>IFERROR(_xlfn.XLOOKUP($B201,'Cronog. e Histog.'!$BZ:$BZ,'Cronog. e Histog.'!EF:EF),"")</f>
        <v>0</v>
      </c>
      <c r="BL201" s="144">
        <f>IFERROR(_xlfn.XLOOKUP($B201,'Cronog. e Histog.'!$BZ:$BZ,'Cronog. e Histog.'!EG:EG),"")</f>
        <v>0</v>
      </c>
      <c r="BM201" s="144">
        <f>IFERROR(_xlfn.XLOOKUP($B201,'Cronog. e Histog.'!$BZ:$BZ,'Cronog. e Histog.'!EH:EH),"")</f>
        <v>0</v>
      </c>
      <c r="BN201" s="144">
        <f>IFERROR(_xlfn.XLOOKUP($B201,'Cronog. e Histog.'!$BZ:$BZ,'Cronog. e Histog.'!EI:EI),"")</f>
        <v>0</v>
      </c>
    </row>
    <row r="202" spans="2:66" ht="12" hidden="1" customHeight="1" outlineLevel="1">
      <c r="B202" s="76">
        <v>196</v>
      </c>
      <c r="C202" s="143" t="str">
        <f>IFERROR(VLOOKUP(B202,'Cronog. e Histog.'!$BZ$213:$CA$747,2,0),"")</f>
        <v>AUX TEC</v>
      </c>
      <c r="D202" s="144">
        <f t="shared" si="6"/>
        <v>0</v>
      </c>
      <c r="E202" s="144">
        <f t="shared" si="7"/>
        <v>0</v>
      </c>
      <c r="F202" s="65"/>
      <c r="G202" s="144">
        <f>IFERROR(_xlfn.XLOOKUP($B202,'Cronog. e Histog.'!$BZ:$BZ,'Cronog. e Histog.'!CB:CB),"")</f>
        <v>0</v>
      </c>
      <c r="H202" s="144">
        <f>IFERROR(_xlfn.XLOOKUP($B202,'Cronog. e Histog.'!$BZ:$BZ,'Cronog. e Histog.'!CC:CC),"")</f>
        <v>0</v>
      </c>
      <c r="I202" s="144">
        <f>IFERROR(_xlfn.XLOOKUP($B202,'Cronog. e Histog.'!$BZ:$BZ,'Cronog. e Histog.'!CD:CD),"")</f>
        <v>0</v>
      </c>
      <c r="J202" s="144">
        <f>IFERROR(_xlfn.XLOOKUP($B202,'Cronog. e Histog.'!$BZ:$BZ,'Cronog. e Histog.'!CE:CE),"")</f>
        <v>0</v>
      </c>
      <c r="K202" s="144">
        <f>IFERROR(_xlfn.XLOOKUP($B202,'Cronog. e Histog.'!$BZ:$BZ,'Cronog. e Histog.'!CF:CF),"")</f>
        <v>0</v>
      </c>
      <c r="L202" s="144">
        <f>IFERROR(_xlfn.XLOOKUP($B202,'Cronog. e Histog.'!$BZ:$BZ,'Cronog. e Histog.'!CG:CG),"")</f>
        <v>0</v>
      </c>
      <c r="M202" s="144">
        <f>IFERROR(_xlfn.XLOOKUP($B202,'Cronog. e Histog.'!$BZ:$BZ,'Cronog. e Histog.'!CH:CH),"")</f>
        <v>0</v>
      </c>
      <c r="N202" s="144">
        <f>IFERROR(_xlfn.XLOOKUP($B202,'Cronog. e Histog.'!$BZ:$BZ,'Cronog. e Histog.'!CI:CI),"")</f>
        <v>0</v>
      </c>
      <c r="O202" s="144">
        <f>IFERROR(_xlfn.XLOOKUP($B202,'Cronog. e Histog.'!$BZ:$BZ,'Cronog. e Histog.'!CJ:CJ),"")</f>
        <v>0</v>
      </c>
      <c r="P202" s="144">
        <f>IFERROR(_xlfn.XLOOKUP($B202,'Cronog. e Histog.'!$BZ:$BZ,'Cronog. e Histog.'!CK:CK),"")</f>
        <v>0</v>
      </c>
      <c r="Q202" s="144">
        <f>IFERROR(_xlfn.XLOOKUP($B202,'Cronog. e Histog.'!$BZ:$BZ,'Cronog. e Histog.'!CL:CL),"")</f>
        <v>0</v>
      </c>
      <c r="R202" s="144">
        <f>IFERROR(_xlfn.XLOOKUP($B202,'Cronog. e Histog.'!$BZ:$BZ,'Cronog. e Histog.'!CM:CM),"")</f>
        <v>0</v>
      </c>
      <c r="S202" s="144">
        <f>IFERROR(_xlfn.XLOOKUP($B202,'Cronog. e Histog.'!$BZ:$BZ,'Cronog. e Histog.'!CN:CN),"")</f>
        <v>0</v>
      </c>
      <c r="T202" s="144">
        <f>IFERROR(_xlfn.XLOOKUP($B202,'Cronog. e Histog.'!$BZ:$BZ,'Cronog. e Histog.'!CO:CO),"")</f>
        <v>0</v>
      </c>
      <c r="U202" s="144">
        <f>IFERROR(_xlfn.XLOOKUP($B202,'Cronog. e Histog.'!$BZ:$BZ,'Cronog. e Histog.'!CP:CP),"")</f>
        <v>0</v>
      </c>
      <c r="V202" s="144">
        <f>IFERROR(_xlfn.XLOOKUP($B202,'Cronog. e Histog.'!$BZ:$BZ,'Cronog. e Histog.'!CQ:CQ),"")</f>
        <v>0</v>
      </c>
      <c r="W202" s="144">
        <f>IFERROR(_xlfn.XLOOKUP($B202,'Cronog. e Histog.'!$BZ:$BZ,'Cronog. e Histog.'!CR:CR),"")</f>
        <v>0</v>
      </c>
      <c r="X202" s="144">
        <f>IFERROR(_xlfn.XLOOKUP($B202,'Cronog. e Histog.'!$BZ:$BZ,'Cronog. e Histog.'!CS:CS),"")</f>
        <v>0</v>
      </c>
      <c r="Y202" s="144">
        <f>IFERROR(_xlfn.XLOOKUP($B202,'Cronog. e Histog.'!$BZ:$BZ,'Cronog. e Histog.'!CT:CT),"")</f>
        <v>0</v>
      </c>
      <c r="Z202" s="144">
        <f>IFERROR(_xlfn.XLOOKUP($B202,'Cronog. e Histog.'!$BZ:$BZ,'Cronog. e Histog.'!CU:CU),"")</f>
        <v>0</v>
      </c>
      <c r="AA202" s="144">
        <f>IFERROR(_xlfn.XLOOKUP($B202,'Cronog. e Histog.'!$BZ:$BZ,'Cronog. e Histog.'!CV:CV),"")</f>
        <v>0</v>
      </c>
      <c r="AB202" s="144">
        <f>IFERROR(_xlfn.XLOOKUP($B202,'Cronog. e Histog.'!$BZ:$BZ,'Cronog. e Histog.'!CW:CW),"")</f>
        <v>0</v>
      </c>
      <c r="AC202" s="144">
        <f>IFERROR(_xlfn.XLOOKUP($B202,'Cronog. e Histog.'!$BZ:$BZ,'Cronog. e Histog.'!CX:CX),"")</f>
        <v>0</v>
      </c>
      <c r="AD202" s="144">
        <f>IFERROR(_xlfn.XLOOKUP($B202,'Cronog. e Histog.'!$BZ:$BZ,'Cronog. e Histog.'!CY:CY),"")</f>
        <v>0</v>
      </c>
      <c r="AE202" s="144">
        <f>IFERROR(_xlfn.XLOOKUP($B202,'Cronog. e Histog.'!$BZ:$BZ,'Cronog. e Histog.'!CZ:CZ),"")</f>
        <v>0</v>
      </c>
      <c r="AF202" s="144">
        <f>IFERROR(_xlfn.XLOOKUP($B202,'Cronog. e Histog.'!$BZ:$BZ,'Cronog. e Histog.'!DA:DA),"")</f>
        <v>0</v>
      </c>
      <c r="AG202" s="144">
        <f>IFERROR(_xlfn.XLOOKUP($B202,'Cronog. e Histog.'!$BZ:$BZ,'Cronog. e Histog.'!DB:DB),"")</f>
        <v>0</v>
      </c>
      <c r="AH202" s="144">
        <f>IFERROR(_xlfn.XLOOKUP($B202,'Cronog. e Histog.'!$BZ:$BZ,'Cronog. e Histog.'!DC:DC),"")</f>
        <v>0</v>
      </c>
      <c r="AI202" s="144">
        <f>IFERROR(_xlfn.XLOOKUP($B202,'Cronog. e Histog.'!$BZ:$BZ,'Cronog. e Histog.'!DD:DD),"")</f>
        <v>0</v>
      </c>
      <c r="AJ202" s="144">
        <f>IFERROR(_xlfn.XLOOKUP($B202,'Cronog. e Histog.'!$BZ:$BZ,'Cronog. e Histog.'!DE:DE),"")</f>
        <v>0</v>
      </c>
      <c r="AK202" s="144">
        <f>IFERROR(_xlfn.XLOOKUP($B202,'Cronog. e Histog.'!$BZ:$BZ,'Cronog. e Histog.'!DF:DF),"")</f>
        <v>0</v>
      </c>
      <c r="AL202" s="144">
        <f>IFERROR(_xlfn.XLOOKUP($B202,'Cronog. e Histog.'!$BZ:$BZ,'Cronog. e Histog.'!DG:DG),"")</f>
        <v>0</v>
      </c>
      <c r="AM202" s="144">
        <f>IFERROR(_xlfn.XLOOKUP($B202,'Cronog. e Histog.'!$BZ:$BZ,'Cronog. e Histog.'!DH:DH),"")</f>
        <v>0</v>
      </c>
      <c r="AN202" s="144">
        <f>IFERROR(_xlfn.XLOOKUP($B202,'Cronog. e Histog.'!$BZ:$BZ,'Cronog. e Histog.'!DI:DI),"")</f>
        <v>0</v>
      </c>
      <c r="AO202" s="144">
        <f>IFERROR(_xlfn.XLOOKUP($B202,'Cronog. e Histog.'!$BZ:$BZ,'Cronog. e Histog.'!DJ:DJ),"")</f>
        <v>0</v>
      </c>
      <c r="AP202" s="144">
        <f>IFERROR(_xlfn.XLOOKUP($B202,'Cronog. e Histog.'!$BZ:$BZ,'Cronog. e Histog.'!DK:DK),"")</f>
        <v>0</v>
      </c>
      <c r="AQ202" s="144">
        <f>IFERROR(_xlfn.XLOOKUP($B202,'Cronog. e Histog.'!$BZ:$BZ,'Cronog. e Histog.'!DL:DL),"")</f>
        <v>0</v>
      </c>
      <c r="AR202" s="144">
        <f>IFERROR(_xlfn.XLOOKUP($B202,'Cronog. e Histog.'!$BZ:$BZ,'Cronog. e Histog.'!DM:DM),"")</f>
        <v>0</v>
      </c>
      <c r="AS202" s="144">
        <f>IFERROR(_xlfn.XLOOKUP($B202,'Cronog. e Histog.'!$BZ:$BZ,'Cronog. e Histog.'!DN:DN),"")</f>
        <v>0</v>
      </c>
      <c r="AT202" s="144">
        <f>IFERROR(_xlfn.XLOOKUP($B202,'Cronog. e Histog.'!$BZ:$BZ,'Cronog. e Histog.'!DO:DO),"")</f>
        <v>0</v>
      </c>
      <c r="AU202" s="144">
        <f>IFERROR(_xlfn.XLOOKUP($B202,'Cronog. e Histog.'!$BZ:$BZ,'Cronog. e Histog.'!DP:DP),"")</f>
        <v>0</v>
      </c>
      <c r="AV202" s="144">
        <f>IFERROR(_xlfn.XLOOKUP($B202,'Cronog. e Histog.'!$BZ:$BZ,'Cronog. e Histog.'!DQ:DQ),"")</f>
        <v>0</v>
      </c>
      <c r="AW202" s="144">
        <f>IFERROR(_xlfn.XLOOKUP($B202,'Cronog. e Histog.'!$BZ:$BZ,'Cronog. e Histog.'!DR:DR),"")</f>
        <v>0</v>
      </c>
      <c r="AX202" s="144">
        <f>IFERROR(_xlfn.XLOOKUP($B202,'Cronog. e Histog.'!$BZ:$BZ,'Cronog. e Histog.'!DS:DS),"")</f>
        <v>0</v>
      </c>
      <c r="AY202" s="144">
        <f>IFERROR(_xlfn.XLOOKUP($B202,'Cronog. e Histog.'!$BZ:$BZ,'Cronog. e Histog.'!DT:DT),"")</f>
        <v>0</v>
      </c>
      <c r="AZ202" s="144">
        <f>IFERROR(_xlfn.XLOOKUP($B202,'Cronog. e Histog.'!$BZ:$BZ,'Cronog. e Histog.'!DU:DU),"")</f>
        <v>0</v>
      </c>
      <c r="BA202" s="144">
        <f>IFERROR(_xlfn.XLOOKUP($B202,'Cronog. e Histog.'!$BZ:$BZ,'Cronog. e Histog.'!DV:DV),"")</f>
        <v>0</v>
      </c>
      <c r="BB202" s="144">
        <f>IFERROR(_xlfn.XLOOKUP($B202,'Cronog. e Histog.'!$BZ:$BZ,'Cronog. e Histog.'!DW:DW),"")</f>
        <v>0</v>
      </c>
      <c r="BC202" s="144">
        <f>IFERROR(_xlfn.XLOOKUP($B202,'Cronog. e Histog.'!$BZ:$BZ,'Cronog. e Histog.'!DX:DX),"")</f>
        <v>0</v>
      </c>
      <c r="BD202" s="144">
        <f>IFERROR(_xlfn.XLOOKUP($B202,'Cronog. e Histog.'!$BZ:$BZ,'Cronog. e Histog.'!DY:DY),"")</f>
        <v>0</v>
      </c>
      <c r="BE202" s="144">
        <f>IFERROR(_xlfn.XLOOKUP($B202,'Cronog. e Histog.'!$BZ:$BZ,'Cronog. e Histog.'!DZ:DZ),"")</f>
        <v>0</v>
      </c>
      <c r="BF202" s="144">
        <f>IFERROR(_xlfn.XLOOKUP($B202,'Cronog. e Histog.'!$BZ:$BZ,'Cronog. e Histog.'!EA:EA),"")</f>
        <v>0</v>
      </c>
      <c r="BG202" s="144">
        <f>IFERROR(_xlfn.XLOOKUP($B202,'Cronog. e Histog.'!$BZ:$BZ,'Cronog. e Histog.'!EB:EB),"")</f>
        <v>0</v>
      </c>
      <c r="BH202" s="144">
        <f>IFERROR(_xlfn.XLOOKUP($B202,'Cronog. e Histog.'!$BZ:$BZ,'Cronog. e Histog.'!EC:EC),"")</f>
        <v>0</v>
      </c>
      <c r="BI202" s="144">
        <f>IFERROR(_xlfn.XLOOKUP($B202,'Cronog. e Histog.'!$BZ:$BZ,'Cronog. e Histog.'!ED:ED),"")</f>
        <v>0</v>
      </c>
      <c r="BJ202" s="144">
        <f>IFERROR(_xlfn.XLOOKUP($B202,'Cronog. e Histog.'!$BZ:$BZ,'Cronog. e Histog.'!EE:EE),"")</f>
        <v>0</v>
      </c>
      <c r="BK202" s="144">
        <f>IFERROR(_xlfn.XLOOKUP($B202,'Cronog. e Histog.'!$BZ:$BZ,'Cronog. e Histog.'!EF:EF),"")</f>
        <v>0</v>
      </c>
      <c r="BL202" s="144">
        <f>IFERROR(_xlfn.XLOOKUP($B202,'Cronog. e Histog.'!$BZ:$BZ,'Cronog. e Histog.'!EG:EG),"")</f>
        <v>0</v>
      </c>
      <c r="BM202" s="144">
        <f>IFERROR(_xlfn.XLOOKUP($B202,'Cronog. e Histog.'!$BZ:$BZ,'Cronog. e Histog.'!EH:EH),"")</f>
        <v>0</v>
      </c>
      <c r="BN202" s="144">
        <f>IFERROR(_xlfn.XLOOKUP($B202,'Cronog. e Histog.'!$BZ:$BZ,'Cronog. e Histog.'!EI:EI),"")</f>
        <v>0</v>
      </c>
    </row>
    <row r="203" spans="2:66" ht="12" hidden="1" customHeight="1" outlineLevel="1">
      <c r="B203" s="76">
        <v>197</v>
      </c>
      <c r="C203" s="143" t="str">
        <f>IFERROR(VLOOKUP(B203,'Cronog. e Histog.'!$BZ$213:$CA$747,2,0),"")</f>
        <v>AUX ADM</v>
      </c>
      <c r="D203" s="144">
        <f t="shared" si="6"/>
        <v>0</v>
      </c>
      <c r="E203" s="144">
        <f t="shared" si="7"/>
        <v>0</v>
      </c>
      <c r="F203" s="65"/>
      <c r="G203" s="144">
        <f>IFERROR(_xlfn.XLOOKUP($B203,'Cronog. e Histog.'!$BZ:$BZ,'Cronog. e Histog.'!CB:CB),"")</f>
        <v>0</v>
      </c>
      <c r="H203" s="144">
        <f>IFERROR(_xlfn.XLOOKUP($B203,'Cronog. e Histog.'!$BZ:$BZ,'Cronog. e Histog.'!CC:CC),"")</f>
        <v>0</v>
      </c>
      <c r="I203" s="144">
        <f>IFERROR(_xlfn.XLOOKUP($B203,'Cronog. e Histog.'!$BZ:$BZ,'Cronog. e Histog.'!CD:CD),"")</f>
        <v>0</v>
      </c>
      <c r="J203" s="144">
        <f>IFERROR(_xlfn.XLOOKUP($B203,'Cronog. e Histog.'!$BZ:$BZ,'Cronog. e Histog.'!CE:CE),"")</f>
        <v>0</v>
      </c>
      <c r="K203" s="144">
        <f>IFERROR(_xlfn.XLOOKUP($B203,'Cronog. e Histog.'!$BZ:$BZ,'Cronog. e Histog.'!CF:CF),"")</f>
        <v>0</v>
      </c>
      <c r="L203" s="144">
        <f>IFERROR(_xlfn.XLOOKUP($B203,'Cronog. e Histog.'!$BZ:$BZ,'Cronog. e Histog.'!CG:CG),"")</f>
        <v>0</v>
      </c>
      <c r="M203" s="144">
        <f>IFERROR(_xlfn.XLOOKUP($B203,'Cronog. e Histog.'!$BZ:$BZ,'Cronog. e Histog.'!CH:CH),"")</f>
        <v>0</v>
      </c>
      <c r="N203" s="144">
        <f>IFERROR(_xlfn.XLOOKUP($B203,'Cronog. e Histog.'!$BZ:$BZ,'Cronog. e Histog.'!CI:CI),"")</f>
        <v>0</v>
      </c>
      <c r="O203" s="144">
        <f>IFERROR(_xlfn.XLOOKUP($B203,'Cronog. e Histog.'!$BZ:$BZ,'Cronog. e Histog.'!CJ:CJ),"")</f>
        <v>0</v>
      </c>
      <c r="P203" s="144">
        <f>IFERROR(_xlfn.XLOOKUP($B203,'Cronog. e Histog.'!$BZ:$BZ,'Cronog. e Histog.'!CK:CK),"")</f>
        <v>0</v>
      </c>
      <c r="Q203" s="144">
        <f>IFERROR(_xlfn.XLOOKUP($B203,'Cronog. e Histog.'!$BZ:$BZ,'Cronog. e Histog.'!CL:CL),"")</f>
        <v>0</v>
      </c>
      <c r="R203" s="144">
        <f>IFERROR(_xlfn.XLOOKUP($B203,'Cronog. e Histog.'!$BZ:$BZ,'Cronog. e Histog.'!CM:CM),"")</f>
        <v>0</v>
      </c>
      <c r="S203" s="144">
        <f>IFERROR(_xlfn.XLOOKUP($B203,'Cronog. e Histog.'!$BZ:$BZ,'Cronog. e Histog.'!CN:CN),"")</f>
        <v>0</v>
      </c>
      <c r="T203" s="144">
        <f>IFERROR(_xlfn.XLOOKUP($B203,'Cronog. e Histog.'!$BZ:$BZ,'Cronog. e Histog.'!CO:CO),"")</f>
        <v>0</v>
      </c>
      <c r="U203" s="144">
        <f>IFERROR(_xlfn.XLOOKUP($B203,'Cronog. e Histog.'!$BZ:$BZ,'Cronog. e Histog.'!CP:CP),"")</f>
        <v>0</v>
      </c>
      <c r="V203" s="144">
        <f>IFERROR(_xlfn.XLOOKUP($B203,'Cronog. e Histog.'!$BZ:$BZ,'Cronog. e Histog.'!CQ:CQ),"")</f>
        <v>0</v>
      </c>
      <c r="W203" s="144">
        <f>IFERROR(_xlfn.XLOOKUP($B203,'Cronog. e Histog.'!$BZ:$BZ,'Cronog. e Histog.'!CR:CR),"")</f>
        <v>0</v>
      </c>
      <c r="X203" s="144">
        <f>IFERROR(_xlfn.XLOOKUP($B203,'Cronog. e Histog.'!$BZ:$BZ,'Cronog. e Histog.'!CS:CS),"")</f>
        <v>0</v>
      </c>
      <c r="Y203" s="144">
        <f>IFERROR(_xlfn.XLOOKUP($B203,'Cronog. e Histog.'!$BZ:$BZ,'Cronog. e Histog.'!CT:CT),"")</f>
        <v>0</v>
      </c>
      <c r="Z203" s="144">
        <f>IFERROR(_xlfn.XLOOKUP($B203,'Cronog. e Histog.'!$BZ:$BZ,'Cronog. e Histog.'!CU:CU),"")</f>
        <v>0</v>
      </c>
      <c r="AA203" s="144">
        <f>IFERROR(_xlfn.XLOOKUP($B203,'Cronog. e Histog.'!$BZ:$BZ,'Cronog. e Histog.'!CV:CV),"")</f>
        <v>0</v>
      </c>
      <c r="AB203" s="144">
        <f>IFERROR(_xlfn.XLOOKUP($B203,'Cronog. e Histog.'!$BZ:$BZ,'Cronog. e Histog.'!CW:CW),"")</f>
        <v>0</v>
      </c>
      <c r="AC203" s="144">
        <f>IFERROR(_xlfn.XLOOKUP($B203,'Cronog. e Histog.'!$BZ:$BZ,'Cronog. e Histog.'!CX:CX),"")</f>
        <v>0</v>
      </c>
      <c r="AD203" s="144">
        <f>IFERROR(_xlfn.XLOOKUP($B203,'Cronog. e Histog.'!$BZ:$BZ,'Cronog. e Histog.'!CY:CY),"")</f>
        <v>0</v>
      </c>
      <c r="AE203" s="144">
        <f>IFERROR(_xlfn.XLOOKUP($B203,'Cronog. e Histog.'!$BZ:$BZ,'Cronog. e Histog.'!CZ:CZ),"")</f>
        <v>0</v>
      </c>
      <c r="AF203" s="144">
        <f>IFERROR(_xlfn.XLOOKUP($B203,'Cronog. e Histog.'!$BZ:$BZ,'Cronog. e Histog.'!DA:DA),"")</f>
        <v>0</v>
      </c>
      <c r="AG203" s="144">
        <f>IFERROR(_xlfn.XLOOKUP($B203,'Cronog. e Histog.'!$BZ:$BZ,'Cronog. e Histog.'!DB:DB),"")</f>
        <v>0</v>
      </c>
      <c r="AH203" s="144">
        <f>IFERROR(_xlfn.XLOOKUP($B203,'Cronog. e Histog.'!$BZ:$BZ,'Cronog. e Histog.'!DC:DC),"")</f>
        <v>0</v>
      </c>
      <c r="AI203" s="144">
        <f>IFERROR(_xlfn.XLOOKUP($B203,'Cronog. e Histog.'!$BZ:$BZ,'Cronog. e Histog.'!DD:DD),"")</f>
        <v>0</v>
      </c>
      <c r="AJ203" s="144">
        <f>IFERROR(_xlfn.XLOOKUP($B203,'Cronog. e Histog.'!$BZ:$BZ,'Cronog. e Histog.'!DE:DE),"")</f>
        <v>0</v>
      </c>
      <c r="AK203" s="144">
        <f>IFERROR(_xlfn.XLOOKUP($B203,'Cronog. e Histog.'!$BZ:$BZ,'Cronog. e Histog.'!DF:DF),"")</f>
        <v>0</v>
      </c>
      <c r="AL203" s="144">
        <f>IFERROR(_xlfn.XLOOKUP($B203,'Cronog. e Histog.'!$BZ:$BZ,'Cronog. e Histog.'!DG:DG),"")</f>
        <v>0</v>
      </c>
      <c r="AM203" s="144">
        <f>IFERROR(_xlfn.XLOOKUP($B203,'Cronog. e Histog.'!$BZ:$BZ,'Cronog. e Histog.'!DH:DH),"")</f>
        <v>0</v>
      </c>
      <c r="AN203" s="144">
        <f>IFERROR(_xlfn.XLOOKUP($B203,'Cronog. e Histog.'!$BZ:$BZ,'Cronog. e Histog.'!DI:DI),"")</f>
        <v>0</v>
      </c>
      <c r="AO203" s="144">
        <f>IFERROR(_xlfn.XLOOKUP($B203,'Cronog. e Histog.'!$BZ:$BZ,'Cronog. e Histog.'!DJ:DJ),"")</f>
        <v>0</v>
      </c>
      <c r="AP203" s="144">
        <f>IFERROR(_xlfn.XLOOKUP($B203,'Cronog. e Histog.'!$BZ:$BZ,'Cronog. e Histog.'!DK:DK),"")</f>
        <v>0</v>
      </c>
      <c r="AQ203" s="144">
        <f>IFERROR(_xlfn.XLOOKUP($B203,'Cronog. e Histog.'!$BZ:$BZ,'Cronog. e Histog.'!DL:DL),"")</f>
        <v>0</v>
      </c>
      <c r="AR203" s="144">
        <f>IFERROR(_xlfn.XLOOKUP($B203,'Cronog. e Histog.'!$BZ:$BZ,'Cronog. e Histog.'!DM:DM),"")</f>
        <v>0</v>
      </c>
      <c r="AS203" s="144">
        <f>IFERROR(_xlfn.XLOOKUP($B203,'Cronog. e Histog.'!$BZ:$BZ,'Cronog. e Histog.'!DN:DN),"")</f>
        <v>0</v>
      </c>
      <c r="AT203" s="144">
        <f>IFERROR(_xlfn.XLOOKUP($B203,'Cronog. e Histog.'!$BZ:$BZ,'Cronog. e Histog.'!DO:DO),"")</f>
        <v>0</v>
      </c>
      <c r="AU203" s="144">
        <f>IFERROR(_xlfn.XLOOKUP($B203,'Cronog. e Histog.'!$BZ:$BZ,'Cronog. e Histog.'!DP:DP),"")</f>
        <v>0</v>
      </c>
      <c r="AV203" s="144">
        <f>IFERROR(_xlfn.XLOOKUP($B203,'Cronog. e Histog.'!$BZ:$BZ,'Cronog. e Histog.'!DQ:DQ),"")</f>
        <v>0</v>
      </c>
      <c r="AW203" s="144">
        <f>IFERROR(_xlfn.XLOOKUP($B203,'Cronog. e Histog.'!$BZ:$BZ,'Cronog. e Histog.'!DR:DR),"")</f>
        <v>0</v>
      </c>
      <c r="AX203" s="144">
        <f>IFERROR(_xlfn.XLOOKUP($B203,'Cronog. e Histog.'!$BZ:$BZ,'Cronog. e Histog.'!DS:DS),"")</f>
        <v>0</v>
      </c>
      <c r="AY203" s="144">
        <f>IFERROR(_xlfn.XLOOKUP($B203,'Cronog. e Histog.'!$BZ:$BZ,'Cronog. e Histog.'!DT:DT),"")</f>
        <v>0</v>
      </c>
      <c r="AZ203" s="144">
        <f>IFERROR(_xlfn.XLOOKUP($B203,'Cronog. e Histog.'!$BZ:$BZ,'Cronog. e Histog.'!DU:DU),"")</f>
        <v>0</v>
      </c>
      <c r="BA203" s="144">
        <f>IFERROR(_xlfn.XLOOKUP($B203,'Cronog. e Histog.'!$BZ:$BZ,'Cronog. e Histog.'!DV:DV),"")</f>
        <v>0</v>
      </c>
      <c r="BB203" s="144">
        <f>IFERROR(_xlfn.XLOOKUP($B203,'Cronog. e Histog.'!$BZ:$BZ,'Cronog. e Histog.'!DW:DW),"")</f>
        <v>0</v>
      </c>
      <c r="BC203" s="144">
        <f>IFERROR(_xlfn.XLOOKUP($B203,'Cronog. e Histog.'!$BZ:$BZ,'Cronog. e Histog.'!DX:DX),"")</f>
        <v>0</v>
      </c>
      <c r="BD203" s="144">
        <f>IFERROR(_xlfn.XLOOKUP($B203,'Cronog. e Histog.'!$BZ:$BZ,'Cronog. e Histog.'!DY:DY),"")</f>
        <v>0</v>
      </c>
      <c r="BE203" s="144">
        <f>IFERROR(_xlfn.XLOOKUP($B203,'Cronog. e Histog.'!$BZ:$BZ,'Cronog. e Histog.'!DZ:DZ),"")</f>
        <v>0</v>
      </c>
      <c r="BF203" s="144">
        <f>IFERROR(_xlfn.XLOOKUP($B203,'Cronog. e Histog.'!$BZ:$BZ,'Cronog. e Histog.'!EA:EA),"")</f>
        <v>0</v>
      </c>
      <c r="BG203" s="144">
        <f>IFERROR(_xlfn.XLOOKUP($B203,'Cronog. e Histog.'!$BZ:$BZ,'Cronog. e Histog.'!EB:EB),"")</f>
        <v>0</v>
      </c>
      <c r="BH203" s="144">
        <f>IFERROR(_xlfn.XLOOKUP($B203,'Cronog. e Histog.'!$BZ:$BZ,'Cronog. e Histog.'!EC:EC),"")</f>
        <v>0</v>
      </c>
      <c r="BI203" s="144">
        <f>IFERROR(_xlfn.XLOOKUP($B203,'Cronog. e Histog.'!$BZ:$BZ,'Cronog. e Histog.'!ED:ED),"")</f>
        <v>0</v>
      </c>
      <c r="BJ203" s="144">
        <f>IFERROR(_xlfn.XLOOKUP($B203,'Cronog. e Histog.'!$BZ:$BZ,'Cronog. e Histog.'!EE:EE),"")</f>
        <v>0</v>
      </c>
      <c r="BK203" s="144">
        <f>IFERROR(_xlfn.XLOOKUP($B203,'Cronog. e Histog.'!$BZ:$BZ,'Cronog. e Histog.'!EF:EF),"")</f>
        <v>0</v>
      </c>
      <c r="BL203" s="144">
        <f>IFERROR(_xlfn.XLOOKUP($B203,'Cronog. e Histog.'!$BZ:$BZ,'Cronog. e Histog.'!EG:EG),"")</f>
        <v>0</v>
      </c>
      <c r="BM203" s="144">
        <f>IFERROR(_xlfn.XLOOKUP($B203,'Cronog. e Histog.'!$BZ:$BZ,'Cronog. e Histog.'!EH:EH),"")</f>
        <v>0</v>
      </c>
      <c r="BN203" s="144">
        <f>IFERROR(_xlfn.XLOOKUP($B203,'Cronog. e Histog.'!$BZ:$BZ,'Cronog. e Histog.'!EI:EI),"")</f>
        <v>0</v>
      </c>
    </row>
    <row r="204" spans="2:66" ht="12" hidden="1" customHeight="1" outlineLevel="1">
      <c r="B204" s="76">
        <v>198</v>
      </c>
      <c r="C204" s="143" t="str">
        <f>IFERROR(VLOOKUP(B204,'Cronog. e Histog.'!$BZ$213:$CA$747,2,0),"")</f>
        <v>EST</v>
      </c>
      <c r="D204" s="144">
        <f t="shared" si="6"/>
        <v>0</v>
      </c>
      <c r="E204" s="144">
        <f t="shared" si="7"/>
        <v>0</v>
      </c>
      <c r="F204" s="65"/>
      <c r="G204" s="144">
        <f>IFERROR(_xlfn.XLOOKUP($B204,'Cronog. e Histog.'!$BZ:$BZ,'Cronog. e Histog.'!CB:CB),"")</f>
        <v>0</v>
      </c>
      <c r="H204" s="144">
        <f>IFERROR(_xlfn.XLOOKUP($B204,'Cronog. e Histog.'!$BZ:$BZ,'Cronog. e Histog.'!CC:CC),"")</f>
        <v>0</v>
      </c>
      <c r="I204" s="144">
        <f>IFERROR(_xlfn.XLOOKUP($B204,'Cronog. e Histog.'!$BZ:$BZ,'Cronog. e Histog.'!CD:CD),"")</f>
        <v>0</v>
      </c>
      <c r="J204" s="144">
        <f>IFERROR(_xlfn.XLOOKUP($B204,'Cronog. e Histog.'!$BZ:$BZ,'Cronog. e Histog.'!CE:CE),"")</f>
        <v>0</v>
      </c>
      <c r="K204" s="144">
        <f>IFERROR(_xlfn.XLOOKUP($B204,'Cronog. e Histog.'!$BZ:$BZ,'Cronog. e Histog.'!CF:CF),"")</f>
        <v>0</v>
      </c>
      <c r="L204" s="144">
        <f>IFERROR(_xlfn.XLOOKUP($B204,'Cronog. e Histog.'!$BZ:$BZ,'Cronog. e Histog.'!CG:CG),"")</f>
        <v>0</v>
      </c>
      <c r="M204" s="144">
        <f>IFERROR(_xlfn.XLOOKUP($B204,'Cronog. e Histog.'!$BZ:$BZ,'Cronog. e Histog.'!CH:CH),"")</f>
        <v>0</v>
      </c>
      <c r="N204" s="144">
        <f>IFERROR(_xlfn.XLOOKUP($B204,'Cronog. e Histog.'!$BZ:$BZ,'Cronog. e Histog.'!CI:CI),"")</f>
        <v>0</v>
      </c>
      <c r="O204" s="144">
        <f>IFERROR(_xlfn.XLOOKUP($B204,'Cronog. e Histog.'!$BZ:$BZ,'Cronog. e Histog.'!CJ:CJ),"")</f>
        <v>0</v>
      </c>
      <c r="P204" s="144">
        <f>IFERROR(_xlfn.XLOOKUP($B204,'Cronog. e Histog.'!$BZ:$BZ,'Cronog. e Histog.'!CK:CK),"")</f>
        <v>0</v>
      </c>
      <c r="Q204" s="144">
        <f>IFERROR(_xlfn.XLOOKUP($B204,'Cronog. e Histog.'!$BZ:$BZ,'Cronog. e Histog.'!CL:CL),"")</f>
        <v>0</v>
      </c>
      <c r="R204" s="144">
        <f>IFERROR(_xlfn.XLOOKUP($B204,'Cronog. e Histog.'!$BZ:$BZ,'Cronog. e Histog.'!CM:CM),"")</f>
        <v>0</v>
      </c>
      <c r="S204" s="144">
        <f>IFERROR(_xlfn.XLOOKUP($B204,'Cronog. e Histog.'!$BZ:$BZ,'Cronog. e Histog.'!CN:CN),"")</f>
        <v>0</v>
      </c>
      <c r="T204" s="144">
        <f>IFERROR(_xlfn.XLOOKUP($B204,'Cronog. e Histog.'!$BZ:$BZ,'Cronog. e Histog.'!CO:CO),"")</f>
        <v>0</v>
      </c>
      <c r="U204" s="144">
        <f>IFERROR(_xlfn.XLOOKUP($B204,'Cronog. e Histog.'!$BZ:$BZ,'Cronog. e Histog.'!CP:CP),"")</f>
        <v>0</v>
      </c>
      <c r="V204" s="144">
        <f>IFERROR(_xlfn.XLOOKUP($B204,'Cronog. e Histog.'!$BZ:$BZ,'Cronog. e Histog.'!CQ:CQ),"")</f>
        <v>0</v>
      </c>
      <c r="W204" s="144">
        <f>IFERROR(_xlfn.XLOOKUP($B204,'Cronog. e Histog.'!$BZ:$BZ,'Cronog. e Histog.'!CR:CR),"")</f>
        <v>0</v>
      </c>
      <c r="X204" s="144">
        <f>IFERROR(_xlfn.XLOOKUP($B204,'Cronog. e Histog.'!$BZ:$BZ,'Cronog. e Histog.'!CS:CS),"")</f>
        <v>0</v>
      </c>
      <c r="Y204" s="144">
        <f>IFERROR(_xlfn.XLOOKUP($B204,'Cronog. e Histog.'!$BZ:$BZ,'Cronog. e Histog.'!CT:CT),"")</f>
        <v>0</v>
      </c>
      <c r="Z204" s="144">
        <f>IFERROR(_xlfn.XLOOKUP($B204,'Cronog. e Histog.'!$BZ:$BZ,'Cronog. e Histog.'!CU:CU),"")</f>
        <v>0</v>
      </c>
      <c r="AA204" s="144">
        <f>IFERROR(_xlfn.XLOOKUP($B204,'Cronog. e Histog.'!$BZ:$BZ,'Cronog. e Histog.'!CV:CV),"")</f>
        <v>0</v>
      </c>
      <c r="AB204" s="144">
        <f>IFERROR(_xlfn.XLOOKUP($B204,'Cronog. e Histog.'!$BZ:$BZ,'Cronog. e Histog.'!CW:CW),"")</f>
        <v>0</v>
      </c>
      <c r="AC204" s="144">
        <f>IFERROR(_xlfn.XLOOKUP($B204,'Cronog. e Histog.'!$BZ:$BZ,'Cronog. e Histog.'!CX:CX),"")</f>
        <v>0</v>
      </c>
      <c r="AD204" s="144">
        <f>IFERROR(_xlfn.XLOOKUP($B204,'Cronog. e Histog.'!$BZ:$BZ,'Cronog. e Histog.'!CY:CY),"")</f>
        <v>0</v>
      </c>
      <c r="AE204" s="144">
        <f>IFERROR(_xlfn.XLOOKUP($B204,'Cronog. e Histog.'!$BZ:$BZ,'Cronog. e Histog.'!CZ:CZ),"")</f>
        <v>0</v>
      </c>
      <c r="AF204" s="144">
        <f>IFERROR(_xlfn.XLOOKUP($B204,'Cronog. e Histog.'!$BZ:$BZ,'Cronog. e Histog.'!DA:DA),"")</f>
        <v>0</v>
      </c>
      <c r="AG204" s="144">
        <f>IFERROR(_xlfn.XLOOKUP($B204,'Cronog. e Histog.'!$BZ:$BZ,'Cronog. e Histog.'!DB:DB),"")</f>
        <v>0</v>
      </c>
      <c r="AH204" s="144">
        <f>IFERROR(_xlfn.XLOOKUP($B204,'Cronog. e Histog.'!$BZ:$BZ,'Cronog. e Histog.'!DC:DC),"")</f>
        <v>0</v>
      </c>
      <c r="AI204" s="144">
        <f>IFERROR(_xlfn.XLOOKUP($B204,'Cronog. e Histog.'!$BZ:$BZ,'Cronog. e Histog.'!DD:DD),"")</f>
        <v>0</v>
      </c>
      <c r="AJ204" s="144">
        <f>IFERROR(_xlfn.XLOOKUP($B204,'Cronog. e Histog.'!$BZ:$BZ,'Cronog. e Histog.'!DE:DE),"")</f>
        <v>0</v>
      </c>
      <c r="AK204" s="144">
        <f>IFERROR(_xlfn.XLOOKUP($B204,'Cronog. e Histog.'!$BZ:$BZ,'Cronog. e Histog.'!DF:DF),"")</f>
        <v>0</v>
      </c>
      <c r="AL204" s="144">
        <f>IFERROR(_xlfn.XLOOKUP($B204,'Cronog. e Histog.'!$BZ:$BZ,'Cronog. e Histog.'!DG:DG),"")</f>
        <v>0</v>
      </c>
      <c r="AM204" s="144">
        <f>IFERROR(_xlfn.XLOOKUP($B204,'Cronog. e Histog.'!$BZ:$BZ,'Cronog. e Histog.'!DH:DH),"")</f>
        <v>0</v>
      </c>
      <c r="AN204" s="144">
        <f>IFERROR(_xlfn.XLOOKUP($B204,'Cronog. e Histog.'!$BZ:$BZ,'Cronog. e Histog.'!DI:DI),"")</f>
        <v>0</v>
      </c>
      <c r="AO204" s="144">
        <f>IFERROR(_xlfn.XLOOKUP($B204,'Cronog. e Histog.'!$BZ:$BZ,'Cronog. e Histog.'!DJ:DJ),"")</f>
        <v>0</v>
      </c>
      <c r="AP204" s="144">
        <f>IFERROR(_xlfn.XLOOKUP($B204,'Cronog. e Histog.'!$BZ:$BZ,'Cronog. e Histog.'!DK:DK),"")</f>
        <v>0</v>
      </c>
      <c r="AQ204" s="144">
        <f>IFERROR(_xlfn.XLOOKUP($B204,'Cronog. e Histog.'!$BZ:$BZ,'Cronog. e Histog.'!DL:DL),"")</f>
        <v>0</v>
      </c>
      <c r="AR204" s="144">
        <f>IFERROR(_xlfn.XLOOKUP($B204,'Cronog. e Histog.'!$BZ:$BZ,'Cronog. e Histog.'!DM:DM),"")</f>
        <v>0</v>
      </c>
      <c r="AS204" s="144">
        <f>IFERROR(_xlfn.XLOOKUP($B204,'Cronog. e Histog.'!$BZ:$BZ,'Cronog. e Histog.'!DN:DN),"")</f>
        <v>0</v>
      </c>
      <c r="AT204" s="144">
        <f>IFERROR(_xlfn.XLOOKUP($B204,'Cronog. e Histog.'!$BZ:$BZ,'Cronog. e Histog.'!DO:DO),"")</f>
        <v>0</v>
      </c>
      <c r="AU204" s="144">
        <f>IFERROR(_xlfn.XLOOKUP($B204,'Cronog. e Histog.'!$BZ:$BZ,'Cronog. e Histog.'!DP:DP),"")</f>
        <v>0</v>
      </c>
      <c r="AV204" s="144">
        <f>IFERROR(_xlfn.XLOOKUP($B204,'Cronog. e Histog.'!$BZ:$BZ,'Cronog. e Histog.'!DQ:DQ),"")</f>
        <v>0</v>
      </c>
      <c r="AW204" s="144">
        <f>IFERROR(_xlfn.XLOOKUP($B204,'Cronog. e Histog.'!$BZ:$BZ,'Cronog. e Histog.'!DR:DR),"")</f>
        <v>0</v>
      </c>
      <c r="AX204" s="144">
        <f>IFERROR(_xlfn.XLOOKUP($B204,'Cronog. e Histog.'!$BZ:$BZ,'Cronog. e Histog.'!DS:DS),"")</f>
        <v>0</v>
      </c>
      <c r="AY204" s="144">
        <f>IFERROR(_xlfn.XLOOKUP($B204,'Cronog. e Histog.'!$BZ:$BZ,'Cronog. e Histog.'!DT:DT),"")</f>
        <v>0</v>
      </c>
      <c r="AZ204" s="144">
        <f>IFERROR(_xlfn.XLOOKUP($B204,'Cronog. e Histog.'!$BZ:$BZ,'Cronog. e Histog.'!DU:DU),"")</f>
        <v>0</v>
      </c>
      <c r="BA204" s="144">
        <f>IFERROR(_xlfn.XLOOKUP($B204,'Cronog. e Histog.'!$BZ:$BZ,'Cronog. e Histog.'!DV:DV),"")</f>
        <v>0</v>
      </c>
      <c r="BB204" s="144">
        <f>IFERROR(_xlfn.XLOOKUP($B204,'Cronog. e Histog.'!$BZ:$BZ,'Cronog. e Histog.'!DW:DW),"")</f>
        <v>0</v>
      </c>
      <c r="BC204" s="144">
        <f>IFERROR(_xlfn.XLOOKUP($B204,'Cronog. e Histog.'!$BZ:$BZ,'Cronog. e Histog.'!DX:DX),"")</f>
        <v>0</v>
      </c>
      <c r="BD204" s="144">
        <f>IFERROR(_xlfn.XLOOKUP($B204,'Cronog. e Histog.'!$BZ:$BZ,'Cronog. e Histog.'!DY:DY),"")</f>
        <v>0</v>
      </c>
      <c r="BE204" s="144">
        <f>IFERROR(_xlfn.XLOOKUP($B204,'Cronog. e Histog.'!$BZ:$BZ,'Cronog. e Histog.'!DZ:DZ),"")</f>
        <v>0</v>
      </c>
      <c r="BF204" s="144">
        <f>IFERROR(_xlfn.XLOOKUP($B204,'Cronog. e Histog.'!$BZ:$BZ,'Cronog. e Histog.'!EA:EA),"")</f>
        <v>0</v>
      </c>
      <c r="BG204" s="144">
        <f>IFERROR(_xlfn.XLOOKUP($B204,'Cronog. e Histog.'!$BZ:$BZ,'Cronog. e Histog.'!EB:EB),"")</f>
        <v>0</v>
      </c>
      <c r="BH204" s="144">
        <f>IFERROR(_xlfn.XLOOKUP($B204,'Cronog. e Histog.'!$BZ:$BZ,'Cronog. e Histog.'!EC:EC),"")</f>
        <v>0</v>
      </c>
      <c r="BI204" s="144">
        <f>IFERROR(_xlfn.XLOOKUP($B204,'Cronog. e Histog.'!$BZ:$BZ,'Cronog. e Histog.'!ED:ED),"")</f>
        <v>0</v>
      </c>
      <c r="BJ204" s="144">
        <f>IFERROR(_xlfn.XLOOKUP($B204,'Cronog. e Histog.'!$BZ:$BZ,'Cronog. e Histog.'!EE:EE),"")</f>
        <v>0</v>
      </c>
      <c r="BK204" s="144">
        <f>IFERROR(_xlfn.XLOOKUP($B204,'Cronog. e Histog.'!$BZ:$BZ,'Cronog. e Histog.'!EF:EF),"")</f>
        <v>0</v>
      </c>
      <c r="BL204" s="144">
        <f>IFERROR(_xlfn.XLOOKUP($B204,'Cronog. e Histog.'!$BZ:$BZ,'Cronog. e Histog.'!EG:EG),"")</f>
        <v>0</v>
      </c>
      <c r="BM204" s="144">
        <f>IFERROR(_xlfn.XLOOKUP($B204,'Cronog. e Histog.'!$BZ:$BZ,'Cronog. e Histog.'!EH:EH),"")</f>
        <v>0</v>
      </c>
      <c r="BN204" s="144">
        <f>IFERROR(_xlfn.XLOOKUP($B204,'Cronog. e Histog.'!$BZ:$BZ,'Cronog. e Histog.'!EI:EI),"")</f>
        <v>0</v>
      </c>
    </row>
    <row r="205" spans="2:66" ht="12" hidden="1" customHeight="1" outlineLevel="1">
      <c r="B205" s="76">
        <v>199</v>
      </c>
      <c r="C205" s="143" t="str">
        <f>IFERROR(VLOOKUP(B205,'Cronog. e Histog.'!$BZ$213:$CA$747,2,0),"")</f>
        <v>EST_II</v>
      </c>
      <c r="D205" s="144">
        <f t="shared" si="6"/>
        <v>0</v>
      </c>
      <c r="E205" s="144">
        <f t="shared" si="7"/>
        <v>0</v>
      </c>
      <c r="F205" s="65"/>
      <c r="G205" s="144">
        <f>IFERROR(_xlfn.XLOOKUP($B205,'Cronog. e Histog.'!$BZ:$BZ,'Cronog. e Histog.'!CB:CB),"")</f>
        <v>0</v>
      </c>
      <c r="H205" s="144">
        <f>IFERROR(_xlfn.XLOOKUP($B205,'Cronog. e Histog.'!$BZ:$BZ,'Cronog. e Histog.'!CC:CC),"")</f>
        <v>0</v>
      </c>
      <c r="I205" s="144">
        <f>IFERROR(_xlfn.XLOOKUP($B205,'Cronog. e Histog.'!$BZ:$BZ,'Cronog. e Histog.'!CD:CD),"")</f>
        <v>0</v>
      </c>
      <c r="J205" s="144">
        <f>IFERROR(_xlfn.XLOOKUP($B205,'Cronog. e Histog.'!$BZ:$BZ,'Cronog. e Histog.'!CE:CE),"")</f>
        <v>0</v>
      </c>
      <c r="K205" s="144">
        <f>IFERROR(_xlfn.XLOOKUP($B205,'Cronog. e Histog.'!$BZ:$BZ,'Cronog. e Histog.'!CF:CF),"")</f>
        <v>0</v>
      </c>
      <c r="L205" s="144">
        <f>IFERROR(_xlfn.XLOOKUP($B205,'Cronog. e Histog.'!$BZ:$BZ,'Cronog. e Histog.'!CG:CG),"")</f>
        <v>0</v>
      </c>
      <c r="M205" s="144">
        <f>IFERROR(_xlfn.XLOOKUP($B205,'Cronog. e Histog.'!$BZ:$BZ,'Cronog. e Histog.'!CH:CH),"")</f>
        <v>0</v>
      </c>
      <c r="N205" s="144">
        <f>IFERROR(_xlfn.XLOOKUP($B205,'Cronog. e Histog.'!$BZ:$BZ,'Cronog. e Histog.'!CI:CI),"")</f>
        <v>0</v>
      </c>
      <c r="O205" s="144">
        <f>IFERROR(_xlfn.XLOOKUP($B205,'Cronog. e Histog.'!$BZ:$BZ,'Cronog. e Histog.'!CJ:CJ),"")</f>
        <v>0</v>
      </c>
      <c r="P205" s="144">
        <f>IFERROR(_xlfn.XLOOKUP($B205,'Cronog. e Histog.'!$BZ:$BZ,'Cronog. e Histog.'!CK:CK),"")</f>
        <v>0</v>
      </c>
      <c r="Q205" s="144">
        <f>IFERROR(_xlfn.XLOOKUP($B205,'Cronog. e Histog.'!$BZ:$BZ,'Cronog. e Histog.'!CL:CL),"")</f>
        <v>0</v>
      </c>
      <c r="R205" s="144">
        <f>IFERROR(_xlfn.XLOOKUP($B205,'Cronog. e Histog.'!$BZ:$BZ,'Cronog. e Histog.'!CM:CM),"")</f>
        <v>0</v>
      </c>
      <c r="S205" s="144">
        <f>IFERROR(_xlfn.XLOOKUP($B205,'Cronog. e Histog.'!$BZ:$BZ,'Cronog. e Histog.'!CN:CN),"")</f>
        <v>0</v>
      </c>
      <c r="T205" s="144">
        <f>IFERROR(_xlfn.XLOOKUP($B205,'Cronog. e Histog.'!$BZ:$BZ,'Cronog. e Histog.'!CO:CO),"")</f>
        <v>0</v>
      </c>
      <c r="U205" s="144">
        <f>IFERROR(_xlfn.XLOOKUP($B205,'Cronog. e Histog.'!$BZ:$BZ,'Cronog. e Histog.'!CP:CP),"")</f>
        <v>0</v>
      </c>
      <c r="V205" s="144">
        <f>IFERROR(_xlfn.XLOOKUP($B205,'Cronog. e Histog.'!$BZ:$BZ,'Cronog. e Histog.'!CQ:CQ),"")</f>
        <v>0</v>
      </c>
      <c r="W205" s="144">
        <f>IFERROR(_xlfn.XLOOKUP($B205,'Cronog. e Histog.'!$BZ:$BZ,'Cronog. e Histog.'!CR:CR),"")</f>
        <v>0</v>
      </c>
      <c r="X205" s="144">
        <f>IFERROR(_xlfn.XLOOKUP($B205,'Cronog. e Histog.'!$BZ:$BZ,'Cronog. e Histog.'!CS:CS),"")</f>
        <v>0</v>
      </c>
      <c r="Y205" s="144">
        <f>IFERROR(_xlfn.XLOOKUP($B205,'Cronog. e Histog.'!$BZ:$BZ,'Cronog. e Histog.'!CT:CT),"")</f>
        <v>0</v>
      </c>
      <c r="Z205" s="144">
        <f>IFERROR(_xlfn.XLOOKUP($B205,'Cronog. e Histog.'!$BZ:$BZ,'Cronog. e Histog.'!CU:CU),"")</f>
        <v>0</v>
      </c>
      <c r="AA205" s="144">
        <f>IFERROR(_xlfn.XLOOKUP($B205,'Cronog. e Histog.'!$BZ:$BZ,'Cronog. e Histog.'!CV:CV),"")</f>
        <v>0</v>
      </c>
      <c r="AB205" s="144">
        <f>IFERROR(_xlfn.XLOOKUP($B205,'Cronog. e Histog.'!$BZ:$BZ,'Cronog. e Histog.'!CW:CW),"")</f>
        <v>0</v>
      </c>
      <c r="AC205" s="144">
        <f>IFERROR(_xlfn.XLOOKUP($B205,'Cronog. e Histog.'!$BZ:$BZ,'Cronog. e Histog.'!CX:CX),"")</f>
        <v>0</v>
      </c>
      <c r="AD205" s="144">
        <f>IFERROR(_xlfn.XLOOKUP($B205,'Cronog. e Histog.'!$BZ:$BZ,'Cronog. e Histog.'!CY:CY),"")</f>
        <v>0</v>
      </c>
      <c r="AE205" s="144">
        <f>IFERROR(_xlfn.XLOOKUP($B205,'Cronog. e Histog.'!$BZ:$BZ,'Cronog. e Histog.'!CZ:CZ),"")</f>
        <v>0</v>
      </c>
      <c r="AF205" s="144">
        <f>IFERROR(_xlfn.XLOOKUP($B205,'Cronog. e Histog.'!$BZ:$BZ,'Cronog. e Histog.'!DA:DA),"")</f>
        <v>0</v>
      </c>
      <c r="AG205" s="144">
        <f>IFERROR(_xlfn.XLOOKUP($B205,'Cronog. e Histog.'!$BZ:$BZ,'Cronog. e Histog.'!DB:DB),"")</f>
        <v>0</v>
      </c>
      <c r="AH205" s="144">
        <f>IFERROR(_xlfn.XLOOKUP($B205,'Cronog. e Histog.'!$BZ:$BZ,'Cronog. e Histog.'!DC:DC),"")</f>
        <v>0</v>
      </c>
      <c r="AI205" s="144">
        <f>IFERROR(_xlfn.XLOOKUP($B205,'Cronog. e Histog.'!$BZ:$BZ,'Cronog. e Histog.'!DD:DD),"")</f>
        <v>0</v>
      </c>
      <c r="AJ205" s="144">
        <f>IFERROR(_xlfn.XLOOKUP($B205,'Cronog. e Histog.'!$BZ:$BZ,'Cronog. e Histog.'!DE:DE),"")</f>
        <v>0</v>
      </c>
      <c r="AK205" s="144">
        <f>IFERROR(_xlfn.XLOOKUP($B205,'Cronog. e Histog.'!$BZ:$BZ,'Cronog. e Histog.'!DF:DF),"")</f>
        <v>0</v>
      </c>
      <c r="AL205" s="144">
        <f>IFERROR(_xlfn.XLOOKUP($B205,'Cronog. e Histog.'!$BZ:$BZ,'Cronog. e Histog.'!DG:DG),"")</f>
        <v>0</v>
      </c>
      <c r="AM205" s="144">
        <f>IFERROR(_xlfn.XLOOKUP($B205,'Cronog. e Histog.'!$BZ:$BZ,'Cronog. e Histog.'!DH:DH),"")</f>
        <v>0</v>
      </c>
      <c r="AN205" s="144">
        <f>IFERROR(_xlfn.XLOOKUP($B205,'Cronog. e Histog.'!$BZ:$BZ,'Cronog. e Histog.'!DI:DI),"")</f>
        <v>0</v>
      </c>
      <c r="AO205" s="144">
        <f>IFERROR(_xlfn.XLOOKUP($B205,'Cronog. e Histog.'!$BZ:$BZ,'Cronog. e Histog.'!DJ:DJ),"")</f>
        <v>0</v>
      </c>
      <c r="AP205" s="144">
        <f>IFERROR(_xlfn.XLOOKUP($B205,'Cronog. e Histog.'!$BZ:$BZ,'Cronog. e Histog.'!DK:DK),"")</f>
        <v>0</v>
      </c>
      <c r="AQ205" s="144">
        <f>IFERROR(_xlfn.XLOOKUP($B205,'Cronog. e Histog.'!$BZ:$BZ,'Cronog. e Histog.'!DL:DL),"")</f>
        <v>0</v>
      </c>
      <c r="AR205" s="144">
        <f>IFERROR(_xlfn.XLOOKUP($B205,'Cronog. e Histog.'!$BZ:$BZ,'Cronog. e Histog.'!DM:DM),"")</f>
        <v>0</v>
      </c>
      <c r="AS205" s="144">
        <f>IFERROR(_xlfn.XLOOKUP($B205,'Cronog. e Histog.'!$BZ:$BZ,'Cronog. e Histog.'!DN:DN),"")</f>
        <v>0</v>
      </c>
      <c r="AT205" s="144">
        <f>IFERROR(_xlfn.XLOOKUP($B205,'Cronog. e Histog.'!$BZ:$BZ,'Cronog. e Histog.'!DO:DO),"")</f>
        <v>0</v>
      </c>
      <c r="AU205" s="144">
        <f>IFERROR(_xlfn.XLOOKUP($B205,'Cronog. e Histog.'!$BZ:$BZ,'Cronog. e Histog.'!DP:DP),"")</f>
        <v>0</v>
      </c>
      <c r="AV205" s="144">
        <f>IFERROR(_xlfn.XLOOKUP($B205,'Cronog. e Histog.'!$BZ:$BZ,'Cronog. e Histog.'!DQ:DQ),"")</f>
        <v>0</v>
      </c>
      <c r="AW205" s="144">
        <f>IFERROR(_xlfn.XLOOKUP($B205,'Cronog. e Histog.'!$BZ:$BZ,'Cronog. e Histog.'!DR:DR),"")</f>
        <v>0</v>
      </c>
      <c r="AX205" s="144">
        <f>IFERROR(_xlfn.XLOOKUP($B205,'Cronog. e Histog.'!$BZ:$BZ,'Cronog. e Histog.'!DS:DS),"")</f>
        <v>0</v>
      </c>
      <c r="AY205" s="144">
        <f>IFERROR(_xlfn.XLOOKUP($B205,'Cronog. e Histog.'!$BZ:$BZ,'Cronog. e Histog.'!DT:DT),"")</f>
        <v>0</v>
      </c>
      <c r="AZ205" s="144">
        <f>IFERROR(_xlfn.XLOOKUP($B205,'Cronog. e Histog.'!$BZ:$BZ,'Cronog. e Histog.'!DU:DU),"")</f>
        <v>0</v>
      </c>
      <c r="BA205" s="144">
        <f>IFERROR(_xlfn.XLOOKUP($B205,'Cronog. e Histog.'!$BZ:$BZ,'Cronog. e Histog.'!DV:DV),"")</f>
        <v>0</v>
      </c>
      <c r="BB205" s="144">
        <f>IFERROR(_xlfn.XLOOKUP($B205,'Cronog. e Histog.'!$BZ:$BZ,'Cronog. e Histog.'!DW:DW),"")</f>
        <v>0</v>
      </c>
      <c r="BC205" s="144">
        <f>IFERROR(_xlfn.XLOOKUP($B205,'Cronog. e Histog.'!$BZ:$BZ,'Cronog. e Histog.'!DX:DX),"")</f>
        <v>0</v>
      </c>
      <c r="BD205" s="144">
        <f>IFERROR(_xlfn.XLOOKUP($B205,'Cronog. e Histog.'!$BZ:$BZ,'Cronog. e Histog.'!DY:DY),"")</f>
        <v>0</v>
      </c>
      <c r="BE205" s="144">
        <f>IFERROR(_xlfn.XLOOKUP($B205,'Cronog. e Histog.'!$BZ:$BZ,'Cronog. e Histog.'!DZ:DZ),"")</f>
        <v>0</v>
      </c>
      <c r="BF205" s="144">
        <f>IFERROR(_xlfn.XLOOKUP($B205,'Cronog. e Histog.'!$BZ:$BZ,'Cronog. e Histog.'!EA:EA),"")</f>
        <v>0</v>
      </c>
      <c r="BG205" s="144">
        <f>IFERROR(_xlfn.XLOOKUP($B205,'Cronog. e Histog.'!$BZ:$BZ,'Cronog. e Histog.'!EB:EB),"")</f>
        <v>0</v>
      </c>
      <c r="BH205" s="144">
        <f>IFERROR(_xlfn.XLOOKUP($B205,'Cronog. e Histog.'!$BZ:$BZ,'Cronog. e Histog.'!EC:EC),"")</f>
        <v>0</v>
      </c>
      <c r="BI205" s="144">
        <f>IFERROR(_xlfn.XLOOKUP($B205,'Cronog. e Histog.'!$BZ:$BZ,'Cronog. e Histog.'!ED:ED),"")</f>
        <v>0</v>
      </c>
      <c r="BJ205" s="144">
        <f>IFERROR(_xlfn.XLOOKUP($B205,'Cronog. e Histog.'!$BZ:$BZ,'Cronog. e Histog.'!EE:EE),"")</f>
        <v>0</v>
      </c>
      <c r="BK205" s="144">
        <f>IFERROR(_xlfn.XLOOKUP($B205,'Cronog. e Histog.'!$BZ:$BZ,'Cronog. e Histog.'!EF:EF),"")</f>
        <v>0</v>
      </c>
      <c r="BL205" s="144">
        <f>IFERROR(_xlfn.XLOOKUP($B205,'Cronog. e Histog.'!$BZ:$BZ,'Cronog. e Histog.'!EG:EG),"")</f>
        <v>0</v>
      </c>
      <c r="BM205" s="144">
        <f>IFERROR(_xlfn.XLOOKUP($B205,'Cronog. e Histog.'!$BZ:$BZ,'Cronog. e Histog.'!EH:EH),"")</f>
        <v>0</v>
      </c>
      <c r="BN205" s="144">
        <f>IFERROR(_xlfn.XLOOKUP($B205,'Cronog. e Histog.'!$BZ:$BZ,'Cronog. e Histog.'!EI:EI),"")</f>
        <v>0</v>
      </c>
    </row>
    <row r="206" spans="2:66" ht="12" hidden="1" customHeight="1" outlineLevel="1">
      <c r="B206" s="76">
        <v>200</v>
      </c>
      <c r="C206" s="143" t="str">
        <f>IFERROR(VLOOKUP(B206,'Cronog. e Histog.'!$BZ$213:$CA$747,2,0),"")</f>
        <v>EST_III</v>
      </c>
      <c r="D206" s="144">
        <f t="shared" si="6"/>
        <v>0</v>
      </c>
      <c r="E206" s="144">
        <f t="shared" si="7"/>
        <v>0</v>
      </c>
      <c r="F206" s="65"/>
      <c r="G206" s="144">
        <f>IFERROR(_xlfn.XLOOKUP($B206,'Cronog. e Histog.'!$BZ:$BZ,'Cronog. e Histog.'!CB:CB),"")</f>
        <v>0</v>
      </c>
      <c r="H206" s="144">
        <f>IFERROR(_xlfn.XLOOKUP($B206,'Cronog. e Histog.'!$BZ:$BZ,'Cronog. e Histog.'!CC:CC),"")</f>
        <v>0</v>
      </c>
      <c r="I206" s="144">
        <f>IFERROR(_xlfn.XLOOKUP($B206,'Cronog. e Histog.'!$BZ:$BZ,'Cronog. e Histog.'!CD:CD),"")</f>
        <v>0</v>
      </c>
      <c r="J206" s="144">
        <f>IFERROR(_xlfn.XLOOKUP($B206,'Cronog. e Histog.'!$BZ:$BZ,'Cronog. e Histog.'!CE:CE),"")</f>
        <v>0</v>
      </c>
      <c r="K206" s="144">
        <f>IFERROR(_xlfn.XLOOKUP($B206,'Cronog. e Histog.'!$BZ:$BZ,'Cronog. e Histog.'!CF:CF),"")</f>
        <v>0</v>
      </c>
      <c r="L206" s="144">
        <f>IFERROR(_xlfn.XLOOKUP($B206,'Cronog. e Histog.'!$BZ:$BZ,'Cronog. e Histog.'!CG:CG),"")</f>
        <v>0</v>
      </c>
      <c r="M206" s="144">
        <f>IFERROR(_xlfn.XLOOKUP($B206,'Cronog. e Histog.'!$BZ:$BZ,'Cronog. e Histog.'!CH:CH),"")</f>
        <v>0</v>
      </c>
      <c r="N206" s="144">
        <f>IFERROR(_xlfn.XLOOKUP($B206,'Cronog. e Histog.'!$BZ:$BZ,'Cronog. e Histog.'!CI:CI),"")</f>
        <v>0</v>
      </c>
      <c r="O206" s="144">
        <f>IFERROR(_xlfn.XLOOKUP($B206,'Cronog. e Histog.'!$BZ:$BZ,'Cronog. e Histog.'!CJ:CJ),"")</f>
        <v>0</v>
      </c>
      <c r="P206" s="144">
        <f>IFERROR(_xlfn.XLOOKUP($B206,'Cronog. e Histog.'!$BZ:$BZ,'Cronog. e Histog.'!CK:CK),"")</f>
        <v>0</v>
      </c>
      <c r="Q206" s="144">
        <f>IFERROR(_xlfn.XLOOKUP($B206,'Cronog. e Histog.'!$BZ:$BZ,'Cronog. e Histog.'!CL:CL),"")</f>
        <v>0</v>
      </c>
      <c r="R206" s="144">
        <f>IFERROR(_xlfn.XLOOKUP($B206,'Cronog. e Histog.'!$BZ:$BZ,'Cronog. e Histog.'!CM:CM),"")</f>
        <v>0</v>
      </c>
      <c r="S206" s="144">
        <f>IFERROR(_xlfn.XLOOKUP($B206,'Cronog. e Histog.'!$BZ:$BZ,'Cronog. e Histog.'!CN:CN),"")</f>
        <v>0</v>
      </c>
      <c r="T206" s="144">
        <f>IFERROR(_xlfn.XLOOKUP($B206,'Cronog. e Histog.'!$BZ:$BZ,'Cronog. e Histog.'!CO:CO),"")</f>
        <v>0</v>
      </c>
      <c r="U206" s="144">
        <f>IFERROR(_xlfn.XLOOKUP($B206,'Cronog. e Histog.'!$BZ:$BZ,'Cronog. e Histog.'!CP:CP),"")</f>
        <v>0</v>
      </c>
      <c r="V206" s="144">
        <f>IFERROR(_xlfn.XLOOKUP($B206,'Cronog. e Histog.'!$BZ:$BZ,'Cronog. e Histog.'!CQ:CQ),"")</f>
        <v>0</v>
      </c>
      <c r="W206" s="144">
        <f>IFERROR(_xlfn.XLOOKUP($B206,'Cronog. e Histog.'!$BZ:$BZ,'Cronog. e Histog.'!CR:CR),"")</f>
        <v>0</v>
      </c>
      <c r="X206" s="144">
        <f>IFERROR(_xlfn.XLOOKUP($B206,'Cronog. e Histog.'!$BZ:$BZ,'Cronog. e Histog.'!CS:CS),"")</f>
        <v>0</v>
      </c>
      <c r="Y206" s="144">
        <f>IFERROR(_xlfn.XLOOKUP($B206,'Cronog. e Histog.'!$BZ:$BZ,'Cronog. e Histog.'!CT:CT),"")</f>
        <v>0</v>
      </c>
      <c r="Z206" s="144">
        <f>IFERROR(_xlfn.XLOOKUP($B206,'Cronog. e Histog.'!$BZ:$BZ,'Cronog. e Histog.'!CU:CU),"")</f>
        <v>0</v>
      </c>
      <c r="AA206" s="144">
        <f>IFERROR(_xlfn.XLOOKUP($B206,'Cronog. e Histog.'!$BZ:$BZ,'Cronog. e Histog.'!CV:CV),"")</f>
        <v>0</v>
      </c>
      <c r="AB206" s="144">
        <f>IFERROR(_xlfn.XLOOKUP($B206,'Cronog. e Histog.'!$BZ:$BZ,'Cronog. e Histog.'!CW:CW),"")</f>
        <v>0</v>
      </c>
      <c r="AC206" s="144">
        <f>IFERROR(_xlfn.XLOOKUP($B206,'Cronog. e Histog.'!$BZ:$BZ,'Cronog. e Histog.'!CX:CX),"")</f>
        <v>0</v>
      </c>
      <c r="AD206" s="144">
        <f>IFERROR(_xlfn.XLOOKUP($B206,'Cronog. e Histog.'!$BZ:$BZ,'Cronog. e Histog.'!CY:CY),"")</f>
        <v>0</v>
      </c>
      <c r="AE206" s="144">
        <f>IFERROR(_xlfn.XLOOKUP($B206,'Cronog. e Histog.'!$BZ:$BZ,'Cronog. e Histog.'!CZ:CZ),"")</f>
        <v>0</v>
      </c>
      <c r="AF206" s="144">
        <f>IFERROR(_xlfn.XLOOKUP($B206,'Cronog. e Histog.'!$BZ:$BZ,'Cronog. e Histog.'!DA:DA),"")</f>
        <v>0</v>
      </c>
      <c r="AG206" s="144">
        <f>IFERROR(_xlfn.XLOOKUP($B206,'Cronog. e Histog.'!$BZ:$BZ,'Cronog. e Histog.'!DB:DB),"")</f>
        <v>0</v>
      </c>
      <c r="AH206" s="144">
        <f>IFERROR(_xlfn.XLOOKUP($B206,'Cronog. e Histog.'!$BZ:$BZ,'Cronog. e Histog.'!DC:DC),"")</f>
        <v>0</v>
      </c>
      <c r="AI206" s="144">
        <f>IFERROR(_xlfn.XLOOKUP($B206,'Cronog. e Histog.'!$BZ:$BZ,'Cronog. e Histog.'!DD:DD),"")</f>
        <v>0</v>
      </c>
      <c r="AJ206" s="144">
        <f>IFERROR(_xlfn.XLOOKUP($B206,'Cronog. e Histog.'!$BZ:$BZ,'Cronog. e Histog.'!DE:DE),"")</f>
        <v>0</v>
      </c>
      <c r="AK206" s="144">
        <f>IFERROR(_xlfn.XLOOKUP($B206,'Cronog. e Histog.'!$BZ:$BZ,'Cronog. e Histog.'!DF:DF),"")</f>
        <v>0</v>
      </c>
      <c r="AL206" s="144">
        <f>IFERROR(_xlfn.XLOOKUP($B206,'Cronog. e Histog.'!$BZ:$BZ,'Cronog. e Histog.'!DG:DG),"")</f>
        <v>0</v>
      </c>
      <c r="AM206" s="144">
        <f>IFERROR(_xlfn.XLOOKUP($B206,'Cronog. e Histog.'!$BZ:$BZ,'Cronog. e Histog.'!DH:DH),"")</f>
        <v>0</v>
      </c>
      <c r="AN206" s="144">
        <f>IFERROR(_xlfn.XLOOKUP($B206,'Cronog. e Histog.'!$BZ:$BZ,'Cronog. e Histog.'!DI:DI),"")</f>
        <v>0</v>
      </c>
      <c r="AO206" s="144">
        <f>IFERROR(_xlfn.XLOOKUP($B206,'Cronog. e Histog.'!$BZ:$BZ,'Cronog. e Histog.'!DJ:DJ),"")</f>
        <v>0</v>
      </c>
      <c r="AP206" s="144">
        <f>IFERROR(_xlfn.XLOOKUP($B206,'Cronog. e Histog.'!$BZ:$BZ,'Cronog. e Histog.'!DK:DK),"")</f>
        <v>0</v>
      </c>
      <c r="AQ206" s="144">
        <f>IFERROR(_xlfn.XLOOKUP($B206,'Cronog. e Histog.'!$BZ:$BZ,'Cronog. e Histog.'!DL:DL),"")</f>
        <v>0</v>
      </c>
      <c r="AR206" s="144">
        <f>IFERROR(_xlfn.XLOOKUP($B206,'Cronog. e Histog.'!$BZ:$BZ,'Cronog. e Histog.'!DM:DM),"")</f>
        <v>0</v>
      </c>
      <c r="AS206" s="144">
        <f>IFERROR(_xlfn.XLOOKUP($B206,'Cronog. e Histog.'!$BZ:$BZ,'Cronog. e Histog.'!DN:DN),"")</f>
        <v>0</v>
      </c>
      <c r="AT206" s="144">
        <f>IFERROR(_xlfn.XLOOKUP($B206,'Cronog. e Histog.'!$BZ:$BZ,'Cronog. e Histog.'!DO:DO),"")</f>
        <v>0</v>
      </c>
      <c r="AU206" s="144">
        <f>IFERROR(_xlfn.XLOOKUP($B206,'Cronog. e Histog.'!$BZ:$BZ,'Cronog. e Histog.'!DP:DP),"")</f>
        <v>0</v>
      </c>
      <c r="AV206" s="144">
        <f>IFERROR(_xlfn.XLOOKUP($B206,'Cronog. e Histog.'!$BZ:$BZ,'Cronog. e Histog.'!DQ:DQ),"")</f>
        <v>0</v>
      </c>
      <c r="AW206" s="144">
        <f>IFERROR(_xlfn.XLOOKUP($B206,'Cronog. e Histog.'!$BZ:$BZ,'Cronog. e Histog.'!DR:DR),"")</f>
        <v>0</v>
      </c>
      <c r="AX206" s="144">
        <f>IFERROR(_xlfn.XLOOKUP($B206,'Cronog. e Histog.'!$BZ:$BZ,'Cronog. e Histog.'!DS:DS),"")</f>
        <v>0</v>
      </c>
      <c r="AY206" s="144">
        <f>IFERROR(_xlfn.XLOOKUP($B206,'Cronog. e Histog.'!$BZ:$BZ,'Cronog. e Histog.'!DT:DT),"")</f>
        <v>0</v>
      </c>
      <c r="AZ206" s="144">
        <f>IFERROR(_xlfn.XLOOKUP($B206,'Cronog. e Histog.'!$BZ:$BZ,'Cronog. e Histog.'!DU:DU),"")</f>
        <v>0</v>
      </c>
      <c r="BA206" s="144">
        <f>IFERROR(_xlfn.XLOOKUP($B206,'Cronog. e Histog.'!$BZ:$BZ,'Cronog. e Histog.'!DV:DV),"")</f>
        <v>0</v>
      </c>
      <c r="BB206" s="144">
        <f>IFERROR(_xlfn.XLOOKUP($B206,'Cronog. e Histog.'!$BZ:$BZ,'Cronog. e Histog.'!DW:DW),"")</f>
        <v>0</v>
      </c>
      <c r="BC206" s="144">
        <f>IFERROR(_xlfn.XLOOKUP($B206,'Cronog. e Histog.'!$BZ:$BZ,'Cronog. e Histog.'!DX:DX),"")</f>
        <v>0</v>
      </c>
      <c r="BD206" s="144">
        <f>IFERROR(_xlfn.XLOOKUP($B206,'Cronog. e Histog.'!$BZ:$BZ,'Cronog. e Histog.'!DY:DY),"")</f>
        <v>0</v>
      </c>
      <c r="BE206" s="144">
        <f>IFERROR(_xlfn.XLOOKUP($B206,'Cronog. e Histog.'!$BZ:$BZ,'Cronog. e Histog.'!DZ:DZ),"")</f>
        <v>0</v>
      </c>
      <c r="BF206" s="144">
        <f>IFERROR(_xlfn.XLOOKUP($B206,'Cronog. e Histog.'!$BZ:$BZ,'Cronog. e Histog.'!EA:EA),"")</f>
        <v>0</v>
      </c>
      <c r="BG206" s="144">
        <f>IFERROR(_xlfn.XLOOKUP($B206,'Cronog. e Histog.'!$BZ:$BZ,'Cronog. e Histog.'!EB:EB),"")</f>
        <v>0</v>
      </c>
      <c r="BH206" s="144">
        <f>IFERROR(_xlfn.XLOOKUP($B206,'Cronog. e Histog.'!$BZ:$BZ,'Cronog. e Histog.'!EC:EC),"")</f>
        <v>0</v>
      </c>
      <c r="BI206" s="144">
        <f>IFERROR(_xlfn.XLOOKUP($B206,'Cronog. e Histog.'!$BZ:$BZ,'Cronog. e Histog.'!ED:ED),"")</f>
        <v>0</v>
      </c>
      <c r="BJ206" s="144">
        <f>IFERROR(_xlfn.XLOOKUP($B206,'Cronog. e Histog.'!$BZ:$BZ,'Cronog. e Histog.'!EE:EE),"")</f>
        <v>0</v>
      </c>
      <c r="BK206" s="144">
        <f>IFERROR(_xlfn.XLOOKUP($B206,'Cronog. e Histog.'!$BZ:$BZ,'Cronog. e Histog.'!EF:EF),"")</f>
        <v>0</v>
      </c>
      <c r="BL206" s="144">
        <f>IFERROR(_xlfn.XLOOKUP($B206,'Cronog. e Histog.'!$BZ:$BZ,'Cronog. e Histog.'!EG:EG),"")</f>
        <v>0</v>
      </c>
      <c r="BM206" s="144">
        <f>IFERROR(_xlfn.XLOOKUP($B206,'Cronog. e Histog.'!$BZ:$BZ,'Cronog. e Histog.'!EH:EH),"")</f>
        <v>0</v>
      </c>
      <c r="BN206" s="144">
        <f>IFERROR(_xlfn.XLOOKUP($B206,'Cronog. e Histog.'!$BZ:$BZ,'Cronog. e Histog.'!EI:EI),"")</f>
        <v>0</v>
      </c>
    </row>
    <row r="207" spans="2:66" ht="12" hidden="1" customHeight="1" outlineLevel="1">
      <c r="B207" s="76">
        <v>201</v>
      </c>
      <c r="C207" s="143" t="str">
        <f>IFERROR(VLOOKUP(B207,'Cronog. e Histog.'!$BZ$213:$CA$747,2,0),"")</f>
        <v>GER. (OBRA/PROJ)</v>
      </c>
      <c r="D207" s="144">
        <f t="shared" si="6"/>
        <v>0</v>
      </c>
      <c r="E207" s="144">
        <f t="shared" si="7"/>
        <v>0</v>
      </c>
      <c r="F207" s="65"/>
      <c r="G207" s="144">
        <f>IFERROR(_xlfn.XLOOKUP($B207,'Cronog. e Histog.'!$BZ:$BZ,'Cronog. e Histog.'!CB:CB),"")</f>
        <v>0</v>
      </c>
      <c r="H207" s="144">
        <f>IFERROR(_xlfn.XLOOKUP($B207,'Cronog. e Histog.'!$BZ:$BZ,'Cronog. e Histog.'!CC:CC),"")</f>
        <v>0</v>
      </c>
      <c r="I207" s="144">
        <f>IFERROR(_xlfn.XLOOKUP($B207,'Cronog. e Histog.'!$BZ:$BZ,'Cronog. e Histog.'!CD:CD),"")</f>
        <v>0</v>
      </c>
      <c r="J207" s="144">
        <f>IFERROR(_xlfn.XLOOKUP($B207,'Cronog. e Histog.'!$BZ:$BZ,'Cronog. e Histog.'!CE:CE),"")</f>
        <v>0</v>
      </c>
      <c r="K207" s="144">
        <f>IFERROR(_xlfn.XLOOKUP($B207,'Cronog. e Histog.'!$BZ:$BZ,'Cronog. e Histog.'!CF:CF),"")</f>
        <v>0</v>
      </c>
      <c r="L207" s="144">
        <f>IFERROR(_xlfn.XLOOKUP($B207,'Cronog. e Histog.'!$BZ:$BZ,'Cronog. e Histog.'!CG:CG),"")</f>
        <v>0</v>
      </c>
      <c r="M207" s="144">
        <f>IFERROR(_xlfn.XLOOKUP($B207,'Cronog. e Histog.'!$BZ:$BZ,'Cronog. e Histog.'!CH:CH),"")</f>
        <v>0</v>
      </c>
      <c r="N207" s="144">
        <f>IFERROR(_xlfn.XLOOKUP($B207,'Cronog. e Histog.'!$BZ:$BZ,'Cronog. e Histog.'!CI:CI),"")</f>
        <v>0</v>
      </c>
      <c r="O207" s="144">
        <f>IFERROR(_xlfn.XLOOKUP($B207,'Cronog. e Histog.'!$BZ:$BZ,'Cronog. e Histog.'!CJ:CJ),"")</f>
        <v>0</v>
      </c>
      <c r="P207" s="144">
        <f>IFERROR(_xlfn.XLOOKUP($B207,'Cronog. e Histog.'!$BZ:$BZ,'Cronog. e Histog.'!CK:CK),"")</f>
        <v>0</v>
      </c>
      <c r="Q207" s="144">
        <f>IFERROR(_xlfn.XLOOKUP($B207,'Cronog. e Histog.'!$BZ:$BZ,'Cronog. e Histog.'!CL:CL),"")</f>
        <v>0</v>
      </c>
      <c r="R207" s="144">
        <f>IFERROR(_xlfn.XLOOKUP($B207,'Cronog. e Histog.'!$BZ:$BZ,'Cronog. e Histog.'!CM:CM),"")</f>
        <v>0</v>
      </c>
      <c r="S207" s="144">
        <f>IFERROR(_xlfn.XLOOKUP($B207,'Cronog. e Histog.'!$BZ:$BZ,'Cronog. e Histog.'!CN:CN),"")</f>
        <v>0</v>
      </c>
      <c r="T207" s="144">
        <f>IFERROR(_xlfn.XLOOKUP($B207,'Cronog. e Histog.'!$BZ:$BZ,'Cronog. e Histog.'!CO:CO),"")</f>
        <v>0</v>
      </c>
      <c r="U207" s="144">
        <f>IFERROR(_xlfn.XLOOKUP($B207,'Cronog. e Histog.'!$BZ:$BZ,'Cronog. e Histog.'!CP:CP),"")</f>
        <v>0</v>
      </c>
      <c r="V207" s="144">
        <f>IFERROR(_xlfn.XLOOKUP($B207,'Cronog. e Histog.'!$BZ:$BZ,'Cronog. e Histog.'!CQ:CQ),"")</f>
        <v>0</v>
      </c>
      <c r="W207" s="144">
        <f>IFERROR(_xlfn.XLOOKUP($B207,'Cronog. e Histog.'!$BZ:$BZ,'Cronog. e Histog.'!CR:CR),"")</f>
        <v>0</v>
      </c>
      <c r="X207" s="144">
        <f>IFERROR(_xlfn.XLOOKUP($B207,'Cronog. e Histog.'!$BZ:$BZ,'Cronog. e Histog.'!CS:CS),"")</f>
        <v>0</v>
      </c>
      <c r="Y207" s="144">
        <f>IFERROR(_xlfn.XLOOKUP($B207,'Cronog. e Histog.'!$BZ:$BZ,'Cronog. e Histog.'!CT:CT),"")</f>
        <v>0</v>
      </c>
      <c r="Z207" s="144">
        <f>IFERROR(_xlfn.XLOOKUP($B207,'Cronog. e Histog.'!$BZ:$BZ,'Cronog. e Histog.'!CU:CU),"")</f>
        <v>0</v>
      </c>
      <c r="AA207" s="144">
        <f>IFERROR(_xlfn.XLOOKUP($B207,'Cronog. e Histog.'!$BZ:$BZ,'Cronog. e Histog.'!CV:CV),"")</f>
        <v>0</v>
      </c>
      <c r="AB207" s="144">
        <f>IFERROR(_xlfn.XLOOKUP($B207,'Cronog. e Histog.'!$BZ:$BZ,'Cronog. e Histog.'!CW:CW),"")</f>
        <v>0</v>
      </c>
      <c r="AC207" s="144">
        <f>IFERROR(_xlfn.XLOOKUP($B207,'Cronog. e Histog.'!$BZ:$BZ,'Cronog. e Histog.'!CX:CX),"")</f>
        <v>0</v>
      </c>
      <c r="AD207" s="144">
        <f>IFERROR(_xlfn.XLOOKUP($B207,'Cronog. e Histog.'!$BZ:$BZ,'Cronog. e Histog.'!CY:CY),"")</f>
        <v>0</v>
      </c>
      <c r="AE207" s="144">
        <f>IFERROR(_xlfn.XLOOKUP($B207,'Cronog. e Histog.'!$BZ:$BZ,'Cronog. e Histog.'!CZ:CZ),"")</f>
        <v>0</v>
      </c>
      <c r="AF207" s="144">
        <f>IFERROR(_xlfn.XLOOKUP($B207,'Cronog. e Histog.'!$BZ:$BZ,'Cronog. e Histog.'!DA:DA),"")</f>
        <v>0</v>
      </c>
      <c r="AG207" s="144">
        <f>IFERROR(_xlfn.XLOOKUP($B207,'Cronog. e Histog.'!$BZ:$BZ,'Cronog. e Histog.'!DB:DB),"")</f>
        <v>0</v>
      </c>
      <c r="AH207" s="144">
        <f>IFERROR(_xlfn.XLOOKUP($B207,'Cronog. e Histog.'!$BZ:$BZ,'Cronog. e Histog.'!DC:DC),"")</f>
        <v>0</v>
      </c>
      <c r="AI207" s="144">
        <f>IFERROR(_xlfn.XLOOKUP($B207,'Cronog. e Histog.'!$BZ:$BZ,'Cronog. e Histog.'!DD:DD),"")</f>
        <v>0</v>
      </c>
      <c r="AJ207" s="144">
        <f>IFERROR(_xlfn.XLOOKUP($B207,'Cronog. e Histog.'!$BZ:$BZ,'Cronog. e Histog.'!DE:DE),"")</f>
        <v>0</v>
      </c>
      <c r="AK207" s="144">
        <f>IFERROR(_xlfn.XLOOKUP($B207,'Cronog. e Histog.'!$BZ:$BZ,'Cronog. e Histog.'!DF:DF),"")</f>
        <v>0</v>
      </c>
      <c r="AL207" s="144">
        <f>IFERROR(_xlfn.XLOOKUP($B207,'Cronog. e Histog.'!$BZ:$BZ,'Cronog. e Histog.'!DG:DG),"")</f>
        <v>0</v>
      </c>
      <c r="AM207" s="144">
        <f>IFERROR(_xlfn.XLOOKUP($B207,'Cronog. e Histog.'!$BZ:$BZ,'Cronog. e Histog.'!DH:DH),"")</f>
        <v>0</v>
      </c>
      <c r="AN207" s="144">
        <f>IFERROR(_xlfn.XLOOKUP($B207,'Cronog. e Histog.'!$BZ:$BZ,'Cronog. e Histog.'!DI:DI),"")</f>
        <v>0</v>
      </c>
      <c r="AO207" s="144">
        <f>IFERROR(_xlfn.XLOOKUP($B207,'Cronog. e Histog.'!$BZ:$BZ,'Cronog. e Histog.'!DJ:DJ),"")</f>
        <v>0</v>
      </c>
      <c r="AP207" s="144">
        <f>IFERROR(_xlfn.XLOOKUP($B207,'Cronog. e Histog.'!$BZ:$BZ,'Cronog. e Histog.'!DK:DK),"")</f>
        <v>0</v>
      </c>
      <c r="AQ207" s="144">
        <f>IFERROR(_xlfn.XLOOKUP($B207,'Cronog. e Histog.'!$BZ:$BZ,'Cronog. e Histog.'!DL:DL),"")</f>
        <v>0</v>
      </c>
      <c r="AR207" s="144">
        <f>IFERROR(_xlfn.XLOOKUP($B207,'Cronog. e Histog.'!$BZ:$BZ,'Cronog. e Histog.'!DM:DM),"")</f>
        <v>0</v>
      </c>
      <c r="AS207" s="144">
        <f>IFERROR(_xlfn.XLOOKUP($B207,'Cronog. e Histog.'!$BZ:$BZ,'Cronog. e Histog.'!DN:DN),"")</f>
        <v>0</v>
      </c>
      <c r="AT207" s="144">
        <f>IFERROR(_xlfn.XLOOKUP($B207,'Cronog. e Histog.'!$BZ:$BZ,'Cronog. e Histog.'!DO:DO),"")</f>
        <v>0</v>
      </c>
      <c r="AU207" s="144">
        <f>IFERROR(_xlfn.XLOOKUP($B207,'Cronog. e Histog.'!$BZ:$BZ,'Cronog. e Histog.'!DP:DP),"")</f>
        <v>0</v>
      </c>
      <c r="AV207" s="144">
        <f>IFERROR(_xlfn.XLOOKUP($B207,'Cronog. e Histog.'!$BZ:$BZ,'Cronog. e Histog.'!DQ:DQ),"")</f>
        <v>0</v>
      </c>
      <c r="AW207" s="144">
        <f>IFERROR(_xlfn.XLOOKUP($B207,'Cronog. e Histog.'!$BZ:$BZ,'Cronog. e Histog.'!DR:DR),"")</f>
        <v>0</v>
      </c>
      <c r="AX207" s="144">
        <f>IFERROR(_xlfn.XLOOKUP($B207,'Cronog. e Histog.'!$BZ:$BZ,'Cronog. e Histog.'!DS:DS),"")</f>
        <v>0</v>
      </c>
      <c r="AY207" s="144">
        <f>IFERROR(_xlfn.XLOOKUP($B207,'Cronog. e Histog.'!$BZ:$BZ,'Cronog. e Histog.'!DT:DT),"")</f>
        <v>0</v>
      </c>
      <c r="AZ207" s="144">
        <f>IFERROR(_xlfn.XLOOKUP($B207,'Cronog. e Histog.'!$BZ:$BZ,'Cronog. e Histog.'!DU:DU),"")</f>
        <v>0</v>
      </c>
      <c r="BA207" s="144">
        <f>IFERROR(_xlfn.XLOOKUP($B207,'Cronog. e Histog.'!$BZ:$BZ,'Cronog. e Histog.'!DV:DV),"")</f>
        <v>0</v>
      </c>
      <c r="BB207" s="144">
        <f>IFERROR(_xlfn.XLOOKUP($B207,'Cronog. e Histog.'!$BZ:$BZ,'Cronog. e Histog.'!DW:DW),"")</f>
        <v>0</v>
      </c>
      <c r="BC207" s="144">
        <f>IFERROR(_xlfn.XLOOKUP($B207,'Cronog. e Histog.'!$BZ:$BZ,'Cronog. e Histog.'!DX:DX),"")</f>
        <v>0</v>
      </c>
      <c r="BD207" s="144">
        <f>IFERROR(_xlfn.XLOOKUP($B207,'Cronog. e Histog.'!$BZ:$BZ,'Cronog. e Histog.'!DY:DY),"")</f>
        <v>0</v>
      </c>
      <c r="BE207" s="144">
        <f>IFERROR(_xlfn.XLOOKUP($B207,'Cronog. e Histog.'!$BZ:$BZ,'Cronog. e Histog.'!DZ:DZ),"")</f>
        <v>0</v>
      </c>
      <c r="BF207" s="144">
        <f>IFERROR(_xlfn.XLOOKUP($B207,'Cronog. e Histog.'!$BZ:$BZ,'Cronog. e Histog.'!EA:EA),"")</f>
        <v>0</v>
      </c>
      <c r="BG207" s="144">
        <f>IFERROR(_xlfn.XLOOKUP($B207,'Cronog. e Histog.'!$BZ:$BZ,'Cronog. e Histog.'!EB:EB),"")</f>
        <v>0</v>
      </c>
      <c r="BH207" s="144">
        <f>IFERROR(_xlfn.XLOOKUP($B207,'Cronog. e Histog.'!$BZ:$BZ,'Cronog. e Histog.'!EC:EC),"")</f>
        <v>0</v>
      </c>
      <c r="BI207" s="144">
        <f>IFERROR(_xlfn.XLOOKUP($B207,'Cronog. e Histog.'!$BZ:$BZ,'Cronog. e Histog.'!ED:ED),"")</f>
        <v>0</v>
      </c>
      <c r="BJ207" s="144">
        <f>IFERROR(_xlfn.XLOOKUP($B207,'Cronog. e Histog.'!$BZ:$BZ,'Cronog. e Histog.'!EE:EE),"")</f>
        <v>0</v>
      </c>
      <c r="BK207" s="144">
        <f>IFERROR(_xlfn.XLOOKUP($B207,'Cronog. e Histog.'!$BZ:$BZ,'Cronog. e Histog.'!EF:EF),"")</f>
        <v>0</v>
      </c>
      <c r="BL207" s="144">
        <f>IFERROR(_xlfn.XLOOKUP($B207,'Cronog. e Histog.'!$BZ:$BZ,'Cronog. e Histog.'!EG:EG),"")</f>
        <v>0</v>
      </c>
      <c r="BM207" s="144">
        <f>IFERROR(_xlfn.XLOOKUP($B207,'Cronog. e Histog.'!$BZ:$BZ,'Cronog. e Histog.'!EH:EH),"")</f>
        <v>0</v>
      </c>
      <c r="BN207" s="144">
        <f>IFERROR(_xlfn.XLOOKUP($B207,'Cronog. e Histog.'!$BZ:$BZ,'Cronog. e Histog.'!EI:EI),"")</f>
        <v>0</v>
      </c>
    </row>
    <row r="208" spans="2:66" ht="12" hidden="1" customHeight="1" outlineLevel="1">
      <c r="B208" s="76">
        <v>202</v>
      </c>
      <c r="C208" s="143" t="str">
        <f>IFERROR(VLOOKUP(B208,'Cronog. e Histog.'!$BZ$213:$CA$747,2,0),"")</f>
        <v>COORD.</v>
      </c>
      <c r="D208" s="144">
        <f t="shared" si="6"/>
        <v>0</v>
      </c>
      <c r="E208" s="144">
        <f t="shared" si="7"/>
        <v>0</v>
      </c>
      <c r="F208" s="65"/>
      <c r="G208" s="144">
        <f>IFERROR(_xlfn.XLOOKUP($B208,'Cronog. e Histog.'!$BZ:$BZ,'Cronog. e Histog.'!CB:CB),"")</f>
        <v>0</v>
      </c>
      <c r="H208" s="144">
        <f>IFERROR(_xlfn.XLOOKUP($B208,'Cronog. e Histog.'!$BZ:$BZ,'Cronog. e Histog.'!CC:CC),"")</f>
        <v>0</v>
      </c>
      <c r="I208" s="144">
        <f>IFERROR(_xlfn.XLOOKUP($B208,'Cronog. e Histog.'!$BZ:$BZ,'Cronog. e Histog.'!CD:CD),"")</f>
        <v>0</v>
      </c>
      <c r="J208" s="144">
        <f>IFERROR(_xlfn.XLOOKUP($B208,'Cronog. e Histog.'!$BZ:$BZ,'Cronog. e Histog.'!CE:CE),"")</f>
        <v>0</v>
      </c>
      <c r="K208" s="144">
        <f>IFERROR(_xlfn.XLOOKUP($B208,'Cronog. e Histog.'!$BZ:$BZ,'Cronog. e Histog.'!CF:CF),"")</f>
        <v>0</v>
      </c>
      <c r="L208" s="144">
        <f>IFERROR(_xlfn.XLOOKUP($B208,'Cronog. e Histog.'!$BZ:$BZ,'Cronog. e Histog.'!CG:CG),"")</f>
        <v>0</v>
      </c>
      <c r="M208" s="144">
        <f>IFERROR(_xlfn.XLOOKUP($B208,'Cronog. e Histog.'!$BZ:$BZ,'Cronog. e Histog.'!CH:CH),"")</f>
        <v>0</v>
      </c>
      <c r="N208" s="144">
        <f>IFERROR(_xlfn.XLOOKUP($B208,'Cronog. e Histog.'!$BZ:$BZ,'Cronog. e Histog.'!CI:CI),"")</f>
        <v>0</v>
      </c>
      <c r="O208" s="144">
        <f>IFERROR(_xlfn.XLOOKUP($B208,'Cronog. e Histog.'!$BZ:$BZ,'Cronog. e Histog.'!CJ:CJ),"")</f>
        <v>0</v>
      </c>
      <c r="P208" s="144">
        <f>IFERROR(_xlfn.XLOOKUP($B208,'Cronog. e Histog.'!$BZ:$BZ,'Cronog. e Histog.'!CK:CK),"")</f>
        <v>0</v>
      </c>
      <c r="Q208" s="144">
        <f>IFERROR(_xlfn.XLOOKUP($B208,'Cronog. e Histog.'!$BZ:$BZ,'Cronog. e Histog.'!CL:CL),"")</f>
        <v>0</v>
      </c>
      <c r="R208" s="144">
        <f>IFERROR(_xlfn.XLOOKUP($B208,'Cronog. e Histog.'!$BZ:$BZ,'Cronog. e Histog.'!CM:CM),"")</f>
        <v>0</v>
      </c>
      <c r="S208" s="144">
        <f>IFERROR(_xlfn.XLOOKUP($B208,'Cronog. e Histog.'!$BZ:$BZ,'Cronog. e Histog.'!CN:CN),"")</f>
        <v>0</v>
      </c>
      <c r="T208" s="144">
        <f>IFERROR(_xlfn.XLOOKUP($B208,'Cronog. e Histog.'!$BZ:$BZ,'Cronog. e Histog.'!CO:CO),"")</f>
        <v>0</v>
      </c>
      <c r="U208" s="144">
        <f>IFERROR(_xlfn.XLOOKUP($B208,'Cronog. e Histog.'!$BZ:$BZ,'Cronog. e Histog.'!CP:CP),"")</f>
        <v>0</v>
      </c>
      <c r="V208" s="144">
        <f>IFERROR(_xlfn.XLOOKUP($B208,'Cronog. e Histog.'!$BZ:$BZ,'Cronog. e Histog.'!CQ:CQ),"")</f>
        <v>0</v>
      </c>
      <c r="W208" s="144">
        <f>IFERROR(_xlfn.XLOOKUP($B208,'Cronog. e Histog.'!$BZ:$BZ,'Cronog. e Histog.'!CR:CR),"")</f>
        <v>0</v>
      </c>
      <c r="X208" s="144">
        <f>IFERROR(_xlfn.XLOOKUP($B208,'Cronog. e Histog.'!$BZ:$BZ,'Cronog. e Histog.'!CS:CS),"")</f>
        <v>0</v>
      </c>
      <c r="Y208" s="144">
        <f>IFERROR(_xlfn.XLOOKUP($B208,'Cronog. e Histog.'!$BZ:$BZ,'Cronog. e Histog.'!CT:CT),"")</f>
        <v>0</v>
      </c>
      <c r="Z208" s="144">
        <f>IFERROR(_xlfn.XLOOKUP($B208,'Cronog. e Histog.'!$BZ:$BZ,'Cronog. e Histog.'!CU:CU),"")</f>
        <v>0</v>
      </c>
      <c r="AA208" s="144">
        <f>IFERROR(_xlfn.XLOOKUP($B208,'Cronog. e Histog.'!$BZ:$BZ,'Cronog. e Histog.'!CV:CV),"")</f>
        <v>0</v>
      </c>
      <c r="AB208" s="144">
        <f>IFERROR(_xlfn.XLOOKUP($B208,'Cronog. e Histog.'!$BZ:$BZ,'Cronog. e Histog.'!CW:CW),"")</f>
        <v>0</v>
      </c>
      <c r="AC208" s="144">
        <f>IFERROR(_xlfn.XLOOKUP($B208,'Cronog. e Histog.'!$BZ:$BZ,'Cronog. e Histog.'!CX:CX),"")</f>
        <v>0</v>
      </c>
      <c r="AD208" s="144">
        <f>IFERROR(_xlfn.XLOOKUP($B208,'Cronog. e Histog.'!$BZ:$BZ,'Cronog. e Histog.'!CY:CY),"")</f>
        <v>0</v>
      </c>
      <c r="AE208" s="144">
        <f>IFERROR(_xlfn.XLOOKUP($B208,'Cronog. e Histog.'!$BZ:$BZ,'Cronog. e Histog.'!CZ:CZ),"")</f>
        <v>0</v>
      </c>
      <c r="AF208" s="144">
        <f>IFERROR(_xlfn.XLOOKUP($B208,'Cronog. e Histog.'!$BZ:$BZ,'Cronog. e Histog.'!DA:DA),"")</f>
        <v>0</v>
      </c>
      <c r="AG208" s="144">
        <f>IFERROR(_xlfn.XLOOKUP($B208,'Cronog. e Histog.'!$BZ:$BZ,'Cronog. e Histog.'!DB:DB),"")</f>
        <v>0</v>
      </c>
      <c r="AH208" s="144">
        <f>IFERROR(_xlfn.XLOOKUP($B208,'Cronog. e Histog.'!$BZ:$BZ,'Cronog. e Histog.'!DC:DC),"")</f>
        <v>0</v>
      </c>
      <c r="AI208" s="144">
        <f>IFERROR(_xlfn.XLOOKUP($B208,'Cronog. e Histog.'!$BZ:$BZ,'Cronog. e Histog.'!DD:DD),"")</f>
        <v>0</v>
      </c>
      <c r="AJ208" s="144">
        <f>IFERROR(_xlfn.XLOOKUP($B208,'Cronog. e Histog.'!$BZ:$BZ,'Cronog. e Histog.'!DE:DE),"")</f>
        <v>0</v>
      </c>
      <c r="AK208" s="144">
        <f>IFERROR(_xlfn.XLOOKUP($B208,'Cronog. e Histog.'!$BZ:$BZ,'Cronog. e Histog.'!DF:DF),"")</f>
        <v>0</v>
      </c>
      <c r="AL208" s="144">
        <f>IFERROR(_xlfn.XLOOKUP($B208,'Cronog. e Histog.'!$BZ:$BZ,'Cronog. e Histog.'!DG:DG),"")</f>
        <v>0</v>
      </c>
      <c r="AM208" s="144">
        <f>IFERROR(_xlfn.XLOOKUP($B208,'Cronog. e Histog.'!$BZ:$BZ,'Cronog. e Histog.'!DH:DH),"")</f>
        <v>0</v>
      </c>
      <c r="AN208" s="144">
        <f>IFERROR(_xlfn.XLOOKUP($B208,'Cronog. e Histog.'!$BZ:$BZ,'Cronog. e Histog.'!DI:DI),"")</f>
        <v>0</v>
      </c>
      <c r="AO208" s="144">
        <f>IFERROR(_xlfn.XLOOKUP($B208,'Cronog. e Histog.'!$BZ:$BZ,'Cronog. e Histog.'!DJ:DJ),"")</f>
        <v>0</v>
      </c>
      <c r="AP208" s="144">
        <f>IFERROR(_xlfn.XLOOKUP($B208,'Cronog. e Histog.'!$BZ:$BZ,'Cronog. e Histog.'!DK:DK),"")</f>
        <v>0</v>
      </c>
      <c r="AQ208" s="144">
        <f>IFERROR(_xlfn.XLOOKUP($B208,'Cronog. e Histog.'!$BZ:$BZ,'Cronog. e Histog.'!DL:DL),"")</f>
        <v>0</v>
      </c>
      <c r="AR208" s="144">
        <f>IFERROR(_xlfn.XLOOKUP($B208,'Cronog. e Histog.'!$BZ:$BZ,'Cronog. e Histog.'!DM:DM),"")</f>
        <v>0</v>
      </c>
      <c r="AS208" s="144">
        <f>IFERROR(_xlfn.XLOOKUP($B208,'Cronog. e Histog.'!$BZ:$BZ,'Cronog. e Histog.'!DN:DN),"")</f>
        <v>0</v>
      </c>
      <c r="AT208" s="144">
        <f>IFERROR(_xlfn.XLOOKUP($B208,'Cronog. e Histog.'!$BZ:$BZ,'Cronog. e Histog.'!DO:DO),"")</f>
        <v>0</v>
      </c>
      <c r="AU208" s="144">
        <f>IFERROR(_xlfn.XLOOKUP($B208,'Cronog. e Histog.'!$BZ:$BZ,'Cronog. e Histog.'!DP:DP),"")</f>
        <v>0</v>
      </c>
      <c r="AV208" s="144">
        <f>IFERROR(_xlfn.XLOOKUP($B208,'Cronog. e Histog.'!$BZ:$BZ,'Cronog. e Histog.'!DQ:DQ),"")</f>
        <v>0</v>
      </c>
      <c r="AW208" s="144">
        <f>IFERROR(_xlfn.XLOOKUP($B208,'Cronog. e Histog.'!$BZ:$BZ,'Cronog. e Histog.'!DR:DR),"")</f>
        <v>0</v>
      </c>
      <c r="AX208" s="144">
        <f>IFERROR(_xlfn.XLOOKUP($B208,'Cronog. e Histog.'!$BZ:$BZ,'Cronog. e Histog.'!DS:DS),"")</f>
        <v>0</v>
      </c>
      <c r="AY208" s="144">
        <f>IFERROR(_xlfn.XLOOKUP($B208,'Cronog. e Histog.'!$BZ:$BZ,'Cronog. e Histog.'!DT:DT),"")</f>
        <v>0</v>
      </c>
      <c r="AZ208" s="144">
        <f>IFERROR(_xlfn.XLOOKUP($B208,'Cronog. e Histog.'!$BZ:$BZ,'Cronog. e Histog.'!DU:DU),"")</f>
        <v>0</v>
      </c>
      <c r="BA208" s="144">
        <f>IFERROR(_xlfn.XLOOKUP($B208,'Cronog. e Histog.'!$BZ:$BZ,'Cronog. e Histog.'!DV:DV),"")</f>
        <v>0</v>
      </c>
      <c r="BB208" s="144">
        <f>IFERROR(_xlfn.XLOOKUP($B208,'Cronog. e Histog.'!$BZ:$BZ,'Cronog. e Histog.'!DW:DW),"")</f>
        <v>0</v>
      </c>
      <c r="BC208" s="144">
        <f>IFERROR(_xlfn.XLOOKUP($B208,'Cronog. e Histog.'!$BZ:$BZ,'Cronog. e Histog.'!DX:DX),"")</f>
        <v>0</v>
      </c>
      <c r="BD208" s="144">
        <f>IFERROR(_xlfn.XLOOKUP($B208,'Cronog. e Histog.'!$BZ:$BZ,'Cronog. e Histog.'!DY:DY),"")</f>
        <v>0</v>
      </c>
      <c r="BE208" s="144">
        <f>IFERROR(_xlfn.XLOOKUP($B208,'Cronog. e Histog.'!$BZ:$BZ,'Cronog. e Histog.'!DZ:DZ),"")</f>
        <v>0</v>
      </c>
      <c r="BF208" s="144">
        <f>IFERROR(_xlfn.XLOOKUP($B208,'Cronog. e Histog.'!$BZ:$BZ,'Cronog. e Histog.'!EA:EA),"")</f>
        <v>0</v>
      </c>
      <c r="BG208" s="144">
        <f>IFERROR(_xlfn.XLOOKUP($B208,'Cronog. e Histog.'!$BZ:$BZ,'Cronog. e Histog.'!EB:EB),"")</f>
        <v>0</v>
      </c>
      <c r="BH208" s="144">
        <f>IFERROR(_xlfn.XLOOKUP($B208,'Cronog. e Histog.'!$BZ:$BZ,'Cronog. e Histog.'!EC:EC),"")</f>
        <v>0</v>
      </c>
      <c r="BI208" s="144">
        <f>IFERROR(_xlfn.XLOOKUP($B208,'Cronog. e Histog.'!$BZ:$BZ,'Cronog. e Histog.'!ED:ED),"")</f>
        <v>0</v>
      </c>
      <c r="BJ208" s="144">
        <f>IFERROR(_xlfn.XLOOKUP($B208,'Cronog. e Histog.'!$BZ:$BZ,'Cronog. e Histog.'!EE:EE),"")</f>
        <v>0</v>
      </c>
      <c r="BK208" s="144">
        <f>IFERROR(_xlfn.XLOOKUP($B208,'Cronog. e Histog.'!$BZ:$BZ,'Cronog. e Histog.'!EF:EF),"")</f>
        <v>0</v>
      </c>
      <c r="BL208" s="144">
        <f>IFERROR(_xlfn.XLOOKUP($B208,'Cronog. e Histog.'!$BZ:$BZ,'Cronog. e Histog.'!EG:EG),"")</f>
        <v>0</v>
      </c>
      <c r="BM208" s="144">
        <f>IFERROR(_xlfn.XLOOKUP($B208,'Cronog. e Histog.'!$BZ:$BZ,'Cronog. e Histog.'!EH:EH),"")</f>
        <v>0</v>
      </c>
      <c r="BN208" s="144">
        <f>IFERROR(_xlfn.XLOOKUP($B208,'Cronog. e Histog.'!$BZ:$BZ,'Cronog. e Histog.'!EI:EI),"")</f>
        <v>0</v>
      </c>
    </row>
    <row r="209" spans="2:66" ht="12" hidden="1" customHeight="1" outlineLevel="1">
      <c r="B209" s="76">
        <v>203</v>
      </c>
      <c r="C209" s="143" t="str">
        <f>IFERROR(VLOOKUP(B209,'Cronog. e Histog.'!$BZ$213:$CA$747,2,0),"")</f>
        <v>SUP.-ESP</v>
      </c>
      <c r="D209" s="144">
        <f t="shared" si="6"/>
        <v>0</v>
      </c>
      <c r="E209" s="144">
        <f t="shared" si="7"/>
        <v>0</v>
      </c>
      <c r="F209" s="65"/>
      <c r="G209" s="144">
        <f>IFERROR(_xlfn.XLOOKUP($B209,'Cronog. e Histog.'!$BZ:$BZ,'Cronog. e Histog.'!CB:CB),"")</f>
        <v>0</v>
      </c>
      <c r="H209" s="144">
        <f>IFERROR(_xlfn.XLOOKUP($B209,'Cronog. e Histog.'!$BZ:$BZ,'Cronog. e Histog.'!CC:CC),"")</f>
        <v>0</v>
      </c>
      <c r="I209" s="144">
        <f>IFERROR(_xlfn.XLOOKUP($B209,'Cronog. e Histog.'!$BZ:$BZ,'Cronog. e Histog.'!CD:CD),"")</f>
        <v>0</v>
      </c>
      <c r="J209" s="144">
        <f>IFERROR(_xlfn.XLOOKUP($B209,'Cronog. e Histog.'!$BZ:$BZ,'Cronog. e Histog.'!CE:CE),"")</f>
        <v>0</v>
      </c>
      <c r="K209" s="144">
        <f>IFERROR(_xlfn.XLOOKUP($B209,'Cronog. e Histog.'!$BZ:$BZ,'Cronog. e Histog.'!CF:CF),"")</f>
        <v>0</v>
      </c>
      <c r="L209" s="144">
        <f>IFERROR(_xlfn.XLOOKUP($B209,'Cronog. e Histog.'!$BZ:$BZ,'Cronog. e Histog.'!CG:CG),"")</f>
        <v>0</v>
      </c>
      <c r="M209" s="144">
        <f>IFERROR(_xlfn.XLOOKUP($B209,'Cronog. e Histog.'!$BZ:$BZ,'Cronog. e Histog.'!CH:CH),"")</f>
        <v>0</v>
      </c>
      <c r="N209" s="144">
        <f>IFERROR(_xlfn.XLOOKUP($B209,'Cronog. e Histog.'!$BZ:$BZ,'Cronog. e Histog.'!CI:CI),"")</f>
        <v>0</v>
      </c>
      <c r="O209" s="144">
        <f>IFERROR(_xlfn.XLOOKUP($B209,'Cronog. e Histog.'!$BZ:$BZ,'Cronog. e Histog.'!CJ:CJ),"")</f>
        <v>0</v>
      </c>
      <c r="P209" s="144">
        <f>IFERROR(_xlfn.XLOOKUP($B209,'Cronog. e Histog.'!$BZ:$BZ,'Cronog. e Histog.'!CK:CK),"")</f>
        <v>0</v>
      </c>
      <c r="Q209" s="144">
        <f>IFERROR(_xlfn.XLOOKUP($B209,'Cronog. e Histog.'!$BZ:$BZ,'Cronog. e Histog.'!CL:CL),"")</f>
        <v>0</v>
      </c>
      <c r="R209" s="144">
        <f>IFERROR(_xlfn.XLOOKUP($B209,'Cronog. e Histog.'!$BZ:$BZ,'Cronog. e Histog.'!CM:CM),"")</f>
        <v>0</v>
      </c>
      <c r="S209" s="144">
        <f>IFERROR(_xlfn.XLOOKUP($B209,'Cronog. e Histog.'!$BZ:$BZ,'Cronog. e Histog.'!CN:CN),"")</f>
        <v>0</v>
      </c>
      <c r="T209" s="144">
        <f>IFERROR(_xlfn.XLOOKUP($B209,'Cronog. e Histog.'!$BZ:$BZ,'Cronog. e Histog.'!CO:CO),"")</f>
        <v>0</v>
      </c>
      <c r="U209" s="144">
        <f>IFERROR(_xlfn.XLOOKUP($B209,'Cronog. e Histog.'!$BZ:$BZ,'Cronog. e Histog.'!CP:CP),"")</f>
        <v>0</v>
      </c>
      <c r="V209" s="144">
        <f>IFERROR(_xlfn.XLOOKUP($B209,'Cronog. e Histog.'!$BZ:$BZ,'Cronog. e Histog.'!CQ:CQ),"")</f>
        <v>0</v>
      </c>
      <c r="W209" s="144">
        <f>IFERROR(_xlfn.XLOOKUP($B209,'Cronog. e Histog.'!$BZ:$BZ,'Cronog. e Histog.'!CR:CR),"")</f>
        <v>0</v>
      </c>
      <c r="X209" s="144">
        <f>IFERROR(_xlfn.XLOOKUP($B209,'Cronog. e Histog.'!$BZ:$BZ,'Cronog. e Histog.'!CS:CS),"")</f>
        <v>0</v>
      </c>
      <c r="Y209" s="144">
        <f>IFERROR(_xlfn.XLOOKUP($B209,'Cronog. e Histog.'!$BZ:$BZ,'Cronog. e Histog.'!CT:CT),"")</f>
        <v>0</v>
      </c>
      <c r="Z209" s="144">
        <f>IFERROR(_xlfn.XLOOKUP($B209,'Cronog. e Histog.'!$BZ:$BZ,'Cronog. e Histog.'!CU:CU),"")</f>
        <v>0</v>
      </c>
      <c r="AA209" s="144">
        <f>IFERROR(_xlfn.XLOOKUP($B209,'Cronog. e Histog.'!$BZ:$BZ,'Cronog. e Histog.'!CV:CV),"")</f>
        <v>0</v>
      </c>
      <c r="AB209" s="144">
        <f>IFERROR(_xlfn.XLOOKUP($B209,'Cronog. e Histog.'!$BZ:$BZ,'Cronog. e Histog.'!CW:CW),"")</f>
        <v>0</v>
      </c>
      <c r="AC209" s="144">
        <f>IFERROR(_xlfn.XLOOKUP($B209,'Cronog. e Histog.'!$BZ:$BZ,'Cronog. e Histog.'!CX:CX),"")</f>
        <v>0</v>
      </c>
      <c r="AD209" s="144">
        <f>IFERROR(_xlfn.XLOOKUP($B209,'Cronog. e Histog.'!$BZ:$BZ,'Cronog. e Histog.'!CY:CY),"")</f>
        <v>0</v>
      </c>
      <c r="AE209" s="144">
        <f>IFERROR(_xlfn.XLOOKUP($B209,'Cronog. e Histog.'!$BZ:$BZ,'Cronog. e Histog.'!CZ:CZ),"")</f>
        <v>0</v>
      </c>
      <c r="AF209" s="144">
        <f>IFERROR(_xlfn.XLOOKUP($B209,'Cronog. e Histog.'!$BZ:$BZ,'Cronog. e Histog.'!DA:DA),"")</f>
        <v>0</v>
      </c>
      <c r="AG209" s="144">
        <f>IFERROR(_xlfn.XLOOKUP($B209,'Cronog. e Histog.'!$BZ:$BZ,'Cronog. e Histog.'!DB:DB),"")</f>
        <v>0</v>
      </c>
      <c r="AH209" s="144">
        <f>IFERROR(_xlfn.XLOOKUP($B209,'Cronog. e Histog.'!$BZ:$BZ,'Cronog. e Histog.'!DC:DC),"")</f>
        <v>0</v>
      </c>
      <c r="AI209" s="144">
        <f>IFERROR(_xlfn.XLOOKUP($B209,'Cronog. e Histog.'!$BZ:$BZ,'Cronog. e Histog.'!DD:DD),"")</f>
        <v>0</v>
      </c>
      <c r="AJ209" s="144">
        <f>IFERROR(_xlfn.XLOOKUP($B209,'Cronog. e Histog.'!$BZ:$BZ,'Cronog. e Histog.'!DE:DE),"")</f>
        <v>0</v>
      </c>
      <c r="AK209" s="144">
        <f>IFERROR(_xlfn.XLOOKUP($B209,'Cronog. e Histog.'!$BZ:$BZ,'Cronog. e Histog.'!DF:DF),"")</f>
        <v>0</v>
      </c>
      <c r="AL209" s="144">
        <f>IFERROR(_xlfn.XLOOKUP($B209,'Cronog. e Histog.'!$BZ:$BZ,'Cronog. e Histog.'!DG:DG),"")</f>
        <v>0</v>
      </c>
      <c r="AM209" s="144">
        <f>IFERROR(_xlfn.XLOOKUP($B209,'Cronog. e Histog.'!$BZ:$BZ,'Cronog. e Histog.'!DH:DH),"")</f>
        <v>0</v>
      </c>
      <c r="AN209" s="144">
        <f>IFERROR(_xlfn.XLOOKUP($B209,'Cronog. e Histog.'!$BZ:$BZ,'Cronog. e Histog.'!DI:DI),"")</f>
        <v>0</v>
      </c>
      <c r="AO209" s="144">
        <f>IFERROR(_xlfn.XLOOKUP($B209,'Cronog. e Histog.'!$BZ:$BZ,'Cronog. e Histog.'!DJ:DJ),"")</f>
        <v>0</v>
      </c>
      <c r="AP209" s="144">
        <f>IFERROR(_xlfn.XLOOKUP($B209,'Cronog. e Histog.'!$BZ:$BZ,'Cronog. e Histog.'!DK:DK),"")</f>
        <v>0</v>
      </c>
      <c r="AQ209" s="144">
        <f>IFERROR(_xlfn.XLOOKUP($B209,'Cronog. e Histog.'!$BZ:$BZ,'Cronog. e Histog.'!DL:DL),"")</f>
        <v>0</v>
      </c>
      <c r="AR209" s="144">
        <f>IFERROR(_xlfn.XLOOKUP($B209,'Cronog. e Histog.'!$BZ:$BZ,'Cronog. e Histog.'!DM:DM),"")</f>
        <v>0</v>
      </c>
      <c r="AS209" s="144">
        <f>IFERROR(_xlfn.XLOOKUP($B209,'Cronog. e Histog.'!$BZ:$BZ,'Cronog. e Histog.'!DN:DN),"")</f>
        <v>0</v>
      </c>
      <c r="AT209" s="144">
        <f>IFERROR(_xlfn.XLOOKUP($B209,'Cronog. e Histog.'!$BZ:$BZ,'Cronog. e Histog.'!DO:DO),"")</f>
        <v>0</v>
      </c>
      <c r="AU209" s="144">
        <f>IFERROR(_xlfn.XLOOKUP($B209,'Cronog. e Histog.'!$BZ:$BZ,'Cronog. e Histog.'!DP:DP),"")</f>
        <v>0</v>
      </c>
      <c r="AV209" s="144">
        <f>IFERROR(_xlfn.XLOOKUP($B209,'Cronog. e Histog.'!$BZ:$BZ,'Cronog. e Histog.'!DQ:DQ),"")</f>
        <v>0</v>
      </c>
      <c r="AW209" s="144">
        <f>IFERROR(_xlfn.XLOOKUP($B209,'Cronog. e Histog.'!$BZ:$BZ,'Cronog. e Histog.'!DR:DR),"")</f>
        <v>0</v>
      </c>
      <c r="AX209" s="144">
        <f>IFERROR(_xlfn.XLOOKUP($B209,'Cronog. e Histog.'!$BZ:$BZ,'Cronog. e Histog.'!DS:DS),"")</f>
        <v>0</v>
      </c>
      <c r="AY209" s="144">
        <f>IFERROR(_xlfn.XLOOKUP($B209,'Cronog. e Histog.'!$BZ:$BZ,'Cronog. e Histog.'!DT:DT),"")</f>
        <v>0</v>
      </c>
      <c r="AZ209" s="144">
        <f>IFERROR(_xlfn.XLOOKUP($B209,'Cronog. e Histog.'!$BZ:$BZ,'Cronog. e Histog.'!DU:DU),"")</f>
        <v>0</v>
      </c>
      <c r="BA209" s="144">
        <f>IFERROR(_xlfn.XLOOKUP($B209,'Cronog. e Histog.'!$BZ:$BZ,'Cronog. e Histog.'!DV:DV),"")</f>
        <v>0</v>
      </c>
      <c r="BB209" s="144">
        <f>IFERROR(_xlfn.XLOOKUP($B209,'Cronog. e Histog.'!$BZ:$BZ,'Cronog. e Histog.'!DW:DW),"")</f>
        <v>0</v>
      </c>
      <c r="BC209" s="144">
        <f>IFERROR(_xlfn.XLOOKUP($B209,'Cronog. e Histog.'!$BZ:$BZ,'Cronog. e Histog.'!DX:DX),"")</f>
        <v>0</v>
      </c>
      <c r="BD209" s="144">
        <f>IFERROR(_xlfn.XLOOKUP($B209,'Cronog. e Histog.'!$BZ:$BZ,'Cronog. e Histog.'!DY:DY),"")</f>
        <v>0</v>
      </c>
      <c r="BE209" s="144">
        <f>IFERROR(_xlfn.XLOOKUP($B209,'Cronog. e Histog.'!$BZ:$BZ,'Cronog. e Histog.'!DZ:DZ),"")</f>
        <v>0</v>
      </c>
      <c r="BF209" s="144">
        <f>IFERROR(_xlfn.XLOOKUP($B209,'Cronog. e Histog.'!$BZ:$BZ,'Cronog. e Histog.'!EA:EA),"")</f>
        <v>0</v>
      </c>
      <c r="BG209" s="144">
        <f>IFERROR(_xlfn.XLOOKUP($B209,'Cronog. e Histog.'!$BZ:$BZ,'Cronog. e Histog.'!EB:EB),"")</f>
        <v>0</v>
      </c>
      <c r="BH209" s="144">
        <f>IFERROR(_xlfn.XLOOKUP($B209,'Cronog. e Histog.'!$BZ:$BZ,'Cronog. e Histog.'!EC:EC),"")</f>
        <v>0</v>
      </c>
      <c r="BI209" s="144">
        <f>IFERROR(_xlfn.XLOOKUP($B209,'Cronog. e Histog.'!$BZ:$BZ,'Cronog. e Histog.'!ED:ED),"")</f>
        <v>0</v>
      </c>
      <c r="BJ209" s="144">
        <f>IFERROR(_xlfn.XLOOKUP($B209,'Cronog. e Histog.'!$BZ:$BZ,'Cronog. e Histog.'!EE:EE),"")</f>
        <v>0</v>
      </c>
      <c r="BK209" s="144">
        <f>IFERROR(_xlfn.XLOOKUP($B209,'Cronog. e Histog.'!$BZ:$BZ,'Cronog. e Histog.'!EF:EF),"")</f>
        <v>0</v>
      </c>
      <c r="BL209" s="144">
        <f>IFERROR(_xlfn.XLOOKUP($B209,'Cronog. e Histog.'!$BZ:$BZ,'Cronog. e Histog.'!EG:EG),"")</f>
        <v>0</v>
      </c>
      <c r="BM209" s="144">
        <f>IFERROR(_xlfn.XLOOKUP($B209,'Cronog. e Histog.'!$BZ:$BZ,'Cronog. e Histog.'!EH:EH),"")</f>
        <v>0</v>
      </c>
      <c r="BN209" s="144">
        <f>IFERROR(_xlfn.XLOOKUP($B209,'Cronog. e Histog.'!$BZ:$BZ,'Cronog. e Histog.'!EI:EI),"")</f>
        <v>0</v>
      </c>
    </row>
    <row r="210" spans="2:66" ht="12" hidden="1" customHeight="1" outlineLevel="1">
      <c r="B210" s="76">
        <v>204</v>
      </c>
      <c r="C210" s="143" t="str">
        <f>IFERROR(VLOOKUP(B210,'Cronog. e Histog.'!$BZ$213:$CA$747,2,0),"")</f>
        <v>ENG/ARQ SR.</v>
      </c>
      <c r="D210" s="144">
        <f t="shared" si="6"/>
        <v>0</v>
      </c>
      <c r="E210" s="144">
        <f t="shared" si="7"/>
        <v>0</v>
      </c>
      <c r="F210" s="65"/>
      <c r="G210" s="144">
        <f>IFERROR(_xlfn.XLOOKUP($B210,'Cronog. e Histog.'!$BZ:$BZ,'Cronog. e Histog.'!CB:CB),"")</f>
        <v>0</v>
      </c>
      <c r="H210" s="144">
        <f>IFERROR(_xlfn.XLOOKUP($B210,'Cronog. e Histog.'!$BZ:$BZ,'Cronog. e Histog.'!CC:CC),"")</f>
        <v>0</v>
      </c>
      <c r="I210" s="144">
        <f>IFERROR(_xlfn.XLOOKUP($B210,'Cronog. e Histog.'!$BZ:$BZ,'Cronog. e Histog.'!CD:CD),"")</f>
        <v>0</v>
      </c>
      <c r="J210" s="144">
        <f>IFERROR(_xlfn.XLOOKUP($B210,'Cronog. e Histog.'!$BZ:$BZ,'Cronog. e Histog.'!CE:CE),"")</f>
        <v>0</v>
      </c>
      <c r="K210" s="144">
        <f>IFERROR(_xlfn.XLOOKUP($B210,'Cronog. e Histog.'!$BZ:$BZ,'Cronog. e Histog.'!CF:CF),"")</f>
        <v>0</v>
      </c>
      <c r="L210" s="144">
        <f>IFERROR(_xlfn.XLOOKUP($B210,'Cronog. e Histog.'!$BZ:$BZ,'Cronog. e Histog.'!CG:CG),"")</f>
        <v>0</v>
      </c>
      <c r="M210" s="144">
        <f>IFERROR(_xlfn.XLOOKUP($B210,'Cronog. e Histog.'!$BZ:$BZ,'Cronog. e Histog.'!CH:CH),"")</f>
        <v>0</v>
      </c>
      <c r="N210" s="144">
        <f>IFERROR(_xlfn.XLOOKUP($B210,'Cronog. e Histog.'!$BZ:$BZ,'Cronog. e Histog.'!CI:CI),"")</f>
        <v>0</v>
      </c>
      <c r="O210" s="144">
        <f>IFERROR(_xlfn.XLOOKUP($B210,'Cronog. e Histog.'!$BZ:$BZ,'Cronog. e Histog.'!CJ:CJ),"")</f>
        <v>0</v>
      </c>
      <c r="P210" s="144">
        <f>IFERROR(_xlfn.XLOOKUP($B210,'Cronog. e Histog.'!$BZ:$BZ,'Cronog. e Histog.'!CK:CK),"")</f>
        <v>0</v>
      </c>
      <c r="Q210" s="144">
        <f>IFERROR(_xlfn.XLOOKUP($B210,'Cronog. e Histog.'!$BZ:$BZ,'Cronog. e Histog.'!CL:CL),"")</f>
        <v>0</v>
      </c>
      <c r="R210" s="144">
        <f>IFERROR(_xlfn.XLOOKUP($B210,'Cronog. e Histog.'!$BZ:$BZ,'Cronog. e Histog.'!CM:CM),"")</f>
        <v>0</v>
      </c>
      <c r="S210" s="144">
        <f>IFERROR(_xlfn.XLOOKUP($B210,'Cronog. e Histog.'!$BZ:$BZ,'Cronog. e Histog.'!CN:CN),"")</f>
        <v>0</v>
      </c>
      <c r="T210" s="144">
        <f>IFERROR(_xlfn.XLOOKUP($B210,'Cronog. e Histog.'!$BZ:$BZ,'Cronog. e Histog.'!CO:CO),"")</f>
        <v>0</v>
      </c>
      <c r="U210" s="144">
        <f>IFERROR(_xlfn.XLOOKUP($B210,'Cronog. e Histog.'!$BZ:$BZ,'Cronog. e Histog.'!CP:CP),"")</f>
        <v>0</v>
      </c>
      <c r="V210" s="144">
        <f>IFERROR(_xlfn.XLOOKUP($B210,'Cronog. e Histog.'!$BZ:$BZ,'Cronog. e Histog.'!CQ:CQ),"")</f>
        <v>0</v>
      </c>
      <c r="W210" s="144">
        <f>IFERROR(_xlfn.XLOOKUP($B210,'Cronog. e Histog.'!$BZ:$BZ,'Cronog. e Histog.'!CR:CR),"")</f>
        <v>0</v>
      </c>
      <c r="X210" s="144">
        <f>IFERROR(_xlfn.XLOOKUP($B210,'Cronog. e Histog.'!$BZ:$BZ,'Cronog. e Histog.'!CS:CS),"")</f>
        <v>0</v>
      </c>
      <c r="Y210" s="144">
        <f>IFERROR(_xlfn.XLOOKUP($B210,'Cronog. e Histog.'!$BZ:$BZ,'Cronog. e Histog.'!CT:CT),"")</f>
        <v>0</v>
      </c>
      <c r="Z210" s="144">
        <f>IFERROR(_xlfn.XLOOKUP($B210,'Cronog. e Histog.'!$BZ:$BZ,'Cronog. e Histog.'!CU:CU),"")</f>
        <v>0</v>
      </c>
      <c r="AA210" s="144">
        <f>IFERROR(_xlfn.XLOOKUP($B210,'Cronog. e Histog.'!$BZ:$BZ,'Cronog. e Histog.'!CV:CV),"")</f>
        <v>0</v>
      </c>
      <c r="AB210" s="144">
        <f>IFERROR(_xlfn.XLOOKUP($B210,'Cronog. e Histog.'!$BZ:$BZ,'Cronog. e Histog.'!CW:CW),"")</f>
        <v>0</v>
      </c>
      <c r="AC210" s="144">
        <f>IFERROR(_xlfn.XLOOKUP($B210,'Cronog. e Histog.'!$BZ:$BZ,'Cronog. e Histog.'!CX:CX),"")</f>
        <v>0</v>
      </c>
      <c r="AD210" s="144">
        <f>IFERROR(_xlfn.XLOOKUP($B210,'Cronog. e Histog.'!$BZ:$BZ,'Cronog. e Histog.'!CY:CY),"")</f>
        <v>0</v>
      </c>
      <c r="AE210" s="144">
        <f>IFERROR(_xlfn.XLOOKUP($B210,'Cronog. e Histog.'!$BZ:$BZ,'Cronog. e Histog.'!CZ:CZ),"")</f>
        <v>0</v>
      </c>
      <c r="AF210" s="144">
        <f>IFERROR(_xlfn.XLOOKUP($B210,'Cronog. e Histog.'!$BZ:$BZ,'Cronog. e Histog.'!DA:DA),"")</f>
        <v>0</v>
      </c>
      <c r="AG210" s="144">
        <f>IFERROR(_xlfn.XLOOKUP($B210,'Cronog. e Histog.'!$BZ:$BZ,'Cronog. e Histog.'!DB:DB),"")</f>
        <v>0</v>
      </c>
      <c r="AH210" s="144">
        <f>IFERROR(_xlfn.XLOOKUP($B210,'Cronog. e Histog.'!$BZ:$BZ,'Cronog. e Histog.'!DC:DC),"")</f>
        <v>0</v>
      </c>
      <c r="AI210" s="144">
        <f>IFERROR(_xlfn.XLOOKUP($B210,'Cronog. e Histog.'!$BZ:$BZ,'Cronog. e Histog.'!DD:DD),"")</f>
        <v>0</v>
      </c>
      <c r="AJ210" s="144">
        <f>IFERROR(_xlfn.XLOOKUP($B210,'Cronog. e Histog.'!$BZ:$BZ,'Cronog. e Histog.'!DE:DE),"")</f>
        <v>0</v>
      </c>
      <c r="AK210" s="144">
        <f>IFERROR(_xlfn.XLOOKUP($B210,'Cronog. e Histog.'!$BZ:$BZ,'Cronog. e Histog.'!DF:DF),"")</f>
        <v>0</v>
      </c>
      <c r="AL210" s="144">
        <f>IFERROR(_xlfn.XLOOKUP($B210,'Cronog. e Histog.'!$BZ:$BZ,'Cronog. e Histog.'!DG:DG),"")</f>
        <v>0</v>
      </c>
      <c r="AM210" s="144">
        <f>IFERROR(_xlfn.XLOOKUP($B210,'Cronog. e Histog.'!$BZ:$BZ,'Cronog. e Histog.'!DH:DH),"")</f>
        <v>0</v>
      </c>
      <c r="AN210" s="144">
        <f>IFERROR(_xlfn.XLOOKUP($B210,'Cronog. e Histog.'!$BZ:$BZ,'Cronog. e Histog.'!DI:DI),"")</f>
        <v>0</v>
      </c>
      <c r="AO210" s="144">
        <f>IFERROR(_xlfn.XLOOKUP($B210,'Cronog. e Histog.'!$BZ:$BZ,'Cronog. e Histog.'!DJ:DJ),"")</f>
        <v>0</v>
      </c>
      <c r="AP210" s="144">
        <f>IFERROR(_xlfn.XLOOKUP($B210,'Cronog. e Histog.'!$BZ:$BZ,'Cronog. e Histog.'!DK:DK),"")</f>
        <v>0</v>
      </c>
      <c r="AQ210" s="144">
        <f>IFERROR(_xlfn.XLOOKUP($B210,'Cronog. e Histog.'!$BZ:$BZ,'Cronog. e Histog.'!DL:DL),"")</f>
        <v>0</v>
      </c>
      <c r="AR210" s="144">
        <f>IFERROR(_xlfn.XLOOKUP($B210,'Cronog. e Histog.'!$BZ:$BZ,'Cronog. e Histog.'!DM:DM),"")</f>
        <v>0</v>
      </c>
      <c r="AS210" s="144">
        <f>IFERROR(_xlfn.XLOOKUP($B210,'Cronog. e Histog.'!$BZ:$BZ,'Cronog. e Histog.'!DN:DN),"")</f>
        <v>0</v>
      </c>
      <c r="AT210" s="144">
        <f>IFERROR(_xlfn.XLOOKUP($B210,'Cronog. e Histog.'!$BZ:$BZ,'Cronog. e Histog.'!DO:DO),"")</f>
        <v>0</v>
      </c>
      <c r="AU210" s="144">
        <f>IFERROR(_xlfn.XLOOKUP($B210,'Cronog. e Histog.'!$BZ:$BZ,'Cronog. e Histog.'!DP:DP),"")</f>
        <v>0</v>
      </c>
      <c r="AV210" s="144">
        <f>IFERROR(_xlfn.XLOOKUP($B210,'Cronog. e Histog.'!$BZ:$BZ,'Cronog. e Histog.'!DQ:DQ),"")</f>
        <v>0</v>
      </c>
      <c r="AW210" s="144">
        <f>IFERROR(_xlfn.XLOOKUP($B210,'Cronog. e Histog.'!$BZ:$BZ,'Cronog. e Histog.'!DR:DR),"")</f>
        <v>0</v>
      </c>
      <c r="AX210" s="144">
        <f>IFERROR(_xlfn.XLOOKUP($B210,'Cronog. e Histog.'!$BZ:$BZ,'Cronog. e Histog.'!DS:DS),"")</f>
        <v>0</v>
      </c>
      <c r="AY210" s="144">
        <f>IFERROR(_xlfn.XLOOKUP($B210,'Cronog. e Histog.'!$BZ:$BZ,'Cronog. e Histog.'!DT:DT),"")</f>
        <v>0</v>
      </c>
      <c r="AZ210" s="144">
        <f>IFERROR(_xlfn.XLOOKUP($B210,'Cronog. e Histog.'!$BZ:$BZ,'Cronog. e Histog.'!DU:DU),"")</f>
        <v>0</v>
      </c>
      <c r="BA210" s="144">
        <f>IFERROR(_xlfn.XLOOKUP($B210,'Cronog. e Histog.'!$BZ:$BZ,'Cronog. e Histog.'!DV:DV),"")</f>
        <v>0</v>
      </c>
      <c r="BB210" s="144">
        <f>IFERROR(_xlfn.XLOOKUP($B210,'Cronog. e Histog.'!$BZ:$BZ,'Cronog. e Histog.'!DW:DW),"")</f>
        <v>0</v>
      </c>
      <c r="BC210" s="144">
        <f>IFERROR(_xlfn.XLOOKUP($B210,'Cronog. e Histog.'!$BZ:$BZ,'Cronog. e Histog.'!DX:DX),"")</f>
        <v>0</v>
      </c>
      <c r="BD210" s="144">
        <f>IFERROR(_xlfn.XLOOKUP($B210,'Cronog. e Histog.'!$BZ:$BZ,'Cronog. e Histog.'!DY:DY),"")</f>
        <v>0</v>
      </c>
      <c r="BE210" s="144">
        <f>IFERROR(_xlfn.XLOOKUP($B210,'Cronog. e Histog.'!$BZ:$BZ,'Cronog. e Histog.'!DZ:DZ),"")</f>
        <v>0</v>
      </c>
      <c r="BF210" s="144">
        <f>IFERROR(_xlfn.XLOOKUP($B210,'Cronog. e Histog.'!$BZ:$BZ,'Cronog. e Histog.'!EA:EA),"")</f>
        <v>0</v>
      </c>
      <c r="BG210" s="144">
        <f>IFERROR(_xlfn.XLOOKUP($B210,'Cronog. e Histog.'!$BZ:$BZ,'Cronog. e Histog.'!EB:EB),"")</f>
        <v>0</v>
      </c>
      <c r="BH210" s="144">
        <f>IFERROR(_xlfn.XLOOKUP($B210,'Cronog. e Histog.'!$BZ:$BZ,'Cronog. e Histog.'!EC:EC),"")</f>
        <v>0</v>
      </c>
      <c r="BI210" s="144">
        <f>IFERROR(_xlfn.XLOOKUP($B210,'Cronog. e Histog.'!$BZ:$BZ,'Cronog. e Histog.'!ED:ED),"")</f>
        <v>0</v>
      </c>
      <c r="BJ210" s="144">
        <f>IFERROR(_xlfn.XLOOKUP($B210,'Cronog. e Histog.'!$BZ:$BZ,'Cronog. e Histog.'!EE:EE),"")</f>
        <v>0</v>
      </c>
      <c r="BK210" s="144">
        <f>IFERROR(_xlfn.XLOOKUP($B210,'Cronog. e Histog.'!$BZ:$BZ,'Cronog. e Histog.'!EF:EF),"")</f>
        <v>0</v>
      </c>
      <c r="BL210" s="144">
        <f>IFERROR(_xlfn.XLOOKUP($B210,'Cronog. e Histog.'!$BZ:$BZ,'Cronog. e Histog.'!EG:EG),"")</f>
        <v>0</v>
      </c>
      <c r="BM210" s="144">
        <f>IFERROR(_xlfn.XLOOKUP($B210,'Cronog. e Histog.'!$BZ:$BZ,'Cronog. e Histog.'!EH:EH),"")</f>
        <v>0</v>
      </c>
      <c r="BN210" s="144">
        <f>IFERROR(_xlfn.XLOOKUP($B210,'Cronog. e Histog.'!$BZ:$BZ,'Cronog. e Histog.'!EI:EI),"")</f>
        <v>0</v>
      </c>
    </row>
    <row r="211" spans="2:66" ht="12" hidden="1" customHeight="1" outlineLevel="1">
      <c r="B211" s="76">
        <v>205</v>
      </c>
      <c r="C211" s="143" t="str">
        <f>IFERROR(VLOOKUP(B211,'Cronog. e Histog.'!$BZ$213:$CA$747,2,0),"")</f>
        <v>ENG/ARQ PL.</v>
      </c>
      <c r="D211" s="144">
        <f t="shared" si="6"/>
        <v>0</v>
      </c>
      <c r="E211" s="144">
        <f t="shared" si="7"/>
        <v>0</v>
      </c>
      <c r="F211" s="65"/>
      <c r="G211" s="144">
        <f>IFERROR(_xlfn.XLOOKUP($B211,'Cronog. e Histog.'!$BZ:$BZ,'Cronog. e Histog.'!CB:CB),"")</f>
        <v>0</v>
      </c>
      <c r="H211" s="144">
        <f>IFERROR(_xlfn.XLOOKUP($B211,'Cronog. e Histog.'!$BZ:$BZ,'Cronog. e Histog.'!CC:CC),"")</f>
        <v>0</v>
      </c>
      <c r="I211" s="144">
        <f>IFERROR(_xlfn.XLOOKUP($B211,'Cronog. e Histog.'!$BZ:$BZ,'Cronog. e Histog.'!CD:CD),"")</f>
        <v>0</v>
      </c>
      <c r="J211" s="144">
        <f>IFERROR(_xlfn.XLOOKUP($B211,'Cronog. e Histog.'!$BZ:$BZ,'Cronog. e Histog.'!CE:CE),"")</f>
        <v>0</v>
      </c>
      <c r="K211" s="144">
        <f>IFERROR(_xlfn.XLOOKUP($B211,'Cronog. e Histog.'!$BZ:$BZ,'Cronog. e Histog.'!CF:CF),"")</f>
        <v>0</v>
      </c>
      <c r="L211" s="144">
        <f>IFERROR(_xlfn.XLOOKUP($B211,'Cronog. e Histog.'!$BZ:$BZ,'Cronog. e Histog.'!CG:CG),"")</f>
        <v>0</v>
      </c>
      <c r="M211" s="144">
        <f>IFERROR(_xlfn.XLOOKUP($B211,'Cronog. e Histog.'!$BZ:$BZ,'Cronog. e Histog.'!CH:CH),"")</f>
        <v>0</v>
      </c>
      <c r="N211" s="144">
        <f>IFERROR(_xlfn.XLOOKUP($B211,'Cronog. e Histog.'!$BZ:$BZ,'Cronog. e Histog.'!CI:CI),"")</f>
        <v>0</v>
      </c>
      <c r="O211" s="144">
        <f>IFERROR(_xlfn.XLOOKUP($B211,'Cronog. e Histog.'!$BZ:$BZ,'Cronog. e Histog.'!CJ:CJ),"")</f>
        <v>0</v>
      </c>
      <c r="P211" s="144">
        <f>IFERROR(_xlfn.XLOOKUP($B211,'Cronog. e Histog.'!$BZ:$BZ,'Cronog. e Histog.'!CK:CK),"")</f>
        <v>0</v>
      </c>
      <c r="Q211" s="144">
        <f>IFERROR(_xlfn.XLOOKUP($B211,'Cronog. e Histog.'!$BZ:$BZ,'Cronog. e Histog.'!CL:CL),"")</f>
        <v>0</v>
      </c>
      <c r="R211" s="144">
        <f>IFERROR(_xlfn.XLOOKUP($B211,'Cronog. e Histog.'!$BZ:$BZ,'Cronog. e Histog.'!CM:CM),"")</f>
        <v>0</v>
      </c>
      <c r="S211" s="144">
        <f>IFERROR(_xlfn.XLOOKUP($B211,'Cronog. e Histog.'!$BZ:$BZ,'Cronog. e Histog.'!CN:CN),"")</f>
        <v>0</v>
      </c>
      <c r="T211" s="144">
        <f>IFERROR(_xlfn.XLOOKUP($B211,'Cronog. e Histog.'!$BZ:$BZ,'Cronog. e Histog.'!CO:CO),"")</f>
        <v>0</v>
      </c>
      <c r="U211" s="144">
        <f>IFERROR(_xlfn.XLOOKUP($B211,'Cronog. e Histog.'!$BZ:$BZ,'Cronog. e Histog.'!CP:CP),"")</f>
        <v>0</v>
      </c>
      <c r="V211" s="144">
        <f>IFERROR(_xlfn.XLOOKUP($B211,'Cronog. e Histog.'!$BZ:$BZ,'Cronog. e Histog.'!CQ:CQ),"")</f>
        <v>0</v>
      </c>
      <c r="W211" s="144">
        <f>IFERROR(_xlfn.XLOOKUP($B211,'Cronog. e Histog.'!$BZ:$BZ,'Cronog. e Histog.'!CR:CR),"")</f>
        <v>0</v>
      </c>
      <c r="X211" s="144">
        <f>IFERROR(_xlfn.XLOOKUP($B211,'Cronog. e Histog.'!$BZ:$BZ,'Cronog. e Histog.'!CS:CS),"")</f>
        <v>0</v>
      </c>
      <c r="Y211" s="144">
        <f>IFERROR(_xlfn.XLOOKUP($B211,'Cronog. e Histog.'!$BZ:$BZ,'Cronog. e Histog.'!CT:CT),"")</f>
        <v>0</v>
      </c>
      <c r="Z211" s="144">
        <f>IFERROR(_xlfn.XLOOKUP($B211,'Cronog. e Histog.'!$BZ:$BZ,'Cronog. e Histog.'!CU:CU),"")</f>
        <v>0</v>
      </c>
      <c r="AA211" s="144">
        <f>IFERROR(_xlfn.XLOOKUP($B211,'Cronog. e Histog.'!$BZ:$BZ,'Cronog. e Histog.'!CV:CV),"")</f>
        <v>0</v>
      </c>
      <c r="AB211" s="144">
        <f>IFERROR(_xlfn.XLOOKUP($B211,'Cronog. e Histog.'!$BZ:$BZ,'Cronog. e Histog.'!CW:CW),"")</f>
        <v>0</v>
      </c>
      <c r="AC211" s="144">
        <f>IFERROR(_xlfn.XLOOKUP($B211,'Cronog. e Histog.'!$BZ:$BZ,'Cronog. e Histog.'!CX:CX),"")</f>
        <v>0</v>
      </c>
      <c r="AD211" s="144">
        <f>IFERROR(_xlfn.XLOOKUP($B211,'Cronog. e Histog.'!$BZ:$BZ,'Cronog. e Histog.'!CY:CY),"")</f>
        <v>0</v>
      </c>
      <c r="AE211" s="144">
        <f>IFERROR(_xlfn.XLOOKUP($B211,'Cronog. e Histog.'!$BZ:$BZ,'Cronog. e Histog.'!CZ:CZ),"")</f>
        <v>0</v>
      </c>
      <c r="AF211" s="144">
        <f>IFERROR(_xlfn.XLOOKUP($B211,'Cronog. e Histog.'!$BZ:$BZ,'Cronog. e Histog.'!DA:DA),"")</f>
        <v>0</v>
      </c>
      <c r="AG211" s="144">
        <f>IFERROR(_xlfn.XLOOKUP($B211,'Cronog. e Histog.'!$BZ:$BZ,'Cronog. e Histog.'!DB:DB),"")</f>
        <v>0</v>
      </c>
      <c r="AH211" s="144">
        <f>IFERROR(_xlfn.XLOOKUP($B211,'Cronog. e Histog.'!$BZ:$BZ,'Cronog. e Histog.'!DC:DC),"")</f>
        <v>0</v>
      </c>
      <c r="AI211" s="144">
        <f>IFERROR(_xlfn.XLOOKUP($B211,'Cronog. e Histog.'!$BZ:$BZ,'Cronog. e Histog.'!DD:DD),"")</f>
        <v>0</v>
      </c>
      <c r="AJ211" s="144">
        <f>IFERROR(_xlfn.XLOOKUP($B211,'Cronog. e Histog.'!$BZ:$BZ,'Cronog. e Histog.'!DE:DE),"")</f>
        <v>0</v>
      </c>
      <c r="AK211" s="144">
        <f>IFERROR(_xlfn.XLOOKUP($B211,'Cronog. e Histog.'!$BZ:$BZ,'Cronog. e Histog.'!DF:DF),"")</f>
        <v>0</v>
      </c>
      <c r="AL211" s="144">
        <f>IFERROR(_xlfn.XLOOKUP($B211,'Cronog. e Histog.'!$BZ:$BZ,'Cronog. e Histog.'!DG:DG),"")</f>
        <v>0</v>
      </c>
      <c r="AM211" s="144">
        <f>IFERROR(_xlfn.XLOOKUP($B211,'Cronog. e Histog.'!$BZ:$BZ,'Cronog. e Histog.'!DH:DH),"")</f>
        <v>0</v>
      </c>
      <c r="AN211" s="144">
        <f>IFERROR(_xlfn.XLOOKUP($B211,'Cronog. e Histog.'!$BZ:$BZ,'Cronog. e Histog.'!DI:DI),"")</f>
        <v>0</v>
      </c>
      <c r="AO211" s="144">
        <f>IFERROR(_xlfn.XLOOKUP($B211,'Cronog. e Histog.'!$BZ:$BZ,'Cronog. e Histog.'!DJ:DJ),"")</f>
        <v>0</v>
      </c>
      <c r="AP211" s="144">
        <f>IFERROR(_xlfn.XLOOKUP($B211,'Cronog. e Histog.'!$BZ:$BZ,'Cronog. e Histog.'!DK:DK),"")</f>
        <v>0</v>
      </c>
      <c r="AQ211" s="144">
        <f>IFERROR(_xlfn.XLOOKUP($B211,'Cronog. e Histog.'!$BZ:$BZ,'Cronog. e Histog.'!DL:DL),"")</f>
        <v>0</v>
      </c>
      <c r="AR211" s="144">
        <f>IFERROR(_xlfn.XLOOKUP($B211,'Cronog. e Histog.'!$BZ:$BZ,'Cronog. e Histog.'!DM:DM),"")</f>
        <v>0</v>
      </c>
      <c r="AS211" s="144">
        <f>IFERROR(_xlfn.XLOOKUP($B211,'Cronog. e Histog.'!$BZ:$BZ,'Cronog. e Histog.'!DN:DN),"")</f>
        <v>0</v>
      </c>
      <c r="AT211" s="144">
        <f>IFERROR(_xlfn.XLOOKUP($B211,'Cronog. e Histog.'!$BZ:$BZ,'Cronog. e Histog.'!DO:DO),"")</f>
        <v>0</v>
      </c>
      <c r="AU211" s="144">
        <f>IFERROR(_xlfn.XLOOKUP($B211,'Cronog. e Histog.'!$BZ:$BZ,'Cronog. e Histog.'!DP:DP),"")</f>
        <v>0</v>
      </c>
      <c r="AV211" s="144">
        <f>IFERROR(_xlfn.XLOOKUP($B211,'Cronog. e Histog.'!$BZ:$BZ,'Cronog. e Histog.'!DQ:DQ),"")</f>
        <v>0</v>
      </c>
      <c r="AW211" s="144">
        <f>IFERROR(_xlfn.XLOOKUP($B211,'Cronog. e Histog.'!$BZ:$BZ,'Cronog. e Histog.'!DR:DR),"")</f>
        <v>0</v>
      </c>
      <c r="AX211" s="144">
        <f>IFERROR(_xlfn.XLOOKUP($B211,'Cronog. e Histog.'!$BZ:$BZ,'Cronog. e Histog.'!DS:DS),"")</f>
        <v>0</v>
      </c>
      <c r="AY211" s="144">
        <f>IFERROR(_xlfn.XLOOKUP($B211,'Cronog. e Histog.'!$BZ:$BZ,'Cronog. e Histog.'!DT:DT),"")</f>
        <v>0</v>
      </c>
      <c r="AZ211" s="144">
        <f>IFERROR(_xlfn.XLOOKUP($B211,'Cronog. e Histog.'!$BZ:$BZ,'Cronog. e Histog.'!DU:DU),"")</f>
        <v>0</v>
      </c>
      <c r="BA211" s="144">
        <f>IFERROR(_xlfn.XLOOKUP($B211,'Cronog. e Histog.'!$BZ:$BZ,'Cronog. e Histog.'!DV:DV),"")</f>
        <v>0</v>
      </c>
      <c r="BB211" s="144">
        <f>IFERROR(_xlfn.XLOOKUP($B211,'Cronog. e Histog.'!$BZ:$BZ,'Cronog. e Histog.'!DW:DW),"")</f>
        <v>0</v>
      </c>
      <c r="BC211" s="144">
        <f>IFERROR(_xlfn.XLOOKUP($B211,'Cronog. e Histog.'!$BZ:$BZ,'Cronog. e Histog.'!DX:DX),"")</f>
        <v>0</v>
      </c>
      <c r="BD211" s="144">
        <f>IFERROR(_xlfn.XLOOKUP($B211,'Cronog. e Histog.'!$BZ:$BZ,'Cronog. e Histog.'!DY:DY),"")</f>
        <v>0</v>
      </c>
      <c r="BE211" s="144">
        <f>IFERROR(_xlfn.XLOOKUP($B211,'Cronog. e Histog.'!$BZ:$BZ,'Cronog. e Histog.'!DZ:DZ),"")</f>
        <v>0</v>
      </c>
      <c r="BF211" s="144">
        <f>IFERROR(_xlfn.XLOOKUP($B211,'Cronog. e Histog.'!$BZ:$BZ,'Cronog. e Histog.'!EA:EA),"")</f>
        <v>0</v>
      </c>
      <c r="BG211" s="144">
        <f>IFERROR(_xlfn.XLOOKUP($B211,'Cronog. e Histog.'!$BZ:$BZ,'Cronog. e Histog.'!EB:EB),"")</f>
        <v>0</v>
      </c>
      <c r="BH211" s="144">
        <f>IFERROR(_xlfn.XLOOKUP($B211,'Cronog. e Histog.'!$BZ:$BZ,'Cronog. e Histog.'!EC:EC),"")</f>
        <v>0</v>
      </c>
      <c r="BI211" s="144">
        <f>IFERROR(_xlfn.XLOOKUP($B211,'Cronog. e Histog.'!$BZ:$BZ,'Cronog. e Histog.'!ED:ED),"")</f>
        <v>0</v>
      </c>
      <c r="BJ211" s="144">
        <f>IFERROR(_xlfn.XLOOKUP($B211,'Cronog. e Histog.'!$BZ:$BZ,'Cronog. e Histog.'!EE:EE),"")</f>
        <v>0</v>
      </c>
      <c r="BK211" s="144">
        <f>IFERROR(_xlfn.XLOOKUP($B211,'Cronog. e Histog.'!$BZ:$BZ,'Cronog. e Histog.'!EF:EF),"")</f>
        <v>0</v>
      </c>
      <c r="BL211" s="144">
        <f>IFERROR(_xlfn.XLOOKUP($B211,'Cronog. e Histog.'!$BZ:$BZ,'Cronog. e Histog.'!EG:EG),"")</f>
        <v>0</v>
      </c>
      <c r="BM211" s="144">
        <f>IFERROR(_xlfn.XLOOKUP($B211,'Cronog. e Histog.'!$BZ:$BZ,'Cronog. e Histog.'!EH:EH),"")</f>
        <v>0</v>
      </c>
      <c r="BN211" s="144">
        <f>IFERROR(_xlfn.XLOOKUP($B211,'Cronog. e Histog.'!$BZ:$BZ,'Cronog. e Histog.'!EI:EI),"")</f>
        <v>0</v>
      </c>
    </row>
    <row r="212" spans="2:66" ht="12" hidden="1" customHeight="1" outlineLevel="1">
      <c r="B212" s="76">
        <v>206</v>
      </c>
      <c r="C212" s="143" t="str">
        <f>IFERROR(VLOOKUP(B212,'Cronog. e Histog.'!$BZ$213:$CA$747,2,0),"")</f>
        <v>ENG/ARQ JR.</v>
      </c>
      <c r="D212" s="144">
        <f t="shared" si="6"/>
        <v>0</v>
      </c>
      <c r="E212" s="144">
        <f t="shared" si="7"/>
        <v>0</v>
      </c>
      <c r="F212" s="65"/>
      <c r="G212" s="144">
        <f>IFERROR(_xlfn.XLOOKUP($B212,'Cronog. e Histog.'!$BZ:$BZ,'Cronog. e Histog.'!CB:CB),"")</f>
        <v>0</v>
      </c>
      <c r="H212" s="144">
        <f>IFERROR(_xlfn.XLOOKUP($B212,'Cronog. e Histog.'!$BZ:$BZ,'Cronog. e Histog.'!CC:CC),"")</f>
        <v>0</v>
      </c>
      <c r="I212" s="144">
        <f>IFERROR(_xlfn.XLOOKUP($B212,'Cronog. e Histog.'!$BZ:$BZ,'Cronog. e Histog.'!CD:CD),"")</f>
        <v>0</v>
      </c>
      <c r="J212" s="144">
        <f>IFERROR(_xlfn.XLOOKUP($B212,'Cronog. e Histog.'!$BZ:$BZ,'Cronog. e Histog.'!CE:CE),"")</f>
        <v>0</v>
      </c>
      <c r="K212" s="144">
        <f>IFERROR(_xlfn.XLOOKUP($B212,'Cronog. e Histog.'!$BZ:$BZ,'Cronog. e Histog.'!CF:CF),"")</f>
        <v>0</v>
      </c>
      <c r="L212" s="144">
        <f>IFERROR(_xlfn.XLOOKUP($B212,'Cronog. e Histog.'!$BZ:$BZ,'Cronog. e Histog.'!CG:CG),"")</f>
        <v>0</v>
      </c>
      <c r="M212" s="144">
        <f>IFERROR(_xlfn.XLOOKUP($B212,'Cronog. e Histog.'!$BZ:$BZ,'Cronog. e Histog.'!CH:CH),"")</f>
        <v>0</v>
      </c>
      <c r="N212" s="144">
        <f>IFERROR(_xlfn.XLOOKUP($B212,'Cronog. e Histog.'!$BZ:$BZ,'Cronog. e Histog.'!CI:CI),"")</f>
        <v>0</v>
      </c>
      <c r="O212" s="144">
        <f>IFERROR(_xlfn.XLOOKUP($B212,'Cronog. e Histog.'!$BZ:$BZ,'Cronog. e Histog.'!CJ:CJ),"")</f>
        <v>0</v>
      </c>
      <c r="P212" s="144">
        <f>IFERROR(_xlfn.XLOOKUP($B212,'Cronog. e Histog.'!$BZ:$BZ,'Cronog. e Histog.'!CK:CK),"")</f>
        <v>0</v>
      </c>
      <c r="Q212" s="144">
        <f>IFERROR(_xlfn.XLOOKUP($B212,'Cronog. e Histog.'!$BZ:$BZ,'Cronog. e Histog.'!CL:CL),"")</f>
        <v>0</v>
      </c>
      <c r="R212" s="144">
        <f>IFERROR(_xlfn.XLOOKUP($B212,'Cronog. e Histog.'!$BZ:$BZ,'Cronog. e Histog.'!CM:CM),"")</f>
        <v>0</v>
      </c>
      <c r="S212" s="144">
        <f>IFERROR(_xlfn.XLOOKUP($B212,'Cronog. e Histog.'!$BZ:$BZ,'Cronog. e Histog.'!CN:CN),"")</f>
        <v>0</v>
      </c>
      <c r="T212" s="144">
        <f>IFERROR(_xlfn.XLOOKUP($B212,'Cronog. e Histog.'!$BZ:$BZ,'Cronog. e Histog.'!CO:CO),"")</f>
        <v>0</v>
      </c>
      <c r="U212" s="144">
        <f>IFERROR(_xlfn.XLOOKUP($B212,'Cronog. e Histog.'!$BZ:$BZ,'Cronog. e Histog.'!CP:CP),"")</f>
        <v>0</v>
      </c>
      <c r="V212" s="144">
        <f>IFERROR(_xlfn.XLOOKUP($B212,'Cronog. e Histog.'!$BZ:$BZ,'Cronog. e Histog.'!CQ:CQ),"")</f>
        <v>0</v>
      </c>
      <c r="W212" s="144">
        <f>IFERROR(_xlfn.XLOOKUP($B212,'Cronog. e Histog.'!$BZ:$BZ,'Cronog. e Histog.'!CR:CR),"")</f>
        <v>0</v>
      </c>
      <c r="X212" s="144">
        <f>IFERROR(_xlfn.XLOOKUP($B212,'Cronog. e Histog.'!$BZ:$BZ,'Cronog. e Histog.'!CS:CS),"")</f>
        <v>0</v>
      </c>
      <c r="Y212" s="144">
        <f>IFERROR(_xlfn.XLOOKUP($B212,'Cronog. e Histog.'!$BZ:$BZ,'Cronog. e Histog.'!CT:CT),"")</f>
        <v>0</v>
      </c>
      <c r="Z212" s="144">
        <f>IFERROR(_xlfn.XLOOKUP($B212,'Cronog. e Histog.'!$BZ:$BZ,'Cronog. e Histog.'!CU:CU),"")</f>
        <v>0</v>
      </c>
      <c r="AA212" s="144">
        <f>IFERROR(_xlfn.XLOOKUP($B212,'Cronog. e Histog.'!$BZ:$BZ,'Cronog. e Histog.'!CV:CV),"")</f>
        <v>0</v>
      </c>
      <c r="AB212" s="144">
        <f>IFERROR(_xlfn.XLOOKUP($B212,'Cronog. e Histog.'!$BZ:$BZ,'Cronog. e Histog.'!CW:CW),"")</f>
        <v>0</v>
      </c>
      <c r="AC212" s="144">
        <f>IFERROR(_xlfn.XLOOKUP($B212,'Cronog. e Histog.'!$BZ:$BZ,'Cronog. e Histog.'!CX:CX),"")</f>
        <v>0</v>
      </c>
      <c r="AD212" s="144">
        <f>IFERROR(_xlfn.XLOOKUP($B212,'Cronog. e Histog.'!$BZ:$BZ,'Cronog. e Histog.'!CY:CY),"")</f>
        <v>0</v>
      </c>
      <c r="AE212" s="144">
        <f>IFERROR(_xlfn.XLOOKUP($B212,'Cronog. e Histog.'!$BZ:$BZ,'Cronog. e Histog.'!CZ:CZ),"")</f>
        <v>0</v>
      </c>
      <c r="AF212" s="144">
        <f>IFERROR(_xlfn.XLOOKUP($B212,'Cronog. e Histog.'!$BZ:$BZ,'Cronog. e Histog.'!DA:DA),"")</f>
        <v>0</v>
      </c>
      <c r="AG212" s="144">
        <f>IFERROR(_xlfn.XLOOKUP($B212,'Cronog. e Histog.'!$BZ:$BZ,'Cronog. e Histog.'!DB:DB),"")</f>
        <v>0</v>
      </c>
      <c r="AH212" s="144">
        <f>IFERROR(_xlfn.XLOOKUP($B212,'Cronog. e Histog.'!$BZ:$BZ,'Cronog. e Histog.'!DC:DC),"")</f>
        <v>0</v>
      </c>
      <c r="AI212" s="144">
        <f>IFERROR(_xlfn.XLOOKUP($B212,'Cronog. e Histog.'!$BZ:$BZ,'Cronog. e Histog.'!DD:DD),"")</f>
        <v>0</v>
      </c>
      <c r="AJ212" s="144">
        <f>IFERROR(_xlfn.XLOOKUP($B212,'Cronog. e Histog.'!$BZ:$BZ,'Cronog. e Histog.'!DE:DE),"")</f>
        <v>0</v>
      </c>
      <c r="AK212" s="144">
        <f>IFERROR(_xlfn.XLOOKUP($B212,'Cronog. e Histog.'!$BZ:$BZ,'Cronog. e Histog.'!DF:DF),"")</f>
        <v>0</v>
      </c>
      <c r="AL212" s="144">
        <f>IFERROR(_xlfn.XLOOKUP($B212,'Cronog. e Histog.'!$BZ:$BZ,'Cronog. e Histog.'!DG:DG),"")</f>
        <v>0</v>
      </c>
      <c r="AM212" s="144">
        <f>IFERROR(_xlfn.XLOOKUP($B212,'Cronog. e Histog.'!$BZ:$BZ,'Cronog. e Histog.'!DH:DH),"")</f>
        <v>0</v>
      </c>
      <c r="AN212" s="144">
        <f>IFERROR(_xlfn.XLOOKUP($B212,'Cronog. e Histog.'!$BZ:$BZ,'Cronog. e Histog.'!DI:DI),"")</f>
        <v>0</v>
      </c>
      <c r="AO212" s="144">
        <f>IFERROR(_xlfn.XLOOKUP($B212,'Cronog. e Histog.'!$BZ:$BZ,'Cronog. e Histog.'!DJ:DJ),"")</f>
        <v>0</v>
      </c>
      <c r="AP212" s="144">
        <f>IFERROR(_xlfn.XLOOKUP($B212,'Cronog. e Histog.'!$BZ:$BZ,'Cronog. e Histog.'!DK:DK),"")</f>
        <v>0</v>
      </c>
      <c r="AQ212" s="144">
        <f>IFERROR(_xlfn.XLOOKUP($B212,'Cronog. e Histog.'!$BZ:$BZ,'Cronog. e Histog.'!DL:DL),"")</f>
        <v>0</v>
      </c>
      <c r="AR212" s="144">
        <f>IFERROR(_xlfn.XLOOKUP($B212,'Cronog. e Histog.'!$BZ:$BZ,'Cronog. e Histog.'!DM:DM),"")</f>
        <v>0</v>
      </c>
      <c r="AS212" s="144">
        <f>IFERROR(_xlfn.XLOOKUP($B212,'Cronog. e Histog.'!$BZ:$BZ,'Cronog. e Histog.'!DN:DN),"")</f>
        <v>0</v>
      </c>
      <c r="AT212" s="144">
        <f>IFERROR(_xlfn.XLOOKUP($B212,'Cronog. e Histog.'!$BZ:$BZ,'Cronog. e Histog.'!DO:DO),"")</f>
        <v>0</v>
      </c>
      <c r="AU212" s="144">
        <f>IFERROR(_xlfn.XLOOKUP($B212,'Cronog. e Histog.'!$BZ:$BZ,'Cronog. e Histog.'!DP:DP),"")</f>
        <v>0</v>
      </c>
      <c r="AV212" s="144">
        <f>IFERROR(_xlfn.XLOOKUP($B212,'Cronog. e Histog.'!$BZ:$BZ,'Cronog. e Histog.'!DQ:DQ),"")</f>
        <v>0</v>
      </c>
      <c r="AW212" s="144">
        <f>IFERROR(_xlfn.XLOOKUP($B212,'Cronog. e Histog.'!$BZ:$BZ,'Cronog. e Histog.'!DR:DR),"")</f>
        <v>0</v>
      </c>
      <c r="AX212" s="144">
        <f>IFERROR(_xlfn.XLOOKUP($B212,'Cronog. e Histog.'!$BZ:$BZ,'Cronog. e Histog.'!DS:DS),"")</f>
        <v>0</v>
      </c>
      <c r="AY212" s="144">
        <f>IFERROR(_xlfn.XLOOKUP($B212,'Cronog. e Histog.'!$BZ:$BZ,'Cronog. e Histog.'!DT:DT),"")</f>
        <v>0</v>
      </c>
      <c r="AZ212" s="144">
        <f>IFERROR(_xlfn.XLOOKUP($B212,'Cronog. e Histog.'!$BZ:$BZ,'Cronog. e Histog.'!DU:DU),"")</f>
        <v>0</v>
      </c>
      <c r="BA212" s="144">
        <f>IFERROR(_xlfn.XLOOKUP($B212,'Cronog. e Histog.'!$BZ:$BZ,'Cronog. e Histog.'!DV:DV),"")</f>
        <v>0</v>
      </c>
      <c r="BB212" s="144">
        <f>IFERROR(_xlfn.XLOOKUP($B212,'Cronog. e Histog.'!$BZ:$BZ,'Cronog. e Histog.'!DW:DW),"")</f>
        <v>0</v>
      </c>
      <c r="BC212" s="144">
        <f>IFERROR(_xlfn.XLOOKUP($B212,'Cronog. e Histog.'!$BZ:$BZ,'Cronog. e Histog.'!DX:DX),"")</f>
        <v>0</v>
      </c>
      <c r="BD212" s="144">
        <f>IFERROR(_xlfn.XLOOKUP($B212,'Cronog. e Histog.'!$BZ:$BZ,'Cronog. e Histog.'!DY:DY),"")</f>
        <v>0</v>
      </c>
      <c r="BE212" s="144">
        <f>IFERROR(_xlfn.XLOOKUP($B212,'Cronog. e Histog.'!$BZ:$BZ,'Cronog. e Histog.'!DZ:DZ),"")</f>
        <v>0</v>
      </c>
      <c r="BF212" s="144">
        <f>IFERROR(_xlfn.XLOOKUP($B212,'Cronog. e Histog.'!$BZ:$BZ,'Cronog. e Histog.'!EA:EA),"")</f>
        <v>0</v>
      </c>
      <c r="BG212" s="144">
        <f>IFERROR(_xlfn.XLOOKUP($B212,'Cronog. e Histog.'!$BZ:$BZ,'Cronog. e Histog.'!EB:EB),"")</f>
        <v>0</v>
      </c>
      <c r="BH212" s="144">
        <f>IFERROR(_xlfn.XLOOKUP($B212,'Cronog. e Histog.'!$BZ:$BZ,'Cronog. e Histog.'!EC:EC),"")</f>
        <v>0</v>
      </c>
      <c r="BI212" s="144">
        <f>IFERROR(_xlfn.XLOOKUP($B212,'Cronog. e Histog.'!$BZ:$BZ,'Cronog. e Histog.'!ED:ED),"")</f>
        <v>0</v>
      </c>
      <c r="BJ212" s="144">
        <f>IFERROR(_xlfn.XLOOKUP($B212,'Cronog. e Histog.'!$BZ:$BZ,'Cronog. e Histog.'!EE:EE),"")</f>
        <v>0</v>
      </c>
      <c r="BK212" s="144">
        <f>IFERROR(_xlfn.XLOOKUP($B212,'Cronog. e Histog.'!$BZ:$BZ,'Cronog. e Histog.'!EF:EF),"")</f>
        <v>0</v>
      </c>
      <c r="BL212" s="144">
        <f>IFERROR(_xlfn.XLOOKUP($B212,'Cronog. e Histog.'!$BZ:$BZ,'Cronog. e Histog.'!EG:EG),"")</f>
        <v>0</v>
      </c>
      <c r="BM212" s="144">
        <f>IFERROR(_xlfn.XLOOKUP($B212,'Cronog. e Histog.'!$BZ:$BZ,'Cronog. e Histog.'!EH:EH),"")</f>
        <v>0</v>
      </c>
      <c r="BN212" s="144">
        <f>IFERROR(_xlfn.XLOOKUP($B212,'Cronog. e Histog.'!$BZ:$BZ,'Cronog. e Histog.'!EI:EI),"")</f>
        <v>0</v>
      </c>
    </row>
    <row r="213" spans="2:66" ht="12" hidden="1" customHeight="1" outlineLevel="1">
      <c r="B213" s="76">
        <v>207</v>
      </c>
      <c r="C213" s="143" t="str">
        <f>IFERROR(VLOOKUP(B213,'Cronog. e Histog.'!$BZ$213:$CA$747,2,0),"")</f>
        <v>AN SR. ENG/ARQ</v>
      </c>
      <c r="D213" s="144">
        <f t="shared" si="6"/>
        <v>0</v>
      </c>
      <c r="E213" s="144">
        <f t="shared" si="7"/>
        <v>0</v>
      </c>
      <c r="F213" s="65"/>
      <c r="G213" s="144">
        <f>IFERROR(_xlfn.XLOOKUP($B213,'Cronog. e Histog.'!$BZ:$BZ,'Cronog. e Histog.'!CB:CB),"")</f>
        <v>0</v>
      </c>
      <c r="H213" s="144">
        <f>IFERROR(_xlfn.XLOOKUP($B213,'Cronog. e Histog.'!$BZ:$BZ,'Cronog. e Histog.'!CC:CC),"")</f>
        <v>0</v>
      </c>
      <c r="I213" s="144">
        <f>IFERROR(_xlfn.XLOOKUP($B213,'Cronog. e Histog.'!$BZ:$BZ,'Cronog. e Histog.'!CD:CD),"")</f>
        <v>0</v>
      </c>
      <c r="J213" s="144">
        <f>IFERROR(_xlfn.XLOOKUP($B213,'Cronog. e Histog.'!$BZ:$BZ,'Cronog. e Histog.'!CE:CE),"")</f>
        <v>0</v>
      </c>
      <c r="K213" s="144">
        <f>IFERROR(_xlfn.XLOOKUP($B213,'Cronog. e Histog.'!$BZ:$BZ,'Cronog. e Histog.'!CF:CF),"")</f>
        <v>0</v>
      </c>
      <c r="L213" s="144">
        <f>IFERROR(_xlfn.XLOOKUP($B213,'Cronog. e Histog.'!$BZ:$BZ,'Cronog. e Histog.'!CG:CG),"")</f>
        <v>0</v>
      </c>
      <c r="M213" s="144">
        <f>IFERROR(_xlfn.XLOOKUP($B213,'Cronog. e Histog.'!$BZ:$BZ,'Cronog. e Histog.'!CH:CH),"")</f>
        <v>0</v>
      </c>
      <c r="N213" s="144">
        <f>IFERROR(_xlfn.XLOOKUP($B213,'Cronog. e Histog.'!$BZ:$BZ,'Cronog. e Histog.'!CI:CI),"")</f>
        <v>0</v>
      </c>
      <c r="O213" s="144">
        <f>IFERROR(_xlfn.XLOOKUP($B213,'Cronog. e Histog.'!$BZ:$BZ,'Cronog. e Histog.'!CJ:CJ),"")</f>
        <v>0</v>
      </c>
      <c r="P213" s="144">
        <f>IFERROR(_xlfn.XLOOKUP($B213,'Cronog. e Histog.'!$BZ:$BZ,'Cronog. e Histog.'!CK:CK),"")</f>
        <v>0</v>
      </c>
      <c r="Q213" s="144">
        <f>IFERROR(_xlfn.XLOOKUP($B213,'Cronog. e Histog.'!$BZ:$BZ,'Cronog. e Histog.'!CL:CL),"")</f>
        <v>0</v>
      </c>
      <c r="R213" s="144">
        <f>IFERROR(_xlfn.XLOOKUP($B213,'Cronog. e Histog.'!$BZ:$BZ,'Cronog. e Histog.'!CM:CM),"")</f>
        <v>0</v>
      </c>
      <c r="S213" s="144">
        <f>IFERROR(_xlfn.XLOOKUP($B213,'Cronog. e Histog.'!$BZ:$BZ,'Cronog. e Histog.'!CN:CN),"")</f>
        <v>0</v>
      </c>
      <c r="T213" s="144">
        <f>IFERROR(_xlfn.XLOOKUP($B213,'Cronog. e Histog.'!$BZ:$BZ,'Cronog. e Histog.'!CO:CO),"")</f>
        <v>0</v>
      </c>
      <c r="U213" s="144">
        <f>IFERROR(_xlfn.XLOOKUP($B213,'Cronog. e Histog.'!$BZ:$BZ,'Cronog. e Histog.'!CP:CP),"")</f>
        <v>0</v>
      </c>
      <c r="V213" s="144">
        <f>IFERROR(_xlfn.XLOOKUP($B213,'Cronog. e Histog.'!$BZ:$BZ,'Cronog. e Histog.'!CQ:CQ),"")</f>
        <v>0</v>
      </c>
      <c r="W213" s="144">
        <f>IFERROR(_xlfn.XLOOKUP($B213,'Cronog. e Histog.'!$BZ:$BZ,'Cronog. e Histog.'!CR:CR),"")</f>
        <v>0</v>
      </c>
      <c r="X213" s="144">
        <f>IFERROR(_xlfn.XLOOKUP($B213,'Cronog. e Histog.'!$BZ:$BZ,'Cronog. e Histog.'!CS:CS),"")</f>
        <v>0</v>
      </c>
      <c r="Y213" s="144">
        <f>IFERROR(_xlfn.XLOOKUP($B213,'Cronog. e Histog.'!$BZ:$BZ,'Cronog. e Histog.'!CT:CT),"")</f>
        <v>0</v>
      </c>
      <c r="Z213" s="144">
        <f>IFERROR(_xlfn.XLOOKUP($B213,'Cronog. e Histog.'!$BZ:$BZ,'Cronog. e Histog.'!CU:CU),"")</f>
        <v>0</v>
      </c>
      <c r="AA213" s="144">
        <f>IFERROR(_xlfn.XLOOKUP($B213,'Cronog. e Histog.'!$BZ:$BZ,'Cronog. e Histog.'!CV:CV),"")</f>
        <v>0</v>
      </c>
      <c r="AB213" s="144">
        <f>IFERROR(_xlfn.XLOOKUP($B213,'Cronog. e Histog.'!$BZ:$BZ,'Cronog. e Histog.'!CW:CW),"")</f>
        <v>0</v>
      </c>
      <c r="AC213" s="144">
        <f>IFERROR(_xlfn.XLOOKUP($B213,'Cronog. e Histog.'!$BZ:$BZ,'Cronog. e Histog.'!CX:CX),"")</f>
        <v>0</v>
      </c>
      <c r="AD213" s="144">
        <f>IFERROR(_xlfn.XLOOKUP($B213,'Cronog. e Histog.'!$BZ:$BZ,'Cronog. e Histog.'!CY:CY),"")</f>
        <v>0</v>
      </c>
      <c r="AE213" s="144">
        <f>IFERROR(_xlfn.XLOOKUP($B213,'Cronog. e Histog.'!$BZ:$BZ,'Cronog. e Histog.'!CZ:CZ),"")</f>
        <v>0</v>
      </c>
      <c r="AF213" s="144">
        <f>IFERROR(_xlfn.XLOOKUP($B213,'Cronog. e Histog.'!$BZ:$BZ,'Cronog. e Histog.'!DA:DA),"")</f>
        <v>0</v>
      </c>
      <c r="AG213" s="144">
        <f>IFERROR(_xlfn.XLOOKUP($B213,'Cronog. e Histog.'!$BZ:$BZ,'Cronog. e Histog.'!DB:DB),"")</f>
        <v>0</v>
      </c>
      <c r="AH213" s="144">
        <f>IFERROR(_xlfn.XLOOKUP($B213,'Cronog. e Histog.'!$BZ:$BZ,'Cronog. e Histog.'!DC:DC),"")</f>
        <v>0</v>
      </c>
      <c r="AI213" s="144">
        <f>IFERROR(_xlfn.XLOOKUP($B213,'Cronog. e Histog.'!$BZ:$BZ,'Cronog. e Histog.'!DD:DD),"")</f>
        <v>0</v>
      </c>
      <c r="AJ213" s="144">
        <f>IFERROR(_xlfn.XLOOKUP($B213,'Cronog. e Histog.'!$BZ:$BZ,'Cronog. e Histog.'!DE:DE),"")</f>
        <v>0</v>
      </c>
      <c r="AK213" s="144">
        <f>IFERROR(_xlfn.XLOOKUP($B213,'Cronog. e Histog.'!$BZ:$BZ,'Cronog. e Histog.'!DF:DF),"")</f>
        <v>0</v>
      </c>
      <c r="AL213" s="144">
        <f>IFERROR(_xlfn.XLOOKUP($B213,'Cronog. e Histog.'!$BZ:$BZ,'Cronog. e Histog.'!DG:DG),"")</f>
        <v>0</v>
      </c>
      <c r="AM213" s="144">
        <f>IFERROR(_xlfn.XLOOKUP($B213,'Cronog. e Histog.'!$BZ:$BZ,'Cronog. e Histog.'!DH:DH),"")</f>
        <v>0</v>
      </c>
      <c r="AN213" s="144">
        <f>IFERROR(_xlfn.XLOOKUP($B213,'Cronog. e Histog.'!$BZ:$BZ,'Cronog. e Histog.'!DI:DI),"")</f>
        <v>0</v>
      </c>
      <c r="AO213" s="144">
        <f>IFERROR(_xlfn.XLOOKUP($B213,'Cronog. e Histog.'!$BZ:$BZ,'Cronog. e Histog.'!DJ:DJ),"")</f>
        <v>0</v>
      </c>
      <c r="AP213" s="144">
        <f>IFERROR(_xlfn.XLOOKUP($B213,'Cronog. e Histog.'!$BZ:$BZ,'Cronog. e Histog.'!DK:DK),"")</f>
        <v>0</v>
      </c>
      <c r="AQ213" s="144">
        <f>IFERROR(_xlfn.XLOOKUP($B213,'Cronog. e Histog.'!$BZ:$BZ,'Cronog. e Histog.'!DL:DL),"")</f>
        <v>0</v>
      </c>
      <c r="AR213" s="144">
        <f>IFERROR(_xlfn.XLOOKUP($B213,'Cronog. e Histog.'!$BZ:$BZ,'Cronog. e Histog.'!DM:DM),"")</f>
        <v>0</v>
      </c>
      <c r="AS213" s="144">
        <f>IFERROR(_xlfn.XLOOKUP($B213,'Cronog. e Histog.'!$BZ:$BZ,'Cronog. e Histog.'!DN:DN),"")</f>
        <v>0</v>
      </c>
      <c r="AT213" s="144">
        <f>IFERROR(_xlfn.XLOOKUP($B213,'Cronog. e Histog.'!$BZ:$BZ,'Cronog. e Histog.'!DO:DO),"")</f>
        <v>0</v>
      </c>
      <c r="AU213" s="144">
        <f>IFERROR(_xlfn.XLOOKUP($B213,'Cronog. e Histog.'!$BZ:$BZ,'Cronog. e Histog.'!DP:DP),"")</f>
        <v>0</v>
      </c>
      <c r="AV213" s="144">
        <f>IFERROR(_xlfn.XLOOKUP($B213,'Cronog. e Histog.'!$BZ:$BZ,'Cronog. e Histog.'!DQ:DQ),"")</f>
        <v>0</v>
      </c>
      <c r="AW213" s="144">
        <f>IFERROR(_xlfn.XLOOKUP($B213,'Cronog. e Histog.'!$BZ:$BZ,'Cronog. e Histog.'!DR:DR),"")</f>
        <v>0</v>
      </c>
      <c r="AX213" s="144">
        <f>IFERROR(_xlfn.XLOOKUP($B213,'Cronog. e Histog.'!$BZ:$BZ,'Cronog. e Histog.'!DS:DS),"")</f>
        <v>0</v>
      </c>
      <c r="AY213" s="144">
        <f>IFERROR(_xlfn.XLOOKUP($B213,'Cronog. e Histog.'!$BZ:$BZ,'Cronog. e Histog.'!DT:DT),"")</f>
        <v>0</v>
      </c>
      <c r="AZ213" s="144">
        <f>IFERROR(_xlfn.XLOOKUP($B213,'Cronog. e Histog.'!$BZ:$BZ,'Cronog. e Histog.'!DU:DU),"")</f>
        <v>0</v>
      </c>
      <c r="BA213" s="144">
        <f>IFERROR(_xlfn.XLOOKUP($B213,'Cronog. e Histog.'!$BZ:$BZ,'Cronog. e Histog.'!DV:DV),"")</f>
        <v>0</v>
      </c>
      <c r="BB213" s="144">
        <f>IFERROR(_xlfn.XLOOKUP($B213,'Cronog. e Histog.'!$BZ:$BZ,'Cronog. e Histog.'!DW:DW),"")</f>
        <v>0</v>
      </c>
      <c r="BC213" s="144">
        <f>IFERROR(_xlfn.XLOOKUP($B213,'Cronog. e Histog.'!$BZ:$BZ,'Cronog. e Histog.'!DX:DX),"")</f>
        <v>0</v>
      </c>
      <c r="BD213" s="144">
        <f>IFERROR(_xlfn.XLOOKUP($B213,'Cronog. e Histog.'!$BZ:$BZ,'Cronog. e Histog.'!DY:DY),"")</f>
        <v>0</v>
      </c>
      <c r="BE213" s="144">
        <f>IFERROR(_xlfn.XLOOKUP($B213,'Cronog. e Histog.'!$BZ:$BZ,'Cronog. e Histog.'!DZ:DZ),"")</f>
        <v>0</v>
      </c>
      <c r="BF213" s="144">
        <f>IFERROR(_xlfn.XLOOKUP($B213,'Cronog. e Histog.'!$BZ:$BZ,'Cronog. e Histog.'!EA:EA),"")</f>
        <v>0</v>
      </c>
      <c r="BG213" s="144">
        <f>IFERROR(_xlfn.XLOOKUP($B213,'Cronog. e Histog.'!$BZ:$BZ,'Cronog. e Histog.'!EB:EB),"")</f>
        <v>0</v>
      </c>
      <c r="BH213" s="144">
        <f>IFERROR(_xlfn.XLOOKUP($B213,'Cronog. e Histog.'!$BZ:$BZ,'Cronog. e Histog.'!EC:EC),"")</f>
        <v>0</v>
      </c>
      <c r="BI213" s="144">
        <f>IFERROR(_xlfn.XLOOKUP($B213,'Cronog. e Histog.'!$BZ:$BZ,'Cronog. e Histog.'!ED:ED),"")</f>
        <v>0</v>
      </c>
      <c r="BJ213" s="144">
        <f>IFERROR(_xlfn.XLOOKUP($B213,'Cronog. e Histog.'!$BZ:$BZ,'Cronog. e Histog.'!EE:EE),"")</f>
        <v>0</v>
      </c>
      <c r="BK213" s="144">
        <f>IFERROR(_xlfn.XLOOKUP($B213,'Cronog. e Histog.'!$BZ:$BZ,'Cronog. e Histog.'!EF:EF),"")</f>
        <v>0</v>
      </c>
      <c r="BL213" s="144">
        <f>IFERROR(_xlfn.XLOOKUP($B213,'Cronog. e Histog.'!$BZ:$BZ,'Cronog. e Histog.'!EG:EG),"")</f>
        <v>0</v>
      </c>
      <c r="BM213" s="144">
        <f>IFERROR(_xlfn.XLOOKUP($B213,'Cronog. e Histog.'!$BZ:$BZ,'Cronog. e Histog.'!EH:EH),"")</f>
        <v>0</v>
      </c>
      <c r="BN213" s="144">
        <f>IFERROR(_xlfn.XLOOKUP($B213,'Cronog. e Histog.'!$BZ:$BZ,'Cronog. e Histog.'!EI:EI),"")</f>
        <v>0</v>
      </c>
    </row>
    <row r="214" spans="2:66" ht="12" hidden="1" customHeight="1" outlineLevel="1">
      <c r="B214" s="76">
        <v>208</v>
      </c>
      <c r="C214" s="143" t="str">
        <f>IFERROR(VLOOKUP(B214,'Cronog. e Histog.'!$BZ$213:$CA$747,2,0),"")</f>
        <v>AN PL. ENG/ARQ</v>
      </c>
      <c r="D214" s="144">
        <f t="shared" si="6"/>
        <v>0</v>
      </c>
      <c r="E214" s="144">
        <f t="shared" si="7"/>
        <v>0</v>
      </c>
      <c r="F214" s="65"/>
      <c r="G214" s="144">
        <f>IFERROR(_xlfn.XLOOKUP($B214,'Cronog. e Histog.'!$BZ:$BZ,'Cronog. e Histog.'!CB:CB),"")</f>
        <v>0</v>
      </c>
      <c r="H214" s="144">
        <f>IFERROR(_xlfn.XLOOKUP($B214,'Cronog. e Histog.'!$BZ:$BZ,'Cronog. e Histog.'!CC:CC),"")</f>
        <v>0</v>
      </c>
      <c r="I214" s="144">
        <f>IFERROR(_xlfn.XLOOKUP($B214,'Cronog. e Histog.'!$BZ:$BZ,'Cronog. e Histog.'!CD:CD),"")</f>
        <v>0</v>
      </c>
      <c r="J214" s="144">
        <f>IFERROR(_xlfn.XLOOKUP($B214,'Cronog. e Histog.'!$BZ:$BZ,'Cronog. e Histog.'!CE:CE),"")</f>
        <v>0</v>
      </c>
      <c r="K214" s="144">
        <f>IFERROR(_xlfn.XLOOKUP($B214,'Cronog. e Histog.'!$BZ:$BZ,'Cronog. e Histog.'!CF:CF),"")</f>
        <v>0</v>
      </c>
      <c r="L214" s="144">
        <f>IFERROR(_xlfn.XLOOKUP($B214,'Cronog. e Histog.'!$BZ:$BZ,'Cronog. e Histog.'!CG:CG),"")</f>
        <v>0</v>
      </c>
      <c r="M214" s="144">
        <f>IFERROR(_xlfn.XLOOKUP($B214,'Cronog. e Histog.'!$BZ:$BZ,'Cronog. e Histog.'!CH:CH),"")</f>
        <v>0</v>
      </c>
      <c r="N214" s="144">
        <f>IFERROR(_xlfn.XLOOKUP($B214,'Cronog. e Histog.'!$BZ:$BZ,'Cronog. e Histog.'!CI:CI),"")</f>
        <v>0</v>
      </c>
      <c r="O214" s="144">
        <f>IFERROR(_xlfn.XLOOKUP($B214,'Cronog. e Histog.'!$BZ:$BZ,'Cronog. e Histog.'!CJ:CJ),"")</f>
        <v>0</v>
      </c>
      <c r="P214" s="144">
        <f>IFERROR(_xlfn.XLOOKUP($B214,'Cronog. e Histog.'!$BZ:$BZ,'Cronog. e Histog.'!CK:CK),"")</f>
        <v>0</v>
      </c>
      <c r="Q214" s="144">
        <f>IFERROR(_xlfn.XLOOKUP($B214,'Cronog. e Histog.'!$BZ:$BZ,'Cronog. e Histog.'!CL:CL),"")</f>
        <v>0</v>
      </c>
      <c r="R214" s="144">
        <f>IFERROR(_xlfn.XLOOKUP($B214,'Cronog. e Histog.'!$BZ:$BZ,'Cronog. e Histog.'!CM:CM),"")</f>
        <v>0</v>
      </c>
      <c r="S214" s="144">
        <f>IFERROR(_xlfn.XLOOKUP($B214,'Cronog. e Histog.'!$BZ:$BZ,'Cronog. e Histog.'!CN:CN),"")</f>
        <v>0</v>
      </c>
      <c r="T214" s="144">
        <f>IFERROR(_xlfn.XLOOKUP($B214,'Cronog. e Histog.'!$BZ:$BZ,'Cronog. e Histog.'!CO:CO),"")</f>
        <v>0</v>
      </c>
      <c r="U214" s="144">
        <f>IFERROR(_xlfn.XLOOKUP($B214,'Cronog. e Histog.'!$BZ:$BZ,'Cronog. e Histog.'!CP:CP),"")</f>
        <v>0</v>
      </c>
      <c r="V214" s="144">
        <f>IFERROR(_xlfn.XLOOKUP($B214,'Cronog. e Histog.'!$BZ:$BZ,'Cronog. e Histog.'!CQ:CQ),"")</f>
        <v>0</v>
      </c>
      <c r="W214" s="144">
        <f>IFERROR(_xlfn.XLOOKUP($B214,'Cronog. e Histog.'!$BZ:$BZ,'Cronog. e Histog.'!CR:CR),"")</f>
        <v>0</v>
      </c>
      <c r="X214" s="144">
        <f>IFERROR(_xlfn.XLOOKUP($B214,'Cronog. e Histog.'!$BZ:$BZ,'Cronog. e Histog.'!CS:CS),"")</f>
        <v>0</v>
      </c>
      <c r="Y214" s="144">
        <f>IFERROR(_xlfn.XLOOKUP($B214,'Cronog. e Histog.'!$BZ:$BZ,'Cronog. e Histog.'!CT:CT),"")</f>
        <v>0</v>
      </c>
      <c r="Z214" s="144">
        <f>IFERROR(_xlfn.XLOOKUP($B214,'Cronog. e Histog.'!$BZ:$BZ,'Cronog. e Histog.'!CU:CU),"")</f>
        <v>0</v>
      </c>
      <c r="AA214" s="144">
        <f>IFERROR(_xlfn.XLOOKUP($B214,'Cronog. e Histog.'!$BZ:$BZ,'Cronog. e Histog.'!CV:CV),"")</f>
        <v>0</v>
      </c>
      <c r="AB214" s="144">
        <f>IFERROR(_xlfn.XLOOKUP($B214,'Cronog. e Histog.'!$BZ:$BZ,'Cronog. e Histog.'!CW:CW),"")</f>
        <v>0</v>
      </c>
      <c r="AC214" s="144">
        <f>IFERROR(_xlfn.XLOOKUP($B214,'Cronog. e Histog.'!$BZ:$BZ,'Cronog. e Histog.'!CX:CX),"")</f>
        <v>0</v>
      </c>
      <c r="AD214" s="144">
        <f>IFERROR(_xlfn.XLOOKUP($B214,'Cronog. e Histog.'!$BZ:$BZ,'Cronog. e Histog.'!CY:CY),"")</f>
        <v>0</v>
      </c>
      <c r="AE214" s="144">
        <f>IFERROR(_xlfn.XLOOKUP($B214,'Cronog. e Histog.'!$BZ:$BZ,'Cronog. e Histog.'!CZ:CZ),"")</f>
        <v>0</v>
      </c>
      <c r="AF214" s="144">
        <f>IFERROR(_xlfn.XLOOKUP($B214,'Cronog. e Histog.'!$BZ:$BZ,'Cronog. e Histog.'!DA:DA),"")</f>
        <v>0</v>
      </c>
      <c r="AG214" s="144">
        <f>IFERROR(_xlfn.XLOOKUP($B214,'Cronog. e Histog.'!$BZ:$BZ,'Cronog. e Histog.'!DB:DB),"")</f>
        <v>0</v>
      </c>
      <c r="AH214" s="144">
        <f>IFERROR(_xlfn.XLOOKUP($B214,'Cronog. e Histog.'!$BZ:$BZ,'Cronog. e Histog.'!DC:DC),"")</f>
        <v>0</v>
      </c>
      <c r="AI214" s="144">
        <f>IFERROR(_xlfn.XLOOKUP($B214,'Cronog. e Histog.'!$BZ:$BZ,'Cronog. e Histog.'!DD:DD),"")</f>
        <v>0</v>
      </c>
      <c r="AJ214" s="144">
        <f>IFERROR(_xlfn.XLOOKUP($B214,'Cronog. e Histog.'!$BZ:$BZ,'Cronog. e Histog.'!DE:DE),"")</f>
        <v>0</v>
      </c>
      <c r="AK214" s="144">
        <f>IFERROR(_xlfn.XLOOKUP($B214,'Cronog. e Histog.'!$BZ:$BZ,'Cronog. e Histog.'!DF:DF),"")</f>
        <v>0</v>
      </c>
      <c r="AL214" s="144">
        <f>IFERROR(_xlfn.XLOOKUP($B214,'Cronog. e Histog.'!$BZ:$BZ,'Cronog. e Histog.'!DG:DG),"")</f>
        <v>0</v>
      </c>
      <c r="AM214" s="144">
        <f>IFERROR(_xlfn.XLOOKUP($B214,'Cronog. e Histog.'!$BZ:$BZ,'Cronog. e Histog.'!DH:DH),"")</f>
        <v>0</v>
      </c>
      <c r="AN214" s="144">
        <f>IFERROR(_xlfn.XLOOKUP($B214,'Cronog. e Histog.'!$BZ:$BZ,'Cronog. e Histog.'!DI:DI),"")</f>
        <v>0</v>
      </c>
      <c r="AO214" s="144">
        <f>IFERROR(_xlfn.XLOOKUP($B214,'Cronog. e Histog.'!$BZ:$BZ,'Cronog. e Histog.'!DJ:DJ),"")</f>
        <v>0</v>
      </c>
      <c r="AP214" s="144">
        <f>IFERROR(_xlfn.XLOOKUP($B214,'Cronog. e Histog.'!$BZ:$BZ,'Cronog. e Histog.'!DK:DK),"")</f>
        <v>0</v>
      </c>
      <c r="AQ214" s="144">
        <f>IFERROR(_xlfn.XLOOKUP($B214,'Cronog. e Histog.'!$BZ:$BZ,'Cronog. e Histog.'!DL:DL),"")</f>
        <v>0</v>
      </c>
      <c r="AR214" s="144">
        <f>IFERROR(_xlfn.XLOOKUP($B214,'Cronog. e Histog.'!$BZ:$BZ,'Cronog. e Histog.'!DM:DM),"")</f>
        <v>0</v>
      </c>
      <c r="AS214" s="144">
        <f>IFERROR(_xlfn.XLOOKUP($B214,'Cronog. e Histog.'!$BZ:$BZ,'Cronog. e Histog.'!DN:DN),"")</f>
        <v>0</v>
      </c>
      <c r="AT214" s="144">
        <f>IFERROR(_xlfn.XLOOKUP($B214,'Cronog. e Histog.'!$BZ:$BZ,'Cronog. e Histog.'!DO:DO),"")</f>
        <v>0</v>
      </c>
      <c r="AU214" s="144">
        <f>IFERROR(_xlfn.XLOOKUP($B214,'Cronog. e Histog.'!$BZ:$BZ,'Cronog. e Histog.'!DP:DP),"")</f>
        <v>0</v>
      </c>
      <c r="AV214" s="144">
        <f>IFERROR(_xlfn.XLOOKUP($B214,'Cronog. e Histog.'!$BZ:$BZ,'Cronog. e Histog.'!DQ:DQ),"")</f>
        <v>0</v>
      </c>
      <c r="AW214" s="144">
        <f>IFERROR(_xlfn.XLOOKUP($B214,'Cronog. e Histog.'!$BZ:$BZ,'Cronog. e Histog.'!DR:DR),"")</f>
        <v>0</v>
      </c>
      <c r="AX214" s="144">
        <f>IFERROR(_xlfn.XLOOKUP($B214,'Cronog. e Histog.'!$BZ:$BZ,'Cronog. e Histog.'!DS:DS),"")</f>
        <v>0</v>
      </c>
      <c r="AY214" s="144">
        <f>IFERROR(_xlfn.XLOOKUP($B214,'Cronog. e Histog.'!$BZ:$BZ,'Cronog. e Histog.'!DT:DT),"")</f>
        <v>0</v>
      </c>
      <c r="AZ214" s="144">
        <f>IFERROR(_xlfn.XLOOKUP($B214,'Cronog. e Histog.'!$BZ:$BZ,'Cronog. e Histog.'!DU:DU),"")</f>
        <v>0</v>
      </c>
      <c r="BA214" s="144">
        <f>IFERROR(_xlfn.XLOOKUP($B214,'Cronog. e Histog.'!$BZ:$BZ,'Cronog. e Histog.'!DV:DV),"")</f>
        <v>0</v>
      </c>
      <c r="BB214" s="144">
        <f>IFERROR(_xlfn.XLOOKUP($B214,'Cronog. e Histog.'!$BZ:$BZ,'Cronog. e Histog.'!DW:DW),"")</f>
        <v>0</v>
      </c>
      <c r="BC214" s="144">
        <f>IFERROR(_xlfn.XLOOKUP($B214,'Cronog. e Histog.'!$BZ:$BZ,'Cronog. e Histog.'!DX:DX),"")</f>
        <v>0</v>
      </c>
      <c r="BD214" s="144">
        <f>IFERROR(_xlfn.XLOOKUP($B214,'Cronog. e Histog.'!$BZ:$BZ,'Cronog. e Histog.'!DY:DY),"")</f>
        <v>0</v>
      </c>
      <c r="BE214" s="144">
        <f>IFERROR(_xlfn.XLOOKUP($B214,'Cronog. e Histog.'!$BZ:$BZ,'Cronog. e Histog.'!DZ:DZ),"")</f>
        <v>0</v>
      </c>
      <c r="BF214" s="144">
        <f>IFERROR(_xlfn.XLOOKUP($B214,'Cronog. e Histog.'!$BZ:$BZ,'Cronog. e Histog.'!EA:EA),"")</f>
        <v>0</v>
      </c>
      <c r="BG214" s="144">
        <f>IFERROR(_xlfn.XLOOKUP($B214,'Cronog. e Histog.'!$BZ:$BZ,'Cronog. e Histog.'!EB:EB),"")</f>
        <v>0</v>
      </c>
      <c r="BH214" s="144">
        <f>IFERROR(_xlfn.XLOOKUP($B214,'Cronog. e Histog.'!$BZ:$BZ,'Cronog. e Histog.'!EC:EC),"")</f>
        <v>0</v>
      </c>
      <c r="BI214" s="144">
        <f>IFERROR(_xlfn.XLOOKUP($B214,'Cronog. e Histog.'!$BZ:$BZ,'Cronog. e Histog.'!ED:ED),"")</f>
        <v>0</v>
      </c>
      <c r="BJ214" s="144">
        <f>IFERROR(_xlfn.XLOOKUP($B214,'Cronog. e Histog.'!$BZ:$BZ,'Cronog. e Histog.'!EE:EE),"")</f>
        <v>0</v>
      </c>
      <c r="BK214" s="144">
        <f>IFERROR(_xlfn.XLOOKUP($B214,'Cronog. e Histog.'!$BZ:$BZ,'Cronog. e Histog.'!EF:EF),"")</f>
        <v>0</v>
      </c>
      <c r="BL214" s="144">
        <f>IFERROR(_xlfn.XLOOKUP($B214,'Cronog. e Histog.'!$BZ:$BZ,'Cronog. e Histog.'!EG:EG),"")</f>
        <v>0</v>
      </c>
      <c r="BM214" s="144">
        <f>IFERROR(_xlfn.XLOOKUP($B214,'Cronog. e Histog.'!$BZ:$BZ,'Cronog. e Histog.'!EH:EH),"")</f>
        <v>0</v>
      </c>
      <c r="BN214" s="144">
        <f>IFERROR(_xlfn.XLOOKUP($B214,'Cronog. e Histog.'!$BZ:$BZ,'Cronog. e Histog.'!EI:EI),"")</f>
        <v>0</v>
      </c>
    </row>
    <row r="215" spans="2:66" ht="12" hidden="1" customHeight="1" outlineLevel="1">
      <c r="B215" s="76">
        <v>209</v>
      </c>
      <c r="C215" s="143" t="str">
        <f>IFERROR(VLOOKUP(B215,'Cronog. e Histog.'!$BZ$213:$CA$747,2,0),"")</f>
        <v>AN JR. ENG/ARQ</v>
      </c>
      <c r="D215" s="144">
        <f t="shared" si="6"/>
        <v>0</v>
      </c>
      <c r="E215" s="144">
        <f t="shared" si="7"/>
        <v>0</v>
      </c>
      <c r="F215" s="65"/>
      <c r="G215" s="144">
        <f>IFERROR(_xlfn.XLOOKUP($B215,'Cronog. e Histog.'!$BZ:$BZ,'Cronog. e Histog.'!CB:CB),"")</f>
        <v>0</v>
      </c>
      <c r="H215" s="144">
        <f>IFERROR(_xlfn.XLOOKUP($B215,'Cronog. e Histog.'!$BZ:$BZ,'Cronog. e Histog.'!CC:CC),"")</f>
        <v>0</v>
      </c>
      <c r="I215" s="144">
        <f>IFERROR(_xlfn.XLOOKUP($B215,'Cronog. e Histog.'!$BZ:$BZ,'Cronog. e Histog.'!CD:CD),"")</f>
        <v>0</v>
      </c>
      <c r="J215" s="144">
        <f>IFERROR(_xlfn.XLOOKUP($B215,'Cronog. e Histog.'!$BZ:$BZ,'Cronog. e Histog.'!CE:CE),"")</f>
        <v>0</v>
      </c>
      <c r="K215" s="144">
        <f>IFERROR(_xlfn.XLOOKUP($B215,'Cronog. e Histog.'!$BZ:$BZ,'Cronog. e Histog.'!CF:CF),"")</f>
        <v>0</v>
      </c>
      <c r="L215" s="144">
        <f>IFERROR(_xlfn.XLOOKUP($B215,'Cronog. e Histog.'!$BZ:$BZ,'Cronog. e Histog.'!CG:CG),"")</f>
        <v>0</v>
      </c>
      <c r="M215" s="144">
        <f>IFERROR(_xlfn.XLOOKUP($B215,'Cronog. e Histog.'!$BZ:$BZ,'Cronog. e Histog.'!CH:CH),"")</f>
        <v>0</v>
      </c>
      <c r="N215" s="144">
        <f>IFERROR(_xlfn.XLOOKUP($B215,'Cronog. e Histog.'!$BZ:$BZ,'Cronog. e Histog.'!CI:CI),"")</f>
        <v>0</v>
      </c>
      <c r="O215" s="144">
        <f>IFERROR(_xlfn.XLOOKUP($B215,'Cronog. e Histog.'!$BZ:$BZ,'Cronog. e Histog.'!CJ:CJ),"")</f>
        <v>0</v>
      </c>
      <c r="P215" s="144">
        <f>IFERROR(_xlfn.XLOOKUP($B215,'Cronog. e Histog.'!$BZ:$BZ,'Cronog. e Histog.'!CK:CK),"")</f>
        <v>0</v>
      </c>
      <c r="Q215" s="144">
        <f>IFERROR(_xlfn.XLOOKUP($B215,'Cronog. e Histog.'!$BZ:$BZ,'Cronog. e Histog.'!CL:CL),"")</f>
        <v>0</v>
      </c>
      <c r="R215" s="144">
        <f>IFERROR(_xlfn.XLOOKUP($B215,'Cronog. e Histog.'!$BZ:$BZ,'Cronog. e Histog.'!CM:CM),"")</f>
        <v>0</v>
      </c>
      <c r="S215" s="144">
        <f>IFERROR(_xlfn.XLOOKUP($B215,'Cronog. e Histog.'!$BZ:$BZ,'Cronog. e Histog.'!CN:CN),"")</f>
        <v>0</v>
      </c>
      <c r="T215" s="144">
        <f>IFERROR(_xlfn.XLOOKUP($B215,'Cronog. e Histog.'!$BZ:$BZ,'Cronog. e Histog.'!CO:CO),"")</f>
        <v>0</v>
      </c>
      <c r="U215" s="144">
        <f>IFERROR(_xlfn.XLOOKUP($B215,'Cronog. e Histog.'!$BZ:$BZ,'Cronog. e Histog.'!CP:CP),"")</f>
        <v>0</v>
      </c>
      <c r="V215" s="144">
        <f>IFERROR(_xlfn.XLOOKUP($B215,'Cronog. e Histog.'!$BZ:$BZ,'Cronog. e Histog.'!CQ:CQ),"")</f>
        <v>0</v>
      </c>
      <c r="W215" s="144">
        <f>IFERROR(_xlfn.XLOOKUP($B215,'Cronog. e Histog.'!$BZ:$BZ,'Cronog. e Histog.'!CR:CR),"")</f>
        <v>0</v>
      </c>
      <c r="X215" s="144">
        <f>IFERROR(_xlfn.XLOOKUP($B215,'Cronog. e Histog.'!$BZ:$BZ,'Cronog. e Histog.'!CS:CS),"")</f>
        <v>0</v>
      </c>
      <c r="Y215" s="144">
        <f>IFERROR(_xlfn.XLOOKUP($B215,'Cronog. e Histog.'!$BZ:$BZ,'Cronog. e Histog.'!CT:CT),"")</f>
        <v>0</v>
      </c>
      <c r="Z215" s="144">
        <f>IFERROR(_xlfn.XLOOKUP($B215,'Cronog. e Histog.'!$BZ:$BZ,'Cronog. e Histog.'!CU:CU),"")</f>
        <v>0</v>
      </c>
      <c r="AA215" s="144">
        <f>IFERROR(_xlfn.XLOOKUP($B215,'Cronog. e Histog.'!$BZ:$BZ,'Cronog. e Histog.'!CV:CV),"")</f>
        <v>0</v>
      </c>
      <c r="AB215" s="144">
        <f>IFERROR(_xlfn.XLOOKUP($B215,'Cronog. e Histog.'!$BZ:$BZ,'Cronog. e Histog.'!CW:CW),"")</f>
        <v>0</v>
      </c>
      <c r="AC215" s="144">
        <f>IFERROR(_xlfn.XLOOKUP($B215,'Cronog. e Histog.'!$BZ:$BZ,'Cronog. e Histog.'!CX:CX),"")</f>
        <v>0</v>
      </c>
      <c r="AD215" s="144">
        <f>IFERROR(_xlfn.XLOOKUP($B215,'Cronog. e Histog.'!$BZ:$BZ,'Cronog. e Histog.'!CY:CY),"")</f>
        <v>0</v>
      </c>
      <c r="AE215" s="144">
        <f>IFERROR(_xlfn.XLOOKUP($B215,'Cronog. e Histog.'!$BZ:$BZ,'Cronog. e Histog.'!CZ:CZ),"")</f>
        <v>0</v>
      </c>
      <c r="AF215" s="144">
        <f>IFERROR(_xlfn.XLOOKUP($B215,'Cronog. e Histog.'!$BZ:$BZ,'Cronog. e Histog.'!DA:DA),"")</f>
        <v>0</v>
      </c>
      <c r="AG215" s="144">
        <f>IFERROR(_xlfn.XLOOKUP($B215,'Cronog. e Histog.'!$BZ:$BZ,'Cronog. e Histog.'!DB:DB),"")</f>
        <v>0</v>
      </c>
      <c r="AH215" s="144">
        <f>IFERROR(_xlfn.XLOOKUP($B215,'Cronog. e Histog.'!$BZ:$BZ,'Cronog. e Histog.'!DC:DC),"")</f>
        <v>0</v>
      </c>
      <c r="AI215" s="144">
        <f>IFERROR(_xlfn.XLOOKUP($B215,'Cronog. e Histog.'!$BZ:$BZ,'Cronog. e Histog.'!DD:DD),"")</f>
        <v>0</v>
      </c>
      <c r="AJ215" s="144">
        <f>IFERROR(_xlfn.XLOOKUP($B215,'Cronog. e Histog.'!$BZ:$BZ,'Cronog. e Histog.'!DE:DE),"")</f>
        <v>0</v>
      </c>
      <c r="AK215" s="144">
        <f>IFERROR(_xlfn.XLOOKUP($B215,'Cronog. e Histog.'!$BZ:$BZ,'Cronog. e Histog.'!DF:DF),"")</f>
        <v>0</v>
      </c>
      <c r="AL215" s="144">
        <f>IFERROR(_xlfn.XLOOKUP($B215,'Cronog. e Histog.'!$BZ:$BZ,'Cronog. e Histog.'!DG:DG),"")</f>
        <v>0</v>
      </c>
      <c r="AM215" s="144">
        <f>IFERROR(_xlfn.XLOOKUP($B215,'Cronog. e Histog.'!$BZ:$BZ,'Cronog. e Histog.'!DH:DH),"")</f>
        <v>0</v>
      </c>
      <c r="AN215" s="144">
        <f>IFERROR(_xlfn.XLOOKUP($B215,'Cronog. e Histog.'!$BZ:$BZ,'Cronog. e Histog.'!DI:DI),"")</f>
        <v>0</v>
      </c>
      <c r="AO215" s="144">
        <f>IFERROR(_xlfn.XLOOKUP($B215,'Cronog. e Histog.'!$BZ:$BZ,'Cronog. e Histog.'!DJ:DJ),"")</f>
        <v>0</v>
      </c>
      <c r="AP215" s="144">
        <f>IFERROR(_xlfn.XLOOKUP($B215,'Cronog. e Histog.'!$BZ:$BZ,'Cronog. e Histog.'!DK:DK),"")</f>
        <v>0</v>
      </c>
      <c r="AQ215" s="144">
        <f>IFERROR(_xlfn.XLOOKUP($B215,'Cronog. e Histog.'!$BZ:$BZ,'Cronog. e Histog.'!DL:DL),"")</f>
        <v>0</v>
      </c>
      <c r="AR215" s="144">
        <f>IFERROR(_xlfn.XLOOKUP($B215,'Cronog. e Histog.'!$BZ:$BZ,'Cronog. e Histog.'!DM:DM),"")</f>
        <v>0</v>
      </c>
      <c r="AS215" s="144">
        <f>IFERROR(_xlfn.XLOOKUP($B215,'Cronog. e Histog.'!$BZ:$BZ,'Cronog. e Histog.'!DN:DN),"")</f>
        <v>0</v>
      </c>
      <c r="AT215" s="144">
        <f>IFERROR(_xlfn.XLOOKUP($B215,'Cronog. e Histog.'!$BZ:$BZ,'Cronog. e Histog.'!DO:DO),"")</f>
        <v>0</v>
      </c>
      <c r="AU215" s="144">
        <f>IFERROR(_xlfn.XLOOKUP($B215,'Cronog. e Histog.'!$BZ:$BZ,'Cronog. e Histog.'!DP:DP),"")</f>
        <v>0</v>
      </c>
      <c r="AV215" s="144">
        <f>IFERROR(_xlfn.XLOOKUP($B215,'Cronog. e Histog.'!$BZ:$BZ,'Cronog. e Histog.'!DQ:DQ),"")</f>
        <v>0</v>
      </c>
      <c r="AW215" s="144">
        <f>IFERROR(_xlfn.XLOOKUP($B215,'Cronog. e Histog.'!$BZ:$BZ,'Cronog. e Histog.'!DR:DR),"")</f>
        <v>0</v>
      </c>
      <c r="AX215" s="144">
        <f>IFERROR(_xlfn.XLOOKUP($B215,'Cronog. e Histog.'!$BZ:$BZ,'Cronog. e Histog.'!DS:DS),"")</f>
        <v>0</v>
      </c>
      <c r="AY215" s="144">
        <f>IFERROR(_xlfn.XLOOKUP($B215,'Cronog. e Histog.'!$BZ:$BZ,'Cronog. e Histog.'!DT:DT),"")</f>
        <v>0</v>
      </c>
      <c r="AZ215" s="144">
        <f>IFERROR(_xlfn.XLOOKUP($B215,'Cronog. e Histog.'!$BZ:$BZ,'Cronog. e Histog.'!DU:DU),"")</f>
        <v>0</v>
      </c>
      <c r="BA215" s="144">
        <f>IFERROR(_xlfn.XLOOKUP($B215,'Cronog. e Histog.'!$BZ:$BZ,'Cronog. e Histog.'!DV:DV),"")</f>
        <v>0</v>
      </c>
      <c r="BB215" s="144">
        <f>IFERROR(_xlfn.XLOOKUP($B215,'Cronog. e Histog.'!$BZ:$BZ,'Cronog. e Histog.'!DW:DW),"")</f>
        <v>0</v>
      </c>
      <c r="BC215" s="144">
        <f>IFERROR(_xlfn.XLOOKUP($B215,'Cronog. e Histog.'!$BZ:$BZ,'Cronog. e Histog.'!DX:DX),"")</f>
        <v>0</v>
      </c>
      <c r="BD215" s="144">
        <f>IFERROR(_xlfn.XLOOKUP($B215,'Cronog. e Histog.'!$BZ:$BZ,'Cronog. e Histog.'!DY:DY),"")</f>
        <v>0</v>
      </c>
      <c r="BE215" s="144">
        <f>IFERROR(_xlfn.XLOOKUP($B215,'Cronog. e Histog.'!$BZ:$BZ,'Cronog. e Histog.'!DZ:DZ),"")</f>
        <v>0</v>
      </c>
      <c r="BF215" s="144">
        <f>IFERROR(_xlfn.XLOOKUP($B215,'Cronog. e Histog.'!$BZ:$BZ,'Cronog. e Histog.'!EA:EA),"")</f>
        <v>0</v>
      </c>
      <c r="BG215" s="144">
        <f>IFERROR(_xlfn.XLOOKUP($B215,'Cronog. e Histog.'!$BZ:$BZ,'Cronog. e Histog.'!EB:EB),"")</f>
        <v>0</v>
      </c>
      <c r="BH215" s="144">
        <f>IFERROR(_xlfn.XLOOKUP($B215,'Cronog. e Histog.'!$BZ:$BZ,'Cronog. e Histog.'!EC:EC),"")</f>
        <v>0</v>
      </c>
      <c r="BI215" s="144">
        <f>IFERROR(_xlfn.XLOOKUP($B215,'Cronog. e Histog.'!$BZ:$BZ,'Cronog. e Histog.'!ED:ED),"")</f>
        <v>0</v>
      </c>
      <c r="BJ215" s="144">
        <f>IFERROR(_xlfn.XLOOKUP($B215,'Cronog. e Histog.'!$BZ:$BZ,'Cronog. e Histog.'!EE:EE),"")</f>
        <v>0</v>
      </c>
      <c r="BK215" s="144">
        <f>IFERROR(_xlfn.XLOOKUP($B215,'Cronog. e Histog.'!$BZ:$BZ,'Cronog. e Histog.'!EF:EF),"")</f>
        <v>0</v>
      </c>
      <c r="BL215" s="144">
        <f>IFERROR(_xlfn.XLOOKUP($B215,'Cronog. e Histog.'!$BZ:$BZ,'Cronog. e Histog.'!EG:EG),"")</f>
        <v>0</v>
      </c>
      <c r="BM215" s="144">
        <f>IFERROR(_xlfn.XLOOKUP($B215,'Cronog. e Histog.'!$BZ:$BZ,'Cronog. e Histog.'!EH:EH),"")</f>
        <v>0</v>
      </c>
      <c r="BN215" s="144">
        <f>IFERROR(_xlfn.XLOOKUP($B215,'Cronog. e Histog.'!$BZ:$BZ,'Cronog. e Histog.'!EI:EI),"")</f>
        <v>0</v>
      </c>
    </row>
    <row r="216" spans="2:66" ht="12" hidden="1" customHeight="1" outlineLevel="1">
      <c r="B216" s="76">
        <v>210</v>
      </c>
      <c r="C216" s="143" t="str">
        <f>IFERROR(VLOOKUP(B216,'Cronog. e Histog.'!$BZ$213:$CA$747,2,0),"")</f>
        <v>AN SR. ADM/CRP</v>
      </c>
      <c r="D216" s="144">
        <f t="shared" si="6"/>
        <v>0</v>
      </c>
      <c r="E216" s="144">
        <f t="shared" si="7"/>
        <v>0</v>
      </c>
      <c r="F216" s="65"/>
      <c r="G216" s="144">
        <f>IFERROR(_xlfn.XLOOKUP($B216,'Cronog. e Histog.'!$BZ:$BZ,'Cronog. e Histog.'!CB:CB),"")</f>
        <v>0</v>
      </c>
      <c r="H216" s="144">
        <f>IFERROR(_xlfn.XLOOKUP($B216,'Cronog. e Histog.'!$BZ:$BZ,'Cronog. e Histog.'!CC:CC),"")</f>
        <v>0</v>
      </c>
      <c r="I216" s="144">
        <f>IFERROR(_xlfn.XLOOKUP($B216,'Cronog. e Histog.'!$BZ:$BZ,'Cronog. e Histog.'!CD:CD),"")</f>
        <v>0</v>
      </c>
      <c r="J216" s="144">
        <f>IFERROR(_xlfn.XLOOKUP($B216,'Cronog. e Histog.'!$BZ:$BZ,'Cronog. e Histog.'!CE:CE),"")</f>
        <v>0</v>
      </c>
      <c r="K216" s="144">
        <f>IFERROR(_xlfn.XLOOKUP($B216,'Cronog. e Histog.'!$BZ:$BZ,'Cronog. e Histog.'!CF:CF),"")</f>
        <v>0</v>
      </c>
      <c r="L216" s="144">
        <f>IFERROR(_xlfn.XLOOKUP($B216,'Cronog. e Histog.'!$BZ:$BZ,'Cronog. e Histog.'!CG:CG),"")</f>
        <v>0</v>
      </c>
      <c r="M216" s="144">
        <f>IFERROR(_xlfn.XLOOKUP($B216,'Cronog. e Histog.'!$BZ:$BZ,'Cronog. e Histog.'!CH:CH),"")</f>
        <v>0</v>
      </c>
      <c r="N216" s="144">
        <f>IFERROR(_xlfn.XLOOKUP($B216,'Cronog. e Histog.'!$BZ:$BZ,'Cronog. e Histog.'!CI:CI),"")</f>
        <v>0</v>
      </c>
      <c r="O216" s="144">
        <f>IFERROR(_xlfn.XLOOKUP($B216,'Cronog. e Histog.'!$BZ:$BZ,'Cronog. e Histog.'!CJ:CJ),"")</f>
        <v>0</v>
      </c>
      <c r="P216" s="144">
        <f>IFERROR(_xlfn.XLOOKUP($B216,'Cronog. e Histog.'!$BZ:$BZ,'Cronog. e Histog.'!CK:CK),"")</f>
        <v>0</v>
      </c>
      <c r="Q216" s="144">
        <f>IFERROR(_xlfn.XLOOKUP($B216,'Cronog. e Histog.'!$BZ:$BZ,'Cronog. e Histog.'!CL:CL),"")</f>
        <v>0</v>
      </c>
      <c r="R216" s="144">
        <f>IFERROR(_xlfn.XLOOKUP($B216,'Cronog. e Histog.'!$BZ:$BZ,'Cronog. e Histog.'!CM:CM),"")</f>
        <v>0</v>
      </c>
      <c r="S216" s="144">
        <f>IFERROR(_xlfn.XLOOKUP($B216,'Cronog. e Histog.'!$BZ:$BZ,'Cronog. e Histog.'!CN:CN),"")</f>
        <v>0</v>
      </c>
      <c r="T216" s="144">
        <f>IFERROR(_xlfn.XLOOKUP($B216,'Cronog. e Histog.'!$BZ:$BZ,'Cronog. e Histog.'!CO:CO),"")</f>
        <v>0</v>
      </c>
      <c r="U216" s="144">
        <f>IFERROR(_xlfn.XLOOKUP($B216,'Cronog. e Histog.'!$BZ:$BZ,'Cronog. e Histog.'!CP:CP),"")</f>
        <v>0</v>
      </c>
      <c r="V216" s="144">
        <f>IFERROR(_xlfn.XLOOKUP($B216,'Cronog. e Histog.'!$BZ:$BZ,'Cronog. e Histog.'!CQ:CQ),"")</f>
        <v>0</v>
      </c>
      <c r="W216" s="144">
        <f>IFERROR(_xlfn.XLOOKUP($B216,'Cronog. e Histog.'!$BZ:$BZ,'Cronog. e Histog.'!CR:CR),"")</f>
        <v>0</v>
      </c>
      <c r="X216" s="144">
        <f>IFERROR(_xlfn.XLOOKUP($B216,'Cronog. e Histog.'!$BZ:$BZ,'Cronog. e Histog.'!CS:CS),"")</f>
        <v>0</v>
      </c>
      <c r="Y216" s="144">
        <f>IFERROR(_xlfn.XLOOKUP($B216,'Cronog. e Histog.'!$BZ:$BZ,'Cronog. e Histog.'!CT:CT),"")</f>
        <v>0</v>
      </c>
      <c r="Z216" s="144">
        <f>IFERROR(_xlfn.XLOOKUP($B216,'Cronog. e Histog.'!$BZ:$BZ,'Cronog. e Histog.'!CU:CU),"")</f>
        <v>0</v>
      </c>
      <c r="AA216" s="144">
        <f>IFERROR(_xlfn.XLOOKUP($B216,'Cronog. e Histog.'!$BZ:$BZ,'Cronog. e Histog.'!CV:CV),"")</f>
        <v>0</v>
      </c>
      <c r="AB216" s="144">
        <f>IFERROR(_xlfn.XLOOKUP($B216,'Cronog. e Histog.'!$BZ:$BZ,'Cronog. e Histog.'!CW:CW),"")</f>
        <v>0</v>
      </c>
      <c r="AC216" s="144">
        <f>IFERROR(_xlfn.XLOOKUP($B216,'Cronog. e Histog.'!$BZ:$BZ,'Cronog. e Histog.'!CX:CX),"")</f>
        <v>0</v>
      </c>
      <c r="AD216" s="144">
        <f>IFERROR(_xlfn.XLOOKUP($B216,'Cronog. e Histog.'!$BZ:$BZ,'Cronog. e Histog.'!CY:CY),"")</f>
        <v>0</v>
      </c>
      <c r="AE216" s="144">
        <f>IFERROR(_xlfn.XLOOKUP($B216,'Cronog. e Histog.'!$BZ:$BZ,'Cronog. e Histog.'!CZ:CZ),"")</f>
        <v>0</v>
      </c>
      <c r="AF216" s="144">
        <f>IFERROR(_xlfn.XLOOKUP($B216,'Cronog. e Histog.'!$BZ:$BZ,'Cronog. e Histog.'!DA:DA),"")</f>
        <v>0</v>
      </c>
      <c r="AG216" s="144">
        <f>IFERROR(_xlfn.XLOOKUP($B216,'Cronog. e Histog.'!$BZ:$BZ,'Cronog. e Histog.'!DB:DB),"")</f>
        <v>0</v>
      </c>
      <c r="AH216" s="144">
        <f>IFERROR(_xlfn.XLOOKUP($B216,'Cronog. e Histog.'!$BZ:$BZ,'Cronog. e Histog.'!DC:DC),"")</f>
        <v>0</v>
      </c>
      <c r="AI216" s="144">
        <f>IFERROR(_xlfn.XLOOKUP($B216,'Cronog. e Histog.'!$BZ:$BZ,'Cronog. e Histog.'!DD:DD),"")</f>
        <v>0</v>
      </c>
      <c r="AJ216" s="144">
        <f>IFERROR(_xlfn.XLOOKUP($B216,'Cronog. e Histog.'!$BZ:$BZ,'Cronog. e Histog.'!DE:DE),"")</f>
        <v>0</v>
      </c>
      <c r="AK216" s="144">
        <f>IFERROR(_xlfn.XLOOKUP($B216,'Cronog. e Histog.'!$BZ:$BZ,'Cronog. e Histog.'!DF:DF),"")</f>
        <v>0</v>
      </c>
      <c r="AL216" s="144">
        <f>IFERROR(_xlfn.XLOOKUP($B216,'Cronog. e Histog.'!$BZ:$BZ,'Cronog. e Histog.'!DG:DG),"")</f>
        <v>0</v>
      </c>
      <c r="AM216" s="144">
        <f>IFERROR(_xlfn.XLOOKUP($B216,'Cronog. e Histog.'!$BZ:$BZ,'Cronog. e Histog.'!DH:DH),"")</f>
        <v>0</v>
      </c>
      <c r="AN216" s="144">
        <f>IFERROR(_xlfn.XLOOKUP($B216,'Cronog. e Histog.'!$BZ:$BZ,'Cronog. e Histog.'!DI:DI),"")</f>
        <v>0</v>
      </c>
      <c r="AO216" s="144">
        <f>IFERROR(_xlfn.XLOOKUP($B216,'Cronog. e Histog.'!$BZ:$BZ,'Cronog. e Histog.'!DJ:DJ),"")</f>
        <v>0</v>
      </c>
      <c r="AP216" s="144">
        <f>IFERROR(_xlfn.XLOOKUP($B216,'Cronog. e Histog.'!$BZ:$BZ,'Cronog. e Histog.'!DK:DK),"")</f>
        <v>0</v>
      </c>
      <c r="AQ216" s="144">
        <f>IFERROR(_xlfn.XLOOKUP($B216,'Cronog. e Histog.'!$BZ:$BZ,'Cronog. e Histog.'!DL:DL),"")</f>
        <v>0</v>
      </c>
      <c r="AR216" s="144">
        <f>IFERROR(_xlfn.XLOOKUP($B216,'Cronog. e Histog.'!$BZ:$BZ,'Cronog. e Histog.'!DM:DM),"")</f>
        <v>0</v>
      </c>
      <c r="AS216" s="144">
        <f>IFERROR(_xlfn.XLOOKUP($B216,'Cronog. e Histog.'!$BZ:$BZ,'Cronog. e Histog.'!DN:DN),"")</f>
        <v>0</v>
      </c>
      <c r="AT216" s="144">
        <f>IFERROR(_xlfn.XLOOKUP($B216,'Cronog. e Histog.'!$BZ:$BZ,'Cronog. e Histog.'!DO:DO),"")</f>
        <v>0</v>
      </c>
      <c r="AU216" s="144">
        <f>IFERROR(_xlfn.XLOOKUP($B216,'Cronog. e Histog.'!$BZ:$BZ,'Cronog. e Histog.'!DP:DP),"")</f>
        <v>0</v>
      </c>
      <c r="AV216" s="144">
        <f>IFERROR(_xlfn.XLOOKUP($B216,'Cronog. e Histog.'!$BZ:$BZ,'Cronog. e Histog.'!DQ:DQ),"")</f>
        <v>0</v>
      </c>
      <c r="AW216" s="144">
        <f>IFERROR(_xlfn.XLOOKUP($B216,'Cronog. e Histog.'!$BZ:$BZ,'Cronog. e Histog.'!DR:DR),"")</f>
        <v>0</v>
      </c>
      <c r="AX216" s="144">
        <f>IFERROR(_xlfn.XLOOKUP($B216,'Cronog. e Histog.'!$BZ:$BZ,'Cronog. e Histog.'!DS:DS),"")</f>
        <v>0</v>
      </c>
      <c r="AY216" s="144">
        <f>IFERROR(_xlfn.XLOOKUP($B216,'Cronog. e Histog.'!$BZ:$BZ,'Cronog. e Histog.'!DT:DT),"")</f>
        <v>0</v>
      </c>
      <c r="AZ216" s="144">
        <f>IFERROR(_xlfn.XLOOKUP($B216,'Cronog. e Histog.'!$BZ:$BZ,'Cronog. e Histog.'!DU:DU),"")</f>
        <v>0</v>
      </c>
      <c r="BA216" s="144">
        <f>IFERROR(_xlfn.XLOOKUP($B216,'Cronog. e Histog.'!$BZ:$BZ,'Cronog. e Histog.'!DV:DV),"")</f>
        <v>0</v>
      </c>
      <c r="BB216" s="144">
        <f>IFERROR(_xlfn.XLOOKUP($B216,'Cronog. e Histog.'!$BZ:$BZ,'Cronog. e Histog.'!DW:DW),"")</f>
        <v>0</v>
      </c>
      <c r="BC216" s="144">
        <f>IFERROR(_xlfn.XLOOKUP($B216,'Cronog. e Histog.'!$BZ:$BZ,'Cronog. e Histog.'!DX:DX),"")</f>
        <v>0</v>
      </c>
      <c r="BD216" s="144">
        <f>IFERROR(_xlfn.XLOOKUP($B216,'Cronog. e Histog.'!$BZ:$BZ,'Cronog. e Histog.'!DY:DY),"")</f>
        <v>0</v>
      </c>
      <c r="BE216" s="144">
        <f>IFERROR(_xlfn.XLOOKUP($B216,'Cronog. e Histog.'!$BZ:$BZ,'Cronog. e Histog.'!DZ:DZ),"")</f>
        <v>0</v>
      </c>
      <c r="BF216" s="144">
        <f>IFERROR(_xlfn.XLOOKUP($B216,'Cronog. e Histog.'!$BZ:$BZ,'Cronog. e Histog.'!EA:EA),"")</f>
        <v>0</v>
      </c>
      <c r="BG216" s="144">
        <f>IFERROR(_xlfn.XLOOKUP($B216,'Cronog. e Histog.'!$BZ:$BZ,'Cronog. e Histog.'!EB:EB),"")</f>
        <v>0</v>
      </c>
      <c r="BH216" s="144">
        <f>IFERROR(_xlfn.XLOOKUP($B216,'Cronog. e Histog.'!$BZ:$BZ,'Cronog. e Histog.'!EC:EC),"")</f>
        <v>0</v>
      </c>
      <c r="BI216" s="144">
        <f>IFERROR(_xlfn.XLOOKUP($B216,'Cronog. e Histog.'!$BZ:$BZ,'Cronog. e Histog.'!ED:ED),"")</f>
        <v>0</v>
      </c>
      <c r="BJ216" s="144">
        <f>IFERROR(_xlfn.XLOOKUP($B216,'Cronog. e Histog.'!$BZ:$BZ,'Cronog. e Histog.'!EE:EE),"")</f>
        <v>0</v>
      </c>
      <c r="BK216" s="144">
        <f>IFERROR(_xlfn.XLOOKUP($B216,'Cronog. e Histog.'!$BZ:$BZ,'Cronog. e Histog.'!EF:EF),"")</f>
        <v>0</v>
      </c>
      <c r="BL216" s="144">
        <f>IFERROR(_xlfn.XLOOKUP($B216,'Cronog. e Histog.'!$BZ:$BZ,'Cronog. e Histog.'!EG:EG),"")</f>
        <v>0</v>
      </c>
      <c r="BM216" s="144">
        <f>IFERROR(_xlfn.XLOOKUP($B216,'Cronog. e Histog.'!$BZ:$BZ,'Cronog. e Histog.'!EH:EH),"")</f>
        <v>0</v>
      </c>
      <c r="BN216" s="144">
        <f>IFERROR(_xlfn.XLOOKUP($B216,'Cronog. e Histog.'!$BZ:$BZ,'Cronog. e Histog.'!EI:EI),"")</f>
        <v>0</v>
      </c>
    </row>
    <row r="217" spans="2:66" ht="12" hidden="1" customHeight="1" outlineLevel="1">
      <c r="B217" s="76">
        <v>211</v>
      </c>
      <c r="C217" s="143" t="str">
        <f>IFERROR(VLOOKUP(B217,'Cronog. e Histog.'!$BZ$213:$CA$747,2,0),"")</f>
        <v>AN PL. ADM/CRP</v>
      </c>
      <c r="D217" s="144">
        <f t="shared" si="6"/>
        <v>0</v>
      </c>
      <c r="E217" s="144">
        <f t="shared" si="7"/>
        <v>0</v>
      </c>
      <c r="F217" s="65"/>
      <c r="G217" s="144">
        <f>IFERROR(_xlfn.XLOOKUP($B217,'Cronog. e Histog.'!$BZ:$BZ,'Cronog. e Histog.'!CB:CB),"")</f>
        <v>0</v>
      </c>
      <c r="H217" s="144">
        <f>IFERROR(_xlfn.XLOOKUP($B217,'Cronog. e Histog.'!$BZ:$BZ,'Cronog. e Histog.'!CC:CC),"")</f>
        <v>0</v>
      </c>
      <c r="I217" s="144">
        <f>IFERROR(_xlfn.XLOOKUP($B217,'Cronog. e Histog.'!$BZ:$BZ,'Cronog. e Histog.'!CD:CD),"")</f>
        <v>0</v>
      </c>
      <c r="J217" s="144">
        <f>IFERROR(_xlfn.XLOOKUP($B217,'Cronog. e Histog.'!$BZ:$BZ,'Cronog. e Histog.'!CE:CE),"")</f>
        <v>0</v>
      </c>
      <c r="K217" s="144">
        <f>IFERROR(_xlfn.XLOOKUP($B217,'Cronog. e Histog.'!$BZ:$BZ,'Cronog. e Histog.'!CF:CF),"")</f>
        <v>0</v>
      </c>
      <c r="L217" s="144">
        <f>IFERROR(_xlfn.XLOOKUP($B217,'Cronog. e Histog.'!$BZ:$BZ,'Cronog. e Histog.'!CG:CG),"")</f>
        <v>0</v>
      </c>
      <c r="M217" s="144">
        <f>IFERROR(_xlfn.XLOOKUP($B217,'Cronog. e Histog.'!$BZ:$BZ,'Cronog. e Histog.'!CH:CH),"")</f>
        <v>0</v>
      </c>
      <c r="N217" s="144">
        <f>IFERROR(_xlfn.XLOOKUP($B217,'Cronog. e Histog.'!$BZ:$BZ,'Cronog. e Histog.'!CI:CI),"")</f>
        <v>0</v>
      </c>
      <c r="O217" s="144">
        <f>IFERROR(_xlfn.XLOOKUP($B217,'Cronog. e Histog.'!$BZ:$BZ,'Cronog. e Histog.'!CJ:CJ),"")</f>
        <v>0</v>
      </c>
      <c r="P217" s="144">
        <f>IFERROR(_xlfn.XLOOKUP($B217,'Cronog. e Histog.'!$BZ:$BZ,'Cronog. e Histog.'!CK:CK),"")</f>
        <v>0</v>
      </c>
      <c r="Q217" s="144">
        <f>IFERROR(_xlfn.XLOOKUP($B217,'Cronog. e Histog.'!$BZ:$BZ,'Cronog. e Histog.'!CL:CL),"")</f>
        <v>0</v>
      </c>
      <c r="R217" s="144">
        <f>IFERROR(_xlfn.XLOOKUP($B217,'Cronog. e Histog.'!$BZ:$BZ,'Cronog. e Histog.'!CM:CM),"")</f>
        <v>0</v>
      </c>
      <c r="S217" s="144">
        <f>IFERROR(_xlfn.XLOOKUP($B217,'Cronog. e Histog.'!$BZ:$BZ,'Cronog. e Histog.'!CN:CN),"")</f>
        <v>0</v>
      </c>
      <c r="T217" s="144">
        <f>IFERROR(_xlfn.XLOOKUP($B217,'Cronog. e Histog.'!$BZ:$BZ,'Cronog. e Histog.'!CO:CO),"")</f>
        <v>0</v>
      </c>
      <c r="U217" s="144">
        <f>IFERROR(_xlfn.XLOOKUP($B217,'Cronog. e Histog.'!$BZ:$BZ,'Cronog. e Histog.'!CP:CP),"")</f>
        <v>0</v>
      </c>
      <c r="V217" s="144">
        <f>IFERROR(_xlfn.XLOOKUP($B217,'Cronog. e Histog.'!$BZ:$BZ,'Cronog. e Histog.'!CQ:CQ),"")</f>
        <v>0</v>
      </c>
      <c r="W217" s="144">
        <f>IFERROR(_xlfn.XLOOKUP($B217,'Cronog. e Histog.'!$BZ:$BZ,'Cronog. e Histog.'!CR:CR),"")</f>
        <v>0</v>
      </c>
      <c r="X217" s="144">
        <f>IFERROR(_xlfn.XLOOKUP($B217,'Cronog. e Histog.'!$BZ:$BZ,'Cronog. e Histog.'!CS:CS),"")</f>
        <v>0</v>
      </c>
      <c r="Y217" s="144">
        <f>IFERROR(_xlfn.XLOOKUP($B217,'Cronog. e Histog.'!$BZ:$BZ,'Cronog. e Histog.'!CT:CT),"")</f>
        <v>0</v>
      </c>
      <c r="Z217" s="144">
        <f>IFERROR(_xlfn.XLOOKUP($B217,'Cronog. e Histog.'!$BZ:$BZ,'Cronog. e Histog.'!CU:CU),"")</f>
        <v>0</v>
      </c>
      <c r="AA217" s="144">
        <f>IFERROR(_xlfn.XLOOKUP($B217,'Cronog. e Histog.'!$BZ:$BZ,'Cronog. e Histog.'!CV:CV),"")</f>
        <v>0</v>
      </c>
      <c r="AB217" s="144">
        <f>IFERROR(_xlfn.XLOOKUP($B217,'Cronog. e Histog.'!$BZ:$BZ,'Cronog. e Histog.'!CW:CW),"")</f>
        <v>0</v>
      </c>
      <c r="AC217" s="144">
        <f>IFERROR(_xlfn.XLOOKUP($B217,'Cronog. e Histog.'!$BZ:$BZ,'Cronog. e Histog.'!CX:CX),"")</f>
        <v>0</v>
      </c>
      <c r="AD217" s="144">
        <f>IFERROR(_xlfn.XLOOKUP($B217,'Cronog. e Histog.'!$BZ:$BZ,'Cronog. e Histog.'!CY:CY),"")</f>
        <v>0</v>
      </c>
      <c r="AE217" s="144">
        <f>IFERROR(_xlfn.XLOOKUP($B217,'Cronog. e Histog.'!$BZ:$BZ,'Cronog. e Histog.'!CZ:CZ),"")</f>
        <v>0</v>
      </c>
      <c r="AF217" s="144">
        <f>IFERROR(_xlfn.XLOOKUP($B217,'Cronog. e Histog.'!$BZ:$BZ,'Cronog. e Histog.'!DA:DA),"")</f>
        <v>0</v>
      </c>
      <c r="AG217" s="144">
        <f>IFERROR(_xlfn.XLOOKUP($B217,'Cronog. e Histog.'!$BZ:$BZ,'Cronog. e Histog.'!DB:DB),"")</f>
        <v>0</v>
      </c>
      <c r="AH217" s="144">
        <f>IFERROR(_xlfn.XLOOKUP($B217,'Cronog. e Histog.'!$BZ:$BZ,'Cronog. e Histog.'!DC:DC),"")</f>
        <v>0</v>
      </c>
      <c r="AI217" s="144">
        <f>IFERROR(_xlfn.XLOOKUP($B217,'Cronog. e Histog.'!$BZ:$BZ,'Cronog. e Histog.'!DD:DD),"")</f>
        <v>0</v>
      </c>
      <c r="AJ217" s="144">
        <f>IFERROR(_xlfn.XLOOKUP($B217,'Cronog. e Histog.'!$BZ:$BZ,'Cronog. e Histog.'!DE:DE),"")</f>
        <v>0</v>
      </c>
      <c r="AK217" s="144">
        <f>IFERROR(_xlfn.XLOOKUP($B217,'Cronog. e Histog.'!$BZ:$BZ,'Cronog. e Histog.'!DF:DF),"")</f>
        <v>0</v>
      </c>
      <c r="AL217" s="144">
        <f>IFERROR(_xlfn.XLOOKUP($B217,'Cronog. e Histog.'!$BZ:$BZ,'Cronog. e Histog.'!DG:DG),"")</f>
        <v>0</v>
      </c>
      <c r="AM217" s="144">
        <f>IFERROR(_xlfn.XLOOKUP($B217,'Cronog. e Histog.'!$BZ:$BZ,'Cronog. e Histog.'!DH:DH),"")</f>
        <v>0</v>
      </c>
      <c r="AN217" s="144">
        <f>IFERROR(_xlfn.XLOOKUP($B217,'Cronog. e Histog.'!$BZ:$BZ,'Cronog. e Histog.'!DI:DI),"")</f>
        <v>0</v>
      </c>
      <c r="AO217" s="144">
        <f>IFERROR(_xlfn.XLOOKUP($B217,'Cronog. e Histog.'!$BZ:$BZ,'Cronog. e Histog.'!DJ:DJ),"")</f>
        <v>0</v>
      </c>
      <c r="AP217" s="144">
        <f>IFERROR(_xlfn.XLOOKUP($B217,'Cronog. e Histog.'!$BZ:$BZ,'Cronog. e Histog.'!DK:DK),"")</f>
        <v>0</v>
      </c>
      <c r="AQ217" s="144">
        <f>IFERROR(_xlfn.XLOOKUP($B217,'Cronog. e Histog.'!$BZ:$BZ,'Cronog. e Histog.'!DL:DL),"")</f>
        <v>0</v>
      </c>
      <c r="AR217" s="144">
        <f>IFERROR(_xlfn.XLOOKUP($B217,'Cronog. e Histog.'!$BZ:$BZ,'Cronog. e Histog.'!DM:DM),"")</f>
        <v>0</v>
      </c>
      <c r="AS217" s="144">
        <f>IFERROR(_xlfn.XLOOKUP($B217,'Cronog. e Histog.'!$BZ:$BZ,'Cronog. e Histog.'!DN:DN),"")</f>
        <v>0</v>
      </c>
      <c r="AT217" s="144">
        <f>IFERROR(_xlfn.XLOOKUP($B217,'Cronog. e Histog.'!$BZ:$BZ,'Cronog. e Histog.'!DO:DO),"")</f>
        <v>0</v>
      </c>
      <c r="AU217" s="144">
        <f>IFERROR(_xlfn.XLOOKUP($B217,'Cronog. e Histog.'!$BZ:$BZ,'Cronog. e Histog.'!DP:DP),"")</f>
        <v>0</v>
      </c>
      <c r="AV217" s="144">
        <f>IFERROR(_xlfn.XLOOKUP($B217,'Cronog. e Histog.'!$BZ:$BZ,'Cronog. e Histog.'!DQ:DQ),"")</f>
        <v>0</v>
      </c>
      <c r="AW217" s="144">
        <f>IFERROR(_xlfn.XLOOKUP($B217,'Cronog. e Histog.'!$BZ:$BZ,'Cronog. e Histog.'!DR:DR),"")</f>
        <v>0</v>
      </c>
      <c r="AX217" s="144">
        <f>IFERROR(_xlfn.XLOOKUP($B217,'Cronog. e Histog.'!$BZ:$BZ,'Cronog. e Histog.'!DS:DS),"")</f>
        <v>0</v>
      </c>
      <c r="AY217" s="144">
        <f>IFERROR(_xlfn.XLOOKUP($B217,'Cronog. e Histog.'!$BZ:$BZ,'Cronog. e Histog.'!DT:DT),"")</f>
        <v>0</v>
      </c>
      <c r="AZ217" s="144">
        <f>IFERROR(_xlfn.XLOOKUP($B217,'Cronog. e Histog.'!$BZ:$BZ,'Cronog. e Histog.'!DU:DU),"")</f>
        <v>0</v>
      </c>
      <c r="BA217" s="144">
        <f>IFERROR(_xlfn.XLOOKUP($B217,'Cronog. e Histog.'!$BZ:$BZ,'Cronog. e Histog.'!DV:DV),"")</f>
        <v>0</v>
      </c>
      <c r="BB217" s="144">
        <f>IFERROR(_xlfn.XLOOKUP($B217,'Cronog. e Histog.'!$BZ:$BZ,'Cronog. e Histog.'!DW:DW),"")</f>
        <v>0</v>
      </c>
      <c r="BC217" s="144">
        <f>IFERROR(_xlfn.XLOOKUP($B217,'Cronog. e Histog.'!$BZ:$BZ,'Cronog. e Histog.'!DX:DX),"")</f>
        <v>0</v>
      </c>
      <c r="BD217" s="144">
        <f>IFERROR(_xlfn.XLOOKUP($B217,'Cronog. e Histog.'!$BZ:$BZ,'Cronog. e Histog.'!DY:DY),"")</f>
        <v>0</v>
      </c>
      <c r="BE217" s="144">
        <f>IFERROR(_xlfn.XLOOKUP($B217,'Cronog. e Histog.'!$BZ:$BZ,'Cronog. e Histog.'!DZ:DZ),"")</f>
        <v>0</v>
      </c>
      <c r="BF217" s="144">
        <f>IFERROR(_xlfn.XLOOKUP($B217,'Cronog. e Histog.'!$BZ:$BZ,'Cronog. e Histog.'!EA:EA),"")</f>
        <v>0</v>
      </c>
      <c r="BG217" s="144">
        <f>IFERROR(_xlfn.XLOOKUP($B217,'Cronog. e Histog.'!$BZ:$BZ,'Cronog. e Histog.'!EB:EB),"")</f>
        <v>0</v>
      </c>
      <c r="BH217" s="144">
        <f>IFERROR(_xlfn.XLOOKUP($B217,'Cronog. e Histog.'!$BZ:$BZ,'Cronog. e Histog.'!EC:EC),"")</f>
        <v>0</v>
      </c>
      <c r="BI217" s="144">
        <f>IFERROR(_xlfn.XLOOKUP($B217,'Cronog. e Histog.'!$BZ:$BZ,'Cronog. e Histog.'!ED:ED),"")</f>
        <v>0</v>
      </c>
      <c r="BJ217" s="144">
        <f>IFERROR(_xlfn.XLOOKUP($B217,'Cronog. e Histog.'!$BZ:$BZ,'Cronog. e Histog.'!EE:EE),"")</f>
        <v>0</v>
      </c>
      <c r="BK217" s="144">
        <f>IFERROR(_xlfn.XLOOKUP($B217,'Cronog. e Histog.'!$BZ:$BZ,'Cronog. e Histog.'!EF:EF),"")</f>
        <v>0</v>
      </c>
      <c r="BL217" s="144">
        <f>IFERROR(_xlfn.XLOOKUP($B217,'Cronog. e Histog.'!$BZ:$BZ,'Cronog. e Histog.'!EG:EG),"")</f>
        <v>0</v>
      </c>
      <c r="BM217" s="144">
        <f>IFERROR(_xlfn.XLOOKUP($B217,'Cronog. e Histog.'!$BZ:$BZ,'Cronog. e Histog.'!EH:EH),"")</f>
        <v>0</v>
      </c>
      <c r="BN217" s="144">
        <f>IFERROR(_xlfn.XLOOKUP($B217,'Cronog. e Histog.'!$BZ:$BZ,'Cronog. e Histog.'!EI:EI),"")</f>
        <v>0</v>
      </c>
    </row>
    <row r="218" spans="2:66" ht="12" hidden="1" customHeight="1" outlineLevel="1">
      <c r="B218" s="76">
        <v>212</v>
      </c>
      <c r="C218" s="143" t="str">
        <f>IFERROR(VLOOKUP(B218,'Cronog. e Histog.'!$BZ$213:$CA$747,2,0),"")</f>
        <v>AN JR. ADM/CRP</v>
      </c>
      <c r="D218" s="144">
        <f t="shared" si="6"/>
        <v>0</v>
      </c>
      <c r="E218" s="144">
        <f t="shared" si="7"/>
        <v>0</v>
      </c>
      <c r="F218" s="65"/>
      <c r="G218" s="144">
        <f>IFERROR(_xlfn.XLOOKUP($B218,'Cronog. e Histog.'!$BZ:$BZ,'Cronog. e Histog.'!CB:CB),"")</f>
        <v>0</v>
      </c>
      <c r="H218" s="144">
        <f>IFERROR(_xlfn.XLOOKUP($B218,'Cronog. e Histog.'!$BZ:$BZ,'Cronog. e Histog.'!CC:CC),"")</f>
        <v>0</v>
      </c>
      <c r="I218" s="144">
        <f>IFERROR(_xlfn.XLOOKUP($B218,'Cronog. e Histog.'!$BZ:$BZ,'Cronog. e Histog.'!CD:CD),"")</f>
        <v>0</v>
      </c>
      <c r="J218" s="144">
        <f>IFERROR(_xlfn.XLOOKUP($B218,'Cronog. e Histog.'!$BZ:$BZ,'Cronog. e Histog.'!CE:CE),"")</f>
        <v>0</v>
      </c>
      <c r="K218" s="144">
        <f>IFERROR(_xlfn.XLOOKUP($B218,'Cronog. e Histog.'!$BZ:$BZ,'Cronog. e Histog.'!CF:CF),"")</f>
        <v>0</v>
      </c>
      <c r="L218" s="144">
        <f>IFERROR(_xlfn.XLOOKUP($B218,'Cronog. e Histog.'!$BZ:$BZ,'Cronog. e Histog.'!CG:CG),"")</f>
        <v>0</v>
      </c>
      <c r="M218" s="144">
        <f>IFERROR(_xlfn.XLOOKUP($B218,'Cronog. e Histog.'!$BZ:$BZ,'Cronog. e Histog.'!CH:CH),"")</f>
        <v>0</v>
      </c>
      <c r="N218" s="144">
        <f>IFERROR(_xlfn.XLOOKUP($B218,'Cronog. e Histog.'!$BZ:$BZ,'Cronog. e Histog.'!CI:CI),"")</f>
        <v>0</v>
      </c>
      <c r="O218" s="144">
        <f>IFERROR(_xlfn.XLOOKUP($B218,'Cronog. e Histog.'!$BZ:$BZ,'Cronog. e Histog.'!CJ:CJ),"")</f>
        <v>0</v>
      </c>
      <c r="P218" s="144">
        <f>IFERROR(_xlfn.XLOOKUP($B218,'Cronog. e Histog.'!$BZ:$BZ,'Cronog. e Histog.'!CK:CK),"")</f>
        <v>0</v>
      </c>
      <c r="Q218" s="144">
        <f>IFERROR(_xlfn.XLOOKUP($B218,'Cronog. e Histog.'!$BZ:$BZ,'Cronog. e Histog.'!CL:CL),"")</f>
        <v>0</v>
      </c>
      <c r="R218" s="144">
        <f>IFERROR(_xlfn.XLOOKUP($B218,'Cronog. e Histog.'!$BZ:$BZ,'Cronog. e Histog.'!CM:CM),"")</f>
        <v>0</v>
      </c>
      <c r="S218" s="144">
        <f>IFERROR(_xlfn.XLOOKUP($B218,'Cronog. e Histog.'!$BZ:$BZ,'Cronog. e Histog.'!CN:CN),"")</f>
        <v>0</v>
      </c>
      <c r="T218" s="144">
        <f>IFERROR(_xlfn.XLOOKUP($B218,'Cronog. e Histog.'!$BZ:$BZ,'Cronog. e Histog.'!CO:CO),"")</f>
        <v>0</v>
      </c>
      <c r="U218" s="144">
        <f>IFERROR(_xlfn.XLOOKUP($B218,'Cronog. e Histog.'!$BZ:$BZ,'Cronog. e Histog.'!CP:CP),"")</f>
        <v>0</v>
      </c>
      <c r="V218" s="144">
        <f>IFERROR(_xlfn.XLOOKUP($B218,'Cronog. e Histog.'!$BZ:$BZ,'Cronog. e Histog.'!CQ:CQ),"")</f>
        <v>0</v>
      </c>
      <c r="W218" s="144">
        <f>IFERROR(_xlfn.XLOOKUP($B218,'Cronog. e Histog.'!$BZ:$BZ,'Cronog. e Histog.'!CR:CR),"")</f>
        <v>0</v>
      </c>
      <c r="X218" s="144">
        <f>IFERROR(_xlfn.XLOOKUP($B218,'Cronog. e Histog.'!$BZ:$BZ,'Cronog. e Histog.'!CS:CS),"")</f>
        <v>0</v>
      </c>
      <c r="Y218" s="144">
        <f>IFERROR(_xlfn.XLOOKUP($B218,'Cronog. e Histog.'!$BZ:$BZ,'Cronog. e Histog.'!CT:CT),"")</f>
        <v>0</v>
      </c>
      <c r="Z218" s="144">
        <f>IFERROR(_xlfn.XLOOKUP($B218,'Cronog. e Histog.'!$BZ:$BZ,'Cronog. e Histog.'!CU:CU),"")</f>
        <v>0</v>
      </c>
      <c r="AA218" s="144">
        <f>IFERROR(_xlfn.XLOOKUP($B218,'Cronog. e Histog.'!$BZ:$BZ,'Cronog. e Histog.'!CV:CV),"")</f>
        <v>0</v>
      </c>
      <c r="AB218" s="144">
        <f>IFERROR(_xlfn.XLOOKUP($B218,'Cronog. e Histog.'!$BZ:$BZ,'Cronog. e Histog.'!CW:CW),"")</f>
        <v>0</v>
      </c>
      <c r="AC218" s="144">
        <f>IFERROR(_xlfn.XLOOKUP($B218,'Cronog. e Histog.'!$BZ:$BZ,'Cronog. e Histog.'!CX:CX),"")</f>
        <v>0</v>
      </c>
      <c r="AD218" s="144">
        <f>IFERROR(_xlfn.XLOOKUP($B218,'Cronog. e Histog.'!$BZ:$BZ,'Cronog. e Histog.'!CY:CY),"")</f>
        <v>0</v>
      </c>
      <c r="AE218" s="144">
        <f>IFERROR(_xlfn.XLOOKUP($B218,'Cronog. e Histog.'!$BZ:$BZ,'Cronog. e Histog.'!CZ:CZ),"")</f>
        <v>0</v>
      </c>
      <c r="AF218" s="144">
        <f>IFERROR(_xlfn.XLOOKUP($B218,'Cronog. e Histog.'!$BZ:$BZ,'Cronog. e Histog.'!DA:DA),"")</f>
        <v>0</v>
      </c>
      <c r="AG218" s="144">
        <f>IFERROR(_xlfn.XLOOKUP($B218,'Cronog. e Histog.'!$BZ:$BZ,'Cronog. e Histog.'!DB:DB),"")</f>
        <v>0</v>
      </c>
      <c r="AH218" s="144">
        <f>IFERROR(_xlfn.XLOOKUP($B218,'Cronog. e Histog.'!$BZ:$BZ,'Cronog. e Histog.'!DC:DC),"")</f>
        <v>0</v>
      </c>
      <c r="AI218" s="144">
        <f>IFERROR(_xlfn.XLOOKUP($B218,'Cronog. e Histog.'!$BZ:$BZ,'Cronog. e Histog.'!DD:DD),"")</f>
        <v>0</v>
      </c>
      <c r="AJ218" s="144">
        <f>IFERROR(_xlfn.XLOOKUP($B218,'Cronog. e Histog.'!$BZ:$BZ,'Cronog. e Histog.'!DE:DE),"")</f>
        <v>0</v>
      </c>
      <c r="AK218" s="144">
        <f>IFERROR(_xlfn.XLOOKUP($B218,'Cronog. e Histog.'!$BZ:$BZ,'Cronog. e Histog.'!DF:DF),"")</f>
        <v>0</v>
      </c>
      <c r="AL218" s="144">
        <f>IFERROR(_xlfn.XLOOKUP($B218,'Cronog. e Histog.'!$BZ:$BZ,'Cronog. e Histog.'!DG:DG),"")</f>
        <v>0</v>
      </c>
      <c r="AM218" s="144">
        <f>IFERROR(_xlfn.XLOOKUP($B218,'Cronog. e Histog.'!$BZ:$BZ,'Cronog. e Histog.'!DH:DH),"")</f>
        <v>0</v>
      </c>
      <c r="AN218" s="144">
        <f>IFERROR(_xlfn.XLOOKUP($B218,'Cronog. e Histog.'!$BZ:$BZ,'Cronog. e Histog.'!DI:DI),"")</f>
        <v>0</v>
      </c>
      <c r="AO218" s="144">
        <f>IFERROR(_xlfn.XLOOKUP($B218,'Cronog. e Histog.'!$BZ:$BZ,'Cronog. e Histog.'!DJ:DJ),"")</f>
        <v>0</v>
      </c>
      <c r="AP218" s="144">
        <f>IFERROR(_xlfn.XLOOKUP($B218,'Cronog. e Histog.'!$BZ:$BZ,'Cronog. e Histog.'!DK:DK),"")</f>
        <v>0</v>
      </c>
      <c r="AQ218" s="144">
        <f>IFERROR(_xlfn.XLOOKUP($B218,'Cronog. e Histog.'!$BZ:$BZ,'Cronog. e Histog.'!DL:DL),"")</f>
        <v>0</v>
      </c>
      <c r="AR218" s="144">
        <f>IFERROR(_xlfn.XLOOKUP($B218,'Cronog. e Histog.'!$BZ:$BZ,'Cronog. e Histog.'!DM:DM),"")</f>
        <v>0</v>
      </c>
      <c r="AS218" s="144">
        <f>IFERROR(_xlfn.XLOOKUP($B218,'Cronog. e Histog.'!$BZ:$BZ,'Cronog. e Histog.'!DN:DN),"")</f>
        <v>0</v>
      </c>
      <c r="AT218" s="144">
        <f>IFERROR(_xlfn.XLOOKUP($B218,'Cronog. e Histog.'!$BZ:$BZ,'Cronog. e Histog.'!DO:DO),"")</f>
        <v>0</v>
      </c>
      <c r="AU218" s="144">
        <f>IFERROR(_xlfn.XLOOKUP($B218,'Cronog. e Histog.'!$BZ:$BZ,'Cronog. e Histog.'!DP:DP),"")</f>
        <v>0</v>
      </c>
      <c r="AV218" s="144">
        <f>IFERROR(_xlfn.XLOOKUP($B218,'Cronog. e Histog.'!$BZ:$BZ,'Cronog. e Histog.'!DQ:DQ),"")</f>
        <v>0</v>
      </c>
      <c r="AW218" s="144">
        <f>IFERROR(_xlfn.XLOOKUP($B218,'Cronog. e Histog.'!$BZ:$BZ,'Cronog. e Histog.'!DR:DR),"")</f>
        <v>0</v>
      </c>
      <c r="AX218" s="144">
        <f>IFERROR(_xlfn.XLOOKUP($B218,'Cronog. e Histog.'!$BZ:$BZ,'Cronog. e Histog.'!DS:DS),"")</f>
        <v>0</v>
      </c>
      <c r="AY218" s="144">
        <f>IFERROR(_xlfn.XLOOKUP($B218,'Cronog. e Histog.'!$BZ:$BZ,'Cronog. e Histog.'!DT:DT),"")</f>
        <v>0</v>
      </c>
      <c r="AZ218" s="144">
        <f>IFERROR(_xlfn.XLOOKUP($B218,'Cronog. e Histog.'!$BZ:$BZ,'Cronog. e Histog.'!DU:DU),"")</f>
        <v>0</v>
      </c>
      <c r="BA218" s="144">
        <f>IFERROR(_xlfn.XLOOKUP($B218,'Cronog. e Histog.'!$BZ:$BZ,'Cronog. e Histog.'!DV:DV),"")</f>
        <v>0</v>
      </c>
      <c r="BB218" s="144">
        <f>IFERROR(_xlfn.XLOOKUP($B218,'Cronog. e Histog.'!$BZ:$BZ,'Cronog. e Histog.'!DW:DW),"")</f>
        <v>0</v>
      </c>
      <c r="BC218" s="144">
        <f>IFERROR(_xlfn.XLOOKUP($B218,'Cronog. e Histog.'!$BZ:$BZ,'Cronog. e Histog.'!DX:DX),"")</f>
        <v>0</v>
      </c>
      <c r="BD218" s="144">
        <f>IFERROR(_xlfn.XLOOKUP($B218,'Cronog. e Histog.'!$BZ:$BZ,'Cronog. e Histog.'!DY:DY),"")</f>
        <v>0</v>
      </c>
      <c r="BE218" s="144">
        <f>IFERROR(_xlfn.XLOOKUP($B218,'Cronog. e Histog.'!$BZ:$BZ,'Cronog. e Histog.'!DZ:DZ),"")</f>
        <v>0</v>
      </c>
      <c r="BF218" s="144">
        <f>IFERROR(_xlfn.XLOOKUP($B218,'Cronog. e Histog.'!$BZ:$BZ,'Cronog. e Histog.'!EA:EA),"")</f>
        <v>0</v>
      </c>
      <c r="BG218" s="144">
        <f>IFERROR(_xlfn.XLOOKUP($B218,'Cronog. e Histog.'!$BZ:$BZ,'Cronog. e Histog.'!EB:EB),"")</f>
        <v>0</v>
      </c>
      <c r="BH218" s="144">
        <f>IFERROR(_xlfn.XLOOKUP($B218,'Cronog. e Histog.'!$BZ:$BZ,'Cronog. e Histog.'!EC:EC),"")</f>
        <v>0</v>
      </c>
      <c r="BI218" s="144">
        <f>IFERROR(_xlfn.XLOOKUP($B218,'Cronog. e Histog.'!$BZ:$BZ,'Cronog. e Histog.'!ED:ED),"")</f>
        <v>0</v>
      </c>
      <c r="BJ218" s="144">
        <f>IFERROR(_xlfn.XLOOKUP($B218,'Cronog. e Histog.'!$BZ:$BZ,'Cronog. e Histog.'!EE:EE),"")</f>
        <v>0</v>
      </c>
      <c r="BK218" s="144">
        <f>IFERROR(_xlfn.XLOOKUP($B218,'Cronog. e Histog.'!$BZ:$BZ,'Cronog. e Histog.'!EF:EF),"")</f>
        <v>0</v>
      </c>
      <c r="BL218" s="144">
        <f>IFERROR(_xlfn.XLOOKUP($B218,'Cronog. e Histog.'!$BZ:$BZ,'Cronog. e Histog.'!EG:EG),"")</f>
        <v>0</v>
      </c>
      <c r="BM218" s="144">
        <f>IFERROR(_xlfn.XLOOKUP($B218,'Cronog. e Histog.'!$BZ:$BZ,'Cronog. e Histog.'!EH:EH),"")</f>
        <v>0</v>
      </c>
      <c r="BN218" s="144">
        <f>IFERROR(_xlfn.XLOOKUP($B218,'Cronog. e Histog.'!$BZ:$BZ,'Cronog. e Histog.'!EI:EI),"")</f>
        <v>0</v>
      </c>
    </row>
    <row r="219" spans="2:66" ht="12" hidden="1" customHeight="1" outlineLevel="1">
      <c r="B219" s="76">
        <v>213</v>
      </c>
      <c r="C219" s="143" t="str">
        <f>IFERROR(VLOOKUP(B219,'Cronog. e Histog.'!$BZ$213:$CA$747,2,0),"")</f>
        <v>TEC III</v>
      </c>
      <c r="D219" s="144">
        <f t="shared" si="6"/>
        <v>0</v>
      </c>
      <c r="E219" s="144">
        <f t="shared" si="7"/>
        <v>0</v>
      </c>
      <c r="F219" s="65"/>
      <c r="G219" s="144">
        <f>IFERROR(_xlfn.XLOOKUP($B219,'Cronog. e Histog.'!$BZ:$BZ,'Cronog. e Histog.'!CB:CB),"")</f>
        <v>0</v>
      </c>
      <c r="H219" s="144">
        <f>IFERROR(_xlfn.XLOOKUP($B219,'Cronog. e Histog.'!$BZ:$BZ,'Cronog. e Histog.'!CC:CC),"")</f>
        <v>0</v>
      </c>
      <c r="I219" s="144">
        <f>IFERROR(_xlfn.XLOOKUP($B219,'Cronog. e Histog.'!$BZ:$BZ,'Cronog. e Histog.'!CD:CD),"")</f>
        <v>0</v>
      </c>
      <c r="J219" s="144">
        <f>IFERROR(_xlfn.XLOOKUP($B219,'Cronog. e Histog.'!$BZ:$BZ,'Cronog. e Histog.'!CE:CE),"")</f>
        <v>0</v>
      </c>
      <c r="K219" s="144">
        <f>IFERROR(_xlfn.XLOOKUP($B219,'Cronog. e Histog.'!$BZ:$BZ,'Cronog. e Histog.'!CF:CF),"")</f>
        <v>0</v>
      </c>
      <c r="L219" s="144">
        <f>IFERROR(_xlfn.XLOOKUP($B219,'Cronog. e Histog.'!$BZ:$BZ,'Cronog. e Histog.'!CG:CG),"")</f>
        <v>0</v>
      </c>
      <c r="M219" s="144">
        <f>IFERROR(_xlfn.XLOOKUP($B219,'Cronog. e Histog.'!$BZ:$BZ,'Cronog. e Histog.'!CH:CH),"")</f>
        <v>0</v>
      </c>
      <c r="N219" s="144">
        <f>IFERROR(_xlfn.XLOOKUP($B219,'Cronog. e Histog.'!$BZ:$BZ,'Cronog. e Histog.'!CI:CI),"")</f>
        <v>0</v>
      </c>
      <c r="O219" s="144">
        <f>IFERROR(_xlfn.XLOOKUP($B219,'Cronog. e Histog.'!$BZ:$BZ,'Cronog. e Histog.'!CJ:CJ),"")</f>
        <v>0</v>
      </c>
      <c r="P219" s="144">
        <f>IFERROR(_xlfn.XLOOKUP($B219,'Cronog. e Histog.'!$BZ:$BZ,'Cronog. e Histog.'!CK:CK),"")</f>
        <v>0</v>
      </c>
      <c r="Q219" s="144">
        <f>IFERROR(_xlfn.XLOOKUP($B219,'Cronog. e Histog.'!$BZ:$BZ,'Cronog. e Histog.'!CL:CL),"")</f>
        <v>0</v>
      </c>
      <c r="R219" s="144">
        <f>IFERROR(_xlfn.XLOOKUP($B219,'Cronog. e Histog.'!$BZ:$BZ,'Cronog. e Histog.'!CM:CM),"")</f>
        <v>0</v>
      </c>
      <c r="S219" s="144">
        <f>IFERROR(_xlfn.XLOOKUP($B219,'Cronog. e Histog.'!$BZ:$BZ,'Cronog. e Histog.'!CN:CN),"")</f>
        <v>0</v>
      </c>
      <c r="T219" s="144">
        <f>IFERROR(_xlfn.XLOOKUP($B219,'Cronog. e Histog.'!$BZ:$BZ,'Cronog. e Histog.'!CO:CO),"")</f>
        <v>0</v>
      </c>
      <c r="U219" s="144">
        <f>IFERROR(_xlfn.XLOOKUP($B219,'Cronog. e Histog.'!$BZ:$BZ,'Cronog. e Histog.'!CP:CP),"")</f>
        <v>0</v>
      </c>
      <c r="V219" s="144">
        <f>IFERROR(_xlfn.XLOOKUP($B219,'Cronog. e Histog.'!$BZ:$BZ,'Cronog. e Histog.'!CQ:CQ),"")</f>
        <v>0</v>
      </c>
      <c r="W219" s="144">
        <f>IFERROR(_xlfn.XLOOKUP($B219,'Cronog. e Histog.'!$BZ:$BZ,'Cronog. e Histog.'!CR:CR),"")</f>
        <v>0</v>
      </c>
      <c r="X219" s="144">
        <f>IFERROR(_xlfn.XLOOKUP($B219,'Cronog. e Histog.'!$BZ:$BZ,'Cronog. e Histog.'!CS:CS),"")</f>
        <v>0</v>
      </c>
      <c r="Y219" s="144">
        <f>IFERROR(_xlfn.XLOOKUP($B219,'Cronog. e Histog.'!$BZ:$BZ,'Cronog. e Histog.'!CT:CT),"")</f>
        <v>0</v>
      </c>
      <c r="Z219" s="144">
        <f>IFERROR(_xlfn.XLOOKUP($B219,'Cronog. e Histog.'!$BZ:$BZ,'Cronog. e Histog.'!CU:CU),"")</f>
        <v>0</v>
      </c>
      <c r="AA219" s="144">
        <f>IFERROR(_xlfn.XLOOKUP($B219,'Cronog. e Histog.'!$BZ:$BZ,'Cronog. e Histog.'!CV:CV),"")</f>
        <v>0</v>
      </c>
      <c r="AB219" s="144">
        <f>IFERROR(_xlfn.XLOOKUP($B219,'Cronog. e Histog.'!$BZ:$BZ,'Cronog. e Histog.'!CW:CW),"")</f>
        <v>0</v>
      </c>
      <c r="AC219" s="144">
        <f>IFERROR(_xlfn.XLOOKUP($B219,'Cronog. e Histog.'!$BZ:$BZ,'Cronog. e Histog.'!CX:CX),"")</f>
        <v>0</v>
      </c>
      <c r="AD219" s="144">
        <f>IFERROR(_xlfn.XLOOKUP($B219,'Cronog. e Histog.'!$BZ:$BZ,'Cronog. e Histog.'!CY:CY),"")</f>
        <v>0</v>
      </c>
      <c r="AE219" s="144">
        <f>IFERROR(_xlfn.XLOOKUP($B219,'Cronog. e Histog.'!$BZ:$BZ,'Cronog. e Histog.'!CZ:CZ),"")</f>
        <v>0</v>
      </c>
      <c r="AF219" s="144">
        <f>IFERROR(_xlfn.XLOOKUP($B219,'Cronog. e Histog.'!$BZ:$BZ,'Cronog. e Histog.'!DA:DA),"")</f>
        <v>0</v>
      </c>
      <c r="AG219" s="144">
        <f>IFERROR(_xlfn.XLOOKUP($B219,'Cronog. e Histog.'!$BZ:$BZ,'Cronog. e Histog.'!DB:DB),"")</f>
        <v>0</v>
      </c>
      <c r="AH219" s="144">
        <f>IFERROR(_xlfn.XLOOKUP($B219,'Cronog. e Histog.'!$BZ:$BZ,'Cronog. e Histog.'!DC:DC),"")</f>
        <v>0</v>
      </c>
      <c r="AI219" s="144">
        <f>IFERROR(_xlfn.XLOOKUP($B219,'Cronog. e Histog.'!$BZ:$BZ,'Cronog. e Histog.'!DD:DD),"")</f>
        <v>0</v>
      </c>
      <c r="AJ219" s="144">
        <f>IFERROR(_xlfn.XLOOKUP($B219,'Cronog. e Histog.'!$BZ:$BZ,'Cronog. e Histog.'!DE:DE),"")</f>
        <v>0</v>
      </c>
      <c r="AK219" s="144">
        <f>IFERROR(_xlfn.XLOOKUP($B219,'Cronog. e Histog.'!$BZ:$BZ,'Cronog. e Histog.'!DF:DF),"")</f>
        <v>0</v>
      </c>
      <c r="AL219" s="144">
        <f>IFERROR(_xlfn.XLOOKUP($B219,'Cronog. e Histog.'!$BZ:$BZ,'Cronog. e Histog.'!DG:DG),"")</f>
        <v>0</v>
      </c>
      <c r="AM219" s="144">
        <f>IFERROR(_xlfn.XLOOKUP($B219,'Cronog. e Histog.'!$BZ:$BZ,'Cronog. e Histog.'!DH:DH),"")</f>
        <v>0</v>
      </c>
      <c r="AN219" s="144">
        <f>IFERROR(_xlfn.XLOOKUP($B219,'Cronog. e Histog.'!$BZ:$BZ,'Cronog. e Histog.'!DI:DI),"")</f>
        <v>0</v>
      </c>
      <c r="AO219" s="144">
        <f>IFERROR(_xlfn.XLOOKUP($B219,'Cronog. e Histog.'!$BZ:$BZ,'Cronog. e Histog.'!DJ:DJ),"")</f>
        <v>0</v>
      </c>
      <c r="AP219" s="144">
        <f>IFERROR(_xlfn.XLOOKUP($B219,'Cronog. e Histog.'!$BZ:$BZ,'Cronog. e Histog.'!DK:DK),"")</f>
        <v>0</v>
      </c>
      <c r="AQ219" s="144">
        <f>IFERROR(_xlfn.XLOOKUP($B219,'Cronog. e Histog.'!$BZ:$BZ,'Cronog. e Histog.'!DL:DL),"")</f>
        <v>0</v>
      </c>
      <c r="AR219" s="144">
        <f>IFERROR(_xlfn.XLOOKUP($B219,'Cronog. e Histog.'!$BZ:$BZ,'Cronog. e Histog.'!DM:DM),"")</f>
        <v>0</v>
      </c>
      <c r="AS219" s="144">
        <f>IFERROR(_xlfn.XLOOKUP($B219,'Cronog. e Histog.'!$BZ:$BZ,'Cronog. e Histog.'!DN:DN),"")</f>
        <v>0</v>
      </c>
      <c r="AT219" s="144">
        <f>IFERROR(_xlfn.XLOOKUP($B219,'Cronog. e Histog.'!$BZ:$BZ,'Cronog. e Histog.'!DO:DO),"")</f>
        <v>0</v>
      </c>
      <c r="AU219" s="144">
        <f>IFERROR(_xlfn.XLOOKUP($B219,'Cronog. e Histog.'!$BZ:$BZ,'Cronog. e Histog.'!DP:DP),"")</f>
        <v>0</v>
      </c>
      <c r="AV219" s="144">
        <f>IFERROR(_xlfn.XLOOKUP($B219,'Cronog. e Histog.'!$BZ:$BZ,'Cronog. e Histog.'!DQ:DQ),"")</f>
        <v>0</v>
      </c>
      <c r="AW219" s="144">
        <f>IFERROR(_xlfn.XLOOKUP($B219,'Cronog. e Histog.'!$BZ:$BZ,'Cronog. e Histog.'!DR:DR),"")</f>
        <v>0</v>
      </c>
      <c r="AX219" s="144">
        <f>IFERROR(_xlfn.XLOOKUP($B219,'Cronog. e Histog.'!$BZ:$BZ,'Cronog. e Histog.'!DS:DS),"")</f>
        <v>0</v>
      </c>
      <c r="AY219" s="144">
        <f>IFERROR(_xlfn.XLOOKUP($B219,'Cronog. e Histog.'!$BZ:$BZ,'Cronog. e Histog.'!DT:DT),"")</f>
        <v>0</v>
      </c>
      <c r="AZ219" s="144">
        <f>IFERROR(_xlfn.XLOOKUP($B219,'Cronog. e Histog.'!$BZ:$BZ,'Cronog. e Histog.'!DU:DU),"")</f>
        <v>0</v>
      </c>
      <c r="BA219" s="144">
        <f>IFERROR(_xlfn.XLOOKUP($B219,'Cronog. e Histog.'!$BZ:$BZ,'Cronog. e Histog.'!DV:DV),"")</f>
        <v>0</v>
      </c>
      <c r="BB219" s="144">
        <f>IFERROR(_xlfn.XLOOKUP($B219,'Cronog. e Histog.'!$BZ:$BZ,'Cronog. e Histog.'!DW:DW),"")</f>
        <v>0</v>
      </c>
      <c r="BC219" s="144">
        <f>IFERROR(_xlfn.XLOOKUP($B219,'Cronog. e Histog.'!$BZ:$BZ,'Cronog. e Histog.'!DX:DX),"")</f>
        <v>0</v>
      </c>
      <c r="BD219" s="144">
        <f>IFERROR(_xlfn.XLOOKUP($B219,'Cronog. e Histog.'!$BZ:$BZ,'Cronog. e Histog.'!DY:DY),"")</f>
        <v>0</v>
      </c>
      <c r="BE219" s="144">
        <f>IFERROR(_xlfn.XLOOKUP($B219,'Cronog. e Histog.'!$BZ:$BZ,'Cronog. e Histog.'!DZ:DZ),"")</f>
        <v>0</v>
      </c>
      <c r="BF219" s="144">
        <f>IFERROR(_xlfn.XLOOKUP($B219,'Cronog. e Histog.'!$BZ:$BZ,'Cronog. e Histog.'!EA:EA),"")</f>
        <v>0</v>
      </c>
      <c r="BG219" s="144">
        <f>IFERROR(_xlfn.XLOOKUP($B219,'Cronog. e Histog.'!$BZ:$BZ,'Cronog. e Histog.'!EB:EB),"")</f>
        <v>0</v>
      </c>
      <c r="BH219" s="144">
        <f>IFERROR(_xlfn.XLOOKUP($B219,'Cronog. e Histog.'!$BZ:$BZ,'Cronog. e Histog.'!EC:EC),"")</f>
        <v>0</v>
      </c>
      <c r="BI219" s="144">
        <f>IFERROR(_xlfn.XLOOKUP($B219,'Cronog. e Histog.'!$BZ:$BZ,'Cronog. e Histog.'!ED:ED),"")</f>
        <v>0</v>
      </c>
      <c r="BJ219" s="144">
        <f>IFERROR(_xlfn.XLOOKUP($B219,'Cronog. e Histog.'!$BZ:$BZ,'Cronog. e Histog.'!EE:EE),"")</f>
        <v>0</v>
      </c>
      <c r="BK219" s="144">
        <f>IFERROR(_xlfn.XLOOKUP($B219,'Cronog. e Histog.'!$BZ:$BZ,'Cronog. e Histog.'!EF:EF),"")</f>
        <v>0</v>
      </c>
      <c r="BL219" s="144">
        <f>IFERROR(_xlfn.XLOOKUP($B219,'Cronog. e Histog.'!$BZ:$BZ,'Cronog. e Histog.'!EG:EG),"")</f>
        <v>0</v>
      </c>
      <c r="BM219" s="144">
        <f>IFERROR(_xlfn.XLOOKUP($B219,'Cronog. e Histog.'!$BZ:$BZ,'Cronog. e Histog.'!EH:EH),"")</f>
        <v>0</v>
      </c>
      <c r="BN219" s="144">
        <f>IFERROR(_xlfn.XLOOKUP($B219,'Cronog. e Histog.'!$BZ:$BZ,'Cronog. e Histog.'!EI:EI),"")</f>
        <v>0</v>
      </c>
    </row>
    <row r="220" spans="2:66" ht="12" hidden="1" customHeight="1" outlineLevel="1">
      <c r="B220" s="76">
        <v>214</v>
      </c>
      <c r="C220" s="143" t="str">
        <f>IFERROR(VLOOKUP(B220,'Cronog. e Histog.'!$BZ$213:$CA$747,2,0),"")</f>
        <v>TEC II</v>
      </c>
      <c r="D220" s="144">
        <f t="shared" si="6"/>
        <v>0</v>
      </c>
      <c r="E220" s="144">
        <f t="shared" si="7"/>
        <v>0</v>
      </c>
      <c r="F220" s="65"/>
      <c r="G220" s="144">
        <f>IFERROR(_xlfn.XLOOKUP($B220,'Cronog. e Histog.'!$BZ:$BZ,'Cronog. e Histog.'!CB:CB),"")</f>
        <v>0</v>
      </c>
      <c r="H220" s="144">
        <f>IFERROR(_xlfn.XLOOKUP($B220,'Cronog. e Histog.'!$BZ:$BZ,'Cronog. e Histog.'!CC:CC),"")</f>
        <v>0</v>
      </c>
      <c r="I220" s="144">
        <f>IFERROR(_xlfn.XLOOKUP($B220,'Cronog. e Histog.'!$BZ:$BZ,'Cronog. e Histog.'!CD:CD),"")</f>
        <v>0</v>
      </c>
      <c r="J220" s="144">
        <f>IFERROR(_xlfn.XLOOKUP($B220,'Cronog. e Histog.'!$BZ:$BZ,'Cronog. e Histog.'!CE:CE),"")</f>
        <v>0</v>
      </c>
      <c r="K220" s="144">
        <f>IFERROR(_xlfn.XLOOKUP($B220,'Cronog. e Histog.'!$BZ:$BZ,'Cronog. e Histog.'!CF:CF),"")</f>
        <v>0</v>
      </c>
      <c r="L220" s="144">
        <f>IFERROR(_xlfn.XLOOKUP($B220,'Cronog. e Histog.'!$BZ:$BZ,'Cronog. e Histog.'!CG:CG),"")</f>
        <v>0</v>
      </c>
      <c r="M220" s="144">
        <f>IFERROR(_xlfn.XLOOKUP($B220,'Cronog. e Histog.'!$BZ:$BZ,'Cronog. e Histog.'!CH:CH),"")</f>
        <v>0</v>
      </c>
      <c r="N220" s="144">
        <f>IFERROR(_xlfn.XLOOKUP($B220,'Cronog. e Histog.'!$BZ:$BZ,'Cronog. e Histog.'!CI:CI),"")</f>
        <v>0</v>
      </c>
      <c r="O220" s="144">
        <f>IFERROR(_xlfn.XLOOKUP($B220,'Cronog. e Histog.'!$BZ:$BZ,'Cronog. e Histog.'!CJ:CJ),"")</f>
        <v>0</v>
      </c>
      <c r="P220" s="144">
        <f>IFERROR(_xlfn.XLOOKUP($B220,'Cronog. e Histog.'!$BZ:$BZ,'Cronog. e Histog.'!CK:CK),"")</f>
        <v>0</v>
      </c>
      <c r="Q220" s="144">
        <f>IFERROR(_xlfn.XLOOKUP($B220,'Cronog. e Histog.'!$BZ:$BZ,'Cronog. e Histog.'!CL:CL),"")</f>
        <v>0</v>
      </c>
      <c r="R220" s="144">
        <f>IFERROR(_xlfn.XLOOKUP($B220,'Cronog. e Histog.'!$BZ:$BZ,'Cronog. e Histog.'!CM:CM),"")</f>
        <v>0</v>
      </c>
      <c r="S220" s="144">
        <f>IFERROR(_xlfn.XLOOKUP($B220,'Cronog. e Histog.'!$BZ:$BZ,'Cronog. e Histog.'!CN:CN),"")</f>
        <v>0</v>
      </c>
      <c r="T220" s="144">
        <f>IFERROR(_xlfn.XLOOKUP($B220,'Cronog. e Histog.'!$BZ:$BZ,'Cronog. e Histog.'!CO:CO),"")</f>
        <v>0</v>
      </c>
      <c r="U220" s="144">
        <f>IFERROR(_xlfn.XLOOKUP($B220,'Cronog. e Histog.'!$BZ:$BZ,'Cronog. e Histog.'!CP:CP),"")</f>
        <v>0</v>
      </c>
      <c r="V220" s="144">
        <f>IFERROR(_xlfn.XLOOKUP($B220,'Cronog. e Histog.'!$BZ:$BZ,'Cronog. e Histog.'!CQ:CQ),"")</f>
        <v>0</v>
      </c>
      <c r="W220" s="144">
        <f>IFERROR(_xlfn.XLOOKUP($B220,'Cronog. e Histog.'!$BZ:$BZ,'Cronog. e Histog.'!CR:CR),"")</f>
        <v>0</v>
      </c>
      <c r="X220" s="144">
        <f>IFERROR(_xlfn.XLOOKUP($B220,'Cronog. e Histog.'!$BZ:$BZ,'Cronog. e Histog.'!CS:CS),"")</f>
        <v>0</v>
      </c>
      <c r="Y220" s="144">
        <f>IFERROR(_xlfn.XLOOKUP($B220,'Cronog. e Histog.'!$BZ:$BZ,'Cronog. e Histog.'!CT:CT),"")</f>
        <v>0</v>
      </c>
      <c r="Z220" s="144">
        <f>IFERROR(_xlfn.XLOOKUP($B220,'Cronog. e Histog.'!$BZ:$BZ,'Cronog. e Histog.'!CU:CU),"")</f>
        <v>0</v>
      </c>
      <c r="AA220" s="144">
        <f>IFERROR(_xlfn.XLOOKUP($B220,'Cronog. e Histog.'!$BZ:$BZ,'Cronog. e Histog.'!CV:CV),"")</f>
        <v>0</v>
      </c>
      <c r="AB220" s="144">
        <f>IFERROR(_xlfn.XLOOKUP($B220,'Cronog. e Histog.'!$BZ:$BZ,'Cronog. e Histog.'!CW:CW),"")</f>
        <v>0</v>
      </c>
      <c r="AC220" s="144">
        <f>IFERROR(_xlfn.XLOOKUP($B220,'Cronog. e Histog.'!$BZ:$BZ,'Cronog. e Histog.'!CX:CX),"")</f>
        <v>0</v>
      </c>
      <c r="AD220" s="144">
        <f>IFERROR(_xlfn.XLOOKUP($B220,'Cronog. e Histog.'!$BZ:$BZ,'Cronog. e Histog.'!CY:CY),"")</f>
        <v>0</v>
      </c>
      <c r="AE220" s="144">
        <f>IFERROR(_xlfn.XLOOKUP($B220,'Cronog. e Histog.'!$BZ:$BZ,'Cronog. e Histog.'!CZ:CZ),"")</f>
        <v>0</v>
      </c>
      <c r="AF220" s="144">
        <f>IFERROR(_xlfn.XLOOKUP($B220,'Cronog. e Histog.'!$BZ:$BZ,'Cronog. e Histog.'!DA:DA),"")</f>
        <v>0</v>
      </c>
      <c r="AG220" s="144">
        <f>IFERROR(_xlfn.XLOOKUP($B220,'Cronog. e Histog.'!$BZ:$BZ,'Cronog. e Histog.'!DB:DB),"")</f>
        <v>0</v>
      </c>
      <c r="AH220" s="144">
        <f>IFERROR(_xlfn.XLOOKUP($B220,'Cronog. e Histog.'!$BZ:$BZ,'Cronog. e Histog.'!DC:DC),"")</f>
        <v>0</v>
      </c>
      <c r="AI220" s="144">
        <f>IFERROR(_xlfn.XLOOKUP($B220,'Cronog. e Histog.'!$BZ:$BZ,'Cronog. e Histog.'!DD:DD),"")</f>
        <v>0</v>
      </c>
      <c r="AJ220" s="144">
        <f>IFERROR(_xlfn.XLOOKUP($B220,'Cronog. e Histog.'!$BZ:$BZ,'Cronog. e Histog.'!DE:DE),"")</f>
        <v>0</v>
      </c>
      <c r="AK220" s="144">
        <f>IFERROR(_xlfn.XLOOKUP($B220,'Cronog. e Histog.'!$BZ:$BZ,'Cronog. e Histog.'!DF:DF),"")</f>
        <v>0</v>
      </c>
      <c r="AL220" s="144">
        <f>IFERROR(_xlfn.XLOOKUP($B220,'Cronog. e Histog.'!$BZ:$BZ,'Cronog. e Histog.'!DG:DG),"")</f>
        <v>0</v>
      </c>
      <c r="AM220" s="144">
        <f>IFERROR(_xlfn.XLOOKUP($B220,'Cronog. e Histog.'!$BZ:$BZ,'Cronog. e Histog.'!DH:DH),"")</f>
        <v>0</v>
      </c>
      <c r="AN220" s="144">
        <f>IFERROR(_xlfn.XLOOKUP($B220,'Cronog. e Histog.'!$BZ:$BZ,'Cronog. e Histog.'!DI:DI),"")</f>
        <v>0</v>
      </c>
      <c r="AO220" s="144">
        <f>IFERROR(_xlfn.XLOOKUP($B220,'Cronog. e Histog.'!$BZ:$BZ,'Cronog. e Histog.'!DJ:DJ),"")</f>
        <v>0</v>
      </c>
      <c r="AP220" s="144">
        <f>IFERROR(_xlfn.XLOOKUP($B220,'Cronog. e Histog.'!$BZ:$BZ,'Cronog. e Histog.'!DK:DK),"")</f>
        <v>0</v>
      </c>
      <c r="AQ220" s="144">
        <f>IFERROR(_xlfn.XLOOKUP($B220,'Cronog. e Histog.'!$BZ:$BZ,'Cronog. e Histog.'!DL:DL),"")</f>
        <v>0</v>
      </c>
      <c r="AR220" s="144">
        <f>IFERROR(_xlfn.XLOOKUP($B220,'Cronog. e Histog.'!$BZ:$BZ,'Cronog. e Histog.'!DM:DM),"")</f>
        <v>0</v>
      </c>
      <c r="AS220" s="144">
        <f>IFERROR(_xlfn.XLOOKUP($B220,'Cronog. e Histog.'!$BZ:$BZ,'Cronog. e Histog.'!DN:DN),"")</f>
        <v>0</v>
      </c>
      <c r="AT220" s="144">
        <f>IFERROR(_xlfn.XLOOKUP($B220,'Cronog. e Histog.'!$BZ:$BZ,'Cronog. e Histog.'!DO:DO),"")</f>
        <v>0</v>
      </c>
      <c r="AU220" s="144">
        <f>IFERROR(_xlfn.XLOOKUP($B220,'Cronog. e Histog.'!$BZ:$BZ,'Cronog. e Histog.'!DP:DP),"")</f>
        <v>0</v>
      </c>
      <c r="AV220" s="144">
        <f>IFERROR(_xlfn.XLOOKUP($B220,'Cronog. e Histog.'!$BZ:$BZ,'Cronog. e Histog.'!DQ:DQ),"")</f>
        <v>0</v>
      </c>
      <c r="AW220" s="144">
        <f>IFERROR(_xlfn.XLOOKUP($B220,'Cronog. e Histog.'!$BZ:$BZ,'Cronog. e Histog.'!DR:DR),"")</f>
        <v>0</v>
      </c>
      <c r="AX220" s="144">
        <f>IFERROR(_xlfn.XLOOKUP($B220,'Cronog. e Histog.'!$BZ:$BZ,'Cronog. e Histog.'!DS:DS),"")</f>
        <v>0</v>
      </c>
      <c r="AY220" s="144">
        <f>IFERROR(_xlfn.XLOOKUP($B220,'Cronog. e Histog.'!$BZ:$BZ,'Cronog. e Histog.'!DT:DT),"")</f>
        <v>0</v>
      </c>
      <c r="AZ220" s="144">
        <f>IFERROR(_xlfn.XLOOKUP($B220,'Cronog. e Histog.'!$BZ:$BZ,'Cronog. e Histog.'!DU:DU),"")</f>
        <v>0</v>
      </c>
      <c r="BA220" s="144">
        <f>IFERROR(_xlfn.XLOOKUP($B220,'Cronog. e Histog.'!$BZ:$BZ,'Cronog. e Histog.'!DV:DV),"")</f>
        <v>0</v>
      </c>
      <c r="BB220" s="144">
        <f>IFERROR(_xlfn.XLOOKUP($B220,'Cronog. e Histog.'!$BZ:$BZ,'Cronog. e Histog.'!DW:DW),"")</f>
        <v>0</v>
      </c>
      <c r="BC220" s="144">
        <f>IFERROR(_xlfn.XLOOKUP($B220,'Cronog. e Histog.'!$BZ:$BZ,'Cronog. e Histog.'!DX:DX),"")</f>
        <v>0</v>
      </c>
      <c r="BD220" s="144">
        <f>IFERROR(_xlfn.XLOOKUP($B220,'Cronog. e Histog.'!$BZ:$BZ,'Cronog. e Histog.'!DY:DY),"")</f>
        <v>0</v>
      </c>
      <c r="BE220" s="144">
        <f>IFERROR(_xlfn.XLOOKUP($B220,'Cronog. e Histog.'!$BZ:$BZ,'Cronog. e Histog.'!DZ:DZ),"")</f>
        <v>0</v>
      </c>
      <c r="BF220" s="144">
        <f>IFERROR(_xlfn.XLOOKUP($B220,'Cronog. e Histog.'!$BZ:$BZ,'Cronog. e Histog.'!EA:EA),"")</f>
        <v>0</v>
      </c>
      <c r="BG220" s="144">
        <f>IFERROR(_xlfn.XLOOKUP($B220,'Cronog. e Histog.'!$BZ:$BZ,'Cronog. e Histog.'!EB:EB),"")</f>
        <v>0</v>
      </c>
      <c r="BH220" s="144">
        <f>IFERROR(_xlfn.XLOOKUP($B220,'Cronog. e Histog.'!$BZ:$BZ,'Cronog. e Histog.'!EC:EC),"")</f>
        <v>0</v>
      </c>
      <c r="BI220" s="144">
        <f>IFERROR(_xlfn.XLOOKUP($B220,'Cronog. e Histog.'!$BZ:$BZ,'Cronog. e Histog.'!ED:ED),"")</f>
        <v>0</v>
      </c>
      <c r="BJ220" s="144">
        <f>IFERROR(_xlfn.XLOOKUP($B220,'Cronog. e Histog.'!$BZ:$BZ,'Cronog. e Histog.'!EE:EE),"")</f>
        <v>0</v>
      </c>
      <c r="BK220" s="144">
        <f>IFERROR(_xlfn.XLOOKUP($B220,'Cronog. e Histog.'!$BZ:$BZ,'Cronog. e Histog.'!EF:EF),"")</f>
        <v>0</v>
      </c>
      <c r="BL220" s="144">
        <f>IFERROR(_xlfn.XLOOKUP($B220,'Cronog. e Histog.'!$BZ:$BZ,'Cronog. e Histog.'!EG:EG),"")</f>
        <v>0</v>
      </c>
      <c r="BM220" s="144">
        <f>IFERROR(_xlfn.XLOOKUP($B220,'Cronog. e Histog.'!$BZ:$BZ,'Cronog. e Histog.'!EH:EH),"")</f>
        <v>0</v>
      </c>
      <c r="BN220" s="144">
        <f>IFERROR(_xlfn.XLOOKUP($B220,'Cronog. e Histog.'!$BZ:$BZ,'Cronog. e Histog.'!EI:EI),"")</f>
        <v>0</v>
      </c>
    </row>
    <row r="221" spans="2:66" ht="12" hidden="1" customHeight="1" outlineLevel="1">
      <c r="B221" s="76">
        <v>215</v>
      </c>
      <c r="C221" s="143" t="str">
        <f>IFERROR(VLOOKUP(B221,'Cronog. e Histog.'!$BZ$213:$CA$747,2,0),"")</f>
        <v>TEC I</v>
      </c>
      <c r="D221" s="144">
        <f t="shared" si="6"/>
        <v>0</v>
      </c>
      <c r="E221" s="144">
        <f t="shared" si="7"/>
        <v>0</v>
      </c>
      <c r="F221" s="65"/>
      <c r="G221" s="144">
        <f>IFERROR(_xlfn.XLOOKUP($B221,'Cronog. e Histog.'!$BZ:$BZ,'Cronog. e Histog.'!CB:CB),"")</f>
        <v>0</v>
      </c>
      <c r="H221" s="144">
        <f>IFERROR(_xlfn.XLOOKUP($B221,'Cronog. e Histog.'!$BZ:$BZ,'Cronog. e Histog.'!CC:CC),"")</f>
        <v>0</v>
      </c>
      <c r="I221" s="144">
        <f>IFERROR(_xlfn.XLOOKUP($B221,'Cronog. e Histog.'!$BZ:$BZ,'Cronog. e Histog.'!CD:CD),"")</f>
        <v>0</v>
      </c>
      <c r="J221" s="144">
        <f>IFERROR(_xlfn.XLOOKUP($B221,'Cronog. e Histog.'!$BZ:$BZ,'Cronog. e Histog.'!CE:CE),"")</f>
        <v>0</v>
      </c>
      <c r="K221" s="144">
        <f>IFERROR(_xlfn.XLOOKUP($B221,'Cronog. e Histog.'!$BZ:$BZ,'Cronog. e Histog.'!CF:CF),"")</f>
        <v>0</v>
      </c>
      <c r="L221" s="144">
        <f>IFERROR(_xlfn.XLOOKUP($B221,'Cronog. e Histog.'!$BZ:$BZ,'Cronog. e Histog.'!CG:CG),"")</f>
        <v>0</v>
      </c>
      <c r="M221" s="144">
        <f>IFERROR(_xlfn.XLOOKUP($B221,'Cronog. e Histog.'!$BZ:$BZ,'Cronog. e Histog.'!CH:CH),"")</f>
        <v>0</v>
      </c>
      <c r="N221" s="144">
        <f>IFERROR(_xlfn.XLOOKUP($B221,'Cronog. e Histog.'!$BZ:$BZ,'Cronog. e Histog.'!CI:CI),"")</f>
        <v>0</v>
      </c>
      <c r="O221" s="144">
        <f>IFERROR(_xlfn.XLOOKUP($B221,'Cronog. e Histog.'!$BZ:$BZ,'Cronog. e Histog.'!CJ:CJ),"")</f>
        <v>0</v>
      </c>
      <c r="P221" s="144">
        <f>IFERROR(_xlfn.XLOOKUP($B221,'Cronog. e Histog.'!$BZ:$BZ,'Cronog. e Histog.'!CK:CK),"")</f>
        <v>0</v>
      </c>
      <c r="Q221" s="144">
        <f>IFERROR(_xlfn.XLOOKUP($B221,'Cronog. e Histog.'!$BZ:$BZ,'Cronog. e Histog.'!CL:CL),"")</f>
        <v>0</v>
      </c>
      <c r="R221" s="144">
        <f>IFERROR(_xlfn.XLOOKUP($B221,'Cronog. e Histog.'!$BZ:$BZ,'Cronog. e Histog.'!CM:CM),"")</f>
        <v>0</v>
      </c>
      <c r="S221" s="144">
        <f>IFERROR(_xlfn.XLOOKUP($B221,'Cronog. e Histog.'!$BZ:$BZ,'Cronog. e Histog.'!CN:CN),"")</f>
        <v>0</v>
      </c>
      <c r="T221" s="144">
        <f>IFERROR(_xlfn.XLOOKUP($B221,'Cronog. e Histog.'!$BZ:$BZ,'Cronog. e Histog.'!CO:CO),"")</f>
        <v>0</v>
      </c>
      <c r="U221" s="144">
        <f>IFERROR(_xlfn.XLOOKUP($B221,'Cronog. e Histog.'!$BZ:$BZ,'Cronog. e Histog.'!CP:CP),"")</f>
        <v>0</v>
      </c>
      <c r="V221" s="144">
        <f>IFERROR(_xlfn.XLOOKUP($B221,'Cronog. e Histog.'!$BZ:$BZ,'Cronog. e Histog.'!CQ:CQ),"")</f>
        <v>0</v>
      </c>
      <c r="W221" s="144">
        <f>IFERROR(_xlfn.XLOOKUP($B221,'Cronog. e Histog.'!$BZ:$BZ,'Cronog. e Histog.'!CR:CR),"")</f>
        <v>0</v>
      </c>
      <c r="X221" s="144">
        <f>IFERROR(_xlfn.XLOOKUP($B221,'Cronog. e Histog.'!$BZ:$BZ,'Cronog. e Histog.'!CS:CS),"")</f>
        <v>0</v>
      </c>
      <c r="Y221" s="144">
        <f>IFERROR(_xlfn.XLOOKUP($B221,'Cronog. e Histog.'!$BZ:$BZ,'Cronog. e Histog.'!CT:CT),"")</f>
        <v>0</v>
      </c>
      <c r="Z221" s="144">
        <f>IFERROR(_xlfn.XLOOKUP($B221,'Cronog. e Histog.'!$BZ:$BZ,'Cronog. e Histog.'!CU:CU),"")</f>
        <v>0</v>
      </c>
      <c r="AA221" s="144">
        <f>IFERROR(_xlfn.XLOOKUP($B221,'Cronog. e Histog.'!$BZ:$BZ,'Cronog. e Histog.'!CV:CV),"")</f>
        <v>0</v>
      </c>
      <c r="AB221" s="144">
        <f>IFERROR(_xlfn.XLOOKUP($B221,'Cronog. e Histog.'!$BZ:$BZ,'Cronog. e Histog.'!CW:CW),"")</f>
        <v>0</v>
      </c>
      <c r="AC221" s="144">
        <f>IFERROR(_xlfn.XLOOKUP($B221,'Cronog. e Histog.'!$BZ:$BZ,'Cronog. e Histog.'!CX:CX),"")</f>
        <v>0</v>
      </c>
      <c r="AD221" s="144">
        <f>IFERROR(_xlfn.XLOOKUP($B221,'Cronog. e Histog.'!$BZ:$BZ,'Cronog. e Histog.'!CY:CY),"")</f>
        <v>0</v>
      </c>
      <c r="AE221" s="144">
        <f>IFERROR(_xlfn.XLOOKUP($B221,'Cronog. e Histog.'!$BZ:$BZ,'Cronog. e Histog.'!CZ:CZ),"")</f>
        <v>0</v>
      </c>
      <c r="AF221" s="144">
        <f>IFERROR(_xlfn.XLOOKUP($B221,'Cronog. e Histog.'!$BZ:$BZ,'Cronog. e Histog.'!DA:DA),"")</f>
        <v>0</v>
      </c>
      <c r="AG221" s="144">
        <f>IFERROR(_xlfn.XLOOKUP($B221,'Cronog. e Histog.'!$BZ:$BZ,'Cronog. e Histog.'!DB:DB),"")</f>
        <v>0</v>
      </c>
      <c r="AH221" s="144">
        <f>IFERROR(_xlfn.XLOOKUP($B221,'Cronog. e Histog.'!$BZ:$BZ,'Cronog. e Histog.'!DC:DC),"")</f>
        <v>0</v>
      </c>
      <c r="AI221" s="144">
        <f>IFERROR(_xlfn.XLOOKUP($B221,'Cronog. e Histog.'!$BZ:$BZ,'Cronog. e Histog.'!DD:DD),"")</f>
        <v>0</v>
      </c>
      <c r="AJ221" s="144">
        <f>IFERROR(_xlfn.XLOOKUP($B221,'Cronog. e Histog.'!$BZ:$BZ,'Cronog. e Histog.'!DE:DE),"")</f>
        <v>0</v>
      </c>
      <c r="AK221" s="144">
        <f>IFERROR(_xlfn.XLOOKUP($B221,'Cronog. e Histog.'!$BZ:$BZ,'Cronog. e Histog.'!DF:DF),"")</f>
        <v>0</v>
      </c>
      <c r="AL221" s="144">
        <f>IFERROR(_xlfn.XLOOKUP($B221,'Cronog. e Histog.'!$BZ:$BZ,'Cronog. e Histog.'!DG:DG),"")</f>
        <v>0</v>
      </c>
      <c r="AM221" s="144">
        <f>IFERROR(_xlfn.XLOOKUP($B221,'Cronog. e Histog.'!$BZ:$BZ,'Cronog. e Histog.'!DH:DH),"")</f>
        <v>0</v>
      </c>
      <c r="AN221" s="144">
        <f>IFERROR(_xlfn.XLOOKUP($B221,'Cronog. e Histog.'!$BZ:$BZ,'Cronog. e Histog.'!DI:DI),"")</f>
        <v>0</v>
      </c>
      <c r="AO221" s="144">
        <f>IFERROR(_xlfn.XLOOKUP($B221,'Cronog. e Histog.'!$BZ:$BZ,'Cronog. e Histog.'!DJ:DJ),"")</f>
        <v>0</v>
      </c>
      <c r="AP221" s="144">
        <f>IFERROR(_xlfn.XLOOKUP($B221,'Cronog. e Histog.'!$BZ:$BZ,'Cronog. e Histog.'!DK:DK),"")</f>
        <v>0</v>
      </c>
      <c r="AQ221" s="144">
        <f>IFERROR(_xlfn.XLOOKUP($B221,'Cronog. e Histog.'!$BZ:$BZ,'Cronog. e Histog.'!DL:DL),"")</f>
        <v>0</v>
      </c>
      <c r="AR221" s="144">
        <f>IFERROR(_xlfn.XLOOKUP($B221,'Cronog. e Histog.'!$BZ:$BZ,'Cronog. e Histog.'!DM:DM),"")</f>
        <v>0</v>
      </c>
      <c r="AS221" s="144">
        <f>IFERROR(_xlfn.XLOOKUP($B221,'Cronog. e Histog.'!$BZ:$BZ,'Cronog. e Histog.'!DN:DN),"")</f>
        <v>0</v>
      </c>
      <c r="AT221" s="144">
        <f>IFERROR(_xlfn.XLOOKUP($B221,'Cronog. e Histog.'!$BZ:$BZ,'Cronog. e Histog.'!DO:DO),"")</f>
        <v>0</v>
      </c>
      <c r="AU221" s="144">
        <f>IFERROR(_xlfn.XLOOKUP($B221,'Cronog. e Histog.'!$BZ:$BZ,'Cronog. e Histog.'!DP:DP),"")</f>
        <v>0</v>
      </c>
      <c r="AV221" s="144">
        <f>IFERROR(_xlfn.XLOOKUP($B221,'Cronog. e Histog.'!$BZ:$BZ,'Cronog. e Histog.'!DQ:DQ),"")</f>
        <v>0</v>
      </c>
      <c r="AW221" s="144">
        <f>IFERROR(_xlfn.XLOOKUP($B221,'Cronog. e Histog.'!$BZ:$BZ,'Cronog. e Histog.'!DR:DR),"")</f>
        <v>0</v>
      </c>
      <c r="AX221" s="144">
        <f>IFERROR(_xlfn.XLOOKUP($B221,'Cronog. e Histog.'!$BZ:$BZ,'Cronog. e Histog.'!DS:DS),"")</f>
        <v>0</v>
      </c>
      <c r="AY221" s="144">
        <f>IFERROR(_xlfn.XLOOKUP($B221,'Cronog. e Histog.'!$BZ:$BZ,'Cronog. e Histog.'!DT:DT),"")</f>
        <v>0</v>
      </c>
      <c r="AZ221" s="144">
        <f>IFERROR(_xlfn.XLOOKUP($B221,'Cronog. e Histog.'!$BZ:$BZ,'Cronog. e Histog.'!DU:DU),"")</f>
        <v>0</v>
      </c>
      <c r="BA221" s="144">
        <f>IFERROR(_xlfn.XLOOKUP($B221,'Cronog. e Histog.'!$BZ:$BZ,'Cronog. e Histog.'!DV:DV),"")</f>
        <v>0</v>
      </c>
      <c r="BB221" s="144">
        <f>IFERROR(_xlfn.XLOOKUP($B221,'Cronog. e Histog.'!$BZ:$BZ,'Cronog. e Histog.'!DW:DW),"")</f>
        <v>0</v>
      </c>
      <c r="BC221" s="144">
        <f>IFERROR(_xlfn.XLOOKUP($B221,'Cronog. e Histog.'!$BZ:$BZ,'Cronog. e Histog.'!DX:DX),"")</f>
        <v>0</v>
      </c>
      <c r="BD221" s="144">
        <f>IFERROR(_xlfn.XLOOKUP($B221,'Cronog. e Histog.'!$BZ:$BZ,'Cronog. e Histog.'!DY:DY),"")</f>
        <v>0</v>
      </c>
      <c r="BE221" s="144">
        <f>IFERROR(_xlfn.XLOOKUP($B221,'Cronog. e Histog.'!$BZ:$BZ,'Cronog. e Histog.'!DZ:DZ),"")</f>
        <v>0</v>
      </c>
      <c r="BF221" s="144">
        <f>IFERROR(_xlfn.XLOOKUP($B221,'Cronog. e Histog.'!$BZ:$BZ,'Cronog. e Histog.'!EA:EA),"")</f>
        <v>0</v>
      </c>
      <c r="BG221" s="144">
        <f>IFERROR(_xlfn.XLOOKUP($B221,'Cronog. e Histog.'!$BZ:$BZ,'Cronog. e Histog.'!EB:EB),"")</f>
        <v>0</v>
      </c>
      <c r="BH221" s="144">
        <f>IFERROR(_xlfn.XLOOKUP($B221,'Cronog. e Histog.'!$BZ:$BZ,'Cronog. e Histog.'!EC:EC),"")</f>
        <v>0</v>
      </c>
      <c r="BI221" s="144">
        <f>IFERROR(_xlfn.XLOOKUP($B221,'Cronog. e Histog.'!$BZ:$BZ,'Cronog. e Histog.'!ED:ED),"")</f>
        <v>0</v>
      </c>
      <c r="BJ221" s="144">
        <f>IFERROR(_xlfn.XLOOKUP($B221,'Cronog. e Histog.'!$BZ:$BZ,'Cronog. e Histog.'!EE:EE),"")</f>
        <v>0</v>
      </c>
      <c r="BK221" s="144">
        <f>IFERROR(_xlfn.XLOOKUP($B221,'Cronog. e Histog.'!$BZ:$BZ,'Cronog. e Histog.'!EF:EF),"")</f>
        <v>0</v>
      </c>
      <c r="BL221" s="144">
        <f>IFERROR(_xlfn.XLOOKUP($B221,'Cronog. e Histog.'!$BZ:$BZ,'Cronog. e Histog.'!EG:EG),"")</f>
        <v>0</v>
      </c>
      <c r="BM221" s="144">
        <f>IFERROR(_xlfn.XLOOKUP($B221,'Cronog. e Histog.'!$BZ:$BZ,'Cronog. e Histog.'!EH:EH),"")</f>
        <v>0</v>
      </c>
      <c r="BN221" s="144">
        <f>IFERROR(_xlfn.XLOOKUP($B221,'Cronog. e Histog.'!$BZ:$BZ,'Cronog. e Histog.'!EI:EI),"")</f>
        <v>0</v>
      </c>
    </row>
    <row r="222" spans="2:66" ht="12" hidden="1" customHeight="1" outlineLevel="1">
      <c r="B222" s="76">
        <v>216</v>
      </c>
      <c r="C222" s="143" t="str">
        <f>IFERROR(VLOOKUP(B222,'Cronog. e Histog.'!$BZ$213:$CA$747,2,0),"")</f>
        <v>AUX TEC</v>
      </c>
      <c r="D222" s="144">
        <f t="shared" si="6"/>
        <v>0</v>
      </c>
      <c r="E222" s="144">
        <f t="shared" si="7"/>
        <v>0</v>
      </c>
      <c r="F222" s="65"/>
      <c r="G222" s="144">
        <f>IFERROR(_xlfn.XLOOKUP($B222,'Cronog. e Histog.'!$BZ:$BZ,'Cronog. e Histog.'!CB:CB),"")</f>
        <v>0</v>
      </c>
      <c r="H222" s="144">
        <f>IFERROR(_xlfn.XLOOKUP($B222,'Cronog. e Histog.'!$BZ:$BZ,'Cronog. e Histog.'!CC:CC),"")</f>
        <v>0</v>
      </c>
      <c r="I222" s="144">
        <f>IFERROR(_xlfn.XLOOKUP($B222,'Cronog. e Histog.'!$BZ:$BZ,'Cronog. e Histog.'!CD:CD),"")</f>
        <v>0</v>
      </c>
      <c r="J222" s="144">
        <f>IFERROR(_xlfn.XLOOKUP($B222,'Cronog. e Histog.'!$BZ:$BZ,'Cronog. e Histog.'!CE:CE),"")</f>
        <v>0</v>
      </c>
      <c r="K222" s="144">
        <f>IFERROR(_xlfn.XLOOKUP($B222,'Cronog. e Histog.'!$BZ:$BZ,'Cronog. e Histog.'!CF:CF),"")</f>
        <v>0</v>
      </c>
      <c r="L222" s="144">
        <f>IFERROR(_xlfn.XLOOKUP($B222,'Cronog. e Histog.'!$BZ:$BZ,'Cronog. e Histog.'!CG:CG),"")</f>
        <v>0</v>
      </c>
      <c r="M222" s="144">
        <f>IFERROR(_xlfn.XLOOKUP($B222,'Cronog. e Histog.'!$BZ:$BZ,'Cronog. e Histog.'!CH:CH),"")</f>
        <v>0</v>
      </c>
      <c r="N222" s="144">
        <f>IFERROR(_xlfn.XLOOKUP($B222,'Cronog. e Histog.'!$BZ:$BZ,'Cronog. e Histog.'!CI:CI),"")</f>
        <v>0</v>
      </c>
      <c r="O222" s="144">
        <f>IFERROR(_xlfn.XLOOKUP($B222,'Cronog. e Histog.'!$BZ:$BZ,'Cronog. e Histog.'!CJ:CJ),"")</f>
        <v>0</v>
      </c>
      <c r="P222" s="144">
        <f>IFERROR(_xlfn.XLOOKUP($B222,'Cronog. e Histog.'!$BZ:$BZ,'Cronog. e Histog.'!CK:CK),"")</f>
        <v>0</v>
      </c>
      <c r="Q222" s="144">
        <f>IFERROR(_xlfn.XLOOKUP($B222,'Cronog. e Histog.'!$BZ:$BZ,'Cronog. e Histog.'!CL:CL),"")</f>
        <v>0</v>
      </c>
      <c r="R222" s="144">
        <f>IFERROR(_xlfn.XLOOKUP($B222,'Cronog. e Histog.'!$BZ:$BZ,'Cronog. e Histog.'!CM:CM),"")</f>
        <v>0</v>
      </c>
      <c r="S222" s="144">
        <f>IFERROR(_xlfn.XLOOKUP($B222,'Cronog. e Histog.'!$BZ:$BZ,'Cronog. e Histog.'!CN:CN),"")</f>
        <v>0</v>
      </c>
      <c r="T222" s="144">
        <f>IFERROR(_xlfn.XLOOKUP($B222,'Cronog. e Histog.'!$BZ:$BZ,'Cronog. e Histog.'!CO:CO),"")</f>
        <v>0</v>
      </c>
      <c r="U222" s="144">
        <f>IFERROR(_xlfn.XLOOKUP($B222,'Cronog. e Histog.'!$BZ:$BZ,'Cronog. e Histog.'!CP:CP),"")</f>
        <v>0</v>
      </c>
      <c r="V222" s="144">
        <f>IFERROR(_xlfn.XLOOKUP($B222,'Cronog. e Histog.'!$BZ:$BZ,'Cronog. e Histog.'!CQ:CQ),"")</f>
        <v>0</v>
      </c>
      <c r="W222" s="144">
        <f>IFERROR(_xlfn.XLOOKUP($B222,'Cronog. e Histog.'!$BZ:$BZ,'Cronog. e Histog.'!CR:CR),"")</f>
        <v>0</v>
      </c>
      <c r="X222" s="144">
        <f>IFERROR(_xlfn.XLOOKUP($B222,'Cronog. e Histog.'!$BZ:$BZ,'Cronog. e Histog.'!CS:CS),"")</f>
        <v>0</v>
      </c>
      <c r="Y222" s="144">
        <f>IFERROR(_xlfn.XLOOKUP($B222,'Cronog. e Histog.'!$BZ:$BZ,'Cronog. e Histog.'!CT:CT),"")</f>
        <v>0</v>
      </c>
      <c r="Z222" s="144">
        <f>IFERROR(_xlfn.XLOOKUP($B222,'Cronog. e Histog.'!$BZ:$BZ,'Cronog. e Histog.'!CU:CU),"")</f>
        <v>0</v>
      </c>
      <c r="AA222" s="144">
        <f>IFERROR(_xlfn.XLOOKUP($B222,'Cronog. e Histog.'!$BZ:$BZ,'Cronog. e Histog.'!CV:CV),"")</f>
        <v>0</v>
      </c>
      <c r="AB222" s="144">
        <f>IFERROR(_xlfn.XLOOKUP($B222,'Cronog. e Histog.'!$BZ:$BZ,'Cronog. e Histog.'!CW:CW),"")</f>
        <v>0</v>
      </c>
      <c r="AC222" s="144">
        <f>IFERROR(_xlfn.XLOOKUP($B222,'Cronog. e Histog.'!$BZ:$BZ,'Cronog. e Histog.'!CX:CX),"")</f>
        <v>0</v>
      </c>
      <c r="AD222" s="144">
        <f>IFERROR(_xlfn.XLOOKUP($B222,'Cronog. e Histog.'!$BZ:$BZ,'Cronog. e Histog.'!CY:CY),"")</f>
        <v>0</v>
      </c>
      <c r="AE222" s="144">
        <f>IFERROR(_xlfn.XLOOKUP($B222,'Cronog. e Histog.'!$BZ:$BZ,'Cronog. e Histog.'!CZ:CZ),"")</f>
        <v>0</v>
      </c>
      <c r="AF222" s="144">
        <f>IFERROR(_xlfn.XLOOKUP($B222,'Cronog. e Histog.'!$BZ:$BZ,'Cronog. e Histog.'!DA:DA),"")</f>
        <v>0</v>
      </c>
      <c r="AG222" s="144">
        <f>IFERROR(_xlfn.XLOOKUP($B222,'Cronog. e Histog.'!$BZ:$BZ,'Cronog. e Histog.'!DB:DB),"")</f>
        <v>0</v>
      </c>
      <c r="AH222" s="144">
        <f>IFERROR(_xlfn.XLOOKUP($B222,'Cronog. e Histog.'!$BZ:$BZ,'Cronog. e Histog.'!DC:DC),"")</f>
        <v>0</v>
      </c>
      <c r="AI222" s="144">
        <f>IFERROR(_xlfn.XLOOKUP($B222,'Cronog. e Histog.'!$BZ:$BZ,'Cronog. e Histog.'!DD:DD),"")</f>
        <v>0</v>
      </c>
      <c r="AJ222" s="144">
        <f>IFERROR(_xlfn.XLOOKUP($B222,'Cronog. e Histog.'!$BZ:$BZ,'Cronog. e Histog.'!DE:DE),"")</f>
        <v>0</v>
      </c>
      <c r="AK222" s="144">
        <f>IFERROR(_xlfn.XLOOKUP($B222,'Cronog. e Histog.'!$BZ:$BZ,'Cronog. e Histog.'!DF:DF),"")</f>
        <v>0</v>
      </c>
      <c r="AL222" s="144">
        <f>IFERROR(_xlfn.XLOOKUP($B222,'Cronog. e Histog.'!$BZ:$BZ,'Cronog. e Histog.'!DG:DG),"")</f>
        <v>0</v>
      </c>
      <c r="AM222" s="144">
        <f>IFERROR(_xlfn.XLOOKUP($B222,'Cronog. e Histog.'!$BZ:$BZ,'Cronog. e Histog.'!DH:DH),"")</f>
        <v>0</v>
      </c>
      <c r="AN222" s="144">
        <f>IFERROR(_xlfn.XLOOKUP($B222,'Cronog. e Histog.'!$BZ:$BZ,'Cronog. e Histog.'!DI:DI),"")</f>
        <v>0</v>
      </c>
      <c r="AO222" s="144">
        <f>IFERROR(_xlfn.XLOOKUP($B222,'Cronog. e Histog.'!$BZ:$BZ,'Cronog. e Histog.'!DJ:DJ),"")</f>
        <v>0</v>
      </c>
      <c r="AP222" s="144">
        <f>IFERROR(_xlfn.XLOOKUP($B222,'Cronog. e Histog.'!$BZ:$BZ,'Cronog. e Histog.'!DK:DK),"")</f>
        <v>0</v>
      </c>
      <c r="AQ222" s="144">
        <f>IFERROR(_xlfn.XLOOKUP($B222,'Cronog. e Histog.'!$BZ:$BZ,'Cronog. e Histog.'!DL:DL),"")</f>
        <v>0</v>
      </c>
      <c r="AR222" s="144">
        <f>IFERROR(_xlfn.XLOOKUP($B222,'Cronog. e Histog.'!$BZ:$BZ,'Cronog. e Histog.'!DM:DM),"")</f>
        <v>0</v>
      </c>
      <c r="AS222" s="144">
        <f>IFERROR(_xlfn.XLOOKUP($B222,'Cronog. e Histog.'!$BZ:$BZ,'Cronog. e Histog.'!DN:DN),"")</f>
        <v>0</v>
      </c>
      <c r="AT222" s="144">
        <f>IFERROR(_xlfn.XLOOKUP($B222,'Cronog. e Histog.'!$BZ:$BZ,'Cronog. e Histog.'!DO:DO),"")</f>
        <v>0</v>
      </c>
      <c r="AU222" s="144">
        <f>IFERROR(_xlfn.XLOOKUP($B222,'Cronog. e Histog.'!$BZ:$BZ,'Cronog. e Histog.'!DP:DP),"")</f>
        <v>0</v>
      </c>
      <c r="AV222" s="144">
        <f>IFERROR(_xlfn.XLOOKUP($B222,'Cronog. e Histog.'!$BZ:$BZ,'Cronog. e Histog.'!DQ:DQ),"")</f>
        <v>0</v>
      </c>
      <c r="AW222" s="144">
        <f>IFERROR(_xlfn.XLOOKUP($B222,'Cronog. e Histog.'!$BZ:$BZ,'Cronog. e Histog.'!DR:DR),"")</f>
        <v>0</v>
      </c>
      <c r="AX222" s="144">
        <f>IFERROR(_xlfn.XLOOKUP($B222,'Cronog. e Histog.'!$BZ:$BZ,'Cronog. e Histog.'!DS:DS),"")</f>
        <v>0</v>
      </c>
      <c r="AY222" s="144">
        <f>IFERROR(_xlfn.XLOOKUP($B222,'Cronog. e Histog.'!$BZ:$BZ,'Cronog. e Histog.'!DT:DT),"")</f>
        <v>0</v>
      </c>
      <c r="AZ222" s="144">
        <f>IFERROR(_xlfn.XLOOKUP($B222,'Cronog. e Histog.'!$BZ:$BZ,'Cronog. e Histog.'!DU:DU),"")</f>
        <v>0</v>
      </c>
      <c r="BA222" s="144">
        <f>IFERROR(_xlfn.XLOOKUP($B222,'Cronog. e Histog.'!$BZ:$BZ,'Cronog. e Histog.'!DV:DV),"")</f>
        <v>0</v>
      </c>
      <c r="BB222" s="144">
        <f>IFERROR(_xlfn.XLOOKUP($B222,'Cronog. e Histog.'!$BZ:$BZ,'Cronog. e Histog.'!DW:DW),"")</f>
        <v>0</v>
      </c>
      <c r="BC222" s="144">
        <f>IFERROR(_xlfn.XLOOKUP($B222,'Cronog. e Histog.'!$BZ:$BZ,'Cronog. e Histog.'!DX:DX),"")</f>
        <v>0</v>
      </c>
      <c r="BD222" s="144">
        <f>IFERROR(_xlfn.XLOOKUP($B222,'Cronog. e Histog.'!$BZ:$BZ,'Cronog. e Histog.'!DY:DY),"")</f>
        <v>0</v>
      </c>
      <c r="BE222" s="144">
        <f>IFERROR(_xlfn.XLOOKUP($B222,'Cronog. e Histog.'!$BZ:$BZ,'Cronog. e Histog.'!DZ:DZ),"")</f>
        <v>0</v>
      </c>
      <c r="BF222" s="144">
        <f>IFERROR(_xlfn.XLOOKUP($B222,'Cronog. e Histog.'!$BZ:$BZ,'Cronog. e Histog.'!EA:EA),"")</f>
        <v>0</v>
      </c>
      <c r="BG222" s="144">
        <f>IFERROR(_xlfn.XLOOKUP($B222,'Cronog. e Histog.'!$BZ:$BZ,'Cronog. e Histog.'!EB:EB),"")</f>
        <v>0</v>
      </c>
      <c r="BH222" s="144">
        <f>IFERROR(_xlfn.XLOOKUP($B222,'Cronog. e Histog.'!$BZ:$BZ,'Cronog. e Histog.'!EC:EC),"")</f>
        <v>0</v>
      </c>
      <c r="BI222" s="144">
        <f>IFERROR(_xlfn.XLOOKUP($B222,'Cronog. e Histog.'!$BZ:$BZ,'Cronog. e Histog.'!ED:ED),"")</f>
        <v>0</v>
      </c>
      <c r="BJ222" s="144">
        <f>IFERROR(_xlfn.XLOOKUP($B222,'Cronog. e Histog.'!$BZ:$BZ,'Cronog. e Histog.'!EE:EE),"")</f>
        <v>0</v>
      </c>
      <c r="BK222" s="144">
        <f>IFERROR(_xlfn.XLOOKUP($B222,'Cronog. e Histog.'!$BZ:$BZ,'Cronog. e Histog.'!EF:EF),"")</f>
        <v>0</v>
      </c>
      <c r="BL222" s="144">
        <f>IFERROR(_xlfn.XLOOKUP($B222,'Cronog. e Histog.'!$BZ:$BZ,'Cronog. e Histog.'!EG:EG),"")</f>
        <v>0</v>
      </c>
      <c r="BM222" s="144">
        <f>IFERROR(_xlfn.XLOOKUP($B222,'Cronog. e Histog.'!$BZ:$BZ,'Cronog. e Histog.'!EH:EH),"")</f>
        <v>0</v>
      </c>
      <c r="BN222" s="144">
        <f>IFERROR(_xlfn.XLOOKUP($B222,'Cronog. e Histog.'!$BZ:$BZ,'Cronog. e Histog.'!EI:EI),"")</f>
        <v>0</v>
      </c>
    </row>
    <row r="223" spans="2:66" ht="12" hidden="1" customHeight="1" outlineLevel="1">
      <c r="B223" s="76">
        <v>217</v>
      </c>
      <c r="C223" s="143" t="str">
        <f>IFERROR(VLOOKUP(B223,'Cronog. e Histog.'!$BZ$213:$CA$747,2,0),"")</f>
        <v>AUX ADM</v>
      </c>
      <c r="D223" s="144">
        <f t="shared" si="6"/>
        <v>0</v>
      </c>
      <c r="E223" s="144">
        <f t="shared" si="7"/>
        <v>0</v>
      </c>
      <c r="F223" s="65"/>
      <c r="G223" s="144">
        <f>IFERROR(_xlfn.XLOOKUP($B223,'Cronog. e Histog.'!$BZ:$BZ,'Cronog. e Histog.'!CB:CB),"")</f>
        <v>0</v>
      </c>
      <c r="H223" s="144">
        <f>IFERROR(_xlfn.XLOOKUP($B223,'Cronog. e Histog.'!$BZ:$BZ,'Cronog. e Histog.'!CC:CC),"")</f>
        <v>0</v>
      </c>
      <c r="I223" s="144">
        <f>IFERROR(_xlfn.XLOOKUP($B223,'Cronog. e Histog.'!$BZ:$BZ,'Cronog. e Histog.'!CD:CD),"")</f>
        <v>0</v>
      </c>
      <c r="J223" s="144">
        <f>IFERROR(_xlfn.XLOOKUP($B223,'Cronog. e Histog.'!$BZ:$BZ,'Cronog. e Histog.'!CE:CE),"")</f>
        <v>0</v>
      </c>
      <c r="K223" s="144">
        <f>IFERROR(_xlfn.XLOOKUP($B223,'Cronog. e Histog.'!$BZ:$BZ,'Cronog. e Histog.'!CF:CF),"")</f>
        <v>0</v>
      </c>
      <c r="L223" s="144">
        <f>IFERROR(_xlfn.XLOOKUP($B223,'Cronog. e Histog.'!$BZ:$BZ,'Cronog. e Histog.'!CG:CG),"")</f>
        <v>0</v>
      </c>
      <c r="M223" s="144">
        <f>IFERROR(_xlfn.XLOOKUP($B223,'Cronog. e Histog.'!$BZ:$BZ,'Cronog. e Histog.'!CH:CH),"")</f>
        <v>0</v>
      </c>
      <c r="N223" s="144">
        <f>IFERROR(_xlfn.XLOOKUP($B223,'Cronog. e Histog.'!$BZ:$BZ,'Cronog. e Histog.'!CI:CI),"")</f>
        <v>0</v>
      </c>
      <c r="O223" s="144">
        <f>IFERROR(_xlfn.XLOOKUP($B223,'Cronog. e Histog.'!$BZ:$BZ,'Cronog. e Histog.'!CJ:CJ),"")</f>
        <v>0</v>
      </c>
      <c r="P223" s="144">
        <f>IFERROR(_xlfn.XLOOKUP($B223,'Cronog. e Histog.'!$BZ:$BZ,'Cronog. e Histog.'!CK:CK),"")</f>
        <v>0</v>
      </c>
      <c r="Q223" s="144">
        <f>IFERROR(_xlfn.XLOOKUP($B223,'Cronog. e Histog.'!$BZ:$BZ,'Cronog. e Histog.'!CL:CL),"")</f>
        <v>0</v>
      </c>
      <c r="R223" s="144">
        <f>IFERROR(_xlfn.XLOOKUP($B223,'Cronog. e Histog.'!$BZ:$BZ,'Cronog. e Histog.'!CM:CM),"")</f>
        <v>0</v>
      </c>
      <c r="S223" s="144">
        <f>IFERROR(_xlfn.XLOOKUP($B223,'Cronog. e Histog.'!$BZ:$BZ,'Cronog. e Histog.'!CN:CN),"")</f>
        <v>0</v>
      </c>
      <c r="T223" s="144">
        <f>IFERROR(_xlfn.XLOOKUP($B223,'Cronog. e Histog.'!$BZ:$BZ,'Cronog. e Histog.'!CO:CO),"")</f>
        <v>0</v>
      </c>
      <c r="U223" s="144">
        <f>IFERROR(_xlfn.XLOOKUP($B223,'Cronog. e Histog.'!$BZ:$BZ,'Cronog. e Histog.'!CP:CP),"")</f>
        <v>0</v>
      </c>
      <c r="V223" s="144">
        <f>IFERROR(_xlfn.XLOOKUP($B223,'Cronog. e Histog.'!$BZ:$BZ,'Cronog. e Histog.'!CQ:CQ),"")</f>
        <v>0</v>
      </c>
      <c r="W223" s="144">
        <f>IFERROR(_xlfn.XLOOKUP($B223,'Cronog. e Histog.'!$BZ:$BZ,'Cronog. e Histog.'!CR:CR),"")</f>
        <v>0</v>
      </c>
      <c r="X223" s="144">
        <f>IFERROR(_xlfn.XLOOKUP($B223,'Cronog. e Histog.'!$BZ:$BZ,'Cronog. e Histog.'!CS:CS),"")</f>
        <v>0</v>
      </c>
      <c r="Y223" s="144">
        <f>IFERROR(_xlfn.XLOOKUP($B223,'Cronog. e Histog.'!$BZ:$BZ,'Cronog. e Histog.'!CT:CT),"")</f>
        <v>0</v>
      </c>
      <c r="Z223" s="144">
        <f>IFERROR(_xlfn.XLOOKUP($B223,'Cronog. e Histog.'!$BZ:$BZ,'Cronog. e Histog.'!CU:CU),"")</f>
        <v>0</v>
      </c>
      <c r="AA223" s="144">
        <f>IFERROR(_xlfn.XLOOKUP($B223,'Cronog. e Histog.'!$BZ:$BZ,'Cronog. e Histog.'!CV:CV),"")</f>
        <v>0</v>
      </c>
      <c r="AB223" s="144">
        <f>IFERROR(_xlfn.XLOOKUP($B223,'Cronog. e Histog.'!$BZ:$BZ,'Cronog. e Histog.'!CW:CW),"")</f>
        <v>0</v>
      </c>
      <c r="AC223" s="144">
        <f>IFERROR(_xlfn.XLOOKUP($B223,'Cronog. e Histog.'!$BZ:$BZ,'Cronog. e Histog.'!CX:CX),"")</f>
        <v>0</v>
      </c>
      <c r="AD223" s="144">
        <f>IFERROR(_xlfn.XLOOKUP($B223,'Cronog. e Histog.'!$BZ:$BZ,'Cronog. e Histog.'!CY:CY),"")</f>
        <v>0</v>
      </c>
      <c r="AE223" s="144">
        <f>IFERROR(_xlfn.XLOOKUP($B223,'Cronog. e Histog.'!$BZ:$BZ,'Cronog. e Histog.'!CZ:CZ),"")</f>
        <v>0</v>
      </c>
      <c r="AF223" s="144">
        <f>IFERROR(_xlfn.XLOOKUP($B223,'Cronog. e Histog.'!$BZ:$BZ,'Cronog. e Histog.'!DA:DA),"")</f>
        <v>0</v>
      </c>
      <c r="AG223" s="144">
        <f>IFERROR(_xlfn.XLOOKUP($B223,'Cronog. e Histog.'!$BZ:$BZ,'Cronog. e Histog.'!DB:DB),"")</f>
        <v>0</v>
      </c>
      <c r="AH223" s="144">
        <f>IFERROR(_xlfn.XLOOKUP($B223,'Cronog. e Histog.'!$BZ:$BZ,'Cronog. e Histog.'!DC:DC),"")</f>
        <v>0</v>
      </c>
      <c r="AI223" s="144">
        <f>IFERROR(_xlfn.XLOOKUP($B223,'Cronog. e Histog.'!$BZ:$BZ,'Cronog. e Histog.'!DD:DD),"")</f>
        <v>0</v>
      </c>
      <c r="AJ223" s="144">
        <f>IFERROR(_xlfn.XLOOKUP($B223,'Cronog. e Histog.'!$BZ:$BZ,'Cronog. e Histog.'!DE:DE),"")</f>
        <v>0</v>
      </c>
      <c r="AK223" s="144">
        <f>IFERROR(_xlfn.XLOOKUP($B223,'Cronog. e Histog.'!$BZ:$BZ,'Cronog. e Histog.'!DF:DF),"")</f>
        <v>0</v>
      </c>
      <c r="AL223" s="144">
        <f>IFERROR(_xlfn.XLOOKUP($B223,'Cronog. e Histog.'!$BZ:$BZ,'Cronog. e Histog.'!DG:DG),"")</f>
        <v>0</v>
      </c>
      <c r="AM223" s="144">
        <f>IFERROR(_xlfn.XLOOKUP($B223,'Cronog. e Histog.'!$BZ:$BZ,'Cronog. e Histog.'!DH:DH),"")</f>
        <v>0</v>
      </c>
      <c r="AN223" s="144">
        <f>IFERROR(_xlfn.XLOOKUP($B223,'Cronog. e Histog.'!$BZ:$BZ,'Cronog. e Histog.'!DI:DI),"")</f>
        <v>0</v>
      </c>
      <c r="AO223" s="144">
        <f>IFERROR(_xlfn.XLOOKUP($B223,'Cronog. e Histog.'!$BZ:$BZ,'Cronog. e Histog.'!DJ:DJ),"")</f>
        <v>0</v>
      </c>
      <c r="AP223" s="144">
        <f>IFERROR(_xlfn.XLOOKUP($B223,'Cronog. e Histog.'!$BZ:$BZ,'Cronog. e Histog.'!DK:DK),"")</f>
        <v>0</v>
      </c>
      <c r="AQ223" s="144">
        <f>IFERROR(_xlfn.XLOOKUP($B223,'Cronog. e Histog.'!$BZ:$BZ,'Cronog. e Histog.'!DL:DL),"")</f>
        <v>0</v>
      </c>
      <c r="AR223" s="144">
        <f>IFERROR(_xlfn.XLOOKUP($B223,'Cronog. e Histog.'!$BZ:$BZ,'Cronog. e Histog.'!DM:DM),"")</f>
        <v>0</v>
      </c>
      <c r="AS223" s="144">
        <f>IFERROR(_xlfn.XLOOKUP($B223,'Cronog. e Histog.'!$BZ:$BZ,'Cronog. e Histog.'!DN:DN),"")</f>
        <v>0</v>
      </c>
      <c r="AT223" s="144">
        <f>IFERROR(_xlfn.XLOOKUP($B223,'Cronog. e Histog.'!$BZ:$BZ,'Cronog. e Histog.'!DO:DO),"")</f>
        <v>0</v>
      </c>
      <c r="AU223" s="144">
        <f>IFERROR(_xlfn.XLOOKUP($B223,'Cronog. e Histog.'!$BZ:$BZ,'Cronog. e Histog.'!DP:DP),"")</f>
        <v>0</v>
      </c>
      <c r="AV223" s="144">
        <f>IFERROR(_xlfn.XLOOKUP($B223,'Cronog. e Histog.'!$BZ:$BZ,'Cronog. e Histog.'!DQ:DQ),"")</f>
        <v>0</v>
      </c>
      <c r="AW223" s="144">
        <f>IFERROR(_xlfn.XLOOKUP($B223,'Cronog. e Histog.'!$BZ:$BZ,'Cronog. e Histog.'!DR:DR),"")</f>
        <v>0</v>
      </c>
      <c r="AX223" s="144">
        <f>IFERROR(_xlfn.XLOOKUP($B223,'Cronog. e Histog.'!$BZ:$BZ,'Cronog. e Histog.'!DS:DS),"")</f>
        <v>0</v>
      </c>
      <c r="AY223" s="144">
        <f>IFERROR(_xlfn.XLOOKUP($B223,'Cronog. e Histog.'!$BZ:$BZ,'Cronog. e Histog.'!DT:DT),"")</f>
        <v>0</v>
      </c>
      <c r="AZ223" s="144">
        <f>IFERROR(_xlfn.XLOOKUP($B223,'Cronog. e Histog.'!$BZ:$BZ,'Cronog. e Histog.'!DU:DU),"")</f>
        <v>0</v>
      </c>
      <c r="BA223" s="144">
        <f>IFERROR(_xlfn.XLOOKUP($B223,'Cronog. e Histog.'!$BZ:$BZ,'Cronog. e Histog.'!DV:DV),"")</f>
        <v>0</v>
      </c>
      <c r="BB223" s="144">
        <f>IFERROR(_xlfn.XLOOKUP($B223,'Cronog. e Histog.'!$BZ:$BZ,'Cronog. e Histog.'!DW:DW),"")</f>
        <v>0</v>
      </c>
      <c r="BC223" s="144">
        <f>IFERROR(_xlfn.XLOOKUP($B223,'Cronog. e Histog.'!$BZ:$BZ,'Cronog. e Histog.'!DX:DX),"")</f>
        <v>0</v>
      </c>
      <c r="BD223" s="144">
        <f>IFERROR(_xlfn.XLOOKUP($B223,'Cronog. e Histog.'!$BZ:$BZ,'Cronog. e Histog.'!DY:DY),"")</f>
        <v>0</v>
      </c>
      <c r="BE223" s="144">
        <f>IFERROR(_xlfn.XLOOKUP($B223,'Cronog. e Histog.'!$BZ:$BZ,'Cronog. e Histog.'!DZ:DZ),"")</f>
        <v>0</v>
      </c>
      <c r="BF223" s="144">
        <f>IFERROR(_xlfn.XLOOKUP($B223,'Cronog. e Histog.'!$BZ:$BZ,'Cronog. e Histog.'!EA:EA),"")</f>
        <v>0</v>
      </c>
      <c r="BG223" s="144">
        <f>IFERROR(_xlfn.XLOOKUP($B223,'Cronog. e Histog.'!$BZ:$BZ,'Cronog. e Histog.'!EB:EB),"")</f>
        <v>0</v>
      </c>
      <c r="BH223" s="144">
        <f>IFERROR(_xlfn.XLOOKUP($B223,'Cronog. e Histog.'!$BZ:$BZ,'Cronog. e Histog.'!EC:EC),"")</f>
        <v>0</v>
      </c>
      <c r="BI223" s="144">
        <f>IFERROR(_xlfn.XLOOKUP($B223,'Cronog. e Histog.'!$BZ:$BZ,'Cronog. e Histog.'!ED:ED),"")</f>
        <v>0</v>
      </c>
      <c r="BJ223" s="144">
        <f>IFERROR(_xlfn.XLOOKUP($B223,'Cronog. e Histog.'!$BZ:$BZ,'Cronog. e Histog.'!EE:EE),"")</f>
        <v>0</v>
      </c>
      <c r="BK223" s="144">
        <f>IFERROR(_xlfn.XLOOKUP($B223,'Cronog. e Histog.'!$BZ:$BZ,'Cronog. e Histog.'!EF:EF),"")</f>
        <v>0</v>
      </c>
      <c r="BL223" s="144">
        <f>IFERROR(_xlfn.XLOOKUP($B223,'Cronog. e Histog.'!$BZ:$BZ,'Cronog. e Histog.'!EG:EG),"")</f>
        <v>0</v>
      </c>
      <c r="BM223" s="144">
        <f>IFERROR(_xlfn.XLOOKUP($B223,'Cronog. e Histog.'!$BZ:$BZ,'Cronog. e Histog.'!EH:EH),"")</f>
        <v>0</v>
      </c>
      <c r="BN223" s="144">
        <f>IFERROR(_xlfn.XLOOKUP($B223,'Cronog. e Histog.'!$BZ:$BZ,'Cronog. e Histog.'!EI:EI),"")</f>
        <v>0</v>
      </c>
    </row>
    <row r="224" spans="2:66" ht="12" hidden="1" customHeight="1" outlineLevel="1">
      <c r="B224" s="76">
        <v>218</v>
      </c>
      <c r="C224" s="143" t="str">
        <f>IFERROR(VLOOKUP(B224,'Cronog. e Histog.'!$BZ$213:$CA$747,2,0),"")</f>
        <v>EST</v>
      </c>
      <c r="D224" s="144">
        <f t="shared" si="6"/>
        <v>0</v>
      </c>
      <c r="E224" s="144">
        <f t="shared" si="7"/>
        <v>0</v>
      </c>
      <c r="F224" s="65"/>
      <c r="G224" s="144">
        <f>IFERROR(_xlfn.XLOOKUP($B224,'Cronog. e Histog.'!$BZ:$BZ,'Cronog. e Histog.'!CB:CB),"")</f>
        <v>0</v>
      </c>
      <c r="H224" s="144">
        <f>IFERROR(_xlfn.XLOOKUP($B224,'Cronog. e Histog.'!$BZ:$BZ,'Cronog. e Histog.'!CC:CC),"")</f>
        <v>0</v>
      </c>
      <c r="I224" s="144">
        <f>IFERROR(_xlfn.XLOOKUP($B224,'Cronog. e Histog.'!$BZ:$BZ,'Cronog. e Histog.'!CD:CD),"")</f>
        <v>0</v>
      </c>
      <c r="J224" s="144">
        <f>IFERROR(_xlfn.XLOOKUP($B224,'Cronog. e Histog.'!$BZ:$BZ,'Cronog. e Histog.'!CE:CE),"")</f>
        <v>0</v>
      </c>
      <c r="K224" s="144">
        <f>IFERROR(_xlfn.XLOOKUP($B224,'Cronog. e Histog.'!$BZ:$BZ,'Cronog. e Histog.'!CF:CF),"")</f>
        <v>0</v>
      </c>
      <c r="L224" s="144">
        <f>IFERROR(_xlfn.XLOOKUP($B224,'Cronog. e Histog.'!$BZ:$BZ,'Cronog. e Histog.'!CG:CG),"")</f>
        <v>0</v>
      </c>
      <c r="M224" s="144">
        <f>IFERROR(_xlfn.XLOOKUP($B224,'Cronog. e Histog.'!$BZ:$BZ,'Cronog. e Histog.'!CH:CH),"")</f>
        <v>0</v>
      </c>
      <c r="N224" s="144">
        <f>IFERROR(_xlfn.XLOOKUP($B224,'Cronog. e Histog.'!$BZ:$BZ,'Cronog. e Histog.'!CI:CI),"")</f>
        <v>0</v>
      </c>
      <c r="O224" s="144">
        <f>IFERROR(_xlfn.XLOOKUP($B224,'Cronog. e Histog.'!$BZ:$BZ,'Cronog. e Histog.'!CJ:CJ),"")</f>
        <v>0</v>
      </c>
      <c r="P224" s="144">
        <f>IFERROR(_xlfn.XLOOKUP($B224,'Cronog. e Histog.'!$BZ:$BZ,'Cronog. e Histog.'!CK:CK),"")</f>
        <v>0</v>
      </c>
      <c r="Q224" s="144">
        <f>IFERROR(_xlfn.XLOOKUP($B224,'Cronog. e Histog.'!$BZ:$BZ,'Cronog. e Histog.'!CL:CL),"")</f>
        <v>0</v>
      </c>
      <c r="R224" s="144">
        <f>IFERROR(_xlfn.XLOOKUP($B224,'Cronog. e Histog.'!$BZ:$BZ,'Cronog. e Histog.'!CM:CM),"")</f>
        <v>0</v>
      </c>
      <c r="S224" s="144">
        <f>IFERROR(_xlfn.XLOOKUP($B224,'Cronog. e Histog.'!$BZ:$BZ,'Cronog. e Histog.'!CN:CN),"")</f>
        <v>0</v>
      </c>
      <c r="T224" s="144">
        <f>IFERROR(_xlfn.XLOOKUP($B224,'Cronog. e Histog.'!$BZ:$BZ,'Cronog. e Histog.'!CO:CO),"")</f>
        <v>0</v>
      </c>
      <c r="U224" s="144">
        <f>IFERROR(_xlfn.XLOOKUP($B224,'Cronog. e Histog.'!$BZ:$BZ,'Cronog. e Histog.'!CP:CP),"")</f>
        <v>0</v>
      </c>
      <c r="V224" s="144">
        <f>IFERROR(_xlfn.XLOOKUP($B224,'Cronog. e Histog.'!$BZ:$BZ,'Cronog. e Histog.'!CQ:CQ),"")</f>
        <v>0</v>
      </c>
      <c r="W224" s="144">
        <f>IFERROR(_xlfn.XLOOKUP($B224,'Cronog. e Histog.'!$BZ:$BZ,'Cronog. e Histog.'!CR:CR),"")</f>
        <v>0</v>
      </c>
      <c r="X224" s="144">
        <f>IFERROR(_xlfn.XLOOKUP($B224,'Cronog. e Histog.'!$BZ:$BZ,'Cronog. e Histog.'!CS:CS),"")</f>
        <v>0</v>
      </c>
      <c r="Y224" s="144">
        <f>IFERROR(_xlfn.XLOOKUP($B224,'Cronog. e Histog.'!$BZ:$BZ,'Cronog. e Histog.'!CT:CT),"")</f>
        <v>0</v>
      </c>
      <c r="Z224" s="144">
        <f>IFERROR(_xlfn.XLOOKUP($B224,'Cronog. e Histog.'!$BZ:$BZ,'Cronog. e Histog.'!CU:CU),"")</f>
        <v>0</v>
      </c>
      <c r="AA224" s="144">
        <f>IFERROR(_xlfn.XLOOKUP($B224,'Cronog. e Histog.'!$BZ:$BZ,'Cronog. e Histog.'!CV:CV),"")</f>
        <v>0</v>
      </c>
      <c r="AB224" s="144">
        <f>IFERROR(_xlfn.XLOOKUP($B224,'Cronog. e Histog.'!$BZ:$BZ,'Cronog. e Histog.'!CW:CW),"")</f>
        <v>0</v>
      </c>
      <c r="AC224" s="144">
        <f>IFERROR(_xlfn.XLOOKUP($B224,'Cronog. e Histog.'!$BZ:$BZ,'Cronog. e Histog.'!CX:CX),"")</f>
        <v>0</v>
      </c>
      <c r="AD224" s="144">
        <f>IFERROR(_xlfn.XLOOKUP($B224,'Cronog. e Histog.'!$BZ:$BZ,'Cronog. e Histog.'!CY:CY),"")</f>
        <v>0</v>
      </c>
      <c r="AE224" s="144">
        <f>IFERROR(_xlfn.XLOOKUP($B224,'Cronog. e Histog.'!$BZ:$BZ,'Cronog. e Histog.'!CZ:CZ),"")</f>
        <v>0</v>
      </c>
      <c r="AF224" s="144">
        <f>IFERROR(_xlfn.XLOOKUP($B224,'Cronog. e Histog.'!$BZ:$BZ,'Cronog. e Histog.'!DA:DA),"")</f>
        <v>0</v>
      </c>
      <c r="AG224" s="144">
        <f>IFERROR(_xlfn.XLOOKUP($B224,'Cronog. e Histog.'!$BZ:$BZ,'Cronog. e Histog.'!DB:DB),"")</f>
        <v>0</v>
      </c>
      <c r="AH224" s="144">
        <f>IFERROR(_xlfn.XLOOKUP($B224,'Cronog. e Histog.'!$BZ:$BZ,'Cronog. e Histog.'!DC:DC),"")</f>
        <v>0</v>
      </c>
      <c r="AI224" s="144">
        <f>IFERROR(_xlfn.XLOOKUP($B224,'Cronog. e Histog.'!$BZ:$BZ,'Cronog. e Histog.'!DD:DD),"")</f>
        <v>0</v>
      </c>
      <c r="AJ224" s="144">
        <f>IFERROR(_xlfn.XLOOKUP($B224,'Cronog. e Histog.'!$BZ:$BZ,'Cronog. e Histog.'!DE:DE),"")</f>
        <v>0</v>
      </c>
      <c r="AK224" s="144">
        <f>IFERROR(_xlfn.XLOOKUP($B224,'Cronog. e Histog.'!$BZ:$BZ,'Cronog. e Histog.'!DF:DF),"")</f>
        <v>0</v>
      </c>
      <c r="AL224" s="144">
        <f>IFERROR(_xlfn.XLOOKUP($B224,'Cronog. e Histog.'!$BZ:$BZ,'Cronog. e Histog.'!DG:DG),"")</f>
        <v>0</v>
      </c>
      <c r="AM224" s="144">
        <f>IFERROR(_xlfn.XLOOKUP($B224,'Cronog. e Histog.'!$BZ:$BZ,'Cronog. e Histog.'!DH:DH),"")</f>
        <v>0</v>
      </c>
      <c r="AN224" s="144">
        <f>IFERROR(_xlfn.XLOOKUP($B224,'Cronog. e Histog.'!$BZ:$BZ,'Cronog. e Histog.'!DI:DI),"")</f>
        <v>0</v>
      </c>
      <c r="AO224" s="144">
        <f>IFERROR(_xlfn.XLOOKUP($B224,'Cronog. e Histog.'!$BZ:$BZ,'Cronog. e Histog.'!DJ:DJ),"")</f>
        <v>0</v>
      </c>
      <c r="AP224" s="144">
        <f>IFERROR(_xlfn.XLOOKUP($B224,'Cronog. e Histog.'!$BZ:$BZ,'Cronog. e Histog.'!DK:DK),"")</f>
        <v>0</v>
      </c>
      <c r="AQ224" s="144">
        <f>IFERROR(_xlfn.XLOOKUP($B224,'Cronog. e Histog.'!$BZ:$BZ,'Cronog. e Histog.'!DL:DL),"")</f>
        <v>0</v>
      </c>
      <c r="AR224" s="144">
        <f>IFERROR(_xlfn.XLOOKUP($B224,'Cronog. e Histog.'!$BZ:$BZ,'Cronog. e Histog.'!DM:DM),"")</f>
        <v>0</v>
      </c>
      <c r="AS224" s="144">
        <f>IFERROR(_xlfn.XLOOKUP($B224,'Cronog. e Histog.'!$BZ:$BZ,'Cronog. e Histog.'!DN:DN),"")</f>
        <v>0</v>
      </c>
      <c r="AT224" s="144">
        <f>IFERROR(_xlfn.XLOOKUP($B224,'Cronog. e Histog.'!$BZ:$BZ,'Cronog. e Histog.'!DO:DO),"")</f>
        <v>0</v>
      </c>
      <c r="AU224" s="144">
        <f>IFERROR(_xlfn.XLOOKUP($B224,'Cronog. e Histog.'!$BZ:$BZ,'Cronog. e Histog.'!DP:DP),"")</f>
        <v>0</v>
      </c>
      <c r="AV224" s="144">
        <f>IFERROR(_xlfn.XLOOKUP($B224,'Cronog. e Histog.'!$BZ:$BZ,'Cronog. e Histog.'!DQ:DQ),"")</f>
        <v>0</v>
      </c>
      <c r="AW224" s="144">
        <f>IFERROR(_xlfn.XLOOKUP($B224,'Cronog. e Histog.'!$BZ:$BZ,'Cronog. e Histog.'!DR:DR),"")</f>
        <v>0</v>
      </c>
      <c r="AX224" s="144">
        <f>IFERROR(_xlfn.XLOOKUP($B224,'Cronog. e Histog.'!$BZ:$BZ,'Cronog. e Histog.'!DS:DS),"")</f>
        <v>0</v>
      </c>
      <c r="AY224" s="144">
        <f>IFERROR(_xlfn.XLOOKUP($B224,'Cronog. e Histog.'!$BZ:$BZ,'Cronog. e Histog.'!DT:DT),"")</f>
        <v>0</v>
      </c>
      <c r="AZ224" s="144">
        <f>IFERROR(_xlfn.XLOOKUP($B224,'Cronog. e Histog.'!$BZ:$BZ,'Cronog. e Histog.'!DU:DU),"")</f>
        <v>0</v>
      </c>
      <c r="BA224" s="144">
        <f>IFERROR(_xlfn.XLOOKUP($B224,'Cronog. e Histog.'!$BZ:$BZ,'Cronog. e Histog.'!DV:DV),"")</f>
        <v>0</v>
      </c>
      <c r="BB224" s="144">
        <f>IFERROR(_xlfn.XLOOKUP($B224,'Cronog. e Histog.'!$BZ:$BZ,'Cronog. e Histog.'!DW:DW),"")</f>
        <v>0</v>
      </c>
      <c r="BC224" s="144">
        <f>IFERROR(_xlfn.XLOOKUP($B224,'Cronog. e Histog.'!$BZ:$BZ,'Cronog. e Histog.'!DX:DX),"")</f>
        <v>0</v>
      </c>
      <c r="BD224" s="144">
        <f>IFERROR(_xlfn.XLOOKUP($B224,'Cronog. e Histog.'!$BZ:$BZ,'Cronog. e Histog.'!DY:DY),"")</f>
        <v>0</v>
      </c>
      <c r="BE224" s="144">
        <f>IFERROR(_xlfn.XLOOKUP($B224,'Cronog. e Histog.'!$BZ:$BZ,'Cronog. e Histog.'!DZ:DZ),"")</f>
        <v>0</v>
      </c>
      <c r="BF224" s="144">
        <f>IFERROR(_xlfn.XLOOKUP($B224,'Cronog. e Histog.'!$BZ:$BZ,'Cronog. e Histog.'!EA:EA),"")</f>
        <v>0</v>
      </c>
      <c r="BG224" s="144">
        <f>IFERROR(_xlfn.XLOOKUP($B224,'Cronog. e Histog.'!$BZ:$BZ,'Cronog. e Histog.'!EB:EB),"")</f>
        <v>0</v>
      </c>
      <c r="BH224" s="144">
        <f>IFERROR(_xlfn.XLOOKUP($B224,'Cronog. e Histog.'!$BZ:$BZ,'Cronog. e Histog.'!EC:EC),"")</f>
        <v>0</v>
      </c>
      <c r="BI224" s="144">
        <f>IFERROR(_xlfn.XLOOKUP($B224,'Cronog. e Histog.'!$BZ:$BZ,'Cronog. e Histog.'!ED:ED),"")</f>
        <v>0</v>
      </c>
      <c r="BJ224" s="144">
        <f>IFERROR(_xlfn.XLOOKUP($B224,'Cronog. e Histog.'!$BZ:$BZ,'Cronog. e Histog.'!EE:EE),"")</f>
        <v>0</v>
      </c>
      <c r="BK224" s="144">
        <f>IFERROR(_xlfn.XLOOKUP($B224,'Cronog. e Histog.'!$BZ:$BZ,'Cronog. e Histog.'!EF:EF),"")</f>
        <v>0</v>
      </c>
      <c r="BL224" s="144">
        <f>IFERROR(_xlfn.XLOOKUP($B224,'Cronog. e Histog.'!$BZ:$BZ,'Cronog. e Histog.'!EG:EG),"")</f>
        <v>0</v>
      </c>
      <c r="BM224" s="144">
        <f>IFERROR(_xlfn.XLOOKUP($B224,'Cronog. e Histog.'!$BZ:$BZ,'Cronog. e Histog.'!EH:EH),"")</f>
        <v>0</v>
      </c>
      <c r="BN224" s="144">
        <f>IFERROR(_xlfn.XLOOKUP($B224,'Cronog. e Histog.'!$BZ:$BZ,'Cronog. e Histog.'!EI:EI),"")</f>
        <v>0</v>
      </c>
    </row>
    <row r="225" spans="2:66" ht="12" hidden="1" customHeight="1" outlineLevel="1">
      <c r="B225" s="76">
        <v>219</v>
      </c>
      <c r="C225" s="143" t="str">
        <f>IFERROR(VLOOKUP(B225,'Cronog. e Histog.'!$BZ$213:$CA$747,2,0),"")</f>
        <v>EST_II</v>
      </c>
      <c r="D225" s="144">
        <f t="shared" si="6"/>
        <v>0</v>
      </c>
      <c r="E225" s="144">
        <f t="shared" si="7"/>
        <v>0</v>
      </c>
      <c r="F225" s="65"/>
      <c r="G225" s="144">
        <f>IFERROR(_xlfn.XLOOKUP($B225,'Cronog. e Histog.'!$BZ:$BZ,'Cronog. e Histog.'!CB:CB),"")</f>
        <v>0</v>
      </c>
      <c r="H225" s="144">
        <f>IFERROR(_xlfn.XLOOKUP($B225,'Cronog. e Histog.'!$BZ:$BZ,'Cronog. e Histog.'!CC:CC),"")</f>
        <v>0</v>
      </c>
      <c r="I225" s="144">
        <f>IFERROR(_xlfn.XLOOKUP($B225,'Cronog. e Histog.'!$BZ:$BZ,'Cronog. e Histog.'!CD:CD),"")</f>
        <v>0</v>
      </c>
      <c r="J225" s="144">
        <f>IFERROR(_xlfn.XLOOKUP($B225,'Cronog. e Histog.'!$BZ:$BZ,'Cronog. e Histog.'!CE:CE),"")</f>
        <v>0</v>
      </c>
      <c r="K225" s="144">
        <f>IFERROR(_xlfn.XLOOKUP($B225,'Cronog. e Histog.'!$BZ:$BZ,'Cronog. e Histog.'!CF:CF),"")</f>
        <v>0</v>
      </c>
      <c r="L225" s="144">
        <f>IFERROR(_xlfn.XLOOKUP($B225,'Cronog. e Histog.'!$BZ:$BZ,'Cronog. e Histog.'!CG:CG),"")</f>
        <v>0</v>
      </c>
      <c r="M225" s="144">
        <f>IFERROR(_xlfn.XLOOKUP($B225,'Cronog. e Histog.'!$BZ:$BZ,'Cronog. e Histog.'!CH:CH),"")</f>
        <v>0</v>
      </c>
      <c r="N225" s="144">
        <f>IFERROR(_xlfn.XLOOKUP($B225,'Cronog. e Histog.'!$BZ:$BZ,'Cronog. e Histog.'!CI:CI),"")</f>
        <v>0</v>
      </c>
      <c r="O225" s="144">
        <f>IFERROR(_xlfn.XLOOKUP($B225,'Cronog. e Histog.'!$BZ:$BZ,'Cronog. e Histog.'!CJ:CJ),"")</f>
        <v>0</v>
      </c>
      <c r="P225" s="144">
        <f>IFERROR(_xlfn.XLOOKUP($B225,'Cronog. e Histog.'!$BZ:$BZ,'Cronog. e Histog.'!CK:CK),"")</f>
        <v>0</v>
      </c>
      <c r="Q225" s="144">
        <f>IFERROR(_xlfn.XLOOKUP($B225,'Cronog. e Histog.'!$BZ:$BZ,'Cronog. e Histog.'!CL:CL),"")</f>
        <v>0</v>
      </c>
      <c r="R225" s="144">
        <f>IFERROR(_xlfn.XLOOKUP($B225,'Cronog. e Histog.'!$BZ:$BZ,'Cronog. e Histog.'!CM:CM),"")</f>
        <v>0</v>
      </c>
      <c r="S225" s="144">
        <f>IFERROR(_xlfn.XLOOKUP($B225,'Cronog. e Histog.'!$BZ:$BZ,'Cronog. e Histog.'!CN:CN),"")</f>
        <v>0</v>
      </c>
      <c r="T225" s="144">
        <f>IFERROR(_xlfn.XLOOKUP($B225,'Cronog. e Histog.'!$BZ:$BZ,'Cronog. e Histog.'!CO:CO),"")</f>
        <v>0</v>
      </c>
      <c r="U225" s="144">
        <f>IFERROR(_xlfn.XLOOKUP($B225,'Cronog. e Histog.'!$BZ:$BZ,'Cronog. e Histog.'!CP:CP),"")</f>
        <v>0</v>
      </c>
      <c r="V225" s="144">
        <f>IFERROR(_xlfn.XLOOKUP($B225,'Cronog. e Histog.'!$BZ:$BZ,'Cronog. e Histog.'!CQ:CQ),"")</f>
        <v>0</v>
      </c>
      <c r="W225" s="144">
        <f>IFERROR(_xlfn.XLOOKUP($B225,'Cronog. e Histog.'!$BZ:$BZ,'Cronog. e Histog.'!CR:CR),"")</f>
        <v>0</v>
      </c>
      <c r="X225" s="144">
        <f>IFERROR(_xlfn.XLOOKUP($B225,'Cronog. e Histog.'!$BZ:$BZ,'Cronog. e Histog.'!CS:CS),"")</f>
        <v>0</v>
      </c>
      <c r="Y225" s="144">
        <f>IFERROR(_xlfn.XLOOKUP($B225,'Cronog. e Histog.'!$BZ:$BZ,'Cronog. e Histog.'!CT:CT),"")</f>
        <v>0</v>
      </c>
      <c r="Z225" s="144">
        <f>IFERROR(_xlfn.XLOOKUP($B225,'Cronog. e Histog.'!$BZ:$BZ,'Cronog. e Histog.'!CU:CU),"")</f>
        <v>0</v>
      </c>
      <c r="AA225" s="144">
        <f>IFERROR(_xlfn.XLOOKUP($B225,'Cronog. e Histog.'!$BZ:$BZ,'Cronog. e Histog.'!CV:CV),"")</f>
        <v>0</v>
      </c>
      <c r="AB225" s="144">
        <f>IFERROR(_xlfn.XLOOKUP($B225,'Cronog. e Histog.'!$BZ:$BZ,'Cronog. e Histog.'!CW:CW),"")</f>
        <v>0</v>
      </c>
      <c r="AC225" s="144">
        <f>IFERROR(_xlfn.XLOOKUP($B225,'Cronog. e Histog.'!$BZ:$BZ,'Cronog. e Histog.'!CX:CX),"")</f>
        <v>0</v>
      </c>
      <c r="AD225" s="144">
        <f>IFERROR(_xlfn.XLOOKUP($B225,'Cronog. e Histog.'!$BZ:$BZ,'Cronog. e Histog.'!CY:CY),"")</f>
        <v>0</v>
      </c>
      <c r="AE225" s="144">
        <f>IFERROR(_xlfn.XLOOKUP($B225,'Cronog. e Histog.'!$BZ:$BZ,'Cronog. e Histog.'!CZ:CZ),"")</f>
        <v>0</v>
      </c>
      <c r="AF225" s="144">
        <f>IFERROR(_xlfn.XLOOKUP($B225,'Cronog. e Histog.'!$BZ:$BZ,'Cronog. e Histog.'!DA:DA),"")</f>
        <v>0</v>
      </c>
      <c r="AG225" s="144">
        <f>IFERROR(_xlfn.XLOOKUP($B225,'Cronog. e Histog.'!$BZ:$BZ,'Cronog. e Histog.'!DB:DB),"")</f>
        <v>0</v>
      </c>
      <c r="AH225" s="144">
        <f>IFERROR(_xlfn.XLOOKUP($B225,'Cronog. e Histog.'!$BZ:$BZ,'Cronog. e Histog.'!DC:DC),"")</f>
        <v>0</v>
      </c>
      <c r="AI225" s="144">
        <f>IFERROR(_xlfn.XLOOKUP($B225,'Cronog. e Histog.'!$BZ:$BZ,'Cronog. e Histog.'!DD:DD),"")</f>
        <v>0</v>
      </c>
      <c r="AJ225" s="144">
        <f>IFERROR(_xlfn.XLOOKUP($B225,'Cronog. e Histog.'!$BZ:$BZ,'Cronog. e Histog.'!DE:DE),"")</f>
        <v>0</v>
      </c>
      <c r="AK225" s="144">
        <f>IFERROR(_xlfn.XLOOKUP($B225,'Cronog. e Histog.'!$BZ:$BZ,'Cronog. e Histog.'!DF:DF),"")</f>
        <v>0</v>
      </c>
      <c r="AL225" s="144">
        <f>IFERROR(_xlfn.XLOOKUP($B225,'Cronog. e Histog.'!$BZ:$BZ,'Cronog. e Histog.'!DG:DG),"")</f>
        <v>0</v>
      </c>
      <c r="AM225" s="144">
        <f>IFERROR(_xlfn.XLOOKUP($B225,'Cronog. e Histog.'!$BZ:$BZ,'Cronog. e Histog.'!DH:DH),"")</f>
        <v>0</v>
      </c>
      <c r="AN225" s="144">
        <f>IFERROR(_xlfn.XLOOKUP($B225,'Cronog. e Histog.'!$BZ:$BZ,'Cronog. e Histog.'!DI:DI),"")</f>
        <v>0</v>
      </c>
      <c r="AO225" s="144">
        <f>IFERROR(_xlfn.XLOOKUP($B225,'Cronog. e Histog.'!$BZ:$BZ,'Cronog. e Histog.'!DJ:DJ),"")</f>
        <v>0</v>
      </c>
      <c r="AP225" s="144">
        <f>IFERROR(_xlfn.XLOOKUP($B225,'Cronog. e Histog.'!$BZ:$BZ,'Cronog. e Histog.'!DK:DK),"")</f>
        <v>0</v>
      </c>
      <c r="AQ225" s="144">
        <f>IFERROR(_xlfn.XLOOKUP($B225,'Cronog. e Histog.'!$BZ:$BZ,'Cronog. e Histog.'!DL:DL),"")</f>
        <v>0</v>
      </c>
      <c r="AR225" s="144">
        <f>IFERROR(_xlfn.XLOOKUP($B225,'Cronog. e Histog.'!$BZ:$BZ,'Cronog. e Histog.'!DM:DM),"")</f>
        <v>0</v>
      </c>
      <c r="AS225" s="144">
        <f>IFERROR(_xlfn.XLOOKUP($B225,'Cronog. e Histog.'!$BZ:$BZ,'Cronog. e Histog.'!DN:DN),"")</f>
        <v>0</v>
      </c>
      <c r="AT225" s="144">
        <f>IFERROR(_xlfn.XLOOKUP($B225,'Cronog. e Histog.'!$BZ:$BZ,'Cronog. e Histog.'!DO:DO),"")</f>
        <v>0</v>
      </c>
      <c r="AU225" s="144">
        <f>IFERROR(_xlfn.XLOOKUP($B225,'Cronog. e Histog.'!$BZ:$BZ,'Cronog. e Histog.'!DP:DP),"")</f>
        <v>0</v>
      </c>
      <c r="AV225" s="144">
        <f>IFERROR(_xlfn.XLOOKUP($B225,'Cronog. e Histog.'!$BZ:$BZ,'Cronog. e Histog.'!DQ:DQ),"")</f>
        <v>0</v>
      </c>
      <c r="AW225" s="144">
        <f>IFERROR(_xlfn.XLOOKUP($B225,'Cronog. e Histog.'!$BZ:$BZ,'Cronog. e Histog.'!DR:DR),"")</f>
        <v>0</v>
      </c>
      <c r="AX225" s="144">
        <f>IFERROR(_xlfn.XLOOKUP($B225,'Cronog. e Histog.'!$BZ:$BZ,'Cronog. e Histog.'!DS:DS),"")</f>
        <v>0</v>
      </c>
      <c r="AY225" s="144">
        <f>IFERROR(_xlfn.XLOOKUP($B225,'Cronog. e Histog.'!$BZ:$BZ,'Cronog. e Histog.'!DT:DT),"")</f>
        <v>0</v>
      </c>
      <c r="AZ225" s="144">
        <f>IFERROR(_xlfn.XLOOKUP($B225,'Cronog. e Histog.'!$BZ:$BZ,'Cronog. e Histog.'!DU:DU),"")</f>
        <v>0</v>
      </c>
      <c r="BA225" s="144">
        <f>IFERROR(_xlfn.XLOOKUP($B225,'Cronog. e Histog.'!$BZ:$BZ,'Cronog. e Histog.'!DV:DV),"")</f>
        <v>0</v>
      </c>
      <c r="BB225" s="144">
        <f>IFERROR(_xlfn.XLOOKUP($B225,'Cronog. e Histog.'!$BZ:$BZ,'Cronog. e Histog.'!DW:DW),"")</f>
        <v>0</v>
      </c>
      <c r="BC225" s="144">
        <f>IFERROR(_xlfn.XLOOKUP($B225,'Cronog. e Histog.'!$BZ:$BZ,'Cronog. e Histog.'!DX:DX),"")</f>
        <v>0</v>
      </c>
      <c r="BD225" s="144">
        <f>IFERROR(_xlfn.XLOOKUP($B225,'Cronog. e Histog.'!$BZ:$BZ,'Cronog. e Histog.'!DY:DY),"")</f>
        <v>0</v>
      </c>
      <c r="BE225" s="144">
        <f>IFERROR(_xlfn.XLOOKUP($B225,'Cronog. e Histog.'!$BZ:$BZ,'Cronog. e Histog.'!DZ:DZ),"")</f>
        <v>0</v>
      </c>
      <c r="BF225" s="144">
        <f>IFERROR(_xlfn.XLOOKUP($B225,'Cronog. e Histog.'!$BZ:$BZ,'Cronog. e Histog.'!EA:EA),"")</f>
        <v>0</v>
      </c>
      <c r="BG225" s="144">
        <f>IFERROR(_xlfn.XLOOKUP($B225,'Cronog. e Histog.'!$BZ:$BZ,'Cronog. e Histog.'!EB:EB),"")</f>
        <v>0</v>
      </c>
      <c r="BH225" s="144">
        <f>IFERROR(_xlfn.XLOOKUP($B225,'Cronog. e Histog.'!$BZ:$BZ,'Cronog. e Histog.'!EC:EC),"")</f>
        <v>0</v>
      </c>
      <c r="BI225" s="144">
        <f>IFERROR(_xlfn.XLOOKUP($B225,'Cronog. e Histog.'!$BZ:$BZ,'Cronog. e Histog.'!ED:ED),"")</f>
        <v>0</v>
      </c>
      <c r="BJ225" s="144">
        <f>IFERROR(_xlfn.XLOOKUP($B225,'Cronog. e Histog.'!$BZ:$BZ,'Cronog. e Histog.'!EE:EE),"")</f>
        <v>0</v>
      </c>
      <c r="BK225" s="144">
        <f>IFERROR(_xlfn.XLOOKUP($B225,'Cronog. e Histog.'!$BZ:$BZ,'Cronog. e Histog.'!EF:EF),"")</f>
        <v>0</v>
      </c>
      <c r="BL225" s="144">
        <f>IFERROR(_xlfn.XLOOKUP($B225,'Cronog. e Histog.'!$BZ:$BZ,'Cronog. e Histog.'!EG:EG),"")</f>
        <v>0</v>
      </c>
      <c r="BM225" s="144">
        <f>IFERROR(_xlfn.XLOOKUP($B225,'Cronog. e Histog.'!$BZ:$BZ,'Cronog. e Histog.'!EH:EH),"")</f>
        <v>0</v>
      </c>
      <c r="BN225" s="144">
        <f>IFERROR(_xlfn.XLOOKUP($B225,'Cronog. e Histog.'!$BZ:$BZ,'Cronog. e Histog.'!EI:EI),"")</f>
        <v>0</v>
      </c>
    </row>
    <row r="226" spans="2:66" ht="12" hidden="1" customHeight="1" outlineLevel="1">
      <c r="B226" s="76">
        <v>220</v>
      </c>
      <c r="C226" s="143" t="str">
        <f>IFERROR(VLOOKUP(B226,'Cronog. e Histog.'!$BZ$213:$CA$747,2,0),"")</f>
        <v>EST_III</v>
      </c>
      <c r="D226" s="144">
        <f t="shared" si="6"/>
        <v>0</v>
      </c>
      <c r="E226" s="144">
        <f t="shared" si="7"/>
        <v>0</v>
      </c>
      <c r="F226" s="65"/>
      <c r="G226" s="144">
        <f>IFERROR(_xlfn.XLOOKUP($B226,'Cronog. e Histog.'!$BZ:$BZ,'Cronog. e Histog.'!CB:CB),"")</f>
        <v>0</v>
      </c>
      <c r="H226" s="144">
        <f>IFERROR(_xlfn.XLOOKUP($B226,'Cronog. e Histog.'!$BZ:$BZ,'Cronog. e Histog.'!CC:CC),"")</f>
        <v>0</v>
      </c>
      <c r="I226" s="144">
        <f>IFERROR(_xlfn.XLOOKUP($B226,'Cronog. e Histog.'!$BZ:$BZ,'Cronog. e Histog.'!CD:CD),"")</f>
        <v>0</v>
      </c>
      <c r="J226" s="144">
        <f>IFERROR(_xlfn.XLOOKUP($B226,'Cronog. e Histog.'!$BZ:$BZ,'Cronog. e Histog.'!CE:CE),"")</f>
        <v>0</v>
      </c>
      <c r="K226" s="144">
        <f>IFERROR(_xlfn.XLOOKUP($B226,'Cronog. e Histog.'!$BZ:$BZ,'Cronog. e Histog.'!CF:CF),"")</f>
        <v>0</v>
      </c>
      <c r="L226" s="144">
        <f>IFERROR(_xlfn.XLOOKUP($B226,'Cronog. e Histog.'!$BZ:$BZ,'Cronog. e Histog.'!CG:CG),"")</f>
        <v>0</v>
      </c>
      <c r="M226" s="144">
        <f>IFERROR(_xlfn.XLOOKUP($B226,'Cronog. e Histog.'!$BZ:$BZ,'Cronog. e Histog.'!CH:CH),"")</f>
        <v>0</v>
      </c>
      <c r="N226" s="144">
        <f>IFERROR(_xlfn.XLOOKUP($B226,'Cronog. e Histog.'!$BZ:$BZ,'Cronog. e Histog.'!CI:CI),"")</f>
        <v>0</v>
      </c>
      <c r="O226" s="144">
        <f>IFERROR(_xlfn.XLOOKUP($B226,'Cronog. e Histog.'!$BZ:$BZ,'Cronog. e Histog.'!CJ:CJ),"")</f>
        <v>0</v>
      </c>
      <c r="P226" s="144">
        <f>IFERROR(_xlfn.XLOOKUP($B226,'Cronog. e Histog.'!$BZ:$BZ,'Cronog. e Histog.'!CK:CK),"")</f>
        <v>0</v>
      </c>
      <c r="Q226" s="144">
        <f>IFERROR(_xlfn.XLOOKUP($B226,'Cronog. e Histog.'!$BZ:$BZ,'Cronog. e Histog.'!CL:CL),"")</f>
        <v>0</v>
      </c>
      <c r="R226" s="144">
        <f>IFERROR(_xlfn.XLOOKUP($B226,'Cronog. e Histog.'!$BZ:$BZ,'Cronog. e Histog.'!CM:CM),"")</f>
        <v>0</v>
      </c>
      <c r="S226" s="144">
        <f>IFERROR(_xlfn.XLOOKUP($B226,'Cronog. e Histog.'!$BZ:$BZ,'Cronog. e Histog.'!CN:CN),"")</f>
        <v>0</v>
      </c>
      <c r="T226" s="144">
        <f>IFERROR(_xlfn.XLOOKUP($B226,'Cronog. e Histog.'!$BZ:$BZ,'Cronog. e Histog.'!CO:CO),"")</f>
        <v>0</v>
      </c>
      <c r="U226" s="144">
        <f>IFERROR(_xlfn.XLOOKUP($B226,'Cronog. e Histog.'!$BZ:$BZ,'Cronog. e Histog.'!CP:CP),"")</f>
        <v>0</v>
      </c>
      <c r="V226" s="144">
        <f>IFERROR(_xlfn.XLOOKUP($B226,'Cronog. e Histog.'!$BZ:$BZ,'Cronog. e Histog.'!CQ:CQ),"")</f>
        <v>0</v>
      </c>
      <c r="W226" s="144">
        <f>IFERROR(_xlfn.XLOOKUP($B226,'Cronog. e Histog.'!$BZ:$BZ,'Cronog. e Histog.'!CR:CR),"")</f>
        <v>0</v>
      </c>
      <c r="X226" s="144">
        <f>IFERROR(_xlfn.XLOOKUP($B226,'Cronog. e Histog.'!$BZ:$BZ,'Cronog. e Histog.'!CS:CS),"")</f>
        <v>0</v>
      </c>
      <c r="Y226" s="144">
        <f>IFERROR(_xlfn.XLOOKUP($B226,'Cronog. e Histog.'!$BZ:$BZ,'Cronog. e Histog.'!CT:CT),"")</f>
        <v>0</v>
      </c>
      <c r="Z226" s="144">
        <f>IFERROR(_xlfn.XLOOKUP($B226,'Cronog. e Histog.'!$BZ:$BZ,'Cronog. e Histog.'!CU:CU),"")</f>
        <v>0</v>
      </c>
      <c r="AA226" s="144">
        <f>IFERROR(_xlfn.XLOOKUP($B226,'Cronog. e Histog.'!$BZ:$BZ,'Cronog. e Histog.'!CV:CV),"")</f>
        <v>0</v>
      </c>
      <c r="AB226" s="144">
        <f>IFERROR(_xlfn.XLOOKUP($B226,'Cronog. e Histog.'!$BZ:$BZ,'Cronog. e Histog.'!CW:CW),"")</f>
        <v>0</v>
      </c>
      <c r="AC226" s="144">
        <f>IFERROR(_xlfn.XLOOKUP($B226,'Cronog. e Histog.'!$BZ:$BZ,'Cronog. e Histog.'!CX:CX),"")</f>
        <v>0</v>
      </c>
      <c r="AD226" s="144">
        <f>IFERROR(_xlfn.XLOOKUP($B226,'Cronog. e Histog.'!$BZ:$BZ,'Cronog. e Histog.'!CY:CY),"")</f>
        <v>0</v>
      </c>
      <c r="AE226" s="144">
        <f>IFERROR(_xlfn.XLOOKUP($B226,'Cronog. e Histog.'!$BZ:$BZ,'Cronog. e Histog.'!CZ:CZ),"")</f>
        <v>0</v>
      </c>
      <c r="AF226" s="144">
        <f>IFERROR(_xlfn.XLOOKUP($B226,'Cronog. e Histog.'!$BZ:$BZ,'Cronog. e Histog.'!DA:DA),"")</f>
        <v>0</v>
      </c>
      <c r="AG226" s="144">
        <f>IFERROR(_xlfn.XLOOKUP($B226,'Cronog. e Histog.'!$BZ:$BZ,'Cronog. e Histog.'!DB:DB),"")</f>
        <v>0</v>
      </c>
      <c r="AH226" s="144">
        <f>IFERROR(_xlfn.XLOOKUP($B226,'Cronog. e Histog.'!$BZ:$BZ,'Cronog. e Histog.'!DC:DC),"")</f>
        <v>0</v>
      </c>
      <c r="AI226" s="144">
        <f>IFERROR(_xlfn.XLOOKUP($B226,'Cronog. e Histog.'!$BZ:$BZ,'Cronog. e Histog.'!DD:DD),"")</f>
        <v>0</v>
      </c>
      <c r="AJ226" s="144">
        <f>IFERROR(_xlfn.XLOOKUP($B226,'Cronog. e Histog.'!$BZ:$BZ,'Cronog. e Histog.'!DE:DE),"")</f>
        <v>0</v>
      </c>
      <c r="AK226" s="144">
        <f>IFERROR(_xlfn.XLOOKUP($B226,'Cronog. e Histog.'!$BZ:$BZ,'Cronog. e Histog.'!DF:DF),"")</f>
        <v>0</v>
      </c>
      <c r="AL226" s="144">
        <f>IFERROR(_xlfn.XLOOKUP($B226,'Cronog. e Histog.'!$BZ:$BZ,'Cronog. e Histog.'!DG:DG),"")</f>
        <v>0</v>
      </c>
      <c r="AM226" s="144">
        <f>IFERROR(_xlfn.XLOOKUP($B226,'Cronog. e Histog.'!$BZ:$BZ,'Cronog. e Histog.'!DH:DH),"")</f>
        <v>0</v>
      </c>
      <c r="AN226" s="144">
        <f>IFERROR(_xlfn.XLOOKUP($B226,'Cronog. e Histog.'!$BZ:$BZ,'Cronog. e Histog.'!DI:DI),"")</f>
        <v>0</v>
      </c>
      <c r="AO226" s="144">
        <f>IFERROR(_xlfn.XLOOKUP($B226,'Cronog. e Histog.'!$BZ:$BZ,'Cronog. e Histog.'!DJ:DJ),"")</f>
        <v>0</v>
      </c>
      <c r="AP226" s="144">
        <f>IFERROR(_xlfn.XLOOKUP($B226,'Cronog. e Histog.'!$BZ:$BZ,'Cronog. e Histog.'!DK:DK),"")</f>
        <v>0</v>
      </c>
      <c r="AQ226" s="144">
        <f>IFERROR(_xlfn.XLOOKUP($B226,'Cronog. e Histog.'!$BZ:$BZ,'Cronog. e Histog.'!DL:DL),"")</f>
        <v>0</v>
      </c>
      <c r="AR226" s="144">
        <f>IFERROR(_xlfn.XLOOKUP($B226,'Cronog. e Histog.'!$BZ:$BZ,'Cronog. e Histog.'!DM:DM),"")</f>
        <v>0</v>
      </c>
      <c r="AS226" s="144">
        <f>IFERROR(_xlfn.XLOOKUP($B226,'Cronog. e Histog.'!$BZ:$BZ,'Cronog. e Histog.'!DN:DN),"")</f>
        <v>0</v>
      </c>
      <c r="AT226" s="144">
        <f>IFERROR(_xlfn.XLOOKUP($B226,'Cronog. e Histog.'!$BZ:$BZ,'Cronog. e Histog.'!DO:DO),"")</f>
        <v>0</v>
      </c>
      <c r="AU226" s="144">
        <f>IFERROR(_xlfn.XLOOKUP($B226,'Cronog. e Histog.'!$BZ:$BZ,'Cronog. e Histog.'!DP:DP),"")</f>
        <v>0</v>
      </c>
      <c r="AV226" s="144">
        <f>IFERROR(_xlfn.XLOOKUP($B226,'Cronog. e Histog.'!$BZ:$BZ,'Cronog. e Histog.'!DQ:DQ),"")</f>
        <v>0</v>
      </c>
      <c r="AW226" s="144">
        <f>IFERROR(_xlfn.XLOOKUP($B226,'Cronog. e Histog.'!$BZ:$BZ,'Cronog. e Histog.'!DR:DR),"")</f>
        <v>0</v>
      </c>
      <c r="AX226" s="144">
        <f>IFERROR(_xlfn.XLOOKUP($B226,'Cronog. e Histog.'!$BZ:$BZ,'Cronog. e Histog.'!DS:DS),"")</f>
        <v>0</v>
      </c>
      <c r="AY226" s="144">
        <f>IFERROR(_xlfn.XLOOKUP($B226,'Cronog. e Histog.'!$BZ:$BZ,'Cronog. e Histog.'!DT:DT),"")</f>
        <v>0</v>
      </c>
      <c r="AZ226" s="144">
        <f>IFERROR(_xlfn.XLOOKUP($B226,'Cronog. e Histog.'!$BZ:$BZ,'Cronog. e Histog.'!DU:DU),"")</f>
        <v>0</v>
      </c>
      <c r="BA226" s="144">
        <f>IFERROR(_xlfn.XLOOKUP($B226,'Cronog. e Histog.'!$BZ:$BZ,'Cronog. e Histog.'!DV:DV),"")</f>
        <v>0</v>
      </c>
      <c r="BB226" s="144">
        <f>IFERROR(_xlfn.XLOOKUP($B226,'Cronog. e Histog.'!$BZ:$BZ,'Cronog. e Histog.'!DW:DW),"")</f>
        <v>0</v>
      </c>
      <c r="BC226" s="144">
        <f>IFERROR(_xlfn.XLOOKUP($B226,'Cronog. e Histog.'!$BZ:$BZ,'Cronog. e Histog.'!DX:DX),"")</f>
        <v>0</v>
      </c>
      <c r="BD226" s="144">
        <f>IFERROR(_xlfn.XLOOKUP($B226,'Cronog. e Histog.'!$BZ:$BZ,'Cronog. e Histog.'!DY:DY),"")</f>
        <v>0</v>
      </c>
      <c r="BE226" s="144">
        <f>IFERROR(_xlfn.XLOOKUP($B226,'Cronog. e Histog.'!$BZ:$BZ,'Cronog. e Histog.'!DZ:DZ),"")</f>
        <v>0</v>
      </c>
      <c r="BF226" s="144">
        <f>IFERROR(_xlfn.XLOOKUP($B226,'Cronog. e Histog.'!$BZ:$BZ,'Cronog. e Histog.'!EA:EA),"")</f>
        <v>0</v>
      </c>
      <c r="BG226" s="144">
        <f>IFERROR(_xlfn.XLOOKUP($B226,'Cronog. e Histog.'!$BZ:$BZ,'Cronog. e Histog.'!EB:EB),"")</f>
        <v>0</v>
      </c>
      <c r="BH226" s="144">
        <f>IFERROR(_xlfn.XLOOKUP($B226,'Cronog. e Histog.'!$BZ:$BZ,'Cronog. e Histog.'!EC:EC),"")</f>
        <v>0</v>
      </c>
      <c r="BI226" s="144">
        <f>IFERROR(_xlfn.XLOOKUP($B226,'Cronog. e Histog.'!$BZ:$BZ,'Cronog. e Histog.'!ED:ED),"")</f>
        <v>0</v>
      </c>
      <c r="BJ226" s="144">
        <f>IFERROR(_xlfn.XLOOKUP($B226,'Cronog. e Histog.'!$BZ:$BZ,'Cronog. e Histog.'!EE:EE),"")</f>
        <v>0</v>
      </c>
      <c r="BK226" s="144">
        <f>IFERROR(_xlfn.XLOOKUP($B226,'Cronog. e Histog.'!$BZ:$BZ,'Cronog. e Histog.'!EF:EF),"")</f>
        <v>0</v>
      </c>
      <c r="BL226" s="144">
        <f>IFERROR(_xlfn.XLOOKUP($B226,'Cronog. e Histog.'!$BZ:$BZ,'Cronog. e Histog.'!EG:EG),"")</f>
        <v>0</v>
      </c>
      <c r="BM226" s="144">
        <f>IFERROR(_xlfn.XLOOKUP($B226,'Cronog. e Histog.'!$BZ:$BZ,'Cronog. e Histog.'!EH:EH),"")</f>
        <v>0</v>
      </c>
      <c r="BN226" s="144">
        <f>IFERROR(_xlfn.XLOOKUP($B226,'Cronog. e Histog.'!$BZ:$BZ,'Cronog. e Histog.'!EI:EI),"")</f>
        <v>0</v>
      </c>
    </row>
    <row r="227" spans="2:66" ht="12" hidden="1" customHeight="1" outlineLevel="1">
      <c r="B227" s="76">
        <v>221</v>
      </c>
      <c r="C227" s="143" t="str">
        <f>IFERROR(VLOOKUP(B227,'Cronog. e Histog.'!$BZ$213:$CA$747,2,0),"")</f>
        <v>GER. (OBRA/PROJ)</v>
      </c>
      <c r="D227" s="144">
        <f t="shared" si="6"/>
        <v>0</v>
      </c>
      <c r="E227" s="144">
        <f t="shared" si="7"/>
        <v>0</v>
      </c>
      <c r="F227" s="65"/>
      <c r="G227" s="144">
        <f>IFERROR(_xlfn.XLOOKUP($B227,'Cronog. e Histog.'!$BZ:$BZ,'Cronog. e Histog.'!CB:CB),"")</f>
        <v>0</v>
      </c>
      <c r="H227" s="144">
        <f>IFERROR(_xlfn.XLOOKUP($B227,'Cronog. e Histog.'!$BZ:$BZ,'Cronog. e Histog.'!CC:CC),"")</f>
        <v>0</v>
      </c>
      <c r="I227" s="144">
        <f>IFERROR(_xlfn.XLOOKUP($B227,'Cronog. e Histog.'!$BZ:$BZ,'Cronog. e Histog.'!CD:CD),"")</f>
        <v>0</v>
      </c>
      <c r="J227" s="144">
        <f>IFERROR(_xlfn.XLOOKUP($B227,'Cronog. e Histog.'!$BZ:$BZ,'Cronog. e Histog.'!CE:CE),"")</f>
        <v>0</v>
      </c>
      <c r="K227" s="144">
        <f>IFERROR(_xlfn.XLOOKUP($B227,'Cronog. e Histog.'!$BZ:$BZ,'Cronog. e Histog.'!CF:CF),"")</f>
        <v>0</v>
      </c>
      <c r="L227" s="144">
        <f>IFERROR(_xlfn.XLOOKUP($B227,'Cronog. e Histog.'!$BZ:$BZ,'Cronog. e Histog.'!CG:CG),"")</f>
        <v>0</v>
      </c>
      <c r="M227" s="144">
        <f>IFERROR(_xlfn.XLOOKUP($B227,'Cronog. e Histog.'!$BZ:$BZ,'Cronog. e Histog.'!CH:CH),"")</f>
        <v>0</v>
      </c>
      <c r="N227" s="144">
        <f>IFERROR(_xlfn.XLOOKUP($B227,'Cronog. e Histog.'!$BZ:$BZ,'Cronog. e Histog.'!CI:CI),"")</f>
        <v>0</v>
      </c>
      <c r="O227" s="144">
        <f>IFERROR(_xlfn.XLOOKUP($B227,'Cronog. e Histog.'!$BZ:$BZ,'Cronog. e Histog.'!CJ:CJ),"")</f>
        <v>0</v>
      </c>
      <c r="P227" s="144">
        <f>IFERROR(_xlfn.XLOOKUP($B227,'Cronog. e Histog.'!$BZ:$BZ,'Cronog. e Histog.'!CK:CK),"")</f>
        <v>0</v>
      </c>
      <c r="Q227" s="144">
        <f>IFERROR(_xlfn.XLOOKUP($B227,'Cronog. e Histog.'!$BZ:$BZ,'Cronog. e Histog.'!CL:CL),"")</f>
        <v>0</v>
      </c>
      <c r="R227" s="144">
        <f>IFERROR(_xlfn.XLOOKUP($B227,'Cronog. e Histog.'!$BZ:$BZ,'Cronog. e Histog.'!CM:CM),"")</f>
        <v>0</v>
      </c>
      <c r="S227" s="144">
        <f>IFERROR(_xlfn.XLOOKUP($B227,'Cronog. e Histog.'!$BZ:$BZ,'Cronog. e Histog.'!CN:CN),"")</f>
        <v>0</v>
      </c>
      <c r="T227" s="144">
        <f>IFERROR(_xlfn.XLOOKUP($B227,'Cronog. e Histog.'!$BZ:$BZ,'Cronog. e Histog.'!CO:CO),"")</f>
        <v>0</v>
      </c>
      <c r="U227" s="144">
        <f>IFERROR(_xlfn.XLOOKUP($B227,'Cronog. e Histog.'!$BZ:$BZ,'Cronog. e Histog.'!CP:CP),"")</f>
        <v>0</v>
      </c>
      <c r="V227" s="144">
        <f>IFERROR(_xlfn.XLOOKUP($B227,'Cronog. e Histog.'!$BZ:$BZ,'Cronog. e Histog.'!CQ:CQ),"")</f>
        <v>0</v>
      </c>
      <c r="W227" s="144">
        <f>IFERROR(_xlfn.XLOOKUP($B227,'Cronog. e Histog.'!$BZ:$BZ,'Cronog. e Histog.'!CR:CR),"")</f>
        <v>0</v>
      </c>
      <c r="X227" s="144">
        <f>IFERROR(_xlfn.XLOOKUP($B227,'Cronog. e Histog.'!$BZ:$BZ,'Cronog. e Histog.'!CS:CS),"")</f>
        <v>0</v>
      </c>
      <c r="Y227" s="144">
        <f>IFERROR(_xlfn.XLOOKUP($B227,'Cronog. e Histog.'!$BZ:$BZ,'Cronog. e Histog.'!CT:CT),"")</f>
        <v>0</v>
      </c>
      <c r="Z227" s="144">
        <f>IFERROR(_xlfn.XLOOKUP($B227,'Cronog. e Histog.'!$BZ:$BZ,'Cronog. e Histog.'!CU:CU),"")</f>
        <v>0</v>
      </c>
      <c r="AA227" s="144">
        <f>IFERROR(_xlfn.XLOOKUP($B227,'Cronog. e Histog.'!$BZ:$BZ,'Cronog. e Histog.'!CV:CV),"")</f>
        <v>0</v>
      </c>
      <c r="AB227" s="144">
        <f>IFERROR(_xlfn.XLOOKUP($B227,'Cronog. e Histog.'!$BZ:$BZ,'Cronog. e Histog.'!CW:CW),"")</f>
        <v>0</v>
      </c>
      <c r="AC227" s="144">
        <f>IFERROR(_xlfn.XLOOKUP($B227,'Cronog. e Histog.'!$BZ:$BZ,'Cronog. e Histog.'!CX:CX),"")</f>
        <v>0</v>
      </c>
      <c r="AD227" s="144">
        <f>IFERROR(_xlfn.XLOOKUP($B227,'Cronog. e Histog.'!$BZ:$BZ,'Cronog. e Histog.'!CY:CY),"")</f>
        <v>0</v>
      </c>
      <c r="AE227" s="144">
        <f>IFERROR(_xlfn.XLOOKUP($B227,'Cronog. e Histog.'!$BZ:$BZ,'Cronog. e Histog.'!CZ:CZ),"")</f>
        <v>0</v>
      </c>
      <c r="AF227" s="144">
        <f>IFERROR(_xlfn.XLOOKUP($B227,'Cronog. e Histog.'!$BZ:$BZ,'Cronog. e Histog.'!DA:DA),"")</f>
        <v>0</v>
      </c>
      <c r="AG227" s="144">
        <f>IFERROR(_xlfn.XLOOKUP($B227,'Cronog. e Histog.'!$BZ:$BZ,'Cronog. e Histog.'!DB:DB),"")</f>
        <v>0</v>
      </c>
      <c r="AH227" s="144">
        <f>IFERROR(_xlfn.XLOOKUP($B227,'Cronog. e Histog.'!$BZ:$BZ,'Cronog. e Histog.'!DC:DC),"")</f>
        <v>0</v>
      </c>
      <c r="AI227" s="144">
        <f>IFERROR(_xlfn.XLOOKUP($B227,'Cronog. e Histog.'!$BZ:$BZ,'Cronog. e Histog.'!DD:DD),"")</f>
        <v>0</v>
      </c>
      <c r="AJ227" s="144">
        <f>IFERROR(_xlfn.XLOOKUP($B227,'Cronog. e Histog.'!$BZ:$BZ,'Cronog. e Histog.'!DE:DE),"")</f>
        <v>0</v>
      </c>
      <c r="AK227" s="144">
        <f>IFERROR(_xlfn.XLOOKUP($B227,'Cronog. e Histog.'!$BZ:$BZ,'Cronog. e Histog.'!DF:DF),"")</f>
        <v>0</v>
      </c>
      <c r="AL227" s="144">
        <f>IFERROR(_xlfn.XLOOKUP($B227,'Cronog. e Histog.'!$BZ:$BZ,'Cronog. e Histog.'!DG:DG),"")</f>
        <v>0</v>
      </c>
      <c r="AM227" s="144">
        <f>IFERROR(_xlfn.XLOOKUP($B227,'Cronog. e Histog.'!$BZ:$BZ,'Cronog. e Histog.'!DH:DH),"")</f>
        <v>0</v>
      </c>
      <c r="AN227" s="144">
        <f>IFERROR(_xlfn.XLOOKUP($B227,'Cronog. e Histog.'!$BZ:$BZ,'Cronog. e Histog.'!DI:DI),"")</f>
        <v>0</v>
      </c>
      <c r="AO227" s="144">
        <f>IFERROR(_xlfn.XLOOKUP($B227,'Cronog. e Histog.'!$BZ:$BZ,'Cronog. e Histog.'!DJ:DJ),"")</f>
        <v>0</v>
      </c>
      <c r="AP227" s="144">
        <f>IFERROR(_xlfn.XLOOKUP($B227,'Cronog. e Histog.'!$BZ:$BZ,'Cronog. e Histog.'!DK:DK),"")</f>
        <v>0</v>
      </c>
      <c r="AQ227" s="144">
        <f>IFERROR(_xlfn.XLOOKUP($B227,'Cronog. e Histog.'!$BZ:$BZ,'Cronog. e Histog.'!DL:DL),"")</f>
        <v>0</v>
      </c>
      <c r="AR227" s="144">
        <f>IFERROR(_xlfn.XLOOKUP($B227,'Cronog. e Histog.'!$BZ:$BZ,'Cronog. e Histog.'!DM:DM),"")</f>
        <v>0</v>
      </c>
      <c r="AS227" s="144">
        <f>IFERROR(_xlfn.XLOOKUP($B227,'Cronog. e Histog.'!$BZ:$BZ,'Cronog. e Histog.'!DN:DN),"")</f>
        <v>0</v>
      </c>
      <c r="AT227" s="144">
        <f>IFERROR(_xlfn.XLOOKUP($B227,'Cronog. e Histog.'!$BZ:$BZ,'Cronog. e Histog.'!DO:DO),"")</f>
        <v>0</v>
      </c>
      <c r="AU227" s="144">
        <f>IFERROR(_xlfn.XLOOKUP($B227,'Cronog. e Histog.'!$BZ:$BZ,'Cronog. e Histog.'!DP:DP),"")</f>
        <v>0</v>
      </c>
      <c r="AV227" s="144">
        <f>IFERROR(_xlfn.XLOOKUP($B227,'Cronog. e Histog.'!$BZ:$BZ,'Cronog. e Histog.'!DQ:DQ),"")</f>
        <v>0</v>
      </c>
      <c r="AW227" s="144">
        <f>IFERROR(_xlfn.XLOOKUP($B227,'Cronog. e Histog.'!$BZ:$BZ,'Cronog. e Histog.'!DR:DR),"")</f>
        <v>0</v>
      </c>
      <c r="AX227" s="144">
        <f>IFERROR(_xlfn.XLOOKUP($B227,'Cronog. e Histog.'!$BZ:$BZ,'Cronog. e Histog.'!DS:DS),"")</f>
        <v>0</v>
      </c>
      <c r="AY227" s="144">
        <f>IFERROR(_xlfn.XLOOKUP($B227,'Cronog. e Histog.'!$BZ:$BZ,'Cronog. e Histog.'!DT:DT),"")</f>
        <v>0</v>
      </c>
      <c r="AZ227" s="144">
        <f>IFERROR(_xlfn.XLOOKUP($B227,'Cronog. e Histog.'!$BZ:$BZ,'Cronog. e Histog.'!DU:DU),"")</f>
        <v>0</v>
      </c>
      <c r="BA227" s="144">
        <f>IFERROR(_xlfn.XLOOKUP($B227,'Cronog. e Histog.'!$BZ:$BZ,'Cronog. e Histog.'!DV:DV),"")</f>
        <v>0</v>
      </c>
      <c r="BB227" s="144">
        <f>IFERROR(_xlfn.XLOOKUP($B227,'Cronog. e Histog.'!$BZ:$BZ,'Cronog. e Histog.'!DW:DW),"")</f>
        <v>0</v>
      </c>
      <c r="BC227" s="144">
        <f>IFERROR(_xlfn.XLOOKUP($B227,'Cronog. e Histog.'!$BZ:$BZ,'Cronog. e Histog.'!DX:DX),"")</f>
        <v>0</v>
      </c>
      <c r="BD227" s="144">
        <f>IFERROR(_xlfn.XLOOKUP($B227,'Cronog. e Histog.'!$BZ:$BZ,'Cronog. e Histog.'!DY:DY),"")</f>
        <v>0</v>
      </c>
      <c r="BE227" s="144">
        <f>IFERROR(_xlfn.XLOOKUP($B227,'Cronog. e Histog.'!$BZ:$BZ,'Cronog. e Histog.'!DZ:DZ),"")</f>
        <v>0</v>
      </c>
      <c r="BF227" s="144">
        <f>IFERROR(_xlfn.XLOOKUP($B227,'Cronog. e Histog.'!$BZ:$BZ,'Cronog. e Histog.'!EA:EA),"")</f>
        <v>0</v>
      </c>
      <c r="BG227" s="144">
        <f>IFERROR(_xlfn.XLOOKUP($B227,'Cronog. e Histog.'!$BZ:$BZ,'Cronog. e Histog.'!EB:EB),"")</f>
        <v>0</v>
      </c>
      <c r="BH227" s="144">
        <f>IFERROR(_xlfn.XLOOKUP($B227,'Cronog. e Histog.'!$BZ:$BZ,'Cronog. e Histog.'!EC:EC),"")</f>
        <v>0</v>
      </c>
      <c r="BI227" s="144">
        <f>IFERROR(_xlfn.XLOOKUP($B227,'Cronog. e Histog.'!$BZ:$BZ,'Cronog. e Histog.'!ED:ED),"")</f>
        <v>0</v>
      </c>
      <c r="BJ227" s="144">
        <f>IFERROR(_xlfn.XLOOKUP($B227,'Cronog. e Histog.'!$BZ:$BZ,'Cronog. e Histog.'!EE:EE),"")</f>
        <v>0</v>
      </c>
      <c r="BK227" s="144">
        <f>IFERROR(_xlfn.XLOOKUP($B227,'Cronog. e Histog.'!$BZ:$BZ,'Cronog. e Histog.'!EF:EF),"")</f>
        <v>0</v>
      </c>
      <c r="BL227" s="144">
        <f>IFERROR(_xlfn.XLOOKUP($B227,'Cronog. e Histog.'!$BZ:$BZ,'Cronog. e Histog.'!EG:EG),"")</f>
        <v>0</v>
      </c>
      <c r="BM227" s="144">
        <f>IFERROR(_xlfn.XLOOKUP($B227,'Cronog. e Histog.'!$BZ:$BZ,'Cronog. e Histog.'!EH:EH),"")</f>
        <v>0</v>
      </c>
      <c r="BN227" s="144">
        <f>IFERROR(_xlfn.XLOOKUP($B227,'Cronog. e Histog.'!$BZ:$BZ,'Cronog. e Histog.'!EI:EI),"")</f>
        <v>0</v>
      </c>
    </row>
    <row r="228" spans="2:66" ht="12" hidden="1" customHeight="1" outlineLevel="1">
      <c r="B228" s="76">
        <v>222</v>
      </c>
      <c r="C228" s="143" t="str">
        <f>IFERROR(VLOOKUP(B228,'Cronog. e Histog.'!$BZ$213:$CA$747,2,0),"")</f>
        <v>COORD.</v>
      </c>
      <c r="D228" s="144">
        <f t="shared" si="6"/>
        <v>0</v>
      </c>
      <c r="E228" s="144">
        <f t="shared" si="7"/>
        <v>0</v>
      </c>
      <c r="F228" s="65"/>
      <c r="G228" s="144">
        <f>IFERROR(_xlfn.XLOOKUP($B228,'Cronog. e Histog.'!$BZ:$BZ,'Cronog. e Histog.'!CB:CB),"")</f>
        <v>0</v>
      </c>
      <c r="H228" s="144">
        <f>IFERROR(_xlfn.XLOOKUP($B228,'Cronog. e Histog.'!$BZ:$BZ,'Cronog. e Histog.'!CC:CC),"")</f>
        <v>0</v>
      </c>
      <c r="I228" s="144">
        <f>IFERROR(_xlfn.XLOOKUP($B228,'Cronog. e Histog.'!$BZ:$BZ,'Cronog. e Histog.'!CD:CD),"")</f>
        <v>0</v>
      </c>
      <c r="J228" s="144">
        <f>IFERROR(_xlfn.XLOOKUP($B228,'Cronog. e Histog.'!$BZ:$BZ,'Cronog. e Histog.'!CE:CE),"")</f>
        <v>0</v>
      </c>
      <c r="K228" s="144">
        <f>IFERROR(_xlfn.XLOOKUP($B228,'Cronog. e Histog.'!$BZ:$BZ,'Cronog. e Histog.'!CF:CF),"")</f>
        <v>0</v>
      </c>
      <c r="L228" s="144">
        <f>IFERROR(_xlfn.XLOOKUP($B228,'Cronog. e Histog.'!$BZ:$BZ,'Cronog. e Histog.'!CG:CG),"")</f>
        <v>0</v>
      </c>
      <c r="M228" s="144">
        <f>IFERROR(_xlfn.XLOOKUP($B228,'Cronog. e Histog.'!$BZ:$BZ,'Cronog. e Histog.'!CH:CH),"")</f>
        <v>0</v>
      </c>
      <c r="N228" s="144">
        <f>IFERROR(_xlfn.XLOOKUP($B228,'Cronog. e Histog.'!$BZ:$BZ,'Cronog. e Histog.'!CI:CI),"")</f>
        <v>0</v>
      </c>
      <c r="O228" s="144">
        <f>IFERROR(_xlfn.XLOOKUP($B228,'Cronog. e Histog.'!$BZ:$BZ,'Cronog. e Histog.'!CJ:CJ),"")</f>
        <v>0</v>
      </c>
      <c r="P228" s="144">
        <f>IFERROR(_xlfn.XLOOKUP($B228,'Cronog. e Histog.'!$BZ:$BZ,'Cronog. e Histog.'!CK:CK),"")</f>
        <v>0</v>
      </c>
      <c r="Q228" s="144">
        <f>IFERROR(_xlfn.XLOOKUP($B228,'Cronog. e Histog.'!$BZ:$BZ,'Cronog. e Histog.'!CL:CL),"")</f>
        <v>0</v>
      </c>
      <c r="R228" s="144">
        <f>IFERROR(_xlfn.XLOOKUP($B228,'Cronog. e Histog.'!$BZ:$BZ,'Cronog. e Histog.'!CM:CM),"")</f>
        <v>0</v>
      </c>
      <c r="S228" s="144">
        <f>IFERROR(_xlfn.XLOOKUP($B228,'Cronog. e Histog.'!$BZ:$BZ,'Cronog. e Histog.'!CN:CN),"")</f>
        <v>0</v>
      </c>
      <c r="T228" s="144">
        <f>IFERROR(_xlfn.XLOOKUP($B228,'Cronog. e Histog.'!$BZ:$BZ,'Cronog. e Histog.'!CO:CO),"")</f>
        <v>0</v>
      </c>
      <c r="U228" s="144">
        <f>IFERROR(_xlfn.XLOOKUP($B228,'Cronog. e Histog.'!$BZ:$BZ,'Cronog. e Histog.'!CP:CP),"")</f>
        <v>0</v>
      </c>
      <c r="V228" s="144">
        <f>IFERROR(_xlfn.XLOOKUP($B228,'Cronog. e Histog.'!$BZ:$BZ,'Cronog. e Histog.'!CQ:CQ),"")</f>
        <v>0</v>
      </c>
      <c r="W228" s="144">
        <f>IFERROR(_xlfn.XLOOKUP($B228,'Cronog. e Histog.'!$BZ:$BZ,'Cronog. e Histog.'!CR:CR),"")</f>
        <v>0</v>
      </c>
      <c r="X228" s="144">
        <f>IFERROR(_xlfn.XLOOKUP($B228,'Cronog. e Histog.'!$BZ:$BZ,'Cronog. e Histog.'!CS:CS),"")</f>
        <v>0</v>
      </c>
      <c r="Y228" s="144">
        <f>IFERROR(_xlfn.XLOOKUP($B228,'Cronog. e Histog.'!$BZ:$BZ,'Cronog. e Histog.'!CT:CT),"")</f>
        <v>0</v>
      </c>
      <c r="Z228" s="144">
        <f>IFERROR(_xlfn.XLOOKUP($B228,'Cronog. e Histog.'!$BZ:$BZ,'Cronog. e Histog.'!CU:CU),"")</f>
        <v>0</v>
      </c>
      <c r="AA228" s="144">
        <f>IFERROR(_xlfn.XLOOKUP($B228,'Cronog. e Histog.'!$BZ:$BZ,'Cronog. e Histog.'!CV:CV),"")</f>
        <v>0</v>
      </c>
      <c r="AB228" s="144">
        <f>IFERROR(_xlfn.XLOOKUP($B228,'Cronog. e Histog.'!$BZ:$BZ,'Cronog. e Histog.'!CW:CW),"")</f>
        <v>0</v>
      </c>
      <c r="AC228" s="144">
        <f>IFERROR(_xlfn.XLOOKUP($B228,'Cronog. e Histog.'!$BZ:$BZ,'Cronog. e Histog.'!CX:CX),"")</f>
        <v>0</v>
      </c>
      <c r="AD228" s="144">
        <f>IFERROR(_xlfn.XLOOKUP($B228,'Cronog. e Histog.'!$BZ:$BZ,'Cronog. e Histog.'!CY:CY),"")</f>
        <v>0</v>
      </c>
      <c r="AE228" s="144">
        <f>IFERROR(_xlfn.XLOOKUP($B228,'Cronog. e Histog.'!$BZ:$BZ,'Cronog. e Histog.'!CZ:CZ),"")</f>
        <v>0</v>
      </c>
      <c r="AF228" s="144">
        <f>IFERROR(_xlfn.XLOOKUP($B228,'Cronog. e Histog.'!$BZ:$BZ,'Cronog. e Histog.'!DA:DA),"")</f>
        <v>0</v>
      </c>
      <c r="AG228" s="144">
        <f>IFERROR(_xlfn.XLOOKUP($B228,'Cronog. e Histog.'!$BZ:$BZ,'Cronog. e Histog.'!DB:DB),"")</f>
        <v>0</v>
      </c>
      <c r="AH228" s="144">
        <f>IFERROR(_xlfn.XLOOKUP($B228,'Cronog. e Histog.'!$BZ:$BZ,'Cronog. e Histog.'!DC:DC),"")</f>
        <v>0</v>
      </c>
      <c r="AI228" s="144">
        <f>IFERROR(_xlfn.XLOOKUP($B228,'Cronog. e Histog.'!$BZ:$BZ,'Cronog. e Histog.'!DD:DD),"")</f>
        <v>0</v>
      </c>
      <c r="AJ228" s="144">
        <f>IFERROR(_xlfn.XLOOKUP($B228,'Cronog. e Histog.'!$BZ:$BZ,'Cronog. e Histog.'!DE:DE),"")</f>
        <v>0</v>
      </c>
      <c r="AK228" s="144">
        <f>IFERROR(_xlfn.XLOOKUP($B228,'Cronog. e Histog.'!$BZ:$BZ,'Cronog. e Histog.'!DF:DF),"")</f>
        <v>0</v>
      </c>
      <c r="AL228" s="144">
        <f>IFERROR(_xlfn.XLOOKUP($B228,'Cronog. e Histog.'!$BZ:$BZ,'Cronog. e Histog.'!DG:DG),"")</f>
        <v>0</v>
      </c>
      <c r="AM228" s="144">
        <f>IFERROR(_xlfn.XLOOKUP($B228,'Cronog. e Histog.'!$BZ:$BZ,'Cronog. e Histog.'!DH:DH),"")</f>
        <v>0</v>
      </c>
      <c r="AN228" s="144">
        <f>IFERROR(_xlfn.XLOOKUP($B228,'Cronog. e Histog.'!$BZ:$BZ,'Cronog. e Histog.'!DI:DI),"")</f>
        <v>0</v>
      </c>
      <c r="AO228" s="144">
        <f>IFERROR(_xlfn.XLOOKUP($B228,'Cronog. e Histog.'!$BZ:$BZ,'Cronog. e Histog.'!DJ:DJ),"")</f>
        <v>0</v>
      </c>
      <c r="AP228" s="144">
        <f>IFERROR(_xlfn.XLOOKUP($B228,'Cronog. e Histog.'!$BZ:$BZ,'Cronog. e Histog.'!DK:DK),"")</f>
        <v>0</v>
      </c>
      <c r="AQ228" s="144">
        <f>IFERROR(_xlfn.XLOOKUP($B228,'Cronog. e Histog.'!$BZ:$BZ,'Cronog. e Histog.'!DL:DL),"")</f>
        <v>0</v>
      </c>
      <c r="AR228" s="144">
        <f>IFERROR(_xlfn.XLOOKUP($B228,'Cronog. e Histog.'!$BZ:$BZ,'Cronog. e Histog.'!DM:DM),"")</f>
        <v>0</v>
      </c>
      <c r="AS228" s="144">
        <f>IFERROR(_xlfn.XLOOKUP($B228,'Cronog. e Histog.'!$BZ:$BZ,'Cronog. e Histog.'!DN:DN),"")</f>
        <v>0</v>
      </c>
      <c r="AT228" s="144">
        <f>IFERROR(_xlfn.XLOOKUP($B228,'Cronog. e Histog.'!$BZ:$BZ,'Cronog. e Histog.'!DO:DO),"")</f>
        <v>0</v>
      </c>
      <c r="AU228" s="144">
        <f>IFERROR(_xlfn.XLOOKUP($B228,'Cronog. e Histog.'!$BZ:$BZ,'Cronog. e Histog.'!DP:DP),"")</f>
        <v>0</v>
      </c>
      <c r="AV228" s="144">
        <f>IFERROR(_xlfn.XLOOKUP($B228,'Cronog. e Histog.'!$BZ:$BZ,'Cronog. e Histog.'!DQ:DQ),"")</f>
        <v>0</v>
      </c>
      <c r="AW228" s="144">
        <f>IFERROR(_xlfn.XLOOKUP($B228,'Cronog. e Histog.'!$BZ:$BZ,'Cronog. e Histog.'!DR:DR),"")</f>
        <v>0</v>
      </c>
      <c r="AX228" s="144">
        <f>IFERROR(_xlfn.XLOOKUP($B228,'Cronog. e Histog.'!$BZ:$BZ,'Cronog. e Histog.'!DS:DS),"")</f>
        <v>0</v>
      </c>
      <c r="AY228" s="144">
        <f>IFERROR(_xlfn.XLOOKUP($B228,'Cronog. e Histog.'!$BZ:$BZ,'Cronog. e Histog.'!DT:DT),"")</f>
        <v>0</v>
      </c>
      <c r="AZ228" s="144">
        <f>IFERROR(_xlfn.XLOOKUP($B228,'Cronog. e Histog.'!$BZ:$BZ,'Cronog. e Histog.'!DU:DU),"")</f>
        <v>0</v>
      </c>
      <c r="BA228" s="144">
        <f>IFERROR(_xlfn.XLOOKUP($B228,'Cronog. e Histog.'!$BZ:$BZ,'Cronog. e Histog.'!DV:DV),"")</f>
        <v>0</v>
      </c>
      <c r="BB228" s="144">
        <f>IFERROR(_xlfn.XLOOKUP($B228,'Cronog. e Histog.'!$BZ:$BZ,'Cronog. e Histog.'!DW:DW),"")</f>
        <v>0</v>
      </c>
      <c r="BC228" s="144">
        <f>IFERROR(_xlfn.XLOOKUP($B228,'Cronog. e Histog.'!$BZ:$BZ,'Cronog. e Histog.'!DX:DX),"")</f>
        <v>0</v>
      </c>
      <c r="BD228" s="144">
        <f>IFERROR(_xlfn.XLOOKUP($B228,'Cronog. e Histog.'!$BZ:$BZ,'Cronog. e Histog.'!DY:DY),"")</f>
        <v>0</v>
      </c>
      <c r="BE228" s="144">
        <f>IFERROR(_xlfn.XLOOKUP($B228,'Cronog. e Histog.'!$BZ:$BZ,'Cronog. e Histog.'!DZ:DZ),"")</f>
        <v>0</v>
      </c>
      <c r="BF228" s="144">
        <f>IFERROR(_xlfn.XLOOKUP($B228,'Cronog. e Histog.'!$BZ:$BZ,'Cronog. e Histog.'!EA:EA),"")</f>
        <v>0</v>
      </c>
      <c r="BG228" s="144">
        <f>IFERROR(_xlfn.XLOOKUP($B228,'Cronog. e Histog.'!$BZ:$BZ,'Cronog. e Histog.'!EB:EB),"")</f>
        <v>0</v>
      </c>
      <c r="BH228" s="144">
        <f>IFERROR(_xlfn.XLOOKUP($B228,'Cronog. e Histog.'!$BZ:$BZ,'Cronog. e Histog.'!EC:EC),"")</f>
        <v>0</v>
      </c>
      <c r="BI228" s="144">
        <f>IFERROR(_xlfn.XLOOKUP($B228,'Cronog. e Histog.'!$BZ:$BZ,'Cronog. e Histog.'!ED:ED),"")</f>
        <v>0</v>
      </c>
      <c r="BJ228" s="144">
        <f>IFERROR(_xlfn.XLOOKUP($B228,'Cronog. e Histog.'!$BZ:$BZ,'Cronog. e Histog.'!EE:EE),"")</f>
        <v>0</v>
      </c>
      <c r="BK228" s="144">
        <f>IFERROR(_xlfn.XLOOKUP($B228,'Cronog. e Histog.'!$BZ:$BZ,'Cronog. e Histog.'!EF:EF),"")</f>
        <v>0</v>
      </c>
      <c r="BL228" s="144">
        <f>IFERROR(_xlfn.XLOOKUP($B228,'Cronog. e Histog.'!$BZ:$BZ,'Cronog. e Histog.'!EG:EG),"")</f>
        <v>0</v>
      </c>
      <c r="BM228" s="144">
        <f>IFERROR(_xlfn.XLOOKUP($B228,'Cronog. e Histog.'!$BZ:$BZ,'Cronog. e Histog.'!EH:EH),"")</f>
        <v>0</v>
      </c>
      <c r="BN228" s="144">
        <f>IFERROR(_xlfn.XLOOKUP($B228,'Cronog. e Histog.'!$BZ:$BZ,'Cronog. e Histog.'!EI:EI),"")</f>
        <v>0</v>
      </c>
    </row>
    <row r="229" spans="2:66" ht="12" hidden="1" customHeight="1" outlineLevel="1">
      <c r="B229" s="76">
        <v>223</v>
      </c>
      <c r="C229" s="143" t="str">
        <f>IFERROR(VLOOKUP(B229,'Cronog. e Histog.'!$BZ$213:$CA$747,2,0),"")</f>
        <v>SUP.-ESP</v>
      </c>
      <c r="D229" s="144">
        <f t="shared" si="6"/>
        <v>0</v>
      </c>
      <c r="E229" s="144">
        <f t="shared" si="7"/>
        <v>0</v>
      </c>
      <c r="F229" s="65"/>
      <c r="G229" s="144">
        <f>IFERROR(_xlfn.XLOOKUP($B229,'Cronog. e Histog.'!$BZ:$BZ,'Cronog. e Histog.'!CB:CB),"")</f>
        <v>0</v>
      </c>
      <c r="H229" s="144">
        <f>IFERROR(_xlfn.XLOOKUP($B229,'Cronog. e Histog.'!$BZ:$BZ,'Cronog. e Histog.'!CC:CC),"")</f>
        <v>0</v>
      </c>
      <c r="I229" s="144">
        <f>IFERROR(_xlfn.XLOOKUP($B229,'Cronog. e Histog.'!$BZ:$BZ,'Cronog. e Histog.'!CD:CD),"")</f>
        <v>0</v>
      </c>
      <c r="J229" s="144">
        <f>IFERROR(_xlfn.XLOOKUP($B229,'Cronog. e Histog.'!$BZ:$BZ,'Cronog. e Histog.'!CE:CE),"")</f>
        <v>0</v>
      </c>
      <c r="K229" s="144">
        <f>IFERROR(_xlfn.XLOOKUP($B229,'Cronog. e Histog.'!$BZ:$BZ,'Cronog. e Histog.'!CF:CF),"")</f>
        <v>0</v>
      </c>
      <c r="L229" s="144">
        <f>IFERROR(_xlfn.XLOOKUP($B229,'Cronog. e Histog.'!$BZ:$BZ,'Cronog. e Histog.'!CG:CG),"")</f>
        <v>0</v>
      </c>
      <c r="M229" s="144">
        <f>IFERROR(_xlfn.XLOOKUP($B229,'Cronog. e Histog.'!$BZ:$BZ,'Cronog. e Histog.'!CH:CH),"")</f>
        <v>0</v>
      </c>
      <c r="N229" s="144">
        <f>IFERROR(_xlfn.XLOOKUP($B229,'Cronog. e Histog.'!$BZ:$BZ,'Cronog. e Histog.'!CI:CI),"")</f>
        <v>0</v>
      </c>
      <c r="O229" s="144">
        <f>IFERROR(_xlfn.XLOOKUP($B229,'Cronog. e Histog.'!$BZ:$BZ,'Cronog. e Histog.'!CJ:CJ),"")</f>
        <v>0</v>
      </c>
      <c r="P229" s="144">
        <f>IFERROR(_xlfn.XLOOKUP($B229,'Cronog. e Histog.'!$BZ:$BZ,'Cronog. e Histog.'!CK:CK),"")</f>
        <v>0</v>
      </c>
      <c r="Q229" s="144">
        <f>IFERROR(_xlfn.XLOOKUP($B229,'Cronog. e Histog.'!$BZ:$BZ,'Cronog. e Histog.'!CL:CL),"")</f>
        <v>0</v>
      </c>
      <c r="R229" s="144">
        <f>IFERROR(_xlfn.XLOOKUP($B229,'Cronog. e Histog.'!$BZ:$BZ,'Cronog. e Histog.'!CM:CM),"")</f>
        <v>0</v>
      </c>
      <c r="S229" s="144">
        <f>IFERROR(_xlfn.XLOOKUP($B229,'Cronog. e Histog.'!$BZ:$BZ,'Cronog. e Histog.'!CN:CN),"")</f>
        <v>0</v>
      </c>
      <c r="T229" s="144">
        <f>IFERROR(_xlfn.XLOOKUP($B229,'Cronog. e Histog.'!$BZ:$BZ,'Cronog. e Histog.'!CO:CO),"")</f>
        <v>0</v>
      </c>
      <c r="U229" s="144">
        <f>IFERROR(_xlfn.XLOOKUP($B229,'Cronog. e Histog.'!$BZ:$BZ,'Cronog. e Histog.'!CP:CP),"")</f>
        <v>0</v>
      </c>
      <c r="V229" s="144">
        <f>IFERROR(_xlfn.XLOOKUP($B229,'Cronog. e Histog.'!$BZ:$BZ,'Cronog. e Histog.'!CQ:CQ),"")</f>
        <v>0</v>
      </c>
      <c r="W229" s="144">
        <f>IFERROR(_xlfn.XLOOKUP($B229,'Cronog. e Histog.'!$BZ:$BZ,'Cronog. e Histog.'!CR:CR),"")</f>
        <v>0</v>
      </c>
      <c r="X229" s="144">
        <f>IFERROR(_xlfn.XLOOKUP($B229,'Cronog. e Histog.'!$BZ:$BZ,'Cronog. e Histog.'!CS:CS),"")</f>
        <v>0</v>
      </c>
      <c r="Y229" s="144">
        <f>IFERROR(_xlfn.XLOOKUP($B229,'Cronog. e Histog.'!$BZ:$BZ,'Cronog. e Histog.'!CT:CT),"")</f>
        <v>0</v>
      </c>
      <c r="Z229" s="144">
        <f>IFERROR(_xlfn.XLOOKUP($B229,'Cronog. e Histog.'!$BZ:$BZ,'Cronog. e Histog.'!CU:CU),"")</f>
        <v>0</v>
      </c>
      <c r="AA229" s="144">
        <f>IFERROR(_xlfn.XLOOKUP($B229,'Cronog. e Histog.'!$BZ:$BZ,'Cronog. e Histog.'!CV:CV),"")</f>
        <v>0</v>
      </c>
      <c r="AB229" s="144">
        <f>IFERROR(_xlfn.XLOOKUP($B229,'Cronog. e Histog.'!$BZ:$BZ,'Cronog. e Histog.'!CW:CW),"")</f>
        <v>0</v>
      </c>
      <c r="AC229" s="144">
        <f>IFERROR(_xlfn.XLOOKUP($B229,'Cronog. e Histog.'!$BZ:$BZ,'Cronog. e Histog.'!CX:CX),"")</f>
        <v>0</v>
      </c>
      <c r="AD229" s="144">
        <f>IFERROR(_xlfn.XLOOKUP($B229,'Cronog. e Histog.'!$BZ:$BZ,'Cronog. e Histog.'!CY:CY),"")</f>
        <v>0</v>
      </c>
      <c r="AE229" s="144">
        <f>IFERROR(_xlfn.XLOOKUP($B229,'Cronog. e Histog.'!$BZ:$BZ,'Cronog. e Histog.'!CZ:CZ),"")</f>
        <v>0</v>
      </c>
      <c r="AF229" s="144">
        <f>IFERROR(_xlfn.XLOOKUP($B229,'Cronog. e Histog.'!$BZ:$BZ,'Cronog. e Histog.'!DA:DA),"")</f>
        <v>0</v>
      </c>
      <c r="AG229" s="144">
        <f>IFERROR(_xlfn.XLOOKUP($B229,'Cronog. e Histog.'!$BZ:$BZ,'Cronog. e Histog.'!DB:DB),"")</f>
        <v>0</v>
      </c>
      <c r="AH229" s="144">
        <f>IFERROR(_xlfn.XLOOKUP($B229,'Cronog. e Histog.'!$BZ:$BZ,'Cronog. e Histog.'!DC:DC),"")</f>
        <v>0</v>
      </c>
      <c r="AI229" s="144">
        <f>IFERROR(_xlfn.XLOOKUP($B229,'Cronog. e Histog.'!$BZ:$BZ,'Cronog. e Histog.'!DD:DD),"")</f>
        <v>0</v>
      </c>
      <c r="AJ229" s="144">
        <f>IFERROR(_xlfn.XLOOKUP($B229,'Cronog. e Histog.'!$BZ:$BZ,'Cronog. e Histog.'!DE:DE),"")</f>
        <v>0</v>
      </c>
      <c r="AK229" s="144">
        <f>IFERROR(_xlfn.XLOOKUP($B229,'Cronog. e Histog.'!$BZ:$BZ,'Cronog. e Histog.'!DF:DF),"")</f>
        <v>0</v>
      </c>
      <c r="AL229" s="144">
        <f>IFERROR(_xlfn.XLOOKUP($B229,'Cronog. e Histog.'!$BZ:$BZ,'Cronog. e Histog.'!DG:DG),"")</f>
        <v>0</v>
      </c>
      <c r="AM229" s="144">
        <f>IFERROR(_xlfn.XLOOKUP($B229,'Cronog. e Histog.'!$BZ:$BZ,'Cronog. e Histog.'!DH:DH),"")</f>
        <v>0</v>
      </c>
      <c r="AN229" s="144">
        <f>IFERROR(_xlfn.XLOOKUP($B229,'Cronog. e Histog.'!$BZ:$BZ,'Cronog. e Histog.'!DI:DI),"")</f>
        <v>0</v>
      </c>
      <c r="AO229" s="144">
        <f>IFERROR(_xlfn.XLOOKUP($B229,'Cronog. e Histog.'!$BZ:$BZ,'Cronog. e Histog.'!DJ:DJ),"")</f>
        <v>0</v>
      </c>
      <c r="AP229" s="144">
        <f>IFERROR(_xlfn.XLOOKUP($B229,'Cronog. e Histog.'!$BZ:$BZ,'Cronog. e Histog.'!DK:DK),"")</f>
        <v>0</v>
      </c>
      <c r="AQ229" s="144">
        <f>IFERROR(_xlfn.XLOOKUP($B229,'Cronog. e Histog.'!$BZ:$BZ,'Cronog. e Histog.'!DL:DL),"")</f>
        <v>0</v>
      </c>
      <c r="AR229" s="144">
        <f>IFERROR(_xlfn.XLOOKUP($B229,'Cronog. e Histog.'!$BZ:$BZ,'Cronog. e Histog.'!DM:DM),"")</f>
        <v>0</v>
      </c>
      <c r="AS229" s="144">
        <f>IFERROR(_xlfn.XLOOKUP($B229,'Cronog. e Histog.'!$BZ:$BZ,'Cronog. e Histog.'!DN:DN),"")</f>
        <v>0</v>
      </c>
      <c r="AT229" s="144">
        <f>IFERROR(_xlfn.XLOOKUP($B229,'Cronog. e Histog.'!$BZ:$BZ,'Cronog. e Histog.'!DO:DO),"")</f>
        <v>0</v>
      </c>
      <c r="AU229" s="144">
        <f>IFERROR(_xlfn.XLOOKUP($B229,'Cronog. e Histog.'!$BZ:$BZ,'Cronog. e Histog.'!DP:DP),"")</f>
        <v>0</v>
      </c>
      <c r="AV229" s="144">
        <f>IFERROR(_xlfn.XLOOKUP($B229,'Cronog. e Histog.'!$BZ:$BZ,'Cronog. e Histog.'!DQ:DQ),"")</f>
        <v>0</v>
      </c>
      <c r="AW229" s="144">
        <f>IFERROR(_xlfn.XLOOKUP($B229,'Cronog. e Histog.'!$BZ:$BZ,'Cronog. e Histog.'!DR:DR),"")</f>
        <v>0</v>
      </c>
      <c r="AX229" s="144">
        <f>IFERROR(_xlfn.XLOOKUP($B229,'Cronog. e Histog.'!$BZ:$BZ,'Cronog. e Histog.'!DS:DS),"")</f>
        <v>0</v>
      </c>
      <c r="AY229" s="144">
        <f>IFERROR(_xlfn.XLOOKUP($B229,'Cronog. e Histog.'!$BZ:$BZ,'Cronog. e Histog.'!DT:DT),"")</f>
        <v>0</v>
      </c>
      <c r="AZ229" s="144">
        <f>IFERROR(_xlfn.XLOOKUP($B229,'Cronog. e Histog.'!$BZ:$BZ,'Cronog. e Histog.'!DU:DU),"")</f>
        <v>0</v>
      </c>
      <c r="BA229" s="144">
        <f>IFERROR(_xlfn.XLOOKUP($B229,'Cronog. e Histog.'!$BZ:$BZ,'Cronog. e Histog.'!DV:DV),"")</f>
        <v>0</v>
      </c>
      <c r="BB229" s="144">
        <f>IFERROR(_xlfn.XLOOKUP($B229,'Cronog. e Histog.'!$BZ:$BZ,'Cronog. e Histog.'!DW:DW),"")</f>
        <v>0</v>
      </c>
      <c r="BC229" s="144">
        <f>IFERROR(_xlfn.XLOOKUP($B229,'Cronog. e Histog.'!$BZ:$BZ,'Cronog. e Histog.'!DX:DX),"")</f>
        <v>0</v>
      </c>
      <c r="BD229" s="144">
        <f>IFERROR(_xlfn.XLOOKUP($B229,'Cronog. e Histog.'!$BZ:$BZ,'Cronog. e Histog.'!DY:DY),"")</f>
        <v>0</v>
      </c>
      <c r="BE229" s="144">
        <f>IFERROR(_xlfn.XLOOKUP($B229,'Cronog. e Histog.'!$BZ:$BZ,'Cronog. e Histog.'!DZ:DZ),"")</f>
        <v>0</v>
      </c>
      <c r="BF229" s="144">
        <f>IFERROR(_xlfn.XLOOKUP($B229,'Cronog. e Histog.'!$BZ:$BZ,'Cronog. e Histog.'!EA:EA),"")</f>
        <v>0</v>
      </c>
      <c r="BG229" s="144">
        <f>IFERROR(_xlfn.XLOOKUP($B229,'Cronog. e Histog.'!$BZ:$BZ,'Cronog. e Histog.'!EB:EB),"")</f>
        <v>0</v>
      </c>
      <c r="BH229" s="144">
        <f>IFERROR(_xlfn.XLOOKUP($B229,'Cronog. e Histog.'!$BZ:$BZ,'Cronog. e Histog.'!EC:EC),"")</f>
        <v>0</v>
      </c>
      <c r="BI229" s="144">
        <f>IFERROR(_xlfn.XLOOKUP($B229,'Cronog. e Histog.'!$BZ:$BZ,'Cronog. e Histog.'!ED:ED),"")</f>
        <v>0</v>
      </c>
      <c r="BJ229" s="144">
        <f>IFERROR(_xlfn.XLOOKUP($B229,'Cronog. e Histog.'!$BZ:$BZ,'Cronog. e Histog.'!EE:EE),"")</f>
        <v>0</v>
      </c>
      <c r="BK229" s="144">
        <f>IFERROR(_xlfn.XLOOKUP($B229,'Cronog. e Histog.'!$BZ:$BZ,'Cronog. e Histog.'!EF:EF),"")</f>
        <v>0</v>
      </c>
      <c r="BL229" s="144">
        <f>IFERROR(_xlfn.XLOOKUP($B229,'Cronog. e Histog.'!$BZ:$BZ,'Cronog. e Histog.'!EG:EG),"")</f>
        <v>0</v>
      </c>
      <c r="BM229" s="144">
        <f>IFERROR(_xlfn.XLOOKUP($B229,'Cronog. e Histog.'!$BZ:$BZ,'Cronog. e Histog.'!EH:EH),"")</f>
        <v>0</v>
      </c>
      <c r="BN229" s="144">
        <f>IFERROR(_xlfn.XLOOKUP($B229,'Cronog. e Histog.'!$BZ:$BZ,'Cronog. e Histog.'!EI:EI),"")</f>
        <v>0</v>
      </c>
    </row>
    <row r="230" spans="2:66" ht="12" hidden="1" customHeight="1" outlineLevel="1">
      <c r="B230" s="76">
        <v>224</v>
      </c>
      <c r="C230" s="143" t="str">
        <f>IFERROR(VLOOKUP(B230,'Cronog. e Histog.'!$BZ$213:$CA$747,2,0),"")</f>
        <v>ENG/ARQ SR.</v>
      </c>
      <c r="D230" s="144">
        <f t="shared" si="6"/>
        <v>0</v>
      </c>
      <c r="E230" s="144">
        <f t="shared" si="7"/>
        <v>0</v>
      </c>
      <c r="F230" s="65"/>
      <c r="G230" s="144">
        <f>IFERROR(_xlfn.XLOOKUP($B230,'Cronog. e Histog.'!$BZ:$BZ,'Cronog. e Histog.'!CB:CB),"")</f>
        <v>0</v>
      </c>
      <c r="H230" s="144">
        <f>IFERROR(_xlfn.XLOOKUP($B230,'Cronog. e Histog.'!$BZ:$BZ,'Cronog. e Histog.'!CC:CC),"")</f>
        <v>0</v>
      </c>
      <c r="I230" s="144">
        <f>IFERROR(_xlfn.XLOOKUP($B230,'Cronog. e Histog.'!$BZ:$BZ,'Cronog. e Histog.'!CD:CD),"")</f>
        <v>0</v>
      </c>
      <c r="J230" s="144">
        <f>IFERROR(_xlfn.XLOOKUP($B230,'Cronog. e Histog.'!$BZ:$BZ,'Cronog. e Histog.'!CE:CE),"")</f>
        <v>0</v>
      </c>
      <c r="K230" s="144">
        <f>IFERROR(_xlfn.XLOOKUP($B230,'Cronog. e Histog.'!$BZ:$BZ,'Cronog. e Histog.'!CF:CF),"")</f>
        <v>0</v>
      </c>
      <c r="L230" s="144">
        <f>IFERROR(_xlfn.XLOOKUP($B230,'Cronog. e Histog.'!$BZ:$BZ,'Cronog. e Histog.'!CG:CG),"")</f>
        <v>0</v>
      </c>
      <c r="M230" s="144">
        <f>IFERROR(_xlfn.XLOOKUP($B230,'Cronog. e Histog.'!$BZ:$BZ,'Cronog. e Histog.'!CH:CH),"")</f>
        <v>0</v>
      </c>
      <c r="N230" s="144">
        <f>IFERROR(_xlfn.XLOOKUP($B230,'Cronog. e Histog.'!$BZ:$BZ,'Cronog. e Histog.'!CI:CI),"")</f>
        <v>0</v>
      </c>
      <c r="O230" s="144">
        <f>IFERROR(_xlfn.XLOOKUP($B230,'Cronog. e Histog.'!$BZ:$BZ,'Cronog. e Histog.'!CJ:CJ),"")</f>
        <v>0</v>
      </c>
      <c r="P230" s="144">
        <f>IFERROR(_xlfn.XLOOKUP($B230,'Cronog. e Histog.'!$BZ:$BZ,'Cronog. e Histog.'!CK:CK),"")</f>
        <v>0</v>
      </c>
      <c r="Q230" s="144">
        <f>IFERROR(_xlfn.XLOOKUP($B230,'Cronog. e Histog.'!$BZ:$BZ,'Cronog. e Histog.'!CL:CL),"")</f>
        <v>0</v>
      </c>
      <c r="R230" s="144">
        <f>IFERROR(_xlfn.XLOOKUP($B230,'Cronog. e Histog.'!$BZ:$BZ,'Cronog. e Histog.'!CM:CM),"")</f>
        <v>0</v>
      </c>
      <c r="S230" s="144">
        <f>IFERROR(_xlfn.XLOOKUP($B230,'Cronog. e Histog.'!$BZ:$BZ,'Cronog. e Histog.'!CN:CN),"")</f>
        <v>0</v>
      </c>
      <c r="T230" s="144">
        <f>IFERROR(_xlfn.XLOOKUP($B230,'Cronog. e Histog.'!$BZ:$BZ,'Cronog. e Histog.'!CO:CO),"")</f>
        <v>0</v>
      </c>
      <c r="U230" s="144">
        <f>IFERROR(_xlfn.XLOOKUP($B230,'Cronog. e Histog.'!$BZ:$BZ,'Cronog. e Histog.'!CP:CP),"")</f>
        <v>0</v>
      </c>
      <c r="V230" s="144">
        <f>IFERROR(_xlfn.XLOOKUP($B230,'Cronog. e Histog.'!$BZ:$BZ,'Cronog. e Histog.'!CQ:CQ),"")</f>
        <v>0</v>
      </c>
      <c r="W230" s="144">
        <f>IFERROR(_xlfn.XLOOKUP($B230,'Cronog. e Histog.'!$BZ:$BZ,'Cronog. e Histog.'!CR:CR),"")</f>
        <v>0</v>
      </c>
      <c r="X230" s="144">
        <f>IFERROR(_xlfn.XLOOKUP($B230,'Cronog. e Histog.'!$BZ:$BZ,'Cronog. e Histog.'!CS:CS),"")</f>
        <v>0</v>
      </c>
      <c r="Y230" s="144">
        <f>IFERROR(_xlfn.XLOOKUP($B230,'Cronog. e Histog.'!$BZ:$BZ,'Cronog. e Histog.'!CT:CT),"")</f>
        <v>0</v>
      </c>
      <c r="Z230" s="144">
        <f>IFERROR(_xlfn.XLOOKUP($B230,'Cronog. e Histog.'!$BZ:$BZ,'Cronog. e Histog.'!CU:CU),"")</f>
        <v>0</v>
      </c>
      <c r="AA230" s="144">
        <f>IFERROR(_xlfn.XLOOKUP($B230,'Cronog. e Histog.'!$BZ:$BZ,'Cronog. e Histog.'!CV:CV),"")</f>
        <v>0</v>
      </c>
      <c r="AB230" s="144">
        <f>IFERROR(_xlfn.XLOOKUP($B230,'Cronog. e Histog.'!$BZ:$BZ,'Cronog. e Histog.'!CW:CW),"")</f>
        <v>0</v>
      </c>
      <c r="AC230" s="144">
        <f>IFERROR(_xlfn.XLOOKUP($B230,'Cronog. e Histog.'!$BZ:$BZ,'Cronog. e Histog.'!CX:CX),"")</f>
        <v>0</v>
      </c>
      <c r="AD230" s="144">
        <f>IFERROR(_xlfn.XLOOKUP($B230,'Cronog. e Histog.'!$BZ:$BZ,'Cronog. e Histog.'!CY:CY),"")</f>
        <v>0</v>
      </c>
      <c r="AE230" s="144">
        <f>IFERROR(_xlfn.XLOOKUP($B230,'Cronog. e Histog.'!$BZ:$BZ,'Cronog. e Histog.'!CZ:CZ),"")</f>
        <v>0</v>
      </c>
      <c r="AF230" s="144">
        <f>IFERROR(_xlfn.XLOOKUP($B230,'Cronog. e Histog.'!$BZ:$BZ,'Cronog. e Histog.'!DA:DA),"")</f>
        <v>0</v>
      </c>
      <c r="AG230" s="144">
        <f>IFERROR(_xlfn.XLOOKUP($B230,'Cronog. e Histog.'!$BZ:$BZ,'Cronog. e Histog.'!DB:DB),"")</f>
        <v>0</v>
      </c>
      <c r="AH230" s="144">
        <f>IFERROR(_xlfn.XLOOKUP($B230,'Cronog. e Histog.'!$BZ:$BZ,'Cronog. e Histog.'!DC:DC),"")</f>
        <v>0</v>
      </c>
      <c r="AI230" s="144">
        <f>IFERROR(_xlfn.XLOOKUP($B230,'Cronog. e Histog.'!$BZ:$BZ,'Cronog. e Histog.'!DD:DD),"")</f>
        <v>0</v>
      </c>
      <c r="AJ230" s="144">
        <f>IFERROR(_xlfn.XLOOKUP($B230,'Cronog. e Histog.'!$BZ:$BZ,'Cronog. e Histog.'!DE:DE),"")</f>
        <v>0</v>
      </c>
      <c r="AK230" s="144">
        <f>IFERROR(_xlfn.XLOOKUP($B230,'Cronog. e Histog.'!$BZ:$BZ,'Cronog. e Histog.'!DF:DF),"")</f>
        <v>0</v>
      </c>
      <c r="AL230" s="144">
        <f>IFERROR(_xlfn.XLOOKUP($B230,'Cronog. e Histog.'!$BZ:$BZ,'Cronog. e Histog.'!DG:DG),"")</f>
        <v>0</v>
      </c>
      <c r="AM230" s="144">
        <f>IFERROR(_xlfn.XLOOKUP($B230,'Cronog. e Histog.'!$BZ:$BZ,'Cronog. e Histog.'!DH:DH),"")</f>
        <v>0</v>
      </c>
      <c r="AN230" s="144">
        <f>IFERROR(_xlfn.XLOOKUP($B230,'Cronog. e Histog.'!$BZ:$BZ,'Cronog. e Histog.'!DI:DI),"")</f>
        <v>0</v>
      </c>
      <c r="AO230" s="144">
        <f>IFERROR(_xlfn.XLOOKUP($B230,'Cronog. e Histog.'!$BZ:$BZ,'Cronog. e Histog.'!DJ:DJ),"")</f>
        <v>0</v>
      </c>
      <c r="AP230" s="144">
        <f>IFERROR(_xlfn.XLOOKUP($B230,'Cronog. e Histog.'!$BZ:$BZ,'Cronog. e Histog.'!DK:DK),"")</f>
        <v>0</v>
      </c>
      <c r="AQ230" s="144">
        <f>IFERROR(_xlfn.XLOOKUP($B230,'Cronog. e Histog.'!$BZ:$BZ,'Cronog. e Histog.'!DL:DL),"")</f>
        <v>0</v>
      </c>
      <c r="AR230" s="144">
        <f>IFERROR(_xlfn.XLOOKUP($B230,'Cronog. e Histog.'!$BZ:$BZ,'Cronog. e Histog.'!DM:DM),"")</f>
        <v>0</v>
      </c>
      <c r="AS230" s="144">
        <f>IFERROR(_xlfn.XLOOKUP($B230,'Cronog. e Histog.'!$BZ:$BZ,'Cronog. e Histog.'!DN:DN),"")</f>
        <v>0</v>
      </c>
      <c r="AT230" s="144">
        <f>IFERROR(_xlfn.XLOOKUP($B230,'Cronog. e Histog.'!$BZ:$BZ,'Cronog. e Histog.'!DO:DO),"")</f>
        <v>0</v>
      </c>
      <c r="AU230" s="144">
        <f>IFERROR(_xlfn.XLOOKUP($B230,'Cronog. e Histog.'!$BZ:$BZ,'Cronog. e Histog.'!DP:DP),"")</f>
        <v>0</v>
      </c>
      <c r="AV230" s="144">
        <f>IFERROR(_xlfn.XLOOKUP($B230,'Cronog. e Histog.'!$BZ:$BZ,'Cronog. e Histog.'!DQ:DQ),"")</f>
        <v>0</v>
      </c>
      <c r="AW230" s="144">
        <f>IFERROR(_xlfn.XLOOKUP($B230,'Cronog. e Histog.'!$BZ:$BZ,'Cronog. e Histog.'!DR:DR),"")</f>
        <v>0</v>
      </c>
      <c r="AX230" s="144">
        <f>IFERROR(_xlfn.XLOOKUP($B230,'Cronog. e Histog.'!$BZ:$BZ,'Cronog. e Histog.'!DS:DS),"")</f>
        <v>0</v>
      </c>
      <c r="AY230" s="144">
        <f>IFERROR(_xlfn.XLOOKUP($B230,'Cronog. e Histog.'!$BZ:$BZ,'Cronog. e Histog.'!DT:DT),"")</f>
        <v>0</v>
      </c>
      <c r="AZ230" s="144">
        <f>IFERROR(_xlfn.XLOOKUP($B230,'Cronog. e Histog.'!$BZ:$BZ,'Cronog. e Histog.'!DU:DU),"")</f>
        <v>0</v>
      </c>
      <c r="BA230" s="144">
        <f>IFERROR(_xlfn.XLOOKUP($B230,'Cronog. e Histog.'!$BZ:$BZ,'Cronog. e Histog.'!DV:DV),"")</f>
        <v>0</v>
      </c>
      <c r="BB230" s="144">
        <f>IFERROR(_xlfn.XLOOKUP($B230,'Cronog. e Histog.'!$BZ:$BZ,'Cronog. e Histog.'!DW:DW),"")</f>
        <v>0</v>
      </c>
      <c r="BC230" s="144">
        <f>IFERROR(_xlfn.XLOOKUP($B230,'Cronog. e Histog.'!$BZ:$BZ,'Cronog. e Histog.'!DX:DX),"")</f>
        <v>0</v>
      </c>
      <c r="BD230" s="144">
        <f>IFERROR(_xlfn.XLOOKUP($B230,'Cronog. e Histog.'!$BZ:$BZ,'Cronog. e Histog.'!DY:DY),"")</f>
        <v>0</v>
      </c>
      <c r="BE230" s="144">
        <f>IFERROR(_xlfn.XLOOKUP($B230,'Cronog. e Histog.'!$BZ:$BZ,'Cronog. e Histog.'!DZ:DZ),"")</f>
        <v>0</v>
      </c>
      <c r="BF230" s="144">
        <f>IFERROR(_xlfn.XLOOKUP($B230,'Cronog. e Histog.'!$BZ:$BZ,'Cronog. e Histog.'!EA:EA),"")</f>
        <v>0</v>
      </c>
      <c r="BG230" s="144">
        <f>IFERROR(_xlfn.XLOOKUP($B230,'Cronog. e Histog.'!$BZ:$BZ,'Cronog. e Histog.'!EB:EB),"")</f>
        <v>0</v>
      </c>
      <c r="BH230" s="144">
        <f>IFERROR(_xlfn.XLOOKUP($B230,'Cronog. e Histog.'!$BZ:$BZ,'Cronog. e Histog.'!EC:EC),"")</f>
        <v>0</v>
      </c>
      <c r="BI230" s="144">
        <f>IFERROR(_xlfn.XLOOKUP($B230,'Cronog. e Histog.'!$BZ:$BZ,'Cronog. e Histog.'!ED:ED),"")</f>
        <v>0</v>
      </c>
      <c r="BJ230" s="144">
        <f>IFERROR(_xlfn.XLOOKUP($B230,'Cronog. e Histog.'!$BZ:$BZ,'Cronog. e Histog.'!EE:EE),"")</f>
        <v>0</v>
      </c>
      <c r="BK230" s="144">
        <f>IFERROR(_xlfn.XLOOKUP($B230,'Cronog. e Histog.'!$BZ:$BZ,'Cronog. e Histog.'!EF:EF),"")</f>
        <v>0</v>
      </c>
      <c r="BL230" s="144">
        <f>IFERROR(_xlfn.XLOOKUP($B230,'Cronog. e Histog.'!$BZ:$BZ,'Cronog. e Histog.'!EG:EG),"")</f>
        <v>0</v>
      </c>
      <c r="BM230" s="144">
        <f>IFERROR(_xlfn.XLOOKUP($B230,'Cronog. e Histog.'!$BZ:$BZ,'Cronog. e Histog.'!EH:EH),"")</f>
        <v>0</v>
      </c>
      <c r="BN230" s="144">
        <f>IFERROR(_xlfn.XLOOKUP($B230,'Cronog. e Histog.'!$BZ:$BZ,'Cronog. e Histog.'!EI:EI),"")</f>
        <v>0</v>
      </c>
    </row>
    <row r="231" spans="2:66" ht="12" hidden="1" customHeight="1" outlineLevel="1">
      <c r="B231" s="76">
        <v>225</v>
      </c>
      <c r="C231" s="143" t="str">
        <f>IFERROR(VLOOKUP(B231,'Cronog. e Histog.'!$BZ$213:$CA$747,2,0),"")</f>
        <v>ENG/ARQ PL.</v>
      </c>
      <c r="D231" s="144">
        <f t="shared" si="6"/>
        <v>0</v>
      </c>
      <c r="E231" s="144">
        <f t="shared" si="7"/>
        <v>0</v>
      </c>
      <c r="F231" s="65"/>
      <c r="G231" s="144">
        <f>IFERROR(_xlfn.XLOOKUP($B231,'Cronog. e Histog.'!$BZ:$BZ,'Cronog. e Histog.'!CB:CB),"")</f>
        <v>0</v>
      </c>
      <c r="H231" s="144">
        <f>IFERROR(_xlfn.XLOOKUP($B231,'Cronog. e Histog.'!$BZ:$BZ,'Cronog. e Histog.'!CC:CC),"")</f>
        <v>0</v>
      </c>
      <c r="I231" s="144">
        <f>IFERROR(_xlfn.XLOOKUP($B231,'Cronog. e Histog.'!$BZ:$BZ,'Cronog. e Histog.'!CD:CD),"")</f>
        <v>0</v>
      </c>
      <c r="J231" s="144">
        <f>IFERROR(_xlfn.XLOOKUP($B231,'Cronog. e Histog.'!$BZ:$BZ,'Cronog. e Histog.'!CE:CE),"")</f>
        <v>0</v>
      </c>
      <c r="K231" s="144">
        <f>IFERROR(_xlfn.XLOOKUP($B231,'Cronog. e Histog.'!$BZ:$BZ,'Cronog. e Histog.'!CF:CF),"")</f>
        <v>0</v>
      </c>
      <c r="L231" s="144">
        <f>IFERROR(_xlfn.XLOOKUP($B231,'Cronog. e Histog.'!$BZ:$BZ,'Cronog. e Histog.'!CG:CG),"")</f>
        <v>0</v>
      </c>
      <c r="M231" s="144">
        <f>IFERROR(_xlfn.XLOOKUP($B231,'Cronog. e Histog.'!$BZ:$BZ,'Cronog. e Histog.'!CH:CH),"")</f>
        <v>0</v>
      </c>
      <c r="N231" s="144">
        <f>IFERROR(_xlfn.XLOOKUP($B231,'Cronog. e Histog.'!$BZ:$BZ,'Cronog. e Histog.'!CI:CI),"")</f>
        <v>0</v>
      </c>
      <c r="O231" s="144">
        <f>IFERROR(_xlfn.XLOOKUP($B231,'Cronog. e Histog.'!$BZ:$BZ,'Cronog. e Histog.'!CJ:CJ),"")</f>
        <v>0</v>
      </c>
      <c r="P231" s="144">
        <f>IFERROR(_xlfn.XLOOKUP($B231,'Cronog. e Histog.'!$BZ:$BZ,'Cronog. e Histog.'!CK:CK),"")</f>
        <v>0</v>
      </c>
      <c r="Q231" s="144">
        <f>IFERROR(_xlfn.XLOOKUP($B231,'Cronog. e Histog.'!$BZ:$BZ,'Cronog. e Histog.'!CL:CL),"")</f>
        <v>0</v>
      </c>
      <c r="R231" s="144">
        <f>IFERROR(_xlfn.XLOOKUP($B231,'Cronog. e Histog.'!$BZ:$BZ,'Cronog. e Histog.'!CM:CM),"")</f>
        <v>0</v>
      </c>
      <c r="S231" s="144">
        <f>IFERROR(_xlfn.XLOOKUP($B231,'Cronog. e Histog.'!$BZ:$BZ,'Cronog. e Histog.'!CN:CN),"")</f>
        <v>0</v>
      </c>
      <c r="T231" s="144">
        <f>IFERROR(_xlfn.XLOOKUP($B231,'Cronog. e Histog.'!$BZ:$BZ,'Cronog. e Histog.'!CO:CO),"")</f>
        <v>0</v>
      </c>
      <c r="U231" s="144">
        <f>IFERROR(_xlfn.XLOOKUP($B231,'Cronog. e Histog.'!$BZ:$BZ,'Cronog. e Histog.'!CP:CP),"")</f>
        <v>0</v>
      </c>
      <c r="V231" s="144">
        <f>IFERROR(_xlfn.XLOOKUP($B231,'Cronog. e Histog.'!$BZ:$BZ,'Cronog. e Histog.'!CQ:CQ),"")</f>
        <v>0</v>
      </c>
      <c r="W231" s="144">
        <f>IFERROR(_xlfn.XLOOKUP($B231,'Cronog. e Histog.'!$BZ:$BZ,'Cronog. e Histog.'!CR:CR),"")</f>
        <v>0</v>
      </c>
      <c r="X231" s="144">
        <f>IFERROR(_xlfn.XLOOKUP($B231,'Cronog. e Histog.'!$BZ:$BZ,'Cronog. e Histog.'!CS:CS),"")</f>
        <v>0</v>
      </c>
      <c r="Y231" s="144">
        <f>IFERROR(_xlfn.XLOOKUP($B231,'Cronog. e Histog.'!$BZ:$BZ,'Cronog. e Histog.'!CT:CT),"")</f>
        <v>0</v>
      </c>
      <c r="Z231" s="144">
        <f>IFERROR(_xlfn.XLOOKUP($B231,'Cronog. e Histog.'!$BZ:$BZ,'Cronog. e Histog.'!CU:CU),"")</f>
        <v>0</v>
      </c>
      <c r="AA231" s="144">
        <f>IFERROR(_xlfn.XLOOKUP($B231,'Cronog. e Histog.'!$BZ:$BZ,'Cronog. e Histog.'!CV:CV),"")</f>
        <v>0</v>
      </c>
      <c r="AB231" s="144">
        <f>IFERROR(_xlfn.XLOOKUP($B231,'Cronog. e Histog.'!$BZ:$BZ,'Cronog. e Histog.'!CW:CW),"")</f>
        <v>0</v>
      </c>
      <c r="AC231" s="144">
        <f>IFERROR(_xlfn.XLOOKUP($B231,'Cronog. e Histog.'!$BZ:$BZ,'Cronog. e Histog.'!CX:CX),"")</f>
        <v>0</v>
      </c>
      <c r="AD231" s="144">
        <f>IFERROR(_xlfn.XLOOKUP($B231,'Cronog. e Histog.'!$BZ:$BZ,'Cronog. e Histog.'!CY:CY),"")</f>
        <v>0</v>
      </c>
      <c r="AE231" s="144">
        <f>IFERROR(_xlfn.XLOOKUP($B231,'Cronog. e Histog.'!$BZ:$BZ,'Cronog. e Histog.'!CZ:CZ),"")</f>
        <v>0</v>
      </c>
      <c r="AF231" s="144">
        <f>IFERROR(_xlfn.XLOOKUP($B231,'Cronog. e Histog.'!$BZ:$BZ,'Cronog. e Histog.'!DA:DA),"")</f>
        <v>0</v>
      </c>
      <c r="AG231" s="144">
        <f>IFERROR(_xlfn.XLOOKUP($B231,'Cronog. e Histog.'!$BZ:$BZ,'Cronog. e Histog.'!DB:DB),"")</f>
        <v>0</v>
      </c>
      <c r="AH231" s="144">
        <f>IFERROR(_xlfn.XLOOKUP($B231,'Cronog. e Histog.'!$BZ:$BZ,'Cronog. e Histog.'!DC:DC),"")</f>
        <v>0</v>
      </c>
      <c r="AI231" s="144">
        <f>IFERROR(_xlfn.XLOOKUP($B231,'Cronog. e Histog.'!$BZ:$BZ,'Cronog. e Histog.'!DD:DD),"")</f>
        <v>0</v>
      </c>
      <c r="AJ231" s="144">
        <f>IFERROR(_xlfn.XLOOKUP($B231,'Cronog. e Histog.'!$BZ:$BZ,'Cronog. e Histog.'!DE:DE),"")</f>
        <v>0</v>
      </c>
      <c r="AK231" s="144">
        <f>IFERROR(_xlfn.XLOOKUP($B231,'Cronog. e Histog.'!$BZ:$BZ,'Cronog. e Histog.'!DF:DF),"")</f>
        <v>0</v>
      </c>
      <c r="AL231" s="144">
        <f>IFERROR(_xlfn.XLOOKUP($B231,'Cronog. e Histog.'!$BZ:$BZ,'Cronog. e Histog.'!DG:DG),"")</f>
        <v>0</v>
      </c>
      <c r="AM231" s="144">
        <f>IFERROR(_xlfn.XLOOKUP($B231,'Cronog. e Histog.'!$BZ:$BZ,'Cronog. e Histog.'!DH:DH),"")</f>
        <v>0</v>
      </c>
      <c r="AN231" s="144">
        <f>IFERROR(_xlfn.XLOOKUP($B231,'Cronog. e Histog.'!$BZ:$BZ,'Cronog. e Histog.'!DI:DI),"")</f>
        <v>0</v>
      </c>
      <c r="AO231" s="144">
        <f>IFERROR(_xlfn.XLOOKUP($B231,'Cronog. e Histog.'!$BZ:$BZ,'Cronog. e Histog.'!DJ:DJ),"")</f>
        <v>0</v>
      </c>
      <c r="AP231" s="144">
        <f>IFERROR(_xlfn.XLOOKUP($B231,'Cronog. e Histog.'!$BZ:$BZ,'Cronog. e Histog.'!DK:DK),"")</f>
        <v>0</v>
      </c>
      <c r="AQ231" s="144">
        <f>IFERROR(_xlfn.XLOOKUP($B231,'Cronog. e Histog.'!$BZ:$BZ,'Cronog. e Histog.'!DL:DL),"")</f>
        <v>0</v>
      </c>
      <c r="AR231" s="144">
        <f>IFERROR(_xlfn.XLOOKUP($B231,'Cronog. e Histog.'!$BZ:$BZ,'Cronog. e Histog.'!DM:DM),"")</f>
        <v>0</v>
      </c>
      <c r="AS231" s="144">
        <f>IFERROR(_xlfn.XLOOKUP($B231,'Cronog. e Histog.'!$BZ:$BZ,'Cronog. e Histog.'!DN:DN),"")</f>
        <v>0</v>
      </c>
      <c r="AT231" s="144">
        <f>IFERROR(_xlfn.XLOOKUP($B231,'Cronog. e Histog.'!$BZ:$BZ,'Cronog. e Histog.'!DO:DO),"")</f>
        <v>0</v>
      </c>
      <c r="AU231" s="144">
        <f>IFERROR(_xlfn.XLOOKUP($B231,'Cronog. e Histog.'!$BZ:$BZ,'Cronog. e Histog.'!DP:DP),"")</f>
        <v>0</v>
      </c>
      <c r="AV231" s="144">
        <f>IFERROR(_xlfn.XLOOKUP($B231,'Cronog. e Histog.'!$BZ:$BZ,'Cronog. e Histog.'!DQ:DQ),"")</f>
        <v>0</v>
      </c>
      <c r="AW231" s="144">
        <f>IFERROR(_xlfn.XLOOKUP($B231,'Cronog. e Histog.'!$BZ:$BZ,'Cronog. e Histog.'!DR:DR),"")</f>
        <v>0</v>
      </c>
      <c r="AX231" s="144">
        <f>IFERROR(_xlfn.XLOOKUP($B231,'Cronog. e Histog.'!$BZ:$BZ,'Cronog. e Histog.'!DS:DS),"")</f>
        <v>0</v>
      </c>
      <c r="AY231" s="144">
        <f>IFERROR(_xlfn.XLOOKUP($B231,'Cronog. e Histog.'!$BZ:$BZ,'Cronog. e Histog.'!DT:DT),"")</f>
        <v>0</v>
      </c>
      <c r="AZ231" s="144">
        <f>IFERROR(_xlfn.XLOOKUP($B231,'Cronog. e Histog.'!$BZ:$BZ,'Cronog. e Histog.'!DU:DU),"")</f>
        <v>0</v>
      </c>
      <c r="BA231" s="144">
        <f>IFERROR(_xlfn.XLOOKUP($B231,'Cronog. e Histog.'!$BZ:$BZ,'Cronog. e Histog.'!DV:DV),"")</f>
        <v>0</v>
      </c>
      <c r="BB231" s="144">
        <f>IFERROR(_xlfn.XLOOKUP($B231,'Cronog. e Histog.'!$BZ:$BZ,'Cronog. e Histog.'!DW:DW),"")</f>
        <v>0</v>
      </c>
      <c r="BC231" s="144">
        <f>IFERROR(_xlfn.XLOOKUP($B231,'Cronog. e Histog.'!$BZ:$BZ,'Cronog. e Histog.'!DX:DX),"")</f>
        <v>0</v>
      </c>
      <c r="BD231" s="144">
        <f>IFERROR(_xlfn.XLOOKUP($B231,'Cronog. e Histog.'!$BZ:$BZ,'Cronog. e Histog.'!DY:DY),"")</f>
        <v>0</v>
      </c>
      <c r="BE231" s="144">
        <f>IFERROR(_xlfn.XLOOKUP($B231,'Cronog. e Histog.'!$BZ:$BZ,'Cronog. e Histog.'!DZ:DZ),"")</f>
        <v>0</v>
      </c>
      <c r="BF231" s="144">
        <f>IFERROR(_xlfn.XLOOKUP($B231,'Cronog. e Histog.'!$BZ:$BZ,'Cronog. e Histog.'!EA:EA),"")</f>
        <v>0</v>
      </c>
      <c r="BG231" s="144">
        <f>IFERROR(_xlfn.XLOOKUP($B231,'Cronog. e Histog.'!$BZ:$BZ,'Cronog. e Histog.'!EB:EB),"")</f>
        <v>0</v>
      </c>
      <c r="BH231" s="144">
        <f>IFERROR(_xlfn.XLOOKUP($B231,'Cronog. e Histog.'!$BZ:$BZ,'Cronog. e Histog.'!EC:EC),"")</f>
        <v>0</v>
      </c>
      <c r="BI231" s="144">
        <f>IFERROR(_xlfn.XLOOKUP($B231,'Cronog. e Histog.'!$BZ:$BZ,'Cronog. e Histog.'!ED:ED),"")</f>
        <v>0</v>
      </c>
      <c r="BJ231" s="144">
        <f>IFERROR(_xlfn.XLOOKUP($B231,'Cronog. e Histog.'!$BZ:$BZ,'Cronog. e Histog.'!EE:EE),"")</f>
        <v>0</v>
      </c>
      <c r="BK231" s="144">
        <f>IFERROR(_xlfn.XLOOKUP($B231,'Cronog. e Histog.'!$BZ:$BZ,'Cronog. e Histog.'!EF:EF),"")</f>
        <v>0</v>
      </c>
      <c r="BL231" s="144">
        <f>IFERROR(_xlfn.XLOOKUP($B231,'Cronog. e Histog.'!$BZ:$BZ,'Cronog. e Histog.'!EG:EG),"")</f>
        <v>0</v>
      </c>
      <c r="BM231" s="144">
        <f>IFERROR(_xlfn.XLOOKUP($B231,'Cronog. e Histog.'!$BZ:$BZ,'Cronog. e Histog.'!EH:EH),"")</f>
        <v>0</v>
      </c>
      <c r="BN231" s="144">
        <f>IFERROR(_xlfn.XLOOKUP($B231,'Cronog. e Histog.'!$BZ:$BZ,'Cronog. e Histog.'!EI:EI),"")</f>
        <v>0</v>
      </c>
    </row>
    <row r="232" spans="2:66" ht="12" hidden="1" customHeight="1" outlineLevel="1">
      <c r="B232" s="76">
        <v>226</v>
      </c>
      <c r="C232" s="143" t="str">
        <f>IFERROR(VLOOKUP(B232,'Cronog. e Histog.'!$BZ$213:$CA$747,2,0),"")</f>
        <v>ENG/ARQ JR.</v>
      </c>
      <c r="D232" s="144">
        <f t="shared" si="6"/>
        <v>0</v>
      </c>
      <c r="E232" s="144">
        <f t="shared" si="7"/>
        <v>0</v>
      </c>
      <c r="F232" s="65"/>
      <c r="G232" s="144">
        <f>IFERROR(_xlfn.XLOOKUP($B232,'Cronog. e Histog.'!$BZ:$BZ,'Cronog. e Histog.'!CB:CB),"")</f>
        <v>0</v>
      </c>
      <c r="H232" s="144">
        <f>IFERROR(_xlfn.XLOOKUP($B232,'Cronog. e Histog.'!$BZ:$BZ,'Cronog. e Histog.'!CC:CC),"")</f>
        <v>0</v>
      </c>
      <c r="I232" s="144">
        <f>IFERROR(_xlfn.XLOOKUP($B232,'Cronog. e Histog.'!$BZ:$BZ,'Cronog. e Histog.'!CD:CD),"")</f>
        <v>0</v>
      </c>
      <c r="J232" s="144">
        <f>IFERROR(_xlfn.XLOOKUP($B232,'Cronog. e Histog.'!$BZ:$BZ,'Cronog. e Histog.'!CE:CE),"")</f>
        <v>0</v>
      </c>
      <c r="K232" s="144">
        <f>IFERROR(_xlfn.XLOOKUP($B232,'Cronog. e Histog.'!$BZ:$BZ,'Cronog. e Histog.'!CF:CF),"")</f>
        <v>0</v>
      </c>
      <c r="L232" s="144">
        <f>IFERROR(_xlfn.XLOOKUP($B232,'Cronog. e Histog.'!$BZ:$BZ,'Cronog. e Histog.'!CG:CG),"")</f>
        <v>0</v>
      </c>
      <c r="M232" s="144">
        <f>IFERROR(_xlfn.XLOOKUP($B232,'Cronog. e Histog.'!$BZ:$BZ,'Cronog. e Histog.'!CH:CH),"")</f>
        <v>0</v>
      </c>
      <c r="N232" s="144">
        <f>IFERROR(_xlfn.XLOOKUP($B232,'Cronog. e Histog.'!$BZ:$BZ,'Cronog. e Histog.'!CI:CI),"")</f>
        <v>0</v>
      </c>
      <c r="O232" s="144">
        <f>IFERROR(_xlfn.XLOOKUP($B232,'Cronog. e Histog.'!$BZ:$BZ,'Cronog. e Histog.'!CJ:CJ),"")</f>
        <v>0</v>
      </c>
      <c r="P232" s="144">
        <f>IFERROR(_xlfn.XLOOKUP($B232,'Cronog. e Histog.'!$BZ:$BZ,'Cronog. e Histog.'!CK:CK),"")</f>
        <v>0</v>
      </c>
      <c r="Q232" s="144">
        <f>IFERROR(_xlfn.XLOOKUP($B232,'Cronog. e Histog.'!$BZ:$BZ,'Cronog. e Histog.'!CL:CL),"")</f>
        <v>0</v>
      </c>
      <c r="R232" s="144">
        <f>IFERROR(_xlfn.XLOOKUP($B232,'Cronog. e Histog.'!$BZ:$BZ,'Cronog. e Histog.'!CM:CM),"")</f>
        <v>0</v>
      </c>
      <c r="S232" s="144">
        <f>IFERROR(_xlfn.XLOOKUP($B232,'Cronog. e Histog.'!$BZ:$BZ,'Cronog. e Histog.'!CN:CN),"")</f>
        <v>0</v>
      </c>
      <c r="T232" s="144">
        <f>IFERROR(_xlfn.XLOOKUP($B232,'Cronog. e Histog.'!$BZ:$BZ,'Cronog. e Histog.'!CO:CO),"")</f>
        <v>0</v>
      </c>
      <c r="U232" s="144">
        <f>IFERROR(_xlfn.XLOOKUP($B232,'Cronog. e Histog.'!$BZ:$BZ,'Cronog. e Histog.'!CP:CP),"")</f>
        <v>0</v>
      </c>
      <c r="V232" s="144">
        <f>IFERROR(_xlfn.XLOOKUP($B232,'Cronog. e Histog.'!$BZ:$BZ,'Cronog. e Histog.'!CQ:CQ),"")</f>
        <v>0</v>
      </c>
      <c r="W232" s="144">
        <f>IFERROR(_xlfn.XLOOKUP($B232,'Cronog. e Histog.'!$BZ:$BZ,'Cronog. e Histog.'!CR:CR),"")</f>
        <v>0</v>
      </c>
      <c r="X232" s="144">
        <f>IFERROR(_xlfn.XLOOKUP($B232,'Cronog. e Histog.'!$BZ:$BZ,'Cronog. e Histog.'!CS:CS),"")</f>
        <v>0</v>
      </c>
      <c r="Y232" s="144">
        <f>IFERROR(_xlfn.XLOOKUP($B232,'Cronog. e Histog.'!$BZ:$BZ,'Cronog. e Histog.'!CT:CT),"")</f>
        <v>0</v>
      </c>
      <c r="Z232" s="144">
        <f>IFERROR(_xlfn.XLOOKUP($B232,'Cronog. e Histog.'!$BZ:$BZ,'Cronog. e Histog.'!CU:CU),"")</f>
        <v>0</v>
      </c>
      <c r="AA232" s="144">
        <f>IFERROR(_xlfn.XLOOKUP($B232,'Cronog. e Histog.'!$BZ:$BZ,'Cronog. e Histog.'!CV:CV),"")</f>
        <v>0</v>
      </c>
      <c r="AB232" s="144">
        <f>IFERROR(_xlfn.XLOOKUP($B232,'Cronog. e Histog.'!$BZ:$BZ,'Cronog. e Histog.'!CW:CW),"")</f>
        <v>0</v>
      </c>
      <c r="AC232" s="144">
        <f>IFERROR(_xlfn.XLOOKUP($B232,'Cronog. e Histog.'!$BZ:$BZ,'Cronog. e Histog.'!CX:CX),"")</f>
        <v>0</v>
      </c>
      <c r="AD232" s="144">
        <f>IFERROR(_xlfn.XLOOKUP($B232,'Cronog. e Histog.'!$BZ:$BZ,'Cronog. e Histog.'!CY:CY),"")</f>
        <v>0</v>
      </c>
      <c r="AE232" s="144">
        <f>IFERROR(_xlfn.XLOOKUP($B232,'Cronog. e Histog.'!$BZ:$BZ,'Cronog. e Histog.'!CZ:CZ),"")</f>
        <v>0</v>
      </c>
      <c r="AF232" s="144">
        <f>IFERROR(_xlfn.XLOOKUP($B232,'Cronog. e Histog.'!$BZ:$BZ,'Cronog. e Histog.'!DA:DA),"")</f>
        <v>0</v>
      </c>
      <c r="AG232" s="144">
        <f>IFERROR(_xlfn.XLOOKUP($B232,'Cronog. e Histog.'!$BZ:$BZ,'Cronog. e Histog.'!DB:DB),"")</f>
        <v>0</v>
      </c>
      <c r="AH232" s="144">
        <f>IFERROR(_xlfn.XLOOKUP($B232,'Cronog. e Histog.'!$BZ:$BZ,'Cronog. e Histog.'!DC:DC),"")</f>
        <v>0</v>
      </c>
      <c r="AI232" s="144">
        <f>IFERROR(_xlfn.XLOOKUP($B232,'Cronog. e Histog.'!$BZ:$BZ,'Cronog. e Histog.'!DD:DD),"")</f>
        <v>0</v>
      </c>
      <c r="AJ232" s="144">
        <f>IFERROR(_xlfn.XLOOKUP($B232,'Cronog. e Histog.'!$BZ:$BZ,'Cronog. e Histog.'!DE:DE),"")</f>
        <v>0</v>
      </c>
      <c r="AK232" s="144">
        <f>IFERROR(_xlfn.XLOOKUP($B232,'Cronog. e Histog.'!$BZ:$BZ,'Cronog. e Histog.'!DF:DF),"")</f>
        <v>0</v>
      </c>
      <c r="AL232" s="144">
        <f>IFERROR(_xlfn.XLOOKUP($B232,'Cronog. e Histog.'!$BZ:$BZ,'Cronog. e Histog.'!DG:DG),"")</f>
        <v>0</v>
      </c>
      <c r="AM232" s="144">
        <f>IFERROR(_xlfn.XLOOKUP($B232,'Cronog. e Histog.'!$BZ:$BZ,'Cronog. e Histog.'!DH:DH),"")</f>
        <v>0</v>
      </c>
      <c r="AN232" s="144">
        <f>IFERROR(_xlfn.XLOOKUP($B232,'Cronog. e Histog.'!$BZ:$BZ,'Cronog. e Histog.'!DI:DI),"")</f>
        <v>0</v>
      </c>
      <c r="AO232" s="144">
        <f>IFERROR(_xlfn.XLOOKUP($B232,'Cronog. e Histog.'!$BZ:$BZ,'Cronog. e Histog.'!DJ:DJ),"")</f>
        <v>0</v>
      </c>
      <c r="AP232" s="144">
        <f>IFERROR(_xlfn.XLOOKUP($B232,'Cronog. e Histog.'!$BZ:$BZ,'Cronog. e Histog.'!DK:DK),"")</f>
        <v>0</v>
      </c>
      <c r="AQ232" s="144">
        <f>IFERROR(_xlfn.XLOOKUP($B232,'Cronog. e Histog.'!$BZ:$BZ,'Cronog. e Histog.'!DL:DL),"")</f>
        <v>0</v>
      </c>
      <c r="AR232" s="144">
        <f>IFERROR(_xlfn.XLOOKUP($B232,'Cronog. e Histog.'!$BZ:$BZ,'Cronog. e Histog.'!DM:DM),"")</f>
        <v>0</v>
      </c>
      <c r="AS232" s="144">
        <f>IFERROR(_xlfn.XLOOKUP($B232,'Cronog. e Histog.'!$BZ:$BZ,'Cronog. e Histog.'!DN:DN),"")</f>
        <v>0</v>
      </c>
      <c r="AT232" s="144">
        <f>IFERROR(_xlfn.XLOOKUP($B232,'Cronog. e Histog.'!$BZ:$BZ,'Cronog. e Histog.'!DO:DO),"")</f>
        <v>0</v>
      </c>
      <c r="AU232" s="144">
        <f>IFERROR(_xlfn.XLOOKUP($B232,'Cronog. e Histog.'!$BZ:$BZ,'Cronog. e Histog.'!DP:DP),"")</f>
        <v>0</v>
      </c>
      <c r="AV232" s="144">
        <f>IFERROR(_xlfn.XLOOKUP($B232,'Cronog. e Histog.'!$BZ:$BZ,'Cronog. e Histog.'!DQ:DQ),"")</f>
        <v>0</v>
      </c>
      <c r="AW232" s="144">
        <f>IFERROR(_xlfn.XLOOKUP($B232,'Cronog. e Histog.'!$BZ:$BZ,'Cronog. e Histog.'!DR:DR),"")</f>
        <v>0</v>
      </c>
      <c r="AX232" s="144">
        <f>IFERROR(_xlfn.XLOOKUP($B232,'Cronog. e Histog.'!$BZ:$BZ,'Cronog. e Histog.'!DS:DS),"")</f>
        <v>0</v>
      </c>
      <c r="AY232" s="144">
        <f>IFERROR(_xlfn.XLOOKUP($B232,'Cronog. e Histog.'!$BZ:$BZ,'Cronog. e Histog.'!DT:DT),"")</f>
        <v>0</v>
      </c>
      <c r="AZ232" s="144">
        <f>IFERROR(_xlfn.XLOOKUP($B232,'Cronog. e Histog.'!$BZ:$BZ,'Cronog. e Histog.'!DU:DU),"")</f>
        <v>0</v>
      </c>
      <c r="BA232" s="144">
        <f>IFERROR(_xlfn.XLOOKUP($B232,'Cronog. e Histog.'!$BZ:$BZ,'Cronog. e Histog.'!DV:DV),"")</f>
        <v>0</v>
      </c>
      <c r="BB232" s="144">
        <f>IFERROR(_xlfn.XLOOKUP($B232,'Cronog. e Histog.'!$BZ:$BZ,'Cronog. e Histog.'!DW:DW),"")</f>
        <v>0</v>
      </c>
      <c r="BC232" s="144">
        <f>IFERROR(_xlfn.XLOOKUP($B232,'Cronog. e Histog.'!$BZ:$BZ,'Cronog. e Histog.'!DX:DX),"")</f>
        <v>0</v>
      </c>
      <c r="BD232" s="144">
        <f>IFERROR(_xlfn.XLOOKUP($B232,'Cronog. e Histog.'!$BZ:$BZ,'Cronog. e Histog.'!DY:DY),"")</f>
        <v>0</v>
      </c>
      <c r="BE232" s="144">
        <f>IFERROR(_xlfn.XLOOKUP($B232,'Cronog. e Histog.'!$BZ:$BZ,'Cronog. e Histog.'!DZ:DZ),"")</f>
        <v>0</v>
      </c>
      <c r="BF232" s="144">
        <f>IFERROR(_xlfn.XLOOKUP($B232,'Cronog. e Histog.'!$BZ:$BZ,'Cronog. e Histog.'!EA:EA),"")</f>
        <v>0</v>
      </c>
      <c r="BG232" s="144">
        <f>IFERROR(_xlfn.XLOOKUP($B232,'Cronog. e Histog.'!$BZ:$BZ,'Cronog. e Histog.'!EB:EB),"")</f>
        <v>0</v>
      </c>
      <c r="BH232" s="144">
        <f>IFERROR(_xlfn.XLOOKUP($B232,'Cronog. e Histog.'!$BZ:$BZ,'Cronog. e Histog.'!EC:EC),"")</f>
        <v>0</v>
      </c>
      <c r="BI232" s="144">
        <f>IFERROR(_xlfn.XLOOKUP($B232,'Cronog. e Histog.'!$BZ:$BZ,'Cronog. e Histog.'!ED:ED),"")</f>
        <v>0</v>
      </c>
      <c r="BJ232" s="144">
        <f>IFERROR(_xlfn.XLOOKUP($B232,'Cronog. e Histog.'!$BZ:$BZ,'Cronog. e Histog.'!EE:EE),"")</f>
        <v>0</v>
      </c>
      <c r="BK232" s="144">
        <f>IFERROR(_xlfn.XLOOKUP($B232,'Cronog. e Histog.'!$BZ:$BZ,'Cronog. e Histog.'!EF:EF),"")</f>
        <v>0</v>
      </c>
      <c r="BL232" s="144">
        <f>IFERROR(_xlfn.XLOOKUP($B232,'Cronog. e Histog.'!$BZ:$BZ,'Cronog. e Histog.'!EG:EG),"")</f>
        <v>0</v>
      </c>
      <c r="BM232" s="144">
        <f>IFERROR(_xlfn.XLOOKUP($B232,'Cronog. e Histog.'!$BZ:$BZ,'Cronog. e Histog.'!EH:EH),"")</f>
        <v>0</v>
      </c>
      <c r="BN232" s="144">
        <f>IFERROR(_xlfn.XLOOKUP($B232,'Cronog. e Histog.'!$BZ:$BZ,'Cronog. e Histog.'!EI:EI),"")</f>
        <v>0</v>
      </c>
    </row>
    <row r="233" spans="2:66" ht="12" hidden="1" customHeight="1" outlineLevel="1">
      <c r="B233" s="76">
        <v>227</v>
      </c>
      <c r="C233" s="143" t="str">
        <f>IFERROR(VLOOKUP(B233,'Cronog. e Histog.'!$BZ$213:$CA$747,2,0),"")</f>
        <v>AN SR. ENG/ARQ</v>
      </c>
      <c r="D233" s="144">
        <f t="shared" si="6"/>
        <v>0</v>
      </c>
      <c r="E233" s="144">
        <f t="shared" si="7"/>
        <v>0</v>
      </c>
      <c r="F233" s="65"/>
      <c r="G233" s="144">
        <f>IFERROR(_xlfn.XLOOKUP($B233,'Cronog. e Histog.'!$BZ:$BZ,'Cronog. e Histog.'!CB:CB),"")</f>
        <v>0</v>
      </c>
      <c r="H233" s="144">
        <f>IFERROR(_xlfn.XLOOKUP($B233,'Cronog. e Histog.'!$BZ:$BZ,'Cronog. e Histog.'!CC:CC),"")</f>
        <v>0</v>
      </c>
      <c r="I233" s="144">
        <f>IFERROR(_xlfn.XLOOKUP($B233,'Cronog. e Histog.'!$BZ:$BZ,'Cronog. e Histog.'!CD:CD),"")</f>
        <v>0</v>
      </c>
      <c r="J233" s="144">
        <f>IFERROR(_xlfn.XLOOKUP($B233,'Cronog. e Histog.'!$BZ:$BZ,'Cronog. e Histog.'!CE:CE),"")</f>
        <v>0</v>
      </c>
      <c r="K233" s="144">
        <f>IFERROR(_xlfn.XLOOKUP($B233,'Cronog. e Histog.'!$BZ:$BZ,'Cronog. e Histog.'!CF:CF),"")</f>
        <v>0</v>
      </c>
      <c r="L233" s="144">
        <f>IFERROR(_xlfn.XLOOKUP($B233,'Cronog. e Histog.'!$BZ:$BZ,'Cronog. e Histog.'!CG:CG),"")</f>
        <v>0</v>
      </c>
      <c r="M233" s="144">
        <f>IFERROR(_xlfn.XLOOKUP($B233,'Cronog. e Histog.'!$BZ:$BZ,'Cronog. e Histog.'!CH:CH),"")</f>
        <v>0</v>
      </c>
      <c r="N233" s="144">
        <f>IFERROR(_xlfn.XLOOKUP($B233,'Cronog. e Histog.'!$BZ:$BZ,'Cronog. e Histog.'!CI:CI),"")</f>
        <v>0</v>
      </c>
      <c r="O233" s="144">
        <f>IFERROR(_xlfn.XLOOKUP($B233,'Cronog. e Histog.'!$BZ:$BZ,'Cronog. e Histog.'!CJ:CJ),"")</f>
        <v>0</v>
      </c>
      <c r="P233" s="144">
        <f>IFERROR(_xlfn.XLOOKUP($B233,'Cronog. e Histog.'!$BZ:$BZ,'Cronog. e Histog.'!CK:CK),"")</f>
        <v>0</v>
      </c>
      <c r="Q233" s="144">
        <f>IFERROR(_xlfn.XLOOKUP($B233,'Cronog. e Histog.'!$BZ:$BZ,'Cronog. e Histog.'!CL:CL),"")</f>
        <v>0</v>
      </c>
      <c r="R233" s="144">
        <f>IFERROR(_xlfn.XLOOKUP($B233,'Cronog. e Histog.'!$BZ:$BZ,'Cronog. e Histog.'!CM:CM),"")</f>
        <v>0</v>
      </c>
      <c r="S233" s="144">
        <f>IFERROR(_xlfn.XLOOKUP($B233,'Cronog. e Histog.'!$BZ:$BZ,'Cronog. e Histog.'!CN:CN),"")</f>
        <v>0</v>
      </c>
      <c r="T233" s="144">
        <f>IFERROR(_xlfn.XLOOKUP($B233,'Cronog. e Histog.'!$BZ:$BZ,'Cronog. e Histog.'!CO:CO),"")</f>
        <v>0</v>
      </c>
      <c r="U233" s="144">
        <f>IFERROR(_xlfn.XLOOKUP($B233,'Cronog. e Histog.'!$BZ:$BZ,'Cronog. e Histog.'!CP:CP),"")</f>
        <v>0</v>
      </c>
      <c r="V233" s="144">
        <f>IFERROR(_xlfn.XLOOKUP($B233,'Cronog. e Histog.'!$BZ:$BZ,'Cronog. e Histog.'!CQ:CQ),"")</f>
        <v>0</v>
      </c>
      <c r="W233" s="144">
        <f>IFERROR(_xlfn.XLOOKUP($B233,'Cronog. e Histog.'!$BZ:$BZ,'Cronog. e Histog.'!CR:CR),"")</f>
        <v>0</v>
      </c>
      <c r="X233" s="144">
        <f>IFERROR(_xlfn.XLOOKUP($B233,'Cronog. e Histog.'!$BZ:$BZ,'Cronog. e Histog.'!CS:CS),"")</f>
        <v>0</v>
      </c>
      <c r="Y233" s="144">
        <f>IFERROR(_xlfn.XLOOKUP($B233,'Cronog. e Histog.'!$BZ:$BZ,'Cronog. e Histog.'!CT:CT),"")</f>
        <v>0</v>
      </c>
      <c r="Z233" s="144">
        <f>IFERROR(_xlfn.XLOOKUP($B233,'Cronog. e Histog.'!$BZ:$BZ,'Cronog. e Histog.'!CU:CU),"")</f>
        <v>0</v>
      </c>
      <c r="AA233" s="144">
        <f>IFERROR(_xlfn.XLOOKUP($B233,'Cronog. e Histog.'!$BZ:$BZ,'Cronog. e Histog.'!CV:CV),"")</f>
        <v>0</v>
      </c>
      <c r="AB233" s="144">
        <f>IFERROR(_xlfn.XLOOKUP($B233,'Cronog. e Histog.'!$BZ:$BZ,'Cronog. e Histog.'!CW:CW),"")</f>
        <v>0</v>
      </c>
      <c r="AC233" s="144">
        <f>IFERROR(_xlfn.XLOOKUP($B233,'Cronog. e Histog.'!$BZ:$BZ,'Cronog. e Histog.'!CX:CX),"")</f>
        <v>0</v>
      </c>
      <c r="AD233" s="144">
        <f>IFERROR(_xlfn.XLOOKUP($B233,'Cronog. e Histog.'!$BZ:$BZ,'Cronog. e Histog.'!CY:CY),"")</f>
        <v>0</v>
      </c>
      <c r="AE233" s="144">
        <f>IFERROR(_xlfn.XLOOKUP($B233,'Cronog. e Histog.'!$BZ:$BZ,'Cronog. e Histog.'!CZ:CZ),"")</f>
        <v>0</v>
      </c>
      <c r="AF233" s="144">
        <f>IFERROR(_xlfn.XLOOKUP($B233,'Cronog. e Histog.'!$BZ:$BZ,'Cronog. e Histog.'!DA:DA),"")</f>
        <v>0</v>
      </c>
      <c r="AG233" s="144">
        <f>IFERROR(_xlfn.XLOOKUP($B233,'Cronog. e Histog.'!$BZ:$BZ,'Cronog. e Histog.'!DB:DB),"")</f>
        <v>0</v>
      </c>
      <c r="AH233" s="144">
        <f>IFERROR(_xlfn.XLOOKUP($B233,'Cronog. e Histog.'!$BZ:$BZ,'Cronog. e Histog.'!DC:DC),"")</f>
        <v>0</v>
      </c>
      <c r="AI233" s="144">
        <f>IFERROR(_xlfn.XLOOKUP($B233,'Cronog. e Histog.'!$BZ:$BZ,'Cronog. e Histog.'!DD:DD),"")</f>
        <v>0</v>
      </c>
      <c r="AJ233" s="144">
        <f>IFERROR(_xlfn.XLOOKUP($B233,'Cronog. e Histog.'!$BZ:$BZ,'Cronog. e Histog.'!DE:DE),"")</f>
        <v>0</v>
      </c>
      <c r="AK233" s="144">
        <f>IFERROR(_xlfn.XLOOKUP($B233,'Cronog. e Histog.'!$BZ:$BZ,'Cronog. e Histog.'!DF:DF),"")</f>
        <v>0</v>
      </c>
      <c r="AL233" s="144">
        <f>IFERROR(_xlfn.XLOOKUP($B233,'Cronog. e Histog.'!$BZ:$BZ,'Cronog. e Histog.'!DG:DG),"")</f>
        <v>0</v>
      </c>
      <c r="AM233" s="144">
        <f>IFERROR(_xlfn.XLOOKUP($B233,'Cronog. e Histog.'!$BZ:$BZ,'Cronog. e Histog.'!DH:DH),"")</f>
        <v>0</v>
      </c>
      <c r="AN233" s="144">
        <f>IFERROR(_xlfn.XLOOKUP($B233,'Cronog. e Histog.'!$BZ:$BZ,'Cronog. e Histog.'!DI:DI),"")</f>
        <v>0</v>
      </c>
      <c r="AO233" s="144">
        <f>IFERROR(_xlfn.XLOOKUP($B233,'Cronog. e Histog.'!$BZ:$BZ,'Cronog. e Histog.'!DJ:DJ),"")</f>
        <v>0</v>
      </c>
      <c r="AP233" s="144">
        <f>IFERROR(_xlfn.XLOOKUP($B233,'Cronog. e Histog.'!$BZ:$BZ,'Cronog. e Histog.'!DK:DK),"")</f>
        <v>0</v>
      </c>
      <c r="AQ233" s="144">
        <f>IFERROR(_xlfn.XLOOKUP($B233,'Cronog. e Histog.'!$BZ:$BZ,'Cronog. e Histog.'!DL:DL),"")</f>
        <v>0</v>
      </c>
      <c r="AR233" s="144">
        <f>IFERROR(_xlfn.XLOOKUP($B233,'Cronog. e Histog.'!$BZ:$BZ,'Cronog. e Histog.'!DM:DM),"")</f>
        <v>0</v>
      </c>
      <c r="AS233" s="144">
        <f>IFERROR(_xlfn.XLOOKUP($B233,'Cronog. e Histog.'!$BZ:$BZ,'Cronog. e Histog.'!DN:DN),"")</f>
        <v>0</v>
      </c>
      <c r="AT233" s="144">
        <f>IFERROR(_xlfn.XLOOKUP($B233,'Cronog. e Histog.'!$BZ:$BZ,'Cronog. e Histog.'!DO:DO),"")</f>
        <v>0</v>
      </c>
      <c r="AU233" s="144">
        <f>IFERROR(_xlfn.XLOOKUP($B233,'Cronog. e Histog.'!$BZ:$BZ,'Cronog. e Histog.'!DP:DP),"")</f>
        <v>0</v>
      </c>
      <c r="AV233" s="144">
        <f>IFERROR(_xlfn.XLOOKUP($B233,'Cronog. e Histog.'!$BZ:$BZ,'Cronog. e Histog.'!DQ:DQ),"")</f>
        <v>0</v>
      </c>
      <c r="AW233" s="144">
        <f>IFERROR(_xlfn.XLOOKUP($B233,'Cronog. e Histog.'!$BZ:$BZ,'Cronog. e Histog.'!DR:DR),"")</f>
        <v>0</v>
      </c>
      <c r="AX233" s="144">
        <f>IFERROR(_xlfn.XLOOKUP($B233,'Cronog. e Histog.'!$BZ:$BZ,'Cronog. e Histog.'!DS:DS),"")</f>
        <v>0</v>
      </c>
      <c r="AY233" s="144">
        <f>IFERROR(_xlfn.XLOOKUP($B233,'Cronog. e Histog.'!$BZ:$BZ,'Cronog. e Histog.'!DT:DT),"")</f>
        <v>0</v>
      </c>
      <c r="AZ233" s="144">
        <f>IFERROR(_xlfn.XLOOKUP($B233,'Cronog. e Histog.'!$BZ:$BZ,'Cronog. e Histog.'!DU:DU),"")</f>
        <v>0</v>
      </c>
      <c r="BA233" s="144">
        <f>IFERROR(_xlfn.XLOOKUP($B233,'Cronog. e Histog.'!$BZ:$BZ,'Cronog. e Histog.'!DV:DV),"")</f>
        <v>0</v>
      </c>
      <c r="BB233" s="144">
        <f>IFERROR(_xlfn.XLOOKUP($B233,'Cronog. e Histog.'!$BZ:$BZ,'Cronog. e Histog.'!DW:DW),"")</f>
        <v>0</v>
      </c>
      <c r="BC233" s="144">
        <f>IFERROR(_xlfn.XLOOKUP($B233,'Cronog. e Histog.'!$BZ:$BZ,'Cronog. e Histog.'!DX:DX),"")</f>
        <v>0</v>
      </c>
      <c r="BD233" s="144">
        <f>IFERROR(_xlfn.XLOOKUP($B233,'Cronog. e Histog.'!$BZ:$BZ,'Cronog. e Histog.'!DY:DY),"")</f>
        <v>0</v>
      </c>
      <c r="BE233" s="144">
        <f>IFERROR(_xlfn.XLOOKUP($B233,'Cronog. e Histog.'!$BZ:$BZ,'Cronog. e Histog.'!DZ:DZ),"")</f>
        <v>0</v>
      </c>
      <c r="BF233" s="144">
        <f>IFERROR(_xlfn.XLOOKUP($B233,'Cronog. e Histog.'!$BZ:$BZ,'Cronog. e Histog.'!EA:EA),"")</f>
        <v>0</v>
      </c>
      <c r="BG233" s="144">
        <f>IFERROR(_xlfn.XLOOKUP($B233,'Cronog. e Histog.'!$BZ:$BZ,'Cronog. e Histog.'!EB:EB),"")</f>
        <v>0</v>
      </c>
      <c r="BH233" s="144">
        <f>IFERROR(_xlfn.XLOOKUP($B233,'Cronog. e Histog.'!$BZ:$BZ,'Cronog. e Histog.'!EC:EC),"")</f>
        <v>0</v>
      </c>
      <c r="BI233" s="144">
        <f>IFERROR(_xlfn.XLOOKUP($B233,'Cronog. e Histog.'!$BZ:$BZ,'Cronog. e Histog.'!ED:ED),"")</f>
        <v>0</v>
      </c>
      <c r="BJ233" s="144">
        <f>IFERROR(_xlfn.XLOOKUP($B233,'Cronog. e Histog.'!$BZ:$BZ,'Cronog. e Histog.'!EE:EE),"")</f>
        <v>0</v>
      </c>
      <c r="BK233" s="144">
        <f>IFERROR(_xlfn.XLOOKUP($B233,'Cronog. e Histog.'!$BZ:$BZ,'Cronog. e Histog.'!EF:EF),"")</f>
        <v>0</v>
      </c>
      <c r="BL233" s="144">
        <f>IFERROR(_xlfn.XLOOKUP($B233,'Cronog. e Histog.'!$BZ:$BZ,'Cronog. e Histog.'!EG:EG),"")</f>
        <v>0</v>
      </c>
      <c r="BM233" s="144">
        <f>IFERROR(_xlfn.XLOOKUP($B233,'Cronog. e Histog.'!$BZ:$BZ,'Cronog. e Histog.'!EH:EH),"")</f>
        <v>0</v>
      </c>
      <c r="BN233" s="144">
        <f>IFERROR(_xlfn.XLOOKUP($B233,'Cronog. e Histog.'!$BZ:$BZ,'Cronog. e Histog.'!EI:EI),"")</f>
        <v>0</v>
      </c>
    </row>
    <row r="234" spans="2:66" ht="12" hidden="1" customHeight="1" outlineLevel="1">
      <c r="B234" s="76">
        <v>228</v>
      </c>
      <c r="C234" s="143" t="str">
        <f>IFERROR(VLOOKUP(B234,'Cronog. e Histog.'!$BZ$213:$CA$747,2,0),"")</f>
        <v>AN PL. ENG/ARQ</v>
      </c>
      <c r="D234" s="144">
        <f t="shared" si="6"/>
        <v>0</v>
      </c>
      <c r="E234" s="144">
        <f t="shared" si="7"/>
        <v>0</v>
      </c>
      <c r="F234" s="65"/>
      <c r="G234" s="144">
        <f>IFERROR(_xlfn.XLOOKUP($B234,'Cronog. e Histog.'!$BZ:$BZ,'Cronog. e Histog.'!CB:CB),"")</f>
        <v>0</v>
      </c>
      <c r="H234" s="144">
        <f>IFERROR(_xlfn.XLOOKUP($B234,'Cronog. e Histog.'!$BZ:$BZ,'Cronog. e Histog.'!CC:CC),"")</f>
        <v>0</v>
      </c>
      <c r="I234" s="144">
        <f>IFERROR(_xlfn.XLOOKUP($B234,'Cronog. e Histog.'!$BZ:$BZ,'Cronog. e Histog.'!CD:CD),"")</f>
        <v>0</v>
      </c>
      <c r="J234" s="144">
        <f>IFERROR(_xlfn.XLOOKUP($B234,'Cronog. e Histog.'!$BZ:$BZ,'Cronog. e Histog.'!CE:CE),"")</f>
        <v>0</v>
      </c>
      <c r="K234" s="144">
        <f>IFERROR(_xlfn.XLOOKUP($B234,'Cronog. e Histog.'!$BZ:$BZ,'Cronog. e Histog.'!CF:CF),"")</f>
        <v>0</v>
      </c>
      <c r="L234" s="144">
        <f>IFERROR(_xlfn.XLOOKUP($B234,'Cronog. e Histog.'!$BZ:$BZ,'Cronog. e Histog.'!CG:CG),"")</f>
        <v>0</v>
      </c>
      <c r="M234" s="144">
        <f>IFERROR(_xlfn.XLOOKUP($B234,'Cronog. e Histog.'!$BZ:$BZ,'Cronog. e Histog.'!CH:CH),"")</f>
        <v>0</v>
      </c>
      <c r="N234" s="144">
        <f>IFERROR(_xlfn.XLOOKUP($B234,'Cronog. e Histog.'!$BZ:$BZ,'Cronog. e Histog.'!CI:CI),"")</f>
        <v>0</v>
      </c>
      <c r="O234" s="144">
        <f>IFERROR(_xlfn.XLOOKUP($B234,'Cronog. e Histog.'!$BZ:$BZ,'Cronog. e Histog.'!CJ:CJ),"")</f>
        <v>0</v>
      </c>
      <c r="P234" s="144">
        <f>IFERROR(_xlfn.XLOOKUP($B234,'Cronog. e Histog.'!$BZ:$BZ,'Cronog. e Histog.'!CK:CK),"")</f>
        <v>0</v>
      </c>
      <c r="Q234" s="144">
        <f>IFERROR(_xlfn.XLOOKUP($B234,'Cronog. e Histog.'!$BZ:$BZ,'Cronog. e Histog.'!CL:CL),"")</f>
        <v>0</v>
      </c>
      <c r="R234" s="144">
        <f>IFERROR(_xlfn.XLOOKUP($B234,'Cronog. e Histog.'!$BZ:$BZ,'Cronog. e Histog.'!CM:CM),"")</f>
        <v>0</v>
      </c>
      <c r="S234" s="144">
        <f>IFERROR(_xlfn.XLOOKUP($B234,'Cronog. e Histog.'!$BZ:$BZ,'Cronog. e Histog.'!CN:CN),"")</f>
        <v>0</v>
      </c>
      <c r="T234" s="144">
        <f>IFERROR(_xlfn.XLOOKUP($B234,'Cronog. e Histog.'!$BZ:$BZ,'Cronog. e Histog.'!CO:CO),"")</f>
        <v>0</v>
      </c>
      <c r="U234" s="144">
        <f>IFERROR(_xlfn.XLOOKUP($B234,'Cronog. e Histog.'!$BZ:$BZ,'Cronog. e Histog.'!CP:CP),"")</f>
        <v>0</v>
      </c>
      <c r="V234" s="144">
        <f>IFERROR(_xlfn.XLOOKUP($B234,'Cronog. e Histog.'!$BZ:$BZ,'Cronog. e Histog.'!CQ:CQ),"")</f>
        <v>0</v>
      </c>
      <c r="W234" s="144">
        <f>IFERROR(_xlfn.XLOOKUP($B234,'Cronog. e Histog.'!$BZ:$BZ,'Cronog. e Histog.'!CR:CR),"")</f>
        <v>0</v>
      </c>
      <c r="X234" s="144">
        <f>IFERROR(_xlfn.XLOOKUP($B234,'Cronog. e Histog.'!$BZ:$BZ,'Cronog. e Histog.'!CS:CS),"")</f>
        <v>0</v>
      </c>
      <c r="Y234" s="144">
        <f>IFERROR(_xlfn.XLOOKUP($B234,'Cronog. e Histog.'!$BZ:$BZ,'Cronog. e Histog.'!CT:CT),"")</f>
        <v>0</v>
      </c>
      <c r="Z234" s="144">
        <f>IFERROR(_xlfn.XLOOKUP($B234,'Cronog. e Histog.'!$BZ:$BZ,'Cronog. e Histog.'!CU:CU),"")</f>
        <v>0</v>
      </c>
      <c r="AA234" s="144">
        <f>IFERROR(_xlfn.XLOOKUP($B234,'Cronog. e Histog.'!$BZ:$BZ,'Cronog. e Histog.'!CV:CV),"")</f>
        <v>0</v>
      </c>
      <c r="AB234" s="144">
        <f>IFERROR(_xlfn.XLOOKUP($B234,'Cronog. e Histog.'!$BZ:$BZ,'Cronog. e Histog.'!CW:CW),"")</f>
        <v>0</v>
      </c>
      <c r="AC234" s="144">
        <f>IFERROR(_xlfn.XLOOKUP($B234,'Cronog. e Histog.'!$BZ:$BZ,'Cronog. e Histog.'!CX:CX),"")</f>
        <v>0</v>
      </c>
      <c r="AD234" s="144">
        <f>IFERROR(_xlfn.XLOOKUP($B234,'Cronog. e Histog.'!$BZ:$BZ,'Cronog. e Histog.'!CY:CY),"")</f>
        <v>0</v>
      </c>
      <c r="AE234" s="144">
        <f>IFERROR(_xlfn.XLOOKUP($B234,'Cronog. e Histog.'!$BZ:$BZ,'Cronog. e Histog.'!CZ:CZ),"")</f>
        <v>0</v>
      </c>
      <c r="AF234" s="144">
        <f>IFERROR(_xlfn.XLOOKUP($B234,'Cronog. e Histog.'!$BZ:$BZ,'Cronog. e Histog.'!DA:DA),"")</f>
        <v>0</v>
      </c>
      <c r="AG234" s="144">
        <f>IFERROR(_xlfn.XLOOKUP($B234,'Cronog. e Histog.'!$BZ:$BZ,'Cronog. e Histog.'!DB:DB),"")</f>
        <v>0</v>
      </c>
      <c r="AH234" s="144">
        <f>IFERROR(_xlfn.XLOOKUP($B234,'Cronog. e Histog.'!$BZ:$BZ,'Cronog. e Histog.'!DC:DC),"")</f>
        <v>0</v>
      </c>
      <c r="AI234" s="144">
        <f>IFERROR(_xlfn.XLOOKUP($B234,'Cronog. e Histog.'!$BZ:$BZ,'Cronog. e Histog.'!DD:DD),"")</f>
        <v>0</v>
      </c>
      <c r="AJ234" s="144">
        <f>IFERROR(_xlfn.XLOOKUP($B234,'Cronog. e Histog.'!$BZ:$BZ,'Cronog. e Histog.'!DE:DE),"")</f>
        <v>0</v>
      </c>
      <c r="AK234" s="144">
        <f>IFERROR(_xlfn.XLOOKUP($B234,'Cronog. e Histog.'!$BZ:$BZ,'Cronog. e Histog.'!DF:DF),"")</f>
        <v>0</v>
      </c>
      <c r="AL234" s="144">
        <f>IFERROR(_xlfn.XLOOKUP($B234,'Cronog. e Histog.'!$BZ:$BZ,'Cronog. e Histog.'!DG:DG),"")</f>
        <v>0</v>
      </c>
      <c r="AM234" s="144">
        <f>IFERROR(_xlfn.XLOOKUP($B234,'Cronog. e Histog.'!$BZ:$BZ,'Cronog. e Histog.'!DH:DH),"")</f>
        <v>0</v>
      </c>
      <c r="AN234" s="144">
        <f>IFERROR(_xlfn.XLOOKUP($B234,'Cronog. e Histog.'!$BZ:$BZ,'Cronog. e Histog.'!DI:DI),"")</f>
        <v>0</v>
      </c>
      <c r="AO234" s="144">
        <f>IFERROR(_xlfn.XLOOKUP($B234,'Cronog. e Histog.'!$BZ:$BZ,'Cronog. e Histog.'!DJ:DJ),"")</f>
        <v>0</v>
      </c>
      <c r="AP234" s="144">
        <f>IFERROR(_xlfn.XLOOKUP($B234,'Cronog. e Histog.'!$BZ:$BZ,'Cronog. e Histog.'!DK:DK),"")</f>
        <v>0</v>
      </c>
      <c r="AQ234" s="144">
        <f>IFERROR(_xlfn.XLOOKUP($B234,'Cronog. e Histog.'!$BZ:$BZ,'Cronog. e Histog.'!DL:DL),"")</f>
        <v>0</v>
      </c>
      <c r="AR234" s="144">
        <f>IFERROR(_xlfn.XLOOKUP($B234,'Cronog. e Histog.'!$BZ:$BZ,'Cronog. e Histog.'!DM:DM),"")</f>
        <v>0</v>
      </c>
      <c r="AS234" s="144">
        <f>IFERROR(_xlfn.XLOOKUP($B234,'Cronog. e Histog.'!$BZ:$BZ,'Cronog. e Histog.'!DN:DN),"")</f>
        <v>0</v>
      </c>
      <c r="AT234" s="144">
        <f>IFERROR(_xlfn.XLOOKUP($B234,'Cronog. e Histog.'!$BZ:$BZ,'Cronog. e Histog.'!DO:DO),"")</f>
        <v>0</v>
      </c>
      <c r="AU234" s="144">
        <f>IFERROR(_xlfn.XLOOKUP($B234,'Cronog. e Histog.'!$BZ:$BZ,'Cronog. e Histog.'!DP:DP),"")</f>
        <v>0</v>
      </c>
      <c r="AV234" s="144">
        <f>IFERROR(_xlfn.XLOOKUP($B234,'Cronog. e Histog.'!$BZ:$BZ,'Cronog. e Histog.'!DQ:DQ),"")</f>
        <v>0</v>
      </c>
      <c r="AW234" s="144">
        <f>IFERROR(_xlfn.XLOOKUP($B234,'Cronog. e Histog.'!$BZ:$BZ,'Cronog. e Histog.'!DR:DR),"")</f>
        <v>0</v>
      </c>
      <c r="AX234" s="144">
        <f>IFERROR(_xlfn.XLOOKUP($B234,'Cronog. e Histog.'!$BZ:$BZ,'Cronog. e Histog.'!DS:DS),"")</f>
        <v>0</v>
      </c>
      <c r="AY234" s="144">
        <f>IFERROR(_xlfn.XLOOKUP($B234,'Cronog. e Histog.'!$BZ:$BZ,'Cronog. e Histog.'!DT:DT),"")</f>
        <v>0</v>
      </c>
      <c r="AZ234" s="144">
        <f>IFERROR(_xlfn.XLOOKUP($B234,'Cronog. e Histog.'!$BZ:$BZ,'Cronog. e Histog.'!DU:DU),"")</f>
        <v>0</v>
      </c>
      <c r="BA234" s="144">
        <f>IFERROR(_xlfn.XLOOKUP($B234,'Cronog. e Histog.'!$BZ:$BZ,'Cronog. e Histog.'!DV:DV),"")</f>
        <v>0</v>
      </c>
      <c r="BB234" s="144">
        <f>IFERROR(_xlfn.XLOOKUP($B234,'Cronog. e Histog.'!$BZ:$BZ,'Cronog. e Histog.'!DW:DW),"")</f>
        <v>0</v>
      </c>
      <c r="BC234" s="144">
        <f>IFERROR(_xlfn.XLOOKUP($B234,'Cronog. e Histog.'!$BZ:$BZ,'Cronog. e Histog.'!DX:DX),"")</f>
        <v>0</v>
      </c>
      <c r="BD234" s="144">
        <f>IFERROR(_xlfn.XLOOKUP($B234,'Cronog. e Histog.'!$BZ:$BZ,'Cronog. e Histog.'!DY:DY),"")</f>
        <v>0</v>
      </c>
      <c r="BE234" s="144">
        <f>IFERROR(_xlfn.XLOOKUP($B234,'Cronog. e Histog.'!$BZ:$BZ,'Cronog. e Histog.'!DZ:DZ),"")</f>
        <v>0</v>
      </c>
      <c r="BF234" s="144">
        <f>IFERROR(_xlfn.XLOOKUP($B234,'Cronog. e Histog.'!$BZ:$BZ,'Cronog. e Histog.'!EA:EA),"")</f>
        <v>0</v>
      </c>
      <c r="BG234" s="144">
        <f>IFERROR(_xlfn.XLOOKUP($B234,'Cronog. e Histog.'!$BZ:$BZ,'Cronog. e Histog.'!EB:EB),"")</f>
        <v>0</v>
      </c>
      <c r="BH234" s="144">
        <f>IFERROR(_xlfn.XLOOKUP($B234,'Cronog. e Histog.'!$BZ:$BZ,'Cronog. e Histog.'!EC:EC),"")</f>
        <v>0</v>
      </c>
      <c r="BI234" s="144">
        <f>IFERROR(_xlfn.XLOOKUP($B234,'Cronog. e Histog.'!$BZ:$BZ,'Cronog. e Histog.'!ED:ED),"")</f>
        <v>0</v>
      </c>
      <c r="BJ234" s="144">
        <f>IFERROR(_xlfn.XLOOKUP($B234,'Cronog. e Histog.'!$BZ:$BZ,'Cronog. e Histog.'!EE:EE),"")</f>
        <v>0</v>
      </c>
      <c r="BK234" s="144">
        <f>IFERROR(_xlfn.XLOOKUP($B234,'Cronog. e Histog.'!$BZ:$BZ,'Cronog. e Histog.'!EF:EF),"")</f>
        <v>0</v>
      </c>
      <c r="BL234" s="144">
        <f>IFERROR(_xlfn.XLOOKUP($B234,'Cronog. e Histog.'!$BZ:$BZ,'Cronog. e Histog.'!EG:EG),"")</f>
        <v>0</v>
      </c>
      <c r="BM234" s="144">
        <f>IFERROR(_xlfn.XLOOKUP($B234,'Cronog. e Histog.'!$BZ:$BZ,'Cronog. e Histog.'!EH:EH),"")</f>
        <v>0</v>
      </c>
      <c r="BN234" s="144">
        <f>IFERROR(_xlfn.XLOOKUP($B234,'Cronog. e Histog.'!$BZ:$BZ,'Cronog. e Histog.'!EI:EI),"")</f>
        <v>0</v>
      </c>
    </row>
    <row r="235" spans="2:66" ht="12" hidden="1" customHeight="1" outlineLevel="1">
      <c r="B235" s="76">
        <v>229</v>
      </c>
      <c r="C235" s="143" t="str">
        <f>IFERROR(VLOOKUP(B235,'Cronog. e Histog.'!$BZ$213:$CA$747,2,0),"")</f>
        <v>AN JR. ENG/ARQ</v>
      </c>
      <c r="D235" s="144">
        <f t="shared" si="6"/>
        <v>0</v>
      </c>
      <c r="E235" s="144">
        <f t="shared" si="7"/>
        <v>0</v>
      </c>
      <c r="F235" s="65"/>
      <c r="G235" s="144">
        <f>IFERROR(_xlfn.XLOOKUP($B235,'Cronog. e Histog.'!$BZ:$BZ,'Cronog. e Histog.'!CB:CB),"")</f>
        <v>0</v>
      </c>
      <c r="H235" s="144">
        <f>IFERROR(_xlfn.XLOOKUP($B235,'Cronog. e Histog.'!$BZ:$BZ,'Cronog. e Histog.'!CC:CC),"")</f>
        <v>0</v>
      </c>
      <c r="I235" s="144">
        <f>IFERROR(_xlfn.XLOOKUP($B235,'Cronog. e Histog.'!$BZ:$BZ,'Cronog. e Histog.'!CD:CD),"")</f>
        <v>0</v>
      </c>
      <c r="J235" s="144">
        <f>IFERROR(_xlfn.XLOOKUP($B235,'Cronog. e Histog.'!$BZ:$BZ,'Cronog. e Histog.'!CE:CE),"")</f>
        <v>0</v>
      </c>
      <c r="K235" s="144">
        <f>IFERROR(_xlfn.XLOOKUP($B235,'Cronog. e Histog.'!$BZ:$BZ,'Cronog. e Histog.'!CF:CF),"")</f>
        <v>0</v>
      </c>
      <c r="L235" s="144">
        <f>IFERROR(_xlfn.XLOOKUP($B235,'Cronog. e Histog.'!$BZ:$BZ,'Cronog. e Histog.'!CG:CG),"")</f>
        <v>0</v>
      </c>
      <c r="M235" s="144">
        <f>IFERROR(_xlfn.XLOOKUP($B235,'Cronog. e Histog.'!$BZ:$BZ,'Cronog. e Histog.'!CH:CH),"")</f>
        <v>0</v>
      </c>
      <c r="N235" s="144">
        <f>IFERROR(_xlfn.XLOOKUP($B235,'Cronog. e Histog.'!$BZ:$BZ,'Cronog. e Histog.'!CI:CI),"")</f>
        <v>0</v>
      </c>
      <c r="O235" s="144">
        <f>IFERROR(_xlfn.XLOOKUP($B235,'Cronog. e Histog.'!$BZ:$BZ,'Cronog. e Histog.'!CJ:CJ),"")</f>
        <v>0</v>
      </c>
      <c r="P235" s="144">
        <f>IFERROR(_xlfn.XLOOKUP($B235,'Cronog. e Histog.'!$BZ:$BZ,'Cronog. e Histog.'!CK:CK),"")</f>
        <v>0</v>
      </c>
      <c r="Q235" s="144">
        <f>IFERROR(_xlfn.XLOOKUP($B235,'Cronog. e Histog.'!$BZ:$BZ,'Cronog. e Histog.'!CL:CL),"")</f>
        <v>0</v>
      </c>
      <c r="R235" s="144">
        <f>IFERROR(_xlfn.XLOOKUP($B235,'Cronog. e Histog.'!$BZ:$BZ,'Cronog. e Histog.'!CM:CM),"")</f>
        <v>0</v>
      </c>
      <c r="S235" s="144">
        <f>IFERROR(_xlfn.XLOOKUP($B235,'Cronog. e Histog.'!$BZ:$BZ,'Cronog. e Histog.'!CN:CN),"")</f>
        <v>0</v>
      </c>
      <c r="T235" s="144">
        <f>IFERROR(_xlfn.XLOOKUP($B235,'Cronog. e Histog.'!$BZ:$BZ,'Cronog. e Histog.'!CO:CO),"")</f>
        <v>0</v>
      </c>
      <c r="U235" s="144">
        <f>IFERROR(_xlfn.XLOOKUP($B235,'Cronog. e Histog.'!$BZ:$BZ,'Cronog. e Histog.'!CP:CP),"")</f>
        <v>0</v>
      </c>
      <c r="V235" s="144">
        <f>IFERROR(_xlfn.XLOOKUP($B235,'Cronog. e Histog.'!$BZ:$BZ,'Cronog. e Histog.'!CQ:CQ),"")</f>
        <v>0</v>
      </c>
      <c r="W235" s="144">
        <f>IFERROR(_xlfn.XLOOKUP($B235,'Cronog. e Histog.'!$BZ:$BZ,'Cronog. e Histog.'!CR:CR),"")</f>
        <v>0</v>
      </c>
      <c r="X235" s="144">
        <f>IFERROR(_xlfn.XLOOKUP($B235,'Cronog. e Histog.'!$BZ:$BZ,'Cronog. e Histog.'!CS:CS),"")</f>
        <v>0</v>
      </c>
      <c r="Y235" s="144">
        <f>IFERROR(_xlfn.XLOOKUP($B235,'Cronog. e Histog.'!$BZ:$BZ,'Cronog. e Histog.'!CT:CT),"")</f>
        <v>0</v>
      </c>
      <c r="Z235" s="144">
        <f>IFERROR(_xlfn.XLOOKUP($B235,'Cronog. e Histog.'!$BZ:$BZ,'Cronog. e Histog.'!CU:CU),"")</f>
        <v>0</v>
      </c>
      <c r="AA235" s="144">
        <f>IFERROR(_xlfn.XLOOKUP($B235,'Cronog. e Histog.'!$BZ:$BZ,'Cronog. e Histog.'!CV:CV),"")</f>
        <v>0</v>
      </c>
      <c r="AB235" s="144">
        <f>IFERROR(_xlfn.XLOOKUP($B235,'Cronog. e Histog.'!$BZ:$BZ,'Cronog. e Histog.'!CW:CW),"")</f>
        <v>0</v>
      </c>
      <c r="AC235" s="144">
        <f>IFERROR(_xlfn.XLOOKUP($B235,'Cronog. e Histog.'!$BZ:$BZ,'Cronog. e Histog.'!CX:CX),"")</f>
        <v>0</v>
      </c>
      <c r="AD235" s="144">
        <f>IFERROR(_xlfn.XLOOKUP($B235,'Cronog. e Histog.'!$BZ:$BZ,'Cronog. e Histog.'!CY:CY),"")</f>
        <v>0</v>
      </c>
      <c r="AE235" s="144">
        <f>IFERROR(_xlfn.XLOOKUP($B235,'Cronog. e Histog.'!$BZ:$BZ,'Cronog. e Histog.'!CZ:CZ),"")</f>
        <v>0</v>
      </c>
      <c r="AF235" s="144">
        <f>IFERROR(_xlfn.XLOOKUP($B235,'Cronog. e Histog.'!$BZ:$BZ,'Cronog. e Histog.'!DA:DA),"")</f>
        <v>0</v>
      </c>
      <c r="AG235" s="144">
        <f>IFERROR(_xlfn.XLOOKUP($B235,'Cronog. e Histog.'!$BZ:$BZ,'Cronog. e Histog.'!DB:DB),"")</f>
        <v>0</v>
      </c>
      <c r="AH235" s="144">
        <f>IFERROR(_xlfn.XLOOKUP($B235,'Cronog. e Histog.'!$BZ:$BZ,'Cronog. e Histog.'!DC:DC),"")</f>
        <v>0</v>
      </c>
      <c r="AI235" s="144">
        <f>IFERROR(_xlfn.XLOOKUP($B235,'Cronog. e Histog.'!$BZ:$BZ,'Cronog. e Histog.'!DD:DD),"")</f>
        <v>0</v>
      </c>
      <c r="AJ235" s="144">
        <f>IFERROR(_xlfn.XLOOKUP($B235,'Cronog. e Histog.'!$BZ:$BZ,'Cronog. e Histog.'!DE:DE),"")</f>
        <v>0</v>
      </c>
      <c r="AK235" s="144">
        <f>IFERROR(_xlfn.XLOOKUP($B235,'Cronog. e Histog.'!$BZ:$BZ,'Cronog. e Histog.'!DF:DF),"")</f>
        <v>0</v>
      </c>
      <c r="AL235" s="144">
        <f>IFERROR(_xlfn.XLOOKUP($B235,'Cronog. e Histog.'!$BZ:$BZ,'Cronog. e Histog.'!DG:DG),"")</f>
        <v>0</v>
      </c>
      <c r="AM235" s="144">
        <f>IFERROR(_xlfn.XLOOKUP($B235,'Cronog. e Histog.'!$BZ:$BZ,'Cronog. e Histog.'!DH:DH),"")</f>
        <v>0</v>
      </c>
      <c r="AN235" s="144">
        <f>IFERROR(_xlfn.XLOOKUP($B235,'Cronog. e Histog.'!$BZ:$BZ,'Cronog. e Histog.'!DI:DI),"")</f>
        <v>0</v>
      </c>
      <c r="AO235" s="144">
        <f>IFERROR(_xlfn.XLOOKUP($B235,'Cronog. e Histog.'!$BZ:$BZ,'Cronog. e Histog.'!DJ:DJ),"")</f>
        <v>0</v>
      </c>
      <c r="AP235" s="144">
        <f>IFERROR(_xlfn.XLOOKUP($B235,'Cronog. e Histog.'!$BZ:$BZ,'Cronog. e Histog.'!DK:DK),"")</f>
        <v>0</v>
      </c>
      <c r="AQ235" s="144">
        <f>IFERROR(_xlfn.XLOOKUP($B235,'Cronog. e Histog.'!$BZ:$BZ,'Cronog. e Histog.'!DL:DL),"")</f>
        <v>0</v>
      </c>
      <c r="AR235" s="144">
        <f>IFERROR(_xlfn.XLOOKUP($B235,'Cronog. e Histog.'!$BZ:$BZ,'Cronog. e Histog.'!DM:DM),"")</f>
        <v>0</v>
      </c>
      <c r="AS235" s="144">
        <f>IFERROR(_xlfn.XLOOKUP($B235,'Cronog. e Histog.'!$BZ:$BZ,'Cronog. e Histog.'!DN:DN),"")</f>
        <v>0</v>
      </c>
      <c r="AT235" s="144">
        <f>IFERROR(_xlfn.XLOOKUP($B235,'Cronog. e Histog.'!$BZ:$BZ,'Cronog. e Histog.'!DO:DO),"")</f>
        <v>0</v>
      </c>
      <c r="AU235" s="144">
        <f>IFERROR(_xlfn.XLOOKUP($B235,'Cronog. e Histog.'!$BZ:$BZ,'Cronog. e Histog.'!DP:DP),"")</f>
        <v>0</v>
      </c>
      <c r="AV235" s="144">
        <f>IFERROR(_xlfn.XLOOKUP($B235,'Cronog. e Histog.'!$BZ:$BZ,'Cronog. e Histog.'!DQ:DQ),"")</f>
        <v>0</v>
      </c>
      <c r="AW235" s="144">
        <f>IFERROR(_xlfn.XLOOKUP($B235,'Cronog. e Histog.'!$BZ:$BZ,'Cronog. e Histog.'!DR:DR),"")</f>
        <v>0</v>
      </c>
      <c r="AX235" s="144">
        <f>IFERROR(_xlfn.XLOOKUP($B235,'Cronog. e Histog.'!$BZ:$BZ,'Cronog. e Histog.'!DS:DS),"")</f>
        <v>0</v>
      </c>
      <c r="AY235" s="144">
        <f>IFERROR(_xlfn.XLOOKUP($B235,'Cronog. e Histog.'!$BZ:$BZ,'Cronog. e Histog.'!DT:DT),"")</f>
        <v>0</v>
      </c>
      <c r="AZ235" s="144">
        <f>IFERROR(_xlfn.XLOOKUP($B235,'Cronog. e Histog.'!$BZ:$BZ,'Cronog. e Histog.'!DU:DU),"")</f>
        <v>0</v>
      </c>
      <c r="BA235" s="144">
        <f>IFERROR(_xlfn.XLOOKUP($B235,'Cronog. e Histog.'!$BZ:$BZ,'Cronog. e Histog.'!DV:DV),"")</f>
        <v>0</v>
      </c>
      <c r="BB235" s="144">
        <f>IFERROR(_xlfn.XLOOKUP($B235,'Cronog. e Histog.'!$BZ:$BZ,'Cronog. e Histog.'!DW:DW),"")</f>
        <v>0</v>
      </c>
      <c r="BC235" s="144">
        <f>IFERROR(_xlfn.XLOOKUP($B235,'Cronog. e Histog.'!$BZ:$BZ,'Cronog. e Histog.'!DX:DX),"")</f>
        <v>0</v>
      </c>
      <c r="BD235" s="144">
        <f>IFERROR(_xlfn.XLOOKUP($B235,'Cronog. e Histog.'!$BZ:$BZ,'Cronog. e Histog.'!DY:DY),"")</f>
        <v>0</v>
      </c>
      <c r="BE235" s="144">
        <f>IFERROR(_xlfn.XLOOKUP($B235,'Cronog. e Histog.'!$BZ:$BZ,'Cronog. e Histog.'!DZ:DZ),"")</f>
        <v>0</v>
      </c>
      <c r="BF235" s="144">
        <f>IFERROR(_xlfn.XLOOKUP($B235,'Cronog. e Histog.'!$BZ:$BZ,'Cronog. e Histog.'!EA:EA),"")</f>
        <v>0</v>
      </c>
      <c r="BG235" s="144">
        <f>IFERROR(_xlfn.XLOOKUP($B235,'Cronog. e Histog.'!$BZ:$BZ,'Cronog. e Histog.'!EB:EB),"")</f>
        <v>0</v>
      </c>
      <c r="BH235" s="144">
        <f>IFERROR(_xlfn.XLOOKUP($B235,'Cronog. e Histog.'!$BZ:$BZ,'Cronog. e Histog.'!EC:EC),"")</f>
        <v>0</v>
      </c>
      <c r="BI235" s="144">
        <f>IFERROR(_xlfn.XLOOKUP($B235,'Cronog. e Histog.'!$BZ:$BZ,'Cronog. e Histog.'!ED:ED),"")</f>
        <v>0</v>
      </c>
      <c r="BJ235" s="144">
        <f>IFERROR(_xlfn.XLOOKUP($B235,'Cronog. e Histog.'!$BZ:$BZ,'Cronog. e Histog.'!EE:EE),"")</f>
        <v>0</v>
      </c>
      <c r="BK235" s="144">
        <f>IFERROR(_xlfn.XLOOKUP($B235,'Cronog. e Histog.'!$BZ:$BZ,'Cronog. e Histog.'!EF:EF),"")</f>
        <v>0</v>
      </c>
      <c r="BL235" s="144">
        <f>IFERROR(_xlfn.XLOOKUP($B235,'Cronog. e Histog.'!$BZ:$BZ,'Cronog. e Histog.'!EG:EG),"")</f>
        <v>0</v>
      </c>
      <c r="BM235" s="144">
        <f>IFERROR(_xlfn.XLOOKUP($B235,'Cronog. e Histog.'!$BZ:$BZ,'Cronog. e Histog.'!EH:EH),"")</f>
        <v>0</v>
      </c>
      <c r="BN235" s="144">
        <f>IFERROR(_xlfn.XLOOKUP($B235,'Cronog. e Histog.'!$BZ:$BZ,'Cronog. e Histog.'!EI:EI),"")</f>
        <v>0</v>
      </c>
    </row>
    <row r="236" spans="2:66" ht="12" hidden="1" customHeight="1" outlineLevel="1">
      <c r="B236" s="76">
        <v>230</v>
      </c>
      <c r="C236" s="143" t="str">
        <f>IFERROR(VLOOKUP(B236,'Cronog. e Histog.'!$BZ$213:$CA$747,2,0),"")</f>
        <v>AN SR. ADM/CRP</v>
      </c>
      <c r="D236" s="144">
        <f t="shared" si="6"/>
        <v>0</v>
      </c>
      <c r="E236" s="144">
        <f t="shared" si="7"/>
        <v>0</v>
      </c>
      <c r="F236" s="65"/>
      <c r="G236" s="144">
        <f>IFERROR(_xlfn.XLOOKUP($B236,'Cronog. e Histog.'!$BZ:$BZ,'Cronog. e Histog.'!CB:CB),"")</f>
        <v>0</v>
      </c>
      <c r="H236" s="144">
        <f>IFERROR(_xlfn.XLOOKUP($B236,'Cronog. e Histog.'!$BZ:$BZ,'Cronog. e Histog.'!CC:CC),"")</f>
        <v>0</v>
      </c>
      <c r="I236" s="144">
        <f>IFERROR(_xlfn.XLOOKUP($B236,'Cronog. e Histog.'!$BZ:$BZ,'Cronog. e Histog.'!CD:CD),"")</f>
        <v>0</v>
      </c>
      <c r="J236" s="144">
        <f>IFERROR(_xlfn.XLOOKUP($B236,'Cronog. e Histog.'!$BZ:$BZ,'Cronog. e Histog.'!CE:CE),"")</f>
        <v>0</v>
      </c>
      <c r="K236" s="144">
        <f>IFERROR(_xlfn.XLOOKUP($B236,'Cronog. e Histog.'!$BZ:$BZ,'Cronog. e Histog.'!CF:CF),"")</f>
        <v>0</v>
      </c>
      <c r="L236" s="144">
        <f>IFERROR(_xlfn.XLOOKUP($B236,'Cronog. e Histog.'!$BZ:$BZ,'Cronog. e Histog.'!CG:CG),"")</f>
        <v>0</v>
      </c>
      <c r="M236" s="144">
        <f>IFERROR(_xlfn.XLOOKUP($B236,'Cronog. e Histog.'!$BZ:$BZ,'Cronog. e Histog.'!CH:CH),"")</f>
        <v>0</v>
      </c>
      <c r="N236" s="144">
        <f>IFERROR(_xlfn.XLOOKUP($B236,'Cronog. e Histog.'!$BZ:$BZ,'Cronog. e Histog.'!CI:CI),"")</f>
        <v>0</v>
      </c>
      <c r="O236" s="144">
        <f>IFERROR(_xlfn.XLOOKUP($B236,'Cronog. e Histog.'!$BZ:$BZ,'Cronog. e Histog.'!CJ:CJ),"")</f>
        <v>0</v>
      </c>
      <c r="P236" s="144">
        <f>IFERROR(_xlfn.XLOOKUP($B236,'Cronog. e Histog.'!$BZ:$BZ,'Cronog. e Histog.'!CK:CK),"")</f>
        <v>0</v>
      </c>
      <c r="Q236" s="144">
        <f>IFERROR(_xlfn.XLOOKUP($B236,'Cronog. e Histog.'!$BZ:$BZ,'Cronog. e Histog.'!CL:CL),"")</f>
        <v>0</v>
      </c>
      <c r="R236" s="144">
        <f>IFERROR(_xlfn.XLOOKUP($B236,'Cronog. e Histog.'!$BZ:$BZ,'Cronog. e Histog.'!CM:CM),"")</f>
        <v>0</v>
      </c>
      <c r="S236" s="144">
        <f>IFERROR(_xlfn.XLOOKUP($B236,'Cronog. e Histog.'!$BZ:$BZ,'Cronog. e Histog.'!CN:CN),"")</f>
        <v>0</v>
      </c>
      <c r="T236" s="144">
        <f>IFERROR(_xlfn.XLOOKUP($B236,'Cronog. e Histog.'!$BZ:$BZ,'Cronog. e Histog.'!CO:CO),"")</f>
        <v>0</v>
      </c>
      <c r="U236" s="144">
        <f>IFERROR(_xlfn.XLOOKUP($B236,'Cronog. e Histog.'!$BZ:$BZ,'Cronog. e Histog.'!CP:CP),"")</f>
        <v>0</v>
      </c>
      <c r="V236" s="144">
        <f>IFERROR(_xlfn.XLOOKUP($B236,'Cronog. e Histog.'!$BZ:$BZ,'Cronog. e Histog.'!CQ:CQ),"")</f>
        <v>0</v>
      </c>
      <c r="W236" s="144">
        <f>IFERROR(_xlfn.XLOOKUP($B236,'Cronog. e Histog.'!$BZ:$BZ,'Cronog. e Histog.'!CR:CR),"")</f>
        <v>0</v>
      </c>
      <c r="X236" s="144">
        <f>IFERROR(_xlfn.XLOOKUP($B236,'Cronog. e Histog.'!$BZ:$BZ,'Cronog. e Histog.'!CS:CS),"")</f>
        <v>0</v>
      </c>
      <c r="Y236" s="144">
        <f>IFERROR(_xlfn.XLOOKUP($B236,'Cronog. e Histog.'!$BZ:$BZ,'Cronog. e Histog.'!CT:CT),"")</f>
        <v>0</v>
      </c>
      <c r="Z236" s="144">
        <f>IFERROR(_xlfn.XLOOKUP($B236,'Cronog. e Histog.'!$BZ:$BZ,'Cronog. e Histog.'!CU:CU),"")</f>
        <v>0</v>
      </c>
      <c r="AA236" s="144">
        <f>IFERROR(_xlfn.XLOOKUP($B236,'Cronog. e Histog.'!$BZ:$BZ,'Cronog. e Histog.'!CV:CV),"")</f>
        <v>0</v>
      </c>
      <c r="AB236" s="144">
        <f>IFERROR(_xlfn.XLOOKUP($B236,'Cronog. e Histog.'!$BZ:$BZ,'Cronog. e Histog.'!CW:CW),"")</f>
        <v>0</v>
      </c>
      <c r="AC236" s="144">
        <f>IFERROR(_xlfn.XLOOKUP($B236,'Cronog. e Histog.'!$BZ:$BZ,'Cronog. e Histog.'!CX:CX),"")</f>
        <v>0</v>
      </c>
      <c r="AD236" s="144">
        <f>IFERROR(_xlfn.XLOOKUP($B236,'Cronog. e Histog.'!$BZ:$BZ,'Cronog. e Histog.'!CY:CY),"")</f>
        <v>0</v>
      </c>
      <c r="AE236" s="144">
        <f>IFERROR(_xlfn.XLOOKUP($B236,'Cronog. e Histog.'!$BZ:$BZ,'Cronog. e Histog.'!CZ:CZ),"")</f>
        <v>0</v>
      </c>
      <c r="AF236" s="144">
        <f>IFERROR(_xlfn.XLOOKUP($B236,'Cronog. e Histog.'!$BZ:$BZ,'Cronog. e Histog.'!DA:DA),"")</f>
        <v>0</v>
      </c>
      <c r="AG236" s="144">
        <f>IFERROR(_xlfn.XLOOKUP($B236,'Cronog. e Histog.'!$BZ:$BZ,'Cronog. e Histog.'!DB:DB),"")</f>
        <v>0</v>
      </c>
      <c r="AH236" s="144">
        <f>IFERROR(_xlfn.XLOOKUP($B236,'Cronog. e Histog.'!$BZ:$BZ,'Cronog. e Histog.'!DC:DC),"")</f>
        <v>0</v>
      </c>
      <c r="AI236" s="144">
        <f>IFERROR(_xlfn.XLOOKUP($B236,'Cronog. e Histog.'!$BZ:$BZ,'Cronog. e Histog.'!DD:DD),"")</f>
        <v>0</v>
      </c>
      <c r="AJ236" s="144">
        <f>IFERROR(_xlfn.XLOOKUP($B236,'Cronog. e Histog.'!$BZ:$BZ,'Cronog. e Histog.'!DE:DE),"")</f>
        <v>0</v>
      </c>
      <c r="AK236" s="144">
        <f>IFERROR(_xlfn.XLOOKUP($B236,'Cronog. e Histog.'!$BZ:$BZ,'Cronog. e Histog.'!DF:DF),"")</f>
        <v>0</v>
      </c>
      <c r="AL236" s="144">
        <f>IFERROR(_xlfn.XLOOKUP($B236,'Cronog. e Histog.'!$BZ:$BZ,'Cronog. e Histog.'!DG:DG),"")</f>
        <v>0</v>
      </c>
      <c r="AM236" s="144">
        <f>IFERROR(_xlfn.XLOOKUP($B236,'Cronog. e Histog.'!$BZ:$BZ,'Cronog. e Histog.'!DH:DH),"")</f>
        <v>0</v>
      </c>
      <c r="AN236" s="144">
        <f>IFERROR(_xlfn.XLOOKUP($B236,'Cronog. e Histog.'!$BZ:$BZ,'Cronog. e Histog.'!DI:DI),"")</f>
        <v>0</v>
      </c>
      <c r="AO236" s="144">
        <f>IFERROR(_xlfn.XLOOKUP($B236,'Cronog. e Histog.'!$BZ:$BZ,'Cronog. e Histog.'!DJ:DJ),"")</f>
        <v>0</v>
      </c>
      <c r="AP236" s="144">
        <f>IFERROR(_xlfn.XLOOKUP($B236,'Cronog. e Histog.'!$BZ:$BZ,'Cronog. e Histog.'!DK:DK),"")</f>
        <v>0</v>
      </c>
      <c r="AQ236" s="144">
        <f>IFERROR(_xlfn.XLOOKUP($B236,'Cronog. e Histog.'!$BZ:$BZ,'Cronog. e Histog.'!DL:DL),"")</f>
        <v>0</v>
      </c>
      <c r="AR236" s="144">
        <f>IFERROR(_xlfn.XLOOKUP($B236,'Cronog. e Histog.'!$BZ:$BZ,'Cronog. e Histog.'!DM:DM),"")</f>
        <v>0</v>
      </c>
      <c r="AS236" s="144">
        <f>IFERROR(_xlfn.XLOOKUP($B236,'Cronog. e Histog.'!$BZ:$BZ,'Cronog. e Histog.'!DN:DN),"")</f>
        <v>0</v>
      </c>
      <c r="AT236" s="144">
        <f>IFERROR(_xlfn.XLOOKUP($B236,'Cronog. e Histog.'!$BZ:$BZ,'Cronog. e Histog.'!DO:DO),"")</f>
        <v>0</v>
      </c>
      <c r="AU236" s="144">
        <f>IFERROR(_xlfn.XLOOKUP($B236,'Cronog. e Histog.'!$BZ:$BZ,'Cronog. e Histog.'!DP:DP),"")</f>
        <v>0</v>
      </c>
      <c r="AV236" s="144">
        <f>IFERROR(_xlfn.XLOOKUP($B236,'Cronog. e Histog.'!$BZ:$BZ,'Cronog. e Histog.'!DQ:DQ),"")</f>
        <v>0</v>
      </c>
      <c r="AW236" s="144">
        <f>IFERROR(_xlfn.XLOOKUP($B236,'Cronog. e Histog.'!$BZ:$BZ,'Cronog. e Histog.'!DR:DR),"")</f>
        <v>0</v>
      </c>
      <c r="AX236" s="144">
        <f>IFERROR(_xlfn.XLOOKUP($B236,'Cronog. e Histog.'!$BZ:$BZ,'Cronog. e Histog.'!DS:DS),"")</f>
        <v>0</v>
      </c>
      <c r="AY236" s="144">
        <f>IFERROR(_xlfn.XLOOKUP($B236,'Cronog. e Histog.'!$BZ:$BZ,'Cronog. e Histog.'!DT:DT),"")</f>
        <v>0</v>
      </c>
      <c r="AZ236" s="144">
        <f>IFERROR(_xlfn.XLOOKUP($B236,'Cronog. e Histog.'!$BZ:$BZ,'Cronog. e Histog.'!DU:DU),"")</f>
        <v>0</v>
      </c>
      <c r="BA236" s="144">
        <f>IFERROR(_xlfn.XLOOKUP($B236,'Cronog. e Histog.'!$BZ:$BZ,'Cronog. e Histog.'!DV:DV),"")</f>
        <v>0</v>
      </c>
      <c r="BB236" s="144">
        <f>IFERROR(_xlfn.XLOOKUP($B236,'Cronog. e Histog.'!$BZ:$BZ,'Cronog. e Histog.'!DW:DW),"")</f>
        <v>0</v>
      </c>
      <c r="BC236" s="144">
        <f>IFERROR(_xlfn.XLOOKUP($B236,'Cronog. e Histog.'!$BZ:$BZ,'Cronog. e Histog.'!DX:DX),"")</f>
        <v>0</v>
      </c>
      <c r="BD236" s="144">
        <f>IFERROR(_xlfn.XLOOKUP($B236,'Cronog. e Histog.'!$BZ:$BZ,'Cronog. e Histog.'!DY:DY),"")</f>
        <v>0</v>
      </c>
      <c r="BE236" s="144">
        <f>IFERROR(_xlfn.XLOOKUP($B236,'Cronog. e Histog.'!$BZ:$BZ,'Cronog. e Histog.'!DZ:DZ),"")</f>
        <v>0</v>
      </c>
      <c r="BF236" s="144">
        <f>IFERROR(_xlfn.XLOOKUP($B236,'Cronog. e Histog.'!$BZ:$BZ,'Cronog. e Histog.'!EA:EA),"")</f>
        <v>0</v>
      </c>
      <c r="BG236" s="144">
        <f>IFERROR(_xlfn.XLOOKUP($B236,'Cronog. e Histog.'!$BZ:$BZ,'Cronog. e Histog.'!EB:EB),"")</f>
        <v>0</v>
      </c>
      <c r="BH236" s="144">
        <f>IFERROR(_xlfn.XLOOKUP($B236,'Cronog. e Histog.'!$BZ:$BZ,'Cronog. e Histog.'!EC:EC),"")</f>
        <v>0</v>
      </c>
      <c r="BI236" s="144">
        <f>IFERROR(_xlfn.XLOOKUP($B236,'Cronog. e Histog.'!$BZ:$BZ,'Cronog. e Histog.'!ED:ED),"")</f>
        <v>0</v>
      </c>
      <c r="BJ236" s="144">
        <f>IFERROR(_xlfn.XLOOKUP($B236,'Cronog. e Histog.'!$BZ:$BZ,'Cronog. e Histog.'!EE:EE),"")</f>
        <v>0</v>
      </c>
      <c r="BK236" s="144">
        <f>IFERROR(_xlfn.XLOOKUP($B236,'Cronog. e Histog.'!$BZ:$BZ,'Cronog. e Histog.'!EF:EF),"")</f>
        <v>0</v>
      </c>
      <c r="BL236" s="144">
        <f>IFERROR(_xlfn.XLOOKUP($B236,'Cronog. e Histog.'!$BZ:$BZ,'Cronog. e Histog.'!EG:EG),"")</f>
        <v>0</v>
      </c>
      <c r="BM236" s="144">
        <f>IFERROR(_xlfn.XLOOKUP($B236,'Cronog. e Histog.'!$BZ:$BZ,'Cronog. e Histog.'!EH:EH),"")</f>
        <v>0</v>
      </c>
      <c r="BN236" s="144">
        <f>IFERROR(_xlfn.XLOOKUP($B236,'Cronog. e Histog.'!$BZ:$BZ,'Cronog. e Histog.'!EI:EI),"")</f>
        <v>0</v>
      </c>
    </row>
    <row r="237" spans="2:66" ht="12" hidden="1" customHeight="1" outlineLevel="1">
      <c r="B237" s="76">
        <v>231</v>
      </c>
      <c r="C237" s="143" t="str">
        <f>IFERROR(VLOOKUP(B237,'Cronog. e Histog.'!$BZ$213:$CA$747,2,0),"")</f>
        <v>AN PL. ADM/CRP</v>
      </c>
      <c r="D237" s="144">
        <f t="shared" si="6"/>
        <v>0</v>
      </c>
      <c r="E237" s="144">
        <f t="shared" si="7"/>
        <v>0</v>
      </c>
      <c r="F237" s="65"/>
      <c r="G237" s="144">
        <f>IFERROR(_xlfn.XLOOKUP($B237,'Cronog. e Histog.'!$BZ:$BZ,'Cronog. e Histog.'!CB:CB),"")</f>
        <v>0</v>
      </c>
      <c r="H237" s="144">
        <f>IFERROR(_xlfn.XLOOKUP($B237,'Cronog. e Histog.'!$BZ:$BZ,'Cronog. e Histog.'!CC:CC),"")</f>
        <v>0</v>
      </c>
      <c r="I237" s="144">
        <f>IFERROR(_xlfn.XLOOKUP($B237,'Cronog. e Histog.'!$BZ:$BZ,'Cronog. e Histog.'!CD:CD),"")</f>
        <v>0</v>
      </c>
      <c r="J237" s="144">
        <f>IFERROR(_xlfn.XLOOKUP($B237,'Cronog. e Histog.'!$BZ:$BZ,'Cronog. e Histog.'!CE:CE),"")</f>
        <v>0</v>
      </c>
      <c r="K237" s="144">
        <f>IFERROR(_xlfn.XLOOKUP($B237,'Cronog. e Histog.'!$BZ:$BZ,'Cronog. e Histog.'!CF:CF),"")</f>
        <v>0</v>
      </c>
      <c r="L237" s="144">
        <f>IFERROR(_xlfn.XLOOKUP($B237,'Cronog. e Histog.'!$BZ:$BZ,'Cronog. e Histog.'!CG:CG),"")</f>
        <v>0</v>
      </c>
      <c r="M237" s="144">
        <f>IFERROR(_xlfn.XLOOKUP($B237,'Cronog. e Histog.'!$BZ:$BZ,'Cronog. e Histog.'!CH:CH),"")</f>
        <v>0</v>
      </c>
      <c r="N237" s="144">
        <f>IFERROR(_xlfn.XLOOKUP($B237,'Cronog. e Histog.'!$BZ:$BZ,'Cronog. e Histog.'!CI:CI),"")</f>
        <v>0</v>
      </c>
      <c r="O237" s="144">
        <f>IFERROR(_xlfn.XLOOKUP($B237,'Cronog. e Histog.'!$BZ:$BZ,'Cronog. e Histog.'!CJ:CJ),"")</f>
        <v>0</v>
      </c>
      <c r="P237" s="144">
        <f>IFERROR(_xlfn.XLOOKUP($B237,'Cronog. e Histog.'!$BZ:$BZ,'Cronog. e Histog.'!CK:CK),"")</f>
        <v>0</v>
      </c>
      <c r="Q237" s="144">
        <f>IFERROR(_xlfn.XLOOKUP($B237,'Cronog. e Histog.'!$BZ:$BZ,'Cronog. e Histog.'!CL:CL),"")</f>
        <v>0</v>
      </c>
      <c r="R237" s="144">
        <f>IFERROR(_xlfn.XLOOKUP($B237,'Cronog. e Histog.'!$BZ:$BZ,'Cronog. e Histog.'!CM:CM),"")</f>
        <v>0</v>
      </c>
      <c r="S237" s="144">
        <f>IFERROR(_xlfn.XLOOKUP($B237,'Cronog. e Histog.'!$BZ:$BZ,'Cronog. e Histog.'!CN:CN),"")</f>
        <v>0</v>
      </c>
      <c r="T237" s="144">
        <f>IFERROR(_xlfn.XLOOKUP($B237,'Cronog. e Histog.'!$BZ:$BZ,'Cronog. e Histog.'!CO:CO),"")</f>
        <v>0</v>
      </c>
      <c r="U237" s="144">
        <f>IFERROR(_xlfn.XLOOKUP($B237,'Cronog. e Histog.'!$BZ:$BZ,'Cronog. e Histog.'!CP:CP),"")</f>
        <v>0</v>
      </c>
      <c r="V237" s="144">
        <f>IFERROR(_xlfn.XLOOKUP($B237,'Cronog. e Histog.'!$BZ:$BZ,'Cronog. e Histog.'!CQ:CQ),"")</f>
        <v>0</v>
      </c>
      <c r="W237" s="144">
        <f>IFERROR(_xlfn.XLOOKUP($B237,'Cronog. e Histog.'!$BZ:$BZ,'Cronog. e Histog.'!CR:CR),"")</f>
        <v>0</v>
      </c>
      <c r="X237" s="144">
        <f>IFERROR(_xlfn.XLOOKUP($B237,'Cronog. e Histog.'!$BZ:$BZ,'Cronog. e Histog.'!CS:CS),"")</f>
        <v>0</v>
      </c>
      <c r="Y237" s="144">
        <f>IFERROR(_xlfn.XLOOKUP($B237,'Cronog. e Histog.'!$BZ:$BZ,'Cronog. e Histog.'!CT:CT),"")</f>
        <v>0</v>
      </c>
      <c r="Z237" s="144">
        <f>IFERROR(_xlfn.XLOOKUP($B237,'Cronog. e Histog.'!$BZ:$BZ,'Cronog. e Histog.'!CU:CU),"")</f>
        <v>0</v>
      </c>
      <c r="AA237" s="144">
        <f>IFERROR(_xlfn.XLOOKUP($B237,'Cronog. e Histog.'!$BZ:$BZ,'Cronog. e Histog.'!CV:CV),"")</f>
        <v>0</v>
      </c>
      <c r="AB237" s="144">
        <f>IFERROR(_xlfn.XLOOKUP($B237,'Cronog. e Histog.'!$BZ:$BZ,'Cronog. e Histog.'!CW:CW),"")</f>
        <v>0</v>
      </c>
      <c r="AC237" s="144">
        <f>IFERROR(_xlfn.XLOOKUP($B237,'Cronog. e Histog.'!$BZ:$BZ,'Cronog. e Histog.'!CX:CX),"")</f>
        <v>0</v>
      </c>
      <c r="AD237" s="144">
        <f>IFERROR(_xlfn.XLOOKUP($B237,'Cronog. e Histog.'!$BZ:$BZ,'Cronog. e Histog.'!CY:CY),"")</f>
        <v>0</v>
      </c>
      <c r="AE237" s="144">
        <f>IFERROR(_xlfn.XLOOKUP($B237,'Cronog. e Histog.'!$BZ:$BZ,'Cronog. e Histog.'!CZ:CZ),"")</f>
        <v>0</v>
      </c>
      <c r="AF237" s="144">
        <f>IFERROR(_xlfn.XLOOKUP($B237,'Cronog. e Histog.'!$BZ:$BZ,'Cronog. e Histog.'!DA:DA),"")</f>
        <v>0</v>
      </c>
      <c r="AG237" s="144">
        <f>IFERROR(_xlfn.XLOOKUP($B237,'Cronog. e Histog.'!$BZ:$BZ,'Cronog. e Histog.'!DB:DB),"")</f>
        <v>0</v>
      </c>
      <c r="AH237" s="144">
        <f>IFERROR(_xlfn.XLOOKUP($B237,'Cronog. e Histog.'!$BZ:$BZ,'Cronog. e Histog.'!DC:DC),"")</f>
        <v>0</v>
      </c>
      <c r="AI237" s="144">
        <f>IFERROR(_xlfn.XLOOKUP($B237,'Cronog. e Histog.'!$BZ:$BZ,'Cronog. e Histog.'!DD:DD),"")</f>
        <v>0</v>
      </c>
      <c r="AJ237" s="144">
        <f>IFERROR(_xlfn.XLOOKUP($B237,'Cronog. e Histog.'!$BZ:$BZ,'Cronog. e Histog.'!DE:DE),"")</f>
        <v>0</v>
      </c>
      <c r="AK237" s="144">
        <f>IFERROR(_xlfn.XLOOKUP($B237,'Cronog. e Histog.'!$BZ:$BZ,'Cronog. e Histog.'!DF:DF),"")</f>
        <v>0</v>
      </c>
      <c r="AL237" s="144">
        <f>IFERROR(_xlfn.XLOOKUP($B237,'Cronog. e Histog.'!$BZ:$BZ,'Cronog. e Histog.'!DG:DG),"")</f>
        <v>0</v>
      </c>
      <c r="AM237" s="144">
        <f>IFERROR(_xlfn.XLOOKUP($B237,'Cronog. e Histog.'!$BZ:$BZ,'Cronog. e Histog.'!DH:DH),"")</f>
        <v>0</v>
      </c>
      <c r="AN237" s="144">
        <f>IFERROR(_xlfn.XLOOKUP($B237,'Cronog. e Histog.'!$BZ:$BZ,'Cronog. e Histog.'!DI:DI),"")</f>
        <v>0</v>
      </c>
      <c r="AO237" s="144">
        <f>IFERROR(_xlfn.XLOOKUP($B237,'Cronog. e Histog.'!$BZ:$BZ,'Cronog. e Histog.'!DJ:DJ),"")</f>
        <v>0</v>
      </c>
      <c r="AP237" s="144">
        <f>IFERROR(_xlfn.XLOOKUP($B237,'Cronog. e Histog.'!$BZ:$BZ,'Cronog. e Histog.'!DK:DK),"")</f>
        <v>0</v>
      </c>
      <c r="AQ237" s="144">
        <f>IFERROR(_xlfn.XLOOKUP($B237,'Cronog. e Histog.'!$BZ:$BZ,'Cronog. e Histog.'!DL:DL),"")</f>
        <v>0</v>
      </c>
      <c r="AR237" s="144">
        <f>IFERROR(_xlfn.XLOOKUP($B237,'Cronog. e Histog.'!$BZ:$BZ,'Cronog. e Histog.'!DM:DM),"")</f>
        <v>0</v>
      </c>
      <c r="AS237" s="144">
        <f>IFERROR(_xlfn.XLOOKUP($B237,'Cronog. e Histog.'!$BZ:$BZ,'Cronog. e Histog.'!DN:DN),"")</f>
        <v>0</v>
      </c>
      <c r="AT237" s="144">
        <f>IFERROR(_xlfn.XLOOKUP($B237,'Cronog. e Histog.'!$BZ:$BZ,'Cronog. e Histog.'!DO:DO),"")</f>
        <v>0</v>
      </c>
      <c r="AU237" s="144">
        <f>IFERROR(_xlfn.XLOOKUP($B237,'Cronog. e Histog.'!$BZ:$BZ,'Cronog. e Histog.'!DP:DP),"")</f>
        <v>0</v>
      </c>
      <c r="AV237" s="144">
        <f>IFERROR(_xlfn.XLOOKUP($B237,'Cronog. e Histog.'!$BZ:$BZ,'Cronog. e Histog.'!DQ:DQ),"")</f>
        <v>0</v>
      </c>
      <c r="AW237" s="144">
        <f>IFERROR(_xlfn.XLOOKUP($B237,'Cronog. e Histog.'!$BZ:$BZ,'Cronog. e Histog.'!DR:DR),"")</f>
        <v>0</v>
      </c>
      <c r="AX237" s="144">
        <f>IFERROR(_xlfn.XLOOKUP($B237,'Cronog. e Histog.'!$BZ:$BZ,'Cronog. e Histog.'!DS:DS),"")</f>
        <v>0</v>
      </c>
      <c r="AY237" s="144">
        <f>IFERROR(_xlfn.XLOOKUP($B237,'Cronog. e Histog.'!$BZ:$BZ,'Cronog. e Histog.'!DT:DT),"")</f>
        <v>0</v>
      </c>
      <c r="AZ237" s="144">
        <f>IFERROR(_xlfn.XLOOKUP($B237,'Cronog. e Histog.'!$BZ:$BZ,'Cronog. e Histog.'!DU:DU),"")</f>
        <v>0</v>
      </c>
      <c r="BA237" s="144">
        <f>IFERROR(_xlfn.XLOOKUP($B237,'Cronog. e Histog.'!$BZ:$BZ,'Cronog. e Histog.'!DV:DV),"")</f>
        <v>0</v>
      </c>
      <c r="BB237" s="144">
        <f>IFERROR(_xlfn.XLOOKUP($B237,'Cronog. e Histog.'!$BZ:$BZ,'Cronog. e Histog.'!DW:DW),"")</f>
        <v>0</v>
      </c>
      <c r="BC237" s="144">
        <f>IFERROR(_xlfn.XLOOKUP($B237,'Cronog. e Histog.'!$BZ:$BZ,'Cronog. e Histog.'!DX:DX),"")</f>
        <v>0</v>
      </c>
      <c r="BD237" s="144">
        <f>IFERROR(_xlfn.XLOOKUP($B237,'Cronog. e Histog.'!$BZ:$BZ,'Cronog. e Histog.'!DY:DY),"")</f>
        <v>0</v>
      </c>
      <c r="BE237" s="144">
        <f>IFERROR(_xlfn.XLOOKUP($B237,'Cronog. e Histog.'!$BZ:$BZ,'Cronog. e Histog.'!DZ:DZ),"")</f>
        <v>0</v>
      </c>
      <c r="BF237" s="144">
        <f>IFERROR(_xlfn.XLOOKUP($B237,'Cronog. e Histog.'!$BZ:$BZ,'Cronog. e Histog.'!EA:EA),"")</f>
        <v>0</v>
      </c>
      <c r="BG237" s="144">
        <f>IFERROR(_xlfn.XLOOKUP($B237,'Cronog. e Histog.'!$BZ:$BZ,'Cronog. e Histog.'!EB:EB),"")</f>
        <v>0</v>
      </c>
      <c r="BH237" s="144">
        <f>IFERROR(_xlfn.XLOOKUP($B237,'Cronog. e Histog.'!$BZ:$BZ,'Cronog. e Histog.'!EC:EC),"")</f>
        <v>0</v>
      </c>
      <c r="BI237" s="144">
        <f>IFERROR(_xlfn.XLOOKUP($B237,'Cronog. e Histog.'!$BZ:$BZ,'Cronog. e Histog.'!ED:ED),"")</f>
        <v>0</v>
      </c>
      <c r="BJ237" s="144">
        <f>IFERROR(_xlfn.XLOOKUP($B237,'Cronog. e Histog.'!$BZ:$BZ,'Cronog. e Histog.'!EE:EE),"")</f>
        <v>0</v>
      </c>
      <c r="BK237" s="144">
        <f>IFERROR(_xlfn.XLOOKUP($B237,'Cronog. e Histog.'!$BZ:$BZ,'Cronog. e Histog.'!EF:EF),"")</f>
        <v>0</v>
      </c>
      <c r="BL237" s="144">
        <f>IFERROR(_xlfn.XLOOKUP($B237,'Cronog. e Histog.'!$BZ:$BZ,'Cronog. e Histog.'!EG:EG),"")</f>
        <v>0</v>
      </c>
      <c r="BM237" s="144">
        <f>IFERROR(_xlfn.XLOOKUP($B237,'Cronog. e Histog.'!$BZ:$BZ,'Cronog. e Histog.'!EH:EH),"")</f>
        <v>0</v>
      </c>
      <c r="BN237" s="144">
        <f>IFERROR(_xlfn.XLOOKUP($B237,'Cronog. e Histog.'!$BZ:$BZ,'Cronog. e Histog.'!EI:EI),"")</f>
        <v>0</v>
      </c>
    </row>
    <row r="238" spans="2:66" ht="12" hidden="1" customHeight="1" outlineLevel="1">
      <c r="B238" s="76">
        <v>232</v>
      </c>
      <c r="C238" s="143" t="str">
        <f>IFERROR(VLOOKUP(B238,'Cronog. e Histog.'!$BZ$213:$CA$747,2,0),"")</f>
        <v>AN JR. ADM/CRP</v>
      </c>
      <c r="D238" s="144">
        <f t="shared" si="6"/>
        <v>0</v>
      </c>
      <c r="E238" s="144">
        <f t="shared" si="7"/>
        <v>0</v>
      </c>
      <c r="F238" s="65"/>
      <c r="G238" s="144">
        <f>IFERROR(_xlfn.XLOOKUP($B238,'Cronog. e Histog.'!$BZ:$BZ,'Cronog. e Histog.'!CB:CB),"")</f>
        <v>0</v>
      </c>
      <c r="H238" s="144">
        <f>IFERROR(_xlfn.XLOOKUP($B238,'Cronog. e Histog.'!$BZ:$BZ,'Cronog. e Histog.'!CC:CC),"")</f>
        <v>0</v>
      </c>
      <c r="I238" s="144">
        <f>IFERROR(_xlfn.XLOOKUP($B238,'Cronog. e Histog.'!$BZ:$BZ,'Cronog. e Histog.'!CD:CD),"")</f>
        <v>0</v>
      </c>
      <c r="J238" s="144">
        <f>IFERROR(_xlfn.XLOOKUP($B238,'Cronog. e Histog.'!$BZ:$BZ,'Cronog. e Histog.'!CE:CE),"")</f>
        <v>0</v>
      </c>
      <c r="K238" s="144">
        <f>IFERROR(_xlfn.XLOOKUP($B238,'Cronog. e Histog.'!$BZ:$BZ,'Cronog. e Histog.'!CF:CF),"")</f>
        <v>0</v>
      </c>
      <c r="L238" s="144">
        <f>IFERROR(_xlfn.XLOOKUP($B238,'Cronog. e Histog.'!$BZ:$BZ,'Cronog. e Histog.'!CG:CG),"")</f>
        <v>0</v>
      </c>
      <c r="M238" s="144">
        <f>IFERROR(_xlfn.XLOOKUP($B238,'Cronog. e Histog.'!$BZ:$BZ,'Cronog. e Histog.'!CH:CH),"")</f>
        <v>0</v>
      </c>
      <c r="N238" s="144">
        <f>IFERROR(_xlfn.XLOOKUP($B238,'Cronog. e Histog.'!$BZ:$BZ,'Cronog. e Histog.'!CI:CI),"")</f>
        <v>0</v>
      </c>
      <c r="O238" s="144">
        <f>IFERROR(_xlfn.XLOOKUP($B238,'Cronog. e Histog.'!$BZ:$BZ,'Cronog. e Histog.'!CJ:CJ),"")</f>
        <v>0</v>
      </c>
      <c r="P238" s="144">
        <f>IFERROR(_xlfn.XLOOKUP($B238,'Cronog. e Histog.'!$BZ:$BZ,'Cronog. e Histog.'!CK:CK),"")</f>
        <v>0</v>
      </c>
      <c r="Q238" s="144">
        <f>IFERROR(_xlfn.XLOOKUP($B238,'Cronog. e Histog.'!$BZ:$BZ,'Cronog. e Histog.'!CL:CL),"")</f>
        <v>0</v>
      </c>
      <c r="R238" s="144">
        <f>IFERROR(_xlfn.XLOOKUP($B238,'Cronog. e Histog.'!$BZ:$BZ,'Cronog. e Histog.'!CM:CM),"")</f>
        <v>0</v>
      </c>
      <c r="S238" s="144">
        <f>IFERROR(_xlfn.XLOOKUP($B238,'Cronog. e Histog.'!$BZ:$BZ,'Cronog. e Histog.'!CN:CN),"")</f>
        <v>0</v>
      </c>
      <c r="T238" s="144">
        <f>IFERROR(_xlfn.XLOOKUP($B238,'Cronog. e Histog.'!$BZ:$BZ,'Cronog. e Histog.'!CO:CO),"")</f>
        <v>0</v>
      </c>
      <c r="U238" s="144">
        <f>IFERROR(_xlfn.XLOOKUP($B238,'Cronog. e Histog.'!$BZ:$BZ,'Cronog. e Histog.'!CP:CP),"")</f>
        <v>0</v>
      </c>
      <c r="V238" s="144">
        <f>IFERROR(_xlfn.XLOOKUP($B238,'Cronog. e Histog.'!$BZ:$BZ,'Cronog. e Histog.'!CQ:CQ),"")</f>
        <v>0</v>
      </c>
      <c r="W238" s="144">
        <f>IFERROR(_xlfn.XLOOKUP($B238,'Cronog. e Histog.'!$BZ:$BZ,'Cronog. e Histog.'!CR:CR),"")</f>
        <v>0</v>
      </c>
      <c r="X238" s="144">
        <f>IFERROR(_xlfn.XLOOKUP($B238,'Cronog. e Histog.'!$BZ:$BZ,'Cronog. e Histog.'!CS:CS),"")</f>
        <v>0</v>
      </c>
      <c r="Y238" s="144">
        <f>IFERROR(_xlfn.XLOOKUP($B238,'Cronog. e Histog.'!$BZ:$BZ,'Cronog. e Histog.'!CT:CT),"")</f>
        <v>0</v>
      </c>
      <c r="Z238" s="144">
        <f>IFERROR(_xlfn.XLOOKUP($B238,'Cronog. e Histog.'!$BZ:$BZ,'Cronog. e Histog.'!CU:CU),"")</f>
        <v>0</v>
      </c>
      <c r="AA238" s="144">
        <f>IFERROR(_xlfn.XLOOKUP($B238,'Cronog. e Histog.'!$BZ:$BZ,'Cronog. e Histog.'!CV:CV),"")</f>
        <v>0</v>
      </c>
      <c r="AB238" s="144">
        <f>IFERROR(_xlfn.XLOOKUP($B238,'Cronog. e Histog.'!$BZ:$BZ,'Cronog. e Histog.'!CW:CW),"")</f>
        <v>0</v>
      </c>
      <c r="AC238" s="144">
        <f>IFERROR(_xlfn.XLOOKUP($B238,'Cronog. e Histog.'!$BZ:$BZ,'Cronog. e Histog.'!CX:CX),"")</f>
        <v>0</v>
      </c>
      <c r="AD238" s="144">
        <f>IFERROR(_xlfn.XLOOKUP($B238,'Cronog. e Histog.'!$BZ:$BZ,'Cronog. e Histog.'!CY:CY),"")</f>
        <v>0</v>
      </c>
      <c r="AE238" s="144">
        <f>IFERROR(_xlfn.XLOOKUP($B238,'Cronog. e Histog.'!$BZ:$BZ,'Cronog. e Histog.'!CZ:CZ),"")</f>
        <v>0</v>
      </c>
      <c r="AF238" s="144">
        <f>IFERROR(_xlfn.XLOOKUP($B238,'Cronog. e Histog.'!$BZ:$BZ,'Cronog. e Histog.'!DA:DA),"")</f>
        <v>0</v>
      </c>
      <c r="AG238" s="144">
        <f>IFERROR(_xlfn.XLOOKUP($B238,'Cronog. e Histog.'!$BZ:$BZ,'Cronog. e Histog.'!DB:DB),"")</f>
        <v>0</v>
      </c>
      <c r="AH238" s="144">
        <f>IFERROR(_xlfn.XLOOKUP($B238,'Cronog. e Histog.'!$BZ:$BZ,'Cronog. e Histog.'!DC:DC),"")</f>
        <v>0</v>
      </c>
      <c r="AI238" s="144">
        <f>IFERROR(_xlfn.XLOOKUP($B238,'Cronog. e Histog.'!$BZ:$BZ,'Cronog. e Histog.'!DD:DD),"")</f>
        <v>0</v>
      </c>
      <c r="AJ238" s="144">
        <f>IFERROR(_xlfn.XLOOKUP($B238,'Cronog. e Histog.'!$BZ:$BZ,'Cronog. e Histog.'!DE:DE),"")</f>
        <v>0</v>
      </c>
      <c r="AK238" s="144">
        <f>IFERROR(_xlfn.XLOOKUP($B238,'Cronog. e Histog.'!$BZ:$BZ,'Cronog. e Histog.'!DF:DF),"")</f>
        <v>0</v>
      </c>
      <c r="AL238" s="144">
        <f>IFERROR(_xlfn.XLOOKUP($B238,'Cronog. e Histog.'!$BZ:$BZ,'Cronog. e Histog.'!DG:DG),"")</f>
        <v>0</v>
      </c>
      <c r="AM238" s="144">
        <f>IFERROR(_xlfn.XLOOKUP($B238,'Cronog. e Histog.'!$BZ:$BZ,'Cronog. e Histog.'!DH:DH),"")</f>
        <v>0</v>
      </c>
      <c r="AN238" s="144">
        <f>IFERROR(_xlfn.XLOOKUP($B238,'Cronog. e Histog.'!$BZ:$BZ,'Cronog. e Histog.'!DI:DI),"")</f>
        <v>0</v>
      </c>
      <c r="AO238" s="144">
        <f>IFERROR(_xlfn.XLOOKUP($B238,'Cronog. e Histog.'!$BZ:$BZ,'Cronog. e Histog.'!DJ:DJ),"")</f>
        <v>0</v>
      </c>
      <c r="AP238" s="144">
        <f>IFERROR(_xlfn.XLOOKUP($B238,'Cronog. e Histog.'!$BZ:$BZ,'Cronog. e Histog.'!DK:DK),"")</f>
        <v>0</v>
      </c>
      <c r="AQ238" s="144">
        <f>IFERROR(_xlfn.XLOOKUP($B238,'Cronog. e Histog.'!$BZ:$BZ,'Cronog. e Histog.'!DL:DL),"")</f>
        <v>0</v>
      </c>
      <c r="AR238" s="144">
        <f>IFERROR(_xlfn.XLOOKUP($B238,'Cronog. e Histog.'!$BZ:$BZ,'Cronog. e Histog.'!DM:DM),"")</f>
        <v>0</v>
      </c>
      <c r="AS238" s="144">
        <f>IFERROR(_xlfn.XLOOKUP($B238,'Cronog. e Histog.'!$BZ:$BZ,'Cronog. e Histog.'!DN:DN),"")</f>
        <v>0</v>
      </c>
      <c r="AT238" s="144">
        <f>IFERROR(_xlfn.XLOOKUP($B238,'Cronog. e Histog.'!$BZ:$BZ,'Cronog. e Histog.'!DO:DO),"")</f>
        <v>0</v>
      </c>
      <c r="AU238" s="144">
        <f>IFERROR(_xlfn.XLOOKUP($B238,'Cronog. e Histog.'!$BZ:$BZ,'Cronog. e Histog.'!DP:DP),"")</f>
        <v>0</v>
      </c>
      <c r="AV238" s="144">
        <f>IFERROR(_xlfn.XLOOKUP($B238,'Cronog. e Histog.'!$BZ:$BZ,'Cronog. e Histog.'!DQ:DQ),"")</f>
        <v>0</v>
      </c>
      <c r="AW238" s="144">
        <f>IFERROR(_xlfn.XLOOKUP($B238,'Cronog. e Histog.'!$BZ:$BZ,'Cronog. e Histog.'!DR:DR),"")</f>
        <v>0</v>
      </c>
      <c r="AX238" s="144">
        <f>IFERROR(_xlfn.XLOOKUP($B238,'Cronog. e Histog.'!$BZ:$BZ,'Cronog. e Histog.'!DS:DS),"")</f>
        <v>0</v>
      </c>
      <c r="AY238" s="144">
        <f>IFERROR(_xlfn.XLOOKUP($B238,'Cronog. e Histog.'!$BZ:$BZ,'Cronog. e Histog.'!DT:DT),"")</f>
        <v>0</v>
      </c>
      <c r="AZ238" s="144">
        <f>IFERROR(_xlfn.XLOOKUP($B238,'Cronog. e Histog.'!$BZ:$BZ,'Cronog. e Histog.'!DU:DU),"")</f>
        <v>0</v>
      </c>
      <c r="BA238" s="144">
        <f>IFERROR(_xlfn.XLOOKUP($B238,'Cronog. e Histog.'!$BZ:$BZ,'Cronog. e Histog.'!DV:DV),"")</f>
        <v>0</v>
      </c>
      <c r="BB238" s="144">
        <f>IFERROR(_xlfn.XLOOKUP($B238,'Cronog. e Histog.'!$BZ:$BZ,'Cronog. e Histog.'!DW:DW),"")</f>
        <v>0</v>
      </c>
      <c r="BC238" s="144">
        <f>IFERROR(_xlfn.XLOOKUP($B238,'Cronog. e Histog.'!$BZ:$BZ,'Cronog. e Histog.'!DX:DX),"")</f>
        <v>0</v>
      </c>
      <c r="BD238" s="144">
        <f>IFERROR(_xlfn.XLOOKUP($B238,'Cronog. e Histog.'!$BZ:$BZ,'Cronog. e Histog.'!DY:DY),"")</f>
        <v>0</v>
      </c>
      <c r="BE238" s="144">
        <f>IFERROR(_xlfn.XLOOKUP($B238,'Cronog. e Histog.'!$BZ:$BZ,'Cronog. e Histog.'!DZ:DZ),"")</f>
        <v>0</v>
      </c>
      <c r="BF238" s="144">
        <f>IFERROR(_xlfn.XLOOKUP($B238,'Cronog. e Histog.'!$BZ:$BZ,'Cronog. e Histog.'!EA:EA),"")</f>
        <v>0</v>
      </c>
      <c r="BG238" s="144">
        <f>IFERROR(_xlfn.XLOOKUP($B238,'Cronog. e Histog.'!$BZ:$BZ,'Cronog. e Histog.'!EB:EB),"")</f>
        <v>0</v>
      </c>
      <c r="BH238" s="144">
        <f>IFERROR(_xlfn.XLOOKUP($B238,'Cronog. e Histog.'!$BZ:$BZ,'Cronog. e Histog.'!EC:EC),"")</f>
        <v>0</v>
      </c>
      <c r="BI238" s="144">
        <f>IFERROR(_xlfn.XLOOKUP($B238,'Cronog. e Histog.'!$BZ:$BZ,'Cronog. e Histog.'!ED:ED),"")</f>
        <v>0</v>
      </c>
      <c r="BJ238" s="144">
        <f>IFERROR(_xlfn.XLOOKUP($B238,'Cronog. e Histog.'!$BZ:$BZ,'Cronog. e Histog.'!EE:EE),"")</f>
        <v>0</v>
      </c>
      <c r="BK238" s="144">
        <f>IFERROR(_xlfn.XLOOKUP($B238,'Cronog. e Histog.'!$BZ:$BZ,'Cronog. e Histog.'!EF:EF),"")</f>
        <v>0</v>
      </c>
      <c r="BL238" s="144">
        <f>IFERROR(_xlfn.XLOOKUP($B238,'Cronog. e Histog.'!$BZ:$BZ,'Cronog. e Histog.'!EG:EG),"")</f>
        <v>0</v>
      </c>
      <c r="BM238" s="144">
        <f>IFERROR(_xlfn.XLOOKUP($B238,'Cronog. e Histog.'!$BZ:$BZ,'Cronog. e Histog.'!EH:EH),"")</f>
        <v>0</v>
      </c>
      <c r="BN238" s="144">
        <f>IFERROR(_xlfn.XLOOKUP($B238,'Cronog. e Histog.'!$BZ:$BZ,'Cronog. e Histog.'!EI:EI),"")</f>
        <v>0</v>
      </c>
    </row>
    <row r="239" spans="2:66" ht="12" hidden="1" customHeight="1" outlineLevel="1">
      <c r="B239" s="76">
        <v>233</v>
      </c>
      <c r="C239" s="143" t="str">
        <f>IFERROR(VLOOKUP(B239,'Cronog. e Histog.'!$BZ$213:$CA$747,2,0),"")</f>
        <v>TEC III</v>
      </c>
      <c r="D239" s="144">
        <f t="shared" si="6"/>
        <v>0</v>
      </c>
      <c r="E239" s="144">
        <f t="shared" si="7"/>
        <v>0</v>
      </c>
      <c r="F239" s="65"/>
      <c r="G239" s="144">
        <f>IFERROR(_xlfn.XLOOKUP($B239,'Cronog. e Histog.'!$BZ:$BZ,'Cronog. e Histog.'!CB:CB),"")</f>
        <v>0</v>
      </c>
      <c r="H239" s="144">
        <f>IFERROR(_xlfn.XLOOKUP($B239,'Cronog. e Histog.'!$BZ:$BZ,'Cronog. e Histog.'!CC:CC),"")</f>
        <v>0</v>
      </c>
      <c r="I239" s="144">
        <f>IFERROR(_xlfn.XLOOKUP($B239,'Cronog. e Histog.'!$BZ:$BZ,'Cronog. e Histog.'!CD:CD),"")</f>
        <v>0</v>
      </c>
      <c r="J239" s="144">
        <f>IFERROR(_xlfn.XLOOKUP($B239,'Cronog. e Histog.'!$BZ:$BZ,'Cronog. e Histog.'!CE:CE),"")</f>
        <v>0</v>
      </c>
      <c r="K239" s="144">
        <f>IFERROR(_xlfn.XLOOKUP($B239,'Cronog. e Histog.'!$BZ:$BZ,'Cronog. e Histog.'!CF:CF),"")</f>
        <v>0</v>
      </c>
      <c r="L239" s="144">
        <f>IFERROR(_xlfn.XLOOKUP($B239,'Cronog. e Histog.'!$BZ:$BZ,'Cronog. e Histog.'!CG:CG),"")</f>
        <v>0</v>
      </c>
      <c r="M239" s="144">
        <f>IFERROR(_xlfn.XLOOKUP($B239,'Cronog. e Histog.'!$BZ:$BZ,'Cronog. e Histog.'!CH:CH),"")</f>
        <v>0</v>
      </c>
      <c r="N239" s="144">
        <f>IFERROR(_xlfn.XLOOKUP($B239,'Cronog. e Histog.'!$BZ:$BZ,'Cronog. e Histog.'!CI:CI),"")</f>
        <v>0</v>
      </c>
      <c r="O239" s="144">
        <f>IFERROR(_xlfn.XLOOKUP($B239,'Cronog. e Histog.'!$BZ:$BZ,'Cronog. e Histog.'!CJ:CJ),"")</f>
        <v>0</v>
      </c>
      <c r="P239" s="144">
        <f>IFERROR(_xlfn.XLOOKUP($B239,'Cronog. e Histog.'!$BZ:$BZ,'Cronog. e Histog.'!CK:CK),"")</f>
        <v>0</v>
      </c>
      <c r="Q239" s="144">
        <f>IFERROR(_xlfn.XLOOKUP($B239,'Cronog. e Histog.'!$BZ:$BZ,'Cronog. e Histog.'!CL:CL),"")</f>
        <v>0</v>
      </c>
      <c r="R239" s="144">
        <f>IFERROR(_xlfn.XLOOKUP($B239,'Cronog. e Histog.'!$BZ:$BZ,'Cronog. e Histog.'!CM:CM),"")</f>
        <v>0</v>
      </c>
      <c r="S239" s="144">
        <f>IFERROR(_xlfn.XLOOKUP($B239,'Cronog. e Histog.'!$BZ:$BZ,'Cronog. e Histog.'!CN:CN),"")</f>
        <v>0</v>
      </c>
      <c r="T239" s="144">
        <f>IFERROR(_xlfn.XLOOKUP($B239,'Cronog. e Histog.'!$BZ:$BZ,'Cronog. e Histog.'!CO:CO),"")</f>
        <v>0</v>
      </c>
      <c r="U239" s="144">
        <f>IFERROR(_xlfn.XLOOKUP($B239,'Cronog. e Histog.'!$BZ:$BZ,'Cronog. e Histog.'!CP:CP),"")</f>
        <v>0</v>
      </c>
      <c r="V239" s="144">
        <f>IFERROR(_xlfn.XLOOKUP($B239,'Cronog. e Histog.'!$BZ:$BZ,'Cronog. e Histog.'!CQ:CQ),"")</f>
        <v>0</v>
      </c>
      <c r="W239" s="144">
        <f>IFERROR(_xlfn.XLOOKUP($B239,'Cronog. e Histog.'!$BZ:$BZ,'Cronog. e Histog.'!CR:CR),"")</f>
        <v>0</v>
      </c>
      <c r="X239" s="144">
        <f>IFERROR(_xlfn.XLOOKUP($B239,'Cronog. e Histog.'!$BZ:$BZ,'Cronog. e Histog.'!CS:CS),"")</f>
        <v>0</v>
      </c>
      <c r="Y239" s="144">
        <f>IFERROR(_xlfn.XLOOKUP($B239,'Cronog. e Histog.'!$BZ:$BZ,'Cronog. e Histog.'!CT:CT),"")</f>
        <v>0</v>
      </c>
      <c r="Z239" s="144">
        <f>IFERROR(_xlfn.XLOOKUP($B239,'Cronog. e Histog.'!$BZ:$BZ,'Cronog. e Histog.'!CU:CU),"")</f>
        <v>0</v>
      </c>
      <c r="AA239" s="144">
        <f>IFERROR(_xlfn.XLOOKUP($B239,'Cronog. e Histog.'!$BZ:$BZ,'Cronog. e Histog.'!CV:CV),"")</f>
        <v>0</v>
      </c>
      <c r="AB239" s="144">
        <f>IFERROR(_xlfn.XLOOKUP($B239,'Cronog. e Histog.'!$BZ:$BZ,'Cronog. e Histog.'!CW:CW),"")</f>
        <v>0</v>
      </c>
      <c r="AC239" s="144">
        <f>IFERROR(_xlfn.XLOOKUP($B239,'Cronog. e Histog.'!$BZ:$BZ,'Cronog. e Histog.'!CX:CX),"")</f>
        <v>0</v>
      </c>
      <c r="AD239" s="144">
        <f>IFERROR(_xlfn.XLOOKUP($B239,'Cronog. e Histog.'!$BZ:$BZ,'Cronog. e Histog.'!CY:CY),"")</f>
        <v>0</v>
      </c>
      <c r="AE239" s="144">
        <f>IFERROR(_xlfn.XLOOKUP($B239,'Cronog. e Histog.'!$BZ:$BZ,'Cronog. e Histog.'!CZ:CZ),"")</f>
        <v>0</v>
      </c>
      <c r="AF239" s="144">
        <f>IFERROR(_xlfn.XLOOKUP($B239,'Cronog. e Histog.'!$BZ:$BZ,'Cronog. e Histog.'!DA:DA),"")</f>
        <v>0</v>
      </c>
      <c r="AG239" s="144">
        <f>IFERROR(_xlfn.XLOOKUP($B239,'Cronog. e Histog.'!$BZ:$BZ,'Cronog. e Histog.'!DB:DB),"")</f>
        <v>0</v>
      </c>
      <c r="AH239" s="144">
        <f>IFERROR(_xlfn.XLOOKUP($B239,'Cronog. e Histog.'!$BZ:$BZ,'Cronog. e Histog.'!DC:DC),"")</f>
        <v>0</v>
      </c>
      <c r="AI239" s="144">
        <f>IFERROR(_xlfn.XLOOKUP($B239,'Cronog. e Histog.'!$BZ:$BZ,'Cronog. e Histog.'!DD:DD),"")</f>
        <v>0</v>
      </c>
      <c r="AJ239" s="144">
        <f>IFERROR(_xlfn.XLOOKUP($B239,'Cronog. e Histog.'!$BZ:$BZ,'Cronog. e Histog.'!DE:DE),"")</f>
        <v>0</v>
      </c>
      <c r="AK239" s="144">
        <f>IFERROR(_xlfn.XLOOKUP($B239,'Cronog. e Histog.'!$BZ:$BZ,'Cronog. e Histog.'!DF:DF),"")</f>
        <v>0</v>
      </c>
      <c r="AL239" s="144">
        <f>IFERROR(_xlfn.XLOOKUP($B239,'Cronog. e Histog.'!$BZ:$BZ,'Cronog. e Histog.'!DG:DG),"")</f>
        <v>0</v>
      </c>
      <c r="AM239" s="144">
        <f>IFERROR(_xlfn.XLOOKUP($B239,'Cronog. e Histog.'!$BZ:$BZ,'Cronog. e Histog.'!DH:DH),"")</f>
        <v>0</v>
      </c>
      <c r="AN239" s="144">
        <f>IFERROR(_xlfn.XLOOKUP($B239,'Cronog. e Histog.'!$BZ:$BZ,'Cronog. e Histog.'!DI:DI),"")</f>
        <v>0</v>
      </c>
      <c r="AO239" s="144">
        <f>IFERROR(_xlfn.XLOOKUP($B239,'Cronog. e Histog.'!$BZ:$BZ,'Cronog. e Histog.'!DJ:DJ),"")</f>
        <v>0</v>
      </c>
      <c r="AP239" s="144">
        <f>IFERROR(_xlfn.XLOOKUP($B239,'Cronog. e Histog.'!$BZ:$BZ,'Cronog. e Histog.'!DK:DK),"")</f>
        <v>0</v>
      </c>
      <c r="AQ239" s="144">
        <f>IFERROR(_xlfn.XLOOKUP($B239,'Cronog. e Histog.'!$BZ:$BZ,'Cronog. e Histog.'!DL:DL),"")</f>
        <v>0</v>
      </c>
      <c r="AR239" s="144">
        <f>IFERROR(_xlfn.XLOOKUP($B239,'Cronog. e Histog.'!$BZ:$BZ,'Cronog. e Histog.'!DM:DM),"")</f>
        <v>0</v>
      </c>
      <c r="AS239" s="144">
        <f>IFERROR(_xlfn.XLOOKUP($B239,'Cronog. e Histog.'!$BZ:$BZ,'Cronog. e Histog.'!DN:DN),"")</f>
        <v>0</v>
      </c>
      <c r="AT239" s="144">
        <f>IFERROR(_xlfn.XLOOKUP($B239,'Cronog. e Histog.'!$BZ:$BZ,'Cronog. e Histog.'!DO:DO),"")</f>
        <v>0</v>
      </c>
      <c r="AU239" s="144">
        <f>IFERROR(_xlfn.XLOOKUP($B239,'Cronog. e Histog.'!$BZ:$BZ,'Cronog. e Histog.'!DP:DP),"")</f>
        <v>0</v>
      </c>
      <c r="AV239" s="144">
        <f>IFERROR(_xlfn.XLOOKUP($B239,'Cronog. e Histog.'!$BZ:$BZ,'Cronog. e Histog.'!DQ:DQ),"")</f>
        <v>0</v>
      </c>
      <c r="AW239" s="144">
        <f>IFERROR(_xlfn.XLOOKUP($B239,'Cronog. e Histog.'!$BZ:$BZ,'Cronog. e Histog.'!DR:DR),"")</f>
        <v>0</v>
      </c>
      <c r="AX239" s="144">
        <f>IFERROR(_xlfn.XLOOKUP($B239,'Cronog. e Histog.'!$BZ:$BZ,'Cronog. e Histog.'!DS:DS),"")</f>
        <v>0</v>
      </c>
      <c r="AY239" s="144">
        <f>IFERROR(_xlfn.XLOOKUP($B239,'Cronog. e Histog.'!$BZ:$BZ,'Cronog. e Histog.'!DT:DT),"")</f>
        <v>0</v>
      </c>
      <c r="AZ239" s="144">
        <f>IFERROR(_xlfn.XLOOKUP($B239,'Cronog. e Histog.'!$BZ:$BZ,'Cronog. e Histog.'!DU:DU),"")</f>
        <v>0</v>
      </c>
      <c r="BA239" s="144">
        <f>IFERROR(_xlfn.XLOOKUP($B239,'Cronog. e Histog.'!$BZ:$BZ,'Cronog. e Histog.'!DV:DV),"")</f>
        <v>0</v>
      </c>
      <c r="BB239" s="144">
        <f>IFERROR(_xlfn.XLOOKUP($B239,'Cronog. e Histog.'!$BZ:$BZ,'Cronog. e Histog.'!DW:DW),"")</f>
        <v>0</v>
      </c>
      <c r="BC239" s="144">
        <f>IFERROR(_xlfn.XLOOKUP($B239,'Cronog. e Histog.'!$BZ:$BZ,'Cronog. e Histog.'!DX:DX),"")</f>
        <v>0</v>
      </c>
      <c r="BD239" s="144">
        <f>IFERROR(_xlfn.XLOOKUP($B239,'Cronog. e Histog.'!$BZ:$BZ,'Cronog. e Histog.'!DY:DY),"")</f>
        <v>0</v>
      </c>
      <c r="BE239" s="144">
        <f>IFERROR(_xlfn.XLOOKUP($B239,'Cronog. e Histog.'!$BZ:$BZ,'Cronog. e Histog.'!DZ:DZ),"")</f>
        <v>0</v>
      </c>
      <c r="BF239" s="144">
        <f>IFERROR(_xlfn.XLOOKUP($B239,'Cronog. e Histog.'!$BZ:$BZ,'Cronog. e Histog.'!EA:EA),"")</f>
        <v>0</v>
      </c>
      <c r="BG239" s="144">
        <f>IFERROR(_xlfn.XLOOKUP($B239,'Cronog. e Histog.'!$BZ:$BZ,'Cronog. e Histog.'!EB:EB),"")</f>
        <v>0</v>
      </c>
      <c r="BH239" s="144">
        <f>IFERROR(_xlfn.XLOOKUP($B239,'Cronog. e Histog.'!$BZ:$BZ,'Cronog. e Histog.'!EC:EC),"")</f>
        <v>0</v>
      </c>
      <c r="BI239" s="144">
        <f>IFERROR(_xlfn.XLOOKUP($B239,'Cronog. e Histog.'!$BZ:$BZ,'Cronog. e Histog.'!ED:ED),"")</f>
        <v>0</v>
      </c>
      <c r="BJ239" s="144">
        <f>IFERROR(_xlfn.XLOOKUP($B239,'Cronog. e Histog.'!$BZ:$BZ,'Cronog. e Histog.'!EE:EE),"")</f>
        <v>0</v>
      </c>
      <c r="BK239" s="144">
        <f>IFERROR(_xlfn.XLOOKUP($B239,'Cronog. e Histog.'!$BZ:$BZ,'Cronog. e Histog.'!EF:EF),"")</f>
        <v>0</v>
      </c>
      <c r="BL239" s="144">
        <f>IFERROR(_xlfn.XLOOKUP($B239,'Cronog. e Histog.'!$BZ:$BZ,'Cronog. e Histog.'!EG:EG),"")</f>
        <v>0</v>
      </c>
      <c r="BM239" s="144">
        <f>IFERROR(_xlfn.XLOOKUP($B239,'Cronog. e Histog.'!$BZ:$BZ,'Cronog. e Histog.'!EH:EH),"")</f>
        <v>0</v>
      </c>
      <c r="BN239" s="144">
        <f>IFERROR(_xlfn.XLOOKUP($B239,'Cronog. e Histog.'!$BZ:$BZ,'Cronog. e Histog.'!EI:EI),"")</f>
        <v>0</v>
      </c>
    </row>
    <row r="240" spans="2:66" ht="12" hidden="1" customHeight="1" outlineLevel="1">
      <c r="B240" s="76">
        <v>234</v>
      </c>
      <c r="C240" s="143" t="str">
        <f>IFERROR(VLOOKUP(B240,'Cronog. e Histog.'!$BZ$213:$CA$747,2,0),"")</f>
        <v>TEC II</v>
      </c>
      <c r="D240" s="144">
        <f t="shared" si="6"/>
        <v>0</v>
      </c>
      <c r="E240" s="144">
        <f t="shared" si="7"/>
        <v>0</v>
      </c>
      <c r="F240" s="65"/>
      <c r="G240" s="144">
        <f>IFERROR(_xlfn.XLOOKUP($B240,'Cronog. e Histog.'!$BZ:$BZ,'Cronog. e Histog.'!CB:CB),"")</f>
        <v>0</v>
      </c>
      <c r="H240" s="144">
        <f>IFERROR(_xlfn.XLOOKUP($B240,'Cronog. e Histog.'!$BZ:$BZ,'Cronog. e Histog.'!CC:CC),"")</f>
        <v>0</v>
      </c>
      <c r="I240" s="144">
        <f>IFERROR(_xlfn.XLOOKUP($B240,'Cronog. e Histog.'!$BZ:$BZ,'Cronog. e Histog.'!CD:CD),"")</f>
        <v>0</v>
      </c>
      <c r="J240" s="144">
        <f>IFERROR(_xlfn.XLOOKUP($B240,'Cronog. e Histog.'!$BZ:$BZ,'Cronog. e Histog.'!CE:CE),"")</f>
        <v>0</v>
      </c>
      <c r="K240" s="144">
        <f>IFERROR(_xlfn.XLOOKUP($B240,'Cronog. e Histog.'!$BZ:$BZ,'Cronog. e Histog.'!CF:CF),"")</f>
        <v>0</v>
      </c>
      <c r="L240" s="144">
        <f>IFERROR(_xlfn.XLOOKUP($B240,'Cronog. e Histog.'!$BZ:$BZ,'Cronog. e Histog.'!CG:CG),"")</f>
        <v>0</v>
      </c>
      <c r="M240" s="144">
        <f>IFERROR(_xlfn.XLOOKUP($B240,'Cronog. e Histog.'!$BZ:$BZ,'Cronog. e Histog.'!CH:CH),"")</f>
        <v>0</v>
      </c>
      <c r="N240" s="144">
        <f>IFERROR(_xlfn.XLOOKUP($B240,'Cronog. e Histog.'!$BZ:$BZ,'Cronog. e Histog.'!CI:CI),"")</f>
        <v>0</v>
      </c>
      <c r="O240" s="144">
        <f>IFERROR(_xlfn.XLOOKUP($B240,'Cronog. e Histog.'!$BZ:$BZ,'Cronog. e Histog.'!CJ:CJ),"")</f>
        <v>0</v>
      </c>
      <c r="P240" s="144">
        <f>IFERROR(_xlfn.XLOOKUP($B240,'Cronog. e Histog.'!$BZ:$BZ,'Cronog. e Histog.'!CK:CK),"")</f>
        <v>0</v>
      </c>
      <c r="Q240" s="144">
        <f>IFERROR(_xlfn.XLOOKUP($B240,'Cronog. e Histog.'!$BZ:$BZ,'Cronog. e Histog.'!CL:CL),"")</f>
        <v>0</v>
      </c>
      <c r="R240" s="144">
        <f>IFERROR(_xlfn.XLOOKUP($B240,'Cronog. e Histog.'!$BZ:$BZ,'Cronog. e Histog.'!CM:CM),"")</f>
        <v>0</v>
      </c>
      <c r="S240" s="144">
        <f>IFERROR(_xlfn.XLOOKUP($B240,'Cronog. e Histog.'!$BZ:$BZ,'Cronog. e Histog.'!CN:CN),"")</f>
        <v>0</v>
      </c>
      <c r="T240" s="144">
        <f>IFERROR(_xlfn.XLOOKUP($B240,'Cronog. e Histog.'!$BZ:$BZ,'Cronog. e Histog.'!CO:CO),"")</f>
        <v>0</v>
      </c>
      <c r="U240" s="144">
        <f>IFERROR(_xlfn.XLOOKUP($B240,'Cronog. e Histog.'!$BZ:$BZ,'Cronog. e Histog.'!CP:CP),"")</f>
        <v>0</v>
      </c>
      <c r="V240" s="144">
        <f>IFERROR(_xlfn.XLOOKUP($B240,'Cronog. e Histog.'!$BZ:$BZ,'Cronog. e Histog.'!CQ:CQ),"")</f>
        <v>0</v>
      </c>
      <c r="W240" s="144">
        <f>IFERROR(_xlfn.XLOOKUP($B240,'Cronog. e Histog.'!$BZ:$BZ,'Cronog. e Histog.'!CR:CR),"")</f>
        <v>0</v>
      </c>
      <c r="X240" s="144">
        <f>IFERROR(_xlfn.XLOOKUP($B240,'Cronog. e Histog.'!$BZ:$BZ,'Cronog. e Histog.'!CS:CS),"")</f>
        <v>0</v>
      </c>
      <c r="Y240" s="144">
        <f>IFERROR(_xlfn.XLOOKUP($B240,'Cronog. e Histog.'!$BZ:$BZ,'Cronog. e Histog.'!CT:CT),"")</f>
        <v>0</v>
      </c>
      <c r="Z240" s="144">
        <f>IFERROR(_xlfn.XLOOKUP($B240,'Cronog. e Histog.'!$BZ:$BZ,'Cronog. e Histog.'!CU:CU),"")</f>
        <v>0</v>
      </c>
      <c r="AA240" s="144">
        <f>IFERROR(_xlfn.XLOOKUP($B240,'Cronog. e Histog.'!$BZ:$BZ,'Cronog. e Histog.'!CV:CV),"")</f>
        <v>0</v>
      </c>
      <c r="AB240" s="144">
        <f>IFERROR(_xlfn.XLOOKUP($B240,'Cronog. e Histog.'!$BZ:$BZ,'Cronog. e Histog.'!CW:CW),"")</f>
        <v>0</v>
      </c>
      <c r="AC240" s="144">
        <f>IFERROR(_xlfn.XLOOKUP($B240,'Cronog. e Histog.'!$BZ:$BZ,'Cronog. e Histog.'!CX:CX),"")</f>
        <v>0</v>
      </c>
      <c r="AD240" s="144">
        <f>IFERROR(_xlfn.XLOOKUP($B240,'Cronog. e Histog.'!$BZ:$BZ,'Cronog. e Histog.'!CY:CY),"")</f>
        <v>0</v>
      </c>
      <c r="AE240" s="144">
        <f>IFERROR(_xlfn.XLOOKUP($B240,'Cronog. e Histog.'!$BZ:$BZ,'Cronog. e Histog.'!CZ:CZ),"")</f>
        <v>0</v>
      </c>
      <c r="AF240" s="144">
        <f>IFERROR(_xlfn.XLOOKUP($B240,'Cronog. e Histog.'!$BZ:$BZ,'Cronog. e Histog.'!DA:DA),"")</f>
        <v>0</v>
      </c>
      <c r="AG240" s="144">
        <f>IFERROR(_xlfn.XLOOKUP($B240,'Cronog. e Histog.'!$BZ:$BZ,'Cronog. e Histog.'!DB:DB),"")</f>
        <v>0</v>
      </c>
      <c r="AH240" s="144">
        <f>IFERROR(_xlfn.XLOOKUP($B240,'Cronog. e Histog.'!$BZ:$BZ,'Cronog. e Histog.'!DC:DC),"")</f>
        <v>0</v>
      </c>
      <c r="AI240" s="144">
        <f>IFERROR(_xlfn.XLOOKUP($B240,'Cronog. e Histog.'!$BZ:$BZ,'Cronog. e Histog.'!DD:DD),"")</f>
        <v>0</v>
      </c>
      <c r="AJ240" s="144">
        <f>IFERROR(_xlfn.XLOOKUP($B240,'Cronog. e Histog.'!$BZ:$BZ,'Cronog. e Histog.'!DE:DE),"")</f>
        <v>0</v>
      </c>
      <c r="AK240" s="144">
        <f>IFERROR(_xlfn.XLOOKUP($B240,'Cronog. e Histog.'!$BZ:$BZ,'Cronog. e Histog.'!DF:DF),"")</f>
        <v>0</v>
      </c>
      <c r="AL240" s="144">
        <f>IFERROR(_xlfn.XLOOKUP($B240,'Cronog. e Histog.'!$BZ:$BZ,'Cronog. e Histog.'!DG:DG),"")</f>
        <v>0</v>
      </c>
      <c r="AM240" s="144">
        <f>IFERROR(_xlfn.XLOOKUP($B240,'Cronog. e Histog.'!$BZ:$BZ,'Cronog. e Histog.'!DH:DH),"")</f>
        <v>0</v>
      </c>
      <c r="AN240" s="144">
        <f>IFERROR(_xlfn.XLOOKUP($B240,'Cronog. e Histog.'!$BZ:$BZ,'Cronog. e Histog.'!DI:DI),"")</f>
        <v>0</v>
      </c>
      <c r="AO240" s="144">
        <f>IFERROR(_xlfn.XLOOKUP($B240,'Cronog. e Histog.'!$BZ:$BZ,'Cronog. e Histog.'!DJ:DJ),"")</f>
        <v>0</v>
      </c>
      <c r="AP240" s="144">
        <f>IFERROR(_xlfn.XLOOKUP($B240,'Cronog. e Histog.'!$BZ:$BZ,'Cronog. e Histog.'!DK:DK),"")</f>
        <v>0</v>
      </c>
      <c r="AQ240" s="144">
        <f>IFERROR(_xlfn.XLOOKUP($B240,'Cronog. e Histog.'!$BZ:$BZ,'Cronog. e Histog.'!DL:DL),"")</f>
        <v>0</v>
      </c>
      <c r="AR240" s="144">
        <f>IFERROR(_xlfn.XLOOKUP($B240,'Cronog. e Histog.'!$BZ:$BZ,'Cronog. e Histog.'!DM:DM),"")</f>
        <v>0</v>
      </c>
      <c r="AS240" s="144">
        <f>IFERROR(_xlfn.XLOOKUP($B240,'Cronog. e Histog.'!$BZ:$BZ,'Cronog. e Histog.'!DN:DN),"")</f>
        <v>0</v>
      </c>
      <c r="AT240" s="144">
        <f>IFERROR(_xlfn.XLOOKUP($B240,'Cronog. e Histog.'!$BZ:$BZ,'Cronog. e Histog.'!DO:DO),"")</f>
        <v>0</v>
      </c>
      <c r="AU240" s="144">
        <f>IFERROR(_xlfn.XLOOKUP($B240,'Cronog. e Histog.'!$BZ:$BZ,'Cronog. e Histog.'!DP:DP),"")</f>
        <v>0</v>
      </c>
      <c r="AV240" s="144">
        <f>IFERROR(_xlfn.XLOOKUP($B240,'Cronog. e Histog.'!$BZ:$BZ,'Cronog. e Histog.'!DQ:DQ),"")</f>
        <v>0</v>
      </c>
      <c r="AW240" s="144">
        <f>IFERROR(_xlfn.XLOOKUP($B240,'Cronog. e Histog.'!$BZ:$BZ,'Cronog. e Histog.'!DR:DR),"")</f>
        <v>0</v>
      </c>
      <c r="AX240" s="144">
        <f>IFERROR(_xlfn.XLOOKUP($B240,'Cronog. e Histog.'!$BZ:$BZ,'Cronog. e Histog.'!DS:DS),"")</f>
        <v>0</v>
      </c>
      <c r="AY240" s="144">
        <f>IFERROR(_xlfn.XLOOKUP($B240,'Cronog. e Histog.'!$BZ:$BZ,'Cronog. e Histog.'!DT:DT),"")</f>
        <v>0</v>
      </c>
      <c r="AZ240" s="144">
        <f>IFERROR(_xlfn.XLOOKUP($B240,'Cronog. e Histog.'!$BZ:$BZ,'Cronog. e Histog.'!DU:DU),"")</f>
        <v>0</v>
      </c>
      <c r="BA240" s="144">
        <f>IFERROR(_xlfn.XLOOKUP($B240,'Cronog. e Histog.'!$BZ:$BZ,'Cronog. e Histog.'!DV:DV),"")</f>
        <v>0</v>
      </c>
      <c r="BB240" s="144">
        <f>IFERROR(_xlfn.XLOOKUP($B240,'Cronog. e Histog.'!$BZ:$BZ,'Cronog. e Histog.'!DW:DW),"")</f>
        <v>0</v>
      </c>
      <c r="BC240" s="144">
        <f>IFERROR(_xlfn.XLOOKUP($B240,'Cronog. e Histog.'!$BZ:$BZ,'Cronog. e Histog.'!DX:DX),"")</f>
        <v>0</v>
      </c>
      <c r="BD240" s="144">
        <f>IFERROR(_xlfn.XLOOKUP($B240,'Cronog. e Histog.'!$BZ:$BZ,'Cronog. e Histog.'!DY:DY),"")</f>
        <v>0</v>
      </c>
      <c r="BE240" s="144">
        <f>IFERROR(_xlfn.XLOOKUP($B240,'Cronog. e Histog.'!$BZ:$BZ,'Cronog. e Histog.'!DZ:DZ),"")</f>
        <v>0</v>
      </c>
      <c r="BF240" s="144">
        <f>IFERROR(_xlfn.XLOOKUP($B240,'Cronog. e Histog.'!$BZ:$BZ,'Cronog. e Histog.'!EA:EA),"")</f>
        <v>0</v>
      </c>
      <c r="BG240" s="144">
        <f>IFERROR(_xlfn.XLOOKUP($B240,'Cronog. e Histog.'!$BZ:$BZ,'Cronog. e Histog.'!EB:EB),"")</f>
        <v>0</v>
      </c>
      <c r="BH240" s="144">
        <f>IFERROR(_xlfn.XLOOKUP($B240,'Cronog. e Histog.'!$BZ:$BZ,'Cronog. e Histog.'!EC:EC),"")</f>
        <v>0</v>
      </c>
      <c r="BI240" s="144">
        <f>IFERROR(_xlfn.XLOOKUP($B240,'Cronog. e Histog.'!$BZ:$BZ,'Cronog. e Histog.'!ED:ED),"")</f>
        <v>0</v>
      </c>
      <c r="BJ240" s="144">
        <f>IFERROR(_xlfn.XLOOKUP($B240,'Cronog. e Histog.'!$BZ:$BZ,'Cronog. e Histog.'!EE:EE),"")</f>
        <v>0</v>
      </c>
      <c r="BK240" s="144">
        <f>IFERROR(_xlfn.XLOOKUP($B240,'Cronog. e Histog.'!$BZ:$BZ,'Cronog. e Histog.'!EF:EF),"")</f>
        <v>0</v>
      </c>
      <c r="BL240" s="144">
        <f>IFERROR(_xlfn.XLOOKUP($B240,'Cronog. e Histog.'!$BZ:$BZ,'Cronog. e Histog.'!EG:EG),"")</f>
        <v>0</v>
      </c>
      <c r="BM240" s="144">
        <f>IFERROR(_xlfn.XLOOKUP($B240,'Cronog. e Histog.'!$BZ:$BZ,'Cronog. e Histog.'!EH:EH),"")</f>
        <v>0</v>
      </c>
      <c r="BN240" s="144">
        <f>IFERROR(_xlfn.XLOOKUP($B240,'Cronog. e Histog.'!$BZ:$BZ,'Cronog. e Histog.'!EI:EI),"")</f>
        <v>0</v>
      </c>
    </row>
    <row r="241" spans="2:66" ht="12" hidden="1" customHeight="1" outlineLevel="1">
      <c r="B241" s="76">
        <v>235</v>
      </c>
      <c r="C241" s="143" t="str">
        <f>IFERROR(VLOOKUP(B241,'Cronog. e Histog.'!$BZ$213:$CA$747,2,0),"")</f>
        <v>TEC I</v>
      </c>
      <c r="D241" s="144">
        <f t="shared" si="6"/>
        <v>0</v>
      </c>
      <c r="E241" s="144">
        <f t="shared" si="7"/>
        <v>0</v>
      </c>
      <c r="F241" s="65"/>
      <c r="G241" s="144">
        <f>IFERROR(_xlfn.XLOOKUP($B241,'Cronog. e Histog.'!$BZ:$BZ,'Cronog. e Histog.'!CB:CB),"")</f>
        <v>0</v>
      </c>
      <c r="H241" s="144">
        <f>IFERROR(_xlfn.XLOOKUP($B241,'Cronog. e Histog.'!$BZ:$BZ,'Cronog. e Histog.'!CC:CC),"")</f>
        <v>0</v>
      </c>
      <c r="I241" s="144">
        <f>IFERROR(_xlfn.XLOOKUP($B241,'Cronog. e Histog.'!$BZ:$BZ,'Cronog. e Histog.'!CD:CD),"")</f>
        <v>0</v>
      </c>
      <c r="J241" s="144">
        <f>IFERROR(_xlfn.XLOOKUP($B241,'Cronog. e Histog.'!$BZ:$BZ,'Cronog. e Histog.'!CE:CE),"")</f>
        <v>0</v>
      </c>
      <c r="K241" s="144">
        <f>IFERROR(_xlfn.XLOOKUP($B241,'Cronog. e Histog.'!$BZ:$BZ,'Cronog. e Histog.'!CF:CF),"")</f>
        <v>0</v>
      </c>
      <c r="L241" s="144">
        <f>IFERROR(_xlfn.XLOOKUP($B241,'Cronog. e Histog.'!$BZ:$BZ,'Cronog. e Histog.'!CG:CG),"")</f>
        <v>0</v>
      </c>
      <c r="M241" s="144">
        <f>IFERROR(_xlfn.XLOOKUP($B241,'Cronog. e Histog.'!$BZ:$BZ,'Cronog. e Histog.'!CH:CH),"")</f>
        <v>0</v>
      </c>
      <c r="N241" s="144">
        <f>IFERROR(_xlfn.XLOOKUP($B241,'Cronog. e Histog.'!$BZ:$BZ,'Cronog. e Histog.'!CI:CI),"")</f>
        <v>0</v>
      </c>
      <c r="O241" s="144">
        <f>IFERROR(_xlfn.XLOOKUP($B241,'Cronog. e Histog.'!$BZ:$BZ,'Cronog. e Histog.'!CJ:CJ),"")</f>
        <v>0</v>
      </c>
      <c r="P241" s="144">
        <f>IFERROR(_xlfn.XLOOKUP($B241,'Cronog. e Histog.'!$BZ:$BZ,'Cronog. e Histog.'!CK:CK),"")</f>
        <v>0</v>
      </c>
      <c r="Q241" s="144">
        <f>IFERROR(_xlfn.XLOOKUP($B241,'Cronog. e Histog.'!$BZ:$BZ,'Cronog. e Histog.'!CL:CL),"")</f>
        <v>0</v>
      </c>
      <c r="R241" s="144">
        <f>IFERROR(_xlfn.XLOOKUP($B241,'Cronog. e Histog.'!$BZ:$BZ,'Cronog. e Histog.'!CM:CM),"")</f>
        <v>0</v>
      </c>
      <c r="S241" s="144">
        <f>IFERROR(_xlfn.XLOOKUP($B241,'Cronog. e Histog.'!$BZ:$BZ,'Cronog. e Histog.'!CN:CN),"")</f>
        <v>0</v>
      </c>
      <c r="T241" s="144">
        <f>IFERROR(_xlfn.XLOOKUP($B241,'Cronog. e Histog.'!$BZ:$BZ,'Cronog. e Histog.'!CO:CO),"")</f>
        <v>0</v>
      </c>
      <c r="U241" s="144">
        <f>IFERROR(_xlfn.XLOOKUP($B241,'Cronog. e Histog.'!$BZ:$BZ,'Cronog. e Histog.'!CP:CP),"")</f>
        <v>0</v>
      </c>
      <c r="V241" s="144">
        <f>IFERROR(_xlfn.XLOOKUP($B241,'Cronog. e Histog.'!$BZ:$BZ,'Cronog. e Histog.'!CQ:CQ),"")</f>
        <v>0</v>
      </c>
      <c r="W241" s="144">
        <f>IFERROR(_xlfn.XLOOKUP($B241,'Cronog. e Histog.'!$BZ:$BZ,'Cronog. e Histog.'!CR:CR),"")</f>
        <v>0</v>
      </c>
      <c r="X241" s="144">
        <f>IFERROR(_xlfn.XLOOKUP($B241,'Cronog. e Histog.'!$BZ:$BZ,'Cronog. e Histog.'!CS:CS),"")</f>
        <v>0</v>
      </c>
      <c r="Y241" s="144">
        <f>IFERROR(_xlfn.XLOOKUP($B241,'Cronog. e Histog.'!$BZ:$BZ,'Cronog. e Histog.'!CT:CT),"")</f>
        <v>0</v>
      </c>
      <c r="Z241" s="144">
        <f>IFERROR(_xlfn.XLOOKUP($B241,'Cronog. e Histog.'!$BZ:$BZ,'Cronog. e Histog.'!CU:CU),"")</f>
        <v>0</v>
      </c>
      <c r="AA241" s="144">
        <f>IFERROR(_xlfn.XLOOKUP($B241,'Cronog. e Histog.'!$BZ:$BZ,'Cronog. e Histog.'!CV:CV),"")</f>
        <v>0</v>
      </c>
      <c r="AB241" s="144">
        <f>IFERROR(_xlfn.XLOOKUP($B241,'Cronog. e Histog.'!$BZ:$BZ,'Cronog. e Histog.'!CW:CW),"")</f>
        <v>0</v>
      </c>
      <c r="AC241" s="144">
        <f>IFERROR(_xlfn.XLOOKUP($B241,'Cronog. e Histog.'!$BZ:$BZ,'Cronog. e Histog.'!CX:CX),"")</f>
        <v>0</v>
      </c>
      <c r="AD241" s="144">
        <f>IFERROR(_xlfn.XLOOKUP($B241,'Cronog. e Histog.'!$BZ:$BZ,'Cronog. e Histog.'!CY:CY),"")</f>
        <v>0</v>
      </c>
      <c r="AE241" s="144">
        <f>IFERROR(_xlfn.XLOOKUP($B241,'Cronog. e Histog.'!$BZ:$BZ,'Cronog. e Histog.'!CZ:CZ),"")</f>
        <v>0</v>
      </c>
      <c r="AF241" s="144">
        <f>IFERROR(_xlfn.XLOOKUP($B241,'Cronog. e Histog.'!$BZ:$BZ,'Cronog. e Histog.'!DA:DA),"")</f>
        <v>0</v>
      </c>
      <c r="AG241" s="144">
        <f>IFERROR(_xlfn.XLOOKUP($B241,'Cronog. e Histog.'!$BZ:$BZ,'Cronog. e Histog.'!DB:DB),"")</f>
        <v>0</v>
      </c>
      <c r="AH241" s="144">
        <f>IFERROR(_xlfn.XLOOKUP($B241,'Cronog. e Histog.'!$BZ:$BZ,'Cronog. e Histog.'!DC:DC),"")</f>
        <v>0</v>
      </c>
      <c r="AI241" s="144">
        <f>IFERROR(_xlfn.XLOOKUP($B241,'Cronog. e Histog.'!$BZ:$BZ,'Cronog. e Histog.'!DD:DD),"")</f>
        <v>0</v>
      </c>
      <c r="AJ241" s="144">
        <f>IFERROR(_xlfn.XLOOKUP($B241,'Cronog. e Histog.'!$BZ:$BZ,'Cronog. e Histog.'!DE:DE),"")</f>
        <v>0</v>
      </c>
      <c r="AK241" s="144">
        <f>IFERROR(_xlfn.XLOOKUP($B241,'Cronog. e Histog.'!$BZ:$BZ,'Cronog. e Histog.'!DF:DF),"")</f>
        <v>0</v>
      </c>
      <c r="AL241" s="144">
        <f>IFERROR(_xlfn.XLOOKUP($B241,'Cronog. e Histog.'!$BZ:$BZ,'Cronog. e Histog.'!DG:DG),"")</f>
        <v>0</v>
      </c>
      <c r="AM241" s="144">
        <f>IFERROR(_xlfn.XLOOKUP($B241,'Cronog. e Histog.'!$BZ:$BZ,'Cronog. e Histog.'!DH:DH),"")</f>
        <v>0</v>
      </c>
      <c r="AN241" s="144">
        <f>IFERROR(_xlfn.XLOOKUP($B241,'Cronog. e Histog.'!$BZ:$BZ,'Cronog. e Histog.'!DI:DI),"")</f>
        <v>0</v>
      </c>
      <c r="AO241" s="144">
        <f>IFERROR(_xlfn.XLOOKUP($B241,'Cronog. e Histog.'!$BZ:$BZ,'Cronog. e Histog.'!DJ:DJ),"")</f>
        <v>0</v>
      </c>
      <c r="AP241" s="144">
        <f>IFERROR(_xlfn.XLOOKUP($B241,'Cronog. e Histog.'!$BZ:$BZ,'Cronog. e Histog.'!DK:DK),"")</f>
        <v>0</v>
      </c>
      <c r="AQ241" s="144">
        <f>IFERROR(_xlfn.XLOOKUP($B241,'Cronog. e Histog.'!$BZ:$BZ,'Cronog. e Histog.'!DL:DL),"")</f>
        <v>0</v>
      </c>
      <c r="AR241" s="144">
        <f>IFERROR(_xlfn.XLOOKUP($B241,'Cronog. e Histog.'!$BZ:$BZ,'Cronog. e Histog.'!DM:DM),"")</f>
        <v>0</v>
      </c>
      <c r="AS241" s="144">
        <f>IFERROR(_xlfn.XLOOKUP($B241,'Cronog. e Histog.'!$BZ:$BZ,'Cronog. e Histog.'!DN:DN),"")</f>
        <v>0</v>
      </c>
      <c r="AT241" s="144">
        <f>IFERROR(_xlfn.XLOOKUP($B241,'Cronog. e Histog.'!$BZ:$BZ,'Cronog. e Histog.'!DO:DO),"")</f>
        <v>0</v>
      </c>
      <c r="AU241" s="144">
        <f>IFERROR(_xlfn.XLOOKUP($B241,'Cronog. e Histog.'!$BZ:$BZ,'Cronog. e Histog.'!DP:DP),"")</f>
        <v>0</v>
      </c>
      <c r="AV241" s="144">
        <f>IFERROR(_xlfn.XLOOKUP($B241,'Cronog. e Histog.'!$BZ:$BZ,'Cronog. e Histog.'!DQ:DQ),"")</f>
        <v>0</v>
      </c>
      <c r="AW241" s="144">
        <f>IFERROR(_xlfn.XLOOKUP($B241,'Cronog. e Histog.'!$BZ:$BZ,'Cronog. e Histog.'!DR:DR),"")</f>
        <v>0</v>
      </c>
      <c r="AX241" s="144">
        <f>IFERROR(_xlfn.XLOOKUP($B241,'Cronog. e Histog.'!$BZ:$BZ,'Cronog. e Histog.'!DS:DS),"")</f>
        <v>0</v>
      </c>
      <c r="AY241" s="144">
        <f>IFERROR(_xlfn.XLOOKUP($B241,'Cronog. e Histog.'!$BZ:$BZ,'Cronog. e Histog.'!DT:DT),"")</f>
        <v>0</v>
      </c>
      <c r="AZ241" s="144">
        <f>IFERROR(_xlfn.XLOOKUP($B241,'Cronog. e Histog.'!$BZ:$BZ,'Cronog. e Histog.'!DU:DU),"")</f>
        <v>0</v>
      </c>
      <c r="BA241" s="144">
        <f>IFERROR(_xlfn.XLOOKUP($B241,'Cronog. e Histog.'!$BZ:$BZ,'Cronog. e Histog.'!DV:DV),"")</f>
        <v>0</v>
      </c>
      <c r="BB241" s="144">
        <f>IFERROR(_xlfn.XLOOKUP($B241,'Cronog. e Histog.'!$BZ:$BZ,'Cronog. e Histog.'!DW:DW),"")</f>
        <v>0</v>
      </c>
      <c r="BC241" s="144">
        <f>IFERROR(_xlfn.XLOOKUP($B241,'Cronog. e Histog.'!$BZ:$BZ,'Cronog. e Histog.'!DX:DX),"")</f>
        <v>0</v>
      </c>
      <c r="BD241" s="144">
        <f>IFERROR(_xlfn.XLOOKUP($B241,'Cronog. e Histog.'!$BZ:$BZ,'Cronog. e Histog.'!DY:DY),"")</f>
        <v>0</v>
      </c>
      <c r="BE241" s="144">
        <f>IFERROR(_xlfn.XLOOKUP($B241,'Cronog. e Histog.'!$BZ:$BZ,'Cronog. e Histog.'!DZ:DZ),"")</f>
        <v>0</v>
      </c>
      <c r="BF241" s="144">
        <f>IFERROR(_xlfn.XLOOKUP($B241,'Cronog. e Histog.'!$BZ:$BZ,'Cronog. e Histog.'!EA:EA),"")</f>
        <v>0</v>
      </c>
      <c r="BG241" s="144">
        <f>IFERROR(_xlfn.XLOOKUP($B241,'Cronog. e Histog.'!$BZ:$BZ,'Cronog. e Histog.'!EB:EB),"")</f>
        <v>0</v>
      </c>
      <c r="BH241" s="144">
        <f>IFERROR(_xlfn.XLOOKUP($B241,'Cronog. e Histog.'!$BZ:$BZ,'Cronog. e Histog.'!EC:EC),"")</f>
        <v>0</v>
      </c>
      <c r="BI241" s="144">
        <f>IFERROR(_xlfn.XLOOKUP($B241,'Cronog. e Histog.'!$BZ:$BZ,'Cronog. e Histog.'!ED:ED),"")</f>
        <v>0</v>
      </c>
      <c r="BJ241" s="144">
        <f>IFERROR(_xlfn.XLOOKUP($B241,'Cronog. e Histog.'!$BZ:$BZ,'Cronog. e Histog.'!EE:EE),"")</f>
        <v>0</v>
      </c>
      <c r="BK241" s="144">
        <f>IFERROR(_xlfn.XLOOKUP($B241,'Cronog. e Histog.'!$BZ:$BZ,'Cronog. e Histog.'!EF:EF),"")</f>
        <v>0</v>
      </c>
      <c r="BL241" s="144">
        <f>IFERROR(_xlfn.XLOOKUP($B241,'Cronog. e Histog.'!$BZ:$BZ,'Cronog. e Histog.'!EG:EG),"")</f>
        <v>0</v>
      </c>
      <c r="BM241" s="144">
        <f>IFERROR(_xlfn.XLOOKUP($B241,'Cronog. e Histog.'!$BZ:$BZ,'Cronog. e Histog.'!EH:EH),"")</f>
        <v>0</v>
      </c>
      <c r="BN241" s="144">
        <f>IFERROR(_xlfn.XLOOKUP($B241,'Cronog. e Histog.'!$BZ:$BZ,'Cronog. e Histog.'!EI:EI),"")</f>
        <v>0</v>
      </c>
    </row>
    <row r="242" spans="2:66" ht="12" hidden="1" customHeight="1" outlineLevel="1">
      <c r="B242" s="76">
        <v>236</v>
      </c>
      <c r="C242" s="143" t="str">
        <f>IFERROR(VLOOKUP(B242,'Cronog. e Histog.'!$BZ$213:$CA$747,2,0),"")</f>
        <v>AUX TEC</v>
      </c>
      <c r="D242" s="144">
        <f t="shared" si="6"/>
        <v>0</v>
      </c>
      <c r="E242" s="144">
        <f t="shared" si="7"/>
        <v>0</v>
      </c>
      <c r="F242" s="65"/>
      <c r="G242" s="144">
        <f>IFERROR(_xlfn.XLOOKUP($B242,'Cronog. e Histog.'!$BZ:$BZ,'Cronog. e Histog.'!CB:CB),"")</f>
        <v>0</v>
      </c>
      <c r="H242" s="144">
        <f>IFERROR(_xlfn.XLOOKUP($B242,'Cronog. e Histog.'!$BZ:$BZ,'Cronog. e Histog.'!CC:CC),"")</f>
        <v>0</v>
      </c>
      <c r="I242" s="144">
        <f>IFERROR(_xlfn.XLOOKUP($B242,'Cronog. e Histog.'!$BZ:$BZ,'Cronog. e Histog.'!CD:CD),"")</f>
        <v>0</v>
      </c>
      <c r="J242" s="144">
        <f>IFERROR(_xlfn.XLOOKUP($B242,'Cronog. e Histog.'!$BZ:$BZ,'Cronog. e Histog.'!CE:CE),"")</f>
        <v>0</v>
      </c>
      <c r="K242" s="144">
        <f>IFERROR(_xlfn.XLOOKUP($B242,'Cronog. e Histog.'!$BZ:$BZ,'Cronog. e Histog.'!CF:CF),"")</f>
        <v>0</v>
      </c>
      <c r="L242" s="144">
        <f>IFERROR(_xlfn.XLOOKUP($B242,'Cronog. e Histog.'!$BZ:$BZ,'Cronog. e Histog.'!CG:CG),"")</f>
        <v>0</v>
      </c>
      <c r="M242" s="144">
        <f>IFERROR(_xlfn.XLOOKUP($B242,'Cronog. e Histog.'!$BZ:$BZ,'Cronog. e Histog.'!CH:CH),"")</f>
        <v>0</v>
      </c>
      <c r="N242" s="144">
        <f>IFERROR(_xlfn.XLOOKUP($B242,'Cronog. e Histog.'!$BZ:$BZ,'Cronog. e Histog.'!CI:CI),"")</f>
        <v>0</v>
      </c>
      <c r="O242" s="144">
        <f>IFERROR(_xlfn.XLOOKUP($B242,'Cronog. e Histog.'!$BZ:$BZ,'Cronog. e Histog.'!CJ:CJ),"")</f>
        <v>0</v>
      </c>
      <c r="P242" s="144">
        <f>IFERROR(_xlfn.XLOOKUP($B242,'Cronog. e Histog.'!$BZ:$BZ,'Cronog. e Histog.'!CK:CK),"")</f>
        <v>0</v>
      </c>
      <c r="Q242" s="144">
        <f>IFERROR(_xlfn.XLOOKUP($B242,'Cronog. e Histog.'!$BZ:$BZ,'Cronog. e Histog.'!CL:CL),"")</f>
        <v>0</v>
      </c>
      <c r="R242" s="144">
        <f>IFERROR(_xlfn.XLOOKUP($B242,'Cronog. e Histog.'!$BZ:$BZ,'Cronog. e Histog.'!CM:CM),"")</f>
        <v>0</v>
      </c>
      <c r="S242" s="144">
        <f>IFERROR(_xlfn.XLOOKUP($B242,'Cronog. e Histog.'!$BZ:$BZ,'Cronog. e Histog.'!CN:CN),"")</f>
        <v>0</v>
      </c>
      <c r="T242" s="144">
        <f>IFERROR(_xlfn.XLOOKUP($B242,'Cronog. e Histog.'!$BZ:$BZ,'Cronog. e Histog.'!CO:CO),"")</f>
        <v>0</v>
      </c>
      <c r="U242" s="144">
        <f>IFERROR(_xlfn.XLOOKUP($B242,'Cronog. e Histog.'!$BZ:$BZ,'Cronog. e Histog.'!CP:CP),"")</f>
        <v>0</v>
      </c>
      <c r="V242" s="144">
        <f>IFERROR(_xlfn.XLOOKUP($B242,'Cronog. e Histog.'!$BZ:$BZ,'Cronog. e Histog.'!CQ:CQ),"")</f>
        <v>0</v>
      </c>
      <c r="W242" s="144">
        <f>IFERROR(_xlfn.XLOOKUP($B242,'Cronog. e Histog.'!$BZ:$BZ,'Cronog. e Histog.'!CR:CR),"")</f>
        <v>0</v>
      </c>
      <c r="X242" s="144">
        <f>IFERROR(_xlfn.XLOOKUP($B242,'Cronog. e Histog.'!$BZ:$BZ,'Cronog. e Histog.'!CS:CS),"")</f>
        <v>0</v>
      </c>
      <c r="Y242" s="144">
        <f>IFERROR(_xlfn.XLOOKUP($B242,'Cronog. e Histog.'!$BZ:$BZ,'Cronog. e Histog.'!CT:CT),"")</f>
        <v>0</v>
      </c>
      <c r="Z242" s="144">
        <f>IFERROR(_xlfn.XLOOKUP($B242,'Cronog. e Histog.'!$BZ:$BZ,'Cronog. e Histog.'!CU:CU),"")</f>
        <v>0</v>
      </c>
      <c r="AA242" s="144">
        <f>IFERROR(_xlfn.XLOOKUP($B242,'Cronog. e Histog.'!$BZ:$BZ,'Cronog. e Histog.'!CV:CV),"")</f>
        <v>0</v>
      </c>
      <c r="AB242" s="144">
        <f>IFERROR(_xlfn.XLOOKUP($B242,'Cronog. e Histog.'!$BZ:$BZ,'Cronog. e Histog.'!CW:CW),"")</f>
        <v>0</v>
      </c>
      <c r="AC242" s="144">
        <f>IFERROR(_xlfn.XLOOKUP($B242,'Cronog. e Histog.'!$BZ:$BZ,'Cronog. e Histog.'!CX:CX),"")</f>
        <v>0</v>
      </c>
      <c r="AD242" s="144">
        <f>IFERROR(_xlfn.XLOOKUP($B242,'Cronog. e Histog.'!$BZ:$BZ,'Cronog. e Histog.'!CY:CY),"")</f>
        <v>0</v>
      </c>
      <c r="AE242" s="144">
        <f>IFERROR(_xlfn.XLOOKUP($B242,'Cronog. e Histog.'!$BZ:$BZ,'Cronog. e Histog.'!CZ:CZ),"")</f>
        <v>0</v>
      </c>
      <c r="AF242" s="144">
        <f>IFERROR(_xlfn.XLOOKUP($B242,'Cronog. e Histog.'!$BZ:$BZ,'Cronog. e Histog.'!DA:DA),"")</f>
        <v>0</v>
      </c>
      <c r="AG242" s="144">
        <f>IFERROR(_xlfn.XLOOKUP($B242,'Cronog. e Histog.'!$BZ:$BZ,'Cronog. e Histog.'!DB:DB),"")</f>
        <v>0</v>
      </c>
      <c r="AH242" s="144">
        <f>IFERROR(_xlfn.XLOOKUP($B242,'Cronog. e Histog.'!$BZ:$BZ,'Cronog. e Histog.'!DC:DC),"")</f>
        <v>0</v>
      </c>
      <c r="AI242" s="144">
        <f>IFERROR(_xlfn.XLOOKUP($B242,'Cronog. e Histog.'!$BZ:$BZ,'Cronog. e Histog.'!DD:DD),"")</f>
        <v>0</v>
      </c>
      <c r="AJ242" s="144">
        <f>IFERROR(_xlfn.XLOOKUP($B242,'Cronog. e Histog.'!$BZ:$BZ,'Cronog. e Histog.'!DE:DE),"")</f>
        <v>0</v>
      </c>
      <c r="AK242" s="144">
        <f>IFERROR(_xlfn.XLOOKUP($B242,'Cronog. e Histog.'!$BZ:$BZ,'Cronog. e Histog.'!DF:DF),"")</f>
        <v>0</v>
      </c>
      <c r="AL242" s="144">
        <f>IFERROR(_xlfn.XLOOKUP($B242,'Cronog. e Histog.'!$BZ:$BZ,'Cronog. e Histog.'!DG:DG),"")</f>
        <v>0</v>
      </c>
      <c r="AM242" s="144">
        <f>IFERROR(_xlfn.XLOOKUP($B242,'Cronog. e Histog.'!$BZ:$BZ,'Cronog. e Histog.'!DH:DH),"")</f>
        <v>0</v>
      </c>
      <c r="AN242" s="144">
        <f>IFERROR(_xlfn.XLOOKUP($B242,'Cronog. e Histog.'!$BZ:$BZ,'Cronog. e Histog.'!DI:DI),"")</f>
        <v>0</v>
      </c>
      <c r="AO242" s="144">
        <f>IFERROR(_xlfn.XLOOKUP($B242,'Cronog. e Histog.'!$BZ:$BZ,'Cronog. e Histog.'!DJ:DJ),"")</f>
        <v>0</v>
      </c>
      <c r="AP242" s="144">
        <f>IFERROR(_xlfn.XLOOKUP($B242,'Cronog. e Histog.'!$BZ:$BZ,'Cronog. e Histog.'!DK:DK),"")</f>
        <v>0</v>
      </c>
      <c r="AQ242" s="144">
        <f>IFERROR(_xlfn.XLOOKUP($B242,'Cronog. e Histog.'!$BZ:$BZ,'Cronog. e Histog.'!DL:DL),"")</f>
        <v>0</v>
      </c>
      <c r="AR242" s="144">
        <f>IFERROR(_xlfn.XLOOKUP($B242,'Cronog. e Histog.'!$BZ:$BZ,'Cronog. e Histog.'!DM:DM),"")</f>
        <v>0</v>
      </c>
      <c r="AS242" s="144">
        <f>IFERROR(_xlfn.XLOOKUP($B242,'Cronog. e Histog.'!$BZ:$BZ,'Cronog. e Histog.'!DN:DN),"")</f>
        <v>0</v>
      </c>
      <c r="AT242" s="144">
        <f>IFERROR(_xlfn.XLOOKUP($B242,'Cronog. e Histog.'!$BZ:$BZ,'Cronog. e Histog.'!DO:DO),"")</f>
        <v>0</v>
      </c>
      <c r="AU242" s="144">
        <f>IFERROR(_xlfn.XLOOKUP($B242,'Cronog. e Histog.'!$BZ:$BZ,'Cronog. e Histog.'!DP:DP),"")</f>
        <v>0</v>
      </c>
      <c r="AV242" s="144">
        <f>IFERROR(_xlfn.XLOOKUP($B242,'Cronog. e Histog.'!$BZ:$BZ,'Cronog. e Histog.'!DQ:DQ),"")</f>
        <v>0</v>
      </c>
      <c r="AW242" s="144">
        <f>IFERROR(_xlfn.XLOOKUP($B242,'Cronog. e Histog.'!$BZ:$BZ,'Cronog. e Histog.'!DR:DR),"")</f>
        <v>0</v>
      </c>
      <c r="AX242" s="144">
        <f>IFERROR(_xlfn.XLOOKUP($B242,'Cronog. e Histog.'!$BZ:$BZ,'Cronog. e Histog.'!DS:DS),"")</f>
        <v>0</v>
      </c>
      <c r="AY242" s="144">
        <f>IFERROR(_xlfn.XLOOKUP($B242,'Cronog. e Histog.'!$BZ:$BZ,'Cronog. e Histog.'!DT:DT),"")</f>
        <v>0</v>
      </c>
      <c r="AZ242" s="144">
        <f>IFERROR(_xlfn.XLOOKUP($B242,'Cronog. e Histog.'!$BZ:$BZ,'Cronog. e Histog.'!DU:DU),"")</f>
        <v>0</v>
      </c>
      <c r="BA242" s="144">
        <f>IFERROR(_xlfn.XLOOKUP($B242,'Cronog. e Histog.'!$BZ:$BZ,'Cronog. e Histog.'!DV:DV),"")</f>
        <v>0</v>
      </c>
      <c r="BB242" s="144">
        <f>IFERROR(_xlfn.XLOOKUP($B242,'Cronog. e Histog.'!$BZ:$BZ,'Cronog. e Histog.'!DW:DW),"")</f>
        <v>0</v>
      </c>
      <c r="BC242" s="144">
        <f>IFERROR(_xlfn.XLOOKUP($B242,'Cronog. e Histog.'!$BZ:$BZ,'Cronog. e Histog.'!DX:DX),"")</f>
        <v>0</v>
      </c>
      <c r="BD242" s="144">
        <f>IFERROR(_xlfn.XLOOKUP($B242,'Cronog. e Histog.'!$BZ:$BZ,'Cronog. e Histog.'!DY:DY),"")</f>
        <v>0</v>
      </c>
      <c r="BE242" s="144">
        <f>IFERROR(_xlfn.XLOOKUP($B242,'Cronog. e Histog.'!$BZ:$BZ,'Cronog. e Histog.'!DZ:DZ),"")</f>
        <v>0</v>
      </c>
      <c r="BF242" s="144">
        <f>IFERROR(_xlfn.XLOOKUP($B242,'Cronog. e Histog.'!$BZ:$BZ,'Cronog. e Histog.'!EA:EA),"")</f>
        <v>0</v>
      </c>
      <c r="BG242" s="144">
        <f>IFERROR(_xlfn.XLOOKUP($B242,'Cronog. e Histog.'!$BZ:$BZ,'Cronog. e Histog.'!EB:EB),"")</f>
        <v>0</v>
      </c>
      <c r="BH242" s="144">
        <f>IFERROR(_xlfn.XLOOKUP($B242,'Cronog. e Histog.'!$BZ:$BZ,'Cronog. e Histog.'!EC:EC),"")</f>
        <v>0</v>
      </c>
      <c r="BI242" s="144">
        <f>IFERROR(_xlfn.XLOOKUP($B242,'Cronog. e Histog.'!$BZ:$BZ,'Cronog. e Histog.'!ED:ED),"")</f>
        <v>0</v>
      </c>
      <c r="BJ242" s="144">
        <f>IFERROR(_xlfn.XLOOKUP($B242,'Cronog. e Histog.'!$BZ:$BZ,'Cronog. e Histog.'!EE:EE),"")</f>
        <v>0</v>
      </c>
      <c r="BK242" s="144">
        <f>IFERROR(_xlfn.XLOOKUP($B242,'Cronog. e Histog.'!$BZ:$BZ,'Cronog. e Histog.'!EF:EF),"")</f>
        <v>0</v>
      </c>
      <c r="BL242" s="144">
        <f>IFERROR(_xlfn.XLOOKUP($B242,'Cronog. e Histog.'!$BZ:$BZ,'Cronog. e Histog.'!EG:EG),"")</f>
        <v>0</v>
      </c>
      <c r="BM242" s="144">
        <f>IFERROR(_xlfn.XLOOKUP($B242,'Cronog. e Histog.'!$BZ:$BZ,'Cronog. e Histog.'!EH:EH),"")</f>
        <v>0</v>
      </c>
      <c r="BN242" s="144">
        <f>IFERROR(_xlfn.XLOOKUP($B242,'Cronog. e Histog.'!$BZ:$BZ,'Cronog. e Histog.'!EI:EI),"")</f>
        <v>0</v>
      </c>
    </row>
    <row r="243" spans="2:66" ht="12" hidden="1" customHeight="1" outlineLevel="1">
      <c r="B243" s="76">
        <v>237</v>
      </c>
      <c r="C243" s="143" t="str">
        <f>IFERROR(VLOOKUP(B243,'Cronog. e Histog.'!$BZ$213:$CA$747,2,0),"")</f>
        <v>AUX ADM</v>
      </c>
      <c r="D243" s="144">
        <f t="shared" si="6"/>
        <v>0</v>
      </c>
      <c r="E243" s="144">
        <f t="shared" si="7"/>
        <v>0</v>
      </c>
      <c r="F243" s="65"/>
      <c r="G243" s="144">
        <f>IFERROR(_xlfn.XLOOKUP($B243,'Cronog. e Histog.'!$BZ:$BZ,'Cronog. e Histog.'!CB:CB),"")</f>
        <v>0</v>
      </c>
      <c r="H243" s="144">
        <f>IFERROR(_xlfn.XLOOKUP($B243,'Cronog. e Histog.'!$BZ:$BZ,'Cronog. e Histog.'!CC:CC),"")</f>
        <v>0</v>
      </c>
      <c r="I243" s="144">
        <f>IFERROR(_xlfn.XLOOKUP($B243,'Cronog. e Histog.'!$BZ:$BZ,'Cronog. e Histog.'!CD:CD),"")</f>
        <v>0</v>
      </c>
      <c r="J243" s="144">
        <f>IFERROR(_xlfn.XLOOKUP($B243,'Cronog. e Histog.'!$BZ:$BZ,'Cronog. e Histog.'!CE:CE),"")</f>
        <v>0</v>
      </c>
      <c r="K243" s="144">
        <f>IFERROR(_xlfn.XLOOKUP($B243,'Cronog. e Histog.'!$BZ:$BZ,'Cronog. e Histog.'!CF:CF),"")</f>
        <v>0</v>
      </c>
      <c r="L243" s="144">
        <f>IFERROR(_xlfn.XLOOKUP($B243,'Cronog. e Histog.'!$BZ:$BZ,'Cronog. e Histog.'!CG:CG),"")</f>
        <v>0</v>
      </c>
      <c r="M243" s="144">
        <f>IFERROR(_xlfn.XLOOKUP($B243,'Cronog. e Histog.'!$BZ:$BZ,'Cronog. e Histog.'!CH:CH),"")</f>
        <v>0</v>
      </c>
      <c r="N243" s="144">
        <f>IFERROR(_xlfn.XLOOKUP($B243,'Cronog. e Histog.'!$BZ:$BZ,'Cronog. e Histog.'!CI:CI),"")</f>
        <v>0</v>
      </c>
      <c r="O243" s="144">
        <f>IFERROR(_xlfn.XLOOKUP($B243,'Cronog. e Histog.'!$BZ:$BZ,'Cronog. e Histog.'!CJ:CJ),"")</f>
        <v>0</v>
      </c>
      <c r="P243" s="144">
        <f>IFERROR(_xlfn.XLOOKUP($B243,'Cronog. e Histog.'!$BZ:$BZ,'Cronog. e Histog.'!CK:CK),"")</f>
        <v>0</v>
      </c>
      <c r="Q243" s="144">
        <f>IFERROR(_xlfn.XLOOKUP($B243,'Cronog. e Histog.'!$BZ:$BZ,'Cronog. e Histog.'!CL:CL),"")</f>
        <v>0</v>
      </c>
      <c r="R243" s="144">
        <f>IFERROR(_xlfn.XLOOKUP($B243,'Cronog. e Histog.'!$BZ:$BZ,'Cronog. e Histog.'!CM:CM),"")</f>
        <v>0</v>
      </c>
      <c r="S243" s="144">
        <f>IFERROR(_xlfn.XLOOKUP($B243,'Cronog. e Histog.'!$BZ:$BZ,'Cronog. e Histog.'!CN:CN),"")</f>
        <v>0</v>
      </c>
      <c r="T243" s="144">
        <f>IFERROR(_xlfn.XLOOKUP($B243,'Cronog. e Histog.'!$BZ:$BZ,'Cronog. e Histog.'!CO:CO),"")</f>
        <v>0</v>
      </c>
      <c r="U243" s="144">
        <f>IFERROR(_xlfn.XLOOKUP($B243,'Cronog. e Histog.'!$BZ:$BZ,'Cronog. e Histog.'!CP:CP),"")</f>
        <v>0</v>
      </c>
      <c r="V243" s="144">
        <f>IFERROR(_xlfn.XLOOKUP($B243,'Cronog. e Histog.'!$BZ:$BZ,'Cronog. e Histog.'!CQ:CQ),"")</f>
        <v>0</v>
      </c>
      <c r="W243" s="144">
        <f>IFERROR(_xlfn.XLOOKUP($B243,'Cronog. e Histog.'!$BZ:$BZ,'Cronog. e Histog.'!CR:CR),"")</f>
        <v>0</v>
      </c>
      <c r="X243" s="144">
        <f>IFERROR(_xlfn.XLOOKUP($B243,'Cronog. e Histog.'!$BZ:$BZ,'Cronog. e Histog.'!CS:CS),"")</f>
        <v>0</v>
      </c>
      <c r="Y243" s="144">
        <f>IFERROR(_xlfn.XLOOKUP($B243,'Cronog. e Histog.'!$BZ:$BZ,'Cronog. e Histog.'!CT:CT),"")</f>
        <v>0</v>
      </c>
      <c r="Z243" s="144">
        <f>IFERROR(_xlfn.XLOOKUP($B243,'Cronog. e Histog.'!$BZ:$BZ,'Cronog. e Histog.'!CU:CU),"")</f>
        <v>0</v>
      </c>
      <c r="AA243" s="144">
        <f>IFERROR(_xlfn.XLOOKUP($B243,'Cronog. e Histog.'!$BZ:$BZ,'Cronog. e Histog.'!CV:CV),"")</f>
        <v>0</v>
      </c>
      <c r="AB243" s="144">
        <f>IFERROR(_xlfn.XLOOKUP($B243,'Cronog. e Histog.'!$BZ:$BZ,'Cronog. e Histog.'!CW:CW),"")</f>
        <v>0</v>
      </c>
      <c r="AC243" s="144">
        <f>IFERROR(_xlfn.XLOOKUP($B243,'Cronog. e Histog.'!$BZ:$BZ,'Cronog. e Histog.'!CX:CX),"")</f>
        <v>0</v>
      </c>
      <c r="AD243" s="144">
        <f>IFERROR(_xlfn.XLOOKUP($B243,'Cronog. e Histog.'!$BZ:$BZ,'Cronog. e Histog.'!CY:CY),"")</f>
        <v>0</v>
      </c>
      <c r="AE243" s="144">
        <f>IFERROR(_xlfn.XLOOKUP($B243,'Cronog. e Histog.'!$BZ:$BZ,'Cronog. e Histog.'!CZ:CZ),"")</f>
        <v>0</v>
      </c>
      <c r="AF243" s="144">
        <f>IFERROR(_xlfn.XLOOKUP($B243,'Cronog. e Histog.'!$BZ:$BZ,'Cronog. e Histog.'!DA:DA),"")</f>
        <v>0</v>
      </c>
      <c r="AG243" s="144">
        <f>IFERROR(_xlfn.XLOOKUP($B243,'Cronog. e Histog.'!$BZ:$BZ,'Cronog. e Histog.'!DB:DB),"")</f>
        <v>0</v>
      </c>
      <c r="AH243" s="144">
        <f>IFERROR(_xlfn.XLOOKUP($B243,'Cronog. e Histog.'!$BZ:$BZ,'Cronog. e Histog.'!DC:DC),"")</f>
        <v>0</v>
      </c>
      <c r="AI243" s="144">
        <f>IFERROR(_xlfn.XLOOKUP($B243,'Cronog. e Histog.'!$BZ:$BZ,'Cronog. e Histog.'!DD:DD),"")</f>
        <v>0</v>
      </c>
      <c r="AJ243" s="144">
        <f>IFERROR(_xlfn.XLOOKUP($B243,'Cronog. e Histog.'!$BZ:$BZ,'Cronog. e Histog.'!DE:DE),"")</f>
        <v>0</v>
      </c>
      <c r="AK243" s="144">
        <f>IFERROR(_xlfn.XLOOKUP($B243,'Cronog. e Histog.'!$BZ:$BZ,'Cronog. e Histog.'!DF:DF),"")</f>
        <v>0</v>
      </c>
      <c r="AL243" s="144">
        <f>IFERROR(_xlfn.XLOOKUP($B243,'Cronog. e Histog.'!$BZ:$BZ,'Cronog. e Histog.'!DG:DG),"")</f>
        <v>0</v>
      </c>
      <c r="AM243" s="144">
        <f>IFERROR(_xlfn.XLOOKUP($B243,'Cronog. e Histog.'!$BZ:$BZ,'Cronog. e Histog.'!DH:DH),"")</f>
        <v>0</v>
      </c>
      <c r="AN243" s="144">
        <f>IFERROR(_xlfn.XLOOKUP($B243,'Cronog. e Histog.'!$BZ:$BZ,'Cronog. e Histog.'!DI:DI),"")</f>
        <v>0</v>
      </c>
      <c r="AO243" s="144">
        <f>IFERROR(_xlfn.XLOOKUP($B243,'Cronog. e Histog.'!$BZ:$BZ,'Cronog. e Histog.'!DJ:DJ),"")</f>
        <v>0</v>
      </c>
      <c r="AP243" s="144">
        <f>IFERROR(_xlfn.XLOOKUP($B243,'Cronog. e Histog.'!$BZ:$BZ,'Cronog. e Histog.'!DK:DK),"")</f>
        <v>0</v>
      </c>
      <c r="AQ243" s="144">
        <f>IFERROR(_xlfn.XLOOKUP($B243,'Cronog. e Histog.'!$BZ:$BZ,'Cronog. e Histog.'!DL:DL),"")</f>
        <v>0</v>
      </c>
      <c r="AR243" s="144">
        <f>IFERROR(_xlfn.XLOOKUP($B243,'Cronog. e Histog.'!$BZ:$BZ,'Cronog. e Histog.'!DM:DM),"")</f>
        <v>0</v>
      </c>
      <c r="AS243" s="144">
        <f>IFERROR(_xlfn.XLOOKUP($B243,'Cronog. e Histog.'!$BZ:$BZ,'Cronog. e Histog.'!DN:DN),"")</f>
        <v>0</v>
      </c>
      <c r="AT243" s="144">
        <f>IFERROR(_xlfn.XLOOKUP($B243,'Cronog. e Histog.'!$BZ:$BZ,'Cronog. e Histog.'!DO:DO),"")</f>
        <v>0</v>
      </c>
      <c r="AU243" s="144">
        <f>IFERROR(_xlfn.XLOOKUP($B243,'Cronog. e Histog.'!$BZ:$BZ,'Cronog. e Histog.'!DP:DP),"")</f>
        <v>0</v>
      </c>
      <c r="AV243" s="144">
        <f>IFERROR(_xlfn.XLOOKUP($B243,'Cronog. e Histog.'!$BZ:$BZ,'Cronog. e Histog.'!DQ:DQ),"")</f>
        <v>0</v>
      </c>
      <c r="AW243" s="144">
        <f>IFERROR(_xlfn.XLOOKUP($B243,'Cronog. e Histog.'!$BZ:$BZ,'Cronog. e Histog.'!DR:DR),"")</f>
        <v>0</v>
      </c>
      <c r="AX243" s="144">
        <f>IFERROR(_xlfn.XLOOKUP($B243,'Cronog. e Histog.'!$BZ:$BZ,'Cronog. e Histog.'!DS:DS),"")</f>
        <v>0</v>
      </c>
      <c r="AY243" s="144">
        <f>IFERROR(_xlfn.XLOOKUP($B243,'Cronog. e Histog.'!$BZ:$BZ,'Cronog. e Histog.'!DT:DT),"")</f>
        <v>0</v>
      </c>
      <c r="AZ243" s="144">
        <f>IFERROR(_xlfn.XLOOKUP($B243,'Cronog. e Histog.'!$BZ:$BZ,'Cronog. e Histog.'!DU:DU),"")</f>
        <v>0</v>
      </c>
      <c r="BA243" s="144">
        <f>IFERROR(_xlfn.XLOOKUP($B243,'Cronog. e Histog.'!$BZ:$BZ,'Cronog. e Histog.'!DV:DV),"")</f>
        <v>0</v>
      </c>
      <c r="BB243" s="144">
        <f>IFERROR(_xlfn.XLOOKUP($B243,'Cronog. e Histog.'!$BZ:$BZ,'Cronog. e Histog.'!DW:DW),"")</f>
        <v>0</v>
      </c>
      <c r="BC243" s="144">
        <f>IFERROR(_xlfn.XLOOKUP($B243,'Cronog. e Histog.'!$BZ:$BZ,'Cronog. e Histog.'!DX:DX),"")</f>
        <v>0</v>
      </c>
      <c r="BD243" s="144">
        <f>IFERROR(_xlfn.XLOOKUP($B243,'Cronog. e Histog.'!$BZ:$BZ,'Cronog. e Histog.'!DY:DY),"")</f>
        <v>0</v>
      </c>
      <c r="BE243" s="144">
        <f>IFERROR(_xlfn.XLOOKUP($B243,'Cronog. e Histog.'!$BZ:$BZ,'Cronog. e Histog.'!DZ:DZ),"")</f>
        <v>0</v>
      </c>
      <c r="BF243" s="144">
        <f>IFERROR(_xlfn.XLOOKUP($B243,'Cronog. e Histog.'!$BZ:$BZ,'Cronog. e Histog.'!EA:EA),"")</f>
        <v>0</v>
      </c>
      <c r="BG243" s="144">
        <f>IFERROR(_xlfn.XLOOKUP($B243,'Cronog. e Histog.'!$BZ:$BZ,'Cronog. e Histog.'!EB:EB),"")</f>
        <v>0</v>
      </c>
      <c r="BH243" s="144">
        <f>IFERROR(_xlfn.XLOOKUP($B243,'Cronog. e Histog.'!$BZ:$BZ,'Cronog. e Histog.'!EC:EC),"")</f>
        <v>0</v>
      </c>
      <c r="BI243" s="144">
        <f>IFERROR(_xlfn.XLOOKUP($B243,'Cronog. e Histog.'!$BZ:$BZ,'Cronog. e Histog.'!ED:ED),"")</f>
        <v>0</v>
      </c>
      <c r="BJ243" s="144">
        <f>IFERROR(_xlfn.XLOOKUP($B243,'Cronog. e Histog.'!$BZ:$BZ,'Cronog. e Histog.'!EE:EE),"")</f>
        <v>0</v>
      </c>
      <c r="BK243" s="144">
        <f>IFERROR(_xlfn.XLOOKUP($B243,'Cronog. e Histog.'!$BZ:$BZ,'Cronog. e Histog.'!EF:EF),"")</f>
        <v>0</v>
      </c>
      <c r="BL243" s="144">
        <f>IFERROR(_xlfn.XLOOKUP($B243,'Cronog. e Histog.'!$BZ:$BZ,'Cronog. e Histog.'!EG:EG),"")</f>
        <v>0</v>
      </c>
      <c r="BM243" s="144">
        <f>IFERROR(_xlfn.XLOOKUP($B243,'Cronog. e Histog.'!$BZ:$BZ,'Cronog. e Histog.'!EH:EH),"")</f>
        <v>0</v>
      </c>
      <c r="BN243" s="144">
        <f>IFERROR(_xlfn.XLOOKUP($B243,'Cronog. e Histog.'!$BZ:$BZ,'Cronog. e Histog.'!EI:EI),"")</f>
        <v>0</v>
      </c>
    </row>
    <row r="244" spans="2:66" ht="12" hidden="1" customHeight="1" outlineLevel="1">
      <c r="B244" s="76">
        <v>238</v>
      </c>
      <c r="C244" s="143" t="str">
        <f>IFERROR(VLOOKUP(B244,'Cronog. e Histog.'!$BZ$213:$CA$747,2,0),"")</f>
        <v>EST</v>
      </c>
      <c r="D244" s="144">
        <f t="shared" si="6"/>
        <v>0</v>
      </c>
      <c r="E244" s="144">
        <f t="shared" si="7"/>
        <v>0</v>
      </c>
      <c r="F244" s="65"/>
      <c r="G244" s="144">
        <f>IFERROR(_xlfn.XLOOKUP($B244,'Cronog. e Histog.'!$BZ:$BZ,'Cronog. e Histog.'!CB:CB),"")</f>
        <v>0</v>
      </c>
      <c r="H244" s="144">
        <f>IFERROR(_xlfn.XLOOKUP($B244,'Cronog. e Histog.'!$BZ:$BZ,'Cronog. e Histog.'!CC:CC),"")</f>
        <v>0</v>
      </c>
      <c r="I244" s="144">
        <f>IFERROR(_xlfn.XLOOKUP($B244,'Cronog. e Histog.'!$BZ:$BZ,'Cronog. e Histog.'!CD:CD),"")</f>
        <v>0</v>
      </c>
      <c r="J244" s="144">
        <f>IFERROR(_xlfn.XLOOKUP($B244,'Cronog. e Histog.'!$BZ:$BZ,'Cronog. e Histog.'!CE:CE),"")</f>
        <v>0</v>
      </c>
      <c r="K244" s="144">
        <f>IFERROR(_xlfn.XLOOKUP($B244,'Cronog. e Histog.'!$BZ:$BZ,'Cronog. e Histog.'!CF:CF),"")</f>
        <v>0</v>
      </c>
      <c r="L244" s="144">
        <f>IFERROR(_xlfn.XLOOKUP($B244,'Cronog. e Histog.'!$BZ:$BZ,'Cronog. e Histog.'!CG:CG),"")</f>
        <v>0</v>
      </c>
      <c r="M244" s="144">
        <f>IFERROR(_xlfn.XLOOKUP($B244,'Cronog. e Histog.'!$BZ:$BZ,'Cronog. e Histog.'!CH:CH),"")</f>
        <v>0</v>
      </c>
      <c r="N244" s="144">
        <f>IFERROR(_xlfn.XLOOKUP($B244,'Cronog. e Histog.'!$BZ:$BZ,'Cronog. e Histog.'!CI:CI),"")</f>
        <v>0</v>
      </c>
      <c r="O244" s="144">
        <f>IFERROR(_xlfn.XLOOKUP($B244,'Cronog. e Histog.'!$BZ:$BZ,'Cronog. e Histog.'!CJ:CJ),"")</f>
        <v>0</v>
      </c>
      <c r="P244" s="144">
        <f>IFERROR(_xlfn.XLOOKUP($B244,'Cronog. e Histog.'!$BZ:$BZ,'Cronog. e Histog.'!CK:CK),"")</f>
        <v>0</v>
      </c>
      <c r="Q244" s="144">
        <f>IFERROR(_xlfn.XLOOKUP($B244,'Cronog. e Histog.'!$BZ:$BZ,'Cronog. e Histog.'!CL:CL),"")</f>
        <v>0</v>
      </c>
      <c r="R244" s="144">
        <f>IFERROR(_xlfn.XLOOKUP($B244,'Cronog. e Histog.'!$BZ:$BZ,'Cronog. e Histog.'!CM:CM),"")</f>
        <v>0</v>
      </c>
      <c r="S244" s="144">
        <f>IFERROR(_xlfn.XLOOKUP($B244,'Cronog. e Histog.'!$BZ:$BZ,'Cronog. e Histog.'!CN:CN),"")</f>
        <v>0</v>
      </c>
      <c r="T244" s="144">
        <f>IFERROR(_xlfn.XLOOKUP($B244,'Cronog. e Histog.'!$BZ:$BZ,'Cronog. e Histog.'!CO:CO),"")</f>
        <v>0</v>
      </c>
      <c r="U244" s="144">
        <f>IFERROR(_xlfn.XLOOKUP($B244,'Cronog. e Histog.'!$BZ:$BZ,'Cronog. e Histog.'!CP:CP),"")</f>
        <v>0</v>
      </c>
      <c r="V244" s="144">
        <f>IFERROR(_xlfn.XLOOKUP($B244,'Cronog. e Histog.'!$BZ:$BZ,'Cronog. e Histog.'!CQ:CQ),"")</f>
        <v>0</v>
      </c>
      <c r="W244" s="144">
        <f>IFERROR(_xlfn.XLOOKUP($B244,'Cronog. e Histog.'!$BZ:$BZ,'Cronog. e Histog.'!CR:CR),"")</f>
        <v>0</v>
      </c>
      <c r="X244" s="144">
        <f>IFERROR(_xlfn.XLOOKUP($B244,'Cronog. e Histog.'!$BZ:$BZ,'Cronog. e Histog.'!CS:CS),"")</f>
        <v>0</v>
      </c>
      <c r="Y244" s="144">
        <f>IFERROR(_xlfn.XLOOKUP($B244,'Cronog. e Histog.'!$BZ:$BZ,'Cronog. e Histog.'!CT:CT),"")</f>
        <v>0</v>
      </c>
      <c r="Z244" s="144">
        <f>IFERROR(_xlfn.XLOOKUP($B244,'Cronog. e Histog.'!$BZ:$BZ,'Cronog. e Histog.'!CU:CU),"")</f>
        <v>0</v>
      </c>
      <c r="AA244" s="144">
        <f>IFERROR(_xlfn.XLOOKUP($B244,'Cronog. e Histog.'!$BZ:$BZ,'Cronog. e Histog.'!CV:CV),"")</f>
        <v>0</v>
      </c>
      <c r="AB244" s="144">
        <f>IFERROR(_xlfn.XLOOKUP($B244,'Cronog. e Histog.'!$BZ:$BZ,'Cronog. e Histog.'!CW:CW),"")</f>
        <v>0</v>
      </c>
      <c r="AC244" s="144">
        <f>IFERROR(_xlfn.XLOOKUP($B244,'Cronog. e Histog.'!$BZ:$BZ,'Cronog. e Histog.'!CX:CX),"")</f>
        <v>0</v>
      </c>
      <c r="AD244" s="144">
        <f>IFERROR(_xlfn.XLOOKUP($B244,'Cronog. e Histog.'!$BZ:$BZ,'Cronog. e Histog.'!CY:CY),"")</f>
        <v>0</v>
      </c>
      <c r="AE244" s="144">
        <f>IFERROR(_xlfn.XLOOKUP($B244,'Cronog. e Histog.'!$BZ:$BZ,'Cronog. e Histog.'!CZ:CZ),"")</f>
        <v>0</v>
      </c>
      <c r="AF244" s="144">
        <f>IFERROR(_xlfn.XLOOKUP($B244,'Cronog. e Histog.'!$BZ:$BZ,'Cronog. e Histog.'!DA:DA),"")</f>
        <v>0</v>
      </c>
      <c r="AG244" s="144">
        <f>IFERROR(_xlfn.XLOOKUP($B244,'Cronog. e Histog.'!$BZ:$BZ,'Cronog. e Histog.'!DB:DB),"")</f>
        <v>0</v>
      </c>
      <c r="AH244" s="144">
        <f>IFERROR(_xlfn.XLOOKUP($B244,'Cronog. e Histog.'!$BZ:$BZ,'Cronog. e Histog.'!DC:DC),"")</f>
        <v>0</v>
      </c>
      <c r="AI244" s="144">
        <f>IFERROR(_xlfn.XLOOKUP($B244,'Cronog. e Histog.'!$BZ:$BZ,'Cronog. e Histog.'!DD:DD),"")</f>
        <v>0</v>
      </c>
      <c r="AJ244" s="144">
        <f>IFERROR(_xlfn.XLOOKUP($B244,'Cronog. e Histog.'!$BZ:$BZ,'Cronog. e Histog.'!DE:DE),"")</f>
        <v>0</v>
      </c>
      <c r="AK244" s="144">
        <f>IFERROR(_xlfn.XLOOKUP($B244,'Cronog. e Histog.'!$BZ:$BZ,'Cronog. e Histog.'!DF:DF),"")</f>
        <v>0</v>
      </c>
      <c r="AL244" s="144">
        <f>IFERROR(_xlfn.XLOOKUP($B244,'Cronog. e Histog.'!$BZ:$BZ,'Cronog. e Histog.'!DG:DG),"")</f>
        <v>0</v>
      </c>
      <c r="AM244" s="144">
        <f>IFERROR(_xlfn.XLOOKUP($B244,'Cronog. e Histog.'!$BZ:$BZ,'Cronog. e Histog.'!DH:DH),"")</f>
        <v>0</v>
      </c>
      <c r="AN244" s="144">
        <f>IFERROR(_xlfn.XLOOKUP($B244,'Cronog. e Histog.'!$BZ:$BZ,'Cronog. e Histog.'!DI:DI),"")</f>
        <v>0</v>
      </c>
      <c r="AO244" s="144">
        <f>IFERROR(_xlfn.XLOOKUP($B244,'Cronog. e Histog.'!$BZ:$BZ,'Cronog. e Histog.'!DJ:DJ),"")</f>
        <v>0</v>
      </c>
      <c r="AP244" s="144">
        <f>IFERROR(_xlfn.XLOOKUP($B244,'Cronog. e Histog.'!$BZ:$BZ,'Cronog. e Histog.'!DK:DK),"")</f>
        <v>0</v>
      </c>
      <c r="AQ244" s="144">
        <f>IFERROR(_xlfn.XLOOKUP($B244,'Cronog. e Histog.'!$BZ:$BZ,'Cronog. e Histog.'!DL:DL),"")</f>
        <v>0</v>
      </c>
      <c r="AR244" s="144">
        <f>IFERROR(_xlfn.XLOOKUP($B244,'Cronog. e Histog.'!$BZ:$BZ,'Cronog. e Histog.'!DM:DM),"")</f>
        <v>0</v>
      </c>
      <c r="AS244" s="144">
        <f>IFERROR(_xlfn.XLOOKUP($B244,'Cronog. e Histog.'!$BZ:$BZ,'Cronog. e Histog.'!DN:DN),"")</f>
        <v>0</v>
      </c>
      <c r="AT244" s="144">
        <f>IFERROR(_xlfn.XLOOKUP($B244,'Cronog. e Histog.'!$BZ:$BZ,'Cronog. e Histog.'!DO:DO),"")</f>
        <v>0</v>
      </c>
      <c r="AU244" s="144">
        <f>IFERROR(_xlfn.XLOOKUP($B244,'Cronog. e Histog.'!$BZ:$BZ,'Cronog. e Histog.'!DP:DP),"")</f>
        <v>0</v>
      </c>
      <c r="AV244" s="144">
        <f>IFERROR(_xlfn.XLOOKUP($B244,'Cronog. e Histog.'!$BZ:$BZ,'Cronog. e Histog.'!DQ:DQ),"")</f>
        <v>0</v>
      </c>
      <c r="AW244" s="144">
        <f>IFERROR(_xlfn.XLOOKUP($B244,'Cronog. e Histog.'!$BZ:$BZ,'Cronog. e Histog.'!DR:DR),"")</f>
        <v>0</v>
      </c>
      <c r="AX244" s="144">
        <f>IFERROR(_xlfn.XLOOKUP($B244,'Cronog. e Histog.'!$BZ:$BZ,'Cronog. e Histog.'!DS:DS),"")</f>
        <v>0</v>
      </c>
      <c r="AY244" s="144">
        <f>IFERROR(_xlfn.XLOOKUP($B244,'Cronog. e Histog.'!$BZ:$BZ,'Cronog. e Histog.'!DT:DT),"")</f>
        <v>0</v>
      </c>
      <c r="AZ244" s="144">
        <f>IFERROR(_xlfn.XLOOKUP($B244,'Cronog. e Histog.'!$BZ:$BZ,'Cronog. e Histog.'!DU:DU),"")</f>
        <v>0</v>
      </c>
      <c r="BA244" s="144">
        <f>IFERROR(_xlfn.XLOOKUP($B244,'Cronog. e Histog.'!$BZ:$BZ,'Cronog. e Histog.'!DV:DV),"")</f>
        <v>0</v>
      </c>
      <c r="BB244" s="144">
        <f>IFERROR(_xlfn.XLOOKUP($B244,'Cronog. e Histog.'!$BZ:$BZ,'Cronog. e Histog.'!DW:DW),"")</f>
        <v>0</v>
      </c>
      <c r="BC244" s="144">
        <f>IFERROR(_xlfn.XLOOKUP($B244,'Cronog. e Histog.'!$BZ:$BZ,'Cronog. e Histog.'!DX:DX),"")</f>
        <v>0</v>
      </c>
      <c r="BD244" s="144">
        <f>IFERROR(_xlfn.XLOOKUP($B244,'Cronog. e Histog.'!$BZ:$BZ,'Cronog. e Histog.'!DY:DY),"")</f>
        <v>0</v>
      </c>
      <c r="BE244" s="144">
        <f>IFERROR(_xlfn.XLOOKUP($B244,'Cronog. e Histog.'!$BZ:$BZ,'Cronog. e Histog.'!DZ:DZ),"")</f>
        <v>0</v>
      </c>
      <c r="BF244" s="144">
        <f>IFERROR(_xlfn.XLOOKUP($B244,'Cronog. e Histog.'!$BZ:$BZ,'Cronog. e Histog.'!EA:EA),"")</f>
        <v>0</v>
      </c>
      <c r="BG244" s="144">
        <f>IFERROR(_xlfn.XLOOKUP($B244,'Cronog. e Histog.'!$BZ:$BZ,'Cronog. e Histog.'!EB:EB),"")</f>
        <v>0</v>
      </c>
      <c r="BH244" s="144">
        <f>IFERROR(_xlfn.XLOOKUP($B244,'Cronog. e Histog.'!$BZ:$BZ,'Cronog. e Histog.'!EC:EC),"")</f>
        <v>0</v>
      </c>
      <c r="BI244" s="144">
        <f>IFERROR(_xlfn.XLOOKUP($B244,'Cronog. e Histog.'!$BZ:$BZ,'Cronog. e Histog.'!ED:ED),"")</f>
        <v>0</v>
      </c>
      <c r="BJ244" s="144">
        <f>IFERROR(_xlfn.XLOOKUP($B244,'Cronog. e Histog.'!$BZ:$BZ,'Cronog. e Histog.'!EE:EE),"")</f>
        <v>0</v>
      </c>
      <c r="BK244" s="144">
        <f>IFERROR(_xlfn.XLOOKUP($B244,'Cronog. e Histog.'!$BZ:$BZ,'Cronog. e Histog.'!EF:EF),"")</f>
        <v>0</v>
      </c>
      <c r="BL244" s="144">
        <f>IFERROR(_xlfn.XLOOKUP($B244,'Cronog. e Histog.'!$BZ:$BZ,'Cronog. e Histog.'!EG:EG),"")</f>
        <v>0</v>
      </c>
      <c r="BM244" s="144">
        <f>IFERROR(_xlfn.XLOOKUP($B244,'Cronog. e Histog.'!$BZ:$BZ,'Cronog. e Histog.'!EH:EH),"")</f>
        <v>0</v>
      </c>
      <c r="BN244" s="144">
        <f>IFERROR(_xlfn.XLOOKUP($B244,'Cronog. e Histog.'!$BZ:$BZ,'Cronog. e Histog.'!EI:EI),"")</f>
        <v>0</v>
      </c>
    </row>
    <row r="245" spans="2:66" ht="12" hidden="1" customHeight="1" outlineLevel="1">
      <c r="B245" s="76">
        <v>239</v>
      </c>
      <c r="C245" s="143" t="str">
        <f>IFERROR(VLOOKUP(B245,'Cronog. e Histog.'!$BZ$213:$CA$747,2,0),"")</f>
        <v>EST_II</v>
      </c>
      <c r="D245" s="144">
        <f t="shared" si="6"/>
        <v>0</v>
      </c>
      <c r="E245" s="144">
        <f t="shared" si="7"/>
        <v>0</v>
      </c>
      <c r="F245" s="65"/>
      <c r="G245" s="144">
        <f>IFERROR(_xlfn.XLOOKUP($B245,'Cronog. e Histog.'!$BZ:$BZ,'Cronog. e Histog.'!CB:CB),"")</f>
        <v>0</v>
      </c>
      <c r="H245" s="144">
        <f>IFERROR(_xlfn.XLOOKUP($B245,'Cronog. e Histog.'!$BZ:$BZ,'Cronog. e Histog.'!CC:CC),"")</f>
        <v>0</v>
      </c>
      <c r="I245" s="144">
        <f>IFERROR(_xlfn.XLOOKUP($B245,'Cronog. e Histog.'!$BZ:$BZ,'Cronog. e Histog.'!CD:CD),"")</f>
        <v>0</v>
      </c>
      <c r="J245" s="144">
        <f>IFERROR(_xlfn.XLOOKUP($B245,'Cronog. e Histog.'!$BZ:$BZ,'Cronog. e Histog.'!CE:CE),"")</f>
        <v>0</v>
      </c>
      <c r="K245" s="144">
        <f>IFERROR(_xlfn.XLOOKUP($B245,'Cronog. e Histog.'!$BZ:$BZ,'Cronog. e Histog.'!CF:CF),"")</f>
        <v>0</v>
      </c>
      <c r="L245" s="144">
        <f>IFERROR(_xlfn.XLOOKUP($B245,'Cronog. e Histog.'!$BZ:$BZ,'Cronog. e Histog.'!CG:CG),"")</f>
        <v>0</v>
      </c>
      <c r="M245" s="144">
        <f>IFERROR(_xlfn.XLOOKUP($B245,'Cronog. e Histog.'!$BZ:$BZ,'Cronog. e Histog.'!CH:CH),"")</f>
        <v>0</v>
      </c>
      <c r="N245" s="144">
        <f>IFERROR(_xlfn.XLOOKUP($B245,'Cronog. e Histog.'!$BZ:$BZ,'Cronog. e Histog.'!CI:CI),"")</f>
        <v>0</v>
      </c>
      <c r="O245" s="144">
        <f>IFERROR(_xlfn.XLOOKUP($B245,'Cronog. e Histog.'!$BZ:$BZ,'Cronog. e Histog.'!CJ:CJ),"")</f>
        <v>0</v>
      </c>
      <c r="P245" s="144">
        <f>IFERROR(_xlfn.XLOOKUP($B245,'Cronog. e Histog.'!$BZ:$BZ,'Cronog. e Histog.'!CK:CK),"")</f>
        <v>0</v>
      </c>
      <c r="Q245" s="144">
        <f>IFERROR(_xlfn.XLOOKUP($B245,'Cronog. e Histog.'!$BZ:$BZ,'Cronog. e Histog.'!CL:CL),"")</f>
        <v>0</v>
      </c>
      <c r="R245" s="144">
        <f>IFERROR(_xlfn.XLOOKUP($B245,'Cronog. e Histog.'!$BZ:$BZ,'Cronog. e Histog.'!CM:CM),"")</f>
        <v>0</v>
      </c>
      <c r="S245" s="144">
        <f>IFERROR(_xlfn.XLOOKUP($B245,'Cronog. e Histog.'!$BZ:$BZ,'Cronog. e Histog.'!CN:CN),"")</f>
        <v>0</v>
      </c>
      <c r="T245" s="144">
        <f>IFERROR(_xlfn.XLOOKUP($B245,'Cronog. e Histog.'!$BZ:$BZ,'Cronog. e Histog.'!CO:CO),"")</f>
        <v>0</v>
      </c>
      <c r="U245" s="144">
        <f>IFERROR(_xlfn.XLOOKUP($B245,'Cronog. e Histog.'!$BZ:$BZ,'Cronog. e Histog.'!CP:CP),"")</f>
        <v>0</v>
      </c>
      <c r="V245" s="144">
        <f>IFERROR(_xlfn.XLOOKUP($B245,'Cronog. e Histog.'!$BZ:$BZ,'Cronog. e Histog.'!CQ:CQ),"")</f>
        <v>0</v>
      </c>
      <c r="W245" s="144">
        <f>IFERROR(_xlfn.XLOOKUP($B245,'Cronog. e Histog.'!$BZ:$BZ,'Cronog. e Histog.'!CR:CR),"")</f>
        <v>0</v>
      </c>
      <c r="X245" s="144">
        <f>IFERROR(_xlfn.XLOOKUP($B245,'Cronog. e Histog.'!$BZ:$BZ,'Cronog. e Histog.'!CS:CS),"")</f>
        <v>0</v>
      </c>
      <c r="Y245" s="144">
        <f>IFERROR(_xlfn.XLOOKUP($B245,'Cronog. e Histog.'!$BZ:$BZ,'Cronog. e Histog.'!CT:CT),"")</f>
        <v>0</v>
      </c>
      <c r="Z245" s="144">
        <f>IFERROR(_xlfn.XLOOKUP($B245,'Cronog. e Histog.'!$BZ:$BZ,'Cronog. e Histog.'!CU:CU),"")</f>
        <v>0</v>
      </c>
      <c r="AA245" s="144">
        <f>IFERROR(_xlfn.XLOOKUP($B245,'Cronog. e Histog.'!$BZ:$BZ,'Cronog. e Histog.'!CV:CV),"")</f>
        <v>0</v>
      </c>
      <c r="AB245" s="144">
        <f>IFERROR(_xlfn.XLOOKUP($B245,'Cronog. e Histog.'!$BZ:$BZ,'Cronog. e Histog.'!CW:CW),"")</f>
        <v>0</v>
      </c>
      <c r="AC245" s="144">
        <f>IFERROR(_xlfn.XLOOKUP($B245,'Cronog. e Histog.'!$BZ:$BZ,'Cronog. e Histog.'!CX:CX),"")</f>
        <v>0</v>
      </c>
      <c r="AD245" s="144">
        <f>IFERROR(_xlfn.XLOOKUP($B245,'Cronog. e Histog.'!$BZ:$BZ,'Cronog. e Histog.'!CY:CY),"")</f>
        <v>0</v>
      </c>
      <c r="AE245" s="144">
        <f>IFERROR(_xlfn.XLOOKUP($B245,'Cronog. e Histog.'!$BZ:$BZ,'Cronog. e Histog.'!CZ:CZ),"")</f>
        <v>0</v>
      </c>
      <c r="AF245" s="144">
        <f>IFERROR(_xlfn.XLOOKUP($B245,'Cronog. e Histog.'!$BZ:$BZ,'Cronog. e Histog.'!DA:DA),"")</f>
        <v>0</v>
      </c>
      <c r="AG245" s="144">
        <f>IFERROR(_xlfn.XLOOKUP($B245,'Cronog. e Histog.'!$BZ:$BZ,'Cronog. e Histog.'!DB:DB),"")</f>
        <v>0</v>
      </c>
      <c r="AH245" s="144">
        <f>IFERROR(_xlfn.XLOOKUP($B245,'Cronog. e Histog.'!$BZ:$BZ,'Cronog. e Histog.'!DC:DC),"")</f>
        <v>0</v>
      </c>
      <c r="AI245" s="144">
        <f>IFERROR(_xlfn.XLOOKUP($B245,'Cronog. e Histog.'!$BZ:$BZ,'Cronog. e Histog.'!DD:DD),"")</f>
        <v>0</v>
      </c>
      <c r="AJ245" s="144">
        <f>IFERROR(_xlfn.XLOOKUP($B245,'Cronog. e Histog.'!$BZ:$BZ,'Cronog. e Histog.'!DE:DE),"")</f>
        <v>0</v>
      </c>
      <c r="AK245" s="144">
        <f>IFERROR(_xlfn.XLOOKUP($B245,'Cronog. e Histog.'!$BZ:$BZ,'Cronog. e Histog.'!DF:DF),"")</f>
        <v>0</v>
      </c>
      <c r="AL245" s="144">
        <f>IFERROR(_xlfn.XLOOKUP($B245,'Cronog. e Histog.'!$BZ:$BZ,'Cronog. e Histog.'!DG:DG),"")</f>
        <v>0</v>
      </c>
      <c r="AM245" s="144">
        <f>IFERROR(_xlfn.XLOOKUP($B245,'Cronog. e Histog.'!$BZ:$BZ,'Cronog. e Histog.'!DH:DH),"")</f>
        <v>0</v>
      </c>
      <c r="AN245" s="144">
        <f>IFERROR(_xlfn.XLOOKUP($B245,'Cronog. e Histog.'!$BZ:$BZ,'Cronog. e Histog.'!DI:DI),"")</f>
        <v>0</v>
      </c>
      <c r="AO245" s="144">
        <f>IFERROR(_xlfn.XLOOKUP($B245,'Cronog. e Histog.'!$BZ:$BZ,'Cronog. e Histog.'!DJ:DJ),"")</f>
        <v>0</v>
      </c>
      <c r="AP245" s="144">
        <f>IFERROR(_xlfn.XLOOKUP($B245,'Cronog. e Histog.'!$BZ:$BZ,'Cronog. e Histog.'!DK:DK),"")</f>
        <v>0</v>
      </c>
      <c r="AQ245" s="144">
        <f>IFERROR(_xlfn.XLOOKUP($B245,'Cronog. e Histog.'!$BZ:$BZ,'Cronog. e Histog.'!DL:DL),"")</f>
        <v>0</v>
      </c>
      <c r="AR245" s="144">
        <f>IFERROR(_xlfn.XLOOKUP($B245,'Cronog. e Histog.'!$BZ:$BZ,'Cronog. e Histog.'!DM:DM),"")</f>
        <v>0</v>
      </c>
      <c r="AS245" s="144">
        <f>IFERROR(_xlfn.XLOOKUP($B245,'Cronog. e Histog.'!$BZ:$BZ,'Cronog. e Histog.'!DN:DN),"")</f>
        <v>0</v>
      </c>
      <c r="AT245" s="144">
        <f>IFERROR(_xlfn.XLOOKUP($B245,'Cronog. e Histog.'!$BZ:$BZ,'Cronog. e Histog.'!DO:DO),"")</f>
        <v>0</v>
      </c>
      <c r="AU245" s="144">
        <f>IFERROR(_xlfn.XLOOKUP($B245,'Cronog. e Histog.'!$BZ:$BZ,'Cronog. e Histog.'!DP:DP),"")</f>
        <v>0</v>
      </c>
      <c r="AV245" s="144">
        <f>IFERROR(_xlfn.XLOOKUP($B245,'Cronog. e Histog.'!$BZ:$BZ,'Cronog. e Histog.'!DQ:DQ),"")</f>
        <v>0</v>
      </c>
      <c r="AW245" s="144">
        <f>IFERROR(_xlfn.XLOOKUP($B245,'Cronog. e Histog.'!$BZ:$BZ,'Cronog. e Histog.'!DR:DR),"")</f>
        <v>0</v>
      </c>
      <c r="AX245" s="144">
        <f>IFERROR(_xlfn.XLOOKUP($B245,'Cronog. e Histog.'!$BZ:$BZ,'Cronog. e Histog.'!DS:DS),"")</f>
        <v>0</v>
      </c>
      <c r="AY245" s="144">
        <f>IFERROR(_xlfn.XLOOKUP($B245,'Cronog. e Histog.'!$BZ:$BZ,'Cronog. e Histog.'!DT:DT),"")</f>
        <v>0</v>
      </c>
      <c r="AZ245" s="144">
        <f>IFERROR(_xlfn.XLOOKUP($B245,'Cronog. e Histog.'!$BZ:$BZ,'Cronog. e Histog.'!DU:DU),"")</f>
        <v>0</v>
      </c>
      <c r="BA245" s="144">
        <f>IFERROR(_xlfn.XLOOKUP($B245,'Cronog. e Histog.'!$BZ:$BZ,'Cronog. e Histog.'!DV:DV),"")</f>
        <v>0</v>
      </c>
      <c r="BB245" s="144">
        <f>IFERROR(_xlfn.XLOOKUP($B245,'Cronog. e Histog.'!$BZ:$BZ,'Cronog. e Histog.'!DW:DW),"")</f>
        <v>0</v>
      </c>
      <c r="BC245" s="144">
        <f>IFERROR(_xlfn.XLOOKUP($B245,'Cronog. e Histog.'!$BZ:$BZ,'Cronog. e Histog.'!DX:DX),"")</f>
        <v>0</v>
      </c>
      <c r="BD245" s="144">
        <f>IFERROR(_xlfn.XLOOKUP($B245,'Cronog. e Histog.'!$BZ:$BZ,'Cronog. e Histog.'!DY:DY),"")</f>
        <v>0</v>
      </c>
      <c r="BE245" s="144">
        <f>IFERROR(_xlfn.XLOOKUP($B245,'Cronog. e Histog.'!$BZ:$BZ,'Cronog. e Histog.'!DZ:DZ),"")</f>
        <v>0</v>
      </c>
      <c r="BF245" s="144">
        <f>IFERROR(_xlfn.XLOOKUP($B245,'Cronog. e Histog.'!$BZ:$BZ,'Cronog. e Histog.'!EA:EA),"")</f>
        <v>0</v>
      </c>
      <c r="BG245" s="144">
        <f>IFERROR(_xlfn.XLOOKUP($B245,'Cronog. e Histog.'!$BZ:$BZ,'Cronog. e Histog.'!EB:EB),"")</f>
        <v>0</v>
      </c>
      <c r="BH245" s="144">
        <f>IFERROR(_xlfn.XLOOKUP($B245,'Cronog. e Histog.'!$BZ:$BZ,'Cronog. e Histog.'!EC:EC),"")</f>
        <v>0</v>
      </c>
      <c r="BI245" s="144">
        <f>IFERROR(_xlfn.XLOOKUP($B245,'Cronog. e Histog.'!$BZ:$BZ,'Cronog. e Histog.'!ED:ED),"")</f>
        <v>0</v>
      </c>
      <c r="BJ245" s="144">
        <f>IFERROR(_xlfn.XLOOKUP($B245,'Cronog. e Histog.'!$BZ:$BZ,'Cronog. e Histog.'!EE:EE),"")</f>
        <v>0</v>
      </c>
      <c r="BK245" s="144">
        <f>IFERROR(_xlfn.XLOOKUP($B245,'Cronog. e Histog.'!$BZ:$BZ,'Cronog. e Histog.'!EF:EF),"")</f>
        <v>0</v>
      </c>
      <c r="BL245" s="144">
        <f>IFERROR(_xlfn.XLOOKUP($B245,'Cronog. e Histog.'!$BZ:$BZ,'Cronog. e Histog.'!EG:EG),"")</f>
        <v>0</v>
      </c>
      <c r="BM245" s="144">
        <f>IFERROR(_xlfn.XLOOKUP($B245,'Cronog. e Histog.'!$BZ:$BZ,'Cronog. e Histog.'!EH:EH),"")</f>
        <v>0</v>
      </c>
      <c r="BN245" s="144">
        <f>IFERROR(_xlfn.XLOOKUP($B245,'Cronog. e Histog.'!$BZ:$BZ,'Cronog. e Histog.'!EI:EI),"")</f>
        <v>0</v>
      </c>
    </row>
    <row r="246" spans="2:66" ht="12" hidden="1" customHeight="1" outlineLevel="1">
      <c r="B246" s="76">
        <v>240</v>
      </c>
      <c r="C246" s="143" t="str">
        <f>IFERROR(VLOOKUP(B246,'Cronog. e Histog.'!$BZ$213:$CA$747,2,0),"")</f>
        <v>EST_III</v>
      </c>
      <c r="D246" s="144">
        <f t="shared" si="6"/>
        <v>0</v>
      </c>
      <c r="E246" s="144">
        <f t="shared" si="7"/>
        <v>0</v>
      </c>
      <c r="F246" s="65"/>
      <c r="G246" s="144">
        <f>IFERROR(_xlfn.XLOOKUP($B246,'Cronog. e Histog.'!$BZ:$BZ,'Cronog. e Histog.'!CB:CB),"")</f>
        <v>0</v>
      </c>
      <c r="H246" s="144">
        <f>IFERROR(_xlfn.XLOOKUP($B246,'Cronog. e Histog.'!$BZ:$BZ,'Cronog. e Histog.'!CC:CC),"")</f>
        <v>0</v>
      </c>
      <c r="I246" s="144">
        <f>IFERROR(_xlfn.XLOOKUP($B246,'Cronog. e Histog.'!$BZ:$BZ,'Cronog. e Histog.'!CD:CD),"")</f>
        <v>0</v>
      </c>
      <c r="J246" s="144">
        <f>IFERROR(_xlfn.XLOOKUP($B246,'Cronog. e Histog.'!$BZ:$BZ,'Cronog. e Histog.'!CE:CE),"")</f>
        <v>0</v>
      </c>
      <c r="K246" s="144">
        <f>IFERROR(_xlfn.XLOOKUP($B246,'Cronog. e Histog.'!$BZ:$BZ,'Cronog. e Histog.'!CF:CF),"")</f>
        <v>0</v>
      </c>
      <c r="L246" s="144">
        <f>IFERROR(_xlfn.XLOOKUP($B246,'Cronog. e Histog.'!$BZ:$BZ,'Cronog. e Histog.'!CG:CG),"")</f>
        <v>0</v>
      </c>
      <c r="M246" s="144">
        <f>IFERROR(_xlfn.XLOOKUP($B246,'Cronog. e Histog.'!$BZ:$BZ,'Cronog. e Histog.'!CH:CH),"")</f>
        <v>0</v>
      </c>
      <c r="N246" s="144">
        <f>IFERROR(_xlfn.XLOOKUP($B246,'Cronog. e Histog.'!$BZ:$BZ,'Cronog. e Histog.'!CI:CI),"")</f>
        <v>0</v>
      </c>
      <c r="O246" s="144">
        <f>IFERROR(_xlfn.XLOOKUP($B246,'Cronog. e Histog.'!$BZ:$BZ,'Cronog. e Histog.'!CJ:CJ),"")</f>
        <v>0</v>
      </c>
      <c r="P246" s="144">
        <f>IFERROR(_xlfn.XLOOKUP($B246,'Cronog. e Histog.'!$BZ:$BZ,'Cronog. e Histog.'!CK:CK),"")</f>
        <v>0</v>
      </c>
      <c r="Q246" s="144">
        <f>IFERROR(_xlfn.XLOOKUP($B246,'Cronog. e Histog.'!$BZ:$BZ,'Cronog. e Histog.'!CL:CL),"")</f>
        <v>0</v>
      </c>
      <c r="R246" s="144">
        <f>IFERROR(_xlfn.XLOOKUP($B246,'Cronog. e Histog.'!$BZ:$BZ,'Cronog. e Histog.'!CM:CM),"")</f>
        <v>0</v>
      </c>
      <c r="S246" s="144">
        <f>IFERROR(_xlfn.XLOOKUP($B246,'Cronog. e Histog.'!$BZ:$BZ,'Cronog. e Histog.'!CN:CN),"")</f>
        <v>0</v>
      </c>
      <c r="T246" s="144">
        <f>IFERROR(_xlfn.XLOOKUP($B246,'Cronog. e Histog.'!$BZ:$BZ,'Cronog. e Histog.'!CO:CO),"")</f>
        <v>0</v>
      </c>
      <c r="U246" s="144">
        <f>IFERROR(_xlfn.XLOOKUP($B246,'Cronog. e Histog.'!$BZ:$BZ,'Cronog. e Histog.'!CP:CP),"")</f>
        <v>0</v>
      </c>
      <c r="V246" s="144">
        <f>IFERROR(_xlfn.XLOOKUP($B246,'Cronog. e Histog.'!$BZ:$BZ,'Cronog. e Histog.'!CQ:CQ),"")</f>
        <v>0</v>
      </c>
      <c r="W246" s="144">
        <f>IFERROR(_xlfn.XLOOKUP($B246,'Cronog. e Histog.'!$BZ:$BZ,'Cronog. e Histog.'!CR:CR),"")</f>
        <v>0</v>
      </c>
      <c r="X246" s="144">
        <f>IFERROR(_xlfn.XLOOKUP($B246,'Cronog. e Histog.'!$BZ:$BZ,'Cronog. e Histog.'!CS:CS),"")</f>
        <v>0</v>
      </c>
      <c r="Y246" s="144">
        <f>IFERROR(_xlfn.XLOOKUP($B246,'Cronog. e Histog.'!$BZ:$BZ,'Cronog. e Histog.'!CT:CT),"")</f>
        <v>0</v>
      </c>
      <c r="Z246" s="144">
        <f>IFERROR(_xlfn.XLOOKUP($B246,'Cronog. e Histog.'!$BZ:$BZ,'Cronog. e Histog.'!CU:CU),"")</f>
        <v>0</v>
      </c>
      <c r="AA246" s="144">
        <f>IFERROR(_xlfn.XLOOKUP($B246,'Cronog. e Histog.'!$BZ:$BZ,'Cronog. e Histog.'!CV:CV),"")</f>
        <v>0</v>
      </c>
      <c r="AB246" s="144">
        <f>IFERROR(_xlfn.XLOOKUP($B246,'Cronog. e Histog.'!$BZ:$BZ,'Cronog. e Histog.'!CW:CW),"")</f>
        <v>0</v>
      </c>
      <c r="AC246" s="144">
        <f>IFERROR(_xlfn.XLOOKUP($B246,'Cronog. e Histog.'!$BZ:$BZ,'Cronog. e Histog.'!CX:CX),"")</f>
        <v>0</v>
      </c>
      <c r="AD246" s="144">
        <f>IFERROR(_xlfn.XLOOKUP($B246,'Cronog. e Histog.'!$BZ:$BZ,'Cronog. e Histog.'!CY:CY),"")</f>
        <v>0</v>
      </c>
      <c r="AE246" s="144">
        <f>IFERROR(_xlfn.XLOOKUP($B246,'Cronog. e Histog.'!$BZ:$BZ,'Cronog. e Histog.'!CZ:CZ),"")</f>
        <v>0</v>
      </c>
      <c r="AF246" s="144">
        <f>IFERROR(_xlfn.XLOOKUP($B246,'Cronog. e Histog.'!$BZ:$BZ,'Cronog. e Histog.'!DA:DA),"")</f>
        <v>0</v>
      </c>
      <c r="AG246" s="144">
        <f>IFERROR(_xlfn.XLOOKUP($B246,'Cronog. e Histog.'!$BZ:$BZ,'Cronog. e Histog.'!DB:DB),"")</f>
        <v>0</v>
      </c>
      <c r="AH246" s="144">
        <f>IFERROR(_xlfn.XLOOKUP($B246,'Cronog. e Histog.'!$BZ:$BZ,'Cronog. e Histog.'!DC:DC),"")</f>
        <v>0</v>
      </c>
      <c r="AI246" s="144">
        <f>IFERROR(_xlfn.XLOOKUP($B246,'Cronog. e Histog.'!$BZ:$BZ,'Cronog. e Histog.'!DD:DD),"")</f>
        <v>0</v>
      </c>
      <c r="AJ246" s="144">
        <f>IFERROR(_xlfn.XLOOKUP($B246,'Cronog. e Histog.'!$BZ:$BZ,'Cronog. e Histog.'!DE:DE),"")</f>
        <v>0</v>
      </c>
      <c r="AK246" s="144">
        <f>IFERROR(_xlfn.XLOOKUP($B246,'Cronog. e Histog.'!$BZ:$BZ,'Cronog. e Histog.'!DF:DF),"")</f>
        <v>0</v>
      </c>
      <c r="AL246" s="144">
        <f>IFERROR(_xlfn.XLOOKUP($B246,'Cronog. e Histog.'!$BZ:$BZ,'Cronog. e Histog.'!DG:DG),"")</f>
        <v>0</v>
      </c>
      <c r="AM246" s="144">
        <f>IFERROR(_xlfn.XLOOKUP($B246,'Cronog. e Histog.'!$BZ:$BZ,'Cronog. e Histog.'!DH:DH),"")</f>
        <v>0</v>
      </c>
      <c r="AN246" s="144">
        <f>IFERROR(_xlfn.XLOOKUP($B246,'Cronog. e Histog.'!$BZ:$BZ,'Cronog. e Histog.'!DI:DI),"")</f>
        <v>0</v>
      </c>
      <c r="AO246" s="144">
        <f>IFERROR(_xlfn.XLOOKUP($B246,'Cronog. e Histog.'!$BZ:$BZ,'Cronog. e Histog.'!DJ:DJ),"")</f>
        <v>0</v>
      </c>
      <c r="AP246" s="144">
        <f>IFERROR(_xlfn.XLOOKUP($B246,'Cronog. e Histog.'!$BZ:$BZ,'Cronog. e Histog.'!DK:DK),"")</f>
        <v>0</v>
      </c>
      <c r="AQ246" s="144">
        <f>IFERROR(_xlfn.XLOOKUP($B246,'Cronog. e Histog.'!$BZ:$BZ,'Cronog. e Histog.'!DL:DL),"")</f>
        <v>0</v>
      </c>
      <c r="AR246" s="144">
        <f>IFERROR(_xlfn.XLOOKUP($B246,'Cronog. e Histog.'!$BZ:$BZ,'Cronog. e Histog.'!DM:DM),"")</f>
        <v>0</v>
      </c>
      <c r="AS246" s="144">
        <f>IFERROR(_xlfn.XLOOKUP($B246,'Cronog. e Histog.'!$BZ:$BZ,'Cronog. e Histog.'!DN:DN),"")</f>
        <v>0</v>
      </c>
      <c r="AT246" s="144">
        <f>IFERROR(_xlfn.XLOOKUP($B246,'Cronog. e Histog.'!$BZ:$BZ,'Cronog. e Histog.'!DO:DO),"")</f>
        <v>0</v>
      </c>
      <c r="AU246" s="144">
        <f>IFERROR(_xlfn.XLOOKUP($B246,'Cronog. e Histog.'!$BZ:$BZ,'Cronog. e Histog.'!DP:DP),"")</f>
        <v>0</v>
      </c>
      <c r="AV246" s="144">
        <f>IFERROR(_xlfn.XLOOKUP($B246,'Cronog. e Histog.'!$BZ:$BZ,'Cronog. e Histog.'!DQ:DQ),"")</f>
        <v>0</v>
      </c>
      <c r="AW246" s="144">
        <f>IFERROR(_xlfn.XLOOKUP($B246,'Cronog. e Histog.'!$BZ:$BZ,'Cronog. e Histog.'!DR:DR),"")</f>
        <v>0</v>
      </c>
      <c r="AX246" s="144">
        <f>IFERROR(_xlfn.XLOOKUP($B246,'Cronog. e Histog.'!$BZ:$BZ,'Cronog. e Histog.'!DS:DS),"")</f>
        <v>0</v>
      </c>
      <c r="AY246" s="144">
        <f>IFERROR(_xlfn.XLOOKUP($B246,'Cronog. e Histog.'!$BZ:$BZ,'Cronog. e Histog.'!DT:DT),"")</f>
        <v>0</v>
      </c>
      <c r="AZ246" s="144">
        <f>IFERROR(_xlfn.XLOOKUP($B246,'Cronog. e Histog.'!$BZ:$BZ,'Cronog. e Histog.'!DU:DU),"")</f>
        <v>0</v>
      </c>
      <c r="BA246" s="144">
        <f>IFERROR(_xlfn.XLOOKUP($B246,'Cronog. e Histog.'!$BZ:$BZ,'Cronog. e Histog.'!DV:DV),"")</f>
        <v>0</v>
      </c>
      <c r="BB246" s="144">
        <f>IFERROR(_xlfn.XLOOKUP($B246,'Cronog. e Histog.'!$BZ:$BZ,'Cronog. e Histog.'!DW:DW),"")</f>
        <v>0</v>
      </c>
      <c r="BC246" s="144">
        <f>IFERROR(_xlfn.XLOOKUP($B246,'Cronog. e Histog.'!$BZ:$BZ,'Cronog. e Histog.'!DX:DX),"")</f>
        <v>0</v>
      </c>
      <c r="BD246" s="144">
        <f>IFERROR(_xlfn.XLOOKUP($B246,'Cronog. e Histog.'!$BZ:$BZ,'Cronog. e Histog.'!DY:DY),"")</f>
        <v>0</v>
      </c>
      <c r="BE246" s="144">
        <f>IFERROR(_xlfn.XLOOKUP($B246,'Cronog. e Histog.'!$BZ:$BZ,'Cronog. e Histog.'!DZ:DZ),"")</f>
        <v>0</v>
      </c>
      <c r="BF246" s="144">
        <f>IFERROR(_xlfn.XLOOKUP($B246,'Cronog. e Histog.'!$BZ:$BZ,'Cronog. e Histog.'!EA:EA),"")</f>
        <v>0</v>
      </c>
      <c r="BG246" s="144">
        <f>IFERROR(_xlfn.XLOOKUP($B246,'Cronog. e Histog.'!$BZ:$BZ,'Cronog. e Histog.'!EB:EB),"")</f>
        <v>0</v>
      </c>
      <c r="BH246" s="144">
        <f>IFERROR(_xlfn.XLOOKUP($B246,'Cronog. e Histog.'!$BZ:$BZ,'Cronog. e Histog.'!EC:EC),"")</f>
        <v>0</v>
      </c>
      <c r="BI246" s="144">
        <f>IFERROR(_xlfn.XLOOKUP($B246,'Cronog. e Histog.'!$BZ:$BZ,'Cronog. e Histog.'!ED:ED),"")</f>
        <v>0</v>
      </c>
      <c r="BJ246" s="144">
        <f>IFERROR(_xlfn.XLOOKUP($B246,'Cronog. e Histog.'!$BZ:$BZ,'Cronog. e Histog.'!EE:EE),"")</f>
        <v>0</v>
      </c>
      <c r="BK246" s="144">
        <f>IFERROR(_xlfn.XLOOKUP($B246,'Cronog. e Histog.'!$BZ:$BZ,'Cronog. e Histog.'!EF:EF),"")</f>
        <v>0</v>
      </c>
      <c r="BL246" s="144">
        <f>IFERROR(_xlfn.XLOOKUP($B246,'Cronog. e Histog.'!$BZ:$BZ,'Cronog. e Histog.'!EG:EG),"")</f>
        <v>0</v>
      </c>
      <c r="BM246" s="144">
        <f>IFERROR(_xlfn.XLOOKUP($B246,'Cronog. e Histog.'!$BZ:$BZ,'Cronog. e Histog.'!EH:EH),"")</f>
        <v>0</v>
      </c>
      <c r="BN246" s="144">
        <f>IFERROR(_xlfn.XLOOKUP($B246,'Cronog. e Histog.'!$BZ:$BZ,'Cronog. e Histog.'!EI:EI),"")</f>
        <v>0</v>
      </c>
    </row>
    <row r="247" spans="2:66" ht="12" hidden="1" customHeight="1" outlineLevel="1">
      <c r="B247" s="76">
        <v>241</v>
      </c>
      <c r="C247" s="143" t="str">
        <f>IFERROR(VLOOKUP(B247,'Cronog. e Histog.'!$BZ$213:$CA$747,2,0),"")</f>
        <v>GER. (OBRA/PROJ)</v>
      </c>
      <c r="D247" s="144">
        <f t="shared" si="6"/>
        <v>0</v>
      </c>
      <c r="E247" s="144">
        <f t="shared" si="7"/>
        <v>0</v>
      </c>
      <c r="F247" s="65"/>
      <c r="G247" s="144">
        <f>IFERROR(_xlfn.XLOOKUP($B247,'Cronog. e Histog.'!$BZ:$BZ,'Cronog. e Histog.'!CB:CB),"")</f>
        <v>0</v>
      </c>
      <c r="H247" s="144">
        <f>IFERROR(_xlfn.XLOOKUP($B247,'Cronog. e Histog.'!$BZ:$BZ,'Cronog. e Histog.'!CC:CC),"")</f>
        <v>0</v>
      </c>
      <c r="I247" s="144">
        <f>IFERROR(_xlfn.XLOOKUP($B247,'Cronog. e Histog.'!$BZ:$BZ,'Cronog. e Histog.'!CD:CD),"")</f>
        <v>0</v>
      </c>
      <c r="J247" s="144">
        <f>IFERROR(_xlfn.XLOOKUP($B247,'Cronog. e Histog.'!$BZ:$BZ,'Cronog. e Histog.'!CE:CE),"")</f>
        <v>0</v>
      </c>
      <c r="K247" s="144">
        <f>IFERROR(_xlfn.XLOOKUP($B247,'Cronog. e Histog.'!$BZ:$BZ,'Cronog. e Histog.'!CF:CF),"")</f>
        <v>0</v>
      </c>
      <c r="L247" s="144">
        <f>IFERROR(_xlfn.XLOOKUP($B247,'Cronog. e Histog.'!$BZ:$BZ,'Cronog. e Histog.'!CG:CG),"")</f>
        <v>0</v>
      </c>
      <c r="M247" s="144">
        <f>IFERROR(_xlfn.XLOOKUP($B247,'Cronog. e Histog.'!$BZ:$BZ,'Cronog. e Histog.'!CH:CH),"")</f>
        <v>0</v>
      </c>
      <c r="N247" s="144">
        <f>IFERROR(_xlfn.XLOOKUP($B247,'Cronog. e Histog.'!$BZ:$BZ,'Cronog. e Histog.'!CI:CI),"")</f>
        <v>0</v>
      </c>
      <c r="O247" s="144">
        <f>IFERROR(_xlfn.XLOOKUP($B247,'Cronog. e Histog.'!$BZ:$BZ,'Cronog. e Histog.'!CJ:CJ),"")</f>
        <v>0</v>
      </c>
      <c r="P247" s="144">
        <f>IFERROR(_xlfn.XLOOKUP($B247,'Cronog. e Histog.'!$BZ:$BZ,'Cronog. e Histog.'!CK:CK),"")</f>
        <v>0</v>
      </c>
      <c r="Q247" s="144">
        <f>IFERROR(_xlfn.XLOOKUP($B247,'Cronog. e Histog.'!$BZ:$BZ,'Cronog. e Histog.'!CL:CL),"")</f>
        <v>0</v>
      </c>
      <c r="R247" s="144">
        <f>IFERROR(_xlfn.XLOOKUP($B247,'Cronog. e Histog.'!$BZ:$BZ,'Cronog. e Histog.'!CM:CM),"")</f>
        <v>0</v>
      </c>
      <c r="S247" s="144">
        <f>IFERROR(_xlfn.XLOOKUP($B247,'Cronog. e Histog.'!$BZ:$BZ,'Cronog. e Histog.'!CN:CN),"")</f>
        <v>0</v>
      </c>
      <c r="T247" s="144">
        <f>IFERROR(_xlfn.XLOOKUP($B247,'Cronog. e Histog.'!$BZ:$BZ,'Cronog. e Histog.'!CO:CO),"")</f>
        <v>0</v>
      </c>
      <c r="U247" s="144">
        <f>IFERROR(_xlfn.XLOOKUP($B247,'Cronog. e Histog.'!$BZ:$BZ,'Cronog. e Histog.'!CP:CP),"")</f>
        <v>0</v>
      </c>
      <c r="V247" s="144">
        <f>IFERROR(_xlfn.XLOOKUP($B247,'Cronog. e Histog.'!$BZ:$BZ,'Cronog. e Histog.'!CQ:CQ),"")</f>
        <v>0</v>
      </c>
      <c r="W247" s="144">
        <f>IFERROR(_xlfn.XLOOKUP($B247,'Cronog. e Histog.'!$BZ:$BZ,'Cronog. e Histog.'!CR:CR),"")</f>
        <v>0</v>
      </c>
      <c r="X247" s="144">
        <f>IFERROR(_xlfn.XLOOKUP($B247,'Cronog. e Histog.'!$BZ:$BZ,'Cronog. e Histog.'!CS:CS),"")</f>
        <v>0</v>
      </c>
      <c r="Y247" s="144">
        <f>IFERROR(_xlfn.XLOOKUP($B247,'Cronog. e Histog.'!$BZ:$BZ,'Cronog. e Histog.'!CT:CT),"")</f>
        <v>0</v>
      </c>
      <c r="Z247" s="144">
        <f>IFERROR(_xlfn.XLOOKUP($B247,'Cronog. e Histog.'!$BZ:$BZ,'Cronog. e Histog.'!CU:CU),"")</f>
        <v>0</v>
      </c>
      <c r="AA247" s="144">
        <f>IFERROR(_xlfn.XLOOKUP($B247,'Cronog. e Histog.'!$BZ:$BZ,'Cronog. e Histog.'!CV:CV),"")</f>
        <v>0</v>
      </c>
      <c r="AB247" s="144">
        <f>IFERROR(_xlfn.XLOOKUP($B247,'Cronog. e Histog.'!$BZ:$BZ,'Cronog. e Histog.'!CW:CW),"")</f>
        <v>0</v>
      </c>
      <c r="AC247" s="144">
        <f>IFERROR(_xlfn.XLOOKUP($B247,'Cronog. e Histog.'!$BZ:$BZ,'Cronog. e Histog.'!CX:CX),"")</f>
        <v>0</v>
      </c>
      <c r="AD247" s="144">
        <f>IFERROR(_xlfn.XLOOKUP($B247,'Cronog. e Histog.'!$BZ:$BZ,'Cronog. e Histog.'!CY:CY),"")</f>
        <v>0</v>
      </c>
      <c r="AE247" s="144">
        <f>IFERROR(_xlfn.XLOOKUP($B247,'Cronog. e Histog.'!$BZ:$BZ,'Cronog. e Histog.'!CZ:CZ),"")</f>
        <v>0</v>
      </c>
      <c r="AF247" s="144">
        <f>IFERROR(_xlfn.XLOOKUP($B247,'Cronog. e Histog.'!$BZ:$BZ,'Cronog. e Histog.'!DA:DA),"")</f>
        <v>0</v>
      </c>
      <c r="AG247" s="144">
        <f>IFERROR(_xlfn.XLOOKUP($B247,'Cronog. e Histog.'!$BZ:$BZ,'Cronog. e Histog.'!DB:DB),"")</f>
        <v>0</v>
      </c>
      <c r="AH247" s="144">
        <f>IFERROR(_xlfn.XLOOKUP($B247,'Cronog. e Histog.'!$BZ:$BZ,'Cronog. e Histog.'!DC:DC),"")</f>
        <v>0</v>
      </c>
      <c r="AI247" s="144">
        <f>IFERROR(_xlfn.XLOOKUP($B247,'Cronog. e Histog.'!$BZ:$BZ,'Cronog. e Histog.'!DD:DD),"")</f>
        <v>0</v>
      </c>
      <c r="AJ247" s="144">
        <f>IFERROR(_xlfn.XLOOKUP($B247,'Cronog. e Histog.'!$BZ:$BZ,'Cronog. e Histog.'!DE:DE),"")</f>
        <v>0</v>
      </c>
      <c r="AK247" s="144">
        <f>IFERROR(_xlfn.XLOOKUP($B247,'Cronog. e Histog.'!$BZ:$BZ,'Cronog. e Histog.'!DF:DF),"")</f>
        <v>0</v>
      </c>
      <c r="AL247" s="144">
        <f>IFERROR(_xlfn.XLOOKUP($B247,'Cronog. e Histog.'!$BZ:$BZ,'Cronog. e Histog.'!DG:DG),"")</f>
        <v>0</v>
      </c>
      <c r="AM247" s="144">
        <f>IFERROR(_xlfn.XLOOKUP($B247,'Cronog. e Histog.'!$BZ:$BZ,'Cronog. e Histog.'!DH:DH),"")</f>
        <v>0</v>
      </c>
      <c r="AN247" s="144">
        <f>IFERROR(_xlfn.XLOOKUP($B247,'Cronog. e Histog.'!$BZ:$BZ,'Cronog. e Histog.'!DI:DI),"")</f>
        <v>0</v>
      </c>
      <c r="AO247" s="144">
        <f>IFERROR(_xlfn.XLOOKUP($B247,'Cronog. e Histog.'!$BZ:$BZ,'Cronog. e Histog.'!DJ:DJ),"")</f>
        <v>0</v>
      </c>
      <c r="AP247" s="144">
        <f>IFERROR(_xlfn.XLOOKUP($B247,'Cronog. e Histog.'!$BZ:$BZ,'Cronog. e Histog.'!DK:DK),"")</f>
        <v>0</v>
      </c>
      <c r="AQ247" s="144">
        <f>IFERROR(_xlfn.XLOOKUP($B247,'Cronog. e Histog.'!$BZ:$BZ,'Cronog. e Histog.'!DL:DL),"")</f>
        <v>0</v>
      </c>
      <c r="AR247" s="144">
        <f>IFERROR(_xlfn.XLOOKUP($B247,'Cronog. e Histog.'!$BZ:$BZ,'Cronog. e Histog.'!DM:DM),"")</f>
        <v>0</v>
      </c>
      <c r="AS247" s="144">
        <f>IFERROR(_xlfn.XLOOKUP($B247,'Cronog. e Histog.'!$BZ:$BZ,'Cronog. e Histog.'!DN:DN),"")</f>
        <v>0</v>
      </c>
      <c r="AT247" s="144">
        <f>IFERROR(_xlfn.XLOOKUP($B247,'Cronog. e Histog.'!$BZ:$BZ,'Cronog. e Histog.'!DO:DO),"")</f>
        <v>0</v>
      </c>
      <c r="AU247" s="144">
        <f>IFERROR(_xlfn.XLOOKUP($B247,'Cronog. e Histog.'!$BZ:$BZ,'Cronog. e Histog.'!DP:DP),"")</f>
        <v>0</v>
      </c>
      <c r="AV247" s="144">
        <f>IFERROR(_xlfn.XLOOKUP($B247,'Cronog. e Histog.'!$BZ:$BZ,'Cronog. e Histog.'!DQ:DQ),"")</f>
        <v>0</v>
      </c>
      <c r="AW247" s="144">
        <f>IFERROR(_xlfn.XLOOKUP($B247,'Cronog. e Histog.'!$BZ:$BZ,'Cronog. e Histog.'!DR:DR),"")</f>
        <v>0</v>
      </c>
      <c r="AX247" s="144">
        <f>IFERROR(_xlfn.XLOOKUP($B247,'Cronog. e Histog.'!$BZ:$BZ,'Cronog. e Histog.'!DS:DS),"")</f>
        <v>0</v>
      </c>
      <c r="AY247" s="144">
        <f>IFERROR(_xlfn.XLOOKUP($B247,'Cronog. e Histog.'!$BZ:$BZ,'Cronog. e Histog.'!DT:DT),"")</f>
        <v>0</v>
      </c>
      <c r="AZ247" s="144">
        <f>IFERROR(_xlfn.XLOOKUP($B247,'Cronog. e Histog.'!$BZ:$BZ,'Cronog. e Histog.'!DU:DU),"")</f>
        <v>0</v>
      </c>
      <c r="BA247" s="144">
        <f>IFERROR(_xlfn.XLOOKUP($B247,'Cronog. e Histog.'!$BZ:$BZ,'Cronog. e Histog.'!DV:DV),"")</f>
        <v>0</v>
      </c>
      <c r="BB247" s="144">
        <f>IFERROR(_xlfn.XLOOKUP($B247,'Cronog. e Histog.'!$BZ:$BZ,'Cronog. e Histog.'!DW:DW),"")</f>
        <v>0</v>
      </c>
      <c r="BC247" s="144">
        <f>IFERROR(_xlfn.XLOOKUP($B247,'Cronog. e Histog.'!$BZ:$BZ,'Cronog. e Histog.'!DX:DX),"")</f>
        <v>0</v>
      </c>
      <c r="BD247" s="144">
        <f>IFERROR(_xlfn.XLOOKUP($B247,'Cronog. e Histog.'!$BZ:$BZ,'Cronog. e Histog.'!DY:DY),"")</f>
        <v>0</v>
      </c>
      <c r="BE247" s="144">
        <f>IFERROR(_xlfn.XLOOKUP($B247,'Cronog. e Histog.'!$BZ:$BZ,'Cronog. e Histog.'!DZ:DZ),"")</f>
        <v>0</v>
      </c>
      <c r="BF247" s="144">
        <f>IFERROR(_xlfn.XLOOKUP($B247,'Cronog. e Histog.'!$BZ:$BZ,'Cronog. e Histog.'!EA:EA),"")</f>
        <v>0</v>
      </c>
      <c r="BG247" s="144">
        <f>IFERROR(_xlfn.XLOOKUP($B247,'Cronog. e Histog.'!$BZ:$BZ,'Cronog. e Histog.'!EB:EB),"")</f>
        <v>0</v>
      </c>
      <c r="BH247" s="144">
        <f>IFERROR(_xlfn.XLOOKUP($B247,'Cronog. e Histog.'!$BZ:$BZ,'Cronog. e Histog.'!EC:EC),"")</f>
        <v>0</v>
      </c>
      <c r="BI247" s="144">
        <f>IFERROR(_xlfn.XLOOKUP($B247,'Cronog. e Histog.'!$BZ:$BZ,'Cronog. e Histog.'!ED:ED),"")</f>
        <v>0</v>
      </c>
      <c r="BJ247" s="144">
        <f>IFERROR(_xlfn.XLOOKUP($B247,'Cronog. e Histog.'!$BZ:$BZ,'Cronog. e Histog.'!EE:EE),"")</f>
        <v>0</v>
      </c>
      <c r="BK247" s="144">
        <f>IFERROR(_xlfn.XLOOKUP($B247,'Cronog. e Histog.'!$BZ:$BZ,'Cronog. e Histog.'!EF:EF),"")</f>
        <v>0</v>
      </c>
      <c r="BL247" s="144">
        <f>IFERROR(_xlfn.XLOOKUP($B247,'Cronog. e Histog.'!$BZ:$BZ,'Cronog. e Histog.'!EG:EG),"")</f>
        <v>0</v>
      </c>
      <c r="BM247" s="144">
        <f>IFERROR(_xlfn.XLOOKUP($B247,'Cronog. e Histog.'!$BZ:$BZ,'Cronog. e Histog.'!EH:EH),"")</f>
        <v>0</v>
      </c>
      <c r="BN247" s="144">
        <f>IFERROR(_xlfn.XLOOKUP($B247,'Cronog. e Histog.'!$BZ:$BZ,'Cronog. e Histog.'!EI:EI),"")</f>
        <v>0</v>
      </c>
    </row>
    <row r="248" spans="2:66" ht="12" hidden="1" customHeight="1" outlineLevel="1">
      <c r="B248" s="76">
        <v>242</v>
      </c>
      <c r="C248" s="143" t="str">
        <f>IFERROR(VLOOKUP(B248,'Cronog. e Histog.'!$BZ$213:$CA$747,2,0),"")</f>
        <v>COORD.</v>
      </c>
      <c r="D248" s="144">
        <f t="shared" si="6"/>
        <v>0</v>
      </c>
      <c r="E248" s="144">
        <f t="shared" si="7"/>
        <v>0</v>
      </c>
      <c r="F248" s="65"/>
      <c r="G248" s="144">
        <f>IFERROR(_xlfn.XLOOKUP($B248,'Cronog. e Histog.'!$BZ:$BZ,'Cronog. e Histog.'!CB:CB),"")</f>
        <v>0</v>
      </c>
      <c r="H248" s="144">
        <f>IFERROR(_xlfn.XLOOKUP($B248,'Cronog. e Histog.'!$BZ:$BZ,'Cronog. e Histog.'!CC:CC),"")</f>
        <v>0</v>
      </c>
      <c r="I248" s="144">
        <f>IFERROR(_xlfn.XLOOKUP($B248,'Cronog. e Histog.'!$BZ:$BZ,'Cronog. e Histog.'!CD:CD),"")</f>
        <v>0</v>
      </c>
      <c r="J248" s="144">
        <f>IFERROR(_xlfn.XLOOKUP($B248,'Cronog. e Histog.'!$BZ:$BZ,'Cronog. e Histog.'!CE:CE),"")</f>
        <v>0</v>
      </c>
      <c r="K248" s="144">
        <f>IFERROR(_xlfn.XLOOKUP($B248,'Cronog. e Histog.'!$BZ:$BZ,'Cronog. e Histog.'!CF:CF),"")</f>
        <v>0</v>
      </c>
      <c r="L248" s="144">
        <f>IFERROR(_xlfn.XLOOKUP($B248,'Cronog. e Histog.'!$BZ:$BZ,'Cronog. e Histog.'!CG:CG),"")</f>
        <v>0</v>
      </c>
      <c r="M248" s="144">
        <f>IFERROR(_xlfn.XLOOKUP($B248,'Cronog. e Histog.'!$BZ:$BZ,'Cronog. e Histog.'!CH:CH),"")</f>
        <v>0</v>
      </c>
      <c r="N248" s="144">
        <f>IFERROR(_xlfn.XLOOKUP($B248,'Cronog. e Histog.'!$BZ:$BZ,'Cronog. e Histog.'!CI:CI),"")</f>
        <v>0</v>
      </c>
      <c r="O248" s="144">
        <f>IFERROR(_xlfn.XLOOKUP($B248,'Cronog. e Histog.'!$BZ:$BZ,'Cronog. e Histog.'!CJ:CJ),"")</f>
        <v>0</v>
      </c>
      <c r="P248" s="144">
        <f>IFERROR(_xlfn.XLOOKUP($B248,'Cronog. e Histog.'!$BZ:$BZ,'Cronog. e Histog.'!CK:CK),"")</f>
        <v>0</v>
      </c>
      <c r="Q248" s="144">
        <f>IFERROR(_xlfn.XLOOKUP($B248,'Cronog. e Histog.'!$BZ:$BZ,'Cronog. e Histog.'!CL:CL),"")</f>
        <v>0</v>
      </c>
      <c r="R248" s="144">
        <f>IFERROR(_xlfn.XLOOKUP($B248,'Cronog. e Histog.'!$BZ:$BZ,'Cronog. e Histog.'!CM:CM),"")</f>
        <v>0</v>
      </c>
      <c r="S248" s="144">
        <f>IFERROR(_xlfn.XLOOKUP($B248,'Cronog. e Histog.'!$BZ:$BZ,'Cronog. e Histog.'!CN:CN),"")</f>
        <v>0</v>
      </c>
      <c r="T248" s="144">
        <f>IFERROR(_xlfn.XLOOKUP($B248,'Cronog. e Histog.'!$BZ:$BZ,'Cronog. e Histog.'!CO:CO),"")</f>
        <v>0</v>
      </c>
      <c r="U248" s="144">
        <f>IFERROR(_xlfn.XLOOKUP($B248,'Cronog. e Histog.'!$BZ:$BZ,'Cronog. e Histog.'!CP:CP),"")</f>
        <v>0</v>
      </c>
      <c r="V248" s="144">
        <f>IFERROR(_xlfn.XLOOKUP($B248,'Cronog. e Histog.'!$BZ:$BZ,'Cronog. e Histog.'!CQ:CQ),"")</f>
        <v>0</v>
      </c>
      <c r="W248" s="144">
        <f>IFERROR(_xlfn.XLOOKUP($B248,'Cronog. e Histog.'!$BZ:$BZ,'Cronog. e Histog.'!CR:CR),"")</f>
        <v>0</v>
      </c>
      <c r="X248" s="144">
        <f>IFERROR(_xlfn.XLOOKUP($B248,'Cronog. e Histog.'!$BZ:$BZ,'Cronog. e Histog.'!CS:CS),"")</f>
        <v>0</v>
      </c>
      <c r="Y248" s="144">
        <f>IFERROR(_xlfn.XLOOKUP($B248,'Cronog. e Histog.'!$BZ:$BZ,'Cronog. e Histog.'!CT:CT),"")</f>
        <v>0</v>
      </c>
      <c r="Z248" s="144">
        <f>IFERROR(_xlfn.XLOOKUP($B248,'Cronog. e Histog.'!$BZ:$BZ,'Cronog. e Histog.'!CU:CU),"")</f>
        <v>0</v>
      </c>
      <c r="AA248" s="144">
        <f>IFERROR(_xlfn.XLOOKUP($B248,'Cronog. e Histog.'!$BZ:$BZ,'Cronog. e Histog.'!CV:CV),"")</f>
        <v>0</v>
      </c>
      <c r="AB248" s="144">
        <f>IFERROR(_xlfn.XLOOKUP($B248,'Cronog. e Histog.'!$BZ:$BZ,'Cronog. e Histog.'!CW:CW),"")</f>
        <v>0</v>
      </c>
      <c r="AC248" s="144">
        <f>IFERROR(_xlfn.XLOOKUP($B248,'Cronog. e Histog.'!$BZ:$BZ,'Cronog. e Histog.'!CX:CX),"")</f>
        <v>0</v>
      </c>
      <c r="AD248" s="144">
        <f>IFERROR(_xlfn.XLOOKUP($B248,'Cronog. e Histog.'!$BZ:$BZ,'Cronog. e Histog.'!CY:CY),"")</f>
        <v>0</v>
      </c>
      <c r="AE248" s="144">
        <f>IFERROR(_xlfn.XLOOKUP($B248,'Cronog. e Histog.'!$BZ:$BZ,'Cronog. e Histog.'!CZ:CZ),"")</f>
        <v>0</v>
      </c>
      <c r="AF248" s="144">
        <f>IFERROR(_xlfn.XLOOKUP($B248,'Cronog. e Histog.'!$BZ:$BZ,'Cronog. e Histog.'!DA:DA),"")</f>
        <v>0</v>
      </c>
      <c r="AG248" s="144">
        <f>IFERROR(_xlfn.XLOOKUP($B248,'Cronog. e Histog.'!$BZ:$BZ,'Cronog. e Histog.'!DB:DB),"")</f>
        <v>0</v>
      </c>
      <c r="AH248" s="144">
        <f>IFERROR(_xlfn.XLOOKUP($B248,'Cronog. e Histog.'!$BZ:$BZ,'Cronog. e Histog.'!DC:DC),"")</f>
        <v>0</v>
      </c>
      <c r="AI248" s="144">
        <f>IFERROR(_xlfn.XLOOKUP($B248,'Cronog. e Histog.'!$BZ:$BZ,'Cronog. e Histog.'!DD:DD),"")</f>
        <v>0</v>
      </c>
      <c r="AJ248" s="144">
        <f>IFERROR(_xlfn.XLOOKUP($B248,'Cronog. e Histog.'!$BZ:$BZ,'Cronog. e Histog.'!DE:DE),"")</f>
        <v>0</v>
      </c>
      <c r="AK248" s="144">
        <f>IFERROR(_xlfn.XLOOKUP($B248,'Cronog. e Histog.'!$BZ:$BZ,'Cronog. e Histog.'!DF:DF),"")</f>
        <v>0</v>
      </c>
      <c r="AL248" s="144">
        <f>IFERROR(_xlfn.XLOOKUP($B248,'Cronog. e Histog.'!$BZ:$BZ,'Cronog. e Histog.'!DG:DG),"")</f>
        <v>0</v>
      </c>
      <c r="AM248" s="144">
        <f>IFERROR(_xlfn.XLOOKUP($B248,'Cronog. e Histog.'!$BZ:$BZ,'Cronog. e Histog.'!DH:DH),"")</f>
        <v>0</v>
      </c>
      <c r="AN248" s="144">
        <f>IFERROR(_xlfn.XLOOKUP($B248,'Cronog. e Histog.'!$BZ:$BZ,'Cronog. e Histog.'!DI:DI),"")</f>
        <v>0</v>
      </c>
      <c r="AO248" s="144">
        <f>IFERROR(_xlfn.XLOOKUP($B248,'Cronog. e Histog.'!$BZ:$BZ,'Cronog. e Histog.'!DJ:DJ),"")</f>
        <v>0</v>
      </c>
      <c r="AP248" s="144">
        <f>IFERROR(_xlfn.XLOOKUP($B248,'Cronog. e Histog.'!$BZ:$BZ,'Cronog. e Histog.'!DK:DK),"")</f>
        <v>0</v>
      </c>
      <c r="AQ248" s="144">
        <f>IFERROR(_xlfn.XLOOKUP($B248,'Cronog. e Histog.'!$BZ:$BZ,'Cronog. e Histog.'!DL:DL),"")</f>
        <v>0</v>
      </c>
      <c r="AR248" s="144">
        <f>IFERROR(_xlfn.XLOOKUP($B248,'Cronog. e Histog.'!$BZ:$BZ,'Cronog. e Histog.'!DM:DM),"")</f>
        <v>0</v>
      </c>
      <c r="AS248" s="144">
        <f>IFERROR(_xlfn.XLOOKUP($B248,'Cronog. e Histog.'!$BZ:$BZ,'Cronog. e Histog.'!DN:DN),"")</f>
        <v>0</v>
      </c>
      <c r="AT248" s="144">
        <f>IFERROR(_xlfn.XLOOKUP($B248,'Cronog. e Histog.'!$BZ:$BZ,'Cronog. e Histog.'!DO:DO),"")</f>
        <v>0</v>
      </c>
      <c r="AU248" s="144">
        <f>IFERROR(_xlfn.XLOOKUP($B248,'Cronog. e Histog.'!$BZ:$BZ,'Cronog. e Histog.'!DP:DP),"")</f>
        <v>0</v>
      </c>
      <c r="AV248" s="144">
        <f>IFERROR(_xlfn.XLOOKUP($B248,'Cronog. e Histog.'!$BZ:$BZ,'Cronog. e Histog.'!DQ:DQ),"")</f>
        <v>0</v>
      </c>
      <c r="AW248" s="144">
        <f>IFERROR(_xlfn.XLOOKUP($B248,'Cronog. e Histog.'!$BZ:$BZ,'Cronog. e Histog.'!DR:DR),"")</f>
        <v>0</v>
      </c>
      <c r="AX248" s="144">
        <f>IFERROR(_xlfn.XLOOKUP($B248,'Cronog. e Histog.'!$BZ:$BZ,'Cronog. e Histog.'!DS:DS),"")</f>
        <v>0</v>
      </c>
      <c r="AY248" s="144">
        <f>IFERROR(_xlfn.XLOOKUP($B248,'Cronog. e Histog.'!$BZ:$BZ,'Cronog. e Histog.'!DT:DT),"")</f>
        <v>0</v>
      </c>
      <c r="AZ248" s="144">
        <f>IFERROR(_xlfn.XLOOKUP($B248,'Cronog. e Histog.'!$BZ:$BZ,'Cronog. e Histog.'!DU:DU),"")</f>
        <v>0</v>
      </c>
      <c r="BA248" s="144">
        <f>IFERROR(_xlfn.XLOOKUP($B248,'Cronog. e Histog.'!$BZ:$BZ,'Cronog. e Histog.'!DV:DV),"")</f>
        <v>0</v>
      </c>
      <c r="BB248" s="144">
        <f>IFERROR(_xlfn.XLOOKUP($B248,'Cronog. e Histog.'!$BZ:$BZ,'Cronog. e Histog.'!DW:DW),"")</f>
        <v>0</v>
      </c>
      <c r="BC248" s="144">
        <f>IFERROR(_xlfn.XLOOKUP($B248,'Cronog. e Histog.'!$BZ:$BZ,'Cronog. e Histog.'!DX:DX),"")</f>
        <v>0</v>
      </c>
      <c r="BD248" s="144">
        <f>IFERROR(_xlfn.XLOOKUP($B248,'Cronog. e Histog.'!$BZ:$BZ,'Cronog. e Histog.'!DY:DY),"")</f>
        <v>0</v>
      </c>
      <c r="BE248" s="144">
        <f>IFERROR(_xlfn.XLOOKUP($B248,'Cronog. e Histog.'!$BZ:$BZ,'Cronog. e Histog.'!DZ:DZ),"")</f>
        <v>0</v>
      </c>
      <c r="BF248" s="144">
        <f>IFERROR(_xlfn.XLOOKUP($B248,'Cronog. e Histog.'!$BZ:$BZ,'Cronog. e Histog.'!EA:EA),"")</f>
        <v>0</v>
      </c>
      <c r="BG248" s="144">
        <f>IFERROR(_xlfn.XLOOKUP($B248,'Cronog. e Histog.'!$BZ:$BZ,'Cronog. e Histog.'!EB:EB),"")</f>
        <v>0</v>
      </c>
      <c r="BH248" s="144">
        <f>IFERROR(_xlfn.XLOOKUP($B248,'Cronog. e Histog.'!$BZ:$BZ,'Cronog. e Histog.'!EC:EC),"")</f>
        <v>0</v>
      </c>
      <c r="BI248" s="144">
        <f>IFERROR(_xlfn.XLOOKUP($B248,'Cronog. e Histog.'!$BZ:$BZ,'Cronog. e Histog.'!ED:ED),"")</f>
        <v>0</v>
      </c>
      <c r="BJ248" s="144">
        <f>IFERROR(_xlfn.XLOOKUP($B248,'Cronog. e Histog.'!$BZ:$BZ,'Cronog. e Histog.'!EE:EE),"")</f>
        <v>0</v>
      </c>
      <c r="BK248" s="144">
        <f>IFERROR(_xlfn.XLOOKUP($B248,'Cronog. e Histog.'!$BZ:$BZ,'Cronog. e Histog.'!EF:EF),"")</f>
        <v>0</v>
      </c>
      <c r="BL248" s="144">
        <f>IFERROR(_xlfn.XLOOKUP($B248,'Cronog. e Histog.'!$BZ:$BZ,'Cronog. e Histog.'!EG:EG),"")</f>
        <v>0</v>
      </c>
      <c r="BM248" s="144">
        <f>IFERROR(_xlfn.XLOOKUP($B248,'Cronog. e Histog.'!$BZ:$BZ,'Cronog. e Histog.'!EH:EH),"")</f>
        <v>0</v>
      </c>
      <c r="BN248" s="144">
        <f>IFERROR(_xlfn.XLOOKUP($B248,'Cronog. e Histog.'!$BZ:$BZ,'Cronog. e Histog.'!EI:EI),"")</f>
        <v>0</v>
      </c>
    </row>
    <row r="249" spans="2:66" ht="12" hidden="1" customHeight="1" outlineLevel="1">
      <c r="B249" s="76">
        <v>243</v>
      </c>
      <c r="C249" s="143" t="str">
        <f>IFERROR(VLOOKUP(B249,'Cronog. e Histog.'!$BZ$213:$CA$747,2,0),"")</f>
        <v>SUP.-ESP</v>
      </c>
      <c r="D249" s="144">
        <f t="shared" si="6"/>
        <v>0</v>
      </c>
      <c r="E249" s="144">
        <f t="shared" si="7"/>
        <v>0</v>
      </c>
      <c r="F249" s="65"/>
      <c r="G249" s="144">
        <f>IFERROR(_xlfn.XLOOKUP($B249,'Cronog. e Histog.'!$BZ:$BZ,'Cronog. e Histog.'!CB:CB),"")</f>
        <v>0</v>
      </c>
      <c r="H249" s="144">
        <f>IFERROR(_xlfn.XLOOKUP($B249,'Cronog. e Histog.'!$BZ:$BZ,'Cronog. e Histog.'!CC:CC),"")</f>
        <v>0</v>
      </c>
      <c r="I249" s="144">
        <f>IFERROR(_xlfn.XLOOKUP($B249,'Cronog. e Histog.'!$BZ:$BZ,'Cronog. e Histog.'!CD:CD),"")</f>
        <v>0</v>
      </c>
      <c r="J249" s="144">
        <f>IFERROR(_xlfn.XLOOKUP($B249,'Cronog. e Histog.'!$BZ:$BZ,'Cronog. e Histog.'!CE:CE),"")</f>
        <v>0</v>
      </c>
      <c r="K249" s="144">
        <f>IFERROR(_xlfn.XLOOKUP($B249,'Cronog. e Histog.'!$BZ:$BZ,'Cronog. e Histog.'!CF:CF),"")</f>
        <v>0</v>
      </c>
      <c r="L249" s="144">
        <f>IFERROR(_xlfn.XLOOKUP($B249,'Cronog. e Histog.'!$BZ:$BZ,'Cronog. e Histog.'!CG:CG),"")</f>
        <v>0</v>
      </c>
      <c r="M249" s="144">
        <f>IFERROR(_xlfn.XLOOKUP($B249,'Cronog. e Histog.'!$BZ:$BZ,'Cronog. e Histog.'!CH:CH),"")</f>
        <v>0</v>
      </c>
      <c r="N249" s="144">
        <f>IFERROR(_xlfn.XLOOKUP($B249,'Cronog. e Histog.'!$BZ:$BZ,'Cronog. e Histog.'!CI:CI),"")</f>
        <v>0</v>
      </c>
      <c r="O249" s="144">
        <f>IFERROR(_xlfn.XLOOKUP($B249,'Cronog. e Histog.'!$BZ:$BZ,'Cronog. e Histog.'!CJ:CJ),"")</f>
        <v>0</v>
      </c>
      <c r="P249" s="144">
        <f>IFERROR(_xlfn.XLOOKUP($B249,'Cronog. e Histog.'!$BZ:$BZ,'Cronog. e Histog.'!CK:CK),"")</f>
        <v>0</v>
      </c>
      <c r="Q249" s="144">
        <f>IFERROR(_xlfn.XLOOKUP($B249,'Cronog. e Histog.'!$BZ:$BZ,'Cronog. e Histog.'!CL:CL),"")</f>
        <v>0</v>
      </c>
      <c r="R249" s="144">
        <f>IFERROR(_xlfn.XLOOKUP($B249,'Cronog. e Histog.'!$BZ:$BZ,'Cronog. e Histog.'!CM:CM),"")</f>
        <v>0</v>
      </c>
      <c r="S249" s="144">
        <f>IFERROR(_xlfn.XLOOKUP($B249,'Cronog. e Histog.'!$BZ:$BZ,'Cronog. e Histog.'!CN:CN),"")</f>
        <v>0</v>
      </c>
      <c r="T249" s="144">
        <f>IFERROR(_xlfn.XLOOKUP($B249,'Cronog. e Histog.'!$BZ:$BZ,'Cronog. e Histog.'!CO:CO),"")</f>
        <v>0</v>
      </c>
      <c r="U249" s="144">
        <f>IFERROR(_xlfn.XLOOKUP($B249,'Cronog. e Histog.'!$BZ:$BZ,'Cronog. e Histog.'!CP:CP),"")</f>
        <v>0</v>
      </c>
      <c r="V249" s="144">
        <f>IFERROR(_xlfn.XLOOKUP($B249,'Cronog. e Histog.'!$BZ:$BZ,'Cronog. e Histog.'!CQ:CQ),"")</f>
        <v>0</v>
      </c>
      <c r="W249" s="144">
        <f>IFERROR(_xlfn.XLOOKUP($B249,'Cronog. e Histog.'!$BZ:$BZ,'Cronog. e Histog.'!CR:CR),"")</f>
        <v>0</v>
      </c>
      <c r="X249" s="144">
        <f>IFERROR(_xlfn.XLOOKUP($B249,'Cronog. e Histog.'!$BZ:$BZ,'Cronog. e Histog.'!CS:CS),"")</f>
        <v>0</v>
      </c>
      <c r="Y249" s="144">
        <f>IFERROR(_xlfn.XLOOKUP($B249,'Cronog. e Histog.'!$BZ:$BZ,'Cronog. e Histog.'!CT:CT),"")</f>
        <v>0</v>
      </c>
      <c r="Z249" s="144">
        <f>IFERROR(_xlfn.XLOOKUP($B249,'Cronog. e Histog.'!$BZ:$BZ,'Cronog. e Histog.'!CU:CU),"")</f>
        <v>0</v>
      </c>
      <c r="AA249" s="144">
        <f>IFERROR(_xlfn.XLOOKUP($B249,'Cronog. e Histog.'!$BZ:$BZ,'Cronog. e Histog.'!CV:CV),"")</f>
        <v>0</v>
      </c>
      <c r="AB249" s="144">
        <f>IFERROR(_xlfn.XLOOKUP($B249,'Cronog. e Histog.'!$BZ:$BZ,'Cronog. e Histog.'!CW:CW),"")</f>
        <v>0</v>
      </c>
      <c r="AC249" s="144">
        <f>IFERROR(_xlfn.XLOOKUP($B249,'Cronog. e Histog.'!$BZ:$BZ,'Cronog. e Histog.'!CX:CX),"")</f>
        <v>0</v>
      </c>
      <c r="AD249" s="144">
        <f>IFERROR(_xlfn.XLOOKUP($B249,'Cronog. e Histog.'!$BZ:$BZ,'Cronog. e Histog.'!CY:CY),"")</f>
        <v>0</v>
      </c>
      <c r="AE249" s="144">
        <f>IFERROR(_xlfn.XLOOKUP($B249,'Cronog. e Histog.'!$BZ:$BZ,'Cronog. e Histog.'!CZ:CZ),"")</f>
        <v>0</v>
      </c>
      <c r="AF249" s="144">
        <f>IFERROR(_xlfn.XLOOKUP($B249,'Cronog. e Histog.'!$BZ:$BZ,'Cronog. e Histog.'!DA:DA),"")</f>
        <v>0</v>
      </c>
      <c r="AG249" s="144">
        <f>IFERROR(_xlfn.XLOOKUP($B249,'Cronog. e Histog.'!$BZ:$BZ,'Cronog. e Histog.'!DB:DB),"")</f>
        <v>0</v>
      </c>
      <c r="AH249" s="144">
        <f>IFERROR(_xlfn.XLOOKUP($B249,'Cronog. e Histog.'!$BZ:$BZ,'Cronog. e Histog.'!DC:DC),"")</f>
        <v>0</v>
      </c>
      <c r="AI249" s="144">
        <f>IFERROR(_xlfn.XLOOKUP($B249,'Cronog. e Histog.'!$BZ:$BZ,'Cronog. e Histog.'!DD:DD),"")</f>
        <v>0</v>
      </c>
      <c r="AJ249" s="144">
        <f>IFERROR(_xlfn.XLOOKUP($B249,'Cronog. e Histog.'!$BZ:$BZ,'Cronog. e Histog.'!DE:DE),"")</f>
        <v>0</v>
      </c>
      <c r="AK249" s="144">
        <f>IFERROR(_xlfn.XLOOKUP($B249,'Cronog. e Histog.'!$BZ:$BZ,'Cronog. e Histog.'!DF:DF),"")</f>
        <v>0</v>
      </c>
      <c r="AL249" s="144">
        <f>IFERROR(_xlfn.XLOOKUP($B249,'Cronog. e Histog.'!$BZ:$BZ,'Cronog. e Histog.'!DG:DG),"")</f>
        <v>0</v>
      </c>
      <c r="AM249" s="144">
        <f>IFERROR(_xlfn.XLOOKUP($B249,'Cronog. e Histog.'!$BZ:$BZ,'Cronog. e Histog.'!DH:DH),"")</f>
        <v>0</v>
      </c>
      <c r="AN249" s="144">
        <f>IFERROR(_xlfn.XLOOKUP($B249,'Cronog. e Histog.'!$BZ:$BZ,'Cronog. e Histog.'!DI:DI),"")</f>
        <v>0</v>
      </c>
      <c r="AO249" s="144">
        <f>IFERROR(_xlfn.XLOOKUP($B249,'Cronog. e Histog.'!$BZ:$BZ,'Cronog. e Histog.'!DJ:DJ),"")</f>
        <v>0</v>
      </c>
      <c r="AP249" s="144">
        <f>IFERROR(_xlfn.XLOOKUP($B249,'Cronog. e Histog.'!$BZ:$BZ,'Cronog. e Histog.'!DK:DK),"")</f>
        <v>0</v>
      </c>
      <c r="AQ249" s="144">
        <f>IFERROR(_xlfn.XLOOKUP($B249,'Cronog. e Histog.'!$BZ:$BZ,'Cronog. e Histog.'!DL:DL),"")</f>
        <v>0</v>
      </c>
      <c r="AR249" s="144">
        <f>IFERROR(_xlfn.XLOOKUP($B249,'Cronog. e Histog.'!$BZ:$BZ,'Cronog. e Histog.'!DM:DM),"")</f>
        <v>0</v>
      </c>
      <c r="AS249" s="144">
        <f>IFERROR(_xlfn.XLOOKUP($B249,'Cronog. e Histog.'!$BZ:$BZ,'Cronog. e Histog.'!DN:DN),"")</f>
        <v>0</v>
      </c>
      <c r="AT249" s="144">
        <f>IFERROR(_xlfn.XLOOKUP($B249,'Cronog. e Histog.'!$BZ:$BZ,'Cronog. e Histog.'!DO:DO),"")</f>
        <v>0</v>
      </c>
      <c r="AU249" s="144">
        <f>IFERROR(_xlfn.XLOOKUP($B249,'Cronog. e Histog.'!$BZ:$BZ,'Cronog. e Histog.'!DP:DP),"")</f>
        <v>0</v>
      </c>
      <c r="AV249" s="144">
        <f>IFERROR(_xlfn.XLOOKUP($B249,'Cronog. e Histog.'!$BZ:$BZ,'Cronog. e Histog.'!DQ:DQ),"")</f>
        <v>0</v>
      </c>
      <c r="AW249" s="144">
        <f>IFERROR(_xlfn.XLOOKUP($B249,'Cronog. e Histog.'!$BZ:$BZ,'Cronog. e Histog.'!DR:DR),"")</f>
        <v>0</v>
      </c>
      <c r="AX249" s="144">
        <f>IFERROR(_xlfn.XLOOKUP($B249,'Cronog. e Histog.'!$BZ:$BZ,'Cronog. e Histog.'!DS:DS),"")</f>
        <v>0</v>
      </c>
      <c r="AY249" s="144">
        <f>IFERROR(_xlfn.XLOOKUP($B249,'Cronog. e Histog.'!$BZ:$BZ,'Cronog. e Histog.'!DT:DT),"")</f>
        <v>0</v>
      </c>
      <c r="AZ249" s="144">
        <f>IFERROR(_xlfn.XLOOKUP($B249,'Cronog. e Histog.'!$BZ:$BZ,'Cronog. e Histog.'!DU:DU),"")</f>
        <v>0</v>
      </c>
      <c r="BA249" s="144">
        <f>IFERROR(_xlfn.XLOOKUP($B249,'Cronog. e Histog.'!$BZ:$BZ,'Cronog. e Histog.'!DV:DV),"")</f>
        <v>0</v>
      </c>
      <c r="BB249" s="144">
        <f>IFERROR(_xlfn.XLOOKUP($B249,'Cronog. e Histog.'!$BZ:$BZ,'Cronog. e Histog.'!DW:DW),"")</f>
        <v>0</v>
      </c>
      <c r="BC249" s="144">
        <f>IFERROR(_xlfn.XLOOKUP($B249,'Cronog. e Histog.'!$BZ:$BZ,'Cronog. e Histog.'!DX:DX),"")</f>
        <v>0</v>
      </c>
      <c r="BD249" s="144">
        <f>IFERROR(_xlfn.XLOOKUP($B249,'Cronog. e Histog.'!$BZ:$BZ,'Cronog. e Histog.'!DY:DY),"")</f>
        <v>0</v>
      </c>
      <c r="BE249" s="144">
        <f>IFERROR(_xlfn.XLOOKUP($B249,'Cronog. e Histog.'!$BZ:$BZ,'Cronog. e Histog.'!DZ:DZ),"")</f>
        <v>0</v>
      </c>
      <c r="BF249" s="144">
        <f>IFERROR(_xlfn.XLOOKUP($B249,'Cronog. e Histog.'!$BZ:$BZ,'Cronog. e Histog.'!EA:EA),"")</f>
        <v>0</v>
      </c>
      <c r="BG249" s="144">
        <f>IFERROR(_xlfn.XLOOKUP($B249,'Cronog. e Histog.'!$BZ:$BZ,'Cronog. e Histog.'!EB:EB),"")</f>
        <v>0</v>
      </c>
      <c r="BH249" s="144">
        <f>IFERROR(_xlfn.XLOOKUP($B249,'Cronog. e Histog.'!$BZ:$BZ,'Cronog. e Histog.'!EC:EC),"")</f>
        <v>0</v>
      </c>
      <c r="BI249" s="144">
        <f>IFERROR(_xlfn.XLOOKUP($B249,'Cronog. e Histog.'!$BZ:$BZ,'Cronog. e Histog.'!ED:ED),"")</f>
        <v>0</v>
      </c>
      <c r="BJ249" s="144">
        <f>IFERROR(_xlfn.XLOOKUP($B249,'Cronog. e Histog.'!$BZ:$BZ,'Cronog. e Histog.'!EE:EE),"")</f>
        <v>0</v>
      </c>
      <c r="BK249" s="144">
        <f>IFERROR(_xlfn.XLOOKUP($B249,'Cronog. e Histog.'!$BZ:$BZ,'Cronog. e Histog.'!EF:EF),"")</f>
        <v>0</v>
      </c>
      <c r="BL249" s="144">
        <f>IFERROR(_xlfn.XLOOKUP($B249,'Cronog. e Histog.'!$BZ:$BZ,'Cronog. e Histog.'!EG:EG),"")</f>
        <v>0</v>
      </c>
      <c r="BM249" s="144">
        <f>IFERROR(_xlfn.XLOOKUP($B249,'Cronog. e Histog.'!$BZ:$BZ,'Cronog. e Histog.'!EH:EH),"")</f>
        <v>0</v>
      </c>
      <c r="BN249" s="144">
        <f>IFERROR(_xlfn.XLOOKUP($B249,'Cronog. e Histog.'!$BZ:$BZ,'Cronog. e Histog.'!EI:EI),"")</f>
        <v>0</v>
      </c>
    </row>
    <row r="250" spans="2:66" ht="12" hidden="1" customHeight="1" outlineLevel="1">
      <c r="B250" s="76">
        <v>244</v>
      </c>
      <c r="C250" s="143" t="str">
        <f>IFERROR(VLOOKUP(B250,'Cronog. e Histog.'!$BZ$213:$CA$747,2,0),"")</f>
        <v>ENG/ARQ SR.</v>
      </c>
      <c r="D250" s="144">
        <f t="shared" si="6"/>
        <v>0</v>
      </c>
      <c r="E250" s="144">
        <f t="shared" si="7"/>
        <v>0</v>
      </c>
      <c r="F250" s="65"/>
      <c r="G250" s="144">
        <f>IFERROR(_xlfn.XLOOKUP($B250,'Cronog. e Histog.'!$BZ:$BZ,'Cronog. e Histog.'!CB:CB),"")</f>
        <v>0</v>
      </c>
      <c r="H250" s="144">
        <f>IFERROR(_xlfn.XLOOKUP($B250,'Cronog. e Histog.'!$BZ:$BZ,'Cronog. e Histog.'!CC:CC),"")</f>
        <v>0</v>
      </c>
      <c r="I250" s="144">
        <f>IFERROR(_xlfn.XLOOKUP($B250,'Cronog. e Histog.'!$BZ:$BZ,'Cronog. e Histog.'!CD:CD),"")</f>
        <v>0</v>
      </c>
      <c r="J250" s="144">
        <f>IFERROR(_xlfn.XLOOKUP($B250,'Cronog. e Histog.'!$BZ:$BZ,'Cronog. e Histog.'!CE:CE),"")</f>
        <v>0</v>
      </c>
      <c r="K250" s="144">
        <f>IFERROR(_xlfn.XLOOKUP($B250,'Cronog. e Histog.'!$BZ:$BZ,'Cronog. e Histog.'!CF:CF),"")</f>
        <v>0</v>
      </c>
      <c r="L250" s="144">
        <f>IFERROR(_xlfn.XLOOKUP($B250,'Cronog. e Histog.'!$BZ:$BZ,'Cronog. e Histog.'!CG:CG),"")</f>
        <v>0</v>
      </c>
      <c r="M250" s="144">
        <f>IFERROR(_xlfn.XLOOKUP($B250,'Cronog. e Histog.'!$BZ:$BZ,'Cronog. e Histog.'!CH:CH),"")</f>
        <v>0</v>
      </c>
      <c r="N250" s="144">
        <f>IFERROR(_xlfn.XLOOKUP($B250,'Cronog. e Histog.'!$BZ:$BZ,'Cronog. e Histog.'!CI:CI),"")</f>
        <v>0</v>
      </c>
      <c r="O250" s="144">
        <f>IFERROR(_xlfn.XLOOKUP($B250,'Cronog. e Histog.'!$BZ:$BZ,'Cronog. e Histog.'!CJ:CJ),"")</f>
        <v>0</v>
      </c>
      <c r="P250" s="144">
        <f>IFERROR(_xlfn.XLOOKUP($B250,'Cronog. e Histog.'!$BZ:$BZ,'Cronog. e Histog.'!CK:CK),"")</f>
        <v>0</v>
      </c>
      <c r="Q250" s="144">
        <f>IFERROR(_xlfn.XLOOKUP($B250,'Cronog. e Histog.'!$BZ:$BZ,'Cronog. e Histog.'!CL:CL),"")</f>
        <v>0</v>
      </c>
      <c r="R250" s="144">
        <f>IFERROR(_xlfn.XLOOKUP($B250,'Cronog. e Histog.'!$BZ:$BZ,'Cronog. e Histog.'!CM:CM),"")</f>
        <v>0</v>
      </c>
      <c r="S250" s="144">
        <f>IFERROR(_xlfn.XLOOKUP($B250,'Cronog. e Histog.'!$BZ:$BZ,'Cronog. e Histog.'!CN:CN),"")</f>
        <v>0</v>
      </c>
      <c r="T250" s="144">
        <f>IFERROR(_xlfn.XLOOKUP($B250,'Cronog. e Histog.'!$BZ:$BZ,'Cronog. e Histog.'!CO:CO),"")</f>
        <v>0</v>
      </c>
      <c r="U250" s="144">
        <f>IFERROR(_xlfn.XLOOKUP($B250,'Cronog. e Histog.'!$BZ:$BZ,'Cronog. e Histog.'!CP:CP),"")</f>
        <v>0</v>
      </c>
      <c r="V250" s="144">
        <f>IFERROR(_xlfn.XLOOKUP($B250,'Cronog. e Histog.'!$BZ:$BZ,'Cronog. e Histog.'!CQ:CQ),"")</f>
        <v>0</v>
      </c>
      <c r="W250" s="144">
        <f>IFERROR(_xlfn.XLOOKUP($B250,'Cronog. e Histog.'!$BZ:$BZ,'Cronog. e Histog.'!CR:CR),"")</f>
        <v>0</v>
      </c>
      <c r="X250" s="144">
        <f>IFERROR(_xlfn.XLOOKUP($B250,'Cronog. e Histog.'!$BZ:$BZ,'Cronog. e Histog.'!CS:CS),"")</f>
        <v>0</v>
      </c>
      <c r="Y250" s="144">
        <f>IFERROR(_xlfn.XLOOKUP($B250,'Cronog. e Histog.'!$BZ:$BZ,'Cronog. e Histog.'!CT:CT),"")</f>
        <v>0</v>
      </c>
      <c r="Z250" s="144">
        <f>IFERROR(_xlfn.XLOOKUP($B250,'Cronog. e Histog.'!$BZ:$BZ,'Cronog. e Histog.'!CU:CU),"")</f>
        <v>0</v>
      </c>
      <c r="AA250" s="144">
        <f>IFERROR(_xlfn.XLOOKUP($B250,'Cronog. e Histog.'!$BZ:$BZ,'Cronog. e Histog.'!CV:CV),"")</f>
        <v>0</v>
      </c>
      <c r="AB250" s="144">
        <f>IFERROR(_xlfn.XLOOKUP($B250,'Cronog. e Histog.'!$BZ:$BZ,'Cronog. e Histog.'!CW:CW),"")</f>
        <v>0</v>
      </c>
      <c r="AC250" s="144">
        <f>IFERROR(_xlfn.XLOOKUP($B250,'Cronog. e Histog.'!$BZ:$BZ,'Cronog. e Histog.'!CX:CX),"")</f>
        <v>0</v>
      </c>
      <c r="AD250" s="144">
        <f>IFERROR(_xlfn.XLOOKUP($B250,'Cronog. e Histog.'!$BZ:$BZ,'Cronog. e Histog.'!CY:CY),"")</f>
        <v>0</v>
      </c>
      <c r="AE250" s="144">
        <f>IFERROR(_xlfn.XLOOKUP($B250,'Cronog. e Histog.'!$BZ:$BZ,'Cronog. e Histog.'!CZ:CZ),"")</f>
        <v>0</v>
      </c>
      <c r="AF250" s="144">
        <f>IFERROR(_xlfn.XLOOKUP($B250,'Cronog. e Histog.'!$BZ:$BZ,'Cronog. e Histog.'!DA:DA),"")</f>
        <v>0</v>
      </c>
      <c r="AG250" s="144">
        <f>IFERROR(_xlfn.XLOOKUP($B250,'Cronog. e Histog.'!$BZ:$BZ,'Cronog. e Histog.'!DB:DB),"")</f>
        <v>0</v>
      </c>
      <c r="AH250" s="144">
        <f>IFERROR(_xlfn.XLOOKUP($B250,'Cronog. e Histog.'!$BZ:$BZ,'Cronog. e Histog.'!DC:DC),"")</f>
        <v>0</v>
      </c>
      <c r="AI250" s="144">
        <f>IFERROR(_xlfn.XLOOKUP($B250,'Cronog. e Histog.'!$BZ:$BZ,'Cronog. e Histog.'!DD:DD),"")</f>
        <v>0</v>
      </c>
      <c r="AJ250" s="144">
        <f>IFERROR(_xlfn.XLOOKUP($B250,'Cronog. e Histog.'!$BZ:$BZ,'Cronog. e Histog.'!DE:DE),"")</f>
        <v>0</v>
      </c>
      <c r="AK250" s="144">
        <f>IFERROR(_xlfn.XLOOKUP($B250,'Cronog. e Histog.'!$BZ:$BZ,'Cronog. e Histog.'!DF:DF),"")</f>
        <v>0</v>
      </c>
      <c r="AL250" s="144">
        <f>IFERROR(_xlfn.XLOOKUP($B250,'Cronog. e Histog.'!$BZ:$BZ,'Cronog. e Histog.'!DG:DG),"")</f>
        <v>0</v>
      </c>
      <c r="AM250" s="144">
        <f>IFERROR(_xlfn.XLOOKUP($B250,'Cronog. e Histog.'!$BZ:$BZ,'Cronog. e Histog.'!DH:DH),"")</f>
        <v>0</v>
      </c>
      <c r="AN250" s="144">
        <f>IFERROR(_xlfn.XLOOKUP($B250,'Cronog. e Histog.'!$BZ:$BZ,'Cronog. e Histog.'!DI:DI),"")</f>
        <v>0</v>
      </c>
      <c r="AO250" s="144">
        <f>IFERROR(_xlfn.XLOOKUP($B250,'Cronog. e Histog.'!$BZ:$BZ,'Cronog. e Histog.'!DJ:DJ),"")</f>
        <v>0</v>
      </c>
      <c r="AP250" s="144">
        <f>IFERROR(_xlfn.XLOOKUP($B250,'Cronog. e Histog.'!$BZ:$BZ,'Cronog. e Histog.'!DK:DK),"")</f>
        <v>0</v>
      </c>
      <c r="AQ250" s="144">
        <f>IFERROR(_xlfn.XLOOKUP($B250,'Cronog. e Histog.'!$BZ:$BZ,'Cronog. e Histog.'!DL:DL),"")</f>
        <v>0</v>
      </c>
      <c r="AR250" s="144">
        <f>IFERROR(_xlfn.XLOOKUP($B250,'Cronog. e Histog.'!$BZ:$BZ,'Cronog. e Histog.'!DM:DM),"")</f>
        <v>0</v>
      </c>
      <c r="AS250" s="144">
        <f>IFERROR(_xlfn.XLOOKUP($B250,'Cronog. e Histog.'!$BZ:$BZ,'Cronog. e Histog.'!DN:DN),"")</f>
        <v>0</v>
      </c>
      <c r="AT250" s="144">
        <f>IFERROR(_xlfn.XLOOKUP($B250,'Cronog. e Histog.'!$BZ:$BZ,'Cronog. e Histog.'!DO:DO),"")</f>
        <v>0</v>
      </c>
      <c r="AU250" s="144">
        <f>IFERROR(_xlfn.XLOOKUP($B250,'Cronog. e Histog.'!$BZ:$BZ,'Cronog. e Histog.'!DP:DP),"")</f>
        <v>0</v>
      </c>
      <c r="AV250" s="144">
        <f>IFERROR(_xlfn.XLOOKUP($B250,'Cronog. e Histog.'!$BZ:$BZ,'Cronog. e Histog.'!DQ:DQ),"")</f>
        <v>0</v>
      </c>
      <c r="AW250" s="144">
        <f>IFERROR(_xlfn.XLOOKUP($B250,'Cronog. e Histog.'!$BZ:$BZ,'Cronog. e Histog.'!DR:DR),"")</f>
        <v>0</v>
      </c>
      <c r="AX250" s="144">
        <f>IFERROR(_xlfn.XLOOKUP($B250,'Cronog. e Histog.'!$BZ:$BZ,'Cronog. e Histog.'!DS:DS),"")</f>
        <v>0</v>
      </c>
      <c r="AY250" s="144">
        <f>IFERROR(_xlfn.XLOOKUP($B250,'Cronog. e Histog.'!$BZ:$BZ,'Cronog. e Histog.'!DT:DT),"")</f>
        <v>0</v>
      </c>
      <c r="AZ250" s="144">
        <f>IFERROR(_xlfn.XLOOKUP($B250,'Cronog. e Histog.'!$BZ:$BZ,'Cronog. e Histog.'!DU:DU),"")</f>
        <v>0</v>
      </c>
      <c r="BA250" s="144">
        <f>IFERROR(_xlfn.XLOOKUP($B250,'Cronog. e Histog.'!$BZ:$BZ,'Cronog. e Histog.'!DV:DV),"")</f>
        <v>0</v>
      </c>
      <c r="BB250" s="144">
        <f>IFERROR(_xlfn.XLOOKUP($B250,'Cronog. e Histog.'!$BZ:$BZ,'Cronog. e Histog.'!DW:DW),"")</f>
        <v>0</v>
      </c>
      <c r="BC250" s="144">
        <f>IFERROR(_xlfn.XLOOKUP($B250,'Cronog. e Histog.'!$BZ:$BZ,'Cronog. e Histog.'!DX:DX),"")</f>
        <v>0</v>
      </c>
      <c r="BD250" s="144">
        <f>IFERROR(_xlfn.XLOOKUP($B250,'Cronog. e Histog.'!$BZ:$BZ,'Cronog. e Histog.'!DY:DY),"")</f>
        <v>0</v>
      </c>
      <c r="BE250" s="144">
        <f>IFERROR(_xlfn.XLOOKUP($B250,'Cronog. e Histog.'!$BZ:$BZ,'Cronog. e Histog.'!DZ:DZ),"")</f>
        <v>0</v>
      </c>
      <c r="BF250" s="144">
        <f>IFERROR(_xlfn.XLOOKUP($B250,'Cronog. e Histog.'!$BZ:$BZ,'Cronog. e Histog.'!EA:EA),"")</f>
        <v>0</v>
      </c>
      <c r="BG250" s="144">
        <f>IFERROR(_xlfn.XLOOKUP($B250,'Cronog. e Histog.'!$BZ:$BZ,'Cronog. e Histog.'!EB:EB),"")</f>
        <v>0</v>
      </c>
      <c r="BH250" s="144">
        <f>IFERROR(_xlfn.XLOOKUP($B250,'Cronog. e Histog.'!$BZ:$BZ,'Cronog. e Histog.'!EC:EC),"")</f>
        <v>0</v>
      </c>
      <c r="BI250" s="144">
        <f>IFERROR(_xlfn.XLOOKUP($B250,'Cronog. e Histog.'!$BZ:$BZ,'Cronog. e Histog.'!ED:ED),"")</f>
        <v>0</v>
      </c>
      <c r="BJ250" s="144">
        <f>IFERROR(_xlfn.XLOOKUP($B250,'Cronog. e Histog.'!$BZ:$BZ,'Cronog. e Histog.'!EE:EE),"")</f>
        <v>0</v>
      </c>
      <c r="BK250" s="144">
        <f>IFERROR(_xlfn.XLOOKUP($B250,'Cronog. e Histog.'!$BZ:$BZ,'Cronog. e Histog.'!EF:EF),"")</f>
        <v>0</v>
      </c>
      <c r="BL250" s="144">
        <f>IFERROR(_xlfn.XLOOKUP($B250,'Cronog. e Histog.'!$BZ:$BZ,'Cronog. e Histog.'!EG:EG),"")</f>
        <v>0</v>
      </c>
      <c r="BM250" s="144">
        <f>IFERROR(_xlfn.XLOOKUP($B250,'Cronog. e Histog.'!$BZ:$BZ,'Cronog. e Histog.'!EH:EH),"")</f>
        <v>0</v>
      </c>
      <c r="BN250" s="144">
        <f>IFERROR(_xlfn.XLOOKUP($B250,'Cronog. e Histog.'!$BZ:$BZ,'Cronog. e Histog.'!EI:EI),"")</f>
        <v>0</v>
      </c>
    </row>
    <row r="251" spans="2:66" ht="12" hidden="1" customHeight="1" outlineLevel="1">
      <c r="B251" s="76">
        <v>245</v>
      </c>
      <c r="C251" s="143" t="str">
        <f>IFERROR(VLOOKUP(B251,'Cronog. e Histog.'!$BZ$213:$CA$747,2,0),"")</f>
        <v>ENG/ARQ PL.</v>
      </c>
      <c r="D251" s="144">
        <f t="shared" si="6"/>
        <v>0</v>
      </c>
      <c r="E251" s="144">
        <f t="shared" si="7"/>
        <v>0</v>
      </c>
      <c r="F251" s="65"/>
      <c r="G251" s="144">
        <f>IFERROR(_xlfn.XLOOKUP($B251,'Cronog. e Histog.'!$BZ:$BZ,'Cronog. e Histog.'!CB:CB),"")</f>
        <v>0</v>
      </c>
      <c r="H251" s="144">
        <f>IFERROR(_xlfn.XLOOKUP($B251,'Cronog. e Histog.'!$BZ:$BZ,'Cronog. e Histog.'!CC:CC),"")</f>
        <v>0</v>
      </c>
      <c r="I251" s="144">
        <f>IFERROR(_xlfn.XLOOKUP($B251,'Cronog. e Histog.'!$BZ:$BZ,'Cronog. e Histog.'!CD:CD),"")</f>
        <v>0</v>
      </c>
      <c r="J251" s="144">
        <f>IFERROR(_xlfn.XLOOKUP($B251,'Cronog. e Histog.'!$BZ:$BZ,'Cronog. e Histog.'!CE:CE),"")</f>
        <v>0</v>
      </c>
      <c r="K251" s="144">
        <f>IFERROR(_xlfn.XLOOKUP($B251,'Cronog. e Histog.'!$BZ:$BZ,'Cronog. e Histog.'!CF:CF),"")</f>
        <v>0</v>
      </c>
      <c r="L251" s="144">
        <f>IFERROR(_xlfn.XLOOKUP($B251,'Cronog. e Histog.'!$BZ:$BZ,'Cronog. e Histog.'!CG:CG),"")</f>
        <v>0</v>
      </c>
      <c r="M251" s="144">
        <f>IFERROR(_xlfn.XLOOKUP($B251,'Cronog. e Histog.'!$BZ:$BZ,'Cronog. e Histog.'!CH:CH),"")</f>
        <v>0</v>
      </c>
      <c r="N251" s="144">
        <f>IFERROR(_xlfn.XLOOKUP($B251,'Cronog. e Histog.'!$BZ:$BZ,'Cronog. e Histog.'!CI:CI),"")</f>
        <v>0</v>
      </c>
      <c r="O251" s="144">
        <f>IFERROR(_xlfn.XLOOKUP($B251,'Cronog. e Histog.'!$BZ:$BZ,'Cronog. e Histog.'!CJ:CJ),"")</f>
        <v>0</v>
      </c>
      <c r="P251" s="144">
        <f>IFERROR(_xlfn.XLOOKUP($B251,'Cronog. e Histog.'!$BZ:$BZ,'Cronog. e Histog.'!CK:CK),"")</f>
        <v>0</v>
      </c>
      <c r="Q251" s="144">
        <f>IFERROR(_xlfn.XLOOKUP($B251,'Cronog. e Histog.'!$BZ:$BZ,'Cronog. e Histog.'!CL:CL),"")</f>
        <v>0</v>
      </c>
      <c r="R251" s="144">
        <f>IFERROR(_xlfn.XLOOKUP($B251,'Cronog. e Histog.'!$BZ:$BZ,'Cronog. e Histog.'!CM:CM),"")</f>
        <v>0</v>
      </c>
      <c r="S251" s="144">
        <f>IFERROR(_xlfn.XLOOKUP($B251,'Cronog. e Histog.'!$BZ:$BZ,'Cronog. e Histog.'!CN:CN),"")</f>
        <v>0</v>
      </c>
      <c r="T251" s="144">
        <f>IFERROR(_xlfn.XLOOKUP($B251,'Cronog. e Histog.'!$BZ:$BZ,'Cronog. e Histog.'!CO:CO),"")</f>
        <v>0</v>
      </c>
      <c r="U251" s="144">
        <f>IFERROR(_xlfn.XLOOKUP($B251,'Cronog. e Histog.'!$BZ:$BZ,'Cronog. e Histog.'!CP:CP),"")</f>
        <v>0</v>
      </c>
      <c r="V251" s="144">
        <f>IFERROR(_xlfn.XLOOKUP($B251,'Cronog. e Histog.'!$BZ:$BZ,'Cronog. e Histog.'!CQ:CQ),"")</f>
        <v>0</v>
      </c>
      <c r="W251" s="144">
        <f>IFERROR(_xlfn.XLOOKUP($B251,'Cronog. e Histog.'!$BZ:$BZ,'Cronog. e Histog.'!CR:CR),"")</f>
        <v>0</v>
      </c>
      <c r="X251" s="144">
        <f>IFERROR(_xlfn.XLOOKUP($B251,'Cronog. e Histog.'!$BZ:$BZ,'Cronog. e Histog.'!CS:CS),"")</f>
        <v>0</v>
      </c>
      <c r="Y251" s="144">
        <f>IFERROR(_xlfn.XLOOKUP($B251,'Cronog. e Histog.'!$BZ:$BZ,'Cronog. e Histog.'!CT:CT),"")</f>
        <v>0</v>
      </c>
      <c r="Z251" s="144">
        <f>IFERROR(_xlfn.XLOOKUP($B251,'Cronog. e Histog.'!$BZ:$BZ,'Cronog. e Histog.'!CU:CU),"")</f>
        <v>0</v>
      </c>
      <c r="AA251" s="144">
        <f>IFERROR(_xlfn.XLOOKUP($B251,'Cronog. e Histog.'!$BZ:$BZ,'Cronog. e Histog.'!CV:CV),"")</f>
        <v>0</v>
      </c>
      <c r="AB251" s="144">
        <f>IFERROR(_xlfn.XLOOKUP($B251,'Cronog. e Histog.'!$BZ:$BZ,'Cronog. e Histog.'!CW:CW),"")</f>
        <v>0</v>
      </c>
      <c r="AC251" s="144">
        <f>IFERROR(_xlfn.XLOOKUP($B251,'Cronog. e Histog.'!$BZ:$BZ,'Cronog. e Histog.'!CX:CX),"")</f>
        <v>0</v>
      </c>
      <c r="AD251" s="144">
        <f>IFERROR(_xlfn.XLOOKUP($B251,'Cronog. e Histog.'!$BZ:$BZ,'Cronog. e Histog.'!CY:CY),"")</f>
        <v>0</v>
      </c>
      <c r="AE251" s="144">
        <f>IFERROR(_xlfn.XLOOKUP($B251,'Cronog. e Histog.'!$BZ:$BZ,'Cronog. e Histog.'!CZ:CZ),"")</f>
        <v>0</v>
      </c>
      <c r="AF251" s="144">
        <f>IFERROR(_xlfn.XLOOKUP($B251,'Cronog. e Histog.'!$BZ:$BZ,'Cronog. e Histog.'!DA:DA),"")</f>
        <v>0</v>
      </c>
      <c r="AG251" s="144">
        <f>IFERROR(_xlfn.XLOOKUP($B251,'Cronog. e Histog.'!$BZ:$BZ,'Cronog. e Histog.'!DB:DB),"")</f>
        <v>0</v>
      </c>
      <c r="AH251" s="144">
        <f>IFERROR(_xlfn.XLOOKUP($B251,'Cronog. e Histog.'!$BZ:$BZ,'Cronog. e Histog.'!DC:DC),"")</f>
        <v>0</v>
      </c>
      <c r="AI251" s="144">
        <f>IFERROR(_xlfn.XLOOKUP($B251,'Cronog. e Histog.'!$BZ:$BZ,'Cronog. e Histog.'!DD:DD),"")</f>
        <v>0</v>
      </c>
      <c r="AJ251" s="144">
        <f>IFERROR(_xlfn.XLOOKUP($B251,'Cronog. e Histog.'!$BZ:$BZ,'Cronog. e Histog.'!DE:DE),"")</f>
        <v>0</v>
      </c>
      <c r="AK251" s="144">
        <f>IFERROR(_xlfn.XLOOKUP($B251,'Cronog. e Histog.'!$BZ:$BZ,'Cronog. e Histog.'!DF:DF),"")</f>
        <v>0</v>
      </c>
      <c r="AL251" s="144">
        <f>IFERROR(_xlfn.XLOOKUP($B251,'Cronog. e Histog.'!$BZ:$BZ,'Cronog. e Histog.'!DG:DG),"")</f>
        <v>0</v>
      </c>
      <c r="AM251" s="144">
        <f>IFERROR(_xlfn.XLOOKUP($B251,'Cronog. e Histog.'!$BZ:$BZ,'Cronog. e Histog.'!DH:DH),"")</f>
        <v>0</v>
      </c>
      <c r="AN251" s="144">
        <f>IFERROR(_xlfn.XLOOKUP($B251,'Cronog. e Histog.'!$BZ:$BZ,'Cronog. e Histog.'!DI:DI),"")</f>
        <v>0</v>
      </c>
      <c r="AO251" s="144">
        <f>IFERROR(_xlfn.XLOOKUP($B251,'Cronog. e Histog.'!$BZ:$BZ,'Cronog. e Histog.'!DJ:DJ),"")</f>
        <v>0</v>
      </c>
      <c r="AP251" s="144">
        <f>IFERROR(_xlfn.XLOOKUP($B251,'Cronog. e Histog.'!$BZ:$BZ,'Cronog. e Histog.'!DK:DK),"")</f>
        <v>0</v>
      </c>
      <c r="AQ251" s="144">
        <f>IFERROR(_xlfn.XLOOKUP($B251,'Cronog. e Histog.'!$BZ:$BZ,'Cronog. e Histog.'!DL:DL),"")</f>
        <v>0</v>
      </c>
      <c r="AR251" s="144">
        <f>IFERROR(_xlfn.XLOOKUP($B251,'Cronog. e Histog.'!$BZ:$BZ,'Cronog. e Histog.'!DM:DM),"")</f>
        <v>0</v>
      </c>
      <c r="AS251" s="144">
        <f>IFERROR(_xlfn.XLOOKUP($B251,'Cronog. e Histog.'!$BZ:$BZ,'Cronog. e Histog.'!DN:DN),"")</f>
        <v>0</v>
      </c>
      <c r="AT251" s="144">
        <f>IFERROR(_xlfn.XLOOKUP($B251,'Cronog. e Histog.'!$BZ:$BZ,'Cronog. e Histog.'!DO:DO),"")</f>
        <v>0</v>
      </c>
      <c r="AU251" s="144">
        <f>IFERROR(_xlfn.XLOOKUP($B251,'Cronog. e Histog.'!$BZ:$BZ,'Cronog. e Histog.'!DP:DP),"")</f>
        <v>0</v>
      </c>
      <c r="AV251" s="144">
        <f>IFERROR(_xlfn.XLOOKUP($B251,'Cronog. e Histog.'!$BZ:$BZ,'Cronog. e Histog.'!DQ:DQ),"")</f>
        <v>0</v>
      </c>
      <c r="AW251" s="144">
        <f>IFERROR(_xlfn.XLOOKUP($B251,'Cronog. e Histog.'!$BZ:$BZ,'Cronog. e Histog.'!DR:DR),"")</f>
        <v>0</v>
      </c>
      <c r="AX251" s="144">
        <f>IFERROR(_xlfn.XLOOKUP($B251,'Cronog. e Histog.'!$BZ:$BZ,'Cronog. e Histog.'!DS:DS),"")</f>
        <v>0</v>
      </c>
      <c r="AY251" s="144">
        <f>IFERROR(_xlfn.XLOOKUP($B251,'Cronog. e Histog.'!$BZ:$BZ,'Cronog. e Histog.'!DT:DT),"")</f>
        <v>0</v>
      </c>
      <c r="AZ251" s="144">
        <f>IFERROR(_xlfn.XLOOKUP($B251,'Cronog. e Histog.'!$BZ:$BZ,'Cronog. e Histog.'!DU:DU),"")</f>
        <v>0</v>
      </c>
      <c r="BA251" s="144">
        <f>IFERROR(_xlfn.XLOOKUP($B251,'Cronog. e Histog.'!$BZ:$BZ,'Cronog. e Histog.'!DV:DV),"")</f>
        <v>0</v>
      </c>
      <c r="BB251" s="144">
        <f>IFERROR(_xlfn.XLOOKUP($B251,'Cronog. e Histog.'!$BZ:$BZ,'Cronog. e Histog.'!DW:DW),"")</f>
        <v>0</v>
      </c>
      <c r="BC251" s="144">
        <f>IFERROR(_xlfn.XLOOKUP($B251,'Cronog. e Histog.'!$BZ:$BZ,'Cronog. e Histog.'!DX:DX),"")</f>
        <v>0</v>
      </c>
      <c r="BD251" s="144">
        <f>IFERROR(_xlfn.XLOOKUP($B251,'Cronog. e Histog.'!$BZ:$BZ,'Cronog. e Histog.'!DY:DY),"")</f>
        <v>0</v>
      </c>
      <c r="BE251" s="144">
        <f>IFERROR(_xlfn.XLOOKUP($B251,'Cronog. e Histog.'!$BZ:$BZ,'Cronog. e Histog.'!DZ:DZ),"")</f>
        <v>0</v>
      </c>
      <c r="BF251" s="144">
        <f>IFERROR(_xlfn.XLOOKUP($B251,'Cronog. e Histog.'!$BZ:$BZ,'Cronog. e Histog.'!EA:EA),"")</f>
        <v>0</v>
      </c>
      <c r="BG251" s="144">
        <f>IFERROR(_xlfn.XLOOKUP($B251,'Cronog. e Histog.'!$BZ:$BZ,'Cronog. e Histog.'!EB:EB),"")</f>
        <v>0</v>
      </c>
      <c r="BH251" s="144">
        <f>IFERROR(_xlfn.XLOOKUP($B251,'Cronog. e Histog.'!$BZ:$BZ,'Cronog. e Histog.'!EC:EC),"")</f>
        <v>0</v>
      </c>
      <c r="BI251" s="144">
        <f>IFERROR(_xlfn.XLOOKUP($B251,'Cronog. e Histog.'!$BZ:$BZ,'Cronog. e Histog.'!ED:ED),"")</f>
        <v>0</v>
      </c>
      <c r="BJ251" s="144">
        <f>IFERROR(_xlfn.XLOOKUP($B251,'Cronog. e Histog.'!$BZ:$BZ,'Cronog. e Histog.'!EE:EE),"")</f>
        <v>0</v>
      </c>
      <c r="BK251" s="144">
        <f>IFERROR(_xlfn.XLOOKUP($B251,'Cronog. e Histog.'!$BZ:$BZ,'Cronog. e Histog.'!EF:EF),"")</f>
        <v>0</v>
      </c>
      <c r="BL251" s="144">
        <f>IFERROR(_xlfn.XLOOKUP($B251,'Cronog. e Histog.'!$BZ:$BZ,'Cronog. e Histog.'!EG:EG),"")</f>
        <v>0</v>
      </c>
      <c r="BM251" s="144">
        <f>IFERROR(_xlfn.XLOOKUP($B251,'Cronog. e Histog.'!$BZ:$BZ,'Cronog. e Histog.'!EH:EH),"")</f>
        <v>0</v>
      </c>
      <c r="BN251" s="144">
        <f>IFERROR(_xlfn.XLOOKUP($B251,'Cronog. e Histog.'!$BZ:$BZ,'Cronog. e Histog.'!EI:EI),"")</f>
        <v>0</v>
      </c>
    </row>
    <row r="252" spans="2:66" ht="12" hidden="1" customHeight="1" outlineLevel="1">
      <c r="B252" s="76">
        <v>246</v>
      </c>
      <c r="C252" s="143" t="str">
        <f>IFERROR(VLOOKUP(B252,'Cronog. e Histog.'!$BZ$213:$CA$747,2,0),"")</f>
        <v>ENG/ARQ JR.</v>
      </c>
      <c r="D252" s="144">
        <f t="shared" si="6"/>
        <v>0</v>
      </c>
      <c r="E252" s="144">
        <f t="shared" si="7"/>
        <v>0</v>
      </c>
      <c r="F252" s="65"/>
      <c r="G252" s="144">
        <f>IFERROR(_xlfn.XLOOKUP($B252,'Cronog. e Histog.'!$BZ:$BZ,'Cronog. e Histog.'!CB:CB),"")</f>
        <v>0</v>
      </c>
      <c r="H252" s="144">
        <f>IFERROR(_xlfn.XLOOKUP($B252,'Cronog. e Histog.'!$BZ:$BZ,'Cronog. e Histog.'!CC:CC),"")</f>
        <v>0</v>
      </c>
      <c r="I252" s="144">
        <f>IFERROR(_xlfn.XLOOKUP($B252,'Cronog. e Histog.'!$BZ:$BZ,'Cronog. e Histog.'!CD:CD),"")</f>
        <v>0</v>
      </c>
      <c r="J252" s="144">
        <f>IFERROR(_xlfn.XLOOKUP($B252,'Cronog. e Histog.'!$BZ:$BZ,'Cronog. e Histog.'!CE:CE),"")</f>
        <v>0</v>
      </c>
      <c r="K252" s="144">
        <f>IFERROR(_xlfn.XLOOKUP($B252,'Cronog. e Histog.'!$BZ:$BZ,'Cronog. e Histog.'!CF:CF),"")</f>
        <v>0</v>
      </c>
      <c r="L252" s="144">
        <f>IFERROR(_xlfn.XLOOKUP($B252,'Cronog. e Histog.'!$BZ:$BZ,'Cronog. e Histog.'!CG:CG),"")</f>
        <v>0</v>
      </c>
      <c r="M252" s="144">
        <f>IFERROR(_xlfn.XLOOKUP($B252,'Cronog. e Histog.'!$BZ:$BZ,'Cronog. e Histog.'!CH:CH),"")</f>
        <v>0</v>
      </c>
      <c r="N252" s="144">
        <f>IFERROR(_xlfn.XLOOKUP($B252,'Cronog. e Histog.'!$BZ:$BZ,'Cronog. e Histog.'!CI:CI),"")</f>
        <v>0</v>
      </c>
      <c r="O252" s="144">
        <f>IFERROR(_xlfn.XLOOKUP($B252,'Cronog. e Histog.'!$BZ:$BZ,'Cronog. e Histog.'!CJ:CJ),"")</f>
        <v>0</v>
      </c>
      <c r="P252" s="144">
        <f>IFERROR(_xlfn.XLOOKUP($B252,'Cronog. e Histog.'!$BZ:$BZ,'Cronog. e Histog.'!CK:CK),"")</f>
        <v>0</v>
      </c>
      <c r="Q252" s="144">
        <f>IFERROR(_xlfn.XLOOKUP($B252,'Cronog. e Histog.'!$BZ:$BZ,'Cronog. e Histog.'!CL:CL),"")</f>
        <v>0</v>
      </c>
      <c r="R252" s="144">
        <f>IFERROR(_xlfn.XLOOKUP($B252,'Cronog. e Histog.'!$BZ:$BZ,'Cronog. e Histog.'!CM:CM),"")</f>
        <v>0</v>
      </c>
      <c r="S252" s="144">
        <f>IFERROR(_xlfn.XLOOKUP($B252,'Cronog. e Histog.'!$BZ:$BZ,'Cronog. e Histog.'!CN:CN),"")</f>
        <v>0</v>
      </c>
      <c r="T252" s="144">
        <f>IFERROR(_xlfn.XLOOKUP($B252,'Cronog. e Histog.'!$BZ:$BZ,'Cronog. e Histog.'!CO:CO),"")</f>
        <v>0</v>
      </c>
      <c r="U252" s="144">
        <f>IFERROR(_xlfn.XLOOKUP($B252,'Cronog. e Histog.'!$BZ:$BZ,'Cronog. e Histog.'!CP:CP),"")</f>
        <v>0</v>
      </c>
      <c r="V252" s="144">
        <f>IFERROR(_xlfn.XLOOKUP($B252,'Cronog. e Histog.'!$BZ:$BZ,'Cronog. e Histog.'!CQ:CQ),"")</f>
        <v>0</v>
      </c>
      <c r="W252" s="144">
        <f>IFERROR(_xlfn.XLOOKUP($B252,'Cronog. e Histog.'!$BZ:$BZ,'Cronog. e Histog.'!CR:CR),"")</f>
        <v>0</v>
      </c>
      <c r="X252" s="144">
        <f>IFERROR(_xlfn.XLOOKUP($B252,'Cronog. e Histog.'!$BZ:$BZ,'Cronog. e Histog.'!CS:CS),"")</f>
        <v>0</v>
      </c>
      <c r="Y252" s="144">
        <f>IFERROR(_xlfn.XLOOKUP($B252,'Cronog. e Histog.'!$BZ:$BZ,'Cronog. e Histog.'!CT:CT),"")</f>
        <v>0</v>
      </c>
      <c r="Z252" s="144">
        <f>IFERROR(_xlfn.XLOOKUP($B252,'Cronog. e Histog.'!$BZ:$BZ,'Cronog. e Histog.'!CU:CU),"")</f>
        <v>0</v>
      </c>
      <c r="AA252" s="144">
        <f>IFERROR(_xlfn.XLOOKUP($B252,'Cronog. e Histog.'!$BZ:$BZ,'Cronog. e Histog.'!CV:CV),"")</f>
        <v>0</v>
      </c>
      <c r="AB252" s="144">
        <f>IFERROR(_xlfn.XLOOKUP($B252,'Cronog. e Histog.'!$BZ:$BZ,'Cronog. e Histog.'!CW:CW),"")</f>
        <v>0</v>
      </c>
      <c r="AC252" s="144">
        <f>IFERROR(_xlfn.XLOOKUP($B252,'Cronog. e Histog.'!$BZ:$BZ,'Cronog. e Histog.'!CX:CX),"")</f>
        <v>0</v>
      </c>
      <c r="AD252" s="144">
        <f>IFERROR(_xlfn.XLOOKUP($B252,'Cronog. e Histog.'!$BZ:$BZ,'Cronog. e Histog.'!CY:CY),"")</f>
        <v>0</v>
      </c>
      <c r="AE252" s="144">
        <f>IFERROR(_xlfn.XLOOKUP($B252,'Cronog. e Histog.'!$BZ:$BZ,'Cronog. e Histog.'!CZ:CZ),"")</f>
        <v>0</v>
      </c>
      <c r="AF252" s="144">
        <f>IFERROR(_xlfn.XLOOKUP($B252,'Cronog. e Histog.'!$BZ:$BZ,'Cronog. e Histog.'!DA:DA),"")</f>
        <v>0</v>
      </c>
      <c r="AG252" s="144">
        <f>IFERROR(_xlfn.XLOOKUP($B252,'Cronog. e Histog.'!$BZ:$BZ,'Cronog. e Histog.'!DB:DB),"")</f>
        <v>0</v>
      </c>
      <c r="AH252" s="144">
        <f>IFERROR(_xlfn.XLOOKUP($B252,'Cronog. e Histog.'!$BZ:$BZ,'Cronog. e Histog.'!DC:DC),"")</f>
        <v>0</v>
      </c>
      <c r="AI252" s="144">
        <f>IFERROR(_xlfn.XLOOKUP($B252,'Cronog. e Histog.'!$BZ:$BZ,'Cronog. e Histog.'!DD:DD),"")</f>
        <v>0</v>
      </c>
      <c r="AJ252" s="144">
        <f>IFERROR(_xlfn.XLOOKUP($B252,'Cronog. e Histog.'!$BZ:$BZ,'Cronog. e Histog.'!DE:DE),"")</f>
        <v>0</v>
      </c>
      <c r="AK252" s="144">
        <f>IFERROR(_xlfn.XLOOKUP($B252,'Cronog. e Histog.'!$BZ:$BZ,'Cronog. e Histog.'!DF:DF),"")</f>
        <v>0</v>
      </c>
      <c r="AL252" s="144">
        <f>IFERROR(_xlfn.XLOOKUP($B252,'Cronog. e Histog.'!$BZ:$BZ,'Cronog. e Histog.'!DG:DG),"")</f>
        <v>0</v>
      </c>
      <c r="AM252" s="144">
        <f>IFERROR(_xlfn.XLOOKUP($B252,'Cronog. e Histog.'!$BZ:$BZ,'Cronog. e Histog.'!DH:DH),"")</f>
        <v>0</v>
      </c>
      <c r="AN252" s="144">
        <f>IFERROR(_xlfn.XLOOKUP($B252,'Cronog. e Histog.'!$BZ:$BZ,'Cronog. e Histog.'!DI:DI),"")</f>
        <v>0</v>
      </c>
      <c r="AO252" s="144">
        <f>IFERROR(_xlfn.XLOOKUP($B252,'Cronog. e Histog.'!$BZ:$BZ,'Cronog. e Histog.'!DJ:DJ),"")</f>
        <v>0</v>
      </c>
      <c r="AP252" s="144">
        <f>IFERROR(_xlfn.XLOOKUP($B252,'Cronog. e Histog.'!$BZ:$BZ,'Cronog. e Histog.'!DK:DK),"")</f>
        <v>0</v>
      </c>
      <c r="AQ252" s="144">
        <f>IFERROR(_xlfn.XLOOKUP($B252,'Cronog. e Histog.'!$BZ:$BZ,'Cronog. e Histog.'!DL:DL),"")</f>
        <v>0</v>
      </c>
      <c r="AR252" s="144">
        <f>IFERROR(_xlfn.XLOOKUP($B252,'Cronog. e Histog.'!$BZ:$BZ,'Cronog. e Histog.'!DM:DM),"")</f>
        <v>0</v>
      </c>
      <c r="AS252" s="144">
        <f>IFERROR(_xlfn.XLOOKUP($B252,'Cronog. e Histog.'!$BZ:$BZ,'Cronog. e Histog.'!DN:DN),"")</f>
        <v>0</v>
      </c>
      <c r="AT252" s="144">
        <f>IFERROR(_xlfn.XLOOKUP($B252,'Cronog. e Histog.'!$BZ:$BZ,'Cronog. e Histog.'!DO:DO),"")</f>
        <v>0</v>
      </c>
      <c r="AU252" s="144">
        <f>IFERROR(_xlfn.XLOOKUP($B252,'Cronog. e Histog.'!$BZ:$BZ,'Cronog. e Histog.'!DP:DP),"")</f>
        <v>0</v>
      </c>
      <c r="AV252" s="144">
        <f>IFERROR(_xlfn.XLOOKUP($B252,'Cronog. e Histog.'!$BZ:$BZ,'Cronog. e Histog.'!DQ:DQ),"")</f>
        <v>0</v>
      </c>
      <c r="AW252" s="144">
        <f>IFERROR(_xlfn.XLOOKUP($B252,'Cronog. e Histog.'!$BZ:$BZ,'Cronog. e Histog.'!DR:DR),"")</f>
        <v>0</v>
      </c>
      <c r="AX252" s="144">
        <f>IFERROR(_xlfn.XLOOKUP($B252,'Cronog. e Histog.'!$BZ:$BZ,'Cronog. e Histog.'!DS:DS),"")</f>
        <v>0</v>
      </c>
      <c r="AY252" s="144">
        <f>IFERROR(_xlfn.XLOOKUP($B252,'Cronog. e Histog.'!$BZ:$BZ,'Cronog. e Histog.'!DT:DT),"")</f>
        <v>0</v>
      </c>
      <c r="AZ252" s="144">
        <f>IFERROR(_xlfn.XLOOKUP($B252,'Cronog. e Histog.'!$BZ:$BZ,'Cronog. e Histog.'!DU:DU),"")</f>
        <v>0</v>
      </c>
      <c r="BA252" s="144">
        <f>IFERROR(_xlfn.XLOOKUP($B252,'Cronog. e Histog.'!$BZ:$BZ,'Cronog. e Histog.'!DV:DV),"")</f>
        <v>0</v>
      </c>
      <c r="BB252" s="144">
        <f>IFERROR(_xlfn.XLOOKUP($B252,'Cronog. e Histog.'!$BZ:$BZ,'Cronog. e Histog.'!DW:DW),"")</f>
        <v>0</v>
      </c>
      <c r="BC252" s="144">
        <f>IFERROR(_xlfn.XLOOKUP($B252,'Cronog. e Histog.'!$BZ:$BZ,'Cronog. e Histog.'!DX:DX),"")</f>
        <v>0</v>
      </c>
      <c r="BD252" s="144">
        <f>IFERROR(_xlfn.XLOOKUP($B252,'Cronog. e Histog.'!$BZ:$BZ,'Cronog. e Histog.'!DY:DY),"")</f>
        <v>0</v>
      </c>
      <c r="BE252" s="144">
        <f>IFERROR(_xlfn.XLOOKUP($B252,'Cronog. e Histog.'!$BZ:$BZ,'Cronog. e Histog.'!DZ:DZ),"")</f>
        <v>0</v>
      </c>
      <c r="BF252" s="144">
        <f>IFERROR(_xlfn.XLOOKUP($B252,'Cronog. e Histog.'!$BZ:$BZ,'Cronog. e Histog.'!EA:EA),"")</f>
        <v>0</v>
      </c>
      <c r="BG252" s="144">
        <f>IFERROR(_xlfn.XLOOKUP($B252,'Cronog. e Histog.'!$BZ:$BZ,'Cronog. e Histog.'!EB:EB),"")</f>
        <v>0</v>
      </c>
      <c r="BH252" s="144">
        <f>IFERROR(_xlfn.XLOOKUP($B252,'Cronog. e Histog.'!$BZ:$BZ,'Cronog. e Histog.'!EC:EC),"")</f>
        <v>0</v>
      </c>
      <c r="BI252" s="144">
        <f>IFERROR(_xlfn.XLOOKUP($B252,'Cronog. e Histog.'!$BZ:$BZ,'Cronog. e Histog.'!ED:ED),"")</f>
        <v>0</v>
      </c>
      <c r="BJ252" s="144">
        <f>IFERROR(_xlfn.XLOOKUP($B252,'Cronog. e Histog.'!$BZ:$BZ,'Cronog. e Histog.'!EE:EE),"")</f>
        <v>0</v>
      </c>
      <c r="BK252" s="144">
        <f>IFERROR(_xlfn.XLOOKUP($B252,'Cronog. e Histog.'!$BZ:$BZ,'Cronog. e Histog.'!EF:EF),"")</f>
        <v>0</v>
      </c>
      <c r="BL252" s="144">
        <f>IFERROR(_xlfn.XLOOKUP($B252,'Cronog. e Histog.'!$BZ:$BZ,'Cronog. e Histog.'!EG:EG),"")</f>
        <v>0</v>
      </c>
      <c r="BM252" s="144">
        <f>IFERROR(_xlfn.XLOOKUP($B252,'Cronog. e Histog.'!$BZ:$BZ,'Cronog. e Histog.'!EH:EH),"")</f>
        <v>0</v>
      </c>
      <c r="BN252" s="144">
        <f>IFERROR(_xlfn.XLOOKUP($B252,'Cronog. e Histog.'!$BZ:$BZ,'Cronog. e Histog.'!EI:EI),"")</f>
        <v>0</v>
      </c>
    </row>
    <row r="253" spans="2:66" ht="12" hidden="1" customHeight="1" outlineLevel="1">
      <c r="B253" s="76">
        <v>247</v>
      </c>
      <c r="C253" s="143" t="str">
        <f>IFERROR(VLOOKUP(B253,'Cronog. e Histog.'!$BZ$213:$CA$747,2,0),"")</f>
        <v>AN SR. ENG/ARQ</v>
      </c>
      <c r="D253" s="144">
        <f t="shared" si="6"/>
        <v>0</v>
      </c>
      <c r="E253" s="144">
        <f t="shared" si="7"/>
        <v>0</v>
      </c>
      <c r="F253" s="65"/>
      <c r="G253" s="144">
        <f>IFERROR(_xlfn.XLOOKUP($B253,'Cronog. e Histog.'!$BZ:$BZ,'Cronog. e Histog.'!CB:CB),"")</f>
        <v>0</v>
      </c>
      <c r="H253" s="144">
        <f>IFERROR(_xlfn.XLOOKUP($B253,'Cronog. e Histog.'!$BZ:$BZ,'Cronog. e Histog.'!CC:CC),"")</f>
        <v>0</v>
      </c>
      <c r="I253" s="144">
        <f>IFERROR(_xlfn.XLOOKUP($B253,'Cronog. e Histog.'!$BZ:$BZ,'Cronog. e Histog.'!CD:CD),"")</f>
        <v>0</v>
      </c>
      <c r="J253" s="144">
        <f>IFERROR(_xlfn.XLOOKUP($B253,'Cronog. e Histog.'!$BZ:$BZ,'Cronog. e Histog.'!CE:CE),"")</f>
        <v>0</v>
      </c>
      <c r="K253" s="144">
        <f>IFERROR(_xlfn.XLOOKUP($B253,'Cronog. e Histog.'!$BZ:$BZ,'Cronog. e Histog.'!CF:CF),"")</f>
        <v>0</v>
      </c>
      <c r="L253" s="144">
        <f>IFERROR(_xlfn.XLOOKUP($B253,'Cronog. e Histog.'!$BZ:$BZ,'Cronog. e Histog.'!CG:CG),"")</f>
        <v>0</v>
      </c>
      <c r="M253" s="144">
        <f>IFERROR(_xlfn.XLOOKUP($B253,'Cronog. e Histog.'!$BZ:$BZ,'Cronog. e Histog.'!CH:CH),"")</f>
        <v>0</v>
      </c>
      <c r="N253" s="144">
        <f>IFERROR(_xlfn.XLOOKUP($B253,'Cronog. e Histog.'!$BZ:$BZ,'Cronog. e Histog.'!CI:CI),"")</f>
        <v>0</v>
      </c>
      <c r="O253" s="144">
        <f>IFERROR(_xlfn.XLOOKUP($B253,'Cronog. e Histog.'!$BZ:$BZ,'Cronog. e Histog.'!CJ:CJ),"")</f>
        <v>0</v>
      </c>
      <c r="P253" s="144">
        <f>IFERROR(_xlfn.XLOOKUP($B253,'Cronog. e Histog.'!$BZ:$BZ,'Cronog. e Histog.'!CK:CK),"")</f>
        <v>0</v>
      </c>
      <c r="Q253" s="144">
        <f>IFERROR(_xlfn.XLOOKUP($B253,'Cronog. e Histog.'!$BZ:$BZ,'Cronog. e Histog.'!CL:CL),"")</f>
        <v>0</v>
      </c>
      <c r="R253" s="144">
        <f>IFERROR(_xlfn.XLOOKUP($B253,'Cronog. e Histog.'!$BZ:$BZ,'Cronog. e Histog.'!CM:CM),"")</f>
        <v>0</v>
      </c>
      <c r="S253" s="144">
        <f>IFERROR(_xlfn.XLOOKUP($B253,'Cronog. e Histog.'!$BZ:$BZ,'Cronog. e Histog.'!CN:CN),"")</f>
        <v>0</v>
      </c>
      <c r="T253" s="144">
        <f>IFERROR(_xlfn.XLOOKUP($B253,'Cronog. e Histog.'!$BZ:$BZ,'Cronog. e Histog.'!CO:CO),"")</f>
        <v>0</v>
      </c>
      <c r="U253" s="144">
        <f>IFERROR(_xlfn.XLOOKUP($B253,'Cronog. e Histog.'!$BZ:$BZ,'Cronog. e Histog.'!CP:CP),"")</f>
        <v>0</v>
      </c>
      <c r="V253" s="144">
        <f>IFERROR(_xlfn.XLOOKUP($B253,'Cronog. e Histog.'!$BZ:$BZ,'Cronog. e Histog.'!CQ:CQ),"")</f>
        <v>0</v>
      </c>
      <c r="W253" s="144">
        <f>IFERROR(_xlfn.XLOOKUP($B253,'Cronog. e Histog.'!$BZ:$BZ,'Cronog. e Histog.'!CR:CR),"")</f>
        <v>0</v>
      </c>
      <c r="X253" s="144">
        <f>IFERROR(_xlfn.XLOOKUP($B253,'Cronog. e Histog.'!$BZ:$BZ,'Cronog. e Histog.'!CS:CS),"")</f>
        <v>0</v>
      </c>
      <c r="Y253" s="144">
        <f>IFERROR(_xlfn.XLOOKUP($B253,'Cronog. e Histog.'!$BZ:$BZ,'Cronog. e Histog.'!CT:CT),"")</f>
        <v>0</v>
      </c>
      <c r="Z253" s="144">
        <f>IFERROR(_xlfn.XLOOKUP($B253,'Cronog. e Histog.'!$BZ:$BZ,'Cronog. e Histog.'!CU:CU),"")</f>
        <v>0</v>
      </c>
      <c r="AA253" s="144">
        <f>IFERROR(_xlfn.XLOOKUP($B253,'Cronog. e Histog.'!$BZ:$BZ,'Cronog. e Histog.'!CV:CV),"")</f>
        <v>0</v>
      </c>
      <c r="AB253" s="144">
        <f>IFERROR(_xlfn.XLOOKUP($B253,'Cronog. e Histog.'!$BZ:$BZ,'Cronog. e Histog.'!CW:CW),"")</f>
        <v>0</v>
      </c>
      <c r="AC253" s="144">
        <f>IFERROR(_xlfn.XLOOKUP($B253,'Cronog. e Histog.'!$BZ:$BZ,'Cronog. e Histog.'!CX:CX),"")</f>
        <v>0</v>
      </c>
      <c r="AD253" s="144">
        <f>IFERROR(_xlfn.XLOOKUP($B253,'Cronog. e Histog.'!$BZ:$BZ,'Cronog. e Histog.'!CY:CY),"")</f>
        <v>0</v>
      </c>
      <c r="AE253" s="144">
        <f>IFERROR(_xlfn.XLOOKUP($B253,'Cronog. e Histog.'!$BZ:$BZ,'Cronog. e Histog.'!CZ:CZ),"")</f>
        <v>0</v>
      </c>
      <c r="AF253" s="144">
        <f>IFERROR(_xlfn.XLOOKUP($B253,'Cronog. e Histog.'!$BZ:$BZ,'Cronog. e Histog.'!DA:DA),"")</f>
        <v>0</v>
      </c>
      <c r="AG253" s="144">
        <f>IFERROR(_xlfn.XLOOKUP($B253,'Cronog. e Histog.'!$BZ:$BZ,'Cronog. e Histog.'!DB:DB),"")</f>
        <v>0</v>
      </c>
      <c r="AH253" s="144">
        <f>IFERROR(_xlfn.XLOOKUP($B253,'Cronog. e Histog.'!$BZ:$BZ,'Cronog. e Histog.'!DC:DC),"")</f>
        <v>0</v>
      </c>
      <c r="AI253" s="144">
        <f>IFERROR(_xlfn.XLOOKUP($B253,'Cronog. e Histog.'!$BZ:$BZ,'Cronog. e Histog.'!DD:DD),"")</f>
        <v>0</v>
      </c>
      <c r="AJ253" s="144">
        <f>IFERROR(_xlfn.XLOOKUP($B253,'Cronog. e Histog.'!$BZ:$BZ,'Cronog. e Histog.'!DE:DE),"")</f>
        <v>0</v>
      </c>
      <c r="AK253" s="144">
        <f>IFERROR(_xlfn.XLOOKUP($B253,'Cronog. e Histog.'!$BZ:$BZ,'Cronog. e Histog.'!DF:DF),"")</f>
        <v>0</v>
      </c>
      <c r="AL253" s="144">
        <f>IFERROR(_xlfn.XLOOKUP($B253,'Cronog. e Histog.'!$BZ:$BZ,'Cronog. e Histog.'!DG:DG),"")</f>
        <v>0</v>
      </c>
      <c r="AM253" s="144">
        <f>IFERROR(_xlfn.XLOOKUP($B253,'Cronog. e Histog.'!$BZ:$BZ,'Cronog. e Histog.'!DH:DH),"")</f>
        <v>0</v>
      </c>
      <c r="AN253" s="144">
        <f>IFERROR(_xlfn.XLOOKUP($B253,'Cronog. e Histog.'!$BZ:$BZ,'Cronog. e Histog.'!DI:DI),"")</f>
        <v>0</v>
      </c>
      <c r="AO253" s="144">
        <f>IFERROR(_xlfn.XLOOKUP($B253,'Cronog. e Histog.'!$BZ:$BZ,'Cronog. e Histog.'!DJ:DJ),"")</f>
        <v>0</v>
      </c>
      <c r="AP253" s="144">
        <f>IFERROR(_xlfn.XLOOKUP($B253,'Cronog. e Histog.'!$BZ:$BZ,'Cronog. e Histog.'!DK:DK),"")</f>
        <v>0</v>
      </c>
      <c r="AQ253" s="144">
        <f>IFERROR(_xlfn.XLOOKUP($B253,'Cronog. e Histog.'!$BZ:$BZ,'Cronog. e Histog.'!DL:DL),"")</f>
        <v>0</v>
      </c>
      <c r="AR253" s="144">
        <f>IFERROR(_xlfn.XLOOKUP($B253,'Cronog. e Histog.'!$BZ:$BZ,'Cronog. e Histog.'!DM:DM),"")</f>
        <v>0</v>
      </c>
      <c r="AS253" s="144">
        <f>IFERROR(_xlfn.XLOOKUP($B253,'Cronog. e Histog.'!$BZ:$BZ,'Cronog. e Histog.'!DN:DN),"")</f>
        <v>0</v>
      </c>
      <c r="AT253" s="144">
        <f>IFERROR(_xlfn.XLOOKUP($B253,'Cronog. e Histog.'!$BZ:$BZ,'Cronog. e Histog.'!DO:DO),"")</f>
        <v>0</v>
      </c>
      <c r="AU253" s="144">
        <f>IFERROR(_xlfn.XLOOKUP($B253,'Cronog. e Histog.'!$BZ:$BZ,'Cronog. e Histog.'!DP:DP),"")</f>
        <v>0</v>
      </c>
      <c r="AV253" s="144">
        <f>IFERROR(_xlfn.XLOOKUP($B253,'Cronog. e Histog.'!$BZ:$BZ,'Cronog. e Histog.'!DQ:DQ),"")</f>
        <v>0</v>
      </c>
      <c r="AW253" s="144">
        <f>IFERROR(_xlfn.XLOOKUP($B253,'Cronog. e Histog.'!$BZ:$BZ,'Cronog. e Histog.'!DR:DR),"")</f>
        <v>0</v>
      </c>
      <c r="AX253" s="144">
        <f>IFERROR(_xlfn.XLOOKUP($B253,'Cronog. e Histog.'!$BZ:$BZ,'Cronog. e Histog.'!DS:DS),"")</f>
        <v>0</v>
      </c>
      <c r="AY253" s="144">
        <f>IFERROR(_xlfn.XLOOKUP($B253,'Cronog. e Histog.'!$BZ:$BZ,'Cronog. e Histog.'!DT:DT),"")</f>
        <v>0</v>
      </c>
      <c r="AZ253" s="144">
        <f>IFERROR(_xlfn.XLOOKUP($B253,'Cronog. e Histog.'!$BZ:$BZ,'Cronog. e Histog.'!DU:DU),"")</f>
        <v>0</v>
      </c>
      <c r="BA253" s="144">
        <f>IFERROR(_xlfn.XLOOKUP($B253,'Cronog. e Histog.'!$BZ:$BZ,'Cronog. e Histog.'!DV:DV),"")</f>
        <v>0</v>
      </c>
      <c r="BB253" s="144">
        <f>IFERROR(_xlfn.XLOOKUP($B253,'Cronog. e Histog.'!$BZ:$BZ,'Cronog. e Histog.'!DW:DW),"")</f>
        <v>0</v>
      </c>
      <c r="BC253" s="144">
        <f>IFERROR(_xlfn.XLOOKUP($B253,'Cronog. e Histog.'!$BZ:$BZ,'Cronog. e Histog.'!DX:DX),"")</f>
        <v>0</v>
      </c>
      <c r="BD253" s="144">
        <f>IFERROR(_xlfn.XLOOKUP($B253,'Cronog. e Histog.'!$BZ:$BZ,'Cronog. e Histog.'!DY:DY),"")</f>
        <v>0</v>
      </c>
      <c r="BE253" s="144">
        <f>IFERROR(_xlfn.XLOOKUP($B253,'Cronog. e Histog.'!$BZ:$BZ,'Cronog. e Histog.'!DZ:DZ),"")</f>
        <v>0</v>
      </c>
      <c r="BF253" s="144">
        <f>IFERROR(_xlfn.XLOOKUP($B253,'Cronog. e Histog.'!$BZ:$BZ,'Cronog. e Histog.'!EA:EA),"")</f>
        <v>0</v>
      </c>
      <c r="BG253" s="144">
        <f>IFERROR(_xlfn.XLOOKUP($B253,'Cronog. e Histog.'!$BZ:$BZ,'Cronog. e Histog.'!EB:EB),"")</f>
        <v>0</v>
      </c>
      <c r="BH253" s="144">
        <f>IFERROR(_xlfn.XLOOKUP($B253,'Cronog. e Histog.'!$BZ:$BZ,'Cronog. e Histog.'!EC:EC),"")</f>
        <v>0</v>
      </c>
      <c r="BI253" s="144">
        <f>IFERROR(_xlfn.XLOOKUP($B253,'Cronog. e Histog.'!$BZ:$BZ,'Cronog. e Histog.'!ED:ED),"")</f>
        <v>0</v>
      </c>
      <c r="BJ253" s="144">
        <f>IFERROR(_xlfn.XLOOKUP($B253,'Cronog. e Histog.'!$BZ:$BZ,'Cronog. e Histog.'!EE:EE),"")</f>
        <v>0</v>
      </c>
      <c r="BK253" s="144">
        <f>IFERROR(_xlfn.XLOOKUP($B253,'Cronog. e Histog.'!$BZ:$BZ,'Cronog. e Histog.'!EF:EF),"")</f>
        <v>0</v>
      </c>
      <c r="BL253" s="144">
        <f>IFERROR(_xlfn.XLOOKUP($B253,'Cronog. e Histog.'!$BZ:$BZ,'Cronog. e Histog.'!EG:EG),"")</f>
        <v>0</v>
      </c>
      <c r="BM253" s="144">
        <f>IFERROR(_xlfn.XLOOKUP($B253,'Cronog. e Histog.'!$BZ:$BZ,'Cronog. e Histog.'!EH:EH),"")</f>
        <v>0</v>
      </c>
      <c r="BN253" s="144">
        <f>IFERROR(_xlfn.XLOOKUP($B253,'Cronog. e Histog.'!$BZ:$BZ,'Cronog. e Histog.'!EI:EI),"")</f>
        <v>0</v>
      </c>
    </row>
    <row r="254" spans="2:66" ht="12" hidden="1" customHeight="1" outlineLevel="1">
      <c r="B254" s="76">
        <v>248</v>
      </c>
      <c r="C254" s="143" t="str">
        <f>IFERROR(VLOOKUP(B254,'Cronog. e Histog.'!$BZ$213:$CA$747,2,0),"")</f>
        <v>AN PL. ENG/ARQ</v>
      </c>
      <c r="D254" s="144">
        <f t="shared" si="6"/>
        <v>0</v>
      </c>
      <c r="E254" s="144">
        <f t="shared" si="7"/>
        <v>0</v>
      </c>
      <c r="F254" s="65"/>
      <c r="G254" s="144">
        <f>IFERROR(_xlfn.XLOOKUP($B254,'Cronog. e Histog.'!$BZ:$BZ,'Cronog. e Histog.'!CB:CB),"")</f>
        <v>0</v>
      </c>
      <c r="H254" s="144">
        <f>IFERROR(_xlfn.XLOOKUP($B254,'Cronog. e Histog.'!$BZ:$BZ,'Cronog. e Histog.'!CC:CC),"")</f>
        <v>0</v>
      </c>
      <c r="I254" s="144">
        <f>IFERROR(_xlfn.XLOOKUP($B254,'Cronog. e Histog.'!$BZ:$BZ,'Cronog. e Histog.'!CD:CD),"")</f>
        <v>0</v>
      </c>
      <c r="J254" s="144">
        <f>IFERROR(_xlfn.XLOOKUP($B254,'Cronog. e Histog.'!$BZ:$BZ,'Cronog. e Histog.'!CE:CE),"")</f>
        <v>0</v>
      </c>
      <c r="K254" s="144">
        <f>IFERROR(_xlfn.XLOOKUP($B254,'Cronog. e Histog.'!$BZ:$BZ,'Cronog. e Histog.'!CF:CF),"")</f>
        <v>0</v>
      </c>
      <c r="L254" s="144">
        <f>IFERROR(_xlfn.XLOOKUP($B254,'Cronog. e Histog.'!$BZ:$BZ,'Cronog. e Histog.'!CG:CG),"")</f>
        <v>0</v>
      </c>
      <c r="M254" s="144">
        <f>IFERROR(_xlfn.XLOOKUP($B254,'Cronog. e Histog.'!$BZ:$BZ,'Cronog. e Histog.'!CH:CH),"")</f>
        <v>0</v>
      </c>
      <c r="N254" s="144">
        <f>IFERROR(_xlfn.XLOOKUP($B254,'Cronog. e Histog.'!$BZ:$BZ,'Cronog. e Histog.'!CI:CI),"")</f>
        <v>0</v>
      </c>
      <c r="O254" s="144">
        <f>IFERROR(_xlfn.XLOOKUP($B254,'Cronog. e Histog.'!$BZ:$BZ,'Cronog. e Histog.'!CJ:CJ),"")</f>
        <v>0</v>
      </c>
      <c r="P254" s="144">
        <f>IFERROR(_xlfn.XLOOKUP($B254,'Cronog. e Histog.'!$BZ:$BZ,'Cronog. e Histog.'!CK:CK),"")</f>
        <v>0</v>
      </c>
      <c r="Q254" s="144">
        <f>IFERROR(_xlfn.XLOOKUP($B254,'Cronog. e Histog.'!$BZ:$BZ,'Cronog. e Histog.'!CL:CL),"")</f>
        <v>0</v>
      </c>
      <c r="R254" s="144">
        <f>IFERROR(_xlfn.XLOOKUP($B254,'Cronog. e Histog.'!$BZ:$BZ,'Cronog. e Histog.'!CM:CM),"")</f>
        <v>0</v>
      </c>
      <c r="S254" s="144">
        <f>IFERROR(_xlfn.XLOOKUP($B254,'Cronog. e Histog.'!$BZ:$BZ,'Cronog. e Histog.'!CN:CN),"")</f>
        <v>0</v>
      </c>
      <c r="T254" s="144">
        <f>IFERROR(_xlfn.XLOOKUP($B254,'Cronog. e Histog.'!$BZ:$BZ,'Cronog. e Histog.'!CO:CO),"")</f>
        <v>0</v>
      </c>
      <c r="U254" s="144">
        <f>IFERROR(_xlfn.XLOOKUP($B254,'Cronog. e Histog.'!$BZ:$BZ,'Cronog. e Histog.'!CP:CP),"")</f>
        <v>0</v>
      </c>
      <c r="V254" s="144">
        <f>IFERROR(_xlfn.XLOOKUP($B254,'Cronog. e Histog.'!$BZ:$BZ,'Cronog. e Histog.'!CQ:CQ),"")</f>
        <v>0</v>
      </c>
      <c r="W254" s="144">
        <f>IFERROR(_xlfn.XLOOKUP($B254,'Cronog. e Histog.'!$BZ:$BZ,'Cronog. e Histog.'!CR:CR),"")</f>
        <v>0</v>
      </c>
      <c r="X254" s="144">
        <f>IFERROR(_xlfn.XLOOKUP($B254,'Cronog. e Histog.'!$BZ:$BZ,'Cronog. e Histog.'!CS:CS),"")</f>
        <v>0</v>
      </c>
      <c r="Y254" s="144">
        <f>IFERROR(_xlfn.XLOOKUP($B254,'Cronog. e Histog.'!$BZ:$BZ,'Cronog. e Histog.'!CT:CT),"")</f>
        <v>0</v>
      </c>
      <c r="Z254" s="144">
        <f>IFERROR(_xlfn.XLOOKUP($B254,'Cronog. e Histog.'!$BZ:$BZ,'Cronog. e Histog.'!CU:CU),"")</f>
        <v>0</v>
      </c>
      <c r="AA254" s="144">
        <f>IFERROR(_xlfn.XLOOKUP($B254,'Cronog. e Histog.'!$BZ:$BZ,'Cronog. e Histog.'!CV:CV),"")</f>
        <v>0</v>
      </c>
      <c r="AB254" s="144">
        <f>IFERROR(_xlfn.XLOOKUP($B254,'Cronog. e Histog.'!$BZ:$BZ,'Cronog. e Histog.'!CW:CW),"")</f>
        <v>0</v>
      </c>
      <c r="AC254" s="144">
        <f>IFERROR(_xlfn.XLOOKUP($B254,'Cronog. e Histog.'!$BZ:$BZ,'Cronog. e Histog.'!CX:CX),"")</f>
        <v>0</v>
      </c>
      <c r="AD254" s="144">
        <f>IFERROR(_xlfn.XLOOKUP($B254,'Cronog. e Histog.'!$BZ:$BZ,'Cronog. e Histog.'!CY:CY),"")</f>
        <v>0</v>
      </c>
      <c r="AE254" s="144">
        <f>IFERROR(_xlfn.XLOOKUP($B254,'Cronog. e Histog.'!$BZ:$BZ,'Cronog. e Histog.'!CZ:CZ),"")</f>
        <v>0</v>
      </c>
      <c r="AF254" s="144">
        <f>IFERROR(_xlfn.XLOOKUP($B254,'Cronog. e Histog.'!$BZ:$BZ,'Cronog. e Histog.'!DA:DA),"")</f>
        <v>0</v>
      </c>
      <c r="AG254" s="144">
        <f>IFERROR(_xlfn.XLOOKUP($B254,'Cronog. e Histog.'!$BZ:$BZ,'Cronog. e Histog.'!DB:DB),"")</f>
        <v>0</v>
      </c>
      <c r="AH254" s="144">
        <f>IFERROR(_xlfn.XLOOKUP($B254,'Cronog. e Histog.'!$BZ:$BZ,'Cronog. e Histog.'!DC:DC),"")</f>
        <v>0</v>
      </c>
      <c r="AI254" s="144">
        <f>IFERROR(_xlfn.XLOOKUP($B254,'Cronog. e Histog.'!$BZ:$BZ,'Cronog. e Histog.'!DD:DD),"")</f>
        <v>0</v>
      </c>
      <c r="AJ254" s="144">
        <f>IFERROR(_xlfn.XLOOKUP($B254,'Cronog. e Histog.'!$BZ:$BZ,'Cronog. e Histog.'!DE:DE),"")</f>
        <v>0</v>
      </c>
      <c r="AK254" s="144">
        <f>IFERROR(_xlfn.XLOOKUP($B254,'Cronog. e Histog.'!$BZ:$BZ,'Cronog. e Histog.'!DF:DF),"")</f>
        <v>0</v>
      </c>
      <c r="AL254" s="144">
        <f>IFERROR(_xlfn.XLOOKUP($B254,'Cronog. e Histog.'!$BZ:$BZ,'Cronog. e Histog.'!DG:DG),"")</f>
        <v>0</v>
      </c>
      <c r="AM254" s="144">
        <f>IFERROR(_xlfn.XLOOKUP($B254,'Cronog. e Histog.'!$BZ:$BZ,'Cronog. e Histog.'!DH:DH),"")</f>
        <v>0</v>
      </c>
      <c r="AN254" s="144">
        <f>IFERROR(_xlfn.XLOOKUP($B254,'Cronog. e Histog.'!$BZ:$BZ,'Cronog. e Histog.'!DI:DI),"")</f>
        <v>0</v>
      </c>
      <c r="AO254" s="144">
        <f>IFERROR(_xlfn.XLOOKUP($B254,'Cronog. e Histog.'!$BZ:$BZ,'Cronog. e Histog.'!DJ:DJ),"")</f>
        <v>0</v>
      </c>
      <c r="AP254" s="144">
        <f>IFERROR(_xlfn.XLOOKUP($B254,'Cronog. e Histog.'!$BZ:$BZ,'Cronog. e Histog.'!DK:DK),"")</f>
        <v>0</v>
      </c>
      <c r="AQ254" s="144">
        <f>IFERROR(_xlfn.XLOOKUP($B254,'Cronog. e Histog.'!$BZ:$BZ,'Cronog. e Histog.'!DL:DL),"")</f>
        <v>0</v>
      </c>
      <c r="AR254" s="144">
        <f>IFERROR(_xlfn.XLOOKUP($B254,'Cronog. e Histog.'!$BZ:$BZ,'Cronog. e Histog.'!DM:DM),"")</f>
        <v>0</v>
      </c>
      <c r="AS254" s="144">
        <f>IFERROR(_xlfn.XLOOKUP($B254,'Cronog. e Histog.'!$BZ:$BZ,'Cronog. e Histog.'!DN:DN),"")</f>
        <v>0</v>
      </c>
      <c r="AT254" s="144">
        <f>IFERROR(_xlfn.XLOOKUP($B254,'Cronog. e Histog.'!$BZ:$BZ,'Cronog. e Histog.'!DO:DO),"")</f>
        <v>0</v>
      </c>
      <c r="AU254" s="144">
        <f>IFERROR(_xlfn.XLOOKUP($B254,'Cronog. e Histog.'!$BZ:$BZ,'Cronog. e Histog.'!DP:DP),"")</f>
        <v>0</v>
      </c>
      <c r="AV254" s="144">
        <f>IFERROR(_xlfn.XLOOKUP($B254,'Cronog. e Histog.'!$BZ:$BZ,'Cronog. e Histog.'!DQ:DQ),"")</f>
        <v>0</v>
      </c>
      <c r="AW254" s="144">
        <f>IFERROR(_xlfn.XLOOKUP($B254,'Cronog. e Histog.'!$BZ:$BZ,'Cronog. e Histog.'!DR:DR),"")</f>
        <v>0</v>
      </c>
      <c r="AX254" s="144">
        <f>IFERROR(_xlfn.XLOOKUP($B254,'Cronog. e Histog.'!$BZ:$BZ,'Cronog. e Histog.'!DS:DS),"")</f>
        <v>0</v>
      </c>
      <c r="AY254" s="144">
        <f>IFERROR(_xlfn.XLOOKUP($B254,'Cronog. e Histog.'!$BZ:$BZ,'Cronog. e Histog.'!DT:DT),"")</f>
        <v>0</v>
      </c>
      <c r="AZ254" s="144">
        <f>IFERROR(_xlfn.XLOOKUP($B254,'Cronog. e Histog.'!$BZ:$BZ,'Cronog. e Histog.'!DU:DU),"")</f>
        <v>0</v>
      </c>
      <c r="BA254" s="144">
        <f>IFERROR(_xlfn.XLOOKUP($B254,'Cronog. e Histog.'!$BZ:$BZ,'Cronog. e Histog.'!DV:DV),"")</f>
        <v>0</v>
      </c>
      <c r="BB254" s="144">
        <f>IFERROR(_xlfn.XLOOKUP($B254,'Cronog. e Histog.'!$BZ:$BZ,'Cronog. e Histog.'!DW:DW),"")</f>
        <v>0</v>
      </c>
      <c r="BC254" s="144">
        <f>IFERROR(_xlfn.XLOOKUP($B254,'Cronog. e Histog.'!$BZ:$BZ,'Cronog. e Histog.'!DX:DX),"")</f>
        <v>0</v>
      </c>
      <c r="BD254" s="144">
        <f>IFERROR(_xlfn.XLOOKUP($B254,'Cronog. e Histog.'!$BZ:$BZ,'Cronog. e Histog.'!DY:DY),"")</f>
        <v>0</v>
      </c>
      <c r="BE254" s="144">
        <f>IFERROR(_xlfn.XLOOKUP($B254,'Cronog. e Histog.'!$BZ:$BZ,'Cronog. e Histog.'!DZ:DZ),"")</f>
        <v>0</v>
      </c>
      <c r="BF254" s="144">
        <f>IFERROR(_xlfn.XLOOKUP($B254,'Cronog. e Histog.'!$BZ:$BZ,'Cronog. e Histog.'!EA:EA),"")</f>
        <v>0</v>
      </c>
      <c r="BG254" s="144">
        <f>IFERROR(_xlfn.XLOOKUP($B254,'Cronog. e Histog.'!$BZ:$BZ,'Cronog. e Histog.'!EB:EB),"")</f>
        <v>0</v>
      </c>
      <c r="BH254" s="144">
        <f>IFERROR(_xlfn.XLOOKUP($B254,'Cronog. e Histog.'!$BZ:$BZ,'Cronog. e Histog.'!EC:EC),"")</f>
        <v>0</v>
      </c>
      <c r="BI254" s="144">
        <f>IFERROR(_xlfn.XLOOKUP($B254,'Cronog. e Histog.'!$BZ:$BZ,'Cronog. e Histog.'!ED:ED),"")</f>
        <v>0</v>
      </c>
      <c r="BJ254" s="144">
        <f>IFERROR(_xlfn.XLOOKUP($B254,'Cronog. e Histog.'!$BZ:$BZ,'Cronog. e Histog.'!EE:EE),"")</f>
        <v>0</v>
      </c>
      <c r="BK254" s="144">
        <f>IFERROR(_xlfn.XLOOKUP($B254,'Cronog. e Histog.'!$BZ:$BZ,'Cronog. e Histog.'!EF:EF),"")</f>
        <v>0</v>
      </c>
      <c r="BL254" s="144">
        <f>IFERROR(_xlfn.XLOOKUP($B254,'Cronog. e Histog.'!$BZ:$BZ,'Cronog. e Histog.'!EG:EG),"")</f>
        <v>0</v>
      </c>
      <c r="BM254" s="144">
        <f>IFERROR(_xlfn.XLOOKUP($B254,'Cronog. e Histog.'!$BZ:$BZ,'Cronog. e Histog.'!EH:EH),"")</f>
        <v>0</v>
      </c>
      <c r="BN254" s="144">
        <f>IFERROR(_xlfn.XLOOKUP($B254,'Cronog. e Histog.'!$BZ:$BZ,'Cronog. e Histog.'!EI:EI),"")</f>
        <v>0</v>
      </c>
    </row>
    <row r="255" spans="2:66" ht="12" hidden="1" customHeight="1" outlineLevel="1">
      <c r="B255" s="76">
        <v>249</v>
      </c>
      <c r="C255" s="143" t="str">
        <f>IFERROR(VLOOKUP(B255,'Cronog. e Histog.'!$BZ$213:$CA$747,2,0),"")</f>
        <v>AN JR. ENG/ARQ</v>
      </c>
      <c r="D255" s="144">
        <f t="shared" si="6"/>
        <v>0</v>
      </c>
      <c r="E255" s="144">
        <f t="shared" si="7"/>
        <v>0</v>
      </c>
      <c r="F255" s="65"/>
      <c r="G255" s="144">
        <f>IFERROR(_xlfn.XLOOKUP($B255,'Cronog. e Histog.'!$BZ:$BZ,'Cronog. e Histog.'!CB:CB),"")</f>
        <v>0</v>
      </c>
      <c r="H255" s="144">
        <f>IFERROR(_xlfn.XLOOKUP($B255,'Cronog. e Histog.'!$BZ:$BZ,'Cronog. e Histog.'!CC:CC),"")</f>
        <v>0</v>
      </c>
      <c r="I255" s="144">
        <f>IFERROR(_xlfn.XLOOKUP($B255,'Cronog. e Histog.'!$BZ:$BZ,'Cronog. e Histog.'!CD:CD),"")</f>
        <v>0</v>
      </c>
      <c r="J255" s="144">
        <f>IFERROR(_xlfn.XLOOKUP($B255,'Cronog. e Histog.'!$BZ:$BZ,'Cronog. e Histog.'!CE:CE),"")</f>
        <v>0</v>
      </c>
      <c r="K255" s="144">
        <f>IFERROR(_xlfn.XLOOKUP($B255,'Cronog. e Histog.'!$BZ:$BZ,'Cronog. e Histog.'!CF:CF),"")</f>
        <v>0</v>
      </c>
      <c r="L255" s="144">
        <f>IFERROR(_xlfn.XLOOKUP($B255,'Cronog. e Histog.'!$BZ:$BZ,'Cronog. e Histog.'!CG:CG),"")</f>
        <v>0</v>
      </c>
      <c r="M255" s="144">
        <f>IFERROR(_xlfn.XLOOKUP($B255,'Cronog. e Histog.'!$BZ:$BZ,'Cronog. e Histog.'!CH:CH),"")</f>
        <v>0</v>
      </c>
      <c r="N255" s="144">
        <f>IFERROR(_xlfn.XLOOKUP($B255,'Cronog. e Histog.'!$BZ:$BZ,'Cronog. e Histog.'!CI:CI),"")</f>
        <v>0</v>
      </c>
      <c r="O255" s="144">
        <f>IFERROR(_xlfn.XLOOKUP($B255,'Cronog. e Histog.'!$BZ:$BZ,'Cronog. e Histog.'!CJ:CJ),"")</f>
        <v>0</v>
      </c>
      <c r="P255" s="144">
        <f>IFERROR(_xlfn.XLOOKUP($B255,'Cronog. e Histog.'!$BZ:$BZ,'Cronog. e Histog.'!CK:CK),"")</f>
        <v>0</v>
      </c>
      <c r="Q255" s="144">
        <f>IFERROR(_xlfn.XLOOKUP($B255,'Cronog. e Histog.'!$BZ:$BZ,'Cronog. e Histog.'!CL:CL),"")</f>
        <v>0</v>
      </c>
      <c r="R255" s="144">
        <f>IFERROR(_xlfn.XLOOKUP($B255,'Cronog. e Histog.'!$BZ:$BZ,'Cronog. e Histog.'!CM:CM),"")</f>
        <v>0</v>
      </c>
      <c r="S255" s="144">
        <f>IFERROR(_xlfn.XLOOKUP($B255,'Cronog. e Histog.'!$BZ:$BZ,'Cronog. e Histog.'!CN:CN),"")</f>
        <v>0</v>
      </c>
      <c r="T255" s="144">
        <f>IFERROR(_xlfn.XLOOKUP($B255,'Cronog. e Histog.'!$BZ:$BZ,'Cronog. e Histog.'!CO:CO),"")</f>
        <v>0</v>
      </c>
      <c r="U255" s="144">
        <f>IFERROR(_xlfn.XLOOKUP($B255,'Cronog. e Histog.'!$BZ:$BZ,'Cronog. e Histog.'!CP:CP),"")</f>
        <v>0</v>
      </c>
      <c r="V255" s="144">
        <f>IFERROR(_xlfn.XLOOKUP($B255,'Cronog. e Histog.'!$BZ:$BZ,'Cronog. e Histog.'!CQ:CQ),"")</f>
        <v>0</v>
      </c>
      <c r="W255" s="144">
        <f>IFERROR(_xlfn.XLOOKUP($B255,'Cronog. e Histog.'!$BZ:$BZ,'Cronog. e Histog.'!CR:CR),"")</f>
        <v>0</v>
      </c>
      <c r="X255" s="144">
        <f>IFERROR(_xlfn.XLOOKUP($B255,'Cronog. e Histog.'!$BZ:$BZ,'Cronog. e Histog.'!CS:CS),"")</f>
        <v>0</v>
      </c>
      <c r="Y255" s="144">
        <f>IFERROR(_xlfn.XLOOKUP($B255,'Cronog. e Histog.'!$BZ:$BZ,'Cronog. e Histog.'!CT:CT),"")</f>
        <v>0</v>
      </c>
      <c r="Z255" s="144">
        <f>IFERROR(_xlfn.XLOOKUP($B255,'Cronog. e Histog.'!$BZ:$BZ,'Cronog. e Histog.'!CU:CU),"")</f>
        <v>0</v>
      </c>
      <c r="AA255" s="144">
        <f>IFERROR(_xlfn.XLOOKUP($B255,'Cronog. e Histog.'!$BZ:$BZ,'Cronog. e Histog.'!CV:CV),"")</f>
        <v>0</v>
      </c>
      <c r="AB255" s="144">
        <f>IFERROR(_xlfn.XLOOKUP($B255,'Cronog. e Histog.'!$BZ:$BZ,'Cronog. e Histog.'!CW:CW),"")</f>
        <v>0</v>
      </c>
      <c r="AC255" s="144">
        <f>IFERROR(_xlfn.XLOOKUP($B255,'Cronog. e Histog.'!$BZ:$BZ,'Cronog. e Histog.'!CX:CX),"")</f>
        <v>0</v>
      </c>
      <c r="AD255" s="144">
        <f>IFERROR(_xlfn.XLOOKUP($B255,'Cronog. e Histog.'!$BZ:$BZ,'Cronog. e Histog.'!CY:CY),"")</f>
        <v>0</v>
      </c>
      <c r="AE255" s="144">
        <f>IFERROR(_xlfn.XLOOKUP($B255,'Cronog. e Histog.'!$BZ:$BZ,'Cronog. e Histog.'!CZ:CZ),"")</f>
        <v>0</v>
      </c>
      <c r="AF255" s="144">
        <f>IFERROR(_xlfn.XLOOKUP($B255,'Cronog. e Histog.'!$BZ:$BZ,'Cronog. e Histog.'!DA:DA),"")</f>
        <v>0</v>
      </c>
      <c r="AG255" s="144">
        <f>IFERROR(_xlfn.XLOOKUP($B255,'Cronog. e Histog.'!$BZ:$BZ,'Cronog. e Histog.'!DB:DB),"")</f>
        <v>0</v>
      </c>
      <c r="AH255" s="144">
        <f>IFERROR(_xlfn.XLOOKUP($B255,'Cronog. e Histog.'!$BZ:$BZ,'Cronog. e Histog.'!DC:DC),"")</f>
        <v>0</v>
      </c>
      <c r="AI255" s="144">
        <f>IFERROR(_xlfn.XLOOKUP($B255,'Cronog. e Histog.'!$BZ:$BZ,'Cronog. e Histog.'!DD:DD),"")</f>
        <v>0</v>
      </c>
      <c r="AJ255" s="144">
        <f>IFERROR(_xlfn.XLOOKUP($B255,'Cronog. e Histog.'!$BZ:$BZ,'Cronog. e Histog.'!DE:DE),"")</f>
        <v>0</v>
      </c>
      <c r="AK255" s="144">
        <f>IFERROR(_xlfn.XLOOKUP($B255,'Cronog. e Histog.'!$BZ:$BZ,'Cronog. e Histog.'!DF:DF),"")</f>
        <v>0</v>
      </c>
      <c r="AL255" s="144">
        <f>IFERROR(_xlfn.XLOOKUP($B255,'Cronog. e Histog.'!$BZ:$BZ,'Cronog. e Histog.'!DG:DG),"")</f>
        <v>0</v>
      </c>
      <c r="AM255" s="144">
        <f>IFERROR(_xlfn.XLOOKUP($B255,'Cronog. e Histog.'!$BZ:$BZ,'Cronog. e Histog.'!DH:DH),"")</f>
        <v>0</v>
      </c>
      <c r="AN255" s="144">
        <f>IFERROR(_xlfn.XLOOKUP($B255,'Cronog. e Histog.'!$BZ:$BZ,'Cronog. e Histog.'!DI:DI),"")</f>
        <v>0</v>
      </c>
      <c r="AO255" s="144">
        <f>IFERROR(_xlfn.XLOOKUP($B255,'Cronog. e Histog.'!$BZ:$BZ,'Cronog. e Histog.'!DJ:DJ),"")</f>
        <v>0</v>
      </c>
      <c r="AP255" s="144">
        <f>IFERROR(_xlfn.XLOOKUP($B255,'Cronog. e Histog.'!$BZ:$BZ,'Cronog. e Histog.'!DK:DK),"")</f>
        <v>0</v>
      </c>
      <c r="AQ255" s="144">
        <f>IFERROR(_xlfn.XLOOKUP($B255,'Cronog. e Histog.'!$BZ:$BZ,'Cronog. e Histog.'!DL:DL),"")</f>
        <v>0</v>
      </c>
      <c r="AR255" s="144">
        <f>IFERROR(_xlfn.XLOOKUP($B255,'Cronog. e Histog.'!$BZ:$BZ,'Cronog. e Histog.'!DM:DM),"")</f>
        <v>0</v>
      </c>
      <c r="AS255" s="144">
        <f>IFERROR(_xlfn.XLOOKUP($B255,'Cronog. e Histog.'!$BZ:$BZ,'Cronog. e Histog.'!DN:DN),"")</f>
        <v>0</v>
      </c>
      <c r="AT255" s="144">
        <f>IFERROR(_xlfn.XLOOKUP($B255,'Cronog. e Histog.'!$BZ:$BZ,'Cronog. e Histog.'!DO:DO),"")</f>
        <v>0</v>
      </c>
      <c r="AU255" s="144">
        <f>IFERROR(_xlfn.XLOOKUP($B255,'Cronog. e Histog.'!$BZ:$BZ,'Cronog. e Histog.'!DP:DP),"")</f>
        <v>0</v>
      </c>
      <c r="AV255" s="144">
        <f>IFERROR(_xlfn.XLOOKUP($B255,'Cronog. e Histog.'!$BZ:$BZ,'Cronog. e Histog.'!DQ:DQ),"")</f>
        <v>0</v>
      </c>
      <c r="AW255" s="144">
        <f>IFERROR(_xlfn.XLOOKUP($B255,'Cronog. e Histog.'!$BZ:$BZ,'Cronog. e Histog.'!DR:DR),"")</f>
        <v>0</v>
      </c>
      <c r="AX255" s="144">
        <f>IFERROR(_xlfn.XLOOKUP($B255,'Cronog. e Histog.'!$BZ:$BZ,'Cronog. e Histog.'!DS:DS),"")</f>
        <v>0</v>
      </c>
      <c r="AY255" s="144">
        <f>IFERROR(_xlfn.XLOOKUP($B255,'Cronog. e Histog.'!$BZ:$BZ,'Cronog. e Histog.'!DT:DT),"")</f>
        <v>0</v>
      </c>
      <c r="AZ255" s="144">
        <f>IFERROR(_xlfn.XLOOKUP($B255,'Cronog. e Histog.'!$BZ:$BZ,'Cronog. e Histog.'!DU:DU),"")</f>
        <v>0</v>
      </c>
      <c r="BA255" s="144">
        <f>IFERROR(_xlfn.XLOOKUP($B255,'Cronog. e Histog.'!$BZ:$BZ,'Cronog. e Histog.'!DV:DV),"")</f>
        <v>0</v>
      </c>
      <c r="BB255" s="144">
        <f>IFERROR(_xlfn.XLOOKUP($B255,'Cronog. e Histog.'!$BZ:$BZ,'Cronog. e Histog.'!DW:DW),"")</f>
        <v>0</v>
      </c>
      <c r="BC255" s="144">
        <f>IFERROR(_xlfn.XLOOKUP($B255,'Cronog. e Histog.'!$BZ:$BZ,'Cronog. e Histog.'!DX:DX),"")</f>
        <v>0</v>
      </c>
      <c r="BD255" s="144">
        <f>IFERROR(_xlfn.XLOOKUP($B255,'Cronog. e Histog.'!$BZ:$BZ,'Cronog. e Histog.'!DY:DY),"")</f>
        <v>0</v>
      </c>
      <c r="BE255" s="144">
        <f>IFERROR(_xlfn.XLOOKUP($B255,'Cronog. e Histog.'!$BZ:$BZ,'Cronog. e Histog.'!DZ:DZ),"")</f>
        <v>0</v>
      </c>
      <c r="BF255" s="144">
        <f>IFERROR(_xlfn.XLOOKUP($B255,'Cronog. e Histog.'!$BZ:$BZ,'Cronog. e Histog.'!EA:EA),"")</f>
        <v>0</v>
      </c>
      <c r="BG255" s="144">
        <f>IFERROR(_xlfn.XLOOKUP($B255,'Cronog. e Histog.'!$BZ:$BZ,'Cronog. e Histog.'!EB:EB),"")</f>
        <v>0</v>
      </c>
      <c r="BH255" s="144">
        <f>IFERROR(_xlfn.XLOOKUP($B255,'Cronog. e Histog.'!$BZ:$BZ,'Cronog. e Histog.'!EC:EC),"")</f>
        <v>0</v>
      </c>
      <c r="BI255" s="144">
        <f>IFERROR(_xlfn.XLOOKUP($B255,'Cronog. e Histog.'!$BZ:$BZ,'Cronog. e Histog.'!ED:ED),"")</f>
        <v>0</v>
      </c>
      <c r="BJ255" s="144">
        <f>IFERROR(_xlfn.XLOOKUP($B255,'Cronog. e Histog.'!$BZ:$BZ,'Cronog. e Histog.'!EE:EE),"")</f>
        <v>0</v>
      </c>
      <c r="BK255" s="144">
        <f>IFERROR(_xlfn.XLOOKUP($B255,'Cronog. e Histog.'!$BZ:$BZ,'Cronog. e Histog.'!EF:EF),"")</f>
        <v>0</v>
      </c>
      <c r="BL255" s="144">
        <f>IFERROR(_xlfn.XLOOKUP($B255,'Cronog. e Histog.'!$BZ:$BZ,'Cronog. e Histog.'!EG:EG),"")</f>
        <v>0</v>
      </c>
      <c r="BM255" s="144">
        <f>IFERROR(_xlfn.XLOOKUP($B255,'Cronog. e Histog.'!$BZ:$BZ,'Cronog. e Histog.'!EH:EH),"")</f>
        <v>0</v>
      </c>
      <c r="BN255" s="144">
        <f>IFERROR(_xlfn.XLOOKUP($B255,'Cronog. e Histog.'!$BZ:$BZ,'Cronog. e Histog.'!EI:EI),"")</f>
        <v>0</v>
      </c>
    </row>
    <row r="256" spans="2:66" ht="12" hidden="1" customHeight="1" outlineLevel="1">
      <c r="B256" s="76">
        <v>250</v>
      </c>
      <c r="C256" s="143" t="str">
        <f>IFERROR(VLOOKUP(B256,'Cronog. e Histog.'!$BZ$213:$CA$747,2,0),"")</f>
        <v>AN SR. ADM/CRP</v>
      </c>
      <c r="D256" s="144">
        <f t="shared" si="6"/>
        <v>0</v>
      </c>
      <c r="E256" s="144">
        <f t="shared" si="7"/>
        <v>0</v>
      </c>
      <c r="F256" s="65"/>
      <c r="G256" s="144">
        <f>IFERROR(_xlfn.XLOOKUP($B256,'Cronog. e Histog.'!$BZ:$BZ,'Cronog. e Histog.'!CB:CB),"")</f>
        <v>0</v>
      </c>
      <c r="H256" s="144">
        <f>IFERROR(_xlfn.XLOOKUP($B256,'Cronog. e Histog.'!$BZ:$BZ,'Cronog. e Histog.'!CC:CC),"")</f>
        <v>0</v>
      </c>
      <c r="I256" s="144">
        <f>IFERROR(_xlfn.XLOOKUP($B256,'Cronog. e Histog.'!$BZ:$BZ,'Cronog. e Histog.'!CD:CD),"")</f>
        <v>0</v>
      </c>
      <c r="J256" s="144">
        <f>IFERROR(_xlfn.XLOOKUP($B256,'Cronog. e Histog.'!$BZ:$BZ,'Cronog. e Histog.'!CE:CE),"")</f>
        <v>0</v>
      </c>
      <c r="K256" s="144">
        <f>IFERROR(_xlfn.XLOOKUP($B256,'Cronog. e Histog.'!$BZ:$BZ,'Cronog. e Histog.'!CF:CF),"")</f>
        <v>0</v>
      </c>
      <c r="L256" s="144">
        <f>IFERROR(_xlfn.XLOOKUP($B256,'Cronog. e Histog.'!$BZ:$BZ,'Cronog. e Histog.'!CG:CG),"")</f>
        <v>0</v>
      </c>
      <c r="M256" s="144">
        <f>IFERROR(_xlfn.XLOOKUP($B256,'Cronog. e Histog.'!$BZ:$BZ,'Cronog. e Histog.'!CH:CH),"")</f>
        <v>0</v>
      </c>
      <c r="N256" s="144">
        <f>IFERROR(_xlfn.XLOOKUP($B256,'Cronog. e Histog.'!$BZ:$BZ,'Cronog. e Histog.'!CI:CI),"")</f>
        <v>0</v>
      </c>
      <c r="O256" s="144">
        <f>IFERROR(_xlfn.XLOOKUP($B256,'Cronog. e Histog.'!$BZ:$BZ,'Cronog. e Histog.'!CJ:CJ),"")</f>
        <v>0</v>
      </c>
      <c r="P256" s="144">
        <f>IFERROR(_xlfn.XLOOKUP($B256,'Cronog. e Histog.'!$BZ:$BZ,'Cronog. e Histog.'!CK:CK),"")</f>
        <v>0</v>
      </c>
      <c r="Q256" s="144">
        <f>IFERROR(_xlfn.XLOOKUP($B256,'Cronog. e Histog.'!$BZ:$BZ,'Cronog. e Histog.'!CL:CL),"")</f>
        <v>0</v>
      </c>
      <c r="R256" s="144">
        <f>IFERROR(_xlfn.XLOOKUP($B256,'Cronog. e Histog.'!$BZ:$BZ,'Cronog. e Histog.'!CM:CM),"")</f>
        <v>0</v>
      </c>
      <c r="S256" s="144">
        <f>IFERROR(_xlfn.XLOOKUP($B256,'Cronog. e Histog.'!$BZ:$BZ,'Cronog. e Histog.'!CN:CN),"")</f>
        <v>0</v>
      </c>
      <c r="T256" s="144">
        <f>IFERROR(_xlfn.XLOOKUP($B256,'Cronog. e Histog.'!$BZ:$BZ,'Cronog. e Histog.'!CO:CO),"")</f>
        <v>0</v>
      </c>
      <c r="U256" s="144">
        <f>IFERROR(_xlfn.XLOOKUP($B256,'Cronog. e Histog.'!$BZ:$BZ,'Cronog. e Histog.'!CP:CP),"")</f>
        <v>0</v>
      </c>
      <c r="V256" s="144">
        <f>IFERROR(_xlfn.XLOOKUP($B256,'Cronog. e Histog.'!$BZ:$BZ,'Cronog. e Histog.'!CQ:CQ),"")</f>
        <v>0</v>
      </c>
      <c r="W256" s="144">
        <f>IFERROR(_xlfn.XLOOKUP($B256,'Cronog. e Histog.'!$BZ:$BZ,'Cronog. e Histog.'!CR:CR),"")</f>
        <v>0</v>
      </c>
      <c r="X256" s="144">
        <f>IFERROR(_xlfn.XLOOKUP($B256,'Cronog. e Histog.'!$BZ:$BZ,'Cronog. e Histog.'!CS:CS),"")</f>
        <v>0</v>
      </c>
      <c r="Y256" s="144">
        <f>IFERROR(_xlfn.XLOOKUP($B256,'Cronog. e Histog.'!$BZ:$BZ,'Cronog. e Histog.'!CT:CT),"")</f>
        <v>0</v>
      </c>
      <c r="Z256" s="144">
        <f>IFERROR(_xlfn.XLOOKUP($B256,'Cronog. e Histog.'!$BZ:$BZ,'Cronog. e Histog.'!CU:CU),"")</f>
        <v>0</v>
      </c>
      <c r="AA256" s="144">
        <f>IFERROR(_xlfn.XLOOKUP($B256,'Cronog. e Histog.'!$BZ:$BZ,'Cronog. e Histog.'!CV:CV),"")</f>
        <v>0</v>
      </c>
      <c r="AB256" s="144">
        <f>IFERROR(_xlfn.XLOOKUP($B256,'Cronog. e Histog.'!$BZ:$BZ,'Cronog. e Histog.'!CW:CW),"")</f>
        <v>0</v>
      </c>
      <c r="AC256" s="144">
        <f>IFERROR(_xlfn.XLOOKUP($B256,'Cronog. e Histog.'!$BZ:$BZ,'Cronog. e Histog.'!CX:CX),"")</f>
        <v>0</v>
      </c>
      <c r="AD256" s="144">
        <f>IFERROR(_xlfn.XLOOKUP($B256,'Cronog. e Histog.'!$BZ:$BZ,'Cronog. e Histog.'!CY:CY),"")</f>
        <v>0</v>
      </c>
      <c r="AE256" s="144">
        <f>IFERROR(_xlfn.XLOOKUP($B256,'Cronog. e Histog.'!$BZ:$BZ,'Cronog. e Histog.'!CZ:CZ),"")</f>
        <v>0</v>
      </c>
      <c r="AF256" s="144">
        <f>IFERROR(_xlfn.XLOOKUP($B256,'Cronog. e Histog.'!$BZ:$BZ,'Cronog. e Histog.'!DA:DA),"")</f>
        <v>0</v>
      </c>
      <c r="AG256" s="144">
        <f>IFERROR(_xlfn.XLOOKUP($B256,'Cronog. e Histog.'!$BZ:$BZ,'Cronog. e Histog.'!DB:DB),"")</f>
        <v>0</v>
      </c>
      <c r="AH256" s="144">
        <f>IFERROR(_xlfn.XLOOKUP($B256,'Cronog. e Histog.'!$BZ:$BZ,'Cronog. e Histog.'!DC:DC),"")</f>
        <v>0</v>
      </c>
      <c r="AI256" s="144">
        <f>IFERROR(_xlfn.XLOOKUP($B256,'Cronog. e Histog.'!$BZ:$BZ,'Cronog. e Histog.'!DD:DD),"")</f>
        <v>0</v>
      </c>
      <c r="AJ256" s="144">
        <f>IFERROR(_xlfn.XLOOKUP($B256,'Cronog. e Histog.'!$BZ:$BZ,'Cronog. e Histog.'!DE:DE),"")</f>
        <v>0</v>
      </c>
      <c r="AK256" s="144">
        <f>IFERROR(_xlfn.XLOOKUP($B256,'Cronog. e Histog.'!$BZ:$BZ,'Cronog. e Histog.'!DF:DF),"")</f>
        <v>0</v>
      </c>
      <c r="AL256" s="144">
        <f>IFERROR(_xlfn.XLOOKUP($B256,'Cronog. e Histog.'!$BZ:$BZ,'Cronog. e Histog.'!DG:DG),"")</f>
        <v>0</v>
      </c>
      <c r="AM256" s="144">
        <f>IFERROR(_xlfn.XLOOKUP($B256,'Cronog. e Histog.'!$BZ:$BZ,'Cronog. e Histog.'!DH:DH),"")</f>
        <v>0</v>
      </c>
      <c r="AN256" s="144">
        <f>IFERROR(_xlfn.XLOOKUP($B256,'Cronog. e Histog.'!$BZ:$BZ,'Cronog. e Histog.'!DI:DI),"")</f>
        <v>0</v>
      </c>
      <c r="AO256" s="144">
        <f>IFERROR(_xlfn.XLOOKUP($B256,'Cronog. e Histog.'!$BZ:$BZ,'Cronog. e Histog.'!DJ:DJ),"")</f>
        <v>0</v>
      </c>
      <c r="AP256" s="144">
        <f>IFERROR(_xlfn.XLOOKUP($B256,'Cronog. e Histog.'!$BZ:$BZ,'Cronog. e Histog.'!DK:DK),"")</f>
        <v>0</v>
      </c>
      <c r="AQ256" s="144">
        <f>IFERROR(_xlfn.XLOOKUP($B256,'Cronog. e Histog.'!$BZ:$BZ,'Cronog. e Histog.'!DL:DL),"")</f>
        <v>0</v>
      </c>
      <c r="AR256" s="144">
        <f>IFERROR(_xlfn.XLOOKUP($B256,'Cronog. e Histog.'!$BZ:$BZ,'Cronog. e Histog.'!DM:DM),"")</f>
        <v>0</v>
      </c>
      <c r="AS256" s="144">
        <f>IFERROR(_xlfn.XLOOKUP($B256,'Cronog. e Histog.'!$BZ:$BZ,'Cronog. e Histog.'!DN:DN),"")</f>
        <v>0</v>
      </c>
      <c r="AT256" s="144">
        <f>IFERROR(_xlfn.XLOOKUP($B256,'Cronog. e Histog.'!$BZ:$BZ,'Cronog. e Histog.'!DO:DO),"")</f>
        <v>0</v>
      </c>
      <c r="AU256" s="144">
        <f>IFERROR(_xlfn.XLOOKUP($B256,'Cronog. e Histog.'!$BZ:$BZ,'Cronog. e Histog.'!DP:DP),"")</f>
        <v>0</v>
      </c>
      <c r="AV256" s="144">
        <f>IFERROR(_xlfn.XLOOKUP($B256,'Cronog. e Histog.'!$BZ:$BZ,'Cronog. e Histog.'!DQ:DQ),"")</f>
        <v>0</v>
      </c>
      <c r="AW256" s="144">
        <f>IFERROR(_xlfn.XLOOKUP($B256,'Cronog. e Histog.'!$BZ:$BZ,'Cronog. e Histog.'!DR:DR),"")</f>
        <v>0</v>
      </c>
      <c r="AX256" s="144">
        <f>IFERROR(_xlfn.XLOOKUP($B256,'Cronog. e Histog.'!$BZ:$BZ,'Cronog. e Histog.'!DS:DS),"")</f>
        <v>0</v>
      </c>
      <c r="AY256" s="144">
        <f>IFERROR(_xlfn.XLOOKUP($B256,'Cronog. e Histog.'!$BZ:$BZ,'Cronog. e Histog.'!DT:DT),"")</f>
        <v>0</v>
      </c>
      <c r="AZ256" s="144">
        <f>IFERROR(_xlfn.XLOOKUP($B256,'Cronog. e Histog.'!$BZ:$BZ,'Cronog. e Histog.'!DU:DU),"")</f>
        <v>0</v>
      </c>
      <c r="BA256" s="144">
        <f>IFERROR(_xlfn.XLOOKUP($B256,'Cronog. e Histog.'!$BZ:$BZ,'Cronog. e Histog.'!DV:DV),"")</f>
        <v>0</v>
      </c>
      <c r="BB256" s="144">
        <f>IFERROR(_xlfn.XLOOKUP($B256,'Cronog. e Histog.'!$BZ:$BZ,'Cronog. e Histog.'!DW:DW),"")</f>
        <v>0</v>
      </c>
      <c r="BC256" s="144">
        <f>IFERROR(_xlfn.XLOOKUP($B256,'Cronog. e Histog.'!$BZ:$BZ,'Cronog. e Histog.'!DX:DX),"")</f>
        <v>0</v>
      </c>
      <c r="BD256" s="144">
        <f>IFERROR(_xlfn.XLOOKUP($B256,'Cronog. e Histog.'!$BZ:$BZ,'Cronog. e Histog.'!DY:DY),"")</f>
        <v>0</v>
      </c>
      <c r="BE256" s="144">
        <f>IFERROR(_xlfn.XLOOKUP($B256,'Cronog. e Histog.'!$BZ:$BZ,'Cronog. e Histog.'!DZ:DZ),"")</f>
        <v>0</v>
      </c>
      <c r="BF256" s="144">
        <f>IFERROR(_xlfn.XLOOKUP($B256,'Cronog. e Histog.'!$BZ:$BZ,'Cronog. e Histog.'!EA:EA),"")</f>
        <v>0</v>
      </c>
      <c r="BG256" s="144">
        <f>IFERROR(_xlfn.XLOOKUP($B256,'Cronog. e Histog.'!$BZ:$BZ,'Cronog. e Histog.'!EB:EB),"")</f>
        <v>0</v>
      </c>
      <c r="BH256" s="144">
        <f>IFERROR(_xlfn.XLOOKUP($B256,'Cronog. e Histog.'!$BZ:$BZ,'Cronog. e Histog.'!EC:EC),"")</f>
        <v>0</v>
      </c>
      <c r="BI256" s="144">
        <f>IFERROR(_xlfn.XLOOKUP($B256,'Cronog. e Histog.'!$BZ:$BZ,'Cronog. e Histog.'!ED:ED),"")</f>
        <v>0</v>
      </c>
      <c r="BJ256" s="144">
        <f>IFERROR(_xlfn.XLOOKUP($B256,'Cronog. e Histog.'!$BZ:$BZ,'Cronog. e Histog.'!EE:EE),"")</f>
        <v>0</v>
      </c>
      <c r="BK256" s="144">
        <f>IFERROR(_xlfn.XLOOKUP($B256,'Cronog. e Histog.'!$BZ:$BZ,'Cronog. e Histog.'!EF:EF),"")</f>
        <v>0</v>
      </c>
      <c r="BL256" s="144">
        <f>IFERROR(_xlfn.XLOOKUP($B256,'Cronog. e Histog.'!$BZ:$BZ,'Cronog. e Histog.'!EG:EG),"")</f>
        <v>0</v>
      </c>
      <c r="BM256" s="144">
        <f>IFERROR(_xlfn.XLOOKUP($B256,'Cronog. e Histog.'!$BZ:$BZ,'Cronog. e Histog.'!EH:EH),"")</f>
        <v>0</v>
      </c>
      <c r="BN256" s="144">
        <f>IFERROR(_xlfn.XLOOKUP($B256,'Cronog. e Histog.'!$BZ:$BZ,'Cronog. e Histog.'!EI:EI),"")</f>
        <v>0</v>
      </c>
    </row>
    <row r="257" spans="2:66" ht="12" hidden="1" customHeight="1" outlineLevel="1">
      <c r="B257" s="76">
        <v>251</v>
      </c>
      <c r="C257" s="143" t="str">
        <f>IFERROR(VLOOKUP(B257,'Cronog. e Histog.'!$BZ$213:$CA$747,2,0),"")</f>
        <v>AN PL. ADM/CRP</v>
      </c>
      <c r="D257" s="144">
        <f t="shared" si="6"/>
        <v>0</v>
      </c>
      <c r="E257" s="144">
        <f t="shared" si="7"/>
        <v>0</v>
      </c>
      <c r="F257" s="65"/>
      <c r="G257" s="144">
        <f>IFERROR(_xlfn.XLOOKUP($B257,'Cronog. e Histog.'!$BZ:$BZ,'Cronog. e Histog.'!CB:CB),"")</f>
        <v>0</v>
      </c>
      <c r="H257" s="144">
        <f>IFERROR(_xlfn.XLOOKUP($B257,'Cronog. e Histog.'!$BZ:$BZ,'Cronog. e Histog.'!CC:CC),"")</f>
        <v>0</v>
      </c>
      <c r="I257" s="144">
        <f>IFERROR(_xlfn.XLOOKUP($B257,'Cronog. e Histog.'!$BZ:$BZ,'Cronog. e Histog.'!CD:CD),"")</f>
        <v>0</v>
      </c>
      <c r="J257" s="144">
        <f>IFERROR(_xlfn.XLOOKUP($B257,'Cronog. e Histog.'!$BZ:$BZ,'Cronog. e Histog.'!CE:CE),"")</f>
        <v>0</v>
      </c>
      <c r="K257" s="144">
        <f>IFERROR(_xlfn.XLOOKUP($B257,'Cronog. e Histog.'!$BZ:$BZ,'Cronog. e Histog.'!CF:CF),"")</f>
        <v>0</v>
      </c>
      <c r="L257" s="144">
        <f>IFERROR(_xlfn.XLOOKUP($B257,'Cronog. e Histog.'!$BZ:$BZ,'Cronog. e Histog.'!CG:CG),"")</f>
        <v>0</v>
      </c>
      <c r="M257" s="144">
        <f>IFERROR(_xlfn.XLOOKUP($B257,'Cronog. e Histog.'!$BZ:$BZ,'Cronog. e Histog.'!CH:CH),"")</f>
        <v>0</v>
      </c>
      <c r="N257" s="144">
        <f>IFERROR(_xlfn.XLOOKUP($B257,'Cronog. e Histog.'!$BZ:$BZ,'Cronog. e Histog.'!CI:CI),"")</f>
        <v>0</v>
      </c>
      <c r="O257" s="144">
        <f>IFERROR(_xlfn.XLOOKUP($B257,'Cronog. e Histog.'!$BZ:$BZ,'Cronog. e Histog.'!CJ:CJ),"")</f>
        <v>0</v>
      </c>
      <c r="P257" s="144">
        <f>IFERROR(_xlfn.XLOOKUP($B257,'Cronog. e Histog.'!$BZ:$BZ,'Cronog. e Histog.'!CK:CK),"")</f>
        <v>0</v>
      </c>
      <c r="Q257" s="144">
        <f>IFERROR(_xlfn.XLOOKUP($B257,'Cronog. e Histog.'!$BZ:$BZ,'Cronog. e Histog.'!CL:CL),"")</f>
        <v>0</v>
      </c>
      <c r="R257" s="144">
        <f>IFERROR(_xlfn.XLOOKUP($B257,'Cronog. e Histog.'!$BZ:$BZ,'Cronog. e Histog.'!CM:CM),"")</f>
        <v>0</v>
      </c>
      <c r="S257" s="144">
        <f>IFERROR(_xlfn.XLOOKUP($B257,'Cronog. e Histog.'!$BZ:$BZ,'Cronog. e Histog.'!CN:CN),"")</f>
        <v>0</v>
      </c>
      <c r="T257" s="144">
        <f>IFERROR(_xlfn.XLOOKUP($B257,'Cronog. e Histog.'!$BZ:$BZ,'Cronog. e Histog.'!CO:CO),"")</f>
        <v>0</v>
      </c>
      <c r="U257" s="144">
        <f>IFERROR(_xlfn.XLOOKUP($B257,'Cronog. e Histog.'!$BZ:$BZ,'Cronog. e Histog.'!CP:CP),"")</f>
        <v>0</v>
      </c>
      <c r="V257" s="144">
        <f>IFERROR(_xlfn.XLOOKUP($B257,'Cronog. e Histog.'!$BZ:$BZ,'Cronog. e Histog.'!CQ:CQ),"")</f>
        <v>0</v>
      </c>
      <c r="W257" s="144">
        <f>IFERROR(_xlfn.XLOOKUP($B257,'Cronog. e Histog.'!$BZ:$BZ,'Cronog. e Histog.'!CR:CR),"")</f>
        <v>0</v>
      </c>
      <c r="X257" s="144">
        <f>IFERROR(_xlfn.XLOOKUP($B257,'Cronog. e Histog.'!$BZ:$BZ,'Cronog. e Histog.'!CS:CS),"")</f>
        <v>0</v>
      </c>
      <c r="Y257" s="144">
        <f>IFERROR(_xlfn.XLOOKUP($B257,'Cronog. e Histog.'!$BZ:$BZ,'Cronog. e Histog.'!CT:CT),"")</f>
        <v>0</v>
      </c>
      <c r="Z257" s="144">
        <f>IFERROR(_xlfn.XLOOKUP($B257,'Cronog. e Histog.'!$BZ:$BZ,'Cronog. e Histog.'!CU:CU),"")</f>
        <v>0</v>
      </c>
      <c r="AA257" s="144">
        <f>IFERROR(_xlfn.XLOOKUP($B257,'Cronog. e Histog.'!$BZ:$BZ,'Cronog. e Histog.'!CV:CV),"")</f>
        <v>0</v>
      </c>
      <c r="AB257" s="144">
        <f>IFERROR(_xlfn.XLOOKUP($B257,'Cronog. e Histog.'!$BZ:$BZ,'Cronog. e Histog.'!CW:CW),"")</f>
        <v>0</v>
      </c>
      <c r="AC257" s="144">
        <f>IFERROR(_xlfn.XLOOKUP($B257,'Cronog. e Histog.'!$BZ:$BZ,'Cronog. e Histog.'!CX:CX),"")</f>
        <v>0</v>
      </c>
      <c r="AD257" s="144">
        <f>IFERROR(_xlfn.XLOOKUP($B257,'Cronog. e Histog.'!$BZ:$BZ,'Cronog. e Histog.'!CY:CY),"")</f>
        <v>0</v>
      </c>
      <c r="AE257" s="144">
        <f>IFERROR(_xlfn.XLOOKUP($B257,'Cronog. e Histog.'!$BZ:$BZ,'Cronog. e Histog.'!CZ:CZ),"")</f>
        <v>0</v>
      </c>
      <c r="AF257" s="144">
        <f>IFERROR(_xlfn.XLOOKUP($B257,'Cronog. e Histog.'!$BZ:$BZ,'Cronog. e Histog.'!DA:DA),"")</f>
        <v>0</v>
      </c>
      <c r="AG257" s="144">
        <f>IFERROR(_xlfn.XLOOKUP($B257,'Cronog. e Histog.'!$BZ:$BZ,'Cronog. e Histog.'!DB:DB),"")</f>
        <v>0</v>
      </c>
      <c r="AH257" s="144">
        <f>IFERROR(_xlfn.XLOOKUP($B257,'Cronog. e Histog.'!$BZ:$BZ,'Cronog. e Histog.'!DC:DC),"")</f>
        <v>0</v>
      </c>
      <c r="AI257" s="144">
        <f>IFERROR(_xlfn.XLOOKUP($B257,'Cronog. e Histog.'!$BZ:$BZ,'Cronog. e Histog.'!DD:DD),"")</f>
        <v>0</v>
      </c>
      <c r="AJ257" s="144">
        <f>IFERROR(_xlfn.XLOOKUP($B257,'Cronog. e Histog.'!$BZ:$BZ,'Cronog. e Histog.'!DE:DE),"")</f>
        <v>0</v>
      </c>
      <c r="AK257" s="144">
        <f>IFERROR(_xlfn.XLOOKUP($B257,'Cronog. e Histog.'!$BZ:$BZ,'Cronog. e Histog.'!DF:DF),"")</f>
        <v>0</v>
      </c>
      <c r="AL257" s="144">
        <f>IFERROR(_xlfn.XLOOKUP($B257,'Cronog. e Histog.'!$BZ:$BZ,'Cronog. e Histog.'!DG:DG),"")</f>
        <v>0</v>
      </c>
      <c r="AM257" s="144">
        <f>IFERROR(_xlfn.XLOOKUP($B257,'Cronog. e Histog.'!$BZ:$BZ,'Cronog. e Histog.'!DH:DH),"")</f>
        <v>0</v>
      </c>
      <c r="AN257" s="144">
        <f>IFERROR(_xlfn.XLOOKUP($B257,'Cronog. e Histog.'!$BZ:$BZ,'Cronog. e Histog.'!DI:DI),"")</f>
        <v>0</v>
      </c>
      <c r="AO257" s="144">
        <f>IFERROR(_xlfn.XLOOKUP($B257,'Cronog. e Histog.'!$BZ:$BZ,'Cronog. e Histog.'!DJ:DJ),"")</f>
        <v>0</v>
      </c>
      <c r="AP257" s="144">
        <f>IFERROR(_xlfn.XLOOKUP($B257,'Cronog. e Histog.'!$BZ:$BZ,'Cronog. e Histog.'!DK:DK),"")</f>
        <v>0</v>
      </c>
      <c r="AQ257" s="144">
        <f>IFERROR(_xlfn.XLOOKUP($B257,'Cronog. e Histog.'!$BZ:$BZ,'Cronog. e Histog.'!DL:DL),"")</f>
        <v>0</v>
      </c>
      <c r="AR257" s="144">
        <f>IFERROR(_xlfn.XLOOKUP($B257,'Cronog. e Histog.'!$BZ:$BZ,'Cronog. e Histog.'!DM:DM),"")</f>
        <v>0</v>
      </c>
      <c r="AS257" s="144">
        <f>IFERROR(_xlfn.XLOOKUP($B257,'Cronog. e Histog.'!$BZ:$BZ,'Cronog. e Histog.'!DN:DN),"")</f>
        <v>0</v>
      </c>
      <c r="AT257" s="144">
        <f>IFERROR(_xlfn.XLOOKUP($B257,'Cronog. e Histog.'!$BZ:$BZ,'Cronog. e Histog.'!DO:DO),"")</f>
        <v>0</v>
      </c>
      <c r="AU257" s="144">
        <f>IFERROR(_xlfn.XLOOKUP($B257,'Cronog. e Histog.'!$BZ:$BZ,'Cronog. e Histog.'!DP:DP),"")</f>
        <v>0</v>
      </c>
      <c r="AV257" s="144">
        <f>IFERROR(_xlfn.XLOOKUP($B257,'Cronog. e Histog.'!$BZ:$BZ,'Cronog. e Histog.'!DQ:DQ),"")</f>
        <v>0</v>
      </c>
      <c r="AW257" s="144">
        <f>IFERROR(_xlfn.XLOOKUP($B257,'Cronog. e Histog.'!$BZ:$BZ,'Cronog. e Histog.'!DR:DR),"")</f>
        <v>0</v>
      </c>
      <c r="AX257" s="144">
        <f>IFERROR(_xlfn.XLOOKUP($B257,'Cronog. e Histog.'!$BZ:$BZ,'Cronog. e Histog.'!DS:DS),"")</f>
        <v>0</v>
      </c>
      <c r="AY257" s="144">
        <f>IFERROR(_xlfn.XLOOKUP($B257,'Cronog. e Histog.'!$BZ:$BZ,'Cronog. e Histog.'!DT:DT),"")</f>
        <v>0</v>
      </c>
      <c r="AZ257" s="144">
        <f>IFERROR(_xlfn.XLOOKUP($B257,'Cronog. e Histog.'!$BZ:$BZ,'Cronog. e Histog.'!DU:DU),"")</f>
        <v>0</v>
      </c>
      <c r="BA257" s="144">
        <f>IFERROR(_xlfn.XLOOKUP($B257,'Cronog. e Histog.'!$BZ:$BZ,'Cronog. e Histog.'!DV:DV),"")</f>
        <v>0</v>
      </c>
      <c r="BB257" s="144">
        <f>IFERROR(_xlfn.XLOOKUP($B257,'Cronog. e Histog.'!$BZ:$BZ,'Cronog. e Histog.'!DW:DW),"")</f>
        <v>0</v>
      </c>
      <c r="BC257" s="144">
        <f>IFERROR(_xlfn.XLOOKUP($B257,'Cronog. e Histog.'!$BZ:$BZ,'Cronog. e Histog.'!DX:DX),"")</f>
        <v>0</v>
      </c>
      <c r="BD257" s="144">
        <f>IFERROR(_xlfn.XLOOKUP($B257,'Cronog. e Histog.'!$BZ:$BZ,'Cronog. e Histog.'!DY:DY),"")</f>
        <v>0</v>
      </c>
      <c r="BE257" s="144">
        <f>IFERROR(_xlfn.XLOOKUP($B257,'Cronog. e Histog.'!$BZ:$BZ,'Cronog. e Histog.'!DZ:DZ),"")</f>
        <v>0</v>
      </c>
      <c r="BF257" s="144">
        <f>IFERROR(_xlfn.XLOOKUP($B257,'Cronog. e Histog.'!$BZ:$BZ,'Cronog. e Histog.'!EA:EA),"")</f>
        <v>0</v>
      </c>
      <c r="BG257" s="144">
        <f>IFERROR(_xlfn.XLOOKUP($B257,'Cronog. e Histog.'!$BZ:$BZ,'Cronog. e Histog.'!EB:EB),"")</f>
        <v>0</v>
      </c>
      <c r="BH257" s="144">
        <f>IFERROR(_xlfn.XLOOKUP($B257,'Cronog. e Histog.'!$BZ:$BZ,'Cronog. e Histog.'!EC:EC),"")</f>
        <v>0</v>
      </c>
      <c r="BI257" s="144">
        <f>IFERROR(_xlfn.XLOOKUP($B257,'Cronog. e Histog.'!$BZ:$BZ,'Cronog. e Histog.'!ED:ED),"")</f>
        <v>0</v>
      </c>
      <c r="BJ257" s="144">
        <f>IFERROR(_xlfn.XLOOKUP($B257,'Cronog. e Histog.'!$BZ:$BZ,'Cronog. e Histog.'!EE:EE),"")</f>
        <v>0</v>
      </c>
      <c r="BK257" s="144">
        <f>IFERROR(_xlfn.XLOOKUP($B257,'Cronog. e Histog.'!$BZ:$BZ,'Cronog. e Histog.'!EF:EF),"")</f>
        <v>0</v>
      </c>
      <c r="BL257" s="144">
        <f>IFERROR(_xlfn.XLOOKUP($B257,'Cronog. e Histog.'!$BZ:$BZ,'Cronog. e Histog.'!EG:EG),"")</f>
        <v>0</v>
      </c>
      <c r="BM257" s="144">
        <f>IFERROR(_xlfn.XLOOKUP($B257,'Cronog. e Histog.'!$BZ:$BZ,'Cronog. e Histog.'!EH:EH),"")</f>
        <v>0</v>
      </c>
      <c r="BN257" s="144">
        <f>IFERROR(_xlfn.XLOOKUP($B257,'Cronog. e Histog.'!$BZ:$BZ,'Cronog. e Histog.'!EI:EI),"")</f>
        <v>0</v>
      </c>
    </row>
    <row r="258" spans="2:66" ht="12" hidden="1" customHeight="1" outlineLevel="1">
      <c r="B258" s="76">
        <v>252</v>
      </c>
      <c r="C258" s="143" t="str">
        <f>IFERROR(VLOOKUP(B258,'Cronog. e Histog.'!$BZ$213:$CA$747,2,0),"")</f>
        <v>AN JR. ADM/CRP</v>
      </c>
      <c r="D258" s="144">
        <f t="shared" si="6"/>
        <v>0</v>
      </c>
      <c r="E258" s="144">
        <f t="shared" si="7"/>
        <v>0</v>
      </c>
      <c r="F258" s="65"/>
      <c r="G258" s="144">
        <f>IFERROR(_xlfn.XLOOKUP($B258,'Cronog. e Histog.'!$BZ:$BZ,'Cronog. e Histog.'!CB:CB),"")</f>
        <v>0</v>
      </c>
      <c r="H258" s="144">
        <f>IFERROR(_xlfn.XLOOKUP($B258,'Cronog. e Histog.'!$BZ:$BZ,'Cronog. e Histog.'!CC:CC),"")</f>
        <v>0</v>
      </c>
      <c r="I258" s="144">
        <f>IFERROR(_xlfn.XLOOKUP($B258,'Cronog. e Histog.'!$BZ:$BZ,'Cronog. e Histog.'!CD:CD),"")</f>
        <v>0</v>
      </c>
      <c r="J258" s="144">
        <f>IFERROR(_xlfn.XLOOKUP($B258,'Cronog. e Histog.'!$BZ:$BZ,'Cronog. e Histog.'!CE:CE),"")</f>
        <v>0</v>
      </c>
      <c r="K258" s="144">
        <f>IFERROR(_xlfn.XLOOKUP($B258,'Cronog. e Histog.'!$BZ:$BZ,'Cronog. e Histog.'!CF:CF),"")</f>
        <v>0</v>
      </c>
      <c r="L258" s="144">
        <f>IFERROR(_xlfn.XLOOKUP($B258,'Cronog. e Histog.'!$BZ:$BZ,'Cronog. e Histog.'!CG:CG),"")</f>
        <v>0</v>
      </c>
      <c r="M258" s="144">
        <f>IFERROR(_xlfn.XLOOKUP($B258,'Cronog. e Histog.'!$BZ:$BZ,'Cronog. e Histog.'!CH:CH),"")</f>
        <v>0</v>
      </c>
      <c r="N258" s="144">
        <f>IFERROR(_xlfn.XLOOKUP($B258,'Cronog. e Histog.'!$BZ:$BZ,'Cronog. e Histog.'!CI:CI),"")</f>
        <v>0</v>
      </c>
      <c r="O258" s="144">
        <f>IFERROR(_xlfn.XLOOKUP($B258,'Cronog. e Histog.'!$BZ:$BZ,'Cronog. e Histog.'!CJ:CJ),"")</f>
        <v>0</v>
      </c>
      <c r="P258" s="144">
        <f>IFERROR(_xlfn.XLOOKUP($B258,'Cronog. e Histog.'!$BZ:$BZ,'Cronog. e Histog.'!CK:CK),"")</f>
        <v>0</v>
      </c>
      <c r="Q258" s="144">
        <f>IFERROR(_xlfn.XLOOKUP($B258,'Cronog. e Histog.'!$BZ:$BZ,'Cronog. e Histog.'!CL:CL),"")</f>
        <v>0</v>
      </c>
      <c r="R258" s="144">
        <f>IFERROR(_xlfn.XLOOKUP($B258,'Cronog. e Histog.'!$BZ:$BZ,'Cronog. e Histog.'!CM:CM),"")</f>
        <v>0</v>
      </c>
      <c r="S258" s="144">
        <f>IFERROR(_xlfn.XLOOKUP($B258,'Cronog. e Histog.'!$BZ:$BZ,'Cronog. e Histog.'!CN:CN),"")</f>
        <v>0</v>
      </c>
      <c r="T258" s="144">
        <f>IFERROR(_xlfn.XLOOKUP($B258,'Cronog. e Histog.'!$BZ:$BZ,'Cronog. e Histog.'!CO:CO),"")</f>
        <v>0</v>
      </c>
      <c r="U258" s="144">
        <f>IFERROR(_xlfn.XLOOKUP($B258,'Cronog. e Histog.'!$BZ:$BZ,'Cronog. e Histog.'!CP:CP),"")</f>
        <v>0</v>
      </c>
      <c r="V258" s="144">
        <f>IFERROR(_xlfn.XLOOKUP($B258,'Cronog. e Histog.'!$BZ:$BZ,'Cronog. e Histog.'!CQ:CQ),"")</f>
        <v>0</v>
      </c>
      <c r="W258" s="144">
        <f>IFERROR(_xlfn.XLOOKUP($B258,'Cronog. e Histog.'!$BZ:$BZ,'Cronog. e Histog.'!CR:CR),"")</f>
        <v>0</v>
      </c>
      <c r="X258" s="144">
        <f>IFERROR(_xlfn.XLOOKUP($B258,'Cronog. e Histog.'!$BZ:$BZ,'Cronog. e Histog.'!CS:CS),"")</f>
        <v>0</v>
      </c>
      <c r="Y258" s="144">
        <f>IFERROR(_xlfn.XLOOKUP($B258,'Cronog. e Histog.'!$BZ:$BZ,'Cronog. e Histog.'!CT:CT),"")</f>
        <v>0</v>
      </c>
      <c r="Z258" s="144">
        <f>IFERROR(_xlfn.XLOOKUP($B258,'Cronog. e Histog.'!$BZ:$BZ,'Cronog. e Histog.'!CU:CU),"")</f>
        <v>0</v>
      </c>
      <c r="AA258" s="144">
        <f>IFERROR(_xlfn.XLOOKUP($B258,'Cronog. e Histog.'!$BZ:$BZ,'Cronog. e Histog.'!CV:CV),"")</f>
        <v>0</v>
      </c>
      <c r="AB258" s="144">
        <f>IFERROR(_xlfn.XLOOKUP($B258,'Cronog. e Histog.'!$BZ:$BZ,'Cronog. e Histog.'!CW:CW),"")</f>
        <v>0</v>
      </c>
      <c r="AC258" s="144">
        <f>IFERROR(_xlfn.XLOOKUP($B258,'Cronog. e Histog.'!$BZ:$BZ,'Cronog. e Histog.'!CX:CX),"")</f>
        <v>0</v>
      </c>
      <c r="AD258" s="144">
        <f>IFERROR(_xlfn.XLOOKUP($B258,'Cronog. e Histog.'!$BZ:$BZ,'Cronog. e Histog.'!CY:CY),"")</f>
        <v>0</v>
      </c>
      <c r="AE258" s="144">
        <f>IFERROR(_xlfn.XLOOKUP($B258,'Cronog. e Histog.'!$BZ:$BZ,'Cronog. e Histog.'!CZ:CZ),"")</f>
        <v>0</v>
      </c>
      <c r="AF258" s="144">
        <f>IFERROR(_xlfn.XLOOKUP($B258,'Cronog. e Histog.'!$BZ:$BZ,'Cronog. e Histog.'!DA:DA),"")</f>
        <v>0</v>
      </c>
      <c r="AG258" s="144">
        <f>IFERROR(_xlfn.XLOOKUP($B258,'Cronog. e Histog.'!$BZ:$BZ,'Cronog. e Histog.'!DB:DB),"")</f>
        <v>0</v>
      </c>
      <c r="AH258" s="144">
        <f>IFERROR(_xlfn.XLOOKUP($B258,'Cronog. e Histog.'!$BZ:$BZ,'Cronog. e Histog.'!DC:DC),"")</f>
        <v>0</v>
      </c>
      <c r="AI258" s="144">
        <f>IFERROR(_xlfn.XLOOKUP($B258,'Cronog. e Histog.'!$BZ:$BZ,'Cronog. e Histog.'!DD:DD),"")</f>
        <v>0</v>
      </c>
      <c r="AJ258" s="144">
        <f>IFERROR(_xlfn.XLOOKUP($B258,'Cronog. e Histog.'!$BZ:$BZ,'Cronog. e Histog.'!DE:DE),"")</f>
        <v>0</v>
      </c>
      <c r="AK258" s="144">
        <f>IFERROR(_xlfn.XLOOKUP($B258,'Cronog. e Histog.'!$BZ:$BZ,'Cronog. e Histog.'!DF:DF),"")</f>
        <v>0</v>
      </c>
      <c r="AL258" s="144">
        <f>IFERROR(_xlfn.XLOOKUP($B258,'Cronog. e Histog.'!$BZ:$BZ,'Cronog. e Histog.'!DG:DG),"")</f>
        <v>0</v>
      </c>
      <c r="AM258" s="144">
        <f>IFERROR(_xlfn.XLOOKUP($B258,'Cronog. e Histog.'!$BZ:$BZ,'Cronog. e Histog.'!DH:DH),"")</f>
        <v>0</v>
      </c>
      <c r="AN258" s="144">
        <f>IFERROR(_xlfn.XLOOKUP($B258,'Cronog. e Histog.'!$BZ:$BZ,'Cronog. e Histog.'!DI:DI),"")</f>
        <v>0</v>
      </c>
      <c r="AO258" s="144">
        <f>IFERROR(_xlfn.XLOOKUP($B258,'Cronog. e Histog.'!$BZ:$BZ,'Cronog. e Histog.'!DJ:DJ),"")</f>
        <v>0</v>
      </c>
      <c r="AP258" s="144">
        <f>IFERROR(_xlfn.XLOOKUP($B258,'Cronog. e Histog.'!$BZ:$BZ,'Cronog. e Histog.'!DK:DK),"")</f>
        <v>0</v>
      </c>
      <c r="AQ258" s="144">
        <f>IFERROR(_xlfn.XLOOKUP($B258,'Cronog. e Histog.'!$BZ:$BZ,'Cronog. e Histog.'!DL:DL),"")</f>
        <v>0</v>
      </c>
      <c r="AR258" s="144">
        <f>IFERROR(_xlfn.XLOOKUP($B258,'Cronog. e Histog.'!$BZ:$BZ,'Cronog. e Histog.'!DM:DM),"")</f>
        <v>0</v>
      </c>
      <c r="AS258" s="144">
        <f>IFERROR(_xlfn.XLOOKUP($B258,'Cronog. e Histog.'!$BZ:$BZ,'Cronog. e Histog.'!DN:DN),"")</f>
        <v>0</v>
      </c>
      <c r="AT258" s="144">
        <f>IFERROR(_xlfn.XLOOKUP($B258,'Cronog. e Histog.'!$BZ:$BZ,'Cronog. e Histog.'!DO:DO),"")</f>
        <v>0</v>
      </c>
      <c r="AU258" s="144">
        <f>IFERROR(_xlfn.XLOOKUP($B258,'Cronog. e Histog.'!$BZ:$BZ,'Cronog. e Histog.'!DP:DP),"")</f>
        <v>0</v>
      </c>
      <c r="AV258" s="144">
        <f>IFERROR(_xlfn.XLOOKUP($B258,'Cronog. e Histog.'!$BZ:$BZ,'Cronog. e Histog.'!DQ:DQ),"")</f>
        <v>0</v>
      </c>
      <c r="AW258" s="144">
        <f>IFERROR(_xlfn.XLOOKUP($B258,'Cronog. e Histog.'!$BZ:$BZ,'Cronog. e Histog.'!DR:DR),"")</f>
        <v>0</v>
      </c>
      <c r="AX258" s="144">
        <f>IFERROR(_xlfn.XLOOKUP($B258,'Cronog. e Histog.'!$BZ:$BZ,'Cronog. e Histog.'!DS:DS),"")</f>
        <v>0</v>
      </c>
      <c r="AY258" s="144">
        <f>IFERROR(_xlfn.XLOOKUP($B258,'Cronog. e Histog.'!$BZ:$BZ,'Cronog. e Histog.'!DT:DT),"")</f>
        <v>0</v>
      </c>
      <c r="AZ258" s="144">
        <f>IFERROR(_xlfn.XLOOKUP($B258,'Cronog. e Histog.'!$BZ:$BZ,'Cronog. e Histog.'!DU:DU),"")</f>
        <v>0</v>
      </c>
      <c r="BA258" s="144">
        <f>IFERROR(_xlfn.XLOOKUP($B258,'Cronog. e Histog.'!$BZ:$BZ,'Cronog. e Histog.'!DV:DV),"")</f>
        <v>0</v>
      </c>
      <c r="BB258" s="144">
        <f>IFERROR(_xlfn.XLOOKUP($B258,'Cronog. e Histog.'!$BZ:$BZ,'Cronog. e Histog.'!DW:DW),"")</f>
        <v>0</v>
      </c>
      <c r="BC258" s="144">
        <f>IFERROR(_xlfn.XLOOKUP($B258,'Cronog. e Histog.'!$BZ:$BZ,'Cronog. e Histog.'!DX:DX),"")</f>
        <v>0</v>
      </c>
      <c r="BD258" s="144">
        <f>IFERROR(_xlfn.XLOOKUP($B258,'Cronog. e Histog.'!$BZ:$BZ,'Cronog. e Histog.'!DY:DY),"")</f>
        <v>0</v>
      </c>
      <c r="BE258" s="144">
        <f>IFERROR(_xlfn.XLOOKUP($B258,'Cronog. e Histog.'!$BZ:$BZ,'Cronog. e Histog.'!DZ:DZ),"")</f>
        <v>0</v>
      </c>
      <c r="BF258" s="144">
        <f>IFERROR(_xlfn.XLOOKUP($B258,'Cronog. e Histog.'!$BZ:$BZ,'Cronog. e Histog.'!EA:EA),"")</f>
        <v>0</v>
      </c>
      <c r="BG258" s="144">
        <f>IFERROR(_xlfn.XLOOKUP($B258,'Cronog. e Histog.'!$BZ:$BZ,'Cronog. e Histog.'!EB:EB),"")</f>
        <v>0</v>
      </c>
      <c r="BH258" s="144">
        <f>IFERROR(_xlfn.XLOOKUP($B258,'Cronog. e Histog.'!$BZ:$BZ,'Cronog. e Histog.'!EC:EC),"")</f>
        <v>0</v>
      </c>
      <c r="BI258" s="144">
        <f>IFERROR(_xlfn.XLOOKUP($B258,'Cronog. e Histog.'!$BZ:$BZ,'Cronog. e Histog.'!ED:ED),"")</f>
        <v>0</v>
      </c>
      <c r="BJ258" s="144">
        <f>IFERROR(_xlfn.XLOOKUP($B258,'Cronog. e Histog.'!$BZ:$BZ,'Cronog. e Histog.'!EE:EE),"")</f>
        <v>0</v>
      </c>
      <c r="BK258" s="144">
        <f>IFERROR(_xlfn.XLOOKUP($B258,'Cronog. e Histog.'!$BZ:$BZ,'Cronog. e Histog.'!EF:EF),"")</f>
        <v>0</v>
      </c>
      <c r="BL258" s="144">
        <f>IFERROR(_xlfn.XLOOKUP($B258,'Cronog. e Histog.'!$BZ:$BZ,'Cronog. e Histog.'!EG:EG),"")</f>
        <v>0</v>
      </c>
      <c r="BM258" s="144">
        <f>IFERROR(_xlfn.XLOOKUP($B258,'Cronog. e Histog.'!$BZ:$BZ,'Cronog. e Histog.'!EH:EH),"")</f>
        <v>0</v>
      </c>
      <c r="BN258" s="144">
        <f>IFERROR(_xlfn.XLOOKUP($B258,'Cronog. e Histog.'!$BZ:$BZ,'Cronog. e Histog.'!EI:EI),"")</f>
        <v>0</v>
      </c>
    </row>
    <row r="259" spans="2:66" ht="12" hidden="1" customHeight="1" outlineLevel="1">
      <c r="B259" s="76">
        <v>253</v>
      </c>
      <c r="C259" s="143" t="str">
        <f>IFERROR(VLOOKUP(B259,'Cronog. e Histog.'!$BZ$213:$CA$747,2,0),"")</f>
        <v>TEC III</v>
      </c>
      <c r="D259" s="144">
        <f t="shared" si="6"/>
        <v>0</v>
      </c>
      <c r="E259" s="144">
        <f t="shared" si="7"/>
        <v>0</v>
      </c>
      <c r="F259" s="65"/>
      <c r="G259" s="144">
        <f>IFERROR(_xlfn.XLOOKUP($B259,'Cronog. e Histog.'!$BZ:$BZ,'Cronog. e Histog.'!CB:CB),"")</f>
        <v>0</v>
      </c>
      <c r="H259" s="144">
        <f>IFERROR(_xlfn.XLOOKUP($B259,'Cronog. e Histog.'!$BZ:$BZ,'Cronog. e Histog.'!CC:CC),"")</f>
        <v>0</v>
      </c>
      <c r="I259" s="144">
        <f>IFERROR(_xlfn.XLOOKUP($B259,'Cronog. e Histog.'!$BZ:$BZ,'Cronog. e Histog.'!CD:CD),"")</f>
        <v>0</v>
      </c>
      <c r="J259" s="144">
        <f>IFERROR(_xlfn.XLOOKUP($B259,'Cronog. e Histog.'!$BZ:$BZ,'Cronog. e Histog.'!CE:CE),"")</f>
        <v>0</v>
      </c>
      <c r="K259" s="144">
        <f>IFERROR(_xlfn.XLOOKUP($B259,'Cronog. e Histog.'!$BZ:$BZ,'Cronog. e Histog.'!CF:CF),"")</f>
        <v>0</v>
      </c>
      <c r="L259" s="144">
        <f>IFERROR(_xlfn.XLOOKUP($B259,'Cronog. e Histog.'!$BZ:$BZ,'Cronog. e Histog.'!CG:CG),"")</f>
        <v>0</v>
      </c>
      <c r="M259" s="144">
        <f>IFERROR(_xlfn.XLOOKUP($B259,'Cronog. e Histog.'!$BZ:$BZ,'Cronog. e Histog.'!CH:CH),"")</f>
        <v>0</v>
      </c>
      <c r="N259" s="144">
        <f>IFERROR(_xlfn.XLOOKUP($B259,'Cronog. e Histog.'!$BZ:$BZ,'Cronog. e Histog.'!CI:CI),"")</f>
        <v>0</v>
      </c>
      <c r="O259" s="144">
        <f>IFERROR(_xlfn.XLOOKUP($B259,'Cronog. e Histog.'!$BZ:$BZ,'Cronog. e Histog.'!CJ:CJ),"")</f>
        <v>0</v>
      </c>
      <c r="P259" s="144">
        <f>IFERROR(_xlfn.XLOOKUP($B259,'Cronog. e Histog.'!$BZ:$BZ,'Cronog. e Histog.'!CK:CK),"")</f>
        <v>0</v>
      </c>
      <c r="Q259" s="144">
        <f>IFERROR(_xlfn.XLOOKUP($B259,'Cronog. e Histog.'!$BZ:$BZ,'Cronog. e Histog.'!CL:CL),"")</f>
        <v>0</v>
      </c>
      <c r="R259" s="144">
        <f>IFERROR(_xlfn.XLOOKUP($B259,'Cronog. e Histog.'!$BZ:$BZ,'Cronog. e Histog.'!CM:CM),"")</f>
        <v>0</v>
      </c>
      <c r="S259" s="144">
        <f>IFERROR(_xlfn.XLOOKUP($B259,'Cronog. e Histog.'!$BZ:$BZ,'Cronog. e Histog.'!CN:CN),"")</f>
        <v>0</v>
      </c>
      <c r="T259" s="144">
        <f>IFERROR(_xlfn.XLOOKUP($B259,'Cronog. e Histog.'!$BZ:$BZ,'Cronog. e Histog.'!CO:CO),"")</f>
        <v>0</v>
      </c>
      <c r="U259" s="144">
        <f>IFERROR(_xlfn.XLOOKUP($B259,'Cronog. e Histog.'!$BZ:$BZ,'Cronog. e Histog.'!CP:CP),"")</f>
        <v>0</v>
      </c>
      <c r="V259" s="144">
        <f>IFERROR(_xlfn.XLOOKUP($B259,'Cronog. e Histog.'!$BZ:$BZ,'Cronog. e Histog.'!CQ:CQ),"")</f>
        <v>0</v>
      </c>
      <c r="W259" s="144">
        <f>IFERROR(_xlfn.XLOOKUP($B259,'Cronog. e Histog.'!$BZ:$BZ,'Cronog. e Histog.'!CR:CR),"")</f>
        <v>0</v>
      </c>
      <c r="X259" s="144">
        <f>IFERROR(_xlfn.XLOOKUP($B259,'Cronog. e Histog.'!$BZ:$BZ,'Cronog. e Histog.'!CS:CS),"")</f>
        <v>0</v>
      </c>
      <c r="Y259" s="144">
        <f>IFERROR(_xlfn.XLOOKUP($B259,'Cronog. e Histog.'!$BZ:$BZ,'Cronog. e Histog.'!CT:CT),"")</f>
        <v>0</v>
      </c>
      <c r="Z259" s="144">
        <f>IFERROR(_xlfn.XLOOKUP($B259,'Cronog. e Histog.'!$BZ:$BZ,'Cronog. e Histog.'!CU:CU),"")</f>
        <v>0</v>
      </c>
      <c r="AA259" s="144">
        <f>IFERROR(_xlfn.XLOOKUP($B259,'Cronog. e Histog.'!$BZ:$BZ,'Cronog. e Histog.'!CV:CV),"")</f>
        <v>0</v>
      </c>
      <c r="AB259" s="144">
        <f>IFERROR(_xlfn.XLOOKUP($B259,'Cronog. e Histog.'!$BZ:$BZ,'Cronog. e Histog.'!CW:CW),"")</f>
        <v>0</v>
      </c>
      <c r="AC259" s="144">
        <f>IFERROR(_xlfn.XLOOKUP($B259,'Cronog. e Histog.'!$BZ:$BZ,'Cronog. e Histog.'!CX:CX),"")</f>
        <v>0</v>
      </c>
      <c r="AD259" s="144">
        <f>IFERROR(_xlfn.XLOOKUP($B259,'Cronog. e Histog.'!$BZ:$BZ,'Cronog. e Histog.'!CY:CY),"")</f>
        <v>0</v>
      </c>
      <c r="AE259" s="144">
        <f>IFERROR(_xlfn.XLOOKUP($B259,'Cronog. e Histog.'!$BZ:$BZ,'Cronog. e Histog.'!CZ:CZ),"")</f>
        <v>0</v>
      </c>
      <c r="AF259" s="144">
        <f>IFERROR(_xlfn.XLOOKUP($B259,'Cronog. e Histog.'!$BZ:$BZ,'Cronog. e Histog.'!DA:DA),"")</f>
        <v>0</v>
      </c>
      <c r="AG259" s="144">
        <f>IFERROR(_xlfn.XLOOKUP($B259,'Cronog. e Histog.'!$BZ:$BZ,'Cronog. e Histog.'!DB:DB),"")</f>
        <v>0</v>
      </c>
      <c r="AH259" s="144">
        <f>IFERROR(_xlfn.XLOOKUP($B259,'Cronog. e Histog.'!$BZ:$BZ,'Cronog. e Histog.'!DC:DC),"")</f>
        <v>0</v>
      </c>
      <c r="AI259" s="144">
        <f>IFERROR(_xlfn.XLOOKUP($B259,'Cronog. e Histog.'!$BZ:$BZ,'Cronog. e Histog.'!DD:DD),"")</f>
        <v>0</v>
      </c>
      <c r="AJ259" s="144">
        <f>IFERROR(_xlfn.XLOOKUP($B259,'Cronog. e Histog.'!$BZ:$BZ,'Cronog. e Histog.'!DE:DE),"")</f>
        <v>0</v>
      </c>
      <c r="AK259" s="144">
        <f>IFERROR(_xlfn.XLOOKUP($B259,'Cronog. e Histog.'!$BZ:$BZ,'Cronog. e Histog.'!DF:DF),"")</f>
        <v>0</v>
      </c>
      <c r="AL259" s="144">
        <f>IFERROR(_xlfn.XLOOKUP($B259,'Cronog. e Histog.'!$BZ:$BZ,'Cronog. e Histog.'!DG:DG),"")</f>
        <v>0</v>
      </c>
      <c r="AM259" s="144">
        <f>IFERROR(_xlfn.XLOOKUP($B259,'Cronog. e Histog.'!$BZ:$BZ,'Cronog. e Histog.'!DH:DH),"")</f>
        <v>0</v>
      </c>
      <c r="AN259" s="144">
        <f>IFERROR(_xlfn.XLOOKUP($B259,'Cronog. e Histog.'!$BZ:$BZ,'Cronog. e Histog.'!DI:DI),"")</f>
        <v>0</v>
      </c>
      <c r="AO259" s="144">
        <f>IFERROR(_xlfn.XLOOKUP($B259,'Cronog. e Histog.'!$BZ:$BZ,'Cronog. e Histog.'!DJ:DJ),"")</f>
        <v>0</v>
      </c>
      <c r="AP259" s="144">
        <f>IFERROR(_xlfn.XLOOKUP($B259,'Cronog. e Histog.'!$BZ:$BZ,'Cronog. e Histog.'!DK:DK),"")</f>
        <v>0</v>
      </c>
      <c r="AQ259" s="144">
        <f>IFERROR(_xlfn.XLOOKUP($B259,'Cronog. e Histog.'!$BZ:$BZ,'Cronog. e Histog.'!DL:DL),"")</f>
        <v>0</v>
      </c>
      <c r="AR259" s="144">
        <f>IFERROR(_xlfn.XLOOKUP($B259,'Cronog. e Histog.'!$BZ:$BZ,'Cronog. e Histog.'!DM:DM),"")</f>
        <v>0</v>
      </c>
      <c r="AS259" s="144">
        <f>IFERROR(_xlfn.XLOOKUP($B259,'Cronog. e Histog.'!$BZ:$BZ,'Cronog. e Histog.'!DN:DN),"")</f>
        <v>0</v>
      </c>
      <c r="AT259" s="144">
        <f>IFERROR(_xlfn.XLOOKUP($B259,'Cronog. e Histog.'!$BZ:$BZ,'Cronog. e Histog.'!DO:DO),"")</f>
        <v>0</v>
      </c>
      <c r="AU259" s="144">
        <f>IFERROR(_xlfn.XLOOKUP($B259,'Cronog. e Histog.'!$BZ:$BZ,'Cronog. e Histog.'!DP:DP),"")</f>
        <v>0</v>
      </c>
      <c r="AV259" s="144">
        <f>IFERROR(_xlfn.XLOOKUP($B259,'Cronog. e Histog.'!$BZ:$BZ,'Cronog. e Histog.'!DQ:DQ),"")</f>
        <v>0</v>
      </c>
      <c r="AW259" s="144">
        <f>IFERROR(_xlfn.XLOOKUP($B259,'Cronog. e Histog.'!$BZ:$BZ,'Cronog. e Histog.'!DR:DR),"")</f>
        <v>0</v>
      </c>
      <c r="AX259" s="144">
        <f>IFERROR(_xlfn.XLOOKUP($B259,'Cronog. e Histog.'!$BZ:$BZ,'Cronog. e Histog.'!DS:DS),"")</f>
        <v>0</v>
      </c>
      <c r="AY259" s="144">
        <f>IFERROR(_xlfn.XLOOKUP($B259,'Cronog. e Histog.'!$BZ:$BZ,'Cronog. e Histog.'!DT:DT),"")</f>
        <v>0</v>
      </c>
      <c r="AZ259" s="144">
        <f>IFERROR(_xlfn.XLOOKUP($B259,'Cronog. e Histog.'!$BZ:$BZ,'Cronog. e Histog.'!DU:DU),"")</f>
        <v>0</v>
      </c>
      <c r="BA259" s="144">
        <f>IFERROR(_xlfn.XLOOKUP($B259,'Cronog. e Histog.'!$BZ:$BZ,'Cronog. e Histog.'!DV:DV),"")</f>
        <v>0</v>
      </c>
      <c r="BB259" s="144">
        <f>IFERROR(_xlfn.XLOOKUP($B259,'Cronog. e Histog.'!$BZ:$BZ,'Cronog. e Histog.'!DW:DW),"")</f>
        <v>0</v>
      </c>
      <c r="BC259" s="144">
        <f>IFERROR(_xlfn.XLOOKUP($B259,'Cronog. e Histog.'!$BZ:$BZ,'Cronog. e Histog.'!DX:DX),"")</f>
        <v>0</v>
      </c>
      <c r="BD259" s="144">
        <f>IFERROR(_xlfn.XLOOKUP($B259,'Cronog. e Histog.'!$BZ:$BZ,'Cronog. e Histog.'!DY:DY),"")</f>
        <v>0</v>
      </c>
      <c r="BE259" s="144">
        <f>IFERROR(_xlfn.XLOOKUP($B259,'Cronog. e Histog.'!$BZ:$BZ,'Cronog. e Histog.'!DZ:DZ),"")</f>
        <v>0</v>
      </c>
      <c r="BF259" s="144">
        <f>IFERROR(_xlfn.XLOOKUP($B259,'Cronog. e Histog.'!$BZ:$BZ,'Cronog. e Histog.'!EA:EA),"")</f>
        <v>0</v>
      </c>
      <c r="BG259" s="144">
        <f>IFERROR(_xlfn.XLOOKUP($B259,'Cronog. e Histog.'!$BZ:$BZ,'Cronog. e Histog.'!EB:EB),"")</f>
        <v>0</v>
      </c>
      <c r="BH259" s="144">
        <f>IFERROR(_xlfn.XLOOKUP($B259,'Cronog. e Histog.'!$BZ:$BZ,'Cronog. e Histog.'!EC:EC),"")</f>
        <v>0</v>
      </c>
      <c r="BI259" s="144">
        <f>IFERROR(_xlfn.XLOOKUP($B259,'Cronog. e Histog.'!$BZ:$BZ,'Cronog. e Histog.'!ED:ED),"")</f>
        <v>0</v>
      </c>
      <c r="BJ259" s="144">
        <f>IFERROR(_xlfn.XLOOKUP($B259,'Cronog. e Histog.'!$BZ:$BZ,'Cronog. e Histog.'!EE:EE),"")</f>
        <v>0</v>
      </c>
      <c r="BK259" s="144">
        <f>IFERROR(_xlfn.XLOOKUP($B259,'Cronog. e Histog.'!$BZ:$BZ,'Cronog. e Histog.'!EF:EF),"")</f>
        <v>0</v>
      </c>
      <c r="BL259" s="144">
        <f>IFERROR(_xlfn.XLOOKUP($B259,'Cronog. e Histog.'!$BZ:$BZ,'Cronog. e Histog.'!EG:EG),"")</f>
        <v>0</v>
      </c>
      <c r="BM259" s="144">
        <f>IFERROR(_xlfn.XLOOKUP($B259,'Cronog. e Histog.'!$BZ:$BZ,'Cronog. e Histog.'!EH:EH),"")</f>
        <v>0</v>
      </c>
      <c r="BN259" s="144">
        <f>IFERROR(_xlfn.XLOOKUP($B259,'Cronog. e Histog.'!$BZ:$BZ,'Cronog. e Histog.'!EI:EI),"")</f>
        <v>0</v>
      </c>
    </row>
    <row r="260" spans="2:66" ht="12" hidden="1" customHeight="1" outlineLevel="1">
      <c r="B260" s="76">
        <v>254</v>
      </c>
      <c r="C260" s="143" t="str">
        <f>IFERROR(VLOOKUP(B260,'Cronog. e Histog.'!$BZ$213:$CA$747,2,0),"")</f>
        <v>TEC II</v>
      </c>
      <c r="D260" s="144">
        <f t="shared" si="6"/>
        <v>0</v>
      </c>
      <c r="E260" s="144">
        <f t="shared" si="7"/>
        <v>0</v>
      </c>
      <c r="F260" s="65"/>
      <c r="G260" s="144">
        <f>IFERROR(_xlfn.XLOOKUP($B260,'Cronog. e Histog.'!$BZ:$BZ,'Cronog. e Histog.'!CB:CB),"")</f>
        <v>0</v>
      </c>
      <c r="H260" s="144">
        <f>IFERROR(_xlfn.XLOOKUP($B260,'Cronog. e Histog.'!$BZ:$BZ,'Cronog. e Histog.'!CC:CC),"")</f>
        <v>0</v>
      </c>
      <c r="I260" s="144">
        <f>IFERROR(_xlfn.XLOOKUP($B260,'Cronog. e Histog.'!$BZ:$BZ,'Cronog. e Histog.'!CD:CD),"")</f>
        <v>0</v>
      </c>
      <c r="J260" s="144">
        <f>IFERROR(_xlfn.XLOOKUP($B260,'Cronog. e Histog.'!$BZ:$BZ,'Cronog. e Histog.'!CE:CE),"")</f>
        <v>0</v>
      </c>
      <c r="K260" s="144">
        <f>IFERROR(_xlfn.XLOOKUP($B260,'Cronog. e Histog.'!$BZ:$BZ,'Cronog. e Histog.'!CF:CF),"")</f>
        <v>0</v>
      </c>
      <c r="L260" s="144">
        <f>IFERROR(_xlfn.XLOOKUP($B260,'Cronog. e Histog.'!$BZ:$BZ,'Cronog. e Histog.'!CG:CG),"")</f>
        <v>0</v>
      </c>
      <c r="M260" s="144">
        <f>IFERROR(_xlfn.XLOOKUP($B260,'Cronog. e Histog.'!$BZ:$BZ,'Cronog. e Histog.'!CH:CH),"")</f>
        <v>0</v>
      </c>
      <c r="N260" s="144">
        <f>IFERROR(_xlfn.XLOOKUP($B260,'Cronog. e Histog.'!$BZ:$BZ,'Cronog. e Histog.'!CI:CI),"")</f>
        <v>0</v>
      </c>
      <c r="O260" s="144">
        <f>IFERROR(_xlfn.XLOOKUP($B260,'Cronog. e Histog.'!$BZ:$BZ,'Cronog. e Histog.'!CJ:CJ),"")</f>
        <v>0</v>
      </c>
      <c r="P260" s="144">
        <f>IFERROR(_xlfn.XLOOKUP($B260,'Cronog. e Histog.'!$BZ:$BZ,'Cronog. e Histog.'!CK:CK),"")</f>
        <v>0</v>
      </c>
      <c r="Q260" s="144">
        <f>IFERROR(_xlfn.XLOOKUP($B260,'Cronog. e Histog.'!$BZ:$BZ,'Cronog. e Histog.'!CL:CL),"")</f>
        <v>0</v>
      </c>
      <c r="R260" s="144">
        <f>IFERROR(_xlfn.XLOOKUP($B260,'Cronog. e Histog.'!$BZ:$BZ,'Cronog. e Histog.'!CM:CM),"")</f>
        <v>0</v>
      </c>
      <c r="S260" s="144">
        <f>IFERROR(_xlfn.XLOOKUP($B260,'Cronog. e Histog.'!$BZ:$BZ,'Cronog. e Histog.'!CN:CN),"")</f>
        <v>0</v>
      </c>
      <c r="T260" s="144">
        <f>IFERROR(_xlfn.XLOOKUP($B260,'Cronog. e Histog.'!$BZ:$BZ,'Cronog. e Histog.'!CO:CO),"")</f>
        <v>0</v>
      </c>
      <c r="U260" s="144">
        <f>IFERROR(_xlfn.XLOOKUP($B260,'Cronog. e Histog.'!$BZ:$BZ,'Cronog. e Histog.'!CP:CP),"")</f>
        <v>0</v>
      </c>
      <c r="V260" s="144">
        <f>IFERROR(_xlfn.XLOOKUP($B260,'Cronog. e Histog.'!$BZ:$BZ,'Cronog. e Histog.'!CQ:CQ),"")</f>
        <v>0</v>
      </c>
      <c r="W260" s="144">
        <f>IFERROR(_xlfn.XLOOKUP($B260,'Cronog. e Histog.'!$BZ:$BZ,'Cronog. e Histog.'!CR:CR),"")</f>
        <v>0</v>
      </c>
      <c r="X260" s="144">
        <f>IFERROR(_xlfn.XLOOKUP($B260,'Cronog. e Histog.'!$BZ:$BZ,'Cronog. e Histog.'!CS:CS),"")</f>
        <v>0</v>
      </c>
      <c r="Y260" s="144">
        <f>IFERROR(_xlfn.XLOOKUP($B260,'Cronog. e Histog.'!$BZ:$BZ,'Cronog. e Histog.'!CT:CT),"")</f>
        <v>0</v>
      </c>
      <c r="Z260" s="144">
        <f>IFERROR(_xlfn.XLOOKUP($B260,'Cronog. e Histog.'!$BZ:$BZ,'Cronog. e Histog.'!CU:CU),"")</f>
        <v>0</v>
      </c>
      <c r="AA260" s="144">
        <f>IFERROR(_xlfn.XLOOKUP($B260,'Cronog. e Histog.'!$BZ:$BZ,'Cronog. e Histog.'!CV:CV),"")</f>
        <v>0</v>
      </c>
      <c r="AB260" s="144">
        <f>IFERROR(_xlfn.XLOOKUP($B260,'Cronog. e Histog.'!$BZ:$BZ,'Cronog. e Histog.'!CW:CW),"")</f>
        <v>0</v>
      </c>
      <c r="AC260" s="144">
        <f>IFERROR(_xlfn.XLOOKUP($B260,'Cronog. e Histog.'!$BZ:$BZ,'Cronog. e Histog.'!CX:CX),"")</f>
        <v>0</v>
      </c>
      <c r="AD260" s="144">
        <f>IFERROR(_xlfn.XLOOKUP($B260,'Cronog. e Histog.'!$BZ:$BZ,'Cronog. e Histog.'!CY:CY),"")</f>
        <v>0</v>
      </c>
      <c r="AE260" s="144">
        <f>IFERROR(_xlfn.XLOOKUP($B260,'Cronog. e Histog.'!$BZ:$BZ,'Cronog. e Histog.'!CZ:CZ),"")</f>
        <v>0</v>
      </c>
      <c r="AF260" s="144">
        <f>IFERROR(_xlfn.XLOOKUP($B260,'Cronog. e Histog.'!$BZ:$BZ,'Cronog. e Histog.'!DA:DA),"")</f>
        <v>0</v>
      </c>
      <c r="AG260" s="144">
        <f>IFERROR(_xlfn.XLOOKUP($B260,'Cronog. e Histog.'!$BZ:$BZ,'Cronog. e Histog.'!DB:DB),"")</f>
        <v>0</v>
      </c>
      <c r="AH260" s="144">
        <f>IFERROR(_xlfn.XLOOKUP($B260,'Cronog. e Histog.'!$BZ:$BZ,'Cronog. e Histog.'!DC:DC),"")</f>
        <v>0</v>
      </c>
      <c r="AI260" s="144">
        <f>IFERROR(_xlfn.XLOOKUP($B260,'Cronog. e Histog.'!$BZ:$BZ,'Cronog. e Histog.'!DD:DD),"")</f>
        <v>0</v>
      </c>
      <c r="AJ260" s="144">
        <f>IFERROR(_xlfn.XLOOKUP($B260,'Cronog. e Histog.'!$BZ:$BZ,'Cronog. e Histog.'!DE:DE),"")</f>
        <v>0</v>
      </c>
      <c r="AK260" s="144">
        <f>IFERROR(_xlfn.XLOOKUP($B260,'Cronog. e Histog.'!$BZ:$BZ,'Cronog. e Histog.'!DF:DF),"")</f>
        <v>0</v>
      </c>
      <c r="AL260" s="144">
        <f>IFERROR(_xlfn.XLOOKUP($B260,'Cronog. e Histog.'!$BZ:$BZ,'Cronog. e Histog.'!DG:DG),"")</f>
        <v>0</v>
      </c>
      <c r="AM260" s="144">
        <f>IFERROR(_xlfn.XLOOKUP($B260,'Cronog. e Histog.'!$BZ:$BZ,'Cronog. e Histog.'!DH:DH),"")</f>
        <v>0</v>
      </c>
      <c r="AN260" s="144">
        <f>IFERROR(_xlfn.XLOOKUP($B260,'Cronog. e Histog.'!$BZ:$BZ,'Cronog. e Histog.'!DI:DI),"")</f>
        <v>0</v>
      </c>
      <c r="AO260" s="144">
        <f>IFERROR(_xlfn.XLOOKUP($B260,'Cronog. e Histog.'!$BZ:$BZ,'Cronog. e Histog.'!DJ:DJ),"")</f>
        <v>0</v>
      </c>
      <c r="AP260" s="144">
        <f>IFERROR(_xlfn.XLOOKUP($B260,'Cronog. e Histog.'!$BZ:$BZ,'Cronog. e Histog.'!DK:DK),"")</f>
        <v>0</v>
      </c>
      <c r="AQ260" s="144">
        <f>IFERROR(_xlfn.XLOOKUP($B260,'Cronog. e Histog.'!$BZ:$BZ,'Cronog. e Histog.'!DL:DL),"")</f>
        <v>0</v>
      </c>
      <c r="AR260" s="144">
        <f>IFERROR(_xlfn.XLOOKUP($B260,'Cronog. e Histog.'!$BZ:$BZ,'Cronog. e Histog.'!DM:DM),"")</f>
        <v>0</v>
      </c>
      <c r="AS260" s="144">
        <f>IFERROR(_xlfn.XLOOKUP($B260,'Cronog. e Histog.'!$BZ:$BZ,'Cronog. e Histog.'!DN:DN),"")</f>
        <v>0</v>
      </c>
      <c r="AT260" s="144">
        <f>IFERROR(_xlfn.XLOOKUP($B260,'Cronog. e Histog.'!$BZ:$BZ,'Cronog. e Histog.'!DO:DO),"")</f>
        <v>0</v>
      </c>
      <c r="AU260" s="144">
        <f>IFERROR(_xlfn.XLOOKUP($B260,'Cronog. e Histog.'!$BZ:$BZ,'Cronog. e Histog.'!DP:DP),"")</f>
        <v>0</v>
      </c>
      <c r="AV260" s="144">
        <f>IFERROR(_xlfn.XLOOKUP($B260,'Cronog. e Histog.'!$BZ:$BZ,'Cronog. e Histog.'!DQ:DQ),"")</f>
        <v>0</v>
      </c>
      <c r="AW260" s="144">
        <f>IFERROR(_xlfn.XLOOKUP($B260,'Cronog. e Histog.'!$BZ:$BZ,'Cronog. e Histog.'!DR:DR),"")</f>
        <v>0</v>
      </c>
      <c r="AX260" s="144">
        <f>IFERROR(_xlfn.XLOOKUP($B260,'Cronog. e Histog.'!$BZ:$BZ,'Cronog. e Histog.'!DS:DS),"")</f>
        <v>0</v>
      </c>
      <c r="AY260" s="144">
        <f>IFERROR(_xlfn.XLOOKUP($B260,'Cronog. e Histog.'!$BZ:$BZ,'Cronog. e Histog.'!DT:DT),"")</f>
        <v>0</v>
      </c>
      <c r="AZ260" s="144">
        <f>IFERROR(_xlfn.XLOOKUP($B260,'Cronog. e Histog.'!$BZ:$BZ,'Cronog. e Histog.'!DU:DU),"")</f>
        <v>0</v>
      </c>
      <c r="BA260" s="144">
        <f>IFERROR(_xlfn.XLOOKUP($B260,'Cronog. e Histog.'!$BZ:$BZ,'Cronog. e Histog.'!DV:DV),"")</f>
        <v>0</v>
      </c>
      <c r="BB260" s="144">
        <f>IFERROR(_xlfn.XLOOKUP($B260,'Cronog. e Histog.'!$BZ:$BZ,'Cronog. e Histog.'!DW:DW),"")</f>
        <v>0</v>
      </c>
      <c r="BC260" s="144">
        <f>IFERROR(_xlfn.XLOOKUP($B260,'Cronog. e Histog.'!$BZ:$BZ,'Cronog. e Histog.'!DX:DX),"")</f>
        <v>0</v>
      </c>
      <c r="BD260" s="144">
        <f>IFERROR(_xlfn.XLOOKUP($B260,'Cronog. e Histog.'!$BZ:$BZ,'Cronog. e Histog.'!DY:DY),"")</f>
        <v>0</v>
      </c>
      <c r="BE260" s="144">
        <f>IFERROR(_xlfn.XLOOKUP($B260,'Cronog. e Histog.'!$BZ:$BZ,'Cronog. e Histog.'!DZ:DZ),"")</f>
        <v>0</v>
      </c>
      <c r="BF260" s="144">
        <f>IFERROR(_xlfn.XLOOKUP($B260,'Cronog. e Histog.'!$BZ:$BZ,'Cronog. e Histog.'!EA:EA),"")</f>
        <v>0</v>
      </c>
      <c r="BG260" s="144">
        <f>IFERROR(_xlfn.XLOOKUP($B260,'Cronog. e Histog.'!$BZ:$BZ,'Cronog. e Histog.'!EB:EB),"")</f>
        <v>0</v>
      </c>
      <c r="BH260" s="144">
        <f>IFERROR(_xlfn.XLOOKUP($B260,'Cronog. e Histog.'!$BZ:$BZ,'Cronog. e Histog.'!EC:EC),"")</f>
        <v>0</v>
      </c>
      <c r="BI260" s="144">
        <f>IFERROR(_xlfn.XLOOKUP($B260,'Cronog. e Histog.'!$BZ:$BZ,'Cronog. e Histog.'!ED:ED),"")</f>
        <v>0</v>
      </c>
      <c r="BJ260" s="144">
        <f>IFERROR(_xlfn.XLOOKUP($B260,'Cronog. e Histog.'!$BZ:$BZ,'Cronog. e Histog.'!EE:EE),"")</f>
        <v>0</v>
      </c>
      <c r="BK260" s="144">
        <f>IFERROR(_xlfn.XLOOKUP($B260,'Cronog. e Histog.'!$BZ:$BZ,'Cronog. e Histog.'!EF:EF),"")</f>
        <v>0</v>
      </c>
      <c r="BL260" s="144">
        <f>IFERROR(_xlfn.XLOOKUP($B260,'Cronog. e Histog.'!$BZ:$BZ,'Cronog. e Histog.'!EG:EG),"")</f>
        <v>0</v>
      </c>
      <c r="BM260" s="144">
        <f>IFERROR(_xlfn.XLOOKUP($B260,'Cronog. e Histog.'!$BZ:$BZ,'Cronog. e Histog.'!EH:EH),"")</f>
        <v>0</v>
      </c>
      <c r="BN260" s="144">
        <f>IFERROR(_xlfn.XLOOKUP($B260,'Cronog. e Histog.'!$BZ:$BZ,'Cronog. e Histog.'!EI:EI),"")</f>
        <v>0</v>
      </c>
    </row>
    <row r="261" spans="2:66" ht="12" hidden="1" customHeight="1" outlineLevel="1">
      <c r="B261" s="76">
        <v>255</v>
      </c>
      <c r="C261" s="143" t="str">
        <f>IFERROR(VLOOKUP(B261,'Cronog. e Histog.'!$BZ$213:$CA$747,2,0),"")</f>
        <v>TEC I</v>
      </c>
      <c r="D261" s="144">
        <f t="shared" si="6"/>
        <v>0</v>
      </c>
      <c r="E261" s="144">
        <f t="shared" si="7"/>
        <v>0</v>
      </c>
      <c r="F261" s="65"/>
      <c r="G261" s="144">
        <f>IFERROR(_xlfn.XLOOKUP($B261,'Cronog. e Histog.'!$BZ:$BZ,'Cronog. e Histog.'!CB:CB),"")</f>
        <v>0</v>
      </c>
      <c r="H261" s="144">
        <f>IFERROR(_xlfn.XLOOKUP($B261,'Cronog. e Histog.'!$BZ:$BZ,'Cronog. e Histog.'!CC:CC),"")</f>
        <v>0</v>
      </c>
      <c r="I261" s="144">
        <f>IFERROR(_xlfn.XLOOKUP($B261,'Cronog. e Histog.'!$BZ:$BZ,'Cronog. e Histog.'!CD:CD),"")</f>
        <v>0</v>
      </c>
      <c r="J261" s="144">
        <f>IFERROR(_xlfn.XLOOKUP($B261,'Cronog. e Histog.'!$BZ:$BZ,'Cronog. e Histog.'!CE:CE),"")</f>
        <v>0</v>
      </c>
      <c r="K261" s="144">
        <f>IFERROR(_xlfn.XLOOKUP($B261,'Cronog. e Histog.'!$BZ:$BZ,'Cronog. e Histog.'!CF:CF),"")</f>
        <v>0</v>
      </c>
      <c r="L261" s="144">
        <f>IFERROR(_xlfn.XLOOKUP($B261,'Cronog. e Histog.'!$BZ:$BZ,'Cronog. e Histog.'!CG:CG),"")</f>
        <v>0</v>
      </c>
      <c r="M261" s="144">
        <f>IFERROR(_xlfn.XLOOKUP($B261,'Cronog. e Histog.'!$BZ:$BZ,'Cronog. e Histog.'!CH:CH),"")</f>
        <v>0</v>
      </c>
      <c r="N261" s="144">
        <f>IFERROR(_xlfn.XLOOKUP($B261,'Cronog. e Histog.'!$BZ:$BZ,'Cronog. e Histog.'!CI:CI),"")</f>
        <v>0</v>
      </c>
      <c r="O261" s="144">
        <f>IFERROR(_xlfn.XLOOKUP($B261,'Cronog. e Histog.'!$BZ:$BZ,'Cronog. e Histog.'!CJ:CJ),"")</f>
        <v>0</v>
      </c>
      <c r="P261" s="144">
        <f>IFERROR(_xlfn.XLOOKUP($B261,'Cronog. e Histog.'!$BZ:$BZ,'Cronog. e Histog.'!CK:CK),"")</f>
        <v>0</v>
      </c>
      <c r="Q261" s="144">
        <f>IFERROR(_xlfn.XLOOKUP($B261,'Cronog. e Histog.'!$BZ:$BZ,'Cronog. e Histog.'!CL:CL),"")</f>
        <v>0</v>
      </c>
      <c r="R261" s="144">
        <f>IFERROR(_xlfn.XLOOKUP($B261,'Cronog. e Histog.'!$BZ:$BZ,'Cronog. e Histog.'!CM:CM),"")</f>
        <v>0</v>
      </c>
      <c r="S261" s="144">
        <f>IFERROR(_xlfn.XLOOKUP($B261,'Cronog. e Histog.'!$BZ:$BZ,'Cronog. e Histog.'!CN:CN),"")</f>
        <v>0</v>
      </c>
      <c r="T261" s="144">
        <f>IFERROR(_xlfn.XLOOKUP($B261,'Cronog. e Histog.'!$BZ:$BZ,'Cronog. e Histog.'!CO:CO),"")</f>
        <v>0</v>
      </c>
      <c r="U261" s="144">
        <f>IFERROR(_xlfn.XLOOKUP($B261,'Cronog. e Histog.'!$BZ:$BZ,'Cronog. e Histog.'!CP:CP),"")</f>
        <v>0</v>
      </c>
      <c r="V261" s="144">
        <f>IFERROR(_xlfn.XLOOKUP($B261,'Cronog. e Histog.'!$BZ:$BZ,'Cronog. e Histog.'!CQ:CQ),"")</f>
        <v>0</v>
      </c>
      <c r="W261" s="144">
        <f>IFERROR(_xlfn.XLOOKUP($B261,'Cronog. e Histog.'!$BZ:$BZ,'Cronog. e Histog.'!CR:CR),"")</f>
        <v>0</v>
      </c>
      <c r="X261" s="144">
        <f>IFERROR(_xlfn.XLOOKUP($B261,'Cronog. e Histog.'!$BZ:$BZ,'Cronog. e Histog.'!CS:CS),"")</f>
        <v>0</v>
      </c>
      <c r="Y261" s="144">
        <f>IFERROR(_xlfn.XLOOKUP($B261,'Cronog. e Histog.'!$BZ:$BZ,'Cronog. e Histog.'!CT:CT),"")</f>
        <v>0</v>
      </c>
      <c r="Z261" s="144">
        <f>IFERROR(_xlfn.XLOOKUP($B261,'Cronog. e Histog.'!$BZ:$BZ,'Cronog. e Histog.'!CU:CU),"")</f>
        <v>0</v>
      </c>
      <c r="AA261" s="144">
        <f>IFERROR(_xlfn.XLOOKUP($B261,'Cronog. e Histog.'!$BZ:$BZ,'Cronog. e Histog.'!CV:CV),"")</f>
        <v>0</v>
      </c>
      <c r="AB261" s="144">
        <f>IFERROR(_xlfn.XLOOKUP($B261,'Cronog. e Histog.'!$BZ:$BZ,'Cronog. e Histog.'!CW:CW),"")</f>
        <v>0</v>
      </c>
      <c r="AC261" s="144">
        <f>IFERROR(_xlfn.XLOOKUP($B261,'Cronog. e Histog.'!$BZ:$BZ,'Cronog. e Histog.'!CX:CX),"")</f>
        <v>0</v>
      </c>
      <c r="AD261" s="144">
        <f>IFERROR(_xlfn.XLOOKUP($B261,'Cronog. e Histog.'!$BZ:$BZ,'Cronog. e Histog.'!CY:CY),"")</f>
        <v>0</v>
      </c>
      <c r="AE261" s="144">
        <f>IFERROR(_xlfn.XLOOKUP($B261,'Cronog. e Histog.'!$BZ:$BZ,'Cronog. e Histog.'!CZ:CZ),"")</f>
        <v>0</v>
      </c>
      <c r="AF261" s="144">
        <f>IFERROR(_xlfn.XLOOKUP($B261,'Cronog. e Histog.'!$BZ:$BZ,'Cronog. e Histog.'!DA:DA),"")</f>
        <v>0</v>
      </c>
      <c r="AG261" s="144">
        <f>IFERROR(_xlfn.XLOOKUP($B261,'Cronog. e Histog.'!$BZ:$BZ,'Cronog. e Histog.'!DB:DB),"")</f>
        <v>0</v>
      </c>
      <c r="AH261" s="144">
        <f>IFERROR(_xlfn.XLOOKUP($B261,'Cronog. e Histog.'!$BZ:$BZ,'Cronog. e Histog.'!DC:DC),"")</f>
        <v>0</v>
      </c>
      <c r="AI261" s="144">
        <f>IFERROR(_xlfn.XLOOKUP($B261,'Cronog. e Histog.'!$BZ:$BZ,'Cronog. e Histog.'!DD:DD),"")</f>
        <v>0</v>
      </c>
      <c r="AJ261" s="144">
        <f>IFERROR(_xlfn.XLOOKUP($B261,'Cronog. e Histog.'!$BZ:$BZ,'Cronog. e Histog.'!DE:DE),"")</f>
        <v>0</v>
      </c>
      <c r="AK261" s="144">
        <f>IFERROR(_xlfn.XLOOKUP($B261,'Cronog. e Histog.'!$BZ:$BZ,'Cronog. e Histog.'!DF:DF),"")</f>
        <v>0</v>
      </c>
      <c r="AL261" s="144">
        <f>IFERROR(_xlfn.XLOOKUP($B261,'Cronog. e Histog.'!$BZ:$BZ,'Cronog. e Histog.'!DG:DG),"")</f>
        <v>0</v>
      </c>
      <c r="AM261" s="144">
        <f>IFERROR(_xlfn.XLOOKUP($B261,'Cronog. e Histog.'!$BZ:$BZ,'Cronog. e Histog.'!DH:DH),"")</f>
        <v>0</v>
      </c>
      <c r="AN261" s="144">
        <f>IFERROR(_xlfn.XLOOKUP($B261,'Cronog. e Histog.'!$BZ:$BZ,'Cronog. e Histog.'!DI:DI),"")</f>
        <v>0</v>
      </c>
      <c r="AO261" s="144">
        <f>IFERROR(_xlfn.XLOOKUP($B261,'Cronog. e Histog.'!$BZ:$BZ,'Cronog. e Histog.'!DJ:DJ),"")</f>
        <v>0</v>
      </c>
      <c r="AP261" s="144">
        <f>IFERROR(_xlfn.XLOOKUP($B261,'Cronog. e Histog.'!$BZ:$BZ,'Cronog. e Histog.'!DK:DK),"")</f>
        <v>0</v>
      </c>
      <c r="AQ261" s="144">
        <f>IFERROR(_xlfn.XLOOKUP($B261,'Cronog. e Histog.'!$BZ:$BZ,'Cronog. e Histog.'!DL:DL),"")</f>
        <v>0</v>
      </c>
      <c r="AR261" s="144">
        <f>IFERROR(_xlfn.XLOOKUP($B261,'Cronog. e Histog.'!$BZ:$BZ,'Cronog. e Histog.'!DM:DM),"")</f>
        <v>0</v>
      </c>
      <c r="AS261" s="144">
        <f>IFERROR(_xlfn.XLOOKUP($B261,'Cronog. e Histog.'!$BZ:$BZ,'Cronog. e Histog.'!DN:DN),"")</f>
        <v>0</v>
      </c>
      <c r="AT261" s="144">
        <f>IFERROR(_xlfn.XLOOKUP($B261,'Cronog. e Histog.'!$BZ:$BZ,'Cronog. e Histog.'!DO:DO),"")</f>
        <v>0</v>
      </c>
      <c r="AU261" s="144">
        <f>IFERROR(_xlfn.XLOOKUP($B261,'Cronog. e Histog.'!$BZ:$BZ,'Cronog. e Histog.'!DP:DP),"")</f>
        <v>0</v>
      </c>
      <c r="AV261" s="144">
        <f>IFERROR(_xlfn.XLOOKUP($B261,'Cronog. e Histog.'!$BZ:$BZ,'Cronog. e Histog.'!DQ:DQ),"")</f>
        <v>0</v>
      </c>
      <c r="AW261" s="144">
        <f>IFERROR(_xlfn.XLOOKUP($B261,'Cronog. e Histog.'!$BZ:$BZ,'Cronog. e Histog.'!DR:DR),"")</f>
        <v>0</v>
      </c>
      <c r="AX261" s="144">
        <f>IFERROR(_xlfn.XLOOKUP($B261,'Cronog. e Histog.'!$BZ:$BZ,'Cronog. e Histog.'!DS:DS),"")</f>
        <v>0</v>
      </c>
      <c r="AY261" s="144">
        <f>IFERROR(_xlfn.XLOOKUP($B261,'Cronog. e Histog.'!$BZ:$BZ,'Cronog. e Histog.'!DT:DT),"")</f>
        <v>0</v>
      </c>
      <c r="AZ261" s="144">
        <f>IFERROR(_xlfn.XLOOKUP($B261,'Cronog. e Histog.'!$BZ:$BZ,'Cronog. e Histog.'!DU:DU),"")</f>
        <v>0</v>
      </c>
      <c r="BA261" s="144">
        <f>IFERROR(_xlfn.XLOOKUP($B261,'Cronog. e Histog.'!$BZ:$BZ,'Cronog. e Histog.'!DV:DV),"")</f>
        <v>0</v>
      </c>
      <c r="BB261" s="144">
        <f>IFERROR(_xlfn.XLOOKUP($B261,'Cronog. e Histog.'!$BZ:$BZ,'Cronog. e Histog.'!DW:DW),"")</f>
        <v>0</v>
      </c>
      <c r="BC261" s="144">
        <f>IFERROR(_xlfn.XLOOKUP($B261,'Cronog. e Histog.'!$BZ:$BZ,'Cronog. e Histog.'!DX:DX),"")</f>
        <v>0</v>
      </c>
      <c r="BD261" s="144">
        <f>IFERROR(_xlfn.XLOOKUP($B261,'Cronog. e Histog.'!$BZ:$BZ,'Cronog. e Histog.'!DY:DY),"")</f>
        <v>0</v>
      </c>
      <c r="BE261" s="144">
        <f>IFERROR(_xlfn.XLOOKUP($B261,'Cronog. e Histog.'!$BZ:$BZ,'Cronog. e Histog.'!DZ:DZ),"")</f>
        <v>0</v>
      </c>
      <c r="BF261" s="144">
        <f>IFERROR(_xlfn.XLOOKUP($B261,'Cronog. e Histog.'!$BZ:$BZ,'Cronog. e Histog.'!EA:EA),"")</f>
        <v>0</v>
      </c>
      <c r="BG261" s="144">
        <f>IFERROR(_xlfn.XLOOKUP($B261,'Cronog. e Histog.'!$BZ:$BZ,'Cronog. e Histog.'!EB:EB),"")</f>
        <v>0</v>
      </c>
      <c r="BH261" s="144">
        <f>IFERROR(_xlfn.XLOOKUP($B261,'Cronog. e Histog.'!$BZ:$BZ,'Cronog. e Histog.'!EC:EC),"")</f>
        <v>0</v>
      </c>
      <c r="BI261" s="144">
        <f>IFERROR(_xlfn.XLOOKUP($B261,'Cronog. e Histog.'!$BZ:$BZ,'Cronog. e Histog.'!ED:ED),"")</f>
        <v>0</v>
      </c>
      <c r="BJ261" s="144">
        <f>IFERROR(_xlfn.XLOOKUP($B261,'Cronog. e Histog.'!$BZ:$BZ,'Cronog. e Histog.'!EE:EE),"")</f>
        <v>0</v>
      </c>
      <c r="BK261" s="144">
        <f>IFERROR(_xlfn.XLOOKUP($B261,'Cronog. e Histog.'!$BZ:$BZ,'Cronog. e Histog.'!EF:EF),"")</f>
        <v>0</v>
      </c>
      <c r="BL261" s="144">
        <f>IFERROR(_xlfn.XLOOKUP($B261,'Cronog. e Histog.'!$BZ:$BZ,'Cronog. e Histog.'!EG:EG),"")</f>
        <v>0</v>
      </c>
      <c r="BM261" s="144">
        <f>IFERROR(_xlfn.XLOOKUP($B261,'Cronog. e Histog.'!$BZ:$BZ,'Cronog. e Histog.'!EH:EH),"")</f>
        <v>0</v>
      </c>
      <c r="BN261" s="144">
        <f>IFERROR(_xlfn.XLOOKUP($B261,'Cronog. e Histog.'!$BZ:$BZ,'Cronog. e Histog.'!EI:EI),"")</f>
        <v>0</v>
      </c>
    </row>
    <row r="262" spans="2:66" ht="12" hidden="1" customHeight="1" outlineLevel="1">
      <c r="B262" s="76">
        <v>256</v>
      </c>
      <c r="C262" s="143" t="str">
        <f>IFERROR(VLOOKUP(B262,'Cronog. e Histog.'!$BZ$213:$CA$747,2,0),"")</f>
        <v>AUX TEC</v>
      </c>
      <c r="D262" s="144">
        <f t="shared" si="6"/>
        <v>0</v>
      </c>
      <c r="E262" s="144">
        <f t="shared" si="7"/>
        <v>0</v>
      </c>
      <c r="F262" s="65"/>
      <c r="G262" s="144">
        <f>IFERROR(_xlfn.XLOOKUP($B262,'Cronog. e Histog.'!$BZ:$BZ,'Cronog. e Histog.'!CB:CB),"")</f>
        <v>0</v>
      </c>
      <c r="H262" s="144">
        <f>IFERROR(_xlfn.XLOOKUP($B262,'Cronog. e Histog.'!$BZ:$BZ,'Cronog. e Histog.'!CC:CC),"")</f>
        <v>0</v>
      </c>
      <c r="I262" s="144">
        <f>IFERROR(_xlfn.XLOOKUP($B262,'Cronog. e Histog.'!$BZ:$BZ,'Cronog. e Histog.'!CD:CD),"")</f>
        <v>0</v>
      </c>
      <c r="J262" s="144">
        <f>IFERROR(_xlfn.XLOOKUP($B262,'Cronog. e Histog.'!$BZ:$BZ,'Cronog. e Histog.'!CE:CE),"")</f>
        <v>0</v>
      </c>
      <c r="K262" s="144">
        <f>IFERROR(_xlfn.XLOOKUP($B262,'Cronog. e Histog.'!$BZ:$BZ,'Cronog. e Histog.'!CF:CF),"")</f>
        <v>0</v>
      </c>
      <c r="L262" s="144">
        <f>IFERROR(_xlfn.XLOOKUP($B262,'Cronog. e Histog.'!$BZ:$BZ,'Cronog. e Histog.'!CG:CG),"")</f>
        <v>0</v>
      </c>
      <c r="M262" s="144">
        <f>IFERROR(_xlfn.XLOOKUP($B262,'Cronog. e Histog.'!$BZ:$BZ,'Cronog. e Histog.'!CH:CH),"")</f>
        <v>0</v>
      </c>
      <c r="N262" s="144">
        <f>IFERROR(_xlfn.XLOOKUP($B262,'Cronog. e Histog.'!$BZ:$BZ,'Cronog. e Histog.'!CI:CI),"")</f>
        <v>0</v>
      </c>
      <c r="O262" s="144">
        <f>IFERROR(_xlfn.XLOOKUP($B262,'Cronog. e Histog.'!$BZ:$BZ,'Cronog. e Histog.'!CJ:CJ),"")</f>
        <v>0</v>
      </c>
      <c r="P262" s="144">
        <f>IFERROR(_xlfn.XLOOKUP($B262,'Cronog. e Histog.'!$BZ:$BZ,'Cronog. e Histog.'!CK:CK),"")</f>
        <v>0</v>
      </c>
      <c r="Q262" s="144">
        <f>IFERROR(_xlfn.XLOOKUP($B262,'Cronog. e Histog.'!$BZ:$BZ,'Cronog. e Histog.'!CL:CL),"")</f>
        <v>0</v>
      </c>
      <c r="R262" s="144">
        <f>IFERROR(_xlfn.XLOOKUP($B262,'Cronog. e Histog.'!$BZ:$BZ,'Cronog. e Histog.'!CM:CM),"")</f>
        <v>0</v>
      </c>
      <c r="S262" s="144">
        <f>IFERROR(_xlfn.XLOOKUP($B262,'Cronog. e Histog.'!$BZ:$BZ,'Cronog. e Histog.'!CN:CN),"")</f>
        <v>0</v>
      </c>
      <c r="T262" s="144">
        <f>IFERROR(_xlfn.XLOOKUP($B262,'Cronog. e Histog.'!$BZ:$BZ,'Cronog. e Histog.'!CO:CO),"")</f>
        <v>0</v>
      </c>
      <c r="U262" s="144">
        <f>IFERROR(_xlfn.XLOOKUP($B262,'Cronog. e Histog.'!$BZ:$BZ,'Cronog. e Histog.'!CP:CP),"")</f>
        <v>0</v>
      </c>
      <c r="V262" s="144">
        <f>IFERROR(_xlfn.XLOOKUP($B262,'Cronog. e Histog.'!$BZ:$BZ,'Cronog. e Histog.'!CQ:CQ),"")</f>
        <v>0</v>
      </c>
      <c r="W262" s="144">
        <f>IFERROR(_xlfn.XLOOKUP($B262,'Cronog. e Histog.'!$BZ:$BZ,'Cronog. e Histog.'!CR:CR),"")</f>
        <v>0</v>
      </c>
      <c r="X262" s="144">
        <f>IFERROR(_xlfn.XLOOKUP($B262,'Cronog. e Histog.'!$BZ:$BZ,'Cronog. e Histog.'!CS:CS),"")</f>
        <v>0</v>
      </c>
      <c r="Y262" s="144">
        <f>IFERROR(_xlfn.XLOOKUP($B262,'Cronog. e Histog.'!$BZ:$BZ,'Cronog. e Histog.'!CT:CT),"")</f>
        <v>0</v>
      </c>
      <c r="Z262" s="144">
        <f>IFERROR(_xlfn.XLOOKUP($B262,'Cronog. e Histog.'!$BZ:$BZ,'Cronog. e Histog.'!CU:CU),"")</f>
        <v>0</v>
      </c>
      <c r="AA262" s="144">
        <f>IFERROR(_xlfn.XLOOKUP($B262,'Cronog. e Histog.'!$BZ:$BZ,'Cronog. e Histog.'!CV:CV),"")</f>
        <v>0</v>
      </c>
      <c r="AB262" s="144">
        <f>IFERROR(_xlfn.XLOOKUP($B262,'Cronog. e Histog.'!$BZ:$BZ,'Cronog. e Histog.'!CW:CW),"")</f>
        <v>0</v>
      </c>
      <c r="AC262" s="144">
        <f>IFERROR(_xlfn.XLOOKUP($B262,'Cronog. e Histog.'!$BZ:$BZ,'Cronog. e Histog.'!CX:CX),"")</f>
        <v>0</v>
      </c>
      <c r="AD262" s="144">
        <f>IFERROR(_xlfn.XLOOKUP($B262,'Cronog. e Histog.'!$BZ:$BZ,'Cronog. e Histog.'!CY:CY),"")</f>
        <v>0</v>
      </c>
      <c r="AE262" s="144">
        <f>IFERROR(_xlfn.XLOOKUP($B262,'Cronog. e Histog.'!$BZ:$BZ,'Cronog. e Histog.'!CZ:CZ),"")</f>
        <v>0</v>
      </c>
      <c r="AF262" s="144">
        <f>IFERROR(_xlfn.XLOOKUP($B262,'Cronog. e Histog.'!$BZ:$BZ,'Cronog. e Histog.'!DA:DA),"")</f>
        <v>0</v>
      </c>
      <c r="AG262" s="144">
        <f>IFERROR(_xlfn.XLOOKUP($B262,'Cronog. e Histog.'!$BZ:$BZ,'Cronog. e Histog.'!DB:DB),"")</f>
        <v>0</v>
      </c>
      <c r="AH262" s="144">
        <f>IFERROR(_xlfn.XLOOKUP($B262,'Cronog. e Histog.'!$BZ:$BZ,'Cronog. e Histog.'!DC:DC),"")</f>
        <v>0</v>
      </c>
      <c r="AI262" s="144">
        <f>IFERROR(_xlfn.XLOOKUP($B262,'Cronog. e Histog.'!$BZ:$BZ,'Cronog. e Histog.'!DD:DD),"")</f>
        <v>0</v>
      </c>
      <c r="AJ262" s="144">
        <f>IFERROR(_xlfn.XLOOKUP($B262,'Cronog. e Histog.'!$BZ:$BZ,'Cronog. e Histog.'!DE:DE),"")</f>
        <v>0</v>
      </c>
      <c r="AK262" s="144">
        <f>IFERROR(_xlfn.XLOOKUP($B262,'Cronog. e Histog.'!$BZ:$BZ,'Cronog. e Histog.'!DF:DF),"")</f>
        <v>0</v>
      </c>
      <c r="AL262" s="144">
        <f>IFERROR(_xlfn.XLOOKUP($B262,'Cronog. e Histog.'!$BZ:$BZ,'Cronog. e Histog.'!DG:DG),"")</f>
        <v>0</v>
      </c>
      <c r="AM262" s="144">
        <f>IFERROR(_xlfn.XLOOKUP($B262,'Cronog. e Histog.'!$BZ:$BZ,'Cronog. e Histog.'!DH:DH),"")</f>
        <v>0</v>
      </c>
      <c r="AN262" s="144">
        <f>IFERROR(_xlfn.XLOOKUP($B262,'Cronog. e Histog.'!$BZ:$BZ,'Cronog. e Histog.'!DI:DI),"")</f>
        <v>0</v>
      </c>
      <c r="AO262" s="144">
        <f>IFERROR(_xlfn.XLOOKUP($B262,'Cronog. e Histog.'!$BZ:$BZ,'Cronog. e Histog.'!DJ:DJ),"")</f>
        <v>0</v>
      </c>
      <c r="AP262" s="144">
        <f>IFERROR(_xlfn.XLOOKUP($B262,'Cronog. e Histog.'!$BZ:$BZ,'Cronog. e Histog.'!DK:DK),"")</f>
        <v>0</v>
      </c>
      <c r="AQ262" s="144">
        <f>IFERROR(_xlfn.XLOOKUP($B262,'Cronog. e Histog.'!$BZ:$BZ,'Cronog. e Histog.'!DL:DL),"")</f>
        <v>0</v>
      </c>
      <c r="AR262" s="144">
        <f>IFERROR(_xlfn.XLOOKUP($B262,'Cronog. e Histog.'!$BZ:$BZ,'Cronog. e Histog.'!DM:DM),"")</f>
        <v>0</v>
      </c>
      <c r="AS262" s="144">
        <f>IFERROR(_xlfn.XLOOKUP($B262,'Cronog. e Histog.'!$BZ:$BZ,'Cronog. e Histog.'!DN:DN),"")</f>
        <v>0</v>
      </c>
      <c r="AT262" s="144">
        <f>IFERROR(_xlfn.XLOOKUP($B262,'Cronog. e Histog.'!$BZ:$BZ,'Cronog. e Histog.'!DO:DO),"")</f>
        <v>0</v>
      </c>
      <c r="AU262" s="144">
        <f>IFERROR(_xlfn.XLOOKUP($B262,'Cronog. e Histog.'!$BZ:$BZ,'Cronog. e Histog.'!DP:DP),"")</f>
        <v>0</v>
      </c>
      <c r="AV262" s="144">
        <f>IFERROR(_xlfn.XLOOKUP($B262,'Cronog. e Histog.'!$BZ:$BZ,'Cronog. e Histog.'!DQ:DQ),"")</f>
        <v>0</v>
      </c>
      <c r="AW262" s="144">
        <f>IFERROR(_xlfn.XLOOKUP($B262,'Cronog. e Histog.'!$BZ:$BZ,'Cronog. e Histog.'!DR:DR),"")</f>
        <v>0</v>
      </c>
      <c r="AX262" s="144">
        <f>IFERROR(_xlfn.XLOOKUP($B262,'Cronog. e Histog.'!$BZ:$BZ,'Cronog. e Histog.'!DS:DS),"")</f>
        <v>0</v>
      </c>
      <c r="AY262" s="144">
        <f>IFERROR(_xlfn.XLOOKUP($B262,'Cronog. e Histog.'!$BZ:$BZ,'Cronog. e Histog.'!DT:DT),"")</f>
        <v>0</v>
      </c>
      <c r="AZ262" s="144">
        <f>IFERROR(_xlfn.XLOOKUP($B262,'Cronog. e Histog.'!$BZ:$BZ,'Cronog. e Histog.'!DU:DU),"")</f>
        <v>0</v>
      </c>
      <c r="BA262" s="144">
        <f>IFERROR(_xlfn.XLOOKUP($B262,'Cronog. e Histog.'!$BZ:$BZ,'Cronog. e Histog.'!DV:DV),"")</f>
        <v>0</v>
      </c>
      <c r="BB262" s="144">
        <f>IFERROR(_xlfn.XLOOKUP($B262,'Cronog. e Histog.'!$BZ:$BZ,'Cronog. e Histog.'!DW:DW),"")</f>
        <v>0</v>
      </c>
      <c r="BC262" s="144">
        <f>IFERROR(_xlfn.XLOOKUP($B262,'Cronog. e Histog.'!$BZ:$BZ,'Cronog. e Histog.'!DX:DX),"")</f>
        <v>0</v>
      </c>
      <c r="BD262" s="144">
        <f>IFERROR(_xlfn.XLOOKUP($B262,'Cronog. e Histog.'!$BZ:$BZ,'Cronog. e Histog.'!DY:DY),"")</f>
        <v>0</v>
      </c>
      <c r="BE262" s="144">
        <f>IFERROR(_xlfn.XLOOKUP($B262,'Cronog. e Histog.'!$BZ:$BZ,'Cronog. e Histog.'!DZ:DZ),"")</f>
        <v>0</v>
      </c>
      <c r="BF262" s="144">
        <f>IFERROR(_xlfn.XLOOKUP($B262,'Cronog. e Histog.'!$BZ:$BZ,'Cronog. e Histog.'!EA:EA),"")</f>
        <v>0</v>
      </c>
      <c r="BG262" s="144">
        <f>IFERROR(_xlfn.XLOOKUP($B262,'Cronog. e Histog.'!$BZ:$BZ,'Cronog. e Histog.'!EB:EB),"")</f>
        <v>0</v>
      </c>
      <c r="BH262" s="144">
        <f>IFERROR(_xlfn.XLOOKUP($B262,'Cronog. e Histog.'!$BZ:$BZ,'Cronog. e Histog.'!EC:EC),"")</f>
        <v>0</v>
      </c>
      <c r="BI262" s="144">
        <f>IFERROR(_xlfn.XLOOKUP($B262,'Cronog. e Histog.'!$BZ:$BZ,'Cronog. e Histog.'!ED:ED),"")</f>
        <v>0</v>
      </c>
      <c r="BJ262" s="144">
        <f>IFERROR(_xlfn.XLOOKUP($B262,'Cronog. e Histog.'!$BZ:$BZ,'Cronog. e Histog.'!EE:EE),"")</f>
        <v>0</v>
      </c>
      <c r="BK262" s="144">
        <f>IFERROR(_xlfn.XLOOKUP($B262,'Cronog. e Histog.'!$BZ:$BZ,'Cronog. e Histog.'!EF:EF),"")</f>
        <v>0</v>
      </c>
      <c r="BL262" s="144">
        <f>IFERROR(_xlfn.XLOOKUP($B262,'Cronog. e Histog.'!$BZ:$BZ,'Cronog. e Histog.'!EG:EG),"")</f>
        <v>0</v>
      </c>
      <c r="BM262" s="144">
        <f>IFERROR(_xlfn.XLOOKUP($B262,'Cronog. e Histog.'!$BZ:$BZ,'Cronog. e Histog.'!EH:EH),"")</f>
        <v>0</v>
      </c>
      <c r="BN262" s="144">
        <f>IFERROR(_xlfn.XLOOKUP($B262,'Cronog. e Histog.'!$BZ:$BZ,'Cronog. e Histog.'!EI:EI),"")</f>
        <v>0</v>
      </c>
    </row>
    <row r="263" spans="2:66" ht="12" hidden="1" customHeight="1" outlineLevel="1">
      <c r="B263" s="76">
        <v>257</v>
      </c>
      <c r="C263" s="143" t="str">
        <f>IFERROR(VLOOKUP(B263,'Cronog. e Histog.'!$BZ$213:$CA$747,2,0),"")</f>
        <v>AUX ADM</v>
      </c>
      <c r="D263" s="144">
        <f t="shared" si="6"/>
        <v>0</v>
      </c>
      <c r="E263" s="144">
        <f t="shared" si="7"/>
        <v>0</v>
      </c>
      <c r="F263" s="65"/>
      <c r="G263" s="144">
        <f>IFERROR(_xlfn.XLOOKUP($B263,'Cronog. e Histog.'!$BZ:$BZ,'Cronog. e Histog.'!CB:CB),"")</f>
        <v>0</v>
      </c>
      <c r="H263" s="144">
        <f>IFERROR(_xlfn.XLOOKUP($B263,'Cronog. e Histog.'!$BZ:$BZ,'Cronog. e Histog.'!CC:CC),"")</f>
        <v>0</v>
      </c>
      <c r="I263" s="144">
        <f>IFERROR(_xlfn.XLOOKUP($B263,'Cronog. e Histog.'!$BZ:$BZ,'Cronog. e Histog.'!CD:CD),"")</f>
        <v>0</v>
      </c>
      <c r="J263" s="144">
        <f>IFERROR(_xlfn.XLOOKUP($B263,'Cronog. e Histog.'!$BZ:$BZ,'Cronog. e Histog.'!CE:CE),"")</f>
        <v>0</v>
      </c>
      <c r="K263" s="144">
        <f>IFERROR(_xlfn.XLOOKUP($B263,'Cronog. e Histog.'!$BZ:$BZ,'Cronog. e Histog.'!CF:CF),"")</f>
        <v>0</v>
      </c>
      <c r="L263" s="144">
        <f>IFERROR(_xlfn.XLOOKUP($B263,'Cronog. e Histog.'!$BZ:$BZ,'Cronog. e Histog.'!CG:CG),"")</f>
        <v>0</v>
      </c>
      <c r="M263" s="144">
        <f>IFERROR(_xlfn.XLOOKUP($B263,'Cronog. e Histog.'!$BZ:$BZ,'Cronog. e Histog.'!CH:CH),"")</f>
        <v>0</v>
      </c>
      <c r="N263" s="144">
        <f>IFERROR(_xlfn.XLOOKUP($B263,'Cronog. e Histog.'!$BZ:$BZ,'Cronog. e Histog.'!CI:CI),"")</f>
        <v>0</v>
      </c>
      <c r="O263" s="144">
        <f>IFERROR(_xlfn.XLOOKUP($B263,'Cronog. e Histog.'!$BZ:$BZ,'Cronog. e Histog.'!CJ:CJ),"")</f>
        <v>0</v>
      </c>
      <c r="P263" s="144">
        <f>IFERROR(_xlfn.XLOOKUP($B263,'Cronog. e Histog.'!$BZ:$BZ,'Cronog. e Histog.'!CK:CK),"")</f>
        <v>0</v>
      </c>
      <c r="Q263" s="144">
        <f>IFERROR(_xlfn.XLOOKUP($B263,'Cronog. e Histog.'!$BZ:$BZ,'Cronog. e Histog.'!CL:CL),"")</f>
        <v>0</v>
      </c>
      <c r="R263" s="144">
        <f>IFERROR(_xlfn.XLOOKUP($B263,'Cronog. e Histog.'!$BZ:$BZ,'Cronog. e Histog.'!CM:CM),"")</f>
        <v>0</v>
      </c>
      <c r="S263" s="144">
        <f>IFERROR(_xlfn.XLOOKUP($B263,'Cronog. e Histog.'!$BZ:$BZ,'Cronog. e Histog.'!CN:CN),"")</f>
        <v>0</v>
      </c>
      <c r="T263" s="144">
        <f>IFERROR(_xlfn.XLOOKUP($B263,'Cronog. e Histog.'!$BZ:$BZ,'Cronog. e Histog.'!CO:CO),"")</f>
        <v>0</v>
      </c>
      <c r="U263" s="144">
        <f>IFERROR(_xlfn.XLOOKUP($B263,'Cronog. e Histog.'!$BZ:$BZ,'Cronog. e Histog.'!CP:CP),"")</f>
        <v>0</v>
      </c>
      <c r="V263" s="144">
        <f>IFERROR(_xlfn.XLOOKUP($B263,'Cronog. e Histog.'!$BZ:$BZ,'Cronog. e Histog.'!CQ:CQ),"")</f>
        <v>0</v>
      </c>
      <c r="W263" s="144">
        <f>IFERROR(_xlfn.XLOOKUP($B263,'Cronog. e Histog.'!$BZ:$BZ,'Cronog. e Histog.'!CR:CR),"")</f>
        <v>0</v>
      </c>
      <c r="X263" s="144">
        <f>IFERROR(_xlfn.XLOOKUP($B263,'Cronog. e Histog.'!$BZ:$BZ,'Cronog. e Histog.'!CS:CS),"")</f>
        <v>0</v>
      </c>
      <c r="Y263" s="144">
        <f>IFERROR(_xlfn.XLOOKUP($B263,'Cronog. e Histog.'!$BZ:$BZ,'Cronog. e Histog.'!CT:CT),"")</f>
        <v>0</v>
      </c>
      <c r="Z263" s="144">
        <f>IFERROR(_xlfn.XLOOKUP($B263,'Cronog. e Histog.'!$BZ:$BZ,'Cronog. e Histog.'!CU:CU),"")</f>
        <v>0</v>
      </c>
      <c r="AA263" s="144">
        <f>IFERROR(_xlfn.XLOOKUP($B263,'Cronog. e Histog.'!$BZ:$BZ,'Cronog. e Histog.'!CV:CV),"")</f>
        <v>0</v>
      </c>
      <c r="AB263" s="144">
        <f>IFERROR(_xlfn.XLOOKUP($B263,'Cronog. e Histog.'!$BZ:$BZ,'Cronog. e Histog.'!CW:CW),"")</f>
        <v>0</v>
      </c>
      <c r="AC263" s="144">
        <f>IFERROR(_xlfn.XLOOKUP($B263,'Cronog. e Histog.'!$BZ:$BZ,'Cronog. e Histog.'!CX:CX),"")</f>
        <v>0</v>
      </c>
      <c r="AD263" s="144">
        <f>IFERROR(_xlfn.XLOOKUP($B263,'Cronog. e Histog.'!$BZ:$BZ,'Cronog. e Histog.'!CY:CY),"")</f>
        <v>0</v>
      </c>
      <c r="AE263" s="144">
        <f>IFERROR(_xlfn.XLOOKUP($B263,'Cronog. e Histog.'!$BZ:$BZ,'Cronog. e Histog.'!CZ:CZ),"")</f>
        <v>0</v>
      </c>
      <c r="AF263" s="144">
        <f>IFERROR(_xlfn.XLOOKUP($B263,'Cronog. e Histog.'!$BZ:$BZ,'Cronog. e Histog.'!DA:DA),"")</f>
        <v>0</v>
      </c>
      <c r="AG263" s="144">
        <f>IFERROR(_xlfn.XLOOKUP($B263,'Cronog. e Histog.'!$BZ:$BZ,'Cronog. e Histog.'!DB:DB),"")</f>
        <v>0</v>
      </c>
      <c r="AH263" s="144">
        <f>IFERROR(_xlfn.XLOOKUP($B263,'Cronog. e Histog.'!$BZ:$BZ,'Cronog. e Histog.'!DC:DC),"")</f>
        <v>0</v>
      </c>
      <c r="AI263" s="144">
        <f>IFERROR(_xlfn.XLOOKUP($B263,'Cronog. e Histog.'!$BZ:$BZ,'Cronog. e Histog.'!DD:DD),"")</f>
        <v>0</v>
      </c>
      <c r="AJ263" s="144">
        <f>IFERROR(_xlfn.XLOOKUP($B263,'Cronog. e Histog.'!$BZ:$BZ,'Cronog. e Histog.'!DE:DE),"")</f>
        <v>0</v>
      </c>
      <c r="AK263" s="144">
        <f>IFERROR(_xlfn.XLOOKUP($B263,'Cronog. e Histog.'!$BZ:$BZ,'Cronog. e Histog.'!DF:DF),"")</f>
        <v>0</v>
      </c>
      <c r="AL263" s="144">
        <f>IFERROR(_xlfn.XLOOKUP($B263,'Cronog. e Histog.'!$BZ:$BZ,'Cronog. e Histog.'!DG:DG),"")</f>
        <v>0</v>
      </c>
      <c r="AM263" s="144">
        <f>IFERROR(_xlfn.XLOOKUP($B263,'Cronog. e Histog.'!$BZ:$BZ,'Cronog. e Histog.'!DH:DH),"")</f>
        <v>0</v>
      </c>
      <c r="AN263" s="144">
        <f>IFERROR(_xlfn.XLOOKUP($B263,'Cronog. e Histog.'!$BZ:$BZ,'Cronog. e Histog.'!DI:DI),"")</f>
        <v>0</v>
      </c>
      <c r="AO263" s="144">
        <f>IFERROR(_xlfn.XLOOKUP($B263,'Cronog. e Histog.'!$BZ:$BZ,'Cronog. e Histog.'!DJ:DJ),"")</f>
        <v>0</v>
      </c>
      <c r="AP263" s="144">
        <f>IFERROR(_xlfn.XLOOKUP($B263,'Cronog. e Histog.'!$BZ:$BZ,'Cronog. e Histog.'!DK:DK),"")</f>
        <v>0</v>
      </c>
      <c r="AQ263" s="144">
        <f>IFERROR(_xlfn.XLOOKUP($B263,'Cronog. e Histog.'!$BZ:$BZ,'Cronog. e Histog.'!DL:DL),"")</f>
        <v>0</v>
      </c>
      <c r="AR263" s="144">
        <f>IFERROR(_xlfn.XLOOKUP($B263,'Cronog. e Histog.'!$BZ:$BZ,'Cronog. e Histog.'!DM:DM),"")</f>
        <v>0</v>
      </c>
      <c r="AS263" s="144">
        <f>IFERROR(_xlfn.XLOOKUP($B263,'Cronog. e Histog.'!$BZ:$BZ,'Cronog. e Histog.'!DN:DN),"")</f>
        <v>0</v>
      </c>
      <c r="AT263" s="144">
        <f>IFERROR(_xlfn.XLOOKUP($B263,'Cronog. e Histog.'!$BZ:$BZ,'Cronog. e Histog.'!DO:DO),"")</f>
        <v>0</v>
      </c>
      <c r="AU263" s="144">
        <f>IFERROR(_xlfn.XLOOKUP($B263,'Cronog. e Histog.'!$BZ:$BZ,'Cronog. e Histog.'!DP:DP),"")</f>
        <v>0</v>
      </c>
      <c r="AV263" s="144">
        <f>IFERROR(_xlfn.XLOOKUP($B263,'Cronog. e Histog.'!$BZ:$BZ,'Cronog. e Histog.'!DQ:DQ),"")</f>
        <v>0</v>
      </c>
      <c r="AW263" s="144">
        <f>IFERROR(_xlfn.XLOOKUP($B263,'Cronog. e Histog.'!$BZ:$BZ,'Cronog. e Histog.'!DR:DR),"")</f>
        <v>0</v>
      </c>
      <c r="AX263" s="144">
        <f>IFERROR(_xlfn.XLOOKUP($B263,'Cronog. e Histog.'!$BZ:$BZ,'Cronog. e Histog.'!DS:DS),"")</f>
        <v>0</v>
      </c>
      <c r="AY263" s="144">
        <f>IFERROR(_xlfn.XLOOKUP($B263,'Cronog. e Histog.'!$BZ:$BZ,'Cronog. e Histog.'!DT:DT),"")</f>
        <v>0</v>
      </c>
      <c r="AZ263" s="144">
        <f>IFERROR(_xlfn.XLOOKUP($B263,'Cronog. e Histog.'!$BZ:$BZ,'Cronog. e Histog.'!DU:DU),"")</f>
        <v>0</v>
      </c>
      <c r="BA263" s="144">
        <f>IFERROR(_xlfn.XLOOKUP($B263,'Cronog. e Histog.'!$BZ:$BZ,'Cronog. e Histog.'!DV:DV),"")</f>
        <v>0</v>
      </c>
      <c r="BB263" s="144">
        <f>IFERROR(_xlfn.XLOOKUP($B263,'Cronog. e Histog.'!$BZ:$BZ,'Cronog. e Histog.'!DW:DW),"")</f>
        <v>0</v>
      </c>
      <c r="BC263" s="144">
        <f>IFERROR(_xlfn.XLOOKUP($B263,'Cronog. e Histog.'!$BZ:$BZ,'Cronog. e Histog.'!DX:DX),"")</f>
        <v>0</v>
      </c>
      <c r="BD263" s="144">
        <f>IFERROR(_xlfn.XLOOKUP($B263,'Cronog. e Histog.'!$BZ:$BZ,'Cronog. e Histog.'!DY:DY),"")</f>
        <v>0</v>
      </c>
      <c r="BE263" s="144">
        <f>IFERROR(_xlfn.XLOOKUP($B263,'Cronog. e Histog.'!$BZ:$BZ,'Cronog. e Histog.'!DZ:DZ),"")</f>
        <v>0</v>
      </c>
      <c r="BF263" s="144">
        <f>IFERROR(_xlfn.XLOOKUP($B263,'Cronog. e Histog.'!$BZ:$BZ,'Cronog. e Histog.'!EA:EA),"")</f>
        <v>0</v>
      </c>
      <c r="BG263" s="144">
        <f>IFERROR(_xlfn.XLOOKUP($B263,'Cronog. e Histog.'!$BZ:$BZ,'Cronog. e Histog.'!EB:EB),"")</f>
        <v>0</v>
      </c>
      <c r="BH263" s="144">
        <f>IFERROR(_xlfn.XLOOKUP($B263,'Cronog. e Histog.'!$BZ:$BZ,'Cronog. e Histog.'!EC:EC),"")</f>
        <v>0</v>
      </c>
      <c r="BI263" s="144">
        <f>IFERROR(_xlfn.XLOOKUP($B263,'Cronog. e Histog.'!$BZ:$BZ,'Cronog. e Histog.'!ED:ED),"")</f>
        <v>0</v>
      </c>
      <c r="BJ263" s="144">
        <f>IFERROR(_xlfn.XLOOKUP($B263,'Cronog. e Histog.'!$BZ:$BZ,'Cronog. e Histog.'!EE:EE),"")</f>
        <v>0</v>
      </c>
      <c r="BK263" s="144">
        <f>IFERROR(_xlfn.XLOOKUP($B263,'Cronog. e Histog.'!$BZ:$BZ,'Cronog. e Histog.'!EF:EF),"")</f>
        <v>0</v>
      </c>
      <c r="BL263" s="144">
        <f>IFERROR(_xlfn.XLOOKUP($B263,'Cronog. e Histog.'!$BZ:$BZ,'Cronog. e Histog.'!EG:EG),"")</f>
        <v>0</v>
      </c>
      <c r="BM263" s="144">
        <f>IFERROR(_xlfn.XLOOKUP($B263,'Cronog. e Histog.'!$BZ:$BZ,'Cronog. e Histog.'!EH:EH),"")</f>
        <v>0</v>
      </c>
      <c r="BN263" s="144">
        <f>IFERROR(_xlfn.XLOOKUP($B263,'Cronog. e Histog.'!$BZ:$BZ,'Cronog. e Histog.'!EI:EI),"")</f>
        <v>0</v>
      </c>
    </row>
    <row r="264" spans="2:66" ht="12" hidden="1" customHeight="1" outlineLevel="1">
      <c r="B264" s="76">
        <v>258</v>
      </c>
      <c r="C264" s="143" t="str">
        <f>IFERROR(VLOOKUP(B264,'Cronog. e Histog.'!$BZ$213:$CA$747,2,0),"")</f>
        <v>EST</v>
      </c>
      <c r="D264" s="144">
        <f t="shared" si="6"/>
        <v>0</v>
      </c>
      <c r="E264" s="144">
        <f t="shared" si="7"/>
        <v>0</v>
      </c>
      <c r="F264" s="65"/>
      <c r="G264" s="144">
        <f>IFERROR(_xlfn.XLOOKUP($B264,'Cronog. e Histog.'!$BZ:$BZ,'Cronog. e Histog.'!CB:CB),"")</f>
        <v>0</v>
      </c>
      <c r="H264" s="144">
        <f>IFERROR(_xlfn.XLOOKUP($B264,'Cronog. e Histog.'!$BZ:$BZ,'Cronog. e Histog.'!CC:CC),"")</f>
        <v>0</v>
      </c>
      <c r="I264" s="144">
        <f>IFERROR(_xlfn.XLOOKUP($B264,'Cronog. e Histog.'!$BZ:$BZ,'Cronog. e Histog.'!CD:CD),"")</f>
        <v>0</v>
      </c>
      <c r="J264" s="144">
        <f>IFERROR(_xlfn.XLOOKUP($B264,'Cronog. e Histog.'!$BZ:$BZ,'Cronog. e Histog.'!CE:CE),"")</f>
        <v>0</v>
      </c>
      <c r="K264" s="144">
        <f>IFERROR(_xlfn.XLOOKUP($B264,'Cronog. e Histog.'!$BZ:$BZ,'Cronog. e Histog.'!CF:CF),"")</f>
        <v>0</v>
      </c>
      <c r="L264" s="144">
        <f>IFERROR(_xlfn.XLOOKUP($B264,'Cronog. e Histog.'!$BZ:$BZ,'Cronog. e Histog.'!CG:CG),"")</f>
        <v>0</v>
      </c>
      <c r="M264" s="144">
        <f>IFERROR(_xlfn.XLOOKUP($B264,'Cronog. e Histog.'!$BZ:$BZ,'Cronog. e Histog.'!CH:CH),"")</f>
        <v>0</v>
      </c>
      <c r="N264" s="144">
        <f>IFERROR(_xlfn.XLOOKUP($B264,'Cronog. e Histog.'!$BZ:$BZ,'Cronog. e Histog.'!CI:CI),"")</f>
        <v>0</v>
      </c>
      <c r="O264" s="144">
        <f>IFERROR(_xlfn.XLOOKUP($B264,'Cronog. e Histog.'!$BZ:$BZ,'Cronog. e Histog.'!CJ:CJ),"")</f>
        <v>0</v>
      </c>
      <c r="P264" s="144">
        <f>IFERROR(_xlfn.XLOOKUP($B264,'Cronog. e Histog.'!$BZ:$BZ,'Cronog. e Histog.'!CK:CK),"")</f>
        <v>0</v>
      </c>
      <c r="Q264" s="144">
        <f>IFERROR(_xlfn.XLOOKUP($B264,'Cronog. e Histog.'!$BZ:$BZ,'Cronog. e Histog.'!CL:CL),"")</f>
        <v>0</v>
      </c>
      <c r="R264" s="144">
        <f>IFERROR(_xlfn.XLOOKUP($B264,'Cronog. e Histog.'!$BZ:$BZ,'Cronog. e Histog.'!CM:CM),"")</f>
        <v>0</v>
      </c>
      <c r="S264" s="144">
        <f>IFERROR(_xlfn.XLOOKUP($B264,'Cronog. e Histog.'!$BZ:$BZ,'Cronog. e Histog.'!CN:CN),"")</f>
        <v>0</v>
      </c>
      <c r="T264" s="144">
        <f>IFERROR(_xlfn.XLOOKUP($B264,'Cronog. e Histog.'!$BZ:$BZ,'Cronog. e Histog.'!CO:CO),"")</f>
        <v>0</v>
      </c>
      <c r="U264" s="144">
        <f>IFERROR(_xlfn.XLOOKUP($B264,'Cronog. e Histog.'!$BZ:$BZ,'Cronog. e Histog.'!CP:CP),"")</f>
        <v>0</v>
      </c>
      <c r="V264" s="144">
        <f>IFERROR(_xlfn.XLOOKUP($B264,'Cronog. e Histog.'!$BZ:$BZ,'Cronog. e Histog.'!CQ:CQ),"")</f>
        <v>0</v>
      </c>
      <c r="W264" s="144">
        <f>IFERROR(_xlfn.XLOOKUP($B264,'Cronog. e Histog.'!$BZ:$BZ,'Cronog. e Histog.'!CR:CR),"")</f>
        <v>0</v>
      </c>
      <c r="X264" s="144">
        <f>IFERROR(_xlfn.XLOOKUP($B264,'Cronog. e Histog.'!$BZ:$BZ,'Cronog. e Histog.'!CS:CS),"")</f>
        <v>0</v>
      </c>
      <c r="Y264" s="144">
        <f>IFERROR(_xlfn.XLOOKUP($B264,'Cronog. e Histog.'!$BZ:$BZ,'Cronog. e Histog.'!CT:CT),"")</f>
        <v>0</v>
      </c>
      <c r="Z264" s="144">
        <f>IFERROR(_xlfn.XLOOKUP($B264,'Cronog. e Histog.'!$BZ:$BZ,'Cronog. e Histog.'!CU:CU),"")</f>
        <v>0</v>
      </c>
      <c r="AA264" s="144">
        <f>IFERROR(_xlfn.XLOOKUP($B264,'Cronog. e Histog.'!$BZ:$BZ,'Cronog. e Histog.'!CV:CV),"")</f>
        <v>0</v>
      </c>
      <c r="AB264" s="144">
        <f>IFERROR(_xlfn.XLOOKUP($B264,'Cronog. e Histog.'!$BZ:$BZ,'Cronog. e Histog.'!CW:CW),"")</f>
        <v>0</v>
      </c>
      <c r="AC264" s="144">
        <f>IFERROR(_xlfn.XLOOKUP($B264,'Cronog. e Histog.'!$BZ:$BZ,'Cronog. e Histog.'!CX:CX),"")</f>
        <v>0</v>
      </c>
      <c r="AD264" s="144">
        <f>IFERROR(_xlfn.XLOOKUP($B264,'Cronog. e Histog.'!$BZ:$BZ,'Cronog. e Histog.'!CY:CY),"")</f>
        <v>0</v>
      </c>
      <c r="AE264" s="144">
        <f>IFERROR(_xlfn.XLOOKUP($B264,'Cronog. e Histog.'!$BZ:$BZ,'Cronog. e Histog.'!CZ:CZ),"")</f>
        <v>0</v>
      </c>
      <c r="AF264" s="144">
        <f>IFERROR(_xlfn.XLOOKUP($B264,'Cronog. e Histog.'!$BZ:$BZ,'Cronog. e Histog.'!DA:DA),"")</f>
        <v>0</v>
      </c>
      <c r="AG264" s="144">
        <f>IFERROR(_xlfn.XLOOKUP($B264,'Cronog. e Histog.'!$BZ:$BZ,'Cronog. e Histog.'!DB:DB),"")</f>
        <v>0</v>
      </c>
      <c r="AH264" s="144">
        <f>IFERROR(_xlfn.XLOOKUP($B264,'Cronog. e Histog.'!$BZ:$BZ,'Cronog. e Histog.'!DC:DC),"")</f>
        <v>0</v>
      </c>
      <c r="AI264" s="144">
        <f>IFERROR(_xlfn.XLOOKUP($B264,'Cronog. e Histog.'!$BZ:$BZ,'Cronog. e Histog.'!DD:DD),"")</f>
        <v>0</v>
      </c>
      <c r="AJ264" s="144">
        <f>IFERROR(_xlfn.XLOOKUP($B264,'Cronog. e Histog.'!$BZ:$BZ,'Cronog. e Histog.'!DE:DE),"")</f>
        <v>0</v>
      </c>
      <c r="AK264" s="144">
        <f>IFERROR(_xlfn.XLOOKUP($B264,'Cronog. e Histog.'!$BZ:$BZ,'Cronog. e Histog.'!DF:DF),"")</f>
        <v>0</v>
      </c>
      <c r="AL264" s="144">
        <f>IFERROR(_xlfn.XLOOKUP($B264,'Cronog. e Histog.'!$BZ:$BZ,'Cronog. e Histog.'!DG:DG),"")</f>
        <v>0</v>
      </c>
      <c r="AM264" s="144">
        <f>IFERROR(_xlfn.XLOOKUP($B264,'Cronog. e Histog.'!$BZ:$BZ,'Cronog. e Histog.'!DH:DH),"")</f>
        <v>0</v>
      </c>
      <c r="AN264" s="144">
        <f>IFERROR(_xlfn.XLOOKUP($B264,'Cronog. e Histog.'!$BZ:$BZ,'Cronog. e Histog.'!DI:DI),"")</f>
        <v>0</v>
      </c>
      <c r="AO264" s="144">
        <f>IFERROR(_xlfn.XLOOKUP($B264,'Cronog. e Histog.'!$BZ:$BZ,'Cronog. e Histog.'!DJ:DJ),"")</f>
        <v>0</v>
      </c>
      <c r="AP264" s="144">
        <f>IFERROR(_xlfn.XLOOKUP($B264,'Cronog. e Histog.'!$BZ:$BZ,'Cronog. e Histog.'!DK:DK),"")</f>
        <v>0</v>
      </c>
      <c r="AQ264" s="144">
        <f>IFERROR(_xlfn.XLOOKUP($B264,'Cronog. e Histog.'!$BZ:$BZ,'Cronog. e Histog.'!DL:DL),"")</f>
        <v>0</v>
      </c>
      <c r="AR264" s="144">
        <f>IFERROR(_xlfn.XLOOKUP($B264,'Cronog. e Histog.'!$BZ:$BZ,'Cronog. e Histog.'!DM:DM),"")</f>
        <v>0</v>
      </c>
      <c r="AS264" s="144">
        <f>IFERROR(_xlfn.XLOOKUP($B264,'Cronog. e Histog.'!$BZ:$BZ,'Cronog. e Histog.'!DN:DN),"")</f>
        <v>0</v>
      </c>
      <c r="AT264" s="144">
        <f>IFERROR(_xlfn.XLOOKUP($B264,'Cronog. e Histog.'!$BZ:$BZ,'Cronog. e Histog.'!DO:DO),"")</f>
        <v>0</v>
      </c>
      <c r="AU264" s="144">
        <f>IFERROR(_xlfn.XLOOKUP($B264,'Cronog. e Histog.'!$BZ:$BZ,'Cronog. e Histog.'!DP:DP),"")</f>
        <v>0</v>
      </c>
      <c r="AV264" s="144">
        <f>IFERROR(_xlfn.XLOOKUP($B264,'Cronog. e Histog.'!$BZ:$BZ,'Cronog. e Histog.'!DQ:DQ),"")</f>
        <v>0</v>
      </c>
      <c r="AW264" s="144">
        <f>IFERROR(_xlfn.XLOOKUP($B264,'Cronog. e Histog.'!$BZ:$BZ,'Cronog. e Histog.'!DR:DR),"")</f>
        <v>0</v>
      </c>
      <c r="AX264" s="144">
        <f>IFERROR(_xlfn.XLOOKUP($B264,'Cronog. e Histog.'!$BZ:$BZ,'Cronog. e Histog.'!DS:DS),"")</f>
        <v>0</v>
      </c>
      <c r="AY264" s="144">
        <f>IFERROR(_xlfn.XLOOKUP($B264,'Cronog. e Histog.'!$BZ:$BZ,'Cronog. e Histog.'!DT:DT),"")</f>
        <v>0</v>
      </c>
      <c r="AZ264" s="144">
        <f>IFERROR(_xlfn.XLOOKUP($B264,'Cronog. e Histog.'!$BZ:$BZ,'Cronog. e Histog.'!DU:DU),"")</f>
        <v>0</v>
      </c>
      <c r="BA264" s="144">
        <f>IFERROR(_xlfn.XLOOKUP($B264,'Cronog. e Histog.'!$BZ:$BZ,'Cronog. e Histog.'!DV:DV),"")</f>
        <v>0</v>
      </c>
      <c r="BB264" s="144">
        <f>IFERROR(_xlfn.XLOOKUP($B264,'Cronog. e Histog.'!$BZ:$BZ,'Cronog. e Histog.'!DW:DW),"")</f>
        <v>0</v>
      </c>
      <c r="BC264" s="144">
        <f>IFERROR(_xlfn.XLOOKUP($B264,'Cronog. e Histog.'!$BZ:$BZ,'Cronog. e Histog.'!DX:DX),"")</f>
        <v>0</v>
      </c>
      <c r="BD264" s="144">
        <f>IFERROR(_xlfn.XLOOKUP($B264,'Cronog. e Histog.'!$BZ:$BZ,'Cronog. e Histog.'!DY:DY),"")</f>
        <v>0</v>
      </c>
      <c r="BE264" s="144">
        <f>IFERROR(_xlfn.XLOOKUP($B264,'Cronog. e Histog.'!$BZ:$BZ,'Cronog. e Histog.'!DZ:DZ),"")</f>
        <v>0</v>
      </c>
      <c r="BF264" s="144">
        <f>IFERROR(_xlfn.XLOOKUP($B264,'Cronog. e Histog.'!$BZ:$BZ,'Cronog. e Histog.'!EA:EA),"")</f>
        <v>0</v>
      </c>
      <c r="BG264" s="144">
        <f>IFERROR(_xlfn.XLOOKUP($B264,'Cronog. e Histog.'!$BZ:$BZ,'Cronog. e Histog.'!EB:EB),"")</f>
        <v>0</v>
      </c>
      <c r="BH264" s="144">
        <f>IFERROR(_xlfn.XLOOKUP($B264,'Cronog. e Histog.'!$BZ:$BZ,'Cronog. e Histog.'!EC:EC),"")</f>
        <v>0</v>
      </c>
      <c r="BI264" s="144">
        <f>IFERROR(_xlfn.XLOOKUP($B264,'Cronog. e Histog.'!$BZ:$BZ,'Cronog. e Histog.'!ED:ED),"")</f>
        <v>0</v>
      </c>
      <c r="BJ264" s="144">
        <f>IFERROR(_xlfn.XLOOKUP($B264,'Cronog. e Histog.'!$BZ:$BZ,'Cronog. e Histog.'!EE:EE),"")</f>
        <v>0</v>
      </c>
      <c r="BK264" s="144">
        <f>IFERROR(_xlfn.XLOOKUP($B264,'Cronog. e Histog.'!$BZ:$BZ,'Cronog. e Histog.'!EF:EF),"")</f>
        <v>0</v>
      </c>
      <c r="BL264" s="144">
        <f>IFERROR(_xlfn.XLOOKUP($B264,'Cronog. e Histog.'!$BZ:$BZ,'Cronog. e Histog.'!EG:EG),"")</f>
        <v>0</v>
      </c>
      <c r="BM264" s="144">
        <f>IFERROR(_xlfn.XLOOKUP($B264,'Cronog. e Histog.'!$BZ:$BZ,'Cronog. e Histog.'!EH:EH),"")</f>
        <v>0</v>
      </c>
      <c r="BN264" s="144">
        <f>IFERROR(_xlfn.XLOOKUP($B264,'Cronog. e Histog.'!$BZ:$BZ,'Cronog. e Histog.'!EI:EI),"")</f>
        <v>0</v>
      </c>
    </row>
    <row r="265" spans="2:66" ht="12" hidden="1" customHeight="1" outlineLevel="1">
      <c r="B265" s="76">
        <v>259</v>
      </c>
      <c r="C265" s="143" t="str">
        <f>IFERROR(VLOOKUP(B265,'Cronog. e Histog.'!$BZ$213:$CA$747,2,0),"")</f>
        <v>EST_II</v>
      </c>
      <c r="D265" s="144">
        <f t="shared" si="6"/>
        <v>0</v>
      </c>
      <c r="E265" s="144">
        <f t="shared" si="7"/>
        <v>0</v>
      </c>
      <c r="F265" s="65"/>
      <c r="G265" s="144">
        <f>IFERROR(_xlfn.XLOOKUP($B265,'Cronog. e Histog.'!$BZ:$BZ,'Cronog. e Histog.'!CB:CB),"")</f>
        <v>0</v>
      </c>
      <c r="H265" s="144">
        <f>IFERROR(_xlfn.XLOOKUP($B265,'Cronog. e Histog.'!$BZ:$BZ,'Cronog. e Histog.'!CC:CC),"")</f>
        <v>0</v>
      </c>
      <c r="I265" s="144">
        <f>IFERROR(_xlfn.XLOOKUP($B265,'Cronog. e Histog.'!$BZ:$BZ,'Cronog. e Histog.'!CD:CD),"")</f>
        <v>0</v>
      </c>
      <c r="J265" s="144">
        <f>IFERROR(_xlfn.XLOOKUP($B265,'Cronog. e Histog.'!$BZ:$BZ,'Cronog. e Histog.'!CE:CE),"")</f>
        <v>0</v>
      </c>
      <c r="K265" s="144">
        <f>IFERROR(_xlfn.XLOOKUP($B265,'Cronog. e Histog.'!$BZ:$BZ,'Cronog. e Histog.'!CF:CF),"")</f>
        <v>0</v>
      </c>
      <c r="L265" s="144">
        <f>IFERROR(_xlfn.XLOOKUP($B265,'Cronog. e Histog.'!$BZ:$BZ,'Cronog. e Histog.'!CG:CG),"")</f>
        <v>0</v>
      </c>
      <c r="M265" s="144">
        <f>IFERROR(_xlfn.XLOOKUP($B265,'Cronog. e Histog.'!$BZ:$BZ,'Cronog. e Histog.'!CH:CH),"")</f>
        <v>0</v>
      </c>
      <c r="N265" s="144">
        <f>IFERROR(_xlfn.XLOOKUP($B265,'Cronog. e Histog.'!$BZ:$BZ,'Cronog. e Histog.'!CI:CI),"")</f>
        <v>0</v>
      </c>
      <c r="O265" s="144">
        <f>IFERROR(_xlfn.XLOOKUP($B265,'Cronog. e Histog.'!$BZ:$BZ,'Cronog. e Histog.'!CJ:CJ),"")</f>
        <v>0</v>
      </c>
      <c r="P265" s="144">
        <f>IFERROR(_xlfn.XLOOKUP($B265,'Cronog. e Histog.'!$BZ:$BZ,'Cronog. e Histog.'!CK:CK),"")</f>
        <v>0</v>
      </c>
      <c r="Q265" s="144">
        <f>IFERROR(_xlfn.XLOOKUP($B265,'Cronog. e Histog.'!$BZ:$BZ,'Cronog. e Histog.'!CL:CL),"")</f>
        <v>0</v>
      </c>
      <c r="R265" s="144">
        <f>IFERROR(_xlfn.XLOOKUP($B265,'Cronog. e Histog.'!$BZ:$BZ,'Cronog. e Histog.'!CM:CM),"")</f>
        <v>0</v>
      </c>
      <c r="S265" s="144">
        <f>IFERROR(_xlfn.XLOOKUP($B265,'Cronog. e Histog.'!$BZ:$BZ,'Cronog. e Histog.'!CN:CN),"")</f>
        <v>0</v>
      </c>
      <c r="T265" s="144">
        <f>IFERROR(_xlfn.XLOOKUP($B265,'Cronog. e Histog.'!$BZ:$BZ,'Cronog. e Histog.'!CO:CO),"")</f>
        <v>0</v>
      </c>
      <c r="U265" s="144">
        <f>IFERROR(_xlfn.XLOOKUP($B265,'Cronog. e Histog.'!$BZ:$BZ,'Cronog. e Histog.'!CP:CP),"")</f>
        <v>0</v>
      </c>
      <c r="V265" s="144">
        <f>IFERROR(_xlfn.XLOOKUP($B265,'Cronog. e Histog.'!$BZ:$BZ,'Cronog. e Histog.'!CQ:CQ),"")</f>
        <v>0</v>
      </c>
      <c r="W265" s="144">
        <f>IFERROR(_xlfn.XLOOKUP($B265,'Cronog. e Histog.'!$BZ:$BZ,'Cronog. e Histog.'!CR:CR),"")</f>
        <v>0</v>
      </c>
      <c r="X265" s="144">
        <f>IFERROR(_xlfn.XLOOKUP($B265,'Cronog. e Histog.'!$BZ:$BZ,'Cronog. e Histog.'!CS:CS),"")</f>
        <v>0</v>
      </c>
      <c r="Y265" s="144">
        <f>IFERROR(_xlfn.XLOOKUP($B265,'Cronog. e Histog.'!$BZ:$BZ,'Cronog. e Histog.'!CT:CT),"")</f>
        <v>0</v>
      </c>
      <c r="Z265" s="144">
        <f>IFERROR(_xlfn.XLOOKUP($B265,'Cronog. e Histog.'!$BZ:$BZ,'Cronog. e Histog.'!CU:CU),"")</f>
        <v>0</v>
      </c>
      <c r="AA265" s="144">
        <f>IFERROR(_xlfn.XLOOKUP($B265,'Cronog. e Histog.'!$BZ:$BZ,'Cronog. e Histog.'!CV:CV),"")</f>
        <v>0</v>
      </c>
      <c r="AB265" s="144">
        <f>IFERROR(_xlfn.XLOOKUP($B265,'Cronog. e Histog.'!$BZ:$BZ,'Cronog. e Histog.'!CW:CW),"")</f>
        <v>0</v>
      </c>
      <c r="AC265" s="144">
        <f>IFERROR(_xlfn.XLOOKUP($B265,'Cronog. e Histog.'!$BZ:$BZ,'Cronog. e Histog.'!CX:CX),"")</f>
        <v>0</v>
      </c>
      <c r="AD265" s="144">
        <f>IFERROR(_xlfn.XLOOKUP($B265,'Cronog. e Histog.'!$BZ:$BZ,'Cronog. e Histog.'!CY:CY),"")</f>
        <v>0</v>
      </c>
      <c r="AE265" s="144">
        <f>IFERROR(_xlfn.XLOOKUP($B265,'Cronog. e Histog.'!$BZ:$BZ,'Cronog. e Histog.'!CZ:CZ),"")</f>
        <v>0</v>
      </c>
      <c r="AF265" s="144">
        <f>IFERROR(_xlfn.XLOOKUP($B265,'Cronog. e Histog.'!$BZ:$BZ,'Cronog. e Histog.'!DA:DA),"")</f>
        <v>0</v>
      </c>
      <c r="AG265" s="144">
        <f>IFERROR(_xlfn.XLOOKUP($B265,'Cronog. e Histog.'!$BZ:$BZ,'Cronog. e Histog.'!DB:DB),"")</f>
        <v>0</v>
      </c>
      <c r="AH265" s="144">
        <f>IFERROR(_xlfn.XLOOKUP($B265,'Cronog. e Histog.'!$BZ:$BZ,'Cronog. e Histog.'!DC:DC),"")</f>
        <v>0</v>
      </c>
      <c r="AI265" s="144">
        <f>IFERROR(_xlfn.XLOOKUP($B265,'Cronog. e Histog.'!$BZ:$BZ,'Cronog. e Histog.'!DD:DD),"")</f>
        <v>0</v>
      </c>
      <c r="AJ265" s="144">
        <f>IFERROR(_xlfn.XLOOKUP($B265,'Cronog. e Histog.'!$BZ:$BZ,'Cronog. e Histog.'!DE:DE),"")</f>
        <v>0</v>
      </c>
      <c r="AK265" s="144">
        <f>IFERROR(_xlfn.XLOOKUP($B265,'Cronog. e Histog.'!$BZ:$BZ,'Cronog. e Histog.'!DF:DF),"")</f>
        <v>0</v>
      </c>
      <c r="AL265" s="144">
        <f>IFERROR(_xlfn.XLOOKUP($B265,'Cronog. e Histog.'!$BZ:$BZ,'Cronog. e Histog.'!DG:DG),"")</f>
        <v>0</v>
      </c>
      <c r="AM265" s="144">
        <f>IFERROR(_xlfn.XLOOKUP($B265,'Cronog. e Histog.'!$BZ:$BZ,'Cronog. e Histog.'!DH:DH),"")</f>
        <v>0</v>
      </c>
      <c r="AN265" s="144">
        <f>IFERROR(_xlfn.XLOOKUP($B265,'Cronog. e Histog.'!$BZ:$BZ,'Cronog. e Histog.'!DI:DI),"")</f>
        <v>0</v>
      </c>
      <c r="AO265" s="144">
        <f>IFERROR(_xlfn.XLOOKUP($B265,'Cronog. e Histog.'!$BZ:$BZ,'Cronog. e Histog.'!DJ:DJ),"")</f>
        <v>0</v>
      </c>
      <c r="AP265" s="144">
        <f>IFERROR(_xlfn.XLOOKUP($B265,'Cronog. e Histog.'!$BZ:$BZ,'Cronog. e Histog.'!DK:DK),"")</f>
        <v>0</v>
      </c>
      <c r="AQ265" s="144">
        <f>IFERROR(_xlfn.XLOOKUP($B265,'Cronog. e Histog.'!$BZ:$BZ,'Cronog. e Histog.'!DL:DL),"")</f>
        <v>0</v>
      </c>
      <c r="AR265" s="144">
        <f>IFERROR(_xlfn.XLOOKUP($B265,'Cronog. e Histog.'!$BZ:$BZ,'Cronog. e Histog.'!DM:DM),"")</f>
        <v>0</v>
      </c>
      <c r="AS265" s="144">
        <f>IFERROR(_xlfn.XLOOKUP($B265,'Cronog. e Histog.'!$BZ:$BZ,'Cronog. e Histog.'!DN:DN),"")</f>
        <v>0</v>
      </c>
      <c r="AT265" s="144">
        <f>IFERROR(_xlfn.XLOOKUP($B265,'Cronog. e Histog.'!$BZ:$BZ,'Cronog. e Histog.'!DO:DO),"")</f>
        <v>0</v>
      </c>
      <c r="AU265" s="144">
        <f>IFERROR(_xlfn.XLOOKUP($B265,'Cronog. e Histog.'!$BZ:$BZ,'Cronog. e Histog.'!DP:DP),"")</f>
        <v>0</v>
      </c>
      <c r="AV265" s="144">
        <f>IFERROR(_xlfn.XLOOKUP($B265,'Cronog. e Histog.'!$BZ:$BZ,'Cronog. e Histog.'!DQ:DQ),"")</f>
        <v>0</v>
      </c>
      <c r="AW265" s="144">
        <f>IFERROR(_xlfn.XLOOKUP($B265,'Cronog. e Histog.'!$BZ:$BZ,'Cronog. e Histog.'!DR:DR),"")</f>
        <v>0</v>
      </c>
      <c r="AX265" s="144">
        <f>IFERROR(_xlfn.XLOOKUP($B265,'Cronog. e Histog.'!$BZ:$BZ,'Cronog. e Histog.'!DS:DS),"")</f>
        <v>0</v>
      </c>
      <c r="AY265" s="144">
        <f>IFERROR(_xlfn.XLOOKUP($B265,'Cronog. e Histog.'!$BZ:$BZ,'Cronog. e Histog.'!DT:DT),"")</f>
        <v>0</v>
      </c>
      <c r="AZ265" s="144">
        <f>IFERROR(_xlfn.XLOOKUP($B265,'Cronog. e Histog.'!$BZ:$BZ,'Cronog. e Histog.'!DU:DU),"")</f>
        <v>0</v>
      </c>
      <c r="BA265" s="144">
        <f>IFERROR(_xlfn.XLOOKUP($B265,'Cronog. e Histog.'!$BZ:$BZ,'Cronog. e Histog.'!DV:DV),"")</f>
        <v>0</v>
      </c>
      <c r="BB265" s="144">
        <f>IFERROR(_xlfn.XLOOKUP($B265,'Cronog. e Histog.'!$BZ:$BZ,'Cronog. e Histog.'!DW:DW),"")</f>
        <v>0</v>
      </c>
      <c r="BC265" s="144">
        <f>IFERROR(_xlfn.XLOOKUP($B265,'Cronog. e Histog.'!$BZ:$BZ,'Cronog. e Histog.'!DX:DX),"")</f>
        <v>0</v>
      </c>
      <c r="BD265" s="144">
        <f>IFERROR(_xlfn.XLOOKUP($B265,'Cronog. e Histog.'!$BZ:$BZ,'Cronog. e Histog.'!DY:DY),"")</f>
        <v>0</v>
      </c>
      <c r="BE265" s="144">
        <f>IFERROR(_xlfn.XLOOKUP($B265,'Cronog. e Histog.'!$BZ:$BZ,'Cronog. e Histog.'!DZ:DZ),"")</f>
        <v>0</v>
      </c>
      <c r="BF265" s="144">
        <f>IFERROR(_xlfn.XLOOKUP($B265,'Cronog. e Histog.'!$BZ:$BZ,'Cronog. e Histog.'!EA:EA),"")</f>
        <v>0</v>
      </c>
      <c r="BG265" s="144">
        <f>IFERROR(_xlfn.XLOOKUP($B265,'Cronog. e Histog.'!$BZ:$BZ,'Cronog. e Histog.'!EB:EB),"")</f>
        <v>0</v>
      </c>
      <c r="BH265" s="144">
        <f>IFERROR(_xlfn.XLOOKUP($B265,'Cronog. e Histog.'!$BZ:$BZ,'Cronog. e Histog.'!EC:EC),"")</f>
        <v>0</v>
      </c>
      <c r="BI265" s="144">
        <f>IFERROR(_xlfn.XLOOKUP($B265,'Cronog. e Histog.'!$BZ:$BZ,'Cronog. e Histog.'!ED:ED),"")</f>
        <v>0</v>
      </c>
      <c r="BJ265" s="144">
        <f>IFERROR(_xlfn.XLOOKUP($B265,'Cronog. e Histog.'!$BZ:$BZ,'Cronog. e Histog.'!EE:EE),"")</f>
        <v>0</v>
      </c>
      <c r="BK265" s="144">
        <f>IFERROR(_xlfn.XLOOKUP($B265,'Cronog. e Histog.'!$BZ:$BZ,'Cronog. e Histog.'!EF:EF),"")</f>
        <v>0</v>
      </c>
      <c r="BL265" s="144">
        <f>IFERROR(_xlfn.XLOOKUP($B265,'Cronog. e Histog.'!$BZ:$BZ,'Cronog. e Histog.'!EG:EG),"")</f>
        <v>0</v>
      </c>
      <c r="BM265" s="144">
        <f>IFERROR(_xlfn.XLOOKUP($B265,'Cronog. e Histog.'!$BZ:$BZ,'Cronog. e Histog.'!EH:EH),"")</f>
        <v>0</v>
      </c>
      <c r="BN265" s="144">
        <f>IFERROR(_xlfn.XLOOKUP($B265,'Cronog. e Histog.'!$BZ:$BZ,'Cronog. e Histog.'!EI:EI),"")</f>
        <v>0</v>
      </c>
    </row>
    <row r="266" spans="2:66" ht="12" hidden="1" customHeight="1" outlineLevel="1">
      <c r="B266" s="76">
        <v>260</v>
      </c>
      <c r="C266" s="143" t="str">
        <f>IFERROR(VLOOKUP(B266,'Cronog. e Histog.'!$BZ$213:$CA$747,2,0),"")</f>
        <v>EST_III</v>
      </c>
      <c r="D266" s="144">
        <f t="shared" si="6"/>
        <v>0</v>
      </c>
      <c r="E266" s="144">
        <f t="shared" si="7"/>
        <v>0</v>
      </c>
      <c r="F266" s="65"/>
      <c r="G266" s="144">
        <f>IFERROR(_xlfn.XLOOKUP($B266,'Cronog. e Histog.'!$BZ:$BZ,'Cronog. e Histog.'!CB:CB),"")</f>
        <v>0</v>
      </c>
      <c r="H266" s="144">
        <f>IFERROR(_xlfn.XLOOKUP($B266,'Cronog. e Histog.'!$BZ:$BZ,'Cronog. e Histog.'!CC:CC),"")</f>
        <v>0</v>
      </c>
      <c r="I266" s="144">
        <f>IFERROR(_xlfn.XLOOKUP($B266,'Cronog. e Histog.'!$BZ:$BZ,'Cronog. e Histog.'!CD:CD),"")</f>
        <v>0</v>
      </c>
      <c r="J266" s="144">
        <f>IFERROR(_xlfn.XLOOKUP($B266,'Cronog. e Histog.'!$BZ:$BZ,'Cronog. e Histog.'!CE:CE),"")</f>
        <v>0</v>
      </c>
      <c r="K266" s="144">
        <f>IFERROR(_xlfn.XLOOKUP($B266,'Cronog. e Histog.'!$BZ:$BZ,'Cronog. e Histog.'!CF:CF),"")</f>
        <v>0</v>
      </c>
      <c r="L266" s="144">
        <f>IFERROR(_xlfn.XLOOKUP($B266,'Cronog. e Histog.'!$BZ:$BZ,'Cronog. e Histog.'!CG:CG),"")</f>
        <v>0</v>
      </c>
      <c r="M266" s="144">
        <f>IFERROR(_xlfn.XLOOKUP($B266,'Cronog. e Histog.'!$BZ:$BZ,'Cronog. e Histog.'!CH:CH),"")</f>
        <v>0</v>
      </c>
      <c r="N266" s="144">
        <f>IFERROR(_xlfn.XLOOKUP($B266,'Cronog. e Histog.'!$BZ:$BZ,'Cronog. e Histog.'!CI:CI),"")</f>
        <v>0</v>
      </c>
      <c r="O266" s="144">
        <f>IFERROR(_xlfn.XLOOKUP($B266,'Cronog. e Histog.'!$BZ:$BZ,'Cronog. e Histog.'!CJ:CJ),"")</f>
        <v>0</v>
      </c>
      <c r="P266" s="144">
        <f>IFERROR(_xlfn.XLOOKUP($B266,'Cronog. e Histog.'!$BZ:$BZ,'Cronog. e Histog.'!CK:CK),"")</f>
        <v>0</v>
      </c>
      <c r="Q266" s="144">
        <f>IFERROR(_xlfn.XLOOKUP($B266,'Cronog. e Histog.'!$BZ:$BZ,'Cronog. e Histog.'!CL:CL),"")</f>
        <v>0</v>
      </c>
      <c r="R266" s="144">
        <f>IFERROR(_xlfn.XLOOKUP($B266,'Cronog. e Histog.'!$BZ:$BZ,'Cronog. e Histog.'!CM:CM),"")</f>
        <v>0</v>
      </c>
      <c r="S266" s="144">
        <f>IFERROR(_xlfn.XLOOKUP($B266,'Cronog. e Histog.'!$BZ:$BZ,'Cronog. e Histog.'!CN:CN),"")</f>
        <v>0</v>
      </c>
      <c r="T266" s="144">
        <f>IFERROR(_xlfn.XLOOKUP($B266,'Cronog. e Histog.'!$BZ:$BZ,'Cronog. e Histog.'!CO:CO),"")</f>
        <v>0</v>
      </c>
      <c r="U266" s="144">
        <f>IFERROR(_xlfn.XLOOKUP($B266,'Cronog. e Histog.'!$BZ:$BZ,'Cronog. e Histog.'!CP:CP),"")</f>
        <v>0</v>
      </c>
      <c r="V266" s="144">
        <f>IFERROR(_xlfn.XLOOKUP($B266,'Cronog. e Histog.'!$BZ:$BZ,'Cronog. e Histog.'!CQ:CQ),"")</f>
        <v>0</v>
      </c>
      <c r="W266" s="144">
        <f>IFERROR(_xlfn.XLOOKUP($B266,'Cronog. e Histog.'!$BZ:$BZ,'Cronog. e Histog.'!CR:CR),"")</f>
        <v>0</v>
      </c>
      <c r="X266" s="144">
        <f>IFERROR(_xlfn.XLOOKUP($B266,'Cronog. e Histog.'!$BZ:$BZ,'Cronog. e Histog.'!CS:CS),"")</f>
        <v>0</v>
      </c>
      <c r="Y266" s="144">
        <f>IFERROR(_xlfn.XLOOKUP($B266,'Cronog. e Histog.'!$BZ:$BZ,'Cronog. e Histog.'!CT:CT),"")</f>
        <v>0</v>
      </c>
      <c r="Z266" s="144">
        <f>IFERROR(_xlfn.XLOOKUP($B266,'Cronog. e Histog.'!$BZ:$BZ,'Cronog. e Histog.'!CU:CU),"")</f>
        <v>0</v>
      </c>
      <c r="AA266" s="144">
        <f>IFERROR(_xlfn.XLOOKUP($B266,'Cronog. e Histog.'!$BZ:$BZ,'Cronog. e Histog.'!CV:CV),"")</f>
        <v>0</v>
      </c>
      <c r="AB266" s="144">
        <f>IFERROR(_xlfn.XLOOKUP($B266,'Cronog. e Histog.'!$BZ:$BZ,'Cronog. e Histog.'!CW:CW),"")</f>
        <v>0</v>
      </c>
      <c r="AC266" s="144">
        <f>IFERROR(_xlfn.XLOOKUP($B266,'Cronog. e Histog.'!$BZ:$BZ,'Cronog. e Histog.'!CX:CX),"")</f>
        <v>0</v>
      </c>
      <c r="AD266" s="144">
        <f>IFERROR(_xlfn.XLOOKUP($B266,'Cronog. e Histog.'!$BZ:$BZ,'Cronog. e Histog.'!CY:CY),"")</f>
        <v>0</v>
      </c>
      <c r="AE266" s="144">
        <f>IFERROR(_xlfn.XLOOKUP($B266,'Cronog. e Histog.'!$BZ:$BZ,'Cronog. e Histog.'!CZ:CZ),"")</f>
        <v>0</v>
      </c>
      <c r="AF266" s="144">
        <f>IFERROR(_xlfn.XLOOKUP($B266,'Cronog. e Histog.'!$BZ:$BZ,'Cronog. e Histog.'!DA:DA),"")</f>
        <v>0</v>
      </c>
      <c r="AG266" s="144">
        <f>IFERROR(_xlfn.XLOOKUP($B266,'Cronog. e Histog.'!$BZ:$BZ,'Cronog. e Histog.'!DB:DB),"")</f>
        <v>0</v>
      </c>
      <c r="AH266" s="144">
        <f>IFERROR(_xlfn.XLOOKUP($B266,'Cronog. e Histog.'!$BZ:$BZ,'Cronog. e Histog.'!DC:DC),"")</f>
        <v>0</v>
      </c>
      <c r="AI266" s="144">
        <f>IFERROR(_xlfn.XLOOKUP($B266,'Cronog. e Histog.'!$BZ:$BZ,'Cronog. e Histog.'!DD:DD),"")</f>
        <v>0</v>
      </c>
      <c r="AJ266" s="144">
        <f>IFERROR(_xlfn.XLOOKUP($B266,'Cronog. e Histog.'!$BZ:$BZ,'Cronog. e Histog.'!DE:DE),"")</f>
        <v>0</v>
      </c>
      <c r="AK266" s="144">
        <f>IFERROR(_xlfn.XLOOKUP($B266,'Cronog. e Histog.'!$BZ:$BZ,'Cronog. e Histog.'!DF:DF),"")</f>
        <v>0</v>
      </c>
      <c r="AL266" s="144">
        <f>IFERROR(_xlfn.XLOOKUP($B266,'Cronog. e Histog.'!$BZ:$BZ,'Cronog. e Histog.'!DG:DG),"")</f>
        <v>0</v>
      </c>
      <c r="AM266" s="144">
        <f>IFERROR(_xlfn.XLOOKUP($B266,'Cronog. e Histog.'!$BZ:$BZ,'Cronog. e Histog.'!DH:DH),"")</f>
        <v>0</v>
      </c>
      <c r="AN266" s="144">
        <f>IFERROR(_xlfn.XLOOKUP($B266,'Cronog. e Histog.'!$BZ:$BZ,'Cronog. e Histog.'!DI:DI),"")</f>
        <v>0</v>
      </c>
      <c r="AO266" s="144">
        <f>IFERROR(_xlfn.XLOOKUP($B266,'Cronog. e Histog.'!$BZ:$BZ,'Cronog. e Histog.'!DJ:DJ),"")</f>
        <v>0</v>
      </c>
      <c r="AP266" s="144">
        <f>IFERROR(_xlfn.XLOOKUP($B266,'Cronog. e Histog.'!$BZ:$BZ,'Cronog. e Histog.'!DK:DK),"")</f>
        <v>0</v>
      </c>
      <c r="AQ266" s="144">
        <f>IFERROR(_xlfn.XLOOKUP($B266,'Cronog. e Histog.'!$BZ:$BZ,'Cronog. e Histog.'!DL:DL),"")</f>
        <v>0</v>
      </c>
      <c r="AR266" s="144">
        <f>IFERROR(_xlfn.XLOOKUP($B266,'Cronog. e Histog.'!$BZ:$BZ,'Cronog. e Histog.'!DM:DM),"")</f>
        <v>0</v>
      </c>
      <c r="AS266" s="144">
        <f>IFERROR(_xlfn.XLOOKUP($B266,'Cronog. e Histog.'!$BZ:$BZ,'Cronog. e Histog.'!DN:DN),"")</f>
        <v>0</v>
      </c>
      <c r="AT266" s="144">
        <f>IFERROR(_xlfn.XLOOKUP($B266,'Cronog. e Histog.'!$BZ:$BZ,'Cronog. e Histog.'!DO:DO),"")</f>
        <v>0</v>
      </c>
      <c r="AU266" s="144">
        <f>IFERROR(_xlfn.XLOOKUP($B266,'Cronog. e Histog.'!$BZ:$BZ,'Cronog. e Histog.'!DP:DP),"")</f>
        <v>0</v>
      </c>
      <c r="AV266" s="144">
        <f>IFERROR(_xlfn.XLOOKUP($B266,'Cronog. e Histog.'!$BZ:$BZ,'Cronog. e Histog.'!DQ:DQ),"")</f>
        <v>0</v>
      </c>
      <c r="AW266" s="144">
        <f>IFERROR(_xlfn.XLOOKUP($B266,'Cronog. e Histog.'!$BZ:$BZ,'Cronog. e Histog.'!DR:DR),"")</f>
        <v>0</v>
      </c>
      <c r="AX266" s="144">
        <f>IFERROR(_xlfn.XLOOKUP($B266,'Cronog. e Histog.'!$BZ:$BZ,'Cronog. e Histog.'!DS:DS),"")</f>
        <v>0</v>
      </c>
      <c r="AY266" s="144">
        <f>IFERROR(_xlfn.XLOOKUP($B266,'Cronog. e Histog.'!$BZ:$BZ,'Cronog. e Histog.'!DT:DT),"")</f>
        <v>0</v>
      </c>
      <c r="AZ266" s="144">
        <f>IFERROR(_xlfn.XLOOKUP($B266,'Cronog. e Histog.'!$BZ:$BZ,'Cronog. e Histog.'!DU:DU),"")</f>
        <v>0</v>
      </c>
      <c r="BA266" s="144">
        <f>IFERROR(_xlfn.XLOOKUP($B266,'Cronog. e Histog.'!$BZ:$BZ,'Cronog. e Histog.'!DV:DV),"")</f>
        <v>0</v>
      </c>
      <c r="BB266" s="144">
        <f>IFERROR(_xlfn.XLOOKUP($B266,'Cronog. e Histog.'!$BZ:$BZ,'Cronog. e Histog.'!DW:DW),"")</f>
        <v>0</v>
      </c>
      <c r="BC266" s="144">
        <f>IFERROR(_xlfn.XLOOKUP($B266,'Cronog. e Histog.'!$BZ:$BZ,'Cronog. e Histog.'!DX:DX),"")</f>
        <v>0</v>
      </c>
      <c r="BD266" s="144">
        <f>IFERROR(_xlfn.XLOOKUP($B266,'Cronog. e Histog.'!$BZ:$BZ,'Cronog. e Histog.'!DY:DY),"")</f>
        <v>0</v>
      </c>
      <c r="BE266" s="144">
        <f>IFERROR(_xlfn.XLOOKUP($B266,'Cronog. e Histog.'!$BZ:$BZ,'Cronog. e Histog.'!DZ:DZ),"")</f>
        <v>0</v>
      </c>
      <c r="BF266" s="144">
        <f>IFERROR(_xlfn.XLOOKUP($B266,'Cronog. e Histog.'!$BZ:$BZ,'Cronog. e Histog.'!EA:EA),"")</f>
        <v>0</v>
      </c>
      <c r="BG266" s="144">
        <f>IFERROR(_xlfn.XLOOKUP($B266,'Cronog. e Histog.'!$BZ:$BZ,'Cronog. e Histog.'!EB:EB),"")</f>
        <v>0</v>
      </c>
      <c r="BH266" s="144">
        <f>IFERROR(_xlfn.XLOOKUP($B266,'Cronog. e Histog.'!$BZ:$BZ,'Cronog. e Histog.'!EC:EC),"")</f>
        <v>0</v>
      </c>
      <c r="BI266" s="144">
        <f>IFERROR(_xlfn.XLOOKUP($B266,'Cronog. e Histog.'!$BZ:$BZ,'Cronog. e Histog.'!ED:ED),"")</f>
        <v>0</v>
      </c>
      <c r="BJ266" s="144">
        <f>IFERROR(_xlfn.XLOOKUP($B266,'Cronog. e Histog.'!$BZ:$BZ,'Cronog. e Histog.'!EE:EE),"")</f>
        <v>0</v>
      </c>
      <c r="BK266" s="144">
        <f>IFERROR(_xlfn.XLOOKUP($B266,'Cronog. e Histog.'!$BZ:$BZ,'Cronog. e Histog.'!EF:EF),"")</f>
        <v>0</v>
      </c>
      <c r="BL266" s="144">
        <f>IFERROR(_xlfn.XLOOKUP($B266,'Cronog. e Histog.'!$BZ:$BZ,'Cronog. e Histog.'!EG:EG),"")</f>
        <v>0</v>
      </c>
      <c r="BM266" s="144">
        <f>IFERROR(_xlfn.XLOOKUP($B266,'Cronog. e Histog.'!$BZ:$BZ,'Cronog. e Histog.'!EH:EH),"")</f>
        <v>0</v>
      </c>
      <c r="BN266" s="144">
        <f>IFERROR(_xlfn.XLOOKUP($B266,'Cronog. e Histog.'!$BZ:$BZ,'Cronog. e Histog.'!EI:EI),"")</f>
        <v>0</v>
      </c>
    </row>
    <row r="267" spans="2:66" ht="12" hidden="1" customHeight="1" outlineLevel="1">
      <c r="B267" s="76">
        <v>261</v>
      </c>
      <c r="C267" s="143" t="str">
        <f>IFERROR(VLOOKUP(B267,'Cronog. e Histog.'!$BZ$213:$CA$747,2,0),"")</f>
        <v>GER. (OBRA/PROJ)</v>
      </c>
      <c r="D267" s="144">
        <f t="shared" si="6"/>
        <v>0</v>
      </c>
      <c r="E267" s="144">
        <f t="shared" si="7"/>
        <v>0</v>
      </c>
      <c r="F267" s="65"/>
      <c r="G267" s="144">
        <f>IFERROR(_xlfn.XLOOKUP($B267,'Cronog. e Histog.'!$BZ:$BZ,'Cronog. e Histog.'!CB:CB),"")</f>
        <v>0</v>
      </c>
      <c r="H267" s="144">
        <f>IFERROR(_xlfn.XLOOKUP($B267,'Cronog. e Histog.'!$BZ:$BZ,'Cronog. e Histog.'!CC:CC),"")</f>
        <v>0</v>
      </c>
      <c r="I267" s="144">
        <f>IFERROR(_xlfn.XLOOKUP($B267,'Cronog. e Histog.'!$BZ:$BZ,'Cronog. e Histog.'!CD:CD),"")</f>
        <v>0</v>
      </c>
      <c r="J267" s="144">
        <f>IFERROR(_xlfn.XLOOKUP($B267,'Cronog. e Histog.'!$BZ:$BZ,'Cronog. e Histog.'!CE:CE),"")</f>
        <v>0</v>
      </c>
      <c r="K267" s="144">
        <f>IFERROR(_xlfn.XLOOKUP($B267,'Cronog. e Histog.'!$BZ:$BZ,'Cronog. e Histog.'!CF:CF),"")</f>
        <v>0</v>
      </c>
      <c r="L267" s="144">
        <f>IFERROR(_xlfn.XLOOKUP($B267,'Cronog. e Histog.'!$BZ:$BZ,'Cronog. e Histog.'!CG:CG),"")</f>
        <v>0</v>
      </c>
      <c r="M267" s="144">
        <f>IFERROR(_xlfn.XLOOKUP($B267,'Cronog. e Histog.'!$BZ:$BZ,'Cronog. e Histog.'!CH:CH),"")</f>
        <v>0</v>
      </c>
      <c r="N267" s="144">
        <f>IFERROR(_xlfn.XLOOKUP($B267,'Cronog. e Histog.'!$BZ:$BZ,'Cronog. e Histog.'!CI:CI),"")</f>
        <v>0</v>
      </c>
      <c r="O267" s="144">
        <f>IFERROR(_xlfn.XLOOKUP($B267,'Cronog. e Histog.'!$BZ:$BZ,'Cronog. e Histog.'!CJ:CJ),"")</f>
        <v>0</v>
      </c>
      <c r="P267" s="144">
        <f>IFERROR(_xlfn.XLOOKUP($B267,'Cronog. e Histog.'!$BZ:$BZ,'Cronog. e Histog.'!CK:CK),"")</f>
        <v>0</v>
      </c>
      <c r="Q267" s="144">
        <f>IFERROR(_xlfn.XLOOKUP($B267,'Cronog. e Histog.'!$BZ:$BZ,'Cronog. e Histog.'!CL:CL),"")</f>
        <v>0</v>
      </c>
      <c r="R267" s="144">
        <f>IFERROR(_xlfn.XLOOKUP($B267,'Cronog. e Histog.'!$BZ:$BZ,'Cronog. e Histog.'!CM:CM),"")</f>
        <v>0</v>
      </c>
      <c r="S267" s="144">
        <f>IFERROR(_xlfn.XLOOKUP($B267,'Cronog. e Histog.'!$BZ:$BZ,'Cronog. e Histog.'!CN:CN),"")</f>
        <v>0</v>
      </c>
      <c r="T267" s="144">
        <f>IFERROR(_xlfn.XLOOKUP($B267,'Cronog. e Histog.'!$BZ:$BZ,'Cronog. e Histog.'!CO:CO),"")</f>
        <v>0</v>
      </c>
      <c r="U267" s="144">
        <f>IFERROR(_xlfn.XLOOKUP($B267,'Cronog. e Histog.'!$BZ:$BZ,'Cronog. e Histog.'!CP:CP),"")</f>
        <v>0</v>
      </c>
      <c r="V267" s="144">
        <f>IFERROR(_xlfn.XLOOKUP($B267,'Cronog. e Histog.'!$BZ:$BZ,'Cronog. e Histog.'!CQ:CQ),"")</f>
        <v>0</v>
      </c>
      <c r="W267" s="144">
        <f>IFERROR(_xlfn.XLOOKUP($B267,'Cronog. e Histog.'!$BZ:$BZ,'Cronog. e Histog.'!CR:CR),"")</f>
        <v>0</v>
      </c>
      <c r="X267" s="144">
        <f>IFERROR(_xlfn.XLOOKUP($B267,'Cronog. e Histog.'!$BZ:$BZ,'Cronog. e Histog.'!CS:CS),"")</f>
        <v>0</v>
      </c>
      <c r="Y267" s="144">
        <f>IFERROR(_xlfn.XLOOKUP($B267,'Cronog. e Histog.'!$BZ:$BZ,'Cronog. e Histog.'!CT:CT),"")</f>
        <v>0</v>
      </c>
      <c r="Z267" s="144">
        <f>IFERROR(_xlfn.XLOOKUP($B267,'Cronog. e Histog.'!$BZ:$BZ,'Cronog. e Histog.'!CU:CU),"")</f>
        <v>0</v>
      </c>
      <c r="AA267" s="144">
        <f>IFERROR(_xlfn.XLOOKUP($B267,'Cronog. e Histog.'!$BZ:$BZ,'Cronog. e Histog.'!CV:CV),"")</f>
        <v>0</v>
      </c>
      <c r="AB267" s="144">
        <f>IFERROR(_xlfn.XLOOKUP($B267,'Cronog. e Histog.'!$BZ:$BZ,'Cronog. e Histog.'!CW:CW),"")</f>
        <v>0</v>
      </c>
      <c r="AC267" s="144">
        <f>IFERROR(_xlfn.XLOOKUP($B267,'Cronog. e Histog.'!$BZ:$BZ,'Cronog. e Histog.'!CX:CX),"")</f>
        <v>0</v>
      </c>
      <c r="AD267" s="144">
        <f>IFERROR(_xlfn.XLOOKUP($B267,'Cronog. e Histog.'!$BZ:$BZ,'Cronog. e Histog.'!CY:CY),"")</f>
        <v>0</v>
      </c>
      <c r="AE267" s="144">
        <f>IFERROR(_xlfn.XLOOKUP($B267,'Cronog. e Histog.'!$BZ:$BZ,'Cronog. e Histog.'!CZ:CZ),"")</f>
        <v>0</v>
      </c>
      <c r="AF267" s="144">
        <f>IFERROR(_xlfn.XLOOKUP($B267,'Cronog. e Histog.'!$BZ:$BZ,'Cronog. e Histog.'!DA:DA),"")</f>
        <v>0</v>
      </c>
      <c r="AG267" s="144">
        <f>IFERROR(_xlfn.XLOOKUP($B267,'Cronog. e Histog.'!$BZ:$BZ,'Cronog. e Histog.'!DB:DB),"")</f>
        <v>0</v>
      </c>
      <c r="AH267" s="144">
        <f>IFERROR(_xlfn.XLOOKUP($B267,'Cronog. e Histog.'!$BZ:$BZ,'Cronog. e Histog.'!DC:DC),"")</f>
        <v>0</v>
      </c>
      <c r="AI267" s="144">
        <f>IFERROR(_xlfn.XLOOKUP($B267,'Cronog. e Histog.'!$BZ:$BZ,'Cronog. e Histog.'!DD:DD),"")</f>
        <v>0</v>
      </c>
      <c r="AJ267" s="144">
        <f>IFERROR(_xlfn.XLOOKUP($B267,'Cronog. e Histog.'!$BZ:$BZ,'Cronog. e Histog.'!DE:DE),"")</f>
        <v>0</v>
      </c>
      <c r="AK267" s="144">
        <f>IFERROR(_xlfn.XLOOKUP($B267,'Cronog. e Histog.'!$BZ:$BZ,'Cronog. e Histog.'!DF:DF),"")</f>
        <v>0</v>
      </c>
      <c r="AL267" s="144">
        <f>IFERROR(_xlfn.XLOOKUP($B267,'Cronog. e Histog.'!$BZ:$BZ,'Cronog. e Histog.'!DG:DG),"")</f>
        <v>0</v>
      </c>
      <c r="AM267" s="144">
        <f>IFERROR(_xlfn.XLOOKUP($B267,'Cronog. e Histog.'!$BZ:$BZ,'Cronog. e Histog.'!DH:DH),"")</f>
        <v>0</v>
      </c>
      <c r="AN267" s="144">
        <f>IFERROR(_xlfn.XLOOKUP($B267,'Cronog. e Histog.'!$BZ:$BZ,'Cronog. e Histog.'!DI:DI),"")</f>
        <v>0</v>
      </c>
      <c r="AO267" s="144">
        <f>IFERROR(_xlfn.XLOOKUP($B267,'Cronog. e Histog.'!$BZ:$BZ,'Cronog. e Histog.'!DJ:DJ),"")</f>
        <v>0</v>
      </c>
      <c r="AP267" s="144">
        <f>IFERROR(_xlfn.XLOOKUP($B267,'Cronog. e Histog.'!$BZ:$BZ,'Cronog. e Histog.'!DK:DK),"")</f>
        <v>0</v>
      </c>
      <c r="AQ267" s="144">
        <f>IFERROR(_xlfn.XLOOKUP($B267,'Cronog. e Histog.'!$BZ:$BZ,'Cronog. e Histog.'!DL:DL),"")</f>
        <v>0</v>
      </c>
      <c r="AR267" s="144">
        <f>IFERROR(_xlfn.XLOOKUP($B267,'Cronog. e Histog.'!$BZ:$BZ,'Cronog. e Histog.'!DM:DM),"")</f>
        <v>0</v>
      </c>
      <c r="AS267" s="144">
        <f>IFERROR(_xlfn.XLOOKUP($B267,'Cronog. e Histog.'!$BZ:$BZ,'Cronog. e Histog.'!DN:DN),"")</f>
        <v>0</v>
      </c>
      <c r="AT267" s="144">
        <f>IFERROR(_xlfn.XLOOKUP($B267,'Cronog. e Histog.'!$BZ:$BZ,'Cronog. e Histog.'!DO:DO),"")</f>
        <v>0</v>
      </c>
      <c r="AU267" s="144">
        <f>IFERROR(_xlfn.XLOOKUP($B267,'Cronog. e Histog.'!$BZ:$BZ,'Cronog. e Histog.'!DP:DP),"")</f>
        <v>0</v>
      </c>
      <c r="AV267" s="144">
        <f>IFERROR(_xlfn.XLOOKUP($B267,'Cronog. e Histog.'!$BZ:$BZ,'Cronog. e Histog.'!DQ:DQ),"")</f>
        <v>0</v>
      </c>
      <c r="AW267" s="144">
        <f>IFERROR(_xlfn.XLOOKUP($B267,'Cronog. e Histog.'!$BZ:$BZ,'Cronog. e Histog.'!DR:DR),"")</f>
        <v>0</v>
      </c>
      <c r="AX267" s="144">
        <f>IFERROR(_xlfn.XLOOKUP($B267,'Cronog. e Histog.'!$BZ:$BZ,'Cronog. e Histog.'!DS:DS),"")</f>
        <v>0</v>
      </c>
      <c r="AY267" s="144">
        <f>IFERROR(_xlfn.XLOOKUP($B267,'Cronog. e Histog.'!$BZ:$BZ,'Cronog. e Histog.'!DT:DT),"")</f>
        <v>0</v>
      </c>
      <c r="AZ267" s="144">
        <f>IFERROR(_xlfn.XLOOKUP($B267,'Cronog. e Histog.'!$BZ:$BZ,'Cronog. e Histog.'!DU:DU),"")</f>
        <v>0</v>
      </c>
      <c r="BA267" s="144">
        <f>IFERROR(_xlfn.XLOOKUP($B267,'Cronog. e Histog.'!$BZ:$BZ,'Cronog. e Histog.'!DV:DV),"")</f>
        <v>0</v>
      </c>
      <c r="BB267" s="144">
        <f>IFERROR(_xlfn.XLOOKUP($B267,'Cronog. e Histog.'!$BZ:$BZ,'Cronog. e Histog.'!DW:DW),"")</f>
        <v>0</v>
      </c>
      <c r="BC267" s="144">
        <f>IFERROR(_xlfn.XLOOKUP($B267,'Cronog. e Histog.'!$BZ:$BZ,'Cronog. e Histog.'!DX:DX),"")</f>
        <v>0</v>
      </c>
      <c r="BD267" s="144">
        <f>IFERROR(_xlfn.XLOOKUP($B267,'Cronog. e Histog.'!$BZ:$BZ,'Cronog. e Histog.'!DY:DY),"")</f>
        <v>0</v>
      </c>
      <c r="BE267" s="144">
        <f>IFERROR(_xlfn.XLOOKUP($B267,'Cronog. e Histog.'!$BZ:$BZ,'Cronog. e Histog.'!DZ:DZ),"")</f>
        <v>0</v>
      </c>
      <c r="BF267" s="144">
        <f>IFERROR(_xlfn.XLOOKUP($B267,'Cronog. e Histog.'!$BZ:$BZ,'Cronog. e Histog.'!EA:EA),"")</f>
        <v>0</v>
      </c>
      <c r="BG267" s="144">
        <f>IFERROR(_xlfn.XLOOKUP($B267,'Cronog. e Histog.'!$BZ:$BZ,'Cronog. e Histog.'!EB:EB),"")</f>
        <v>0</v>
      </c>
      <c r="BH267" s="144">
        <f>IFERROR(_xlfn.XLOOKUP($B267,'Cronog. e Histog.'!$BZ:$BZ,'Cronog. e Histog.'!EC:EC),"")</f>
        <v>0</v>
      </c>
      <c r="BI267" s="144">
        <f>IFERROR(_xlfn.XLOOKUP($B267,'Cronog. e Histog.'!$BZ:$BZ,'Cronog. e Histog.'!ED:ED),"")</f>
        <v>0</v>
      </c>
      <c r="BJ267" s="144">
        <f>IFERROR(_xlfn.XLOOKUP($B267,'Cronog. e Histog.'!$BZ:$BZ,'Cronog. e Histog.'!EE:EE),"")</f>
        <v>0</v>
      </c>
      <c r="BK267" s="144">
        <f>IFERROR(_xlfn.XLOOKUP($B267,'Cronog. e Histog.'!$BZ:$BZ,'Cronog. e Histog.'!EF:EF),"")</f>
        <v>0</v>
      </c>
      <c r="BL267" s="144">
        <f>IFERROR(_xlfn.XLOOKUP($B267,'Cronog. e Histog.'!$BZ:$BZ,'Cronog. e Histog.'!EG:EG),"")</f>
        <v>0</v>
      </c>
      <c r="BM267" s="144">
        <f>IFERROR(_xlfn.XLOOKUP($B267,'Cronog. e Histog.'!$BZ:$BZ,'Cronog. e Histog.'!EH:EH),"")</f>
        <v>0</v>
      </c>
      <c r="BN267" s="144">
        <f>IFERROR(_xlfn.XLOOKUP($B267,'Cronog. e Histog.'!$BZ:$BZ,'Cronog. e Histog.'!EI:EI),"")</f>
        <v>0</v>
      </c>
    </row>
    <row r="268" spans="2:66" ht="12" hidden="1" customHeight="1" outlineLevel="1">
      <c r="B268" s="76">
        <v>262</v>
      </c>
      <c r="C268" s="143" t="str">
        <f>IFERROR(VLOOKUP(B268,'Cronog. e Histog.'!$BZ$213:$CA$747,2,0),"")</f>
        <v>COORD.</v>
      </c>
      <c r="D268" s="144">
        <f t="shared" si="6"/>
        <v>0</v>
      </c>
      <c r="E268" s="144">
        <f t="shared" si="7"/>
        <v>0</v>
      </c>
      <c r="F268" s="65"/>
      <c r="G268" s="144">
        <f>IFERROR(_xlfn.XLOOKUP($B268,'Cronog. e Histog.'!$BZ:$BZ,'Cronog. e Histog.'!CB:CB),"")</f>
        <v>0</v>
      </c>
      <c r="H268" s="144">
        <f>IFERROR(_xlfn.XLOOKUP($B268,'Cronog. e Histog.'!$BZ:$BZ,'Cronog. e Histog.'!CC:CC),"")</f>
        <v>0</v>
      </c>
      <c r="I268" s="144">
        <f>IFERROR(_xlfn.XLOOKUP($B268,'Cronog. e Histog.'!$BZ:$BZ,'Cronog. e Histog.'!CD:CD),"")</f>
        <v>0</v>
      </c>
      <c r="J268" s="144">
        <f>IFERROR(_xlfn.XLOOKUP($B268,'Cronog. e Histog.'!$BZ:$BZ,'Cronog. e Histog.'!CE:CE),"")</f>
        <v>0</v>
      </c>
      <c r="K268" s="144">
        <f>IFERROR(_xlfn.XLOOKUP($B268,'Cronog. e Histog.'!$BZ:$BZ,'Cronog. e Histog.'!CF:CF),"")</f>
        <v>0</v>
      </c>
      <c r="L268" s="144">
        <f>IFERROR(_xlfn.XLOOKUP($B268,'Cronog. e Histog.'!$BZ:$BZ,'Cronog. e Histog.'!CG:CG),"")</f>
        <v>0</v>
      </c>
      <c r="M268" s="144">
        <f>IFERROR(_xlfn.XLOOKUP($B268,'Cronog. e Histog.'!$BZ:$BZ,'Cronog. e Histog.'!CH:CH),"")</f>
        <v>0</v>
      </c>
      <c r="N268" s="144">
        <f>IFERROR(_xlfn.XLOOKUP($B268,'Cronog. e Histog.'!$BZ:$BZ,'Cronog. e Histog.'!CI:CI),"")</f>
        <v>0</v>
      </c>
      <c r="O268" s="144">
        <f>IFERROR(_xlfn.XLOOKUP($B268,'Cronog. e Histog.'!$BZ:$BZ,'Cronog. e Histog.'!CJ:CJ),"")</f>
        <v>0</v>
      </c>
      <c r="P268" s="144">
        <f>IFERROR(_xlfn.XLOOKUP($B268,'Cronog. e Histog.'!$BZ:$BZ,'Cronog. e Histog.'!CK:CK),"")</f>
        <v>0</v>
      </c>
      <c r="Q268" s="144">
        <f>IFERROR(_xlfn.XLOOKUP($B268,'Cronog. e Histog.'!$BZ:$BZ,'Cronog. e Histog.'!CL:CL),"")</f>
        <v>0</v>
      </c>
      <c r="R268" s="144">
        <f>IFERROR(_xlfn.XLOOKUP($B268,'Cronog. e Histog.'!$BZ:$BZ,'Cronog. e Histog.'!CM:CM),"")</f>
        <v>0</v>
      </c>
      <c r="S268" s="144">
        <f>IFERROR(_xlfn.XLOOKUP($B268,'Cronog. e Histog.'!$BZ:$BZ,'Cronog. e Histog.'!CN:CN),"")</f>
        <v>0</v>
      </c>
      <c r="T268" s="144">
        <f>IFERROR(_xlfn.XLOOKUP($B268,'Cronog. e Histog.'!$BZ:$BZ,'Cronog. e Histog.'!CO:CO),"")</f>
        <v>0</v>
      </c>
      <c r="U268" s="144">
        <f>IFERROR(_xlfn.XLOOKUP($B268,'Cronog. e Histog.'!$BZ:$BZ,'Cronog. e Histog.'!CP:CP),"")</f>
        <v>0</v>
      </c>
      <c r="V268" s="144">
        <f>IFERROR(_xlfn.XLOOKUP($B268,'Cronog. e Histog.'!$BZ:$BZ,'Cronog. e Histog.'!CQ:CQ),"")</f>
        <v>0</v>
      </c>
      <c r="W268" s="144">
        <f>IFERROR(_xlfn.XLOOKUP($B268,'Cronog. e Histog.'!$BZ:$BZ,'Cronog. e Histog.'!CR:CR),"")</f>
        <v>0</v>
      </c>
      <c r="X268" s="144">
        <f>IFERROR(_xlfn.XLOOKUP($B268,'Cronog. e Histog.'!$BZ:$BZ,'Cronog. e Histog.'!CS:CS),"")</f>
        <v>0</v>
      </c>
      <c r="Y268" s="144">
        <f>IFERROR(_xlfn.XLOOKUP($B268,'Cronog. e Histog.'!$BZ:$BZ,'Cronog. e Histog.'!CT:CT),"")</f>
        <v>0</v>
      </c>
      <c r="Z268" s="144">
        <f>IFERROR(_xlfn.XLOOKUP($B268,'Cronog. e Histog.'!$BZ:$BZ,'Cronog. e Histog.'!CU:CU),"")</f>
        <v>0</v>
      </c>
      <c r="AA268" s="144">
        <f>IFERROR(_xlfn.XLOOKUP($B268,'Cronog. e Histog.'!$BZ:$BZ,'Cronog. e Histog.'!CV:CV),"")</f>
        <v>0</v>
      </c>
      <c r="AB268" s="144">
        <f>IFERROR(_xlfn.XLOOKUP($B268,'Cronog. e Histog.'!$BZ:$BZ,'Cronog. e Histog.'!CW:CW),"")</f>
        <v>0</v>
      </c>
      <c r="AC268" s="144">
        <f>IFERROR(_xlfn.XLOOKUP($B268,'Cronog. e Histog.'!$BZ:$BZ,'Cronog. e Histog.'!CX:CX),"")</f>
        <v>0</v>
      </c>
      <c r="AD268" s="144">
        <f>IFERROR(_xlfn.XLOOKUP($B268,'Cronog. e Histog.'!$BZ:$BZ,'Cronog. e Histog.'!CY:CY),"")</f>
        <v>0</v>
      </c>
      <c r="AE268" s="144">
        <f>IFERROR(_xlfn.XLOOKUP($B268,'Cronog. e Histog.'!$BZ:$BZ,'Cronog. e Histog.'!CZ:CZ),"")</f>
        <v>0</v>
      </c>
      <c r="AF268" s="144">
        <f>IFERROR(_xlfn.XLOOKUP($B268,'Cronog. e Histog.'!$BZ:$BZ,'Cronog. e Histog.'!DA:DA),"")</f>
        <v>0</v>
      </c>
      <c r="AG268" s="144">
        <f>IFERROR(_xlfn.XLOOKUP($B268,'Cronog. e Histog.'!$BZ:$BZ,'Cronog. e Histog.'!DB:DB),"")</f>
        <v>0</v>
      </c>
      <c r="AH268" s="144">
        <f>IFERROR(_xlfn.XLOOKUP($B268,'Cronog. e Histog.'!$BZ:$BZ,'Cronog. e Histog.'!DC:DC),"")</f>
        <v>0</v>
      </c>
      <c r="AI268" s="144">
        <f>IFERROR(_xlfn.XLOOKUP($B268,'Cronog. e Histog.'!$BZ:$BZ,'Cronog. e Histog.'!DD:DD),"")</f>
        <v>0</v>
      </c>
      <c r="AJ268" s="144">
        <f>IFERROR(_xlfn.XLOOKUP($B268,'Cronog. e Histog.'!$BZ:$BZ,'Cronog. e Histog.'!DE:DE),"")</f>
        <v>0</v>
      </c>
      <c r="AK268" s="144">
        <f>IFERROR(_xlfn.XLOOKUP($B268,'Cronog. e Histog.'!$BZ:$BZ,'Cronog. e Histog.'!DF:DF),"")</f>
        <v>0</v>
      </c>
      <c r="AL268" s="144">
        <f>IFERROR(_xlfn.XLOOKUP($B268,'Cronog. e Histog.'!$BZ:$BZ,'Cronog. e Histog.'!DG:DG),"")</f>
        <v>0</v>
      </c>
      <c r="AM268" s="144">
        <f>IFERROR(_xlfn.XLOOKUP($B268,'Cronog. e Histog.'!$BZ:$BZ,'Cronog. e Histog.'!DH:DH),"")</f>
        <v>0</v>
      </c>
      <c r="AN268" s="144">
        <f>IFERROR(_xlfn.XLOOKUP($B268,'Cronog. e Histog.'!$BZ:$BZ,'Cronog. e Histog.'!DI:DI),"")</f>
        <v>0</v>
      </c>
      <c r="AO268" s="144">
        <f>IFERROR(_xlfn.XLOOKUP($B268,'Cronog. e Histog.'!$BZ:$BZ,'Cronog. e Histog.'!DJ:DJ),"")</f>
        <v>0</v>
      </c>
      <c r="AP268" s="144">
        <f>IFERROR(_xlfn.XLOOKUP($B268,'Cronog. e Histog.'!$BZ:$BZ,'Cronog. e Histog.'!DK:DK),"")</f>
        <v>0</v>
      </c>
      <c r="AQ268" s="144">
        <f>IFERROR(_xlfn.XLOOKUP($B268,'Cronog. e Histog.'!$BZ:$BZ,'Cronog. e Histog.'!DL:DL),"")</f>
        <v>0</v>
      </c>
      <c r="AR268" s="144">
        <f>IFERROR(_xlfn.XLOOKUP($B268,'Cronog. e Histog.'!$BZ:$BZ,'Cronog. e Histog.'!DM:DM),"")</f>
        <v>0</v>
      </c>
      <c r="AS268" s="144">
        <f>IFERROR(_xlfn.XLOOKUP($B268,'Cronog. e Histog.'!$BZ:$BZ,'Cronog. e Histog.'!DN:DN),"")</f>
        <v>0</v>
      </c>
      <c r="AT268" s="144">
        <f>IFERROR(_xlfn.XLOOKUP($B268,'Cronog. e Histog.'!$BZ:$BZ,'Cronog. e Histog.'!DO:DO),"")</f>
        <v>0</v>
      </c>
      <c r="AU268" s="144">
        <f>IFERROR(_xlfn.XLOOKUP($B268,'Cronog. e Histog.'!$BZ:$BZ,'Cronog. e Histog.'!DP:DP),"")</f>
        <v>0</v>
      </c>
      <c r="AV268" s="144">
        <f>IFERROR(_xlfn.XLOOKUP($B268,'Cronog. e Histog.'!$BZ:$BZ,'Cronog. e Histog.'!DQ:DQ),"")</f>
        <v>0</v>
      </c>
      <c r="AW268" s="144">
        <f>IFERROR(_xlfn.XLOOKUP($B268,'Cronog. e Histog.'!$BZ:$BZ,'Cronog. e Histog.'!DR:DR),"")</f>
        <v>0</v>
      </c>
      <c r="AX268" s="144">
        <f>IFERROR(_xlfn.XLOOKUP($B268,'Cronog. e Histog.'!$BZ:$BZ,'Cronog. e Histog.'!DS:DS),"")</f>
        <v>0</v>
      </c>
      <c r="AY268" s="144">
        <f>IFERROR(_xlfn.XLOOKUP($B268,'Cronog. e Histog.'!$BZ:$BZ,'Cronog. e Histog.'!DT:DT),"")</f>
        <v>0</v>
      </c>
      <c r="AZ268" s="144">
        <f>IFERROR(_xlfn.XLOOKUP($B268,'Cronog. e Histog.'!$BZ:$BZ,'Cronog. e Histog.'!DU:DU),"")</f>
        <v>0</v>
      </c>
      <c r="BA268" s="144">
        <f>IFERROR(_xlfn.XLOOKUP($B268,'Cronog. e Histog.'!$BZ:$BZ,'Cronog. e Histog.'!DV:DV),"")</f>
        <v>0</v>
      </c>
      <c r="BB268" s="144">
        <f>IFERROR(_xlfn.XLOOKUP($B268,'Cronog. e Histog.'!$BZ:$BZ,'Cronog. e Histog.'!DW:DW),"")</f>
        <v>0</v>
      </c>
      <c r="BC268" s="144">
        <f>IFERROR(_xlfn.XLOOKUP($B268,'Cronog. e Histog.'!$BZ:$BZ,'Cronog. e Histog.'!DX:DX),"")</f>
        <v>0</v>
      </c>
      <c r="BD268" s="144">
        <f>IFERROR(_xlfn.XLOOKUP($B268,'Cronog. e Histog.'!$BZ:$BZ,'Cronog. e Histog.'!DY:DY),"")</f>
        <v>0</v>
      </c>
      <c r="BE268" s="144">
        <f>IFERROR(_xlfn.XLOOKUP($B268,'Cronog. e Histog.'!$BZ:$BZ,'Cronog. e Histog.'!DZ:DZ),"")</f>
        <v>0</v>
      </c>
      <c r="BF268" s="144">
        <f>IFERROR(_xlfn.XLOOKUP($B268,'Cronog. e Histog.'!$BZ:$BZ,'Cronog. e Histog.'!EA:EA),"")</f>
        <v>0</v>
      </c>
      <c r="BG268" s="144">
        <f>IFERROR(_xlfn.XLOOKUP($B268,'Cronog. e Histog.'!$BZ:$BZ,'Cronog. e Histog.'!EB:EB),"")</f>
        <v>0</v>
      </c>
      <c r="BH268" s="144">
        <f>IFERROR(_xlfn.XLOOKUP($B268,'Cronog. e Histog.'!$BZ:$BZ,'Cronog. e Histog.'!EC:EC),"")</f>
        <v>0</v>
      </c>
      <c r="BI268" s="144">
        <f>IFERROR(_xlfn.XLOOKUP($B268,'Cronog. e Histog.'!$BZ:$BZ,'Cronog. e Histog.'!ED:ED),"")</f>
        <v>0</v>
      </c>
      <c r="BJ268" s="144">
        <f>IFERROR(_xlfn.XLOOKUP($B268,'Cronog. e Histog.'!$BZ:$BZ,'Cronog. e Histog.'!EE:EE),"")</f>
        <v>0</v>
      </c>
      <c r="BK268" s="144">
        <f>IFERROR(_xlfn.XLOOKUP($B268,'Cronog. e Histog.'!$BZ:$BZ,'Cronog. e Histog.'!EF:EF),"")</f>
        <v>0</v>
      </c>
      <c r="BL268" s="144">
        <f>IFERROR(_xlfn.XLOOKUP($B268,'Cronog. e Histog.'!$BZ:$BZ,'Cronog. e Histog.'!EG:EG),"")</f>
        <v>0</v>
      </c>
      <c r="BM268" s="144">
        <f>IFERROR(_xlfn.XLOOKUP($B268,'Cronog. e Histog.'!$BZ:$BZ,'Cronog. e Histog.'!EH:EH),"")</f>
        <v>0</v>
      </c>
      <c r="BN268" s="144">
        <f>IFERROR(_xlfn.XLOOKUP($B268,'Cronog. e Histog.'!$BZ:$BZ,'Cronog. e Histog.'!EI:EI),"")</f>
        <v>0</v>
      </c>
    </row>
    <row r="269" spans="2:66" ht="12" hidden="1" customHeight="1" outlineLevel="1">
      <c r="B269" s="76">
        <v>263</v>
      </c>
      <c r="C269" s="143" t="str">
        <f>IFERROR(VLOOKUP(B269,'Cronog. e Histog.'!$BZ$213:$CA$747,2,0),"")</f>
        <v>SUP.-ESP</v>
      </c>
      <c r="D269" s="144">
        <f t="shared" si="6"/>
        <v>0</v>
      </c>
      <c r="E269" s="144">
        <f t="shared" si="7"/>
        <v>0</v>
      </c>
      <c r="F269" s="65"/>
      <c r="G269" s="144">
        <f>IFERROR(_xlfn.XLOOKUP($B269,'Cronog. e Histog.'!$BZ:$BZ,'Cronog. e Histog.'!CB:CB),"")</f>
        <v>0</v>
      </c>
      <c r="H269" s="144">
        <f>IFERROR(_xlfn.XLOOKUP($B269,'Cronog. e Histog.'!$BZ:$BZ,'Cronog. e Histog.'!CC:CC),"")</f>
        <v>0</v>
      </c>
      <c r="I269" s="144">
        <f>IFERROR(_xlfn.XLOOKUP($B269,'Cronog. e Histog.'!$BZ:$BZ,'Cronog. e Histog.'!CD:CD),"")</f>
        <v>0</v>
      </c>
      <c r="J269" s="144">
        <f>IFERROR(_xlfn.XLOOKUP($B269,'Cronog. e Histog.'!$BZ:$BZ,'Cronog. e Histog.'!CE:CE),"")</f>
        <v>0</v>
      </c>
      <c r="K269" s="144">
        <f>IFERROR(_xlfn.XLOOKUP($B269,'Cronog. e Histog.'!$BZ:$BZ,'Cronog. e Histog.'!CF:CF),"")</f>
        <v>0</v>
      </c>
      <c r="L269" s="144">
        <f>IFERROR(_xlfn.XLOOKUP($B269,'Cronog. e Histog.'!$BZ:$BZ,'Cronog. e Histog.'!CG:CG),"")</f>
        <v>0</v>
      </c>
      <c r="M269" s="144">
        <f>IFERROR(_xlfn.XLOOKUP($B269,'Cronog. e Histog.'!$BZ:$BZ,'Cronog. e Histog.'!CH:CH),"")</f>
        <v>0</v>
      </c>
      <c r="N269" s="144">
        <f>IFERROR(_xlfn.XLOOKUP($B269,'Cronog. e Histog.'!$BZ:$BZ,'Cronog. e Histog.'!CI:CI),"")</f>
        <v>0</v>
      </c>
      <c r="O269" s="144">
        <f>IFERROR(_xlfn.XLOOKUP($B269,'Cronog. e Histog.'!$BZ:$BZ,'Cronog. e Histog.'!CJ:CJ),"")</f>
        <v>0</v>
      </c>
      <c r="P269" s="144">
        <f>IFERROR(_xlfn.XLOOKUP($B269,'Cronog. e Histog.'!$BZ:$BZ,'Cronog. e Histog.'!CK:CK),"")</f>
        <v>0</v>
      </c>
      <c r="Q269" s="144">
        <f>IFERROR(_xlfn.XLOOKUP($B269,'Cronog. e Histog.'!$BZ:$BZ,'Cronog. e Histog.'!CL:CL),"")</f>
        <v>0</v>
      </c>
      <c r="R269" s="144">
        <f>IFERROR(_xlfn.XLOOKUP($B269,'Cronog. e Histog.'!$BZ:$BZ,'Cronog. e Histog.'!CM:CM),"")</f>
        <v>0</v>
      </c>
      <c r="S269" s="144">
        <f>IFERROR(_xlfn.XLOOKUP($B269,'Cronog. e Histog.'!$BZ:$BZ,'Cronog. e Histog.'!CN:CN),"")</f>
        <v>0</v>
      </c>
      <c r="T269" s="144">
        <f>IFERROR(_xlfn.XLOOKUP($B269,'Cronog. e Histog.'!$BZ:$BZ,'Cronog. e Histog.'!CO:CO),"")</f>
        <v>0</v>
      </c>
      <c r="U269" s="144">
        <f>IFERROR(_xlfn.XLOOKUP($B269,'Cronog. e Histog.'!$BZ:$BZ,'Cronog. e Histog.'!CP:CP),"")</f>
        <v>0</v>
      </c>
      <c r="V269" s="144">
        <f>IFERROR(_xlfn.XLOOKUP($B269,'Cronog. e Histog.'!$BZ:$BZ,'Cronog. e Histog.'!CQ:CQ),"")</f>
        <v>0</v>
      </c>
      <c r="W269" s="144">
        <f>IFERROR(_xlfn.XLOOKUP($B269,'Cronog. e Histog.'!$BZ:$BZ,'Cronog. e Histog.'!CR:CR),"")</f>
        <v>0</v>
      </c>
      <c r="X269" s="144">
        <f>IFERROR(_xlfn.XLOOKUP($B269,'Cronog. e Histog.'!$BZ:$BZ,'Cronog. e Histog.'!CS:CS),"")</f>
        <v>0</v>
      </c>
      <c r="Y269" s="144">
        <f>IFERROR(_xlfn.XLOOKUP($B269,'Cronog. e Histog.'!$BZ:$BZ,'Cronog. e Histog.'!CT:CT),"")</f>
        <v>0</v>
      </c>
      <c r="Z269" s="144">
        <f>IFERROR(_xlfn.XLOOKUP($B269,'Cronog. e Histog.'!$BZ:$BZ,'Cronog. e Histog.'!CU:CU),"")</f>
        <v>0</v>
      </c>
      <c r="AA269" s="144">
        <f>IFERROR(_xlfn.XLOOKUP($B269,'Cronog. e Histog.'!$BZ:$BZ,'Cronog. e Histog.'!CV:CV),"")</f>
        <v>0</v>
      </c>
      <c r="AB269" s="144">
        <f>IFERROR(_xlfn.XLOOKUP($B269,'Cronog. e Histog.'!$BZ:$BZ,'Cronog. e Histog.'!CW:CW),"")</f>
        <v>0</v>
      </c>
      <c r="AC269" s="144">
        <f>IFERROR(_xlfn.XLOOKUP($B269,'Cronog. e Histog.'!$BZ:$BZ,'Cronog. e Histog.'!CX:CX),"")</f>
        <v>0</v>
      </c>
      <c r="AD269" s="144">
        <f>IFERROR(_xlfn.XLOOKUP($B269,'Cronog. e Histog.'!$BZ:$BZ,'Cronog. e Histog.'!CY:CY),"")</f>
        <v>0</v>
      </c>
      <c r="AE269" s="144">
        <f>IFERROR(_xlfn.XLOOKUP($B269,'Cronog. e Histog.'!$BZ:$BZ,'Cronog. e Histog.'!CZ:CZ),"")</f>
        <v>0</v>
      </c>
      <c r="AF269" s="144">
        <f>IFERROR(_xlfn.XLOOKUP($B269,'Cronog. e Histog.'!$BZ:$BZ,'Cronog. e Histog.'!DA:DA),"")</f>
        <v>0</v>
      </c>
      <c r="AG269" s="144">
        <f>IFERROR(_xlfn.XLOOKUP($B269,'Cronog. e Histog.'!$BZ:$BZ,'Cronog. e Histog.'!DB:DB),"")</f>
        <v>0</v>
      </c>
      <c r="AH269" s="144">
        <f>IFERROR(_xlfn.XLOOKUP($B269,'Cronog. e Histog.'!$BZ:$BZ,'Cronog. e Histog.'!DC:DC),"")</f>
        <v>0</v>
      </c>
      <c r="AI269" s="144">
        <f>IFERROR(_xlfn.XLOOKUP($B269,'Cronog. e Histog.'!$BZ:$BZ,'Cronog. e Histog.'!DD:DD),"")</f>
        <v>0</v>
      </c>
      <c r="AJ269" s="144">
        <f>IFERROR(_xlfn.XLOOKUP($B269,'Cronog. e Histog.'!$BZ:$BZ,'Cronog. e Histog.'!DE:DE),"")</f>
        <v>0</v>
      </c>
      <c r="AK269" s="144">
        <f>IFERROR(_xlfn.XLOOKUP($B269,'Cronog. e Histog.'!$BZ:$BZ,'Cronog. e Histog.'!DF:DF),"")</f>
        <v>0</v>
      </c>
      <c r="AL269" s="144">
        <f>IFERROR(_xlfn.XLOOKUP($B269,'Cronog. e Histog.'!$BZ:$BZ,'Cronog. e Histog.'!DG:DG),"")</f>
        <v>0</v>
      </c>
      <c r="AM269" s="144">
        <f>IFERROR(_xlfn.XLOOKUP($B269,'Cronog. e Histog.'!$BZ:$BZ,'Cronog. e Histog.'!DH:DH),"")</f>
        <v>0</v>
      </c>
      <c r="AN269" s="144">
        <f>IFERROR(_xlfn.XLOOKUP($B269,'Cronog. e Histog.'!$BZ:$BZ,'Cronog. e Histog.'!DI:DI),"")</f>
        <v>0</v>
      </c>
      <c r="AO269" s="144">
        <f>IFERROR(_xlfn.XLOOKUP($B269,'Cronog. e Histog.'!$BZ:$BZ,'Cronog. e Histog.'!DJ:DJ),"")</f>
        <v>0</v>
      </c>
      <c r="AP269" s="144">
        <f>IFERROR(_xlfn.XLOOKUP($B269,'Cronog. e Histog.'!$BZ:$BZ,'Cronog. e Histog.'!DK:DK),"")</f>
        <v>0</v>
      </c>
      <c r="AQ269" s="144">
        <f>IFERROR(_xlfn.XLOOKUP($B269,'Cronog. e Histog.'!$BZ:$BZ,'Cronog. e Histog.'!DL:DL),"")</f>
        <v>0</v>
      </c>
      <c r="AR269" s="144">
        <f>IFERROR(_xlfn.XLOOKUP($B269,'Cronog. e Histog.'!$BZ:$BZ,'Cronog. e Histog.'!DM:DM),"")</f>
        <v>0</v>
      </c>
      <c r="AS269" s="144">
        <f>IFERROR(_xlfn.XLOOKUP($B269,'Cronog. e Histog.'!$BZ:$BZ,'Cronog. e Histog.'!DN:DN),"")</f>
        <v>0</v>
      </c>
      <c r="AT269" s="144">
        <f>IFERROR(_xlfn.XLOOKUP($B269,'Cronog. e Histog.'!$BZ:$BZ,'Cronog. e Histog.'!DO:DO),"")</f>
        <v>0</v>
      </c>
      <c r="AU269" s="144">
        <f>IFERROR(_xlfn.XLOOKUP($B269,'Cronog. e Histog.'!$BZ:$BZ,'Cronog. e Histog.'!DP:DP),"")</f>
        <v>0</v>
      </c>
      <c r="AV269" s="144">
        <f>IFERROR(_xlfn.XLOOKUP($B269,'Cronog. e Histog.'!$BZ:$BZ,'Cronog. e Histog.'!DQ:DQ),"")</f>
        <v>0</v>
      </c>
      <c r="AW269" s="144">
        <f>IFERROR(_xlfn.XLOOKUP($B269,'Cronog. e Histog.'!$BZ:$BZ,'Cronog. e Histog.'!DR:DR),"")</f>
        <v>0</v>
      </c>
      <c r="AX269" s="144">
        <f>IFERROR(_xlfn.XLOOKUP($B269,'Cronog. e Histog.'!$BZ:$BZ,'Cronog. e Histog.'!DS:DS),"")</f>
        <v>0</v>
      </c>
      <c r="AY269" s="144">
        <f>IFERROR(_xlfn.XLOOKUP($B269,'Cronog. e Histog.'!$BZ:$BZ,'Cronog. e Histog.'!DT:DT),"")</f>
        <v>0</v>
      </c>
      <c r="AZ269" s="144">
        <f>IFERROR(_xlfn.XLOOKUP($B269,'Cronog. e Histog.'!$BZ:$BZ,'Cronog. e Histog.'!DU:DU),"")</f>
        <v>0</v>
      </c>
      <c r="BA269" s="144">
        <f>IFERROR(_xlfn.XLOOKUP($B269,'Cronog. e Histog.'!$BZ:$BZ,'Cronog. e Histog.'!DV:DV),"")</f>
        <v>0</v>
      </c>
      <c r="BB269" s="144">
        <f>IFERROR(_xlfn.XLOOKUP($B269,'Cronog. e Histog.'!$BZ:$BZ,'Cronog. e Histog.'!DW:DW),"")</f>
        <v>0</v>
      </c>
      <c r="BC269" s="144">
        <f>IFERROR(_xlfn.XLOOKUP($B269,'Cronog. e Histog.'!$BZ:$BZ,'Cronog. e Histog.'!DX:DX),"")</f>
        <v>0</v>
      </c>
      <c r="BD269" s="144">
        <f>IFERROR(_xlfn.XLOOKUP($B269,'Cronog. e Histog.'!$BZ:$BZ,'Cronog. e Histog.'!DY:DY),"")</f>
        <v>0</v>
      </c>
      <c r="BE269" s="144">
        <f>IFERROR(_xlfn.XLOOKUP($B269,'Cronog. e Histog.'!$BZ:$BZ,'Cronog. e Histog.'!DZ:DZ),"")</f>
        <v>0</v>
      </c>
      <c r="BF269" s="144">
        <f>IFERROR(_xlfn.XLOOKUP($B269,'Cronog. e Histog.'!$BZ:$BZ,'Cronog. e Histog.'!EA:EA),"")</f>
        <v>0</v>
      </c>
      <c r="BG269" s="144">
        <f>IFERROR(_xlfn.XLOOKUP($B269,'Cronog. e Histog.'!$BZ:$BZ,'Cronog. e Histog.'!EB:EB),"")</f>
        <v>0</v>
      </c>
      <c r="BH269" s="144">
        <f>IFERROR(_xlfn.XLOOKUP($B269,'Cronog. e Histog.'!$BZ:$BZ,'Cronog. e Histog.'!EC:EC),"")</f>
        <v>0</v>
      </c>
      <c r="BI269" s="144">
        <f>IFERROR(_xlfn.XLOOKUP($B269,'Cronog. e Histog.'!$BZ:$BZ,'Cronog. e Histog.'!ED:ED),"")</f>
        <v>0</v>
      </c>
      <c r="BJ269" s="144">
        <f>IFERROR(_xlfn.XLOOKUP($B269,'Cronog. e Histog.'!$BZ:$BZ,'Cronog. e Histog.'!EE:EE),"")</f>
        <v>0</v>
      </c>
      <c r="BK269" s="144">
        <f>IFERROR(_xlfn.XLOOKUP($B269,'Cronog. e Histog.'!$BZ:$BZ,'Cronog. e Histog.'!EF:EF),"")</f>
        <v>0</v>
      </c>
      <c r="BL269" s="144">
        <f>IFERROR(_xlfn.XLOOKUP($B269,'Cronog. e Histog.'!$BZ:$BZ,'Cronog. e Histog.'!EG:EG),"")</f>
        <v>0</v>
      </c>
      <c r="BM269" s="144">
        <f>IFERROR(_xlfn.XLOOKUP($B269,'Cronog. e Histog.'!$BZ:$BZ,'Cronog. e Histog.'!EH:EH),"")</f>
        <v>0</v>
      </c>
      <c r="BN269" s="144">
        <f>IFERROR(_xlfn.XLOOKUP($B269,'Cronog. e Histog.'!$BZ:$BZ,'Cronog. e Histog.'!EI:EI),"")</f>
        <v>0</v>
      </c>
    </row>
    <row r="270" spans="2:66" ht="12" hidden="1" customHeight="1" outlineLevel="1">
      <c r="B270" s="76">
        <v>264</v>
      </c>
      <c r="C270" s="143" t="str">
        <f>IFERROR(VLOOKUP(B270,'Cronog. e Histog.'!$BZ$213:$CA$747,2,0),"")</f>
        <v>ENG/ARQ SR.</v>
      </c>
      <c r="D270" s="144">
        <f t="shared" si="6"/>
        <v>0</v>
      </c>
      <c r="E270" s="144">
        <f t="shared" si="7"/>
        <v>0</v>
      </c>
      <c r="F270" s="65"/>
      <c r="G270" s="144">
        <f>IFERROR(_xlfn.XLOOKUP($B270,'Cronog. e Histog.'!$BZ:$BZ,'Cronog. e Histog.'!CB:CB),"")</f>
        <v>0</v>
      </c>
      <c r="H270" s="144">
        <f>IFERROR(_xlfn.XLOOKUP($B270,'Cronog. e Histog.'!$BZ:$BZ,'Cronog. e Histog.'!CC:CC),"")</f>
        <v>0</v>
      </c>
      <c r="I270" s="144">
        <f>IFERROR(_xlfn.XLOOKUP($B270,'Cronog. e Histog.'!$BZ:$BZ,'Cronog. e Histog.'!CD:CD),"")</f>
        <v>0</v>
      </c>
      <c r="J270" s="144">
        <f>IFERROR(_xlfn.XLOOKUP($B270,'Cronog. e Histog.'!$BZ:$BZ,'Cronog. e Histog.'!CE:CE),"")</f>
        <v>0</v>
      </c>
      <c r="K270" s="144">
        <f>IFERROR(_xlfn.XLOOKUP($B270,'Cronog. e Histog.'!$BZ:$BZ,'Cronog. e Histog.'!CF:CF),"")</f>
        <v>0</v>
      </c>
      <c r="L270" s="144">
        <f>IFERROR(_xlfn.XLOOKUP($B270,'Cronog. e Histog.'!$BZ:$BZ,'Cronog. e Histog.'!CG:CG),"")</f>
        <v>0</v>
      </c>
      <c r="M270" s="144">
        <f>IFERROR(_xlfn.XLOOKUP($B270,'Cronog. e Histog.'!$BZ:$BZ,'Cronog. e Histog.'!CH:CH),"")</f>
        <v>0</v>
      </c>
      <c r="N270" s="144">
        <f>IFERROR(_xlfn.XLOOKUP($B270,'Cronog. e Histog.'!$BZ:$BZ,'Cronog. e Histog.'!CI:CI),"")</f>
        <v>0</v>
      </c>
      <c r="O270" s="144">
        <f>IFERROR(_xlfn.XLOOKUP($B270,'Cronog. e Histog.'!$BZ:$BZ,'Cronog. e Histog.'!CJ:CJ),"")</f>
        <v>0</v>
      </c>
      <c r="P270" s="144">
        <f>IFERROR(_xlfn.XLOOKUP($B270,'Cronog. e Histog.'!$BZ:$BZ,'Cronog. e Histog.'!CK:CK),"")</f>
        <v>0</v>
      </c>
      <c r="Q270" s="144">
        <f>IFERROR(_xlfn.XLOOKUP($B270,'Cronog. e Histog.'!$BZ:$BZ,'Cronog. e Histog.'!CL:CL),"")</f>
        <v>0</v>
      </c>
      <c r="R270" s="144">
        <f>IFERROR(_xlfn.XLOOKUP($B270,'Cronog. e Histog.'!$BZ:$BZ,'Cronog. e Histog.'!CM:CM),"")</f>
        <v>0</v>
      </c>
      <c r="S270" s="144">
        <f>IFERROR(_xlfn.XLOOKUP($B270,'Cronog. e Histog.'!$BZ:$BZ,'Cronog. e Histog.'!CN:CN),"")</f>
        <v>0</v>
      </c>
      <c r="T270" s="144">
        <f>IFERROR(_xlfn.XLOOKUP($B270,'Cronog. e Histog.'!$BZ:$BZ,'Cronog. e Histog.'!CO:CO),"")</f>
        <v>0</v>
      </c>
      <c r="U270" s="144">
        <f>IFERROR(_xlfn.XLOOKUP($B270,'Cronog. e Histog.'!$BZ:$BZ,'Cronog. e Histog.'!CP:CP),"")</f>
        <v>0</v>
      </c>
      <c r="V270" s="144">
        <f>IFERROR(_xlfn.XLOOKUP($B270,'Cronog. e Histog.'!$BZ:$BZ,'Cronog. e Histog.'!CQ:CQ),"")</f>
        <v>0</v>
      </c>
      <c r="W270" s="144">
        <f>IFERROR(_xlfn.XLOOKUP($B270,'Cronog. e Histog.'!$BZ:$BZ,'Cronog. e Histog.'!CR:CR),"")</f>
        <v>0</v>
      </c>
      <c r="X270" s="144">
        <f>IFERROR(_xlfn.XLOOKUP($B270,'Cronog. e Histog.'!$BZ:$BZ,'Cronog. e Histog.'!CS:CS),"")</f>
        <v>0</v>
      </c>
      <c r="Y270" s="144">
        <f>IFERROR(_xlfn.XLOOKUP($B270,'Cronog. e Histog.'!$BZ:$BZ,'Cronog. e Histog.'!CT:CT),"")</f>
        <v>0</v>
      </c>
      <c r="Z270" s="144">
        <f>IFERROR(_xlfn.XLOOKUP($B270,'Cronog. e Histog.'!$BZ:$BZ,'Cronog. e Histog.'!CU:CU),"")</f>
        <v>0</v>
      </c>
      <c r="AA270" s="144">
        <f>IFERROR(_xlfn.XLOOKUP($B270,'Cronog. e Histog.'!$BZ:$BZ,'Cronog. e Histog.'!CV:CV),"")</f>
        <v>0</v>
      </c>
      <c r="AB270" s="144">
        <f>IFERROR(_xlfn.XLOOKUP($B270,'Cronog. e Histog.'!$BZ:$BZ,'Cronog. e Histog.'!CW:CW),"")</f>
        <v>0</v>
      </c>
      <c r="AC270" s="144">
        <f>IFERROR(_xlfn.XLOOKUP($B270,'Cronog. e Histog.'!$BZ:$BZ,'Cronog. e Histog.'!CX:CX),"")</f>
        <v>0</v>
      </c>
      <c r="AD270" s="144">
        <f>IFERROR(_xlfn.XLOOKUP($B270,'Cronog. e Histog.'!$BZ:$BZ,'Cronog. e Histog.'!CY:CY),"")</f>
        <v>0</v>
      </c>
      <c r="AE270" s="144">
        <f>IFERROR(_xlfn.XLOOKUP($B270,'Cronog. e Histog.'!$BZ:$BZ,'Cronog. e Histog.'!CZ:CZ),"")</f>
        <v>0</v>
      </c>
      <c r="AF270" s="144">
        <f>IFERROR(_xlfn.XLOOKUP($B270,'Cronog. e Histog.'!$BZ:$BZ,'Cronog. e Histog.'!DA:DA),"")</f>
        <v>0</v>
      </c>
      <c r="AG270" s="144">
        <f>IFERROR(_xlfn.XLOOKUP($B270,'Cronog. e Histog.'!$BZ:$BZ,'Cronog. e Histog.'!DB:DB),"")</f>
        <v>0</v>
      </c>
      <c r="AH270" s="144">
        <f>IFERROR(_xlfn.XLOOKUP($B270,'Cronog. e Histog.'!$BZ:$BZ,'Cronog. e Histog.'!DC:DC),"")</f>
        <v>0</v>
      </c>
      <c r="AI270" s="144">
        <f>IFERROR(_xlfn.XLOOKUP($B270,'Cronog. e Histog.'!$BZ:$BZ,'Cronog. e Histog.'!DD:DD),"")</f>
        <v>0</v>
      </c>
      <c r="AJ270" s="144">
        <f>IFERROR(_xlfn.XLOOKUP($B270,'Cronog. e Histog.'!$BZ:$BZ,'Cronog. e Histog.'!DE:DE),"")</f>
        <v>0</v>
      </c>
      <c r="AK270" s="144">
        <f>IFERROR(_xlfn.XLOOKUP($B270,'Cronog. e Histog.'!$BZ:$BZ,'Cronog. e Histog.'!DF:DF),"")</f>
        <v>0</v>
      </c>
      <c r="AL270" s="144">
        <f>IFERROR(_xlfn.XLOOKUP($B270,'Cronog. e Histog.'!$BZ:$BZ,'Cronog. e Histog.'!DG:DG),"")</f>
        <v>0</v>
      </c>
      <c r="AM270" s="144">
        <f>IFERROR(_xlfn.XLOOKUP($B270,'Cronog. e Histog.'!$BZ:$BZ,'Cronog. e Histog.'!DH:DH),"")</f>
        <v>0</v>
      </c>
      <c r="AN270" s="144">
        <f>IFERROR(_xlfn.XLOOKUP($B270,'Cronog. e Histog.'!$BZ:$BZ,'Cronog. e Histog.'!DI:DI),"")</f>
        <v>0</v>
      </c>
      <c r="AO270" s="144">
        <f>IFERROR(_xlfn.XLOOKUP($B270,'Cronog. e Histog.'!$BZ:$BZ,'Cronog. e Histog.'!DJ:DJ),"")</f>
        <v>0</v>
      </c>
      <c r="AP270" s="144">
        <f>IFERROR(_xlfn.XLOOKUP($B270,'Cronog. e Histog.'!$BZ:$BZ,'Cronog. e Histog.'!DK:DK),"")</f>
        <v>0</v>
      </c>
      <c r="AQ270" s="144">
        <f>IFERROR(_xlfn.XLOOKUP($B270,'Cronog. e Histog.'!$BZ:$BZ,'Cronog. e Histog.'!DL:DL),"")</f>
        <v>0</v>
      </c>
      <c r="AR270" s="144">
        <f>IFERROR(_xlfn.XLOOKUP($B270,'Cronog. e Histog.'!$BZ:$BZ,'Cronog. e Histog.'!DM:DM),"")</f>
        <v>0</v>
      </c>
      <c r="AS270" s="144">
        <f>IFERROR(_xlfn.XLOOKUP($B270,'Cronog. e Histog.'!$BZ:$BZ,'Cronog. e Histog.'!DN:DN),"")</f>
        <v>0</v>
      </c>
      <c r="AT270" s="144">
        <f>IFERROR(_xlfn.XLOOKUP($B270,'Cronog. e Histog.'!$BZ:$BZ,'Cronog. e Histog.'!DO:DO),"")</f>
        <v>0</v>
      </c>
      <c r="AU270" s="144">
        <f>IFERROR(_xlfn.XLOOKUP($B270,'Cronog. e Histog.'!$BZ:$BZ,'Cronog. e Histog.'!DP:DP),"")</f>
        <v>0</v>
      </c>
      <c r="AV270" s="144">
        <f>IFERROR(_xlfn.XLOOKUP($B270,'Cronog. e Histog.'!$BZ:$BZ,'Cronog. e Histog.'!DQ:DQ),"")</f>
        <v>0</v>
      </c>
      <c r="AW270" s="144">
        <f>IFERROR(_xlfn.XLOOKUP($B270,'Cronog. e Histog.'!$BZ:$BZ,'Cronog. e Histog.'!DR:DR),"")</f>
        <v>0</v>
      </c>
      <c r="AX270" s="144">
        <f>IFERROR(_xlfn.XLOOKUP($B270,'Cronog. e Histog.'!$BZ:$BZ,'Cronog. e Histog.'!DS:DS),"")</f>
        <v>0</v>
      </c>
      <c r="AY270" s="144">
        <f>IFERROR(_xlfn.XLOOKUP($B270,'Cronog. e Histog.'!$BZ:$BZ,'Cronog. e Histog.'!DT:DT),"")</f>
        <v>0</v>
      </c>
      <c r="AZ270" s="144">
        <f>IFERROR(_xlfn.XLOOKUP($B270,'Cronog. e Histog.'!$BZ:$BZ,'Cronog. e Histog.'!DU:DU),"")</f>
        <v>0</v>
      </c>
      <c r="BA270" s="144">
        <f>IFERROR(_xlfn.XLOOKUP($B270,'Cronog. e Histog.'!$BZ:$BZ,'Cronog. e Histog.'!DV:DV),"")</f>
        <v>0</v>
      </c>
      <c r="BB270" s="144">
        <f>IFERROR(_xlfn.XLOOKUP($B270,'Cronog. e Histog.'!$BZ:$BZ,'Cronog. e Histog.'!DW:DW),"")</f>
        <v>0</v>
      </c>
      <c r="BC270" s="144">
        <f>IFERROR(_xlfn.XLOOKUP($B270,'Cronog. e Histog.'!$BZ:$BZ,'Cronog. e Histog.'!DX:DX),"")</f>
        <v>0</v>
      </c>
      <c r="BD270" s="144">
        <f>IFERROR(_xlfn.XLOOKUP($B270,'Cronog. e Histog.'!$BZ:$BZ,'Cronog. e Histog.'!DY:DY),"")</f>
        <v>0</v>
      </c>
      <c r="BE270" s="144">
        <f>IFERROR(_xlfn.XLOOKUP($B270,'Cronog. e Histog.'!$BZ:$BZ,'Cronog. e Histog.'!DZ:DZ),"")</f>
        <v>0</v>
      </c>
      <c r="BF270" s="144">
        <f>IFERROR(_xlfn.XLOOKUP($B270,'Cronog. e Histog.'!$BZ:$BZ,'Cronog. e Histog.'!EA:EA),"")</f>
        <v>0</v>
      </c>
      <c r="BG270" s="144">
        <f>IFERROR(_xlfn.XLOOKUP($B270,'Cronog. e Histog.'!$BZ:$BZ,'Cronog. e Histog.'!EB:EB),"")</f>
        <v>0</v>
      </c>
      <c r="BH270" s="144">
        <f>IFERROR(_xlfn.XLOOKUP($B270,'Cronog. e Histog.'!$BZ:$BZ,'Cronog. e Histog.'!EC:EC),"")</f>
        <v>0</v>
      </c>
      <c r="BI270" s="144">
        <f>IFERROR(_xlfn.XLOOKUP($B270,'Cronog. e Histog.'!$BZ:$BZ,'Cronog. e Histog.'!ED:ED),"")</f>
        <v>0</v>
      </c>
      <c r="BJ270" s="144">
        <f>IFERROR(_xlfn.XLOOKUP($B270,'Cronog. e Histog.'!$BZ:$BZ,'Cronog. e Histog.'!EE:EE),"")</f>
        <v>0</v>
      </c>
      <c r="BK270" s="144">
        <f>IFERROR(_xlfn.XLOOKUP($B270,'Cronog. e Histog.'!$BZ:$BZ,'Cronog. e Histog.'!EF:EF),"")</f>
        <v>0</v>
      </c>
      <c r="BL270" s="144">
        <f>IFERROR(_xlfn.XLOOKUP($B270,'Cronog. e Histog.'!$BZ:$BZ,'Cronog. e Histog.'!EG:EG),"")</f>
        <v>0</v>
      </c>
      <c r="BM270" s="144">
        <f>IFERROR(_xlfn.XLOOKUP($B270,'Cronog. e Histog.'!$BZ:$BZ,'Cronog. e Histog.'!EH:EH),"")</f>
        <v>0</v>
      </c>
      <c r="BN270" s="144">
        <f>IFERROR(_xlfn.XLOOKUP($B270,'Cronog. e Histog.'!$BZ:$BZ,'Cronog. e Histog.'!EI:EI),"")</f>
        <v>0</v>
      </c>
    </row>
    <row r="271" spans="2:66" ht="12" hidden="1" customHeight="1" outlineLevel="1">
      <c r="B271" s="76">
        <v>265</v>
      </c>
      <c r="C271" s="143" t="str">
        <f>IFERROR(VLOOKUP(B271,'Cronog. e Histog.'!$BZ$213:$CA$747,2,0),"")</f>
        <v>ENG/ARQ PL.</v>
      </c>
      <c r="D271" s="144">
        <f t="shared" si="6"/>
        <v>0</v>
      </c>
      <c r="E271" s="144">
        <f t="shared" si="7"/>
        <v>0</v>
      </c>
      <c r="F271" s="65"/>
      <c r="G271" s="144">
        <f>IFERROR(_xlfn.XLOOKUP($B271,'Cronog. e Histog.'!$BZ:$BZ,'Cronog. e Histog.'!CB:CB),"")</f>
        <v>0</v>
      </c>
      <c r="H271" s="144">
        <f>IFERROR(_xlfn.XLOOKUP($B271,'Cronog. e Histog.'!$BZ:$BZ,'Cronog. e Histog.'!CC:CC),"")</f>
        <v>0</v>
      </c>
      <c r="I271" s="144">
        <f>IFERROR(_xlfn.XLOOKUP($B271,'Cronog. e Histog.'!$BZ:$BZ,'Cronog. e Histog.'!CD:CD),"")</f>
        <v>0</v>
      </c>
      <c r="J271" s="144">
        <f>IFERROR(_xlfn.XLOOKUP($B271,'Cronog. e Histog.'!$BZ:$BZ,'Cronog. e Histog.'!CE:CE),"")</f>
        <v>0</v>
      </c>
      <c r="K271" s="144">
        <f>IFERROR(_xlfn.XLOOKUP($B271,'Cronog. e Histog.'!$BZ:$BZ,'Cronog. e Histog.'!CF:CF),"")</f>
        <v>0</v>
      </c>
      <c r="L271" s="144">
        <f>IFERROR(_xlfn.XLOOKUP($B271,'Cronog. e Histog.'!$BZ:$BZ,'Cronog. e Histog.'!CG:CG),"")</f>
        <v>0</v>
      </c>
      <c r="M271" s="144">
        <f>IFERROR(_xlfn.XLOOKUP($B271,'Cronog. e Histog.'!$BZ:$BZ,'Cronog. e Histog.'!CH:CH),"")</f>
        <v>0</v>
      </c>
      <c r="N271" s="144">
        <f>IFERROR(_xlfn.XLOOKUP($B271,'Cronog. e Histog.'!$BZ:$BZ,'Cronog. e Histog.'!CI:CI),"")</f>
        <v>0</v>
      </c>
      <c r="O271" s="144">
        <f>IFERROR(_xlfn.XLOOKUP($B271,'Cronog. e Histog.'!$BZ:$BZ,'Cronog. e Histog.'!CJ:CJ),"")</f>
        <v>0</v>
      </c>
      <c r="P271" s="144">
        <f>IFERROR(_xlfn.XLOOKUP($B271,'Cronog. e Histog.'!$BZ:$BZ,'Cronog. e Histog.'!CK:CK),"")</f>
        <v>0</v>
      </c>
      <c r="Q271" s="144">
        <f>IFERROR(_xlfn.XLOOKUP($B271,'Cronog. e Histog.'!$BZ:$BZ,'Cronog. e Histog.'!CL:CL),"")</f>
        <v>0</v>
      </c>
      <c r="R271" s="144">
        <f>IFERROR(_xlfn.XLOOKUP($B271,'Cronog. e Histog.'!$BZ:$BZ,'Cronog. e Histog.'!CM:CM),"")</f>
        <v>0</v>
      </c>
      <c r="S271" s="144">
        <f>IFERROR(_xlfn.XLOOKUP($B271,'Cronog. e Histog.'!$BZ:$BZ,'Cronog. e Histog.'!CN:CN),"")</f>
        <v>0</v>
      </c>
      <c r="T271" s="144">
        <f>IFERROR(_xlfn.XLOOKUP($B271,'Cronog. e Histog.'!$BZ:$BZ,'Cronog. e Histog.'!CO:CO),"")</f>
        <v>0</v>
      </c>
      <c r="U271" s="144">
        <f>IFERROR(_xlfn.XLOOKUP($B271,'Cronog. e Histog.'!$BZ:$BZ,'Cronog. e Histog.'!CP:CP),"")</f>
        <v>0</v>
      </c>
      <c r="V271" s="144">
        <f>IFERROR(_xlfn.XLOOKUP($B271,'Cronog. e Histog.'!$BZ:$BZ,'Cronog. e Histog.'!CQ:CQ),"")</f>
        <v>0</v>
      </c>
      <c r="W271" s="144">
        <f>IFERROR(_xlfn.XLOOKUP($B271,'Cronog. e Histog.'!$BZ:$BZ,'Cronog. e Histog.'!CR:CR),"")</f>
        <v>0</v>
      </c>
      <c r="X271" s="144">
        <f>IFERROR(_xlfn.XLOOKUP($B271,'Cronog. e Histog.'!$BZ:$BZ,'Cronog. e Histog.'!CS:CS),"")</f>
        <v>0</v>
      </c>
      <c r="Y271" s="144">
        <f>IFERROR(_xlfn.XLOOKUP($B271,'Cronog. e Histog.'!$BZ:$BZ,'Cronog. e Histog.'!CT:CT),"")</f>
        <v>0</v>
      </c>
      <c r="Z271" s="144">
        <f>IFERROR(_xlfn.XLOOKUP($B271,'Cronog. e Histog.'!$BZ:$BZ,'Cronog. e Histog.'!CU:CU),"")</f>
        <v>0</v>
      </c>
      <c r="AA271" s="144">
        <f>IFERROR(_xlfn.XLOOKUP($B271,'Cronog. e Histog.'!$BZ:$BZ,'Cronog. e Histog.'!CV:CV),"")</f>
        <v>0</v>
      </c>
      <c r="AB271" s="144">
        <f>IFERROR(_xlfn.XLOOKUP($B271,'Cronog. e Histog.'!$BZ:$BZ,'Cronog. e Histog.'!CW:CW),"")</f>
        <v>0</v>
      </c>
      <c r="AC271" s="144">
        <f>IFERROR(_xlfn.XLOOKUP($B271,'Cronog. e Histog.'!$BZ:$BZ,'Cronog. e Histog.'!CX:CX),"")</f>
        <v>0</v>
      </c>
      <c r="AD271" s="144">
        <f>IFERROR(_xlfn.XLOOKUP($B271,'Cronog. e Histog.'!$BZ:$BZ,'Cronog. e Histog.'!CY:CY),"")</f>
        <v>0</v>
      </c>
      <c r="AE271" s="144">
        <f>IFERROR(_xlfn.XLOOKUP($B271,'Cronog. e Histog.'!$BZ:$BZ,'Cronog. e Histog.'!CZ:CZ),"")</f>
        <v>0</v>
      </c>
      <c r="AF271" s="144">
        <f>IFERROR(_xlfn.XLOOKUP($B271,'Cronog. e Histog.'!$BZ:$BZ,'Cronog. e Histog.'!DA:DA),"")</f>
        <v>0</v>
      </c>
      <c r="AG271" s="144">
        <f>IFERROR(_xlfn.XLOOKUP($B271,'Cronog. e Histog.'!$BZ:$BZ,'Cronog. e Histog.'!DB:DB),"")</f>
        <v>0</v>
      </c>
      <c r="AH271" s="144">
        <f>IFERROR(_xlfn.XLOOKUP($B271,'Cronog. e Histog.'!$BZ:$BZ,'Cronog. e Histog.'!DC:DC),"")</f>
        <v>0</v>
      </c>
      <c r="AI271" s="144">
        <f>IFERROR(_xlfn.XLOOKUP($B271,'Cronog. e Histog.'!$BZ:$BZ,'Cronog. e Histog.'!DD:DD),"")</f>
        <v>0</v>
      </c>
      <c r="AJ271" s="144">
        <f>IFERROR(_xlfn.XLOOKUP($B271,'Cronog. e Histog.'!$BZ:$BZ,'Cronog. e Histog.'!DE:DE),"")</f>
        <v>0</v>
      </c>
      <c r="AK271" s="144">
        <f>IFERROR(_xlfn.XLOOKUP($B271,'Cronog. e Histog.'!$BZ:$BZ,'Cronog. e Histog.'!DF:DF),"")</f>
        <v>0</v>
      </c>
      <c r="AL271" s="144">
        <f>IFERROR(_xlfn.XLOOKUP($B271,'Cronog. e Histog.'!$BZ:$BZ,'Cronog. e Histog.'!DG:DG),"")</f>
        <v>0</v>
      </c>
      <c r="AM271" s="144">
        <f>IFERROR(_xlfn.XLOOKUP($B271,'Cronog. e Histog.'!$BZ:$BZ,'Cronog. e Histog.'!DH:DH),"")</f>
        <v>0</v>
      </c>
      <c r="AN271" s="144">
        <f>IFERROR(_xlfn.XLOOKUP($B271,'Cronog. e Histog.'!$BZ:$BZ,'Cronog. e Histog.'!DI:DI),"")</f>
        <v>0</v>
      </c>
      <c r="AO271" s="144">
        <f>IFERROR(_xlfn.XLOOKUP($B271,'Cronog. e Histog.'!$BZ:$BZ,'Cronog. e Histog.'!DJ:DJ),"")</f>
        <v>0</v>
      </c>
      <c r="AP271" s="144">
        <f>IFERROR(_xlfn.XLOOKUP($B271,'Cronog. e Histog.'!$BZ:$BZ,'Cronog. e Histog.'!DK:DK),"")</f>
        <v>0</v>
      </c>
      <c r="AQ271" s="144">
        <f>IFERROR(_xlfn.XLOOKUP($B271,'Cronog. e Histog.'!$BZ:$BZ,'Cronog. e Histog.'!DL:DL),"")</f>
        <v>0</v>
      </c>
      <c r="AR271" s="144">
        <f>IFERROR(_xlfn.XLOOKUP($B271,'Cronog. e Histog.'!$BZ:$BZ,'Cronog. e Histog.'!DM:DM),"")</f>
        <v>0</v>
      </c>
      <c r="AS271" s="144">
        <f>IFERROR(_xlfn.XLOOKUP($B271,'Cronog. e Histog.'!$BZ:$BZ,'Cronog. e Histog.'!DN:DN),"")</f>
        <v>0</v>
      </c>
      <c r="AT271" s="144">
        <f>IFERROR(_xlfn.XLOOKUP($B271,'Cronog. e Histog.'!$BZ:$BZ,'Cronog. e Histog.'!DO:DO),"")</f>
        <v>0</v>
      </c>
      <c r="AU271" s="144">
        <f>IFERROR(_xlfn.XLOOKUP($B271,'Cronog. e Histog.'!$BZ:$BZ,'Cronog. e Histog.'!DP:DP),"")</f>
        <v>0</v>
      </c>
      <c r="AV271" s="144">
        <f>IFERROR(_xlfn.XLOOKUP($B271,'Cronog. e Histog.'!$BZ:$BZ,'Cronog. e Histog.'!DQ:DQ),"")</f>
        <v>0</v>
      </c>
      <c r="AW271" s="144">
        <f>IFERROR(_xlfn.XLOOKUP($B271,'Cronog. e Histog.'!$BZ:$BZ,'Cronog. e Histog.'!DR:DR),"")</f>
        <v>0</v>
      </c>
      <c r="AX271" s="144">
        <f>IFERROR(_xlfn.XLOOKUP($B271,'Cronog. e Histog.'!$BZ:$BZ,'Cronog. e Histog.'!DS:DS),"")</f>
        <v>0</v>
      </c>
      <c r="AY271" s="144">
        <f>IFERROR(_xlfn.XLOOKUP($B271,'Cronog. e Histog.'!$BZ:$BZ,'Cronog. e Histog.'!DT:DT),"")</f>
        <v>0</v>
      </c>
      <c r="AZ271" s="144">
        <f>IFERROR(_xlfn.XLOOKUP($B271,'Cronog. e Histog.'!$BZ:$BZ,'Cronog. e Histog.'!DU:DU),"")</f>
        <v>0</v>
      </c>
      <c r="BA271" s="144">
        <f>IFERROR(_xlfn.XLOOKUP($B271,'Cronog. e Histog.'!$BZ:$BZ,'Cronog. e Histog.'!DV:DV),"")</f>
        <v>0</v>
      </c>
      <c r="BB271" s="144">
        <f>IFERROR(_xlfn.XLOOKUP($B271,'Cronog. e Histog.'!$BZ:$BZ,'Cronog. e Histog.'!DW:DW),"")</f>
        <v>0</v>
      </c>
      <c r="BC271" s="144">
        <f>IFERROR(_xlfn.XLOOKUP($B271,'Cronog. e Histog.'!$BZ:$BZ,'Cronog. e Histog.'!DX:DX),"")</f>
        <v>0</v>
      </c>
      <c r="BD271" s="144">
        <f>IFERROR(_xlfn.XLOOKUP($B271,'Cronog. e Histog.'!$BZ:$BZ,'Cronog. e Histog.'!DY:DY),"")</f>
        <v>0</v>
      </c>
      <c r="BE271" s="144">
        <f>IFERROR(_xlfn.XLOOKUP($B271,'Cronog. e Histog.'!$BZ:$BZ,'Cronog. e Histog.'!DZ:DZ),"")</f>
        <v>0</v>
      </c>
      <c r="BF271" s="144">
        <f>IFERROR(_xlfn.XLOOKUP($B271,'Cronog. e Histog.'!$BZ:$BZ,'Cronog. e Histog.'!EA:EA),"")</f>
        <v>0</v>
      </c>
      <c r="BG271" s="144">
        <f>IFERROR(_xlfn.XLOOKUP($B271,'Cronog. e Histog.'!$BZ:$BZ,'Cronog. e Histog.'!EB:EB),"")</f>
        <v>0</v>
      </c>
      <c r="BH271" s="144">
        <f>IFERROR(_xlfn.XLOOKUP($B271,'Cronog. e Histog.'!$BZ:$BZ,'Cronog. e Histog.'!EC:EC),"")</f>
        <v>0</v>
      </c>
      <c r="BI271" s="144">
        <f>IFERROR(_xlfn.XLOOKUP($B271,'Cronog. e Histog.'!$BZ:$BZ,'Cronog. e Histog.'!ED:ED),"")</f>
        <v>0</v>
      </c>
      <c r="BJ271" s="144">
        <f>IFERROR(_xlfn.XLOOKUP($B271,'Cronog. e Histog.'!$BZ:$BZ,'Cronog. e Histog.'!EE:EE),"")</f>
        <v>0</v>
      </c>
      <c r="BK271" s="144">
        <f>IFERROR(_xlfn.XLOOKUP($B271,'Cronog. e Histog.'!$BZ:$BZ,'Cronog. e Histog.'!EF:EF),"")</f>
        <v>0</v>
      </c>
      <c r="BL271" s="144">
        <f>IFERROR(_xlfn.XLOOKUP($B271,'Cronog. e Histog.'!$BZ:$BZ,'Cronog. e Histog.'!EG:EG),"")</f>
        <v>0</v>
      </c>
      <c r="BM271" s="144">
        <f>IFERROR(_xlfn.XLOOKUP($B271,'Cronog. e Histog.'!$BZ:$BZ,'Cronog. e Histog.'!EH:EH),"")</f>
        <v>0</v>
      </c>
      <c r="BN271" s="144">
        <f>IFERROR(_xlfn.XLOOKUP($B271,'Cronog. e Histog.'!$BZ:$BZ,'Cronog. e Histog.'!EI:EI),"")</f>
        <v>0</v>
      </c>
    </row>
    <row r="272" spans="2:66" ht="12" hidden="1" customHeight="1" outlineLevel="1">
      <c r="B272" s="76">
        <v>266</v>
      </c>
      <c r="C272" s="143" t="str">
        <f>IFERROR(VLOOKUP(B272,'Cronog. e Histog.'!$BZ$213:$CA$747,2,0),"")</f>
        <v>ENG/ARQ JR.</v>
      </c>
      <c r="D272" s="144">
        <f t="shared" si="6"/>
        <v>0</v>
      </c>
      <c r="E272" s="144">
        <f t="shared" si="7"/>
        <v>0</v>
      </c>
      <c r="F272" s="65"/>
      <c r="G272" s="144">
        <f>IFERROR(_xlfn.XLOOKUP($B272,'Cronog. e Histog.'!$BZ:$BZ,'Cronog. e Histog.'!CB:CB),"")</f>
        <v>0</v>
      </c>
      <c r="H272" s="144">
        <f>IFERROR(_xlfn.XLOOKUP($B272,'Cronog. e Histog.'!$BZ:$BZ,'Cronog. e Histog.'!CC:CC),"")</f>
        <v>0</v>
      </c>
      <c r="I272" s="144">
        <f>IFERROR(_xlfn.XLOOKUP($B272,'Cronog. e Histog.'!$BZ:$BZ,'Cronog. e Histog.'!CD:CD),"")</f>
        <v>0</v>
      </c>
      <c r="J272" s="144">
        <f>IFERROR(_xlfn.XLOOKUP($B272,'Cronog. e Histog.'!$BZ:$BZ,'Cronog. e Histog.'!CE:CE),"")</f>
        <v>0</v>
      </c>
      <c r="K272" s="144">
        <f>IFERROR(_xlfn.XLOOKUP($B272,'Cronog. e Histog.'!$BZ:$BZ,'Cronog. e Histog.'!CF:CF),"")</f>
        <v>0</v>
      </c>
      <c r="L272" s="144">
        <f>IFERROR(_xlfn.XLOOKUP($B272,'Cronog. e Histog.'!$BZ:$BZ,'Cronog. e Histog.'!CG:CG),"")</f>
        <v>0</v>
      </c>
      <c r="M272" s="144">
        <f>IFERROR(_xlfn.XLOOKUP($B272,'Cronog. e Histog.'!$BZ:$BZ,'Cronog. e Histog.'!CH:CH),"")</f>
        <v>0</v>
      </c>
      <c r="N272" s="144">
        <f>IFERROR(_xlfn.XLOOKUP($B272,'Cronog. e Histog.'!$BZ:$BZ,'Cronog. e Histog.'!CI:CI),"")</f>
        <v>0</v>
      </c>
      <c r="O272" s="144">
        <f>IFERROR(_xlfn.XLOOKUP($B272,'Cronog. e Histog.'!$BZ:$BZ,'Cronog. e Histog.'!CJ:CJ),"")</f>
        <v>0</v>
      </c>
      <c r="P272" s="144">
        <f>IFERROR(_xlfn.XLOOKUP($B272,'Cronog. e Histog.'!$BZ:$BZ,'Cronog. e Histog.'!CK:CK),"")</f>
        <v>0</v>
      </c>
      <c r="Q272" s="144">
        <f>IFERROR(_xlfn.XLOOKUP($B272,'Cronog. e Histog.'!$BZ:$BZ,'Cronog. e Histog.'!CL:CL),"")</f>
        <v>0</v>
      </c>
      <c r="R272" s="144">
        <f>IFERROR(_xlfn.XLOOKUP($B272,'Cronog. e Histog.'!$BZ:$BZ,'Cronog. e Histog.'!CM:CM),"")</f>
        <v>0</v>
      </c>
      <c r="S272" s="144">
        <f>IFERROR(_xlfn.XLOOKUP($B272,'Cronog. e Histog.'!$BZ:$BZ,'Cronog. e Histog.'!CN:CN),"")</f>
        <v>0</v>
      </c>
      <c r="T272" s="144">
        <f>IFERROR(_xlfn.XLOOKUP($B272,'Cronog. e Histog.'!$BZ:$BZ,'Cronog. e Histog.'!CO:CO),"")</f>
        <v>0</v>
      </c>
      <c r="U272" s="144">
        <f>IFERROR(_xlfn.XLOOKUP($B272,'Cronog. e Histog.'!$BZ:$BZ,'Cronog. e Histog.'!CP:CP),"")</f>
        <v>0</v>
      </c>
      <c r="V272" s="144">
        <f>IFERROR(_xlfn.XLOOKUP($B272,'Cronog. e Histog.'!$BZ:$BZ,'Cronog. e Histog.'!CQ:CQ),"")</f>
        <v>0</v>
      </c>
      <c r="W272" s="144">
        <f>IFERROR(_xlfn.XLOOKUP($B272,'Cronog. e Histog.'!$BZ:$BZ,'Cronog. e Histog.'!CR:CR),"")</f>
        <v>0</v>
      </c>
      <c r="X272" s="144">
        <f>IFERROR(_xlfn.XLOOKUP($B272,'Cronog. e Histog.'!$BZ:$BZ,'Cronog. e Histog.'!CS:CS),"")</f>
        <v>0</v>
      </c>
      <c r="Y272" s="144">
        <f>IFERROR(_xlfn.XLOOKUP($B272,'Cronog. e Histog.'!$BZ:$BZ,'Cronog. e Histog.'!CT:CT),"")</f>
        <v>0</v>
      </c>
      <c r="Z272" s="144">
        <f>IFERROR(_xlfn.XLOOKUP($B272,'Cronog. e Histog.'!$BZ:$BZ,'Cronog. e Histog.'!CU:CU),"")</f>
        <v>0</v>
      </c>
      <c r="AA272" s="144">
        <f>IFERROR(_xlfn.XLOOKUP($B272,'Cronog. e Histog.'!$BZ:$BZ,'Cronog. e Histog.'!CV:CV),"")</f>
        <v>0</v>
      </c>
      <c r="AB272" s="144">
        <f>IFERROR(_xlfn.XLOOKUP($B272,'Cronog. e Histog.'!$BZ:$BZ,'Cronog. e Histog.'!CW:CW),"")</f>
        <v>0</v>
      </c>
      <c r="AC272" s="144">
        <f>IFERROR(_xlfn.XLOOKUP($B272,'Cronog. e Histog.'!$BZ:$BZ,'Cronog. e Histog.'!CX:CX),"")</f>
        <v>0</v>
      </c>
      <c r="AD272" s="144">
        <f>IFERROR(_xlfn.XLOOKUP($B272,'Cronog. e Histog.'!$BZ:$BZ,'Cronog. e Histog.'!CY:CY),"")</f>
        <v>0</v>
      </c>
      <c r="AE272" s="144">
        <f>IFERROR(_xlfn.XLOOKUP($B272,'Cronog. e Histog.'!$BZ:$BZ,'Cronog. e Histog.'!CZ:CZ),"")</f>
        <v>0</v>
      </c>
      <c r="AF272" s="144">
        <f>IFERROR(_xlfn.XLOOKUP($B272,'Cronog. e Histog.'!$BZ:$BZ,'Cronog. e Histog.'!DA:DA),"")</f>
        <v>0</v>
      </c>
      <c r="AG272" s="144">
        <f>IFERROR(_xlfn.XLOOKUP($B272,'Cronog. e Histog.'!$BZ:$BZ,'Cronog. e Histog.'!DB:DB),"")</f>
        <v>0</v>
      </c>
      <c r="AH272" s="144">
        <f>IFERROR(_xlfn.XLOOKUP($B272,'Cronog. e Histog.'!$BZ:$BZ,'Cronog. e Histog.'!DC:DC),"")</f>
        <v>0</v>
      </c>
      <c r="AI272" s="144">
        <f>IFERROR(_xlfn.XLOOKUP($B272,'Cronog. e Histog.'!$BZ:$BZ,'Cronog. e Histog.'!DD:DD),"")</f>
        <v>0</v>
      </c>
      <c r="AJ272" s="144">
        <f>IFERROR(_xlfn.XLOOKUP($B272,'Cronog. e Histog.'!$BZ:$BZ,'Cronog. e Histog.'!DE:DE),"")</f>
        <v>0</v>
      </c>
      <c r="AK272" s="144">
        <f>IFERROR(_xlfn.XLOOKUP($B272,'Cronog. e Histog.'!$BZ:$BZ,'Cronog. e Histog.'!DF:DF),"")</f>
        <v>0</v>
      </c>
      <c r="AL272" s="144">
        <f>IFERROR(_xlfn.XLOOKUP($B272,'Cronog. e Histog.'!$BZ:$BZ,'Cronog. e Histog.'!DG:DG),"")</f>
        <v>0</v>
      </c>
      <c r="AM272" s="144">
        <f>IFERROR(_xlfn.XLOOKUP($B272,'Cronog. e Histog.'!$BZ:$BZ,'Cronog. e Histog.'!DH:DH),"")</f>
        <v>0</v>
      </c>
      <c r="AN272" s="144">
        <f>IFERROR(_xlfn.XLOOKUP($B272,'Cronog. e Histog.'!$BZ:$BZ,'Cronog. e Histog.'!DI:DI),"")</f>
        <v>0</v>
      </c>
      <c r="AO272" s="144">
        <f>IFERROR(_xlfn.XLOOKUP($B272,'Cronog. e Histog.'!$BZ:$BZ,'Cronog. e Histog.'!DJ:DJ),"")</f>
        <v>0</v>
      </c>
      <c r="AP272" s="144">
        <f>IFERROR(_xlfn.XLOOKUP($B272,'Cronog. e Histog.'!$BZ:$BZ,'Cronog. e Histog.'!DK:DK),"")</f>
        <v>0</v>
      </c>
      <c r="AQ272" s="144">
        <f>IFERROR(_xlfn.XLOOKUP($B272,'Cronog. e Histog.'!$BZ:$BZ,'Cronog. e Histog.'!DL:DL),"")</f>
        <v>0</v>
      </c>
      <c r="AR272" s="144">
        <f>IFERROR(_xlfn.XLOOKUP($B272,'Cronog. e Histog.'!$BZ:$BZ,'Cronog. e Histog.'!DM:DM),"")</f>
        <v>0</v>
      </c>
      <c r="AS272" s="144">
        <f>IFERROR(_xlfn.XLOOKUP($B272,'Cronog. e Histog.'!$BZ:$BZ,'Cronog. e Histog.'!DN:DN),"")</f>
        <v>0</v>
      </c>
      <c r="AT272" s="144">
        <f>IFERROR(_xlfn.XLOOKUP($B272,'Cronog. e Histog.'!$BZ:$BZ,'Cronog. e Histog.'!DO:DO),"")</f>
        <v>0</v>
      </c>
      <c r="AU272" s="144">
        <f>IFERROR(_xlfn.XLOOKUP($B272,'Cronog. e Histog.'!$BZ:$BZ,'Cronog. e Histog.'!DP:DP),"")</f>
        <v>0</v>
      </c>
      <c r="AV272" s="144">
        <f>IFERROR(_xlfn.XLOOKUP($B272,'Cronog. e Histog.'!$BZ:$BZ,'Cronog. e Histog.'!DQ:DQ),"")</f>
        <v>0</v>
      </c>
      <c r="AW272" s="144">
        <f>IFERROR(_xlfn.XLOOKUP($B272,'Cronog. e Histog.'!$BZ:$BZ,'Cronog. e Histog.'!DR:DR),"")</f>
        <v>0</v>
      </c>
      <c r="AX272" s="144">
        <f>IFERROR(_xlfn.XLOOKUP($B272,'Cronog. e Histog.'!$BZ:$BZ,'Cronog. e Histog.'!DS:DS),"")</f>
        <v>0</v>
      </c>
      <c r="AY272" s="144">
        <f>IFERROR(_xlfn.XLOOKUP($B272,'Cronog. e Histog.'!$BZ:$BZ,'Cronog. e Histog.'!DT:DT),"")</f>
        <v>0</v>
      </c>
      <c r="AZ272" s="144">
        <f>IFERROR(_xlfn.XLOOKUP($B272,'Cronog. e Histog.'!$BZ:$BZ,'Cronog. e Histog.'!DU:DU),"")</f>
        <v>0</v>
      </c>
      <c r="BA272" s="144">
        <f>IFERROR(_xlfn.XLOOKUP($B272,'Cronog. e Histog.'!$BZ:$BZ,'Cronog. e Histog.'!DV:DV),"")</f>
        <v>0</v>
      </c>
      <c r="BB272" s="144">
        <f>IFERROR(_xlfn.XLOOKUP($B272,'Cronog. e Histog.'!$BZ:$BZ,'Cronog. e Histog.'!DW:DW),"")</f>
        <v>0</v>
      </c>
      <c r="BC272" s="144">
        <f>IFERROR(_xlfn.XLOOKUP($B272,'Cronog. e Histog.'!$BZ:$BZ,'Cronog. e Histog.'!DX:DX),"")</f>
        <v>0</v>
      </c>
      <c r="BD272" s="144">
        <f>IFERROR(_xlfn.XLOOKUP($B272,'Cronog. e Histog.'!$BZ:$BZ,'Cronog. e Histog.'!DY:DY),"")</f>
        <v>0</v>
      </c>
      <c r="BE272" s="144">
        <f>IFERROR(_xlfn.XLOOKUP($B272,'Cronog. e Histog.'!$BZ:$BZ,'Cronog. e Histog.'!DZ:DZ),"")</f>
        <v>0</v>
      </c>
      <c r="BF272" s="144">
        <f>IFERROR(_xlfn.XLOOKUP($B272,'Cronog. e Histog.'!$BZ:$BZ,'Cronog. e Histog.'!EA:EA),"")</f>
        <v>0</v>
      </c>
      <c r="BG272" s="144">
        <f>IFERROR(_xlfn.XLOOKUP($B272,'Cronog. e Histog.'!$BZ:$BZ,'Cronog. e Histog.'!EB:EB),"")</f>
        <v>0</v>
      </c>
      <c r="BH272" s="144">
        <f>IFERROR(_xlfn.XLOOKUP($B272,'Cronog. e Histog.'!$BZ:$BZ,'Cronog. e Histog.'!EC:EC),"")</f>
        <v>0</v>
      </c>
      <c r="BI272" s="144">
        <f>IFERROR(_xlfn.XLOOKUP($B272,'Cronog. e Histog.'!$BZ:$BZ,'Cronog. e Histog.'!ED:ED),"")</f>
        <v>0</v>
      </c>
      <c r="BJ272" s="144">
        <f>IFERROR(_xlfn.XLOOKUP($B272,'Cronog. e Histog.'!$BZ:$BZ,'Cronog. e Histog.'!EE:EE),"")</f>
        <v>0</v>
      </c>
      <c r="BK272" s="144">
        <f>IFERROR(_xlfn.XLOOKUP($B272,'Cronog. e Histog.'!$BZ:$BZ,'Cronog. e Histog.'!EF:EF),"")</f>
        <v>0</v>
      </c>
      <c r="BL272" s="144">
        <f>IFERROR(_xlfn.XLOOKUP($B272,'Cronog. e Histog.'!$BZ:$BZ,'Cronog. e Histog.'!EG:EG),"")</f>
        <v>0</v>
      </c>
      <c r="BM272" s="144">
        <f>IFERROR(_xlfn.XLOOKUP($B272,'Cronog. e Histog.'!$BZ:$BZ,'Cronog. e Histog.'!EH:EH),"")</f>
        <v>0</v>
      </c>
      <c r="BN272" s="144">
        <f>IFERROR(_xlfn.XLOOKUP($B272,'Cronog. e Histog.'!$BZ:$BZ,'Cronog. e Histog.'!EI:EI),"")</f>
        <v>0</v>
      </c>
    </row>
    <row r="273" spans="2:66" ht="12" hidden="1" customHeight="1" outlineLevel="1">
      <c r="B273" s="76">
        <v>267</v>
      </c>
      <c r="C273" s="143" t="str">
        <f>IFERROR(VLOOKUP(B273,'Cronog. e Histog.'!$BZ$213:$CA$747,2,0),"")</f>
        <v>AN SR. ENG/ARQ</v>
      </c>
      <c r="D273" s="144">
        <f t="shared" si="6"/>
        <v>0</v>
      </c>
      <c r="E273" s="144">
        <f t="shared" si="7"/>
        <v>0</v>
      </c>
      <c r="F273" s="65"/>
      <c r="G273" s="144">
        <f>IFERROR(_xlfn.XLOOKUP($B273,'Cronog. e Histog.'!$BZ:$BZ,'Cronog. e Histog.'!CB:CB),"")</f>
        <v>0</v>
      </c>
      <c r="H273" s="144">
        <f>IFERROR(_xlfn.XLOOKUP($B273,'Cronog. e Histog.'!$BZ:$BZ,'Cronog. e Histog.'!CC:CC),"")</f>
        <v>0</v>
      </c>
      <c r="I273" s="144">
        <f>IFERROR(_xlfn.XLOOKUP($B273,'Cronog. e Histog.'!$BZ:$BZ,'Cronog. e Histog.'!CD:CD),"")</f>
        <v>0</v>
      </c>
      <c r="J273" s="144">
        <f>IFERROR(_xlfn.XLOOKUP($B273,'Cronog. e Histog.'!$BZ:$BZ,'Cronog. e Histog.'!CE:CE),"")</f>
        <v>0</v>
      </c>
      <c r="K273" s="144">
        <f>IFERROR(_xlfn.XLOOKUP($B273,'Cronog. e Histog.'!$BZ:$BZ,'Cronog. e Histog.'!CF:CF),"")</f>
        <v>0</v>
      </c>
      <c r="L273" s="144">
        <f>IFERROR(_xlfn.XLOOKUP($B273,'Cronog. e Histog.'!$BZ:$BZ,'Cronog. e Histog.'!CG:CG),"")</f>
        <v>0</v>
      </c>
      <c r="M273" s="144">
        <f>IFERROR(_xlfn.XLOOKUP($B273,'Cronog. e Histog.'!$BZ:$BZ,'Cronog. e Histog.'!CH:CH),"")</f>
        <v>0</v>
      </c>
      <c r="N273" s="144">
        <f>IFERROR(_xlfn.XLOOKUP($B273,'Cronog. e Histog.'!$BZ:$BZ,'Cronog. e Histog.'!CI:CI),"")</f>
        <v>0</v>
      </c>
      <c r="O273" s="144">
        <f>IFERROR(_xlfn.XLOOKUP($B273,'Cronog. e Histog.'!$BZ:$BZ,'Cronog. e Histog.'!CJ:CJ),"")</f>
        <v>0</v>
      </c>
      <c r="P273" s="144">
        <f>IFERROR(_xlfn.XLOOKUP($B273,'Cronog. e Histog.'!$BZ:$BZ,'Cronog. e Histog.'!CK:CK),"")</f>
        <v>0</v>
      </c>
      <c r="Q273" s="144">
        <f>IFERROR(_xlfn.XLOOKUP($B273,'Cronog. e Histog.'!$BZ:$BZ,'Cronog. e Histog.'!CL:CL),"")</f>
        <v>0</v>
      </c>
      <c r="R273" s="144">
        <f>IFERROR(_xlfn.XLOOKUP($B273,'Cronog. e Histog.'!$BZ:$BZ,'Cronog. e Histog.'!CM:CM),"")</f>
        <v>0</v>
      </c>
      <c r="S273" s="144">
        <f>IFERROR(_xlfn.XLOOKUP($B273,'Cronog. e Histog.'!$BZ:$BZ,'Cronog. e Histog.'!CN:CN),"")</f>
        <v>0</v>
      </c>
      <c r="T273" s="144">
        <f>IFERROR(_xlfn.XLOOKUP($B273,'Cronog. e Histog.'!$BZ:$BZ,'Cronog. e Histog.'!CO:CO),"")</f>
        <v>0</v>
      </c>
      <c r="U273" s="144">
        <f>IFERROR(_xlfn.XLOOKUP($B273,'Cronog. e Histog.'!$BZ:$BZ,'Cronog. e Histog.'!CP:CP),"")</f>
        <v>0</v>
      </c>
      <c r="V273" s="144">
        <f>IFERROR(_xlfn.XLOOKUP($B273,'Cronog. e Histog.'!$BZ:$BZ,'Cronog. e Histog.'!CQ:CQ),"")</f>
        <v>0</v>
      </c>
      <c r="W273" s="144">
        <f>IFERROR(_xlfn.XLOOKUP($B273,'Cronog. e Histog.'!$BZ:$BZ,'Cronog. e Histog.'!CR:CR),"")</f>
        <v>0</v>
      </c>
      <c r="X273" s="144">
        <f>IFERROR(_xlfn.XLOOKUP($B273,'Cronog. e Histog.'!$BZ:$BZ,'Cronog. e Histog.'!CS:CS),"")</f>
        <v>0</v>
      </c>
      <c r="Y273" s="144">
        <f>IFERROR(_xlfn.XLOOKUP($B273,'Cronog. e Histog.'!$BZ:$BZ,'Cronog. e Histog.'!CT:CT),"")</f>
        <v>0</v>
      </c>
      <c r="Z273" s="144">
        <f>IFERROR(_xlfn.XLOOKUP($B273,'Cronog. e Histog.'!$BZ:$BZ,'Cronog. e Histog.'!CU:CU),"")</f>
        <v>0</v>
      </c>
      <c r="AA273" s="144">
        <f>IFERROR(_xlfn.XLOOKUP($B273,'Cronog. e Histog.'!$BZ:$BZ,'Cronog. e Histog.'!CV:CV),"")</f>
        <v>0</v>
      </c>
      <c r="AB273" s="144">
        <f>IFERROR(_xlfn.XLOOKUP($B273,'Cronog. e Histog.'!$BZ:$BZ,'Cronog. e Histog.'!CW:CW),"")</f>
        <v>0</v>
      </c>
      <c r="AC273" s="144">
        <f>IFERROR(_xlfn.XLOOKUP($B273,'Cronog. e Histog.'!$BZ:$BZ,'Cronog. e Histog.'!CX:CX),"")</f>
        <v>0</v>
      </c>
      <c r="AD273" s="144">
        <f>IFERROR(_xlfn.XLOOKUP($B273,'Cronog. e Histog.'!$BZ:$BZ,'Cronog. e Histog.'!CY:CY),"")</f>
        <v>0</v>
      </c>
      <c r="AE273" s="144">
        <f>IFERROR(_xlfn.XLOOKUP($B273,'Cronog. e Histog.'!$BZ:$BZ,'Cronog. e Histog.'!CZ:CZ),"")</f>
        <v>0</v>
      </c>
      <c r="AF273" s="144">
        <f>IFERROR(_xlfn.XLOOKUP($B273,'Cronog. e Histog.'!$BZ:$BZ,'Cronog. e Histog.'!DA:DA),"")</f>
        <v>0</v>
      </c>
      <c r="AG273" s="144">
        <f>IFERROR(_xlfn.XLOOKUP($B273,'Cronog. e Histog.'!$BZ:$BZ,'Cronog. e Histog.'!DB:DB),"")</f>
        <v>0</v>
      </c>
      <c r="AH273" s="144">
        <f>IFERROR(_xlfn.XLOOKUP($B273,'Cronog. e Histog.'!$BZ:$BZ,'Cronog. e Histog.'!DC:DC),"")</f>
        <v>0</v>
      </c>
      <c r="AI273" s="144">
        <f>IFERROR(_xlfn.XLOOKUP($B273,'Cronog. e Histog.'!$BZ:$BZ,'Cronog. e Histog.'!DD:DD),"")</f>
        <v>0</v>
      </c>
      <c r="AJ273" s="144">
        <f>IFERROR(_xlfn.XLOOKUP($B273,'Cronog. e Histog.'!$BZ:$BZ,'Cronog. e Histog.'!DE:DE),"")</f>
        <v>0</v>
      </c>
      <c r="AK273" s="144">
        <f>IFERROR(_xlfn.XLOOKUP($B273,'Cronog. e Histog.'!$BZ:$BZ,'Cronog. e Histog.'!DF:DF),"")</f>
        <v>0</v>
      </c>
      <c r="AL273" s="144">
        <f>IFERROR(_xlfn.XLOOKUP($B273,'Cronog. e Histog.'!$BZ:$BZ,'Cronog. e Histog.'!DG:DG),"")</f>
        <v>0</v>
      </c>
      <c r="AM273" s="144">
        <f>IFERROR(_xlfn.XLOOKUP($B273,'Cronog. e Histog.'!$BZ:$BZ,'Cronog. e Histog.'!DH:DH),"")</f>
        <v>0</v>
      </c>
      <c r="AN273" s="144">
        <f>IFERROR(_xlfn.XLOOKUP($B273,'Cronog. e Histog.'!$BZ:$BZ,'Cronog. e Histog.'!DI:DI),"")</f>
        <v>0</v>
      </c>
      <c r="AO273" s="144">
        <f>IFERROR(_xlfn.XLOOKUP($B273,'Cronog. e Histog.'!$BZ:$BZ,'Cronog. e Histog.'!DJ:DJ),"")</f>
        <v>0</v>
      </c>
      <c r="AP273" s="144">
        <f>IFERROR(_xlfn.XLOOKUP($B273,'Cronog. e Histog.'!$BZ:$BZ,'Cronog. e Histog.'!DK:DK),"")</f>
        <v>0</v>
      </c>
      <c r="AQ273" s="144">
        <f>IFERROR(_xlfn.XLOOKUP($B273,'Cronog. e Histog.'!$BZ:$BZ,'Cronog. e Histog.'!DL:DL),"")</f>
        <v>0</v>
      </c>
      <c r="AR273" s="144">
        <f>IFERROR(_xlfn.XLOOKUP($B273,'Cronog. e Histog.'!$BZ:$BZ,'Cronog. e Histog.'!DM:DM),"")</f>
        <v>0</v>
      </c>
      <c r="AS273" s="144">
        <f>IFERROR(_xlfn.XLOOKUP($B273,'Cronog. e Histog.'!$BZ:$BZ,'Cronog. e Histog.'!DN:DN),"")</f>
        <v>0</v>
      </c>
      <c r="AT273" s="144">
        <f>IFERROR(_xlfn.XLOOKUP($B273,'Cronog. e Histog.'!$BZ:$BZ,'Cronog. e Histog.'!DO:DO),"")</f>
        <v>0</v>
      </c>
      <c r="AU273" s="144">
        <f>IFERROR(_xlfn.XLOOKUP($B273,'Cronog. e Histog.'!$BZ:$BZ,'Cronog. e Histog.'!DP:DP),"")</f>
        <v>0</v>
      </c>
      <c r="AV273" s="144">
        <f>IFERROR(_xlfn.XLOOKUP($B273,'Cronog. e Histog.'!$BZ:$BZ,'Cronog. e Histog.'!DQ:DQ),"")</f>
        <v>0</v>
      </c>
      <c r="AW273" s="144">
        <f>IFERROR(_xlfn.XLOOKUP($B273,'Cronog. e Histog.'!$BZ:$BZ,'Cronog. e Histog.'!DR:DR),"")</f>
        <v>0</v>
      </c>
      <c r="AX273" s="144">
        <f>IFERROR(_xlfn.XLOOKUP($B273,'Cronog. e Histog.'!$BZ:$BZ,'Cronog. e Histog.'!DS:DS),"")</f>
        <v>0</v>
      </c>
      <c r="AY273" s="144">
        <f>IFERROR(_xlfn.XLOOKUP($B273,'Cronog. e Histog.'!$BZ:$BZ,'Cronog. e Histog.'!DT:DT),"")</f>
        <v>0</v>
      </c>
      <c r="AZ273" s="144">
        <f>IFERROR(_xlfn.XLOOKUP($B273,'Cronog. e Histog.'!$BZ:$BZ,'Cronog. e Histog.'!DU:DU),"")</f>
        <v>0</v>
      </c>
      <c r="BA273" s="144">
        <f>IFERROR(_xlfn.XLOOKUP($B273,'Cronog. e Histog.'!$BZ:$BZ,'Cronog. e Histog.'!DV:DV),"")</f>
        <v>0</v>
      </c>
      <c r="BB273" s="144">
        <f>IFERROR(_xlfn.XLOOKUP($B273,'Cronog. e Histog.'!$BZ:$BZ,'Cronog. e Histog.'!DW:DW),"")</f>
        <v>0</v>
      </c>
      <c r="BC273" s="144">
        <f>IFERROR(_xlfn.XLOOKUP($B273,'Cronog. e Histog.'!$BZ:$BZ,'Cronog. e Histog.'!DX:DX),"")</f>
        <v>0</v>
      </c>
      <c r="BD273" s="144">
        <f>IFERROR(_xlfn.XLOOKUP($B273,'Cronog. e Histog.'!$BZ:$BZ,'Cronog. e Histog.'!DY:DY),"")</f>
        <v>0</v>
      </c>
      <c r="BE273" s="144">
        <f>IFERROR(_xlfn.XLOOKUP($B273,'Cronog. e Histog.'!$BZ:$BZ,'Cronog. e Histog.'!DZ:DZ),"")</f>
        <v>0</v>
      </c>
      <c r="BF273" s="144">
        <f>IFERROR(_xlfn.XLOOKUP($B273,'Cronog. e Histog.'!$BZ:$BZ,'Cronog. e Histog.'!EA:EA),"")</f>
        <v>0</v>
      </c>
      <c r="BG273" s="144">
        <f>IFERROR(_xlfn.XLOOKUP($B273,'Cronog. e Histog.'!$BZ:$BZ,'Cronog. e Histog.'!EB:EB),"")</f>
        <v>0</v>
      </c>
      <c r="BH273" s="144">
        <f>IFERROR(_xlfn.XLOOKUP($B273,'Cronog. e Histog.'!$BZ:$BZ,'Cronog. e Histog.'!EC:EC),"")</f>
        <v>0</v>
      </c>
      <c r="BI273" s="144">
        <f>IFERROR(_xlfn.XLOOKUP($B273,'Cronog. e Histog.'!$BZ:$BZ,'Cronog. e Histog.'!ED:ED),"")</f>
        <v>0</v>
      </c>
      <c r="BJ273" s="144">
        <f>IFERROR(_xlfn.XLOOKUP($B273,'Cronog. e Histog.'!$BZ:$BZ,'Cronog. e Histog.'!EE:EE),"")</f>
        <v>0</v>
      </c>
      <c r="BK273" s="144">
        <f>IFERROR(_xlfn.XLOOKUP($B273,'Cronog. e Histog.'!$BZ:$BZ,'Cronog. e Histog.'!EF:EF),"")</f>
        <v>0</v>
      </c>
      <c r="BL273" s="144">
        <f>IFERROR(_xlfn.XLOOKUP($B273,'Cronog. e Histog.'!$BZ:$BZ,'Cronog. e Histog.'!EG:EG),"")</f>
        <v>0</v>
      </c>
      <c r="BM273" s="144">
        <f>IFERROR(_xlfn.XLOOKUP($B273,'Cronog. e Histog.'!$BZ:$BZ,'Cronog. e Histog.'!EH:EH),"")</f>
        <v>0</v>
      </c>
      <c r="BN273" s="144">
        <f>IFERROR(_xlfn.XLOOKUP($B273,'Cronog. e Histog.'!$BZ:$BZ,'Cronog. e Histog.'!EI:EI),"")</f>
        <v>0</v>
      </c>
    </row>
    <row r="274" spans="2:66" ht="12" hidden="1" customHeight="1" outlineLevel="1">
      <c r="B274" s="76">
        <v>268</v>
      </c>
      <c r="C274" s="143" t="str">
        <f>IFERROR(VLOOKUP(B274,'Cronog. e Histog.'!$BZ$213:$CA$747,2,0),"")</f>
        <v>AN PL. ENG/ARQ</v>
      </c>
      <c r="D274" s="144">
        <f t="shared" si="6"/>
        <v>0</v>
      </c>
      <c r="E274" s="144">
        <f t="shared" si="7"/>
        <v>0</v>
      </c>
      <c r="F274" s="65"/>
      <c r="G274" s="144">
        <f>IFERROR(_xlfn.XLOOKUP($B274,'Cronog. e Histog.'!$BZ:$BZ,'Cronog. e Histog.'!CB:CB),"")</f>
        <v>0</v>
      </c>
      <c r="H274" s="144">
        <f>IFERROR(_xlfn.XLOOKUP($B274,'Cronog. e Histog.'!$BZ:$BZ,'Cronog. e Histog.'!CC:CC),"")</f>
        <v>0</v>
      </c>
      <c r="I274" s="144">
        <f>IFERROR(_xlfn.XLOOKUP($B274,'Cronog. e Histog.'!$BZ:$BZ,'Cronog. e Histog.'!CD:CD),"")</f>
        <v>0</v>
      </c>
      <c r="J274" s="144">
        <f>IFERROR(_xlfn.XLOOKUP($B274,'Cronog. e Histog.'!$BZ:$BZ,'Cronog. e Histog.'!CE:CE),"")</f>
        <v>0</v>
      </c>
      <c r="K274" s="144">
        <f>IFERROR(_xlfn.XLOOKUP($B274,'Cronog. e Histog.'!$BZ:$BZ,'Cronog. e Histog.'!CF:CF),"")</f>
        <v>0</v>
      </c>
      <c r="L274" s="144">
        <f>IFERROR(_xlfn.XLOOKUP($B274,'Cronog. e Histog.'!$BZ:$BZ,'Cronog. e Histog.'!CG:CG),"")</f>
        <v>0</v>
      </c>
      <c r="M274" s="144">
        <f>IFERROR(_xlfn.XLOOKUP($B274,'Cronog. e Histog.'!$BZ:$BZ,'Cronog. e Histog.'!CH:CH),"")</f>
        <v>0</v>
      </c>
      <c r="N274" s="144">
        <f>IFERROR(_xlfn.XLOOKUP($B274,'Cronog. e Histog.'!$BZ:$BZ,'Cronog. e Histog.'!CI:CI),"")</f>
        <v>0</v>
      </c>
      <c r="O274" s="144">
        <f>IFERROR(_xlfn.XLOOKUP($B274,'Cronog. e Histog.'!$BZ:$BZ,'Cronog. e Histog.'!CJ:CJ),"")</f>
        <v>0</v>
      </c>
      <c r="P274" s="144">
        <f>IFERROR(_xlfn.XLOOKUP($B274,'Cronog. e Histog.'!$BZ:$BZ,'Cronog. e Histog.'!CK:CK),"")</f>
        <v>0</v>
      </c>
      <c r="Q274" s="144">
        <f>IFERROR(_xlfn.XLOOKUP($B274,'Cronog. e Histog.'!$BZ:$BZ,'Cronog. e Histog.'!CL:CL),"")</f>
        <v>0</v>
      </c>
      <c r="R274" s="144">
        <f>IFERROR(_xlfn.XLOOKUP($B274,'Cronog. e Histog.'!$BZ:$BZ,'Cronog. e Histog.'!CM:CM),"")</f>
        <v>0</v>
      </c>
      <c r="S274" s="144">
        <f>IFERROR(_xlfn.XLOOKUP($B274,'Cronog. e Histog.'!$BZ:$BZ,'Cronog. e Histog.'!CN:CN),"")</f>
        <v>0</v>
      </c>
      <c r="T274" s="144">
        <f>IFERROR(_xlfn.XLOOKUP($B274,'Cronog. e Histog.'!$BZ:$BZ,'Cronog. e Histog.'!CO:CO),"")</f>
        <v>0</v>
      </c>
      <c r="U274" s="144">
        <f>IFERROR(_xlfn.XLOOKUP($B274,'Cronog. e Histog.'!$BZ:$BZ,'Cronog. e Histog.'!CP:CP),"")</f>
        <v>0</v>
      </c>
      <c r="V274" s="144">
        <f>IFERROR(_xlfn.XLOOKUP($B274,'Cronog. e Histog.'!$BZ:$BZ,'Cronog. e Histog.'!CQ:CQ),"")</f>
        <v>0</v>
      </c>
      <c r="W274" s="144">
        <f>IFERROR(_xlfn.XLOOKUP($B274,'Cronog. e Histog.'!$BZ:$BZ,'Cronog. e Histog.'!CR:CR),"")</f>
        <v>0</v>
      </c>
      <c r="X274" s="144">
        <f>IFERROR(_xlfn.XLOOKUP($B274,'Cronog. e Histog.'!$BZ:$BZ,'Cronog. e Histog.'!CS:CS),"")</f>
        <v>0</v>
      </c>
      <c r="Y274" s="144">
        <f>IFERROR(_xlfn.XLOOKUP($B274,'Cronog. e Histog.'!$BZ:$BZ,'Cronog. e Histog.'!CT:CT),"")</f>
        <v>0</v>
      </c>
      <c r="Z274" s="144">
        <f>IFERROR(_xlfn.XLOOKUP($B274,'Cronog. e Histog.'!$BZ:$BZ,'Cronog. e Histog.'!CU:CU),"")</f>
        <v>0</v>
      </c>
      <c r="AA274" s="144">
        <f>IFERROR(_xlfn.XLOOKUP($B274,'Cronog. e Histog.'!$BZ:$BZ,'Cronog. e Histog.'!CV:CV),"")</f>
        <v>0</v>
      </c>
      <c r="AB274" s="144">
        <f>IFERROR(_xlfn.XLOOKUP($B274,'Cronog. e Histog.'!$BZ:$BZ,'Cronog. e Histog.'!CW:CW),"")</f>
        <v>0</v>
      </c>
      <c r="AC274" s="144">
        <f>IFERROR(_xlfn.XLOOKUP($B274,'Cronog. e Histog.'!$BZ:$BZ,'Cronog. e Histog.'!CX:CX),"")</f>
        <v>0</v>
      </c>
      <c r="AD274" s="144">
        <f>IFERROR(_xlfn.XLOOKUP($B274,'Cronog. e Histog.'!$BZ:$BZ,'Cronog. e Histog.'!CY:CY),"")</f>
        <v>0</v>
      </c>
      <c r="AE274" s="144">
        <f>IFERROR(_xlfn.XLOOKUP($B274,'Cronog. e Histog.'!$BZ:$BZ,'Cronog. e Histog.'!CZ:CZ),"")</f>
        <v>0</v>
      </c>
      <c r="AF274" s="144">
        <f>IFERROR(_xlfn.XLOOKUP($B274,'Cronog. e Histog.'!$BZ:$BZ,'Cronog. e Histog.'!DA:DA),"")</f>
        <v>0</v>
      </c>
      <c r="AG274" s="144">
        <f>IFERROR(_xlfn.XLOOKUP($B274,'Cronog. e Histog.'!$BZ:$BZ,'Cronog. e Histog.'!DB:DB),"")</f>
        <v>0</v>
      </c>
      <c r="AH274" s="144">
        <f>IFERROR(_xlfn.XLOOKUP($B274,'Cronog. e Histog.'!$BZ:$BZ,'Cronog. e Histog.'!DC:DC),"")</f>
        <v>0</v>
      </c>
      <c r="AI274" s="144">
        <f>IFERROR(_xlfn.XLOOKUP($B274,'Cronog. e Histog.'!$BZ:$BZ,'Cronog. e Histog.'!DD:DD),"")</f>
        <v>0</v>
      </c>
      <c r="AJ274" s="144">
        <f>IFERROR(_xlfn.XLOOKUP($B274,'Cronog. e Histog.'!$BZ:$BZ,'Cronog. e Histog.'!DE:DE),"")</f>
        <v>0</v>
      </c>
      <c r="AK274" s="144">
        <f>IFERROR(_xlfn.XLOOKUP($B274,'Cronog. e Histog.'!$BZ:$BZ,'Cronog. e Histog.'!DF:DF),"")</f>
        <v>0</v>
      </c>
      <c r="AL274" s="144">
        <f>IFERROR(_xlfn.XLOOKUP($B274,'Cronog. e Histog.'!$BZ:$BZ,'Cronog. e Histog.'!DG:DG),"")</f>
        <v>0</v>
      </c>
      <c r="AM274" s="144">
        <f>IFERROR(_xlfn.XLOOKUP($B274,'Cronog. e Histog.'!$BZ:$BZ,'Cronog. e Histog.'!DH:DH),"")</f>
        <v>0</v>
      </c>
      <c r="AN274" s="144">
        <f>IFERROR(_xlfn.XLOOKUP($B274,'Cronog. e Histog.'!$BZ:$BZ,'Cronog. e Histog.'!DI:DI),"")</f>
        <v>0</v>
      </c>
      <c r="AO274" s="144">
        <f>IFERROR(_xlfn.XLOOKUP($B274,'Cronog. e Histog.'!$BZ:$BZ,'Cronog. e Histog.'!DJ:DJ),"")</f>
        <v>0</v>
      </c>
      <c r="AP274" s="144">
        <f>IFERROR(_xlfn.XLOOKUP($B274,'Cronog. e Histog.'!$BZ:$BZ,'Cronog. e Histog.'!DK:DK),"")</f>
        <v>0</v>
      </c>
      <c r="AQ274" s="144">
        <f>IFERROR(_xlfn.XLOOKUP($B274,'Cronog. e Histog.'!$BZ:$BZ,'Cronog. e Histog.'!DL:DL),"")</f>
        <v>0</v>
      </c>
      <c r="AR274" s="144">
        <f>IFERROR(_xlfn.XLOOKUP($B274,'Cronog. e Histog.'!$BZ:$BZ,'Cronog. e Histog.'!DM:DM),"")</f>
        <v>0</v>
      </c>
      <c r="AS274" s="144">
        <f>IFERROR(_xlfn.XLOOKUP($B274,'Cronog. e Histog.'!$BZ:$BZ,'Cronog. e Histog.'!DN:DN),"")</f>
        <v>0</v>
      </c>
      <c r="AT274" s="144">
        <f>IFERROR(_xlfn.XLOOKUP($B274,'Cronog. e Histog.'!$BZ:$BZ,'Cronog. e Histog.'!DO:DO),"")</f>
        <v>0</v>
      </c>
      <c r="AU274" s="144">
        <f>IFERROR(_xlfn.XLOOKUP($B274,'Cronog. e Histog.'!$BZ:$BZ,'Cronog. e Histog.'!DP:DP),"")</f>
        <v>0</v>
      </c>
      <c r="AV274" s="144">
        <f>IFERROR(_xlfn.XLOOKUP($B274,'Cronog. e Histog.'!$BZ:$BZ,'Cronog. e Histog.'!DQ:DQ),"")</f>
        <v>0</v>
      </c>
      <c r="AW274" s="144">
        <f>IFERROR(_xlfn.XLOOKUP($B274,'Cronog. e Histog.'!$BZ:$BZ,'Cronog. e Histog.'!DR:DR),"")</f>
        <v>0</v>
      </c>
      <c r="AX274" s="144">
        <f>IFERROR(_xlfn.XLOOKUP($B274,'Cronog. e Histog.'!$BZ:$BZ,'Cronog. e Histog.'!DS:DS),"")</f>
        <v>0</v>
      </c>
      <c r="AY274" s="144">
        <f>IFERROR(_xlfn.XLOOKUP($B274,'Cronog. e Histog.'!$BZ:$BZ,'Cronog. e Histog.'!DT:DT),"")</f>
        <v>0</v>
      </c>
      <c r="AZ274" s="144">
        <f>IFERROR(_xlfn.XLOOKUP($B274,'Cronog. e Histog.'!$BZ:$BZ,'Cronog. e Histog.'!DU:DU),"")</f>
        <v>0</v>
      </c>
      <c r="BA274" s="144">
        <f>IFERROR(_xlfn.XLOOKUP($B274,'Cronog. e Histog.'!$BZ:$BZ,'Cronog. e Histog.'!DV:DV),"")</f>
        <v>0</v>
      </c>
      <c r="BB274" s="144">
        <f>IFERROR(_xlfn.XLOOKUP($B274,'Cronog. e Histog.'!$BZ:$BZ,'Cronog. e Histog.'!DW:DW),"")</f>
        <v>0</v>
      </c>
      <c r="BC274" s="144">
        <f>IFERROR(_xlfn.XLOOKUP($B274,'Cronog. e Histog.'!$BZ:$BZ,'Cronog. e Histog.'!DX:DX),"")</f>
        <v>0</v>
      </c>
      <c r="BD274" s="144">
        <f>IFERROR(_xlfn.XLOOKUP($B274,'Cronog. e Histog.'!$BZ:$BZ,'Cronog. e Histog.'!DY:DY),"")</f>
        <v>0</v>
      </c>
      <c r="BE274" s="144">
        <f>IFERROR(_xlfn.XLOOKUP($B274,'Cronog. e Histog.'!$BZ:$BZ,'Cronog. e Histog.'!DZ:DZ),"")</f>
        <v>0</v>
      </c>
      <c r="BF274" s="144">
        <f>IFERROR(_xlfn.XLOOKUP($B274,'Cronog. e Histog.'!$BZ:$BZ,'Cronog. e Histog.'!EA:EA),"")</f>
        <v>0</v>
      </c>
      <c r="BG274" s="144">
        <f>IFERROR(_xlfn.XLOOKUP($B274,'Cronog. e Histog.'!$BZ:$BZ,'Cronog. e Histog.'!EB:EB),"")</f>
        <v>0</v>
      </c>
      <c r="BH274" s="144">
        <f>IFERROR(_xlfn.XLOOKUP($B274,'Cronog. e Histog.'!$BZ:$BZ,'Cronog. e Histog.'!EC:EC),"")</f>
        <v>0</v>
      </c>
      <c r="BI274" s="144">
        <f>IFERROR(_xlfn.XLOOKUP($B274,'Cronog. e Histog.'!$BZ:$BZ,'Cronog. e Histog.'!ED:ED),"")</f>
        <v>0</v>
      </c>
      <c r="BJ274" s="144">
        <f>IFERROR(_xlfn.XLOOKUP($B274,'Cronog. e Histog.'!$BZ:$BZ,'Cronog. e Histog.'!EE:EE),"")</f>
        <v>0</v>
      </c>
      <c r="BK274" s="144">
        <f>IFERROR(_xlfn.XLOOKUP($B274,'Cronog. e Histog.'!$BZ:$BZ,'Cronog. e Histog.'!EF:EF),"")</f>
        <v>0</v>
      </c>
      <c r="BL274" s="144">
        <f>IFERROR(_xlfn.XLOOKUP($B274,'Cronog. e Histog.'!$BZ:$BZ,'Cronog. e Histog.'!EG:EG),"")</f>
        <v>0</v>
      </c>
      <c r="BM274" s="144">
        <f>IFERROR(_xlfn.XLOOKUP($B274,'Cronog. e Histog.'!$BZ:$BZ,'Cronog. e Histog.'!EH:EH),"")</f>
        <v>0</v>
      </c>
      <c r="BN274" s="144">
        <f>IFERROR(_xlfn.XLOOKUP($B274,'Cronog. e Histog.'!$BZ:$BZ,'Cronog. e Histog.'!EI:EI),"")</f>
        <v>0</v>
      </c>
    </row>
    <row r="275" spans="2:66" ht="12" hidden="1" customHeight="1" outlineLevel="1">
      <c r="B275" s="76">
        <v>269</v>
      </c>
      <c r="C275" s="143" t="str">
        <f>IFERROR(VLOOKUP(B275,'Cronog. e Histog.'!$BZ$213:$CA$747,2,0),"")</f>
        <v>AN JR. ENG/ARQ</v>
      </c>
      <c r="D275" s="144">
        <f t="shared" si="6"/>
        <v>0</v>
      </c>
      <c r="E275" s="144">
        <f t="shared" si="7"/>
        <v>0</v>
      </c>
      <c r="F275" s="65"/>
      <c r="G275" s="144">
        <f>IFERROR(_xlfn.XLOOKUP($B275,'Cronog. e Histog.'!$BZ:$BZ,'Cronog. e Histog.'!CB:CB),"")</f>
        <v>0</v>
      </c>
      <c r="H275" s="144">
        <f>IFERROR(_xlfn.XLOOKUP($B275,'Cronog. e Histog.'!$BZ:$BZ,'Cronog. e Histog.'!CC:CC),"")</f>
        <v>0</v>
      </c>
      <c r="I275" s="144">
        <f>IFERROR(_xlfn.XLOOKUP($B275,'Cronog. e Histog.'!$BZ:$BZ,'Cronog. e Histog.'!CD:CD),"")</f>
        <v>0</v>
      </c>
      <c r="J275" s="144">
        <f>IFERROR(_xlfn.XLOOKUP($B275,'Cronog. e Histog.'!$BZ:$BZ,'Cronog. e Histog.'!CE:CE),"")</f>
        <v>0</v>
      </c>
      <c r="K275" s="144">
        <f>IFERROR(_xlfn.XLOOKUP($B275,'Cronog. e Histog.'!$BZ:$BZ,'Cronog. e Histog.'!CF:CF),"")</f>
        <v>0</v>
      </c>
      <c r="L275" s="144">
        <f>IFERROR(_xlfn.XLOOKUP($B275,'Cronog. e Histog.'!$BZ:$BZ,'Cronog. e Histog.'!CG:CG),"")</f>
        <v>0</v>
      </c>
      <c r="M275" s="144">
        <f>IFERROR(_xlfn.XLOOKUP($B275,'Cronog. e Histog.'!$BZ:$BZ,'Cronog. e Histog.'!CH:CH),"")</f>
        <v>0</v>
      </c>
      <c r="N275" s="144">
        <f>IFERROR(_xlfn.XLOOKUP($B275,'Cronog. e Histog.'!$BZ:$BZ,'Cronog. e Histog.'!CI:CI),"")</f>
        <v>0</v>
      </c>
      <c r="O275" s="144">
        <f>IFERROR(_xlfn.XLOOKUP($B275,'Cronog. e Histog.'!$BZ:$BZ,'Cronog. e Histog.'!CJ:CJ),"")</f>
        <v>0</v>
      </c>
      <c r="P275" s="144">
        <f>IFERROR(_xlfn.XLOOKUP($B275,'Cronog. e Histog.'!$BZ:$BZ,'Cronog. e Histog.'!CK:CK),"")</f>
        <v>0</v>
      </c>
      <c r="Q275" s="144">
        <f>IFERROR(_xlfn.XLOOKUP($B275,'Cronog. e Histog.'!$BZ:$BZ,'Cronog. e Histog.'!CL:CL),"")</f>
        <v>0</v>
      </c>
      <c r="R275" s="144">
        <f>IFERROR(_xlfn.XLOOKUP($B275,'Cronog. e Histog.'!$BZ:$BZ,'Cronog. e Histog.'!CM:CM),"")</f>
        <v>0</v>
      </c>
      <c r="S275" s="144">
        <f>IFERROR(_xlfn.XLOOKUP($B275,'Cronog. e Histog.'!$BZ:$BZ,'Cronog. e Histog.'!CN:CN),"")</f>
        <v>0</v>
      </c>
      <c r="T275" s="144">
        <f>IFERROR(_xlfn.XLOOKUP($B275,'Cronog. e Histog.'!$BZ:$BZ,'Cronog. e Histog.'!CO:CO),"")</f>
        <v>0</v>
      </c>
      <c r="U275" s="144">
        <f>IFERROR(_xlfn.XLOOKUP($B275,'Cronog. e Histog.'!$BZ:$BZ,'Cronog. e Histog.'!CP:CP),"")</f>
        <v>0</v>
      </c>
      <c r="V275" s="144">
        <f>IFERROR(_xlfn.XLOOKUP($B275,'Cronog. e Histog.'!$BZ:$BZ,'Cronog. e Histog.'!CQ:CQ),"")</f>
        <v>0</v>
      </c>
      <c r="W275" s="144">
        <f>IFERROR(_xlfn.XLOOKUP($B275,'Cronog. e Histog.'!$BZ:$BZ,'Cronog. e Histog.'!CR:CR),"")</f>
        <v>0</v>
      </c>
      <c r="X275" s="144">
        <f>IFERROR(_xlfn.XLOOKUP($B275,'Cronog. e Histog.'!$BZ:$BZ,'Cronog. e Histog.'!CS:CS),"")</f>
        <v>0</v>
      </c>
      <c r="Y275" s="144">
        <f>IFERROR(_xlfn.XLOOKUP($B275,'Cronog. e Histog.'!$BZ:$BZ,'Cronog. e Histog.'!CT:CT),"")</f>
        <v>0</v>
      </c>
      <c r="Z275" s="144">
        <f>IFERROR(_xlfn.XLOOKUP($B275,'Cronog. e Histog.'!$BZ:$BZ,'Cronog. e Histog.'!CU:CU),"")</f>
        <v>0</v>
      </c>
      <c r="AA275" s="144">
        <f>IFERROR(_xlfn.XLOOKUP($B275,'Cronog. e Histog.'!$BZ:$BZ,'Cronog. e Histog.'!CV:CV),"")</f>
        <v>0</v>
      </c>
      <c r="AB275" s="144">
        <f>IFERROR(_xlfn.XLOOKUP($B275,'Cronog. e Histog.'!$BZ:$BZ,'Cronog. e Histog.'!CW:CW),"")</f>
        <v>0</v>
      </c>
      <c r="AC275" s="144">
        <f>IFERROR(_xlfn.XLOOKUP($B275,'Cronog. e Histog.'!$BZ:$BZ,'Cronog. e Histog.'!CX:CX),"")</f>
        <v>0</v>
      </c>
      <c r="AD275" s="144">
        <f>IFERROR(_xlfn.XLOOKUP($B275,'Cronog. e Histog.'!$BZ:$BZ,'Cronog. e Histog.'!CY:CY),"")</f>
        <v>0</v>
      </c>
      <c r="AE275" s="144">
        <f>IFERROR(_xlfn.XLOOKUP($B275,'Cronog. e Histog.'!$BZ:$BZ,'Cronog. e Histog.'!CZ:CZ),"")</f>
        <v>0</v>
      </c>
      <c r="AF275" s="144">
        <f>IFERROR(_xlfn.XLOOKUP($B275,'Cronog. e Histog.'!$BZ:$BZ,'Cronog. e Histog.'!DA:DA),"")</f>
        <v>0</v>
      </c>
      <c r="AG275" s="144">
        <f>IFERROR(_xlfn.XLOOKUP($B275,'Cronog. e Histog.'!$BZ:$BZ,'Cronog. e Histog.'!DB:DB),"")</f>
        <v>0</v>
      </c>
      <c r="AH275" s="144">
        <f>IFERROR(_xlfn.XLOOKUP($B275,'Cronog. e Histog.'!$BZ:$BZ,'Cronog. e Histog.'!DC:DC),"")</f>
        <v>0</v>
      </c>
      <c r="AI275" s="144">
        <f>IFERROR(_xlfn.XLOOKUP($B275,'Cronog. e Histog.'!$BZ:$BZ,'Cronog. e Histog.'!DD:DD),"")</f>
        <v>0</v>
      </c>
      <c r="AJ275" s="144">
        <f>IFERROR(_xlfn.XLOOKUP($B275,'Cronog. e Histog.'!$BZ:$BZ,'Cronog. e Histog.'!DE:DE),"")</f>
        <v>0</v>
      </c>
      <c r="AK275" s="144">
        <f>IFERROR(_xlfn.XLOOKUP($B275,'Cronog. e Histog.'!$BZ:$BZ,'Cronog. e Histog.'!DF:DF),"")</f>
        <v>0</v>
      </c>
      <c r="AL275" s="144">
        <f>IFERROR(_xlfn.XLOOKUP($B275,'Cronog. e Histog.'!$BZ:$BZ,'Cronog. e Histog.'!DG:DG),"")</f>
        <v>0</v>
      </c>
      <c r="AM275" s="144">
        <f>IFERROR(_xlfn.XLOOKUP($B275,'Cronog. e Histog.'!$BZ:$BZ,'Cronog. e Histog.'!DH:DH),"")</f>
        <v>0</v>
      </c>
      <c r="AN275" s="144">
        <f>IFERROR(_xlfn.XLOOKUP($B275,'Cronog. e Histog.'!$BZ:$BZ,'Cronog. e Histog.'!DI:DI),"")</f>
        <v>0</v>
      </c>
      <c r="AO275" s="144">
        <f>IFERROR(_xlfn.XLOOKUP($B275,'Cronog. e Histog.'!$BZ:$BZ,'Cronog. e Histog.'!DJ:DJ),"")</f>
        <v>0</v>
      </c>
      <c r="AP275" s="144">
        <f>IFERROR(_xlfn.XLOOKUP($B275,'Cronog. e Histog.'!$BZ:$BZ,'Cronog. e Histog.'!DK:DK),"")</f>
        <v>0</v>
      </c>
      <c r="AQ275" s="144">
        <f>IFERROR(_xlfn.XLOOKUP($B275,'Cronog. e Histog.'!$BZ:$BZ,'Cronog. e Histog.'!DL:DL),"")</f>
        <v>0</v>
      </c>
      <c r="AR275" s="144">
        <f>IFERROR(_xlfn.XLOOKUP($B275,'Cronog. e Histog.'!$BZ:$BZ,'Cronog. e Histog.'!DM:DM),"")</f>
        <v>0</v>
      </c>
      <c r="AS275" s="144">
        <f>IFERROR(_xlfn.XLOOKUP($B275,'Cronog. e Histog.'!$BZ:$BZ,'Cronog. e Histog.'!DN:DN),"")</f>
        <v>0</v>
      </c>
      <c r="AT275" s="144">
        <f>IFERROR(_xlfn.XLOOKUP($B275,'Cronog. e Histog.'!$BZ:$BZ,'Cronog. e Histog.'!DO:DO),"")</f>
        <v>0</v>
      </c>
      <c r="AU275" s="144">
        <f>IFERROR(_xlfn.XLOOKUP($B275,'Cronog. e Histog.'!$BZ:$BZ,'Cronog. e Histog.'!DP:DP),"")</f>
        <v>0</v>
      </c>
      <c r="AV275" s="144">
        <f>IFERROR(_xlfn.XLOOKUP($B275,'Cronog. e Histog.'!$BZ:$BZ,'Cronog. e Histog.'!DQ:DQ),"")</f>
        <v>0</v>
      </c>
      <c r="AW275" s="144">
        <f>IFERROR(_xlfn.XLOOKUP($B275,'Cronog. e Histog.'!$BZ:$BZ,'Cronog. e Histog.'!DR:DR),"")</f>
        <v>0</v>
      </c>
      <c r="AX275" s="144">
        <f>IFERROR(_xlfn.XLOOKUP($B275,'Cronog. e Histog.'!$BZ:$BZ,'Cronog. e Histog.'!DS:DS),"")</f>
        <v>0</v>
      </c>
      <c r="AY275" s="144">
        <f>IFERROR(_xlfn.XLOOKUP($B275,'Cronog. e Histog.'!$BZ:$BZ,'Cronog. e Histog.'!DT:DT),"")</f>
        <v>0</v>
      </c>
      <c r="AZ275" s="144">
        <f>IFERROR(_xlfn.XLOOKUP($B275,'Cronog. e Histog.'!$BZ:$BZ,'Cronog. e Histog.'!DU:DU),"")</f>
        <v>0</v>
      </c>
      <c r="BA275" s="144">
        <f>IFERROR(_xlfn.XLOOKUP($B275,'Cronog. e Histog.'!$BZ:$BZ,'Cronog. e Histog.'!DV:DV),"")</f>
        <v>0</v>
      </c>
      <c r="BB275" s="144">
        <f>IFERROR(_xlfn.XLOOKUP($B275,'Cronog. e Histog.'!$BZ:$BZ,'Cronog. e Histog.'!DW:DW),"")</f>
        <v>0</v>
      </c>
      <c r="BC275" s="144">
        <f>IFERROR(_xlfn.XLOOKUP($B275,'Cronog. e Histog.'!$BZ:$BZ,'Cronog. e Histog.'!DX:DX),"")</f>
        <v>0</v>
      </c>
      <c r="BD275" s="144">
        <f>IFERROR(_xlfn.XLOOKUP($B275,'Cronog. e Histog.'!$BZ:$BZ,'Cronog. e Histog.'!DY:DY),"")</f>
        <v>0</v>
      </c>
      <c r="BE275" s="144">
        <f>IFERROR(_xlfn.XLOOKUP($B275,'Cronog. e Histog.'!$BZ:$BZ,'Cronog. e Histog.'!DZ:DZ),"")</f>
        <v>0</v>
      </c>
      <c r="BF275" s="144">
        <f>IFERROR(_xlfn.XLOOKUP($B275,'Cronog. e Histog.'!$BZ:$BZ,'Cronog. e Histog.'!EA:EA),"")</f>
        <v>0</v>
      </c>
      <c r="BG275" s="144">
        <f>IFERROR(_xlfn.XLOOKUP($B275,'Cronog. e Histog.'!$BZ:$BZ,'Cronog. e Histog.'!EB:EB),"")</f>
        <v>0</v>
      </c>
      <c r="BH275" s="144">
        <f>IFERROR(_xlfn.XLOOKUP($B275,'Cronog. e Histog.'!$BZ:$BZ,'Cronog. e Histog.'!EC:EC),"")</f>
        <v>0</v>
      </c>
      <c r="BI275" s="144">
        <f>IFERROR(_xlfn.XLOOKUP($B275,'Cronog. e Histog.'!$BZ:$BZ,'Cronog. e Histog.'!ED:ED),"")</f>
        <v>0</v>
      </c>
      <c r="BJ275" s="144">
        <f>IFERROR(_xlfn.XLOOKUP($B275,'Cronog. e Histog.'!$BZ:$BZ,'Cronog. e Histog.'!EE:EE),"")</f>
        <v>0</v>
      </c>
      <c r="BK275" s="144">
        <f>IFERROR(_xlfn.XLOOKUP($B275,'Cronog. e Histog.'!$BZ:$BZ,'Cronog. e Histog.'!EF:EF),"")</f>
        <v>0</v>
      </c>
      <c r="BL275" s="144">
        <f>IFERROR(_xlfn.XLOOKUP($B275,'Cronog. e Histog.'!$BZ:$BZ,'Cronog. e Histog.'!EG:EG),"")</f>
        <v>0</v>
      </c>
      <c r="BM275" s="144">
        <f>IFERROR(_xlfn.XLOOKUP($B275,'Cronog. e Histog.'!$BZ:$BZ,'Cronog. e Histog.'!EH:EH),"")</f>
        <v>0</v>
      </c>
      <c r="BN275" s="144">
        <f>IFERROR(_xlfn.XLOOKUP($B275,'Cronog. e Histog.'!$BZ:$BZ,'Cronog. e Histog.'!EI:EI),"")</f>
        <v>0</v>
      </c>
    </row>
    <row r="276" spans="2:66" ht="12" hidden="1" customHeight="1" outlineLevel="1">
      <c r="B276" s="76">
        <v>270</v>
      </c>
      <c r="C276" s="143" t="str">
        <f>IFERROR(VLOOKUP(B276,'Cronog. e Histog.'!$BZ$213:$CA$747,2,0),"")</f>
        <v>AN SR. ADM/CRP</v>
      </c>
      <c r="D276" s="144">
        <f t="shared" si="6"/>
        <v>0</v>
      </c>
      <c r="E276" s="144">
        <f t="shared" si="7"/>
        <v>0</v>
      </c>
      <c r="F276" s="65"/>
      <c r="G276" s="144">
        <f>IFERROR(_xlfn.XLOOKUP($B276,'Cronog. e Histog.'!$BZ:$BZ,'Cronog. e Histog.'!CB:CB),"")</f>
        <v>0</v>
      </c>
      <c r="H276" s="144">
        <f>IFERROR(_xlfn.XLOOKUP($B276,'Cronog. e Histog.'!$BZ:$BZ,'Cronog. e Histog.'!CC:CC),"")</f>
        <v>0</v>
      </c>
      <c r="I276" s="144">
        <f>IFERROR(_xlfn.XLOOKUP($B276,'Cronog. e Histog.'!$BZ:$BZ,'Cronog. e Histog.'!CD:CD),"")</f>
        <v>0</v>
      </c>
      <c r="J276" s="144">
        <f>IFERROR(_xlfn.XLOOKUP($B276,'Cronog. e Histog.'!$BZ:$BZ,'Cronog. e Histog.'!CE:CE),"")</f>
        <v>0</v>
      </c>
      <c r="K276" s="144">
        <f>IFERROR(_xlfn.XLOOKUP($B276,'Cronog. e Histog.'!$BZ:$BZ,'Cronog. e Histog.'!CF:CF),"")</f>
        <v>0</v>
      </c>
      <c r="L276" s="144">
        <f>IFERROR(_xlfn.XLOOKUP($B276,'Cronog. e Histog.'!$BZ:$BZ,'Cronog. e Histog.'!CG:CG),"")</f>
        <v>0</v>
      </c>
      <c r="M276" s="144">
        <f>IFERROR(_xlfn.XLOOKUP($B276,'Cronog. e Histog.'!$BZ:$BZ,'Cronog. e Histog.'!CH:CH),"")</f>
        <v>0</v>
      </c>
      <c r="N276" s="144">
        <f>IFERROR(_xlfn.XLOOKUP($B276,'Cronog. e Histog.'!$BZ:$BZ,'Cronog. e Histog.'!CI:CI),"")</f>
        <v>0</v>
      </c>
      <c r="O276" s="144">
        <f>IFERROR(_xlfn.XLOOKUP($B276,'Cronog. e Histog.'!$BZ:$BZ,'Cronog. e Histog.'!CJ:CJ),"")</f>
        <v>0</v>
      </c>
      <c r="P276" s="144">
        <f>IFERROR(_xlfn.XLOOKUP($B276,'Cronog. e Histog.'!$BZ:$BZ,'Cronog. e Histog.'!CK:CK),"")</f>
        <v>0</v>
      </c>
      <c r="Q276" s="144">
        <f>IFERROR(_xlfn.XLOOKUP($B276,'Cronog. e Histog.'!$BZ:$BZ,'Cronog. e Histog.'!CL:CL),"")</f>
        <v>0</v>
      </c>
      <c r="R276" s="144">
        <f>IFERROR(_xlfn.XLOOKUP($B276,'Cronog. e Histog.'!$BZ:$BZ,'Cronog. e Histog.'!CM:CM),"")</f>
        <v>0</v>
      </c>
      <c r="S276" s="144">
        <f>IFERROR(_xlfn.XLOOKUP($B276,'Cronog. e Histog.'!$BZ:$BZ,'Cronog. e Histog.'!CN:CN),"")</f>
        <v>0</v>
      </c>
      <c r="T276" s="144">
        <f>IFERROR(_xlfn.XLOOKUP($B276,'Cronog. e Histog.'!$BZ:$BZ,'Cronog. e Histog.'!CO:CO),"")</f>
        <v>0</v>
      </c>
      <c r="U276" s="144">
        <f>IFERROR(_xlfn.XLOOKUP($B276,'Cronog. e Histog.'!$BZ:$BZ,'Cronog. e Histog.'!CP:CP),"")</f>
        <v>0</v>
      </c>
      <c r="V276" s="144">
        <f>IFERROR(_xlfn.XLOOKUP($B276,'Cronog. e Histog.'!$BZ:$BZ,'Cronog. e Histog.'!CQ:CQ),"")</f>
        <v>0</v>
      </c>
      <c r="W276" s="144">
        <f>IFERROR(_xlfn.XLOOKUP($B276,'Cronog. e Histog.'!$BZ:$BZ,'Cronog. e Histog.'!CR:CR),"")</f>
        <v>0</v>
      </c>
      <c r="X276" s="144">
        <f>IFERROR(_xlfn.XLOOKUP($B276,'Cronog. e Histog.'!$BZ:$BZ,'Cronog. e Histog.'!CS:CS),"")</f>
        <v>0</v>
      </c>
      <c r="Y276" s="144">
        <f>IFERROR(_xlfn.XLOOKUP($B276,'Cronog. e Histog.'!$BZ:$BZ,'Cronog. e Histog.'!CT:CT),"")</f>
        <v>0</v>
      </c>
      <c r="Z276" s="144">
        <f>IFERROR(_xlfn.XLOOKUP($B276,'Cronog. e Histog.'!$BZ:$BZ,'Cronog. e Histog.'!CU:CU),"")</f>
        <v>0</v>
      </c>
      <c r="AA276" s="144">
        <f>IFERROR(_xlfn.XLOOKUP($B276,'Cronog. e Histog.'!$BZ:$BZ,'Cronog. e Histog.'!CV:CV),"")</f>
        <v>0</v>
      </c>
      <c r="AB276" s="144">
        <f>IFERROR(_xlfn.XLOOKUP($B276,'Cronog. e Histog.'!$BZ:$BZ,'Cronog. e Histog.'!CW:CW),"")</f>
        <v>0</v>
      </c>
      <c r="AC276" s="144">
        <f>IFERROR(_xlfn.XLOOKUP($B276,'Cronog. e Histog.'!$BZ:$BZ,'Cronog. e Histog.'!CX:CX),"")</f>
        <v>0</v>
      </c>
      <c r="AD276" s="144">
        <f>IFERROR(_xlfn.XLOOKUP($B276,'Cronog. e Histog.'!$BZ:$BZ,'Cronog. e Histog.'!CY:CY),"")</f>
        <v>0</v>
      </c>
      <c r="AE276" s="144">
        <f>IFERROR(_xlfn.XLOOKUP($B276,'Cronog. e Histog.'!$BZ:$BZ,'Cronog. e Histog.'!CZ:CZ),"")</f>
        <v>0</v>
      </c>
      <c r="AF276" s="144">
        <f>IFERROR(_xlfn.XLOOKUP($B276,'Cronog. e Histog.'!$BZ:$BZ,'Cronog. e Histog.'!DA:DA),"")</f>
        <v>0</v>
      </c>
      <c r="AG276" s="144">
        <f>IFERROR(_xlfn.XLOOKUP($B276,'Cronog. e Histog.'!$BZ:$BZ,'Cronog. e Histog.'!DB:DB),"")</f>
        <v>0</v>
      </c>
      <c r="AH276" s="144">
        <f>IFERROR(_xlfn.XLOOKUP($B276,'Cronog. e Histog.'!$BZ:$BZ,'Cronog. e Histog.'!DC:DC),"")</f>
        <v>0</v>
      </c>
      <c r="AI276" s="144">
        <f>IFERROR(_xlfn.XLOOKUP($B276,'Cronog. e Histog.'!$BZ:$BZ,'Cronog. e Histog.'!DD:DD),"")</f>
        <v>0</v>
      </c>
      <c r="AJ276" s="144">
        <f>IFERROR(_xlfn.XLOOKUP($B276,'Cronog. e Histog.'!$BZ:$BZ,'Cronog. e Histog.'!DE:DE),"")</f>
        <v>0</v>
      </c>
      <c r="AK276" s="144">
        <f>IFERROR(_xlfn.XLOOKUP($B276,'Cronog. e Histog.'!$BZ:$BZ,'Cronog. e Histog.'!DF:DF),"")</f>
        <v>0</v>
      </c>
      <c r="AL276" s="144">
        <f>IFERROR(_xlfn.XLOOKUP($B276,'Cronog. e Histog.'!$BZ:$BZ,'Cronog. e Histog.'!DG:DG),"")</f>
        <v>0</v>
      </c>
      <c r="AM276" s="144">
        <f>IFERROR(_xlfn.XLOOKUP($B276,'Cronog. e Histog.'!$BZ:$BZ,'Cronog. e Histog.'!DH:DH),"")</f>
        <v>0</v>
      </c>
      <c r="AN276" s="144">
        <f>IFERROR(_xlfn.XLOOKUP($B276,'Cronog. e Histog.'!$BZ:$BZ,'Cronog. e Histog.'!DI:DI),"")</f>
        <v>0</v>
      </c>
      <c r="AO276" s="144">
        <f>IFERROR(_xlfn.XLOOKUP($B276,'Cronog. e Histog.'!$BZ:$BZ,'Cronog. e Histog.'!DJ:DJ),"")</f>
        <v>0</v>
      </c>
      <c r="AP276" s="144">
        <f>IFERROR(_xlfn.XLOOKUP($B276,'Cronog. e Histog.'!$BZ:$BZ,'Cronog. e Histog.'!DK:DK),"")</f>
        <v>0</v>
      </c>
      <c r="AQ276" s="144">
        <f>IFERROR(_xlfn.XLOOKUP($B276,'Cronog. e Histog.'!$BZ:$BZ,'Cronog. e Histog.'!DL:DL),"")</f>
        <v>0</v>
      </c>
      <c r="AR276" s="144">
        <f>IFERROR(_xlfn.XLOOKUP($B276,'Cronog. e Histog.'!$BZ:$BZ,'Cronog. e Histog.'!DM:DM),"")</f>
        <v>0</v>
      </c>
      <c r="AS276" s="144">
        <f>IFERROR(_xlfn.XLOOKUP($B276,'Cronog. e Histog.'!$BZ:$BZ,'Cronog. e Histog.'!DN:DN),"")</f>
        <v>0</v>
      </c>
      <c r="AT276" s="144">
        <f>IFERROR(_xlfn.XLOOKUP($B276,'Cronog. e Histog.'!$BZ:$BZ,'Cronog. e Histog.'!DO:DO),"")</f>
        <v>0</v>
      </c>
      <c r="AU276" s="144">
        <f>IFERROR(_xlfn.XLOOKUP($B276,'Cronog. e Histog.'!$BZ:$BZ,'Cronog. e Histog.'!DP:DP),"")</f>
        <v>0</v>
      </c>
      <c r="AV276" s="144">
        <f>IFERROR(_xlfn.XLOOKUP($B276,'Cronog. e Histog.'!$BZ:$BZ,'Cronog. e Histog.'!DQ:DQ),"")</f>
        <v>0</v>
      </c>
      <c r="AW276" s="144">
        <f>IFERROR(_xlfn.XLOOKUP($B276,'Cronog. e Histog.'!$BZ:$BZ,'Cronog. e Histog.'!DR:DR),"")</f>
        <v>0</v>
      </c>
      <c r="AX276" s="144">
        <f>IFERROR(_xlfn.XLOOKUP($B276,'Cronog. e Histog.'!$BZ:$BZ,'Cronog. e Histog.'!DS:DS),"")</f>
        <v>0</v>
      </c>
      <c r="AY276" s="144">
        <f>IFERROR(_xlfn.XLOOKUP($B276,'Cronog. e Histog.'!$BZ:$BZ,'Cronog. e Histog.'!DT:DT),"")</f>
        <v>0</v>
      </c>
      <c r="AZ276" s="144">
        <f>IFERROR(_xlfn.XLOOKUP($B276,'Cronog. e Histog.'!$BZ:$BZ,'Cronog. e Histog.'!DU:DU),"")</f>
        <v>0</v>
      </c>
      <c r="BA276" s="144">
        <f>IFERROR(_xlfn.XLOOKUP($B276,'Cronog. e Histog.'!$BZ:$BZ,'Cronog. e Histog.'!DV:DV),"")</f>
        <v>0</v>
      </c>
      <c r="BB276" s="144">
        <f>IFERROR(_xlfn.XLOOKUP($B276,'Cronog. e Histog.'!$BZ:$BZ,'Cronog. e Histog.'!DW:DW),"")</f>
        <v>0</v>
      </c>
      <c r="BC276" s="144">
        <f>IFERROR(_xlfn.XLOOKUP($B276,'Cronog. e Histog.'!$BZ:$BZ,'Cronog. e Histog.'!DX:DX),"")</f>
        <v>0</v>
      </c>
      <c r="BD276" s="144">
        <f>IFERROR(_xlfn.XLOOKUP($B276,'Cronog. e Histog.'!$BZ:$BZ,'Cronog. e Histog.'!DY:DY),"")</f>
        <v>0</v>
      </c>
      <c r="BE276" s="144">
        <f>IFERROR(_xlfn.XLOOKUP($B276,'Cronog. e Histog.'!$BZ:$BZ,'Cronog. e Histog.'!DZ:DZ),"")</f>
        <v>0</v>
      </c>
      <c r="BF276" s="144">
        <f>IFERROR(_xlfn.XLOOKUP($B276,'Cronog. e Histog.'!$BZ:$BZ,'Cronog. e Histog.'!EA:EA),"")</f>
        <v>0</v>
      </c>
      <c r="BG276" s="144">
        <f>IFERROR(_xlfn.XLOOKUP($B276,'Cronog. e Histog.'!$BZ:$BZ,'Cronog. e Histog.'!EB:EB),"")</f>
        <v>0</v>
      </c>
      <c r="BH276" s="144">
        <f>IFERROR(_xlfn.XLOOKUP($B276,'Cronog. e Histog.'!$BZ:$BZ,'Cronog. e Histog.'!EC:EC),"")</f>
        <v>0</v>
      </c>
      <c r="BI276" s="144">
        <f>IFERROR(_xlfn.XLOOKUP($B276,'Cronog. e Histog.'!$BZ:$BZ,'Cronog. e Histog.'!ED:ED),"")</f>
        <v>0</v>
      </c>
      <c r="BJ276" s="144">
        <f>IFERROR(_xlfn.XLOOKUP($B276,'Cronog. e Histog.'!$BZ:$BZ,'Cronog. e Histog.'!EE:EE),"")</f>
        <v>0</v>
      </c>
      <c r="BK276" s="144">
        <f>IFERROR(_xlfn.XLOOKUP($B276,'Cronog. e Histog.'!$BZ:$BZ,'Cronog. e Histog.'!EF:EF),"")</f>
        <v>0</v>
      </c>
      <c r="BL276" s="144">
        <f>IFERROR(_xlfn.XLOOKUP($B276,'Cronog. e Histog.'!$BZ:$BZ,'Cronog. e Histog.'!EG:EG),"")</f>
        <v>0</v>
      </c>
      <c r="BM276" s="144">
        <f>IFERROR(_xlfn.XLOOKUP($B276,'Cronog. e Histog.'!$BZ:$BZ,'Cronog. e Histog.'!EH:EH),"")</f>
        <v>0</v>
      </c>
      <c r="BN276" s="144">
        <f>IFERROR(_xlfn.XLOOKUP($B276,'Cronog. e Histog.'!$BZ:$BZ,'Cronog. e Histog.'!EI:EI),"")</f>
        <v>0</v>
      </c>
    </row>
    <row r="277" spans="2:66" ht="12" hidden="1" customHeight="1" outlineLevel="1">
      <c r="B277" s="76">
        <v>271</v>
      </c>
      <c r="C277" s="143" t="str">
        <f>IFERROR(VLOOKUP(B277,'Cronog. e Histog.'!$BZ$213:$CA$747,2,0),"")</f>
        <v>AN PL. ADM/CRP</v>
      </c>
      <c r="D277" s="144">
        <f t="shared" si="6"/>
        <v>0</v>
      </c>
      <c r="E277" s="144">
        <f t="shared" si="7"/>
        <v>0</v>
      </c>
      <c r="F277" s="65"/>
      <c r="G277" s="144">
        <f>IFERROR(_xlfn.XLOOKUP($B277,'Cronog. e Histog.'!$BZ:$BZ,'Cronog. e Histog.'!CB:CB),"")</f>
        <v>0</v>
      </c>
      <c r="H277" s="144">
        <f>IFERROR(_xlfn.XLOOKUP($B277,'Cronog. e Histog.'!$BZ:$BZ,'Cronog. e Histog.'!CC:CC),"")</f>
        <v>0</v>
      </c>
      <c r="I277" s="144">
        <f>IFERROR(_xlfn.XLOOKUP($B277,'Cronog. e Histog.'!$BZ:$BZ,'Cronog. e Histog.'!CD:CD),"")</f>
        <v>0</v>
      </c>
      <c r="J277" s="144">
        <f>IFERROR(_xlfn.XLOOKUP($B277,'Cronog. e Histog.'!$BZ:$BZ,'Cronog. e Histog.'!CE:CE),"")</f>
        <v>0</v>
      </c>
      <c r="K277" s="144">
        <f>IFERROR(_xlfn.XLOOKUP($B277,'Cronog. e Histog.'!$BZ:$BZ,'Cronog. e Histog.'!CF:CF),"")</f>
        <v>0</v>
      </c>
      <c r="L277" s="144">
        <f>IFERROR(_xlfn.XLOOKUP($B277,'Cronog. e Histog.'!$BZ:$BZ,'Cronog. e Histog.'!CG:CG),"")</f>
        <v>0</v>
      </c>
      <c r="M277" s="144">
        <f>IFERROR(_xlfn.XLOOKUP($B277,'Cronog. e Histog.'!$BZ:$BZ,'Cronog. e Histog.'!CH:CH),"")</f>
        <v>0</v>
      </c>
      <c r="N277" s="144">
        <f>IFERROR(_xlfn.XLOOKUP($B277,'Cronog. e Histog.'!$BZ:$BZ,'Cronog. e Histog.'!CI:CI),"")</f>
        <v>0</v>
      </c>
      <c r="O277" s="144">
        <f>IFERROR(_xlfn.XLOOKUP($B277,'Cronog. e Histog.'!$BZ:$BZ,'Cronog. e Histog.'!CJ:CJ),"")</f>
        <v>0</v>
      </c>
      <c r="P277" s="144">
        <f>IFERROR(_xlfn.XLOOKUP($B277,'Cronog. e Histog.'!$BZ:$BZ,'Cronog. e Histog.'!CK:CK),"")</f>
        <v>0</v>
      </c>
      <c r="Q277" s="144">
        <f>IFERROR(_xlfn.XLOOKUP($B277,'Cronog. e Histog.'!$BZ:$BZ,'Cronog. e Histog.'!CL:CL),"")</f>
        <v>0</v>
      </c>
      <c r="R277" s="144">
        <f>IFERROR(_xlfn.XLOOKUP($B277,'Cronog. e Histog.'!$BZ:$BZ,'Cronog. e Histog.'!CM:CM),"")</f>
        <v>0</v>
      </c>
      <c r="S277" s="144">
        <f>IFERROR(_xlfn.XLOOKUP($B277,'Cronog. e Histog.'!$BZ:$BZ,'Cronog. e Histog.'!CN:CN),"")</f>
        <v>0</v>
      </c>
      <c r="T277" s="144">
        <f>IFERROR(_xlfn.XLOOKUP($B277,'Cronog. e Histog.'!$BZ:$BZ,'Cronog. e Histog.'!CO:CO),"")</f>
        <v>0</v>
      </c>
      <c r="U277" s="144">
        <f>IFERROR(_xlfn.XLOOKUP($B277,'Cronog. e Histog.'!$BZ:$BZ,'Cronog. e Histog.'!CP:CP),"")</f>
        <v>0</v>
      </c>
      <c r="V277" s="144">
        <f>IFERROR(_xlfn.XLOOKUP($B277,'Cronog. e Histog.'!$BZ:$BZ,'Cronog. e Histog.'!CQ:CQ),"")</f>
        <v>0</v>
      </c>
      <c r="W277" s="144">
        <f>IFERROR(_xlfn.XLOOKUP($B277,'Cronog. e Histog.'!$BZ:$BZ,'Cronog. e Histog.'!CR:CR),"")</f>
        <v>0</v>
      </c>
      <c r="X277" s="144">
        <f>IFERROR(_xlfn.XLOOKUP($B277,'Cronog. e Histog.'!$BZ:$BZ,'Cronog. e Histog.'!CS:CS),"")</f>
        <v>0</v>
      </c>
      <c r="Y277" s="144">
        <f>IFERROR(_xlfn.XLOOKUP($B277,'Cronog. e Histog.'!$BZ:$BZ,'Cronog. e Histog.'!CT:CT),"")</f>
        <v>0</v>
      </c>
      <c r="Z277" s="144">
        <f>IFERROR(_xlfn.XLOOKUP($B277,'Cronog. e Histog.'!$BZ:$BZ,'Cronog. e Histog.'!CU:CU),"")</f>
        <v>0</v>
      </c>
      <c r="AA277" s="144">
        <f>IFERROR(_xlfn.XLOOKUP($B277,'Cronog. e Histog.'!$BZ:$BZ,'Cronog. e Histog.'!CV:CV),"")</f>
        <v>0</v>
      </c>
      <c r="AB277" s="144">
        <f>IFERROR(_xlfn.XLOOKUP($B277,'Cronog. e Histog.'!$BZ:$BZ,'Cronog. e Histog.'!CW:CW),"")</f>
        <v>0</v>
      </c>
      <c r="AC277" s="144">
        <f>IFERROR(_xlfn.XLOOKUP($B277,'Cronog. e Histog.'!$BZ:$BZ,'Cronog. e Histog.'!CX:CX),"")</f>
        <v>0</v>
      </c>
      <c r="AD277" s="144">
        <f>IFERROR(_xlfn.XLOOKUP($B277,'Cronog. e Histog.'!$BZ:$BZ,'Cronog. e Histog.'!CY:CY),"")</f>
        <v>0</v>
      </c>
      <c r="AE277" s="144">
        <f>IFERROR(_xlfn.XLOOKUP($B277,'Cronog. e Histog.'!$BZ:$BZ,'Cronog. e Histog.'!CZ:CZ),"")</f>
        <v>0</v>
      </c>
      <c r="AF277" s="144">
        <f>IFERROR(_xlfn.XLOOKUP($B277,'Cronog. e Histog.'!$BZ:$BZ,'Cronog. e Histog.'!DA:DA),"")</f>
        <v>0</v>
      </c>
      <c r="AG277" s="144">
        <f>IFERROR(_xlfn.XLOOKUP($B277,'Cronog. e Histog.'!$BZ:$BZ,'Cronog. e Histog.'!DB:DB),"")</f>
        <v>0</v>
      </c>
      <c r="AH277" s="144">
        <f>IFERROR(_xlfn.XLOOKUP($B277,'Cronog. e Histog.'!$BZ:$BZ,'Cronog. e Histog.'!DC:DC),"")</f>
        <v>0</v>
      </c>
      <c r="AI277" s="144">
        <f>IFERROR(_xlfn.XLOOKUP($B277,'Cronog. e Histog.'!$BZ:$BZ,'Cronog. e Histog.'!DD:DD),"")</f>
        <v>0</v>
      </c>
      <c r="AJ277" s="144">
        <f>IFERROR(_xlfn.XLOOKUP($B277,'Cronog. e Histog.'!$BZ:$BZ,'Cronog. e Histog.'!DE:DE),"")</f>
        <v>0</v>
      </c>
      <c r="AK277" s="144">
        <f>IFERROR(_xlfn.XLOOKUP($B277,'Cronog. e Histog.'!$BZ:$BZ,'Cronog. e Histog.'!DF:DF),"")</f>
        <v>0</v>
      </c>
      <c r="AL277" s="144">
        <f>IFERROR(_xlfn.XLOOKUP($B277,'Cronog. e Histog.'!$BZ:$BZ,'Cronog. e Histog.'!DG:DG),"")</f>
        <v>0</v>
      </c>
      <c r="AM277" s="144">
        <f>IFERROR(_xlfn.XLOOKUP($B277,'Cronog. e Histog.'!$BZ:$BZ,'Cronog. e Histog.'!DH:DH),"")</f>
        <v>0</v>
      </c>
      <c r="AN277" s="144">
        <f>IFERROR(_xlfn.XLOOKUP($B277,'Cronog. e Histog.'!$BZ:$BZ,'Cronog. e Histog.'!DI:DI),"")</f>
        <v>0</v>
      </c>
      <c r="AO277" s="144">
        <f>IFERROR(_xlfn.XLOOKUP($B277,'Cronog. e Histog.'!$BZ:$BZ,'Cronog. e Histog.'!DJ:DJ),"")</f>
        <v>0</v>
      </c>
      <c r="AP277" s="144">
        <f>IFERROR(_xlfn.XLOOKUP($B277,'Cronog. e Histog.'!$BZ:$BZ,'Cronog. e Histog.'!DK:DK),"")</f>
        <v>0</v>
      </c>
      <c r="AQ277" s="144">
        <f>IFERROR(_xlfn.XLOOKUP($B277,'Cronog. e Histog.'!$BZ:$BZ,'Cronog. e Histog.'!DL:DL),"")</f>
        <v>0</v>
      </c>
      <c r="AR277" s="144">
        <f>IFERROR(_xlfn.XLOOKUP($B277,'Cronog. e Histog.'!$BZ:$BZ,'Cronog. e Histog.'!DM:DM),"")</f>
        <v>0</v>
      </c>
      <c r="AS277" s="144">
        <f>IFERROR(_xlfn.XLOOKUP($B277,'Cronog. e Histog.'!$BZ:$BZ,'Cronog. e Histog.'!DN:DN),"")</f>
        <v>0</v>
      </c>
      <c r="AT277" s="144">
        <f>IFERROR(_xlfn.XLOOKUP($B277,'Cronog. e Histog.'!$BZ:$BZ,'Cronog. e Histog.'!DO:DO),"")</f>
        <v>0</v>
      </c>
      <c r="AU277" s="144">
        <f>IFERROR(_xlfn.XLOOKUP($B277,'Cronog. e Histog.'!$BZ:$BZ,'Cronog. e Histog.'!DP:DP),"")</f>
        <v>0</v>
      </c>
      <c r="AV277" s="144">
        <f>IFERROR(_xlfn.XLOOKUP($B277,'Cronog. e Histog.'!$BZ:$BZ,'Cronog. e Histog.'!DQ:DQ),"")</f>
        <v>0</v>
      </c>
      <c r="AW277" s="144">
        <f>IFERROR(_xlfn.XLOOKUP($B277,'Cronog. e Histog.'!$BZ:$BZ,'Cronog. e Histog.'!DR:DR),"")</f>
        <v>0</v>
      </c>
      <c r="AX277" s="144">
        <f>IFERROR(_xlfn.XLOOKUP($B277,'Cronog. e Histog.'!$BZ:$BZ,'Cronog. e Histog.'!DS:DS),"")</f>
        <v>0</v>
      </c>
      <c r="AY277" s="144">
        <f>IFERROR(_xlfn.XLOOKUP($B277,'Cronog. e Histog.'!$BZ:$BZ,'Cronog. e Histog.'!DT:DT),"")</f>
        <v>0</v>
      </c>
      <c r="AZ277" s="144">
        <f>IFERROR(_xlfn.XLOOKUP($B277,'Cronog. e Histog.'!$BZ:$BZ,'Cronog. e Histog.'!DU:DU),"")</f>
        <v>0</v>
      </c>
      <c r="BA277" s="144">
        <f>IFERROR(_xlfn.XLOOKUP($B277,'Cronog. e Histog.'!$BZ:$BZ,'Cronog. e Histog.'!DV:DV),"")</f>
        <v>0</v>
      </c>
      <c r="BB277" s="144">
        <f>IFERROR(_xlfn.XLOOKUP($B277,'Cronog. e Histog.'!$BZ:$BZ,'Cronog. e Histog.'!DW:DW),"")</f>
        <v>0</v>
      </c>
      <c r="BC277" s="144">
        <f>IFERROR(_xlfn.XLOOKUP($B277,'Cronog. e Histog.'!$BZ:$BZ,'Cronog. e Histog.'!DX:DX),"")</f>
        <v>0</v>
      </c>
      <c r="BD277" s="144">
        <f>IFERROR(_xlfn.XLOOKUP($B277,'Cronog. e Histog.'!$BZ:$BZ,'Cronog. e Histog.'!DY:DY),"")</f>
        <v>0</v>
      </c>
      <c r="BE277" s="144">
        <f>IFERROR(_xlfn.XLOOKUP($B277,'Cronog. e Histog.'!$BZ:$BZ,'Cronog. e Histog.'!DZ:DZ),"")</f>
        <v>0</v>
      </c>
      <c r="BF277" s="144">
        <f>IFERROR(_xlfn.XLOOKUP($B277,'Cronog. e Histog.'!$BZ:$BZ,'Cronog. e Histog.'!EA:EA),"")</f>
        <v>0</v>
      </c>
      <c r="BG277" s="144">
        <f>IFERROR(_xlfn.XLOOKUP($B277,'Cronog. e Histog.'!$BZ:$BZ,'Cronog. e Histog.'!EB:EB),"")</f>
        <v>0</v>
      </c>
      <c r="BH277" s="144">
        <f>IFERROR(_xlfn.XLOOKUP($B277,'Cronog. e Histog.'!$BZ:$BZ,'Cronog. e Histog.'!EC:EC),"")</f>
        <v>0</v>
      </c>
      <c r="BI277" s="144">
        <f>IFERROR(_xlfn.XLOOKUP($B277,'Cronog. e Histog.'!$BZ:$BZ,'Cronog. e Histog.'!ED:ED),"")</f>
        <v>0</v>
      </c>
      <c r="BJ277" s="144">
        <f>IFERROR(_xlfn.XLOOKUP($B277,'Cronog. e Histog.'!$BZ:$BZ,'Cronog. e Histog.'!EE:EE),"")</f>
        <v>0</v>
      </c>
      <c r="BK277" s="144">
        <f>IFERROR(_xlfn.XLOOKUP($B277,'Cronog. e Histog.'!$BZ:$BZ,'Cronog. e Histog.'!EF:EF),"")</f>
        <v>0</v>
      </c>
      <c r="BL277" s="144">
        <f>IFERROR(_xlfn.XLOOKUP($B277,'Cronog. e Histog.'!$BZ:$BZ,'Cronog. e Histog.'!EG:EG),"")</f>
        <v>0</v>
      </c>
      <c r="BM277" s="144">
        <f>IFERROR(_xlfn.XLOOKUP($B277,'Cronog. e Histog.'!$BZ:$BZ,'Cronog. e Histog.'!EH:EH),"")</f>
        <v>0</v>
      </c>
      <c r="BN277" s="144">
        <f>IFERROR(_xlfn.XLOOKUP($B277,'Cronog. e Histog.'!$BZ:$BZ,'Cronog. e Histog.'!EI:EI),"")</f>
        <v>0</v>
      </c>
    </row>
    <row r="278" spans="2:66" ht="12" hidden="1" customHeight="1" outlineLevel="1">
      <c r="B278" s="76">
        <v>272</v>
      </c>
      <c r="C278" s="143" t="str">
        <f>IFERROR(VLOOKUP(B278,'Cronog. e Histog.'!$BZ$213:$CA$747,2,0),"")</f>
        <v>AN JR. ADM/CRP</v>
      </c>
      <c r="D278" s="144">
        <f t="shared" si="6"/>
        <v>0</v>
      </c>
      <c r="E278" s="144">
        <f t="shared" si="7"/>
        <v>0</v>
      </c>
      <c r="F278" s="65"/>
      <c r="G278" s="144">
        <f>IFERROR(_xlfn.XLOOKUP($B278,'Cronog. e Histog.'!$BZ:$BZ,'Cronog. e Histog.'!CB:CB),"")</f>
        <v>0</v>
      </c>
      <c r="H278" s="144">
        <f>IFERROR(_xlfn.XLOOKUP($B278,'Cronog. e Histog.'!$BZ:$BZ,'Cronog. e Histog.'!CC:CC),"")</f>
        <v>0</v>
      </c>
      <c r="I278" s="144">
        <f>IFERROR(_xlfn.XLOOKUP($B278,'Cronog. e Histog.'!$BZ:$BZ,'Cronog. e Histog.'!CD:CD),"")</f>
        <v>0</v>
      </c>
      <c r="J278" s="144">
        <f>IFERROR(_xlfn.XLOOKUP($B278,'Cronog. e Histog.'!$BZ:$BZ,'Cronog. e Histog.'!CE:CE),"")</f>
        <v>0</v>
      </c>
      <c r="K278" s="144">
        <f>IFERROR(_xlfn.XLOOKUP($B278,'Cronog. e Histog.'!$BZ:$BZ,'Cronog. e Histog.'!CF:CF),"")</f>
        <v>0</v>
      </c>
      <c r="L278" s="144">
        <f>IFERROR(_xlfn.XLOOKUP($B278,'Cronog. e Histog.'!$BZ:$BZ,'Cronog. e Histog.'!CG:CG),"")</f>
        <v>0</v>
      </c>
      <c r="M278" s="144">
        <f>IFERROR(_xlfn.XLOOKUP($B278,'Cronog. e Histog.'!$BZ:$BZ,'Cronog. e Histog.'!CH:CH),"")</f>
        <v>0</v>
      </c>
      <c r="N278" s="144">
        <f>IFERROR(_xlfn.XLOOKUP($B278,'Cronog. e Histog.'!$BZ:$BZ,'Cronog. e Histog.'!CI:CI),"")</f>
        <v>0</v>
      </c>
      <c r="O278" s="144">
        <f>IFERROR(_xlfn.XLOOKUP($B278,'Cronog. e Histog.'!$BZ:$BZ,'Cronog. e Histog.'!CJ:CJ),"")</f>
        <v>0</v>
      </c>
      <c r="P278" s="144">
        <f>IFERROR(_xlfn.XLOOKUP($B278,'Cronog. e Histog.'!$BZ:$BZ,'Cronog. e Histog.'!CK:CK),"")</f>
        <v>0</v>
      </c>
      <c r="Q278" s="144">
        <f>IFERROR(_xlfn.XLOOKUP($B278,'Cronog. e Histog.'!$BZ:$BZ,'Cronog. e Histog.'!CL:CL),"")</f>
        <v>0</v>
      </c>
      <c r="R278" s="144">
        <f>IFERROR(_xlfn.XLOOKUP($B278,'Cronog. e Histog.'!$BZ:$BZ,'Cronog. e Histog.'!CM:CM),"")</f>
        <v>0</v>
      </c>
      <c r="S278" s="144">
        <f>IFERROR(_xlfn.XLOOKUP($B278,'Cronog. e Histog.'!$BZ:$BZ,'Cronog. e Histog.'!CN:CN),"")</f>
        <v>0</v>
      </c>
      <c r="T278" s="144">
        <f>IFERROR(_xlfn.XLOOKUP($B278,'Cronog. e Histog.'!$BZ:$BZ,'Cronog. e Histog.'!CO:CO),"")</f>
        <v>0</v>
      </c>
      <c r="U278" s="144">
        <f>IFERROR(_xlfn.XLOOKUP($B278,'Cronog. e Histog.'!$BZ:$BZ,'Cronog. e Histog.'!CP:CP),"")</f>
        <v>0</v>
      </c>
      <c r="V278" s="144">
        <f>IFERROR(_xlfn.XLOOKUP($B278,'Cronog. e Histog.'!$BZ:$BZ,'Cronog. e Histog.'!CQ:CQ),"")</f>
        <v>0</v>
      </c>
      <c r="W278" s="144">
        <f>IFERROR(_xlfn.XLOOKUP($B278,'Cronog. e Histog.'!$BZ:$BZ,'Cronog. e Histog.'!CR:CR),"")</f>
        <v>0</v>
      </c>
      <c r="X278" s="144">
        <f>IFERROR(_xlfn.XLOOKUP($B278,'Cronog. e Histog.'!$BZ:$BZ,'Cronog. e Histog.'!CS:CS),"")</f>
        <v>0</v>
      </c>
      <c r="Y278" s="144">
        <f>IFERROR(_xlfn.XLOOKUP($B278,'Cronog. e Histog.'!$BZ:$BZ,'Cronog. e Histog.'!CT:CT),"")</f>
        <v>0</v>
      </c>
      <c r="Z278" s="144">
        <f>IFERROR(_xlfn.XLOOKUP($B278,'Cronog. e Histog.'!$BZ:$BZ,'Cronog. e Histog.'!CU:CU),"")</f>
        <v>0</v>
      </c>
      <c r="AA278" s="144">
        <f>IFERROR(_xlfn.XLOOKUP($B278,'Cronog. e Histog.'!$BZ:$BZ,'Cronog. e Histog.'!CV:CV),"")</f>
        <v>0</v>
      </c>
      <c r="AB278" s="144">
        <f>IFERROR(_xlfn.XLOOKUP($B278,'Cronog. e Histog.'!$BZ:$BZ,'Cronog. e Histog.'!CW:CW),"")</f>
        <v>0</v>
      </c>
      <c r="AC278" s="144">
        <f>IFERROR(_xlfn.XLOOKUP($B278,'Cronog. e Histog.'!$BZ:$BZ,'Cronog. e Histog.'!CX:CX),"")</f>
        <v>0</v>
      </c>
      <c r="AD278" s="144">
        <f>IFERROR(_xlfn.XLOOKUP($B278,'Cronog. e Histog.'!$BZ:$BZ,'Cronog. e Histog.'!CY:CY),"")</f>
        <v>0</v>
      </c>
      <c r="AE278" s="144">
        <f>IFERROR(_xlfn.XLOOKUP($B278,'Cronog. e Histog.'!$BZ:$BZ,'Cronog. e Histog.'!CZ:CZ),"")</f>
        <v>0</v>
      </c>
      <c r="AF278" s="144">
        <f>IFERROR(_xlfn.XLOOKUP($B278,'Cronog. e Histog.'!$BZ:$BZ,'Cronog. e Histog.'!DA:DA),"")</f>
        <v>0</v>
      </c>
      <c r="AG278" s="144">
        <f>IFERROR(_xlfn.XLOOKUP($B278,'Cronog. e Histog.'!$BZ:$BZ,'Cronog. e Histog.'!DB:DB),"")</f>
        <v>0</v>
      </c>
      <c r="AH278" s="144">
        <f>IFERROR(_xlfn.XLOOKUP($B278,'Cronog. e Histog.'!$BZ:$BZ,'Cronog. e Histog.'!DC:DC),"")</f>
        <v>0</v>
      </c>
      <c r="AI278" s="144">
        <f>IFERROR(_xlfn.XLOOKUP($B278,'Cronog. e Histog.'!$BZ:$BZ,'Cronog. e Histog.'!DD:DD),"")</f>
        <v>0</v>
      </c>
      <c r="AJ278" s="144">
        <f>IFERROR(_xlfn.XLOOKUP($B278,'Cronog. e Histog.'!$BZ:$BZ,'Cronog. e Histog.'!DE:DE),"")</f>
        <v>0</v>
      </c>
      <c r="AK278" s="144">
        <f>IFERROR(_xlfn.XLOOKUP($B278,'Cronog. e Histog.'!$BZ:$BZ,'Cronog. e Histog.'!DF:DF),"")</f>
        <v>0</v>
      </c>
      <c r="AL278" s="144">
        <f>IFERROR(_xlfn.XLOOKUP($B278,'Cronog. e Histog.'!$BZ:$BZ,'Cronog. e Histog.'!DG:DG),"")</f>
        <v>0</v>
      </c>
      <c r="AM278" s="144">
        <f>IFERROR(_xlfn.XLOOKUP($B278,'Cronog. e Histog.'!$BZ:$BZ,'Cronog. e Histog.'!DH:DH),"")</f>
        <v>0</v>
      </c>
      <c r="AN278" s="144">
        <f>IFERROR(_xlfn.XLOOKUP($B278,'Cronog. e Histog.'!$BZ:$BZ,'Cronog. e Histog.'!DI:DI),"")</f>
        <v>0</v>
      </c>
      <c r="AO278" s="144">
        <f>IFERROR(_xlfn.XLOOKUP($B278,'Cronog. e Histog.'!$BZ:$BZ,'Cronog. e Histog.'!DJ:DJ),"")</f>
        <v>0</v>
      </c>
      <c r="AP278" s="144">
        <f>IFERROR(_xlfn.XLOOKUP($B278,'Cronog. e Histog.'!$BZ:$BZ,'Cronog. e Histog.'!DK:DK),"")</f>
        <v>0</v>
      </c>
      <c r="AQ278" s="144">
        <f>IFERROR(_xlfn.XLOOKUP($B278,'Cronog. e Histog.'!$BZ:$BZ,'Cronog. e Histog.'!DL:DL),"")</f>
        <v>0</v>
      </c>
      <c r="AR278" s="144">
        <f>IFERROR(_xlfn.XLOOKUP($B278,'Cronog. e Histog.'!$BZ:$BZ,'Cronog. e Histog.'!DM:DM),"")</f>
        <v>0</v>
      </c>
      <c r="AS278" s="144">
        <f>IFERROR(_xlfn.XLOOKUP($B278,'Cronog. e Histog.'!$BZ:$BZ,'Cronog. e Histog.'!DN:DN),"")</f>
        <v>0</v>
      </c>
      <c r="AT278" s="144">
        <f>IFERROR(_xlfn.XLOOKUP($B278,'Cronog. e Histog.'!$BZ:$BZ,'Cronog. e Histog.'!DO:DO),"")</f>
        <v>0</v>
      </c>
      <c r="AU278" s="144">
        <f>IFERROR(_xlfn.XLOOKUP($B278,'Cronog. e Histog.'!$BZ:$BZ,'Cronog. e Histog.'!DP:DP),"")</f>
        <v>0</v>
      </c>
      <c r="AV278" s="144">
        <f>IFERROR(_xlfn.XLOOKUP($B278,'Cronog. e Histog.'!$BZ:$BZ,'Cronog. e Histog.'!DQ:DQ),"")</f>
        <v>0</v>
      </c>
      <c r="AW278" s="144">
        <f>IFERROR(_xlfn.XLOOKUP($B278,'Cronog. e Histog.'!$BZ:$BZ,'Cronog. e Histog.'!DR:DR),"")</f>
        <v>0</v>
      </c>
      <c r="AX278" s="144">
        <f>IFERROR(_xlfn.XLOOKUP($B278,'Cronog. e Histog.'!$BZ:$BZ,'Cronog. e Histog.'!DS:DS),"")</f>
        <v>0</v>
      </c>
      <c r="AY278" s="144">
        <f>IFERROR(_xlfn.XLOOKUP($B278,'Cronog. e Histog.'!$BZ:$BZ,'Cronog. e Histog.'!DT:DT),"")</f>
        <v>0</v>
      </c>
      <c r="AZ278" s="144">
        <f>IFERROR(_xlfn.XLOOKUP($B278,'Cronog. e Histog.'!$BZ:$BZ,'Cronog. e Histog.'!DU:DU),"")</f>
        <v>0</v>
      </c>
      <c r="BA278" s="144">
        <f>IFERROR(_xlfn.XLOOKUP($B278,'Cronog. e Histog.'!$BZ:$BZ,'Cronog. e Histog.'!DV:DV),"")</f>
        <v>0</v>
      </c>
      <c r="BB278" s="144">
        <f>IFERROR(_xlfn.XLOOKUP($B278,'Cronog. e Histog.'!$BZ:$BZ,'Cronog. e Histog.'!DW:DW),"")</f>
        <v>0</v>
      </c>
      <c r="BC278" s="144">
        <f>IFERROR(_xlfn.XLOOKUP($B278,'Cronog. e Histog.'!$BZ:$BZ,'Cronog. e Histog.'!DX:DX),"")</f>
        <v>0</v>
      </c>
      <c r="BD278" s="144">
        <f>IFERROR(_xlfn.XLOOKUP($B278,'Cronog. e Histog.'!$BZ:$BZ,'Cronog. e Histog.'!DY:DY),"")</f>
        <v>0</v>
      </c>
      <c r="BE278" s="144">
        <f>IFERROR(_xlfn.XLOOKUP($B278,'Cronog. e Histog.'!$BZ:$BZ,'Cronog. e Histog.'!DZ:DZ),"")</f>
        <v>0</v>
      </c>
      <c r="BF278" s="144">
        <f>IFERROR(_xlfn.XLOOKUP($B278,'Cronog. e Histog.'!$BZ:$BZ,'Cronog. e Histog.'!EA:EA),"")</f>
        <v>0</v>
      </c>
      <c r="BG278" s="144">
        <f>IFERROR(_xlfn.XLOOKUP($B278,'Cronog. e Histog.'!$BZ:$BZ,'Cronog. e Histog.'!EB:EB),"")</f>
        <v>0</v>
      </c>
      <c r="BH278" s="144">
        <f>IFERROR(_xlfn.XLOOKUP($B278,'Cronog. e Histog.'!$BZ:$BZ,'Cronog. e Histog.'!EC:EC),"")</f>
        <v>0</v>
      </c>
      <c r="BI278" s="144">
        <f>IFERROR(_xlfn.XLOOKUP($B278,'Cronog. e Histog.'!$BZ:$BZ,'Cronog. e Histog.'!ED:ED),"")</f>
        <v>0</v>
      </c>
      <c r="BJ278" s="144">
        <f>IFERROR(_xlfn.XLOOKUP($B278,'Cronog. e Histog.'!$BZ:$BZ,'Cronog. e Histog.'!EE:EE),"")</f>
        <v>0</v>
      </c>
      <c r="BK278" s="144">
        <f>IFERROR(_xlfn.XLOOKUP($B278,'Cronog. e Histog.'!$BZ:$BZ,'Cronog. e Histog.'!EF:EF),"")</f>
        <v>0</v>
      </c>
      <c r="BL278" s="144">
        <f>IFERROR(_xlfn.XLOOKUP($B278,'Cronog. e Histog.'!$BZ:$BZ,'Cronog. e Histog.'!EG:EG),"")</f>
        <v>0</v>
      </c>
      <c r="BM278" s="144">
        <f>IFERROR(_xlfn.XLOOKUP($B278,'Cronog. e Histog.'!$BZ:$BZ,'Cronog. e Histog.'!EH:EH),"")</f>
        <v>0</v>
      </c>
      <c r="BN278" s="144">
        <f>IFERROR(_xlfn.XLOOKUP($B278,'Cronog. e Histog.'!$BZ:$BZ,'Cronog. e Histog.'!EI:EI),"")</f>
        <v>0</v>
      </c>
    </row>
    <row r="279" spans="2:66" ht="12" hidden="1" customHeight="1" outlineLevel="1">
      <c r="B279" s="76">
        <v>273</v>
      </c>
      <c r="C279" s="143" t="str">
        <f>IFERROR(VLOOKUP(B279,'Cronog. e Histog.'!$BZ$213:$CA$747,2,0),"")</f>
        <v>TEC III</v>
      </c>
      <c r="D279" s="144">
        <f t="shared" si="6"/>
        <v>0</v>
      </c>
      <c r="E279" s="144">
        <f t="shared" si="7"/>
        <v>0</v>
      </c>
      <c r="F279" s="65"/>
      <c r="G279" s="144">
        <f>IFERROR(_xlfn.XLOOKUP($B279,'Cronog. e Histog.'!$BZ:$BZ,'Cronog. e Histog.'!CB:CB),"")</f>
        <v>0</v>
      </c>
      <c r="H279" s="144">
        <f>IFERROR(_xlfn.XLOOKUP($B279,'Cronog. e Histog.'!$BZ:$BZ,'Cronog. e Histog.'!CC:CC),"")</f>
        <v>0</v>
      </c>
      <c r="I279" s="144">
        <f>IFERROR(_xlfn.XLOOKUP($B279,'Cronog. e Histog.'!$BZ:$BZ,'Cronog. e Histog.'!CD:CD),"")</f>
        <v>0</v>
      </c>
      <c r="J279" s="144">
        <f>IFERROR(_xlfn.XLOOKUP($B279,'Cronog. e Histog.'!$BZ:$BZ,'Cronog. e Histog.'!CE:CE),"")</f>
        <v>0</v>
      </c>
      <c r="K279" s="144">
        <f>IFERROR(_xlfn.XLOOKUP($B279,'Cronog. e Histog.'!$BZ:$BZ,'Cronog. e Histog.'!CF:CF),"")</f>
        <v>0</v>
      </c>
      <c r="L279" s="144">
        <f>IFERROR(_xlfn.XLOOKUP($B279,'Cronog. e Histog.'!$BZ:$BZ,'Cronog. e Histog.'!CG:CG),"")</f>
        <v>0</v>
      </c>
      <c r="M279" s="144">
        <f>IFERROR(_xlfn.XLOOKUP($B279,'Cronog. e Histog.'!$BZ:$BZ,'Cronog. e Histog.'!CH:CH),"")</f>
        <v>0</v>
      </c>
      <c r="N279" s="144">
        <f>IFERROR(_xlfn.XLOOKUP($B279,'Cronog. e Histog.'!$BZ:$BZ,'Cronog. e Histog.'!CI:CI),"")</f>
        <v>0</v>
      </c>
      <c r="O279" s="144">
        <f>IFERROR(_xlfn.XLOOKUP($B279,'Cronog. e Histog.'!$BZ:$BZ,'Cronog. e Histog.'!CJ:CJ),"")</f>
        <v>0</v>
      </c>
      <c r="P279" s="144">
        <f>IFERROR(_xlfn.XLOOKUP($B279,'Cronog. e Histog.'!$BZ:$BZ,'Cronog. e Histog.'!CK:CK),"")</f>
        <v>0</v>
      </c>
      <c r="Q279" s="144">
        <f>IFERROR(_xlfn.XLOOKUP($B279,'Cronog. e Histog.'!$BZ:$BZ,'Cronog. e Histog.'!CL:CL),"")</f>
        <v>0</v>
      </c>
      <c r="R279" s="144">
        <f>IFERROR(_xlfn.XLOOKUP($B279,'Cronog. e Histog.'!$BZ:$BZ,'Cronog. e Histog.'!CM:CM),"")</f>
        <v>0</v>
      </c>
      <c r="S279" s="144">
        <f>IFERROR(_xlfn.XLOOKUP($B279,'Cronog. e Histog.'!$BZ:$BZ,'Cronog. e Histog.'!CN:CN),"")</f>
        <v>0</v>
      </c>
      <c r="T279" s="144">
        <f>IFERROR(_xlfn.XLOOKUP($B279,'Cronog. e Histog.'!$BZ:$BZ,'Cronog. e Histog.'!CO:CO),"")</f>
        <v>0</v>
      </c>
      <c r="U279" s="144">
        <f>IFERROR(_xlfn.XLOOKUP($B279,'Cronog. e Histog.'!$BZ:$BZ,'Cronog. e Histog.'!CP:CP),"")</f>
        <v>0</v>
      </c>
      <c r="V279" s="144">
        <f>IFERROR(_xlfn.XLOOKUP($B279,'Cronog. e Histog.'!$BZ:$BZ,'Cronog. e Histog.'!CQ:CQ),"")</f>
        <v>0</v>
      </c>
      <c r="W279" s="144">
        <f>IFERROR(_xlfn.XLOOKUP($B279,'Cronog. e Histog.'!$BZ:$BZ,'Cronog. e Histog.'!CR:CR),"")</f>
        <v>0</v>
      </c>
      <c r="X279" s="144">
        <f>IFERROR(_xlfn.XLOOKUP($B279,'Cronog. e Histog.'!$BZ:$BZ,'Cronog. e Histog.'!CS:CS),"")</f>
        <v>0</v>
      </c>
      <c r="Y279" s="144">
        <f>IFERROR(_xlfn.XLOOKUP($B279,'Cronog. e Histog.'!$BZ:$BZ,'Cronog. e Histog.'!CT:CT),"")</f>
        <v>0</v>
      </c>
      <c r="Z279" s="144">
        <f>IFERROR(_xlfn.XLOOKUP($B279,'Cronog. e Histog.'!$BZ:$BZ,'Cronog. e Histog.'!CU:CU),"")</f>
        <v>0</v>
      </c>
      <c r="AA279" s="144">
        <f>IFERROR(_xlfn.XLOOKUP($B279,'Cronog. e Histog.'!$BZ:$BZ,'Cronog. e Histog.'!CV:CV),"")</f>
        <v>0</v>
      </c>
      <c r="AB279" s="144">
        <f>IFERROR(_xlfn.XLOOKUP($B279,'Cronog. e Histog.'!$BZ:$BZ,'Cronog. e Histog.'!CW:CW),"")</f>
        <v>0</v>
      </c>
      <c r="AC279" s="144">
        <f>IFERROR(_xlfn.XLOOKUP($B279,'Cronog. e Histog.'!$BZ:$BZ,'Cronog. e Histog.'!CX:CX),"")</f>
        <v>0</v>
      </c>
      <c r="AD279" s="144">
        <f>IFERROR(_xlfn.XLOOKUP($B279,'Cronog. e Histog.'!$BZ:$BZ,'Cronog. e Histog.'!CY:CY),"")</f>
        <v>0</v>
      </c>
      <c r="AE279" s="144">
        <f>IFERROR(_xlfn.XLOOKUP($B279,'Cronog. e Histog.'!$BZ:$BZ,'Cronog. e Histog.'!CZ:CZ),"")</f>
        <v>0</v>
      </c>
      <c r="AF279" s="144">
        <f>IFERROR(_xlfn.XLOOKUP($B279,'Cronog. e Histog.'!$BZ:$BZ,'Cronog. e Histog.'!DA:DA),"")</f>
        <v>0</v>
      </c>
      <c r="AG279" s="144">
        <f>IFERROR(_xlfn.XLOOKUP($B279,'Cronog. e Histog.'!$BZ:$BZ,'Cronog. e Histog.'!DB:DB),"")</f>
        <v>0</v>
      </c>
      <c r="AH279" s="144">
        <f>IFERROR(_xlfn.XLOOKUP($B279,'Cronog. e Histog.'!$BZ:$BZ,'Cronog. e Histog.'!DC:DC),"")</f>
        <v>0</v>
      </c>
      <c r="AI279" s="144">
        <f>IFERROR(_xlfn.XLOOKUP($B279,'Cronog. e Histog.'!$BZ:$BZ,'Cronog. e Histog.'!DD:DD),"")</f>
        <v>0</v>
      </c>
      <c r="AJ279" s="144">
        <f>IFERROR(_xlfn.XLOOKUP($B279,'Cronog. e Histog.'!$BZ:$BZ,'Cronog. e Histog.'!DE:DE),"")</f>
        <v>0</v>
      </c>
      <c r="AK279" s="144">
        <f>IFERROR(_xlfn.XLOOKUP($B279,'Cronog. e Histog.'!$BZ:$BZ,'Cronog. e Histog.'!DF:DF),"")</f>
        <v>0</v>
      </c>
      <c r="AL279" s="144">
        <f>IFERROR(_xlfn.XLOOKUP($B279,'Cronog. e Histog.'!$BZ:$BZ,'Cronog. e Histog.'!DG:DG),"")</f>
        <v>0</v>
      </c>
      <c r="AM279" s="144">
        <f>IFERROR(_xlfn.XLOOKUP($B279,'Cronog. e Histog.'!$BZ:$BZ,'Cronog. e Histog.'!DH:DH),"")</f>
        <v>0</v>
      </c>
      <c r="AN279" s="144">
        <f>IFERROR(_xlfn.XLOOKUP($B279,'Cronog. e Histog.'!$BZ:$BZ,'Cronog. e Histog.'!DI:DI),"")</f>
        <v>0</v>
      </c>
      <c r="AO279" s="144">
        <f>IFERROR(_xlfn.XLOOKUP($B279,'Cronog. e Histog.'!$BZ:$BZ,'Cronog. e Histog.'!DJ:DJ),"")</f>
        <v>0</v>
      </c>
      <c r="AP279" s="144">
        <f>IFERROR(_xlfn.XLOOKUP($B279,'Cronog. e Histog.'!$BZ:$BZ,'Cronog. e Histog.'!DK:DK),"")</f>
        <v>0</v>
      </c>
      <c r="AQ279" s="144">
        <f>IFERROR(_xlfn.XLOOKUP($B279,'Cronog. e Histog.'!$BZ:$BZ,'Cronog. e Histog.'!DL:DL),"")</f>
        <v>0</v>
      </c>
      <c r="AR279" s="144">
        <f>IFERROR(_xlfn.XLOOKUP($B279,'Cronog. e Histog.'!$BZ:$BZ,'Cronog. e Histog.'!DM:DM),"")</f>
        <v>0</v>
      </c>
      <c r="AS279" s="144">
        <f>IFERROR(_xlfn.XLOOKUP($B279,'Cronog. e Histog.'!$BZ:$BZ,'Cronog. e Histog.'!DN:DN),"")</f>
        <v>0</v>
      </c>
      <c r="AT279" s="144">
        <f>IFERROR(_xlfn.XLOOKUP($B279,'Cronog. e Histog.'!$BZ:$BZ,'Cronog. e Histog.'!DO:DO),"")</f>
        <v>0</v>
      </c>
      <c r="AU279" s="144">
        <f>IFERROR(_xlfn.XLOOKUP($B279,'Cronog. e Histog.'!$BZ:$BZ,'Cronog. e Histog.'!DP:DP),"")</f>
        <v>0</v>
      </c>
      <c r="AV279" s="144">
        <f>IFERROR(_xlfn.XLOOKUP($B279,'Cronog. e Histog.'!$BZ:$BZ,'Cronog. e Histog.'!DQ:DQ),"")</f>
        <v>0</v>
      </c>
      <c r="AW279" s="144">
        <f>IFERROR(_xlfn.XLOOKUP($B279,'Cronog. e Histog.'!$BZ:$BZ,'Cronog. e Histog.'!DR:DR),"")</f>
        <v>0</v>
      </c>
      <c r="AX279" s="144">
        <f>IFERROR(_xlfn.XLOOKUP($B279,'Cronog. e Histog.'!$BZ:$BZ,'Cronog. e Histog.'!DS:DS),"")</f>
        <v>0</v>
      </c>
      <c r="AY279" s="144">
        <f>IFERROR(_xlfn.XLOOKUP($B279,'Cronog. e Histog.'!$BZ:$BZ,'Cronog. e Histog.'!DT:DT),"")</f>
        <v>0</v>
      </c>
      <c r="AZ279" s="144">
        <f>IFERROR(_xlfn.XLOOKUP($B279,'Cronog. e Histog.'!$BZ:$BZ,'Cronog. e Histog.'!DU:DU),"")</f>
        <v>0</v>
      </c>
      <c r="BA279" s="144">
        <f>IFERROR(_xlfn.XLOOKUP($B279,'Cronog. e Histog.'!$BZ:$BZ,'Cronog. e Histog.'!DV:DV),"")</f>
        <v>0</v>
      </c>
      <c r="BB279" s="144">
        <f>IFERROR(_xlfn.XLOOKUP($B279,'Cronog. e Histog.'!$BZ:$BZ,'Cronog. e Histog.'!DW:DW),"")</f>
        <v>0</v>
      </c>
      <c r="BC279" s="144">
        <f>IFERROR(_xlfn.XLOOKUP($B279,'Cronog. e Histog.'!$BZ:$BZ,'Cronog. e Histog.'!DX:DX),"")</f>
        <v>0</v>
      </c>
      <c r="BD279" s="144">
        <f>IFERROR(_xlfn.XLOOKUP($B279,'Cronog. e Histog.'!$BZ:$BZ,'Cronog. e Histog.'!DY:DY),"")</f>
        <v>0</v>
      </c>
      <c r="BE279" s="144">
        <f>IFERROR(_xlfn.XLOOKUP($B279,'Cronog. e Histog.'!$BZ:$BZ,'Cronog. e Histog.'!DZ:DZ),"")</f>
        <v>0</v>
      </c>
      <c r="BF279" s="144">
        <f>IFERROR(_xlfn.XLOOKUP($B279,'Cronog. e Histog.'!$BZ:$BZ,'Cronog. e Histog.'!EA:EA),"")</f>
        <v>0</v>
      </c>
      <c r="BG279" s="144">
        <f>IFERROR(_xlfn.XLOOKUP($B279,'Cronog. e Histog.'!$BZ:$BZ,'Cronog. e Histog.'!EB:EB),"")</f>
        <v>0</v>
      </c>
      <c r="BH279" s="144">
        <f>IFERROR(_xlfn.XLOOKUP($B279,'Cronog. e Histog.'!$BZ:$BZ,'Cronog. e Histog.'!EC:EC),"")</f>
        <v>0</v>
      </c>
      <c r="BI279" s="144">
        <f>IFERROR(_xlfn.XLOOKUP($B279,'Cronog. e Histog.'!$BZ:$BZ,'Cronog. e Histog.'!ED:ED),"")</f>
        <v>0</v>
      </c>
      <c r="BJ279" s="144">
        <f>IFERROR(_xlfn.XLOOKUP($B279,'Cronog. e Histog.'!$BZ:$BZ,'Cronog. e Histog.'!EE:EE),"")</f>
        <v>0</v>
      </c>
      <c r="BK279" s="144">
        <f>IFERROR(_xlfn.XLOOKUP($B279,'Cronog. e Histog.'!$BZ:$BZ,'Cronog. e Histog.'!EF:EF),"")</f>
        <v>0</v>
      </c>
      <c r="BL279" s="144">
        <f>IFERROR(_xlfn.XLOOKUP($B279,'Cronog. e Histog.'!$BZ:$BZ,'Cronog. e Histog.'!EG:EG),"")</f>
        <v>0</v>
      </c>
      <c r="BM279" s="144">
        <f>IFERROR(_xlfn.XLOOKUP($B279,'Cronog. e Histog.'!$BZ:$BZ,'Cronog. e Histog.'!EH:EH),"")</f>
        <v>0</v>
      </c>
      <c r="BN279" s="144">
        <f>IFERROR(_xlfn.XLOOKUP($B279,'Cronog. e Histog.'!$BZ:$BZ,'Cronog. e Histog.'!EI:EI),"")</f>
        <v>0</v>
      </c>
    </row>
    <row r="280" spans="2:66" ht="12" hidden="1" customHeight="1" outlineLevel="1">
      <c r="B280" s="76">
        <v>274</v>
      </c>
      <c r="C280" s="143" t="str">
        <f>IFERROR(VLOOKUP(B280,'Cronog. e Histog.'!$BZ$213:$CA$747,2,0),"")</f>
        <v>TEC II</v>
      </c>
      <c r="D280" s="144">
        <f t="shared" si="6"/>
        <v>0</v>
      </c>
      <c r="E280" s="144">
        <f t="shared" si="7"/>
        <v>0</v>
      </c>
      <c r="F280" s="65"/>
      <c r="G280" s="144">
        <f>IFERROR(_xlfn.XLOOKUP($B280,'Cronog. e Histog.'!$BZ:$BZ,'Cronog. e Histog.'!CB:CB),"")</f>
        <v>0</v>
      </c>
      <c r="H280" s="144">
        <f>IFERROR(_xlfn.XLOOKUP($B280,'Cronog. e Histog.'!$BZ:$BZ,'Cronog. e Histog.'!CC:CC),"")</f>
        <v>0</v>
      </c>
      <c r="I280" s="144">
        <f>IFERROR(_xlfn.XLOOKUP($B280,'Cronog. e Histog.'!$BZ:$BZ,'Cronog. e Histog.'!CD:CD),"")</f>
        <v>0</v>
      </c>
      <c r="J280" s="144">
        <f>IFERROR(_xlfn.XLOOKUP($B280,'Cronog. e Histog.'!$BZ:$BZ,'Cronog. e Histog.'!CE:CE),"")</f>
        <v>0</v>
      </c>
      <c r="K280" s="144">
        <f>IFERROR(_xlfn.XLOOKUP($B280,'Cronog. e Histog.'!$BZ:$BZ,'Cronog. e Histog.'!CF:CF),"")</f>
        <v>0</v>
      </c>
      <c r="L280" s="144">
        <f>IFERROR(_xlfn.XLOOKUP($B280,'Cronog. e Histog.'!$BZ:$BZ,'Cronog. e Histog.'!CG:CG),"")</f>
        <v>0</v>
      </c>
      <c r="M280" s="144">
        <f>IFERROR(_xlfn.XLOOKUP($B280,'Cronog. e Histog.'!$BZ:$BZ,'Cronog. e Histog.'!CH:CH),"")</f>
        <v>0</v>
      </c>
      <c r="N280" s="144">
        <f>IFERROR(_xlfn.XLOOKUP($B280,'Cronog. e Histog.'!$BZ:$BZ,'Cronog. e Histog.'!CI:CI),"")</f>
        <v>0</v>
      </c>
      <c r="O280" s="144">
        <f>IFERROR(_xlfn.XLOOKUP($B280,'Cronog. e Histog.'!$BZ:$BZ,'Cronog. e Histog.'!CJ:CJ),"")</f>
        <v>0</v>
      </c>
      <c r="P280" s="144">
        <f>IFERROR(_xlfn.XLOOKUP($B280,'Cronog. e Histog.'!$BZ:$BZ,'Cronog. e Histog.'!CK:CK),"")</f>
        <v>0</v>
      </c>
      <c r="Q280" s="144">
        <f>IFERROR(_xlfn.XLOOKUP($B280,'Cronog. e Histog.'!$BZ:$BZ,'Cronog. e Histog.'!CL:CL),"")</f>
        <v>0</v>
      </c>
      <c r="R280" s="144">
        <f>IFERROR(_xlfn.XLOOKUP($B280,'Cronog. e Histog.'!$BZ:$BZ,'Cronog. e Histog.'!CM:CM),"")</f>
        <v>0</v>
      </c>
      <c r="S280" s="144">
        <f>IFERROR(_xlfn.XLOOKUP($B280,'Cronog. e Histog.'!$BZ:$BZ,'Cronog. e Histog.'!CN:CN),"")</f>
        <v>0</v>
      </c>
      <c r="T280" s="144">
        <f>IFERROR(_xlfn.XLOOKUP($B280,'Cronog. e Histog.'!$BZ:$BZ,'Cronog. e Histog.'!CO:CO),"")</f>
        <v>0</v>
      </c>
      <c r="U280" s="144">
        <f>IFERROR(_xlfn.XLOOKUP($B280,'Cronog. e Histog.'!$BZ:$BZ,'Cronog. e Histog.'!CP:CP),"")</f>
        <v>0</v>
      </c>
      <c r="V280" s="144">
        <f>IFERROR(_xlfn.XLOOKUP($B280,'Cronog. e Histog.'!$BZ:$BZ,'Cronog. e Histog.'!CQ:CQ),"")</f>
        <v>0</v>
      </c>
      <c r="W280" s="144">
        <f>IFERROR(_xlfn.XLOOKUP($B280,'Cronog. e Histog.'!$BZ:$BZ,'Cronog. e Histog.'!CR:CR),"")</f>
        <v>0</v>
      </c>
      <c r="X280" s="144">
        <f>IFERROR(_xlfn.XLOOKUP($B280,'Cronog. e Histog.'!$BZ:$BZ,'Cronog. e Histog.'!CS:CS),"")</f>
        <v>0</v>
      </c>
      <c r="Y280" s="144">
        <f>IFERROR(_xlfn.XLOOKUP($B280,'Cronog. e Histog.'!$BZ:$BZ,'Cronog. e Histog.'!CT:CT),"")</f>
        <v>0</v>
      </c>
      <c r="Z280" s="144">
        <f>IFERROR(_xlfn.XLOOKUP($B280,'Cronog. e Histog.'!$BZ:$BZ,'Cronog. e Histog.'!CU:CU),"")</f>
        <v>0</v>
      </c>
      <c r="AA280" s="144">
        <f>IFERROR(_xlfn.XLOOKUP($B280,'Cronog. e Histog.'!$BZ:$BZ,'Cronog. e Histog.'!CV:CV),"")</f>
        <v>0</v>
      </c>
      <c r="AB280" s="144">
        <f>IFERROR(_xlfn.XLOOKUP($B280,'Cronog. e Histog.'!$BZ:$BZ,'Cronog. e Histog.'!CW:CW),"")</f>
        <v>0</v>
      </c>
      <c r="AC280" s="144">
        <f>IFERROR(_xlfn.XLOOKUP($B280,'Cronog. e Histog.'!$BZ:$BZ,'Cronog. e Histog.'!CX:CX),"")</f>
        <v>0</v>
      </c>
      <c r="AD280" s="144">
        <f>IFERROR(_xlfn.XLOOKUP($B280,'Cronog. e Histog.'!$BZ:$BZ,'Cronog. e Histog.'!CY:CY),"")</f>
        <v>0</v>
      </c>
      <c r="AE280" s="144">
        <f>IFERROR(_xlfn.XLOOKUP($B280,'Cronog. e Histog.'!$BZ:$BZ,'Cronog. e Histog.'!CZ:CZ),"")</f>
        <v>0</v>
      </c>
      <c r="AF280" s="144">
        <f>IFERROR(_xlfn.XLOOKUP($B280,'Cronog. e Histog.'!$BZ:$BZ,'Cronog. e Histog.'!DA:DA),"")</f>
        <v>0</v>
      </c>
      <c r="AG280" s="144">
        <f>IFERROR(_xlfn.XLOOKUP($B280,'Cronog. e Histog.'!$BZ:$BZ,'Cronog. e Histog.'!DB:DB),"")</f>
        <v>0</v>
      </c>
      <c r="AH280" s="144">
        <f>IFERROR(_xlfn.XLOOKUP($B280,'Cronog. e Histog.'!$BZ:$BZ,'Cronog. e Histog.'!DC:DC),"")</f>
        <v>0</v>
      </c>
      <c r="AI280" s="144">
        <f>IFERROR(_xlfn.XLOOKUP($B280,'Cronog. e Histog.'!$BZ:$BZ,'Cronog. e Histog.'!DD:DD),"")</f>
        <v>0</v>
      </c>
      <c r="AJ280" s="144">
        <f>IFERROR(_xlfn.XLOOKUP($B280,'Cronog. e Histog.'!$BZ:$BZ,'Cronog. e Histog.'!DE:DE),"")</f>
        <v>0</v>
      </c>
      <c r="AK280" s="144">
        <f>IFERROR(_xlfn.XLOOKUP($B280,'Cronog. e Histog.'!$BZ:$BZ,'Cronog. e Histog.'!DF:DF),"")</f>
        <v>0</v>
      </c>
      <c r="AL280" s="144">
        <f>IFERROR(_xlfn.XLOOKUP($B280,'Cronog. e Histog.'!$BZ:$BZ,'Cronog. e Histog.'!DG:DG),"")</f>
        <v>0</v>
      </c>
      <c r="AM280" s="144">
        <f>IFERROR(_xlfn.XLOOKUP($B280,'Cronog. e Histog.'!$BZ:$BZ,'Cronog. e Histog.'!DH:DH),"")</f>
        <v>0</v>
      </c>
      <c r="AN280" s="144">
        <f>IFERROR(_xlfn.XLOOKUP($B280,'Cronog. e Histog.'!$BZ:$BZ,'Cronog. e Histog.'!DI:DI),"")</f>
        <v>0</v>
      </c>
      <c r="AO280" s="144">
        <f>IFERROR(_xlfn.XLOOKUP($B280,'Cronog. e Histog.'!$BZ:$BZ,'Cronog. e Histog.'!DJ:DJ),"")</f>
        <v>0</v>
      </c>
      <c r="AP280" s="144">
        <f>IFERROR(_xlfn.XLOOKUP($B280,'Cronog. e Histog.'!$BZ:$BZ,'Cronog. e Histog.'!DK:DK),"")</f>
        <v>0</v>
      </c>
      <c r="AQ280" s="144">
        <f>IFERROR(_xlfn.XLOOKUP($B280,'Cronog. e Histog.'!$BZ:$BZ,'Cronog. e Histog.'!DL:DL),"")</f>
        <v>0</v>
      </c>
      <c r="AR280" s="144">
        <f>IFERROR(_xlfn.XLOOKUP($B280,'Cronog. e Histog.'!$BZ:$BZ,'Cronog. e Histog.'!DM:DM),"")</f>
        <v>0</v>
      </c>
      <c r="AS280" s="144">
        <f>IFERROR(_xlfn.XLOOKUP($B280,'Cronog. e Histog.'!$BZ:$BZ,'Cronog. e Histog.'!DN:DN),"")</f>
        <v>0</v>
      </c>
      <c r="AT280" s="144">
        <f>IFERROR(_xlfn.XLOOKUP($B280,'Cronog. e Histog.'!$BZ:$BZ,'Cronog. e Histog.'!DO:DO),"")</f>
        <v>0</v>
      </c>
      <c r="AU280" s="144">
        <f>IFERROR(_xlfn.XLOOKUP($B280,'Cronog. e Histog.'!$BZ:$BZ,'Cronog. e Histog.'!DP:DP),"")</f>
        <v>0</v>
      </c>
      <c r="AV280" s="144">
        <f>IFERROR(_xlfn.XLOOKUP($B280,'Cronog. e Histog.'!$BZ:$BZ,'Cronog. e Histog.'!DQ:DQ),"")</f>
        <v>0</v>
      </c>
      <c r="AW280" s="144">
        <f>IFERROR(_xlfn.XLOOKUP($B280,'Cronog. e Histog.'!$BZ:$BZ,'Cronog. e Histog.'!DR:DR),"")</f>
        <v>0</v>
      </c>
      <c r="AX280" s="144">
        <f>IFERROR(_xlfn.XLOOKUP($B280,'Cronog. e Histog.'!$BZ:$BZ,'Cronog. e Histog.'!DS:DS),"")</f>
        <v>0</v>
      </c>
      <c r="AY280" s="144">
        <f>IFERROR(_xlfn.XLOOKUP($B280,'Cronog. e Histog.'!$BZ:$BZ,'Cronog. e Histog.'!DT:DT),"")</f>
        <v>0</v>
      </c>
      <c r="AZ280" s="144">
        <f>IFERROR(_xlfn.XLOOKUP($B280,'Cronog. e Histog.'!$BZ:$BZ,'Cronog. e Histog.'!DU:DU),"")</f>
        <v>0</v>
      </c>
      <c r="BA280" s="144">
        <f>IFERROR(_xlfn.XLOOKUP($B280,'Cronog. e Histog.'!$BZ:$BZ,'Cronog. e Histog.'!DV:DV),"")</f>
        <v>0</v>
      </c>
      <c r="BB280" s="144">
        <f>IFERROR(_xlfn.XLOOKUP($B280,'Cronog. e Histog.'!$BZ:$BZ,'Cronog. e Histog.'!DW:DW),"")</f>
        <v>0</v>
      </c>
      <c r="BC280" s="144">
        <f>IFERROR(_xlfn.XLOOKUP($B280,'Cronog. e Histog.'!$BZ:$BZ,'Cronog. e Histog.'!DX:DX),"")</f>
        <v>0</v>
      </c>
      <c r="BD280" s="144">
        <f>IFERROR(_xlfn.XLOOKUP($B280,'Cronog. e Histog.'!$BZ:$BZ,'Cronog. e Histog.'!DY:DY),"")</f>
        <v>0</v>
      </c>
      <c r="BE280" s="144">
        <f>IFERROR(_xlfn.XLOOKUP($B280,'Cronog. e Histog.'!$BZ:$BZ,'Cronog. e Histog.'!DZ:DZ),"")</f>
        <v>0</v>
      </c>
      <c r="BF280" s="144">
        <f>IFERROR(_xlfn.XLOOKUP($B280,'Cronog. e Histog.'!$BZ:$BZ,'Cronog. e Histog.'!EA:EA),"")</f>
        <v>0</v>
      </c>
      <c r="BG280" s="144">
        <f>IFERROR(_xlfn.XLOOKUP($B280,'Cronog. e Histog.'!$BZ:$BZ,'Cronog. e Histog.'!EB:EB),"")</f>
        <v>0</v>
      </c>
      <c r="BH280" s="144">
        <f>IFERROR(_xlfn.XLOOKUP($B280,'Cronog. e Histog.'!$BZ:$BZ,'Cronog. e Histog.'!EC:EC),"")</f>
        <v>0</v>
      </c>
      <c r="BI280" s="144">
        <f>IFERROR(_xlfn.XLOOKUP($B280,'Cronog. e Histog.'!$BZ:$BZ,'Cronog. e Histog.'!ED:ED),"")</f>
        <v>0</v>
      </c>
      <c r="BJ280" s="144">
        <f>IFERROR(_xlfn.XLOOKUP($B280,'Cronog. e Histog.'!$BZ:$BZ,'Cronog. e Histog.'!EE:EE),"")</f>
        <v>0</v>
      </c>
      <c r="BK280" s="144">
        <f>IFERROR(_xlfn.XLOOKUP($B280,'Cronog. e Histog.'!$BZ:$BZ,'Cronog. e Histog.'!EF:EF),"")</f>
        <v>0</v>
      </c>
      <c r="BL280" s="144">
        <f>IFERROR(_xlfn.XLOOKUP($B280,'Cronog. e Histog.'!$BZ:$BZ,'Cronog. e Histog.'!EG:EG),"")</f>
        <v>0</v>
      </c>
      <c r="BM280" s="144">
        <f>IFERROR(_xlfn.XLOOKUP($B280,'Cronog. e Histog.'!$BZ:$BZ,'Cronog. e Histog.'!EH:EH),"")</f>
        <v>0</v>
      </c>
      <c r="BN280" s="144">
        <f>IFERROR(_xlfn.XLOOKUP($B280,'Cronog. e Histog.'!$BZ:$BZ,'Cronog. e Histog.'!EI:EI),"")</f>
        <v>0</v>
      </c>
    </row>
    <row r="281" spans="2:66" ht="12" hidden="1" customHeight="1" outlineLevel="1">
      <c r="B281" s="76">
        <v>275</v>
      </c>
      <c r="C281" s="143" t="str">
        <f>IFERROR(VLOOKUP(B281,'Cronog. e Histog.'!$BZ$213:$CA$747,2,0),"")</f>
        <v>TEC I</v>
      </c>
      <c r="D281" s="144">
        <f t="shared" si="6"/>
        <v>0</v>
      </c>
      <c r="E281" s="144">
        <f t="shared" si="7"/>
        <v>0</v>
      </c>
      <c r="F281" s="65"/>
      <c r="G281" s="144">
        <f>IFERROR(_xlfn.XLOOKUP($B281,'Cronog. e Histog.'!$BZ:$BZ,'Cronog. e Histog.'!CB:CB),"")</f>
        <v>0</v>
      </c>
      <c r="H281" s="144">
        <f>IFERROR(_xlfn.XLOOKUP($B281,'Cronog. e Histog.'!$BZ:$BZ,'Cronog. e Histog.'!CC:CC),"")</f>
        <v>0</v>
      </c>
      <c r="I281" s="144">
        <f>IFERROR(_xlfn.XLOOKUP($B281,'Cronog. e Histog.'!$BZ:$BZ,'Cronog. e Histog.'!CD:CD),"")</f>
        <v>0</v>
      </c>
      <c r="J281" s="144">
        <f>IFERROR(_xlfn.XLOOKUP($B281,'Cronog. e Histog.'!$BZ:$BZ,'Cronog. e Histog.'!CE:CE),"")</f>
        <v>0</v>
      </c>
      <c r="K281" s="144">
        <f>IFERROR(_xlfn.XLOOKUP($B281,'Cronog. e Histog.'!$BZ:$BZ,'Cronog. e Histog.'!CF:CF),"")</f>
        <v>0</v>
      </c>
      <c r="L281" s="144">
        <f>IFERROR(_xlfn.XLOOKUP($B281,'Cronog. e Histog.'!$BZ:$BZ,'Cronog. e Histog.'!CG:CG),"")</f>
        <v>0</v>
      </c>
      <c r="M281" s="144">
        <f>IFERROR(_xlfn.XLOOKUP($B281,'Cronog. e Histog.'!$BZ:$BZ,'Cronog. e Histog.'!CH:CH),"")</f>
        <v>0</v>
      </c>
      <c r="N281" s="144">
        <f>IFERROR(_xlfn.XLOOKUP($B281,'Cronog. e Histog.'!$BZ:$BZ,'Cronog. e Histog.'!CI:CI),"")</f>
        <v>0</v>
      </c>
      <c r="O281" s="144">
        <f>IFERROR(_xlfn.XLOOKUP($B281,'Cronog. e Histog.'!$BZ:$BZ,'Cronog. e Histog.'!CJ:CJ),"")</f>
        <v>0</v>
      </c>
      <c r="P281" s="144">
        <f>IFERROR(_xlfn.XLOOKUP($B281,'Cronog. e Histog.'!$BZ:$BZ,'Cronog. e Histog.'!CK:CK),"")</f>
        <v>0</v>
      </c>
      <c r="Q281" s="144">
        <f>IFERROR(_xlfn.XLOOKUP($B281,'Cronog. e Histog.'!$BZ:$BZ,'Cronog. e Histog.'!CL:CL),"")</f>
        <v>0</v>
      </c>
      <c r="R281" s="144">
        <f>IFERROR(_xlfn.XLOOKUP($B281,'Cronog. e Histog.'!$BZ:$BZ,'Cronog. e Histog.'!CM:CM),"")</f>
        <v>0</v>
      </c>
      <c r="S281" s="144">
        <f>IFERROR(_xlfn.XLOOKUP($B281,'Cronog. e Histog.'!$BZ:$BZ,'Cronog. e Histog.'!CN:CN),"")</f>
        <v>0</v>
      </c>
      <c r="T281" s="144">
        <f>IFERROR(_xlfn.XLOOKUP($B281,'Cronog. e Histog.'!$BZ:$BZ,'Cronog. e Histog.'!CO:CO),"")</f>
        <v>0</v>
      </c>
      <c r="U281" s="144">
        <f>IFERROR(_xlfn.XLOOKUP($B281,'Cronog. e Histog.'!$BZ:$BZ,'Cronog. e Histog.'!CP:CP),"")</f>
        <v>0</v>
      </c>
      <c r="V281" s="144">
        <f>IFERROR(_xlfn.XLOOKUP($B281,'Cronog. e Histog.'!$BZ:$BZ,'Cronog. e Histog.'!CQ:CQ),"")</f>
        <v>0</v>
      </c>
      <c r="W281" s="144">
        <f>IFERROR(_xlfn.XLOOKUP($B281,'Cronog. e Histog.'!$BZ:$BZ,'Cronog. e Histog.'!CR:CR),"")</f>
        <v>0</v>
      </c>
      <c r="X281" s="144">
        <f>IFERROR(_xlfn.XLOOKUP($B281,'Cronog. e Histog.'!$BZ:$BZ,'Cronog. e Histog.'!CS:CS),"")</f>
        <v>0</v>
      </c>
      <c r="Y281" s="144">
        <f>IFERROR(_xlfn.XLOOKUP($B281,'Cronog. e Histog.'!$BZ:$BZ,'Cronog. e Histog.'!CT:CT),"")</f>
        <v>0</v>
      </c>
      <c r="Z281" s="144">
        <f>IFERROR(_xlfn.XLOOKUP($B281,'Cronog. e Histog.'!$BZ:$BZ,'Cronog. e Histog.'!CU:CU),"")</f>
        <v>0</v>
      </c>
      <c r="AA281" s="144">
        <f>IFERROR(_xlfn.XLOOKUP($B281,'Cronog. e Histog.'!$BZ:$BZ,'Cronog. e Histog.'!CV:CV),"")</f>
        <v>0</v>
      </c>
      <c r="AB281" s="144">
        <f>IFERROR(_xlfn.XLOOKUP($B281,'Cronog. e Histog.'!$BZ:$BZ,'Cronog. e Histog.'!CW:CW),"")</f>
        <v>0</v>
      </c>
      <c r="AC281" s="144">
        <f>IFERROR(_xlfn.XLOOKUP($B281,'Cronog. e Histog.'!$BZ:$BZ,'Cronog. e Histog.'!CX:CX),"")</f>
        <v>0</v>
      </c>
      <c r="AD281" s="144">
        <f>IFERROR(_xlfn.XLOOKUP($B281,'Cronog. e Histog.'!$BZ:$BZ,'Cronog. e Histog.'!CY:CY),"")</f>
        <v>0</v>
      </c>
      <c r="AE281" s="144">
        <f>IFERROR(_xlfn.XLOOKUP($B281,'Cronog. e Histog.'!$BZ:$BZ,'Cronog. e Histog.'!CZ:CZ),"")</f>
        <v>0</v>
      </c>
      <c r="AF281" s="144">
        <f>IFERROR(_xlfn.XLOOKUP($B281,'Cronog. e Histog.'!$BZ:$BZ,'Cronog. e Histog.'!DA:DA),"")</f>
        <v>0</v>
      </c>
      <c r="AG281" s="144">
        <f>IFERROR(_xlfn.XLOOKUP($B281,'Cronog. e Histog.'!$BZ:$BZ,'Cronog. e Histog.'!DB:DB),"")</f>
        <v>0</v>
      </c>
      <c r="AH281" s="144">
        <f>IFERROR(_xlfn.XLOOKUP($B281,'Cronog. e Histog.'!$BZ:$BZ,'Cronog. e Histog.'!DC:DC),"")</f>
        <v>0</v>
      </c>
      <c r="AI281" s="144">
        <f>IFERROR(_xlfn.XLOOKUP($B281,'Cronog. e Histog.'!$BZ:$BZ,'Cronog. e Histog.'!DD:DD),"")</f>
        <v>0</v>
      </c>
      <c r="AJ281" s="144">
        <f>IFERROR(_xlfn.XLOOKUP($B281,'Cronog. e Histog.'!$BZ:$BZ,'Cronog. e Histog.'!DE:DE),"")</f>
        <v>0</v>
      </c>
      <c r="AK281" s="144">
        <f>IFERROR(_xlfn.XLOOKUP($B281,'Cronog. e Histog.'!$BZ:$BZ,'Cronog. e Histog.'!DF:DF),"")</f>
        <v>0</v>
      </c>
      <c r="AL281" s="144">
        <f>IFERROR(_xlfn.XLOOKUP($B281,'Cronog. e Histog.'!$BZ:$BZ,'Cronog. e Histog.'!DG:DG),"")</f>
        <v>0</v>
      </c>
      <c r="AM281" s="144">
        <f>IFERROR(_xlfn.XLOOKUP($B281,'Cronog. e Histog.'!$BZ:$BZ,'Cronog. e Histog.'!DH:DH),"")</f>
        <v>0</v>
      </c>
      <c r="AN281" s="144">
        <f>IFERROR(_xlfn.XLOOKUP($B281,'Cronog. e Histog.'!$BZ:$BZ,'Cronog. e Histog.'!DI:DI),"")</f>
        <v>0</v>
      </c>
      <c r="AO281" s="144">
        <f>IFERROR(_xlfn.XLOOKUP($B281,'Cronog. e Histog.'!$BZ:$BZ,'Cronog. e Histog.'!DJ:DJ),"")</f>
        <v>0</v>
      </c>
      <c r="AP281" s="144">
        <f>IFERROR(_xlfn.XLOOKUP($B281,'Cronog. e Histog.'!$BZ:$BZ,'Cronog. e Histog.'!DK:DK),"")</f>
        <v>0</v>
      </c>
      <c r="AQ281" s="144">
        <f>IFERROR(_xlfn.XLOOKUP($B281,'Cronog. e Histog.'!$BZ:$BZ,'Cronog. e Histog.'!DL:DL),"")</f>
        <v>0</v>
      </c>
      <c r="AR281" s="144">
        <f>IFERROR(_xlfn.XLOOKUP($B281,'Cronog. e Histog.'!$BZ:$BZ,'Cronog. e Histog.'!DM:DM),"")</f>
        <v>0</v>
      </c>
      <c r="AS281" s="144">
        <f>IFERROR(_xlfn.XLOOKUP($B281,'Cronog. e Histog.'!$BZ:$BZ,'Cronog. e Histog.'!DN:DN),"")</f>
        <v>0</v>
      </c>
      <c r="AT281" s="144">
        <f>IFERROR(_xlfn.XLOOKUP($B281,'Cronog. e Histog.'!$BZ:$BZ,'Cronog. e Histog.'!DO:DO),"")</f>
        <v>0</v>
      </c>
      <c r="AU281" s="144">
        <f>IFERROR(_xlfn.XLOOKUP($B281,'Cronog. e Histog.'!$BZ:$BZ,'Cronog. e Histog.'!DP:DP),"")</f>
        <v>0</v>
      </c>
      <c r="AV281" s="144">
        <f>IFERROR(_xlfn.XLOOKUP($B281,'Cronog. e Histog.'!$BZ:$BZ,'Cronog. e Histog.'!DQ:DQ),"")</f>
        <v>0</v>
      </c>
      <c r="AW281" s="144">
        <f>IFERROR(_xlfn.XLOOKUP($B281,'Cronog. e Histog.'!$BZ:$BZ,'Cronog. e Histog.'!DR:DR),"")</f>
        <v>0</v>
      </c>
      <c r="AX281" s="144">
        <f>IFERROR(_xlfn.XLOOKUP($B281,'Cronog. e Histog.'!$BZ:$BZ,'Cronog. e Histog.'!DS:DS),"")</f>
        <v>0</v>
      </c>
      <c r="AY281" s="144">
        <f>IFERROR(_xlfn.XLOOKUP($B281,'Cronog. e Histog.'!$BZ:$BZ,'Cronog. e Histog.'!DT:DT),"")</f>
        <v>0</v>
      </c>
      <c r="AZ281" s="144">
        <f>IFERROR(_xlfn.XLOOKUP($B281,'Cronog. e Histog.'!$BZ:$BZ,'Cronog. e Histog.'!DU:DU),"")</f>
        <v>0</v>
      </c>
      <c r="BA281" s="144">
        <f>IFERROR(_xlfn.XLOOKUP($B281,'Cronog. e Histog.'!$BZ:$BZ,'Cronog. e Histog.'!DV:DV),"")</f>
        <v>0</v>
      </c>
      <c r="BB281" s="144">
        <f>IFERROR(_xlfn.XLOOKUP($B281,'Cronog. e Histog.'!$BZ:$BZ,'Cronog. e Histog.'!DW:DW),"")</f>
        <v>0</v>
      </c>
      <c r="BC281" s="144">
        <f>IFERROR(_xlfn.XLOOKUP($B281,'Cronog. e Histog.'!$BZ:$BZ,'Cronog. e Histog.'!DX:DX),"")</f>
        <v>0</v>
      </c>
      <c r="BD281" s="144">
        <f>IFERROR(_xlfn.XLOOKUP($B281,'Cronog. e Histog.'!$BZ:$BZ,'Cronog. e Histog.'!DY:DY),"")</f>
        <v>0</v>
      </c>
      <c r="BE281" s="144">
        <f>IFERROR(_xlfn.XLOOKUP($B281,'Cronog. e Histog.'!$BZ:$BZ,'Cronog. e Histog.'!DZ:DZ),"")</f>
        <v>0</v>
      </c>
      <c r="BF281" s="144">
        <f>IFERROR(_xlfn.XLOOKUP($B281,'Cronog. e Histog.'!$BZ:$BZ,'Cronog. e Histog.'!EA:EA),"")</f>
        <v>0</v>
      </c>
      <c r="BG281" s="144">
        <f>IFERROR(_xlfn.XLOOKUP($B281,'Cronog. e Histog.'!$BZ:$BZ,'Cronog. e Histog.'!EB:EB),"")</f>
        <v>0</v>
      </c>
      <c r="BH281" s="144">
        <f>IFERROR(_xlfn.XLOOKUP($B281,'Cronog. e Histog.'!$BZ:$BZ,'Cronog. e Histog.'!EC:EC),"")</f>
        <v>0</v>
      </c>
      <c r="BI281" s="144">
        <f>IFERROR(_xlfn.XLOOKUP($B281,'Cronog. e Histog.'!$BZ:$BZ,'Cronog. e Histog.'!ED:ED),"")</f>
        <v>0</v>
      </c>
      <c r="BJ281" s="144">
        <f>IFERROR(_xlfn.XLOOKUP($B281,'Cronog. e Histog.'!$BZ:$BZ,'Cronog. e Histog.'!EE:EE),"")</f>
        <v>0</v>
      </c>
      <c r="BK281" s="144">
        <f>IFERROR(_xlfn.XLOOKUP($B281,'Cronog. e Histog.'!$BZ:$BZ,'Cronog. e Histog.'!EF:EF),"")</f>
        <v>0</v>
      </c>
      <c r="BL281" s="144">
        <f>IFERROR(_xlfn.XLOOKUP($B281,'Cronog. e Histog.'!$BZ:$BZ,'Cronog. e Histog.'!EG:EG),"")</f>
        <v>0</v>
      </c>
      <c r="BM281" s="144">
        <f>IFERROR(_xlfn.XLOOKUP($B281,'Cronog. e Histog.'!$BZ:$BZ,'Cronog. e Histog.'!EH:EH),"")</f>
        <v>0</v>
      </c>
      <c r="BN281" s="144">
        <f>IFERROR(_xlfn.XLOOKUP($B281,'Cronog. e Histog.'!$BZ:$BZ,'Cronog. e Histog.'!EI:EI),"")</f>
        <v>0</v>
      </c>
    </row>
    <row r="282" spans="2:66" ht="12" hidden="1" customHeight="1" outlineLevel="1">
      <c r="B282" s="76">
        <v>276</v>
      </c>
      <c r="C282" s="143" t="str">
        <f>IFERROR(VLOOKUP(B282,'Cronog. e Histog.'!$BZ$213:$CA$747,2,0),"")</f>
        <v>AUX TEC</v>
      </c>
      <c r="D282" s="144">
        <f t="shared" si="6"/>
        <v>0</v>
      </c>
      <c r="E282" s="144">
        <f t="shared" si="7"/>
        <v>0</v>
      </c>
      <c r="F282" s="65"/>
      <c r="G282" s="144">
        <f>IFERROR(_xlfn.XLOOKUP($B282,'Cronog. e Histog.'!$BZ:$BZ,'Cronog. e Histog.'!CB:CB),"")</f>
        <v>0</v>
      </c>
      <c r="H282" s="144">
        <f>IFERROR(_xlfn.XLOOKUP($B282,'Cronog. e Histog.'!$BZ:$BZ,'Cronog. e Histog.'!CC:CC),"")</f>
        <v>0</v>
      </c>
      <c r="I282" s="144">
        <f>IFERROR(_xlfn.XLOOKUP($B282,'Cronog. e Histog.'!$BZ:$BZ,'Cronog. e Histog.'!CD:CD),"")</f>
        <v>0</v>
      </c>
      <c r="J282" s="144">
        <f>IFERROR(_xlfn.XLOOKUP($B282,'Cronog. e Histog.'!$BZ:$BZ,'Cronog. e Histog.'!CE:CE),"")</f>
        <v>0</v>
      </c>
      <c r="K282" s="144">
        <f>IFERROR(_xlfn.XLOOKUP($B282,'Cronog. e Histog.'!$BZ:$BZ,'Cronog. e Histog.'!CF:CF),"")</f>
        <v>0</v>
      </c>
      <c r="L282" s="144">
        <f>IFERROR(_xlfn.XLOOKUP($B282,'Cronog. e Histog.'!$BZ:$BZ,'Cronog. e Histog.'!CG:CG),"")</f>
        <v>0</v>
      </c>
      <c r="M282" s="144">
        <f>IFERROR(_xlfn.XLOOKUP($B282,'Cronog. e Histog.'!$BZ:$BZ,'Cronog. e Histog.'!CH:CH),"")</f>
        <v>0</v>
      </c>
      <c r="N282" s="144">
        <f>IFERROR(_xlfn.XLOOKUP($B282,'Cronog. e Histog.'!$BZ:$BZ,'Cronog. e Histog.'!CI:CI),"")</f>
        <v>0</v>
      </c>
      <c r="O282" s="144">
        <f>IFERROR(_xlfn.XLOOKUP($B282,'Cronog. e Histog.'!$BZ:$BZ,'Cronog. e Histog.'!CJ:CJ),"")</f>
        <v>0</v>
      </c>
      <c r="P282" s="144">
        <f>IFERROR(_xlfn.XLOOKUP($B282,'Cronog. e Histog.'!$BZ:$BZ,'Cronog. e Histog.'!CK:CK),"")</f>
        <v>0</v>
      </c>
      <c r="Q282" s="144">
        <f>IFERROR(_xlfn.XLOOKUP($B282,'Cronog. e Histog.'!$BZ:$BZ,'Cronog. e Histog.'!CL:CL),"")</f>
        <v>0</v>
      </c>
      <c r="R282" s="144">
        <f>IFERROR(_xlfn.XLOOKUP($B282,'Cronog. e Histog.'!$BZ:$BZ,'Cronog. e Histog.'!CM:CM),"")</f>
        <v>0</v>
      </c>
      <c r="S282" s="144">
        <f>IFERROR(_xlfn.XLOOKUP($B282,'Cronog. e Histog.'!$BZ:$BZ,'Cronog. e Histog.'!CN:CN),"")</f>
        <v>0</v>
      </c>
      <c r="T282" s="144">
        <f>IFERROR(_xlfn.XLOOKUP($B282,'Cronog. e Histog.'!$BZ:$BZ,'Cronog. e Histog.'!CO:CO),"")</f>
        <v>0</v>
      </c>
      <c r="U282" s="144">
        <f>IFERROR(_xlfn.XLOOKUP($B282,'Cronog. e Histog.'!$BZ:$BZ,'Cronog. e Histog.'!CP:CP),"")</f>
        <v>0</v>
      </c>
      <c r="V282" s="144">
        <f>IFERROR(_xlfn.XLOOKUP($B282,'Cronog. e Histog.'!$BZ:$BZ,'Cronog. e Histog.'!CQ:CQ),"")</f>
        <v>0</v>
      </c>
      <c r="W282" s="144">
        <f>IFERROR(_xlfn.XLOOKUP($B282,'Cronog. e Histog.'!$BZ:$BZ,'Cronog. e Histog.'!CR:CR),"")</f>
        <v>0</v>
      </c>
      <c r="X282" s="144">
        <f>IFERROR(_xlfn.XLOOKUP($B282,'Cronog. e Histog.'!$BZ:$BZ,'Cronog. e Histog.'!CS:CS),"")</f>
        <v>0</v>
      </c>
      <c r="Y282" s="144">
        <f>IFERROR(_xlfn.XLOOKUP($B282,'Cronog. e Histog.'!$BZ:$BZ,'Cronog. e Histog.'!CT:CT),"")</f>
        <v>0</v>
      </c>
      <c r="Z282" s="144">
        <f>IFERROR(_xlfn.XLOOKUP($B282,'Cronog. e Histog.'!$BZ:$BZ,'Cronog. e Histog.'!CU:CU),"")</f>
        <v>0</v>
      </c>
      <c r="AA282" s="144">
        <f>IFERROR(_xlfn.XLOOKUP($B282,'Cronog. e Histog.'!$BZ:$BZ,'Cronog. e Histog.'!CV:CV),"")</f>
        <v>0</v>
      </c>
      <c r="AB282" s="144">
        <f>IFERROR(_xlfn.XLOOKUP($B282,'Cronog. e Histog.'!$BZ:$BZ,'Cronog. e Histog.'!CW:CW),"")</f>
        <v>0</v>
      </c>
      <c r="AC282" s="144">
        <f>IFERROR(_xlfn.XLOOKUP($B282,'Cronog. e Histog.'!$BZ:$BZ,'Cronog. e Histog.'!CX:CX),"")</f>
        <v>0</v>
      </c>
      <c r="AD282" s="144">
        <f>IFERROR(_xlfn.XLOOKUP($B282,'Cronog. e Histog.'!$BZ:$BZ,'Cronog. e Histog.'!CY:CY),"")</f>
        <v>0</v>
      </c>
      <c r="AE282" s="144">
        <f>IFERROR(_xlfn.XLOOKUP($B282,'Cronog. e Histog.'!$BZ:$BZ,'Cronog. e Histog.'!CZ:CZ),"")</f>
        <v>0</v>
      </c>
      <c r="AF282" s="144">
        <f>IFERROR(_xlfn.XLOOKUP($B282,'Cronog. e Histog.'!$BZ:$BZ,'Cronog. e Histog.'!DA:DA),"")</f>
        <v>0</v>
      </c>
      <c r="AG282" s="144">
        <f>IFERROR(_xlfn.XLOOKUP($B282,'Cronog. e Histog.'!$BZ:$BZ,'Cronog. e Histog.'!DB:DB),"")</f>
        <v>0</v>
      </c>
      <c r="AH282" s="144">
        <f>IFERROR(_xlfn.XLOOKUP($B282,'Cronog. e Histog.'!$BZ:$BZ,'Cronog. e Histog.'!DC:DC),"")</f>
        <v>0</v>
      </c>
      <c r="AI282" s="144">
        <f>IFERROR(_xlfn.XLOOKUP($B282,'Cronog. e Histog.'!$BZ:$BZ,'Cronog. e Histog.'!DD:DD),"")</f>
        <v>0</v>
      </c>
      <c r="AJ282" s="144">
        <f>IFERROR(_xlfn.XLOOKUP($B282,'Cronog. e Histog.'!$BZ:$BZ,'Cronog. e Histog.'!DE:DE),"")</f>
        <v>0</v>
      </c>
      <c r="AK282" s="144">
        <f>IFERROR(_xlfn.XLOOKUP($B282,'Cronog. e Histog.'!$BZ:$BZ,'Cronog. e Histog.'!DF:DF),"")</f>
        <v>0</v>
      </c>
      <c r="AL282" s="144">
        <f>IFERROR(_xlfn.XLOOKUP($B282,'Cronog. e Histog.'!$BZ:$BZ,'Cronog. e Histog.'!DG:DG),"")</f>
        <v>0</v>
      </c>
      <c r="AM282" s="144">
        <f>IFERROR(_xlfn.XLOOKUP($B282,'Cronog. e Histog.'!$BZ:$BZ,'Cronog. e Histog.'!DH:DH),"")</f>
        <v>0</v>
      </c>
      <c r="AN282" s="144">
        <f>IFERROR(_xlfn.XLOOKUP($B282,'Cronog. e Histog.'!$BZ:$BZ,'Cronog. e Histog.'!DI:DI),"")</f>
        <v>0</v>
      </c>
      <c r="AO282" s="144">
        <f>IFERROR(_xlfn.XLOOKUP($B282,'Cronog. e Histog.'!$BZ:$BZ,'Cronog. e Histog.'!DJ:DJ),"")</f>
        <v>0</v>
      </c>
      <c r="AP282" s="144">
        <f>IFERROR(_xlfn.XLOOKUP($B282,'Cronog. e Histog.'!$BZ:$BZ,'Cronog. e Histog.'!DK:DK),"")</f>
        <v>0</v>
      </c>
      <c r="AQ282" s="144">
        <f>IFERROR(_xlfn.XLOOKUP($B282,'Cronog. e Histog.'!$BZ:$BZ,'Cronog. e Histog.'!DL:DL),"")</f>
        <v>0</v>
      </c>
      <c r="AR282" s="144">
        <f>IFERROR(_xlfn.XLOOKUP($B282,'Cronog. e Histog.'!$BZ:$BZ,'Cronog. e Histog.'!DM:DM),"")</f>
        <v>0</v>
      </c>
      <c r="AS282" s="144">
        <f>IFERROR(_xlfn.XLOOKUP($B282,'Cronog. e Histog.'!$BZ:$BZ,'Cronog. e Histog.'!DN:DN),"")</f>
        <v>0</v>
      </c>
      <c r="AT282" s="144">
        <f>IFERROR(_xlfn.XLOOKUP($B282,'Cronog. e Histog.'!$BZ:$BZ,'Cronog. e Histog.'!DO:DO),"")</f>
        <v>0</v>
      </c>
      <c r="AU282" s="144">
        <f>IFERROR(_xlfn.XLOOKUP($B282,'Cronog. e Histog.'!$BZ:$BZ,'Cronog. e Histog.'!DP:DP),"")</f>
        <v>0</v>
      </c>
      <c r="AV282" s="144">
        <f>IFERROR(_xlfn.XLOOKUP($B282,'Cronog. e Histog.'!$BZ:$BZ,'Cronog. e Histog.'!DQ:DQ),"")</f>
        <v>0</v>
      </c>
      <c r="AW282" s="144">
        <f>IFERROR(_xlfn.XLOOKUP($B282,'Cronog. e Histog.'!$BZ:$BZ,'Cronog. e Histog.'!DR:DR),"")</f>
        <v>0</v>
      </c>
      <c r="AX282" s="144">
        <f>IFERROR(_xlfn.XLOOKUP($B282,'Cronog. e Histog.'!$BZ:$BZ,'Cronog. e Histog.'!DS:DS),"")</f>
        <v>0</v>
      </c>
      <c r="AY282" s="144">
        <f>IFERROR(_xlfn.XLOOKUP($B282,'Cronog. e Histog.'!$BZ:$BZ,'Cronog. e Histog.'!DT:DT),"")</f>
        <v>0</v>
      </c>
      <c r="AZ282" s="144">
        <f>IFERROR(_xlfn.XLOOKUP($B282,'Cronog. e Histog.'!$BZ:$BZ,'Cronog. e Histog.'!DU:DU),"")</f>
        <v>0</v>
      </c>
      <c r="BA282" s="144">
        <f>IFERROR(_xlfn.XLOOKUP($B282,'Cronog. e Histog.'!$BZ:$BZ,'Cronog. e Histog.'!DV:DV),"")</f>
        <v>0</v>
      </c>
      <c r="BB282" s="144">
        <f>IFERROR(_xlfn.XLOOKUP($B282,'Cronog. e Histog.'!$BZ:$BZ,'Cronog. e Histog.'!DW:DW),"")</f>
        <v>0</v>
      </c>
      <c r="BC282" s="144">
        <f>IFERROR(_xlfn.XLOOKUP($B282,'Cronog. e Histog.'!$BZ:$BZ,'Cronog. e Histog.'!DX:DX),"")</f>
        <v>0</v>
      </c>
      <c r="BD282" s="144">
        <f>IFERROR(_xlfn.XLOOKUP($B282,'Cronog. e Histog.'!$BZ:$BZ,'Cronog. e Histog.'!DY:DY),"")</f>
        <v>0</v>
      </c>
      <c r="BE282" s="144">
        <f>IFERROR(_xlfn.XLOOKUP($B282,'Cronog. e Histog.'!$BZ:$BZ,'Cronog. e Histog.'!DZ:DZ),"")</f>
        <v>0</v>
      </c>
      <c r="BF282" s="144">
        <f>IFERROR(_xlfn.XLOOKUP($B282,'Cronog. e Histog.'!$BZ:$BZ,'Cronog. e Histog.'!EA:EA),"")</f>
        <v>0</v>
      </c>
      <c r="BG282" s="144">
        <f>IFERROR(_xlfn.XLOOKUP($B282,'Cronog. e Histog.'!$BZ:$BZ,'Cronog. e Histog.'!EB:EB),"")</f>
        <v>0</v>
      </c>
      <c r="BH282" s="144">
        <f>IFERROR(_xlfn.XLOOKUP($B282,'Cronog. e Histog.'!$BZ:$BZ,'Cronog. e Histog.'!EC:EC),"")</f>
        <v>0</v>
      </c>
      <c r="BI282" s="144">
        <f>IFERROR(_xlfn.XLOOKUP($B282,'Cronog. e Histog.'!$BZ:$BZ,'Cronog. e Histog.'!ED:ED),"")</f>
        <v>0</v>
      </c>
      <c r="BJ282" s="144">
        <f>IFERROR(_xlfn.XLOOKUP($B282,'Cronog. e Histog.'!$BZ:$BZ,'Cronog. e Histog.'!EE:EE),"")</f>
        <v>0</v>
      </c>
      <c r="BK282" s="144">
        <f>IFERROR(_xlfn.XLOOKUP($B282,'Cronog. e Histog.'!$BZ:$BZ,'Cronog. e Histog.'!EF:EF),"")</f>
        <v>0</v>
      </c>
      <c r="BL282" s="144">
        <f>IFERROR(_xlfn.XLOOKUP($B282,'Cronog. e Histog.'!$BZ:$BZ,'Cronog. e Histog.'!EG:EG),"")</f>
        <v>0</v>
      </c>
      <c r="BM282" s="144">
        <f>IFERROR(_xlfn.XLOOKUP($B282,'Cronog. e Histog.'!$BZ:$BZ,'Cronog. e Histog.'!EH:EH),"")</f>
        <v>0</v>
      </c>
      <c r="BN282" s="144">
        <f>IFERROR(_xlfn.XLOOKUP($B282,'Cronog. e Histog.'!$BZ:$BZ,'Cronog. e Histog.'!EI:EI),"")</f>
        <v>0</v>
      </c>
    </row>
    <row r="283" spans="2:66" ht="12" hidden="1" customHeight="1" outlineLevel="1">
      <c r="B283" s="76">
        <v>277</v>
      </c>
      <c r="C283" s="143" t="str">
        <f>IFERROR(VLOOKUP(B283,'Cronog. e Histog.'!$BZ$213:$CA$747,2,0),"")</f>
        <v>AUX ADM</v>
      </c>
      <c r="D283" s="144">
        <f t="shared" si="6"/>
        <v>0</v>
      </c>
      <c r="E283" s="144">
        <f t="shared" si="7"/>
        <v>0</v>
      </c>
      <c r="F283" s="65"/>
      <c r="G283" s="144">
        <f>IFERROR(_xlfn.XLOOKUP($B283,'Cronog. e Histog.'!$BZ:$BZ,'Cronog. e Histog.'!CB:CB),"")</f>
        <v>0</v>
      </c>
      <c r="H283" s="144">
        <f>IFERROR(_xlfn.XLOOKUP($B283,'Cronog. e Histog.'!$BZ:$BZ,'Cronog. e Histog.'!CC:CC),"")</f>
        <v>0</v>
      </c>
      <c r="I283" s="144">
        <f>IFERROR(_xlfn.XLOOKUP($B283,'Cronog. e Histog.'!$BZ:$BZ,'Cronog. e Histog.'!CD:CD),"")</f>
        <v>0</v>
      </c>
      <c r="J283" s="144">
        <f>IFERROR(_xlfn.XLOOKUP($B283,'Cronog. e Histog.'!$BZ:$BZ,'Cronog. e Histog.'!CE:CE),"")</f>
        <v>0</v>
      </c>
      <c r="K283" s="144">
        <f>IFERROR(_xlfn.XLOOKUP($B283,'Cronog. e Histog.'!$BZ:$BZ,'Cronog. e Histog.'!CF:CF),"")</f>
        <v>0</v>
      </c>
      <c r="L283" s="144">
        <f>IFERROR(_xlfn.XLOOKUP($B283,'Cronog. e Histog.'!$BZ:$BZ,'Cronog. e Histog.'!CG:CG),"")</f>
        <v>0</v>
      </c>
      <c r="M283" s="144">
        <f>IFERROR(_xlfn.XLOOKUP($B283,'Cronog. e Histog.'!$BZ:$BZ,'Cronog. e Histog.'!CH:CH),"")</f>
        <v>0</v>
      </c>
      <c r="N283" s="144">
        <f>IFERROR(_xlfn.XLOOKUP($B283,'Cronog. e Histog.'!$BZ:$BZ,'Cronog. e Histog.'!CI:CI),"")</f>
        <v>0</v>
      </c>
      <c r="O283" s="144">
        <f>IFERROR(_xlfn.XLOOKUP($B283,'Cronog. e Histog.'!$BZ:$BZ,'Cronog. e Histog.'!CJ:CJ),"")</f>
        <v>0</v>
      </c>
      <c r="P283" s="144">
        <f>IFERROR(_xlfn.XLOOKUP($B283,'Cronog. e Histog.'!$BZ:$BZ,'Cronog. e Histog.'!CK:CK),"")</f>
        <v>0</v>
      </c>
      <c r="Q283" s="144">
        <f>IFERROR(_xlfn.XLOOKUP($B283,'Cronog. e Histog.'!$BZ:$BZ,'Cronog. e Histog.'!CL:CL),"")</f>
        <v>0</v>
      </c>
      <c r="R283" s="144">
        <f>IFERROR(_xlfn.XLOOKUP($B283,'Cronog. e Histog.'!$BZ:$BZ,'Cronog. e Histog.'!CM:CM),"")</f>
        <v>0</v>
      </c>
      <c r="S283" s="144">
        <f>IFERROR(_xlfn.XLOOKUP($B283,'Cronog. e Histog.'!$BZ:$BZ,'Cronog. e Histog.'!CN:CN),"")</f>
        <v>0</v>
      </c>
      <c r="T283" s="144">
        <f>IFERROR(_xlfn.XLOOKUP($B283,'Cronog. e Histog.'!$BZ:$BZ,'Cronog. e Histog.'!CO:CO),"")</f>
        <v>0</v>
      </c>
      <c r="U283" s="144">
        <f>IFERROR(_xlfn.XLOOKUP($B283,'Cronog. e Histog.'!$BZ:$BZ,'Cronog. e Histog.'!CP:CP),"")</f>
        <v>0</v>
      </c>
      <c r="V283" s="144">
        <f>IFERROR(_xlfn.XLOOKUP($B283,'Cronog. e Histog.'!$BZ:$BZ,'Cronog. e Histog.'!CQ:CQ),"")</f>
        <v>0</v>
      </c>
      <c r="W283" s="144">
        <f>IFERROR(_xlfn.XLOOKUP($B283,'Cronog. e Histog.'!$BZ:$BZ,'Cronog. e Histog.'!CR:CR),"")</f>
        <v>0</v>
      </c>
      <c r="X283" s="144">
        <f>IFERROR(_xlfn.XLOOKUP($B283,'Cronog. e Histog.'!$BZ:$BZ,'Cronog. e Histog.'!CS:CS),"")</f>
        <v>0</v>
      </c>
      <c r="Y283" s="144">
        <f>IFERROR(_xlfn.XLOOKUP($B283,'Cronog. e Histog.'!$BZ:$BZ,'Cronog. e Histog.'!CT:CT),"")</f>
        <v>0</v>
      </c>
      <c r="Z283" s="144">
        <f>IFERROR(_xlfn.XLOOKUP($B283,'Cronog. e Histog.'!$BZ:$BZ,'Cronog. e Histog.'!CU:CU),"")</f>
        <v>0</v>
      </c>
      <c r="AA283" s="144">
        <f>IFERROR(_xlfn.XLOOKUP($B283,'Cronog. e Histog.'!$BZ:$BZ,'Cronog. e Histog.'!CV:CV),"")</f>
        <v>0</v>
      </c>
      <c r="AB283" s="144">
        <f>IFERROR(_xlfn.XLOOKUP($B283,'Cronog. e Histog.'!$BZ:$BZ,'Cronog. e Histog.'!CW:CW),"")</f>
        <v>0</v>
      </c>
      <c r="AC283" s="144">
        <f>IFERROR(_xlfn.XLOOKUP($B283,'Cronog. e Histog.'!$BZ:$BZ,'Cronog. e Histog.'!CX:CX),"")</f>
        <v>0</v>
      </c>
      <c r="AD283" s="144">
        <f>IFERROR(_xlfn.XLOOKUP($B283,'Cronog. e Histog.'!$BZ:$BZ,'Cronog. e Histog.'!CY:CY),"")</f>
        <v>0</v>
      </c>
      <c r="AE283" s="144">
        <f>IFERROR(_xlfn.XLOOKUP($B283,'Cronog. e Histog.'!$BZ:$BZ,'Cronog. e Histog.'!CZ:CZ),"")</f>
        <v>0</v>
      </c>
      <c r="AF283" s="144">
        <f>IFERROR(_xlfn.XLOOKUP($B283,'Cronog. e Histog.'!$BZ:$BZ,'Cronog. e Histog.'!DA:DA),"")</f>
        <v>0</v>
      </c>
      <c r="AG283" s="144">
        <f>IFERROR(_xlfn.XLOOKUP($B283,'Cronog. e Histog.'!$BZ:$BZ,'Cronog. e Histog.'!DB:DB),"")</f>
        <v>0</v>
      </c>
      <c r="AH283" s="144">
        <f>IFERROR(_xlfn.XLOOKUP($B283,'Cronog. e Histog.'!$BZ:$BZ,'Cronog. e Histog.'!DC:DC),"")</f>
        <v>0</v>
      </c>
      <c r="AI283" s="144">
        <f>IFERROR(_xlfn.XLOOKUP($B283,'Cronog. e Histog.'!$BZ:$BZ,'Cronog. e Histog.'!DD:DD),"")</f>
        <v>0</v>
      </c>
      <c r="AJ283" s="144">
        <f>IFERROR(_xlfn.XLOOKUP($B283,'Cronog. e Histog.'!$BZ:$BZ,'Cronog. e Histog.'!DE:DE),"")</f>
        <v>0</v>
      </c>
      <c r="AK283" s="144">
        <f>IFERROR(_xlfn.XLOOKUP($B283,'Cronog. e Histog.'!$BZ:$BZ,'Cronog. e Histog.'!DF:DF),"")</f>
        <v>0</v>
      </c>
      <c r="AL283" s="144">
        <f>IFERROR(_xlfn.XLOOKUP($B283,'Cronog. e Histog.'!$BZ:$BZ,'Cronog. e Histog.'!DG:DG),"")</f>
        <v>0</v>
      </c>
      <c r="AM283" s="144">
        <f>IFERROR(_xlfn.XLOOKUP($B283,'Cronog. e Histog.'!$BZ:$BZ,'Cronog. e Histog.'!DH:DH),"")</f>
        <v>0</v>
      </c>
      <c r="AN283" s="144">
        <f>IFERROR(_xlfn.XLOOKUP($B283,'Cronog. e Histog.'!$BZ:$BZ,'Cronog. e Histog.'!DI:DI),"")</f>
        <v>0</v>
      </c>
      <c r="AO283" s="144">
        <f>IFERROR(_xlfn.XLOOKUP($B283,'Cronog. e Histog.'!$BZ:$BZ,'Cronog. e Histog.'!DJ:DJ),"")</f>
        <v>0</v>
      </c>
      <c r="AP283" s="144">
        <f>IFERROR(_xlfn.XLOOKUP($B283,'Cronog. e Histog.'!$BZ:$BZ,'Cronog. e Histog.'!DK:DK),"")</f>
        <v>0</v>
      </c>
      <c r="AQ283" s="144">
        <f>IFERROR(_xlfn.XLOOKUP($B283,'Cronog. e Histog.'!$BZ:$BZ,'Cronog. e Histog.'!DL:DL),"")</f>
        <v>0</v>
      </c>
      <c r="AR283" s="144">
        <f>IFERROR(_xlfn.XLOOKUP($B283,'Cronog. e Histog.'!$BZ:$BZ,'Cronog. e Histog.'!DM:DM),"")</f>
        <v>0</v>
      </c>
      <c r="AS283" s="144">
        <f>IFERROR(_xlfn.XLOOKUP($B283,'Cronog. e Histog.'!$BZ:$BZ,'Cronog. e Histog.'!DN:DN),"")</f>
        <v>0</v>
      </c>
      <c r="AT283" s="144">
        <f>IFERROR(_xlfn.XLOOKUP($B283,'Cronog. e Histog.'!$BZ:$BZ,'Cronog. e Histog.'!DO:DO),"")</f>
        <v>0</v>
      </c>
      <c r="AU283" s="144">
        <f>IFERROR(_xlfn.XLOOKUP($B283,'Cronog. e Histog.'!$BZ:$BZ,'Cronog. e Histog.'!DP:DP),"")</f>
        <v>0</v>
      </c>
      <c r="AV283" s="144">
        <f>IFERROR(_xlfn.XLOOKUP($B283,'Cronog. e Histog.'!$BZ:$BZ,'Cronog. e Histog.'!DQ:DQ),"")</f>
        <v>0</v>
      </c>
      <c r="AW283" s="144">
        <f>IFERROR(_xlfn.XLOOKUP($B283,'Cronog. e Histog.'!$BZ:$BZ,'Cronog. e Histog.'!DR:DR),"")</f>
        <v>0</v>
      </c>
      <c r="AX283" s="144">
        <f>IFERROR(_xlfn.XLOOKUP($B283,'Cronog. e Histog.'!$BZ:$BZ,'Cronog. e Histog.'!DS:DS),"")</f>
        <v>0</v>
      </c>
      <c r="AY283" s="144">
        <f>IFERROR(_xlfn.XLOOKUP($B283,'Cronog. e Histog.'!$BZ:$BZ,'Cronog. e Histog.'!DT:DT),"")</f>
        <v>0</v>
      </c>
      <c r="AZ283" s="144">
        <f>IFERROR(_xlfn.XLOOKUP($B283,'Cronog. e Histog.'!$BZ:$BZ,'Cronog. e Histog.'!DU:DU),"")</f>
        <v>0</v>
      </c>
      <c r="BA283" s="144">
        <f>IFERROR(_xlfn.XLOOKUP($B283,'Cronog. e Histog.'!$BZ:$BZ,'Cronog. e Histog.'!DV:DV),"")</f>
        <v>0</v>
      </c>
      <c r="BB283" s="144">
        <f>IFERROR(_xlfn.XLOOKUP($B283,'Cronog. e Histog.'!$BZ:$BZ,'Cronog. e Histog.'!DW:DW),"")</f>
        <v>0</v>
      </c>
      <c r="BC283" s="144">
        <f>IFERROR(_xlfn.XLOOKUP($B283,'Cronog. e Histog.'!$BZ:$BZ,'Cronog. e Histog.'!DX:DX),"")</f>
        <v>0</v>
      </c>
      <c r="BD283" s="144">
        <f>IFERROR(_xlfn.XLOOKUP($B283,'Cronog. e Histog.'!$BZ:$BZ,'Cronog. e Histog.'!DY:DY),"")</f>
        <v>0</v>
      </c>
      <c r="BE283" s="144">
        <f>IFERROR(_xlfn.XLOOKUP($B283,'Cronog. e Histog.'!$BZ:$BZ,'Cronog. e Histog.'!DZ:DZ),"")</f>
        <v>0</v>
      </c>
      <c r="BF283" s="144">
        <f>IFERROR(_xlfn.XLOOKUP($B283,'Cronog. e Histog.'!$BZ:$BZ,'Cronog. e Histog.'!EA:EA),"")</f>
        <v>0</v>
      </c>
      <c r="BG283" s="144">
        <f>IFERROR(_xlfn.XLOOKUP($B283,'Cronog. e Histog.'!$BZ:$BZ,'Cronog. e Histog.'!EB:EB),"")</f>
        <v>0</v>
      </c>
      <c r="BH283" s="144">
        <f>IFERROR(_xlfn.XLOOKUP($B283,'Cronog. e Histog.'!$BZ:$BZ,'Cronog. e Histog.'!EC:EC),"")</f>
        <v>0</v>
      </c>
      <c r="BI283" s="144">
        <f>IFERROR(_xlfn.XLOOKUP($B283,'Cronog. e Histog.'!$BZ:$BZ,'Cronog. e Histog.'!ED:ED),"")</f>
        <v>0</v>
      </c>
      <c r="BJ283" s="144">
        <f>IFERROR(_xlfn.XLOOKUP($B283,'Cronog. e Histog.'!$BZ:$BZ,'Cronog. e Histog.'!EE:EE),"")</f>
        <v>0</v>
      </c>
      <c r="BK283" s="144">
        <f>IFERROR(_xlfn.XLOOKUP($B283,'Cronog. e Histog.'!$BZ:$BZ,'Cronog. e Histog.'!EF:EF),"")</f>
        <v>0</v>
      </c>
      <c r="BL283" s="144">
        <f>IFERROR(_xlfn.XLOOKUP($B283,'Cronog. e Histog.'!$BZ:$BZ,'Cronog. e Histog.'!EG:EG),"")</f>
        <v>0</v>
      </c>
      <c r="BM283" s="144">
        <f>IFERROR(_xlfn.XLOOKUP($B283,'Cronog. e Histog.'!$BZ:$BZ,'Cronog. e Histog.'!EH:EH),"")</f>
        <v>0</v>
      </c>
      <c r="BN283" s="144">
        <f>IFERROR(_xlfn.XLOOKUP($B283,'Cronog. e Histog.'!$BZ:$BZ,'Cronog. e Histog.'!EI:EI),"")</f>
        <v>0</v>
      </c>
    </row>
    <row r="284" spans="2:66" ht="12" hidden="1" customHeight="1" outlineLevel="1">
      <c r="B284" s="76">
        <v>278</v>
      </c>
      <c r="C284" s="143" t="str">
        <f>IFERROR(VLOOKUP(B284,'Cronog. e Histog.'!$BZ$213:$CA$747,2,0),"")</f>
        <v>EST</v>
      </c>
      <c r="D284" s="144">
        <f t="shared" si="6"/>
        <v>0</v>
      </c>
      <c r="E284" s="144">
        <f t="shared" si="7"/>
        <v>0</v>
      </c>
      <c r="F284" s="65"/>
      <c r="G284" s="144">
        <f>IFERROR(_xlfn.XLOOKUP($B284,'Cronog. e Histog.'!$BZ:$BZ,'Cronog. e Histog.'!CB:CB),"")</f>
        <v>0</v>
      </c>
      <c r="H284" s="144">
        <f>IFERROR(_xlfn.XLOOKUP($B284,'Cronog. e Histog.'!$BZ:$BZ,'Cronog. e Histog.'!CC:CC),"")</f>
        <v>0</v>
      </c>
      <c r="I284" s="144">
        <f>IFERROR(_xlfn.XLOOKUP($B284,'Cronog. e Histog.'!$BZ:$BZ,'Cronog. e Histog.'!CD:CD),"")</f>
        <v>0</v>
      </c>
      <c r="J284" s="144">
        <f>IFERROR(_xlfn.XLOOKUP($B284,'Cronog. e Histog.'!$BZ:$BZ,'Cronog. e Histog.'!CE:CE),"")</f>
        <v>0</v>
      </c>
      <c r="K284" s="144">
        <f>IFERROR(_xlfn.XLOOKUP($B284,'Cronog. e Histog.'!$BZ:$BZ,'Cronog. e Histog.'!CF:CF),"")</f>
        <v>0</v>
      </c>
      <c r="L284" s="144">
        <f>IFERROR(_xlfn.XLOOKUP($B284,'Cronog. e Histog.'!$BZ:$BZ,'Cronog. e Histog.'!CG:CG),"")</f>
        <v>0</v>
      </c>
      <c r="M284" s="144">
        <f>IFERROR(_xlfn.XLOOKUP($B284,'Cronog. e Histog.'!$BZ:$BZ,'Cronog. e Histog.'!CH:CH),"")</f>
        <v>0</v>
      </c>
      <c r="N284" s="144">
        <f>IFERROR(_xlfn.XLOOKUP($B284,'Cronog. e Histog.'!$BZ:$BZ,'Cronog. e Histog.'!CI:CI),"")</f>
        <v>0</v>
      </c>
      <c r="O284" s="144">
        <f>IFERROR(_xlfn.XLOOKUP($B284,'Cronog. e Histog.'!$BZ:$BZ,'Cronog. e Histog.'!CJ:CJ),"")</f>
        <v>0</v>
      </c>
      <c r="P284" s="144">
        <f>IFERROR(_xlfn.XLOOKUP($B284,'Cronog. e Histog.'!$BZ:$BZ,'Cronog. e Histog.'!CK:CK),"")</f>
        <v>0</v>
      </c>
      <c r="Q284" s="144">
        <f>IFERROR(_xlfn.XLOOKUP($B284,'Cronog. e Histog.'!$BZ:$BZ,'Cronog. e Histog.'!CL:CL),"")</f>
        <v>0</v>
      </c>
      <c r="R284" s="144">
        <f>IFERROR(_xlfn.XLOOKUP($B284,'Cronog. e Histog.'!$BZ:$BZ,'Cronog. e Histog.'!CM:CM),"")</f>
        <v>0</v>
      </c>
      <c r="S284" s="144">
        <f>IFERROR(_xlfn.XLOOKUP($B284,'Cronog. e Histog.'!$BZ:$BZ,'Cronog. e Histog.'!CN:CN),"")</f>
        <v>0</v>
      </c>
      <c r="T284" s="144">
        <f>IFERROR(_xlfn.XLOOKUP($B284,'Cronog. e Histog.'!$BZ:$BZ,'Cronog. e Histog.'!CO:CO),"")</f>
        <v>0</v>
      </c>
      <c r="U284" s="144">
        <f>IFERROR(_xlfn.XLOOKUP($B284,'Cronog. e Histog.'!$BZ:$BZ,'Cronog. e Histog.'!CP:CP),"")</f>
        <v>0</v>
      </c>
      <c r="V284" s="144">
        <f>IFERROR(_xlfn.XLOOKUP($B284,'Cronog. e Histog.'!$BZ:$BZ,'Cronog. e Histog.'!CQ:CQ),"")</f>
        <v>0</v>
      </c>
      <c r="W284" s="144">
        <f>IFERROR(_xlfn.XLOOKUP($B284,'Cronog. e Histog.'!$BZ:$BZ,'Cronog. e Histog.'!CR:CR),"")</f>
        <v>0</v>
      </c>
      <c r="X284" s="144">
        <f>IFERROR(_xlfn.XLOOKUP($B284,'Cronog. e Histog.'!$BZ:$BZ,'Cronog. e Histog.'!CS:CS),"")</f>
        <v>0</v>
      </c>
      <c r="Y284" s="144">
        <f>IFERROR(_xlfn.XLOOKUP($B284,'Cronog. e Histog.'!$BZ:$BZ,'Cronog. e Histog.'!CT:CT),"")</f>
        <v>0</v>
      </c>
      <c r="Z284" s="144">
        <f>IFERROR(_xlfn.XLOOKUP($B284,'Cronog. e Histog.'!$BZ:$BZ,'Cronog. e Histog.'!CU:CU),"")</f>
        <v>0</v>
      </c>
      <c r="AA284" s="144">
        <f>IFERROR(_xlfn.XLOOKUP($B284,'Cronog. e Histog.'!$BZ:$BZ,'Cronog. e Histog.'!CV:CV),"")</f>
        <v>0</v>
      </c>
      <c r="AB284" s="144">
        <f>IFERROR(_xlfn.XLOOKUP($B284,'Cronog. e Histog.'!$BZ:$BZ,'Cronog. e Histog.'!CW:CW),"")</f>
        <v>0</v>
      </c>
      <c r="AC284" s="144">
        <f>IFERROR(_xlfn.XLOOKUP($B284,'Cronog. e Histog.'!$BZ:$BZ,'Cronog. e Histog.'!CX:CX),"")</f>
        <v>0</v>
      </c>
      <c r="AD284" s="144">
        <f>IFERROR(_xlfn.XLOOKUP($B284,'Cronog. e Histog.'!$BZ:$BZ,'Cronog. e Histog.'!CY:CY),"")</f>
        <v>0</v>
      </c>
      <c r="AE284" s="144">
        <f>IFERROR(_xlfn.XLOOKUP($B284,'Cronog. e Histog.'!$BZ:$BZ,'Cronog. e Histog.'!CZ:CZ),"")</f>
        <v>0</v>
      </c>
      <c r="AF284" s="144">
        <f>IFERROR(_xlfn.XLOOKUP($B284,'Cronog. e Histog.'!$BZ:$BZ,'Cronog. e Histog.'!DA:DA),"")</f>
        <v>0</v>
      </c>
      <c r="AG284" s="144">
        <f>IFERROR(_xlfn.XLOOKUP($B284,'Cronog. e Histog.'!$BZ:$BZ,'Cronog. e Histog.'!DB:DB),"")</f>
        <v>0</v>
      </c>
      <c r="AH284" s="144">
        <f>IFERROR(_xlfn.XLOOKUP($B284,'Cronog. e Histog.'!$BZ:$BZ,'Cronog. e Histog.'!DC:DC),"")</f>
        <v>0</v>
      </c>
      <c r="AI284" s="144">
        <f>IFERROR(_xlfn.XLOOKUP($B284,'Cronog. e Histog.'!$BZ:$BZ,'Cronog. e Histog.'!DD:DD),"")</f>
        <v>0</v>
      </c>
      <c r="AJ284" s="144">
        <f>IFERROR(_xlfn.XLOOKUP($B284,'Cronog. e Histog.'!$BZ:$BZ,'Cronog. e Histog.'!DE:DE),"")</f>
        <v>0</v>
      </c>
      <c r="AK284" s="144">
        <f>IFERROR(_xlfn.XLOOKUP($B284,'Cronog. e Histog.'!$BZ:$BZ,'Cronog. e Histog.'!DF:DF),"")</f>
        <v>0</v>
      </c>
      <c r="AL284" s="144">
        <f>IFERROR(_xlfn.XLOOKUP($B284,'Cronog. e Histog.'!$BZ:$BZ,'Cronog. e Histog.'!DG:DG),"")</f>
        <v>0</v>
      </c>
      <c r="AM284" s="144">
        <f>IFERROR(_xlfn.XLOOKUP($B284,'Cronog. e Histog.'!$BZ:$BZ,'Cronog. e Histog.'!DH:DH),"")</f>
        <v>0</v>
      </c>
      <c r="AN284" s="144">
        <f>IFERROR(_xlfn.XLOOKUP($B284,'Cronog. e Histog.'!$BZ:$BZ,'Cronog. e Histog.'!DI:DI),"")</f>
        <v>0</v>
      </c>
      <c r="AO284" s="144">
        <f>IFERROR(_xlfn.XLOOKUP($B284,'Cronog. e Histog.'!$BZ:$BZ,'Cronog. e Histog.'!DJ:DJ),"")</f>
        <v>0</v>
      </c>
      <c r="AP284" s="144">
        <f>IFERROR(_xlfn.XLOOKUP($B284,'Cronog. e Histog.'!$BZ:$BZ,'Cronog. e Histog.'!DK:DK),"")</f>
        <v>0</v>
      </c>
      <c r="AQ284" s="144">
        <f>IFERROR(_xlfn.XLOOKUP($B284,'Cronog. e Histog.'!$BZ:$BZ,'Cronog. e Histog.'!DL:DL),"")</f>
        <v>0</v>
      </c>
      <c r="AR284" s="144">
        <f>IFERROR(_xlfn.XLOOKUP($B284,'Cronog. e Histog.'!$BZ:$BZ,'Cronog. e Histog.'!DM:DM),"")</f>
        <v>0</v>
      </c>
      <c r="AS284" s="144">
        <f>IFERROR(_xlfn.XLOOKUP($B284,'Cronog. e Histog.'!$BZ:$BZ,'Cronog. e Histog.'!DN:DN),"")</f>
        <v>0</v>
      </c>
      <c r="AT284" s="144">
        <f>IFERROR(_xlfn.XLOOKUP($B284,'Cronog. e Histog.'!$BZ:$BZ,'Cronog. e Histog.'!DO:DO),"")</f>
        <v>0</v>
      </c>
      <c r="AU284" s="144">
        <f>IFERROR(_xlfn.XLOOKUP($B284,'Cronog. e Histog.'!$BZ:$BZ,'Cronog. e Histog.'!DP:DP),"")</f>
        <v>0</v>
      </c>
      <c r="AV284" s="144">
        <f>IFERROR(_xlfn.XLOOKUP($B284,'Cronog. e Histog.'!$BZ:$BZ,'Cronog. e Histog.'!DQ:DQ),"")</f>
        <v>0</v>
      </c>
      <c r="AW284" s="144">
        <f>IFERROR(_xlfn.XLOOKUP($B284,'Cronog. e Histog.'!$BZ:$BZ,'Cronog. e Histog.'!DR:DR),"")</f>
        <v>0</v>
      </c>
      <c r="AX284" s="144">
        <f>IFERROR(_xlfn.XLOOKUP($B284,'Cronog. e Histog.'!$BZ:$BZ,'Cronog. e Histog.'!DS:DS),"")</f>
        <v>0</v>
      </c>
      <c r="AY284" s="144">
        <f>IFERROR(_xlfn.XLOOKUP($B284,'Cronog. e Histog.'!$BZ:$BZ,'Cronog. e Histog.'!DT:DT),"")</f>
        <v>0</v>
      </c>
      <c r="AZ284" s="144">
        <f>IFERROR(_xlfn.XLOOKUP($B284,'Cronog. e Histog.'!$BZ:$BZ,'Cronog. e Histog.'!DU:DU),"")</f>
        <v>0</v>
      </c>
      <c r="BA284" s="144">
        <f>IFERROR(_xlfn.XLOOKUP($B284,'Cronog. e Histog.'!$BZ:$BZ,'Cronog. e Histog.'!DV:DV),"")</f>
        <v>0</v>
      </c>
      <c r="BB284" s="144">
        <f>IFERROR(_xlfn.XLOOKUP($B284,'Cronog. e Histog.'!$BZ:$BZ,'Cronog. e Histog.'!DW:DW),"")</f>
        <v>0</v>
      </c>
      <c r="BC284" s="144">
        <f>IFERROR(_xlfn.XLOOKUP($B284,'Cronog. e Histog.'!$BZ:$BZ,'Cronog. e Histog.'!DX:DX),"")</f>
        <v>0</v>
      </c>
      <c r="BD284" s="144">
        <f>IFERROR(_xlfn.XLOOKUP($B284,'Cronog. e Histog.'!$BZ:$BZ,'Cronog. e Histog.'!DY:DY),"")</f>
        <v>0</v>
      </c>
      <c r="BE284" s="144">
        <f>IFERROR(_xlfn.XLOOKUP($B284,'Cronog. e Histog.'!$BZ:$BZ,'Cronog. e Histog.'!DZ:DZ),"")</f>
        <v>0</v>
      </c>
      <c r="BF284" s="144">
        <f>IFERROR(_xlfn.XLOOKUP($B284,'Cronog. e Histog.'!$BZ:$BZ,'Cronog. e Histog.'!EA:EA),"")</f>
        <v>0</v>
      </c>
      <c r="BG284" s="144">
        <f>IFERROR(_xlfn.XLOOKUP($B284,'Cronog. e Histog.'!$BZ:$BZ,'Cronog. e Histog.'!EB:EB),"")</f>
        <v>0</v>
      </c>
      <c r="BH284" s="144">
        <f>IFERROR(_xlfn.XLOOKUP($B284,'Cronog. e Histog.'!$BZ:$BZ,'Cronog. e Histog.'!EC:EC),"")</f>
        <v>0</v>
      </c>
      <c r="BI284" s="144">
        <f>IFERROR(_xlfn.XLOOKUP($B284,'Cronog. e Histog.'!$BZ:$BZ,'Cronog. e Histog.'!ED:ED),"")</f>
        <v>0</v>
      </c>
      <c r="BJ284" s="144">
        <f>IFERROR(_xlfn.XLOOKUP($B284,'Cronog. e Histog.'!$BZ:$BZ,'Cronog. e Histog.'!EE:EE),"")</f>
        <v>0</v>
      </c>
      <c r="BK284" s="144">
        <f>IFERROR(_xlfn.XLOOKUP($B284,'Cronog. e Histog.'!$BZ:$BZ,'Cronog. e Histog.'!EF:EF),"")</f>
        <v>0</v>
      </c>
      <c r="BL284" s="144">
        <f>IFERROR(_xlfn.XLOOKUP($B284,'Cronog. e Histog.'!$BZ:$BZ,'Cronog. e Histog.'!EG:EG),"")</f>
        <v>0</v>
      </c>
      <c r="BM284" s="144">
        <f>IFERROR(_xlfn.XLOOKUP($B284,'Cronog. e Histog.'!$BZ:$BZ,'Cronog. e Histog.'!EH:EH),"")</f>
        <v>0</v>
      </c>
      <c r="BN284" s="144">
        <f>IFERROR(_xlfn.XLOOKUP($B284,'Cronog. e Histog.'!$BZ:$BZ,'Cronog. e Histog.'!EI:EI),"")</f>
        <v>0</v>
      </c>
    </row>
    <row r="285" spans="2:66" ht="12" hidden="1" customHeight="1" outlineLevel="1">
      <c r="B285" s="76">
        <v>279</v>
      </c>
      <c r="C285" s="143" t="str">
        <f>IFERROR(VLOOKUP(B285,'Cronog. e Histog.'!$BZ$213:$CA$747,2,0),"")</f>
        <v>EST_II</v>
      </c>
      <c r="D285" s="144">
        <f t="shared" si="6"/>
        <v>0</v>
      </c>
      <c r="E285" s="144">
        <f t="shared" si="7"/>
        <v>0</v>
      </c>
      <c r="F285" s="65"/>
      <c r="G285" s="144">
        <f>IFERROR(_xlfn.XLOOKUP($B285,'Cronog. e Histog.'!$BZ:$BZ,'Cronog. e Histog.'!CB:CB),"")</f>
        <v>0</v>
      </c>
      <c r="H285" s="144">
        <f>IFERROR(_xlfn.XLOOKUP($B285,'Cronog. e Histog.'!$BZ:$BZ,'Cronog. e Histog.'!CC:CC),"")</f>
        <v>0</v>
      </c>
      <c r="I285" s="144">
        <f>IFERROR(_xlfn.XLOOKUP($B285,'Cronog. e Histog.'!$BZ:$BZ,'Cronog. e Histog.'!CD:CD),"")</f>
        <v>0</v>
      </c>
      <c r="J285" s="144">
        <f>IFERROR(_xlfn.XLOOKUP($B285,'Cronog. e Histog.'!$BZ:$BZ,'Cronog. e Histog.'!CE:CE),"")</f>
        <v>0</v>
      </c>
      <c r="K285" s="144">
        <f>IFERROR(_xlfn.XLOOKUP($B285,'Cronog. e Histog.'!$BZ:$BZ,'Cronog. e Histog.'!CF:CF),"")</f>
        <v>0</v>
      </c>
      <c r="L285" s="144">
        <f>IFERROR(_xlfn.XLOOKUP($B285,'Cronog. e Histog.'!$BZ:$BZ,'Cronog. e Histog.'!CG:CG),"")</f>
        <v>0</v>
      </c>
      <c r="M285" s="144">
        <f>IFERROR(_xlfn.XLOOKUP($B285,'Cronog. e Histog.'!$BZ:$BZ,'Cronog. e Histog.'!CH:CH),"")</f>
        <v>0</v>
      </c>
      <c r="N285" s="144">
        <f>IFERROR(_xlfn.XLOOKUP($B285,'Cronog. e Histog.'!$BZ:$BZ,'Cronog. e Histog.'!CI:CI),"")</f>
        <v>0</v>
      </c>
      <c r="O285" s="144">
        <f>IFERROR(_xlfn.XLOOKUP($B285,'Cronog. e Histog.'!$BZ:$BZ,'Cronog. e Histog.'!CJ:CJ),"")</f>
        <v>0</v>
      </c>
      <c r="P285" s="144">
        <f>IFERROR(_xlfn.XLOOKUP($B285,'Cronog. e Histog.'!$BZ:$BZ,'Cronog. e Histog.'!CK:CK),"")</f>
        <v>0</v>
      </c>
      <c r="Q285" s="144">
        <f>IFERROR(_xlfn.XLOOKUP($B285,'Cronog. e Histog.'!$BZ:$BZ,'Cronog. e Histog.'!CL:CL),"")</f>
        <v>0</v>
      </c>
      <c r="R285" s="144">
        <f>IFERROR(_xlfn.XLOOKUP($B285,'Cronog. e Histog.'!$BZ:$BZ,'Cronog. e Histog.'!CM:CM),"")</f>
        <v>0</v>
      </c>
      <c r="S285" s="144">
        <f>IFERROR(_xlfn.XLOOKUP($B285,'Cronog. e Histog.'!$BZ:$BZ,'Cronog. e Histog.'!CN:CN),"")</f>
        <v>0</v>
      </c>
      <c r="T285" s="144">
        <f>IFERROR(_xlfn.XLOOKUP($B285,'Cronog. e Histog.'!$BZ:$BZ,'Cronog. e Histog.'!CO:CO),"")</f>
        <v>0</v>
      </c>
      <c r="U285" s="144">
        <f>IFERROR(_xlfn.XLOOKUP($B285,'Cronog. e Histog.'!$BZ:$BZ,'Cronog. e Histog.'!CP:CP),"")</f>
        <v>0</v>
      </c>
      <c r="V285" s="144">
        <f>IFERROR(_xlfn.XLOOKUP($B285,'Cronog. e Histog.'!$BZ:$BZ,'Cronog. e Histog.'!CQ:CQ),"")</f>
        <v>0</v>
      </c>
      <c r="W285" s="144">
        <f>IFERROR(_xlfn.XLOOKUP($B285,'Cronog. e Histog.'!$BZ:$BZ,'Cronog. e Histog.'!CR:CR),"")</f>
        <v>0</v>
      </c>
      <c r="X285" s="144">
        <f>IFERROR(_xlfn.XLOOKUP($B285,'Cronog. e Histog.'!$BZ:$BZ,'Cronog. e Histog.'!CS:CS),"")</f>
        <v>0</v>
      </c>
      <c r="Y285" s="144">
        <f>IFERROR(_xlfn.XLOOKUP($B285,'Cronog. e Histog.'!$BZ:$BZ,'Cronog. e Histog.'!CT:CT),"")</f>
        <v>0</v>
      </c>
      <c r="Z285" s="144">
        <f>IFERROR(_xlfn.XLOOKUP($B285,'Cronog. e Histog.'!$BZ:$BZ,'Cronog. e Histog.'!CU:CU),"")</f>
        <v>0</v>
      </c>
      <c r="AA285" s="144">
        <f>IFERROR(_xlfn.XLOOKUP($B285,'Cronog. e Histog.'!$BZ:$BZ,'Cronog. e Histog.'!CV:CV),"")</f>
        <v>0</v>
      </c>
      <c r="AB285" s="144">
        <f>IFERROR(_xlfn.XLOOKUP($B285,'Cronog. e Histog.'!$BZ:$BZ,'Cronog. e Histog.'!CW:CW),"")</f>
        <v>0</v>
      </c>
      <c r="AC285" s="144">
        <f>IFERROR(_xlfn.XLOOKUP($B285,'Cronog. e Histog.'!$BZ:$BZ,'Cronog. e Histog.'!CX:CX),"")</f>
        <v>0</v>
      </c>
      <c r="AD285" s="144">
        <f>IFERROR(_xlfn.XLOOKUP($B285,'Cronog. e Histog.'!$BZ:$BZ,'Cronog. e Histog.'!CY:CY),"")</f>
        <v>0</v>
      </c>
      <c r="AE285" s="144">
        <f>IFERROR(_xlfn.XLOOKUP($B285,'Cronog. e Histog.'!$BZ:$BZ,'Cronog. e Histog.'!CZ:CZ),"")</f>
        <v>0</v>
      </c>
      <c r="AF285" s="144">
        <f>IFERROR(_xlfn.XLOOKUP($B285,'Cronog. e Histog.'!$BZ:$BZ,'Cronog. e Histog.'!DA:DA),"")</f>
        <v>0</v>
      </c>
      <c r="AG285" s="144">
        <f>IFERROR(_xlfn.XLOOKUP($B285,'Cronog. e Histog.'!$BZ:$BZ,'Cronog. e Histog.'!DB:DB),"")</f>
        <v>0</v>
      </c>
      <c r="AH285" s="144">
        <f>IFERROR(_xlfn.XLOOKUP($B285,'Cronog. e Histog.'!$BZ:$BZ,'Cronog. e Histog.'!DC:DC),"")</f>
        <v>0</v>
      </c>
      <c r="AI285" s="144">
        <f>IFERROR(_xlfn.XLOOKUP($B285,'Cronog. e Histog.'!$BZ:$BZ,'Cronog. e Histog.'!DD:DD),"")</f>
        <v>0</v>
      </c>
      <c r="AJ285" s="144">
        <f>IFERROR(_xlfn.XLOOKUP($B285,'Cronog. e Histog.'!$BZ:$BZ,'Cronog. e Histog.'!DE:DE),"")</f>
        <v>0</v>
      </c>
      <c r="AK285" s="144">
        <f>IFERROR(_xlfn.XLOOKUP($B285,'Cronog. e Histog.'!$BZ:$BZ,'Cronog. e Histog.'!DF:DF),"")</f>
        <v>0</v>
      </c>
      <c r="AL285" s="144">
        <f>IFERROR(_xlfn.XLOOKUP($B285,'Cronog. e Histog.'!$BZ:$BZ,'Cronog. e Histog.'!DG:DG),"")</f>
        <v>0</v>
      </c>
      <c r="AM285" s="144">
        <f>IFERROR(_xlfn.XLOOKUP($B285,'Cronog. e Histog.'!$BZ:$BZ,'Cronog. e Histog.'!DH:DH),"")</f>
        <v>0</v>
      </c>
      <c r="AN285" s="144">
        <f>IFERROR(_xlfn.XLOOKUP($B285,'Cronog. e Histog.'!$BZ:$BZ,'Cronog. e Histog.'!DI:DI),"")</f>
        <v>0</v>
      </c>
      <c r="AO285" s="144">
        <f>IFERROR(_xlfn.XLOOKUP($B285,'Cronog. e Histog.'!$BZ:$BZ,'Cronog. e Histog.'!DJ:DJ),"")</f>
        <v>0</v>
      </c>
      <c r="AP285" s="144">
        <f>IFERROR(_xlfn.XLOOKUP($B285,'Cronog. e Histog.'!$BZ:$BZ,'Cronog. e Histog.'!DK:DK),"")</f>
        <v>0</v>
      </c>
      <c r="AQ285" s="144">
        <f>IFERROR(_xlfn.XLOOKUP($B285,'Cronog. e Histog.'!$BZ:$BZ,'Cronog. e Histog.'!DL:DL),"")</f>
        <v>0</v>
      </c>
      <c r="AR285" s="144">
        <f>IFERROR(_xlfn.XLOOKUP($B285,'Cronog. e Histog.'!$BZ:$BZ,'Cronog. e Histog.'!DM:DM),"")</f>
        <v>0</v>
      </c>
      <c r="AS285" s="144">
        <f>IFERROR(_xlfn.XLOOKUP($B285,'Cronog. e Histog.'!$BZ:$BZ,'Cronog. e Histog.'!DN:DN),"")</f>
        <v>0</v>
      </c>
      <c r="AT285" s="144">
        <f>IFERROR(_xlfn.XLOOKUP($B285,'Cronog. e Histog.'!$BZ:$BZ,'Cronog. e Histog.'!DO:DO),"")</f>
        <v>0</v>
      </c>
      <c r="AU285" s="144">
        <f>IFERROR(_xlfn.XLOOKUP($B285,'Cronog. e Histog.'!$BZ:$BZ,'Cronog. e Histog.'!DP:DP),"")</f>
        <v>0</v>
      </c>
      <c r="AV285" s="144">
        <f>IFERROR(_xlfn.XLOOKUP($B285,'Cronog. e Histog.'!$BZ:$BZ,'Cronog. e Histog.'!DQ:DQ),"")</f>
        <v>0</v>
      </c>
      <c r="AW285" s="144">
        <f>IFERROR(_xlfn.XLOOKUP($B285,'Cronog. e Histog.'!$BZ:$BZ,'Cronog. e Histog.'!DR:DR),"")</f>
        <v>0</v>
      </c>
      <c r="AX285" s="144">
        <f>IFERROR(_xlfn.XLOOKUP($B285,'Cronog. e Histog.'!$BZ:$BZ,'Cronog. e Histog.'!DS:DS),"")</f>
        <v>0</v>
      </c>
      <c r="AY285" s="144">
        <f>IFERROR(_xlfn.XLOOKUP($B285,'Cronog. e Histog.'!$BZ:$BZ,'Cronog. e Histog.'!DT:DT),"")</f>
        <v>0</v>
      </c>
      <c r="AZ285" s="144">
        <f>IFERROR(_xlfn.XLOOKUP($B285,'Cronog. e Histog.'!$BZ:$BZ,'Cronog. e Histog.'!DU:DU),"")</f>
        <v>0</v>
      </c>
      <c r="BA285" s="144">
        <f>IFERROR(_xlfn.XLOOKUP($B285,'Cronog. e Histog.'!$BZ:$BZ,'Cronog. e Histog.'!DV:DV),"")</f>
        <v>0</v>
      </c>
      <c r="BB285" s="144">
        <f>IFERROR(_xlfn.XLOOKUP($B285,'Cronog. e Histog.'!$BZ:$BZ,'Cronog. e Histog.'!DW:DW),"")</f>
        <v>0</v>
      </c>
      <c r="BC285" s="144">
        <f>IFERROR(_xlfn.XLOOKUP($B285,'Cronog. e Histog.'!$BZ:$BZ,'Cronog. e Histog.'!DX:DX),"")</f>
        <v>0</v>
      </c>
      <c r="BD285" s="144">
        <f>IFERROR(_xlfn.XLOOKUP($B285,'Cronog. e Histog.'!$BZ:$BZ,'Cronog. e Histog.'!DY:DY),"")</f>
        <v>0</v>
      </c>
      <c r="BE285" s="144">
        <f>IFERROR(_xlfn.XLOOKUP($B285,'Cronog. e Histog.'!$BZ:$BZ,'Cronog. e Histog.'!DZ:DZ),"")</f>
        <v>0</v>
      </c>
      <c r="BF285" s="144">
        <f>IFERROR(_xlfn.XLOOKUP($B285,'Cronog. e Histog.'!$BZ:$BZ,'Cronog. e Histog.'!EA:EA),"")</f>
        <v>0</v>
      </c>
      <c r="BG285" s="144">
        <f>IFERROR(_xlfn.XLOOKUP($B285,'Cronog. e Histog.'!$BZ:$BZ,'Cronog. e Histog.'!EB:EB),"")</f>
        <v>0</v>
      </c>
      <c r="BH285" s="144">
        <f>IFERROR(_xlfn.XLOOKUP($B285,'Cronog. e Histog.'!$BZ:$BZ,'Cronog. e Histog.'!EC:EC),"")</f>
        <v>0</v>
      </c>
      <c r="BI285" s="144">
        <f>IFERROR(_xlfn.XLOOKUP($B285,'Cronog. e Histog.'!$BZ:$BZ,'Cronog. e Histog.'!ED:ED),"")</f>
        <v>0</v>
      </c>
      <c r="BJ285" s="144">
        <f>IFERROR(_xlfn.XLOOKUP($B285,'Cronog. e Histog.'!$BZ:$BZ,'Cronog. e Histog.'!EE:EE),"")</f>
        <v>0</v>
      </c>
      <c r="BK285" s="144">
        <f>IFERROR(_xlfn.XLOOKUP($B285,'Cronog. e Histog.'!$BZ:$BZ,'Cronog. e Histog.'!EF:EF),"")</f>
        <v>0</v>
      </c>
      <c r="BL285" s="144">
        <f>IFERROR(_xlfn.XLOOKUP($B285,'Cronog. e Histog.'!$BZ:$BZ,'Cronog. e Histog.'!EG:EG),"")</f>
        <v>0</v>
      </c>
      <c r="BM285" s="144">
        <f>IFERROR(_xlfn.XLOOKUP($B285,'Cronog. e Histog.'!$BZ:$BZ,'Cronog. e Histog.'!EH:EH),"")</f>
        <v>0</v>
      </c>
      <c r="BN285" s="144">
        <f>IFERROR(_xlfn.XLOOKUP($B285,'Cronog. e Histog.'!$BZ:$BZ,'Cronog. e Histog.'!EI:EI),"")</f>
        <v>0</v>
      </c>
    </row>
    <row r="286" spans="2:66" ht="12" hidden="1" customHeight="1" outlineLevel="1">
      <c r="B286" s="76">
        <v>280</v>
      </c>
      <c r="C286" s="143" t="str">
        <f>IFERROR(VLOOKUP(B286,'Cronog. e Histog.'!$BZ$213:$CA$747,2,0),"")</f>
        <v>EST_III</v>
      </c>
      <c r="D286" s="144">
        <f t="shared" si="6"/>
        <v>0</v>
      </c>
      <c r="E286" s="144">
        <f t="shared" si="7"/>
        <v>0</v>
      </c>
      <c r="F286" s="65"/>
      <c r="G286" s="144">
        <f>IFERROR(_xlfn.XLOOKUP($B286,'Cronog. e Histog.'!$BZ:$BZ,'Cronog. e Histog.'!CB:CB),"")</f>
        <v>0</v>
      </c>
      <c r="H286" s="144">
        <f>IFERROR(_xlfn.XLOOKUP($B286,'Cronog. e Histog.'!$BZ:$BZ,'Cronog. e Histog.'!CC:CC),"")</f>
        <v>0</v>
      </c>
      <c r="I286" s="144">
        <f>IFERROR(_xlfn.XLOOKUP($B286,'Cronog. e Histog.'!$BZ:$BZ,'Cronog. e Histog.'!CD:CD),"")</f>
        <v>0</v>
      </c>
      <c r="J286" s="144">
        <f>IFERROR(_xlfn.XLOOKUP($B286,'Cronog. e Histog.'!$BZ:$BZ,'Cronog. e Histog.'!CE:CE),"")</f>
        <v>0</v>
      </c>
      <c r="K286" s="144">
        <f>IFERROR(_xlfn.XLOOKUP($B286,'Cronog. e Histog.'!$BZ:$BZ,'Cronog. e Histog.'!CF:CF),"")</f>
        <v>0</v>
      </c>
      <c r="L286" s="144">
        <f>IFERROR(_xlfn.XLOOKUP($B286,'Cronog. e Histog.'!$BZ:$BZ,'Cronog. e Histog.'!CG:CG),"")</f>
        <v>0</v>
      </c>
      <c r="M286" s="144">
        <f>IFERROR(_xlfn.XLOOKUP($B286,'Cronog. e Histog.'!$BZ:$BZ,'Cronog. e Histog.'!CH:CH),"")</f>
        <v>0</v>
      </c>
      <c r="N286" s="144">
        <f>IFERROR(_xlfn.XLOOKUP($B286,'Cronog. e Histog.'!$BZ:$BZ,'Cronog. e Histog.'!CI:CI),"")</f>
        <v>0</v>
      </c>
      <c r="O286" s="144">
        <f>IFERROR(_xlfn.XLOOKUP($B286,'Cronog. e Histog.'!$BZ:$BZ,'Cronog. e Histog.'!CJ:CJ),"")</f>
        <v>0</v>
      </c>
      <c r="P286" s="144">
        <f>IFERROR(_xlfn.XLOOKUP($B286,'Cronog. e Histog.'!$BZ:$BZ,'Cronog. e Histog.'!CK:CK),"")</f>
        <v>0</v>
      </c>
      <c r="Q286" s="144">
        <f>IFERROR(_xlfn.XLOOKUP($B286,'Cronog. e Histog.'!$BZ:$BZ,'Cronog. e Histog.'!CL:CL),"")</f>
        <v>0</v>
      </c>
      <c r="R286" s="144">
        <f>IFERROR(_xlfn.XLOOKUP($B286,'Cronog. e Histog.'!$BZ:$BZ,'Cronog. e Histog.'!CM:CM),"")</f>
        <v>0</v>
      </c>
      <c r="S286" s="144">
        <f>IFERROR(_xlfn.XLOOKUP($B286,'Cronog. e Histog.'!$BZ:$BZ,'Cronog. e Histog.'!CN:CN),"")</f>
        <v>0</v>
      </c>
      <c r="T286" s="144">
        <f>IFERROR(_xlfn.XLOOKUP($B286,'Cronog. e Histog.'!$BZ:$BZ,'Cronog. e Histog.'!CO:CO),"")</f>
        <v>0</v>
      </c>
      <c r="U286" s="144">
        <f>IFERROR(_xlfn.XLOOKUP($B286,'Cronog. e Histog.'!$BZ:$BZ,'Cronog. e Histog.'!CP:CP),"")</f>
        <v>0</v>
      </c>
      <c r="V286" s="144">
        <f>IFERROR(_xlfn.XLOOKUP($B286,'Cronog. e Histog.'!$BZ:$BZ,'Cronog. e Histog.'!CQ:CQ),"")</f>
        <v>0</v>
      </c>
      <c r="W286" s="144">
        <f>IFERROR(_xlfn.XLOOKUP($B286,'Cronog. e Histog.'!$BZ:$BZ,'Cronog. e Histog.'!CR:CR),"")</f>
        <v>0</v>
      </c>
      <c r="X286" s="144">
        <f>IFERROR(_xlfn.XLOOKUP($B286,'Cronog. e Histog.'!$BZ:$BZ,'Cronog. e Histog.'!CS:CS),"")</f>
        <v>0</v>
      </c>
      <c r="Y286" s="144">
        <f>IFERROR(_xlfn.XLOOKUP($B286,'Cronog. e Histog.'!$BZ:$BZ,'Cronog. e Histog.'!CT:CT),"")</f>
        <v>0</v>
      </c>
      <c r="Z286" s="144">
        <f>IFERROR(_xlfn.XLOOKUP($B286,'Cronog. e Histog.'!$BZ:$BZ,'Cronog. e Histog.'!CU:CU),"")</f>
        <v>0</v>
      </c>
      <c r="AA286" s="144">
        <f>IFERROR(_xlfn.XLOOKUP($B286,'Cronog. e Histog.'!$BZ:$BZ,'Cronog. e Histog.'!CV:CV),"")</f>
        <v>0</v>
      </c>
      <c r="AB286" s="144">
        <f>IFERROR(_xlfn.XLOOKUP($B286,'Cronog. e Histog.'!$BZ:$BZ,'Cronog. e Histog.'!CW:CW),"")</f>
        <v>0</v>
      </c>
      <c r="AC286" s="144">
        <f>IFERROR(_xlfn.XLOOKUP($B286,'Cronog. e Histog.'!$BZ:$BZ,'Cronog. e Histog.'!CX:CX),"")</f>
        <v>0</v>
      </c>
      <c r="AD286" s="144">
        <f>IFERROR(_xlfn.XLOOKUP($B286,'Cronog. e Histog.'!$BZ:$BZ,'Cronog. e Histog.'!CY:CY),"")</f>
        <v>0</v>
      </c>
      <c r="AE286" s="144">
        <f>IFERROR(_xlfn.XLOOKUP($B286,'Cronog. e Histog.'!$BZ:$BZ,'Cronog. e Histog.'!CZ:CZ),"")</f>
        <v>0</v>
      </c>
      <c r="AF286" s="144">
        <f>IFERROR(_xlfn.XLOOKUP($B286,'Cronog. e Histog.'!$BZ:$BZ,'Cronog. e Histog.'!DA:DA),"")</f>
        <v>0</v>
      </c>
      <c r="AG286" s="144">
        <f>IFERROR(_xlfn.XLOOKUP($B286,'Cronog. e Histog.'!$BZ:$BZ,'Cronog. e Histog.'!DB:DB),"")</f>
        <v>0</v>
      </c>
      <c r="AH286" s="144">
        <f>IFERROR(_xlfn.XLOOKUP($B286,'Cronog. e Histog.'!$BZ:$BZ,'Cronog. e Histog.'!DC:DC),"")</f>
        <v>0</v>
      </c>
      <c r="AI286" s="144">
        <f>IFERROR(_xlfn.XLOOKUP($B286,'Cronog. e Histog.'!$BZ:$BZ,'Cronog. e Histog.'!DD:DD),"")</f>
        <v>0</v>
      </c>
      <c r="AJ286" s="144">
        <f>IFERROR(_xlfn.XLOOKUP($B286,'Cronog. e Histog.'!$BZ:$BZ,'Cronog. e Histog.'!DE:DE),"")</f>
        <v>0</v>
      </c>
      <c r="AK286" s="144">
        <f>IFERROR(_xlfn.XLOOKUP($B286,'Cronog. e Histog.'!$BZ:$BZ,'Cronog. e Histog.'!DF:DF),"")</f>
        <v>0</v>
      </c>
      <c r="AL286" s="144">
        <f>IFERROR(_xlfn.XLOOKUP($B286,'Cronog. e Histog.'!$BZ:$BZ,'Cronog. e Histog.'!DG:DG),"")</f>
        <v>0</v>
      </c>
      <c r="AM286" s="144">
        <f>IFERROR(_xlfn.XLOOKUP($B286,'Cronog. e Histog.'!$BZ:$BZ,'Cronog. e Histog.'!DH:DH),"")</f>
        <v>0</v>
      </c>
      <c r="AN286" s="144">
        <f>IFERROR(_xlfn.XLOOKUP($B286,'Cronog. e Histog.'!$BZ:$BZ,'Cronog. e Histog.'!DI:DI),"")</f>
        <v>0</v>
      </c>
      <c r="AO286" s="144">
        <f>IFERROR(_xlfn.XLOOKUP($B286,'Cronog. e Histog.'!$BZ:$BZ,'Cronog. e Histog.'!DJ:DJ),"")</f>
        <v>0</v>
      </c>
      <c r="AP286" s="144">
        <f>IFERROR(_xlfn.XLOOKUP($B286,'Cronog. e Histog.'!$BZ:$BZ,'Cronog. e Histog.'!DK:DK),"")</f>
        <v>0</v>
      </c>
      <c r="AQ286" s="144">
        <f>IFERROR(_xlfn.XLOOKUP($B286,'Cronog. e Histog.'!$BZ:$BZ,'Cronog. e Histog.'!DL:DL),"")</f>
        <v>0</v>
      </c>
      <c r="AR286" s="144">
        <f>IFERROR(_xlfn.XLOOKUP($B286,'Cronog. e Histog.'!$BZ:$BZ,'Cronog. e Histog.'!DM:DM),"")</f>
        <v>0</v>
      </c>
      <c r="AS286" s="144">
        <f>IFERROR(_xlfn.XLOOKUP($B286,'Cronog. e Histog.'!$BZ:$BZ,'Cronog. e Histog.'!DN:DN),"")</f>
        <v>0</v>
      </c>
      <c r="AT286" s="144">
        <f>IFERROR(_xlfn.XLOOKUP($B286,'Cronog. e Histog.'!$BZ:$BZ,'Cronog. e Histog.'!DO:DO),"")</f>
        <v>0</v>
      </c>
      <c r="AU286" s="144">
        <f>IFERROR(_xlfn.XLOOKUP($B286,'Cronog. e Histog.'!$BZ:$BZ,'Cronog. e Histog.'!DP:DP),"")</f>
        <v>0</v>
      </c>
      <c r="AV286" s="144">
        <f>IFERROR(_xlfn.XLOOKUP($B286,'Cronog. e Histog.'!$BZ:$BZ,'Cronog. e Histog.'!DQ:DQ),"")</f>
        <v>0</v>
      </c>
      <c r="AW286" s="144">
        <f>IFERROR(_xlfn.XLOOKUP($B286,'Cronog. e Histog.'!$BZ:$BZ,'Cronog. e Histog.'!DR:DR),"")</f>
        <v>0</v>
      </c>
      <c r="AX286" s="144">
        <f>IFERROR(_xlfn.XLOOKUP($B286,'Cronog. e Histog.'!$BZ:$BZ,'Cronog. e Histog.'!DS:DS),"")</f>
        <v>0</v>
      </c>
      <c r="AY286" s="144">
        <f>IFERROR(_xlfn.XLOOKUP($B286,'Cronog. e Histog.'!$BZ:$BZ,'Cronog. e Histog.'!DT:DT),"")</f>
        <v>0</v>
      </c>
      <c r="AZ286" s="144">
        <f>IFERROR(_xlfn.XLOOKUP($B286,'Cronog. e Histog.'!$BZ:$BZ,'Cronog. e Histog.'!DU:DU),"")</f>
        <v>0</v>
      </c>
      <c r="BA286" s="144">
        <f>IFERROR(_xlfn.XLOOKUP($B286,'Cronog. e Histog.'!$BZ:$BZ,'Cronog. e Histog.'!DV:DV),"")</f>
        <v>0</v>
      </c>
      <c r="BB286" s="144">
        <f>IFERROR(_xlfn.XLOOKUP($B286,'Cronog. e Histog.'!$BZ:$BZ,'Cronog. e Histog.'!DW:DW),"")</f>
        <v>0</v>
      </c>
      <c r="BC286" s="144">
        <f>IFERROR(_xlfn.XLOOKUP($B286,'Cronog. e Histog.'!$BZ:$BZ,'Cronog. e Histog.'!DX:DX),"")</f>
        <v>0</v>
      </c>
      <c r="BD286" s="144">
        <f>IFERROR(_xlfn.XLOOKUP($B286,'Cronog. e Histog.'!$BZ:$BZ,'Cronog. e Histog.'!DY:DY),"")</f>
        <v>0</v>
      </c>
      <c r="BE286" s="144">
        <f>IFERROR(_xlfn.XLOOKUP($B286,'Cronog. e Histog.'!$BZ:$BZ,'Cronog. e Histog.'!DZ:DZ),"")</f>
        <v>0</v>
      </c>
      <c r="BF286" s="144">
        <f>IFERROR(_xlfn.XLOOKUP($B286,'Cronog. e Histog.'!$BZ:$BZ,'Cronog. e Histog.'!EA:EA),"")</f>
        <v>0</v>
      </c>
      <c r="BG286" s="144">
        <f>IFERROR(_xlfn.XLOOKUP($B286,'Cronog. e Histog.'!$BZ:$BZ,'Cronog. e Histog.'!EB:EB),"")</f>
        <v>0</v>
      </c>
      <c r="BH286" s="144">
        <f>IFERROR(_xlfn.XLOOKUP($B286,'Cronog. e Histog.'!$BZ:$BZ,'Cronog. e Histog.'!EC:EC),"")</f>
        <v>0</v>
      </c>
      <c r="BI286" s="144">
        <f>IFERROR(_xlfn.XLOOKUP($B286,'Cronog. e Histog.'!$BZ:$BZ,'Cronog. e Histog.'!ED:ED),"")</f>
        <v>0</v>
      </c>
      <c r="BJ286" s="144">
        <f>IFERROR(_xlfn.XLOOKUP($B286,'Cronog. e Histog.'!$BZ:$BZ,'Cronog. e Histog.'!EE:EE),"")</f>
        <v>0</v>
      </c>
      <c r="BK286" s="144">
        <f>IFERROR(_xlfn.XLOOKUP($B286,'Cronog. e Histog.'!$BZ:$BZ,'Cronog. e Histog.'!EF:EF),"")</f>
        <v>0</v>
      </c>
      <c r="BL286" s="144">
        <f>IFERROR(_xlfn.XLOOKUP($B286,'Cronog. e Histog.'!$BZ:$BZ,'Cronog. e Histog.'!EG:EG),"")</f>
        <v>0</v>
      </c>
      <c r="BM286" s="144">
        <f>IFERROR(_xlfn.XLOOKUP($B286,'Cronog. e Histog.'!$BZ:$BZ,'Cronog. e Histog.'!EH:EH),"")</f>
        <v>0</v>
      </c>
      <c r="BN286" s="144">
        <f>IFERROR(_xlfn.XLOOKUP($B286,'Cronog. e Histog.'!$BZ:$BZ,'Cronog. e Histog.'!EI:EI),"")</f>
        <v>0</v>
      </c>
    </row>
    <row r="287" spans="2:66" ht="12" hidden="1" customHeight="1" outlineLevel="1">
      <c r="B287" s="76">
        <v>281</v>
      </c>
      <c r="C287" s="143" t="str">
        <f>IFERROR(VLOOKUP(B287,'Cronog. e Histog.'!$BZ$213:$CA$747,2,0),"")</f>
        <v>GER. (OBRA/PROJ)</v>
      </c>
      <c r="D287" s="144">
        <f t="shared" si="6"/>
        <v>0</v>
      </c>
      <c r="E287" s="144">
        <f t="shared" si="7"/>
        <v>0</v>
      </c>
      <c r="F287" s="65"/>
      <c r="G287" s="144">
        <f>IFERROR(_xlfn.XLOOKUP($B287,'Cronog. e Histog.'!$BZ:$BZ,'Cronog. e Histog.'!CB:CB),"")</f>
        <v>0</v>
      </c>
      <c r="H287" s="144">
        <f>IFERROR(_xlfn.XLOOKUP($B287,'Cronog. e Histog.'!$BZ:$BZ,'Cronog. e Histog.'!CC:CC),"")</f>
        <v>0</v>
      </c>
      <c r="I287" s="144">
        <f>IFERROR(_xlfn.XLOOKUP($B287,'Cronog. e Histog.'!$BZ:$BZ,'Cronog. e Histog.'!CD:CD),"")</f>
        <v>0</v>
      </c>
      <c r="J287" s="144">
        <f>IFERROR(_xlfn.XLOOKUP($B287,'Cronog. e Histog.'!$BZ:$BZ,'Cronog. e Histog.'!CE:CE),"")</f>
        <v>0</v>
      </c>
      <c r="K287" s="144">
        <f>IFERROR(_xlfn.XLOOKUP($B287,'Cronog. e Histog.'!$BZ:$BZ,'Cronog. e Histog.'!CF:CF),"")</f>
        <v>0</v>
      </c>
      <c r="L287" s="144">
        <f>IFERROR(_xlfn.XLOOKUP($B287,'Cronog. e Histog.'!$BZ:$BZ,'Cronog. e Histog.'!CG:CG),"")</f>
        <v>0</v>
      </c>
      <c r="M287" s="144">
        <f>IFERROR(_xlfn.XLOOKUP($B287,'Cronog. e Histog.'!$BZ:$BZ,'Cronog. e Histog.'!CH:CH),"")</f>
        <v>0</v>
      </c>
      <c r="N287" s="144">
        <f>IFERROR(_xlfn.XLOOKUP($B287,'Cronog. e Histog.'!$BZ:$BZ,'Cronog. e Histog.'!CI:CI),"")</f>
        <v>0</v>
      </c>
      <c r="O287" s="144">
        <f>IFERROR(_xlfn.XLOOKUP($B287,'Cronog. e Histog.'!$BZ:$BZ,'Cronog. e Histog.'!CJ:CJ),"")</f>
        <v>0</v>
      </c>
      <c r="P287" s="144">
        <f>IFERROR(_xlfn.XLOOKUP($B287,'Cronog. e Histog.'!$BZ:$BZ,'Cronog. e Histog.'!CK:CK),"")</f>
        <v>0</v>
      </c>
      <c r="Q287" s="144">
        <f>IFERROR(_xlfn.XLOOKUP($B287,'Cronog. e Histog.'!$BZ:$BZ,'Cronog. e Histog.'!CL:CL),"")</f>
        <v>0</v>
      </c>
      <c r="R287" s="144">
        <f>IFERROR(_xlfn.XLOOKUP($B287,'Cronog. e Histog.'!$BZ:$BZ,'Cronog. e Histog.'!CM:CM),"")</f>
        <v>0</v>
      </c>
      <c r="S287" s="144">
        <f>IFERROR(_xlfn.XLOOKUP($B287,'Cronog. e Histog.'!$BZ:$BZ,'Cronog. e Histog.'!CN:CN),"")</f>
        <v>0</v>
      </c>
      <c r="T287" s="144">
        <f>IFERROR(_xlfn.XLOOKUP($B287,'Cronog. e Histog.'!$BZ:$BZ,'Cronog. e Histog.'!CO:CO),"")</f>
        <v>0</v>
      </c>
      <c r="U287" s="144">
        <f>IFERROR(_xlfn.XLOOKUP($B287,'Cronog. e Histog.'!$BZ:$BZ,'Cronog. e Histog.'!CP:CP),"")</f>
        <v>0</v>
      </c>
      <c r="V287" s="144">
        <f>IFERROR(_xlfn.XLOOKUP($B287,'Cronog. e Histog.'!$BZ:$BZ,'Cronog. e Histog.'!CQ:CQ),"")</f>
        <v>0</v>
      </c>
      <c r="W287" s="144">
        <f>IFERROR(_xlfn.XLOOKUP($B287,'Cronog. e Histog.'!$BZ:$BZ,'Cronog. e Histog.'!CR:CR),"")</f>
        <v>0</v>
      </c>
      <c r="X287" s="144">
        <f>IFERROR(_xlfn.XLOOKUP($B287,'Cronog. e Histog.'!$BZ:$BZ,'Cronog. e Histog.'!CS:CS),"")</f>
        <v>0</v>
      </c>
      <c r="Y287" s="144">
        <f>IFERROR(_xlfn.XLOOKUP($B287,'Cronog. e Histog.'!$BZ:$BZ,'Cronog. e Histog.'!CT:CT),"")</f>
        <v>0</v>
      </c>
      <c r="Z287" s="144">
        <f>IFERROR(_xlfn.XLOOKUP($B287,'Cronog. e Histog.'!$BZ:$BZ,'Cronog. e Histog.'!CU:CU),"")</f>
        <v>0</v>
      </c>
      <c r="AA287" s="144">
        <f>IFERROR(_xlfn.XLOOKUP($B287,'Cronog. e Histog.'!$BZ:$BZ,'Cronog. e Histog.'!CV:CV),"")</f>
        <v>0</v>
      </c>
      <c r="AB287" s="144">
        <f>IFERROR(_xlfn.XLOOKUP($B287,'Cronog. e Histog.'!$BZ:$BZ,'Cronog. e Histog.'!CW:CW),"")</f>
        <v>0</v>
      </c>
      <c r="AC287" s="144">
        <f>IFERROR(_xlfn.XLOOKUP($B287,'Cronog. e Histog.'!$BZ:$BZ,'Cronog. e Histog.'!CX:CX),"")</f>
        <v>0</v>
      </c>
      <c r="AD287" s="144">
        <f>IFERROR(_xlfn.XLOOKUP($B287,'Cronog. e Histog.'!$BZ:$BZ,'Cronog. e Histog.'!CY:CY),"")</f>
        <v>0</v>
      </c>
      <c r="AE287" s="144">
        <f>IFERROR(_xlfn.XLOOKUP($B287,'Cronog. e Histog.'!$BZ:$BZ,'Cronog. e Histog.'!CZ:CZ),"")</f>
        <v>0</v>
      </c>
      <c r="AF287" s="144">
        <f>IFERROR(_xlfn.XLOOKUP($B287,'Cronog. e Histog.'!$BZ:$BZ,'Cronog. e Histog.'!DA:DA),"")</f>
        <v>0</v>
      </c>
      <c r="AG287" s="144">
        <f>IFERROR(_xlfn.XLOOKUP($B287,'Cronog. e Histog.'!$BZ:$BZ,'Cronog. e Histog.'!DB:DB),"")</f>
        <v>0</v>
      </c>
      <c r="AH287" s="144">
        <f>IFERROR(_xlfn.XLOOKUP($B287,'Cronog. e Histog.'!$BZ:$BZ,'Cronog. e Histog.'!DC:DC),"")</f>
        <v>0</v>
      </c>
      <c r="AI287" s="144">
        <f>IFERROR(_xlfn.XLOOKUP($B287,'Cronog. e Histog.'!$BZ:$BZ,'Cronog. e Histog.'!DD:DD),"")</f>
        <v>0</v>
      </c>
      <c r="AJ287" s="144">
        <f>IFERROR(_xlfn.XLOOKUP($B287,'Cronog. e Histog.'!$BZ:$BZ,'Cronog. e Histog.'!DE:DE),"")</f>
        <v>0</v>
      </c>
      <c r="AK287" s="144">
        <f>IFERROR(_xlfn.XLOOKUP($B287,'Cronog. e Histog.'!$BZ:$BZ,'Cronog. e Histog.'!DF:DF),"")</f>
        <v>0</v>
      </c>
      <c r="AL287" s="144">
        <f>IFERROR(_xlfn.XLOOKUP($B287,'Cronog. e Histog.'!$BZ:$BZ,'Cronog. e Histog.'!DG:DG),"")</f>
        <v>0</v>
      </c>
      <c r="AM287" s="144">
        <f>IFERROR(_xlfn.XLOOKUP($B287,'Cronog. e Histog.'!$BZ:$BZ,'Cronog. e Histog.'!DH:DH),"")</f>
        <v>0</v>
      </c>
      <c r="AN287" s="144">
        <f>IFERROR(_xlfn.XLOOKUP($B287,'Cronog. e Histog.'!$BZ:$BZ,'Cronog. e Histog.'!DI:DI),"")</f>
        <v>0</v>
      </c>
      <c r="AO287" s="144">
        <f>IFERROR(_xlfn.XLOOKUP($B287,'Cronog. e Histog.'!$BZ:$BZ,'Cronog. e Histog.'!DJ:DJ),"")</f>
        <v>0</v>
      </c>
      <c r="AP287" s="144">
        <f>IFERROR(_xlfn.XLOOKUP($B287,'Cronog. e Histog.'!$BZ:$BZ,'Cronog. e Histog.'!DK:DK),"")</f>
        <v>0</v>
      </c>
      <c r="AQ287" s="144">
        <f>IFERROR(_xlfn.XLOOKUP($B287,'Cronog. e Histog.'!$BZ:$BZ,'Cronog. e Histog.'!DL:DL),"")</f>
        <v>0</v>
      </c>
      <c r="AR287" s="144">
        <f>IFERROR(_xlfn.XLOOKUP($B287,'Cronog. e Histog.'!$BZ:$BZ,'Cronog. e Histog.'!DM:DM),"")</f>
        <v>0</v>
      </c>
      <c r="AS287" s="144">
        <f>IFERROR(_xlfn.XLOOKUP($B287,'Cronog. e Histog.'!$BZ:$BZ,'Cronog. e Histog.'!DN:DN),"")</f>
        <v>0</v>
      </c>
      <c r="AT287" s="144">
        <f>IFERROR(_xlfn.XLOOKUP($B287,'Cronog. e Histog.'!$BZ:$BZ,'Cronog. e Histog.'!DO:DO),"")</f>
        <v>0</v>
      </c>
      <c r="AU287" s="144">
        <f>IFERROR(_xlfn.XLOOKUP($B287,'Cronog. e Histog.'!$BZ:$BZ,'Cronog. e Histog.'!DP:DP),"")</f>
        <v>0</v>
      </c>
      <c r="AV287" s="144">
        <f>IFERROR(_xlfn.XLOOKUP($B287,'Cronog. e Histog.'!$BZ:$BZ,'Cronog. e Histog.'!DQ:DQ),"")</f>
        <v>0</v>
      </c>
      <c r="AW287" s="144">
        <f>IFERROR(_xlfn.XLOOKUP($B287,'Cronog. e Histog.'!$BZ:$BZ,'Cronog. e Histog.'!DR:DR),"")</f>
        <v>0</v>
      </c>
      <c r="AX287" s="144">
        <f>IFERROR(_xlfn.XLOOKUP($B287,'Cronog. e Histog.'!$BZ:$BZ,'Cronog. e Histog.'!DS:DS),"")</f>
        <v>0</v>
      </c>
      <c r="AY287" s="144">
        <f>IFERROR(_xlfn.XLOOKUP($B287,'Cronog. e Histog.'!$BZ:$BZ,'Cronog. e Histog.'!DT:DT),"")</f>
        <v>0</v>
      </c>
      <c r="AZ287" s="144">
        <f>IFERROR(_xlfn.XLOOKUP($B287,'Cronog. e Histog.'!$BZ:$BZ,'Cronog. e Histog.'!DU:DU),"")</f>
        <v>0</v>
      </c>
      <c r="BA287" s="144">
        <f>IFERROR(_xlfn.XLOOKUP($B287,'Cronog. e Histog.'!$BZ:$BZ,'Cronog. e Histog.'!DV:DV),"")</f>
        <v>0</v>
      </c>
      <c r="BB287" s="144">
        <f>IFERROR(_xlfn.XLOOKUP($B287,'Cronog. e Histog.'!$BZ:$BZ,'Cronog. e Histog.'!DW:DW),"")</f>
        <v>0</v>
      </c>
      <c r="BC287" s="144">
        <f>IFERROR(_xlfn.XLOOKUP($B287,'Cronog. e Histog.'!$BZ:$BZ,'Cronog. e Histog.'!DX:DX),"")</f>
        <v>0</v>
      </c>
      <c r="BD287" s="144">
        <f>IFERROR(_xlfn.XLOOKUP($B287,'Cronog. e Histog.'!$BZ:$BZ,'Cronog. e Histog.'!DY:DY),"")</f>
        <v>0</v>
      </c>
      <c r="BE287" s="144">
        <f>IFERROR(_xlfn.XLOOKUP($B287,'Cronog. e Histog.'!$BZ:$BZ,'Cronog. e Histog.'!DZ:DZ),"")</f>
        <v>0</v>
      </c>
      <c r="BF287" s="144">
        <f>IFERROR(_xlfn.XLOOKUP($B287,'Cronog. e Histog.'!$BZ:$BZ,'Cronog. e Histog.'!EA:EA),"")</f>
        <v>0</v>
      </c>
      <c r="BG287" s="144">
        <f>IFERROR(_xlfn.XLOOKUP($B287,'Cronog. e Histog.'!$BZ:$BZ,'Cronog. e Histog.'!EB:EB),"")</f>
        <v>0</v>
      </c>
      <c r="BH287" s="144">
        <f>IFERROR(_xlfn.XLOOKUP($B287,'Cronog. e Histog.'!$BZ:$BZ,'Cronog. e Histog.'!EC:EC),"")</f>
        <v>0</v>
      </c>
      <c r="BI287" s="144">
        <f>IFERROR(_xlfn.XLOOKUP($B287,'Cronog. e Histog.'!$BZ:$BZ,'Cronog. e Histog.'!ED:ED),"")</f>
        <v>0</v>
      </c>
      <c r="BJ287" s="144">
        <f>IFERROR(_xlfn.XLOOKUP($B287,'Cronog. e Histog.'!$BZ:$BZ,'Cronog. e Histog.'!EE:EE),"")</f>
        <v>0</v>
      </c>
      <c r="BK287" s="144">
        <f>IFERROR(_xlfn.XLOOKUP($B287,'Cronog. e Histog.'!$BZ:$BZ,'Cronog. e Histog.'!EF:EF),"")</f>
        <v>0</v>
      </c>
      <c r="BL287" s="144">
        <f>IFERROR(_xlfn.XLOOKUP($B287,'Cronog. e Histog.'!$BZ:$BZ,'Cronog. e Histog.'!EG:EG),"")</f>
        <v>0</v>
      </c>
      <c r="BM287" s="144">
        <f>IFERROR(_xlfn.XLOOKUP($B287,'Cronog. e Histog.'!$BZ:$BZ,'Cronog. e Histog.'!EH:EH),"")</f>
        <v>0</v>
      </c>
      <c r="BN287" s="144">
        <f>IFERROR(_xlfn.XLOOKUP($B287,'Cronog. e Histog.'!$BZ:$BZ,'Cronog. e Histog.'!EI:EI),"")</f>
        <v>0</v>
      </c>
    </row>
    <row r="288" spans="2:66" ht="12" hidden="1" customHeight="1" outlineLevel="1">
      <c r="B288" s="76">
        <v>282</v>
      </c>
      <c r="C288" s="143" t="str">
        <f>IFERROR(VLOOKUP(B288,'Cronog. e Histog.'!$BZ$213:$CA$747,2,0),"")</f>
        <v>COORD.</v>
      </c>
      <c r="D288" s="144">
        <f t="shared" si="6"/>
        <v>0</v>
      </c>
      <c r="E288" s="144">
        <f t="shared" si="7"/>
        <v>0</v>
      </c>
      <c r="F288" s="65"/>
      <c r="G288" s="144">
        <f>IFERROR(_xlfn.XLOOKUP($B288,'Cronog. e Histog.'!$BZ:$BZ,'Cronog. e Histog.'!CB:CB),"")</f>
        <v>0</v>
      </c>
      <c r="H288" s="144">
        <f>IFERROR(_xlfn.XLOOKUP($B288,'Cronog. e Histog.'!$BZ:$BZ,'Cronog. e Histog.'!CC:CC),"")</f>
        <v>0</v>
      </c>
      <c r="I288" s="144">
        <f>IFERROR(_xlfn.XLOOKUP($B288,'Cronog. e Histog.'!$BZ:$BZ,'Cronog. e Histog.'!CD:CD),"")</f>
        <v>0</v>
      </c>
      <c r="J288" s="144">
        <f>IFERROR(_xlfn.XLOOKUP($B288,'Cronog. e Histog.'!$BZ:$BZ,'Cronog. e Histog.'!CE:CE),"")</f>
        <v>0</v>
      </c>
      <c r="K288" s="144">
        <f>IFERROR(_xlfn.XLOOKUP($B288,'Cronog. e Histog.'!$BZ:$BZ,'Cronog. e Histog.'!CF:CF),"")</f>
        <v>0</v>
      </c>
      <c r="L288" s="144">
        <f>IFERROR(_xlfn.XLOOKUP($B288,'Cronog. e Histog.'!$BZ:$BZ,'Cronog. e Histog.'!CG:CG),"")</f>
        <v>0</v>
      </c>
      <c r="M288" s="144">
        <f>IFERROR(_xlfn.XLOOKUP($B288,'Cronog. e Histog.'!$BZ:$BZ,'Cronog. e Histog.'!CH:CH),"")</f>
        <v>0</v>
      </c>
      <c r="N288" s="144">
        <f>IFERROR(_xlfn.XLOOKUP($B288,'Cronog. e Histog.'!$BZ:$BZ,'Cronog. e Histog.'!CI:CI),"")</f>
        <v>0</v>
      </c>
      <c r="O288" s="144">
        <f>IFERROR(_xlfn.XLOOKUP($B288,'Cronog. e Histog.'!$BZ:$BZ,'Cronog. e Histog.'!CJ:CJ),"")</f>
        <v>0</v>
      </c>
      <c r="P288" s="144">
        <f>IFERROR(_xlfn.XLOOKUP($B288,'Cronog. e Histog.'!$BZ:$BZ,'Cronog. e Histog.'!CK:CK),"")</f>
        <v>0</v>
      </c>
      <c r="Q288" s="144">
        <f>IFERROR(_xlfn.XLOOKUP($B288,'Cronog. e Histog.'!$BZ:$BZ,'Cronog. e Histog.'!CL:CL),"")</f>
        <v>0</v>
      </c>
      <c r="R288" s="144">
        <f>IFERROR(_xlfn.XLOOKUP($B288,'Cronog. e Histog.'!$BZ:$BZ,'Cronog. e Histog.'!CM:CM),"")</f>
        <v>0</v>
      </c>
      <c r="S288" s="144">
        <f>IFERROR(_xlfn.XLOOKUP($B288,'Cronog. e Histog.'!$BZ:$BZ,'Cronog. e Histog.'!CN:CN),"")</f>
        <v>0</v>
      </c>
      <c r="T288" s="144">
        <f>IFERROR(_xlfn.XLOOKUP($B288,'Cronog. e Histog.'!$BZ:$BZ,'Cronog. e Histog.'!CO:CO),"")</f>
        <v>0</v>
      </c>
      <c r="U288" s="144">
        <f>IFERROR(_xlfn.XLOOKUP($B288,'Cronog. e Histog.'!$BZ:$BZ,'Cronog. e Histog.'!CP:CP),"")</f>
        <v>0</v>
      </c>
      <c r="V288" s="144">
        <f>IFERROR(_xlfn.XLOOKUP($B288,'Cronog. e Histog.'!$BZ:$BZ,'Cronog. e Histog.'!CQ:CQ),"")</f>
        <v>0</v>
      </c>
      <c r="W288" s="144">
        <f>IFERROR(_xlfn.XLOOKUP($B288,'Cronog. e Histog.'!$BZ:$BZ,'Cronog. e Histog.'!CR:CR),"")</f>
        <v>0</v>
      </c>
      <c r="X288" s="144">
        <f>IFERROR(_xlfn.XLOOKUP($B288,'Cronog. e Histog.'!$BZ:$BZ,'Cronog. e Histog.'!CS:CS),"")</f>
        <v>0</v>
      </c>
      <c r="Y288" s="144">
        <f>IFERROR(_xlfn.XLOOKUP($B288,'Cronog. e Histog.'!$BZ:$BZ,'Cronog. e Histog.'!CT:CT),"")</f>
        <v>0</v>
      </c>
      <c r="Z288" s="144">
        <f>IFERROR(_xlfn.XLOOKUP($B288,'Cronog. e Histog.'!$BZ:$BZ,'Cronog. e Histog.'!CU:CU),"")</f>
        <v>0</v>
      </c>
      <c r="AA288" s="144">
        <f>IFERROR(_xlfn.XLOOKUP($B288,'Cronog. e Histog.'!$BZ:$BZ,'Cronog. e Histog.'!CV:CV),"")</f>
        <v>0</v>
      </c>
      <c r="AB288" s="144">
        <f>IFERROR(_xlfn.XLOOKUP($B288,'Cronog. e Histog.'!$BZ:$BZ,'Cronog. e Histog.'!CW:CW),"")</f>
        <v>0</v>
      </c>
      <c r="AC288" s="144">
        <f>IFERROR(_xlfn.XLOOKUP($B288,'Cronog. e Histog.'!$BZ:$BZ,'Cronog. e Histog.'!CX:CX),"")</f>
        <v>0</v>
      </c>
      <c r="AD288" s="144">
        <f>IFERROR(_xlfn.XLOOKUP($B288,'Cronog. e Histog.'!$BZ:$BZ,'Cronog. e Histog.'!CY:CY),"")</f>
        <v>0</v>
      </c>
      <c r="AE288" s="144">
        <f>IFERROR(_xlfn.XLOOKUP($B288,'Cronog. e Histog.'!$BZ:$BZ,'Cronog. e Histog.'!CZ:CZ),"")</f>
        <v>0</v>
      </c>
      <c r="AF288" s="144">
        <f>IFERROR(_xlfn.XLOOKUP($B288,'Cronog. e Histog.'!$BZ:$BZ,'Cronog. e Histog.'!DA:DA),"")</f>
        <v>0</v>
      </c>
      <c r="AG288" s="144">
        <f>IFERROR(_xlfn.XLOOKUP($B288,'Cronog. e Histog.'!$BZ:$BZ,'Cronog. e Histog.'!DB:DB),"")</f>
        <v>0</v>
      </c>
      <c r="AH288" s="144">
        <f>IFERROR(_xlfn.XLOOKUP($B288,'Cronog. e Histog.'!$BZ:$BZ,'Cronog. e Histog.'!DC:DC),"")</f>
        <v>0</v>
      </c>
      <c r="AI288" s="144">
        <f>IFERROR(_xlfn.XLOOKUP($B288,'Cronog. e Histog.'!$BZ:$BZ,'Cronog. e Histog.'!DD:DD),"")</f>
        <v>0</v>
      </c>
      <c r="AJ288" s="144">
        <f>IFERROR(_xlfn.XLOOKUP($B288,'Cronog. e Histog.'!$BZ:$BZ,'Cronog. e Histog.'!DE:DE),"")</f>
        <v>0</v>
      </c>
      <c r="AK288" s="144">
        <f>IFERROR(_xlfn.XLOOKUP($B288,'Cronog. e Histog.'!$BZ:$BZ,'Cronog. e Histog.'!DF:DF),"")</f>
        <v>0</v>
      </c>
      <c r="AL288" s="144">
        <f>IFERROR(_xlfn.XLOOKUP($B288,'Cronog. e Histog.'!$BZ:$BZ,'Cronog. e Histog.'!DG:DG),"")</f>
        <v>0</v>
      </c>
      <c r="AM288" s="144">
        <f>IFERROR(_xlfn.XLOOKUP($B288,'Cronog. e Histog.'!$BZ:$BZ,'Cronog. e Histog.'!DH:DH),"")</f>
        <v>0</v>
      </c>
      <c r="AN288" s="144">
        <f>IFERROR(_xlfn.XLOOKUP($B288,'Cronog. e Histog.'!$BZ:$BZ,'Cronog. e Histog.'!DI:DI),"")</f>
        <v>0</v>
      </c>
      <c r="AO288" s="144">
        <f>IFERROR(_xlfn.XLOOKUP($B288,'Cronog. e Histog.'!$BZ:$BZ,'Cronog. e Histog.'!DJ:DJ),"")</f>
        <v>0</v>
      </c>
      <c r="AP288" s="144">
        <f>IFERROR(_xlfn.XLOOKUP($B288,'Cronog. e Histog.'!$BZ:$BZ,'Cronog. e Histog.'!DK:DK),"")</f>
        <v>0</v>
      </c>
      <c r="AQ288" s="144">
        <f>IFERROR(_xlfn.XLOOKUP($B288,'Cronog. e Histog.'!$BZ:$BZ,'Cronog. e Histog.'!DL:DL),"")</f>
        <v>0</v>
      </c>
      <c r="AR288" s="144">
        <f>IFERROR(_xlfn.XLOOKUP($B288,'Cronog. e Histog.'!$BZ:$BZ,'Cronog. e Histog.'!DM:DM),"")</f>
        <v>0</v>
      </c>
      <c r="AS288" s="144">
        <f>IFERROR(_xlfn.XLOOKUP($B288,'Cronog. e Histog.'!$BZ:$BZ,'Cronog. e Histog.'!DN:DN),"")</f>
        <v>0</v>
      </c>
      <c r="AT288" s="144">
        <f>IFERROR(_xlfn.XLOOKUP($B288,'Cronog. e Histog.'!$BZ:$BZ,'Cronog. e Histog.'!DO:DO),"")</f>
        <v>0</v>
      </c>
      <c r="AU288" s="144">
        <f>IFERROR(_xlfn.XLOOKUP($B288,'Cronog. e Histog.'!$BZ:$BZ,'Cronog. e Histog.'!DP:DP),"")</f>
        <v>0</v>
      </c>
      <c r="AV288" s="144">
        <f>IFERROR(_xlfn.XLOOKUP($B288,'Cronog. e Histog.'!$BZ:$BZ,'Cronog. e Histog.'!DQ:DQ),"")</f>
        <v>0</v>
      </c>
      <c r="AW288" s="144">
        <f>IFERROR(_xlfn.XLOOKUP($B288,'Cronog. e Histog.'!$BZ:$BZ,'Cronog. e Histog.'!DR:DR),"")</f>
        <v>0</v>
      </c>
      <c r="AX288" s="144">
        <f>IFERROR(_xlfn.XLOOKUP($B288,'Cronog. e Histog.'!$BZ:$BZ,'Cronog. e Histog.'!DS:DS),"")</f>
        <v>0</v>
      </c>
      <c r="AY288" s="144">
        <f>IFERROR(_xlfn.XLOOKUP($B288,'Cronog. e Histog.'!$BZ:$BZ,'Cronog. e Histog.'!DT:DT),"")</f>
        <v>0</v>
      </c>
      <c r="AZ288" s="144">
        <f>IFERROR(_xlfn.XLOOKUP($B288,'Cronog. e Histog.'!$BZ:$BZ,'Cronog. e Histog.'!DU:DU),"")</f>
        <v>0</v>
      </c>
      <c r="BA288" s="144">
        <f>IFERROR(_xlfn.XLOOKUP($B288,'Cronog. e Histog.'!$BZ:$BZ,'Cronog. e Histog.'!DV:DV),"")</f>
        <v>0</v>
      </c>
      <c r="BB288" s="144">
        <f>IFERROR(_xlfn.XLOOKUP($B288,'Cronog. e Histog.'!$BZ:$BZ,'Cronog. e Histog.'!DW:DW),"")</f>
        <v>0</v>
      </c>
      <c r="BC288" s="144">
        <f>IFERROR(_xlfn.XLOOKUP($B288,'Cronog. e Histog.'!$BZ:$BZ,'Cronog. e Histog.'!DX:DX),"")</f>
        <v>0</v>
      </c>
      <c r="BD288" s="144">
        <f>IFERROR(_xlfn.XLOOKUP($B288,'Cronog. e Histog.'!$BZ:$BZ,'Cronog. e Histog.'!DY:DY),"")</f>
        <v>0</v>
      </c>
      <c r="BE288" s="144">
        <f>IFERROR(_xlfn.XLOOKUP($B288,'Cronog. e Histog.'!$BZ:$BZ,'Cronog. e Histog.'!DZ:DZ),"")</f>
        <v>0</v>
      </c>
      <c r="BF288" s="144">
        <f>IFERROR(_xlfn.XLOOKUP($B288,'Cronog. e Histog.'!$BZ:$BZ,'Cronog. e Histog.'!EA:EA),"")</f>
        <v>0</v>
      </c>
      <c r="BG288" s="144">
        <f>IFERROR(_xlfn.XLOOKUP($B288,'Cronog. e Histog.'!$BZ:$BZ,'Cronog. e Histog.'!EB:EB),"")</f>
        <v>0</v>
      </c>
      <c r="BH288" s="144">
        <f>IFERROR(_xlfn.XLOOKUP($B288,'Cronog. e Histog.'!$BZ:$BZ,'Cronog. e Histog.'!EC:EC),"")</f>
        <v>0</v>
      </c>
      <c r="BI288" s="144">
        <f>IFERROR(_xlfn.XLOOKUP($B288,'Cronog. e Histog.'!$BZ:$BZ,'Cronog. e Histog.'!ED:ED),"")</f>
        <v>0</v>
      </c>
      <c r="BJ288" s="144">
        <f>IFERROR(_xlfn.XLOOKUP($B288,'Cronog. e Histog.'!$BZ:$BZ,'Cronog. e Histog.'!EE:EE),"")</f>
        <v>0</v>
      </c>
      <c r="BK288" s="144">
        <f>IFERROR(_xlfn.XLOOKUP($B288,'Cronog. e Histog.'!$BZ:$BZ,'Cronog. e Histog.'!EF:EF),"")</f>
        <v>0</v>
      </c>
      <c r="BL288" s="144">
        <f>IFERROR(_xlfn.XLOOKUP($B288,'Cronog. e Histog.'!$BZ:$BZ,'Cronog. e Histog.'!EG:EG),"")</f>
        <v>0</v>
      </c>
      <c r="BM288" s="144">
        <f>IFERROR(_xlfn.XLOOKUP($B288,'Cronog. e Histog.'!$BZ:$BZ,'Cronog. e Histog.'!EH:EH),"")</f>
        <v>0</v>
      </c>
      <c r="BN288" s="144">
        <f>IFERROR(_xlfn.XLOOKUP($B288,'Cronog. e Histog.'!$BZ:$BZ,'Cronog. e Histog.'!EI:EI),"")</f>
        <v>0</v>
      </c>
    </row>
    <row r="289" spans="2:66" ht="12" hidden="1" customHeight="1" outlineLevel="1">
      <c r="B289" s="76">
        <v>283</v>
      </c>
      <c r="C289" s="143" t="str">
        <f>IFERROR(VLOOKUP(B289,'Cronog. e Histog.'!$BZ$213:$CA$747,2,0),"")</f>
        <v>SUP.-ESP</v>
      </c>
      <c r="D289" s="144">
        <f t="shared" si="6"/>
        <v>0</v>
      </c>
      <c r="E289" s="144">
        <f t="shared" si="7"/>
        <v>0</v>
      </c>
      <c r="F289" s="65"/>
      <c r="G289" s="144">
        <f>IFERROR(_xlfn.XLOOKUP($B289,'Cronog. e Histog.'!$BZ:$BZ,'Cronog. e Histog.'!CB:CB),"")</f>
        <v>0</v>
      </c>
      <c r="H289" s="144">
        <f>IFERROR(_xlfn.XLOOKUP($B289,'Cronog. e Histog.'!$BZ:$BZ,'Cronog. e Histog.'!CC:CC),"")</f>
        <v>0</v>
      </c>
      <c r="I289" s="144">
        <f>IFERROR(_xlfn.XLOOKUP($B289,'Cronog. e Histog.'!$BZ:$BZ,'Cronog. e Histog.'!CD:CD),"")</f>
        <v>0</v>
      </c>
      <c r="J289" s="144">
        <f>IFERROR(_xlfn.XLOOKUP($B289,'Cronog. e Histog.'!$BZ:$BZ,'Cronog. e Histog.'!CE:CE),"")</f>
        <v>0</v>
      </c>
      <c r="K289" s="144">
        <f>IFERROR(_xlfn.XLOOKUP($B289,'Cronog. e Histog.'!$BZ:$BZ,'Cronog. e Histog.'!CF:CF),"")</f>
        <v>0</v>
      </c>
      <c r="L289" s="144">
        <f>IFERROR(_xlfn.XLOOKUP($B289,'Cronog. e Histog.'!$BZ:$BZ,'Cronog. e Histog.'!CG:CG),"")</f>
        <v>0</v>
      </c>
      <c r="M289" s="144">
        <f>IFERROR(_xlfn.XLOOKUP($B289,'Cronog. e Histog.'!$BZ:$BZ,'Cronog. e Histog.'!CH:CH),"")</f>
        <v>0</v>
      </c>
      <c r="N289" s="144">
        <f>IFERROR(_xlfn.XLOOKUP($B289,'Cronog. e Histog.'!$BZ:$BZ,'Cronog. e Histog.'!CI:CI),"")</f>
        <v>0</v>
      </c>
      <c r="O289" s="144">
        <f>IFERROR(_xlfn.XLOOKUP($B289,'Cronog. e Histog.'!$BZ:$BZ,'Cronog. e Histog.'!CJ:CJ),"")</f>
        <v>0</v>
      </c>
      <c r="P289" s="144">
        <f>IFERROR(_xlfn.XLOOKUP($B289,'Cronog. e Histog.'!$BZ:$BZ,'Cronog. e Histog.'!CK:CK),"")</f>
        <v>0</v>
      </c>
      <c r="Q289" s="144">
        <f>IFERROR(_xlfn.XLOOKUP($B289,'Cronog. e Histog.'!$BZ:$BZ,'Cronog. e Histog.'!CL:CL),"")</f>
        <v>0</v>
      </c>
      <c r="R289" s="144">
        <f>IFERROR(_xlfn.XLOOKUP($B289,'Cronog. e Histog.'!$BZ:$BZ,'Cronog. e Histog.'!CM:CM),"")</f>
        <v>0</v>
      </c>
      <c r="S289" s="144">
        <f>IFERROR(_xlfn.XLOOKUP($B289,'Cronog. e Histog.'!$BZ:$BZ,'Cronog. e Histog.'!CN:CN),"")</f>
        <v>0</v>
      </c>
      <c r="T289" s="144">
        <f>IFERROR(_xlfn.XLOOKUP($B289,'Cronog. e Histog.'!$BZ:$BZ,'Cronog. e Histog.'!CO:CO),"")</f>
        <v>0</v>
      </c>
      <c r="U289" s="144">
        <f>IFERROR(_xlfn.XLOOKUP($B289,'Cronog. e Histog.'!$BZ:$BZ,'Cronog. e Histog.'!CP:CP),"")</f>
        <v>0</v>
      </c>
      <c r="V289" s="144">
        <f>IFERROR(_xlfn.XLOOKUP($B289,'Cronog. e Histog.'!$BZ:$BZ,'Cronog. e Histog.'!CQ:CQ),"")</f>
        <v>0</v>
      </c>
      <c r="W289" s="144">
        <f>IFERROR(_xlfn.XLOOKUP($B289,'Cronog. e Histog.'!$BZ:$BZ,'Cronog. e Histog.'!CR:CR),"")</f>
        <v>0</v>
      </c>
      <c r="X289" s="144">
        <f>IFERROR(_xlfn.XLOOKUP($B289,'Cronog. e Histog.'!$BZ:$BZ,'Cronog. e Histog.'!CS:CS),"")</f>
        <v>0</v>
      </c>
      <c r="Y289" s="144">
        <f>IFERROR(_xlfn.XLOOKUP($B289,'Cronog. e Histog.'!$BZ:$BZ,'Cronog. e Histog.'!CT:CT),"")</f>
        <v>0</v>
      </c>
      <c r="Z289" s="144">
        <f>IFERROR(_xlfn.XLOOKUP($B289,'Cronog. e Histog.'!$BZ:$BZ,'Cronog. e Histog.'!CU:CU),"")</f>
        <v>0</v>
      </c>
      <c r="AA289" s="144">
        <f>IFERROR(_xlfn.XLOOKUP($B289,'Cronog. e Histog.'!$BZ:$BZ,'Cronog. e Histog.'!CV:CV),"")</f>
        <v>0</v>
      </c>
      <c r="AB289" s="144">
        <f>IFERROR(_xlfn.XLOOKUP($B289,'Cronog. e Histog.'!$BZ:$BZ,'Cronog. e Histog.'!CW:CW),"")</f>
        <v>0</v>
      </c>
      <c r="AC289" s="144">
        <f>IFERROR(_xlfn.XLOOKUP($B289,'Cronog. e Histog.'!$BZ:$BZ,'Cronog. e Histog.'!CX:CX),"")</f>
        <v>0</v>
      </c>
      <c r="AD289" s="144">
        <f>IFERROR(_xlfn.XLOOKUP($B289,'Cronog. e Histog.'!$BZ:$BZ,'Cronog. e Histog.'!CY:CY),"")</f>
        <v>0</v>
      </c>
      <c r="AE289" s="144">
        <f>IFERROR(_xlfn.XLOOKUP($B289,'Cronog. e Histog.'!$BZ:$BZ,'Cronog. e Histog.'!CZ:CZ),"")</f>
        <v>0</v>
      </c>
      <c r="AF289" s="144">
        <f>IFERROR(_xlfn.XLOOKUP($B289,'Cronog. e Histog.'!$BZ:$BZ,'Cronog. e Histog.'!DA:DA),"")</f>
        <v>0</v>
      </c>
      <c r="AG289" s="144">
        <f>IFERROR(_xlfn.XLOOKUP($B289,'Cronog. e Histog.'!$BZ:$BZ,'Cronog. e Histog.'!DB:DB),"")</f>
        <v>0</v>
      </c>
      <c r="AH289" s="144">
        <f>IFERROR(_xlfn.XLOOKUP($B289,'Cronog. e Histog.'!$BZ:$BZ,'Cronog. e Histog.'!DC:DC),"")</f>
        <v>0</v>
      </c>
      <c r="AI289" s="144">
        <f>IFERROR(_xlfn.XLOOKUP($B289,'Cronog. e Histog.'!$BZ:$BZ,'Cronog. e Histog.'!DD:DD),"")</f>
        <v>0</v>
      </c>
      <c r="AJ289" s="144">
        <f>IFERROR(_xlfn.XLOOKUP($B289,'Cronog. e Histog.'!$BZ:$BZ,'Cronog. e Histog.'!DE:DE),"")</f>
        <v>0</v>
      </c>
      <c r="AK289" s="144">
        <f>IFERROR(_xlfn.XLOOKUP($B289,'Cronog. e Histog.'!$BZ:$BZ,'Cronog. e Histog.'!DF:DF),"")</f>
        <v>0</v>
      </c>
      <c r="AL289" s="144">
        <f>IFERROR(_xlfn.XLOOKUP($B289,'Cronog. e Histog.'!$BZ:$BZ,'Cronog. e Histog.'!DG:DG),"")</f>
        <v>0</v>
      </c>
      <c r="AM289" s="144">
        <f>IFERROR(_xlfn.XLOOKUP($B289,'Cronog. e Histog.'!$BZ:$BZ,'Cronog. e Histog.'!DH:DH),"")</f>
        <v>0</v>
      </c>
      <c r="AN289" s="144">
        <f>IFERROR(_xlfn.XLOOKUP($B289,'Cronog. e Histog.'!$BZ:$BZ,'Cronog. e Histog.'!DI:DI),"")</f>
        <v>0</v>
      </c>
      <c r="AO289" s="144">
        <f>IFERROR(_xlfn.XLOOKUP($B289,'Cronog. e Histog.'!$BZ:$BZ,'Cronog. e Histog.'!DJ:DJ),"")</f>
        <v>0</v>
      </c>
      <c r="AP289" s="144">
        <f>IFERROR(_xlfn.XLOOKUP($B289,'Cronog. e Histog.'!$BZ:$BZ,'Cronog. e Histog.'!DK:DK),"")</f>
        <v>0</v>
      </c>
      <c r="AQ289" s="144">
        <f>IFERROR(_xlfn.XLOOKUP($B289,'Cronog. e Histog.'!$BZ:$BZ,'Cronog. e Histog.'!DL:DL),"")</f>
        <v>0</v>
      </c>
      <c r="AR289" s="144">
        <f>IFERROR(_xlfn.XLOOKUP($B289,'Cronog. e Histog.'!$BZ:$BZ,'Cronog. e Histog.'!DM:DM),"")</f>
        <v>0</v>
      </c>
      <c r="AS289" s="144">
        <f>IFERROR(_xlfn.XLOOKUP($B289,'Cronog. e Histog.'!$BZ:$BZ,'Cronog. e Histog.'!DN:DN),"")</f>
        <v>0</v>
      </c>
      <c r="AT289" s="144">
        <f>IFERROR(_xlfn.XLOOKUP($B289,'Cronog. e Histog.'!$BZ:$BZ,'Cronog. e Histog.'!DO:DO),"")</f>
        <v>0</v>
      </c>
      <c r="AU289" s="144">
        <f>IFERROR(_xlfn.XLOOKUP($B289,'Cronog. e Histog.'!$BZ:$BZ,'Cronog. e Histog.'!DP:DP),"")</f>
        <v>0</v>
      </c>
      <c r="AV289" s="144">
        <f>IFERROR(_xlfn.XLOOKUP($B289,'Cronog. e Histog.'!$BZ:$BZ,'Cronog. e Histog.'!DQ:DQ),"")</f>
        <v>0</v>
      </c>
      <c r="AW289" s="144">
        <f>IFERROR(_xlfn.XLOOKUP($B289,'Cronog. e Histog.'!$BZ:$BZ,'Cronog. e Histog.'!DR:DR),"")</f>
        <v>0</v>
      </c>
      <c r="AX289" s="144">
        <f>IFERROR(_xlfn.XLOOKUP($B289,'Cronog. e Histog.'!$BZ:$BZ,'Cronog. e Histog.'!DS:DS),"")</f>
        <v>0</v>
      </c>
      <c r="AY289" s="144">
        <f>IFERROR(_xlfn.XLOOKUP($B289,'Cronog. e Histog.'!$BZ:$BZ,'Cronog. e Histog.'!DT:DT),"")</f>
        <v>0</v>
      </c>
      <c r="AZ289" s="144">
        <f>IFERROR(_xlfn.XLOOKUP($B289,'Cronog. e Histog.'!$BZ:$BZ,'Cronog. e Histog.'!DU:DU),"")</f>
        <v>0</v>
      </c>
      <c r="BA289" s="144">
        <f>IFERROR(_xlfn.XLOOKUP($B289,'Cronog. e Histog.'!$BZ:$BZ,'Cronog. e Histog.'!DV:DV),"")</f>
        <v>0</v>
      </c>
      <c r="BB289" s="144">
        <f>IFERROR(_xlfn.XLOOKUP($B289,'Cronog. e Histog.'!$BZ:$BZ,'Cronog. e Histog.'!DW:DW),"")</f>
        <v>0</v>
      </c>
      <c r="BC289" s="144">
        <f>IFERROR(_xlfn.XLOOKUP($B289,'Cronog. e Histog.'!$BZ:$BZ,'Cronog. e Histog.'!DX:DX),"")</f>
        <v>0</v>
      </c>
      <c r="BD289" s="144">
        <f>IFERROR(_xlfn.XLOOKUP($B289,'Cronog. e Histog.'!$BZ:$BZ,'Cronog. e Histog.'!DY:DY),"")</f>
        <v>0</v>
      </c>
      <c r="BE289" s="144">
        <f>IFERROR(_xlfn.XLOOKUP($B289,'Cronog. e Histog.'!$BZ:$BZ,'Cronog. e Histog.'!DZ:DZ),"")</f>
        <v>0</v>
      </c>
      <c r="BF289" s="144">
        <f>IFERROR(_xlfn.XLOOKUP($B289,'Cronog. e Histog.'!$BZ:$BZ,'Cronog. e Histog.'!EA:EA),"")</f>
        <v>0</v>
      </c>
      <c r="BG289" s="144">
        <f>IFERROR(_xlfn.XLOOKUP($B289,'Cronog. e Histog.'!$BZ:$BZ,'Cronog. e Histog.'!EB:EB),"")</f>
        <v>0</v>
      </c>
      <c r="BH289" s="144">
        <f>IFERROR(_xlfn.XLOOKUP($B289,'Cronog. e Histog.'!$BZ:$BZ,'Cronog. e Histog.'!EC:EC),"")</f>
        <v>0</v>
      </c>
      <c r="BI289" s="144">
        <f>IFERROR(_xlfn.XLOOKUP($B289,'Cronog. e Histog.'!$BZ:$BZ,'Cronog. e Histog.'!ED:ED),"")</f>
        <v>0</v>
      </c>
      <c r="BJ289" s="144">
        <f>IFERROR(_xlfn.XLOOKUP($B289,'Cronog. e Histog.'!$BZ:$BZ,'Cronog. e Histog.'!EE:EE),"")</f>
        <v>0</v>
      </c>
      <c r="BK289" s="144">
        <f>IFERROR(_xlfn.XLOOKUP($B289,'Cronog. e Histog.'!$BZ:$BZ,'Cronog. e Histog.'!EF:EF),"")</f>
        <v>0</v>
      </c>
      <c r="BL289" s="144">
        <f>IFERROR(_xlfn.XLOOKUP($B289,'Cronog. e Histog.'!$BZ:$BZ,'Cronog. e Histog.'!EG:EG),"")</f>
        <v>0</v>
      </c>
      <c r="BM289" s="144">
        <f>IFERROR(_xlfn.XLOOKUP($B289,'Cronog. e Histog.'!$BZ:$BZ,'Cronog. e Histog.'!EH:EH),"")</f>
        <v>0</v>
      </c>
      <c r="BN289" s="144">
        <f>IFERROR(_xlfn.XLOOKUP($B289,'Cronog. e Histog.'!$BZ:$BZ,'Cronog. e Histog.'!EI:EI),"")</f>
        <v>0</v>
      </c>
    </row>
    <row r="290" spans="2:66" ht="12" hidden="1" customHeight="1" outlineLevel="1">
      <c r="B290" s="76">
        <v>284</v>
      </c>
      <c r="C290" s="143" t="str">
        <f>IFERROR(VLOOKUP(B290,'Cronog. e Histog.'!$BZ$213:$CA$747,2,0),"")</f>
        <v>ENG/ARQ SR.</v>
      </c>
      <c r="D290" s="144">
        <f t="shared" si="6"/>
        <v>0</v>
      </c>
      <c r="E290" s="144">
        <f t="shared" si="7"/>
        <v>0</v>
      </c>
      <c r="F290" s="65"/>
      <c r="G290" s="144">
        <f>IFERROR(_xlfn.XLOOKUP($B290,'Cronog. e Histog.'!$BZ:$BZ,'Cronog. e Histog.'!CB:CB),"")</f>
        <v>0</v>
      </c>
      <c r="H290" s="144">
        <f>IFERROR(_xlfn.XLOOKUP($B290,'Cronog. e Histog.'!$BZ:$BZ,'Cronog. e Histog.'!CC:CC),"")</f>
        <v>0</v>
      </c>
      <c r="I290" s="144">
        <f>IFERROR(_xlfn.XLOOKUP($B290,'Cronog. e Histog.'!$BZ:$BZ,'Cronog. e Histog.'!CD:CD),"")</f>
        <v>0</v>
      </c>
      <c r="J290" s="144">
        <f>IFERROR(_xlfn.XLOOKUP($B290,'Cronog. e Histog.'!$BZ:$BZ,'Cronog. e Histog.'!CE:CE),"")</f>
        <v>0</v>
      </c>
      <c r="K290" s="144">
        <f>IFERROR(_xlfn.XLOOKUP($B290,'Cronog. e Histog.'!$BZ:$BZ,'Cronog. e Histog.'!CF:CF),"")</f>
        <v>0</v>
      </c>
      <c r="L290" s="144">
        <f>IFERROR(_xlfn.XLOOKUP($B290,'Cronog. e Histog.'!$BZ:$BZ,'Cronog. e Histog.'!CG:CG),"")</f>
        <v>0</v>
      </c>
      <c r="M290" s="144">
        <f>IFERROR(_xlfn.XLOOKUP($B290,'Cronog. e Histog.'!$BZ:$BZ,'Cronog. e Histog.'!CH:CH),"")</f>
        <v>0</v>
      </c>
      <c r="N290" s="144">
        <f>IFERROR(_xlfn.XLOOKUP($B290,'Cronog. e Histog.'!$BZ:$BZ,'Cronog. e Histog.'!CI:CI),"")</f>
        <v>0</v>
      </c>
      <c r="O290" s="144">
        <f>IFERROR(_xlfn.XLOOKUP($B290,'Cronog. e Histog.'!$BZ:$BZ,'Cronog. e Histog.'!CJ:CJ),"")</f>
        <v>0</v>
      </c>
      <c r="P290" s="144">
        <f>IFERROR(_xlfn.XLOOKUP($B290,'Cronog. e Histog.'!$BZ:$BZ,'Cronog. e Histog.'!CK:CK),"")</f>
        <v>0</v>
      </c>
      <c r="Q290" s="144">
        <f>IFERROR(_xlfn.XLOOKUP($B290,'Cronog. e Histog.'!$BZ:$BZ,'Cronog. e Histog.'!CL:CL),"")</f>
        <v>0</v>
      </c>
      <c r="R290" s="144">
        <f>IFERROR(_xlfn.XLOOKUP($B290,'Cronog. e Histog.'!$BZ:$BZ,'Cronog. e Histog.'!CM:CM),"")</f>
        <v>0</v>
      </c>
      <c r="S290" s="144">
        <f>IFERROR(_xlfn.XLOOKUP($B290,'Cronog. e Histog.'!$BZ:$BZ,'Cronog. e Histog.'!CN:CN),"")</f>
        <v>0</v>
      </c>
      <c r="T290" s="144">
        <f>IFERROR(_xlfn.XLOOKUP($B290,'Cronog. e Histog.'!$BZ:$BZ,'Cronog. e Histog.'!CO:CO),"")</f>
        <v>0</v>
      </c>
      <c r="U290" s="144">
        <f>IFERROR(_xlfn.XLOOKUP($B290,'Cronog. e Histog.'!$BZ:$BZ,'Cronog. e Histog.'!CP:CP),"")</f>
        <v>0</v>
      </c>
      <c r="V290" s="144">
        <f>IFERROR(_xlfn.XLOOKUP($B290,'Cronog. e Histog.'!$BZ:$BZ,'Cronog. e Histog.'!CQ:CQ),"")</f>
        <v>0</v>
      </c>
      <c r="W290" s="144">
        <f>IFERROR(_xlfn.XLOOKUP($B290,'Cronog. e Histog.'!$BZ:$BZ,'Cronog. e Histog.'!CR:CR),"")</f>
        <v>0</v>
      </c>
      <c r="X290" s="144">
        <f>IFERROR(_xlfn.XLOOKUP($B290,'Cronog. e Histog.'!$BZ:$BZ,'Cronog. e Histog.'!CS:CS),"")</f>
        <v>0</v>
      </c>
      <c r="Y290" s="144">
        <f>IFERROR(_xlfn.XLOOKUP($B290,'Cronog. e Histog.'!$BZ:$BZ,'Cronog. e Histog.'!CT:CT),"")</f>
        <v>0</v>
      </c>
      <c r="Z290" s="144">
        <f>IFERROR(_xlfn.XLOOKUP($B290,'Cronog. e Histog.'!$BZ:$BZ,'Cronog. e Histog.'!CU:CU),"")</f>
        <v>0</v>
      </c>
      <c r="AA290" s="144">
        <f>IFERROR(_xlfn.XLOOKUP($B290,'Cronog. e Histog.'!$BZ:$BZ,'Cronog. e Histog.'!CV:CV),"")</f>
        <v>0</v>
      </c>
      <c r="AB290" s="144">
        <f>IFERROR(_xlfn.XLOOKUP($B290,'Cronog. e Histog.'!$BZ:$BZ,'Cronog. e Histog.'!CW:CW),"")</f>
        <v>0</v>
      </c>
      <c r="AC290" s="144">
        <f>IFERROR(_xlfn.XLOOKUP($B290,'Cronog. e Histog.'!$BZ:$BZ,'Cronog. e Histog.'!CX:CX),"")</f>
        <v>0</v>
      </c>
      <c r="AD290" s="144">
        <f>IFERROR(_xlfn.XLOOKUP($B290,'Cronog. e Histog.'!$BZ:$BZ,'Cronog. e Histog.'!CY:CY),"")</f>
        <v>0</v>
      </c>
      <c r="AE290" s="144">
        <f>IFERROR(_xlfn.XLOOKUP($B290,'Cronog. e Histog.'!$BZ:$BZ,'Cronog. e Histog.'!CZ:CZ),"")</f>
        <v>0</v>
      </c>
      <c r="AF290" s="144">
        <f>IFERROR(_xlfn.XLOOKUP($B290,'Cronog. e Histog.'!$BZ:$BZ,'Cronog. e Histog.'!DA:DA),"")</f>
        <v>0</v>
      </c>
      <c r="AG290" s="144">
        <f>IFERROR(_xlfn.XLOOKUP($B290,'Cronog. e Histog.'!$BZ:$BZ,'Cronog. e Histog.'!DB:DB),"")</f>
        <v>0</v>
      </c>
      <c r="AH290" s="144">
        <f>IFERROR(_xlfn.XLOOKUP($B290,'Cronog. e Histog.'!$BZ:$BZ,'Cronog. e Histog.'!DC:DC),"")</f>
        <v>0</v>
      </c>
      <c r="AI290" s="144">
        <f>IFERROR(_xlfn.XLOOKUP($B290,'Cronog. e Histog.'!$BZ:$BZ,'Cronog. e Histog.'!DD:DD),"")</f>
        <v>0</v>
      </c>
      <c r="AJ290" s="144">
        <f>IFERROR(_xlfn.XLOOKUP($B290,'Cronog. e Histog.'!$BZ:$BZ,'Cronog. e Histog.'!DE:DE),"")</f>
        <v>0</v>
      </c>
      <c r="AK290" s="144">
        <f>IFERROR(_xlfn.XLOOKUP($B290,'Cronog. e Histog.'!$BZ:$BZ,'Cronog. e Histog.'!DF:DF),"")</f>
        <v>0</v>
      </c>
      <c r="AL290" s="144">
        <f>IFERROR(_xlfn.XLOOKUP($B290,'Cronog. e Histog.'!$BZ:$BZ,'Cronog. e Histog.'!DG:DG),"")</f>
        <v>0</v>
      </c>
      <c r="AM290" s="144">
        <f>IFERROR(_xlfn.XLOOKUP($B290,'Cronog. e Histog.'!$BZ:$BZ,'Cronog. e Histog.'!DH:DH),"")</f>
        <v>0</v>
      </c>
      <c r="AN290" s="144">
        <f>IFERROR(_xlfn.XLOOKUP($B290,'Cronog. e Histog.'!$BZ:$BZ,'Cronog. e Histog.'!DI:DI),"")</f>
        <v>0</v>
      </c>
      <c r="AO290" s="144">
        <f>IFERROR(_xlfn.XLOOKUP($B290,'Cronog. e Histog.'!$BZ:$BZ,'Cronog. e Histog.'!DJ:DJ),"")</f>
        <v>0</v>
      </c>
      <c r="AP290" s="144">
        <f>IFERROR(_xlfn.XLOOKUP($B290,'Cronog. e Histog.'!$BZ:$BZ,'Cronog. e Histog.'!DK:DK),"")</f>
        <v>0</v>
      </c>
      <c r="AQ290" s="144">
        <f>IFERROR(_xlfn.XLOOKUP($B290,'Cronog. e Histog.'!$BZ:$BZ,'Cronog. e Histog.'!DL:DL),"")</f>
        <v>0</v>
      </c>
      <c r="AR290" s="144">
        <f>IFERROR(_xlfn.XLOOKUP($B290,'Cronog. e Histog.'!$BZ:$BZ,'Cronog. e Histog.'!DM:DM),"")</f>
        <v>0</v>
      </c>
      <c r="AS290" s="144">
        <f>IFERROR(_xlfn.XLOOKUP($B290,'Cronog. e Histog.'!$BZ:$BZ,'Cronog. e Histog.'!DN:DN),"")</f>
        <v>0</v>
      </c>
      <c r="AT290" s="144">
        <f>IFERROR(_xlfn.XLOOKUP($B290,'Cronog. e Histog.'!$BZ:$BZ,'Cronog. e Histog.'!DO:DO),"")</f>
        <v>0</v>
      </c>
      <c r="AU290" s="144">
        <f>IFERROR(_xlfn.XLOOKUP($B290,'Cronog. e Histog.'!$BZ:$BZ,'Cronog. e Histog.'!DP:DP),"")</f>
        <v>0</v>
      </c>
      <c r="AV290" s="144">
        <f>IFERROR(_xlfn.XLOOKUP($B290,'Cronog. e Histog.'!$BZ:$BZ,'Cronog. e Histog.'!DQ:DQ),"")</f>
        <v>0</v>
      </c>
      <c r="AW290" s="144">
        <f>IFERROR(_xlfn.XLOOKUP($B290,'Cronog. e Histog.'!$BZ:$BZ,'Cronog. e Histog.'!DR:DR),"")</f>
        <v>0</v>
      </c>
      <c r="AX290" s="144">
        <f>IFERROR(_xlfn.XLOOKUP($B290,'Cronog. e Histog.'!$BZ:$BZ,'Cronog. e Histog.'!DS:DS),"")</f>
        <v>0</v>
      </c>
      <c r="AY290" s="144">
        <f>IFERROR(_xlfn.XLOOKUP($B290,'Cronog. e Histog.'!$BZ:$BZ,'Cronog. e Histog.'!DT:DT),"")</f>
        <v>0</v>
      </c>
      <c r="AZ290" s="144">
        <f>IFERROR(_xlfn.XLOOKUP($B290,'Cronog. e Histog.'!$BZ:$BZ,'Cronog. e Histog.'!DU:DU),"")</f>
        <v>0</v>
      </c>
      <c r="BA290" s="144">
        <f>IFERROR(_xlfn.XLOOKUP($B290,'Cronog. e Histog.'!$BZ:$BZ,'Cronog. e Histog.'!DV:DV),"")</f>
        <v>0</v>
      </c>
      <c r="BB290" s="144">
        <f>IFERROR(_xlfn.XLOOKUP($B290,'Cronog. e Histog.'!$BZ:$BZ,'Cronog. e Histog.'!DW:DW),"")</f>
        <v>0</v>
      </c>
      <c r="BC290" s="144">
        <f>IFERROR(_xlfn.XLOOKUP($B290,'Cronog. e Histog.'!$BZ:$BZ,'Cronog. e Histog.'!DX:DX),"")</f>
        <v>0</v>
      </c>
      <c r="BD290" s="144">
        <f>IFERROR(_xlfn.XLOOKUP($B290,'Cronog. e Histog.'!$BZ:$BZ,'Cronog. e Histog.'!DY:DY),"")</f>
        <v>0</v>
      </c>
      <c r="BE290" s="144">
        <f>IFERROR(_xlfn.XLOOKUP($B290,'Cronog. e Histog.'!$BZ:$BZ,'Cronog. e Histog.'!DZ:DZ),"")</f>
        <v>0</v>
      </c>
      <c r="BF290" s="144">
        <f>IFERROR(_xlfn.XLOOKUP($B290,'Cronog. e Histog.'!$BZ:$BZ,'Cronog. e Histog.'!EA:EA),"")</f>
        <v>0</v>
      </c>
      <c r="BG290" s="144">
        <f>IFERROR(_xlfn.XLOOKUP($B290,'Cronog. e Histog.'!$BZ:$BZ,'Cronog. e Histog.'!EB:EB),"")</f>
        <v>0</v>
      </c>
      <c r="BH290" s="144">
        <f>IFERROR(_xlfn.XLOOKUP($B290,'Cronog. e Histog.'!$BZ:$BZ,'Cronog. e Histog.'!EC:EC),"")</f>
        <v>0</v>
      </c>
      <c r="BI290" s="144">
        <f>IFERROR(_xlfn.XLOOKUP($B290,'Cronog. e Histog.'!$BZ:$BZ,'Cronog. e Histog.'!ED:ED),"")</f>
        <v>0</v>
      </c>
      <c r="BJ290" s="144">
        <f>IFERROR(_xlfn.XLOOKUP($B290,'Cronog. e Histog.'!$BZ:$BZ,'Cronog. e Histog.'!EE:EE),"")</f>
        <v>0</v>
      </c>
      <c r="BK290" s="144">
        <f>IFERROR(_xlfn.XLOOKUP($B290,'Cronog. e Histog.'!$BZ:$BZ,'Cronog. e Histog.'!EF:EF),"")</f>
        <v>0</v>
      </c>
      <c r="BL290" s="144">
        <f>IFERROR(_xlfn.XLOOKUP($B290,'Cronog. e Histog.'!$BZ:$BZ,'Cronog. e Histog.'!EG:EG),"")</f>
        <v>0</v>
      </c>
      <c r="BM290" s="144">
        <f>IFERROR(_xlfn.XLOOKUP($B290,'Cronog. e Histog.'!$BZ:$BZ,'Cronog. e Histog.'!EH:EH),"")</f>
        <v>0</v>
      </c>
      <c r="BN290" s="144">
        <f>IFERROR(_xlfn.XLOOKUP($B290,'Cronog. e Histog.'!$BZ:$BZ,'Cronog. e Histog.'!EI:EI),"")</f>
        <v>0</v>
      </c>
    </row>
    <row r="291" spans="2:66" ht="12" hidden="1" customHeight="1" outlineLevel="1">
      <c r="B291" s="76">
        <v>285</v>
      </c>
      <c r="C291" s="143" t="str">
        <f>IFERROR(VLOOKUP(B291,'Cronog. e Histog.'!$BZ$213:$CA$747,2,0),"")</f>
        <v>ENG/ARQ PL.</v>
      </c>
      <c r="D291" s="144">
        <f t="shared" si="6"/>
        <v>0</v>
      </c>
      <c r="E291" s="144">
        <f t="shared" si="7"/>
        <v>0</v>
      </c>
      <c r="F291" s="65"/>
      <c r="G291" s="144">
        <f>IFERROR(_xlfn.XLOOKUP($B291,'Cronog. e Histog.'!$BZ:$BZ,'Cronog. e Histog.'!CB:CB),"")</f>
        <v>0</v>
      </c>
      <c r="H291" s="144">
        <f>IFERROR(_xlfn.XLOOKUP($B291,'Cronog. e Histog.'!$BZ:$BZ,'Cronog. e Histog.'!CC:CC),"")</f>
        <v>0</v>
      </c>
      <c r="I291" s="144">
        <f>IFERROR(_xlfn.XLOOKUP($B291,'Cronog. e Histog.'!$BZ:$BZ,'Cronog. e Histog.'!CD:CD),"")</f>
        <v>0</v>
      </c>
      <c r="J291" s="144">
        <f>IFERROR(_xlfn.XLOOKUP($B291,'Cronog. e Histog.'!$BZ:$BZ,'Cronog. e Histog.'!CE:CE),"")</f>
        <v>0</v>
      </c>
      <c r="K291" s="144">
        <f>IFERROR(_xlfn.XLOOKUP($B291,'Cronog. e Histog.'!$BZ:$BZ,'Cronog. e Histog.'!CF:CF),"")</f>
        <v>0</v>
      </c>
      <c r="L291" s="144">
        <f>IFERROR(_xlfn.XLOOKUP($B291,'Cronog. e Histog.'!$BZ:$BZ,'Cronog. e Histog.'!CG:CG),"")</f>
        <v>0</v>
      </c>
      <c r="M291" s="144">
        <f>IFERROR(_xlfn.XLOOKUP($B291,'Cronog. e Histog.'!$BZ:$BZ,'Cronog. e Histog.'!CH:CH),"")</f>
        <v>0</v>
      </c>
      <c r="N291" s="144">
        <f>IFERROR(_xlfn.XLOOKUP($B291,'Cronog. e Histog.'!$BZ:$BZ,'Cronog. e Histog.'!CI:CI),"")</f>
        <v>0</v>
      </c>
      <c r="O291" s="144">
        <f>IFERROR(_xlfn.XLOOKUP($B291,'Cronog. e Histog.'!$BZ:$BZ,'Cronog. e Histog.'!CJ:CJ),"")</f>
        <v>0</v>
      </c>
      <c r="P291" s="144">
        <f>IFERROR(_xlfn.XLOOKUP($B291,'Cronog. e Histog.'!$BZ:$BZ,'Cronog. e Histog.'!CK:CK),"")</f>
        <v>0</v>
      </c>
      <c r="Q291" s="144">
        <f>IFERROR(_xlfn.XLOOKUP($B291,'Cronog. e Histog.'!$BZ:$BZ,'Cronog. e Histog.'!CL:CL),"")</f>
        <v>0</v>
      </c>
      <c r="R291" s="144">
        <f>IFERROR(_xlfn.XLOOKUP($B291,'Cronog. e Histog.'!$BZ:$BZ,'Cronog. e Histog.'!CM:CM),"")</f>
        <v>0</v>
      </c>
      <c r="S291" s="144">
        <f>IFERROR(_xlfn.XLOOKUP($B291,'Cronog. e Histog.'!$BZ:$BZ,'Cronog. e Histog.'!CN:CN),"")</f>
        <v>0</v>
      </c>
      <c r="T291" s="144">
        <f>IFERROR(_xlfn.XLOOKUP($B291,'Cronog. e Histog.'!$BZ:$BZ,'Cronog. e Histog.'!CO:CO),"")</f>
        <v>0</v>
      </c>
      <c r="U291" s="144">
        <f>IFERROR(_xlfn.XLOOKUP($B291,'Cronog. e Histog.'!$BZ:$BZ,'Cronog. e Histog.'!CP:CP),"")</f>
        <v>0</v>
      </c>
      <c r="V291" s="144">
        <f>IFERROR(_xlfn.XLOOKUP($B291,'Cronog. e Histog.'!$BZ:$BZ,'Cronog. e Histog.'!CQ:CQ),"")</f>
        <v>0</v>
      </c>
      <c r="W291" s="144">
        <f>IFERROR(_xlfn.XLOOKUP($B291,'Cronog. e Histog.'!$BZ:$BZ,'Cronog. e Histog.'!CR:CR),"")</f>
        <v>0</v>
      </c>
      <c r="X291" s="144">
        <f>IFERROR(_xlfn.XLOOKUP($B291,'Cronog. e Histog.'!$BZ:$BZ,'Cronog. e Histog.'!CS:CS),"")</f>
        <v>0</v>
      </c>
      <c r="Y291" s="144">
        <f>IFERROR(_xlfn.XLOOKUP($B291,'Cronog. e Histog.'!$BZ:$BZ,'Cronog. e Histog.'!CT:CT),"")</f>
        <v>0</v>
      </c>
      <c r="Z291" s="144">
        <f>IFERROR(_xlfn.XLOOKUP($B291,'Cronog. e Histog.'!$BZ:$BZ,'Cronog. e Histog.'!CU:CU),"")</f>
        <v>0</v>
      </c>
      <c r="AA291" s="144">
        <f>IFERROR(_xlfn.XLOOKUP($B291,'Cronog. e Histog.'!$BZ:$BZ,'Cronog. e Histog.'!CV:CV),"")</f>
        <v>0</v>
      </c>
      <c r="AB291" s="144">
        <f>IFERROR(_xlfn.XLOOKUP($B291,'Cronog. e Histog.'!$BZ:$BZ,'Cronog. e Histog.'!CW:CW),"")</f>
        <v>0</v>
      </c>
      <c r="AC291" s="144">
        <f>IFERROR(_xlfn.XLOOKUP($B291,'Cronog. e Histog.'!$BZ:$BZ,'Cronog. e Histog.'!CX:CX),"")</f>
        <v>0</v>
      </c>
      <c r="AD291" s="144">
        <f>IFERROR(_xlfn.XLOOKUP($B291,'Cronog. e Histog.'!$BZ:$BZ,'Cronog. e Histog.'!CY:CY),"")</f>
        <v>0</v>
      </c>
      <c r="AE291" s="144">
        <f>IFERROR(_xlfn.XLOOKUP($B291,'Cronog. e Histog.'!$BZ:$BZ,'Cronog. e Histog.'!CZ:CZ),"")</f>
        <v>0</v>
      </c>
      <c r="AF291" s="144">
        <f>IFERROR(_xlfn.XLOOKUP($B291,'Cronog. e Histog.'!$BZ:$BZ,'Cronog. e Histog.'!DA:DA),"")</f>
        <v>0</v>
      </c>
      <c r="AG291" s="144">
        <f>IFERROR(_xlfn.XLOOKUP($B291,'Cronog. e Histog.'!$BZ:$BZ,'Cronog. e Histog.'!DB:DB),"")</f>
        <v>0</v>
      </c>
      <c r="AH291" s="144">
        <f>IFERROR(_xlfn.XLOOKUP($B291,'Cronog. e Histog.'!$BZ:$BZ,'Cronog. e Histog.'!DC:DC),"")</f>
        <v>0</v>
      </c>
      <c r="AI291" s="144">
        <f>IFERROR(_xlfn.XLOOKUP($B291,'Cronog. e Histog.'!$BZ:$BZ,'Cronog. e Histog.'!DD:DD),"")</f>
        <v>0</v>
      </c>
      <c r="AJ291" s="144">
        <f>IFERROR(_xlfn.XLOOKUP($B291,'Cronog. e Histog.'!$BZ:$BZ,'Cronog. e Histog.'!DE:DE),"")</f>
        <v>0</v>
      </c>
      <c r="AK291" s="144">
        <f>IFERROR(_xlfn.XLOOKUP($B291,'Cronog. e Histog.'!$BZ:$BZ,'Cronog. e Histog.'!DF:DF),"")</f>
        <v>0</v>
      </c>
      <c r="AL291" s="144">
        <f>IFERROR(_xlfn.XLOOKUP($B291,'Cronog. e Histog.'!$BZ:$BZ,'Cronog. e Histog.'!DG:DG),"")</f>
        <v>0</v>
      </c>
      <c r="AM291" s="144">
        <f>IFERROR(_xlfn.XLOOKUP($B291,'Cronog. e Histog.'!$BZ:$BZ,'Cronog. e Histog.'!DH:DH),"")</f>
        <v>0</v>
      </c>
      <c r="AN291" s="144">
        <f>IFERROR(_xlfn.XLOOKUP($B291,'Cronog. e Histog.'!$BZ:$BZ,'Cronog. e Histog.'!DI:DI),"")</f>
        <v>0</v>
      </c>
      <c r="AO291" s="144">
        <f>IFERROR(_xlfn.XLOOKUP($B291,'Cronog. e Histog.'!$BZ:$BZ,'Cronog. e Histog.'!DJ:DJ),"")</f>
        <v>0</v>
      </c>
      <c r="AP291" s="144">
        <f>IFERROR(_xlfn.XLOOKUP($B291,'Cronog. e Histog.'!$BZ:$BZ,'Cronog. e Histog.'!DK:DK),"")</f>
        <v>0</v>
      </c>
      <c r="AQ291" s="144">
        <f>IFERROR(_xlfn.XLOOKUP($B291,'Cronog. e Histog.'!$BZ:$BZ,'Cronog. e Histog.'!DL:DL),"")</f>
        <v>0</v>
      </c>
      <c r="AR291" s="144">
        <f>IFERROR(_xlfn.XLOOKUP($B291,'Cronog. e Histog.'!$BZ:$BZ,'Cronog. e Histog.'!DM:DM),"")</f>
        <v>0</v>
      </c>
      <c r="AS291" s="144">
        <f>IFERROR(_xlfn.XLOOKUP($B291,'Cronog. e Histog.'!$BZ:$BZ,'Cronog. e Histog.'!DN:DN),"")</f>
        <v>0</v>
      </c>
      <c r="AT291" s="144">
        <f>IFERROR(_xlfn.XLOOKUP($B291,'Cronog. e Histog.'!$BZ:$BZ,'Cronog. e Histog.'!DO:DO),"")</f>
        <v>0</v>
      </c>
      <c r="AU291" s="144">
        <f>IFERROR(_xlfn.XLOOKUP($B291,'Cronog. e Histog.'!$BZ:$BZ,'Cronog. e Histog.'!DP:DP),"")</f>
        <v>0</v>
      </c>
      <c r="AV291" s="144">
        <f>IFERROR(_xlfn.XLOOKUP($B291,'Cronog. e Histog.'!$BZ:$BZ,'Cronog. e Histog.'!DQ:DQ),"")</f>
        <v>0</v>
      </c>
      <c r="AW291" s="144">
        <f>IFERROR(_xlfn.XLOOKUP($B291,'Cronog. e Histog.'!$BZ:$BZ,'Cronog. e Histog.'!DR:DR),"")</f>
        <v>0</v>
      </c>
      <c r="AX291" s="144">
        <f>IFERROR(_xlfn.XLOOKUP($B291,'Cronog. e Histog.'!$BZ:$BZ,'Cronog. e Histog.'!DS:DS),"")</f>
        <v>0</v>
      </c>
      <c r="AY291" s="144">
        <f>IFERROR(_xlfn.XLOOKUP($B291,'Cronog. e Histog.'!$BZ:$BZ,'Cronog. e Histog.'!DT:DT),"")</f>
        <v>0</v>
      </c>
      <c r="AZ291" s="144">
        <f>IFERROR(_xlfn.XLOOKUP($B291,'Cronog. e Histog.'!$BZ:$BZ,'Cronog. e Histog.'!DU:DU),"")</f>
        <v>0</v>
      </c>
      <c r="BA291" s="144">
        <f>IFERROR(_xlfn.XLOOKUP($B291,'Cronog. e Histog.'!$BZ:$BZ,'Cronog. e Histog.'!DV:DV),"")</f>
        <v>0</v>
      </c>
      <c r="BB291" s="144">
        <f>IFERROR(_xlfn.XLOOKUP($B291,'Cronog. e Histog.'!$BZ:$BZ,'Cronog. e Histog.'!DW:DW),"")</f>
        <v>0</v>
      </c>
      <c r="BC291" s="144">
        <f>IFERROR(_xlfn.XLOOKUP($B291,'Cronog. e Histog.'!$BZ:$BZ,'Cronog. e Histog.'!DX:DX),"")</f>
        <v>0</v>
      </c>
      <c r="BD291" s="144">
        <f>IFERROR(_xlfn.XLOOKUP($B291,'Cronog. e Histog.'!$BZ:$BZ,'Cronog. e Histog.'!DY:DY),"")</f>
        <v>0</v>
      </c>
      <c r="BE291" s="144">
        <f>IFERROR(_xlfn.XLOOKUP($B291,'Cronog. e Histog.'!$BZ:$BZ,'Cronog. e Histog.'!DZ:DZ),"")</f>
        <v>0</v>
      </c>
      <c r="BF291" s="144">
        <f>IFERROR(_xlfn.XLOOKUP($B291,'Cronog. e Histog.'!$BZ:$BZ,'Cronog. e Histog.'!EA:EA),"")</f>
        <v>0</v>
      </c>
      <c r="BG291" s="144">
        <f>IFERROR(_xlfn.XLOOKUP($B291,'Cronog. e Histog.'!$BZ:$BZ,'Cronog. e Histog.'!EB:EB),"")</f>
        <v>0</v>
      </c>
      <c r="BH291" s="144">
        <f>IFERROR(_xlfn.XLOOKUP($B291,'Cronog. e Histog.'!$BZ:$BZ,'Cronog. e Histog.'!EC:EC),"")</f>
        <v>0</v>
      </c>
      <c r="BI291" s="144">
        <f>IFERROR(_xlfn.XLOOKUP($B291,'Cronog. e Histog.'!$BZ:$BZ,'Cronog. e Histog.'!ED:ED),"")</f>
        <v>0</v>
      </c>
      <c r="BJ291" s="144">
        <f>IFERROR(_xlfn.XLOOKUP($B291,'Cronog. e Histog.'!$BZ:$BZ,'Cronog. e Histog.'!EE:EE),"")</f>
        <v>0</v>
      </c>
      <c r="BK291" s="144">
        <f>IFERROR(_xlfn.XLOOKUP($B291,'Cronog. e Histog.'!$BZ:$BZ,'Cronog. e Histog.'!EF:EF),"")</f>
        <v>0</v>
      </c>
      <c r="BL291" s="144">
        <f>IFERROR(_xlfn.XLOOKUP($B291,'Cronog. e Histog.'!$BZ:$BZ,'Cronog. e Histog.'!EG:EG),"")</f>
        <v>0</v>
      </c>
      <c r="BM291" s="144">
        <f>IFERROR(_xlfn.XLOOKUP($B291,'Cronog. e Histog.'!$BZ:$BZ,'Cronog. e Histog.'!EH:EH),"")</f>
        <v>0</v>
      </c>
      <c r="BN291" s="144">
        <f>IFERROR(_xlfn.XLOOKUP($B291,'Cronog. e Histog.'!$BZ:$BZ,'Cronog. e Histog.'!EI:EI),"")</f>
        <v>0</v>
      </c>
    </row>
    <row r="292" spans="2:66" ht="12" hidden="1" customHeight="1" outlineLevel="1">
      <c r="B292" s="76">
        <v>286</v>
      </c>
      <c r="C292" s="143" t="str">
        <f>IFERROR(VLOOKUP(B292,'Cronog. e Histog.'!$BZ$213:$CA$747,2,0),"")</f>
        <v>ENG/ARQ JR.</v>
      </c>
      <c r="D292" s="144">
        <f t="shared" si="6"/>
        <v>0</v>
      </c>
      <c r="E292" s="144">
        <f t="shared" si="7"/>
        <v>0</v>
      </c>
      <c r="F292" s="65"/>
      <c r="G292" s="144">
        <f>IFERROR(_xlfn.XLOOKUP($B292,'Cronog. e Histog.'!$BZ:$BZ,'Cronog. e Histog.'!CB:CB),"")</f>
        <v>0</v>
      </c>
      <c r="H292" s="144">
        <f>IFERROR(_xlfn.XLOOKUP($B292,'Cronog. e Histog.'!$BZ:$BZ,'Cronog. e Histog.'!CC:CC),"")</f>
        <v>0</v>
      </c>
      <c r="I292" s="144">
        <f>IFERROR(_xlfn.XLOOKUP($B292,'Cronog. e Histog.'!$BZ:$BZ,'Cronog. e Histog.'!CD:CD),"")</f>
        <v>0</v>
      </c>
      <c r="J292" s="144">
        <f>IFERROR(_xlfn.XLOOKUP($B292,'Cronog. e Histog.'!$BZ:$BZ,'Cronog. e Histog.'!CE:CE),"")</f>
        <v>0</v>
      </c>
      <c r="K292" s="144">
        <f>IFERROR(_xlfn.XLOOKUP($B292,'Cronog. e Histog.'!$BZ:$BZ,'Cronog. e Histog.'!CF:CF),"")</f>
        <v>0</v>
      </c>
      <c r="L292" s="144">
        <f>IFERROR(_xlfn.XLOOKUP($B292,'Cronog. e Histog.'!$BZ:$BZ,'Cronog. e Histog.'!CG:CG),"")</f>
        <v>0</v>
      </c>
      <c r="M292" s="144">
        <f>IFERROR(_xlfn.XLOOKUP($B292,'Cronog. e Histog.'!$BZ:$BZ,'Cronog. e Histog.'!CH:CH),"")</f>
        <v>0</v>
      </c>
      <c r="N292" s="144">
        <f>IFERROR(_xlfn.XLOOKUP($B292,'Cronog. e Histog.'!$BZ:$BZ,'Cronog. e Histog.'!CI:CI),"")</f>
        <v>0</v>
      </c>
      <c r="O292" s="144">
        <f>IFERROR(_xlfn.XLOOKUP($B292,'Cronog. e Histog.'!$BZ:$BZ,'Cronog. e Histog.'!CJ:CJ),"")</f>
        <v>0</v>
      </c>
      <c r="P292" s="144">
        <f>IFERROR(_xlfn.XLOOKUP($B292,'Cronog. e Histog.'!$BZ:$BZ,'Cronog. e Histog.'!CK:CK),"")</f>
        <v>0</v>
      </c>
      <c r="Q292" s="144">
        <f>IFERROR(_xlfn.XLOOKUP($B292,'Cronog. e Histog.'!$BZ:$BZ,'Cronog. e Histog.'!CL:CL),"")</f>
        <v>0</v>
      </c>
      <c r="R292" s="144">
        <f>IFERROR(_xlfn.XLOOKUP($B292,'Cronog. e Histog.'!$BZ:$BZ,'Cronog. e Histog.'!CM:CM),"")</f>
        <v>0</v>
      </c>
      <c r="S292" s="144">
        <f>IFERROR(_xlfn.XLOOKUP($B292,'Cronog. e Histog.'!$BZ:$BZ,'Cronog. e Histog.'!CN:CN),"")</f>
        <v>0</v>
      </c>
      <c r="T292" s="144">
        <f>IFERROR(_xlfn.XLOOKUP($B292,'Cronog. e Histog.'!$BZ:$BZ,'Cronog. e Histog.'!CO:CO),"")</f>
        <v>0</v>
      </c>
      <c r="U292" s="144">
        <f>IFERROR(_xlfn.XLOOKUP($B292,'Cronog. e Histog.'!$BZ:$BZ,'Cronog. e Histog.'!CP:CP),"")</f>
        <v>0</v>
      </c>
      <c r="V292" s="144">
        <f>IFERROR(_xlfn.XLOOKUP($B292,'Cronog. e Histog.'!$BZ:$BZ,'Cronog. e Histog.'!CQ:CQ),"")</f>
        <v>0</v>
      </c>
      <c r="W292" s="144">
        <f>IFERROR(_xlfn.XLOOKUP($B292,'Cronog. e Histog.'!$BZ:$BZ,'Cronog. e Histog.'!CR:CR),"")</f>
        <v>0</v>
      </c>
      <c r="X292" s="144">
        <f>IFERROR(_xlfn.XLOOKUP($B292,'Cronog. e Histog.'!$BZ:$BZ,'Cronog. e Histog.'!CS:CS),"")</f>
        <v>0</v>
      </c>
      <c r="Y292" s="144">
        <f>IFERROR(_xlfn.XLOOKUP($B292,'Cronog. e Histog.'!$BZ:$BZ,'Cronog. e Histog.'!CT:CT),"")</f>
        <v>0</v>
      </c>
      <c r="Z292" s="144">
        <f>IFERROR(_xlfn.XLOOKUP($B292,'Cronog. e Histog.'!$BZ:$BZ,'Cronog. e Histog.'!CU:CU),"")</f>
        <v>0</v>
      </c>
      <c r="AA292" s="144">
        <f>IFERROR(_xlfn.XLOOKUP($B292,'Cronog. e Histog.'!$BZ:$BZ,'Cronog. e Histog.'!CV:CV),"")</f>
        <v>0</v>
      </c>
      <c r="AB292" s="144">
        <f>IFERROR(_xlfn.XLOOKUP($B292,'Cronog. e Histog.'!$BZ:$BZ,'Cronog. e Histog.'!CW:CW),"")</f>
        <v>0</v>
      </c>
      <c r="AC292" s="144">
        <f>IFERROR(_xlfn.XLOOKUP($B292,'Cronog. e Histog.'!$BZ:$BZ,'Cronog. e Histog.'!CX:CX),"")</f>
        <v>0</v>
      </c>
      <c r="AD292" s="144">
        <f>IFERROR(_xlfn.XLOOKUP($B292,'Cronog. e Histog.'!$BZ:$BZ,'Cronog. e Histog.'!CY:CY),"")</f>
        <v>0</v>
      </c>
      <c r="AE292" s="144">
        <f>IFERROR(_xlfn.XLOOKUP($B292,'Cronog. e Histog.'!$BZ:$BZ,'Cronog. e Histog.'!CZ:CZ),"")</f>
        <v>0</v>
      </c>
      <c r="AF292" s="144">
        <f>IFERROR(_xlfn.XLOOKUP($B292,'Cronog. e Histog.'!$BZ:$BZ,'Cronog. e Histog.'!DA:DA),"")</f>
        <v>0</v>
      </c>
      <c r="AG292" s="144">
        <f>IFERROR(_xlfn.XLOOKUP($B292,'Cronog. e Histog.'!$BZ:$BZ,'Cronog. e Histog.'!DB:DB),"")</f>
        <v>0</v>
      </c>
      <c r="AH292" s="144">
        <f>IFERROR(_xlfn.XLOOKUP($B292,'Cronog. e Histog.'!$BZ:$BZ,'Cronog. e Histog.'!DC:DC),"")</f>
        <v>0</v>
      </c>
      <c r="AI292" s="144">
        <f>IFERROR(_xlfn.XLOOKUP($B292,'Cronog. e Histog.'!$BZ:$BZ,'Cronog. e Histog.'!DD:DD),"")</f>
        <v>0</v>
      </c>
      <c r="AJ292" s="144">
        <f>IFERROR(_xlfn.XLOOKUP($B292,'Cronog. e Histog.'!$BZ:$BZ,'Cronog. e Histog.'!DE:DE),"")</f>
        <v>0</v>
      </c>
      <c r="AK292" s="144">
        <f>IFERROR(_xlfn.XLOOKUP($B292,'Cronog. e Histog.'!$BZ:$BZ,'Cronog. e Histog.'!DF:DF),"")</f>
        <v>0</v>
      </c>
      <c r="AL292" s="144">
        <f>IFERROR(_xlfn.XLOOKUP($B292,'Cronog. e Histog.'!$BZ:$BZ,'Cronog. e Histog.'!DG:DG),"")</f>
        <v>0</v>
      </c>
      <c r="AM292" s="144">
        <f>IFERROR(_xlfn.XLOOKUP($B292,'Cronog. e Histog.'!$BZ:$BZ,'Cronog. e Histog.'!DH:DH),"")</f>
        <v>0</v>
      </c>
      <c r="AN292" s="144">
        <f>IFERROR(_xlfn.XLOOKUP($B292,'Cronog. e Histog.'!$BZ:$BZ,'Cronog. e Histog.'!DI:DI),"")</f>
        <v>0</v>
      </c>
      <c r="AO292" s="144">
        <f>IFERROR(_xlfn.XLOOKUP($B292,'Cronog. e Histog.'!$BZ:$BZ,'Cronog. e Histog.'!DJ:DJ),"")</f>
        <v>0</v>
      </c>
      <c r="AP292" s="144">
        <f>IFERROR(_xlfn.XLOOKUP($B292,'Cronog. e Histog.'!$BZ:$BZ,'Cronog. e Histog.'!DK:DK),"")</f>
        <v>0</v>
      </c>
      <c r="AQ292" s="144">
        <f>IFERROR(_xlfn.XLOOKUP($B292,'Cronog. e Histog.'!$BZ:$BZ,'Cronog. e Histog.'!DL:DL),"")</f>
        <v>0</v>
      </c>
      <c r="AR292" s="144">
        <f>IFERROR(_xlfn.XLOOKUP($B292,'Cronog. e Histog.'!$BZ:$BZ,'Cronog. e Histog.'!DM:DM),"")</f>
        <v>0</v>
      </c>
      <c r="AS292" s="144">
        <f>IFERROR(_xlfn.XLOOKUP($B292,'Cronog. e Histog.'!$BZ:$BZ,'Cronog. e Histog.'!DN:DN),"")</f>
        <v>0</v>
      </c>
      <c r="AT292" s="144">
        <f>IFERROR(_xlfn.XLOOKUP($B292,'Cronog. e Histog.'!$BZ:$BZ,'Cronog. e Histog.'!DO:DO),"")</f>
        <v>0</v>
      </c>
      <c r="AU292" s="144">
        <f>IFERROR(_xlfn.XLOOKUP($B292,'Cronog. e Histog.'!$BZ:$BZ,'Cronog. e Histog.'!DP:DP),"")</f>
        <v>0</v>
      </c>
      <c r="AV292" s="144">
        <f>IFERROR(_xlfn.XLOOKUP($B292,'Cronog. e Histog.'!$BZ:$BZ,'Cronog. e Histog.'!DQ:DQ),"")</f>
        <v>0</v>
      </c>
      <c r="AW292" s="144">
        <f>IFERROR(_xlfn.XLOOKUP($B292,'Cronog. e Histog.'!$BZ:$BZ,'Cronog. e Histog.'!DR:DR),"")</f>
        <v>0</v>
      </c>
      <c r="AX292" s="144">
        <f>IFERROR(_xlfn.XLOOKUP($B292,'Cronog. e Histog.'!$BZ:$BZ,'Cronog. e Histog.'!DS:DS),"")</f>
        <v>0</v>
      </c>
      <c r="AY292" s="144">
        <f>IFERROR(_xlfn.XLOOKUP($B292,'Cronog. e Histog.'!$BZ:$BZ,'Cronog. e Histog.'!DT:DT),"")</f>
        <v>0</v>
      </c>
      <c r="AZ292" s="144">
        <f>IFERROR(_xlfn.XLOOKUP($B292,'Cronog. e Histog.'!$BZ:$BZ,'Cronog. e Histog.'!DU:DU),"")</f>
        <v>0</v>
      </c>
      <c r="BA292" s="144">
        <f>IFERROR(_xlfn.XLOOKUP($B292,'Cronog. e Histog.'!$BZ:$BZ,'Cronog. e Histog.'!DV:DV),"")</f>
        <v>0</v>
      </c>
      <c r="BB292" s="144">
        <f>IFERROR(_xlfn.XLOOKUP($B292,'Cronog. e Histog.'!$BZ:$BZ,'Cronog. e Histog.'!DW:DW),"")</f>
        <v>0</v>
      </c>
      <c r="BC292" s="144">
        <f>IFERROR(_xlfn.XLOOKUP($B292,'Cronog. e Histog.'!$BZ:$BZ,'Cronog. e Histog.'!DX:DX),"")</f>
        <v>0</v>
      </c>
      <c r="BD292" s="144">
        <f>IFERROR(_xlfn.XLOOKUP($B292,'Cronog. e Histog.'!$BZ:$BZ,'Cronog. e Histog.'!DY:DY),"")</f>
        <v>0</v>
      </c>
      <c r="BE292" s="144">
        <f>IFERROR(_xlfn.XLOOKUP($B292,'Cronog. e Histog.'!$BZ:$BZ,'Cronog. e Histog.'!DZ:DZ),"")</f>
        <v>0</v>
      </c>
      <c r="BF292" s="144">
        <f>IFERROR(_xlfn.XLOOKUP($B292,'Cronog. e Histog.'!$BZ:$BZ,'Cronog. e Histog.'!EA:EA),"")</f>
        <v>0</v>
      </c>
      <c r="BG292" s="144">
        <f>IFERROR(_xlfn.XLOOKUP($B292,'Cronog. e Histog.'!$BZ:$BZ,'Cronog. e Histog.'!EB:EB),"")</f>
        <v>0</v>
      </c>
      <c r="BH292" s="144">
        <f>IFERROR(_xlfn.XLOOKUP($B292,'Cronog. e Histog.'!$BZ:$BZ,'Cronog. e Histog.'!EC:EC),"")</f>
        <v>0</v>
      </c>
      <c r="BI292" s="144">
        <f>IFERROR(_xlfn.XLOOKUP($B292,'Cronog. e Histog.'!$BZ:$BZ,'Cronog. e Histog.'!ED:ED),"")</f>
        <v>0</v>
      </c>
      <c r="BJ292" s="144">
        <f>IFERROR(_xlfn.XLOOKUP($B292,'Cronog. e Histog.'!$BZ:$BZ,'Cronog. e Histog.'!EE:EE),"")</f>
        <v>0</v>
      </c>
      <c r="BK292" s="144">
        <f>IFERROR(_xlfn.XLOOKUP($B292,'Cronog. e Histog.'!$BZ:$BZ,'Cronog. e Histog.'!EF:EF),"")</f>
        <v>0</v>
      </c>
      <c r="BL292" s="144">
        <f>IFERROR(_xlfn.XLOOKUP($B292,'Cronog. e Histog.'!$BZ:$BZ,'Cronog. e Histog.'!EG:EG),"")</f>
        <v>0</v>
      </c>
      <c r="BM292" s="144">
        <f>IFERROR(_xlfn.XLOOKUP($B292,'Cronog. e Histog.'!$BZ:$BZ,'Cronog. e Histog.'!EH:EH),"")</f>
        <v>0</v>
      </c>
      <c r="BN292" s="144">
        <f>IFERROR(_xlfn.XLOOKUP($B292,'Cronog. e Histog.'!$BZ:$BZ,'Cronog. e Histog.'!EI:EI),"")</f>
        <v>0</v>
      </c>
    </row>
    <row r="293" spans="2:66" ht="12" hidden="1" customHeight="1" outlineLevel="1">
      <c r="B293" s="76">
        <v>287</v>
      </c>
      <c r="C293" s="143" t="str">
        <f>IFERROR(VLOOKUP(B293,'Cronog. e Histog.'!$BZ$213:$CA$747,2,0),"")</f>
        <v>AN SR. ENG/ARQ</v>
      </c>
      <c r="D293" s="144">
        <f t="shared" si="6"/>
        <v>0</v>
      </c>
      <c r="E293" s="144">
        <f t="shared" si="7"/>
        <v>0</v>
      </c>
      <c r="F293" s="65"/>
      <c r="G293" s="144">
        <f>IFERROR(_xlfn.XLOOKUP($B293,'Cronog. e Histog.'!$BZ:$BZ,'Cronog. e Histog.'!CB:CB),"")</f>
        <v>0</v>
      </c>
      <c r="H293" s="144">
        <f>IFERROR(_xlfn.XLOOKUP($B293,'Cronog. e Histog.'!$BZ:$BZ,'Cronog. e Histog.'!CC:CC),"")</f>
        <v>0</v>
      </c>
      <c r="I293" s="144">
        <f>IFERROR(_xlfn.XLOOKUP($B293,'Cronog. e Histog.'!$BZ:$BZ,'Cronog. e Histog.'!CD:CD),"")</f>
        <v>0</v>
      </c>
      <c r="J293" s="144">
        <f>IFERROR(_xlfn.XLOOKUP($B293,'Cronog. e Histog.'!$BZ:$BZ,'Cronog. e Histog.'!CE:CE),"")</f>
        <v>0</v>
      </c>
      <c r="K293" s="144">
        <f>IFERROR(_xlfn.XLOOKUP($B293,'Cronog. e Histog.'!$BZ:$BZ,'Cronog. e Histog.'!CF:CF),"")</f>
        <v>0</v>
      </c>
      <c r="L293" s="144">
        <f>IFERROR(_xlfn.XLOOKUP($B293,'Cronog. e Histog.'!$BZ:$BZ,'Cronog. e Histog.'!CG:CG),"")</f>
        <v>0</v>
      </c>
      <c r="M293" s="144">
        <f>IFERROR(_xlfn.XLOOKUP($B293,'Cronog. e Histog.'!$BZ:$BZ,'Cronog. e Histog.'!CH:CH),"")</f>
        <v>0</v>
      </c>
      <c r="N293" s="144">
        <f>IFERROR(_xlfn.XLOOKUP($B293,'Cronog. e Histog.'!$BZ:$BZ,'Cronog. e Histog.'!CI:CI),"")</f>
        <v>0</v>
      </c>
      <c r="O293" s="144">
        <f>IFERROR(_xlfn.XLOOKUP($B293,'Cronog. e Histog.'!$BZ:$BZ,'Cronog. e Histog.'!CJ:CJ),"")</f>
        <v>0</v>
      </c>
      <c r="P293" s="144">
        <f>IFERROR(_xlfn.XLOOKUP($B293,'Cronog. e Histog.'!$BZ:$BZ,'Cronog. e Histog.'!CK:CK),"")</f>
        <v>0</v>
      </c>
      <c r="Q293" s="144">
        <f>IFERROR(_xlfn.XLOOKUP($B293,'Cronog. e Histog.'!$BZ:$BZ,'Cronog. e Histog.'!CL:CL),"")</f>
        <v>0</v>
      </c>
      <c r="R293" s="144">
        <f>IFERROR(_xlfn.XLOOKUP($B293,'Cronog. e Histog.'!$BZ:$BZ,'Cronog. e Histog.'!CM:CM),"")</f>
        <v>0</v>
      </c>
      <c r="S293" s="144">
        <f>IFERROR(_xlfn.XLOOKUP($B293,'Cronog. e Histog.'!$BZ:$BZ,'Cronog. e Histog.'!CN:CN),"")</f>
        <v>0</v>
      </c>
      <c r="T293" s="144">
        <f>IFERROR(_xlfn.XLOOKUP($B293,'Cronog. e Histog.'!$BZ:$BZ,'Cronog. e Histog.'!CO:CO),"")</f>
        <v>0</v>
      </c>
      <c r="U293" s="144">
        <f>IFERROR(_xlfn.XLOOKUP($B293,'Cronog. e Histog.'!$BZ:$BZ,'Cronog. e Histog.'!CP:CP),"")</f>
        <v>0</v>
      </c>
      <c r="V293" s="144">
        <f>IFERROR(_xlfn.XLOOKUP($B293,'Cronog. e Histog.'!$BZ:$BZ,'Cronog. e Histog.'!CQ:CQ),"")</f>
        <v>0</v>
      </c>
      <c r="W293" s="144">
        <f>IFERROR(_xlfn.XLOOKUP($B293,'Cronog. e Histog.'!$BZ:$BZ,'Cronog. e Histog.'!CR:CR),"")</f>
        <v>0</v>
      </c>
      <c r="X293" s="144">
        <f>IFERROR(_xlfn.XLOOKUP($B293,'Cronog. e Histog.'!$BZ:$BZ,'Cronog. e Histog.'!CS:CS),"")</f>
        <v>0</v>
      </c>
      <c r="Y293" s="144">
        <f>IFERROR(_xlfn.XLOOKUP($B293,'Cronog. e Histog.'!$BZ:$BZ,'Cronog. e Histog.'!CT:CT),"")</f>
        <v>0</v>
      </c>
      <c r="Z293" s="144">
        <f>IFERROR(_xlfn.XLOOKUP($B293,'Cronog. e Histog.'!$BZ:$BZ,'Cronog. e Histog.'!CU:CU),"")</f>
        <v>0</v>
      </c>
      <c r="AA293" s="144">
        <f>IFERROR(_xlfn.XLOOKUP($B293,'Cronog. e Histog.'!$BZ:$BZ,'Cronog. e Histog.'!CV:CV),"")</f>
        <v>0</v>
      </c>
      <c r="AB293" s="144">
        <f>IFERROR(_xlfn.XLOOKUP($B293,'Cronog. e Histog.'!$BZ:$BZ,'Cronog. e Histog.'!CW:CW),"")</f>
        <v>0</v>
      </c>
      <c r="AC293" s="144">
        <f>IFERROR(_xlfn.XLOOKUP($B293,'Cronog. e Histog.'!$BZ:$BZ,'Cronog. e Histog.'!CX:CX),"")</f>
        <v>0</v>
      </c>
      <c r="AD293" s="144">
        <f>IFERROR(_xlfn.XLOOKUP($B293,'Cronog. e Histog.'!$BZ:$BZ,'Cronog. e Histog.'!CY:CY),"")</f>
        <v>0</v>
      </c>
      <c r="AE293" s="144">
        <f>IFERROR(_xlfn.XLOOKUP($B293,'Cronog. e Histog.'!$BZ:$BZ,'Cronog. e Histog.'!CZ:CZ),"")</f>
        <v>0</v>
      </c>
      <c r="AF293" s="144">
        <f>IFERROR(_xlfn.XLOOKUP($B293,'Cronog. e Histog.'!$BZ:$BZ,'Cronog. e Histog.'!DA:DA),"")</f>
        <v>0</v>
      </c>
      <c r="AG293" s="144">
        <f>IFERROR(_xlfn.XLOOKUP($B293,'Cronog. e Histog.'!$BZ:$BZ,'Cronog. e Histog.'!DB:DB),"")</f>
        <v>0</v>
      </c>
      <c r="AH293" s="144">
        <f>IFERROR(_xlfn.XLOOKUP($B293,'Cronog. e Histog.'!$BZ:$BZ,'Cronog. e Histog.'!DC:DC),"")</f>
        <v>0</v>
      </c>
      <c r="AI293" s="144">
        <f>IFERROR(_xlfn.XLOOKUP($B293,'Cronog. e Histog.'!$BZ:$BZ,'Cronog. e Histog.'!DD:DD),"")</f>
        <v>0</v>
      </c>
      <c r="AJ293" s="144">
        <f>IFERROR(_xlfn.XLOOKUP($B293,'Cronog. e Histog.'!$BZ:$BZ,'Cronog. e Histog.'!DE:DE),"")</f>
        <v>0</v>
      </c>
      <c r="AK293" s="144">
        <f>IFERROR(_xlfn.XLOOKUP($B293,'Cronog. e Histog.'!$BZ:$BZ,'Cronog. e Histog.'!DF:DF),"")</f>
        <v>0</v>
      </c>
      <c r="AL293" s="144">
        <f>IFERROR(_xlfn.XLOOKUP($B293,'Cronog. e Histog.'!$BZ:$BZ,'Cronog. e Histog.'!DG:DG),"")</f>
        <v>0</v>
      </c>
      <c r="AM293" s="144">
        <f>IFERROR(_xlfn.XLOOKUP($B293,'Cronog. e Histog.'!$BZ:$BZ,'Cronog. e Histog.'!DH:DH),"")</f>
        <v>0</v>
      </c>
      <c r="AN293" s="144">
        <f>IFERROR(_xlfn.XLOOKUP($B293,'Cronog. e Histog.'!$BZ:$BZ,'Cronog. e Histog.'!DI:DI),"")</f>
        <v>0</v>
      </c>
      <c r="AO293" s="144">
        <f>IFERROR(_xlfn.XLOOKUP($B293,'Cronog. e Histog.'!$BZ:$BZ,'Cronog. e Histog.'!DJ:DJ),"")</f>
        <v>0</v>
      </c>
      <c r="AP293" s="144">
        <f>IFERROR(_xlfn.XLOOKUP($B293,'Cronog. e Histog.'!$BZ:$BZ,'Cronog. e Histog.'!DK:DK),"")</f>
        <v>0</v>
      </c>
      <c r="AQ293" s="144">
        <f>IFERROR(_xlfn.XLOOKUP($B293,'Cronog. e Histog.'!$BZ:$BZ,'Cronog. e Histog.'!DL:DL),"")</f>
        <v>0</v>
      </c>
      <c r="AR293" s="144">
        <f>IFERROR(_xlfn.XLOOKUP($B293,'Cronog. e Histog.'!$BZ:$BZ,'Cronog. e Histog.'!DM:DM),"")</f>
        <v>0</v>
      </c>
      <c r="AS293" s="144">
        <f>IFERROR(_xlfn.XLOOKUP($B293,'Cronog. e Histog.'!$BZ:$BZ,'Cronog. e Histog.'!DN:DN),"")</f>
        <v>0</v>
      </c>
      <c r="AT293" s="144">
        <f>IFERROR(_xlfn.XLOOKUP($B293,'Cronog. e Histog.'!$BZ:$BZ,'Cronog. e Histog.'!DO:DO),"")</f>
        <v>0</v>
      </c>
      <c r="AU293" s="144">
        <f>IFERROR(_xlfn.XLOOKUP($B293,'Cronog. e Histog.'!$BZ:$BZ,'Cronog. e Histog.'!DP:DP),"")</f>
        <v>0</v>
      </c>
      <c r="AV293" s="144">
        <f>IFERROR(_xlfn.XLOOKUP($B293,'Cronog. e Histog.'!$BZ:$BZ,'Cronog. e Histog.'!DQ:DQ),"")</f>
        <v>0</v>
      </c>
      <c r="AW293" s="144">
        <f>IFERROR(_xlfn.XLOOKUP($B293,'Cronog. e Histog.'!$BZ:$BZ,'Cronog. e Histog.'!DR:DR),"")</f>
        <v>0</v>
      </c>
      <c r="AX293" s="144">
        <f>IFERROR(_xlfn.XLOOKUP($B293,'Cronog. e Histog.'!$BZ:$BZ,'Cronog. e Histog.'!DS:DS),"")</f>
        <v>0</v>
      </c>
      <c r="AY293" s="144">
        <f>IFERROR(_xlfn.XLOOKUP($B293,'Cronog. e Histog.'!$BZ:$BZ,'Cronog. e Histog.'!DT:DT),"")</f>
        <v>0</v>
      </c>
      <c r="AZ293" s="144">
        <f>IFERROR(_xlfn.XLOOKUP($B293,'Cronog. e Histog.'!$BZ:$BZ,'Cronog. e Histog.'!DU:DU),"")</f>
        <v>0</v>
      </c>
      <c r="BA293" s="144">
        <f>IFERROR(_xlfn.XLOOKUP($B293,'Cronog. e Histog.'!$BZ:$BZ,'Cronog. e Histog.'!DV:DV),"")</f>
        <v>0</v>
      </c>
      <c r="BB293" s="144">
        <f>IFERROR(_xlfn.XLOOKUP($B293,'Cronog. e Histog.'!$BZ:$BZ,'Cronog. e Histog.'!DW:DW),"")</f>
        <v>0</v>
      </c>
      <c r="BC293" s="144">
        <f>IFERROR(_xlfn.XLOOKUP($B293,'Cronog. e Histog.'!$BZ:$BZ,'Cronog. e Histog.'!DX:DX),"")</f>
        <v>0</v>
      </c>
      <c r="BD293" s="144">
        <f>IFERROR(_xlfn.XLOOKUP($B293,'Cronog. e Histog.'!$BZ:$BZ,'Cronog. e Histog.'!DY:DY),"")</f>
        <v>0</v>
      </c>
      <c r="BE293" s="144">
        <f>IFERROR(_xlfn.XLOOKUP($B293,'Cronog. e Histog.'!$BZ:$BZ,'Cronog. e Histog.'!DZ:DZ),"")</f>
        <v>0</v>
      </c>
      <c r="BF293" s="144">
        <f>IFERROR(_xlfn.XLOOKUP($B293,'Cronog. e Histog.'!$BZ:$BZ,'Cronog. e Histog.'!EA:EA),"")</f>
        <v>0</v>
      </c>
      <c r="BG293" s="144">
        <f>IFERROR(_xlfn.XLOOKUP($B293,'Cronog. e Histog.'!$BZ:$BZ,'Cronog. e Histog.'!EB:EB),"")</f>
        <v>0</v>
      </c>
      <c r="BH293" s="144">
        <f>IFERROR(_xlfn.XLOOKUP($B293,'Cronog. e Histog.'!$BZ:$BZ,'Cronog. e Histog.'!EC:EC),"")</f>
        <v>0</v>
      </c>
      <c r="BI293" s="144">
        <f>IFERROR(_xlfn.XLOOKUP($B293,'Cronog. e Histog.'!$BZ:$BZ,'Cronog. e Histog.'!ED:ED),"")</f>
        <v>0</v>
      </c>
      <c r="BJ293" s="144">
        <f>IFERROR(_xlfn.XLOOKUP($B293,'Cronog. e Histog.'!$BZ:$BZ,'Cronog. e Histog.'!EE:EE),"")</f>
        <v>0</v>
      </c>
      <c r="BK293" s="144">
        <f>IFERROR(_xlfn.XLOOKUP($B293,'Cronog. e Histog.'!$BZ:$BZ,'Cronog. e Histog.'!EF:EF),"")</f>
        <v>0</v>
      </c>
      <c r="BL293" s="144">
        <f>IFERROR(_xlfn.XLOOKUP($B293,'Cronog. e Histog.'!$BZ:$BZ,'Cronog. e Histog.'!EG:EG),"")</f>
        <v>0</v>
      </c>
      <c r="BM293" s="144">
        <f>IFERROR(_xlfn.XLOOKUP($B293,'Cronog. e Histog.'!$BZ:$BZ,'Cronog. e Histog.'!EH:EH),"")</f>
        <v>0</v>
      </c>
      <c r="BN293" s="144">
        <f>IFERROR(_xlfn.XLOOKUP($B293,'Cronog. e Histog.'!$BZ:$BZ,'Cronog. e Histog.'!EI:EI),"")</f>
        <v>0</v>
      </c>
    </row>
    <row r="294" spans="2:66" ht="12" hidden="1" customHeight="1" outlineLevel="1">
      <c r="B294" s="76">
        <v>288</v>
      </c>
      <c r="C294" s="143" t="str">
        <f>IFERROR(VLOOKUP(B294,'Cronog. e Histog.'!$BZ$213:$CA$747,2,0),"")</f>
        <v>AN PL. ENG/ARQ</v>
      </c>
      <c r="D294" s="144">
        <f t="shared" si="6"/>
        <v>0</v>
      </c>
      <c r="E294" s="144">
        <f t="shared" si="7"/>
        <v>0</v>
      </c>
      <c r="F294" s="65"/>
      <c r="G294" s="144">
        <f>IFERROR(_xlfn.XLOOKUP($B294,'Cronog. e Histog.'!$BZ:$BZ,'Cronog. e Histog.'!CB:CB),"")</f>
        <v>0</v>
      </c>
      <c r="H294" s="144">
        <f>IFERROR(_xlfn.XLOOKUP($B294,'Cronog. e Histog.'!$BZ:$BZ,'Cronog. e Histog.'!CC:CC),"")</f>
        <v>0</v>
      </c>
      <c r="I294" s="144">
        <f>IFERROR(_xlfn.XLOOKUP($B294,'Cronog. e Histog.'!$BZ:$BZ,'Cronog. e Histog.'!CD:CD),"")</f>
        <v>0</v>
      </c>
      <c r="J294" s="144">
        <f>IFERROR(_xlfn.XLOOKUP($B294,'Cronog. e Histog.'!$BZ:$BZ,'Cronog. e Histog.'!CE:CE),"")</f>
        <v>0</v>
      </c>
      <c r="K294" s="144">
        <f>IFERROR(_xlfn.XLOOKUP($B294,'Cronog. e Histog.'!$BZ:$BZ,'Cronog. e Histog.'!CF:CF),"")</f>
        <v>0</v>
      </c>
      <c r="L294" s="144">
        <f>IFERROR(_xlfn.XLOOKUP($B294,'Cronog. e Histog.'!$BZ:$BZ,'Cronog. e Histog.'!CG:CG),"")</f>
        <v>0</v>
      </c>
      <c r="M294" s="144">
        <f>IFERROR(_xlfn.XLOOKUP($B294,'Cronog. e Histog.'!$BZ:$BZ,'Cronog. e Histog.'!CH:CH),"")</f>
        <v>0</v>
      </c>
      <c r="N294" s="144">
        <f>IFERROR(_xlfn.XLOOKUP($B294,'Cronog. e Histog.'!$BZ:$BZ,'Cronog. e Histog.'!CI:CI),"")</f>
        <v>0</v>
      </c>
      <c r="O294" s="144">
        <f>IFERROR(_xlfn.XLOOKUP($B294,'Cronog. e Histog.'!$BZ:$BZ,'Cronog. e Histog.'!CJ:CJ),"")</f>
        <v>0</v>
      </c>
      <c r="P294" s="144">
        <f>IFERROR(_xlfn.XLOOKUP($B294,'Cronog. e Histog.'!$BZ:$BZ,'Cronog. e Histog.'!CK:CK),"")</f>
        <v>0</v>
      </c>
      <c r="Q294" s="144">
        <f>IFERROR(_xlfn.XLOOKUP($B294,'Cronog. e Histog.'!$BZ:$BZ,'Cronog. e Histog.'!CL:CL),"")</f>
        <v>0</v>
      </c>
      <c r="R294" s="144">
        <f>IFERROR(_xlfn.XLOOKUP($B294,'Cronog. e Histog.'!$BZ:$BZ,'Cronog. e Histog.'!CM:CM),"")</f>
        <v>0</v>
      </c>
      <c r="S294" s="144">
        <f>IFERROR(_xlfn.XLOOKUP($B294,'Cronog. e Histog.'!$BZ:$BZ,'Cronog. e Histog.'!CN:CN),"")</f>
        <v>0</v>
      </c>
      <c r="T294" s="144">
        <f>IFERROR(_xlfn.XLOOKUP($B294,'Cronog. e Histog.'!$BZ:$BZ,'Cronog. e Histog.'!CO:CO),"")</f>
        <v>0</v>
      </c>
      <c r="U294" s="144">
        <f>IFERROR(_xlfn.XLOOKUP($B294,'Cronog. e Histog.'!$BZ:$BZ,'Cronog. e Histog.'!CP:CP),"")</f>
        <v>0</v>
      </c>
      <c r="V294" s="144">
        <f>IFERROR(_xlfn.XLOOKUP($B294,'Cronog. e Histog.'!$BZ:$BZ,'Cronog. e Histog.'!CQ:CQ),"")</f>
        <v>0</v>
      </c>
      <c r="W294" s="144">
        <f>IFERROR(_xlfn.XLOOKUP($B294,'Cronog. e Histog.'!$BZ:$BZ,'Cronog. e Histog.'!CR:CR),"")</f>
        <v>0</v>
      </c>
      <c r="X294" s="144">
        <f>IFERROR(_xlfn.XLOOKUP($B294,'Cronog. e Histog.'!$BZ:$BZ,'Cronog. e Histog.'!CS:CS),"")</f>
        <v>0</v>
      </c>
      <c r="Y294" s="144">
        <f>IFERROR(_xlfn.XLOOKUP($B294,'Cronog. e Histog.'!$BZ:$BZ,'Cronog. e Histog.'!CT:CT),"")</f>
        <v>0</v>
      </c>
      <c r="Z294" s="144">
        <f>IFERROR(_xlfn.XLOOKUP($B294,'Cronog. e Histog.'!$BZ:$BZ,'Cronog. e Histog.'!CU:CU),"")</f>
        <v>0</v>
      </c>
      <c r="AA294" s="144">
        <f>IFERROR(_xlfn.XLOOKUP($B294,'Cronog. e Histog.'!$BZ:$BZ,'Cronog. e Histog.'!CV:CV),"")</f>
        <v>0</v>
      </c>
      <c r="AB294" s="144">
        <f>IFERROR(_xlfn.XLOOKUP($B294,'Cronog. e Histog.'!$BZ:$BZ,'Cronog. e Histog.'!CW:CW),"")</f>
        <v>0</v>
      </c>
      <c r="AC294" s="144">
        <f>IFERROR(_xlfn.XLOOKUP($B294,'Cronog. e Histog.'!$BZ:$BZ,'Cronog. e Histog.'!CX:CX),"")</f>
        <v>0</v>
      </c>
      <c r="AD294" s="144">
        <f>IFERROR(_xlfn.XLOOKUP($B294,'Cronog. e Histog.'!$BZ:$BZ,'Cronog. e Histog.'!CY:CY),"")</f>
        <v>0</v>
      </c>
      <c r="AE294" s="144">
        <f>IFERROR(_xlfn.XLOOKUP($B294,'Cronog. e Histog.'!$BZ:$BZ,'Cronog. e Histog.'!CZ:CZ),"")</f>
        <v>0</v>
      </c>
      <c r="AF294" s="144">
        <f>IFERROR(_xlfn.XLOOKUP($B294,'Cronog. e Histog.'!$BZ:$BZ,'Cronog. e Histog.'!DA:DA),"")</f>
        <v>0</v>
      </c>
      <c r="AG294" s="144">
        <f>IFERROR(_xlfn.XLOOKUP($B294,'Cronog. e Histog.'!$BZ:$BZ,'Cronog. e Histog.'!DB:DB),"")</f>
        <v>0</v>
      </c>
      <c r="AH294" s="144">
        <f>IFERROR(_xlfn.XLOOKUP($B294,'Cronog. e Histog.'!$BZ:$BZ,'Cronog. e Histog.'!DC:DC),"")</f>
        <v>0</v>
      </c>
      <c r="AI294" s="144">
        <f>IFERROR(_xlfn.XLOOKUP($B294,'Cronog. e Histog.'!$BZ:$BZ,'Cronog. e Histog.'!DD:DD),"")</f>
        <v>0</v>
      </c>
      <c r="AJ294" s="144">
        <f>IFERROR(_xlfn.XLOOKUP($B294,'Cronog. e Histog.'!$BZ:$BZ,'Cronog. e Histog.'!DE:DE),"")</f>
        <v>0</v>
      </c>
      <c r="AK294" s="144">
        <f>IFERROR(_xlfn.XLOOKUP($B294,'Cronog. e Histog.'!$BZ:$BZ,'Cronog. e Histog.'!DF:DF),"")</f>
        <v>0</v>
      </c>
      <c r="AL294" s="144">
        <f>IFERROR(_xlfn.XLOOKUP($B294,'Cronog. e Histog.'!$BZ:$BZ,'Cronog. e Histog.'!DG:DG),"")</f>
        <v>0</v>
      </c>
      <c r="AM294" s="144">
        <f>IFERROR(_xlfn.XLOOKUP($B294,'Cronog. e Histog.'!$BZ:$BZ,'Cronog. e Histog.'!DH:DH),"")</f>
        <v>0</v>
      </c>
      <c r="AN294" s="144">
        <f>IFERROR(_xlfn.XLOOKUP($B294,'Cronog. e Histog.'!$BZ:$BZ,'Cronog. e Histog.'!DI:DI),"")</f>
        <v>0</v>
      </c>
      <c r="AO294" s="144">
        <f>IFERROR(_xlfn.XLOOKUP($B294,'Cronog. e Histog.'!$BZ:$BZ,'Cronog. e Histog.'!DJ:DJ),"")</f>
        <v>0</v>
      </c>
      <c r="AP294" s="144">
        <f>IFERROR(_xlfn.XLOOKUP($B294,'Cronog. e Histog.'!$BZ:$BZ,'Cronog. e Histog.'!DK:DK),"")</f>
        <v>0</v>
      </c>
      <c r="AQ294" s="144">
        <f>IFERROR(_xlfn.XLOOKUP($B294,'Cronog. e Histog.'!$BZ:$BZ,'Cronog. e Histog.'!DL:DL),"")</f>
        <v>0</v>
      </c>
      <c r="AR294" s="144">
        <f>IFERROR(_xlfn.XLOOKUP($B294,'Cronog. e Histog.'!$BZ:$BZ,'Cronog. e Histog.'!DM:DM),"")</f>
        <v>0</v>
      </c>
      <c r="AS294" s="144">
        <f>IFERROR(_xlfn.XLOOKUP($B294,'Cronog. e Histog.'!$BZ:$BZ,'Cronog. e Histog.'!DN:DN),"")</f>
        <v>0</v>
      </c>
      <c r="AT294" s="144">
        <f>IFERROR(_xlfn.XLOOKUP($B294,'Cronog. e Histog.'!$BZ:$BZ,'Cronog. e Histog.'!DO:DO),"")</f>
        <v>0</v>
      </c>
      <c r="AU294" s="144">
        <f>IFERROR(_xlfn.XLOOKUP($B294,'Cronog. e Histog.'!$BZ:$BZ,'Cronog. e Histog.'!DP:DP),"")</f>
        <v>0</v>
      </c>
      <c r="AV294" s="144">
        <f>IFERROR(_xlfn.XLOOKUP($B294,'Cronog. e Histog.'!$BZ:$BZ,'Cronog. e Histog.'!DQ:DQ),"")</f>
        <v>0</v>
      </c>
      <c r="AW294" s="144">
        <f>IFERROR(_xlfn.XLOOKUP($B294,'Cronog. e Histog.'!$BZ:$BZ,'Cronog. e Histog.'!DR:DR),"")</f>
        <v>0</v>
      </c>
      <c r="AX294" s="144">
        <f>IFERROR(_xlfn.XLOOKUP($B294,'Cronog. e Histog.'!$BZ:$BZ,'Cronog. e Histog.'!DS:DS),"")</f>
        <v>0</v>
      </c>
      <c r="AY294" s="144">
        <f>IFERROR(_xlfn.XLOOKUP($B294,'Cronog. e Histog.'!$BZ:$BZ,'Cronog. e Histog.'!DT:DT),"")</f>
        <v>0</v>
      </c>
      <c r="AZ294" s="144">
        <f>IFERROR(_xlfn.XLOOKUP($B294,'Cronog. e Histog.'!$BZ:$BZ,'Cronog. e Histog.'!DU:DU),"")</f>
        <v>0</v>
      </c>
      <c r="BA294" s="144">
        <f>IFERROR(_xlfn.XLOOKUP($B294,'Cronog. e Histog.'!$BZ:$BZ,'Cronog. e Histog.'!DV:DV),"")</f>
        <v>0</v>
      </c>
      <c r="BB294" s="144">
        <f>IFERROR(_xlfn.XLOOKUP($B294,'Cronog. e Histog.'!$BZ:$BZ,'Cronog. e Histog.'!DW:DW),"")</f>
        <v>0</v>
      </c>
      <c r="BC294" s="144">
        <f>IFERROR(_xlfn.XLOOKUP($B294,'Cronog. e Histog.'!$BZ:$BZ,'Cronog. e Histog.'!DX:DX),"")</f>
        <v>0</v>
      </c>
      <c r="BD294" s="144">
        <f>IFERROR(_xlfn.XLOOKUP($B294,'Cronog. e Histog.'!$BZ:$BZ,'Cronog. e Histog.'!DY:DY),"")</f>
        <v>0</v>
      </c>
      <c r="BE294" s="144">
        <f>IFERROR(_xlfn.XLOOKUP($B294,'Cronog. e Histog.'!$BZ:$BZ,'Cronog. e Histog.'!DZ:DZ),"")</f>
        <v>0</v>
      </c>
      <c r="BF294" s="144">
        <f>IFERROR(_xlfn.XLOOKUP($B294,'Cronog. e Histog.'!$BZ:$BZ,'Cronog. e Histog.'!EA:EA),"")</f>
        <v>0</v>
      </c>
      <c r="BG294" s="144">
        <f>IFERROR(_xlfn.XLOOKUP($B294,'Cronog. e Histog.'!$BZ:$BZ,'Cronog. e Histog.'!EB:EB),"")</f>
        <v>0</v>
      </c>
      <c r="BH294" s="144">
        <f>IFERROR(_xlfn.XLOOKUP($B294,'Cronog. e Histog.'!$BZ:$BZ,'Cronog. e Histog.'!EC:EC),"")</f>
        <v>0</v>
      </c>
      <c r="BI294" s="144">
        <f>IFERROR(_xlfn.XLOOKUP($B294,'Cronog. e Histog.'!$BZ:$BZ,'Cronog. e Histog.'!ED:ED),"")</f>
        <v>0</v>
      </c>
      <c r="BJ294" s="144">
        <f>IFERROR(_xlfn.XLOOKUP($B294,'Cronog. e Histog.'!$BZ:$BZ,'Cronog. e Histog.'!EE:EE),"")</f>
        <v>0</v>
      </c>
      <c r="BK294" s="144">
        <f>IFERROR(_xlfn.XLOOKUP($B294,'Cronog. e Histog.'!$BZ:$BZ,'Cronog. e Histog.'!EF:EF),"")</f>
        <v>0</v>
      </c>
      <c r="BL294" s="144">
        <f>IFERROR(_xlfn.XLOOKUP($B294,'Cronog. e Histog.'!$BZ:$BZ,'Cronog. e Histog.'!EG:EG),"")</f>
        <v>0</v>
      </c>
      <c r="BM294" s="144">
        <f>IFERROR(_xlfn.XLOOKUP($B294,'Cronog. e Histog.'!$BZ:$BZ,'Cronog. e Histog.'!EH:EH),"")</f>
        <v>0</v>
      </c>
      <c r="BN294" s="144">
        <f>IFERROR(_xlfn.XLOOKUP($B294,'Cronog. e Histog.'!$BZ:$BZ,'Cronog. e Histog.'!EI:EI),"")</f>
        <v>0</v>
      </c>
    </row>
    <row r="295" spans="2:66" ht="12" hidden="1" customHeight="1" outlineLevel="1">
      <c r="B295" s="76">
        <v>289</v>
      </c>
      <c r="C295" s="143" t="str">
        <f>IFERROR(VLOOKUP(B295,'Cronog. e Histog.'!$BZ$213:$CA$747,2,0),"")</f>
        <v>AN JR. ENG/ARQ</v>
      </c>
      <c r="D295" s="144">
        <f t="shared" si="6"/>
        <v>0</v>
      </c>
      <c r="E295" s="144">
        <f t="shared" si="7"/>
        <v>0</v>
      </c>
      <c r="F295" s="65"/>
      <c r="G295" s="144">
        <f>IFERROR(_xlfn.XLOOKUP($B295,'Cronog. e Histog.'!$BZ:$BZ,'Cronog. e Histog.'!CB:CB),"")</f>
        <v>0</v>
      </c>
      <c r="H295" s="144">
        <f>IFERROR(_xlfn.XLOOKUP($B295,'Cronog. e Histog.'!$BZ:$BZ,'Cronog. e Histog.'!CC:CC),"")</f>
        <v>0</v>
      </c>
      <c r="I295" s="144">
        <f>IFERROR(_xlfn.XLOOKUP($B295,'Cronog. e Histog.'!$BZ:$BZ,'Cronog. e Histog.'!CD:CD),"")</f>
        <v>0</v>
      </c>
      <c r="J295" s="144">
        <f>IFERROR(_xlfn.XLOOKUP($B295,'Cronog. e Histog.'!$BZ:$BZ,'Cronog. e Histog.'!CE:CE),"")</f>
        <v>0</v>
      </c>
      <c r="K295" s="144">
        <f>IFERROR(_xlfn.XLOOKUP($B295,'Cronog. e Histog.'!$BZ:$BZ,'Cronog. e Histog.'!CF:CF),"")</f>
        <v>0</v>
      </c>
      <c r="L295" s="144">
        <f>IFERROR(_xlfn.XLOOKUP($B295,'Cronog. e Histog.'!$BZ:$BZ,'Cronog. e Histog.'!CG:CG),"")</f>
        <v>0</v>
      </c>
      <c r="M295" s="144">
        <f>IFERROR(_xlfn.XLOOKUP($B295,'Cronog. e Histog.'!$BZ:$BZ,'Cronog. e Histog.'!CH:CH),"")</f>
        <v>0</v>
      </c>
      <c r="N295" s="144">
        <f>IFERROR(_xlfn.XLOOKUP($B295,'Cronog. e Histog.'!$BZ:$BZ,'Cronog. e Histog.'!CI:CI),"")</f>
        <v>0</v>
      </c>
      <c r="O295" s="144">
        <f>IFERROR(_xlfn.XLOOKUP($B295,'Cronog. e Histog.'!$BZ:$BZ,'Cronog. e Histog.'!CJ:CJ),"")</f>
        <v>0</v>
      </c>
      <c r="P295" s="144">
        <f>IFERROR(_xlfn.XLOOKUP($B295,'Cronog. e Histog.'!$BZ:$BZ,'Cronog. e Histog.'!CK:CK),"")</f>
        <v>0</v>
      </c>
      <c r="Q295" s="144">
        <f>IFERROR(_xlfn.XLOOKUP($B295,'Cronog. e Histog.'!$BZ:$BZ,'Cronog. e Histog.'!CL:CL),"")</f>
        <v>0</v>
      </c>
      <c r="R295" s="144">
        <f>IFERROR(_xlfn.XLOOKUP($B295,'Cronog. e Histog.'!$BZ:$BZ,'Cronog. e Histog.'!CM:CM),"")</f>
        <v>0</v>
      </c>
      <c r="S295" s="144">
        <f>IFERROR(_xlfn.XLOOKUP($B295,'Cronog. e Histog.'!$BZ:$BZ,'Cronog. e Histog.'!CN:CN),"")</f>
        <v>0</v>
      </c>
      <c r="T295" s="144">
        <f>IFERROR(_xlfn.XLOOKUP($B295,'Cronog. e Histog.'!$BZ:$BZ,'Cronog. e Histog.'!CO:CO),"")</f>
        <v>0</v>
      </c>
      <c r="U295" s="144">
        <f>IFERROR(_xlfn.XLOOKUP($B295,'Cronog. e Histog.'!$BZ:$BZ,'Cronog. e Histog.'!CP:CP),"")</f>
        <v>0</v>
      </c>
      <c r="V295" s="144">
        <f>IFERROR(_xlfn.XLOOKUP($B295,'Cronog. e Histog.'!$BZ:$BZ,'Cronog. e Histog.'!CQ:CQ),"")</f>
        <v>0</v>
      </c>
      <c r="W295" s="144">
        <f>IFERROR(_xlfn.XLOOKUP($B295,'Cronog. e Histog.'!$BZ:$BZ,'Cronog. e Histog.'!CR:CR),"")</f>
        <v>0</v>
      </c>
      <c r="X295" s="144">
        <f>IFERROR(_xlfn.XLOOKUP($B295,'Cronog. e Histog.'!$BZ:$BZ,'Cronog. e Histog.'!CS:CS),"")</f>
        <v>0</v>
      </c>
      <c r="Y295" s="144">
        <f>IFERROR(_xlfn.XLOOKUP($B295,'Cronog. e Histog.'!$BZ:$BZ,'Cronog. e Histog.'!CT:CT),"")</f>
        <v>0</v>
      </c>
      <c r="Z295" s="144">
        <f>IFERROR(_xlfn.XLOOKUP($B295,'Cronog. e Histog.'!$BZ:$BZ,'Cronog. e Histog.'!CU:CU),"")</f>
        <v>0</v>
      </c>
      <c r="AA295" s="144">
        <f>IFERROR(_xlfn.XLOOKUP($B295,'Cronog. e Histog.'!$BZ:$BZ,'Cronog. e Histog.'!CV:CV),"")</f>
        <v>0</v>
      </c>
      <c r="AB295" s="144">
        <f>IFERROR(_xlfn.XLOOKUP($B295,'Cronog. e Histog.'!$BZ:$BZ,'Cronog. e Histog.'!CW:CW),"")</f>
        <v>0</v>
      </c>
      <c r="AC295" s="144">
        <f>IFERROR(_xlfn.XLOOKUP($B295,'Cronog. e Histog.'!$BZ:$BZ,'Cronog. e Histog.'!CX:CX),"")</f>
        <v>0</v>
      </c>
      <c r="AD295" s="144">
        <f>IFERROR(_xlfn.XLOOKUP($B295,'Cronog. e Histog.'!$BZ:$BZ,'Cronog. e Histog.'!CY:CY),"")</f>
        <v>0</v>
      </c>
      <c r="AE295" s="144">
        <f>IFERROR(_xlfn.XLOOKUP($B295,'Cronog. e Histog.'!$BZ:$BZ,'Cronog. e Histog.'!CZ:CZ),"")</f>
        <v>0</v>
      </c>
      <c r="AF295" s="144">
        <f>IFERROR(_xlfn.XLOOKUP($B295,'Cronog. e Histog.'!$BZ:$BZ,'Cronog. e Histog.'!DA:DA),"")</f>
        <v>0</v>
      </c>
      <c r="AG295" s="144">
        <f>IFERROR(_xlfn.XLOOKUP($B295,'Cronog. e Histog.'!$BZ:$BZ,'Cronog. e Histog.'!DB:DB),"")</f>
        <v>0</v>
      </c>
      <c r="AH295" s="144">
        <f>IFERROR(_xlfn.XLOOKUP($B295,'Cronog. e Histog.'!$BZ:$BZ,'Cronog. e Histog.'!DC:DC),"")</f>
        <v>0</v>
      </c>
      <c r="AI295" s="144">
        <f>IFERROR(_xlfn.XLOOKUP($B295,'Cronog. e Histog.'!$BZ:$BZ,'Cronog. e Histog.'!DD:DD),"")</f>
        <v>0</v>
      </c>
      <c r="AJ295" s="144">
        <f>IFERROR(_xlfn.XLOOKUP($B295,'Cronog. e Histog.'!$BZ:$BZ,'Cronog. e Histog.'!DE:DE),"")</f>
        <v>0</v>
      </c>
      <c r="AK295" s="144">
        <f>IFERROR(_xlfn.XLOOKUP($B295,'Cronog. e Histog.'!$BZ:$BZ,'Cronog. e Histog.'!DF:DF),"")</f>
        <v>0</v>
      </c>
      <c r="AL295" s="144">
        <f>IFERROR(_xlfn.XLOOKUP($B295,'Cronog. e Histog.'!$BZ:$BZ,'Cronog. e Histog.'!DG:DG),"")</f>
        <v>0</v>
      </c>
      <c r="AM295" s="144">
        <f>IFERROR(_xlfn.XLOOKUP($B295,'Cronog. e Histog.'!$BZ:$BZ,'Cronog. e Histog.'!DH:DH),"")</f>
        <v>0</v>
      </c>
      <c r="AN295" s="144">
        <f>IFERROR(_xlfn.XLOOKUP($B295,'Cronog. e Histog.'!$BZ:$BZ,'Cronog. e Histog.'!DI:DI),"")</f>
        <v>0</v>
      </c>
      <c r="AO295" s="144">
        <f>IFERROR(_xlfn.XLOOKUP($B295,'Cronog. e Histog.'!$BZ:$BZ,'Cronog. e Histog.'!DJ:DJ),"")</f>
        <v>0</v>
      </c>
      <c r="AP295" s="144">
        <f>IFERROR(_xlfn.XLOOKUP($B295,'Cronog. e Histog.'!$BZ:$BZ,'Cronog. e Histog.'!DK:DK),"")</f>
        <v>0</v>
      </c>
      <c r="AQ295" s="144">
        <f>IFERROR(_xlfn.XLOOKUP($B295,'Cronog. e Histog.'!$BZ:$BZ,'Cronog. e Histog.'!DL:DL),"")</f>
        <v>0</v>
      </c>
      <c r="AR295" s="144">
        <f>IFERROR(_xlfn.XLOOKUP($B295,'Cronog. e Histog.'!$BZ:$BZ,'Cronog. e Histog.'!DM:DM),"")</f>
        <v>0</v>
      </c>
      <c r="AS295" s="144">
        <f>IFERROR(_xlfn.XLOOKUP($B295,'Cronog. e Histog.'!$BZ:$BZ,'Cronog. e Histog.'!DN:DN),"")</f>
        <v>0</v>
      </c>
      <c r="AT295" s="144">
        <f>IFERROR(_xlfn.XLOOKUP($B295,'Cronog. e Histog.'!$BZ:$BZ,'Cronog. e Histog.'!DO:DO),"")</f>
        <v>0</v>
      </c>
      <c r="AU295" s="144">
        <f>IFERROR(_xlfn.XLOOKUP($B295,'Cronog. e Histog.'!$BZ:$BZ,'Cronog. e Histog.'!DP:DP),"")</f>
        <v>0</v>
      </c>
      <c r="AV295" s="144">
        <f>IFERROR(_xlfn.XLOOKUP($B295,'Cronog. e Histog.'!$BZ:$BZ,'Cronog. e Histog.'!DQ:DQ),"")</f>
        <v>0</v>
      </c>
      <c r="AW295" s="144">
        <f>IFERROR(_xlfn.XLOOKUP($B295,'Cronog. e Histog.'!$BZ:$BZ,'Cronog. e Histog.'!DR:DR),"")</f>
        <v>0</v>
      </c>
      <c r="AX295" s="144">
        <f>IFERROR(_xlfn.XLOOKUP($B295,'Cronog. e Histog.'!$BZ:$BZ,'Cronog. e Histog.'!DS:DS),"")</f>
        <v>0</v>
      </c>
      <c r="AY295" s="144">
        <f>IFERROR(_xlfn.XLOOKUP($B295,'Cronog. e Histog.'!$BZ:$BZ,'Cronog. e Histog.'!DT:DT),"")</f>
        <v>0</v>
      </c>
      <c r="AZ295" s="144">
        <f>IFERROR(_xlfn.XLOOKUP($B295,'Cronog. e Histog.'!$BZ:$BZ,'Cronog. e Histog.'!DU:DU),"")</f>
        <v>0</v>
      </c>
      <c r="BA295" s="144">
        <f>IFERROR(_xlfn.XLOOKUP($B295,'Cronog. e Histog.'!$BZ:$BZ,'Cronog. e Histog.'!DV:DV),"")</f>
        <v>0</v>
      </c>
      <c r="BB295" s="144">
        <f>IFERROR(_xlfn.XLOOKUP($B295,'Cronog. e Histog.'!$BZ:$BZ,'Cronog. e Histog.'!DW:DW),"")</f>
        <v>0</v>
      </c>
      <c r="BC295" s="144">
        <f>IFERROR(_xlfn.XLOOKUP($B295,'Cronog. e Histog.'!$BZ:$BZ,'Cronog. e Histog.'!DX:DX),"")</f>
        <v>0</v>
      </c>
      <c r="BD295" s="144">
        <f>IFERROR(_xlfn.XLOOKUP($B295,'Cronog. e Histog.'!$BZ:$BZ,'Cronog. e Histog.'!DY:DY),"")</f>
        <v>0</v>
      </c>
      <c r="BE295" s="144">
        <f>IFERROR(_xlfn.XLOOKUP($B295,'Cronog. e Histog.'!$BZ:$BZ,'Cronog. e Histog.'!DZ:DZ),"")</f>
        <v>0</v>
      </c>
      <c r="BF295" s="144">
        <f>IFERROR(_xlfn.XLOOKUP($B295,'Cronog. e Histog.'!$BZ:$BZ,'Cronog. e Histog.'!EA:EA),"")</f>
        <v>0</v>
      </c>
      <c r="BG295" s="144">
        <f>IFERROR(_xlfn.XLOOKUP($B295,'Cronog. e Histog.'!$BZ:$BZ,'Cronog. e Histog.'!EB:EB),"")</f>
        <v>0</v>
      </c>
      <c r="BH295" s="144">
        <f>IFERROR(_xlfn.XLOOKUP($B295,'Cronog. e Histog.'!$BZ:$BZ,'Cronog. e Histog.'!EC:EC),"")</f>
        <v>0</v>
      </c>
      <c r="BI295" s="144">
        <f>IFERROR(_xlfn.XLOOKUP($B295,'Cronog. e Histog.'!$BZ:$BZ,'Cronog. e Histog.'!ED:ED),"")</f>
        <v>0</v>
      </c>
      <c r="BJ295" s="144">
        <f>IFERROR(_xlfn.XLOOKUP($B295,'Cronog. e Histog.'!$BZ:$BZ,'Cronog. e Histog.'!EE:EE),"")</f>
        <v>0</v>
      </c>
      <c r="BK295" s="144">
        <f>IFERROR(_xlfn.XLOOKUP($B295,'Cronog. e Histog.'!$BZ:$BZ,'Cronog. e Histog.'!EF:EF),"")</f>
        <v>0</v>
      </c>
      <c r="BL295" s="144">
        <f>IFERROR(_xlfn.XLOOKUP($B295,'Cronog. e Histog.'!$BZ:$BZ,'Cronog. e Histog.'!EG:EG),"")</f>
        <v>0</v>
      </c>
      <c r="BM295" s="144">
        <f>IFERROR(_xlfn.XLOOKUP($B295,'Cronog. e Histog.'!$BZ:$BZ,'Cronog. e Histog.'!EH:EH),"")</f>
        <v>0</v>
      </c>
      <c r="BN295" s="144">
        <f>IFERROR(_xlfn.XLOOKUP($B295,'Cronog. e Histog.'!$BZ:$BZ,'Cronog. e Histog.'!EI:EI),"")</f>
        <v>0</v>
      </c>
    </row>
    <row r="296" spans="2:66" ht="12" hidden="1" customHeight="1" outlineLevel="1">
      <c r="B296" s="76">
        <v>290</v>
      </c>
      <c r="C296" s="143" t="str">
        <f>IFERROR(VLOOKUP(B296,'Cronog. e Histog.'!$BZ$213:$CA$747,2,0),"")</f>
        <v>AN SR. ADM/CRP</v>
      </c>
      <c r="D296" s="144">
        <f t="shared" si="6"/>
        <v>0</v>
      </c>
      <c r="E296" s="144">
        <f t="shared" si="7"/>
        <v>0</v>
      </c>
      <c r="F296" s="65"/>
      <c r="G296" s="144">
        <f>IFERROR(_xlfn.XLOOKUP($B296,'Cronog. e Histog.'!$BZ:$BZ,'Cronog. e Histog.'!CB:CB),"")</f>
        <v>0</v>
      </c>
      <c r="H296" s="144">
        <f>IFERROR(_xlfn.XLOOKUP($B296,'Cronog. e Histog.'!$BZ:$BZ,'Cronog. e Histog.'!CC:CC),"")</f>
        <v>0</v>
      </c>
      <c r="I296" s="144">
        <f>IFERROR(_xlfn.XLOOKUP($B296,'Cronog. e Histog.'!$BZ:$BZ,'Cronog. e Histog.'!CD:CD),"")</f>
        <v>0</v>
      </c>
      <c r="J296" s="144">
        <f>IFERROR(_xlfn.XLOOKUP($B296,'Cronog. e Histog.'!$BZ:$BZ,'Cronog. e Histog.'!CE:CE),"")</f>
        <v>0</v>
      </c>
      <c r="K296" s="144">
        <f>IFERROR(_xlfn.XLOOKUP($B296,'Cronog. e Histog.'!$BZ:$BZ,'Cronog. e Histog.'!CF:CF),"")</f>
        <v>0</v>
      </c>
      <c r="L296" s="144">
        <f>IFERROR(_xlfn.XLOOKUP($B296,'Cronog. e Histog.'!$BZ:$BZ,'Cronog. e Histog.'!CG:CG),"")</f>
        <v>0</v>
      </c>
      <c r="M296" s="144">
        <f>IFERROR(_xlfn.XLOOKUP($B296,'Cronog. e Histog.'!$BZ:$BZ,'Cronog. e Histog.'!CH:CH),"")</f>
        <v>0</v>
      </c>
      <c r="N296" s="144">
        <f>IFERROR(_xlfn.XLOOKUP($B296,'Cronog. e Histog.'!$BZ:$BZ,'Cronog. e Histog.'!CI:CI),"")</f>
        <v>0</v>
      </c>
      <c r="O296" s="144">
        <f>IFERROR(_xlfn.XLOOKUP($B296,'Cronog. e Histog.'!$BZ:$BZ,'Cronog. e Histog.'!CJ:CJ),"")</f>
        <v>0</v>
      </c>
      <c r="P296" s="144">
        <f>IFERROR(_xlfn.XLOOKUP($B296,'Cronog. e Histog.'!$BZ:$BZ,'Cronog. e Histog.'!CK:CK),"")</f>
        <v>0</v>
      </c>
      <c r="Q296" s="144">
        <f>IFERROR(_xlfn.XLOOKUP($B296,'Cronog. e Histog.'!$BZ:$BZ,'Cronog. e Histog.'!CL:CL),"")</f>
        <v>0</v>
      </c>
      <c r="R296" s="144">
        <f>IFERROR(_xlfn.XLOOKUP($B296,'Cronog. e Histog.'!$BZ:$BZ,'Cronog. e Histog.'!CM:CM),"")</f>
        <v>0</v>
      </c>
      <c r="S296" s="144">
        <f>IFERROR(_xlfn.XLOOKUP($B296,'Cronog. e Histog.'!$BZ:$BZ,'Cronog. e Histog.'!CN:CN),"")</f>
        <v>0</v>
      </c>
      <c r="T296" s="144">
        <f>IFERROR(_xlfn.XLOOKUP($B296,'Cronog. e Histog.'!$BZ:$BZ,'Cronog. e Histog.'!CO:CO),"")</f>
        <v>0</v>
      </c>
      <c r="U296" s="144">
        <f>IFERROR(_xlfn.XLOOKUP($B296,'Cronog. e Histog.'!$BZ:$BZ,'Cronog. e Histog.'!CP:CP),"")</f>
        <v>0</v>
      </c>
      <c r="V296" s="144">
        <f>IFERROR(_xlfn.XLOOKUP($B296,'Cronog. e Histog.'!$BZ:$BZ,'Cronog. e Histog.'!CQ:CQ),"")</f>
        <v>0</v>
      </c>
      <c r="W296" s="144">
        <f>IFERROR(_xlfn.XLOOKUP($B296,'Cronog. e Histog.'!$BZ:$BZ,'Cronog. e Histog.'!CR:CR),"")</f>
        <v>0</v>
      </c>
      <c r="X296" s="144">
        <f>IFERROR(_xlfn.XLOOKUP($B296,'Cronog. e Histog.'!$BZ:$BZ,'Cronog. e Histog.'!CS:CS),"")</f>
        <v>0</v>
      </c>
      <c r="Y296" s="144">
        <f>IFERROR(_xlfn.XLOOKUP($B296,'Cronog. e Histog.'!$BZ:$BZ,'Cronog. e Histog.'!CT:CT),"")</f>
        <v>0</v>
      </c>
      <c r="Z296" s="144">
        <f>IFERROR(_xlfn.XLOOKUP($B296,'Cronog. e Histog.'!$BZ:$BZ,'Cronog. e Histog.'!CU:CU),"")</f>
        <v>0</v>
      </c>
      <c r="AA296" s="144">
        <f>IFERROR(_xlfn.XLOOKUP($B296,'Cronog. e Histog.'!$BZ:$BZ,'Cronog. e Histog.'!CV:CV),"")</f>
        <v>0</v>
      </c>
      <c r="AB296" s="144">
        <f>IFERROR(_xlfn.XLOOKUP($B296,'Cronog. e Histog.'!$BZ:$BZ,'Cronog. e Histog.'!CW:CW),"")</f>
        <v>0</v>
      </c>
      <c r="AC296" s="144">
        <f>IFERROR(_xlfn.XLOOKUP($B296,'Cronog. e Histog.'!$BZ:$BZ,'Cronog. e Histog.'!CX:CX),"")</f>
        <v>0</v>
      </c>
      <c r="AD296" s="144">
        <f>IFERROR(_xlfn.XLOOKUP($B296,'Cronog. e Histog.'!$BZ:$BZ,'Cronog. e Histog.'!CY:CY),"")</f>
        <v>0</v>
      </c>
      <c r="AE296" s="144">
        <f>IFERROR(_xlfn.XLOOKUP($B296,'Cronog. e Histog.'!$BZ:$BZ,'Cronog. e Histog.'!CZ:CZ),"")</f>
        <v>0</v>
      </c>
      <c r="AF296" s="144">
        <f>IFERROR(_xlfn.XLOOKUP($B296,'Cronog. e Histog.'!$BZ:$BZ,'Cronog. e Histog.'!DA:DA),"")</f>
        <v>0</v>
      </c>
      <c r="AG296" s="144">
        <f>IFERROR(_xlfn.XLOOKUP($B296,'Cronog. e Histog.'!$BZ:$BZ,'Cronog. e Histog.'!DB:DB),"")</f>
        <v>0</v>
      </c>
      <c r="AH296" s="144">
        <f>IFERROR(_xlfn.XLOOKUP($B296,'Cronog. e Histog.'!$BZ:$BZ,'Cronog. e Histog.'!DC:DC),"")</f>
        <v>0</v>
      </c>
      <c r="AI296" s="144">
        <f>IFERROR(_xlfn.XLOOKUP($B296,'Cronog. e Histog.'!$BZ:$BZ,'Cronog. e Histog.'!DD:DD),"")</f>
        <v>0</v>
      </c>
      <c r="AJ296" s="144">
        <f>IFERROR(_xlfn.XLOOKUP($B296,'Cronog. e Histog.'!$BZ:$BZ,'Cronog. e Histog.'!DE:DE),"")</f>
        <v>0</v>
      </c>
      <c r="AK296" s="144">
        <f>IFERROR(_xlfn.XLOOKUP($B296,'Cronog. e Histog.'!$BZ:$BZ,'Cronog. e Histog.'!DF:DF),"")</f>
        <v>0</v>
      </c>
      <c r="AL296" s="144">
        <f>IFERROR(_xlfn.XLOOKUP($B296,'Cronog. e Histog.'!$BZ:$BZ,'Cronog. e Histog.'!DG:DG),"")</f>
        <v>0</v>
      </c>
      <c r="AM296" s="144">
        <f>IFERROR(_xlfn.XLOOKUP($B296,'Cronog. e Histog.'!$BZ:$BZ,'Cronog. e Histog.'!DH:DH),"")</f>
        <v>0</v>
      </c>
      <c r="AN296" s="144">
        <f>IFERROR(_xlfn.XLOOKUP($B296,'Cronog. e Histog.'!$BZ:$BZ,'Cronog. e Histog.'!DI:DI),"")</f>
        <v>0</v>
      </c>
      <c r="AO296" s="144">
        <f>IFERROR(_xlfn.XLOOKUP($B296,'Cronog. e Histog.'!$BZ:$BZ,'Cronog. e Histog.'!DJ:DJ),"")</f>
        <v>0</v>
      </c>
      <c r="AP296" s="144">
        <f>IFERROR(_xlfn.XLOOKUP($B296,'Cronog. e Histog.'!$BZ:$BZ,'Cronog. e Histog.'!DK:DK),"")</f>
        <v>0</v>
      </c>
      <c r="AQ296" s="144">
        <f>IFERROR(_xlfn.XLOOKUP($B296,'Cronog. e Histog.'!$BZ:$BZ,'Cronog. e Histog.'!DL:DL),"")</f>
        <v>0</v>
      </c>
      <c r="AR296" s="144">
        <f>IFERROR(_xlfn.XLOOKUP($B296,'Cronog. e Histog.'!$BZ:$BZ,'Cronog. e Histog.'!DM:DM),"")</f>
        <v>0</v>
      </c>
      <c r="AS296" s="144">
        <f>IFERROR(_xlfn.XLOOKUP($B296,'Cronog. e Histog.'!$BZ:$BZ,'Cronog. e Histog.'!DN:DN),"")</f>
        <v>0</v>
      </c>
      <c r="AT296" s="144">
        <f>IFERROR(_xlfn.XLOOKUP($B296,'Cronog. e Histog.'!$BZ:$BZ,'Cronog. e Histog.'!DO:DO),"")</f>
        <v>0</v>
      </c>
      <c r="AU296" s="144">
        <f>IFERROR(_xlfn.XLOOKUP($B296,'Cronog. e Histog.'!$BZ:$BZ,'Cronog. e Histog.'!DP:DP),"")</f>
        <v>0</v>
      </c>
      <c r="AV296" s="144">
        <f>IFERROR(_xlfn.XLOOKUP($B296,'Cronog. e Histog.'!$BZ:$BZ,'Cronog. e Histog.'!DQ:DQ),"")</f>
        <v>0</v>
      </c>
      <c r="AW296" s="144">
        <f>IFERROR(_xlfn.XLOOKUP($B296,'Cronog. e Histog.'!$BZ:$BZ,'Cronog. e Histog.'!DR:DR),"")</f>
        <v>0</v>
      </c>
      <c r="AX296" s="144">
        <f>IFERROR(_xlfn.XLOOKUP($B296,'Cronog. e Histog.'!$BZ:$BZ,'Cronog. e Histog.'!DS:DS),"")</f>
        <v>0</v>
      </c>
      <c r="AY296" s="144">
        <f>IFERROR(_xlfn.XLOOKUP($B296,'Cronog. e Histog.'!$BZ:$BZ,'Cronog. e Histog.'!DT:DT),"")</f>
        <v>0</v>
      </c>
      <c r="AZ296" s="144">
        <f>IFERROR(_xlfn.XLOOKUP($B296,'Cronog. e Histog.'!$BZ:$BZ,'Cronog. e Histog.'!DU:DU),"")</f>
        <v>0</v>
      </c>
      <c r="BA296" s="144">
        <f>IFERROR(_xlfn.XLOOKUP($B296,'Cronog. e Histog.'!$BZ:$BZ,'Cronog. e Histog.'!DV:DV),"")</f>
        <v>0</v>
      </c>
      <c r="BB296" s="144">
        <f>IFERROR(_xlfn.XLOOKUP($B296,'Cronog. e Histog.'!$BZ:$BZ,'Cronog. e Histog.'!DW:DW),"")</f>
        <v>0</v>
      </c>
      <c r="BC296" s="144">
        <f>IFERROR(_xlfn.XLOOKUP($B296,'Cronog. e Histog.'!$BZ:$BZ,'Cronog. e Histog.'!DX:DX),"")</f>
        <v>0</v>
      </c>
      <c r="BD296" s="144">
        <f>IFERROR(_xlfn.XLOOKUP($B296,'Cronog. e Histog.'!$BZ:$BZ,'Cronog. e Histog.'!DY:DY),"")</f>
        <v>0</v>
      </c>
      <c r="BE296" s="144">
        <f>IFERROR(_xlfn.XLOOKUP($B296,'Cronog. e Histog.'!$BZ:$BZ,'Cronog. e Histog.'!DZ:DZ),"")</f>
        <v>0</v>
      </c>
      <c r="BF296" s="144">
        <f>IFERROR(_xlfn.XLOOKUP($B296,'Cronog. e Histog.'!$BZ:$BZ,'Cronog. e Histog.'!EA:EA),"")</f>
        <v>0</v>
      </c>
      <c r="BG296" s="144">
        <f>IFERROR(_xlfn.XLOOKUP($B296,'Cronog. e Histog.'!$BZ:$BZ,'Cronog. e Histog.'!EB:EB),"")</f>
        <v>0</v>
      </c>
      <c r="BH296" s="144">
        <f>IFERROR(_xlfn.XLOOKUP($B296,'Cronog. e Histog.'!$BZ:$BZ,'Cronog. e Histog.'!EC:EC),"")</f>
        <v>0</v>
      </c>
      <c r="BI296" s="144">
        <f>IFERROR(_xlfn.XLOOKUP($B296,'Cronog. e Histog.'!$BZ:$BZ,'Cronog. e Histog.'!ED:ED),"")</f>
        <v>0</v>
      </c>
      <c r="BJ296" s="144">
        <f>IFERROR(_xlfn.XLOOKUP($B296,'Cronog. e Histog.'!$BZ:$BZ,'Cronog. e Histog.'!EE:EE),"")</f>
        <v>0</v>
      </c>
      <c r="BK296" s="144">
        <f>IFERROR(_xlfn.XLOOKUP($B296,'Cronog. e Histog.'!$BZ:$BZ,'Cronog. e Histog.'!EF:EF),"")</f>
        <v>0</v>
      </c>
      <c r="BL296" s="144">
        <f>IFERROR(_xlfn.XLOOKUP($B296,'Cronog. e Histog.'!$BZ:$BZ,'Cronog. e Histog.'!EG:EG),"")</f>
        <v>0</v>
      </c>
      <c r="BM296" s="144">
        <f>IFERROR(_xlfn.XLOOKUP($B296,'Cronog. e Histog.'!$BZ:$BZ,'Cronog. e Histog.'!EH:EH),"")</f>
        <v>0</v>
      </c>
      <c r="BN296" s="144">
        <f>IFERROR(_xlfn.XLOOKUP($B296,'Cronog. e Histog.'!$BZ:$BZ,'Cronog. e Histog.'!EI:EI),"")</f>
        <v>0</v>
      </c>
    </row>
    <row r="297" spans="2:66" ht="12" hidden="1" customHeight="1" outlineLevel="1">
      <c r="B297" s="76">
        <v>291</v>
      </c>
      <c r="C297" s="143" t="str">
        <f>IFERROR(VLOOKUP(B297,'Cronog. e Histog.'!$BZ$213:$CA$747,2,0),"")</f>
        <v>AN PL. ADM/CRP</v>
      </c>
      <c r="D297" s="144">
        <f t="shared" si="6"/>
        <v>0</v>
      </c>
      <c r="E297" s="144">
        <f t="shared" si="7"/>
        <v>0</v>
      </c>
      <c r="F297" s="65"/>
      <c r="G297" s="144">
        <f>IFERROR(_xlfn.XLOOKUP($B297,'Cronog. e Histog.'!$BZ:$BZ,'Cronog. e Histog.'!CB:CB),"")</f>
        <v>0</v>
      </c>
      <c r="H297" s="144">
        <f>IFERROR(_xlfn.XLOOKUP($B297,'Cronog. e Histog.'!$BZ:$BZ,'Cronog. e Histog.'!CC:CC),"")</f>
        <v>0</v>
      </c>
      <c r="I297" s="144">
        <f>IFERROR(_xlfn.XLOOKUP($B297,'Cronog. e Histog.'!$BZ:$BZ,'Cronog. e Histog.'!CD:CD),"")</f>
        <v>0</v>
      </c>
      <c r="J297" s="144">
        <f>IFERROR(_xlfn.XLOOKUP($B297,'Cronog. e Histog.'!$BZ:$BZ,'Cronog. e Histog.'!CE:CE),"")</f>
        <v>0</v>
      </c>
      <c r="K297" s="144">
        <f>IFERROR(_xlfn.XLOOKUP($B297,'Cronog. e Histog.'!$BZ:$BZ,'Cronog. e Histog.'!CF:CF),"")</f>
        <v>0</v>
      </c>
      <c r="L297" s="144">
        <f>IFERROR(_xlfn.XLOOKUP($B297,'Cronog. e Histog.'!$BZ:$BZ,'Cronog. e Histog.'!CG:CG),"")</f>
        <v>0</v>
      </c>
      <c r="M297" s="144">
        <f>IFERROR(_xlfn.XLOOKUP($B297,'Cronog. e Histog.'!$BZ:$BZ,'Cronog. e Histog.'!CH:CH),"")</f>
        <v>0</v>
      </c>
      <c r="N297" s="144">
        <f>IFERROR(_xlfn.XLOOKUP($B297,'Cronog. e Histog.'!$BZ:$BZ,'Cronog. e Histog.'!CI:CI),"")</f>
        <v>0</v>
      </c>
      <c r="O297" s="144">
        <f>IFERROR(_xlfn.XLOOKUP($B297,'Cronog. e Histog.'!$BZ:$BZ,'Cronog. e Histog.'!CJ:CJ),"")</f>
        <v>0</v>
      </c>
      <c r="P297" s="144">
        <f>IFERROR(_xlfn.XLOOKUP($B297,'Cronog. e Histog.'!$BZ:$BZ,'Cronog. e Histog.'!CK:CK),"")</f>
        <v>0</v>
      </c>
      <c r="Q297" s="144">
        <f>IFERROR(_xlfn.XLOOKUP($B297,'Cronog. e Histog.'!$BZ:$BZ,'Cronog. e Histog.'!CL:CL),"")</f>
        <v>0</v>
      </c>
      <c r="R297" s="144">
        <f>IFERROR(_xlfn.XLOOKUP($B297,'Cronog. e Histog.'!$BZ:$BZ,'Cronog. e Histog.'!CM:CM),"")</f>
        <v>0</v>
      </c>
      <c r="S297" s="144">
        <f>IFERROR(_xlfn.XLOOKUP($B297,'Cronog. e Histog.'!$BZ:$BZ,'Cronog. e Histog.'!CN:CN),"")</f>
        <v>0</v>
      </c>
      <c r="T297" s="144">
        <f>IFERROR(_xlfn.XLOOKUP($B297,'Cronog. e Histog.'!$BZ:$BZ,'Cronog. e Histog.'!CO:CO),"")</f>
        <v>0</v>
      </c>
      <c r="U297" s="144">
        <f>IFERROR(_xlfn.XLOOKUP($B297,'Cronog. e Histog.'!$BZ:$BZ,'Cronog. e Histog.'!CP:CP),"")</f>
        <v>0</v>
      </c>
      <c r="V297" s="144">
        <f>IFERROR(_xlfn.XLOOKUP($B297,'Cronog. e Histog.'!$BZ:$BZ,'Cronog. e Histog.'!CQ:CQ),"")</f>
        <v>0</v>
      </c>
      <c r="W297" s="144">
        <f>IFERROR(_xlfn.XLOOKUP($B297,'Cronog. e Histog.'!$BZ:$BZ,'Cronog. e Histog.'!CR:CR),"")</f>
        <v>0</v>
      </c>
      <c r="X297" s="144">
        <f>IFERROR(_xlfn.XLOOKUP($B297,'Cronog. e Histog.'!$BZ:$BZ,'Cronog. e Histog.'!CS:CS),"")</f>
        <v>0</v>
      </c>
      <c r="Y297" s="144">
        <f>IFERROR(_xlfn.XLOOKUP($B297,'Cronog. e Histog.'!$BZ:$BZ,'Cronog. e Histog.'!CT:CT),"")</f>
        <v>0</v>
      </c>
      <c r="Z297" s="144">
        <f>IFERROR(_xlfn.XLOOKUP($B297,'Cronog. e Histog.'!$BZ:$BZ,'Cronog. e Histog.'!CU:CU),"")</f>
        <v>0</v>
      </c>
      <c r="AA297" s="144">
        <f>IFERROR(_xlfn.XLOOKUP($B297,'Cronog. e Histog.'!$BZ:$BZ,'Cronog. e Histog.'!CV:CV),"")</f>
        <v>0</v>
      </c>
      <c r="AB297" s="144">
        <f>IFERROR(_xlfn.XLOOKUP($B297,'Cronog. e Histog.'!$BZ:$BZ,'Cronog. e Histog.'!CW:CW),"")</f>
        <v>0</v>
      </c>
      <c r="AC297" s="144">
        <f>IFERROR(_xlfn.XLOOKUP($B297,'Cronog. e Histog.'!$BZ:$BZ,'Cronog. e Histog.'!CX:CX),"")</f>
        <v>0</v>
      </c>
      <c r="AD297" s="144">
        <f>IFERROR(_xlfn.XLOOKUP($B297,'Cronog. e Histog.'!$BZ:$BZ,'Cronog. e Histog.'!CY:CY),"")</f>
        <v>0</v>
      </c>
      <c r="AE297" s="144">
        <f>IFERROR(_xlfn.XLOOKUP($B297,'Cronog. e Histog.'!$BZ:$BZ,'Cronog. e Histog.'!CZ:CZ),"")</f>
        <v>0</v>
      </c>
      <c r="AF297" s="144">
        <f>IFERROR(_xlfn.XLOOKUP($B297,'Cronog. e Histog.'!$BZ:$BZ,'Cronog. e Histog.'!DA:DA),"")</f>
        <v>0</v>
      </c>
      <c r="AG297" s="144">
        <f>IFERROR(_xlfn.XLOOKUP($B297,'Cronog. e Histog.'!$BZ:$BZ,'Cronog. e Histog.'!DB:DB),"")</f>
        <v>0</v>
      </c>
      <c r="AH297" s="144">
        <f>IFERROR(_xlfn.XLOOKUP($B297,'Cronog. e Histog.'!$BZ:$BZ,'Cronog. e Histog.'!DC:DC),"")</f>
        <v>0</v>
      </c>
      <c r="AI297" s="144">
        <f>IFERROR(_xlfn.XLOOKUP($B297,'Cronog. e Histog.'!$BZ:$BZ,'Cronog. e Histog.'!DD:DD),"")</f>
        <v>0</v>
      </c>
      <c r="AJ297" s="144">
        <f>IFERROR(_xlfn.XLOOKUP($B297,'Cronog. e Histog.'!$BZ:$BZ,'Cronog. e Histog.'!DE:DE),"")</f>
        <v>0</v>
      </c>
      <c r="AK297" s="144">
        <f>IFERROR(_xlfn.XLOOKUP($B297,'Cronog. e Histog.'!$BZ:$BZ,'Cronog. e Histog.'!DF:DF),"")</f>
        <v>0</v>
      </c>
      <c r="AL297" s="144">
        <f>IFERROR(_xlfn.XLOOKUP($B297,'Cronog. e Histog.'!$BZ:$BZ,'Cronog. e Histog.'!DG:DG),"")</f>
        <v>0</v>
      </c>
      <c r="AM297" s="144">
        <f>IFERROR(_xlfn.XLOOKUP($B297,'Cronog. e Histog.'!$BZ:$BZ,'Cronog. e Histog.'!DH:DH),"")</f>
        <v>0</v>
      </c>
      <c r="AN297" s="144">
        <f>IFERROR(_xlfn.XLOOKUP($B297,'Cronog. e Histog.'!$BZ:$BZ,'Cronog. e Histog.'!DI:DI),"")</f>
        <v>0</v>
      </c>
      <c r="AO297" s="144">
        <f>IFERROR(_xlfn.XLOOKUP($B297,'Cronog. e Histog.'!$BZ:$BZ,'Cronog. e Histog.'!DJ:DJ),"")</f>
        <v>0</v>
      </c>
      <c r="AP297" s="144">
        <f>IFERROR(_xlfn.XLOOKUP($B297,'Cronog. e Histog.'!$BZ:$BZ,'Cronog. e Histog.'!DK:DK),"")</f>
        <v>0</v>
      </c>
      <c r="AQ297" s="144">
        <f>IFERROR(_xlfn.XLOOKUP($B297,'Cronog. e Histog.'!$BZ:$BZ,'Cronog. e Histog.'!DL:DL),"")</f>
        <v>0</v>
      </c>
      <c r="AR297" s="144">
        <f>IFERROR(_xlfn.XLOOKUP($B297,'Cronog. e Histog.'!$BZ:$BZ,'Cronog. e Histog.'!DM:DM),"")</f>
        <v>0</v>
      </c>
      <c r="AS297" s="144">
        <f>IFERROR(_xlfn.XLOOKUP($B297,'Cronog. e Histog.'!$BZ:$BZ,'Cronog. e Histog.'!DN:DN),"")</f>
        <v>0</v>
      </c>
      <c r="AT297" s="144">
        <f>IFERROR(_xlfn.XLOOKUP($B297,'Cronog. e Histog.'!$BZ:$BZ,'Cronog. e Histog.'!DO:DO),"")</f>
        <v>0</v>
      </c>
      <c r="AU297" s="144">
        <f>IFERROR(_xlfn.XLOOKUP($B297,'Cronog. e Histog.'!$BZ:$BZ,'Cronog. e Histog.'!DP:DP),"")</f>
        <v>0</v>
      </c>
      <c r="AV297" s="144">
        <f>IFERROR(_xlfn.XLOOKUP($B297,'Cronog. e Histog.'!$BZ:$BZ,'Cronog. e Histog.'!DQ:DQ),"")</f>
        <v>0</v>
      </c>
      <c r="AW297" s="144">
        <f>IFERROR(_xlfn.XLOOKUP($B297,'Cronog. e Histog.'!$BZ:$BZ,'Cronog. e Histog.'!DR:DR),"")</f>
        <v>0</v>
      </c>
      <c r="AX297" s="144">
        <f>IFERROR(_xlfn.XLOOKUP($B297,'Cronog. e Histog.'!$BZ:$BZ,'Cronog. e Histog.'!DS:DS),"")</f>
        <v>0</v>
      </c>
      <c r="AY297" s="144">
        <f>IFERROR(_xlfn.XLOOKUP($B297,'Cronog. e Histog.'!$BZ:$BZ,'Cronog. e Histog.'!DT:DT),"")</f>
        <v>0</v>
      </c>
      <c r="AZ297" s="144">
        <f>IFERROR(_xlfn.XLOOKUP($B297,'Cronog. e Histog.'!$BZ:$BZ,'Cronog. e Histog.'!DU:DU),"")</f>
        <v>0</v>
      </c>
      <c r="BA297" s="144">
        <f>IFERROR(_xlfn.XLOOKUP($B297,'Cronog. e Histog.'!$BZ:$BZ,'Cronog. e Histog.'!DV:DV),"")</f>
        <v>0</v>
      </c>
      <c r="BB297" s="144">
        <f>IFERROR(_xlfn.XLOOKUP($B297,'Cronog. e Histog.'!$BZ:$BZ,'Cronog. e Histog.'!DW:DW),"")</f>
        <v>0</v>
      </c>
      <c r="BC297" s="144">
        <f>IFERROR(_xlfn.XLOOKUP($B297,'Cronog. e Histog.'!$BZ:$BZ,'Cronog. e Histog.'!DX:DX),"")</f>
        <v>0</v>
      </c>
      <c r="BD297" s="144">
        <f>IFERROR(_xlfn.XLOOKUP($B297,'Cronog. e Histog.'!$BZ:$BZ,'Cronog. e Histog.'!DY:DY),"")</f>
        <v>0</v>
      </c>
      <c r="BE297" s="144">
        <f>IFERROR(_xlfn.XLOOKUP($B297,'Cronog. e Histog.'!$BZ:$BZ,'Cronog. e Histog.'!DZ:DZ),"")</f>
        <v>0</v>
      </c>
      <c r="BF297" s="144">
        <f>IFERROR(_xlfn.XLOOKUP($B297,'Cronog. e Histog.'!$BZ:$BZ,'Cronog. e Histog.'!EA:EA),"")</f>
        <v>0</v>
      </c>
      <c r="BG297" s="144">
        <f>IFERROR(_xlfn.XLOOKUP($B297,'Cronog. e Histog.'!$BZ:$BZ,'Cronog. e Histog.'!EB:EB),"")</f>
        <v>0</v>
      </c>
      <c r="BH297" s="144">
        <f>IFERROR(_xlfn.XLOOKUP($B297,'Cronog. e Histog.'!$BZ:$BZ,'Cronog. e Histog.'!EC:EC),"")</f>
        <v>0</v>
      </c>
      <c r="BI297" s="144">
        <f>IFERROR(_xlfn.XLOOKUP($B297,'Cronog. e Histog.'!$BZ:$BZ,'Cronog. e Histog.'!ED:ED),"")</f>
        <v>0</v>
      </c>
      <c r="BJ297" s="144">
        <f>IFERROR(_xlfn.XLOOKUP($B297,'Cronog. e Histog.'!$BZ:$BZ,'Cronog. e Histog.'!EE:EE),"")</f>
        <v>0</v>
      </c>
      <c r="BK297" s="144">
        <f>IFERROR(_xlfn.XLOOKUP($B297,'Cronog. e Histog.'!$BZ:$BZ,'Cronog. e Histog.'!EF:EF),"")</f>
        <v>0</v>
      </c>
      <c r="BL297" s="144">
        <f>IFERROR(_xlfn.XLOOKUP($B297,'Cronog. e Histog.'!$BZ:$BZ,'Cronog. e Histog.'!EG:EG),"")</f>
        <v>0</v>
      </c>
      <c r="BM297" s="144">
        <f>IFERROR(_xlfn.XLOOKUP($B297,'Cronog. e Histog.'!$BZ:$BZ,'Cronog. e Histog.'!EH:EH),"")</f>
        <v>0</v>
      </c>
      <c r="BN297" s="144">
        <f>IFERROR(_xlfn.XLOOKUP($B297,'Cronog. e Histog.'!$BZ:$BZ,'Cronog. e Histog.'!EI:EI),"")</f>
        <v>0</v>
      </c>
    </row>
    <row r="298" spans="2:66" ht="12" hidden="1" customHeight="1" outlineLevel="1">
      <c r="B298" s="76">
        <v>292</v>
      </c>
      <c r="C298" s="143" t="str">
        <f>IFERROR(VLOOKUP(B298,'Cronog. e Histog.'!$BZ$213:$CA$747,2,0),"")</f>
        <v>AN JR. ADM/CRP</v>
      </c>
      <c r="D298" s="144">
        <f t="shared" si="6"/>
        <v>0</v>
      </c>
      <c r="E298" s="144">
        <f t="shared" si="7"/>
        <v>0</v>
      </c>
      <c r="F298" s="65"/>
      <c r="G298" s="144">
        <f>IFERROR(_xlfn.XLOOKUP($B298,'Cronog. e Histog.'!$BZ:$BZ,'Cronog. e Histog.'!CB:CB),"")</f>
        <v>0</v>
      </c>
      <c r="H298" s="144">
        <f>IFERROR(_xlfn.XLOOKUP($B298,'Cronog. e Histog.'!$BZ:$BZ,'Cronog. e Histog.'!CC:CC),"")</f>
        <v>0</v>
      </c>
      <c r="I298" s="144">
        <f>IFERROR(_xlfn.XLOOKUP($B298,'Cronog. e Histog.'!$BZ:$BZ,'Cronog. e Histog.'!CD:CD),"")</f>
        <v>0</v>
      </c>
      <c r="J298" s="144">
        <f>IFERROR(_xlfn.XLOOKUP($B298,'Cronog. e Histog.'!$BZ:$BZ,'Cronog. e Histog.'!CE:CE),"")</f>
        <v>0</v>
      </c>
      <c r="K298" s="144">
        <f>IFERROR(_xlfn.XLOOKUP($B298,'Cronog. e Histog.'!$BZ:$BZ,'Cronog. e Histog.'!CF:CF),"")</f>
        <v>0</v>
      </c>
      <c r="L298" s="144">
        <f>IFERROR(_xlfn.XLOOKUP($B298,'Cronog. e Histog.'!$BZ:$BZ,'Cronog. e Histog.'!CG:CG),"")</f>
        <v>0</v>
      </c>
      <c r="M298" s="144">
        <f>IFERROR(_xlfn.XLOOKUP($B298,'Cronog. e Histog.'!$BZ:$BZ,'Cronog. e Histog.'!CH:CH),"")</f>
        <v>0</v>
      </c>
      <c r="N298" s="144">
        <f>IFERROR(_xlfn.XLOOKUP($B298,'Cronog. e Histog.'!$BZ:$BZ,'Cronog. e Histog.'!CI:CI),"")</f>
        <v>0</v>
      </c>
      <c r="O298" s="144">
        <f>IFERROR(_xlfn.XLOOKUP($B298,'Cronog. e Histog.'!$BZ:$BZ,'Cronog. e Histog.'!CJ:CJ),"")</f>
        <v>0</v>
      </c>
      <c r="P298" s="144">
        <f>IFERROR(_xlfn.XLOOKUP($B298,'Cronog. e Histog.'!$BZ:$BZ,'Cronog. e Histog.'!CK:CK),"")</f>
        <v>0</v>
      </c>
      <c r="Q298" s="144">
        <f>IFERROR(_xlfn.XLOOKUP($B298,'Cronog. e Histog.'!$BZ:$BZ,'Cronog. e Histog.'!CL:CL),"")</f>
        <v>0</v>
      </c>
      <c r="R298" s="144">
        <f>IFERROR(_xlfn.XLOOKUP($B298,'Cronog. e Histog.'!$BZ:$BZ,'Cronog. e Histog.'!CM:CM),"")</f>
        <v>0</v>
      </c>
      <c r="S298" s="144">
        <f>IFERROR(_xlfn.XLOOKUP($B298,'Cronog. e Histog.'!$BZ:$BZ,'Cronog. e Histog.'!CN:CN),"")</f>
        <v>0</v>
      </c>
      <c r="T298" s="144">
        <f>IFERROR(_xlfn.XLOOKUP($B298,'Cronog. e Histog.'!$BZ:$BZ,'Cronog. e Histog.'!CO:CO),"")</f>
        <v>0</v>
      </c>
      <c r="U298" s="144">
        <f>IFERROR(_xlfn.XLOOKUP($B298,'Cronog. e Histog.'!$BZ:$BZ,'Cronog. e Histog.'!CP:CP),"")</f>
        <v>0</v>
      </c>
      <c r="V298" s="144">
        <f>IFERROR(_xlfn.XLOOKUP($B298,'Cronog. e Histog.'!$BZ:$BZ,'Cronog. e Histog.'!CQ:CQ),"")</f>
        <v>0</v>
      </c>
      <c r="W298" s="144">
        <f>IFERROR(_xlfn.XLOOKUP($B298,'Cronog. e Histog.'!$BZ:$BZ,'Cronog. e Histog.'!CR:CR),"")</f>
        <v>0</v>
      </c>
      <c r="X298" s="144">
        <f>IFERROR(_xlfn.XLOOKUP($B298,'Cronog. e Histog.'!$BZ:$BZ,'Cronog. e Histog.'!CS:CS),"")</f>
        <v>0</v>
      </c>
      <c r="Y298" s="144">
        <f>IFERROR(_xlfn.XLOOKUP($B298,'Cronog. e Histog.'!$BZ:$BZ,'Cronog. e Histog.'!CT:CT),"")</f>
        <v>0</v>
      </c>
      <c r="Z298" s="144">
        <f>IFERROR(_xlfn.XLOOKUP($B298,'Cronog. e Histog.'!$BZ:$BZ,'Cronog. e Histog.'!CU:CU),"")</f>
        <v>0</v>
      </c>
      <c r="AA298" s="144">
        <f>IFERROR(_xlfn.XLOOKUP($B298,'Cronog. e Histog.'!$BZ:$BZ,'Cronog. e Histog.'!CV:CV),"")</f>
        <v>0</v>
      </c>
      <c r="AB298" s="144">
        <f>IFERROR(_xlfn.XLOOKUP($B298,'Cronog. e Histog.'!$BZ:$BZ,'Cronog. e Histog.'!CW:CW),"")</f>
        <v>0</v>
      </c>
      <c r="AC298" s="144">
        <f>IFERROR(_xlfn.XLOOKUP($B298,'Cronog. e Histog.'!$BZ:$BZ,'Cronog. e Histog.'!CX:CX),"")</f>
        <v>0</v>
      </c>
      <c r="AD298" s="144">
        <f>IFERROR(_xlfn.XLOOKUP($B298,'Cronog. e Histog.'!$BZ:$BZ,'Cronog. e Histog.'!CY:CY),"")</f>
        <v>0</v>
      </c>
      <c r="AE298" s="144">
        <f>IFERROR(_xlfn.XLOOKUP($B298,'Cronog. e Histog.'!$BZ:$BZ,'Cronog. e Histog.'!CZ:CZ),"")</f>
        <v>0</v>
      </c>
      <c r="AF298" s="144">
        <f>IFERROR(_xlfn.XLOOKUP($B298,'Cronog. e Histog.'!$BZ:$BZ,'Cronog. e Histog.'!DA:DA),"")</f>
        <v>0</v>
      </c>
      <c r="AG298" s="144">
        <f>IFERROR(_xlfn.XLOOKUP($B298,'Cronog. e Histog.'!$BZ:$BZ,'Cronog. e Histog.'!DB:DB),"")</f>
        <v>0</v>
      </c>
      <c r="AH298" s="144">
        <f>IFERROR(_xlfn.XLOOKUP($B298,'Cronog. e Histog.'!$BZ:$BZ,'Cronog. e Histog.'!DC:DC),"")</f>
        <v>0</v>
      </c>
      <c r="AI298" s="144">
        <f>IFERROR(_xlfn.XLOOKUP($B298,'Cronog. e Histog.'!$BZ:$BZ,'Cronog. e Histog.'!DD:DD),"")</f>
        <v>0</v>
      </c>
      <c r="AJ298" s="144">
        <f>IFERROR(_xlfn.XLOOKUP($B298,'Cronog. e Histog.'!$BZ:$BZ,'Cronog. e Histog.'!DE:DE),"")</f>
        <v>0</v>
      </c>
      <c r="AK298" s="144">
        <f>IFERROR(_xlfn.XLOOKUP($B298,'Cronog. e Histog.'!$BZ:$BZ,'Cronog. e Histog.'!DF:DF),"")</f>
        <v>0</v>
      </c>
      <c r="AL298" s="144">
        <f>IFERROR(_xlfn.XLOOKUP($B298,'Cronog. e Histog.'!$BZ:$BZ,'Cronog. e Histog.'!DG:DG),"")</f>
        <v>0</v>
      </c>
      <c r="AM298" s="144">
        <f>IFERROR(_xlfn.XLOOKUP($B298,'Cronog. e Histog.'!$BZ:$BZ,'Cronog. e Histog.'!DH:DH),"")</f>
        <v>0</v>
      </c>
      <c r="AN298" s="144">
        <f>IFERROR(_xlfn.XLOOKUP($B298,'Cronog. e Histog.'!$BZ:$BZ,'Cronog. e Histog.'!DI:DI),"")</f>
        <v>0</v>
      </c>
      <c r="AO298" s="144">
        <f>IFERROR(_xlfn.XLOOKUP($B298,'Cronog. e Histog.'!$BZ:$BZ,'Cronog. e Histog.'!DJ:DJ),"")</f>
        <v>0</v>
      </c>
      <c r="AP298" s="144">
        <f>IFERROR(_xlfn.XLOOKUP($B298,'Cronog. e Histog.'!$BZ:$BZ,'Cronog. e Histog.'!DK:DK),"")</f>
        <v>0</v>
      </c>
      <c r="AQ298" s="144">
        <f>IFERROR(_xlfn.XLOOKUP($B298,'Cronog. e Histog.'!$BZ:$BZ,'Cronog. e Histog.'!DL:DL),"")</f>
        <v>0</v>
      </c>
      <c r="AR298" s="144">
        <f>IFERROR(_xlfn.XLOOKUP($B298,'Cronog. e Histog.'!$BZ:$BZ,'Cronog. e Histog.'!DM:DM),"")</f>
        <v>0</v>
      </c>
      <c r="AS298" s="144">
        <f>IFERROR(_xlfn.XLOOKUP($B298,'Cronog. e Histog.'!$BZ:$BZ,'Cronog. e Histog.'!DN:DN),"")</f>
        <v>0</v>
      </c>
      <c r="AT298" s="144">
        <f>IFERROR(_xlfn.XLOOKUP($B298,'Cronog. e Histog.'!$BZ:$BZ,'Cronog. e Histog.'!DO:DO),"")</f>
        <v>0</v>
      </c>
      <c r="AU298" s="144">
        <f>IFERROR(_xlfn.XLOOKUP($B298,'Cronog. e Histog.'!$BZ:$BZ,'Cronog. e Histog.'!DP:DP),"")</f>
        <v>0</v>
      </c>
      <c r="AV298" s="144">
        <f>IFERROR(_xlfn.XLOOKUP($B298,'Cronog. e Histog.'!$BZ:$BZ,'Cronog. e Histog.'!DQ:DQ),"")</f>
        <v>0</v>
      </c>
      <c r="AW298" s="144">
        <f>IFERROR(_xlfn.XLOOKUP($B298,'Cronog. e Histog.'!$BZ:$BZ,'Cronog. e Histog.'!DR:DR),"")</f>
        <v>0</v>
      </c>
      <c r="AX298" s="144">
        <f>IFERROR(_xlfn.XLOOKUP($B298,'Cronog. e Histog.'!$BZ:$BZ,'Cronog. e Histog.'!DS:DS),"")</f>
        <v>0</v>
      </c>
      <c r="AY298" s="144">
        <f>IFERROR(_xlfn.XLOOKUP($B298,'Cronog. e Histog.'!$BZ:$BZ,'Cronog. e Histog.'!DT:DT),"")</f>
        <v>0</v>
      </c>
      <c r="AZ298" s="144">
        <f>IFERROR(_xlfn.XLOOKUP($B298,'Cronog. e Histog.'!$BZ:$BZ,'Cronog. e Histog.'!DU:DU),"")</f>
        <v>0</v>
      </c>
      <c r="BA298" s="144">
        <f>IFERROR(_xlfn.XLOOKUP($B298,'Cronog. e Histog.'!$BZ:$BZ,'Cronog. e Histog.'!DV:DV),"")</f>
        <v>0</v>
      </c>
      <c r="BB298" s="144">
        <f>IFERROR(_xlfn.XLOOKUP($B298,'Cronog. e Histog.'!$BZ:$BZ,'Cronog. e Histog.'!DW:DW),"")</f>
        <v>0</v>
      </c>
      <c r="BC298" s="144">
        <f>IFERROR(_xlfn.XLOOKUP($B298,'Cronog. e Histog.'!$BZ:$BZ,'Cronog. e Histog.'!DX:DX),"")</f>
        <v>0</v>
      </c>
      <c r="BD298" s="144">
        <f>IFERROR(_xlfn.XLOOKUP($B298,'Cronog. e Histog.'!$BZ:$BZ,'Cronog. e Histog.'!DY:DY),"")</f>
        <v>0</v>
      </c>
      <c r="BE298" s="144">
        <f>IFERROR(_xlfn.XLOOKUP($B298,'Cronog. e Histog.'!$BZ:$BZ,'Cronog. e Histog.'!DZ:DZ),"")</f>
        <v>0</v>
      </c>
      <c r="BF298" s="144">
        <f>IFERROR(_xlfn.XLOOKUP($B298,'Cronog. e Histog.'!$BZ:$BZ,'Cronog. e Histog.'!EA:EA),"")</f>
        <v>0</v>
      </c>
      <c r="BG298" s="144">
        <f>IFERROR(_xlfn.XLOOKUP($B298,'Cronog. e Histog.'!$BZ:$BZ,'Cronog. e Histog.'!EB:EB),"")</f>
        <v>0</v>
      </c>
      <c r="BH298" s="144">
        <f>IFERROR(_xlfn.XLOOKUP($B298,'Cronog. e Histog.'!$BZ:$BZ,'Cronog. e Histog.'!EC:EC),"")</f>
        <v>0</v>
      </c>
      <c r="BI298" s="144">
        <f>IFERROR(_xlfn.XLOOKUP($B298,'Cronog. e Histog.'!$BZ:$BZ,'Cronog. e Histog.'!ED:ED),"")</f>
        <v>0</v>
      </c>
      <c r="BJ298" s="144">
        <f>IFERROR(_xlfn.XLOOKUP($B298,'Cronog. e Histog.'!$BZ:$BZ,'Cronog. e Histog.'!EE:EE),"")</f>
        <v>0</v>
      </c>
      <c r="BK298" s="144">
        <f>IFERROR(_xlfn.XLOOKUP($B298,'Cronog. e Histog.'!$BZ:$BZ,'Cronog. e Histog.'!EF:EF),"")</f>
        <v>0</v>
      </c>
      <c r="BL298" s="144">
        <f>IFERROR(_xlfn.XLOOKUP($B298,'Cronog. e Histog.'!$BZ:$BZ,'Cronog. e Histog.'!EG:EG),"")</f>
        <v>0</v>
      </c>
      <c r="BM298" s="144">
        <f>IFERROR(_xlfn.XLOOKUP($B298,'Cronog. e Histog.'!$BZ:$BZ,'Cronog. e Histog.'!EH:EH),"")</f>
        <v>0</v>
      </c>
      <c r="BN298" s="144">
        <f>IFERROR(_xlfn.XLOOKUP($B298,'Cronog. e Histog.'!$BZ:$BZ,'Cronog. e Histog.'!EI:EI),"")</f>
        <v>0</v>
      </c>
    </row>
    <row r="299" spans="2:66" ht="12" hidden="1" customHeight="1" outlineLevel="1">
      <c r="B299" s="76">
        <v>293</v>
      </c>
      <c r="C299" s="143" t="str">
        <f>IFERROR(VLOOKUP(B299,'Cronog. e Histog.'!$BZ$213:$CA$747,2,0),"")</f>
        <v>TEC III</v>
      </c>
      <c r="D299" s="144">
        <f t="shared" si="6"/>
        <v>0</v>
      </c>
      <c r="E299" s="144">
        <f t="shared" si="7"/>
        <v>0</v>
      </c>
      <c r="F299" s="65"/>
      <c r="G299" s="144">
        <f>IFERROR(_xlfn.XLOOKUP($B299,'Cronog. e Histog.'!$BZ:$BZ,'Cronog. e Histog.'!CB:CB),"")</f>
        <v>0</v>
      </c>
      <c r="H299" s="144">
        <f>IFERROR(_xlfn.XLOOKUP($B299,'Cronog. e Histog.'!$BZ:$BZ,'Cronog. e Histog.'!CC:CC),"")</f>
        <v>0</v>
      </c>
      <c r="I299" s="144">
        <f>IFERROR(_xlfn.XLOOKUP($B299,'Cronog. e Histog.'!$BZ:$BZ,'Cronog. e Histog.'!CD:CD),"")</f>
        <v>0</v>
      </c>
      <c r="J299" s="144">
        <f>IFERROR(_xlfn.XLOOKUP($B299,'Cronog. e Histog.'!$BZ:$BZ,'Cronog. e Histog.'!CE:CE),"")</f>
        <v>0</v>
      </c>
      <c r="K299" s="144">
        <f>IFERROR(_xlfn.XLOOKUP($B299,'Cronog. e Histog.'!$BZ:$BZ,'Cronog. e Histog.'!CF:CF),"")</f>
        <v>0</v>
      </c>
      <c r="L299" s="144">
        <f>IFERROR(_xlfn.XLOOKUP($B299,'Cronog. e Histog.'!$BZ:$BZ,'Cronog. e Histog.'!CG:CG),"")</f>
        <v>0</v>
      </c>
      <c r="M299" s="144">
        <f>IFERROR(_xlfn.XLOOKUP($B299,'Cronog. e Histog.'!$BZ:$BZ,'Cronog. e Histog.'!CH:CH),"")</f>
        <v>0</v>
      </c>
      <c r="N299" s="144">
        <f>IFERROR(_xlfn.XLOOKUP($B299,'Cronog. e Histog.'!$BZ:$BZ,'Cronog. e Histog.'!CI:CI),"")</f>
        <v>0</v>
      </c>
      <c r="O299" s="144">
        <f>IFERROR(_xlfn.XLOOKUP($B299,'Cronog. e Histog.'!$BZ:$BZ,'Cronog. e Histog.'!CJ:CJ),"")</f>
        <v>0</v>
      </c>
      <c r="P299" s="144">
        <f>IFERROR(_xlfn.XLOOKUP($B299,'Cronog. e Histog.'!$BZ:$BZ,'Cronog. e Histog.'!CK:CK),"")</f>
        <v>0</v>
      </c>
      <c r="Q299" s="144">
        <f>IFERROR(_xlfn.XLOOKUP($B299,'Cronog. e Histog.'!$BZ:$BZ,'Cronog. e Histog.'!CL:CL),"")</f>
        <v>0</v>
      </c>
      <c r="R299" s="144">
        <f>IFERROR(_xlfn.XLOOKUP($B299,'Cronog. e Histog.'!$BZ:$BZ,'Cronog. e Histog.'!CM:CM),"")</f>
        <v>0</v>
      </c>
      <c r="S299" s="144">
        <f>IFERROR(_xlfn.XLOOKUP($B299,'Cronog. e Histog.'!$BZ:$BZ,'Cronog. e Histog.'!CN:CN),"")</f>
        <v>0</v>
      </c>
      <c r="T299" s="144">
        <f>IFERROR(_xlfn.XLOOKUP($B299,'Cronog. e Histog.'!$BZ:$BZ,'Cronog. e Histog.'!CO:CO),"")</f>
        <v>0</v>
      </c>
      <c r="U299" s="144">
        <f>IFERROR(_xlfn.XLOOKUP($B299,'Cronog. e Histog.'!$BZ:$BZ,'Cronog. e Histog.'!CP:CP),"")</f>
        <v>0</v>
      </c>
      <c r="V299" s="144">
        <f>IFERROR(_xlfn.XLOOKUP($B299,'Cronog. e Histog.'!$BZ:$BZ,'Cronog. e Histog.'!CQ:CQ),"")</f>
        <v>0</v>
      </c>
      <c r="W299" s="144">
        <f>IFERROR(_xlfn.XLOOKUP($B299,'Cronog. e Histog.'!$BZ:$BZ,'Cronog. e Histog.'!CR:CR),"")</f>
        <v>0</v>
      </c>
      <c r="X299" s="144">
        <f>IFERROR(_xlfn.XLOOKUP($B299,'Cronog. e Histog.'!$BZ:$BZ,'Cronog. e Histog.'!CS:CS),"")</f>
        <v>0</v>
      </c>
      <c r="Y299" s="144">
        <f>IFERROR(_xlfn.XLOOKUP($B299,'Cronog. e Histog.'!$BZ:$BZ,'Cronog. e Histog.'!CT:CT),"")</f>
        <v>0</v>
      </c>
      <c r="Z299" s="144">
        <f>IFERROR(_xlfn.XLOOKUP($B299,'Cronog. e Histog.'!$BZ:$BZ,'Cronog. e Histog.'!CU:CU),"")</f>
        <v>0</v>
      </c>
      <c r="AA299" s="144">
        <f>IFERROR(_xlfn.XLOOKUP($B299,'Cronog. e Histog.'!$BZ:$BZ,'Cronog. e Histog.'!CV:CV),"")</f>
        <v>0</v>
      </c>
      <c r="AB299" s="144">
        <f>IFERROR(_xlfn.XLOOKUP($B299,'Cronog. e Histog.'!$BZ:$BZ,'Cronog. e Histog.'!CW:CW),"")</f>
        <v>0</v>
      </c>
      <c r="AC299" s="144">
        <f>IFERROR(_xlfn.XLOOKUP($B299,'Cronog. e Histog.'!$BZ:$BZ,'Cronog. e Histog.'!CX:CX),"")</f>
        <v>0</v>
      </c>
      <c r="AD299" s="144">
        <f>IFERROR(_xlfn.XLOOKUP($B299,'Cronog. e Histog.'!$BZ:$BZ,'Cronog. e Histog.'!CY:CY),"")</f>
        <v>0</v>
      </c>
      <c r="AE299" s="144">
        <f>IFERROR(_xlfn.XLOOKUP($B299,'Cronog. e Histog.'!$BZ:$BZ,'Cronog. e Histog.'!CZ:CZ),"")</f>
        <v>0</v>
      </c>
      <c r="AF299" s="144">
        <f>IFERROR(_xlfn.XLOOKUP($B299,'Cronog. e Histog.'!$BZ:$BZ,'Cronog. e Histog.'!DA:DA),"")</f>
        <v>0</v>
      </c>
      <c r="AG299" s="144">
        <f>IFERROR(_xlfn.XLOOKUP($B299,'Cronog. e Histog.'!$BZ:$BZ,'Cronog. e Histog.'!DB:DB),"")</f>
        <v>0</v>
      </c>
      <c r="AH299" s="144">
        <f>IFERROR(_xlfn.XLOOKUP($B299,'Cronog. e Histog.'!$BZ:$BZ,'Cronog. e Histog.'!DC:DC),"")</f>
        <v>0</v>
      </c>
      <c r="AI299" s="144">
        <f>IFERROR(_xlfn.XLOOKUP($B299,'Cronog. e Histog.'!$BZ:$BZ,'Cronog. e Histog.'!DD:DD),"")</f>
        <v>0</v>
      </c>
      <c r="AJ299" s="144">
        <f>IFERROR(_xlfn.XLOOKUP($B299,'Cronog. e Histog.'!$BZ:$BZ,'Cronog. e Histog.'!DE:DE),"")</f>
        <v>0</v>
      </c>
      <c r="AK299" s="144">
        <f>IFERROR(_xlfn.XLOOKUP($B299,'Cronog. e Histog.'!$BZ:$BZ,'Cronog. e Histog.'!DF:DF),"")</f>
        <v>0</v>
      </c>
      <c r="AL299" s="144">
        <f>IFERROR(_xlfn.XLOOKUP($B299,'Cronog. e Histog.'!$BZ:$BZ,'Cronog. e Histog.'!DG:DG),"")</f>
        <v>0</v>
      </c>
      <c r="AM299" s="144">
        <f>IFERROR(_xlfn.XLOOKUP($B299,'Cronog. e Histog.'!$BZ:$BZ,'Cronog. e Histog.'!DH:DH),"")</f>
        <v>0</v>
      </c>
      <c r="AN299" s="144">
        <f>IFERROR(_xlfn.XLOOKUP($B299,'Cronog. e Histog.'!$BZ:$BZ,'Cronog. e Histog.'!DI:DI),"")</f>
        <v>0</v>
      </c>
      <c r="AO299" s="144">
        <f>IFERROR(_xlfn.XLOOKUP($B299,'Cronog. e Histog.'!$BZ:$BZ,'Cronog. e Histog.'!DJ:DJ),"")</f>
        <v>0</v>
      </c>
      <c r="AP299" s="144">
        <f>IFERROR(_xlfn.XLOOKUP($B299,'Cronog. e Histog.'!$BZ:$BZ,'Cronog. e Histog.'!DK:DK),"")</f>
        <v>0</v>
      </c>
      <c r="AQ299" s="144">
        <f>IFERROR(_xlfn.XLOOKUP($B299,'Cronog. e Histog.'!$BZ:$BZ,'Cronog. e Histog.'!DL:DL),"")</f>
        <v>0</v>
      </c>
      <c r="AR299" s="144">
        <f>IFERROR(_xlfn.XLOOKUP($B299,'Cronog. e Histog.'!$BZ:$BZ,'Cronog. e Histog.'!DM:DM),"")</f>
        <v>0</v>
      </c>
      <c r="AS299" s="144">
        <f>IFERROR(_xlfn.XLOOKUP($B299,'Cronog. e Histog.'!$BZ:$BZ,'Cronog. e Histog.'!DN:DN),"")</f>
        <v>0</v>
      </c>
      <c r="AT299" s="144">
        <f>IFERROR(_xlfn.XLOOKUP($B299,'Cronog. e Histog.'!$BZ:$BZ,'Cronog. e Histog.'!DO:DO),"")</f>
        <v>0</v>
      </c>
      <c r="AU299" s="144">
        <f>IFERROR(_xlfn.XLOOKUP($B299,'Cronog. e Histog.'!$BZ:$BZ,'Cronog. e Histog.'!DP:DP),"")</f>
        <v>0</v>
      </c>
      <c r="AV299" s="144">
        <f>IFERROR(_xlfn.XLOOKUP($B299,'Cronog. e Histog.'!$BZ:$BZ,'Cronog. e Histog.'!DQ:DQ),"")</f>
        <v>0</v>
      </c>
      <c r="AW299" s="144">
        <f>IFERROR(_xlfn.XLOOKUP($B299,'Cronog. e Histog.'!$BZ:$BZ,'Cronog. e Histog.'!DR:DR),"")</f>
        <v>0</v>
      </c>
      <c r="AX299" s="144">
        <f>IFERROR(_xlfn.XLOOKUP($B299,'Cronog. e Histog.'!$BZ:$BZ,'Cronog. e Histog.'!DS:DS),"")</f>
        <v>0</v>
      </c>
      <c r="AY299" s="144">
        <f>IFERROR(_xlfn.XLOOKUP($B299,'Cronog. e Histog.'!$BZ:$BZ,'Cronog. e Histog.'!DT:DT),"")</f>
        <v>0</v>
      </c>
      <c r="AZ299" s="144">
        <f>IFERROR(_xlfn.XLOOKUP($B299,'Cronog. e Histog.'!$BZ:$BZ,'Cronog. e Histog.'!DU:DU),"")</f>
        <v>0</v>
      </c>
      <c r="BA299" s="144">
        <f>IFERROR(_xlfn.XLOOKUP($B299,'Cronog. e Histog.'!$BZ:$BZ,'Cronog. e Histog.'!DV:DV),"")</f>
        <v>0</v>
      </c>
      <c r="BB299" s="144">
        <f>IFERROR(_xlfn.XLOOKUP($B299,'Cronog. e Histog.'!$BZ:$BZ,'Cronog. e Histog.'!DW:DW),"")</f>
        <v>0</v>
      </c>
      <c r="BC299" s="144">
        <f>IFERROR(_xlfn.XLOOKUP($B299,'Cronog. e Histog.'!$BZ:$BZ,'Cronog. e Histog.'!DX:DX),"")</f>
        <v>0</v>
      </c>
      <c r="BD299" s="144">
        <f>IFERROR(_xlfn.XLOOKUP($B299,'Cronog. e Histog.'!$BZ:$BZ,'Cronog. e Histog.'!DY:DY),"")</f>
        <v>0</v>
      </c>
      <c r="BE299" s="144">
        <f>IFERROR(_xlfn.XLOOKUP($B299,'Cronog. e Histog.'!$BZ:$BZ,'Cronog. e Histog.'!DZ:DZ),"")</f>
        <v>0</v>
      </c>
      <c r="BF299" s="144">
        <f>IFERROR(_xlfn.XLOOKUP($B299,'Cronog. e Histog.'!$BZ:$BZ,'Cronog. e Histog.'!EA:EA),"")</f>
        <v>0</v>
      </c>
      <c r="BG299" s="144">
        <f>IFERROR(_xlfn.XLOOKUP($B299,'Cronog. e Histog.'!$BZ:$BZ,'Cronog. e Histog.'!EB:EB),"")</f>
        <v>0</v>
      </c>
      <c r="BH299" s="144">
        <f>IFERROR(_xlfn.XLOOKUP($B299,'Cronog. e Histog.'!$BZ:$BZ,'Cronog. e Histog.'!EC:EC),"")</f>
        <v>0</v>
      </c>
      <c r="BI299" s="144">
        <f>IFERROR(_xlfn.XLOOKUP($B299,'Cronog. e Histog.'!$BZ:$BZ,'Cronog. e Histog.'!ED:ED),"")</f>
        <v>0</v>
      </c>
      <c r="BJ299" s="144">
        <f>IFERROR(_xlfn.XLOOKUP($B299,'Cronog. e Histog.'!$BZ:$BZ,'Cronog. e Histog.'!EE:EE),"")</f>
        <v>0</v>
      </c>
      <c r="BK299" s="144">
        <f>IFERROR(_xlfn.XLOOKUP($B299,'Cronog. e Histog.'!$BZ:$BZ,'Cronog. e Histog.'!EF:EF),"")</f>
        <v>0</v>
      </c>
      <c r="BL299" s="144">
        <f>IFERROR(_xlfn.XLOOKUP($B299,'Cronog. e Histog.'!$BZ:$BZ,'Cronog. e Histog.'!EG:EG),"")</f>
        <v>0</v>
      </c>
      <c r="BM299" s="144">
        <f>IFERROR(_xlfn.XLOOKUP($B299,'Cronog. e Histog.'!$BZ:$BZ,'Cronog. e Histog.'!EH:EH),"")</f>
        <v>0</v>
      </c>
      <c r="BN299" s="144">
        <f>IFERROR(_xlfn.XLOOKUP($B299,'Cronog. e Histog.'!$BZ:$BZ,'Cronog. e Histog.'!EI:EI),"")</f>
        <v>0</v>
      </c>
    </row>
    <row r="300" spans="2:66" ht="12" hidden="1" customHeight="1" outlineLevel="1">
      <c r="B300" s="76">
        <v>294</v>
      </c>
      <c r="C300" s="143" t="str">
        <f>IFERROR(VLOOKUP(B300,'Cronog. e Histog.'!$BZ$213:$CA$747,2,0),"")</f>
        <v>TEC II</v>
      </c>
      <c r="D300" s="144">
        <f t="shared" si="6"/>
        <v>0</v>
      </c>
      <c r="E300" s="144">
        <f t="shared" si="7"/>
        <v>0</v>
      </c>
      <c r="F300" s="65"/>
      <c r="G300" s="144">
        <f>IFERROR(_xlfn.XLOOKUP($B300,'Cronog. e Histog.'!$BZ:$BZ,'Cronog. e Histog.'!CB:CB),"")</f>
        <v>0</v>
      </c>
      <c r="H300" s="144">
        <f>IFERROR(_xlfn.XLOOKUP($B300,'Cronog. e Histog.'!$BZ:$BZ,'Cronog. e Histog.'!CC:CC),"")</f>
        <v>0</v>
      </c>
      <c r="I300" s="144">
        <f>IFERROR(_xlfn.XLOOKUP($B300,'Cronog. e Histog.'!$BZ:$BZ,'Cronog. e Histog.'!CD:CD),"")</f>
        <v>0</v>
      </c>
      <c r="J300" s="144">
        <f>IFERROR(_xlfn.XLOOKUP($B300,'Cronog. e Histog.'!$BZ:$BZ,'Cronog. e Histog.'!CE:CE),"")</f>
        <v>0</v>
      </c>
      <c r="K300" s="144">
        <f>IFERROR(_xlfn.XLOOKUP($B300,'Cronog. e Histog.'!$BZ:$BZ,'Cronog. e Histog.'!CF:CF),"")</f>
        <v>0</v>
      </c>
      <c r="L300" s="144">
        <f>IFERROR(_xlfn.XLOOKUP($B300,'Cronog. e Histog.'!$BZ:$BZ,'Cronog. e Histog.'!CG:CG),"")</f>
        <v>0</v>
      </c>
      <c r="M300" s="144">
        <f>IFERROR(_xlfn.XLOOKUP($B300,'Cronog. e Histog.'!$BZ:$BZ,'Cronog. e Histog.'!CH:CH),"")</f>
        <v>0</v>
      </c>
      <c r="N300" s="144">
        <f>IFERROR(_xlfn.XLOOKUP($B300,'Cronog. e Histog.'!$BZ:$BZ,'Cronog. e Histog.'!CI:CI),"")</f>
        <v>0</v>
      </c>
      <c r="O300" s="144">
        <f>IFERROR(_xlfn.XLOOKUP($B300,'Cronog. e Histog.'!$BZ:$BZ,'Cronog. e Histog.'!CJ:CJ),"")</f>
        <v>0</v>
      </c>
      <c r="P300" s="144">
        <f>IFERROR(_xlfn.XLOOKUP($B300,'Cronog. e Histog.'!$BZ:$BZ,'Cronog. e Histog.'!CK:CK),"")</f>
        <v>0</v>
      </c>
      <c r="Q300" s="144">
        <f>IFERROR(_xlfn.XLOOKUP($B300,'Cronog. e Histog.'!$BZ:$BZ,'Cronog. e Histog.'!CL:CL),"")</f>
        <v>0</v>
      </c>
      <c r="R300" s="144">
        <f>IFERROR(_xlfn.XLOOKUP($B300,'Cronog. e Histog.'!$BZ:$BZ,'Cronog. e Histog.'!CM:CM),"")</f>
        <v>0</v>
      </c>
      <c r="S300" s="144">
        <f>IFERROR(_xlfn.XLOOKUP($B300,'Cronog. e Histog.'!$BZ:$BZ,'Cronog. e Histog.'!CN:CN),"")</f>
        <v>0</v>
      </c>
      <c r="T300" s="144">
        <f>IFERROR(_xlfn.XLOOKUP($B300,'Cronog. e Histog.'!$BZ:$BZ,'Cronog. e Histog.'!CO:CO),"")</f>
        <v>0</v>
      </c>
      <c r="U300" s="144">
        <f>IFERROR(_xlfn.XLOOKUP($B300,'Cronog. e Histog.'!$BZ:$BZ,'Cronog. e Histog.'!CP:CP),"")</f>
        <v>0</v>
      </c>
      <c r="V300" s="144">
        <f>IFERROR(_xlfn.XLOOKUP($B300,'Cronog. e Histog.'!$BZ:$BZ,'Cronog. e Histog.'!CQ:CQ),"")</f>
        <v>0</v>
      </c>
      <c r="W300" s="144">
        <f>IFERROR(_xlfn.XLOOKUP($B300,'Cronog. e Histog.'!$BZ:$BZ,'Cronog. e Histog.'!CR:CR),"")</f>
        <v>0</v>
      </c>
      <c r="X300" s="144">
        <f>IFERROR(_xlfn.XLOOKUP($B300,'Cronog. e Histog.'!$BZ:$BZ,'Cronog. e Histog.'!CS:CS),"")</f>
        <v>0</v>
      </c>
      <c r="Y300" s="144">
        <f>IFERROR(_xlfn.XLOOKUP($B300,'Cronog. e Histog.'!$BZ:$BZ,'Cronog. e Histog.'!CT:CT),"")</f>
        <v>0</v>
      </c>
      <c r="Z300" s="144">
        <f>IFERROR(_xlfn.XLOOKUP($B300,'Cronog. e Histog.'!$BZ:$BZ,'Cronog. e Histog.'!CU:CU),"")</f>
        <v>0</v>
      </c>
      <c r="AA300" s="144">
        <f>IFERROR(_xlfn.XLOOKUP($B300,'Cronog. e Histog.'!$BZ:$BZ,'Cronog. e Histog.'!CV:CV),"")</f>
        <v>0</v>
      </c>
      <c r="AB300" s="144">
        <f>IFERROR(_xlfn.XLOOKUP($B300,'Cronog. e Histog.'!$BZ:$BZ,'Cronog. e Histog.'!CW:CW),"")</f>
        <v>0</v>
      </c>
      <c r="AC300" s="144">
        <f>IFERROR(_xlfn.XLOOKUP($B300,'Cronog. e Histog.'!$BZ:$BZ,'Cronog. e Histog.'!CX:CX),"")</f>
        <v>0</v>
      </c>
      <c r="AD300" s="144">
        <f>IFERROR(_xlfn.XLOOKUP($B300,'Cronog. e Histog.'!$BZ:$BZ,'Cronog. e Histog.'!CY:CY),"")</f>
        <v>0</v>
      </c>
      <c r="AE300" s="144">
        <f>IFERROR(_xlfn.XLOOKUP($B300,'Cronog. e Histog.'!$BZ:$BZ,'Cronog. e Histog.'!CZ:CZ),"")</f>
        <v>0</v>
      </c>
      <c r="AF300" s="144">
        <f>IFERROR(_xlfn.XLOOKUP($B300,'Cronog. e Histog.'!$BZ:$BZ,'Cronog. e Histog.'!DA:DA),"")</f>
        <v>0</v>
      </c>
      <c r="AG300" s="144">
        <f>IFERROR(_xlfn.XLOOKUP($B300,'Cronog. e Histog.'!$BZ:$BZ,'Cronog. e Histog.'!DB:DB),"")</f>
        <v>0</v>
      </c>
      <c r="AH300" s="144">
        <f>IFERROR(_xlfn.XLOOKUP($B300,'Cronog. e Histog.'!$BZ:$BZ,'Cronog. e Histog.'!DC:DC),"")</f>
        <v>0</v>
      </c>
      <c r="AI300" s="144">
        <f>IFERROR(_xlfn.XLOOKUP($B300,'Cronog. e Histog.'!$BZ:$BZ,'Cronog. e Histog.'!DD:DD),"")</f>
        <v>0</v>
      </c>
      <c r="AJ300" s="144">
        <f>IFERROR(_xlfn.XLOOKUP($B300,'Cronog. e Histog.'!$BZ:$BZ,'Cronog. e Histog.'!DE:DE),"")</f>
        <v>0</v>
      </c>
      <c r="AK300" s="144">
        <f>IFERROR(_xlfn.XLOOKUP($B300,'Cronog. e Histog.'!$BZ:$BZ,'Cronog. e Histog.'!DF:DF),"")</f>
        <v>0</v>
      </c>
      <c r="AL300" s="144">
        <f>IFERROR(_xlfn.XLOOKUP($B300,'Cronog. e Histog.'!$BZ:$BZ,'Cronog. e Histog.'!DG:DG),"")</f>
        <v>0</v>
      </c>
      <c r="AM300" s="144">
        <f>IFERROR(_xlfn.XLOOKUP($B300,'Cronog. e Histog.'!$BZ:$BZ,'Cronog. e Histog.'!DH:DH),"")</f>
        <v>0</v>
      </c>
      <c r="AN300" s="144">
        <f>IFERROR(_xlfn.XLOOKUP($B300,'Cronog. e Histog.'!$BZ:$BZ,'Cronog. e Histog.'!DI:DI),"")</f>
        <v>0</v>
      </c>
      <c r="AO300" s="144">
        <f>IFERROR(_xlfn.XLOOKUP($B300,'Cronog. e Histog.'!$BZ:$BZ,'Cronog. e Histog.'!DJ:DJ),"")</f>
        <v>0</v>
      </c>
      <c r="AP300" s="144">
        <f>IFERROR(_xlfn.XLOOKUP($B300,'Cronog. e Histog.'!$BZ:$BZ,'Cronog. e Histog.'!DK:DK),"")</f>
        <v>0</v>
      </c>
      <c r="AQ300" s="144">
        <f>IFERROR(_xlfn.XLOOKUP($B300,'Cronog. e Histog.'!$BZ:$BZ,'Cronog. e Histog.'!DL:DL),"")</f>
        <v>0</v>
      </c>
      <c r="AR300" s="144">
        <f>IFERROR(_xlfn.XLOOKUP($B300,'Cronog. e Histog.'!$BZ:$BZ,'Cronog. e Histog.'!DM:DM),"")</f>
        <v>0</v>
      </c>
      <c r="AS300" s="144">
        <f>IFERROR(_xlfn.XLOOKUP($B300,'Cronog. e Histog.'!$BZ:$BZ,'Cronog. e Histog.'!DN:DN),"")</f>
        <v>0</v>
      </c>
      <c r="AT300" s="144">
        <f>IFERROR(_xlfn.XLOOKUP($B300,'Cronog. e Histog.'!$BZ:$BZ,'Cronog. e Histog.'!DO:DO),"")</f>
        <v>0</v>
      </c>
      <c r="AU300" s="144">
        <f>IFERROR(_xlfn.XLOOKUP($B300,'Cronog. e Histog.'!$BZ:$BZ,'Cronog. e Histog.'!DP:DP),"")</f>
        <v>0</v>
      </c>
      <c r="AV300" s="144">
        <f>IFERROR(_xlfn.XLOOKUP($B300,'Cronog. e Histog.'!$BZ:$BZ,'Cronog. e Histog.'!DQ:DQ),"")</f>
        <v>0</v>
      </c>
      <c r="AW300" s="144">
        <f>IFERROR(_xlfn.XLOOKUP($B300,'Cronog. e Histog.'!$BZ:$BZ,'Cronog. e Histog.'!DR:DR),"")</f>
        <v>0</v>
      </c>
      <c r="AX300" s="144">
        <f>IFERROR(_xlfn.XLOOKUP($B300,'Cronog. e Histog.'!$BZ:$BZ,'Cronog. e Histog.'!DS:DS),"")</f>
        <v>0</v>
      </c>
      <c r="AY300" s="144">
        <f>IFERROR(_xlfn.XLOOKUP($B300,'Cronog. e Histog.'!$BZ:$BZ,'Cronog. e Histog.'!DT:DT),"")</f>
        <v>0</v>
      </c>
      <c r="AZ300" s="144">
        <f>IFERROR(_xlfn.XLOOKUP($B300,'Cronog. e Histog.'!$BZ:$BZ,'Cronog. e Histog.'!DU:DU),"")</f>
        <v>0</v>
      </c>
      <c r="BA300" s="144">
        <f>IFERROR(_xlfn.XLOOKUP($B300,'Cronog. e Histog.'!$BZ:$BZ,'Cronog. e Histog.'!DV:DV),"")</f>
        <v>0</v>
      </c>
      <c r="BB300" s="144">
        <f>IFERROR(_xlfn.XLOOKUP($B300,'Cronog. e Histog.'!$BZ:$BZ,'Cronog. e Histog.'!DW:DW),"")</f>
        <v>0</v>
      </c>
      <c r="BC300" s="144">
        <f>IFERROR(_xlfn.XLOOKUP($B300,'Cronog. e Histog.'!$BZ:$BZ,'Cronog. e Histog.'!DX:DX),"")</f>
        <v>0</v>
      </c>
      <c r="BD300" s="144">
        <f>IFERROR(_xlfn.XLOOKUP($B300,'Cronog. e Histog.'!$BZ:$BZ,'Cronog. e Histog.'!DY:DY),"")</f>
        <v>0</v>
      </c>
      <c r="BE300" s="144">
        <f>IFERROR(_xlfn.XLOOKUP($B300,'Cronog. e Histog.'!$BZ:$BZ,'Cronog. e Histog.'!DZ:DZ),"")</f>
        <v>0</v>
      </c>
      <c r="BF300" s="144">
        <f>IFERROR(_xlfn.XLOOKUP($B300,'Cronog. e Histog.'!$BZ:$BZ,'Cronog. e Histog.'!EA:EA),"")</f>
        <v>0</v>
      </c>
      <c r="BG300" s="144">
        <f>IFERROR(_xlfn.XLOOKUP($B300,'Cronog. e Histog.'!$BZ:$BZ,'Cronog. e Histog.'!EB:EB),"")</f>
        <v>0</v>
      </c>
      <c r="BH300" s="144">
        <f>IFERROR(_xlfn.XLOOKUP($B300,'Cronog. e Histog.'!$BZ:$BZ,'Cronog. e Histog.'!EC:EC),"")</f>
        <v>0</v>
      </c>
      <c r="BI300" s="144">
        <f>IFERROR(_xlfn.XLOOKUP($B300,'Cronog. e Histog.'!$BZ:$BZ,'Cronog. e Histog.'!ED:ED),"")</f>
        <v>0</v>
      </c>
      <c r="BJ300" s="144">
        <f>IFERROR(_xlfn.XLOOKUP($B300,'Cronog. e Histog.'!$BZ:$BZ,'Cronog. e Histog.'!EE:EE),"")</f>
        <v>0</v>
      </c>
      <c r="BK300" s="144">
        <f>IFERROR(_xlfn.XLOOKUP($B300,'Cronog. e Histog.'!$BZ:$BZ,'Cronog. e Histog.'!EF:EF),"")</f>
        <v>0</v>
      </c>
      <c r="BL300" s="144">
        <f>IFERROR(_xlfn.XLOOKUP($B300,'Cronog. e Histog.'!$BZ:$BZ,'Cronog. e Histog.'!EG:EG),"")</f>
        <v>0</v>
      </c>
      <c r="BM300" s="144">
        <f>IFERROR(_xlfn.XLOOKUP($B300,'Cronog. e Histog.'!$BZ:$BZ,'Cronog. e Histog.'!EH:EH),"")</f>
        <v>0</v>
      </c>
      <c r="BN300" s="144">
        <f>IFERROR(_xlfn.XLOOKUP($B300,'Cronog. e Histog.'!$BZ:$BZ,'Cronog. e Histog.'!EI:EI),"")</f>
        <v>0</v>
      </c>
    </row>
    <row r="301" spans="2:66" ht="12" hidden="1" customHeight="1" outlineLevel="1">
      <c r="B301" s="76">
        <v>295</v>
      </c>
      <c r="C301" s="143" t="str">
        <f>IFERROR(VLOOKUP(B301,'Cronog. e Histog.'!$BZ$213:$CA$747,2,0),"")</f>
        <v>TEC I</v>
      </c>
      <c r="D301" s="144">
        <f t="shared" si="6"/>
        <v>0</v>
      </c>
      <c r="E301" s="144">
        <f t="shared" si="7"/>
        <v>0</v>
      </c>
      <c r="F301" s="65"/>
      <c r="G301" s="144">
        <f>IFERROR(_xlfn.XLOOKUP($B301,'Cronog. e Histog.'!$BZ:$BZ,'Cronog. e Histog.'!CB:CB),"")</f>
        <v>0</v>
      </c>
      <c r="H301" s="144">
        <f>IFERROR(_xlfn.XLOOKUP($B301,'Cronog. e Histog.'!$BZ:$BZ,'Cronog. e Histog.'!CC:CC),"")</f>
        <v>0</v>
      </c>
      <c r="I301" s="144">
        <f>IFERROR(_xlfn.XLOOKUP($B301,'Cronog. e Histog.'!$BZ:$BZ,'Cronog. e Histog.'!CD:CD),"")</f>
        <v>0</v>
      </c>
      <c r="J301" s="144">
        <f>IFERROR(_xlfn.XLOOKUP($B301,'Cronog. e Histog.'!$BZ:$BZ,'Cronog. e Histog.'!CE:CE),"")</f>
        <v>0</v>
      </c>
      <c r="K301" s="144">
        <f>IFERROR(_xlfn.XLOOKUP($B301,'Cronog. e Histog.'!$BZ:$BZ,'Cronog. e Histog.'!CF:CF),"")</f>
        <v>0</v>
      </c>
      <c r="L301" s="144">
        <f>IFERROR(_xlfn.XLOOKUP($B301,'Cronog. e Histog.'!$BZ:$BZ,'Cronog. e Histog.'!CG:CG),"")</f>
        <v>0</v>
      </c>
      <c r="M301" s="144">
        <f>IFERROR(_xlfn.XLOOKUP($B301,'Cronog. e Histog.'!$BZ:$BZ,'Cronog. e Histog.'!CH:CH),"")</f>
        <v>0</v>
      </c>
      <c r="N301" s="144">
        <f>IFERROR(_xlfn.XLOOKUP($B301,'Cronog. e Histog.'!$BZ:$BZ,'Cronog. e Histog.'!CI:CI),"")</f>
        <v>0</v>
      </c>
      <c r="O301" s="144">
        <f>IFERROR(_xlfn.XLOOKUP($B301,'Cronog. e Histog.'!$BZ:$BZ,'Cronog. e Histog.'!CJ:CJ),"")</f>
        <v>0</v>
      </c>
      <c r="P301" s="144">
        <f>IFERROR(_xlfn.XLOOKUP($B301,'Cronog. e Histog.'!$BZ:$BZ,'Cronog. e Histog.'!CK:CK),"")</f>
        <v>0</v>
      </c>
      <c r="Q301" s="144">
        <f>IFERROR(_xlfn.XLOOKUP($B301,'Cronog. e Histog.'!$BZ:$BZ,'Cronog. e Histog.'!CL:CL),"")</f>
        <v>0</v>
      </c>
      <c r="R301" s="144">
        <f>IFERROR(_xlfn.XLOOKUP($B301,'Cronog. e Histog.'!$BZ:$BZ,'Cronog. e Histog.'!CM:CM),"")</f>
        <v>0</v>
      </c>
      <c r="S301" s="144">
        <f>IFERROR(_xlfn.XLOOKUP($B301,'Cronog. e Histog.'!$BZ:$BZ,'Cronog. e Histog.'!CN:CN),"")</f>
        <v>0</v>
      </c>
      <c r="T301" s="144">
        <f>IFERROR(_xlfn.XLOOKUP($B301,'Cronog. e Histog.'!$BZ:$BZ,'Cronog. e Histog.'!CO:CO),"")</f>
        <v>0</v>
      </c>
      <c r="U301" s="144">
        <f>IFERROR(_xlfn.XLOOKUP($B301,'Cronog. e Histog.'!$BZ:$BZ,'Cronog. e Histog.'!CP:CP),"")</f>
        <v>0</v>
      </c>
      <c r="V301" s="144">
        <f>IFERROR(_xlfn.XLOOKUP($B301,'Cronog. e Histog.'!$BZ:$BZ,'Cronog. e Histog.'!CQ:CQ),"")</f>
        <v>0</v>
      </c>
      <c r="W301" s="144">
        <f>IFERROR(_xlfn.XLOOKUP($B301,'Cronog. e Histog.'!$BZ:$BZ,'Cronog. e Histog.'!CR:CR),"")</f>
        <v>0</v>
      </c>
      <c r="X301" s="144">
        <f>IFERROR(_xlfn.XLOOKUP($B301,'Cronog. e Histog.'!$BZ:$BZ,'Cronog. e Histog.'!CS:CS),"")</f>
        <v>0</v>
      </c>
      <c r="Y301" s="144">
        <f>IFERROR(_xlfn.XLOOKUP($B301,'Cronog. e Histog.'!$BZ:$BZ,'Cronog. e Histog.'!CT:CT),"")</f>
        <v>0</v>
      </c>
      <c r="Z301" s="144">
        <f>IFERROR(_xlfn.XLOOKUP($B301,'Cronog. e Histog.'!$BZ:$BZ,'Cronog. e Histog.'!CU:CU),"")</f>
        <v>0</v>
      </c>
      <c r="AA301" s="144">
        <f>IFERROR(_xlfn.XLOOKUP($B301,'Cronog. e Histog.'!$BZ:$BZ,'Cronog. e Histog.'!CV:CV),"")</f>
        <v>0</v>
      </c>
      <c r="AB301" s="144">
        <f>IFERROR(_xlfn.XLOOKUP($B301,'Cronog. e Histog.'!$BZ:$BZ,'Cronog. e Histog.'!CW:CW),"")</f>
        <v>0</v>
      </c>
      <c r="AC301" s="144">
        <f>IFERROR(_xlfn.XLOOKUP($B301,'Cronog. e Histog.'!$BZ:$BZ,'Cronog. e Histog.'!CX:CX),"")</f>
        <v>0</v>
      </c>
      <c r="AD301" s="144">
        <f>IFERROR(_xlfn.XLOOKUP($B301,'Cronog. e Histog.'!$BZ:$BZ,'Cronog. e Histog.'!CY:CY),"")</f>
        <v>0</v>
      </c>
      <c r="AE301" s="144">
        <f>IFERROR(_xlfn.XLOOKUP($B301,'Cronog. e Histog.'!$BZ:$BZ,'Cronog. e Histog.'!CZ:CZ),"")</f>
        <v>0</v>
      </c>
      <c r="AF301" s="144">
        <f>IFERROR(_xlfn.XLOOKUP($B301,'Cronog. e Histog.'!$BZ:$BZ,'Cronog. e Histog.'!DA:DA),"")</f>
        <v>0</v>
      </c>
      <c r="AG301" s="144">
        <f>IFERROR(_xlfn.XLOOKUP($B301,'Cronog. e Histog.'!$BZ:$BZ,'Cronog. e Histog.'!DB:DB),"")</f>
        <v>0</v>
      </c>
      <c r="AH301" s="144">
        <f>IFERROR(_xlfn.XLOOKUP($B301,'Cronog. e Histog.'!$BZ:$BZ,'Cronog. e Histog.'!DC:DC),"")</f>
        <v>0</v>
      </c>
      <c r="AI301" s="144">
        <f>IFERROR(_xlfn.XLOOKUP($B301,'Cronog. e Histog.'!$BZ:$BZ,'Cronog. e Histog.'!DD:DD),"")</f>
        <v>0</v>
      </c>
      <c r="AJ301" s="144">
        <f>IFERROR(_xlfn.XLOOKUP($B301,'Cronog. e Histog.'!$BZ:$BZ,'Cronog. e Histog.'!DE:DE),"")</f>
        <v>0</v>
      </c>
      <c r="AK301" s="144">
        <f>IFERROR(_xlfn.XLOOKUP($B301,'Cronog. e Histog.'!$BZ:$BZ,'Cronog. e Histog.'!DF:DF),"")</f>
        <v>0</v>
      </c>
      <c r="AL301" s="144">
        <f>IFERROR(_xlfn.XLOOKUP($B301,'Cronog. e Histog.'!$BZ:$BZ,'Cronog. e Histog.'!DG:DG),"")</f>
        <v>0</v>
      </c>
      <c r="AM301" s="144">
        <f>IFERROR(_xlfn.XLOOKUP($B301,'Cronog. e Histog.'!$BZ:$BZ,'Cronog. e Histog.'!DH:DH),"")</f>
        <v>0</v>
      </c>
      <c r="AN301" s="144">
        <f>IFERROR(_xlfn.XLOOKUP($B301,'Cronog. e Histog.'!$BZ:$BZ,'Cronog. e Histog.'!DI:DI),"")</f>
        <v>0</v>
      </c>
      <c r="AO301" s="144">
        <f>IFERROR(_xlfn.XLOOKUP($B301,'Cronog. e Histog.'!$BZ:$BZ,'Cronog. e Histog.'!DJ:DJ),"")</f>
        <v>0</v>
      </c>
      <c r="AP301" s="144">
        <f>IFERROR(_xlfn.XLOOKUP($B301,'Cronog. e Histog.'!$BZ:$BZ,'Cronog. e Histog.'!DK:DK),"")</f>
        <v>0</v>
      </c>
      <c r="AQ301" s="144">
        <f>IFERROR(_xlfn.XLOOKUP($B301,'Cronog. e Histog.'!$BZ:$BZ,'Cronog. e Histog.'!DL:DL),"")</f>
        <v>0</v>
      </c>
      <c r="AR301" s="144">
        <f>IFERROR(_xlfn.XLOOKUP($B301,'Cronog. e Histog.'!$BZ:$BZ,'Cronog. e Histog.'!DM:DM),"")</f>
        <v>0</v>
      </c>
      <c r="AS301" s="144">
        <f>IFERROR(_xlfn.XLOOKUP($B301,'Cronog. e Histog.'!$BZ:$BZ,'Cronog. e Histog.'!DN:DN),"")</f>
        <v>0</v>
      </c>
      <c r="AT301" s="144">
        <f>IFERROR(_xlfn.XLOOKUP($B301,'Cronog. e Histog.'!$BZ:$BZ,'Cronog. e Histog.'!DO:DO),"")</f>
        <v>0</v>
      </c>
      <c r="AU301" s="144">
        <f>IFERROR(_xlfn.XLOOKUP($B301,'Cronog. e Histog.'!$BZ:$BZ,'Cronog. e Histog.'!DP:DP),"")</f>
        <v>0</v>
      </c>
      <c r="AV301" s="144">
        <f>IFERROR(_xlfn.XLOOKUP($B301,'Cronog. e Histog.'!$BZ:$BZ,'Cronog. e Histog.'!DQ:DQ),"")</f>
        <v>0</v>
      </c>
      <c r="AW301" s="144">
        <f>IFERROR(_xlfn.XLOOKUP($B301,'Cronog. e Histog.'!$BZ:$BZ,'Cronog. e Histog.'!DR:DR),"")</f>
        <v>0</v>
      </c>
      <c r="AX301" s="144">
        <f>IFERROR(_xlfn.XLOOKUP($B301,'Cronog. e Histog.'!$BZ:$BZ,'Cronog. e Histog.'!DS:DS),"")</f>
        <v>0</v>
      </c>
      <c r="AY301" s="144">
        <f>IFERROR(_xlfn.XLOOKUP($B301,'Cronog. e Histog.'!$BZ:$BZ,'Cronog. e Histog.'!DT:DT),"")</f>
        <v>0</v>
      </c>
      <c r="AZ301" s="144">
        <f>IFERROR(_xlfn.XLOOKUP($B301,'Cronog. e Histog.'!$BZ:$BZ,'Cronog. e Histog.'!DU:DU),"")</f>
        <v>0</v>
      </c>
      <c r="BA301" s="144">
        <f>IFERROR(_xlfn.XLOOKUP($B301,'Cronog. e Histog.'!$BZ:$BZ,'Cronog. e Histog.'!DV:DV),"")</f>
        <v>0</v>
      </c>
      <c r="BB301" s="144">
        <f>IFERROR(_xlfn.XLOOKUP($B301,'Cronog. e Histog.'!$BZ:$BZ,'Cronog. e Histog.'!DW:DW),"")</f>
        <v>0</v>
      </c>
      <c r="BC301" s="144">
        <f>IFERROR(_xlfn.XLOOKUP($B301,'Cronog. e Histog.'!$BZ:$BZ,'Cronog. e Histog.'!DX:DX),"")</f>
        <v>0</v>
      </c>
      <c r="BD301" s="144">
        <f>IFERROR(_xlfn.XLOOKUP($B301,'Cronog. e Histog.'!$BZ:$BZ,'Cronog. e Histog.'!DY:DY),"")</f>
        <v>0</v>
      </c>
      <c r="BE301" s="144">
        <f>IFERROR(_xlfn.XLOOKUP($B301,'Cronog. e Histog.'!$BZ:$BZ,'Cronog. e Histog.'!DZ:DZ),"")</f>
        <v>0</v>
      </c>
      <c r="BF301" s="144">
        <f>IFERROR(_xlfn.XLOOKUP($B301,'Cronog. e Histog.'!$BZ:$BZ,'Cronog. e Histog.'!EA:EA),"")</f>
        <v>0</v>
      </c>
      <c r="BG301" s="144">
        <f>IFERROR(_xlfn.XLOOKUP($B301,'Cronog. e Histog.'!$BZ:$BZ,'Cronog. e Histog.'!EB:EB),"")</f>
        <v>0</v>
      </c>
      <c r="BH301" s="144">
        <f>IFERROR(_xlfn.XLOOKUP($B301,'Cronog. e Histog.'!$BZ:$BZ,'Cronog. e Histog.'!EC:EC),"")</f>
        <v>0</v>
      </c>
      <c r="BI301" s="144">
        <f>IFERROR(_xlfn.XLOOKUP($B301,'Cronog. e Histog.'!$BZ:$BZ,'Cronog. e Histog.'!ED:ED),"")</f>
        <v>0</v>
      </c>
      <c r="BJ301" s="144">
        <f>IFERROR(_xlfn.XLOOKUP($B301,'Cronog. e Histog.'!$BZ:$BZ,'Cronog. e Histog.'!EE:EE),"")</f>
        <v>0</v>
      </c>
      <c r="BK301" s="144">
        <f>IFERROR(_xlfn.XLOOKUP($B301,'Cronog. e Histog.'!$BZ:$BZ,'Cronog. e Histog.'!EF:EF),"")</f>
        <v>0</v>
      </c>
      <c r="BL301" s="144">
        <f>IFERROR(_xlfn.XLOOKUP($B301,'Cronog. e Histog.'!$BZ:$BZ,'Cronog. e Histog.'!EG:EG),"")</f>
        <v>0</v>
      </c>
      <c r="BM301" s="144">
        <f>IFERROR(_xlfn.XLOOKUP($B301,'Cronog. e Histog.'!$BZ:$BZ,'Cronog. e Histog.'!EH:EH),"")</f>
        <v>0</v>
      </c>
      <c r="BN301" s="144">
        <f>IFERROR(_xlfn.XLOOKUP($B301,'Cronog. e Histog.'!$BZ:$BZ,'Cronog. e Histog.'!EI:EI),"")</f>
        <v>0</v>
      </c>
    </row>
    <row r="302" spans="2:66" ht="12" hidden="1" customHeight="1" outlineLevel="1">
      <c r="B302" s="76">
        <v>296</v>
      </c>
      <c r="C302" s="143" t="str">
        <f>IFERROR(VLOOKUP(B302,'Cronog. e Histog.'!$BZ$213:$CA$747,2,0),"")</f>
        <v>AUX TEC</v>
      </c>
      <c r="D302" s="144">
        <f t="shared" si="6"/>
        <v>0</v>
      </c>
      <c r="E302" s="144">
        <f t="shared" si="7"/>
        <v>0</v>
      </c>
      <c r="F302" s="65"/>
      <c r="G302" s="144">
        <f>IFERROR(_xlfn.XLOOKUP($B302,'Cronog. e Histog.'!$BZ:$BZ,'Cronog. e Histog.'!CB:CB),"")</f>
        <v>0</v>
      </c>
      <c r="H302" s="144">
        <f>IFERROR(_xlfn.XLOOKUP($B302,'Cronog. e Histog.'!$BZ:$BZ,'Cronog. e Histog.'!CC:CC),"")</f>
        <v>0</v>
      </c>
      <c r="I302" s="144">
        <f>IFERROR(_xlfn.XLOOKUP($B302,'Cronog. e Histog.'!$BZ:$BZ,'Cronog. e Histog.'!CD:CD),"")</f>
        <v>0</v>
      </c>
      <c r="J302" s="144">
        <f>IFERROR(_xlfn.XLOOKUP($B302,'Cronog. e Histog.'!$BZ:$BZ,'Cronog. e Histog.'!CE:CE),"")</f>
        <v>0</v>
      </c>
      <c r="K302" s="144">
        <f>IFERROR(_xlfn.XLOOKUP($B302,'Cronog. e Histog.'!$BZ:$BZ,'Cronog. e Histog.'!CF:CF),"")</f>
        <v>0</v>
      </c>
      <c r="L302" s="144">
        <f>IFERROR(_xlfn.XLOOKUP($B302,'Cronog. e Histog.'!$BZ:$BZ,'Cronog. e Histog.'!CG:CG),"")</f>
        <v>0</v>
      </c>
      <c r="M302" s="144">
        <f>IFERROR(_xlfn.XLOOKUP($B302,'Cronog. e Histog.'!$BZ:$BZ,'Cronog. e Histog.'!CH:CH),"")</f>
        <v>0</v>
      </c>
      <c r="N302" s="144">
        <f>IFERROR(_xlfn.XLOOKUP($B302,'Cronog. e Histog.'!$BZ:$BZ,'Cronog. e Histog.'!CI:CI),"")</f>
        <v>0</v>
      </c>
      <c r="O302" s="144">
        <f>IFERROR(_xlfn.XLOOKUP($B302,'Cronog. e Histog.'!$BZ:$BZ,'Cronog. e Histog.'!CJ:CJ),"")</f>
        <v>0</v>
      </c>
      <c r="P302" s="144">
        <f>IFERROR(_xlfn.XLOOKUP($B302,'Cronog. e Histog.'!$BZ:$BZ,'Cronog. e Histog.'!CK:CK),"")</f>
        <v>0</v>
      </c>
      <c r="Q302" s="144">
        <f>IFERROR(_xlfn.XLOOKUP($B302,'Cronog. e Histog.'!$BZ:$BZ,'Cronog. e Histog.'!CL:CL),"")</f>
        <v>0</v>
      </c>
      <c r="R302" s="144">
        <f>IFERROR(_xlfn.XLOOKUP($B302,'Cronog. e Histog.'!$BZ:$BZ,'Cronog. e Histog.'!CM:CM),"")</f>
        <v>0</v>
      </c>
      <c r="S302" s="144">
        <f>IFERROR(_xlfn.XLOOKUP($B302,'Cronog. e Histog.'!$BZ:$BZ,'Cronog. e Histog.'!CN:CN),"")</f>
        <v>0</v>
      </c>
      <c r="T302" s="144">
        <f>IFERROR(_xlfn.XLOOKUP($B302,'Cronog. e Histog.'!$BZ:$BZ,'Cronog. e Histog.'!CO:CO),"")</f>
        <v>0</v>
      </c>
      <c r="U302" s="144">
        <f>IFERROR(_xlfn.XLOOKUP($B302,'Cronog. e Histog.'!$BZ:$BZ,'Cronog. e Histog.'!CP:CP),"")</f>
        <v>0</v>
      </c>
      <c r="V302" s="144">
        <f>IFERROR(_xlfn.XLOOKUP($B302,'Cronog. e Histog.'!$BZ:$BZ,'Cronog. e Histog.'!CQ:CQ),"")</f>
        <v>0</v>
      </c>
      <c r="W302" s="144">
        <f>IFERROR(_xlfn.XLOOKUP($B302,'Cronog. e Histog.'!$BZ:$BZ,'Cronog. e Histog.'!CR:CR),"")</f>
        <v>0</v>
      </c>
      <c r="X302" s="144">
        <f>IFERROR(_xlfn.XLOOKUP($B302,'Cronog. e Histog.'!$BZ:$BZ,'Cronog. e Histog.'!CS:CS),"")</f>
        <v>0</v>
      </c>
      <c r="Y302" s="144">
        <f>IFERROR(_xlfn.XLOOKUP($B302,'Cronog. e Histog.'!$BZ:$BZ,'Cronog. e Histog.'!CT:CT),"")</f>
        <v>0</v>
      </c>
      <c r="Z302" s="144">
        <f>IFERROR(_xlfn.XLOOKUP($B302,'Cronog. e Histog.'!$BZ:$BZ,'Cronog. e Histog.'!CU:CU),"")</f>
        <v>0</v>
      </c>
      <c r="AA302" s="144">
        <f>IFERROR(_xlfn.XLOOKUP($B302,'Cronog. e Histog.'!$BZ:$BZ,'Cronog. e Histog.'!CV:CV),"")</f>
        <v>0</v>
      </c>
      <c r="AB302" s="144">
        <f>IFERROR(_xlfn.XLOOKUP($B302,'Cronog. e Histog.'!$BZ:$BZ,'Cronog. e Histog.'!CW:CW),"")</f>
        <v>0</v>
      </c>
      <c r="AC302" s="144">
        <f>IFERROR(_xlfn.XLOOKUP($B302,'Cronog. e Histog.'!$BZ:$BZ,'Cronog. e Histog.'!CX:CX),"")</f>
        <v>0</v>
      </c>
      <c r="AD302" s="144">
        <f>IFERROR(_xlfn.XLOOKUP($B302,'Cronog. e Histog.'!$BZ:$BZ,'Cronog. e Histog.'!CY:CY),"")</f>
        <v>0</v>
      </c>
      <c r="AE302" s="144">
        <f>IFERROR(_xlfn.XLOOKUP($B302,'Cronog. e Histog.'!$BZ:$BZ,'Cronog. e Histog.'!CZ:CZ),"")</f>
        <v>0</v>
      </c>
      <c r="AF302" s="144">
        <f>IFERROR(_xlfn.XLOOKUP($B302,'Cronog. e Histog.'!$BZ:$BZ,'Cronog. e Histog.'!DA:DA),"")</f>
        <v>0</v>
      </c>
      <c r="AG302" s="144">
        <f>IFERROR(_xlfn.XLOOKUP($B302,'Cronog. e Histog.'!$BZ:$BZ,'Cronog. e Histog.'!DB:DB),"")</f>
        <v>0</v>
      </c>
      <c r="AH302" s="144">
        <f>IFERROR(_xlfn.XLOOKUP($B302,'Cronog. e Histog.'!$BZ:$BZ,'Cronog. e Histog.'!DC:DC),"")</f>
        <v>0</v>
      </c>
      <c r="AI302" s="144">
        <f>IFERROR(_xlfn.XLOOKUP($B302,'Cronog. e Histog.'!$BZ:$BZ,'Cronog. e Histog.'!DD:DD),"")</f>
        <v>0</v>
      </c>
      <c r="AJ302" s="144">
        <f>IFERROR(_xlfn.XLOOKUP($B302,'Cronog. e Histog.'!$BZ:$BZ,'Cronog. e Histog.'!DE:DE),"")</f>
        <v>0</v>
      </c>
      <c r="AK302" s="144">
        <f>IFERROR(_xlfn.XLOOKUP($B302,'Cronog. e Histog.'!$BZ:$BZ,'Cronog. e Histog.'!DF:DF),"")</f>
        <v>0</v>
      </c>
      <c r="AL302" s="144">
        <f>IFERROR(_xlfn.XLOOKUP($B302,'Cronog. e Histog.'!$BZ:$BZ,'Cronog. e Histog.'!DG:DG),"")</f>
        <v>0</v>
      </c>
      <c r="AM302" s="144">
        <f>IFERROR(_xlfn.XLOOKUP($B302,'Cronog. e Histog.'!$BZ:$BZ,'Cronog. e Histog.'!DH:DH),"")</f>
        <v>0</v>
      </c>
      <c r="AN302" s="144">
        <f>IFERROR(_xlfn.XLOOKUP($B302,'Cronog. e Histog.'!$BZ:$BZ,'Cronog. e Histog.'!DI:DI),"")</f>
        <v>0</v>
      </c>
      <c r="AO302" s="144">
        <f>IFERROR(_xlfn.XLOOKUP($B302,'Cronog. e Histog.'!$BZ:$BZ,'Cronog. e Histog.'!DJ:DJ),"")</f>
        <v>0</v>
      </c>
      <c r="AP302" s="144">
        <f>IFERROR(_xlfn.XLOOKUP($B302,'Cronog. e Histog.'!$BZ:$BZ,'Cronog. e Histog.'!DK:DK),"")</f>
        <v>0</v>
      </c>
      <c r="AQ302" s="144">
        <f>IFERROR(_xlfn.XLOOKUP($B302,'Cronog. e Histog.'!$BZ:$BZ,'Cronog. e Histog.'!DL:DL),"")</f>
        <v>0</v>
      </c>
      <c r="AR302" s="144">
        <f>IFERROR(_xlfn.XLOOKUP($B302,'Cronog. e Histog.'!$BZ:$BZ,'Cronog. e Histog.'!DM:DM),"")</f>
        <v>0</v>
      </c>
      <c r="AS302" s="144">
        <f>IFERROR(_xlfn.XLOOKUP($B302,'Cronog. e Histog.'!$BZ:$BZ,'Cronog. e Histog.'!DN:DN),"")</f>
        <v>0</v>
      </c>
      <c r="AT302" s="144">
        <f>IFERROR(_xlfn.XLOOKUP($B302,'Cronog. e Histog.'!$BZ:$BZ,'Cronog. e Histog.'!DO:DO),"")</f>
        <v>0</v>
      </c>
      <c r="AU302" s="144">
        <f>IFERROR(_xlfn.XLOOKUP($B302,'Cronog. e Histog.'!$BZ:$BZ,'Cronog. e Histog.'!DP:DP),"")</f>
        <v>0</v>
      </c>
      <c r="AV302" s="144">
        <f>IFERROR(_xlfn.XLOOKUP($B302,'Cronog. e Histog.'!$BZ:$BZ,'Cronog. e Histog.'!DQ:DQ),"")</f>
        <v>0</v>
      </c>
      <c r="AW302" s="144">
        <f>IFERROR(_xlfn.XLOOKUP($B302,'Cronog. e Histog.'!$BZ:$BZ,'Cronog. e Histog.'!DR:DR),"")</f>
        <v>0</v>
      </c>
      <c r="AX302" s="144">
        <f>IFERROR(_xlfn.XLOOKUP($B302,'Cronog. e Histog.'!$BZ:$BZ,'Cronog. e Histog.'!DS:DS),"")</f>
        <v>0</v>
      </c>
      <c r="AY302" s="144">
        <f>IFERROR(_xlfn.XLOOKUP($B302,'Cronog. e Histog.'!$BZ:$BZ,'Cronog. e Histog.'!DT:DT),"")</f>
        <v>0</v>
      </c>
      <c r="AZ302" s="144">
        <f>IFERROR(_xlfn.XLOOKUP($B302,'Cronog. e Histog.'!$BZ:$BZ,'Cronog. e Histog.'!DU:DU),"")</f>
        <v>0</v>
      </c>
      <c r="BA302" s="144">
        <f>IFERROR(_xlfn.XLOOKUP($B302,'Cronog. e Histog.'!$BZ:$BZ,'Cronog. e Histog.'!DV:DV),"")</f>
        <v>0</v>
      </c>
      <c r="BB302" s="144">
        <f>IFERROR(_xlfn.XLOOKUP($B302,'Cronog. e Histog.'!$BZ:$BZ,'Cronog. e Histog.'!DW:DW),"")</f>
        <v>0</v>
      </c>
      <c r="BC302" s="144">
        <f>IFERROR(_xlfn.XLOOKUP($B302,'Cronog. e Histog.'!$BZ:$BZ,'Cronog. e Histog.'!DX:DX),"")</f>
        <v>0</v>
      </c>
      <c r="BD302" s="144">
        <f>IFERROR(_xlfn.XLOOKUP($B302,'Cronog. e Histog.'!$BZ:$BZ,'Cronog. e Histog.'!DY:DY),"")</f>
        <v>0</v>
      </c>
      <c r="BE302" s="144">
        <f>IFERROR(_xlfn.XLOOKUP($B302,'Cronog. e Histog.'!$BZ:$BZ,'Cronog. e Histog.'!DZ:DZ),"")</f>
        <v>0</v>
      </c>
      <c r="BF302" s="144">
        <f>IFERROR(_xlfn.XLOOKUP($B302,'Cronog. e Histog.'!$BZ:$BZ,'Cronog. e Histog.'!EA:EA),"")</f>
        <v>0</v>
      </c>
      <c r="BG302" s="144">
        <f>IFERROR(_xlfn.XLOOKUP($B302,'Cronog. e Histog.'!$BZ:$BZ,'Cronog. e Histog.'!EB:EB),"")</f>
        <v>0</v>
      </c>
      <c r="BH302" s="144">
        <f>IFERROR(_xlfn.XLOOKUP($B302,'Cronog. e Histog.'!$BZ:$BZ,'Cronog. e Histog.'!EC:EC),"")</f>
        <v>0</v>
      </c>
      <c r="BI302" s="144">
        <f>IFERROR(_xlfn.XLOOKUP($B302,'Cronog. e Histog.'!$BZ:$BZ,'Cronog. e Histog.'!ED:ED),"")</f>
        <v>0</v>
      </c>
      <c r="BJ302" s="144">
        <f>IFERROR(_xlfn.XLOOKUP($B302,'Cronog. e Histog.'!$BZ:$BZ,'Cronog. e Histog.'!EE:EE),"")</f>
        <v>0</v>
      </c>
      <c r="BK302" s="144">
        <f>IFERROR(_xlfn.XLOOKUP($B302,'Cronog. e Histog.'!$BZ:$BZ,'Cronog. e Histog.'!EF:EF),"")</f>
        <v>0</v>
      </c>
      <c r="BL302" s="144">
        <f>IFERROR(_xlfn.XLOOKUP($B302,'Cronog. e Histog.'!$BZ:$BZ,'Cronog. e Histog.'!EG:EG),"")</f>
        <v>0</v>
      </c>
      <c r="BM302" s="144">
        <f>IFERROR(_xlfn.XLOOKUP($B302,'Cronog. e Histog.'!$BZ:$BZ,'Cronog. e Histog.'!EH:EH),"")</f>
        <v>0</v>
      </c>
      <c r="BN302" s="144">
        <f>IFERROR(_xlfn.XLOOKUP($B302,'Cronog. e Histog.'!$BZ:$BZ,'Cronog. e Histog.'!EI:EI),"")</f>
        <v>0</v>
      </c>
    </row>
    <row r="303" spans="2:66" ht="12" hidden="1" customHeight="1" outlineLevel="1">
      <c r="B303" s="76">
        <v>297</v>
      </c>
      <c r="C303" s="143" t="str">
        <f>IFERROR(VLOOKUP(B303,'Cronog. e Histog.'!$BZ$213:$CA$747,2,0),"")</f>
        <v>AUX ADM</v>
      </c>
      <c r="D303" s="144">
        <f t="shared" si="6"/>
        <v>0</v>
      </c>
      <c r="E303" s="144">
        <f t="shared" si="7"/>
        <v>0</v>
      </c>
      <c r="F303" s="65"/>
      <c r="G303" s="144">
        <f>IFERROR(_xlfn.XLOOKUP($B303,'Cronog. e Histog.'!$BZ:$BZ,'Cronog. e Histog.'!CB:CB),"")</f>
        <v>0</v>
      </c>
      <c r="H303" s="144">
        <f>IFERROR(_xlfn.XLOOKUP($B303,'Cronog. e Histog.'!$BZ:$BZ,'Cronog. e Histog.'!CC:CC),"")</f>
        <v>0</v>
      </c>
      <c r="I303" s="144">
        <f>IFERROR(_xlfn.XLOOKUP($B303,'Cronog. e Histog.'!$BZ:$BZ,'Cronog. e Histog.'!CD:CD),"")</f>
        <v>0</v>
      </c>
      <c r="J303" s="144">
        <f>IFERROR(_xlfn.XLOOKUP($B303,'Cronog. e Histog.'!$BZ:$BZ,'Cronog. e Histog.'!CE:CE),"")</f>
        <v>0</v>
      </c>
      <c r="K303" s="144">
        <f>IFERROR(_xlfn.XLOOKUP($B303,'Cronog. e Histog.'!$BZ:$BZ,'Cronog. e Histog.'!CF:CF),"")</f>
        <v>0</v>
      </c>
      <c r="L303" s="144">
        <f>IFERROR(_xlfn.XLOOKUP($B303,'Cronog. e Histog.'!$BZ:$BZ,'Cronog. e Histog.'!CG:CG),"")</f>
        <v>0</v>
      </c>
      <c r="M303" s="144">
        <f>IFERROR(_xlfn.XLOOKUP($B303,'Cronog. e Histog.'!$BZ:$BZ,'Cronog. e Histog.'!CH:CH),"")</f>
        <v>0</v>
      </c>
      <c r="N303" s="144">
        <f>IFERROR(_xlfn.XLOOKUP($B303,'Cronog. e Histog.'!$BZ:$BZ,'Cronog. e Histog.'!CI:CI),"")</f>
        <v>0</v>
      </c>
      <c r="O303" s="144">
        <f>IFERROR(_xlfn.XLOOKUP($B303,'Cronog. e Histog.'!$BZ:$BZ,'Cronog. e Histog.'!CJ:CJ),"")</f>
        <v>0</v>
      </c>
      <c r="P303" s="144">
        <f>IFERROR(_xlfn.XLOOKUP($B303,'Cronog. e Histog.'!$BZ:$BZ,'Cronog. e Histog.'!CK:CK),"")</f>
        <v>0</v>
      </c>
      <c r="Q303" s="144">
        <f>IFERROR(_xlfn.XLOOKUP($B303,'Cronog. e Histog.'!$BZ:$BZ,'Cronog. e Histog.'!CL:CL),"")</f>
        <v>0</v>
      </c>
      <c r="R303" s="144">
        <f>IFERROR(_xlfn.XLOOKUP($B303,'Cronog. e Histog.'!$BZ:$BZ,'Cronog. e Histog.'!CM:CM),"")</f>
        <v>0</v>
      </c>
      <c r="S303" s="144">
        <f>IFERROR(_xlfn.XLOOKUP($B303,'Cronog. e Histog.'!$BZ:$BZ,'Cronog. e Histog.'!CN:CN),"")</f>
        <v>0</v>
      </c>
      <c r="T303" s="144">
        <f>IFERROR(_xlfn.XLOOKUP($B303,'Cronog. e Histog.'!$BZ:$BZ,'Cronog. e Histog.'!CO:CO),"")</f>
        <v>0</v>
      </c>
      <c r="U303" s="144">
        <f>IFERROR(_xlfn.XLOOKUP($B303,'Cronog. e Histog.'!$BZ:$BZ,'Cronog. e Histog.'!CP:CP),"")</f>
        <v>0</v>
      </c>
      <c r="V303" s="144">
        <f>IFERROR(_xlfn.XLOOKUP($B303,'Cronog. e Histog.'!$BZ:$BZ,'Cronog. e Histog.'!CQ:CQ),"")</f>
        <v>0</v>
      </c>
      <c r="W303" s="144">
        <f>IFERROR(_xlfn.XLOOKUP($B303,'Cronog. e Histog.'!$BZ:$BZ,'Cronog. e Histog.'!CR:CR),"")</f>
        <v>0</v>
      </c>
      <c r="X303" s="144">
        <f>IFERROR(_xlfn.XLOOKUP($B303,'Cronog. e Histog.'!$BZ:$BZ,'Cronog. e Histog.'!CS:CS),"")</f>
        <v>0</v>
      </c>
      <c r="Y303" s="144">
        <f>IFERROR(_xlfn.XLOOKUP($B303,'Cronog. e Histog.'!$BZ:$BZ,'Cronog. e Histog.'!CT:CT),"")</f>
        <v>0</v>
      </c>
      <c r="Z303" s="144">
        <f>IFERROR(_xlfn.XLOOKUP($B303,'Cronog. e Histog.'!$BZ:$BZ,'Cronog. e Histog.'!CU:CU),"")</f>
        <v>0</v>
      </c>
      <c r="AA303" s="144">
        <f>IFERROR(_xlfn.XLOOKUP($B303,'Cronog. e Histog.'!$BZ:$BZ,'Cronog. e Histog.'!CV:CV),"")</f>
        <v>0</v>
      </c>
      <c r="AB303" s="144">
        <f>IFERROR(_xlfn.XLOOKUP($B303,'Cronog. e Histog.'!$BZ:$BZ,'Cronog. e Histog.'!CW:CW),"")</f>
        <v>0</v>
      </c>
      <c r="AC303" s="144">
        <f>IFERROR(_xlfn.XLOOKUP($B303,'Cronog. e Histog.'!$BZ:$BZ,'Cronog. e Histog.'!CX:CX),"")</f>
        <v>0</v>
      </c>
      <c r="AD303" s="144">
        <f>IFERROR(_xlfn.XLOOKUP($B303,'Cronog. e Histog.'!$BZ:$BZ,'Cronog. e Histog.'!CY:CY),"")</f>
        <v>0</v>
      </c>
      <c r="AE303" s="144">
        <f>IFERROR(_xlfn.XLOOKUP($B303,'Cronog. e Histog.'!$BZ:$BZ,'Cronog. e Histog.'!CZ:CZ),"")</f>
        <v>0</v>
      </c>
      <c r="AF303" s="144">
        <f>IFERROR(_xlfn.XLOOKUP($B303,'Cronog. e Histog.'!$BZ:$BZ,'Cronog. e Histog.'!DA:DA),"")</f>
        <v>0</v>
      </c>
      <c r="AG303" s="144">
        <f>IFERROR(_xlfn.XLOOKUP($B303,'Cronog. e Histog.'!$BZ:$BZ,'Cronog. e Histog.'!DB:DB),"")</f>
        <v>0</v>
      </c>
      <c r="AH303" s="144">
        <f>IFERROR(_xlfn.XLOOKUP($B303,'Cronog. e Histog.'!$BZ:$BZ,'Cronog. e Histog.'!DC:DC),"")</f>
        <v>0</v>
      </c>
      <c r="AI303" s="144">
        <f>IFERROR(_xlfn.XLOOKUP($B303,'Cronog. e Histog.'!$BZ:$BZ,'Cronog. e Histog.'!DD:DD),"")</f>
        <v>0</v>
      </c>
      <c r="AJ303" s="144">
        <f>IFERROR(_xlfn.XLOOKUP($B303,'Cronog. e Histog.'!$BZ:$BZ,'Cronog. e Histog.'!DE:DE),"")</f>
        <v>0</v>
      </c>
      <c r="AK303" s="144">
        <f>IFERROR(_xlfn.XLOOKUP($B303,'Cronog. e Histog.'!$BZ:$BZ,'Cronog. e Histog.'!DF:DF),"")</f>
        <v>0</v>
      </c>
      <c r="AL303" s="144">
        <f>IFERROR(_xlfn.XLOOKUP($B303,'Cronog. e Histog.'!$BZ:$BZ,'Cronog. e Histog.'!DG:DG),"")</f>
        <v>0</v>
      </c>
      <c r="AM303" s="144">
        <f>IFERROR(_xlfn.XLOOKUP($B303,'Cronog. e Histog.'!$BZ:$BZ,'Cronog. e Histog.'!DH:DH),"")</f>
        <v>0</v>
      </c>
      <c r="AN303" s="144">
        <f>IFERROR(_xlfn.XLOOKUP($B303,'Cronog. e Histog.'!$BZ:$BZ,'Cronog. e Histog.'!DI:DI),"")</f>
        <v>0</v>
      </c>
      <c r="AO303" s="144">
        <f>IFERROR(_xlfn.XLOOKUP($B303,'Cronog. e Histog.'!$BZ:$BZ,'Cronog. e Histog.'!DJ:DJ),"")</f>
        <v>0</v>
      </c>
      <c r="AP303" s="144">
        <f>IFERROR(_xlfn.XLOOKUP($B303,'Cronog. e Histog.'!$BZ:$BZ,'Cronog. e Histog.'!DK:DK),"")</f>
        <v>0</v>
      </c>
      <c r="AQ303" s="144">
        <f>IFERROR(_xlfn.XLOOKUP($B303,'Cronog. e Histog.'!$BZ:$BZ,'Cronog. e Histog.'!DL:DL),"")</f>
        <v>0</v>
      </c>
      <c r="AR303" s="144">
        <f>IFERROR(_xlfn.XLOOKUP($B303,'Cronog. e Histog.'!$BZ:$BZ,'Cronog. e Histog.'!DM:DM),"")</f>
        <v>0</v>
      </c>
      <c r="AS303" s="144">
        <f>IFERROR(_xlfn.XLOOKUP($B303,'Cronog. e Histog.'!$BZ:$BZ,'Cronog. e Histog.'!DN:DN),"")</f>
        <v>0</v>
      </c>
      <c r="AT303" s="144">
        <f>IFERROR(_xlfn.XLOOKUP($B303,'Cronog. e Histog.'!$BZ:$BZ,'Cronog. e Histog.'!DO:DO),"")</f>
        <v>0</v>
      </c>
      <c r="AU303" s="144">
        <f>IFERROR(_xlfn.XLOOKUP($B303,'Cronog. e Histog.'!$BZ:$BZ,'Cronog. e Histog.'!DP:DP),"")</f>
        <v>0</v>
      </c>
      <c r="AV303" s="144">
        <f>IFERROR(_xlfn.XLOOKUP($B303,'Cronog. e Histog.'!$BZ:$BZ,'Cronog. e Histog.'!DQ:DQ),"")</f>
        <v>0</v>
      </c>
      <c r="AW303" s="144">
        <f>IFERROR(_xlfn.XLOOKUP($B303,'Cronog. e Histog.'!$BZ:$BZ,'Cronog. e Histog.'!DR:DR),"")</f>
        <v>0</v>
      </c>
      <c r="AX303" s="144">
        <f>IFERROR(_xlfn.XLOOKUP($B303,'Cronog. e Histog.'!$BZ:$BZ,'Cronog. e Histog.'!DS:DS),"")</f>
        <v>0</v>
      </c>
      <c r="AY303" s="144">
        <f>IFERROR(_xlfn.XLOOKUP($B303,'Cronog. e Histog.'!$BZ:$BZ,'Cronog. e Histog.'!DT:DT),"")</f>
        <v>0</v>
      </c>
      <c r="AZ303" s="144">
        <f>IFERROR(_xlfn.XLOOKUP($B303,'Cronog. e Histog.'!$BZ:$BZ,'Cronog. e Histog.'!DU:DU),"")</f>
        <v>0</v>
      </c>
      <c r="BA303" s="144">
        <f>IFERROR(_xlfn.XLOOKUP($B303,'Cronog. e Histog.'!$BZ:$BZ,'Cronog. e Histog.'!DV:DV),"")</f>
        <v>0</v>
      </c>
      <c r="BB303" s="144">
        <f>IFERROR(_xlfn.XLOOKUP($B303,'Cronog. e Histog.'!$BZ:$BZ,'Cronog. e Histog.'!DW:DW),"")</f>
        <v>0</v>
      </c>
      <c r="BC303" s="144">
        <f>IFERROR(_xlfn.XLOOKUP($B303,'Cronog. e Histog.'!$BZ:$BZ,'Cronog. e Histog.'!DX:DX),"")</f>
        <v>0</v>
      </c>
      <c r="BD303" s="144">
        <f>IFERROR(_xlfn.XLOOKUP($B303,'Cronog. e Histog.'!$BZ:$BZ,'Cronog. e Histog.'!DY:DY),"")</f>
        <v>0</v>
      </c>
      <c r="BE303" s="144">
        <f>IFERROR(_xlfn.XLOOKUP($B303,'Cronog. e Histog.'!$BZ:$BZ,'Cronog. e Histog.'!DZ:DZ),"")</f>
        <v>0</v>
      </c>
      <c r="BF303" s="144">
        <f>IFERROR(_xlfn.XLOOKUP($B303,'Cronog. e Histog.'!$BZ:$BZ,'Cronog. e Histog.'!EA:EA),"")</f>
        <v>0</v>
      </c>
      <c r="BG303" s="144">
        <f>IFERROR(_xlfn.XLOOKUP($B303,'Cronog. e Histog.'!$BZ:$BZ,'Cronog. e Histog.'!EB:EB),"")</f>
        <v>0</v>
      </c>
      <c r="BH303" s="144">
        <f>IFERROR(_xlfn.XLOOKUP($B303,'Cronog. e Histog.'!$BZ:$BZ,'Cronog. e Histog.'!EC:EC),"")</f>
        <v>0</v>
      </c>
      <c r="BI303" s="144">
        <f>IFERROR(_xlfn.XLOOKUP($B303,'Cronog. e Histog.'!$BZ:$BZ,'Cronog. e Histog.'!ED:ED),"")</f>
        <v>0</v>
      </c>
      <c r="BJ303" s="144">
        <f>IFERROR(_xlfn.XLOOKUP($B303,'Cronog. e Histog.'!$BZ:$BZ,'Cronog. e Histog.'!EE:EE),"")</f>
        <v>0</v>
      </c>
      <c r="BK303" s="144">
        <f>IFERROR(_xlfn.XLOOKUP($B303,'Cronog. e Histog.'!$BZ:$BZ,'Cronog. e Histog.'!EF:EF),"")</f>
        <v>0</v>
      </c>
      <c r="BL303" s="144">
        <f>IFERROR(_xlfn.XLOOKUP($B303,'Cronog. e Histog.'!$BZ:$BZ,'Cronog. e Histog.'!EG:EG),"")</f>
        <v>0</v>
      </c>
      <c r="BM303" s="144">
        <f>IFERROR(_xlfn.XLOOKUP($B303,'Cronog. e Histog.'!$BZ:$BZ,'Cronog. e Histog.'!EH:EH),"")</f>
        <v>0</v>
      </c>
      <c r="BN303" s="144">
        <f>IFERROR(_xlfn.XLOOKUP($B303,'Cronog. e Histog.'!$BZ:$BZ,'Cronog. e Histog.'!EI:EI),"")</f>
        <v>0</v>
      </c>
    </row>
    <row r="304" spans="2:66" ht="12" hidden="1" customHeight="1" outlineLevel="1">
      <c r="B304" s="76">
        <v>298</v>
      </c>
      <c r="C304" s="143" t="str">
        <f>IFERROR(VLOOKUP(B304,'Cronog. e Histog.'!$BZ$213:$CA$747,2,0),"")</f>
        <v>EST</v>
      </c>
      <c r="D304" s="144">
        <f t="shared" si="6"/>
        <v>0</v>
      </c>
      <c r="E304" s="144">
        <f t="shared" si="7"/>
        <v>0</v>
      </c>
      <c r="F304" s="65"/>
      <c r="G304" s="144">
        <f>IFERROR(_xlfn.XLOOKUP($B304,'Cronog. e Histog.'!$BZ:$BZ,'Cronog. e Histog.'!CB:CB),"")</f>
        <v>0</v>
      </c>
      <c r="H304" s="144">
        <f>IFERROR(_xlfn.XLOOKUP($B304,'Cronog. e Histog.'!$BZ:$BZ,'Cronog. e Histog.'!CC:CC),"")</f>
        <v>0</v>
      </c>
      <c r="I304" s="144">
        <f>IFERROR(_xlfn.XLOOKUP($B304,'Cronog. e Histog.'!$BZ:$BZ,'Cronog. e Histog.'!CD:CD),"")</f>
        <v>0</v>
      </c>
      <c r="J304" s="144">
        <f>IFERROR(_xlfn.XLOOKUP($B304,'Cronog. e Histog.'!$BZ:$BZ,'Cronog. e Histog.'!CE:CE),"")</f>
        <v>0</v>
      </c>
      <c r="K304" s="144">
        <f>IFERROR(_xlfn.XLOOKUP($B304,'Cronog. e Histog.'!$BZ:$BZ,'Cronog. e Histog.'!CF:CF),"")</f>
        <v>0</v>
      </c>
      <c r="L304" s="144">
        <f>IFERROR(_xlfn.XLOOKUP($B304,'Cronog. e Histog.'!$BZ:$BZ,'Cronog. e Histog.'!CG:CG),"")</f>
        <v>0</v>
      </c>
      <c r="M304" s="144">
        <f>IFERROR(_xlfn.XLOOKUP($B304,'Cronog. e Histog.'!$BZ:$BZ,'Cronog. e Histog.'!CH:CH),"")</f>
        <v>0</v>
      </c>
      <c r="N304" s="144">
        <f>IFERROR(_xlfn.XLOOKUP($B304,'Cronog. e Histog.'!$BZ:$BZ,'Cronog. e Histog.'!CI:CI),"")</f>
        <v>0</v>
      </c>
      <c r="O304" s="144">
        <f>IFERROR(_xlfn.XLOOKUP($B304,'Cronog. e Histog.'!$BZ:$BZ,'Cronog. e Histog.'!CJ:CJ),"")</f>
        <v>0</v>
      </c>
      <c r="P304" s="144">
        <f>IFERROR(_xlfn.XLOOKUP($B304,'Cronog. e Histog.'!$BZ:$BZ,'Cronog. e Histog.'!CK:CK),"")</f>
        <v>0</v>
      </c>
      <c r="Q304" s="144">
        <f>IFERROR(_xlfn.XLOOKUP($B304,'Cronog. e Histog.'!$BZ:$BZ,'Cronog. e Histog.'!CL:CL),"")</f>
        <v>0</v>
      </c>
      <c r="R304" s="144">
        <f>IFERROR(_xlfn.XLOOKUP($B304,'Cronog. e Histog.'!$BZ:$BZ,'Cronog. e Histog.'!CM:CM),"")</f>
        <v>0</v>
      </c>
      <c r="S304" s="144">
        <f>IFERROR(_xlfn.XLOOKUP($B304,'Cronog. e Histog.'!$BZ:$BZ,'Cronog. e Histog.'!CN:CN),"")</f>
        <v>0</v>
      </c>
      <c r="T304" s="144">
        <f>IFERROR(_xlfn.XLOOKUP($B304,'Cronog. e Histog.'!$BZ:$BZ,'Cronog. e Histog.'!CO:CO),"")</f>
        <v>0</v>
      </c>
      <c r="U304" s="144">
        <f>IFERROR(_xlfn.XLOOKUP($B304,'Cronog. e Histog.'!$BZ:$BZ,'Cronog. e Histog.'!CP:CP),"")</f>
        <v>0</v>
      </c>
      <c r="V304" s="144">
        <f>IFERROR(_xlfn.XLOOKUP($B304,'Cronog. e Histog.'!$BZ:$BZ,'Cronog. e Histog.'!CQ:CQ),"")</f>
        <v>0</v>
      </c>
      <c r="W304" s="144">
        <f>IFERROR(_xlfn.XLOOKUP($B304,'Cronog. e Histog.'!$BZ:$BZ,'Cronog. e Histog.'!CR:CR),"")</f>
        <v>0</v>
      </c>
      <c r="X304" s="144">
        <f>IFERROR(_xlfn.XLOOKUP($B304,'Cronog. e Histog.'!$BZ:$BZ,'Cronog. e Histog.'!CS:CS),"")</f>
        <v>0</v>
      </c>
      <c r="Y304" s="144">
        <f>IFERROR(_xlfn.XLOOKUP($B304,'Cronog. e Histog.'!$BZ:$BZ,'Cronog. e Histog.'!CT:CT),"")</f>
        <v>0</v>
      </c>
      <c r="Z304" s="144">
        <f>IFERROR(_xlfn.XLOOKUP($B304,'Cronog. e Histog.'!$BZ:$BZ,'Cronog. e Histog.'!CU:CU),"")</f>
        <v>0</v>
      </c>
      <c r="AA304" s="144">
        <f>IFERROR(_xlfn.XLOOKUP($B304,'Cronog. e Histog.'!$BZ:$BZ,'Cronog. e Histog.'!CV:CV),"")</f>
        <v>0</v>
      </c>
      <c r="AB304" s="144">
        <f>IFERROR(_xlfn.XLOOKUP($B304,'Cronog. e Histog.'!$BZ:$BZ,'Cronog. e Histog.'!CW:CW),"")</f>
        <v>0</v>
      </c>
      <c r="AC304" s="144">
        <f>IFERROR(_xlfn.XLOOKUP($B304,'Cronog. e Histog.'!$BZ:$BZ,'Cronog. e Histog.'!CX:CX),"")</f>
        <v>0</v>
      </c>
      <c r="AD304" s="144">
        <f>IFERROR(_xlfn.XLOOKUP($B304,'Cronog. e Histog.'!$BZ:$BZ,'Cronog. e Histog.'!CY:CY),"")</f>
        <v>0</v>
      </c>
      <c r="AE304" s="144">
        <f>IFERROR(_xlfn.XLOOKUP($B304,'Cronog. e Histog.'!$BZ:$BZ,'Cronog. e Histog.'!CZ:CZ),"")</f>
        <v>0</v>
      </c>
      <c r="AF304" s="144">
        <f>IFERROR(_xlfn.XLOOKUP($B304,'Cronog. e Histog.'!$BZ:$BZ,'Cronog. e Histog.'!DA:DA),"")</f>
        <v>0</v>
      </c>
      <c r="AG304" s="144">
        <f>IFERROR(_xlfn.XLOOKUP($B304,'Cronog. e Histog.'!$BZ:$BZ,'Cronog. e Histog.'!DB:DB),"")</f>
        <v>0</v>
      </c>
      <c r="AH304" s="144">
        <f>IFERROR(_xlfn.XLOOKUP($B304,'Cronog. e Histog.'!$BZ:$BZ,'Cronog. e Histog.'!DC:DC),"")</f>
        <v>0</v>
      </c>
      <c r="AI304" s="144">
        <f>IFERROR(_xlfn.XLOOKUP($B304,'Cronog. e Histog.'!$BZ:$BZ,'Cronog. e Histog.'!DD:DD),"")</f>
        <v>0</v>
      </c>
      <c r="AJ304" s="144">
        <f>IFERROR(_xlfn.XLOOKUP($B304,'Cronog. e Histog.'!$BZ:$BZ,'Cronog. e Histog.'!DE:DE),"")</f>
        <v>0</v>
      </c>
      <c r="AK304" s="144">
        <f>IFERROR(_xlfn.XLOOKUP($B304,'Cronog. e Histog.'!$BZ:$BZ,'Cronog. e Histog.'!DF:DF),"")</f>
        <v>0</v>
      </c>
      <c r="AL304" s="144">
        <f>IFERROR(_xlfn.XLOOKUP($B304,'Cronog. e Histog.'!$BZ:$BZ,'Cronog. e Histog.'!DG:DG),"")</f>
        <v>0</v>
      </c>
      <c r="AM304" s="144">
        <f>IFERROR(_xlfn.XLOOKUP($B304,'Cronog. e Histog.'!$BZ:$BZ,'Cronog. e Histog.'!DH:DH),"")</f>
        <v>0</v>
      </c>
      <c r="AN304" s="144">
        <f>IFERROR(_xlfn.XLOOKUP($B304,'Cronog. e Histog.'!$BZ:$BZ,'Cronog. e Histog.'!DI:DI),"")</f>
        <v>0</v>
      </c>
      <c r="AO304" s="144">
        <f>IFERROR(_xlfn.XLOOKUP($B304,'Cronog. e Histog.'!$BZ:$BZ,'Cronog. e Histog.'!DJ:DJ),"")</f>
        <v>0</v>
      </c>
      <c r="AP304" s="144">
        <f>IFERROR(_xlfn.XLOOKUP($B304,'Cronog. e Histog.'!$BZ:$BZ,'Cronog. e Histog.'!DK:DK),"")</f>
        <v>0</v>
      </c>
      <c r="AQ304" s="144">
        <f>IFERROR(_xlfn.XLOOKUP($B304,'Cronog. e Histog.'!$BZ:$BZ,'Cronog. e Histog.'!DL:DL),"")</f>
        <v>0</v>
      </c>
      <c r="AR304" s="144">
        <f>IFERROR(_xlfn.XLOOKUP($B304,'Cronog. e Histog.'!$BZ:$BZ,'Cronog. e Histog.'!DM:DM),"")</f>
        <v>0</v>
      </c>
      <c r="AS304" s="144">
        <f>IFERROR(_xlfn.XLOOKUP($B304,'Cronog. e Histog.'!$BZ:$BZ,'Cronog. e Histog.'!DN:DN),"")</f>
        <v>0</v>
      </c>
      <c r="AT304" s="144">
        <f>IFERROR(_xlfn.XLOOKUP($B304,'Cronog. e Histog.'!$BZ:$BZ,'Cronog. e Histog.'!DO:DO),"")</f>
        <v>0</v>
      </c>
      <c r="AU304" s="144">
        <f>IFERROR(_xlfn.XLOOKUP($B304,'Cronog. e Histog.'!$BZ:$BZ,'Cronog. e Histog.'!DP:DP),"")</f>
        <v>0</v>
      </c>
      <c r="AV304" s="144">
        <f>IFERROR(_xlfn.XLOOKUP($B304,'Cronog. e Histog.'!$BZ:$BZ,'Cronog. e Histog.'!DQ:DQ),"")</f>
        <v>0</v>
      </c>
      <c r="AW304" s="144">
        <f>IFERROR(_xlfn.XLOOKUP($B304,'Cronog. e Histog.'!$BZ:$BZ,'Cronog. e Histog.'!DR:DR),"")</f>
        <v>0</v>
      </c>
      <c r="AX304" s="144">
        <f>IFERROR(_xlfn.XLOOKUP($B304,'Cronog. e Histog.'!$BZ:$BZ,'Cronog. e Histog.'!DS:DS),"")</f>
        <v>0</v>
      </c>
      <c r="AY304" s="144">
        <f>IFERROR(_xlfn.XLOOKUP($B304,'Cronog. e Histog.'!$BZ:$BZ,'Cronog. e Histog.'!DT:DT),"")</f>
        <v>0</v>
      </c>
      <c r="AZ304" s="144">
        <f>IFERROR(_xlfn.XLOOKUP($B304,'Cronog. e Histog.'!$BZ:$BZ,'Cronog. e Histog.'!DU:DU),"")</f>
        <v>0</v>
      </c>
      <c r="BA304" s="144">
        <f>IFERROR(_xlfn.XLOOKUP($B304,'Cronog. e Histog.'!$BZ:$BZ,'Cronog. e Histog.'!DV:DV),"")</f>
        <v>0</v>
      </c>
      <c r="BB304" s="144">
        <f>IFERROR(_xlfn.XLOOKUP($B304,'Cronog. e Histog.'!$BZ:$BZ,'Cronog. e Histog.'!DW:DW),"")</f>
        <v>0</v>
      </c>
      <c r="BC304" s="144">
        <f>IFERROR(_xlfn.XLOOKUP($B304,'Cronog. e Histog.'!$BZ:$BZ,'Cronog. e Histog.'!DX:DX),"")</f>
        <v>0</v>
      </c>
      <c r="BD304" s="144">
        <f>IFERROR(_xlfn.XLOOKUP($B304,'Cronog. e Histog.'!$BZ:$BZ,'Cronog. e Histog.'!DY:DY),"")</f>
        <v>0</v>
      </c>
      <c r="BE304" s="144">
        <f>IFERROR(_xlfn.XLOOKUP($B304,'Cronog. e Histog.'!$BZ:$BZ,'Cronog. e Histog.'!DZ:DZ),"")</f>
        <v>0</v>
      </c>
      <c r="BF304" s="144">
        <f>IFERROR(_xlfn.XLOOKUP($B304,'Cronog. e Histog.'!$BZ:$BZ,'Cronog. e Histog.'!EA:EA),"")</f>
        <v>0</v>
      </c>
      <c r="BG304" s="144">
        <f>IFERROR(_xlfn.XLOOKUP($B304,'Cronog. e Histog.'!$BZ:$BZ,'Cronog. e Histog.'!EB:EB),"")</f>
        <v>0</v>
      </c>
      <c r="BH304" s="144">
        <f>IFERROR(_xlfn.XLOOKUP($B304,'Cronog. e Histog.'!$BZ:$BZ,'Cronog. e Histog.'!EC:EC),"")</f>
        <v>0</v>
      </c>
      <c r="BI304" s="144">
        <f>IFERROR(_xlfn.XLOOKUP($B304,'Cronog. e Histog.'!$BZ:$BZ,'Cronog. e Histog.'!ED:ED),"")</f>
        <v>0</v>
      </c>
      <c r="BJ304" s="144">
        <f>IFERROR(_xlfn.XLOOKUP($B304,'Cronog. e Histog.'!$BZ:$BZ,'Cronog. e Histog.'!EE:EE),"")</f>
        <v>0</v>
      </c>
      <c r="BK304" s="144">
        <f>IFERROR(_xlfn.XLOOKUP($B304,'Cronog. e Histog.'!$BZ:$BZ,'Cronog. e Histog.'!EF:EF),"")</f>
        <v>0</v>
      </c>
      <c r="BL304" s="144">
        <f>IFERROR(_xlfn.XLOOKUP($B304,'Cronog. e Histog.'!$BZ:$BZ,'Cronog. e Histog.'!EG:EG),"")</f>
        <v>0</v>
      </c>
      <c r="BM304" s="144">
        <f>IFERROR(_xlfn.XLOOKUP($B304,'Cronog. e Histog.'!$BZ:$BZ,'Cronog. e Histog.'!EH:EH),"")</f>
        <v>0</v>
      </c>
      <c r="BN304" s="144">
        <f>IFERROR(_xlfn.XLOOKUP($B304,'Cronog. e Histog.'!$BZ:$BZ,'Cronog. e Histog.'!EI:EI),"")</f>
        <v>0</v>
      </c>
    </row>
    <row r="305" spans="2:66" ht="12" hidden="1" customHeight="1" outlineLevel="1">
      <c r="B305" s="76">
        <v>299</v>
      </c>
      <c r="C305" s="143" t="str">
        <f>IFERROR(VLOOKUP(B305,'Cronog. e Histog.'!$BZ$213:$CA$747,2,0),"")</f>
        <v>EST_II</v>
      </c>
      <c r="D305" s="144">
        <f t="shared" si="6"/>
        <v>0</v>
      </c>
      <c r="E305" s="144">
        <f t="shared" si="7"/>
        <v>0</v>
      </c>
      <c r="F305" s="65"/>
      <c r="G305" s="144">
        <f>IFERROR(_xlfn.XLOOKUP($B305,'Cronog. e Histog.'!$BZ:$BZ,'Cronog. e Histog.'!CB:CB),"")</f>
        <v>0</v>
      </c>
      <c r="H305" s="144">
        <f>IFERROR(_xlfn.XLOOKUP($B305,'Cronog. e Histog.'!$BZ:$BZ,'Cronog. e Histog.'!CC:CC),"")</f>
        <v>0</v>
      </c>
      <c r="I305" s="144">
        <f>IFERROR(_xlfn.XLOOKUP($B305,'Cronog. e Histog.'!$BZ:$BZ,'Cronog. e Histog.'!CD:CD),"")</f>
        <v>0</v>
      </c>
      <c r="J305" s="144">
        <f>IFERROR(_xlfn.XLOOKUP($B305,'Cronog. e Histog.'!$BZ:$BZ,'Cronog. e Histog.'!CE:CE),"")</f>
        <v>0</v>
      </c>
      <c r="K305" s="144">
        <f>IFERROR(_xlfn.XLOOKUP($B305,'Cronog. e Histog.'!$BZ:$BZ,'Cronog. e Histog.'!CF:CF),"")</f>
        <v>0</v>
      </c>
      <c r="L305" s="144">
        <f>IFERROR(_xlfn.XLOOKUP($B305,'Cronog. e Histog.'!$BZ:$BZ,'Cronog. e Histog.'!CG:CG),"")</f>
        <v>0</v>
      </c>
      <c r="M305" s="144">
        <f>IFERROR(_xlfn.XLOOKUP($B305,'Cronog. e Histog.'!$BZ:$BZ,'Cronog. e Histog.'!CH:CH),"")</f>
        <v>0</v>
      </c>
      <c r="N305" s="144">
        <f>IFERROR(_xlfn.XLOOKUP($B305,'Cronog. e Histog.'!$BZ:$BZ,'Cronog. e Histog.'!CI:CI),"")</f>
        <v>0</v>
      </c>
      <c r="O305" s="144">
        <f>IFERROR(_xlfn.XLOOKUP($B305,'Cronog. e Histog.'!$BZ:$BZ,'Cronog. e Histog.'!CJ:CJ),"")</f>
        <v>0</v>
      </c>
      <c r="P305" s="144">
        <f>IFERROR(_xlfn.XLOOKUP($B305,'Cronog. e Histog.'!$BZ:$BZ,'Cronog. e Histog.'!CK:CK),"")</f>
        <v>0</v>
      </c>
      <c r="Q305" s="144">
        <f>IFERROR(_xlfn.XLOOKUP($B305,'Cronog. e Histog.'!$BZ:$BZ,'Cronog. e Histog.'!CL:CL),"")</f>
        <v>0</v>
      </c>
      <c r="R305" s="144">
        <f>IFERROR(_xlfn.XLOOKUP($B305,'Cronog. e Histog.'!$BZ:$BZ,'Cronog. e Histog.'!CM:CM),"")</f>
        <v>0</v>
      </c>
      <c r="S305" s="144">
        <f>IFERROR(_xlfn.XLOOKUP($B305,'Cronog. e Histog.'!$BZ:$BZ,'Cronog. e Histog.'!CN:CN),"")</f>
        <v>0</v>
      </c>
      <c r="T305" s="144">
        <f>IFERROR(_xlfn.XLOOKUP($B305,'Cronog. e Histog.'!$BZ:$BZ,'Cronog. e Histog.'!CO:CO),"")</f>
        <v>0</v>
      </c>
      <c r="U305" s="144">
        <f>IFERROR(_xlfn.XLOOKUP($B305,'Cronog. e Histog.'!$BZ:$BZ,'Cronog. e Histog.'!CP:CP),"")</f>
        <v>0</v>
      </c>
      <c r="V305" s="144">
        <f>IFERROR(_xlfn.XLOOKUP($B305,'Cronog. e Histog.'!$BZ:$BZ,'Cronog. e Histog.'!CQ:CQ),"")</f>
        <v>0</v>
      </c>
      <c r="W305" s="144">
        <f>IFERROR(_xlfn.XLOOKUP($B305,'Cronog. e Histog.'!$BZ:$BZ,'Cronog. e Histog.'!CR:CR),"")</f>
        <v>0</v>
      </c>
      <c r="X305" s="144">
        <f>IFERROR(_xlfn.XLOOKUP($B305,'Cronog. e Histog.'!$BZ:$BZ,'Cronog. e Histog.'!CS:CS),"")</f>
        <v>0</v>
      </c>
      <c r="Y305" s="144">
        <f>IFERROR(_xlfn.XLOOKUP($B305,'Cronog. e Histog.'!$BZ:$BZ,'Cronog. e Histog.'!CT:CT),"")</f>
        <v>0</v>
      </c>
      <c r="Z305" s="144">
        <f>IFERROR(_xlfn.XLOOKUP($B305,'Cronog. e Histog.'!$BZ:$BZ,'Cronog. e Histog.'!CU:CU),"")</f>
        <v>0</v>
      </c>
      <c r="AA305" s="144">
        <f>IFERROR(_xlfn.XLOOKUP($B305,'Cronog. e Histog.'!$BZ:$BZ,'Cronog. e Histog.'!CV:CV),"")</f>
        <v>0</v>
      </c>
      <c r="AB305" s="144">
        <f>IFERROR(_xlfn.XLOOKUP($B305,'Cronog. e Histog.'!$BZ:$BZ,'Cronog. e Histog.'!CW:CW),"")</f>
        <v>0</v>
      </c>
      <c r="AC305" s="144">
        <f>IFERROR(_xlfn.XLOOKUP($B305,'Cronog. e Histog.'!$BZ:$BZ,'Cronog. e Histog.'!CX:CX),"")</f>
        <v>0</v>
      </c>
      <c r="AD305" s="144">
        <f>IFERROR(_xlfn.XLOOKUP($B305,'Cronog. e Histog.'!$BZ:$BZ,'Cronog. e Histog.'!CY:CY),"")</f>
        <v>0</v>
      </c>
      <c r="AE305" s="144">
        <f>IFERROR(_xlfn.XLOOKUP($B305,'Cronog. e Histog.'!$BZ:$BZ,'Cronog. e Histog.'!CZ:CZ),"")</f>
        <v>0</v>
      </c>
      <c r="AF305" s="144">
        <f>IFERROR(_xlfn.XLOOKUP($B305,'Cronog. e Histog.'!$BZ:$BZ,'Cronog. e Histog.'!DA:DA),"")</f>
        <v>0</v>
      </c>
      <c r="AG305" s="144">
        <f>IFERROR(_xlfn.XLOOKUP($B305,'Cronog. e Histog.'!$BZ:$BZ,'Cronog. e Histog.'!DB:DB),"")</f>
        <v>0</v>
      </c>
      <c r="AH305" s="144">
        <f>IFERROR(_xlfn.XLOOKUP($B305,'Cronog. e Histog.'!$BZ:$BZ,'Cronog. e Histog.'!DC:DC),"")</f>
        <v>0</v>
      </c>
      <c r="AI305" s="144">
        <f>IFERROR(_xlfn.XLOOKUP($B305,'Cronog. e Histog.'!$BZ:$BZ,'Cronog. e Histog.'!DD:DD),"")</f>
        <v>0</v>
      </c>
      <c r="AJ305" s="144">
        <f>IFERROR(_xlfn.XLOOKUP($B305,'Cronog. e Histog.'!$BZ:$BZ,'Cronog. e Histog.'!DE:DE),"")</f>
        <v>0</v>
      </c>
      <c r="AK305" s="144">
        <f>IFERROR(_xlfn.XLOOKUP($B305,'Cronog. e Histog.'!$BZ:$BZ,'Cronog. e Histog.'!DF:DF),"")</f>
        <v>0</v>
      </c>
      <c r="AL305" s="144">
        <f>IFERROR(_xlfn.XLOOKUP($B305,'Cronog. e Histog.'!$BZ:$BZ,'Cronog. e Histog.'!DG:DG),"")</f>
        <v>0</v>
      </c>
      <c r="AM305" s="144">
        <f>IFERROR(_xlfn.XLOOKUP($B305,'Cronog. e Histog.'!$BZ:$BZ,'Cronog. e Histog.'!DH:DH),"")</f>
        <v>0</v>
      </c>
      <c r="AN305" s="144">
        <f>IFERROR(_xlfn.XLOOKUP($B305,'Cronog. e Histog.'!$BZ:$BZ,'Cronog. e Histog.'!DI:DI),"")</f>
        <v>0</v>
      </c>
      <c r="AO305" s="144">
        <f>IFERROR(_xlfn.XLOOKUP($B305,'Cronog. e Histog.'!$BZ:$BZ,'Cronog. e Histog.'!DJ:DJ),"")</f>
        <v>0</v>
      </c>
      <c r="AP305" s="144">
        <f>IFERROR(_xlfn.XLOOKUP($B305,'Cronog. e Histog.'!$BZ:$BZ,'Cronog. e Histog.'!DK:DK),"")</f>
        <v>0</v>
      </c>
      <c r="AQ305" s="144">
        <f>IFERROR(_xlfn.XLOOKUP($B305,'Cronog. e Histog.'!$BZ:$BZ,'Cronog. e Histog.'!DL:DL),"")</f>
        <v>0</v>
      </c>
      <c r="AR305" s="144">
        <f>IFERROR(_xlfn.XLOOKUP($B305,'Cronog. e Histog.'!$BZ:$BZ,'Cronog. e Histog.'!DM:DM),"")</f>
        <v>0</v>
      </c>
      <c r="AS305" s="144">
        <f>IFERROR(_xlfn.XLOOKUP($B305,'Cronog. e Histog.'!$BZ:$BZ,'Cronog. e Histog.'!DN:DN),"")</f>
        <v>0</v>
      </c>
      <c r="AT305" s="144">
        <f>IFERROR(_xlfn.XLOOKUP($B305,'Cronog. e Histog.'!$BZ:$BZ,'Cronog. e Histog.'!DO:DO),"")</f>
        <v>0</v>
      </c>
      <c r="AU305" s="144">
        <f>IFERROR(_xlfn.XLOOKUP($B305,'Cronog. e Histog.'!$BZ:$BZ,'Cronog. e Histog.'!DP:DP),"")</f>
        <v>0</v>
      </c>
      <c r="AV305" s="144">
        <f>IFERROR(_xlfn.XLOOKUP($B305,'Cronog. e Histog.'!$BZ:$BZ,'Cronog. e Histog.'!DQ:DQ),"")</f>
        <v>0</v>
      </c>
      <c r="AW305" s="144">
        <f>IFERROR(_xlfn.XLOOKUP($B305,'Cronog. e Histog.'!$BZ:$BZ,'Cronog. e Histog.'!DR:DR),"")</f>
        <v>0</v>
      </c>
      <c r="AX305" s="144">
        <f>IFERROR(_xlfn.XLOOKUP($B305,'Cronog. e Histog.'!$BZ:$BZ,'Cronog. e Histog.'!DS:DS),"")</f>
        <v>0</v>
      </c>
      <c r="AY305" s="144">
        <f>IFERROR(_xlfn.XLOOKUP($B305,'Cronog. e Histog.'!$BZ:$BZ,'Cronog. e Histog.'!DT:DT),"")</f>
        <v>0</v>
      </c>
      <c r="AZ305" s="144">
        <f>IFERROR(_xlfn.XLOOKUP($B305,'Cronog. e Histog.'!$BZ:$BZ,'Cronog. e Histog.'!DU:DU),"")</f>
        <v>0</v>
      </c>
      <c r="BA305" s="144">
        <f>IFERROR(_xlfn.XLOOKUP($B305,'Cronog. e Histog.'!$BZ:$BZ,'Cronog. e Histog.'!DV:DV),"")</f>
        <v>0</v>
      </c>
      <c r="BB305" s="144">
        <f>IFERROR(_xlfn.XLOOKUP($B305,'Cronog. e Histog.'!$BZ:$BZ,'Cronog. e Histog.'!DW:DW),"")</f>
        <v>0</v>
      </c>
      <c r="BC305" s="144">
        <f>IFERROR(_xlfn.XLOOKUP($B305,'Cronog. e Histog.'!$BZ:$BZ,'Cronog. e Histog.'!DX:DX),"")</f>
        <v>0</v>
      </c>
      <c r="BD305" s="144">
        <f>IFERROR(_xlfn.XLOOKUP($B305,'Cronog. e Histog.'!$BZ:$BZ,'Cronog. e Histog.'!DY:DY),"")</f>
        <v>0</v>
      </c>
      <c r="BE305" s="144">
        <f>IFERROR(_xlfn.XLOOKUP($B305,'Cronog. e Histog.'!$BZ:$BZ,'Cronog. e Histog.'!DZ:DZ),"")</f>
        <v>0</v>
      </c>
      <c r="BF305" s="144">
        <f>IFERROR(_xlfn.XLOOKUP($B305,'Cronog. e Histog.'!$BZ:$BZ,'Cronog. e Histog.'!EA:EA),"")</f>
        <v>0</v>
      </c>
      <c r="BG305" s="144">
        <f>IFERROR(_xlfn.XLOOKUP($B305,'Cronog. e Histog.'!$BZ:$BZ,'Cronog. e Histog.'!EB:EB),"")</f>
        <v>0</v>
      </c>
      <c r="BH305" s="144">
        <f>IFERROR(_xlfn.XLOOKUP($B305,'Cronog. e Histog.'!$BZ:$BZ,'Cronog. e Histog.'!EC:EC),"")</f>
        <v>0</v>
      </c>
      <c r="BI305" s="144">
        <f>IFERROR(_xlfn.XLOOKUP($B305,'Cronog. e Histog.'!$BZ:$BZ,'Cronog. e Histog.'!ED:ED),"")</f>
        <v>0</v>
      </c>
      <c r="BJ305" s="144">
        <f>IFERROR(_xlfn.XLOOKUP($B305,'Cronog. e Histog.'!$BZ:$BZ,'Cronog. e Histog.'!EE:EE),"")</f>
        <v>0</v>
      </c>
      <c r="BK305" s="144">
        <f>IFERROR(_xlfn.XLOOKUP($B305,'Cronog. e Histog.'!$BZ:$BZ,'Cronog. e Histog.'!EF:EF),"")</f>
        <v>0</v>
      </c>
      <c r="BL305" s="144">
        <f>IFERROR(_xlfn.XLOOKUP($B305,'Cronog. e Histog.'!$BZ:$BZ,'Cronog. e Histog.'!EG:EG),"")</f>
        <v>0</v>
      </c>
      <c r="BM305" s="144">
        <f>IFERROR(_xlfn.XLOOKUP($B305,'Cronog. e Histog.'!$BZ:$BZ,'Cronog. e Histog.'!EH:EH),"")</f>
        <v>0</v>
      </c>
      <c r="BN305" s="144">
        <f>IFERROR(_xlfn.XLOOKUP($B305,'Cronog. e Histog.'!$BZ:$BZ,'Cronog. e Histog.'!EI:EI),"")</f>
        <v>0</v>
      </c>
    </row>
    <row r="306" spans="2:66" ht="12" hidden="1" customHeight="1" outlineLevel="1">
      <c r="B306" s="76">
        <v>300</v>
      </c>
      <c r="C306" s="143" t="str">
        <f>IFERROR(VLOOKUP(B306,'Cronog. e Histog.'!$BZ$213:$CA$747,2,0),"")</f>
        <v>EST_III</v>
      </c>
      <c r="D306" s="144">
        <f t="shared" si="6"/>
        <v>0</v>
      </c>
      <c r="E306" s="144">
        <f t="shared" si="7"/>
        <v>0</v>
      </c>
      <c r="F306" s="65"/>
      <c r="G306" s="144">
        <f>IFERROR(_xlfn.XLOOKUP($B306,'Cronog. e Histog.'!$BZ:$BZ,'Cronog. e Histog.'!CB:CB),"")</f>
        <v>0</v>
      </c>
      <c r="H306" s="144">
        <f>IFERROR(_xlfn.XLOOKUP($B306,'Cronog. e Histog.'!$BZ:$BZ,'Cronog. e Histog.'!CC:CC),"")</f>
        <v>0</v>
      </c>
      <c r="I306" s="144">
        <f>IFERROR(_xlfn.XLOOKUP($B306,'Cronog. e Histog.'!$BZ:$BZ,'Cronog. e Histog.'!CD:CD),"")</f>
        <v>0</v>
      </c>
      <c r="J306" s="144">
        <f>IFERROR(_xlfn.XLOOKUP($B306,'Cronog. e Histog.'!$BZ:$BZ,'Cronog. e Histog.'!CE:CE),"")</f>
        <v>0</v>
      </c>
      <c r="K306" s="144">
        <f>IFERROR(_xlfn.XLOOKUP($B306,'Cronog. e Histog.'!$BZ:$BZ,'Cronog. e Histog.'!CF:CF),"")</f>
        <v>0</v>
      </c>
      <c r="L306" s="144">
        <f>IFERROR(_xlfn.XLOOKUP($B306,'Cronog. e Histog.'!$BZ:$BZ,'Cronog. e Histog.'!CG:CG),"")</f>
        <v>0</v>
      </c>
      <c r="M306" s="144">
        <f>IFERROR(_xlfn.XLOOKUP($B306,'Cronog. e Histog.'!$BZ:$BZ,'Cronog. e Histog.'!CH:CH),"")</f>
        <v>0</v>
      </c>
      <c r="N306" s="144">
        <f>IFERROR(_xlfn.XLOOKUP($B306,'Cronog. e Histog.'!$BZ:$BZ,'Cronog. e Histog.'!CI:CI),"")</f>
        <v>0</v>
      </c>
      <c r="O306" s="144">
        <f>IFERROR(_xlfn.XLOOKUP($B306,'Cronog. e Histog.'!$BZ:$BZ,'Cronog. e Histog.'!CJ:CJ),"")</f>
        <v>0</v>
      </c>
      <c r="P306" s="144">
        <f>IFERROR(_xlfn.XLOOKUP($B306,'Cronog. e Histog.'!$BZ:$BZ,'Cronog. e Histog.'!CK:CK),"")</f>
        <v>0</v>
      </c>
      <c r="Q306" s="144">
        <f>IFERROR(_xlfn.XLOOKUP($B306,'Cronog. e Histog.'!$BZ:$BZ,'Cronog. e Histog.'!CL:CL),"")</f>
        <v>0</v>
      </c>
      <c r="R306" s="144">
        <f>IFERROR(_xlfn.XLOOKUP($B306,'Cronog. e Histog.'!$BZ:$BZ,'Cronog. e Histog.'!CM:CM),"")</f>
        <v>0</v>
      </c>
      <c r="S306" s="144">
        <f>IFERROR(_xlfn.XLOOKUP($B306,'Cronog. e Histog.'!$BZ:$BZ,'Cronog. e Histog.'!CN:CN),"")</f>
        <v>0</v>
      </c>
      <c r="T306" s="144">
        <f>IFERROR(_xlfn.XLOOKUP($B306,'Cronog. e Histog.'!$BZ:$BZ,'Cronog. e Histog.'!CO:CO),"")</f>
        <v>0</v>
      </c>
      <c r="U306" s="144">
        <f>IFERROR(_xlfn.XLOOKUP($B306,'Cronog. e Histog.'!$BZ:$BZ,'Cronog. e Histog.'!CP:CP),"")</f>
        <v>0</v>
      </c>
      <c r="V306" s="144">
        <f>IFERROR(_xlfn.XLOOKUP($B306,'Cronog. e Histog.'!$BZ:$BZ,'Cronog. e Histog.'!CQ:CQ),"")</f>
        <v>0</v>
      </c>
      <c r="W306" s="144">
        <f>IFERROR(_xlfn.XLOOKUP($B306,'Cronog. e Histog.'!$BZ:$BZ,'Cronog. e Histog.'!CR:CR),"")</f>
        <v>0</v>
      </c>
      <c r="X306" s="144">
        <f>IFERROR(_xlfn.XLOOKUP($B306,'Cronog. e Histog.'!$BZ:$BZ,'Cronog. e Histog.'!CS:CS),"")</f>
        <v>0</v>
      </c>
      <c r="Y306" s="144">
        <f>IFERROR(_xlfn.XLOOKUP($B306,'Cronog. e Histog.'!$BZ:$BZ,'Cronog. e Histog.'!CT:CT),"")</f>
        <v>0</v>
      </c>
      <c r="Z306" s="144">
        <f>IFERROR(_xlfn.XLOOKUP($B306,'Cronog. e Histog.'!$BZ:$BZ,'Cronog. e Histog.'!CU:CU),"")</f>
        <v>0</v>
      </c>
      <c r="AA306" s="144">
        <f>IFERROR(_xlfn.XLOOKUP($B306,'Cronog. e Histog.'!$BZ:$BZ,'Cronog. e Histog.'!CV:CV),"")</f>
        <v>0</v>
      </c>
      <c r="AB306" s="144">
        <f>IFERROR(_xlfn.XLOOKUP($B306,'Cronog. e Histog.'!$BZ:$BZ,'Cronog. e Histog.'!CW:CW),"")</f>
        <v>0</v>
      </c>
      <c r="AC306" s="144">
        <f>IFERROR(_xlfn.XLOOKUP($B306,'Cronog. e Histog.'!$BZ:$BZ,'Cronog. e Histog.'!CX:CX),"")</f>
        <v>0</v>
      </c>
      <c r="AD306" s="144">
        <f>IFERROR(_xlfn.XLOOKUP($B306,'Cronog. e Histog.'!$BZ:$BZ,'Cronog. e Histog.'!CY:CY),"")</f>
        <v>0</v>
      </c>
      <c r="AE306" s="144">
        <f>IFERROR(_xlfn.XLOOKUP($B306,'Cronog. e Histog.'!$BZ:$BZ,'Cronog. e Histog.'!CZ:CZ),"")</f>
        <v>0</v>
      </c>
      <c r="AF306" s="144">
        <f>IFERROR(_xlfn.XLOOKUP($B306,'Cronog. e Histog.'!$BZ:$BZ,'Cronog. e Histog.'!DA:DA),"")</f>
        <v>0</v>
      </c>
      <c r="AG306" s="144">
        <f>IFERROR(_xlfn.XLOOKUP($B306,'Cronog. e Histog.'!$BZ:$BZ,'Cronog. e Histog.'!DB:DB),"")</f>
        <v>0</v>
      </c>
      <c r="AH306" s="144">
        <f>IFERROR(_xlfn.XLOOKUP($B306,'Cronog. e Histog.'!$BZ:$BZ,'Cronog. e Histog.'!DC:DC),"")</f>
        <v>0</v>
      </c>
      <c r="AI306" s="144">
        <f>IFERROR(_xlfn.XLOOKUP($B306,'Cronog. e Histog.'!$BZ:$BZ,'Cronog. e Histog.'!DD:DD),"")</f>
        <v>0</v>
      </c>
      <c r="AJ306" s="144">
        <f>IFERROR(_xlfn.XLOOKUP($B306,'Cronog. e Histog.'!$BZ:$BZ,'Cronog. e Histog.'!DE:DE),"")</f>
        <v>0</v>
      </c>
      <c r="AK306" s="144">
        <f>IFERROR(_xlfn.XLOOKUP($B306,'Cronog. e Histog.'!$BZ:$BZ,'Cronog. e Histog.'!DF:DF),"")</f>
        <v>0</v>
      </c>
      <c r="AL306" s="144">
        <f>IFERROR(_xlfn.XLOOKUP($B306,'Cronog. e Histog.'!$BZ:$BZ,'Cronog. e Histog.'!DG:DG),"")</f>
        <v>0</v>
      </c>
      <c r="AM306" s="144">
        <f>IFERROR(_xlfn.XLOOKUP($B306,'Cronog. e Histog.'!$BZ:$BZ,'Cronog. e Histog.'!DH:DH),"")</f>
        <v>0</v>
      </c>
      <c r="AN306" s="144">
        <f>IFERROR(_xlfn.XLOOKUP($B306,'Cronog. e Histog.'!$BZ:$BZ,'Cronog. e Histog.'!DI:DI),"")</f>
        <v>0</v>
      </c>
      <c r="AO306" s="144">
        <f>IFERROR(_xlfn.XLOOKUP($B306,'Cronog. e Histog.'!$BZ:$BZ,'Cronog. e Histog.'!DJ:DJ),"")</f>
        <v>0</v>
      </c>
      <c r="AP306" s="144">
        <f>IFERROR(_xlfn.XLOOKUP($B306,'Cronog. e Histog.'!$BZ:$BZ,'Cronog. e Histog.'!DK:DK),"")</f>
        <v>0</v>
      </c>
      <c r="AQ306" s="144">
        <f>IFERROR(_xlfn.XLOOKUP($B306,'Cronog. e Histog.'!$BZ:$BZ,'Cronog. e Histog.'!DL:DL),"")</f>
        <v>0</v>
      </c>
      <c r="AR306" s="144">
        <f>IFERROR(_xlfn.XLOOKUP($B306,'Cronog. e Histog.'!$BZ:$BZ,'Cronog. e Histog.'!DM:DM),"")</f>
        <v>0</v>
      </c>
      <c r="AS306" s="144">
        <f>IFERROR(_xlfn.XLOOKUP($B306,'Cronog. e Histog.'!$BZ:$BZ,'Cronog. e Histog.'!DN:DN),"")</f>
        <v>0</v>
      </c>
      <c r="AT306" s="144">
        <f>IFERROR(_xlfn.XLOOKUP($B306,'Cronog. e Histog.'!$BZ:$BZ,'Cronog. e Histog.'!DO:DO),"")</f>
        <v>0</v>
      </c>
      <c r="AU306" s="144">
        <f>IFERROR(_xlfn.XLOOKUP($B306,'Cronog. e Histog.'!$BZ:$BZ,'Cronog. e Histog.'!DP:DP),"")</f>
        <v>0</v>
      </c>
      <c r="AV306" s="144">
        <f>IFERROR(_xlfn.XLOOKUP($B306,'Cronog. e Histog.'!$BZ:$BZ,'Cronog. e Histog.'!DQ:DQ),"")</f>
        <v>0</v>
      </c>
      <c r="AW306" s="144">
        <f>IFERROR(_xlfn.XLOOKUP($B306,'Cronog. e Histog.'!$BZ:$BZ,'Cronog. e Histog.'!DR:DR),"")</f>
        <v>0</v>
      </c>
      <c r="AX306" s="144">
        <f>IFERROR(_xlfn.XLOOKUP($B306,'Cronog. e Histog.'!$BZ:$BZ,'Cronog. e Histog.'!DS:DS),"")</f>
        <v>0</v>
      </c>
      <c r="AY306" s="144">
        <f>IFERROR(_xlfn.XLOOKUP($B306,'Cronog. e Histog.'!$BZ:$BZ,'Cronog. e Histog.'!DT:DT),"")</f>
        <v>0</v>
      </c>
      <c r="AZ306" s="144">
        <f>IFERROR(_xlfn.XLOOKUP($B306,'Cronog. e Histog.'!$BZ:$BZ,'Cronog. e Histog.'!DU:DU),"")</f>
        <v>0</v>
      </c>
      <c r="BA306" s="144">
        <f>IFERROR(_xlfn.XLOOKUP($B306,'Cronog. e Histog.'!$BZ:$BZ,'Cronog. e Histog.'!DV:DV),"")</f>
        <v>0</v>
      </c>
      <c r="BB306" s="144">
        <f>IFERROR(_xlfn.XLOOKUP($B306,'Cronog. e Histog.'!$BZ:$BZ,'Cronog. e Histog.'!DW:DW),"")</f>
        <v>0</v>
      </c>
      <c r="BC306" s="144">
        <f>IFERROR(_xlfn.XLOOKUP($B306,'Cronog. e Histog.'!$BZ:$BZ,'Cronog. e Histog.'!DX:DX),"")</f>
        <v>0</v>
      </c>
      <c r="BD306" s="144">
        <f>IFERROR(_xlfn.XLOOKUP($B306,'Cronog. e Histog.'!$BZ:$BZ,'Cronog. e Histog.'!DY:DY),"")</f>
        <v>0</v>
      </c>
      <c r="BE306" s="144">
        <f>IFERROR(_xlfn.XLOOKUP($B306,'Cronog. e Histog.'!$BZ:$BZ,'Cronog. e Histog.'!DZ:DZ),"")</f>
        <v>0</v>
      </c>
      <c r="BF306" s="144">
        <f>IFERROR(_xlfn.XLOOKUP($B306,'Cronog. e Histog.'!$BZ:$BZ,'Cronog. e Histog.'!EA:EA),"")</f>
        <v>0</v>
      </c>
      <c r="BG306" s="144">
        <f>IFERROR(_xlfn.XLOOKUP($B306,'Cronog. e Histog.'!$BZ:$BZ,'Cronog. e Histog.'!EB:EB),"")</f>
        <v>0</v>
      </c>
      <c r="BH306" s="144">
        <f>IFERROR(_xlfn.XLOOKUP($B306,'Cronog. e Histog.'!$BZ:$BZ,'Cronog. e Histog.'!EC:EC),"")</f>
        <v>0</v>
      </c>
      <c r="BI306" s="144">
        <f>IFERROR(_xlfn.XLOOKUP($B306,'Cronog. e Histog.'!$BZ:$BZ,'Cronog. e Histog.'!ED:ED),"")</f>
        <v>0</v>
      </c>
      <c r="BJ306" s="144">
        <f>IFERROR(_xlfn.XLOOKUP($B306,'Cronog. e Histog.'!$BZ:$BZ,'Cronog. e Histog.'!EE:EE),"")</f>
        <v>0</v>
      </c>
      <c r="BK306" s="144">
        <f>IFERROR(_xlfn.XLOOKUP($B306,'Cronog. e Histog.'!$BZ:$BZ,'Cronog. e Histog.'!EF:EF),"")</f>
        <v>0</v>
      </c>
      <c r="BL306" s="144">
        <f>IFERROR(_xlfn.XLOOKUP($B306,'Cronog. e Histog.'!$BZ:$BZ,'Cronog. e Histog.'!EG:EG),"")</f>
        <v>0</v>
      </c>
      <c r="BM306" s="144">
        <f>IFERROR(_xlfn.XLOOKUP($B306,'Cronog. e Histog.'!$BZ:$BZ,'Cronog. e Histog.'!EH:EH),"")</f>
        <v>0</v>
      </c>
      <c r="BN306" s="144">
        <f>IFERROR(_xlfn.XLOOKUP($B306,'Cronog. e Histog.'!$BZ:$BZ,'Cronog. e Histog.'!EI:EI),"")</f>
        <v>0</v>
      </c>
    </row>
    <row r="307" spans="2:66" ht="12" hidden="1" customHeight="1" outlineLevel="1">
      <c r="B307" s="76">
        <v>301</v>
      </c>
      <c r="C307" s="143" t="str">
        <f>IFERROR(VLOOKUP(B307,'Cronog. e Histog.'!$BZ$213:$CA$747,2,0),"")</f>
        <v>GER. (OBRA/PROJ)</v>
      </c>
      <c r="D307" s="144">
        <f t="shared" si="6"/>
        <v>0</v>
      </c>
      <c r="E307" s="144">
        <f t="shared" si="7"/>
        <v>0</v>
      </c>
      <c r="F307" s="65"/>
      <c r="G307" s="144">
        <f>IFERROR(_xlfn.XLOOKUP($B307,'Cronog. e Histog.'!$BZ:$BZ,'Cronog. e Histog.'!CB:CB),"")</f>
        <v>0</v>
      </c>
      <c r="H307" s="144">
        <f>IFERROR(_xlfn.XLOOKUP($B307,'Cronog. e Histog.'!$BZ:$BZ,'Cronog. e Histog.'!CC:CC),"")</f>
        <v>0</v>
      </c>
      <c r="I307" s="144">
        <f>IFERROR(_xlfn.XLOOKUP($B307,'Cronog. e Histog.'!$BZ:$BZ,'Cronog. e Histog.'!CD:CD),"")</f>
        <v>0</v>
      </c>
      <c r="J307" s="144">
        <f>IFERROR(_xlfn.XLOOKUP($B307,'Cronog. e Histog.'!$BZ:$BZ,'Cronog. e Histog.'!CE:CE),"")</f>
        <v>0</v>
      </c>
      <c r="K307" s="144">
        <f>IFERROR(_xlfn.XLOOKUP($B307,'Cronog. e Histog.'!$BZ:$BZ,'Cronog. e Histog.'!CF:CF),"")</f>
        <v>0</v>
      </c>
      <c r="L307" s="144">
        <f>IFERROR(_xlfn.XLOOKUP($B307,'Cronog. e Histog.'!$BZ:$BZ,'Cronog. e Histog.'!CG:CG),"")</f>
        <v>0</v>
      </c>
      <c r="M307" s="144">
        <f>IFERROR(_xlfn.XLOOKUP($B307,'Cronog. e Histog.'!$BZ:$BZ,'Cronog. e Histog.'!CH:CH),"")</f>
        <v>0</v>
      </c>
      <c r="N307" s="144">
        <f>IFERROR(_xlfn.XLOOKUP($B307,'Cronog. e Histog.'!$BZ:$BZ,'Cronog. e Histog.'!CI:CI),"")</f>
        <v>0</v>
      </c>
      <c r="O307" s="144">
        <f>IFERROR(_xlfn.XLOOKUP($B307,'Cronog. e Histog.'!$BZ:$BZ,'Cronog. e Histog.'!CJ:CJ),"")</f>
        <v>0</v>
      </c>
      <c r="P307" s="144">
        <f>IFERROR(_xlfn.XLOOKUP($B307,'Cronog. e Histog.'!$BZ:$BZ,'Cronog. e Histog.'!CK:CK),"")</f>
        <v>0</v>
      </c>
      <c r="Q307" s="144">
        <f>IFERROR(_xlfn.XLOOKUP($B307,'Cronog. e Histog.'!$BZ:$BZ,'Cronog. e Histog.'!CL:CL),"")</f>
        <v>0</v>
      </c>
      <c r="R307" s="144">
        <f>IFERROR(_xlfn.XLOOKUP($B307,'Cronog. e Histog.'!$BZ:$BZ,'Cronog. e Histog.'!CM:CM),"")</f>
        <v>0</v>
      </c>
      <c r="S307" s="144">
        <f>IFERROR(_xlfn.XLOOKUP($B307,'Cronog. e Histog.'!$BZ:$BZ,'Cronog. e Histog.'!CN:CN),"")</f>
        <v>0</v>
      </c>
      <c r="T307" s="144">
        <f>IFERROR(_xlfn.XLOOKUP($B307,'Cronog. e Histog.'!$BZ:$BZ,'Cronog. e Histog.'!CO:CO),"")</f>
        <v>0</v>
      </c>
      <c r="U307" s="144">
        <f>IFERROR(_xlfn.XLOOKUP($B307,'Cronog. e Histog.'!$BZ:$BZ,'Cronog. e Histog.'!CP:CP),"")</f>
        <v>0</v>
      </c>
      <c r="V307" s="144">
        <f>IFERROR(_xlfn.XLOOKUP($B307,'Cronog. e Histog.'!$BZ:$BZ,'Cronog. e Histog.'!CQ:CQ),"")</f>
        <v>0</v>
      </c>
      <c r="W307" s="144">
        <f>IFERROR(_xlfn.XLOOKUP($B307,'Cronog. e Histog.'!$BZ:$BZ,'Cronog. e Histog.'!CR:CR),"")</f>
        <v>0</v>
      </c>
      <c r="X307" s="144">
        <f>IFERROR(_xlfn.XLOOKUP($B307,'Cronog. e Histog.'!$BZ:$BZ,'Cronog. e Histog.'!CS:CS),"")</f>
        <v>0</v>
      </c>
      <c r="Y307" s="144">
        <f>IFERROR(_xlfn.XLOOKUP($B307,'Cronog. e Histog.'!$BZ:$BZ,'Cronog. e Histog.'!CT:CT),"")</f>
        <v>0</v>
      </c>
      <c r="Z307" s="144">
        <f>IFERROR(_xlfn.XLOOKUP($B307,'Cronog. e Histog.'!$BZ:$BZ,'Cronog. e Histog.'!CU:CU),"")</f>
        <v>0</v>
      </c>
      <c r="AA307" s="144">
        <f>IFERROR(_xlfn.XLOOKUP($B307,'Cronog. e Histog.'!$BZ:$BZ,'Cronog. e Histog.'!CV:CV),"")</f>
        <v>0</v>
      </c>
      <c r="AB307" s="144">
        <f>IFERROR(_xlfn.XLOOKUP($B307,'Cronog. e Histog.'!$BZ:$BZ,'Cronog. e Histog.'!CW:CW),"")</f>
        <v>0</v>
      </c>
      <c r="AC307" s="144">
        <f>IFERROR(_xlfn.XLOOKUP($B307,'Cronog. e Histog.'!$BZ:$BZ,'Cronog. e Histog.'!CX:CX),"")</f>
        <v>0</v>
      </c>
      <c r="AD307" s="144">
        <f>IFERROR(_xlfn.XLOOKUP($B307,'Cronog. e Histog.'!$BZ:$BZ,'Cronog. e Histog.'!CY:CY),"")</f>
        <v>0</v>
      </c>
      <c r="AE307" s="144">
        <f>IFERROR(_xlfn.XLOOKUP($B307,'Cronog. e Histog.'!$BZ:$BZ,'Cronog. e Histog.'!CZ:CZ),"")</f>
        <v>0</v>
      </c>
      <c r="AF307" s="144">
        <f>IFERROR(_xlfn.XLOOKUP($B307,'Cronog. e Histog.'!$BZ:$BZ,'Cronog. e Histog.'!DA:DA),"")</f>
        <v>0</v>
      </c>
      <c r="AG307" s="144">
        <f>IFERROR(_xlfn.XLOOKUP($B307,'Cronog. e Histog.'!$BZ:$BZ,'Cronog. e Histog.'!DB:DB),"")</f>
        <v>0</v>
      </c>
      <c r="AH307" s="144">
        <f>IFERROR(_xlfn.XLOOKUP($B307,'Cronog. e Histog.'!$BZ:$BZ,'Cronog. e Histog.'!DC:DC),"")</f>
        <v>0</v>
      </c>
      <c r="AI307" s="144">
        <f>IFERROR(_xlfn.XLOOKUP($B307,'Cronog. e Histog.'!$BZ:$BZ,'Cronog. e Histog.'!DD:DD),"")</f>
        <v>0</v>
      </c>
      <c r="AJ307" s="144">
        <f>IFERROR(_xlfn.XLOOKUP($B307,'Cronog. e Histog.'!$BZ:$BZ,'Cronog. e Histog.'!DE:DE),"")</f>
        <v>0</v>
      </c>
      <c r="AK307" s="144">
        <f>IFERROR(_xlfn.XLOOKUP($B307,'Cronog. e Histog.'!$BZ:$BZ,'Cronog. e Histog.'!DF:DF),"")</f>
        <v>0</v>
      </c>
      <c r="AL307" s="144">
        <f>IFERROR(_xlfn.XLOOKUP($B307,'Cronog. e Histog.'!$BZ:$BZ,'Cronog. e Histog.'!DG:DG),"")</f>
        <v>0</v>
      </c>
      <c r="AM307" s="144">
        <f>IFERROR(_xlfn.XLOOKUP($B307,'Cronog. e Histog.'!$BZ:$BZ,'Cronog. e Histog.'!DH:DH),"")</f>
        <v>0</v>
      </c>
      <c r="AN307" s="144">
        <f>IFERROR(_xlfn.XLOOKUP($B307,'Cronog. e Histog.'!$BZ:$BZ,'Cronog. e Histog.'!DI:DI),"")</f>
        <v>0</v>
      </c>
      <c r="AO307" s="144">
        <f>IFERROR(_xlfn.XLOOKUP($B307,'Cronog. e Histog.'!$BZ:$BZ,'Cronog. e Histog.'!DJ:DJ),"")</f>
        <v>0</v>
      </c>
      <c r="AP307" s="144">
        <f>IFERROR(_xlfn.XLOOKUP($B307,'Cronog. e Histog.'!$BZ:$BZ,'Cronog. e Histog.'!DK:DK),"")</f>
        <v>0</v>
      </c>
      <c r="AQ307" s="144">
        <f>IFERROR(_xlfn.XLOOKUP($B307,'Cronog. e Histog.'!$BZ:$BZ,'Cronog. e Histog.'!DL:DL),"")</f>
        <v>0</v>
      </c>
      <c r="AR307" s="144">
        <f>IFERROR(_xlfn.XLOOKUP($B307,'Cronog. e Histog.'!$BZ:$BZ,'Cronog. e Histog.'!DM:DM),"")</f>
        <v>0</v>
      </c>
      <c r="AS307" s="144">
        <f>IFERROR(_xlfn.XLOOKUP($B307,'Cronog. e Histog.'!$BZ:$BZ,'Cronog. e Histog.'!DN:DN),"")</f>
        <v>0</v>
      </c>
      <c r="AT307" s="144">
        <f>IFERROR(_xlfn.XLOOKUP($B307,'Cronog. e Histog.'!$BZ:$BZ,'Cronog. e Histog.'!DO:DO),"")</f>
        <v>0</v>
      </c>
      <c r="AU307" s="144">
        <f>IFERROR(_xlfn.XLOOKUP($B307,'Cronog. e Histog.'!$BZ:$BZ,'Cronog. e Histog.'!DP:DP),"")</f>
        <v>0</v>
      </c>
      <c r="AV307" s="144">
        <f>IFERROR(_xlfn.XLOOKUP($B307,'Cronog. e Histog.'!$BZ:$BZ,'Cronog. e Histog.'!DQ:DQ),"")</f>
        <v>0</v>
      </c>
      <c r="AW307" s="144">
        <f>IFERROR(_xlfn.XLOOKUP($B307,'Cronog. e Histog.'!$BZ:$BZ,'Cronog. e Histog.'!DR:DR),"")</f>
        <v>0</v>
      </c>
      <c r="AX307" s="144">
        <f>IFERROR(_xlfn.XLOOKUP($B307,'Cronog. e Histog.'!$BZ:$BZ,'Cronog. e Histog.'!DS:DS),"")</f>
        <v>0</v>
      </c>
      <c r="AY307" s="144">
        <f>IFERROR(_xlfn.XLOOKUP($B307,'Cronog. e Histog.'!$BZ:$BZ,'Cronog. e Histog.'!DT:DT),"")</f>
        <v>0</v>
      </c>
      <c r="AZ307" s="144">
        <f>IFERROR(_xlfn.XLOOKUP($B307,'Cronog. e Histog.'!$BZ:$BZ,'Cronog. e Histog.'!DU:DU),"")</f>
        <v>0</v>
      </c>
      <c r="BA307" s="144">
        <f>IFERROR(_xlfn.XLOOKUP($B307,'Cronog. e Histog.'!$BZ:$BZ,'Cronog. e Histog.'!DV:DV),"")</f>
        <v>0</v>
      </c>
      <c r="BB307" s="144">
        <f>IFERROR(_xlfn.XLOOKUP($B307,'Cronog. e Histog.'!$BZ:$BZ,'Cronog. e Histog.'!DW:DW),"")</f>
        <v>0</v>
      </c>
      <c r="BC307" s="144">
        <f>IFERROR(_xlfn.XLOOKUP($B307,'Cronog. e Histog.'!$BZ:$BZ,'Cronog. e Histog.'!DX:DX),"")</f>
        <v>0</v>
      </c>
      <c r="BD307" s="144">
        <f>IFERROR(_xlfn.XLOOKUP($B307,'Cronog. e Histog.'!$BZ:$BZ,'Cronog. e Histog.'!DY:DY),"")</f>
        <v>0</v>
      </c>
      <c r="BE307" s="144">
        <f>IFERROR(_xlfn.XLOOKUP($B307,'Cronog. e Histog.'!$BZ:$BZ,'Cronog. e Histog.'!DZ:DZ),"")</f>
        <v>0</v>
      </c>
      <c r="BF307" s="144">
        <f>IFERROR(_xlfn.XLOOKUP($B307,'Cronog. e Histog.'!$BZ:$BZ,'Cronog. e Histog.'!EA:EA),"")</f>
        <v>0</v>
      </c>
      <c r="BG307" s="144">
        <f>IFERROR(_xlfn.XLOOKUP($B307,'Cronog. e Histog.'!$BZ:$BZ,'Cronog. e Histog.'!EB:EB),"")</f>
        <v>0</v>
      </c>
      <c r="BH307" s="144">
        <f>IFERROR(_xlfn.XLOOKUP($B307,'Cronog. e Histog.'!$BZ:$BZ,'Cronog. e Histog.'!EC:EC),"")</f>
        <v>0</v>
      </c>
      <c r="BI307" s="144">
        <f>IFERROR(_xlfn.XLOOKUP($B307,'Cronog. e Histog.'!$BZ:$BZ,'Cronog. e Histog.'!ED:ED),"")</f>
        <v>0</v>
      </c>
      <c r="BJ307" s="144">
        <f>IFERROR(_xlfn.XLOOKUP($B307,'Cronog. e Histog.'!$BZ:$BZ,'Cronog. e Histog.'!EE:EE),"")</f>
        <v>0</v>
      </c>
      <c r="BK307" s="144">
        <f>IFERROR(_xlfn.XLOOKUP($B307,'Cronog. e Histog.'!$BZ:$BZ,'Cronog. e Histog.'!EF:EF),"")</f>
        <v>0</v>
      </c>
      <c r="BL307" s="144">
        <f>IFERROR(_xlfn.XLOOKUP($B307,'Cronog. e Histog.'!$BZ:$BZ,'Cronog. e Histog.'!EG:EG),"")</f>
        <v>0</v>
      </c>
      <c r="BM307" s="144">
        <f>IFERROR(_xlfn.XLOOKUP($B307,'Cronog. e Histog.'!$BZ:$BZ,'Cronog. e Histog.'!EH:EH),"")</f>
        <v>0</v>
      </c>
      <c r="BN307" s="144">
        <f>IFERROR(_xlfn.XLOOKUP($B307,'Cronog. e Histog.'!$BZ:$BZ,'Cronog. e Histog.'!EI:EI),"")</f>
        <v>0</v>
      </c>
    </row>
    <row r="308" spans="2:66" ht="12" hidden="1" customHeight="1" outlineLevel="1">
      <c r="B308" s="76">
        <v>302</v>
      </c>
      <c r="C308" s="143" t="str">
        <f>IFERROR(VLOOKUP(B308,'Cronog. e Histog.'!$BZ$213:$CA$747,2,0),"")</f>
        <v>COORD.</v>
      </c>
      <c r="D308" s="144">
        <f t="shared" si="6"/>
        <v>1</v>
      </c>
      <c r="E308" s="144">
        <f t="shared" si="7"/>
        <v>10</v>
      </c>
      <c r="F308" s="65"/>
      <c r="G308" s="144">
        <f>IFERROR(_xlfn.XLOOKUP($B308,'Cronog. e Histog.'!$BZ:$BZ,'Cronog. e Histog.'!CB:CB),"")</f>
        <v>0.1</v>
      </c>
      <c r="H308" s="144">
        <f>IFERROR(_xlfn.XLOOKUP($B308,'Cronog. e Histog.'!$BZ:$BZ,'Cronog. e Histog.'!CC:CC),"")</f>
        <v>0.1</v>
      </c>
      <c r="I308" s="144">
        <f>IFERROR(_xlfn.XLOOKUP($B308,'Cronog. e Histog.'!$BZ:$BZ,'Cronog. e Histog.'!CD:CD),"")</f>
        <v>0.1</v>
      </c>
      <c r="J308" s="144">
        <f>IFERROR(_xlfn.XLOOKUP($B308,'Cronog. e Histog.'!$BZ:$BZ,'Cronog. e Histog.'!CE:CE),"")</f>
        <v>0.1</v>
      </c>
      <c r="K308" s="144">
        <f>IFERROR(_xlfn.XLOOKUP($B308,'Cronog. e Histog.'!$BZ:$BZ,'Cronog. e Histog.'!CF:CF),"")</f>
        <v>0.1</v>
      </c>
      <c r="L308" s="144">
        <f>IFERROR(_xlfn.XLOOKUP($B308,'Cronog. e Histog.'!$BZ:$BZ,'Cronog. e Histog.'!CG:CG),"")</f>
        <v>0.1</v>
      </c>
      <c r="M308" s="144">
        <f>IFERROR(_xlfn.XLOOKUP($B308,'Cronog. e Histog.'!$BZ:$BZ,'Cronog. e Histog.'!CH:CH),"")</f>
        <v>0.1</v>
      </c>
      <c r="N308" s="144">
        <f>IFERROR(_xlfn.XLOOKUP($B308,'Cronog. e Histog.'!$BZ:$BZ,'Cronog. e Histog.'!CI:CI),"")</f>
        <v>0.1</v>
      </c>
      <c r="O308" s="144">
        <f>IFERROR(_xlfn.XLOOKUP($B308,'Cronog. e Histog.'!$BZ:$BZ,'Cronog. e Histog.'!CJ:CJ),"")</f>
        <v>0.1</v>
      </c>
      <c r="P308" s="144">
        <f>IFERROR(_xlfn.XLOOKUP($B308,'Cronog. e Histog.'!$BZ:$BZ,'Cronog. e Histog.'!CK:CK),"")</f>
        <v>0.1</v>
      </c>
      <c r="Q308" s="144">
        <f>IFERROR(_xlfn.XLOOKUP($B308,'Cronog. e Histog.'!$BZ:$BZ,'Cronog. e Histog.'!CL:CL),"")</f>
        <v>0</v>
      </c>
      <c r="R308" s="144">
        <f>IFERROR(_xlfn.XLOOKUP($B308,'Cronog. e Histog.'!$BZ:$BZ,'Cronog. e Histog.'!CM:CM),"")</f>
        <v>0</v>
      </c>
      <c r="S308" s="144">
        <f>IFERROR(_xlfn.XLOOKUP($B308,'Cronog. e Histog.'!$BZ:$BZ,'Cronog. e Histog.'!CN:CN),"")</f>
        <v>0</v>
      </c>
      <c r="T308" s="144">
        <f>IFERROR(_xlfn.XLOOKUP($B308,'Cronog. e Histog.'!$BZ:$BZ,'Cronog. e Histog.'!CO:CO),"")</f>
        <v>0</v>
      </c>
      <c r="U308" s="144">
        <f>IFERROR(_xlfn.XLOOKUP($B308,'Cronog. e Histog.'!$BZ:$BZ,'Cronog. e Histog.'!CP:CP),"")</f>
        <v>0</v>
      </c>
      <c r="V308" s="144">
        <f>IFERROR(_xlfn.XLOOKUP($B308,'Cronog. e Histog.'!$BZ:$BZ,'Cronog. e Histog.'!CQ:CQ),"")</f>
        <v>0</v>
      </c>
      <c r="W308" s="144">
        <f>IFERROR(_xlfn.XLOOKUP($B308,'Cronog. e Histog.'!$BZ:$BZ,'Cronog. e Histog.'!CR:CR),"")</f>
        <v>0</v>
      </c>
      <c r="X308" s="144">
        <f>IFERROR(_xlfn.XLOOKUP($B308,'Cronog. e Histog.'!$BZ:$BZ,'Cronog. e Histog.'!CS:CS),"")</f>
        <v>0</v>
      </c>
      <c r="Y308" s="144">
        <f>IFERROR(_xlfn.XLOOKUP($B308,'Cronog. e Histog.'!$BZ:$BZ,'Cronog. e Histog.'!CT:CT),"")</f>
        <v>0</v>
      </c>
      <c r="Z308" s="144">
        <f>IFERROR(_xlfn.XLOOKUP($B308,'Cronog. e Histog.'!$BZ:$BZ,'Cronog. e Histog.'!CU:CU),"")</f>
        <v>0</v>
      </c>
      <c r="AA308" s="144">
        <f>IFERROR(_xlfn.XLOOKUP($B308,'Cronog. e Histog.'!$BZ:$BZ,'Cronog. e Histog.'!CV:CV),"")</f>
        <v>0</v>
      </c>
      <c r="AB308" s="144">
        <f>IFERROR(_xlfn.XLOOKUP($B308,'Cronog. e Histog.'!$BZ:$BZ,'Cronog. e Histog.'!CW:CW),"")</f>
        <v>0</v>
      </c>
      <c r="AC308" s="144">
        <f>IFERROR(_xlfn.XLOOKUP($B308,'Cronog. e Histog.'!$BZ:$BZ,'Cronog. e Histog.'!CX:CX),"")</f>
        <v>0</v>
      </c>
      <c r="AD308" s="144">
        <f>IFERROR(_xlfn.XLOOKUP($B308,'Cronog. e Histog.'!$BZ:$BZ,'Cronog. e Histog.'!CY:CY),"")</f>
        <v>0</v>
      </c>
      <c r="AE308" s="144">
        <f>IFERROR(_xlfn.XLOOKUP($B308,'Cronog. e Histog.'!$BZ:$BZ,'Cronog. e Histog.'!CZ:CZ),"")</f>
        <v>0</v>
      </c>
      <c r="AF308" s="144">
        <f>IFERROR(_xlfn.XLOOKUP($B308,'Cronog. e Histog.'!$BZ:$BZ,'Cronog. e Histog.'!DA:DA),"")</f>
        <v>0</v>
      </c>
      <c r="AG308" s="144">
        <f>IFERROR(_xlfn.XLOOKUP($B308,'Cronog. e Histog.'!$BZ:$BZ,'Cronog. e Histog.'!DB:DB),"")</f>
        <v>0</v>
      </c>
      <c r="AH308" s="144">
        <f>IFERROR(_xlfn.XLOOKUP($B308,'Cronog. e Histog.'!$BZ:$BZ,'Cronog. e Histog.'!DC:DC),"")</f>
        <v>0</v>
      </c>
      <c r="AI308" s="144">
        <f>IFERROR(_xlfn.XLOOKUP($B308,'Cronog. e Histog.'!$BZ:$BZ,'Cronog. e Histog.'!DD:DD),"")</f>
        <v>0</v>
      </c>
      <c r="AJ308" s="144">
        <f>IFERROR(_xlfn.XLOOKUP($B308,'Cronog. e Histog.'!$BZ:$BZ,'Cronog. e Histog.'!DE:DE),"")</f>
        <v>0</v>
      </c>
      <c r="AK308" s="144">
        <f>IFERROR(_xlfn.XLOOKUP($B308,'Cronog. e Histog.'!$BZ:$BZ,'Cronog. e Histog.'!DF:DF),"")</f>
        <v>0</v>
      </c>
      <c r="AL308" s="144">
        <f>IFERROR(_xlfn.XLOOKUP($B308,'Cronog. e Histog.'!$BZ:$BZ,'Cronog. e Histog.'!DG:DG),"")</f>
        <v>0</v>
      </c>
      <c r="AM308" s="144">
        <f>IFERROR(_xlfn.XLOOKUP($B308,'Cronog. e Histog.'!$BZ:$BZ,'Cronog. e Histog.'!DH:DH),"")</f>
        <v>0</v>
      </c>
      <c r="AN308" s="144">
        <f>IFERROR(_xlfn.XLOOKUP($B308,'Cronog. e Histog.'!$BZ:$BZ,'Cronog. e Histog.'!DI:DI),"")</f>
        <v>0</v>
      </c>
      <c r="AO308" s="144">
        <f>IFERROR(_xlfn.XLOOKUP($B308,'Cronog. e Histog.'!$BZ:$BZ,'Cronog. e Histog.'!DJ:DJ),"")</f>
        <v>0</v>
      </c>
      <c r="AP308" s="144">
        <f>IFERROR(_xlfn.XLOOKUP($B308,'Cronog. e Histog.'!$BZ:$BZ,'Cronog. e Histog.'!DK:DK),"")</f>
        <v>0</v>
      </c>
      <c r="AQ308" s="144">
        <f>IFERROR(_xlfn.XLOOKUP($B308,'Cronog. e Histog.'!$BZ:$BZ,'Cronog. e Histog.'!DL:DL),"")</f>
        <v>0</v>
      </c>
      <c r="AR308" s="144">
        <f>IFERROR(_xlfn.XLOOKUP($B308,'Cronog. e Histog.'!$BZ:$BZ,'Cronog. e Histog.'!DM:DM),"")</f>
        <v>0</v>
      </c>
      <c r="AS308" s="144">
        <f>IFERROR(_xlfn.XLOOKUP($B308,'Cronog. e Histog.'!$BZ:$BZ,'Cronog. e Histog.'!DN:DN),"")</f>
        <v>0</v>
      </c>
      <c r="AT308" s="144">
        <f>IFERROR(_xlfn.XLOOKUP($B308,'Cronog. e Histog.'!$BZ:$BZ,'Cronog. e Histog.'!DO:DO),"")</f>
        <v>0</v>
      </c>
      <c r="AU308" s="144">
        <f>IFERROR(_xlfn.XLOOKUP($B308,'Cronog. e Histog.'!$BZ:$BZ,'Cronog. e Histog.'!DP:DP),"")</f>
        <v>0</v>
      </c>
      <c r="AV308" s="144">
        <f>IFERROR(_xlfn.XLOOKUP($B308,'Cronog. e Histog.'!$BZ:$BZ,'Cronog. e Histog.'!DQ:DQ),"")</f>
        <v>0</v>
      </c>
      <c r="AW308" s="144">
        <f>IFERROR(_xlfn.XLOOKUP($B308,'Cronog. e Histog.'!$BZ:$BZ,'Cronog. e Histog.'!DR:DR),"")</f>
        <v>0</v>
      </c>
      <c r="AX308" s="144">
        <f>IFERROR(_xlfn.XLOOKUP($B308,'Cronog. e Histog.'!$BZ:$BZ,'Cronog. e Histog.'!DS:DS),"")</f>
        <v>0</v>
      </c>
      <c r="AY308" s="144">
        <f>IFERROR(_xlfn.XLOOKUP($B308,'Cronog. e Histog.'!$BZ:$BZ,'Cronog. e Histog.'!DT:DT),"")</f>
        <v>0</v>
      </c>
      <c r="AZ308" s="144">
        <f>IFERROR(_xlfn.XLOOKUP($B308,'Cronog. e Histog.'!$BZ:$BZ,'Cronog. e Histog.'!DU:DU),"")</f>
        <v>0</v>
      </c>
      <c r="BA308" s="144">
        <f>IFERROR(_xlfn.XLOOKUP($B308,'Cronog. e Histog.'!$BZ:$BZ,'Cronog. e Histog.'!DV:DV),"")</f>
        <v>0</v>
      </c>
      <c r="BB308" s="144">
        <f>IFERROR(_xlfn.XLOOKUP($B308,'Cronog. e Histog.'!$BZ:$BZ,'Cronog. e Histog.'!DW:DW),"")</f>
        <v>0</v>
      </c>
      <c r="BC308" s="144">
        <f>IFERROR(_xlfn.XLOOKUP($B308,'Cronog. e Histog.'!$BZ:$BZ,'Cronog. e Histog.'!DX:DX),"")</f>
        <v>0</v>
      </c>
      <c r="BD308" s="144">
        <f>IFERROR(_xlfn.XLOOKUP($B308,'Cronog. e Histog.'!$BZ:$BZ,'Cronog. e Histog.'!DY:DY),"")</f>
        <v>0</v>
      </c>
      <c r="BE308" s="144">
        <f>IFERROR(_xlfn.XLOOKUP($B308,'Cronog. e Histog.'!$BZ:$BZ,'Cronog. e Histog.'!DZ:DZ),"")</f>
        <v>0</v>
      </c>
      <c r="BF308" s="144">
        <f>IFERROR(_xlfn.XLOOKUP($B308,'Cronog. e Histog.'!$BZ:$BZ,'Cronog. e Histog.'!EA:EA),"")</f>
        <v>0</v>
      </c>
      <c r="BG308" s="144">
        <f>IFERROR(_xlfn.XLOOKUP($B308,'Cronog. e Histog.'!$BZ:$BZ,'Cronog. e Histog.'!EB:EB),"")</f>
        <v>0</v>
      </c>
      <c r="BH308" s="144">
        <f>IFERROR(_xlfn.XLOOKUP($B308,'Cronog. e Histog.'!$BZ:$BZ,'Cronog. e Histog.'!EC:EC),"")</f>
        <v>0</v>
      </c>
      <c r="BI308" s="144">
        <f>IFERROR(_xlfn.XLOOKUP($B308,'Cronog. e Histog.'!$BZ:$BZ,'Cronog. e Histog.'!ED:ED),"")</f>
        <v>0</v>
      </c>
      <c r="BJ308" s="144">
        <f>IFERROR(_xlfn.XLOOKUP($B308,'Cronog. e Histog.'!$BZ:$BZ,'Cronog. e Histog.'!EE:EE),"")</f>
        <v>0</v>
      </c>
      <c r="BK308" s="144">
        <f>IFERROR(_xlfn.XLOOKUP($B308,'Cronog. e Histog.'!$BZ:$BZ,'Cronog. e Histog.'!EF:EF),"")</f>
        <v>0</v>
      </c>
      <c r="BL308" s="144">
        <f>IFERROR(_xlfn.XLOOKUP($B308,'Cronog. e Histog.'!$BZ:$BZ,'Cronog. e Histog.'!EG:EG),"")</f>
        <v>0</v>
      </c>
      <c r="BM308" s="144">
        <f>IFERROR(_xlfn.XLOOKUP($B308,'Cronog. e Histog.'!$BZ:$BZ,'Cronog. e Histog.'!EH:EH),"")</f>
        <v>0</v>
      </c>
      <c r="BN308" s="144">
        <f>IFERROR(_xlfn.XLOOKUP($B308,'Cronog. e Histog.'!$BZ:$BZ,'Cronog. e Histog.'!EI:EI),"")</f>
        <v>0</v>
      </c>
    </row>
    <row r="309" spans="2:66" ht="12" hidden="1" customHeight="1" outlineLevel="1">
      <c r="B309" s="76">
        <v>303</v>
      </c>
      <c r="C309" s="143" t="str">
        <f>IFERROR(VLOOKUP(B309,'Cronog. e Histog.'!$BZ$213:$CA$747,2,0),"")</f>
        <v>SUP.-ESP</v>
      </c>
      <c r="D309" s="144">
        <f t="shared" si="6"/>
        <v>0</v>
      </c>
      <c r="E309" s="144">
        <f t="shared" si="7"/>
        <v>0</v>
      </c>
      <c r="F309" s="65"/>
      <c r="G309" s="144">
        <f>IFERROR(_xlfn.XLOOKUP($B309,'Cronog. e Histog.'!$BZ:$BZ,'Cronog. e Histog.'!CB:CB),"")</f>
        <v>0</v>
      </c>
      <c r="H309" s="144">
        <f>IFERROR(_xlfn.XLOOKUP($B309,'Cronog. e Histog.'!$BZ:$BZ,'Cronog. e Histog.'!CC:CC),"")</f>
        <v>0</v>
      </c>
      <c r="I309" s="144">
        <f>IFERROR(_xlfn.XLOOKUP($B309,'Cronog. e Histog.'!$BZ:$BZ,'Cronog. e Histog.'!CD:CD),"")</f>
        <v>0</v>
      </c>
      <c r="J309" s="144">
        <f>IFERROR(_xlfn.XLOOKUP($B309,'Cronog. e Histog.'!$BZ:$BZ,'Cronog. e Histog.'!CE:CE),"")</f>
        <v>0</v>
      </c>
      <c r="K309" s="144">
        <f>IFERROR(_xlfn.XLOOKUP($B309,'Cronog. e Histog.'!$BZ:$BZ,'Cronog. e Histog.'!CF:CF),"")</f>
        <v>0</v>
      </c>
      <c r="L309" s="144">
        <f>IFERROR(_xlfn.XLOOKUP($B309,'Cronog. e Histog.'!$BZ:$BZ,'Cronog. e Histog.'!CG:CG),"")</f>
        <v>0</v>
      </c>
      <c r="M309" s="144">
        <f>IFERROR(_xlfn.XLOOKUP($B309,'Cronog. e Histog.'!$BZ:$BZ,'Cronog. e Histog.'!CH:CH),"")</f>
        <v>0</v>
      </c>
      <c r="N309" s="144">
        <f>IFERROR(_xlfn.XLOOKUP($B309,'Cronog. e Histog.'!$BZ:$BZ,'Cronog. e Histog.'!CI:CI),"")</f>
        <v>0</v>
      </c>
      <c r="O309" s="144">
        <f>IFERROR(_xlfn.XLOOKUP($B309,'Cronog. e Histog.'!$BZ:$BZ,'Cronog. e Histog.'!CJ:CJ),"")</f>
        <v>0</v>
      </c>
      <c r="P309" s="144">
        <f>IFERROR(_xlfn.XLOOKUP($B309,'Cronog. e Histog.'!$BZ:$BZ,'Cronog. e Histog.'!CK:CK),"")</f>
        <v>0</v>
      </c>
      <c r="Q309" s="144">
        <f>IFERROR(_xlfn.XLOOKUP($B309,'Cronog. e Histog.'!$BZ:$BZ,'Cronog. e Histog.'!CL:CL),"")</f>
        <v>0</v>
      </c>
      <c r="R309" s="144">
        <f>IFERROR(_xlfn.XLOOKUP($B309,'Cronog. e Histog.'!$BZ:$BZ,'Cronog. e Histog.'!CM:CM),"")</f>
        <v>0</v>
      </c>
      <c r="S309" s="144">
        <f>IFERROR(_xlfn.XLOOKUP($B309,'Cronog. e Histog.'!$BZ:$BZ,'Cronog. e Histog.'!CN:CN),"")</f>
        <v>0</v>
      </c>
      <c r="T309" s="144">
        <f>IFERROR(_xlfn.XLOOKUP($B309,'Cronog. e Histog.'!$BZ:$BZ,'Cronog. e Histog.'!CO:CO),"")</f>
        <v>0</v>
      </c>
      <c r="U309" s="144">
        <f>IFERROR(_xlfn.XLOOKUP($B309,'Cronog. e Histog.'!$BZ:$BZ,'Cronog. e Histog.'!CP:CP),"")</f>
        <v>0</v>
      </c>
      <c r="V309" s="144">
        <f>IFERROR(_xlfn.XLOOKUP($B309,'Cronog. e Histog.'!$BZ:$BZ,'Cronog. e Histog.'!CQ:CQ),"")</f>
        <v>0</v>
      </c>
      <c r="W309" s="144">
        <f>IFERROR(_xlfn.XLOOKUP($B309,'Cronog. e Histog.'!$BZ:$BZ,'Cronog. e Histog.'!CR:CR),"")</f>
        <v>0</v>
      </c>
      <c r="X309" s="144">
        <f>IFERROR(_xlfn.XLOOKUP($B309,'Cronog. e Histog.'!$BZ:$BZ,'Cronog. e Histog.'!CS:CS),"")</f>
        <v>0</v>
      </c>
      <c r="Y309" s="144">
        <f>IFERROR(_xlfn.XLOOKUP($B309,'Cronog. e Histog.'!$BZ:$BZ,'Cronog. e Histog.'!CT:CT),"")</f>
        <v>0</v>
      </c>
      <c r="Z309" s="144">
        <f>IFERROR(_xlfn.XLOOKUP($B309,'Cronog. e Histog.'!$BZ:$BZ,'Cronog. e Histog.'!CU:CU),"")</f>
        <v>0</v>
      </c>
      <c r="AA309" s="144">
        <f>IFERROR(_xlfn.XLOOKUP($B309,'Cronog. e Histog.'!$BZ:$BZ,'Cronog. e Histog.'!CV:CV),"")</f>
        <v>0</v>
      </c>
      <c r="AB309" s="144">
        <f>IFERROR(_xlfn.XLOOKUP($B309,'Cronog. e Histog.'!$BZ:$BZ,'Cronog. e Histog.'!CW:CW),"")</f>
        <v>0</v>
      </c>
      <c r="AC309" s="144">
        <f>IFERROR(_xlfn.XLOOKUP($B309,'Cronog. e Histog.'!$BZ:$BZ,'Cronog. e Histog.'!CX:CX),"")</f>
        <v>0</v>
      </c>
      <c r="AD309" s="144">
        <f>IFERROR(_xlfn.XLOOKUP($B309,'Cronog. e Histog.'!$BZ:$BZ,'Cronog. e Histog.'!CY:CY),"")</f>
        <v>0</v>
      </c>
      <c r="AE309" s="144">
        <f>IFERROR(_xlfn.XLOOKUP($B309,'Cronog. e Histog.'!$BZ:$BZ,'Cronog. e Histog.'!CZ:CZ),"")</f>
        <v>0</v>
      </c>
      <c r="AF309" s="144">
        <f>IFERROR(_xlfn.XLOOKUP($B309,'Cronog. e Histog.'!$BZ:$BZ,'Cronog. e Histog.'!DA:DA),"")</f>
        <v>0</v>
      </c>
      <c r="AG309" s="144">
        <f>IFERROR(_xlfn.XLOOKUP($B309,'Cronog. e Histog.'!$BZ:$BZ,'Cronog. e Histog.'!DB:DB),"")</f>
        <v>0</v>
      </c>
      <c r="AH309" s="144">
        <f>IFERROR(_xlfn.XLOOKUP($B309,'Cronog. e Histog.'!$BZ:$BZ,'Cronog. e Histog.'!DC:DC),"")</f>
        <v>0</v>
      </c>
      <c r="AI309" s="144">
        <f>IFERROR(_xlfn.XLOOKUP($B309,'Cronog. e Histog.'!$BZ:$BZ,'Cronog. e Histog.'!DD:DD),"")</f>
        <v>0</v>
      </c>
      <c r="AJ309" s="144">
        <f>IFERROR(_xlfn.XLOOKUP($B309,'Cronog. e Histog.'!$BZ:$BZ,'Cronog. e Histog.'!DE:DE),"")</f>
        <v>0</v>
      </c>
      <c r="AK309" s="144">
        <f>IFERROR(_xlfn.XLOOKUP($B309,'Cronog. e Histog.'!$BZ:$BZ,'Cronog. e Histog.'!DF:DF),"")</f>
        <v>0</v>
      </c>
      <c r="AL309" s="144">
        <f>IFERROR(_xlfn.XLOOKUP($B309,'Cronog. e Histog.'!$BZ:$BZ,'Cronog. e Histog.'!DG:DG),"")</f>
        <v>0</v>
      </c>
      <c r="AM309" s="144">
        <f>IFERROR(_xlfn.XLOOKUP($B309,'Cronog. e Histog.'!$BZ:$BZ,'Cronog. e Histog.'!DH:DH),"")</f>
        <v>0</v>
      </c>
      <c r="AN309" s="144">
        <f>IFERROR(_xlfn.XLOOKUP($B309,'Cronog. e Histog.'!$BZ:$BZ,'Cronog. e Histog.'!DI:DI),"")</f>
        <v>0</v>
      </c>
      <c r="AO309" s="144">
        <f>IFERROR(_xlfn.XLOOKUP($B309,'Cronog. e Histog.'!$BZ:$BZ,'Cronog. e Histog.'!DJ:DJ),"")</f>
        <v>0</v>
      </c>
      <c r="AP309" s="144">
        <f>IFERROR(_xlfn.XLOOKUP($B309,'Cronog. e Histog.'!$BZ:$BZ,'Cronog. e Histog.'!DK:DK),"")</f>
        <v>0</v>
      </c>
      <c r="AQ309" s="144">
        <f>IFERROR(_xlfn.XLOOKUP($B309,'Cronog. e Histog.'!$BZ:$BZ,'Cronog. e Histog.'!DL:DL),"")</f>
        <v>0</v>
      </c>
      <c r="AR309" s="144">
        <f>IFERROR(_xlfn.XLOOKUP($B309,'Cronog. e Histog.'!$BZ:$BZ,'Cronog. e Histog.'!DM:DM),"")</f>
        <v>0</v>
      </c>
      <c r="AS309" s="144">
        <f>IFERROR(_xlfn.XLOOKUP($B309,'Cronog. e Histog.'!$BZ:$BZ,'Cronog. e Histog.'!DN:DN),"")</f>
        <v>0</v>
      </c>
      <c r="AT309" s="144">
        <f>IFERROR(_xlfn.XLOOKUP($B309,'Cronog. e Histog.'!$BZ:$BZ,'Cronog. e Histog.'!DO:DO),"")</f>
        <v>0</v>
      </c>
      <c r="AU309" s="144">
        <f>IFERROR(_xlfn.XLOOKUP($B309,'Cronog. e Histog.'!$BZ:$BZ,'Cronog. e Histog.'!DP:DP),"")</f>
        <v>0</v>
      </c>
      <c r="AV309" s="144">
        <f>IFERROR(_xlfn.XLOOKUP($B309,'Cronog. e Histog.'!$BZ:$BZ,'Cronog. e Histog.'!DQ:DQ),"")</f>
        <v>0</v>
      </c>
      <c r="AW309" s="144">
        <f>IFERROR(_xlfn.XLOOKUP($B309,'Cronog. e Histog.'!$BZ:$BZ,'Cronog. e Histog.'!DR:DR),"")</f>
        <v>0</v>
      </c>
      <c r="AX309" s="144">
        <f>IFERROR(_xlfn.XLOOKUP($B309,'Cronog. e Histog.'!$BZ:$BZ,'Cronog. e Histog.'!DS:DS),"")</f>
        <v>0</v>
      </c>
      <c r="AY309" s="144">
        <f>IFERROR(_xlfn.XLOOKUP($B309,'Cronog. e Histog.'!$BZ:$BZ,'Cronog. e Histog.'!DT:DT),"")</f>
        <v>0</v>
      </c>
      <c r="AZ309" s="144">
        <f>IFERROR(_xlfn.XLOOKUP($B309,'Cronog. e Histog.'!$BZ:$BZ,'Cronog. e Histog.'!DU:DU),"")</f>
        <v>0</v>
      </c>
      <c r="BA309" s="144">
        <f>IFERROR(_xlfn.XLOOKUP($B309,'Cronog. e Histog.'!$BZ:$BZ,'Cronog. e Histog.'!DV:DV),"")</f>
        <v>0</v>
      </c>
      <c r="BB309" s="144">
        <f>IFERROR(_xlfn.XLOOKUP($B309,'Cronog. e Histog.'!$BZ:$BZ,'Cronog. e Histog.'!DW:DW),"")</f>
        <v>0</v>
      </c>
      <c r="BC309" s="144">
        <f>IFERROR(_xlfn.XLOOKUP($B309,'Cronog. e Histog.'!$BZ:$BZ,'Cronog. e Histog.'!DX:DX),"")</f>
        <v>0</v>
      </c>
      <c r="BD309" s="144">
        <f>IFERROR(_xlfn.XLOOKUP($B309,'Cronog. e Histog.'!$BZ:$BZ,'Cronog. e Histog.'!DY:DY),"")</f>
        <v>0</v>
      </c>
      <c r="BE309" s="144">
        <f>IFERROR(_xlfn.XLOOKUP($B309,'Cronog. e Histog.'!$BZ:$BZ,'Cronog. e Histog.'!DZ:DZ),"")</f>
        <v>0</v>
      </c>
      <c r="BF309" s="144">
        <f>IFERROR(_xlfn.XLOOKUP($B309,'Cronog. e Histog.'!$BZ:$BZ,'Cronog. e Histog.'!EA:EA),"")</f>
        <v>0</v>
      </c>
      <c r="BG309" s="144">
        <f>IFERROR(_xlfn.XLOOKUP($B309,'Cronog. e Histog.'!$BZ:$BZ,'Cronog. e Histog.'!EB:EB),"")</f>
        <v>0</v>
      </c>
      <c r="BH309" s="144">
        <f>IFERROR(_xlfn.XLOOKUP($B309,'Cronog. e Histog.'!$BZ:$BZ,'Cronog. e Histog.'!EC:EC),"")</f>
        <v>0</v>
      </c>
      <c r="BI309" s="144">
        <f>IFERROR(_xlfn.XLOOKUP($B309,'Cronog. e Histog.'!$BZ:$BZ,'Cronog. e Histog.'!ED:ED),"")</f>
        <v>0</v>
      </c>
      <c r="BJ309" s="144">
        <f>IFERROR(_xlfn.XLOOKUP($B309,'Cronog. e Histog.'!$BZ:$BZ,'Cronog. e Histog.'!EE:EE),"")</f>
        <v>0</v>
      </c>
      <c r="BK309" s="144">
        <f>IFERROR(_xlfn.XLOOKUP($B309,'Cronog. e Histog.'!$BZ:$BZ,'Cronog. e Histog.'!EF:EF),"")</f>
        <v>0</v>
      </c>
      <c r="BL309" s="144">
        <f>IFERROR(_xlfn.XLOOKUP($B309,'Cronog. e Histog.'!$BZ:$BZ,'Cronog. e Histog.'!EG:EG),"")</f>
        <v>0</v>
      </c>
      <c r="BM309" s="144">
        <f>IFERROR(_xlfn.XLOOKUP($B309,'Cronog. e Histog.'!$BZ:$BZ,'Cronog. e Histog.'!EH:EH),"")</f>
        <v>0</v>
      </c>
      <c r="BN309" s="144">
        <f>IFERROR(_xlfn.XLOOKUP($B309,'Cronog. e Histog.'!$BZ:$BZ,'Cronog. e Histog.'!EI:EI),"")</f>
        <v>0</v>
      </c>
    </row>
    <row r="310" spans="2:66" ht="12" hidden="1" customHeight="1" outlineLevel="1">
      <c r="B310" s="76">
        <v>304</v>
      </c>
      <c r="C310" s="143" t="str">
        <f>IFERROR(VLOOKUP(B310,'Cronog. e Histog.'!$BZ$213:$CA$747,2,0),"")</f>
        <v>ENG/ARQ SR.</v>
      </c>
      <c r="D310" s="144">
        <f t="shared" si="6"/>
        <v>0</v>
      </c>
      <c r="E310" s="144">
        <f t="shared" si="7"/>
        <v>0</v>
      </c>
      <c r="F310" s="65"/>
      <c r="G310" s="144">
        <f>IFERROR(_xlfn.XLOOKUP($B310,'Cronog. e Histog.'!$BZ:$BZ,'Cronog. e Histog.'!CB:CB),"")</f>
        <v>0</v>
      </c>
      <c r="H310" s="144">
        <f>IFERROR(_xlfn.XLOOKUP($B310,'Cronog. e Histog.'!$BZ:$BZ,'Cronog. e Histog.'!CC:CC),"")</f>
        <v>0</v>
      </c>
      <c r="I310" s="144">
        <f>IFERROR(_xlfn.XLOOKUP($B310,'Cronog. e Histog.'!$BZ:$BZ,'Cronog. e Histog.'!CD:CD),"")</f>
        <v>0</v>
      </c>
      <c r="J310" s="144">
        <f>IFERROR(_xlfn.XLOOKUP($B310,'Cronog. e Histog.'!$BZ:$BZ,'Cronog. e Histog.'!CE:CE),"")</f>
        <v>0</v>
      </c>
      <c r="K310" s="144">
        <f>IFERROR(_xlfn.XLOOKUP($B310,'Cronog. e Histog.'!$BZ:$BZ,'Cronog. e Histog.'!CF:CF),"")</f>
        <v>0</v>
      </c>
      <c r="L310" s="144">
        <f>IFERROR(_xlfn.XLOOKUP($B310,'Cronog. e Histog.'!$BZ:$BZ,'Cronog. e Histog.'!CG:CG),"")</f>
        <v>0</v>
      </c>
      <c r="M310" s="144">
        <f>IFERROR(_xlfn.XLOOKUP($B310,'Cronog. e Histog.'!$BZ:$BZ,'Cronog. e Histog.'!CH:CH),"")</f>
        <v>0</v>
      </c>
      <c r="N310" s="144">
        <f>IFERROR(_xlfn.XLOOKUP($B310,'Cronog. e Histog.'!$BZ:$BZ,'Cronog. e Histog.'!CI:CI),"")</f>
        <v>0</v>
      </c>
      <c r="O310" s="144">
        <f>IFERROR(_xlfn.XLOOKUP($B310,'Cronog. e Histog.'!$BZ:$BZ,'Cronog. e Histog.'!CJ:CJ),"")</f>
        <v>0</v>
      </c>
      <c r="P310" s="144">
        <f>IFERROR(_xlfn.XLOOKUP($B310,'Cronog. e Histog.'!$BZ:$BZ,'Cronog. e Histog.'!CK:CK),"")</f>
        <v>0</v>
      </c>
      <c r="Q310" s="144">
        <f>IFERROR(_xlfn.XLOOKUP($B310,'Cronog. e Histog.'!$BZ:$BZ,'Cronog. e Histog.'!CL:CL),"")</f>
        <v>0</v>
      </c>
      <c r="R310" s="144">
        <f>IFERROR(_xlfn.XLOOKUP($B310,'Cronog. e Histog.'!$BZ:$BZ,'Cronog. e Histog.'!CM:CM),"")</f>
        <v>0</v>
      </c>
      <c r="S310" s="144">
        <f>IFERROR(_xlfn.XLOOKUP($B310,'Cronog. e Histog.'!$BZ:$BZ,'Cronog. e Histog.'!CN:CN),"")</f>
        <v>0</v>
      </c>
      <c r="T310" s="144">
        <f>IFERROR(_xlfn.XLOOKUP($B310,'Cronog. e Histog.'!$BZ:$BZ,'Cronog. e Histog.'!CO:CO),"")</f>
        <v>0</v>
      </c>
      <c r="U310" s="144">
        <f>IFERROR(_xlfn.XLOOKUP($B310,'Cronog. e Histog.'!$BZ:$BZ,'Cronog. e Histog.'!CP:CP),"")</f>
        <v>0</v>
      </c>
      <c r="V310" s="144">
        <f>IFERROR(_xlfn.XLOOKUP($B310,'Cronog. e Histog.'!$BZ:$BZ,'Cronog. e Histog.'!CQ:CQ),"")</f>
        <v>0</v>
      </c>
      <c r="W310" s="144">
        <f>IFERROR(_xlfn.XLOOKUP($B310,'Cronog. e Histog.'!$BZ:$BZ,'Cronog. e Histog.'!CR:CR),"")</f>
        <v>0</v>
      </c>
      <c r="X310" s="144">
        <f>IFERROR(_xlfn.XLOOKUP($B310,'Cronog. e Histog.'!$BZ:$BZ,'Cronog. e Histog.'!CS:CS),"")</f>
        <v>0</v>
      </c>
      <c r="Y310" s="144">
        <f>IFERROR(_xlfn.XLOOKUP($B310,'Cronog. e Histog.'!$BZ:$BZ,'Cronog. e Histog.'!CT:CT),"")</f>
        <v>0</v>
      </c>
      <c r="Z310" s="144">
        <f>IFERROR(_xlfn.XLOOKUP($B310,'Cronog. e Histog.'!$BZ:$BZ,'Cronog. e Histog.'!CU:CU),"")</f>
        <v>0</v>
      </c>
      <c r="AA310" s="144">
        <f>IFERROR(_xlfn.XLOOKUP($B310,'Cronog. e Histog.'!$BZ:$BZ,'Cronog. e Histog.'!CV:CV),"")</f>
        <v>0</v>
      </c>
      <c r="AB310" s="144">
        <f>IFERROR(_xlfn.XLOOKUP($B310,'Cronog. e Histog.'!$BZ:$BZ,'Cronog. e Histog.'!CW:CW),"")</f>
        <v>0</v>
      </c>
      <c r="AC310" s="144">
        <f>IFERROR(_xlfn.XLOOKUP($B310,'Cronog. e Histog.'!$BZ:$BZ,'Cronog. e Histog.'!CX:CX),"")</f>
        <v>0</v>
      </c>
      <c r="AD310" s="144">
        <f>IFERROR(_xlfn.XLOOKUP($B310,'Cronog. e Histog.'!$BZ:$BZ,'Cronog. e Histog.'!CY:CY),"")</f>
        <v>0</v>
      </c>
      <c r="AE310" s="144">
        <f>IFERROR(_xlfn.XLOOKUP($B310,'Cronog. e Histog.'!$BZ:$BZ,'Cronog. e Histog.'!CZ:CZ),"")</f>
        <v>0</v>
      </c>
      <c r="AF310" s="144">
        <f>IFERROR(_xlfn.XLOOKUP($B310,'Cronog. e Histog.'!$BZ:$BZ,'Cronog. e Histog.'!DA:DA),"")</f>
        <v>0</v>
      </c>
      <c r="AG310" s="144">
        <f>IFERROR(_xlfn.XLOOKUP($B310,'Cronog. e Histog.'!$BZ:$BZ,'Cronog. e Histog.'!DB:DB),"")</f>
        <v>0</v>
      </c>
      <c r="AH310" s="144">
        <f>IFERROR(_xlfn.XLOOKUP($B310,'Cronog. e Histog.'!$BZ:$BZ,'Cronog. e Histog.'!DC:DC),"")</f>
        <v>0</v>
      </c>
      <c r="AI310" s="144">
        <f>IFERROR(_xlfn.XLOOKUP($B310,'Cronog. e Histog.'!$BZ:$BZ,'Cronog. e Histog.'!DD:DD),"")</f>
        <v>0</v>
      </c>
      <c r="AJ310" s="144">
        <f>IFERROR(_xlfn.XLOOKUP($B310,'Cronog. e Histog.'!$BZ:$BZ,'Cronog. e Histog.'!DE:DE),"")</f>
        <v>0</v>
      </c>
      <c r="AK310" s="144">
        <f>IFERROR(_xlfn.XLOOKUP($B310,'Cronog. e Histog.'!$BZ:$BZ,'Cronog. e Histog.'!DF:DF),"")</f>
        <v>0</v>
      </c>
      <c r="AL310" s="144">
        <f>IFERROR(_xlfn.XLOOKUP($B310,'Cronog. e Histog.'!$BZ:$BZ,'Cronog. e Histog.'!DG:DG),"")</f>
        <v>0</v>
      </c>
      <c r="AM310" s="144">
        <f>IFERROR(_xlfn.XLOOKUP($B310,'Cronog. e Histog.'!$BZ:$BZ,'Cronog. e Histog.'!DH:DH),"")</f>
        <v>0</v>
      </c>
      <c r="AN310" s="144">
        <f>IFERROR(_xlfn.XLOOKUP($B310,'Cronog. e Histog.'!$BZ:$BZ,'Cronog. e Histog.'!DI:DI),"")</f>
        <v>0</v>
      </c>
      <c r="AO310" s="144">
        <f>IFERROR(_xlfn.XLOOKUP($B310,'Cronog. e Histog.'!$BZ:$BZ,'Cronog. e Histog.'!DJ:DJ),"")</f>
        <v>0</v>
      </c>
      <c r="AP310" s="144">
        <f>IFERROR(_xlfn.XLOOKUP($B310,'Cronog. e Histog.'!$BZ:$BZ,'Cronog. e Histog.'!DK:DK),"")</f>
        <v>0</v>
      </c>
      <c r="AQ310" s="144">
        <f>IFERROR(_xlfn.XLOOKUP($B310,'Cronog. e Histog.'!$BZ:$BZ,'Cronog. e Histog.'!DL:DL),"")</f>
        <v>0</v>
      </c>
      <c r="AR310" s="144">
        <f>IFERROR(_xlfn.XLOOKUP($B310,'Cronog. e Histog.'!$BZ:$BZ,'Cronog. e Histog.'!DM:DM),"")</f>
        <v>0</v>
      </c>
      <c r="AS310" s="144">
        <f>IFERROR(_xlfn.XLOOKUP($B310,'Cronog. e Histog.'!$BZ:$BZ,'Cronog. e Histog.'!DN:DN),"")</f>
        <v>0</v>
      </c>
      <c r="AT310" s="144">
        <f>IFERROR(_xlfn.XLOOKUP($B310,'Cronog. e Histog.'!$BZ:$BZ,'Cronog. e Histog.'!DO:DO),"")</f>
        <v>0</v>
      </c>
      <c r="AU310" s="144">
        <f>IFERROR(_xlfn.XLOOKUP($B310,'Cronog. e Histog.'!$BZ:$BZ,'Cronog. e Histog.'!DP:DP),"")</f>
        <v>0</v>
      </c>
      <c r="AV310" s="144">
        <f>IFERROR(_xlfn.XLOOKUP($B310,'Cronog. e Histog.'!$BZ:$BZ,'Cronog. e Histog.'!DQ:DQ),"")</f>
        <v>0</v>
      </c>
      <c r="AW310" s="144">
        <f>IFERROR(_xlfn.XLOOKUP($B310,'Cronog. e Histog.'!$BZ:$BZ,'Cronog. e Histog.'!DR:DR),"")</f>
        <v>0</v>
      </c>
      <c r="AX310" s="144">
        <f>IFERROR(_xlfn.XLOOKUP($B310,'Cronog. e Histog.'!$BZ:$BZ,'Cronog. e Histog.'!DS:DS),"")</f>
        <v>0</v>
      </c>
      <c r="AY310" s="144">
        <f>IFERROR(_xlfn.XLOOKUP($B310,'Cronog. e Histog.'!$BZ:$BZ,'Cronog. e Histog.'!DT:DT),"")</f>
        <v>0</v>
      </c>
      <c r="AZ310" s="144">
        <f>IFERROR(_xlfn.XLOOKUP($B310,'Cronog. e Histog.'!$BZ:$BZ,'Cronog. e Histog.'!DU:DU),"")</f>
        <v>0</v>
      </c>
      <c r="BA310" s="144">
        <f>IFERROR(_xlfn.XLOOKUP($B310,'Cronog. e Histog.'!$BZ:$BZ,'Cronog. e Histog.'!DV:DV),"")</f>
        <v>0</v>
      </c>
      <c r="BB310" s="144">
        <f>IFERROR(_xlfn.XLOOKUP($B310,'Cronog. e Histog.'!$BZ:$BZ,'Cronog. e Histog.'!DW:DW),"")</f>
        <v>0</v>
      </c>
      <c r="BC310" s="144">
        <f>IFERROR(_xlfn.XLOOKUP($B310,'Cronog. e Histog.'!$BZ:$BZ,'Cronog. e Histog.'!DX:DX),"")</f>
        <v>0</v>
      </c>
      <c r="BD310" s="144">
        <f>IFERROR(_xlfn.XLOOKUP($B310,'Cronog. e Histog.'!$BZ:$BZ,'Cronog. e Histog.'!DY:DY),"")</f>
        <v>0</v>
      </c>
      <c r="BE310" s="144">
        <f>IFERROR(_xlfn.XLOOKUP($B310,'Cronog. e Histog.'!$BZ:$BZ,'Cronog. e Histog.'!DZ:DZ),"")</f>
        <v>0</v>
      </c>
      <c r="BF310" s="144">
        <f>IFERROR(_xlfn.XLOOKUP($B310,'Cronog. e Histog.'!$BZ:$BZ,'Cronog. e Histog.'!EA:EA),"")</f>
        <v>0</v>
      </c>
      <c r="BG310" s="144">
        <f>IFERROR(_xlfn.XLOOKUP($B310,'Cronog. e Histog.'!$BZ:$BZ,'Cronog. e Histog.'!EB:EB),"")</f>
        <v>0</v>
      </c>
      <c r="BH310" s="144">
        <f>IFERROR(_xlfn.XLOOKUP($B310,'Cronog. e Histog.'!$BZ:$BZ,'Cronog. e Histog.'!EC:EC),"")</f>
        <v>0</v>
      </c>
      <c r="BI310" s="144">
        <f>IFERROR(_xlfn.XLOOKUP($B310,'Cronog. e Histog.'!$BZ:$BZ,'Cronog. e Histog.'!ED:ED),"")</f>
        <v>0</v>
      </c>
      <c r="BJ310" s="144">
        <f>IFERROR(_xlfn.XLOOKUP($B310,'Cronog. e Histog.'!$BZ:$BZ,'Cronog. e Histog.'!EE:EE),"")</f>
        <v>0</v>
      </c>
      <c r="BK310" s="144">
        <f>IFERROR(_xlfn.XLOOKUP($B310,'Cronog. e Histog.'!$BZ:$BZ,'Cronog. e Histog.'!EF:EF),"")</f>
        <v>0</v>
      </c>
      <c r="BL310" s="144">
        <f>IFERROR(_xlfn.XLOOKUP($B310,'Cronog. e Histog.'!$BZ:$BZ,'Cronog. e Histog.'!EG:EG),"")</f>
        <v>0</v>
      </c>
      <c r="BM310" s="144">
        <f>IFERROR(_xlfn.XLOOKUP($B310,'Cronog. e Histog.'!$BZ:$BZ,'Cronog. e Histog.'!EH:EH),"")</f>
        <v>0</v>
      </c>
      <c r="BN310" s="144">
        <f>IFERROR(_xlfn.XLOOKUP($B310,'Cronog. e Histog.'!$BZ:$BZ,'Cronog. e Histog.'!EI:EI),"")</f>
        <v>0</v>
      </c>
    </row>
    <row r="311" spans="2:66" ht="12" hidden="1" customHeight="1" outlineLevel="1">
      <c r="B311" s="76">
        <v>305</v>
      </c>
      <c r="C311" s="143" t="str">
        <f>IFERROR(VLOOKUP(B311,'Cronog. e Histog.'!$BZ$213:$CA$747,2,0),"")</f>
        <v>ENG/ARQ PL.</v>
      </c>
      <c r="D311" s="144">
        <f t="shared" si="6"/>
        <v>0</v>
      </c>
      <c r="E311" s="144">
        <f t="shared" si="7"/>
        <v>0</v>
      </c>
      <c r="F311" s="65"/>
      <c r="G311" s="144">
        <f>IFERROR(_xlfn.XLOOKUP($B311,'Cronog. e Histog.'!$BZ:$BZ,'Cronog. e Histog.'!CB:CB),"")</f>
        <v>0</v>
      </c>
      <c r="H311" s="144">
        <f>IFERROR(_xlfn.XLOOKUP($B311,'Cronog. e Histog.'!$BZ:$BZ,'Cronog. e Histog.'!CC:CC),"")</f>
        <v>0</v>
      </c>
      <c r="I311" s="144">
        <f>IFERROR(_xlfn.XLOOKUP($B311,'Cronog. e Histog.'!$BZ:$BZ,'Cronog. e Histog.'!CD:CD),"")</f>
        <v>0</v>
      </c>
      <c r="J311" s="144">
        <f>IFERROR(_xlfn.XLOOKUP($B311,'Cronog. e Histog.'!$BZ:$BZ,'Cronog. e Histog.'!CE:CE),"")</f>
        <v>0</v>
      </c>
      <c r="K311" s="144">
        <f>IFERROR(_xlfn.XLOOKUP($B311,'Cronog. e Histog.'!$BZ:$BZ,'Cronog. e Histog.'!CF:CF),"")</f>
        <v>0</v>
      </c>
      <c r="L311" s="144">
        <f>IFERROR(_xlfn.XLOOKUP($B311,'Cronog. e Histog.'!$BZ:$BZ,'Cronog. e Histog.'!CG:CG),"")</f>
        <v>0</v>
      </c>
      <c r="M311" s="144">
        <f>IFERROR(_xlfn.XLOOKUP($B311,'Cronog. e Histog.'!$BZ:$BZ,'Cronog. e Histog.'!CH:CH),"")</f>
        <v>0</v>
      </c>
      <c r="N311" s="144">
        <f>IFERROR(_xlfn.XLOOKUP($B311,'Cronog. e Histog.'!$BZ:$BZ,'Cronog. e Histog.'!CI:CI),"")</f>
        <v>0</v>
      </c>
      <c r="O311" s="144">
        <f>IFERROR(_xlfn.XLOOKUP($B311,'Cronog. e Histog.'!$BZ:$BZ,'Cronog. e Histog.'!CJ:CJ),"")</f>
        <v>0</v>
      </c>
      <c r="P311" s="144">
        <f>IFERROR(_xlfn.XLOOKUP($B311,'Cronog. e Histog.'!$BZ:$BZ,'Cronog. e Histog.'!CK:CK),"")</f>
        <v>0</v>
      </c>
      <c r="Q311" s="144">
        <f>IFERROR(_xlfn.XLOOKUP($B311,'Cronog. e Histog.'!$BZ:$BZ,'Cronog. e Histog.'!CL:CL),"")</f>
        <v>0</v>
      </c>
      <c r="R311" s="144">
        <f>IFERROR(_xlfn.XLOOKUP($B311,'Cronog. e Histog.'!$BZ:$BZ,'Cronog. e Histog.'!CM:CM),"")</f>
        <v>0</v>
      </c>
      <c r="S311" s="144">
        <f>IFERROR(_xlfn.XLOOKUP($B311,'Cronog. e Histog.'!$BZ:$BZ,'Cronog. e Histog.'!CN:CN),"")</f>
        <v>0</v>
      </c>
      <c r="T311" s="144">
        <f>IFERROR(_xlfn.XLOOKUP($B311,'Cronog. e Histog.'!$BZ:$BZ,'Cronog. e Histog.'!CO:CO),"")</f>
        <v>0</v>
      </c>
      <c r="U311" s="144">
        <f>IFERROR(_xlfn.XLOOKUP($B311,'Cronog. e Histog.'!$BZ:$BZ,'Cronog. e Histog.'!CP:CP),"")</f>
        <v>0</v>
      </c>
      <c r="V311" s="144">
        <f>IFERROR(_xlfn.XLOOKUP($B311,'Cronog. e Histog.'!$BZ:$BZ,'Cronog. e Histog.'!CQ:CQ),"")</f>
        <v>0</v>
      </c>
      <c r="W311" s="144">
        <f>IFERROR(_xlfn.XLOOKUP($B311,'Cronog. e Histog.'!$BZ:$BZ,'Cronog. e Histog.'!CR:CR),"")</f>
        <v>0</v>
      </c>
      <c r="X311" s="144">
        <f>IFERROR(_xlfn.XLOOKUP($B311,'Cronog. e Histog.'!$BZ:$BZ,'Cronog. e Histog.'!CS:CS),"")</f>
        <v>0</v>
      </c>
      <c r="Y311" s="144">
        <f>IFERROR(_xlfn.XLOOKUP($B311,'Cronog. e Histog.'!$BZ:$BZ,'Cronog. e Histog.'!CT:CT),"")</f>
        <v>0</v>
      </c>
      <c r="Z311" s="144">
        <f>IFERROR(_xlfn.XLOOKUP($B311,'Cronog. e Histog.'!$BZ:$BZ,'Cronog. e Histog.'!CU:CU),"")</f>
        <v>0</v>
      </c>
      <c r="AA311" s="144">
        <f>IFERROR(_xlfn.XLOOKUP($B311,'Cronog. e Histog.'!$BZ:$BZ,'Cronog. e Histog.'!CV:CV),"")</f>
        <v>0</v>
      </c>
      <c r="AB311" s="144">
        <f>IFERROR(_xlfn.XLOOKUP($B311,'Cronog. e Histog.'!$BZ:$BZ,'Cronog. e Histog.'!CW:CW),"")</f>
        <v>0</v>
      </c>
      <c r="AC311" s="144">
        <f>IFERROR(_xlfn.XLOOKUP($B311,'Cronog. e Histog.'!$BZ:$BZ,'Cronog. e Histog.'!CX:CX),"")</f>
        <v>0</v>
      </c>
      <c r="AD311" s="144">
        <f>IFERROR(_xlfn.XLOOKUP($B311,'Cronog. e Histog.'!$BZ:$BZ,'Cronog. e Histog.'!CY:CY),"")</f>
        <v>0</v>
      </c>
      <c r="AE311" s="144">
        <f>IFERROR(_xlfn.XLOOKUP($B311,'Cronog. e Histog.'!$BZ:$BZ,'Cronog. e Histog.'!CZ:CZ),"")</f>
        <v>0</v>
      </c>
      <c r="AF311" s="144">
        <f>IFERROR(_xlfn.XLOOKUP($B311,'Cronog. e Histog.'!$BZ:$BZ,'Cronog. e Histog.'!DA:DA),"")</f>
        <v>0</v>
      </c>
      <c r="AG311" s="144">
        <f>IFERROR(_xlfn.XLOOKUP($B311,'Cronog. e Histog.'!$BZ:$BZ,'Cronog. e Histog.'!DB:DB),"")</f>
        <v>0</v>
      </c>
      <c r="AH311" s="144">
        <f>IFERROR(_xlfn.XLOOKUP($B311,'Cronog. e Histog.'!$BZ:$BZ,'Cronog. e Histog.'!DC:DC),"")</f>
        <v>0</v>
      </c>
      <c r="AI311" s="144">
        <f>IFERROR(_xlfn.XLOOKUP($B311,'Cronog. e Histog.'!$BZ:$BZ,'Cronog. e Histog.'!DD:DD),"")</f>
        <v>0</v>
      </c>
      <c r="AJ311" s="144">
        <f>IFERROR(_xlfn.XLOOKUP($B311,'Cronog. e Histog.'!$BZ:$BZ,'Cronog. e Histog.'!DE:DE),"")</f>
        <v>0</v>
      </c>
      <c r="AK311" s="144">
        <f>IFERROR(_xlfn.XLOOKUP($B311,'Cronog. e Histog.'!$BZ:$BZ,'Cronog. e Histog.'!DF:DF),"")</f>
        <v>0</v>
      </c>
      <c r="AL311" s="144">
        <f>IFERROR(_xlfn.XLOOKUP($B311,'Cronog. e Histog.'!$BZ:$BZ,'Cronog. e Histog.'!DG:DG),"")</f>
        <v>0</v>
      </c>
      <c r="AM311" s="144">
        <f>IFERROR(_xlfn.XLOOKUP($B311,'Cronog. e Histog.'!$BZ:$BZ,'Cronog. e Histog.'!DH:DH),"")</f>
        <v>0</v>
      </c>
      <c r="AN311" s="144">
        <f>IFERROR(_xlfn.XLOOKUP($B311,'Cronog. e Histog.'!$BZ:$BZ,'Cronog. e Histog.'!DI:DI),"")</f>
        <v>0</v>
      </c>
      <c r="AO311" s="144">
        <f>IFERROR(_xlfn.XLOOKUP($B311,'Cronog. e Histog.'!$BZ:$BZ,'Cronog. e Histog.'!DJ:DJ),"")</f>
        <v>0</v>
      </c>
      <c r="AP311" s="144">
        <f>IFERROR(_xlfn.XLOOKUP($B311,'Cronog. e Histog.'!$BZ:$BZ,'Cronog. e Histog.'!DK:DK),"")</f>
        <v>0</v>
      </c>
      <c r="AQ311" s="144">
        <f>IFERROR(_xlfn.XLOOKUP($B311,'Cronog. e Histog.'!$BZ:$BZ,'Cronog. e Histog.'!DL:DL),"")</f>
        <v>0</v>
      </c>
      <c r="AR311" s="144">
        <f>IFERROR(_xlfn.XLOOKUP($B311,'Cronog. e Histog.'!$BZ:$BZ,'Cronog. e Histog.'!DM:DM),"")</f>
        <v>0</v>
      </c>
      <c r="AS311" s="144">
        <f>IFERROR(_xlfn.XLOOKUP($B311,'Cronog. e Histog.'!$BZ:$BZ,'Cronog. e Histog.'!DN:DN),"")</f>
        <v>0</v>
      </c>
      <c r="AT311" s="144">
        <f>IFERROR(_xlfn.XLOOKUP($B311,'Cronog. e Histog.'!$BZ:$BZ,'Cronog. e Histog.'!DO:DO),"")</f>
        <v>0</v>
      </c>
      <c r="AU311" s="144">
        <f>IFERROR(_xlfn.XLOOKUP($B311,'Cronog. e Histog.'!$BZ:$BZ,'Cronog. e Histog.'!DP:DP),"")</f>
        <v>0</v>
      </c>
      <c r="AV311" s="144">
        <f>IFERROR(_xlfn.XLOOKUP($B311,'Cronog. e Histog.'!$BZ:$BZ,'Cronog. e Histog.'!DQ:DQ),"")</f>
        <v>0</v>
      </c>
      <c r="AW311" s="144">
        <f>IFERROR(_xlfn.XLOOKUP($B311,'Cronog. e Histog.'!$BZ:$BZ,'Cronog. e Histog.'!DR:DR),"")</f>
        <v>0</v>
      </c>
      <c r="AX311" s="144">
        <f>IFERROR(_xlfn.XLOOKUP($B311,'Cronog. e Histog.'!$BZ:$BZ,'Cronog. e Histog.'!DS:DS),"")</f>
        <v>0</v>
      </c>
      <c r="AY311" s="144">
        <f>IFERROR(_xlfn.XLOOKUP($B311,'Cronog. e Histog.'!$BZ:$BZ,'Cronog. e Histog.'!DT:DT),"")</f>
        <v>0</v>
      </c>
      <c r="AZ311" s="144">
        <f>IFERROR(_xlfn.XLOOKUP($B311,'Cronog. e Histog.'!$BZ:$BZ,'Cronog. e Histog.'!DU:DU),"")</f>
        <v>0</v>
      </c>
      <c r="BA311" s="144">
        <f>IFERROR(_xlfn.XLOOKUP($B311,'Cronog. e Histog.'!$BZ:$BZ,'Cronog. e Histog.'!DV:DV),"")</f>
        <v>0</v>
      </c>
      <c r="BB311" s="144">
        <f>IFERROR(_xlfn.XLOOKUP($B311,'Cronog. e Histog.'!$BZ:$BZ,'Cronog. e Histog.'!DW:DW),"")</f>
        <v>0</v>
      </c>
      <c r="BC311" s="144">
        <f>IFERROR(_xlfn.XLOOKUP($B311,'Cronog. e Histog.'!$BZ:$BZ,'Cronog. e Histog.'!DX:DX),"")</f>
        <v>0</v>
      </c>
      <c r="BD311" s="144">
        <f>IFERROR(_xlfn.XLOOKUP($B311,'Cronog. e Histog.'!$BZ:$BZ,'Cronog. e Histog.'!DY:DY),"")</f>
        <v>0</v>
      </c>
      <c r="BE311" s="144">
        <f>IFERROR(_xlfn.XLOOKUP($B311,'Cronog. e Histog.'!$BZ:$BZ,'Cronog. e Histog.'!DZ:DZ),"")</f>
        <v>0</v>
      </c>
      <c r="BF311" s="144">
        <f>IFERROR(_xlfn.XLOOKUP($B311,'Cronog. e Histog.'!$BZ:$BZ,'Cronog. e Histog.'!EA:EA),"")</f>
        <v>0</v>
      </c>
      <c r="BG311" s="144">
        <f>IFERROR(_xlfn.XLOOKUP($B311,'Cronog. e Histog.'!$BZ:$BZ,'Cronog. e Histog.'!EB:EB),"")</f>
        <v>0</v>
      </c>
      <c r="BH311" s="144">
        <f>IFERROR(_xlfn.XLOOKUP($B311,'Cronog. e Histog.'!$BZ:$BZ,'Cronog. e Histog.'!EC:EC),"")</f>
        <v>0</v>
      </c>
      <c r="BI311" s="144">
        <f>IFERROR(_xlfn.XLOOKUP($B311,'Cronog. e Histog.'!$BZ:$BZ,'Cronog. e Histog.'!ED:ED),"")</f>
        <v>0</v>
      </c>
      <c r="BJ311" s="144">
        <f>IFERROR(_xlfn.XLOOKUP($B311,'Cronog. e Histog.'!$BZ:$BZ,'Cronog. e Histog.'!EE:EE),"")</f>
        <v>0</v>
      </c>
      <c r="BK311" s="144">
        <f>IFERROR(_xlfn.XLOOKUP($B311,'Cronog. e Histog.'!$BZ:$BZ,'Cronog. e Histog.'!EF:EF),"")</f>
        <v>0</v>
      </c>
      <c r="BL311" s="144">
        <f>IFERROR(_xlfn.XLOOKUP($B311,'Cronog. e Histog.'!$BZ:$BZ,'Cronog. e Histog.'!EG:EG),"")</f>
        <v>0</v>
      </c>
      <c r="BM311" s="144">
        <f>IFERROR(_xlfn.XLOOKUP($B311,'Cronog. e Histog.'!$BZ:$BZ,'Cronog. e Histog.'!EH:EH),"")</f>
        <v>0</v>
      </c>
      <c r="BN311" s="144">
        <f>IFERROR(_xlfn.XLOOKUP($B311,'Cronog. e Histog.'!$BZ:$BZ,'Cronog. e Histog.'!EI:EI),"")</f>
        <v>0</v>
      </c>
    </row>
    <row r="312" spans="2:66" ht="12" hidden="1" customHeight="1" outlineLevel="1">
      <c r="B312" s="76">
        <v>306</v>
      </c>
      <c r="C312" s="143" t="str">
        <f>IFERROR(VLOOKUP(B312,'Cronog. e Histog.'!$BZ$213:$CA$747,2,0),"")</f>
        <v>ENG/ARQ JR.</v>
      </c>
      <c r="D312" s="144">
        <f t="shared" si="6"/>
        <v>0</v>
      </c>
      <c r="E312" s="144">
        <f t="shared" si="7"/>
        <v>0</v>
      </c>
      <c r="F312" s="65"/>
      <c r="G312" s="144">
        <f>IFERROR(_xlfn.XLOOKUP($B312,'Cronog. e Histog.'!$BZ:$BZ,'Cronog. e Histog.'!CB:CB),"")</f>
        <v>0</v>
      </c>
      <c r="H312" s="144">
        <f>IFERROR(_xlfn.XLOOKUP($B312,'Cronog. e Histog.'!$BZ:$BZ,'Cronog. e Histog.'!CC:CC),"")</f>
        <v>0</v>
      </c>
      <c r="I312" s="144">
        <f>IFERROR(_xlfn.XLOOKUP($B312,'Cronog. e Histog.'!$BZ:$BZ,'Cronog. e Histog.'!CD:CD),"")</f>
        <v>0</v>
      </c>
      <c r="J312" s="144">
        <f>IFERROR(_xlfn.XLOOKUP($B312,'Cronog. e Histog.'!$BZ:$BZ,'Cronog. e Histog.'!CE:CE),"")</f>
        <v>0</v>
      </c>
      <c r="K312" s="144">
        <f>IFERROR(_xlfn.XLOOKUP($B312,'Cronog. e Histog.'!$BZ:$BZ,'Cronog. e Histog.'!CF:CF),"")</f>
        <v>0</v>
      </c>
      <c r="L312" s="144">
        <f>IFERROR(_xlfn.XLOOKUP($B312,'Cronog. e Histog.'!$BZ:$BZ,'Cronog. e Histog.'!CG:CG),"")</f>
        <v>0</v>
      </c>
      <c r="M312" s="144">
        <f>IFERROR(_xlfn.XLOOKUP($B312,'Cronog. e Histog.'!$BZ:$BZ,'Cronog. e Histog.'!CH:CH),"")</f>
        <v>0</v>
      </c>
      <c r="N312" s="144">
        <f>IFERROR(_xlfn.XLOOKUP($B312,'Cronog. e Histog.'!$BZ:$BZ,'Cronog. e Histog.'!CI:CI),"")</f>
        <v>0</v>
      </c>
      <c r="O312" s="144">
        <f>IFERROR(_xlfn.XLOOKUP($B312,'Cronog. e Histog.'!$BZ:$BZ,'Cronog. e Histog.'!CJ:CJ),"")</f>
        <v>0</v>
      </c>
      <c r="P312" s="144">
        <f>IFERROR(_xlfn.XLOOKUP($B312,'Cronog. e Histog.'!$BZ:$BZ,'Cronog. e Histog.'!CK:CK),"")</f>
        <v>0</v>
      </c>
      <c r="Q312" s="144">
        <f>IFERROR(_xlfn.XLOOKUP($B312,'Cronog. e Histog.'!$BZ:$BZ,'Cronog. e Histog.'!CL:CL),"")</f>
        <v>0</v>
      </c>
      <c r="R312" s="144">
        <f>IFERROR(_xlfn.XLOOKUP($B312,'Cronog. e Histog.'!$BZ:$BZ,'Cronog. e Histog.'!CM:CM),"")</f>
        <v>0</v>
      </c>
      <c r="S312" s="144">
        <f>IFERROR(_xlfn.XLOOKUP($B312,'Cronog. e Histog.'!$BZ:$BZ,'Cronog. e Histog.'!CN:CN),"")</f>
        <v>0</v>
      </c>
      <c r="T312" s="144">
        <f>IFERROR(_xlfn.XLOOKUP($B312,'Cronog. e Histog.'!$BZ:$BZ,'Cronog. e Histog.'!CO:CO),"")</f>
        <v>0</v>
      </c>
      <c r="U312" s="144">
        <f>IFERROR(_xlfn.XLOOKUP($B312,'Cronog. e Histog.'!$BZ:$BZ,'Cronog. e Histog.'!CP:CP),"")</f>
        <v>0</v>
      </c>
      <c r="V312" s="144">
        <f>IFERROR(_xlfn.XLOOKUP($B312,'Cronog. e Histog.'!$BZ:$BZ,'Cronog. e Histog.'!CQ:CQ),"")</f>
        <v>0</v>
      </c>
      <c r="W312" s="144">
        <f>IFERROR(_xlfn.XLOOKUP($B312,'Cronog. e Histog.'!$BZ:$BZ,'Cronog. e Histog.'!CR:CR),"")</f>
        <v>0</v>
      </c>
      <c r="X312" s="144">
        <f>IFERROR(_xlfn.XLOOKUP($B312,'Cronog. e Histog.'!$BZ:$BZ,'Cronog. e Histog.'!CS:CS),"")</f>
        <v>0</v>
      </c>
      <c r="Y312" s="144">
        <f>IFERROR(_xlfn.XLOOKUP($B312,'Cronog. e Histog.'!$BZ:$BZ,'Cronog. e Histog.'!CT:CT),"")</f>
        <v>0</v>
      </c>
      <c r="Z312" s="144">
        <f>IFERROR(_xlfn.XLOOKUP($B312,'Cronog. e Histog.'!$BZ:$BZ,'Cronog. e Histog.'!CU:CU),"")</f>
        <v>0</v>
      </c>
      <c r="AA312" s="144">
        <f>IFERROR(_xlfn.XLOOKUP($B312,'Cronog. e Histog.'!$BZ:$BZ,'Cronog. e Histog.'!CV:CV),"")</f>
        <v>0</v>
      </c>
      <c r="AB312" s="144">
        <f>IFERROR(_xlfn.XLOOKUP($B312,'Cronog. e Histog.'!$BZ:$BZ,'Cronog. e Histog.'!CW:CW),"")</f>
        <v>0</v>
      </c>
      <c r="AC312" s="144">
        <f>IFERROR(_xlfn.XLOOKUP($B312,'Cronog. e Histog.'!$BZ:$BZ,'Cronog. e Histog.'!CX:CX),"")</f>
        <v>0</v>
      </c>
      <c r="AD312" s="144">
        <f>IFERROR(_xlfn.XLOOKUP($B312,'Cronog. e Histog.'!$BZ:$BZ,'Cronog. e Histog.'!CY:CY),"")</f>
        <v>0</v>
      </c>
      <c r="AE312" s="144">
        <f>IFERROR(_xlfn.XLOOKUP($B312,'Cronog. e Histog.'!$BZ:$BZ,'Cronog. e Histog.'!CZ:CZ),"")</f>
        <v>0</v>
      </c>
      <c r="AF312" s="144">
        <f>IFERROR(_xlfn.XLOOKUP($B312,'Cronog. e Histog.'!$BZ:$BZ,'Cronog. e Histog.'!DA:DA),"")</f>
        <v>0</v>
      </c>
      <c r="AG312" s="144">
        <f>IFERROR(_xlfn.XLOOKUP($B312,'Cronog. e Histog.'!$BZ:$BZ,'Cronog. e Histog.'!DB:DB),"")</f>
        <v>0</v>
      </c>
      <c r="AH312" s="144">
        <f>IFERROR(_xlfn.XLOOKUP($B312,'Cronog. e Histog.'!$BZ:$BZ,'Cronog. e Histog.'!DC:DC),"")</f>
        <v>0</v>
      </c>
      <c r="AI312" s="144">
        <f>IFERROR(_xlfn.XLOOKUP($B312,'Cronog. e Histog.'!$BZ:$BZ,'Cronog. e Histog.'!DD:DD),"")</f>
        <v>0</v>
      </c>
      <c r="AJ312" s="144">
        <f>IFERROR(_xlfn.XLOOKUP($B312,'Cronog. e Histog.'!$BZ:$BZ,'Cronog. e Histog.'!DE:DE),"")</f>
        <v>0</v>
      </c>
      <c r="AK312" s="144">
        <f>IFERROR(_xlfn.XLOOKUP($B312,'Cronog. e Histog.'!$BZ:$BZ,'Cronog. e Histog.'!DF:DF),"")</f>
        <v>0</v>
      </c>
      <c r="AL312" s="144">
        <f>IFERROR(_xlfn.XLOOKUP($B312,'Cronog. e Histog.'!$BZ:$BZ,'Cronog. e Histog.'!DG:DG),"")</f>
        <v>0</v>
      </c>
      <c r="AM312" s="144">
        <f>IFERROR(_xlfn.XLOOKUP($B312,'Cronog. e Histog.'!$BZ:$BZ,'Cronog. e Histog.'!DH:DH),"")</f>
        <v>0</v>
      </c>
      <c r="AN312" s="144">
        <f>IFERROR(_xlfn.XLOOKUP($B312,'Cronog. e Histog.'!$BZ:$BZ,'Cronog. e Histog.'!DI:DI),"")</f>
        <v>0</v>
      </c>
      <c r="AO312" s="144">
        <f>IFERROR(_xlfn.XLOOKUP($B312,'Cronog. e Histog.'!$BZ:$BZ,'Cronog. e Histog.'!DJ:DJ),"")</f>
        <v>0</v>
      </c>
      <c r="AP312" s="144">
        <f>IFERROR(_xlfn.XLOOKUP($B312,'Cronog. e Histog.'!$BZ:$BZ,'Cronog. e Histog.'!DK:DK),"")</f>
        <v>0</v>
      </c>
      <c r="AQ312" s="144">
        <f>IFERROR(_xlfn.XLOOKUP($B312,'Cronog. e Histog.'!$BZ:$BZ,'Cronog. e Histog.'!DL:DL),"")</f>
        <v>0</v>
      </c>
      <c r="AR312" s="144">
        <f>IFERROR(_xlfn.XLOOKUP($B312,'Cronog. e Histog.'!$BZ:$BZ,'Cronog. e Histog.'!DM:DM),"")</f>
        <v>0</v>
      </c>
      <c r="AS312" s="144">
        <f>IFERROR(_xlfn.XLOOKUP($B312,'Cronog. e Histog.'!$BZ:$BZ,'Cronog. e Histog.'!DN:DN),"")</f>
        <v>0</v>
      </c>
      <c r="AT312" s="144">
        <f>IFERROR(_xlfn.XLOOKUP($B312,'Cronog. e Histog.'!$BZ:$BZ,'Cronog. e Histog.'!DO:DO),"")</f>
        <v>0</v>
      </c>
      <c r="AU312" s="144">
        <f>IFERROR(_xlfn.XLOOKUP($B312,'Cronog. e Histog.'!$BZ:$BZ,'Cronog. e Histog.'!DP:DP),"")</f>
        <v>0</v>
      </c>
      <c r="AV312" s="144">
        <f>IFERROR(_xlfn.XLOOKUP($B312,'Cronog. e Histog.'!$BZ:$BZ,'Cronog. e Histog.'!DQ:DQ),"")</f>
        <v>0</v>
      </c>
      <c r="AW312" s="144">
        <f>IFERROR(_xlfn.XLOOKUP($B312,'Cronog. e Histog.'!$BZ:$BZ,'Cronog. e Histog.'!DR:DR),"")</f>
        <v>0</v>
      </c>
      <c r="AX312" s="144">
        <f>IFERROR(_xlfn.XLOOKUP($B312,'Cronog. e Histog.'!$BZ:$BZ,'Cronog. e Histog.'!DS:DS),"")</f>
        <v>0</v>
      </c>
      <c r="AY312" s="144">
        <f>IFERROR(_xlfn.XLOOKUP($B312,'Cronog. e Histog.'!$BZ:$BZ,'Cronog. e Histog.'!DT:DT),"")</f>
        <v>0</v>
      </c>
      <c r="AZ312" s="144">
        <f>IFERROR(_xlfn.XLOOKUP($B312,'Cronog. e Histog.'!$BZ:$BZ,'Cronog. e Histog.'!DU:DU),"")</f>
        <v>0</v>
      </c>
      <c r="BA312" s="144">
        <f>IFERROR(_xlfn.XLOOKUP($B312,'Cronog. e Histog.'!$BZ:$BZ,'Cronog. e Histog.'!DV:DV),"")</f>
        <v>0</v>
      </c>
      <c r="BB312" s="144">
        <f>IFERROR(_xlfn.XLOOKUP($B312,'Cronog. e Histog.'!$BZ:$BZ,'Cronog. e Histog.'!DW:DW),"")</f>
        <v>0</v>
      </c>
      <c r="BC312" s="144">
        <f>IFERROR(_xlfn.XLOOKUP($B312,'Cronog. e Histog.'!$BZ:$BZ,'Cronog. e Histog.'!DX:DX),"")</f>
        <v>0</v>
      </c>
      <c r="BD312" s="144">
        <f>IFERROR(_xlfn.XLOOKUP($B312,'Cronog. e Histog.'!$BZ:$BZ,'Cronog. e Histog.'!DY:DY),"")</f>
        <v>0</v>
      </c>
      <c r="BE312" s="144">
        <f>IFERROR(_xlfn.XLOOKUP($B312,'Cronog. e Histog.'!$BZ:$BZ,'Cronog. e Histog.'!DZ:DZ),"")</f>
        <v>0</v>
      </c>
      <c r="BF312" s="144">
        <f>IFERROR(_xlfn.XLOOKUP($B312,'Cronog. e Histog.'!$BZ:$BZ,'Cronog. e Histog.'!EA:EA),"")</f>
        <v>0</v>
      </c>
      <c r="BG312" s="144">
        <f>IFERROR(_xlfn.XLOOKUP($B312,'Cronog. e Histog.'!$BZ:$BZ,'Cronog. e Histog.'!EB:EB),"")</f>
        <v>0</v>
      </c>
      <c r="BH312" s="144">
        <f>IFERROR(_xlfn.XLOOKUP($B312,'Cronog. e Histog.'!$BZ:$BZ,'Cronog. e Histog.'!EC:EC),"")</f>
        <v>0</v>
      </c>
      <c r="BI312" s="144">
        <f>IFERROR(_xlfn.XLOOKUP($B312,'Cronog. e Histog.'!$BZ:$BZ,'Cronog. e Histog.'!ED:ED),"")</f>
        <v>0</v>
      </c>
      <c r="BJ312" s="144">
        <f>IFERROR(_xlfn.XLOOKUP($B312,'Cronog. e Histog.'!$BZ:$BZ,'Cronog. e Histog.'!EE:EE),"")</f>
        <v>0</v>
      </c>
      <c r="BK312" s="144">
        <f>IFERROR(_xlfn.XLOOKUP($B312,'Cronog. e Histog.'!$BZ:$BZ,'Cronog. e Histog.'!EF:EF),"")</f>
        <v>0</v>
      </c>
      <c r="BL312" s="144">
        <f>IFERROR(_xlfn.XLOOKUP($B312,'Cronog. e Histog.'!$BZ:$BZ,'Cronog. e Histog.'!EG:EG),"")</f>
        <v>0</v>
      </c>
      <c r="BM312" s="144">
        <f>IFERROR(_xlfn.XLOOKUP($B312,'Cronog. e Histog.'!$BZ:$BZ,'Cronog. e Histog.'!EH:EH),"")</f>
        <v>0</v>
      </c>
      <c r="BN312" s="144">
        <f>IFERROR(_xlfn.XLOOKUP($B312,'Cronog. e Histog.'!$BZ:$BZ,'Cronog. e Histog.'!EI:EI),"")</f>
        <v>0</v>
      </c>
    </row>
    <row r="313" spans="2:66" ht="12" hidden="1" customHeight="1" outlineLevel="1">
      <c r="B313" s="76">
        <v>307</v>
      </c>
      <c r="C313" s="143" t="str">
        <f>IFERROR(VLOOKUP(B313,'Cronog. e Histog.'!$BZ$213:$CA$747,2,0),"")</f>
        <v>AN SR. ENG/ARQ</v>
      </c>
      <c r="D313" s="144">
        <f t="shared" si="6"/>
        <v>0</v>
      </c>
      <c r="E313" s="144">
        <f t="shared" si="7"/>
        <v>0</v>
      </c>
      <c r="F313" s="65"/>
      <c r="G313" s="144">
        <f>IFERROR(_xlfn.XLOOKUP($B313,'Cronog. e Histog.'!$BZ:$BZ,'Cronog. e Histog.'!CB:CB),"")</f>
        <v>0</v>
      </c>
      <c r="H313" s="144">
        <f>IFERROR(_xlfn.XLOOKUP($B313,'Cronog. e Histog.'!$BZ:$BZ,'Cronog. e Histog.'!CC:CC),"")</f>
        <v>0</v>
      </c>
      <c r="I313" s="144">
        <f>IFERROR(_xlfn.XLOOKUP($B313,'Cronog. e Histog.'!$BZ:$BZ,'Cronog. e Histog.'!CD:CD),"")</f>
        <v>0</v>
      </c>
      <c r="J313" s="144">
        <f>IFERROR(_xlfn.XLOOKUP($B313,'Cronog. e Histog.'!$BZ:$BZ,'Cronog. e Histog.'!CE:CE),"")</f>
        <v>0</v>
      </c>
      <c r="K313" s="144">
        <f>IFERROR(_xlfn.XLOOKUP($B313,'Cronog. e Histog.'!$BZ:$BZ,'Cronog. e Histog.'!CF:CF),"")</f>
        <v>0</v>
      </c>
      <c r="L313" s="144">
        <f>IFERROR(_xlfn.XLOOKUP($B313,'Cronog. e Histog.'!$BZ:$BZ,'Cronog. e Histog.'!CG:CG),"")</f>
        <v>0</v>
      </c>
      <c r="M313" s="144">
        <f>IFERROR(_xlfn.XLOOKUP($B313,'Cronog. e Histog.'!$BZ:$BZ,'Cronog. e Histog.'!CH:CH),"")</f>
        <v>0</v>
      </c>
      <c r="N313" s="144">
        <f>IFERROR(_xlfn.XLOOKUP($B313,'Cronog. e Histog.'!$BZ:$BZ,'Cronog. e Histog.'!CI:CI),"")</f>
        <v>0</v>
      </c>
      <c r="O313" s="144">
        <f>IFERROR(_xlfn.XLOOKUP($B313,'Cronog. e Histog.'!$BZ:$BZ,'Cronog. e Histog.'!CJ:CJ),"")</f>
        <v>0</v>
      </c>
      <c r="P313" s="144">
        <f>IFERROR(_xlfn.XLOOKUP($B313,'Cronog. e Histog.'!$BZ:$BZ,'Cronog. e Histog.'!CK:CK),"")</f>
        <v>0</v>
      </c>
      <c r="Q313" s="144">
        <f>IFERROR(_xlfn.XLOOKUP($B313,'Cronog. e Histog.'!$BZ:$BZ,'Cronog. e Histog.'!CL:CL),"")</f>
        <v>0</v>
      </c>
      <c r="R313" s="144">
        <f>IFERROR(_xlfn.XLOOKUP($B313,'Cronog. e Histog.'!$BZ:$BZ,'Cronog. e Histog.'!CM:CM),"")</f>
        <v>0</v>
      </c>
      <c r="S313" s="144">
        <f>IFERROR(_xlfn.XLOOKUP($B313,'Cronog. e Histog.'!$BZ:$BZ,'Cronog. e Histog.'!CN:CN),"")</f>
        <v>0</v>
      </c>
      <c r="T313" s="144">
        <f>IFERROR(_xlfn.XLOOKUP($B313,'Cronog. e Histog.'!$BZ:$BZ,'Cronog. e Histog.'!CO:CO),"")</f>
        <v>0</v>
      </c>
      <c r="U313" s="144">
        <f>IFERROR(_xlfn.XLOOKUP($B313,'Cronog. e Histog.'!$BZ:$BZ,'Cronog. e Histog.'!CP:CP),"")</f>
        <v>0</v>
      </c>
      <c r="V313" s="144">
        <f>IFERROR(_xlfn.XLOOKUP($B313,'Cronog. e Histog.'!$BZ:$BZ,'Cronog. e Histog.'!CQ:CQ),"")</f>
        <v>0</v>
      </c>
      <c r="W313" s="144">
        <f>IFERROR(_xlfn.XLOOKUP($B313,'Cronog. e Histog.'!$BZ:$BZ,'Cronog. e Histog.'!CR:CR),"")</f>
        <v>0</v>
      </c>
      <c r="X313" s="144">
        <f>IFERROR(_xlfn.XLOOKUP($B313,'Cronog. e Histog.'!$BZ:$BZ,'Cronog. e Histog.'!CS:CS),"")</f>
        <v>0</v>
      </c>
      <c r="Y313" s="144">
        <f>IFERROR(_xlfn.XLOOKUP($B313,'Cronog. e Histog.'!$BZ:$BZ,'Cronog. e Histog.'!CT:CT),"")</f>
        <v>0</v>
      </c>
      <c r="Z313" s="144">
        <f>IFERROR(_xlfn.XLOOKUP($B313,'Cronog. e Histog.'!$BZ:$BZ,'Cronog. e Histog.'!CU:CU),"")</f>
        <v>0</v>
      </c>
      <c r="AA313" s="144">
        <f>IFERROR(_xlfn.XLOOKUP($B313,'Cronog. e Histog.'!$BZ:$BZ,'Cronog. e Histog.'!CV:CV),"")</f>
        <v>0</v>
      </c>
      <c r="AB313" s="144">
        <f>IFERROR(_xlfn.XLOOKUP($B313,'Cronog. e Histog.'!$BZ:$BZ,'Cronog. e Histog.'!CW:CW),"")</f>
        <v>0</v>
      </c>
      <c r="AC313" s="144">
        <f>IFERROR(_xlfn.XLOOKUP($B313,'Cronog. e Histog.'!$BZ:$BZ,'Cronog. e Histog.'!CX:CX),"")</f>
        <v>0</v>
      </c>
      <c r="AD313" s="144">
        <f>IFERROR(_xlfn.XLOOKUP($B313,'Cronog. e Histog.'!$BZ:$BZ,'Cronog. e Histog.'!CY:CY),"")</f>
        <v>0</v>
      </c>
      <c r="AE313" s="144">
        <f>IFERROR(_xlfn.XLOOKUP($B313,'Cronog. e Histog.'!$BZ:$BZ,'Cronog. e Histog.'!CZ:CZ),"")</f>
        <v>0</v>
      </c>
      <c r="AF313" s="144">
        <f>IFERROR(_xlfn.XLOOKUP($B313,'Cronog. e Histog.'!$BZ:$BZ,'Cronog. e Histog.'!DA:DA),"")</f>
        <v>0</v>
      </c>
      <c r="AG313" s="144">
        <f>IFERROR(_xlfn.XLOOKUP($B313,'Cronog. e Histog.'!$BZ:$BZ,'Cronog. e Histog.'!DB:DB),"")</f>
        <v>0</v>
      </c>
      <c r="AH313" s="144">
        <f>IFERROR(_xlfn.XLOOKUP($B313,'Cronog. e Histog.'!$BZ:$BZ,'Cronog. e Histog.'!DC:DC),"")</f>
        <v>0</v>
      </c>
      <c r="AI313" s="144">
        <f>IFERROR(_xlfn.XLOOKUP($B313,'Cronog. e Histog.'!$BZ:$BZ,'Cronog. e Histog.'!DD:DD),"")</f>
        <v>0</v>
      </c>
      <c r="AJ313" s="144">
        <f>IFERROR(_xlfn.XLOOKUP($B313,'Cronog. e Histog.'!$BZ:$BZ,'Cronog. e Histog.'!DE:DE),"")</f>
        <v>0</v>
      </c>
      <c r="AK313" s="144">
        <f>IFERROR(_xlfn.XLOOKUP($B313,'Cronog. e Histog.'!$BZ:$BZ,'Cronog. e Histog.'!DF:DF),"")</f>
        <v>0</v>
      </c>
      <c r="AL313" s="144">
        <f>IFERROR(_xlfn.XLOOKUP($B313,'Cronog. e Histog.'!$BZ:$BZ,'Cronog. e Histog.'!DG:DG),"")</f>
        <v>0</v>
      </c>
      <c r="AM313" s="144">
        <f>IFERROR(_xlfn.XLOOKUP($B313,'Cronog. e Histog.'!$BZ:$BZ,'Cronog. e Histog.'!DH:DH),"")</f>
        <v>0</v>
      </c>
      <c r="AN313" s="144">
        <f>IFERROR(_xlfn.XLOOKUP($B313,'Cronog. e Histog.'!$BZ:$BZ,'Cronog. e Histog.'!DI:DI),"")</f>
        <v>0</v>
      </c>
      <c r="AO313" s="144">
        <f>IFERROR(_xlfn.XLOOKUP($B313,'Cronog. e Histog.'!$BZ:$BZ,'Cronog. e Histog.'!DJ:DJ),"")</f>
        <v>0</v>
      </c>
      <c r="AP313" s="144">
        <f>IFERROR(_xlfn.XLOOKUP($B313,'Cronog. e Histog.'!$BZ:$BZ,'Cronog. e Histog.'!DK:DK),"")</f>
        <v>0</v>
      </c>
      <c r="AQ313" s="144">
        <f>IFERROR(_xlfn.XLOOKUP($B313,'Cronog. e Histog.'!$BZ:$BZ,'Cronog. e Histog.'!DL:DL),"")</f>
        <v>0</v>
      </c>
      <c r="AR313" s="144">
        <f>IFERROR(_xlfn.XLOOKUP($B313,'Cronog. e Histog.'!$BZ:$BZ,'Cronog. e Histog.'!DM:DM),"")</f>
        <v>0</v>
      </c>
      <c r="AS313" s="144">
        <f>IFERROR(_xlfn.XLOOKUP($B313,'Cronog. e Histog.'!$BZ:$BZ,'Cronog. e Histog.'!DN:DN),"")</f>
        <v>0</v>
      </c>
      <c r="AT313" s="144">
        <f>IFERROR(_xlfn.XLOOKUP($B313,'Cronog. e Histog.'!$BZ:$BZ,'Cronog. e Histog.'!DO:DO),"")</f>
        <v>0</v>
      </c>
      <c r="AU313" s="144">
        <f>IFERROR(_xlfn.XLOOKUP($B313,'Cronog. e Histog.'!$BZ:$BZ,'Cronog. e Histog.'!DP:DP),"")</f>
        <v>0</v>
      </c>
      <c r="AV313" s="144">
        <f>IFERROR(_xlfn.XLOOKUP($B313,'Cronog. e Histog.'!$BZ:$BZ,'Cronog. e Histog.'!DQ:DQ),"")</f>
        <v>0</v>
      </c>
      <c r="AW313" s="144">
        <f>IFERROR(_xlfn.XLOOKUP($B313,'Cronog. e Histog.'!$BZ:$BZ,'Cronog. e Histog.'!DR:DR),"")</f>
        <v>0</v>
      </c>
      <c r="AX313" s="144">
        <f>IFERROR(_xlfn.XLOOKUP($B313,'Cronog. e Histog.'!$BZ:$BZ,'Cronog. e Histog.'!DS:DS),"")</f>
        <v>0</v>
      </c>
      <c r="AY313" s="144">
        <f>IFERROR(_xlfn.XLOOKUP($B313,'Cronog. e Histog.'!$BZ:$BZ,'Cronog. e Histog.'!DT:DT),"")</f>
        <v>0</v>
      </c>
      <c r="AZ313" s="144">
        <f>IFERROR(_xlfn.XLOOKUP($B313,'Cronog. e Histog.'!$BZ:$BZ,'Cronog. e Histog.'!DU:DU),"")</f>
        <v>0</v>
      </c>
      <c r="BA313" s="144">
        <f>IFERROR(_xlfn.XLOOKUP($B313,'Cronog. e Histog.'!$BZ:$BZ,'Cronog. e Histog.'!DV:DV),"")</f>
        <v>0</v>
      </c>
      <c r="BB313" s="144">
        <f>IFERROR(_xlfn.XLOOKUP($B313,'Cronog. e Histog.'!$BZ:$BZ,'Cronog. e Histog.'!DW:DW),"")</f>
        <v>0</v>
      </c>
      <c r="BC313" s="144">
        <f>IFERROR(_xlfn.XLOOKUP($B313,'Cronog. e Histog.'!$BZ:$BZ,'Cronog. e Histog.'!DX:DX),"")</f>
        <v>0</v>
      </c>
      <c r="BD313" s="144">
        <f>IFERROR(_xlfn.XLOOKUP($B313,'Cronog. e Histog.'!$BZ:$BZ,'Cronog. e Histog.'!DY:DY),"")</f>
        <v>0</v>
      </c>
      <c r="BE313" s="144">
        <f>IFERROR(_xlfn.XLOOKUP($B313,'Cronog. e Histog.'!$BZ:$BZ,'Cronog. e Histog.'!DZ:DZ),"")</f>
        <v>0</v>
      </c>
      <c r="BF313" s="144">
        <f>IFERROR(_xlfn.XLOOKUP($B313,'Cronog. e Histog.'!$BZ:$BZ,'Cronog. e Histog.'!EA:EA),"")</f>
        <v>0</v>
      </c>
      <c r="BG313" s="144">
        <f>IFERROR(_xlfn.XLOOKUP($B313,'Cronog. e Histog.'!$BZ:$BZ,'Cronog. e Histog.'!EB:EB),"")</f>
        <v>0</v>
      </c>
      <c r="BH313" s="144">
        <f>IFERROR(_xlfn.XLOOKUP($B313,'Cronog. e Histog.'!$BZ:$BZ,'Cronog. e Histog.'!EC:EC),"")</f>
        <v>0</v>
      </c>
      <c r="BI313" s="144">
        <f>IFERROR(_xlfn.XLOOKUP($B313,'Cronog. e Histog.'!$BZ:$BZ,'Cronog. e Histog.'!ED:ED),"")</f>
        <v>0</v>
      </c>
      <c r="BJ313" s="144">
        <f>IFERROR(_xlfn.XLOOKUP($B313,'Cronog. e Histog.'!$BZ:$BZ,'Cronog. e Histog.'!EE:EE),"")</f>
        <v>0</v>
      </c>
      <c r="BK313" s="144">
        <f>IFERROR(_xlfn.XLOOKUP($B313,'Cronog. e Histog.'!$BZ:$BZ,'Cronog. e Histog.'!EF:EF),"")</f>
        <v>0</v>
      </c>
      <c r="BL313" s="144">
        <f>IFERROR(_xlfn.XLOOKUP($B313,'Cronog. e Histog.'!$BZ:$BZ,'Cronog. e Histog.'!EG:EG),"")</f>
        <v>0</v>
      </c>
      <c r="BM313" s="144">
        <f>IFERROR(_xlfn.XLOOKUP($B313,'Cronog. e Histog.'!$BZ:$BZ,'Cronog. e Histog.'!EH:EH),"")</f>
        <v>0</v>
      </c>
      <c r="BN313" s="144">
        <f>IFERROR(_xlfn.XLOOKUP($B313,'Cronog. e Histog.'!$BZ:$BZ,'Cronog. e Histog.'!EI:EI),"")</f>
        <v>0</v>
      </c>
    </row>
    <row r="314" spans="2:66" ht="12" hidden="1" customHeight="1" outlineLevel="1">
      <c r="B314" s="76">
        <v>308</v>
      </c>
      <c r="C314" s="143" t="str">
        <f>IFERROR(VLOOKUP(B314,'Cronog. e Histog.'!$BZ$213:$CA$747,2,0),"")</f>
        <v>AN PL. ENG/ARQ</v>
      </c>
      <c r="D314" s="144">
        <f t="shared" si="6"/>
        <v>0</v>
      </c>
      <c r="E314" s="144">
        <f t="shared" si="7"/>
        <v>0</v>
      </c>
      <c r="F314" s="65"/>
      <c r="G314" s="144">
        <f>IFERROR(_xlfn.XLOOKUP($B314,'Cronog. e Histog.'!$BZ:$BZ,'Cronog. e Histog.'!CB:CB),"")</f>
        <v>0</v>
      </c>
      <c r="H314" s="144">
        <f>IFERROR(_xlfn.XLOOKUP($B314,'Cronog. e Histog.'!$BZ:$BZ,'Cronog. e Histog.'!CC:CC),"")</f>
        <v>0</v>
      </c>
      <c r="I314" s="144">
        <f>IFERROR(_xlfn.XLOOKUP($B314,'Cronog. e Histog.'!$BZ:$BZ,'Cronog. e Histog.'!CD:CD),"")</f>
        <v>0</v>
      </c>
      <c r="J314" s="144">
        <f>IFERROR(_xlfn.XLOOKUP($B314,'Cronog. e Histog.'!$BZ:$BZ,'Cronog. e Histog.'!CE:CE),"")</f>
        <v>0</v>
      </c>
      <c r="K314" s="144">
        <f>IFERROR(_xlfn.XLOOKUP($B314,'Cronog. e Histog.'!$BZ:$BZ,'Cronog. e Histog.'!CF:CF),"")</f>
        <v>0</v>
      </c>
      <c r="L314" s="144">
        <f>IFERROR(_xlfn.XLOOKUP($B314,'Cronog. e Histog.'!$BZ:$BZ,'Cronog. e Histog.'!CG:CG),"")</f>
        <v>0</v>
      </c>
      <c r="M314" s="144">
        <f>IFERROR(_xlfn.XLOOKUP($B314,'Cronog. e Histog.'!$BZ:$BZ,'Cronog. e Histog.'!CH:CH),"")</f>
        <v>0</v>
      </c>
      <c r="N314" s="144">
        <f>IFERROR(_xlfn.XLOOKUP($B314,'Cronog. e Histog.'!$BZ:$BZ,'Cronog. e Histog.'!CI:CI),"")</f>
        <v>0</v>
      </c>
      <c r="O314" s="144">
        <f>IFERROR(_xlfn.XLOOKUP($B314,'Cronog. e Histog.'!$BZ:$BZ,'Cronog. e Histog.'!CJ:CJ),"")</f>
        <v>0</v>
      </c>
      <c r="P314" s="144">
        <f>IFERROR(_xlfn.XLOOKUP($B314,'Cronog. e Histog.'!$BZ:$BZ,'Cronog. e Histog.'!CK:CK),"")</f>
        <v>0</v>
      </c>
      <c r="Q314" s="144">
        <f>IFERROR(_xlfn.XLOOKUP($B314,'Cronog. e Histog.'!$BZ:$BZ,'Cronog. e Histog.'!CL:CL),"")</f>
        <v>0</v>
      </c>
      <c r="R314" s="144">
        <f>IFERROR(_xlfn.XLOOKUP($B314,'Cronog. e Histog.'!$BZ:$BZ,'Cronog. e Histog.'!CM:CM),"")</f>
        <v>0</v>
      </c>
      <c r="S314" s="144">
        <f>IFERROR(_xlfn.XLOOKUP($B314,'Cronog. e Histog.'!$BZ:$BZ,'Cronog. e Histog.'!CN:CN),"")</f>
        <v>0</v>
      </c>
      <c r="T314" s="144">
        <f>IFERROR(_xlfn.XLOOKUP($B314,'Cronog. e Histog.'!$BZ:$BZ,'Cronog. e Histog.'!CO:CO),"")</f>
        <v>0</v>
      </c>
      <c r="U314" s="144">
        <f>IFERROR(_xlfn.XLOOKUP($B314,'Cronog. e Histog.'!$BZ:$BZ,'Cronog. e Histog.'!CP:CP),"")</f>
        <v>0</v>
      </c>
      <c r="V314" s="144">
        <f>IFERROR(_xlfn.XLOOKUP($B314,'Cronog. e Histog.'!$BZ:$BZ,'Cronog. e Histog.'!CQ:CQ),"")</f>
        <v>0</v>
      </c>
      <c r="W314" s="144">
        <f>IFERROR(_xlfn.XLOOKUP($B314,'Cronog. e Histog.'!$BZ:$BZ,'Cronog. e Histog.'!CR:CR),"")</f>
        <v>0</v>
      </c>
      <c r="X314" s="144">
        <f>IFERROR(_xlfn.XLOOKUP($B314,'Cronog. e Histog.'!$BZ:$BZ,'Cronog. e Histog.'!CS:CS),"")</f>
        <v>0</v>
      </c>
      <c r="Y314" s="144">
        <f>IFERROR(_xlfn.XLOOKUP($B314,'Cronog. e Histog.'!$BZ:$BZ,'Cronog. e Histog.'!CT:CT),"")</f>
        <v>0</v>
      </c>
      <c r="Z314" s="144">
        <f>IFERROR(_xlfn.XLOOKUP($B314,'Cronog. e Histog.'!$BZ:$BZ,'Cronog. e Histog.'!CU:CU),"")</f>
        <v>0</v>
      </c>
      <c r="AA314" s="144">
        <f>IFERROR(_xlfn.XLOOKUP($B314,'Cronog. e Histog.'!$BZ:$BZ,'Cronog. e Histog.'!CV:CV),"")</f>
        <v>0</v>
      </c>
      <c r="AB314" s="144">
        <f>IFERROR(_xlfn.XLOOKUP($B314,'Cronog. e Histog.'!$BZ:$BZ,'Cronog. e Histog.'!CW:CW),"")</f>
        <v>0</v>
      </c>
      <c r="AC314" s="144">
        <f>IFERROR(_xlfn.XLOOKUP($B314,'Cronog. e Histog.'!$BZ:$BZ,'Cronog. e Histog.'!CX:CX),"")</f>
        <v>0</v>
      </c>
      <c r="AD314" s="144">
        <f>IFERROR(_xlfn.XLOOKUP($B314,'Cronog. e Histog.'!$BZ:$BZ,'Cronog. e Histog.'!CY:CY),"")</f>
        <v>0</v>
      </c>
      <c r="AE314" s="144">
        <f>IFERROR(_xlfn.XLOOKUP($B314,'Cronog. e Histog.'!$BZ:$BZ,'Cronog. e Histog.'!CZ:CZ),"")</f>
        <v>0</v>
      </c>
      <c r="AF314" s="144">
        <f>IFERROR(_xlfn.XLOOKUP($B314,'Cronog. e Histog.'!$BZ:$BZ,'Cronog. e Histog.'!DA:DA),"")</f>
        <v>0</v>
      </c>
      <c r="AG314" s="144">
        <f>IFERROR(_xlfn.XLOOKUP($B314,'Cronog. e Histog.'!$BZ:$BZ,'Cronog. e Histog.'!DB:DB),"")</f>
        <v>0</v>
      </c>
      <c r="AH314" s="144">
        <f>IFERROR(_xlfn.XLOOKUP($B314,'Cronog. e Histog.'!$BZ:$BZ,'Cronog. e Histog.'!DC:DC),"")</f>
        <v>0</v>
      </c>
      <c r="AI314" s="144">
        <f>IFERROR(_xlfn.XLOOKUP($B314,'Cronog. e Histog.'!$BZ:$BZ,'Cronog. e Histog.'!DD:DD),"")</f>
        <v>0</v>
      </c>
      <c r="AJ314" s="144">
        <f>IFERROR(_xlfn.XLOOKUP($B314,'Cronog. e Histog.'!$BZ:$BZ,'Cronog. e Histog.'!DE:DE),"")</f>
        <v>0</v>
      </c>
      <c r="AK314" s="144">
        <f>IFERROR(_xlfn.XLOOKUP($B314,'Cronog. e Histog.'!$BZ:$BZ,'Cronog. e Histog.'!DF:DF),"")</f>
        <v>0</v>
      </c>
      <c r="AL314" s="144">
        <f>IFERROR(_xlfn.XLOOKUP($B314,'Cronog. e Histog.'!$BZ:$BZ,'Cronog. e Histog.'!DG:DG),"")</f>
        <v>0</v>
      </c>
      <c r="AM314" s="144">
        <f>IFERROR(_xlfn.XLOOKUP($B314,'Cronog. e Histog.'!$BZ:$BZ,'Cronog. e Histog.'!DH:DH),"")</f>
        <v>0</v>
      </c>
      <c r="AN314" s="144">
        <f>IFERROR(_xlfn.XLOOKUP($B314,'Cronog. e Histog.'!$BZ:$BZ,'Cronog. e Histog.'!DI:DI),"")</f>
        <v>0</v>
      </c>
      <c r="AO314" s="144">
        <f>IFERROR(_xlfn.XLOOKUP($B314,'Cronog. e Histog.'!$BZ:$BZ,'Cronog. e Histog.'!DJ:DJ),"")</f>
        <v>0</v>
      </c>
      <c r="AP314" s="144">
        <f>IFERROR(_xlfn.XLOOKUP($B314,'Cronog. e Histog.'!$BZ:$BZ,'Cronog. e Histog.'!DK:DK),"")</f>
        <v>0</v>
      </c>
      <c r="AQ314" s="144">
        <f>IFERROR(_xlfn.XLOOKUP($B314,'Cronog. e Histog.'!$BZ:$BZ,'Cronog. e Histog.'!DL:DL),"")</f>
        <v>0</v>
      </c>
      <c r="AR314" s="144">
        <f>IFERROR(_xlfn.XLOOKUP($B314,'Cronog. e Histog.'!$BZ:$BZ,'Cronog. e Histog.'!DM:DM),"")</f>
        <v>0</v>
      </c>
      <c r="AS314" s="144">
        <f>IFERROR(_xlfn.XLOOKUP($B314,'Cronog. e Histog.'!$BZ:$BZ,'Cronog. e Histog.'!DN:DN),"")</f>
        <v>0</v>
      </c>
      <c r="AT314" s="144">
        <f>IFERROR(_xlfn.XLOOKUP($B314,'Cronog. e Histog.'!$BZ:$BZ,'Cronog. e Histog.'!DO:DO),"")</f>
        <v>0</v>
      </c>
      <c r="AU314" s="144">
        <f>IFERROR(_xlfn.XLOOKUP($B314,'Cronog. e Histog.'!$BZ:$BZ,'Cronog. e Histog.'!DP:DP),"")</f>
        <v>0</v>
      </c>
      <c r="AV314" s="144">
        <f>IFERROR(_xlfn.XLOOKUP($B314,'Cronog. e Histog.'!$BZ:$BZ,'Cronog. e Histog.'!DQ:DQ),"")</f>
        <v>0</v>
      </c>
      <c r="AW314" s="144">
        <f>IFERROR(_xlfn.XLOOKUP($B314,'Cronog. e Histog.'!$BZ:$BZ,'Cronog. e Histog.'!DR:DR),"")</f>
        <v>0</v>
      </c>
      <c r="AX314" s="144">
        <f>IFERROR(_xlfn.XLOOKUP($B314,'Cronog. e Histog.'!$BZ:$BZ,'Cronog. e Histog.'!DS:DS),"")</f>
        <v>0</v>
      </c>
      <c r="AY314" s="144">
        <f>IFERROR(_xlfn.XLOOKUP($B314,'Cronog. e Histog.'!$BZ:$BZ,'Cronog. e Histog.'!DT:DT),"")</f>
        <v>0</v>
      </c>
      <c r="AZ314" s="144">
        <f>IFERROR(_xlfn.XLOOKUP($B314,'Cronog. e Histog.'!$BZ:$BZ,'Cronog. e Histog.'!DU:DU),"")</f>
        <v>0</v>
      </c>
      <c r="BA314" s="144">
        <f>IFERROR(_xlfn.XLOOKUP($B314,'Cronog. e Histog.'!$BZ:$BZ,'Cronog. e Histog.'!DV:DV),"")</f>
        <v>0</v>
      </c>
      <c r="BB314" s="144">
        <f>IFERROR(_xlfn.XLOOKUP($B314,'Cronog. e Histog.'!$BZ:$BZ,'Cronog. e Histog.'!DW:DW),"")</f>
        <v>0</v>
      </c>
      <c r="BC314" s="144">
        <f>IFERROR(_xlfn.XLOOKUP($B314,'Cronog. e Histog.'!$BZ:$BZ,'Cronog. e Histog.'!DX:DX),"")</f>
        <v>0</v>
      </c>
      <c r="BD314" s="144">
        <f>IFERROR(_xlfn.XLOOKUP($B314,'Cronog. e Histog.'!$BZ:$BZ,'Cronog. e Histog.'!DY:DY),"")</f>
        <v>0</v>
      </c>
      <c r="BE314" s="144">
        <f>IFERROR(_xlfn.XLOOKUP($B314,'Cronog. e Histog.'!$BZ:$BZ,'Cronog. e Histog.'!DZ:DZ),"")</f>
        <v>0</v>
      </c>
      <c r="BF314" s="144">
        <f>IFERROR(_xlfn.XLOOKUP($B314,'Cronog. e Histog.'!$BZ:$BZ,'Cronog. e Histog.'!EA:EA),"")</f>
        <v>0</v>
      </c>
      <c r="BG314" s="144">
        <f>IFERROR(_xlfn.XLOOKUP($B314,'Cronog. e Histog.'!$BZ:$BZ,'Cronog. e Histog.'!EB:EB),"")</f>
        <v>0</v>
      </c>
      <c r="BH314" s="144">
        <f>IFERROR(_xlfn.XLOOKUP($B314,'Cronog. e Histog.'!$BZ:$BZ,'Cronog. e Histog.'!EC:EC),"")</f>
        <v>0</v>
      </c>
      <c r="BI314" s="144">
        <f>IFERROR(_xlfn.XLOOKUP($B314,'Cronog. e Histog.'!$BZ:$BZ,'Cronog. e Histog.'!ED:ED),"")</f>
        <v>0</v>
      </c>
      <c r="BJ314" s="144">
        <f>IFERROR(_xlfn.XLOOKUP($B314,'Cronog. e Histog.'!$BZ:$BZ,'Cronog. e Histog.'!EE:EE),"")</f>
        <v>0</v>
      </c>
      <c r="BK314" s="144">
        <f>IFERROR(_xlfn.XLOOKUP($B314,'Cronog. e Histog.'!$BZ:$BZ,'Cronog. e Histog.'!EF:EF),"")</f>
        <v>0</v>
      </c>
      <c r="BL314" s="144">
        <f>IFERROR(_xlfn.XLOOKUP($B314,'Cronog. e Histog.'!$BZ:$BZ,'Cronog. e Histog.'!EG:EG),"")</f>
        <v>0</v>
      </c>
      <c r="BM314" s="144">
        <f>IFERROR(_xlfn.XLOOKUP($B314,'Cronog. e Histog.'!$BZ:$BZ,'Cronog. e Histog.'!EH:EH),"")</f>
        <v>0</v>
      </c>
      <c r="BN314" s="144">
        <f>IFERROR(_xlfn.XLOOKUP($B314,'Cronog. e Histog.'!$BZ:$BZ,'Cronog. e Histog.'!EI:EI),"")</f>
        <v>0</v>
      </c>
    </row>
    <row r="315" spans="2:66" ht="12" hidden="1" customHeight="1" outlineLevel="1">
      <c r="B315" s="76">
        <v>309</v>
      </c>
      <c r="C315" s="143" t="str">
        <f>IFERROR(VLOOKUP(B315,'Cronog. e Histog.'!$BZ$213:$CA$747,2,0),"")</f>
        <v>AN JR. ENG/ARQ</v>
      </c>
      <c r="D315" s="144">
        <f t="shared" si="6"/>
        <v>0</v>
      </c>
      <c r="E315" s="144">
        <f t="shared" si="7"/>
        <v>0</v>
      </c>
      <c r="F315" s="65"/>
      <c r="G315" s="144">
        <f>IFERROR(_xlfn.XLOOKUP($B315,'Cronog. e Histog.'!$BZ:$BZ,'Cronog. e Histog.'!CB:CB),"")</f>
        <v>0</v>
      </c>
      <c r="H315" s="144">
        <f>IFERROR(_xlfn.XLOOKUP($B315,'Cronog. e Histog.'!$BZ:$BZ,'Cronog. e Histog.'!CC:CC),"")</f>
        <v>0</v>
      </c>
      <c r="I315" s="144">
        <f>IFERROR(_xlfn.XLOOKUP($B315,'Cronog. e Histog.'!$BZ:$BZ,'Cronog. e Histog.'!CD:CD),"")</f>
        <v>0</v>
      </c>
      <c r="J315" s="144">
        <f>IFERROR(_xlfn.XLOOKUP($B315,'Cronog. e Histog.'!$BZ:$BZ,'Cronog. e Histog.'!CE:CE),"")</f>
        <v>0</v>
      </c>
      <c r="K315" s="144">
        <f>IFERROR(_xlfn.XLOOKUP($B315,'Cronog. e Histog.'!$BZ:$BZ,'Cronog. e Histog.'!CF:CF),"")</f>
        <v>0</v>
      </c>
      <c r="L315" s="144">
        <f>IFERROR(_xlfn.XLOOKUP($B315,'Cronog. e Histog.'!$BZ:$BZ,'Cronog. e Histog.'!CG:CG),"")</f>
        <v>0</v>
      </c>
      <c r="M315" s="144">
        <f>IFERROR(_xlfn.XLOOKUP($B315,'Cronog. e Histog.'!$BZ:$BZ,'Cronog. e Histog.'!CH:CH),"")</f>
        <v>0</v>
      </c>
      <c r="N315" s="144">
        <f>IFERROR(_xlfn.XLOOKUP($B315,'Cronog. e Histog.'!$BZ:$BZ,'Cronog. e Histog.'!CI:CI),"")</f>
        <v>0</v>
      </c>
      <c r="O315" s="144">
        <f>IFERROR(_xlfn.XLOOKUP($B315,'Cronog. e Histog.'!$BZ:$BZ,'Cronog. e Histog.'!CJ:CJ),"")</f>
        <v>0</v>
      </c>
      <c r="P315" s="144">
        <f>IFERROR(_xlfn.XLOOKUP($B315,'Cronog. e Histog.'!$BZ:$BZ,'Cronog. e Histog.'!CK:CK),"")</f>
        <v>0</v>
      </c>
      <c r="Q315" s="144">
        <f>IFERROR(_xlfn.XLOOKUP($B315,'Cronog. e Histog.'!$BZ:$BZ,'Cronog. e Histog.'!CL:CL),"")</f>
        <v>0</v>
      </c>
      <c r="R315" s="144">
        <f>IFERROR(_xlfn.XLOOKUP($B315,'Cronog. e Histog.'!$BZ:$BZ,'Cronog. e Histog.'!CM:CM),"")</f>
        <v>0</v>
      </c>
      <c r="S315" s="144">
        <f>IFERROR(_xlfn.XLOOKUP($B315,'Cronog. e Histog.'!$BZ:$BZ,'Cronog. e Histog.'!CN:CN),"")</f>
        <v>0</v>
      </c>
      <c r="T315" s="144">
        <f>IFERROR(_xlfn.XLOOKUP($B315,'Cronog. e Histog.'!$BZ:$BZ,'Cronog. e Histog.'!CO:CO),"")</f>
        <v>0</v>
      </c>
      <c r="U315" s="144">
        <f>IFERROR(_xlfn.XLOOKUP($B315,'Cronog. e Histog.'!$BZ:$BZ,'Cronog. e Histog.'!CP:CP),"")</f>
        <v>0</v>
      </c>
      <c r="V315" s="144">
        <f>IFERROR(_xlfn.XLOOKUP($B315,'Cronog. e Histog.'!$BZ:$BZ,'Cronog. e Histog.'!CQ:CQ),"")</f>
        <v>0</v>
      </c>
      <c r="W315" s="144">
        <f>IFERROR(_xlfn.XLOOKUP($B315,'Cronog. e Histog.'!$BZ:$BZ,'Cronog. e Histog.'!CR:CR),"")</f>
        <v>0</v>
      </c>
      <c r="X315" s="144">
        <f>IFERROR(_xlfn.XLOOKUP($B315,'Cronog. e Histog.'!$BZ:$BZ,'Cronog. e Histog.'!CS:CS),"")</f>
        <v>0</v>
      </c>
      <c r="Y315" s="144">
        <f>IFERROR(_xlfn.XLOOKUP($B315,'Cronog. e Histog.'!$BZ:$BZ,'Cronog. e Histog.'!CT:CT),"")</f>
        <v>0</v>
      </c>
      <c r="Z315" s="144">
        <f>IFERROR(_xlfn.XLOOKUP($B315,'Cronog. e Histog.'!$BZ:$BZ,'Cronog. e Histog.'!CU:CU),"")</f>
        <v>0</v>
      </c>
      <c r="AA315" s="144">
        <f>IFERROR(_xlfn.XLOOKUP($B315,'Cronog. e Histog.'!$BZ:$BZ,'Cronog. e Histog.'!CV:CV),"")</f>
        <v>0</v>
      </c>
      <c r="AB315" s="144">
        <f>IFERROR(_xlfn.XLOOKUP($B315,'Cronog. e Histog.'!$BZ:$BZ,'Cronog. e Histog.'!CW:CW),"")</f>
        <v>0</v>
      </c>
      <c r="AC315" s="144">
        <f>IFERROR(_xlfn.XLOOKUP($B315,'Cronog. e Histog.'!$BZ:$BZ,'Cronog. e Histog.'!CX:CX),"")</f>
        <v>0</v>
      </c>
      <c r="AD315" s="144">
        <f>IFERROR(_xlfn.XLOOKUP($B315,'Cronog. e Histog.'!$BZ:$BZ,'Cronog. e Histog.'!CY:CY),"")</f>
        <v>0</v>
      </c>
      <c r="AE315" s="144">
        <f>IFERROR(_xlfn.XLOOKUP($B315,'Cronog. e Histog.'!$BZ:$BZ,'Cronog. e Histog.'!CZ:CZ),"")</f>
        <v>0</v>
      </c>
      <c r="AF315" s="144">
        <f>IFERROR(_xlfn.XLOOKUP($B315,'Cronog. e Histog.'!$BZ:$BZ,'Cronog. e Histog.'!DA:DA),"")</f>
        <v>0</v>
      </c>
      <c r="AG315" s="144">
        <f>IFERROR(_xlfn.XLOOKUP($B315,'Cronog. e Histog.'!$BZ:$BZ,'Cronog. e Histog.'!DB:DB),"")</f>
        <v>0</v>
      </c>
      <c r="AH315" s="144">
        <f>IFERROR(_xlfn.XLOOKUP($B315,'Cronog. e Histog.'!$BZ:$BZ,'Cronog. e Histog.'!DC:DC),"")</f>
        <v>0</v>
      </c>
      <c r="AI315" s="144">
        <f>IFERROR(_xlfn.XLOOKUP($B315,'Cronog. e Histog.'!$BZ:$BZ,'Cronog. e Histog.'!DD:DD),"")</f>
        <v>0</v>
      </c>
      <c r="AJ315" s="144">
        <f>IFERROR(_xlfn.XLOOKUP($B315,'Cronog. e Histog.'!$BZ:$BZ,'Cronog. e Histog.'!DE:DE),"")</f>
        <v>0</v>
      </c>
      <c r="AK315" s="144">
        <f>IFERROR(_xlfn.XLOOKUP($B315,'Cronog. e Histog.'!$BZ:$BZ,'Cronog. e Histog.'!DF:DF),"")</f>
        <v>0</v>
      </c>
      <c r="AL315" s="144">
        <f>IFERROR(_xlfn.XLOOKUP($B315,'Cronog. e Histog.'!$BZ:$BZ,'Cronog. e Histog.'!DG:DG),"")</f>
        <v>0</v>
      </c>
      <c r="AM315" s="144">
        <f>IFERROR(_xlfn.XLOOKUP($B315,'Cronog. e Histog.'!$BZ:$BZ,'Cronog. e Histog.'!DH:DH),"")</f>
        <v>0</v>
      </c>
      <c r="AN315" s="144">
        <f>IFERROR(_xlfn.XLOOKUP($B315,'Cronog. e Histog.'!$BZ:$BZ,'Cronog. e Histog.'!DI:DI),"")</f>
        <v>0</v>
      </c>
      <c r="AO315" s="144">
        <f>IFERROR(_xlfn.XLOOKUP($B315,'Cronog. e Histog.'!$BZ:$BZ,'Cronog. e Histog.'!DJ:DJ),"")</f>
        <v>0</v>
      </c>
      <c r="AP315" s="144">
        <f>IFERROR(_xlfn.XLOOKUP($B315,'Cronog. e Histog.'!$BZ:$BZ,'Cronog. e Histog.'!DK:DK),"")</f>
        <v>0</v>
      </c>
      <c r="AQ315" s="144">
        <f>IFERROR(_xlfn.XLOOKUP($B315,'Cronog. e Histog.'!$BZ:$BZ,'Cronog. e Histog.'!DL:DL),"")</f>
        <v>0</v>
      </c>
      <c r="AR315" s="144">
        <f>IFERROR(_xlfn.XLOOKUP($B315,'Cronog. e Histog.'!$BZ:$BZ,'Cronog. e Histog.'!DM:DM),"")</f>
        <v>0</v>
      </c>
      <c r="AS315" s="144">
        <f>IFERROR(_xlfn.XLOOKUP($B315,'Cronog. e Histog.'!$BZ:$BZ,'Cronog. e Histog.'!DN:DN),"")</f>
        <v>0</v>
      </c>
      <c r="AT315" s="144">
        <f>IFERROR(_xlfn.XLOOKUP($B315,'Cronog. e Histog.'!$BZ:$BZ,'Cronog. e Histog.'!DO:DO),"")</f>
        <v>0</v>
      </c>
      <c r="AU315" s="144">
        <f>IFERROR(_xlfn.XLOOKUP($B315,'Cronog. e Histog.'!$BZ:$BZ,'Cronog. e Histog.'!DP:DP),"")</f>
        <v>0</v>
      </c>
      <c r="AV315" s="144">
        <f>IFERROR(_xlfn.XLOOKUP($B315,'Cronog. e Histog.'!$BZ:$BZ,'Cronog. e Histog.'!DQ:DQ),"")</f>
        <v>0</v>
      </c>
      <c r="AW315" s="144">
        <f>IFERROR(_xlfn.XLOOKUP($B315,'Cronog. e Histog.'!$BZ:$BZ,'Cronog. e Histog.'!DR:DR),"")</f>
        <v>0</v>
      </c>
      <c r="AX315" s="144">
        <f>IFERROR(_xlfn.XLOOKUP($B315,'Cronog. e Histog.'!$BZ:$BZ,'Cronog. e Histog.'!DS:DS),"")</f>
        <v>0</v>
      </c>
      <c r="AY315" s="144">
        <f>IFERROR(_xlfn.XLOOKUP($B315,'Cronog. e Histog.'!$BZ:$BZ,'Cronog. e Histog.'!DT:DT),"")</f>
        <v>0</v>
      </c>
      <c r="AZ315" s="144">
        <f>IFERROR(_xlfn.XLOOKUP($B315,'Cronog. e Histog.'!$BZ:$BZ,'Cronog. e Histog.'!DU:DU),"")</f>
        <v>0</v>
      </c>
      <c r="BA315" s="144">
        <f>IFERROR(_xlfn.XLOOKUP($B315,'Cronog. e Histog.'!$BZ:$BZ,'Cronog. e Histog.'!DV:DV),"")</f>
        <v>0</v>
      </c>
      <c r="BB315" s="144">
        <f>IFERROR(_xlfn.XLOOKUP($B315,'Cronog. e Histog.'!$BZ:$BZ,'Cronog. e Histog.'!DW:DW),"")</f>
        <v>0</v>
      </c>
      <c r="BC315" s="144">
        <f>IFERROR(_xlfn.XLOOKUP($B315,'Cronog. e Histog.'!$BZ:$BZ,'Cronog. e Histog.'!DX:DX),"")</f>
        <v>0</v>
      </c>
      <c r="BD315" s="144">
        <f>IFERROR(_xlfn.XLOOKUP($B315,'Cronog. e Histog.'!$BZ:$BZ,'Cronog. e Histog.'!DY:DY),"")</f>
        <v>0</v>
      </c>
      <c r="BE315" s="144">
        <f>IFERROR(_xlfn.XLOOKUP($B315,'Cronog. e Histog.'!$BZ:$BZ,'Cronog. e Histog.'!DZ:DZ),"")</f>
        <v>0</v>
      </c>
      <c r="BF315" s="144">
        <f>IFERROR(_xlfn.XLOOKUP($B315,'Cronog. e Histog.'!$BZ:$BZ,'Cronog. e Histog.'!EA:EA),"")</f>
        <v>0</v>
      </c>
      <c r="BG315" s="144">
        <f>IFERROR(_xlfn.XLOOKUP($B315,'Cronog. e Histog.'!$BZ:$BZ,'Cronog. e Histog.'!EB:EB),"")</f>
        <v>0</v>
      </c>
      <c r="BH315" s="144">
        <f>IFERROR(_xlfn.XLOOKUP($B315,'Cronog. e Histog.'!$BZ:$BZ,'Cronog. e Histog.'!EC:EC),"")</f>
        <v>0</v>
      </c>
      <c r="BI315" s="144">
        <f>IFERROR(_xlfn.XLOOKUP($B315,'Cronog. e Histog.'!$BZ:$BZ,'Cronog. e Histog.'!ED:ED),"")</f>
        <v>0</v>
      </c>
      <c r="BJ315" s="144">
        <f>IFERROR(_xlfn.XLOOKUP($B315,'Cronog. e Histog.'!$BZ:$BZ,'Cronog. e Histog.'!EE:EE),"")</f>
        <v>0</v>
      </c>
      <c r="BK315" s="144">
        <f>IFERROR(_xlfn.XLOOKUP($B315,'Cronog. e Histog.'!$BZ:$BZ,'Cronog. e Histog.'!EF:EF),"")</f>
        <v>0</v>
      </c>
      <c r="BL315" s="144">
        <f>IFERROR(_xlfn.XLOOKUP($B315,'Cronog. e Histog.'!$BZ:$BZ,'Cronog. e Histog.'!EG:EG),"")</f>
        <v>0</v>
      </c>
      <c r="BM315" s="144">
        <f>IFERROR(_xlfn.XLOOKUP($B315,'Cronog. e Histog.'!$BZ:$BZ,'Cronog. e Histog.'!EH:EH),"")</f>
        <v>0</v>
      </c>
      <c r="BN315" s="144">
        <f>IFERROR(_xlfn.XLOOKUP($B315,'Cronog. e Histog.'!$BZ:$BZ,'Cronog. e Histog.'!EI:EI),"")</f>
        <v>0</v>
      </c>
    </row>
    <row r="316" spans="2:66" ht="12" hidden="1" customHeight="1" outlineLevel="1">
      <c r="B316" s="76">
        <v>310</v>
      </c>
      <c r="C316" s="143" t="str">
        <f>IFERROR(VLOOKUP(B316,'Cronog. e Histog.'!$BZ$213:$CA$747,2,0),"")</f>
        <v>AN SR. ADM/CRP</v>
      </c>
      <c r="D316" s="144">
        <f t="shared" si="6"/>
        <v>0</v>
      </c>
      <c r="E316" s="144">
        <f t="shared" si="7"/>
        <v>0</v>
      </c>
      <c r="F316" s="65"/>
      <c r="G316" s="144">
        <f>IFERROR(_xlfn.XLOOKUP($B316,'Cronog. e Histog.'!$BZ:$BZ,'Cronog. e Histog.'!CB:CB),"")</f>
        <v>0</v>
      </c>
      <c r="H316" s="144">
        <f>IFERROR(_xlfn.XLOOKUP($B316,'Cronog. e Histog.'!$BZ:$BZ,'Cronog. e Histog.'!CC:CC),"")</f>
        <v>0</v>
      </c>
      <c r="I316" s="144">
        <f>IFERROR(_xlfn.XLOOKUP($B316,'Cronog. e Histog.'!$BZ:$BZ,'Cronog. e Histog.'!CD:CD),"")</f>
        <v>0</v>
      </c>
      <c r="J316" s="144">
        <f>IFERROR(_xlfn.XLOOKUP($B316,'Cronog. e Histog.'!$BZ:$BZ,'Cronog. e Histog.'!CE:CE),"")</f>
        <v>0</v>
      </c>
      <c r="K316" s="144">
        <f>IFERROR(_xlfn.XLOOKUP($B316,'Cronog. e Histog.'!$BZ:$BZ,'Cronog. e Histog.'!CF:CF),"")</f>
        <v>0</v>
      </c>
      <c r="L316" s="144">
        <f>IFERROR(_xlfn.XLOOKUP($B316,'Cronog. e Histog.'!$BZ:$BZ,'Cronog. e Histog.'!CG:CG),"")</f>
        <v>0</v>
      </c>
      <c r="M316" s="144">
        <f>IFERROR(_xlfn.XLOOKUP($B316,'Cronog. e Histog.'!$BZ:$BZ,'Cronog. e Histog.'!CH:CH),"")</f>
        <v>0</v>
      </c>
      <c r="N316" s="144">
        <f>IFERROR(_xlfn.XLOOKUP($B316,'Cronog. e Histog.'!$BZ:$BZ,'Cronog. e Histog.'!CI:CI),"")</f>
        <v>0</v>
      </c>
      <c r="O316" s="144">
        <f>IFERROR(_xlfn.XLOOKUP($B316,'Cronog. e Histog.'!$BZ:$BZ,'Cronog. e Histog.'!CJ:CJ),"")</f>
        <v>0</v>
      </c>
      <c r="P316" s="144">
        <f>IFERROR(_xlfn.XLOOKUP($B316,'Cronog. e Histog.'!$BZ:$BZ,'Cronog. e Histog.'!CK:CK),"")</f>
        <v>0</v>
      </c>
      <c r="Q316" s="144">
        <f>IFERROR(_xlfn.XLOOKUP($B316,'Cronog. e Histog.'!$BZ:$BZ,'Cronog. e Histog.'!CL:CL),"")</f>
        <v>0</v>
      </c>
      <c r="R316" s="144">
        <f>IFERROR(_xlfn.XLOOKUP($B316,'Cronog. e Histog.'!$BZ:$BZ,'Cronog. e Histog.'!CM:CM),"")</f>
        <v>0</v>
      </c>
      <c r="S316" s="144">
        <f>IFERROR(_xlfn.XLOOKUP($B316,'Cronog. e Histog.'!$BZ:$BZ,'Cronog. e Histog.'!CN:CN),"")</f>
        <v>0</v>
      </c>
      <c r="T316" s="144">
        <f>IFERROR(_xlfn.XLOOKUP($B316,'Cronog. e Histog.'!$BZ:$BZ,'Cronog. e Histog.'!CO:CO),"")</f>
        <v>0</v>
      </c>
      <c r="U316" s="144">
        <f>IFERROR(_xlfn.XLOOKUP($B316,'Cronog. e Histog.'!$BZ:$BZ,'Cronog. e Histog.'!CP:CP),"")</f>
        <v>0</v>
      </c>
      <c r="V316" s="144">
        <f>IFERROR(_xlfn.XLOOKUP($B316,'Cronog. e Histog.'!$BZ:$BZ,'Cronog. e Histog.'!CQ:CQ),"")</f>
        <v>0</v>
      </c>
      <c r="W316" s="144">
        <f>IFERROR(_xlfn.XLOOKUP($B316,'Cronog. e Histog.'!$BZ:$BZ,'Cronog. e Histog.'!CR:CR),"")</f>
        <v>0</v>
      </c>
      <c r="X316" s="144">
        <f>IFERROR(_xlfn.XLOOKUP($B316,'Cronog. e Histog.'!$BZ:$BZ,'Cronog. e Histog.'!CS:CS),"")</f>
        <v>0</v>
      </c>
      <c r="Y316" s="144">
        <f>IFERROR(_xlfn.XLOOKUP($B316,'Cronog. e Histog.'!$BZ:$BZ,'Cronog. e Histog.'!CT:CT),"")</f>
        <v>0</v>
      </c>
      <c r="Z316" s="144">
        <f>IFERROR(_xlfn.XLOOKUP($B316,'Cronog. e Histog.'!$BZ:$BZ,'Cronog. e Histog.'!CU:CU),"")</f>
        <v>0</v>
      </c>
      <c r="AA316" s="144">
        <f>IFERROR(_xlfn.XLOOKUP($B316,'Cronog. e Histog.'!$BZ:$BZ,'Cronog. e Histog.'!CV:CV),"")</f>
        <v>0</v>
      </c>
      <c r="AB316" s="144">
        <f>IFERROR(_xlfn.XLOOKUP($B316,'Cronog. e Histog.'!$BZ:$BZ,'Cronog. e Histog.'!CW:CW),"")</f>
        <v>0</v>
      </c>
      <c r="AC316" s="144">
        <f>IFERROR(_xlfn.XLOOKUP($B316,'Cronog. e Histog.'!$BZ:$BZ,'Cronog. e Histog.'!CX:CX),"")</f>
        <v>0</v>
      </c>
      <c r="AD316" s="144">
        <f>IFERROR(_xlfn.XLOOKUP($B316,'Cronog. e Histog.'!$BZ:$BZ,'Cronog. e Histog.'!CY:CY),"")</f>
        <v>0</v>
      </c>
      <c r="AE316" s="144">
        <f>IFERROR(_xlfn.XLOOKUP($B316,'Cronog. e Histog.'!$BZ:$BZ,'Cronog. e Histog.'!CZ:CZ),"")</f>
        <v>0</v>
      </c>
      <c r="AF316" s="144">
        <f>IFERROR(_xlfn.XLOOKUP($B316,'Cronog. e Histog.'!$BZ:$BZ,'Cronog. e Histog.'!DA:DA),"")</f>
        <v>0</v>
      </c>
      <c r="AG316" s="144">
        <f>IFERROR(_xlfn.XLOOKUP($B316,'Cronog. e Histog.'!$BZ:$BZ,'Cronog. e Histog.'!DB:DB),"")</f>
        <v>0</v>
      </c>
      <c r="AH316" s="144">
        <f>IFERROR(_xlfn.XLOOKUP($B316,'Cronog. e Histog.'!$BZ:$BZ,'Cronog. e Histog.'!DC:DC),"")</f>
        <v>0</v>
      </c>
      <c r="AI316" s="144">
        <f>IFERROR(_xlfn.XLOOKUP($B316,'Cronog. e Histog.'!$BZ:$BZ,'Cronog. e Histog.'!DD:DD),"")</f>
        <v>0</v>
      </c>
      <c r="AJ316" s="144">
        <f>IFERROR(_xlfn.XLOOKUP($B316,'Cronog. e Histog.'!$BZ:$BZ,'Cronog. e Histog.'!DE:DE),"")</f>
        <v>0</v>
      </c>
      <c r="AK316" s="144">
        <f>IFERROR(_xlfn.XLOOKUP($B316,'Cronog. e Histog.'!$BZ:$BZ,'Cronog. e Histog.'!DF:DF),"")</f>
        <v>0</v>
      </c>
      <c r="AL316" s="144">
        <f>IFERROR(_xlfn.XLOOKUP($B316,'Cronog. e Histog.'!$BZ:$BZ,'Cronog. e Histog.'!DG:DG),"")</f>
        <v>0</v>
      </c>
      <c r="AM316" s="144">
        <f>IFERROR(_xlfn.XLOOKUP($B316,'Cronog. e Histog.'!$BZ:$BZ,'Cronog. e Histog.'!DH:DH),"")</f>
        <v>0</v>
      </c>
      <c r="AN316" s="144">
        <f>IFERROR(_xlfn.XLOOKUP($B316,'Cronog. e Histog.'!$BZ:$BZ,'Cronog. e Histog.'!DI:DI),"")</f>
        <v>0</v>
      </c>
      <c r="AO316" s="144">
        <f>IFERROR(_xlfn.XLOOKUP($B316,'Cronog. e Histog.'!$BZ:$BZ,'Cronog. e Histog.'!DJ:DJ),"")</f>
        <v>0</v>
      </c>
      <c r="AP316" s="144">
        <f>IFERROR(_xlfn.XLOOKUP($B316,'Cronog. e Histog.'!$BZ:$BZ,'Cronog. e Histog.'!DK:DK),"")</f>
        <v>0</v>
      </c>
      <c r="AQ316" s="144">
        <f>IFERROR(_xlfn.XLOOKUP($B316,'Cronog. e Histog.'!$BZ:$BZ,'Cronog. e Histog.'!DL:DL),"")</f>
        <v>0</v>
      </c>
      <c r="AR316" s="144">
        <f>IFERROR(_xlfn.XLOOKUP($B316,'Cronog. e Histog.'!$BZ:$BZ,'Cronog. e Histog.'!DM:DM),"")</f>
        <v>0</v>
      </c>
      <c r="AS316" s="144">
        <f>IFERROR(_xlfn.XLOOKUP($B316,'Cronog. e Histog.'!$BZ:$BZ,'Cronog. e Histog.'!DN:DN),"")</f>
        <v>0</v>
      </c>
      <c r="AT316" s="144">
        <f>IFERROR(_xlfn.XLOOKUP($B316,'Cronog. e Histog.'!$BZ:$BZ,'Cronog. e Histog.'!DO:DO),"")</f>
        <v>0</v>
      </c>
      <c r="AU316" s="144">
        <f>IFERROR(_xlfn.XLOOKUP($B316,'Cronog. e Histog.'!$BZ:$BZ,'Cronog. e Histog.'!DP:DP),"")</f>
        <v>0</v>
      </c>
      <c r="AV316" s="144">
        <f>IFERROR(_xlfn.XLOOKUP($B316,'Cronog. e Histog.'!$BZ:$BZ,'Cronog. e Histog.'!DQ:DQ),"")</f>
        <v>0</v>
      </c>
      <c r="AW316" s="144">
        <f>IFERROR(_xlfn.XLOOKUP($B316,'Cronog. e Histog.'!$BZ:$BZ,'Cronog. e Histog.'!DR:DR),"")</f>
        <v>0</v>
      </c>
      <c r="AX316" s="144">
        <f>IFERROR(_xlfn.XLOOKUP($B316,'Cronog. e Histog.'!$BZ:$BZ,'Cronog. e Histog.'!DS:DS),"")</f>
        <v>0</v>
      </c>
      <c r="AY316" s="144">
        <f>IFERROR(_xlfn.XLOOKUP($B316,'Cronog. e Histog.'!$BZ:$BZ,'Cronog. e Histog.'!DT:DT),"")</f>
        <v>0</v>
      </c>
      <c r="AZ316" s="144">
        <f>IFERROR(_xlfn.XLOOKUP($B316,'Cronog. e Histog.'!$BZ:$BZ,'Cronog. e Histog.'!DU:DU),"")</f>
        <v>0</v>
      </c>
      <c r="BA316" s="144">
        <f>IFERROR(_xlfn.XLOOKUP($B316,'Cronog. e Histog.'!$BZ:$BZ,'Cronog. e Histog.'!DV:DV),"")</f>
        <v>0</v>
      </c>
      <c r="BB316" s="144">
        <f>IFERROR(_xlfn.XLOOKUP($B316,'Cronog. e Histog.'!$BZ:$BZ,'Cronog. e Histog.'!DW:DW),"")</f>
        <v>0</v>
      </c>
      <c r="BC316" s="144">
        <f>IFERROR(_xlfn.XLOOKUP($B316,'Cronog. e Histog.'!$BZ:$BZ,'Cronog. e Histog.'!DX:DX),"")</f>
        <v>0</v>
      </c>
      <c r="BD316" s="144">
        <f>IFERROR(_xlfn.XLOOKUP($B316,'Cronog. e Histog.'!$BZ:$BZ,'Cronog. e Histog.'!DY:DY),"")</f>
        <v>0</v>
      </c>
      <c r="BE316" s="144">
        <f>IFERROR(_xlfn.XLOOKUP($B316,'Cronog. e Histog.'!$BZ:$BZ,'Cronog. e Histog.'!DZ:DZ),"")</f>
        <v>0</v>
      </c>
      <c r="BF316" s="144">
        <f>IFERROR(_xlfn.XLOOKUP($B316,'Cronog. e Histog.'!$BZ:$BZ,'Cronog. e Histog.'!EA:EA),"")</f>
        <v>0</v>
      </c>
      <c r="BG316" s="144">
        <f>IFERROR(_xlfn.XLOOKUP($B316,'Cronog. e Histog.'!$BZ:$BZ,'Cronog. e Histog.'!EB:EB),"")</f>
        <v>0</v>
      </c>
      <c r="BH316" s="144">
        <f>IFERROR(_xlfn.XLOOKUP($B316,'Cronog. e Histog.'!$BZ:$BZ,'Cronog. e Histog.'!EC:EC),"")</f>
        <v>0</v>
      </c>
      <c r="BI316" s="144">
        <f>IFERROR(_xlfn.XLOOKUP($B316,'Cronog. e Histog.'!$BZ:$BZ,'Cronog. e Histog.'!ED:ED),"")</f>
        <v>0</v>
      </c>
      <c r="BJ316" s="144">
        <f>IFERROR(_xlfn.XLOOKUP($B316,'Cronog. e Histog.'!$BZ:$BZ,'Cronog. e Histog.'!EE:EE),"")</f>
        <v>0</v>
      </c>
      <c r="BK316" s="144">
        <f>IFERROR(_xlfn.XLOOKUP($B316,'Cronog. e Histog.'!$BZ:$BZ,'Cronog. e Histog.'!EF:EF),"")</f>
        <v>0</v>
      </c>
      <c r="BL316" s="144">
        <f>IFERROR(_xlfn.XLOOKUP($B316,'Cronog. e Histog.'!$BZ:$BZ,'Cronog. e Histog.'!EG:EG),"")</f>
        <v>0</v>
      </c>
      <c r="BM316" s="144">
        <f>IFERROR(_xlfn.XLOOKUP($B316,'Cronog. e Histog.'!$BZ:$BZ,'Cronog. e Histog.'!EH:EH),"")</f>
        <v>0</v>
      </c>
      <c r="BN316" s="144">
        <f>IFERROR(_xlfn.XLOOKUP($B316,'Cronog. e Histog.'!$BZ:$BZ,'Cronog. e Histog.'!EI:EI),"")</f>
        <v>0</v>
      </c>
    </row>
    <row r="317" spans="2:66" ht="12" hidden="1" customHeight="1" outlineLevel="1">
      <c r="B317" s="76">
        <v>311</v>
      </c>
      <c r="C317" s="143" t="str">
        <f>IFERROR(VLOOKUP(B317,'Cronog. e Histog.'!$BZ$213:$CA$747,2,0),"")</f>
        <v>AN PL. ADM/CRP</v>
      </c>
      <c r="D317" s="144">
        <f t="shared" si="6"/>
        <v>0</v>
      </c>
      <c r="E317" s="144">
        <f t="shared" si="7"/>
        <v>0</v>
      </c>
      <c r="F317" s="65"/>
      <c r="G317" s="144">
        <f>IFERROR(_xlfn.XLOOKUP($B317,'Cronog. e Histog.'!$BZ:$BZ,'Cronog. e Histog.'!CB:CB),"")</f>
        <v>0</v>
      </c>
      <c r="H317" s="144">
        <f>IFERROR(_xlfn.XLOOKUP($B317,'Cronog. e Histog.'!$BZ:$BZ,'Cronog. e Histog.'!CC:CC),"")</f>
        <v>0</v>
      </c>
      <c r="I317" s="144">
        <f>IFERROR(_xlfn.XLOOKUP($B317,'Cronog. e Histog.'!$BZ:$BZ,'Cronog. e Histog.'!CD:CD),"")</f>
        <v>0</v>
      </c>
      <c r="J317" s="144">
        <f>IFERROR(_xlfn.XLOOKUP($B317,'Cronog. e Histog.'!$BZ:$BZ,'Cronog. e Histog.'!CE:CE),"")</f>
        <v>0</v>
      </c>
      <c r="K317" s="144">
        <f>IFERROR(_xlfn.XLOOKUP($B317,'Cronog. e Histog.'!$BZ:$BZ,'Cronog. e Histog.'!CF:CF),"")</f>
        <v>0</v>
      </c>
      <c r="L317" s="144">
        <f>IFERROR(_xlfn.XLOOKUP($B317,'Cronog. e Histog.'!$BZ:$BZ,'Cronog. e Histog.'!CG:CG),"")</f>
        <v>0</v>
      </c>
      <c r="M317" s="144">
        <f>IFERROR(_xlfn.XLOOKUP($B317,'Cronog. e Histog.'!$BZ:$BZ,'Cronog. e Histog.'!CH:CH),"")</f>
        <v>0</v>
      </c>
      <c r="N317" s="144">
        <f>IFERROR(_xlfn.XLOOKUP($B317,'Cronog. e Histog.'!$BZ:$BZ,'Cronog. e Histog.'!CI:CI),"")</f>
        <v>0</v>
      </c>
      <c r="O317" s="144">
        <f>IFERROR(_xlfn.XLOOKUP($B317,'Cronog. e Histog.'!$BZ:$BZ,'Cronog. e Histog.'!CJ:CJ),"")</f>
        <v>0</v>
      </c>
      <c r="P317" s="144">
        <f>IFERROR(_xlfn.XLOOKUP($B317,'Cronog. e Histog.'!$BZ:$BZ,'Cronog. e Histog.'!CK:CK),"")</f>
        <v>0</v>
      </c>
      <c r="Q317" s="144">
        <f>IFERROR(_xlfn.XLOOKUP($B317,'Cronog. e Histog.'!$BZ:$BZ,'Cronog. e Histog.'!CL:CL),"")</f>
        <v>0</v>
      </c>
      <c r="R317" s="144">
        <f>IFERROR(_xlfn.XLOOKUP($B317,'Cronog. e Histog.'!$BZ:$BZ,'Cronog. e Histog.'!CM:CM),"")</f>
        <v>0</v>
      </c>
      <c r="S317" s="144">
        <f>IFERROR(_xlfn.XLOOKUP($B317,'Cronog. e Histog.'!$BZ:$BZ,'Cronog. e Histog.'!CN:CN),"")</f>
        <v>0</v>
      </c>
      <c r="T317" s="144">
        <f>IFERROR(_xlfn.XLOOKUP($B317,'Cronog. e Histog.'!$BZ:$BZ,'Cronog. e Histog.'!CO:CO),"")</f>
        <v>0</v>
      </c>
      <c r="U317" s="144">
        <f>IFERROR(_xlfn.XLOOKUP($B317,'Cronog. e Histog.'!$BZ:$BZ,'Cronog. e Histog.'!CP:CP),"")</f>
        <v>0</v>
      </c>
      <c r="V317" s="144">
        <f>IFERROR(_xlfn.XLOOKUP($B317,'Cronog. e Histog.'!$BZ:$BZ,'Cronog. e Histog.'!CQ:CQ),"")</f>
        <v>0</v>
      </c>
      <c r="W317" s="144">
        <f>IFERROR(_xlfn.XLOOKUP($B317,'Cronog. e Histog.'!$BZ:$BZ,'Cronog. e Histog.'!CR:CR),"")</f>
        <v>0</v>
      </c>
      <c r="X317" s="144">
        <f>IFERROR(_xlfn.XLOOKUP($B317,'Cronog. e Histog.'!$BZ:$BZ,'Cronog. e Histog.'!CS:CS),"")</f>
        <v>0</v>
      </c>
      <c r="Y317" s="144">
        <f>IFERROR(_xlfn.XLOOKUP($B317,'Cronog. e Histog.'!$BZ:$BZ,'Cronog. e Histog.'!CT:CT),"")</f>
        <v>0</v>
      </c>
      <c r="Z317" s="144">
        <f>IFERROR(_xlfn.XLOOKUP($B317,'Cronog. e Histog.'!$BZ:$BZ,'Cronog. e Histog.'!CU:CU),"")</f>
        <v>0</v>
      </c>
      <c r="AA317" s="144">
        <f>IFERROR(_xlfn.XLOOKUP($B317,'Cronog. e Histog.'!$BZ:$BZ,'Cronog. e Histog.'!CV:CV),"")</f>
        <v>0</v>
      </c>
      <c r="AB317" s="144">
        <f>IFERROR(_xlfn.XLOOKUP($B317,'Cronog. e Histog.'!$BZ:$BZ,'Cronog. e Histog.'!CW:CW),"")</f>
        <v>0</v>
      </c>
      <c r="AC317" s="144">
        <f>IFERROR(_xlfn.XLOOKUP($B317,'Cronog. e Histog.'!$BZ:$BZ,'Cronog. e Histog.'!CX:CX),"")</f>
        <v>0</v>
      </c>
      <c r="AD317" s="144">
        <f>IFERROR(_xlfn.XLOOKUP($B317,'Cronog. e Histog.'!$BZ:$BZ,'Cronog. e Histog.'!CY:CY),"")</f>
        <v>0</v>
      </c>
      <c r="AE317" s="144">
        <f>IFERROR(_xlfn.XLOOKUP($B317,'Cronog. e Histog.'!$BZ:$BZ,'Cronog. e Histog.'!CZ:CZ),"")</f>
        <v>0</v>
      </c>
      <c r="AF317" s="144">
        <f>IFERROR(_xlfn.XLOOKUP($B317,'Cronog. e Histog.'!$BZ:$BZ,'Cronog. e Histog.'!DA:DA),"")</f>
        <v>0</v>
      </c>
      <c r="AG317" s="144">
        <f>IFERROR(_xlfn.XLOOKUP($B317,'Cronog. e Histog.'!$BZ:$BZ,'Cronog. e Histog.'!DB:DB),"")</f>
        <v>0</v>
      </c>
      <c r="AH317" s="144">
        <f>IFERROR(_xlfn.XLOOKUP($B317,'Cronog. e Histog.'!$BZ:$BZ,'Cronog. e Histog.'!DC:DC),"")</f>
        <v>0</v>
      </c>
      <c r="AI317" s="144">
        <f>IFERROR(_xlfn.XLOOKUP($B317,'Cronog. e Histog.'!$BZ:$BZ,'Cronog. e Histog.'!DD:DD),"")</f>
        <v>0</v>
      </c>
      <c r="AJ317" s="144">
        <f>IFERROR(_xlfn.XLOOKUP($B317,'Cronog. e Histog.'!$BZ:$BZ,'Cronog. e Histog.'!DE:DE),"")</f>
        <v>0</v>
      </c>
      <c r="AK317" s="144">
        <f>IFERROR(_xlfn.XLOOKUP($B317,'Cronog. e Histog.'!$BZ:$BZ,'Cronog. e Histog.'!DF:DF),"")</f>
        <v>0</v>
      </c>
      <c r="AL317" s="144">
        <f>IFERROR(_xlfn.XLOOKUP($B317,'Cronog. e Histog.'!$BZ:$BZ,'Cronog. e Histog.'!DG:DG),"")</f>
        <v>0</v>
      </c>
      <c r="AM317" s="144">
        <f>IFERROR(_xlfn.XLOOKUP($B317,'Cronog. e Histog.'!$BZ:$BZ,'Cronog. e Histog.'!DH:DH),"")</f>
        <v>0</v>
      </c>
      <c r="AN317" s="144">
        <f>IFERROR(_xlfn.XLOOKUP($B317,'Cronog. e Histog.'!$BZ:$BZ,'Cronog. e Histog.'!DI:DI),"")</f>
        <v>0</v>
      </c>
      <c r="AO317" s="144">
        <f>IFERROR(_xlfn.XLOOKUP($B317,'Cronog. e Histog.'!$BZ:$BZ,'Cronog. e Histog.'!DJ:DJ),"")</f>
        <v>0</v>
      </c>
      <c r="AP317" s="144">
        <f>IFERROR(_xlfn.XLOOKUP($B317,'Cronog. e Histog.'!$BZ:$BZ,'Cronog. e Histog.'!DK:DK),"")</f>
        <v>0</v>
      </c>
      <c r="AQ317" s="144">
        <f>IFERROR(_xlfn.XLOOKUP($B317,'Cronog. e Histog.'!$BZ:$BZ,'Cronog. e Histog.'!DL:DL),"")</f>
        <v>0</v>
      </c>
      <c r="AR317" s="144">
        <f>IFERROR(_xlfn.XLOOKUP($B317,'Cronog. e Histog.'!$BZ:$BZ,'Cronog. e Histog.'!DM:DM),"")</f>
        <v>0</v>
      </c>
      <c r="AS317" s="144">
        <f>IFERROR(_xlfn.XLOOKUP($B317,'Cronog. e Histog.'!$BZ:$BZ,'Cronog. e Histog.'!DN:DN),"")</f>
        <v>0</v>
      </c>
      <c r="AT317" s="144">
        <f>IFERROR(_xlfn.XLOOKUP($B317,'Cronog. e Histog.'!$BZ:$BZ,'Cronog. e Histog.'!DO:DO),"")</f>
        <v>0</v>
      </c>
      <c r="AU317" s="144">
        <f>IFERROR(_xlfn.XLOOKUP($B317,'Cronog. e Histog.'!$BZ:$BZ,'Cronog. e Histog.'!DP:DP),"")</f>
        <v>0</v>
      </c>
      <c r="AV317" s="144">
        <f>IFERROR(_xlfn.XLOOKUP($B317,'Cronog. e Histog.'!$BZ:$BZ,'Cronog. e Histog.'!DQ:DQ),"")</f>
        <v>0</v>
      </c>
      <c r="AW317" s="144">
        <f>IFERROR(_xlfn.XLOOKUP($B317,'Cronog. e Histog.'!$BZ:$BZ,'Cronog. e Histog.'!DR:DR),"")</f>
        <v>0</v>
      </c>
      <c r="AX317" s="144">
        <f>IFERROR(_xlfn.XLOOKUP($B317,'Cronog. e Histog.'!$BZ:$BZ,'Cronog. e Histog.'!DS:DS),"")</f>
        <v>0</v>
      </c>
      <c r="AY317" s="144">
        <f>IFERROR(_xlfn.XLOOKUP($B317,'Cronog. e Histog.'!$BZ:$BZ,'Cronog. e Histog.'!DT:DT),"")</f>
        <v>0</v>
      </c>
      <c r="AZ317" s="144">
        <f>IFERROR(_xlfn.XLOOKUP($B317,'Cronog. e Histog.'!$BZ:$BZ,'Cronog. e Histog.'!DU:DU),"")</f>
        <v>0</v>
      </c>
      <c r="BA317" s="144">
        <f>IFERROR(_xlfn.XLOOKUP($B317,'Cronog. e Histog.'!$BZ:$BZ,'Cronog. e Histog.'!DV:DV),"")</f>
        <v>0</v>
      </c>
      <c r="BB317" s="144">
        <f>IFERROR(_xlfn.XLOOKUP($B317,'Cronog. e Histog.'!$BZ:$BZ,'Cronog. e Histog.'!DW:DW),"")</f>
        <v>0</v>
      </c>
      <c r="BC317" s="144">
        <f>IFERROR(_xlfn.XLOOKUP($B317,'Cronog. e Histog.'!$BZ:$BZ,'Cronog. e Histog.'!DX:DX),"")</f>
        <v>0</v>
      </c>
      <c r="BD317" s="144">
        <f>IFERROR(_xlfn.XLOOKUP($B317,'Cronog. e Histog.'!$BZ:$BZ,'Cronog. e Histog.'!DY:DY),"")</f>
        <v>0</v>
      </c>
      <c r="BE317" s="144">
        <f>IFERROR(_xlfn.XLOOKUP($B317,'Cronog. e Histog.'!$BZ:$BZ,'Cronog. e Histog.'!DZ:DZ),"")</f>
        <v>0</v>
      </c>
      <c r="BF317" s="144">
        <f>IFERROR(_xlfn.XLOOKUP($B317,'Cronog. e Histog.'!$BZ:$BZ,'Cronog. e Histog.'!EA:EA),"")</f>
        <v>0</v>
      </c>
      <c r="BG317" s="144">
        <f>IFERROR(_xlfn.XLOOKUP($B317,'Cronog. e Histog.'!$BZ:$BZ,'Cronog. e Histog.'!EB:EB),"")</f>
        <v>0</v>
      </c>
      <c r="BH317" s="144">
        <f>IFERROR(_xlfn.XLOOKUP($B317,'Cronog. e Histog.'!$BZ:$BZ,'Cronog. e Histog.'!EC:EC),"")</f>
        <v>0</v>
      </c>
      <c r="BI317" s="144">
        <f>IFERROR(_xlfn.XLOOKUP($B317,'Cronog. e Histog.'!$BZ:$BZ,'Cronog. e Histog.'!ED:ED),"")</f>
        <v>0</v>
      </c>
      <c r="BJ317" s="144">
        <f>IFERROR(_xlfn.XLOOKUP($B317,'Cronog. e Histog.'!$BZ:$BZ,'Cronog. e Histog.'!EE:EE),"")</f>
        <v>0</v>
      </c>
      <c r="BK317" s="144">
        <f>IFERROR(_xlfn.XLOOKUP($B317,'Cronog. e Histog.'!$BZ:$BZ,'Cronog. e Histog.'!EF:EF),"")</f>
        <v>0</v>
      </c>
      <c r="BL317" s="144">
        <f>IFERROR(_xlfn.XLOOKUP($B317,'Cronog. e Histog.'!$BZ:$BZ,'Cronog. e Histog.'!EG:EG),"")</f>
        <v>0</v>
      </c>
      <c r="BM317" s="144">
        <f>IFERROR(_xlfn.XLOOKUP($B317,'Cronog. e Histog.'!$BZ:$BZ,'Cronog. e Histog.'!EH:EH),"")</f>
        <v>0</v>
      </c>
      <c r="BN317" s="144">
        <f>IFERROR(_xlfn.XLOOKUP($B317,'Cronog. e Histog.'!$BZ:$BZ,'Cronog. e Histog.'!EI:EI),"")</f>
        <v>0</v>
      </c>
    </row>
    <row r="318" spans="2:66" ht="12" hidden="1" customHeight="1" outlineLevel="1">
      <c r="B318" s="76">
        <v>312</v>
      </c>
      <c r="C318" s="143" t="str">
        <f>IFERROR(VLOOKUP(B318,'Cronog. e Histog.'!$BZ$213:$CA$747,2,0),"")</f>
        <v>AN JR. ADM/CRP</v>
      </c>
      <c r="D318" s="144">
        <f t="shared" si="6"/>
        <v>0</v>
      </c>
      <c r="E318" s="144">
        <f t="shared" si="7"/>
        <v>0</v>
      </c>
      <c r="F318" s="65"/>
      <c r="G318" s="144">
        <f>IFERROR(_xlfn.XLOOKUP($B318,'Cronog. e Histog.'!$BZ:$BZ,'Cronog. e Histog.'!CB:CB),"")</f>
        <v>0</v>
      </c>
      <c r="H318" s="144">
        <f>IFERROR(_xlfn.XLOOKUP($B318,'Cronog. e Histog.'!$BZ:$BZ,'Cronog. e Histog.'!CC:CC),"")</f>
        <v>0</v>
      </c>
      <c r="I318" s="144">
        <f>IFERROR(_xlfn.XLOOKUP($B318,'Cronog. e Histog.'!$BZ:$BZ,'Cronog. e Histog.'!CD:CD),"")</f>
        <v>0</v>
      </c>
      <c r="J318" s="144">
        <f>IFERROR(_xlfn.XLOOKUP($B318,'Cronog. e Histog.'!$BZ:$BZ,'Cronog. e Histog.'!CE:CE),"")</f>
        <v>0</v>
      </c>
      <c r="K318" s="144">
        <f>IFERROR(_xlfn.XLOOKUP($B318,'Cronog. e Histog.'!$BZ:$BZ,'Cronog. e Histog.'!CF:CF),"")</f>
        <v>0</v>
      </c>
      <c r="L318" s="144">
        <f>IFERROR(_xlfn.XLOOKUP($B318,'Cronog. e Histog.'!$BZ:$BZ,'Cronog. e Histog.'!CG:CG),"")</f>
        <v>0</v>
      </c>
      <c r="M318" s="144">
        <f>IFERROR(_xlfn.XLOOKUP($B318,'Cronog. e Histog.'!$BZ:$BZ,'Cronog. e Histog.'!CH:CH),"")</f>
        <v>0</v>
      </c>
      <c r="N318" s="144">
        <f>IFERROR(_xlfn.XLOOKUP($B318,'Cronog. e Histog.'!$BZ:$BZ,'Cronog. e Histog.'!CI:CI),"")</f>
        <v>0</v>
      </c>
      <c r="O318" s="144">
        <f>IFERROR(_xlfn.XLOOKUP($B318,'Cronog. e Histog.'!$BZ:$BZ,'Cronog. e Histog.'!CJ:CJ),"")</f>
        <v>0</v>
      </c>
      <c r="P318" s="144">
        <f>IFERROR(_xlfn.XLOOKUP($B318,'Cronog. e Histog.'!$BZ:$BZ,'Cronog. e Histog.'!CK:CK),"")</f>
        <v>0</v>
      </c>
      <c r="Q318" s="144">
        <f>IFERROR(_xlfn.XLOOKUP($B318,'Cronog. e Histog.'!$BZ:$BZ,'Cronog. e Histog.'!CL:CL),"")</f>
        <v>0</v>
      </c>
      <c r="R318" s="144">
        <f>IFERROR(_xlfn.XLOOKUP($B318,'Cronog. e Histog.'!$BZ:$BZ,'Cronog. e Histog.'!CM:CM),"")</f>
        <v>0</v>
      </c>
      <c r="S318" s="144">
        <f>IFERROR(_xlfn.XLOOKUP($B318,'Cronog. e Histog.'!$BZ:$BZ,'Cronog. e Histog.'!CN:CN),"")</f>
        <v>0</v>
      </c>
      <c r="T318" s="144">
        <f>IFERROR(_xlfn.XLOOKUP($B318,'Cronog. e Histog.'!$BZ:$BZ,'Cronog. e Histog.'!CO:CO),"")</f>
        <v>0</v>
      </c>
      <c r="U318" s="144">
        <f>IFERROR(_xlfn.XLOOKUP($B318,'Cronog. e Histog.'!$BZ:$BZ,'Cronog. e Histog.'!CP:CP),"")</f>
        <v>0</v>
      </c>
      <c r="V318" s="144">
        <f>IFERROR(_xlfn.XLOOKUP($B318,'Cronog. e Histog.'!$BZ:$BZ,'Cronog. e Histog.'!CQ:CQ),"")</f>
        <v>0</v>
      </c>
      <c r="W318" s="144">
        <f>IFERROR(_xlfn.XLOOKUP($B318,'Cronog. e Histog.'!$BZ:$BZ,'Cronog. e Histog.'!CR:CR),"")</f>
        <v>0</v>
      </c>
      <c r="X318" s="144">
        <f>IFERROR(_xlfn.XLOOKUP($B318,'Cronog. e Histog.'!$BZ:$BZ,'Cronog. e Histog.'!CS:CS),"")</f>
        <v>0</v>
      </c>
      <c r="Y318" s="144">
        <f>IFERROR(_xlfn.XLOOKUP($B318,'Cronog. e Histog.'!$BZ:$BZ,'Cronog. e Histog.'!CT:CT),"")</f>
        <v>0</v>
      </c>
      <c r="Z318" s="144">
        <f>IFERROR(_xlfn.XLOOKUP($B318,'Cronog. e Histog.'!$BZ:$BZ,'Cronog. e Histog.'!CU:CU),"")</f>
        <v>0</v>
      </c>
      <c r="AA318" s="144">
        <f>IFERROR(_xlfn.XLOOKUP($B318,'Cronog. e Histog.'!$BZ:$BZ,'Cronog. e Histog.'!CV:CV),"")</f>
        <v>0</v>
      </c>
      <c r="AB318" s="144">
        <f>IFERROR(_xlfn.XLOOKUP($B318,'Cronog. e Histog.'!$BZ:$BZ,'Cronog. e Histog.'!CW:CW),"")</f>
        <v>0</v>
      </c>
      <c r="AC318" s="144">
        <f>IFERROR(_xlfn.XLOOKUP($B318,'Cronog. e Histog.'!$BZ:$BZ,'Cronog. e Histog.'!CX:CX),"")</f>
        <v>0</v>
      </c>
      <c r="AD318" s="144">
        <f>IFERROR(_xlfn.XLOOKUP($B318,'Cronog. e Histog.'!$BZ:$BZ,'Cronog. e Histog.'!CY:CY),"")</f>
        <v>0</v>
      </c>
      <c r="AE318" s="144">
        <f>IFERROR(_xlfn.XLOOKUP($B318,'Cronog. e Histog.'!$BZ:$BZ,'Cronog. e Histog.'!CZ:CZ),"")</f>
        <v>0</v>
      </c>
      <c r="AF318" s="144">
        <f>IFERROR(_xlfn.XLOOKUP($B318,'Cronog. e Histog.'!$BZ:$BZ,'Cronog. e Histog.'!DA:DA),"")</f>
        <v>0</v>
      </c>
      <c r="AG318" s="144">
        <f>IFERROR(_xlfn.XLOOKUP($B318,'Cronog. e Histog.'!$BZ:$BZ,'Cronog. e Histog.'!DB:DB),"")</f>
        <v>0</v>
      </c>
      <c r="AH318" s="144">
        <f>IFERROR(_xlfn.XLOOKUP($B318,'Cronog. e Histog.'!$BZ:$BZ,'Cronog. e Histog.'!DC:DC),"")</f>
        <v>0</v>
      </c>
      <c r="AI318" s="144">
        <f>IFERROR(_xlfn.XLOOKUP($B318,'Cronog. e Histog.'!$BZ:$BZ,'Cronog. e Histog.'!DD:DD),"")</f>
        <v>0</v>
      </c>
      <c r="AJ318" s="144">
        <f>IFERROR(_xlfn.XLOOKUP($B318,'Cronog. e Histog.'!$BZ:$BZ,'Cronog. e Histog.'!DE:DE),"")</f>
        <v>0</v>
      </c>
      <c r="AK318" s="144">
        <f>IFERROR(_xlfn.XLOOKUP($B318,'Cronog. e Histog.'!$BZ:$BZ,'Cronog. e Histog.'!DF:DF),"")</f>
        <v>0</v>
      </c>
      <c r="AL318" s="144">
        <f>IFERROR(_xlfn.XLOOKUP($B318,'Cronog. e Histog.'!$BZ:$BZ,'Cronog. e Histog.'!DG:DG),"")</f>
        <v>0</v>
      </c>
      <c r="AM318" s="144">
        <f>IFERROR(_xlfn.XLOOKUP($B318,'Cronog. e Histog.'!$BZ:$BZ,'Cronog. e Histog.'!DH:DH),"")</f>
        <v>0</v>
      </c>
      <c r="AN318" s="144">
        <f>IFERROR(_xlfn.XLOOKUP($B318,'Cronog. e Histog.'!$BZ:$BZ,'Cronog. e Histog.'!DI:DI),"")</f>
        <v>0</v>
      </c>
      <c r="AO318" s="144">
        <f>IFERROR(_xlfn.XLOOKUP($B318,'Cronog. e Histog.'!$BZ:$BZ,'Cronog. e Histog.'!DJ:DJ),"")</f>
        <v>0</v>
      </c>
      <c r="AP318" s="144">
        <f>IFERROR(_xlfn.XLOOKUP($B318,'Cronog. e Histog.'!$BZ:$BZ,'Cronog. e Histog.'!DK:DK),"")</f>
        <v>0</v>
      </c>
      <c r="AQ318" s="144">
        <f>IFERROR(_xlfn.XLOOKUP($B318,'Cronog. e Histog.'!$BZ:$BZ,'Cronog. e Histog.'!DL:DL),"")</f>
        <v>0</v>
      </c>
      <c r="AR318" s="144">
        <f>IFERROR(_xlfn.XLOOKUP($B318,'Cronog. e Histog.'!$BZ:$BZ,'Cronog. e Histog.'!DM:DM),"")</f>
        <v>0</v>
      </c>
      <c r="AS318" s="144">
        <f>IFERROR(_xlfn.XLOOKUP($B318,'Cronog. e Histog.'!$BZ:$BZ,'Cronog. e Histog.'!DN:DN),"")</f>
        <v>0</v>
      </c>
      <c r="AT318" s="144">
        <f>IFERROR(_xlfn.XLOOKUP($B318,'Cronog. e Histog.'!$BZ:$BZ,'Cronog. e Histog.'!DO:DO),"")</f>
        <v>0</v>
      </c>
      <c r="AU318" s="144">
        <f>IFERROR(_xlfn.XLOOKUP($B318,'Cronog. e Histog.'!$BZ:$BZ,'Cronog. e Histog.'!DP:DP),"")</f>
        <v>0</v>
      </c>
      <c r="AV318" s="144">
        <f>IFERROR(_xlfn.XLOOKUP($B318,'Cronog. e Histog.'!$BZ:$BZ,'Cronog. e Histog.'!DQ:DQ),"")</f>
        <v>0</v>
      </c>
      <c r="AW318" s="144">
        <f>IFERROR(_xlfn.XLOOKUP($B318,'Cronog. e Histog.'!$BZ:$BZ,'Cronog. e Histog.'!DR:DR),"")</f>
        <v>0</v>
      </c>
      <c r="AX318" s="144">
        <f>IFERROR(_xlfn.XLOOKUP($B318,'Cronog. e Histog.'!$BZ:$BZ,'Cronog. e Histog.'!DS:DS),"")</f>
        <v>0</v>
      </c>
      <c r="AY318" s="144">
        <f>IFERROR(_xlfn.XLOOKUP($B318,'Cronog. e Histog.'!$BZ:$BZ,'Cronog. e Histog.'!DT:DT),"")</f>
        <v>0</v>
      </c>
      <c r="AZ318" s="144">
        <f>IFERROR(_xlfn.XLOOKUP($B318,'Cronog. e Histog.'!$BZ:$BZ,'Cronog. e Histog.'!DU:DU),"")</f>
        <v>0</v>
      </c>
      <c r="BA318" s="144">
        <f>IFERROR(_xlfn.XLOOKUP($B318,'Cronog. e Histog.'!$BZ:$BZ,'Cronog. e Histog.'!DV:DV),"")</f>
        <v>0</v>
      </c>
      <c r="BB318" s="144">
        <f>IFERROR(_xlfn.XLOOKUP($B318,'Cronog. e Histog.'!$BZ:$BZ,'Cronog. e Histog.'!DW:DW),"")</f>
        <v>0</v>
      </c>
      <c r="BC318" s="144">
        <f>IFERROR(_xlfn.XLOOKUP($B318,'Cronog. e Histog.'!$BZ:$BZ,'Cronog. e Histog.'!DX:DX),"")</f>
        <v>0</v>
      </c>
      <c r="BD318" s="144">
        <f>IFERROR(_xlfn.XLOOKUP($B318,'Cronog. e Histog.'!$BZ:$BZ,'Cronog. e Histog.'!DY:DY),"")</f>
        <v>0</v>
      </c>
      <c r="BE318" s="144">
        <f>IFERROR(_xlfn.XLOOKUP($B318,'Cronog. e Histog.'!$BZ:$BZ,'Cronog. e Histog.'!DZ:DZ),"")</f>
        <v>0</v>
      </c>
      <c r="BF318" s="144">
        <f>IFERROR(_xlfn.XLOOKUP($B318,'Cronog. e Histog.'!$BZ:$BZ,'Cronog. e Histog.'!EA:EA),"")</f>
        <v>0</v>
      </c>
      <c r="BG318" s="144">
        <f>IFERROR(_xlfn.XLOOKUP($B318,'Cronog. e Histog.'!$BZ:$BZ,'Cronog. e Histog.'!EB:EB),"")</f>
        <v>0</v>
      </c>
      <c r="BH318" s="144">
        <f>IFERROR(_xlfn.XLOOKUP($B318,'Cronog. e Histog.'!$BZ:$BZ,'Cronog. e Histog.'!EC:EC),"")</f>
        <v>0</v>
      </c>
      <c r="BI318" s="144">
        <f>IFERROR(_xlfn.XLOOKUP($B318,'Cronog. e Histog.'!$BZ:$BZ,'Cronog. e Histog.'!ED:ED),"")</f>
        <v>0</v>
      </c>
      <c r="BJ318" s="144">
        <f>IFERROR(_xlfn.XLOOKUP($B318,'Cronog. e Histog.'!$BZ:$BZ,'Cronog. e Histog.'!EE:EE),"")</f>
        <v>0</v>
      </c>
      <c r="BK318" s="144">
        <f>IFERROR(_xlfn.XLOOKUP($B318,'Cronog. e Histog.'!$BZ:$BZ,'Cronog. e Histog.'!EF:EF),"")</f>
        <v>0</v>
      </c>
      <c r="BL318" s="144">
        <f>IFERROR(_xlfn.XLOOKUP($B318,'Cronog. e Histog.'!$BZ:$BZ,'Cronog. e Histog.'!EG:EG),"")</f>
        <v>0</v>
      </c>
      <c r="BM318" s="144">
        <f>IFERROR(_xlfn.XLOOKUP($B318,'Cronog. e Histog.'!$BZ:$BZ,'Cronog. e Histog.'!EH:EH),"")</f>
        <v>0</v>
      </c>
      <c r="BN318" s="144">
        <f>IFERROR(_xlfn.XLOOKUP($B318,'Cronog. e Histog.'!$BZ:$BZ,'Cronog. e Histog.'!EI:EI),"")</f>
        <v>0</v>
      </c>
    </row>
    <row r="319" spans="2:66" ht="12" hidden="1" customHeight="1" outlineLevel="1">
      <c r="B319" s="76">
        <v>313</v>
      </c>
      <c r="C319" s="143" t="str">
        <f>IFERROR(VLOOKUP(B319,'Cronog. e Histog.'!$BZ$213:$CA$747,2,0),"")</f>
        <v>TEC III</v>
      </c>
      <c r="D319" s="144">
        <f t="shared" si="6"/>
        <v>0</v>
      </c>
      <c r="E319" s="144">
        <f t="shared" si="7"/>
        <v>0</v>
      </c>
      <c r="F319" s="65"/>
      <c r="G319" s="144">
        <f>IFERROR(_xlfn.XLOOKUP($B319,'Cronog. e Histog.'!$BZ:$BZ,'Cronog. e Histog.'!CB:CB),"")</f>
        <v>0</v>
      </c>
      <c r="H319" s="144">
        <f>IFERROR(_xlfn.XLOOKUP($B319,'Cronog. e Histog.'!$BZ:$BZ,'Cronog. e Histog.'!CC:CC),"")</f>
        <v>0</v>
      </c>
      <c r="I319" s="144">
        <f>IFERROR(_xlfn.XLOOKUP($B319,'Cronog. e Histog.'!$BZ:$BZ,'Cronog. e Histog.'!CD:CD),"")</f>
        <v>0</v>
      </c>
      <c r="J319" s="144">
        <f>IFERROR(_xlfn.XLOOKUP($B319,'Cronog. e Histog.'!$BZ:$BZ,'Cronog. e Histog.'!CE:CE),"")</f>
        <v>0</v>
      </c>
      <c r="K319" s="144">
        <f>IFERROR(_xlfn.XLOOKUP($B319,'Cronog. e Histog.'!$BZ:$BZ,'Cronog. e Histog.'!CF:CF),"")</f>
        <v>0</v>
      </c>
      <c r="L319" s="144">
        <f>IFERROR(_xlfn.XLOOKUP($B319,'Cronog. e Histog.'!$BZ:$BZ,'Cronog. e Histog.'!CG:CG),"")</f>
        <v>0</v>
      </c>
      <c r="M319" s="144">
        <f>IFERROR(_xlfn.XLOOKUP($B319,'Cronog. e Histog.'!$BZ:$BZ,'Cronog. e Histog.'!CH:CH),"")</f>
        <v>0</v>
      </c>
      <c r="N319" s="144">
        <f>IFERROR(_xlfn.XLOOKUP($B319,'Cronog. e Histog.'!$BZ:$BZ,'Cronog. e Histog.'!CI:CI),"")</f>
        <v>0</v>
      </c>
      <c r="O319" s="144">
        <f>IFERROR(_xlfn.XLOOKUP($B319,'Cronog. e Histog.'!$BZ:$BZ,'Cronog. e Histog.'!CJ:CJ),"")</f>
        <v>0</v>
      </c>
      <c r="P319" s="144">
        <f>IFERROR(_xlfn.XLOOKUP($B319,'Cronog. e Histog.'!$BZ:$BZ,'Cronog. e Histog.'!CK:CK),"")</f>
        <v>0</v>
      </c>
      <c r="Q319" s="144">
        <f>IFERROR(_xlfn.XLOOKUP($B319,'Cronog. e Histog.'!$BZ:$BZ,'Cronog. e Histog.'!CL:CL),"")</f>
        <v>0</v>
      </c>
      <c r="R319" s="144">
        <f>IFERROR(_xlfn.XLOOKUP($B319,'Cronog. e Histog.'!$BZ:$BZ,'Cronog. e Histog.'!CM:CM),"")</f>
        <v>0</v>
      </c>
      <c r="S319" s="144">
        <f>IFERROR(_xlfn.XLOOKUP($B319,'Cronog. e Histog.'!$BZ:$BZ,'Cronog. e Histog.'!CN:CN),"")</f>
        <v>0</v>
      </c>
      <c r="T319" s="144">
        <f>IFERROR(_xlfn.XLOOKUP($B319,'Cronog. e Histog.'!$BZ:$BZ,'Cronog. e Histog.'!CO:CO),"")</f>
        <v>0</v>
      </c>
      <c r="U319" s="144">
        <f>IFERROR(_xlfn.XLOOKUP($B319,'Cronog. e Histog.'!$BZ:$BZ,'Cronog. e Histog.'!CP:CP),"")</f>
        <v>0</v>
      </c>
      <c r="V319" s="144">
        <f>IFERROR(_xlfn.XLOOKUP($B319,'Cronog. e Histog.'!$BZ:$BZ,'Cronog. e Histog.'!CQ:CQ),"")</f>
        <v>0</v>
      </c>
      <c r="W319" s="144">
        <f>IFERROR(_xlfn.XLOOKUP($B319,'Cronog. e Histog.'!$BZ:$BZ,'Cronog. e Histog.'!CR:CR),"")</f>
        <v>0</v>
      </c>
      <c r="X319" s="144">
        <f>IFERROR(_xlfn.XLOOKUP($B319,'Cronog. e Histog.'!$BZ:$BZ,'Cronog. e Histog.'!CS:CS),"")</f>
        <v>0</v>
      </c>
      <c r="Y319" s="144">
        <f>IFERROR(_xlfn.XLOOKUP($B319,'Cronog. e Histog.'!$BZ:$BZ,'Cronog. e Histog.'!CT:CT),"")</f>
        <v>0</v>
      </c>
      <c r="Z319" s="144">
        <f>IFERROR(_xlfn.XLOOKUP($B319,'Cronog. e Histog.'!$BZ:$BZ,'Cronog. e Histog.'!CU:CU),"")</f>
        <v>0</v>
      </c>
      <c r="AA319" s="144">
        <f>IFERROR(_xlfn.XLOOKUP($B319,'Cronog. e Histog.'!$BZ:$BZ,'Cronog. e Histog.'!CV:CV),"")</f>
        <v>0</v>
      </c>
      <c r="AB319" s="144">
        <f>IFERROR(_xlfn.XLOOKUP($B319,'Cronog. e Histog.'!$BZ:$BZ,'Cronog. e Histog.'!CW:CW),"")</f>
        <v>0</v>
      </c>
      <c r="AC319" s="144">
        <f>IFERROR(_xlfn.XLOOKUP($B319,'Cronog. e Histog.'!$BZ:$BZ,'Cronog. e Histog.'!CX:CX),"")</f>
        <v>0</v>
      </c>
      <c r="AD319" s="144">
        <f>IFERROR(_xlfn.XLOOKUP($B319,'Cronog. e Histog.'!$BZ:$BZ,'Cronog. e Histog.'!CY:CY),"")</f>
        <v>0</v>
      </c>
      <c r="AE319" s="144">
        <f>IFERROR(_xlfn.XLOOKUP($B319,'Cronog. e Histog.'!$BZ:$BZ,'Cronog. e Histog.'!CZ:CZ),"")</f>
        <v>0</v>
      </c>
      <c r="AF319" s="144">
        <f>IFERROR(_xlfn.XLOOKUP($B319,'Cronog. e Histog.'!$BZ:$BZ,'Cronog. e Histog.'!DA:DA),"")</f>
        <v>0</v>
      </c>
      <c r="AG319" s="144">
        <f>IFERROR(_xlfn.XLOOKUP($B319,'Cronog. e Histog.'!$BZ:$BZ,'Cronog. e Histog.'!DB:DB),"")</f>
        <v>0</v>
      </c>
      <c r="AH319" s="144">
        <f>IFERROR(_xlfn.XLOOKUP($B319,'Cronog. e Histog.'!$BZ:$BZ,'Cronog. e Histog.'!DC:DC),"")</f>
        <v>0</v>
      </c>
      <c r="AI319" s="144">
        <f>IFERROR(_xlfn.XLOOKUP($B319,'Cronog. e Histog.'!$BZ:$BZ,'Cronog. e Histog.'!DD:DD),"")</f>
        <v>0</v>
      </c>
      <c r="AJ319" s="144">
        <f>IFERROR(_xlfn.XLOOKUP($B319,'Cronog. e Histog.'!$BZ:$BZ,'Cronog. e Histog.'!DE:DE),"")</f>
        <v>0</v>
      </c>
      <c r="AK319" s="144">
        <f>IFERROR(_xlfn.XLOOKUP($B319,'Cronog. e Histog.'!$BZ:$BZ,'Cronog. e Histog.'!DF:DF),"")</f>
        <v>0</v>
      </c>
      <c r="AL319" s="144">
        <f>IFERROR(_xlfn.XLOOKUP($B319,'Cronog. e Histog.'!$BZ:$BZ,'Cronog. e Histog.'!DG:DG),"")</f>
        <v>0</v>
      </c>
      <c r="AM319" s="144">
        <f>IFERROR(_xlfn.XLOOKUP($B319,'Cronog. e Histog.'!$BZ:$BZ,'Cronog. e Histog.'!DH:DH),"")</f>
        <v>0</v>
      </c>
      <c r="AN319" s="144">
        <f>IFERROR(_xlfn.XLOOKUP($B319,'Cronog. e Histog.'!$BZ:$BZ,'Cronog. e Histog.'!DI:DI),"")</f>
        <v>0</v>
      </c>
      <c r="AO319" s="144">
        <f>IFERROR(_xlfn.XLOOKUP($B319,'Cronog. e Histog.'!$BZ:$BZ,'Cronog. e Histog.'!DJ:DJ),"")</f>
        <v>0</v>
      </c>
      <c r="AP319" s="144">
        <f>IFERROR(_xlfn.XLOOKUP($B319,'Cronog. e Histog.'!$BZ:$BZ,'Cronog. e Histog.'!DK:DK),"")</f>
        <v>0</v>
      </c>
      <c r="AQ319" s="144">
        <f>IFERROR(_xlfn.XLOOKUP($B319,'Cronog. e Histog.'!$BZ:$BZ,'Cronog. e Histog.'!DL:DL),"")</f>
        <v>0</v>
      </c>
      <c r="AR319" s="144">
        <f>IFERROR(_xlfn.XLOOKUP($B319,'Cronog. e Histog.'!$BZ:$BZ,'Cronog. e Histog.'!DM:DM),"")</f>
        <v>0</v>
      </c>
      <c r="AS319" s="144">
        <f>IFERROR(_xlfn.XLOOKUP($B319,'Cronog. e Histog.'!$BZ:$BZ,'Cronog. e Histog.'!DN:DN),"")</f>
        <v>0</v>
      </c>
      <c r="AT319" s="144">
        <f>IFERROR(_xlfn.XLOOKUP($B319,'Cronog. e Histog.'!$BZ:$BZ,'Cronog. e Histog.'!DO:DO),"")</f>
        <v>0</v>
      </c>
      <c r="AU319" s="144">
        <f>IFERROR(_xlfn.XLOOKUP($B319,'Cronog. e Histog.'!$BZ:$BZ,'Cronog. e Histog.'!DP:DP),"")</f>
        <v>0</v>
      </c>
      <c r="AV319" s="144">
        <f>IFERROR(_xlfn.XLOOKUP($B319,'Cronog. e Histog.'!$BZ:$BZ,'Cronog. e Histog.'!DQ:DQ),"")</f>
        <v>0</v>
      </c>
      <c r="AW319" s="144">
        <f>IFERROR(_xlfn.XLOOKUP($B319,'Cronog. e Histog.'!$BZ:$BZ,'Cronog. e Histog.'!DR:DR),"")</f>
        <v>0</v>
      </c>
      <c r="AX319" s="144">
        <f>IFERROR(_xlfn.XLOOKUP($B319,'Cronog. e Histog.'!$BZ:$BZ,'Cronog. e Histog.'!DS:DS),"")</f>
        <v>0</v>
      </c>
      <c r="AY319" s="144">
        <f>IFERROR(_xlfn.XLOOKUP($B319,'Cronog. e Histog.'!$BZ:$BZ,'Cronog. e Histog.'!DT:DT),"")</f>
        <v>0</v>
      </c>
      <c r="AZ319" s="144">
        <f>IFERROR(_xlfn.XLOOKUP($B319,'Cronog. e Histog.'!$BZ:$BZ,'Cronog. e Histog.'!DU:DU),"")</f>
        <v>0</v>
      </c>
      <c r="BA319" s="144">
        <f>IFERROR(_xlfn.XLOOKUP($B319,'Cronog. e Histog.'!$BZ:$BZ,'Cronog. e Histog.'!DV:DV),"")</f>
        <v>0</v>
      </c>
      <c r="BB319" s="144">
        <f>IFERROR(_xlfn.XLOOKUP($B319,'Cronog. e Histog.'!$BZ:$BZ,'Cronog. e Histog.'!DW:DW),"")</f>
        <v>0</v>
      </c>
      <c r="BC319" s="144">
        <f>IFERROR(_xlfn.XLOOKUP($B319,'Cronog. e Histog.'!$BZ:$BZ,'Cronog. e Histog.'!DX:DX),"")</f>
        <v>0</v>
      </c>
      <c r="BD319" s="144">
        <f>IFERROR(_xlfn.XLOOKUP($B319,'Cronog. e Histog.'!$BZ:$BZ,'Cronog. e Histog.'!DY:DY),"")</f>
        <v>0</v>
      </c>
      <c r="BE319" s="144">
        <f>IFERROR(_xlfn.XLOOKUP($B319,'Cronog. e Histog.'!$BZ:$BZ,'Cronog. e Histog.'!DZ:DZ),"")</f>
        <v>0</v>
      </c>
      <c r="BF319" s="144">
        <f>IFERROR(_xlfn.XLOOKUP($B319,'Cronog. e Histog.'!$BZ:$BZ,'Cronog. e Histog.'!EA:EA),"")</f>
        <v>0</v>
      </c>
      <c r="BG319" s="144">
        <f>IFERROR(_xlfn.XLOOKUP($B319,'Cronog. e Histog.'!$BZ:$BZ,'Cronog. e Histog.'!EB:EB),"")</f>
        <v>0</v>
      </c>
      <c r="BH319" s="144">
        <f>IFERROR(_xlfn.XLOOKUP($B319,'Cronog. e Histog.'!$BZ:$BZ,'Cronog. e Histog.'!EC:EC),"")</f>
        <v>0</v>
      </c>
      <c r="BI319" s="144">
        <f>IFERROR(_xlfn.XLOOKUP($B319,'Cronog. e Histog.'!$BZ:$BZ,'Cronog. e Histog.'!ED:ED),"")</f>
        <v>0</v>
      </c>
      <c r="BJ319" s="144">
        <f>IFERROR(_xlfn.XLOOKUP($B319,'Cronog. e Histog.'!$BZ:$BZ,'Cronog. e Histog.'!EE:EE),"")</f>
        <v>0</v>
      </c>
      <c r="BK319" s="144">
        <f>IFERROR(_xlfn.XLOOKUP($B319,'Cronog. e Histog.'!$BZ:$BZ,'Cronog. e Histog.'!EF:EF),"")</f>
        <v>0</v>
      </c>
      <c r="BL319" s="144">
        <f>IFERROR(_xlfn.XLOOKUP($B319,'Cronog. e Histog.'!$BZ:$BZ,'Cronog. e Histog.'!EG:EG),"")</f>
        <v>0</v>
      </c>
      <c r="BM319" s="144">
        <f>IFERROR(_xlfn.XLOOKUP($B319,'Cronog. e Histog.'!$BZ:$BZ,'Cronog. e Histog.'!EH:EH),"")</f>
        <v>0</v>
      </c>
      <c r="BN319" s="144">
        <f>IFERROR(_xlfn.XLOOKUP($B319,'Cronog. e Histog.'!$BZ:$BZ,'Cronog. e Histog.'!EI:EI),"")</f>
        <v>0</v>
      </c>
    </row>
    <row r="320" spans="2:66" ht="12" hidden="1" customHeight="1" outlineLevel="1">
      <c r="B320" s="76">
        <v>314</v>
      </c>
      <c r="C320" s="143" t="str">
        <f>IFERROR(VLOOKUP(B320,'Cronog. e Histog.'!$BZ$213:$CA$747,2,0),"")</f>
        <v>TEC II</v>
      </c>
      <c r="D320" s="144">
        <f t="shared" si="6"/>
        <v>0</v>
      </c>
      <c r="E320" s="144">
        <f t="shared" si="7"/>
        <v>0</v>
      </c>
      <c r="F320" s="65"/>
      <c r="G320" s="144">
        <f>IFERROR(_xlfn.XLOOKUP($B320,'Cronog. e Histog.'!$BZ:$BZ,'Cronog. e Histog.'!CB:CB),"")</f>
        <v>0</v>
      </c>
      <c r="H320" s="144">
        <f>IFERROR(_xlfn.XLOOKUP($B320,'Cronog. e Histog.'!$BZ:$BZ,'Cronog. e Histog.'!CC:CC),"")</f>
        <v>0</v>
      </c>
      <c r="I320" s="144">
        <f>IFERROR(_xlfn.XLOOKUP($B320,'Cronog. e Histog.'!$BZ:$BZ,'Cronog. e Histog.'!CD:CD),"")</f>
        <v>0</v>
      </c>
      <c r="J320" s="144">
        <f>IFERROR(_xlfn.XLOOKUP($B320,'Cronog. e Histog.'!$BZ:$BZ,'Cronog. e Histog.'!CE:CE),"")</f>
        <v>0</v>
      </c>
      <c r="K320" s="144">
        <f>IFERROR(_xlfn.XLOOKUP($B320,'Cronog. e Histog.'!$BZ:$BZ,'Cronog. e Histog.'!CF:CF),"")</f>
        <v>0</v>
      </c>
      <c r="L320" s="144">
        <f>IFERROR(_xlfn.XLOOKUP($B320,'Cronog. e Histog.'!$BZ:$BZ,'Cronog. e Histog.'!CG:CG),"")</f>
        <v>0</v>
      </c>
      <c r="M320" s="144">
        <f>IFERROR(_xlfn.XLOOKUP($B320,'Cronog. e Histog.'!$BZ:$BZ,'Cronog. e Histog.'!CH:CH),"")</f>
        <v>0</v>
      </c>
      <c r="N320" s="144">
        <f>IFERROR(_xlfn.XLOOKUP($B320,'Cronog. e Histog.'!$BZ:$BZ,'Cronog. e Histog.'!CI:CI),"")</f>
        <v>0</v>
      </c>
      <c r="O320" s="144">
        <f>IFERROR(_xlfn.XLOOKUP($B320,'Cronog. e Histog.'!$BZ:$BZ,'Cronog. e Histog.'!CJ:CJ),"")</f>
        <v>0</v>
      </c>
      <c r="P320" s="144">
        <f>IFERROR(_xlfn.XLOOKUP($B320,'Cronog. e Histog.'!$BZ:$BZ,'Cronog. e Histog.'!CK:CK),"")</f>
        <v>0</v>
      </c>
      <c r="Q320" s="144">
        <f>IFERROR(_xlfn.XLOOKUP($B320,'Cronog. e Histog.'!$BZ:$BZ,'Cronog. e Histog.'!CL:CL),"")</f>
        <v>0</v>
      </c>
      <c r="R320" s="144">
        <f>IFERROR(_xlfn.XLOOKUP($B320,'Cronog. e Histog.'!$BZ:$BZ,'Cronog. e Histog.'!CM:CM),"")</f>
        <v>0</v>
      </c>
      <c r="S320" s="144">
        <f>IFERROR(_xlfn.XLOOKUP($B320,'Cronog. e Histog.'!$BZ:$BZ,'Cronog. e Histog.'!CN:CN),"")</f>
        <v>0</v>
      </c>
      <c r="T320" s="144">
        <f>IFERROR(_xlfn.XLOOKUP($B320,'Cronog. e Histog.'!$BZ:$BZ,'Cronog. e Histog.'!CO:CO),"")</f>
        <v>0</v>
      </c>
      <c r="U320" s="144">
        <f>IFERROR(_xlfn.XLOOKUP($B320,'Cronog. e Histog.'!$BZ:$BZ,'Cronog. e Histog.'!CP:CP),"")</f>
        <v>0</v>
      </c>
      <c r="V320" s="144">
        <f>IFERROR(_xlfn.XLOOKUP($B320,'Cronog. e Histog.'!$BZ:$BZ,'Cronog. e Histog.'!CQ:CQ),"")</f>
        <v>0</v>
      </c>
      <c r="W320" s="144">
        <f>IFERROR(_xlfn.XLOOKUP($B320,'Cronog. e Histog.'!$BZ:$BZ,'Cronog. e Histog.'!CR:CR),"")</f>
        <v>0</v>
      </c>
      <c r="X320" s="144">
        <f>IFERROR(_xlfn.XLOOKUP($B320,'Cronog. e Histog.'!$BZ:$BZ,'Cronog. e Histog.'!CS:CS),"")</f>
        <v>0</v>
      </c>
      <c r="Y320" s="144">
        <f>IFERROR(_xlfn.XLOOKUP($B320,'Cronog. e Histog.'!$BZ:$BZ,'Cronog. e Histog.'!CT:CT),"")</f>
        <v>0</v>
      </c>
      <c r="Z320" s="144">
        <f>IFERROR(_xlfn.XLOOKUP($B320,'Cronog. e Histog.'!$BZ:$BZ,'Cronog. e Histog.'!CU:CU),"")</f>
        <v>0</v>
      </c>
      <c r="AA320" s="144">
        <f>IFERROR(_xlfn.XLOOKUP($B320,'Cronog. e Histog.'!$BZ:$BZ,'Cronog. e Histog.'!CV:CV),"")</f>
        <v>0</v>
      </c>
      <c r="AB320" s="144">
        <f>IFERROR(_xlfn.XLOOKUP($B320,'Cronog. e Histog.'!$BZ:$BZ,'Cronog. e Histog.'!CW:CW),"")</f>
        <v>0</v>
      </c>
      <c r="AC320" s="144">
        <f>IFERROR(_xlfn.XLOOKUP($B320,'Cronog. e Histog.'!$BZ:$BZ,'Cronog. e Histog.'!CX:CX),"")</f>
        <v>0</v>
      </c>
      <c r="AD320" s="144">
        <f>IFERROR(_xlfn.XLOOKUP($B320,'Cronog. e Histog.'!$BZ:$BZ,'Cronog. e Histog.'!CY:CY),"")</f>
        <v>0</v>
      </c>
      <c r="AE320" s="144">
        <f>IFERROR(_xlfn.XLOOKUP($B320,'Cronog. e Histog.'!$BZ:$BZ,'Cronog. e Histog.'!CZ:CZ),"")</f>
        <v>0</v>
      </c>
      <c r="AF320" s="144">
        <f>IFERROR(_xlfn.XLOOKUP($B320,'Cronog. e Histog.'!$BZ:$BZ,'Cronog. e Histog.'!DA:DA),"")</f>
        <v>0</v>
      </c>
      <c r="AG320" s="144">
        <f>IFERROR(_xlfn.XLOOKUP($B320,'Cronog. e Histog.'!$BZ:$BZ,'Cronog. e Histog.'!DB:DB),"")</f>
        <v>0</v>
      </c>
      <c r="AH320" s="144">
        <f>IFERROR(_xlfn.XLOOKUP($B320,'Cronog. e Histog.'!$BZ:$BZ,'Cronog. e Histog.'!DC:DC),"")</f>
        <v>0</v>
      </c>
      <c r="AI320" s="144">
        <f>IFERROR(_xlfn.XLOOKUP($B320,'Cronog. e Histog.'!$BZ:$BZ,'Cronog. e Histog.'!DD:DD),"")</f>
        <v>0</v>
      </c>
      <c r="AJ320" s="144">
        <f>IFERROR(_xlfn.XLOOKUP($B320,'Cronog. e Histog.'!$BZ:$BZ,'Cronog. e Histog.'!DE:DE),"")</f>
        <v>0</v>
      </c>
      <c r="AK320" s="144">
        <f>IFERROR(_xlfn.XLOOKUP($B320,'Cronog. e Histog.'!$BZ:$BZ,'Cronog. e Histog.'!DF:DF),"")</f>
        <v>0</v>
      </c>
      <c r="AL320" s="144">
        <f>IFERROR(_xlfn.XLOOKUP($B320,'Cronog. e Histog.'!$BZ:$BZ,'Cronog. e Histog.'!DG:DG),"")</f>
        <v>0</v>
      </c>
      <c r="AM320" s="144">
        <f>IFERROR(_xlfn.XLOOKUP($B320,'Cronog. e Histog.'!$BZ:$BZ,'Cronog. e Histog.'!DH:DH),"")</f>
        <v>0</v>
      </c>
      <c r="AN320" s="144">
        <f>IFERROR(_xlfn.XLOOKUP($B320,'Cronog. e Histog.'!$BZ:$BZ,'Cronog. e Histog.'!DI:DI),"")</f>
        <v>0</v>
      </c>
      <c r="AO320" s="144">
        <f>IFERROR(_xlfn.XLOOKUP($B320,'Cronog. e Histog.'!$BZ:$BZ,'Cronog. e Histog.'!DJ:DJ),"")</f>
        <v>0</v>
      </c>
      <c r="AP320" s="144">
        <f>IFERROR(_xlfn.XLOOKUP($B320,'Cronog. e Histog.'!$BZ:$BZ,'Cronog. e Histog.'!DK:DK),"")</f>
        <v>0</v>
      </c>
      <c r="AQ320" s="144">
        <f>IFERROR(_xlfn.XLOOKUP($B320,'Cronog. e Histog.'!$BZ:$BZ,'Cronog. e Histog.'!DL:DL),"")</f>
        <v>0</v>
      </c>
      <c r="AR320" s="144">
        <f>IFERROR(_xlfn.XLOOKUP($B320,'Cronog. e Histog.'!$BZ:$BZ,'Cronog. e Histog.'!DM:DM),"")</f>
        <v>0</v>
      </c>
      <c r="AS320" s="144">
        <f>IFERROR(_xlfn.XLOOKUP($B320,'Cronog. e Histog.'!$BZ:$BZ,'Cronog. e Histog.'!DN:DN),"")</f>
        <v>0</v>
      </c>
      <c r="AT320" s="144">
        <f>IFERROR(_xlfn.XLOOKUP($B320,'Cronog. e Histog.'!$BZ:$BZ,'Cronog. e Histog.'!DO:DO),"")</f>
        <v>0</v>
      </c>
      <c r="AU320" s="144">
        <f>IFERROR(_xlfn.XLOOKUP($B320,'Cronog. e Histog.'!$BZ:$BZ,'Cronog. e Histog.'!DP:DP),"")</f>
        <v>0</v>
      </c>
      <c r="AV320" s="144">
        <f>IFERROR(_xlfn.XLOOKUP($B320,'Cronog. e Histog.'!$BZ:$BZ,'Cronog. e Histog.'!DQ:DQ),"")</f>
        <v>0</v>
      </c>
      <c r="AW320" s="144">
        <f>IFERROR(_xlfn.XLOOKUP($B320,'Cronog. e Histog.'!$BZ:$BZ,'Cronog. e Histog.'!DR:DR),"")</f>
        <v>0</v>
      </c>
      <c r="AX320" s="144">
        <f>IFERROR(_xlfn.XLOOKUP($B320,'Cronog. e Histog.'!$BZ:$BZ,'Cronog. e Histog.'!DS:DS),"")</f>
        <v>0</v>
      </c>
      <c r="AY320" s="144">
        <f>IFERROR(_xlfn.XLOOKUP($B320,'Cronog. e Histog.'!$BZ:$BZ,'Cronog. e Histog.'!DT:DT),"")</f>
        <v>0</v>
      </c>
      <c r="AZ320" s="144">
        <f>IFERROR(_xlfn.XLOOKUP($B320,'Cronog. e Histog.'!$BZ:$BZ,'Cronog. e Histog.'!DU:DU),"")</f>
        <v>0</v>
      </c>
      <c r="BA320" s="144">
        <f>IFERROR(_xlfn.XLOOKUP($B320,'Cronog. e Histog.'!$BZ:$BZ,'Cronog. e Histog.'!DV:DV),"")</f>
        <v>0</v>
      </c>
      <c r="BB320" s="144">
        <f>IFERROR(_xlfn.XLOOKUP($B320,'Cronog. e Histog.'!$BZ:$BZ,'Cronog. e Histog.'!DW:DW),"")</f>
        <v>0</v>
      </c>
      <c r="BC320" s="144">
        <f>IFERROR(_xlfn.XLOOKUP($B320,'Cronog. e Histog.'!$BZ:$BZ,'Cronog. e Histog.'!DX:DX),"")</f>
        <v>0</v>
      </c>
      <c r="BD320" s="144">
        <f>IFERROR(_xlfn.XLOOKUP($B320,'Cronog. e Histog.'!$BZ:$BZ,'Cronog. e Histog.'!DY:DY),"")</f>
        <v>0</v>
      </c>
      <c r="BE320" s="144">
        <f>IFERROR(_xlfn.XLOOKUP($B320,'Cronog. e Histog.'!$BZ:$BZ,'Cronog. e Histog.'!DZ:DZ),"")</f>
        <v>0</v>
      </c>
      <c r="BF320" s="144">
        <f>IFERROR(_xlfn.XLOOKUP($B320,'Cronog. e Histog.'!$BZ:$BZ,'Cronog. e Histog.'!EA:EA),"")</f>
        <v>0</v>
      </c>
      <c r="BG320" s="144">
        <f>IFERROR(_xlfn.XLOOKUP($B320,'Cronog. e Histog.'!$BZ:$BZ,'Cronog. e Histog.'!EB:EB),"")</f>
        <v>0</v>
      </c>
      <c r="BH320" s="144">
        <f>IFERROR(_xlfn.XLOOKUP($B320,'Cronog. e Histog.'!$BZ:$BZ,'Cronog. e Histog.'!EC:EC),"")</f>
        <v>0</v>
      </c>
      <c r="BI320" s="144">
        <f>IFERROR(_xlfn.XLOOKUP($B320,'Cronog. e Histog.'!$BZ:$BZ,'Cronog. e Histog.'!ED:ED),"")</f>
        <v>0</v>
      </c>
      <c r="BJ320" s="144">
        <f>IFERROR(_xlfn.XLOOKUP($B320,'Cronog. e Histog.'!$BZ:$BZ,'Cronog. e Histog.'!EE:EE),"")</f>
        <v>0</v>
      </c>
      <c r="BK320" s="144">
        <f>IFERROR(_xlfn.XLOOKUP($B320,'Cronog. e Histog.'!$BZ:$BZ,'Cronog. e Histog.'!EF:EF),"")</f>
        <v>0</v>
      </c>
      <c r="BL320" s="144">
        <f>IFERROR(_xlfn.XLOOKUP($B320,'Cronog. e Histog.'!$BZ:$BZ,'Cronog. e Histog.'!EG:EG),"")</f>
        <v>0</v>
      </c>
      <c r="BM320" s="144">
        <f>IFERROR(_xlfn.XLOOKUP($B320,'Cronog. e Histog.'!$BZ:$BZ,'Cronog. e Histog.'!EH:EH),"")</f>
        <v>0</v>
      </c>
      <c r="BN320" s="144">
        <f>IFERROR(_xlfn.XLOOKUP($B320,'Cronog. e Histog.'!$BZ:$BZ,'Cronog. e Histog.'!EI:EI),"")</f>
        <v>0</v>
      </c>
    </row>
    <row r="321" spans="2:66" ht="12" hidden="1" customHeight="1" outlineLevel="1">
      <c r="B321" s="76">
        <v>315</v>
      </c>
      <c r="C321" s="143" t="str">
        <f>IFERROR(VLOOKUP(B321,'Cronog. e Histog.'!$BZ$213:$CA$747,2,0),"")</f>
        <v>TEC I</v>
      </c>
      <c r="D321" s="144">
        <f t="shared" si="6"/>
        <v>0</v>
      </c>
      <c r="E321" s="144">
        <f t="shared" si="7"/>
        <v>0</v>
      </c>
      <c r="F321" s="65"/>
      <c r="G321" s="144">
        <f>IFERROR(_xlfn.XLOOKUP($B321,'Cronog. e Histog.'!$BZ:$BZ,'Cronog. e Histog.'!CB:CB),"")</f>
        <v>0</v>
      </c>
      <c r="H321" s="144">
        <f>IFERROR(_xlfn.XLOOKUP($B321,'Cronog. e Histog.'!$BZ:$BZ,'Cronog. e Histog.'!CC:CC),"")</f>
        <v>0</v>
      </c>
      <c r="I321" s="144">
        <f>IFERROR(_xlfn.XLOOKUP($B321,'Cronog. e Histog.'!$BZ:$BZ,'Cronog. e Histog.'!CD:CD),"")</f>
        <v>0</v>
      </c>
      <c r="J321" s="144">
        <f>IFERROR(_xlfn.XLOOKUP($B321,'Cronog. e Histog.'!$BZ:$BZ,'Cronog. e Histog.'!CE:CE),"")</f>
        <v>0</v>
      </c>
      <c r="K321" s="144">
        <f>IFERROR(_xlfn.XLOOKUP($B321,'Cronog. e Histog.'!$BZ:$BZ,'Cronog. e Histog.'!CF:CF),"")</f>
        <v>0</v>
      </c>
      <c r="L321" s="144">
        <f>IFERROR(_xlfn.XLOOKUP($B321,'Cronog. e Histog.'!$BZ:$BZ,'Cronog. e Histog.'!CG:CG),"")</f>
        <v>0</v>
      </c>
      <c r="M321" s="144">
        <f>IFERROR(_xlfn.XLOOKUP($B321,'Cronog. e Histog.'!$BZ:$BZ,'Cronog. e Histog.'!CH:CH),"")</f>
        <v>0</v>
      </c>
      <c r="N321" s="144">
        <f>IFERROR(_xlfn.XLOOKUP($B321,'Cronog. e Histog.'!$BZ:$BZ,'Cronog. e Histog.'!CI:CI),"")</f>
        <v>0</v>
      </c>
      <c r="O321" s="144">
        <f>IFERROR(_xlfn.XLOOKUP($B321,'Cronog. e Histog.'!$BZ:$BZ,'Cronog. e Histog.'!CJ:CJ),"")</f>
        <v>0</v>
      </c>
      <c r="P321" s="144">
        <f>IFERROR(_xlfn.XLOOKUP($B321,'Cronog. e Histog.'!$BZ:$BZ,'Cronog. e Histog.'!CK:CK),"")</f>
        <v>0</v>
      </c>
      <c r="Q321" s="144">
        <f>IFERROR(_xlfn.XLOOKUP($B321,'Cronog. e Histog.'!$BZ:$BZ,'Cronog. e Histog.'!CL:CL),"")</f>
        <v>0</v>
      </c>
      <c r="R321" s="144">
        <f>IFERROR(_xlfn.XLOOKUP($B321,'Cronog. e Histog.'!$BZ:$BZ,'Cronog. e Histog.'!CM:CM),"")</f>
        <v>0</v>
      </c>
      <c r="S321" s="144">
        <f>IFERROR(_xlfn.XLOOKUP($B321,'Cronog. e Histog.'!$BZ:$BZ,'Cronog. e Histog.'!CN:CN),"")</f>
        <v>0</v>
      </c>
      <c r="T321" s="144">
        <f>IFERROR(_xlfn.XLOOKUP($B321,'Cronog. e Histog.'!$BZ:$BZ,'Cronog. e Histog.'!CO:CO),"")</f>
        <v>0</v>
      </c>
      <c r="U321" s="144">
        <f>IFERROR(_xlfn.XLOOKUP($B321,'Cronog. e Histog.'!$BZ:$BZ,'Cronog. e Histog.'!CP:CP),"")</f>
        <v>0</v>
      </c>
      <c r="V321" s="144">
        <f>IFERROR(_xlfn.XLOOKUP($B321,'Cronog. e Histog.'!$BZ:$BZ,'Cronog. e Histog.'!CQ:CQ),"")</f>
        <v>0</v>
      </c>
      <c r="W321" s="144">
        <f>IFERROR(_xlfn.XLOOKUP($B321,'Cronog. e Histog.'!$BZ:$BZ,'Cronog. e Histog.'!CR:CR),"")</f>
        <v>0</v>
      </c>
      <c r="X321" s="144">
        <f>IFERROR(_xlfn.XLOOKUP($B321,'Cronog. e Histog.'!$BZ:$BZ,'Cronog. e Histog.'!CS:CS),"")</f>
        <v>0</v>
      </c>
      <c r="Y321" s="144">
        <f>IFERROR(_xlfn.XLOOKUP($B321,'Cronog. e Histog.'!$BZ:$BZ,'Cronog. e Histog.'!CT:CT),"")</f>
        <v>0</v>
      </c>
      <c r="Z321" s="144">
        <f>IFERROR(_xlfn.XLOOKUP($B321,'Cronog. e Histog.'!$BZ:$BZ,'Cronog. e Histog.'!CU:CU),"")</f>
        <v>0</v>
      </c>
      <c r="AA321" s="144">
        <f>IFERROR(_xlfn.XLOOKUP($B321,'Cronog. e Histog.'!$BZ:$BZ,'Cronog. e Histog.'!CV:CV),"")</f>
        <v>0</v>
      </c>
      <c r="AB321" s="144">
        <f>IFERROR(_xlfn.XLOOKUP($B321,'Cronog. e Histog.'!$BZ:$BZ,'Cronog. e Histog.'!CW:CW),"")</f>
        <v>0</v>
      </c>
      <c r="AC321" s="144">
        <f>IFERROR(_xlfn.XLOOKUP($B321,'Cronog. e Histog.'!$BZ:$BZ,'Cronog. e Histog.'!CX:CX),"")</f>
        <v>0</v>
      </c>
      <c r="AD321" s="144">
        <f>IFERROR(_xlfn.XLOOKUP($B321,'Cronog. e Histog.'!$BZ:$BZ,'Cronog. e Histog.'!CY:CY),"")</f>
        <v>0</v>
      </c>
      <c r="AE321" s="144">
        <f>IFERROR(_xlfn.XLOOKUP($B321,'Cronog. e Histog.'!$BZ:$BZ,'Cronog. e Histog.'!CZ:CZ),"")</f>
        <v>0</v>
      </c>
      <c r="AF321" s="144">
        <f>IFERROR(_xlfn.XLOOKUP($B321,'Cronog. e Histog.'!$BZ:$BZ,'Cronog. e Histog.'!DA:DA),"")</f>
        <v>0</v>
      </c>
      <c r="AG321" s="144">
        <f>IFERROR(_xlfn.XLOOKUP($B321,'Cronog. e Histog.'!$BZ:$BZ,'Cronog. e Histog.'!DB:DB),"")</f>
        <v>0</v>
      </c>
      <c r="AH321" s="144">
        <f>IFERROR(_xlfn.XLOOKUP($B321,'Cronog. e Histog.'!$BZ:$BZ,'Cronog. e Histog.'!DC:DC),"")</f>
        <v>0</v>
      </c>
      <c r="AI321" s="144">
        <f>IFERROR(_xlfn.XLOOKUP($B321,'Cronog. e Histog.'!$BZ:$BZ,'Cronog. e Histog.'!DD:DD),"")</f>
        <v>0</v>
      </c>
      <c r="AJ321" s="144">
        <f>IFERROR(_xlfn.XLOOKUP($B321,'Cronog. e Histog.'!$BZ:$BZ,'Cronog. e Histog.'!DE:DE),"")</f>
        <v>0</v>
      </c>
      <c r="AK321" s="144">
        <f>IFERROR(_xlfn.XLOOKUP($B321,'Cronog. e Histog.'!$BZ:$BZ,'Cronog. e Histog.'!DF:DF),"")</f>
        <v>0</v>
      </c>
      <c r="AL321" s="144">
        <f>IFERROR(_xlfn.XLOOKUP($B321,'Cronog. e Histog.'!$BZ:$BZ,'Cronog. e Histog.'!DG:DG),"")</f>
        <v>0</v>
      </c>
      <c r="AM321" s="144">
        <f>IFERROR(_xlfn.XLOOKUP($B321,'Cronog. e Histog.'!$BZ:$BZ,'Cronog. e Histog.'!DH:DH),"")</f>
        <v>0</v>
      </c>
      <c r="AN321" s="144">
        <f>IFERROR(_xlfn.XLOOKUP($B321,'Cronog. e Histog.'!$BZ:$BZ,'Cronog. e Histog.'!DI:DI),"")</f>
        <v>0</v>
      </c>
      <c r="AO321" s="144">
        <f>IFERROR(_xlfn.XLOOKUP($B321,'Cronog. e Histog.'!$BZ:$BZ,'Cronog. e Histog.'!DJ:DJ),"")</f>
        <v>0</v>
      </c>
      <c r="AP321" s="144">
        <f>IFERROR(_xlfn.XLOOKUP($B321,'Cronog. e Histog.'!$BZ:$BZ,'Cronog. e Histog.'!DK:DK),"")</f>
        <v>0</v>
      </c>
      <c r="AQ321" s="144">
        <f>IFERROR(_xlfn.XLOOKUP($B321,'Cronog. e Histog.'!$BZ:$BZ,'Cronog. e Histog.'!DL:DL),"")</f>
        <v>0</v>
      </c>
      <c r="AR321" s="144">
        <f>IFERROR(_xlfn.XLOOKUP($B321,'Cronog. e Histog.'!$BZ:$BZ,'Cronog. e Histog.'!DM:DM),"")</f>
        <v>0</v>
      </c>
      <c r="AS321" s="144">
        <f>IFERROR(_xlfn.XLOOKUP($B321,'Cronog. e Histog.'!$BZ:$BZ,'Cronog. e Histog.'!DN:DN),"")</f>
        <v>0</v>
      </c>
      <c r="AT321" s="144">
        <f>IFERROR(_xlfn.XLOOKUP($B321,'Cronog. e Histog.'!$BZ:$BZ,'Cronog. e Histog.'!DO:DO),"")</f>
        <v>0</v>
      </c>
      <c r="AU321" s="144">
        <f>IFERROR(_xlfn.XLOOKUP($B321,'Cronog. e Histog.'!$BZ:$BZ,'Cronog. e Histog.'!DP:DP),"")</f>
        <v>0</v>
      </c>
      <c r="AV321" s="144">
        <f>IFERROR(_xlfn.XLOOKUP($B321,'Cronog. e Histog.'!$BZ:$BZ,'Cronog. e Histog.'!DQ:DQ),"")</f>
        <v>0</v>
      </c>
      <c r="AW321" s="144">
        <f>IFERROR(_xlfn.XLOOKUP($B321,'Cronog. e Histog.'!$BZ:$BZ,'Cronog. e Histog.'!DR:DR),"")</f>
        <v>0</v>
      </c>
      <c r="AX321" s="144">
        <f>IFERROR(_xlfn.XLOOKUP($B321,'Cronog. e Histog.'!$BZ:$BZ,'Cronog. e Histog.'!DS:DS),"")</f>
        <v>0</v>
      </c>
      <c r="AY321" s="144">
        <f>IFERROR(_xlfn.XLOOKUP($B321,'Cronog. e Histog.'!$BZ:$BZ,'Cronog. e Histog.'!DT:DT),"")</f>
        <v>0</v>
      </c>
      <c r="AZ321" s="144">
        <f>IFERROR(_xlfn.XLOOKUP($B321,'Cronog. e Histog.'!$BZ:$BZ,'Cronog. e Histog.'!DU:DU),"")</f>
        <v>0</v>
      </c>
      <c r="BA321" s="144">
        <f>IFERROR(_xlfn.XLOOKUP($B321,'Cronog. e Histog.'!$BZ:$BZ,'Cronog. e Histog.'!DV:DV),"")</f>
        <v>0</v>
      </c>
      <c r="BB321" s="144">
        <f>IFERROR(_xlfn.XLOOKUP($B321,'Cronog. e Histog.'!$BZ:$BZ,'Cronog. e Histog.'!DW:DW),"")</f>
        <v>0</v>
      </c>
      <c r="BC321" s="144">
        <f>IFERROR(_xlfn.XLOOKUP($B321,'Cronog. e Histog.'!$BZ:$BZ,'Cronog. e Histog.'!DX:DX),"")</f>
        <v>0</v>
      </c>
      <c r="BD321" s="144">
        <f>IFERROR(_xlfn.XLOOKUP($B321,'Cronog. e Histog.'!$BZ:$BZ,'Cronog. e Histog.'!DY:DY),"")</f>
        <v>0</v>
      </c>
      <c r="BE321" s="144">
        <f>IFERROR(_xlfn.XLOOKUP($B321,'Cronog. e Histog.'!$BZ:$BZ,'Cronog. e Histog.'!DZ:DZ),"")</f>
        <v>0</v>
      </c>
      <c r="BF321" s="144">
        <f>IFERROR(_xlfn.XLOOKUP($B321,'Cronog. e Histog.'!$BZ:$BZ,'Cronog. e Histog.'!EA:EA),"")</f>
        <v>0</v>
      </c>
      <c r="BG321" s="144">
        <f>IFERROR(_xlfn.XLOOKUP($B321,'Cronog. e Histog.'!$BZ:$BZ,'Cronog. e Histog.'!EB:EB),"")</f>
        <v>0</v>
      </c>
      <c r="BH321" s="144">
        <f>IFERROR(_xlfn.XLOOKUP($B321,'Cronog. e Histog.'!$BZ:$BZ,'Cronog. e Histog.'!EC:EC),"")</f>
        <v>0</v>
      </c>
      <c r="BI321" s="144">
        <f>IFERROR(_xlfn.XLOOKUP($B321,'Cronog. e Histog.'!$BZ:$BZ,'Cronog. e Histog.'!ED:ED),"")</f>
        <v>0</v>
      </c>
      <c r="BJ321" s="144">
        <f>IFERROR(_xlfn.XLOOKUP($B321,'Cronog. e Histog.'!$BZ:$BZ,'Cronog. e Histog.'!EE:EE),"")</f>
        <v>0</v>
      </c>
      <c r="BK321" s="144">
        <f>IFERROR(_xlfn.XLOOKUP($B321,'Cronog. e Histog.'!$BZ:$BZ,'Cronog. e Histog.'!EF:EF),"")</f>
        <v>0</v>
      </c>
      <c r="BL321" s="144">
        <f>IFERROR(_xlfn.XLOOKUP($B321,'Cronog. e Histog.'!$BZ:$BZ,'Cronog. e Histog.'!EG:EG),"")</f>
        <v>0</v>
      </c>
      <c r="BM321" s="144">
        <f>IFERROR(_xlfn.XLOOKUP($B321,'Cronog. e Histog.'!$BZ:$BZ,'Cronog. e Histog.'!EH:EH),"")</f>
        <v>0</v>
      </c>
      <c r="BN321" s="144">
        <f>IFERROR(_xlfn.XLOOKUP($B321,'Cronog. e Histog.'!$BZ:$BZ,'Cronog. e Histog.'!EI:EI),"")</f>
        <v>0</v>
      </c>
    </row>
    <row r="322" spans="2:66" ht="12" hidden="1" customHeight="1" outlineLevel="1">
      <c r="B322" s="76">
        <v>316</v>
      </c>
      <c r="C322" s="143" t="str">
        <f>IFERROR(VLOOKUP(B322,'Cronog. e Histog.'!$BZ$213:$CA$747,2,0),"")</f>
        <v>AUX TEC</v>
      </c>
      <c r="D322" s="144">
        <f t="shared" si="6"/>
        <v>0</v>
      </c>
      <c r="E322" s="144">
        <f t="shared" si="7"/>
        <v>0</v>
      </c>
      <c r="F322" s="65"/>
      <c r="G322" s="144">
        <f>IFERROR(_xlfn.XLOOKUP($B322,'Cronog. e Histog.'!$BZ:$BZ,'Cronog. e Histog.'!CB:CB),"")</f>
        <v>0</v>
      </c>
      <c r="H322" s="144">
        <f>IFERROR(_xlfn.XLOOKUP($B322,'Cronog. e Histog.'!$BZ:$BZ,'Cronog. e Histog.'!CC:CC),"")</f>
        <v>0</v>
      </c>
      <c r="I322" s="144">
        <f>IFERROR(_xlfn.XLOOKUP($B322,'Cronog. e Histog.'!$BZ:$BZ,'Cronog. e Histog.'!CD:CD),"")</f>
        <v>0</v>
      </c>
      <c r="J322" s="144">
        <f>IFERROR(_xlfn.XLOOKUP($B322,'Cronog. e Histog.'!$BZ:$BZ,'Cronog. e Histog.'!CE:CE),"")</f>
        <v>0</v>
      </c>
      <c r="K322" s="144">
        <f>IFERROR(_xlfn.XLOOKUP($B322,'Cronog. e Histog.'!$BZ:$BZ,'Cronog. e Histog.'!CF:CF),"")</f>
        <v>0</v>
      </c>
      <c r="L322" s="144">
        <f>IFERROR(_xlfn.XLOOKUP($B322,'Cronog. e Histog.'!$BZ:$BZ,'Cronog. e Histog.'!CG:CG),"")</f>
        <v>0</v>
      </c>
      <c r="M322" s="144">
        <f>IFERROR(_xlfn.XLOOKUP($B322,'Cronog. e Histog.'!$BZ:$BZ,'Cronog. e Histog.'!CH:CH),"")</f>
        <v>0</v>
      </c>
      <c r="N322" s="144">
        <f>IFERROR(_xlfn.XLOOKUP($B322,'Cronog. e Histog.'!$BZ:$BZ,'Cronog. e Histog.'!CI:CI),"")</f>
        <v>0</v>
      </c>
      <c r="O322" s="144">
        <f>IFERROR(_xlfn.XLOOKUP($B322,'Cronog. e Histog.'!$BZ:$BZ,'Cronog. e Histog.'!CJ:CJ),"")</f>
        <v>0</v>
      </c>
      <c r="P322" s="144">
        <f>IFERROR(_xlfn.XLOOKUP($B322,'Cronog. e Histog.'!$BZ:$BZ,'Cronog. e Histog.'!CK:CK),"")</f>
        <v>0</v>
      </c>
      <c r="Q322" s="144">
        <f>IFERROR(_xlfn.XLOOKUP($B322,'Cronog. e Histog.'!$BZ:$BZ,'Cronog. e Histog.'!CL:CL),"")</f>
        <v>0</v>
      </c>
      <c r="R322" s="144">
        <f>IFERROR(_xlfn.XLOOKUP($B322,'Cronog. e Histog.'!$BZ:$BZ,'Cronog. e Histog.'!CM:CM),"")</f>
        <v>0</v>
      </c>
      <c r="S322" s="144">
        <f>IFERROR(_xlfn.XLOOKUP($B322,'Cronog. e Histog.'!$BZ:$BZ,'Cronog. e Histog.'!CN:CN),"")</f>
        <v>0</v>
      </c>
      <c r="T322" s="144">
        <f>IFERROR(_xlfn.XLOOKUP($B322,'Cronog. e Histog.'!$BZ:$BZ,'Cronog. e Histog.'!CO:CO),"")</f>
        <v>0</v>
      </c>
      <c r="U322" s="144">
        <f>IFERROR(_xlfn.XLOOKUP($B322,'Cronog. e Histog.'!$BZ:$BZ,'Cronog. e Histog.'!CP:CP),"")</f>
        <v>0</v>
      </c>
      <c r="V322" s="144">
        <f>IFERROR(_xlfn.XLOOKUP($B322,'Cronog. e Histog.'!$BZ:$BZ,'Cronog. e Histog.'!CQ:CQ),"")</f>
        <v>0</v>
      </c>
      <c r="W322" s="144">
        <f>IFERROR(_xlfn.XLOOKUP($B322,'Cronog. e Histog.'!$BZ:$BZ,'Cronog. e Histog.'!CR:CR),"")</f>
        <v>0</v>
      </c>
      <c r="X322" s="144">
        <f>IFERROR(_xlfn.XLOOKUP($B322,'Cronog. e Histog.'!$BZ:$BZ,'Cronog. e Histog.'!CS:CS),"")</f>
        <v>0</v>
      </c>
      <c r="Y322" s="144">
        <f>IFERROR(_xlfn.XLOOKUP($B322,'Cronog. e Histog.'!$BZ:$BZ,'Cronog. e Histog.'!CT:CT),"")</f>
        <v>0</v>
      </c>
      <c r="Z322" s="144">
        <f>IFERROR(_xlfn.XLOOKUP($B322,'Cronog. e Histog.'!$BZ:$BZ,'Cronog. e Histog.'!CU:CU),"")</f>
        <v>0</v>
      </c>
      <c r="AA322" s="144">
        <f>IFERROR(_xlfn.XLOOKUP($B322,'Cronog. e Histog.'!$BZ:$BZ,'Cronog. e Histog.'!CV:CV),"")</f>
        <v>0</v>
      </c>
      <c r="AB322" s="144">
        <f>IFERROR(_xlfn.XLOOKUP($B322,'Cronog. e Histog.'!$BZ:$BZ,'Cronog. e Histog.'!CW:CW),"")</f>
        <v>0</v>
      </c>
      <c r="AC322" s="144">
        <f>IFERROR(_xlfn.XLOOKUP($B322,'Cronog. e Histog.'!$BZ:$BZ,'Cronog. e Histog.'!CX:CX),"")</f>
        <v>0</v>
      </c>
      <c r="AD322" s="144">
        <f>IFERROR(_xlfn.XLOOKUP($B322,'Cronog. e Histog.'!$BZ:$BZ,'Cronog. e Histog.'!CY:CY),"")</f>
        <v>0</v>
      </c>
      <c r="AE322" s="144">
        <f>IFERROR(_xlfn.XLOOKUP($B322,'Cronog. e Histog.'!$BZ:$BZ,'Cronog. e Histog.'!CZ:CZ),"")</f>
        <v>0</v>
      </c>
      <c r="AF322" s="144">
        <f>IFERROR(_xlfn.XLOOKUP($B322,'Cronog. e Histog.'!$BZ:$BZ,'Cronog. e Histog.'!DA:DA),"")</f>
        <v>0</v>
      </c>
      <c r="AG322" s="144">
        <f>IFERROR(_xlfn.XLOOKUP($B322,'Cronog. e Histog.'!$BZ:$BZ,'Cronog. e Histog.'!DB:DB),"")</f>
        <v>0</v>
      </c>
      <c r="AH322" s="144">
        <f>IFERROR(_xlfn.XLOOKUP($B322,'Cronog. e Histog.'!$BZ:$BZ,'Cronog. e Histog.'!DC:DC),"")</f>
        <v>0</v>
      </c>
      <c r="AI322" s="144">
        <f>IFERROR(_xlfn.XLOOKUP($B322,'Cronog. e Histog.'!$BZ:$BZ,'Cronog. e Histog.'!DD:DD),"")</f>
        <v>0</v>
      </c>
      <c r="AJ322" s="144">
        <f>IFERROR(_xlfn.XLOOKUP($B322,'Cronog. e Histog.'!$BZ:$BZ,'Cronog. e Histog.'!DE:DE),"")</f>
        <v>0</v>
      </c>
      <c r="AK322" s="144">
        <f>IFERROR(_xlfn.XLOOKUP($B322,'Cronog. e Histog.'!$BZ:$BZ,'Cronog. e Histog.'!DF:DF),"")</f>
        <v>0</v>
      </c>
      <c r="AL322" s="144">
        <f>IFERROR(_xlfn.XLOOKUP($B322,'Cronog. e Histog.'!$BZ:$BZ,'Cronog. e Histog.'!DG:DG),"")</f>
        <v>0</v>
      </c>
      <c r="AM322" s="144">
        <f>IFERROR(_xlfn.XLOOKUP($B322,'Cronog. e Histog.'!$BZ:$BZ,'Cronog. e Histog.'!DH:DH),"")</f>
        <v>0</v>
      </c>
      <c r="AN322" s="144">
        <f>IFERROR(_xlfn.XLOOKUP($B322,'Cronog. e Histog.'!$BZ:$BZ,'Cronog. e Histog.'!DI:DI),"")</f>
        <v>0</v>
      </c>
      <c r="AO322" s="144">
        <f>IFERROR(_xlfn.XLOOKUP($B322,'Cronog. e Histog.'!$BZ:$BZ,'Cronog. e Histog.'!DJ:DJ),"")</f>
        <v>0</v>
      </c>
      <c r="AP322" s="144">
        <f>IFERROR(_xlfn.XLOOKUP($B322,'Cronog. e Histog.'!$BZ:$BZ,'Cronog. e Histog.'!DK:DK),"")</f>
        <v>0</v>
      </c>
      <c r="AQ322" s="144">
        <f>IFERROR(_xlfn.XLOOKUP($B322,'Cronog. e Histog.'!$BZ:$BZ,'Cronog. e Histog.'!DL:DL),"")</f>
        <v>0</v>
      </c>
      <c r="AR322" s="144">
        <f>IFERROR(_xlfn.XLOOKUP($B322,'Cronog. e Histog.'!$BZ:$BZ,'Cronog. e Histog.'!DM:DM),"")</f>
        <v>0</v>
      </c>
      <c r="AS322" s="144">
        <f>IFERROR(_xlfn.XLOOKUP($B322,'Cronog. e Histog.'!$BZ:$BZ,'Cronog. e Histog.'!DN:DN),"")</f>
        <v>0</v>
      </c>
      <c r="AT322" s="144">
        <f>IFERROR(_xlfn.XLOOKUP($B322,'Cronog. e Histog.'!$BZ:$BZ,'Cronog. e Histog.'!DO:DO),"")</f>
        <v>0</v>
      </c>
      <c r="AU322" s="144">
        <f>IFERROR(_xlfn.XLOOKUP($B322,'Cronog. e Histog.'!$BZ:$BZ,'Cronog. e Histog.'!DP:DP),"")</f>
        <v>0</v>
      </c>
      <c r="AV322" s="144">
        <f>IFERROR(_xlfn.XLOOKUP($B322,'Cronog. e Histog.'!$BZ:$BZ,'Cronog. e Histog.'!DQ:DQ),"")</f>
        <v>0</v>
      </c>
      <c r="AW322" s="144">
        <f>IFERROR(_xlfn.XLOOKUP($B322,'Cronog. e Histog.'!$BZ:$BZ,'Cronog. e Histog.'!DR:DR),"")</f>
        <v>0</v>
      </c>
      <c r="AX322" s="144">
        <f>IFERROR(_xlfn.XLOOKUP($B322,'Cronog. e Histog.'!$BZ:$BZ,'Cronog. e Histog.'!DS:DS),"")</f>
        <v>0</v>
      </c>
      <c r="AY322" s="144">
        <f>IFERROR(_xlfn.XLOOKUP($B322,'Cronog. e Histog.'!$BZ:$BZ,'Cronog. e Histog.'!DT:DT),"")</f>
        <v>0</v>
      </c>
      <c r="AZ322" s="144">
        <f>IFERROR(_xlfn.XLOOKUP($B322,'Cronog. e Histog.'!$BZ:$BZ,'Cronog. e Histog.'!DU:DU),"")</f>
        <v>0</v>
      </c>
      <c r="BA322" s="144">
        <f>IFERROR(_xlfn.XLOOKUP($B322,'Cronog. e Histog.'!$BZ:$BZ,'Cronog. e Histog.'!DV:DV),"")</f>
        <v>0</v>
      </c>
      <c r="BB322" s="144">
        <f>IFERROR(_xlfn.XLOOKUP($B322,'Cronog. e Histog.'!$BZ:$BZ,'Cronog. e Histog.'!DW:DW),"")</f>
        <v>0</v>
      </c>
      <c r="BC322" s="144">
        <f>IFERROR(_xlfn.XLOOKUP($B322,'Cronog. e Histog.'!$BZ:$BZ,'Cronog. e Histog.'!DX:DX),"")</f>
        <v>0</v>
      </c>
      <c r="BD322" s="144">
        <f>IFERROR(_xlfn.XLOOKUP($B322,'Cronog. e Histog.'!$BZ:$BZ,'Cronog. e Histog.'!DY:DY),"")</f>
        <v>0</v>
      </c>
      <c r="BE322" s="144">
        <f>IFERROR(_xlfn.XLOOKUP($B322,'Cronog. e Histog.'!$BZ:$BZ,'Cronog. e Histog.'!DZ:DZ),"")</f>
        <v>0</v>
      </c>
      <c r="BF322" s="144">
        <f>IFERROR(_xlfn.XLOOKUP($B322,'Cronog. e Histog.'!$BZ:$BZ,'Cronog. e Histog.'!EA:EA),"")</f>
        <v>0</v>
      </c>
      <c r="BG322" s="144">
        <f>IFERROR(_xlfn.XLOOKUP($B322,'Cronog. e Histog.'!$BZ:$BZ,'Cronog. e Histog.'!EB:EB),"")</f>
        <v>0</v>
      </c>
      <c r="BH322" s="144">
        <f>IFERROR(_xlfn.XLOOKUP($B322,'Cronog. e Histog.'!$BZ:$BZ,'Cronog. e Histog.'!EC:EC),"")</f>
        <v>0</v>
      </c>
      <c r="BI322" s="144">
        <f>IFERROR(_xlfn.XLOOKUP($B322,'Cronog. e Histog.'!$BZ:$BZ,'Cronog. e Histog.'!ED:ED),"")</f>
        <v>0</v>
      </c>
      <c r="BJ322" s="144">
        <f>IFERROR(_xlfn.XLOOKUP($B322,'Cronog. e Histog.'!$BZ:$BZ,'Cronog. e Histog.'!EE:EE),"")</f>
        <v>0</v>
      </c>
      <c r="BK322" s="144">
        <f>IFERROR(_xlfn.XLOOKUP($B322,'Cronog. e Histog.'!$BZ:$BZ,'Cronog. e Histog.'!EF:EF),"")</f>
        <v>0</v>
      </c>
      <c r="BL322" s="144">
        <f>IFERROR(_xlfn.XLOOKUP($B322,'Cronog. e Histog.'!$BZ:$BZ,'Cronog. e Histog.'!EG:EG),"")</f>
        <v>0</v>
      </c>
      <c r="BM322" s="144">
        <f>IFERROR(_xlfn.XLOOKUP($B322,'Cronog. e Histog.'!$BZ:$BZ,'Cronog. e Histog.'!EH:EH),"")</f>
        <v>0</v>
      </c>
      <c r="BN322" s="144">
        <f>IFERROR(_xlfn.XLOOKUP($B322,'Cronog. e Histog.'!$BZ:$BZ,'Cronog. e Histog.'!EI:EI),"")</f>
        <v>0</v>
      </c>
    </row>
    <row r="323" spans="2:66" ht="12" hidden="1" customHeight="1" outlineLevel="1">
      <c r="B323" s="76">
        <v>317</v>
      </c>
      <c r="C323" s="143" t="str">
        <f>IFERROR(VLOOKUP(B323,'Cronog. e Histog.'!$BZ$213:$CA$747,2,0),"")</f>
        <v>AUX ADM</v>
      </c>
      <c r="D323" s="144">
        <f t="shared" si="6"/>
        <v>0</v>
      </c>
      <c r="E323" s="144">
        <f t="shared" si="7"/>
        <v>0</v>
      </c>
      <c r="F323" s="65"/>
      <c r="G323" s="144">
        <f>IFERROR(_xlfn.XLOOKUP($B323,'Cronog. e Histog.'!$BZ:$BZ,'Cronog. e Histog.'!CB:CB),"")</f>
        <v>0</v>
      </c>
      <c r="H323" s="144">
        <f>IFERROR(_xlfn.XLOOKUP($B323,'Cronog. e Histog.'!$BZ:$BZ,'Cronog. e Histog.'!CC:CC),"")</f>
        <v>0</v>
      </c>
      <c r="I323" s="144">
        <f>IFERROR(_xlfn.XLOOKUP($B323,'Cronog. e Histog.'!$BZ:$BZ,'Cronog. e Histog.'!CD:CD),"")</f>
        <v>0</v>
      </c>
      <c r="J323" s="144">
        <f>IFERROR(_xlfn.XLOOKUP($B323,'Cronog. e Histog.'!$BZ:$BZ,'Cronog. e Histog.'!CE:CE),"")</f>
        <v>0</v>
      </c>
      <c r="K323" s="144">
        <f>IFERROR(_xlfn.XLOOKUP($B323,'Cronog. e Histog.'!$BZ:$BZ,'Cronog. e Histog.'!CF:CF),"")</f>
        <v>0</v>
      </c>
      <c r="L323" s="144">
        <f>IFERROR(_xlfn.XLOOKUP($B323,'Cronog. e Histog.'!$BZ:$BZ,'Cronog. e Histog.'!CG:CG),"")</f>
        <v>0</v>
      </c>
      <c r="M323" s="144">
        <f>IFERROR(_xlfn.XLOOKUP($B323,'Cronog. e Histog.'!$BZ:$BZ,'Cronog. e Histog.'!CH:CH),"")</f>
        <v>0</v>
      </c>
      <c r="N323" s="144">
        <f>IFERROR(_xlfn.XLOOKUP($B323,'Cronog. e Histog.'!$BZ:$BZ,'Cronog. e Histog.'!CI:CI),"")</f>
        <v>0</v>
      </c>
      <c r="O323" s="144">
        <f>IFERROR(_xlfn.XLOOKUP($B323,'Cronog. e Histog.'!$BZ:$BZ,'Cronog. e Histog.'!CJ:CJ),"")</f>
        <v>0</v>
      </c>
      <c r="P323" s="144">
        <f>IFERROR(_xlfn.XLOOKUP($B323,'Cronog. e Histog.'!$BZ:$BZ,'Cronog. e Histog.'!CK:CK),"")</f>
        <v>0</v>
      </c>
      <c r="Q323" s="144">
        <f>IFERROR(_xlfn.XLOOKUP($B323,'Cronog. e Histog.'!$BZ:$BZ,'Cronog. e Histog.'!CL:CL),"")</f>
        <v>0</v>
      </c>
      <c r="R323" s="144">
        <f>IFERROR(_xlfn.XLOOKUP($B323,'Cronog. e Histog.'!$BZ:$BZ,'Cronog. e Histog.'!CM:CM),"")</f>
        <v>0</v>
      </c>
      <c r="S323" s="144">
        <f>IFERROR(_xlfn.XLOOKUP($B323,'Cronog. e Histog.'!$BZ:$BZ,'Cronog. e Histog.'!CN:CN),"")</f>
        <v>0</v>
      </c>
      <c r="T323" s="144">
        <f>IFERROR(_xlfn.XLOOKUP($B323,'Cronog. e Histog.'!$BZ:$BZ,'Cronog. e Histog.'!CO:CO),"")</f>
        <v>0</v>
      </c>
      <c r="U323" s="144">
        <f>IFERROR(_xlfn.XLOOKUP($B323,'Cronog. e Histog.'!$BZ:$BZ,'Cronog. e Histog.'!CP:CP),"")</f>
        <v>0</v>
      </c>
      <c r="V323" s="144">
        <f>IFERROR(_xlfn.XLOOKUP($B323,'Cronog. e Histog.'!$BZ:$BZ,'Cronog. e Histog.'!CQ:CQ),"")</f>
        <v>0</v>
      </c>
      <c r="W323" s="144">
        <f>IFERROR(_xlfn.XLOOKUP($B323,'Cronog. e Histog.'!$BZ:$BZ,'Cronog. e Histog.'!CR:CR),"")</f>
        <v>0</v>
      </c>
      <c r="X323" s="144">
        <f>IFERROR(_xlfn.XLOOKUP($B323,'Cronog. e Histog.'!$BZ:$BZ,'Cronog. e Histog.'!CS:CS),"")</f>
        <v>0</v>
      </c>
      <c r="Y323" s="144">
        <f>IFERROR(_xlfn.XLOOKUP($B323,'Cronog. e Histog.'!$BZ:$BZ,'Cronog. e Histog.'!CT:CT),"")</f>
        <v>0</v>
      </c>
      <c r="Z323" s="144">
        <f>IFERROR(_xlfn.XLOOKUP($B323,'Cronog. e Histog.'!$BZ:$BZ,'Cronog. e Histog.'!CU:CU),"")</f>
        <v>0</v>
      </c>
      <c r="AA323" s="144">
        <f>IFERROR(_xlfn.XLOOKUP($B323,'Cronog. e Histog.'!$BZ:$BZ,'Cronog. e Histog.'!CV:CV),"")</f>
        <v>0</v>
      </c>
      <c r="AB323" s="144">
        <f>IFERROR(_xlfn.XLOOKUP($B323,'Cronog. e Histog.'!$BZ:$BZ,'Cronog. e Histog.'!CW:CW),"")</f>
        <v>0</v>
      </c>
      <c r="AC323" s="144">
        <f>IFERROR(_xlfn.XLOOKUP($B323,'Cronog. e Histog.'!$BZ:$BZ,'Cronog. e Histog.'!CX:CX),"")</f>
        <v>0</v>
      </c>
      <c r="AD323" s="144">
        <f>IFERROR(_xlfn.XLOOKUP($B323,'Cronog. e Histog.'!$BZ:$BZ,'Cronog. e Histog.'!CY:CY),"")</f>
        <v>0</v>
      </c>
      <c r="AE323" s="144">
        <f>IFERROR(_xlfn.XLOOKUP($B323,'Cronog. e Histog.'!$BZ:$BZ,'Cronog. e Histog.'!CZ:CZ),"")</f>
        <v>0</v>
      </c>
      <c r="AF323" s="144">
        <f>IFERROR(_xlfn.XLOOKUP($B323,'Cronog. e Histog.'!$BZ:$BZ,'Cronog. e Histog.'!DA:DA),"")</f>
        <v>0</v>
      </c>
      <c r="AG323" s="144">
        <f>IFERROR(_xlfn.XLOOKUP($B323,'Cronog. e Histog.'!$BZ:$BZ,'Cronog. e Histog.'!DB:DB),"")</f>
        <v>0</v>
      </c>
      <c r="AH323" s="144">
        <f>IFERROR(_xlfn.XLOOKUP($B323,'Cronog. e Histog.'!$BZ:$BZ,'Cronog. e Histog.'!DC:DC),"")</f>
        <v>0</v>
      </c>
      <c r="AI323" s="144">
        <f>IFERROR(_xlfn.XLOOKUP($B323,'Cronog. e Histog.'!$BZ:$BZ,'Cronog. e Histog.'!DD:DD),"")</f>
        <v>0</v>
      </c>
      <c r="AJ323" s="144">
        <f>IFERROR(_xlfn.XLOOKUP($B323,'Cronog. e Histog.'!$BZ:$BZ,'Cronog. e Histog.'!DE:DE),"")</f>
        <v>0</v>
      </c>
      <c r="AK323" s="144">
        <f>IFERROR(_xlfn.XLOOKUP($B323,'Cronog. e Histog.'!$BZ:$BZ,'Cronog. e Histog.'!DF:DF),"")</f>
        <v>0</v>
      </c>
      <c r="AL323" s="144">
        <f>IFERROR(_xlfn.XLOOKUP($B323,'Cronog. e Histog.'!$BZ:$BZ,'Cronog. e Histog.'!DG:DG),"")</f>
        <v>0</v>
      </c>
      <c r="AM323" s="144">
        <f>IFERROR(_xlfn.XLOOKUP($B323,'Cronog. e Histog.'!$BZ:$BZ,'Cronog. e Histog.'!DH:DH),"")</f>
        <v>0</v>
      </c>
      <c r="AN323" s="144">
        <f>IFERROR(_xlfn.XLOOKUP($B323,'Cronog. e Histog.'!$BZ:$BZ,'Cronog. e Histog.'!DI:DI),"")</f>
        <v>0</v>
      </c>
      <c r="AO323" s="144">
        <f>IFERROR(_xlfn.XLOOKUP($B323,'Cronog. e Histog.'!$BZ:$BZ,'Cronog. e Histog.'!DJ:DJ),"")</f>
        <v>0</v>
      </c>
      <c r="AP323" s="144">
        <f>IFERROR(_xlfn.XLOOKUP($B323,'Cronog. e Histog.'!$BZ:$BZ,'Cronog. e Histog.'!DK:DK),"")</f>
        <v>0</v>
      </c>
      <c r="AQ323" s="144">
        <f>IFERROR(_xlfn.XLOOKUP($B323,'Cronog. e Histog.'!$BZ:$BZ,'Cronog. e Histog.'!DL:DL),"")</f>
        <v>0</v>
      </c>
      <c r="AR323" s="144">
        <f>IFERROR(_xlfn.XLOOKUP($B323,'Cronog. e Histog.'!$BZ:$BZ,'Cronog. e Histog.'!DM:DM),"")</f>
        <v>0</v>
      </c>
      <c r="AS323" s="144">
        <f>IFERROR(_xlfn.XLOOKUP($B323,'Cronog. e Histog.'!$BZ:$BZ,'Cronog. e Histog.'!DN:DN),"")</f>
        <v>0</v>
      </c>
      <c r="AT323" s="144">
        <f>IFERROR(_xlfn.XLOOKUP($B323,'Cronog. e Histog.'!$BZ:$BZ,'Cronog. e Histog.'!DO:DO),"")</f>
        <v>0</v>
      </c>
      <c r="AU323" s="144">
        <f>IFERROR(_xlfn.XLOOKUP($B323,'Cronog. e Histog.'!$BZ:$BZ,'Cronog. e Histog.'!DP:DP),"")</f>
        <v>0</v>
      </c>
      <c r="AV323" s="144">
        <f>IFERROR(_xlfn.XLOOKUP($B323,'Cronog. e Histog.'!$BZ:$BZ,'Cronog. e Histog.'!DQ:DQ),"")</f>
        <v>0</v>
      </c>
      <c r="AW323" s="144">
        <f>IFERROR(_xlfn.XLOOKUP($B323,'Cronog. e Histog.'!$BZ:$BZ,'Cronog. e Histog.'!DR:DR),"")</f>
        <v>0</v>
      </c>
      <c r="AX323" s="144">
        <f>IFERROR(_xlfn.XLOOKUP($B323,'Cronog. e Histog.'!$BZ:$BZ,'Cronog. e Histog.'!DS:DS),"")</f>
        <v>0</v>
      </c>
      <c r="AY323" s="144">
        <f>IFERROR(_xlfn.XLOOKUP($B323,'Cronog. e Histog.'!$BZ:$BZ,'Cronog. e Histog.'!DT:DT),"")</f>
        <v>0</v>
      </c>
      <c r="AZ323" s="144">
        <f>IFERROR(_xlfn.XLOOKUP($B323,'Cronog. e Histog.'!$BZ:$BZ,'Cronog. e Histog.'!DU:DU),"")</f>
        <v>0</v>
      </c>
      <c r="BA323" s="144">
        <f>IFERROR(_xlfn.XLOOKUP($B323,'Cronog. e Histog.'!$BZ:$BZ,'Cronog. e Histog.'!DV:DV),"")</f>
        <v>0</v>
      </c>
      <c r="BB323" s="144">
        <f>IFERROR(_xlfn.XLOOKUP($B323,'Cronog. e Histog.'!$BZ:$BZ,'Cronog. e Histog.'!DW:DW),"")</f>
        <v>0</v>
      </c>
      <c r="BC323" s="144">
        <f>IFERROR(_xlfn.XLOOKUP($B323,'Cronog. e Histog.'!$BZ:$BZ,'Cronog. e Histog.'!DX:DX),"")</f>
        <v>0</v>
      </c>
      <c r="BD323" s="144">
        <f>IFERROR(_xlfn.XLOOKUP($B323,'Cronog. e Histog.'!$BZ:$BZ,'Cronog. e Histog.'!DY:DY),"")</f>
        <v>0</v>
      </c>
      <c r="BE323" s="144">
        <f>IFERROR(_xlfn.XLOOKUP($B323,'Cronog. e Histog.'!$BZ:$BZ,'Cronog. e Histog.'!DZ:DZ),"")</f>
        <v>0</v>
      </c>
      <c r="BF323" s="144">
        <f>IFERROR(_xlfn.XLOOKUP($B323,'Cronog. e Histog.'!$BZ:$BZ,'Cronog. e Histog.'!EA:EA),"")</f>
        <v>0</v>
      </c>
      <c r="BG323" s="144">
        <f>IFERROR(_xlfn.XLOOKUP($B323,'Cronog. e Histog.'!$BZ:$BZ,'Cronog. e Histog.'!EB:EB),"")</f>
        <v>0</v>
      </c>
      <c r="BH323" s="144">
        <f>IFERROR(_xlfn.XLOOKUP($B323,'Cronog. e Histog.'!$BZ:$BZ,'Cronog. e Histog.'!EC:EC),"")</f>
        <v>0</v>
      </c>
      <c r="BI323" s="144">
        <f>IFERROR(_xlfn.XLOOKUP($B323,'Cronog. e Histog.'!$BZ:$BZ,'Cronog. e Histog.'!ED:ED),"")</f>
        <v>0</v>
      </c>
      <c r="BJ323" s="144">
        <f>IFERROR(_xlfn.XLOOKUP($B323,'Cronog. e Histog.'!$BZ:$BZ,'Cronog. e Histog.'!EE:EE),"")</f>
        <v>0</v>
      </c>
      <c r="BK323" s="144">
        <f>IFERROR(_xlfn.XLOOKUP($B323,'Cronog. e Histog.'!$BZ:$BZ,'Cronog. e Histog.'!EF:EF),"")</f>
        <v>0</v>
      </c>
      <c r="BL323" s="144">
        <f>IFERROR(_xlfn.XLOOKUP($B323,'Cronog. e Histog.'!$BZ:$BZ,'Cronog. e Histog.'!EG:EG),"")</f>
        <v>0</v>
      </c>
      <c r="BM323" s="144">
        <f>IFERROR(_xlfn.XLOOKUP($B323,'Cronog. e Histog.'!$BZ:$BZ,'Cronog. e Histog.'!EH:EH),"")</f>
        <v>0</v>
      </c>
      <c r="BN323" s="144">
        <f>IFERROR(_xlfn.XLOOKUP($B323,'Cronog. e Histog.'!$BZ:$BZ,'Cronog. e Histog.'!EI:EI),"")</f>
        <v>0</v>
      </c>
    </row>
    <row r="324" spans="2:66" ht="12" hidden="1" customHeight="1" outlineLevel="1">
      <c r="B324" s="76">
        <v>318</v>
      </c>
      <c r="C324" s="143" t="str">
        <f>IFERROR(VLOOKUP(B324,'Cronog. e Histog.'!$BZ$213:$CA$747,2,0),"")</f>
        <v>EST</v>
      </c>
      <c r="D324" s="144">
        <f t="shared" si="6"/>
        <v>0</v>
      </c>
      <c r="E324" s="144">
        <f t="shared" si="7"/>
        <v>0</v>
      </c>
      <c r="F324" s="65"/>
      <c r="G324" s="144">
        <f>IFERROR(_xlfn.XLOOKUP($B324,'Cronog. e Histog.'!$BZ:$BZ,'Cronog. e Histog.'!CB:CB),"")</f>
        <v>0</v>
      </c>
      <c r="H324" s="144">
        <f>IFERROR(_xlfn.XLOOKUP($B324,'Cronog. e Histog.'!$BZ:$BZ,'Cronog. e Histog.'!CC:CC),"")</f>
        <v>0</v>
      </c>
      <c r="I324" s="144">
        <f>IFERROR(_xlfn.XLOOKUP($B324,'Cronog. e Histog.'!$BZ:$BZ,'Cronog. e Histog.'!CD:CD),"")</f>
        <v>0</v>
      </c>
      <c r="J324" s="144">
        <f>IFERROR(_xlfn.XLOOKUP($B324,'Cronog. e Histog.'!$BZ:$BZ,'Cronog. e Histog.'!CE:CE),"")</f>
        <v>0</v>
      </c>
      <c r="K324" s="144">
        <f>IFERROR(_xlfn.XLOOKUP($B324,'Cronog. e Histog.'!$BZ:$BZ,'Cronog. e Histog.'!CF:CF),"")</f>
        <v>0</v>
      </c>
      <c r="L324" s="144">
        <f>IFERROR(_xlfn.XLOOKUP($B324,'Cronog. e Histog.'!$BZ:$BZ,'Cronog. e Histog.'!CG:CG),"")</f>
        <v>0</v>
      </c>
      <c r="M324" s="144">
        <f>IFERROR(_xlfn.XLOOKUP($B324,'Cronog. e Histog.'!$BZ:$BZ,'Cronog. e Histog.'!CH:CH),"")</f>
        <v>0</v>
      </c>
      <c r="N324" s="144">
        <f>IFERROR(_xlfn.XLOOKUP($B324,'Cronog. e Histog.'!$BZ:$BZ,'Cronog. e Histog.'!CI:CI),"")</f>
        <v>0</v>
      </c>
      <c r="O324" s="144">
        <f>IFERROR(_xlfn.XLOOKUP($B324,'Cronog. e Histog.'!$BZ:$BZ,'Cronog. e Histog.'!CJ:CJ),"")</f>
        <v>0</v>
      </c>
      <c r="P324" s="144">
        <f>IFERROR(_xlfn.XLOOKUP($B324,'Cronog. e Histog.'!$BZ:$BZ,'Cronog. e Histog.'!CK:CK),"")</f>
        <v>0</v>
      </c>
      <c r="Q324" s="144">
        <f>IFERROR(_xlfn.XLOOKUP($B324,'Cronog. e Histog.'!$BZ:$BZ,'Cronog. e Histog.'!CL:CL),"")</f>
        <v>0</v>
      </c>
      <c r="R324" s="144">
        <f>IFERROR(_xlfn.XLOOKUP($B324,'Cronog. e Histog.'!$BZ:$BZ,'Cronog. e Histog.'!CM:CM),"")</f>
        <v>0</v>
      </c>
      <c r="S324" s="144">
        <f>IFERROR(_xlfn.XLOOKUP($B324,'Cronog. e Histog.'!$BZ:$BZ,'Cronog. e Histog.'!CN:CN),"")</f>
        <v>0</v>
      </c>
      <c r="T324" s="144">
        <f>IFERROR(_xlfn.XLOOKUP($B324,'Cronog. e Histog.'!$BZ:$BZ,'Cronog. e Histog.'!CO:CO),"")</f>
        <v>0</v>
      </c>
      <c r="U324" s="144">
        <f>IFERROR(_xlfn.XLOOKUP($B324,'Cronog. e Histog.'!$BZ:$BZ,'Cronog. e Histog.'!CP:CP),"")</f>
        <v>0</v>
      </c>
      <c r="V324" s="144">
        <f>IFERROR(_xlfn.XLOOKUP($B324,'Cronog. e Histog.'!$BZ:$BZ,'Cronog. e Histog.'!CQ:CQ),"")</f>
        <v>0</v>
      </c>
      <c r="W324" s="144">
        <f>IFERROR(_xlfn.XLOOKUP($B324,'Cronog. e Histog.'!$BZ:$BZ,'Cronog. e Histog.'!CR:CR),"")</f>
        <v>0</v>
      </c>
      <c r="X324" s="144">
        <f>IFERROR(_xlfn.XLOOKUP($B324,'Cronog. e Histog.'!$BZ:$BZ,'Cronog. e Histog.'!CS:CS),"")</f>
        <v>0</v>
      </c>
      <c r="Y324" s="144">
        <f>IFERROR(_xlfn.XLOOKUP($B324,'Cronog. e Histog.'!$BZ:$BZ,'Cronog. e Histog.'!CT:CT),"")</f>
        <v>0</v>
      </c>
      <c r="Z324" s="144">
        <f>IFERROR(_xlfn.XLOOKUP($B324,'Cronog. e Histog.'!$BZ:$BZ,'Cronog. e Histog.'!CU:CU),"")</f>
        <v>0</v>
      </c>
      <c r="AA324" s="144">
        <f>IFERROR(_xlfn.XLOOKUP($B324,'Cronog. e Histog.'!$BZ:$BZ,'Cronog. e Histog.'!CV:CV),"")</f>
        <v>0</v>
      </c>
      <c r="AB324" s="144">
        <f>IFERROR(_xlfn.XLOOKUP($B324,'Cronog. e Histog.'!$BZ:$BZ,'Cronog. e Histog.'!CW:CW),"")</f>
        <v>0</v>
      </c>
      <c r="AC324" s="144">
        <f>IFERROR(_xlfn.XLOOKUP($B324,'Cronog. e Histog.'!$BZ:$BZ,'Cronog. e Histog.'!CX:CX),"")</f>
        <v>0</v>
      </c>
      <c r="AD324" s="144">
        <f>IFERROR(_xlfn.XLOOKUP($B324,'Cronog. e Histog.'!$BZ:$BZ,'Cronog. e Histog.'!CY:CY),"")</f>
        <v>0</v>
      </c>
      <c r="AE324" s="144">
        <f>IFERROR(_xlfn.XLOOKUP($B324,'Cronog. e Histog.'!$BZ:$BZ,'Cronog. e Histog.'!CZ:CZ),"")</f>
        <v>0</v>
      </c>
      <c r="AF324" s="144">
        <f>IFERROR(_xlfn.XLOOKUP($B324,'Cronog. e Histog.'!$BZ:$BZ,'Cronog. e Histog.'!DA:DA),"")</f>
        <v>0</v>
      </c>
      <c r="AG324" s="144">
        <f>IFERROR(_xlfn.XLOOKUP($B324,'Cronog. e Histog.'!$BZ:$BZ,'Cronog. e Histog.'!DB:DB),"")</f>
        <v>0</v>
      </c>
      <c r="AH324" s="144">
        <f>IFERROR(_xlfn.XLOOKUP($B324,'Cronog. e Histog.'!$BZ:$BZ,'Cronog. e Histog.'!DC:DC),"")</f>
        <v>0</v>
      </c>
      <c r="AI324" s="144">
        <f>IFERROR(_xlfn.XLOOKUP($B324,'Cronog. e Histog.'!$BZ:$BZ,'Cronog. e Histog.'!DD:DD),"")</f>
        <v>0</v>
      </c>
      <c r="AJ324" s="144">
        <f>IFERROR(_xlfn.XLOOKUP($B324,'Cronog. e Histog.'!$BZ:$BZ,'Cronog. e Histog.'!DE:DE),"")</f>
        <v>0</v>
      </c>
      <c r="AK324" s="144">
        <f>IFERROR(_xlfn.XLOOKUP($B324,'Cronog. e Histog.'!$BZ:$BZ,'Cronog. e Histog.'!DF:DF),"")</f>
        <v>0</v>
      </c>
      <c r="AL324" s="144">
        <f>IFERROR(_xlfn.XLOOKUP($B324,'Cronog. e Histog.'!$BZ:$BZ,'Cronog. e Histog.'!DG:DG),"")</f>
        <v>0</v>
      </c>
      <c r="AM324" s="144">
        <f>IFERROR(_xlfn.XLOOKUP($B324,'Cronog. e Histog.'!$BZ:$BZ,'Cronog. e Histog.'!DH:DH),"")</f>
        <v>0</v>
      </c>
      <c r="AN324" s="144">
        <f>IFERROR(_xlfn.XLOOKUP($B324,'Cronog. e Histog.'!$BZ:$BZ,'Cronog. e Histog.'!DI:DI),"")</f>
        <v>0</v>
      </c>
      <c r="AO324" s="144">
        <f>IFERROR(_xlfn.XLOOKUP($B324,'Cronog. e Histog.'!$BZ:$BZ,'Cronog. e Histog.'!DJ:DJ),"")</f>
        <v>0</v>
      </c>
      <c r="AP324" s="144">
        <f>IFERROR(_xlfn.XLOOKUP($B324,'Cronog. e Histog.'!$BZ:$BZ,'Cronog. e Histog.'!DK:DK),"")</f>
        <v>0</v>
      </c>
      <c r="AQ324" s="144">
        <f>IFERROR(_xlfn.XLOOKUP($B324,'Cronog. e Histog.'!$BZ:$BZ,'Cronog. e Histog.'!DL:DL),"")</f>
        <v>0</v>
      </c>
      <c r="AR324" s="144">
        <f>IFERROR(_xlfn.XLOOKUP($B324,'Cronog. e Histog.'!$BZ:$BZ,'Cronog. e Histog.'!DM:DM),"")</f>
        <v>0</v>
      </c>
      <c r="AS324" s="144">
        <f>IFERROR(_xlfn.XLOOKUP($B324,'Cronog. e Histog.'!$BZ:$BZ,'Cronog. e Histog.'!DN:DN),"")</f>
        <v>0</v>
      </c>
      <c r="AT324" s="144">
        <f>IFERROR(_xlfn.XLOOKUP($B324,'Cronog. e Histog.'!$BZ:$BZ,'Cronog. e Histog.'!DO:DO),"")</f>
        <v>0</v>
      </c>
      <c r="AU324" s="144">
        <f>IFERROR(_xlfn.XLOOKUP($B324,'Cronog. e Histog.'!$BZ:$BZ,'Cronog. e Histog.'!DP:DP),"")</f>
        <v>0</v>
      </c>
      <c r="AV324" s="144">
        <f>IFERROR(_xlfn.XLOOKUP($B324,'Cronog. e Histog.'!$BZ:$BZ,'Cronog. e Histog.'!DQ:DQ),"")</f>
        <v>0</v>
      </c>
      <c r="AW324" s="144">
        <f>IFERROR(_xlfn.XLOOKUP($B324,'Cronog. e Histog.'!$BZ:$BZ,'Cronog. e Histog.'!DR:DR),"")</f>
        <v>0</v>
      </c>
      <c r="AX324" s="144">
        <f>IFERROR(_xlfn.XLOOKUP($B324,'Cronog. e Histog.'!$BZ:$BZ,'Cronog. e Histog.'!DS:DS),"")</f>
        <v>0</v>
      </c>
      <c r="AY324" s="144">
        <f>IFERROR(_xlfn.XLOOKUP($B324,'Cronog. e Histog.'!$BZ:$BZ,'Cronog. e Histog.'!DT:DT),"")</f>
        <v>0</v>
      </c>
      <c r="AZ324" s="144">
        <f>IFERROR(_xlfn.XLOOKUP($B324,'Cronog. e Histog.'!$BZ:$BZ,'Cronog. e Histog.'!DU:DU),"")</f>
        <v>0</v>
      </c>
      <c r="BA324" s="144">
        <f>IFERROR(_xlfn.XLOOKUP($B324,'Cronog. e Histog.'!$BZ:$BZ,'Cronog. e Histog.'!DV:DV),"")</f>
        <v>0</v>
      </c>
      <c r="BB324" s="144">
        <f>IFERROR(_xlfn.XLOOKUP($B324,'Cronog. e Histog.'!$BZ:$BZ,'Cronog. e Histog.'!DW:DW),"")</f>
        <v>0</v>
      </c>
      <c r="BC324" s="144">
        <f>IFERROR(_xlfn.XLOOKUP($B324,'Cronog. e Histog.'!$BZ:$BZ,'Cronog. e Histog.'!DX:DX),"")</f>
        <v>0</v>
      </c>
      <c r="BD324" s="144">
        <f>IFERROR(_xlfn.XLOOKUP($B324,'Cronog. e Histog.'!$BZ:$BZ,'Cronog. e Histog.'!DY:DY),"")</f>
        <v>0</v>
      </c>
      <c r="BE324" s="144">
        <f>IFERROR(_xlfn.XLOOKUP($B324,'Cronog. e Histog.'!$BZ:$BZ,'Cronog. e Histog.'!DZ:DZ),"")</f>
        <v>0</v>
      </c>
      <c r="BF324" s="144">
        <f>IFERROR(_xlfn.XLOOKUP($B324,'Cronog. e Histog.'!$BZ:$BZ,'Cronog. e Histog.'!EA:EA),"")</f>
        <v>0</v>
      </c>
      <c r="BG324" s="144">
        <f>IFERROR(_xlfn.XLOOKUP($B324,'Cronog. e Histog.'!$BZ:$BZ,'Cronog. e Histog.'!EB:EB),"")</f>
        <v>0</v>
      </c>
      <c r="BH324" s="144">
        <f>IFERROR(_xlfn.XLOOKUP($B324,'Cronog. e Histog.'!$BZ:$BZ,'Cronog. e Histog.'!EC:EC),"")</f>
        <v>0</v>
      </c>
      <c r="BI324" s="144">
        <f>IFERROR(_xlfn.XLOOKUP($B324,'Cronog. e Histog.'!$BZ:$BZ,'Cronog. e Histog.'!ED:ED),"")</f>
        <v>0</v>
      </c>
      <c r="BJ324" s="144">
        <f>IFERROR(_xlfn.XLOOKUP($B324,'Cronog. e Histog.'!$BZ:$BZ,'Cronog. e Histog.'!EE:EE),"")</f>
        <v>0</v>
      </c>
      <c r="BK324" s="144">
        <f>IFERROR(_xlfn.XLOOKUP($B324,'Cronog. e Histog.'!$BZ:$BZ,'Cronog. e Histog.'!EF:EF),"")</f>
        <v>0</v>
      </c>
      <c r="BL324" s="144">
        <f>IFERROR(_xlfn.XLOOKUP($B324,'Cronog. e Histog.'!$BZ:$BZ,'Cronog. e Histog.'!EG:EG),"")</f>
        <v>0</v>
      </c>
      <c r="BM324" s="144">
        <f>IFERROR(_xlfn.XLOOKUP($B324,'Cronog. e Histog.'!$BZ:$BZ,'Cronog. e Histog.'!EH:EH),"")</f>
        <v>0</v>
      </c>
      <c r="BN324" s="144">
        <f>IFERROR(_xlfn.XLOOKUP($B324,'Cronog. e Histog.'!$BZ:$BZ,'Cronog. e Histog.'!EI:EI),"")</f>
        <v>0</v>
      </c>
    </row>
    <row r="325" spans="2:66" ht="12" hidden="1" customHeight="1" outlineLevel="1">
      <c r="B325" s="76">
        <v>319</v>
      </c>
      <c r="C325" s="143" t="str">
        <f>IFERROR(VLOOKUP(B325,'Cronog. e Histog.'!$BZ$213:$CA$747,2,0),"")</f>
        <v>EST_II</v>
      </c>
      <c r="D325" s="144">
        <f t="shared" si="6"/>
        <v>0</v>
      </c>
      <c r="E325" s="144">
        <f t="shared" si="7"/>
        <v>0</v>
      </c>
      <c r="F325" s="65"/>
      <c r="G325" s="144">
        <f>IFERROR(_xlfn.XLOOKUP($B325,'Cronog. e Histog.'!$BZ:$BZ,'Cronog. e Histog.'!CB:CB),"")</f>
        <v>0</v>
      </c>
      <c r="H325" s="144">
        <f>IFERROR(_xlfn.XLOOKUP($B325,'Cronog. e Histog.'!$BZ:$BZ,'Cronog. e Histog.'!CC:CC),"")</f>
        <v>0</v>
      </c>
      <c r="I325" s="144">
        <f>IFERROR(_xlfn.XLOOKUP($B325,'Cronog. e Histog.'!$BZ:$BZ,'Cronog. e Histog.'!CD:CD),"")</f>
        <v>0</v>
      </c>
      <c r="J325" s="144">
        <f>IFERROR(_xlfn.XLOOKUP($B325,'Cronog. e Histog.'!$BZ:$BZ,'Cronog. e Histog.'!CE:CE),"")</f>
        <v>0</v>
      </c>
      <c r="K325" s="144">
        <f>IFERROR(_xlfn.XLOOKUP($B325,'Cronog. e Histog.'!$BZ:$BZ,'Cronog. e Histog.'!CF:CF),"")</f>
        <v>0</v>
      </c>
      <c r="L325" s="144">
        <f>IFERROR(_xlfn.XLOOKUP($B325,'Cronog. e Histog.'!$BZ:$BZ,'Cronog. e Histog.'!CG:CG),"")</f>
        <v>0</v>
      </c>
      <c r="M325" s="144">
        <f>IFERROR(_xlfn.XLOOKUP($B325,'Cronog. e Histog.'!$BZ:$BZ,'Cronog. e Histog.'!CH:CH),"")</f>
        <v>0</v>
      </c>
      <c r="N325" s="144">
        <f>IFERROR(_xlfn.XLOOKUP($B325,'Cronog. e Histog.'!$BZ:$BZ,'Cronog. e Histog.'!CI:CI),"")</f>
        <v>0</v>
      </c>
      <c r="O325" s="144">
        <f>IFERROR(_xlfn.XLOOKUP($B325,'Cronog. e Histog.'!$BZ:$BZ,'Cronog. e Histog.'!CJ:CJ),"")</f>
        <v>0</v>
      </c>
      <c r="P325" s="144">
        <f>IFERROR(_xlfn.XLOOKUP($B325,'Cronog. e Histog.'!$BZ:$BZ,'Cronog. e Histog.'!CK:CK),"")</f>
        <v>0</v>
      </c>
      <c r="Q325" s="144">
        <f>IFERROR(_xlfn.XLOOKUP($B325,'Cronog. e Histog.'!$BZ:$BZ,'Cronog. e Histog.'!CL:CL),"")</f>
        <v>0</v>
      </c>
      <c r="R325" s="144">
        <f>IFERROR(_xlfn.XLOOKUP($B325,'Cronog. e Histog.'!$BZ:$BZ,'Cronog. e Histog.'!CM:CM),"")</f>
        <v>0</v>
      </c>
      <c r="S325" s="144">
        <f>IFERROR(_xlfn.XLOOKUP($B325,'Cronog. e Histog.'!$BZ:$BZ,'Cronog. e Histog.'!CN:CN),"")</f>
        <v>0</v>
      </c>
      <c r="T325" s="144">
        <f>IFERROR(_xlfn.XLOOKUP($B325,'Cronog. e Histog.'!$BZ:$BZ,'Cronog. e Histog.'!CO:CO),"")</f>
        <v>0</v>
      </c>
      <c r="U325" s="144">
        <f>IFERROR(_xlfn.XLOOKUP($B325,'Cronog. e Histog.'!$BZ:$BZ,'Cronog. e Histog.'!CP:CP),"")</f>
        <v>0</v>
      </c>
      <c r="V325" s="144">
        <f>IFERROR(_xlfn.XLOOKUP($B325,'Cronog. e Histog.'!$BZ:$BZ,'Cronog. e Histog.'!CQ:CQ),"")</f>
        <v>0</v>
      </c>
      <c r="W325" s="144">
        <f>IFERROR(_xlfn.XLOOKUP($B325,'Cronog. e Histog.'!$BZ:$BZ,'Cronog. e Histog.'!CR:CR),"")</f>
        <v>0</v>
      </c>
      <c r="X325" s="144">
        <f>IFERROR(_xlfn.XLOOKUP($B325,'Cronog. e Histog.'!$BZ:$BZ,'Cronog. e Histog.'!CS:CS),"")</f>
        <v>0</v>
      </c>
      <c r="Y325" s="144">
        <f>IFERROR(_xlfn.XLOOKUP($B325,'Cronog. e Histog.'!$BZ:$BZ,'Cronog. e Histog.'!CT:CT),"")</f>
        <v>0</v>
      </c>
      <c r="Z325" s="144">
        <f>IFERROR(_xlfn.XLOOKUP($B325,'Cronog. e Histog.'!$BZ:$BZ,'Cronog. e Histog.'!CU:CU),"")</f>
        <v>0</v>
      </c>
      <c r="AA325" s="144">
        <f>IFERROR(_xlfn.XLOOKUP($B325,'Cronog. e Histog.'!$BZ:$BZ,'Cronog. e Histog.'!CV:CV),"")</f>
        <v>0</v>
      </c>
      <c r="AB325" s="144">
        <f>IFERROR(_xlfn.XLOOKUP($B325,'Cronog. e Histog.'!$BZ:$BZ,'Cronog. e Histog.'!CW:CW),"")</f>
        <v>0</v>
      </c>
      <c r="AC325" s="144">
        <f>IFERROR(_xlfn.XLOOKUP($B325,'Cronog. e Histog.'!$BZ:$BZ,'Cronog. e Histog.'!CX:CX),"")</f>
        <v>0</v>
      </c>
      <c r="AD325" s="144">
        <f>IFERROR(_xlfn.XLOOKUP($B325,'Cronog. e Histog.'!$BZ:$BZ,'Cronog. e Histog.'!CY:CY),"")</f>
        <v>0</v>
      </c>
      <c r="AE325" s="144">
        <f>IFERROR(_xlfn.XLOOKUP($B325,'Cronog. e Histog.'!$BZ:$BZ,'Cronog. e Histog.'!CZ:CZ),"")</f>
        <v>0</v>
      </c>
      <c r="AF325" s="144">
        <f>IFERROR(_xlfn.XLOOKUP($B325,'Cronog. e Histog.'!$BZ:$BZ,'Cronog. e Histog.'!DA:DA),"")</f>
        <v>0</v>
      </c>
      <c r="AG325" s="144">
        <f>IFERROR(_xlfn.XLOOKUP($B325,'Cronog. e Histog.'!$BZ:$BZ,'Cronog. e Histog.'!DB:DB),"")</f>
        <v>0</v>
      </c>
      <c r="AH325" s="144">
        <f>IFERROR(_xlfn.XLOOKUP($B325,'Cronog. e Histog.'!$BZ:$BZ,'Cronog. e Histog.'!DC:DC),"")</f>
        <v>0</v>
      </c>
      <c r="AI325" s="144">
        <f>IFERROR(_xlfn.XLOOKUP($B325,'Cronog. e Histog.'!$BZ:$BZ,'Cronog. e Histog.'!DD:DD),"")</f>
        <v>0</v>
      </c>
      <c r="AJ325" s="144">
        <f>IFERROR(_xlfn.XLOOKUP($B325,'Cronog. e Histog.'!$BZ:$BZ,'Cronog. e Histog.'!DE:DE),"")</f>
        <v>0</v>
      </c>
      <c r="AK325" s="144">
        <f>IFERROR(_xlfn.XLOOKUP($B325,'Cronog. e Histog.'!$BZ:$BZ,'Cronog. e Histog.'!DF:DF),"")</f>
        <v>0</v>
      </c>
      <c r="AL325" s="144">
        <f>IFERROR(_xlfn.XLOOKUP($B325,'Cronog. e Histog.'!$BZ:$BZ,'Cronog. e Histog.'!DG:DG),"")</f>
        <v>0</v>
      </c>
      <c r="AM325" s="144">
        <f>IFERROR(_xlfn.XLOOKUP($B325,'Cronog. e Histog.'!$BZ:$BZ,'Cronog. e Histog.'!DH:DH),"")</f>
        <v>0</v>
      </c>
      <c r="AN325" s="144">
        <f>IFERROR(_xlfn.XLOOKUP($B325,'Cronog. e Histog.'!$BZ:$BZ,'Cronog. e Histog.'!DI:DI),"")</f>
        <v>0</v>
      </c>
      <c r="AO325" s="144">
        <f>IFERROR(_xlfn.XLOOKUP($B325,'Cronog. e Histog.'!$BZ:$BZ,'Cronog. e Histog.'!DJ:DJ),"")</f>
        <v>0</v>
      </c>
      <c r="AP325" s="144">
        <f>IFERROR(_xlfn.XLOOKUP($B325,'Cronog. e Histog.'!$BZ:$BZ,'Cronog. e Histog.'!DK:DK),"")</f>
        <v>0</v>
      </c>
      <c r="AQ325" s="144">
        <f>IFERROR(_xlfn.XLOOKUP($B325,'Cronog. e Histog.'!$BZ:$BZ,'Cronog. e Histog.'!DL:DL),"")</f>
        <v>0</v>
      </c>
      <c r="AR325" s="144">
        <f>IFERROR(_xlfn.XLOOKUP($B325,'Cronog. e Histog.'!$BZ:$BZ,'Cronog. e Histog.'!DM:DM),"")</f>
        <v>0</v>
      </c>
      <c r="AS325" s="144">
        <f>IFERROR(_xlfn.XLOOKUP($B325,'Cronog. e Histog.'!$BZ:$BZ,'Cronog. e Histog.'!DN:DN),"")</f>
        <v>0</v>
      </c>
      <c r="AT325" s="144">
        <f>IFERROR(_xlfn.XLOOKUP($B325,'Cronog. e Histog.'!$BZ:$BZ,'Cronog. e Histog.'!DO:DO),"")</f>
        <v>0</v>
      </c>
      <c r="AU325" s="144">
        <f>IFERROR(_xlfn.XLOOKUP($B325,'Cronog. e Histog.'!$BZ:$BZ,'Cronog. e Histog.'!DP:DP),"")</f>
        <v>0</v>
      </c>
      <c r="AV325" s="144">
        <f>IFERROR(_xlfn.XLOOKUP($B325,'Cronog. e Histog.'!$BZ:$BZ,'Cronog. e Histog.'!DQ:DQ),"")</f>
        <v>0</v>
      </c>
      <c r="AW325" s="144">
        <f>IFERROR(_xlfn.XLOOKUP($B325,'Cronog. e Histog.'!$BZ:$BZ,'Cronog. e Histog.'!DR:DR),"")</f>
        <v>0</v>
      </c>
      <c r="AX325" s="144">
        <f>IFERROR(_xlfn.XLOOKUP($B325,'Cronog. e Histog.'!$BZ:$BZ,'Cronog. e Histog.'!DS:DS),"")</f>
        <v>0</v>
      </c>
      <c r="AY325" s="144">
        <f>IFERROR(_xlfn.XLOOKUP($B325,'Cronog. e Histog.'!$BZ:$BZ,'Cronog. e Histog.'!DT:DT),"")</f>
        <v>0</v>
      </c>
      <c r="AZ325" s="144">
        <f>IFERROR(_xlfn.XLOOKUP($B325,'Cronog. e Histog.'!$BZ:$BZ,'Cronog. e Histog.'!DU:DU),"")</f>
        <v>0</v>
      </c>
      <c r="BA325" s="144">
        <f>IFERROR(_xlfn.XLOOKUP($B325,'Cronog. e Histog.'!$BZ:$BZ,'Cronog. e Histog.'!DV:DV),"")</f>
        <v>0</v>
      </c>
      <c r="BB325" s="144">
        <f>IFERROR(_xlfn.XLOOKUP($B325,'Cronog. e Histog.'!$BZ:$BZ,'Cronog. e Histog.'!DW:DW),"")</f>
        <v>0</v>
      </c>
      <c r="BC325" s="144">
        <f>IFERROR(_xlfn.XLOOKUP($B325,'Cronog. e Histog.'!$BZ:$BZ,'Cronog. e Histog.'!DX:DX),"")</f>
        <v>0</v>
      </c>
      <c r="BD325" s="144">
        <f>IFERROR(_xlfn.XLOOKUP($B325,'Cronog. e Histog.'!$BZ:$BZ,'Cronog. e Histog.'!DY:DY),"")</f>
        <v>0</v>
      </c>
      <c r="BE325" s="144">
        <f>IFERROR(_xlfn.XLOOKUP($B325,'Cronog. e Histog.'!$BZ:$BZ,'Cronog. e Histog.'!DZ:DZ),"")</f>
        <v>0</v>
      </c>
      <c r="BF325" s="144">
        <f>IFERROR(_xlfn.XLOOKUP($B325,'Cronog. e Histog.'!$BZ:$BZ,'Cronog. e Histog.'!EA:EA),"")</f>
        <v>0</v>
      </c>
      <c r="BG325" s="144">
        <f>IFERROR(_xlfn.XLOOKUP($B325,'Cronog. e Histog.'!$BZ:$BZ,'Cronog. e Histog.'!EB:EB),"")</f>
        <v>0</v>
      </c>
      <c r="BH325" s="144">
        <f>IFERROR(_xlfn.XLOOKUP($B325,'Cronog. e Histog.'!$BZ:$BZ,'Cronog. e Histog.'!EC:EC),"")</f>
        <v>0</v>
      </c>
      <c r="BI325" s="144">
        <f>IFERROR(_xlfn.XLOOKUP($B325,'Cronog. e Histog.'!$BZ:$BZ,'Cronog. e Histog.'!ED:ED),"")</f>
        <v>0</v>
      </c>
      <c r="BJ325" s="144">
        <f>IFERROR(_xlfn.XLOOKUP($B325,'Cronog. e Histog.'!$BZ:$BZ,'Cronog. e Histog.'!EE:EE),"")</f>
        <v>0</v>
      </c>
      <c r="BK325" s="144">
        <f>IFERROR(_xlfn.XLOOKUP($B325,'Cronog. e Histog.'!$BZ:$BZ,'Cronog. e Histog.'!EF:EF),"")</f>
        <v>0</v>
      </c>
      <c r="BL325" s="144">
        <f>IFERROR(_xlfn.XLOOKUP($B325,'Cronog. e Histog.'!$BZ:$BZ,'Cronog. e Histog.'!EG:EG),"")</f>
        <v>0</v>
      </c>
      <c r="BM325" s="144">
        <f>IFERROR(_xlfn.XLOOKUP($B325,'Cronog. e Histog.'!$BZ:$BZ,'Cronog. e Histog.'!EH:EH),"")</f>
        <v>0</v>
      </c>
      <c r="BN325" s="144">
        <f>IFERROR(_xlfn.XLOOKUP($B325,'Cronog. e Histog.'!$BZ:$BZ,'Cronog. e Histog.'!EI:EI),"")</f>
        <v>0</v>
      </c>
    </row>
    <row r="326" spans="2:66" ht="12" hidden="1" customHeight="1" outlineLevel="1">
      <c r="B326" s="76">
        <v>320</v>
      </c>
      <c r="C326" s="143" t="str">
        <f>IFERROR(VLOOKUP(B326,'Cronog. e Histog.'!$BZ$213:$CA$747,2,0),"")</f>
        <v>EST_III</v>
      </c>
      <c r="D326" s="144">
        <f t="shared" si="6"/>
        <v>0</v>
      </c>
      <c r="E326" s="144">
        <f t="shared" si="7"/>
        <v>0</v>
      </c>
      <c r="F326" s="65"/>
      <c r="G326" s="144">
        <f>IFERROR(_xlfn.XLOOKUP($B326,'Cronog. e Histog.'!$BZ:$BZ,'Cronog. e Histog.'!CB:CB),"")</f>
        <v>0</v>
      </c>
      <c r="H326" s="144">
        <f>IFERROR(_xlfn.XLOOKUP($B326,'Cronog. e Histog.'!$BZ:$BZ,'Cronog. e Histog.'!CC:CC),"")</f>
        <v>0</v>
      </c>
      <c r="I326" s="144">
        <f>IFERROR(_xlfn.XLOOKUP($B326,'Cronog. e Histog.'!$BZ:$BZ,'Cronog. e Histog.'!CD:CD),"")</f>
        <v>0</v>
      </c>
      <c r="J326" s="144">
        <f>IFERROR(_xlfn.XLOOKUP($B326,'Cronog. e Histog.'!$BZ:$BZ,'Cronog. e Histog.'!CE:CE),"")</f>
        <v>0</v>
      </c>
      <c r="K326" s="144">
        <f>IFERROR(_xlfn.XLOOKUP($B326,'Cronog. e Histog.'!$BZ:$BZ,'Cronog. e Histog.'!CF:CF),"")</f>
        <v>0</v>
      </c>
      <c r="L326" s="144">
        <f>IFERROR(_xlfn.XLOOKUP($B326,'Cronog. e Histog.'!$BZ:$BZ,'Cronog. e Histog.'!CG:CG),"")</f>
        <v>0</v>
      </c>
      <c r="M326" s="144">
        <f>IFERROR(_xlfn.XLOOKUP($B326,'Cronog. e Histog.'!$BZ:$BZ,'Cronog. e Histog.'!CH:CH),"")</f>
        <v>0</v>
      </c>
      <c r="N326" s="144">
        <f>IFERROR(_xlfn.XLOOKUP($B326,'Cronog. e Histog.'!$BZ:$BZ,'Cronog. e Histog.'!CI:CI),"")</f>
        <v>0</v>
      </c>
      <c r="O326" s="144">
        <f>IFERROR(_xlfn.XLOOKUP($B326,'Cronog. e Histog.'!$BZ:$BZ,'Cronog. e Histog.'!CJ:CJ),"")</f>
        <v>0</v>
      </c>
      <c r="P326" s="144">
        <f>IFERROR(_xlfn.XLOOKUP($B326,'Cronog. e Histog.'!$BZ:$BZ,'Cronog. e Histog.'!CK:CK),"")</f>
        <v>0</v>
      </c>
      <c r="Q326" s="144">
        <f>IFERROR(_xlfn.XLOOKUP($B326,'Cronog. e Histog.'!$BZ:$BZ,'Cronog. e Histog.'!CL:CL),"")</f>
        <v>0</v>
      </c>
      <c r="R326" s="144">
        <f>IFERROR(_xlfn.XLOOKUP($B326,'Cronog. e Histog.'!$BZ:$BZ,'Cronog. e Histog.'!CM:CM),"")</f>
        <v>0</v>
      </c>
      <c r="S326" s="144">
        <f>IFERROR(_xlfn.XLOOKUP($B326,'Cronog. e Histog.'!$BZ:$BZ,'Cronog. e Histog.'!CN:CN),"")</f>
        <v>0</v>
      </c>
      <c r="T326" s="144">
        <f>IFERROR(_xlfn.XLOOKUP($B326,'Cronog. e Histog.'!$BZ:$BZ,'Cronog. e Histog.'!CO:CO),"")</f>
        <v>0</v>
      </c>
      <c r="U326" s="144">
        <f>IFERROR(_xlfn.XLOOKUP($B326,'Cronog. e Histog.'!$BZ:$BZ,'Cronog. e Histog.'!CP:CP),"")</f>
        <v>0</v>
      </c>
      <c r="V326" s="144">
        <f>IFERROR(_xlfn.XLOOKUP($B326,'Cronog. e Histog.'!$BZ:$BZ,'Cronog. e Histog.'!CQ:CQ),"")</f>
        <v>0</v>
      </c>
      <c r="W326" s="144">
        <f>IFERROR(_xlfn.XLOOKUP($B326,'Cronog. e Histog.'!$BZ:$BZ,'Cronog. e Histog.'!CR:CR),"")</f>
        <v>0</v>
      </c>
      <c r="X326" s="144">
        <f>IFERROR(_xlfn.XLOOKUP($B326,'Cronog. e Histog.'!$BZ:$BZ,'Cronog. e Histog.'!CS:CS),"")</f>
        <v>0</v>
      </c>
      <c r="Y326" s="144">
        <f>IFERROR(_xlfn.XLOOKUP($B326,'Cronog. e Histog.'!$BZ:$BZ,'Cronog. e Histog.'!CT:CT),"")</f>
        <v>0</v>
      </c>
      <c r="Z326" s="144">
        <f>IFERROR(_xlfn.XLOOKUP($B326,'Cronog. e Histog.'!$BZ:$BZ,'Cronog. e Histog.'!CU:CU),"")</f>
        <v>0</v>
      </c>
      <c r="AA326" s="144">
        <f>IFERROR(_xlfn.XLOOKUP($B326,'Cronog. e Histog.'!$BZ:$BZ,'Cronog. e Histog.'!CV:CV),"")</f>
        <v>0</v>
      </c>
      <c r="AB326" s="144">
        <f>IFERROR(_xlfn.XLOOKUP($B326,'Cronog. e Histog.'!$BZ:$BZ,'Cronog. e Histog.'!CW:CW),"")</f>
        <v>0</v>
      </c>
      <c r="AC326" s="144">
        <f>IFERROR(_xlfn.XLOOKUP($B326,'Cronog. e Histog.'!$BZ:$BZ,'Cronog. e Histog.'!CX:CX),"")</f>
        <v>0</v>
      </c>
      <c r="AD326" s="144">
        <f>IFERROR(_xlfn.XLOOKUP($B326,'Cronog. e Histog.'!$BZ:$BZ,'Cronog. e Histog.'!CY:CY),"")</f>
        <v>0</v>
      </c>
      <c r="AE326" s="144">
        <f>IFERROR(_xlfn.XLOOKUP($B326,'Cronog. e Histog.'!$BZ:$BZ,'Cronog. e Histog.'!CZ:CZ),"")</f>
        <v>0</v>
      </c>
      <c r="AF326" s="144">
        <f>IFERROR(_xlfn.XLOOKUP($B326,'Cronog. e Histog.'!$BZ:$BZ,'Cronog. e Histog.'!DA:DA),"")</f>
        <v>0</v>
      </c>
      <c r="AG326" s="144">
        <f>IFERROR(_xlfn.XLOOKUP($B326,'Cronog. e Histog.'!$BZ:$BZ,'Cronog. e Histog.'!DB:DB),"")</f>
        <v>0</v>
      </c>
      <c r="AH326" s="144">
        <f>IFERROR(_xlfn.XLOOKUP($B326,'Cronog. e Histog.'!$BZ:$BZ,'Cronog. e Histog.'!DC:DC),"")</f>
        <v>0</v>
      </c>
      <c r="AI326" s="144">
        <f>IFERROR(_xlfn.XLOOKUP($B326,'Cronog. e Histog.'!$BZ:$BZ,'Cronog. e Histog.'!DD:DD),"")</f>
        <v>0</v>
      </c>
      <c r="AJ326" s="144">
        <f>IFERROR(_xlfn.XLOOKUP($B326,'Cronog. e Histog.'!$BZ:$BZ,'Cronog. e Histog.'!DE:DE),"")</f>
        <v>0</v>
      </c>
      <c r="AK326" s="144">
        <f>IFERROR(_xlfn.XLOOKUP($B326,'Cronog. e Histog.'!$BZ:$BZ,'Cronog. e Histog.'!DF:DF),"")</f>
        <v>0</v>
      </c>
      <c r="AL326" s="144">
        <f>IFERROR(_xlfn.XLOOKUP($B326,'Cronog. e Histog.'!$BZ:$BZ,'Cronog. e Histog.'!DG:DG),"")</f>
        <v>0</v>
      </c>
      <c r="AM326" s="144">
        <f>IFERROR(_xlfn.XLOOKUP($B326,'Cronog. e Histog.'!$BZ:$BZ,'Cronog. e Histog.'!DH:DH),"")</f>
        <v>0</v>
      </c>
      <c r="AN326" s="144">
        <f>IFERROR(_xlfn.XLOOKUP($B326,'Cronog. e Histog.'!$BZ:$BZ,'Cronog. e Histog.'!DI:DI),"")</f>
        <v>0</v>
      </c>
      <c r="AO326" s="144">
        <f>IFERROR(_xlfn.XLOOKUP($B326,'Cronog. e Histog.'!$BZ:$BZ,'Cronog. e Histog.'!DJ:DJ),"")</f>
        <v>0</v>
      </c>
      <c r="AP326" s="144">
        <f>IFERROR(_xlfn.XLOOKUP($B326,'Cronog. e Histog.'!$BZ:$BZ,'Cronog. e Histog.'!DK:DK),"")</f>
        <v>0</v>
      </c>
      <c r="AQ326" s="144">
        <f>IFERROR(_xlfn.XLOOKUP($B326,'Cronog. e Histog.'!$BZ:$BZ,'Cronog. e Histog.'!DL:DL),"")</f>
        <v>0</v>
      </c>
      <c r="AR326" s="144">
        <f>IFERROR(_xlfn.XLOOKUP($B326,'Cronog. e Histog.'!$BZ:$BZ,'Cronog. e Histog.'!DM:DM),"")</f>
        <v>0</v>
      </c>
      <c r="AS326" s="144">
        <f>IFERROR(_xlfn.XLOOKUP($B326,'Cronog. e Histog.'!$BZ:$BZ,'Cronog. e Histog.'!DN:DN),"")</f>
        <v>0</v>
      </c>
      <c r="AT326" s="144">
        <f>IFERROR(_xlfn.XLOOKUP($B326,'Cronog. e Histog.'!$BZ:$BZ,'Cronog. e Histog.'!DO:DO),"")</f>
        <v>0</v>
      </c>
      <c r="AU326" s="144">
        <f>IFERROR(_xlfn.XLOOKUP($B326,'Cronog. e Histog.'!$BZ:$BZ,'Cronog. e Histog.'!DP:DP),"")</f>
        <v>0</v>
      </c>
      <c r="AV326" s="144">
        <f>IFERROR(_xlfn.XLOOKUP($B326,'Cronog. e Histog.'!$BZ:$BZ,'Cronog. e Histog.'!DQ:DQ),"")</f>
        <v>0</v>
      </c>
      <c r="AW326" s="144">
        <f>IFERROR(_xlfn.XLOOKUP($B326,'Cronog. e Histog.'!$BZ:$BZ,'Cronog. e Histog.'!DR:DR),"")</f>
        <v>0</v>
      </c>
      <c r="AX326" s="144">
        <f>IFERROR(_xlfn.XLOOKUP($B326,'Cronog. e Histog.'!$BZ:$BZ,'Cronog. e Histog.'!DS:DS),"")</f>
        <v>0</v>
      </c>
      <c r="AY326" s="144">
        <f>IFERROR(_xlfn.XLOOKUP($B326,'Cronog. e Histog.'!$BZ:$BZ,'Cronog. e Histog.'!DT:DT),"")</f>
        <v>0</v>
      </c>
      <c r="AZ326" s="144">
        <f>IFERROR(_xlfn.XLOOKUP($B326,'Cronog. e Histog.'!$BZ:$BZ,'Cronog. e Histog.'!DU:DU),"")</f>
        <v>0</v>
      </c>
      <c r="BA326" s="144">
        <f>IFERROR(_xlfn.XLOOKUP($B326,'Cronog. e Histog.'!$BZ:$BZ,'Cronog. e Histog.'!DV:DV),"")</f>
        <v>0</v>
      </c>
      <c r="BB326" s="144">
        <f>IFERROR(_xlfn.XLOOKUP($B326,'Cronog. e Histog.'!$BZ:$BZ,'Cronog. e Histog.'!DW:DW),"")</f>
        <v>0</v>
      </c>
      <c r="BC326" s="144">
        <f>IFERROR(_xlfn.XLOOKUP($B326,'Cronog. e Histog.'!$BZ:$BZ,'Cronog. e Histog.'!DX:DX),"")</f>
        <v>0</v>
      </c>
      <c r="BD326" s="144">
        <f>IFERROR(_xlfn.XLOOKUP($B326,'Cronog. e Histog.'!$BZ:$BZ,'Cronog. e Histog.'!DY:DY),"")</f>
        <v>0</v>
      </c>
      <c r="BE326" s="144">
        <f>IFERROR(_xlfn.XLOOKUP($B326,'Cronog. e Histog.'!$BZ:$BZ,'Cronog. e Histog.'!DZ:DZ),"")</f>
        <v>0</v>
      </c>
      <c r="BF326" s="144">
        <f>IFERROR(_xlfn.XLOOKUP($B326,'Cronog. e Histog.'!$BZ:$BZ,'Cronog. e Histog.'!EA:EA),"")</f>
        <v>0</v>
      </c>
      <c r="BG326" s="144">
        <f>IFERROR(_xlfn.XLOOKUP($B326,'Cronog. e Histog.'!$BZ:$BZ,'Cronog. e Histog.'!EB:EB),"")</f>
        <v>0</v>
      </c>
      <c r="BH326" s="144">
        <f>IFERROR(_xlfn.XLOOKUP($B326,'Cronog. e Histog.'!$BZ:$BZ,'Cronog. e Histog.'!EC:EC),"")</f>
        <v>0</v>
      </c>
      <c r="BI326" s="144">
        <f>IFERROR(_xlfn.XLOOKUP($B326,'Cronog. e Histog.'!$BZ:$BZ,'Cronog. e Histog.'!ED:ED),"")</f>
        <v>0</v>
      </c>
      <c r="BJ326" s="144">
        <f>IFERROR(_xlfn.XLOOKUP($B326,'Cronog. e Histog.'!$BZ:$BZ,'Cronog. e Histog.'!EE:EE),"")</f>
        <v>0</v>
      </c>
      <c r="BK326" s="144">
        <f>IFERROR(_xlfn.XLOOKUP($B326,'Cronog. e Histog.'!$BZ:$BZ,'Cronog. e Histog.'!EF:EF),"")</f>
        <v>0</v>
      </c>
      <c r="BL326" s="144">
        <f>IFERROR(_xlfn.XLOOKUP($B326,'Cronog. e Histog.'!$BZ:$BZ,'Cronog. e Histog.'!EG:EG),"")</f>
        <v>0</v>
      </c>
      <c r="BM326" s="144">
        <f>IFERROR(_xlfn.XLOOKUP($B326,'Cronog. e Histog.'!$BZ:$BZ,'Cronog. e Histog.'!EH:EH),"")</f>
        <v>0</v>
      </c>
      <c r="BN326" s="144">
        <f>IFERROR(_xlfn.XLOOKUP($B326,'Cronog. e Histog.'!$BZ:$BZ,'Cronog. e Histog.'!EI:EI),"")</f>
        <v>0</v>
      </c>
    </row>
    <row r="327" spans="2:66" ht="12" hidden="1" customHeight="1" outlineLevel="1">
      <c r="B327" s="76">
        <v>321</v>
      </c>
      <c r="C327" s="143" t="str">
        <f>IFERROR(VLOOKUP(B327,'Cronog. e Histog.'!$BZ$213:$CA$747,2,0),"")</f>
        <v>GER. (OBRA/PROJ)</v>
      </c>
      <c r="D327" s="144">
        <f t="shared" si="6"/>
        <v>0</v>
      </c>
      <c r="E327" s="144">
        <f t="shared" si="7"/>
        <v>0</v>
      </c>
      <c r="F327" s="65"/>
      <c r="G327" s="144">
        <f>IFERROR(_xlfn.XLOOKUP($B327,'Cronog. e Histog.'!$BZ:$BZ,'Cronog. e Histog.'!CB:CB),"")</f>
        <v>0</v>
      </c>
      <c r="H327" s="144">
        <f>IFERROR(_xlfn.XLOOKUP($B327,'Cronog. e Histog.'!$BZ:$BZ,'Cronog. e Histog.'!CC:CC),"")</f>
        <v>0</v>
      </c>
      <c r="I327" s="144">
        <f>IFERROR(_xlfn.XLOOKUP($B327,'Cronog. e Histog.'!$BZ:$BZ,'Cronog. e Histog.'!CD:CD),"")</f>
        <v>0</v>
      </c>
      <c r="J327" s="144">
        <f>IFERROR(_xlfn.XLOOKUP($B327,'Cronog. e Histog.'!$BZ:$BZ,'Cronog. e Histog.'!CE:CE),"")</f>
        <v>0</v>
      </c>
      <c r="K327" s="144">
        <f>IFERROR(_xlfn.XLOOKUP($B327,'Cronog. e Histog.'!$BZ:$BZ,'Cronog. e Histog.'!CF:CF),"")</f>
        <v>0</v>
      </c>
      <c r="L327" s="144">
        <f>IFERROR(_xlfn.XLOOKUP($B327,'Cronog. e Histog.'!$BZ:$BZ,'Cronog. e Histog.'!CG:CG),"")</f>
        <v>0</v>
      </c>
      <c r="M327" s="144">
        <f>IFERROR(_xlfn.XLOOKUP($B327,'Cronog. e Histog.'!$BZ:$BZ,'Cronog. e Histog.'!CH:CH),"")</f>
        <v>0</v>
      </c>
      <c r="N327" s="144">
        <f>IFERROR(_xlfn.XLOOKUP($B327,'Cronog. e Histog.'!$BZ:$BZ,'Cronog. e Histog.'!CI:CI),"")</f>
        <v>0</v>
      </c>
      <c r="O327" s="144">
        <f>IFERROR(_xlfn.XLOOKUP($B327,'Cronog. e Histog.'!$BZ:$BZ,'Cronog. e Histog.'!CJ:CJ),"")</f>
        <v>0</v>
      </c>
      <c r="P327" s="144">
        <f>IFERROR(_xlfn.XLOOKUP($B327,'Cronog. e Histog.'!$BZ:$BZ,'Cronog. e Histog.'!CK:CK),"")</f>
        <v>0</v>
      </c>
      <c r="Q327" s="144">
        <f>IFERROR(_xlfn.XLOOKUP($B327,'Cronog. e Histog.'!$BZ:$BZ,'Cronog. e Histog.'!CL:CL),"")</f>
        <v>0</v>
      </c>
      <c r="R327" s="144">
        <f>IFERROR(_xlfn.XLOOKUP($B327,'Cronog. e Histog.'!$BZ:$BZ,'Cronog. e Histog.'!CM:CM),"")</f>
        <v>0</v>
      </c>
      <c r="S327" s="144">
        <f>IFERROR(_xlfn.XLOOKUP($B327,'Cronog. e Histog.'!$BZ:$BZ,'Cronog. e Histog.'!CN:CN),"")</f>
        <v>0</v>
      </c>
      <c r="T327" s="144">
        <f>IFERROR(_xlfn.XLOOKUP($B327,'Cronog. e Histog.'!$BZ:$BZ,'Cronog. e Histog.'!CO:CO),"")</f>
        <v>0</v>
      </c>
      <c r="U327" s="144">
        <f>IFERROR(_xlfn.XLOOKUP($B327,'Cronog. e Histog.'!$BZ:$BZ,'Cronog. e Histog.'!CP:CP),"")</f>
        <v>0</v>
      </c>
      <c r="V327" s="144">
        <f>IFERROR(_xlfn.XLOOKUP($B327,'Cronog. e Histog.'!$BZ:$BZ,'Cronog. e Histog.'!CQ:CQ),"")</f>
        <v>0</v>
      </c>
      <c r="W327" s="144">
        <f>IFERROR(_xlfn.XLOOKUP($B327,'Cronog. e Histog.'!$BZ:$BZ,'Cronog. e Histog.'!CR:CR),"")</f>
        <v>0</v>
      </c>
      <c r="X327" s="144">
        <f>IFERROR(_xlfn.XLOOKUP($B327,'Cronog. e Histog.'!$BZ:$BZ,'Cronog. e Histog.'!CS:CS),"")</f>
        <v>0</v>
      </c>
      <c r="Y327" s="144">
        <f>IFERROR(_xlfn.XLOOKUP($B327,'Cronog. e Histog.'!$BZ:$BZ,'Cronog. e Histog.'!CT:CT),"")</f>
        <v>0</v>
      </c>
      <c r="Z327" s="144">
        <f>IFERROR(_xlfn.XLOOKUP($B327,'Cronog. e Histog.'!$BZ:$BZ,'Cronog. e Histog.'!CU:CU),"")</f>
        <v>0</v>
      </c>
      <c r="AA327" s="144">
        <f>IFERROR(_xlfn.XLOOKUP($B327,'Cronog. e Histog.'!$BZ:$BZ,'Cronog. e Histog.'!CV:CV),"")</f>
        <v>0</v>
      </c>
      <c r="AB327" s="144">
        <f>IFERROR(_xlfn.XLOOKUP($B327,'Cronog. e Histog.'!$BZ:$BZ,'Cronog. e Histog.'!CW:CW),"")</f>
        <v>0</v>
      </c>
      <c r="AC327" s="144">
        <f>IFERROR(_xlfn.XLOOKUP($B327,'Cronog. e Histog.'!$BZ:$BZ,'Cronog. e Histog.'!CX:CX),"")</f>
        <v>0</v>
      </c>
      <c r="AD327" s="144">
        <f>IFERROR(_xlfn.XLOOKUP($B327,'Cronog. e Histog.'!$BZ:$BZ,'Cronog. e Histog.'!CY:CY),"")</f>
        <v>0</v>
      </c>
      <c r="AE327" s="144">
        <f>IFERROR(_xlfn.XLOOKUP($B327,'Cronog. e Histog.'!$BZ:$BZ,'Cronog. e Histog.'!CZ:CZ),"")</f>
        <v>0</v>
      </c>
      <c r="AF327" s="144">
        <f>IFERROR(_xlfn.XLOOKUP($B327,'Cronog. e Histog.'!$BZ:$BZ,'Cronog. e Histog.'!DA:DA),"")</f>
        <v>0</v>
      </c>
      <c r="AG327" s="144">
        <f>IFERROR(_xlfn.XLOOKUP($B327,'Cronog. e Histog.'!$BZ:$BZ,'Cronog. e Histog.'!DB:DB),"")</f>
        <v>0</v>
      </c>
      <c r="AH327" s="144">
        <f>IFERROR(_xlfn.XLOOKUP($B327,'Cronog. e Histog.'!$BZ:$BZ,'Cronog. e Histog.'!DC:DC),"")</f>
        <v>0</v>
      </c>
      <c r="AI327" s="144">
        <f>IFERROR(_xlfn.XLOOKUP($B327,'Cronog. e Histog.'!$BZ:$BZ,'Cronog. e Histog.'!DD:DD),"")</f>
        <v>0</v>
      </c>
      <c r="AJ327" s="144">
        <f>IFERROR(_xlfn.XLOOKUP($B327,'Cronog. e Histog.'!$BZ:$BZ,'Cronog. e Histog.'!DE:DE),"")</f>
        <v>0</v>
      </c>
      <c r="AK327" s="144">
        <f>IFERROR(_xlfn.XLOOKUP($B327,'Cronog. e Histog.'!$BZ:$BZ,'Cronog. e Histog.'!DF:DF),"")</f>
        <v>0</v>
      </c>
      <c r="AL327" s="144">
        <f>IFERROR(_xlfn.XLOOKUP($B327,'Cronog. e Histog.'!$BZ:$BZ,'Cronog. e Histog.'!DG:DG),"")</f>
        <v>0</v>
      </c>
      <c r="AM327" s="144">
        <f>IFERROR(_xlfn.XLOOKUP($B327,'Cronog. e Histog.'!$BZ:$BZ,'Cronog. e Histog.'!DH:DH),"")</f>
        <v>0</v>
      </c>
      <c r="AN327" s="144">
        <f>IFERROR(_xlfn.XLOOKUP($B327,'Cronog. e Histog.'!$BZ:$BZ,'Cronog. e Histog.'!DI:DI),"")</f>
        <v>0</v>
      </c>
      <c r="AO327" s="144">
        <f>IFERROR(_xlfn.XLOOKUP($B327,'Cronog. e Histog.'!$BZ:$BZ,'Cronog. e Histog.'!DJ:DJ),"")</f>
        <v>0</v>
      </c>
      <c r="AP327" s="144">
        <f>IFERROR(_xlfn.XLOOKUP($B327,'Cronog. e Histog.'!$BZ:$BZ,'Cronog. e Histog.'!DK:DK),"")</f>
        <v>0</v>
      </c>
      <c r="AQ327" s="144">
        <f>IFERROR(_xlfn.XLOOKUP($B327,'Cronog. e Histog.'!$BZ:$BZ,'Cronog. e Histog.'!DL:DL),"")</f>
        <v>0</v>
      </c>
      <c r="AR327" s="144">
        <f>IFERROR(_xlfn.XLOOKUP($B327,'Cronog. e Histog.'!$BZ:$BZ,'Cronog. e Histog.'!DM:DM),"")</f>
        <v>0</v>
      </c>
      <c r="AS327" s="144">
        <f>IFERROR(_xlfn.XLOOKUP($B327,'Cronog. e Histog.'!$BZ:$BZ,'Cronog. e Histog.'!DN:DN),"")</f>
        <v>0</v>
      </c>
      <c r="AT327" s="144">
        <f>IFERROR(_xlfn.XLOOKUP($B327,'Cronog. e Histog.'!$BZ:$BZ,'Cronog. e Histog.'!DO:DO),"")</f>
        <v>0</v>
      </c>
      <c r="AU327" s="144">
        <f>IFERROR(_xlfn.XLOOKUP($B327,'Cronog. e Histog.'!$BZ:$BZ,'Cronog. e Histog.'!DP:DP),"")</f>
        <v>0</v>
      </c>
      <c r="AV327" s="144">
        <f>IFERROR(_xlfn.XLOOKUP($B327,'Cronog. e Histog.'!$BZ:$BZ,'Cronog. e Histog.'!DQ:DQ),"")</f>
        <v>0</v>
      </c>
      <c r="AW327" s="144">
        <f>IFERROR(_xlfn.XLOOKUP($B327,'Cronog. e Histog.'!$BZ:$BZ,'Cronog. e Histog.'!DR:DR),"")</f>
        <v>0</v>
      </c>
      <c r="AX327" s="144">
        <f>IFERROR(_xlfn.XLOOKUP($B327,'Cronog. e Histog.'!$BZ:$BZ,'Cronog. e Histog.'!DS:DS),"")</f>
        <v>0</v>
      </c>
      <c r="AY327" s="144">
        <f>IFERROR(_xlfn.XLOOKUP($B327,'Cronog. e Histog.'!$BZ:$BZ,'Cronog. e Histog.'!DT:DT),"")</f>
        <v>0</v>
      </c>
      <c r="AZ327" s="144">
        <f>IFERROR(_xlfn.XLOOKUP($B327,'Cronog. e Histog.'!$BZ:$BZ,'Cronog. e Histog.'!DU:DU),"")</f>
        <v>0</v>
      </c>
      <c r="BA327" s="144">
        <f>IFERROR(_xlfn.XLOOKUP($B327,'Cronog. e Histog.'!$BZ:$BZ,'Cronog. e Histog.'!DV:DV),"")</f>
        <v>0</v>
      </c>
      <c r="BB327" s="144">
        <f>IFERROR(_xlfn.XLOOKUP($B327,'Cronog. e Histog.'!$BZ:$BZ,'Cronog. e Histog.'!DW:DW),"")</f>
        <v>0</v>
      </c>
      <c r="BC327" s="144">
        <f>IFERROR(_xlfn.XLOOKUP($B327,'Cronog. e Histog.'!$BZ:$BZ,'Cronog. e Histog.'!DX:DX),"")</f>
        <v>0</v>
      </c>
      <c r="BD327" s="144">
        <f>IFERROR(_xlfn.XLOOKUP($B327,'Cronog. e Histog.'!$BZ:$BZ,'Cronog. e Histog.'!DY:DY),"")</f>
        <v>0</v>
      </c>
      <c r="BE327" s="144">
        <f>IFERROR(_xlfn.XLOOKUP($B327,'Cronog. e Histog.'!$BZ:$BZ,'Cronog. e Histog.'!DZ:DZ),"")</f>
        <v>0</v>
      </c>
      <c r="BF327" s="144">
        <f>IFERROR(_xlfn.XLOOKUP($B327,'Cronog. e Histog.'!$BZ:$BZ,'Cronog. e Histog.'!EA:EA),"")</f>
        <v>0</v>
      </c>
      <c r="BG327" s="144">
        <f>IFERROR(_xlfn.XLOOKUP($B327,'Cronog. e Histog.'!$BZ:$BZ,'Cronog. e Histog.'!EB:EB),"")</f>
        <v>0</v>
      </c>
      <c r="BH327" s="144">
        <f>IFERROR(_xlfn.XLOOKUP($B327,'Cronog. e Histog.'!$BZ:$BZ,'Cronog. e Histog.'!EC:EC),"")</f>
        <v>0</v>
      </c>
      <c r="BI327" s="144">
        <f>IFERROR(_xlfn.XLOOKUP($B327,'Cronog. e Histog.'!$BZ:$BZ,'Cronog. e Histog.'!ED:ED),"")</f>
        <v>0</v>
      </c>
      <c r="BJ327" s="144">
        <f>IFERROR(_xlfn.XLOOKUP($B327,'Cronog. e Histog.'!$BZ:$BZ,'Cronog. e Histog.'!EE:EE),"")</f>
        <v>0</v>
      </c>
      <c r="BK327" s="144">
        <f>IFERROR(_xlfn.XLOOKUP($B327,'Cronog. e Histog.'!$BZ:$BZ,'Cronog. e Histog.'!EF:EF),"")</f>
        <v>0</v>
      </c>
      <c r="BL327" s="144">
        <f>IFERROR(_xlfn.XLOOKUP($B327,'Cronog. e Histog.'!$BZ:$BZ,'Cronog. e Histog.'!EG:EG),"")</f>
        <v>0</v>
      </c>
      <c r="BM327" s="144">
        <f>IFERROR(_xlfn.XLOOKUP($B327,'Cronog. e Histog.'!$BZ:$BZ,'Cronog. e Histog.'!EH:EH),"")</f>
        <v>0</v>
      </c>
      <c r="BN327" s="144">
        <f>IFERROR(_xlfn.XLOOKUP($B327,'Cronog. e Histog.'!$BZ:$BZ,'Cronog. e Histog.'!EI:EI),"")</f>
        <v>0</v>
      </c>
    </row>
    <row r="328" spans="2:66" ht="12" hidden="1" customHeight="1" outlineLevel="1">
      <c r="B328" s="76">
        <v>322</v>
      </c>
      <c r="C328" s="143" t="str">
        <f>IFERROR(VLOOKUP(B328,'Cronog. e Histog.'!$BZ$213:$CA$747,2,0),"")</f>
        <v>COORD.</v>
      </c>
      <c r="D328" s="144">
        <f t="shared" si="6"/>
        <v>0</v>
      </c>
      <c r="E328" s="144">
        <f t="shared" si="7"/>
        <v>0</v>
      </c>
      <c r="F328" s="65"/>
      <c r="G328" s="144">
        <f>IFERROR(_xlfn.XLOOKUP($B328,'Cronog. e Histog.'!$BZ:$BZ,'Cronog. e Histog.'!CB:CB),"")</f>
        <v>0</v>
      </c>
      <c r="H328" s="144">
        <f>IFERROR(_xlfn.XLOOKUP($B328,'Cronog. e Histog.'!$BZ:$BZ,'Cronog. e Histog.'!CC:CC),"")</f>
        <v>0</v>
      </c>
      <c r="I328" s="144">
        <f>IFERROR(_xlfn.XLOOKUP($B328,'Cronog. e Histog.'!$BZ:$BZ,'Cronog. e Histog.'!CD:CD),"")</f>
        <v>0</v>
      </c>
      <c r="J328" s="144">
        <f>IFERROR(_xlfn.XLOOKUP($B328,'Cronog. e Histog.'!$BZ:$BZ,'Cronog. e Histog.'!CE:CE),"")</f>
        <v>0</v>
      </c>
      <c r="K328" s="144">
        <f>IFERROR(_xlfn.XLOOKUP($B328,'Cronog. e Histog.'!$BZ:$BZ,'Cronog. e Histog.'!CF:CF),"")</f>
        <v>0</v>
      </c>
      <c r="L328" s="144">
        <f>IFERROR(_xlfn.XLOOKUP($B328,'Cronog. e Histog.'!$BZ:$BZ,'Cronog. e Histog.'!CG:CG),"")</f>
        <v>0</v>
      </c>
      <c r="M328" s="144">
        <f>IFERROR(_xlfn.XLOOKUP($B328,'Cronog. e Histog.'!$BZ:$BZ,'Cronog. e Histog.'!CH:CH),"")</f>
        <v>0</v>
      </c>
      <c r="N328" s="144">
        <f>IFERROR(_xlfn.XLOOKUP($B328,'Cronog. e Histog.'!$BZ:$BZ,'Cronog. e Histog.'!CI:CI),"")</f>
        <v>0</v>
      </c>
      <c r="O328" s="144">
        <f>IFERROR(_xlfn.XLOOKUP($B328,'Cronog. e Histog.'!$BZ:$BZ,'Cronog. e Histog.'!CJ:CJ),"")</f>
        <v>0</v>
      </c>
      <c r="P328" s="144">
        <f>IFERROR(_xlfn.XLOOKUP($B328,'Cronog. e Histog.'!$BZ:$BZ,'Cronog. e Histog.'!CK:CK),"")</f>
        <v>0</v>
      </c>
      <c r="Q328" s="144">
        <f>IFERROR(_xlfn.XLOOKUP($B328,'Cronog. e Histog.'!$BZ:$BZ,'Cronog. e Histog.'!CL:CL),"")</f>
        <v>0</v>
      </c>
      <c r="R328" s="144">
        <f>IFERROR(_xlfn.XLOOKUP($B328,'Cronog. e Histog.'!$BZ:$BZ,'Cronog. e Histog.'!CM:CM),"")</f>
        <v>0</v>
      </c>
      <c r="S328" s="144">
        <f>IFERROR(_xlfn.XLOOKUP($B328,'Cronog. e Histog.'!$BZ:$BZ,'Cronog. e Histog.'!CN:CN),"")</f>
        <v>0</v>
      </c>
      <c r="T328" s="144">
        <f>IFERROR(_xlfn.XLOOKUP($B328,'Cronog. e Histog.'!$BZ:$BZ,'Cronog. e Histog.'!CO:CO),"")</f>
        <v>0</v>
      </c>
      <c r="U328" s="144">
        <f>IFERROR(_xlfn.XLOOKUP($B328,'Cronog. e Histog.'!$BZ:$BZ,'Cronog. e Histog.'!CP:CP),"")</f>
        <v>0</v>
      </c>
      <c r="V328" s="144">
        <f>IFERROR(_xlfn.XLOOKUP($B328,'Cronog. e Histog.'!$BZ:$BZ,'Cronog. e Histog.'!CQ:CQ),"")</f>
        <v>0</v>
      </c>
      <c r="W328" s="144">
        <f>IFERROR(_xlfn.XLOOKUP($B328,'Cronog. e Histog.'!$BZ:$BZ,'Cronog. e Histog.'!CR:CR),"")</f>
        <v>0</v>
      </c>
      <c r="X328" s="144">
        <f>IFERROR(_xlfn.XLOOKUP($B328,'Cronog. e Histog.'!$BZ:$BZ,'Cronog. e Histog.'!CS:CS),"")</f>
        <v>0</v>
      </c>
      <c r="Y328" s="144">
        <f>IFERROR(_xlfn.XLOOKUP($B328,'Cronog. e Histog.'!$BZ:$BZ,'Cronog. e Histog.'!CT:CT),"")</f>
        <v>0</v>
      </c>
      <c r="Z328" s="144">
        <f>IFERROR(_xlfn.XLOOKUP($B328,'Cronog. e Histog.'!$BZ:$BZ,'Cronog. e Histog.'!CU:CU),"")</f>
        <v>0</v>
      </c>
      <c r="AA328" s="144">
        <f>IFERROR(_xlfn.XLOOKUP($B328,'Cronog. e Histog.'!$BZ:$BZ,'Cronog. e Histog.'!CV:CV),"")</f>
        <v>0</v>
      </c>
      <c r="AB328" s="144">
        <f>IFERROR(_xlfn.XLOOKUP($B328,'Cronog. e Histog.'!$BZ:$BZ,'Cronog. e Histog.'!CW:CW),"")</f>
        <v>0</v>
      </c>
      <c r="AC328" s="144">
        <f>IFERROR(_xlfn.XLOOKUP($B328,'Cronog. e Histog.'!$BZ:$BZ,'Cronog. e Histog.'!CX:CX),"")</f>
        <v>0</v>
      </c>
      <c r="AD328" s="144">
        <f>IFERROR(_xlfn.XLOOKUP($B328,'Cronog. e Histog.'!$BZ:$BZ,'Cronog. e Histog.'!CY:CY),"")</f>
        <v>0</v>
      </c>
      <c r="AE328" s="144">
        <f>IFERROR(_xlfn.XLOOKUP($B328,'Cronog. e Histog.'!$BZ:$BZ,'Cronog. e Histog.'!CZ:CZ),"")</f>
        <v>0</v>
      </c>
      <c r="AF328" s="144">
        <f>IFERROR(_xlfn.XLOOKUP($B328,'Cronog. e Histog.'!$BZ:$BZ,'Cronog. e Histog.'!DA:DA),"")</f>
        <v>0</v>
      </c>
      <c r="AG328" s="144">
        <f>IFERROR(_xlfn.XLOOKUP($B328,'Cronog. e Histog.'!$BZ:$BZ,'Cronog. e Histog.'!DB:DB),"")</f>
        <v>0</v>
      </c>
      <c r="AH328" s="144">
        <f>IFERROR(_xlfn.XLOOKUP($B328,'Cronog. e Histog.'!$BZ:$BZ,'Cronog. e Histog.'!DC:DC),"")</f>
        <v>0</v>
      </c>
      <c r="AI328" s="144">
        <f>IFERROR(_xlfn.XLOOKUP($B328,'Cronog. e Histog.'!$BZ:$BZ,'Cronog. e Histog.'!DD:DD),"")</f>
        <v>0</v>
      </c>
      <c r="AJ328" s="144">
        <f>IFERROR(_xlfn.XLOOKUP($B328,'Cronog. e Histog.'!$BZ:$BZ,'Cronog. e Histog.'!DE:DE),"")</f>
        <v>0</v>
      </c>
      <c r="AK328" s="144">
        <f>IFERROR(_xlfn.XLOOKUP($B328,'Cronog. e Histog.'!$BZ:$BZ,'Cronog. e Histog.'!DF:DF),"")</f>
        <v>0</v>
      </c>
      <c r="AL328" s="144">
        <f>IFERROR(_xlfn.XLOOKUP($B328,'Cronog. e Histog.'!$BZ:$BZ,'Cronog. e Histog.'!DG:DG),"")</f>
        <v>0</v>
      </c>
      <c r="AM328" s="144">
        <f>IFERROR(_xlfn.XLOOKUP($B328,'Cronog. e Histog.'!$BZ:$BZ,'Cronog. e Histog.'!DH:DH),"")</f>
        <v>0</v>
      </c>
      <c r="AN328" s="144">
        <f>IFERROR(_xlfn.XLOOKUP($B328,'Cronog. e Histog.'!$BZ:$BZ,'Cronog. e Histog.'!DI:DI),"")</f>
        <v>0</v>
      </c>
      <c r="AO328" s="144">
        <f>IFERROR(_xlfn.XLOOKUP($B328,'Cronog. e Histog.'!$BZ:$BZ,'Cronog. e Histog.'!DJ:DJ),"")</f>
        <v>0</v>
      </c>
      <c r="AP328" s="144">
        <f>IFERROR(_xlfn.XLOOKUP($B328,'Cronog. e Histog.'!$BZ:$BZ,'Cronog. e Histog.'!DK:DK),"")</f>
        <v>0</v>
      </c>
      <c r="AQ328" s="144">
        <f>IFERROR(_xlfn.XLOOKUP($B328,'Cronog. e Histog.'!$BZ:$BZ,'Cronog. e Histog.'!DL:DL),"")</f>
        <v>0</v>
      </c>
      <c r="AR328" s="144">
        <f>IFERROR(_xlfn.XLOOKUP($B328,'Cronog. e Histog.'!$BZ:$BZ,'Cronog. e Histog.'!DM:DM),"")</f>
        <v>0</v>
      </c>
      <c r="AS328" s="144">
        <f>IFERROR(_xlfn.XLOOKUP($B328,'Cronog. e Histog.'!$BZ:$BZ,'Cronog. e Histog.'!DN:DN),"")</f>
        <v>0</v>
      </c>
      <c r="AT328" s="144">
        <f>IFERROR(_xlfn.XLOOKUP($B328,'Cronog. e Histog.'!$BZ:$BZ,'Cronog. e Histog.'!DO:DO),"")</f>
        <v>0</v>
      </c>
      <c r="AU328" s="144">
        <f>IFERROR(_xlfn.XLOOKUP($B328,'Cronog. e Histog.'!$BZ:$BZ,'Cronog. e Histog.'!DP:DP),"")</f>
        <v>0</v>
      </c>
      <c r="AV328" s="144">
        <f>IFERROR(_xlfn.XLOOKUP($B328,'Cronog. e Histog.'!$BZ:$BZ,'Cronog. e Histog.'!DQ:DQ),"")</f>
        <v>0</v>
      </c>
      <c r="AW328" s="144">
        <f>IFERROR(_xlfn.XLOOKUP($B328,'Cronog. e Histog.'!$BZ:$BZ,'Cronog. e Histog.'!DR:DR),"")</f>
        <v>0</v>
      </c>
      <c r="AX328" s="144">
        <f>IFERROR(_xlfn.XLOOKUP($B328,'Cronog. e Histog.'!$BZ:$BZ,'Cronog. e Histog.'!DS:DS),"")</f>
        <v>0</v>
      </c>
      <c r="AY328" s="144">
        <f>IFERROR(_xlfn.XLOOKUP($B328,'Cronog. e Histog.'!$BZ:$BZ,'Cronog. e Histog.'!DT:DT),"")</f>
        <v>0</v>
      </c>
      <c r="AZ328" s="144">
        <f>IFERROR(_xlfn.XLOOKUP($B328,'Cronog. e Histog.'!$BZ:$BZ,'Cronog. e Histog.'!DU:DU),"")</f>
        <v>0</v>
      </c>
      <c r="BA328" s="144">
        <f>IFERROR(_xlfn.XLOOKUP($B328,'Cronog. e Histog.'!$BZ:$BZ,'Cronog. e Histog.'!DV:DV),"")</f>
        <v>0</v>
      </c>
      <c r="BB328" s="144">
        <f>IFERROR(_xlfn.XLOOKUP($B328,'Cronog. e Histog.'!$BZ:$BZ,'Cronog. e Histog.'!DW:DW),"")</f>
        <v>0</v>
      </c>
      <c r="BC328" s="144">
        <f>IFERROR(_xlfn.XLOOKUP($B328,'Cronog. e Histog.'!$BZ:$BZ,'Cronog. e Histog.'!DX:DX),"")</f>
        <v>0</v>
      </c>
      <c r="BD328" s="144">
        <f>IFERROR(_xlfn.XLOOKUP($B328,'Cronog. e Histog.'!$BZ:$BZ,'Cronog. e Histog.'!DY:DY),"")</f>
        <v>0</v>
      </c>
      <c r="BE328" s="144">
        <f>IFERROR(_xlfn.XLOOKUP($B328,'Cronog. e Histog.'!$BZ:$BZ,'Cronog. e Histog.'!DZ:DZ),"")</f>
        <v>0</v>
      </c>
      <c r="BF328" s="144">
        <f>IFERROR(_xlfn.XLOOKUP($B328,'Cronog. e Histog.'!$BZ:$BZ,'Cronog. e Histog.'!EA:EA),"")</f>
        <v>0</v>
      </c>
      <c r="BG328" s="144">
        <f>IFERROR(_xlfn.XLOOKUP($B328,'Cronog. e Histog.'!$BZ:$BZ,'Cronog. e Histog.'!EB:EB),"")</f>
        <v>0</v>
      </c>
      <c r="BH328" s="144">
        <f>IFERROR(_xlfn.XLOOKUP($B328,'Cronog. e Histog.'!$BZ:$BZ,'Cronog. e Histog.'!EC:EC),"")</f>
        <v>0</v>
      </c>
      <c r="BI328" s="144">
        <f>IFERROR(_xlfn.XLOOKUP($B328,'Cronog. e Histog.'!$BZ:$BZ,'Cronog. e Histog.'!ED:ED),"")</f>
        <v>0</v>
      </c>
      <c r="BJ328" s="144">
        <f>IFERROR(_xlfn.XLOOKUP($B328,'Cronog. e Histog.'!$BZ:$BZ,'Cronog. e Histog.'!EE:EE),"")</f>
        <v>0</v>
      </c>
      <c r="BK328" s="144">
        <f>IFERROR(_xlfn.XLOOKUP($B328,'Cronog. e Histog.'!$BZ:$BZ,'Cronog. e Histog.'!EF:EF),"")</f>
        <v>0</v>
      </c>
      <c r="BL328" s="144">
        <f>IFERROR(_xlfn.XLOOKUP($B328,'Cronog. e Histog.'!$BZ:$BZ,'Cronog. e Histog.'!EG:EG),"")</f>
        <v>0</v>
      </c>
      <c r="BM328" s="144">
        <f>IFERROR(_xlfn.XLOOKUP($B328,'Cronog. e Histog.'!$BZ:$BZ,'Cronog. e Histog.'!EH:EH),"")</f>
        <v>0</v>
      </c>
      <c r="BN328" s="144">
        <f>IFERROR(_xlfn.XLOOKUP($B328,'Cronog. e Histog.'!$BZ:$BZ,'Cronog. e Histog.'!EI:EI),"")</f>
        <v>0</v>
      </c>
    </row>
    <row r="329" spans="2:66" ht="12" hidden="1" customHeight="1" outlineLevel="1">
      <c r="B329" s="76">
        <v>323</v>
      </c>
      <c r="C329" s="143" t="str">
        <f>IFERROR(VLOOKUP(B329,'Cronog. e Histog.'!$BZ$213:$CA$747,2,0),"")</f>
        <v>SUP.-ESP</v>
      </c>
      <c r="D329" s="144">
        <f t="shared" si="6"/>
        <v>0</v>
      </c>
      <c r="E329" s="144">
        <f t="shared" si="7"/>
        <v>0</v>
      </c>
      <c r="F329" s="65"/>
      <c r="G329" s="144">
        <f>IFERROR(_xlfn.XLOOKUP($B329,'Cronog. e Histog.'!$BZ:$BZ,'Cronog. e Histog.'!CB:CB),"")</f>
        <v>0</v>
      </c>
      <c r="H329" s="144">
        <f>IFERROR(_xlfn.XLOOKUP($B329,'Cronog. e Histog.'!$BZ:$BZ,'Cronog. e Histog.'!CC:CC),"")</f>
        <v>0</v>
      </c>
      <c r="I329" s="144">
        <f>IFERROR(_xlfn.XLOOKUP($B329,'Cronog. e Histog.'!$BZ:$BZ,'Cronog. e Histog.'!CD:CD),"")</f>
        <v>0</v>
      </c>
      <c r="J329" s="144">
        <f>IFERROR(_xlfn.XLOOKUP($B329,'Cronog. e Histog.'!$BZ:$BZ,'Cronog. e Histog.'!CE:CE),"")</f>
        <v>0</v>
      </c>
      <c r="K329" s="144">
        <f>IFERROR(_xlfn.XLOOKUP($B329,'Cronog. e Histog.'!$BZ:$BZ,'Cronog. e Histog.'!CF:CF),"")</f>
        <v>0</v>
      </c>
      <c r="L329" s="144">
        <f>IFERROR(_xlfn.XLOOKUP($B329,'Cronog. e Histog.'!$BZ:$BZ,'Cronog. e Histog.'!CG:CG),"")</f>
        <v>0</v>
      </c>
      <c r="M329" s="144">
        <f>IFERROR(_xlfn.XLOOKUP($B329,'Cronog. e Histog.'!$BZ:$BZ,'Cronog. e Histog.'!CH:CH),"")</f>
        <v>0</v>
      </c>
      <c r="N329" s="144">
        <f>IFERROR(_xlfn.XLOOKUP($B329,'Cronog. e Histog.'!$BZ:$BZ,'Cronog. e Histog.'!CI:CI),"")</f>
        <v>0</v>
      </c>
      <c r="O329" s="144">
        <f>IFERROR(_xlfn.XLOOKUP($B329,'Cronog. e Histog.'!$BZ:$BZ,'Cronog. e Histog.'!CJ:CJ),"")</f>
        <v>0</v>
      </c>
      <c r="P329" s="144">
        <f>IFERROR(_xlfn.XLOOKUP($B329,'Cronog. e Histog.'!$BZ:$BZ,'Cronog. e Histog.'!CK:CK),"")</f>
        <v>0</v>
      </c>
      <c r="Q329" s="144">
        <f>IFERROR(_xlfn.XLOOKUP($B329,'Cronog. e Histog.'!$BZ:$BZ,'Cronog. e Histog.'!CL:CL),"")</f>
        <v>0</v>
      </c>
      <c r="R329" s="144">
        <f>IFERROR(_xlfn.XLOOKUP($B329,'Cronog. e Histog.'!$BZ:$BZ,'Cronog. e Histog.'!CM:CM),"")</f>
        <v>0</v>
      </c>
      <c r="S329" s="144">
        <f>IFERROR(_xlfn.XLOOKUP($B329,'Cronog. e Histog.'!$BZ:$BZ,'Cronog. e Histog.'!CN:CN),"")</f>
        <v>0</v>
      </c>
      <c r="T329" s="144">
        <f>IFERROR(_xlfn.XLOOKUP($B329,'Cronog. e Histog.'!$BZ:$BZ,'Cronog. e Histog.'!CO:CO),"")</f>
        <v>0</v>
      </c>
      <c r="U329" s="144">
        <f>IFERROR(_xlfn.XLOOKUP($B329,'Cronog. e Histog.'!$BZ:$BZ,'Cronog. e Histog.'!CP:CP),"")</f>
        <v>0</v>
      </c>
      <c r="V329" s="144">
        <f>IFERROR(_xlfn.XLOOKUP($B329,'Cronog. e Histog.'!$BZ:$BZ,'Cronog. e Histog.'!CQ:CQ),"")</f>
        <v>0</v>
      </c>
      <c r="W329" s="144">
        <f>IFERROR(_xlfn.XLOOKUP($B329,'Cronog. e Histog.'!$BZ:$BZ,'Cronog. e Histog.'!CR:CR),"")</f>
        <v>0</v>
      </c>
      <c r="X329" s="144">
        <f>IFERROR(_xlfn.XLOOKUP($B329,'Cronog. e Histog.'!$BZ:$BZ,'Cronog. e Histog.'!CS:CS),"")</f>
        <v>0</v>
      </c>
      <c r="Y329" s="144">
        <f>IFERROR(_xlfn.XLOOKUP($B329,'Cronog. e Histog.'!$BZ:$BZ,'Cronog. e Histog.'!CT:CT),"")</f>
        <v>0</v>
      </c>
      <c r="Z329" s="144">
        <f>IFERROR(_xlfn.XLOOKUP($B329,'Cronog. e Histog.'!$BZ:$BZ,'Cronog. e Histog.'!CU:CU),"")</f>
        <v>0</v>
      </c>
      <c r="AA329" s="144">
        <f>IFERROR(_xlfn.XLOOKUP($B329,'Cronog. e Histog.'!$BZ:$BZ,'Cronog. e Histog.'!CV:CV),"")</f>
        <v>0</v>
      </c>
      <c r="AB329" s="144">
        <f>IFERROR(_xlfn.XLOOKUP($B329,'Cronog. e Histog.'!$BZ:$BZ,'Cronog. e Histog.'!CW:CW),"")</f>
        <v>0</v>
      </c>
      <c r="AC329" s="144">
        <f>IFERROR(_xlfn.XLOOKUP($B329,'Cronog. e Histog.'!$BZ:$BZ,'Cronog. e Histog.'!CX:CX),"")</f>
        <v>0</v>
      </c>
      <c r="AD329" s="144">
        <f>IFERROR(_xlfn.XLOOKUP($B329,'Cronog. e Histog.'!$BZ:$BZ,'Cronog. e Histog.'!CY:CY),"")</f>
        <v>0</v>
      </c>
      <c r="AE329" s="144">
        <f>IFERROR(_xlfn.XLOOKUP($B329,'Cronog. e Histog.'!$BZ:$BZ,'Cronog. e Histog.'!CZ:CZ),"")</f>
        <v>0</v>
      </c>
      <c r="AF329" s="144">
        <f>IFERROR(_xlfn.XLOOKUP($B329,'Cronog. e Histog.'!$BZ:$BZ,'Cronog. e Histog.'!DA:DA),"")</f>
        <v>0</v>
      </c>
      <c r="AG329" s="144">
        <f>IFERROR(_xlfn.XLOOKUP($B329,'Cronog. e Histog.'!$BZ:$BZ,'Cronog. e Histog.'!DB:DB),"")</f>
        <v>0</v>
      </c>
      <c r="AH329" s="144">
        <f>IFERROR(_xlfn.XLOOKUP($B329,'Cronog. e Histog.'!$BZ:$BZ,'Cronog. e Histog.'!DC:DC),"")</f>
        <v>0</v>
      </c>
      <c r="AI329" s="144">
        <f>IFERROR(_xlfn.XLOOKUP($B329,'Cronog. e Histog.'!$BZ:$BZ,'Cronog. e Histog.'!DD:DD),"")</f>
        <v>0</v>
      </c>
      <c r="AJ329" s="144">
        <f>IFERROR(_xlfn.XLOOKUP($B329,'Cronog. e Histog.'!$BZ:$BZ,'Cronog. e Histog.'!DE:DE),"")</f>
        <v>0</v>
      </c>
      <c r="AK329" s="144">
        <f>IFERROR(_xlfn.XLOOKUP($B329,'Cronog. e Histog.'!$BZ:$BZ,'Cronog. e Histog.'!DF:DF),"")</f>
        <v>0</v>
      </c>
      <c r="AL329" s="144">
        <f>IFERROR(_xlfn.XLOOKUP($B329,'Cronog. e Histog.'!$BZ:$BZ,'Cronog. e Histog.'!DG:DG),"")</f>
        <v>0</v>
      </c>
      <c r="AM329" s="144">
        <f>IFERROR(_xlfn.XLOOKUP($B329,'Cronog. e Histog.'!$BZ:$BZ,'Cronog. e Histog.'!DH:DH),"")</f>
        <v>0</v>
      </c>
      <c r="AN329" s="144">
        <f>IFERROR(_xlfn.XLOOKUP($B329,'Cronog. e Histog.'!$BZ:$BZ,'Cronog. e Histog.'!DI:DI),"")</f>
        <v>0</v>
      </c>
      <c r="AO329" s="144">
        <f>IFERROR(_xlfn.XLOOKUP($B329,'Cronog. e Histog.'!$BZ:$BZ,'Cronog. e Histog.'!DJ:DJ),"")</f>
        <v>0</v>
      </c>
      <c r="AP329" s="144">
        <f>IFERROR(_xlfn.XLOOKUP($B329,'Cronog. e Histog.'!$BZ:$BZ,'Cronog. e Histog.'!DK:DK),"")</f>
        <v>0</v>
      </c>
      <c r="AQ329" s="144">
        <f>IFERROR(_xlfn.XLOOKUP($B329,'Cronog. e Histog.'!$BZ:$BZ,'Cronog. e Histog.'!DL:DL),"")</f>
        <v>0</v>
      </c>
      <c r="AR329" s="144">
        <f>IFERROR(_xlfn.XLOOKUP($B329,'Cronog. e Histog.'!$BZ:$BZ,'Cronog. e Histog.'!DM:DM),"")</f>
        <v>0</v>
      </c>
      <c r="AS329" s="144">
        <f>IFERROR(_xlfn.XLOOKUP($B329,'Cronog. e Histog.'!$BZ:$BZ,'Cronog. e Histog.'!DN:DN),"")</f>
        <v>0</v>
      </c>
      <c r="AT329" s="144">
        <f>IFERROR(_xlfn.XLOOKUP($B329,'Cronog. e Histog.'!$BZ:$BZ,'Cronog. e Histog.'!DO:DO),"")</f>
        <v>0</v>
      </c>
      <c r="AU329" s="144">
        <f>IFERROR(_xlfn.XLOOKUP($B329,'Cronog. e Histog.'!$BZ:$BZ,'Cronog. e Histog.'!DP:DP),"")</f>
        <v>0</v>
      </c>
      <c r="AV329" s="144">
        <f>IFERROR(_xlfn.XLOOKUP($B329,'Cronog. e Histog.'!$BZ:$BZ,'Cronog. e Histog.'!DQ:DQ),"")</f>
        <v>0</v>
      </c>
      <c r="AW329" s="144">
        <f>IFERROR(_xlfn.XLOOKUP($B329,'Cronog. e Histog.'!$BZ:$BZ,'Cronog. e Histog.'!DR:DR),"")</f>
        <v>0</v>
      </c>
      <c r="AX329" s="144">
        <f>IFERROR(_xlfn.XLOOKUP($B329,'Cronog. e Histog.'!$BZ:$BZ,'Cronog. e Histog.'!DS:DS),"")</f>
        <v>0</v>
      </c>
      <c r="AY329" s="144">
        <f>IFERROR(_xlfn.XLOOKUP($B329,'Cronog. e Histog.'!$BZ:$BZ,'Cronog. e Histog.'!DT:DT),"")</f>
        <v>0</v>
      </c>
      <c r="AZ329" s="144">
        <f>IFERROR(_xlfn.XLOOKUP($B329,'Cronog. e Histog.'!$BZ:$BZ,'Cronog. e Histog.'!DU:DU),"")</f>
        <v>0</v>
      </c>
      <c r="BA329" s="144">
        <f>IFERROR(_xlfn.XLOOKUP($B329,'Cronog. e Histog.'!$BZ:$BZ,'Cronog. e Histog.'!DV:DV),"")</f>
        <v>0</v>
      </c>
      <c r="BB329" s="144">
        <f>IFERROR(_xlfn.XLOOKUP($B329,'Cronog. e Histog.'!$BZ:$BZ,'Cronog. e Histog.'!DW:DW),"")</f>
        <v>0</v>
      </c>
      <c r="BC329" s="144">
        <f>IFERROR(_xlfn.XLOOKUP($B329,'Cronog. e Histog.'!$BZ:$BZ,'Cronog. e Histog.'!DX:DX),"")</f>
        <v>0</v>
      </c>
      <c r="BD329" s="144">
        <f>IFERROR(_xlfn.XLOOKUP($B329,'Cronog. e Histog.'!$BZ:$BZ,'Cronog. e Histog.'!DY:DY),"")</f>
        <v>0</v>
      </c>
      <c r="BE329" s="144">
        <f>IFERROR(_xlfn.XLOOKUP($B329,'Cronog. e Histog.'!$BZ:$BZ,'Cronog. e Histog.'!DZ:DZ),"")</f>
        <v>0</v>
      </c>
      <c r="BF329" s="144">
        <f>IFERROR(_xlfn.XLOOKUP($B329,'Cronog. e Histog.'!$BZ:$BZ,'Cronog. e Histog.'!EA:EA),"")</f>
        <v>0</v>
      </c>
      <c r="BG329" s="144">
        <f>IFERROR(_xlfn.XLOOKUP($B329,'Cronog. e Histog.'!$BZ:$BZ,'Cronog. e Histog.'!EB:EB),"")</f>
        <v>0</v>
      </c>
      <c r="BH329" s="144">
        <f>IFERROR(_xlfn.XLOOKUP($B329,'Cronog. e Histog.'!$BZ:$BZ,'Cronog. e Histog.'!EC:EC),"")</f>
        <v>0</v>
      </c>
      <c r="BI329" s="144">
        <f>IFERROR(_xlfn.XLOOKUP($B329,'Cronog. e Histog.'!$BZ:$BZ,'Cronog. e Histog.'!ED:ED),"")</f>
        <v>0</v>
      </c>
      <c r="BJ329" s="144">
        <f>IFERROR(_xlfn.XLOOKUP($B329,'Cronog. e Histog.'!$BZ:$BZ,'Cronog. e Histog.'!EE:EE),"")</f>
        <v>0</v>
      </c>
      <c r="BK329" s="144">
        <f>IFERROR(_xlfn.XLOOKUP($B329,'Cronog. e Histog.'!$BZ:$BZ,'Cronog. e Histog.'!EF:EF),"")</f>
        <v>0</v>
      </c>
      <c r="BL329" s="144">
        <f>IFERROR(_xlfn.XLOOKUP($B329,'Cronog. e Histog.'!$BZ:$BZ,'Cronog. e Histog.'!EG:EG),"")</f>
        <v>0</v>
      </c>
      <c r="BM329" s="144">
        <f>IFERROR(_xlfn.XLOOKUP($B329,'Cronog. e Histog.'!$BZ:$BZ,'Cronog. e Histog.'!EH:EH),"")</f>
        <v>0</v>
      </c>
      <c r="BN329" s="144">
        <f>IFERROR(_xlfn.XLOOKUP($B329,'Cronog. e Histog.'!$BZ:$BZ,'Cronog. e Histog.'!EI:EI),"")</f>
        <v>0</v>
      </c>
    </row>
    <row r="330" spans="2:66" ht="12" hidden="1" customHeight="1" outlineLevel="1">
      <c r="B330" s="76">
        <v>324</v>
      </c>
      <c r="C330" s="143" t="str">
        <f>IFERROR(VLOOKUP(B330,'Cronog. e Histog.'!$BZ$213:$CA$747,2,0),"")</f>
        <v>ENG/ARQ SR.</v>
      </c>
      <c r="D330" s="144">
        <f t="shared" si="6"/>
        <v>0</v>
      </c>
      <c r="E330" s="144">
        <f t="shared" si="7"/>
        <v>0</v>
      </c>
      <c r="F330" s="65"/>
      <c r="G330" s="144">
        <f>IFERROR(_xlfn.XLOOKUP($B330,'Cronog. e Histog.'!$BZ:$BZ,'Cronog. e Histog.'!CB:CB),"")</f>
        <v>0</v>
      </c>
      <c r="H330" s="144">
        <f>IFERROR(_xlfn.XLOOKUP($B330,'Cronog. e Histog.'!$BZ:$BZ,'Cronog. e Histog.'!CC:CC),"")</f>
        <v>0</v>
      </c>
      <c r="I330" s="144">
        <f>IFERROR(_xlfn.XLOOKUP($B330,'Cronog. e Histog.'!$BZ:$BZ,'Cronog. e Histog.'!CD:CD),"")</f>
        <v>0</v>
      </c>
      <c r="J330" s="144">
        <f>IFERROR(_xlfn.XLOOKUP($B330,'Cronog. e Histog.'!$BZ:$BZ,'Cronog. e Histog.'!CE:CE),"")</f>
        <v>0</v>
      </c>
      <c r="K330" s="144">
        <f>IFERROR(_xlfn.XLOOKUP($B330,'Cronog. e Histog.'!$BZ:$BZ,'Cronog. e Histog.'!CF:CF),"")</f>
        <v>0</v>
      </c>
      <c r="L330" s="144">
        <f>IFERROR(_xlfn.XLOOKUP($B330,'Cronog. e Histog.'!$BZ:$BZ,'Cronog. e Histog.'!CG:CG),"")</f>
        <v>0</v>
      </c>
      <c r="M330" s="144">
        <f>IFERROR(_xlfn.XLOOKUP($B330,'Cronog. e Histog.'!$BZ:$BZ,'Cronog. e Histog.'!CH:CH),"")</f>
        <v>0</v>
      </c>
      <c r="N330" s="144">
        <f>IFERROR(_xlfn.XLOOKUP($B330,'Cronog. e Histog.'!$BZ:$BZ,'Cronog. e Histog.'!CI:CI),"")</f>
        <v>0</v>
      </c>
      <c r="O330" s="144">
        <f>IFERROR(_xlfn.XLOOKUP($B330,'Cronog. e Histog.'!$BZ:$BZ,'Cronog. e Histog.'!CJ:CJ),"")</f>
        <v>0</v>
      </c>
      <c r="P330" s="144">
        <f>IFERROR(_xlfn.XLOOKUP($B330,'Cronog. e Histog.'!$BZ:$BZ,'Cronog. e Histog.'!CK:CK),"")</f>
        <v>0</v>
      </c>
      <c r="Q330" s="144">
        <f>IFERROR(_xlfn.XLOOKUP($B330,'Cronog. e Histog.'!$BZ:$BZ,'Cronog. e Histog.'!CL:CL),"")</f>
        <v>0</v>
      </c>
      <c r="R330" s="144">
        <f>IFERROR(_xlfn.XLOOKUP($B330,'Cronog. e Histog.'!$BZ:$BZ,'Cronog. e Histog.'!CM:CM),"")</f>
        <v>0</v>
      </c>
      <c r="S330" s="144">
        <f>IFERROR(_xlfn.XLOOKUP($B330,'Cronog. e Histog.'!$BZ:$BZ,'Cronog. e Histog.'!CN:CN),"")</f>
        <v>0</v>
      </c>
      <c r="T330" s="144">
        <f>IFERROR(_xlfn.XLOOKUP($B330,'Cronog. e Histog.'!$BZ:$BZ,'Cronog. e Histog.'!CO:CO),"")</f>
        <v>0</v>
      </c>
      <c r="U330" s="144">
        <f>IFERROR(_xlfn.XLOOKUP($B330,'Cronog. e Histog.'!$BZ:$BZ,'Cronog. e Histog.'!CP:CP),"")</f>
        <v>0</v>
      </c>
      <c r="V330" s="144">
        <f>IFERROR(_xlfn.XLOOKUP($B330,'Cronog. e Histog.'!$BZ:$BZ,'Cronog. e Histog.'!CQ:CQ),"")</f>
        <v>0</v>
      </c>
      <c r="W330" s="144">
        <f>IFERROR(_xlfn.XLOOKUP($B330,'Cronog. e Histog.'!$BZ:$BZ,'Cronog. e Histog.'!CR:CR),"")</f>
        <v>0</v>
      </c>
      <c r="X330" s="144">
        <f>IFERROR(_xlfn.XLOOKUP($B330,'Cronog. e Histog.'!$BZ:$BZ,'Cronog. e Histog.'!CS:CS),"")</f>
        <v>0</v>
      </c>
      <c r="Y330" s="144">
        <f>IFERROR(_xlfn.XLOOKUP($B330,'Cronog. e Histog.'!$BZ:$BZ,'Cronog. e Histog.'!CT:CT),"")</f>
        <v>0</v>
      </c>
      <c r="Z330" s="144">
        <f>IFERROR(_xlfn.XLOOKUP($B330,'Cronog. e Histog.'!$BZ:$BZ,'Cronog. e Histog.'!CU:CU),"")</f>
        <v>0</v>
      </c>
      <c r="AA330" s="144">
        <f>IFERROR(_xlfn.XLOOKUP($B330,'Cronog. e Histog.'!$BZ:$BZ,'Cronog. e Histog.'!CV:CV),"")</f>
        <v>0</v>
      </c>
      <c r="AB330" s="144">
        <f>IFERROR(_xlfn.XLOOKUP($B330,'Cronog. e Histog.'!$BZ:$BZ,'Cronog. e Histog.'!CW:CW),"")</f>
        <v>0</v>
      </c>
      <c r="AC330" s="144">
        <f>IFERROR(_xlfn.XLOOKUP($B330,'Cronog. e Histog.'!$BZ:$BZ,'Cronog. e Histog.'!CX:CX),"")</f>
        <v>0</v>
      </c>
      <c r="AD330" s="144">
        <f>IFERROR(_xlfn.XLOOKUP($B330,'Cronog. e Histog.'!$BZ:$BZ,'Cronog. e Histog.'!CY:CY),"")</f>
        <v>0</v>
      </c>
      <c r="AE330" s="144">
        <f>IFERROR(_xlfn.XLOOKUP($B330,'Cronog. e Histog.'!$BZ:$BZ,'Cronog. e Histog.'!CZ:CZ),"")</f>
        <v>0</v>
      </c>
      <c r="AF330" s="144">
        <f>IFERROR(_xlfn.XLOOKUP($B330,'Cronog. e Histog.'!$BZ:$BZ,'Cronog. e Histog.'!DA:DA),"")</f>
        <v>0</v>
      </c>
      <c r="AG330" s="144">
        <f>IFERROR(_xlfn.XLOOKUP($B330,'Cronog. e Histog.'!$BZ:$BZ,'Cronog. e Histog.'!DB:DB),"")</f>
        <v>0</v>
      </c>
      <c r="AH330" s="144">
        <f>IFERROR(_xlfn.XLOOKUP($B330,'Cronog. e Histog.'!$BZ:$BZ,'Cronog. e Histog.'!DC:DC),"")</f>
        <v>0</v>
      </c>
      <c r="AI330" s="144">
        <f>IFERROR(_xlfn.XLOOKUP($B330,'Cronog. e Histog.'!$BZ:$BZ,'Cronog. e Histog.'!DD:DD),"")</f>
        <v>0</v>
      </c>
      <c r="AJ330" s="144">
        <f>IFERROR(_xlfn.XLOOKUP($B330,'Cronog. e Histog.'!$BZ:$BZ,'Cronog. e Histog.'!DE:DE),"")</f>
        <v>0</v>
      </c>
      <c r="AK330" s="144">
        <f>IFERROR(_xlfn.XLOOKUP($B330,'Cronog. e Histog.'!$BZ:$BZ,'Cronog. e Histog.'!DF:DF),"")</f>
        <v>0</v>
      </c>
      <c r="AL330" s="144">
        <f>IFERROR(_xlfn.XLOOKUP($B330,'Cronog. e Histog.'!$BZ:$BZ,'Cronog. e Histog.'!DG:DG),"")</f>
        <v>0</v>
      </c>
      <c r="AM330" s="144">
        <f>IFERROR(_xlfn.XLOOKUP($B330,'Cronog. e Histog.'!$BZ:$BZ,'Cronog. e Histog.'!DH:DH),"")</f>
        <v>0</v>
      </c>
      <c r="AN330" s="144">
        <f>IFERROR(_xlfn.XLOOKUP($B330,'Cronog. e Histog.'!$BZ:$BZ,'Cronog. e Histog.'!DI:DI),"")</f>
        <v>0</v>
      </c>
      <c r="AO330" s="144">
        <f>IFERROR(_xlfn.XLOOKUP($B330,'Cronog. e Histog.'!$BZ:$BZ,'Cronog. e Histog.'!DJ:DJ),"")</f>
        <v>0</v>
      </c>
      <c r="AP330" s="144">
        <f>IFERROR(_xlfn.XLOOKUP($B330,'Cronog. e Histog.'!$BZ:$BZ,'Cronog. e Histog.'!DK:DK),"")</f>
        <v>0</v>
      </c>
      <c r="AQ330" s="144">
        <f>IFERROR(_xlfn.XLOOKUP($B330,'Cronog. e Histog.'!$BZ:$BZ,'Cronog. e Histog.'!DL:DL),"")</f>
        <v>0</v>
      </c>
      <c r="AR330" s="144">
        <f>IFERROR(_xlfn.XLOOKUP($B330,'Cronog. e Histog.'!$BZ:$BZ,'Cronog. e Histog.'!DM:DM),"")</f>
        <v>0</v>
      </c>
      <c r="AS330" s="144">
        <f>IFERROR(_xlfn.XLOOKUP($B330,'Cronog. e Histog.'!$BZ:$BZ,'Cronog. e Histog.'!DN:DN),"")</f>
        <v>0</v>
      </c>
      <c r="AT330" s="144">
        <f>IFERROR(_xlfn.XLOOKUP($B330,'Cronog. e Histog.'!$BZ:$BZ,'Cronog. e Histog.'!DO:DO),"")</f>
        <v>0</v>
      </c>
      <c r="AU330" s="144">
        <f>IFERROR(_xlfn.XLOOKUP($B330,'Cronog. e Histog.'!$BZ:$BZ,'Cronog. e Histog.'!DP:DP),"")</f>
        <v>0</v>
      </c>
      <c r="AV330" s="144">
        <f>IFERROR(_xlfn.XLOOKUP($B330,'Cronog. e Histog.'!$BZ:$BZ,'Cronog. e Histog.'!DQ:DQ),"")</f>
        <v>0</v>
      </c>
      <c r="AW330" s="144">
        <f>IFERROR(_xlfn.XLOOKUP($B330,'Cronog. e Histog.'!$BZ:$BZ,'Cronog. e Histog.'!DR:DR),"")</f>
        <v>0</v>
      </c>
      <c r="AX330" s="144">
        <f>IFERROR(_xlfn.XLOOKUP($B330,'Cronog. e Histog.'!$BZ:$BZ,'Cronog. e Histog.'!DS:DS),"")</f>
        <v>0</v>
      </c>
      <c r="AY330" s="144">
        <f>IFERROR(_xlfn.XLOOKUP($B330,'Cronog. e Histog.'!$BZ:$BZ,'Cronog. e Histog.'!DT:DT),"")</f>
        <v>0</v>
      </c>
      <c r="AZ330" s="144">
        <f>IFERROR(_xlfn.XLOOKUP($B330,'Cronog. e Histog.'!$BZ:$BZ,'Cronog. e Histog.'!DU:DU),"")</f>
        <v>0</v>
      </c>
      <c r="BA330" s="144">
        <f>IFERROR(_xlfn.XLOOKUP($B330,'Cronog. e Histog.'!$BZ:$BZ,'Cronog. e Histog.'!DV:DV),"")</f>
        <v>0</v>
      </c>
      <c r="BB330" s="144">
        <f>IFERROR(_xlfn.XLOOKUP($B330,'Cronog. e Histog.'!$BZ:$BZ,'Cronog. e Histog.'!DW:DW),"")</f>
        <v>0</v>
      </c>
      <c r="BC330" s="144">
        <f>IFERROR(_xlfn.XLOOKUP($B330,'Cronog. e Histog.'!$BZ:$BZ,'Cronog. e Histog.'!DX:DX),"")</f>
        <v>0</v>
      </c>
      <c r="BD330" s="144">
        <f>IFERROR(_xlfn.XLOOKUP($B330,'Cronog. e Histog.'!$BZ:$BZ,'Cronog. e Histog.'!DY:DY),"")</f>
        <v>0</v>
      </c>
      <c r="BE330" s="144">
        <f>IFERROR(_xlfn.XLOOKUP($B330,'Cronog. e Histog.'!$BZ:$BZ,'Cronog. e Histog.'!DZ:DZ),"")</f>
        <v>0</v>
      </c>
      <c r="BF330" s="144">
        <f>IFERROR(_xlfn.XLOOKUP($B330,'Cronog. e Histog.'!$BZ:$BZ,'Cronog. e Histog.'!EA:EA),"")</f>
        <v>0</v>
      </c>
      <c r="BG330" s="144">
        <f>IFERROR(_xlfn.XLOOKUP($B330,'Cronog. e Histog.'!$BZ:$BZ,'Cronog. e Histog.'!EB:EB),"")</f>
        <v>0</v>
      </c>
      <c r="BH330" s="144">
        <f>IFERROR(_xlfn.XLOOKUP($B330,'Cronog. e Histog.'!$BZ:$BZ,'Cronog. e Histog.'!EC:EC),"")</f>
        <v>0</v>
      </c>
      <c r="BI330" s="144">
        <f>IFERROR(_xlfn.XLOOKUP($B330,'Cronog. e Histog.'!$BZ:$BZ,'Cronog. e Histog.'!ED:ED),"")</f>
        <v>0</v>
      </c>
      <c r="BJ330" s="144">
        <f>IFERROR(_xlfn.XLOOKUP($B330,'Cronog. e Histog.'!$BZ:$BZ,'Cronog. e Histog.'!EE:EE),"")</f>
        <v>0</v>
      </c>
      <c r="BK330" s="144">
        <f>IFERROR(_xlfn.XLOOKUP($B330,'Cronog. e Histog.'!$BZ:$BZ,'Cronog. e Histog.'!EF:EF),"")</f>
        <v>0</v>
      </c>
      <c r="BL330" s="144">
        <f>IFERROR(_xlfn.XLOOKUP($B330,'Cronog. e Histog.'!$BZ:$BZ,'Cronog. e Histog.'!EG:EG),"")</f>
        <v>0</v>
      </c>
      <c r="BM330" s="144">
        <f>IFERROR(_xlfn.XLOOKUP($B330,'Cronog. e Histog.'!$BZ:$BZ,'Cronog. e Histog.'!EH:EH),"")</f>
        <v>0</v>
      </c>
      <c r="BN330" s="144">
        <f>IFERROR(_xlfn.XLOOKUP($B330,'Cronog. e Histog.'!$BZ:$BZ,'Cronog. e Histog.'!EI:EI),"")</f>
        <v>0</v>
      </c>
    </row>
    <row r="331" spans="2:66" ht="12" hidden="1" customHeight="1" outlineLevel="1">
      <c r="B331" s="76">
        <v>325</v>
      </c>
      <c r="C331" s="143" t="str">
        <f>IFERROR(VLOOKUP(B331,'Cronog. e Histog.'!$BZ$213:$CA$747,2,0),"")</f>
        <v>ENG/ARQ PL.</v>
      </c>
      <c r="D331" s="144">
        <f t="shared" si="6"/>
        <v>1</v>
      </c>
      <c r="E331" s="144">
        <f t="shared" si="7"/>
        <v>10</v>
      </c>
      <c r="F331" s="65"/>
      <c r="G331" s="144">
        <f>IFERROR(_xlfn.XLOOKUP($B331,'Cronog. e Histog.'!$BZ:$BZ,'Cronog. e Histog.'!CB:CB),"")</f>
        <v>0.04</v>
      </c>
      <c r="H331" s="144">
        <f>IFERROR(_xlfn.XLOOKUP($B331,'Cronog. e Histog.'!$BZ:$BZ,'Cronog. e Histog.'!CC:CC),"")</f>
        <v>0.04</v>
      </c>
      <c r="I331" s="144">
        <f>IFERROR(_xlfn.XLOOKUP($B331,'Cronog. e Histog.'!$BZ:$BZ,'Cronog. e Histog.'!CD:CD),"")</f>
        <v>0.04</v>
      </c>
      <c r="J331" s="144">
        <f>IFERROR(_xlfn.XLOOKUP($B331,'Cronog. e Histog.'!$BZ:$BZ,'Cronog. e Histog.'!CE:CE),"")</f>
        <v>0.04</v>
      </c>
      <c r="K331" s="144">
        <f>IFERROR(_xlfn.XLOOKUP($B331,'Cronog. e Histog.'!$BZ:$BZ,'Cronog. e Histog.'!CF:CF),"")</f>
        <v>0.04</v>
      </c>
      <c r="L331" s="144">
        <f>IFERROR(_xlfn.XLOOKUP($B331,'Cronog. e Histog.'!$BZ:$BZ,'Cronog. e Histog.'!CG:CG),"")</f>
        <v>0.04</v>
      </c>
      <c r="M331" s="144">
        <f>IFERROR(_xlfn.XLOOKUP($B331,'Cronog. e Histog.'!$BZ:$BZ,'Cronog. e Histog.'!CH:CH),"")</f>
        <v>0.04</v>
      </c>
      <c r="N331" s="144">
        <f>IFERROR(_xlfn.XLOOKUP($B331,'Cronog. e Histog.'!$BZ:$BZ,'Cronog. e Histog.'!CI:CI),"")</f>
        <v>0.04</v>
      </c>
      <c r="O331" s="144">
        <f>IFERROR(_xlfn.XLOOKUP($B331,'Cronog. e Histog.'!$BZ:$BZ,'Cronog. e Histog.'!CJ:CJ),"")</f>
        <v>0.04</v>
      </c>
      <c r="P331" s="144">
        <f>IFERROR(_xlfn.XLOOKUP($B331,'Cronog. e Histog.'!$BZ:$BZ,'Cronog. e Histog.'!CK:CK),"")</f>
        <v>0.04</v>
      </c>
      <c r="Q331" s="144">
        <f>IFERROR(_xlfn.XLOOKUP($B331,'Cronog. e Histog.'!$BZ:$BZ,'Cronog. e Histog.'!CL:CL),"")</f>
        <v>0</v>
      </c>
      <c r="R331" s="144">
        <f>IFERROR(_xlfn.XLOOKUP($B331,'Cronog. e Histog.'!$BZ:$BZ,'Cronog. e Histog.'!CM:CM),"")</f>
        <v>0</v>
      </c>
      <c r="S331" s="144">
        <f>IFERROR(_xlfn.XLOOKUP($B331,'Cronog. e Histog.'!$BZ:$BZ,'Cronog. e Histog.'!CN:CN),"")</f>
        <v>0</v>
      </c>
      <c r="T331" s="144">
        <f>IFERROR(_xlfn.XLOOKUP($B331,'Cronog. e Histog.'!$BZ:$BZ,'Cronog. e Histog.'!CO:CO),"")</f>
        <v>0</v>
      </c>
      <c r="U331" s="144">
        <f>IFERROR(_xlfn.XLOOKUP($B331,'Cronog. e Histog.'!$BZ:$BZ,'Cronog. e Histog.'!CP:CP),"")</f>
        <v>0</v>
      </c>
      <c r="V331" s="144">
        <f>IFERROR(_xlfn.XLOOKUP($B331,'Cronog. e Histog.'!$BZ:$BZ,'Cronog. e Histog.'!CQ:CQ),"")</f>
        <v>0</v>
      </c>
      <c r="W331" s="144">
        <f>IFERROR(_xlfn.XLOOKUP($B331,'Cronog. e Histog.'!$BZ:$BZ,'Cronog. e Histog.'!CR:CR),"")</f>
        <v>0</v>
      </c>
      <c r="X331" s="144">
        <f>IFERROR(_xlfn.XLOOKUP($B331,'Cronog. e Histog.'!$BZ:$BZ,'Cronog. e Histog.'!CS:CS),"")</f>
        <v>0</v>
      </c>
      <c r="Y331" s="144">
        <f>IFERROR(_xlfn.XLOOKUP($B331,'Cronog. e Histog.'!$BZ:$BZ,'Cronog. e Histog.'!CT:CT),"")</f>
        <v>0</v>
      </c>
      <c r="Z331" s="144">
        <f>IFERROR(_xlfn.XLOOKUP($B331,'Cronog. e Histog.'!$BZ:$BZ,'Cronog. e Histog.'!CU:CU),"")</f>
        <v>0</v>
      </c>
      <c r="AA331" s="144">
        <f>IFERROR(_xlfn.XLOOKUP($B331,'Cronog. e Histog.'!$BZ:$BZ,'Cronog. e Histog.'!CV:CV),"")</f>
        <v>0</v>
      </c>
      <c r="AB331" s="144">
        <f>IFERROR(_xlfn.XLOOKUP($B331,'Cronog. e Histog.'!$BZ:$BZ,'Cronog. e Histog.'!CW:CW),"")</f>
        <v>0</v>
      </c>
      <c r="AC331" s="144">
        <f>IFERROR(_xlfn.XLOOKUP($B331,'Cronog. e Histog.'!$BZ:$BZ,'Cronog. e Histog.'!CX:CX),"")</f>
        <v>0</v>
      </c>
      <c r="AD331" s="144">
        <f>IFERROR(_xlfn.XLOOKUP($B331,'Cronog. e Histog.'!$BZ:$BZ,'Cronog. e Histog.'!CY:CY),"")</f>
        <v>0</v>
      </c>
      <c r="AE331" s="144">
        <f>IFERROR(_xlfn.XLOOKUP($B331,'Cronog. e Histog.'!$BZ:$BZ,'Cronog. e Histog.'!CZ:CZ),"")</f>
        <v>0</v>
      </c>
      <c r="AF331" s="144">
        <f>IFERROR(_xlfn.XLOOKUP($B331,'Cronog. e Histog.'!$BZ:$BZ,'Cronog. e Histog.'!DA:DA),"")</f>
        <v>0</v>
      </c>
      <c r="AG331" s="144">
        <f>IFERROR(_xlfn.XLOOKUP($B331,'Cronog. e Histog.'!$BZ:$BZ,'Cronog. e Histog.'!DB:DB),"")</f>
        <v>0</v>
      </c>
      <c r="AH331" s="144">
        <f>IFERROR(_xlfn.XLOOKUP($B331,'Cronog. e Histog.'!$BZ:$BZ,'Cronog. e Histog.'!DC:DC),"")</f>
        <v>0</v>
      </c>
      <c r="AI331" s="144">
        <f>IFERROR(_xlfn.XLOOKUP($B331,'Cronog. e Histog.'!$BZ:$BZ,'Cronog. e Histog.'!DD:DD),"")</f>
        <v>0</v>
      </c>
      <c r="AJ331" s="144">
        <f>IFERROR(_xlfn.XLOOKUP($B331,'Cronog. e Histog.'!$BZ:$BZ,'Cronog. e Histog.'!DE:DE),"")</f>
        <v>0</v>
      </c>
      <c r="AK331" s="144">
        <f>IFERROR(_xlfn.XLOOKUP($B331,'Cronog. e Histog.'!$BZ:$BZ,'Cronog. e Histog.'!DF:DF),"")</f>
        <v>0</v>
      </c>
      <c r="AL331" s="144">
        <f>IFERROR(_xlfn.XLOOKUP($B331,'Cronog. e Histog.'!$BZ:$BZ,'Cronog. e Histog.'!DG:DG),"")</f>
        <v>0</v>
      </c>
      <c r="AM331" s="144">
        <f>IFERROR(_xlfn.XLOOKUP($B331,'Cronog. e Histog.'!$BZ:$BZ,'Cronog. e Histog.'!DH:DH),"")</f>
        <v>0</v>
      </c>
      <c r="AN331" s="144">
        <f>IFERROR(_xlfn.XLOOKUP($B331,'Cronog. e Histog.'!$BZ:$BZ,'Cronog. e Histog.'!DI:DI),"")</f>
        <v>0</v>
      </c>
      <c r="AO331" s="144">
        <f>IFERROR(_xlfn.XLOOKUP($B331,'Cronog. e Histog.'!$BZ:$BZ,'Cronog. e Histog.'!DJ:DJ),"")</f>
        <v>0</v>
      </c>
      <c r="AP331" s="144">
        <f>IFERROR(_xlfn.XLOOKUP($B331,'Cronog. e Histog.'!$BZ:$BZ,'Cronog. e Histog.'!DK:DK),"")</f>
        <v>0</v>
      </c>
      <c r="AQ331" s="144">
        <f>IFERROR(_xlfn.XLOOKUP($B331,'Cronog. e Histog.'!$BZ:$BZ,'Cronog. e Histog.'!DL:DL),"")</f>
        <v>0</v>
      </c>
      <c r="AR331" s="144">
        <f>IFERROR(_xlfn.XLOOKUP($B331,'Cronog. e Histog.'!$BZ:$BZ,'Cronog. e Histog.'!DM:DM),"")</f>
        <v>0</v>
      </c>
      <c r="AS331" s="144">
        <f>IFERROR(_xlfn.XLOOKUP($B331,'Cronog. e Histog.'!$BZ:$BZ,'Cronog. e Histog.'!DN:DN),"")</f>
        <v>0</v>
      </c>
      <c r="AT331" s="144">
        <f>IFERROR(_xlfn.XLOOKUP($B331,'Cronog. e Histog.'!$BZ:$BZ,'Cronog. e Histog.'!DO:DO),"")</f>
        <v>0</v>
      </c>
      <c r="AU331" s="144">
        <f>IFERROR(_xlfn.XLOOKUP($B331,'Cronog. e Histog.'!$BZ:$BZ,'Cronog. e Histog.'!DP:DP),"")</f>
        <v>0</v>
      </c>
      <c r="AV331" s="144">
        <f>IFERROR(_xlfn.XLOOKUP($B331,'Cronog. e Histog.'!$BZ:$BZ,'Cronog. e Histog.'!DQ:DQ),"")</f>
        <v>0</v>
      </c>
      <c r="AW331" s="144">
        <f>IFERROR(_xlfn.XLOOKUP($B331,'Cronog. e Histog.'!$BZ:$BZ,'Cronog. e Histog.'!DR:DR),"")</f>
        <v>0</v>
      </c>
      <c r="AX331" s="144">
        <f>IFERROR(_xlfn.XLOOKUP($B331,'Cronog. e Histog.'!$BZ:$BZ,'Cronog. e Histog.'!DS:DS),"")</f>
        <v>0</v>
      </c>
      <c r="AY331" s="144">
        <f>IFERROR(_xlfn.XLOOKUP($B331,'Cronog. e Histog.'!$BZ:$BZ,'Cronog. e Histog.'!DT:DT),"")</f>
        <v>0</v>
      </c>
      <c r="AZ331" s="144">
        <f>IFERROR(_xlfn.XLOOKUP($B331,'Cronog. e Histog.'!$BZ:$BZ,'Cronog. e Histog.'!DU:DU),"")</f>
        <v>0</v>
      </c>
      <c r="BA331" s="144">
        <f>IFERROR(_xlfn.XLOOKUP($B331,'Cronog. e Histog.'!$BZ:$BZ,'Cronog. e Histog.'!DV:DV),"")</f>
        <v>0</v>
      </c>
      <c r="BB331" s="144">
        <f>IFERROR(_xlfn.XLOOKUP($B331,'Cronog. e Histog.'!$BZ:$BZ,'Cronog. e Histog.'!DW:DW),"")</f>
        <v>0</v>
      </c>
      <c r="BC331" s="144">
        <f>IFERROR(_xlfn.XLOOKUP($B331,'Cronog. e Histog.'!$BZ:$BZ,'Cronog. e Histog.'!DX:DX),"")</f>
        <v>0</v>
      </c>
      <c r="BD331" s="144">
        <f>IFERROR(_xlfn.XLOOKUP($B331,'Cronog. e Histog.'!$BZ:$BZ,'Cronog. e Histog.'!DY:DY),"")</f>
        <v>0</v>
      </c>
      <c r="BE331" s="144">
        <f>IFERROR(_xlfn.XLOOKUP($B331,'Cronog. e Histog.'!$BZ:$BZ,'Cronog. e Histog.'!DZ:DZ),"")</f>
        <v>0</v>
      </c>
      <c r="BF331" s="144">
        <f>IFERROR(_xlfn.XLOOKUP($B331,'Cronog. e Histog.'!$BZ:$BZ,'Cronog. e Histog.'!EA:EA),"")</f>
        <v>0</v>
      </c>
      <c r="BG331" s="144">
        <f>IFERROR(_xlfn.XLOOKUP($B331,'Cronog. e Histog.'!$BZ:$BZ,'Cronog. e Histog.'!EB:EB),"")</f>
        <v>0</v>
      </c>
      <c r="BH331" s="144">
        <f>IFERROR(_xlfn.XLOOKUP($B331,'Cronog. e Histog.'!$BZ:$BZ,'Cronog. e Histog.'!EC:EC),"")</f>
        <v>0</v>
      </c>
      <c r="BI331" s="144">
        <f>IFERROR(_xlfn.XLOOKUP($B331,'Cronog. e Histog.'!$BZ:$BZ,'Cronog. e Histog.'!ED:ED),"")</f>
        <v>0</v>
      </c>
      <c r="BJ331" s="144">
        <f>IFERROR(_xlfn.XLOOKUP($B331,'Cronog. e Histog.'!$BZ:$BZ,'Cronog. e Histog.'!EE:EE),"")</f>
        <v>0</v>
      </c>
      <c r="BK331" s="144">
        <f>IFERROR(_xlfn.XLOOKUP($B331,'Cronog. e Histog.'!$BZ:$BZ,'Cronog. e Histog.'!EF:EF),"")</f>
        <v>0</v>
      </c>
      <c r="BL331" s="144">
        <f>IFERROR(_xlfn.XLOOKUP($B331,'Cronog. e Histog.'!$BZ:$BZ,'Cronog. e Histog.'!EG:EG),"")</f>
        <v>0</v>
      </c>
      <c r="BM331" s="144">
        <f>IFERROR(_xlfn.XLOOKUP($B331,'Cronog. e Histog.'!$BZ:$BZ,'Cronog. e Histog.'!EH:EH),"")</f>
        <v>0</v>
      </c>
      <c r="BN331" s="144">
        <f>IFERROR(_xlfn.XLOOKUP($B331,'Cronog. e Histog.'!$BZ:$BZ,'Cronog. e Histog.'!EI:EI),"")</f>
        <v>0</v>
      </c>
    </row>
    <row r="332" spans="2:66" ht="12" hidden="1" customHeight="1" outlineLevel="1">
      <c r="B332" s="76">
        <v>326</v>
      </c>
      <c r="C332" s="143" t="str">
        <f>IFERROR(VLOOKUP(B332,'Cronog. e Histog.'!$BZ$213:$CA$747,2,0),"")</f>
        <v>ENG/ARQ JR.</v>
      </c>
      <c r="D332" s="144">
        <f t="shared" si="6"/>
        <v>0</v>
      </c>
      <c r="E332" s="144">
        <f t="shared" si="7"/>
        <v>0</v>
      </c>
      <c r="F332" s="65"/>
      <c r="G332" s="144">
        <f>IFERROR(_xlfn.XLOOKUP($B332,'Cronog. e Histog.'!$BZ:$BZ,'Cronog. e Histog.'!CB:CB),"")</f>
        <v>0</v>
      </c>
      <c r="H332" s="144">
        <f>IFERROR(_xlfn.XLOOKUP($B332,'Cronog. e Histog.'!$BZ:$BZ,'Cronog. e Histog.'!CC:CC),"")</f>
        <v>0</v>
      </c>
      <c r="I332" s="144">
        <f>IFERROR(_xlfn.XLOOKUP($B332,'Cronog. e Histog.'!$BZ:$BZ,'Cronog. e Histog.'!CD:CD),"")</f>
        <v>0</v>
      </c>
      <c r="J332" s="144">
        <f>IFERROR(_xlfn.XLOOKUP($B332,'Cronog. e Histog.'!$BZ:$BZ,'Cronog. e Histog.'!CE:CE),"")</f>
        <v>0</v>
      </c>
      <c r="K332" s="144">
        <f>IFERROR(_xlfn.XLOOKUP($B332,'Cronog. e Histog.'!$BZ:$BZ,'Cronog. e Histog.'!CF:CF),"")</f>
        <v>0</v>
      </c>
      <c r="L332" s="144">
        <f>IFERROR(_xlfn.XLOOKUP($B332,'Cronog. e Histog.'!$BZ:$BZ,'Cronog. e Histog.'!CG:CG),"")</f>
        <v>0</v>
      </c>
      <c r="M332" s="144">
        <f>IFERROR(_xlfn.XLOOKUP($B332,'Cronog. e Histog.'!$BZ:$BZ,'Cronog. e Histog.'!CH:CH),"")</f>
        <v>0</v>
      </c>
      <c r="N332" s="144">
        <f>IFERROR(_xlfn.XLOOKUP($B332,'Cronog. e Histog.'!$BZ:$BZ,'Cronog. e Histog.'!CI:CI),"")</f>
        <v>0</v>
      </c>
      <c r="O332" s="144">
        <f>IFERROR(_xlfn.XLOOKUP($B332,'Cronog. e Histog.'!$BZ:$BZ,'Cronog. e Histog.'!CJ:CJ),"")</f>
        <v>0</v>
      </c>
      <c r="P332" s="144">
        <f>IFERROR(_xlfn.XLOOKUP($B332,'Cronog. e Histog.'!$BZ:$BZ,'Cronog. e Histog.'!CK:CK),"")</f>
        <v>0</v>
      </c>
      <c r="Q332" s="144">
        <f>IFERROR(_xlfn.XLOOKUP($B332,'Cronog. e Histog.'!$BZ:$BZ,'Cronog. e Histog.'!CL:CL),"")</f>
        <v>0</v>
      </c>
      <c r="R332" s="144">
        <f>IFERROR(_xlfn.XLOOKUP($B332,'Cronog. e Histog.'!$BZ:$BZ,'Cronog. e Histog.'!CM:CM),"")</f>
        <v>0</v>
      </c>
      <c r="S332" s="144">
        <f>IFERROR(_xlfn.XLOOKUP($B332,'Cronog. e Histog.'!$BZ:$BZ,'Cronog. e Histog.'!CN:CN),"")</f>
        <v>0</v>
      </c>
      <c r="T332" s="144">
        <f>IFERROR(_xlfn.XLOOKUP($B332,'Cronog. e Histog.'!$BZ:$BZ,'Cronog. e Histog.'!CO:CO),"")</f>
        <v>0</v>
      </c>
      <c r="U332" s="144">
        <f>IFERROR(_xlfn.XLOOKUP($B332,'Cronog. e Histog.'!$BZ:$BZ,'Cronog. e Histog.'!CP:CP),"")</f>
        <v>0</v>
      </c>
      <c r="V332" s="144">
        <f>IFERROR(_xlfn.XLOOKUP($B332,'Cronog. e Histog.'!$BZ:$BZ,'Cronog. e Histog.'!CQ:CQ),"")</f>
        <v>0</v>
      </c>
      <c r="W332" s="144">
        <f>IFERROR(_xlfn.XLOOKUP($B332,'Cronog. e Histog.'!$BZ:$BZ,'Cronog. e Histog.'!CR:CR),"")</f>
        <v>0</v>
      </c>
      <c r="X332" s="144">
        <f>IFERROR(_xlfn.XLOOKUP($B332,'Cronog. e Histog.'!$BZ:$BZ,'Cronog. e Histog.'!CS:CS),"")</f>
        <v>0</v>
      </c>
      <c r="Y332" s="144">
        <f>IFERROR(_xlfn.XLOOKUP($B332,'Cronog. e Histog.'!$BZ:$BZ,'Cronog. e Histog.'!CT:CT),"")</f>
        <v>0</v>
      </c>
      <c r="Z332" s="144">
        <f>IFERROR(_xlfn.XLOOKUP($B332,'Cronog. e Histog.'!$BZ:$BZ,'Cronog. e Histog.'!CU:CU),"")</f>
        <v>0</v>
      </c>
      <c r="AA332" s="144">
        <f>IFERROR(_xlfn.XLOOKUP($B332,'Cronog. e Histog.'!$BZ:$BZ,'Cronog. e Histog.'!CV:CV),"")</f>
        <v>0</v>
      </c>
      <c r="AB332" s="144">
        <f>IFERROR(_xlfn.XLOOKUP($B332,'Cronog. e Histog.'!$BZ:$BZ,'Cronog. e Histog.'!CW:CW),"")</f>
        <v>0</v>
      </c>
      <c r="AC332" s="144">
        <f>IFERROR(_xlfn.XLOOKUP($B332,'Cronog. e Histog.'!$BZ:$BZ,'Cronog. e Histog.'!CX:CX),"")</f>
        <v>0</v>
      </c>
      <c r="AD332" s="144">
        <f>IFERROR(_xlfn.XLOOKUP($B332,'Cronog. e Histog.'!$BZ:$BZ,'Cronog. e Histog.'!CY:CY),"")</f>
        <v>0</v>
      </c>
      <c r="AE332" s="144">
        <f>IFERROR(_xlfn.XLOOKUP($B332,'Cronog. e Histog.'!$BZ:$BZ,'Cronog. e Histog.'!CZ:CZ),"")</f>
        <v>0</v>
      </c>
      <c r="AF332" s="144">
        <f>IFERROR(_xlfn.XLOOKUP($B332,'Cronog. e Histog.'!$BZ:$BZ,'Cronog. e Histog.'!DA:DA),"")</f>
        <v>0</v>
      </c>
      <c r="AG332" s="144">
        <f>IFERROR(_xlfn.XLOOKUP($B332,'Cronog. e Histog.'!$BZ:$BZ,'Cronog. e Histog.'!DB:DB),"")</f>
        <v>0</v>
      </c>
      <c r="AH332" s="144">
        <f>IFERROR(_xlfn.XLOOKUP($B332,'Cronog. e Histog.'!$BZ:$BZ,'Cronog. e Histog.'!DC:DC),"")</f>
        <v>0</v>
      </c>
      <c r="AI332" s="144">
        <f>IFERROR(_xlfn.XLOOKUP($B332,'Cronog. e Histog.'!$BZ:$BZ,'Cronog. e Histog.'!DD:DD),"")</f>
        <v>0</v>
      </c>
      <c r="AJ332" s="144">
        <f>IFERROR(_xlfn.XLOOKUP($B332,'Cronog. e Histog.'!$BZ:$BZ,'Cronog. e Histog.'!DE:DE),"")</f>
        <v>0</v>
      </c>
      <c r="AK332" s="144">
        <f>IFERROR(_xlfn.XLOOKUP($B332,'Cronog. e Histog.'!$BZ:$BZ,'Cronog. e Histog.'!DF:DF),"")</f>
        <v>0</v>
      </c>
      <c r="AL332" s="144">
        <f>IFERROR(_xlfn.XLOOKUP($B332,'Cronog. e Histog.'!$BZ:$BZ,'Cronog. e Histog.'!DG:DG),"")</f>
        <v>0</v>
      </c>
      <c r="AM332" s="144">
        <f>IFERROR(_xlfn.XLOOKUP($B332,'Cronog. e Histog.'!$BZ:$BZ,'Cronog. e Histog.'!DH:DH),"")</f>
        <v>0</v>
      </c>
      <c r="AN332" s="144">
        <f>IFERROR(_xlfn.XLOOKUP($B332,'Cronog. e Histog.'!$BZ:$BZ,'Cronog. e Histog.'!DI:DI),"")</f>
        <v>0</v>
      </c>
      <c r="AO332" s="144">
        <f>IFERROR(_xlfn.XLOOKUP($B332,'Cronog. e Histog.'!$BZ:$BZ,'Cronog. e Histog.'!DJ:DJ),"")</f>
        <v>0</v>
      </c>
      <c r="AP332" s="144">
        <f>IFERROR(_xlfn.XLOOKUP($B332,'Cronog. e Histog.'!$BZ:$BZ,'Cronog. e Histog.'!DK:DK),"")</f>
        <v>0</v>
      </c>
      <c r="AQ332" s="144">
        <f>IFERROR(_xlfn.XLOOKUP($B332,'Cronog. e Histog.'!$BZ:$BZ,'Cronog. e Histog.'!DL:DL),"")</f>
        <v>0</v>
      </c>
      <c r="AR332" s="144">
        <f>IFERROR(_xlfn.XLOOKUP($B332,'Cronog. e Histog.'!$BZ:$BZ,'Cronog. e Histog.'!DM:DM),"")</f>
        <v>0</v>
      </c>
      <c r="AS332" s="144">
        <f>IFERROR(_xlfn.XLOOKUP($B332,'Cronog. e Histog.'!$BZ:$BZ,'Cronog. e Histog.'!DN:DN),"")</f>
        <v>0</v>
      </c>
      <c r="AT332" s="144">
        <f>IFERROR(_xlfn.XLOOKUP($B332,'Cronog. e Histog.'!$BZ:$BZ,'Cronog. e Histog.'!DO:DO),"")</f>
        <v>0</v>
      </c>
      <c r="AU332" s="144">
        <f>IFERROR(_xlfn.XLOOKUP($B332,'Cronog. e Histog.'!$BZ:$BZ,'Cronog. e Histog.'!DP:DP),"")</f>
        <v>0</v>
      </c>
      <c r="AV332" s="144">
        <f>IFERROR(_xlfn.XLOOKUP($B332,'Cronog. e Histog.'!$BZ:$BZ,'Cronog. e Histog.'!DQ:DQ),"")</f>
        <v>0</v>
      </c>
      <c r="AW332" s="144">
        <f>IFERROR(_xlfn.XLOOKUP($B332,'Cronog. e Histog.'!$BZ:$BZ,'Cronog. e Histog.'!DR:DR),"")</f>
        <v>0</v>
      </c>
      <c r="AX332" s="144">
        <f>IFERROR(_xlfn.XLOOKUP($B332,'Cronog. e Histog.'!$BZ:$BZ,'Cronog. e Histog.'!DS:DS),"")</f>
        <v>0</v>
      </c>
      <c r="AY332" s="144">
        <f>IFERROR(_xlfn.XLOOKUP($B332,'Cronog. e Histog.'!$BZ:$BZ,'Cronog. e Histog.'!DT:DT),"")</f>
        <v>0</v>
      </c>
      <c r="AZ332" s="144">
        <f>IFERROR(_xlfn.XLOOKUP($B332,'Cronog. e Histog.'!$BZ:$BZ,'Cronog. e Histog.'!DU:DU),"")</f>
        <v>0</v>
      </c>
      <c r="BA332" s="144">
        <f>IFERROR(_xlfn.XLOOKUP($B332,'Cronog. e Histog.'!$BZ:$BZ,'Cronog. e Histog.'!DV:DV),"")</f>
        <v>0</v>
      </c>
      <c r="BB332" s="144">
        <f>IFERROR(_xlfn.XLOOKUP($B332,'Cronog. e Histog.'!$BZ:$BZ,'Cronog. e Histog.'!DW:DW),"")</f>
        <v>0</v>
      </c>
      <c r="BC332" s="144">
        <f>IFERROR(_xlfn.XLOOKUP($B332,'Cronog. e Histog.'!$BZ:$BZ,'Cronog. e Histog.'!DX:DX),"")</f>
        <v>0</v>
      </c>
      <c r="BD332" s="144">
        <f>IFERROR(_xlfn.XLOOKUP($B332,'Cronog. e Histog.'!$BZ:$BZ,'Cronog. e Histog.'!DY:DY),"")</f>
        <v>0</v>
      </c>
      <c r="BE332" s="144">
        <f>IFERROR(_xlfn.XLOOKUP($B332,'Cronog. e Histog.'!$BZ:$BZ,'Cronog. e Histog.'!DZ:DZ),"")</f>
        <v>0</v>
      </c>
      <c r="BF332" s="144">
        <f>IFERROR(_xlfn.XLOOKUP($B332,'Cronog. e Histog.'!$BZ:$BZ,'Cronog. e Histog.'!EA:EA),"")</f>
        <v>0</v>
      </c>
      <c r="BG332" s="144">
        <f>IFERROR(_xlfn.XLOOKUP($B332,'Cronog. e Histog.'!$BZ:$BZ,'Cronog. e Histog.'!EB:EB),"")</f>
        <v>0</v>
      </c>
      <c r="BH332" s="144">
        <f>IFERROR(_xlfn.XLOOKUP($B332,'Cronog. e Histog.'!$BZ:$BZ,'Cronog. e Histog.'!EC:EC),"")</f>
        <v>0</v>
      </c>
      <c r="BI332" s="144">
        <f>IFERROR(_xlfn.XLOOKUP($B332,'Cronog. e Histog.'!$BZ:$BZ,'Cronog. e Histog.'!ED:ED),"")</f>
        <v>0</v>
      </c>
      <c r="BJ332" s="144">
        <f>IFERROR(_xlfn.XLOOKUP($B332,'Cronog. e Histog.'!$BZ:$BZ,'Cronog. e Histog.'!EE:EE),"")</f>
        <v>0</v>
      </c>
      <c r="BK332" s="144">
        <f>IFERROR(_xlfn.XLOOKUP($B332,'Cronog. e Histog.'!$BZ:$BZ,'Cronog. e Histog.'!EF:EF),"")</f>
        <v>0</v>
      </c>
      <c r="BL332" s="144">
        <f>IFERROR(_xlfn.XLOOKUP($B332,'Cronog. e Histog.'!$BZ:$BZ,'Cronog. e Histog.'!EG:EG),"")</f>
        <v>0</v>
      </c>
      <c r="BM332" s="144">
        <f>IFERROR(_xlfn.XLOOKUP($B332,'Cronog. e Histog.'!$BZ:$BZ,'Cronog. e Histog.'!EH:EH),"")</f>
        <v>0</v>
      </c>
      <c r="BN332" s="144">
        <f>IFERROR(_xlfn.XLOOKUP($B332,'Cronog. e Histog.'!$BZ:$BZ,'Cronog. e Histog.'!EI:EI),"")</f>
        <v>0</v>
      </c>
    </row>
    <row r="333" spans="2:66" ht="12" hidden="1" customHeight="1" outlineLevel="1">
      <c r="B333" s="76">
        <v>327</v>
      </c>
      <c r="C333" s="143" t="str">
        <f>IFERROR(VLOOKUP(B333,'Cronog. e Histog.'!$BZ$213:$CA$747,2,0),"")</f>
        <v>AN SR. ENG/ARQ</v>
      </c>
      <c r="D333" s="144">
        <f t="shared" si="6"/>
        <v>0</v>
      </c>
      <c r="E333" s="144">
        <f t="shared" si="7"/>
        <v>0</v>
      </c>
      <c r="F333" s="65"/>
      <c r="G333" s="144">
        <f>IFERROR(_xlfn.XLOOKUP($B333,'Cronog. e Histog.'!$BZ:$BZ,'Cronog. e Histog.'!CB:CB),"")</f>
        <v>0</v>
      </c>
      <c r="H333" s="144">
        <f>IFERROR(_xlfn.XLOOKUP($B333,'Cronog. e Histog.'!$BZ:$BZ,'Cronog. e Histog.'!CC:CC),"")</f>
        <v>0</v>
      </c>
      <c r="I333" s="144">
        <f>IFERROR(_xlfn.XLOOKUP($B333,'Cronog. e Histog.'!$BZ:$BZ,'Cronog. e Histog.'!CD:CD),"")</f>
        <v>0</v>
      </c>
      <c r="J333" s="144">
        <f>IFERROR(_xlfn.XLOOKUP($B333,'Cronog. e Histog.'!$BZ:$BZ,'Cronog. e Histog.'!CE:CE),"")</f>
        <v>0</v>
      </c>
      <c r="K333" s="144">
        <f>IFERROR(_xlfn.XLOOKUP($B333,'Cronog. e Histog.'!$BZ:$BZ,'Cronog. e Histog.'!CF:CF),"")</f>
        <v>0</v>
      </c>
      <c r="L333" s="144">
        <f>IFERROR(_xlfn.XLOOKUP($B333,'Cronog. e Histog.'!$BZ:$BZ,'Cronog. e Histog.'!CG:CG),"")</f>
        <v>0</v>
      </c>
      <c r="M333" s="144">
        <f>IFERROR(_xlfn.XLOOKUP($B333,'Cronog. e Histog.'!$BZ:$BZ,'Cronog. e Histog.'!CH:CH),"")</f>
        <v>0</v>
      </c>
      <c r="N333" s="144">
        <f>IFERROR(_xlfn.XLOOKUP($B333,'Cronog. e Histog.'!$BZ:$BZ,'Cronog. e Histog.'!CI:CI),"")</f>
        <v>0</v>
      </c>
      <c r="O333" s="144">
        <f>IFERROR(_xlfn.XLOOKUP($B333,'Cronog. e Histog.'!$BZ:$BZ,'Cronog. e Histog.'!CJ:CJ),"")</f>
        <v>0</v>
      </c>
      <c r="P333" s="144">
        <f>IFERROR(_xlfn.XLOOKUP($B333,'Cronog. e Histog.'!$BZ:$BZ,'Cronog. e Histog.'!CK:CK),"")</f>
        <v>0</v>
      </c>
      <c r="Q333" s="144">
        <f>IFERROR(_xlfn.XLOOKUP($B333,'Cronog. e Histog.'!$BZ:$BZ,'Cronog. e Histog.'!CL:CL),"")</f>
        <v>0</v>
      </c>
      <c r="R333" s="144">
        <f>IFERROR(_xlfn.XLOOKUP($B333,'Cronog. e Histog.'!$BZ:$BZ,'Cronog. e Histog.'!CM:CM),"")</f>
        <v>0</v>
      </c>
      <c r="S333" s="144">
        <f>IFERROR(_xlfn.XLOOKUP($B333,'Cronog. e Histog.'!$BZ:$BZ,'Cronog. e Histog.'!CN:CN),"")</f>
        <v>0</v>
      </c>
      <c r="T333" s="144">
        <f>IFERROR(_xlfn.XLOOKUP($B333,'Cronog. e Histog.'!$BZ:$BZ,'Cronog. e Histog.'!CO:CO),"")</f>
        <v>0</v>
      </c>
      <c r="U333" s="144">
        <f>IFERROR(_xlfn.XLOOKUP($B333,'Cronog. e Histog.'!$BZ:$BZ,'Cronog. e Histog.'!CP:CP),"")</f>
        <v>0</v>
      </c>
      <c r="V333" s="144">
        <f>IFERROR(_xlfn.XLOOKUP($B333,'Cronog. e Histog.'!$BZ:$BZ,'Cronog. e Histog.'!CQ:CQ),"")</f>
        <v>0</v>
      </c>
      <c r="W333" s="144">
        <f>IFERROR(_xlfn.XLOOKUP($B333,'Cronog. e Histog.'!$BZ:$BZ,'Cronog. e Histog.'!CR:CR),"")</f>
        <v>0</v>
      </c>
      <c r="X333" s="144">
        <f>IFERROR(_xlfn.XLOOKUP($B333,'Cronog. e Histog.'!$BZ:$BZ,'Cronog. e Histog.'!CS:CS),"")</f>
        <v>0</v>
      </c>
      <c r="Y333" s="144">
        <f>IFERROR(_xlfn.XLOOKUP($B333,'Cronog. e Histog.'!$BZ:$BZ,'Cronog. e Histog.'!CT:CT),"")</f>
        <v>0</v>
      </c>
      <c r="Z333" s="144">
        <f>IFERROR(_xlfn.XLOOKUP($B333,'Cronog. e Histog.'!$BZ:$BZ,'Cronog. e Histog.'!CU:CU),"")</f>
        <v>0</v>
      </c>
      <c r="AA333" s="144">
        <f>IFERROR(_xlfn.XLOOKUP($B333,'Cronog. e Histog.'!$BZ:$BZ,'Cronog. e Histog.'!CV:CV),"")</f>
        <v>0</v>
      </c>
      <c r="AB333" s="144">
        <f>IFERROR(_xlfn.XLOOKUP($B333,'Cronog. e Histog.'!$BZ:$BZ,'Cronog. e Histog.'!CW:CW),"")</f>
        <v>0</v>
      </c>
      <c r="AC333" s="144">
        <f>IFERROR(_xlfn.XLOOKUP($B333,'Cronog. e Histog.'!$BZ:$BZ,'Cronog. e Histog.'!CX:CX),"")</f>
        <v>0</v>
      </c>
      <c r="AD333" s="144">
        <f>IFERROR(_xlfn.XLOOKUP($B333,'Cronog. e Histog.'!$BZ:$BZ,'Cronog. e Histog.'!CY:CY),"")</f>
        <v>0</v>
      </c>
      <c r="AE333" s="144">
        <f>IFERROR(_xlfn.XLOOKUP($B333,'Cronog. e Histog.'!$BZ:$BZ,'Cronog. e Histog.'!CZ:CZ),"")</f>
        <v>0</v>
      </c>
      <c r="AF333" s="144">
        <f>IFERROR(_xlfn.XLOOKUP($B333,'Cronog. e Histog.'!$BZ:$BZ,'Cronog. e Histog.'!DA:DA),"")</f>
        <v>0</v>
      </c>
      <c r="AG333" s="144">
        <f>IFERROR(_xlfn.XLOOKUP($B333,'Cronog. e Histog.'!$BZ:$BZ,'Cronog. e Histog.'!DB:DB),"")</f>
        <v>0</v>
      </c>
      <c r="AH333" s="144">
        <f>IFERROR(_xlfn.XLOOKUP($B333,'Cronog. e Histog.'!$BZ:$BZ,'Cronog. e Histog.'!DC:DC),"")</f>
        <v>0</v>
      </c>
      <c r="AI333" s="144">
        <f>IFERROR(_xlfn.XLOOKUP($B333,'Cronog. e Histog.'!$BZ:$BZ,'Cronog. e Histog.'!DD:DD),"")</f>
        <v>0</v>
      </c>
      <c r="AJ333" s="144">
        <f>IFERROR(_xlfn.XLOOKUP($B333,'Cronog. e Histog.'!$BZ:$BZ,'Cronog. e Histog.'!DE:DE),"")</f>
        <v>0</v>
      </c>
      <c r="AK333" s="144">
        <f>IFERROR(_xlfn.XLOOKUP($B333,'Cronog. e Histog.'!$BZ:$BZ,'Cronog. e Histog.'!DF:DF),"")</f>
        <v>0</v>
      </c>
      <c r="AL333" s="144">
        <f>IFERROR(_xlfn.XLOOKUP($B333,'Cronog. e Histog.'!$BZ:$BZ,'Cronog. e Histog.'!DG:DG),"")</f>
        <v>0</v>
      </c>
      <c r="AM333" s="144">
        <f>IFERROR(_xlfn.XLOOKUP($B333,'Cronog. e Histog.'!$BZ:$BZ,'Cronog. e Histog.'!DH:DH),"")</f>
        <v>0</v>
      </c>
      <c r="AN333" s="144">
        <f>IFERROR(_xlfn.XLOOKUP($B333,'Cronog. e Histog.'!$BZ:$BZ,'Cronog. e Histog.'!DI:DI),"")</f>
        <v>0</v>
      </c>
      <c r="AO333" s="144">
        <f>IFERROR(_xlfn.XLOOKUP($B333,'Cronog. e Histog.'!$BZ:$BZ,'Cronog. e Histog.'!DJ:DJ),"")</f>
        <v>0</v>
      </c>
      <c r="AP333" s="144">
        <f>IFERROR(_xlfn.XLOOKUP($B333,'Cronog. e Histog.'!$BZ:$BZ,'Cronog. e Histog.'!DK:DK),"")</f>
        <v>0</v>
      </c>
      <c r="AQ333" s="144">
        <f>IFERROR(_xlfn.XLOOKUP($B333,'Cronog. e Histog.'!$BZ:$BZ,'Cronog. e Histog.'!DL:DL),"")</f>
        <v>0</v>
      </c>
      <c r="AR333" s="144">
        <f>IFERROR(_xlfn.XLOOKUP($B333,'Cronog. e Histog.'!$BZ:$BZ,'Cronog. e Histog.'!DM:DM),"")</f>
        <v>0</v>
      </c>
      <c r="AS333" s="144">
        <f>IFERROR(_xlfn.XLOOKUP($B333,'Cronog. e Histog.'!$BZ:$BZ,'Cronog. e Histog.'!DN:DN),"")</f>
        <v>0</v>
      </c>
      <c r="AT333" s="144">
        <f>IFERROR(_xlfn.XLOOKUP($B333,'Cronog. e Histog.'!$BZ:$BZ,'Cronog. e Histog.'!DO:DO),"")</f>
        <v>0</v>
      </c>
      <c r="AU333" s="144">
        <f>IFERROR(_xlfn.XLOOKUP($B333,'Cronog. e Histog.'!$BZ:$BZ,'Cronog. e Histog.'!DP:DP),"")</f>
        <v>0</v>
      </c>
      <c r="AV333" s="144">
        <f>IFERROR(_xlfn.XLOOKUP($B333,'Cronog. e Histog.'!$BZ:$BZ,'Cronog. e Histog.'!DQ:DQ),"")</f>
        <v>0</v>
      </c>
      <c r="AW333" s="144">
        <f>IFERROR(_xlfn.XLOOKUP($B333,'Cronog. e Histog.'!$BZ:$BZ,'Cronog. e Histog.'!DR:DR),"")</f>
        <v>0</v>
      </c>
      <c r="AX333" s="144">
        <f>IFERROR(_xlfn.XLOOKUP($B333,'Cronog. e Histog.'!$BZ:$BZ,'Cronog. e Histog.'!DS:DS),"")</f>
        <v>0</v>
      </c>
      <c r="AY333" s="144">
        <f>IFERROR(_xlfn.XLOOKUP($B333,'Cronog. e Histog.'!$BZ:$BZ,'Cronog. e Histog.'!DT:DT),"")</f>
        <v>0</v>
      </c>
      <c r="AZ333" s="144">
        <f>IFERROR(_xlfn.XLOOKUP($B333,'Cronog. e Histog.'!$BZ:$BZ,'Cronog. e Histog.'!DU:DU),"")</f>
        <v>0</v>
      </c>
      <c r="BA333" s="144">
        <f>IFERROR(_xlfn.XLOOKUP($B333,'Cronog. e Histog.'!$BZ:$BZ,'Cronog. e Histog.'!DV:DV),"")</f>
        <v>0</v>
      </c>
      <c r="BB333" s="144">
        <f>IFERROR(_xlfn.XLOOKUP($B333,'Cronog. e Histog.'!$BZ:$BZ,'Cronog. e Histog.'!DW:DW),"")</f>
        <v>0</v>
      </c>
      <c r="BC333" s="144">
        <f>IFERROR(_xlfn.XLOOKUP($B333,'Cronog. e Histog.'!$BZ:$BZ,'Cronog. e Histog.'!DX:DX),"")</f>
        <v>0</v>
      </c>
      <c r="BD333" s="144">
        <f>IFERROR(_xlfn.XLOOKUP($B333,'Cronog. e Histog.'!$BZ:$BZ,'Cronog. e Histog.'!DY:DY),"")</f>
        <v>0</v>
      </c>
      <c r="BE333" s="144">
        <f>IFERROR(_xlfn.XLOOKUP($B333,'Cronog. e Histog.'!$BZ:$BZ,'Cronog. e Histog.'!DZ:DZ),"")</f>
        <v>0</v>
      </c>
      <c r="BF333" s="144">
        <f>IFERROR(_xlfn.XLOOKUP($B333,'Cronog. e Histog.'!$BZ:$BZ,'Cronog. e Histog.'!EA:EA),"")</f>
        <v>0</v>
      </c>
      <c r="BG333" s="144">
        <f>IFERROR(_xlfn.XLOOKUP($B333,'Cronog. e Histog.'!$BZ:$BZ,'Cronog. e Histog.'!EB:EB),"")</f>
        <v>0</v>
      </c>
      <c r="BH333" s="144">
        <f>IFERROR(_xlfn.XLOOKUP($B333,'Cronog. e Histog.'!$BZ:$BZ,'Cronog. e Histog.'!EC:EC),"")</f>
        <v>0</v>
      </c>
      <c r="BI333" s="144">
        <f>IFERROR(_xlfn.XLOOKUP($B333,'Cronog. e Histog.'!$BZ:$BZ,'Cronog. e Histog.'!ED:ED),"")</f>
        <v>0</v>
      </c>
      <c r="BJ333" s="144">
        <f>IFERROR(_xlfn.XLOOKUP($B333,'Cronog. e Histog.'!$BZ:$BZ,'Cronog. e Histog.'!EE:EE),"")</f>
        <v>0</v>
      </c>
      <c r="BK333" s="144">
        <f>IFERROR(_xlfn.XLOOKUP($B333,'Cronog. e Histog.'!$BZ:$BZ,'Cronog. e Histog.'!EF:EF),"")</f>
        <v>0</v>
      </c>
      <c r="BL333" s="144">
        <f>IFERROR(_xlfn.XLOOKUP($B333,'Cronog. e Histog.'!$BZ:$BZ,'Cronog. e Histog.'!EG:EG),"")</f>
        <v>0</v>
      </c>
      <c r="BM333" s="144">
        <f>IFERROR(_xlfn.XLOOKUP($B333,'Cronog. e Histog.'!$BZ:$BZ,'Cronog. e Histog.'!EH:EH),"")</f>
        <v>0</v>
      </c>
      <c r="BN333" s="144">
        <f>IFERROR(_xlfn.XLOOKUP($B333,'Cronog. e Histog.'!$BZ:$BZ,'Cronog. e Histog.'!EI:EI),"")</f>
        <v>0</v>
      </c>
    </row>
    <row r="334" spans="2:66" ht="12" hidden="1" customHeight="1" outlineLevel="1">
      <c r="B334" s="76">
        <v>328</v>
      </c>
      <c r="C334" s="143" t="str">
        <f>IFERROR(VLOOKUP(B334,'Cronog. e Histog.'!$BZ$213:$CA$747,2,0),"")</f>
        <v>AN PL. ENG/ARQ</v>
      </c>
      <c r="D334" s="144">
        <f t="shared" si="6"/>
        <v>0</v>
      </c>
      <c r="E334" s="144">
        <f t="shared" si="7"/>
        <v>0</v>
      </c>
      <c r="F334" s="65"/>
      <c r="G334" s="144">
        <f>IFERROR(_xlfn.XLOOKUP($B334,'Cronog. e Histog.'!$BZ:$BZ,'Cronog. e Histog.'!CB:CB),"")</f>
        <v>0</v>
      </c>
      <c r="H334" s="144">
        <f>IFERROR(_xlfn.XLOOKUP($B334,'Cronog. e Histog.'!$BZ:$BZ,'Cronog. e Histog.'!CC:CC),"")</f>
        <v>0</v>
      </c>
      <c r="I334" s="144">
        <f>IFERROR(_xlfn.XLOOKUP($B334,'Cronog. e Histog.'!$BZ:$BZ,'Cronog. e Histog.'!CD:CD),"")</f>
        <v>0</v>
      </c>
      <c r="J334" s="144">
        <f>IFERROR(_xlfn.XLOOKUP($B334,'Cronog. e Histog.'!$BZ:$BZ,'Cronog. e Histog.'!CE:CE),"")</f>
        <v>0</v>
      </c>
      <c r="K334" s="144">
        <f>IFERROR(_xlfn.XLOOKUP($B334,'Cronog. e Histog.'!$BZ:$BZ,'Cronog. e Histog.'!CF:CF),"")</f>
        <v>0</v>
      </c>
      <c r="L334" s="144">
        <f>IFERROR(_xlfn.XLOOKUP($B334,'Cronog. e Histog.'!$BZ:$BZ,'Cronog. e Histog.'!CG:CG),"")</f>
        <v>0</v>
      </c>
      <c r="M334" s="144">
        <f>IFERROR(_xlfn.XLOOKUP($B334,'Cronog. e Histog.'!$BZ:$BZ,'Cronog. e Histog.'!CH:CH),"")</f>
        <v>0</v>
      </c>
      <c r="N334" s="144">
        <f>IFERROR(_xlfn.XLOOKUP($B334,'Cronog. e Histog.'!$BZ:$BZ,'Cronog. e Histog.'!CI:CI),"")</f>
        <v>0</v>
      </c>
      <c r="O334" s="144">
        <f>IFERROR(_xlfn.XLOOKUP($B334,'Cronog. e Histog.'!$BZ:$BZ,'Cronog. e Histog.'!CJ:CJ),"")</f>
        <v>0</v>
      </c>
      <c r="P334" s="144">
        <f>IFERROR(_xlfn.XLOOKUP($B334,'Cronog. e Histog.'!$BZ:$BZ,'Cronog. e Histog.'!CK:CK),"")</f>
        <v>0</v>
      </c>
      <c r="Q334" s="144">
        <f>IFERROR(_xlfn.XLOOKUP($B334,'Cronog. e Histog.'!$BZ:$BZ,'Cronog. e Histog.'!CL:CL),"")</f>
        <v>0</v>
      </c>
      <c r="R334" s="144">
        <f>IFERROR(_xlfn.XLOOKUP($B334,'Cronog. e Histog.'!$BZ:$BZ,'Cronog. e Histog.'!CM:CM),"")</f>
        <v>0</v>
      </c>
      <c r="S334" s="144">
        <f>IFERROR(_xlfn.XLOOKUP($B334,'Cronog. e Histog.'!$BZ:$BZ,'Cronog. e Histog.'!CN:CN),"")</f>
        <v>0</v>
      </c>
      <c r="T334" s="144">
        <f>IFERROR(_xlfn.XLOOKUP($B334,'Cronog. e Histog.'!$BZ:$BZ,'Cronog. e Histog.'!CO:CO),"")</f>
        <v>0</v>
      </c>
      <c r="U334" s="144">
        <f>IFERROR(_xlfn.XLOOKUP($B334,'Cronog. e Histog.'!$BZ:$BZ,'Cronog. e Histog.'!CP:CP),"")</f>
        <v>0</v>
      </c>
      <c r="V334" s="144">
        <f>IFERROR(_xlfn.XLOOKUP($B334,'Cronog. e Histog.'!$BZ:$BZ,'Cronog. e Histog.'!CQ:CQ),"")</f>
        <v>0</v>
      </c>
      <c r="W334" s="144">
        <f>IFERROR(_xlfn.XLOOKUP($B334,'Cronog. e Histog.'!$BZ:$BZ,'Cronog. e Histog.'!CR:CR),"")</f>
        <v>0</v>
      </c>
      <c r="X334" s="144">
        <f>IFERROR(_xlfn.XLOOKUP($B334,'Cronog. e Histog.'!$BZ:$BZ,'Cronog. e Histog.'!CS:CS),"")</f>
        <v>0</v>
      </c>
      <c r="Y334" s="144">
        <f>IFERROR(_xlfn.XLOOKUP($B334,'Cronog. e Histog.'!$BZ:$BZ,'Cronog. e Histog.'!CT:CT),"")</f>
        <v>0</v>
      </c>
      <c r="Z334" s="144">
        <f>IFERROR(_xlfn.XLOOKUP($B334,'Cronog. e Histog.'!$BZ:$BZ,'Cronog. e Histog.'!CU:CU),"")</f>
        <v>0</v>
      </c>
      <c r="AA334" s="144">
        <f>IFERROR(_xlfn.XLOOKUP($B334,'Cronog. e Histog.'!$BZ:$BZ,'Cronog. e Histog.'!CV:CV),"")</f>
        <v>0</v>
      </c>
      <c r="AB334" s="144">
        <f>IFERROR(_xlfn.XLOOKUP($B334,'Cronog. e Histog.'!$BZ:$BZ,'Cronog. e Histog.'!CW:CW),"")</f>
        <v>0</v>
      </c>
      <c r="AC334" s="144">
        <f>IFERROR(_xlfn.XLOOKUP($B334,'Cronog. e Histog.'!$BZ:$BZ,'Cronog. e Histog.'!CX:CX),"")</f>
        <v>0</v>
      </c>
      <c r="AD334" s="144">
        <f>IFERROR(_xlfn.XLOOKUP($B334,'Cronog. e Histog.'!$BZ:$BZ,'Cronog. e Histog.'!CY:CY),"")</f>
        <v>0</v>
      </c>
      <c r="AE334" s="144">
        <f>IFERROR(_xlfn.XLOOKUP($B334,'Cronog. e Histog.'!$BZ:$BZ,'Cronog. e Histog.'!CZ:CZ),"")</f>
        <v>0</v>
      </c>
      <c r="AF334" s="144">
        <f>IFERROR(_xlfn.XLOOKUP($B334,'Cronog. e Histog.'!$BZ:$BZ,'Cronog. e Histog.'!DA:DA),"")</f>
        <v>0</v>
      </c>
      <c r="AG334" s="144">
        <f>IFERROR(_xlfn.XLOOKUP($B334,'Cronog. e Histog.'!$BZ:$BZ,'Cronog. e Histog.'!DB:DB),"")</f>
        <v>0</v>
      </c>
      <c r="AH334" s="144">
        <f>IFERROR(_xlfn.XLOOKUP($B334,'Cronog. e Histog.'!$BZ:$BZ,'Cronog. e Histog.'!DC:DC),"")</f>
        <v>0</v>
      </c>
      <c r="AI334" s="144">
        <f>IFERROR(_xlfn.XLOOKUP($B334,'Cronog. e Histog.'!$BZ:$BZ,'Cronog. e Histog.'!DD:DD),"")</f>
        <v>0</v>
      </c>
      <c r="AJ334" s="144">
        <f>IFERROR(_xlfn.XLOOKUP($B334,'Cronog. e Histog.'!$BZ:$BZ,'Cronog. e Histog.'!DE:DE),"")</f>
        <v>0</v>
      </c>
      <c r="AK334" s="144">
        <f>IFERROR(_xlfn.XLOOKUP($B334,'Cronog. e Histog.'!$BZ:$BZ,'Cronog. e Histog.'!DF:DF),"")</f>
        <v>0</v>
      </c>
      <c r="AL334" s="144">
        <f>IFERROR(_xlfn.XLOOKUP($B334,'Cronog. e Histog.'!$BZ:$BZ,'Cronog. e Histog.'!DG:DG),"")</f>
        <v>0</v>
      </c>
      <c r="AM334" s="144">
        <f>IFERROR(_xlfn.XLOOKUP($B334,'Cronog. e Histog.'!$BZ:$BZ,'Cronog. e Histog.'!DH:DH),"")</f>
        <v>0</v>
      </c>
      <c r="AN334" s="144">
        <f>IFERROR(_xlfn.XLOOKUP($B334,'Cronog. e Histog.'!$BZ:$BZ,'Cronog. e Histog.'!DI:DI),"")</f>
        <v>0</v>
      </c>
      <c r="AO334" s="144">
        <f>IFERROR(_xlfn.XLOOKUP($B334,'Cronog. e Histog.'!$BZ:$BZ,'Cronog. e Histog.'!DJ:DJ),"")</f>
        <v>0</v>
      </c>
      <c r="AP334" s="144">
        <f>IFERROR(_xlfn.XLOOKUP($B334,'Cronog. e Histog.'!$BZ:$BZ,'Cronog. e Histog.'!DK:DK),"")</f>
        <v>0</v>
      </c>
      <c r="AQ334" s="144">
        <f>IFERROR(_xlfn.XLOOKUP($B334,'Cronog. e Histog.'!$BZ:$BZ,'Cronog. e Histog.'!DL:DL),"")</f>
        <v>0</v>
      </c>
      <c r="AR334" s="144">
        <f>IFERROR(_xlfn.XLOOKUP($B334,'Cronog. e Histog.'!$BZ:$BZ,'Cronog. e Histog.'!DM:DM),"")</f>
        <v>0</v>
      </c>
      <c r="AS334" s="144">
        <f>IFERROR(_xlfn.XLOOKUP($B334,'Cronog. e Histog.'!$BZ:$BZ,'Cronog. e Histog.'!DN:DN),"")</f>
        <v>0</v>
      </c>
      <c r="AT334" s="144">
        <f>IFERROR(_xlfn.XLOOKUP($B334,'Cronog. e Histog.'!$BZ:$BZ,'Cronog. e Histog.'!DO:DO),"")</f>
        <v>0</v>
      </c>
      <c r="AU334" s="144">
        <f>IFERROR(_xlfn.XLOOKUP($B334,'Cronog. e Histog.'!$BZ:$BZ,'Cronog. e Histog.'!DP:DP),"")</f>
        <v>0</v>
      </c>
      <c r="AV334" s="144">
        <f>IFERROR(_xlfn.XLOOKUP($B334,'Cronog. e Histog.'!$BZ:$BZ,'Cronog. e Histog.'!DQ:DQ),"")</f>
        <v>0</v>
      </c>
      <c r="AW334" s="144">
        <f>IFERROR(_xlfn.XLOOKUP($B334,'Cronog. e Histog.'!$BZ:$BZ,'Cronog. e Histog.'!DR:DR),"")</f>
        <v>0</v>
      </c>
      <c r="AX334" s="144">
        <f>IFERROR(_xlfn.XLOOKUP($B334,'Cronog. e Histog.'!$BZ:$BZ,'Cronog. e Histog.'!DS:DS),"")</f>
        <v>0</v>
      </c>
      <c r="AY334" s="144">
        <f>IFERROR(_xlfn.XLOOKUP($B334,'Cronog. e Histog.'!$BZ:$BZ,'Cronog. e Histog.'!DT:DT),"")</f>
        <v>0</v>
      </c>
      <c r="AZ334" s="144">
        <f>IFERROR(_xlfn.XLOOKUP($B334,'Cronog. e Histog.'!$BZ:$BZ,'Cronog. e Histog.'!DU:DU),"")</f>
        <v>0</v>
      </c>
      <c r="BA334" s="144">
        <f>IFERROR(_xlfn.XLOOKUP($B334,'Cronog. e Histog.'!$BZ:$BZ,'Cronog. e Histog.'!DV:DV),"")</f>
        <v>0</v>
      </c>
      <c r="BB334" s="144">
        <f>IFERROR(_xlfn.XLOOKUP($B334,'Cronog. e Histog.'!$BZ:$BZ,'Cronog. e Histog.'!DW:DW),"")</f>
        <v>0</v>
      </c>
      <c r="BC334" s="144">
        <f>IFERROR(_xlfn.XLOOKUP($B334,'Cronog. e Histog.'!$BZ:$BZ,'Cronog. e Histog.'!DX:DX),"")</f>
        <v>0</v>
      </c>
      <c r="BD334" s="144">
        <f>IFERROR(_xlfn.XLOOKUP($B334,'Cronog. e Histog.'!$BZ:$BZ,'Cronog. e Histog.'!DY:DY),"")</f>
        <v>0</v>
      </c>
      <c r="BE334" s="144">
        <f>IFERROR(_xlfn.XLOOKUP($B334,'Cronog. e Histog.'!$BZ:$BZ,'Cronog. e Histog.'!DZ:DZ),"")</f>
        <v>0</v>
      </c>
      <c r="BF334" s="144">
        <f>IFERROR(_xlfn.XLOOKUP($B334,'Cronog. e Histog.'!$BZ:$BZ,'Cronog. e Histog.'!EA:EA),"")</f>
        <v>0</v>
      </c>
      <c r="BG334" s="144">
        <f>IFERROR(_xlfn.XLOOKUP($B334,'Cronog. e Histog.'!$BZ:$BZ,'Cronog. e Histog.'!EB:EB),"")</f>
        <v>0</v>
      </c>
      <c r="BH334" s="144">
        <f>IFERROR(_xlfn.XLOOKUP($B334,'Cronog. e Histog.'!$BZ:$BZ,'Cronog. e Histog.'!EC:EC),"")</f>
        <v>0</v>
      </c>
      <c r="BI334" s="144">
        <f>IFERROR(_xlfn.XLOOKUP($B334,'Cronog. e Histog.'!$BZ:$BZ,'Cronog. e Histog.'!ED:ED),"")</f>
        <v>0</v>
      </c>
      <c r="BJ334" s="144">
        <f>IFERROR(_xlfn.XLOOKUP($B334,'Cronog. e Histog.'!$BZ:$BZ,'Cronog. e Histog.'!EE:EE),"")</f>
        <v>0</v>
      </c>
      <c r="BK334" s="144">
        <f>IFERROR(_xlfn.XLOOKUP($B334,'Cronog. e Histog.'!$BZ:$BZ,'Cronog. e Histog.'!EF:EF),"")</f>
        <v>0</v>
      </c>
      <c r="BL334" s="144">
        <f>IFERROR(_xlfn.XLOOKUP($B334,'Cronog. e Histog.'!$BZ:$BZ,'Cronog. e Histog.'!EG:EG),"")</f>
        <v>0</v>
      </c>
      <c r="BM334" s="144">
        <f>IFERROR(_xlfn.XLOOKUP($B334,'Cronog. e Histog.'!$BZ:$BZ,'Cronog. e Histog.'!EH:EH),"")</f>
        <v>0</v>
      </c>
      <c r="BN334" s="144">
        <f>IFERROR(_xlfn.XLOOKUP($B334,'Cronog. e Histog.'!$BZ:$BZ,'Cronog. e Histog.'!EI:EI),"")</f>
        <v>0</v>
      </c>
    </row>
    <row r="335" spans="2:66" ht="12" hidden="1" customHeight="1" outlineLevel="1">
      <c r="B335" s="76">
        <v>329</v>
      </c>
      <c r="C335" s="143" t="str">
        <f>IFERROR(VLOOKUP(B335,'Cronog. e Histog.'!$BZ$213:$CA$747,2,0),"")</f>
        <v>AN JR. ENG/ARQ</v>
      </c>
      <c r="D335" s="144">
        <f t="shared" si="6"/>
        <v>0</v>
      </c>
      <c r="E335" s="144">
        <f t="shared" si="7"/>
        <v>0</v>
      </c>
      <c r="F335" s="65"/>
      <c r="G335" s="144">
        <f>IFERROR(_xlfn.XLOOKUP($B335,'Cronog. e Histog.'!$BZ:$BZ,'Cronog. e Histog.'!CB:CB),"")</f>
        <v>0</v>
      </c>
      <c r="H335" s="144">
        <f>IFERROR(_xlfn.XLOOKUP($B335,'Cronog. e Histog.'!$BZ:$BZ,'Cronog. e Histog.'!CC:CC),"")</f>
        <v>0</v>
      </c>
      <c r="I335" s="144">
        <f>IFERROR(_xlfn.XLOOKUP($B335,'Cronog. e Histog.'!$BZ:$BZ,'Cronog. e Histog.'!CD:CD),"")</f>
        <v>0</v>
      </c>
      <c r="J335" s="144">
        <f>IFERROR(_xlfn.XLOOKUP($B335,'Cronog. e Histog.'!$BZ:$BZ,'Cronog. e Histog.'!CE:CE),"")</f>
        <v>0</v>
      </c>
      <c r="K335" s="144">
        <f>IFERROR(_xlfn.XLOOKUP($B335,'Cronog. e Histog.'!$BZ:$BZ,'Cronog. e Histog.'!CF:CF),"")</f>
        <v>0</v>
      </c>
      <c r="L335" s="144">
        <f>IFERROR(_xlfn.XLOOKUP($B335,'Cronog. e Histog.'!$BZ:$BZ,'Cronog. e Histog.'!CG:CG),"")</f>
        <v>0</v>
      </c>
      <c r="M335" s="144">
        <f>IFERROR(_xlfn.XLOOKUP($B335,'Cronog. e Histog.'!$BZ:$BZ,'Cronog. e Histog.'!CH:CH),"")</f>
        <v>0</v>
      </c>
      <c r="N335" s="144">
        <f>IFERROR(_xlfn.XLOOKUP($B335,'Cronog. e Histog.'!$BZ:$BZ,'Cronog. e Histog.'!CI:CI),"")</f>
        <v>0</v>
      </c>
      <c r="O335" s="144">
        <f>IFERROR(_xlfn.XLOOKUP($B335,'Cronog. e Histog.'!$BZ:$BZ,'Cronog. e Histog.'!CJ:CJ),"")</f>
        <v>0</v>
      </c>
      <c r="P335" s="144">
        <f>IFERROR(_xlfn.XLOOKUP($B335,'Cronog. e Histog.'!$BZ:$BZ,'Cronog. e Histog.'!CK:CK),"")</f>
        <v>0</v>
      </c>
      <c r="Q335" s="144">
        <f>IFERROR(_xlfn.XLOOKUP($B335,'Cronog. e Histog.'!$BZ:$BZ,'Cronog. e Histog.'!CL:CL),"")</f>
        <v>0</v>
      </c>
      <c r="R335" s="144">
        <f>IFERROR(_xlfn.XLOOKUP($B335,'Cronog. e Histog.'!$BZ:$BZ,'Cronog. e Histog.'!CM:CM),"")</f>
        <v>0</v>
      </c>
      <c r="S335" s="144">
        <f>IFERROR(_xlfn.XLOOKUP($B335,'Cronog. e Histog.'!$BZ:$BZ,'Cronog. e Histog.'!CN:CN),"")</f>
        <v>0</v>
      </c>
      <c r="T335" s="144">
        <f>IFERROR(_xlfn.XLOOKUP($B335,'Cronog. e Histog.'!$BZ:$BZ,'Cronog. e Histog.'!CO:CO),"")</f>
        <v>0</v>
      </c>
      <c r="U335" s="144">
        <f>IFERROR(_xlfn.XLOOKUP($B335,'Cronog. e Histog.'!$BZ:$BZ,'Cronog. e Histog.'!CP:CP),"")</f>
        <v>0</v>
      </c>
      <c r="V335" s="144">
        <f>IFERROR(_xlfn.XLOOKUP($B335,'Cronog. e Histog.'!$BZ:$BZ,'Cronog. e Histog.'!CQ:CQ),"")</f>
        <v>0</v>
      </c>
      <c r="W335" s="144">
        <f>IFERROR(_xlfn.XLOOKUP($B335,'Cronog. e Histog.'!$BZ:$BZ,'Cronog. e Histog.'!CR:CR),"")</f>
        <v>0</v>
      </c>
      <c r="X335" s="144">
        <f>IFERROR(_xlfn.XLOOKUP($B335,'Cronog. e Histog.'!$BZ:$BZ,'Cronog. e Histog.'!CS:CS),"")</f>
        <v>0</v>
      </c>
      <c r="Y335" s="144">
        <f>IFERROR(_xlfn.XLOOKUP($B335,'Cronog. e Histog.'!$BZ:$BZ,'Cronog. e Histog.'!CT:CT),"")</f>
        <v>0</v>
      </c>
      <c r="Z335" s="144">
        <f>IFERROR(_xlfn.XLOOKUP($B335,'Cronog. e Histog.'!$BZ:$BZ,'Cronog. e Histog.'!CU:CU),"")</f>
        <v>0</v>
      </c>
      <c r="AA335" s="144">
        <f>IFERROR(_xlfn.XLOOKUP($B335,'Cronog. e Histog.'!$BZ:$BZ,'Cronog. e Histog.'!CV:CV),"")</f>
        <v>0</v>
      </c>
      <c r="AB335" s="144">
        <f>IFERROR(_xlfn.XLOOKUP($B335,'Cronog. e Histog.'!$BZ:$BZ,'Cronog. e Histog.'!CW:CW),"")</f>
        <v>0</v>
      </c>
      <c r="AC335" s="144">
        <f>IFERROR(_xlfn.XLOOKUP($B335,'Cronog. e Histog.'!$BZ:$BZ,'Cronog. e Histog.'!CX:CX),"")</f>
        <v>0</v>
      </c>
      <c r="AD335" s="144">
        <f>IFERROR(_xlfn.XLOOKUP($B335,'Cronog. e Histog.'!$BZ:$BZ,'Cronog. e Histog.'!CY:CY),"")</f>
        <v>0</v>
      </c>
      <c r="AE335" s="144">
        <f>IFERROR(_xlfn.XLOOKUP($B335,'Cronog. e Histog.'!$BZ:$BZ,'Cronog. e Histog.'!CZ:CZ),"")</f>
        <v>0</v>
      </c>
      <c r="AF335" s="144">
        <f>IFERROR(_xlfn.XLOOKUP($B335,'Cronog. e Histog.'!$BZ:$BZ,'Cronog. e Histog.'!DA:DA),"")</f>
        <v>0</v>
      </c>
      <c r="AG335" s="144">
        <f>IFERROR(_xlfn.XLOOKUP($B335,'Cronog. e Histog.'!$BZ:$BZ,'Cronog. e Histog.'!DB:DB),"")</f>
        <v>0</v>
      </c>
      <c r="AH335" s="144">
        <f>IFERROR(_xlfn.XLOOKUP($B335,'Cronog. e Histog.'!$BZ:$BZ,'Cronog. e Histog.'!DC:DC),"")</f>
        <v>0</v>
      </c>
      <c r="AI335" s="144">
        <f>IFERROR(_xlfn.XLOOKUP($B335,'Cronog. e Histog.'!$BZ:$BZ,'Cronog. e Histog.'!DD:DD),"")</f>
        <v>0</v>
      </c>
      <c r="AJ335" s="144">
        <f>IFERROR(_xlfn.XLOOKUP($B335,'Cronog. e Histog.'!$BZ:$BZ,'Cronog. e Histog.'!DE:DE),"")</f>
        <v>0</v>
      </c>
      <c r="AK335" s="144">
        <f>IFERROR(_xlfn.XLOOKUP($B335,'Cronog. e Histog.'!$BZ:$BZ,'Cronog. e Histog.'!DF:DF),"")</f>
        <v>0</v>
      </c>
      <c r="AL335" s="144">
        <f>IFERROR(_xlfn.XLOOKUP($B335,'Cronog. e Histog.'!$BZ:$BZ,'Cronog. e Histog.'!DG:DG),"")</f>
        <v>0</v>
      </c>
      <c r="AM335" s="144">
        <f>IFERROR(_xlfn.XLOOKUP($B335,'Cronog. e Histog.'!$BZ:$BZ,'Cronog. e Histog.'!DH:DH),"")</f>
        <v>0</v>
      </c>
      <c r="AN335" s="144">
        <f>IFERROR(_xlfn.XLOOKUP($B335,'Cronog. e Histog.'!$BZ:$BZ,'Cronog. e Histog.'!DI:DI),"")</f>
        <v>0</v>
      </c>
      <c r="AO335" s="144">
        <f>IFERROR(_xlfn.XLOOKUP($B335,'Cronog. e Histog.'!$BZ:$BZ,'Cronog. e Histog.'!DJ:DJ),"")</f>
        <v>0</v>
      </c>
      <c r="AP335" s="144">
        <f>IFERROR(_xlfn.XLOOKUP($B335,'Cronog. e Histog.'!$BZ:$BZ,'Cronog. e Histog.'!DK:DK),"")</f>
        <v>0</v>
      </c>
      <c r="AQ335" s="144">
        <f>IFERROR(_xlfn.XLOOKUP($B335,'Cronog. e Histog.'!$BZ:$BZ,'Cronog. e Histog.'!DL:DL),"")</f>
        <v>0</v>
      </c>
      <c r="AR335" s="144">
        <f>IFERROR(_xlfn.XLOOKUP($B335,'Cronog. e Histog.'!$BZ:$BZ,'Cronog. e Histog.'!DM:DM),"")</f>
        <v>0</v>
      </c>
      <c r="AS335" s="144">
        <f>IFERROR(_xlfn.XLOOKUP($B335,'Cronog. e Histog.'!$BZ:$BZ,'Cronog. e Histog.'!DN:DN),"")</f>
        <v>0</v>
      </c>
      <c r="AT335" s="144">
        <f>IFERROR(_xlfn.XLOOKUP($B335,'Cronog. e Histog.'!$BZ:$BZ,'Cronog. e Histog.'!DO:DO),"")</f>
        <v>0</v>
      </c>
      <c r="AU335" s="144">
        <f>IFERROR(_xlfn.XLOOKUP($B335,'Cronog. e Histog.'!$BZ:$BZ,'Cronog. e Histog.'!DP:DP),"")</f>
        <v>0</v>
      </c>
      <c r="AV335" s="144">
        <f>IFERROR(_xlfn.XLOOKUP($B335,'Cronog. e Histog.'!$BZ:$BZ,'Cronog. e Histog.'!DQ:DQ),"")</f>
        <v>0</v>
      </c>
      <c r="AW335" s="144">
        <f>IFERROR(_xlfn.XLOOKUP($B335,'Cronog. e Histog.'!$BZ:$BZ,'Cronog. e Histog.'!DR:DR),"")</f>
        <v>0</v>
      </c>
      <c r="AX335" s="144">
        <f>IFERROR(_xlfn.XLOOKUP($B335,'Cronog. e Histog.'!$BZ:$BZ,'Cronog. e Histog.'!DS:DS),"")</f>
        <v>0</v>
      </c>
      <c r="AY335" s="144">
        <f>IFERROR(_xlfn.XLOOKUP($B335,'Cronog. e Histog.'!$BZ:$BZ,'Cronog. e Histog.'!DT:DT),"")</f>
        <v>0</v>
      </c>
      <c r="AZ335" s="144">
        <f>IFERROR(_xlfn.XLOOKUP($B335,'Cronog. e Histog.'!$BZ:$BZ,'Cronog. e Histog.'!DU:DU),"")</f>
        <v>0</v>
      </c>
      <c r="BA335" s="144">
        <f>IFERROR(_xlfn.XLOOKUP($B335,'Cronog. e Histog.'!$BZ:$BZ,'Cronog. e Histog.'!DV:DV),"")</f>
        <v>0</v>
      </c>
      <c r="BB335" s="144">
        <f>IFERROR(_xlfn.XLOOKUP($B335,'Cronog. e Histog.'!$BZ:$BZ,'Cronog. e Histog.'!DW:DW),"")</f>
        <v>0</v>
      </c>
      <c r="BC335" s="144">
        <f>IFERROR(_xlfn.XLOOKUP($B335,'Cronog. e Histog.'!$BZ:$BZ,'Cronog. e Histog.'!DX:DX),"")</f>
        <v>0</v>
      </c>
      <c r="BD335" s="144">
        <f>IFERROR(_xlfn.XLOOKUP($B335,'Cronog. e Histog.'!$BZ:$BZ,'Cronog. e Histog.'!DY:DY),"")</f>
        <v>0</v>
      </c>
      <c r="BE335" s="144">
        <f>IFERROR(_xlfn.XLOOKUP($B335,'Cronog. e Histog.'!$BZ:$BZ,'Cronog. e Histog.'!DZ:DZ),"")</f>
        <v>0</v>
      </c>
      <c r="BF335" s="144">
        <f>IFERROR(_xlfn.XLOOKUP($B335,'Cronog. e Histog.'!$BZ:$BZ,'Cronog. e Histog.'!EA:EA),"")</f>
        <v>0</v>
      </c>
      <c r="BG335" s="144">
        <f>IFERROR(_xlfn.XLOOKUP($B335,'Cronog. e Histog.'!$BZ:$BZ,'Cronog. e Histog.'!EB:EB),"")</f>
        <v>0</v>
      </c>
      <c r="BH335" s="144">
        <f>IFERROR(_xlfn.XLOOKUP($B335,'Cronog. e Histog.'!$BZ:$BZ,'Cronog. e Histog.'!EC:EC),"")</f>
        <v>0</v>
      </c>
      <c r="BI335" s="144">
        <f>IFERROR(_xlfn.XLOOKUP($B335,'Cronog. e Histog.'!$BZ:$BZ,'Cronog. e Histog.'!ED:ED),"")</f>
        <v>0</v>
      </c>
      <c r="BJ335" s="144">
        <f>IFERROR(_xlfn.XLOOKUP($B335,'Cronog. e Histog.'!$BZ:$BZ,'Cronog. e Histog.'!EE:EE),"")</f>
        <v>0</v>
      </c>
      <c r="BK335" s="144">
        <f>IFERROR(_xlfn.XLOOKUP($B335,'Cronog. e Histog.'!$BZ:$BZ,'Cronog. e Histog.'!EF:EF),"")</f>
        <v>0</v>
      </c>
      <c r="BL335" s="144">
        <f>IFERROR(_xlfn.XLOOKUP($B335,'Cronog. e Histog.'!$BZ:$BZ,'Cronog. e Histog.'!EG:EG),"")</f>
        <v>0</v>
      </c>
      <c r="BM335" s="144">
        <f>IFERROR(_xlfn.XLOOKUP($B335,'Cronog. e Histog.'!$BZ:$BZ,'Cronog. e Histog.'!EH:EH),"")</f>
        <v>0</v>
      </c>
      <c r="BN335" s="144">
        <f>IFERROR(_xlfn.XLOOKUP($B335,'Cronog. e Histog.'!$BZ:$BZ,'Cronog. e Histog.'!EI:EI),"")</f>
        <v>0</v>
      </c>
    </row>
    <row r="336" spans="2:66" ht="12" hidden="1" customHeight="1" outlineLevel="1">
      <c r="B336" s="76">
        <v>330</v>
      </c>
      <c r="C336" s="143" t="str">
        <f>IFERROR(VLOOKUP(B336,'Cronog. e Histog.'!$BZ$213:$CA$747,2,0),"")</f>
        <v>AN SR. ADM/CRP</v>
      </c>
      <c r="D336" s="144">
        <f t="shared" si="6"/>
        <v>0</v>
      </c>
      <c r="E336" s="144">
        <f t="shared" si="7"/>
        <v>0</v>
      </c>
      <c r="F336" s="65"/>
      <c r="G336" s="144">
        <f>IFERROR(_xlfn.XLOOKUP($B336,'Cronog. e Histog.'!$BZ:$BZ,'Cronog. e Histog.'!CB:CB),"")</f>
        <v>0</v>
      </c>
      <c r="H336" s="144">
        <f>IFERROR(_xlfn.XLOOKUP($B336,'Cronog. e Histog.'!$BZ:$BZ,'Cronog. e Histog.'!CC:CC),"")</f>
        <v>0</v>
      </c>
      <c r="I336" s="144">
        <f>IFERROR(_xlfn.XLOOKUP($B336,'Cronog. e Histog.'!$BZ:$BZ,'Cronog. e Histog.'!CD:CD),"")</f>
        <v>0</v>
      </c>
      <c r="J336" s="144">
        <f>IFERROR(_xlfn.XLOOKUP($B336,'Cronog. e Histog.'!$BZ:$BZ,'Cronog. e Histog.'!CE:CE),"")</f>
        <v>0</v>
      </c>
      <c r="K336" s="144">
        <f>IFERROR(_xlfn.XLOOKUP($B336,'Cronog. e Histog.'!$BZ:$BZ,'Cronog. e Histog.'!CF:CF),"")</f>
        <v>0</v>
      </c>
      <c r="L336" s="144">
        <f>IFERROR(_xlfn.XLOOKUP($B336,'Cronog. e Histog.'!$BZ:$BZ,'Cronog. e Histog.'!CG:CG),"")</f>
        <v>0</v>
      </c>
      <c r="M336" s="144">
        <f>IFERROR(_xlfn.XLOOKUP($B336,'Cronog. e Histog.'!$BZ:$BZ,'Cronog. e Histog.'!CH:CH),"")</f>
        <v>0</v>
      </c>
      <c r="N336" s="144">
        <f>IFERROR(_xlfn.XLOOKUP($B336,'Cronog. e Histog.'!$BZ:$BZ,'Cronog. e Histog.'!CI:CI),"")</f>
        <v>0</v>
      </c>
      <c r="O336" s="144">
        <f>IFERROR(_xlfn.XLOOKUP($B336,'Cronog. e Histog.'!$BZ:$BZ,'Cronog. e Histog.'!CJ:CJ),"")</f>
        <v>0</v>
      </c>
      <c r="P336" s="144">
        <f>IFERROR(_xlfn.XLOOKUP($B336,'Cronog. e Histog.'!$BZ:$BZ,'Cronog. e Histog.'!CK:CK),"")</f>
        <v>0</v>
      </c>
      <c r="Q336" s="144">
        <f>IFERROR(_xlfn.XLOOKUP($B336,'Cronog. e Histog.'!$BZ:$BZ,'Cronog. e Histog.'!CL:CL),"")</f>
        <v>0</v>
      </c>
      <c r="R336" s="144">
        <f>IFERROR(_xlfn.XLOOKUP($B336,'Cronog. e Histog.'!$BZ:$BZ,'Cronog. e Histog.'!CM:CM),"")</f>
        <v>0</v>
      </c>
      <c r="S336" s="144">
        <f>IFERROR(_xlfn.XLOOKUP($B336,'Cronog. e Histog.'!$BZ:$BZ,'Cronog. e Histog.'!CN:CN),"")</f>
        <v>0</v>
      </c>
      <c r="T336" s="144">
        <f>IFERROR(_xlfn.XLOOKUP($B336,'Cronog. e Histog.'!$BZ:$BZ,'Cronog. e Histog.'!CO:CO),"")</f>
        <v>0</v>
      </c>
      <c r="U336" s="144">
        <f>IFERROR(_xlfn.XLOOKUP($B336,'Cronog. e Histog.'!$BZ:$BZ,'Cronog. e Histog.'!CP:CP),"")</f>
        <v>0</v>
      </c>
      <c r="V336" s="144">
        <f>IFERROR(_xlfn.XLOOKUP($B336,'Cronog. e Histog.'!$BZ:$BZ,'Cronog. e Histog.'!CQ:CQ),"")</f>
        <v>0</v>
      </c>
      <c r="W336" s="144">
        <f>IFERROR(_xlfn.XLOOKUP($B336,'Cronog. e Histog.'!$BZ:$BZ,'Cronog. e Histog.'!CR:CR),"")</f>
        <v>0</v>
      </c>
      <c r="X336" s="144">
        <f>IFERROR(_xlfn.XLOOKUP($B336,'Cronog. e Histog.'!$BZ:$BZ,'Cronog. e Histog.'!CS:CS),"")</f>
        <v>0</v>
      </c>
      <c r="Y336" s="144">
        <f>IFERROR(_xlfn.XLOOKUP($B336,'Cronog. e Histog.'!$BZ:$BZ,'Cronog. e Histog.'!CT:CT),"")</f>
        <v>0</v>
      </c>
      <c r="Z336" s="144">
        <f>IFERROR(_xlfn.XLOOKUP($B336,'Cronog. e Histog.'!$BZ:$BZ,'Cronog. e Histog.'!CU:CU),"")</f>
        <v>0</v>
      </c>
      <c r="AA336" s="144">
        <f>IFERROR(_xlfn.XLOOKUP($B336,'Cronog. e Histog.'!$BZ:$BZ,'Cronog. e Histog.'!CV:CV),"")</f>
        <v>0</v>
      </c>
      <c r="AB336" s="144">
        <f>IFERROR(_xlfn.XLOOKUP($B336,'Cronog. e Histog.'!$BZ:$BZ,'Cronog. e Histog.'!CW:CW),"")</f>
        <v>0</v>
      </c>
      <c r="AC336" s="144">
        <f>IFERROR(_xlfn.XLOOKUP($B336,'Cronog. e Histog.'!$BZ:$BZ,'Cronog. e Histog.'!CX:CX),"")</f>
        <v>0</v>
      </c>
      <c r="AD336" s="144">
        <f>IFERROR(_xlfn.XLOOKUP($B336,'Cronog. e Histog.'!$BZ:$BZ,'Cronog. e Histog.'!CY:CY),"")</f>
        <v>0</v>
      </c>
      <c r="AE336" s="144">
        <f>IFERROR(_xlfn.XLOOKUP($B336,'Cronog. e Histog.'!$BZ:$BZ,'Cronog. e Histog.'!CZ:CZ),"")</f>
        <v>0</v>
      </c>
      <c r="AF336" s="144">
        <f>IFERROR(_xlfn.XLOOKUP($B336,'Cronog. e Histog.'!$BZ:$BZ,'Cronog. e Histog.'!DA:DA),"")</f>
        <v>0</v>
      </c>
      <c r="AG336" s="144">
        <f>IFERROR(_xlfn.XLOOKUP($B336,'Cronog. e Histog.'!$BZ:$BZ,'Cronog. e Histog.'!DB:DB),"")</f>
        <v>0</v>
      </c>
      <c r="AH336" s="144">
        <f>IFERROR(_xlfn.XLOOKUP($B336,'Cronog. e Histog.'!$BZ:$BZ,'Cronog. e Histog.'!DC:DC),"")</f>
        <v>0</v>
      </c>
      <c r="AI336" s="144">
        <f>IFERROR(_xlfn.XLOOKUP($B336,'Cronog. e Histog.'!$BZ:$BZ,'Cronog. e Histog.'!DD:DD),"")</f>
        <v>0</v>
      </c>
      <c r="AJ336" s="144">
        <f>IFERROR(_xlfn.XLOOKUP($B336,'Cronog. e Histog.'!$BZ:$BZ,'Cronog. e Histog.'!DE:DE),"")</f>
        <v>0</v>
      </c>
      <c r="AK336" s="144">
        <f>IFERROR(_xlfn.XLOOKUP($B336,'Cronog. e Histog.'!$BZ:$BZ,'Cronog. e Histog.'!DF:DF),"")</f>
        <v>0</v>
      </c>
      <c r="AL336" s="144">
        <f>IFERROR(_xlfn.XLOOKUP($B336,'Cronog. e Histog.'!$BZ:$BZ,'Cronog. e Histog.'!DG:DG),"")</f>
        <v>0</v>
      </c>
      <c r="AM336" s="144">
        <f>IFERROR(_xlfn.XLOOKUP($B336,'Cronog. e Histog.'!$BZ:$BZ,'Cronog. e Histog.'!DH:DH),"")</f>
        <v>0</v>
      </c>
      <c r="AN336" s="144">
        <f>IFERROR(_xlfn.XLOOKUP($B336,'Cronog. e Histog.'!$BZ:$BZ,'Cronog. e Histog.'!DI:DI),"")</f>
        <v>0</v>
      </c>
      <c r="AO336" s="144">
        <f>IFERROR(_xlfn.XLOOKUP($B336,'Cronog. e Histog.'!$BZ:$BZ,'Cronog. e Histog.'!DJ:DJ),"")</f>
        <v>0</v>
      </c>
      <c r="AP336" s="144">
        <f>IFERROR(_xlfn.XLOOKUP($B336,'Cronog. e Histog.'!$BZ:$BZ,'Cronog. e Histog.'!DK:DK),"")</f>
        <v>0</v>
      </c>
      <c r="AQ336" s="144">
        <f>IFERROR(_xlfn.XLOOKUP($B336,'Cronog. e Histog.'!$BZ:$BZ,'Cronog. e Histog.'!DL:DL),"")</f>
        <v>0</v>
      </c>
      <c r="AR336" s="144">
        <f>IFERROR(_xlfn.XLOOKUP($B336,'Cronog. e Histog.'!$BZ:$BZ,'Cronog. e Histog.'!DM:DM),"")</f>
        <v>0</v>
      </c>
      <c r="AS336" s="144">
        <f>IFERROR(_xlfn.XLOOKUP($B336,'Cronog. e Histog.'!$BZ:$BZ,'Cronog. e Histog.'!DN:DN),"")</f>
        <v>0</v>
      </c>
      <c r="AT336" s="144">
        <f>IFERROR(_xlfn.XLOOKUP($B336,'Cronog. e Histog.'!$BZ:$BZ,'Cronog. e Histog.'!DO:DO),"")</f>
        <v>0</v>
      </c>
      <c r="AU336" s="144">
        <f>IFERROR(_xlfn.XLOOKUP($B336,'Cronog. e Histog.'!$BZ:$BZ,'Cronog. e Histog.'!DP:DP),"")</f>
        <v>0</v>
      </c>
      <c r="AV336" s="144">
        <f>IFERROR(_xlfn.XLOOKUP($B336,'Cronog. e Histog.'!$BZ:$BZ,'Cronog. e Histog.'!DQ:DQ),"")</f>
        <v>0</v>
      </c>
      <c r="AW336" s="144">
        <f>IFERROR(_xlfn.XLOOKUP($B336,'Cronog. e Histog.'!$BZ:$BZ,'Cronog. e Histog.'!DR:DR),"")</f>
        <v>0</v>
      </c>
      <c r="AX336" s="144">
        <f>IFERROR(_xlfn.XLOOKUP($B336,'Cronog. e Histog.'!$BZ:$BZ,'Cronog. e Histog.'!DS:DS),"")</f>
        <v>0</v>
      </c>
      <c r="AY336" s="144">
        <f>IFERROR(_xlfn.XLOOKUP($B336,'Cronog. e Histog.'!$BZ:$BZ,'Cronog. e Histog.'!DT:DT),"")</f>
        <v>0</v>
      </c>
      <c r="AZ336" s="144">
        <f>IFERROR(_xlfn.XLOOKUP($B336,'Cronog. e Histog.'!$BZ:$BZ,'Cronog. e Histog.'!DU:DU),"")</f>
        <v>0</v>
      </c>
      <c r="BA336" s="144">
        <f>IFERROR(_xlfn.XLOOKUP($B336,'Cronog. e Histog.'!$BZ:$BZ,'Cronog. e Histog.'!DV:DV),"")</f>
        <v>0</v>
      </c>
      <c r="BB336" s="144">
        <f>IFERROR(_xlfn.XLOOKUP($B336,'Cronog. e Histog.'!$BZ:$BZ,'Cronog. e Histog.'!DW:DW),"")</f>
        <v>0</v>
      </c>
      <c r="BC336" s="144">
        <f>IFERROR(_xlfn.XLOOKUP($B336,'Cronog. e Histog.'!$BZ:$BZ,'Cronog. e Histog.'!DX:DX),"")</f>
        <v>0</v>
      </c>
      <c r="BD336" s="144">
        <f>IFERROR(_xlfn.XLOOKUP($B336,'Cronog. e Histog.'!$BZ:$BZ,'Cronog. e Histog.'!DY:DY),"")</f>
        <v>0</v>
      </c>
      <c r="BE336" s="144">
        <f>IFERROR(_xlfn.XLOOKUP($B336,'Cronog. e Histog.'!$BZ:$BZ,'Cronog. e Histog.'!DZ:DZ),"")</f>
        <v>0</v>
      </c>
      <c r="BF336" s="144">
        <f>IFERROR(_xlfn.XLOOKUP($B336,'Cronog. e Histog.'!$BZ:$BZ,'Cronog. e Histog.'!EA:EA),"")</f>
        <v>0</v>
      </c>
      <c r="BG336" s="144">
        <f>IFERROR(_xlfn.XLOOKUP($B336,'Cronog. e Histog.'!$BZ:$BZ,'Cronog. e Histog.'!EB:EB),"")</f>
        <v>0</v>
      </c>
      <c r="BH336" s="144">
        <f>IFERROR(_xlfn.XLOOKUP($B336,'Cronog. e Histog.'!$BZ:$BZ,'Cronog. e Histog.'!EC:EC),"")</f>
        <v>0</v>
      </c>
      <c r="BI336" s="144">
        <f>IFERROR(_xlfn.XLOOKUP($B336,'Cronog. e Histog.'!$BZ:$BZ,'Cronog. e Histog.'!ED:ED),"")</f>
        <v>0</v>
      </c>
      <c r="BJ336" s="144">
        <f>IFERROR(_xlfn.XLOOKUP($B336,'Cronog. e Histog.'!$BZ:$BZ,'Cronog. e Histog.'!EE:EE),"")</f>
        <v>0</v>
      </c>
      <c r="BK336" s="144">
        <f>IFERROR(_xlfn.XLOOKUP($B336,'Cronog. e Histog.'!$BZ:$BZ,'Cronog. e Histog.'!EF:EF),"")</f>
        <v>0</v>
      </c>
      <c r="BL336" s="144">
        <f>IFERROR(_xlfn.XLOOKUP($B336,'Cronog. e Histog.'!$BZ:$BZ,'Cronog. e Histog.'!EG:EG),"")</f>
        <v>0</v>
      </c>
      <c r="BM336" s="144">
        <f>IFERROR(_xlfn.XLOOKUP($B336,'Cronog. e Histog.'!$BZ:$BZ,'Cronog. e Histog.'!EH:EH),"")</f>
        <v>0</v>
      </c>
      <c r="BN336" s="144">
        <f>IFERROR(_xlfn.XLOOKUP($B336,'Cronog. e Histog.'!$BZ:$BZ,'Cronog. e Histog.'!EI:EI),"")</f>
        <v>0</v>
      </c>
    </row>
    <row r="337" spans="2:66" ht="12" hidden="1" customHeight="1" outlineLevel="1">
      <c r="B337" s="76">
        <v>331</v>
      </c>
      <c r="C337" s="143" t="str">
        <f>IFERROR(VLOOKUP(B337,'Cronog. e Histog.'!$BZ$213:$CA$747,2,0),"")</f>
        <v>AN PL. ADM/CRP</v>
      </c>
      <c r="D337" s="144">
        <f t="shared" si="6"/>
        <v>0</v>
      </c>
      <c r="E337" s="144">
        <f t="shared" si="7"/>
        <v>0</v>
      </c>
      <c r="F337" s="65"/>
      <c r="G337" s="144">
        <f>IFERROR(_xlfn.XLOOKUP($B337,'Cronog. e Histog.'!$BZ:$BZ,'Cronog. e Histog.'!CB:CB),"")</f>
        <v>0</v>
      </c>
      <c r="H337" s="144">
        <f>IFERROR(_xlfn.XLOOKUP($B337,'Cronog. e Histog.'!$BZ:$BZ,'Cronog. e Histog.'!CC:CC),"")</f>
        <v>0</v>
      </c>
      <c r="I337" s="144">
        <f>IFERROR(_xlfn.XLOOKUP($B337,'Cronog. e Histog.'!$BZ:$BZ,'Cronog. e Histog.'!CD:CD),"")</f>
        <v>0</v>
      </c>
      <c r="J337" s="144">
        <f>IFERROR(_xlfn.XLOOKUP($B337,'Cronog. e Histog.'!$BZ:$BZ,'Cronog. e Histog.'!CE:CE),"")</f>
        <v>0</v>
      </c>
      <c r="K337" s="144">
        <f>IFERROR(_xlfn.XLOOKUP($B337,'Cronog. e Histog.'!$BZ:$BZ,'Cronog. e Histog.'!CF:CF),"")</f>
        <v>0</v>
      </c>
      <c r="L337" s="144">
        <f>IFERROR(_xlfn.XLOOKUP($B337,'Cronog. e Histog.'!$BZ:$BZ,'Cronog. e Histog.'!CG:CG),"")</f>
        <v>0</v>
      </c>
      <c r="M337" s="144">
        <f>IFERROR(_xlfn.XLOOKUP($B337,'Cronog. e Histog.'!$BZ:$BZ,'Cronog. e Histog.'!CH:CH),"")</f>
        <v>0</v>
      </c>
      <c r="N337" s="144">
        <f>IFERROR(_xlfn.XLOOKUP($B337,'Cronog. e Histog.'!$BZ:$BZ,'Cronog. e Histog.'!CI:CI),"")</f>
        <v>0</v>
      </c>
      <c r="O337" s="144">
        <f>IFERROR(_xlfn.XLOOKUP($B337,'Cronog. e Histog.'!$BZ:$BZ,'Cronog. e Histog.'!CJ:CJ),"")</f>
        <v>0</v>
      </c>
      <c r="P337" s="144">
        <f>IFERROR(_xlfn.XLOOKUP($B337,'Cronog. e Histog.'!$BZ:$BZ,'Cronog. e Histog.'!CK:CK),"")</f>
        <v>0</v>
      </c>
      <c r="Q337" s="144">
        <f>IFERROR(_xlfn.XLOOKUP($B337,'Cronog. e Histog.'!$BZ:$BZ,'Cronog. e Histog.'!CL:CL),"")</f>
        <v>0</v>
      </c>
      <c r="R337" s="144">
        <f>IFERROR(_xlfn.XLOOKUP($B337,'Cronog. e Histog.'!$BZ:$BZ,'Cronog. e Histog.'!CM:CM),"")</f>
        <v>0</v>
      </c>
      <c r="S337" s="144">
        <f>IFERROR(_xlfn.XLOOKUP($B337,'Cronog. e Histog.'!$BZ:$BZ,'Cronog. e Histog.'!CN:CN),"")</f>
        <v>0</v>
      </c>
      <c r="T337" s="144">
        <f>IFERROR(_xlfn.XLOOKUP($B337,'Cronog. e Histog.'!$BZ:$BZ,'Cronog. e Histog.'!CO:CO),"")</f>
        <v>0</v>
      </c>
      <c r="U337" s="144">
        <f>IFERROR(_xlfn.XLOOKUP($B337,'Cronog. e Histog.'!$BZ:$BZ,'Cronog. e Histog.'!CP:CP),"")</f>
        <v>0</v>
      </c>
      <c r="V337" s="144">
        <f>IFERROR(_xlfn.XLOOKUP($B337,'Cronog. e Histog.'!$BZ:$BZ,'Cronog. e Histog.'!CQ:CQ),"")</f>
        <v>0</v>
      </c>
      <c r="W337" s="144">
        <f>IFERROR(_xlfn.XLOOKUP($B337,'Cronog. e Histog.'!$BZ:$BZ,'Cronog. e Histog.'!CR:CR),"")</f>
        <v>0</v>
      </c>
      <c r="X337" s="144">
        <f>IFERROR(_xlfn.XLOOKUP($B337,'Cronog. e Histog.'!$BZ:$BZ,'Cronog. e Histog.'!CS:CS),"")</f>
        <v>0</v>
      </c>
      <c r="Y337" s="144">
        <f>IFERROR(_xlfn.XLOOKUP($B337,'Cronog. e Histog.'!$BZ:$BZ,'Cronog. e Histog.'!CT:CT),"")</f>
        <v>0</v>
      </c>
      <c r="Z337" s="144">
        <f>IFERROR(_xlfn.XLOOKUP($B337,'Cronog. e Histog.'!$BZ:$BZ,'Cronog. e Histog.'!CU:CU),"")</f>
        <v>0</v>
      </c>
      <c r="AA337" s="144">
        <f>IFERROR(_xlfn.XLOOKUP($B337,'Cronog. e Histog.'!$BZ:$BZ,'Cronog. e Histog.'!CV:CV),"")</f>
        <v>0</v>
      </c>
      <c r="AB337" s="144">
        <f>IFERROR(_xlfn.XLOOKUP($B337,'Cronog. e Histog.'!$BZ:$BZ,'Cronog. e Histog.'!CW:CW),"")</f>
        <v>0</v>
      </c>
      <c r="AC337" s="144">
        <f>IFERROR(_xlfn.XLOOKUP($B337,'Cronog. e Histog.'!$BZ:$BZ,'Cronog. e Histog.'!CX:CX),"")</f>
        <v>0</v>
      </c>
      <c r="AD337" s="144">
        <f>IFERROR(_xlfn.XLOOKUP($B337,'Cronog. e Histog.'!$BZ:$BZ,'Cronog. e Histog.'!CY:CY),"")</f>
        <v>0</v>
      </c>
      <c r="AE337" s="144">
        <f>IFERROR(_xlfn.XLOOKUP($B337,'Cronog. e Histog.'!$BZ:$BZ,'Cronog. e Histog.'!CZ:CZ),"")</f>
        <v>0</v>
      </c>
      <c r="AF337" s="144">
        <f>IFERROR(_xlfn.XLOOKUP($B337,'Cronog. e Histog.'!$BZ:$BZ,'Cronog. e Histog.'!DA:DA),"")</f>
        <v>0</v>
      </c>
      <c r="AG337" s="144">
        <f>IFERROR(_xlfn.XLOOKUP($B337,'Cronog. e Histog.'!$BZ:$BZ,'Cronog. e Histog.'!DB:DB),"")</f>
        <v>0</v>
      </c>
      <c r="AH337" s="144">
        <f>IFERROR(_xlfn.XLOOKUP($B337,'Cronog. e Histog.'!$BZ:$BZ,'Cronog. e Histog.'!DC:DC),"")</f>
        <v>0</v>
      </c>
      <c r="AI337" s="144">
        <f>IFERROR(_xlfn.XLOOKUP($B337,'Cronog. e Histog.'!$BZ:$BZ,'Cronog. e Histog.'!DD:DD),"")</f>
        <v>0</v>
      </c>
      <c r="AJ337" s="144">
        <f>IFERROR(_xlfn.XLOOKUP($B337,'Cronog. e Histog.'!$BZ:$BZ,'Cronog. e Histog.'!DE:DE),"")</f>
        <v>0</v>
      </c>
      <c r="AK337" s="144">
        <f>IFERROR(_xlfn.XLOOKUP($B337,'Cronog. e Histog.'!$BZ:$BZ,'Cronog. e Histog.'!DF:DF),"")</f>
        <v>0</v>
      </c>
      <c r="AL337" s="144">
        <f>IFERROR(_xlfn.XLOOKUP($B337,'Cronog. e Histog.'!$BZ:$BZ,'Cronog. e Histog.'!DG:DG),"")</f>
        <v>0</v>
      </c>
      <c r="AM337" s="144">
        <f>IFERROR(_xlfn.XLOOKUP($B337,'Cronog. e Histog.'!$BZ:$BZ,'Cronog. e Histog.'!DH:DH),"")</f>
        <v>0</v>
      </c>
      <c r="AN337" s="144">
        <f>IFERROR(_xlfn.XLOOKUP($B337,'Cronog. e Histog.'!$BZ:$BZ,'Cronog. e Histog.'!DI:DI),"")</f>
        <v>0</v>
      </c>
      <c r="AO337" s="144">
        <f>IFERROR(_xlfn.XLOOKUP($B337,'Cronog. e Histog.'!$BZ:$BZ,'Cronog. e Histog.'!DJ:DJ),"")</f>
        <v>0</v>
      </c>
      <c r="AP337" s="144">
        <f>IFERROR(_xlfn.XLOOKUP($B337,'Cronog. e Histog.'!$BZ:$BZ,'Cronog. e Histog.'!DK:DK),"")</f>
        <v>0</v>
      </c>
      <c r="AQ337" s="144">
        <f>IFERROR(_xlfn.XLOOKUP($B337,'Cronog. e Histog.'!$BZ:$BZ,'Cronog. e Histog.'!DL:DL),"")</f>
        <v>0</v>
      </c>
      <c r="AR337" s="144">
        <f>IFERROR(_xlfn.XLOOKUP($B337,'Cronog. e Histog.'!$BZ:$BZ,'Cronog. e Histog.'!DM:DM),"")</f>
        <v>0</v>
      </c>
      <c r="AS337" s="144">
        <f>IFERROR(_xlfn.XLOOKUP($B337,'Cronog. e Histog.'!$BZ:$BZ,'Cronog. e Histog.'!DN:DN),"")</f>
        <v>0</v>
      </c>
      <c r="AT337" s="144">
        <f>IFERROR(_xlfn.XLOOKUP($B337,'Cronog. e Histog.'!$BZ:$BZ,'Cronog. e Histog.'!DO:DO),"")</f>
        <v>0</v>
      </c>
      <c r="AU337" s="144">
        <f>IFERROR(_xlfn.XLOOKUP($B337,'Cronog. e Histog.'!$BZ:$BZ,'Cronog. e Histog.'!DP:DP),"")</f>
        <v>0</v>
      </c>
      <c r="AV337" s="144">
        <f>IFERROR(_xlfn.XLOOKUP($B337,'Cronog. e Histog.'!$BZ:$BZ,'Cronog. e Histog.'!DQ:DQ),"")</f>
        <v>0</v>
      </c>
      <c r="AW337" s="144">
        <f>IFERROR(_xlfn.XLOOKUP($B337,'Cronog. e Histog.'!$BZ:$BZ,'Cronog. e Histog.'!DR:DR),"")</f>
        <v>0</v>
      </c>
      <c r="AX337" s="144">
        <f>IFERROR(_xlfn.XLOOKUP($B337,'Cronog. e Histog.'!$BZ:$BZ,'Cronog. e Histog.'!DS:DS),"")</f>
        <v>0</v>
      </c>
      <c r="AY337" s="144">
        <f>IFERROR(_xlfn.XLOOKUP($B337,'Cronog. e Histog.'!$BZ:$BZ,'Cronog. e Histog.'!DT:DT),"")</f>
        <v>0</v>
      </c>
      <c r="AZ337" s="144">
        <f>IFERROR(_xlfn.XLOOKUP($B337,'Cronog. e Histog.'!$BZ:$BZ,'Cronog. e Histog.'!DU:DU),"")</f>
        <v>0</v>
      </c>
      <c r="BA337" s="144">
        <f>IFERROR(_xlfn.XLOOKUP($B337,'Cronog. e Histog.'!$BZ:$BZ,'Cronog. e Histog.'!DV:DV),"")</f>
        <v>0</v>
      </c>
      <c r="BB337" s="144">
        <f>IFERROR(_xlfn.XLOOKUP($B337,'Cronog. e Histog.'!$BZ:$BZ,'Cronog. e Histog.'!DW:DW),"")</f>
        <v>0</v>
      </c>
      <c r="BC337" s="144">
        <f>IFERROR(_xlfn.XLOOKUP($B337,'Cronog. e Histog.'!$BZ:$BZ,'Cronog. e Histog.'!DX:DX),"")</f>
        <v>0</v>
      </c>
      <c r="BD337" s="144">
        <f>IFERROR(_xlfn.XLOOKUP($B337,'Cronog. e Histog.'!$BZ:$BZ,'Cronog. e Histog.'!DY:DY),"")</f>
        <v>0</v>
      </c>
      <c r="BE337" s="144">
        <f>IFERROR(_xlfn.XLOOKUP($B337,'Cronog. e Histog.'!$BZ:$BZ,'Cronog. e Histog.'!DZ:DZ),"")</f>
        <v>0</v>
      </c>
      <c r="BF337" s="144">
        <f>IFERROR(_xlfn.XLOOKUP($B337,'Cronog. e Histog.'!$BZ:$BZ,'Cronog. e Histog.'!EA:EA),"")</f>
        <v>0</v>
      </c>
      <c r="BG337" s="144">
        <f>IFERROR(_xlfn.XLOOKUP($B337,'Cronog. e Histog.'!$BZ:$BZ,'Cronog. e Histog.'!EB:EB),"")</f>
        <v>0</v>
      </c>
      <c r="BH337" s="144">
        <f>IFERROR(_xlfn.XLOOKUP($B337,'Cronog. e Histog.'!$BZ:$BZ,'Cronog. e Histog.'!EC:EC),"")</f>
        <v>0</v>
      </c>
      <c r="BI337" s="144">
        <f>IFERROR(_xlfn.XLOOKUP($B337,'Cronog. e Histog.'!$BZ:$BZ,'Cronog. e Histog.'!ED:ED),"")</f>
        <v>0</v>
      </c>
      <c r="BJ337" s="144">
        <f>IFERROR(_xlfn.XLOOKUP($B337,'Cronog. e Histog.'!$BZ:$BZ,'Cronog. e Histog.'!EE:EE),"")</f>
        <v>0</v>
      </c>
      <c r="BK337" s="144">
        <f>IFERROR(_xlfn.XLOOKUP($B337,'Cronog. e Histog.'!$BZ:$BZ,'Cronog. e Histog.'!EF:EF),"")</f>
        <v>0</v>
      </c>
      <c r="BL337" s="144">
        <f>IFERROR(_xlfn.XLOOKUP($B337,'Cronog. e Histog.'!$BZ:$BZ,'Cronog. e Histog.'!EG:EG),"")</f>
        <v>0</v>
      </c>
      <c r="BM337" s="144">
        <f>IFERROR(_xlfn.XLOOKUP($B337,'Cronog. e Histog.'!$BZ:$BZ,'Cronog. e Histog.'!EH:EH),"")</f>
        <v>0</v>
      </c>
      <c r="BN337" s="144">
        <f>IFERROR(_xlfn.XLOOKUP($B337,'Cronog. e Histog.'!$BZ:$BZ,'Cronog. e Histog.'!EI:EI),"")</f>
        <v>0</v>
      </c>
    </row>
    <row r="338" spans="2:66" ht="12" hidden="1" customHeight="1" outlineLevel="1">
      <c r="B338" s="76">
        <v>332</v>
      </c>
      <c r="C338" s="143" t="str">
        <f>IFERROR(VLOOKUP(B338,'Cronog. e Histog.'!$BZ$213:$CA$747,2,0),"")</f>
        <v>AN JR. ADM/CRP</v>
      </c>
      <c r="D338" s="144">
        <f t="shared" si="6"/>
        <v>0</v>
      </c>
      <c r="E338" s="144">
        <f t="shared" si="7"/>
        <v>0</v>
      </c>
      <c r="F338" s="65"/>
      <c r="G338" s="144">
        <f>IFERROR(_xlfn.XLOOKUP($B338,'Cronog. e Histog.'!$BZ:$BZ,'Cronog. e Histog.'!CB:CB),"")</f>
        <v>0</v>
      </c>
      <c r="H338" s="144">
        <f>IFERROR(_xlfn.XLOOKUP($B338,'Cronog. e Histog.'!$BZ:$BZ,'Cronog. e Histog.'!CC:CC),"")</f>
        <v>0</v>
      </c>
      <c r="I338" s="144">
        <f>IFERROR(_xlfn.XLOOKUP($B338,'Cronog. e Histog.'!$BZ:$BZ,'Cronog. e Histog.'!CD:CD),"")</f>
        <v>0</v>
      </c>
      <c r="J338" s="144">
        <f>IFERROR(_xlfn.XLOOKUP($B338,'Cronog. e Histog.'!$BZ:$BZ,'Cronog. e Histog.'!CE:CE),"")</f>
        <v>0</v>
      </c>
      <c r="K338" s="144">
        <f>IFERROR(_xlfn.XLOOKUP($B338,'Cronog. e Histog.'!$BZ:$BZ,'Cronog. e Histog.'!CF:CF),"")</f>
        <v>0</v>
      </c>
      <c r="L338" s="144">
        <f>IFERROR(_xlfn.XLOOKUP($B338,'Cronog. e Histog.'!$BZ:$BZ,'Cronog. e Histog.'!CG:CG),"")</f>
        <v>0</v>
      </c>
      <c r="M338" s="144">
        <f>IFERROR(_xlfn.XLOOKUP($B338,'Cronog. e Histog.'!$BZ:$BZ,'Cronog. e Histog.'!CH:CH),"")</f>
        <v>0</v>
      </c>
      <c r="N338" s="144">
        <f>IFERROR(_xlfn.XLOOKUP($B338,'Cronog. e Histog.'!$BZ:$BZ,'Cronog. e Histog.'!CI:CI),"")</f>
        <v>0</v>
      </c>
      <c r="O338" s="144">
        <f>IFERROR(_xlfn.XLOOKUP($B338,'Cronog. e Histog.'!$BZ:$BZ,'Cronog. e Histog.'!CJ:CJ),"")</f>
        <v>0</v>
      </c>
      <c r="P338" s="144">
        <f>IFERROR(_xlfn.XLOOKUP($B338,'Cronog. e Histog.'!$BZ:$BZ,'Cronog. e Histog.'!CK:CK),"")</f>
        <v>0</v>
      </c>
      <c r="Q338" s="144">
        <f>IFERROR(_xlfn.XLOOKUP($B338,'Cronog. e Histog.'!$BZ:$BZ,'Cronog. e Histog.'!CL:CL),"")</f>
        <v>0</v>
      </c>
      <c r="R338" s="144">
        <f>IFERROR(_xlfn.XLOOKUP($B338,'Cronog. e Histog.'!$BZ:$BZ,'Cronog. e Histog.'!CM:CM),"")</f>
        <v>0</v>
      </c>
      <c r="S338" s="144">
        <f>IFERROR(_xlfn.XLOOKUP($B338,'Cronog. e Histog.'!$BZ:$BZ,'Cronog. e Histog.'!CN:CN),"")</f>
        <v>0</v>
      </c>
      <c r="T338" s="144">
        <f>IFERROR(_xlfn.XLOOKUP($B338,'Cronog. e Histog.'!$BZ:$BZ,'Cronog. e Histog.'!CO:CO),"")</f>
        <v>0</v>
      </c>
      <c r="U338" s="144">
        <f>IFERROR(_xlfn.XLOOKUP($B338,'Cronog. e Histog.'!$BZ:$BZ,'Cronog. e Histog.'!CP:CP),"")</f>
        <v>0</v>
      </c>
      <c r="V338" s="144">
        <f>IFERROR(_xlfn.XLOOKUP($B338,'Cronog. e Histog.'!$BZ:$BZ,'Cronog. e Histog.'!CQ:CQ),"")</f>
        <v>0</v>
      </c>
      <c r="W338" s="144">
        <f>IFERROR(_xlfn.XLOOKUP($B338,'Cronog. e Histog.'!$BZ:$BZ,'Cronog. e Histog.'!CR:CR),"")</f>
        <v>0</v>
      </c>
      <c r="X338" s="144">
        <f>IFERROR(_xlfn.XLOOKUP($B338,'Cronog. e Histog.'!$BZ:$BZ,'Cronog. e Histog.'!CS:CS),"")</f>
        <v>0</v>
      </c>
      <c r="Y338" s="144">
        <f>IFERROR(_xlfn.XLOOKUP($B338,'Cronog. e Histog.'!$BZ:$BZ,'Cronog. e Histog.'!CT:CT),"")</f>
        <v>0</v>
      </c>
      <c r="Z338" s="144">
        <f>IFERROR(_xlfn.XLOOKUP($B338,'Cronog. e Histog.'!$BZ:$BZ,'Cronog. e Histog.'!CU:CU),"")</f>
        <v>0</v>
      </c>
      <c r="AA338" s="144">
        <f>IFERROR(_xlfn.XLOOKUP($B338,'Cronog. e Histog.'!$BZ:$BZ,'Cronog. e Histog.'!CV:CV),"")</f>
        <v>0</v>
      </c>
      <c r="AB338" s="144">
        <f>IFERROR(_xlfn.XLOOKUP($B338,'Cronog. e Histog.'!$BZ:$BZ,'Cronog. e Histog.'!CW:CW),"")</f>
        <v>0</v>
      </c>
      <c r="AC338" s="144">
        <f>IFERROR(_xlfn.XLOOKUP($B338,'Cronog. e Histog.'!$BZ:$BZ,'Cronog. e Histog.'!CX:CX),"")</f>
        <v>0</v>
      </c>
      <c r="AD338" s="144">
        <f>IFERROR(_xlfn.XLOOKUP($B338,'Cronog. e Histog.'!$BZ:$BZ,'Cronog. e Histog.'!CY:CY),"")</f>
        <v>0</v>
      </c>
      <c r="AE338" s="144">
        <f>IFERROR(_xlfn.XLOOKUP($B338,'Cronog. e Histog.'!$BZ:$BZ,'Cronog. e Histog.'!CZ:CZ),"")</f>
        <v>0</v>
      </c>
      <c r="AF338" s="144">
        <f>IFERROR(_xlfn.XLOOKUP($B338,'Cronog. e Histog.'!$BZ:$BZ,'Cronog. e Histog.'!DA:DA),"")</f>
        <v>0</v>
      </c>
      <c r="AG338" s="144">
        <f>IFERROR(_xlfn.XLOOKUP($B338,'Cronog. e Histog.'!$BZ:$BZ,'Cronog. e Histog.'!DB:DB),"")</f>
        <v>0</v>
      </c>
      <c r="AH338" s="144">
        <f>IFERROR(_xlfn.XLOOKUP($B338,'Cronog. e Histog.'!$BZ:$BZ,'Cronog. e Histog.'!DC:DC),"")</f>
        <v>0</v>
      </c>
      <c r="AI338" s="144">
        <f>IFERROR(_xlfn.XLOOKUP($B338,'Cronog. e Histog.'!$BZ:$BZ,'Cronog. e Histog.'!DD:DD),"")</f>
        <v>0</v>
      </c>
      <c r="AJ338" s="144">
        <f>IFERROR(_xlfn.XLOOKUP($B338,'Cronog. e Histog.'!$BZ:$BZ,'Cronog. e Histog.'!DE:DE),"")</f>
        <v>0</v>
      </c>
      <c r="AK338" s="144">
        <f>IFERROR(_xlfn.XLOOKUP($B338,'Cronog. e Histog.'!$BZ:$BZ,'Cronog. e Histog.'!DF:DF),"")</f>
        <v>0</v>
      </c>
      <c r="AL338" s="144">
        <f>IFERROR(_xlfn.XLOOKUP($B338,'Cronog. e Histog.'!$BZ:$BZ,'Cronog. e Histog.'!DG:DG),"")</f>
        <v>0</v>
      </c>
      <c r="AM338" s="144">
        <f>IFERROR(_xlfn.XLOOKUP($B338,'Cronog. e Histog.'!$BZ:$BZ,'Cronog. e Histog.'!DH:DH),"")</f>
        <v>0</v>
      </c>
      <c r="AN338" s="144">
        <f>IFERROR(_xlfn.XLOOKUP($B338,'Cronog. e Histog.'!$BZ:$BZ,'Cronog. e Histog.'!DI:DI),"")</f>
        <v>0</v>
      </c>
      <c r="AO338" s="144">
        <f>IFERROR(_xlfn.XLOOKUP($B338,'Cronog. e Histog.'!$BZ:$BZ,'Cronog. e Histog.'!DJ:DJ),"")</f>
        <v>0</v>
      </c>
      <c r="AP338" s="144">
        <f>IFERROR(_xlfn.XLOOKUP($B338,'Cronog. e Histog.'!$BZ:$BZ,'Cronog. e Histog.'!DK:DK),"")</f>
        <v>0</v>
      </c>
      <c r="AQ338" s="144">
        <f>IFERROR(_xlfn.XLOOKUP($B338,'Cronog. e Histog.'!$BZ:$BZ,'Cronog. e Histog.'!DL:DL),"")</f>
        <v>0</v>
      </c>
      <c r="AR338" s="144">
        <f>IFERROR(_xlfn.XLOOKUP($B338,'Cronog. e Histog.'!$BZ:$BZ,'Cronog. e Histog.'!DM:DM),"")</f>
        <v>0</v>
      </c>
      <c r="AS338" s="144">
        <f>IFERROR(_xlfn.XLOOKUP($B338,'Cronog. e Histog.'!$BZ:$BZ,'Cronog. e Histog.'!DN:DN),"")</f>
        <v>0</v>
      </c>
      <c r="AT338" s="144">
        <f>IFERROR(_xlfn.XLOOKUP($B338,'Cronog. e Histog.'!$BZ:$BZ,'Cronog. e Histog.'!DO:DO),"")</f>
        <v>0</v>
      </c>
      <c r="AU338" s="144">
        <f>IFERROR(_xlfn.XLOOKUP($B338,'Cronog. e Histog.'!$BZ:$BZ,'Cronog. e Histog.'!DP:DP),"")</f>
        <v>0</v>
      </c>
      <c r="AV338" s="144">
        <f>IFERROR(_xlfn.XLOOKUP($B338,'Cronog. e Histog.'!$BZ:$BZ,'Cronog. e Histog.'!DQ:DQ),"")</f>
        <v>0</v>
      </c>
      <c r="AW338" s="144">
        <f>IFERROR(_xlfn.XLOOKUP($B338,'Cronog. e Histog.'!$BZ:$BZ,'Cronog. e Histog.'!DR:DR),"")</f>
        <v>0</v>
      </c>
      <c r="AX338" s="144">
        <f>IFERROR(_xlfn.XLOOKUP($B338,'Cronog. e Histog.'!$BZ:$BZ,'Cronog. e Histog.'!DS:DS),"")</f>
        <v>0</v>
      </c>
      <c r="AY338" s="144">
        <f>IFERROR(_xlfn.XLOOKUP($B338,'Cronog. e Histog.'!$BZ:$BZ,'Cronog. e Histog.'!DT:DT),"")</f>
        <v>0</v>
      </c>
      <c r="AZ338" s="144">
        <f>IFERROR(_xlfn.XLOOKUP($B338,'Cronog. e Histog.'!$BZ:$BZ,'Cronog. e Histog.'!DU:DU),"")</f>
        <v>0</v>
      </c>
      <c r="BA338" s="144">
        <f>IFERROR(_xlfn.XLOOKUP($B338,'Cronog. e Histog.'!$BZ:$BZ,'Cronog. e Histog.'!DV:DV),"")</f>
        <v>0</v>
      </c>
      <c r="BB338" s="144">
        <f>IFERROR(_xlfn.XLOOKUP($B338,'Cronog. e Histog.'!$BZ:$BZ,'Cronog. e Histog.'!DW:DW),"")</f>
        <v>0</v>
      </c>
      <c r="BC338" s="144">
        <f>IFERROR(_xlfn.XLOOKUP($B338,'Cronog. e Histog.'!$BZ:$BZ,'Cronog. e Histog.'!DX:DX),"")</f>
        <v>0</v>
      </c>
      <c r="BD338" s="144">
        <f>IFERROR(_xlfn.XLOOKUP($B338,'Cronog. e Histog.'!$BZ:$BZ,'Cronog. e Histog.'!DY:DY),"")</f>
        <v>0</v>
      </c>
      <c r="BE338" s="144">
        <f>IFERROR(_xlfn.XLOOKUP($B338,'Cronog. e Histog.'!$BZ:$BZ,'Cronog. e Histog.'!DZ:DZ),"")</f>
        <v>0</v>
      </c>
      <c r="BF338" s="144">
        <f>IFERROR(_xlfn.XLOOKUP($B338,'Cronog. e Histog.'!$BZ:$BZ,'Cronog. e Histog.'!EA:EA),"")</f>
        <v>0</v>
      </c>
      <c r="BG338" s="144">
        <f>IFERROR(_xlfn.XLOOKUP($B338,'Cronog. e Histog.'!$BZ:$BZ,'Cronog. e Histog.'!EB:EB),"")</f>
        <v>0</v>
      </c>
      <c r="BH338" s="144">
        <f>IFERROR(_xlfn.XLOOKUP($B338,'Cronog. e Histog.'!$BZ:$BZ,'Cronog. e Histog.'!EC:EC),"")</f>
        <v>0</v>
      </c>
      <c r="BI338" s="144">
        <f>IFERROR(_xlfn.XLOOKUP($B338,'Cronog. e Histog.'!$BZ:$BZ,'Cronog. e Histog.'!ED:ED),"")</f>
        <v>0</v>
      </c>
      <c r="BJ338" s="144">
        <f>IFERROR(_xlfn.XLOOKUP($B338,'Cronog. e Histog.'!$BZ:$BZ,'Cronog. e Histog.'!EE:EE),"")</f>
        <v>0</v>
      </c>
      <c r="BK338" s="144">
        <f>IFERROR(_xlfn.XLOOKUP($B338,'Cronog. e Histog.'!$BZ:$BZ,'Cronog. e Histog.'!EF:EF),"")</f>
        <v>0</v>
      </c>
      <c r="BL338" s="144">
        <f>IFERROR(_xlfn.XLOOKUP($B338,'Cronog. e Histog.'!$BZ:$BZ,'Cronog. e Histog.'!EG:EG),"")</f>
        <v>0</v>
      </c>
      <c r="BM338" s="144">
        <f>IFERROR(_xlfn.XLOOKUP($B338,'Cronog. e Histog.'!$BZ:$BZ,'Cronog. e Histog.'!EH:EH),"")</f>
        <v>0</v>
      </c>
      <c r="BN338" s="144">
        <f>IFERROR(_xlfn.XLOOKUP($B338,'Cronog. e Histog.'!$BZ:$BZ,'Cronog. e Histog.'!EI:EI),"")</f>
        <v>0</v>
      </c>
    </row>
    <row r="339" spans="2:66" ht="12" hidden="1" customHeight="1" outlineLevel="1">
      <c r="B339" s="76">
        <v>333</v>
      </c>
      <c r="C339" s="143" t="str">
        <f>IFERROR(VLOOKUP(B339,'Cronog. e Histog.'!$BZ$213:$CA$747,2,0),"")</f>
        <v>TEC III</v>
      </c>
      <c r="D339" s="144">
        <f t="shared" si="6"/>
        <v>0</v>
      </c>
      <c r="E339" s="144">
        <f t="shared" si="7"/>
        <v>0</v>
      </c>
      <c r="F339" s="65"/>
      <c r="G339" s="144">
        <f>IFERROR(_xlfn.XLOOKUP($B339,'Cronog. e Histog.'!$BZ:$BZ,'Cronog. e Histog.'!CB:CB),"")</f>
        <v>0</v>
      </c>
      <c r="H339" s="144">
        <f>IFERROR(_xlfn.XLOOKUP($B339,'Cronog. e Histog.'!$BZ:$BZ,'Cronog. e Histog.'!CC:CC),"")</f>
        <v>0</v>
      </c>
      <c r="I339" s="144">
        <f>IFERROR(_xlfn.XLOOKUP($B339,'Cronog. e Histog.'!$BZ:$BZ,'Cronog. e Histog.'!CD:CD),"")</f>
        <v>0</v>
      </c>
      <c r="J339" s="144">
        <f>IFERROR(_xlfn.XLOOKUP($B339,'Cronog. e Histog.'!$BZ:$BZ,'Cronog. e Histog.'!CE:CE),"")</f>
        <v>0</v>
      </c>
      <c r="K339" s="144">
        <f>IFERROR(_xlfn.XLOOKUP($B339,'Cronog. e Histog.'!$BZ:$BZ,'Cronog. e Histog.'!CF:CF),"")</f>
        <v>0</v>
      </c>
      <c r="L339" s="144">
        <f>IFERROR(_xlfn.XLOOKUP($B339,'Cronog. e Histog.'!$BZ:$BZ,'Cronog. e Histog.'!CG:CG),"")</f>
        <v>0</v>
      </c>
      <c r="M339" s="144">
        <f>IFERROR(_xlfn.XLOOKUP($B339,'Cronog. e Histog.'!$BZ:$BZ,'Cronog. e Histog.'!CH:CH),"")</f>
        <v>0</v>
      </c>
      <c r="N339" s="144">
        <f>IFERROR(_xlfn.XLOOKUP($B339,'Cronog. e Histog.'!$BZ:$BZ,'Cronog. e Histog.'!CI:CI),"")</f>
        <v>0</v>
      </c>
      <c r="O339" s="144">
        <f>IFERROR(_xlfn.XLOOKUP($B339,'Cronog. e Histog.'!$BZ:$BZ,'Cronog. e Histog.'!CJ:CJ),"")</f>
        <v>0</v>
      </c>
      <c r="P339" s="144">
        <f>IFERROR(_xlfn.XLOOKUP($B339,'Cronog. e Histog.'!$BZ:$BZ,'Cronog. e Histog.'!CK:CK),"")</f>
        <v>0</v>
      </c>
      <c r="Q339" s="144">
        <f>IFERROR(_xlfn.XLOOKUP($B339,'Cronog. e Histog.'!$BZ:$BZ,'Cronog. e Histog.'!CL:CL),"")</f>
        <v>0</v>
      </c>
      <c r="R339" s="144">
        <f>IFERROR(_xlfn.XLOOKUP($B339,'Cronog. e Histog.'!$BZ:$BZ,'Cronog. e Histog.'!CM:CM),"")</f>
        <v>0</v>
      </c>
      <c r="S339" s="144">
        <f>IFERROR(_xlfn.XLOOKUP($B339,'Cronog. e Histog.'!$BZ:$BZ,'Cronog. e Histog.'!CN:CN),"")</f>
        <v>0</v>
      </c>
      <c r="T339" s="144">
        <f>IFERROR(_xlfn.XLOOKUP($B339,'Cronog. e Histog.'!$BZ:$BZ,'Cronog. e Histog.'!CO:CO),"")</f>
        <v>0</v>
      </c>
      <c r="U339" s="144">
        <f>IFERROR(_xlfn.XLOOKUP($B339,'Cronog. e Histog.'!$BZ:$BZ,'Cronog. e Histog.'!CP:CP),"")</f>
        <v>0</v>
      </c>
      <c r="V339" s="144">
        <f>IFERROR(_xlfn.XLOOKUP($B339,'Cronog. e Histog.'!$BZ:$BZ,'Cronog. e Histog.'!CQ:CQ),"")</f>
        <v>0</v>
      </c>
      <c r="W339" s="144">
        <f>IFERROR(_xlfn.XLOOKUP($B339,'Cronog. e Histog.'!$BZ:$BZ,'Cronog. e Histog.'!CR:CR),"")</f>
        <v>0</v>
      </c>
      <c r="X339" s="144">
        <f>IFERROR(_xlfn.XLOOKUP($B339,'Cronog. e Histog.'!$BZ:$BZ,'Cronog. e Histog.'!CS:CS),"")</f>
        <v>0</v>
      </c>
      <c r="Y339" s="144">
        <f>IFERROR(_xlfn.XLOOKUP($B339,'Cronog. e Histog.'!$BZ:$BZ,'Cronog. e Histog.'!CT:CT),"")</f>
        <v>0</v>
      </c>
      <c r="Z339" s="144">
        <f>IFERROR(_xlfn.XLOOKUP($B339,'Cronog. e Histog.'!$BZ:$BZ,'Cronog. e Histog.'!CU:CU),"")</f>
        <v>0</v>
      </c>
      <c r="AA339" s="144">
        <f>IFERROR(_xlfn.XLOOKUP($B339,'Cronog. e Histog.'!$BZ:$BZ,'Cronog. e Histog.'!CV:CV),"")</f>
        <v>0</v>
      </c>
      <c r="AB339" s="144">
        <f>IFERROR(_xlfn.XLOOKUP($B339,'Cronog. e Histog.'!$BZ:$BZ,'Cronog. e Histog.'!CW:CW),"")</f>
        <v>0</v>
      </c>
      <c r="AC339" s="144">
        <f>IFERROR(_xlfn.XLOOKUP($B339,'Cronog. e Histog.'!$BZ:$BZ,'Cronog. e Histog.'!CX:CX),"")</f>
        <v>0</v>
      </c>
      <c r="AD339" s="144">
        <f>IFERROR(_xlfn.XLOOKUP($B339,'Cronog. e Histog.'!$BZ:$BZ,'Cronog. e Histog.'!CY:CY),"")</f>
        <v>0</v>
      </c>
      <c r="AE339" s="144">
        <f>IFERROR(_xlfn.XLOOKUP($B339,'Cronog. e Histog.'!$BZ:$BZ,'Cronog. e Histog.'!CZ:CZ),"")</f>
        <v>0</v>
      </c>
      <c r="AF339" s="144">
        <f>IFERROR(_xlfn.XLOOKUP($B339,'Cronog. e Histog.'!$BZ:$BZ,'Cronog. e Histog.'!DA:DA),"")</f>
        <v>0</v>
      </c>
      <c r="AG339" s="144">
        <f>IFERROR(_xlfn.XLOOKUP($B339,'Cronog. e Histog.'!$BZ:$BZ,'Cronog. e Histog.'!DB:DB),"")</f>
        <v>0</v>
      </c>
      <c r="AH339" s="144">
        <f>IFERROR(_xlfn.XLOOKUP($B339,'Cronog. e Histog.'!$BZ:$BZ,'Cronog. e Histog.'!DC:DC),"")</f>
        <v>0</v>
      </c>
      <c r="AI339" s="144">
        <f>IFERROR(_xlfn.XLOOKUP($B339,'Cronog. e Histog.'!$BZ:$BZ,'Cronog. e Histog.'!DD:DD),"")</f>
        <v>0</v>
      </c>
      <c r="AJ339" s="144">
        <f>IFERROR(_xlfn.XLOOKUP($B339,'Cronog. e Histog.'!$BZ:$BZ,'Cronog. e Histog.'!DE:DE),"")</f>
        <v>0</v>
      </c>
      <c r="AK339" s="144">
        <f>IFERROR(_xlfn.XLOOKUP($B339,'Cronog. e Histog.'!$BZ:$BZ,'Cronog. e Histog.'!DF:DF),"")</f>
        <v>0</v>
      </c>
      <c r="AL339" s="144">
        <f>IFERROR(_xlfn.XLOOKUP($B339,'Cronog. e Histog.'!$BZ:$BZ,'Cronog. e Histog.'!DG:DG),"")</f>
        <v>0</v>
      </c>
      <c r="AM339" s="144">
        <f>IFERROR(_xlfn.XLOOKUP($B339,'Cronog. e Histog.'!$BZ:$BZ,'Cronog. e Histog.'!DH:DH),"")</f>
        <v>0</v>
      </c>
      <c r="AN339" s="144">
        <f>IFERROR(_xlfn.XLOOKUP($B339,'Cronog. e Histog.'!$BZ:$BZ,'Cronog. e Histog.'!DI:DI),"")</f>
        <v>0</v>
      </c>
      <c r="AO339" s="144">
        <f>IFERROR(_xlfn.XLOOKUP($B339,'Cronog. e Histog.'!$BZ:$BZ,'Cronog. e Histog.'!DJ:DJ),"")</f>
        <v>0</v>
      </c>
      <c r="AP339" s="144">
        <f>IFERROR(_xlfn.XLOOKUP($B339,'Cronog. e Histog.'!$BZ:$BZ,'Cronog. e Histog.'!DK:DK),"")</f>
        <v>0</v>
      </c>
      <c r="AQ339" s="144">
        <f>IFERROR(_xlfn.XLOOKUP($B339,'Cronog. e Histog.'!$BZ:$BZ,'Cronog. e Histog.'!DL:DL),"")</f>
        <v>0</v>
      </c>
      <c r="AR339" s="144">
        <f>IFERROR(_xlfn.XLOOKUP($B339,'Cronog. e Histog.'!$BZ:$BZ,'Cronog. e Histog.'!DM:DM),"")</f>
        <v>0</v>
      </c>
      <c r="AS339" s="144">
        <f>IFERROR(_xlfn.XLOOKUP($B339,'Cronog. e Histog.'!$BZ:$BZ,'Cronog. e Histog.'!DN:DN),"")</f>
        <v>0</v>
      </c>
      <c r="AT339" s="144">
        <f>IFERROR(_xlfn.XLOOKUP($B339,'Cronog. e Histog.'!$BZ:$BZ,'Cronog. e Histog.'!DO:DO),"")</f>
        <v>0</v>
      </c>
      <c r="AU339" s="144">
        <f>IFERROR(_xlfn.XLOOKUP($B339,'Cronog. e Histog.'!$BZ:$BZ,'Cronog. e Histog.'!DP:DP),"")</f>
        <v>0</v>
      </c>
      <c r="AV339" s="144">
        <f>IFERROR(_xlfn.XLOOKUP($B339,'Cronog. e Histog.'!$BZ:$BZ,'Cronog. e Histog.'!DQ:DQ),"")</f>
        <v>0</v>
      </c>
      <c r="AW339" s="144">
        <f>IFERROR(_xlfn.XLOOKUP($B339,'Cronog. e Histog.'!$BZ:$BZ,'Cronog. e Histog.'!DR:DR),"")</f>
        <v>0</v>
      </c>
      <c r="AX339" s="144">
        <f>IFERROR(_xlfn.XLOOKUP($B339,'Cronog. e Histog.'!$BZ:$BZ,'Cronog. e Histog.'!DS:DS),"")</f>
        <v>0</v>
      </c>
      <c r="AY339" s="144">
        <f>IFERROR(_xlfn.XLOOKUP($B339,'Cronog. e Histog.'!$BZ:$BZ,'Cronog. e Histog.'!DT:DT),"")</f>
        <v>0</v>
      </c>
      <c r="AZ339" s="144">
        <f>IFERROR(_xlfn.XLOOKUP($B339,'Cronog. e Histog.'!$BZ:$BZ,'Cronog. e Histog.'!DU:DU),"")</f>
        <v>0</v>
      </c>
      <c r="BA339" s="144">
        <f>IFERROR(_xlfn.XLOOKUP($B339,'Cronog. e Histog.'!$BZ:$BZ,'Cronog. e Histog.'!DV:DV),"")</f>
        <v>0</v>
      </c>
      <c r="BB339" s="144">
        <f>IFERROR(_xlfn.XLOOKUP($B339,'Cronog. e Histog.'!$BZ:$BZ,'Cronog. e Histog.'!DW:DW),"")</f>
        <v>0</v>
      </c>
      <c r="BC339" s="144">
        <f>IFERROR(_xlfn.XLOOKUP($B339,'Cronog. e Histog.'!$BZ:$BZ,'Cronog. e Histog.'!DX:DX),"")</f>
        <v>0</v>
      </c>
      <c r="BD339" s="144">
        <f>IFERROR(_xlfn.XLOOKUP($B339,'Cronog. e Histog.'!$BZ:$BZ,'Cronog. e Histog.'!DY:DY),"")</f>
        <v>0</v>
      </c>
      <c r="BE339" s="144">
        <f>IFERROR(_xlfn.XLOOKUP($B339,'Cronog. e Histog.'!$BZ:$BZ,'Cronog. e Histog.'!DZ:DZ),"")</f>
        <v>0</v>
      </c>
      <c r="BF339" s="144">
        <f>IFERROR(_xlfn.XLOOKUP($B339,'Cronog. e Histog.'!$BZ:$BZ,'Cronog. e Histog.'!EA:EA),"")</f>
        <v>0</v>
      </c>
      <c r="BG339" s="144">
        <f>IFERROR(_xlfn.XLOOKUP($B339,'Cronog. e Histog.'!$BZ:$BZ,'Cronog. e Histog.'!EB:EB),"")</f>
        <v>0</v>
      </c>
      <c r="BH339" s="144">
        <f>IFERROR(_xlfn.XLOOKUP($B339,'Cronog. e Histog.'!$BZ:$BZ,'Cronog. e Histog.'!EC:EC),"")</f>
        <v>0</v>
      </c>
      <c r="BI339" s="144">
        <f>IFERROR(_xlfn.XLOOKUP($B339,'Cronog. e Histog.'!$BZ:$BZ,'Cronog. e Histog.'!ED:ED),"")</f>
        <v>0</v>
      </c>
      <c r="BJ339" s="144">
        <f>IFERROR(_xlfn.XLOOKUP($B339,'Cronog. e Histog.'!$BZ:$BZ,'Cronog. e Histog.'!EE:EE),"")</f>
        <v>0</v>
      </c>
      <c r="BK339" s="144">
        <f>IFERROR(_xlfn.XLOOKUP($B339,'Cronog. e Histog.'!$BZ:$BZ,'Cronog. e Histog.'!EF:EF),"")</f>
        <v>0</v>
      </c>
      <c r="BL339" s="144">
        <f>IFERROR(_xlfn.XLOOKUP($B339,'Cronog. e Histog.'!$BZ:$BZ,'Cronog. e Histog.'!EG:EG),"")</f>
        <v>0</v>
      </c>
      <c r="BM339" s="144">
        <f>IFERROR(_xlfn.XLOOKUP($B339,'Cronog. e Histog.'!$BZ:$BZ,'Cronog. e Histog.'!EH:EH),"")</f>
        <v>0</v>
      </c>
      <c r="BN339" s="144">
        <f>IFERROR(_xlfn.XLOOKUP($B339,'Cronog. e Histog.'!$BZ:$BZ,'Cronog. e Histog.'!EI:EI),"")</f>
        <v>0</v>
      </c>
    </row>
    <row r="340" spans="2:66" ht="12" hidden="1" customHeight="1" outlineLevel="1">
      <c r="B340" s="76">
        <v>334</v>
      </c>
      <c r="C340" s="143" t="str">
        <f>IFERROR(VLOOKUP(B340,'Cronog. e Histog.'!$BZ$213:$CA$747,2,0),"")</f>
        <v>TEC II</v>
      </c>
      <c r="D340" s="144">
        <f t="shared" si="6"/>
        <v>0</v>
      </c>
      <c r="E340" s="144">
        <f t="shared" si="7"/>
        <v>0</v>
      </c>
      <c r="F340" s="65"/>
      <c r="G340" s="144">
        <f>IFERROR(_xlfn.XLOOKUP($B340,'Cronog. e Histog.'!$BZ:$BZ,'Cronog. e Histog.'!CB:CB),"")</f>
        <v>0</v>
      </c>
      <c r="H340" s="144">
        <f>IFERROR(_xlfn.XLOOKUP($B340,'Cronog. e Histog.'!$BZ:$BZ,'Cronog. e Histog.'!CC:CC),"")</f>
        <v>0</v>
      </c>
      <c r="I340" s="144">
        <f>IFERROR(_xlfn.XLOOKUP($B340,'Cronog. e Histog.'!$BZ:$BZ,'Cronog. e Histog.'!CD:CD),"")</f>
        <v>0</v>
      </c>
      <c r="J340" s="144">
        <f>IFERROR(_xlfn.XLOOKUP($B340,'Cronog. e Histog.'!$BZ:$BZ,'Cronog. e Histog.'!CE:CE),"")</f>
        <v>0</v>
      </c>
      <c r="K340" s="144">
        <f>IFERROR(_xlfn.XLOOKUP($B340,'Cronog. e Histog.'!$BZ:$BZ,'Cronog. e Histog.'!CF:CF),"")</f>
        <v>0</v>
      </c>
      <c r="L340" s="144">
        <f>IFERROR(_xlfn.XLOOKUP($B340,'Cronog. e Histog.'!$BZ:$BZ,'Cronog. e Histog.'!CG:CG),"")</f>
        <v>0</v>
      </c>
      <c r="M340" s="144">
        <f>IFERROR(_xlfn.XLOOKUP($B340,'Cronog. e Histog.'!$BZ:$BZ,'Cronog. e Histog.'!CH:CH),"")</f>
        <v>0</v>
      </c>
      <c r="N340" s="144">
        <f>IFERROR(_xlfn.XLOOKUP($B340,'Cronog. e Histog.'!$BZ:$BZ,'Cronog. e Histog.'!CI:CI),"")</f>
        <v>0</v>
      </c>
      <c r="O340" s="144">
        <f>IFERROR(_xlfn.XLOOKUP($B340,'Cronog. e Histog.'!$BZ:$BZ,'Cronog. e Histog.'!CJ:CJ),"")</f>
        <v>0</v>
      </c>
      <c r="P340" s="144">
        <f>IFERROR(_xlfn.XLOOKUP($B340,'Cronog. e Histog.'!$BZ:$BZ,'Cronog. e Histog.'!CK:CK),"")</f>
        <v>0</v>
      </c>
      <c r="Q340" s="144">
        <f>IFERROR(_xlfn.XLOOKUP($B340,'Cronog. e Histog.'!$BZ:$BZ,'Cronog. e Histog.'!CL:CL),"")</f>
        <v>0</v>
      </c>
      <c r="R340" s="144">
        <f>IFERROR(_xlfn.XLOOKUP($B340,'Cronog. e Histog.'!$BZ:$BZ,'Cronog. e Histog.'!CM:CM),"")</f>
        <v>0</v>
      </c>
      <c r="S340" s="144">
        <f>IFERROR(_xlfn.XLOOKUP($B340,'Cronog. e Histog.'!$BZ:$BZ,'Cronog. e Histog.'!CN:CN),"")</f>
        <v>0</v>
      </c>
      <c r="T340" s="144">
        <f>IFERROR(_xlfn.XLOOKUP($B340,'Cronog. e Histog.'!$BZ:$BZ,'Cronog. e Histog.'!CO:CO),"")</f>
        <v>0</v>
      </c>
      <c r="U340" s="144">
        <f>IFERROR(_xlfn.XLOOKUP($B340,'Cronog. e Histog.'!$BZ:$BZ,'Cronog. e Histog.'!CP:CP),"")</f>
        <v>0</v>
      </c>
      <c r="V340" s="144">
        <f>IFERROR(_xlfn.XLOOKUP($B340,'Cronog. e Histog.'!$BZ:$BZ,'Cronog. e Histog.'!CQ:CQ),"")</f>
        <v>0</v>
      </c>
      <c r="W340" s="144">
        <f>IFERROR(_xlfn.XLOOKUP($B340,'Cronog. e Histog.'!$BZ:$BZ,'Cronog. e Histog.'!CR:CR),"")</f>
        <v>0</v>
      </c>
      <c r="X340" s="144">
        <f>IFERROR(_xlfn.XLOOKUP($B340,'Cronog. e Histog.'!$BZ:$BZ,'Cronog. e Histog.'!CS:CS),"")</f>
        <v>0</v>
      </c>
      <c r="Y340" s="144">
        <f>IFERROR(_xlfn.XLOOKUP($B340,'Cronog. e Histog.'!$BZ:$BZ,'Cronog. e Histog.'!CT:CT),"")</f>
        <v>0</v>
      </c>
      <c r="Z340" s="144">
        <f>IFERROR(_xlfn.XLOOKUP($B340,'Cronog. e Histog.'!$BZ:$BZ,'Cronog. e Histog.'!CU:CU),"")</f>
        <v>0</v>
      </c>
      <c r="AA340" s="144">
        <f>IFERROR(_xlfn.XLOOKUP($B340,'Cronog. e Histog.'!$BZ:$BZ,'Cronog. e Histog.'!CV:CV),"")</f>
        <v>0</v>
      </c>
      <c r="AB340" s="144">
        <f>IFERROR(_xlfn.XLOOKUP($B340,'Cronog. e Histog.'!$BZ:$BZ,'Cronog. e Histog.'!CW:CW),"")</f>
        <v>0</v>
      </c>
      <c r="AC340" s="144">
        <f>IFERROR(_xlfn.XLOOKUP($B340,'Cronog. e Histog.'!$BZ:$BZ,'Cronog. e Histog.'!CX:CX),"")</f>
        <v>0</v>
      </c>
      <c r="AD340" s="144">
        <f>IFERROR(_xlfn.XLOOKUP($B340,'Cronog. e Histog.'!$BZ:$BZ,'Cronog. e Histog.'!CY:CY),"")</f>
        <v>0</v>
      </c>
      <c r="AE340" s="144">
        <f>IFERROR(_xlfn.XLOOKUP($B340,'Cronog. e Histog.'!$BZ:$BZ,'Cronog. e Histog.'!CZ:CZ),"")</f>
        <v>0</v>
      </c>
      <c r="AF340" s="144">
        <f>IFERROR(_xlfn.XLOOKUP($B340,'Cronog. e Histog.'!$BZ:$BZ,'Cronog. e Histog.'!DA:DA),"")</f>
        <v>0</v>
      </c>
      <c r="AG340" s="144">
        <f>IFERROR(_xlfn.XLOOKUP($B340,'Cronog. e Histog.'!$BZ:$BZ,'Cronog. e Histog.'!DB:DB),"")</f>
        <v>0</v>
      </c>
      <c r="AH340" s="144">
        <f>IFERROR(_xlfn.XLOOKUP($B340,'Cronog. e Histog.'!$BZ:$BZ,'Cronog. e Histog.'!DC:DC),"")</f>
        <v>0</v>
      </c>
      <c r="AI340" s="144">
        <f>IFERROR(_xlfn.XLOOKUP($B340,'Cronog. e Histog.'!$BZ:$BZ,'Cronog. e Histog.'!DD:DD),"")</f>
        <v>0</v>
      </c>
      <c r="AJ340" s="144">
        <f>IFERROR(_xlfn.XLOOKUP($B340,'Cronog. e Histog.'!$BZ:$BZ,'Cronog. e Histog.'!DE:DE),"")</f>
        <v>0</v>
      </c>
      <c r="AK340" s="144">
        <f>IFERROR(_xlfn.XLOOKUP($B340,'Cronog. e Histog.'!$BZ:$BZ,'Cronog. e Histog.'!DF:DF),"")</f>
        <v>0</v>
      </c>
      <c r="AL340" s="144">
        <f>IFERROR(_xlfn.XLOOKUP($B340,'Cronog. e Histog.'!$BZ:$BZ,'Cronog. e Histog.'!DG:DG),"")</f>
        <v>0</v>
      </c>
      <c r="AM340" s="144">
        <f>IFERROR(_xlfn.XLOOKUP($B340,'Cronog. e Histog.'!$BZ:$BZ,'Cronog. e Histog.'!DH:DH),"")</f>
        <v>0</v>
      </c>
      <c r="AN340" s="144">
        <f>IFERROR(_xlfn.XLOOKUP($B340,'Cronog. e Histog.'!$BZ:$BZ,'Cronog. e Histog.'!DI:DI),"")</f>
        <v>0</v>
      </c>
      <c r="AO340" s="144">
        <f>IFERROR(_xlfn.XLOOKUP($B340,'Cronog. e Histog.'!$BZ:$BZ,'Cronog. e Histog.'!DJ:DJ),"")</f>
        <v>0</v>
      </c>
      <c r="AP340" s="144">
        <f>IFERROR(_xlfn.XLOOKUP($B340,'Cronog. e Histog.'!$BZ:$BZ,'Cronog. e Histog.'!DK:DK),"")</f>
        <v>0</v>
      </c>
      <c r="AQ340" s="144">
        <f>IFERROR(_xlfn.XLOOKUP($B340,'Cronog. e Histog.'!$BZ:$BZ,'Cronog. e Histog.'!DL:DL),"")</f>
        <v>0</v>
      </c>
      <c r="AR340" s="144">
        <f>IFERROR(_xlfn.XLOOKUP($B340,'Cronog. e Histog.'!$BZ:$BZ,'Cronog. e Histog.'!DM:DM),"")</f>
        <v>0</v>
      </c>
      <c r="AS340" s="144">
        <f>IFERROR(_xlfn.XLOOKUP($B340,'Cronog. e Histog.'!$BZ:$BZ,'Cronog. e Histog.'!DN:DN),"")</f>
        <v>0</v>
      </c>
      <c r="AT340" s="144">
        <f>IFERROR(_xlfn.XLOOKUP($B340,'Cronog. e Histog.'!$BZ:$BZ,'Cronog. e Histog.'!DO:DO),"")</f>
        <v>0</v>
      </c>
      <c r="AU340" s="144">
        <f>IFERROR(_xlfn.XLOOKUP($B340,'Cronog. e Histog.'!$BZ:$BZ,'Cronog. e Histog.'!DP:DP),"")</f>
        <v>0</v>
      </c>
      <c r="AV340" s="144">
        <f>IFERROR(_xlfn.XLOOKUP($B340,'Cronog. e Histog.'!$BZ:$BZ,'Cronog. e Histog.'!DQ:DQ),"")</f>
        <v>0</v>
      </c>
      <c r="AW340" s="144">
        <f>IFERROR(_xlfn.XLOOKUP($B340,'Cronog. e Histog.'!$BZ:$BZ,'Cronog. e Histog.'!DR:DR),"")</f>
        <v>0</v>
      </c>
      <c r="AX340" s="144">
        <f>IFERROR(_xlfn.XLOOKUP($B340,'Cronog. e Histog.'!$BZ:$BZ,'Cronog. e Histog.'!DS:DS),"")</f>
        <v>0</v>
      </c>
      <c r="AY340" s="144">
        <f>IFERROR(_xlfn.XLOOKUP($B340,'Cronog. e Histog.'!$BZ:$BZ,'Cronog. e Histog.'!DT:DT),"")</f>
        <v>0</v>
      </c>
      <c r="AZ340" s="144">
        <f>IFERROR(_xlfn.XLOOKUP($B340,'Cronog. e Histog.'!$BZ:$BZ,'Cronog. e Histog.'!DU:DU),"")</f>
        <v>0</v>
      </c>
      <c r="BA340" s="144">
        <f>IFERROR(_xlfn.XLOOKUP($B340,'Cronog. e Histog.'!$BZ:$BZ,'Cronog. e Histog.'!DV:DV),"")</f>
        <v>0</v>
      </c>
      <c r="BB340" s="144">
        <f>IFERROR(_xlfn.XLOOKUP($B340,'Cronog. e Histog.'!$BZ:$BZ,'Cronog. e Histog.'!DW:DW),"")</f>
        <v>0</v>
      </c>
      <c r="BC340" s="144">
        <f>IFERROR(_xlfn.XLOOKUP($B340,'Cronog. e Histog.'!$BZ:$BZ,'Cronog. e Histog.'!DX:DX),"")</f>
        <v>0</v>
      </c>
      <c r="BD340" s="144">
        <f>IFERROR(_xlfn.XLOOKUP($B340,'Cronog. e Histog.'!$BZ:$BZ,'Cronog. e Histog.'!DY:DY),"")</f>
        <v>0</v>
      </c>
      <c r="BE340" s="144">
        <f>IFERROR(_xlfn.XLOOKUP($B340,'Cronog. e Histog.'!$BZ:$BZ,'Cronog. e Histog.'!DZ:DZ),"")</f>
        <v>0</v>
      </c>
      <c r="BF340" s="144">
        <f>IFERROR(_xlfn.XLOOKUP($B340,'Cronog. e Histog.'!$BZ:$BZ,'Cronog. e Histog.'!EA:EA),"")</f>
        <v>0</v>
      </c>
      <c r="BG340" s="144">
        <f>IFERROR(_xlfn.XLOOKUP($B340,'Cronog. e Histog.'!$BZ:$BZ,'Cronog. e Histog.'!EB:EB),"")</f>
        <v>0</v>
      </c>
      <c r="BH340" s="144">
        <f>IFERROR(_xlfn.XLOOKUP($B340,'Cronog. e Histog.'!$BZ:$BZ,'Cronog. e Histog.'!EC:EC),"")</f>
        <v>0</v>
      </c>
      <c r="BI340" s="144">
        <f>IFERROR(_xlfn.XLOOKUP($B340,'Cronog. e Histog.'!$BZ:$BZ,'Cronog. e Histog.'!ED:ED),"")</f>
        <v>0</v>
      </c>
      <c r="BJ340" s="144">
        <f>IFERROR(_xlfn.XLOOKUP($B340,'Cronog. e Histog.'!$BZ:$BZ,'Cronog. e Histog.'!EE:EE),"")</f>
        <v>0</v>
      </c>
      <c r="BK340" s="144">
        <f>IFERROR(_xlfn.XLOOKUP($B340,'Cronog. e Histog.'!$BZ:$BZ,'Cronog. e Histog.'!EF:EF),"")</f>
        <v>0</v>
      </c>
      <c r="BL340" s="144">
        <f>IFERROR(_xlfn.XLOOKUP($B340,'Cronog. e Histog.'!$BZ:$BZ,'Cronog. e Histog.'!EG:EG),"")</f>
        <v>0</v>
      </c>
      <c r="BM340" s="144">
        <f>IFERROR(_xlfn.XLOOKUP($B340,'Cronog. e Histog.'!$BZ:$BZ,'Cronog. e Histog.'!EH:EH),"")</f>
        <v>0</v>
      </c>
      <c r="BN340" s="144">
        <f>IFERROR(_xlfn.XLOOKUP($B340,'Cronog. e Histog.'!$BZ:$BZ,'Cronog. e Histog.'!EI:EI),"")</f>
        <v>0</v>
      </c>
    </row>
    <row r="341" spans="2:66" ht="12" hidden="1" customHeight="1" outlineLevel="1">
      <c r="B341" s="76">
        <v>335</v>
      </c>
      <c r="C341" s="143" t="str">
        <f>IFERROR(VLOOKUP(B341,'Cronog. e Histog.'!$BZ$213:$CA$747,2,0),"")</f>
        <v>TEC I</v>
      </c>
      <c r="D341" s="144">
        <f t="shared" si="6"/>
        <v>0</v>
      </c>
      <c r="E341" s="144">
        <f t="shared" si="7"/>
        <v>0</v>
      </c>
      <c r="F341" s="65"/>
      <c r="G341" s="144">
        <f>IFERROR(_xlfn.XLOOKUP($B341,'Cronog. e Histog.'!$BZ:$BZ,'Cronog. e Histog.'!CB:CB),"")</f>
        <v>0</v>
      </c>
      <c r="H341" s="144">
        <f>IFERROR(_xlfn.XLOOKUP($B341,'Cronog. e Histog.'!$BZ:$BZ,'Cronog. e Histog.'!CC:CC),"")</f>
        <v>0</v>
      </c>
      <c r="I341" s="144">
        <f>IFERROR(_xlfn.XLOOKUP($B341,'Cronog. e Histog.'!$BZ:$BZ,'Cronog. e Histog.'!CD:CD),"")</f>
        <v>0</v>
      </c>
      <c r="J341" s="144">
        <f>IFERROR(_xlfn.XLOOKUP($B341,'Cronog. e Histog.'!$BZ:$BZ,'Cronog. e Histog.'!CE:CE),"")</f>
        <v>0</v>
      </c>
      <c r="K341" s="144">
        <f>IFERROR(_xlfn.XLOOKUP($B341,'Cronog. e Histog.'!$BZ:$BZ,'Cronog. e Histog.'!CF:CF),"")</f>
        <v>0</v>
      </c>
      <c r="L341" s="144">
        <f>IFERROR(_xlfn.XLOOKUP($B341,'Cronog. e Histog.'!$BZ:$BZ,'Cronog. e Histog.'!CG:CG),"")</f>
        <v>0</v>
      </c>
      <c r="M341" s="144">
        <f>IFERROR(_xlfn.XLOOKUP($B341,'Cronog. e Histog.'!$BZ:$BZ,'Cronog. e Histog.'!CH:CH),"")</f>
        <v>0</v>
      </c>
      <c r="N341" s="144">
        <f>IFERROR(_xlfn.XLOOKUP($B341,'Cronog. e Histog.'!$BZ:$BZ,'Cronog. e Histog.'!CI:CI),"")</f>
        <v>0</v>
      </c>
      <c r="O341" s="144">
        <f>IFERROR(_xlfn.XLOOKUP($B341,'Cronog. e Histog.'!$BZ:$BZ,'Cronog. e Histog.'!CJ:CJ),"")</f>
        <v>0</v>
      </c>
      <c r="P341" s="144">
        <f>IFERROR(_xlfn.XLOOKUP($B341,'Cronog. e Histog.'!$BZ:$BZ,'Cronog. e Histog.'!CK:CK),"")</f>
        <v>0</v>
      </c>
      <c r="Q341" s="144">
        <f>IFERROR(_xlfn.XLOOKUP($B341,'Cronog. e Histog.'!$BZ:$BZ,'Cronog. e Histog.'!CL:CL),"")</f>
        <v>0</v>
      </c>
      <c r="R341" s="144">
        <f>IFERROR(_xlfn.XLOOKUP($B341,'Cronog. e Histog.'!$BZ:$BZ,'Cronog. e Histog.'!CM:CM),"")</f>
        <v>0</v>
      </c>
      <c r="S341" s="144">
        <f>IFERROR(_xlfn.XLOOKUP($B341,'Cronog. e Histog.'!$BZ:$BZ,'Cronog. e Histog.'!CN:CN),"")</f>
        <v>0</v>
      </c>
      <c r="T341" s="144">
        <f>IFERROR(_xlfn.XLOOKUP($B341,'Cronog. e Histog.'!$BZ:$BZ,'Cronog. e Histog.'!CO:CO),"")</f>
        <v>0</v>
      </c>
      <c r="U341" s="144">
        <f>IFERROR(_xlfn.XLOOKUP($B341,'Cronog. e Histog.'!$BZ:$BZ,'Cronog. e Histog.'!CP:CP),"")</f>
        <v>0</v>
      </c>
      <c r="V341" s="144">
        <f>IFERROR(_xlfn.XLOOKUP($B341,'Cronog. e Histog.'!$BZ:$BZ,'Cronog. e Histog.'!CQ:CQ),"")</f>
        <v>0</v>
      </c>
      <c r="W341" s="144">
        <f>IFERROR(_xlfn.XLOOKUP($B341,'Cronog. e Histog.'!$BZ:$BZ,'Cronog. e Histog.'!CR:CR),"")</f>
        <v>0</v>
      </c>
      <c r="X341" s="144">
        <f>IFERROR(_xlfn.XLOOKUP($B341,'Cronog. e Histog.'!$BZ:$BZ,'Cronog. e Histog.'!CS:CS),"")</f>
        <v>0</v>
      </c>
      <c r="Y341" s="144">
        <f>IFERROR(_xlfn.XLOOKUP($B341,'Cronog. e Histog.'!$BZ:$BZ,'Cronog. e Histog.'!CT:CT),"")</f>
        <v>0</v>
      </c>
      <c r="Z341" s="144">
        <f>IFERROR(_xlfn.XLOOKUP($B341,'Cronog. e Histog.'!$BZ:$BZ,'Cronog. e Histog.'!CU:CU),"")</f>
        <v>0</v>
      </c>
      <c r="AA341" s="144">
        <f>IFERROR(_xlfn.XLOOKUP($B341,'Cronog. e Histog.'!$BZ:$BZ,'Cronog. e Histog.'!CV:CV),"")</f>
        <v>0</v>
      </c>
      <c r="AB341" s="144">
        <f>IFERROR(_xlfn.XLOOKUP($B341,'Cronog. e Histog.'!$BZ:$BZ,'Cronog. e Histog.'!CW:CW),"")</f>
        <v>0</v>
      </c>
      <c r="AC341" s="144">
        <f>IFERROR(_xlfn.XLOOKUP($B341,'Cronog. e Histog.'!$BZ:$BZ,'Cronog. e Histog.'!CX:CX),"")</f>
        <v>0</v>
      </c>
      <c r="AD341" s="144">
        <f>IFERROR(_xlfn.XLOOKUP($B341,'Cronog. e Histog.'!$BZ:$BZ,'Cronog. e Histog.'!CY:CY),"")</f>
        <v>0</v>
      </c>
      <c r="AE341" s="144">
        <f>IFERROR(_xlfn.XLOOKUP($B341,'Cronog. e Histog.'!$BZ:$BZ,'Cronog. e Histog.'!CZ:CZ),"")</f>
        <v>0</v>
      </c>
      <c r="AF341" s="144">
        <f>IFERROR(_xlfn.XLOOKUP($B341,'Cronog. e Histog.'!$BZ:$BZ,'Cronog. e Histog.'!DA:DA),"")</f>
        <v>0</v>
      </c>
      <c r="AG341" s="144">
        <f>IFERROR(_xlfn.XLOOKUP($B341,'Cronog. e Histog.'!$BZ:$BZ,'Cronog. e Histog.'!DB:DB),"")</f>
        <v>0</v>
      </c>
      <c r="AH341" s="144">
        <f>IFERROR(_xlfn.XLOOKUP($B341,'Cronog. e Histog.'!$BZ:$BZ,'Cronog. e Histog.'!DC:DC),"")</f>
        <v>0</v>
      </c>
      <c r="AI341" s="144">
        <f>IFERROR(_xlfn.XLOOKUP($B341,'Cronog. e Histog.'!$BZ:$BZ,'Cronog. e Histog.'!DD:DD),"")</f>
        <v>0</v>
      </c>
      <c r="AJ341" s="144">
        <f>IFERROR(_xlfn.XLOOKUP($B341,'Cronog. e Histog.'!$BZ:$BZ,'Cronog. e Histog.'!DE:DE),"")</f>
        <v>0</v>
      </c>
      <c r="AK341" s="144">
        <f>IFERROR(_xlfn.XLOOKUP($B341,'Cronog. e Histog.'!$BZ:$BZ,'Cronog. e Histog.'!DF:DF),"")</f>
        <v>0</v>
      </c>
      <c r="AL341" s="144">
        <f>IFERROR(_xlfn.XLOOKUP($B341,'Cronog. e Histog.'!$BZ:$BZ,'Cronog. e Histog.'!DG:DG),"")</f>
        <v>0</v>
      </c>
      <c r="AM341" s="144">
        <f>IFERROR(_xlfn.XLOOKUP($B341,'Cronog. e Histog.'!$BZ:$BZ,'Cronog. e Histog.'!DH:DH),"")</f>
        <v>0</v>
      </c>
      <c r="AN341" s="144">
        <f>IFERROR(_xlfn.XLOOKUP($B341,'Cronog. e Histog.'!$BZ:$BZ,'Cronog. e Histog.'!DI:DI),"")</f>
        <v>0</v>
      </c>
      <c r="AO341" s="144">
        <f>IFERROR(_xlfn.XLOOKUP($B341,'Cronog. e Histog.'!$BZ:$BZ,'Cronog. e Histog.'!DJ:DJ),"")</f>
        <v>0</v>
      </c>
      <c r="AP341" s="144">
        <f>IFERROR(_xlfn.XLOOKUP($B341,'Cronog. e Histog.'!$BZ:$BZ,'Cronog. e Histog.'!DK:DK),"")</f>
        <v>0</v>
      </c>
      <c r="AQ341" s="144">
        <f>IFERROR(_xlfn.XLOOKUP($B341,'Cronog. e Histog.'!$BZ:$BZ,'Cronog. e Histog.'!DL:DL),"")</f>
        <v>0</v>
      </c>
      <c r="AR341" s="144">
        <f>IFERROR(_xlfn.XLOOKUP($B341,'Cronog. e Histog.'!$BZ:$BZ,'Cronog. e Histog.'!DM:DM),"")</f>
        <v>0</v>
      </c>
      <c r="AS341" s="144">
        <f>IFERROR(_xlfn.XLOOKUP($B341,'Cronog. e Histog.'!$BZ:$BZ,'Cronog. e Histog.'!DN:DN),"")</f>
        <v>0</v>
      </c>
      <c r="AT341" s="144">
        <f>IFERROR(_xlfn.XLOOKUP($B341,'Cronog. e Histog.'!$BZ:$BZ,'Cronog. e Histog.'!DO:DO),"")</f>
        <v>0</v>
      </c>
      <c r="AU341" s="144">
        <f>IFERROR(_xlfn.XLOOKUP($B341,'Cronog. e Histog.'!$BZ:$BZ,'Cronog. e Histog.'!DP:DP),"")</f>
        <v>0</v>
      </c>
      <c r="AV341" s="144">
        <f>IFERROR(_xlfn.XLOOKUP($B341,'Cronog. e Histog.'!$BZ:$BZ,'Cronog. e Histog.'!DQ:DQ),"")</f>
        <v>0</v>
      </c>
      <c r="AW341" s="144">
        <f>IFERROR(_xlfn.XLOOKUP($B341,'Cronog. e Histog.'!$BZ:$BZ,'Cronog. e Histog.'!DR:DR),"")</f>
        <v>0</v>
      </c>
      <c r="AX341" s="144">
        <f>IFERROR(_xlfn.XLOOKUP($B341,'Cronog. e Histog.'!$BZ:$BZ,'Cronog. e Histog.'!DS:DS),"")</f>
        <v>0</v>
      </c>
      <c r="AY341" s="144">
        <f>IFERROR(_xlfn.XLOOKUP($B341,'Cronog. e Histog.'!$BZ:$BZ,'Cronog. e Histog.'!DT:DT),"")</f>
        <v>0</v>
      </c>
      <c r="AZ341" s="144">
        <f>IFERROR(_xlfn.XLOOKUP($B341,'Cronog. e Histog.'!$BZ:$BZ,'Cronog. e Histog.'!DU:DU),"")</f>
        <v>0</v>
      </c>
      <c r="BA341" s="144">
        <f>IFERROR(_xlfn.XLOOKUP($B341,'Cronog. e Histog.'!$BZ:$BZ,'Cronog. e Histog.'!DV:DV),"")</f>
        <v>0</v>
      </c>
      <c r="BB341" s="144">
        <f>IFERROR(_xlfn.XLOOKUP($B341,'Cronog. e Histog.'!$BZ:$BZ,'Cronog. e Histog.'!DW:DW),"")</f>
        <v>0</v>
      </c>
      <c r="BC341" s="144">
        <f>IFERROR(_xlfn.XLOOKUP($B341,'Cronog. e Histog.'!$BZ:$BZ,'Cronog. e Histog.'!DX:DX),"")</f>
        <v>0</v>
      </c>
      <c r="BD341" s="144">
        <f>IFERROR(_xlfn.XLOOKUP($B341,'Cronog. e Histog.'!$BZ:$BZ,'Cronog. e Histog.'!DY:DY),"")</f>
        <v>0</v>
      </c>
      <c r="BE341" s="144">
        <f>IFERROR(_xlfn.XLOOKUP($B341,'Cronog. e Histog.'!$BZ:$BZ,'Cronog. e Histog.'!DZ:DZ),"")</f>
        <v>0</v>
      </c>
      <c r="BF341" s="144">
        <f>IFERROR(_xlfn.XLOOKUP($B341,'Cronog. e Histog.'!$BZ:$BZ,'Cronog. e Histog.'!EA:EA),"")</f>
        <v>0</v>
      </c>
      <c r="BG341" s="144">
        <f>IFERROR(_xlfn.XLOOKUP($B341,'Cronog. e Histog.'!$BZ:$BZ,'Cronog. e Histog.'!EB:EB),"")</f>
        <v>0</v>
      </c>
      <c r="BH341" s="144">
        <f>IFERROR(_xlfn.XLOOKUP($B341,'Cronog. e Histog.'!$BZ:$BZ,'Cronog. e Histog.'!EC:EC),"")</f>
        <v>0</v>
      </c>
      <c r="BI341" s="144">
        <f>IFERROR(_xlfn.XLOOKUP($B341,'Cronog. e Histog.'!$BZ:$BZ,'Cronog. e Histog.'!ED:ED),"")</f>
        <v>0</v>
      </c>
      <c r="BJ341" s="144">
        <f>IFERROR(_xlfn.XLOOKUP($B341,'Cronog. e Histog.'!$BZ:$BZ,'Cronog. e Histog.'!EE:EE),"")</f>
        <v>0</v>
      </c>
      <c r="BK341" s="144">
        <f>IFERROR(_xlfn.XLOOKUP($B341,'Cronog. e Histog.'!$BZ:$BZ,'Cronog. e Histog.'!EF:EF),"")</f>
        <v>0</v>
      </c>
      <c r="BL341" s="144">
        <f>IFERROR(_xlfn.XLOOKUP($B341,'Cronog. e Histog.'!$BZ:$BZ,'Cronog. e Histog.'!EG:EG),"")</f>
        <v>0</v>
      </c>
      <c r="BM341" s="144">
        <f>IFERROR(_xlfn.XLOOKUP($B341,'Cronog. e Histog.'!$BZ:$BZ,'Cronog. e Histog.'!EH:EH),"")</f>
        <v>0</v>
      </c>
      <c r="BN341" s="144">
        <f>IFERROR(_xlfn.XLOOKUP($B341,'Cronog. e Histog.'!$BZ:$BZ,'Cronog. e Histog.'!EI:EI),"")</f>
        <v>0</v>
      </c>
    </row>
    <row r="342" spans="2:66" ht="12" hidden="1" customHeight="1" outlineLevel="1">
      <c r="B342" s="76">
        <v>336</v>
      </c>
      <c r="C342" s="143" t="str">
        <f>IFERROR(VLOOKUP(B342,'Cronog. e Histog.'!$BZ$213:$CA$747,2,0),"")</f>
        <v>AUX TEC</v>
      </c>
      <c r="D342" s="144">
        <f t="shared" si="6"/>
        <v>0</v>
      </c>
      <c r="E342" s="144">
        <f t="shared" si="7"/>
        <v>0</v>
      </c>
      <c r="F342" s="65"/>
      <c r="G342" s="144">
        <f>IFERROR(_xlfn.XLOOKUP($B342,'Cronog. e Histog.'!$BZ:$BZ,'Cronog. e Histog.'!CB:CB),"")</f>
        <v>0</v>
      </c>
      <c r="H342" s="144">
        <f>IFERROR(_xlfn.XLOOKUP($B342,'Cronog. e Histog.'!$BZ:$BZ,'Cronog. e Histog.'!CC:CC),"")</f>
        <v>0</v>
      </c>
      <c r="I342" s="144">
        <f>IFERROR(_xlfn.XLOOKUP($B342,'Cronog. e Histog.'!$BZ:$BZ,'Cronog. e Histog.'!CD:CD),"")</f>
        <v>0</v>
      </c>
      <c r="J342" s="144">
        <f>IFERROR(_xlfn.XLOOKUP($B342,'Cronog. e Histog.'!$BZ:$BZ,'Cronog. e Histog.'!CE:CE),"")</f>
        <v>0</v>
      </c>
      <c r="K342" s="144">
        <f>IFERROR(_xlfn.XLOOKUP($B342,'Cronog. e Histog.'!$BZ:$BZ,'Cronog. e Histog.'!CF:CF),"")</f>
        <v>0</v>
      </c>
      <c r="L342" s="144">
        <f>IFERROR(_xlfn.XLOOKUP($B342,'Cronog. e Histog.'!$BZ:$BZ,'Cronog. e Histog.'!CG:CG),"")</f>
        <v>0</v>
      </c>
      <c r="M342" s="144">
        <f>IFERROR(_xlfn.XLOOKUP($B342,'Cronog. e Histog.'!$BZ:$BZ,'Cronog. e Histog.'!CH:CH),"")</f>
        <v>0</v>
      </c>
      <c r="N342" s="144">
        <f>IFERROR(_xlfn.XLOOKUP($B342,'Cronog. e Histog.'!$BZ:$BZ,'Cronog. e Histog.'!CI:CI),"")</f>
        <v>0</v>
      </c>
      <c r="O342" s="144">
        <f>IFERROR(_xlfn.XLOOKUP($B342,'Cronog. e Histog.'!$BZ:$BZ,'Cronog. e Histog.'!CJ:CJ),"")</f>
        <v>0</v>
      </c>
      <c r="P342" s="144">
        <f>IFERROR(_xlfn.XLOOKUP($B342,'Cronog. e Histog.'!$BZ:$BZ,'Cronog. e Histog.'!CK:CK),"")</f>
        <v>0</v>
      </c>
      <c r="Q342" s="144">
        <f>IFERROR(_xlfn.XLOOKUP($B342,'Cronog. e Histog.'!$BZ:$BZ,'Cronog. e Histog.'!CL:CL),"")</f>
        <v>0</v>
      </c>
      <c r="R342" s="144">
        <f>IFERROR(_xlfn.XLOOKUP($B342,'Cronog. e Histog.'!$BZ:$BZ,'Cronog. e Histog.'!CM:CM),"")</f>
        <v>0</v>
      </c>
      <c r="S342" s="144">
        <f>IFERROR(_xlfn.XLOOKUP($B342,'Cronog. e Histog.'!$BZ:$BZ,'Cronog. e Histog.'!CN:CN),"")</f>
        <v>0</v>
      </c>
      <c r="T342" s="144">
        <f>IFERROR(_xlfn.XLOOKUP($B342,'Cronog. e Histog.'!$BZ:$BZ,'Cronog. e Histog.'!CO:CO),"")</f>
        <v>0</v>
      </c>
      <c r="U342" s="144">
        <f>IFERROR(_xlfn.XLOOKUP($B342,'Cronog. e Histog.'!$BZ:$BZ,'Cronog. e Histog.'!CP:CP),"")</f>
        <v>0</v>
      </c>
      <c r="V342" s="144">
        <f>IFERROR(_xlfn.XLOOKUP($B342,'Cronog. e Histog.'!$BZ:$BZ,'Cronog. e Histog.'!CQ:CQ),"")</f>
        <v>0</v>
      </c>
      <c r="W342" s="144">
        <f>IFERROR(_xlfn.XLOOKUP($B342,'Cronog. e Histog.'!$BZ:$BZ,'Cronog. e Histog.'!CR:CR),"")</f>
        <v>0</v>
      </c>
      <c r="X342" s="144">
        <f>IFERROR(_xlfn.XLOOKUP($B342,'Cronog. e Histog.'!$BZ:$BZ,'Cronog. e Histog.'!CS:CS),"")</f>
        <v>0</v>
      </c>
      <c r="Y342" s="144">
        <f>IFERROR(_xlfn.XLOOKUP($B342,'Cronog. e Histog.'!$BZ:$BZ,'Cronog. e Histog.'!CT:CT),"")</f>
        <v>0</v>
      </c>
      <c r="Z342" s="144">
        <f>IFERROR(_xlfn.XLOOKUP($B342,'Cronog. e Histog.'!$BZ:$BZ,'Cronog. e Histog.'!CU:CU),"")</f>
        <v>0</v>
      </c>
      <c r="AA342" s="144">
        <f>IFERROR(_xlfn.XLOOKUP($B342,'Cronog. e Histog.'!$BZ:$BZ,'Cronog. e Histog.'!CV:CV),"")</f>
        <v>0</v>
      </c>
      <c r="AB342" s="144">
        <f>IFERROR(_xlfn.XLOOKUP($B342,'Cronog. e Histog.'!$BZ:$BZ,'Cronog. e Histog.'!CW:CW),"")</f>
        <v>0</v>
      </c>
      <c r="AC342" s="144">
        <f>IFERROR(_xlfn.XLOOKUP($B342,'Cronog. e Histog.'!$BZ:$BZ,'Cronog. e Histog.'!CX:CX),"")</f>
        <v>0</v>
      </c>
      <c r="AD342" s="144">
        <f>IFERROR(_xlfn.XLOOKUP($B342,'Cronog. e Histog.'!$BZ:$BZ,'Cronog. e Histog.'!CY:CY),"")</f>
        <v>0</v>
      </c>
      <c r="AE342" s="144">
        <f>IFERROR(_xlfn.XLOOKUP($B342,'Cronog. e Histog.'!$BZ:$BZ,'Cronog. e Histog.'!CZ:CZ),"")</f>
        <v>0</v>
      </c>
      <c r="AF342" s="144">
        <f>IFERROR(_xlfn.XLOOKUP($B342,'Cronog. e Histog.'!$BZ:$BZ,'Cronog. e Histog.'!DA:DA),"")</f>
        <v>0</v>
      </c>
      <c r="AG342" s="144">
        <f>IFERROR(_xlfn.XLOOKUP($B342,'Cronog. e Histog.'!$BZ:$BZ,'Cronog. e Histog.'!DB:DB),"")</f>
        <v>0</v>
      </c>
      <c r="AH342" s="144">
        <f>IFERROR(_xlfn.XLOOKUP($B342,'Cronog. e Histog.'!$BZ:$BZ,'Cronog. e Histog.'!DC:DC),"")</f>
        <v>0</v>
      </c>
      <c r="AI342" s="144">
        <f>IFERROR(_xlfn.XLOOKUP($B342,'Cronog. e Histog.'!$BZ:$BZ,'Cronog. e Histog.'!DD:DD),"")</f>
        <v>0</v>
      </c>
      <c r="AJ342" s="144">
        <f>IFERROR(_xlfn.XLOOKUP($B342,'Cronog. e Histog.'!$BZ:$BZ,'Cronog. e Histog.'!DE:DE),"")</f>
        <v>0</v>
      </c>
      <c r="AK342" s="144">
        <f>IFERROR(_xlfn.XLOOKUP($B342,'Cronog. e Histog.'!$BZ:$BZ,'Cronog. e Histog.'!DF:DF),"")</f>
        <v>0</v>
      </c>
      <c r="AL342" s="144">
        <f>IFERROR(_xlfn.XLOOKUP($B342,'Cronog. e Histog.'!$BZ:$BZ,'Cronog. e Histog.'!DG:DG),"")</f>
        <v>0</v>
      </c>
      <c r="AM342" s="144">
        <f>IFERROR(_xlfn.XLOOKUP($B342,'Cronog. e Histog.'!$BZ:$BZ,'Cronog. e Histog.'!DH:DH),"")</f>
        <v>0</v>
      </c>
      <c r="AN342" s="144">
        <f>IFERROR(_xlfn.XLOOKUP($B342,'Cronog. e Histog.'!$BZ:$BZ,'Cronog. e Histog.'!DI:DI),"")</f>
        <v>0</v>
      </c>
      <c r="AO342" s="144">
        <f>IFERROR(_xlfn.XLOOKUP($B342,'Cronog. e Histog.'!$BZ:$BZ,'Cronog. e Histog.'!DJ:DJ),"")</f>
        <v>0</v>
      </c>
      <c r="AP342" s="144">
        <f>IFERROR(_xlfn.XLOOKUP($B342,'Cronog. e Histog.'!$BZ:$BZ,'Cronog. e Histog.'!DK:DK),"")</f>
        <v>0</v>
      </c>
      <c r="AQ342" s="144">
        <f>IFERROR(_xlfn.XLOOKUP($B342,'Cronog. e Histog.'!$BZ:$BZ,'Cronog. e Histog.'!DL:DL),"")</f>
        <v>0</v>
      </c>
      <c r="AR342" s="144">
        <f>IFERROR(_xlfn.XLOOKUP($B342,'Cronog. e Histog.'!$BZ:$BZ,'Cronog. e Histog.'!DM:DM),"")</f>
        <v>0</v>
      </c>
      <c r="AS342" s="144">
        <f>IFERROR(_xlfn.XLOOKUP($B342,'Cronog. e Histog.'!$BZ:$BZ,'Cronog. e Histog.'!DN:DN),"")</f>
        <v>0</v>
      </c>
      <c r="AT342" s="144">
        <f>IFERROR(_xlfn.XLOOKUP($B342,'Cronog. e Histog.'!$BZ:$BZ,'Cronog. e Histog.'!DO:DO),"")</f>
        <v>0</v>
      </c>
      <c r="AU342" s="144">
        <f>IFERROR(_xlfn.XLOOKUP($B342,'Cronog. e Histog.'!$BZ:$BZ,'Cronog. e Histog.'!DP:DP),"")</f>
        <v>0</v>
      </c>
      <c r="AV342" s="144">
        <f>IFERROR(_xlfn.XLOOKUP($B342,'Cronog. e Histog.'!$BZ:$BZ,'Cronog. e Histog.'!DQ:DQ),"")</f>
        <v>0</v>
      </c>
      <c r="AW342" s="144">
        <f>IFERROR(_xlfn.XLOOKUP($B342,'Cronog. e Histog.'!$BZ:$BZ,'Cronog. e Histog.'!DR:DR),"")</f>
        <v>0</v>
      </c>
      <c r="AX342" s="144">
        <f>IFERROR(_xlfn.XLOOKUP($B342,'Cronog. e Histog.'!$BZ:$BZ,'Cronog. e Histog.'!DS:DS),"")</f>
        <v>0</v>
      </c>
      <c r="AY342" s="144">
        <f>IFERROR(_xlfn.XLOOKUP($B342,'Cronog. e Histog.'!$BZ:$BZ,'Cronog. e Histog.'!DT:DT),"")</f>
        <v>0</v>
      </c>
      <c r="AZ342" s="144">
        <f>IFERROR(_xlfn.XLOOKUP($B342,'Cronog. e Histog.'!$BZ:$BZ,'Cronog. e Histog.'!DU:DU),"")</f>
        <v>0</v>
      </c>
      <c r="BA342" s="144">
        <f>IFERROR(_xlfn.XLOOKUP($B342,'Cronog. e Histog.'!$BZ:$BZ,'Cronog. e Histog.'!DV:DV),"")</f>
        <v>0</v>
      </c>
      <c r="BB342" s="144">
        <f>IFERROR(_xlfn.XLOOKUP($B342,'Cronog. e Histog.'!$BZ:$BZ,'Cronog. e Histog.'!DW:DW),"")</f>
        <v>0</v>
      </c>
      <c r="BC342" s="144">
        <f>IFERROR(_xlfn.XLOOKUP($B342,'Cronog. e Histog.'!$BZ:$BZ,'Cronog. e Histog.'!DX:DX),"")</f>
        <v>0</v>
      </c>
      <c r="BD342" s="144">
        <f>IFERROR(_xlfn.XLOOKUP($B342,'Cronog. e Histog.'!$BZ:$BZ,'Cronog. e Histog.'!DY:DY),"")</f>
        <v>0</v>
      </c>
      <c r="BE342" s="144">
        <f>IFERROR(_xlfn.XLOOKUP($B342,'Cronog. e Histog.'!$BZ:$BZ,'Cronog. e Histog.'!DZ:DZ),"")</f>
        <v>0</v>
      </c>
      <c r="BF342" s="144">
        <f>IFERROR(_xlfn.XLOOKUP($B342,'Cronog. e Histog.'!$BZ:$BZ,'Cronog. e Histog.'!EA:EA),"")</f>
        <v>0</v>
      </c>
      <c r="BG342" s="144">
        <f>IFERROR(_xlfn.XLOOKUP($B342,'Cronog. e Histog.'!$BZ:$BZ,'Cronog. e Histog.'!EB:EB),"")</f>
        <v>0</v>
      </c>
      <c r="BH342" s="144">
        <f>IFERROR(_xlfn.XLOOKUP($B342,'Cronog. e Histog.'!$BZ:$BZ,'Cronog. e Histog.'!EC:EC),"")</f>
        <v>0</v>
      </c>
      <c r="BI342" s="144">
        <f>IFERROR(_xlfn.XLOOKUP($B342,'Cronog. e Histog.'!$BZ:$BZ,'Cronog. e Histog.'!ED:ED),"")</f>
        <v>0</v>
      </c>
      <c r="BJ342" s="144">
        <f>IFERROR(_xlfn.XLOOKUP($B342,'Cronog. e Histog.'!$BZ:$BZ,'Cronog. e Histog.'!EE:EE),"")</f>
        <v>0</v>
      </c>
      <c r="BK342" s="144">
        <f>IFERROR(_xlfn.XLOOKUP($B342,'Cronog. e Histog.'!$BZ:$BZ,'Cronog. e Histog.'!EF:EF),"")</f>
        <v>0</v>
      </c>
      <c r="BL342" s="144">
        <f>IFERROR(_xlfn.XLOOKUP($B342,'Cronog. e Histog.'!$BZ:$BZ,'Cronog. e Histog.'!EG:EG),"")</f>
        <v>0</v>
      </c>
      <c r="BM342" s="144">
        <f>IFERROR(_xlfn.XLOOKUP($B342,'Cronog. e Histog.'!$BZ:$BZ,'Cronog. e Histog.'!EH:EH),"")</f>
        <v>0</v>
      </c>
      <c r="BN342" s="144">
        <f>IFERROR(_xlfn.XLOOKUP($B342,'Cronog. e Histog.'!$BZ:$BZ,'Cronog. e Histog.'!EI:EI),"")</f>
        <v>0</v>
      </c>
    </row>
    <row r="343" spans="2:66" ht="12" hidden="1" customHeight="1" outlineLevel="1">
      <c r="B343" s="76">
        <v>337</v>
      </c>
      <c r="C343" s="143" t="str">
        <f>IFERROR(VLOOKUP(B343,'Cronog. e Histog.'!$BZ$213:$CA$747,2,0),"")</f>
        <v>AUX ADM</v>
      </c>
      <c r="D343" s="144">
        <f t="shared" si="6"/>
        <v>0</v>
      </c>
      <c r="E343" s="144">
        <f t="shared" si="7"/>
        <v>0</v>
      </c>
      <c r="F343" s="65"/>
      <c r="G343" s="144">
        <f>IFERROR(_xlfn.XLOOKUP($B343,'Cronog. e Histog.'!$BZ:$BZ,'Cronog. e Histog.'!CB:CB),"")</f>
        <v>0</v>
      </c>
      <c r="H343" s="144">
        <f>IFERROR(_xlfn.XLOOKUP($B343,'Cronog. e Histog.'!$BZ:$BZ,'Cronog. e Histog.'!CC:CC),"")</f>
        <v>0</v>
      </c>
      <c r="I343" s="144">
        <f>IFERROR(_xlfn.XLOOKUP($B343,'Cronog. e Histog.'!$BZ:$BZ,'Cronog. e Histog.'!CD:CD),"")</f>
        <v>0</v>
      </c>
      <c r="J343" s="144">
        <f>IFERROR(_xlfn.XLOOKUP($B343,'Cronog. e Histog.'!$BZ:$BZ,'Cronog. e Histog.'!CE:CE),"")</f>
        <v>0</v>
      </c>
      <c r="K343" s="144">
        <f>IFERROR(_xlfn.XLOOKUP($B343,'Cronog. e Histog.'!$BZ:$BZ,'Cronog. e Histog.'!CF:CF),"")</f>
        <v>0</v>
      </c>
      <c r="L343" s="144">
        <f>IFERROR(_xlfn.XLOOKUP($B343,'Cronog. e Histog.'!$BZ:$BZ,'Cronog. e Histog.'!CG:CG),"")</f>
        <v>0</v>
      </c>
      <c r="M343" s="144">
        <f>IFERROR(_xlfn.XLOOKUP($B343,'Cronog. e Histog.'!$BZ:$BZ,'Cronog. e Histog.'!CH:CH),"")</f>
        <v>0</v>
      </c>
      <c r="N343" s="144">
        <f>IFERROR(_xlfn.XLOOKUP($B343,'Cronog. e Histog.'!$BZ:$BZ,'Cronog. e Histog.'!CI:CI),"")</f>
        <v>0</v>
      </c>
      <c r="O343" s="144">
        <f>IFERROR(_xlfn.XLOOKUP($B343,'Cronog. e Histog.'!$BZ:$BZ,'Cronog. e Histog.'!CJ:CJ),"")</f>
        <v>0</v>
      </c>
      <c r="P343" s="144">
        <f>IFERROR(_xlfn.XLOOKUP($B343,'Cronog. e Histog.'!$BZ:$BZ,'Cronog. e Histog.'!CK:CK),"")</f>
        <v>0</v>
      </c>
      <c r="Q343" s="144">
        <f>IFERROR(_xlfn.XLOOKUP($B343,'Cronog. e Histog.'!$BZ:$BZ,'Cronog. e Histog.'!CL:CL),"")</f>
        <v>0</v>
      </c>
      <c r="R343" s="144">
        <f>IFERROR(_xlfn.XLOOKUP($B343,'Cronog. e Histog.'!$BZ:$BZ,'Cronog. e Histog.'!CM:CM),"")</f>
        <v>0</v>
      </c>
      <c r="S343" s="144">
        <f>IFERROR(_xlfn.XLOOKUP($B343,'Cronog. e Histog.'!$BZ:$BZ,'Cronog. e Histog.'!CN:CN),"")</f>
        <v>0</v>
      </c>
      <c r="T343" s="144">
        <f>IFERROR(_xlfn.XLOOKUP($B343,'Cronog. e Histog.'!$BZ:$BZ,'Cronog. e Histog.'!CO:CO),"")</f>
        <v>0</v>
      </c>
      <c r="U343" s="144">
        <f>IFERROR(_xlfn.XLOOKUP($B343,'Cronog. e Histog.'!$BZ:$BZ,'Cronog. e Histog.'!CP:CP),"")</f>
        <v>0</v>
      </c>
      <c r="V343" s="144">
        <f>IFERROR(_xlfn.XLOOKUP($B343,'Cronog. e Histog.'!$BZ:$BZ,'Cronog. e Histog.'!CQ:CQ),"")</f>
        <v>0</v>
      </c>
      <c r="W343" s="144">
        <f>IFERROR(_xlfn.XLOOKUP($B343,'Cronog. e Histog.'!$BZ:$BZ,'Cronog. e Histog.'!CR:CR),"")</f>
        <v>0</v>
      </c>
      <c r="X343" s="144">
        <f>IFERROR(_xlfn.XLOOKUP($B343,'Cronog. e Histog.'!$BZ:$BZ,'Cronog. e Histog.'!CS:CS),"")</f>
        <v>0</v>
      </c>
      <c r="Y343" s="144">
        <f>IFERROR(_xlfn.XLOOKUP($B343,'Cronog. e Histog.'!$BZ:$BZ,'Cronog. e Histog.'!CT:CT),"")</f>
        <v>0</v>
      </c>
      <c r="Z343" s="144">
        <f>IFERROR(_xlfn.XLOOKUP($B343,'Cronog. e Histog.'!$BZ:$BZ,'Cronog. e Histog.'!CU:CU),"")</f>
        <v>0</v>
      </c>
      <c r="AA343" s="144">
        <f>IFERROR(_xlfn.XLOOKUP($B343,'Cronog. e Histog.'!$BZ:$BZ,'Cronog. e Histog.'!CV:CV),"")</f>
        <v>0</v>
      </c>
      <c r="AB343" s="144">
        <f>IFERROR(_xlfn.XLOOKUP($B343,'Cronog. e Histog.'!$BZ:$BZ,'Cronog. e Histog.'!CW:CW),"")</f>
        <v>0</v>
      </c>
      <c r="AC343" s="144">
        <f>IFERROR(_xlfn.XLOOKUP($B343,'Cronog. e Histog.'!$BZ:$BZ,'Cronog. e Histog.'!CX:CX),"")</f>
        <v>0</v>
      </c>
      <c r="AD343" s="144">
        <f>IFERROR(_xlfn.XLOOKUP($B343,'Cronog. e Histog.'!$BZ:$BZ,'Cronog. e Histog.'!CY:CY),"")</f>
        <v>0</v>
      </c>
      <c r="AE343" s="144">
        <f>IFERROR(_xlfn.XLOOKUP($B343,'Cronog. e Histog.'!$BZ:$BZ,'Cronog. e Histog.'!CZ:CZ),"")</f>
        <v>0</v>
      </c>
      <c r="AF343" s="144">
        <f>IFERROR(_xlfn.XLOOKUP($B343,'Cronog. e Histog.'!$BZ:$BZ,'Cronog. e Histog.'!DA:DA),"")</f>
        <v>0</v>
      </c>
      <c r="AG343" s="144">
        <f>IFERROR(_xlfn.XLOOKUP($B343,'Cronog. e Histog.'!$BZ:$BZ,'Cronog. e Histog.'!DB:DB),"")</f>
        <v>0</v>
      </c>
      <c r="AH343" s="144">
        <f>IFERROR(_xlfn.XLOOKUP($B343,'Cronog. e Histog.'!$BZ:$BZ,'Cronog. e Histog.'!DC:DC),"")</f>
        <v>0</v>
      </c>
      <c r="AI343" s="144">
        <f>IFERROR(_xlfn.XLOOKUP($B343,'Cronog. e Histog.'!$BZ:$BZ,'Cronog. e Histog.'!DD:DD),"")</f>
        <v>0</v>
      </c>
      <c r="AJ343" s="144">
        <f>IFERROR(_xlfn.XLOOKUP($B343,'Cronog. e Histog.'!$BZ:$BZ,'Cronog. e Histog.'!DE:DE),"")</f>
        <v>0</v>
      </c>
      <c r="AK343" s="144">
        <f>IFERROR(_xlfn.XLOOKUP($B343,'Cronog. e Histog.'!$BZ:$BZ,'Cronog. e Histog.'!DF:DF),"")</f>
        <v>0</v>
      </c>
      <c r="AL343" s="144">
        <f>IFERROR(_xlfn.XLOOKUP($B343,'Cronog. e Histog.'!$BZ:$BZ,'Cronog. e Histog.'!DG:DG),"")</f>
        <v>0</v>
      </c>
      <c r="AM343" s="144">
        <f>IFERROR(_xlfn.XLOOKUP($B343,'Cronog. e Histog.'!$BZ:$BZ,'Cronog. e Histog.'!DH:DH),"")</f>
        <v>0</v>
      </c>
      <c r="AN343" s="144">
        <f>IFERROR(_xlfn.XLOOKUP($B343,'Cronog. e Histog.'!$BZ:$BZ,'Cronog. e Histog.'!DI:DI),"")</f>
        <v>0</v>
      </c>
      <c r="AO343" s="144">
        <f>IFERROR(_xlfn.XLOOKUP($B343,'Cronog. e Histog.'!$BZ:$BZ,'Cronog. e Histog.'!DJ:DJ),"")</f>
        <v>0</v>
      </c>
      <c r="AP343" s="144">
        <f>IFERROR(_xlfn.XLOOKUP($B343,'Cronog. e Histog.'!$BZ:$BZ,'Cronog. e Histog.'!DK:DK),"")</f>
        <v>0</v>
      </c>
      <c r="AQ343" s="144">
        <f>IFERROR(_xlfn.XLOOKUP($B343,'Cronog. e Histog.'!$BZ:$BZ,'Cronog. e Histog.'!DL:DL),"")</f>
        <v>0</v>
      </c>
      <c r="AR343" s="144">
        <f>IFERROR(_xlfn.XLOOKUP($B343,'Cronog. e Histog.'!$BZ:$BZ,'Cronog. e Histog.'!DM:DM),"")</f>
        <v>0</v>
      </c>
      <c r="AS343" s="144">
        <f>IFERROR(_xlfn.XLOOKUP($B343,'Cronog. e Histog.'!$BZ:$BZ,'Cronog. e Histog.'!DN:DN),"")</f>
        <v>0</v>
      </c>
      <c r="AT343" s="144">
        <f>IFERROR(_xlfn.XLOOKUP($B343,'Cronog. e Histog.'!$BZ:$BZ,'Cronog. e Histog.'!DO:DO),"")</f>
        <v>0</v>
      </c>
      <c r="AU343" s="144">
        <f>IFERROR(_xlfn.XLOOKUP($B343,'Cronog. e Histog.'!$BZ:$BZ,'Cronog. e Histog.'!DP:DP),"")</f>
        <v>0</v>
      </c>
      <c r="AV343" s="144">
        <f>IFERROR(_xlfn.XLOOKUP($B343,'Cronog. e Histog.'!$BZ:$BZ,'Cronog. e Histog.'!DQ:DQ),"")</f>
        <v>0</v>
      </c>
      <c r="AW343" s="144">
        <f>IFERROR(_xlfn.XLOOKUP($B343,'Cronog. e Histog.'!$BZ:$BZ,'Cronog. e Histog.'!DR:DR),"")</f>
        <v>0</v>
      </c>
      <c r="AX343" s="144">
        <f>IFERROR(_xlfn.XLOOKUP($B343,'Cronog. e Histog.'!$BZ:$BZ,'Cronog. e Histog.'!DS:DS),"")</f>
        <v>0</v>
      </c>
      <c r="AY343" s="144">
        <f>IFERROR(_xlfn.XLOOKUP($B343,'Cronog. e Histog.'!$BZ:$BZ,'Cronog. e Histog.'!DT:DT),"")</f>
        <v>0</v>
      </c>
      <c r="AZ343" s="144">
        <f>IFERROR(_xlfn.XLOOKUP($B343,'Cronog. e Histog.'!$BZ:$BZ,'Cronog. e Histog.'!DU:DU),"")</f>
        <v>0</v>
      </c>
      <c r="BA343" s="144">
        <f>IFERROR(_xlfn.XLOOKUP($B343,'Cronog. e Histog.'!$BZ:$BZ,'Cronog. e Histog.'!DV:DV),"")</f>
        <v>0</v>
      </c>
      <c r="BB343" s="144">
        <f>IFERROR(_xlfn.XLOOKUP($B343,'Cronog. e Histog.'!$BZ:$BZ,'Cronog. e Histog.'!DW:DW),"")</f>
        <v>0</v>
      </c>
      <c r="BC343" s="144">
        <f>IFERROR(_xlfn.XLOOKUP($B343,'Cronog. e Histog.'!$BZ:$BZ,'Cronog. e Histog.'!DX:DX),"")</f>
        <v>0</v>
      </c>
      <c r="BD343" s="144">
        <f>IFERROR(_xlfn.XLOOKUP($B343,'Cronog. e Histog.'!$BZ:$BZ,'Cronog. e Histog.'!DY:DY),"")</f>
        <v>0</v>
      </c>
      <c r="BE343" s="144">
        <f>IFERROR(_xlfn.XLOOKUP($B343,'Cronog. e Histog.'!$BZ:$BZ,'Cronog. e Histog.'!DZ:DZ),"")</f>
        <v>0</v>
      </c>
      <c r="BF343" s="144">
        <f>IFERROR(_xlfn.XLOOKUP($B343,'Cronog. e Histog.'!$BZ:$BZ,'Cronog. e Histog.'!EA:EA),"")</f>
        <v>0</v>
      </c>
      <c r="BG343" s="144">
        <f>IFERROR(_xlfn.XLOOKUP($B343,'Cronog. e Histog.'!$BZ:$BZ,'Cronog. e Histog.'!EB:EB),"")</f>
        <v>0</v>
      </c>
      <c r="BH343" s="144">
        <f>IFERROR(_xlfn.XLOOKUP($B343,'Cronog. e Histog.'!$BZ:$BZ,'Cronog. e Histog.'!EC:EC),"")</f>
        <v>0</v>
      </c>
      <c r="BI343" s="144">
        <f>IFERROR(_xlfn.XLOOKUP($B343,'Cronog. e Histog.'!$BZ:$BZ,'Cronog. e Histog.'!ED:ED),"")</f>
        <v>0</v>
      </c>
      <c r="BJ343" s="144">
        <f>IFERROR(_xlfn.XLOOKUP($B343,'Cronog. e Histog.'!$BZ:$BZ,'Cronog. e Histog.'!EE:EE),"")</f>
        <v>0</v>
      </c>
      <c r="BK343" s="144">
        <f>IFERROR(_xlfn.XLOOKUP($B343,'Cronog. e Histog.'!$BZ:$BZ,'Cronog. e Histog.'!EF:EF),"")</f>
        <v>0</v>
      </c>
      <c r="BL343" s="144">
        <f>IFERROR(_xlfn.XLOOKUP($B343,'Cronog. e Histog.'!$BZ:$BZ,'Cronog. e Histog.'!EG:EG),"")</f>
        <v>0</v>
      </c>
      <c r="BM343" s="144">
        <f>IFERROR(_xlfn.XLOOKUP($B343,'Cronog. e Histog.'!$BZ:$BZ,'Cronog. e Histog.'!EH:EH),"")</f>
        <v>0</v>
      </c>
      <c r="BN343" s="144">
        <f>IFERROR(_xlfn.XLOOKUP($B343,'Cronog. e Histog.'!$BZ:$BZ,'Cronog. e Histog.'!EI:EI),"")</f>
        <v>0</v>
      </c>
    </row>
    <row r="344" spans="2:66" ht="12" hidden="1" customHeight="1" outlineLevel="1">
      <c r="B344" s="76">
        <v>338</v>
      </c>
      <c r="C344" s="143" t="str">
        <f>IFERROR(VLOOKUP(B344,'Cronog. e Histog.'!$BZ$213:$CA$747,2,0),"")</f>
        <v>EST</v>
      </c>
      <c r="D344" s="144">
        <f t="shared" si="6"/>
        <v>0</v>
      </c>
      <c r="E344" s="144">
        <f t="shared" si="7"/>
        <v>0</v>
      </c>
      <c r="F344" s="65"/>
      <c r="G344" s="144">
        <f>IFERROR(_xlfn.XLOOKUP($B344,'Cronog. e Histog.'!$BZ:$BZ,'Cronog. e Histog.'!CB:CB),"")</f>
        <v>0</v>
      </c>
      <c r="H344" s="144">
        <f>IFERROR(_xlfn.XLOOKUP($B344,'Cronog. e Histog.'!$BZ:$BZ,'Cronog. e Histog.'!CC:CC),"")</f>
        <v>0</v>
      </c>
      <c r="I344" s="144">
        <f>IFERROR(_xlfn.XLOOKUP($B344,'Cronog. e Histog.'!$BZ:$BZ,'Cronog. e Histog.'!CD:CD),"")</f>
        <v>0</v>
      </c>
      <c r="J344" s="144">
        <f>IFERROR(_xlfn.XLOOKUP($B344,'Cronog. e Histog.'!$BZ:$BZ,'Cronog. e Histog.'!CE:CE),"")</f>
        <v>0</v>
      </c>
      <c r="K344" s="144">
        <f>IFERROR(_xlfn.XLOOKUP($B344,'Cronog. e Histog.'!$BZ:$BZ,'Cronog. e Histog.'!CF:CF),"")</f>
        <v>0</v>
      </c>
      <c r="L344" s="144">
        <f>IFERROR(_xlfn.XLOOKUP($B344,'Cronog. e Histog.'!$BZ:$BZ,'Cronog. e Histog.'!CG:CG),"")</f>
        <v>0</v>
      </c>
      <c r="M344" s="144">
        <f>IFERROR(_xlfn.XLOOKUP($B344,'Cronog. e Histog.'!$BZ:$BZ,'Cronog. e Histog.'!CH:CH),"")</f>
        <v>0</v>
      </c>
      <c r="N344" s="144">
        <f>IFERROR(_xlfn.XLOOKUP($B344,'Cronog. e Histog.'!$BZ:$BZ,'Cronog. e Histog.'!CI:CI),"")</f>
        <v>0</v>
      </c>
      <c r="O344" s="144">
        <f>IFERROR(_xlfn.XLOOKUP($B344,'Cronog. e Histog.'!$BZ:$BZ,'Cronog. e Histog.'!CJ:CJ),"")</f>
        <v>0</v>
      </c>
      <c r="P344" s="144">
        <f>IFERROR(_xlfn.XLOOKUP($B344,'Cronog. e Histog.'!$BZ:$BZ,'Cronog. e Histog.'!CK:CK),"")</f>
        <v>0</v>
      </c>
      <c r="Q344" s="144">
        <f>IFERROR(_xlfn.XLOOKUP($B344,'Cronog. e Histog.'!$BZ:$BZ,'Cronog. e Histog.'!CL:CL),"")</f>
        <v>0</v>
      </c>
      <c r="R344" s="144">
        <f>IFERROR(_xlfn.XLOOKUP($B344,'Cronog. e Histog.'!$BZ:$BZ,'Cronog. e Histog.'!CM:CM),"")</f>
        <v>0</v>
      </c>
      <c r="S344" s="144">
        <f>IFERROR(_xlfn.XLOOKUP($B344,'Cronog. e Histog.'!$BZ:$BZ,'Cronog. e Histog.'!CN:CN),"")</f>
        <v>0</v>
      </c>
      <c r="T344" s="144">
        <f>IFERROR(_xlfn.XLOOKUP($B344,'Cronog. e Histog.'!$BZ:$BZ,'Cronog. e Histog.'!CO:CO),"")</f>
        <v>0</v>
      </c>
      <c r="U344" s="144">
        <f>IFERROR(_xlfn.XLOOKUP($B344,'Cronog. e Histog.'!$BZ:$BZ,'Cronog. e Histog.'!CP:CP),"")</f>
        <v>0</v>
      </c>
      <c r="V344" s="144">
        <f>IFERROR(_xlfn.XLOOKUP($B344,'Cronog. e Histog.'!$BZ:$BZ,'Cronog. e Histog.'!CQ:CQ),"")</f>
        <v>0</v>
      </c>
      <c r="W344" s="144">
        <f>IFERROR(_xlfn.XLOOKUP($B344,'Cronog. e Histog.'!$BZ:$BZ,'Cronog. e Histog.'!CR:CR),"")</f>
        <v>0</v>
      </c>
      <c r="X344" s="144">
        <f>IFERROR(_xlfn.XLOOKUP($B344,'Cronog. e Histog.'!$BZ:$BZ,'Cronog. e Histog.'!CS:CS),"")</f>
        <v>0</v>
      </c>
      <c r="Y344" s="144">
        <f>IFERROR(_xlfn.XLOOKUP($B344,'Cronog. e Histog.'!$BZ:$BZ,'Cronog. e Histog.'!CT:CT),"")</f>
        <v>0</v>
      </c>
      <c r="Z344" s="144">
        <f>IFERROR(_xlfn.XLOOKUP($B344,'Cronog. e Histog.'!$BZ:$BZ,'Cronog. e Histog.'!CU:CU),"")</f>
        <v>0</v>
      </c>
      <c r="AA344" s="144">
        <f>IFERROR(_xlfn.XLOOKUP($B344,'Cronog. e Histog.'!$BZ:$BZ,'Cronog. e Histog.'!CV:CV),"")</f>
        <v>0</v>
      </c>
      <c r="AB344" s="144">
        <f>IFERROR(_xlfn.XLOOKUP($B344,'Cronog. e Histog.'!$BZ:$BZ,'Cronog. e Histog.'!CW:CW),"")</f>
        <v>0</v>
      </c>
      <c r="AC344" s="144">
        <f>IFERROR(_xlfn.XLOOKUP($B344,'Cronog. e Histog.'!$BZ:$BZ,'Cronog. e Histog.'!CX:CX),"")</f>
        <v>0</v>
      </c>
      <c r="AD344" s="144">
        <f>IFERROR(_xlfn.XLOOKUP($B344,'Cronog. e Histog.'!$BZ:$BZ,'Cronog. e Histog.'!CY:CY),"")</f>
        <v>0</v>
      </c>
      <c r="AE344" s="144">
        <f>IFERROR(_xlfn.XLOOKUP($B344,'Cronog. e Histog.'!$BZ:$BZ,'Cronog. e Histog.'!CZ:CZ),"")</f>
        <v>0</v>
      </c>
      <c r="AF344" s="144">
        <f>IFERROR(_xlfn.XLOOKUP($B344,'Cronog. e Histog.'!$BZ:$BZ,'Cronog. e Histog.'!DA:DA),"")</f>
        <v>0</v>
      </c>
      <c r="AG344" s="144">
        <f>IFERROR(_xlfn.XLOOKUP($B344,'Cronog. e Histog.'!$BZ:$BZ,'Cronog. e Histog.'!DB:DB),"")</f>
        <v>0</v>
      </c>
      <c r="AH344" s="144">
        <f>IFERROR(_xlfn.XLOOKUP($B344,'Cronog. e Histog.'!$BZ:$BZ,'Cronog. e Histog.'!DC:DC),"")</f>
        <v>0</v>
      </c>
      <c r="AI344" s="144">
        <f>IFERROR(_xlfn.XLOOKUP($B344,'Cronog. e Histog.'!$BZ:$BZ,'Cronog. e Histog.'!DD:DD),"")</f>
        <v>0</v>
      </c>
      <c r="AJ344" s="144">
        <f>IFERROR(_xlfn.XLOOKUP($B344,'Cronog. e Histog.'!$BZ:$BZ,'Cronog. e Histog.'!DE:DE),"")</f>
        <v>0</v>
      </c>
      <c r="AK344" s="144">
        <f>IFERROR(_xlfn.XLOOKUP($B344,'Cronog. e Histog.'!$BZ:$BZ,'Cronog. e Histog.'!DF:DF),"")</f>
        <v>0</v>
      </c>
      <c r="AL344" s="144">
        <f>IFERROR(_xlfn.XLOOKUP($B344,'Cronog. e Histog.'!$BZ:$BZ,'Cronog. e Histog.'!DG:DG),"")</f>
        <v>0</v>
      </c>
      <c r="AM344" s="144">
        <f>IFERROR(_xlfn.XLOOKUP($B344,'Cronog. e Histog.'!$BZ:$BZ,'Cronog. e Histog.'!DH:DH),"")</f>
        <v>0</v>
      </c>
      <c r="AN344" s="144">
        <f>IFERROR(_xlfn.XLOOKUP($B344,'Cronog. e Histog.'!$BZ:$BZ,'Cronog. e Histog.'!DI:DI),"")</f>
        <v>0</v>
      </c>
      <c r="AO344" s="144">
        <f>IFERROR(_xlfn.XLOOKUP($B344,'Cronog. e Histog.'!$BZ:$BZ,'Cronog. e Histog.'!DJ:DJ),"")</f>
        <v>0</v>
      </c>
      <c r="AP344" s="144">
        <f>IFERROR(_xlfn.XLOOKUP($B344,'Cronog. e Histog.'!$BZ:$BZ,'Cronog. e Histog.'!DK:DK),"")</f>
        <v>0</v>
      </c>
      <c r="AQ344" s="144">
        <f>IFERROR(_xlfn.XLOOKUP($B344,'Cronog. e Histog.'!$BZ:$BZ,'Cronog. e Histog.'!DL:DL),"")</f>
        <v>0</v>
      </c>
      <c r="AR344" s="144">
        <f>IFERROR(_xlfn.XLOOKUP($B344,'Cronog. e Histog.'!$BZ:$BZ,'Cronog. e Histog.'!DM:DM),"")</f>
        <v>0</v>
      </c>
      <c r="AS344" s="144">
        <f>IFERROR(_xlfn.XLOOKUP($B344,'Cronog. e Histog.'!$BZ:$BZ,'Cronog. e Histog.'!DN:DN),"")</f>
        <v>0</v>
      </c>
      <c r="AT344" s="144">
        <f>IFERROR(_xlfn.XLOOKUP($B344,'Cronog. e Histog.'!$BZ:$BZ,'Cronog. e Histog.'!DO:DO),"")</f>
        <v>0</v>
      </c>
      <c r="AU344" s="144">
        <f>IFERROR(_xlfn.XLOOKUP($B344,'Cronog. e Histog.'!$BZ:$BZ,'Cronog. e Histog.'!DP:DP),"")</f>
        <v>0</v>
      </c>
      <c r="AV344" s="144">
        <f>IFERROR(_xlfn.XLOOKUP($B344,'Cronog. e Histog.'!$BZ:$BZ,'Cronog. e Histog.'!DQ:DQ),"")</f>
        <v>0</v>
      </c>
      <c r="AW344" s="144">
        <f>IFERROR(_xlfn.XLOOKUP($B344,'Cronog. e Histog.'!$BZ:$BZ,'Cronog. e Histog.'!DR:DR),"")</f>
        <v>0</v>
      </c>
      <c r="AX344" s="144">
        <f>IFERROR(_xlfn.XLOOKUP($B344,'Cronog. e Histog.'!$BZ:$BZ,'Cronog. e Histog.'!DS:DS),"")</f>
        <v>0</v>
      </c>
      <c r="AY344" s="144">
        <f>IFERROR(_xlfn.XLOOKUP($B344,'Cronog. e Histog.'!$BZ:$BZ,'Cronog. e Histog.'!DT:DT),"")</f>
        <v>0</v>
      </c>
      <c r="AZ344" s="144">
        <f>IFERROR(_xlfn.XLOOKUP($B344,'Cronog. e Histog.'!$BZ:$BZ,'Cronog. e Histog.'!DU:DU),"")</f>
        <v>0</v>
      </c>
      <c r="BA344" s="144">
        <f>IFERROR(_xlfn.XLOOKUP($B344,'Cronog. e Histog.'!$BZ:$BZ,'Cronog. e Histog.'!DV:DV),"")</f>
        <v>0</v>
      </c>
      <c r="BB344" s="144">
        <f>IFERROR(_xlfn.XLOOKUP($B344,'Cronog. e Histog.'!$BZ:$BZ,'Cronog. e Histog.'!DW:DW),"")</f>
        <v>0</v>
      </c>
      <c r="BC344" s="144">
        <f>IFERROR(_xlfn.XLOOKUP($B344,'Cronog. e Histog.'!$BZ:$BZ,'Cronog. e Histog.'!DX:DX),"")</f>
        <v>0</v>
      </c>
      <c r="BD344" s="144">
        <f>IFERROR(_xlfn.XLOOKUP($B344,'Cronog. e Histog.'!$BZ:$BZ,'Cronog. e Histog.'!DY:DY),"")</f>
        <v>0</v>
      </c>
      <c r="BE344" s="144">
        <f>IFERROR(_xlfn.XLOOKUP($B344,'Cronog. e Histog.'!$BZ:$BZ,'Cronog. e Histog.'!DZ:DZ),"")</f>
        <v>0</v>
      </c>
      <c r="BF344" s="144">
        <f>IFERROR(_xlfn.XLOOKUP($B344,'Cronog. e Histog.'!$BZ:$BZ,'Cronog. e Histog.'!EA:EA),"")</f>
        <v>0</v>
      </c>
      <c r="BG344" s="144">
        <f>IFERROR(_xlfn.XLOOKUP($B344,'Cronog. e Histog.'!$BZ:$BZ,'Cronog. e Histog.'!EB:EB),"")</f>
        <v>0</v>
      </c>
      <c r="BH344" s="144">
        <f>IFERROR(_xlfn.XLOOKUP($B344,'Cronog. e Histog.'!$BZ:$BZ,'Cronog. e Histog.'!EC:EC),"")</f>
        <v>0</v>
      </c>
      <c r="BI344" s="144">
        <f>IFERROR(_xlfn.XLOOKUP($B344,'Cronog. e Histog.'!$BZ:$BZ,'Cronog. e Histog.'!ED:ED),"")</f>
        <v>0</v>
      </c>
      <c r="BJ344" s="144">
        <f>IFERROR(_xlfn.XLOOKUP($B344,'Cronog. e Histog.'!$BZ:$BZ,'Cronog. e Histog.'!EE:EE),"")</f>
        <v>0</v>
      </c>
      <c r="BK344" s="144">
        <f>IFERROR(_xlfn.XLOOKUP($B344,'Cronog. e Histog.'!$BZ:$BZ,'Cronog. e Histog.'!EF:EF),"")</f>
        <v>0</v>
      </c>
      <c r="BL344" s="144">
        <f>IFERROR(_xlfn.XLOOKUP($B344,'Cronog. e Histog.'!$BZ:$BZ,'Cronog. e Histog.'!EG:EG),"")</f>
        <v>0</v>
      </c>
      <c r="BM344" s="144">
        <f>IFERROR(_xlfn.XLOOKUP($B344,'Cronog. e Histog.'!$BZ:$BZ,'Cronog. e Histog.'!EH:EH),"")</f>
        <v>0</v>
      </c>
      <c r="BN344" s="144">
        <f>IFERROR(_xlfn.XLOOKUP($B344,'Cronog. e Histog.'!$BZ:$BZ,'Cronog. e Histog.'!EI:EI),"")</f>
        <v>0</v>
      </c>
    </row>
    <row r="345" spans="2:66" ht="12" hidden="1" customHeight="1" outlineLevel="1">
      <c r="B345" s="76">
        <v>339</v>
      </c>
      <c r="C345" s="143" t="str">
        <f>IFERROR(VLOOKUP(B345,'Cronog. e Histog.'!$BZ$213:$CA$747,2,0),"")</f>
        <v>EST_II</v>
      </c>
      <c r="D345" s="144">
        <f t="shared" si="6"/>
        <v>0</v>
      </c>
      <c r="E345" s="144">
        <f t="shared" si="7"/>
        <v>0</v>
      </c>
      <c r="F345" s="65"/>
      <c r="G345" s="144">
        <f>IFERROR(_xlfn.XLOOKUP($B345,'Cronog. e Histog.'!$BZ:$BZ,'Cronog. e Histog.'!CB:CB),"")</f>
        <v>0</v>
      </c>
      <c r="H345" s="144">
        <f>IFERROR(_xlfn.XLOOKUP($B345,'Cronog. e Histog.'!$BZ:$BZ,'Cronog. e Histog.'!CC:CC),"")</f>
        <v>0</v>
      </c>
      <c r="I345" s="144">
        <f>IFERROR(_xlfn.XLOOKUP($B345,'Cronog. e Histog.'!$BZ:$BZ,'Cronog. e Histog.'!CD:CD),"")</f>
        <v>0</v>
      </c>
      <c r="J345" s="144">
        <f>IFERROR(_xlfn.XLOOKUP($B345,'Cronog. e Histog.'!$BZ:$BZ,'Cronog. e Histog.'!CE:CE),"")</f>
        <v>0</v>
      </c>
      <c r="K345" s="144">
        <f>IFERROR(_xlfn.XLOOKUP($B345,'Cronog. e Histog.'!$BZ:$BZ,'Cronog. e Histog.'!CF:CF),"")</f>
        <v>0</v>
      </c>
      <c r="L345" s="144">
        <f>IFERROR(_xlfn.XLOOKUP($B345,'Cronog. e Histog.'!$BZ:$BZ,'Cronog. e Histog.'!CG:CG),"")</f>
        <v>0</v>
      </c>
      <c r="M345" s="144">
        <f>IFERROR(_xlfn.XLOOKUP($B345,'Cronog. e Histog.'!$BZ:$BZ,'Cronog. e Histog.'!CH:CH),"")</f>
        <v>0</v>
      </c>
      <c r="N345" s="144">
        <f>IFERROR(_xlfn.XLOOKUP($B345,'Cronog. e Histog.'!$BZ:$BZ,'Cronog. e Histog.'!CI:CI),"")</f>
        <v>0</v>
      </c>
      <c r="O345" s="144">
        <f>IFERROR(_xlfn.XLOOKUP($B345,'Cronog. e Histog.'!$BZ:$BZ,'Cronog. e Histog.'!CJ:CJ),"")</f>
        <v>0</v>
      </c>
      <c r="P345" s="144">
        <f>IFERROR(_xlfn.XLOOKUP($B345,'Cronog. e Histog.'!$BZ:$BZ,'Cronog. e Histog.'!CK:CK),"")</f>
        <v>0</v>
      </c>
      <c r="Q345" s="144">
        <f>IFERROR(_xlfn.XLOOKUP($B345,'Cronog. e Histog.'!$BZ:$BZ,'Cronog. e Histog.'!CL:CL),"")</f>
        <v>0</v>
      </c>
      <c r="R345" s="144">
        <f>IFERROR(_xlfn.XLOOKUP($B345,'Cronog. e Histog.'!$BZ:$BZ,'Cronog. e Histog.'!CM:CM),"")</f>
        <v>0</v>
      </c>
      <c r="S345" s="144">
        <f>IFERROR(_xlfn.XLOOKUP($B345,'Cronog. e Histog.'!$BZ:$BZ,'Cronog. e Histog.'!CN:CN),"")</f>
        <v>0</v>
      </c>
      <c r="T345" s="144">
        <f>IFERROR(_xlfn.XLOOKUP($B345,'Cronog. e Histog.'!$BZ:$BZ,'Cronog. e Histog.'!CO:CO),"")</f>
        <v>0</v>
      </c>
      <c r="U345" s="144">
        <f>IFERROR(_xlfn.XLOOKUP($B345,'Cronog. e Histog.'!$BZ:$BZ,'Cronog. e Histog.'!CP:CP),"")</f>
        <v>0</v>
      </c>
      <c r="V345" s="144">
        <f>IFERROR(_xlfn.XLOOKUP($B345,'Cronog. e Histog.'!$BZ:$BZ,'Cronog. e Histog.'!CQ:CQ),"")</f>
        <v>0</v>
      </c>
      <c r="W345" s="144">
        <f>IFERROR(_xlfn.XLOOKUP($B345,'Cronog. e Histog.'!$BZ:$BZ,'Cronog. e Histog.'!CR:CR),"")</f>
        <v>0</v>
      </c>
      <c r="X345" s="144">
        <f>IFERROR(_xlfn.XLOOKUP($B345,'Cronog. e Histog.'!$BZ:$BZ,'Cronog. e Histog.'!CS:CS),"")</f>
        <v>0</v>
      </c>
      <c r="Y345" s="144">
        <f>IFERROR(_xlfn.XLOOKUP($B345,'Cronog. e Histog.'!$BZ:$BZ,'Cronog. e Histog.'!CT:CT),"")</f>
        <v>0</v>
      </c>
      <c r="Z345" s="144">
        <f>IFERROR(_xlfn.XLOOKUP($B345,'Cronog. e Histog.'!$BZ:$BZ,'Cronog. e Histog.'!CU:CU),"")</f>
        <v>0</v>
      </c>
      <c r="AA345" s="144">
        <f>IFERROR(_xlfn.XLOOKUP($B345,'Cronog. e Histog.'!$BZ:$BZ,'Cronog. e Histog.'!CV:CV),"")</f>
        <v>0</v>
      </c>
      <c r="AB345" s="144">
        <f>IFERROR(_xlfn.XLOOKUP($B345,'Cronog. e Histog.'!$BZ:$BZ,'Cronog. e Histog.'!CW:CW),"")</f>
        <v>0</v>
      </c>
      <c r="AC345" s="144">
        <f>IFERROR(_xlfn.XLOOKUP($B345,'Cronog. e Histog.'!$BZ:$BZ,'Cronog. e Histog.'!CX:CX),"")</f>
        <v>0</v>
      </c>
      <c r="AD345" s="144">
        <f>IFERROR(_xlfn.XLOOKUP($B345,'Cronog. e Histog.'!$BZ:$BZ,'Cronog. e Histog.'!CY:CY),"")</f>
        <v>0</v>
      </c>
      <c r="AE345" s="144">
        <f>IFERROR(_xlfn.XLOOKUP($B345,'Cronog. e Histog.'!$BZ:$BZ,'Cronog. e Histog.'!CZ:CZ),"")</f>
        <v>0</v>
      </c>
      <c r="AF345" s="144">
        <f>IFERROR(_xlfn.XLOOKUP($B345,'Cronog. e Histog.'!$BZ:$BZ,'Cronog. e Histog.'!DA:DA),"")</f>
        <v>0</v>
      </c>
      <c r="AG345" s="144">
        <f>IFERROR(_xlfn.XLOOKUP($B345,'Cronog. e Histog.'!$BZ:$BZ,'Cronog. e Histog.'!DB:DB),"")</f>
        <v>0</v>
      </c>
      <c r="AH345" s="144">
        <f>IFERROR(_xlfn.XLOOKUP($B345,'Cronog. e Histog.'!$BZ:$BZ,'Cronog. e Histog.'!DC:DC),"")</f>
        <v>0</v>
      </c>
      <c r="AI345" s="144">
        <f>IFERROR(_xlfn.XLOOKUP($B345,'Cronog. e Histog.'!$BZ:$BZ,'Cronog. e Histog.'!DD:DD),"")</f>
        <v>0</v>
      </c>
      <c r="AJ345" s="144">
        <f>IFERROR(_xlfn.XLOOKUP($B345,'Cronog. e Histog.'!$BZ:$BZ,'Cronog. e Histog.'!DE:DE),"")</f>
        <v>0</v>
      </c>
      <c r="AK345" s="144">
        <f>IFERROR(_xlfn.XLOOKUP($B345,'Cronog. e Histog.'!$BZ:$BZ,'Cronog. e Histog.'!DF:DF),"")</f>
        <v>0</v>
      </c>
      <c r="AL345" s="144">
        <f>IFERROR(_xlfn.XLOOKUP($B345,'Cronog. e Histog.'!$BZ:$BZ,'Cronog. e Histog.'!DG:DG),"")</f>
        <v>0</v>
      </c>
      <c r="AM345" s="144">
        <f>IFERROR(_xlfn.XLOOKUP($B345,'Cronog. e Histog.'!$BZ:$BZ,'Cronog. e Histog.'!DH:DH),"")</f>
        <v>0</v>
      </c>
      <c r="AN345" s="144">
        <f>IFERROR(_xlfn.XLOOKUP($B345,'Cronog. e Histog.'!$BZ:$BZ,'Cronog. e Histog.'!DI:DI),"")</f>
        <v>0</v>
      </c>
      <c r="AO345" s="144">
        <f>IFERROR(_xlfn.XLOOKUP($B345,'Cronog. e Histog.'!$BZ:$BZ,'Cronog. e Histog.'!DJ:DJ),"")</f>
        <v>0</v>
      </c>
      <c r="AP345" s="144">
        <f>IFERROR(_xlfn.XLOOKUP($B345,'Cronog. e Histog.'!$BZ:$BZ,'Cronog. e Histog.'!DK:DK),"")</f>
        <v>0</v>
      </c>
      <c r="AQ345" s="144">
        <f>IFERROR(_xlfn.XLOOKUP($B345,'Cronog. e Histog.'!$BZ:$BZ,'Cronog. e Histog.'!DL:DL),"")</f>
        <v>0</v>
      </c>
      <c r="AR345" s="144">
        <f>IFERROR(_xlfn.XLOOKUP($B345,'Cronog. e Histog.'!$BZ:$BZ,'Cronog. e Histog.'!DM:DM),"")</f>
        <v>0</v>
      </c>
      <c r="AS345" s="144">
        <f>IFERROR(_xlfn.XLOOKUP($B345,'Cronog. e Histog.'!$BZ:$BZ,'Cronog. e Histog.'!DN:DN),"")</f>
        <v>0</v>
      </c>
      <c r="AT345" s="144">
        <f>IFERROR(_xlfn.XLOOKUP($B345,'Cronog. e Histog.'!$BZ:$BZ,'Cronog. e Histog.'!DO:DO),"")</f>
        <v>0</v>
      </c>
      <c r="AU345" s="144">
        <f>IFERROR(_xlfn.XLOOKUP($B345,'Cronog. e Histog.'!$BZ:$BZ,'Cronog. e Histog.'!DP:DP),"")</f>
        <v>0</v>
      </c>
      <c r="AV345" s="144">
        <f>IFERROR(_xlfn.XLOOKUP($B345,'Cronog. e Histog.'!$BZ:$BZ,'Cronog. e Histog.'!DQ:DQ),"")</f>
        <v>0</v>
      </c>
      <c r="AW345" s="144">
        <f>IFERROR(_xlfn.XLOOKUP($B345,'Cronog. e Histog.'!$BZ:$BZ,'Cronog. e Histog.'!DR:DR),"")</f>
        <v>0</v>
      </c>
      <c r="AX345" s="144">
        <f>IFERROR(_xlfn.XLOOKUP($B345,'Cronog. e Histog.'!$BZ:$BZ,'Cronog. e Histog.'!DS:DS),"")</f>
        <v>0</v>
      </c>
      <c r="AY345" s="144">
        <f>IFERROR(_xlfn.XLOOKUP($B345,'Cronog. e Histog.'!$BZ:$BZ,'Cronog. e Histog.'!DT:DT),"")</f>
        <v>0</v>
      </c>
      <c r="AZ345" s="144">
        <f>IFERROR(_xlfn.XLOOKUP($B345,'Cronog. e Histog.'!$BZ:$BZ,'Cronog. e Histog.'!DU:DU),"")</f>
        <v>0</v>
      </c>
      <c r="BA345" s="144">
        <f>IFERROR(_xlfn.XLOOKUP($B345,'Cronog. e Histog.'!$BZ:$BZ,'Cronog. e Histog.'!DV:DV),"")</f>
        <v>0</v>
      </c>
      <c r="BB345" s="144">
        <f>IFERROR(_xlfn.XLOOKUP($B345,'Cronog. e Histog.'!$BZ:$BZ,'Cronog. e Histog.'!DW:DW),"")</f>
        <v>0</v>
      </c>
      <c r="BC345" s="144">
        <f>IFERROR(_xlfn.XLOOKUP($B345,'Cronog. e Histog.'!$BZ:$BZ,'Cronog. e Histog.'!DX:DX),"")</f>
        <v>0</v>
      </c>
      <c r="BD345" s="144">
        <f>IFERROR(_xlfn.XLOOKUP($B345,'Cronog. e Histog.'!$BZ:$BZ,'Cronog. e Histog.'!DY:DY),"")</f>
        <v>0</v>
      </c>
      <c r="BE345" s="144">
        <f>IFERROR(_xlfn.XLOOKUP($B345,'Cronog. e Histog.'!$BZ:$BZ,'Cronog. e Histog.'!DZ:DZ),"")</f>
        <v>0</v>
      </c>
      <c r="BF345" s="144">
        <f>IFERROR(_xlfn.XLOOKUP($B345,'Cronog. e Histog.'!$BZ:$BZ,'Cronog. e Histog.'!EA:EA),"")</f>
        <v>0</v>
      </c>
      <c r="BG345" s="144">
        <f>IFERROR(_xlfn.XLOOKUP($B345,'Cronog. e Histog.'!$BZ:$BZ,'Cronog. e Histog.'!EB:EB),"")</f>
        <v>0</v>
      </c>
      <c r="BH345" s="144">
        <f>IFERROR(_xlfn.XLOOKUP($B345,'Cronog. e Histog.'!$BZ:$BZ,'Cronog. e Histog.'!EC:EC),"")</f>
        <v>0</v>
      </c>
      <c r="BI345" s="144">
        <f>IFERROR(_xlfn.XLOOKUP($B345,'Cronog. e Histog.'!$BZ:$BZ,'Cronog. e Histog.'!ED:ED),"")</f>
        <v>0</v>
      </c>
      <c r="BJ345" s="144">
        <f>IFERROR(_xlfn.XLOOKUP($B345,'Cronog. e Histog.'!$BZ:$BZ,'Cronog. e Histog.'!EE:EE),"")</f>
        <v>0</v>
      </c>
      <c r="BK345" s="144">
        <f>IFERROR(_xlfn.XLOOKUP($B345,'Cronog. e Histog.'!$BZ:$BZ,'Cronog. e Histog.'!EF:EF),"")</f>
        <v>0</v>
      </c>
      <c r="BL345" s="144">
        <f>IFERROR(_xlfn.XLOOKUP($B345,'Cronog. e Histog.'!$BZ:$BZ,'Cronog. e Histog.'!EG:EG),"")</f>
        <v>0</v>
      </c>
      <c r="BM345" s="144">
        <f>IFERROR(_xlfn.XLOOKUP($B345,'Cronog. e Histog.'!$BZ:$BZ,'Cronog. e Histog.'!EH:EH),"")</f>
        <v>0</v>
      </c>
      <c r="BN345" s="144">
        <f>IFERROR(_xlfn.XLOOKUP($B345,'Cronog. e Histog.'!$BZ:$BZ,'Cronog. e Histog.'!EI:EI),"")</f>
        <v>0</v>
      </c>
    </row>
    <row r="346" spans="2:66" ht="12" hidden="1" customHeight="1" outlineLevel="1">
      <c r="B346" s="76">
        <v>340</v>
      </c>
      <c r="C346" s="143" t="str">
        <f>IFERROR(VLOOKUP(B346,'Cronog. e Histog.'!$BZ$213:$CA$747,2,0),"")</f>
        <v>EST_III</v>
      </c>
      <c r="D346" s="144">
        <f t="shared" si="6"/>
        <v>0</v>
      </c>
      <c r="E346" s="144">
        <f t="shared" si="7"/>
        <v>0</v>
      </c>
      <c r="F346" s="65"/>
      <c r="G346" s="144">
        <f>IFERROR(_xlfn.XLOOKUP($B346,'Cronog. e Histog.'!$BZ:$BZ,'Cronog. e Histog.'!CB:CB),"")</f>
        <v>0</v>
      </c>
      <c r="H346" s="144">
        <f>IFERROR(_xlfn.XLOOKUP($B346,'Cronog. e Histog.'!$BZ:$BZ,'Cronog. e Histog.'!CC:CC),"")</f>
        <v>0</v>
      </c>
      <c r="I346" s="144">
        <f>IFERROR(_xlfn.XLOOKUP($B346,'Cronog. e Histog.'!$BZ:$BZ,'Cronog. e Histog.'!CD:CD),"")</f>
        <v>0</v>
      </c>
      <c r="J346" s="144">
        <f>IFERROR(_xlfn.XLOOKUP($B346,'Cronog. e Histog.'!$BZ:$BZ,'Cronog. e Histog.'!CE:CE),"")</f>
        <v>0</v>
      </c>
      <c r="K346" s="144">
        <f>IFERROR(_xlfn.XLOOKUP($B346,'Cronog. e Histog.'!$BZ:$BZ,'Cronog. e Histog.'!CF:CF),"")</f>
        <v>0</v>
      </c>
      <c r="L346" s="144">
        <f>IFERROR(_xlfn.XLOOKUP($B346,'Cronog. e Histog.'!$BZ:$BZ,'Cronog. e Histog.'!CG:CG),"")</f>
        <v>0</v>
      </c>
      <c r="M346" s="144">
        <f>IFERROR(_xlfn.XLOOKUP($B346,'Cronog. e Histog.'!$BZ:$BZ,'Cronog. e Histog.'!CH:CH),"")</f>
        <v>0</v>
      </c>
      <c r="N346" s="144">
        <f>IFERROR(_xlfn.XLOOKUP($B346,'Cronog. e Histog.'!$BZ:$BZ,'Cronog. e Histog.'!CI:CI),"")</f>
        <v>0</v>
      </c>
      <c r="O346" s="144">
        <f>IFERROR(_xlfn.XLOOKUP($B346,'Cronog. e Histog.'!$BZ:$BZ,'Cronog. e Histog.'!CJ:CJ),"")</f>
        <v>0</v>
      </c>
      <c r="P346" s="144">
        <f>IFERROR(_xlfn.XLOOKUP($B346,'Cronog. e Histog.'!$BZ:$BZ,'Cronog. e Histog.'!CK:CK),"")</f>
        <v>0</v>
      </c>
      <c r="Q346" s="144">
        <f>IFERROR(_xlfn.XLOOKUP($B346,'Cronog. e Histog.'!$BZ:$BZ,'Cronog. e Histog.'!CL:CL),"")</f>
        <v>0</v>
      </c>
      <c r="R346" s="144">
        <f>IFERROR(_xlfn.XLOOKUP($B346,'Cronog. e Histog.'!$BZ:$BZ,'Cronog. e Histog.'!CM:CM),"")</f>
        <v>0</v>
      </c>
      <c r="S346" s="144">
        <f>IFERROR(_xlfn.XLOOKUP($B346,'Cronog. e Histog.'!$BZ:$BZ,'Cronog. e Histog.'!CN:CN),"")</f>
        <v>0</v>
      </c>
      <c r="T346" s="144">
        <f>IFERROR(_xlfn.XLOOKUP($B346,'Cronog. e Histog.'!$BZ:$BZ,'Cronog. e Histog.'!CO:CO),"")</f>
        <v>0</v>
      </c>
      <c r="U346" s="144">
        <f>IFERROR(_xlfn.XLOOKUP($B346,'Cronog. e Histog.'!$BZ:$BZ,'Cronog. e Histog.'!CP:CP),"")</f>
        <v>0</v>
      </c>
      <c r="V346" s="144">
        <f>IFERROR(_xlfn.XLOOKUP($B346,'Cronog. e Histog.'!$BZ:$BZ,'Cronog. e Histog.'!CQ:CQ),"")</f>
        <v>0</v>
      </c>
      <c r="W346" s="144">
        <f>IFERROR(_xlfn.XLOOKUP($B346,'Cronog. e Histog.'!$BZ:$BZ,'Cronog. e Histog.'!CR:CR),"")</f>
        <v>0</v>
      </c>
      <c r="X346" s="144">
        <f>IFERROR(_xlfn.XLOOKUP($B346,'Cronog. e Histog.'!$BZ:$BZ,'Cronog. e Histog.'!CS:CS),"")</f>
        <v>0</v>
      </c>
      <c r="Y346" s="144">
        <f>IFERROR(_xlfn.XLOOKUP($B346,'Cronog. e Histog.'!$BZ:$BZ,'Cronog. e Histog.'!CT:CT),"")</f>
        <v>0</v>
      </c>
      <c r="Z346" s="144">
        <f>IFERROR(_xlfn.XLOOKUP($B346,'Cronog. e Histog.'!$BZ:$BZ,'Cronog. e Histog.'!CU:CU),"")</f>
        <v>0</v>
      </c>
      <c r="AA346" s="144">
        <f>IFERROR(_xlfn.XLOOKUP($B346,'Cronog. e Histog.'!$BZ:$BZ,'Cronog. e Histog.'!CV:CV),"")</f>
        <v>0</v>
      </c>
      <c r="AB346" s="144">
        <f>IFERROR(_xlfn.XLOOKUP($B346,'Cronog. e Histog.'!$BZ:$BZ,'Cronog. e Histog.'!CW:CW),"")</f>
        <v>0</v>
      </c>
      <c r="AC346" s="144">
        <f>IFERROR(_xlfn.XLOOKUP($B346,'Cronog. e Histog.'!$BZ:$BZ,'Cronog. e Histog.'!CX:CX),"")</f>
        <v>0</v>
      </c>
      <c r="AD346" s="144">
        <f>IFERROR(_xlfn.XLOOKUP($B346,'Cronog. e Histog.'!$BZ:$BZ,'Cronog. e Histog.'!CY:CY),"")</f>
        <v>0</v>
      </c>
      <c r="AE346" s="144">
        <f>IFERROR(_xlfn.XLOOKUP($B346,'Cronog. e Histog.'!$BZ:$BZ,'Cronog. e Histog.'!CZ:CZ),"")</f>
        <v>0</v>
      </c>
      <c r="AF346" s="144">
        <f>IFERROR(_xlfn.XLOOKUP($B346,'Cronog. e Histog.'!$BZ:$BZ,'Cronog. e Histog.'!DA:DA),"")</f>
        <v>0</v>
      </c>
      <c r="AG346" s="144">
        <f>IFERROR(_xlfn.XLOOKUP($B346,'Cronog. e Histog.'!$BZ:$BZ,'Cronog. e Histog.'!DB:DB),"")</f>
        <v>0</v>
      </c>
      <c r="AH346" s="144">
        <f>IFERROR(_xlfn.XLOOKUP($B346,'Cronog. e Histog.'!$BZ:$BZ,'Cronog. e Histog.'!DC:DC),"")</f>
        <v>0</v>
      </c>
      <c r="AI346" s="144">
        <f>IFERROR(_xlfn.XLOOKUP($B346,'Cronog. e Histog.'!$BZ:$BZ,'Cronog. e Histog.'!DD:DD),"")</f>
        <v>0</v>
      </c>
      <c r="AJ346" s="144">
        <f>IFERROR(_xlfn.XLOOKUP($B346,'Cronog. e Histog.'!$BZ:$BZ,'Cronog. e Histog.'!DE:DE),"")</f>
        <v>0</v>
      </c>
      <c r="AK346" s="144">
        <f>IFERROR(_xlfn.XLOOKUP($B346,'Cronog. e Histog.'!$BZ:$BZ,'Cronog. e Histog.'!DF:DF),"")</f>
        <v>0</v>
      </c>
      <c r="AL346" s="144">
        <f>IFERROR(_xlfn.XLOOKUP($B346,'Cronog. e Histog.'!$BZ:$BZ,'Cronog. e Histog.'!DG:DG),"")</f>
        <v>0</v>
      </c>
      <c r="AM346" s="144">
        <f>IFERROR(_xlfn.XLOOKUP($B346,'Cronog. e Histog.'!$BZ:$BZ,'Cronog. e Histog.'!DH:DH),"")</f>
        <v>0</v>
      </c>
      <c r="AN346" s="144">
        <f>IFERROR(_xlfn.XLOOKUP($B346,'Cronog. e Histog.'!$BZ:$BZ,'Cronog. e Histog.'!DI:DI),"")</f>
        <v>0</v>
      </c>
      <c r="AO346" s="144">
        <f>IFERROR(_xlfn.XLOOKUP($B346,'Cronog. e Histog.'!$BZ:$BZ,'Cronog. e Histog.'!DJ:DJ),"")</f>
        <v>0</v>
      </c>
      <c r="AP346" s="144">
        <f>IFERROR(_xlfn.XLOOKUP($B346,'Cronog. e Histog.'!$BZ:$BZ,'Cronog. e Histog.'!DK:DK),"")</f>
        <v>0</v>
      </c>
      <c r="AQ346" s="144">
        <f>IFERROR(_xlfn.XLOOKUP($B346,'Cronog. e Histog.'!$BZ:$BZ,'Cronog. e Histog.'!DL:DL),"")</f>
        <v>0</v>
      </c>
      <c r="AR346" s="144">
        <f>IFERROR(_xlfn.XLOOKUP($B346,'Cronog. e Histog.'!$BZ:$BZ,'Cronog. e Histog.'!DM:DM),"")</f>
        <v>0</v>
      </c>
      <c r="AS346" s="144">
        <f>IFERROR(_xlfn.XLOOKUP($B346,'Cronog. e Histog.'!$BZ:$BZ,'Cronog. e Histog.'!DN:DN),"")</f>
        <v>0</v>
      </c>
      <c r="AT346" s="144">
        <f>IFERROR(_xlfn.XLOOKUP($B346,'Cronog. e Histog.'!$BZ:$BZ,'Cronog. e Histog.'!DO:DO),"")</f>
        <v>0</v>
      </c>
      <c r="AU346" s="144">
        <f>IFERROR(_xlfn.XLOOKUP($B346,'Cronog. e Histog.'!$BZ:$BZ,'Cronog. e Histog.'!DP:DP),"")</f>
        <v>0</v>
      </c>
      <c r="AV346" s="144">
        <f>IFERROR(_xlfn.XLOOKUP($B346,'Cronog. e Histog.'!$BZ:$BZ,'Cronog. e Histog.'!DQ:DQ),"")</f>
        <v>0</v>
      </c>
      <c r="AW346" s="144">
        <f>IFERROR(_xlfn.XLOOKUP($B346,'Cronog. e Histog.'!$BZ:$BZ,'Cronog. e Histog.'!DR:DR),"")</f>
        <v>0</v>
      </c>
      <c r="AX346" s="144">
        <f>IFERROR(_xlfn.XLOOKUP($B346,'Cronog. e Histog.'!$BZ:$BZ,'Cronog. e Histog.'!DS:DS),"")</f>
        <v>0</v>
      </c>
      <c r="AY346" s="144">
        <f>IFERROR(_xlfn.XLOOKUP($B346,'Cronog. e Histog.'!$BZ:$BZ,'Cronog. e Histog.'!DT:DT),"")</f>
        <v>0</v>
      </c>
      <c r="AZ346" s="144">
        <f>IFERROR(_xlfn.XLOOKUP($B346,'Cronog. e Histog.'!$BZ:$BZ,'Cronog. e Histog.'!DU:DU),"")</f>
        <v>0</v>
      </c>
      <c r="BA346" s="144">
        <f>IFERROR(_xlfn.XLOOKUP($B346,'Cronog. e Histog.'!$BZ:$BZ,'Cronog. e Histog.'!DV:DV),"")</f>
        <v>0</v>
      </c>
      <c r="BB346" s="144">
        <f>IFERROR(_xlfn.XLOOKUP($B346,'Cronog. e Histog.'!$BZ:$BZ,'Cronog. e Histog.'!DW:DW),"")</f>
        <v>0</v>
      </c>
      <c r="BC346" s="144">
        <f>IFERROR(_xlfn.XLOOKUP($B346,'Cronog. e Histog.'!$BZ:$BZ,'Cronog. e Histog.'!DX:DX),"")</f>
        <v>0</v>
      </c>
      <c r="BD346" s="144">
        <f>IFERROR(_xlfn.XLOOKUP($B346,'Cronog. e Histog.'!$BZ:$BZ,'Cronog. e Histog.'!DY:DY),"")</f>
        <v>0</v>
      </c>
      <c r="BE346" s="144">
        <f>IFERROR(_xlfn.XLOOKUP($B346,'Cronog. e Histog.'!$BZ:$BZ,'Cronog. e Histog.'!DZ:DZ),"")</f>
        <v>0</v>
      </c>
      <c r="BF346" s="144">
        <f>IFERROR(_xlfn.XLOOKUP($B346,'Cronog. e Histog.'!$BZ:$BZ,'Cronog. e Histog.'!EA:EA),"")</f>
        <v>0</v>
      </c>
      <c r="BG346" s="144">
        <f>IFERROR(_xlfn.XLOOKUP($B346,'Cronog. e Histog.'!$BZ:$BZ,'Cronog. e Histog.'!EB:EB),"")</f>
        <v>0</v>
      </c>
      <c r="BH346" s="144">
        <f>IFERROR(_xlfn.XLOOKUP($B346,'Cronog. e Histog.'!$BZ:$BZ,'Cronog. e Histog.'!EC:EC),"")</f>
        <v>0</v>
      </c>
      <c r="BI346" s="144">
        <f>IFERROR(_xlfn.XLOOKUP($B346,'Cronog. e Histog.'!$BZ:$BZ,'Cronog. e Histog.'!ED:ED),"")</f>
        <v>0</v>
      </c>
      <c r="BJ346" s="144">
        <f>IFERROR(_xlfn.XLOOKUP($B346,'Cronog. e Histog.'!$BZ:$BZ,'Cronog. e Histog.'!EE:EE),"")</f>
        <v>0</v>
      </c>
      <c r="BK346" s="144">
        <f>IFERROR(_xlfn.XLOOKUP($B346,'Cronog. e Histog.'!$BZ:$BZ,'Cronog. e Histog.'!EF:EF),"")</f>
        <v>0</v>
      </c>
      <c r="BL346" s="144">
        <f>IFERROR(_xlfn.XLOOKUP($B346,'Cronog. e Histog.'!$BZ:$BZ,'Cronog. e Histog.'!EG:EG),"")</f>
        <v>0</v>
      </c>
      <c r="BM346" s="144">
        <f>IFERROR(_xlfn.XLOOKUP($B346,'Cronog. e Histog.'!$BZ:$BZ,'Cronog. e Histog.'!EH:EH),"")</f>
        <v>0</v>
      </c>
      <c r="BN346" s="144">
        <f>IFERROR(_xlfn.XLOOKUP($B346,'Cronog. e Histog.'!$BZ:$BZ,'Cronog. e Histog.'!EI:EI),"")</f>
        <v>0</v>
      </c>
    </row>
    <row r="347" spans="2:66" ht="12" hidden="1" customHeight="1" outlineLevel="1">
      <c r="B347" s="76">
        <v>341</v>
      </c>
      <c r="C347" s="143" t="str">
        <f>IFERROR(VLOOKUP(B347,'Cronog. e Histog.'!$BZ$213:$CA$747,2,0),"")</f>
        <v>GER. (OBRA/PROJ)</v>
      </c>
      <c r="D347" s="144">
        <f t="shared" si="6"/>
        <v>0</v>
      </c>
      <c r="E347" s="144">
        <f t="shared" si="7"/>
        <v>0</v>
      </c>
      <c r="F347" s="65"/>
      <c r="G347" s="144">
        <f>IFERROR(_xlfn.XLOOKUP($B347,'Cronog. e Histog.'!$BZ:$BZ,'Cronog. e Histog.'!CB:CB),"")</f>
        <v>0</v>
      </c>
      <c r="H347" s="144">
        <f>IFERROR(_xlfn.XLOOKUP($B347,'Cronog. e Histog.'!$BZ:$BZ,'Cronog. e Histog.'!CC:CC),"")</f>
        <v>0</v>
      </c>
      <c r="I347" s="144">
        <f>IFERROR(_xlfn.XLOOKUP($B347,'Cronog. e Histog.'!$BZ:$BZ,'Cronog. e Histog.'!CD:CD),"")</f>
        <v>0</v>
      </c>
      <c r="J347" s="144">
        <f>IFERROR(_xlfn.XLOOKUP($B347,'Cronog. e Histog.'!$BZ:$BZ,'Cronog. e Histog.'!CE:CE),"")</f>
        <v>0</v>
      </c>
      <c r="K347" s="144">
        <f>IFERROR(_xlfn.XLOOKUP($B347,'Cronog. e Histog.'!$BZ:$BZ,'Cronog. e Histog.'!CF:CF),"")</f>
        <v>0</v>
      </c>
      <c r="L347" s="144">
        <f>IFERROR(_xlfn.XLOOKUP($B347,'Cronog. e Histog.'!$BZ:$BZ,'Cronog. e Histog.'!CG:CG),"")</f>
        <v>0</v>
      </c>
      <c r="M347" s="144">
        <f>IFERROR(_xlfn.XLOOKUP($B347,'Cronog. e Histog.'!$BZ:$BZ,'Cronog. e Histog.'!CH:CH),"")</f>
        <v>0</v>
      </c>
      <c r="N347" s="144">
        <f>IFERROR(_xlfn.XLOOKUP($B347,'Cronog. e Histog.'!$BZ:$BZ,'Cronog. e Histog.'!CI:CI),"")</f>
        <v>0</v>
      </c>
      <c r="O347" s="144">
        <f>IFERROR(_xlfn.XLOOKUP($B347,'Cronog. e Histog.'!$BZ:$BZ,'Cronog. e Histog.'!CJ:CJ),"")</f>
        <v>0</v>
      </c>
      <c r="P347" s="144">
        <f>IFERROR(_xlfn.XLOOKUP($B347,'Cronog. e Histog.'!$BZ:$BZ,'Cronog. e Histog.'!CK:CK),"")</f>
        <v>0</v>
      </c>
      <c r="Q347" s="144">
        <f>IFERROR(_xlfn.XLOOKUP($B347,'Cronog. e Histog.'!$BZ:$BZ,'Cronog. e Histog.'!CL:CL),"")</f>
        <v>0</v>
      </c>
      <c r="R347" s="144">
        <f>IFERROR(_xlfn.XLOOKUP($B347,'Cronog. e Histog.'!$BZ:$BZ,'Cronog. e Histog.'!CM:CM),"")</f>
        <v>0</v>
      </c>
      <c r="S347" s="144">
        <f>IFERROR(_xlfn.XLOOKUP($B347,'Cronog. e Histog.'!$BZ:$BZ,'Cronog. e Histog.'!CN:CN),"")</f>
        <v>0</v>
      </c>
      <c r="T347" s="144">
        <f>IFERROR(_xlfn.XLOOKUP($B347,'Cronog. e Histog.'!$BZ:$BZ,'Cronog. e Histog.'!CO:CO),"")</f>
        <v>0</v>
      </c>
      <c r="U347" s="144">
        <f>IFERROR(_xlfn.XLOOKUP($B347,'Cronog. e Histog.'!$BZ:$BZ,'Cronog. e Histog.'!CP:CP),"")</f>
        <v>0</v>
      </c>
      <c r="V347" s="144">
        <f>IFERROR(_xlfn.XLOOKUP($B347,'Cronog. e Histog.'!$BZ:$BZ,'Cronog. e Histog.'!CQ:CQ),"")</f>
        <v>0</v>
      </c>
      <c r="W347" s="144">
        <f>IFERROR(_xlfn.XLOOKUP($B347,'Cronog. e Histog.'!$BZ:$BZ,'Cronog. e Histog.'!CR:CR),"")</f>
        <v>0</v>
      </c>
      <c r="X347" s="144">
        <f>IFERROR(_xlfn.XLOOKUP($B347,'Cronog. e Histog.'!$BZ:$BZ,'Cronog. e Histog.'!CS:CS),"")</f>
        <v>0</v>
      </c>
      <c r="Y347" s="144">
        <f>IFERROR(_xlfn.XLOOKUP($B347,'Cronog. e Histog.'!$BZ:$BZ,'Cronog. e Histog.'!CT:CT),"")</f>
        <v>0</v>
      </c>
      <c r="Z347" s="144">
        <f>IFERROR(_xlfn.XLOOKUP($B347,'Cronog. e Histog.'!$BZ:$BZ,'Cronog. e Histog.'!CU:CU),"")</f>
        <v>0</v>
      </c>
      <c r="AA347" s="144">
        <f>IFERROR(_xlfn.XLOOKUP($B347,'Cronog. e Histog.'!$BZ:$BZ,'Cronog. e Histog.'!CV:CV),"")</f>
        <v>0</v>
      </c>
      <c r="AB347" s="144">
        <f>IFERROR(_xlfn.XLOOKUP($B347,'Cronog. e Histog.'!$BZ:$BZ,'Cronog. e Histog.'!CW:CW),"")</f>
        <v>0</v>
      </c>
      <c r="AC347" s="144">
        <f>IFERROR(_xlfn.XLOOKUP($B347,'Cronog. e Histog.'!$BZ:$BZ,'Cronog. e Histog.'!CX:CX),"")</f>
        <v>0</v>
      </c>
      <c r="AD347" s="144">
        <f>IFERROR(_xlfn.XLOOKUP($B347,'Cronog. e Histog.'!$BZ:$BZ,'Cronog. e Histog.'!CY:CY),"")</f>
        <v>0</v>
      </c>
      <c r="AE347" s="144">
        <f>IFERROR(_xlfn.XLOOKUP($B347,'Cronog. e Histog.'!$BZ:$BZ,'Cronog. e Histog.'!CZ:CZ),"")</f>
        <v>0</v>
      </c>
      <c r="AF347" s="144">
        <f>IFERROR(_xlfn.XLOOKUP($B347,'Cronog. e Histog.'!$BZ:$BZ,'Cronog. e Histog.'!DA:DA),"")</f>
        <v>0</v>
      </c>
      <c r="AG347" s="144">
        <f>IFERROR(_xlfn.XLOOKUP($B347,'Cronog. e Histog.'!$BZ:$BZ,'Cronog. e Histog.'!DB:DB),"")</f>
        <v>0</v>
      </c>
      <c r="AH347" s="144">
        <f>IFERROR(_xlfn.XLOOKUP($B347,'Cronog. e Histog.'!$BZ:$BZ,'Cronog. e Histog.'!DC:DC),"")</f>
        <v>0</v>
      </c>
      <c r="AI347" s="144">
        <f>IFERROR(_xlfn.XLOOKUP($B347,'Cronog. e Histog.'!$BZ:$BZ,'Cronog. e Histog.'!DD:DD),"")</f>
        <v>0</v>
      </c>
      <c r="AJ347" s="144">
        <f>IFERROR(_xlfn.XLOOKUP($B347,'Cronog. e Histog.'!$BZ:$BZ,'Cronog. e Histog.'!DE:DE),"")</f>
        <v>0</v>
      </c>
      <c r="AK347" s="144">
        <f>IFERROR(_xlfn.XLOOKUP($B347,'Cronog. e Histog.'!$BZ:$BZ,'Cronog. e Histog.'!DF:DF),"")</f>
        <v>0</v>
      </c>
      <c r="AL347" s="144">
        <f>IFERROR(_xlfn.XLOOKUP($B347,'Cronog. e Histog.'!$BZ:$BZ,'Cronog. e Histog.'!DG:DG),"")</f>
        <v>0</v>
      </c>
      <c r="AM347" s="144">
        <f>IFERROR(_xlfn.XLOOKUP($B347,'Cronog. e Histog.'!$BZ:$BZ,'Cronog. e Histog.'!DH:DH),"")</f>
        <v>0</v>
      </c>
      <c r="AN347" s="144">
        <f>IFERROR(_xlfn.XLOOKUP($B347,'Cronog. e Histog.'!$BZ:$BZ,'Cronog. e Histog.'!DI:DI),"")</f>
        <v>0</v>
      </c>
      <c r="AO347" s="144">
        <f>IFERROR(_xlfn.XLOOKUP($B347,'Cronog. e Histog.'!$BZ:$BZ,'Cronog. e Histog.'!DJ:DJ),"")</f>
        <v>0</v>
      </c>
      <c r="AP347" s="144">
        <f>IFERROR(_xlfn.XLOOKUP($B347,'Cronog. e Histog.'!$BZ:$BZ,'Cronog. e Histog.'!DK:DK),"")</f>
        <v>0</v>
      </c>
      <c r="AQ347" s="144">
        <f>IFERROR(_xlfn.XLOOKUP($B347,'Cronog. e Histog.'!$BZ:$BZ,'Cronog. e Histog.'!DL:DL),"")</f>
        <v>0</v>
      </c>
      <c r="AR347" s="144">
        <f>IFERROR(_xlfn.XLOOKUP($B347,'Cronog. e Histog.'!$BZ:$BZ,'Cronog. e Histog.'!DM:DM),"")</f>
        <v>0</v>
      </c>
      <c r="AS347" s="144">
        <f>IFERROR(_xlfn.XLOOKUP($B347,'Cronog. e Histog.'!$BZ:$BZ,'Cronog. e Histog.'!DN:DN),"")</f>
        <v>0</v>
      </c>
      <c r="AT347" s="144">
        <f>IFERROR(_xlfn.XLOOKUP($B347,'Cronog. e Histog.'!$BZ:$BZ,'Cronog. e Histog.'!DO:DO),"")</f>
        <v>0</v>
      </c>
      <c r="AU347" s="144">
        <f>IFERROR(_xlfn.XLOOKUP($B347,'Cronog. e Histog.'!$BZ:$BZ,'Cronog. e Histog.'!DP:DP),"")</f>
        <v>0</v>
      </c>
      <c r="AV347" s="144">
        <f>IFERROR(_xlfn.XLOOKUP($B347,'Cronog. e Histog.'!$BZ:$BZ,'Cronog. e Histog.'!DQ:DQ),"")</f>
        <v>0</v>
      </c>
      <c r="AW347" s="144">
        <f>IFERROR(_xlfn.XLOOKUP($B347,'Cronog. e Histog.'!$BZ:$BZ,'Cronog. e Histog.'!DR:DR),"")</f>
        <v>0</v>
      </c>
      <c r="AX347" s="144">
        <f>IFERROR(_xlfn.XLOOKUP($B347,'Cronog. e Histog.'!$BZ:$BZ,'Cronog. e Histog.'!DS:DS),"")</f>
        <v>0</v>
      </c>
      <c r="AY347" s="144">
        <f>IFERROR(_xlfn.XLOOKUP($B347,'Cronog. e Histog.'!$BZ:$BZ,'Cronog. e Histog.'!DT:DT),"")</f>
        <v>0</v>
      </c>
      <c r="AZ347" s="144">
        <f>IFERROR(_xlfn.XLOOKUP($B347,'Cronog. e Histog.'!$BZ:$BZ,'Cronog. e Histog.'!DU:DU),"")</f>
        <v>0</v>
      </c>
      <c r="BA347" s="144">
        <f>IFERROR(_xlfn.XLOOKUP($B347,'Cronog. e Histog.'!$BZ:$BZ,'Cronog. e Histog.'!DV:DV),"")</f>
        <v>0</v>
      </c>
      <c r="BB347" s="144">
        <f>IFERROR(_xlfn.XLOOKUP($B347,'Cronog. e Histog.'!$BZ:$BZ,'Cronog. e Histog.'!DW:DW),"")</f>
        <v>0</v>
      </c>
      <c r="BC347" s="144">
        <f>IFERROR(_xlfn.XLOOKUP($B347,'Cronog. e Histog.'!$BZ:$BZ,'Cronog. e Histog.'!DX:DX),"")</f>
        <v>0</v>
      </c>
      <c r="BD347" s="144">
        <f>IFERROR(_xlfn.XLOOKUP($B347,'Cronog. e Histog.'!$BZ:$BZ,'Cronog. e Histog.'!DY:DY),"")</f>
        <v>0</v>
      </c>
      <c r="BE347" s="144">
        <f>IFERROR(_xlfn.XLOOKUP($B347,'Cronog. e Histog.'!$BZ:$BZ,'Cronog. e Histog.'!DZ:DZ),"")</f>
        <v>0</v>
      </c>
      <c r="BF347" s="144">
        <f>IFERROR(_xlfn.XLOOKUP($B347,'Cronog. e Histog.'!$BZ:$BZ,'Cronog. e Histog.'!EA:EA),"")</f>
        <v>0</v>
      </c>
      <c r="BG347" s="144">
        <f>IFERROR(_xlfn.XLOOKUP($B347,'Cronog. e Histog.'!$BZ:$BZ,'Cronog. e Histog.'!EB:EB),"")</f>
        <v>0</v>
      </c>
      <c r="BH347" s="144">
        <f>IFERROR(_xlfn.XLOOKUP($B347,'Cronog. e Histog.'!$BZ:$BZ,'Cronog. e Histog.'!EC:EC),"")</f>
        <v>0</v>
      </c>
      <c r="BI347" s="144">
        <f>IFERROR(_xlfn.XLOOKUP($B347,'Cronog. e Histog.'!$BZ:$BZ,'Cronog. e Histog.'!ED:ED),"")</f>
        <v>0</v>
      </c>
      <c r="BJ347" s="144">
        <f>IFERROR(_xlfn.XLOOKUP($B347,'Cronog. e Histog.'!$BZ:$BZ,'Cronog. e Histog.'!EE:EE),"")</f>
        <v>0</v>
      </c>
      <c r="BK347" s="144">
        <f>IFERROR(_xlfn.XLOOKUP($B347,'Cronog. e Histog.'!$BZ:$BZ,'Cronog. e Histog.'!EF:EF),"")</f>
        <v>0</v>
      </c>
      <c r="BL347" s="144">
        <f>IFERROR(_xlfn.XLOOKUP($B347,'Cronog. e Histog.'!$BZ:$BZ,'Cronog. e Histog.'!EG:EG),"")</f>
        <v>0</v>
      </c>
      <c r="BM347" s="144">
        <f>IFERROR(_xlfn.XLOOKUP($B347,'Cronog. e Histog.'!$BZ:$BZ,'Cronog. e Histog.'!EH:EH),"")</f>
        <v>0</v>
      </c>
      <c r="BN347" s="144">
        <f>IFERROR(_xlfn.XLOOKUP($B347,'Cronog. e Histog.'!$BZ:$BZ,'Cronog. e Histog.'!EI:EI),"")</f>
        <v>0</v>
      </c>
    </row>
    <row r="348" spans="2:66" ht="12" hidden="1" customHeight="1" outlineLevel="1">
      <c r="B348" s="76">
        <v>342</v>
      </c>
      <c r="C348" s="143" t="str">
        <f>IFERROR(VLOOKUP(B348,'Cronog. e Histog.'!$BZ$213:$CA$747,2,0),"")</f>
        <v>COORD.</v>
      </c>
      <c r="D348" s="144">
        <f t="shared" si="6"/>
        <v>0</v>
      </c>
      <c r="E348" s="144">
        <f t="shared" si="7"/>
        <v>0</v>
      </c>
      <c r="F348" s="65"/>
      <c r="G348" s="144">
        <f>IFERROR(_xlfn.XLOOKUP($B348,'Cronog. e Histog.'!$BZ:$BZ,'Cronog. e Histog.'!CB:CB),"")</f>
        <v>0</v>
      </c>
      <c r="H348" s="144">
        <f>IFERROR(_xlfn.XLOOKUP($B348,'Cronog. e Histog.'!$BZ:$BZ,'Cronog. e Histog.'!CC:CC),"")</f>
        <v>0</v>
      </c>
      <c r="I348" s="144">
        <f>IFERROR(_xlfn.XLOOKUP($B348,'Cronog. e Histog.'!$BZ:$BZ,'Cronog. e Histog.'!CD:CD),"")</f>
        <v>0</v>
      </c>
      <c r="J348" s="144">
        <f>IFERROR(_xlfn.XLOOKUP($B348,'Cronog. e Histog.'!$BZ:$BZ,'Cronog. e Histog.'!CE:CE),"")</f>
        <v>0</v>
      </c>
      <c r="K348" s="144">
        <f>IFERROR(_xlfn.XLOOKUP($B348,'Cronog. e Histog.'!$BZ:$BZ,'Cronog. e Histog.'!CF:CF),"")</f>
        <v>0</v>
      </c>
      <c r="L348" s="144">
        <f>IFERROR(_xlfn.XLOOKUP($B348,'Cronog. e Histog.'!$BZ:$BZ,'Cronog. e Histog.'!CG:CG),"")</f>
        <v>0</v>
      </c>
      <c r="M348" s="144">
        <f>IFERROR(_xlfn.XLOOKUP($B348,'Cronog. e Histog.'!$BZ:$BZ,'Cronog. e Histog.'!CH:CH),"")</f>
        <v>0</v>
      </c>
      <c r="N348" s="144">
        <f>IFERROR(_xlfn.XLOOKUP($B348,'Cronog. e Histog.'!$BZ:$BZ,'Cronog. e Histog.'!CI:CI),"")</f>
        <v>0</v>
      </c>
      <c r="O348" s="144">
        <f>IFERROR(_xlfn.XLOOKUP($B348,'Cronog. e Histog.'!$BZ:$BZ,'Cronog. e Histog.'!CJ:CJ),"")</f>
        <v>0</v>
      </c>
      <c r="P348" s="144">
        <f>IFERROR(_xlfn.XLOOKUP($B348,'Cronog. e Histog.'!$BZ:$BZ,'Cronog. e Histog.'!CK:CK),"")</f>
        <v>0</v>
      </c>
      <c r="Q348" s="144">
        <f>IFERROR(_xlfn.XLOOKUP($B348,'Cronog. e Histog.'!$BZ:$BZ,'Cronog. e Histog.'!CL:CL),"")</f>
        <v>0</v>
      </c>
      <c r="R348" s="144">
        <f>IFERROR(_xlfn.XLOOKUP($B348,'Cronog. e Histog.'!$BZ:$BZ,'Cronog. e Histog.'!CM:CM),"")</f>
        <v>0</v>
      </c>
      <c r="S348" s="144">
        <f>IFERROR(_xlfn.XLOOKUP($B348,'Cronog. e Histog.'!$BZ:$BZ,'Cronog. e Histog.'!CN:CN),"")</f>
        <v>0</v>
      </c>
      <c r="T348" s="144">
        <f>IFERROR(_xlfn.XLOOKUP($B348,'Cronog. e Histog.'!$BZ:$BZ,'Cronog. e Histog.'!CO:CO),"")</f>
        <v>0</v>
      </c>
      <c r="U348" s="144">
        <f>IFERROR(_xlfn.XLOOKUP($B348,'Cronog. e Histog.'!$BZ:$BZ,'Cronog. e Histog.'!CP:CP),"")</f>
        <v>0</v>
      </c>
      <c r="V348" s="144">
        <f>IFERROR(_xlfn.XLOOKUP($B348,'Cronog. e Histog.'!$BZ:$BZ,'Cronog. e Histog.'!CQ:CQ),"")</f>
        <v>0</v>
      </c>
      <c r="W348" s="144">
        <f>IFERROR(_xlfn.XLOOKUP($B348,'Cronog. e Histog.'!$BZ:$BZ,'Cronog. e Histog.'!CR:CR),"")</f>
        <v>0</v>
      </c>
      <c r="X348" s="144">
        <f>IFERROR(_xlfn.XLOOKUP($B348,'Cronog. e Histog.'!$BZ:$BZ,'Cronog. e Histog.'!CS:CS),"")</f>
        <v>0</v>
      </c>
      <c r="Y348" s="144">
        <f>IFERROR(_xlfn.XLOOKUP($B348,'Cronog. e Histog.'!$BZ:$BZ,'Cronog. e Histog.'!CT:CT),"")</f>
        <v>0</v>
      </c>
      <c r="Z348" s="144">
        <f>IFERROR(_xlfn.XLOOKUP($B348,'Cronog. e Histog.'!$BZ:$BZ,'Cronog. e Histog.'!CU:CU),"")</f>
        <v>0</v>
      </c>
      <c r="AA348" s="144">
        <f>IFERROR(_xlfn.XLOOKUP($B348,'Cronog. e Histog.'!$BZ:$BZ,'Cronog. e Histog.'!CV:CV),"")</f>
        <v>0</v>
      </c>
      <c r="AB348" s="144">
        <f>IFERROR(_xlfn.XLOOKUP($B348,'Cronog. e Histog.'!$BZ:$BZ,'Cronog. e Histog.'!CW:CW),"")</f>
        <v>0</v>
      </c>
      <c r="AC348" s="144">
        <f>IFERROR(_xlfn.XLOOKUP($B348,'Cronog. e Histog.'!$BZ:$BZ,'Cronog. e Histog.'!CX:CX),"")</f>
        <v>0</v>
      </c>
      <c r="AD348" s="144">
        <f>IFERROR(_xlfn.XLOOKUP($B348,'Cronog. e Histog.'!$BZ:$BZ,'Cronog. e Histog.'!CY:CY),"")</f>
        <v>0</v>
      </c>
      <c r="AE348" s="144">
        <f>IFERROR(_xlfn.XLOOKUP($B348,'Cronog. e Histog.'!$BZ:$BZ,'Cronog. e Histog.'!CZ:CZ),"")</f>
        <v>0</v>
      </c>
      <c r="AF348" s="144">
        <f>IFERROR(_xlfn.XLOOKUP($B348,'Cronog. e Histog.'!$BZ:$BZ,'Cronog. e Histog.'!DA:DA),"")</f>
        <v>0</v>
      </c>
      <c r="AG348" s="144">
        <f>IFERROR(_xlfn.XLOOKUP($B348,'Cronog. e Histog.'!$BZ:$BZ,'Cronog. e Histog.'!DB:DB),"")</f>
        <v>0</v>
      </c>
      <c r="AH348" s="144">
        <f>IFERROR(_xlfn.XLOOKUP($B348,'Cronog. e Histog.'!$BZ:$BZ,'Cronog. e Histog.'!DC:DC),"")</f>
        <v>0</v>
      </c>
      <c r="AI348" s="144">
        <f>IFERROR(_xlfn.XLOOKUP($B348,'Cronog. e Histog.'!$BZ:$BZ,'Cronog. e Histog.'!DD:DD),"")</f>
        <v>0</v>
      </c>
      <c r="AJ348" s="144">
        <f>IFERROR(_xlfn.XLOOKUP($B348,'Cronog. e Histog.'!$BZ:$BZ,'Cronog. e Histog.'!DE:DE),"")</f>
        <v>0</v>
      </c>
      <c r="AK348" s="144">
        <f>IFERROR(_xlfn.XLOOKUP($B348,'Cronog. e Histog.'!$BZ:$BZ,'Cronog. e Histog.'!DF:DF),"")</f>
        <v>0</v>
      </c>
      <c r="AL348" s="144">
        <f>IFERROR(_xlfn.XLOOKUP($B348,'Cronog. e Histog.'!$BZ:$BZ,'Cronog. e Histog.'!DG:DG),"")</f>
        <v>0</v>
      </c>
      <c r="AM348" s="144">
        <f>IFERROR(_xlfn.XLOOKUP($B348,'Cronog. e Histog.'!$BZ:$BZ,'Cronog. e Histog.'!DH:DH),"")</f>
        <v>0</v>
      </c>
      <c r="AN348" s="144">
        <f>IFERROR(_xlfn.XLOOKUP($B348,'Cronog. e Histog.'!$BZ:$BZ,'Cronog. e Histog.'!DI:DI),"")</f>
        <v>0</v>
      </c>
      <c r="AO348" s="144">
        <f>IFERROR(_xlfn.XLOOKUP($B348,'Cronog. e Histog.'!$BZ:$BZ,'Cronog. e Histog.'!DJ:DJ),"")</f>
        <v>0</v>
      </c>
      <c r="AP348" s="144">
        <f>IFERROR(_xlfn.XLOOKUP($B348,'Cronog. e Histog.'!$BZ:$BZ,'Cronog. e Histog.'!DK:DK),"")</f>
        <v>0</v>
      </c>
      <c r="AQ348" s="144">
        <f>IFERROR(_xlfn.XLOOKUP($B348,'Cronog. e Histog.'!$BZ:$BZ,'Cronog. e Histog.'!DL:DL),"")</f>
        <v>0</v>
      </c>
      <c r="AR348" s="144">
        <f>IFERROR(_xlfn.XLOOKUP($B348,'Cronog. e Histog.'!$BZ:$BZ,'Cronog. e Histog.'!DM:DM),"")</f>
        <v>0</v>
      </c>
      <c r="AS348" s="144">
        <f>IFERROR(_xlfn.XLOOKUP($B348,'Cronog. e Histog.'!$BZ:$BZ,'Cronog. e Histog.'!DN:DN),"")</f>
        <v>0</v>
      </c>
      <c r="AT348" s="144">
        <f>IFERROR(_xlfn.XLOOKUP($B348,'Cronog. e Histog.'!$BZ:$BZ,'Cronog. e Histog.'!DO:DO),"")</f>
        <v>0</v>
      </c>
      <c r="AU348" s="144">
        <f>IFERROR(_xlfn.XLOOKUP($B348,'Cronog. e Histog.'!$BZ:$BZ,'Cronog. e Histog.'!DP:DP),"")</f>
        <v>0</v>
      </c>
      <c r="AV348" s="144">
        <f>IFERROR(_xlfn.XLOOKUP($B348,'Cronog. e Histog.'!$BZ:$BZ,'Cronog. e Histog.'!DQ:DQ),"")</f>
        <v>0</v>
      </c>
      <c r="AW348" s="144">
        <f>IFERROR(_xlfn.XLOOKUP($B348,'Cronog. e Histog.'!$BZ:$BZ,'Cronog. e Histog.'!DR:DR),"")</f>
        <v>0</v>
      </c>
      <c r="AX348" s="144">
        <f>IFERROR(_xlfn.XLOOKUP($B348,'Cronog. e Histog.'!$BZ:$BZ,'Cronog. e Histog.'!DS:DS),"")</f>
        <v>0</v>
      </c>
      <c r="AY348" s="144">
        <f>IFERROR(_xlfn.XLOOKUP($B348,'Cronog. e Histog.'!$BZ:$BZ,'Cronog. e Histog.'!DT:DT),"")</f>
        <v>0</v>
      </c>
      <c r="AZ348" s="144">
        <f>IFERROR(_xlfn.XLOOKUP($B348,'Cronog. e Histog.'!$BZ:$BZ,'Cronog. e Histog.'!DU:DU),"")</f>
        <v>0</v>
      </c>
      <c r="BA348" s="144">
        <f>IFERROR(_xlfn.XLOOKUP($B348,'Cronog. e Histog.'!$BZ:$BZ,'Cronog. e Histog.'!DV:DV),"")</f>
        <v>0</v>
      </c>
      <c r="BB348" s="144">
        <f>IFERROR(_xlfn.XLOOKUP($B348,'Cronog. e Histog.'!$BZ:$BZ,'Cronog. e Histog.'!DW:DW),"")</f>
        <v>0</v>
      </c>
      <c r="BC348" s="144">
        <f>IFERROR(_xlfn.XLOOKUP($B348,'Cronog. e Histog.'!$BZ:$BZ,'Cronog. e Histog.'!DX:DX),"")</f>
        <v>0</v>
      </c>
      <c r="BD348" s="144">
        <f>IFERROR(_xlfn.XLOOKUP($B348,'Cronog. e Histog.'!$BZ:$BZ,'Cronog. e Histog.'!DY:DY),"")</f>
        <v>0</v>
      </c>
      <c r="BE348" s="144">
        <f>IFERROR(_xlfn.XLOOKUP($B348,'Cronog. e Histog.'!$BZ:$BZ,'Cronog. e Histog.'!DZ:DZ),"")</f>
        <v>0</v>
      </c>
      <c r="BF348" s="144">
        <f>IFERROR(_xlfn.XLOOKUP($B348,'Cronog. e Histog.'!$BZ:$BZ,'Cronog. e Histog.'!EA:EA),"")</f>
        <v>0</v>
      </c>
      <c r="BG348" s="144">
        <f>IFERROR(_xlfn.XLOOKUP($B348,'Cronog. e Histog.'!$BZ:$BZ,'Cronog. e Histog.'!EB:EB),"")</f>
        <v>0</v>
      </c>
      <c r="BH348" s="144">
        <f>IFERROR(_xlfn.XLOOKUP($B348,'Cronog. e Histog.'!$BZ:$BZ,'Cronog. e Histog.'!EC:EC),"")</f>
        <v>0</v>
      </c>
      <c r="BI348" s="144">
        <f>IFERROR(_xlfn.XLOOKUP($B348,'Cronog. e Histog.'!$BZ:$BZ,'Cronog. e Histog.'!ED:ED),"")</f>
        <v>0</v>
      </c>
      <c r="BJ348" s="144">
        <f>IFERROR(_xlfn.XLOOKUP($B348,'Cronog. e Histog.'!$BZ:$BZ,'Cronog. e Histog.'!EE:EE),"")</f>
        <v>0</v>
      </c>
      <c r="BK348" s="144">
        <f>IFERROR(_xlfn.XLOOKUP($B348,'Cronog. e Histog.'!$BZ:$BZ,'Cronog. e Histog.'!EF:EF),"")</f>
        <v>0</v>
      </c>
      <c r="BL348" s="144">
        <f>IFERROR(_xlfn.XLOOKUP($B348,'Cronog. e Histog.'!$BZ:$BZ,'Cronog. e Histog.'!EG:EG),"")</f>
        <v>0</v>
      </c>
      <c r="BM348" s="144">
        <f>IFERROR(_xlfn.XLOOKUP($B348,'Cronog. e Histog.'!$BZ:$BZ,'Cronog. e Histog.'!EH:EH),"")</f>
        <v>0</v>
      </c>
      <c r="BN348" s="144">
        <f>IFERROR(_xlfn.XLOOKUP($B348,'Cronog. e Histog.'!$BZ:$BZ,'Cronog. e Histog.'!EI:EI),"")</f>
        <v>0</v>
      </c>
    </row>
    <row r="349" spans="2:66" ht="12" hidden="1" customHeight="1" outlineLevel="1">
      <c r="B349" s="76">
        <v>343</v>
      </c>
      <c r="C349" s="143" t="str">
        <f>IFERROR(VLOOKUP(B349,'Cronog. e Histog.'!$BZ$213:$CA$747,2,0),"")</f>
        <v>SUP.-ESP</v>
      </c>
      <c r="D349" s="144">
        <f t="shared" si="6"/>
        <v>0</v>
      </c>
      <c r="E349" s="144">
        <f t="shared" si="7"/>
        <v>0</v>
      </c>
      <c r="F349" s="65"/>
      <c r="G349" s="144">
        <f>IFERROR(_xlfn.XLOOKUP($B349,'Cronog. e Histog.'!$BZ:$BZ,'Cronog. e Histog.'!CB:CB),"")</f>
        <v>0</v>
      </c>
      <c r="H349" s="144">
        <f>IFERROR(_xlfn.XLOOKUP($B349,'Cronog. e Histog.'!$BZ:$BZ,'Cronog. e Histog.'!CC:CC),"")</f>
        <v>0</v>
      </c>
      <c r="I349" s="144">
        <f>IFERROR(_xlfn.XLOOKUP($B349,'Cronog. e Histog.'!$BZ:$BZ,'Cronog. e Histog.'!CD:CD),"")</f>
        <v>0</v>
      </c>
      <c r="J349" s="144">
        <f>IFERROR(_xlfn.XLOOKUP($B349,'Cronog. e Histog.'!$BZ:$BZ,'Cronog. e Histog.'!CE:CE),"")</f>
        <v>0</v>
      </c>
      <c r="K349" s="144">
        <f>IFERROR(_xlfn.XLOOKUP($B349,'Cronog. e Histog.'!$BZ:$BZ,'Cronog. e Histog.'!CF:CF),"")</f>
        <v>0</v>
      </c>
      <c r="L349" s="144">
        <f>IFERROR(_xlfn.XLOOKUP($B349,'Cronog. e Histog.'!$BZ:$BZ,'Cronog. e Histog.'!CG:CG),"")</f>
        <v>0</v>
      </c>
      <c r="M349" s="144">
        <f>IFERROR(_xlfn.XLOOKUP($B349,'Cronog. e Histog.'!$BZ:$BZ,'Cronog. e Histog.'!CH:CH),"")</f>
        <v>0</v>
      </c>
      <c r="N349" s="144">
        <f>IFERROR(_xlfn.XLOOKUP($B349,'Cronog. e Histog.'!$BZ:$BZ,'Cronog. e Histog.'!CI:CI),"")</f>
        <v>0</v>
      </c>
      <c r="O349" s="144">
        <f>IFERROR(_xlfn.XLOOKUP($B349,'Cronog. e Histog.'!$BZ:$BZ,'Cronog. e Histog.'!CJ:CJ),"")</f>
        <v>0</v>
      </c>
      <c r="P349" s="144">
        <f>IFERROR(_xlfn.XLOOKUP($B349,'Cronog. e Histog.'!$BZ:$BZ,'Cronog. e Histog.'!CK:CK),"")</f>
        <v>0</v>
      </c>
      <c r="Q349" s="144">
        <f>IFERROR(_xlfn.XLOOKUP($B349,'Cronog. e Histog.'!$BZ:$BZ,'Cronog. e Histog.'!CL:CL),"")</f>
        <v>0</v>
      </c>
      <c r="R349" s="144">
        <f>IFERROR(_xlfn.XLOOKUP($B349,'Cronog. e Histog.'!$BZ:$BZ,'Cronog. e Histog.'!CM:CM),"")</f>
        <v>0</v>
      </c>
      <c r="S349" s="144">
        <f>IFERROR(_xlfn.XLOOKUP($B349,'Cronog. e Histog.'!$BZ:$BZ,'Cronog. e Histog.'!CN:CN),"")</f>
        <v>0</v>
      </c>
      <c r="T349" s="144">
        <f>IFERROR(_xlfn.XLOOKUP($B349,'Cronog. e Histog.'!$BZ:$BZ,'Cronog. e Histog.'!CO:CO),"")</f>
        <v>0</v>
      </c>
      <c r="U349" s="144">
        <f>IFERROR(_xlfn.XLOOKUP($B349,'Cronog. e Histog.'!$BZ:$BZ,'Cronog. e Histog.'!CP:CP),"")</f>
        <v>0</v>
      </c>
      <c r="V349" s="144">
        <f>IFERROR(_xlfn.XLOOKUP($B349,'Cronog. e Histog.'!$BZ:$BZ,'Cronog. e Histog.'!CQ:CQ),"")</f>
        <v>0</v>
      </c>
      <c r="W349" s="144">
        <f>IFERROR(_xlfn.XLOOKUP($B349,'Cronog. e Histog.'!$BZ:$BZ,'Cronog. e Histog.'!CR:CR),"")</f>
        <v>0</v>
      </c>
      <c r="X349" s="144">
        <f>IFERROR(_xlfn.XLOOKUP($B349,'Cronog. e Histog.'!$BZ:$BZ,'Cronog. e Histog.'!CS:CS),"")</f>
        <v>0</v>
      </c>
      <c r="Y349" s="144">
        <f>IFERROR(_xlfn.XLOOKUP($B349,'Cronog. e Histog.'!$BZ:$BZ,'Cronog. e Histog.'!CT:CT),"")</f>
        <v>0</v>
      </c>
      <c r="Z349" s="144">
        <f>IFERROR(_xlfn.XLOOKUP($B349,'Cronog. e Histog.'!$BZ:$BZ,'Cronog. e Histog.'!CU:CU),"")</f>
        <v>0</v>
      </c>
      <c r="AA349" s="144">
        <f>IFERROR(_xlfn.XLOOKUP($B349,'Cronog. e Histog.'!$BZ:$BZ,'Cronog. e Histog.'!CV:CV),"")</f>
        <v>0</v>
      </c>
      <c r="AB349" s="144">
        <f>IFERROR(_xlfn.XLOOKUP($B349,'Cronog. e Histog.'!$BZ:$BZ,'Cronog. e Histog.'!CW:CW),"")</f>
        <v>0</v>
      </c>
      <c r="AC349" s="144">
        <f>IFERROR(_xlfn.XLOOKUP($B349,'Cronog. e Histog.'!$BZ:$BZ,'Cronog. e Histog.'!CX:CX),"")</f>
        <v>0</v>
      </c>
      <c r="AD349" s="144">
        <f>IFERROR(_xlfn.XLOOKUP($B349,'Cronog. e Histog.'!$BZ:$BZ,'Cronog. e Histog.'!CY:CY),"")</f>
        <v>0</v>
      </c>
      <c r="AE349" s="144">
        <f>IFERROR(_xlfn.XLOOKUP($B349,'Cronog. e Histog.'!$BZ:$BZ,'Cronog. e Histog.'!CZ:CZ),"")</f>
        <v>0</v>
      </c>
      <c r="AF349" s="144">
        <f>IFERROR(_xlfn.XLOOKUP($B349,'Cronog. e Histog.'!$BZ:$BZ,'Cronog. e Histog.'!DA:DA),"")</f>
        <v>0</v>
      </c>
      <c r="AG349" s="144">
        <f>IFERROR(_xlfn.XLOOKUP($B349,'Cronog. e Histog.'!$BZ:$BZ,'Cronog. e Histog.'!DB:DB),"")</f>
        <v>0</v>
      </c>
      <c r="AH349" s="144">
        <f>IFERROR(_xlfn.XLOOKUP($B349,'Cronog. e Histog.'!$BZ:$BZ,'Cronog. e Histog.'!DC:DC),"")</f>
        <v>0</v>
      </c>
      <c r="AI349" s="144">
        <f>IFERROR(_xlfn.XLOOKUP($B349,'Cronog. e Histog.'!$BZ:$BZ,'Cronog. e Histog.'!DD:DD),"")</f>
        <v>0</v>
      </c>
      <c r="AJ349" s="144">
        <f>IFERROR(_xlfn.XLOOKUP($B349,'Cronog. e Histog.'!$BZ:$BZ,'Cronog. e Histog.'!DE:DE),"")</f>
        <v>0</v>
      </c>
      <c r="AK349" s="144">
        <f>IFERROR(_xlfn.XLOOKUP($B349,'Cronog. e Histog.'!$BZ:$BZ,'Cronog. e Histog.'!DF:DF),"")</f>
        <v>0</v>
      </c>
      <c r="AL349" s="144">
        <f>IFERROR(_xlfn.XLOOKUP($B349,'Cronog. e Histog.'!$BZ:$BZ,'Cronog. e Histog.'!DG:DG),"")</f>
        <v>0</v>
      </c>
      <c r="AM349" s="144">
        <f>IFERROR(_xlfn.XLOOKUP($B349,'Cronog. e Histog.'!$BZ:$BZ,'Cronog. e Histog.'!DH:DH),"")</f>
        <v>0</v>
      </c>
      <c r="AN349" s="144">
        <f>IFERROR(_xlfn.XLOOKUP($B349,'Cronog. e Histog.'!$BZ:$BZ,'Cronog. e Histog.'!DI:DI),"")</f>
        <v>0</v>
      </c>
      <c r="AO349" s="144">
        <f>IFERROR(_xlfn.XLOOKUP($B349,'Cronog. e Histog.'!$BZ:$BZ,'Cronog. e Histog.'!DJ:DJ),"")</f>
        <v>0</v>
      </c>
      <c r="AP349" s="144">
        <f>IFERROR(_xlfn.XLOOKUP($B349,'Cronog. e Histog.'!$BZ:$BZ,'Cronog. e Histog.'!DK:DK),"")</f>
        <v>0</v>
      </c>
      <c r="AQ349" s="144">
        <f>IFERROR(_xlfn.XLOOKUP($B349,'Cronog. e Histog.'!$BZ:$BZ,'Cronog. e Histog.'!DL:DL),"")</f>
        <v>0</v>
      </c>
      <c r="AR349" s="144">
        <f>IFERROR(_xlfn.XLOOKUP($B349,'Cronog. e Histog.'!$BZ:$BZ,'Cronog. e Histog.'!DM:DM),"")</f>
        <v>0</v>
      </c>
      <c r="AS349" s="144">
        <f>IFERROR(_xlfn.XLOOKUP($B349,'Cronog. e Histog.'!$BZ:$BZ,'Cronog. e Histog.'!DN:DN),"")</f>
        <v>0</v>
      </c>
      <c r="AT349" s="144">
        <f>IFERROR(_xlfn.XLOOKUP($B349,'Cronog. e Histog.'!$BZ:$BZ,'Cronog. e Histog.'!DO:DO),"")</f>
        <v>0</v>
      </c>
      <c r="AU349" s="144">
        <f>IFERROR(_xlfn.XLOOKUP($B349,'Cronog. e Histog.'!$BZ:$BZ,'Cronog. e Histog.'!DP:DP),"")</f>
        <v>0</v>
      </c>
      <c r="AV349" s="144">
        <f>IFERROR(_xlfn.XLOOKUP($B349,'Cronog. e Histog.'!$BZ:$BZ,'Cronog. e Histog.'!DQ:DQ),"")</f>
        <v>0</v>
      </c>
      <c r="AW349" s="144">
        <f>IFERROR(_xlfn.XLOOKUP($B349,'Cronog. e Histog.'!$BZ:$BZ,'Cronog. e Histog.'!DR:DR),"")</f>
        <v>0</v>
      </c>
      <c r="AX349" s="144">
        <f>IFERROR(_xlfn.XLOOKUP($B349,'Cronog. e Histog.'!$BZ:$BZ,'Cronog. e Histog.'!DS:DS),"")</f>
        <v>0</v>
      </c>
      <c r="AY349" s="144">
        <f>IFERROR(_xlfn.XLOOKUP($B349,'Cronog. e Histog.'!$BZ:$BZ,'Cronog. e Histog.'!DT:DT),"")</f>
        <v>0</v>
      </c>
      <c r="AZ349" s="144">
        <f>IFERROR(_xlfn.XLOOKUP($B349,'Cronog. e Histog.'!$BZ:$BZ,'Cronog. e Histog.'!DU:DU),"")</f>
        <v>0</v>
      </c>
      <c r="BA349" s="144">
        <f>IFERROR(_xlfn.XLOOKUP($B349,'Cronog. e Histog.'!$BZ:$BZ,'Cronog. e Histog.'!DV:DV),"")</f>
        <v>0</v>
      </c>
      <c r="BB349" s="144">
        <f>IFERROR(_xlfn.XLOOKUP($B349,'Cronog. e Histog.'!$BZ:$BZ,'Cronog. e Histog.'!DW:DW),"")</f>
        <v>0</v>
      </c>
      <c r="BC349" s="144">
        <f>IFERROR(_xlfn.XLOOKUP($B349,'Cronog. e Histog.'!$BZ:$BZ,'Cronog. e Histog.'!DX:DX),"")</f>
        <v>0</v>
      </c>
      <c r="BD349" s="144">
        <f>IFERROR(_xlfn.XLOOKUP($B349,'Cronog. e Histog.'!$BZ:$BZ,'Cronog. e Histog.'!DY:DY),"")</f>
        <v>0</v>
      </c>
      <c r="BE349" s="144">
        <f>IFERROR(_xlfn.XLOOKUP($B349,'Cronog. e Histog.'!$BZ:$BZ,'Cronog. e Histog.'!DZ:DZ),"")</f>
        <v>0</v>
      </c>
      <c r="BF349" s="144">
        <f>IFERROR(_xlfn.XLOOKUP($B349,'Cronog. e Histog.'!$BZ:$BZ,'Cronog. e Histog.'!EA:EA),"")</f>
        <v>0</v>
      </c>
      <c r="BG349" s="144">
        <f>IFERROR(_xlfn.XLOOKUP($B349,'Cronog. e Histog.'!$BZ:$BZ,'Cronog. e Histog.'!EB:EB),"")</f>
        <v>0</v>
      </c>
      <c r="BH349" s="144">
        <f>IFERROR(_xlfn.XLOOKUP($B349,'Cronog. e Histog.'!$BZ:$BZ,'Cronog. e Histog.'!EC:EC),"")</f>
        <v>0</v>
      </c>
      <c r="BI349" s="144">
        <f>IFERROR(_xlfn.XLOOKUP($B349,'Cronog. e Histog.'!$BZ:$BZ,'Cronog. e Histog.'!ED:ED),"")</f>
        <v>0</v>
      </c>
      <c r="BJ349" s="144">
        <f>IFERROR(_xlfn.XLOOKUP($B349,'Cronog. e Histog.'!$BZ:$BZ,'Cronog. e Histog.'!EE:EE),"")</f>
        <v>0</v>
      </c>
      <c r="BK349" s="144">
        <f>IFERROR(_xlfn.XLOOKUP($B349,'Cronog. e Histog.'!$BZ:$BZ,'Cronog. e Histog.'!EF:EF),"")</f>
        <v>0</v>
      </c>
      <c r="BL349" s="144">
        <f>IFERROR(_xlfn.XLOOKUP($B349,'Cronog. e Histog.'!$BZ:$BZ,'Cronog. e Histog.'!EG:EG),"")</f>
        <v>0</v>
      </c>
      <c r="BM349" s="144">
        <f>IFERROR(_xlfn.XLOOKUP($B349,'Cronog. e Histog.'!$BZ:$BZ,'Cronog. e Histog.'!EH:EH),"")</f>
        <v>0</v>
      </c>
      <c r="BN349" s="144">
        <f>IFERROR(_xlfn.XLOOKUP($B349,'Cronog. e Histog.'!$BZ:$BZ,'Cronog. e Histog.'!EI:EI),"")</f>
        <v>0</v>
      </c>
    </row>
    <row r="350" spans="2:66" ht="12" hidden="1" customHeight="1" outlineLevel="1">
      <c r="B350" s="76">
        <v>344</v>
      </c>
      <c r="C350" s="143" t="str">
        <f>IFERROR(VLOOKUP(B350,'Cronog. e Histog.'!$BZ$213:$CA$747,2,0),"")</f>
        <v>ENG/ARQ SR.</v>
      </c>
      <c r="D350" s="144">
        <f t="shared" si="6"/>
        <v>0</v>
      </c>
      <c r="E350" s="144">
        <f t="shared" si="7"/>
        <v>0</v>
      </c>
      <c r="F350" s="65"/>
      <c r="G350" s="144">
        <f>IFERROR(_xlfn.XLOOKUP($B350,'Cronog. e Histog.'!$BZ:$BZ,'Cronog. e Histog.'!CB:CB),"")</f>
        <v>0</v>
      </c>
      <c r="H350" s="144">
        <f>IFERROR(_xlfn.XLOOKUP($B350,'Cronog. e Histog.'!$BZ:$BZ,'Cronog. e Histog.'!CC:CC),"")</f>
        <v>0</v>
      </c>
      <c r="I350" s="144">
        <f>IFERROR(_xlfn.XLOOKUP($B350,'Cronog. e Histog.'!$BZ:$BZ,'Cronog. e Histog.'!CD:CD),"")</f>
        <v>0</v>
      </c>
      <c r="J350" s="144">
        <f>IFERROR(_xlfn.XLOOKUP($B350,'Cronog. e Histog.'!$BZ:$BZ,'Cronog. e Histog.'!CE:CE),"")</f>
        <v>0</v>
      </c>
      <c r="K350" s="144">
        <f>IFERROR(_xlfn.XLOOKUP($B350,'Cronog. e Histog.'!$BZ:$BZ,'Cronog. e Histog.'!CF:CF),"")</f>
        <v>0</v>
      </c>
      <c r="L350" s="144">
        <f>IFERROR(_xlfn.XLOOKUP($B350,'Cronog. e Histog.'!$BZ:$BZ,'Cronog. e Histog.'!CG:CG),"")</f>
        <v>0</v>
      </c>
      <c r="M350" s="144">
        <f>IFERROR(_xlfn.XLOOKUP($B350,'Cronog. e Histog.'!$BZ:$BZ,'Cronog. e Histog.'!CH:CH),"")</f>
        <v>0</v>
      </c>
      <c r="N350" s="144">
        <f>IFERROR(_xlfn.XLOOKUP($B350,'Cronog. e Histog.'!$BZ:$BZ,'Cronog. e Histog.'!CI:CI),"")</f>
        <v>0</v>
      </c>
      <c r="O350" s="144">
        <f>IFERROR(_xlfn.XLOOKUP($B350,'Cronog. e Histog.'!$BZ:$BZ,'Cronog. e Histog.'!CJ:CJ),"")</f>
        <v>0</v>
      </c>
      <c r="P350" s="144">
        <f>IFERROR(_xlfn.XLOOKUP($B350,'Cronog. e Histog.'!$BZ:$BZ,'Cronog. e Histog.'!CK:CK),"")</f>
        <v>0</v>
      </c>
      <c r="Q350" s="144">
        <f>IFERROR(_xlfn.XLOOKUP($B350,'Cronog. e Histog.'!$BZ:$BZ,'Cronog. e Histog.'!CL:CL),"")</f>
        <v>0</v>
      </c>
      <c r="R350" s="144">
        <f>IFERROR(_xlfn.XLOOKUP($B350,'Cronog. e Histog.'!$BZ:$BZ,'Cronog. e Histog.'!CM:CM),"")</f>
        <v>0</v>
      </c>
      <c r="S350" s="144">
        <f>IFERROR(_xlfn.XLOOKUP($B350,'Cronog. e Histog.'!$BZ:$BZ,'Cronog. e Histog.'!CN:CN),"")</f>
        <v>0</v>
      </c>
      <c r="T350" s="144">
        <f>IFERROR(_xlfn.XLOOKUP($B350,'Cronog. e Histog.'!$BZ:$BZ,'Cronog. e Histog.'!CO:CO),"")</f>
        <v>0</v>
      </c>
      <c r="U350" s="144">
        <f>IFERROR(_xlfn.XLOOKUP($B350,'Cronog. e Histog.'!$BZ:$BZ,'Cronog. e Histog.'!CP:CP),"")</f>
        <v>0</v>
      </c>
      <c r="V350" s="144">
        <f>IFERROR(_xlfn.XLOOKUP($B350,'Cronog. e Histog.'!$BZ:$BZ,'Cronog. e Histog.'!CQ:CQ),"")</f>
        <v>0</v>
      </c>
      <c r="W350" s="144">
        <f>IFERROR(_xlfn.XLOOKUP($B350,'Cronog. e Histog.'!$BZ:$BZ,'Cronog. e Histog.'!CR:CR),"")</f>
        <v>0</v>
      </c>
      <c r="X350" s="144">
        <f>IFERROR(_xlfn.XLOOKUP($B350,'Cronog. e Histog.'!$BZ:$BZ,'Cronog. e Histog.'!CS:CS),"")</f>
        <v>0</v>
      </c>
      <c r="Y350" s="144">
        <f>IFERROR(_xlfn.XLOOKUP($B350,'Cronog. e Histog.'!$BZ:$BZ,'Cronog. e Histog.'!CT:CT),"")</f>
        <v>0</v>
      </c>
      <c r="Z350" s="144">
        <f>IFERROR(_xlfn.XLOOKUP($B350,'Cronog. e Histog.'!$BZ:$BZ,'Cronog. e Histog.'!CU:CU),"")</f>
        <v>0</v>
      </c>
      <c r="AA350" s="144">
        <f>IFERROR(_xlfn.XLOOKUP($B350,'Cronog. e Histog.'!$BZ:$BZ,'Cronog. e Histog.'!CV:CV),"")</f>
        <v>0</v>
      </c>
      <c r="AB350" s="144">
        <f>IFERROR(_xlfn.XLOOKUP($B350,'Cronog. e Histog.'!$BZ:$BZ,'Cronog. e Histog.'!CW:CW),"")</f>
        <v>0</v>
      </c>
      <c r="AC350" s="144">
        <f>IFERROR(_xlfn.XLOOKUP($B350,'Cronog. e Histog.'!$BZ:$BZ,'Cronog. e Histog.'!CX:CX),"")</f>
        <v>0</v>
      </c>
      <c r="AD350" s="144">
        <f>IFERROR(_xlfn.XLOOKUP($B350,'Cronog. e Histog.'!$BZ:$BZ,'Cronog. e Histog.'!CY:CY),"")</f>
        <v>0</v>
      </c>
      <c r="AE350" s="144">
        <f>IFERROR(_xlfn.XLOOKUP($B350,'Cronog. e Histog.'!$BZ:$BZ,'Cronog. e Histog.'!CZ:CZ),"")</f>
        <v>0</v>
      </c>
      <c r="AF350" s="144">
        <f>IFERROR(_xlfn.XLOOKUP($B350,'Cronog. e Histog.'!$BZ:$BZ,'Cronog. e Histog.'!DA:DA),"")</f>
        <v>0</v>
      </c>
      <c r="AG350" s="144">
        <f>IFERROR(_xlfn.XLOOKUP($B350,'Cronog. e Histog.'!$BZ:$BZ,'Cronog. e Histog.'!DB:DB),"")</f>
        <v>0</v>
      </c>
      <c r="AH350" s="144">
        <f>IFERROR(_xlfn.XLOOKUP($B350,'Cronog. e Histog.'!$BZ:$BZ,'Cronog. e Histog.'!DC:DC),"")</f>
        <v>0</v>
      </c>
      <c r="AI350" s="144">
        <f>IFERROR(_xlfn.XLOOKUP($B350,'Cronog. e Histog.'!$BZ:$BZ,'Cronog. e Histog.'!DD:DD),"")</f>
        <v>0</v>
      </c>
      <c r="AJ350" s="144">
        <f>IFERROR(_xlfn.XLOOKUP($B350,'Cronog. e Histog.'!$BZ:$BZ,'Cronog. e Histog.'!DE:DE),"")</f>
        <v>0</v>
      </c>
      <c r="AK350" s="144">
        <f>IFERROR(_xlfn.XLOOKUP($B350,'Cronog. e Histog.'!$BZ:$BZ,'Cronog. e Histog.'!DF:DF),"")</f>
        <v>0</v>
      </c>
      <c r="AL350" s="144">
        <f>IFERROR(_xlfn.XLOOKUP($B350,'Cronog. e Histog.'!$BZ:$BZ,'Cronog. e Histog.'!DG:DG),"")</f>
        <v>0</v>
      </c>
      <c r="AM350" s="144">
        <f>IFERROR(_xlfn.XLOOKUP($B350,'Cronog. e Histog.'!$BZ:$BZ,'Cronog. e Histog.'!DH:DH),"")</f>
        <v>0</v>
      </c>
      <c r="AN350" s="144">
        <f>IFERROR(_xlfn.XLOOKUP($B350,'Cronog. e Histog.'!$BZ:$BZ,'Cronog. e Histog.'!DI:DI),"")</f>
        <v>0</v>
      </c>
      <c r="AO350" s="144">
        <f>IFERROR(_xlfn.XLOOKUP($B350,'Cronog. e Histog.'!$BZ:$BZ,'Cronog. e Histog.'!DJ:DJ),"")</f>
        <v>0</v>
      </c>
      <c r="AP350" s="144">
        <f>IFERROR(_xlfn.XLOOKUP($B350,'Cronog. e Histog.'!$BZ:$BZ,'Cronog. e Histog.'!DK:DK),"")</f>
        <v>0</v>
      </c>
      <c r="AQ350" s="144">
        <f>IFERROR(_xlfn.XLOOKUP($B350,'Cronog. e Histog.'!$BZ:$BZ,'Cronog. e Histog.'!DL:DL),"")</f>
        <v>0</v>
      </c>
      <c r="AR350" s="144">
        <f>IFERROR(_xlfn.XLOOKUP($B350,'Cronog. e Histog.'!$BZ:$BZ,'Cronog. e Histog.'!DM:DM),"")</f>
        <v>0</v>
      </c>
      <c r="AS350" s="144">
        <f>IFERROR(_xlfn.XLOOKUP($B350,'Cronog. e Histog.'!$BZ:$BZ,'Cronog. e Histog.'!DN:DN),"")</f>
        <v>0</v>
      </c>
      <c r="AT350" s="144">
        <f>IFERROR(_xlfn.XLOOKUP($B350,'Cronog. e Histog.'!$BZ:$BZ,'Cronog. e Histog.'!DO:DO),"")</f>
        <v>0</v>
      </c>
      <c r="AU350" s="144">
        <f>IFERROR(_xlfn.XLOOKUP($B350,'Cronog. e Histog.'!$BZ:$BZ,'Cronog. e Histog.'!DP:DP),"")</f>
        <v>0</v>
      </c>
      <c r="AV350" s="144">
        <f>IFERROR(_xlfn.XLOOKUP($B350,'Cronog. e Histog.'!$BZ:$BZ,'Cronog. e Histog.'!DQ:DQ),"")</f>
        <v>0</v>
      </c>
      <c r="AW350" s="144">
        <f>IFERROR(_xlfn.XLOOKUP($B350,'Cronog. e Histog.'!$BZ:$BZ,'Cronog. e Histog.'!DR:DR),"")</f>
        <v>0</v>
      </c>
      <c r="AX350" s="144">
        <f>IFERROR(_xlfn.XLOOKUP($B350,'Cronog. e Histog.'!$BZ:$BZ,'Cronog. e Histog.'!DS:DS),"")</f>
        <v>0</v>
      </c>
      <c r="AY350" s="144">
        <f>IFERROR(_xlfn.XLOOKUP($B350,'Cronog. e Histog.'!$BZ:$BZ,'Cronog. e Histog.'!DT:DT),"")</f>
        <v>0</v>
      </c>
      <c r="AZ350" s="144">
        <f>IFERROR(_xlfn.XLOOKUP($B350,'Cronog. e Histog.'!$BZ:$BZ,'Cronog. e Histog.'!DU:DU),"")</f>
        <v>0</v>
      </c>
      <c r="BA350" s="144">
        <f>IFERROR(_xlfn.XLOOKUP($B350,'Cronog. e Histog.'!$BZ:$BZ,'Cronog. e Histog.'!DV:DV),"")</f>
        <v>0</v>
      </c>
      <c r="BB350" s="144">
        <f>IFERROR(_xlfn.XLOOKUP($B350,'Cronog. e Histog.'!$BZ:$BZ,'Cronog. e Histog.'!DW:DW),"")</f>
        <v>0</v>
      </c>
      <c r="BC350" s="144">
        <f>IFERROR(_xlfn.XLOOKUP($B350,'Cronog. e Histog.'!$BZ:$BZ,'Cronog. e Histog.'!DX:DX),"")</f>
        <v>0</v>
      </c>
      <c r="BD350" s="144">
        <f>IFERROR(_xlfn.XLOOKUP($B350,'Cronog. e Histog.'!$BZ:$BZ,'Cronog. e Histog.'!DY:DY),"")</f>
        <v>0</v>
      </c>
      <c r="BE350" s="144">
        <f>IFERROR(_xlfn.XLOOKUP($B350,'Cronog. e Histog.'!$BZ:$BZ,'Cronog. e Histog.'!DZ:DZ),"")</f>
        <v>0</v>
      </c>
      <c r="BF350" s="144">
        <f>IFERROR(_xlfn.XLOOKUP($B350,'Cronog. e Histog.'!$BZ:$BZ,'Cronog. e Histog.'!EA:EA),"")</f>
        <v>0</v>
      </c>
      <c r="BG350" s="144">
        <f>IFERROR(_xlfn.XLOOKUP($B350,'Cronog. e Histog.'!$BZ:$BZ,'Cronog. e Histog.'!EB:EB),"")</f>
        <v>0</v>
      </c>
      <c r="BH350" s="144">
        <f>IFERROR(_xlfn.XLOOKUP($B350,'Cronog. e Histog.'!$BZ:$BZ,'Cronog. e Histog.'!EC:EC),"")</f>
        <v>0</v>
      </c>
      <c r="BI350" s="144">
        <f>IFERROR(_xlfn.XLOOKUP($B350,'Cronog. e Histog.'!$BZ:$BZ,'Cronog. e Histog.'!ED:ED),"")</f>
        <v>0</v>
      </c>
      <c r="BJ350" s="144">
        <f>IFERROR(_xlfn.XLOOKUP($B350,'Cronog. e Histog.'!$BZ:$BZ,'Cronog. e Histog.'!EE:EE),"")</f>
        <v>0</v>
      </c>
      <c r="BK350" s="144">
        <f>IFERROR(_xlfn.XLOOKUP($B350,'Cronog. e Histog.'!$BZ:$BZ,'Cronog. e Histog.'!EF:EF),"")</f>
        <v>0</v>
      </c>
      <c r="BL350" s="144">
        <f>IFERROR(_xlfn.XLOOKUP($B350,'Cronog. e Histog.'!$BZ:$BZ,'Cronog. e Histog.'!EG:EG),"")</f>
        <v>0</v>
      </c>
      <c r="BM350" s="144">
        <f>IFERROR(_xlfn.XLOOKUP($B350,'Cronog. e Histog.'!$BZ:$BZ,'Cronog. e Histog.'!EH:EH),"")</f>
        <v>0</v>
      </c>
      <c r="BN350" s="144">
        <f>IFERROR(_xlfn.XLOOKUP($B350,'Cronog. e Histog.'!$BZ:$BZ,'Cronog. e Histog.'!EI:EI),"")</f>
        <v>0</v>
      </c>
    </row>
    <row r="351" spans="2:66" ht="12" hidden="1" customHeight="1" outlineLevel="1">
      <c r="B351" s="76">
        <v>345</v>
      </c>
      <c r="C351" s="143" t="str">
        <f>IFERROR(VLOOKUP(B351,'Cronog. e Histog.'!$BZ$213:$CA$747,2,0),"")</f>
        <v>ENG/ARQ PL.</v>
      </c>
      <c r="D351" s="144">
        <f t="shared" si="6"/>
        <v>1</v>
      </c>
      <c r="E351" s="144">
        <f t="shared" si="7"/>
        <v>10</v>
      </c>
      <c r="F351" s="65"/>
      <c r="G351" s="144">
        <f>IFERROR(_xlfn.XLOOKUP($B351,'Cronog. e Histog.'!$BZ:$BZ,'Cronog. e Histog.'!CB:CB),"")</f>
        <v>0.02</v>
      </c>
      <c r="H351" s="144">
        <f>IFERROR(_xlfn.XLOOKUP($B351,'Cronog. e Histog.'!$BZ:$BZ,'Cronog. e Histog.'!CC:CC),"")</f>
        <v>0.02</v>
      </c>
      <c r="I351" s="144">
        <f>IFERROR(_xlfn.XLOOKUP($B351,'Cronog. e Histog.'!$BZ:$BZ,'Cronog. e Histog.'!CD:CD),"")</f>
        <v>0.02</v>
      </c>
      <c r="J351" s="144">
        <f>IFERROR(_xlfn.XLOOKUP($B351,'Cronog. e Histog.'!$BZ:$BZ,'Cronog. e Histog.'!CE:CE),"")</f>
        <v>0.02</v>
      </c>
      <c r="K351" s="144">
        <f>IFERROR(_xlfn.XLOOKUP($B351,'Cronog. e Histog.'!$BZ:$BZ,'Cronog. e Histog.'!CF:CF),"")</f>
        <v>0.02</v>
      </c>
      <c r="L351" s="144">
        <f>IFERROR(_xlfn.XLOOKUP($B351,'Cronog. e Histog.'!$BZ:$BZ,'Cronog. e Histog.'!CG:CG),"")</f>
        <v>0.02</v>
      </c>
      <c r="M351" s="144">
        <f>IFERROR(_xlfn.XLOOKUP($B351,'Cronog. e Histog.'!$BZ:$BZ,'Cronog. e Histog.'!CH:CH),"")</f>
        <v>0.02</v>
      </c>
      <c r="N351" s="144">
        <f>IFERROR(_xlfn.XLOOKUP($B351,'Cronog. e Histog.'!$BZ:$BZ,'Cronog. e Histog.'!CI:CI),"")</f>
        <v>0.02</v>
      </c>
      <c r="O351" s="144">
        <f>IFERROR(_xlfn.XLOOKUP($B351,'Cronog. e Histog.'!$BZ:$BZ,'Cronog. e Histog.'!CJ:CJ),"")</f>
        <v>0.02</v>
      </c>
      <c r="P351" s="144">
        <f>IFERROR(_xlfn.XLOOKUP($B351,'Cronog. e Histog.'!$BZ:$BZ,'Cronog. e Histog.'!CK:CK),"")</f>
        <v>0.02</v>
      </c>
      <c r="Q351" s="144">
        <f>IFERROR(_xlfn.XLOOKUP($B351,'Cronog. e Histog.'!$BZ:$BZ,'Cronog. e Histog.'!CL:CL),"")</f>
        <v>0</v>
      </c>
      <c r="R351" s="144">
        <f>IFERROR(_xlfn.XLOOKUP($B351,'Cronog. e Histog.'!$BZ:$BZ,'Cronog. e Histog.'!CM:CM),"")</f>
        <v>0</v>
      </c>
      <c r="S351" s="144">
        <f>IFERROR(_xlfn.XLOOKUP($B351,'Cronog. e Histog.'!$BZ:$BZ,'Cronog. e Histog.'!CN:CN),"")</f>
        <v>0</v>
      </c>
      <c r="T351" s="144">
        <f>IFERROR(_xlfn.XLOOKUP($B351,'Cronog. e Histog.'!$BZ:$BZ,'Cronog. e Histog.'!CO:CO),"")</f>
        <v>0</v>
      </c>
      <c r="U351" s="144">
        <f>IFERROR(_xlfn.XLOOKUP($B351,'Cronog. e Histog.'!$BZ:$BZ,'Cronog. e Histog.'!CP:CP),"")</f>
        <v>0</v>
      </c>
      <c r="V351" s="144">
        <f>IFERROR(_xlfn.XLOOKUP($B351,'Cronog. e Histog.'!$BZ:$BZ,'Cronog. e Histog.'!CQ:CQ),"")</f>
        <v>0</v>
      </c>
      <c r="W351" s="144">
        <f>IFERROR(_xlfn.XLOOKUP($B351,'Cronog. e Histog.'!$BZ:$BZ,'Cronog. e Histog.'!CR:CR),"")</f>
        <v>0</v>
      </c>
      <c r="X351" s="144">
        <f>IFERROR(_xlfn.XLOOKUP($B351,'Cronog. e Histog.'!$BZ:$BZ,'Cronog. e Histog.'!CS:CS),"")</f>
        <v>0</v>
      </c>
      <c r="Y351" s="144">
        <f>IFERROR(_xlfn.XLOOKUP($B351,'Cronog. e Histog.'!$BZ:$BZ,'Cronog. e Histog.'!CT:CT),"")</f>
        <v>0</v>
      </c>
      <c r="Z351" s="144">
        <f>IFERROR(_xlfn.XLOOKUP($B351,'Cronog. e Histog.'!$BZ:$BZ,'Cronog. e Histog.'!CU:CU),"")</f>
        <v>0</v>
      </c>
      <c r="AA351" s="144">
        <f>IFERROR(_xlfn.XLOOKUP($B351,'Cronog. e Histog.'!$BZ:$BZ,'Cronog. e Histog.'!CV:CV),"")</f>
        <v>0</v>
      </c>
      <c r="AB351" s="144">
        <f>IFERROR(_xlfn.XLOOKUP($B351,'Cronog. e Histog.'!$BZ:$BZ,'Cronog. e Histog.'!CW:CW),"")</f>
        <v>0</v>
      </c>
      <c r="AC351" s="144">
        <f>IFERROR(_xlfn.XLOOKUP($B351,'Cronog. e Histog.'!$BZ:$BZ,'Cronog. e Histog.'!CX:CX),"")</f>
        <v>0</v>
      </c>
      <c r="AD351" s="144">
        <f>IFERROR(_xlfn.XLOOKUP($B351,'Cronog. e Histog.'!$BZ:$BZ,'Cronog. e Histog.'!CY:CY),"")</f>
        <v>0</v>
      </c>
      <c r="AE351" s="144">
        <f>IFERROR(_xlfn.XLOOKUP($B351,'Cronog. e Histog.'!$BZ:$BZ,'Cronog. e Histog.'!CZ:CZ),"")</f>
        <v>0</v>
      </c>
      <c r="AF351" s="144">
        <f>IFERROR(_xlfn.XLOOKUP($B351,'Cronog. e Histog.'!$BZ:$BZ,'Cronog. e Histog.'!DA:DA),"")</f>
        <v>0</v>
      </c>
      <c r="AG351" s="144">
        <f>IFERROR(_xlfn.XLOOKUP($B351,'Cronog. e Histog.'!$BZ:$BZ,'Cronog. e Histog.'!DB:DB),"")</f>
        <v>0</v>
      </c>
      <c r="AH351" s="144">
        <f>IFERROR(_xlfn.XLOOKUP($B351,'Cronog. e Histog.'!$BZ:$BZ,'Cronog. e Histog.'!DC:DC),"")</f>
        <v>0</v>
      </c>
      <c r="AI351" s="144">
        <f>IFERROR(_xlfn.XLOOKUP($B351,'Cronog. e Histog.'!$BZ:$BZ,'Cronog. e Histog.'!DD:DD),"")</f>
        <v>0</v>
      </c>
      <c r="AJ351" s="144">
        <f>IFERROR(_xlfn.XLOOKUP($B351,'Cronog. e Histog.'!$BZ:$BZ,'Cronog. e Histog.'!DE:DE),"")</f>
        <v>0</v>
      </c>
      <c r="AK351" s="144">
        <f>IFERROR(_xlfn.XLOOKUP($B351,'Cronog. e Histog.'!$BZ:$BZ,'Cronog. e Histog.'!DF:DF),"")</f>
        <v>0</v>
      </c>
      <c r="AL351" s="144">
        <f>IFERROR(_xlfn.XLOOKUP($B351,'Cronog. e Histog.'!$BZ:$BZ,'Cronog. e Histog.'!DG:DG),"")</f>
        <v>0</v>
      </c>
      <c r="AM351" s="144">
        <f>IFERROR(_xlfn.XLOOKUP($B351,'Cronog. e Histog.'!$BZ:$BZ,'Cronog. e Histog.'!DH:DH),"")</f>
        <v>0</v>
      </c>
      <c r="AN351" s="144">
        <f>IFERROR(_xlfn.XLOOKUP($B351,'Cronog. e Histog.'!$BZ:$BZ,'Cronog. e Histog.'!DI:DI),"")</f>
        <v>0</v>
      </c>
      <c r="AO351" s="144">
        <f>IFERROR(_xlfn.XLOOKUP($B351,'Cronog. e Histog.'!$BZ:$BZ,'Cronog. e Histog.'!DJ:DJ),"")</f>
        <v>0</v>
      </c>
      <c r="AP351" s="144">
        <f>IFERROR(_xlfn.XLOOKUP($B351,'Cronog. e Histog.'!$BZ:$BZ,'Cronog. e Histog.'!DK:DK),"")</f>
        <v>0</v>
      </c>
      <c r="AQ351" s="144">
        <f>IFERROR(_xlfn.XLOOKUP($B351,'Cronog. e Histog.'!$BZ:$BZ,'Cronog. e Histog.'!DL:DL),"")</f>
        <v>0</v>
      </c>
      <c r="AR351" s="144">
        <f>IFERROR(_xlfn.XLOOKUP($B351,'Cronog. e Histog.'!$BZ:$BZ,'Cronog. e Histog.'!DM:DM),"")</f>
        <v>0</v>
      </c>
      <c r="AS351" s="144">
        <f>IFERROR(_xlfn.XLOOKUP($B351,'Cronog. e Histog.'!$BZ:$BZ,'Cronog. e Histog.'!DN:DN),"")</f>
        <v>0</v>
      </c>
      <c r="AT351" s="144">
        <f>IFERROR(_xlfn.XLOOKUP($B351,'Cronog. e Histog.'!$BZ:$BZ,'Cronog. e Histog.'!DO:DO),"")</f>
        <v>0</v>
      </c>
      <c r="AU351" s="144">
        <f>IFERROR(_xlfn.XLOOKUP($B351,'Cronog. e Histog.'!$BZ:$BZ,'Cronog. e Histog.'!DP:DP),"")</f>
        <v>0</v>
      </c>
      <c r="AV351" s="144">
        <f>IFERROR(_xlfn.XLOOKUP($B351,'Cronog. e Histog.'!$BZ:$BZ,'Cronog. e Histog.'!DQ:DQ),"")</f>
        <v>0</v>
      </c>
      <c r="AW351" s="144">
        <f>IFERROR(_xlfn.XLOOKUP($B351,'Cronog. e Histog.'!$BZ:$BZ,'Cronog. e Histog.'!DR:DR),"")</f>
        <v>0</v>
      </c>
      <c r="AX351" s="144">
        <f>IFERROR(_xlfn.XLOOKUP($B351,'Cronog. e Histog.'!$BZ:$BZ,'Cronog. e Histog.'!DS:DS),"")</f>
        <v>0</v>
      </c>
      <c r="AY351" s="144">
        <f>IFERROR(_xlfn.XLOOKUP($B351,'Cronog. e Histog.'!$BZ:$BZ,'Cronog. e Histog.'!DT:DT),"")</f>
        <v>0</v>
      </c>
      <c r="AZ351" s="144">
        <f>IFERROR(_xlfn.XLOOKUP($B351,'Cronog. e Histog.'!$BZ:$BZ,'Cronog. e Histog.'!DU:DU),"")</f>
        <v>0</v>
      </c>
      <c r="BA351" s="144">
        <f>IFERROR(_xlfn.XLOOKUP($B351,'Cronog. e Histog.'!$BZ:$BZ,'Cronog. e Histog.'!DV:DV),"")</f>
        <v>0</v>
      </c>
      <c r="BB351" s="144">
        <f>IFERROR(_xlfn.XLOOKUP($B351,'Cronog. e Histog.'!$BZ:$BZ,'Cronog. e Histog.'!DW:DW),"")</f>
        <v>0</v>
      </c>
      <c r="BC351" s="144">
        <f>IFERROR(_xlfn.XLOOKUP($B351,'Cronog. e Histog.'!$BZ:$BZ,'Cronog. e Histog.'!DX:DX),"")</f>
        <v>0</v>
      </c>
      <c r="BD351" s="144">
        <f>IFERROR(_xlfn.XLOOKUP($B351,'Cronog. e Histog.'!$BZ:$BZ,'Cronog. e Histog.'!DY:DY),"")</f>
        <v>0</v>
      </c>
      <c r="BE351" s="144">
        <f>IFERROR(_xlfn.XLOOKUP($B351,'Cronog. e Histog.'!$BZ:$BZ,'Cronog. e Histog.'!DZ:DZ),"")</f>
        <v>0</v>
      </c>
      <c r="BF351" s="144">
        <f>IFERROR(_xlfn.XLOOKUP($B351,'Cronog. e Histog.'!$BZ:$BZ,'Cronog. e Histog.'!EA:EA),"")</f>
        <v>0</v>
      </c>
      <c r="BG351" s="144">
        <f>IFERROR(_xlfn.XLOOKUP($B351,'Cronog. e Histog.'!$BZ:$BZ,'Cronog. e Histog.'!EB:EB),"")</f>
        <v>0</v>
      </c>
      <c r="BH351" s="144">
        <f>IFERROR(_xlfn.XLOOKUP($B351,'Cronog. e Histog.'!$BZ:$BZ,'Cronog. e Histog.'!EC:EC),"")</f>
        <v>0</v>
      </c>
      <c r="BI351" s="144">
        <f>IFERROR(_xlfn.XLOOKUP($B351,'Cronog. e Histog.'!$BZ:$BZ,'Cronog. e Histog.'!ED:ED),"")</f>
        <v>0</v>
      </c>
      <c r="BJ351" s="144">
        <f>IFERROR(_xlfn.XLOOKUP($B351,'Cronog. e Histog.'!$BZ:$BZ,'Cronog. e Histog.'!EE:EE),"")</f>
        <v>0</v>
      </c>
      <c r="BK351" s="144">
        <f>IFERROR(_xlfn.XLOOKUP($B351,'Cronog. e Histog.'!$BZ:$BZ,'Cronog. e Histog.'!EF:EF),"")</f>
        <v>0</v>
      </c>
      <c r="BL351" s="144">
        <f>IFERROR(_xlfn.XLOOKUP($B351,'Cronog. e Histog.'!$BZ:$BZ,'Cronog. e Histog.'!EG:EG),"")</f>
        <v>0</v>
      </c>
      <c r="BM351" s="144">
        <f>IFERROR(_xlfn.XLOOKUP($B351,'Cronog. e Histog.'!$BZ:$BZ,'Cronog. e Histog.'!EH:EH),"")</f>
        <v>0</v>
      </c>
      <c r="BN351" s="144">
        <f>IFERROR(_xlfn.XLOOKUP($B351,'Cronog. e Histog.'!$BZ:$BZ,'Cronog. e Histog.'!EI:EI),"")</f>
        <v>0</v>
      </c>
    </row>
    <row r="352" spans="2:66" ht="12" hidden="1" customHeight="1" outlineLevel="1">
      <c r="B352" s="76">
        <v>346</v>
      </c>
      <c r="C352" s="143" t="str">
        <f>IFERROR(VLOOKUP(B352,'Cronog. e Histog.'!$BZ$213:$CA$747,2,0),"")</f>
        <v>ENG/ARQ JR.</v>
      </c>
      <c r="D352" s="144">
        <f t="shared" si="6"/>
        <v>0</v>
      </c>
      <c r="E352" s="144">
        <f t="shared" si="7"/>
        <v>0</v>
      </c>
      <c r="F352" s="65"/>
      <c r="G352" s="144">
        <f>IFERROR(_xlfn.XLOOKUP($B352,'Cronog. e Histog.'!$BZ:$BZ,'Cronog. e Histog.'!CB:CB),"")</f>
        <v>0</v>
      </c>
      <c r="H352" s="144">
        <f>IFERROR(_xlfn.XLOOKUP($B352,'Cronog. e Histog.'!$BZ:$BZ,'Cronog. e Histog.'!CC:CC),"")</f>
        <v>0</v>
      </c>
      <c r="I352" s="144">
        <f>IFERROR(_xlfn.XLOOKUP($B352,'Cronog. e Histog.'!$BZ:$BZ,'Cronog. e Histog.'!CD:CD),"")</f>
        <v>0</v>
      </c>
      <c r="J352" s="144">
        <f>IFERROR(_xlfn.XLOOKUP($B352,'Cronog. e Histog.'!$BZ:$BZ,'Cronog. e Histog.'!CE:CE),"")</f>
        <v>0</v>
      </c>
      <c r="K352" s="144">
        <f>IFERROR(_xlfn.XLOOKUP($B352,'Cronog. e Histog.'!$BZ:$BZ,'Cronog. e Histog.'!CF:CF),"")</f>
        <v>0</v>
      </c>
      <c r="L352" s="144">
        <f>IFERROR(_xlfn.XLOOKUP($B352,'Cronog. e Histog.'!$BZ:$BZ,'Cronog. e Histog.'!CG:CG),"")</f>
        <v>0</v>
      </c>
      <c r="M352" s="144">
        <f>IFERROR(_xlfn.XLOOKUP($B352,'Cronog. e Histog.'!$BZ:$BZ,'Cronog. e Histog.'!CH:CH),"")</f>
        <v>0</v>
      </c>
      <c r="N352" s="144">
        <f>IFERROR(_xlfn.XLOOKUP($B352,'Cronog. e Histog.'!$BZ:$BZ,'Cronog. e Histog.'!CI:CI),"")</f>
        <v>0</v>
      </c>
      <c r="O352" s="144">
        <f>IFERROR(_xlfn.XLOOKUP($B352,'Cronog. e Histog.'!$BZ:$BZ,'Cronog. e Histog.'!CJ:CJ),"")</f>
        <v>0</v>
      </c>
      <c r="P352" s="144">
        <f>IFERROR(_xlfn.XLOOKUP($B352,'Cronog. e Histog.'!$BZ:$BZ,'Cronog. e Histog.'!CK:CK),"")</f>
        <v>0</v>
      </c>
      <c r="Q352" s="144">
        <f>IFERROR(_xlfn.XLOOKUP($B352,'Cronog. e Histog.'!$BZ:$BZ,'Cronog. e Histog.'!CL:CL),"")</f>
        <v>0</v>
      </c>
      <c r="R352" s="144">
        <f>IFERROR(_xlfn.XLOOKUP($B352,'Cronog. e Histog.'!$BZ:$BZ,'Cronog. e Histog.'!CM:CM),"")</f>
        <v>0</v>
      </c>
      <c r="S352" s="144">
        <f>IFERROR(_xlfn.XLOOKUP($B352,'Cronog. e Histog.'!$BZ:$BZ,'Cronog. e Histog.'!CN:CN),"")</f>
        <v>0</v>
      </c>
      <c r="T352" s="144">
        <f>IFERROR(_xlfn.XLOOKUP($B352,'Cronog. e Histog.'!$BZ:$BZ,'Cronog. e Histog.'!CO:CO),"")</f>
        <v>0</v>
      </c>
      <c r="U352" s="144">
        <f>IFERROR(_xlfn.XLOOKUP($B352,'Cronog. e Histog.'!$BZ:$BZ,'Cronog. e Histog.'!CP:CP),"")</f>
        <v>0</v>
      </c>
      <c r="V352" s="144">
        <f>IFERROR(_xlfn.XLOOKUP($B352,'Cronog. e Histog.'!$BZ:$BZ,'Cronog. e Histog.'!CQ:CQ),"")</f>
        <v>0</v>
      </c>
      <c r="W352" s="144">
        <f>IFERROR(_xlfn.XLOOKUP($B352,'Cronog. e Histog.'!$BZ:$BZ,'Cronog. e Histog.'!CR:CR),"")</f>
        <v>0</v>
      </c>
      <c r="X352" s="144">
        <f>IFERROR(_xlfn.XLOOKUP($B352,'Cronog. e Histog.'!$BZ:$BZ,'Cronog. e Histog.'!CS:CS),"")</f>
        <v>0</v>
      </c>
      <c r="Y352" s="144">
        <f>IFERROR(_xlfn.XLOOKUP($B352,'Cronog. e Histog.'!$BZ:$BZ,'Cronog. e Histog.'!CT:CT),"")</f>
        <v>0</v>
      </c>
      <c r="Z352" s="144">
        <f>IFERROR(_xlfn.XLOOKUP($B352,'Cronog. e Histog.'!$BZ:$BZ,'Cronog. e Histog.'!CU:CU),"")</f>
        <v>0</v>
      </c>
      <c r="AA352" s="144">
        <f>IFERROR(_xlfn.XLOOKUP($B352,'Cronog. e Histog.'!$BZ:$BZ,'Cronog. e Histog.'!CV:CV),"")</f>
        <v>0</v>
      </c>
      <c r="AB352" s="144">
        <f>IFERROR(_xlfn.XLOOKUP($B352,'Cronog. e Histog.'!$BZ:$BZ,'Cronog. e Histog.'!CW:CW),"")</f>
        <v>0</v>
      </c>
      <c r="AC352" s="144">
        <f>IFERROR(_xlfn.XLOOKUP($B352,'Cronog. e Histog.'!$BZ:$BZ,'Cronog. e Histog.'!CX:CX),"")</f>
        <v>0</v>
      </c>
      <c r="AD352" s="144">
        <f>IFERROR(_xlfn.XLOOKUP($B352,'Cronog. e Histog.'!$BZ:$BZ,'Cronog. e Histog.'!CY:CY),"")</f>
        <v>0</v>
      </c>
      <c r="AE352" s="144">
        <f>IFERROR(_xlfn.XLOOKUP($B352,'Cronog. e Histog.'!$BZ:$BZ,'Cronog. e Histog.'!CZ:CZ),"")</f>
        <v>0</v>
      </c>
      <c r="AF352" s="144">
        <f>IFERROR(_xlfn.XLOOKUP($B352,'Cronog. e Histog.'!$BZ:$BZ,'Cronog. e Histog.'!DA:DA),"")</f>
        <v>0</v>
      </c>
      <c r="AG352" s="144">
        <f>IFERROR(_xlfn.XLOOKUP($B352,'Cronog. e Histog.'!$BZ:$BZ,'Cronog. e Histog.'!DB:DB),"")</f>
        <v>0</v>
      </c>
      <c r="AH352" s="144">
        <f>IFERROR(_xlfn.XLOOKUP($B352,'Cronog. e Histog.'!$BZ:$BZ,'Cronog. e Histog.'!DC:DC),"")</f>
        <v>0</v>
      </c>
      <c r="AI352" s="144">
        <f>IFERROR(_xlfn.XLOOKUP($B352,'Cronog. e Histog.'!$BZ:$BZ,'Cronog. e Histog.'!DD:DD),"")</f>
        <v>0</v>
      </c>
      <c r="AJ352" s="144">
        <f>IFERROR(_xlfn.XLOOKUP($B352,'Cronog. e Histog.'!$BZ:$BZ,'Cronog. e Histog.'!DE:DE),"")</f>
        <v>0</v>
      </c>
      <c r="AK352" s="144">
        <f>IFERROR(_xlfn.XLOOKUP($B352,'Cronog. e Histog.'!$BZ:$BZ,'Cronog. e Histog.'!DF:DF),"")</f>
        <v>0</v>
      </c>
      <c r="AL352" s="144">
        <f>IFERROR(_xlfn.XLOOKUP($B352,'Cronog. e Histog.'!$BZ:$BZ,'Cronog. e Histog.'!DG:DG),"")</f>
        <v>0</v>
      </c>
      <c r="AM352" s="144">
        <f>IFERROR(_xlfn.XLOOKUP($B352,'Cronog. e Histog.'!$BZ:$BZ,'Cronog. e Histog.'!DH:DH),"")</f>
        <v>0</v>
      </c>
      <c r="AN352" s="144">
        <f>IFERROR(_xlfn.XLOOKUP($B352,'Cronog. e Histog.'!$BZ:$BZ,'Cronog. e Histog.'!DI:DI),"")</f>
        <v>0</v>
      </c>
      <c r="AO352" s="144">
        <f>IFERROR(_xlfn.XLOOKUP($B352,'Cronog. e Histog.'!$BZ:$BZ,'Cronog. e Histog.'!DJ:DJ),"")</f>
        <v>0</v>
      </c>
      <c r="AP352" s="144">
        <f>IFERROR(_xlfn.XLOOKUP($B352,'Cronog. e Histog.'!$BZ:$BZ,'Cronog. e Histog.'!DK:DK),"")</f>
        <v>0</v>
      </c>
      <c r="AQ352" s="144">
        <f>IFERROR(_xlfn.XLOOKUP($B352,'Cronog. e Histog.'!$BZ:$BZ,'Cronog. e Histog.'!DL:DL),"")</f>
        <v>0</v>
      </c>
      <c r="AR352" s="144">
        <f>IFERROR(_xlfn.XLOOKUP($B352,'Cronog. e Histog.'!$BZ:$BZ,'Cronog. e Histog.'!DM:DM),"")</f>
        <v>0</v>
      </c>
      <c r="AS352" s="144">
        <f>IFERROR(_xlfn.XLOOKUP($B352,'Cronog. e Histog.'!$BZ:$BZ,'Cronog. e Histog.'!DN:DN),"")</f>
        <v>0</v>
      </c>
      <c r="AT352" s="144">
        <f>IFERROR(_xlfn.XLOOKUP($B352,'Cronog. e Histog.'!$BZ:$BZ,'Cronog. e Histog.'!DO:DO),"")</f>
        <v>0</v>
      </c>
      <c r="AU352" s="144">
        <f>IFERROR(_xlfn.XLOOKUP($B352,'Cronog. e Histog.'!$BZ:$BZ,'Cronog. e Histog.'!DP:DP),"")</f>
        <v>0</v>
      </c>
      <c r="AV352" s="144">
        <f>IFERROR(_xlfn.XLOOKUP($B352,'Cronog. e Histog.'!$BZ:$BZ,'Cronog. e Histog.'!DQ:DQ),"")</f>
        <v>0</v>
      </c>
      <c r="AW352" s="144">
        <f>IFERROR(_xlfn.XLOOKUP($B352,'Cronog. e Histog.'!$BZ:$BZ,'Cronog. e Histog.'!DR:DR),"")</f>
        <v>0</v>
      </c>
      <c r="AX352" s="144">
        <f>IFERROR(_xlfn.XLOOKUP($B352,'Cronog. e Histog.'!$BZ:$BZ,'Cronog. e Histog.'!DS:DS),"")</f>
        <v>0</v>
      </c>
      <c r="AY352" s="144">
        <f>IFERROR(_xlfn.XLOOKUP($B352,'Cronog. e Histog.'!$BZ:$BZ,'Cronog. e Histog.'!DT:DT),"")</f>
        <v>0</v>
      </c>
      <c r="AZ352" s="144">
        <f>IFERROR(_xlfn.XLOOKUP($B352,'Cronog. e Histog.'!$BZ:$BZ,'Cronog. e Histog.'!DU:DU),"")</f>
        <v>0</v>
      </c>
      <c r="BA352" s="144">
        <f>IFERROR(_xlfn.XLOOKUP($B352,'Cronog. e Histog.'!$BZ:$BZ,'Cronog. e Histog.'!DV:DV),"")</f>
        <v>0</v>
      </c>
      <c r="BB352" s="144">
        <f>IFERROR(_xlfn.XLOOKUP($B352,'Cronog. e Histog.'!$BZ:$BZ,'Cronog. e Histog.'!DW:DW),"")</f>
        <v>0</v>
      </c>
      <c r="BC352" s="144">
        <f>IFERROR(_xlfn.XLOOKUP($B352,'Cronog. e Histog.'!$BZ:$BZ,'Cronog. e Histog.'!DX:DX),"")</f>
        <v>0</v>
      </c>
      <c r="BD352" s="144">
        <f>IFERROR(_xlfn.XLOOKUP($B352,'Cronog. e Histog.'!$BZ:$BZ,'Cronog. e Histog.'!DY:DY),"")</f>
        <v>0</v>
      </c>
      <c r="BE352" s="144">
        <f>IFERROR(_xlfn.XLOOKUP($B352,'Cronog. e Histog.'!$BZ:$BZ,'Cronog. e Histog.'!DZ:DZ),"")</f>
        <v>0</v>
      </c>
      <c r="BF352" s="144">
        <f>IFERROR(_xlfn.XLOOKUP($B352,'Cronog. e Histog.'!$BZ:$BZ,'Cronog. e Histog.'!EA:EA),"")</f>
        <v>0</v>
      </c>
      <c r="BG352" s="144">
        <f>IFERROR(_xlfn.XLOOKUP($B352,'Cronog. e Histog.'!$BZ:$BZ,'Cronog. e Histog.'!EB:EB),"")</f>
        <v>0</v>
      </c>
      <c r="BH352" s="144">
        <f>IFERROR(_xlfn.XLOOKUP($B352,'Cronog. e Histog.'!$BZ:$BZ,'Cronog. e Histog.'!EC:EC),"")</f>
        <v>0</v>
      </c>
      <c r="BI352" s="144">
        <f>IFERROR(_xlfn.XLOOKUP($B352,'Cronog. e Histog.'!$BZ:$BZ,'Cronog. e Histog.'!ED:ED),"")</f>
        <v>0</v>
      </c>
      <c r="BJ352" s="144">
        <f>IFERROR(_xlfn.XLOOKUP($B352,'Cronog. e Histog.'!$BZ:$BZ,'Cronog. e Histog.'!EE:EE),"")</f>
        <v>0</v>
      </c>
      <c r="BK352" s="144">
        <f>IFERROR(_xlfn.XLOOKUP($B352,'Cronog. e Histog.'!$BZ:$BZ,'Cronog. e Histog.'!EF:EF),"")</f>
        <v>0</v>
      </c>
      <c r="BL352" s="144">
        <f>IFERROR(_xlfn.XLOOKUP($B352,'Cronog. e Histog.'!$BZ:$BZ,'Cronog. e Histog.'!EG:EG),"")</f>
        <v>0</v>
      </c>
      <c r="BM352" s="144">
        <f>IFERROR(_xlfn.XLOOKUP($B352,'Cronog. e Histog.'!$BZ:$BZ,'Cronog. e Histog.'!EH:EH),"")</f>
        <v>0</v>
      </c>
      <c r="BN352" s="144">
        <f>IFERROR(_xlfn.XLOOKUP($B352,'Cronog. e Histog.'!$BZ:$BZ,'Cronog. e Histog.'!EI:EI),"")</f>
        <v>0</v>
      </c>
    </row>
    <row r="353" spans="2:66" ht="12" hidden="1" customHeight="1" outlineLevel="1">
      <c r="B353" s="76">
        <v>347</v>
      </c>
      <c r="C353" s="143" t="str">
        <f>IFERROR(VLOOKUP(B353,'Cronog. e Histog.'!$BZ$213:$CA$747,2,0),"")</f>
        <v>AN SR. ENG/ARQ</v>
      </c>
      <c r="D353" s="144">
        <f t="shared" si="6"/>
        <v>0</v>
      </c>
      <c r="E353" s="144">
        <f t="shared" si="7"/>
        <v>0</v>
      </c>
      <c r="F353" s="65"/>
      <c r="G353" s="144">
        <f>IFERROR(_xlfn.XLOOKUP($B353,'Cronog. e Histog.'!$BZ:$BZ,'Cronog. e Histog.'!CB:CB),"")</f>
        <v>0</v>
      </c>
      <c r="H353" s="144">
        <f>IFERROR(_xlfn.XLOOKUP($B353,'Cronog. e Histog.'!$BZ:$BZ,'Cronog. e Histog.'!CC:CC),"")</f>
        <v>0</v>
      </c>
      <c r="I353" s="144">
        <f>IFERROR(_xlfn.XLOOKUP($B353,'Cronog. e Histog.'!$BZ:$BZ,'Cronog. e Histog.'!CD:CD),"")</f>
        <v>0</v>
      </c>
      <c r="J353" s="144">
        <f>IFERROR(_xlfn.XLOOKUP($B353,'Cronog. e Histog.'!$BZ:$BZ,'Cronog. e Histog.'!CE:CE),"")</f>
        <v>0</v>
      </c>
      <c r="K353" s="144">
        <f>IFERROR(_xlfn.XLOOKUP($B353,'Cronog. e Histog.'!$BZ:$BZ,'Cronog. e Histog.'!CF:CF),"")</f>
        <v>0</v>
      </c>
      <c r="L353" s="144">
        <f>IFERROR(_xlfn.XLOOKUP($B353,'Cronog. e Histog.'!$BZ:$BZ,'Cronog. e Histog.'!CG:CG),"")</f>
        <v>0</v>
      </c>
      <c r="M353" s="144">
        <f>IFERROR(_xlfn.XLOOKUP($B353,'Cronog. e Histog.'!$BZ:$BZ,'Cronog. e Histog.'!CH:CH),"")</f>
        <v>0</v>
      </c>
      <c r="N353" s="144">
        <f>IFERROR(_xlfn.XLOOKUP($B353,'Cronog. e Histog.'!$BZ:$BZ,'Cronog. e Histog.'!CI:CI),"")</f>
        <v>0</v>
      </c>
      <c r="O353" s="144">
        <f>IFERROR(_xlfn.XLOOKUP($B353,'Cronog. e Histog.'!$BZ:$BZ,'Cronog. e Histog.'!CJ:CJ),"")</f>
        <v>0</v>
      </c>
      <c r="P353" s="144">
        <f>IFERROR(_xlfn.XLOOKUP($B353,'Cronog. e Histog.'!$BZ:$BZ,'Cronog. e Histog.'!CK:CK),"")</f>
        <v>0</v>
      </c>
      <c r="Q353" s="144">
        <f>IFERROR(_xlfn.XLOOKUP($B353,'Cronog. e Histog.'!$BZ:$BZ,'Cronog. e Histog.'!CL:CL),"")</f>
        <v>0</v>
      </c>
      <c r="R353" s="144">
        <f>IFERROR(_xlfn.XLOOKUP($B353,'Cronog. e Histog.'!$BZ:$BZ,'Cronog. e Histog.'!CM:CM),"")</f>
        <v>0</v>
      </c>
      <c r="S353" s="144">
        <f>IFERROR(_xlfn.XLOOKUP($B353,'Cronog. e Histog.'!$BZ:$BZ,'Cronog. e Histog.'!CN:CN),"")</f>
        <v>0</v>
      </c>
      <c r="T353" s="144">
        <f>IFERROR(_xlfn.XLOOKUP($B353,'Cronog. e Histog.'!$BZ:$BZ,'Cronog. e Histog.'!CO:CO),"")</f>
        <v>0</v>
      </c>
      <c r="U353" s="144">
        <f>IFERROR(_xlfn.XLOOKUP($B353,'Cronog. e Histog.'!$BZ:$BZ,'Cronog. e Histog.'!CP:CP),"")</f>
        <v>0</v>
      </c>
      <c r="V353" s="144">
        <f>IFERROR(_xlfn.XLOOKUP($B353,'Cronog. e Histog.'!$BZ:$BZ,'Cronog. e Histog.'!CQ:CQ),"")</f>
        <v>0</v>
      </c>
      <c r="W353" s="144">
        <f>IFERROR(_xlfn.XLOOKUP($B353,'Cronog. e Histog.'!$BZ:$BZ,'Cronog. e Histog.'!CR:CR),"")</f>
        <v>0</v>
      </c>
      <c r="X353" s="144">
        <f>IFERROR(_xlfn.XLOOKUP($B353,'Cronog. e Histog.'!$BZ:$BZ,'Cronog. e Histog.'!CS:CS),"")</f>
        <v>0</v>
      </c>
      <c r="Y353" s="144">
        <f>IFERROR(_xlfn.XLOOKUP($B353,'Cronog. e Histog.'!$BZ:$BZ,'Cronog. e Histog.'!CT:CT),"")</f>
        <v>0</v>
      </c>
      <c r="Z353" s="144">
        <f>IFERROR(_xlfn.XLOOKUP($B353,'Cronog. e Histog.'!$BZ:$BZ,'Cronog. e Histog.'!CU:CU),"")</f>
        <v>0</v>
      </c>
      <c r="AA353" s="144">
        <f>IFERROR(_xlfn.XLOOKUP($B353,'Cronog. e Histog.'!$BZ:$BZ,'Cronog. e Histog.'!CV:CV),"")</f>
        <v>0</v>
      </c>
      <c r="AB353" s="144">
        <f>IFERROR(_xlfn.XLOOKUP($B353,'Cronog. e Histog.'!$BZ:$BZ,'Cronog. e Histog.'!CW:CW),"")</f>
        <v>0</v>
      </c>
      <c r="AC353" s="144">
        <f>IFERROR(_xlfn.XLOOKUP($B353,'Cronog. e Histog.'!$BZ:$BZ,'Cronog. e Histog.'!CX:CX),"")</f>
        <v>0</v>
      </c>
      <c r="AD353" s="144">
        <f>IFERROR(_xlfn.XLOOKUP($B353,'Cronog. e Histog.'!$BZ:$BZ,'Cronog. e Histog.'!CY:CY),"")</f>
        <v>0</v>
      </c>
      <c r="AE353" s="144">
        <f>IFERROR(_xlfn.XLOOKUP($B353,'Cronog. e Histog.'!$BZ:$BZ,'Cronog. e Histog.'!CZ:CZ),"")</f>
        <v>0</v>
      </c>
      <c r="AF353" s="144">
        <f>IFERROR(_xlfn.XLOOKUP($B353,'Cronog. e Histog.'!$BZ:$BZ,'Cronog. e Histog.'!DA:DA),"")</f>
        <v>0</v>
      </c>
      <c r="AG353" s="144">
        <f>IFERROR(_xlfn.XLOOKUP($B353,'Cronog. e Histog.'!$BZ:$BZ,'Cronog. e Histog.'!DB:DB),"")</f>
        <v>0</v>
      </c>
      <c r="AH353" s="144">
        <f>IFERROR(_xlfn.XLOOKUP($B353,'Cronog. e Histog.'!$BZ:$BZ,'Cronog. e Histog.'!DC:DC),"")</f>
        <v>0</v>
      </c>
      <c r="AI353" s="144">
        <f>IFERROR(_xlfn.XLOOKUP($B353,'Cronog. e Histog.'!$BZ:$BZ,'Cronog. e Histog.'!DD:DD),"")</f>
        <v>0</v>
      </c>
      <c r="AJ353" s="144">
        <f>IFERROR(_xlfn.XLOOKUP($B353,'Cronog. e Histog.'!$BZ:$BZ,'Cronog. e Histog.'!DE:DE),"")</f>
        <v>0</v>
      </c>
      <c r="AK353" s="144">
        <f>IFERROR(_xlfn.XLOOKUP($B353,'Cronog. e Histog.'!$BZ:$BZ,'Cronog. e Histog.'!DF:DF),"")</f>
        <v>0</v>
      </c>
      <c r="AL353" s="144">
        <f>IFERROR(_xlfn.XLOOKUP($B353,'Cronog. e Histog.'!$BZ:$BZ,'Cronog. e Histog.'!DG:DG),"")</f>
        <v>0</v>
      </c>
      <c r="AM353" s="144">
        <f>IFERROR(_xlfn.XLOOKUP($B353,'Cronog. e Histog.'!$BZ:$BZ,'Cronog. e Histog.'!DH:DH),"")</f>
        <v>0</v>
      </c>
      <c r="AN353" s="144">
        <f>IFERROR(_xlfn.XLOOKUP($B353,'Cronog. e Histog.'!$BZ:$BZ,'Cronog. e Histog.'!DI:DI),"")</f>
        <v>0</v>
      </c>
      <c r="AO353" s="144">
        <f>IFERROR(_xlfn.XLOOKUP($B353,'Cronog. e Histog.'!$BZ:$BZ,'Cronog. e Histog.'!DJ:DJ),"")</f>
        <v>0</v>
      </c>
      <c r="AP353" s="144">
        <f>IFERROR(_xlfn.XLOOKUP($B353,'Cronog. e Histog.'!$BZ:$BZ,'Cronog. e Histog.'!DK:DK),"")</f>
        <v>0</v>
      </c>
      <c r="AQ353" s="144">
        <f>IFERROR(_xlfn.XLOOKUP($B353,'Cronog. e Histog.'!$BZ:$BZ,'Cronog. e Histog.'!DL:DL),"")</f>
        <v>0</v>
      </c>
      <c r="AR353" s="144">
        <f>IFERROR(_xlfn.XLOOKUP($B353,'Cronog. e Histog.'!$BZ:$BZ,'Cronog. e Histog.'!DM:DM),"")</f>
        <v>0</v>
      </c>
      <c r="AS353" s="144">
        <f>IFERROR(_xlfn.XLOOKUP($B353,'Cronog. e Histog.'!$BZ:$BZ,'Cronog. e Histog.'!DN:DN),"")</f>
        <v>0</v>
      </c>
      <c r="AT353" s="144">
        <f>IFERROR(_xlfn.XLOOKUP($B353,'Cronog. e Histog.'!$BZ:$BZ,'Cronog. e Histog.'!DO:DO),"")</f>
        <v>0</v>
      </c>
      <c r="AU353" s="144">
        <f>IFERROR(_xlfn.XLOOKUP($B353,'Cronog. e Histog.'!$BZ:$BZ,'Cronog. e Histog.'!DP:DP),"")</f>
        <v>0</v>
      </c>
      <c r="AV353" s="144">
        <f>IFERROR(_xlfn.XLOOKUP($B353,'Cronog. e Histog.'!$BZ:$BZ,'Cronog. e Histog.'!DQ:DQ),"")</f>
        <v>0</v>
      </c>
      <c r="AW353" s="144">
        <f>IFERROR(_xlfn.XLOOKUP($B353,'Cronog. e Histog.'!$BZ:$BZ,'Cronog. e Histog.'!DR:DR),"")</f>
        <v>0</v>
      </c>
      <c r="AX353" s="144">
        <f>IFERROR(_xlfn.XLOOKUP($B353,'Cronog. e Histog.'!$BZ:$BZ,'Cronog. e Histog.'!DS:DS),"")</f>
        <v>0</v>
      </c>
      <c r="AY353" s="144">
        <f>IFERROR(_xlfn.XLOOKUP($B353,'Cronog. e Histog.'!$BZ:$BZ,'Cronog. e Histog.'!DT:DT),"")</f>
        <v>0</v>
      </c>
      <c r="AZ353" s="144">
        <f>IFERROR(_xlfn.XLOOKUP($B353,'Cronog. e Histog.'!$BZ:$BZ,'Cronog. e Histog.'!DU:DU),"")</f>
        <v>0</v>
      </c>
      <c r="BA353" s="144">
        <f>IFERROR(_xlfn.XLOOKUP($B353,'Cronog. e Histog.'!$BZ:$BZ,'Cronog. e Histog.'!DV:DV),"")</f>
        <v>0</v>
      </c>
      <c r="BB353" s="144">
        <f>IFERROR(_xlfn.XLOOKUP($B353,'Cronog. e Histog.'!$BZ:$BZ,'Cronog. e Histog.'!DW:DW),"")</f>
        <v>0</v>
      </c>
      <c r="BC353" s="144">
        <f>IFERROR(_xlfn.XLOOKUP($B353,'Cronog. e Histog.'!$BZ:$BZ,'Cronog. e Histog.'!DX:DX),"")</f>
        <v>0</v>
      </c>
      <c r="BD353" s="144">
        <f>IFERROR(_xlfn.XLOOKUP($B353,'Cronog. e Histog.'!$BZ:$BZ,'Cronog. e Histog.'!DY:DY),"")</f>
        <v>0</v>
      </c>
      <c r="BE353" s="144">
        <f>IFERROR(_xlfn.XLOOKUP($B353,'Cronog. e Histog.'!$BZ:$BZ,'Cronog. e Histog.'!DZ:DZ),"")</f>
        <v>0</v>
      </c>
      <c r="BF353" s="144">
        <f>IFERROR(_xlfn.XLOOKUP($B353,'Cronog. e Histog.'!$BZ:$BZ,'Cronog. e Histog.'!EA:EA),"")</f>
        <v>0</v>
      </c>
      <c r="BG353" s="144">
        <f>IFERROR(_xlfn.XLOOKUP($B353,'Cronog. e Histog.'!$BZ:$BZ,'Cronog. e Histog.'!EB:EB),"")</f>
        <v>0</v>
      </c>
      <c r="BH353" s="144">
        <f>IFERROR(_xlfn.XLOOKUP($B353,'Cronog. e Histog.'!$BZ:$BZ,'Cronog. e Histog.'!EC:EC),"")</f>
        <v>0</v>
      </c>
      <c r="BI353" s="144">
        <f>IFERROR(_xlfn.XLOOKUP($B353,'Cronog. e Histog.'!$BZ:$BZ,'Cronog. e Histog.'!ED:ED),"")</f>
        <v>0</v>
      </c>
      <c r="BJ353" s="144">
        <f>IFERROR(_xlfn.XLOOKUP($B353,'Cronog. e Histog.'!$BZ:$BZ,'Cronog. e Histog.'!EE:EE),"")</f>
        <v>0</v>
      </c>
      <c r="BK353" s="144">
        <f>IFERROR(_xlfn.XLOOKUP($B353,'Cronog. e Histog.'!$BZ:$BZ,'Cronog. e Histog.'!EF:EF),"")</f>
        <v>0</v>
      </c>
      <c r="BL353" s="144">
        <f>IFERROR(_xlfn.XLOOKUP($B353,'Cronog. e Histog.'!$BZ:$BZ,'Cronog. e Histog.'!EG:EG),"")</f>
        <v>0</v>
      </c>
      <c r="BM353" s="144">
        <f>IFERROR(_xlfn.XLOOKUP($B353,'Cronog. e Histog.'!$BZ:$BZ,'Cronog. e Histog.'!EH:EH),"")</f>
        <v>0</v>
      </c>
      <c r="BN353" s="144">
        <f>IFERROR(_xlfn.XLOOKUP($B353,'Cronog. e Histog.'!$BZ:$BZ,'Cronog. e Histog.'!EI:EI),"")</f>
        <v>0</v>
      </c>
    </row>
    <row r="354" spans="2:66" ht="12" hidden="1" customHeight="1" outlineLevel="1">
      <c r="B354" s="76">
        <v>348</v>
      </c>
      <c r="C354" s="143" t="str">
        <f>IFERROR(VLOOKUP(B354,'Cronog. e Histog.'!$BZ$213:$CA$747,2,0),"")</f>
        <v>AN PL. ENG/ARQ</v>
      </c>
      <c r="D354" s="144">
        <f t="shared" si="6"/>
        <v>0</v>
      </c>
      <c r="E354" s="144">
        <f t="shared" si="7"/>
        <v>0</v>
      </c>
      <c r="F354" s="65"/>
      <c r="G354" s="144">
        <f>IFERROR(_xlfn.XLOOKUP($B354,'Cronog. e Histog.'!$BZ:$BZ,'Cronog. e Histog.'!CB:CB),"")</f>
        <v>0</v>
      </c>
      <c r="H354" s="144">
        <f>IFERROR(_xlfn.XLOOKUP($B354,'Cronog. e Histog.'!$BZ:$BZ,'Cronog. e Histog.'!CC:CC),"")</f>
        <v>0</v>
      </c>
      <c r="I354" s="144">
        <f>IFERROR(_xlfn.XLOOKUP($B354,'Cronog. e Histog.'!$BZ:$BZ,'Cronog. e Histog.'!CD:CD),"")</f>
        <v>0</v>
      </c>
      <c r="J354" s="144">
        <f>IFERROR(_xlfn.XLOOKUP($B354,'Cronog. e Histog.'!$BZ:$BZ,'Cronog. e Histog.'!CE:CE),"")</f>
        <v>0</v>
      </c>
      <c r="K354" s="144">
        <f>IFERROR(_xlfn.XLOOKUP($B354,'Cronog. e Histog.'!$BZ:$BZ,'Cronog. e Histog.'!CF:CF),"")</f>
        <v>0</v>
      </c>
      <c r="L354" s="144">
        <f>IFERROR(_xlfn.XLOOKUP($B354,'Cronog. e Histog.'!$BZ:$BZ,'Cronog. e Histog.'!CG:CG),"")</f>
        <v>0</v>
      </c>
      <c r="M354" s="144">
        <f>IFERROR(_xlfn.XLOOKUP($B354,'Cronog. e Histog.'!$BZ:$BZ,'Cronog. e Histog.'!CH:CH),"")</f>
        <v>0</v>
      </c>
      <c r="N354" s="144">
        <f>IFERROR(_xlfn.XLOOKUP($B354,'Cronog. e Histog.'!$BZ:$BZ,'Cronog. e Histog.'!CI:CI),"")</f>
        <v>0</v>
      </c>
      <c r="O354" s="144">
        <f>IFERROR(_xlfn.XLOOKUP($B354,'Cronog. e Histog.'!$BZ:$BZ,'Cronog. e Histog.'!CJ:CJ),"")</f>
        <v>0</v>
      </c>
      <c r="P354" s="144">
        <f>IFERROR(_xlfn.XLOOKUP($B354,'Cronog. e Histog.'!$BZ:$BZ,'Cronog. e Histog.'!CK:CK),"")</f>
        <v>0</v>
      </c>
      <c r="Q354" s="144">
        <f>IFERROR(_xlfn.XLOOKUP($B354,'Cronog. e Histog.'!$BZ:$BZ,'Cronog. e Histog.'!CL:CL),"")</f>
        <v>0</v>
      </c>
      <c r="R354" s="144">
        <f>IFERROR(_xlfn.XLOOKUP($B354,'Cronog. e Histog.'!$BZ:$BZ,'Cronog. e Histog.'!CM:CM),"")</f>
        <v>0</v>
      </c>
      <c r="S354" s="144">
        <f>IFERROR(_xlfn.XLOOKUP($B354,'Cronog. e Histog.'!$BZ:$BZ,'Cronog. e Histog.'!CN:CN),"")</f>
        <v>0</v>
      </c>
      <c r="T354" s="144">
        <f>IFERROR(_xlfn.XLOOKUP($B354,'Cronog. e Histog.'!$BZ:$BZ,'Cronog. e Histog.'!CO:CO),"")</f>
        <v>0</v>
      </c>
      <c r="U354" s="144">
        <f>IFERROR(_xlfn.XLOOKUP($B354,'Cronog. e Histog.'!$BZ:$BZ,'Cronog. e Histog.'!CP:CP),"")</f>
        <v>0</v>
      </c>
      <c r="V354" s="144">
        <f>IFERROR(_xlfn.XLOOKUP($B354,'Cronog. e Histog.'!$BZ:$BZ,'Cronog. e Histog.'!CQ:CQ),"")</f>
        <v>0</v>
      </c>
      <c r="W354" s="144">
        <f>IFERROR(_xlfn.XLOOKUP($B354,'Cronog. e Histog.'!$BZ:$BZ,'Cronog. e Histog.'!CR:CR),"")</f>
        <v>0</v>
      </c>
      <c r="X354" s="144">
        <f>IFERROR(_xlfn.XLOOKUP($B354,'Cronog. e Histog.'!$BZ:$BZ,'Cronog. e Histog.'!CS:CS),"")</f>
        <v>0</v>
      </c>
      <c r="Y354" s="144">
        <f>IFERROR(_xlfn.XLOOKUP($B354,'Cronog. e Histog.'!$BZ:$BZ,'Cronog. e Histog.'!CT:CT),"")</f>
        <v>0</v>
      </c>
      <c r="Z354" s="144">
        <f>IFERROR(_xlfn.XLOOKUP($B354,'Cronog. e Histog.'!$BZ:$BZ,'Cronog. e Histog.'!CU:CU),"")</f>
        <v>0</v>
      </c>
      <c r="AA354" s="144">
        <f>IFERROR(_xlfn.XLOOKUP($B354,'Cronog. e Histog.'!$BZ:$BZ,'Cronog. e Histog.'!CV:CV),"")</f>
        <v>0</v>
      </c>
      <c r="AB354" s="144">
        <f>IFERROR(_xlfn.XLOOKUP($B354,'Cronog. e Histog.'!$BZ:$BZ,'Cronog. e Histog.'!CW:CW),"")</f>
        <v>0</v>
      </c>
      <c r="AC354" s="144">
        <f>IFERROR(_xlfn.XLOOKUP($B354,'Cronog. e Histog.'!$BZ:$BZ,'Cronog. e Histog.'!CX:CX),"")</f>
        <v>0</v>
      </c>
      <c r="AD354" s="144">
        <f>IFERROR(_xlfn.XLOOKUP($B354,'Cronog. e Histog.'!$BZ:$BZ,'Cronog. e Histog.'!CY:CY),"")</f>
        <v>0</v>
      </c>
      <c r="AE354" s="144">
        <f>IFERROR(_xlfn.XLOOKUP($B354,'Cronog. e Histog.'!$BZ:$BZ,'Cronog. e Histog.'!CZ:CZ),"")</f>
        <v>0</v>
      </c>
      <c r="AF354" s="144">
        <f>IFERROR(_xlfn.XLOOKUP($B354,'Cronog. e Histog.'!$BZ:$BZ,'Cronog. e Histog.'!DA:DA),"")</f>
        <v>0</v>
      </c>
      <c r="AG354" s="144">
        <f>IFERROR(_xlfn.XLOOKUP($B354,'Cronog. e Histog.'!$BZ:$BZ,'Cronog. e Histog.'!DB:DB),"")</f>
        <v>0</v>
      </c>
      <c r="AH354" s="144">
        <f>IFERROR(_xlfn.XLOOKUP($B354,'Cronog. e Histog.'!$BZ:$BZ,'Cronog. e Histog.'!DC:DC),"")</f>
        <v>0</v>
      </c>
      <c r="AI354" s="144">
        <f>IFERROR(_xlfn.XLOOKUP($B354,'Cronog. e Histog.'!$BZ:$BZ,'Cronog. e Histog.'!DD:DD),"")</f>
        <v>0</v>
      </c>
      <c r="AJ354" s="144">
        <f>IFERROR(_xlfn.XLOOKUP($B354,'Cronog. e Histog.'!$BZ:$BZ,'Cronog. e Histog.'!DE:DE),"")</f>
        <v>0</v>
      </c>
      <c r="AK354" s="144">
        <f>IFERROR(_xlfn.XLOOKUP($B354,'Cronog. e Histog.'!$BZ:$BZ,'Cronog. e Histog.'!DF:DF),"")</f>
        <v>0</v>
      </c>
      <c r="AL354" s="144">
        <f>IFERROR(_xlfn.XLOOKUP($B354,'Cronog. e Histog.'!$BZ:$BZ,'Cronog. e Histog.'!DG:DG),"")</f>
        <v>0</v>
      </c>
      <c r="AM354" s="144">
        <f>IFERROR(_xlfn.XLOOKUP($B354,'Cronog. e Histog.'!$BZ:$BZ,'Cronog. e Histog.'!DH:DH),"")</f>
        <v>0</v>
      </c>
      <c r="AN354" s="144">
        <f>IFERROR(_xlfn.XLOOKUP($B354,'Cronog. e Histog.'!$BZ:$BZ,'Cronog. e Histog.'!DI:DI),"")</f>
        <v>0</v>
      </c>
      <c r="AO354" s="144">
        <f>IFERROR(_xlfn.XLOOKUP($B354,'Cronog. e Histog.'!$BZ:$BZ,'Cronog. e Histog.'!DJ:DJ),"")</f>
        <v>0</v>
      </c>
      <c r="AP354" s="144">
        <f>IFERROR(_xlfn.XLOOKUP($B354,'Cronog. e Histog.'!$BZ:$BZ,'Cronog. e Histog.'!DK:DK),"")</f>
        <v>0</v>
      </c>
      <c r="AQ354" s="144">
        <f>IFERROR(_xlfn.XLOOKUP($B354,'Cronog. e Histog.'!$BZ:$BZ,'Cronog. e Histog.'!DL:DL),"")</f>
        <v>0</v>
      </c>
      <c r="AR354" s="144">
        <f>IFERROR(_xlfn.XLOOKUP($B354,'Cronog. e Histog.'!$BZ:$BZ,'Cronog. e Histog.'!DM:DM),"")</f>
        <v>0</v>
      </c>
      <c r="AS354" s="144">
        <f>IFERROR(_xlfn.XLOOKUP($B354,'Cronog. e Histog.'!$BZ:$BZ,'Cronog. e Histog.'!DN:DN),"")</f>
        <v>0</v>
      </c>
      <c r="AT354" s="144">
        <f>IFERROR(_xlfn.XLOOKUP($B354,'Cronog. e Histog.'!$BZ:$BZ,'Cronog. e Histog.'!DO:DO),"")</f>
        <v>0</v>
      </c>
      <c r="AU354" s="144">
        <f>IFERROR(_xlfn.XLOOKUP($B354,'Cronog. e Histog.'!$BZ:$BZ,'Cronog. e Histog.'!DP:DP),"")</f>
        <v>0</v>
      </c>
      <c r="AV354" s="144">
        <f>IFERROR(_xlfn.XLOOKUP($B354,'Cronog. e Histog.'!$BZ:$BZ,'Cronog. e Histog.'!DQ:DQ),"")</f>
        <v>0</v>
      </c>
      <c r="AW354" s="144">
        <f>IFERROR(_xlfn.XLOOKUP($B354,'Cronog. e Histog.'!$BZ:$BZ,'Cronog. e Histog.'!DR:DR),"")</f>
        <v>0</v>
      </c>
      <c r="AX354" s="144">
        <f>IFERROR(_xlfn.XLOOKUP($B354,'Cronog. e Histog.'!$BZ:$BZ,'Cronog. e Histog.'!DS:DS),"")</f>
        <v>0</v>
      </c>
      <c r="AY354" s="144">
        <f>IFERROR(_xlfn.XLOOKUP($B354,'Cronog. e Histog.'!$BZ:$BZ,'Cronog. e Histog.'!DT:DT),"")</f>
        <v>0</v>
      </c>
      <c r="AZ354" s="144">
        <f>IFERROR(_xlfn.XLOOKUP($B354,'Cronog. e Histog.'!$BZ:$BZ,'Cronog. e Histog.'!DU:DU),"")</f>
        <v>0</v>
      </c>
      <c r="BA354" s="144">
        <f>IFERROR(_xlfn.XLOOKUP($B354,'Cronog. e Histog.'!$BZ:$BZ,'Cronog. e Histog.'!DV:DV),"")</f>
        <v>0</v>
      </c>
      <c r="BB354" s="144">
        <f>IFERROR(_xlfn.XLOOKUP($B354,'Cronog. e Histog.'!$BZ:$BZ,'Cronog. e Histog.'!DW:DW),"")</f>
        <v>0</v>
      </c>
      <c r="BC354" s="144">
        <f>IFERROR(_xlfn.XLOOKUP($B354,'Cronog. e Histog.'!$BZ:$BZ,'Cronog. e Histog.'!DX:DX),"")</f>
        <v>0</v>
      </c>
      <c r="BD354" s="144">
        <f>IFERROR(_xlfn.XLOOKUP($B354,'Cronog. e Histog.'!$BZ:$BZ,'Cronog. e Histog.'!DY:DY),"")</f>
        <v>0</v>
      </c>
      <c r="BE354" s="144">
        <f>IFERROR(_xlfn.XLOOKUP($B354,'Cronog. e Histog.'!$BZ:$BZ,'Cronog. e Histog.'!DZ:DZ),"")</f>
        <v>0</v>
      </c>
      <c r="BF354" s="144">
        <f>IFERROR(_xlfn.XLOOKUP($B354,'Cronog. e Histog.'!$BZ:$BZ,'Cronog. e Histog.'!EA:EA),"")</f>
        <v>0</v>
      </c>
      <c r="BG354" s="144">
        <f>IFERROR(_xlfn.XLOOKUP($B354,'Cronog. e Histog.'!$BZ:$BZ,'Cronog. e Histog.'!EB:EB),"")</f>
        <v>0</v>
      </c>
      <c r="BH354" s="144">
        <f>IFERROR(_xlfn.XLOOKUP($B354,'Cronog. e Histog.'!$BZ:$BZ,'Cronog. e Histog.'!EC:EC),"")</f>
        <v>0</v>
      </c>
      <c r="BI354" s="144">
        <f>IFERROR(_xlfn.XLOOKUP($B354,'Cronog. e Histog.'!$BZ:$BZ,'Cronog. e Histog.'!ED:ED),"")</f>
        <v>0</v>
      </c>
      <c r="BJ354" s="144">
        <f>IFERROR(_xlfn.XLOOKUP($B354,'Cronog. e Histog.'!$BZ:$BZ,'Cronog. e Histog.'!EE:EE),"")</f>
        <v>0</v>
      </c>
      <c r="BK354" s="144">
        <f>IFERROR(_xlfn.XLOOKUP($B354,'Cronog. e Histog.'!$BZ:$BZ,'Cronog. e Histog.'!EF:EF),"")</f>
        <v>0</v>
      </c>
      <c r="BL354" s="144">
        <f>IFERROR(_xlfn.XLOOKUP($B354,'Cronog. e Histog.'!$BZ:$BZ,'Cronog. e Histog.'!EG:EG),"")</f>
        <v>0</v>
      </c>
      <c r="BM354" s="144">
        <f>IFERROR(_xlfn.XLOOKUP($B354,'Cronog. e Histog.'!$BZ:$BZ,'Cronog. e Histog.'!EH:EH),"")</f>
        <v>0</v>
      </c>
      <c r="BN354" s="144">
        <f>IFERROR(_xlfn.XLOOKUP($B354,'Cronog. e Histog.'!$BZ:$BZ,'Cronog. e Histog.'!EI:EI),"")</f>
        <v>0</v>
      </c>
    </row>
    <row r="355" spans="2:66" ht="12" hidden="1" customHeight="1" outlineLevel="1">
      <c r="B355" s="76">
        <v>349</v>
      </c>
      <c r="C355" s="143" t="str">
        <f>IFERROR(VLOOKUP(B355,'Cronog. e Histog.'!$BZ$213:$CA$747,2,0),"")</f>
        <v>AN JR. ENG/ARQ</v>
      </c>
      <c r="D355" s="144">
        <f t="shared" si="6"/>
        <v>0</v>
      </c>
      <c r="E355" s="144">
        <f t="shared" si="7"/>
        <v>0</v>
      </c>
      <c r="F355" s="65"/>
      <c r="G355" s="144">
        <f>IFERROR(_xlfn.XLOOKUP($B355,'Cronog. e Histog.'!$BZ:$BZ,'Cronog. e Histog.'!CB:CB),"")</f>
        <v>0</v>
      </c>
      <c r="H355" s="144">
        <f>IFERROR(_xlfn.XLOOKUP($B355,'Cronog. e Histog.'!$BZ:$BZ,'Cronog. e Histog.'!CC:CC),"")</f>
        <v>0</v>
      </c>
      <c r="I355" s="144">
        <f>IFERROR(_xlfn.XLOOKUP($B355,'Cronog. e Histog.'!$BZ:$BZ,'Cronog. e Histog.'!CD:CD),"")</f>
        <v>0</v>
      </c>
      <c r="J355" s="144">
        <f>IFERROR(_xlfn.XLOOKUP($B355,'Cronog. e Histog.'!$BZ:$BZ,'Cronog. e Histog.'!CE:CE),"")</f>
        <v>0</v>
      </c>
      <c r="K355" s="144">
        <f>IFERROR(_xlfn.XLOOKUP($B355,'Cronog. e Histog.'!$BZ:$BZ,'Cronog. e Histog.'!CF:CF),"")</f>
        <v>0</v>
      </c>
      <c r="L355" s="144">
        <f>IFERROR(_xlfn.XLOOKUP($B355,'Cronog. e Histog.'!$BZ:$BZ,'Cronog. e Histog.'!CG:CG),"")</f>
        <v>0</v>
      </c>
      <c r="M355" s="144">
        <f>IFERROR(_xlfn.XLOOKUP($B355,'Cronog. e Histog.'!$BZ:$BZ,'Cronog. e Histog.'!CH:CH),"")</f>
        <v>0</v>
      </c>
      <c r="N355" s="144">
        <f>IFERROR(_xlfn.XLOOKUP($B355,'Cronog. e Histog.'!$BZ:$BZ,'Cronog. e Histog.'!CI:CI),"")</f>
        <v>0</v>
      </c>
      <c r="O355" s="144">
        <f>IFERROR(_xlfn.XLOOKUP($B355,'Cronog. e Histog.'!$BZ:$BZ,'Cronog. e Histog.'!CJ:CJ),"")</f>
        <v>0</v>
      </c>
      <c r="P355" s="144">
        <f>IFERROR(_xlfn.XLOOKUP($B355,'Cronog. e Histog.'!$BZ:$BZ,'Cronog. e Histog.'!CK:CK),"")</f>
        <v>0</v>
      </c>
      <c r="Q355" s="144">
        <f>IFERROR(_xlfn.XLOOKUP($B355,'Cronog. e Histog.'!$BZ:$BZ,'Cronog. e Histog.'!CL:CL),"")</f>
        <v>0</v>
      </c>
      <c r="R355" s="144">
        <f>IFERROR(_xlfn.XLOOKUP($B355,'Cronog. e Histog.'!$BZ:$BZ,'Cronog. e Histog.'!CM:CM),"")</f>
        <v>0</v>
      </c>
      <c r="S355" s="144">
        <f>IFERROR(_xlfn.XLOOKUP($B355,'Cronog. e Histog.'!$BZ:$BZ,'Cronog. e Histog.'!CN:CN),"")</f>
        <v>0</v>
      </c>
      <c r="T355" s="144">
        <f>IFERROR(_xlfn.XLOOKUP($B355,'Cronog. e Histog.'!$BZ:$BZ,'Cronog. e Histog.'!CO:CO),"")</f>
        <v>0</v>
      </c>
      <c r="U355" s="144">
        <f>IFERROR(_xlfn.XLOOKUP($B355,'Cronog. e Histog.'!$BZ:$BZ,'Cronog. e Histog.'!CP:CP),"")</f>
        <v>0</v>
      </c>
      <c r="V355" s="144">
        <f>IFERROR(_xlfn.XLOOKUP($B355,'Cronog. e Histog.'!$BZ:$BZ,'Cronog. e Histog.'!CQ:CQ),"")</f>
        <v>0</v>
      </c>
      <c r="W355" s="144">
        <f>IFERROR(_xlfn.XLOOKUP($B355,'Cronog. e Histog.'!$BZ:$BZ,'Cronog. e Histog.'!CR:CR),"")</f>
        <v>0</v>
      </c>
      <c r="X355" s="144">
        <f>IFERROR(_xlfn.XLOOKUP($B355,'Cronog. e Histog.'!$BZ:$BZ,'Cronog. e Histog.'!CS:CS),"")</f>
        <v>0</v>
      </c>
      <c r="Y355" s="144">
        <f>IFERROR(_xlfn.XLOOKUP($B355,'Cronog. e Histog.'!$BZ:$BZ,'Cronog. e Histog.'!CT:CT),"")</f>
        <v>0</v>
      </c>
      <c r="Z355" s="144">
        <f>IFERROR(_xlfn.XLOOKUP($B355,'Cronog. e Histog.'!$BZ:$BZ,'Cronog. e Histog.'!CU:CU),"")</f>
        <v>0</v>
      </c>
      <c r="AA355" s="144">
        <f>IFERROR(_xlfn.XLOOKUP($B355,'Cronog. e Histog.'!$BZ:$BZ,'Cronog. e Histog.'!CV:CV),"")</f>
        <v>0</v>
      </c>
      <c r="AB355" s="144">
        <f>IFERROR(_xlfn.XLOOKUP($B355,'Cronog. e Histog.'!$BZ:$BZ,'Cronog. e Histog.'!CW:CW),"")</f>
        <v>0</v>
      </c>
      <c r="AC355" s="144">
        <f>IFERROR(_xlfn.XLOOKUP($B355,'Cronog. e Histog.'!$BZ:$BZ,'Cronog. e Histog.'!CX:CX),"")</f>
        <v>0</v>
      </c>
      <c r="AD355" s="144">
        <f>IFERROR(_xlfn.XLOOKUP($B355,'Cronog. e Histog.'!$BZ:$BZ,'Cronog. e Histog.'!CY:CY),"")</f>
        <v>0</v>
      </c>
      <c r="AE355" s="144">
        <f>IFERROR(_xlfn.XLOOKUP($B355,'Cronog. e Histog.'!$BZ:$BZ,'Cronog. e Histog.'!CZ:CZ),"")</f>
        <v>0</v>
      </c>
      <c r="AF355" s="144">
        <f>IFERROR(_xlfn.XLOOKUP($B355,'Cronog. e Histog.'!$BZ:$BZ,'Cronog. e Histog.'!DA:DA),"")</f>
        <v>0</v>
      </c>
      <c r="AG355" s="144">
        <f>IFERROR(_xlfn.XLOOKUP($B355,'Cronog. e Histog.'!$BZ:$BZ,'Cronog. e Histog.'!DB:DB),"")</f>
        <v>0</v>
      </c>
      <c r="AH355" s="144">
        <f>IFERROR(_xlfn.XLOOKUP($B355,'Cronog. e Histog.'!$BZ:$BZ,'Cronog. e Histog.'!DC:DC),"")</f>
        <v>0</v>
      </c>
      <c r="AI355" s="144">
        <f>IFERROR(_xlfn.XLOOKUP($B355,'Cronog. e Histog.'!$BZ:$BZ,'Cronog. e Histog.'!DD:DD),"")</f>
        <v>0</v>
      </c>
      <c r="AJ355" s="144">
        <f>IFERROR(_xlfn.XLOOKUP($B355,'Cronog. e Histog.'!$BZ:$BZ,'Cronog. e Histog.'!DE:DE),"")</f>
        <v>0</v>
      </c>
      <c r="AK355" s="144">
        <f>IFERROR(_xlfn.XLOOKUP($B355,'Cronog. e Histog.'!$BZ:$BZ,'Cronog. e Histog.'!DF:DF),"")</f>
        <v>0</v>
      </c>
      <c r="AL355" s="144">
        <f>IFERROR(_xlfn.XLOOKUP($B355,'Cronog. e Histog.'!$BZ:$BZ,'Cronog. e Histog.'!DG:DG),"")</f>
        <v>0</v>
      </c>
      <c r="AM355" s="144">
        <f>IFERROR(_xlfn.XLOOKUP($B355,'Cronog. e Histog.'!$BZ:$BZ,'Cronog. e Histog.'!DH:DH),"")</f>
        <v>0</v>
      </c>
      <c r="AN355" s="144">
        <f>IFERROR(_xlfn.XLOOKUP($B355,'Cronog. e Histog.'!$BZ:$BZ,'Cronog. e Histog.'!DI:DI),"")</f>
        <v>0</v>
      </c>
      <c r="AO355" s="144">
        <f>IFERROR(_xlfn.XLOOKUP($B355,'Cronog. e Histog.'!$BZ:$BZ,'Cronog. e Histog.'!DJ:DJ),"")</f>
        <v>0</v>
      </c>
      <c r="AP355" s="144">
        <f>IFERROR(_xlfn.XLOOKUP($B355,'Cronog. e Histog.'!$BZ:$BZ,'Cronog. e Histog.'!DK:DK),"")</f>
        <v>0</v>
      </c>
      <c r="AQ355" s="144">
        <f>IFERROR(_xlfn.XLOOKUP($B355,'Cronog. e Histog.'!$BZ:$BZ,'Cronog. e Histog.'!DL:DL),"")</f>
        <v>0</v>
      </c>
      <c r="AR355" s="144">
        <f>IFERROR(_xlfn.XLOOKUP($B355,'Cronog. e Histog.'!$BZ:$BZ,'Cronog. e Histog.'!DM:DM),"")</f>
        <v>0</v>
      </c>
      <c r="AS355" s="144">
        <f>IFERROR(_xlfn.XLOOKUP($B355,'Cronog. e Histog.'!$BZ:$BZ,'Cronog. e Histog.'!DN:DN),"")</f>
        <v>0</v>
      </c>
      <c r="AT355" s="144">
        <f>IFERROR(_xlfn.XLOOKUP($B355,'Cronog. e Histog.'!$BZ:$BZ,'Cronog. e Histog.'!DO:DO),"")</f>
        <v>0</v>
      </c>
      <c r="AU355" s="144">
        <f>IFERROR(_xlfn.XLOOKUP($B355,'Cronog. e Histog.'!$BZ:$BZ,'Cronog. e Histog.'!DP:DP),"")</f>
        <v>0</v>
      </c>
      <c r="AV355" s="144">
        <f>IFERROR(_xlfn.XLOOKUP($B355,'Cronog. e Histog.'!$BZ:$BZ,'Cronog. e Histog.'!DQ:DQ),"")</f>
        <v>0</v>
      </c>
      <c r="AW355" s="144">
        <f>IFERROR(_xlfn.XLOOKUP($B355,'Cronog. e Histog.'!$BZ:$BZ,'Cronog. e Histog.'!DR:DR),"")</f>
        <v>0</v>
      </c>
      <c r="AX355" s="144">
        <f>IFERROR(_xlfn.XLOOKUP($B355,'Cronog. e Histog.'!$BZ:$BZ,'Cronog. e Histog.'!DS:DS),"")</f>
        <v>0</v>
      </c>
      <c r="AY355" s="144">
        <f>IFERROR(_xlfn.XLOOKUP($B355,'Cronog. e Histog.'!$BZ:$BZ,'Cronog. e Histog.'!DT:DT),"")</f>
        <v>0</v>
      </c>
      <c r="AZ355" s="144">
        <f>IFERROR(_xlfn.XLOOKUP($B355,'Cronog. e Histog.'!$BZ:$BZ,'Cronog. e Histog.'!DU:DU),"")</f>
        <v>0</v>
      </c>
      <c r="BA355" s="144">
        <f>IFERROR(_xlfn.XLOOKUP($B355,'Cronog. e Histog.'!$BZ:$BZ,'Cronog. e Histog.'!DV:DV),"")</f>
        <v>0</v>
      </c>
      <c r="BB355" s="144">
        <f>IFERROR(_xlfn.XLOOKUP($B355,'Cronog. e Histog.'!$BZ:$BZ,'Cronog. e Histog.'!DW:DW),"")</f>
        <v>0</v>
      </c>
      <c r="BC355" s="144">
        <f>IFERROR(_xlfn.XLOOKUP($B355,'Cronog. e Histog.'!$BZ:$BZ,'Cronog. e Histog.'!DX:DX),"")</f>
        <v>0</v>
      </c>
      <c r="BD355" s="144">
        <f>IFERROR(_xlfn.XLOOKUP($B355,'Cronog. e Histog.'!$BZ:$BZ,'Cronog. e Histog.'!DY:DY),"")</f>
        <v>0</v>
      </c>
      <c r="BE355" s="144">
        <f>IFERROR(_xlfn.XLOOKUP($B355,'Cronog. e Histog.'!$BZ:$BZ,'Cronog. e Histog.'!DZ:DZ),"")</f>
        <v>0</v>
      </c>
      <c r="BF355" s="144">
        <f>IFERROR(_xlfn.XLOOKUP($B355,'Cronog. e Histog.'!$BZ:$BZ,'Cronog. e Histog.'!EA:EA),"")</f>
        <v>0</v>
      </c>
      <c r="BG355" s="144">
        <f>IFERROR(_xlfn.XLOOKUP($B355,'Cronog. e Histog.'!$BZ:$BZ,'Cronog. e Histog.'!EB:EB),"")</f>
        <v>0</v>
      </c>
      <c r="BH355" s="144">
        <f>IFERROR(_xlfn.XLOOKUP($B355,'Cronog. e Histog.'!$BZ:$BZ,'Cronog. e Histog.'!EC:EC),"")</f>
        <v>0</v>
      </c>
      <c r="BI355" s="144">
        <f>IFERROR(_xlfn.XLOOKUP($B355,'Cronog. e Histog.'!$BZ:$BZ,'Cronog. e Histog.'!ED:ED),"")</f>
        <v>0</v>
      </c>
      <c r="BJ355" s="144">
        <f>IFERROR(_xlfn.XLOOKUP($B355,'Cronog. e Histog.'!$BZ:$BZ,'Cronog. e Histog.'!EE:EE),"")</f>
        <v>0</v>
      </c>
      <c r="BK355" s="144">
        <f>IFERROR(_xlfn.XLOOKUP($B355,'Cronog. e Histog.'!$BZ:$BZ,'Cronog. e Histog.'!EF:EF),"")</f>
        <v>0</v>
      </c>
      <c r="BL355" s="144">
        <f>IFERROR(_xlfn.XLOOKUP($B355,'Cronog. e Histog.'!$BZ:$BZ,'Cronog. e Histog.'!EG:EG),"")</f>
        <v>0</v>
      </c>
      <c r="BM355" s="144">
        <f>IFERROR(_xlfn.XLOOKUP($B355,'Cronog. e Histog.'!$BZ:$BZ,'Cronog. e Histog.'!EH:EH),"")</f>
        <v>0</v>
      </c>
      <c r="BN355" s="144">
        <f>IFERROR(_xlfn.XLOOKUP($B355,'Cronog. e Histog.'!$BZ:$BZ,'Cronog. e Histog.'!EI:EI),"")</f>
        <v>0</v>
      </c>
    </row>
    <row r="356" spans="2:66" ht="12" hidden="1" customHeight="1" outlineLevel="1">
      <c r="B356" s="76">
        <v>350</v>
      </c>
      <c r="C356" s="143" t="str">
        <f>IFERROR(VLOOKUP(B356,'Cronog. e Histog.'!$BZ$213:$CA$747,2,0),"")</f>
        <v>AN SR. ADM/CRP</v>
      </c>
      <c r="D356" s="144">
        <f t="shared" si="6"/>
        <v>0</v>
      </c>
      <c r="E356" s="144">
        <f t="shared" si="7"/>
        <v>0</v>
      </c>
      <c r="F356" s="65"/>
      <c r="G356" s="144">
        <f>IFERROR(_xlfn.XLOOKUP($B356,'Cronog. e Histog.'!$BZ:$BZ,'Cronog. e Histog.'!CB:CB),"")</f>
        <v>0</v>
      </c>
      <c r="H356" s="144">
        <f>IFERROR(_xlfn.XLOOKUP($B356,'Cronog. e Histog.'!$BZ:$BZ,'Cronog. e Histog.'!CC:CC),"")</f>
        <v>0</v>
      </c>
      <c r="I356" s="144">
        <f>IFERROR(_xlfn.XLOOKUP($B356,'Cronog. e Histog.'!$BZ:$BZ,'Cronog. e Histog.'!CD:CD),"")</f>
        <v>0</v>
      </c>
      <c r="J356" s="144">
        <f>IFERROR(_xlfn.XLOOKUP($B356,'Cronog. e Histog.'!$BZ:$BZ,'Cronog. e Histog.'!CE:CE),"")</f>
        <v>0</v>
      </c>
      <c r="K356" s="144">
        <f>IFERROR(_xlfn.XLOOKUP($B356,'Cronog. e Histog.'!$BZ:$BZ,'Cronog. e Histog.'!CF:CF),"")</f>
        <v>0</v>
      </c>
      <c r="L356" s="144">
        <f>IFERROR(_xlfn.XLOOKUP($B356,'Cronog. e Histog.'!$BZ:$BZ,'Cronog. e Histog.'!CG:CG),"")</f>
        <v>0</v>
      </c>
      <c r="M356" s="144">
        <f>IFERROR(_xlfn.XLOOKUP($B356,'Cronog. e Histog.'!$BZ:$BZ,'Cronog. e Histog.'!CH:CH),"")</f>
        <v>0</v>
      </c>
      <c r="N356" s="144">
        <f>IFERROR(_xlfn.XLOOKUP($B356,'Cronog. e Histog.'!$BZ:$BZ,'Cronog. e Histog.'!CI:CI),"")</f>
        <v>0</v>
      </c>
      <c r="O356" s="144">
        <f>IFERROR(_xlfn.XLOOKUP($B356,'Cronog. e Histog.'!$BZ:$BZ,'Cronog. e Histog.'!CJ:CJ),"")</f>
        <v>0</v>
      </c>
      <c r="P356" s="144">
        <f>IFERROR(_xlfn.XLOOKUP($B356,'Cronog. e Histog.'!$BZ:$BZ,'Cronog. e Histog.'!CK:CK),"")</f>
        <v>0</v>
      </c>
      <c r="Q356" s="144">
        <f>IFERROR(_xlfn.XLOOKUP($B356,'Cronog. e Histog.'!$BZ:$BZ,'Cronog. e Histog.'!CL:CL),"")</f>
        <v>0</v>
      </c>
      <c r="R356" s="144">
        <f>IFERROR(_xlfn.XLOOKUP($B356,'Cronog. e Histog.'!$BZ:$BZ,'Cronog. e Histog.'!CM:CM),"")</f>
        <v>0</v>
      </c>
      <c r="S356" s="144">
        <f>IFERROR(_xlfn.XLOOKUP($B356,'Cronog. e Histog.'!$BZ:$BZ,'Cronog. e Histog.'!CN:CN),"")</f>
        <v>0</v>
      </c>
      <c r="T356" s="144">
        <f>IFERROR(_xlfn.XLOOKUP($B356,'Cronog. e Histog.'!$BZ:$BZ,'Cronog. e Histog.'!CO:CO),"")</f>
        <v>0</v>
      </c>
      <c r="U356" s="144">
        <f>IFERROR(_xlfn.XLOOKUP($B356,'Cronog. e Histog.'!$BZ:$BZ,'Cronog. e Histog.'!CP:CP),"")</f>
        <v>0</v>
      </c>
      <c r="V356" s="144">
        <f>IFERROR(_xlfn.XLOOKUP($B356,'Cronog. e Histog.'!$BZ:$BZ,'Cronog. e Histog.'!CQ:CQ),"")</f>
        <v>0</v>
      </c>
      <c r="W356" s="144">
        <f>IFERROR(_xlfn.XLOOKUP($B356,'Cronog. e Histog.'!$BZ:$BZ,'Cronog. e Histog.'!CR:CR),"")</f>
        <v>0</v>
      </c>
      <c r="X356" s="144">
        <f>IFERROR(_xlfn.XLOOKUP($B356,'Cronog. e Histog.'!$BZ:$BZ,'Cronog. e Histog.'!CS:CS),"")</f>
        <v>0</v>
      </c>
      <c r="Y356" s="144">
        <f>IFERROR(_xlfn.XLOOKUP($B356,'Cronog. e Histog.'!$BZ:$BZ,'Cronog. e Histog.'!CT:CT),"")</f>
        <v>0</v>
      </c>
      <c r="Z356" s="144">
        <f>IFERROR(_xlfn.XLOOKUP($B356,'Cronog. e Histog.'!$BZ:$BZ,'Cronog. e Histog.'!CU:CU),"")</f>
        <v>0</v>
      </c>
      <c r="AA356" s="144">
        <f>IFERROR(_xlfn.XLOOKUP($B356,'Cronog. e Histog.'!$BZ:$BZ,'Cronog. e Histog.'!CV:CV),"")</f>
        <v>0</v>
      </c>
      <c r="AB356" s="144">
        <f>IFERROR(_xlfn.XLOOKUP($B356,'Cronog. e Histog.'!$BZ:$BZ,'Cronog. e Histog.'!CW:CW),"")</f>
        <v>0</v>
      </c>
      <c r="AC356" s="144">
        <f>IFERROR(_xlfn.XLOOKUP($B356,'Cronog. e Histog.'!$BZ:$BZ,'Cronog. e Histog.'!CX:CX),"")</f>
        <v>0</v>
      </c>
      <c r="AD356" s="144">
        <f>IFERROR(_xlfn.XLOOKUP($B356,'Cronog. e Histog.'!$BZ:$BZ,'Cronog. e Histog.'!CY:CY),"")</f>
        <v>0</v>
      </c>
      <c r="AE356" s="144">
        <f>IFERROR(_xlfn.XLOOKUP($B356,'Cronog. e Histog.'!$BZ:$BZ,'Cronog. e Histog.'!CZ:CZ),"")</f>
        <v>0</v>
      </c>
      <c r="AF356" s="144">
        <f>IFERROR(_xlfn.XLOOKUP($B356,'Cronog. e Histog.'!$BZ:$BZ,'Cronog. e Histog.'!DA:DA),"")</f>
        <v>0</v>
      </c>
      <c r="AG356" s="144">
        <f>IFERROR(_xlfn.XLOOKUP($B356,'Cronog. e Histog.'!$BZ:$BZ,'Cronog. e Histog.'!DB:DB),"")</f>
        <v>0</v>
      </c>
      <c r="AH356" s="144">
        <f>IFERROR(_xlfn.XLOOKUP($B356,'Cronog. e Histog.'!$BZ:$BZ,'Cronog. e Histog.'!DC:DC),"")</f>
        <v>0</v>
      </c>
      <c r="AI356" s="144">
        <f>IFERROR(_xlfn.XLOOKUP($B356,'Cronog. e Histog.'!$BZ:$BZ,'Cronog. e Histog.'!DD:DD),"")</f>
        <v>0</v>
      </c>
      <c r="AJ356" s="144">
        <f>IFERROR(_xlfn.XLOOKUP($B356,'Cronog. e Histog.'!$BZ:$BZ,'Cronog. e Histog.'!DE:DE),"")</f>
        <v>0</v>
      </c>
      <c r="AK356" s="144">
        <f>IFERROR(_xlfn.XLOOKUP($B356,'Cronog. e Histog.'!$BZ:$BZ,'Cronog. e Histog.'!DF:DF),"")</f>
        <v>0</v>
      </c>
      <c r="AL356" s="144">
        <f>IFERROR(_xlfn.XLOOKUP($B356,'Cronog. e Histog.'!$BZ:$BZ,'Cronog. e Histog.'!DG:DG),"")</f>
        <v>0</v>
      </c>
      <c r="AM356" s="144">
        <f>IFERROR(_xlfn.XLOOKUP($B356,'Cronog. e Histog.'!$BZ:$BZ,'Cronog. e Histog.'!DH:DH),"")</f>
        <v>0</v>
      </c>
      <c r="AN356" s="144">
        <f>IFERROR(_xlfn.XLOOKUP($B356,'Cronog. e Histog.'!$BZ:$BZ,'Cronog. e Histog.'!DI:DI),"")</f>
        <v>0</v>
      </c>
      <c r="AO356" s="144">
        <f>IFERROR(_xlfn.XLOOKUP($B356,'Cronog. e Histog.'!$BZ:$BZ,'Cronog. e Histog.'!DJ:DJ),"")</f>
        <v>0</v>
      </c>
      <c r="AP356" s="144">
        <f>IFERROR(_xlfn.XLOOKUP($B356,'Cronog. e Histog.'!$BZ:$BZ,'Cronog. e Histog.'!DK:DK),"")</f>
        <v>0</v>
      </c>
      <c r="AQ356" s="144">
        <f>IFERROR(_xlfn.XLOOKUP($B356,'Cronog. e Histog.'!$BZ:$BZ,'Cronog. e Histog.'!DL:DL),"")</f>
        <v>0</v>
      </c>
      <c r="AR356" s="144">
        <f>IFERROR(_xlfn.XLOOKUP($B356,'Cronog. e Histog.'!$BZ:$BZ,'Cronog. e Histog.'!DM:DM),"")</f>
        <v>0</v>
      </c>
      <c r="AS356" s="144">
        <f>IFERROR(_xlfn.XLOOKUP($B356,'Cronog. e Histog.'!$BZ:$BZ,'Cronog. e Histog.'!DN:DN),"")</f>
        <v>0</v>
      </c>
      <c r="AT356" s="144">
        <f>IFERROR(_xlfn.XLOOKUP($B356,'Cronog. e Histog.'!$BZ:$BZ,'Cronog. e Histog.'!DO:DO),"")</f>
        <v>0</v>
      </c>
      <c r="AU356" s="144">
        <f>IFERROR(_xlfn.XLOOKUP($B356,'Cronog. e Histog.'!$BZ:$BZ,'Cronog. e Histog.'!DP:DP),"")</f>
        <v>0</v>
      </c>
      <c r="AV356" s="144">
        <f>IFERROR(_xlfn.XLOOKUP($B356,'Cronog. e Histog.'!$BZ:$BZ,'Cronog. e Histog.'!DQ:DQ),"")</f>
        <v>0</v>
      </c>
      <c r="AW356" s="144">
        <f>IFERROR(_xlfn.XLOOKUP($B356,'Cronog. e Histog.'!$BZ:$BZ,'Cronog. e Histog.'!DR:DR),"")</f>
        <v>0</v>
      </c>
      <c r="AX356" s="144">
        <f>IFERROR(_xlfn.XLOOKUP($B356,'Cronog. e Histog.'!$BZ:$BZ,'Cronog. e Histog.'!DS:DS),"")</f>
        <v>0</v>
      </c>
      <c r="AY356" s="144">
        <f>IFERROR(_xlfn.XLOOKUP($B356,'Cronog. e Histog.'!$BZ:$BZ,'Cronog. e Histog.'!DT:DT),"")</f>
        <v>0</v>
      </c>
      <c r="AZ356" s="144">
        <f>IFERROR(_xlfn.XLOOKUP($B356,'Cronog. e Histog.'!$BZ:$BZ,'Cronog. e Histog.'!DU:DU),"")</f>
        <v>0</v>
      </c>
      <c r="BA356" s="144">
        <f>IFERROR(_xlfn.XLOOKUP($B356,'Cronog. e Histog.'!$BZ:$BZ,'Cronog. e Histog.'!DV:DV),"")</f>
        <v>0</v>
      </c>
      <c r="BB356" s="144">
        <f>IFERROR(_xlfn.XLOOKUP($B356,'Cronog. e Histog.'!$BZ:$BZ,'Cronog. e Histog.'!DW:DW),"")</f>
        <v>0</v>
      </c>
      <c r="BC356" s="144">
        <f>IFERROR(_xlfn.XLOOKUP($B356,'Cronog. e Histog.'!$BZ:$BZ,'Cronog. e Histog.'!DX:DX),"")</f>
        <v>0</v>
      </c>
      <c r="BD356" s="144">
        <f>IFERROR(_xlfn.XLOOKUP($B356,'Cronog. e Histog.'!$BZ:$BZ,'Cronog. e Histog.'!DY:DY),"")</f>
        <v>0</v>
      </c>
      <c r="BE356" s="144">
        <f>IFERROR(_xlfn.XLOOKUP($B356,'Cronog. e Histog.'!$BZ:$BZ,'Cronog. e Histog.'!DZ:DZ),"")</f>
        <v>0</v>
      </c>
      <c r="BF356" s="144">
        <f>IFERROR(_xlfn.XLOOKUP($B356,'Cronog. e Histog.'!$BZ:$BZ,'Cronog. e Histog.'!EA:EA),"")</f>
        <v>0</v>
      </c>
      <c r="BG356" s="144">
        <f>IFERROR(_xlfn.XLOOKUP($B356,'Cronog. e Histog.'!$BZ:$BZ,'Cronog. e Histog.'!EB:EB),"")</f>
        <v>0</v>
      </c>
      <c r="BH356" s="144">
        <f>IFERROR(_xlfn.XLOOKUP($B356,'Cronog. e Histog.'!$BZ:$BZ,'Cronog. e Histog.'!EC:EC),"")</f>
        <v>0</v>
      </c>
      <c r="BI356" s="144">
        <f>IFERROR(_xlfn.XLOOKUP($B356,'Cronog. e Histog.'!$BZ:$BZ,'Cronog. e Histog.'!ED:ED),"")</f>
        <v>0</v>
      </c>
      <c r="BJ356" s="144">
        <f>IFERROR(_xlfn.XLOOKUP($B356,'Cronog. e Histog.'!$BZ:$BZ,'Cronog. e Histog.'!EE:EE),"")</f>
        <v>0</v>
      </c>
      <c r="BK356" s="144">
        <f>IFERROR(_xlfn.XLOOKUP($B356,'Cronog. e Histog.'!$BZ:$BZ,'Cronog. e Histog.'!EF:EF),"")</f>
        <v>0</v>
      </c>
      <c r="BL356" s="144">
        <f>IFERROR(_xlfn.XLOOKUP($B356,'Cronog. e Histog.'!$BZ:$BZ,'Cronog. e Histog.'!EG:EG),"")</f>
        <v>0</v>
      </c>
      <c r="BM356" s="144">
        <f>IFERROR(_xlfn.XLOOKUP($B356,'Cronog. e Histog.'!$BZ:$BZ,'Cronog. e Histog.'!EH:EH),"")</f>
        <v>0</v>
      </c>
      <c r="BN356" s="144">
        <f>IFERROR(_xlfn.XLOOKUP($B356,'Cronog. e Histog.'!$BZ:$BZ,'Cronog. e Histog.'!EI:EI),"")</f>
        <v>0</v>
      </c>
    </row>
    <row r="357" spans="2:66" ht="12" hidden="1" customHeight="1" outlineLevel="1">
      <c r="B357" s="76">
        <v>351</v>
      </c>
      <c r="C357" s="143" t="str">
        <f>IFERROR(VLOOKUP(B357,'Cronog. e Histog.'!$BZ$213:$CA$747,2,0),"")</f>
        <v>AN PL. ADM/CRP</v>
      </c>
      <c r="D357" s="144">
        <f t="shared" si="6"/>
        <v>0</v>
      </c>
      <c r="E357" s="144">
        <f t="shared" si="7"/>
        <v>0</v>
      </c>
      <c r="F357" s="65"/>
      <c r="G357" s="144">
        <f>IFERROR(_xlfn.XLOOKUP($B357,'Cronog. e Histog.'!$BZ:$BZ,'Cronog. e Histog.'!CB:CB),"")</f>
        <v>0</v>
      </c>
      <c r="H357" s="144">
        <f>IFERROR(_xlfn.XLOOKUP($B357,'Cronog. e Histog.'!$BZ:$BZ,'Cronog. e Histog.'!CC:CC),"")</f>
        <v>0</v>
      </c>
      <c r="I357" s="144">
        <f>IFERROR(_xlfn.XLOOKUP($B357,'Cronog. e Histog.'!$BZ:$BZ,'Cronog. e Histog.'!CD:CD),"")</f>
        <v>0</v>
      </c>
      <c r="J357" s="144">
        <f>IFERROR(_xlfn.XLOOKUP($B357,'Cronog. e Histog.'!$BZ:$BZ,'Cronog. e Histog.'!CE:CE),"")</f>
        <v>0</v>
      </c>
      <c r="K357" s="144">
        <f>IFERROR(_xlfn.XLOOKUP($B357,'Cronog. e Histog.'!$BZ:$BZ,'Cronog. e Histog.'!CF:CF),"")</f>
        <v>0</v>
      </c>
      <c r="L357" s="144">
        <f>IFERROR(_xlfn.XLOOKUP($B357,'Cronog. e Histog.'!$BZ:$BZ,'Cronog. e Histog.'!CG:CG),"")</f>
        <v>0</v>
      </c>
      <c r="M357" s="144">
        <f>IFERROR(_xlfn.XLOOKUP($B357,'Cronog. e Histog.'!$BZ:$BZ,'Cronog. e Histog.'!CH:CH),"")</f>
        <v>0</v>
      </c>
      <c r="N357" s="144">
        <f>IFERROR(_xlfn.XLOOKUP($B357,'Cronog. e Histog.'!$BZ:$BZ,'Cronog. e Histog.'!CI:CI),"")</f>
        <v>0</v>
      </c>
      <c r="O357" s="144">
        <f>IFERROR(_xlfn.XLOOKUP($B357,'Cronog. e Histog.'!$BZ:$BZ,'Cronog. e Histog.'!CJ:CJ),"")</f>
        <v>0</v>
      </c>
      <c r="P357" s="144">
        <f>IFERROR(_xlfn.XLOOKUP($B357,'Cronog. e Histog.'!$BZ:$BZ,'Cronog. e Histog.'!CK:CK),"")</f>
        <v>0</v>
      </c>
      <c r="Q357" s="144">
        <f>IFERROR(_xlfn.XLOOKUP($B357,'Cronog. e Histog.'!$BZ:$BZ,'Cronog. e Histog.'!CL:CL),"")</f>
        <v>0</v>
      </c>
      <c r="R357" s="144">
        <f>IFERROR(_xlfn.XLOOKUP($B357,'Cronog. e Histog.'!$BZ:$BZ,'Cronog. e Histog.'!CM:CM),"")</f>
        <v>0</v>
      </c>
      <c r="S357" s="144">
        <f>IFERROR(_xlfn.XLOOKUP($B357,'Cronog. e Histog.'!$BZ:$BZ,'Cronog. e Histog.'!CN:CN),"")</f>
        <v>0</v>
      </c>
      <c r="T357" s="144">
        <f>IFERROR(_xlfn.XLOOKUP($B357,'Cronog. e Histog.'!$BZ:$BZ,'Cronog. e Histog.'!CO:CO),"")</f>
        <v>0</v>
      </c>
      <c r="U357" s="144">
        <f>IFERROR(_xlfn.XLOOKUP($B357,'Cronog. e Histog.'!$BZ:$BZ,'Cronog. e Histog.'!CP:CP),"")</f>
        <v>0</v>
      </c>
      <c r="V357" s="144">
        <f>IFERROR(_xlfn.XLOOKUP($B357,'Cronog. e Histog.'!$BZ:$BZ,'Cronog. e Histog.'!CQ:CQ),"")</f>
        <v>0</v>
      </c>
      <c r="W357" s="144">
        <f>IFERROR(_xlfn.XLOOKUP($B357,'Cronog. e Histog.'!$BZ:$BZ,'Cronog. e Histog.'!CR:CR),"")</f>
        <v>0</v>
      </c>
      <c r="X357" s="144">
        <f>IFERROR(_xlfn.XLOOKUP($B357,'Cronog. e Histog.'!$BZ:$BZ,'Cronog. e Histog.'!CS:CS),"")</f>
        <v>0</v>
      </c>
      <c r="Y357" s="144">
        <f>IFERROR(_xlfn.XLOOKUP($B357,'Cronog. e Histog.'!$BZ:$BZ,'Cronog. e Histog.'!CT:CT),"")</f>
        <v>0</v>
      </c>
      <c r="Z357" s="144">
        <f>IFERROR(_xlfn.XLOOKUP($B357,'Cronog. e Histog.'!$BZ:$BZ,'Cronog. e Histog.'!CU:CU),"")</f>
        <v>0</v>
      </c>
      <c r="AA357" s="144">
        <f>IFERROR(_xlfn.XLOOKUP($B357,'Cronog. e Histog.'!$BZ:$BZ,'Cronog. e Histog.'!CV:CV),"")</f>
        <v>0</v>
      </c>
      <c r="AB357" s="144">
        <f>IFERROR(_xlfn.XLOOKUP($B357,'Cronog. e Histog.'!$BZ:$BZ,'Cronog. e Histog.'!CW:CW),"")</f>
        <v>0</v>
      </c>
      <c r="AC357" s="144">
        <f>IFERROR(_xlfn.XLOOKUP($B357,'Cronog. e Histog.'!$BZ:$BZ,'Cronog. e Histog.'!CX:CX),"")</f>
        <v>0</v>
      </c>
      <c r="AD357" s="144">
        <f>IFERROR(_xlfn.XLOOKUP($B357,'Cronog. e Histog.'!$BZ:$BZ,'Cronog. e Histog.'!CY:CY),"")</f>
        <v>0</v>
      </c>
      <c r="AE357" s="144">
        <f>IFERROR(_xlfn.XLOOKUP($B357,'Cronog. e Histog.'!$BZ:$BZ,'Cronog. e Histog.'!CZ:CZ),"")</f>
        <v>0</v>
      </c>
      <c r="AF357" s="144">
        <f>IFERROR(_xlfn.XLOOKUP($B357,'Cronog. e Histog.'!$BZ:$BZ,'Cronog. e Histog.'!DA:DA),"")</f>
        <v>0</v>
      </c>
      <c r="AG357" s="144">
        <f>IFERROR(_xlfn.XLOOKUP($B357,'Cronog. e Histog.'!$BZ:$BZ,'Cronog. e Histog.'!DB:DB),"")</f>
        <v>0</v>
      </c>
      <c r="AH357" s="144">
        <f>IFERROR(_xlfn.XLOOKUP($B357,'Cronog. e Histog.'!$BZ:$BZ,'Cronog. e Histog.'!DC:DC),"")</f>
        <v>0</v>
      </c>
      <c r="AI357" s="144">
        <f>IFERROR(_xlfn.XLOOKUP($B357,'Cronog. e Histog.'!$BZ:$BZ,'Cronog. e Histog.'!DD:DD),"")</f>
        <v>0</v>
      </c>
      <c r="AJ357" s="144">
        <f>IFERROR(_xlfn.XLOOKUP($B357,'Cronog. e Histog.'!$BZ:$BZ,'Cronog. e Histog.'!DE:DE),"")</f>
        <v>0</v>
      </c>
      <c r="AK357" s="144">
        <f>IFERROR(_xlfn.XLOOKUP($B357,'Cronog. e Histog.'!$BZ:$BZ,'Cronog. e Histog.'!DF:DF),"")</f>
        <v>0</v>
      </c>
      <c r="AL357" s="144">
        <f>IFERROR(_xlfn.XLOOKUP($B357,'Cronog. e Histog.'!$BZ:$BZ,'Cronog. e Histog.'!DG:DG),"")</f>
        <v>0</v>
      </c>
      <c r="AM357" s="144">
        <f>IFERROR(_xlfn.XLOOKUP($B357,'Cronog. e Histog.'!$BZ:$BZ,'Cronog. e Histog.'!DH:DH),"")</f>
        <v>0</v>
      </c>
      <c r="AN357" s="144">
        <f>IFERROR(_xlfn.XLOOKUP($B357,'Cronog. e Histog.'!$BZ:$BZ,'Cronog. e Histog.'!DI:DI),"")</f>
        <v>0</v>
      </c>
      <c r="AO357" s="144">
        <f>IFERROR(_xlfn.XLOOKUP($B357,'Cronog. e Histog.'!$BZ:$BZ,'Cronog. e Histog.'!DJ:DJ),"")</f>
        <v>0</v>
      </c>
      <c r="AP357" s="144">
        <f>IFERROR(_xlfn.XLOOKUP($B357,'Cronog. e Histog.'!$BZ:$BZ,'Cronog. e Histog.'!DK:DK),"")</f>
        <v>0</v>
      </c>
      <c r="AQ357" s="144">
        <f>IFERROR(_xlfn.XLOOKUP($B357,'Cronog. e Histog.'!$BZ:$BZ,'Cronog. e Histog.'!DL:DL),"")</f>
        <v>0</v>
      </c>
      <c r="AR357" s="144">
        <f>IFERROR(_xlfn.XLOOKUP($B357,'Cronog. e Histog.'!$BZ:$BZ,'Cronog. e Histog.'!DM:DM),"")</f>
        <v>0</v>
      </c>
      <c r="AS357" s="144">
        <f>IFERROR(_xlfn.XLOOKUP($B357,'Cronog. e Histog.'!$BZ:$BZ,'Cronog. e Histog.'!DN:DN),"")</f>
        <v>0</v>
      </c>
      <c r="AT357" s="144">
        <f>IFERROR(_xlfn.XLOOKUP($B357,'Cronog. e Histog.'!$BZ:$BZ,'Cronog. e Histog.'!DO:DO),"")</f>
        <v>0</v>
      </c>
      <c r="AU357" s="144">
        <f>IFERROR(_xlfn.XLOOKUP($B357,'Cronog. e Histog.'!$BZ:$BZ,'Cronog. e Histog.'!DP:DP),"")</f>
        <v>0</v>
      </c>
      <c r="AV357" s="144">
        <f>IFERROR(_xlfn.XLOOKUP($B357,'Cronog. e Histog.'!$BZ:$BZ,'Cronog. e Histog.'!DQ:DQ),"")</f>
        <v>0</v>
      </c>
      <c r="AW357" s="144">
        <f>IFERROR(_xlfn.XLOOKUP($B357,'Cronog. e Histog.'!$BZ:$BZ,'Cronog. e Histog.'!DR:DR),"")</f>
        <v>0</v>
      </c>
      <c r="AX357" s="144">
        <f>IFERROR(_xlfn.XLOOKUP($B357,'Cronog. e Histog.'!$BZ:$BZ,'Cronog. e Histog.'!DS:DS),"")</f>
        <v>0</v>
      </c>
      <c r="AY357" s="144">
        <f>IFERROR(_xlfn.XLOOKUP($B357,'Cronog. e Histog.'!$BZ:$BZ,'Cronog. e Histog.'!DT:DT),"")</f>
        <v>0</v>
      </c>
      <c r="AZ357" s="144">
        <f>IFERROR(_xlfn.XLOOKUP($B357,'Cronog. e Histog.'!$BZ:$BZ,'Cronog. e Histog.'!DU:DU),"")</f>
        <v>0</v>
      </c>
      <c r="BA357" s="144">
        <f>IFERROR(_xlfn.XLOOKUP($B357,'Cronog. e Histog.'!$BZ:$BZ,'Cronog. e Histog.'!DV:DV),"")</f>
        <v>0</v>
      </c>
      <c r="BB357" s="144">
        <f>IFERROR(_xlfn.XLOOKUP($B357,'Cronog. e Histog.'!$BZ:$BZ,'Cronog. e Histog.'!DW:DW),"")</f>
        <v>0</v>
      </c>
      <c r="BC357" s="144">
        <f>IFERROR(_xlfn.XLOOKUP($B357,'Cronog. e Histog.'!$BZ:$BZ,'Cronog. e Histog.'!DX:DX),"")</f>
        <v>0</v>
      </c>
      <c r="BD357" s="144">
        <f>IFERROR(_xlfn.XLOOKUP($B357,'Cronog. e Histog.'!$BZ:$BZ,'Cronog. e Histog.'!DY:DY),"")</f>
        <v>0</v>
      </c>
      <c r="BE357" s="144">
        <f>IFERROR(_xlfn.XLOOKUP($B357,'Cronog. e Histog.'!$BZ:$BZ,'Cronog. e Histog.'!DZ:DZ),"")</f>
        <v>0</v>
      </c>
      <c r="BF357" s="144">
        <f>IFERROR(_xlfn.XLOOKUP($B357,'Cronog. e Histog.'!$BZ:$BZ,'Cronog. e Histog.'!EA:EA),"")</f>
        <v>0</v>
      </c>
      <c r="BG357" s="144">
        <f>IFERROR(_xlfn.XLOOKUP($B357,'Cronog. e Histog.'!$BZ:$BZ,'Cronog. e Histog.'!EB:EB),"")</f>
        <v>0</v>
      </c>
      <c r="BH357" s="144">
        <f>IFERROR(_xlfn.XLOOKUP($B357,'Cronog. e Histog.'!$BZ:$BZ,'Cronog. e Histog.'!EC:EC),"")</f>
        <v>0</v>
      </c>
      <c r="BI357" s="144">
        <f>IFERROR(_xlfn.XLOOKUP($B357,'Cronog. e Histog.'!$BZ:$BZ,'Cronog. e Histog.'!ED:ED),"")</f>
        <v>0</v>
      </c>
      <c r="BJ357" s="144">
        <f>IFERROR(_xlfn.XLOOKUP($B357,'Cronog. e Histog.'!$BZ:$BZ,'Cronog. e Histog.'!EE:EE),"")</f>
        <v>0</v>
      </c>
      <c r="BK357" s="144">
        <f>IFERROR(_xlfn.XLOOKUP($B357,'Cronog. e Histog.'!$BZ:$BZ,'Cronog. e Histog.'!EF:EF),"")</f>
        <v>0</v>
      </c>
      <c r="BL357" s="144">
        <f>IFERROR(_xlfn.XLOOKUP($B357,'Cronog. e Histog.'!$BZ:$BZ,'Cronog. e Histog.'!EG:EG),"")</f>
        <v>0</v>
      </c>
      <c r="BM357" s="144">
        <f>IFERROR(_xlfn.XLOOKUP($B357,'Cronog. e Histog.'!$BZ:$BZ,'Cronog. e Histog.'!EH:EH),"")</f>
        <v>0</v>
      </c>
      <c r="BN357" s="144">
        <f>IFERROR(_xlfn.XLOOKUP($B357,'Cronog. e Histog.'!$BZ:$BZ,'Cronog. e Histog.'!EI:EI),"")</f>
        <v>0</v>
      </c>
    </row>
    <row r="358" spans="2:66" ht="12" hidden="1" customHeight="1" outlineLevel="1">
      <c r="B358" s="76">
        <v>352</v>
      </c>
      <c r="C358" s="143" t="str">
        <f>IFERROR(VLOOKUP(B358,'Cronog. e Histog.'!$BZ$213:$CA$747,2,0),"")</f>
        <v>AN JR. ADM/CRP</v>
      </c>
      <c r="D358" s="144">
        <f t="shared" si="6"/>
        <v>0</v>
      </c>
      <c r="E358" s="144">
        <f t="shared" si="7"/>
        <v>0</v>
      </c>
      <c r="F358" s="65"/>
      <c r="G358" s="144">
        <f>IFERROR(_xlfn.XLOOKUP($B358,'Cronog. e Histog.'!$BZ:$BZ,'Cronog. e Histog.'!CB:CB),"")</f>
        <v>0</v>
      </c>
      <c r="H358" s="144">
        <f>IFERROR(_xlfn.XLOOKUP($B358,'Cronog. e Histog.'!$BZ:$BZ,'Cronog. e Histog.'!CC:CC),"")</f>
        <v>0</v>
      </c>
      <c r="I358" s="144">
        <f>IFERROR(_xlfn.XLOOKUP($B358,'Cronog. e Histog.'!$BZ:$BZ,'Cronog. e Histog.'!CD:CD),"")</f>
        <v>0</v>
      </c>
      <c r="J358" s="144">
        <f>IFERROR(_xlfn.XLOOKUP($B358,'Cronog. e Histog.'!$BZ:$BZ,'Cronog. e Histog.'!CE:CE),"")</f>
        <v>0</v>
      </c>
      <c r="K358" s="144">
        <f>IFERROR(_xlfn.XLOOKUP($B358,'Cronog. e Histog.'!$BZ:$BZ,'Cronog. e Histog.'!CF:CF),"")</f>
        <v>0</v>
      </c>
      <c r="L358" s="144">
        <f>IFERROR(_xlfn.XLOOKUP($B358,'Cronog. e Histog.'!$BZ:$BZ,'Cronog. e Histog.'!CG:CG),"")</f>
        <v>0</v>
      </c>
      <c r="M358" s="144">
        <f>IFERROR(_xlfn.XLOOKUP($B358,'Cronog. e Histog.'!$BZ:$BZ,'Cronog. e Histog.'!CH:CH),"")</f>
        <v>0</v>
      </c>
      <c r="N358" s="144">
        <f>IFERROR(_xlfn.XLOOKUP($B358,'Cronog. e Histog.'!$BZ:$BZ,'Cronog. e Histog.'!CI:CI),"")</f>
        <v>0</v>
      </c>
      <c r="O358" s="144">
        <f>IFERROR(_xlfn.XLOOKUP($B358,'Cronog. e Histog.'!$BZ:$BZ,'Cronog. e Histog.'!CJ:CJ),"")</f>
        <v>0</v>
      </c>
      <c r="P358" s="144">
        <f>IFERROR(_xlfn.XLOOKUP($B358,'Cronog. e Histog.'!$BZ:$BZ,'Cronog. e Histog.'!CK:CK),"")</f>
        <v>0</v>
      </c>
      <c r="Q358" s="144">
        <f>IFERROR(_xlfn.XLOOKUP($B358,'Cronog. e Histog.'!$BZ:$BZ,'Cronog. e Histog.'!CL:CL),"")</f>
        <v>0</v>
      </c>
      <c r="R358" s="144">
        <f>IFERROR(_xlfn.XLOOKUP($B358,'Cronog. e Histog.'!$BZ:$BZ,'Cronog. e Histog.'!CM:CM),"")</f>
        <v>0</v>
      </c>
      <c r="S358" s="144">
        <f>IFERROR(_xlfn.XLOOKUP($B358,'Cronog. e Histog.'!$BZ:$BZ,'Cronog. e Histog.'!CN:CN),"")</f>
        <v>0</v>
      </c>
      <c r="T358" s="144">
        <f>IFERROR(_xlfn.XLOOKUP($B358,'Cronog. e Histog.'!$BZ:$BZ,'Cronog. e Histog.'!CO:CO),"")</f>
        <v>0</v>
      </c>
      <c r="U358" s="144">
        <f>IFERROR(_xlfn.XLOOKUP($B358,'Cronog. e Histog.'!$BZ:$BZ,'Cronog. e Histog.'!CP:CP),"")</f>
        <v>0</v>
      </c>
      <c r="V358" s="144">
        <f>IFERROR(_xlfn.XLOOKUP($B358,'Cronog. e Histog.'!$BZ:$BZ,'Cronog. e Histog.'!CQ:CQ),"")</f>
        <v>0</v>
      </c>
      <c r="W358" s="144">
        <f>IFERROR(_xlfn.XLOOKUP($B358,'Cronog. e Histog.'!$BZ:$BZ,'Cronog. e Histog.'!CR:CR),"")</f>
        <v>0</v>
      </c>
      <c r="X358" s="144">
        <f>IFERROR(_xlfn.XLOOKUP($B358,'Cronog. e Histog.'!$BZ:$BZ,'Cronog. e Histog.'!CS:CS),"")</f>
        <v>0</v>
      </c>
      <c r="Y358" s="144">
        <f>IFERROR(_xlfn.XLOOKUP($B358,'Cronog. e Histog.'!$BZ:$BZ,'Cronog. e Histog.'!CT:CT),"")</f>
        <v>0</v>
      </c>
      <c r="Z358" s="144">
        <f>IFERROR(_xlfn.XLOOKUP($B358,'Cronog. e Histog.'!$BZ:$BZ,'Cronog. e Histog.'!CU:CU),"")</f>
        <v>0</v>
      </c>
      <c r="AA358" s="144">
        <f>IFERROR(_xlfn.XLOOKUP($B358,'Cronog. e Histog.'!$BZ:$BZ,'Cronog. e Histog.'!CV:CV),"")</f>
        <v>0</v>
      </c>
      <c r="AB358" s="144">
        <f>IFERROR(_xlfn.XLOOKUP($B358,'Cronog. e Histog.'!$BZ:$BZ,'Cronog. e Histog.'!CW:CW),"")</f>
        <v>0</v>
      </c>
      <c r="AC358" s="144">
        <f>IFERROR(_xlfn.XLOOKUP($B358,'Cronog. e Histog.'!$BZ:$BZ,'Cronog. e Histog.'!CX:CX),"")</f>
        <v>0</v>
      </c>
      <c r="AD358" s="144">
        <f>IFERROR(_xlfn.XLOOKUP($B358,'Cronog. e Histog.'!$BZ:$BZ,'Cronog. e Histog.'!CY:CY),"")</f>
        <v>0</v>
      </c>
      <c r="AE358" s="144">
        <f>IFERROR(_xlfn.XLOOKUP($B358,'Cronog. e Histog.'!$BZ:$BZ,'Cronog. e Histog.'!CZ:CZ),"")</f>
        <v>0</v>
      </c>
      <c r="AF358" s="144">
        <f>IFERROR(_xlfn.XLOOKUP($B358,'Cronog. e Histog.'!$BZ:$BZ,'Cronog. e Histog.'!DA:DA),"")</f>
        <v>0</v>
      </c>
      <c r="AG358" s="144">
        <f>IFERROR(_xlfn.XLOOKUP($B358,'Cronog. e Histog.'!$BZ:$BZ,'Cronog. e Histog.'!DB:DB),"")</f>
        <v>0</v>
      </c>
      <c r="AH358" s="144">
        <f>IFERROR(_xlfn.XLOOKUP($B358,'Cronog. e Histog.'!$BZ:$BZ,'Cronog. e Histog.'!DC:DC),"")</f>
        <v>0</v>
      </c>
      <c r="AI358" s="144">
        <f>IFERROR(_xlfn.XLOOKUP($B358,'Cronog. e Histog.'!$BZ:$BZ,'Cronog. e Histog.'!DD:DD),"")</f>
        <v>0</v>
      </c>
      <c r="AJ358" s="144">
        <f>IFERROR(_xlfn.XLOOKUP($B358,'Cronog. e Histog.'!$BZ:$BZ,'Cronog. e Histog.'!DE:DE),"")</f>
        <v>0</v>
      </c>
      <c r="AK358" s="144">
        <f>IFERROR(_xlfn.XLOOKUP($B358,'Cronog. e Histog.'!$BZ:$BZ,'Cronog. e Histog.'!DF:DF),"")</f>
        <v>0</v>
      </c>
      <c r="AL358" s="144">
        <f>IFERROR(_xlfn.XLOOKUP($B358,'Cronog. e Histog.'!$BZ:$BZ,'Cronog. e Histog.'!DG:DG),"")</f>
        <v>0</v>
      </c>
      <c r="AM358" s="144">
        <f>IFERROR(_xlfn.XLOOKUP($B358,'Cronog. e Histog.'!$BZ:$BZ,'Cronog. e Histog.'!DH:DH),"")</f>
        <v>0</v>
      </c>
      <c r="AN358" s="144">
        <f>IFERROR(_xlfn.XLOOKUP($B358,'Cronog. e Histog.'!$BZ:$BZ,'Cronog. e Histog.'!DI:DI),"")</f>
        <v>0</v>
      </c>
      <c r="AO358" s="144">
        <f>IFERROR(_xlfn.XLOOKUP($B358,'Cronog. e Histog.'!$BZ:$BZ,'Cronog. e Histog.'!DJ:DJ),"")</f>
        <v>0</v>
      </c>
      <c r="AP358" s="144">
        <f>IFERROR(_xlfn.XLOOKUP($B358,'Cronog. e Histog.'!$BZ:$BZ,'Cronog. e Histog.'!DK:DK),"")</f>
        <v>0</v>
      </c>
      <c r="AQ358" s="144">
        <f>IFERROR(_xlfn.XLOOKUP($B358,'Cronog. e Histog.'!$BZ:$BZ,'Cronog. e Histog.'!DL:DL),"")</f>
        <v>0</v>
      </c>
      <c r="AR358" s="144">
        <f>IFERROR(_xlfn.XLOOKUP($B358,'Cronog. e Histog.'!$BZ:$BZ,'Cronog. e Histog.'!DM:DM),"")</f>
        <v>0</v>
      </c>
      <c r="AS358" s="144">
        <f>IFERROR(_xlfn.XLOOKUP($B358,'Cronog. e Histog.'!$BZ:$BZ,'Cronog. e Histog.'!DN:DN),"")</f>
        <v>0</v>
      </c>
      <c r="AT358" s="144">
        <f>IFERROR(_xlfn.XLOOKUP($B358,'Cronog. e Histog.'!$BZ:$BZ,'Cronog. e Histog.'!DO:DO),"")</f>
        <v>0</v>
      </c>
      <c r="AU358" s="144">
        <f>IFERROR(_xlfn.XLOOKUP($B358,'Cronog. e Histog.'!$BZ:$BZ,'Cronog. e Histog.'!DP:DP),"")</f>
        <v>0</v>
      </c>
      <c r="AV358" s="144">
        <f>IFERROR(_xlfn.XLOOKUP($B358,'Cronog. e Histog.'!$BZ:$BZ,'Cronog. e Histog.'!DQ:DQ),"")</f>
        <v>0</v>
      </c>
      <c r="AW358" s="144">
        <f>IFERROR(_xlfn.XLOOKUP($B358,'Cronog. e Histog.'!$BZ:$BZ,'Cronog. e Histog.'!DR:DR),"")</f>
        <v>0</v>
      </c>
      <c r="AX358" s="144">
        <f>IFERROR(_xlfn.XLOOKUP($B358,'Cronog. e Histog.'!$BZ:$BZ,'Cronog. e Histog.'!DS:DS),"")</f>
        <v>0</v>
      </c>
      <c r="AY358" s="144">
        <f>IFERROR(_xlfn.XLOOKUP($B358,'Cronog. e Histog.'!$BZ:$BZ,'Cronog. e Histog.'!DT:DT),"")</f>
        <v>0</v>
      </c>
      <c r="AZ358" s="144">
        <f>IFERROR(_xlfn.XLOOKUP($B358,'Cronog. e Histog.'!$BZ:$BZ,'Cronog. e Histog.'!DU:DU),"")</f>
        <v>0</v>
      </c>
      <c r="BA358" s="144">
        <f>IFERROR(_xlfn.XLOOKUP($B358,'Cronog. e Histog.'!$BZ:$BZ,'Cronog. e Histog.'!DV:DV),"")</f>
        <v>0</v>
      </c>
      <c r="BB358" s="144">
        <f>IFERROR(_xlfn.XLOOKUP($B358,'Cronog. e Histog.'!$BZ:$BZ,'Cronog. e Histog.'!DW:DW),"")</f>
        <v>0</v>
      </c>
      <c r="BC358" s="144">
        <f>IFERROR(_xlfn.XLOOKUP($B358,'Cronog. e Histog.'!$BZ:$BZ,'Cronog. e Histog.'!DX:DX),"")</f>
        <v>0</v>
      </c>
      <c r="BD358" s="144">
        <f>IFERROR(_xlfn.XLOOKUP($B358,'Cronog. e Histog.'!$BZ:$BZ,'Cronog. e Histog.'!DY:DY),"")</f>
        <v>0</v>
      </c>
      <c r="BE358" s="144">
        <f>IFERROR(_xlfn.XLOOKUP($B358,'Cronog. e Histog.'!$BZ:$BZ,'Cronog. e Histog.'!DZ:DZ),"")</f>
        <v>0</v>
      </c>
      <c r="BF358" s="144">
        <f>IFERROR(_xlfn.XLOOKUP($B358,'Cronog. e Histog.'!$BZ:$BZ,'Cronog. e Histog.'!EA:EA),"")</f>
        <v>0</v>
      </c>
      <c r="BG358" s="144">
        <f>IFERROR(_xlfn.XLOOKUP($B358,'Cronog. e Histog.'!$BZ:$BZ,'Cronog. e Histog.'!EB:EB),"")</f>
        <v>0</v>
      </c>
      <c r="BH358" s="144">
        <f>IFERROR(_xlfn.XLOOKUP($B358,'Cronog. e Histog.'!$BZ:$BZ,'Cronog. e Histog.'!EC:EC),"")</f>
        <v>0</v>
      </c>
      <c r="BI358" s="144">
        <f>IFERROR(_xlfn.XLOOKUP($B358,'Cronog. e Histog.'!$BZ:$BZ,'Cronog. e Histog.'!ED:ED),"")</f>
        <v>0</v>
      </c>
      <c r="BJ358" s="144">
        <f>IFERROR(_xlfn.XLOOKUP($B358,'Cronog. e Histog.'!$BZ:$BZ,'Cronog. e Histog.'!EE:EE),"")</f>
        <v>0</v>
      </c>
      <c r="BK358" s="144">
        <f>IFERROR(_xlfn.XLOOKUP($B358,'Cronog. e Histog.'!$BZ:$BZ,'Cronog. e Histog.'!EF:EF),"")</f>
        <v>0</v>
      </c>
      <c r="BL358" s="144">
        <f>IFERROR(_xlfn.XLOOKUP($B358,'Cronog. e Histog.'!$BZ:$BZ,'Cronog. e Histog.'!EG:EG),"")</f>
        <v>0</v>
      </c>
      <c r="BM358" s="144">
        <f>IFERROR(_xlfn.XLOOKUP($B358,'Cronog. e Histog.'!$BZ:$BZ,'Cronog. e Histog.'!EH:EH),"")</f>
        <v>0</v>
      </c>
      <c r="BN358" s="144">
        <f>IFERROR(_xlfn.XLOOKUP($B358,'Cronog. e Histog.'!$BZ:$BZ,'Cronog. e Histog.'!EI:EI),"")</f>
        <v>0</v>
      </c>
    </row>
    <row r="359" spans="2:66" ht="12" hidden="1" customHeight="1" outlineLevel="1">
      <c r="B359" s="76">
        <v>353</v>
      </c>
      <c r="C359" s="143" t="str">
        <f>IFERROR(VLOOKUP(B359,'Cronog. e Histog.'!$BZ$213:$CA$747,2,0),"")</f>
        <v>TEC III</v>
      </c>
      <c r="D359" s="144">
        <f t="shared" si="6"/>
        <v>0</v>
      </c>
      <c r="E359" s="144">
        <f t="shared" si="7"/>
        <v>0</v>
      </c>
      <c r="F359" s="65"/>
      <c r="G359" s="144">
        <f>IFERROR(_xlfn.XLOOKUP($B359,'Cronog. e Histog.'!$BZ:$BZ,'Cronog. e Histog.'!CB:CB),"")</f>
        <v>0</v>
      </c>
      <c r="H359" s="144">
        <f>IFERROR(_xlfn.XLOOKUP($B359,'Cronog. e Histog.'!$BZ:$BZ,'Cronog. e Histog.'!CC:CC),"")</f>
        <v>0</v>
      </c>
      <c r="I359" s="144">
        <f>IFERROR(_xlfn.XLOOKUP($B359,'Cronog. e Histog.'!$BZ:$BZ,'Cronog. e Histog.'!CD:CD),"")</f>
        <v>0</v>
      </c>
      <c r="J359" s="144">
        <f>IFERROR(_xlfn.XLOOKUP($B359,'Cronog. e Histog.'!$BZ:$BZ,'Cronog. e Histog.'!CE:CE),"")</f>
        <v>0</v>
      </c>
      <c r="K359" s="144">
        <f>IFERROR(_xlfn.XLOOKUP($B359,'Cronog. e Histog.'!$BZ:$BZ,'Cronog. e Histog.'!CF:CF),"")</f>
        <v>0</v>
      </c>
      <c r="L359" s="144">
        <f>IFERROR(_xlfn.XLOOKUP($B359,'Cronog. e Histog.'!$BZ:$BZ,'Cronog. e Histog.'!CG:CG),"")</f>
        <v>0</v>
      </c>
      <c r="M359" s="144">
        <f>IFERROR(_xlfn.XLOOKUP($B359,'Cronog. e Histog.'!$BZ:$BZ,'Cronog. e Histog.'!CH:CH),"")</f>
        <v>0</v>
      </c>
      <c r="N359" s="144">
        <f>IFERROR(_xlfn.XLOOKUP($B359,'Cronog. e Histog.'!$BZ:$BZ,'Cronog. e Histog.'!CI:CI),"")</f>
        <v>0</v>
      </c>
      <c r="O359" s="144">
        <f>IFERROR(_xlfn.XLOOKUP($B359,'Cronog. e Histog.'!$BZ:$BZ,'Cronog. e Histog.'!CJ:CJ),"")</f>
        <v>0</v>
      </c>
      <c r="P359" s="144">
        <f>IFERROR(_xlfn.XLOOKUP($B359,'Cronog. e Histog.'!$BZ:$BZ,'Cronog. e Histog.'!CK:CK),"")</f>
        <v>0</v>
      </c>
      <c r="Q359" s="144">
        <f>IFERROR(_xlfn.XLOOKUP($B359,'Cronog. e Histog.'!$BZ:$BZ,'Cronog. e Histog.'!CL:CL),"")</f>
        <v>0</v>
      </c>
      <c r="R359" s="144">
        <f>IFERROR(_xlfn.XLOOKUP($B359,'Cronog. e Histog.'!$BZ:$BZ,'Cronog. e Histog.'!CM:CM),"")</f>
        <v>0</v>
      </c>
      <c r="S359" s="144">
        <f>IFERROR(_xlfn.XLOOKUP($B359,'Cronog. e Histog.'!$BZ:$BZ,'Cronog. e Histog.'!CN:CN),"")</f>
        <v>0</v>
      </c>
      <c r="T359" s="144">
        <f>IFERROR(_xlfn.XLOOKUP($B359,'Cronog. e Histog.'!$BZ:$BZ,'Cronog. e Histog.'!CO:CO),"")</f>
        <v>0</v>
      </c>
      <c r="U359" s="144">
        <f>IFERROR(_xlfn.XLOOKUP($B359,'Cronog. e Histog.'!$BZ:$BZ,'Cronog. e Histog.'!CP:CP),"")</f>
        <v>0</v>
      </c>
      <c r="V359" s="144">
        <f>IFERROR(_xlfn.XLOOKUP($B359,'Cronog. e Histog.'!$BZ:$BZ,'Cronog. e Histog.'!CQ:CQ),"")</f>
        <v>0</v>
      </c>
      <c r="W359" s="144">
        <f>IFERROR(_xlfn.XLOOKUP($B359,'Cronog. e Histog.'!$BZ:$BZ,'Cronog. e Histog.'!CR:CR),"")</f>
        <v>0</v>
      </c>
      <c r="X359" s="144">
        <f>IFERROR(_xlfn.XLOOKUP($B359,'Cronog. e Histog.'!$BZ:$BZ,'Cronog. e Histog.'!CS:CS),"")</f>
        <v>0</v>
      </c>
      <c r="Y359" s="144">
        <f>IFERROR(_xlfn.XLOOKUP($B359,'Cronog. e Histog.'!$BZ:$BZ,'Cronog. e Histog.'!CT:CT),"")</f>
        <v>0</v>
      </c>
      <c r="Z359" s="144">
        <f>IFERROR(_xlfn.XLOOKUP($B359,'Cronog. e Histog.'!$BZ:$BZ,'Cronog. e Histog.'!CU:CU),"")</f>
        <v>0</v>
      </c>
      <c r="AA359" s="144">
        <f>IFERROR(_xlfn.XLOOKUP($B359,'Cronog. e Histog.'!$BZ:$BZ,'Cronog. e Histog.'!CV:CV),"")</f>
        <v>0</v>
      </c>
      <c r="AB359" s="144">
        <f>IFERROR(_xlfn.XLOOKUP($B359,'Cronog. e Histog.'!$BZ:$BZ,'Cronog. e Histog.'!CW:CW),"")</f>
        <v>0</v>
      </c>
      <c r="AC359" s="144">
        <f>IFERROR(_xlfn.XLOOKUP($B359,'Cronog. e Histog.'!$BZ:$BZ,'Cronog. e Histog.'!CX:CX),"")</f>
        <v>0</v>
      </c>
      <c r="AD359" s="144">
        <f>IFERROR(_xlfn.XLOOKUP($B359,'Cronog. e Histog.'!$BZ:$BZ,'Cronog. e Histog.'!CY:CY),"")</f>
        <v>0</v>
      </c>
      <c r="AE359" s="144">
        <f>IFERROR(_xlfn.XLOOKUP($B359,'Cronog. e Histog.'!$BZ:$BZ,'Cronog. e Histog.'!CZ:CZ),"")</f>
        <v>0</v>
      </c>
      <c r="AF359" s="144">
        <f>IFERROR(_xlfn.XLOOKUP($B359,'Cronog. e Histog.'!$BZ:$BZ,'Cronog. e Histog.'!DA:DA),"")</f>
        <v>0</v>
      </c>
      <c r="AG359" s="144">
        <f>IFERROR(_xlfn.XLOOKUP($B359,'Cronog. e Histog.'!$BZ:$BZ,'Cronog. e Histog.'!DB:DB),"")</f>
        <v>0</v>
      </c>
      <c r="AH359" s="144">
        <f>IFERROR(_xlfn.XLOOKUP($B359,'Cronog. e Histog.'!$BZ:$BZ,'Cronog. e Histog.'!DC:DC),"")</f>
        <v>0</v>
      </c>
      <c r="AI359" s="144">
        <f>IFERROR(_xlfn.XLOOKUP($B359,'Cronog. e Histog.'!$BZ:$BZ,'Cronog. e Histog.'!DD:DD),"")</f>
        <v>0</v>
      </c>
      <c r="AJ359" s="144">
        <f>IFERROR(_xlfn.XLOOKUP($B359,'Cronog. e Histog.'!$BZ:$BZ,'Cronog. e Histog.'!DE:DE),"")</f>
        <v>0</v>
      </c>
      <c r="AK359" s="144">
        <f>IFERROR(_xlfn.XLOOKUP($B359,'Cronog. e Histog.'!$BZ:$BZ,'Cronog. e Histog.'!DF:DF),"")</f>
        <v>0</v>
      </c>
      <c r="AL359" s="144">
        <f>IFERROR(_xlfn.XLOOKUP($B359,'Cronog. e Histog.'!$BZ:$BZ,'Cronog. e Histog.'!DG:DG),"")</f>
        <v>0</v>
      </c>
      <c r="AM359" s="144">
        <f>IFERROR(_xlfn.XLOOKUP($B359,'Cronog. e Histog.'!$BZ:$BZ,'Cronog. e Histog.'!DH:DH),"")</f>
        <v>0</v>
      </c>
      <c r="AN359" s="144">
        <f>IFERROR(_xlfn.XLOOKUP($B359,'Cronog. e Histog.'!$BZ:$BZ,'Cronog. e Histog.'!DI:DI),"")</f>
        <v>0</v>
      </c>
      <c r="AO359" s="144">
        <f>IFERROR(_xlfn.XLOOKUP($B359,'Cronog. e Histog.'!$BZ:$BZ,'Cronog. e Histog.'!DJ:DJ),"")</f>
        <v>0</v>
      </c>
      <c r="AP359" s="144">
        <f>IFERROR(_xlfn.XLOOKUP($B359,'Cronog. e Histog.'!$BZ:$BZ,'Cronog. e Histog.'!DK:DK),"")</f>
        <v>0</v>
      </c>
      <c r="AQ359" s="144">
        <f>IFERROR(_xlfn.XLOOKUP($B359,'Cronog. e Histog.'!$BZ:$BZ,'Cronog. e Histog.'!DL:DL),"")</f>
        <v>0</v>
      </c>
      <c r="AR359" s="144">
        <f>IFERROR(_xlfn.XLOOKUP($B359,'Cronog. e Histog.'!$BZ:$BZ,'Cronog. e Histog.'!DM:DM),"")</f>
        <v>0</v>
      </c>
      <c r="AS359" s="144">
        <f>IFERROR(_xlfn.XLOOKUP($B359,'Cronog. e Histog.'!$BZ:$BZ,'Cronog. e Histog.'!DN:DN),"")</f>
        <v>0</v>
      </c>
      <c r="AT359" s="144">
        <f>IFERROR(_xlfn.XLOOKUP($B359,'Cronog. e Histog.'!$BZ:$BZ,'Cronog. e Histog.'!DO:DO),"")</f>
        <v>0</v>
      </c>
      <c r="AU359" s="144">
        <f>IFERROR(_xlfn.XLOOKUP($B359,'Cronog. e Histog.'!$BZ:$BZ,'Cronog. e Histog.'!DP:DP),"")</f>
        <v>0</v>
      </c>
      <c r="AV359" s="144">
        <f>IFERROR(_xlfn.XLOOKUP($B359,'Cronog. e Histog.'!$BZ:$BZ,'Cronog. e Histog.'!DQ:DQ),"")</f>
        <v>0</v>
      </c>
      <c r="AW359" s="144">
        <f>IFERROR(_xlfn.XLOOKUP($B359,'Cronog. e Histog.'!$BZ:$BZ,'Cronog. e Histog.'!DR:DR),"")</f>
        <v>0</v>
      </c>
      <c r="AX359" s="144">
        <f>IFERROR(_xlfn.XLOOKUP($B359,'Cronog. e Histog.'!$BZ:$BZ,'Cronog. e Histog.'!DS:DS),"")</f>
        <v>0</v>
      </c>
      <c r="AY359" s="144">
        <f>IFERROR(_xlfn.XLOOKUP($B359,'Cronog. e Histog.'!$BZ:$BZ,'Cronog. e Histog.'!DT:DT),"")</f>
        <v>0</v>
      </c>
      <c r="AZ359" s="144">
        <f>IFERROR(_xlfn.XLOOKUP($B359,'Cronog. e Histog.'!$BZ:$BZ,'Cronog. e Histog.'!DU:DU),"")</f>
        <v>0</v>
      </c>
      <c r="BA359" s="144">
        <f>IFERROR(_xlfn.XLOOKUP($B359,'Cronog. e Histog.'!$BZ:$BZ,'Cronog. e Histog.'!DV:DV),"")</f>
        <v>0</v>
      </c>
      <c r="BB359" s="144">
        <f>IFERROR(_xlfn.XLOOKUP($B359,'Cronog. e Histog.'!$BZ:$BZ,'Cronog. e Histog.'!DW:DW),"")</f>
        <v>0</v>
      </c>
      <c r="BC359" s="144">
        <f>IFERROR(_xlfn.XLOOKUP($B359,'Cronog. e Histog.'!$BZ:$BZ,'Cronog. e Histog.'!DX:DX),"")</f>
        <v>0</v>
      </c>
      <c r="BD359" s="144">
        <f>IFERROR(_xlfn.XLOOKUP($B359,'Cronog. e Histog.'!$BZ:$BZ,'Cronog. e Histog.'!DY:DY),"")</f>
        <v>0</v>
      </c>
      <c r="BE359" s="144">
        <f>IFERROR(_xlfn.XLOOKUP($B359,'Cronog. e Histog.'!$BZ:$BZ,'Cronog. e Histog.'!DZ:DZ),"")</f>
        <v>0</v>
      </c>
      <c r="BF359" s="144">
        <f>IFERROR(_xlfn.XLOOKUP($B359,'Cronog. e Histog.'!$BZ:$BZ,'Cronog. e Histog.'!EA:EA),"")</f>
        <v>0</v>
      </c>
      <c r="BG359" s="144">
        <f>IFERROR(_xlfn.XLOOKUP($B359,'Cronog. e Histog.'!$BZ:$BZ,'Cronog. e Histog.'!EB:EB),"")</f>
        <v>0</v>
      </c>
      <c r="BH359" s="144">
        <f>IFERROR(_xlfn.XLOOKUP($B359,'Cronog. e Histog.'!$BZ:$BZ,'Cronog. e Histog.'!EC:EC),"")</f>
        <v>0</v>
      </c>
      <c r="BI359" s="144">
        <f>IFERROR(_xlfn.XLOOKUP($B359,'Cronog. e Histog.'!$BZ:$BZ,'Cronog. e Histog.'!ED:ED),"")</f>
        <v>0</v>
      </c>
      <c r="BJ359" s="144">
        <f>IFERROR(_xlfn.XLOOKUP($B359,'Cronog. e Histog.'!$BZ:$BZ,'Cronog. e Histog.'!EE:EE),"")</f>
        <v>0</v>
      </c>
      <c r="BK359" s="144">
        <f>IFERROR(_xlfn.XLOOKUP($B359,'Cronog. e Histog.'!$BZ:$BZ,'Cronog. e Histog.'!EF:EF),"")</f>
        <v>0</v>
      </c>
      <c r="BL359" s="144">
        <f>IFERROR(_xlfn.XLOOKUP($B359,'Cronog. e Histog.'!$BZ:$BZ,'Cronog. e Histog.'!EG:EG),"")</f>
        <v>0</v>
      </c>
      <c r="BM359" s="144">
        <f>IFERROR(_xlfn.XLOOKUP($B359,'Cronog. e Histog.'!$BZ:$BZ,'Cronog. e Histog.'!EH:EH),"")</f>
        <v>0</v>
      </c>
      <c r="BN359" s="144">
        <f>IFERROR(_xlfn.XLOOKUP($B359,'Cronog. e Histog.'!$BZ:$BZ,'Cronog. e Histog.'!EI:EI),"")</f>
        <v>0</v>
      </c>
    </row>
    <row r="360" spans="2:66" ht="12" hidden="1" customHeight="1" outlineLevel="1">
      <c r="B360" s="76">
        <v>354</v>
      </c>
      <c r="C360" s="143" t="str">
        <f>IFERROR(VLOOKUP(B360,'Cronog. e Histog.'!$BZ$213:$CA$747,2,0),"")</f>
        <v>TEC II</v>
      </c>
      <c r="D360" s="144">
        <f t="shared" si="6"/>
        <v>0</v>
      </c>
      <c r="E360" s="144">
        <f t="shared" si="7"/>
        <v>0</v>
      </c>
      <c r="F360" s="65"/>
      <c r="G360" s="144">
        <f>IFERROR(_xlfn.XLOOKUP($B360,'Cronog. e Histog.'!$BZ:$BZ,'Cronog. e Histog.'!CB:CB),"")</f>
        <v>0</v>
      </c>
      <c r="H360" s="144">
        <f>IFERROR(_xlfn.XLOOKUP($B360,'Cronog. e Histog.'!$BZ:$BZ,'Cronog. e Histog.'!CC:CC),"")</f>
        <v>0</v>
      </c>
      <c r="I360" s="144">
        <f>IFERROR(_xlfn.XLOOKUP($B360,'Cronog. e Histog.'!$BZ:$BZ,'Cronog. e Histog.'!CD:CD),"")</f>
        <v>0</v>
      </c>
      <c r="J360" s="144">
        <f>IFERROR(_xlfn.XLOOKUP($B360,'Cronog. e Histog.'!$BZ:$BZ,'Cronog. e Histog.'!CE:CE),"")</f>
        <v>0</v>
      </c>
      <c r="K360" s="144">
        <f>IFERROR(_xlfn.XLOOKUP($B360,'Cronog. e Histog.'!$BZ:$BZ,'Cronog. e Histog.'!CF:CF),"")</f>
        <v>0</v>
      </c>
      <c r="L360" s="144">
        <f>IFERROR(_xlfn.XLOOKUP($B360,'Cronog. e Histog.'!$BZ:$BZ,'Cronog. e Histog.'!CG:CG),"")</f>
        <v>0</v>
      </c>
      <c r="M360" s="144">
        <f>IFERROR(_xlfn.XLOOKUP($B360,'Cronog. e Histog.'!$BZ:$BZ,'Cronog. e Histog.'!CH:CH),"")</f>
        <v>0</v>
      </c>
      <c r="N360" s="144">
        <f>IFERROR(_xlfn.XLOOKUP($B360,'Cronog. e Histog.'!$BZ:$BZ,'Cronog. e Histog.'!CI:CI),"")</f>
        <v>0</v>
      </c>
      <c r="O360" s="144">
        <f>IFERROR(_xlfn.XLOOKUP($B360,'Cronog. e Histog.'!$BZ:$BZ,'Cronog. e Histog.'!CJ:CJ),"")</f>
        <v>0</v>
      </c>
      <c r="P360" s="144">
        <f>IFERROR(_xlfn.XLOOKUP($B360,'Cronog. e Histog.'!$BZ:$BZ,'Cronog. e Histog.'!CK:CK),"")</f>
        <v>0</v>
      </c>
      <c r="Q360" s="144">
        <f>IFERROR(_xlfn.XLOOKUP($B360,'Cronog. e Histog.'!$BZ:$BZ,'Cronog. e Histog.'!CL:CL),"")</f>
        <v>0</v>
      </c>
      <c r="R360" s="144">
        <f>IFERROR(_xlfn.XLOOKUP($B360,'Cronog. e Histog.'!$BZ:$BZ,'Cronog. e Histog.'!CM:CM),"")</f>
        <v>0</v>
      </c>
      <c r="S360" s="144">
        <f>IFERROR(_xlfn.XLOOKUP($B360,'Cronog. e Histog.'!$BZ:$BZ,'Cronog. e Histog.'!CN:CN),"")</f>
        <v>0</v>
      </c>
      <c r="T360" s="144">
        <f>IFERROR(_xlfn.XLOOKUP($B360,'Cronog. e Histog.'!$BZ:$BZ,'Cronog. e Histog.'!CO:CO),"")</f>
        <v>0</v>
      </c>
      <c r="U360" s="144">
        <f>IFERROR(_xlfn.XLOOKUP($B360,'Cronog. e Histog.'!$BZ:$BZ,'Cronog. e Histog.'!CP:CP),"")</f>
        <v>0</v>
      </c>
      <c r="V360" s="144">
        <f>IFERROR(_xlfn.XLOOKUP($B360,'Cronog. e Histog.'!$BZ:$BZ,'Cronog. e Histog.'!CQ:CQ),"")</f>
        <v>0</v>
      </c>
      <c r="W360" s="144">
        <f>IFERROR(_xlfn.XLOOKUP($B360,'Cronog. e Histog.'!$BZ:$BZ,'Cronog. e Histog.'!CR:CR),"")</f>
        <v>0</v>
      </c>
      <c r="X360" s="144">
        <f>IFERROR(_xlfn.XLOOKUP($B360,'Cronog. e Histog.'!$BZ:$BZ,'Cronog. e Histog.'!CS:CS),"")</f>
        <v>0</v>
      </c>
      <c r="Y360" s="144">
        <f>IFERROR(_xlfn.XLOOKUP($B360,'Cronog. e Histog.'!$BZ:$BZ,'Cronog. e Histog.'!CT:CT),"")</f>
        <v>0</v>
      </c>
      <c r="Z360" s="144">
        <f>IFERROR(_xlfn.XLOOKUP($B360,'Cronog. e Histog.'!$BZ:$BZ,'Cronog. e Histog.'!CU:CU),"")</f>
        <v>0</v>
      </c>
      <c r="AA360" s="144">
        <f>IFERROR(_xlfn.XLOOKUP($B360,'Cronog. e Histog.'!$BZ:$BZ,'Cronog. e Histog.'!CV:CV),"")</f>
        <v>0</v>
      </c>
      <c r="AB360" s="144">
        <f>IFERROR(_xlfn.XLOOKUP($B360,'Cronog. e Histog.'!$BZ:$BZ,'Cronog. e Histog.'!CW:CW),"")</f>
        <v>0</v>
      </c>
      <c r="AC360" s="144">
        <f>IFERROR(_xlfn.XLOOKUP($B360,'Cronog. e Histog.'!$BZ:$BZ,'Cronog. e Histog.'!CX:CX),"")</f>
        <v>0</v>
      </c>
      <c r="AD360" s="144">
        <f>IFERROR(_xlfn.XLOOKUP($B360,'Cronog. e Histog.'!$BZ:$BZ,'Cronog. e Histog.'!CY:CY),"")</f>
        <v>0</v>
      </c>
      <c r="AE360" s="144">
        <f>IFERROR(_xlfn.XLOOKUP($B360,'Cronog. e Histog.'!$BZ:$BZ,'Cronog. e Histog.'!CZ:CZ),"")</f>
        <v>0</v>
      </c>
      <c r="AF360" s="144">
        <f>IFERROR(_xlfn.XLOOKUP($B360,'Cronog. e Histog.'!$BZ:$BZ,'Cronog. e Histog.'!DA:DA),"")</f>
        <v>0</v>
      </c>
      <c r="AG360" s="144">
        <f>IFERROR(_xlfn.XLOOKUP($B360,'Cronog. e Histog.'!$BZ:$BZ,'Cronog. e Histog.'!DB:DB),"")</f>
        <v>0</v>
      </c>
      <c r="AH360" s="144">
        <f>IFERROR(_xlfn.XLOOKUP($B360,'Cronog. e Histog.'!$BZ:$BZ,'Cronog. e Histog.'!DC:DC),"")</f>
        <v>0</v>
      </c>
      <c r="AI360" s="144">
        <f>IFERROR(_xlfn.XLOOKUP($B360,'Cronog. e Histog.'!$BZ:$BZ,'Cronog. e Histog.'!DD:DD),"")</f>
        <v>0</v>
      </c>
      <c r="AJ360" s="144">
        <f>IFERROR(_xlfn.XLOOKUP($B360,'Cronog. e Histog.'!$BZ:$BZ,'Cronog. e Histog.'!DE:DE),"")</f>
        <v>0</v>
      </c>
      <c r="AK360" s="144">
        <f>IFERROR(_xlfn.XLOOKUP($B360,'Cronog. e Histog.'!$BZ:$BZ,'Cronog. e Histog.'!DF:DF),"")</f>
        <v>0</v>
      </c>
      <c r="AL360" s="144">
        <f>IFERROR(_xlfn.XLOOKUP($B360,'Cronog. e Histog.'!$BZ:$BZ,'Cronog. e Histog.'!DG:DG),"")</f>
        <v>0</v>
      </c>
      <c r="AM360" s="144">
        <f>IFERROR(_xlfn.XLOOKUP($B360,'Cronog. e Histog.'!$BZ:$BZ,'Cronog. e Histog.'!DH:DH),"")</f>
        <v>0</v>
      </c>
      <c r="AN360" s="144">
        <f>IFERROR(_xlfn.XLOOKUP($B360,'Cronog. e Histog.'!$BZ:$BZ,'Cronog. e Histog.'!DI:DI),"")</f>
        <v>0</v>
      </c>
      <c r="AO360" s="144">
        <f>IFERROR(_xlfn.XLOOKUP($B360,'Cronog. e Histog.'!$BZ:$BZ,'Cronog. e Histog.'!DJ:DJ),"")</f>
        <v>0</v>
      </c>
      <c r="AP360" s="144">
        <f>IFERROR(_xlfn.XLOOKUP($B360,'Cronog. e Histog.'!$BZ:$BZ,'Cronog. e Histog.'!DK:DK),"")</f>
        <v>0</v>
      </c>
      <c r="AQ360" s="144">
        <f>IFERROR(_xlfn.XLOOKUP($B360,'Cronog. e Histog.'!$BZ:$BZ,'Cronog. e Histog.'!DL:DL),"")</f>
        <v>0</v>
      </c>
      <c r="AR360" s="144">
        <f>IFERROR(_xlfn.XLOOKUP($B360,'Cronog. e Histog.'!$BZ:$BZ,'Cronog. e Histog.'!DM:DM),"")</f>
        <v>0</v>
      </c>
      <c r="AS360" s="144">
        <f>IFERROR(_xlfn.XLOOKUP($B360,'Cronog. e Histog.'!$BZ:$BZ,'Cronog. e Histog.'!DN:DN),"")</f>
        <v>0</v>
      </c>
      <c r="AT360" s="144">
        <f>IFERROR(_xlfn.XLOOKUP($B360,'Cronog. e Histog.'!$BZ:$BZ,'Cronog. e Histog.'!DO:DO),"")</f>
        <v>0</v>
      </c>
      <c r="AU360" s="144">
        <f>IFERROR(_xlfn.XLOOKUP($B360,'Cronog. e Histog.'!$BZ:$BZ,'Cronog. e Histog.'!DP:DP),"")</f>
        <v>0</v>
      </c>
      <c r="AV360" s="144">
        <f>IFERROR(_xlfn.XLOOKUP($B360,'Cronog. e Histog.'!$BZ:$BZ,'Cronog. e Histog.'!DQ:DQ),"")</f>
        <v>0</v>
      </c>
      <c r="AW360" s="144">
        <f>IFERROR(_xlfn.XLOOKUP($B360,'Cronog. e Histog.'!$BZ:$BZ,'Cronog. e Histog.'!DR:DR),"")</f>
        <v>0</v>
      </c>
      <c r="AX360" s="144">
        <f>IFERROR(_xlfn.XLOOKUP($B360,'Cronog. e Histog.'!$BZ:$BZ,'Cronog. e Histog.'!DS:DS),"")</f>
        <v>0</v>
      </c>
      <c r="AY360" s="144">
        <f>IFERROR(_xlfn.XLOOKUP($B360,'Cronog. e Histog.'!$BZ:$BZ,'Cronog. e Histog.'!DT:DT),"")</f>
        <v>0</v>
      </c>
      <c r="AZ360" s="144">
        <f>IFERROR(_xlfn.XLOOKUP($B360,'Cronog. e Histog.'!$BZ:$BZ,'Cronog. e Histog.'!DU:DU),"")</f>
        <v>0</v>
      </c>
      <c r="BA360" s="144">
        <f>IFERROR(_xlfn.XLOOKUP($B360,'Cronog. e Histog.'!$BZ:$BZ,'Cronog. e Histog.'!DV:DV),"")</f>
        <v>0</v>
      </c>
      <c r="BB360" s="144">
        <f>IFERROR(_xlfn.XLOOKUP($B360,'Cronog. e Histog.'!$BZ:$BZ,'Cronog. e Histog.'!DW:DW),"")</f>
        <v>0</v>
      </c>
      <c r="BC360" s="144">
        <f>IFERROR(_xlfn.XLOOKUP($B360,'Cronog. e Histog.'!$BZ:$BZ,'Cronog. e Histog.'!DX:DX),"")</f>
        <v>0</v>
      </c>
      <c r="BD360" s="144">
        <f>IFERROR(_xlfn.XLOOKUP($B360,'Cronog. e Histog.'!$BZ:$BZ,'Cronog. e Histog.'!DY:DY),"")</f>
        <v>0</v>
      </c>
      <c r="BE360" s="144">
        <f>IFERROR(_xlfn.XLOOKUP($B360,'Cronog. e Histog.'!$BZ:$BZ,'Cronog. e Histog.'!DZ:DZ),"")</f>
        <v>0</v>
      </c>
      <c r="BF360" s="144">
        <f>IFERROR(_xlfn.XLOOKUP($B360,'Cronog. e Histog.'!$BZ:$BZ,'Cronog. e Histog.'!EA:EA),"")</f>
        <v>0</v>
      </c>
      <c r="BG360" s="144">
        <f>IFERROR(_xlfn.XLOOKUP($B360,'Cronog. e Histog.'!$BZ:$BZ,'Cronog. e Histog.'!EB:EB),"")</f>
        <v>0</v>
      </c>
      <c r="BH360" s="144">
        <f>IFERROR(_xlfn.XLOOKUP($B360,'Cronog. e Histog.'!$BZ:$BZ,'Cronog. e Histog.'!EC:EC),"")</f>
        <v>0</v>
      </c>
      <c r="BI360" s="144">
        <f>IFERROR(_xlfn.XLOOKUP($B360,'Cronog. e Histog.'!$BZ:$BZ,'Cronog. e Histog.'!ED:ED),"")</f>
        <v>0</v>
      </c>
      <c r="BJ360" s="144">
        <f>IFERROR(_xlfn.XLOOKUP($B360,'Cronog. e Histog.'!$BZ:$BZ,'Cronog. e Histog.'!EE:EE),"")</f>
        <v>0</v>
      </c>
      <c r="BK360" s="144">
        <f>IFERROR(_xlfn.XLOOKUP($B360,'Cronog. e Histog.'!$BZ:$BZ,'Cronog. e Histog.'!EF:EF),"")</f>
        <v>0</v>
      </c>
      <c r="BL360" s="144">
        <f>IFERROR(_xlfn.XLOOKUP($B360,'Cronog. e Histog.'!$BZ:$BZ,'Cronog. e Histog.'!EG:EG),"")</f>
        <v>0</v>
      </c>
      <c r="BM360" s="144">
        <f>IFERROR(_xlfn.XLOOKUP($B360,'Cronog. e Histog.'!$BZ:$BZ,'Cronog. e Histog.'!EH:EH),"")</f>
        <v>0</v>
      </c>
      <c r="BN360" s="144">
        <f>IFERROR(_xlfn.XLOOKUP($B360,'Cronog. e Histog.'!$BZ:$BZ,'Cronog. e Histog.'!EI:EI),"")</f>
        <v>0</v>
      </c>
    </row>
    <row r="361" spans="2:66" ht="12" hidden="1" customHeight="1" outlineLevel="1">
      <c r="B361" s="76">
        <v>355</v>
      </c>
      <c r="C361" s="143" t="str">
        <f>IFERROR(VLOOKUP(B361,'Cronog. e Histog.'!$BZ$213:$CA$747,2,0),"")</f>
        <v>TEC I</v>
      </c>
      <c r="D361" s="144">
        <f t="shared" si="6"/>
        <v>0</v>
      </c>
      <c r="E361" s="144">
        <f t="shared" si="7"/>
        <v>0</v>
      </c>
      <c r="F361" s="65"/>
      <c r="G361" s="144">
        <f>IFERROR(_xlfn.XLOOKUP($B361,'Cronog. e Histog.'!$BZ:$BZ,'Cronog. e Histog.'!CB:CB),"")</f>
        <v>0</v>
      </c>
      <c r="H361" s="144">
        <f>IFERROR(_xlfn.XLOOKUP($B361,'Cronog. e Histog.'!$BZ:$BZ,'Cronog. e Histog.'!CC:CC),"")</f>
        <v>0</v>
      </c>
      <c r="I361" s="144">
        <f>IFERROR(_xlfn.XLOOKUP($B361,'Cronog. e Histog.'!$BZ:$BZ,'Cronog. e Histog.'!CD:CD),"")</f>
        <v>0</v>
      </c>
      <c r="J361" s="144">
        <f>IFERROR(_xlfn.XLOOKUP($B361,'Cronog. e Histog.'!$BZ:$BZ,'Cronog. e Histog.'!CE:CE),"")</f>
        <v>0</v>
      </c>
      <c r="K361" s="144">
        <f>IFERROR(_xlfn.XLOOKUP($B361,'Cronog. e Histog.'!$BZ:$BZ,'Cronog. e Histog.'!CF:CF),"")</f>
        <v>0</v>
      </c>
      <c r="L361" s="144">
        <f>IFERROR(_xlfn.XLOOKUP($B361,'Cronog. e Histog.'!$BZ:$BZ,'Cronog. e Histog.'!CG:CG),"")</f>
        <v>0</v>
      </c>
      <c r="M361" s="144">
        <f>IFERROR(_xlfn.XLOOKUP($B361,'Cronog. e Histog.'!$BZ:$BZ,'Cronog. e Histog.'!CH:CH),"")</f>
        <v>0</v>
      </c>
      <c r="N361" s="144">
        <f>IFERROR(_xlfn.XLOOKUP($B361,'Cronog. e Histog.'!$BZ:$BZ,'Cronog. e Histog.'!CI:CI),"")</f>
        <v>0</v>
      </c>
      <c r="O361" s="144">
        <f>IFERROR(_xlfn.XLOOKUP($B361,'Cronog. e Histog.'!$BZ:$BZ,'Cronog. e Histog.'!CJ:CJ),"")</f>
        <v>0</v>
      </c>
      <c r="P361" s="144">
        <f>IFERROR(_xlfn.XLOOKUP($B361,'Cronog. e Histog.'!$BZ:$BZ,'Cronog. e Histog.'!CK:CK),"")</f>
        <v>0</v>
      </c>
      <c r="Q361" s="144">
        <f>IFERROR(_xlfn.XLOOKUP($B361,'Cronog. e Histog.'!$BZ:$BZ,'Cronog. e Histog.'!CL:CL),"")</f>
        <v>0</v>
      </c>
      <c r="R361" s="144">
        <f>IFERROR(_xlfn.XLOOKUP($B361,'Cronog. e Histog.'!$BZ:$BZ,'Cronog. e Histog.'!CM:CM),"")</f>
        <v>0</v>
      </c>
      <c r="S361" s="144">
        <f>IFERROR(_xlfn.XLOOKUP($B361,'Cronog. e Histog.'!$BZ:$BZ,'Cronog. e Histog.'!CN:CN),"")</f>
        <v>0</v>
      </c>
      <c r="T361" s="144">
        <f>IFERROR(_xlfn.XLOOKUP($B361,'Cronog. e Histog.'!$BZ:$BZ,'Cronog. e Histog.'!CO:CO),"")</f>
        <v>0</v>
      </c>
      <c r="U361" s="144">
        <f>IFERROR(_xlfn.XLOOKUP($B361,'Cronog. e Histog.'!$BZ:$BZ,'Cronog. e Histog.'!CP:CP),"")</f>
        <v>0</v>
      </c>
      <c r="V361" s="144">
        <f>IFERROR(_xlfn.XLOOKUP($B361,'Cronog. e Histog.'!$BZ:$BZ,'Cronog. e Histog.'!CQ:CQ),"")</f>
        <v>0</v>
      </c>
      <c r="W361" s="144">
        <f>IFERROR(_xlfn.XLOOKUP($B361,'Cronog. e Histog.'!$BZ:$BZ,'Cronog. e Histog.'!CR:CR),"")</f>
        <v>0</v>
      </c>
      <c r="X361" s="144">
        <f>IFERROR(_xlfn.XLOOKUP($B361,'Cronog. e Histog.'!$BZ:$BZ,'Cronog. e Histog.'!CS:CS),"")</f>
        <v>0</v>
      </c>
      <c r="Y361" s="144">
        <f>IFERROR(_xlfn.XLOOKUP($B361,'Cronog. e Histog.'!$BZ:$BZ,'Cronog. e Histog.'!CT:CT),"")</f>
        <v>0</v>
      </c>
      <c r="Z361" s="144">
        <f>IFERROR(_xlfn.XLOOKUP($B361,'Cronog. e Histog.'!$BZ:$BZ,'Cronog. e Histog.'!CU:CU),"")</f>
        <v>0</v>
      </c>
      <c r="AA361" s="144">
        <f>IFERROR(_xlfn.XLOOKUP($B361,'Cronog. e Histog.'!$BZ:$BZ,'Cronog. e Histog.'!CV:CV),"")</f>
        <v>0</v>
      </c>
      <c r="AB361" s="144">
        <f>IFERROR(_xlfn.XLOOKUP($B361,'Cronog. e Histog.'!$BZ:$BZ,'Cronog. e Histog.'!CW:CW),"")</f>
        <v>0</v>
      </c>
      <c r="AC361" s="144">
        <f>IFERROR(_xlfn.XLOOKUP($B361,'Cronog. e Histog.'!$BZ:$BZ,'Cronog. e Histog.'!CX:CX),"")</f>
        <v>0</v>
      </c>
      <c r="AD361" s="144">
        <f>IFERROR(_xlfn.XLOOKUP($B361,'Cronog. e Histog.'!$BZ:$BZ,'Cronog. e Histog.'!CY:CY),"")</f>
        <v>0</v>
      </c>
      <c r="AE361" s="144">
        <f>IFERROR(_xlfn.XLOOKUP($B361,'Cronog. e Histog.'!$BZ:$BZ,'Cronog. e Histog.'!CZ:CZ),"")</f>
        <v>0</v>
      </c>
      <c r="AF361" s="144">
        <f>IFERROR(_xlfn.XLOOKUP($B361,'Cronog. e Histog.'!$BZ:$BZ,'Cronog. e Histog.'!DA:DA),"")</f>
        <v>0</v>
      </c>
      <c r="AG361" s="144">
        <f>IFERROR(_xlfn.XLOOKUP($B361,'Cronog. e Histog.'!$BZ:$BZ,'Cronog. e Histog.'!DB:DB),"")</f>
        <v>0</v>
      </c>
      <c r="AH361" s="144">
        <f>IFERROR(_xlfn.XLOOKUP($B361,'Cronog. e Histog.'!$BZ:$BZ,'Cronog. e Histog.'!DC:DC),"")</f>
        <v>0</v>
      </c>
      <c r="AI361" s="144">
        <f>IFERROR(_xlfn.XLOOKUP($B361,'Cronog. e Histog.'!$BZ:$BZ,'Cronog. e Histog.'!DD:DD),"")</f>
        <v>0</v>
      </c>
      <c r="AJ361" s="144">
        <f>IFERROR(_xlfn.XLOOKUP($B361,'Cronog. e Histog.'!$BZ:$BZ,'Cronog. e Histog.'!DE:DE),"")</f>
        <v>0</v>
      </c>
      <c r="AK361" s="144">
        <f>IFERROR(_xlfn.XLOOKUP($B361,'Cronog. e Histog.'!$BZ:$BZ,'Cronog. e Histog.'!DF:DF),"")</f>
        <v>0</v>
      </c>
      <c r="AL361" s="144">
        <f>IFERROR(_xlfn.XLOOKUP($B361,'Cronog. e Histog.'!$BZ:$BZ,'Cronog. e Histog.'!DG:DG),"")</f>
        <v>0</v>
      </c>
      <c r="AM361" s="144">
        <f>IFERROR(_xlfn.XLOOKUP($B361,'Cronog. e Histog.'!$BZ:$BZ,'Cronog. e Histog.'!DH:DH),"")</f>
        <v>0</v>
      </c>
      <c r="AN361" s="144">
        <f>IFERROR(_xlfn.XLOOKUP($B361,'Cronog. e Histog.'!$BZ:$BZ,'Cronog. e Histog.'!DI:DI),"")</f>
        <v>0</v>
      </c>
      <c r="AO361" s="144">
        <f>IFERROR(_xlfn.XLOOKUP($B361,'Cronog. e Histog.'!$BZ:$BZ,'Cronog. e Histog.'!DJ:DJ),"")</f>
        <v>0</v>
      </c>
      <c r="AP361" s="144">
        <f>IFERROR(_xlfn.XLOOKUP($B361,'Cronog. e Histog.'!$BZ:$BZ,'Cronog. e Histog.'!DK:DK),"")</f>
        <v>0</v>
      </c>
      <c r="AQ361" s="144">
        <f>IFERROR(_xlfn.XLOOKUP($B361,'Cronog. e Histog.'!$BZ:$BZ,'Cronog. e Histog.'!DL:DL),"")</f>
        <v>0</v>
      </c>
      <c r="AR361" s="144">
        <f>IFERROR(_xlfn.XLOOKUP($B361,'Cronog. e Histog.'!$BZ:$BZ,'Cronog. e Histog.'!DM:DM),"")</f>
        <v>0</v>
      </c>
      <c r="AS361" s="144">
        <f>IFERROR(_xlfn.XLOOKUP($B361,'Cronog. e Histog.'!$BZ:$BZ,'Cronog. e Histog.'!DN:DN),"")</f>
        <v>0</v>
      </c>
      <c r="AT361" s="144">
        <f>IFERROR(_xlfn.XLOOKUP($B361,'Cronog. e Histog.'!$BZ:$BZ,'Cronog. e Histog.'!DO:DO),"")</f>
        <v>0</v>
      </c>
      <c r="AU361" s="144">
        <f>IFERROR(_xlfn.XLOOKUP($B361,'Cronog. e Histog.'!$BZ:$BZ,'Cronog. e Histog.'!DP:DP),"")</f>
        <v>0</v>
      </c>
      <c r="AV361" s="144">
        <f>IFERROR(_xlfn.XLOOKUP($B361,'Cronog. e Histog.'!$BZ:$BZ,'Cronog. e Histog.'!DQ:DQ),"")</f>
        <v>0</v>
      </c>
      <c r="AW361" s="144">
        <f>IFERROR(_xlfn.XLOOKUP($B361,'Cronog. e Histog.'!$BZ:$BZ,'Cronog. e Histog.'!DR:DR),"")</f>
        <v>0</v>
      </c>
      <c r="AX361" s="144">
        <f>IFERROR(_xlfn.XLOOKUP($B361,'Cronog. e Histog.'!$BZ:$BZ,'Cronog. e Histog.'!DS:DS),"")</f>
        <v>0</v>
      </c>
      <c r="AY361" s="144">
        <f>IFERROR(_xlfn.XLOOKUP($B361,'Cronog. e Histog.'!$BZ:$BZ,'Cronog. e Histog.'!DT:DT),"")</f>
        <v>0</v>
      </c>
      <c r="AZ361" s="144">
        <f>IFERROR(_xlfn.XLOOKUP($B361,'Cronog. e Histog.'!$BZ:$BZ,'Cronog. e Histog.'!DU:DU),"")</f>
        <v>0</v>
      </c>
      <c r="BA361" s="144">
        <f>IFERROR(_xlfn.XLOOKUP($B361,'Cronog. e Histog.'!$BZ:$BZ,'Cronog. e Histog.'!DV:DV),"")</f>
        <v>0</v>
      </c>
      <c r="BB361" s="144">
        <f>IFERROR(_xlfn.XLOOKUP($B361,'Cronog. e Histog.'!$BZ:$BZ,'Cronog. e Histog.'!DW:DW),"")</f>
        <v>0</v>
      </c>
      <c r="BC361" s="144">
        <f>IFERROR(_xlfn.XLOOKUP($B361,'Cronog. e Histog.'!$BZ:$BZ,'Cronog. e Histog.'!DX:DX),"")</f>
        <v>0</v>
      </c>
      <c r="BD361" s="144">
        <f>IFERROR(_xlfn.XLOOKUP($B361,'Cronog. e Histog.'!$BZ:$BZ,'Cronog. e Histog.'!DY:DY),"")</f>
        <v>0</v>
      </c>
      <c r="BE361" s="144">
        <f>IFERROR(_xlfn.XLOOKUP($B361,'Cronog. e Histog.'!$BZ:$BZ,'Cronog. e Histog.'!DZ:DZ),"")</f>
        <v>0</v>
      </c>
      <c r="BF361" s="144">
        <f>IFERROR(_xlfn.XLOOKUP($B361,'Cronog. e Histog.'!$BZ:$BZ,'Cronog. e Histog.'!EA:EA),"")</f>
        <v>0</v>
      </c>
      <c r="BG361" s="144">
        <f>IFERROR(_xlfn.XLOOKUP($B361,'Cronog. e Histog.'!$BZ:$BZ,'Cronog. e Histog.'!EB:EB),"")</f>
        <v>0</v>
      </c>
      <c r="BH361" s="144">
        <f>IFERROR(_xlfn.XLOOKUP($B361,'Cronog. e Histog.'!$BZ:$BZ,'Cronog. e Histog.'!EC:EC),"")</f>
        <v>0</v>
      </c>
      <c r="BI361" s="144">
        <f>IFERROR(_xlfn.XLOOKUP($B361,'Cronog. e Histog.'!$BZ:$BZ,'Cronog. e Histog.'!ED:ED),"")</f>
        <v>0</v>
      </c>
      <c r="BJ361" s="144">
        <f>IFERROR(_xlfn.XLOOKUP($B361,'Cronog. e Histog.'!$BZ:$BZ,'Cronog. e Histog.'!EE:EE),"")</f>
        <v>0</v>
      </c>
      <c r="BK361" s="144">
        <f>IFERROR(_xlfn.XLOOKUP($B361,'Cronog. e Histog.'!$BZ:$BZ,'Cronog. e Histog.'!EF:EF),"")</f>
        <v>0</v>
      </c>
      <c r="BL361" s="144">
        <f>IFERROR(_xlfn.XLOOKUP($B361,'Cronog. e Histog.'!$BZ:$BZ,'Cronog. e Histog.'!EG:EG),"")</f>
        <v>0</v>
      </c>
      <c r="BM361" s="144">
        <f>IFERROR(_xlfn.XLOOKUP($B361,'Cronog. e Histog.'!$BZ:$BZ,'Cronog. e Histog.'!EH:EH),"")</f>
        <v>0</v>
      </c>
      <c r="BN361" s="144">
        <f>IFERROR(_xlfn.XLOOKUP($B361,'Cronog. e Histog.'!$BZ:$BZ,'Cronog. e Histog.'!EI:EI),"")</f>
        <v>0</v>
      </c>
    </row>
    <row r="362" spans="2:66" ht="12" hidden="1" customHeight="1" outlineLevel="1">
      <c r="B362" s="76">
        <v>356</v>
      </c>
      <c r="C362" s="143" t="str">
        <f>IFERROR(VLOOKUP(B362,'Cronog. e Histog.'!$BZ$213:$CA$747,2,0),"")</f>
        <v>AUX TEC</v>
      </c>
      <c r="D362" s="144">
        <f t="shared" si="6"/>
        <v>0</v>
      </c>
      <c r="E362" s="144">
        <f t="shared" si="7"/>
        <v>0</v>
      </c>
      <c r="F362" s="65"/>
      <c r="G362" s="144">
        <f>IFERROR(_xlfn.XLOOKUP($B362,'Cronog. e Histog.'!$BZ:$BZ,'Cronog. e Histog.'!CB:CB),"")</f>
        <v>0</v>
      </c>
      <c r="H362" s="144">
        <f>IFERROR(_xlfn.XLOOKUP($B362,'Cronog. e Histog.'!$BZ:$BZ,'Cronog. e Histog.'!CC:CC),"")</f>
        <v>0</v>
      </c>
      <c r="I362" s="144">
        <f>IFERROR(_xlfn.XLOOKUP($B362,'Cronog. e Histog.'!$BZ:$BZ,'Cronog. e Histog.'!CD:CD),"")</f>
        <v>0</v>
      </c>
      <c r="J362" s="144">
        <f>IFERROR(_xlfn.XLOOKUP($B362,'Cronog. e Histog.'!$BZ:$BZ,'Cronog. e Histog.'!CE:CE),"")</f>
        <v>0</v>
      </c>
      <c r="K362" s="144">
        <f>IFERROR(_xlfn.XLOOKUP($B362,'Cronog. e Histog.'!$BZ:$BZ,'Cronog. e Histog.'!CF:CF),"")</f>
        <v>0</v>
      </c>
      <c r="L362" s="144">
        <f>IFERROR(_xlfn.XLOOKUP($B362,'Cronog. e Histog.'!$BZ:$BZ,'Cronog. e Histog.'!CG:CG),"")</f>
        <v>0</v>
      </c>
      <c r="M362" s="144">
        <f>IFERROR(_xlfn.XLOOKUP($B362,'Cronog. e Histog.'!$BZ:$BZ,'Cronog. e Histog.'!CH:CH),"")</f>
        <v>0</v>
      </c>
      <c r="N362" s="144">
        <f>IFERROR(_xlfn.XLOOKUP($B362,'Cronog. e Histog.'!$BZ:$BZ,'Cronog. e Histog.'!CI:CI),"")</f>
        <v>0</v>
      </c>
      <c r="O362" s="144">
        <f>IFERROR(_xlfn.XLOOKUP($B362,'Cronog. e Histog.'!$BZ:$BZ,'Cronog. e Histog.'!CJ:CJ),"")</f>
        <v>0</v>
      </c>
      <c r="P362" s="144">
        <f>IFERROR(_xlfn.XLOOKUP($B362,'Cronog. e Histog.'!$BZ:$BZ,'Cronog. e Histog.'!CK:CK),"")</f>
        <v>0</v>
      </c>
      <c r="Q362" s="144">
        <f>IFERROR(_xlfn.XLOOKUP($B362,'Cronog. e Histog.'!$BZ:$BZ,'Cronog. e Histog.'!CL:CL),"")</f>
        <v>0</v>
      </c>
      <c r="R362" s="144">
        <f>IFERROR(_xlfn.XLOOKUP($B362,'Cronog. e Histog.'!$BZ:$BZ,'Cronog. e Histog.'!CM:CM),"")</f>
        <v>0</v>
      </c>
      <c r="S362" s="144">
        <f>IFERROR(_xlfn.XLOOKUP($B362,'Cronog. e Histog.'!$BZ:$BZ,'Cronog. e Histog.'!CN:CN),"")</f>
        <v>0</v>
      </c>
      <c r="T362" s="144">
        <f>IFERROR(_xlfn.XLOOKUP($B362,'Cronog. e Histog.'!$BZ:$BZ,'Cronog. e Histog.'!CO:CO),"")</f>
        <v>0</v>
      </c>
      <c r="U362" s="144">
        <f>IFERROR(_xlfn.XLOOKUP($B362,'Cronog. e Histog.'!$BZ:$BZ,'Cronog. e Histog.'!CP:CP),"")</f>
        <v>0</v>
      </c>
      <c r="V362" s="144">
        <f>IFERROR(_xlfn.XLOOKUP($B362,'Cronog. e Histog.'!$BZ:$BZ,'Cronog. e Histog.'!CQ:CQ),"")</f>
        <v>0</v>
      </c>
      <c r="W362" s="144">
        <f>IFERROR(_xlfn.XLOOKUP($B362,'Cronog. e Histog.'!$BZ:$BZ,'Cronog. e Histog.'!CR:CR),"")</f>
        <v>0</v>
      </c>
      <c r="X362" s="144">
        <f>IFERROR(_xlfn.XLOOKUP($B362,'Cronog. e Histog.'!$BZ:$BZ,'Cronog. e Histog.'!CS:CS),"")</f>
        <v>0</v>
      </c>
      <c r="Y362" s="144">
        <f>IFERROR(_xlfn.XLOOKUP($B362,'Cronog. e Histog.'!$BZ:$BZ,'Cronog. e Histog.'!CT:CT),"")</f>
        <v>0</v>
      </c>
      <c r="Z362" s="144">
        <f>IFERROR(_xlfn.XLOOKUP($B362,'Cronog. e Histog.'!$BZ:$BZ,'Cronog. e Histog.'!CU:CU),"")</f>
        <v>0</v>
      </c>
      <c r="AA362" s="144">
        <f>IFERROR(_xlfn.XLOOKUP($B362,'Cronog. e Histog.'!$BZ:$BZ,'Cronog. e Histog.'!CV:CV),"")</f>
        <v>0</v>
      </c>
      <c r="AB362" s="144">
        <f>IFERROR(_xlfn.XLOOKUP($B362,'Cronog. e Histog.'!$BZ:$BZ,'Cronog. e Histog.'!CW:CW),"")</f>
        <v>0</v>
      </c>
      <c r="AC362" s="144">
        <f>IFERROR(_xlfn.XLOOKUP($B362,'Cronog. e Histog.'!$BZ:$BZ,'Cronog. e Histog.'!CX:CX),"")</f>
        <v>0</v>
      </c>
      <c r="AD362" s="144">
        <f>IFERROR(_xlfn.XLOOKUP($B362,'Cronog. e Histog.'!$BZ:$BZ,'Cronog. e Histog.'!CY:CY),"")</f>
        <v>0</v>
      </c>
      <c r="AE362" s="144">
        <f>IFERROR(_xlfn.XLOOKUP($B362,'Cronog. e Histog.'!$BZ:$BZ,'Cronog. e Histog.'!CZ:CZ),"")</f>
        <v>0</v>
      </c>
      <c r="AF362" s="144">
        <f>IFERROR(_xlfn.XLOOKUP($B362,'Cronog. e Histog.'!$BZ:$BZ,'Cronog. e Histog.'!DA:DA),"")</f>
        <v>0</v>
      </c>
      <c r="AG362" s="144">
        <f>IFERROR(_xlfn.XLOOKUP($B362,'Cronog. e Histog.'!$BZ:$BZ,'Cronog. e Histog.'!DB:DB),"")</f>
        <v>0</v>
      </c>
      <c r="AH362" s="144">
        <f>IFERROR(_xlfn.XLOOKUP($B362,'Cronog. e Histog.'!$BZ:$BZ,'Cronog. e Histog.'!DC:DC),"")</f>
        <v>0</v>
      </c>
      <c r="AI362" s="144">
        <f>IFERROR(_xlfn.XLOOKUP($B362,'Cronog. e Histog.'!$BZ:$BZ,'Cronog. e Histog.'!DD:DD),"")</f>
        <v>0</v>
      </c>
      <c r="AJ362" s="144">
        <f>IFERROR(_xlfn.XLOOKUP($B362,'Cronog. e Histog.'!$BZ:$BZ,'Cronog. e Histog.'!DE:DE),"")</f>
        <v>0</v>
      </c>
      <c r="AK362" s="144">
        <f>IFERROR(_xlfn.XLOOKUP($B362,'Cronog. e Histog.'!$BZ:$BZ,'Cronog. e Histog.'!DF:DF),"")</f>
        <v>0</v>
      </c>
      <c r="AL362" s="144">
        <f>IFERROR(_xlfn.XLOOKUP($B362,'Cronog. e Histog.'!$BZ:$BZ,'Cronog. e Histog.'!DG:DG),"")</f>
        <v>0</v>
      </c>
      <c r="AM362" s="144">
        <f>IFERROR(_xlfn.XLOOKUP($B362,'Cronog. e Histog.'!$BZ:$BZ,'Cronog. e Histog.'!DH:DH),"")</f>
        <v>0</v>
      </c>
      <c r="AN362" s="144">
        <f>IFERROR(_xlfn.XLOOKUP($B362,'Cronog. e Histog.'!$BZ:$BZ,'Cronog. e Histog.'!DI:DI),"")</f>
        <v>0</v>
      </c>
      <c r="AO362" s="144">
        <f>IFERROR(_xlfn.XLOOKUP($B362,'Cronog. e Histog.'!$BZ:$BZ,'Cronog. e Histog.'!DJ:DJ),"")</f>
        <v>0</v>
      </c>
      <c r="AP362" s="144">
        <f>IFERROR(_xlfn.XLOOKUP($B362,'Cronog. e Histog.'!$BZ:$BZ,'Cronog. e Histog.'!DK:DK),"")</f>
        <v>0</v>
      </c>
      <c r="AQ362" s="144">
        <f>IFERROR(_xlfn.XLOOKUP($B362,'Cronog. e Histog.'!$BZ:$BZ,'Cronog. e Histog.'!DL:DL),"")</f>
        <v>0</v>
      </c>
      <c r="AR362" s="144">
        <f>IFERROR(_xlfn.XLOOKUP($B362,'Cronog. e Histog.'!$BZ:$BZ,'Cronog. e Histog.'!DM:DM),"")</f>
        <v>0</v>
      </c>
      <c r="AS362" s="144">
        <f>IFERROR(_xlfn.XLOOKUP($B362,'Cronog. e Histog.'!$BZ:$BZ,'Cronog. e Histog.'!DN:DN),"")</f>
        <v>0</v>
      </c>
      <c r="AT362" s="144">
        <f>IFERROR(_xlfn.XLOOKUP($B362,'Cronog. e Histog.'!$BZ:$BZ,'Cronog. e Histog.'!DO:DO),"")</f>
        <v>0</v>
      </c>
      <c r="AU362" s="144">
        <f>IFERROR(_xlfn.XLOOKUP($B362,'Cronog. e Histog.'!$BZ:$BZ,'Cronog. e Histog.'!DP:DP),"")</f>
        <v>0</v>
      </c>
      <c r="AV362" s="144">
        <f>IFERROR(_xlfn.XLOOKUP($B362,'Cronog. e Histog.'!$BZ:$BZ,'Cronog. e Histog.'!DQ:DQ),"")</f>
        <v>0</v>
      </c>
      <c r="AW362" s="144">
        <f>IFERROR(_xlfn.XLOOKUP($B362,'Cronog. e Histog.'!$BZ:$BZ,'Cronog. e Histog.'!DR:DR),"")</f>
        <v>0</v>
      </c>
      <c r="AX362" s="144">
        <f>IFERROR(_xlfn.XLOOKUP($B362,'Cronog. e Histog.'!$BZ:$BZ,'Cronog. e Histog.'!DS:DS),"")</f>
        <v>0</v>
      </c>
      <c r="AY362" s="144">
        <f>IFERROR(_xlfn.XLOOKUP($B362,'Cronog. e Histog.'!$BZ:$BZ,'Cronog. e Histog.'!DT:DT),"")</f>
        <v>0</v>
      </c>
      <c r="AZ362" s="144">
        <f>IFERROR(_xlfn.XLOOKUP($B362,'Cronog. e Histog.'!$BZ:$BZ,'Cronog. e Histog.'!DU:DU),"")</f>
        <v>0</v>
      </c>
      <c r="BA362" s="144">
        <f>IFERROR(_xlfn.XLOOKUP($B362,'Cronog. e Histog.'!$BZ:$BZ,'Cronog. e Histog.'!DV:DV),"")</f>
        <v>0</v>
      </c>
      <c r="BB362" s="144">
        <f>IFERROR(_xlfn.XLOOKUP($B362,'Cronog. e Histog.'!$BZ:$BZ,'Cronog. e Histog.'!DW:DW),"")</f>
        <v>0</v>
      </c>
      <c r="BC362" s="144">
        <f>IFERROR(_xlfn.XLOOKUP($B362,'Cronog. e Histog.'!$BZ:$BZ,'Cronog. e Histog.'!DX:DX),"")</f>
        <v>0</v>
      </c>
      <c r="BD362" s="144">
        <f>IFERROR(_xlfn.XLOOKUP($B362,'Cronog. e Histog.'!$BZ:$BZ,'Cronog. e Histog.'!DY:DY),"")</f>
        <v>0</v>
      </c>
      <c r="BE362" s="144">
        <f>IFERROR(_xlfn.XLOOKUP($B362,'Cronog. e Histog.'!$BZ:$BZ,'Cronog. e Histog.'!DZ:DZ),"")</f>
        <v>0</v>
      </c>
      <c r="BF362" s="144">
        <f>IFERROR(_xlfn.XLOOKUP($B362,'Cronog. e Histog.'!$BZ:$BZ,'Cronog. e Histog.'!EA:EA),"")</f>
        <v>0</v>
      </c>
      <c r="BG362" s="144">
        <f>IFERROR(_xlfn.XLOOKUP($B362,'Cronog. e Histog.'!$BZ:$BZ,'Cronog. e Histog.'!EB:EB),"")</f>
        <v>0</v>
      </c>
      <c r="BH362" s="144">
        <f>IFERROR(_xlfn.XLOOKUP($B362,'Cronog. e Histog.'!$BZ:$BZ,'Cronog. e Histog.'!EC:EC),"")</f>
        <v>0</v>
      </c>
      <c r="BI362" s="144">
        <f>IFERROR(_xlfn.XLOOKUP($B362,'Cronog. e Histog.'!$BZ:$BZ,'Cronog. e Histog.'!ED:ED),"")</f>
        <v>0</v>
      </c>
      <c r="BJ362" s="144">
        <f>IFERROR(_xlfn.XLOOKUP($B362,'Cronog. e Histog.'!$BZ:$BZ,'Cronog. e Histog.'!EE:EE),"")</f>
        <v>0</v>
      </c>
      <c r="BK362" s="144">
        <f>IFERROR(_xlfn.XLOOKUP($B362,'Cronog. e Histog.'!$BZ:$BZ,'Cronog. e Histog.'!EF:EF),"")</f>
        <v>0</v>
      </c>
      <c r="BL362" s="144">
        <f>IFERROR(_xlfn.XLOOKUP($B362,'Cronog. e Histog.'!$BZ:$BZ,'Cronog. e Histog.'!EG:EG),"")</f>
        <v>0</v>
      </c>
      <c r="BM362" s="144">
        <f>IFERROR(_xlfn.XLOOKUP($B362,'Cronog. e Histog.'!$BZ:$BZ,'Cronog. e Histog.'!EH:EH),"")</f>
        <v>0</v>
      </c>
      <c r="BN362" s="144">
        <f>IFERROR(_xlfn.XLOOKUP($B362,'Cronog. e Histog.'!$BZ:$BZ,'Cronog. e Histog.'!EI:EI),"")</f>
        <v>0</v>
      </c>
    </row>
    <row r="363" spans="2:66" ht="12" hidden="1" customHeight="1" outlineLevel="1">
      <c r="B363" s="76">
        <v>357</v>
      </c>
      <c r="C363" s="143" t="str">
        <f>IFERROR(VLOOKUP(B363,'Cronog. e Histog.'!$BZ$213:$CA$747,2,0),"")</f>
        <v>AUX ADM</v>
      </c>
      <c r="D363" s="144">
        <f t="shared" si="6"/>
        <v>0</v>
      </c>
      <c r="E363" s="144">
        <f t="shared" si="7"/>
        <v>0</v>
      </c>
      <c r="F363" s="65"/>
      <c r="G363" s="144">
        <f>IFERROR(_xlfn.XLOOKUP($B363,'Cronog. e Histog.'!$BZ:$BZ,'Cronog. e Histog.'!CB:CB),"")</f>
        <v>0</v>
      </c>
      <c r="H363" s="144">
        <f>IFERROR(_xlfn.XLOOKUP($B363,'Cronog. e Histog.'!$BZ:$BZ,'Cronog. e Histog.'!CC:CC),"")</f>
        <v>0</v>
      </c>
      <c r="I363" s="144">
        <f>IFERROR(_xlfn.XLOOKUP($B363,'Cronog. e Histog.'!$BZ:$BZ,'Cronog. e Histog.'!CD:CD),"")</f>
        <v>0</v>
      </c>
      <c r="J363" s="144">
        <f>IFERROR(_xlfn.XLOOKUP($B363,'Cronog. e Histog.'!$BZ:$BZ,'Cronog. e Histog.'!CE:CE),"")</f>
        <v>0</v>
      </c>
      <c r="K363" s="144">
        <f>IFERROR(_xlfn.XLOOKUP($B363,'Cronog. e Histog.'!$BZ:$BZ,'Cronog. e Histog.'!CF:CF),"")</f>
        <v>0</v>
      </c>
      <c r="L363" s="144">
        <f>IFERROR(_xlfn.XLOOKUP($B363,'Cronog. e Histog.'!$BZ:$BZ,'Cronog. e Histog.'!CG:CG),"")</f>
        <v>0</v>
      </c>
      <c r="M363" s="144">
        <f>IFERROR(_xlfn.XLOOKUP($B363,'Cronog. e Histog.'!$BZ:$BZ,'Cronog. e Histog.'!CH:CH),"")</f>
        <v>0</v>
      </c>
      <c r="N363" s="144">
        <f>IFERROR(_xlfn.XLOOKUP($B363,'Cronog. e Histog.'!$BZ:$BZ,'Cronog. e Histog.'!CI:CI),"")</f>
        <v>0</v>
      </c>
      <c r="O363" s="144">
        <f>IFERROR(_xlfn.XLOOKUP($B363,'Cronog. e Histog.'!$BZ:$BZ,'Cronog. e Histog.'!CJ:CJ),"")</f>
        <v>0</v>
      </c>
      <c r="P363" s="144">
        <f>IFERROR(_xlfn.XLOOKUP($B363,'Cronog. e Histog.'!$BZ:$BZ,'Cronog. e Histog.'!CK:CK),"")</f>
        <v>0</v>
      </c>
      <c r="Q363" s="144">
        <f>IFERROR(_xlfn.XLOOKUP($B363,'Cronog. e Histog.'!$BZ:$BZ,'Cronog. e Histog.'!CL:CL),"")</f>
        <v>0</v>
      </c>
      <c r="R363" s="144">
        <f>IFERROR(_xlfn.XLOOKUP($B363,'Cronog. e Histog.'!$BZ:$BZ,'Cronog. e Histog.'!CM:CM),"")</f>
        <v>0</v>
      </c>
      <c r="S363" s="144">
        <f>IFERROR(_xlfn.XLOOKUP($B363,'Cronog. e Histog.'!$BZ:$BZ,'Cronog. e Histog.'!CN:CN),"")</f>
        <v>0</v>
      </c>
      <c r="T363" s="144">
        <f>IFERROR(_xlfn.XLOOKUP($B363,'Cronog. e Histog.'!$BZ:$BZ,'Cronog. e Histog.'!CO:CO),"")</f>
        <v>0</v>
      </c>
      <c r="U363" s="144">
        <f>IFERROR(_xlfn.XLOOKUP($B363,'Cronog. e Histog.'!$BZ:$BZ,'Cronog. e Histog.'!CP:CP),"")</f>
        <v>0</v>
      </c>
      <c r="V363" s="144">
        <f>IFERROR(_xlfn.XLOOKUP($B363,'Cronog. e Histog.'!$BZ:$BZ,'Cronog. e Histog.'!CQ:CQ),"")</f>
        <v>0</v>
      </c>
      <c r="W363" s="144">
        <f>IFERROR(_xlfn.XLOOKUP($B363,'Cronog. e Histog.'!$BZ:$BZ,'Cronog. e Histog.'!CR:CR),"")</f>
        <v>0</v>
      </c>
      <c r="X363" s="144">
        <f>IFERROR(_xlfn.XLOOKUP($B363,'Cronog. e Histog.'!$BZ:$BZ,'Cronog. e Histog.'!CS:CS),"")</f>
        <v>0</v>
      </c>
      <c r="Y363" s="144">
        <f>IFERROR(_xlfn.XLOOKUP($B363,'Cronog. e Histog.'!$BZ:$BZ,'Cronog. e Histog.'!CT:CT),"")</f>
        <v>0</v>
      </c>
      <c r="Z363" s="144">
        <f>IFERROR(_xlfn.XLOOKUP($B363,'Cronog. e Histog.'!$BZ:$BZ,'Cronog. e Histog.'!CU:CU),"")</f>
        <v>0</v>
      </c>
      <c r="AA363" s="144">
        <f>IFERROR(_xlfn.XLOOKUP($B363,'Cronog. e Histog.'!$BZ:$BZ,'Cronog. e Histog.'!CV:CV),"")</f>
        <v>0</v>
      </c>
      <c r="AB363" s="144">
        <f>IFERROR(_xlfn.XLOOKUP($B363,'Cronog. e Histog.'!$BZ:$BZ,'Cronog. e Histog.'!CW:CW),"")</f>
        <v>0</v>
      </c>
      <c r="AC363" s="144">
        <f>IFERROR(_xlfn.XLOOKUP($B363,'Cronog. e Histog.'!$BZ:$BZ,'Cronog. e Histog.'!CX:CX),"")</f>
        <v>0</v>
      </c>
      <c r="AD363" s="144">
        <f>IFERROR(_xlfn.XLOOKUP($B363,'Cronog. e Histog.'!$BZ:$BZ,'Cronog. e Histog.'!CY:CY),"")</f>
        <v>0</v>
      </c>
      <c r="AE363" s="144">
        <f>IFERROR(_xlfn.XLOOKUP($B363,'Cronog. e Histog.'!$BZ:$BZ,'Cronog. e Histog.'!CZ:CZ),"")</f>
        <v>0</v>
      </c>
      <c r="AF363" s="144">
        <f>IFERROR(_xlfn.XLOOKUP($B363,'Cronog. e Histog.'!$BZ:$BZ,'Cronog. e Histog.'!DA:DA),"")</f>
        <v>0</v>
      </c>
      <c r="AG363" s="144">
        <f>IFERROR(_xlfn.XLOOKUP($B363,'Cronog. e Histog.'!$BZ:$BZ,'Cronog. e Histog.'!DB:DB),"")</f>
        <v>0</v>
      </c>
      <c r="AH363" s="144">
        <f>IFERROR(_xlfn.XLOOKUP($B363,'Cronog. e Histog.'!$BZ:$BZ,'Cronog. e Histog.'!DC:DC),"")</f>
        <v>0</v>
      </c>
      <c r="AI363" s="144">
        <f>IFERROR(_xlfn.XLOOKUP($B363,'Cronog. e Histog.'!$BZ:$BZ,'Cronog. e Histog.'!DD:DD),"")</f>
        <v>0</v>
      </c>
      <c r="AJ363" s="144">
        <f>IFERROR(_xlfn.XLOOKUP($B363,'Cronog. e Histog.'!$BZ:$BZ,'Cronog. e Histog.'!DE:DE),"")</f>
        <v>0</v>
      </c>
      <c r="AK363" s="144">
        <f>IFERROR(_xlfn.XLOOKUP($B363,'Cronog. e Histog.'!$BZ:$BZ,'Cronog. e Histog.'!DF:DF),"")</f>
        <v>0</v>
      </c>
      <c r="AL363" s="144">
        <f>IFERROR(_xlfn.XLOOKUP($B363,'Cronog. e Histog.'!$BZ:$BZ,'Cronog. e Histog.'!DG:DG),"")</f>
        <v>0</v>
      </c>
      <c r="AM363" s="144">
        <f>IFERROR(_xlfn.XLOOKUP($B363,'Cronog. e Histog.'!$BZ:$BZ,'Cronog. e Histog.'!DH:DH),"")</f>
        <v>0</v>
      </c>
      <c r="AN363" s="144">
        <f>IFERROR(_xlfn.XLOOKUP($B363,'Cronog. e Histog.'!$BZ:$BZ,'Cronog. e Histog.'!DI:DI),"")</f>
        <v>0</v>
      </c>
      <c r="AO363" s="144">
        <f>IFERROR(_xlfn.XLOOKUP($B363,'Cronog. e Histog.'!$BZ:$BZ,'Cronog. e Histog.'!DJ:DJ),"")</f>
        <v>0</v>
      </c>
      <c r="AP363" s="144">
        <f>IFERROR(_xlfn.XLOOKUP($B363,'Cronog. e Histog.'!$BZ:$BZ,'Cronog. e Histog.'!DK:DK),"")</f>
        <v>0</v>
      </c>
      <c r="AQ363" s="144">
        <f>IFERROR(_xlfn.XLOOKUP($B363,'Cronog. e Histog.'!$BZ:$BZ,'Cronog. e Histog.'!DL:DL),"")</f>
        <v>0</v>
      </c>
      <c r="AR363" s="144">
        <f>IFERROR(_xlfn.XLOOKUP($B363,'Cronog. e Histog.'!$BZ:$BZ,'Cronog. e Histog.'!DM:DM),"")</f>
        <v>0</v>
      </c>
      <c r="AS363" s="144">
        <f>IFERROR(_xlfn.XLOOKUP($B363,'Cronog. e Histog.'!$BZ:$BZ,'Cronog. e Histog.'!DN:DN),"")</f>
        <v>0</v>
      </c>
      <c r="AT363" s="144">
        <f>IFERROR(_xlfn.XLOOKUP($B363,'Cronog. e Histog.'!$BZ:$BZ,'Cronog. e Histog.'!DO:DO),"")</f>
        <v>0</v>
      </c>
      <c r="AU363" s="144">
        <f>IFERROR(_xlfn.XLOOKUP($B363,'Cronog. e Histog.'!$BZ:$BZ,'Cronog. e Histog.'!DP:DP),"")</f>
        <v>0</v>
      </c>
      <c r="AV363" s="144">
        <f>IFERROR(_xlfn.XLOOKUP($B363,'Cronog. e Histog.'!$BZ:$BZ,'Cronog. e Histog.'!DQ:DQ),"")</f>
        <v>0</v>
      </c>
      <c r="AW363" s="144">
        <f>IFERROR(_xlfn.XLOOKUP($B363,'Cronog. e Histog.'!$BZ:$BZ,'Cronog. e Histog.'!DR:DR),"")</f>
        <v>0</v>
      </c>
      <c r="AX363" s="144">
        <f>IFERROR(_xlfn.XLOOKUP($B363,'Cronog. e Histog.'!$BZ:$BZ,'Cronog. e Histog.'!DS:DS),"")</f>
        <v>0</v>
      </c>
      <c r="AY363" s="144">
        <f>IFERROR(_xlfn.XLOOKUP($B363,'Cronog. e Histog.'!$BZ:$BZ,'Cronog. e Histog.'!DT:DT),"")</f>
        <v>0</v>
      </c>
      <c r="AZ363" s="144">
        <f>IFERROR(_xlfn.XLOOKUP($B363,'Cronog. e Histog.'!$BZ:$BZ,'Cronog. e Histog.'!DU:DU),"")</f>
        <v>0</v>
      </c>
      <c r="BA363" s="144">
        <f>IFERROR(_xlfn.XLOOKUP($B363,'Cronog. e Histog.'!$BZ:$BZ,'Cronog. e Histog.'!DV:DV),"")</f>
        <v>0</v>
      </c>
      <c r="BB363" s="144">
        <f>IFERROR(_xlfn.XLOOKUP($B363,'Cronog. e Histog.'!$BZ:$BZ,'Cronog. e Histog.'!DW:DW),"")</f>
        <v>0</v>
      </c>
      <c r="BC363" s="144">
        <f>IFERROR(_xlfn.XLOOKUP($B363,'Cronog. e Histog.'!$BZ:$BZ,'Cronog. e Histog.'!DX:DX),"")</f>
        <v>0</v>
      </c>
      <c r="BD363" s="144">
        <f>IFERROR(_xlfn.XLOOKUP($B363,'Cronog. e Histog.'!$BZ:$BZ,'Cronog. e Histog.'!DY:DY),"")</f>
        <v>0</v>
      </c>
      <c r="BE363" s="144">
        <f>IFERROR(_xlfn.XLOOKUP($B363,'Cronog. e Histog.'!$BZ:$BZ,'Cronog. e Histog.'!DZ:DZ),"")</f>
        <v>0</v>
      </c>
      <c r="BF363" s="144">
        <f>IFERROR(_xlfn.XLOOKUP($B363,'Cronog. e Histog.'!$BZ:$BZ,'Cronog. e Histog.'!EA:EA),"")</f>
        <v>0</v>
      </c>
      <c r="BG363" s="144">
        <f>IFERROR(_xlfn.XLOOKUP($B363,'Cronog. e Histog.'!$BZ:$BZ,'Cronog. e Histog.'!EB:EB),"")</f>
        <v>0</v>
      </c>
      <c r="BH363" s="144">
        <f>IFERROR(_xlfn.XLOOKUP($B363,'Cronog. e Histog.'!$BZ:$BZ,'Cronog. e Histog.'!EC:EC),"")</f>
        <v>0</v>
      </c>
      <c r="BI363" s="144">
        <f>IFERROR(_xlfn.XLOOKUP($B363,'Cronog. e Histog.'!$BZ:$BZ,'Cronog. e Histog.'!ED:ED),"")</f>
        <v>0</v>
      </c>
      <c r="BJ363" s="144">
        <f>IFERROR(_xlfn.XLOOKUP($B363,'Cronog. e Histog.'!$BZ:$BZ,'Cronog. e Histog.'!EE:EE),"")</f>
        <v>0</v>
      </c>
      <c r="BK363" s="144">
        <f>IFERROR(_xlfn.XLOOKUP($B363,'Cronog. e Histog.'!$BZ:$BZ,'Cronog. e Histog.'!EF:EF),"")</f>
        <v>0</v>
      </c>
      <c r="BL363" s="144">
        <f>IFERROR(_xlfn.XLOOKUP($B363,'Cronog. e Histog.'!$BZ:$BZ,'Cronog. e Histog.'!EG:EG),"")</f>
        <v>0</v>
      </c>
      <c r="BM363" s="144">
        <f>IFERROR(_xlfn.XLOOKUP($B363,'Cronog. e Histog.'!$BZ:$BZ,'Cronog. e Histog.'!EH:EH),"")</f>
        <v>0</v>
      </c>
      <c r="BN363" s="144">
        <f>IFERROR(_xlfn.XLOOKUP($B363,'Cronog. e Histog.'!$BZ:$BZ,'Cronog. e Histog.'!EI:EI),"")</f>
        <v>0</v>
      </c>
    </row>
    <row r="364" spans="2:66" ht="12" hidden="1" customHeight="1" outlineLevel="1">
      <c r="B364" s="76">
        <v>358</v>
      </c>
      <c r="C364" s="143" t="str">
        <f>IFERROR(VLOOKUP(B364,'Cronog. e Histog.'!$BZ$213:$CA$747,2,0),"")</f>
        <v>EST</v>
      </c>
      <c r="D364" s="144">
        <f t="shared" si="6"/>
        <v>0</v>
      </c>
      <c r="E364" s="144">
        <f t="shared" si="7"/>
        <v>0</v>
      </c>
      <c r="F364" s="65"/>
      <c r="G364" s="144">
        <f>IFERROR(_xlfn.XLOOKUP($B364,'Cronog. e Histog.'!$BZ:$BZ,'Cronog. e Histog.'!CB:CB),"")</f>
        <v>0</v>
      </c>
      <c r="H364" s="144">
        <f>IFERROR(_xlfn.XLOOKUP($B364,'Cronog. e Histog.'!$BZ:$BZ,'Cronog. e Histog.'!CC:CC),"")</f>
        <v>0</v>
      </c>
      <c r="I364" s="144">
        <f>IFERROR(_xlfn.XLOOKUP($B364,'Cronog. e Histog.'!$BZ:$BZ,'Cronog. e Histog.'!CD:CD),"")</f>
        <v>0</v>
      </c>
      <c r="J364" s="144">
        <f>IFERROR(_xlfn.XLOOKUP($B364,'Cronog. e Histog.'!$BZ:$BZ,'Cronog. e Histog.'!CE:CE),"")</f>
        <v>0</v>
      </c>
      <c r="K364" s="144">
        <f>IFERROR(_xlfn.XLOOKUP($B364,'Cronog. e Histog.'!$BZ:$BZ,'Cronog. e Histog.'!CF:CF),"")</f>
        <v>0</v>
      </c>
      <c r="L364" s="144">
        <f>IFERROR(_xlfn.XLOOKUP($B364,'Cronog. e Histog.'!$BZ:$BZ,'Cronog. e Histog.'!CG:CG),"")</f>
        <v>0</v>
      </c>
      <c r="M364" s="144">
        <f>IFERROR(_xlfn.XLOOKUP($B364,'Cronog. e Histog.'!$BZ:$BZ,'Cronog. e Histog.'!CH:CH),"")</f>
        <v>0</v>
      </c>
      <c r="N364" s="144">
        <f>IFERROR(_xlfn.XLOOKUP($B364,'Cronog. e Histog.'!$BZ:$BZ,'Cronog. e Histog.'!CI:CI),"")</f>
        <v>0</v>
      </c>
      <c r="O364" s="144">
        <f>IFERROR(_xlfn.XLOOKUP($B364,'Cronog. e Histog.'!$BZ:$BZ,'Cronog. e Histog.'!CJ:CJ),"")</f>
        <v>0</v>
      </c>
      <c r="P364" s="144">
        <f>IFERROR(_xlfn.XLOOKUP($B364,'Cronog. e Histog.'!$BZ:$BZ,'Cronog. e Histog.'!CK:CK),"")</f>
        <v>0</v>
      </c>
      <c r="Q364" s="144">
        <f>IFERROR(_xlfn.XLOOKUP($B364,'Cronog. e Histog.'!$BZ:$BZ,'Cronog. e Histog.'!CL:CL),"")</f>
        <v>0</v>
      </c>
      <c r="R364" s="144">
        <f>IFERROR(_xlfn.XLOOKUP($B364,'Cronog. e Histog.'!$BZ:$BZ,'Cronog. e Histog.'!CM:CM),"")</f>
        <v>0</v>
      </c>
      <c r="S364" s="144">
        <f>IFERROR(_xlfn.XLOOKUP($B364,'Cronog. e Histog.'!$BZ:$BZ,'Cronog. e Histog.'!CN:CN),"")</f>
        <v>0</v>
      </c>
      <c r="T364" s="144">
        <f>IFERROR(_xlfn.XLOOKUP($B364,'Cronog. e Histog.'!$BZ:$BZ,'Cronog. e Histog.'!CO:CO),"")</f>
        <v>0</v>
      </c>
      <c r="U364" s="144">
        <f>IFERROR(_xlfn.XLOOKUP($B364,'Cronog. e Histog.'!$BZ:$BZ,'Cronog. e Histog.'!CP:CP),"")</f>
        <v>0</v>
      </c>
      <c r="V364" s="144">
        <f>IFERROR(_xlfn.XLOOKUP($B364,'Cronog. e Histog.'!$BZ:$BZ,'Cronog. e Histog.'!CQ:CQ),"")</f>
        <v>0</v>
      </c>
      <c r="W364" s="144">
        <f>IFERROR(_xlfn.XLOOKUP($B364,'Cronog. e Histog.'!$BZ:$BZ,'Cronog. e Histog.'!CR:CR),"")</f>
        <v>0</v>
      </c>
      <c r="X364" s="144">
        <f>IFERROR(_xlfn.XLOOKUP($B364,'Cronog. e Histog.'!$BZ:$BZ,'Cronog. e Histog.'!CS:CS),"")</f>
        <v>0</v>
      </c>
      <c r="Y364" s="144">
        <f>IFERROR(_xlfn.XLOOKUP($B364,'Cronog. e Histog.'!$BZ:$BZ,'Cronog. e Histog.'!CT:CT),"")</f>
        <v>0</v>
      </c>
      <c r="Z364" s="144">
        <f>IFERROR(_xlfn.XLOOKUP($B364,'Cronog. e Histog.'!$BZ:$BZ,'Cronog. e Histog.'!CU:CU),"")</f>
        <v>0</v>
      </c>
      <c r="AA364" s="144">
        <f>IFERROR(_xlfn.XLOOKUP($B364,'Cronog. e Histog.'!$BZ:$BZ,'Cronog. e Histog.'!CV:CV),"")</f>
        <v>0</v>
      </c>
      <c r="AB364" s="144">
        <f>IFERROR(_xlfn.XLOOKUP($B364,'Cronog. e Histog.'!$BZ:$BZ,'Cronog. e Histog.'!CW:CW),"")</f>
        <v>0</v>
      </c>
      <c r="AC364" s="144">
        <f>IFERROR(_xlfn.XLOOKUP($B364,'Cronog. e Histog.'!$BZ:$BZ,'Cronog. e Histog.'!CX:CX),"")</f>
        <v>0</v>
      </c>
      <c r="AD364" s="144">
        <f>IFERROR(_xlfn.XLOOKUP($B364,'Cronog. e Histog.'!$BZ:$BZ,'Cronog. e Histog.'!CY:CY),"")</f>
        <v>0</v>
      </c>
      <c r="AE364" s="144">
        <f>IFERROR(_xlfn.XLOOKUP($B364,'Cronog. e Histog.'!$BZ:$BZ,'Cronog. e Histog.'!CZ:CZ),"")</f>
        <v>0</v>
      </c>
      <c r="AF364" s="144">
        <f>IFERROR(_xlfn.XLOOKUP($B364,'Cronog. e Histog.'!$BZ:$BZ,'Cronog. e Histog.'!DA:DA),"")</f>
        <v>0</v>
      </c>
      <c r="AG364" s="144">
        <f>IFERROR(_xlfn.XLOOKUP($B364,'Cronog. e Histog.'!$BZ:$BZ,'Cronog. e Histog.'!DB:DB),"")</f>
        <v>0</v>
      </c>
      <c r="AH364" s="144">
        <f>IFERROR(_xlfn.XLOOKUP($B364,'Cronog. e Histog.'!$BZ:$BZ,'Cronog. e Histog.'!DC:DC),"")</f>
        <v>0</v>
      </c>
      <c r="AI364" s="144">
        <f>IFERROR(_xlfn.XLOOKUP($B364,'Cronog. e Histog.'!$BZ:$BZ,'Cronog. e Histog.'!DD:DD),"")</f>
        <v>0</v>
      </c>
      <c r="AJ364" s="144">
        <f>IFERROR(_xlfn.XLOOKUP($B364,'Cronog. e Histog.'!$BZ:$BZ,'Cronog. e Histog.'!DE:DE),"")</f>
        <v>0</v>
      </c>
      <c r="AK364" s="144">
        <f>IFERROR(_xlfn.XLOOKUP($B364,'Cronog. e Histog.'!$BZ:$BZ,'Cronog. e Histog.'!DF:DF),"")</f>
        <v>0</v>
      </c>
      <c r="AL364" s="144">
        <f>IFERROR(_xlfn.XLOOKUP($B364,'Cronog. e Histog.'!$BZ:$BZ,'Cronog. e Histog.'!DG:DG),"")</f>
        <v>0</v>
      </c>
      <c r="AM364" s="144">
        <f>IFERROR(_xlfn.XLOOKUP($B364,'Cronog. e Histog.'!$BZ:$BZ,'Cronog. e Histog.'!DH:DH),"")</f>
        <v>0</v>
      </c>
      <c r="AN364" s="144">
        <f>IFERROR(_xlfn.XLOOKUP($B364,'Cronog. e Histog.'!$BZ:$BZ,'Cronog. e Histog.'!DI:DI),"")</f>
        <v>0</v>
      </c>
      <c r="AO364" s="144">
        <f>IFERROR(_xlfn.XLOOKUP($B364,'Cronog. e Histog.'!$BZ:$BZ,'Cronog. e Histog.'!DJ:DJ),"")</f>
        <v>0</v>
      </c>
      <c r="AP364" s="144">
        <f>IFERROR(_xlfn.XLOOKUP($B364,'Cronog. e Histog.'!$BZ:$BZ,'Cronog. e Histog.'!DK:DK),"")</f>
        <v>0</v>
      </c>
      <c r="AQ364" s="144">
        <f>IFERROR(_xlfn.XLOOKUP($B364,'Cronog. e Histog.'!$BZ:$BZ,'Cronog. e Histog.'!DL:DL),"")</f>
        <v>0</v>
      </c>
      <c r="AR364" s="144">
        <f>IFERROR(_xlfn.XLOOKUP($B364,'Cronog. e Histog.'!$BZ:$BZ,'Cronog. e Histog.'!DM:DM),"")</f>
        <v>0</v>
      </c>
      <c r="AS364" s="144">
        <f>IFERROR(_xlfn.XLOOKUP($B364,'Cronog. e Histog.'!$BZ:$BZ,'Cronog. e Histog.'!DN:DN),"")</f>
        <v>0</v>
      </c>
      <c r="AT364" s="144">
        <f>IFERROR(_xlfn.XLOOKUP($B364,'Cronog. e Histog.'!$BZ:$BZ,'Cronog. e Histog.'!DO:DO),"")</f>
        <v>0</v>
      </c>
      <c r="AU364" s="144">
        <f>IFERROR(_xlfn.XLOOKUP($B364,'Cronog. e Histog.'!$BZ:$BZ,'Cronog. e Histog.'!DP:DP),"")</f>
        <v>0</v>
      </c>
      <c r="AV364" s="144">
        <f>IFERROR(_xlfn.XLOOKUP($B364,'Cronog. e Histog.'!$BZ:$BZ,'Cronog. e Histog.'!DQ:DQ),"")</f>
        <v>0</v>
      </c>
      <c r="AW364" s="144">
        <f>IFERROR(_xlfn.XLOOKUP($B364,'Cronog. e Histog.'!$BZ:$BZ,'Cronog. e Histog.'!DR:DR),"")</f>
        <v>0</v>
      </c>
      <c r="AX364" s="144">
        <f>IFERROR(_xlfn.XLOOKUP($B364,'Cronog. e Histog.'!$BZ:$BZ,'Cronog. e Histog.'!DS:DS),"")</f>
        <v>0</v>
      </c>
      <c r="AY364" s="144">
        <f>IFERROR(_xlfn.XLOOKUP($B364,'Cronog. e Histog.'!$BZ:$BZ,'Cronog. e Histog.'!DT:DT),"")</f>
        <v>0</v>
      </c>
      <c r="AZ364" s="144">
        <f>IFERROR(_xlfn.XLOOKUP($B364,'Cronog. e Histog.'!$BZ:$BZ,'Cronog. e Histog.'!DU:DU),"")</f>
        <v>0</v>
      </c>
      <c r="BA364" s="144">
        <f>IFERROR(_xlfn.XLOOKUP($B364,'Cronog. e Histog.'!$BZ:$BZ,'Cronog. e Histog.'!DV:DV),"")</f>
        <v>0</v>
      </c>
      <c r="BB364" s="144">
        <f>IFERROR(_xlfn.XLOOKUP($B364,'Cronog. e Histog.'!$BZ:$BZ,'Cronog. e Histog.'!DW:DW),"")</f>
        <v>0</v>
      </c>
      <c r="BC364" s="144">
        <f>IFERROR(_xlfn.XLOOKUP($B364,'Cronog. e Histog.'!$BZ:$BZ,'Cronog. e Histog.'!DX:DX),"")</f>
        <v>0</v>
      </c>
      <c r="BD364" s="144">
        <f>IFERROR(_xlfn.XLOOKUP($B364,'Cronog. e Histog.'!$BZ:$BZ,'Cronog. e Histog.'!DY:DY),"")</f>
        <v>0</v>
      </c>
      <c r="BE364" s="144">
        <f>IFERROR(_xlfn.XLOOKUP($B364,'Cronog. e Histog.'!$BZ:$BZ,'Cronog. e Histog.'!DZ:DZ),"")</f>
        <v>0</v>
      </c>
      <c r="BF364" s="144">
        <f>IFERROR(_xlfn.XLOOKUP($B364,'Cronog. e Histog.'!$BZ:$BZ,'Cronog. e Histog.'!EA:EA),"")</f>
        <v>0</v>
      </c>
      <c r="BG364" s="144">
        <f>IFERROR(_xlfn.XLOOKUP($B364,'Cronog. e Histog.'!$BZ:$BZ,'Cronog. e Histog.'!EB:EB),"")</f>
        <v>0</v>
      </c>
      <c r="BH364" s="144">
        <f>IFERROR(_xlfn.XLOOKUP($B364,'Cronog. e Histog.'!$BZ:$BZ,'Cronog. e Histog.'!EC:EC),"")</f>
        <v>0</v>
      </c>
      <c r="BI364" s="144">
        <f>IFERROR(_xlfn.XLOOKUP($B364,'Cronog. e Histog.'!$BZ:$BZ,'Cronog. e Histog.'!ED:ED),"")</f>
        <v>0</v>
      </c>
      <c r="BJ364" s="144">
        <f>IFERROR(_xlfn.XLOOKUP($B364,'Cronog. e Histog.'!$BZ:$BZ,'Cronog. e Histog.'!EE:EE),"")</f>
        <v>0</v>
      </c>
      <c r="BK364" s="144">
        <f>IFERROR(_xlfn.XLOOKUP($B364,'Cronog. e Histog.'!$BZ:$BZ,'Cronog. e Histog.'!EF:EF),"")</f>
        <v>0</v>
      </c>
      <c r="BL364" s="144">
        <f>IFERROR(_xlfn.XLOOKUP($B364,'Cronog. e Histog.'!$BZ:$BZ,'Cronog. e Histog.'!EG:EG),"")</f>
        <v>0</v>
      </c>
      <c r="BM364" s="144">
        <f>IFERROR(_xlfn.XLOOKUP($B364,'Cronog. e Histog.'!$BZ:$BZ,'Cronog. e Histog.'!EH:EH),"")</f>
        <v>0</v>
      </c>
      <c r="BN364" s="144">
        <f>IFERROR(_xlfn.XLOOKUP($B364,'Cronog. e Histog.'!$BZ:$BZ,'Cronog. e Histog.'!EI:EI),"")</f>
        <v>0</v>
      </c>
    </row>
    <row r="365" spans="2:66" ht="12" hidden="1" customHeight="1" outlineLevel="1">
      <c r="B365" s="76">
        <v>359</v>
      </c>
      <c r="C365" s="143" t="str">
        <f>IFERROR(VLOOKUP(B365,'Cronog. e Histog.'!$BZ$213:$CA$747,2,0),"")</f>
        <v>EST_II</v>
      </c>
      <c r="D365" s="144">
        <f t="shared" si="6"/>
        <v>0</v>
      </c>
      <c r="E365" s="144">
        <f t="shared" si="7"/>
        <v>0</v>
      </c>
      <c r="F365" s="65"/>
      <c r="G365" s="144">
        <f>IFERROR(_xlfn.XLOOKUP($B365,'Cronog. e Histog.'!$BZ:$BZ,'Cronog. e Histog.'!CB:CB),"")</f>
        <v>0</v>
      </c>
      <c r="H365" s="144">
        <f>IFERROR(_xlfn.XLOOKUP($B365,'Cronog. e Histog.'!$BZ:$BZ,'Cronog. e Histog.'!CC:CC),"")</f>
        <v>0</v>
      </c>
      <c r="I365" s="144">
        <f>IFERROR(_xlfn.XLOOKUP($B365,'Cronog. e Histog.'!$BZ:$BZ,'Cronog. e Histog.'!CD:CD),"")</f>
        <v>0</v>
      </c>
      <c r="J365" s="144">
        <f>IFERROR(_xlfn.XLOOKUP($B365,'Cronog. e Histog.'!$BZ:$BZ,'Cronog. e Histog.'!CE:CE),"")</f>
        <v>0</v>
      </c>
      <c r="K365" s="144">
        <f>IFERROR(_xlfn.XLOOKUP($B365,'Cronog. e Histog.'!$BZ:$BZ,'Cronog. e Histog.'!CF:CF),"")</f>
        <v>0</v>
      </c>
      <c r="L365" s="144">
        <f>IFERROR(_xlfn.XLOOKUP($B365,'Cronog. e Histog.'!$BZ:$BZ,'Cronog. e Histog.'!CG:CG),"")</f>
        <v>0</v>
      </c>
      <c r="M365" s="144">
        <f>IFERROR(_xlfn.XLOOKUP($B365,'Cronog. e Histog.'!$BZ:$BZ,'Cronog. e Histog.'!CH:CH),"")</f>
        <v>0</v>
      </c>
      <c r="N365" s="144">
        <f>IFERROR(_xlfn.XLOOKUP($B365,'Cronog. e Histog.'!$BZ:$BZ,'Cronog. e Histog.'!CI:CI),"")</f>
        <v>0</v>
      </c>
      <c r="O365" s="144">
        <f>IFERROR(_xlfn.XLOOKUP($B365,'Cronog. e Histog.'!$BZ:$BZ,'Cronog. e Histog.'!CJ:CJ),"")</f>
        <v>0</v>
      </c>
      <c r="P365" s="144">
        <f>IFERROR(_xlfn.XLOOKUP($B365,'Cronog. e Histog.'!$BZ:$BZ,'Cronog. e Histog.'!CK:CK),"")</f>
        <v>0</v>
      </c>
      <c r="Q365" s="144">
        <f>IFERROR(_xlfn.XLOOKUP($B365,'Cronog. e Histog.'!$BZ:$BZ,'Cronog. e Histog.'!CL:CL),"")</f>
        <v>0</v>
      </c>
      <c r="R365" s="144">
        <f>IFERROR(_xlfn.XLOOKUP($B365,'Cronog. e Histog.'!$BZ:$BZ,'Cronog. e Histog.'!CM:CM),"")</f>
        <v>0</v>
      </c>
      <c r="S365" s="144">
        <f>IFERROR(_xlfn.XLOOKUP($B365,'Cronog. e Histog.'!$BZ:$BZ,'Cronog. e Histog.'!CN:CN),"")</f>
        <v>0</v>
      </c>
      <c r="T365" s="144">
        <f>IFERROR(_xlfn.XLOOKUP($B365,'Cronog. e Histog.'!$BZ:$BZ,'Cronog. e Histog.'!CO:CO),"")</f>
        <v>0</v>
      </c>
      <c r="U365" s="144">
        <f>IFERROR(_xlfn.XLOOKUP($B365,'Cronog. e Histog.'!$BZ:$BZ,'Cronog. e Histog.'!CP:CP),"")</f>
        <v>0</v>
      </c>
      <c r="V365" s="144">
        <f>IFERROR(_xlfn.XLOOKUP($B365,'Cronog. e Histog.'!$BZ:$BZ,'Cronog. e Histog.'!CQ:CQ),"")</f>
        <v>0</v>
      </c>
      <c r="W365" s="144">
        <f>IFERROR(_xlfn.XLOOKUP($B365,'Cronog. e Histog.'!$BZ:$BZ,'Cronog. e Histog.'!CR:CR),"")</f>
        <v>0</v>
      </c>
      <c r="X365" s="144">
        <f>IFERROR(_xlfn.XLOOKUP($B365,'Cronog. e Histog.'!$BZ:$BZ,'Cronog. e Histog.'!CS:CS),"")</f>
        <v>0</v>
      </c>
      <c r="Y365" s="144">
        <f>IFERROR(_xlfn.XLOOKUP($B365,'Cronog. e Histog.'!$BZ:$BZ,'Cronog. e Histog.'!CT:CT),"")</f>
        <v>0</v>
      </c>
      <c r="Z365" s="144">
        <f>IFERROR(_xlfn.XLOOKUP($B365,'Cronog. e Histog.'!$BZ:$BZ,'Cronog. e Histog.'!CU:CU),"")</f>
        <v>0</v>
      </c>
      <c r="AA365" s="144">
        <f>IFERROR(_xlfn.XLOOKUP($B365,'Cronog. e Histog.'!$BZ:$BZ,'Cronog. e Histog.'!CV:CV),"")</f>
        <v>0</v>
      </c>
      <c r="AB365" s="144">
        <f>IFERROR(_xlfn.XLOOKUP($B365,'Cronog. e Histog.'!$BZ:$BZ,'Cronog. e Histog.'!CW:CW),"")</f>
        <v>0</v>
      </c>
      <c r="AC365" s="144">
        <f>IFERROR(_xlfn.XLOOKUP($B365,'Cronog. e Histog.'!$BZ:$BZ,'Cronog. e Histog.'!CX:CX),"")</f>
        <v>0</v>
      </c>
      <c r="AD365" s="144">
        <f>IFERROR(_xlfn.XLOOKUP($B365,'Cronog. e Histog.'!$BZ:$BZ,'Cronog. e Histog.'!CY:CY),"")</f>
        <v>0</v>
      </c>
      <c r="AE365" s="144">
        <f>IFERROR(_xlfn.XLOOKUP($B365,'Cronog. e Histog.'!$BZ:$BZ,'Cronog. e Histog.'!CZ:CZ),"")</f>
        <v>0</v>
      </c>
      <c r="AF365" s="144">
        <f>IFERROR(_xlfn.XLOOKUP($B365,'Cronog. e Histog.'!$BZ:$BZ,'Cronog. e Histog.'!DA:DA),"")</f>
        <v>0</v>
      </c>
      <c r="AG365" s="144">
        <f>IFERROR(_xlfn.XLOOKUP($B365,'Cronog. e Histog.'!$BZ:$BZ,'Cronog. e Histog.'!DB:DB),"")</f>
        <v>0</v>
      </c>
      <c r="AH365" s="144">
        <f>IFERROR(_xlfn.XLOOKUP($B365,'Cronog. e Histog.'!$BZ:$BZ,'Cronog. e Histog.'!DC:DC),"")</f>
        <v>0</v>
      </c>
      <c r="AI365" s="144">
        <f>IFERROR(_xlfn.XLOOKUP($B365,'Cronog. e Histog.'!$BZ:$BZ,'Cronog. e Histog.'!DD:DD),"")</f>
        <v>0</v>
      </c>
      <c r="AJ365" s="144">
        <f>IFERROR(_xlfn.XLOOKUP($B365,'Cronog. e Histog.'!$BZ:$BZ,'Cronog. e Histog.'!DE:DE),"")</f>
        <v>0</v>
      </c>
      <c r="AK365" s="144">
        <f>IFERROR(_xlfn.XLOOKUP($B365,'Cronog. e Histog.'!$BZ:$BZ,'Cronog. e Histog.'!DF:DF),"")</f>
        <v>0</v>
      </c>
      <c r="AL365" s="144">
        <f>IFERROR(_xlfn.XLOOKUP($B365,'Cronog. e Histog.'!$BZ:$BZ,'Cronog. e Histog.'!DG:DG),"")</f>
        <v>0</v>
      </c>
      <c r="AM365" s="144">
        <f>IFERROR(_xlfn.XLOOKUP($B365,'Cronog. e Histog.'!$BZ:$BZ,'Cronog. e Histog.'!DH:DH),"")</f>
        <v>0</v>
      </c>
      <c r="AN365" s="144">
        <f>IFERROR(_xlfn.XLOOKUP($B365,'Cronog. e Histog.'!$BZ:$BZ,'Cronog. e Histog.'!DI:DI),"")</f>
        <v>0</v>
      </c>
      <c r="AO365" s="144">
        <f>IFERROR(_xlfn.XLOOKUP($B365,'Cronog. e Histog.'!$BZ:$BZ,'Cronog. e Histog.'!DJ:DJ),"")</f>
        <v>0</v>
      </c>
      <c r="AP365" s="144">
        <f>IFERROR(_xlfn.XLOOKUP($B365,'Cronog. e Histog.'!$BZ:$BZ,'Cronog. e Histog.'!DK:DK),"")</f>
        <v>0</v>
      </c>
      <c r="AQ365" s="144">
        <f>IFERROR(_xlfn.XLOOKUP($B365,'Cronog. e Histog.'!$BZ:$BZ,'Cronog. e Histog.'!DL:DL),"")</f>
        <v>0</v>
      </c>
      <c r="AR365" s="144">
        <f>IFERROR(_xlfn.XLOOKUP($B365,'Cronog. e Histog.'!$BZ:$BZ,'Cronog. e Histog.'!DM:DM),"")</f>
        <v>0</v>
      </c>
      <c r="AS365" s="144">
        <f>IFERROR(_xlfn.XLOOKUP($B365,'Cronog. e Histog.'!$BZ:$BZ,'Cronog. e Histog.'!DN:DN),"")</f>
        <v>0</v>
      </c>
      <c r="AT365" s="144">
        <f>IFERROR(_xlfn.XLOOKUP($B365,'Cronog. e Histog.'!$BZ:$BZ,'Cronog. e Histog.'!DO:DO),"")</f>
        <v>0</v>
      </c>
      <c r="AU365" s="144">
        <f>IFERROR(_xlfn.XLOOKUP($B365,'Cronog. e Histog.'!$BZ:$BZ,'Cronog. e Histog.'!DP:DP),"")</f>
        <v>0</v>
      </c>
      <c r="AV365" s="144">
        <f>IFERROR(_xlfn.XLOOKUP($B365,'Cronog. e Histog.'!$BZ:$BZ,'Cronog. e Histog.'!DQ:DQ),"")</f>
        <v>0</v>
      </c>
      <c r="AW365" s="144">
        <f>IFERROR(_xlfn.XLOOKUP($B365,'Cronog. e Histog.'!$BZ:$BZ,'Cronog. e Histog.'!DR:DR),"")</f>
        <v>0</v>
      </c>
      <c r="AX365" s="144">
        <f>IFERROR(_xlfn.XLOOKUP($B365,'Cronog. e Histog.'!$BZ:$BZ,'Cronog. e Histog.'!DS:DS),"")</f>
        <v>0</v>
      </c>
      <c r="AY365" s="144">
        <f>IFERROR(_xlfn.XLOOKUP($B365,'Cronog. e Histog.'!$BZ:$BZ,'Cronog. e Histog.'!DT:DT),"")</f>
        <v>0</v>
      </c>
      <c r="AZ365" s="144">
        <f>IFERROR(_xlfn.XLOOKUP($B365,'Cronog. e Histog.'!$BZ:$BZ,'Cronog. e Histog.'!DU:DU),"")</f>
        <v>0</v>
      </c>
      <c r="BA365" s="144">
        <f>IFERROR(_xlfn.XLOOKUP($B365,'Cronog. e Histog.'!$BZ:$BZ,'Cronog. e Histog.'!DV:DV),"")</f>
        <v>0</v>
      </c>
      <c r="BB365" s="144">
        <f>IFERROR(_xlfn.XLOOKUP($B365,'Cronog. e Histog.'!$BZ:$BZ,'Cronog. e Histog.'!DW:DW),"")</f>
        <v>0</v>
      </c>
      <c r="BC365" s="144">
        <f>IFERROR(_xlfn.XLOOKUP($B365,'Cronog. e Histog.'!$BZ:$BZ,'Cronog. e Histog.'!DX:DX),"")</f>
        <v>0</v>
      </c>
      <c r="BD365" s="144">
        <f>IFERROR(_xlfn.XLOOKUP($B365,'Cronog. e Histog.'!$BZ:$BZ,'Cronog. e Histog.'!DY:DY),"")</f>
        <v>0</v>
      </c>
      <c r="BE365" s="144">
        <f>IFERROR(_xlfn.XLOOKUP($B365,'Cronog. e Histog.'!$BZ:$BZ,'Cronog. e Histog.'!DZ:DZ),"")</f>
        <v>0</v>
      </c>
      <c r="BF365" s="144">
        <f>IFERROR(_xlfn.XLOOKUP($B365,'Cronog. e Histog.'!$BZ:$BZ,'Cronog. e Histog.'!EA:EA),"")</f>
        <v>0</v>
      </c>
      <c r="BG365" s="144">
        <f>IFERROR(_xlfn.XLOOKUP($B365,'Cronog. e Histog.'!$BZ:$BZ,'Cronog. e Histog.'!EB:EB),"")</f>
        <v>0</v>
      </c>
      <c r="BH365" s="144">
        <f>IFERROR(_xlfn.XLOOKUP($B365,'Cronog. e Histog.'!$BZ:$BZ,'Cronog. e Histog.'!EC:EC),"")</f>
        <v>0</v>
      </c>
      <c r="BI365" s="144">
        <f>IFERROR(_xlfn.XLOOKUP($B365,'Cronog. e Histog.'!$BZ:$BZ,'Cronog. e Histog.'!ED:ED),"")</f>
        <v>0</v>
      </c>
      <c r="BJ365" s="144">
        <f>IFERROR(_xlfn.XLOOKUP($B365,'Cronog. e Histog.'!$BZ:$BZ,'Cronog. e Histog.'!EE:EE),"")</f>
        <v>0</v>
      </c>
      <c r="BK365" s="144">
        <f>IFERROR(_xlfn.XLOOKUP($B365,'Cronog. e Histog.'!$BZ:$BZ,'Cronog. e Histog.'!EF:EF),"")</f>
        <v>0</v>
      </c>
      <c r="BL365" s="144">
        <f>IFERROR(_xlfn.XLOOKUP($B365,'Cronog. e Histog.'!$BZ:$BZ,'Cronog. e Histog.'!EG:EG),"")</f>
        <v>0</v>
      </c>
      <c r="BM365" s="144">
        <f>IFERROR(_xlfn.XLOOKUP($B365,'Cronog. e Histog.'!$BZ:$BZ,'Cronog. e Histog.'!EH:EH),"")</f>
        <v>0</v>
      </c>
      <c r="BN365" s="144">
        <f>IFERROR(_xlfn.XLOOKUP($B365,'Cronog. e Histog.'!$BZ:$BZ,'Cronog. e Histog.'!EI:EI),"")</f>
        <v>0</v>
      </c>
    </row>
    <row r="366" spans="2:66" ht="12" hidden="1" customHeight="1" outlineLevel="1">
      <c r="B366" s="76">
        <v>360</v>
      </c>
      <c r="C366" s="143" t="str">
        <f>IFERROR(VLOOKUP(B366,'Cronog. e Histog.'!$BZ$213:$CA$747,2,0),"")</f>
        <v>EST_III</v>
      </c>
      <c r="D366" s="144">
        <f t="shared" si="6"/>
        <v>0</v>
      </c>
      <c r="E366" s="144">
        <f t="shared" si="7"/>
        <v>0</v>
      </c>
      <c r="F366" s="65"/>
      <c r="G366" s="144">
        <f>IFERROR(_xlfn.XLOOKUP($B366,'Cronog. e Histog.'!$BZ:$BZ,'Cronog. e Histog.'!CB:CB),"")</f>
        <v>0</v>
      </c>
      <c r="H366" s="144">
        <f>IFERROR(_xlfn.XLOOKUP($B366,'Cronog. e Histog.'!$BZ:$BZ,'Cronog. e Histog.'!CC:CC),"")</f>
        <v>0</v>
      </c>
      <c r="I366" s="144">
        <f>IFERROR(_xlfn.XLOOKUP($B366,'Cronog. e Histog.'!$BZ:$BZ,'Cronog. e Histog.'!CD:CD),"")</f>
        <v>0</v>
      </c>
      <c r="J366" s="144">
        <f>IFERROR(_xlfn.XLOOKUP($B366,'Cronog. e Histog.'!$BZ:$BZ,'Cronog. e Histog.'!CE:CE),"")</f>
        <v>0</v>
      </c>
      <c r="K366" s="144">
        <f>IFERROR(_xlfn.XLOOKUP($B366,'Cronog. e Histog.'!$BZ:$BZ,'Cronog. e Histog.'!CF:CF),"")</f>
        <v>0</v>
      </c>
      <c r="L366" s="144">
        <f>IFERROR(_xlfn.XLOOKUP($B366,'Cronog. e Histog.'!$BZ:$BZ,'Cronog. e Histog.'!CG:CG),"")</f>
        <v>0</v>
      </c>
      <c r="M366" s="144">
        <f>IFERROR(_xlfn.XLOOKUP($B366,'Cronog. e Histog.'!$BZ:$BZ,'Cronog. e Histog.'!CH:CH),"")</f>
        <v>0</v>
      </c>
      <c r="N366" s="144">
        <f>IFERROR(_xlfn.XLOOKUP($B366,'Cronog. e Histog.'!$BZ:$BZ,'Cronog. e Histog.'!CI:CI),"")</f>
        <v>0</v>
      </c>
      <c r="O366" s="144">
        <f>IFERROR(_xlfn.XLOOKUP($B366,'Cronog. e Histog.'!$BZ:$BZ,'Cronog. e Histog.'!CJ:CJ),"")</f>
        <v>0</v>
      </c>
      <c r="P366" s="144">
        <f>IFERROR(_xlfn.XLOOKUP($B366,'Cronog. e Histog.'!$BZ:$BZ,'Cronog. e Histog.'!CK:CK),"")</f>
        <v>0</v>
      </c>
      <c r="Q366" s="144">
        <f>IFERROR(_xlfn.XLOOKUP($B366,'Cronog. e Histog.'!$BZ:$BZ,'Cronog. e Histog.'!CL:CL),"")</f>
        <v>0</v>
      </c>
      <c r="R366" s="144">
        <f>IFERROR(_xlfn.XLOOKUP($B366,'Cronog. e Histog.'!$BZ:$BZ,'Cronog. e Histog.'!CM:CM),"")</f>
        <v>0</v>
      </c>
      <c r="S366" s="144">
        <f>IFERROR(_xlfn.XLOOKUP($B366,'Cronog. e Histog.'!$BZ:$BZ,'Cronog. e Histog.'!CN:CN),"")</f>
        <v>0</v>
      </c>
      <c r="T366" s="144">
        <f>IFERROR(_xlfn.XLOOKUP($B366,'Cronog. e Histog.'!$BZ:$BZ,'Cronog. e Histog.'!CO:CO),"")</f>
        <v>0</v>
      </c>
      <c r="U366" s="144">
        <f>IFERROR(_xlfn.XLOOKUP($B366,'Cronog. e Histog.'!$BZ:$BZ,'Cronog. e Histog.'!CP:CP),"")</f>
        <v>0</v>
      </c>
      <c r="V366" s="144">
        <f>IFERROR(_xlfn.XLOOKUP($B366,'Cronog. e Histog.'!$BZ:$BZ,'Cronog. e Histog.'!CQ:CQ),"")</f>
        <v>0</v>
      </c>
      <c r="W366" s="144">
        <f>IFERROR(_xlfn.XLOOKUP($B366,'Cronog. e Histog.'!$BZ:$BZ,'Cronog. e Histog.'!CR:CR),"")</f>
        <v>0</v>
      </c>
      <c r="X366" s="144">
        <f>IFERROR(_xlfn.XLOOKUP($B366,'Cronog. e Histog.'!$BZ:$BZ,'Cronog. e Histog.'!CS:CS),"")</f>
        <v>0</v>
      </c>
      <c r="Y366" s="144">
        <f>IFERROR(_xlfn.XLOOKUP($B366,'Cronog. e Histog.'!$BZ:$BZ,'Cronog. e Histog.'!CT:CT),"")</f>
        <v>0</v>
      </c>
      <c r="Z366" s="144">
        <f>IFERROR(_xlfn.XLOOKUP($B366,'Cronog. e Histog.'!$BZ:$BZ,'Cronog. e Histog.'!CU:CU),"")</f>
        <v>0</v>
      </c>
      <c r="AA366" s="144">
        <f>IFERROR(_xlfn.XLOOKUP($B366,'Cronog. e Histog.'!$BZ:$BZ,'Cronog. e Histog.'!CV:CV),"")</f>
        <v>0</v>
      </c>
      <c r="AB366" s="144">
        <f>IFERROR(_xlfn.XLOOKUP($B366,'Cronog. e Histog.'!$BZ:$BZ,'Cronog. e Histog.'!CW:CW),"")</f>
        <v>0</v>
      </c>
      <c r="AC366" s="144">
        <f>IFERROR(_xlfn.XLOOKUP($B366,'Cronog. e Histog.'!$BZ:$BZ,'Cronog. e Histog.'!CX:CX),"")</f>
        <v>0</v>
      </c>
      <c r="AD366" s="144">
        <f>IFERROR(_xlfn.XLOOKUP($B366,'Cronog. e Histog.'!$BZ:$BZ,'Cronog. e Histog.'!CY:CY),"")</f>
        <v>0</v>
      </c>
      <c r="AE366" s="144">
        <f>IFERROR(_xlfn.XLOOKUP($B366,'Cronog. e Histog.'!$BZ:$BZ,'Cronog. e Histog.'!CZ:CZ),"")</f>
        <v>0</v>
      </c>
      <c r="AF366" s="144">
        <f>IFERROR(_xlfn.XLOOKUP($B366,'Cronog. e Histog.'!$BZ:$BZ,'Cronog. e Histog.'!DA:DA),"")</f>
        <v>0</v>
      </c>
      <c r="AG366" s="144">
        <f>IFERROR(_xlfn.XLOOKUP($B366,'Cronog. e Histog.'!$BZ:$BZ,'Cronog. e Histog.'!DB:DB),"")</f>
        <v>0</v>
      </c>
      <c r="AH366" s="144">
        <f>IFERROR(_xlfn.XLOOKUP($B366,'Cronog. e Histog.'!$BZ:$BZ,'Cronog. e Histog.'!DC:DC),"")</f>
        <v>0</v>
      </c>
      <c r="AI366" s="144">
        <f>IFERROR(_xlfn.XLOOKUP($B366,'Cronog. e Histog.'!$BZ:$BZ,'Cronog. e Histog.'!DD:DD),"")</f>
        <v>0</v>
      </c>
      <c r="AJ366" s="144">
        <f>IFERROR(_xlfn.XLOOKUP($B366,'Cronog. e Histog.'!$BZ:$BZ,'Cronog. e Histog.'!DE:DE),"")</f>
        <v>0</v>
      </c>
      <c r="AK366" s="144">
        <f>IFERROR(_xlfn.XLOOKUP($B366,'Cronog. e Histog.'!$BZ:$BZ,'Cronog. e Histog.'!DF:DF),"")</f>
        <v>0</v>
      </c>
      <c r="AL366" s="144">
        <f>IFERROR(_xlfn.XLOOKUP($B366,'Cronog. e Histog.'!$BZ:$BZ,'Cronog. e Histog.'!DG:DG),"")</f>
        <v>0</v>
      </c>
      <c r="AM366" s="144">
        <f>IFERROR(_xlfn.XLOOKUP($B366,'Cronog. e Histog.'!$BZ:$BZ,'Cronog. e Histog.'!DH:DH),"")</f>
        <v>0</v>
      </c>
      <c r="AN366" s="144">
        <f>IFERROR(_xlfn.XLOOKUP($B366,'Cronog. e Histog.'!$BZ:$BZ,'Cronog. e Histog.'!DI:DI),"")</f>
        <v>0</v>
      </c>
      <c r="AO366" s="144">
        <f>IFERROR(_xlfn.XLOOKUP($B366,'Cronog. e Histog.'!$BZ:$BZ,'Cronog. e Histog.'!DJ:DJ),"")</f>
        <v>0</v>
      </c>
      <c r="AP366" s="144">
        <f>IFERROR(_xlfn.XLOOKUP($B366,'Cronog. e Histog.'!$BZ:$BZ,'Cronog. e Histog.'!DK:DK),"")</f>
        <v>0</v>
      </c>
      <c r="AQ366" s="144">
        <f>IFERROR(_xlfn.XLOOKUP($B366,'Cronog. e Histog.'!$BZ:$BZ,'Cronog. e Histog.'!DL:DL),"")</f>
        <v>0</v>
      </c>
      <c r="AR366" s="144">
        <f>IFERROR(_xlfn.XLOOKUP($B366,'Cronog. e Histog.'!$BZ:$BZ,'Cronog. e Histog.'!DM:DM),"")</f>
        <v>0</v>
      </c>
      <c r="AS366" s="144">
        <f>IFERROR(_xlfn.XLOOKUP($B366,'Cronog. e Histog.'!$BZ:$BZ,'Cronog. e Histog.'!DN:DN),"")</f>
        <v>0</v>
      </c>
      <c r="AT366" s="144">
        <f>IFERROR(_xlfn.XLOOKUP($B366,'Cronog. e Histog.'!$BZ:$BZ,'Cronog. e Histog.'!DO:DO),"")</f>
        <v>0</v>
      </c>
      <c r="AU366" s="144">
        <f>IFERROR(_xlfn.XLOOKUP($B366,'Cronog. e Histog.'!$BZ:$BZ,'Cronog. e Histog.'!DP:DP),"")</f>
        <v>0</v>
      </c>
      <c r="AV366" s="144">
        <f>IFERROR(_xlfn.XLOOKUP($B366,'Cronog. e Histog.'!$BZ:$BZ,'Cronog. e Histog.'!DQ:DQ),"")</f>
        <v>0</v>
      </c>
      <c r="AW366" s="144">
        <f>IFERROR(_xlfn.XLOOKUP($B366,'Cronog. e Histog.'!$BZ:$BZ,'Cronog. e Histog.'!DR:DR),"")</f>
        <v>0</v>
      </c>
      <c r="AX366" s="144">
        <f>IFERROR(_xlfn.XLOOKUP($B366,'Cronog. e Histog.'!$BZ:$BZ,'Cronog. e Histog.'!DS:DS),"")</f>
        <v>0</v>
      </c>
      <c r="AY366" s="144">
        <f>IFERROR(_xlfn.XLOOKUP($B366,'Cronog. e Histog.'!$BZ:$BZ,'Cronog. e Histog.'!DT:DT),"")</f>
        <v>0</v>
      </c>
      <c r="AZ366" s="144">
        <f>IFERROR(_xlfn.XLOOKUP($B366,'Cronog. e Histog.'!$BZ:$BZ,'Cronog. e Histog.'!DU:DU),"")</f>
        <v>0</v>
      </c>
      <c r="BA366" s="144">
        <f>IFERROR(_xlfn.XLOOKUP($B366,'Cronog. e Histog.'!$BZ:$BZ,'Cronog. e Histog.'!DV:DV),"")</f>
        <v>0</v>
      </c>
      <c r="BB366" s="144">
        <f>IFERROR(_xlfn.XLOOKUP($B366,'Cronog. e Histog.'!$BZ:$BZ,'Cronog. e Histog.'!DW:DW),"")</f>
        <v>0</v>
      </c>
      <c r="BC366" s="144">
        <f>IFERROR(_xlfn.XLOOKUP($B366,'Cronog. e Histog.'!$BZ:$BZ,'Cronog. e Histog.'!DX:DX),"")</f>
        <v>0</v>
      </c>
      <c r="BD366" s="144">
        <f>IFERROR(_xlfn.XLOOKUP($B366,'Cronog. e Histog.'!$BZ:$BZ,'Cronog. e Histog.'!DY:DY),"")</f>
        <v>0</v>
      </c>
      <c r="BE366" s="144">
        <f>IFERROR(_xlfn.XLOOKUP($B366,'Cronog. e Histog.'!$BZ:$BZ,'Cronog. e Histog.'!DZ:DZ),"")</f>
        <v>0</v>
      </c>
      <c r="BF366" s="144">
        <f>IFERROR(_xlfn.XLOOKUP($B366,'Cronog. e Histog.'!$BZ:$BZ,'Cronog. e Histog.'!EA:EA),"")</f>
        <v>0</v>
      </c>
      <c r="BG366" s="144">
        <f>IFERROR(_xlfn.XLOOKUP($B366,'Cronog. e Histog.'!$BZ:$BZ,'Cronog. e Histog.'!EB:EB),"")</f>
        <v>0</v>
      </c>
      <c r="BH366" s="144">
        <f>IFERROR(_xlfn.XLOOKUP($B366,'Cronog. e Histog.'!$BZ:$BZ,'Cronog. e Histog.'!EC:EC),"")</f>
        <v>0</v>
      </c>
      <c r="BI366" s="144">
        <f>IFERROR(_xlfn.XLOOKUP($B366,'Cronog. e Histog.'!$BZ:$BZ,'Cronog. e Histog.'!ED:ED),"")</f>
        <v>0</v>
      </c>
      <c r="BJ366" s="144">
        <f>IFERROR(_xlfn.XLOOKUP($B366,'Cronog. e Histog.'!$BZ:$BZ,'Cronog. e Histog.'!EE:EE),"")</f>
        <v>0</v>
      </c>
      <c r="BK366" s="144">
        <f>IFERROR(_xlfn.XLOOKUP($B366,'Cronog. e Histog.'!$BZ:$BZ,'Cronog. e Histog.'!EF:EF),"")</f>
        <v>0</v>
      </c>
      <c r="BL366" s="144">
        <f>IFERROR(_xlfn.XLOOKUP($B366,'Cronog. e Histog.'!$BZ:$BZ,'Cronog. e Histog.'!EG:EG),"")</f>
        <v>0</v>
      </c>
      <c r="BM366" s="144">
        <f>IFERROR(_xlfn.XLOOKUP($B366,'Cronog. e Histog.'!$BZ:$BZ,'Cronog. e Histog.'!EH:EH),"")</f>
        <v>0</v>
      </c>
      <c r="BN366" s="144">
        <f>IFERROR(_xlfn.XLOOKUP($B366,'Cronog. e Histog.'!$BZ:$BZ,'Cronog. e Histog.'!EI:EI),"")</f>
        <v>0</v>
      </c>
    </row>
    <row r="367" spans="2:66" ht="12" hidden="1" customHeight="1" outlineLevel="1">
      <c r="B367" s="76">
        <v>361</v>
      </c>
      <c r="C367" s="143" t="str">
        <f>IFERROR(VLOOKUP(B367,'Cronog. e Histog.'!$BZ$213:$CA$747,2,0),"")</f>
        <v>GER. (OBRA/PROJ)</v>
      </c>
      <c r="D367" s="144">
        <f t="shared" si="6"/>
        <v>0</v>
      </c>
      <c r="E367" s="144">
        <f t="shared" si="7"/>
        <v>0</v>
      </c>
      <c r="F367" s="65"/>
      <c r="G367" s="144">
        <f>IFERROR(_xlfn.XLOOKUP($B367,'Cronog. e Histog.'!$BZ:$BZ,'Cronog. e Histog.'!CB:CB),"")</f>
        <v>0</v>
      </c>
      <c r="H367" s="144">
        <f>IFERROR(_xlfn.XLOOKUP($B367,'Cronog. e Histog.'!$BZ:$BZ,'Cronog. e Histog.'!CC:CC),"")</f>
        <v>0</v>
      </c>
      <c r="I367" s="144">
        <f>IFERROR(_xlfn.XLOOKUP($B367,'Cronog. e Histog.'!$BZ:$BZ,'Cronog. e Histog.'!CD:CD),"")</f>
        <v>0</v>
      </c>
      <c r="J367" s="144">
        <f>IFERROR(_xlfn.XLOOKUP($B367,'Cronog. e Histog.'!$BZ:$BZ,'Cronog. e Histog.'!CE:CE),"")</f>
        <v>0</v>
      </c>
      <c r="K367" s="144">
        <f>IFERROR(_xlfn.XLOOKUP($B367,'Cronog. e Histog.'!$BZ:$BZ,'Cronog. e Histog.'!CF:CF),"")</f>
        <v>0</v>
      </c>
      <c r="L367" s="144">
        <f>IFERROR(_xlfn.XLOOKUP($B367,'Cronog. e Histog.'!$BZ:$BZ,'Cronog. e Histog.'!CG:CG),"")</f>
        <v>0</v>
      </c>
      <c r="M367" s="144">
        <f>IFERROR(_xlfn.XLOOKUP($B367,'Cronog. e Histog.'!$BZ:$BZ,'Cronog. e Histog.'!CH:CH),"")</f>
        <v>0</v>
      </c>
      <c r="N367" s="144">
        <f>IFERROR(_xlfn.XLOOKUP($B367,'Cronog. e Histog.'!$BZ:$BZ,'Cronog. e Histog.'!CI:CI),"")</f>
        <v>0</v>
      </c>
      <c r="O367" s="144">
        <f>IFERROR(_xlfn.XLOOKUP($B367,'Cronog. e Histog.'!$BZ:$BZ,'Cronog. e Histog.'!CJ:CJ),"")</f>
        <v>0</v>
      </c>
      <c r="P367" s="144">
        <f>IFERROR(_xlfn.XLOOKUP($B367,'Cronog. e Histog.'!$BZ:$BZ,'Cronog. e Histog.'!CK:CK),"")</f>
        <v>0</v>
      </c>
      <c r="Q367" s="144">
        <f>IFERROR(_xlfn.XLOOKUP($B367,'Cronog. e Histog.'!$BZ:$BZ,'Cronog. e Histog.'!CL:CL),"")</f>
        <v>0</v>
      </c>
      <c r="R367" s="144">
        <f>IFERROR(_xlfn.XLOOKUP($B367,'Cronog. e Histog.'!$BZ:$BZ,'Cronog. e Histog.'!CM:CM),"")</f>
        <v>0</v>
      </c>
      <c r="S367" s="144">
        <f>IFERROR(_xlfn.XLOOKUP($B367,'Cronog. e Histog.'!$BZ:$BZ,'Cronog. e Histog.'!CN:CN),"")</f>
        <v>0</v>
      </c>
      <c r="T367" s="144">
        <f>IFERROR(_xlfn.XLOOKUP($B367,'Cronog. e Histog.'!$BZ:$BZ,'Cronog. e Histog.'!CO:CO),"")</f>
        <v>0</v>
      </c>
      <c r="U367" s="144">
        <f>IFERROR(_xlfn.XLOOKUP($B367,'Cronog. e Histog.'!$BZ:$BZ,'Cronog. e Histog.'!CP:CP),"")</f>
        <v>0</v>
      </c>
      <c r="V367" s="144">
        <f>IFERROR(_xlfn.XLOOKUP($B367,'Cronog. e Histog.'!$BZ:$BZ,'Cronog. e Histog.'!CQ:CQ),"")</f>
        <v>0</v>
      </c>
      <c r="W367" s="144">
        <f>IFERROR(_xlfn.XLOOKUP($B367,'Cronog. e Histog.'!$BZ:$BZ,'Cronog. e Histog.'!CR:CR),"")</f>
        <v>0</v>
      </c>
      <c r="X367" s="144">
        <f>IFERROR(_xlfn.XLOOKUP($B367,'Cronog. e Histog.'!$BZ:$BZ,'Cronog. e Histog.'!CS:CS),"")</f>
        <v>0</v>
      </c>
      <c r="Y367" s="144">
        <f>IFERROR(_xlfn.XLOOKUP($B367,'Cronog. e Histog.'!$BZ:$BZ,'Cronog. e Histog.'!CT:CT),"")</f>
        <v>0</v>
      </c>
      <c r="Z367" s="144">
        <f>IFERROR(_xlfn.XLOOKUP($B367,'Cronog. e Histog.'!$BZ:$BZ,'Cronog. e Histog.'!CU:CU),"")</f>
        <v>0</v>
      </c>
      <c r="AA367" s="144">
        <f>IFERROR(_xlfn.XLOOKUP($B367,'Cronog. e Histog.'!$BZ:$BZ,'Cronog. e Histog.'!CV:CV),"")</f>
        <v>0</v>
      </c>
      <c r="AB367" s="144">
        <f>IFERROR(_xlfn.XLOOKUP($B367,'Cronog. e Histog.'!$BZ:$BZ,'Cronog. e Histog.'!CW:CW),"")</f>
        <v>0</v>
      </c>
      <c r="AC367" s="144">
        <f>IFERROR(_xlfn.XLOOKUP($B367,'Cronog. e Histog.'!$BZ:$BZ,'Cronog. e Histog.'!CX:CX),"")</f>
        <v>0</v>
      </c>
      <c r="AD367" s="144">
        <f>IFERROR(_xlfn.XLOOKUP($B367,'Cronog. e Histog.'!$BZ:$BZ,'Cronog. e Histog.'!CY:CY),"")</f>
        <v>0</v>
      </c>
      <c r="AE367" s="144">
        <f>IFERROR(_xlfn.XLOOKUP($B367,'Cronog. e Histog.'!$BZ:$BZ,'Cronog. e Histog.'!CZ:CZ),"")</f>
        <v>0</v>
      </c>
      <c r="AF367" s="144">
        <f>IFERROR(_xlfn.XLOOKUP($B367,'Cronog. e Histog.'!$BZ:$BZ,'Cronog. e Histog.'!DA:DA),"")</f>
        <v>0</v>
      </c>
      <c r="AG367" s="144">
        <f>IFERROR(_xlfn.XLOOKUP($B367,'Cronog. e Histog.'!$BZ:$BZ,'Cronog. e Histog.'!DB:DB),"")</f>
        <v>0</v>
      </c>
      <c r="AH367" s="144">
        <f>IFERROR(_xlfn.XLOOKUP($B367,'Cronog. e Histog.'!$BZ:$BZ,'Cronog. e Histog.'!DC:DC),"")</f>
        <v>0</v>
      </c>
      <c r="AI367" s="144">
        <f>IFERROR(_xlfn.XLOOKUP($B367,'Cronog. e Histog.'!$BZ:$BZ,'Cronog. e Histog.'!DD:DD),"")</f>
        <v>0</v>
      </c>
      <c r="AJ367" s="144">
        <f>IFERROR(_xlfn.XLOOKUP($B367,'Cronog. e Histog.'!$BZ:$BZ,'Cronog. e Histog.'!DE:DE),"")</f>
        <v>0</v>
      </c>
      <c r="AK367" s="144">
        <f>IFERROR(_xlfn.XLOOKUP($B367,'Cronog. e Histog.'!$BZ:$BZ,'Cronog. e Histog.'!DF:DF),"")</f>
        <v>0</v>
      </c>
      <c r="AL367" s="144">
        <f>IFERROR(_xlfn.XLOOKUP($B367,'Cronog. e Histog.'!$BZ:$BZ,'Cronog. e Histog.'!DG:DG),"")</f>
        <v>0</v>
      </c>
      <c r="AM367" s="144">
        <f>IFERROR(_xlfn.XLOOKUP($B367,'Cronog. e Histog.'!$BZ:$BZ,'Cronog. e Histog.'!DH:DH),"")</f>
        <v>0</v>
      </c>
      <c r="AN367" s="144">
        <f>IFERROR(_xlfn.XLOOKUP($B367,'Cronog. e Histog.'!$BZ:$BZ,'Cronog. e Histog.'!DI:DI),"")</f>
        <v>0</v>
      </c>
      <c r="AO367" s="144">
        <f>IFERROR(_xlfn.XLOOKUP($B367,'Cronog. e Histog.'!$BZ:$BZ,'Cronog. e Histog.'!DJ:DJ),"")</f>
        <v>0</v>
      </c>
      <c r="AP367" s="144">
        <f>IFERROR(_xlfn.XLOOKUP($B367,'Cronog. e Histog.'!$BZ:$BZ,'Cronog. e Histog.'!DK:DK),"")</f>
        <v>0</v>
      </c>
      <c r="AQ367" s="144">
        <f>IFERROR(_xlfn.XLOOKUP($B367,'Cronog. e Histog.'!$BZ:$BZ,'Cronog. e Histog.'!DL:DL),"")</f>
        <v>0</v>
      </c>
      <c r="AR367" s="144">
        <f>IFERROR(_xlfn.XLOOKUP($B367,'Cronog. e Histog.'!$BZ:$BZ,'Cronog. e Histog.'!DM:DM),"")</f>
        <v>0</v>
      </c>
      <c r="AS367" s="144">
        <f>IFERROR(_xlfn.XLOOKUP($B367,'Cronog. e Histog.'!$BZ:$BZ,'Cronog. e Histog.'!DN:DN),"")</f>
        <v>0</v>
      </c>
      <c r="AT367" s="144">
        <f>IFERROR(_xlfn.XLOOKUP($B367,'Cronog. e Histog.'!$BZ:$BZ,'Cronog. e Histog.'!DO:DO),"")</f>
        <v>0</v>
      </c>
      <c r="AU367" s="144">
        <f>IFERROR(_xlfn.XLOOKUP($B367,'Cronog. e Histog.'!$BZ:$BZ,'Cronog. e Histog.'!DP:DP),"")</f>
        <v>0</v>
      </c>
      <c r="AV367" s="144">
        <f>IFERROR(_xlfn.XLOOKUP($B367,'Cronog. e Histog.'!$BZ:$BZ,'Cronog. e Histog.'!DQ:DQ),"")</f>
        <v>0</v>
      </c>
      <c r="AW367" s="144">
        <f>IFERROR(_xlfn.XLOOKUP($B367,'Cronog. e Histog.'!$BZ:$BZ,'Cronog. e Histog.'!DR:DR),"")</f>
        <v>0</v>
      </c>
      <c r="AX367" s="144">
        <f>IFERROR(_xlfn.XLOOKUP($B367,'Cronog. e Histog.'!$BZ:$BZ,'Cronog. e Histog.'!DS:DS),"")</f>
        <v>0</v>
      </c>
      <c r="AY367" s="144">
        <f>IFERROR(_xlfn.XLOOKUP($B367,'Cronog. e Histog.'!$BZ:$BZ,'Cronog. e Histog.'!DT:DT),"")</f>
        <v>0</v>
      </c>
      <c r="AZ367" s="144">
        <f>IFERROR(_xlfn.XLOOKUP($B367,'Cronog. e Histog.'!$BZ:$BZ,'Cronog. e Histog.'!DU:DU),"")</f>
        <v>0</v>
      </c>
      <c r="BA367" s="144">
        <f>IFERROR(_xlfn.XLOOKUP($B367,'Cronog. e Histog.'!$BZ:$BZ,'Cronog. e Histog.'!DV:DV),"")</f>
        <v>0</v>
      </c>
      <c r="BB367" s="144">
        <f>IFERROR(_xlfn.XLOOKUP($B367,'Cronog. e Histog.'!$BZ:$BZ,'Cronog. e Histog.'!DW:DW),"")</f>
        <v>0</v>
      </c>
      <c r="BC367" s="144">
        <f>IFERROR(_xlfn.XLOOKUP($B367,'Cronog. e Histog.'!$BZ:$BZ,'Cronog. e Histog.'!DX:DX),"")</f>
        <v>0</v>
      </c>
      <c r="BD367" s="144">
        <f>IFERROR(_xlfn.XLOOKUP($B367,'Cronog. e Histog.'!$BZ:$BZ,'Cronog. e Histog.'!DY:DY),"")</f>
        <v>0</v>
      </c>
      <c r="BE367" s="144">
        <f>IFERROR(_xlfn.XLOOKUP($B367,'Cronog. e Histog.'!$BZ:$BZ,'Cronog. e Histog.'!DZ:DZ),"")</f>
        <v>0</v>
      </c>
      <c r="BF367" s="144">
        <f>IFERROR(_xlfn.XLOOKUP($B367,'Cronog. e Histog.'!$BZ:$BZ,'Cronog. e Histog.'!EA:EA),"")</f>
        <v>0</v>
      </c>
      <c r="BG367" s="144">
        <f>IFERROR(_xlfn.XLOOKUP($B367,'Cronog. e Histog.'!$BZ:$BZ,'Cronog. e Histog.'!EB:EB),"")</f>
        <v>0</v>
      </c>
      <c r="BH367" s="144">
        <f>IFERROR(_xlfn.XLOOKUP($B367,'Cronog. e Histog.'!$BZ:$BZ,'Cronog. e Histog.'!EC:EC),"")</f>
        <v>0</v>
      </c>
      <c r="BI367" s="144">
        <f>IFERROR(_xlfn.XLOOKUP($B367,'Cronog. e Histog.'!$BZ:$BZ,'Cronog. e Histog.'!ED:ED),"")</f>
        <v>0</v>
      </c>
      <c r="BJ367" s="144">
        <f>IFERROR(_xlfn.XLOOKUP($B367,'Cronog. e Histog.'!$BZ:$BZ,'Cronog. e Histog.'!EE:EE),"")</f>
        <v>0</v>
      </c>
      <c r="BK367" s="144">
        <f>IFERROR(_xlfn.XLOOKUP($B367,'Cronog. e Histog.'!$BZ:$BZ,'Cronog. e Histog.'!EF:EF),"")</f>
        <v>0</v>
      </c>
      <c r="BL367" s="144">
        <f>IFERROR(_xlfn.XLOOKUP($B367,'Cronog. e Histog.'!$BZ:$BZ,'Cronog. e Histog.'!EG:EG),"")</f>
        <v>0</v>
      </c>
      <c r="BM367" s="144">
        <f>IFERROR(_xlfn.XLOOKUP($B367,'Cronog. e Histog.'!$BZ:$BZ,'Cronog. e Histog.'!EH:EH),"")</f>
        <v>0</v>
      </c>
      <c r="BN367" s="144">
        <f>IFERROR(_xlfn.XLOOKUP($B367,'Cronog. e Histog.'!$BZ:$BZ,'Cronog. e Histog.'!EI:EI),"")</f>
        <v>0</v>
      </c>
    </row>
    <row r="368" spans="2:66" ht="12" hidden="1" customHeight="1" outlineLevel="1">
      <c r="B368" s="76">
        <v>362</v>
      </c>
      <c r="C368" s="143" t="str">
        <f>IFERROR(VLOOKUP(B368,'Cronog. e Histog.'!$BZ$213:$CA$747,2,0),"")</f>
        <v>COORD.</v>
      </c>
      <c r="D368" s="144">
        <f t="shared" si="6"/>
        <v>0</v>
      </c>
      <c r="E368" s="144">
        <f t="shared" si="7"/>
        <v>0</v>
      </c>
      <c r="F368" s="65"/>
      <c r="G368" s="144">
        <f>IFERROR(_xlfn.XLOOKUP($B368,'Cronog. e Histog.'!$BZ:$BZ,'Cronog. e Histog.'!CB:CB),"")</f>
        <v>0</v>
      </c>
      <c r="H368" s="144">
        <f>IFERROR(_xlfn.XLOOKUP($B368,'Cronog. e Histog.'!$BZ:$BZ,'Cronog. e Histog.'!CC:CC),"")</f>
        <v>0</v>
      </c>
      <c r="I368" s="144">
        <f>IFERROR(_xlfn.XLOOKUP($B368,'Cronog. e Histog.'!$BZ:$BZ,'Cronog. e Histog.'!CD:CD),"")</f>
        <v>0</v>
      </c>
      <c r="J368" s="144">
        <f>IFERROR(_xlfn.XLOOKUP($B368,'Cronog. e Histog.'!$BZ:$BZ,'Cronog. e Histog.'!CE:CE),"")</f>
        <v>0</v>
      </c>
      <c r="K368" s="144">
        <f>IFERROR(_xlfn.XLOOKUP($B368,'Cronog. e Histog.'!$BZ:$BZ,'Cronog. e Histog.'!CF:CF),"")</f>
        <v>0</v>
      </c>
      <c r="L368" s="144">
        <f>IFERROR(_xlfn.XLOOKUP($B368,'Cronog. e Histog.'!$BZ:$BZ,'Cronog. e Histog.'!CG:CG),"")</f>
        <v>0</v>
      </c>
      <c r="M368" s="144">
        <f>IFERROR(_xlfn.XLOOKUP($B368,'Cronog. e Histog.'!$BZ:$BZ,'Cronog. e Histog.'!CH:CH),"")</f>
        <v>0</v>
      </c>
      <c r="N368" s="144">
        <f>IFERROR(_xlfn.XLOOKUP($B368,'Cronog. e Histog.'!$BZ:$BZ,'Cronog. e Histog.'!CI:CI),"")</f>
        <v>0</v>
      </c>
      <c r="O368" s="144">
        <f>IFERROR(_xlfn.XLOOKUP($B368,'Cronog. e Histog.'!$BZ:$BZ,'Cronog. e Histog.'!CJ:CJ),"")</f>
        <v>0</v>
      </c>
      <c r="P368" s="144">
        <f>IFERROR(_xlfn.XLOOKUP($B368,'Cronog. e Histog.'!$BZ:$BZ,'Cronog. e Histog.'!CK:CK),"")</f>
        <v>0</v>
      </c>
      <c r="Q368" s="144">
        <f>IFERROR(_xlfn.XLOOKUP($B368,'Cronog. e Histog.'!$BZ:$BZ,'Cronog. e Histog.'!CL:CL),"")</f>
        <v>0</v>
      </c>
      <c r="R368" s="144">
        <f>IFERROR(_xlfn.XLOOKUP($B368,'Cronog. e Histog.'!$BZ:$BZ,'Cronog. e Histog.'!CM:CM),"")</f>
        <v>0</v>
      </c>
      <c r="S368" s="144">
        <f>IFERROR(_xlfn.XLOOKUP($B368,'Cronog. e Histog.'!$BZ:$BZ,'Cronog. e Histog.'!CN:CN),"")</f>
        <v>0</v>
      </c>
      <c r="T368" s="144">
        <f>IFERROR(_xlfn.XLOOKUP($B368,'Cronog. e Histog.'!$BZ:$BZ,'Cronog. e Histog.'!CO:CO),"")</f>
        <v>0</v>
      </c>
      <c r="U368" s="144">
        <f>IFERROR(_xlfn.XLOOKUP($B368,'Cronog. e Histog.'!$BZ:$BZ,'Cronog. e Histog.'!CP:CP),"")</f>
        <v>0</v>
      </c>
      <c r="V368" s="144">
        <f>IFERROR(_xlfn.XLOOKUP($B368,'Cronog. e Histog.'!$BZ:$BZ,'Cronog. e Histog.'!CQ:CQ),"")</f>
        <v>0</v>
      </c>
      <c r="W368" s="144">
        <f>IFERROR(_xlfn.XLOOKUP($B368,'Cronog. e Histog.'!$BZ:$BZ,'Cronog. e Histog.'!CR:CR),"")</f>
        <v>0</v>
      </c>
      <c r="X368" s="144">
        <f>IFERROR(_xlfn.XLOOKUP($B368,'Cronog. e Histog.'!$BZ:$BZ,'Cronog. e Histog.'!CS:CS),"")</f>
        <v>0</v>
      </c>
      <c r="Y368" s="144">
        <f>IFERROR(_xlfn.XLOOKUP($B368,'Cronog. e Histog.'!$BZ:$BZ,'Cronog. e Histog.'!CT:CT),"")</f>
        <v>0</v>
      </c>
      <c r="Z368" s="144">
        <f>IFERROR(_xlfn.XLOOKUP($B368,'Cronog. e Histog.'!$BZ:$BZ,'Cronog. e Histog.'!CU:CU),"")</f>
        <v>0</v>
      </c>
      <c r="AA368" s="144">
        <f>IFERROR(_xlfn.XLOOKUP($B368,'Cronog. e Histog.'!$BZ:$BZ,'Cronog. e Histog.'!CV:CV),"")</f>
        <v>0</v>
      </c>
      <c r="AB368" s="144">
        <f>IFERROR(_xlfn.XLOOKUP($B368,'Cronog. e Histog.'!$BZ:$BZ,'Cronog. e Histog.'!CW:CW),"")</f>
        <v>0</v>
      </c>
      <c r="AC368" s="144">
        <f>IFERROR(_xlfn.XLOOKUP($B368,'Cronog. e Histog.'!$BZ:$BZ,'Cronog. e Histog.'!CX:CX),"")</f>
        <v>0</v>
      </c>
      <c r="AD368" s="144">
        <f>IFERROR(_xlfn.XLOOKUP($B368,'Cronog. e Histog.'!$BZ:$BZ,'Cronog. e Histog.'!CY:CY),"")</f>
        <v>0</v>
      </c>
      <c r="AE368" s="144">
        <f>IFERROR(_xlfn.XLOOKUP($B368,'Cronog. e Histog.'!$BZ:$BZ,'Cronog. e Histog.'!CZ:CZ),"")</f>
        <v>0</v>
      </c>
      <c r="AF368" s="144">
        <f>IFERROR(_xlfn.XLOOKUP($B368,'Cronog. e Histog.'!$BZ:$BZ,'Cronog. e Histog.'!DA:DA),"")</f>
        <v>0</v>
      </c>
      <c r="AG368" s="144">
        <f>IFERROR(_xlfn.XLOOKUP($B368,'Cronog. e Histog.'!$BZ:$BZ,'Cronog. e Histog.'!DB:DB),"")</f>
        <v>0</v>
      </c>
      <c r="AH368" s="144">
        <f>IFERROR(_xlfn.XLOOKUP($B368,'Cronog. e Histog.'!$BZ:$BZ,'Cronog. e Histog.'!DC:DC),"")</f>
        <v>0</v>
      </c>
      <c r="AI368" s="144">
        <f>IFERROR(_xlfn.XLOOKUP($B368,'Cronog. e Histog.'!$BZ:$BZ,'Cronog. e Histog.'!DD:DD),"")</f>
        <v>0</v>
      </c>
      <c r="AJ368" s="144">
        <f>IFERROR(_xlfn.XLOOKUP($B368,'Cronog. e Histog.'!$BZ:$BZ,'Cronog. e Histog.'!DE:DE),"")</f>
        <v>0</v>
      </c>
      <c r="AK368" s="144">
        <f>IFERROR(_xlfn.XLOOKUP($B368,'Cronog. e Histog.'!$BZ:$BZ,'Cronog. e Histog.'!DF:DF),"")</f>
        <v>0</v>
      </c>
      <c r="AL368" s="144">
        <f>IFERROR(_xlfn.XLOOKUP($B368,'Cronog. e Histog.'!$BZ:$BZ,'Cronog. e Histog.'!DG:DG),"")</f>
        <v>0</v>
      </c>
      <c r="AM368" s="144">
        <f>IFERROR(_xlfn.XLOOKUP($B368,'Cronog. e Histog.'!$BZ:$BZ,'Cronog. e Histog.'!DH:DH),"")</f>
        <v>0</v>
      </c>
      <c r="AN368" s="144">
        <f>IFERROR(_xlfn.XLOOKUP($B368,'Cronog. e Histog.'!$BZ:$BZ,'Cronog. e Histog.'!DI:DI),"")</f>
        <v>0</v>
      </c>
      <c r="AO368" s="144">
        <f>IFERROR(_xlfn.XLOOKUP($B368,'Cronog. e Histog.'!$BZ:$BZ,'Cronog. e Histog.'!DJ:DJ),"")</f>
        <v>0</v>
      </c>
      <c r="AP368" s="144">
        <f>IFERROR(_xlfn.XLOOKUP($B368,'Cronog. e Histog.'!$BZ:$BZ,'Cronog. e Histog.'!DK:DK),"")</f>
        <v>0</v>
      </c>
      <c r="AQ368" s="144">
        <f>IFERROR(_xlfn.XLOOKUP($B368,'Cronog. e Histog.'!$BZ:$BZ,'Cronog. e Histog.'!DL:DL),"")</f>
        <v>0</v>
      </c>
      <c r="AR368" s="144">
        <f>IFERROR(_xlfn.XLOOKUP($B368,'Cronog. e Histog.'!$BZ:$BZ,'Cronog. e Histog.'!DM:DM),"")</f>
        <v>0</v>
      </c>
      <c r="AS368" s="144">
        <f>IFERROR(_xlfn.XLOOKUP($B368,'Cronog. e Histog.'!$BZ:$BZ,'Cronog. e Histog.'!DN:DN),"")</f>
        <v>0</v>
      </c>
      <c r="AT368" s="144">
        <f>IFERROR(_xlfn.XLOOKUP($B368,'Cronog. e Histog.'!$BZ:$BZ,'Cronog. e Histog.'!DO:DO),"")</f>
        <v>0</v>
      </c>
      <c r="AU368" s="144">
        <f>IFERROR(_xlfn.XLOOKUP($B368,'Cronog. e Histog.'!$BZ:$BZ,'Cronog. e Histog.'!DP:DP),"")</f>
        <v>0</v>
      </c>
      <c r="AV368" s="144">
        <f>IFERROR(_xlfn.XLOOKUP($B368,'Cronog. e Histog.'!$BZ:$BZ,'Cronog. e Histog.'!DQ:DQ),"")</f>
        <v>0</v>
      </c>
      <c r="AW368" s="144">
        <f>IFERROR(_xlfn.XLOOKUP($B368,'Cronog. e Histog.'!$BZ:$BZ,'Cronog. e Histog.'!DR:DR),"")</f>
        <v>0</v>
      </c>
      <c r="AX368" s="144">
        <f>IFERROR(_xlfn.XLOOKUP($B368,'Cronog. e Histog.'!$BZ:$BZ,'Cronog. e Histog.'!DS:DS),"")</f>
        <v>0</v>
      </c>
      <c r="AY368" s="144">
        <f>IFERROR(_xlfn.XLOOKUP($B368,'Cronog. e Histog.'!$BZ:$BZ,'Cronog. e Histog.'!DT:DT),"")</f>
        <v>0</v>
      </c>
      <c r="AZ368" s="144">
        <f>IFERROR(_xlfn.XLOOKUP($B368,'Cronog. e Histog.'!$BZ:$BZ,'Cronog. e Histog.'!DU:DU),"")</f>
        <v>0</v>
      </c>
      <c r="BA368" s="144">
        <f>IFERROR(_xlfn.XLOOKUP($B368,'Cronog. e Histog.'!$BZ:$BZ,'Cronog. e Histog.'!DV:DV),"")</f>
        <v>0</v>
      </c>
      <c r="BB368" s="144">
        <f>IFERROR(_xlfn.XLOOKUP($B368,'Cronog. e Histog.'!$BZ:$BZ,'Cronog. e Histog.'!DW:DW),"")</f>
        <v>0</v>
      </c>
      <c r="BC368" s="144">
        <f>IFERROR(_xlfn.XLOOKUP($B368,'Cronog. e Histog.'!$BZ:$BZ,'Cronog. e Histog.'!DX:DX),"")</f>
        <v>0</v>
      </c>
      <c r="BD368" s="144">
        <f>IFERROR(_xlfn.XLOOKUP($B368,'Cronog. e Histog.'!$BZ:$BZ,'Cronog. e Histog.'!DY:DY),"")</f>
        <v>0</v>
      </c>
      <c r="BE368" s="144">
        <f>IFERROR(_xlfn.XLOOKUP($B368,'Cronog. e Histog.'!$BZ:$BZ,'Cronog. e Histog.'!DZ:DZ),"")</f>
        <v>0</v>
      </c>
      <c r="BF368" s="144">
        <f>IFERROR(_xlfn.XLOOKUP($B368,'Cronog. e Histog.'!$BZ:$BZ,'Cronog. e Histog.'!EA:EA),"")</f>
        <v>0</v>
      </c>
      <c r="BG368" s="144">
        <f>IFERROR(_xlfn.XLOOKUP($B368,'Cronog. e Histog.'!$BZ:$BZ,'Cronog. e Histog.'!EB:EB),"")</f>
        <v>0</v>
      </c>
      <c r="BH368" s="144">
        <f>IFERROR(_xlfn.XLOOKUP($B368,'Cronog. e Histog.'!$BZ:$BZ,'Cronog. e Histog.'!EC:EC),"")</f>
        <v>0</v>
      </c>
      <c r="BI368" s="144">
        <f>IFERROR(_xlfn.XLOOKUP($B368,'Cronog. e Histog.'!$BZ:$BZ,'Cronog. e Histog.'!ED:ED),"")</f>
        <v>0</v>
      </c>
      <c r="BJ368" s="144">
        <f>IFERROR(_xlfn.XLOOKUP($B368,'Cronog. e Histog.'!$BZ:$BZ,'Cronog. e Histog.'!EE:EE),"")</f>
        <v>0</v>
      </c>
      <c r="BK368" s="144">
        <f>IFERROR(_xlfn.XLOOKUP($B368,'Cronog. e Histog.'!$BZ:$BZ,'Cronog. e Histog.'!EF:EF),"")</f>
        <v>0</v>
      </c>
      <c r="BL368" s="144">
        <f>IFERROR(_xlfn.XLOOKUP($B368,'Cronog. e Histog.'!$BZ:$BZ,'Cronog. e Histog.'!EG:EG),"")</f>
        <v>0</v>
      </c>
      <c r="BM368" s="144">
        <f>IFERROR(_xlfn.XLOOKUP($B368,'Cronog. e Histog.'!$BZ:$BZ,'Cronog. e Histog.'!EH:EH),"")</f>
        <v>0</v>
      </c>
      <c r="BN368" s="144">
        <f>IFERROR(_xlfn.XLOOKUP($B368,'Cronog. e Histog.'!$BZ:$BZ,'Cronog. e Histog.'!EI:EI),"")</f>
        <v>0</v>
      </c>
    </row>
    <row r="369" spans="2:66" ht="12" hidden="1" customHeight="1" outlineLevel="1">
      <c r="B369" s="76">
        <v>363</v>
      </c>
      <c r="C369" s="143" t="str">
        <f>IFERROR(VLOOKUP(B369,'Cronog. e Histog.'!$BZ$213:$CA$747,2,0),"")</f>
        <v>SUP.-ESP</v>
      </c>
      <c r="D369" s="144">
        <f t="shared" si="6"/>
        <v>0</v>
      </c>
      <c r="E369" s="144">
        <f t="shared" si="7"/>
        <v>0</v>
      </c>
      <c r="F369" s="65"/>
      <c r="G369" s="144">
        <f>IFERROR(_xlfn.XLOOKUP($B369,'Cronog. e Histog.'!$BZ:$BZ,'Cronog. e Histog.'!CB:CB),"")</f>
        <v>0</v>
      </c>
      <c r="H369" s="144">
        <f>IFERROR(_xlfn.XLOOKUP($B369,'Cronog. e Histog.'!$BZ:$BZ,'Cronog. e Histog.'!CC:CC),"")</f>
        <v>0</v>
      </c>
      <c r="I369" s="144">
        <f>IFERROR(_xlfn.XLOOKUP($B369,'Cronog. e Histog.'!$BZ:$BZ,'Cronog. e Histog.'!CD:CD),"")</f>
        <v>0</v>
      </c>
      <c r="J369" s="144">
        <f>IFERROR(_xlfn.XLOOKUP($B369,'Cronog. e Histog.'!$BZ:$BZ,'Cronog. e Histog.'!CE:CE),"")</f>
        <v>0</v>
      </c>
      <c r="K369" s="144">
        <f>IFERROR(_xlfn.XLOOKUP($B369,'Cronog. e Histog.'!$BZ:$BZ,'Cronog. e Histog.'!CF:CF),"")</f>
        <v>0</v>
      </c>
      <c r="L369" s="144">
        <f>IFERROR(_xlfn.XLOOKUP($B369,'Cronog. e Histog.'!$BZ:$BZ,'Cronog. e Histog.'!CG:CG),"")</f>
        <v>0</v>
      </c>
      <c r="M369" s="144">
        <f>IFERROR(_xlfn.XLOOKUP($B369,'Cronog. e Histog.'!$BZ:$BZ,'Cronog. e Histog.'!CH:CH),"")</f>
        <v>0</v>
      </c>
      <c r="N369" s="144">
        <f>IFERROR(_xlfn.XLOOKUP($B369,'Cronog. e Histog.'!$BZ:$BZ,'Cronog. e Histog.'!CI:CI),"")</f>
        <v>0</v>
      </c>
      <c r="O369" s="144">
        <f>IFERROR(_xlfn.XLOOKUP($B369,'Cronog. e Histog.'!$BZ:$BZ,'Cronog. e Histog.'!CJ:CJ),"")</f>
        <v>0</v>
      </c>
      <c r="P369" s="144">
        <f>IFERROR(_xlfn.XLOOKUP($B369,'Cronog. e Histog.'!$BZ:$BZ,'Cronog. e Histog.'!CK:CK),"")</f>
        <v>0</v>
      </c>
      <c r="Q369" s="144">
        <f>IFERROR(_xlfn.XLOOKUP($B369,'Cronog. e Histog.'!$BZ:$BZ,'Cronog. e Histog.'!CL:CL),"")</f>
        <v>0</v>
      </c>
      <c r="R369" s="144">
        <f>IFERROR(_xlfn.XLOOKUP($B369,'Cronog. e Histog.'!$BZ:$BZ,'Cronog. e Histog.'!CM:CM),"")</f>
        <v>0</v>
      </c>
      <c r="S369" s="144">
        <f>IFERROR(_xlfn.XLOOKUP($B369,'Cronog. e Histog.'!$BZ:$BZ,'Cronog. e Histog.'!CN:CN),"")</f>
        <v>0</v>
      </c>
      <c r="T369" s="144">
        <f>IFERROR(_xlfn.XLOOKUP($B369,'Cronog. e Histog.'!$BZ:$BZ,'Cronog. e Histog.'!CO:CO),"")</f>
        <v>0</v>
      </c>
      <c r="U369" s="144">
        <f>IFERROR(_xlfn.XLOOKUP($B369,'Cronog. e Histog.'!$BZ:$BZ,'Cronog. e Histog.'!CP:CP),"")</f>
        <v>0</v>
      </c>
      <c r="V369" s="144">
        <f>IFERROR(_xlfn.XLOOKUP($B369,'Cronog. e Histog.'!$BZ:$BZ,'Cronog. e Histog.'!CQ:CQ),"")</f>
        <v>0</v>
      </c>
      <c r="W369" s="144">
        <f>IFERROR(_xlfn.XLOOKUP($B369,'Cronog. e Histog.'!$BZ:$BZ,'Cronog. e Histog.'!CR:CR),"")</f>
        <v>0</v>
      </c>
      <c r="X369" s="144">
        <f>IFERROR(_xlfn.XLOOKUP($B369,'Cronog. e Histog.'!$BZ:$BZ,'Cronog. e Histog.'!CS:CS),"")</f>
        <v>0</v>
      </c>
      <c r="Y369" s="144">
        <f>IFERROR(_xlfn.XLOOKUP($B369,'Cronog. e Histog.'!$BZ:$BZ,'Cronog. e Histog.'!CT:CT),"")</f>
        <v>0</v>
      </c>
      <c r="Z369" s="144">
        <f>IFERROR(_xlfn.XLOOKUP($B369,'Cronog. e Histog.'!$BZ:$BZ,'Cronog. e Histog.'!CU:CU),"")</f>
        <v>0</v>
      </c>
      <c r="AA369" s="144">
        <f>IFERROR(_xlfn.XLOOKUP($B369,'Cronog. e Histog.'!$BZ:$BZ,'Cronog. e Histog.'!CV:CV),"")</f>
        <v>0</v>
      </c>
      <c r="AB369" s="144">
        <f>IFERROR(_xlfn.XLOOKUP($B369,'Cronog. e Histog.'!$BZ:$BZ,'Cronog. e Histog.'!CW:CW),"")</f>
        <v>0</v>
      </c>
      <c r="AC369" s="144">
        <f>IFERROR(_xlfn.XLOOKUP($B369,'Cronog. e Histog.'!$BZ:$BZ,'Cronog. e Histog.'!CX:CX),"")</f>
        <v>0</v>
      </c>
      <c r="AD369" s="144">
        <f>IFERROR(_xlfn.XLOOKUP($B369,'Cronog. e Histog.'!$BZ:$BZ,'Cronog. e Histog.'!CY:CY),"")</f>
        <v>0</v>
      </c>
      <c r="AE369" s="144">
        <f>IFERROR(_xlfn.XLOOKUP($B369,'Cronog. e Histog.'!$BZ:$BZ,'Cronog. e Histog.'!CZ:CZ),"")</f>
        <v>0</v>
      </c>
      <c r="AF369" s="144">
        <f>IFERROR(_xlfn.XLOOKUP($B369,'Cronog. e Histog.'!$BZ:$BZ,'Cronog. e Histog.'!DA:DA),"")</f>
        <v>0</v>
      </c>
      <c r="AG369" s="144">
        <f>IFERROR(_xlfn.XLOOKUP($B369,'Cronog. e Histog.'!$BZ:$BZ,'Cronog. e Histog.'!DB:DB),"")</f>
        <v>0</v>
      </c>
      <c r="AH369" s="144">
        <f>IFERROR(_xlfn.XLOOKUP($B369,'Cronog. e Histog.'!$BZ:$BZ,'Cronog. e Histog.'!DC:DC),"")</f>
        <v>0</v>
      </c>
      <c r="AI369" s="144">
        <f>IFERROR(_xlfn.XLOOKUP($B369,'Cronog. e Histog.'!$BZ:$BZ,'Cronog. e Histog.'!DD:DD),"")</f>
        <v>0</v>
      </c>
      <c r="AJ369" s="144">
        <f>IFERROR(_xlfn.XLOOKUP($B369,'Cronog. e Histog.'!$BZ:$BZ,'Cronog. e Histog.'!DE:DE),"")</f>
        <v>0</v>
      </c>
      <c r="AK369" s="144">
        <f>IFERROR(_xlfn.XLOOKUP($B369,'Cronog. e Histog.'!$BZ:$BZ,'Cronog. e Histog.'!DF:DF),"")</f>
        <v>0</v>
      </c>
      <c r="AL369" s="144">
        <f>IFERROR(_xlfn.XLOOKUP($B369,'Cronog. e Histog.'!$BZ:$BZ,'Cronog. e Histog.'!DG:DG),"")</f>
        <v>0</v>
      </c>
      <c r="AM369" s="144">
        <f>IFERROR(_xlfn.XLOOKUP($B369,'Cronog. e Histog.'!$BZ:$BZ,'Cronog. e Histog.'!DH:DH),"")</f>
        <v>0</v>
      </c>
      <c r="AN369" s="144">
        <f>IFERROR(_xlfn.XLOOKUP($B369,'Cronog. e Histog.'!$BZ:$BZ,'Cronog. e Histog.'!DI:DI),"")</f>
        <v>0</v>
      </c>
      <c r="AO369" s="144">
        <f>IFERROR(_xlfn.XLOOKUP($B369,'Cronog. e Histog.'!$BZ:$BZ,'Cronog. e Histog.'!DJ:DJ),"")</f>
        <v>0</v>
      </c>
      <c r="AP369" s="144">
        <f>IFERROR(_xlfn.XLOOKUP($B369,'Cronog. e Histog.'!$BZ:$BZ,'Cronog. e Histog.'!DK:DK),"")</f>
        <v>0</v>
      </c>
      <c r="AQ369" s="144">
        <f>IFERROR(_xlfn.XLOOKUP($B369,'Cronog. e Histog.'!$BZ:$BZ,'Cronog. e Histog.'!DL:DL),"")</f>
        <v>0</v>
      </c>
      <c r="AR369" s="144">
        <f>IFERROR(_xlfn.XLOOKUP($B369,'Cronog. e Histog.'!$BZ:$BZ,'Cronog. e Histog.'!DM:DM),"")</f>
        <v>0</v>
      </c>
      <c r="AS369" s="144">
        <f>IFERROR(_xlfn.XLOOKUP($B369,'Cronog. e Histog.'!$BZ:$BZ,'Cronog. e Histog.'!DN:DN),"")</f>
        <v>0</v>
      </c>
      <c r="AT369" s="144">
        <f>IFERROR(_xlfn.XLOOKUP($B369,'Cronog. e Histog.'!$BZ:$BZ,'Cronog. e Histog.'!DO:DO),"")</f>
        <v>0</v>
      </c>
      <c r="AU369" s="144">
        <f>IFERROR(_xlfn.XLOOKUP($B369,'Cronog. e Histog.'!$BZ:$BZ,'Cronog. e Histog.'!DP:DP),"")</f>
        <v>0</v>
      </c>
      <c r="AV369" s="144">
        <f>IFERROR(_xlfn.XLOOKUP($B369,'Cronog. e Histog.'!$BZ:$BZ,'Cronog. e Histog.'!DQ:DQ),"")</f>
        <v>0</v>
      </c>
      <c r="AW369" s="144">
        <f>IFERROR(_xlfn.XLOOKUP($B369,'Cronog. e Histog.'!$BZ:$BZ,'Cronog. e Histog.'!DR:DR),"")</f>
        <v>0</v>
      </c>
      <c r="AX369" s="144">
        <f>IFERROR(_xlfn.XLOOKUP($B369,'Cronog. e Histog.'!$BZ:$BZ,'Cronog. e Histog.'!DS:DS),"")</f>
        <v>0</v>
      </c>
      <c r="AY369" s="144">
        <f>IFERROR(_xlfn.XLOOKUP($B369,'Cronog. e Histog.'!$BZ:$BZ,'Cronog. e Histog.'!DT:DT),"")</f>
        <v>0</v>
      </c>
      <c r="AZ369" s="144">
        <f>IFERROR(_xlfn.XLOOKUP($B369,'Cronog. e Histog.'!$BZ:$BZ,'Cronog. e Histog.'!DU:DU),"")</f>
        <v>0</v>
      </c>
      <c r="BA369" s="144">
        <f>IFERROR(_xlfn.XLOOKUP($B369,'Cronog. e Histog.'!$BZ:$BZ,'Cronog. e Histog.'!DV:DV),"")</f>
        <v>0</v>
      </c>
      <c r="BB369" s="144">
        <f>IFERROR(_xlfn.XLOOKUP($B369,'Cronog. e Histog.'!$BZ:$BZ,'Cronog. e Histog.'!DW:DW),"")</f>
        <v>0</v>
      </c>
      <c r="BC369" s="144">
        <f>IFERROR(_xlfn.XLOOKUP($B369,'Cronog. e Histog.'!$BZ:$BZ,'Cronog. e Histog.'!DX:DX),"")</f>
        <v>0</v>
      </c>
      <c r="BD369" s="144">
        <f>IFERROR(_xlfn.XLOOKUP($B369,'Cronog. e Histog.'!$BZ:$BZ,'Cronog. e Histog.'!DY:DY),"")</f>
        <v>0</v>
      </c>
      <c r="BE369" s="144">
        <f>IFERROR(_xlfn.XLOOKUP($B369,'Cronog. e Histog.'!$BZ:$BZ,'Cronog. e Histog.'!DZ:DZ),"")</f>
        <v>0</v>
      </c>
      <c r="BF369" s="144">
        <f>IFERROR(_xlfn.XLOOKUP($B369,'Cronog. e Histog.'!$BZ:$BZ,'Cronog. e Histog.'!EA:EA),"")</f>
        <v>0</v>
      </c>
      <c r="BG369" s="144">
        <f>IFERROR(_xlfn.XLOOKUP($B369,'Cronog. e Histog.'!$BZ:$BZ,'Cronog. e Histog.'!EB:EB),"")</f>
        <v>0</v>
      </c>
      <c r="BH369" s="144">
        <f>IFERROR(_xlfn.XLOOKUP($B369,'Cronog. e Histog.'!$BZ:$BZ,'Cronog. e Histog.'!EC:EC),"")</f>
        <v>0</v>
      </c>
      <c r="BI369" s="144">
        <f>IFERROR(_xlfn.XLOOKUP($B369,'Cronog. e Histog.'!$BZ:$BZ,'Cronog. e Histog.'!ED:ED),"")</f>
        <v>0</v>
      </c>
      <c r="BJ369" s="144">
        <f>IFERROR(_xlfn.XLOOKUP($B369,'Cronog. e Histog.'!$BZ:$BZ,'Cronog. e Histog.'!EE:EE),"")</f>
        <v>0</v>
      </c>
      <c r="BK369" s="144">
        <f>IFERROR(_xlfn.XLOOKUP($B369,'Cronog. e Histog.'!$BZ:$BZ,'Cronog. e Histog.'!EF:EF),"")</f>
        <v>0</v>
      </c>
      <c r="BL369" s="144">
        <f>IFERROR(_xlfn.XLOOKUP($B369,'Cronog. e Histog.'!$BZ:$BZ,'Cronog. e Histog.'!EG:EG),"")</f>
        <v>0</v>
      </c>
      <c r="BM369" s="144">
        <f>IFERROR(_xlfn.XLOOKUP($B369,'Cronog. e Histog.'!$BZ:$BZ,'Cronog. e Histog.'!EH:EH),"")</f>
        <v>0</v>
      </c>
      <c r="BN369" s="144">
        <f>IFERROR(_xlfn.XLOOKUP($B369,'Cronog. e Histog.'!$BZ:$BZ,'Cronog. e Histog.'!EI:EI),"")</f>
        <v>0</v>
      </c>
    </row>
    <row r="370" spans="2:66" ht="12" hidden="1" customHeight="1" outlineLevel="1">
      <c r="B370" s="76">
        <v>364</v>
      </c>
      <c r="C370" s="143" t="str">
        <f>IFERROR(VLOOKUP(B370,'Cronog. e Histog.'!$BZ$213:$CA$747,2,0),"")</f>
        <v>ENG/ARQ SR.</v>
      </c>
      <c r="D370" s="144">
        <f t="shared" si="6"/>
        <v>0</v>
      </c>
      <c r="E370" s="144">
        <f t="shared" si="7"/>
        <v>0</v>
      </c>
      <c r="F370" s="65"/>
      <c r="G370" s="144">
        <f>IFERROR(_xlfn.XLOOKUP($B370,'Cronog. e Histog.'!$BZ:$BZ,'Cronog. e Histog.'!CB:CB),"")</f>
        <v>0</v>
      </c>
      <c r="H370" s="144">
        <f>IFERROR(_xlfn.XLOOKUP($B370,'Cronog. e Histog.'!$BZ:$BZ,'Cronog. e Histog.'!CC:CC),"")</f>
        <v>0</v>
      </c>
      <c r="I370" s="144">
        <f>IFERROR(_xlfn.XLOOKUP($B370,'Cronog. e Histog.'!$BZ:$BZ,'Cronog. e Histog.'!CD:CD),"")</f>
        <v>0</v>
      </c>
      <c r="J370" s="144">
        <f>IFERROR(_xlfn.XLOOKUP($B370,'Cronog. e Histog.'!$BZ:$BZ,'Cronog. e Histog.'!CE:CE),"")</f>
        <v>0</v>
      </c>
      <c r="K370" s="144">
        <f>IFERROR(_xlfn.XLOOKUP($B370,'Cronog. e Histog.'!$BZ:$BZ,'Cronog. e Histog.'!CF:CF),"")</f>
        <v>0</v>
      </c>
      <c r="L370" s="144">
        <f>IFERROR(_xlfn.XLOOKUP($B370,'Cronog. e Histog.'!$BZ:$BZ,'Cronog. e Histog.'!CG:CG),"")</f>
        <v>0</v>
      </c>
      <c r="M370" s="144">
        <f>IFERROR(_xlfn.XLOOKUP($B370,'Cronog. e Histog.'!$BZ:$BZ,'Cronog. e Histog.'!CH:CH),"")</f>
        <v>0</v>
      </c>
      <c r="N370" s="144">
        <f>IFERROR(_xlfn.XLOOKUP($B370,'Cronog. e Histog.'!$BZ:$BZ,'Cronog. e Histog.'!CI:CI),"")</f>
        <v>0</v>
      </c>
      <c r="O370" s="144">
        <f>IFERROR(_xlfn.XLOOKUP($B370,'Cronog. e Histog.'!$BZ:$BZ,'Cronog. e Histog.'!CJ:CJ),"")</f>
        <v>0</v>
      </c>
      <c r="P370" s="144">
        <f>IFERROR(_xlfn.XLOOKUP($B370,'Cronog. e Histog.'!$BZ:$BZ,'Cronog. e Histog.'!CK:CK),"")</f>
        <v>0</v>
      </c>
      <c r="Q370" s="144">
        <f>IFERROR(_xlfn.XLOOKUP($B370,'Cronog. e Histog.'!$BZ:$BZ,'Cronog. e Histog.'!CL:CL),"")</f>
        <v>0</v>
      </c>
      <c r="R370" s="144">
        <f>IFERROR(_xlfn.XLOOKUP($B370,'Cronog. e Histog.'!$BZ:$BZ,'Cronog. e Histog.'!CM:CM),"")</f>
        <v>0</v>
      </c>
      <c r="S370" s="144">
        <f>IFERROR(_xlfn.XLOOKUP($B370,'Cronog. e Histog.'!$BZ:$BZ,'Cronog. e Histog.'!CN:CN),"")</f>
        <v>0</v>
      </c>
      <c r="T370" s="144">
        <f>IFERROR(_xlfn.XLOOKUP($B370,'Cronog. e Histog.'!$BZ:$BZ,'Cronog. e Histog.'!CO:CO),"")</f>
        <v>0</v>
      </c>
      <c r="U370" s="144">
        <f>IFERROR(_xlfn.XLOOKUP($B370,'Cronog. e Histog.'!$BZ:$BZ,'Cronog. e Histog.'!CP:CP),"")</f>
        <v>0</v>
      </c>
      <c r="V370" s="144">
        <f>IFERROR(_xlfn.XLOOKUP($B370,'Cronog. e Histog.'!$BZ:$BZ,'Cronog. e Histog.'!CQ:CQ),"")</f>
        <v>0</v>
      </c>
      <c r="W370" s="144">
        <f>IFERROR(_xlfn.XLOOKUP($B370,'Cronog. e Histog.'!$BZ:$BZ,'Cronog. e Histog.'!CR:CR),"")</f>
        <v>0</v>
      </c>
      <c r="X370" s="144">
        <f>IFERROR(_xlfn.XLOOKUP($B370,'Cronog. e Histog.'!$BZ:$BZ,'Cronog. e Histog.'!CS:CS),"")</f>
        <v>0</v>
      </c>
      <c r="Y370" s="144">
        <f>IFERROR(_xlfn.XLOOKUP($B370,'Cronog. e Histog.'!$BZ:$BZ,'Cronog. e Histog.'!CT:CT),"")</f>
        <v>0</v>
      </c>
      <c r="Z370" s="144">
        <f>IFERROR(_xlfn.XLOOKUP($B370,'Cronog. e Histog.'!$BZ:$BZ,'Cronog. e Histog.'!CU:CU),"")</f>
        <v>0</v>
      </c>
      <c r="AA370" s="144">
        <f>IFERROR(_xlfn.XLOOKUP($B370,'Cronog. e Histog.'!$BZ:$BZ,'Cronog. e Histog.'!CV:CV),"")</f>
        <v>0</v>
      </c>
      <c r="AB370" s="144">
        <f>IFERROR(_xlfn.XLOOKUP($B370,'Cronog. e Histog.'!$BZ:$BZ,'Cronog. e Histog.'!CW:CW),"")</f>
        <v>0</v>
      </c>
      <c r="AC370" s="144">
        <f>IFERROR(_xlfn.XLOOKUP($B370,'Cronog. e Histog.'!$BZ:$BZ,'Cronog. e Histog.'!CX:CX),"")</f>
        <v>0</v>
      </c>
      <c r="AD370" s="144">
        <f>IFERROR(_xlfn.XLOOKUP($B370,'Cronog. e Histog.'!$BZ:$BZ,'Cronog. e Histog.'!CY:CY),"")</f>
        <v>0</v>
      </c>
      <c r="AE370" s="144">
        <f>IFERROR(_xlfn.XLOOKUP($B370,'Cronog. e Histog.'!$BZ:$BZ,'Cronog. e Histog.'!CZ:CZ),"")</f>
        <v>0</v>
      </c>
      <c r="AF370" s="144">
        <f>IFERROR(_xlfn.XLOOKUP($B370,'Cronog. e Histog.'!$BZ:$BZ,'Cronog. e Histog.'!DA:DA),"")</f>
        <v>0</v>
      </c>
      <c r="AG370" s="144">
        <f>IFERROR(_xlfn.XLOOKUP($B370,'Cronog. e Histog.'!$BZ:$BZ,'Cronog. e Histog.'!DB:DB),"")</f>
        <v>0</v>
      </c>
      <c r="AH370" s="144">
        <f>IFERROR(_xlfn.XLOOKUP($B370,'Cronog. e Histog.'!$BZ:$BZ,'Cronog. e Histog.'!DC:DC),"")</f>
        <v>0</v>
      </c>
      <c r="AI370" s="144">
        <f>IFERROR(_xlfn.XLOOKUP($B370,'Cronog. e Histog.'!$BZ:$BZ,'Cronog. e Histog.'!DD:DD),"")</f>
        <v>0</v>
      </c>
      <c r="AJ370" s="144">
        <f>IFERROR(_xlfn.XLOOKUP($B370,'Cronog. e Histog.'!$BZ:$BZ,'Cronog. e Histog.'!DE:DE),"")</f>
        <v>0</v>
      </c>
      <c r="AK370" s="144">
        <f>IFERROR(_xlfn.XLOOKUP($B370,'Cronog. e Histog.'!$BZ:$BZ,'Cronog. e Histog.'!DF:DF),"")</f>
        <v>0</v>
      </c>
      <c r="AL370" s="144">
        <f>IFERROR(_xlfn.XLOOKUP($B370,'Cronog. e Histog.'!$BZ:$BZ,'Cronog. e Histog.'!DG:DG),"")</f>
        <v>0</v>
      </c>
      <c r="AM370" s="144">
        <f>IFERROR(_xlfn.XLOOKUP($B370,'Cronog. e Histog.'!$BZ:$BZ,'Cronog. e Histog.'!DH:DH),"")</f>
        <v>0</v>
      </c>
      <c r="AN370" s="144">
        <f>IFERROR(_xlfn.XLOOKUP($B370,'Cronog. e Histog.'!$BZ:$BZ,'Cronog. e Histog.'!DI:DI),"")</f>
        <v>0</v>
      </c>
      <c r="AO370" s="144">
        <f>IFERROR(_xlfn.XLOOKUP($B370,'Cronog. e Histog.'!$BZ:$BZ,'Cronog. e Histog.'!DJ:DJ),"")</f>
        <v>0</v>
      </c>
      <c r="AP370" s="144">
        <f>IFERROR(_xlfn.XLOOKUP($B370,'Cronog. e Histog.'!$BZ:$BZ,'Cronog. e Histog.'!DK:DK),"")</f>
        <v>0</v>
      </c>
      <c r="AQ370" s="144">
        <f>IFERROR(_xlfn.XLOOKUP($B370,'Cronog. e Histog.'!$BZ:$BZ,'Cronog. e Histog.'!DL:DL),"")</f>
        <v>0</v>
      </c>
      <c r="AR370" s="144">
        <f>IFERROR(_xlfn.XLOOKUP($B370,'Cronog. e Histog.'!$BZ:$BZ,'Cronog. e Histog.'!DM:DM),"")</f>
        <v>0</v>
      </c>
      <c r="AS370" s="144">
        <f>IFERROR(_xlfn.XLOOKUP($B370,'Cronog. e Histog.'!$BZ:$BZ,'Cronog. e Histog.'!DN:DN),"")</f>
        <v>0</v>
      </c>
      <c r="AT370" s="144">
        <f>IFERROR(_xlfn.XLOOKUP($B370,'Cronog. e Histog.'!$BZ:$BZ,'Cronog. e Histog.'!DO:DO),"")</f>
        <v>0</v>
      </c>
      <c r="AU370" s="144">
        <f>IFERROR(_xlfn.XLOOKUP($B370,'Cronog. e Histog.'!$BZ:$BZ,'Cronog. e Histog.'!DP:DP),"")</f>
        <v>0</v>
      </c>
      <c r="AV370" s="144">
        <f>IFERROR(_xlfn.XLOOKUP($B370,'Cronog. e Histog.'!$BZ:$BZ,'Cronog. e Histog.'!DQ:DQ),"")</f>
        <v>0</v>
      </c>
      <c r="AW370" s="144">
        <f>IFERROR(_xlfn.XLOOKUP($B370,'Cronog. e Histog.'!$BZ:$BZ,'Cronog. e Histog.'!DR:DR),"")</f>
        <v>0</v>
      </c>
      <c r="AX370" s="144">
        <f>IFERROR(_xlfn.XLOOKUP($B370,'Cronog. e Histog.'!$BZ:$BZ,'Cronog. e Histog.'!DS:DS),"")</f>
        <v>0</v>
      </c>
      <c r="AY370" s="144">
        <f>IFERROR(_xlfn.XLOOKUP($B370,'Cronog. e Histog.'!$BZ:$BZ,'Cronog. e Histog.'!DT:DT),"")</f>
        <v>0</v>
      </c>
      <c r="AZ370" s="144">
        <f>IFERROR(_xlfn.XLOOKUP($B370,'Cronog. e Histog.'!$BZ:$BZ,'Cronog. e Histog.'!DU:DU),"")</f>
        <v>0</v>
      </c>
      <c r="BA370" s="144">
        <f>IFERROR(_xlfn.XLOOKUP($B370,'Cronog. e Histog.'!$BZ:$BZ,'Cronog. e Histog.'!DV:DV),"")</f>
        <v>0</v>
      </c>
      <c r="BB370" s="144">
        <f>IFERROR(_xlfn.XLOOKUP($B370,'Cronog. e Histog.'!$BZ:$BZ,'Cronog. e Histog.'!DW:DW),"")</f>
        <v>0</v>
      </c>
      <c r="BC370" s="144">
        <f>IFERROR(_xlfn.XLOOKUP($B370,'Cronog. e Histog.'!$BZ:$BZ,'Cronog. e Histog.'!DX:DX),"")</f>
        <v>0</v>
      </c>
      <c r="BD370" s="144">
        <f>IFERROR(_xlfn.XLOOKUP($B370,'Cronog. e Histog.'!$BZ:$BZ,'Cronog. e Histog.'!DY:DY),"")</f>
        <v>0</v>
      </c>
      <c r="BE370" s="144">
        <f>IFERROR(_xlfn.XLOOKUP($B370,'Cronog. e Histog.'!$BZ:$BZ,'Cronog. e Histog.'!DZ:DZ),"")</f>
        <v>0</v>
      </c>
      <c r="BF370" s="144">
        <f>IFERROR(_xlfn.XLOOKUP($B370,'Cronog. e Histog.'!$BZ:$BZ,'Cronog. e Histog.'!EA:EA),"")</f>
        <v>0</v>
      </c>
      <c r="BG370" s="144">
        <f>IFERROR(_xlfn.XLOOKUP($B370,'Cronog. e Histog.'!$BZ:$BZ,'Cronog. e Histog.'!EB:EB),"")</f>
        <v>0</v>
      </c>
      <c r="BH370" s="144">
        <f>IFERROR(_xlfn.XLOOKUP($B370,'Cronog. e Histog.'!$BZ:$BZ,'Cronog. e Histog.'!EC:EC),"")</f>
        <v>0</v>
      </c>
      <c r="BI370" s="144">
        <f>IFERROR(_xlfn.XLOOKUP($B370,'Cronog. e Histog.'!$BZ:$BZ,'Cronog. e Histog.'!ED:ED),"")</f>
        <v>0</v>
      </c>
      <c r="BJ370" s="144">
        <f>IFERROR(_xlfn.XLOOKUP($B370,'Cronog. e Histog.'!$BZ:$BZ,'Cronog. e Histog.'!EE:EE),"")</f>
        <v>0</v>
      </c>
      <c r="BK370" s="144">
        <f>IFERROR(_xlfn.XLOOKUP($B370,'Cronog. e Histog.'!$BZ:$BZ,'Cronog. e Histog.'!EF:EF),"")</f>
        <v>0</v>
      </c>
      <c r="BL370" s="144">
        <f>IFERROR(_xlfn.XLOOKUP($B370,'Cronog. e Histog.'!$BZ:$BZ,'Cronog. e Histog.'!EG:EG),"")</f>
        <v>0</v>
      </c>
      <c r="BM370" s="144">
        <f>IFERROR(_xlfn.XLOOKUP($B370,'Cronog. e Histog.'!$BZ:$BZ,'Cronog. e Histog.'!EH:EH),"")</f>
        <v>0</v>
      </c>
      <c r="BN370" s="144">
        <f>IFERROR(_xlfn.XLOOKUP($B370,'Cronog. e Histog.'!$BZ:$BZ,'Cronog. e Histog.'!EI:EI),"")</f>
        <v>0</v>
      </c>
    </row>
    <row r="371" spans="2:66" ht="12" hidden="1" customHeight="1" outlineLevel="1">
      <c r="B371" s="76">
        <v>365</v>
      </c>
      <c r="C371" s="143" t="str">
        <f>IFERROR(VLOOKUP(B371,'Cronog. e Histog.'!$BZ$213:$CA$747,2,0),"")</f>
        <v>ENG/ARQ PL.</v>
      </c>
      <c r="D371" s="144">
        <f t="shared" si="6"/>
        <v>0</v>
      </c>
      <c r="E371" s="144">
        <f t="shared" si="7"/>
        <v>0</v>
      </c>
      <c r="F371" s="65"/>
      <c r="G371" s="144">
        <f>IFERROR(_xlfn.XLOOKUP($B371,'Cronog. e Histog.'!$BZ:$BZ,'Cronog. e Histog.'!CB:CB),"")</f>
        <v>0</v>
      </c>
      <c r="H371" s="144">
        <f>IFERROR(_xlfn.XLOOKUP($B371,'Cronog. e Histog.'!$BZ:$BZ,'Cronog. e Histog.'!CC:CC),"")</f>
        <v>0</v>
      </c>
      <c r="I371" s="144">
        <f>IFERROR(_xlfn.XLOOKUP($B371,'Cronog. e Histog.'!$BZ:$BZ,'Cronog. e Histog.'!CD:CD),"")</f>
        <v>0</v>
      </c>
      <c r="J371" s="144">
        <f>IFERROR(_xlfn.XLOOKUP($B371,'Cronog. e Histog.'!$BZ:$BZ,'Cronog. e Histog.'!CE:CE),"")</f>
        <v>0</v>
      </c>
      <c r="K371" s="144">
        <f>IFERROR(_xlfn.XLOOKUP($B371,'Cronog. e Histog.'!$BZ:$BZ,'Cronog. e Histog.'!CF:CF),"")</f>
        <v>0</v>
      </c>
      <c r="L371" s="144">
        <f>IFERROR(_xlfn.XLOOKUP($B371,'Cronog. e Histog.'!$BZ:$BZ,'Cronog. e Histog.'!CG:CG),"")</f>
        <v>0</v>
      </c>
      <c r="M371" s="144">
        <f>IFERROR(_xlfn.XLOOKUP($B371,'Cronog. e Histog.'!$BZ:$BZ,'Cronog. e Histog.'!CH:CH),"")</f>
        <v>0</v>
      </c>
      <c r="N371" s="144">
        <f>IFERROR(_xlfn.XLOOKUP($B371,'Cronog. e Histog.'!$BZ:$BZ,'Cronog. e Histog.'!CI:CI),"")</f>
        <v>0</v>
      </c>
      <c r="O371" s="144">
        <f>IFERROR(_xlfn.XLOOKUP($B371,'Cronog. e Histog.'!$BZ:$BZ,'Cronog. e Histog.'!CJ:CJ),"")</f>
        <v>0</v>
      </c>
      <c r="P371" s="144">
        <f>IFERROR(_xlfn.XLOOKUP($B371,'Cronog. e Histog.'!$BZ:$BZ,'Cronog. e Histog.'!CK:CK),"")</f>
        <v>0</v>
      </c>
      <c r="Q371" s="144">
        <f>IFERROR(_xlfn.XLOOKUP($B371,'Cronog. e Histog.'!$BZ:$BZ,'Cronog. e Histog.'!CL:CL),"")</f>
        <v>0</v>
      </c>
      <c r="R371" s="144">
        <f>IFERROR(_xlfn.XLOOKUP($B371,'Cronog. e Histog.'!$BZ:$BZ,'Cronog. e Histog.'!CM:CM),"")</f>
        <v>0</v>
      </c>
      <c r="S371" s="144">
        <f>IFERROR(_xlfn.XLOOKUP($B371,'Cronog. e Histog.'!$BZ:$BZ,'Cronog. e Histog.'!CN:CN),"")</f>
        <v>0</v>
      </c>
      <c r="T371" s="144">
        <f>IFERROR(_xlfn.XLOOKUP($B371,'Cronog. e Histog.'!$BZ:$BZ,'Cronog. e Histog.'!CO:CO),"")</f>
        <v>0</v>
      </c>
      <c r="U371" s="144">
        <f>IFERROR(_xlfn.XLOOKUP($B371,'Cronog. e Histog.'!$BZ:$BZ,'Cronog. e Histog.'!CP:CP),"")</f>
        <v>0</v>
      </c>
      <c r="V371" s="144">
        <f>IFERROR(_xlfn.XLOOKUP($B371,'Cronog. e Histog.'!$BZ:$BZ,'Cronog. e Histog.'!CQ:CQ),"")</f>
        <v>0</v>
      </c>
      <c r="W371" s="144">
        <f>IFERROR(_xlfn.XLOOKUP($B371,'Cronog. e Histog.'!$BZ:$BZ,'Cronog. e Histog.'!CR:CR),"")</f>
        <v>0</v>
      </c>
      <c r="X371" s="144">
        <f>IFERROR(_xlfn.XLOOKUP($B371,'Cronog. e Histog.'!$BZ:$BZ,'Cronog. e Histog.'!CS:CS),"")</f>
        <v>0</v>
      </c>
      <c r="Y371" s="144">
        <f>IFERROR(_xlfn.XLOOKUP($B371,'Cronog. e Histog.'!$BZ:$BZ,'Cronog. e Histog.'!CT:CT),"")</f>
        <v>0</v>
      </c>
      <c r="Z371" s="144">
        <f>IFERROR(_xlfn.XLOOKUP($B371,'Cronog. e Histog.'!$BZ:$BZ,'Cronog. e Histog.'!CU:CU),"")</f>
        <v>0</v>
      </c>
      <c r="AA371" s="144">
        <f>IFERROR(_xlfn.XLOOKUP($B371,'Cronog. e Histog.'!$BZ:$BZ,'Cronog. e Histog.'!CV:CV),"")</f>
        <v>0</v>
      </c>
      <c r="AB371" s="144">
        <f>IFERROR(_xlfn.XLOOKUP($B371,'Cronog. e Histog.'!$BZ:$BZ,'Cronog. e Histog.'!CW:CW),"")</f>
        <v>0</v>
      </c>
      <c r="AC371" s="144">
        <f>IFERROR(_xlfn.XLOOKUP($B371,'Cronog. e Histog.'!$BZ:$BZ,'Cronog. e Histog.'!CX:CX),"")</f>
        <v>0</v>
      </c>
      <c r="AD371" s="144">
        <f>IFERROR(_xlfn.XLOOKUP($B371,'Cronog. e Histog.'!$BZ:$BZ,'Cronog. e Histog.'!CY:CY),"")</f>
        <v>0</v>
      </c>
      <c r="AE371" s="144">
        <f>IFERROR(_xlfn.XLOOKUP($B371,'Cronog. e Histog.'!$BZ:$BZ,'Cronog. e Histog.'!CZ:CZ),"")</f>
        <v>0</v>
      </c>
      <c r="AF371" s="144">
        <f>IFERROR(_xlfn.XLOOKUP($B371,'Cronog. e Histog.'!$BZ:$BZ,'Cronog. e Histog.'!DA:DA),"")</f>
        <v>0</v>
      </c>
      <c r="AG371" s="144">
        <f>IFERROR(_xlfn.XLOOKUP($B371,'Cronog. e Histog.'!$BZ:$BZ,'Cronog. e Histog.'!DB:DB),"")</f>
        <v>0</v>
      </c>
      <c r="AH371" s="144">
        <f>IFERROR(_xlfn.XLOOKUP($B371,'Cronog. e Histog.'!$BZ:$BZ,'Cronog. e Histog.'!DC:DC),"")</f>
        <v>0</v>
      </c>
      <c r="AI371" s="144">
        <f>IFERROR(_xlfn.XLOOKUP($B371,'Cronog. e Histog.'!$BZ:$BZ,'Cronog. e Histog.'!DD:DD),"")</f>
        <v>0</v>
      </c>
      <c r="AJ371" s="144">
        <f>IFERROR(_xlfn.XLOOKUP($B371,'Cronog. e Histog.'!$BZ:$BZ,'Cronog. e Histog.'!DE:DE),"")</f>
        <v>0</v>
      </c>
      <c r="AK371" s="144">
        <f>IFERROR(_xlfn.XLOOKUP($B371,'Cronog. e Histog.'!$BZ:$BZ,'Cronog. e Histog.'!DF:DF),"")</f>
        <v>0</v>
      </c>
      <c r="AL371" s="144">
        <f>IFERROR(_xlfn.XLOOKUP($B371,'Cronog. e Histog.'!$BZ:$BZ,'Cronog. e Histog.'!DG:DG),"")</f>
        <v>0</v>
      </c>
      <c r="AM371" s="144">
        <f>IFERROR(_xlfn.XLOOKUP($B371,'Cronog. e Histog.'!$BZ:$BZ,'Cronog. e Histog.'!DH:DH),"")</f>
        <v>0</v>
      </c>
      <c r="AN371" s="144">
        <f>IFERROR(_xlfn.XLOOKUP($B371,'Cronog. e Histog.'!$BZ:$BZ,'Cronog. e Histog.'!DI:DI),"")</f>
        <v>0</v>
      </c>
      <c r="AO371" s="144">
        <f>IFERROR(_xlfn.XLOOKUP($B371,'Cronog. e Histog.'!$BZ:$BZ,'Cronog. e Histog.'!DJ:DJ),"")</f>
        <v>0</v>
      </c>
      <c r="AP371" s="144">
        <f>IFERROR(_xlfn.XLOOKUP($B371,'Cronog. e Histog.'!$BZ:$BZ,'Cronog. e Histog.'!DK:DK),"")</f>
        <v>0</v>
      </c>
      <c r="AQ371" s="144">
        <f>IFERROR(_xlfn.XLOOKUP($B371,'Cronog. e Histog.'!$BZ:$BZ,'Cronog. e Histog.'!DL:DL),"")</f>
        <v>0</v>
      </c>
      <c r="AR371" s="144">
        <f>IFERROR(_xlfn.XLOOKUP($B371,'Cronog. e Histog.'!$BZ:$BZ,'Cronog. e Histog.'!DM:DM),"")</f>
        <v>0</v>
      </c>
      <c r="AS371" s="144">
        <f>IFERROR(_xlfn.XLOOKUP($B371,'Cronog. e Histog.'!$BZ:$BZ,'Cronog. e Histog.'!DN:DN),"")</f>
        <v>0</v>
      </c>
      <c r="AT371" s="144">
        <f>IFERROR(_xlfn.XLOOKUP($B371,'Cronog. e Histog.'!$BZ:$BZ,'Cronog. e Histog.'!DO:DO),"")</f>
        <v>0</v>
      </c>
      <c r="AU371" s="144">
        <f>IFERROR(_xlfn.XLOOKUP($B371,'Cronog. e Histog.'!$BZ:$BZ,'Cronog. e Histog.'!DP:DP),"")</f>
        <v>0</v>
      </c>
      <c r="AV371" s="144">
        <f>IFERROR(_xlfn.XLOOKUP($B371,'Cronog. e Histog.'!$BZ:$BZ,'Cronog. e Histog.'!DQ:DQ),"")</f>
        <v>0</v>
      </c>
      <c r="AW371" s="144">
        <f>IFERROR(_xlfn.XLOOKUP($B371,'Cronog. e Histog.'!$BZ:$BZ,'Cronog. e Histog.'!DR:DR),"")</f>
        <v>0</v>
      </c>
      <c r="AX371" s="144">
        <f>IFERROR(_xlfn.XLOOKUP($B371,'Cronog. e Histog.'!$BZ:$BZ,'Cronog. e Histog.'!DS:DS),"")</f>
        <v>0</v>
      </c>
      <c r="AY371" s="144">
        <f>IFERROR(_xlfn.XLOOKUP($B371,'Cronog. e Histog.'!$BZ:$BZ,'Cronog. e Histog.'!DT:DT),"")</f>
        <v>0</v>
      </c>
      <c r="AZ371" s="144">
        <f>IFERROR(_xlfn.XLOOKUP($B371,'Cronog. e Histog.'!$BZ:$BZ,'Cronog. e Histog.'!DU:DU),"")</f>
        <v>0</v>
      </c>
      <c r="BA371" s="144">
        <f>IFERROR(_xlfn.XLOOKUP($B371,'Cronog. e Histog.'!$BZ:$BZ,'Cronog. e Histog.'!DV:DV),"")</f>
        <v>0</v>
      </c>
      <c r="BB371" s="144">
        <f>IFERROR(_xlfn.XLOOKUP($B371,'Cronog. e Histog.'!$BZ:$BZ,'Cronog. e Histog.'!DW:DW),"")</f>
        <v>0</v>
      </c>
      <c r="BC371" s="144">
        <f>IFERROR(_xlfn.XLOOKUP($B371,'Cronog. e Histog.'!$BZ:$BZ,'Cronog. e Histog.'!DX:DX),"")</f>
        <v>0</v>
      </c>
      <c r="BD371" s="144">
        <f>IFERROR(_xlfn.XLOOKUP($B371,'Cronog. e Histog.'!$BZ:$BZ,'Cronog. e Histog.'!DY:DY),"")</f>
        <v>0</v>
      </c>
      <c r="BE371" s="144">
        <f>IFERROR(_xlfn.XLOOKUP($B371,'Cronog. e Histog.'!$BZ:$BZ,'Cronog. e Histog.'!DZ:DZ),"")</f>
        <v>0</v>
      </c>
      <c r="BF371" s="144">
        <f>IFERROR(_xlfn.XLOOKUP($B371,'Cronog. e Histog.'!$BZ:$BZ,'Cronog. e Histog.'!EA:EA),"")</f>
        <v>0</v>
      </c>
      <c r="BG371" s="144">
        <f>IFERROR(_xlfn.XLOOKUP($B371,'Cronog. e Histog.'!$BZ:$BZ,'Cronog. e Histog.'!EB:EB),"")</f>
        <v>0</v>
      </c>
      <c r="BH371" s="144">
        <f>IFERROR(_xlfn.XLOOKUP($B371,'Cronog. e Histog.'!$BZ:$BZ,'Cronog. e Histog.'!EC:EC),"")</f>
        <v>0</v>
      </c>
      <c r="BI371" s="144">
        <f>IFERROR(_xlfn.XLOOKUP($B371,'Cronog. e Histog.'!$BZ:$BZ,'Cronog. e Histog.'!ED:ED),"")</f>
        <v>0</v>
      </c>
      <c r="BJ371" s="144">
        <f>IFERROR(_xlfn.XLOOKUP($B371,'Cronog. e Histog.'!$BZ:$BZ,'Cronog. e Histog.'!EE:EE),"")</f>
        <v>0</v>
      </c>
      <c r="BK371" s="144">
        <f>IFERROR(_xlfn.XLOOKUP($B371,'Cronog. e Histog.'!$BZ:$BZ,'Cronog. e Histog.'!EF:EF),"")</f>
        <v>0</v>
      </c>
      <c r="BL371" s="144">
        <f>IFERROR(_xlfn.XLOOKUP($B371,'Cronog. e Histog.'!$BZ:$BZ,'Cronog. e Histog.'!EG:EG),"")</f>
        <v>0</v>
      </c>
      <c r="BM371" s="144">
        <f>IFERROR(_xlfn.XLOOKUP($B371,'Cronog. e Histog.'!$BZ:$BZ,'Cronog. e Histog.'!EH:EH),"")</f>
        <v>0</v>
      </c>
      <c r="BN371" s="144">
        <f>IFERROR(_xlfn.XLOOKUP($B371,'Cronog. e Histog.'!$BZ:$BZ,'Cronog. e Histog.'!EI:EI),"")</f>
        <v>0</v>
      </c>
    </row>
    <row r="372" spans="2:66" ht="12" hidden="1" customHeight="1" outlineLevel="1">
      <c r="B372" s="76">
        <v>366</v>
      </c>
      <c r="C372" s="143" t="str">
        <f>IFERROR(VLOOKUP(B372,'Cronog. e Histog.'!$BZ$213:$CA$747,2,0),"")</f>
        <v>ENG/ARQ JR.</v>
      </c>
      <c r="D372" s="144">
        <f t="shared" si="6"/>
        <v>0</v>
      </c>
      <c r="E372" s="144">
        <f t="shared" si="7"/>
        <v>0</v>
      </c>
      <c r="F372" s="65"/>
      <c r="G372" s="144">
        <f>IFERROR(_xlfn.XLOOKUP($B372,'Cronog. e Histog.'!$BZ:$BZ,'Cronog. e Histog.'!CB:CB),"")</f>
        <v>0</v>
      </c>
      <c r="H372" s="144">
        <f>IFERROR(_xlfn.XLOOKUP($B372,'Cronog. e Histog.'!$BZ:$BZ,'Cronog. e Histog.'!CC:CC),"")</f>
        <v>0</v>
      </c>
      <c r="I372" s="144">
        <f>IFERROR(_xlfn.XLOOKUP($B372,'Cronog. e Histog.'!$BZ:$BZ,'Cronog. e Histog.'!CD:CD),"")</f>
        <v>0</v>
      </c>
      <c r="J372" s="144">
        <f>IFERROR(_xlfn.XLOOKUP($B372,'Cronog. e Histog.'!$BZ:$BZ,'Cronog. e Histog.'!CE:CE),"")</f>
        <v>0</v>
      </c>
      <c r="K372" s="144">
        <f>IFERROR(_xlfn.XLOOKUP($B372,'Cronog. e Histog.'!$BZ:$BZ,'Cronog. e Histog.'!CF:CF),"")</f>
        <v>0</v>
      </c>
      <c r="L372" s="144">
        <f>IFERROR(_xlfn.XLOOKUP($B372,'Cronog. e Histog.'!$BZ:$BZ,'Cronog. e Histog.'!CG:CG),"")</f>
        <v>0</v>
      </c>
      <c r="M372" s="144">
        <f>IFERROR(_xlfn.XLOOKUP($B372,'Cronog. e Histog.'!$BZ:$BZ,'Cronog. e Histog.'!CH:CH),"")</f>
        <v>0</v>
      </c>
      <c r="N372" s="144">
        <f>IFERROR(_xlfn.XLOOKUP($B372,'Cronog. e Histog.'!$BZ:$BZ,'Cronog. e Histog.'!CI:CI),"")</f>
        <v>0</v>
      </c>
      <c r="O372" s="144">
        <f>IFERROR(_xlfn.XLOOKUP($B372,'Cronog. e Histog.'!$BZ:$BZ,'Cronog. e Histog.'!CJ:CJ),"")</f>
        <v>0</v>
      </c>
      <c r="P372" s="144">
        <f>IFERROR(_xlfn.XLOOKUP($B372,'Cronog. e Histog.'!$BZ:$BZ,'Cronog. e Histog.'!CK:CK),"")</f>
        <v>0</v>
      </c>
      <c r="Q372" s="144">
        <f>IFERROR(_xlfn.XLOOKUP($B372,'Cronog. e Histog.'!$BZ:$BZ,'Cronog. e Histog.'!CL:CL),"")</f>
        <v>0</v>
      </c>
      <c r="R372" s="144">
        <f>IFERROR(_xlfn.XLOOKUP($B372,'Cronog. e Histog.'!$BZ:$BZ,'Cronog. e Histog.'!CM:CM),"")</f>
        <v>0</v>
      </c>
      <c r="S372" s="144">
        <f>IFERROR(_xlfn.XLOOKUP($B372,'Cronog. e Histog.'!$BZ:$BZ,'Cronog. e Histog.'!CN:CN),"")</f>
        <v>0</v>
      </c>
      <c r="T372" s="144">
        <f>IFERROR(_xlfn.XLOOKUP($B372,'Cronog. e Histog.'!$BZ:$BZ,'Cronog. e Histog.'!CO:CO),"")</f>
        <v>0</v>
      </c>
      <c r="U372" s="144">
        <f>IFERROR(_xlfn.XLOOKUP($B372,'Cronog. e Histog.'!$BZ:$BZ,'Cronog. e Histog.'!CP:CP),"")</f>
        <v>0</v>
      </c>
      <c r="V372" s="144">
        <f>IFERROR(_xlfn.XLOOKUP($B372,'Cronog. e Histog.'!$BZ:$BZ,'Cronog. e Histog.'!CQ:CQ),"")</f>
        <v>0</v>
      </c>
      <c r="W372" s="144">
        <f>IFERROR(_xlfn.XLOOKUP($B372,'Cronog. e Histog.'!$BZ:$BZ,'Cronog. e Histog.'!CR:CR),"")</f>
        <v>0</v>
      </c>
      <c r="X372" s="144">
        <f>IFERROR(_xlfn.XLOOKUP($B372,'Cronog. e Histog.'!$BZ:$BZ,'Cronog. e Histog.'!CS:CS),"")</f>
        <v>0</v>
      </c>
      <c r="Y372" s="144">
        <f>IFERROR(_xlfn.XLOOKUP($B372,'Cronog. e Histog.'!$BZ:$BZ,'Cronog. e Histog.'!CT:CT),"")</f>
        <v>0</v>
      </c>
      <c r="Z372" s="144">
        <f>IFERROR(_xlfn.XLOOKUP($B372,'Cronog. e Histog.'!$BZ:$BZ,'Cronog. e Histog.'!CU:CU),"")</f>
        <v>0</v>
      </c>
      <c r="AA372" s="144">
        <f>IFERROR(_xlfn.XLOOKUP($B372,'Cronog. e Histog.'!$BZ:$BZ,'Cronog. e Histog.'!CV:CV),"")</f>
        <v>0</v>
      </c>
      <c r="AB372" s="144">
        <f>IFERROR(_xlfn.XLOOKUP($B372,'Cronog. e Histog.'!$BZ:$BZ,'Cronog. e Histog.'!CW:CW),"")</f>
        <v>0</v>
      </c>
      <c r="AC372" s="144">
        <f>IFERROR(_xlfn.XLOOKUP($B372,'Cronog. e Histog.'!$BZ:$BZ,'Cronog. e Histog.'!CX:CX),"")</f>
        <v>0</v>
      </c>
      <c r="AD372" s="144">
        <f>IFERROR(_xlfn.XLOOKUP($B372,'Cronog. e Histog.'!$BZ:$BZ,'Cronog. e Histog.'!CY:CY),"")</f>
        <v>0</v>
      </c>
      <c r="AE372" s="144">
        <f>IFERROR(_xlfn.XLOOKUP($B372,'Cronog. e Histog.'!$BZ:$BZ,'Cronog. e Histog.'!CZ:CZ),"")</f>
        <v>0</v>
      </c>
      <c r="AF372" s="144">
        <f>IFERROR(_xlfn.XLOOKUP($B372,'Cronog. e Histog.'!$BZ:$BZ,'Cronog. e Histog.'!DA:DA),"")</f>
        <v>0</v>
      </c>
      <c r="AG372" s="144">
        <f>IFERROR(_xlfn.XLOOKUP($B372,'Cronog. e Histog.'!$BZ:$BZ,'Cronog. e Histog.'!DB:DB),"")</f>
        <v>0</v>
      </c>
      <c r="AH372" s="144">
        <f>IFERROR(_xlfn.XLOOKUP($B372,'Cronog. e Histog.'!$BZ:$BZ,'Cronog. e Histog.'!DC:DC),"")</f>
        <v>0</v>
      </c>
      <c r="AI372" s="144">
        <f>IFERROR(_xlfn.XLOOKUP($B372,'Cronog. e Histog.'!$BZ:$BZ,'Cronog. e Histog.'!DD:DD),"")</f>
        <v>0</v>
      </c>
      <c r="AJ372" s="144">
        <f>IFERROR(_xlfn.XLOOKUP($B372,'Cronog. e Histog.'!$BZ:$BZ,'Cronog. e Histog.'!DE:DE),"")</f>
        <v>0</v>
      </c>
      <c r="AK372" s="144">
        <f>IFERROR(_xlfn.XLOOKUP($B372,'Cronog. e Histog.'!$BZ:$BZ,'Cronog. e Histog.'!DF:DF),"")</f>
        <v>0</v>
      </c>
      <c r="AL372" s="144">
        <f>IFERROR(_xlfn.XLOOKUP($B372,'Cronog. e Histog.'!$BZ:$BZ,'Cronog. e Histog.'!DG:DG),"")</f>
        <v>0</v>
      </c>
      <c r="AM372" s="144">
        <f>IFERROR(_xlfn.XLOOKUP($B372,'Cronog. e Histog.'!$BZ:$BZ,'Cronog. e Histog.'!DH:DH),"")</f>
        <v>0</v>
      </c>
      <c r="AN372" s="144">
        <f>IFERROR(_xlfn.XLOOKUP($B372,'Cronog. e Histog.'!$BZ:$BZ,'Cronog. e Histog.'!DI:DI),"")</f>
        <v>0</v>
      </c>
      <c r="AO372" s="144">
        <f>IFERROR(_xlfn.XLOOKUP($B372,'Cronog. e Histog.'!$BZ:$BZ,'Cronog. e Histog.'!DJ:DJ),"")</f>
        <v>0</v>
      </c>
      <c r="AP372" s="144">
        <f>IFERROR(_xlfn.XLOOKUP($B372,'Cronog. e Histog.'!$BZ:$BZ,'Cronog. e Histog.'!DK:DK),"")</f>
        <v>0</v>
      </c>
      <c r="AQ372" s="144">
        <f>IFERROR(_xlfn.XLOOKUP($B372,'Cronog. e Histog.'!$BZ:$BZ,'Cronog. e Histog.'!DL:DL),"")</f>
        <v>0</v>
      </c>
      <c r="AR372" s="144">
        <f>IFERROR(_xlfn.XLOOKUP($B372,'Cronog. e Histog.'!$BZ:$BZ,'Cronog. e Histog.'!DM:DM),"")</f>
        <v>0</v>
      </c>
      <c r="AS372" s="144">
        <f>IFERROR(_xlfn.XLOOKUP($B372,'Cronog. e Histog.'!$BZ:$BZ,'Cronog. e Histog.'!DN:DN),"")</f>
        <v>0</v>
      </c>
      <c r="AT372" s="144">
        <f>IFERROR(_xlfn.XLOOKUP($B372,'Cronog. e Histog.'!$BZ:$BZ,'Cronog. e Histog.'!DO:DO),"")</f>
        <v>0</v>
      </c>
      <c r="AU372" s="144">
        <f>IFERROR(_xlfn.XLOOKUP($B372,'Cronog. e Histog.'!$BZ:$BZ,'Cronog. e Histog.'!DP:DP),"")</f>
        <v>0</v>
      </c>
      <c r="AV372" s="144">
        <f>IFERROR(_xlfn.XLOOKUP($B372,'Cronog. e Histog.'!$BZ:$BZ,'Cronog. e Histog.'!DQ:DQ),"")</f>
        <v>0</v>
      </c>
      <c r="AW372" s="144">
        <f>IFERROR(_xlfn.XLOOKUP($B372,'Cronog. e Histog.'!$BZ:$BZ,'Cronog. e Histog.'!DR:DR),"")</f>
        <v>0</v>
      </c>
      <c r="AX372" s="144">
        <f>IFERROR(_xlfn.XLOOKUP($B372,'Cronog. e Histog.'!$BZ:$BZ,'Cronog. e Histog.'!DS:DS),"")</f>
        <v>0</v>
      </c>
      <c r="AY372" s="144">
        <f>IFERROR(_xlfn.XLOOKUP($B372,'Cronog. e Histog.'!$BZ:$BZ,'Cronog. e Histog.'!DT:DT),"")</f>
        <v>0</v>
      </c>
      <c r="AZ372" s="144">
        <f>IFERROR(_xlfn.XLOOKUP($B372,'Cronog. e Histog.'!$BZ:$BZ,'Cronog. e Histog.'!DU:DU),"")</f>
        <v>0</v>
      </c>
      <c r="BA372" s="144">
        <f>IFERROR(_xlfn.XLOOKUP($B372,'Cronog. e Histog.'!$BZ:$BZ,'Cronog. e Histog.'!DV:DV),"")</f>
        <v>0</v>
      </c>
      <c r="BB372" s="144">
        <f>IFERROR(_xlfn.XLOOKUP($B372,'Cronog. e Histog.'!$BZ:$BZ,'Cronog. e Histog.'!DW:DW),"")</f>
        <v>0</v>
      </c>
      <c r="BC372" s="144">
        <f>IFERROR(_xlfn.XLOOKUP($B372,'Cronog. e Histog.'!$BZ:$BZ,'Cronog. e Histog.'!DX:DX),"")</f>
        <v>0</v>
      </c>
      <c r="BD372" s="144">
        <f>IFERROR(_xlfn.XLOOKUP($B372,'Cronog. e Histog.'!$BZ:$BZ,'Cronog. e Histog.'!DY:DY),"")</f>
        <v>0</v>
      </c>
      <c r="BE372" s="144">
        <f>IFERROR(_xlfn.XLOOKUP($B372,'Cronog. e Histog.'!$BZ:$BZ,'Cronog. e Histog.'!DZ:DZ),"")</f>
        <v>0</v>
      </c>
      <c r="BF372" s="144">
        <f>IFERROR(_xlfn.XLOOKUP($B372,'Cronog. e Histog.'!$BZ:$BZ,'Cronog. e Histog.'!EA:EA),"")</f>
        <v>0</v>
      </c>
      <c r="BG372" s="144">
        <f>IFERROR(_xlfn.XLOOKUP($B372,'Cronog. e Histog.'!$BZ:$BZ,'Cronog. e Histog.'!EB:EB),"")</f>
        <v>0</v>
      </c>
      <c r="BH372" s="144">
        <f>IFERROR(_xlfn.XLOOKUP($B372,'Cronog. e Histog.'!$BZ:$BZ,'Cronog. e Histog.'!EC:EC),"")</f>
        <v>0</v>
      </c>
      <c r="BI372" s="144">
        <f>IFERROR(_xlfn.XLOOKUP($B372,'Cronog. e Histog.'!$BZ:$BZ,'Cronog. e Histog.'!ED:ED),"")</f>
        <v>0</v>
      </c>
      <c r="BJ372" s="144">
        <f>IFERROR(_xlfn.XLOOKUP($B372,'Cronog. e Histog.'!$BZ:$BZ,'Cronog. e Histog.'!EE:EE),"")</f>
        <v>0</v>
      </c>
      <c r="BK372" s="144">
        <f>IFERROR(_xlfn.XLOOKUP($B372,'Cronog. e Histog.'!$BZ:$BZ,'Cronog. e Histog.'!EF:EF),"")</f>
        <v>0</v>
      </c>
      <c r="BL372" s="144">
        <f>IFERROR(_xlfn.XLOOKUP($B372,'Cronog. e Histog.'!$BZ:$BZ,'Cronog. e Histog.'!EG:EG),"")</f>
        <v>0</v>
      </c>
      <c r="BM372" s="144">
        <f>IFERROR(_xlfn.XLOOKUP($B372,'Cronog. e Histog.'!$BZ:$BZ,'Cronog. e Histog.'!EH:EH),"")</f>
        <v>0</v>
      </c>
      <c r="BN372" s="144">
        <f>IFERROR(_xlfn.XLOOKUP($B372,'Cronog. e Histog.'!$BZ:$BZ,'Cronog. e Histog.'!EI:EI),"")</f>
        <v>0</v>
      </c>
    </row>
    <row r="373" spans="2:66" ht="12" hidden="1" customHeight="1" outlineLevel="1">
      <c r="B373" s="76">
        <v>367</v>
      </c>
      <c r="C373" s="143" t="str">
        <f>IFERROR(VLOOKUP(B373,'Cronog. e Histog.'!$BZ$213:$CA$747,2,0),"")</f>
        <v>AN SR. ENG/ARQ</v>
      </c>
      <c r="D373" s="144">
        <f t="shared" si="6"/>
        <v>0</v>
      </c>
      <c r="E373" s="144">
        <f t="shared" si="7"/>
        <v>0</v>
      </c>
      <c r="F373" s="65"/>
      <c r="G373" s="144">
        <f>IFERROR(_xlfn.XLOOKUP($B373,'Cronog. e Histog.'!$BZ:$BZ,'Cronog. e Histog.'!CB:CB),"")</f>
        <v>0</v>
      </c>
      <c r="H373" s="144">
        <f>IFERROR(_xlfn.XLOOKUP($B373,'Cronog. e Histog.'!$BZ:$BZ,'Cronog. e Histog.'!CC:CC),"")</f>
        <v>0</v>
      </c>
      <c r="I373" s="144">
        <f>IFERROR(_xlfn.XLOOKUP($B373,'Cronog. e Histog.'!$BZ:$BZ,'Cronog. e Histog.'!CD:CD),"")</f>
        <v>0</v>
      </c>
      <c r="J373" s="144">
        <f>IFERROR(_xlfn.XLOOKUP($B373,'Cronog. e Histog.'!$BZ:$BZ,'Cronog. e Histog.'!CE:CE),"")</f>
        <v>0</v>
      </c>
      <c r="K373" s="144">
        <f>IFERROR(_xlfn.XLOOKUP($B373,'Cronog. e Histog.'!$BZ:$BZ,'Cronog. e Histog.'!CF:CF),"")</f>
        <v>0</v>
      </c>
      <c r="L373" s="144">
        <f>IFERROR(_xlfn.XLOOKUP($B373,'Cronog. e Histog.'!$BZ:$BZ,'Cronog. e Histog.'!CG:CG),"")</f>
        <v>0</v>
      </c>
      <c r="M373" s="144">
        <f>IFERROR(_xlfn.XLOOKUP($B373,'Cronog. e Histog.'!$BZ:$BZ,'Cronog. e Histog.'!CH:CH),"")</f>
        <v>0</v>
      </c>
      <c r="N373" s="144">
        <f>IFERROR(_xlfn.XLOOKUP($B373,'Cronog. e Histog.'!$BZ:$BZ,'Cronog. e Histog.'!CI:CI),"")</f>
        <v>0</v>
      </c>
      <c r="O373" s="144">
        <f>IFERROR(_xlfn.XLOOKUP($B373,'Cronog. e Histog.'!$BZ:$BZ,'Cronog. e Histog.'!CJ:CJ),"")</f>
        <v>0</v>
      </c>
      <c r="P373" s="144">
        <f>IFERROR(_xlfn.XLOOKUP($B373,'Cronog. e Histog.'!$BZ:$BZ,'Cronog. e Histog.'!CK:CK),"")</f>
        <v>0</v>
      </c>
      <c r="Q373" s="144">
        <f>IFERROR(_xlfn.XLOOKUP($B373,'Cronog. e Histog.'!$BZ:$BZ,'Cronog. e Histog.'!CL:CL),"")</f>
        <v>0</v>
      </c>
      <c r="R373" s="144">
        <f>IFERROR(_xlfn.XLOOKUP($B373,'Cronog. e Histog.'!$BZ:$BZ,'Cronog. e Histog.'!CM:CM),"")</f>
        <v>0</v>
      </c>
      <c r="S373" s="144">
        <f>IFERROR(_xlfn.XLOOKUP($B373,'Cronog. e Histog.'!$BZ:$BZ,'Cronog. e Histog.'!CN:CN),"")</f>
        <v>0</v>
      </c>
      <c r="T373" s="144">
        <f>IFERROR(_xlfn.XLOOKUP($B373,'Cronog. e Histog.'!$BZ:$BZ,'Cronog. e Histog.'!CO:CO),"")</f>
        <v>0</v>
      </c>
      <c r="U373" s="144">
        <f>IFERROR(_xlfn.XLOOKUP($B373,'Cronog. e Histog.'!$BZ:$BZ,'Cronog. e Histog.'!CP:CP),"")</f>
        <v>0</v>
      </c>
      <c r="V373" s="144">
        <f>IFERROR(_xlfn.XLOOKUP($B373,'Cronog. e Histog.'!$BZ:$BZ,'Cronog. e Histog.'!CQ:CQ),"")</f>
        <v>0</v>
      </c>
      <c r="W373" s="144">
        <f>IFERROR(_xlfn.XLOOKUP($B373,'Cronog. e Histog.'!$BZ:$BZ,'Cronog. e Histog.'!CR:CR),"")</f>
        <v>0</v>
      </c>
      <c r="X373" s="144">
        <f>IFERROR(_xlfn.XLOOKUP($B373,'Cronog. e Histog.'!$BZ:$BZ,'Cronog. e Histog.'!CS:CS),"")</f>
        <v>0</v>
      </c>
      <c r="Y373" s="144">
        <f>IFERROR(_xlfn.XLOOKUP($B373,'Cronog. e Histog.'!$BZ:$BZ,'Cronog. e Histog.'!CT:CT),"")</f>
        <v>0</v>
      </c>
      <c r="Z373" s="144">
        <f>IFERROR(_xlfn.XLOOKUP($B373,'Cronog. e Histog.'!$BZ:$BZ,'Cronog. e Histog.'!CU:CU),"")</f>
        <v>0</v>
      </c>
      <c r="AA373" s="144">
        <f>IFERROR(_xlfn.XLOOKUP($B373,'Cronog. e Histog.'!$BZ:$BZ,'Cronog. e Histog.'!CV:CV),"")</f>
        <v>0</v>
      </c>
      <c r="AB373" s="144">
        <f>IFERROR(_xlfn.XLOOKUP($B373,'Cronog. e Histog.'!$BZ:$BZ,'Cronog. e Histog.'!CW:CW),"")</f>
        <v>0</v>
      </c>
      <c r="AC373" s="144">
        <f>IFERROR(_xlfn.XLOOKUP($B373,'Cronog. e Histog.'!$BZ:$BZ,'Cronog. e Histog.'!CX:CX),"")</f>
        <v>0</v>
      </c>
      <c r="AD373" s="144">
        <f>IFERROR(_xlfn.XLOOKUP($B373,'Cronog. e Histog.'!$BZ:$BZ,'Cronog. e Histog.'!CY:CY),"")</f>
        <v>0</v>
      </c>
      <c r="AE373" s="144">
        <f>IFERROR(_xlfn.XLOOKUP($B373,'Cronog. e Histog.'!$BZ:$BZ,'Cronog. e Histog.'!CZ:CZ),"")</f>
        <v>0</v>
      </c>
      <c r="AF373" s="144">
        <f>IFERROR(_xlfn.XLOOKUP($B373,'Cronog. e Histog.'!$BZ:$BZ,'Cronog. e Histog.'!DA:DA),"")</f>
        <v>0</v>
      </c>
      <c r="AG373" s="144">
        <f>IFERROR(_xlfn.XLOOKUP($B373,'Cronog. e Histog.'!$BZ:$BZ,'Cronog. e Histog.'!DB:DB),"")</f>
        <v>0</v>
      </c>
      <c r="AH373" s="144">
        <f>IFERROR(_xlfn.XLOOKUP($B373,'Cronog. e Histog.'!$BZ:$BZ,'Cronog. e Histog.'!DC:DC),"")</f>
        <v>0</v>
      </c>
      <c r="AI373" s="144">
        <f>IFERROR(_xlfn.XLOOKUP($B373,'Cronog. e Histog.'!$BZ:$BZ,'Cronog. e Histog.'!DD:DD),"")</f>
        <v>0</v>
      </c>
      <c r="AJ373" s="144">
        <f>IFERROR(_xlfn.XLOOKUP($B373,'Cronog. e Histog.'!$BZ:$BZ,'Cronog. e Histog.'!DE:DE),"")</f>
        <v>0</v>
      </c>
      <c r="AK373" s="144">
        <f>IFERROR(_xlfn.XLOOKUP($B373,'Cronog. e Histog.'!$BZ:$BZ,'Cronog. e Histog.'!DF:DF),"")</f>
        <v>0</v>
      </c>
      <c r="AL373" s="144">
        <f>IFERROR(_xlfn.XLOOKUP($B373,'Cronog. e Histog.'!$BZ:$BZ,'Cronog. e Histog.'!DG:DG),"")</f>
        <v>0</v>
      </c>
      <c r="AM373" s="144">
        <f>IFERROR(_xlfn.XLOOKUP($B373,'Cronog. e Histog.'!$BZ:$BZ,'Cronog. e Histog.'!DH:DH),"")</f>
        <v>0</v>
      </c>
      <c r="AN373" s="144">
        <f>IFERROR(_xlfn.XLOOKUP($B373,'Cronog. e Histog.'!$BZ:$BZ,'Cronog. e Histog.'!DI:DI),"")</f>
        <v>0</v>
      </c>
      <c r="AO373" s="144">
        <f>IFERROR(_xlfn.XLOOKUP($B373,'Cronog. e Histog.'!$BZ:$BZ,'Cronog. e Histog.'!DJ:DJ),"")</f>
        <v>0</v>
      </c>
      <c r="AP373" s="144">
        <f>IFERROR(_xlfn.XLOOKUP($B373,'Cronog. e Histog.'!$BZ:$BZ,'Cronog. e Histog.'!DK:DK),"")</f>
        <v>0</v>
      </c>
      <c r="AQ373" s="144">
        <f>IFERROR(_xlfn.XLOOKUP($B373,'Cronog. e Histog.'!$BZ:$BZ,'Cronog. e Histog.'!DL:DL),"")</f>
        <v>0</v>
      </c>
      <c r="AR373" s="144">
        <f>IFERROR(_xlfn.XLOOKUP($B373,'Cronog. e Histog.'!$BZ:$BZ,'Cronog. e Histog.'!DM:DM),"")</f>
        <v>0</v>
      </c>
      <c r="AS373" s="144">
        <f>IFERROR(_xlfn.XLOOKUP($B373,'Cronog. e Histog.'!$BZ:$BZ,'Cronog. e Histog.'!DN:DN),"")</f>
        <v>0</v>
      </c>
      <c r="AT373" s="144">
        <f>IFERROR(_xlfn.XLOOKUP($B373,'Cronog. e Histog.'!$BZ:$BZ,'Cronog. e Histog.'!DO:DO),"")</f>
        <v>0</v>
      </c>
      <c r="AU373" s="144">
        <f>IFERROR(_xlfn.XLOOKUP($B373,'Cronog. e Histog.'!$BZ:$BZ,'Cronog. e Histog.'!DP:DP),"")</f>
        <v>0</v>
      </c>
      <c r="AV373" s="144">
        <f>IFERROR(_xlfn.XLOOKUP($B373,'Cronog. e Histog.'!$BZ:$BZ,'Cronog. e Histog.'!DQ:DQ),"")</f>
        <v>0</v>
      </c>
      <c r="AW373" s="144">
        <f>IFERROR(_xlfn.XLOOKUP($B373,'Cronog. e Histog.'!$BZ:$BZ,'Cronog. e Histog.'!DR:DR),"")</f>
        <v>0</v>
      </c>
      <c r="AX373" s="144">
        <f>IFERROR(_xlfn.XLOOKUP($B373,'Cronog. e Histog.'!$BZ:$BZ,'Cronog. e Histog.'!DS:DS),"")</f>
        <v>0</v>
      </c>
      <c r="AY373" s="144">
        <f>IFERROR(_xlfn.XLOOKUP($B373,'Cronog. e Histog.'!$BZ:$BZ,'Cronog. e Histog.'!DT:DT),"")</f>
        <v>0</v>
      </c>
      <c r="AZ373" s="144">
        <f>IFERROR(_xlfn.XLOOKUP($B373,'Cronog. e Histog.'!$BZ:$BZ,'Cronog. e Histog.'!DU:DU),"")</f>
        <v>0</v>
      </c>
      <c r="BA373" s="144">
        <f>IFERROR(_xlfn.XLOOKUP($B373,'Cronog. e Histog.'!$BZ:$BZ,'Cronog. e Histog.'!DV:DV),"")</f>
        <v>0</v>
      </c>
      <c r="BB373" s="144">
        <f>IFERROR(_xlfn.XLOOKUP($B373,'Cronog. e Histog.'!$BZ:$BZ,'Cronog. e Histog.'!DW:DW),"")</f>
        <v>0</v>
      </c>
      <c r="BC373" s="144">
        <f>IFERROR(_xlfn.XLOOKUP($B373,'Cronog. e Histog.'!$BZ:$BZ,'Cronog. e Histog.'!DX:DX),"")</f>
        <v>0</v>
      </c>
      <c r="BD373" s="144">
        <f>IFERROR(_xlfn.XLOOKUP($B373,'Cronog. e Histog.'!$BZ:$BZ,'Cronog. e Histog.'!DY:DY),"")</f>
        <v>0</v>
      </c>
      <c r="BE373" s="144">
        <f>IFERROR(_xlfn.XLOOKUP($B373,'Cronog. e Histog.'!$BZ:$BZ,'Cronog. e Histog.'!DZ:DZ),"")</f>
        <v>0</v>
      </c>
      <c r="BF373" s="144">
        <f>IFERROR(_xlfn.XLOOKUP($B373,'Cronog. e Histog.'!$BZ:$BZ,'Cronog. e Histog.'!EA:EA),"")</f>
        <v>0</v>
      </c>
      <c r="BG373" s="144">
        <f>IFERROR(_xlfn.XLOOKUP($B373,'Cronog. e Histog.'!$BZ:$BZ,'Cronog. e Histog.'!EB:EB),"")</f>
        <v>0</v>
      </c>
      <c r="BH373" s="144">
        <f>IFERROR(_xlfn.XLOOKUP($B373,'Cronog. e Histog.'!$BZ:$BZ,'Cronog. e Histog.'!EC:EC),"")</f>
        <v>0</v>
      </c>
      <c r="BI373" s="144">
        <f>IFERROR(_xlfn.XLOOKUP($B373,'Cronog. e Histog.'!$BZ:$BZ,'Cronog. e Histog.'!ED:ED),"")</f>
        <v>0</v>
      </c>
      <c r="BJ373" s="144">
        <f>IFERROR(_xlfn.XLOOKUP($B373,'Cronog. e Histog.'!$BZ:$BZ,'Cronog. e Histog.'!EE:EE),"")</f>
        <v>0</v>
      </c>
      <c r="BK373" s="144">
        <f>IFERROR(_xlfn.XLOOKUP($B373,'Cronog. e Histog.'!$BZ:$BZ,'Cronog. e Histog.'!EF:EF),"")</f>
        <v>0</v>
      </c>
      <c r="BL373" s="144">
        <f>IFERROR(_xlfn.XLOOKUP($B373,'Cronog. e Histog.'!$BZ:$BZ,'Cronog. e Histog.'!EG:EG),"")</f>
        <v>0</v>
      </c>
      <c r="BM373" s="144">
        <f>IFERROR(_xlfn.XLOOKUP($B373,'Cronog. e Histog.'!$BZ:$BZ,'Cronog. e Histog.'!EH:EH),"")</f>
        <v>0</v>
      </c>
      <c r="BN373" s="144">
        <f>IFERROR(_xlfn.XLOOKUP($B373,'Cronog. e Histog.'!$BZ:$BZ,'Cronog. e Histog.'!EI:EI),"")</f>
        <v>0</v>
      </c>
    </row>
    <row r="374" spans="2:66" ht="12" hidden="1" customHeight="1" outlineLevel="1">
      <c r="B374" s="76">
        <v>368</v>
      </c>
      <c r="C374" s="143" t="str">
        <f>IFERROR(VLOOKUP(B374,'Cronog. e Histog.'!$BZ$213:$CA$747,2,0),"")</f>
        <v>AN PL. ENG/ARQ</v>
      </c>
      <c r="D374" s="144">
        <f t="shared" si="6"/>
        <v>0</v>
      </c>
      <c r="E374" s="144">
        <f t="shared" si="7"/>
        <v>0</v>
      </c>
      <c r="F374" s="65"/>
      <c r="G374" s="144">
        <f>IFERROR(_xlfn.XLOOKUP($B374,'Cronog. e Histog.'!$BZ:$BZ,'Cronog. e Histog.'!CB:CB),"")</f>
        <v>0</v>
      </c>
      <c r="H374" s="144">
        <f>IFERROR(_xlfn.XLOOKUP($B374,'Cronog. e Histog.'!$BZ:$BZ,'Cronog. e Histog.'!CC:CC),"")</f>
        <v>0</v>
      </c>
      <c r="I374" s="144">
        <f>IFERROR(_xlfn.XLOOKUP($B374,'Cronog. e Histog.'!$BZ:$BZ,'Cronog. e Histog.'!CD:CD),"")</f>
        <v>0</v>
      </c>
      <c r="J374" s="144">
        <f>IFERROR(_xlfn.XLOOKUP($B374,'Cronog. e Histog.'!$BZ:$BZ,'Cronog. e Histog.'!CE:CE),"")</f>
        <v>0</v>
      </c>
      <c r="K374" s="144">
        <f>IFERROR(_xlfn.XLOOKUP($B374,'Cronog. e Histog.'!$BZ:$BZ,'Cronog. e Histog.'!CF:CF),"")</f>
        <v>0</v>
      </c>
      <c r="L374" s="144">
        <f>IFERROR(_xlfn.XLOOKUP($B374,'Cronog. e Histog.'!$BZ:$BZ,'Cronog. e Histog.'!CG:CG),"")</f>
        <v>0</v>
      </c>
      <c r="M374" s="144">
        <f>IFERROR(_xlfn.XLOOKUP($B374,'Cronog. e Histog.'!$BZ:$BZ,'Cronog. e Histog.'!CH:CH),"")</f>
        <v>0</v>
      </c>
      <c r="N374" s="144">
        <f>IFERROR(_xlfn.XLOOKUP($B374,'Cronog. e Histog.'!$BZ:$BZ,'Cronog. e Histog.'!CI:CI),"")</f>
        <v>0</v>
      </c>
      <c r="O374" s="144">
        <f>IFERROR(_xlfn.XLOOKUP($B374,'Cronog. e Histog.'!$BZ:$BZ,'Cronog. e Histog.'!CJ:CJ),"")</f>
        <v>0</v>
      </c>
      <c r="P374" s="144">
        <f>IFERROR(_xlfn.XLOOKUP($B374,'Cronog. e Histog.'!$BZ:$BZ,'Cronog. e Histog.'!CK:CK),"")</f>
        <v>0</v>
      </c>
      <c r="Q374" s="144">
        <f>IFERROR(_xlfn.XLOOKUP($B374,'Cronog. e Histog.'!$BZ:$BZ,'Cronog. e Histog.'!CL:CL),"")</f>
        <v>0</v>
      </c>
      <c r="R374" s="144">
        <f>IFERROR(_xlfn.XLOOKUP($B374,'Cronog. e Histog.'!$BZ:$BZ,'Cronog. e Histog.'!CM:CM),"")</f>
        <v>0</v>
      </c>
      <c r="S374" s="144">
        <f>IFERROR(_xlfn.XLOOKUP($B374,'Cronog. e Histog.'!$BZ:$BZ,'Cronog. e Histog.'!CN:CN),"")</f>
        <v>0</v>
      </c>
      <c r="T374" s="144">
        <f>IFERROR(_xlfn.XLOOKUP($B374,'Cronog. e Histog.'!$BZ:$BZ,'Cronog. e Histog.'!CO:CO),"")</f>
        <v>0</v>
      </c>
      <c r="U374" s="144">
        <f>IFERROR(_xlfn.XLOOKUP($B374,'Cronog. e Histog.'!$BZ:$BZ,'Cronog. e Histog.'!CP:CP),"")</f>
        <v>0</v>
      </c>
      <c r="V374" s="144">
        <f>IFERROR(_xlfn.XLOOKUP($B374,'Cronog. e Histog.'!$BZ:$BZ,'Cronog. e Histog.'!CQ:CQ),"")</f>
        <v>0</v>
      </c>
      <c r="W374" s="144">
        <f>IFERROR(_xlfn.XLOOKUP($B374,'Cronog. e Histog.'!$BZ:$BZ,'Cronog. e Histog.'!CR:CR),"")</f>
        <v>0</v>
      </c>
      <c r="X374" s="144">
        <f>IFERROR(_xlfn.XLOOKUP($B374,'Cronog. e Histog.'!$BZ:$BZ,'Cronog. e Histog.'!CS:CS),"")</f>
        <v>0</v>
      </c>
      <c r="Y374" s="144">
        <f>IFERROR(_xlfn.XLOOKUP($B374,'Cronog. e Histog.'!$BZ:$BZ,'Cronog. e Histog.'!CT:CT),"")</f>
        <v>0</v>
      </c>
      <c r="Z374" s="144">
        <f>IFERROR(_xlfn.XLOOKUP($B374,'Cronog. e Histog.'!$BZ:$BZ,'Cronog. e Histog.'!CU:CU),"")</f>
        <v>0</v>
      </c>
      <c r="AA374" s="144">
        <f>IFERROR(_xlfn.XLOOKUP($B374,'Cronog. e Histog.'!$BZ:$BZ,'Cronog. e Histog.'!CV:CV),"")</f>
        <v>0</v>
      </c>
      <c r="AB374" s="144">
        <f>IFERROR(_xlfn.XLOOKUP($B374,'Cronog. e Histog.'!$BZ:$BZ,'Cronog. e Histog.'!CW:CW),"")</f>
        <v>0</v>
      </c>
      <c r="AC374" s="144">
        <f>IFERROR(_xlfn.XLOOKUP($B374,'Cronog. e Histog.'!$BZ:$BZ,'Cronog. e Histog.'!CX:CX),"")</f>
        <v>0</v>
      </c>
      <c r="AD374" s="144">
        <f>IFERROR(_xlfn.XLOOKUP($B374,'Cronog. e Histog.'!$BZ:$BZ,'Cronog. e Histog.'!CY:CY),"")</f>
        <v>0</v>
      </c>
      <c r="AE374" s="144">
        <f>IFERROR(_xlfn.XLOOKUP($B374,'Cronog. e Histog.'!$BZ:$BZ,'Cronog. e Histog.'!CZ:CZ),"")</f>
        <v>0</v>
      </c>
      <c r="AF374" s="144">
        <f>IFERROR(_xlfn.XLOOKUP($B374,'Cronog. e Histog.'!$BZ:$BZ,'Cronog. e Histog.'!DA:DA),"")</f>
        <v>0</v>
      </c>
      <c r="AG374" s="144">
        <f>IFERROR(_xlfn.XLOOKUP($B374,'Cronog. e Histog.'!$BZ:$BZ,'Cronog. e Histog.'!DB:DB),"")</f>
        <v>0</v>
      </c>
      <c r="AH374" s="144">
        <f>IFERROR(_xlfn.XLOOKUP($B374,'Cronog. e Histog.'!$BZ:$BZ,'Cronog. e Histog.'!DC:DC),"")</f>
        <v>0</v>
      </c>
      <c r="AI374" s="144">
        <f>IFERROR(_xlfn.XLOOKUP($B374,'Cronog. e Histog.'!$BZ:$BZ,'Cronog. e Histog.'!DD:DD),"")</f>
        <v>0</v>
      </c>
      <c r="AJ374" s="144">
        <f>IFERROR(_xlfn.XLOOKUP($B374,'Cronog. e Histog.'!$BZ:$BZ,'Cronog. e Histog.'!DE:DE),"")</f>
        <v>0</v>
      </c>
      <c r="AK374" s="144">
        <f>IFERROR(_xlfn.XLOOKUP($B374,'Cronog. e Histog.'!$BZ:$BZ,'Cronog. e Histog.'!DF:DF),"")</f>
        <v>0</v>
      </c>
      <c r="AL374" s="144">
        <f>IFERROR(_xlfn.XLOOKUP($B374,'Cronog. e Histog.'!$BZ:$BZ,'Cronog. e Histog.'!DG:DG),"")</f>
        <v>0</v>
      </c>
      <c r="AM374" s="144">
        <f>IFERROR(_xlfn.XLOOKUP($B374,'Cronog. e Histog.'!$BZ:$BZ,'Cronog. e Histog.'!DH:DH),"")</f>
        <v>0</v>
      </c>
      <c r="AN374" s="144">
        <f>IFERROR(_xlfn.XLOOKUP($B374,'Cronog. e Histog.'!$BZ:$BZ,'Cronog. e Histog.'!DI:DI),"")</f>
        <v>0</v>
      </c>
      <c r="AO374" s="144">
        <f>IFERROR(_xlfn.XLOOKUP($B374,'Cronog. e Histog.'!$BZ:$BZ,'Cronog. e Histog.'!DJ:DJ),"")</f>
        <v>0</v>
      </c>
      <c r="AP374" s="144">
        <f>IFERROR(_xlfn.XLOOKUP($B374,'Cronog. e Histog.'!$BZ:$BZ,'Cronog. e Histog.'!DK:DK),"")</f>
        <v>0</v>
      </c>
      <c r="AQ374" s="144">
        <f>IFERROR(_xlfn.XLOOKUP($B374,'Cronog. e Histog.'!$BZ:$BZ,'Cronog. e Histog.'!DL:DL),"")</f>
        <v>0</v>
      </c>
      <c r="AR374" s="144">
        <f>IFERROR(_xlfn.XLOOKUP($B374,'Cronog. e Histog.'!$BZ:$BZ,'Cronog. e Histog.'!DM:DM),"")</f>
        <v>0</v>
      </c>
      <c r="AS374" s="144">
        <f>IFERROR(_xlfn.XLOOKUP($B374,'Cronog. e Histog.'!$BZ:$BZ,'Cronog. e Histog.'!DN:DN),"")</f>
        <v>0</v>
      </c>
      <c r="AT374" s="144">
        <f>IFERROR(_xlfn.XLOOKUP($B374,'Cronog. e Histog.'!$BZ:$BZ,'Cronog. e Histog.'!DO:DO),"")</f>
        <v>0</v>
      </c>
      <c r="AU374" s="144">
        <f>IFERROR(_xlfn.XLOOKUP($B374,'Cronog. e Histog.'!$BZ:$BZ,'Cronog. e Histog.'!DP:DP),"")</f>
        <v>0</v>
      </c>
      <c r="AV374" s="144">
        <f>IFERROR(_xlfn.XLOOKUP($B374,'Cronog. e Histog.'!$BZ:$BZ,'Cronog. e Histog.'!DQ:DQ),"")</f>
        <v>0</v>
      </c>
      <c r="AW374" s="144">
        <f>IFERROR(_xlfn.XLOOKUP($B374,'Cronog. e Histog.'!$BZ:$BZ,'Cronog. e Histog.'!DR:DR),"")</f>
        <v>0</v>
      </c>
      <c r="AX374" s="144">
        <f>IFERROR(_xlfn.XLOOKUP($B374,'Cronog. e Histog.'!$BZ:$BZ,'Cronog. e Histog.'!DS:DS),"")</f>
        <v>0</v>
      </c>
      <c r="AY374" s="144">
        <f>IFERROR(_xlfn.XLOOKUP($B374,'Cronog. e Histog.'!$BZ:$BZ,'Cronog. e Histog.'!DT:DT),"")</f>
        <v>0</v>
      </c>
      <c r="AZ374" s="144">
        <f>IFERROR(_xlfn.XLOOKUP($B374,'Cronog. e Histog.'!$BZ:$BZ,'Cronog. e Histog.'!DU:DU),"")</f>
        <v>0</v>
      </c>
      <c r="BA374" s="144">
        <f>IFERROR(_xlfn.XLOOKUP($B374,'Cronog. e Histog.'!$BZ:$BZ,'Cronog. e Histog.'!DV:DV),"")</f>
        <v>0</v>
      </c>
      <c r="BB374" s="144">
        <f>IFERROR(_xlfn.XLOOKUP($B374,'Cronog. e Histog.'!$BZ:$BZ,'Cronog. e Histog.'!DW:DW),"")</f>
        <v>0</v>
      </c>
      <c r="BC374" s="144">
        <f>IFERROR(_xlfn.XLOOKUP($B374,'Cronog. e Histog.'!$BZ:$BZ,'Cronog. e Histog.'!DX:DX),"")</f>
        <v>0</v>
      </c>
      <c r="BD374" s="144">
        <f>IFERROR(_xlfn.XLOOKUP($B374,'Cronog. e Histog.'!$BZ:$BZ,'Cronog. e Histog.'!DY:DY),"")</f>
        <v>0</v>
      </c>
      <c r="BE374" s="144">
        <f>IFERROR(_xlfn.XLOOKUP($B374,'Cronog. e Histog.'!$BZ:$BZ,'Cronog. e Histog.'!DZ:DZ),"")</f>
        <v>0</v>
      </c>
      <c r="BF374" s="144">
        <f>IFERROR(_xlfn.XLOOKUP($B374,'Cronog. e Histog.'!$BZ:$BZ,'Cronog. e Histog.'!EA:EA),"")</f>
        <v>0</v>
      </c>
      <c r="BG374" s="144">
        <f>IFERROR(_xlfn.XLOOKUP($B374,'Cronog. e Histog.'!$BZ:$BZ,'Cronog. e Histog.'!EB:EB),"")</f>
        <v>0</v>
      </c>
      <c r="BH374" s="144">
        <f>IFERROR(_xlfn.XLOOKUP($B374,'Cronog. e Histog.'!$BZ:$BZ,'Cronog. e Histog.'!EC:EC),"")</f>
        <v>0</v>
      </c>
      <c r="BI374" s="144">
        <f>IFERROR(_xlfn.XLOOKUP($B374,'Cronog. e Histog.'!$BZ:$BZ,'Cronog. e Histog.'!ED:ED),"")</f>
        <v>0</v>
      </c>
      <c r="BJ374" s="144">
        <f>IFERROR(_xlfn.XLOOKUP($B374,'Cronog. e Histog.'!$BZ:$BZ,'Cronog. e Histog.'!EE:EE),"")</f>
        <v>0</v>
      </c>
      <c r="BK374" s="144">
        <f>IFERROR(_xlfn.XLOOKUP($B374,'Cronog. e Histog.'!$BZ:$BZ,'Cronog. e Histog.'!EF:EF),"")</f>
        <v>0</v>
      </c>
      <c r="BL374" s="144">
        <f>IFERROR(_xlfn.XLOOKUP($B374,'Cronog. e Histog.'!$BZ:$BZ,'Cronog. e Histog.'!EG:EG),"")</f>
        <v>0</v>
      </c>
      <c r="BM374" s="144">
        <f>IFERROR(_xlfn.XLOOKUP($B374,'Cronog. e Histog.'!$BZ:$BZ,'Cronog. e Histog.'!EH:EH),"")</f>
        <v>0</v>
      </c>
      <c r="BN374" s="144">
        <f>IFERROR(_xlfn.XLOOKUP($B374,'Cronog. e Histog.'!$BZ:$BZ,'Cronog. e Histog.'!EI:EI),"")</f>
        <v>0</v>
      </c>
    </row>
    <row r="375" spans="2:66" ht="12" hidden="1" customHeight="1" outlineLevel="1">
      <c r="B375" s="76">
        <v>369</v>
      </c>
      <c r="C375" s="143" t="str">
        <f>IFERROR(VLOOKUP(B375,'Cronog. e Histog.'!$BZ$213:$CA$747,2,0),"")</f>
        <v>AN JR. ENG/ARQ</v>
      </c>
      <c r="D375" s="144">
        <f t="shared" si="6"/>
        <v>0</v>
      </c>
      <c r="E375" s="144">
        <f t="shared" si="7"/>
        <v>0</v>
      </c>
      <c r="F375" s="65"/>
      <c r="G375" s="144">
        <f>IFERROR(_xlfn.XLOOKUP($B375,'Cronog. e Histog.'!$BZ:$BZ,'Cronog. e Histog.'!CB:CB),"")</f>
        <v>0</v>
      </c>
      <c r="H375" s="144">
        <f>IFERROR(_xlfn.XLOOKUP($B375,'Cronog. e Histog.'!$BZ:$BZ,'Cronog. e Histog.'!CC:CC),"")</f>
        <v>0</v>
      </c>
      <c r="I375" s="144">
        <f>IFERROR(_xlfn.XLOOKUP($B375,'Cronog. e Histog.'!$BZ:$BZ,'Cronog. e Histog.'!CD:CD),"")</f>
        <v>0</v>
      </c>
      <c r="J375" s="144">
        <f>IFERROR(_xlfn.XLOOKUP($B375,'Cronog. e Histog.'!$BZ:$BZ,'Cronog. e Histog.'!CE:CE),"")</f>
        <v>0</v>
      </c>
      <c r="K375" s="144">
        <f>IFERROR(_xlfn.XLOOKUP($B375,'Cronog. e Histog.'!$BZ:$BZ,'Cronog. e Histog.'!CF:CF),"")</f>
        <v>0</v>
      </c>
      <c r="L375" s="144">
        <f>IFERROR(_xlfn.XLOOKUP($B375,'Cronog. e Histog.'!$BZ:$BZ,'Cronog. e Histog.'!CG:CG),"")</f>
        <v>0</v>
      </c>
      <c r="M375" s="144">
        <f>IFERROR(_xlfn.XLOOKUP($B375,'Cronog. e Histog.'!$BZ:$BZ,'Cronog. e Histog.'!CH:CH),"")</f>
        <v>0</v>
      </c>
      <c r="N375" s="144">
        <f>IFERROR(_xlfn.XLOOKUP($B375,'Cronog. e Histog.'!$BZ:$BZ,'Cronog. e Histog.'!CI:CI),"")</f>
        <v>0</v>
      </c>
      <c r="O375" s="144">
        <f>IFERROR(_xlfn.XLOOKUP($B375,'Cronog. e Histog.'!$BZ:$BZ,'Cronog. e Histog.'!CJ:CJ),"")</f>
        <v>0</v>
      </c>
      <c r="P375" s="144">
        <f>IFERROR(_xlfn.XLOOKUP($B375,'Cronog. e Histog.'!$BZ:$BZ,'Cronog. e Histog.'!CK:CK),"")</f>
        <v>0</v>
      </c>
      <c r="Q375" s="144">
        <f>IFERROR(_xlfn.XLOOKUP($B375,'Cronog. e Histog.'!$BZ:$BZ,'Cronog. e Histog.'!CL:CL),"")</f>
        <v>0</v>
      </c>
      <c r="R375" s="144">
        <f>IFERROR(_xlfn.XLOOKUP($B375,'Cronog. e Histog.'!$BZ:$BZ,'Cronog. e Histog.'!CM:CM),"")</f>
        <v>0</v>
      </c>
      <c r="S375" s="144">
        <f>IFERROR(_xlfn.XLOOKUP($B375,'Cronog. e Histog.'!$BZ:$BZ,'Cronog. e Histog.'!CN:CN),"")</f>
        <v>0</v>
      </c>
      <c r="T375" s="144">
        <f>IFERROR(_xlfn.XLOOKUP($B375,'Cronog. e Histog.'!$BZ:$BZ,'Cronog. e Histog.'!CO:CO),"")</f>
        <v>0</v>
      </c>
      <c r="U375" s="144">
        <f>IFERROR(_xlfn.XLOOKUP($B375,'Cronog. e Histog.'!$BZ:$BZ,'Cronog. e Histog.'!CP:CP),"")</f>
        <v>0</v>
      </c>
      <c r="V375" s="144">
        <f>IFERROR(_xlfn.XLOOKUP($B375,'Cronog. e Histog.'!$BZ:$BZ,'Cronog. e Histog.'!CQ:CQ),"")</f>
        <v>0</v>
      </c>
      <c r="W375" s="144">
        <f>IFERROR(_xlfn.XLOOKUP($B375,'Cronog. e Histog.'!$BZ:$BZ,'Cronog. e Histog.'!CR:CR),"")</f>
        <v>0</v>
      </c>
      <c r="X375" s="144">
        <f>IFERROR(_xlfn.XLOOKUP($B375,'Cronog. e Histog.'!$BZ:$BZ,'Cronog. e Histog.'!CS:CS),"")</f>
        <v>0</v>
      </c>
      <c r="Y375" s="144">
        <f>IFERROR(_xlfn.XLOOKUP($B375,'Cronog. e Histog.'!$BZ:$BZ,'Cronog. e Histog.'!CT:CT),"")</f>
        <v>0</v>
      </c>
      <c r="Z375" s="144">
        <f>IFERROR(_xlfn.XLOOKUP($B375,'Cronog. e Histog.'!$BZ:$BZ,'Cronog. e Histog.'!CU:CU),"")</f>
        <v>0</v>
      </c>
      <c r="AA375" s="144">
        <f>IFERROR(_xlfn.XLOOKUP($B375,'Cronog. e Histog.'!$BZ:$BZ,'Cronog. e Histog.'!CV:CV),"")</f>
        <v>0</v>
      </c>
      <c r="AB375" s="144">
        <f>IFERROR(_xlfn.XLOOKUP($B375,'Cronog. e Histog.'!$BZ:$BZ,'Cronog. e Histog.'!CW:CW),"")</f>
        <v>0</v>
      </c>
      <c r="AC375" s="144">
        <f>IFERROR(_xlfn.XLOOKUP($B375,'Cronog. e Histog.'!$BZ:$BZ,'Cronog. e Histog.'!CX:CX),"")</f>
        <v>0</v>
      </c>
      <c r="AD375" s="144">
        <f>IFERROR(_xlfn.XLOOKUP($B375,'Cronog. e Histog.'!$BZ:$BZ,'Cronog. e Histog.'!CY:CY),"")</f>
        <v>0</v>
      </c>
      <c r="AE375" s="144">
        <f>IFERROR(_xlfn.XLOOKUP($B375,'Cronog. e Histog.'!$BZ:$BZ,'Cronog. e Histog.'!CZ:CZ),"")</f>
        <v>0</v>
      </c>
      <c r="AF375" s="144">
        <f>IFERROR(_xlfn.XLOOKUP($B375,'Cronog. e Histog.'!$BZ:$BZ,'Cronog. e Histog.'!DA:DA),"")</f>
        <v>0</v>
      </c>
      <c r="AG375" s="144">
        <f>IFERROR(_xlfn.XLOOKUP($B375,'Cronog. e Histog.'!$BZ:$BZ,'Cronog. e Histog.'!DB:DB),"")</f>
        <v>0</v>
      </c>
      <c r="AH375" s="144">
        <f>IFERROR(_xlfn.XLOOKUP($B375,'Cronog. e Histog.'!$BZ:$BZ,'Cronog. e Histog.'!DC:DC),"")</f>
        <v>0</v>
      </c>
      <c r="AI375" s="144">
        <f>IFERROR(_xlfn.XLOOKUP($B375,'Cronog. e Histog.'!$BZ:$BZ,'Cronog. e Histog.'!DD:DD),"")</f>
        <v>0</v>
      </c>
      <c r="AJ375" s="144">
        <f>IFERROR(_xlfn.XLOOKUP($B375,'Cronog. e Histog.'!$BZ:$BZ,'Cronog. e Histog.'!DE:DE),"")</f>
        <v>0</v>
      </c>
      <c r="AK375" s="144">
        <f>IFERROR(_xlfn.XLOOKUP($B375,'Cronog. e Histog.'!$BZ:$BZ,'Cronog. e Histog.'!DF:DF),"")</f>
        <v>0</v>
      </c>
      <c r="AL375" s="144">
        <f>IFERROR(_xlfn.XLOOKUP($B375,'Cronog. e Histog.'!$BZ:$BZ,'Cronog. e Histog.'!DG:DG),"")</f>
        <v>0</v>
      </c>
      <c r="AM375" s="144">
        <f>IFERROR(_xlfn.XLOOKUP($B375,'Cronog. e Histog.'!$BZ:$BZ,'Cronog. e Histog.'!DH:DH),"")</f>
        <v>0</v>
      </c>
      <c r="AN375" s="144">
        <f>IFERROR(_xlfn.XLOOKUP($B375,'Cronog. e Histog.'!$BZ:$BZ,'Cronog. e Histog.'!DI:DI),"")</f>
        <v>0</v>
      </c>
      <c r="AO375" s="144">
        <f>IFERROR(_xlfn.XLOOKUP($B375,'Cronog. e Histog.'!$BZ:$BZ,'Cronog. e Histog.'!DJ:DJ),"")</f>
        <v>0</v>
      </c>
      <c r="AP375" s="144">
        <f>IFERROR(_xlfn.XLOOKUP($B375,'Cronog. e Histog.'!$BZ:$BZ,'Cronog. e Histog.'!DK:DK),"")</f>
        <v>0</v>
      </c>
      <c r="AQ375" s="144">
        <f>IFERROR(_xlfn.XLOOKUP($B375,'Cronog. e Histog.'!$BZ:$BZ,'Cronog. e Histog.'!DL:DL),"")</f>
        <v>0</v>
      </c>
      <c r="AR375" s="144">
        <f>IFERROR(_xlfn.XLOOKUP($B375,'Cronog. e Histog.'!$BZ:$BZ,'Cronog. e Histog.'!DM:DM),"")</f>
        <v>0</v>
      </c>
      <c r="AS375" s="144">
        <f>IFERROR(_xlfn.XLOOKUP($B375,'Cronog. e Histog.'!$BZ:$BZ,'Cronog. e Histog.'!DN:DN),"")</f>
        <v>0</v>
      </c>
      <c r="AT375" s="144">
        <f>IFERROR(_xlfn.XLOOKUP($B375,'Cronog. e Histog.'!$BZ:$BZ,'Cronog. e Histog.'!DO:DO),"")</f>
        <v>0</v>
      </c>
      <c r="AU375" s="144">
        <f>IFERROR(_xlfn.XLOOKUP($B375,'Cronog. e Histog.'!$BZ:$BZ,'Cronog. e Histog.'!DP:DP),"")</f>
        <v>0</v>
      </c>
      <c r="AV375" s="144">
        <f>IFERROR(_xlfn.XLOOKUP($B375,'Cronog. e Histog.'!$BZ:$BZ,'Cronog. e Histog.'!DQ:DQ),"")</f>
        <v>0</v>
      </c>
      <c r="AW375" s="144">
        <f>IFERROR(_xlfn.XLOOKUP($B375,'Cronog. e Histog.'!$BZ:$BZ,'Cronog. e Histog.'!DR:DR),"")</f>
        <v>0</v>
      </c>
      <c r="AX375" s="144">
        <f>IFERROR(_xlfn.XLOOKUP($B375,'Cronog. e Histog.'!$BZ:$BZ,'Cronog. e Histog.'!DS:DS),"")</f>
        <v>0</v>
      </c>
      <c r="AY375" s="144">
        <f>IFERROR(_xlfn.XLOOKUP($B375,'Cronog. e Histog.'!$BZ:$BZ,'Cronog. e Histog.'!DT:DT),"")</f>
        <v>0</v>
      </c>
      <c r="AZ375" s="144">
        <f>IFERROR(_xlfn.XLOOKUP($B375,'Cronog. e Histog.'!$BZ:$BZ,'Cronog. e Histog.'!DU:DU),"")</f>
        <v>0</v>
      </c>
      <c r="BA375" s="144">
        <f>IFERROR(_xlfn.XLOOKUP($B375,'Cronog. e Histog.'!$BZ:$BZ,'Cronog. e Histog.'!DV:DV),"")</f>
        <v>0</v>
      </c>
      <c r="BB375" s="144">
        <f>IFERROR(_xlfn.XLOOKUP($B375,'Cronog. e Histog.'!$BZ:$BZ,'Cronog. e Histog.'!DW:DW),"")</f>
        <v>0</v>
      </c>
      <c r="BC375" s="144">
        <f>IFERROR(_xlfn.XLOOKUP($B375,'Cronog. e Histog.'!$BZ:$BZ,'Cronog. e Histog.'!DX:DX),"")</f>
        <v>0</v>
      </c>
      <c r="BD375" s="144">
        <f>IFERROR(_xlfn.XLOOKUP($B375,'Cronog. e Histog.'!$BZ:$BZ,'Cronog. e Histog.'!DY:DY),"")</f>
        <v>0</v>
      </c>
      <c r="BE375" s="144">
        <f>IFERROR(_xlfn.XLOOKUP($B375,'Cronog. e Histog.'!$BZ:$BZ,'Cronog. e Histog.'!DZ:DZ),"")</f>
        <v>0</v>
      </c>
      <c r="BF375" s="144">
        <f>IFERROR(_xlfn.XLOOKUP($B375,'Cronog. e Histog.'!$BZ:$BZ,'Cronog. e Histog.'!EA:EA),"")</f>
        <v>0</v>
      </c>
      <c r="BG375" s="144">
        <f>IFERROR(_xlfn.XLOOKUP($B375,'Cronog. e Histog.'!$BZ:$BZ,'Cronog. e Histog.'!EB:EB),"")</f>
        <v>0</v>
      </c>
      <c r="BH375" s="144">
        <f>IFERROR(_xlfn.XLOOKUP($B375,'Cronog. e Histog.'!$BZ:$BZ,'Cronog. e Histog.'!EC:EC),"")</f>
        <v>0</v>
      </c>
      <c r="BI375" s="144">
        <f>IFERROR(_xlfn.XLOOKUP($B375,'Cronog. e Histog.'!$BZ:$BZ,'Cronog. e Histog.'!ED:ED),"")</f>
        <v>0</v>
      </c>
      <c r="BJ375" s="144">
        <f>IFERROR(_xlfn.XLOOKUP($B375,'Cronog. e Histog.'!$BZ:$BZ,'Cronog. e Histog.'!EE:EE),"")</f>
        <v>0</v>
      </c>
      <c r="BK375" s="144">
        <f>IFERROR(_xlfn.XLOOKUP($B375,'Cronog. e Histog.'!$BZ:$BZ,'Cronog. e Histog.'!EF:EF),"")</f>
        <v>0</v>
      </c>
      <c r="BL375" s="144">
        <f>IFERROR(_xlfn.XLOOKUP($B375,'Cronog. e Histog.'!$BZ:$BZ,'Cronog. e Histog.'!EG:EG),"")</f>
        <v>0</v>
      </c>
      <c r="BM375" s="144">
        <f>IFERROR(_xlfn.XLOOKUP($B375,'Cronog. e Histog.'!$BZ:$BZ,'Cronog. e Histog.'!EH:EH),"")</f>
        <v>0</v>
      </c>
      <c r="BN375" s="144">
        <f>IFERROR(_xlfn.XLOOKUP($B375,'Cronog. e Histog.'!$BZ:$BZ,'Cronog. e Histog.'!EI:EI),"")</f>
        <v>0</v>
      </c>
    </row>
    <row r="376" spans="2:66" ht="12" hidden="1" customHeight="1" outlineLevel="1">
      <c r="B376" s="76">
        <v>370</v>
      </c>
      <c r="C376" s="143" t="str">
        <f>IFERROR(VLOOKUP(B376,'Cronog. e Histog.'!$BZ$213:$CA$747,2,0),"")</f>
        <v>AN SR. ADM/CRP</v>
      </c>
      <c r="D376" s="144">
        <f t="shared" si="6"/>
        <v>1</v>
      </c>
      <c r="E376" s="144">
        <f t="shared" si="7"/>
        <v>10</v>
      </c>
      <c r="F376" s="65"/>
      <c r="G376" s="144">
        <f>IFERROR(_xlfn.XLOOKUP($B376,'Cronog. e Histog.'!$BZ:$BZ,'Cronog. e Histog.'!CB:CB),"")</f>
        <v>0.05</v>
      </c>
      <c r="H376" s="144">
        <f>IFERROR(_xlfn.XLOOKUP($B376,'Cronog. e Histog.'!$BZ:$BZ,'Cronog. e Histog.'!CC:CC),"")</f>
        <v>0.05</v>
      </c>
      <c r="I376" s="144">
        <f>IFERROR(_xlfn.XLOOKUP($B376,'Cronog. e Histog.'!$BZ:$BZ,'Cronog. e Histog.'!CD:CD),"")</f>
        <v>0.05</v>
      </c>
      <c r="J376" s="144">
        <f>IFERROR(_xlfn.XLOOKUP($B376,'Cronog. e Histog.'!$BZ:$BZ,'Cronog. e Histog.'!CE:CE),"")</f>
        <v>0.05</v>
      </c>
      <c r="K376" s="144">
        <f>IFERROR(_xlfn.XLOOKUP($B376,'Cronog. e Histog.'!$BZ:$BZ,'Cronog. e Histog.'!CF:CF),"")</f>
        <v>0.05</v>
      </c>
      <c r="L376" s="144">
        <f>IFERROR(_xlfn.XLOOKUP($B376,'Cronog. e Histog.'!$BZ:$BZ,'Cronog. e Histog.'!CG:CG),"")</f>
        <v>0.05</v>
      </c>
      <c r="M376" s="144">
        <f>IFERROR(_xlfn.XLOOKUP($B376,'Cronog. e Histog.'!$BZ:$BZ,'Cronog. e Histog.'!CH:CH),"")</f>
        <v>0.05</v>
      </c>
      <c r="N376" s="144">
        <f>IFERROR(_xlfn.XLOOKUP($B376,'Cronog. e Histog.'!$BZ:$BZ,'Cronog. e Histog.'!CI:CI),"")</f>
        <v>0.05</v>
      </c>
      <c r="O376" s="144">
        <f>IFERROR(_xlfn.XLOOKUP($B376,'Cronog. e Histog.'!$BZ:$BZ,'Cronog. e Histog.'!CJ:CJ),"")</f>
        <v>0.05</v>
      </c>
      <c r="P376" s="144">
        <f>IFERROR(_xlfn.XLOOKUP($B376,'Cronog. e Histog.'!$BZ:$BZ,'Cronog. e Histog.'!CK:CK),"")</f>
        <v>0.05</v>
      </c>
      <c r="Q376" s="144">
        <f>IFERROR(_xlfn.XLOOKUP($B376,'Cronog. e Histog.'!$BZ:$BZ,'Cronog. e Histog.'!CL:CL),"")</f>
        <v>0</v>
      </c>
      <c r="R376" s="144">
        <f>IFERROR(_xlfn.XLOOKUP($B376,'Cronog. e Histog.'!$BZ:$BZ,'Cronog. e Histog.'!CM:CM),"")</f>
        <v>0</v>
      </c>
      <c r="S376" s="144">
        <f>IFERROR(_xlfn.XLOOKUP($B376,'Cronog. e Histog.'!$BZ:$BZ,'Cronog. e Histog.'!CN:CN),"")</f>
        <v>0</v>
      </c>
      <c r="T376" s="144">
        <f>IFERROR(_xlfn.XLOOKUP($B376,'Cronog. e Histog.'!$BZ:$BZ,'Cronog. e Histog.'!CO:CO),"")</f>
        <v>0</v>
      </c>
      <c r="U376" s="144">
        <f>IFERROR(_xlfn.XLOOKUP($B376,'Cronog. e Histog.'!$BZ:$BZ,'Cronog. e Histog.'!CP:CP),"")</f>
        <v>0</v>
      </c>
      <c r="V376" s="144">
        <f>IFERROR(_xlfn.XLOOKUP($B376,'Cronog. e Histog.'!$BZ:$BZ,'Cronog. e Histog.'!CQ:CQ),"")</f>
        <v>0</v>
      </c>
      <c r="W376" s="144">
        <f>IFERROR(_xlfn.XLOOKUP($B376,'Cronog. e Histog.'!$BZ:$BZ,'Cronog. e Histog.'!CR:CR),"")</f>
        <v>0</v>
      </c>
      <c r="X376" s="144">
        <f>IFERROR(_xlfn.XLOOKUP($B376,'Cronog. e Histog.'!$BZ:$BZ,'Cronog. e Histog.'!CS:CS),"")</f>
        <v>0</v>
      </c>
      <c r="Y376" s="144">
        <f>IFERROR(_xlfn.XLOOKUP($B376,'Cronog. e Histog.'!$BZ:$BZ,'Cronog. e Histog.'!CT:CT),"")</f>
        <v>0</v>
      </c>
      <c r="Z376" s="144">
        <f>IFERROR(_xlfn.XLOOKUP($B376,'Cronog. e Histog.'!$BZ:$BZ,'Cronog. e Histog.'!CU:CU),"")</f>
        <v>0</v>
      </c>
      <c r="AA376" s="144">
        <f>IFERROR(_xlfn.XLOOKUP($B376,'Cronog. e Histog.'!$BZ:$BZ,'Cronog. e Histog.'!CV:CV),"")</f>
        <v>0</v>
      </c>
      <c r="AB376" s="144">
        <f>IFERROR(_xlfn.XLOOKUP($B376,'Cronog. e Histog.'!$BZ:$BZ,'Cronog. e Histog.'!CW:CW),"")</f>
        <v>0</v>
      </c>
      <c r="AC376" s="144">
        <f>IFERROR(_xlfn.XLOOKUP($B376,'Cronog. e Histog.'!$BZ:$BZ,'Cronog. e Histog.'!CX:CX),"")</f>
        <v>0</v>
      </c>
      <c r="AD376" s="144">
        <f>IFERROR(_xlfn.XLOOKUP($B376,'Cronog. e Histog.'!$BZ:$BZ,'Cronog. e Histog.'!CY:CY),"")</f>
        <v>0</v>
      </c>
      <c r="AE376" s="144">
        <f>IFERROR(_xlfn.XLOOKUP($B376,'Cronog. e Histog.'!$BZ:$BZ,'Cronog. e Histog.'!CZ:CZ),"")</f>
        <v>0</v>
      </c>
      <c r="AF376" s="144">
        <f>IFERROR(_xlfn.XLOOKUP($B376,'Cronog. e Histog.'!$BZ:$BZ,'Cronog. e Histog.'!DA:DA),"")</f>
        <v>0</v>
      </c>
      <c r="AG376" s="144">
        <f>IFERROR(_xlfn.XLOOKUP($B376,'Cronog. e Histog.'!$BZ:$BZ,'Cronog. e Histog.'!DB:DB),"")</f>
        <v>0</v>
      </c>
      <c r="AH376" s="144">
        <f>IFERROR(_xlfn.XLOOKUP($B376,'Cronog. e Histog.'!$BZ:$BZ,'Cronog. e Histog.'!DC:DC),"")</f>
        <v>0</v>
      </c>
      <c r="AI376" s="144">
        <f>IFERROR(_xlfn.XLOOKUP($B376,'Cronog. e Histog.'!$BZ:$BZ,'Cronog. e Histog.'!DD:DD),"")</f>
        <v>0</v>
      </c>
      <c r="AJ376" s="144">
        <f>IFERROR(_xlfn.XLOOKUP($B376,'Cronog. e Histog.'!$BZ:$BZ,'Cronog. e Histog.'!DE:DE),"")</f>
        <v>0</v>
      </c>
      <c r="AK376" s="144">
        <f>IFERROR(_xlfn.XLOOKUP($B376,'Cronog. e Histog.'!$BZ:$BZ,'Cronog. e Histog.'!DF:DF),"")</f>
        <v>0</v>
      </c>
      <c r="AL376" s="144">
        <f>IFERROR(_xlfn.XLOOKUP($B376,'Cronog. e Histog.'!$BZ:$BZ,'Cronog. e Histog.'!DG:DG),"")</f>
        <v>0</v>
      </c>
      <c r="AM376" s="144">
        <f>IFERROR(_xlfn.XLOOKUP($B376,'Cronog. e Histog.'!$BZ:$BZ,'Cronog. e Histog.'!DH:DH),"")</f>
        <v>0</v>
      </c>
      <c r="AN376" s="144">
        <f>IFERROR(_xlfn.XLOOKUP($B376,'Cronog. e Histog.'!$BZ:$BZ,'Cronog. e Histog.'!DI:DI),"")</f>
        <v>0</v>
      </c>
      <c r="AO376" s="144">
        <f>IFERROR(_xlfn.XLOOKUP($B376,'Cronog. e Histog.'!$BZ:$BZ,'Cronog. e Histog.'!DJ:DJ),"")</f>
        <v>0</v>
      </c>
      <c r="AP376" s="144">
        <f>IFERROR(_xlfn.XLOOKUP($B376,'Cronog. e Histog.'!$BZ:$BZ,'Cronog. e Histog.'!DK:DK),"")</f>
        <v>0</v>
      </c>
      <c r="AQ376" s="144">
        <f>IFERROR(_xlfn.XLOOKUP($B376,'Cronog. e Histog.'!$BZ:$BZ,'Cronog. e Histog.'!DL:DL),"")</f>
        <v>0</v>
      </c>
      <c r="AR376" s="144">
        <f>IFERROR(_xlfn.XLOOKUP($B376,'Cronog. e Histog.'!$BZ:$BZ,'Cronog. e Histog.'!DM:DM),"")</f>
        <v>0</v>
      </c>
      <c r="AS376" s="144">
        <f>IFERROR(_xlfn.XLOOKUP($B376,'Cronog. e Histog.'!$BZ:$BZ,'Cronog. e Histog.'!DN:DN),"")</f>
        <v>0</v>
      </c>
      <c r="AT376" s="144">
        <f>IFERROR(_xlfn.XLOOKUP($B376,'Cronog. e Histog.'!$BZ:$BZ,'Cronog. e Histog.'!DO:DO),"")</f>
        <v>0</v>
      </c>
      <c r="AU376" s="144">
        <f>IFERROR(_xlfn.XLOOKUP($B376,'Cronog. e Histog.'!$BZ:$BZ,'Cronog. e Histog.'!DP:DP),"")</f>
        <v>0</v>
      </c>
      <c r="AV376" s="144">
        <f>IFERROR(_xlfn.XLOOKUP($B376,'Cronog. e Histog.'!$BZ:$BZ,'Cronog. e Histog.'!DQ:DQ),"")</f>
        <v>0</v>
      </c>
      <c r="AW376" s="144">
        <f>IFERROR(_xlfn.XLOOKUP($B376,'Cronog. e Histog.'!$BZ:$BZ,'Cronog. e Histog.'!DR:DR),"")</f>
        <v>0</v>
      </c>
      <c r="AX376" s="144">
        <f>IFERROR(_xlfn.XLOOKUP($B376,'Cronog. e Histog.'!$BZ:$BZ,'Cronog. e Histog.'!DS:DS),"")</f>
        <v>0</v>
      </c>
      <c r="AY376" s="144">
        <f>IFERROR(_xlfn.XLOOKUP($B376,'Cronog. e Histog.'!$BZ:$BZ,'Cronog. e Histog.'!DT:DT),"")</f>
        <v>0</v>
      </c>
      <c r="AZ376" s="144">
        <f>IFERROR(_xlfn.XLOOKUP($B376,'Cronog. e Histog.'!$BZ:$BZ,'Cronog. e Histog.'!DU:DU),"")</f>
        <v>0</v>
      </c>
      <c r="BA376" s="144">
        <f>IFERROR(_xlfn.XLOOKUP($B376,'Cronog. e Histog.'!$BZ:$BZ,'Cronog. e Histog.'!DV:DV),"")</f>
        <v>0</v>
      </c>
      <c r="BB376" s="144">
        <f>IFERROR(_xlfn.XLOOKUP($B376,'Cronog. e Histog.'!$BZ:$BZ,'Cronog. e Histog.'!DW:DW),"")</f>
        <v>0</v>
      </c>
      <c r="BC376" s="144">
        <f>IFERROR(_xlfn.XLOOKUP($B376,'Cronog. e Histog.'!$BZ:$BZ,'Cronog. e Histog.'!DX:DX),"")</f>
        <v>0</v>
      </c>
      <c r="BD376" s="144">
        <f>IFERROR(_xlfn.XLOOKUP($B376,'Cronog. e Histog.'!$BZ:$BZ,'Cronog. e Histog.'!DY:DY),"")</f>
        <v>0</v>
      </c>
      <c r="BE376" s="144">
        <f>IFERROR(_xlfn.XLOOKUP($B376,'Cronog. e Histog.'!$BZ:$BZ,'Cronog. e Histog.'!DZ:DZ),"")</f>
        <v>0</v>
      </c>
      <c r="BF376" s="144">
        <f>IFERROR(_xlfn.XLOOKUP($B376,'Cronog. e Histog.'!$BZ:$BZ,'Cronog. e Histog.'!EA:EA),"")</f>
        <v>0</v>
      </c>
      <c r="BG376" s="144">
        <f>IFERROR(_xlfn.XLOOKUP($B376,'Cronog. e Histog.'!$BZ:$BZ,'Cronog. e Histog.'!EB:EB),"")</f>
        <v>0</v>
      </c>
      <c r="BH376" s="144">
        <f>IFERROR(_xlfn.XLOOKUP($B376,'Cronog. e Histog.'!$BZ:$BZ,'Cronog. e Histog.'!EC:EC),"")</f>
        <v>0</v>
      </c>
      <c r="BI376" s="144">
        <f>IFERROR(_xlfn.XLOOKUP($B376,'Cronog. e Histog.'!$BZ:$BZ,'Cronog. e Histog.'!ED:ED),"")</f>
        <v>0</v>
      </c>
      <c r="BJ376" s="144">
        <f>IFERROR(_xlfn.XLOOKUP($B376,'Cronog. e Histog.'!$BZ:$BZ,'Cronog. e Histog.'!EE:EE),"")</f>
        <v>0</v>
      </c>
      <c r="BK376" s="144">
        <f>IFERROR(_xlfn.XLOOKUP($B376,'Cronog. e Histog.'!$BZ:$BZ,'Cronog. e Histog.'!EF:EF),"")</f>
        <v>0</v>
      </c>
      <c r="BL376" s="144">
        <f>IFERROR(_xlfn.XLOOKUP($B376,'Cronog. e Histog.'!$BZ:$BZ,'Cronog. e Histog.'!EG:EG),"")</f>
        <v>0</v>
      </c>
      <c r="BM376" s="144">
        <f>IFERROR(_xlfn.XLOOKUP($B376,'Cronog. e Histog.'!$BZ:$BZ,'Cronog. e Histog.'!EH:EH),"")</f>
        <v>0</v>
      </c>
      <c r="BN376" s="144">
        <f>IFERROR(_xlfn.XLOOKUP($B376,'Cronog. e Histog.'!$BZ:$BZ,'Cronog. e Histog.'!EI:EI),"")</f>
        <v>0</v>
      </c>
    </row>
    <row r="377" spans="2:66" ht="12" hidden="1" customHeight="1" outlineLevel="1">
      <c r="B377" s="76">
        <v>371</v>
      </c>
      <c r="C377" s="143" t="str">
        <f>IFERROR(VLOOKUP(B377,'Cronog. e Histog.'!$BZ$213:$CA$747,2,0),"")</f>
        <v>AN PL. ADM/CRP</v>
      </c>
      <c r="D377" s="144">
        <f t="shared" si="6"/>
        <v>0</v>
      </c>
      <c r="E377" s="144">
        <f t="shared" si="7"/>
        <v>0</v>
      </c>
      <c r="F377" s="65"/>
      <c r="G377" s="144">
        <f>IFERROR(_xlfn.XLOOKUP($B377,'Cronog. e Histog.'!$BZ:$BZ,'Cronog. e Histog.'!CB:CB),"")</f>
        <v>0</v>
      </c>
      <c r="H377" s="144">
        <f>IFERROR(_xlfn.XLOOKUP($B377,'Cronog. e Histog.'!$BZ:$BZ,'Cronog. e Histog.'!CC:CC),"")</f>
        <v>0</v>
      </c>
      <c r="I377" s="144">
        <f>IFERROR(_xlfn.XLOOKUP($B377,'Cronog. e Histog.'!$BZ:$BZ,'Cronog. e Histog.'!CD:CD),"")</f>
        <v>0</v>
      </c>
      <c r="J377" s="144">
        <f>IFERROR(_xlfn.XLOOKUP($B377,'Cronog. e Histog.'!$BZ:$BZ,'Cronog. e Histog.'!CE:CE),"")</f>
        <v>0</v>
      </c>
      <c r="K377" s="144">
        <f>IFERROR(_xlfn.XLOOKUP($B377,'Cronog. e Histog.'!$BZ:$BZ,'Cronog. e Histog.'!CF:CF),"")</f>
        <v>0</v>
      </c>
      <c r="L377" s="144">
        <f>IFERROR(_xlfn.XLOOKUP($B377,'Cronog. e Histog.'!$BZ:$BZ,'Cronog. e Histog.'!CG:CG),"")</f>
        <v>0</v>
      </c>
      <c r="M377" s="144">
        <f>IFERROR(_xlfn.XLOOKUP($B377,'Cronog. e Histog.'!$BZ:$BZ,'Cronog. e Histog.'!CH:CH),"")</f>
        <v>0</v>
      </c>
      <c r="N377" s="144">
        <f>IFERROR(_xlfn.XLOOKUP($B377,'Cronog. e Histog.'!$BZ:$BZ,'Cronog. e Histog.'!CI:CI),"")</f>
        <v>0</v>
      </c>
      <c r="O377" s="144">
        <f>IFERROR(_xlfn.XLOOKUP($B377,'Cronog. e Histog.'!$BZ:$BZ,'Cronog. e Histog.'!CJ:CJ),"")</f>
        <v>0</v>
      </c>
      <c r="P377" s="144">
        <f>IFERROR(_xlfn.XLOOKUP($B377,'Cronog. e Histog.'!$BZ:$BZ,'Cronog. e Histog.'!CK:CK),"")</f>
        <v>0</v>
      </c>
      <c r="Q377" s="144">
        <f>IFERROR(_xlfn.XLOOKUP($B377,'Cronog. e Histog.'!$BZ:$BZ,'Cronog. e Histog.'!CL:CL),"")</f>
        <v>0</v>
      </c>
      <c r="R377" s="144">
        <f>IFERROR(_xlfn.XLOOKUP($B377,'Cronog. e Histog.'!$BZ:$BZ,'Cronog. e Histog.'!CM:CM),"")</f>
        <v>0</v>
      </c>
      <c r="S377" s="144">
        <f>IFERROR(_xlfn.XLOOKUP($B377,'Cronog. e Histog.'!$BZ:$BZ,'Cronog. e Histog.'!CN:CN),"")</f>
        <v>0</v>
      </c>
      <c r="T377" s="144">
        <f>IFERROR(_xlfn.XLOOKUP($B377,'Cronog. e Histog.'!$BZ:$BZ,'Cronog. e Histog.'!CO:CO),"")</f>
        <v>0</v>
      </c>
      <c r="U377" s="144">
        <f>IFERROR(_xlfn.XLOOKUP($B377,'Cronog. e Histog.'!$BZ:$BZ,'Cronog. e Histog.'!CP:CP),"")</f>
        <v>0</v>
      </c>
      <c r="V377" s="144">
        <f>IFERROR(_xlfn.XLOOKUP($B377,'Cronog. e Histog.'!$BZ:$BZ,'Cronog. e Histog.'!CQ:CQ),"")</f>
        <v>0</v>
      </c>
      <c r="W377" s="144">
        <f>IFERROR(_xlfn.XLOOKUP($B377,'Cronog. e Histog.'!$BZ:$BZ,'Cronog. e Histog.'!CR:CR),"")</f>
        <v>0</v>
      </c>
      <c r="X377" s="144">
        <f>IFERROR(_xlfn.XLOOKUP($B377,'Cronog. e Histog.'!$BZ:$BZ,'Cronog. e Histog.'!CS:CS),"")</f>
        <v>0</v>
      </c>
      <c r="Y377" s="144">
        <f>IFERROR(_xlfn.XLOOKUP($B377,'Cronog. e Histog.'!$BZ:$BZ,'Cronog. e Histog.'!CT:CT),"")</f>
        <v>0</v>
      </c>
      <c r="Z377" s="144">
        <f>IFERROR(_xlfn.XLOOKUP($B377,'Cronog. e Histog.'!$BZ:$BZ,'Cronog. e Histog.'!CU:CU),"")</f>
        <v>0</v>
      </c>
      <c r="AA377" s="144">
        <f>IFERROR(_xlfn.XLOOKUP($B377,'Cronog. e Histog.'!$BZ:$BZ,'Cronog. e Histog.'!CV:CV),"")</f>
        <v>0</v>
      </c>
      <c r="AB377" s="144">
        <f>IFERROR(_xlfn.XLOOKUP($B377,'Cronog. e Histog.'!$BZ:$BZ,'Cronog. e Histog.'!CW:CW),"")</f>
        <v>0</v>
      </c>
      <c r="AC377" s="144">
        <f>IFERROR(_xlfn.XLOOKUP($B377,'Cronog. e Histog.'!$BZ:$BZ,'Cronog. e Histog.'!CX:CX),"")</f>
        <v>0</v>
      </c>
      <c r="AD377" s="144">
        <f>IFERROR(_xlfn.XLOOKUP($B377,'Cronog. e Histog.'!$BZ:$BZ,'Cronog. e Histog.'!CY:CY),"")</f>
        <v>0</v>
      </c>
      <c r="AE377" s="144">
        <f>IFERROR(_xlfn.XLOOKUP($B377,'Cronog. e Histog.'!$BZ:$BZ,'Cronog. e Histog.'!CZ:CZ),"")</f>
        <v>0</v>
      </c>
      <c r="AF377" s="144">
        <f>IFERROR(_xlfn.XLOOKUP($B377,'Cronog. e Histog.'!$BZ:$BZ,'Cronog. e Histog.'!DA:DA),"")</f>
        <v>0</v>
      </c>
      <c r="AG377" s="144">
        <f>IFERROR(_xlfn.XLOOKUP($B377,'Cronog. e Histog.'!$BZ:$BZ,'Cronog. e Histog.'!DB:DB),"")</f>
        <v>0</v>
      </c>
      <c r="AH377" s="144">
        <f>IFERROR(_xlfn.XLOOKUP($B377,'Cronog. e Histog.'!$BZ:$BZ,'Cronog. e Histog.'!DC:DC),"")</f>
        <v>0</v>
      </c>
      <c r="AI377" s="144">
        <f>IFERROR(_xlfn.XLOOKUP($B377,'Cronog. e Histog.'!$BZ:$BZ,'Cronog. e Histog.'!DD:DD),"")</f>
        <v>0</v>
      </c>
      <c r="AJ377" s="144">
        <f>IFERROR(_xlfn.XLOOKUP($B377,'Cronog. e Histog.'!$BZ:$BZ,'Cronog. e Histog.'!DE:DE),"")</f>
        <v>0</v>
      </c>
      <c r="AK377" s="144">
        <f>IFERROR(_xlfn.XLOOKUP($B377,'Cronog. e Histog.'!$BZ:$BZ,'Cronog. e Histog.'!DF:DF),"")</f>
        <v>0</v>
      </c>
      <c r="AL377" s="144">
        <f>IFERROR(_xlfn.XLOOKUP($B377,'Cronog. e Histog.'!$BZ:$BZ,'Cronog. e Histog.'!DG:DG),"")</f>
        <v>0</v>
      </c>
      <c r="AM377" s="144">
        <f>IFERROR(_xlfn.XLOOKUP($B377,'Cronog. e Histog.'!$BZ:$BZ,'Cronog. e Histog.'!DH:DH),"")</f>
        <v>0</v>
      </c>
      <c r="AN377" s="144">
        <f>IFERROR(_xlfn.XLOOKUP($B377,'Cronog. e Histog.'!$BZ:$BZ,'Cronog. e Histog.'!DI:DI),"")</f>
        <v>0</v>
      </c>
      <c r="AO377" s="144">
        <f>IFERROR(_xlfn.XLOOKUP($B377,'Cronog. e Histog.'!$BZ:$BZ,'Cronog. e Histog.'!DJ:DJ),"")</f>
        <v>0</v>
      </c>
      <c r="AP377" s="144">
        <f>IFERROR(_xlfn.XLOOKUP($B377,'Cronog. e Histog.'!$BZ:$BZ,'Cronog. e Histog.'!DK:DK),"")</f>
        <v>0</v>
      </c>
      <c r="AQ377" s="144">
        <f>IFERROR(_xlfn.XLOOKUP($B377,'Cronog. e Histog.'!$BZ:$BZ,'Cronog. e Histog.'!DL:DL),"")</f>
        <v>0</v>
      </c>
      <c r="AR377" s="144">
        <f>IFERROR(_xlfn.XLOOKUP($B377,'Cronog. e Histog.'!$BZ:$BZ,'Cronog. e Histog.'!DM:DM),"")</f>
        <v>0</v>
      </c>
      <c r="AS377" s="144">
        <f>IFERROR(_xlfn.XLOOKUP($B377,'Cronog. e Histog.'!$BZ:$BZ,'Cronog. e Histog.'!DN:DN),"")</f>
        <v>0</v>
      </c>
      <c r="AT377" s="144">
        <f>IFERROR(_xlfn.XLOOKUP($B377,'Cronog. e Histog.'!$BZ:$BZ,'Cronog. e Histog.'!DO:DO),"")</f>
        <v>0</v>
      </c>
      <c r="AU377" s="144">
        <f>IFERROR(_xlfn.XLOOKUP($B377,'Cronog. e Histog.'!$BZ:$BZ,'Cronog. e Histog.'!DP:DP),"")</f>
        <v>0</v>
      </c>
      <c r="AV377" s="144">
        <f>IFERROR(_xlfn.XLOOKUP($B377,'Cronog. e Histog.'!$BZ:$BZ,'Cronog. e Histog.'!DQ:DQ),"")</f>
        <v>0</v>
      </c>
      <c r="AW377" s="144">
        <f>IFERROR(_xlfn.XLOOKUP($B377,'Cronog. e Histog.'!$BZ:$BZ,'Cronog. e Histog.'!DR:DR),"")</f>
        <v>0</v>
      </c>
      <c r="AX377" s="144">
        <f>IFERROR(_xlfn.XLOOKUP($B377,'Cronog. e Histog.'!$BZ:$BZ,'Cronog. e Histog.'!DS:DS),"")</f>
        <v>0</v>
      </c>
      <c r="AY377" s="144">
        <f>IFERROR(_xlfn.XLOOKUP($B377,'Cronog. e Histog.'!$BZ:$BZ,'Cronog. e Histog.'!DT:DT),"")</f>
        <v>0</v>
      </c>
      <c r="AZ377" s="144">
        <f>IFERROR(_xlfn.XLOOKUP($B377,'Cronog. e Histog.'!$BZ:$BZ,'Cronog. e Histog.'!DU:DU),"")</f>
        <v>0</v>
      </c>
      <c r="BA377" s="144">
        <f>IFERROR(_xlfn.XLOOKUP($B377,'Cronog. e Histog.'!$BZ:$BZ,'Cronog. e Histog.'!DV:DV),"")</f>
        <v>0</v>
      </c>
      <c r="BB377" s="144">
        <f>IFERROR(_xlfn.XLOOKUP($B377,'Cronog. e Histog.'!$BZ:$BZ,'Cronog. e Histog.'!DW:DW),"")</f>
        <v>0</v>
      </c>
      <c r="BC377" s="144">
        <f>IFERROR(_xlfn.XLOOKUP($B377,'Cronog. e Histog.'!$BZ:$BZ,'Cronog. e Histog.'!DX:DX),"")</f>
        <v>0</v>
      </c>
      <c r="BD377" s="144">
        <f>IFERROR(_xlfn.XLOOKUP($B377,'Cronog. e Histog.'!$BZ:$BZ,'Cronog. e Histog.'!DY:DY),"")</f>
        <v>0</v>
      </c>
      <c r="BE377" s="144">
        <f>IFERROR(_xlfn.XLOOKUP($B377,'Cronog. e Histog.'!$BZ:$BZ,'Cronog. e Histog.'!DZ:DZ),"")</f>
        <v>0</v>
      </c>
      <c r="BF377" s="144">
        <f>IFERROR(_xlfn.XLOOKUP($B377,'Cronog. e Histog.'!$BZ:$BZ,'Cronog. e Histog.'!EA:EA),"")</f>
        <v>0</v>
      </c>
      <c r="BG377" s="144">
        <f>IFERROR(_xlfn.XLOOKUP($B377,'Cronog. e Histog.'!$BZ:$BZ,'Cronog. e Histog.'!EB:EB),"")</f>
        <v>0</v>
      </c>
      <c r="BH377" s="144">
        <f>IFERROR(_xlfn.XLOOKUP($B377,'Cronog. e Histog.'!$BZ:$BZ,'Cronog. e Histog.'!EC:EC),"")</f>
        <v>0</v>
      </c>
      <c r="BI377" s="144">
        <f>IFERROR(_xlfn.XLOOKUP($B377,'Cronog. e Histog.'!$BZ:$BZ,'Cronog. e Histog.'!ED:ED),"")</f>
        <v>0</v>
      </c>
      <c r="BJ377" s="144">
        <f>IFERROR(_xlfn.XLOOKUP($B377,'Cronog. e Histog.'!$BZ:$BZ,'Cronog. e Histog.'!EE:EE),"")</f>
        <v>0</v>
      </c>
      <c r="BK377" s="144">
        <f>IFERROR(_xlfn.XLOOKUP($B377,'Cronog. e Histog.'!$BZ:$BZ,'Cronog. e Histog.'!EF:EF),"")</f>
        <v>0</v>
      </c>
      <c r="BL377" s="144">
        <f>IFERROR(_xlfn.XLOOKUP($B377,'Cronog. e Histog.'!$BZ:$BZ,'Cronog. e Histog.'!EG:EG),"")</f>
        <v>0</v>
      </c>
      <c r="BM377" s="144">
        <f>IFERROR(_xlfn.XLOOKUP($B377,'Cronog. e Histog.'!$BZ:$BZ,'Cronog. e Histog.'!EH:EH),"")</f>
        <v>0</v>
      </c>
      <c r="BN377" s="144">
        <f>IFERROR(_xlfn.XLOOKUP($B377,'Cronog. e Histog.'!$BZ:$BZ,'Cronog. e Histog.'!EI:EI),"")</f>
        <v>0</v>
      </c>
    </row>
    <row r="378" spans="2:66" ht="12" hidden="1" customHeight="1" outlineLevel="1">
      <c r="B378" s="76">
        <v>372</v>
      </c>
      <c r="C378" s="143" t="str">
        <f>IFERROR(VLOOKUP(B378,'Cronog. e Histog.'!$BZ$213:$CA$747,2,0),"")</f>
        <v>AN JR. ADM/CRP</v>
      </c>
      <c r="D378" s="144">
        <f t="shared" si="6"/>
        <v>0</v>
      </c>
      <c r="E378" s="144">
        <f t="shared" si="7"/>
        <v>0</v>
      </c>
      <c r="F378" s="65"/>
      <c r="G378" s="144">
        <f>IFERROR(_xlfn.XLOOKUP($B378,'Cronog. e Histog.'!$BZ:$BZ,'Cronog. e Histog.'!CB:CB),"")</f>
        <v>0</v>
      </c>
      <c r="H378" s="144">
        <f>IFERROR(_xlfn.XLOOKUP($B378,'Cronog. e Histog.'!$BZ:$BZ,'Cronog. e Histog.'!CC:CC),"")</f>
        <v>0</v>
      </c>
      <c r="I378" s="144">
        <f>IFERROR(_xlfn.XLOOKUP($B378,'Cronog. e Histog.'!$BZ:$BZ,'Cronog. e Histog.'!CD:CD),"")</f>
        <v>0</v>
      </c>
      <c r="J378" s="144">
        <f>IFERROR(_xlfn.XLOOKUP($B378,'Cronog. e Histog.'!$BZ:$BZ,'Cronog. e Histog.'!CE:CE),"")</f>
        <v>0</v>
      </c>
      <c r="K378" s="144">
        <f>IFERROR(_xlfn.XLOOKUP($B378,'Cronog. e Histog.'!$BZ:$BZ,'Cronog. e Histog.'!CF:CF),"")</f>
        <v>0</v>
      </c>
      <c r="L378" s="144">
        <f>IFERROR(_xlfn.XLOOKUP($B378,'Cronog. e Histog.'!$BZ:$BZ,'Cronog. e Histog.'!CG:CG),"")</f>
        <v>0</v>
      </c>
      <c r="M378" s="144">
        <f>IFERROR(_xlfn.XLOOKUP($B378,'Cronog. e Histog.'!$BZ:$BZ,'Cronog. e Histog.'!CH:CH),"")</f>
        <v>0</v>
      </c>
      <c r="N378" s="144">
        <f>IFERROR(_xlfn.XLOOKUP($B378,'Cronog. e Histog.'!$BZ:$BZ,'Cronog. e Histog.'!CI:CI),"")</f>
        <v>0</v>
      </c>
      <c r="O378" s="144">
        <f>IFERROR(_xlfn.XLOOKUP($B378,'Cronog. e Histog.'!$BZ:$BZ,'Cronog. e Histog.'!CJ:CJ),"")</f>
        <v>0</v>
      </c>
      <c r="P378" s="144">
        <f>IFERROR(_xlfn.XLOOKUP($B378,'Cronog. e Histog.'!$BZ:$BZ,'Cronog. e Histog.'!CK:CK),"")</f>
        <v>0</v>
      </c>
      <c r="Q378" s="144">
        <f>IFERROR(_xlfn.XLOOKUP($B378,'Cronog. e Histog.'!$BZ:$BZ,'Cronog. e Histog.'!CL:CL),"")</f>
        <v>0</v>
      </c>
      <c r="R378" s="144">
        <f>IFERROR(_xlfn.XLOOKUP($B378,'Cronog. e Histog.'!$BZ:$BZ,'Cronog. e Histog.'!CM:CM),"")</f>
        <v>0</v>
      </c>
      <c r="S378" s="144">
        <f>IFERROR(_xlfn.XLOOKUP($B378,'Cronog. e Histog.'!$BZ:$BZ,'Cronog. e Histog.'!CN:CN),"")</f>
        <v>0</v>
      </c>
      <c r="T378" s="144">
        <f>IFERROR(_xlfn.XLOOKUP($B378,'Cronog. e Histog.'!$BZ:$BZ,'Cronog. e Histog.'!CO:CO),"")</f>
        <v>0</v>
      </c>
      <c r="U378" s="144">
        <f>IFERROR(_xlfn.XLOOKUP($B378,'Cronog. e Histog.'!$BZ:$BZ,'Cronog. e Histog.'!CP:CP),"")</f>
        <v>0</v>
      </c>
      <c r="V378" s="144">
        <f>IFERROR(_xlfn.XLOOKUP($B378,'Cronog. e Histog.'!$BZ:$BZ,'Cronog. e Histog.'!CQ:CQ),"")</f>
        <v>0</v>
      </c>
      <c r="W378" s="144">
        <f>IFERROR(_xlfn.XLOOKUP($B378,'Cronog. e Histog.'!$BZ:$BZ,'Cronog. e Histog.'!CR:CR),"")</f>
        <v>0</v>
      </c>
      <c r="X378" s="144">
        <f>IFERROR(_xlfn.XLOOKUP($B378,'Cronog. e Histog.'!$BZ:$BZ,'Cronog. e Histog.'!CS:CS),"")</f>
        <v>0</v>
      </c>
      <c r="Y378" s="144">
        <f>IFERROR(_xlfn.XLOOKUP($B378,'Cronog. e Histog.'!$BZ:$BZ,'Cronog. e Histog.'!CT:CT),"")</f>
        <v>0</v>
      </c>
      <c r="Z378" s="144">
        <f>IFERROR(_xlfn.XLOOKUP($B378,'Cronog. e Histog.'!$BZ:$BZ,'Cronog. e Histog.'!CU:CU),"")</f>
        <v>0</v>
      </c>
      <c r="AA378" s="144">
        <f>IFERROR(_xlfn.XLOOKUP($B378,'Cronog. e Histog.'!$BZ:$BZ,'Cronog. e Histog.'!CV:CV),"")</f>
        <v>0</v>
      </c>
      <c r="AB378" s="144">
        <f>IFERROR(_xlfn.XLOOKUP($B378,'Cronog. e Histog.'!$BZ:$BZ,'Cronog. e Histog.'!CW:CW),"")</f>
        <v>0</v>
      </c>
      <c r="AC378" s="144">
        <f>IFERROR(_xlfn.XLOOKUP($B378,'Cronog. e Histog.'!$BZ:$BZ,'Cronog. e Histog.'!CX:CX),"")</f>
        <v>0</v>
      </c>
      <c r="AD378" s="144">
        <f>IFERROR(_xlfn.XLOOKUP($B378,'Cronog. e Histog.'!$BZ:$BZ,'Cronog. e Histog.'!CY:CY),"")</f>
        <v>0</v>
      </c>
      <c r="AE378" s="144">
        <f>IFERROR(_xlfn.XLOOKUP($B378,'Cronog. e Histog.'!$BZ:$BZ,'Cronog. e Histog.'!CZ:CZ),"")</f>
        <v>0</v>
      </c>
      <c r="AF378" s="144">
        <f>IFERROR(_xlfn.XLOOKUP($B378,'Cronog. e Histog.'!$BZ:$BZ,'Cronog. e Histog.'!DA:DA),"")</f>
        <v>0</v>
      </c>
      <c r="AG378" s="144">
        <f>IFERROR(_xlfn.XLOOKUP($B378,'Cronog. e Histog.'!$BZ:$BZ,'Cronog. e Histog.'!DB:DB),"")</f>
        <v>0</v>
      </c>
      <c r="AH378" s="144">
        <f>IFERROR(_xlfn.XLOOKUP($B378,'Cronog. e Histog.'!$BZ:$BZ,'Cronog. e Histog.'!DC:DC),"")</f>
        <v>0</v>
      </c>
      <c r="AI378" s="144">
        <f>IFERROR(_xlfn.XLOOKUP($B378,'Cronog. e Histog.'!$BZ:$BZ,'Cronog. e Histog.'!DD:DD),"")</f>
        <v>0</v>
      </c>
      <c r="AJ378" s="144">
        <f>IFERROR(_xlfn.XLOOKUP($B378,'Cronog. e Histog.'!$BZ:$BZ,'Cronog. e Histog.'!DE:DE),"")</f>
        <v>0</v>
      </c>
      <c r="AK378" s="144">
        <f>IFERROR(_xlfn.XLOOKUP($B378,'Cronog. e Histog.'!$BZ:$BZ,'Cronog. e Histog.'!DF:DF),"")</f>
        <v>0</v>
      </c>
      <c r="AL378" s="144">
        <f>IFERROR(_xlfn.XLOOKUP($B378,'Cronog. e Histog.'!$BZ:$BZ,'Cronog. e Histog.'!DG:DG),"")</f>
        <v>0</v>
      </c>
      <c r="AM378" s="144">
        <f>IFERROR(_xlfn.XLOOKUP($B378,'Cronog. e Histog.'!$BZ:$BZ,'Cronog. e Histog.'!DH:DH),"")</f>
        <v>0</v>
      </c>
      <c r="AN378" s="144">
        <f>IFERROR(_xlfn.XLOOKUP($B378,'Cronog. e Histog.'!$BZ:$BZ,'Cronog. e Histog.'!DI:DI),"")</f>
        <v>0</v>
      </c>
      <c r="AO378" s="144">
        <f>IFERROR(_xlfn.XLOOKUP($B378,'Cronog. e Histog.'!$BZ:$BZ,'Cronog. e Histog.'!DJ:DJ),"")</f>
        <v>0</v>
      </c>
      <c r="AP378" s="144">
        <f>IFERROR(_xlfn.XLOOKUP($B378,'Cronog. e Histog.'!$BZ:$BZ,'Cronog. e Histog.'!DK:DK),"")</f>
        <v>0</v>
      </c>
      <c r="AQ378" s="144">
        <f>IFERROR(_xlfn.XLOOKUP($B378,'Cronog. e Histog.'!$BZ:$BZ,'Cronog. e Histog.'!DL:DL),"")</f>
        <v>0</v>
      </c>
      <c r="AR378" s="144">
        <f>IFERROR(_xlfn.XLOOKUP($B378,'Cronog. e Histog.'!$BZ:$BZ,'Cronog. e Histog.'!DM:DM),"")</f>
        <v>0</v>
      </c>
      <c r="AS378" s="144">
        <f>IFERROR(_xlfn.XLOOKUP($B378,'Cronog. e Histog.'!$BZ:$BZ,'Cronog. e Histog.'!DN:DN),"")</f>
        <v>0</v>
      </c>
      <c r="AT378" s="144">
        <f>IFERROR(_xlfn.XLOOKUP($B378,'Cronog. e Histog.'!$BZ:$BZ,'Cronog. e Histog.'!DO:DO),"")</f>
        <v>0</v>
      </c>
      <c r="AU378" s="144">
        <f>IFERROR(_xlfn.XLOOKUP($B378,'Cronog. e Histog.'!$BZ:$BZ,'Cronog. e Histog.'!DP:DP),"")</f>
        <v>0</v>
      </c>
      <c r="AV378" s="144">
        <f>IFERROR(_xlfn.XLOOKUP($B378,'Cronog. e Histog.'!$BZ:$BZ,'Cronog. e Histog.'!DQ:DQ),"")</f>
        <v>0</v>
      </c>
      <c r="AW378" s="144">
        <f>IFERROR(_xlfn.XLOOKUP($B378,'Cronog. e Histog.'!$BZ:$BZ,'Cronog. e Histog.'!DR:DR),"")</f>
        <v>0</v>
      </c>
      <c r="AX378" s="144">
        <f>IFERROR(_xlfn.XLOOKUP($B378,'Cronog. e Histog.'!$BZ:$BZ,'Cronog. e Histog.'!DS:DS),"")</f>
        <v>0</v>
      </c>
      <c r="AY378" s="144">
        <f>IFERROR(_xlfn.XLOOKUP($B378,'Cronog. e Histog.'!$BZ:$BZ,'Cronog. e Histog.'!DT:DT),"")</f>
        <v>0</v>
      </c>
      <c r="AZ378" s="144">
        <f>IFERROR(_xlfn.XLOOKUP($B378,'Cronog. e Histog.'!$BZ:$BZ,'Cronog. e Histog.'!DU:DU),"")</f>
        <v>0</v>
      </c>
      <c r="BA378" s="144">
        <f>IFERROR(_xlfn.XLOOKUP($B378,'Cronog. e Histog.'!$BZ:$BZ,'Cronog. e Histog.'!DV:DV),"")</f>
        <v>0</v>
      </c>
      <c r="BB378" s="144">
        <f>IFERROR(_xlfn.XLOOKUP($B378,'Cronog. e Histog.'!$BZ:$BZ,'Cronog. e Histog.'!DW:DW),"")</f>
        <v>0</v>
      </c>
      <c r="BC378" s="144">
        <f>IFERROR(_xlfn.XLOOKUP($B378,'Cronog. e Histog.'!$BZ:$BZ,'Cronog. e Histog.'!DX:DX),"")</f>
        <v>0</v>
      </c>
      <c r="BD378" s="144">
        <f>IFERROR(_xlfn.XLOOKUP($B378,'Cronog. e Histog.'!$BZ:$BZ,'Cronog. e Histog.'!DY:DY),"")</f>
        <v>0</v>
      </c>
      <c r="BE378" s="144">
        <f>IFERROR(_xlfn.XLOOKUP($B378,'Cronog. e Histog.'!$BZ:$BZ,'Cronog. e Histog.'!DZ:DZ),"")</f>
        <v>0</v>
      </c>
      <c r="BF378" s="144">
        <f>IFERROR(_xlfn.XLOOKUP($B378,'Cronog. e Histog.'!$BZ:$BZ,'Cronog. e Histog.'!EA:EA),"")</f>
        <v>0</v>
      </c>
      <c r="BG378" s="144">
        <f>IFERROR(_xlfn.XLOOKUP($B378,'Cronog. e Histog.'!$BZ:$BZ,'Cronog. e Histog.'!EB:EB),"")</f>
        <v>0</v>
      </c>
      <c r="BH378" s="144">
        <f>IFERROR(_xlfn.XLOOKUP($B378,'Cronog. e Histog.'!$BZ:$BZ,'Cronog. e Histog.'!EC:EC),"")</f>
        <v>0</v>
      </c>
      <c r="BI378" s="144">
        <f>IFERROR(_xlfn.XLOOKUP($B378,'Cronog. e Histog.'!$BZ:$BZ,'Cronog. e Histog.'!ED:ED),"")</f>
        <v>0</v>
      </c>
      <c r="BJ378" s="144">
        <f>IFERROR(_xlfn.XLOOKUP($B378,'Cronog. e Histog.'!$BZ:$BZ,'Cronog. e Histog.'!EE:EE),"")</f>
        <v>0</v>
      </c>
      <c r="BK378" s="144">
        <f>IFERROR(_xlfn.XLOOKUP($B378,'Cronog. e Histog.'!$BZ:$BZ,'Cronog. e Histog.'!EF:EF),"")</f>
        <v>0</v>
      </c>
      <c r="BL378" s="144">
        <f>IFERROR(_xlfn.XLOOKUP($B378,'Cronog. e Histog.'!$BZ:$BZ,'Cronog. e Histog.'!EG:EG),"")</f>
        <v>0</v>
      </c>
      <c r="BM378" s="144">
        <f>IFERROR(_xlfn.XLOOKUP($B378,'Cronog. e Histog.'!$BZ:$BZ,'Cronog. e Histog.'!EH:EH),"")</f>
        <v>0</v>
      </c>
      <c r="BN378" s="144">
        <f>IFERROR(_xlfn.XLOOKUP($B378,'Cronog. e Histog.'!$BZ:$BZ,'Cronog. e Histog.'!EI:EI),"")</f>
        <v>0</v>
      </c>
    </row>
    <row r="379" spans="2:66" ht="12" hidden="1" customHeight="1" outlineLevel="1">
      <c r="B379" s="76">
        <v>373</v>
      </c>
      <c r="C379" s="143" t="str">
        <f>IFERROR(VLOOKUP(B379,'Cronog. e Histog.'!$BZ$213:$CA$747,2,0),"")</f>
        <v>TEC III</v>
      </c>
      <c r="D379" s="144">
        <f t="shared" si="6"/>
        <v>0</v>
      </c>
      <c r="E379" s="144">
        <f t="shared" si="7"/>
        <v>0</v>
      </c>
      <c r="F379" s="65"/>
      <c r="G379" s="144">
        <f>IFERROR(_xlfn.XLOOKUP($B379,'Cronog. e Histog.'!$BZ:$BZ,'Cronog. e Histog.'!CB:CB),"")</f>
        <v>0</v>
      </c>
      <c r="H379" s="144">
        <f>IFERROR(_xlfn.XLOOKUP($B379,'Cronog. e Histog.'!$BZ:$BZ,'Cronog. e Histog.'!CC:CC),"")</f>
        <v>0</v>
      </c>
      <c r="I379" s="144">
        <f>IFERROR(_xlfn.XLOOKUP($B379,'Cronog. e Histog.'!$BZ:$BZ,'Cronog. e Histog.'!CD:CD),"")</f>
        <v>0</v>
      </c>
      <c r="J379" s="144">
        <f>IFERROR(_xlfn.XLOOKUP($B379,'Cronog. e Histog.'!$BZ:$BZ,'Cronog. e Histog.'!CE:CE),"")</f>
        <v>0</v>
      </c>
      <c r="K379" s="144">
        <f>IFERROR(_xlfn.XLOOKUP($B379,'Cronog. e Histog.'!$BZ:$BZ,'Cronog. e Histog.'!CF:CF),"")</f>
        <v>0</v>
      </c>
      <c r="L379" s="144">
        <f>IFERROR(_xlfn.XLOOKUP($B379,'Cronog. e Histog.'!$BZ:$BZ,'Cronog. e Histog.'!CG:CG),"")</f>
        <v>0</v>
      </c>
      <c r="M379" s="144">
        <f>IFERROR(_xlfn.XLOOKUP($B379,'Cronog. e Histog.'!$BZ:$BZ,'Cronog. e Histog.'!CH:CH),"")</f>
        <v>0</v>
      </c>
      <c r="N379" s="144">
        <f>IFERROR(_xlfn.XLOOKUP($B379,'Cronog. e Histog.'!$BZ:$BZ,'Cronog. e Histog.'!CI:CI),"")</f>
        <v>0</v>
      </c>
      <c r="O379" s="144">
        <f>IFERROR(_xlfn.XLOOKUP($B379,'Cronog. e Histog.'!$BZ:$BZ,'Cronog. e Histog.'!CJ:CJ),"")</f>
        <v>0</v>
      </c>
      <c r="P379" s="144">
        <f>IFERROR(_xlfn.XLOOKUP($B379,'Cronog. e Histog.'!$BZ:$BZ,'Cronog. e Histog.'!CK:CK),"")</f>
        <v>0</v>
      </c>
      <c r="Q379" s="144">
        <f>IFERROR(_xlfn.XLOOKUP($B379,'Cronog. e Histog.'!$BZ:$BZ,'Cronog. e Histog.'!CL:CL),"")</f>
        <v>0</v>
      </c>
      <c r="R379" s="144">
        <f>IFERROR(_xlfn.XLOOKUP($B379,'Cronog. e Histog.'!$BZ:$BZ,'Cronog. e Histog.'!CM:CM),"")</f>
        <v>0</v>
      </c>
      <c r="S379" s="144">
        <f>IFERROR(_xlfn.XLOOKUP($B379,'Cronog. e Histog.'!$BZ:$BZ,'Cronog. e Histog.'!CN:CN),"")</f>
        <v>0</v>
      </c>
      <c r="T379" s="144">
        <f>IFERROR(_xlfn.XLOOKUP($B379,'Cronog. e Histog.'!$BZ:$BZ,'Cronog. e Histog.'!CO:CO),"")</f>
        <v>0</v>
      </c>
      <c r="U379" s="144">
        <f>IFERROR(_xlfn.XLOOKUP($B379,'Cronog. e Histog.'!$BZ:$BZ,'Cronog. e Histog.'!CP:CP),"")</f>
        <v>0</v>
      </c>
      <c r="V379" s="144">
        <f>IFERROR(_xlfn.XLOOKUP($B379,'Cronog. e Histog.'!$BZ:$BZ,'Cronog. e Histog.'!CQ:CQ),"")</f>
        <v>0</v>
      </c>
      <c r="W379" s="144">
        <f>IFERROR(_xlfn.XLOOKUP($B379,'Cronog. e Histog.'!$BZ:$BZ,'Cronog. e Histog.'!CR:CR),"")</f>
        <v>0</v>
      </c>
      <c r="X379" s="144">
        <f>IFERROR(_xlfn.XLOOKUP($B379,'Cronog. e Histog.'!$BZ:$BZ,'Cronog. e Histog.'!CS:CS),"")</f>
        <v>0</v>
      </c>
      <c r="Y379" s="144">
        <f>IFERROR(_xlfn.XLOOKUP($B379,'Cronog. e Histog.'!$BZ:$BZ,'Cronog. e Histog.'!CT:CT),"")</f>
        <v>0</v>
      </c>
      <c r="Z379" s="144">
        <f>IFERROR(_xlfn.XLOOKUP($B379,'Cronog. e Histog.'!$BZ:$BZ,'Cronog. e Histog.'!CU:CU),"")</f>
        <v>0</v>
      </c>
      <c r="AA379" s="144">
        <f>IFERROR(_xlfn.XLOOKUP($B379,'Cronog. e Histog.'!$BZ:$BZ,'Cronog. e Histog.'!CV:CV),"")</f>
        <v>0</v>
      </c>
      <c r="AB379" s="144">
        <f>IFERROR(_xlfn.XLOOKUP($B379,'Cronog. e Histog.'!$BZ:$BZ,'Cronog. e Histog.'!CW:CW),"")</f>
        <v>0</v>
      </c>
      <c r="AC379" s="144">
        <f>IFERROR(_xlfn.XLOOKUP($B379,'Cronog. e Histog.'!$BZ:$BZ,'Cronog. e Histog.'!CX:CX),"")</f>
        <v>0</v>
      </c>
      <c r="AD379" s="144">
        <f>IFERROR(_xlfn.XLOOKUP($B379,'Cronog. e Histog.'!$BZ:$BZ,'Cronog. e Histog.'!CY:CY),"")</f>
        <v>0</v>
      </c>
      <c r="AE379" s="144">
        <f>IFERROR(_xlfn.XLOOKUP($B379,'Cronog. e Histog.'!$BZ:$BZ,'Cronog. e Histog.'!CZ:CZ),"")</f>
        <v>0</v>
      </c>
      <c r="AF379" s="144">
        <f>IFERROR(_xlfn.XLOOKUP($B379,'Cronog. e Histog.'!$BZ:$BZ,'Cronog. e Histog.'!DA:DA),"")</f>
        <v>0</v>
      </c>
      <c r="AG379" s="144">
        <f>IFERROR(_xlfn.XLOOKUP($B379,'Cronog. e Histog.'!$BZ:$BZ,'Cronog. e Histog.'!DB:DB),"")</f>
        <v>0</v>
      </c>
      <c r="AH379" s="144">
        <f>IFERROR(_xlfn.XLOOKUP($B379,'Cronog. e Histog.'!$BZ:$BZ,'Cronog. e Histog.'!DC:DC),"")</f>
        <v>0</v>
      </c>
      <c r="AI379" s="144">
        <f>IFERROR(_xlfn.XLOOKUP($B379,'Cronog. e Histog.'!$BZ:$BZ,'Cronog. e Histog.'!DD:DD),"")</f>
        <v>0</v>
      </c>
      <c r="AJ379" s="144">
        <f>IFERROR(_xlfn.XLOOKUP($B379,'Cronog. e Histog.'!$BZ:$BZ,'Cronog. e Histog.'!DE:DE),"")</f>
        <v>0</v>
      </c>
      <c r="AK379" s="144">
        <f>IFERROR(_xlfn.XLOOKUP($B379,'Cronog. e Histog.'!$BZ:$BZ,'Cronog. e Histog.'!DF:DF),"")</f>
        <v>0</v>
      </c>
      <c r="AL379" s="144">
        <f>IFERROR(_xlfn.XLOOKUP($B379,'Cronog. e Histog.'!$BZ:$BZ,'Cronog. e Histog.'!DG:DG),"")</f>
        <v>0</v>
      </c>
      <c r="AM379" s="144">
        <f>IFERROR(_xlfn.XLOOKUP($B379,'Cronog. e Histog.'!$BZ:$BZ,'Cronog. e Histog.'!DH:DH),"")</f>
        <v>0</v>
      </c>
      <c r="AN379" s="144">
        <f>IFERROR(_xlfn.XLOOKUP($B379,'Cronog. e Histog.'!$BZ:$BZ,'Cronog. e Histog.'!DI:DI),"")</f>
        <v>0</v>
      </c>
      <c r="AO379" s="144">
        <f>IFERROR(_xlfn.XLOOKUP($B379,'Cronog. e Histog.'!$BZ:$BZ,'Cronog. e Histog.'!DJ:DJ),"")</f>
        <v>0</v>
      </c>
      <c r="AP379" s="144">
        <f>IFERROR(_xlfn.XLOOKUP($B379,'Cronog. e Histog.'!$BZ:$BZ,'Cronog. e Histog.'!DK:DK),"")</f>
        <v>0</v>
      </c>
      <c r="AQ379" s="144">
        <f>IFERROR(_xlfn.XLOOKUP($B379,'Cronog. e Histog.'!$BZ:$BZ,'Cronog. e Histog.'!DL:DL),"")</f>
        <v>0</v>
      </c>
      <c r="AR379" s="144">
        <f>IFERROR(_xlfn.XLOOKUP($B379,'Cronog. e Histog.'!$BZ:$BZ,'Cronog. e Histog.'!DM:DM),"")</f>
        <v>0</v>
      </c>
      <c r="AS379" s="144">
        <f>IFERROR(_xlfn.XLOOKUP($B379,'Cronog. e Histog.'!$BZ:$BZ,'Cronog. e Histog.'!DN:DN),"")</f>
        <v>0</v>
      </c>
      <c r="AT379" s="144">
        <f>IFERROR(_xlfn.XLOOKUP($B379,'Cronog. e Histog.'!$BZ:$BZ,'Cronog. e Histog.'!DO:DO),"")</f>
        <v>0</v>
      </c>
      <c r="AU379" s="144">
        <f>IFERROR(_xlfn.XLOOKUP($B379,'Cronog. e Histog.'!$BZ:$BZ,'Cronog. e Histog.'!DP:DP),"")</f>
        <v>0</v>
      </c>
      <c r="AV379" s="144">
        <f>IFERROR(_xlfn.XLOOKUP($B379,'Cronog. e Histog.'!$BZ:$BZ,'Cronog. e Histog.'!DQ:DQ),"")</f>
        <v>0</v>
      </c>
      <c r="AW379" s="144">
        <f>IFERROR(_xlfn.XLOOKUP($B379,'Cronog. e Histog.'!$BZ:$BZ,'Cronog. e Histog.'!DR:DR),"")</f>
        <v>0</v>
      </c>
      <c r="AX379" s="144">
        <f>IFERROR(_xlfn.XLOOKUP($B379,'Cronog. e Histog.'!$BZ:$BZ,'Cronog. e Histog.'!DS:DS),"")</f>
        <v>0</v>
      </c>
      <c r="AY379" s="144">
        <f>IFERROR(_xlfn.XLOOKUP($B379,'Cronog. e Histog.'!$BZ:$BZ,'Cronog. e Histog.'!DT:DT),"")</f>
        <v>0</v>
      </c>
      <c r="AZ379" s="144">
        <f>IFERROR(_xlfn.XLOOKUP($B379,'Cronog. e Histog.'!$BZ:$BZ,'Cronog. e Histog.'!DU:DU),"")</f>
        <v>0</v>
      </c>
      <c r="BA379" s="144">
        <f>IFERROR(_xlfn.XLOOKUP($B379,'Cronog. e Histog.'!$BZ:$BZ,'Cronog. e Histog.'!DV:DV),"")</f>
        <v>0</v>
      </c>
      <c r="BB379" s="144">
        <f>IFERROR(_xlfn.XLOOKUP($B379,'Cronog. e Histog.'!$BZ:$BZ,'Cronog. e Histog.'!DW:DW),"")</f>
        <v>0</v>
      </c>
      <c r="BC379" s="144">
        <f>IFERROR(_xlfn.XLOOKUP($B379,'Cronog. e Histog.'!$BZ:$BZ,'Cronog. e Histog.'!DX:DX),"")</f>
        <v>0</v>
      </c>
      <c r="BD379" s="144">
        <f>IFERROR(_xlfn.XLOOKUP($B379,'Cronog. e Histog.'!$BZ:$BZ,'Cronog. e Histog.'!DY:DY),"")</f>
        <v>0</v>
      </c>
      <c r="BE379" s="144">
        <f>IFERROR(_xlfn.XLOOKUP($B379,'Cronog. e Histog.'!$BZ:$BZ,'Cronog. e Histog.'!DZ:DZ),"")</f>
        <v>0</v>
      </c>
      <c r="BF379" s="144">
        <f>IFERROR(_xlfn.XLOOKUP($B379,'Cronog. e Histog.'!$BZ:$BZ,'Cronog. e Histog.'!EA:EA),"")</f>
        <v>0</v>
      </c>
      <c r="BG379" s="144">
        <f>IFERROR(_xlfn.XLOOKUP($B379,'Cronog. e Histog.'!$BZ:$BZ,'Cronog. e Histog.'!EB:EB),"")</f>
        <v>0</v>
      </c>
      <c r="BH379" s="144">
        <f>IFERROR(_xlfn.XLOOKUP($B379,'Cronog. e Histog.'!$BZ:$BZ,'Cronog. e Histog.'!EC:EC),"")</f>
        <v>0</v>
      </c>
      <c r="BI379" s="144">
        <f>IFERROR(_xlfn.XLOOKUP($B379,'Cronog. e Histog.'!$BZ:$BZ,'Cronog. e Histog.'!ED:ED),"")</f>
        <v>0</v>
      </c>
      <c r="BJ379" s="144">
        <f>IFERROR(_xlfn.XLOOKUP($B379,'Cronog. e Histog.'!$BZ:$BZ,'Cronog. e Histog.'!EE:EE),"")</f>
        <v>0</v>
      </c>
      <c r="BK379" s="144">
        <f>IFERROR(_xlfn.XLOOKUP($B379,'Cronog. e Histog.'!$BZ:$BZ,'Cronog. e Histog.'!EF:EF),"")</f>
        <v>0</v>
      </c>
      <c r="BL379" s="144">
        <f>IFERROR(_xlfn.XLOOKUP($B379,'Cronog. e Histog.'!$BZ:$BZ,'Cronog. e Histog.'!EG:EG),"")</f>
        <v>0</v>
      </c>
      <c r="BM379" s="144">
        <f>IFERROR(_xlfn.XLOOKUP($B379,'Cronog. e Histog.'!$BZ:$BZ,'Cronog. e Histog.'!EH:EH),"")</f>
        <v>0</v>
      </c>
      <c r="BN379" s="144">
        <f>IFERROR(_xlfn.XLOOKUP($B379,'Cronog. e Histog.'!$BZ:$BZ,'Cronog. e Histog.'!EI:EI),"")</f>
        <v>0</v>
      </c>
    </row>
    <row r="380" spans="2:66" ht="12" hidden="1" customHeight="1" outlineLevel="1">
      <c r="B380" s="76">
        <v>374</v>
      </c>
      <c r="C380" s="143" t="str">
        <f>IFERROR(VLOOKUP(B380,'Cronog. e Histog.'!$BZ$213:$CA$747,2,0),"")</f>
        <v>TEC II</v>
      </c>
      <c r="D380" s="144">
        <f t="shared" si="6"/>
        <v>0</v>
      </c>
      <c r="E380" s="144">
        <f t="shared" si="7"/>
        <v>0</v>
      </c>
      <c r="F380" s="65"/>
      <c r="G380" s="144">
        <f>IFERROR(_xlfn.XLOOKUP($B380,'Cronog. e Histog.'!$BZ:$BZ,'Cronog. e Histog.'!CB:CB),"")</f>
        <v>0</v>
      </c>
      <c r="H380" s="144">
        <f>IFERROR(_xlfn.XLOOKUP($B380,'Cronog. e Histog.'!$BZ:$BZ,'Cronog. e Histog.'!CC:CC),"")</f>
        <v>0</v>
      </c>
      <c r="I380" s="144">
        <f>IFERROR(_xlfn.XLOOKUP($B380,'Cronog. e Histog.'!$BZ:$BZ,'Cronog. e Histog.'!CD:CD),"")</f>
        <v>0</v>
      </c>
      <c r="J380" s="144">
        <f>IFERROR(_xlfn.XLOOKUP($B380,'Cronog. e Histog.'!$BZ:$BZ,'Cronog. e Histog.'!CE:CE),"")</f>
        <v>0</v>
      </c>
      <c r="K380" s="144">
        <f>IFERROR(_xlfn.XLOOKUP($B380,'Cronog. e Histog.'!$BZ:$BZ,'Cronog. e Histog.'!CF:CF),"")</f>
        <v>0</v>
      </c>
      <c r="L380" s="144">
        <f>IFERROR(_xlfn.XLOOKUP($B380,'Cronog. e Histog.'!$BZ:$BZ,'Cronog. e Histog.'!CG:CG),"")</f>
        <v>0</v>
      </c>
      <c r="M380" s="144">
        <f>IFERROR(_xlfn.XLOOKUP($B380,'Cronog. e Histog.'!$BZ:$BZ,'Cronog. e Histog.'!CH:CH),"")</f>
        <v>0</v>
      </c>
      <c r="N380" s="144">
        <f>IFERROR(_xlfn.XLOOKUP($B380,'Cronog. e Histog.'!$BZ:$BZ,'Cronog. e Histog.'!CI:CI),"")</f>
        <v>0</v>
      </c>
      <c r="O380" s="144">
        <f>IFERROR(_xlfn.XLOOKUP($B380,'Cronog. e Histog.'!$BZ:$BZ,'Cronog. e Histog.'!CJ:CJ),"")</f>
        <v>0</v>
      </c>
      <c r="P380" s="144">
        <f>IFERROR(_xlfn.XLOOKUP($B380,'Cronog. e Histog.'!$BZ:$BZ,'Cronog. e Histog.'!CK:CK),"")</f>
        <v>0</v>
      </c>
      <c r="Q380" s="144">
        <f>IFERROR(_xlfn.XLOOKUP($B380,'Cronog. e Histog.'!$BZ:$BZ,'Cronog. e Histog.'!CL:CL),"")</f>
        <v>0</v>
      </c>
      <c r="R380" s="144">
        <f>IFERROR(_xlfn.XLOOKUP($B380,'Cronog. e Histog.'!$BZ:$BZ,'Cronog. e Histog.'!CM:CM),"")</f>
        <v>0</v>
      </c>
      <c r="S380" s="144">
        <f>IFERROR(_xlfn.XLOOKUP($B380,'Cronog. e Histog.'!$BZ:$BZ,'Cronog. e Histog.'!CN:CN),"")</f>
        <v>0</v>
      </c>
      <c r="T380" s="144">
        <f>IFERROR(_xlfn.XLOOKUP($B380,'Cronog. e Histog.'!$BZ:$BZ,'Cronog. e Histog.'!CO:CO),"")</f>
        <v>0</v>
      </c>
      <c r="U380" s="144">
        <f>IFERROR(_xlfn.XLOOKUP($B380,'Cronog. e Histog.'!$BZ:$BZ,'Cronog. e Histog.'!CP:CP),"")</f>
        <v>0</v>
      </c>
      <c r="V380" s="144">
        <f>IFERROR(_xlfn.XLOOKUP($B380,'Cronog. e Histog.'!$BZ:$BZ,'Cronog. e Histog.'!CQ:CQ),"")</f>
        <v>0</v>
      </c>
      <c r="W380" s="144">
        <f>IFERROR(_xlfn.XLOOKUP($B380,'Cronog. e Histog.'!$BZ:$BZ,'Cronog. e Histog.'!CR:CR),"")</f>
        <v>0</v>
      </c>
      <c r="X380" s="144">
        <f>IFERROR(_xlfn.XLOOKUP($B380,'Cronog. e Histog.'!$BZ:$BZ,'Cronog. e Histog.'!CS:CS),"")</f>
        <v>0</v>
      </c>
      <c r="Y380" s="144">
        <f>IFERROR(_xlfn.XLOOKUP($B380,'Cronog. e Histog.'!$BZ:$BZ,'Cronog. e Histog.'!CT:CT),"")</f>
        <v>0</v>
      </c>
      <c r="Z380" s="144">
        <f>IFERROR(_xlfn.XLOOKUP($B380,'Cronog. e Histog.'!$BZ:$BZ,'Cronog. e Histog.'!CU:CU),"")</f>
        <v>0</v>
      </c>
      <c r="AA380" s="144">
        <f>IFERROR(_xlfn.XLOOKUP($B380,'Cronog. e Histog.'!$BZ:$BZ,'Cronog. e Histog.'!CV:CV),"")</f>
        <v>0</v>
      </c>
      <c r="AB380" s="144">
        <f>IFERROR(_xlfn.XLOOKUP($B380,'Cronog. e Histog.'!$BZ:$BZ,'Cronog. e Histog.'!CW:CW),"")</f>
        <v>0</v>
      </c>
      <c r="AC380" s="144">
        <f>IFERROR(_xlfn.XLOOKUP($B380,'Cronog. e Histog.'!$BZ:$BZ,'Cronog. e Histog.'!CX:CX),"")</f>
        <v>0</v>
      </c>
      <c r="AD380" s="144">
        <f>IFERROR(_xlfn.XLOOKUP($B380,'Cronog. e Histog.'!$BZ:$BZ,'Cronog. e Histog.'!CY:CY),"")</f>
        <v>0</v>
      </c>
      <c r="AE380" s="144">
        <f>IFERROR(_xlfn.XLOOKUP($B380,'Cronog. e Histog.'!$BZ:$BZ,'Cronog. e Histog.'!CZ:CZ),"")</f>
        <v>0</v>
      </c>
      <c r="AF380" s="144">
        <f>IFERROR(_xlfn.XLOOKUP($B380,'Cronog. e Histog.'!$BZ:$BZ,'Cronog. e Histog.'!DA:DA),"")</f>
        <v>0</v>
      </c>
      <c r="AG380" s="144">
        <f>IFERROR(_xlfn.XLOOKUP($B380,'Cronog. e Histog.'!$BZ:$BZ,'Cronog. e Histog.'!DB:DB),"")</f>
        <v>0</v>
      </c>
      <c r="AH380" s="144">
        <f>IFERROR(_xlfn.XLOOKUP($B380,'Cronog. e Histog.'!$BZ:$BZ,'Cronog. e Histog.'!DC:DC),"")</f>
        <v>0</v>
      </c>
      <c r="AI380" s="144">
        <f>IFERROR(_xlfn.XLOOKUP($B380,'Cronog. e Histog.'!$BZ:$BZ,'Cronog. e Histog.'!DD:DD),"")</f>
        <v>0</v>
      </c>
      <c r="AJ380" s="144">
        <f>IFERROR(_xlfn.XLOOKUP($B380,'Cronog. e Histog.'!$BZ:$BZ,'Cronog. e Histog.'!DE:DE),"")</f>
        <v>0</v>
      </c>
      <c r="AK380" s="144">
        <f>IFERROR(_xlfn.XLOOKUP($B380,'Cronog. e Histog.'!$BZ:$BZ,'Cronog. e Histog.'!DF:DF),"")</f>
        <v>0</v>
      </c>
      <c r="AL380" s="144">
        <f>IFERROR(_xlfn.XLOOKUP($B380,'Cronog. e Histog.'!$BZ:$BZ,'Cronog. e Histog.'!DG:DG),"")</f>
        <v>0</v>
      </c>
      <c r="AM380" s="144">
        <f>IFERROR(_xlfn.XLOOKUP($B380,'Cronog. e Histog.'!$BZ:$BZ,'Cronog. e Histog.'!DH:DH),"")</f>
        <v>0</v>
      </c>
      <c r="AN380" s="144">
        <f>IFERROR(_xlfn.XLOOKUP($B380,'Cronog. e Histog.'!$BZ:$BZ,'Cronog. e Histog.'!DI:DI),"")</f>
        <v>0</v>
      </c>
      <c r="AO380" s="144">
        <f>IFERROR(_xlfn.XLOOKUP($B380,'Cronog. e Histog.'!$BZ:$BZ,'Cronog. e Histog.'!DJ:DJ),"")</f>
        <v>0</v>
      </c>
      <c r="AP380" s="144">
        <f>IFERROR(_xlfn.XLOOKUP($B380,'Cronog. e Histog.'!$BZ:$BZ,'Cronog. e Histog.'!DK:DK),"")</f>
        <v>0</v>
      </c>
      <c r="AQ380" s="144">
        <f>IFERROR(_xlfn.XLOOKUP($B380,'Cronog. e Histog.'!$BZ:$BZ,'Cronog. e Histog.'!DL:DL),"")</f>
        <v>0</v>
      </c>
      <c r="AR380" s="144">
        <f>IFERROR(_xlfn.XLOOKUP($B380,'Cronog. e Histog.'!$BZ:$BZ,'Cronog. e Histog.'!DM:DM),"")</f>
        <v>0</v>
      </c>
      <c r="AS380" s="144">
        <f>IFERROR(_xlfn.XLOOKUP($B380,'Cronog. e Histog.'!$BZ:$BZ,'Cronog. e Histog.'!DN:DN),"")</f>
        <v>0</v>
      </c>
      <c r="AT380" s="144">
        <f>IFERROR(_xlfn.XLOOKUP($B380,'Cronog. e Histog.'!$BZ:$BZ,'Cronog. e Histog.'!DO:DO),"")</f>
        <v>0</v>
      </c>
      <c r="AU380" s="144">
        <f>IFERROR(_xlfn.XLOOKUP($B380,'Cronog. e Histog.'!$BZ:$BZ,'Cronog. e Histog.'!DP:DP),"")</f>
        <v>0</v>
      </c>
      <c r="AV380" s="144">
        <f>IFERROR(_xlfn.XLOOKUP($B380,'Cronog. e Histog.'!$BZ:$BZ,'Cronog. e Histog.'!DQ:DQ),"")</f>
        <v>0</v>
      </c>
      <c r="AW380" s="144">
        <f>IFERROR(_xlfn.XLOOKUP($B380,'Cronog. e Histog.'!$BZ:$BZ,'Cronog. e Histog.'!DR:DR),"")</f>
        <v>0</v>
      </c>
      <c r="AX380" s="144">
        <f>IFERROR(_xlfn.XLOOKUP($B380,'Cronog. e Histog.'!$BZ:$BZ,'Cronog. e Histog.'!DS:DS),"")</f>
        <v>0</v>
      </c>
      <c r="AY380" s="144">
        <f>IFERROR(_xlfn.XLOOKUP($B380,'Cronog. e Histog.'!$BZ:$BZ,'Cronog. e Histog.'!DT:DT),"")</f>
        <v>0</v>
      </c>
      <c r="AZ380" s="144">
        <f>IFERROR(_xlfn.XLOOKUP($B380,'Cronog. e Histog.'!$BZ:$BZ,'Cronog. e Histog.'!DU:DU),"")</f>
        <v>0</v>
      </c>
      <c r="BA380" s="144">
        <f>IFERROR(_xlfn.XLOOKUP($B380,'Cronog. e Histog.'!$BZ:$BZ,'Cronog. e Histog.'!DV:DV),"")</f>
        <v>0</v>
      </c>
      <c r="BB380" s="144">
        <f>IFERROR(_xlfn.XLOOKUP($B380,'Cronog. e Histog.'!$BZ:$BZ,'Cronog. e Histog.'!DW:DW),"")</f>
        <v>0</v>
      </c>
      <c r="BC380" s="144">
        <f>IFERROR(_xlfn.XLOOKUP($B380,'Cronog. e Histog.'!$BZ:$BZ,'Cronog. e Histog.'!DX:DX),"")</f>
        <v>0</v>
      </c>
      <c r="BD380" s="144">
        <f>IFERROR(_xlfn.XLOOKUP($B380,'Cronog. e Histog.'!$BZ:$BZ,'Cronog. e Histog.'!DY:DY),"")</f>
        <v>0</v>
      </c>
      <c r="BE380" s="144">
        <f>IFERROR(_xlfn.XLOOKUP($B380,'Cronog. e Histog.'!$BZ:$BZ,'Cronog. e Histog.'!DZ:DZ),"")</f>
        <v>0</v>
      </c>
      <c r="BF380" s="144">
        <f>IFERROR(_xlfn.XLOOKUP($B380,'Cronog. e Histog.'!$BZ:$BZ,'Cronog. e Histog.'!EA:EA),"")</f>
        <v>0</v>
      </c>
      <c r="BG380" s="144">
        <f>IFERROR(_xlfn.XLOOKUP($B380,'Cronog. e Histog.'!$BZ:$BZ,'Cronog. e Histog.'!EB:EB),"")</f>
        <v>0</v>
      </c>
      <c r="BH380" s="144">
        <f>IFERROR(_xlfn.XLOOKUP($B380,'Cronog. e Histog.'!$BZ:$BZ,'Cronog. e Histog.'!EC:EC),"")</f>
        <v>0</v>
      </c>
      <c r="BI380" s="144">
        <f>IFERROR(_xlfn.XLOOKUP($B380,'Cronog. e Histog.'!$BZ:$BZ,'Cronog. e Histog.'!ED:ED),"")</f>
        <v>0</v>
      </c>
      <c r="BJ380" s="144">
        <f>IFERROR(_xlfn.XLOOKUP($B380,'Cronog. e Histog.'!$BZ:$BZ,'Cronog. e Histog.'!EE:EE),"")</f>
        <v>0</v>
      </c>
      <c r="BK380" s="144">
        <f>IFERROR(_xlfn.XLOOKUP($B380,'Cronog. e Histog.'!$BZ:$BZ,'Cronog. e Histog.'!EF:EF),"")</f>
        <v>0</v>
      </c>
      <c r="BL380" s="144">
        <f>IFERROR(_xlfn.XLOOKUP($B380,'Cronog. e Histog.'!$BZ:$BZ,'Cronog. e Histog.'!EG:EG),"")</f>
        <v>0</v>
      </c>
      <c r="BM380" s="144">
        <f>IFERROR(_xlfn.XLOOKUP($B380,'Cronog. e Histog.'!$BZ:$BZ,'Cronog. e Histog.'!EH:EH),"")</f>
        <v>0</v>
      </c>
      <c r="BN380" s="144">
        <f>IFERROR(_xlfn.XLOOKUP($B380,'Cronog. e Histog.'!$BZ:$BZ,'Cronog. e Histog.'!EI:EI),"")</f>
        <v>0</v>
      </c>
    </row>
    <row r="381" spans="2:66" ht="12" hidden="1" customHeight="1" outlineLevel="1">
      <c r="B381" s="76">
        <v>375</v>
      </c>
      <c r="C381" s="143" t="str">
        <f>IFERROR(VLOOKUP(B381,'Cronog. e Histog.'!$BZ$213:$CA$747,2,0),"")</f>
        <v>TEC I</v>
      </c>
      <c r="D381" s="144">
        <f t="shared" si="6"/>
        <v>0</v>
      </c>
      <c r="E381" s="144">
        <f t="shared" si="7"/>
        <v>0</v>
      </c>
      <c r="F381" s="65"/>
      <c r="G381" s="144">
        <f>IFERROR(_xlfn.XLOOKUP($B381,'Cronog. e Histog.'!$BZ:$BZ,'Cronog. e Histog.'!CB:CB),"")</f>
        <v>0</v>
      </c>
      <c r="H381" s="144">
        <f>IFERROR(_xlfn.XLOOKUP($B381,'Cronog. e Histog.'!$BZ:$BZ,'Cronog. e Histog.'!CC:CC),"")</f>
        <v>0</v>
      </c>
      <c r="I381" s="144">
        <f>IFERROR(_xlfn.XLOOKUP($B381,'Cronog. e Histog.'!$BZ:$BZ,'Cronog. e Histog.'!CD:CD),"")</f>
        <v>0</v>
      </c>
      <c r="J381" s="144">
        <f>IFERROR(_xlfn.XLOOKUP($B381,'Cronog. e Histog.'!$BZ:$BZ,'Cronog. e Histog.'!CE:CE),"")</f>
        <v>0</v>
      </c>
      <c r="K381" s="144">
        <f>IFERROR(_xlfn.XLOOKUP($B381,'Cronog. e Histog.'!$BZ:$BZ,'Cronog. e Histog.'!CF:CF),"")</f>
        <v>0</v>
      </c>
      <c r="L381" s="144">
        <f>IFERROR(_xlfn.XLOOKUP($B381,'Cronog. e Histog.'!$BZ:$BZ,'Cronog. e Histog.'!CG:CG),"")</f>
        <v>0</v>
      </c>
      <c r="M381" s="144">
        <f>IFERROR(_xlfn.XLOOKUP($B381,'Cronog. e Histog.'!$BZ:$BZ,'Cronog. e Histog.'!CH:CH),"")</f>
        <v>0</v>
      </c>
      <c r="N381" s="144">
        <f>IFERROR(_xlfn.XLOOKUP($B381,'Cronog. e Histog.'!$BZ:$BZ,'Cronog. e Histog.'!CI:CI),"")</f>
        <v>0</v>
      </c>
      <c r="O381" s="144">
        <f>IFERROR(_xlfn.XLOOKUP($B381,'Cronog. e Histog.'!$BZ:$BZ,'Cronog. e Histog.'!CJ:CJ),"")</f>
        <v>0</v>
      </c>
      <c r="P381" s="144">
        <f>IFERROR(_xlfn.XLOOKUP($B381,'Cronog. e Histog.'!$BZ:$BZ,'Cronog. e Histog.'!CK:CK),"")</f>
        <v>0</v>
      </c>
      <c r="Q381" s="144">
        <f>IFERROR(_xlfn.XLOOKUP($B381,'Cronog. e Histog.'!$BZ:$BZ,'Cronog. e Histog.'!CL:CL),"")</f>
        <v>0</v>
      </c>
      <c r="R381" s="144">
        <f>IFERROR(_xlfn.XLOOKUP($B381,'Cronog. e Histog.'!$BZ:$BZ,'Cronog. e Histog.'!CM:CM),"")</f>
        <v>0</v>
      </c>
      <c r="S381" s="144">
        <f>IFERROR(_xlfn.XLOOKUP($B381,'Cronog. e Histog.'!$BZ:$BZ,'Cronog. e Histog.'!CN:CN),"")</f>
        <v>0</v>
      </c>
      <c r="T381" s="144">
        <f>IFERROR(_xlfn.XLOOKUP($B381,'Cronog. e Histog.'!$BZ:$BZ,'Cronog. e Histog.'!CO:CO),"")</f>
        <v>0</v>
      </c>
      <c r="U381" s="144">
        <f>IFERROR(_xlfn.XLOOKUP($B381,'Cronog. e Histog.'!$BZ:$BZ,'Cronog. e Histog.'!CP:CP),"")</f>
        <v>0</v>
      </c>
      <c r="V381" s="144">
        <f>IFERROR(_xlfn.XLOOKUP($B381,'Cronog. e Histog.'!$BZ:$BZ,'Cronog. e Histog.'!CQ:CQ),"")</f>
        <v>0</v>
      </c>
      <c r="W381" s="144">
        <f>IFERROR(_xlfn.XLOOKUP($B381,'Cronog. e Histog.'!$BZ:$BZ,'Cronog. e Histog.'!CR:CR),"")</f>
        <v>0</v>
      </c>
      <c r="X381" s="144">
        <f>IFERROR(_xlfn.XLOOKUP($B381,'Cronog. e Histog.'!$BZ:$BZ,'Cronog. e Histog.'!CS:CS),"")</f>
        <v>0</v>
      </c>
      <c r="Y381" s="144">
        <f>IFERROR(_xlfn.XLOOKUP($B381,'Cronog. e Histog.'!$BZ:$BZ,'Cronog. e Histog.'!CT:CT),"")</f>
        <v>0</v>
      </c>
      <c r="Z381" s="144">
        <f>IFERROR(_xlfn.XLOOKUP($B381,'Cronog. e Histog.'!$BZ:$BZ,'Cronog. e Histog.'!CU:CU),"")</f>
        <v>0</v>
      </c>
      <c r="AA381" s="144">
        <f>IFERROR(_xlfn.XLOOKUP($B381,'Cronog. e Histog.'!$BZ:$BZ,'Cronog. e Histog.'!CV:CV),"")</f>
        <v>0</v>
      </c>
      <c r="AB381" s="144">
        <f>IFERROR(_xlfn.XLOOKUP($B381,'Cronog. e Histog.'!$BZ:$BZ,'Cronog. e Histog.'!CW:CW),"")</f>
        <v>0</v>
      </c>
      <c r="AC381" s="144">
        <f>IFERROR(_xlfn.XLOOKUP($B381,'Cronog. e Histog.'!$BZ:$BZ,'Cronog. e Histog.'!CX:CX),"")</f>
        <v>0</v>
      </c>
      <c r="AD381" s="144">
        <f>IFERROR(_xlfn.XLOOKUP($B381,'Cronog. e Histog.'!$BZ:$BZ,'Cronog. e Histog.'!CY:CY),"")</f>
        <v>0</v>
      </c>
      <c r="AE381" s="144">
        <f>IFERROR(_xlfn.XLOOKUP($B381,'Cronog. e Histog.'!$BZ:$BZ,'Cronog. e Histog.'!CZ:CZ),"")</f>
        <v>0</v>
      </c>
      <c r="AF381" s="144">
        <f>IFERROR(_xlfn.XLOOKUP($B381,'Cronog. e Histog.'!$BZ:$BZ,'Cronog. e Histog.'!DA:DA),"")</f>
        <v>0</v>
      </c>
      <c r="AG381" s="144">
        <f>IFERROR(_xlfn.XLOOKUP($B381,'Cronog. e Histog.'!$BZ:$BZ,'Cronog. e Histog.'!DB:DB),"")</f>
        <v>0</v>
      </c>
      <c r="AH381" s="144">
        <f>IFERROR(_xlfn.XLOOKUP($B381,'Cronog. e Histog.'!$BZ:$BZ,'Cronog. e Histog.'!DC:DC),"")</f>
        <v>0</v>
      </c>
      <c r="AI381" s="144">
        <f>IFERROR(_xlfn.XLOOKUP($B381,'Cronog. e Histog.'!$BZ:$BZ,'Cronog. e Histog.'!DD:DD),"")</f>
        <v>0</v>
      </c>
      <c r="AJ381" s="144">
        <f>IFERROR(_xlfn.XLOOKUP($B381,'Cronog. e Histog.'!$BZ:$BZ,'Cronog. e Histog.'!DE:DE),"")</f>
        <v>0</v>
      </c>
      <c r="AK381" s="144">
        <f>IFERROR(_xlfn.XLOOKUP($B381,'Cronog. e Histog.'!$BZ:$BZ,'Cronog. e Histog.'!DF:DF),"")</f>
        <v>0</v>
      </c>
      <c r="AL381" s="144">
        <f>IFERROR(_xlfn.XLOOKUP($B381,'Cronog. e Histog.'!$BZ:$BZ,'Cronog. e Histog.'!DG:DG),"")</f>
        <v>0</v>
      </c>
      <c r="AM381" s="144">
        <f>IFERROR(_xlfn.XLOOKUP($B381,'Cronog. e Histog.'!$BZ:$BZ,'Cronog. e Histog.'!DH:DH),"")</f>
        <v>0</v>
      </c>
      <c r="AN381" s="144">
        <f>IFERROR(_xlfn.XLOOKUP($B381,'Cronog. e Histog.'!$BZ:$BZ,'Cronog. e Histog.'!DI:DI),"")</f>
        <v>0</v>
      </c>
      <c r="AO381" s="144">
        <f>IFERROR(_xlfn.XLOOKUP($B381,'Cronog. e Histog.'!$BZ:$BZ,'Cronog. e Histog.'!DJ:DJ),"")</f>
        <v>0</v>
      </c>
      <c r="AP381" s="144">
        <f>IFERROR(_xlfn.XLOOKUP($B381,'Cronog. e Histog.'!$BZ:$BZ,'Cronog. e Histog.'!DK:DK),"")</f>
        <v>0</v>
      </c>
      <c r="AQ381" s="144">
        <f>IFERROR(_xlfn.XLOOKUP($B381,'Cronog. e Histog.'!$BZ:$BZ,'Cronog. e Histog.'!DL:DL),"")</f>
        <v>0</v>
      </c>
      <c r="AR381" s="144">
        <f>IFERROR(_xlfn.XLOOKUP($B381,'Cronog. e Histog.'!$BZ:$BZ,'Cronog. e Histog.'!DM:DM),"")</f>
        <v>0</v>
      </c>
      <c r="AS381" s="144">
        <f>IFERROR(_xlfn.XLOOKUP($B381,'Cronog. e Histog.'!$BZ:$BZ,'Cronog. e Histog.'!DN:DN),"")</f>
        <v>0</v>
      </c>
      <c r="AT381" s="144">
        <f>IFERROR(_xlfn.XLOOKUP($B381,'Cronog. e Histog.'!$BZ:$BZ,'Cronog. e Histog.'!DO:DO),"")</f>
        <v>0</v>
      </c>
      <c r="AU381" s="144">
        <f>IFERROR(_xlfn.XLOOKUP($B381,'Cronog. e Histog.'!$BZ:$BZ,'Cronog. e Histog.'!DP:DP),"")</f>
        <v>0</v>
      </c>
      <c r="AV381" s="144">
        <f>IFERROR(_xlfn.XLOOKUP($B381,'Cronog. e Histog.'!$BZ:$BZ,'Cronog. e Histog.'!DQ:DQ),"")</f>
        <v>0</v>
      </c>
      <c r="AW381" s="144">
        <f>IFERROR(_xlfn.XLOOKUP($B381,'Cronog. e Histog.'!$BZ:$BZ,'Cronog. e Histog.'!DR:DR),"")</f>
        <v>0</v>
      </c>
      <c r="AX381" s="144">
        <f>IFERROR(_xlfn.XLOOKUP($B381,'Cronog. e Histog.'!$BZ:$BZ,'Cronog. e Histog.'!DS:DS),"")</f>
        <v>0</v>
      </c>
      <c r="AY381" s="144">
        <f>IFERROR(_xlfn.XLOOKUP($B381,'Cronog. e Histog.'!$BZ:$BZ,'Cronog. e Histog.'!DT:DT),"")</f>
        <v>0</v>
      </c>
      <c r="AZ381" s="144">
        <f>IFERROR(_xlfn.XLOOKUP($B381,'Cronog. e Histog.'!$BZ:$BZ,'Cronog. e Histog.'!DU:DU),"")</f>
        <v>0</v>
      </c>
      <c r="BA381" s="144">
        <f>IFERROR(_xlfn.XLOOKUP($B381,'Cronog. e Histog.'!$BZ:$BZ,'Cronog. e Histog.'!DV:DV),"")</f>
        <v>0</v>
      </c>
      <c r="BB381" s="144">
        <f>IFERROR(_xlfn.XLOOKUP($B381,'Cronog. e Histog.'!$BZ:$BZ,'Cronog. e Histog.'!DW:DW),"")</f>
        <v>0</v>
      </c>
      <c r="BC381" s="144">
        <f>IFERROR(_xlfn.XLOOKUP($B381,'Cronog. e Histog.'!$BZ:$BZ,'Cronog. e Histog.'!DX:DX),"")</f>
        <v>0</v>
      </c>
      <c r="BD381" s="144">
        <f>IFERROR(_xlfn.XLOOKUP($B381,'Cronog. e Histog.'!$BZ:$BZ,'Cronog. e Histog.'!DY:DY),"")</f>
        <v>0</v>
      </c>
      <c r="BE381" s="144">
        <f>IFERROR(_xlfn.XLOOKUP($B381,'Cronog. e Histog.'!$BZ:$BZ,'Cronog. e Histog.'!DZ:DZ),"")</f>
        <v>0</v>
      </c>
      <c r="BF381" s="144">
        <f>IFERROR(_xlfn.XLOOKUP($B381,'Cronog. e Histog.'!$BZ:$BZ,'Cronog. e Histog.'!EA:EA),"")</f>
        <v>0</v>
      </c>
      <c r="BG381" s="144">
        <f>IFERROR(_xlfn.XLOOKUP($B381,'Cronog. e Histog.'!$BZ:$BZ,'Cronog. e Histog.'!EB:EB),"")</f>
        <v>0</v>
      </c>
      <c r="BH381" s="144">
        <f>IFERROR(_xlfn.XLOOKUP($B381,'Cronog. e Histog.'!$BZ:$BZ,'Cronog. e Histog.'!EC:EC),"")</f>
        <v>0</v>
      </c>
      <c r="BI381" s="144">
        <f>IFERROR(_xlfn.XLOOKUP($B381,'Cronog. e Histog.'!$BZ:$BZ,'Cronog. e Histog.'!ED:ED),"")</f>
        <v>0</v>
      </c>
      <c r="BJ381" s="144">
        <f>IFERROR(_xlfn.XLOOKUP($B381,'Cronog. e Histog.'!$BZ:$BZ,'Cronog. e Histog.'!EE:EE),"")</f>
        <v>0</v>
      </c>
      <c r="BK381" s="144">
        <f>IFERROR(_xlfn.XLOOKUP($B381,'Cronog. e Histog.'!$BZ:$BZ,'Cronog. e Histog.'!EF:EF),"")</f>
        <v>0</v>
      </c>
      <c r="BL381" s="144">
        <f>IFERROR(_xlfn.XLOOKUP($B381,'Cronog. e Histog.'!$BZ:$BZ,'Cronog. e Histog.'!EG:EG),"")</f>
        <v>0</v>
      </c>
      <c r="BM381" s="144">
        <f>IFERROR(_xlfn.XLOOKUP($B381,'Cronog. e Histog.'!$BZ:$BZ,'Cronog. e Histog.'!EH:EH),"")</f>
        <v>0</v>
      </c>
      <c r="BN381" s="144">
        <f>IFERROR(_xlfn.XLOOKUP($B381,'Cronog. e Histog.'!$BZ:$BZ,'Cronog. e Histog.'!EI:EI),"")</f>
        <v>0</v>
      </c>
    </row>
    <row r="382" spans="2:66" ht="12" hidden="1" customHeight="1" outlineLevel="1">
      <c r="B382" s="76">
        <v>376</v>
      </c>
      <c r="C382" s="143" t="str">
        <f>IFERROR(VLOOKUP(B382,'Cronog. e Histog.'!$BZ$213:$CA$747,2,0),"")</f>
        <v>AUX TEC</v>
      </c>
      <c r="D382" s="144">
        <f t="shared" si="6"/>
        <v>0</v>
      </c>
      <c r="E382" s="144">
        <f t="shared" si="7"/>
        <v>0</v>
      </c>
      <c r="F382" s="65"/>
      <c r="G382" s="144">
        <f>IFERROR(_xlfn.XLOOKUP($B382,'Cronog. e Histog.'!$BZ:$BZ,'Cronog. e Histog.'!CB:CB),"")</f>
        <v>0</v>
      </c>
      <c r="H382" s="144">
        <f>IFERROR(_xlfn.XLOOKUP($B382,'Cronog. e Histog.'!$BZ:$BZ,'Cronog. e Histog.'!CC:CC),"")</f>
        <v>0</v>
      </c>
      <c r="I382" s="144">
        <f>IFERROR(_xlfn.XLOOKUP($B382,'Cronog. e Histog.'!$BZ:$BZ,'Cronog. e Histog.'!CD:CD),"")</f>
        <v>0</v>
      </c>
      <c r="J382" s="144">
        <f>IFERROR(_xlfn.XLOOKUP($B382,'Cronog. e Histog.'!$BZ:$BZ,'Cronog. e Histog.'!CE:CE),"")</f>
        <v>0</v>
      </c>
      <c r="K382" s="144">
        <f>IFERROR(_xlfn.XLOOKUP($B382,'Cronog. e Histog.'!$BZ:$BZ,'Cronog. e Histog.'!CF:CF),"")</f>
        <v>0</v>
      </c>
      <c r="L382" s="144">
        <f>IFERROR(_xlfn.XLOOKUP($B382,'Cronog. e Histog.'!$BZ:$BZ,'Cronog. e Histog.'!CG:CG),"")</f>
        <v>0</v>
      </c>
      <c r="M382" s="144">
        <f>IFERROR(_xlfn.XLOOKUP($B382,'Cronog. e Histog.'!$BZ:$BZ,'Cronog. e Histog.'!CH:CH),"")</f>
        <v>0</v>
      </c>
      <c r="N382" s="144">
        <f>IFERROR(_xlfn.XLOOKUP($B382,'Cronog. e Histog.'!$BZ:$BZ,'Cronog. e Histog.'!CI:CI),"")</f>
        <v>0</v>
      </c>
      <c r="O382" s="144">
        <f>IFERROR(_xlfn.XLOOKUP($B382,'Cronog. e Histog.'!$BZ:$BZ,'Cronog. e Histog.'!CJ:CJ),"")</f>
        <v>0</v>
      </c>
      <c r="P382" s="144">
        <f>IFERROR(_xlfn.XLOOKUP($B382,'Cronog. e Histog.'!$BZ:$BZ,'Cronog. e Histog.'!CK:CK),"")</f>
        <v>0</v>
      </c>
      <c r="Q382" s="144">
        <f>IFERROR(_xlfn.XLOOKUP($B382,'Cronog. e Histog.'!$BZ:$BZ,'Cronog. e Histog.'!CL:CL),"")</f>
        <v>0</v>
      </c>
      <c r="R382" s="144">
        <f>IFERROR(_xlfn.XLOOKUP($B382,'Cronog. e Histog.'!$BZ:$BZ,'Cronog. e Histog.'!CM:CM),"")</f>
        <v>0</v>
      </c>
      <c r="S382" s="144">
        <f>IFERROR(_xlfn.XLOOKUP($B382,'Cronog. e Histog.'!$BZ:$BZ,'Cronog. e Histog.'!CN:CN),"")</f>
        <v>0</v>
      </c>
      <c r="T382" s="144">
        <f>IFERROR(_xlfn.XLOOKUP($B382,'Cronog. e Histog.'!$BZ:$BZ,'Cronog. e Histog.'!CO:CO),"")</f>
        <v>0</v>
      </c>
      <c r="U382" s="144">
        <f>IFERROR(_xlfn.XLOOKUP($B382,'Cronog. e Histog.'!$BZ:$BZ,'Cronog. e Histog.'!CP:CP),"")</f>
        <v>0</v>
      </c>
      <c r="V382" s="144">
        <f>IFERROR(_xlfn.XLOOKUP($B382,'Cronog. e Histog.'!$BZ:$BZ,'Cronog. e Histog.'!CQ:CQ),"")</f>
        <v>0</v>
      </c>
      <c r="W382" s="144">
        <f>IFERROR(_xlfn.XLOOKUP($B382,'Cronog. e Histog.'!$BZ:$BZ,'Cronog. e Histog.'!CR:CR),"")</f>
        <v>0</v>
      </c>
      <c r="X382" s="144">
        <f>IFERROR(_xlfn.XLOOKUP($B382,'Cronog. e Histog.'!$BZ:$BZ,'Cronog. e Histog.'!CS:CS),"")</f>
        <v>0</v>
      </c>
      <c r="Y382" s="144">
        <f>IFERROR(_xlfn.XLOOKUP($B382,'Cronog. e Histog.'!$BZ:$BZ,'Cronog. e Histog.'!CT:CT),"")</f>
        <v>0</v>
      </c>
      <c r="Z382" s="144">
        <f>IFERROR(_xlfn.XLOOKUP($B382,'Cronog. e Histog.'!$BZ:$BZ,'Cronog. e Histog.'!CU:CU),"")</f>
        <v>0</v>
      </c>
      <c r="AA382" s="144">
        <f>IFERROR(_xlfn.XLOOKUP($B382,'Cronog. e Histog.'!$BZ:$BZ,'Cronog. e Histog.'!CV:CV),"")</f>
        <v>0</v>
      </c>
      <c r="AB382" s="144">
        <f>IFERROR(_xlfn.XLOOKUP($B382,'Cronog. e Histog.'!$BZ:$BZ,'Cronog. e Histog.'!CW:CW),"")</f>
        <v>0</v>
      </c>
      <c r="AC382" s="144">
        <f>IFERROR(_xlfn.XLOOKUP($B382,'Cronog. e Histog.'!$BZ:$BZ,'Cronog. e Histog.'!CX:CX),"")</f>
        <v>0</v>
      </c>
      <c r="AD382" s="144">
        <f>IFERROR(_xlfn.XLOOKUP($B382,'Cronog. e Histog.'!$BZ:$BZ,'Cronog. e Histog.'!CY:CY),"")</f>
        <v>0</v>
      </c>
      <c r="AE382" s="144">
        <f>IFERROR(_xlfn.XLOOKUP($B382,'Cronog. e Histog.'!$BZ:$BZ,'Cronog. e Histog.'!CZ:CZ),"")</f>
        <v>0</v>
      </c>
      <c r="AF382" s="144">
        <f>IFERROR(_xlfn.XLOOKUP($B382,'Cronog. e Histog.'!$BZ:$BZ,'Cronog. e Histog.'!DA:DA),"")</f>
        <v>0</v>
      </c>
      <c r="AG382" s="144">
        <f>IFERROR(_xlfn.XLOOKUP($B382,'Cronog. e Histog.'!$BZ:$BZ,'Cronog. e Histog.'!DB:DB),"")</f>
        <v>0</v>
      </c>
      <c r="AH382" s="144">
        <f>IFERROR(_xlfn.XLOOKUP($B382,'Cronog. e Histog.'!$BZ:$BZ,'Cronog. e Histog.'!DC:DC),"")</f>
        <v>0</v>
      </c>
      <c r="AI382" s="144">
        <f>IFERROR(_xlfn.XLOOKUP($B382,'Cronog. e Histog.'!$BZ:$BZ,'Cronog. e Histog.'!DD:DD),"")</f>
        <v>0</v>
      </c>
      <c r="AJ382" s="144">
        <f>IFERROR(_xlfn.XLOOKUP($B382,'Cronog. e Histog.'!$BZ:$BZ,'Cronog. e Histog.'!DE:DE),"")</f>
        <v>0</v>
      </c>
      <c r="AK382" s="144">
        <f>IFERROR(_xlfn.XLOOKUP($B382,'Cronog. e Histog.'!$BZ:$BZ,'Cronog. e Histog.'!DF:DF),"")</f>
        <v>0</v>
      </c>
      <c r="AL382" s="144">
        <f>IFERROR(_xlfn.XLOOKUP($B382,'Cronog. e Histog.'!$BZ:$BZ,'Cronog. e Histog.'!DG:DG),"")</f>
        <v>0</v>
      </c>
      <c r="AM382" s="144">
        <f>IFERROR(_xlfn.XLOOKUP($B382,'Cronog. e Histog.'!$BZ:$BZ,'Cronog. e Histog.'!DH:DH),"")</f>
        <v>0</v>
      </c>
      <c r="AN382" s="144">
        <f>IFERROR(_xlfn.XLOOKUP($B382,'Cronog. e Histog.'!$BZ:$BZ,'Cronog. e Histog.'!DI:DI),"")</f>
        <v>0</v>
      </c>
      <c r="AO382" s="144">
        <f>IFERROR(_xlfn.XLOOKUP($B382,'Cronog. e Histog.'!$BZ:$BZ,'Cronog. e Histog.'!DJ:DJ),"")</f>
        <v>0</v>
      </c>
      <c r="AP382" s="144">
        <f>IFERROR(_xlfn.XLOOKUP($B382,'Cronog. e Histog.'!$BZ:$BZ,'Cronog. e Histog.'!DK:DK),"")</f>
        <v>0</v>
      </c>
      <c r="AQ382" s="144">
        <f>IFERROR(_xlfn.XLOOKUP($B382,'Cronog. e Histog.'!$BZ:$BZ,'Cronog. e Histog.'!DL:DL),"")</f>
        <v>0</v>
      </c>
      <c r="AR382" s="144">
        <f>IFERROR(_xlfn.XLOOKUP($B382,'Cronog. e Histog.'!$BZ:$BZ,'Cronog. e Histog.'!DM:DM),"")</f>
        <v>0</v>
      </c>
      <c r="AS382" s="144">
        <f>IFERROR(_xlfn.XLOOKUP($B382,'Cronog. e Histog.'!$BZ:$BZ,'Cronog. e Histog.'!DN:DN),"")</f>
        <v>0</v>
      </c>
      <c r="AT382" s="144">
        <f>IFERROR(_xlfn.XLOOKUP($B382,'Cronog. e Histog.'!$BZ:$BZ,'Cronog. e Histog.'!DO:DO),"")</f>
        <v>0</v>
      </c>
      <c r="AU382" s="144">
        <f>IFERROR(_xlfn.XLOOKUP($B382,'Cronog. e Histog.'!$BZ:$BZ,'Cronog. e Histog.'!DP:DP),"")</f>
        <v>0</v>
      </c>
      <c r="AV382" s="144">
        <f>IFERROR(_xlfn.XLOOKUP($B382,'Cronog. e Histog.'!$BZ:$BZ,'Cronog. e Histog.'!DQ:DQ),"")</f>
        <v>0</v>
      </c>
      <c r="AW382" s="144">
        <f>IFERROR(_xlfn.XLOOKUP($B382,'Cronog. e Histog.'!$BZ:$BZ,'Cronog. e Histog.'!DR:DR),"")</f>
        <v>0</v>
      </c>
      <c r="AX382" s="144">
        <f>IFERROR(_xlfn.XLOOKUP($B382,'Cronog. e Histog.'!$BZ:$BZ,'Cronog. e Histog.'!DS:DS),"")</f>
        <v>0</v>
      </c>
      <c r="AY382" s="144">
        <f>IFERROR(_xlfn.XLOOKUP($B382,'Cronog. e Histog.'!$BZ:$BZ,'Cronog. e Histog.'!DT:DT),"")</f>
        <v>0</v>
      </c>
      <c r="AZ382" s="144">
        <f>IFERROR(_xlfn.XLOOKUP($B382,'Cronog. e Histog.'!$BZ:$BZ,'Cronog. e Histog.'!DU:DU),"")</f>
        <v>0</v>
      </c>
      <c r="BA382" s="144">
        <f>IFERROR(_xlfn.XLOOKUP($B382,'Cronog. e Histog.'!$BZ:$BZ,'Cronog. e Histog.'!DV:DV),"")</f>
        <v>0</v>
      </c>
      <c r="BB382" s="144">
        <f>IFERROR(_xlfn.XLOOKUP($B382,'Cronog. e Histog.'!$BZ:$BZ,'Cronog. e Histog.'!DW:DW),"")</f>
        <v>0</v>
      </c>
      <c r="BC382" s="144">
        <f>IFERROR(_xlfn.XLOOKUP($B382,'Cronog. e Histog.'!$BZ:$BZ,'Cronog. e Histog.'!DX:DX),"")</f>
        <v>0</v>
      </c>
      <c r="BD382" s="144">
        <f>IFERROR(_xlfn.XLOOKUP($B382,'Cronog. e Histog.'!$BZ:$BZ,'Cronog. e Histog.'!DY:DY),"")</f>
        <v>0</v>
      </c>
      <c r="BE382" s="144">
        <f>IFERROR(_xlfn.XLOOKUP($B382,'Cronog. e Histog.'!$BZ:$BZ,'Cronog. e Histog.'!DZ:DZ),"")</f>
        <v>0</v>
      </c>
      <c r="BF382" s="144">
        <f>IFERROR(_xlfn.XLOOKUP($B382,'Cronog. e Histog.'!$BZ:$BZ,'Cronog. e Histog.'!EA:EA),"")</f>
        <v>0</v>
      </c>
      <c r="BG382" s="144">
        <f>IFERROR(_xlfn.XLOOKUP($B382,'Cronog. e Histog.'!$BZ:$BZ,'Cronog. e Histog.'!EB:EB),"")</f>
        <v>0</v>
      </c>
      <c r="BH382" s="144">
        <f>IFERROR(_xlfn.XLOOKUP($B382,'Cronog. e Histog.'!$BZ:$BZ,'Cronog. e Histog.'!EC:EC),"")</f>
        <v>0</v>
      </c>
      <c r="BI382" s="144">
        <f>IFERROR(_xlfn.XLOOKUP($B382,'Cronog. e Histog.'!$BZ:$BZ,'Cronog. e Histog.'!ED:ED),"")</f>
        <v>0</v>
      </c>
      <c r="BJ382" s="144">
        <f>IFERROR(_xlfn.XLOOKUP($B382,'Cronog. e Histog.'!$BZ:$BZ,'Cronog. e Histog.'!EE:EE),"")</f>
        <v>0</v>
      </c>
      <c r="BK382" s="144">
        <f>IFERROR(_xlfn.XLOOKUP($B382,'Cronog. e Histog.'!$BZ:$BZ,'Cronog. e Histog.'!EF:EF),"")</f>
        <v>0</v>
      </c>
      <c r="BL382" s="144">
        <f>IFERROR(_xlfn.XLOOKUP($B382,'Cronog. e Histog.'!$BZ:$BZ,'Cronog. e Histog.'!EG:EG),"")</f>
        <v>0</v>
      </c>
      <c r="BM382" s="144">
        <f>IFERROR(_xlfn.XLOOKUP($B382,'Cronog. e Histog.'!$BZ:$BZ,'Cronog. e Histog.'!EH:EH),"")</f>
        <v>0</v>
      </c>
      <c r="BN382" s="144">
        <f>IFERROR(_xlfn.XLOOKUP($B382,'Cronog. e Histog.'!$BZ:$BZ,'Cronog. e Histog.'!EI:EI),"")</f>
        <v>0</v>
      </c>
    </row>
    <row r="383" spans="2:66" ht="12" hidden="1" customHeight="1" outlineLevel="1">
      <c r="B383" s="76">
        <v>377</v>
      </c>
      <c r="C383" s="143" t="str">
        <f>IFERROR(VLOOKUP(B383,'Cronog. e Histog.'!$BZ$213:$CA$747,2,0),"")</f>
        <v>AUX ADM</v>
      </c>
      <c r="D383" s="144">
        <f t="shared" si="6"/>
        <v>0</v>
      </c>
      <c r="E383" s="144">
        <f t="shared" si="7"/>
        <v>0</v>
      </c>
      <c r="F383" s="65"/>
      <c r="G383" s="144">
        <f>IFERROR(_xlfn.XLOOKUP($B383,'Cronog. e Histog.'!$BZ:$BZ,'Cronog. e Histog.'!CB:CB),"")</f>
        <v>0</v>
      </c>
      <c r="H383" s="144">
        <f>IFERROR(_xlfn.XLOOKUP($B383,'Cronog. e Histog.'!$BZ:$BZ,'Cronog. e Histog.'!CC:CC),"")</f>
        <v>0</v>
      </c>
      <c r="I383" s="144">
        <f>IFERROR(_xlfn.XLOOKUP($B383,'Cronog. e Histog.'!$BZ:$BZ,'Cronog. e Histog.'!CD:CD),"")</f>
        <v>0</v>
      </c>
      <c r="J383" s="144">
        <f>IFERROR(_xlfn.XLOOKUP($B383,'Cronog. e Histog.'!$BZ:$BZ,'Cronog. e Histog.'!CE:CE),"")</f>
        <v>0</v>
      </c>
      <c r="K383" s="144">
        <f>IFERROR(_xlfn.XLOOKUP($B383,'Cronog. e Histog.'!$BZ:$BZ,'Cronog. e Histog.'!CF:CF),"")</f>
        <v>0</v>
      </c>
      <c r="L383" s="144">
        <f>IFERROR(_xlfn.XLOOKUP($B383,'Cronog. e Histog.'!$BZ:$BZ,'Cronog. e Histog.'!CG:CG),"")</f>
        <v>0</v>
      </c>
      <c r="M383" s="144">
        <f>IFERROR(_xlfn.XLOOKUP($B383,'Cronog. e Histog.'!$BZ:$BZ,'Cronog. e Histog.'!CH:CH),"")</f>
        <v>0</v>
      </c>
      <c r="N383" s="144">
        <f>IFERROR(_xlfn.XLOOKUP($B383,'Cronog. e Histog.'!$BZ:$BZ,'Cronog. e Histog.'!CI:CI),"")</f>
        <v>0</v>
      </c>
      <c r="O383" s="144">
        <f>IFERROR(_xlfn.XLOOKUP($B383,'Cronog. e Histog.'!$BZ:$BZ,'Cronog. e Histog.'!CJ:CJ),"")</f>
        <v>0</v>
      </c>
      <c r="P383" s="144">
        <f>IFERROR(_xlfn.XLOOKUP($B383,'Cronog. e Histog.'!$BZ:$BZ,'Cronog. e Histog.'!CK:CK),"")</f>
        <v>0</v>
      </c>
      <c r="Q383" s="144">
        <f>IFERROR(_xlfn.XLOOKUP($B383,'Cronog. e Histog.'!$BZ:$BZ,'Cronog. e Histog.'!CL:CL),"")</f>
        <v>0</v>
      </c>
      <c r="R383" s="144">
        <f>IFERROR(_xlfn.XLOOKUP($B383,'Cronog. e Histog.'!$BZ:$BZ,'Cronog. e Histog.'!CM:CM),"")</f>
        <v>0</v>
      </c>
      <c r="S383" s="144">
        <f>IFERROR(_xlfn.XLOOKUP($B383,'Cronog. e Histog.'!$BZ:$BZ,'Cronog. e Histog.'!CN:CN),"")</f>
        <v>0</v>
      </c>
      <c r="T383" s="144">
        <f>IFERROR(_xlfn.XLOOKUP($B383,'Cronog. e Histog.'!$BZ:$BZ,'Cronog. e Histog.'!CO:CO),"")</f>
        <v>0</v>
      </c>
      <c r="U383" s="144">
        <f>IFERROR(_xlfn.XLOOKUP($B383,'Cronog. e Histog.'!$BZ:$BZ,'Cronog. e Histog.'!CP:CP),"")</f>
        <v>0</v>
      </c>
      <c r="V383" s="144">
        <f>IFERROR(_xlfn.XLOOKUP($B383,'Cronog. e Histog.'!$BZ:$BZ,'Cronog. e Histog.'!CQ:CQ),"")</f>
        <v>0</v>
      </c>
      <c r="W383" s="144">
        <f>IFERROR(_xlfn.XLOOKUP($B383,'Cronog. e Histog.'!$BZ:$BZ,'Cronog. e Histog.'!CR:CR),"")</f>
        <v>0</v>
      </c>
      <c r="X383" s="144">
        <f>IFERROR(_xlfn.XLOOKUP($B383,'Cronog. e Histog.'!$BZ:$BZ,'Cronog. e Histog.'!CS:CS),"")</f>
        <v>0</v>
      </c>
      <c r="Y383" s="144">
        <f>IFERROR(_xlfn.XLOOKUP($B383,'Cronog. e Histog.'!$BZ:$BZ,'Cronog. e Histog.'!CT:CT),"")</f>
        <v>0</v>
      </c>
      <c r="Z383" s="144">
        <f>IFERROR(_xlfn.XLOOKUP($B383,'Cronog. e Histog.'!$BZ:$BZ,'Cronog. e Histog.'!CU:CU),"")</f>
        <v>0</v>
      </c>
      <c r="AA383" s="144">
        <f>IFERROR(_xlfn.XLOOKUP($B383,'Cronog. e Histog.'!$BZ:$BZ,'Cronog. e Histog.'!CV:CV),"")</f>
        <v>0</v>
      </c>
      <c r="AB383" s="144">
        <f>IFERROR(_xlfn.XLOOKUP($B383,'Cronog. e Histog.'!$BZ:$BZ,'Cronog. e Histog.'!CW:CW),"")</f>
        <v>0</v>
      </c>
      <c r="AC383" s="144">
        <f>IFERROR(_xlfn.XLOOKUP($B383,'Cronog. e Histog.'!$BZ:$BZ,'Cronog. e Histog.'!CX:CX),"")</f>
        <v>0</v>
      </c>
      <c r="AD383" s="144">
        <f>IFERROR(_xlfn.XLOOKUP($B383,'Cronog. e Histog.'!$BZ:$BZ,'Cronog. e Histog.'!CY:CY),"")</f>
        <v>0</v>
      </c>
      <c r="AE383" s="144">
        <f>IFERROR(_xlfn.XLOOKUP($B383,'Cronog. e Histog.'!$BZ:$BZ,'Cronog. e Histog.'!CZ:CZ),"")</f>
        <v>0</v>
      </c>
      <c r="AF383" s="144">
        <f>IFERROR(_xlfn.XLOOKUP($B383,'Cronog. e Histog.'!$BZ:$BZ,'Cronog. e Histog.'!DA:DA),"")</f>
        <v>0</v>
      </c>
      <c r="AG383" s="144">
        <f>IFERROR(_xlfn.XLOOKUP($B383,'Cronog. e Histog.'!$BZ:$BZ,'Cronog. e Histog.'!DB:DB),"")</f>
        <v>0</v>
      </c>
      <c r="AH383" s="144">
        <f>IFERROR(_xlfn.XLOOKUP($B383,'Cronog. e Histog.'!$BZ:$BZ,'Cronog. e Histog.'!DC:DC),"")</f>
        <v>0</v>
      </c>
      <c r="AI383" s="144">
        <f>IFERROR(_xlfn.XLOOKUP($B383,'Cronog. e Histog.'!$BZ:$BZ,'Cronog. e Histog.'!DD:DD),"")</f>
        <v>0</v>
      </c>
      <c r="AJ383" s="144">
        <f>IFERROR(_xlfn.XLOOKUP($B383,'Cronog. e Histog.'!$BZ:$BZ,'Cronog. e Histog.'!DE:DE),"")</f>
        <v>0</v>
      </c>
      <c r="AK383" s="144">
        <f>IFERROR(_xlfn.XLOOKUP($B383,'Cronog. e Histog.'!$BZ:$BZ,'Cronog. e Histog.'!DF:DF),"")</f>
        <v>0</v>
      </c>
      <c r="AL383" s="144">
        <f>IFERROR(_xlfn.XLOOKUP($B383,'Cronog. e Histog.'!$BZ:$BZ,'Cronog. e Histog.'!DG:DG),"")</f>
        <v>0</v>
      </c>
      <c r="AM383" s="144">
        <f>IFERROR(_xlfn.XLOOKUP($B383,'Cronog. e Histog.'!$BZ:$BZ,'Cronog. e Histog.'!DH:DH),"")</f>
        <v>0</v>
      </c>
      <c r="AN383" s="144">
        <f>IFERROR(_xlfn.XLOOKUP($B383,'Cronog. e Histog.'!$BZ:$BZ,'Cronog. e Histog.'!DI:DI),"")</f>
        <v>0</v>
      </c>
      <c r="AO383" s="144">
        <f>IFERROR(_xlfn.XLOOKUP($B383,'Cronog. e Histog.'!$BZ:$BZ,'Cronog. e Histog.'!DJ:DJ),"")</f>
        <v>0</v>
      </c>
      <c r="AP383" s="144">
        <f>IFERROR(_xlfn.XLOOKUP($B383,'Cronog. e Histog.'!$BZ:$BZ,'Cronog. e Histog.'!DK:DK),"")</f>
        <v>0</v>
      </c>
      <c r="AQ383" s="144">
        <f>IFERROR(_xlfn.XLOOKUP($B383,'Cronog. e Histog.'!$BZ:$BZ,'Cronog. e Histog.'!DL:DL),"")</f>
        <v>0</v>
      </c>
      <c r="AR383" s="144">
        <f>IFERROR(_xlfn.XLOOKUP($B383,'Cronog. e Histog.'!$BZ:$BZ,'Cronog. e Histog.'!DM:DM),"")</f>
        <v>0</v>
      </c>
      <c r="AS383" s="144">
        <f>IFERROR(_xlfn.XLOOKUP($B383,'Cronog. e Histog.'!$BZ:$BZ,'Cronog. e Histog.'!DN:DN),"")</f>
        <v>0</v>
      </c>
      <c r="AT383" s="144">
        <f>IFERROR(_xlfn.XLOOKUP($B383,'Cronog. e Histog.'!$BZ:$BZ,'Cronog. e Histog.'!DO:DO),"")</f>
        <v>0</v>
      </c>
      <c r="AU383" s="144">
        <f>IFERROR(_xlfn.XLOOKUP($B383,'Cronog. e Histog.'!$BZ:$BZ,'Cronog. e Histog.'!DP:DP),"")</f>
        <v>0</v>
      </c>
      <c r="AV383" s="144">
        <f>IFERROR(_xlfn.XLOOKUP($B383,'Cronog. e Histog.'!$BZ:$BZ,'Cronog. e Histog.'!DQ:DQ),"")</f>
        <v>0</v>
      </c>
      <c r="AW383" s="144">
        <f>IFERROR(_xlfn.XLOOKUP($B383,'Cronog. e Histog.'!$BZ:$BZ,'Cronog. e Histog.'!DR:DR),"")</f>
        <v>0</v>
      </c>
      <c r="AX383" s="144">
        <f>IFERROR(_xlfn.XLOOKUP($B383,'Cronog. e Histog.'!$BZ:$BZ,'Cronog. e Histog.'!DS:DS),"")</f>
        <v>0</v>
      </c>
      <c r="AY383" s="144">
        <f>IFERROR(_xlfn.XLOOKUP($B383,'Cronog. e Histog.'!$BZ:$BZ,'Cronog. e Histog.'!DT:DT),"")</f>
        <v>0</v>
      </c>
      <c r="AZ383" s="144">
        <f>IFERROR(_xlfn.XLOOKUP($B383,'Cronog. e Histog.'!$BZ:$BZ,'Cronog. e Histog.'!DU:DU),"")</f>
        <v>0</v>
      </c>
      <c r="BA383" s="144">
        <f>IFERROR(_xlfn.XLOOKUP($B383,'Cronog. e Histog.'!$BZ:$BZ,'Cronog. e Histog.'!DV:DV),"")</f>
        <v>0</v>
      </c>
      <c r="BB383" s="144">
        <f>IFERROR(_xlfn.XLOOKUP($B383,'Cronog. e Histog.'!$BZ:$BZ,'Cronog. e Histog.'!DW:DW),"")</f>
        <v>0</v>
      </c>
      <c r="BC383" s="144">
        <f>IFERROR(_xlfn.XLOOKUP($B383,'Cronog. e Histog.'!$BZ:$BZ,'Cronog. e Histog.'!DX:DX),"")</f>
        <v>0</v>
      </c>
      <c r="BD383" s="144">
        <f>IFERROR(_xlfn.XLOOKUP($B383,'Cronog. e Histog.'!$BZ:$BZ,'Cronog. e Histog.'!DY:DY),"")</f>
        <v>0</v>
      </c>
      <c r="BE383" s="144">
        <f>IFERROR(_xlfn.XLOOKUP($B383,'Cronog. e Histog.'!$BZ:$BZ,'Cronog. e Histog.'!DZ:DZ),"")</f>
        <v>0</v>
      </c>
      <c r="BF383" s="144">
        <f>IFERROR(_xlfn.XLOOKUP($B383,'Cronog. e Histog.'!$BZ:$BZ,'Cronog. e Histog.'!EA:EA),"")</f>
        <v>0</v>
      </c>
      <c r="BG383" s="144">
        <f>IFERROR(_xlfn.XLOOKUP($B383,'Cronog. e Histog.'!$BZ:$BZ,'Cronog. e Histog.'!EB:EB),"")</f>
        <v>0</v>
      </c>
      <c r="BH383" s="144">
        <f>IFERROR(_xlfn.XLOOKUP($B383,'Cronog. e Histog.'!$BZ:$BZ,'Cronog. e Histog.'!EC:EC),"")</f>
        <v>0</v>
      </c>
      <c r="BI383" s="144">
        <f>IFERROR(_xlfn.XLOOKUP($B383,'Cronog. e Histog.'!$BZ:$BZ,'Cronog. e Histog.'!ED:ED),"")</f>
        <v>0</v>
      </c>
      <c r="BJ383" s="144">
        <f>IFERROR(_xlfn.XLOOKUP($B383,'Cronog. e Histog.'!$BZ:$BZ,'Cronog. e Histog.'!EE:EE),"")</f>
        <v>0</v>
      </c>
      <c r="BK383" s="144">
        <f>IFERROR(_xlfn.XLOOKUP($B383,'Cronog. e Histog.'!$BZ:$BZ,'Cronog. e Histog.'!EF:EF),"")</f>
        <v>0</v>
      </c>
      <c r="BL383" s="144">
        <f>IFERROR(_xlfn.XLOOKUP($B383,'Cronog. e Histog.'!$BZ:$BZ,'Cronog. e Histog.'!EG:EG),"")</f>
        <v>0</v>
      </c>
      <c r="BM383" s="144">
        <f>IFERROR(_xlfn.XLOOKUP($B383,'Cronog. e Histog.'!$BZ:$BZ,'Cronog. e Histog.'!EH:EH),"")</f>
        <v>0</v>
      </c>
      <c r="BN383" s="144">
        <f>IFERROR(_xlfn.XLOOKUP($B383,'Cronog. e Histog.'!$BZ:$BZ,'Cronog. e Histog.'!EI:EI),"")</f>
        <v>0</v>
      </c>
    </row>
    <row r="384" spans="2:66" ht="12" hidden="1" customHeight="1" outlineLevel="1">
      <c r="B384" s="76">
        <v>378</v>
      </c>
      <c r="C384" s="143" t="str">
        <f>IFERROR(VLOOKUP(B384,'Cronog. e Histog.'!$BZ$213:$CA$747,2,0),"")</f>
        <v>EST</v>
      </c>
      <c r="D384" s="144">
        <f t="shared" si="6"/>
        <v>0</v>
      </c>
      <c r="E384" s="144">
        <f t="shared" si="7"/>
        <v>0</v>
      </c>
      <c r="F384" s="65"/>
      <c r="G384" s="144">
        <f>IFERROR(_xlfn.XLOOKUP($B384,'Cronog. e Histog.'!$BZ:$BZ,'Cronog. e Histog.'!CB:CB),"")</f>
        <v>0</v>
      </c>
      <c r="H384" s="144">
        <f>IFERROR(_xlfn.XLOOKUP($B384,'Cronog. e Histog.'!$BZ:$BZ,'Cronog. e Histog.'!CC:CC),"")</f>
        <v>0</v>
      </c>
      <c r="I384" s="144">
        <f>IFERROR(_xlfn.XLOOKUP($B384,'Cronog. e Histog.'!$BZ:$BZ,'Cronog. e Histog.'!CD:CD),"")</f>
        <v>0</v>
      </c>
      <c r="J384" s="144">
        <f>IFERROR(_xlfn.XLOOKUP($B384,'Cronog. e Histog.'!$BZ:$BZ,'Cronog. e Histog.'!CE:CE),"")</f>
        <v>0</v>
      </c>
      <c r="K384" s="144">
        <f>IFERROR(_xlfn.XLOOKUP($B384,'Cronog. e Histog.'!$BZ:$BZ,'Cronog. e Histog.'!CF:CF),"")</f>
        <v>0</v>
      </c>
      <c r="L384" s="144">
        <f>IFERROR(_xlfn.XLOOKUP($B384,'Cronog. e Histog.'!$BZ:$BZ,'Cronog. e Histog.'!CG:CG),"")</f>
        <v>0</v>
      </c>
      <c r="M384" s="144">
        <f>IFERROR(_xlfn.XLOOKUP($B384,'Cronog. e Histog.'!$BZ:$BZ,'Cronog. e Histog.'!CH:CH),"")</f>
        <v>0</v>
      </c>
      <c r="N384" s="144">
        <f>IFERROR(_xlfn.XLOOKUP($B384,'Cronog. e Histog.'!$BZ:$BZ,'Cronog. e Histog.'!CI:CI),"")</f>
        <v>0</v>
      </c>
      <c r="O384" s="144">
        <f>IFERROR(_xlfn.XLOOKUP($B384,'Cronog. e Histog.'!$BZ:$BZ,'Cronog. e Histog.'!CJ:CJ),"")</f>
        <v>0</v>
      </c>
      <c r="P384" s="144">
        <f>IFERROR(_xlfn.XLOOKUP($B384,'Cronog. e Histog.'!$BZ:$BZ,'Cronog. e Histog.'!CK:CK),"")</f>
        <v>0</v>
      </c>
      <c r="Q384" s="144">
        <f>IFERROR(_xlfn.XLOOKUP($B384,'Cronog. e Histog.'!$BZ:$BZ,'Cronog. e Histog.'!CL:CL),"")</f>
        <v>0</v>
      </c>
      <c r="R384" s="144">
        <f>IFERROR(_xlfn.XLOOKUP($B384,'Cronog. e Histog.'!$BZ:$BZ,'Cronog. e Histog.'!CM:CM),"")</f>
        <v>0</v>
      </c>
      <c r="S384" s="144">
        <f>IFERROR(_xlfn.XLOOKUP($B384,'Cronog. e Histog.'!$BZ:$BZ,'Cronog. e Histog.'!CN:CN),"")</f>
        <v>0</v>
      </c>
      <c r="T384" s="144">
        <f>IFERROR(_xlfn.XLOOKUP($B384,'Cronog. e Histog.'!$BZ:$BZ,'Cronog. e Histog.'!CO:CO),"")</f>
        <v>0</v>
      </c>
      <c r="U384" s="144">
        <f>IFERROR(_xlfn.XLOOKUP($B384,'Cronog. e Histog.'!$BZ:$BZ,'Cronog. e Histog.'!CP:CP),"")</f>
        <v>0</v>
      </c>
      <c r="V384" s="144">
        <f>IFERROR(_xlfn.XLOOKUP($B384,'Cronog. e Histog.'!$BZ:$BZ,'Cronog. e Histog.'!CQ:CQ),"")</f>
        <v>0</v>
      </c>
      <c r="W384" s="144">
        <f>IFERROR(_xlfn.XLOOKUP($B384,'Cronog. e Histog.'!$BZ:$BZ,'Cronog. e Histog.'!CR:CR),"")</f>
        <v>0</v>
      </c>
      <c r="X384" s="144">
        <f>IFERROR(_xlfn.XLOOKUP($B384,'Cronog. e Histog.'!$BZ:$BZ,'Cronog. e Histog.'!CS:CS),"")</f>
        <v>0</v>
      </c>
      <c r="Y384" s="144">
        <f>IFERROR(_xlfn.XLOOKUP($B384,'Cronog. e Histog.'!$BZ:$BZ,'Cronog. e Histog.'!CT:CT),"")</f>
        <v>0</v>
      </c>
      <c r="Z384" s="144">
        <f>IFERROR(_xlfn.XLOOKUP($B384,'Cronog. e Histog.'!$BZ:$BZ,'Cronog. e Histog.'!CU:CU),"")</f>
        <v>0</v>
      </c>
      <c r="AA384" s="144">
        <f>IFERROR(_xlfn.XLOOKUP($B384,'Cronog. e Histog.'!$BZ:$BZ,'Cronog. e Histog.'!CV:CV),"")</f>
        <v>0</v>
      </c>
      <c r="AB384" s="144">
        <f>IFERROR(_xlfn.XLOOKUP($B384,'Cronog. e Histog.'!$BZ:$BZ,'Cronog. e Histog.'!CW:CW),"")</f>
        <v>0</v>
      </c>
      <c r="AC384" s="144">
        <f>IFERROR(_xlfn.XLOOKUP($B384,'Cronog. e Histog.'!$BZ:$BZ,'Cronog. e Histog.'!CX:CX),"")</f>
        <v>0</v>
      </c>
      <c r="AD384" s="144">
        <f>IFERROR(_xlfn.XLOOKUP($B384,'Cronog. e Histog.'!$BZ:$BZ,'Cronog. e Histog.'!CY:CY),"")</f>
        <v>0</v>
      </c>
      <c r="AE384" s="144">
        <f>IFERROR(_xlfn.XLOOKUP($B384,'Cronog. e Histog.'!$BZ:$BZ,'Cronog. e Histog.'!CZ:CZ),"")</f>
        <v>0</v>
      </c>
      <c r="AF384" s="144">
        <f>IFERROR(_xlfn.XLOOKUP($B384,'Cronog. e Histog.'!$BZ:$BZ,'Cronog. e Histog.'!DA:DA),"")</f>
        <v>0</v>
      </c>
      <c r="AG384" s="144">
        <f>IFERROR(_xlfn.XLOOKUP($B384,'Cronog. e Histog.'!$BZ:$BZ,'Cronog. e Histog.'!DB:DB),"")</f>
        <v>0</v>
      </c>
      <c r="AH384" s="144">
        <f>IFERROR(_xlfn.XLOOKUP($B384,'Cronog. e Histog.'!$BZ:$BZ,'Cronog. e Histog.'!DC:DC),"")</f>
        <v>0</v>
      </c>
      <c r="AI384" s="144">
        <f>IFERROR(_xlfn.XLOOKUP($B384,'Cronog. e Histog.'!$BZ:$BZ,'Cronog. e Histog.'!DD:DD),"")</f>
        <v>0</v>
      </c>
      <c r="AJ384" s="144">
        <f>IFERROR(_xlfn.XLOOKUP($B384,'Cronog. e Histog.'!$BZ:$BZ,'Cronog. e Histog.'!DE:DE),"")</f>
        <v>0</v>
      </c>
      <c r="AK384" s="144">
        <f>IFERROR(_xlfn.XLOOKUP($B384,'Cronog. e Histog.'!$BZ:$BZ,'Cronog. e Histog.'!DF:DF),"")</f>
        <v>0</v>
      </c>
      <c r="AL384" s="144">
        <f>IFERROR(_xlfn.XLOOKUP($B384,'Cronog. e Histog.'!$BZ:$BZ,'Cronog. e Histog.'!DG:DG),"")</f>
        <v>0</v>
      </c>
      <c r="AM384" s="144">
        <f>IFERROR(_xlfn.XLOOKUP($B384,'Cronog. e Histog.'!$BZ:$BZ,'Cronog. e Histog.'!DH:DH),"")</f>
        <v>0</v>
      </c>
      <c r="AN384" s="144">
        <f>IFERROR(_xlfn.XLOOKUP($B384,'Cronog. e Histog.'!$BZ:$BZ,'Cronog. e Histog.'!DI:DI),"")</f>
        <v>0</v>
      </c>
      <c r="AO384" s="144">
        <f>IFERROR(_xlfn.XLOOKUP($B384,'Cronog. e Histog.'!$BZ:$BZ,'Cronog. e Histog.'!DJ:DJ),"")</f>
        <v>0</v>
      </c>
      <c r="AP384" s="144">
        <f>IFERROR(_xlfn.XLOOKUP($B384,'Cronog. e Histog.'!$BZ:$BZ,'Cronog. e Histog.'!DK:DK),"")</f>
        <v>0</v>
      </c>
      <c r="AQ384" s="144">
        <f>IFERROR(_xlfn.XLOOKUP($B384,'Cronog. e Histog.'!$BZ:$BZ,'Cronog. e Histog.'!DL:DL),"")</f>
        <v>0</v>
      </c>
      <c r="AR384" s="144">
        <f>IFERROR(_xlfn.XLOOKUP($B384,'Cronog. e Histog.'!$BZ:$BZ,'Cronog. e Histog.'!DM:DM),"")</f>
        <v>0</v>
      </c>
      <c r="AS384" s="144">
        <f>IFERROR(_xlfn.XLOOKUP($B384,'Cronog. e Histog.'!$BZ:$BZ,'Cronog. e Histog.'!DN:DN),"")</f>
        <v>0</v>
      </c>
      <c r="AT384" s="144">
        <f>IFERROR(_xlfn.XLOOKUP($B384,'Cronog. e Histog.'!$BZ:$BZ,'Cronog. e Histog.'!DO:DO),"")</f>
        <v>0</v>
      </c>
      <c r="AU384" s="144">
        <f>IFERROR(_xlfn.XLOOKUP($B384,'Cronog. e Histog.'!$BZ:$BZ,'Cronog. e Histog.'!DP:DP),"")</f>
        <v>0</v>
      </c>
      <c r="AV384" s="144">
        <f>IFERROR(_xlfn.XLOOKUP($B384,'Cronog. e Histog.'!$BZ:$BZ,'Cronog. e Histog.'!DQ:DQ),"")</f>
        <v>0</v>
      </c>
      <c r="AW384" s="144">
        <f>IFERROR(_xlfn.XLOOKUP($B384,'Cronog. e Histog.'!$BZ:$BZ,'Cronog. e Histog.'!DR:DR),"")</f>
        <v>0</v>
      </c>
      <c r="AX384" s="144">
        <f>IFERROR(_xlfn.XLOOKUP($B384,'Cronog. e Histog.'!$BZ:$BZ,'Cronog. e Histog.'!DS:DS),"")</f>
        <v>0</v>
      </c>
      <c r="AY384" s="144">
        <f>IFERROR(_xlfn.XLOOKUP($B384,'Cronog. e Histog.'!$BZ:$BZ,'Cronog. e Histog.'!DT:DT),"")</f>
        <v>0</v>
      </c>
      <c r="AZ384" s="144">
        <f>IFERROR(_xlfn.XLOOKUP($B384,'Cronog. e Histog.'!$BZ:$BZ,'Cronog. e Histog.'!DU:DU),"")</f>
        <v>0</v>
      </c>
      <c r="BA384" s="144">
        <f>IFERROR(_xlfn.XLOOKUP($B384,'Cronog. e Histog.'!$BZ:$BZ,'Cronog. e Histog.'!DV:DV),"")</f>
        <v>0</v>
      </c>
      <c r="BB384" s="144">
        <f>IFERROR(_xlfn.XLOOKUP($B384,'Cronog. e Histog.'!$BZ:$BZ,'Cronog. e Histog.'!DW:DW),"")</f>
        <v>0</v>
      </c>
      <c r="BC384" s="144">
        <f>IFERROR(_xlfn.XLOOKUP($B384,'Cronog. e Histog.'!$BZ:$BZ,'Cronog. e Histog.'!DX:DX),"")</f>
        <v>0</v>
      </c>
      <c r="BD384" s="144">
        <f>IFERROR(_xlfn.XLOOKUP($B384,'Cronog. e Histog.'!$BZ:$BZ,'Cronog. e Histog.'!DY:DY),"")</f>
        <v>0</v>
      </c>
      <c r="BE384" s="144">
        <f>IFERROR(_xlfn.XLOOKUP($B384,'Cronog. e Histog.'!$BZ:$BZ,'Cronog. e Histog.'!DZ:DZ),"")</f>
        <v>0</v>
      </c>
      <c r="BF384" s="144">
        <f>IFERROR(_xlfn.XLOOKUP($B384,'Cronog. e Histog.'!$BZ:$BZ,'Cronog. e Histog.'!EA:EA),"")</f>
        <v>0</v>
      </c>
      <c r="BG384" s="144">
        <f>IFERROR(_xlfn.XLOOKUP($B384,'Cronog. e Histog.'!$BZ:$BZ,'Cronog. e Histog.'!EB:EB),"")</f>
        <v>0</v>
      </c>
      <c r="BH384" s="144">
        <f>IFERROR(_xlfn.XLOOKUP($B384,'Cronog. e Histog.'!$BZ:$BZ,'Cronog. e Histog.'!EC:EC),"")</f>
        <v>0</v>
      </c>
      <c r="BI384" s="144">
        <f>IFERROR(_xlfn.XLOOKUP($B384,'Cronog. e Histog.'!$BZ:$BZ,'Cronog. e Histog.'!ED:ED),"")</f>
        <v>0</v>
      </c>
      <c r="BJ384" s="144">
        <f>IFERROR(_xlfn.XLOOKUP($B384,'Cronog. e Histog.'!$BZ:$BZ,'Cronog. e Histog.'!EE:EE),"")</f>
        <v>0</v>
      </c>
      <c r="BK384" s="144">
        <f>IFERROR(_xlfn.XLOOKUP($B384,'Cronog. e Histog.'!$BZ:$BZ,'Cronog. e Histog.'!EF:EF),"")</f>
        <v>0</v>
      </c>
      <c r="BL384" s="144">
        <f>IFERROR(_xlfn.XLOOKUP($B384,'Cronog. e Histog.'!$BZ:$BZ,'Cronog. e Histog.'!EG:EG),"")</f>
        <v>0</v>
      </c>
      <c r="BM384" s="144">
        <f>IFERROR(_xlfn.XLOOKUP($B384,'Cronog. e Histog.'!$BZ:$BZ,'Cronog. e Histog.'!EH:EH),"")</f>
        <v>0</v>
      </c>
      <c r="BN384" s="144">
        <f>IFERROR(_xlfn.XLOOKUP($B384,'Cronog. e Histog.'!$BZ:$BZ,'Cronog. e Histog.'!EI:EI),"")</f>
        <v>0</v>
      </c>
    </row>
    <row r="385" spans="2:66" ht="12" hidden="1" customHeight="1" outlineLevel="1">
      <c r="B385" s="76">
        <v>379</v>
      </c>
      <c r="C385" s="143" t="str">
        <f>IFERROR(VLOOKUP(B385,'Cronog. e Histog.'!$BZ$213:$CA$747,2,0),"")</f>
        <v>EST_II</v>
      </c>
      <c r="D385" s="144">
        <f t="shared" si="6"/>
        <v>0</v>
      </c>
      <c r="E385" s="144">
        <f t="shared" si="7"/>
        <v>0</v>
      </c>
      <c r="F385" s="65"/>
      <c r="G385" s="144">
        <f>IFERROR(_xlfn.XLOOKUP($B385,'Cronog. e Histog.'!$BZ:$BZ,'Cronog. e Histog.'!CB:CB),"")</f>
        <v>0</v>
      </c>
      <c r="H385" s="144">
        <f>IFERROR(_xlfn.XLOOKUP($B385,'Cronog. e Histog.'!$BZ:$BZ,'Cronog. e Histog.'!CC:CC),"")</f>
        <v>0</v>
      </c>
      <c r="I385" s="144">
        <f>IFERROR(_xlfn.XLOOKUP($B385,'Cronog. e Histog.'!$BZ:$BZ,'Cronog. e Histog.'!CD:CD),"")</f>
        <v>0</v>
      </c>
      <c r="J385" s="144">
        <f>IFERROR(_xlfn.XLOOKUP($B385,'Cronog. e Histog.'!$BZ:$BZ,'Cronog. e Histog.'!CE:CE),"")</f>
        <v>0</v>
      </c>
      <c r="K385" s="144">
        <f>IFERROR(_xlfn.XLOOKUP($B385,'Cronog. e Histog.'!$BZ:$BZ,'Cronog. e Histog.'!CF:CF),"")</f>
        <v>0</v>
      </c>
      <c r="L385" s="144">
        <f>IFERROR(_xlfn.XLOOKUP($B385,'Cronog. e Histog.'!$BZ:$BZ,'Cronog. e Histog.'!CG:CG),"")</f>
        <v>0</v>
      </c>
      <c r="M385" s="144">
        <f>IFERROR(_xlfn.XLOOKUP($B385,'Cronog. e Histog.'!$BZ:$BZ,'Cronog. e Histog.'!CH:CH),"")</f>
        <v>0</v>
      </c>
      <c r="N385" s="144">
        <f>IFERROR(_xlfn.XLOOKUP($B385,'Cronog. e Histog.'!$BZ:$BZ,'Cronog. e Histog.'!CI:CI),"")</f>
        <v>0</v>
      </c>
      <c r="O385" s="144">
        <f>IFERROR(_xlfn.XLOOKUP($B385,'Cronog. e Histog.'!$BZ:$BZ,'Cronog. e Histog.'!CJ:CJ),"")</f>
        <v>0</v>
      </c>
      <c r="P385" s="144">
        <f>IFERROR(_xlfn.XLOOKUP($B385,'Cronog. e Histog.'!$BZ:$BZ,'Cronog. e Histog.'!CK:CK),"")</f>
        <v>0</v>
      </c>
      <c r="Q385" s="144">
        <f>IFERROR(_xlfn.XLOOKUP($B385,'Cronog. e Histog.'!$BZ:$BZ,'Cronog. e Histog.'!CL:CL),"")</f>
        <v>0</v>
      </c>
      <c r="R385" s="144">
        <f>IFERROR(_xlfn.XLOOKUP($B385,'Cronog. e Histog.'!$BZ:$BZ,'Cronog. e Histog.'!CM:CM),"")</f>
        <v>0</v>
      </c>
      <c r="S385" s="144">
        <f>IFERROR(_xlfn.XLOOKUP($B385,'Cronog. e Histog.'!$BZ:$BZ,'Cronog. e Histog.'!CN:CN),"")</f>
        <v>0</v>
      </c>
      <c r="T385" s="144">
        <f>IFERROR(_xlfn.XLOOKUP($B385,'Cronog. e Histog.'!$BZ:$BZ,'Cronog. e Histog.'!CO:CO),"")</f>
        <v>0</v>
      </c>
      <c r="U385" s="144">
        <f>IFERROR(_xlfn.XLOOKUP($B385,'Cronog. e Histog.'!$BZ:$BZ,'Cronog. e Histog.'!CP:CP),"")</f>
        <v>0</v>
      </c>
      <c r="V385" s="144">
        <f>IFERROR(_xlfn.XLOOKUP($B385,'Cronog. e Histog.'!$BZ:$BZ,'Cronog. e Histog.'!CQ:CQ),"")</f>
        <v>0</v>
      </c>
      <c r="W385" s="144">
        <f>IFERROR(_xlfn.XLOOKUP($B385,'Cronog. e Histog.'!$BZ:$BZ,'Cronog. e Histog.'!CR:CR),"")</f>
        <v>0</v>
      </c>
      <c r="X385" s="144">
        <f>IFERROR(_xlfn.XLOOKUP($B385,'Cronog. e Histog.'!$BZ:$BZ,'Cronog. e Histog.'!CS:CS),"")</f>
        <v>0</v>
      </c>
      <c r="Y385" s="144">
        <f>IFERROR(_xlfn.XLOOKUP($B385,'Cronog. e Histog.'!$BZ:$BZ,'Cronog. e Histog.'!CT:CT),"")</f>
        <v>0</v>
      </c>
      <c r="Z385" s="144">
        <f>IFERROR(_xlfn.XLOOKUP($B385,'Cronog. e Histog.'!$BZ:$BZ,'Cronog. e Histog.'!CU:CU),"")</f>
        <v>0</v>
      </c>
      <c r="AA385" s="144">
        <f>IFERROR(_xlfn.XLOOKUP($B385,'Cronog. e Histog.'!$BZ:$BZ,'Cronog. e Histog.'!CV:CV),"")</f>
        <v>0</v>
      </c>
      <c r="AB385" s="144">
        <f>IFERROR(_xlfn.XLOOKUP($B385,'Cronog. e Histog.'!$BZ:$BZ,'Cronog. e Histog.'!CW:CW),"")</f>
        <v>0</v>
      </c>
      <c r="AC385" s="144">
        <f>IFERROR(_xlfn.XLOOKUP($B385,'Cronog. e Histog.'!$BZ:$BZ,'Cronog. e Histog.'!CX:CX),"")</f>
        <v>0</v>
      </c>
      <c r="AD385" s="144">
        <f>IFERROR(_xlfn.XLOOKUP($B385,'Cronog. e Histog.'!$BZ:$BZ,'Cronog. e Histog.'!CY:CY),"")</f>
        <v>0</v>
      </c>
      <c r="AE385" s="144">
        <f>IFERROR(_xlfn.XLOOKUP($B385,'Cronog. e Histog.'!$BZ:$BZ,'Cronog. e Histog.'!CZ:CZ),"")</f>
        <v>0</v>
      </c>
      <c r="AF385" s="144">
        <f>IFERROR(_xlfn.XLOOKUP($B385,'Cronog. e Histog.'!$BZ:$BZ,'Cronog. e Histog.'!DA:DA),"")</f>
        <v>0</v>
      </c>
      <c r="AG385" s="144">
        <f>IFERROR(_xlfn.XLOOKUP($B385,'Cronog. e Histog.'!$BZ:$BZ,'Cronog. e Histog.'!DB:DB),"")</f>
        <v>0</v>
      </c>
      <c r="AH385" s="144">
        <f>IFERROR(_xlfn.XLOOKUP($B385,'Cronog. e Histog.'!$BZ:$BZ,'Cronog. e Histog.'!DC:DC),"")</f>
        <v>0</v>
      </c>
      <c r="AI385" s="144">
        <f>IFERROR(_xlfn.XLOOKUP($B385,'Cronog. e Histog.'!$BZ:$BZ,'Cronog. e Histog.'!DD:DD),"")</f>
        <v>0</v>
      </c>
      <c r="AJ385" s="144">
        <f>IFERROR(_xlfn.XLOOKUP($B385,'Cronog. e Histog.'!$BZ:$BZ,'Cronog. e Histog.'!DE:DE),"")</f>
        <v>0</v>
      </c>
      <c r="AK385" s="144">
        <f>IFERROR(_xlfn.XLOOKUP($B385,'Cronog. e Histog.'!$BZ:$BZ,'Cronog. e Histog.'!DF:DF),"")</f>
        <v>0</v>
      </c>
      <c r="AL385" s="144">
        <f>IFERROR(_xlfn.XLOOKUP($B385,'Cronog. e Histog.'!$BZ:$BZ,'Cronog. e Histog.'!DG:DG),"")</f>
        <v>0</v>
      </c>
      <c r="AM385" s="144">
        <f>IFERROR(_xlfn.XLOOKUP($B385,'Cronog. e Histog.'!$BZ:$BZ,'Cronog. e Histog.'!DH:DH),"")</f>
        <v>0</v>
      </c>
      <c r="AN385" s="144">
        <f>IFERROR(_xlfn.XLOOKUP($B385,'Cronog. e Histog.'!$BZ:$BZ,'Cronog. e Histog.'!DI:DI),"")</f>
        <v>0</v>
      </c>
      <c r="AO385" s="144">
        <f>IFERROR(_xlfn.XLOOKUP($B385,'Cronog. e Histog.'!$BZ:$BZ,'Cronog. e Histog.'!DJ:DJ),"")</f>
        <v>0</v>
      </c>
      <c r="AP385" s="144">
        <f>IFERROR(_xlfn.XLOOKUP($B385,'Cronog. e Histog.'!$BZ:$BZ,'Cronog. e Histog.'!DK:DK),"")</f>
        <v>0</v>
      </c>
      <c r="AQ385" s="144">
        <f>IFERROR(_xlfn.XLOOKUP($B385,'Cronog. e Histog.'!$BZ:$BZ,'Cronog. e Histog.'!DL:DL),"")</f>
        <v>0</v>
      </c>
      <c r="AR385" s="144">
        <f>IFERROR(_xlfn.XLOOKUP($B385,'Cronog. e Histog.'!$BZ:$BZ,'Cronog. e Histog.'!DM:DM),"")</f>
        <v>0</v>
      </c>
      <c r="AS385" s="144">
        <f>IFERROR(_xlfn.XLOOKUP($B385,'Cronog. e Histog.'!$BZ:$BZ,'Cronog. e Histog.'!DN:DN),"")</f>
        <v>0</v>
      </c>
      <c r="AT385" s="144">
        <f>IFERROR(_xlfn.XLOOKUP($B385,'Cronog. e Histog.'!$BZ:$BZ,'Cronog. e Histog.'!DO:DO),"")</f>
        <v>0</v>
      </c>
      <c r="AU385" s="144">
        <f>IFERROR(_xlfn.XLOOKUP($B385,'Cronog. e Histog.'!$BZ:$BZ,'Cronog. e Histog.'!DP:DP),"")</f>
        <v>0</v>
      </c>
      <c r="AV385" s="144">
        <f>IFERROR(_xlfn.XLOOKUP($B385,'Cronog. e Histog.'!$BZ:$BZ,'Cronog. e Histog.'!DQ:DQ),"")</f>
        <v>0</v>
      </c>
      <c r="AW385" s="144">
        <f>IFERROR(_xlfn.XLOOKUP($B385,'Cronog. e Histog.'!$BZ:$BZ,'Cronog. e Histog.'!DR:DR),"")</f>
        <v>0</v>
      </c>
      <c r="AX385" s="144">
        <f>IFERROR(_xlfn.XLOOKUP($B385,'Cronog. e Histog.'!$BZ:$BZ,'Cronog. e Histog.'!DS:DS),"")</f>
        <v>0</v>
      </c>
      <c r="AY385" s="144">
        <f>IFERROR(_xlfn.XLOOKUP($B385,'Cronog. e Histog.'!$BZ:$BZ,'Cronog. e Histog.'!DT:DT),"")</f>
        <v>0</v>
      </c>
      <c r="AZ385" s="144">
        <f>IFERROR(_xlfn.XLOOKUP($B385,'Cronog. e Histog.'!$BZ:$BZ,'Cronog. e Histog.'!DU:DU),"")</f>
        <v>0</v>
      </c>
      <c r="BA385" s="144">
        <f>IFERROR(_xlfn.XLOOKUP($B385,'Cronog. e Histog.'!$BZ:$BZ,'Cronog. e Histog.'!DV:DV),"")</f>
        <v>0</v>
      </c>
      <c r="BB385" s="144">
        <f>IFERROR(_xlfn.XLOOKUP($B385,'Cronog. e Histog.'!$BZ:$BZ,'Cronog. e Histog.'!DW:DW),"")</f>
        <v>0</v>
      </c>
      <c r="BC385" s="144">
        <f>IFERROR(_xlfn.XLOOKUP($B385,'Cronog. e Histog.'!$BZ:$BZ,'Cronog. e Histog.'!DX:DX),"")</f>
        <v>0</v>
      </c>
      <c r="BD385" s="144">
        <f>IFERROR(_xlfn.XLOOKUP($B385,'Cronog. e Histog.'!$BZ:$BZ,'Cronog. e Histog.'!DY:DY),"")</f>
        <v>0</v>
      </c>
      <c r="BE385" s="144">
        <f>IFERROR(_xlfn.XLOOKUP($B385,'Cronog. e Histog.'!$BZ:$BZ,'Cronog. e Histog.'!DZ:DZ),"")</f>
        <v>0</v>
      </c>
      <c r="BF385" s="144">
        <f>IFERROR(_xlfn.XLOOKUP($B385,'Cronog. e Histog.'!$BZ:$BZ,'Cronog. e Histog.'!EA:EA),"")</f>
        <v>0</v>
      </c>
      <c r="BG385" s="144">
        <f>IFERROR(_xlfn.XLOOKUP($B385,'Cronog. e Histog.'!$BZ:$BZ,'Cronog. e Histog.'!EB:EB),"")</f>
        <v>0</v>
      </c>
      <c r="BH385" s="144">
        <f>IFERROR(_xlfn.XLOOKUP($B385,'Cronog. e Histog.'!$BZ:$BZ,'Cronog. e Histog.'!EC:EC),"")</f>
        <v>0</v>
      </c>
      <c r="BI385" s="144">
        <f>IFERROR(_xlfn.XLOOKUP($B385,'Cronog. e Histog.'!$BZ:$BZ,'Cronog. e Histog.'!ED:ED),"")</f>
        <v>0</v>
      </c>
      <c r="BJ385" s="144">
        <f>IFERROR(_xlfn.XLOOKUP($B385,'Cronog. e Histog.'!$BZ:$BZ,'Cronog. e Histog.'!EE:EE),"")</f>
        <v>0</v>
      </c>
      <c r="BK385" s="144">
        <f>IFERROR(_xlfn.XLOOKUP($B385,'Cronog. e Histog.'!$BZ:$BZ,'Cronog. e Histog.'!EF:EF),"")</f>
        <v>0</v>
      </c>
      <c r="BL385" s="144">
        <f>IFERROR(_xlfn.XLOOKUP($B385,'Cronog. e Histog.'!$BZ:$BZ,'Cronog. e Histog.'!EG:EG),"")</f>
        <v>0</v>
      </c>
      <c r="BM385" s="144">
        <f>IFERROR(_xlfn.XLOOKUP($B385,'Cronog. e Histog.'!$BZ:$BZ,'Cronog. e Histog.'!EH:EH),"")</f>
        <v>0</v>
      </c>
      <c r="BN385" s="144">
        <f>IFERROR(_xlfn.XLOOKUP($B385,'Cronog. e Histog.'!$BZ:$BZ,'Cronog. e Histog.'!EI:EI),"")</f>
        <v>0</v>
      </c>
    </row>
    <row r="386" spans="2:66" ht="12" hidden="1" customHeight="1" outlineLevel="1">
      <c r="B386" s="76">
        <v>380</v>
      </c>
      <c r="C386" s="143" t="str">
        <f>IFERROR(VLOOKUP(B386,'Cronog. e Histog.'!$BZ$213:$CA$747,2,0),"")</f>
        <v>EST_III</v>
      </c>
      <c r="D386" s="144">
        <f t="shared" si="6"/>
        <v>0</v>
      </c>
      <c r="E386" s="144">
        <f t="shared" si="7"/>
        <v>0</v>
      </c>
      <c r="F386" s="65"/>
      <c r="G386" s="144">
        <f>IFERROR(_xlfn.XLOOKUP($B386,'Cronog. e Histog.'!$BZ:$BZ,'Cronog. e Histog.'!CB:CB),"")</f>
        <v>0</v>
      </c>
      <c r="H386" s="144">
        <f>IFERROR(_xlfn.XLOOKUP($B386,'Cronog. e Histog.'!$BZ:$BZ,'Cronog. e Histog.'!CC:CC),"")</f>
        <v>0</v>
      </c>
      <c r="I386" s="144">
        <f>IFERROR(_xlfn.XLOOKUP($B386,'Cronog. e Histog.'!$BZ:$BZ,'Cronog. e Histog.'!CD:CD),"")</f>
        <v>0</v>
      </c>
      <c r="J386" s="144">
        <f>IFERROR(_xlfn.XLOOKUP($B386,'Cronog. e Histog.'!$BZ:$BZ,'Cronog. e Histog.'!CE:CE),"")</f>
        <v>0</v>
      </c>
      <c r="K386" s="144">
        <f>IFERROR(_xlfn.XLOOKUP($B386,'Cronog. e Histog.'!$BZ:$BZ,'Cronog. e Histog.'!CF:CF),"")</f>
        <v>0</v>
      </c>
      <c r="L386" s="144">
        <f>IFERROR(_xlfn.XLOOKUP($B386,'Cronog. e Histog.'!$BZ:$BZ,'Cronog. e Histog.'!CG:CG),"")</f>
        <v>0</v>
      </c>
      <c r="M386" s="144">
        <f>IFERROR(_xlfn.XLOOKUP($B386,'Cronog. e Histog.'!$BZ:$BZ,'Cronog. e Histog.'!CH:CH),"")</f>
        <v>0</v>
      </c>
      <c r="N386" s="144">
        <f>IFERROR(_xlfn.XLOOKUP($B386,'Cronog. e Histog.'!$BZ:$BZ,'Cronog. e Histog.'!CI:CI),"")</f>
        <v>0</v>
      </c>
      <c r="O386" s="144">
        <f>IFERROR(_xlfn.XLOOKUP($B386,'Cronog. e Histog.'!$BZ:$BZ,'Cronog. e Histog.'!CJ:CJ),"")</f>
        <v>0</v>
      </c>
      <c r="P386" s="144">
        <f>IFERROR(_xlfn.XLOOKUP($B386,'Cronog. e Histog.'!$BZ:$BZ,'Cronog. e Histog.'!CK:CK),"")</f>
        <v>0</v>
      </c>
      <c r="Q386" s="144">
        <f>IFERROR(_xlfn.XLOOKUP($B386,'Cronog. e Histog.'!$BZ:$BZ,'Cronog. e Histog.'!CL:CL),"")</f>
        <v>0</v>
      </c>
      <c r="R386" s="144">
        <f>IFERROR(_xlfn.XLOOKUP($B386,'Cronog. e Histog.'!$BZ:$BZ,'Cronog. e Histog.'!CM:CM),"")</f>
        <v>0</v>
      </c>
      <c r="S386" s="144">
        <f>IFERROR(_xlfn.XLOOKUP($B386,'Cronog. e Histog.'!$BZ:$BZ,'Cronog. e Histog.'!CN:CN),"")</f>
        <v>0</v>
      </c>
      <c r="T386" s="144">
        <f>IFERROR(_xlfn.XLOOKUP($B386,'Cronog. e Histog.'!$BZ:$BZ,'Cronog. e Histog.'!CO:CO),"")</f>
        <v>0</v>
      </c>
      <c r="U386" s="144">
        <f>IFERROR(_xlfn.XLOOKUP($B386,'Cronog. e Histog.'!$BZ:$BZ,'Cronog. e Histog.'!CP:CP),"")</f>
        <v>0</v>
      </c>
      <c r="V386" s="144">
        <f>IFERROR(_xlfn.XLOOKUP($B386,'Cronog. e Histog.'!$BZ:$BZ,'Cronog. e Histog.'!CQ:CQ),"")</f>
        <v>0</v>
      </c>
      <c r="W386" s="144">
        <f>IFERROR(_xlfn.XLOOKUP($B386,'Cronog. e Histog.'!$BZ:$BZ,'Cronog. e Histog.'!CR:CR),"")</f>
        <v>0</v>
      </c>
      <c r="X386" s="144">
        <f>IFERROR(_xlfn.XLOOKUP($B386,'Cronog. e Histog.'!$BZ:$BZ,'Cronog. e Histog.'!CS:CS),"")</f>
        <v>0</v>
      </c>
      <c r="Y386" s="144">
        <f>IFERROR(_xlfn.XLOOKUP($B386,'Cronog. e Histog.'!$BZ:$BZ,'Cronog. e Histog.'!CT:CT),"")</f>
        <v>0</v>
      </c>
      <c r="Z386" s="144">
        <f>IFERROR(_xlfn.XLOOKUP($B386,'Cronog. e Histog.'!$BZ:$BZ,'Cronog. e Histog.'!CU:CU),"")</f>
        <v>0</v>
      </c>
      <c r="AA386" s="144">
        <f>IFERROR(_xlfn.XLOOKUP($B386,'Cronog. e Histog.'!$BZ:$BZ,'Cronog. e Histog.'!CV:CV),"")</f>
        <v>0</v>
      </c>
      <c r="AB386" s="144">
        <f>IFERROR(_xlfn.XLOOKUP($B386,'Cronog. e Histog.'!$BZ:$BZ,'Cronog. e Histog.'!CW:CW),"")</f>
        <v>0</v>
      </c>
      <c r="AC386" s="144">
        <f>IFERROR(_xlfn.XLOOKUP($B386,'Cronog. e Histog.'!$BZ:$BZ,'Cronog. e Histog.'!CX:CX),"")</f>
        <v>0</v>
      </c>
      <c r="AD386" s="144">
        <f>IFERROR(_xlfn.XLOOKUP($B386,'Cronog. e Histog.'!$BZ:$BZ,'Cronog. e Histog.'!CY:CY),"")</f>
        <v>0</v>
      </c>
      <c r="AE386" s="144">
        <f>IFERROR(_xlfn.XLOOKUP($B386,'Cronog. e Histog.'!$BZ:$BZ,'Cronog. e Histog.'!CZ:CZ),"")</f>
        <v>0</v>
      </c>
      <c r="AF386" s="144">
        <f>IFERROR(_xlfn.XLOOKUP($B386,'Cronog. e Histog.'!$BZ:$BZ,'Cronog. e Histog.'!DA:DA),"")</f>
        <v>0</v>
      </c>
      <c r="AG386" s="144">
        <f>IFERROR(_xlfn.XLOOKUP($B386,'Cronog. e Histog.'!$BZ:$BZ,'Cronog. e Histog.'!DB:DB),"")</f>
        <v>0</v>
      </c>
      <c r="AH386" s="144">
        <f>IFERROR(_xlfn.XLOOKUP($B386,'Cronog. e Histog.'!$BZ:$BZ,'Cronog. e Histog.'!DC:DC),"")</f>
        <v>0</v>
      </c>
      <c r="AI386" s="144">
        <f>IFERROR(_xlfn.XLOOKUP($B386,'Cronog. e Histog.'!$BZ:$BZ,'Cronog. e Histog.'!DD:DD),"")</f>
        <v>0</v>
      </c>
      <c r="AJ386" s="144">
        <f>IFERROR(_xlfn.XLOOKUP($B386,'Cronog. e Histog.'!$BZ:$BZ,'Cronog. e Histog.'!DE:DE),"")</f>
        <v>0</v>
      </c>
      <c r="AK386" s="144">
        <f>IFERROR(_xlfn.XLOOKUP($B386,'Cronog. e Histog.'!$BZ:$BZ,'Cronog. e Histog.'!DF:DF),"")</f>
        <v>0</v>
      </c>
      <c r="AL386" s="144">
        <f>IFERROR(_xlfn.XLOOKUP($B386,'Cronog. e Histog.'!$BZ:$BZ,'Cronog. e Histog.'!DG:DG),"")</f>
        <v>0</v>
      </c>
      <c r="AM386" s="144">
        <f>IFERROR(_xlfn.XLOOKUP($B386,'Cronog. e Histog.'!$BZ:$BZ,'Cronog. e Histog.'!DH:DH),"")</f>
        <v>0</v>
      </c>
      <c r="AN386" s="144">
        <f>IFERROR(_xlfn.XLOOKUP($B386,'Cronog. e Histog.'!$BZ:$BZ,'Cronog. e Histog.'!DI:DI),"")</f>
        <v>0</v>
      </c>
      <c r="AO386" s="144">
        <f>IFERROR(_xlfn.XLOOKUP($B386,'Cronog. e Histog.'!$BZ:$BZ,'Cronog. e Histog.'!DJ:DJ),"")</f>
        <v>0</v>
      </c>
      <c r="AP386" s="144">
        <f>IFERROR(_xlfn.XLOOKUP($B386,'Cronog. e Histog.'!$BZ:$BZ,'Cronog. e Histog.'!DK:DK),"")</f>
        <v>0</v>
      </c>
      <c r="AQ386" s="144">
        <f>IFERROR(_xlfn.XLOOKUP($B386,'Cronog. e Histog.'!$BZ:$BZ,'Cronog. e Histog.'!DL:DL),"")</f>
        <v>0</v>
      </c>
      <c r="AR386" s="144">
        <f>IFERROR(_xlfn.XLOOKUP($B386,'Cronog. e Histog.'!$BZ:$BZ,'Cronog. e Histog.'!DM:DM),"")</f>
        <v>0</v>
      </c>
      <c r="AS386" s="144">
        <f>IFERROR(_xlfn.XLOOKUP($B386,'Cronog. e Histog.'!$BZ:$BZ,'Cronog. e Histog.'!DN:DN),"")</f>
        <v>0</v>
      </c>
      <c r="AT386" s="144">
        <f>IFERROR(_xlfn.XLOOKUP($B386,'Cronog. e Histog.'!$BZ:$BZ,'Cronog. e Histog.'!DO:DO),"")</f>
        <v>0</v>
      </c>
      <c r="AU386" s="144">
        <f>IFERROR(_xlfn.XLOOKUP($B386,'Cronog. e Histog.'!$BZ:$BZ,'Cronog. e Histog.'!DP:DP),"")</f>
        <v>0</v>
      </c>
      <c r="AV386" s="144">
        <f>IFERROR(_xlfn.XLOOKUP($B386,'Cronog. e Histog.'!$BZ:$BZ,'Cronog. e Histog.'!DQ:DQ),"")</f>
        <v>0</v>
      </c>
      <c r="AW386" s="144">
        <f>IFERROR(_xlfn.XLOOKUP($B386,'Cronog. e Histog.'!$BZ:$BZ,'Cronog. e Histog.'!DR:DR),"")</f>
        <v>0</v>
      </c>
      <c r="AX386" s="144">
        <f>IFERROR(_xlfn.XLOOKUP($B386,'Cronog. e Histog.'!$BZ:$BZ,'Cronog. e Histog.'!DS:DS),"")</f>
        <v>0</v>
      </c>
      <c r="AY386" s="144">
        <f>IFERROR(_xlfn.XLOOKUP($B386,'Cronog. e Histog.'!$BZ:$BZ,'Cronog. e Histog.'!DT:DT),"")</f>
        <v>0</v>
      </c>
      <c r="AZ386" s="144">
        <f>IFERROR(_xlfn.XLOOKUP($B386,'Cronog. e Histog.'!$BZ:$BZ,'Cronog. e Histog.'!DU:DU),"")</f>
        <v>0</v>
      </c>
      <c r="BA386" s="144">
        <f>IFERROR(_xlfn.XLOOKUP($B386,'Cronog. e Histog.'!$BZ:$BZ,'Cronog. e Histog.'!DV:DV),"")</f>
        <v>0</v>
      </c>
      <c r="BB386" s="144">
        <f>IFERROR(_xlfn.XLOOKUP($B386,'Cronog. e Histog.'!$BZ:$BZ,'Cronog. e Histog.'!DW:DW),"")</f>
        <v>0</v>
      </c>
      <c r="BC386" s="144">
        <f>IFERROR(_xlfn.XLOOKUP($B386,'Cronog. e Histog.'!$BZ:$BZ,'Cronog. e Histog.'!DX:DX),"")</f>
        <v>0</v>
      </c>
      <c r="BD386" s="144">
        <f>IFERROR(_xlfn.XLOOKUP($B386,'Cronog. e Histog.'!$BZ:$BZ,'Cronog. e Histog.'!DY:DY),"")</f>
        <v>0</v>
      </c>
      <c r="BE386" s="144">
        <f>IFERROR(_xlfn.XLOOKUP($B386,'Cronog. e Histog.'!$BZ:$BZ,'Cronog. e Histog.'!DZ:DZ),"")</f>
        <v>0</v>
      </c>
      <c r="BF386" s="144">
        <f>IFERROR(_xlfn.XLOOKUP($B386,'Cronog. e Histog.'!$BZ:$BZ,'Cronog. e Histog.'!EA:EA),"")</f>
        <v>0</v>
      </c>
      <c r="BG386" s="144">
        <f>IFERROR(_xlfn.XLOOKUP($B386,'Cronog. e Histog.'!$BZ:$BZ,'Cronog. e Histog.'!EB:EB),"")</f>
        <v>0</v>
      </c>
      <c r="BH386" s="144">
        <f>IFERROR(_xlfn.XLOOKUP($B386,'Cronog. e Histog.'!$BZ:$BZ,'Cronog. e Histog.'!EC:EC),"")</f>
        <v>0</v>
      </c>
      <c r="BI386" s="144">
        <f>IFERROR(_xlfn.XLOOKUP($B386,'Cronog. e Histog.'!$BZ:$BZ,'Cronog. e Histog.'!ED:ED),"")</f>
        <v>0</v>
      </c>
      <c r="BJ386" s="144">
        <f>IFERROR(_xlfn.XLOOKUP($B386,'Cronog. e Histog.'!$BZ:$BZ,'Cronog. e Histog.'!EE:EE),"")</f>
        <v>0</v>
      </c>
      <c r="BK386" s="144">
        <f>IFERROR(_xlfn.XLOOKUP($B386,'Cronog. e Histog.'!$BZ:$BZ,'Cronog. e Histog.'!EF:EF),"")</f>
        <v>0</v>
      </c>
      <c r="BL386" s="144">
        <f>IFERROR(_xlfn.XLOOKUP($B386,'Cronog. e Histog.'!$BZ:$BZ,'Cronog. e Histog.'!EG:EG),"")</f>
        <v>0</v>
      </c>
      <c r="BM386" s="144">
        <f>IFERROR(_xlfn.XLOOKUP($B386,'Cronog. e Histog.'!$BZ:$BZ,'Cronog. e Histog.'!EH:EH),"")</f>
        <v>0</v>
      </c>
      <c r="BN386" s="144">
        <f>IFERROR(_xlfn.XLOOKUP($B386,'Cronog. e Histog.'!$BZ:$BZ,'Cronog. e Histog.'!EI:EI),"")</f>
        <v>0</v>
      </c>
    </row>
    <row r="387" spans="2:66" ht="12" hidden="1" customHeight="1" outlineLevel="1">
      <c r="B387" s="76">
        <v>381</v>
      </c>
      <c r="C387" s="143" t="str">
        <f>IFERROR(VLOOKUP(B387,'Cronog. e Histog.'!$BZ$213:$CA$747,2,0),"")</f>
        <v>GER. (OBRA/PROJ)</v>
      </c>
      <c r="D387" s="144">
        <f t="shared" si="6"/>
        <v>0</v>
      </c>
      <c r="E387" s="144">
        <f t="shared" si="7"/>
        <v>0</v>
      </c>
      <c r="F387" s="65"/>
      <c r="G387" s="144">
        <f>IFERROR(_xlfn.XLOOKUP($B387,'Cronog. e Histog.'!$BZ:$BZ,'Cronog. e Histog.'!CB:CB),"")</f>
        <v>0</v>
      </c>
      <c r="H387" s="144">
        <f>IFERROR(_xlfn.XLOOKUP($B387,'Cronog. e Histog.'!$BZ:$BZ,'Cronog. e Histog.'!CC:CC),"")</f>
        <v>0</v>
      </c>
      <c r="I387" s="144">
        <f>IFERROR(_xlfn.XLOOKUP($B387,'Cronog. e Histog.'!$BZ:$BZ,'Cronog. e Histog.'!CD:CD),"")</f>
        <v>0</v>
      </c>
      <c r="J387" s="144">
        <f>IFERROR(_xlfn.XLOOKUP($B387,'Cronog. e Histog.'!$BZ:$BZ,'Cronog. e Histog.'!CE:CE),"")</f>
        <v>0</v>
      </c>
      <c r="K387" s="144">
        <f>IFERROR(_xlfn.XLOOKUP($B387,'Cronog. e Histog.'!$BZ:$BZ,'Cronog. e Histog.'!CF:CF),"")</f>
        <v>0</v>
      </c>
      <c r="L387" s="144">
        <f>IFERROR(_xlfn.XLOOKUP($B387,'Cronog. e Histog.'!$BZ:$BZ,'Cronog. e Histog.'!CG:CG),"")</f>
        <v>0</v>
      </c>
      <c r="M387" s="144">
        <f>IFERROR(_xlfn.XLOOKUP($B387,'Cronog. e Histog.'!$BZ:$BZ,'Cronog. e Histog.'!CH:CH),"")</f>
        <v>0</v>
      </c>
      <c r="N387" s="144">
        <f>IFERROR(_xlfn.XLOOKUP($B387,'Cronog. e Histog.'!$BZ:$BZ,'Cronog. e Histog.'!CI:CI),"")</f>
        <v>0</v>
      </c>
      <c r="O387" s="144">
        <f>IFERROR(_xlfn.XLOOKUP($B387,'Cronog. e Histog.'!$BZ:$BZ,'Cronog. e Histog.'!CJ:CJ),"")</f>
        <v>0</v>
      </c>
      <c r="P387" s="144">
        <f>IFERROR(_xlfn.XLOOKUP($B387,'Cronog. e Histog.'!$BZ:$BZ,'Cronog. e Histog.'!CK:CK),"")</f>
        <v>0</v>
      </c>
      <c r="Q387" s="144">
        <f>IFERROR(_xlfn.XLOOKUP($B387,'Cronog. e Histog.'!$BZ:$BZ,'Cronog. e Histog.'!CL:CL),"")</f>
        <v>0</v>
      </c>
      <c r="R387" s="144">
        <f>IFERROR(_xlfn.XLOOKUP($B387,'Cronog. e Histog.'!$BZ:$BZ,'Cronog. e Histog.'!CM:CM),"")</f>
        <v>0</v>
      </c>
      <c r="S387" s="144">
        <f>IFERROR(_xlfn.XLOOKUP($B387,'Cronog. e Histog.'!$BZ:$BZ,'Cronog. e Histog.'!CN:CN),"")</f>
        <v>0</v>
      </c>
      <c r="T387" s="144">
        <f>IFERROR(_xlfn.XLOOKUP($B387,'Cronog. e Histog.'!$BZ:$BZ,'Cronog. e Histog.'!CO:CO),"")</f>
        <v>0</v>
      </c>
      <c r="U387" s="144">
        <f>IFERROR(_xlfn.XLOOKUP($B387,'Cronog. e Histog.'!$BZ:$BZ,'Cronog. e Histog.'!CP:CP),"")</f>
        <v>0</v>
      </c>
      <c r="V387" s="144">
        <f>IFERROR(_xlfn.XLOOKUP($B387,'Cronog. e Histog.'!$BZ:$BZ,'Cronog. e Histog.'!CQ:CQ),"")</f>
        <v>0</v>
      </c>
      <c r="W387" s="144">
        <f>IFERROR(_xlfn.XLOOKUP($B387,'Cronog. e Histog.'!$BZ:$BZ,'Cronog. e Histog.'!CR:CR),"")</f>
        <v>0</v>
      </c>
      <c r="X387" s="144">
        <f>IFERROR(_xlfn.XLOOKUP($B387,'Cronog. e Histog.'!$BZ:$BZ,'Cronog. e Histog.'!CS:CS),"")</f>
        <v>0</v>
      </c>
      <c r="Y387" s="144">
        <f>IFERROR(_xlfn.XLOOKUP($B387,'Cronog. e Histog.'!$BZ:$BZ,'Cronog. e Histog.'!CT:CT),"")</f>
        <v>0</v>
      </c>
      <c r="Z387" s="144">
        <f>IFERROR(_xlfn.XLOOKUP($B387,'Cronog. e Histog.'!$BZ:$BZ,'Cronog. e Histog.'!CU:CU),"")</f>
        <v>0</v>
      </c>
      <c r="AA387" s="144">
        <f>IFERROR(_xlfn.XLOOKUP($B387,'Cronog. e Histog.'!$BZ:$BZ,'Cronog. e Histog.'!CV:CV),"")</f>
        <v>0</v>
      </c>
      <c r="AB387" s="144">
        <f>IFERROR(_xlfn.XLOOKUP($B387,'Cronog. e Histog.'!$BZ:$BZ,'Cronog. e Histog.'!CW:CW),"")</f>
        <v>0</v>
      </c>
      <c r="AC387" s="144">
        <f>IFERROR(_xlfn.XLOOKUP($B387,'Cronog. e Histog.'!$BZ:$BZ,'Cronog. e Histog.'!CX:CX),"")</f>
        <v>0</v>
      </c>
      <c r="AD387" s="144">
        <f>IFERROR(_xlfn.XLOOKUP($B387,'Cronog. e Histog.'!$BZ:$BZ,'Cronog. e Histog.'!CY:CY),"")</f>
        <v>0</v>
      </c>
      <c r="AE387" s="144">
        <f>IFERROR(_xlfn.XLOOKUP($B387,'Cronog. e Histog.'!$BZ:$BZ,'Cronog. e Histog.'!CZ:CZ),"")</f>
        <v>0</v>
      </c>
      <c r="AF387" s="144">
        <f>IFERROR(_xlfn.XLOOKUP($B387,'Cronog. e Histog.'!$BZ:$BZ,'Cronog. e Histog.'!DA:DA),"")</f>
        <v>0</v>
      </c>
      <c r="AG387" s="144">
        <f>IFERROR(_xlfn.XLOOKUP($B387,'Cronog. e Histog.'!$BZ:$BZ,'Cronog. e Histog.'!DB:DB),"")</f>
        <v>0</v>
      </c>
      <c r="AH387" s="144">
        <f>IFERROR(_xlfn.XLOOKUP($B387,'Cronog. e Histog.'!$BZ:$BZ,'Cronog. e Histog.'!DC:DC),"")</f>
        <v>0</v>
      </c>
      <c r="AI387" s="144">
        <f>IFERROR(_xlfn.XLOOKUP($B387,'Cronog. e Histog.'!$BZ:$BZ,'Cronog. e Histog.'!DD:DD),"")</f>
        <v>0</v>
      </c>
      <c r="AJ387" s="144">
        <f>IFERROR(_xlfn.XLOOKUP($B387,'Cronog. e Histog.'!$BZ:$BZ,'Cronog. e Histog.'!DE:DE),"")</f>
        <v>0</v>
      </c>
      <c r="AK387" s="144">
        <f>IFERROR(_xlfn.XLOOKUP($B387,'Cronog. e Histog.'!$BZ:$BZ,'Cronog. e Histog.'!DF:DF),"")</f>
        <v>0</v>
      </c>
      <c r="AL387" s="144">
        <f>IFERROR(_xlfn.XLOOKUP($B387,'Cronog. e Histog.'!$BZ:$BZ,'Cronog. e Histog.'!DG:DG),"")</f>
        <v>0</v>
      </c>
      <c r="AM387" s="144">
        <f>IFERROR(_xlfn.XLOOKUP($B387,'Cronog. e Histog.'!$BZ:$BZ,'Cronog. e Histog.'!DH:DH),"")</f>
        <v>0</v>
      </c>
      <c r="AN387" s="144">
        <f>IFERROR(_xlfn.XLOOKUP($B387,'Cronog. e Histog.'!$BZ:$BZ,'Cronog. e Histog.'!DI:DI),"")</f>
        <v>0</v>
      </c>
      <c r="AO387" s="144">
        <f>IFERROR(_xlfn.XLOOKUP($B387,'Cronog. e Histog.'!$BZ:$BZ,'Cronog. e Histog.'!DJ:DJ),"")</f>
        <v>0</v>
      </c>
      <c r="AP387" s="144">
        <f>IFERROR(_xlfn.XLOOKUP($B387,'Cronog. e Histog.'!$BZ:$BZ,'Cronog. e Histog.'!DK:DK),"")</f>
        <v>0</v>
      </c>
      <c r="AQ387" s="144">
        <f>IFERROR(_xlfn.XLOOKUP($B387,'Cronog. e Histog.'!$BZ:$BZ,'Cronog. e Histog.'!DL:DL),"")</f>
        <v>0</v>
      </c>
      <c r="AR387" s="144">
        <f>IFERROR(_xlfn.XLOOKUP($B387,'Cronog. e Histog.'!$BZ:$BZ,'Cronog. e Histog.'!DM:DM),"")</f>
        <v>0</v>
      </c>
      <c r="AS387" s="144">
        <f>IFERROR(_xlfn.XLOOKUP($B387,'Cronog. e Histog.'!$BZ:$BZ,'Cronog. e Histog.'!DN:DN),"")</f>
        <v>0</v>
      </c>
      <c r="AT387" s="144">
        <f>IFERROR(_xlfn.XLOOKUP($B387,'Cronog. e Histog.'!$BZ:$BZ,'Cronog. e Histog.'!DO:DO),"")</f>
        <v>0</v>
      </c>
      <c r="AU387" s="144">
        <f>IFERROR(_xlfn.XLOOKUP($B387,'Cronog. e Histog.'!$BZ:$BZ,'Cronog. e Histog.'!DP:DP),"")</f>
        <v>0</v>
      </c>
      <c r="AV387" s="144">
        <f>IFERROR(_xlfn.XLOOKUP($B387,'Cronog. e Histog.'!$BZ:$BZ,'Cronog. e Histog.'!DQ:DQ),"")</f>
        <v>0</v>
      </c>
      <c r="AW387" s="144">
        <f>IFERROR(_xlfn.XLOOKUP($B387,'Cronog. e Histog.'!$BZ:$BZ,'Cronog. e Histog.'!DR:DR),"")</f>
        <v>0</v>
      </c>
      <c r="AX387" s="144">
        <f>IFERROR(_xlfn.XLOOKUP($B387,'Cronog. e Histog.'!$BZ:$BZ,'Cronog. e Histog.'!DS:DS),"")</f>
        <v>0</v>
      </c>
      <c r="AY387" s="144">
        <f>IFERROR(_xlfn.XLOOKUP($B387,'Cronog. e Histog.'!$BZ:$BZ,'Cronog. e Histog.'!DT:DT),"")</f>
        <v>0</v>
      </c>
      <c r="AZ387" s="144">
        <f>IFERROR(_xlfn.XLOOKUP($B387,'Cronog. e Histog.'!$BZ:$BZ,'Cronog. e Histog.'!DU:DU),"")</f>
        <v>0</v>
      </c>
      <c r="BA387" s="144">
        <f>IFERROR(_xlfn.XLOOKUP($B387,'Cronog. e Histog.'!$BZ:$BZ,'Cronog. e Histog.'!DV:DV),"")</f>
        <v>0</v>
      </c>
      <c r="BB387" s="144">
        <f>IFERROR(_xlfn.XLOOKUP($B387,'Cronog. e Histog.'!$BZ:$BZ,'Cronog. e Histog.'!DW:DW),"")</f>
        <v>0</v>
      </c>
      <c r="BC387" s="144">
        <f>IFERROR(_xlfn.XLOOKUP($B387,'Cronog. e Histog.'!$BZ:$BZ,'Cronog. e Histog.'!DX:DX),"")</f>
        <v>0</v>
      </c>
      <c r="BD387" s="144">
        <f>IFERROR(_xlfn.XLOOKUP($B387,'Cronog. e Histog.'!$BZ:$BZ,'Cronog. e Histog.'!DY:DY),"")</f>
        <v>0</v>
      </c>
      <c r="BE387" s="144">
        <f>IFERROR(_xlfn.XLOOKUP($B387,'Cronog. e Histog.'!$BZ:$BZ,'Cronog. e Histog.'!DZ:DZ),"")</f>
        <v>0</v>
      </c>
      <c r="BF387" s="144">
        <f>IFERROR(_xlfn.XLOOKUP($B387,'Cronog. e Histog.'!$BZ:$BZ,'Cronog. e Histog.'!EA:EA),"")</f>
        <v>0</v>
      </c>
      <c r="BG387" s="144">
        <f>IFERROR(_xlfn.XLOOKUP($B387,'Cronog. e Histog.'!$BZ:$BZ,'Cronog. e Histog.'!EB:EB),"")</f>
        <v>0</v>
      </c>
      <c r="BH387" s="144">
        <f>IFERROR(_xlfn.XLOOKUP($B387,'Cronog. e Histog.'!$BZ:$BZ,'Cronog. e Histog.'!EC:EC),"")</f>
        <v>0</v>
      </c>
      <c r="BI387" s="144">
        <f>IFERROR(_xlfn.XLOOKUP($B387,'Cronog. e Histog.'!$BZ:$BZ,'Cronog. e Histog.'!ED:ED),"")</f>
        <v>0</v>
      </c>
      <c r="BJ387" s="144">
        <f>IFERROR(_xlfn.XLOOKUP($B387,'Cronog. e Histog.'!$BZ:$BZ,'Cronog. e Histog.'!EE:EE),"")</f>
        <v>0</v>
      </c>
      <c r="BK387" s="144">
        <f>IFERROR(_xlfn.XLOOKUP($B387,'Cronog. e Histog.'!$BZ:$BZ,'Cronog. e Histog.'!EF:EF),"")</f>
        <v>0</v>
      </c>
      <c r="BL387" s="144">
        <f>IFERROR(_xlfn.XLOOKUP($B387,'Cronog. e Histog.'!$BZ:$BZ,'Cronog. e Histog.'!EG:EG),"")</f>
        <v>0</v>
      </c>
      <c r="BM387" s="144">
        <f>IFERROR(_xlfn.XLOOKUP($B387,'Cronog. e Histog.'!$BZ:$BZ,'Cronog. e Histog.'!EH:EH),"")</f>
        <v>0</v>
      </c>
      <c r="BN387" s="144">
        <f>IFERROR(_xlfn.XLOOKUP($B387,'Cronog. e Histog.'!$BZ:$BZ,'Cronog. e Histog.'!EI:EI),"")</f>
        <v>0</v>
      </c>
    </row>
    <row r="388" spans="2:66" ht="12" hidden="1" customHeight="1" outlineLevel="1">
      <c r="B388" s="76">
        <v>382</v>
      </c>
      <c r="C388" s="143" t="str">
        <f>IFERROR(VLOOKUP(B388,'Cronog. e Histog.'!$BZ$213:$CA$747,2,0),"")</f>
        <v>COORD.</v>
      </c>
      <c r="D388" s="144">
        <f t="shared" si="6"/>
        <v>0</v>
      </c>
      <c r="E388" s="144">
        <f t="shared" si="7"/>
        <v>0</v>
      </c>
      <c r="F388" s="65"/>
      <c r="G388" s="144">
        <f>IFERROR(_xlfn.XLOOKUP($B388,'Cronog. e Histog.'!$BZ:$BZ,'Cronog. e Histog.'!CB:CB),"")</f>
        <v>0</v>
      </c>
      <c r="H388" s="144">
        <f>IFERROR(_xlfn.XLOOKUP($B388,'Cronog. e Histog.'!$BZ:$BZ,'Cronog. e Histog.'!CC:CC),"")</f>
        <v>0</v>
      </c>
      <c r="I388" s="144">
        <f>IFERROR(_xlfn.XLOOKUP($B388,'Cronog. e Histog.'!$BZ:$BZ,'Cronog. e Histog.'!CD:CD),"")</f>
        <v>0</v>
      </c>
      <c r="J388" s="144">
        <f>IFERROR(_xlfn.XLOOKUP($B388,'Cronog. e Histog.'!$BZ:$BZ,'Cronog. e Histog.'!CE:CE),"")</f>
        <v>0</v>
      </c>
      <c r="K388" s="144">
        <f>IFERROR(_xlfn.XLOOKUP($B388,'Cronog. e Histog.'!$BZ:$BZ,'Cronog. e Histog.'!CF:CF),"")</f>
        <v>0</v>
      </c>
      <c r="L388" s="144">
        <f>IFERROR(_xlfn.XLOOKUP($B388,'Cronog. e Histog.'!$BZ:$BZ,'Cronog. e Histog.'!CG:CG),"")</f>
        <v>0</v>
      </c>
      <c r="M388" s="144">
        <f>IFERROR(_xlfn.XLOOKUP($B388,'Cronog. e Histog.'!$BZ:$BZ,'Cronog. e Histog.'!CH:CH),"")</f>
        <v>0</v>
      </c>
      <c r="N388" s="144">
        <f>IFERROR(_xlfn.XLOOKUP($B388,'Cronog. e Histog.'!$BZ:$BZ,'Cronog. e Histog.'!CI:CI),"")</f>
        <v>0</v>
      </c>
      <c r="O388" s="144">
        <f>IFERROR(_xlfn.XLOOKUP($B388,'Cronog. e Histog.'!$BZ:$BZ,'Cronog. e Histog.'!CJ:CJ),"")</f>
        <v>0</v>
      </c>
      <c r="P388" s="144">
        <f>IFERROR(_xlfn.XLOOKUP($B388,'Cronog. e Histog.'!$BZ:$BZ,'Cronog. e Histog.'!CK:CK),"")</f>
        <v>0</v>
      </c>
      <c r="Q388" s="144">
        <f>IFERROR(_xlfn.XLOOKUP($B388,'Cronog. e Histog.'!$BZ:$BZ,'Cronog. e Histog.'!CL:CL),"")</f>
        <v>0</v>
      </c>
      <c r="R388" s="144">
        <f>IFERROR(_xlfn.XLOOKUP($B388,'Cronog. e Histog.'!$BZ:$BZ,'Cronog. e Histog.'!CM:CM),"")</f>
        <v>0</v>
      </c>
      <c r="S388" s="144">
        <f>IFERROR(_xlfn.XLOOKUP($B388,'Cronog. e Histog.'!$BZ:$BZ,'Cronog. e Histog.'!CN:CN),"")</f>
        <v>0</v>
      </c>
      <c r="T388" s="144">
        <f>IFERROR(_xlfn.XLOOKUP($B388,'Cronog. e Histog.'!$BZ:$BZ,'Cronog. e Histog.'!CO:CO),"")</f>
        <v>0</v>
      </c>
      <c r="U388" s="144">
        <f>IFERROR(_xlfn.XLOOKUP($B388,'Cronog. e Histog.'!$BZ:$BZ,'Cronog. e Histog.'!CP:CP),"")</f>
        <v>0</v>
      </c>
      <c r="V388" s="144">
        <f>IFERROR(_xlfn.XLOOKUP($B388,'Cronog. e Histog.'!$BZ:$BZ,'Cronog. e Histog.'!CQ:CQ),"")</f>
        <v>0</v>
      </c>
      <c r="W388" s="144">
        <f>IFERROR(_xlfn.XLOOKUP($B388,'Cronog. e Histog.'!$BZ:$BZ,'Cronog. e Histog.'!CR:CR),"")</f>
        <v>0</v>
      </c>
      <c r="X388" s="144">
        <f>IFERROR(_xlfn.XLOOKUP($B388,'Cronog. e Histog.'!$BZ:$BZ,'Cronog. e Histog.'!CS:CS),"")</f>
        <v>0</v>
      </c>
      <c r="Y388" s="144">
        <f>IFERROR(_xlfn.XLOOKUP($B388,'Cronog. e Histog.'!$BZ:$BZ,'Cronog. e Histog.'!CT:CT),"")</f>
        <v>0</v>
      </c>
      <c r="Z388" s="144">
        <f>IFERROR(_xlfn.XLOOKUP($B388,'Cronog. e Histog.'!$BZ:$BZ,'Cronog. e Histog.'!CU:CU),"")</f>
        <v>0</v>
      </c>
      <c r="AA388" s="144">
        <f>IFERROR(_xlfn.XLOOKUP($B388,'Cronog. e Histog.'!$BZ:$BZ,'Cronog. e Histog.'!CV:CV),"")</f>
        <v>0</v>
      </c>
      <c r="AB388" s="144">
        <f>IFERROR(_xlfn.XLOOKUP($B388,'Cronog. e Histog.'!$BZ:$BZ,'Cronog. e Histog.'!CW:CW),"")</f>
        <v>0</v>
      </c>
      <c r="AC388" s="144">
        <f>IFERROR(_xlfn.XLOOKUP($B388,'Cronog. e Histog.'!$BZ:$BZ,'Cronog. e Histog.'!CX:CX),"")</f>
        <v>0</v>
      </c>
      <c r="AD388" s="144">
        <f>IFERROR(_xlfn.XLOOKUP($B388,'Cronog. e Histog.'!$BZ:$BZ,'Cronog. e Histog.'!CY:CY),"")</f>
        <v>0</v>
      </c>
      <c r="AE388" s="144">
        <f>IFERROR(_xlfn.XLOOKUP($B388,'Cronog. e Histog.'!$BZ:$BZ,'Cronog. e Histog.'!CZ:CZ),"")</f>
        <v>0</v>
      </c>
      <c r="AF388" s="144">
        <f>IFERROR(_xlfn.XLOOKUP($B388,'Cronog. e Histog.'!$BZ:$BZ,'Cronog. e Histog.'!DA:DA),"")</f>
        <v>0</v>
      </c>
      <c r="AG388" s="144">
        <f>IFERROR(_xlfn.XLOOKUP($B388,'Cronog. e Histog.'!$BZ:$BZ,'Cronog. e Histog.'!DB:DB),"")</f>
        <v>0</v>
      </c>
      <c r="AH388" s="144">
        <f>IFERROR(_xlfn.XLOOKUP($B388,'Cronog. e Histog.'!$BZ:$BZ,'Cronog. e Histog.'!DC:DC),"")</f>
        <v>0</v>
      </c>
      <c r="AI388" s="144">
        <f>IFERROR(_xlfn.XLOOKUP($B388,'Cronog. e Histog.'!$BZ:$BZ,'Cronog. e Histog.'!DD:DD),"")</f>
        <v>0</v>
      </c>
      <c r="AJ388" s="144">
        <f>IFERROR(_xlfn.XLOOKUP($B388,'Cronog. e Histog.'!$BZ:$BZ,'Cronog. e Histog.'!DE:DE),"")</f>
        <v>0</v>
      </c>
      <c r="AK388" s="144">
        <f>IFERROR(_xlfn.XLOOKUP($B388,'Cronog. e Histog.'!$BZ:$BZ,'Cronog. e Histog.'!DF:DF),"")</f>
        <v>0</v>
      </c>
      <c r="AL388" s="144">
        <f>IFERROR(_xlfn.XLOOKUP($B388,'Cronog. e Histog.'!$BZ:$BZ,'Cronog. e Histog.'!DG:DG),"")</f>
        <v>0</v>
      </c>
      <c r="AM388" s="144">
        <f>IFERROR(_xlfn.XLOOKUP($B388,'Cronog. e Histog.'!$BZ:$BZ,'Cronog. e Histog.'!DH:DH),"")</f>
        <v>0</v>
      </c>
      <c r="AN388" s="144">
        <f>IFERROR(_xlfn.XLOOKUP($B388,'Cronog. e Histog.'!$BZ:$BZ,'Cronog. e Histog.'!DI:DI),"")</f>
        <v>0</v>
      </c>
      <c r="AO388" s="144">
        <f>IFERROR(_xlfn.XLOOKUP($B388,'Cronog. e Histog.'!$BZ:$BZ,'Cronog. e Histog.'!DJ:DJ),"")</f>
        <v>0</v>
      </c>
      <c r="AP388" s="144">
        <f>IFERROR(_xlfn.XLOOKUP($B388,'Cronog. e Histog.'!$BZ:$BZ,'Cronog. e Histog.'!DK:DK),"")</f>
        <v>0</v>
      </c>
      <c r="AQ388" s="144">
        <f>IFERROR(_xlfn.XLOOKUP($B388,'Cronog. e Histog.'!$BZ:$BZ,'Cronog. e Histog.'!DL:DL),"")</f>
        <v>0</v>
      </c>
      <c r="AR388" s="144">
        <f>IFERROR(_xlfn.XLOOKUP($B388,'Cronog. e Histog.'!$BZ:$BZ,'Cronog. e Histog.'!DM:DM),"")</f>
        <v>0</v>
      </c>
      <c r="AS388" s="144">
        <f>IFERROR(_xlfn.XLOOKUP($B388,'Cronog. e Histog.'!$BZ:$BZ,'Cronog. e Histog.'!DN:DN),"")</f>
        <v>0</v>
      </c>
      <c r="AT388" s="144">
        <f>IFERROR(_xlfn.XLOOKUP($B388,'Cronog. e Histog.'!$BZ:$BZ,'Cronog. e Histog.'!DO:DO),"")</f>
        <v>0</v>
      </c>
      <c r="AU388" s="144">
        <f>IFERROR(_xlfn.XLOOKUP($B388,'Cronog. e Histog.'!$BZ:$BZ,'Cronog. e Histog.'!DP:DP),"")</f>
        <v>0</v>
      </c>
      <c r="AV388" s="144">
        <f>IFERROR(_xlfn.XLOOKUP($B388,'Cronog. e Histog.'!$BZ:$BZ,'Cronog. e Histog.'!DQ:DQ),"")</f>
        <v>0</v>
      </c>
      <c r="AW388" s="144">
        <f>IFERROR(_xlfn.XLOOKUP($B388,'Cronog. e Histog.'!$BZ:$BZ,'Cronog. e Histog.'!DR:DR),"")</f>
        <v>0</v>
      </c>
      <c r="AX388" s="144">
        <f>IFERROR(_xlfn.XLOOKUP($B388,'Cronog. e Histog.'!$BZ:$BZ,'Cronog. e Histog.'!DS:DS),"")</f>
        <v>0</v>
      </c>
      <c r="AY388" s="144">
        <f>IFERROR(_xlfn.XLOOKUP($B388,'Cronog. e Histog.'!$BZ:$BZ,'Cronog. e Histog.'!DT:DT),"")</f>
        <v>0</v>
      </c>
      <c r="AZ388" s="144">
        <f>IFERROR(_xlfn.XLOOKUP($B388,'Cronog. e Histog.'!$BZ:$BZ,'Cronog. e Histog.'!DU:DU),"")</f>
        <v>0</v>
      </c>
      <c r="BA388" s="144">
        <f>IFERROR(_xlfn.XLOOKUP($B388,'Cronog. e Histog.'!$BZ:$BZ,'Cronog. e Histog.'!DV:DV),"")</f>
        <v>0</v>
      </c>
      <c r="BB388" s="144">
        <f>IFERROR(_xlfn.XLOOKUP($B388,'Cronog. e Histog.'!$BZ:$BZ,'Cronog. e Histog.'!DW:DW),"")</f>
        <v>0</v>
      </c>
      <c r="BC388" s="144">
        <f>IFERROR(_xlfn.XLOOKUP($B388,'Cronog. e Histog.'!$BZ:$BZ,'Cronog. e Histog.'!DX:DX),"")</f>
        <v>0</v>
      </c>
      <c r="BD388" s="144">
        <f>IFERROR(_xlfn.XLOOKUP($B388,'Cronog. e Histog.'!$BZ:$BZ,'Cronog. e Histog.'!DY:DY),"")</f>
        <v>0</v>
      </c>
      <c r="BE388" s="144">
        <f>IFERROR(_xlfn.XLOOKUP($B388,'Cronog. e Histog.'!$BZ:$BZ,'Cronog. e Histog.'!DZ:DZ),"")</f>
        <v>0</v>
      </c>
      <c r="BF388" s="144">
        <f>IFERROR(_xlfn.XLOOKUP($B388,'Cronog. e Histog.'!$BZ:$BZ,'Cronog. e Histog.'!EA:EA),"")</f>
        <v>0</v>
      </c>
      <c r="BG388" s="144">
        <f>IFERROR(_xlfn.XLOOKUP($B388,'Cronog. e Histog.'!$BZ:$BZ,'Cronog. e Histog.'!EB:EB),"")</f>
        <v>0</v>
      </c>
      <c r="BH388" s="144">
        <f>IFERROR(_xlfn.XLOOKUP($B388,'Cronog. e Histog.'!$BZ:$BZ,'Cronog. e Histog.'!EC:EC),"")</f>
        <v>0</v>
      </c>
      <c r="BI388" s="144">
        <f>IFERROR(_xlfn.XLOOKUP($B388,'Cronog. e Histog.'!$BZ:$BZ,'Cronog. e Histog.'!ED:ED),"")</f>
        <v>0</v>
      </c>
      <c r="BJ388" s="144">
        <f>IFERROR(_xlfn.XLOOKUP($B388,'Cronog. e Histog.'!$BZ:$BZ,'Cronog. e Histog.'!EE:EE),"")</f>
        <v>0</v>
      </c>
      <c r="BK388" s="144">
        <f>IFERROR(_xlfn.XLOOKUP($B388,'Cronog. e Histog.'!$BZ:$BZ,'Cronog. e Histog.'!EF:EF),"")</f>
        <v>0</v>
      </c>
      <c r="BL388" s="144">
        <f>IFERROR(_xlfn.XLOOKUP($B388,'Cronog. e Histog.'!$BZ:$BZ,'Cronog. e Histog.'!EG:EG),"")</f>
        <v>0</v>
      </c>
      <c r="BM388" s="144">
        <f>IFERROR(_xlfn.XLOOKUP($B388,'Cronog. e Histog.'!$BZ:$BZ,'Cronog. e Histog.'!EH:EH),"")</f>
        <v>0</v>
      </c>
      <c r="BN388" s="144">
        <f>IFERROR(_xlfn.XLOOKUP($B388,'Cronog. e Histog.'!$BZ:$BZ,'Cronog. e Histog.'!EI:EI),"")</f>
        <v>0</v>
      </c>
    </row>
    <row r="389" spans="2:66" ht="12" hidden="1" customHeight="1" outlineLevel="1">
      <c r="B389" s="76">
        <v>383</v>
      </c>
      <c r="C389" s="143" t="str">
        <f>IFERROR(VLOOKUP(B389,'Cronog. e Histog.'!$BZ$213:$CA$747,2,0),"")</f>
        <v>SUP.-ESP</v>
      </c>
      <c r="D389" s="144">
        <f t="shared" si="6"/>
        <v>0</v>
      </c>
      <c r="E389" s="144">
        <f t="shared" si="7"/>
        <v>0</v>
      </c>
      <c r="F389" s="65"/>
      <c r="G389" s="144">
        <f>IFERROR(_xlfn.XLOOKUP($B389,'Cronog. e Histog.'!$BZ:$BZ,'Cronog. e Histog.'!CB:CB),"")</f>
        <v>0</v>
      </c>
      <c r="H389" s="144">
        <f>IFERROR(_xlfn.XLOOKUP($B389,'Cronog. e Histog.'!$BZ:$BZ,'Cronog. e Histog.'!CC:CC),"")</f>
        <v>0</v>
      </c>
      <c r="I389" s="144">
        <f>IFERROR(_xlfn.XLOOKUP($B389,'Cronog. e Histog.'!$BZ:$BZ,'Cronog. e Histog.'!CD:CD),"")</f>
        <v>0</v>
      </c>
      <c r="J389" s="144">
        <f>IFERROR(_xlfn.XLOOKUP($B389,'Cronog. e Histog.'!$BZ:$BZ,'Cronog. e Histog.'!CE:CE),"")</f>
        <v>0</v>
      </c>
      <c r="K389" s="144">
        <f>IFERROR(_xlfn.XLOOKUP($B389,'Cronog. e Histog.'!$BZ:$BZ,'Cronog. e Histog.'!CF:CF),"")</f>
        <v>0</v>
      </c>
      <c r="L389" s="144">
        <f>IFERROR(_xlfn.XLOOKUP($B389,'Cronog. e Histog.'!$BZ:$BZ,'Cronog. e Histog.'!CG:CG),"")</f>
        <v>0</v>
      </c>
      <c r="M389" s="144">
        <f>IFERROR(_xlfn.XLOOKUP($B389,'Cronog. e Histog.'!$BZ:$BZ,'Cronog. e Histog.'!CH:CH),"")</f>
        <v>0</v>
      </c>
      <c r="N389" s="144">
        <f>IFERROR(_xlfn.XLOOKUP($B389,'Cronog. e Histog.'!$BZ:$BZ,'Cronog. e Histog.'!CI:CI),"")</f>
        <v>0</v>
      </c>
      <c r="O389" s="144">
        <f>IFERROR(_xlfn.XLOOKUP($B389,'Cronog. e Histog.'!$BZ:$BZ,'Cronog. e Histog.'!CJ:CJ),"")</f>
        <v>0</v>
      </c>
      <c r="P389" s="144">
        <f>IFERROR(_xlfn.XLOOKUP($B389,'Cronog. e Histog.'!$BZ:$BZ,'Cronog. e Histog.'!CK:CK),"")</f>
        <v>0</v>
      </c>
      <c r="Q389" s="144">
        <f>IFERROR(_xlfn.XLOOKUP($B389,'Cronog. e Histog.'!$BZ:$BZ,'Cronog. e Histog.'!CL:CL),"")</f>
        <v>0</v>
      </c>
      <c r="R389" s="144">
        <f>IFERROR(_xlfn.XLOOKUP($B389,'Cronog. e Histog.'!$BZ:$BZ,'Cronog. e Histog.'!CM:CM),"")</f>
        <v>0</v>
      </c>
      <c r="S389" s="144">
        <f>IFERROR(_xlfn.XLOOKUP($B389,'Cronog. e Histog.'!$BZ:$BZ,'Cronog. e Histog.'!CN:CN),"")</f>
        <v>0</v>
      </c>
      <c r="T389" s="144">
        <f>IFERROR(_xlfn.XLOOKUP($B389,'Cronog. e Histog.'!$BZ:$BZ,'Cronog. e Histog.'!CO:CO),"")</f>
        <v>0</v>
      </c>
      <c r="U389" s="144">
        <f>IFERROR(_xlfn.XLOOKUP($B389,'Cronog. e Histog.'!$BZ:$BZ,'Cronog. e Histog.'!CP:CP),"")</f>
        <v>0</v>
      </c>
      <c r="V389" s="144">
        <f>IFERROR(_xlfn.XLOOKUP($B389,'Cronog. e Histog.'!$BZ:$BZ,'Cronog. e Histog.'!CQ:CQ),"")</f>
        <v>0</v>
      </c>
      <c r="W389" s="144">
        <f>IFERROR(_xlfn.XLOOKUP($B389,'Cronog. e Histog.'!$BZ:$BZ,'Cronog. e Histog.'!CR:CR),"")</f>
        <v>0</v>
      </c>
      <c r="X389" s="144">
        <f>IFERROR(_xlfn.XLOOKUP($B389,'Cronog. e Histog.'!$BZ:$BZ,'Cronog. e Histog.'!CS:CS),"")</f>
        <v>0</v>
      </c>
      <c r="Y389" s="144">
        <f>IFERROR(_xlfn.XLOOKUP($B389,'Cronog. e Histog.'!$BZ:$BZ,'Cronog. e Histog.'!CT:CT),"")</f>
        <v>0</v>
      </c>
      <c r="Z389" s="144">
        <f>IFERROR(_xlfn.XLOOKUP($B389,'Cronog. e Histog.'!$BZ:$BZ,'Cronog. e Histog.'!CU:CU),"")</f>
        <v>0</v>
      </c>
      <c r="AA389" s="144">
        <f>IFERROR(_xlfn.XLOOKUP($B389,'Cronog. e Histog.'!$BZ:$BZ,'Cronog. e Histog.'!CV:CV),"")</f>
        <v>0</v>
      </c>
      <c r="AB389" s="144">
        <f>IFERROR(_xlfn.XLOOKUP($B389,'Cronog. e Histog.'!$BZ:$BZ,'Cronog. e Histog.'!CW:CW),"")</f>
        <v>0</v>
      </c>
      <c r="AC389" s="144">
        <f>IFERROR(_xlfn.XLOOKUP($B389,'Cronog. e Histog.'!$BZ:$BZ,'Cronog. e Histog.'!CX:CX),"")</f>
        <v>0</v>
      </c>
      <c r="AD389" s="144">
        <f>IFERROR(_xlfn.XLOOKUP($B389,'Cronog. e Histog.'!$BZ:$BZ,'Cronog. e Histog.'!CY:CY),"")</f>
        <v>0</v>
      </c>
      <c r="AE389" s="144">
        <f>IFERROR(_xlfn.XLOOKUP($B389,'Cronog. e Histog.'!$BZ:$BZ,'Cronog. e Histog.'!CZ:CZ),"")</f>
        <v>0</v>
      </c>
      <c r="AF389" s="144">
        <f>IFERROR(_xlfn.XLOOKUP($B389,'Cronog. e Histog.'!$BZ:$BZ,'Cronog. e Histog.'!DA:DA),"")</f>
        <v>0</v>
      </c>
      <c r="AG389" s="144">
        <f>IFERROR(_xlfn.XLOOKUP($B389,'Cronog. e Histog.'!$BZ:$BZ,'Cronog. e Histog.'!DB:DB),"")</f>
        <v>0</v>
      </c>
      <c r="AH389" s="144">
        <f>IFERROR(_xlfn.XLOOKUP($B389,'Cronog. e Histog.'!$BZ:$BZ,'Cronog. e Histog.'!DC:DC),"")</f>
        <v>0</v>
      </c>
      <c r="AI389" s="144">
        <f>IFERROR(_xlfn.XLOOKUP($B389,'Cronog. e Histog.'!$BZ:$BZ,'Cronog. e Histog.'!DD:DD),"")</f>
        <v>0</v>
      </c>
      <c r="AJ389" s="144">
        <f>IFERROR(_xlfn.XLOOKUP($B389,'Cronog. e Histog.'!$BZ:$BZ,'Cronog. e Histog.'!DE:DE),"")</f>
        <v>0</v>
      </c>
      <c r="AK389" s="144">
        <f>IFERROR(_xlfn.XLOOKUP($B389,'Cronog. e Histog.'!$BZ:$BZ,'Cronog. e Histog.'!DF:DF),"")</f>
        <v>0</v>
      </c>
      <c r="AL389" s="144">
        <f>IFERROR(_xlfn.XLOOKUP($B389,'Cronog. e Histog.'!$BZ:$BZ,'Cronog. e Histog.'!DG:DG),"")</f>
        <v>0</v>
      </c>
      <c r="AM389" s="144">
        <f>IFERROR(_xlfn.XLOOKUP($B389,'Cronog. e Histog.'!$BZ:$BZ,'Cronog. e Histog.'!DH:DH),"")</f>
        <v>0</v>
      </c>
      <c r="AN389" s="144">
        <f>IFERROR(_xlfn.XLOOKUP($B389,'Cronog. e Histog.'!$BZ:$BZ,'Cronog. e Histog.'!DI:DI),"")</f>
        <v>0</v>
      </c>
      <c r="AO389" s="144">
        <f>IFERROR(_xlfn.XLOOKUP($B389,'Cronog. e Histog.'!$BZ:$BZ,'Cronog. e Histog.'!DJ:DJ),"")</f>
        <v>0</v>
      </c>
      <c r="AP389" s="144">
        <f>IFERROR(_xlfn.XLOOKUP($B389,'Cronog. e Histog.'!$BZ:$BZ,'Cronog. e Histog.'!DK:DK),"")</f>
        <v>0</v>
      </c>
      <c r="AQ389" s="144">
        <f>IFERROR(_xlfn.XLOOKUP($B389,'Cronog. e Histog.'!$BZ:$BZ,'Cronog. e Histog.'!DL:DL),"")</f>
        <v>0</v>
      </c>
      <c r="AR389" s="144">
        <f>IFERROR(_xlfn.XLOOKUP($B389,'Cronog. e Histog.'!$BZ:$BZ,'Cronog. e Histog.'!DM:DM),"")</f>
        <v>0</v>
      </c>
      <c r="AS389" s="144">
        <f>IFERROR(_xlfn.XLOOKUP($B389,'Cronog. e Histog.'!$BZ:$BZ,'Cronog. e Histog.'!DN:DN),"")</f>
        <v>0</v>
      </c>
      <c r="AT389" s="144">
        <f>IFERROR(_xlfn.XLOOKUP($B389,'Cronog. e Histog.'!$BZ:$BZ,'Cronog. e Histog.'!DO:DO),"")</f>
        <v>0</v>
      </c>
      <c r="AU389" s="144">
        <f>IFERROR(_xlfn.XLOOKUP($B389,'Cronog. e Histog.'!$BZ:$BZ,'Cronog. e Histog.'!DP:DP),"")</f>
        <v>0</v>
      </c>
      <c r="AV389" s="144">
        <f>IFERROR(_xlfn.XLOOKUP($B389,'Cronog. e Histog.'!$BZ:$BZ,'Cronog. e Histog.'!DQ:DQ),"")</f>
        <v>0</v>
      </c>
      <c r="AW389" s="144">
        <f>IFERROR(_xlfn.XLOOKUP($B389,'Cronog. e Histog.'!$BZ:$BZ,'Cronog. e Histog.'!DR:DR),"")</f>
        <v>0</v>
      </c>
      <c r="AX389" s="144">
        <f>IFERROR(_xlfn.XLOOKUP($B389,'Cronog. e Histog.'!$BZ:$BZ,'Cronog. e Histog.'!DS:DS),"")</f>
        <v>0</v>
      </c>
      <c r="AY389" s="144">
        <f>IFERROR(_xlfn.XLOOKUP($B389,'Cronog. e Histog.'!$BZ:$BZ,'Cronog. e Histog.'!DT:DT),"")</f>
        <v>0</v>
      </c>
      <c r="AZ389" s="144">
        <f>IFERROR(_xlfn.XLOOKUP($B389,'Cronog. e Histog.'!$BZ:$BZ,'Cronog. e Histog.'!DU:DU),"")</f>
        <v>0</v>
      </c>
      <c r="BA389" s="144">
        <f>IFERROR(_xlfn.XLOOKUP($B389,'Cronog. e Histog.'!$BZ:$BZ,'Cronog. e Histog.'!DV:DV),"")</f>
        <v>0</v>
      </c>
      <c r="BB389" s="144">
        <f>IFERROR(_xlfn.XLOOKUP($B389,'Cronog. e Histog.'!$BZ:$BZ,'Cronog. e Histog.'!DW:DW),"")</f>
        <v>0</v>
      </c>
      <c r="BC389" s="144">
        <f>IFERROR(_xlfn.XLOOKUP($B389,'Cronog. e Histog.'!$BZ:$BZ,'Cronog. e Histog.'!DX:DX),"")</f>
        <v>0</v>
      </c>
      <c r="BD389" s="144">
        <f>IFERROR(_xlfn.XLOOKUP($B389,'Cronog. e Histog.'!$BZ:$BZ,'Cronog. e Histog.'!DY:DY),"")</f>
        <v>0</v>
      </c>
      <c r="BE389" s="144">
        <f>IFERROR(_xlfn.XLOOKUP($B389,'Cronog. e Histog.'!$BZ:$BZ,'Cronog. e Histog.'!DZ:DZ),"")</f>
        <v>0</v>
      </c>
      <c r="BF389" s="144">
        <f>IFERROR(_xlfn.XLOOKUP($B389,'Cronog. e Histog.'!$BZ:$BZ,'Cronog. e Histog.'!EA:EA),"")</f>
        <v>0</v>
      </c>
      <c r="BG389" s="144">
        <f>IFERROR(_xlfn.XLOOKUP($B389,'Cronog. e Histog.'!$BZ:$BZ,'Cronog. e Histog.'!EB:EB),"")</f>
        <v>0</v>
      </c>
      <c r="BH389" s="144">
        <f>IFERROR(_xlfn.XLOOKUP($B389,'Cronog. e Histog.'!$BZ:$BZ,'Cronog. e Histog.'!EC:EC),"")</f>
        <v>0</v>
      </c>
      <c r="BI389" s="144">
        <f>IFERROR(_xlfn.XLOOKUP($B389,'Cronog. e Histog.'!$BZ:$BZ,'Cronog. e Histog.'!ED:ED),"")</f>
        <v>0</v>
      </c>
      <c r="BJ389" s="144">
        <f>IFERROR(_xlfn.XLOOKUP($B389,'Cronog. e Histog.'!$BZ:$BZ,'Cronog. e Histog.'!EE:EE),"")</f>
        <v>0</v>
      </c>
      <c r="BK389" s="144">
        <f>IFERROR(_xlfn.XLOOKUP($B389,'Cronog. e Histog.'!$BZ:$BZ,'Cronog. e Histog.'!EF:EF),"")</f>
        <v>0</v>
      </c>
      <c r="BL389" s="144">
        <f>IFERROR(_xlfn.XLOOKUP($B389,'Cronog. e Histog.'!$BZ:$BZ,'Cronog. e Histog.'!EG:EG),"")</f>
        <v>0</v>
      </c>
      <c r="BM389" s="144">
        <f>IFERROR(_xlfn.XLOOKUP($B389,'Cronog. e Histog.'!$BZ:$BZ,'Cronog. e Histog.'!EH:EH),"")</f>
        <v>0</v>
      </c>
      <c r="BN389" s="144">
        <f>IFERROR(_xlfn.XLOOKUP($B389,'Cronog. e Histog.'!$BZ:$BZ,'Cronog. e Histog.'!EI:EI),"")</f>
        <v>0</v>
      </c>
    </row>
    <row r="390" spans="2:66" ht="12" hidden="1" customHeight="1" outlineLevel="1">
      <c r="B390" s="76">
        <v>384</v>
      </c>
      <c r="C390" s="143" t="str">
        <f>IFERROR(VLOOKUP(B390,'Cronog. e Histog.'!$BZ$213:$CA$747,2,0),"")</f>
        <v>ENG/ARQ SR.</v>
      </c>
      <c r="D390" s="144">
        <f t="shared" si="6"/>
        <v>0</v>
      </c>
      <c r="E390" s="144">
        <f t="shared" si="7"/>
        <v>0</v>
      </c>
      <c r="F390" s="65"/>
      <c r="G390" s="144">
        <f>IFERROR(_xlfn.XLOOKUP($B390,'Cronog. e Histog.'!$BZ:$BZ,'Cronog. e Histog.'!CB:CB),"")</f>
        <v>0</v>
      </c>
      <c r="H390" s="144">
        <f>IFERROR(_xlfn.XLOOKUP($B390,'Cronog. e Histog.'!$BZ:$BZ,'Cronog. e Histog.'!CC:CC),"")</f>
        <v>0</v>
      </c>
      <c r="I390" s="144">
        <f>IFERROR(_xlfn.XLOOKUP($B390,'Cronog. e Histog.'!$BZ:$BZ,'Cronog. e Histog.'!CD:CD),"")</f>
        <v>0</v>
      </c>
      <c r="J390" s="144">
        <f>IFERROR(_xlfn.XLOOKUP($B390,'Cronog. e Histog.'!$BZ:$BZ,'Cronog. e Histog.'!CE:CE),"")</f>
        <v>0</v>
      </c>
      <c r="K390" s="144">
        <f>IFERROR(_xlfn.XLOOKUP($B390,'Cronog. e Histog.'!$BZ:$BZ,'Cronog. e Histog.'!CF:CF),"")</f>
        <v>0</v>
      </c>
      <c r="L390" s="144">
        <f>IFERROR(_xlfn.XLOOKUP($B390,'Cronog. e Histog.'!$BZ:$BZ,'Cronog. e Histog.'!CG:CG),"")</f>
        <v>0</v>
      </c>
      <c r="M390" s="144">
        <f>IFERROR(_xlfn.XLOOKUP($B390,'Cronog. e Histog.'!$BZ:$BZ,'Cronog. e Histog.'!CH:CH),"")</f>
        <v>0</v>
      </c>
      <c r="N390" s="144">
        <f>IFERROR(_xlfn.XLOOKUP($B390,'Cronog. e Histog.'!$BZ:$BZ,'Cronog. e Histog.'!CI:CI),"")</f>
        <v>0</v>
      </c>
      <c r="O390" s="144">
        <f>IFERROR(_xlfn.XLOOKUP($B390,'Cronog. e Histog.'!$BZ:$BZ,'Cronog. e Histog.'!CJ:CJ),"")</f>
        <v>0</v>
      </c>
      <c r="P390" s="144">
        <f>IFERROR(_xlfn.XLOOKUP($B390,'Cronog. e Histog.'!$BZ:$BZ,'Cronog. e Histog.'!CK:CK),"")</f>
        <v>0</v>
      </c>
      <c r="Q390" s="144">
        <f>IFERROR(_xlfn.XLOOKUP($B390,'Cronog. e Histog.'!$BZ:$BZ,'Cronog. e Histog.'!CL:CL),"")</f>
        <v>0</v>
      </c>
      <c r="R390" s="144">
        <f>IFERROR(_xlfn.XLOOKUP($B390,'Cronog. e Histog.'!$BZ:$BZ,'Cronog. e Histog.'!CM:CM),"")</f>
        <v>0</v>
      </c>
      <c r="S390" s="144">
        <f>IFERROR(_xlfn.XLOOKUP($B390,'Cronog. e Histog.'!$BZ:$BZ,'Cronog. e Histog.'!CN:CN),"")</f>
        <v>0</v>
      </c>
      <c r="T390" s="144">
        <f>IFERROR(_xlfn.XLOOKUP($B390,'Cronog. e Histog.'!$BZ:$BZ,'Cronog. e Histog.'!CO:CO),"")</f>
        <v>0</v>
      </c>
      <c r="U390" s="144">
        <f>IFERROR(_xlfn.XLOOKUP($B390,'Cronog. e Histog.'!$BZ:$BZ,'Cronog. e Histog.'!CP:CP),"")</f>
        <v>0</v>
      </c>
      <c r="V390" s="144">
        <f>IFERROR(_xlfn.XLOOKUP($B390,'Cronog. e Histog.'!$BZ:$BZ,'Cronog. e Histog.'!CQ:CQ),"")</f>
        <v>0</v>
      </c>
      <c r="W390" s="144">
        <f>IFERROR(_xlfn.XLOOKUP($B390,'Cronog. e Histog.'!$BZ:$BZ,'Cronog. e Histog.'!CR:CR),"")</f>
        <v>0</v>
      </c>
      <c r="X390" s="144">
        <f>IFERROR(_xlfn.XLOOKUP($B390,'Cronog. e Histog.'!$BZ:$BZ,'Cronog. e Histog.'!CS:CS),"")</f>
        <v>0</v>
      </c>
      <c r="Y390" s="144">
        <f>IFERROR(_xlfn.XLOOKUP($B390,'Cronog. e Histog.'!$BZ:$BZ,'Cronog. e Histog.'!CT:CT),"")</f>
        <v>0</v>
      </c>
      <c r="Z390" s="144">
        <f>IFERROR(_xlfn.XLOOKUP($B390,'Cronog. e Histog.'!$BZ:$BZ,'Cronog. e Histog.'!CU:CU),"")</f>
        <v>0</v>
      </c>
      <c r="AA390" s="144">
        <f>IFERROR(_xlfn.XLOOKUP($B390,'Cronog. e Histog.'!$BZ:$BZ,'Cronog. e Histog.'!CV:CV),"")</f>
        <v>0</v>
      </c>
      <c r="AB390" s="144">
        <f>IFERROR(_xlfn.XLOOKUP($B390,'Cronog. e Histog.'!$BZ:$BZ,'Cronog. e Histog.'!CW:CW),"")</f>
        <v>0</v>
      </c>
      <c r="AC390" s="144">
        <f>IFERROR(_xlfn.XLOOKUP($B390,'Cronog. e Histog.'!$BZ:$BZ,'Cronog. e Histog.'!CX:CX),"")</f>
        <v>0</v>
      </c>
      <c r="AD390" s="144">
        <f>IFERROR(_xlfn.XLOOKUP($B390,'Cronog. e Histog.'!$BZ:$BZ,'Cronog. e Histog.'!CY:CY),"")</f>
        <v>0</v>
      </c>
      <c r="AE390" s="144">
        <f>IFERROR(_xlfn.XLOOKUP($B390,'Cronog. e Histog.'!$BZ:$BZ,'Cronog. e Histog.'!CZ:CZ),"")</f>
        <v>0</v>
      </c>
      <c r="AF390" s="144">
        <f>IFERROR(_xlfn.XLOOKUP($B390,'Cronog. e Histog.'!$BZ:$BZ,'Cronog. e Histog.'!DA:DA),"")</f>
        <v>0</v>
      </c>
      <c r="AG390" s="144">
        <f>IFERROR(_xlfn.XLOOKUP($B390,'Cronog. e Histog.'!$BZ:$BZ,'Cronog. e Histog.'!DB:DB),"")</f>
        <v>0</v>
      </c>
      <c r="AH390" s="144">
        <f>IFERROR(_xlfn.XLOOKUP($B390,'Cronog. e Histog.'!$BZ:$BZ,'Cronog. e Histog.'!DC:DC),"")</f>
        <v>0</v>
      </c>
      <c r="AI390" s="144">
        <f>IFERROR(_xlfn.XLOOKUP($B390,'Cronog. e Histog.'!$BZ:$BZ,'Cronog. e Histog.'!DD:DD),"")</f>
        <v>0</v>
      </c>
      <c r="AJ390" s="144">
        <f>IFERROR(_xlfn.XLOOKUP($B390,'Cronog. e Histog.'!$BZ:$BZ,'Cronog. e Histog.'!DE:DE),"")</f>
        <v>0</v>
      </c>
      <c r="AK390" s="144">
        <f>IFERROR(_xlfn.XLOOKUP($B390,'Cronog. e Histog.'!$BZ:$BZ,'Cronog. e Histog.'!DF:DF),"")</f>
        <v>0</v>
      </c>
      <c r="AL390" s="144">
        <f>IFERROR(_xlfn.XLOOKUP($B390,'Cronog. e Histog.'!$BZ:$BZ,'Cronog. e Histog.'!DG:DG),"")</f>
        <v>0</v>
      </c>
      <c r="AM390" s="144">
        <f>IFERROR(_xlfn.XLOOKUP($B390,'Cronog. e Histog.'!$BZ:$BZ,'Cronog. e Histog.'!DH:DH),"")</f>
        <v>0</v>
      </c>
      <c r="AN390" s="144">
        <f>IFERROR(_xlfn.XLOOKUP($B390,'Cronog. e Histog.'!$BZ:$BZ,'Cronog. e Histog.'!DI:DI),"")</f>
        <v>0</v>
      </c>
      <c r="AO390" s="144">
        <f>IFERROR(_xlfn.XLOOKUP($B390,'Cronog. e Histog.'!$BZ:$BZ,'Cronog. e Histog.'!DJ:DJ),"")</f>
        <v>0</v>
      </c>
      <c r="AP390" s="144">
        <f>IFERROR(_xlfn.XLOOKUP($B390,'Cronog. e Histog.'!$BZ:$BZ,'Cronog. e Histog.'!DK:DK),"")</f>
        <v>0</v>
      </c>
      <c r="AQ390" s="144">
        <f>IFERROR(_xlfn.XLOOKUP($B390,'Cronog. e Histog.'!$BZ:$BZ,'Cronog. e Histog.'!DL:DL),"")</f>
        <v>0</v>
      </c>
      <c r="AR390" s="144">
        <f>IFERROR(_xlfn.XLOOKUP($B390,'Cronog. e Histog.'!$BZ:$BZ,'Cronog. e Histog.'!DM:DM),"")</f>
        <v>0</v>
      </c>
      <c r="AS390" s="144">
        <f>IFERROR(_xlfn.XLOOKUP($B390,'Cronog. e Histog.'!$BZ:$BZ,'Cronog. e Histog.'!DN:DN),"")</f>
        <v>0</v>
      </c>
      <c r="AT390" s="144">
        <f>IFERROR(_xlfn.XLOOKUP($B390,'Cronog. e Histog.'!$BZ:$BZ,'Cronog. e Histog.'!DO:DO),"")</f>
        <v>0</v>
      </c>
      <c r="AU390" s="144">
        <f>IFERROR(_xlfn.XLOOKUP($B390,'Cronog. e Histog.'!$BZ:$BZ,'Cronog. e Histog.'!DP:DP),"")</f>
        <v>0</v>
      </c>
      <c r="AV390" s="144">
        <f>IFERROR(_xlfn.XLOOKUP($B390,'Cronog. e Histog.'!$BZ:$BZ,'Cronog. e Histog.'!DQ:DQ),"")</f>
        <v>0</v>
      </c>
      <c r="AW390" s="144">
        <f>IFERROR(_xlfn.XLOOKUP($B390,'Cronog. e Histog.'!$BZ:$BZ,'Cronog. e Histog.'!DR:DR),"")</f>
        <v>0</v>
      </c>
      <c r="AX390" s="144">
        <f>IFERROR(_xlfn.XLOOKUP($B390,'Cronog. e Histog.'!$BZ:$BZ,'Cronog. e Histog.'!DS:DS),"")</f>
        <v>0</v>
      </c>
      <c r="AY390" s="144">
        <f>IFERROR(_xlfn.XLOOKUP($B390,'Cronog. e Histog.'!$BZ:$BZ,'Cronog. e Histog.'!DT:DT),"")</f>
        <v>0</v>
      </c>
      <c r="AZ390" s="144">
        <f>IFERROR(_xlfn.XLOOKUP($B390,'Cronog. e Histog.'!$BZ:$BZ,'Cronog. e Histog.'!DU:DU),"")</f>
        <v>0</v>
      </c>
      <c r="BA390" s="144">
        <f>IFERROR(_xlfn.XLOOKUP($B390,'Cronog. e Histog.'!$BZ:$BZ,'Cronog. e Histog.'!DV:DV),"")</f>
        <v>0</v>
      </c>
      <c r="BB390" s="144">
        <f>IFERROR(_xlfn.XLOOKUP($B390,'Cronog. e Histog.'!$BZ:$BZ,'Cronog. e Histog.'!DW:DW),"")</f>
        <v>0</v>
      </c>
      <c r="BC390" s="144">
        <f>IFERROR(_xlfn.XLOOKUP($B390,'Cronog. e Histog.'!$BZ:$BZ,'Cronog. e Histog.'!DX:DX),"")</f>
        <v>0</v>
      </c>
      <c r="BD390" s="144">
        <f>IFERROR(_xlfn.XLOOKUP($B390,'Cronog. e Histog.'!$BZ:$BZ,'Cronog. e Histog.'!DY:DY),"")</f>
        <v>0</v>
      </c>
      <c r="BE390" s="144">
        <f>IFERROR(_xlfn.XLOOKUP($B390,'Cronog. e Histog.'!$BZ:$BZ,'Cronog. e Histog.'!DZ:DZ),"")</f>
        <v>0</v>
      </c>
      <c r="BF390" s="144">
        <f>IFERROR(_xlfn.XLOOKUP($B390,'Cronog. e Histog.'!$BZ:$BZ,'Cronog. e Histog.'!EA:EA),"")</f>
        <v>0</v>
      </c>
      <c r="BG390" s="144">
        <f>IFERROR(_xlfn.XLOOKUP($B390,'Cronog. e Histog.'!$BZ:$BZ,'Cronog. e Histog.'!EB:EB),"")</f>
        <v>0</v>
      </c>
      <c r="BH390" s="144">
        <f>IFERROR(_xlfn.XLOOKUP($B390,'Cronog. e Histog.'!$BZ:$BZ,'Cronog. e Histog.'!EC:EC),"")</f>
        <v>0</v>
      </c>
      <c r="BI390" s="144">
        <f>IFERROR(_xlfn.XLOOKUP($B390,'Cronog. e Histog.'!$BZ:$BZ,'Cronog. e Histog.'!ED:ED),"")</f>
        <v>0</v>
      </c>
      <c r="BJ390" s="144">
        <f>IFERROR(_xlfn.XLOOKUP($B390,'Cronog. e Histog.'!$BZ:$BZ,'Cronog. e Histog.'!EE:EE),"")</f>
        <v>0</v>
      </c>
      <c r="BK390" s="144">
        <f>IFERROR(_xlfn.XLOOKUP($B390,'Cronog. e Histog.'!$BZ:$BZ,'Cronog. e Histog.'!EF:EF),"")</f>
        <v>0</v>
      </c>
      <c r="BL390" s="144">
        <f>IFERROR(_xlfn.XLOOKUP($B390,'Cronog. e Histog.'!$BZ:$BZ,'Cronog. e Histog.'!EG:EG),"")</f>
        <v>0</v>
      </c>
      <c r="BM390" s="144">
        <f>IFERROR(_xlfn.XLOOKUP($B390,'Cronog. e Histog.'!$BZ:$BZ,'Cronog. e Histog.'!EH:EH),"")</f>
        <v>0</v>
      </c>
      <c r="BN390" s="144">
        <f>IFERROR(_xlfn.XLOOKUP($B390,'Cronog. e Histog.'!$BZ:$BZ,'Cronog. e Histog.'!EI:EI),"")</f>
        <v>0</v>
      </c>
    </row>
    <row r="391" spans="2:66" ht="12" hidden="1" customHeight="1" outlineLevel="1">
      <c r="B391" s="76">
        <v>385</v>
      </c>
      <c r="C391" s="143" t="str">
        <f>IFERROR(VLOOKUP(B391,'Cronog. e Histog.'!$BZ$213:$CA$747,2,0),"")</f>
        <v>ENG/ARQ PL.</v>
      </c>
      <c r="D391" s="144">
        <f t="shared" si="6"/>
        <v>1</v>
      </c>
      <c r="E391" s="144">
        <f t="shared" si="7"/>
        <v>10</v>
      </c>
      <c r="F391" s="65"/>
      <c r="G391" s="144">
        <f>IFERROR(_xlfn.XLOOKUP($B391,'Cronog. e Histog.'!$BZ:$BZ,'Cronog. e Histog.'!CB:CB),"")</f>
        <v>0.11</v>
      </c>
      <c r="H391" s="144">
        <f>IFERROR(_xlfn.XLOOKUP($B391,'Cronog. e Histog.'!$BZ:$BZ,'Cronog. e Histog.'!CC:CC),"")</f>
        <v>0.11</v>
      </c>
      <c r="I391" s="144">
        <f>IFERROR(_xlfn.XLOOKUP($B391,'Cronog. e Histog.'!$BZ:$BZ,'Cronog. e Histog.'!CD:CD),"")</f>
        <v>0.11</v>
      </c>
      <c r="J391" s="144">
        <f>IFERROR(_xlfn.XLOOKUP($B391,'Cronog. e Histog.'!$BZ:$BZ,'Cronog. e Histog.'!CE:CE),"")</f>
        <v>0.11</v>
      </c>
      <c r="K391" s="144">
        <f>IFERROR(_xlfn.XLOOKUP($B391,'Cronog. e Histog.'!$BZ:$BZ,'Cronog. e Histog.'!CF:CF),"")</f>
        <v>0.11</v>
      </c>
      <c r="L391" s="144">
        <f>IFERROR(_xlfn.XLOOKUP($B391,'Cronog. e Histog.'!$BZ:$BZ,'Cronog. e Histog.'!CG:CG),"")</f>
        <v>0.11</v>
      </c>
      <c r="M391" s="144">
        <f>IFERROR(_xlfn.XLOOKUP($B391,'Cronog. e Histog.'!$BZ:$BZ,'Cronog. e Histog.'!CH:CH),"")</f>
        <v>0.11</v>
      </c>
      <c r="N391" s="144">
        <f>IFERROR(_xlfn.XLOOKUP($B391,'Cronog. e Histog.'!$BZ:$BZ,'Cronog. e Histog.'!CI:CI),"")</f>
        <v>0.11</v>
      </c>
      <c r="O391" s="144">
        <f>IFERROR(_xlfn.XLOOKUP($B391,'Cronog. e Histog.'!$BZ:$BZ,'Cronog. e Histog.'!CJ:CJ),"")</f>
        <v>0.11</v>
      </c>
      <c r="P391" s="144">
        <f>IFERROR(_xlfn.XLOOKUP($B391,'Cronog. e Histog.'!$BZ:$BZ,'Cronog. e Histog.'!CK:CK),"")</f>
        <v>0.11</v>
      </c>
      <c r="Q391" s="144">
        <f>IFERROR(_xlfn.XLOOKUP($B391,'Cronog. e Histog.'!$BZ:$BZ,'Cronog. e Histog.'!CL:CL),"")</f>
        <v>0</v>
      </c>
      <c r="R391" s="144">
        <f>IFERROR(_xlfn.XLOOKUP($B391,'Cronog. e Histog.'!$BZ:$BZ,'Cronog. e Histog.'!CM:CM),"")</f>
        <v>0</v>
      </c>
      <c r="S391" s="144">
        <f>IFERROR(_xlfn.XLOOKUP($B391,'Cronog. e Histog.'!$BZ:$BZ,'Cronog. e Histog.'!CN:CN),"")</f>
        <v>0</v>
      </c>
      <c r="T391" s="144">
        <f>IFERROR(_xlfn.XLOOKUP($B391,'Cronog. e Histog.'!$BZ:$BZ,'Cronog. e Histog.'!CO:CO),"")</f>
        <v>0</v>
      </c>
      <c r="U391" s="144">
        <f>IFERROR(_xlfn.XLOOKUP($B391,'Cronog. e Histog.'!$BZ:$BZ,'Cronog. e Histog.'!CP:CP),"")</f>
        <v>0</v>
      </c>
      <c r="V391" s="144">
        <f>IFERROR(_xlfn.XLOOKUP($B391,'Cronog. e Histog.'!$BZ:$BZ,'Cronog. e Histog.'!CQ:CQ),"")</f>
        <v>0</v>
      </c>
      <c r="W391" s="144">
        <f>IFERROR(_xlfn.XLOOKUP($B391,'Cronog. e Histog.'!$BZ:$BZ,'Cronog. e Histog.'!CR:CR),"")</f>
        <v>0</v>
      </c>
      <c r="X391" s="144">
        <f>IFERROR(_xlfn.XLOOKUP($B391,'Cronog. e Histog.'!$BZ:$BZ,'Cronog. e Histog.'!CS:CS),"")</f>
        <v>0</v>
      </c>
      <c r="Y391" s="144">
        <f>IFERROR(_xlfn.XLOOKUP($B391,'Cronog. e Histog.'!$BZ:$BZ,'Cronog. e Histog.'!CT:CT),"")</f>
        <v>0</v>
      </c>
      <c r="Z391" s="144">
        <f>IFERROR(_xlfn.XLOOKUP($B391,'Cronog. e Histog.'!$BZ:$BZ,'Cronog. e Histog.'!CU:CU),"")</f>
        <v>0</v>
      </c>
      <c r="AA391" s="144">
        <f>IFERROR(_xlfn.XLOOKUP($B391,'Cronog. e Histog.'!$BZ:$BZ,'Cronog. e Histog.'!CV:CV),"")</f>
        <v>0</v>
      </c>
      <c r="AB391" s="144">
        <f>IFERROR(_xlfn.XLOOKUP($B391,'Cronog. e Histog.'!$BZ:$BZ,'Cronog. e Histog.'!CW:CW),"")</f>
        <v>0</v>
      </c>
      <c r="AC391" s="144">
        <f>IFERROR(_xlfn.XLOOKUP($B391,'Cronog. e Histog.'!$BZ:$BZ,'Cronog. e Histog.'!CX:CX),"")</f>
        <v>0</v>
      </c>
      <c r="AD391" s="144">
        <f>IFERROR(_xlfn.XLOOKUP($B391,'Cronog. e Histog.'!$BZ:$BZ,'Cronog. e Histog.'!CY:CY),"")</f>
        <v>0</v>
      </c>
      <c r="AE391" s="144">
        <f>IFERROR(_xlfn.XLOOKUP($B391,'Cronog. e Histog.'!$BZ:$BZ,'Cronog. e Histog.'!CZ:CZ),"")</f>
        <v>0</v>
      </c>
      <c r="AF391" s="144">
        <f>IFERROR(_xlfn.XLOOKUP($B391,'Cronog. e Histog.'!$BZ:$BZ,'Cronog. e Histog.'!DA:DA),"")</f>
        <v>0</v>
      </c>
      <c r="AG391" s="144">
        <f>IFERROR(_xlfn.XLOOKUP($B391,'Cronog. e Histog.'!$BZ:$BZ,'Cronog. e Histog.'!DB:DB),"")</f>
        <v>0</v>
      </c>
      <c r="AH391" s="144">
        <f>IFERROR(_xlfn.XLOOKUP($B391,'Cronog. e Histog.'!$BZ:$BZ,'Cronog. e Histog.'!DC:DC),"")</f>
        <v>0</v>
      </c>
      <c r="AI391" s="144">
        <f>IFERROR(_xlfn.XLOOKUP($B391,'Cronog. e Histog.'!$BZ:$BZ,'Cronog. e Histog.'!DD:DD),"")</f>
        <v>0</v>
      </c>
      <c r="AJ391" s="144">
        <f>IFERROR(_xlfn.XLOOKUP($B391,'Cronog. e Histog.'!$BZ:$BZ,'Cronog. e Histog.'!DE:DE),"")</f>
        <v>0</v>
      </c>
      <c r="AK391" s="144">
        <f>IFERROR(_xlfn.XLOOKUP($B391,'Cronog. e Histog.'!$BZ:$BZ,'Cronog. e Histog.'!DF:DF),"")</f>
        <v>0</v>
      </c>
      <c r="AL391" s="144">
        <f>IFERROR(_xlfn.XLOOKUP($B391,'Cronog. e Histog.'!$BZ:$BZ,'Cronog. e Histog.'!DG:DG),"")</f>
        <v>0</v>
      </c>
      <c r="AM391" s="144">
        <f>IFERROR(_xlfn.XLOOKUP($B391,'Cronog. e Histog.'!$BZ:$BZ,'Cronog. e Histog.'!DH:DH),"")</f>
        <v>0</v>
      </c>
      <c r="AN391" s="144">
        <f>IFERROR(_xlfn.XLOOKUP($B391,'Cronog. e Histog.'!$BZ:$BZ,'Cronog. e Histog.'!DI:DI),"")</f>
        <v>0</v>
      </c>
      <c r="AO391" s="144">
        <f>IFERROR(_xlfn.XLOOKUP($B391,'Cronog. e Histog.'!$BZ:$BZ,'Cronog. e Histog.'!DJ:DJ),"")</f>
        <v>0</v>
      </c>
      <c r="AP391" s="144">
        <f>IFERROR(_xlfn.XLOOKUP($B391,'Cronog. e Histog.'!$BZ:$BZ,'Cronog. e Histog.'!DK:DK),"")</f>
        <v>0</v>
      </c>
      <c r="AQ391" s="144">
        <f>IFERROR(_xlfn.XLOOKUP($B391,'Cronog. e Histog.'!$BZ:$BZ,'Cronog. e Histog.'!DL:DL),"")</f>
        <v>0</v>
      </c>
      <c r="AR391" s="144">
        <f>IFERROR(_xlfn.XLOOKUP($B391,'Cronog. e Histog.'!$BZ:$BZ,'Cronog. e Histog.'!DM:DM),"")</f>
        <v>0</v>
      </c>
      <c r="AS391" s="144">
        <f>IFERROR(_xlfn.XLOOKUP($B391,'Cronog. e Histog.'!$BZ:$BZ,'Cronog. e Histog.'!DN:DN),"")</f>
        <v>0</v>
      </c>
      <c r="AT391" s="144">
        <f>IFERROR(_xlfn.XLOOKUP($B391,'Cronog. e Histog.'!$BZ:$BZ,'Cronog. e Histog.'!DO:DO),"")</f>
        <v>0</v>
      </c>
      <c r="AU391" s="144">
        <f>IFERROR(_xlfn.XLOOKUP($B391,'Cronog. e Histog.'!$BZ:$BZ,'Cronog. e Histog.'!DP:DP),"")</f>
        <v>0</v>
      </c>
      <c r="AV391" s="144">
        <f>IFERROR(_xlfn.XLOOKUP($B391,'Cronog. e Histog.'!$BZ:$BZ,'Cronog. e Histog.'!DQ:DQ),"")</f>
        <v>0</v>
      </c>
      <c r="AW391" s="144">
        <f>IFERROR(_xlfn.XLOOKUP($B391,'Cronog. e Histog.'!$BZ:$BZ,'Cronog. e Histog.'!DR:DR),"")</f>
        <v>0</v>
      </c>
      <c r="AX391" s="144">
        <f>IFERROR(_xlfn.XLOOKUP($B391,'Cronog. e Histog.'!$BZ:$BZ,'Cronog. e Histog.'!DS:DS),"")</f>
        <v>0</v>
      </c>
      <c r="AY391" s="144">
        <f>IFERROR(_xlfn.XLOOKUP($B391,'Cronog. e Histog.'!$BZ:$BZ,'Cronog. e Histog.'!DT:DT),"")</f>
        <v>0</v>
      </c>
      <c r="AZ391" s="144">
        <f>IFERROR(_xlfn.XLOOKUP($B391,'Cronog. e Histog.'!$BZ:$BZ,'Cronog. e Histog.'!DU:DU),"")</f>
        <v>0</v>
      </c>
      <c r="BA391" s="144">
        <f>IFERROR(_xlfn.XLOOKUP($B391,'Cronog. e Histog.'!$BZ:$BZ,'Cronog. e Histog.'!DV:DV),"")</f>
        <v>0</v>
      </c>
      <c r="BB391" s="144">
        <f>IFERROR(_xlfn.XLOOKUP($B391,'Cronog. e Histog.'!$BZ:$BZ,'Cronog. e Histog.'!DW:DW),"")</f>
        <v>0</v>
      </c>
      <c r="BC391" s="144">
        <f>IFERROR(_xlfn.XLOOKUP($B391,'Cronog. e Histog.'!$BZ:$BZ,'Cronog. e Histog.'!DX:DX),"")</f>
        <v>0</v>
      </c>
      <c r="BD391" s="144">
        <f>IFERROR(_xlfn.XLOOKUP($B391,'Cronog. e Histog.'!$BZ:$BZ,'Cronog. e Histog.'!DY:DY),"")</f>
        <v>0</v>
      </c>
      <c r="BE391" s="144">
        <f>IFERROR(_xlfn.XLOOKUP($B391,'Cronog. e Histog.'!$BZ:$BZ,'Cronog. e Histog.'!DZ:DZ),"")</f>
        <v>0</v>
      </c>
      <c r="BF391" s="144">
        <f>IFERROR(_xlfn.XLOOKUP($B391,'Cronog. e Histog.'!$BZ:$BZ,'Cronog. e Histog.'!EA:EA),"")</f>
        <v>0</v>
      </c>
      <c r="BG391" s="144">
        <f>IFERROR(_xlfn.XLOOKUP($B391,'Cronog. e Histog.'!$BZ:$BZ,'Cronog. e Histog.'!EB:EB),"")</f>
        <v>0</v>
      </c>
      <c r="BH391" s="144">
        <f>IFERROR(_xlfn.XLOOKUP($B391,'Cronog. e Histog.'!$BZ:$BZ,'Cronog. e Histog.'!EC:EC),"")</f>
        <v>0</v>
      </c>
      <c r="BI391" s="144">
        <f>IFERROR(_xlfn.XLOOKUP($B391,'Cronog. e Histog.'!$BZ:$BZ,'Cronog. e Histog.'!ED:ED),"")</f>
        <v>0</v>
      </c>
      <c r="BJ391" s="144">
        <f>IFERROR(_xlfn.XLOOKUP($B391,'Cronog. e Histog.'!$BZ:$BZ,'Cronog. e Histog.'!EE:EE),"")</f>
        <v>0</v>
      </c>
      <c r="BK391" s="144">
        <f>IFERROR(_xlfn.XLOOKUP($B391,'Cronog. e Histog.'!$BZ:$BZ,'Cronog. e Histog.'!EF:EF),"")</f>
        <v>0</v>
      </c>
      <c r="BL391" s="144">
        <f>IFERROR(_xlfn.XLOOKUP($B391,'Cronog. e Histog.'!$BZ:$BZ,'Cronog. e Histog.'!EG:EG),"")</f>
        <v>0</v>
      </c>
      <c r="BM391" s="144">
        <f>IFERROR(_xlfn.XLOOKUP($B391,'Cronog. e Histog.'!$BZ:$BZ,'Cronog. e Histog.'!EH:EH),"")</f>
        <v>0</v>
      </c>
      <c r="BN391" s="144">
        <f>IFERROR(_xlfn.XLOOKUP($B391,'Cronog. e Histog.'!$BZ:$BZ,'Cronog. e Histog.'!EI:EI),"")</f>
        <v>0</v>
      </c>
    </row>
    <row r="392" spans="2:66" ht="12" hidden="1" customHeight="1" outlineLevel="1">
      <c r="B392" s="76">
        <v>386</v>
      </c>
      <c r="C392" s="143" t="str">
        <f>IFERROR(VLOOKUP(B392,'Cronog. e Histog.'!$BZ$213:$CA$747,2,0),"")</f>
        <v>ENG/ARQ JR.</v>
      </c>
      <c r="D392" s="144">
        <f t="shared" si="6"/>
        <v>0</v>
      </c>
      <c r="E392" s="144">
        <f t="shared" si="7"/>
        <v>0</v>
      </c>
      <c r="F392" s="65"/>
      <c r="G392" s="144">
        <f>IFERROR(_xlfn.XLOOKUP($B392,'Cronog. e Histog.'!$BZ:$BZ,'Cronog. e Histog.'!CB:CB),"")</f>
        <v>0</v>
      </c>
      <c r="H392" s="144">
        <f>IFERROR(_xlfn.XLOOKUP($B392,'Cronog. e Histog.'!$BZ:$BZ,'Cronog. e Histog.'!CC:CC),"")</f>
        <v>0</v>
      </c>
      <c r="I392" s="144">
        <f>IFERROR(_xlfn.XLOOKUP($B392,'Cronog. e Histog.'!$BZ:$BZ,'Cronog. e Histog.'!CD:CD),"")</f>
        <v>0</v>
      </c>
      <c r="J392" s="144">
        <f>IFERROR(_xlfn.XLOOKUP($B392,'Cronog. e Histog.'!$BZ:$BZ,'Cronog. e Histog.'!CE:CE),"")</f>
        <v>0</v>
      </c>
      <c r="K392" s="144">
        <f>IFERROR(_xlfn.XLOOKUP($B392,'Cronog. e Histog.'!$BZ:$BZ,'Cronog. e Histog.'!CF:CF),"")</f>
        <v>0</v>
      </c>
      <c r="L392" s="144">
        <f>IFERROR(_xlfn.XLOOKUP($B392,'Cronog. e Histog.'!$BZ:$BZ,'Cronog. e Histog.'!CG:CG),"")</f>
        <v>0</v>
      </c>
      <c r="M392" s="144">
        <f>IFERROR(_xlfn.XLOOKUP($B392,'Cronog. e Histog.'!$BZ:$BZ,'Cronog. e Histog.'!CH:CH),"")</f>
        <v>0</v>
      </c>
      <c r="N392" s="144">
        <f>IFERROR(_xlfn.XLOOKUP($B392,'Cronog. e Histog.'!$BZ:$BZ,'Cronog. e Histog.'!CI:CI),"")</f>
        <v>0</v>
      </c>
      <c r="O392" s="144">
        <f>IFERROR(_xlfn.XLOOKUP($B392,'Cronog. e Histog.'!$BZ:$BZ,'Cronog. e Histog.'!CJ:CJ),"")</f>
        <v>0</v>
      </c>
      <c r="P392" s="144">
        <f>IFERROR(_xlfn.XLOOKUP($B392,'Cronog. e Histog.'!$BZ:$BZ,'Cronog. e Histog.'!CK:CK),"")</f>
        <v>0</v>
      </c>
      <c r="Q392" s="144">
        <f>IFERROR(_xlfn.XLOOKUP($B392,'Cronog. e Histog.'!$BZ:$BZ,'Cronog. e Histog.'!CL:CL),"")</f>
        <v>0</v>
      </c>
      <c r="R392" s="144">
        <f>IFERROR(_xlfn.XLOOKUP($B392,'Cronog. e Histog.'!$BZ:$BZ,'Cronog. e Histog.'!CM:CM),"")</f>
        <v>0</v>
      </c>
      <c r="S392" s="144">
        <f>IFERROR(_xlfn.XLOOKUP($B392,'Cronog. e Histog.'!$BZ:$BZ,'Cronog. e Histog.'!CN:CN),"")</f>
        <v>0</v>
      </c>
      <c r="T392" s="144">
        <f>IFERROR(_xlfn.XLOOKUP($B392,'Cronog. e Histog.'!$BZ:$BZ,'Cronog. e Histog.'!CO:CO),"")</f>
        <v>0</v>
      </c>
      <c r="U392" s="144">
        <f>IFERROR(_xlfn.XLOOKUP($B392,'Cronog. e Histog.'!$BZ:$BZ,'Cronog. e Histog.'!CP:CP),"")</f>
        <v>0</v>
      </c>
      <c r="V392" s="144">
        <f>IFERROR(_xlfn.XLOOKUP($B392,'Cronog. e Histog.'!$BZ:$BZ,'Cronog. e Histog.'!CQ:CQ),"")</f>
        <v>0</v>
      </c>
      <c r="W392" s="144">
        <f>IFERROR(_xlfn.XLOOKUP($B392,'Cronog. e Histog.'!$BZ:$BZ,'Cronog. e Histog.'!CR:CR),"")</f>
        <v>0</v>
      </c>
      <c r="X392" s="144">
        <f>IFERROR(_xlfn.XLOOKUP($B392,'Cronog. e Histog.'!$BZ:$BZ,'Cronog. e Histog.'!CS:CS),"")</f>
        <v>0</v>
      </c>
      <c r="Y392" s="144">
        <f>IFERROR(_xlfn.XLOOKUP($B392,'Cronog. e Histog.'!$BZ:$BZ,'Cronog. e Histog.'!CT:CT),"")</f>
        <v>0</v>
      </c>
      <c r="Z392" s="144">
        <f>IFERROR(_xlfn.XLOOKUP($B392,'Cronog. e Histog.'!$BZ:$BZ,'Cronog. e Histog.'!CU:CU),"")</f>
        <v>0</v>
      </c>
      <c r="AA392" s="144">
        <f>IFERROR(_xlfn.XLOOKUP($B392,'Cronog. e Histog.'!$BZ:$BZ,'Cronog. e Histog.'!CV:CV),"")</f>
        <v>0</v>
      </c>
      <c r="AB392" s="144">
        <f>IFERROR(_xlfn.XLOOKUP($B392,'Cronog. e Histog.'!$BZ:$BZ,'Cronog. e Histog.'!CW:CW),"")</f>
        <v>0</v>
      </c>
      <c r="AC392" s="144">
        <f>IFERROR(_xlfn.XLOOKUP($B392,'Cronog. e Histog.'!$BZ:$BZ,'Cronog. e Histog.'!CX:CX),"")</f>
        <v>0</v>
      </c>
      <c r="AD392" s="144">
        <f>IFERROR(_xlfn.XLOOKUP($B392,'Cronog. e Histog.'!$BZ:$BZ,'Cronog. e Histog.'!CY:CY),"")</f>
        <v>0</v>
      </c>
      <c r="AE392" s="144">
        <f>IFERROR(_xlfn.XLOOKUP($B392,'Cronog. e Histog.'!$BZ:$BZ,'Cronog. e Histog.'!CZ:CZ),"")</f>
        <v>0</v>
      </c>
      <c r="AF392" s="144">
        <f>IFERROR(_xlfn.XLOOKUP($B392,'Cronog. e Histog.'!$BZ:$BZ,'Cronog. e Histog.'!DA:DA),"")</f>
        <v>0</v>
      </c>
      <c r="AG392" s="144">
        <f>IFERROR(_xlfn.XLOOKUP($B392,'Cronog. e Histog.'!$BZ:$BZ,'Cronog. e Histog.'!DB:DB),"")</f>
        <v>0</v>
      </c>
      <c r="AH392" s="144">
        <f>IFERROR(_xlfn.XLOOKUP($B392,'Cronog. e Histog.'!$BZ:$BZ,'Cronog. e Histog.'!DC:DC),"")</f>
        <v>0</v>
      </c>
      <c r="AI392" s="144">
        <f>IFERROR(_xlfn.XLOOKUP($B392,'Cronog. e Histog.'!$BZ:$BZ,'Cronog. e Histog.'!DD:DD),"")</f>
        <v>0</v>
      </c>
      <c r="AJ392" s="144">
        <f>IFERROR(_xlfn.XLOOKUP($B392,'Cronog. e Histog.'!$BZ:$BZ,'Cronog. e Histog.'!DE:DE),"")</f>
        <v>0</v>
      </c>
      <c r="AK392" s="144">
        <f>IFERROR(_xlfn.XLOOKUP($B392,'Cronog. e Histog.'!$BZ:$BZ,'Cronog. e Histog.'!DF:DF),"")</f>
        <v>0</v>
      </c>
      <c r="AL392" s="144">
        <f>IFERROR(_xlfn.XLOOKUP($B392,'Cronog. e Histog.'!$BZ:$BZ,'Cronog. e Histog.'!DG:DG),"")</f>
        <v>0</v>
      </c>
      <c r="AM392" s="144">
        <f>IFERROR(_xlfn.XLOOKUP($B392,'Cronog. e Histog.'!$BZ:$BZ,'Cronog. e Histog.'!DH:DH),"")</f>
        <v>0</v>
      </c>
      <c r="AN392" s="144">
        <f>IFERROR(_xlfn.XLOOKUP($B392,'Cronog. e Histog.'!$BZ:$BZ,'Cronog. e Histog.'!DI:DI),"")</f>
        <v>0</v>
      </c>
      <c r="AO392" s="144">
        <f>IFERROR(_xlfn.XLOOKUP($B392,'Cronog. e Histog.'!$BZ:$BZ,'Cronog. e Histog.'!DJ:DJ),"")</f>
        <v>0</v>
      </c>
      <c r="AP392" s="144">
        <f>IFERROR(_xlfn.XLOOKUP($B392,'Cronog. e Histog.'!$BZ:$BZ,'Cronog. e Histog.'!DK:DK),"")</f>
        <v>0</v>
      </c>
      <c r="AQ392" s="144">
        <f>IFERROR(_xlfn.XLOOKUP($B392,'Cronog. e Histog.'!$BZ:$BZ,'Cronog. e Histog.'!DL:DL),"")</f>
        <v>0</v>
      </c>
      <c r="AR392" s="144">
        <f>IFERROR(_xlfn.XLOOKUP($B392,'Cronog. e Histog.'!$BZ:$BZ,'Cronog. e Histog.'!DM:DM),"")</f>
        <v>0</v>
      </c>
      <c r="AS392" s="144">
        <f>IFERROR(_xlfn.XLOOKUP($B392,'Cronog. e Histog.'!$BZ:$BZ,'Cronog. e Histog.'!DN:DN),"")</f>
        <v>0</v>
      </c>
      <c r="AT392" s="144">
        <f>IFERROR(_xlfn.XLOOKUP($B392,'Cronog. e Histog.'!$BZ:$BZ,'Cronog. e Histog.'!DO:DO),"")</f>
        <v>0</v>
      </c>
      <c r="AU392" s="144">
        <f>IFERROR(_xlfn.XLOOKUP($B392,'Cronog. e Histog.'!$BZ:$BZ,'Cronog. e Histog.'!DP:DP),"")</f>
        <v>0</v>
      </c>
      <c r="AV392" s="144">
        <f>IFERROR(_xlfn.XLOOKUP($B392,'Cronog. e Histog.'!$BZ:$BZ,'Cronog. e Histog.'!DQ:DQ),"")</f>
        <v>0</v>
      </c>
      <c r="AW392" s="144">
        <f>IFERROR(_xlfn.XLOOKUP($B392,'Cronog. e Histog.'!$BZ:$BZ,'Cronog. e Histog.'!DR:DR),"")</f>
        <v>0</v>
      </c>
      <c r="AX392" s="144">
        <f>IFERROR(_xlfn.XLOOKUP($B392,'Cronog. e Histog.'!$BZ:$BZ,'Cronog. e Histog.'!DS:DS),"")</f>
        <v>0</v>
      </c>
      <c r="AY392" s="144">
        <f>IFERROR(_xlfn.XLOOKUP($B392,'Cronog. e Histog.'!$BZ:$BZ,'Cronog. e Histog.'!DT:DT),"")</f>
        <v>0</v>
      </c>
      <c r="AZ392" s="144">
        <f>IFERROR(_xlfn.XLOOKUP($B392,'Cronog. e Histog.'!$BZ:$BZ,'Cronog. e Histog.'!DU:DU),"")</f>
        <v>0</v>
      </c>
      <c r="BA392" s="144">
        <f>IFERROR(_xlfn.XLOOKUP($B392,'Cronog. e Histog.'!$BZ:$BZ,'Cronog. e Histog.'!DV:DV),"")</f>
        <v>0</v>
      </c>
      <c r="BB392" s="144">
        <f>IFERROR(_xlfn.XLOOKUP($B392,'Cronog. e Histog.'!$BZ:$BZ,'Cronog. e Histog.'!DW:DW),"")</f>
        <v>0</v>
      </c>
      <c r="BC392" s="144">
        <f>IFERROR(_xlfn.XLOOKUP($B392,'Cronog. e Histog.'!$BZ:$BZ,'Cronog. e Histog.'!DX:DX),"")</f>
        <v>0</v>
      </c>
      <c r="BD392" s="144">
        <f>IFERROR(_xlfn.XLOOKUP($B392,'Cronog. e Histog.'!$BZ:$BZ,'Cronog. e Histog.'!DY:DY),"")</f>
        <v>0</v>
      </c>
      <c r="BE392" s="144">
        <f>IFERROR(_xlfn.XLOOKUP($B392,'Cronog. e Histog.'!$BZ:$BZ,'Cronog. e Histog.'!DZ:DZ),"")</f>
        <v>0</v>
      </c>
      <c r="BF392" s="144">
        <f>IFERROR(_xlfn.XLOOKUP($B392,'Cronog. e Histog.'!$BZ:$BZ,'Cronog. e Histog.'!EA:EA),"")</f>
        <v>0</v>
      </c>
      <c r="BG392" s="144">
        <f>IFERROR(_xlfn.XLOOKUP($B392,'Cronog. e Histog.'!$BZ:$BZ,'Cronog. e Histog.'!EB:EB),"")</f>
        <v>0</v>
      </c>
      <c r="BH392" s="144">
        <f>IFERROR(_xlfn.XLOOKUP($B392,'Cronog. e Histog.'!$BZ:$BZ,'Cronog. e Histog.'!EC:EC),"")</f>
        <v>0</v>
      </c>
      <c r="BI392" s="144">
        <f>IFERROR(_xlfn.XLOOKUP($B392,'Cronog. e Histog.'!$BZ:$BZ,'Cronog. e Histog.'!ED:ED),"")</f>
        <v>0</v>
      </c>
      <c r="BJ392" s="144">
        <f>IFERROR(_xlfn.XLOOKUP($B392,'Cronog. e Histog.'!$BZ:$BZ,'Cronog. e Histog.'!EE:EE),"")</f>
        <v>0</v>
      </c>
      <c r="BK392" s="144">
        <f>IFERROR(_xlfn.XLOOKUP($B392,'Cronog. e Histog.'!$BZ:$BZ,'Cronog. e Histog.'!EF:EF),"")</f>
        <v>0</v>
      </c>
      <c r="BL392" s="144">
        <f>IFERROR(_xlfn.XLOOKUP($B392,'Cronog. e Histog.'!$BZ:$BZ,'Cronog. e Histog.'!EG:EG),"")</f>
        <v>0</v>
      </c>
      <c r="BM392" s="144">
        <f>IFERROR(_xlfn.XLOOKUP($B392,'Cronog. e Histog.'!$BZ:$BZ,'Cronog. e Histog.'!EH:EH),"")</f>
        <v>0</v>
      </c>
      <c r="BN392" s="144">
        <f>IFERROR(_xlfn.XLOOKUP($B392,'Cronog. e Histog.'!$BZ:$BZ,'Cronog. e Histog.'!EI:EI),"")</f>
        <v>0</v>
      </c>
    </row>
    <row r="393" spans="2:66" ht="12" hidden="1" customHeight="1" outlineLevel="1">
      <c r="B393" s="76">
        <v>387</v>
      </c>
      <c r="C393" s="143" t="str">
        <f>IFERROR(VLOOKUP(B393,'Cronog. e Histog.'!$BZ$213:$CA$747,2,0),"")</f>
        <v>AN SR. ENG/ARQ</v>
      </c>
      <c r="D393" s="144">
        <f t="shared" si="6"/>
        <v>0</v>
      </c>
      <c r="E393" s="144">
        <f t="shared" si="7"/>
        <v>0</v>
      </c>
      <c r="F393" s="65"/>
      <c r="G393" s="144">
        <f>IFERROR(_xlfn.XLOOKUP($B393,'Cronog. e Histog.'!$BZ:$BZ,'Cronog. e Histog.'!CB:CB),"")</f>
        <v>0</v>
      </c>
      <c r="H393" s="144">
        <f>IFERROR(_xlfn.XLOOKUP($B393,'Cronog. e Histog.'!$BZ:$BZ,'Cronog. e Histog.'!CC:CC),"")</f>
        <v>0</v>
      </c>
      <c r="I393" s="144">
        <f>IFERROR(_xlfn.XLOOKUP($B393,'Cronog. e Histog.'!$BZ:$BZ,'Cronog. e Histog.'!CD:CD),"")</f>
        <v>0</v>
      </c>
      <c r="J393" s="144">
        <f>IFERROR(_xlfn.XLOOKUP($B393,'Cronog. e Histog.'!$BZ:$BZ,'Cronog. e Histog.'!CE:CE),"")</f>
        <v>0</v>
      </c>
      <c r="K393" s="144">
        <f>IFERROR(_xlfn.XLOOKUP($B393,'Cronog. e Histog.'!$BZ:$BZ,'Cronog. e Histog.'!CF:CF),"")</f>
        <v>0</v>
      </c>
      <c r="L393" s="144">
        <f>IFERROR(_xlfn.XLOOKUP($B393,'Cronog. e Histog.'!$BZ:$BZ,'Cronog. e Histog.'!CG:CG),"")</f>
        <v>0</v>
      </c>
      <c r="M393" s="144">
        <f>IFERROR(_xlfn.XLOOKUP($B393,'Cronog. e Histog.'!$BZ:$BZ,'Cronog. e Histog.'!CH:CH),"")</f>
        <v>0</v>
      </c>
      <c r="N393" s="144">
        <f>IFERROR(_xlfn.XLOOKUP($B393,'Cronog. e Histog.'!$BZ:$BZ,'Cronog. e Histog.'!CI:CI),"")</f>
        <v>0</v>
      </c>
      <c r="O393" s="144">
        <f>IFERROR(_xlfn.XLOOKUP($B393,'Cronog. e Histog.'!$BZ:$BZ,'Cronog. e Histog.'!CJ:CJ),"")</f>
        <v>0</v>
      </c>
      <c r="P393" s="144">
        <f>IFERROR(_xlfn.XLOOKUP($B393,'Cronog. e Histog.'!$BZ:$BZ,'Cronog. e Histog.'!CK:CK),"")</f>
        <v>0</v>
      </c>
      <c r="Q393" s="144">
        <f>IFERROR(_xlfn.XLOOKUP($B393,'Cronog. e Histog.'!$BZ:$BZ,'Cronog. e Histog.'!CL:CL),"")</f>
        <v>0</v>
      </c>
      <c r="R393" s="144">
        <f>IFERROR(_xlfn.XLOOKUP($B393,'Cronog. e Histog.'!$BZ:$BZ,'Cronog. e Histog.'!CM:CM),"")</f>
        <v>0</v>
      </c>
      <c r="S393" s="144">
        <f>IFERROR(_xlfn.XLOOKUP($B393,'Cronog. e Histog.'!$BZ:$BZ,'Cronog. e Histog.'!CN:CN),"")</f>
        <v>0</v>
      </c>
      <c r="T393" s="144">
        <f>IFERROR(_xlfn.XLOOKUP($B393,'Cronog. e Histog.'!$BZ:$BZ,'Cronog. e Histog.'!CO:CO),"")</f>
        <v>0</v>
      </c>
      <c r="U393" s="144">
        <f>IFERROR(_xlfn.XLOOKUP($B393,'Cronog. e Histog.'!$BZ:$BZ,'Cronog. e Histog.'!CP:CP),"")</f>
        <v>0</v>
      </c>
      <c r="V393" s="144">
        <f>IFERROR(_xlfn.XLOOKUP($B393,'Cronog. e Histog.'!$BZ:$BZ,'Cronog. e Histog.'!CQ:CQ),"")</f>
        <v>0</v>
      </c>
      <c r="W393" s="144">
        <f>IFERROR(_xlfn.XLOOKUP($B393,'Cronog. e Histog.'!$BZ:$BZ,'Cronog. e Histog.'!CR:CR),"")</f>
        <v>0</v>
      </c>
      <c r="X393" s="144">
        <f>IFERROR(_xlfn.XLOOKUP($B393,'Cronog. e Histog.'!$BZ:$BZ,'Cronog. e Histog.'!CS:CS),"")</f>
        <v>0</v>
      </c>
      <c r="Y393" s="144">
        <f>IFERROR(_xlfn.XLOOKUP($B393,'Cronog. e Histog.'!$BZ:$BZ,'Cronog. e Histog.'!CT:CT),"")</f>
        <v>0</v>
      </c>
      <c r="Z393" s="144">
        <f>IFERROR(_xlfn.XLOOKUP($B393,'Cronog. e Histog.'!$BZ:$BZ,'Cronog. e Histog.'!CU:CU),"")</f>
        <v>0</v>
      </c>
      <c r="AA393" s="144">
        <f>IFERROR(_xlfn.XLOOKUP($B393,'Cronog. e Histog.'!$BZ:$BZ,'Cronog. e Histog.'!CV:CV),"")</f>
        <v>0</v>
      </c>
      <c r="AB393" s="144">
        <f>IFERROR(_xlfn.XLOOKUP($B393,'Cronog. e Histog.'!$BZ:$BZ,'Cronog. e Histog.'!CW:CW),"")</f>
        <v>0</v>
      </c>
      <c r="AC393" s="144">
        <f>IFERROR(_xlfn.XLOOKUP($B393,'Cronog. e Histog.'!$BZ:$BZ,'Cronog. e Histog.'!CX:CX),"")</f>
        <v>0</v>
      </c>
      <c r="AD393" s="144">
        <f>IFERROR(_xlfn.XLOOKUP($B393,'Cronog. e Histog.'!$BZ:$BZ,'Cronog. e Histog.'!CY:CY),"")</f>
        <v>0</v>
      </c>
      <c r="AE393" s="144">
        <f>IFERROR(_xlfn.XLOOKUP($B393,'Cronog. e Histog.'!$BZ:$BZ,'Cronog. e Histog.'!CZ:CZ),"")</f>
        <v>0</v>
      </c>
      <c r="AF393" s="144">
        <f>IFERROR(_xlfn.XLOOKUP($B393,'Cronog. e Histog.'!$BZ:$BZ,'Cronog. e Histog.'!DA:DA),"")</f>
        <v>0</v>
      </c>
      <c r="AG393" s="144">
        <f>IFERROR(_xlfn.XLOOKUP($B393,'Cronog. e Histog.'!$BZ:$BZ,'Cronog. e Histog.'!DB:DB),"")</f>
        <v>0</v>
      </c>
      <c r="AH393" s="144">
        <f>IFERROR(_xlfn.XLOOKUP($B393,'Cronog. e Histog.'!$BZ:$BZ,'Cronog. e Histog.'!DC:DC),"")</f>
        <v>0</v>
      </c>
      <c r="AI393" s="144">
        <f>IFERROR(_xlfn.XLOOKUP($B393,'Cronog. e Histog.'!$BZ:$BZ,'Cronog. e Histog.'!DD:DD),"")</f>
        <v>0</v>
      </c>
      <c r="AJ393" s="144">
        <f>IFERROR(_xlfn.XLOOKUP($B393,'Cronog. e Histog.'!$BZ:$BZ,'Cronog. e Histog.'!DE:DE),"")</f>
        <v>0</v>
      </c>
      <c r="AK393" s="144">
        <f>IFERROR(_xlfn.XLOOKUP($B393,'Cronog. e Histog.'!$BZ:$BZ,'Cronog. e Histog.'!DF:DF),"")</f>
        <v>0</v>
      </c>
      <c r="AL393" s="144">
        <f>IFERROR(_xlfn.XLOOKUP($B393,'Cronog. e Histog.'!$BZ:$BZ,'Cronog. e Histog.'!DG:DG),"")</f>
        <v>0</v>
      </c>
      <c r="AM393" s="144">
        <f>IFERROR(_xlfn.XLOOKUP($B393,'Cronog. e Histog.'!$BZ:$BZ,'Cronog. e Histog.'!DH:DH),"")</f>
        <v>0</v>
      </c>
      <c r="AN393" s="144">
        <f>IFERROR(_xlfn.XLOOKUP($B393,'Cronog. e Histog.'!$BZ:$BZ,'Cronog. e Histog.'!DI:DI),"")</f>
        <v>0</v>
      </c>
      <c r="AO393" s="144">
        <f>IFERROR(_xlfn.XLOOKUP($B393,'Cronog. e Histog.'!$BZ:$BZ,'Cronog. e Histog.'!DJ:DJ),"")</f>
        <v>0</v>
      </c>
      <c r="AP393" s="144">
        <f>IFERROR(_xlfn.XLOOKUP($B393,'Cronog. e Histog.'!$BZ:$BZ,'Cronog. e Histog.'!DK:DK),"")</f>
        <v>0</v>
      </c>
      <c r="AQ393" s="144">
        <f>IFERROR(_xlfn.XLOOKUP($B393,'Cronog. e Histog.'!$BZ:$BZ,'Cronog. e Histog.'!DL:DL),"")</f>
        <v>0</v>
      </c>
      <c r="AR393" s="144">
        <f>IFERROR(_xlfn.XLOOKUP($B393,'Cronog. e Histog.'!$BZ:$BZ,'Cronog. e Histog.'!DM:DM),"")</f>
        <v>0</v>
      </c>
      <c r="AS393" s="144">
        <f>IFERROR(_xlfn.XLOOKUP($B393,'Cronog. e Histog.'!$BZ:$BZ,'Cronog. e Histog.'!DN:DN),"")</f>
        <v>0</v>
      </c>
      <c r="AT393" s="144">
        <f>IFERROR(_xlfn.XLOOKUP($B393,'Cronog. e Histog.'!$BZ:$BZ,'Cronog. e Histog.'!DO:DO),"")</f>
        <v>0</v>
      </c>
      <c r="AU393" s="144">
        <f>IFERROR(_xlfn.XLOOKUP($B393,'Cronog. e Histog.'!$BZ:$BZ,'Cronog. e Histog.'!DP:DP),"")</f>
        <v>0</v>
      </c>
      <c r="AV393" s="144">
        <f>IFERROR(_xlfn.XLOOKUP($B393,'Cronog. e Histog.'!$BZ:$BZ,'Cronog. e Histog.'!DQ:DQ),"")</f>
        <v>0</v>
      </c>
      <c r="AW393" s="144">
        <f>IFERROR(_xlfn.XLOOKUP($B393,'Cronog. e Histog.'!$BZ:$BZ,'Cronog. e Histog.'!DR:DR),"")</f>
        <v>0</v>
      </c>
      <c r="AX393" s="144">
        <f>IFERROR(_xlfn.XLOOKUP($B393,'Cronog. e Histog.'!$BZ:$BZ,'Cronog. e Histog.'!DS:DS),"")</f>
        <v>0</v>
      </c>
      <c r="AY393" s="144">
        <f>IFERROR(_xlfn.XLOOKUP($B393,'Cronog. e Histog.'!$BZ:$BZ,'Cronog. e Histog.'!DT:DT),"")</f>
        <v>0</v>
      </c>
      <c r="AZ393" s="144">
        <f>IFERROR(_xlfn.XLOOKUP($B393,'Cronog. e Histog.'!$BZ:$BZ,'Cronog. e Histog.'!DU:DU),"")</f>
        <v>0</v>
      </c>
      <c r="BA393" s="144">
        <f>IFERROR(_xlfn.XLOOKUP($B393,'Cronog. e Histog.'!$BZ:$BZ,'Cronog. e Histog.'!DV:DV),"")</f>
        <v>0</v>
      </c>
      <c r="BB393" s="144">
        <f>IFERROR(_xlfn.XLOOKUP($B393,'Cronog. e Histog.'!$BZ:$BZ,'Cronog. e Histog.'!DW:DW),"")</f>
        <v>0</v>
      </c>
      <c r="BC393" s="144">
        <f>IFERROR(_xlfn.XLOOKUP($B393,'Cronog. e Histog.'!$BZ:$BZ,'Cronog. e Histog.'!DX:DX),"")</f>
        <v>0</v>
      </c>
      <c r="BD393" s="144">
        <f>IFERROR(_xlfn.XLOOKUP($B393,'Cronog. e Histog.'!$BZ:$BZ,'Cronog. e Histog.'!DY:DY),"")</f>
        <v>0</v>
      </c>
      <c r="BE393" s="144">
        <f>IFERROR(_xlfn.XLOOKUP($B393,'Cronog. e Histog.'!$BZ:$BZ,'Cronog. e Histog.'!DZ:DZ),"")</f>
        <v>0</v>
      </c>
      <c r="BF393" s="144">
        <f>IFERROR(_xlfn.XLOOKUP($B393,'Cronog. e Histog.'!$BZ:$BZ,'Cronog. e Histog.'!EA:EA),"")</f>
        <v>0</v>
      </c>
      <c r="BG393" s="144">
        <f>IFERROR(_xlfn.XLOOKUP($B393,'Cronog. e Histog.'!$BZ:$BZ,'Cronog. e Histog.'!EB:EB),"")</f>
        <v>0</v>
      </c>
      <c r="BH393" s="144">
        <f>IFERROR(_xlfn.XLOOKUP($B393,'Cronog. e Histog.'!$BZ:$BZ,'Cronog. e Histog.'!EC:EC),"")</f>
        <v>0</v>
      </c>
      <c r="BI393" s="144">
        <f>IFERROR(_xlfn.XLOOKUP($B393,'Cronog. e Histog.'!$BZ:$BZ,'Cronog. e Histog.'!ED:ED),"")</f>
        <v>0</v>
      </c>
      <c r="BJ393" s="144">
        <f>IFERROR(_xlfn.XLOOKUP($B393,'Cronog. e Histog.'!$BZ:$BZ,'Cronog. e Histog.'!EE:EE),"")</f>
        <v>0</v>
      </c>
      <c r="BK393" s="144">
        <f>IFERROR(_xlfn.XLOOKUP($B393,'Cronog. e Histog.'!$BZ:$BZ,'Cronog. e Histog.'!EF:EF),"")</f>
        <v>0</v>
      </c>
      <c r="BL393" s="144">
        <f>IFERROR(_xlfn.XLOOKUP($B393,'Cronog. e Histog.'!$BZ:$BZ,'Cronog. e Histog.'!EG:EG),"")</f>
        <v>0</v>
      </c>
      <c r="BM393" s="144">
        <f>IFERROR(_xlfn.XLOOKUP($B393,'Cronog. e Histog.'!$BZ:$BZ,'Cronog. e Histog.'!EH:EH),"")</f>
        <v>0</v>
      </c>
      <c r="BN393" s="144">
        <f>IFERROR(_xlfn.XLOOKUP($B393,'Cronog. e Histog.'!$BZ:$BZ,'Cronog. e Histog.'!EI:EI),"")</f>
        <v>0</v>
      </c>
    </row>
    <row r="394" spans="2:66" ht="12" hidden="1" customHeight="1" outlineLevel="1">
      <c r="B394" s="76">
        <v>388</v>
      </c>
      <c r="C394" s="143" t="str">
        <f>IFERROR(VLOOKUP(B394,'Cronog. e Histog.'!$BZ$213:$CA$747,2,0),"")</f>
        <v>AN PL. ENG/ARQ</v>
      </c>
      <c r="D394" s="144">
        <f t="shared" si="6"/>
        <v>0</v>
      </c>
      <c r="E394" s="144">
        <f t="shared" si="7"/>
        <v>0</v>
      </c>
      <c r="F394" s="65"/>
      <c r="G394" s="144">
        <f>IFERROR(_xlfn.XLOOKUP($B394,'Cronog. e Histog.'!$BZ:$BZ,'Cronog. e Histog.'!CB:CB),"")</f>
        <v>0</v>
      </c>
      <c r="H394" s="144">
        <f>IFERROR(_xlfn.XLOOKUP($B394,'Cronog. e Histog.'!$BZ:$BZ,'Cronog. e Histog.'!CC:CC),"")</f>
        <v>0</v>
      </c>
      <c r="I394" s="144">
        <f>IFERROR(_xlfn.XLOOKUP($B394,'Cronog. e Histog.'!$BZ:$BZ,'Cronog. e Histog.'!CD:CD),"")</f>
        <v>0</v>
      </c>
      <c r="J394" s="144">
        <f>IFERROR(_xlfn.XLOOKUP($B394,'Cronog. e Histog.'!$BZ:$BZ,'Cronog. e Histog.'!CE:CE),"")</f>
        <v>0</v>
      </c>
      <c r="K394" s="144">
        <f>IFERROR(_xlfn.XLOOKUP($B394,'Cronog. e Histog.'!$BZ:$BZ,'Cronog. e Histog.'!CF:CF),"")</f>
        <v>0</v>
      </c>
      <c r="L394" s="144">
        <f>IFERROR(_xlfn.XLOOKUP($B394,'Cronog. e Histog.'!$BZ:$BZ,'Cronog. e Histog.'!CG:CG),"")</f>
        <v>0</v>
      </c>
      <c r="M394" s="144">
        <f>IFERROR(_xlfn.XLOOKUP($B394,'Cronog. e Histog.'!$BZ:$BZ,'Cronog. e Histog.'!CH:CH),"")</f>
        <v>0</v>
      </c>
      <c r="N394" s="144">
        <f>IFERROR(_xlfn.XLOOKUP($B394,'Cronog. e Histog.'!$BZ:$BZ,'Cronog. e Histog.'!CI:CI),"")</f>
        <v>0</v>
      </c>
      <c r="O394" s="144">
        <f>IFERROR(_xlfn.XLOOKUP($B394,'Cronog. e Histog.'!$BZ:$BZ,'Cronog. e Histog.'!CJ:CJ),"")</f>
        <v>0</v>
      </c>
      <c r="P394" s="144">
        <f>IFERROR(_xlfn.XLOOKUP($B394,'Cronog. e Histog.'!$BZ:$BZ,'Cronog. e Histog.'!CK:CK),"")</f>
        <v>0</v>
      </c>
      <c r="Q394" s="144">
        <f>IFERROR(_xlfn.XLOOKUP($B394,'Cronog. e Histog.'!$BZ:$BZ,'Cronog. e Histog.'!CL:CL),"")</f>
        <v>0</v>
      </c>
      <c r="R394" s="144">
        <f>IFERROR(_xlfn.XLOOKUP($B394,'Cronog. e Histog.'!$BZ:$BZ,'Cronog. e Histog.'!CM:CM),"")</f>
        <v>0</v>
      </c>
      <c r="S394" s="144">
        <f>IFERROR(_xlfn.XLOOKUP($B394,'Cronog. e Histog.'!$BZ:$BZ,'Cronog. e Histog.'!CN:CN),"")</f>
        <v>0</v>
      </c>
      <c r="T394" s="144">
        <f>IFERROR(_xlfn.XLOOKUP($B394,'Cronog. e Histog.'!$BZ:$BZ,'Cronog. e Histog.'!CO:CO),"")</f>
        <v>0</v>
      </c>
      <c r="U394" s="144">
        <f>IFERROR(_xlfn.XLOOKUP($B394,'Cronog. e Histog.'!$BZ:$BZ,'Cronog. e Histog.'!CP:CP),"")</f>
        <v>0</v>
      </c>
      <c r="V394" s="144">
        <f>IFERROR(_xlfn.XLOOKUP($B394,'Cronog. e Histog.'!$BZ:$BZ,'Cronog. e Histog.'!CQ:CQ),"")</f>
        <v>0</v>
      </c>
      <c r="W394" s="144">
        <f>IFERROR(_xlfn.XLOOKUP($B394,'Cronog. e Histog.'!$BZ:$BZ,'Cronog. e Histog.'!CR:CR),"")</f>
        <v>0</v>
      </c>
      <c r="X394" s="144">
        <f>IFERROR(_xlfn.XLOOKUP($B394,'Cronog. e Histog.'!$BZ:$BZ,'Cronog. e Histog.'!CS:CS),"")</f>
        <v>0</v>
      </c>
      <c r="Y394" s="144">
        <f>IFERROR(_xlfn.XLOOKUP($B394,'Cronog. e Histog.'!$BZ:$BZ,'Cronog. e Histog.'!CT:CT),"")</f>
        <v>0</v>
      </c>
      <c r="Z394" s="144">
        <f>IFERROR(_xlfn.XLOOKUP($B394,'Cronog. e Histog.'!$BZ:$BZ,'Cronog. e Histog.'!CU:CU),"")</f>
        <v>0</v>
      </c>
      <c r="AA394" s="144">
        <f>IFERROR(_xlfn.XLOOKUP($B394,'Cronog. e Histog.'!$BZ:$BZ,'Cronog. e Histog.'!CV:CV),"")</f>
        <v>0</v>
      </c>
      <c r="AB394" s="144">
        <f>IFERROR(_xlfn.XLOOKUP($B394,'Cronog. e Histog.'!$BZ:$BZ,'Cronog. e Histog.'!CW:CW),"")</f>
        <v>0</v>
      </c>
      <c r="AC394" s="144">
        <f>IFERROR(_xlfn.XLOOKUP($B394,'Cronog. e Histog.'!$BZ:$BZ,'Cronog. e Histog.'!CX:CX),"")</f>
        <v>0</v>
      </c>
      <c r="AD394" s="144">
        <f>IFERROR(_xlfn.XLOOKUP($B394,'Cronog. e Histog.'!$BZ:$BZ,'Cronog. e Histog.'!CY:CY),"")</f>
        <v>0</v>
      </c>
      <c r="AE394" s="144">
        <f>IFERROR(_xlfn.XLOOKUP($B394,'Cronog. e Histog.'!$BZ:$BZ,'Cronog. e Histog.'!CZ:CZ),"")</f>
        <v>0</v>
      </c>
      <c r="AF394" s="144">
        <f>IFERROR(_xlfn.XLOOKUP($B394,'Cronog. e Histog.'!$BZ:$BZ,'Cronog. e Histog.'!DA:DA),"")</f>
        <v>0</v>
      </c>
      <c r="AG394" s="144">
        <f>IFERROR(_xlfn.XLOOKUP($B394,'Cronog. e Histog.'!$BZ:$BZ,'Cronog. e Histog.'!DB:DB),"")</f>
        <v>0</v>
      </c>
      <c r="AH394" s="144">
        <f>IFERROR(_xlfn.XLOOKUP($B394,'Cronog. e Histog.'!$BZ:$BZ,'Cronog. e Histog.'!DC:DC),"")</f>
        <v>0</v>
      </c>
      <c r="AI394" s="144">
        <f>IFERROR(_xlfn.XLOOKUP($B394,'Cronog. e Histog.'!$BZ:$BZ,'Cronog. e Histog.'!DD:DD),"")</f>
        <v>0</v>
      </c>
      <c r="AJ394" s="144">
        <f>IFERROR(_xlfn.XLOOKUP($B394,'Cronog. e Histog.'!$BZ:$BZ,'Cronog. e Histog.'!DE:DE),"")</f>
        <v>0</v>
      </c>
      <c r="AK394" s="144">
        <f>IFERROR(_xlfn.XLOOKUP($B394,'Cronog. e Histog.'!$BZ:$BZ,'Cronog. e Histog.'!DF:DF),"")</f>
        <v>0</v>
      </c>
      <c r="AL394" s="144">
        <f>IFERROR(_xlfn.XLOOKUP($B394,'Cronog. e Histog.'!$BZ:$BZ,'Cronog. e Histog.'!DG:DG),"")</f>
        <v>0</v>
      </c>
      <c r="AM394" s="144">
        <f>IFERROR(_xlfn.XLOOKUP($B394,'Cronog. e Histog.'!$BZ:$BZ,'Cronog. e Histog.'!DH:DH),"")</f>
        <v>0</v>
      </c>
      <c r="AN394" s="144">
        <f>IFERROR(_xlfn.XLOOKUP($B394,'Cronog. e Histog.'!$BZ:$BZ,'Cronog. e Histog.'!DI:DI),"")</f>
        <v>0</v>
      </c>
      <c r="AO394" s="144">
        <f>IFERROR(_xlfn.XLOOKUP($B394,'Cronog. e Histog.'!$BZ:$BZ,'Cronog. e Histog.'!DJ:DJ),"")</f>
        <v>0</v>
      </c>
      <c r="AP394" s="144">
        <f>IFERROR(_xlfn.XLOOKUP($B394,'Cronog. e Histog.'!$BZ:$BZ,'Cronog. e Histog.'!DK:DK),"")</f>
        <v>0</v>
      </c>
      <c r="AQ394" s="144">
        <f>IFERROR(_xlfn.XLOOKUP($B394,'Cronog. e Histog.'!$BZ:$BZ,'Cronog. e Histog.'!DL:DL),"")</f>
        <v>0</v>
      </c>
      <c r="AR394" s="144">
        <f>IFERROR(_xlfn.XLOOKUP($B394,'Cronog. e Histog.'!$BZ:$BZ,'Cronog. e Histog.'!DM:DM),"")</f>
        <v>0</v>
      </c>
      <c r="AS394" s="144">
        <f>IFERROR(_xlfn.XLOOKUP($B394,'Cronog. e Histog.'!$BZ:$BZ,'Cronog. e Histog.'!DN:DN),"")</f>
        <v>0</v>
      </c>
      <c r="AT394" s="144">
        <f>IFERROR(_xlfn.XLOOKUP($B394,'Cronog. e Histog.'!$BZ:$BZ,'Cronog. e Histog.'!DO:DO),"")</f>
        <v>0</v>
      </c>
      <c r="AU394" s="144">
        <f>IFERROR(_xlfn.XLOOKUP($B394,'Cronog. e Histog.'!$BZ:$BZ,'Cronog. e Histog.'!DP:DP),"")</f>
        <v>0</v>
      </c>
      <c r="AV394" s="144">
        <f>IFERROR(_xlfn.XLOOKUP($B394,'Cronog. e Histog.'!$BZ:$BZ,'Cronog. e Histog.'!DQ:DQ),"")</f>
        <v>0</v>
      </c>
      <c r="AW394" s="144">
        <f>IFERROR(_xlfn.XLOOKUP($B394,'Cronog. e Histog.'!$BZ:$BZ,'Cronog. e Histog.'!DR:DR),"")</f>
        <v>0</v>
      </c>
      <c r="AX394" s="144">
        <f>IFERROR(_xlfn.XLOOKUP($B394,'Cronog. e Histog.'!$BZ:$BZ,'Cronog. e Histog.'!DS:DS),"")</f>
        <v>0</v>
      </c>
      <c r="AY394" s="144">
        <f>IFERROR(_xlfn.XLOOKUP($B394,'Cronog. e Histog.'!$BZ:$BZ,'Cronog. e Histog.'!DT:DT),"")</f>
        <v>0</v>
      </c>
      <c r="AZ394" s="144">
        <f>IFERROR(_xlfn.XLOOKUP($B394,'Cronog. e Histog.'!$BZ:$BZ,'Cronog. e Histog.'!DU:DU),"")</f>
        <v>0</v>
      </c>
      <c r="BA394" s="144">
        <f>IFERROR(_xlfn.XLOOKUP($B394,'Cronog. e Histog.'!$BZ:$BZ,'Cronog. e Histog.'!DV:DV),"")</f>
        <v>0</v>
      </c>
      <c r="BB394" s="144">
        <f>IFERROR(_xlfn.XLOOKUP($B394,'Cronog. e Histog.'!$BZ:$BZ,'Cronog. e Histog.'!DW:DW),"")</f>
        <v>0</v>
      </c>
      <c r="BC394" s="144">
        <f>IFERROR(_xlfn.XLOOKUP($B394,'Cronog. e Histog.'!$BZ:$BZ,'Cronog. e Histog.'!DX:DX),"")</f>
        <v>0</v>
      </c>
      <c r="BD394" s="144">
        <f>IFERROR(_xlfn.XLOOKUP($B394,'Cronog. e Histog.'!$BZ:$BZ,'Cronog. e Histog.'!DY:DY),"")</f>
        <v>0</v>
      </c>
      <c r="BE394" s="144">
        <f>IFERROR(_xlfn.XLOOKUP($B394,'Cronog. e Histog.'!$BZ:$BZ,'Cronog. e Histog.'!DZ:DZ),"")</f>
        <v>0</v>
      </c>
      <c r="BF394" s="144">
        <f>IFERROR(_xlfn.XLOOKUP($B394,'Cronog. e Histog.'!$BZ:$BZ,'Cronog. e Histog.'!EA:EA),"")</f>
        <v>0</v>
      </c>
      <c r="BG394" s="144">
        <f>IFERROR(_xlfn.XLOOKUP($B394,'Cronog. e Histog.'!$BZ:$BZ,'Cronog. e Histog.'!EB:EB),"")</f>
        <v>0</v>
      </c>
      <c r="BH394" s="144">
        <f>IFERROR(_xlfn.XLOOKUP($B394,'Cronog. e Histog.'!$BZ:$BZ,'Cronog. e Histog.'!EC:EC),"")</f>
        <v>0</v>
      </c>
      <c r="BI394" s="144">
        <f>IFERROR(_xlfn.XLOOKUP($B394,'Cronog. e Histog.'!$BZ:$BZ,'Cronog. e Histog.'!ED:ED),"")</f>
        <v>0</v>
      </c>
      <c r="BJ394" s="144">
        <f>IFERROR(_xlfn.XLOOKUP($B394,'Cronog. e Histog.'!$BZ:$BZ,'Cronog. e Histog.'!EE:EE),"")</f>
        <v>0</v>
      </c>
      <c r="BK394" s="144">
        <f>IFERROR(_xlfn.XLOOKUP($B394,'Cronog. e Histog.'!$BZ:$BZ,'Cronog. e Histog.'!EF:EF),"")</f>
        <v>0</v>
      </c>
      <c r="BL394" s="144">
        <f>IFERROR(_xlfn.XLOOKUP($B394,'Cronog. e Histog.'!$BZ:$BZ,'Cronog. e Histog.'!EG:EG),"")</f>
        <v>0</v>
      </c>
      <c r="BM394" s="144">
        <f>IFERROR(_xlfn.XLOOKUP($B394,'Cronog. e Histog.'!$BZ:$BZ,'Cronog. e Histog.'!EH:EH),"")</f>
        <v>0</v>
      </c>
      <c r="BN394" s="144">
        <f>IFERROR(_xlfn.XLOOKUP($B394,'Cronog. e Histog.'!$BZ:$BZ,'Cronog. e Histog.'!EI:EI),"")</f>
        <v>0</v>
      </c>
    </row>
    <row r="395" spans="2:66" ht="12" hidden="1" customHeight="1" outlineLevel="1">
      <c r="B395" s="76">
        <v>389</v>
      </c>
      <c r="C395" s="143" t="str">
        <f>IFERROR(VLOOKUP(B395,'Cronog. e Histog.'!$BZ$213:$CA$747,2,0),"")</f>
        <v>AN JR. ENG/ARQ</v>
      </c>
      <c r="D395" s="144">
        <f t="shared" si="6"/>
        <v>0</v>
      </c>
      <c r="E395" s="144">
        <f t="shared" si="7"/>
        <v>0</v>
      </c>
      <c r="F395" s="65"/>
      <c r="G395" s="144">
        <f>IFERROR(_xlfn.XLOOKUP($B395,'Cronog. e Histog.'!$BZ:$BZ,'Cronog. e Histog.'!CB:CB),"")</f>
        <v>0</v>
      </c>
      <c r="H395" s="144">
        <f>IFERROR(_xlfn.XLOOKUP($B395,'Cronog. e Histog.'!$BZ:$BZ,'Cronog. e Histog.'!CC:CC),"")</f>
        <v>0</v>
      </c>
      <c r="I395" s="144">
        <f>IFERROR(_xlfn.XLOOKUP($B395,'Cronog. e Histog.'!$BZ:$BZ,'Cronog. e Histog.'!CD:CD),"")</f>
        <v>0</v>
      </c>
      <c r="J395" s="144">
        <f>IFERROR(_xlfn.XLOOKUP($B395,'Cronog. e Histog.'!$BZ:$BZ,'Cronog. e Histog.'!CE:CE),"")</f>
        <v>0</v>
      </c>
      <c r="K395" s="144">
        <f>IFERROR(_xlfn.XLOOKUP($B395,'Cronog. e Histog.'!$BZ:$BZ,'Cronog. e Histog.'!CF:CF),"")</f>
        <v>0</v>
      </c>
      <c r="L395" s="144">
        <f>IFERROR(_xlfn.XLOOKUP($B395,'Cronog. e Histog.'!$BZ:$BZ,'Cronog. e Histog.'!CG:CG),"")</f>
        <v>0</v>
      </c>
      <c r="M395" s="144">
        <f>IFERROR(_xlfn.XLOOKUP($B395,'Cronog. e Histog.'!$BZ:$BZ,'Cronog. e Histog.'!CH:CH),"")</f>
        <v>0</v>
      </c>
      <c r="N395" s="144">
        <f>IFERROR(_xlfn.XLOOKUP($B395,'Cronog. e Histog.'!$BZ:$BZ,'Cronog. e Histog.'!CI:CI),"")</f>
        <v>0</v>
      </c>
      <c r="O395" s="144">
        <f>IFERROR(_xlfn.XLOOKUP($B395,'Cronog. e Histog.'!$BZ:$BZ,'Cronog. e Histog.'!CJ:CJ),"")</f>
        <v>0</v>
      </c>
      <c r="P395" s="144">
        <f>IFERROR(_xlfn.XLOOKUP($B395,'Cronog. e Histog.'!$BZ:$BZ,'Cronog. e Histog.'!CK:CK),"")</f>
        <v>0</v>
      </c>
      <c r="Q395" s="144">
        <f>IFERROR(_xlfn.XLOOKUP($B395,'Cronog. e Histog.'!$BZ:$BZ,'Cronog. e Histog.'!CL:CL),"")</f>
        <v>0</v>
      </c>
      <c r="R395" s="144">
        <f>IFERROR(_xlfn.XLOOKUP($B395,'Cronog. e Histog.'!$BZ:$BZ,'Cronog. e Histog.'!CM:CM),"")</f>
        <v>0</v>
      </c>
      <c r="S395" s="144">
        <f>IFERROR(_xlfn.XLOOKUP($B395,'Cronog. e Histog.'!$BZ:$BZ,'Cronog. e Histog.'!CN:CN),"")</f>
        <v>0</v>
      </c>
      <c r="T395" s="144">
        <f>IFERROR(_xlfn.XLOOKUP($B395,'Cronog. e Histog.'!$BZ:$BZ,'Cronog. e Histog.'!CO:CO),"")</f>
        <v>0</v>
      </c>
      <c r="U395" s="144">
        <f>IFERROR(_xlfn.XLOOKUP($B395,'Cronog. e Histog.'!$BZ:$BZ,'Cronog. e Histog.'!CP:CP),"")</f>
        <v>0</v>
      </c>
      <c r="V395" s="144">
        <f>IFERROR(_xlfn.XLOOKUP($B395,'Cronog. e Histog.'!$BZ:$BZ,'Cronog. e Histog.'!CQ:CQ),"")</f>
        <v>0</v>
      </c>
      <c r="W395" s="144">
        <f>IFERROR(_xlfn.XLOOKUP($B395,'Cronog. e Histog.'!$BZ:$BZ,'Cronog. e Histog.'!CR:CR),"")</f>
        <v>0</v>
      </c>
      <c r="X395" s="144">
        <f>IFERROR(_xlfn.XLOOKUP($B395,'Cronog. e Histog.'!$BZ:$BZ,'Cronog. e Histog.'!CS:CS),"")</f>
        <v>0</v>
      </c>
      <c r="Y395" s="144">
        <f>IFERROR(_xlfn.XLOOKUP($B395,'Cronog. e Histog.'!$BZ:$BZ,'Cronog. e Histog.'!CT:CT),"")</f>
        <v>0</v>
      </c>
      <c r="Z395" s="144">
        <f>IFERROR(_xlfn.XLOOKUP($B395,'Cronog. e Histog.'!$BZ:$BZ,'Cronog. e Histog.'!CU:CU),"")</f>
        <v>0</v>
      </c>
      <c r="AA395" s="144">
        <f>IFERROR(_xlfn.XLOOKUP($B395,'Cronog. e Histog.'!$BZ:$BZ,'Cronog. e Histog.'!CV:CV),"")</f>
        <v>0</v>
      </c>
      <c r="AB395" s="144">
        <f>IFERROR(_xlfn.XLOOKUP($B395,'Cronog. e Histog.'!$BZ:$BZ,'Cronog. e Histog.'!CW:CW),"")</f>
        <v>0</v>
      </c>
      <c r="AC395" s="144">
        <f>IFERROR(_xlfn.XLOOKUP($B395,'Cronog. e Histog.'!$BZ:$BZ,'Cronog. e Histog.'!CX:CX),"")</f>
        <v>0</v>
      </c>
      <c r="AD395" s="144">
        <f>IFERROR(_xlfn.XLOOKUP($B395,'Cronog. e Histog.'!$BZ:$BZ,'Cronog. e Histog.'!CY:CY),"")</f>
        <v>0</v>
      </c>
      <c r="AE395" s="144">
        <f>IFERROR(_xlfn.XLOOKUP($B395,'Cronog. e Histog.'!$BZ:$BZ,'Cronog. e Histog.'!CZ:CZ),"")</f>
        <v>0</v>
      </c>
      <c r="AF395" s="144">
        <f>IFERROR(_xlfn.XLOOKUP($B395,'Cronog. e Histog.'!$BZ:$BZ,'Cronog. e Histog.'!DA:DA),"")</f>
        <v>0</v>
      </c>
      <c r="AG395" s="144">
        <f>IFERROR(_xlfn.XLOOKUP($B395,'Cronog. e Histog.'!$BZ:$BZ,'Cronog. e Histog.'!DB:DB),"")</f>
        <v>0</v>
      </c>
      <c r="AH395" s="144">
        <f>IFERROR(_xlfn.XLOOKUP($B395,'Cronog. e Histog.'!$BZ:$BZ,'Cronog. e Histog.'!DC:DC),"")</f>
        <v>0</v>
      </c>
      <c r="AI395" s="144">
        <f>IFERROR(_xlfn.XLOOKUP($B395,'Cronog. e Histog.'!$BZ:$BZ,'Cronog. e Histog.'!DD:DD),"")</f>
        <v>0</v>
      </c>
      <c r="AJ395" s="144">
        <f>IFERROR(_xlfn.XLOOKUP($B395,'Cronog. e Histog.'!$BZ:$BZ,'Cronog. e Histog.'!DE:DE),"")</f>
        <v>0</v>
      </c>
      <c r="AK395" s="144">
        <f>IFERROR(_xlfn.XLOOKUP($B395,'Cronog. e Histog.'!$BZ:$BZ,'Cronog. e Histog.'!DF:DF),"")</f>
        <v>0</v>
      </c>
      <c r="AL395" s="144">
        <f>IFERROR(_xlfn.XLOOKUP($B395,'Cronog. e Histog.'!$BZ:$BZ,'Cronog. e Histog.'!DG:DG),"")</f>
        <v>0</v>
      </c>
      <c r="AM395" s="144">
        <f>IFERROR(_xlfn.XLOOKUP($B395,'Cronog. e Histog.'!$BZ:$BZ,'Cronog. e Histog.'!DH:DH),"")</f>
        <v>0</v>
      </c>
      <c r="AN395" s="144">
        <f>IFERROR(_xlfn.XLOOKUP($B395,'Cronog. e Histog.'!$BZ:$BZ,'Cronog. e Histog.'!DI:DI),"")</f>
        <v>0</v>
      </c>
      <c r="AO395" s="144">
        <f>IFERROR(_xlfn.XLOOKUP($B395,'Cronog. e Histog.'!$BZ:$BZ,'Cronog. e Histog.'!DJ:DJ),"")</f>
        <v>0</v>
      </c>
      <c r="AP395" s="144">
        <f>IFERROR(_xlfn.XLOOKUP($B395,'Cronog. e Histog.'!$BZ:$BZ,'Cronog. e Histog.'!DK:DK),"")</f>
        <v>0</v>
      </c>
      <c r="AQ395" s="144">
        <f>IFERROR(_xlfn.XLOOKUP($B395,'Cronog. e Histog.'!$BZ:$BZ,'Cronog. e Histog.'!DL:DL),"")</f>
        <v>0</v>
      </c>
      <c r="AR395" s="144">
        <f>IFERROR(_xlfn.XLOOKUP($B395,'Cronog. e Histog.'!$BZ:$BZ,'Cronog. e Histog.'!DM:DM),"")</f>
        <v>0</v>
      </c>
      <c r="AS395" s="144">
        <f>IFERROR(_xlfn.XLOOKUP($B395,'Cronog. e Histog.'!$BZ:$BZ,'Cronog. e Histog.'!DN:DN),"")</f>
        <v>0</v>
      </c>
      <c r="AT395" s="144">
        <f>IFERROR(_xlfn.XLOOKUP($B395,'Cronog. e Histog.'!$BZ:$BZ,'Cronog. e Histog.'!DO:DO),"")</f>
        <v>0</v>
      </c>
      <c r="AU395" s="144">
        <f>IFERROR(_xlfn.XLOOKUP($B395,'Cronog. e Histog.'!$BZ:$BZ,'Cronog. e Histog.'!DP:DP),"")</f>
        <v>0</v>
      </c>
      <c r="AV395" s="144">
        <f>IFERROR(_xlfn.XLOOKUP($B395,'Cronog. e Histog.'!$BZ:$BZ,'Cronog. e Histog.'!DQ:DQ),"")</f>
        <v>0</v>
      </c>
      <c r="AW395" s="144">
        <f>IFERROR(_xlfn.XLOOKUP($B395,'Cronog. e Histog.'!$BZ:$BZ,'Cronog. e Histog.'!DR:DR),"")</f>
        <v>0</v>
      </c>
      <c r="AX395" s="144">
        <f>IFERROR(_xlfn.XLOOKUP($B395,'Cronog. e Histog.'!$BZ:$BZ,'Cronog. e Histog.'!DS:DS),"")</f>
        <v>0</v>
      </c>
      <c r="AY395" s="144">
        <f>IFERROR(_xlfn.XLOOKUP($B395,'Cronog. e Histog.'!$BZ:$BZ,'Cronog. e Histog.'!DT:DT),"")</f>
        <v>0</v>
      </c>
      <c r="AZ395" s="144">
        <f>IFERROR(_xlfn.XLOOKUP($B395,'Cronog. e Histog.'!$BZ:$BZ,'Cronog. e Histog.'!DU:DU),"")</f>
        <v>0</v>
      </c>
      <c r="BA395" s="144">
        <f>IFERROR(_xlfn.XLOOKUP($B395,'Cronog. e Histog.'!$BZ:$BZ,'Cronog. e Histog.'!DV:DV),"")</f>
        <v>0</v>
      </c>
      <c r="BB395" s="144">
        <f>IFERROR(_xlfn.XLOOKUP($B395,'Cronog. e Histog.'!$BZ:$BZ,'Cronog. e Histog.'!DW:DW),"")</f>
        <v>0</v>
      </c>
      <c r="BC395" s="144">
        <f>IFERROR(_xlfn.XLOOKUP($B395,'Cronog. e Histog.'!$BZ:$BZ,'Cronog. e Histog.'!DX:DX),"")</f>
        <v>0</v>
      </c>
      <c r="BD395" s="144">
        <f>IFERROR(_xlfn.XLOOKUP($B395,'Cronog. e Histog.'!$BZ:$BZ,'Cronog. e Histog.'!DY:DY),"")</f>
        <v>0</v>
      </c>
      <c r="BE395" s="144">
        <f>IFERROR(_xlfn.XLOOKUP($B395,'Cronog. e Histog.'!$BZ:$BZ,'Cronog. e Histog.'!DZ:DZ),"")</f>
        <v>0</v>
      </c>
      <c r="BF395" s="144">
        <f>IFERROR(_xlfn.XLOOKUP($B395,'Cronog. e Histog.'!$BZ:$BZ,'Cronog. e Histog.'!EA:EA),"")</f>
        <v>0</v>
      </c>
      <c r="BG395" s="144">
        <f>IFERROR(_xlfn.XLOOKUP($B395,'Cronog. e Histog.'!$BZ:$BZ,'Cronog. e Histog.'!EB:EB),"")</f>
        <v>0</v>
      </c>
      <c r="BH395" s="144">
        <f>IFERROR(_xlfn.XLOOKUP($B395,'Cronog. e Histog.'!$BZ:$BZ,'Cronog. e Histog.'!EC:EC),"")</f>
        <v>0</v>
      </c>
      <c r="BI395" s="144">
        <f>IFERROR(_xlfn.XLOOKUP($B395,'Cronog. e Histog.'!$BZ:$BZ,'Cronog. e Histog.'!ED:ED),"")</f>
        <v>0</v>
      </c>
      <c r="BJ395" s="144">
        <f>IFERROR(_xlfn.XLOOKUP($B395,'Cronog. e Histog.'!$BZ:$BZ,'Cronog. e Histog.'!EE:EE),"")</f>
        <v>0</v>
      </c>
      <c r="BK395" s="144">
        <f>IFERROR(_xlfn.XLOOKUP($B395,'Cronog. e Histog.'!$BZ:$BZ,'Cronog. e Histog.'!EF:EF),"")</f>
        <v>0</v>
      </c>
      <c r="BL395" s="144">
        <f>IFERROR(_xlfn.XLOOKUP($B395,'Cronog. e Histog.'!$BZ:$BZ,'Cronog. e Histog.'!EG:EG),"")</f>
        <v>0</v>
      </c>
      <c r="BM395" s="144">
        <f>IFERROR(_xlfn.XLOOKUP($B395,'Cronog. e Histog.'!$BZ:$BZ,'Cronog. e Histog.'!EH:EH),"")</f>
        <v>0</v>
      </c>
      <c r="BN395" s="144">
        <f>IFERROR(_xlfn.XLOOKUP($B395,'Cronog. e Histog.'!$BZ:$BZ,'Cronog. e Histog.'!EI:EI),"")</f>
        <v>0</v>
      </c>
    </row>
    <row r="396" spans="2:66" ht="12" hidden="1" customHeight="1" outlineLevel="1">
      <c r="B396" s="76">
        <v>390</v>
      </c>
      <c r="C396" s="143" t="str">
        <f>IFERROR(VLOOKUP(B396,'Cronog. e Histog.'!$BZ$213:$CA$747,2,0),"")</f>
        <v>AN SR. ADM/CRP</v>
      </c>
      <c r="D396" s="144">
        <f t="shared" si="6"/>
        <v>0</v>
      </c>
      <c r="E396" s="144">
        <f t="shared" si="7"/>
        <v>0</v>
      </c>
      <c r="F396" s="65"/>
      <c r="G396" s="144">
        <f>IFERROR(_xlfn.XLOOKUP($B396,'Cronog. e Histog.'!$BZ:$BZ,'Cronog. e Histog.'!CB:CB),"")</f>
        <v>0</v>
      </c>
      <c r="H396" s="144">
        <f>IFERROR(_xlfn.XLOOKUP($B396,'Cronog. e Histog.'!$BZ:$BZ,'Cronog. e Histog.'!CC:CC),"")</f>
        <v>0</v>
      </c>
      <c r="I396" s="144">
        <f>IFERROR(_xlfn.XLOOKUP($B396,'Cronog. e Histog.'!$BZ:$BZ,'Cronog. e Histog.'!CD:CD),"")</f>
        <v>0</v>
      </c>
      <c r="J396" s="144">
        <f>IFERROR(_xlfn.XLOOKUP($B396,'Cronog. e Histog.'!$BZ:$BZ,'Cronog. e Histog.'!CE:CE),"")</f>
        <v>0</v>
      </c>
      <c r="K396" s="144">
        <f>IFERROR(_xlfn.XLOOKUP($B396,'Cronog. e Histog.'!$BZ:$BZ,'Cronog. e Histog.'!CF:CF),"")</f>
        <v>0</v>
      </c>
      <c r="L396" s="144">
        <f>IFERROR(_xlfn.XLOOKUP($B396,'Cronog. e Histog.'!$BZ:$BZ,'Cronog. e Histog.'!CG:CG),"")</f>
        <v>0</v>
      </c>
      <c r="M396" s="144">
        <f>IFERROR(_xlfn.XLOOKUP($B396,'Cronog. e Histog.'!$BZ:$BZ,'Cronog. e Histog.'!CH:CH),"")</f>
        <v>0</v>
      </c>
      <c r="N396" s="144">
        <f>IFERROR(_xlfn.XLOOKUP($B396,'Cronog. e Histog.'!$BZ:$BZ,'Cronog. e Histog.'!CI:CI),"")</f>
        <v>0</v>
      </c>
      <c r="O396" s="144">
        <f>IFERROR(_xlfn.XLOOKUP($B396,'Cronog. e Histog.'!$BZ:$BZ,'Cronog. e Histog.'!CJ:CJ),"")</f>
        <v>0</v>
      </c>
      <c r="P396" s="144">
        <f>IFERROR(_xlfn.XLOOKUP($B396,'Cronog. e Histog.'!$BZ:$BZ,'Cronog. e Histog.'!CK:CK),"")</f>
        <v>0</v>
      </c>
      <c r="Q396" s="144">
        <f>IFERROR(_xlfn.XLOOKUP($B396,'Cronog. e Histog.'!$BZ:$BZ,'Cronog. e Histog.'!CL:CL),"")</f>
        <v>0</v>
      </c>
      <c r="R396" s="144">
        <f>IFERROR(_xlfn.XLOOKUP($B396,'Cronog. e Histog.'!$BZ:$BZ,'Cronog. e Histog.'!CM:CM),"")</f>
        <v>0</v>
      </c>
      <c r="S396" s="144">
        <f>IFERROR(_xlfn.XLOOKUP($B396,'Cronog. e Histog.'!$BZ:$BZ,'Cronog. e Histog.'!CN:CN),"")</f>
        <v>0</v>
      </c>
      <c r="T396" s="144">
        <f>IFERROR(_xlfn.XLOOKUP($B396,'Cronog. e Histog.'!$BZ:$BZ,'Cronog. e Histog.'!CO:CO),"")</f>
        <v>0</v>
      </c>
      <c r="U396" s="144">
        <f>IFERROR(_xlfn.XLOOKUP($B396,'Cronog. e Histog.'!$BZ:$BZ,'Cronog. e Histog.'!CP:CP),"")</f>
        <v>0</v>
      </c>
      <c r="V396" s="144">
        <f>IFERROR(_xlfn.XLOOKUP($B396,'Cronog. e Histog.'!$BZ:$BZ,'Cronog. e Histog.'!CQ:CQ),"")</f>
        <v>0</v>
      </c>
      <c r="W396" s="144">
        <f>IFERROR(_xlfn.XLOOKUP($B396,'Cronog. e Histog.'!$BZ:$BZ,'Cronog. e Histog.'!CR:CR),"")</f>
        <v>0</v>
      </c>
      <c r="X396" s="144">
        <f>IFERROR(_xlfn.XLOOKUP($B396,'Cronog. e Histog.'!$BZ:$BZ,'Cronog. e Histog.'!CS:CS),"")</f>
        <v>0</v>
      </c>
      <c r="Y396" s="144">
        <f>IFERROR(_xlfn.XLOOKUP($B396,'Cronog. e Histog.'!$BZ:$BZ,'Cronog. e Histog.'!CT:CT),"")</f>
        <v>0</v>
      </c>
      <c r="Z396" s="144">
        <f>IFERROR(_xlfn.XLOOKUP($B396,'Cronog. e Histog.'!$BZ:$BZ,'Cronog. e Histog.'!CU:CU),"")</f>
        <v>0</v>
      </c>
      <c r="AA396" s="144">
        <f>IFERROR(_xlfn.XLOOKUP($B396,'Cronog. e Histog.'!$BZ:$BZ,'Cronog. e Histog.'!CV:CV),"")</f>
        <v>0</v>
      </c>
      <c r="AB396" s="144">
        <f>IFERROR(_xlfn.XLOOKUP($B396,'Cronog. e Histog.'!$BZ:$BZ,'Cronog. e Histog.'!CW:CW),"")</f>
        <v>0</v>
      </c>
      <c r="AC396" s="144">
        <f>IFERROR(_xlfn.XLOOKUP($B396,'Cronog. e Histog.'!$BZ:$BZ,'Cronog. e Histog.'!CX:CX),"")</f>
        <v>0</v>
      </c>
      <c r="AD396" s="144">
        <f>IFERROR(_xlfn.XLOOKUP($B396,'Cronog. e Histog.'!$BZ:$BZ,'Cronog. e Histog.'!CY:CY),"")</f>
        <v>0</v>
      </c>
      <c r="AE396" s="144">
        <f>IFERROR(_xlfn.XLOOKUP($B396,'Cronog. e Histog.'!$BZ:$BZ,'Cronog. e Histog.'!CZ:CZ),"")</f>
        <v>0</v>
      </c>
      <c r="AF396" s="144">
        <f>IFERROR(_xlfn.XLOOKUP($B396,'Cronog. e Histog.'!$BZ:$BZ,'Cronog. e Histog.'!DA:DA),"")</f>
        <v>0</v>
      </c>
      <c r="AG396" s="144">
        <f>IFERROR(_xlfn.XLOOKUP($B396,'Cronog. e Histog.'!$BZ:$BZ,'Cronog. e Histog.'!DB:DB),"")</f>
        <v>0</v>
      </c>
      <c r="AH396" s="144">
        <f>IFERROR(_xlfn.XLOOKUP($B396,'Cronog. e Histog.'!$BZ:$BZ,'Cronog. e Histog.'!DC:DC),"")</f>
        <v>0</v>
      </c>
      <c r="AI396" s="144">
        <f>IFERROR(_xlfn.XLOOKUP($B396,'Cronog. e Histog.'!$BZ:$BZ,'Cronog. e Histog.'!DD:DD),"")</f>
        <v>0</v>
      </c>
      <c r="AJ396" s="144">
        <f>IFERROR(_xlfn.XLOOKUP($B396,'Cronog. e Histog.'!$BZ:$BZ,'Cronog. e Histog.'!DE:DE),"")</f>
        <v>0</v>
      </c>
      <c r="AK396" s="144">
        <f>IFERROR(_xlfn.XLOOKUP($B396,'Cronog. e Histog.'!$BZ:$BZ,'Cronog. e Histog.'!DF:DF),"")</f>
        <v>0</v>
      </c>
      <c r="AL396" s="144">
        <f>IFERROR(_xlfn.XLOOKUP($B396,'Cronog. e Histog.'!$BZ:$BZ,'Cronog. e Histog.'!DG:DG),"")</f>
        <v>0</v>
      </c>
      <c r="AM396" s="144">
        <f>IFERROR(_xlfn.XLOOKUP($B396,'Cronog. e Histog.'!$BZ:$BZ,'Cronog. e Histog.'!DH:DH),"")</f>
        <v>0</v>
      </c>
      <c r="AN396" s="144">
        <f>IFERROR(_xlfn.XLOOKUP($B396,'Cronog. e Histog.'!$BZ:$BZ,'Cronog. e Histog.'!DI:DI),"")</f>
        <v>0</v>
      </c>
      <c r="AO396" s="144">
        <f>IFERROR(_xlfn.XLOOKUP($B396,'Cronog. e Histog.'!$BZ:$BZ,'Cronog. e Histog.'!DJ:DJ),"")</f>
        <v>0</v>
      </c>
      <c r="AP396" s="144">
        <f>IFERROR(_xlfn.XLOOKUP($B396,'Cronog. e Histog.'!$BZ:$BZ,'Cronog. e Histog.'!DK:DK),"")</f>
        <v>0</v>
      </c>
      <c r="AQ396" s="144">
        <f>IFERROR(_xlfn.XLOOKUP($B396,'Cronog. e Histog.'!$BZ:$BZ,'Cronog. e Histog.'!DL:DL),"")</f>
        <v>0</v>
      </c>
      <c r="AR396" s="144">
        <f>IFERROR(_xlfn.XLOOKUP($B396,'Cronog. e Histog.'!$BZ:$BZ,'Cronog. e Histog.'!DM:DM),"")</f>
        <v>0</v>
      </c>
      <c r="AS396" s="144">
        <f>IFERROR(_xlfn.XLOOKUP($B396,'Cronog. e Histog.'!$BZ:$BZ,'Cronog. e Histog.'!DN:DN),"")</f>
        <v>0</v>
      </c>
      <c r="AT396" s="144">
        <f>IFERROR(_xlfn.XLOOKUP($B396,'Cronog. e Histog.'!$BZ:$BZ,'Cronog. e Histog.'!DO:DO),"")</f>
        <v>0</v>
      </c>
      <c r="AU396" s="144">
        <f>IFERROR(_xlfn.XLOOKUP($B396,'Cronog. e Histog.'!$BZ:$BZ,'Cronog. e Histog.'!DP:DP),"")</f>
        <v>0</v>
      </c>
      <c r="AV396" s="144">
        <f>IFERROR(_xlfn.XLOOKUP($B396,'Cronog. e Histog.'!$BZ:$BZ,'Cronog. e Histog.'!DQ:DQ),"")</f>
        <v>0</v>
      </c>
      <c r="AW396" s="144">
        <f>IFERROR(_xlfn.XLOOKUP($B396,'Cronog. e Histog.'!$BZ:$BZ,'Cronog. e Histog.'!DR:DR),"")</f>
        <v>0</v>
      </c>
      <c r="AX396" s="144">
        <f>IFERROR(_xlfn.XLOOKUP($B396,'Cronog. e Histog.'!$BZ:$BZ,'Cronog. e Histog.'!DS:DS),"")</f>
        <v>0</v>
      </c>
      <c r="AY396" s="144">
        <f>IFERROR(_xlfn.XLOOKUP($B396,'Cronog. e Histog.'!$BZ:$BZ,'Cronog. e Histog.'!DT:DT),"")</f>
        <v>0</v>
      </c>
      <c r="AZ396" s="144">
        <f>IFERROR(_xlfn.XLOOKUP($B396,'Cronog. e Histog.'!$BZ:$BZ,'Cronog. e Histog.'!DU:DU),"")</f>
        <v>0</v>
      </c>
      <c r="BA396" s="144">
        <f>IFERROR(_xlfn.XLOOKUP($B396,'Cronog. e Histog.'!$BZ:$BZ,'Cronog. e Histog.'!DV:DV),"")</f>
        <v>0</v>
      </c>
      <c r="BB396" s="144">
        <f>IFERROR(_xlfn.XLOOKUP($B396,'Cronog. e Histog.'!$BZ:$BZ,'Cronog. e Histog.'!DW:DW),"")</f>
        <v>0</v>
      </c>
      <c r="BC396" s="144">
        <f>IFERROR(_xlfn.XLOOKUP($B396,'Cronog. e Histog.'!$BZ:$BZ,'Cronog. e Histog.'!DX:DX),"")</f>
        <v>0</v>
      </c>
      <c r="BD396" s="144">
        <f>IFERROR(_xlfn.XLOOKUP($B396,'Cronog. e Histog.'!$BZ:$BZ,'Cronog. e Histog.'!DY:DY),"")</f>
        <v>0</v>
      </c>
      <c r="BE396" s="144">
        <f>IFERROR(_xlfn.XLOOKUP($B396,'Cronog. e Histog.'!$BZ:$BZ,'Cronog. e Histog.'!DZ:DZ),"")</f>
        <v>0</v>
      </c>
      <c r="BF396" s="144">
        <f>IFERROR(_xlfn.XLOOKUP($B396,'Cronog. e Histog.'!$BZ:$BZ,'Cronog. e Histog.'!EA:EA),"")</f>
        <v>0</v>
      </c>
      <c r="BG396" s="144">
        <f>IFERROR(_xlfn.XLOOKUP($B396,'Cronog. e Histog.'!$BZ:$BZ,'Cronog. e Histog.'!EB:EB),"")</f>
        <v>0</v>
      </c>
      <c r="BH396" s="144">
        <f>IFERROR(_xlfn.XLOOKUP($B396,'Cronog. e Histog.'!$BZ:$BZ,'Cronog. e Histog.'!EC:EC),"")</f>
        <v>0</v>
      </c>
      <c r="BI396" s="144">
        <f>IFERROR(_xlfn.XLOOKUP($B396,'Cronog. e Histog.'!$BZ:$BZ,'Cronog. e Histog.'!ED:ED),"")</f>
        <v>0</v>
      </c>
      <c r="BJ396" s="144">
        <f>IFERROR(_xlfn.XLOOKUP($B396,'Cronog. e Histog.'!$BZ:$BZ,'Cronog. e Histog.'!EE:EE),"")</f>
        <v>0</v>
      </c>
      <c r="BK396" s="144">
        <f>IFERROR(_xlfn.XLOOKUP($B396,'Cronog. e Histog.'!$BZ:$BZ,'Cronog. e Histog.'!EF:EF),"")</f>
        <v>0</v>
      </c>
      <c r="BL396" s="144">
        <f>IFERROR(_xlfn.XLOOKUP($B396,'Cronog. e Histog.'!$BZ:$BZ,'Cronog. e Histog.'!EG:EG),"")</f>
        <v>0</v>
      </c>
      <c r="BM396" s="144">
        <f>IFERROR(_xlfn.XLOOKUP($B396,'Cronog. e Histog.'!$BZ:$BZ,'Cronog. e Histog.'!EH:EH),"")</f>
        <v>0</v>
      </c>
      <c r="BN396" s="144">
        <f>IFERROR(_xlfn.XLOOKUP($B396,'Cronog. e Histog.'!$BZ:$BZ,'Cronog. e Histog.'!EI:EI),"")</f>
        <v>0</v>
      </c>
    </row>
    <row r="397" spans="2:66" ht="12" hidden="1" customHeight="1" outlineLevel="1">
      <c r="B397" s="76">
        <v>391</v>
      </c>
      <c r="C397" s="143" t="str">
        <f>IFERROR(VLOOKUP(B397,'Cronog. e Histog.'!$BZ$213:$CA$747,2,0),"")</f>
        <v>AN PL. ADM/CRP</v>
      </c>
      <c r="D397" s="144">
        <f t="shared" si="6"/>
        <v>0</v>
      </c>
      <c r="E397" s="144">
        <f t="shared" si="7"/>
        <v>0</v>
      </c>
      <c r="F397" s="65"/>
      <c r="G397" s="144">
        <f>IFERROR(_xlfn.XLOOKUP($B397,'Cronog. e Histog.'!$BZ:$BZ,'Cronog. e Histog.'!CB:CB),"")</f>
        <v>0</v>
      </c>
      <c r="H397" s="144">
        <f>IFERROR(_xlfn.XLOOKUP($B397,'Cronog. e Histog.'!$BZ:$BZ,'Cronog. e Histog.'!CC:CC),"")</f>
        <v>0</v>
      </c>
      <c r="I397" s="144">
        <f>IFERROR(_xlfn.XLOOKUP($B397,'Cronog. e Histog.'!$BZ:$BZ,'Cronog. e Histog.'!CD:CD),"")</f>
        <v>0</v>
      </c>
      <c r="J397" s="144">
        <f>IFERROR(_xlfn.XLOOKUP($B397,'Cronog. e Histog.'!$BZ:$BZ,'Cronog. e Histog.'!CE:CE),"")</f>
        <v>0</v>
      </c>
      <c r="K397" s="144">
        <f>IFERROR(_xlfn.XLOOKUP($B397,'Cronog. e Histog.'!$BZ:$BZ,'Cronog. e Histog.'!CF:CF),"")</f>
        <v>0</v>
      </c>
      <c r="L397" s="144">
        <f>IFERROR(_xlfn.XLOOKUP($B397,'Cronog. e Histog.'!$BZ:$BZ,'Cronog. e Histog.'!CG:CG),"")</f>
        <v>0</v>
      </c>
      <c r="M397" s="144">
        <f>IFERROR(_xlfn.XLOOKUP($B397,'Cronog. e Histog.'!$BZ:$BZ,'Cronog. e Histog.'!CH:CH),"")</f>
        <v>0</v>
      </c>
      <c r="N397" s="144">
        <f>IFERROR(_xlfn.XLOOKUP($B397,'Cronog. e Histog.'!$BZ:$BZ,'Cronog. e Histog.'!CI:CI),"")</f>
        <v>0</v>
      </c>
      <c r="O397" s="144">
        <f>IFERROR(_xlfn.XLOOKUP($B397,'Cronog. e Histog.'!$BZ:$BZ,'Cronog. e Histog.'!CJ:CJ),"")</f>
        <v>0</v>
      </c>
      <c r="P397" s="144">
        <f>IFERROR(_xlfn.XLOOKUP($B397,'Cronog. e Histog.'!$BZ:$BZ,'Cronog. e Histog.'!CK:CK),"")</f>
        <v>0</v>
      </c>
      <c r="Q397" s="144">
        <f>IFERROR(_xlfn.XLOOKUP($B397,'Cronog. e Histog.'!$BZ:$BZ,'Cronog. e Histog.'!CL:CL),"")</f>
        <v>0</v>
      </c>
      <c r="R397" s="144">
        <f>IFERROR(_xlfn.XLOOKUP($B397,'Cronog. e Histog.'!$BZ:$BZ,'Cronog. e Histog.'!CM:CM),"")</f>
        <v>0</v>
      </c>
      <c r="S397" s="144">
        <f>IFERROR(_xlfn.XLOOKUP($B397,'Cronog. e Histog.'!$BZ:$BZ,'Cronog. e Histog.'!CN:CN),"")</f>
        <v>0</v>
      </c>
      <c r="T397" s="144">
        <f>IFERROR(_xlfn.XLOOKUP($B397,'Cronog. e Histog.'!$BZ:$BZ,'Cronog. e Histog.'!CO:CO),"")</f>
        <v>0</v>
      </c>
      <c r="U397" s="144">
        <f>IFERROR(_xlfn.XLOOKUP($B397,'Cronog. e Histog.'!$BZ:$BZ,'Cronog. e Histog.'!CP:CP),"")</f>
        <v>0</v>
      </c>
      <c r="V397" s="144">
        <f>IFERROR(_xlfn.XLOOKUP($B397,'Cronog. e Histog.'!$BZ:$BZ,'Cronog. e Histog.'!CQ:CQ),"")</f>
        <v>0</v>
      </c>
      <c r="W397" s="144">
        <f>IFERROR(_xlfn.XLOOKUP($B397,'Cronog. e Histog.'!$BZ:$BZ,'Cronog. e Histog.'!CR:CR),"")</f>
        <v>0</v>
      </c>
      <c r="X397" s="144">
        <f>IFERROR(_xlfn.XLOOKUP($B397,'Cronog. e Histog.'!$BZ:$BZ,'Cronog. e Histog.'!CS:CS),"")</f>
        <v>0</v>
      </c>
      <c r="Y397" s="144">
        <f>IFERROR(_xlfn.XLOOKUP($B397,'Cronog. e Histog.'!$BZ:$BZ,'Cronog. e Histog.'!CT:CT),"")</f>
        <v>0</v>
      </c>
      <c r="Z397" s="144">
        <f>IFERROR(_xlfn.XLOOKUP($B397,'Cronog. e Histog.'!$BZ:$BZ,'Cronog. e Histog.'!CU:CU),"")</f>
        <v>0</v>
      </c>
      <c r="AA397" s="144">
        <f>IFERROR(_xlfn.XLOOKUP($B397,'Cronog. e Histog.'!$BZ:$BZ,'Cronog. e Histog.'!CV:CV),"")</f>
        <v>0</v>
      </c>
      <c r="AB397" s="144">
        <f>IFERROR(_xlfn.XLOOKUP($B397,'Cronog. e Histog.'!$BZ:$BZ,'Cronog. e Histog.'!CW:CW),"")</f>
        <v>0</v>
      </c>
      <c r="AC397" s="144">
        <f>IFERROR(_xlfn.XLOOKUP($B397,'Cronog. e Histog.'!$BZ:$BZ,'Cronog. e Histog.'!CX:CX),"")</f>
        <v>0</v>
      </c>
      <c r="AD397" s="144">
        <f>IFERROR(_xlfn.XLOOKUP($B397,'Cronog. e Histog.'!$BZ:$BZ,'Cronog. e Histog.'!CY:CY),"")</f>
        <v>0</v>
      </c>
      <c r="AE397" s="144">
        <f>IFERROR(_xlfn.XLOOKUP($B397,'Cronog. e Histog.'!$BZ:$BZ,'Cronog. e Histog.'!CZ:CZ),"")</f>
        <v>0</v>
      </c>
      <c r="AF397" s="144">
        <f>IFERROR(_xlfn.XLOOKUP($B397,'Cronog. e Histog.'!$BZ:$BZ,'Cronog. e Histog.'!DA:DA),"")</f>
        <v>0</v>
      </c>
      <c r="AG397" s="144">
        <f>IFERROR(_xlfn.XLOOKUP($B397,'Cronog. e Histog.'!$BZ:$BZ,'Cronog. e Histog.'!DB:DB),"")</f>
        <v>0</v>
      </c>
      <c r="AH397" s="144">
        <f>IFERROR(_xlfn.XLOOKUP($B397,'Cronog. e Histog.'!$BZ:$BZ,'Cronog. e Histog.'!DC:DC),"")</f>
        <v>0</v>
      </c>
      <c r="AI397" s="144">
        <f>IFERROR(_xlfn.XLOOKUP($B397,'Cronog. e Histog.'!$BZ:$BZ,'Cronog. e Histog.'!DD:DD),"")</f>
        <v>0</v>
      </c>
      <c r="AJ397" s="144">
        <f>IFERROR(_xlfn.XLOOKUP($B397,'Cronog. e Histog.'!$BZ:$BZ,'Cronog. e Histog.'!DE:DE),"")</f>
        <v>0</v>
      </c>
      <c r="AK397" s="144">
        <f>IFERROR(_xlfn.XLOOKUP($B397,'Cronog. e Histog.'!$BZ:$BZ,'Cronog. e Histog.'!DF:DF),"")</f>
        <v>0</v>
      </c>
      <c r="AL397" s="144">
        <f>IFERROR(_xlfn.XLOOKUP($B397,'Cronog. e Histog.'!$BZ:$BZ,'Cronog. e Histog.'!DG:DG),"")</f>
        <v>0</v>
      </c>
      <c r="AM397" s="144">
        <f>IFERROR(_xlfn.XLOOKUP($B397,'Cronog. e Histog.'!$BZ:$BZ,'Cronog. e Histog.'!DH:DH),"")</f>
        <v>0</v>
      </c>
      <c r="AN397" s="144">
        <f>IFERROR(_xlfn.XLOOKUP($B397,'Cronog. e Histog.'!$BZ:$BZ,'Cronog. e Histog.'!DI:DI),"")</f>
        <v>0</v>
      </c>
      <c r="AO397" s="144">
        <f>IFERROR(_xlfn.XLOOKUP($B397,'Cronog. e Histog.'!$BZ:$BZ,'Cronog. e Histog.'!DJ:DJ),"")</f>
        <v>0</v>
      </c>
      <c r="AP397" s="144">
        <f>IFERROR(_xlfn.XLOOKUP($B397,'Cronog. e Histog.'!$BZ:$BZ,'Cronog. e Histog.'!DK:DK),"")</f>
        <v>0</v>
      </c>
      <c r="AQ397" s="144">
        <f>IFERROR(_xlfn.XLOOKUP($B397,'Cronog. e Histog.'!$BZ:$BZ,'Cronog. e Histog.'!DL:DL),"")</f>
        <v>0</v>
      </c>
      <c r="AR397" s="144">
        <f>IFERROR(_xlfn.XLOOKUP($B397,'Cronog. e Histog.'!$BZ:$BZ,'Cronog. e Histog.'!DM:DM),"")</f>
        <v>0</v>
      </c>
      <c r="AS397" s="144">
        <f>IFERROR(_xlfn.XLOOKUP($B397,'Cronog. e Histog.'!$BZ:$BZ,'Cronog. e Histog.'!DN:DN),"")</f>
        <v>0</v>
      </c>
      <c r="AT397" s="144">
        <f>IFERROR(_xlfn.XLOOKUP($B397,'Cronog. e Histog.'!$BZ:$BZ,'Cronog. e Histog.'!DO:DO),"")</f>
        <v>0</v>
      </c>
      <c r="AU397" s="144">
        <f>IFERROR(_xlfn.XLOOKUP($B397,'Cronog. e Histog.'!$BZ:$BZ,'Cronog. e Histog.'!DP:DP),"")</f>
        <v>0</v>
      </c>
      <c r="AV397" s="144">
        <f>IFERROR(_xlfn.XLOOKUP($B397,'Cronog. e Histog.'!$BZ:$BZ,'Cronog. e Histog.'!DQ:DQ),"")</f>
        <v>0</v>
      </c>
      <c r="AW397" s="144">
        <f>IFERROR(_xlfn.XLOOKUP($B397,'Cronog. e Histog.'!$BZ:$BZ,'Cronog. e Histog.'!DR:DR),"")</f>
        <v>0</v>
      </c>
      <c r="AX397" s="144">
        <f>IFERROR(_xlfn.XLOOKUP($B397,'Cronog. e Histog.'!$BZ:$BZ,'Cronog. e Histog.'!DS:DS),"")</f>
        <v>0</v>
      </c>
      <c r="AY397" s="144">
        <f>IFERROR(_xlfn.XLOOKUP($B397,'Cronog. e Histog.'!$BZ:$BZ,'Cronog. e Histog.'!DT:DT),"")</f>
        <v>0</v>
      </c>
      <c r="AZ397" s="144">
        <f>IFERROR(_xlfn.XLOOKUP($B397,'Cronog. e Histog.'!$BZ:$BZ,'Cronog. e Histog.'!DU:DU),"")</f>
        <v>0</v>
      </c>
      <c r="BA397" s="144">
        <f>IFERROR(_xlfn.XLOOKUP($B397,'Cronog. e Histog.'!$BZ:$BZ,'Cronog. e Histog.'!DV:DV),"")</f>
        <v>0</v>
      </c>
      <c r="BB397" s="144">
        <f>IFERROR(_xlfn.XLOOKUP($B397,'Cronog. e Histog.'!$BZ:$BZ,'Cronog. e Histog.'!DW:DW),"")</f>
        <v>0</v>
      </c>
      <c r="BC397" s="144">
        <f>IFERROR(_xlfn.XLOOKUP($B397,'Cronog. e Histog.'!$BZ:$BZ,'Cronog. e Histog.'!DX:DX),"")</f>
        <v>0</v>
      </c>
      <c r="BD397" s="144">
        <f>IFERROR(_xlfn.XLOOKUP($B397,'Cronog. e Histog.'!$BZ:$BZ,'Cronog. e Histog.'!DY:DY),"")</f>
        <v>0</v>
      </c>
      <c r="BE397" s="144">
        <f>IFERROR(_xlfn.XLOOKUP($B397,'Cronog. e Histog.'!$BZ:$BZ,'Cronog. e Histog.'!DZ:DZ),"")</f>
        <v>0</v>
      </c>
      <c r="BF397" s="144">
        <f>IFERROR(_xlfn.XLOOKUP($B397,'Cronog. e Histog.'!$BZ:$BZ,'Cronog. e Histog.'!EA:EA),"")</f>
        <v>0</v>
      </c>
      <c r="BG397" s="144">
        <f>IFERROR(_xlfn.XLOOKUP($B397,'Cronog. e Histog.'!$BZ:$BZ,'Cronog. e Histog.'!EB:EB),"")</f>
        <v>0</v>
      </c>
      <c r="BH397" s="144">
        <f>IFERROR(_xlfn.XLOOKUP($B397,'Cronog. e Histog.'!$BZ:$BZ,'Cronog. e Histog.'!EC:EC),"")</f>
        <v>0</v>
      </c>
      <c r="BI397" s="144">
        <f>IFERROR(_xlfn.XLOOKUP($B397,'Cronog. e Histog.'!$BZ:$BZ,'Cronog. e Histog.'!ED:ED),"")</f>
        <v>0</v>
      </c>
      <c r="BJ397" s="144">
        <f>IFERROR(_xlfn.XLOOKUP($B397,'Cronog. e Histog.'!$BZ:$BZ,'Cronog. e Histog.'!EE:EE),"")</f>
        <v>0</v>
      </c>
      <c r="BK397" s="144">
        <f>IFERROR(_xlfn.XLOOKUP($B397,'Cronog. e Histog.'!$BZ:$BZ,'Cronog. e Histog.'!EF:EF),"")</f>
        <v>0</v>
      </c>
      <c r="BL397" s="144">
        <f>IFERROR(_xlfn.XLOOKUP($B397,'Cronog. e Histog.'!$BZ:$BZ,'Cronog. e Histog.'!EG:EG),"")</f>
        <v>0</v>
      </c>
      <c r="BM397" s="144">
        <f>IFERROR(_xlfn.XLOOKUP($B397,'Cronog. e Histog.'!$BZ:$BZ,'Cronog. e Histog.'!EH:EH),"")</f>
        <v>0</v>
      </c>
      <c r="BN397" s="144">
        <f>IFERROR(_xlfn.XLOOKUP($B397,'Cronog. e Histog.'!$BZ:$BZ,'Cronog. e Histog.'!EI:EI),"")</f>
        <v>0</v>
      </c>
    </row>
    <row r="398" spans="2:66" ht="12" hidden="1" customHeight="1" outlineLevel="1">
      <c r="B398" s="76">
        <v>392</v>
      </c>
      <c r="C398" s="143" t="str">
        <f>IFERROR(VLOOKUP(B398,'Cronog. e Histog.'!$BZ$213:$CA$747,2,0),"")</f>
        <v>AN JR. ADM/CRP</v>
      </c>
      <c r="D398" s="144">
        <f t="shared" si="6"/>
        <v>0</v>
      </c>
      <c r="E398" s="144">
        <f t="shared" si="7"/>
        <v>0</v>
      </c>
      <c r="F398" s="65"/>
      <c r="G398" s="144">
        <f>IFERROR(_xlfn.XLOOKUP($B398,'Cronog. e Histog.'!$BZ:$BZ,'Cronog. e Histog.'!CB:CB),"")</f>
        <v>0</v>
      </c>
      <c r="H398" s="144">
        <f>IFERROR(_xlfn.XLOOKUP($B398,'Cronog. e Histog.'!$BZ:$BZ,'Cronog. e Histog.'!CC:CC),"")</f>
        <v>0</v>
      </c>
      <c r="I398" s="144">
        <f>IFERROR(_xlfn.XLOOKUP($B398,'Cronog. e Histog.'!$BZ:$BZ,'Cronog. e Histog.'!CD:CD),"")</f>
        <v>0</v>
      </c>
      <c r="J398" s="144">
        <f>IFERROR(_xlfn.XLOOKUP($B398,'Cronog. e Histog.'!$BZ:$BZ,'Cronog. e Histog.'!CE:CE),"")</f>
        <v>0</v>
      </c>
      <c r="K398" s="144">
        <f>IFERROR(_xlfn.XLOOKUP($B398,'Cronog. e Histog.'!$BZ:$BZ,'Cronog. e Histog.'!CF:CF),"")</f>
        <v>0</v>
      </c>
      <c r="L398" s="144">
        <f>IFERROR(_xlfn.XLOOKUP($B398,'Cronog. e Histog.'!$BZ:$BZ,'Cronog. e Histog.'!CG:CG),"")</f>
        <v>0</v>
      </c>
      <c r="M398" s="144">
        <f>IFERROR(_xlfn.XLOOKUP($B398,'Cronog. e Histog.'!$BZ:$BZ,'Cronog. e Histog.'!CH:CH),"")</f>
        <v>0</v>
      </c>
      <c r="N398" s="144">
        <f>IFERROR(_xlfn.XLOOKUP($B398,'Cronog. e Histog.'!$BZ:$BZ,'Cronog. e Histog.'!CI:CI),"")</f>
        <v>0</v>
      </c>
      <c r="O398" s="144">
        <f>IFERROR(_xlfn.XLOOKUP($B398,'Cronog. e Histog.'!$BZ:$BZ,'Cronog. e Histog.'!CJ:CJ),"")</f>
        <v>0</v>
      </c>
      <c r="P398" s="144">
        <f>IFERROR(_xlfn.XLOOKUP($B398,'Cronog. e Histog.'!$BZ:$BZ,'Cronog. e Histog.'!CK:CK),"")</f>
        <v>0</v>
      </c>
      <c r="Q398" s="144">
        <f>IFERROR(_xlfn.XLOOKUP($B398,'Cronog. e Histog.'!$BZ:$BZ,'Cronog. e Histog.'!CL:CL),"")</f>
        <v>0</v>
      </c>
      <c r="R398" s="144">
        <f>IFERROR(_xlfn.XLOOKUP($B398,'Cronog. e Histog.'!$BZ:$BZ,'Cronog. e Histog.'!CM:CM),"")</f>
        <v>0</v>
      </c>
      <c r="S398" s="144">
        <f>IFERROR(_xlfn.XLOOKUP($B398,'Cronog. e Histog.'!$BZ:$BZ,'Cronog. e Histog.'!CN:CN),"")</f>
        <v>0</v>
      </c>
      <c r="T398" s="144">
        <f>IFERROR(_xlfn.XLOOKUP($B398,'Cronog. e Histog.'!$BZ:$BZ,'Cronog. e Histog.'!CO:CO),"")</f>
        <v>0</v>
      </c>
      <c r="U398" s="144">
        <f>IFERROR(_xlfn.XLOOKUP($B398,'Cronog. e Histog.'!$BZ:$BZ,'Cronog. e Histog.'!CP:CP),"")</f>
        <v>0</v>
      </c>
      <c r="V398" s="144">
        <f>IFERROR(_xlfn.XLOOKUP($B398,'Cronog. e Histog.'!$BZ:$BZ,'Cronog. e Histog.'!CQ:CQ),"")</f>
        <v>0</v>
      </c>
      <c r="W398" s="144">
        <f>IFERROR(_xlfn.XLOOKUP($B398,'Cronog. e Histog.'!$BZ:$BZ,'Cronog. e Histog.'!CR:CR),"")</f>
        <v>0</v>
      </c>
      <c r="X398" s="144">
        <f>IFERROR(_xlfn.XLOOKUP($B398,'Cronog. e Histog.'!$BZ:$BZ,'Cronog. e Histog.'!CS:CS),"")</f>
        <v>0</v>
      </c>
      <c r="Y398" s="144">
        <f>IFERROR(_xlfn.XLOOKUP($B398,'Cronog. e Histog.'!$BZ:$BZ,'Cronog. e Histog.'!CT:CT),"")</f>
        <v>0</v>
      </c>
      <c r="Z398" s="144">
        <f>IFERROR(_xlfn.XLOOKUP($B398,'Cronog. e Histog.'!$BZ:$BZ,'Cronog. e Histog.'!CU:CU),"")</f>
        <v>0</v>
      </c>
      <c r="AA398" s="144">
        <f>IFERROR(_xlfn.XLOOKUP($B398,'Cronog. e Histog.'!$BZ:$BZ,'Cronog. e Histog.'!CV:CV),"")</f>
        <v>0</v>
      </c>
      <c r="AB398" s="144">
        <f>IFERROR(_xlfn.XLOOKUP($B398,'Cronog. e Histog.'!$BZ:$BZ,'Cronog. e Histog.'!CW:CW),"")</f>
        <v>0</v>
      </c>
      <c r="AC398" s="144">
        <f>IFERROR(_xlfn.XLOOKUP($B398,'Cronog. e Histog.'!$BZ:$BZ,'Cronog. e Histog.'!CX:CX),"")</f>
        <v>0</v>
      </c>
      <c r="AD398" s="144">
        <f>IFERROR(_xlfn.XLOOKUP($B398,'Cronog. e Histog.'!$BZ:$BZ,'Cronog. e Histog.'!CY:CY),"")</f>
        <v>0</v>
      </c>
      <c r="AE398" s="144">
        <f>IFERROR(_xlfn.XLOOKUP($B398,'Cronog. e Histog.'!$BZ:$BZ,'Cronog. e Histog.'!CZ:CZ),"")</f>
        <v>0</v>
      </c>
      <c r="AF398" s="144">
        <f>IFERROR(_xlfn.XLOOKUP($B398,'Cronog. e Histog.'!$BZ:$BZ,'Cronog. e Histog.'!DA:DA),"")</f>
        <v>0</v>
      </c>
      <c r="AG398" s="144">
        <f>IFERROR(_xlfn.XLOOKUP($B398,'Cronog. e Histog.'!$BZ:$BZ,'Cronog. e Histog.'!DB:DB),"")</f>
        <v>0</v>
      </c>
      <c r="AH398" s="144">
        <f>IFERROR(_xlfn.XLOOKUP($B398,'Cronog. e Histog.'!$BZ:$BZ,'Cronog. e Histog.'!DC:DC),"")</f>
        <v>0</v>
      </c>
      <c r="AI398" s="144">
        <f>IFERROR(_xlfn.XLOOKUP($B398,'Cronog. e Histog.'!$BZ:$BZ,'Cronog. e Histog.'!DD:DD),"")</f>
        <v>0</v>
      </c>
      <c r="AJ398" s="144">
        <f>IFERROR(_xlfn.XLOOKUP($B398,'Cronog. e Histog.'!$BZ:$BZ,'Cronog. e Histog.'!DE:DE),"")</f>
        <v>0</v>
      </c>
      <c r="AK398" s="144">
        <f>IFERROR(_xlfn.XLOOKUP($B398,'Cronog. e Histog.'!$BZ:$BZ,'Cronog. e Histog.'!DF:DF),"")</f>
        <v>0</v>
      </c>
      <c r="AL398" s="144">
        <f>IFERROR(_xlfn.XLOOKUP($B398,'Cronog. e Histog.'!$BZ:$BZ,'Cronog. e Histog.'!DG:DG),"")</f>
        <v>0</v>
      </c>
      <c r="AM398" s="144">
        <f>IFERROR(_xlfn.XLOOKUP($B398,'Cronog. e Histog.'!$BZ:$BZ,'Cronog. e Histog.'!DH:DH),"")</f>
        <v>0</v>
      </c>
      <c r="AN398" s="144">
        <f>IFERROR(_xlfn.XLOOKUP($B398,'Cronog. e Histog.'!$BZ:$BZ,'Cronog. e Histog.'!DI:DI),"")</f>
        <v>0</v>
      </c>
      <c r="AO398" s="144">
        <f>IFERROR(_xlfn.XLOOKUP($B398,'Cronog. e Histog.'!$BZ:$BZ,'Cronog. e Histog.'!DJ:DJ),"")</f>
        <v>0</v>
      </c>
      <c r="AP398" s="144">
        <f>IFERROR(_xlfn.XLOOKUP($B398,'Cronog. e Histog.'!$BZ:$BZ,'Cronog. e Histog.'!DK:DK),"")</f>
        <v>0</v>
      </c>
      <c r="AQ398" s="144">
        <f>IFERROR(_xlfn.XLOOKUP($B398,'Cronog. e Histog.'!$BZ:$BZ,'Cronog. e Histog.'!DL:DL),"")</f>
        <v>0</v>
      </c>
      <c r="AR398" s="144">
        <f>IFERROR(_xlfn.XLOOKUP($B398,'Cronog. e Histog.'!$BZ:$BZ,'Cronog. e Histog.'!DM:DM),"")</f>
        <v>0</v>
      </c>
      <c r="AS398" s="144">
        <f>IFERROR(_xlfn.XLOOKUP($B398,'Cronog. e Histog.'!$BZ:$BZ,'Cronog. e Histog.'!DN:DN),"")</f>
        <v>0</v>
      </c>
      <c r="AT398" s="144">
        <f>IFERROR(_xlfn.XLOOKUP($B398,'Cronog. e Histog.'!$BZ:$BZ,'Cronog. e Histog.'!DO:DO),"")</f>
        <v>0</v>
      </c>
      <c r="AU398" s="144">
        <f>IFERROR(_xlfn.XLOOKUP($B398,'Cronog. e Histog.'!$BZ:$BZ,'Cronog. e Histog.'!DP:DP),"")</f>
        <v>0</v>
      </c>
      <c r="AV398" s="144">
        <f>IFERROR(_xlfn.XLOOKUP($B398,'Cronog. e Histog.'!$BZ:$BZ,'Cronog. e Histog.'!DQ:DQ),"")</f>
        <v>0</v>
      </c>
      <c r="AW398" s="144">
        <f>IFERROR(_xlfn.XLOOKUP($B398,'Cronog. e Histog.'!$BZ:$BZ,'Cronog. e Histog.'!DR:DR),"")</f>
        <v>0</v>
      </c>
      <c r="AX398" s="144">
        <f>IFERROR(_xlfn.XLOOKUP($B398,'Cronog. e Histog.'!$BZ:$BZ,'Cronog. e Histog.'!DS:DS),"")</f>
        <v>0</v>
      </c>
      <c r="AY398" s="144">
        <f>IFERROR(_xlfn.XLOOKUP($B398,'Cronog. e Histog.'!$BZ:$BZ,'Cronog. e Histog.'!DT:DT),"")</f>
        <v>0</v>
      </c>
      <c r="AZ398" s="144">
        <f>IFERROR(_xlfn.XLOOKUP($B398,'Cronog. e Histog.'!$BZ:$BZ,'Cronog. e Histog.'!DU:DU),"")</f>
        <v>0</v>
      </c>
      <c r="BA398" s="144">
        <f>IFERROR(_xlfn.XLOOKUP($B398,'Cronog. e Histog.'!$BZ:$BZ,'Cronog. e Histog.'!DV:DV),"")</f>
        <v>0</v>
      </c>
      <c r="BB398" s="144">
        <f>IFERROR(_xlfn.XLOOKUP($B398,'Cronog. e Histog.'!$BZ:$BZ,'Cronog. e Histog.'!DW:DW),"")</f>
        <v>0</v>
      </c>
      <c r="BC398" s="144">
        <f>IFERROR(_xlfn.XLOOKUP($B398,'Cronog. e Histog.'!$BZ:$BZ,'Cronog. e Histog.'!DX:DX),"")</f>
        <v>0</v>
      </c>
      <c r="BD398" s="144">
        <f>IFERROR(_xlfn.XLOOKUP($B398,'Cronog. e Histog.'!$BZ:$BZ,'Cronog. e Histog.'!DY:DY),"")</f>
        <v>0</v>
      </c>
      <c r="BE398" s="144">
        <f>IFERROR(_xlfn.XLOOKUP($B398,'Cronog. e Histog.'!$BZ:$BZ,'Cronog. e Histog.'!DZ:DZ),"")</f>
        <v>0</v>
      </c>
      <c r="BF398" s="144">
        <f>IFERROR(_xlfn.XLOOKUP($B398,'Cronog. e Histog.'!$BZ:$BZ,'Cronog. e Histog.'!EA:EA),"")</f>
        <v>0</v>
      </c>
      <c r="BG398" s="144">
        <f>IFERROR(_xlfn.XLOOKUP($B398,'Cronog. e Histog.'!$BZ:$BZ,'Cronog. e Histog.'!EB:EB),"")</f>
        <v>0</v>
      </c>
      <c r="BH398" s="144">
        <f>IFERROR(_xlfn.XLOOKUP($B398,'Cronog. e Histog.'!$BZ:$BZ,'Cronog. e Histog.'!EC:EC),"")</f>
        <v>0</v>
      </c>
      <c r="BI398" s="144">
        <f>IFERROR(_xlfn.XLOOKUP($B398,'Cronog. e Histog.'!$BZ:$BZ,'Cronog. e Histog.'!ED:ED),"")</f>
        <v>0</v>
      </c>
      <c r="BJ398" s="144">
        <f>IFERROR(_xlfn.XLOOKUP($B398,'Cronog. e Histog.'!$BZ:$BZ,'Cronog. e Histog.'!EE:EE),"")</f>
        <v>0</v>
      </c>
      <c r="BK398" s="144">
        <f>IFERROR(_xlfn.XLOOKUP($B398,'Cronog. e Histog.'!$BZ:$BZ,'Cronog. e Histog.'!EF:EF),"")</f>
        <v>0</v>
      </c>
      <c r="BL398" s="144">
        <f>IFERROR(_xlfn.XLOOKUP($B398,'Cronog. e Histog.'!$BZ:$BZ,'Cronog. e Histog.'!EG:EG),"")</f>
        <v>0</v>
      </c>
      <c r="BM398" s="144">
        <f>IFERROR(_xlfn.XLOOKUP($B398,'Cronog. e Histog.'!$BZ:$BZ,'Cronog. e Histog.'!EH:EH),"")</f>
        <v>0</v>
      </c>
      <c r="BN398" s="144">
        <f>IFERROR(_xlfn.XLOOKUP($B398,'Cronog. e Histog.'!$BZ:$BZ,'Cronog. e Histog.'!EI:EI),"")</f>
        <v>0</v>
      </c>
    </row>
    <row r="399" spans="2:66" ht="12" hidden="1" customHeight="1" outlineLevel="1">
      <c r="B399" s="76">
        <v>393</v>
      </c>
      <c r="C399" s="143" t="str">
        <f>IFERROR(VLOOKUP(B399,'Cronog. e Histog.'!$BZ$213:$CA$747,2,0),"")</f>
        <v>TEC III</v>
      </c>
      <c r="D399" s="144">
        <f t="shared" ref="D399:D406" si="8">IFERROR(ROUNDUP(SUM(G399:BN399)/COUNTIF(G399:BN399,"&gt;0"),0),0)</f>
        <v>0</v>
      </c>
      <c r="E399" s="144">
        <f t="shared" ref="E399:E406" si="9">COUNTIF(G399:BN399,"&gt;0")</f>
        <v>0</v>
      </c>
      <c r="F399" s="65"/>
      <c r="G399" s="144">
        <f>IFERROR(_xlfn.XLOOKUP($B399,'Cronog. e Histog.'!$BZ:$BZ,'Cronog. e Histog.'!CB:CB),"")</f>
        <v>0</v>
      </c>
      <c r="H399" s="144">
        <f>IFERROR(_xlfn.XLOOKUP($B399,'Cronog. e Histog.'!$BZ:$BZ,'Cronog. e Histog.'!CC:CC),"")</f>
        <v>0</v>
      </c>
      <c r="I399" s="144">
        <f>IFERROR(_xlfn.XLOOKUP($B399,'Cronog. e Histog.'!$BZ:$BZ,'Cronog. e Histog.'!CD:CD),"")</f>
        <v>0</v>
      </c>
      <c r="J399" s="144">
        <f>IFERROR(_xlfn.XLOOKUP($B399,'Cronog. e Histog.'!$BZ:$BZ,'Cronog. e Histog.'!CE:CE),"")</f>
        <v>0</v>
      </c>
      <c r="K399" s="144">
        <f>IFERROR(_xlfn.XLOOKUP($B399,'Cronog. e Histog.'!$BZ:$BZ,'Cronog. e Histog.'!CF:CF),"")</f>
        <v>0</v>
      </c>
      <c r="L399" s="144">
        <f>IFERROR(_xlfn.XLOOKUP($B399,'Cronog. e Histog.'!$BZ:$BZ,'Cronog. e Histog.'!CG:CG),"")</f>
        <v>0</v>
      </c>
      <c r="M399" s="144">
        <f>IFERROR(_xlfn.XLOOKUP($B399,'Cronog. e Histog.'!$BZ:$BZ,'Cronog. e Histog.'!CH:CH),"")</f>
        <v>0</v>
      </c>
      <c r="N399" s="144">
        <f>IFERROR(_xlfn.XLOOKUP($B399,'Cronog. e Histog.'!$BZ:$BZ,'Cronog. e Histog.'!CI:CI),"")</f>
        <v>0</v>
      </c>
      <c r="O399" s="144">
        <f>IFERROR(_xlfn.XLOOKUP($B399,'Cronog. e Histog.'!$BZ:$BZ,'Cronog. e Histog.'!CJ:CJ),"")</f>
        <v>0</v>
      </c>
      <c r="P399" s="144">
        <f>IFERROR(_xlfn.XLOOKUP($B399,'Cronog. e Histog.'!$BZ:$BZ,'Cronog. e Histog.'!CK:CK),"")</f>
        <v>0</v>
      </c>
      <c r="Q399" s="144">
        <f>IFERROR(_xlfn.XLOOKUP($B399,'Cronog. e Histog.'!$BZ:$BZ,'Cronog. e Histog.'!CL:CL),"")</f>
        <v>0</v>
      </c>
      <c r="R399" s="144">
        <f>IFERROR(_xlfn.XLOOKUP($B399,'Cronog. e Histog.'!$BZ:$BZ,'Cronog. e Histog.'!CM:CM),"")</f>
        <v>0</v>
      </c>
      <c r="S399" s="144">
        <f>IFERROR(_xlfn.XLOOKUP($B399,'Cronog. e Histog.'!$BZ:$BZ,'Cronog. e Histog.'!CN:CN),"")</f>
        <v>0</v>
      </c>
      <c r="T399" s="144">
        <f>IFERROR(_xlfn.XLOOKUP($B399,'Cronog. e Histog.'!$BZ:$BZ,'Cronog. e Histog.'!CO:CO),"")</f>
        <v>0</v>
      </c>
      <c r="U399" s="144">
        <f>IFERROR(_xlfn.XLOOKUP($B399,'Cronog. e Histog.'!$BZ:$BZ,'Cronog. e Histog.'!CP:CP),"")</f>
        <v>0</v>
      </c>
      <c r="V399" s="144">
        <f>IFERROR(_xlfn.XLOOKUP($B399,'Cronog. e Histog.'!$BZ:$BZ,'Cronog. e Histog.'!CQ:CQ),"")</f>
        <v>0</v>
      </c>
      <c r="W399" s="144">
        <f>IFERROR(_xlfn.XLOOKUP($B399,'Cronog. e Histog.'!$BZ:$BZ,'Cronog. e Histog.'!CR:CR),"")</f>
        <v>0</v>
      </c>
      <c r="X399" s="144">
        <f>IFERROR(_xlfn.XLOOKUP($B399,'Cronog. e Histog.'!$BZ:$BZ,'Cronog. e Histog.'!CS:CS),"")</f>
        <v>0</v>
      </c>
      <c r="Y399" s="144">
        <f>IFERROR(_xlfn.XLOOKUP($B399,'Cronog. e Histog.'!$BZ:$BZ,'Cronog. e Histog.'!CT:CT),"")</f>
        <v>0</v>
      </c>
      <c r="Z399" s="144">
        <f>IFERROR(_xlfn.XLOOKUP($B399,'Cronog. e Histog.'!$BZ:$BZ,'Cronog. e Histog.'!CU:CU),"")</f>
        <v>0</v>
      </c>
      <c r="AA399" s="144">
        <f>IFERROR(_xlfn.XLOOKUP($B399,'Cronog. e Histog.'!$BZ:$BZ,'Cronog. e Histog.'!CV:CV),"")</f>
        <v>0</v>
      </c>
      <c r="AB399" s="144">
        <f>IFERROR(_xlfn.XLOOKUP($B399,'Cronog. e Histog.'!$BZ:$BZ,'Cronog. e Histog.'!CW:CW),"")</f>
        <v>0</v>
      </c>
      <c r="AC399" s="144">
        <f>IFERROR(_xlfn.XLOOKUP($B399,'Cronog. e Histog.'!$BZ:$BZ,'Cronog. e Histog.'!CX:CX),"")</f>
        <v>0</v>
      </c>
      <c r="AD399" s="144">
        <f>IFERROR(_xlfn.XLOOKUP($B399,'Cronog. e Histog.'!$BZ:$BZ,'Cronog. e Histog.'!CY:CY),"")</f>
        <v>0</v>
      </c>
      <c r="AE399" s="144">
        <f>IFERROR(_xlfn.XLOOKUP($B399,'Cronog. e Histog.'!$BZ:$BZ,'Cronog. e Histog.'!CZ:CZ),"")</f>
        <v>0</v>
      </c>
      <c r="AF399" s="144">
        <f>IFERROR(_xlfn.XLOOKUP($B399,'Cronog. e Histog.'!$BZ:$BZ,'Cronog. e Histog.'!DA:DA),"")</f>
        <v>0</v>
      </c>
      <c r="AG399" s="144">
        <f>IFERROR(_xlfn.XLOOKUP($B399,'Cronog. e Histog.'!$BZ:$BZ,'Cronog. e Histog.'!DB:DB),"")</f>
        <v>0</v>
      </c>
      <c r="AH399" s="144">
        <f>IFERROR(_xlfn.XLOOKUP($B399,'Cronog. e Histog.'!$BZ:$BZ,'Cronog. e Histog.'!DC:DC),"")</f>
        <v>0</v>
      </c>
      <c r="AI399" s="144">
        <f>IFERROR(_xlfn.XLOOKUP($B399,'Cronog. e Histog.'!$BZ:$BZ,'Cronog. e Histog.'!DD:DD),"")</f>
        <v>0</v>
      </c>
      <c r="AJ399" s="144">
        <f>IFERROR(_xlfn.XLOOKUP($B399,'Cronog. e Histog.'!$BZ:$BZ,'Cronog. e Histog.'!DE:DE),"")</f>
        <v>0</v>
      </c>
      <c r="AK399" s="144">
        <f>IFERROR(_xlfn.XLOOKUP($B399,'Cronog. e Histog.'!$BZ:$BZ,'Cronog. e Histog.'!DF:DF),"")</f>
        <v>0</v>
      </c>
      <c r="AL399" s="144">
        <f>IFERROR(_xlfn.XLOOKUP($B399,'Cronog. e Histog.'!$BZ:$BZ,'Cronog. e Histog.'!DG:DG),"")</f>
        <v>0</v>
      </c>
      <c r="AM399" s="144">
        <f>IFERROR(_xlfn.XLOOKUP($B399,'Cronog. e Histog.'!$BZ:$BZ,'Cronog. e Histog.'!DH:DH),"")</f>
        <v>0</v>
      </c>
      <c r="AN399" s="144">
        <f>IFERROR(_xlfn.XLOOKUP($B399,'Cronog. e Histog.'!$BZ:$BZ,'Cronog. e Histog.'!DI:DI),"")</f>
        <v>0</v>
      </c>
      <c r="AO399" s="144">
        <f>IFERROR(_xlfn.XLOOKUP($B399,'Cronog. e Histog.'!$BZ:$BZ,'Cronog. e Histog.'!DJ:DJ),"")</f>
        <v>0</v>
      </c>
      <c r="AP399" s="144">
        <f>IFERROR(_xlfn.XLOOKUP($B399,'Cronog. e Histog.'!$BZ:$BZ,'Cronog. e Histog.'!DK:DK),"")</f>
        <v>0</v>
      </c>
      <c r="AQ399" s="144">
        <f>IFERROR(_xlfn.XLOOKUP($B399,'Cronog. e Histog.'!$BZ:$BZ,'Cronog. e Histog.'!DL:DL),"")</f>
        <v>0</v>
      </c>
      <c r="AR399" s="144">
        <f>IFERROR(_xlfn.XLOOKUP($B399,'Cronog. e Histog.'!$BZ:$BZ,'Cronog. e Histog.'!DM:DM),"")</f>
        <v>0</v>
      </c>
      <c r="AS399" s="144">
        <f>IFERROR(_xlfn.XLOOKUP($B399,'Cronog. e Histog.'!$BZ:$BZ,'Cronog. e Histog.'!DN:DN),"")</f>
        <v>0</v>
      </c>
      <c r="AT399" s="144">
        <f>IFERROR(_xlfn.XLOOKUP($B399,'Cronog. e Histog.'!$BZ:$BZ,'Cronog. e Histog.'!DO:DO),"")</f>
        <v>0</v>
      </c>
      <c r="AU399" s="144">
        <f>IFERROR(_xlfn.XLOOKUP($B399,'Cronog. e Histog.'!$BZ:$BZ,'Cronog. e Histog.'!DP:DP),"")</f>
        <v>0</v>
      </c>
      <c r="AV399" s="144">
        <f>IFERROR(_xlfn.XLOOKUP($B399,'Cronog. e Histog.'!$BZ:$BZ,'Cronog. e Histog.'!DQ:DQ),"")</f>
        <v>0</v>
      </c>
      <c r="AW399" s="144">
        <f>IFERROR(_xlfn.XLOOKUP($B399,'Cronog. e Histog.'!$BZ:$BZ,'Cronog. e Histog.'!DR:DR),"")</f>
        <v>0</v>
      </c>
      <c r="AX399" s="144">
        <f>IFERROR(_xlfn.XLOOKUP($B399,'Cronog. e Histog.'!$BZ:$BZ,'Cronog. e Histog.'!DS:DS),"")</f>
        <v>0</v>
      </c>
      <c r="AY399" s="144">
        <f>IFERROR(_xlfn.XLOOKUP($B399,'Cronog. e Histog.'!$BZ:$BZ,'Cronog. e Histog.'!DT:DT),"")</f>
        <v>0</v>
      </c>
      <c r="AZ399" s="144">
        <f>IFERROR(_xlfn.XLOOKUP($B399,'Cronog. e Histog.'!$BZ:$BZ,'Cronog. e Histog.'!DU:DU),"")</f>
        <v>0</v>
      </c>
      <c r="BA399" s="144">
        <f>IFERROR(_xlfn.XLOOKUP($B399,'Cronog. e Histog.'!$BZ:$BZ,'Cronog. e Histog.'!DV:DV),"")</f>
        <v>0</v>
      </c>
      <c r="BB399" s="144">
        <f>IFERROR(_xlfn.XLOOKUP($B399,'Cronog. e Histog.'!$BZ:$BZ,'Cronog. e Histog.'!DW:DW),"")</f>
        <v>0</v>
      </c>
      <c r="BC399" s="144">
        <f>IFERROR(_xlfn.XLOOKUP($B399,'Cronog. e Histog.'!$BZ:$BZ,'Cronog. e Histog.'!DX:DX),"")</f>
        <v>0</v>
      </c>
      <c r="BD399" s="144">
        <f>IFERROR(_xlfn.XLOOKUP($B399,'Cronog. e Histog.'!$BZ:$BZ,'Cronog. e Histog.'!DY:DY),"")</f>
        <v>0</v>
      </c>
      <c r="BE399" s="144">
        <f>IFERROR(_xlfn.XLOOKUP($B399,'Cronog. e Histog.'!$BZ:$BZ,'Cronog. e Histog.'!DZ:DZ),"")</f>
        <v>0</v>
      </c>
      <c r="BF399" s="144">
        <f>IFERROR(_xlfn.XLOOKUP($B399,'Cronog. e Histog.'!$BZ:$BZ,'Cronog. e Histog.'!EA:EA),"")</f>
        <v>0</v>
      </c>
      <c r="BG399" s="144">
        <f>IFERROR(_xlfn.XLOOKUP($B399,'Cronog. e Histog.'!$BZ:$BZ,'Cronog. e Histog.'!EB:EB),"")</f>
        <v>0</v>
      </c>
      <c r="BH399" s="144">
        <f>IFERROR(_xlfn.XLOOKUP($B399,'Cronog. e Histog.'!$BZ:$BZ,'Cronog. e Histog.'!EC:EC),"")</f>
        <v>0</v>
      </c>
      <c r="BI399" s="144">
        <f>IFERROR(_xlfn.XLOOKUP($B399,'Cronog. e Histog.'!$BZ:$BZ,'Cronog. e Histog.'!ED:ED),"")</f>
        <v>0</v>
      </c>
      <c r="BJ399" s="144">
        <f>IFERROR(_xlfn.XLOOKUP($B399,'Cronog. e Histog.'!$BZ:$BZ,'Cronog. e Histog.'!EE:EE),"")</f>
        <v>0</v>
      </c>
      <c r="BK399" s="144">
        <f>IFERROR(_xlfn.XLOOKUP($B399,'Cronog. e Histog.'!$BZ:$BZ,'Cronog. e Histog.'!EF:EF),"")</f>
        <v>0</v>
      </c>
      <c r="BL399" s="144">
        <f>IFERROR(_xlfn.XLOOKUP($B399,'Cronog. e Histog.'!$BZ:$BZ,'Cronog. e Histog.'!EG:EG),"")</f>
        <v>0</v>
      </c>
      <c r="BM399" s="144">
        <f>IFERROR(_xlfn.XLOOKUP($B399,'Cronog. e Histog.'!$BZ:$BZ,'Cronog. e Histog.'!EH:EH),"")</f>
        <v>0</v>
      </c>
      <c r="BN399" s="144">
        <f>IFERROR(_xlfn.XLOOKUP($B399,'Cronog. e Histog.'!$BZ:$BZ,'Cronog. e Histog.'!EI:EI),"")</f>
        <v>0</v>
      </c>
    </row>
    <row r="400" spans="2:66" ht="12" hidden="1" customHeight="1" outlineLevel="1">
      <c r="B400" s="76">
        <v>394</v>
      </c>
      <c r="C400" s="143" t="str">
        <f>IFERROR(VLOOKUP(B400,'Cronog. e Histog.'!$BZ$213:$CA$747,2,0),"")</f>
        <v>TEC II</v>
      </c>
      <c r="D400" s="144">
        <f t="shared" si="8"/>
        <v>0</v>
      </c>
      <c r="E400" s="144">
        <f t="shared" si="9"/>
        <v>0</v>
      </c>
      <c r="F400" s="65"/>
      <c r="G400" s="144">
        <f>IFERROR(_xlfn.XLOOKUP($B400,'Cronog. e Histog.'!$BZ:$BZ,'Cronog. e Histog.'!CB:CB),"")</f>
        <v>0</v>
      </c>
      <c r="H400" s="144">
        <f>IFERROR(_xlfn.XLOOKUP($B400,'Cronog. e Histog.'!$BZ:$BZ,'Cronog. e Histog.'!CC:CC),"")</f>
        <v>0</v>
      </c>
      <c r="I400" s="144">
        <f>IFERROR(_xlfn.XLOOKUP($B400,'Cronog. e Histog.'!$BZ:$BZ,'Cronog. e Histog.'!CD:CD),"")</f>
        <v>0</v>
      </c>
      <c r="J400" s="144">
        <f>IFERROR(_xlfn.XLOOKUP($B400,'Cronog. e Histog.'!$BZ:$BZ,'Cronog. e Histog.'!CE:CE),"")</f>
        <v>0</v>
      </c>
      <c r="K400" s="144">
        <f>IFERROR(_xlfn.XLOOKUP($B400,'Cronog. e Histog.'!$BZ:$BZ,'Cronog. e Histog.'!CF:CF),"")</f>
        <v>0</v>
      </c>
      <c r="L400" s="144">
        <f>IFERROR(_xlfn.XLOOKUP($B400,'Cronog. e Histog.'!$BZ:$BZ,'Cronog. e Histog.'!CG:CG),"")</f>
        <v>0</v>
      </c>
      <c r="M400" s="144">
        <f>IFERROR(_xlfn.XLOOKUP($B400,'Cronog. e Histog.'!$BZ:$BZ,'Cronog. e Histog.'!CH:CH),"")</f>
        <v>0</v>
      </c>
      <c r="N400" s="144">
        <f>IFERROR(_xlfn.XLOOKUP($B400,'Cronog. e Histog.'!$BZ:$BZ,'Cronog. e Histog.'!CI:CI),"")</f>
        <v>0</v>
      </c>
      <c r="O400" s="144">
        <f>IFERROR(_xlfn.XLOOKUP($B400,'Cronog. e Histog.'!$BZ:$BZ,'Cronog. e Histog.'!CJ:CJ),"")</f>
        <v>0</v>
      </c>
      <c r="P400" s="144">
        <f>IFERROR(_xlfn.XLOOKUP($B400,'Cronog. e Histog.'!$BZ:$BZ,'Cronog. e Histog.'!CK:CK),"")</f>
        <v>0</v>
      </c>
      <c r="Q400" s="144">
        <f>IFERROR(_xlfn.XLOOKUP($B400,'Cronog. e Histog.'!$BZ:$BZ,'Cronog. e Histog.'!CL:CL),"")</f>
        <v>0</v>
      </c>
      <c r="R400" s="144">
        <f>IFERROR(_xlfn.XLOOKUP($B400,'Cronog. e Histog.'!$BZ:$BZ,'Cronog. e Histog.'!CM:CM),"")</f>
        <v>0</v>
      </c>
      <c r="S400" s="144">
        <f>IFERROR(_xlfn.XLOOKUP($B400,'Cronog. e Histog.'!$BZ:$BZ,'Cronog. e Histog.'!CN:CN),"")</f>
        <v>0</v>
      </c>
      <c r="T400" s="144">
        <f>IFERROR(_xlfn.XLOOKUP($B400,'Cronog. e Histog.'!$BZ:$BZ,'Cronog. e Histog.'!CO:CO),"")</f>
        <v>0</v>
      </c>
      <c r="U400" s="144">
        <f>IFERROR(_xlfn.XLOOKUP($B400,'Cronog. e Histog.'!$BZ:$BZ,'Cronog. e Histog.'!CP:CP),"")</f>
        <v>0</v>
      </c>
      <c r="V400" s="144">
        <f>IFERROR(_xlfn.XLOOKUP($B400,'Cronog. e Histog.'!$BZ:$BZ,'Cronog. e Histog.'!CQ:CQ),"")</f>
        <v>0</v>
      </c>
      <c r="W400" s="144">
        <f>IFERROR(_xlfn.XLOOKUP($B400,'Cronog. e Histog.'!$BZ:$BZ,'Cronog. e Histog.'!CR:CR),"")</f>
        <v>0</v>
      </c>
      <c r="X400" s="144">
        <f>IFERROR(_xlfn.XLOOKUP($B400,'Cronog. e Histog.'!$BZ:$BZ,'Cronog. e Histog.'!CS:CS),"")</f>
        <v>0</v>
      </c>
      <c r="Y400" s="144">
        <f>IFERROR(_xlfn.XLOOKUP($B400,'Cronog. e Histog.'!$BZ:$BZ,'Cronog. e Histog.'!CT:CT),"")</f>
        <v>0</v>
      </c>
      <c r="Z400" s="144">
        <f>IFERROR(_xlfn.XLOOKUP($B400,'Cronog. e Histog.'!$BZ:$BZ,'Cronog. e Histog.'!CU:CU),"")</f>
        <v>0</v>
      </c>
      <c r="AA400" s="144">
        <f>IFERROR(_xlfn.XLOOKUP($B400,'Cronog. e Histog.'!$BZ:$BZ,'Cronog. e Histog.'!CV:CV),"")</f>
        <v>0</v>
      </c>
      <c r="AB400" s="144">
        <f>IFERROR(_xlfn.XLOOKUP($B400,'Cronog. e Histog.'!$BZ:$BZ,'Cronog. e Histog.'!CW:CW),"")</f>
        <v>0</v>
      </c>
      <c r="AC400" s="144">
        <f>IFERROR(_xlfn.XLOOKUP($B400,'Cronog. e Histog.'!$BZ:$BZ,'Cronog. e Histog.'!CX:CX),"")</f>
        <v>0</v>
      </c>
      <c r="AD400" s="144">
        <f>IFERROR(_xlfn.XLOOKUP($B400,'Cronog. e Histog.'!$BZ:$BZ,'Cronog. e Histog.'!CY:CY),"")</f>
        <v>0</v>
      </c>
      <c r="AE400" s="144">
        <f>IFERROR(_xlfn.XLOOKUP($B400,'Cronog. e Histog.'!$BZ:$BZ,'Cronog. e Histog.'!CZ:CZ),"")</f>
        <v>0</v>
      </c>
      <c r="AF400" s="144">
        <f>IFERROR(_xlfn.XLOOKUP($B400,'Cronog. e Histog.'!$BZ:$BZ,'Cronog. e Histog.'!DA:DA),"")</f>
        <v>0</v>
      </c>
      <c r="AG400" s="144">
        <f>IFERROR(_xlfn.XLOOKUP($B400,'Cronog. e Histog.'!$BZ:$BZ,'Cronog. e Histog.'!DB:DB),"")</f>
        <v>0</v>
      </c>
      <c r="AH400" s="144">
        <f>IFERROR(_xlfn.XLOOKUP($B400,'Cronog. e Histog.'!$BZ:$BZ,'Cronog. e Histog.'!DC:DC),"")</f>
        <v>0</v>
      </c>
      <c r="AI400" s="144">
        <f>IFERROR(_xlfn.XLOOKUP($B400,'Cronog. e Histog.'!$BZ:$BZ,'Cronog. e Histog.'!DD:DD),"")</f>
        <v>0</v>
      </c>
      <c r="AJ400" s="144">
        <f>IFERROR(_xlfn.XLOOKUP($B400,'Cronog. e Histog.'!$BZ:$BZ,'Cronog. e Histog.'!DE:DE),"")</f>
        <v>0</v>
      </c>
      <c r="AK400" s="144">
        <f>IFERROR(_xlfn.XLOOKUP($B400,'Cronog. e Histog.'!$BZ:$BZ,'Cronog. e Histog.'!DF:DF),"")</f>
        <v>0</v>
      </c>
      <c r="AL400" s="144">
        <f>IFERROR(_xlfn.XLOOKUP($B400,'Cronog. e Histog.'!$BZ:$BZ,'Cronog. e Histog.'!DG:DG),"")</f>
        <v>0</v>
      </c>
      <c r="AM400" s="144">
        <f>IFERROR(_xlfn.XLOOKUP($B400,'Cronog. e Histog.'!$BZ:$BZ,'Cronog. e Histog.'!DH:DH),"")</f>
        <v>0</v>
      </c>
      <c r="AN400" s="144">
        <f>IFERROR(_xlfn.XLOOKUP($B400,'Cronog. e Histog.'!$BZ:$BZ,'Cronog. e Histog.'!DI:DI),"")</f>
        <v>0</v>
      </c>
      <c r="AO400" s="144">
        <f>IFERROR(_xlfn.XLOOKUP($B400,'Cronog. e Histog.'!$BZ:$BZ,'Cronog. e Histog.'!DJ:DJ),"")</f>
        <v>0</v>
      </c>
      <c r="AP400" s="144">
        <f>IFERROR(_xlfn.XLOOKUP($B400,'Cronog. e Histog.'!$BZ:$BZ,'Cronog. e Histog.'!DK:DK),"")</f>
        <v>0</v>
      </c>
      <c r="AQ400" s="144">
        <f>IFERROR(_xlfn.XLOOKUP($B400,'Cronog. e Histog.'!$BZ:$BZ,'Cronog. e Histog.'!DL:DL),"")</f>
        <v>0</v>
      </c>
      <c r="AR400" s="144">
        <f>IFERROR(_xlfn.XLOOKUP($B400,'Cronog. e Histog.'!$BZ:$BZ,'Cronog. e Histog.'!DM:DM),"")</f>
        <v>0</v>
      </c>
      <c r="AS400" s="144">
        <f>IFERROR(_xlfn.XLOOKUP($B400,'Cronog. e Histog.'!$BZ:$BZ,'Cronog. e Histog.'!DN:DN),"")</f>
        <v>0</v>
      </c>
      <c r="AT400" s="144">
        <f>IFERROR(_xlfn.XLOOKUP($B400,'Cronog. e Histog.'!$BZ:$BZ,'Cronog. e Histog.'!DO:DO),"")</f>
        <v>0</v>
      </c>
      <c r="AU400" s="144">
        <f>IFERROR(_xlfn.XLOOKUP($B400,'Cronog. e Histog.'!$BZ:$BZ,'Cronog. e Histog.'!DP:DP),"")</f>
        <v>0</v>
      </c>
      <c r="AV400" s="144">
        <f>IFERROR(_xlfn.XLOOKUP($B400,'Cronog. e Histog.'!$BZ:$BZ,'Cronog. e Histog.'!DQ:DQ),"")</f>
        <v>0</v>
      </c>
      <c r="AW400" s="144">
        <f>IFERROR(_xlfn.XLOOKUP($B400,'Cronog. e Histog.'!$BZ:$BZ,'Cronog. e Histog.'!DR:DR),"")</f>
        <v>0</v>
      </c>
      <c r="AX400" s="144">
        <f>IFERROR(_xlfn.XLOOKUP($B400,'Cronog. e Histog.'!$BZ:$BZ,'Cronog. e Histog.'!DS:DS),"")</f>
        <v>0</v>
      </c>
      <c r="AY400" s="144">
        <f>IFERROR(_xlfn.XLOOKUP($B400,'Cronog. e Histog.'!$BZ:$BZ,'Cronog. e Histog.'!DT:DT),"")</f>
        <v>0</v>
      </c>
      <c r="AZ400" s="144">
        <f>IFERROR(_xlfn.XLOOKUP($B400,'Cronog. e Histog.'!$BZ:$BZ,'Cronog. e Histog.'!DU:DU),"")</f>
        <v>0</v>
      </c>
      <c r="BA400" s="144">
        <f>IFERROR(_xlfn.XLOOKUP($B400,'Cronog. e Histog.'!$BZ:$BZ,'Cronog. e Histog.'!DV:DV),"")</f>
        <v>0</v>
      </c>
      <c r="BB400" s="144">
        <f>IFERROR(_xlfn.XLOOKUP($B400,'Cronog. e Histog.'!$BZ:$BZ,'Cronog. e Histog.'!DW:DW),"")</f>
        <v>0</v>
      </c>
      <c r="BC400" s="144">
        <f>IFERROR(_xlfn.XLOOKUP($B400,'Cronog. e Histog.'!$BZ:$BZ,'Cronog. e Histog.'!DX:DX),"")</f>
        <v>0</v>
      </c>
      <c r="BD400" s="144">
        <f>IFERROR(_xlfn.XLOOKUP($B400,'Cronog. e Histog.'!$BZ:$BZ,'Cronog. e Histog.'!DY:DY),"")</f>
        <v>0</v>
      </c>
      <c r="BE400" s="144">
        <f>IFERROR(_xlfn.XLOOKUP($B400,'Cronog. e Histog.'!$BZ:$BZ,'Cronog. e Histog.'!DZ:DZ),"")</f>
        <v>0</v>
      </c>
      <c r="BF400" s="144">
        <f>IFERROR(_xlfn.XLOOKUP($B400,'Cronog. e Histog.'!$BZ:$BZ,'Cronog. e Histog.'!EA:EA),"")</f>
        <v>0</v>
      </c>
      <c r="BG400" s="144">
        <f>IFERROR(_xlfn.XLOOKUP($B400,'Cronog. e Histog.'!$BZ:$BZ,'Cronog. e Histog.'!EB:EB),"")</f>
        <v>0</v>
      </c>
      <c r="BH400" s="144">
        <f>IFERROR(_xlfn.XLOOKUP($B400,'Cronog. e Histog.'!$BZ:$BZ,'Cronog. e Histog.'!EC:EC),"")</f>
        <v>0</v>
      </c>
      <c r="BI400" s="144">
        <f>IFERROR(_xlfn.XLOOKUP($B400,'Cronog. e Histog.'!$BZ:$BZ,'Cronog. e Histog.'!ED:ED),"")</f>
        <v>0</v>
      </c>
      <c r="BJ400" s="144">
        <f>IFERROR(_xlfn.XLOOKUP($B400,'Cronog. e Histog.'!$BZ:$BZ,'Cronog. e Histog.'!EE:EE),"")</f>
        <v>0</v>
      </c>
      <c r="BK400" s="144">
        <f>IFERROR(_xlfn.XLOOKUP($B400,'Cronog. e Histog.'!$BZ:$BZ,'Cronog. e Histog.'!EF:EF),"")</f>
        <v>0</v>
      </c>
      <c r="BL400" s="144">
        <f>IFERROR(_xlfn.XLOOKUP($B400,'Cronog. e Histog.'!$BZ:$BZ,'Cronog. e Histog.'!EG:EG),"")</f>
        <v>0</v>
      </c>
      <c r="BM400" s="144">
        <f>IFERROR(_xlfn.XLOOKUP($B400,'Cronog. e Histog.'!$BZ:$BZ,'Cronog. e Histog.'!EH:EH),"")</f>
        <v>0</v>
      </c>
      <c r="BN400" s="144">
        <f>IFERROR(_xlfn.XLOOKUP($B400,'Cronog. e Histog.'!$BZ:$BZ,'Cronog. e Histog.'!EI:EI),"")</f>
        <v>0</v>
      </c>
    </row>
    <row r="401" spans="2:66" ht="12" hidden="1" customHeight="1" outlineLevel="1">
      <c r="B401" s="76">
        <v>395</v>
      </c>
      <c r="C401" s="143" t="str">
        <f>IFERROR(VLOOKUP(B401,'Cronog. e Histog.'!$BZ$213:$CA$747,2,0),"")</f>
        <v>TEC I</v>
      </c>
      <c r="D401" s="144">
        <f t="shared" si="8"/>
        <v>0</v>
      </c>
      <c r="E401" s="144">
        <f t="shared" si="9"/>
        <v>0</v>
      </c>
      <c r="F401" s="65"/>
      <c r="G401" s="144">
        <f>IFERROR(_xlfn.XLOOKUP($B401,'Cronog. e Histog.'!$BZ:$BZ,'Cronog. e Histog.'!CB:CB),"")</f>
        <v>0</v>
      </c>
      <c r="H401" s="144">
        <f>IFERROR(_xlfn.XLOOKUP($B401,'Cronog. e Histog.'!$BZ:$BZ,'Cronog. e Histog.'!CC:CC),"")</f>
        <v>0</v>
      </c>
      <c r="I401" s="144">
        <f>IFERROR(_xlfn.XLOOKUP($B401,'Cronog. e Histog.'!$BZ:$BZ,'Cronog. e Histog.'!CD:CD),"")</f>
        <v>0</v>
      </c>
      <c r="J401" s="144">
        <f>IFERROR(_xlfn.XLOOKUP($B401,'Cronog. e Histog.'!$BZ:$BZ,'Cronog. e Histog.'!CE:CE),"")</f>
        <v>0</v>
      </c>
      <c r="K401" s="144">
        <f>IFERROR(_xlfn.XLOOKUP($B401,'Cronog. e Histog.'!$BZ:$BZ,'Cronog. e Histog.'!CF:CF),"")</f>
        <v>0</v>
      </c>
      <c r="L401" s="144">
        <f>IFERROR(_xlfn.XLOOKUP($B401,'Cronog. e Histog.'!$BZ:$BZ,'Cronog. e Histog.'!CG:CG),"")</f>
        <v>0</v>
      </c>
      <c r="M401" s="144">
        <f>IFERROR(_xlfn.XLOOKUP($B401,'Cronog. e Histog.'!$BZ:$BZ,'Cronog. e Histog.'!CH:CH),"")</f>
        <v>0</v>
      </c>
      <c r="N401" s="144">
        <f>IFERROR(_xlfn.XLOOKUP($B401,'Cronog. e Histog.'!$BZ:$BZ,'Cronog. e Histog.'!CI:CI),"")</f>
        <v>0</v>
      </c>
      <c r="O401" s="144">
        <f>IFERROR(_xlfn.XLOOKUP($B401,'Cronog. e Histog.'!$BZ:$BZ,'Cronog. e Histog.'!CJ:CJ),"")</f>
        <v>0</v>
      </c>
      <c r="P401" s="144">
        <f>IFERROR(_xlfn.XLOOKUP($B401,'Cronog. e Histog.'!$BZ:$BZ,'Cronog. e Histog.'!CK:CK),"")</f>
        <v>0</v>
      </c>
      <c r="Q401" s="144">
        <f>IFERROR(_xlfn.XLOOKUP($B401,'Cronog. e Histog.'!$BZ:$BZ,'Cronog. e Histog.'!CL:CL),"")</f>
        <v>0</v>
      </c>
      <c r="R401" s="144">
        <f>IFERROR(_xlfn.XLOOKUP($B401,'Cronog. e Histog.'!$BZ:$BZ,'Cronog. e Histog.'!CM:CM),"")</f>
        <v>0</v>
      </c>
      <c r="S401" s="144">
        <f>IFERROR(_xlfn.XLOOKUP($B401,'Cronog. e Histog.'!$BZ:$BZ,'Cronog. e Histog.'!CN:CN),"")</f>
        <v>0</v>
      </c>
      <c r="T401" s="144">
        <f>IFERROR(_xlfn.XLOOKUP($B401,'Cronog. e Histog.'!$BZ:$BZ,'Cronog. e Histog.'!CO:CO),"")</f>
        <v>0</v>
      </c>
      <c r="U401" s="144">
        <f>IFERROR(_xlfn.XLOOKUP($B401,'Cronog. e Histog.'!$BZ:$BZ,'Cronog. e Histog.'!CP:CP),"")</f>
        <v>0</v>
      </c>
      <c r="V401" s="144">
        <f>IFERROR(_xlfn.XLOOKUP($B401,'Cronog. e Histog.'!$BZ:$BZ,'Cronog. e Histog.'!CQ:CQ),"")</f>
        <v>0</v>
      </c>
      <c r="W401" s="144">
        <f>IFERROR(_xlfn.XLOOKUP($B401,'Cronog. e Histog.'!$BZ:$BZ,'Cronog. e Histog.'!CR:CR),"")</f>
        <v>0</v>
      </c>
      <c r="X401" s="144">
        <f>IFERROR(_xlfn.XLOOKUP($B401,'Cronog. e Histog.'!$BZ:$BZ,'Cronog. e Histog.'!CS:CS),"")</f>
        <v>0</v>
      </c>
      <c r="Y401" s="144">
        <f>IFERROR(_xlfn.XLOOKUP($B401,'Cronog. e Histog.'!$BZ:$BZ,'Cronog. e Histog.'!CT:CT),"")</f>
        <v>0</v>
      </c>
      <c r="Z401" s="144">
        <f>IFERROR(_xlfn.XLOOKUP($B401,'Cronog. e Histog.'!$BZ:$BZ,'Cronog. e Histog.'!CU:CU),"")</f>
        <v>0</v>
      </c>
      <c r="AA401" s="144">
        <f>IFERROR(_xlfn.XLOOKUP($B401,'Cronog. e Histog.'!$BZ:$BZ,'Cronog. e Histog.'!CV:CV),"")</f>
        <v>0</v>
      </c>
      <c r="AB401" s="144">
        <f>IFERROR(_xlfn.XLOOKUP($B401,'Cronog. e Histog.'!$BZ:$BZ,'Cronog. e Histog.'!CW:CW),"")</f>
        <v>0</v>
      </c>
      <c r="AC401" s="144">
        <f>IFERROR(_xlfn.XLOOKUP($B401,'Cronog. e Histog.'!$BZ:$BZ,'Cronog. e Histog.'!CX:CX),"")</f>
        <v>0</v>
      </c>
      <c r="AD401" s="144">
        <f>IFERROR(_xlfn.XLOOKUP($B401,'Cronog. e Histog.'!$BZ:$BZ,'Cronog. e Histog.'!CY:CY),"")</f>
        <v>0</v>
      </c>
      <c r="AE401" s="144">
        <f>IFERROR(_xlfn.XLOOKUP($B401,'Cronog. e Histog.'!$BZ:$BZ,'Cronog. e Histog.'!CZ:CZ),"")</f>
        <v>0</v>
      </c>
      <c r="AF401" s="144">
        <f>IFERROR(_xlfn.XLOOKUP($B401,'Cronog. e Histog.'!$BZ:$BZ,'Cronog. e Histog.'!DA:DA),"")</f>
        <v>0</v>
      </c>
      <c r="AG401" s="144">
        <f>IFERROR(_xlfn.XLOOKUP($B401,'Cronog. e Histog.'!$BZ:$BZ,'Cronog. e Histog.'!DB:DB),"")</f>
        <v>0</v>
      </c>
      <c r="AH401" s="144">
        <f>IFERROR(_xlfn.XLOOKUP($B401,'Cronog. e Histog.'!$BZ:$BZ,'Cronog. e Histog.'!DC:DC),"")</f>
        <v>0</v>
      </c>
      <c r="AI401" s="144">
        <f>IFERROR(_xlfn.XLOOKUP($B401,'Cronog. e Histog.'!$BZ:$BZ,'Cronog. e Histog.'!DD:DD),"")</f>
        <v>0</v>
      </c>
      <c r="AJ401" s="144">
        <f>IFERROR(_xlfn.XLOOKUP($B401,'Cronog. e Histog.'!$BZ:$BZ,'Cronog. e Histog.'!DE:DE),"")</f>
        <v>0</v>
      </c>
      <c r="AK401" s="144">
        <f>IFERROR(_xlfn.XLOOKUP($B401,'Cronog. e Histog.'!$BZ:$BZ,'Cronog. e Histog.'!DF:DF),"")</f>
        <v>0</v>
      </c>
      <c r="AL401" s="144">
        <f>IFERROR(_xlfn.XLOOKUP($B401,'Cronog. e Histog.'!$BZ:$BZ,'Cronog. e Histog.'!DG:DG),"")</f>
        <v>0</v>
      </c>
      <c r="AM401" s="144">
        <f>IFERROR(_xlfn.XLOOKUP($B401,'Cronog. e Histog.'!$BZ:$BZ,'Cronog. e Histog.'!DH:DH),"")</f>
        <v>0</v>
      </c>
      <c r="AN401" s="144">
        <f>IFERROR(_xlfn.XLOOKUP($B401,'Cronog. e Histog.'!$BZ:$BZ,'Cronog. e Histog.'!DI:DI),"")</f>
        <v>0</v>
      </c>
      <c r="AO401" s="144">
        <f>IFERROR(_xlfn.XLOOKUP($B401,'Cronog. e Histog.'!$BZ:$BZ,'Cronog. e Histog.'!DJ:DJ),"")</f>
        <v>0</v>
      </c>
      <c r="AP401" s="144">
        <f>IFERROR(_xlfn.XLOOKUP($B401,'Cronog. e Histog.'!$BZ:$BZ,'Cronog. e Histog.'!DK:DK),"")</f>
        <v>0</v>
      </c>
      <c r="AQ401" s="144">
        <f>IFERROR(_xlfn.XLOOKUP($B401,'Cronog. e Histog.'!$BZ:$BZ,'Cronog. e Histog.'!DL:DL),"")</f>
        <v>0</v>
      </c>
      <c r="AR401" s="144">
        <f>IFERROR(_xlfn.XLOOKUP($B401,'Cronog. e Histog.'!$BZ:$BZ,'Cronog. e Histog.'!DM:DM),"")</f>
        <v>0</v>
      </c>
      <c r="AS401" s="144">
        <f>IFERROR(_xlfn.XLOOKUP($B401,'Cronog. e Histog.'!$BZ:$BZ,'Cronog. e Histog.'!DN:DN),"")</f>
        <v>0</v>
      </c>
      <c r="AT401" s="144">
        <f>IFERROR(_xlfn.XLOOKUP($B401,'Cronog. e Histog.'!$BZ:$BZ,'Cronog. e Histog.'!DO:DO),"")</f>
        <v>0</v>
      </c>
      <c r="AU401" s="144">
        <f>IFERROR(_xlfn.XLOOKUP($B401,'Cronog. e Histog.'!$BZ:$BZ,'Cronog. e Histog.'!DP:DP),"")</f>
        <v>0</v>
      </c>
      <c r="AV401" s="144">
        <f>IFERROR(_xlfn.XLOOKUP($B401,'Cronog. e Histog.'!$BZ:$BZ,'Cronog. e Histog.'!DQ:DQ),"")</f>
        <v>0</v>
      </c>
      <c r="AW401" s="144">
        <f>IFERROR(_xlfn.XLOOKUP($B401,'Cronog. e Histog.'!$BZ:$BZ,'Cronog. e Histog.'!DR:DR),"")</f>
        <v>0</v>
      </c>
      <c r="AX401" s="144">
        <f>IFERROR(_xlfn.XLOOKUP($B401,'Cronog. e Histog.'!$BZ:$BZ,'Cronog. e Histog.'!DS:DS),"")</f>
        <v>0</v>
      </c>
      <c r="AY401" s="144">
        <f>IFERROR(_xlfn.XLOOKUP($B401,'Cronog. e Histog.'!$BZ:$BZ,'Cronog. e Histog.'!DT:DT),"")</f>
        <v>0</v>
      </c>
      <c r="AZ401" s="144">
        <f>IFERROR(_xlfn.XLOOKUP($B401,'Cronog. e Histog.'!$BZ:$BZ,'Cronog. e Histog.'!DU:DU),"")</f>
        <v>0</v>
      </c>
      <c r="BA401" s="144">
        <f>IFERROR(_xlfn.XLOOKUP($B401,'Cronog. e Histog.'!$BZ:$BZ,'Cronog. e Histog.'!DV:DV),"")</f>
        <v>0</v>
      </c>
      <c r="BB401" s="144">
        <f>IFERROR(_xlfn.XLOOKUP($B401,'Cronog. e Histog.'!$BZ:$BZ,'Cronog. e Histog.'!DW:DW),"")</f>
        <v>0</v>
      </c>
      <c r="BC401" s="144">
        <f>IFERROR(_xlfn.XLOOKUP($B401,'Cronog. e Histog.'!$BZ:$BZ,'Cronog. e Histog.'!DX:DX),"")</f>
        <v>0</v>
      </c>
      <c r="BD401" s="144">
        <f>IFERROR(_xlfn.XLOOKUP($B401,'Cronog. e Histog.'!$BZ:$BZ,'Cronog. e Histog.'!DY:DY),"")</f>
        <v>0</v>
      </c>
      <c r="BE401" s="144">
        <f>IFERROR(_xlfn.XLOOKUP($B401,'Cronog. e Histog.'!$BZ:$BZ,'Cronog. e Histog.'!DZ:DZ),"")</f>
        <v>0</v>
      </c>
      <c r="BF401" s="144">
        <f>IFERROR(_xlfn.XLOOKUP($B401,'Cronog. e Histog.'!$BZ:$BZ,'Cronog. e Histog.'!EA:EA),"")</f>
        <v>0</v>
      </c>
      <c r="BG401" s="144">
        <f>IFERROR(_xlfn.XLOOKUP($B401,'Cronog. e Histog.'!$BZ:$BZ,'Cronog. e Histog.'!EB:EB),"")</f>
        <v>0</v>
      </c>
      <c r="BH401" s="144">
        <f>IFERROR(_xlfn.XLOOKUP($B401,'Cronog. e Histog.'!$BZ:$BZ,'Cronog. e Histog.'!EC:EC),"")</f>
        <v>0</v>
      </c>
      <c r="BI401" s="144">
        <f>IFERROR(_xlfn.XLOOKUP($B401,'Cronog. e Histog.'!$BZ:$BZ,'Cronog. e Histog.'!ED:ED),"")</f>
        <v>0</v>
      </c>
      <c r="BJ401" s="144">
        <f>IFERROR(_xlfn.XLOOKUP($B401,'Cronog. e Histog.'!$BZ:$BZ,'Cronog. e Histog.'!EE:EE),"")</f>
        <v>0</v>
      </c>
      <c r="BK401" s="144">
        <f>IFERROR(_xlfn.XLOOKUP($B401,'Cronog. e Histog.'!$BZ:$BZ,'Cronog. e Histog.'!EF:EF),"")</f>
        <v>0</v>
      </c>
      <c r="BL401" s="144">
        <f>IFERROR(_xlfn.XLOOKUP($B401,'Cronog. e Histog.'!$BZ:$BZ,'Cronog. e Histog.'!EG:EG),"")</f>
        <v>0</v>
      </c>
      <c r="BM401" s="144">
        <f>IFERROR(_xlfn.XLOOKUP($B401,'Cronog. e Histog.'!$BZ:$BZ,'Cronog. e Histog.'!EH:EH),"")</f>
        <v>0</v>
      </c>
      <c r="BN401" s="144">
        <f>IFERROR(_xlfn.XLOOKUP($B401,'Cronog. e Histog.'!$BZ:$BZ,'Cronog. e Histog.'!EI:EI),"")</f>
        <v>0</v>
      </c>
    </row>
    <row r="402" spans="2:66" ht="12" hidden="1" customHeight="1" outlineLevel="1">
      <c r="B402" s="76">
        <v>396</v>
      </c>
      <c r="C402" s="143" t="str">
        <f>IFERROR(VLOOKUP(B402,'Cronog. e Histog.'!$BZ$213:$CA$747,2,0),"")</f>
        <v>AUX TEC</v>
      </c>
      <c r="D402" s="144">
        <f t="shared" si="8"/>
        <v>0</v>
      </c>
      <c r="E402" s="144">
        <f t="shared" si="9"/>
        <v>0</v>
      </c>
      <c r="F402" s="65"/>
      <c r="G402" s="144">
        <f>IFERROR(_xlfn.XLOOKUP($B402,'Cronog. e Histog.'!$BZ:$BZ,'Cronog. e Histog.'!CB:CB),"")</f>
        <v>0</v>
      </c>
      <c r="H402" s="144">
        <f>IFERROR(_xlfn.XLOOKUP($B402,'Cronog. e Histog.'!$BZ:$BZ,'Cronog. e Histog.'!CC:CC),"")</f>
        <v>0</v>
      </c>
      <c r="I402" s="144">
        <f>IFERROR(_xlfn.XLOOKUP($B402,'Cronog. e Histog.'!$BZ:$BZ,'Cronog. e Histog.'!CD:CD),"")</f>
        <v>0</v>
      </c>
      <c r="J402" s="144">
        <f>IFERROR(_xlfn.XLOOKUP($B402,'Cronog. e Histog.'!$BZ:$BZ,'Cronog. e Histog.'!CE:CE),"")</f>
        <v>0</v>
      </c>
      <c r="K402" s="144">
        <f>IFERROR(_xlfn.XLOOKUP($B402,'Cronog. e Histog.'!$BZ:$BZ,'Cronog. e Histog.'!CF:CF),"")</f>
        <v>0</v>
      </c>
      <c r="L402" s="144">
        <f>IFERROR(_xlfn.XLOOKUP($B402,'Cronog. e Histog.'!$BZ:$BZ,'Cronog. e Histog.'!CG:CG),"")</f>
        <v>0</v>
      </c>
      <c r="M402" s="144">
        <f>IFERROR(_xlfn.XLOOKUP($B402,'Cronog. e Histog.'!$BZ:$BZ,'Cronog. e Histog.'!CH:CH),"")</f>
        <v>0</v>
      </c>
      <c r="N402" s="144">
        <f>IFERROR(_xlfn.XLOOKUP($B402,'Cronog. e Histog.'!$BZ:$BZ,'Cronog. e Histog.'!CI:CI),"")</f>
        <v>0</v>
      </c>
      <c r="O402" s="144">
        <f>IFERROR(_xlfn.XLOOKUP($B402,'Cronog. e Histog.'!$BZ:$BZ,'Cronog. e Histog.'!CJ:CJ),"")</f>
        <v>0</v>
      </c>
      <c r="P402" s="144">
        <f>IFERROR(_xlfn.XLOOKUP($B402,'Cronog. e Histog.'!$BZ:$BZ,'Cronog. e Histog.'!CK:CK),"")</f>
        <v>0</v>
      </c>
      <c r="Q402" s="144">
        <f>IFERROR(_xlfn.XLOOKUP($B402,'Cronog. e Histog.'!$BZ:$BZ,'Cronog. e Histog.'!CL:CL),"")</f>
        <v>0</v>
      </c>
      <c r="R402" s="144">
        <f>IFERROR(_xlfn.XLOOKUP($B402,'Cronog. e Histog.'!$BZ:$BZ,'Cronog. e Histog.'!CM:CM),"")</f>
        <v>0</v>
      </c>
      <c r="S402" s="144">
        <f>IFERROR(_xlfn.XLOOKUP($B402,'Cronog. e Histog.'!$BZ:$BZ,'Cronog. e Histog.'!CN:CN),"")</f>
        <v>0</v>
      </c>
      <c r="T402" s="144">
        <f>IFERROR(_xlfn.XLOOKUP($B402,'Cronog. e Histog.'!$BZ:$BZ,'Cronog. e Histog.'!CO:CO),"")</f>
        <v>0</v>
      </c>
      <c r="U402" s="144">
        <f>IFERROR(_xlfn.XLOOKUP($B402,'Cronog. e Histog.'!$BZ:$BZ,'Cronog. e Histog.'!CP:CP),"")</f>
        <v>0</v>
      </c>
      <c r="V402" s="144">
        <f>IFERROR(_xlfn.XLOOKUP($B402,'Cronog. e Histog.'!$BZ:$BZ,'Cronog. e Histog.'!CQ:CQ),"")</f>
        <v>0</v>
      </c>
      <c r="W402" s="144">
        <f>IFERROR(_xlfn.XLOOKUP($B402,'Cronog. e Histog.'!$BZ:$BZ,'Cronog. e Histog.'!CR:CR),"")</f>
        <v>0</v>
      </c>
      <c r="X402" s="144">
        <f>IFERROR(_xlfn.XLOOKUP($B402,'Cronog. e Histog.'!$BZ:$BZ,'Cronog. e Histog.'!CS:CS),"")</f>
        <v>0</v>
      </c>
      <c r="Y402" s="144">
        <f>IFERROR(_xlfn.XLOOKUP($B402,'Cronog. e Histog.'!$BZ:$BZ,'Cronog. e Histog.'!CT:CT),"")</f>
        <v>0</v>
      </c>
      <c r="Z402" s="144">
        <f>IFERROR(_xlfn.XLOOKUP($B402,'Cronog. e Histog.'!$BZ:$BZ,'Cronog. e Histog.'!CU:CU),"")</f>
        <v>0</v>
      </c>
      <c r="AA402" s="144">
        <f>IFERROR(_xlfn.XLOOKUP($B402,'Cronog. e Histog.'!$BZ:$BZ,'Cronog. e Histog.'!CV:CV),"")</f>
        <v>0</v>
      </c>
      <c r="AB402" s="144">
        <f>IFERROR(_xlfn.XLOOKUP($B402,'Cronog. e Histog.'!$BZ:$BZ,'Cronog. e Histog.'!CW:CW),"")</f>
        <v>0</v>
      </c>
      <c r="AC402" s="144">
        <f>IFERROR(_xlfn.XLOOKUP($B402,'Cronog. e Histog.'!$BZ:$BZ,'Cronog. e Histog.'!CX:CX),"")</f>
        <v>0</v>
      </c>
      <c r="AD402" s="144">
        <f>IFERROR(_xlfn.XLOOKUP($B402,'Cronog. e Histog.'!$BZ:$BZ,'Cronog. e Histog.'!CY:CY),"")</f>
        <v>0</v>
      </c>
      <c r="AE402" s="144">
        <f>IFERROR(_xlfn.XLOOKUP($B402,'Cronog. e Histog.'!$BZ:$BZ,'Cronog. e Histog.'!CZ:CZ),"")</f>
        <v>0</v>
      </c>
      <c r="AF402" s="144">
        <f>IFERROR(_xlfn.XLOOKUP($B402,'Cronog. e Histog.'!$BZ:$BZ,'Cronog. e Histog.'!DA:DA),"")</f>
        <v>0</v>
      </c>
      <c r="AG402" s="144">
        <f>IFERROR(_xlfn.XLOOKUP($B402,'Cronog. e Histog.'!$BZ:$BZ,'Cronog. e Histog.'!DB:DB),"")</f>
        <v>0</v>
      </c>
      <c r="AH402" s="144">
        <f>IFERROR(_xlfn.XLOOKUP($B402,'Cronog. e Histog.'!$BZ:$BZ,'Cronog. e Histog.'!DC:DC),"")</f>
        <v>0</v>
      </c>
      <c r="AI402" s="144">
        <f>IFERROR(_xlfn.XLOOKUP($B402,'Cronog. e Histog.'!$BZ:$BZ,'Cronog. e Histog.'!DD:DD),"")</f>
        <v>0</v>
      </c>
      <c r="AJ402" s="144">
        <f>IFERROR(_xlfn.XLOOKUP($B402,'Cronog. e Histog.'!$BZ:$BZ,'Cronog. e Histog.'!DE:DE),"")</f>
        <v>0</v>
      </c>
      <c r="AK402" s="144">
        <f>IFERROR(_xlfn.XLOOKUP($B402,'Cronog. e Histog.'!$BZ:$BZ,'Cronog. e Histog.'!DF:DF),"")</f>
        <v>0</v>
      </c>
      <c r="AL402" s="144">
        <f>IFERROR(_xlfn.XLOOKUP($B402,'Cronog. e Histog.'!$BZ:$BZ,'Cronog. e Histog.'!DG:DG),"")</f>
        <v>0</v>
      </c>
      <c r="AM402" s="144">
        <f>IFERROR(_xlfn.XLOOKUP($B402,'Cronog. e Histog.'!$BZ:$BZ,'Cronog. e Histog.'!DH:DH),"")</f>
        <v>0</v>
      </c>
      <c r="AN402" s="144">
        <f>IFERROR(_xlfn.XLOOKUP($B402,'Cronog. e Histog.'!$BZ:$BZ,'Cronog. e Histog.'!DI:DI),"")</f>
        <v>0</v>
      </c>
      <c r="AO402" s="144">
        <f>IFERROR(_xlfn.XLOOKUP($B402,'Cronog. e Histog.'!$BZ:$BZ,'Cronog. e Histog.'!DJ:DJ),"")</f>
        <v>0</v>
      </c>
      <c r="AP402" s="144">
        <f>IFERROR(_xlfn.XLOOKUP($B402,'Cronog. e Histog.'!$BZ:$BZ,'Cronog. e Histog.'!DK:DK),"")</f>
        <v>0</v>
      </c>
      <c r="AQ402" s="144">
        <f>IFERROR(_xlfn.XLOOKUP($B402,'Cronog. e Histog.'!$BZ:$BZ,'Cronog. e Histog.'!DL:DL),"")</f>
        <v>0</v>
      </c>
      <c r="AR402" s="144">
        <f>IFERROR(_xlfn.XLOOKUP($B402,'Cronog. e Histog.'!$BZ:$BZ,'Cronog. e Histog.'!DM:DM),"")</f>
        <v>0</v>
      </c>
      <c r="AS402" s="144">
        <f>IFERROR(_xlfn.XLOOKUP($B402,'Cronog. e Histog.'!$BZ:$BZ,'Cronog. e Histog.'!DN:DN),"")</f>
        <v>0</v>
      </c>
      <c r="AT402" s="144">
        <f>IFERROR(_xlfn.XLOOKUP($B402,'Cronog. e Histog.'!$BZ:$BZ,'Cronog. e Histog.'!DO:DO),"")</f>
        <v>0</v>
      </c>
      <c r="AU402" s="144">
        <f>IFERROR(_xlfn.XLOOKUP($B402,'Cronog. e Histog.'!$BZ:$BZ,'Cronog. e Histog.'!DP:DP),"")</f>
        <v>0</v>
      </c>
      <c r="AV402" s="144">
        <f>IFERROR(_xlfn.XLOOKUP($B402,'Cronog. e Histog.'!$BZ:$BZ,'Cronog. e Histog.'!DQ:DQ),"")</f>
        <v>0</v>
      </c>
      <c r="AW402" s="144">
        <f>IFERROR(_xlfn.XLOOKUP($B402,'Cronog. e Histog.'!$BZ:$BZ,'Cronog. e Histog.'!DR:DR),"")</f>
        <v>0</v>
      </c>
      <c r="AX402" s="144">
        <f>IFERROR(_xlfn.XLOOKUP($B402,'Cronog. e Histog.'!$BZ:$BZ,'Cronog. e Histog.'!DS:DS),"")</f>
        <v>0</v>
      </c>
      <c r="AY402" s="144">
        <f>IFERROR(_xlfn.XLOOKUP($B402,'Cronog. e Histog.'!$BZ:$BZ,'Cronog. e Histog.'!DT:DT),"")</f>
        <v>0</v>
      </c>
      <c r="AZ402" s="144">
        <f>IFERROR(_xlfn.XLOOKUP($B402,'Cronog. e Histog.'!$BZ:$BZ,'Cronog. e Histog.'!DU:DU),"")</f>
        <v>0</v>
      </c>
      <c r="BA402" s="144">
        <f>IFERROR(_xlfn.XLOOKUP($B402,'Cronog. e Histog.'!$BZ:$BZ,'Cronog. e Histog.'!DV:DV),"")</f>
        <v>0</v>
      </c>
      <c r="BB402" s="144">
        <f>IFERROR(_xlfn.XLOOKUP($B402,'Cronog. e Histog.'!$BZ:$BZ,'Cronog. e Histog.'!DW:DW),"")</f>
        <v>0</v>
      </c>
      <c r="BC402" s="144">
        <f>IFERROR(_xlfn.XLOOKUP($B402,'Cronog. e Histog.'!$BZ:$BZ,'Cronog. e Histog.'!DX:DX),"")</f>
        <v>0</v>
      </c>
      <c r="BD402" s="144">
        <f>IFERROR(_xlfn.XLOOKUP($B402,'Cronog. e Histog.'!$BZ:$BZ,'Cronog. e Histog.'!DY:DY),"")</f>
        <v>0</v>
      </c>
      <c r="BE402" s="144">
        <f>IFERROR(_xlfn.XLOOKUP($B402,'Cronog. e Histog.'!$BZ:$BZ,'Cronog. e Histog.'!DZ:DZ),"")</f>
        <v>0</v>
      </c>
      <c r="BF402" s="144">
        <f>IFERROR(_xlfn.XLOOKUP($B402,'Cronog. e Histog.'!$BZ:$BZ,'Cronog. e Histog.'!EA:EA),"")</f>
        <v>0</v>
      </c>
      <c r="BG402" s="144">
        <f>IFERROR(_xlfn.XLOOKUP($B402,'Cronog. e Histog.'!$BZ:$BZ,'Cronog. e Histog.'!EB:EB),"")</f>
        <v>0</v>
      </c>
      <c r="BH402" s="144">
        <f>IFERROR(_xlfn.XLOOKUP($B402,'Cronog. e Histog.'!$BZ:$BZ,'Cronog. e Histog.'!EC:EC),"")</f>
        <v>0</v>
      </c>
      <c r="BI402" s="144">
        <f>IFERROR(_xlfn.XLOOKUP($B402,'Cronog. e Histog.'!$BZ:$BZ,'Cronog. e Histog.'!ED:ED),"")</f>
        <v>0</v>
      </c>
      <c r="BJ402" s="144">
        <f>IFERROR(_xlfn.XLOOKUP($B402,'Cronog. e Histog.'!$BZ:$BZ,'Cronog. e Histog.'!EE:EE),"")</f>
        <v>0</v>
      </c>
      <c r="BK402" s="144">
        <f>IFERROR(_xlfn.XLOOKUP($B402,'Cronog. e Histog.'!$BZ:$BZ,'Cronog. e Histog.'!EF:EF),"")</f>
        <v>0</v>
      </c>
      <c r="BL402" s="144">
        <f>IFERROR(_xlfn.XLOOKUP($B402,'Cronog. e Histog.'!$BZ:$BZ,'Cronog. e Histog.'!EG:EG),"")</f>
        <v>0</v>
      </c>
      <c r="BM402" s="144">
        <f>IFERROR(_xlfn.XLOOKUP($B402,'Cronog. e Histog.'!$BZ:$BZ,'Cronog. e Histog.'!EH:EH),"")</f>
        <v>0</v>
      </c>
      <c r="BN402" s="144">
        <f>IFERROR(_xlfn.XLOOKUP($B402,'Cronog. e Histog.'!$BZ:$BZ,'Cronog. e Histog.'!EI:EI),"")</f>
        <v>0</v>
      </c>
    </row>
    <row r="403" spans="2:66" ht="12" hidden="1" customHeight="1" outlineLevel="1">
      <c r="B403" s="76">
        <v>397</v>
      </c>
      <c r="C403" s="143" t="str">
        <f>IFERROR(VLOOKUP(B403,'Cronog. e Histog.'!$BZ$213:$CA$747,2,0),"")</f>
        <v>AUX ADM</v>
      </c>
      <c r="D403" s="144">
        <f t="shared" si="8"/>
        <v>0</v>
      </c>
      <c r="E403" s="144">
        <f t="shared" si="9"/>
        <v>0</v>
      </c>
      <c r="F403" s="65"/>
      <c r="G403" s="144">
        <f>IFERROR(_xlfn.XLOOKUP($B403,'Cronog. e Histog.'!$BZ:$BZ,'Cronog. e Histog.'!CB:CB),"")</f>
        <v>0</v>
      </c>
      <c r="H403" s="144">
        <f>IFERROR(_xlfn.XLOOKUP($B403,'Cronog. e Histog.'!$BZ:$BZ,'Cronog. e Histog.'!CC:CC),"")</f>
        <v>0</v>
      </c>
      <c r="I403" s="144">
        <f>IFERROR(_xlfn.XLOOKUP($B403,'Cronog. e Histog.'!$BZ:$BZ,'Cronog. e Histog.'!CD:CD),"")</f>
        <v>0</v>
      </c>
      <c r="J403" s="144">
        <f>IFERROR(_xlfn.XLOOKUP($B403,'Cronog. e Histog.'!$BZ:$BZ,'Cronog. e Histog.'!CE:CE),"")</f>
        <v>0</v>
      </c>
      <c r="K403" s="144">
        <f>IFERROR(_xlfn.XLOOKUP($B403,'Cronog. e Histog.'!$BZ:$BZ,'Cronog. e Histog.'!CF:CF),"")</f>
        <v>0</v>
      </c>
      <c r="L403" s="144">
        <f>IFERROR(_xlfn.XLOOKUP($B403,'Cronog. e Histog.'!$BZ:$BZ,'Cronog. e Histog.'!CG:CG),"")</f>
        <v>0</v>
      </c>
      <c r="M403" s="144">
        <f>IFERROR(_xlfn.XLOOKUP($B403,'Cronog. e Histog.'!$BZ:$BZ,'Cronog. e Histog.'!CH:CH),"")</f>
        <v>0</v>
      </c>
      <c r="N403" s="144">
        <f>IFERROR(_xlfn.XLOOKUP($B403,'Cronog. e Histog.'!$BZ:$BZ,'Cronog. e Histog.'!CI:CI),"")</f>
        <v>0</v>
      </c>
      <c r="O403" s="144">
        <f>IFERROR(_xlfn.XLOOKUP($B403,'Cronog. e Histog.'!$BZ:$BZ,'Cronog. e Histog.'!CJ:CJ),"")</f>
        <v>0</v>
      </c>
      <c r="P403" s="144">
        <f>IFERROR(_xlfn.XLOOKUP($B403,'Cronog. e Histog.'!$BZ:$BZ,'Cronog. e Histog.'!CK:CK),"")</f>
        <v>0</v>
      </c>
      <c r="Q403" s="144">
        <f>IFERROR(_xlfn.XLOOKUP($B403,'Cronog. e Histog.'!$BZ:$BZ,'Cronog. e Histog.'!CL:CL),"")</f>
        <v>0</v>
      </c>
      <c r="R403" s="144">
        <f>IFERROR(_xlfn.XLOOKUP($B403,'Cronog. e Histog.'!$BZ:$BZ,'Cronog. e Histog.'!CM:CM),"")</f>
        <v>0</v>
      </c>
      <c r="S403" s="144">
        <f>IFERROR(_xlfn.XLOOKUP($B403,'Cronog. e Histog.'!$BZ:$BZ,'Cronog. e Histog.'!CN:CN),"")</f>
        <v>0</v>
      </c>
      <c r="T403" s="144">
        <f>IFERROR(_xlfn.XLOOKUP($B403,'Cronog. e Histog.'!$BZ:$BZ,'Cronog. e Histog.'!CO:CO),"")</f>
        <v>0</v>
      </c>
      <c r="U403" s="144">
        <f>IFERROR(_xlfn.XLOOKUP($B403,'Cronog. e Histog.'!$BZ:$BZ,'Cronog. e Histog.'!CP:CP),"")</f>
        <v>0</v>
      </c>
      <c r="V403" s="144">
        <f>IFERROR(_xlfn.XLOOKUP($B403,'Cronog. e Histog.'!$BZ:$BZ,'Cronog. e Histog.'!CQ:CQ),"")</f>
        <v>0</v>
      </c>
      <c r="W403" s="144">
        <f>IFERROR(_xlfn.XLOOKUP($B403,'Cronog. e Histog.'!$BZ:$BZ,'Cronog. e Histog.'!CR:CR),"")</f>
        <v>0</v>
      </c>
      <c r="X403" s="144">
        <f>IFERROR(_xlfn.XLOOKUP($B403,'Cronog. e Histog.'!$BZ:$BZ,'Cronog. e Histog.'!CS:CS),"")</f>
        <v>0</v>
      </c>
      <c r="Y403" s="144">
        <f>IFERROR(_xlfn.XLOOKUP($B403,'Cronog. e Histog.'!$BZ:$BZ,'Cronog. e Histog.'!CT:CT),"")</f>
        <v>0</v>
      </c>
      <c r="Z403" s="144">
        <f>IFERROR(_xlfn.XLOOKUP($B403,'Cronog. e Histog.'!$BZ:$BZ,'Cronog. e Histog.'!CU:CU),"")</f>
        <v>0</v>
      </c>
      <c r="AA403" s="144">
        <f>IFERROR(_xlfn.XLOOKUP($B403,'Cronog. e Histog.'!$BZ:$BZ,'Cronog. e Histog.'!CV:CV),"")</f>
        <v>0</v>
      </c>
      <c r="AB403" s="144">
        <f>IFERROR(_xlfn.XLOOKUP($B403,'Cronog. e Histog.'!$BZ:$BZ,'Cronog. e Histog.'!CW:CW),"")</f>
        <v>0</v>
      </c>
      <c r="AC403" s="144">
        <f>IFERROR(_xlfn.XLOOKUP($B403,'Cronog. e Histog.'!$BZ:$BZ,'Cronog. e Histog.'!CX:CX),"")</f>
        <v>0</v>
      </c>
      <c r="AD403" s="144">
        <f>IFERROR(_xlfn.XLOOKUP($B403,'Cronog. e Histog.'!$BZ:$BZ,'Cronog. e Histog.'!CY:CY),"")</f>
        <v>0</v>
      </c>
      <c r="AE403" s="144">
        <f>IFERROR(_xlfn.XLOOKUP($B403,'Cronog. e Histog.'!$BZ:$BZ,'Cronog. e Histog.'!CZ:CZ),"")</f>
        <v>0</v>
      </c>
      <c r="AF403" s="144">
        <f>IFERROR(_xlfn.XLOOKUP($B403,'Cronog. e Histog.'!$BZ:$BZ,'Cronog. e Histog.'!DA:DA),"")</f>
        <v>0</v>
      </c>
      <c r="AG403" s="144">
        <f>IFERROR(_xlfn.XLOOKUP($B403,'Cronog. e Histog.'!$BZ:$BZ,'Cronog. e Histog.'!DB:DB),"")</f>
        <v>0</v>
      </c>
      <c r="AH403" s="144">
        <f>IFERROR(_xlfn.XLOOKUP($B403,'Cronog. e Histog.'!$BZ:$BZ,'Cronog. e Histog.'!DC:DC),"")</f>
        <v>0</v>
      </c>
      <c r="AI403" s="144">
        <f>IFERROR(_xlfn.XLOOKUP($B403,'Cronog. e Histog.'!$BZ:$BZ,'Cronog. e Histog.'!DD:DD),"")</f>
        <v>0</v>
      </c>
      <c r="AJ403" s="144">
        <f>IFERROR(_xlfn.XLOOKUP($B403,'Cronog. e Histog.'!$BZ:$BZ,'Cronog. e Histog.'!DE:DE),"")</f>
        <v>0</v>
      </c>
      <c r="AK403" s="144">
        <f>IFERROR(_xlfn.XLOOKUP($B403,'Cronog. e Histog.'!$BZ:$BZ,'Cronog. e Histog.'!DF:DF),"")</f>
        <v>0</v>
      </c>
      <c r="AL403" s="144">
        <f>IFERROR(_xlfn.XLOOKUP($B403,'Cronog. e Histog.'!$BZ:$BZ,'Cronog. e Histog.'!DG:DG),"")</f>
        <v>0</v>
      </c>
      <c r="AM403" s="144">
        <f>IFERROR(_xlfn.XLOOKUP($B403,'Cronog. e Histog.'!$BZ:$BZ,'Cronog. e Histog.'!DH:DH),"")</f>
        <v>0</v>
      </c>
      <c r="AN403" s="144">
        <f>IFERROR(_xlfn.XLOOKUP($B403,'Cronog. e Histog.'!$BZ:$BZ,'Cronog. e Histog.'!DI:DI),"")</f>
        <v>0</v>
      </c>
      <c r="AO403" s="144">
        <f>IFERROR(_xlfn.XLOOKUP($B403,'Cronog. e Histog.'!$BZ:$BZ,'Cronog. e Histog.'!DJ:DJ),"")</f>
        <v>0</v>
      </c>
      <c r="AP403" s="144">
        <f>IFERROR(_xlfn.XLOOKUP($B403,'Cronog. e Histog.'!$BZ:$BZ,'Cronog. e Histog.'!DK:DK),"")</f>
        <v>0</v>
      </c>
      <c r="AQ403" s="144">
        <f>IFERROR(_xlfn.XLOOKUP($B403,'Cronog. e Histog.'!$BZ:$BZ,'Cronog. e Histog.'!DL:DL),"")</f>
        <v>0</v>
      </c>
      <c r="AR403" s="144">
        <f>IFERROR(_xlfn.XLOOKUP($B403,'Cronog. e Histog.'!$BZ:$BZ,'Cronog. e Histog.'!DM:DM),"")</f>
        <v>0</v>
      </c>
      <c r="AS403" s="144">
        <f>IFERROR(_xlfn.XLOOKUP($B403,'Cronog. e Histog.'!$BZ:$BZ,'Cronog. e Histog.'!DN:DN),"")</f>
        <v>0</v>
      </c>
      <c r="AT403" s="144">
        <f>IFERROR(_xlfn.XLOOKUP($B403,'Cronog. e Histog.'!$BZ:$BZ,'Cronog. e Histog.'!DO:DO),"")</f>
        <v>0</v>
      </c>
      <c r="AU403" s="144">
        <f>IFERROR(_xlfn.XLOOKUP($B403,'Cronog. e Histog.'!$BZ:$BZ,'Cronog. e Histog.'!DP:DP),"")</f>
        <v>0</v>
      </c>
      <c r="AV403" s="144">
        <f>IFERROR(_xlfn.XLOOKUP($B403,'Cronog. e Histog.'!$BZ:$BZ,'Cronog. e Histog.'!DQ:DQ),"")</f>
        <v>0</v>
      </c>
      <c r="AW403" s="144">
        <f>IFERROR(_xlfn.XLOOKUP($B403,'Cronog. e Histog.'!$BZ:$BZ,'Cronog. e Histog.'!DR:DR),"")</f>
        <v>0</v>
      </c>
      <c r="AX403" s="144">
        <f>IFERROR(_xlfn.XLOOKUP($B403,'Cronog. e Histog.'!$BZ:$BZ,'Cronog. e Histog.'!DS:DS),"")</f>
        <v>0</v>
      </c>
      <c r="AY403" s="144">
        <f>IFERROR(_xlfn.XLOOKUP($B403,'Cronog. e Histog.'!$BZ:$BZ,'Cronog. e Histog.'!DT:DT),"")</f>
        <v>0</v>
      </c>
      <c r="AZ403" s="144">
        <f>IFERROR(_xlfn.XLOOKUP($B403,'Cronog. e Histog.'!$BZ:$BZ,'Cronog. e Histog.'!DU:DU),"")</f>
        <v>0</v>
      </c>
      <c r="BA403" s="144">
        <f>IFERROR(_xlfn.XLOOKUP($B403,'Cronog. e Histog.'!$BZ:$BZ,'Cronog. e Histog.'!DV:DV),"")</f>
        <v>0</v>
      </c>
      <c r="BB403" s="144">
        <f>IFERROR(_xlfn.XLOOKUP($B403,'Cronog. e Histog.'!$BZ:$BZ,'Cronog. e Histog.'!DW:DW),"")</f>
        <v>0</v>
      </c>
      <c r="BC403" s="144">
        <f>IFERROR(_xlfn.XLOOKUP($B403,'Cronog. e Histog.'!$BZ:$BZ,'Cronog. e Histog.'!DX:DX),"")</f>
        <v>0</v>
      </c>
      <c r="BD403" s="144">
        <f>IFERROR(_xlfn.XLOOKUP($B403,'Cronog. e Histog.'!$BZ:$BZ,'Cronog. e Histog.'!DY:DY),"")</f>
        <v>0</v>
      </c>
      <c r="BE403" s="144">
        <f>IFERROR(_xlfn.XLOOKUP($B403,'Cronog. e Histog.'!$BZ:$BZ,'Cronog. e Histog.'!DZ:DZ),"")</f>
        <v>0</v>
      </c>
      <c r="BF403" s="144">
        <f>IFERROR(_xlfn.XLOOKUP($B403,'Cronog. e Histog.'!$BZ:$BZ,'Cronog. e Histog.'!EA:EA),"")</f>
        <v>0</v>
      </c>
      <c r="BG403" s="144">
        <f>IFERROR(_xlfn.XLOOKUP($B403,'Cronog. e Histog.'!$BZ:$BZ,'Cronog. e Histog.'!EB:EB),"")</f>
        <v>0</v>
      </c>
      <c r="BH403" s="144">
        <f>IFERROR(_xlfn.XLOOKUP($B403,'Cronog. e Histog.'!$BZ:$BZ,'Cronog. e Histog.'!EC:EC),"")</f>
        <v>0</v>
      </c>
      <c r="BI403" s="144">
        <f>IFERROR(_xlfn.XLOOKUP($B403,'Cronog. e Histog.'!$BZ:$BZ,'Cronog. e Histog.'!ED:ED),"")</f>
        <v>0</v>
      </c>
      <c r="BJ403" s="144">
        <f>IFERROR(_xlfn.XLOOKUP($B403,'Cronog. e Histog.'!$BZ:$BZ,'Cronog. e Histog.'!EE:EE),"")</f>
        <v>0</v>
      </c>
      <c r="BK403" s="144">
        <f>IFERROR(_xlfn.XLOOKUP($B403,'Cronog. e Histog.'!$BZ:$BZ,'Cronog. e Histog.'!EF:EF),"")</f>
        <v>0</v>
      </c>
      <c r="BL403" s="144">
        <f>IFERROR(_xlfn.XLOOKUP($B403,'Cronog. e Histog.'!$BZ:$BZ,'Cronog. e Histog.'!EG:EG),"")</f>
        <v>0</v>
      </c>
      <c r="BM403" s="144">
        <f>IFERROR(_xlfn.XLOOKUP($B403,'Cronog. e Histog.'!$BZ:$BZ,'Cronog. e Histog.'!EH:EH),"")</f>
        <v>0</v>
      </c>
      <c r="BN403" s="144">
        <f>IFERROR(_xlfn.XLOOKUP($B403,'Cronog. e Histog.'!$BZ:$BZ,'Cronog. e Histog.'!EI:EI),"")</f>
        <v>0</v>
      </c>
    </row>
    <row r="404" spans="2:66" ht="12" hidden="1" customHeight="1" outlineLevel="1">
      <c r="B404" s="76">
        <v>398</v>
      </c>
      <c r="C404" s="143" t="str">
        <f>IFERROR(VLOOKUP(B404,'Cronog. e Histog.'!$BZ$213:$CA$747,2,0),"")</f>
        <v>EST</v>
      </c>
      <c r="D404" s="144">
        <f t="shared" si="8"/>
        <v>0</v>
      </c>
      <c r="E404" s="144">
        <f t="shared" si="9"/>
        <v>0</v>
      </c>
      <c r="F404" s="65"/>
      <c r="G404" s="144">
        <f>IFERROR(_xlfn.XLOOKUP($B404,'Cronog. e Histog.'!$BZ:$BZ,'Cronog. e Histog.'!CB:CB),"")</f>
        <v>0</v>
      </c>
      <c r="H404" s="144">
        <f>IFERROR(_xlfn.XLOOKUP($B404,'Cronog. e Histog.'!$BZ:$BZ,'Cronog. e Histog.'!CC:CC),"")</f>
        <v>0</v>
      </c>
      <c r="I404" s="144">
        <f>IFERROR(_xlfn.XLOOKUP($B404,'Cronog. e Histog.'!$BZ:$BZ,'Cronog. e Histog.'!CD:CD),"")</f>
        <v>0</v>
      </c>
      <c r="J404" s="144">
        <f>IFERROR(_xlfn.XLOOKUP($B404,'Cronog. e Histog.'!$BZ:$BZ,'Cronog. e Histog.'!CE:CE),"")</f>
        <v>0</v>
      </c>
      <c r="K404" s="144">
        <f>IFERROR(_xlfn.XLOOKUP($B404,'Cronog. e Histog.'!$BZ:$BZ,'Cronog. e Histog.'!CF:CF),"")</f>
        <v>0</v>
      </c>
      <c r="L404" s="144">
        <f>IFERROR(_xlfn.XLOOKUP($B404,'Cronog. e Histog.'!$BZ:$BZ,'Cronog. e Histog.'!CG:CG),"")</f>
        <v>0</v>
      </c>
      <c r="M404" s="144">
        <f>IFERROR(_xlfn.XLOOKUP($B404,'Cronog. e Histog.'!$BZ:$BZ,'Cronog. e Histog.'!CH:CH),"")</f>
        <v>0</v>
      </c>
      <c r="N404" s="144">
        <f>IFERROR(_xlfn.XLOOKUP($B404,'Cronog. e Histog.'!$BZ:$BZ,'Cronog. e Histog.'!CI:CI),"")</f>
        <v>0</v>
      </c>
      <c r="O404" s="144">
        <f>IFERROR(_xlfn.XLOOKUP($B404,'Cronog. e Histog.'!$BZ:$BZ,'Cronog. e Histog.'!CJ:CJ),"")</f>
        <v>0</v>
      </c>
      <c r="P404" s="144">
        <f>IFERROR(_xlfn.XLOOKUP($B404,'Cronog. e Histog.'!$BZ:$BZ,'Cronog. e Histog.'!CK:CK),"")</f>
        <v>0</v>
      </c>
      <c r="Q404" s="144">
        <f>IFERROR(_xlfn.XLOOKUP($B404,'Cronog. e Histog.'!$BZ:$BZ,'Cronog. e Histog.'!CL:CL),"")</f>
        <v>0</v>
      </c>
      <c r="R404" s="144">
        <f>IFERROR(_xlfn.XLOOKUP($B404,'Cronog. e Histog.'!$BZ:$BZ,'Cronog. e Histog.'!CM:CM),"")</f>
        <v>0</v>
      </c>
      <c r="S404" s="144">
        <f>IFERROR(_xlfn.XLOOKUP($B404,'Cronog. e Histog.'!$BZ:$BZ,'Cronog. e Histog.'!CN:CN),"")</f>
        <v>0</v>
      </c>
      <c r="T404" s="144">
        <f>IFERROR(_xlfn.XLOOKUP($B404,'Cronog. e Histog.'!$BZ:$BZ,'Cronog. e Histog.'!CO:CO),"")</f>
        <v>0</v>
      </c>
      <c r="U404" s="144">
        <f>IFERROR(_xlfn.XLOOKUP($B404,'Cronog. e Histog.'!$BZ:$BZ,'Cronog. e Histog.'!CP:CP),"")</f>
        <v>0</v>
      </c>
      <c r="V404" s="144">
        <f>IFERROR(_xlfn.XLOOKUP($B404,'Cronog. e Histog.'!$BZ:$BZ,'Cronog. e Histog.'!CQ:CQ),"")</f>
        <v>0</v>
      </c>
      <c r="W404" s="144">
        <f>IFERROR(_xlfn.XLOOKUP($B404,'Cronog. e Histog.'!$BZ:$BZ,'Cronog. e Histog.'!CR:CR),"")</f>
        <v>0</v>
      </c>
      <c r="X404" s="144">
        <f>IFERROR(_xlfn.XLOOKUP($B404,'Cronog. e Histog.'!$BZ:$BZ,'Cronog. e Histog.'!CS:CS),"")</f>
        <v>0</v>
      </c>
      <c r="Y404" s="144">
        <f>IFERROR(_xlfn.XLOOKUP($B404,'Cronog. e Histog.'!$BZ:$BZ,'Cronog. e Histog.'!CT:CT),"")</f>
        <v>0</v>
      </c>
      <c r="Z404" s="144">
        <f>IFERROR(_xlfn.XLOOKUP($B404,'Cronog. e Histog.'!$BZ:$BZ,'Cronog. e Histog.'!CU:CU),"")</f>
        <v>0</v>
      </c>
      <c r="AA404" s="144">
        <f>IFERROR(_xlfn.XLOOKUP($B404,'Cronog. e Histog.'!$BZ:$BZ,'Cronog. e Histog.'!CV:CV),"")</f>
        <v>0</v>
      </c>
      <c r="AB404" s="144">
        <f>IFERROR(_xlfn.XLOOKUP($B404,'Cronog. e Histog.'!$BZ:$BZ,'Cronog. e Histog.'!CW:CW),"")</f>
        <v>0</v>
      </c>
      <c r="AC404" s="144">
        <f>IFERROR(_xlfn.XLOOKUP($B404,'Cronog. e Histog.'!$BZ:$BZ,'Cronog. e Histog.'!CX:CX),"")</f>
        <v>0</v>
      </c>
      <c r="AD404" s="144">
        <f>IFERROR(_xlfn.XLOOKUP($B404,'Cronog. e Histog.'!$BZ:$BZ,'Cronog. e Histog.'!CY:CY),"")</f>
        <v>0</v>
      </c>
      <c r="AE404" s="144">
        <f>IFERROR(_xlfn.XLOOKUP($B404,'Cronog. e Histog.'!$BZ:$BZ,'Cronog. e Histog.'!CZ:CZ),"")</f>
        <v>0</v>
      </c>
      <c r="AF404" s="144">
        <f>IFERROR(_xlfn.XLOOKUP($B404,'Cronog. e Histog.'!$BZ:$BZ,'Cronog. e Histog.'!DA:DA),"")</f>
        <v>0</v>
      </c>
      <c r="AG404" s="144">
        <f>IFERROR(_xlfn.XLOOKUP($B404,'Cronog. e Histog.'!$BZ:$BZ,'Cronog. e Histog.'!DB:DB),"")</f>
        <v>0</v>
      </c>
      <c r="AH404" s="144">
        <f>IFERROR(_xlfn.XLOOKUP($B404,'Cronog. e Histog.'!$BZ:$BZ,'Cronog. e Histog.'!DC:DC),"")</f>
        <v>0</v>
      </c>
      <c r="AI404" s="144">
        <f>IFERROR(_xlfn.XLOOKUP($B404,'Cronog. e Histog.'!$BZ:$BZ,'Cronog. e Histog.'!DD:DD),"")</f>
        <v>0</v>
      </c>
      <c r="AJ404" s="144">
        <f>IFERROR(_xlfn.XLOOKUP($B404,'Cronog. e Histog.'!$BZ:$BZ,'Cronog. e Histog.'!DE:DE),"")</f>
        <v>0</v>
      </c>
      <c r="AK404" s="144">
        <f>IFERROR(_xlfn.XLOOKUP($B404,'Cronog. e Histog.'!$BZ:$BZ,'Cronog. e Histog.'!DF:DF),"")</f>
        <v>0</v>
      </c>
      <c r="AL404" s="144">
        <f>IFERROR(_xlfn.XLOOKUP($B404,'Cronog. e Histog.'!$BZ:$BZ,'Cronog. e Histog.'!DG:DG),"")</f>
        <v>0</v>
      </c>
      <c r="AM404" s="144">
        <f>IFERROR(_xlfn.XLOOKUP($B404,'Cronog. e Histog.'!$BZ:$BZ,'Cronog. e Histog.'!DH:DH),"")</f>
        <v>0</v>
      </c>
      <c r="AN404" s="144">
        <f>IFERROR(_xlfn.XLOOKUP($B404,'Cronog. e Histog.'!$BZ:$BZ,'Cronog. e Histog.'!DI:DI),"")</f>
        <v>0</v>
      </c>
      <c r="AO404" s="144">
        <f>IFERROR(_xlfn.XLOOKUP($B404,'Cronog. e Histog.'!$BZ:$BZ,'Cronog. e Histog.'!DJ:DJ),"")</f>
        <v>0</v>
      </c>
      <c r="AP404" s="144">
        <f>IFERROR(_xlfn.XLOOKUP($B404,'Cronog. e Histog.'!$BZ:$BZ,'Cronog. e Histog.'!DK:DK),"")</f>
        <v>0</v>
      </c>
      <c r="AQ404" s="144">
        <f>IFERROR(_xlfn.XLOOKUP($B404,'Cronog. e Histog.'!$BZ:$BZ,'Cronog. e Histog.'!DL:DL),"")</f>
        <v>0</v>
      </c>
      <c r="AR404" s="144">
        <f>IFERROR(_xlfn.XLOOKUP($B404,'Cronog. e Histog.'!$BZ:$BZ,'Cronog. e Histog.'!DM:DM),"")</f>
        <v>0</v>
      </c>
      <c r="AS404" s="144">
        <f>IFERROR(_xlfn.XLOOKUP($B404,'Cronog. e Histog.'!$BZ:$BZ,'Cronog. e Histog.'!DN:DN),"")</f>
        <v>0</v>
      </c>
      <c r="AT404" s="144">
        <f>IFERROR(_xlfn.XLOOKUP($B404,'Cronog. e Histog.'!$BZ:$BZ,'Cronog. e Histog.'!DO:DO),"")</f>
        <v>0</v>
      </c>
      <c r="AU404" s="144">
        <f>IFERROR(_xlfn.XLOOKUP($B404,'Cronog. e Histog.'!$BZ:$BZ,'Cronog. e Histog.'!DP:DP),"")</f>
        <v>0</v>
      </c>
      <c r="AV404" s="144">
        <f>IFERROR(_xlfn.XLOOKUP($B404,'Cronog. e Histog.'!$BZ:$BZ,'Cronog. e Histog.'!DQ:DQ),"")</f>
        <v>0</v>
      </c>
      <c r="AW404" s="144">
        <f>IFERROR(_xlfn.XLOOKUP($B404,'Cronog. e Histog.'!$BZ:$BZ,'Cronog. e Histog.'!DR:DR),"")</f>
        <v>0</v>
      </c>
      <c r="AX404" s="144">
        <f>IFERROR(_xlfn.XLOOKUP($B404,'Cronog. e Histog.'!$BZ:$BZ,'Cronog. e Histog.'!DS:DS),"")</f>
        <v>0</v>
      </c>
      <c r="AY404" s="144">
        <f>IFERROR(_xlfn.XLOOKUP($B404,'Cronog. e Histog.'!$BZ:$BZ,'Cronog. e Histog.'!DT:DT),"")</f>
        <v>0</v>
      </c>
      <c r="AZ404" s="144">
        <f>IFERROR(_xlfn.XLOOKUP($B404,'Cronog. e Histog.'!$BZ:$BZ,'Cronog. e Histog.'!DU:DU),"")</f>
        <v>0</v>
      </c>
      <c r="BA404" s="144">
        <f>IFERROR(_xlfn.XLOOKUP($B404,'Cronog. e Histog.'!$BZ:$BZ,'Cronog. e Histog.'!DV:DV),"")</f>
        <v>0</v>
      </c>
      <c r="BB404" s="144">
        <f>IFERROR(_xlfn.XLOOKUP($B404,'Cronog. e Histog.'!$BZ:$BZ,'Cronog. e Histog.'!DW:DW),"")</f>
        <v>0</v>
      </c>
      <c r="BC404" s="144">
        <f>IFERROR(_xlfn.XLOOKUP($B404,'Cronog. e Histog.'!$BZ:$BZ,'Cronog. e Histog.'!DX:DX),"")</f>
        <v>0</v>
      </c>
      <c r="BD404" s="144">
        <f>IFERROR(_xlfn.XLOOKUP($B404,'Cronog. e Histog.'!$BZ:$BZ,'Cronog. e Histog.'!DY:DY),"")</f>
        <v>0</v>
      </c>
      <c r="BE404" s="144">
        <f>IFERROR(_xlfn.XLOOKUP($B404,'Cronog. e Histog.'!$BZ:$BZ,'Cronog. e Histog.'!DZ:DZ),"")</f>
        <v>0</v>
      </c>
      <c r="BF404" s="144">
        <f>IFERROR(_xlfn.XLOOKUP($B404,'Cronog. e Histog.'!$BZ:$BZ,'Cronog. e Histog.'!EA:EA),"")</f>
        <v>0</v>
      </c>
      <c r="BG404" s="144">
        <f>IFERROR(_xlfn.XLOOKUP($B404,'Cronog. e Histog.'!$BZ:$BZ,'Cronog. e Histog.'!EB:EB),"")</f>
        <v>0</v>
      </c>
      <c r="BH404" s="144">
        <f>IFERROR(_xlfn.XLOOKUP($B404,'Cronog. e Histog.'!$BZ:$BZ,'Cronog. e Histog.'!EC:EC),"")</f>
        <v>0</v>
      </c>
      <c r="BI404" s="144">
        <f>IFERROR(_xlfn.XLOOKUP($B404,'Cronog. e Histog.'!$BZ:$BZ,'Cronog. e Histog.'!ED:ED),"")</f>
        <v>0</v>
      </c>
      <c r="BJ404" s="144">
        <f>IFERROR(_xlfn.XLOOKUP($B404,'Cronog. e Histog.'!$BZ:$BZ,'Cronog. e Histog.'!EE:EE),"")</f>
        <v>0</v>
      </c>
      <c r="BK404" s="144">
        <f>IFERROR(_xlfn.XLOOKUP($B404,'Cronog. e Histog.'!$BZ:$BZ,'Cronog. e Histog.'!EF:EF),"")</f>
        <v>0</v>
      </c>
      <c r="BL404" s="144">
        <f>IFERROR(_xlfn.XLOOKUP($B404,'Cronog. e Histog.'!$BZ:$BZ,'Cronog. e Histog.'!EG:EG),"")</f>
        <v>0</v>
      </c>
      <c r="BM404" s="144">
        <f>IFERROR(_xlfn.XLOOKUP($B404,'Cronog. e Histog.'!$BZ:$BZ,'Cronog. e Histog.'!EH:EH),"")</f>
        <v>0</v>
      </c>
      <c r="BN404" s="144">
        <f>IFERROR(_xlfn.XLOOKUP($B404,'Cronog. e Histog.'!$BZ:$BZ,'Cronog. e Histog.'!EI:EI),"")</f>
        <v>0</v>
      </c>
    </row>
    <row r="405" spans="2:66" ht="12" hidden="1" customHeight="1" outlineLevel="1">
      <c r="B405" s="76">
        <v>399</v>
      </c>
      <c r="C405" s="143" t="str">
        <f>IFERROR(VLOOKUP(B405,'Cronog. e Histog.'!$BZ$213:$CA$747,2,0),"")</f>
        <v>EST_II</v>
      </c>
      <c r="D405" s="144">
        <f t="shared" si="8"/>
        <v>0</v>
      </c>
      <c r="E405" s="144">
        <f t="shared" si="9"/>
        <v>0</v>
      </c>
      <c r="F405" s="65"/>
      <c r="G405" s="144">
        <f>IFERROR(_xlfn.XLOOKUP($B405,'Cronog. e Histog.'!$BZ:$BZ,'Cronog. e Histog.'!CB:CB),"")</f>
        <v>0</v>
      </c>
      <c r="H405" s="144">
        <f>IFERROR(_xlfn.XLOOKUP($B405,'Cronog. e Histog.'!$BZ:$BZ,'Cronog. e Histog.'!CC:CC),"")</f>
        <v>0</v>
      </c>
      <c r="I405" s="144">
        <f>IFERROR(_xlfn.XLOOKUP($B405,'Cronog. e Histog.'!$BZ:$BZ,'Cronog. e Histog.'!CD:CD),"")</f>
        <v>0</v>
      </c>
      <c r="J405" s="144">
        <f>IFERROR(_xlfn.XLOOKUP($B405,'Cronog. e Histog.'!$BZ:$BZ,'Cronog. e Histog.'!CE:CE),"")</f>
        <v>0</v>
      </c>
      <c r="K405" s="144">
        <f>IFERROR(_xlfn.XLOOKUP($B405,'Cronog. e Histog.'!$BZ:$BZ,'Cronog. e Histog.'!CF:CF),"")</f>
        <v>0</v>
      </c>
      <c r="L405" s="144">
        <f>IFERROR(_xlfn.XLOOKUP($B405,'Cronog. e Histog.'!$BZ:$BZ,'Cronog. e Histog.'!CG:CG),"")</f>
        <v>0</v>
      </c>
      <c r="M405" s="144">
        <f>IFERROR(_xlfn.XLOOKUP($B405,'Cronog. e Histog.'!$BZ:$BZ,'Cronog. e Histog.'!CH:CH),"")</f>
        <v>0</v>
      </c>
      <c r="N405" s="144">
        <f>IFERROR(_xlfn.XLOOKUP($B405,'Cronog. e Histog.'!$BZ:$BZ,'Cronog. e Histog.'!CI:CI),"")</f>
        <v>0</v>
      </c>
      <c r="O405" s="144">
        <f>IFERROR(_xlfn.XLOOKUP($B405,'Cronog. e Histog.'!$BZ:$BZ,'Cronog. e Histog.'!CJ:CJ),"")</f>
        <v>0</v>
      </c>
      <c r="P405" s="144">
        <f>IFERROR(_xlfn.XLOOKUP($B405,'Cronog. e Histog.'!$BZ:$BZ,'Cronog. e Histog.'!CK:CK),"")</f>
        <v>0</v>
      </c>
      <c r="Q405" s="144">
        <f>IFERROR(_xlfn.XLOOKUP($B405,'Cronog. e Histog.'!$BZ:$BZ,'Cronog. e Histog.'!CL:CL),"")</f>
        <v>0</v>
      </c>
      <c r="R405" s="144">
        <f>IFERROR(_xlfn.XLOOKUP($B405,'Cronog. e Histog.'!$BZ:$BZ,'Cronog. e Histog.'!CM:CM),"")</f>
        <v>0</v>
      </c>
      <c r="S405" s="144">
        <f>IFERROR(_xlfn.XLOOKUP($B405,'Cronog. e Histog.'!$BZ:$BZ,'Cronog. e Histog.'!CN:CN),"")</f>
        <v>0</v>
      </c>
      <c r="T405" s="144">
        <f>IFERROR(_xlfn.XLOOKUP($B405,'Cronog. e Histog.'!$BZ:$BZ,'Cronog. e Histog.'!CO:CO),"")</f>
        <v>0</v>
      </c>
      <c r="U405" s="144">
        <f>IFERROR(_xlfn.XLOOKUP($B405,'Cronog. e Histog.'!$BZ:$BZ,'Cronog. e Histog.'!CP:CP),"")</f>
        <v>0</v>
      </c>
      <c r="V405" s="144">
        <f>IFERROR(_xlfn.XLOOKUP($B405,'Cronog. e Histog.'!$BZ:$BZ,'Cronog. e Histog.'!CQ:CQ),"")</f>
        <v>0</v>
      </c>
      <c r="W405" s="144">
        <f>IFERROR(_xlfn.XLOOKUP($B405,'Cronog. e Histog.'!$BZ:$BZ,'Cronog. e Histog.'!CR:CR),"")</f>
        <v>0</v>
      </c>
      <c r="X405" s="144">
        <f>IFERROR(_xlfn.XLOOKUP($B405,'Cronog. e Histog.'!$BZ:$BZ,'Cronog. e Histog.'!CS:CS),"")</f>
        <v>0</v>
      </c>
      <c r="Y405" s="144">
        <f>IFERROR(_xlfn.XLOOKUP($B405,'Cronog. e Histog.'!$BZ:$BZ,'Cronog. e Histog.'!CT:CT),"")</f>
        <v>0</v>
      </c>
      <c r="Z405" s="144">
        <f>IFERROR(_xlfn.XLOOKUP($B405,'Cronog. e Histog.'!$BZ:$BZ,'Cronog. e Histog.'!CU:CU),"")</f>
        <v>0</v>
      </c>
      <c r="AA405" s="144">
        <f>IFERROR(_xlfn.XLOOKUP($B405,'Cronog. e Histog.'!$BZ:$BZ,'Cronog. e Histog.'!CV:CV),"")</f>
        <v>0</v>
      </c>
      <c r="AB405" s="144">
        <f>IFERROR(_xlfn.XLOOKUP($B405,'Cronog. e Histog.'!$BZ:$BZ,'Cronog. e Histog.'!CW:CW),"")</f>
        <v>0</v>
      </c>
      <c r="AC405" s="144">
        <f>IFERROR(_xlfn.XLOOKUP($B405,'Cronog. e Histog.'!$BZ:$BZ,'Cronog. e Histog.'!CX:CX),"")</f>
        <v>0</v>
      </c>
      <c r="AD405" s="144">
        <f>IFERROR(_xlfn.XLOOKUP($B405,'Cronog. e Histog.'!$BZ:$BZ,'Cronog. e Histog.'!CY:CY),"")</f>
        <v>0</v>
      </c>
      <c r="AE405" s="144">
        <f>IFERROR(_xlfn.XLOOKUP($B405,'Cronog. e Histog.'!$BZ:$BZ,'Cronog. e Histog.'!CZ:CZ),"")</f>
        <v>0</v>
      </c>
      <c r="AF405" s="144">
        <f>IFERROR(_xlfn.XLOOKUP($B405,'Cronog. e Histog.'!$BZ:$BZ,'Cronog. e Histog.'!DA:DA),"")</f>
        <v>0</v>
      </c>
      <c r="AG405" s="144">
        <f>IFERROR(_xlfn.XLOOKUP($B405,'Cronog. e Histog.'!$BZ:$BZ,'Cronog. e Histog.'!DB:DB),"")</f>
        <v>0</v>
      </c>
      <c r="AH405" s="144">
        <f>IFERROR(_xlfn.XLOOKUP($B405,'Cronog. e Histog.'!$BZ:$BZ,'Cronog. e Histog.'!DC:DC),"")</f>
        <v>0</v>
      </c>
      <c r="AI405" s="144">
        <f>IFERROR(_xlfn.XLOOKUP($B405,'Cronog. e Histog.'!$BZ:$BZ,'Cronog. e Histog.'!DD:DD),"")</f>
        <v>0</v>
      </c>
      <c r="AJ405" s="144">
        <f>IFERROR(_xlfn.XLOOKUP($B405,'Cronog. e Histog.'!$BZ:$BZ,'Cronog. e Histog.'!DE:DE),"")</f>
        <v>0</v>
      </c>
      <c r="AK405" s="144">
        <f>IFERROR(_xlfn.XLOOKUP($B405,'Cronog. e Histog.'!$BZ:$BZ,'Cronog. e Histog.'!DF:DF),"")</f>
        <v>0</v>
      </c>
      <c r="AL405" s="144">
        <f>IFERROR(_xlfn.XLOOKUP($B405,'Cronog. e Histog.'!$BZ:$BZ,'Cronog. e Histog.'!DG:DG),"")</f>
        <v>0</v>
      </c>
      <c r="AM405" s="144">
        <f>IFERROR(_xlfn.XLOOKUP($B405,'Cronog. e Histog.'!$BZ:$BZ,'Cronog. e Histog.'!DH:DH),"")</f>
        <v>0</v>
      </c>
      <c r="AN405" s="144">
        <f>IFERROR(_xlfn.XLOOKUP($B405,'Cronog. e Histog.'!$BZ:$BZ,'Cronog. e Histog.'!DI:DI),"")</f>
        <v>0</v>
      </c>
      <c r="AO405" s="144">
        <f>IFERROR(_xlfn.XLOOKUP($B405,'Cronog. e Histog.'!$BZ:$BZ,'Cronog. e Histog.'!DJ:DJ),"")</f>
        <v>0</v>
      </c>
      <c r="AP405" s="144">
        <f>IFERROR(_xlfn.XLOOKUP($B405,'Cronog. e Histog.'!$BZ:$BZ,'Cronog. e Histog.'!DK:DK),"")</f>
        <v>0</v>
      </c>
      <c r="AQ405" s="144">
        <f>IFERROR(_xlfn.XLOOKUP($B405,'Cronog. e Histog.'!$BZ:$BZ,'Cronog. e Histog.'!DL:DL),"")</f>
        <v>0</v>
      </c>
      <c r="AR405" s="144">
        <f>IFERROR(_xlfn.XLOOKUP($B405,'Cronog. e Histog.'!$BZ:$BZ,'Cronog. e Histog.'!DM:DM),"")</f>
        <v>0</v>
      </c>
      <c r="AS405" s="144">
        <f>IFERROR(_xlfn.XLOOKUP($B405,'Cronog. e Histog.'!$BZ:$BZ,'Cronog. e Histog.'!DN:DN),"")</f>
        <v>0</v>
      </c>
      <c r="AT405" s="144">
        <f>IFERROR(_xlfn.XLOOKUP($B405,'Cronog. e Histog.'!$BZ:$BZ,'Cronog. e Histog.'!DO:DO),"")</f>
        <v>0</v>
      </c>
      <c r="AU405" s="144">
        <f>IFERROR(_xlfn.XLOOKUP($B405,'Cronog. e Histog.'!$BZ:$BZ,'Cronog. e Histog.'!DP:DP),"")</f>
        <v>0</v>
      </c>
      <c r="AV405" s="144">
        <f>IFERROR(_xlfn.XLOOKUP($B405,'Cronog. e Histog.'!$BZ:$BZ,'Cronog. e Histog.'!DQ:DQ),"")</f>
        <v>0</v>
      </c>
      <c r="AW405" s="144">
        <f>IFERROR(_xlfn.XLOOKUP($B405,'Cronog. e Histog.'!$BZ:$BZ,'Cronog. e Histog.'!DR:DR),"")</f>
        <v>0</v>
      </c>
      <c r="AX405" s="144">
        <f>IFERROR(_xlfn.XLOOKUP($B405,'Cronog. e Histog.'!$BZ:$BZ,'Cronog. e Histog.'!DS:DS),"")</f>
        <v>0</v>
      </c>
      <c r="AY405" s="144">
        <f>IFERROR(_xlfn.XLOOKUP($B405,'Cronog. e Histog.'!$BZ:$BZ,'Cronog. e Histog.'!DT:DT),"")</f>
        <v>0</v>
      </c>
      <c r="AZ405" s="144">
        <f>IFERROR(_xlfn.XLOOKUP($B405,'Cronog. e Histog.'!$BZ:$BZ,'Cronog. e Histog.'!DU:DU),"")</f>
        <v>0</v>
      </c>
      <c r="BA405" s="144">
        <f>IFERROR(_xlfn.XLOOKUP($B405,'Cronog. e Histog.'!$BZ:$BZ,'Cronog. e Histog.'!DV:DV),"")</f>
        <v>0</v>
      </c>
      <c r="BB405" s="144">
        <f>IFERROR(_xlfn.XLOOKUP($B405,'Cronog. e Histog.'!$BZ:$BZ,'Cronog. e Histog.'!DW:DW),"")</f>
        <v>0</v>
      </c>
      <c r="BC405" s="144">
        <f>IFERROR(_xlfn.XLOOKUP($B405,'Cronog. e Histog.'!$BZ:$BZ,'Cronog. e Histog.'!DX:DX),"")</f>
        <v>0</v>
      </c>
      <c r="BD405" s="144">
        <f>IFERROR(_xlfn.XLOOKUP($B405,'Cronog. e Histog.'!$BZ:$BZ,'Cronog. e Histog.'!DY:DY),"")</f>
        <v>0</v>
      </c>
      <c r="BE405" s="144">
        <f>IFERROR(_xlfn.XLOOKUP($B405,'Cronog. e Histog.'!$BZ:$BZ,'Cronog. e Histog.'!DZ:DZ),"")</f>
        <v>0</v>
      </c>
      <c r="BF405" s="144">
        <f>IFERROR(_xlfn.XLOOKUP($B405,'Cronog. e Histog.'!$BZ:$BZ,'Cronog. e Histog.'!EA:EA),"")</f>
        <v>0</v>
      </c>
      <c r="BG405" s="144">
        <f>IFERROR(_xlfn.XLOOKUP($B405,'Cronog. e Histog.'!$BZ:$BZ,'Cronog. e Histog.'!EB:EB),"")</f>
        <v>0</v>
      </c>
      <c r="BH405" s="144">
        <f>IFERROR(_xlfn.XLOOKUP($B405,'Cronog. e Histog.'!$BZ:$BZ,'Cronog. e Histog.'!EC:EC),"")</f>
        <v>0</v>
      </c>
      <c r="BI405" s="144">
        <f>IFERROR(_xlfn.XLOOKUP($B405,'Cronog. e Histog.'!$BZ:$BZ,'Cronog. e Histog.'!ED:ED),"")</f>
        <v>0</v>
      </c>
      <c r="BJ405" s="144">
        <f>IFERROR(_xlfn.XLOOKUP($B405,'Cronog. e Histog.'!$BZ:$BZ,'Cronog. e Histog.'!EE:EE),"")</f>
        <v>0</v>
      </c>
      <c r="BK405" s="144">
        <f>IFERROR(_xlfn.XLOOKUP($B405,'Cronog. e Histog.'!$BZ:$BZ,'Cronog. e Histog.'!EF:EF),"")</f>
        <v>0</v>
      </c>
      <c r="BL405" s="144">
        <f>IFERROR(_xlfn.XLOOKUP($B405,'Cronog. e Histog.'!$BZ:$BZ,'Cronog. e Histog.'!EG:EG),"")</f>
        <v>0</v>
      </c>
      <c r="BM405" s="144">
        <f>IFERROR(_xlfn.XLOOKUP($B405,'Cronog. e Histog.'!$BZ:$BZ,'Cronog. e Histog.'!EH:EH),"")</f>
        <v>0</v>
      </c>
      <c r="BN405" s="144">
        <f>IFERROR(_xlfn.XLOOKUP($B405,'Cronog. e Histog.'!$BZ:$BZ,'Cronog. e Histog.'!EI:EI),"")</f>
        <v>0</v>
      </c>
    </row>
    <row r="406" spans="2:66" ht="12" hidden="1" customHeight="1" outlineLevel="1">
      <c r="B406" s="76">
        <v>400</v>
      </c>
      <c r="C406" s="143" t="str">
        <f>IFERROR(VLOOKUP(B406,'Cronog. e Histog.'!$BZ$213:$CA$747,2,0),"")</f>
        <v>EST_III</v>
      </c>
      <c r="D406" s="144">
        <f t="shared" si="8"/>
        <v>0</v>
      </c>
      <c r="E406" s="144">
        <f t="shared" si="9"/>
        <v>0</v>
      </c>
      <c r="F406" s="65"/>
      <c r="G406" s="144">
        <f>IFERROR(_xlfn.XLOOKUP($B406,'Cronog. e Histog.'!$BZ:$BZ,'Cronog. e Histog.'!CB:CB),"")</f>
        <v>0</v>
      </c>
      <c r="H406" s="144">
        <f>IFERROR(_xlfn.XLOOKUP($B406,'Cronog. e Histog.'!$BZ:$BZ,'Cronog. e Histog.'!CC:CC),"")</f>
        <v>0</v>
      </c>
      <c r="I406" s="144">
        <f>IFERROR(_xlfn.XLOOKUP($B406,'Cronog. e Histog.'!$BZ:$BZ,'Cronog. e Histog.'!CD:CD),"")</f>
        <v>0</v>
      </c>
      <c r="J406" s="144">
        <f>IFERROR(_xlfn.XLOOKUP($B406,'Cronog. e Histog.'!$BZ:$BZ,'Cronog. e Histog.'!CE:CE),"")</f>
        <v>0</v>
      </c>
      <c r="K406" s="144">
        <f>IFERROR(_xlfn.XLOOKUP($B406,'Cronog. e Histog.'!$BZ:$BZ,'Cronog. e Histog.'!CF:CF),"")</f>
        <v>0</v>
      </c>
      <c r="L406" s="144">
        <f>IFERROR(_xlfn.XLOOKUP($B406,'Cronog. e Histog.'!$BZ:$BZ,'Cronog. e Histog.'!CG:CG),"")</f>
        <v>0</v>
      </c>
      <c r="M406" s="144">
        <f>IFERROR(_xlfn.XLOOKUP($B406,'Cronog. e Histog.'!$BZ:$BZ,'Cronog. e Histog.'!CH:CH),"")</f>
        <v>0</v>
      </c>
      <c r="N406" s="144">
        <f>IFERROR(_xlfn.XLOOKUP($B406,'Cronog. e Histog.'!$BZ:$BZ,'Cronog. e Histog.'!CI:CI),"")</f>
        <v>0</v>
      </c>
      <c r="O406" s="144">
        <f>IFERROR(_xlfn.XLOOKUP($B406,'Cronog. e Histog.'!$BZ:$BZ,'Cronog. e Histog.'!CJ:CJ),"")</f>
        <v>0</v>
      </c>
      <c r="P406" s="144">
        <f>IFERROR(_xlfn.XLOOKUP($B406,'Cronog. e Histog.'!$BZ:$BZ,'Cronog. e Histog.'!CK:CK),"")</f>
        <v>0</v>
      </c>
      <c r="Q406" s="144">
        <f>IFERROR(_xlfn.XLOOKUP($B406,'Cronog. e Histog.'!$BZ:$BZ,'Cronog. e Histog.'!CL:CL),"")</f>
        <v>0</v>
      </c>
      <c r="R406" s="144">
        <f>IFERROR(_xlfn.XLOOKUP($B406,'Cronog. e Histog.'!$BZ:$BZ,'Cronog. e Histog.'!CM:CM),"")</f>
        <v>0</v>
      </c>
      <c r="S406" s="144">
        <f>IFERROR(_xlfn.XLOOKUP($B406,'Cronog. e Histog.'!$BZ:$BZ,'Cronog. e Histog.'!CN:CN),"")</f>
        <v>0</v>
      </c>
      <c r="T406" s="144">
        <f>IFERROR(_xlfn.XLOOKUP($B406,'Cronog. e Histog.'!$BZ:$BZ,'Cronog. e Histog.'!CO:CO),"")</f>
        <v>0</v>
      </c>
      <c r="U406" s="144">
        <f>IFERROR(_xlfn.XLOOKUP($B406,'Cronog. e Histog.'!$BZ:$BZ,'Cronog. e Histog.'!CP:CP),"")</f>
        <v>0</v>
      </c>
      <c r="V406" s="144">
        <f>IFERROR(_xlfn.XLOOKUP($B406,'Cronog. e Histog.'!$BZ:$BZ,'Cronog. e Histog.'!CQ:CQ),"")</f>
        <v>0</v>
      </c>
      <c r="W406" s="144">
        <f>IFERROR(_xlfn.XLOOKUP($B406,'Cronog. e Histog.'!$BZ:$BZ,'Cronog. e Histog.'!CR:CR),"")</f>
        <v>0</v>
      </c>
      <c r="X406" s="144">
        <f>IFERROR(_xlfn.XLOOKUP($B406,'Cronog. e Histog.'!$BZ:$BZ,'Cronog. e Histog.'!CS:CS),"")</f>
        <v>0</v>
      </c>
      <c r="Y406" s="144">
        <f>IFERROR(_xlfn.XLOOKUP($B406,'Cronog. e Histog.'!$BZ:$BZ,'Cronog. e Histog.'!CT:CT),"")</f>
        <v>0</v>
      </c>
      <c r="Z406" s="144">
        <f>IFERROR(_xlfn.XLOOKUP($B406,'Cronog. e Histog.'!$BZ:$BZ,'Cronog. e Histog.'!CU:CU),"")</f>
        <v>0</v>
      </c>
      <c r="AA406" s="144">
        <f>IFERROR(_xlfn.XLOOKUP($B406,'Cronog. e Histog.'!$BZ:$BZ,'Cronog. e Histog.'!CV:CV),"")</f>
        <v>0</v>
      </c>
      <c r="AB406" s="144">
        <f>IFERROR(_xlfn.XLOOKUP($B406,'Cronog. e Histog.'!$BZ:$BZ,'Cronog. e Histog.'!CW:CW),"")</f>
        <v>0</v>
      </c>
      <c r="AC406" s="144">
        <f>IFERROR(_xlfn.XLOOKUP($B406,'Cronog. e Histog.'!$BZ:$BZ,'Cronog. e Histog.'!CX:CX),"")</f>
        <v>0</v>
      </c>
      <c r="AD406" s="144">
        <f>IFERROR(_xlfn.XLOOKUP($B406,'Cronog. e Histog.'!$BZ:$BZ,'Cronog. e Histog.'!CY:CY),"")</f>
        <v>0</v>
      </c>
      <c r="AE406" s="144">
        <f>IFERROR(_xlfn.XLOOKUP($B406,'Cronog. e Histog.'!$BZ:$BZ,'Cronog. e Histog.'!CZ:CZ),"")</f>
        <v>0</v>
      </c>
      <c r="AF406" s="144">
        <f>IFERROR(_xlfn.XLOOKUP($B406,'Cronog. e Histog.'!$BZ:$BZ,'Cronog. e Histog.'!DA:DA),"")</f>
        <v>0</v>
      </c>
      <c r="AG406" s="144">
        <f>IFERROR(_xlfn.XLOOKUP($B406,'Cronog. e Histog.'!$BZ:$BZ,'Cronog. e Histog.'!DB:DB),"")</f>
        <v>0</v>
      </c>
      <c r="AH406" s="144">
        <f>IFERROR(_xlfn.XLOOKUP($B406,'Cronog. e Histog.'!$BZ:$BZ,'Cronog. e Histog.'!DC:DC),"")</f>
        <v>0</v>
      </c>
      <c r="AI406" s="144">
        <f>IFERROR(_xlfn.XLOOKUP($B406,'Cronog. e Histog.'!$BZ:$BZ,'Cronog. e Histog.'!DD:DD),"")</f>
        <v>0</v>
      </c>
      <c r="AJ406" s="144">
        <f>IFERROR(_xlfn.XLOOKUP($B406,'Cronog. e Histog.'!$BZ:$BZ,'Cronog. e Histog.'!DE:DE),"")</f>
        <v>0</v>
      </c>
      <c r="AK406" s="144">
        <f>IFERROR(_xlfn.XLOOKUP($B406,'Cronog. e Histog.'!$BZ:$BZ,'Cronog. e Histog.'!DF:DF),"")</f>
        <v>0</v>
      </c>
      <c r="AL406" s="144">
        <f>IFERROR(_xlfn.XLOOKUP($B406,'Cronog. e Histog.'!$BZ:$BZ,'Cronog. e Histog.'!DG:DG),"")</f>
        <v>0</v>
      </c>
      <c r="AM406" s="144">
        <f>IFERROR(_xlfn.XLOOKUP($B406,'Cronog. e Histog.'!$BZ:$BZ,'Cronog. e Histog.'!DH:DH),"")</f>
        <v>0</v>
      </c>
      <c r="AN406" s="144">
        <f>IFERROR(_xlfn.XLOOKUP($B406,'Cronog. e Histog.'!$BZ:$BZ,'Cronog. e Histog.'!DI:DI),"")</f>
        <v>0</v>
      </c>
      <c r="AO406" s="144">
        <f>IFERROR(_xlfn.XLOOKUP($B406,'Cronog. e Histog.'!$BZ:$BZ,'Cronog. e Histog.'!DJ:DJ),"")</f>
        <v>0</v>
      </c>
      <c r="AP406" s="144">
        <f>IFERROR(_xlfn.XLOOKUP($B406,'Cronog. e Histog.'!$BZ:$BZ,'Cronog. e Histog.'!DK:DK),"")</f>
        <v>0</v>
      </c>
      <c r="AQ406" s="144">
        <f>IFERROR(_xlfn.XLOOKUP($B406,'Cronog. e Histog.'!$BZ:$BZ,'Cronog. e Histog.'!DL:DL),"")</f>
        <v>0</v>
      </c>
      <c r="AR406" s="144">
        <f>IFERROR(_xlfn.XLOOKUP($B406,'Cronog. e Histog.'!$BZ:$BZ,'Cronog. e Histog.'!DM:DM),"")</f>
        <v>0</v>
      </c>
      <c r="AS406" s="144">
        <f>IFERROR(_xlfn.XLOOKUP($B406,'Cronog. e Histog.'!$BZ:$BZ,'Cronog. e Histog.'!DN:DN),"")</f>
        <v>0</v>
      </c>
      <c r="AT406" s="144">
        <f>IFERROR(_xlfn.XLOOKUP($B406,'Cronog. e Histog.'!$BZ:$BZ,'Cronog. e Histog.'!DO:DO),"")</f>
        <v>0</v>
      </c>
      <c r="AU406" s="144">
        <f>IFERROR(_xlfn.XLOOKUP($B406,'Cronog. e Histog.'!$BZ:$BZ,'Cronog. e Histog.'!DP:DP),"")</f>
        <v>0</v>
      </c>
      <c r="AV406" s="144">
        <f>IFERROR(_xlfn.XLOOKUP($B406,'Cronog. e Histog.'!$BZ:$BZ,'Cronog. e Histog.'!DQ:DQ),"")</f>
        <v>0</v>
      </c>
      <c r="AW406" s="144">
        <f>IFERROR(_xlfn.XLOOKUP($B406,'Cronog. e Histog.'!$BZ:$BZ,'Cronog. e Histog.'!DR:DR),"")</f>
        <v>0</v>
      </c>
      <c r="AX406" s="144">
        <f>IFERROR(_xlfn.XLOOKUP($B406,'Cronog. e Histog.'!$BZ:$BZ,'Cronog. e Histog.'!DS:DS),"")</f>
        <v>0</v>
      </c>
      <c r="AY406" s="144">
        <f>IFERROR(_xlfn.XLOOKUP($B406,'Cronog. e Histog.'!$BZ:$BZ,'Cronog. e Histog.'!DT:DT),"")</f>
        <v>0</v>
      </c>
      <c r="AZ406" s="144">
        <f>IFERROR(_xlfn.XLOOKUP($B406,'Cronog. e Histog.'!$BZ:$BZ,'Cronog. e Histog.'!DU:DU),"")</f>
        <v>0</v>
      </c>
      <c r="BA406" s="144">
        <f>IFERROR(_xlfn.XLOOKUP($B406,'Cronog. e Histog.'!$BZ:$BZ,'Cronog. e Histog.'!DV:DV),"")</f>
        <v>0</v>
      </c>
      <c r="BB406" s="144">
        <f>IFERROR(_xlfn.XLOOKUP($B406,'Cronog. e Histog.'!$BZ:$BZ,'Cronog. e Histog.'!DW:DW),"")</f>
        <v>0</v>
      </c>
      <c r="BC406" s="144">
        <f>IFERROR(_xlfn.XLOOKUP($B406,'Cronog. e Histog.'!$BZ:$BZ,'Cronog. e Histog.'!DX:DX),"")</f>
        <v>0</v>
      </c>
      <c r="BD406" s="144">
        <f>IFERROR(_xlfn.XLOOKUP($B406,'Cronog. e Histog.'!$BZ:$BZ,'Cronog. e Histog.'!DY:DY),"")</f>
        <v>0</v>
      </c>
      <c r="BE406" s="144">
        <f>IFERROR(_xlfn.XLOOKUP($B406,'Cronog. e Histog.'!$BZ:$BZ,'Cronog. e Histog.'!DZ:DZ),"")</f>
        <v>0</v>
      </c>
      <c r="BF406" s="144">
        <f>IFERROR(_xlfn.XLOOKUP($B406,'Cronog. e Histog.'!$BZ:$BZ,'Cronog. e Histog.'!EA:EA),"")</f>
        <v>0</v>
      </c>
      <c r="BG406" s="144">
        <f>IFERROR(_xlfn.XLOOKUP($B406,'Cronog. e Histog.'!$BZ:$BZ,'Cronog. e Histog.'!EB:EB),"")</f>
        <v>0</v>
      </c>
      <c r="BH406" s="144">
        <f>IFERROR(_xlfn.XLOOKUP($B406,'Cronog. e Histog.'!$BZ:$BZ,'Cronog. e Histog.'!EC:EC),"")</f>
        <v>0</v>
      </c>
      <c r="BI406" s="144">
        <f>IFERROR(_xlfn.XLOOKUP($B406,'Cronog. e Histog.'!$BZ:$BZ,'Cronog. e Histog.'!ED:ED),"")</f>
        <v>0</v>
      </c>
      <c r="BJ406" s="144">
        <f>IFERROR(_xlfn.XLOOKUP($B406,'Cronog. e Histog.'!$BZ:$BZ,'Cronog. e Histog.'!EE:EE),"")</f>
        <v>0</v>
      </c>
      <c r="BK406" s="144">
        <f>IFERROR(_xlfn.XLOOKUP($B406,'Cronog. e Histog.'!$BZ:$BZ,'Cronog. e Histog.'!EF:EF),"")</f>
        <v>0</v>
      </c>
      <c r="BL406" s="144">
        <f>IFERROR(_xlfn.XLOOKUP($B406,'Cronog. e Histog.'!$BZ:$BZ,'Cronog. e Histog.'!EG:EG),"")</f>
        <v>0</v>
      </c>
      <c r="BM406" s="144">
        <f>IFERROR(_xlfn.XLOOKUP($B406,'Cronog. e Histog.'!$BZ:$BZ,'Cronog. e Histog.'!EH:EH),"")</f>
        <v>0</v>
      </c>
      <c r="BN406" s="144">
        <f>IFERROR(_xlfn.XLOOKUP($B406,'Cronog. e Histog.'!$BZ:$BZ,'Cronog. e Histog.'!EI:EI),"")</f>
        <v>0</v>
      </c>
    </row>
    <row r="407" spans="2:66" ht="12" hidden="1" customHeight="1" outlineLevel="1">
      <c r="B407" s="76">
        <v>401</v>
      </c>
      <c r="C407" s="143" t="str">
        <f>IFERROR(VLOOKUP(B407,'Cronog. e Histog.'!$BZ$213:$CA$747,2,0),"")</f>
        <v/>
      </c>
      <c r="D407" s="144">
        <f t="shared" si="6"/>
        <v>0</v>
      </c>
      <c r="E407" s="144">
        <f t="shared" si="7"/>
        <v>0</v>
      </c>
      <c r="F407" s="65"/>
      <c r="G407" s="144" t="str">
        <f>IFERROR(_xlfn.XLOOKUP($B407,'Cronog. e Histog.'!$BZ:$BZ,'Cronog. e Histog.'!CB:CB),"")</f>
        <v/>
      </c>
      <c r="H407" s="144" t="str">
        <f>IFERROR(_xlfn.XLOOKUP($B407,'Cronog. e Histog.'!$BZ:$BZ,'Cronog. e Histog.'!CC:CC),"")</f>
        <v/>
      </c>
      <c r="I407" s="144" t="str">
        <f>IFERROR(_xlfn.XLOOKUP($B407,'Cronog. e Histog.'!$BZ:$BZ,'Cronog. e Histog.'!CD:CD),"")</f>
        <v/>
      </c>
      <c r="J407" s="144" t="str">
        <f>IFERROR(_xlfn.XLOOKUP($B407,'Cronog. e Histog.'!$BZ:$BZ,'Cronog. e Histog.'!CE:CE),"")</f>
        <v/>
      </c>
      <c r="K407" s="144" t="str">
        <f>IFERROR(_xlfn.XLOOKUP($B407,'Cronog. e Histog.'!$BZ:$BZ,'Cronog. e Histog.'!CF:CF),"")</f>
        <v/>
      </c>
      <c r="L407" s="144" t="str">
        <f>IFERROR(_xlfn.XLOOKUP($B407,'Cronog. e Histog.'!$BZ:$BZ,'Cronog. e Histog.'!CG:CG),"")</f>
        <v/>
      </c>
      <c r="M407" s="144" t="str">
        <f>IFERROR(_xlfn.XLOOKUP($B407,'Cronog. e Histog.'!$BZ:$BZ,'Cronog. e Histog.'!CH:CH),"")</f>
        <v/>
      </c>
      <c r="N407" s="144" t="str">
        <f>IFERROR(_xlfn.XLOOKUP($B407,'Cronog. e Histog.'!$BZ:$BZ,'Cronog. e Histog.'!CI:CI),"")</f>
        <v/>
      </c>
      <c r="O407" s="144" t="str">
        <f>IFERROR(_xlfn.XLOOKUP($B407,'Cronog. e Histog.'!$BZ:$BZ,'Cronog. e Histog.'!CJ:CJ),"")</f>
        <v/>
      </c>
      <c r="P407" s="144" t="str">
        <f>IFERROR(_xlfn.XLOOKUP($B407,'Cronog. e Histog.'!$BZ:$BZ,'Cronog. e Histog.'!CK:CK),"")</f>
        <v/>
      </c>
      <c r="Q407" s="144" t="str">
        <f>IFERROR(_xlfn.XLOOKUP($B407,'Cronog. e Histog.'!$BZ:$BZ,'Cronog. e Histog.'!CL:CL),"")</f>
        <v/>
      </c>
      <c r="R407" s="144" t="str">
        <f>IFERROR(_xlfn.XLOOKUP($B407,'Cronog. e Histog.'!$BZ:$BZ,'Cronog. e Histog.'!CM:CM),"")</f>
        <v/>
      </c>
      <c r="S407" s="144" t="str">
        <f>IFERROR(_xlfn.XLOOKUP($B407,'Cronog. e Histog.'!$BZ:$BZ,'Cronog. e Histog.'!CN:CN),"")</f>
        <v/>
      </c>
      <c r="T407" s="144" t="str">
        <f>IFERROR(_xlfn.XLOOKUP($B407,'Cronog. e Histog.'!$BZ:$BZ,'Cronog. e Histog.'!CO:CO),"")</f>
        <v/>
      </c>
      <c r="U407" s="144" t="str">
        <f>IFERROR(_xlfn.XLOOKUP($B407,'Cronog. e Histog.'!$BZ:$BZ,'Cronog. e Histog.'!CP:CP),"")</f>
        <v/>
      </c>
      <c r="V407" s="144" t="str">
        <f>IFERROR(_xlfn.XLOOKUP($B407,'Cronog. e Histog.'!$BZ:$BZ,'Cronog. e Histog.'!CQ:CQ),"")</f>
        <v/>
      </c>
      <c r="W407" s="144" t="str">
        <f>IFERROR(_xlfn.XLOOKUP($B407,'Cronog. e Histog.'!$BZ:$BZ,'Cronog. e Histog.'!CR:CR),"")</f>
        <v/>
      </c>
      <c r="X407" s="144" t="str">
        <f>IFERROR(_xlfn.XLOOKUP($B407,'Cronog. e Histog.'!$BZ:$BZ,'Cronog. e Histog.'!CS:CS),"")</f>
        <v/>
      </c>
      <c r="Y407" s="144" t="str">
        <f>IFERROR(_xlfn.XLOOKUP($B407,'Cronog. e Histog.'!$BZ:$BZ,'Cronog. e Histog.'!CT:CT),"")</f>
        <v/>
      </c>
      <c r="Z407" s="144" t="str">
        <f>IFERROR(_xlfn.XLOOKUP($B407,'Cronog. e Histog.'!$BZ:$BZ,'Cronog. e Histog.'!CU:CU),"")</f>
        <v/>
      </c>
      <c r="AA407" s="144" t="str">
        <f>IFERROR(_xlfn.XLOOKUP($B407,'Cronog. e Histog.'!$BZ:$BZ,'Cronog. e Histog.'!CV:CV),"")</f>
        <v/>
      </c>
      <c r="AB407" s="144" t="str">
        <f>IFERROR(_xlfn.XLOOKUP($B407,'Cronog. e Histog.'!$BZ:$BZ,'Cronog. e Histog.'!CW:CW),"")</f>
        <v/>
      </c>
      <c r="AC407" s="144" t="str">
        <f>IFERROR(_xlfn.XLOOKUP($B407,'Cronog. e Histog.'!$BZ:$BZ,'Cronog. e Histog.'!CX:CX),"")</f>
        <v/>
      </c>
      <c r="AD407" s="144" t="str">
        <f>IFERROR(_xlfn.XLOOKUP($B407,'Cronog. e Histog.'!$BZ:$BZ,'Cronog. e Histog.'!CY:CY),"")</f>
        <v/>
      </c>
      <c r="AE407" s="144" t="str">
        <f>IFERROR(_xlfn.XLOOKUP($B407,'Cronog. e Histog.'!$BZ:$BZ,'Cronog. e Histog.'!CZ:CZ),"")</f>
        <v/>
      </c>
      <c r="AF407" s="144" t="str">
        <f>IFERROR(_xlfn.XLOOKUP($B407,'Cronog. e Histog.'!$BZ:$BZ,'Cronog. e Histog.'!DA:DA),"")</f>
        <v/>
      </c>
      <c r="AG407" s="144" t="str">
        <f>IFERROR(_xlfn.XLOOKUP($B407,'Cronog. e Histog.'!$BZ:$BZ,'Cronog. e Histog.'!DB:DB),"")</f>
        <v/>
      </c>
      <c r="AH407" s="144" t="str">
        <f>IFERROR(_xlfn.XLOOKUP($B407,'Cronog. e Histog.'!$BZ:$BZ,'Cronog. e Histog.'!DC:DC),"")</f>
        <v/>
      </c>
      <c r="AI407" s="144" t="str">
        <f>IFERROR(_xlfn.XLOOKUP($B407,'Cronog. e Histog.'!$BZ:$BZ,'Cronog. e Histog.'!DD:DD),"")</f>
        <v/>
      </c>
      <c r="AJ407" s="144" t="str">
        <f>IFERROR(_xlfn.XLOOKUP($B407,'Cronog. e Histog.'!$BZ:$BZ,'Cronog. e Histog.'!DE:DE),"")</f>
        <v/>
      </c>
      <c r="AK407" s="144" t="str">
        <f>IFERROR(_xlfn.XLOOKUP($B407,'Cronog. e Histog.'!$BZ:$BZ,'Cronog. e Histog.'!DF:DF),"")</f>
        <v/>
      </c>
      <c r="AL407" s="144" t="str">
        <f>IFERROR(_xlfn.XLOOKUP($B407,'Cronog. e Histog.'!$BZ:$BZ,'Cronog. e Histog.'!DG:DG),"")</f>
        <v/>
      </c>
      <c r="AM407" s="144" t="str">
        <f>IFERROR(_xlfn.XLOOKUP($B407,'Cronog. e Histog.'!$BZ:$BZ,'Cronog. e Histog.'!DH:DH),"")</f>
        <v/>
      </c>
      <c r="AN407" s="144" t="str">
        <f>IFERROR(_xlfn.XLOOKUP($B407,'Cronog. e Histog.'!$BZ:$BZ,'Cronog. e Histog.'!DI:DI),"")</f>
        <v/>
      </c>
      <c r="AO407" s="144" t="str">
        <f>IFERROR(_xlfn.XLOOKUP($B407,'Cronog. e Histog.'!$BZ:$BZ,'Cronog. e Histog.'!DJ:DJ),"")</f>
        <v/>
      </c>
      <c r="AP407" s="144" t="str">
        <f>IFERROR(_xlfn.XLOOKUP($B407,'Cronog. e Histog.'!$BZ:$BZ,'Cronog. e Histog.'!DK:DK),"")</f>
        <v/>
      </c>
      <c r="AQ407" s="144" t="str">
        <f>IFERROR(_xlfn.XLOOKUP($B407,'Cronog. e Histog.'!$BZ:$BZ,'Cronog. e Histog.'!DL:DL),"")</f>
        <v/>
      </c>
      <c r="AR407" s="144" t="str">
        <f>IFERROR(_xlfn.XLOOKUP($B407,'Cronog. e Histog.'!$BZ:$BZ,'Cronog. e Histog.'!DM:DM),"")</f>
        <v/>
      </c>
      <c r="AS407" s="144" t="str">
        <f>IFERROR(_xlfn.XLOOKUP($B407,'Cronog. e Histog.'!$BZ:$BZ,'Cronog. e Histog.'!DN:DN),"")</f>
        <v/>
      </c>
      <c r="AT407" s="144" t="str">
        <f>IFERROR(_xlfn.XLOOKUP($B407,'Cronog. e Histog.'!$BZ:$BZ,'Cronog. e Histog.'!DO:DO),"")</f>
        <v/>
      </c>
      <c r="AU407" s="144" t="str">
        <f>IFERROR(_xlfn.XLOOKUP($B407,'Cronog. e Histog.'!$BZ:$BZ,'Cronog. e Histog.'!DP:DP),"")</f>
        <v/>
      </c>
      <c r="AV407" s="144" t="str">
        <f>IFERROR(_xlfn.XLOOKUP($B407,'Cronog. e Histog.'!$BZ:$BZ,'Cronog. e Histog.'!DQ:DQ),"")</f>
        <v/>
      </c>
      <c r="AW407" s="144" t="str">
        <f>IFERROR(_xlfn.XLOOKUP($B407,'Cronog. e Histog.'!$BZ:$BZ,'Cronog. e Histog.'!DR:DR),"")</f>
        <v/>
      </c>
      <c r="AX407" s="144" t="str">
        <f>IFERROR(_xlfn.XLOOKUP($B407,'Cronog. e Histog.'!$BZ:$BZ,'Cronog. e Histog.'!DS:DS),"")</f>
        <v/>
      </c>
      <c r="AY407" s="144" t="str">
        <f>IFERROR(_xlfn.XLOOKUP($B407,'Cronog. e Histog.'!$BZ:$BZ,'Cronog. e Histog.'!DT:DT),"")</f>
        <v/>
      </c>
      <c r="AZ407" s="144" t="str">
        <f>IFERROR(_xlfn.XLOOKUP($B407,'Cronog. e Histog.'!$BZ:$BZ,'Cronog. e Histog.'!DU:DU),"")</f>
        <v/>
      </c>
      <c r="BA407" s="144" t="str">
        <f>IFERROR(_xlfn.XLOOKUP($B407,'Cronog. e Histog.'!$BZ:$BZ,'Cronog. e Histog.'!DV:DV),"")</f>
        <v/>
      </c>
      <c r="BB407" s="144" t="str">
        <f>IFERROR(_xlfn.XLOOKUP($B407,'Cronog. e Histog.'!$BZ:$BZ,'Cronog. e Histog.'!DW:DW),"")</f>
        <v/>
      </c>
      <c r="BC407" s="144" t="str">
        <f>IFERROR(_xlfn.XLOOKUP($B407,'Cronog. e Histog.'!$BZ:$BZ,'Cronog. e Histog.'!DX:DX),"")</f>
        <v/>
      </c>
      <c r="BD407" s="144" t="str">
        <f>IFERROR(_xlfn.XLOOKUP($B407,'Cronog. e Histog.'!$BZ:$BZ,'Cronog. e Histog.'!DY:DY),"")</f>
        <v/>
      </c>
      <c r="BE407" s="144" t="str">
        <f>IFERROR(_xlfn.XLOOKUP($B407,'Cronog. e Histog.'!$BZ:$BZ,'Cronog. e Histog.'!DZ:DZ),"")</f>
        <v/>
      </c>
      <c r="BF407" s="144" t="str">
        <f>IFERROR(_xlfn.XLOOKUP($B407,'Cronog. e Histog.'!$BZ:$BZ,'Cronog. e Histog.'!EA:EA),"")</f>
        <v/>
      </c>
      <c r="BG407" s="144" t="str">
        <f>IFERROR(_xlfn.XLOOKUP($B407,'Cronog. e Histog.'!$BZ:$BZ,'Cronog. e Histog.'!EB:EB),"")</f>
        <v/>
      </c>
      <c r="BH407" s="144" t="str">
        <f>IFERROR(_xlfn.XLOOKUP($B407,'Cronog. e Histog.'!$BZ:$BZ,'Cronog. e Histog.'!EC:EC),"")</f>
        <v/>
      </c>
      <c r="BI407" s="144" t="str">
        <f>IFERROR(_xlfn.XLOOKUP($B407,'Cronog. e Histog.'!$BZ:$BZ,'Cronog. e Histog.'!ED:ED),"")</f>
        <v/>
      </c>
      <c r="BJ407" s="144" t="str">
        <f>IFERROR(_xlfn.XLOOKUP($B407,'Cronog. e Histog.'!$BZ:$BZ,'Cronog. e Histog.'!EE:EE),"")</f>
        <v/>
      </c>
      <c r="BK407" s="144" t="str">
        <f>IFERROR(_xlfn.XLOOKUP($B407,'Cronog. e Histog.'!$BZ:$BZ,'Cronog. e Histog.'!EF:EF),"")</f>
        <v/>
      </c>
      <c r="BL407" s="144" t="str">
        <f>IFERROR(_xlfn.XLOOKUP($B407,'Cronog. e Histog.'!$BZ:$BZ,'Cronog. e Histog.'!EG:EG),"")</f>
        <v/>
      </c>
      <c r="BM407" s="144" t="str">
        <f>IFERROR(_xlfn.XLOOKUP($B407,'Cronog. e Histog.'!$BZ:$BZ,'Cronog. e Histog.'!EH:EH),"")</f>
        <v/>
      </c>
      <c r="BN407" s="144" t="str">
        <f>IFERROR(_xlfn.XLOOKUP($B407,'Cronog. e Histog.'!$BZ:$BZ,'Cronog. e Histog.'!EI:EI),"")</f>
        <v/>
      </c>
    </row>
    <row r="408" spans="2:66" ht="12" hidden="1" customHeight="1" outlineLevel="1">
      <c r="B408" s="76">
        <v>402</v>
      </c>
      <c r="C408" s="143" t="str">
        <f>IFERROR(VLOOKUP(B408,'Cronog. e Histog.'!$BZ$213:$CA$747,2,0),"")</f>
        <v/>
      </c>
      <c r="D408" s="144">
        <f t="shared" si="6"/>
        <v>0</v>
      </c>
      <c r="E408" s="144">
        <f t="shared" si="7"/>
        <v>0</v>
      </c>
      <c r="F408" s="65"/>
      <c r="G408" s="144" t="str">
        <f>IFERROR(_xlfn.XLOOKUP($B408,'Cronog. e Histog.'!$BZ:$BZ,'Cronog. e Histog.'!CB:CB),"")</f>
        <v/>
      </c>
      <c r="H408" s="144" t="str">
        <f>IFERROR(_xlfn.XLOOKUP($B408,'Cronog. e Histog.'!$BZ:$BZ,'Cronog. e Histog.'!CC:CC),"")</f>
        <v/>
      </c>
      <c r="I408" s="144" t="str">
        <f>IFERROR(_xlfn.XLOOKUP($B408,'Cronog. e Histog.'!$BZ:$BZ,'Cronog. e Histog.'!CD:CD),"")</f>
        <v/>
      </c>
      <c r="J408" s="144" t="str">
        <f>IFERROR(_xlfn.XLOOKUP($B408,'Cronog. e Histog.'!$BZ:$BZ,'Cronog. e Histog.'!CE:CE),"")</f>
        <v/>
      </c>
      <c r="K408" s="144" t="str">
        <f>IFERROR(_xlfn.XLOOKUP($B408,'Cronog. e Histog.'!$BZ:$BZ,'Cronog. e Histog.'!CF:CF),"")</f>
        <v/>
      </c>
      <c r="L408" s="144" t="str">
        <f>IFERROR(_xlfn.XLOOKUP($B408,'Cronog. e Histog.'!$BZ:$BZ,'Cronog. e Histog.'!CG:CG),"")</f>
        <v/>
      </c>
      <c r="M408" s="144" t="str">
        <f>IFERROR(_xlfn.XLOOKUP($B408,'Cronog. e Histog.'!$BZ:$BZ,'Cronog. e Histog.'!CH:CH),"")</f>
        <v/>
      </c>
      <c r="N408" s="144" t="str">
        <f>IFERROR(_xlfn.XLOOKUP($B408,'Cronog. e Histog.'!$BZ:$BZ,'Cronog. e Histog.'!CI:CI),"")</f>
        <v/>
      </c>
      <c r="O408" s="144" t="str">
        <f>IFERROR(_xlfn.XLOOKUP($B408,'Cronog. e Histog.'!$BZ:$BZ,'Cronog. e Histog.'!CJ:CJ),"")</f>
        <v/>
      </c>
      <c r="P408" s="144" t="str">
        <f>IFERROR(_xlfn.XLOOKUP($B408,'Cronog. e Histog.'!$BZ:$BZ,'Cronog. e Histog.'!CK:CK),"")</f>
        <v/>
      </c>
      <c r="Q408" s="144" t="str">
        <f>IFERROR(_xlfn.XLOOKUP($B408,'Cronog. e Histog.'!$BZ:$BZ,'Cronog. e Histog.'!CL:CL),"")</f>
        <v/>
      </c>
      <c r="R408" s="144" t="str">
        <f>IFERROR(_xlfn.XLOOKUP($B408,'Cronog. e Histog.'!$BZ:$BZ,'Cronog. e Histog.'!CM:CM),"")</f>
        <v/>
      </c>
      <c r="S408" s="144" t="str">
        <f>IFERROR(_xlfn.XLOOKUP($B408,'Cronog. e Histog.'!$BZ:$BZ,'Cronog. e Histog.'!CN:CN),"")</f>
        <v/>
      </c>
      <c r="T408" s="144" t="str">
        <f>IFERROR(_xlfn.XLOOKUP($B408,'Cronog. e Histog.'!$BZ:$BZ,'Cronog. e Histog.'!CO:CO),"")</f>
        <v/>
      </c>
      <c r="U408" s="144" t="str">
        <f>IFERROR(_xlfn.XLOOKUP($B408,'Cronog. e Histog.'!$BZ:$BZ,'Cronog. e Histog.'!CP:CP),"")</f>
        <v/>
      </c>
      <c r="V408" s="144" t="str">
        <f>IFERROR(_xlfn.XLOOKUP($B408,'Cronog. e Histog.'!$BZ:$BZ,'Cronog. e Histog.'!CQ:CQ),"")</f>
        <v/>
      </c>
      <c r="W408" s="144" t="str">
        <f>IFERROR(_xlfn.XLOOKUP($B408,'Cronog. e Histog.'!$BZ:$BZ,'Cronog. e Histog.'!CR:CR),"")</f>
        <v/>
      </c>
      <c r="X408" s="144" t="str">
        <f>IFERROR(_xlfn.XLOOKUP($B408,'Cronog. e Histog.'!$BZ:$BZ,'Cronog. e Histog.'!CS:CS),"")</f>
        <v/>
      </c>
      <c r="Y408" s="144" t="str">
        <f>IFERROR(_xlfn.XLOOKUP($B408,'Cronog. e Histog.'!$BZ:$BZ,'Cronog. e Histog.'!CT:CT),"")</f>
        <v/>
      </c>
      <c r="Z408" s="144" t="str">
        <f>IFERROR(_xlfn.XLOOKUP($B408,'Cronog. e Histog.'!$BZ:$BZ,'Cronog. e Histog.'!CU:CU),"")</f>
        <v/>
      </c>
      <c r="AA408" s="144" t="str">
        <f>IFERROR(_xlfn.XLOOKUP($B408,'Cronog. e Histog.'!$BZ:$BZ,'Cronog. e Histog.'!CV:CV),"")</f>
        <v/>
      </c>
      <c r="AB408" s="144" t="str">
        <f>IFERROR(_xlfn.XLOOKUP($B408,'Cronog. e Histog.'!$BZ:$BZ,'Cronog. e Histog.'!CW:CW),"")</f>
        <v/>
      </c>
      <c r="AC408" s="144" t="str">
        <f>IFERROR(_xlfn.XLOOKUP($B408,'Cronog. e Histog.'!$BZ:$BZ,'Cronog. e Histog.'!CX:CX),"")</f>
        <v/>
      </c>
      <c r="AD408" s="144" t="str">
        <f>IFERROR(_xlfn.XLOOKUP($B408,'Cronog. e Histog.'!$BZ:$BZ,'Cronog. e Histog.'!CY:CY),"")</f>
        <v/>
      </c>
      <c r="AE408" s="144" t="str">
        <f>IFERROR(_xlfn.XLOOKUP($B408,'Cronog. e Histog.'!$BZ:$BZ,'Cronog. e Histog.'!CZ:CZ),"")</f>
        <v/>
      </c>
      <c r="AF408" s="144" t="str">
        <f>IFERROR(_xlfn.XLOOKUP($B408,'Cronog. e Histog.'!$BZ:$BZ,'Cronog. e Histog.'!DA:DA),"")</f>
        <v/>
      </c>
      <c r="AG408" s="144" t="str">
        <f>IFERROR(_xlfn.XLOOKUP($B408,'Cronog. e Histog.'!$BZ:$BZ,'Cronog. e Histog.'!DB:DB),"")</f>
        <v/>
      </c>
      <c r="AH408" s="144" t="str">
        <f>IFERROR(_xlfn.XLOOKUP($B408,'Cronog. e Histog.'!$BZ:$BZ,'Cronog. e Histog.'!DC:DC),"")</f>
        <v/>
      </c>
      <c r="AI408" s="144" t="str">
        <f>IFERROR(_xlfn.XLOOKUP($B408,'Cronog. e Histog.'!$BZ:$BZ,'Cronog. e Histog.'!DD:DD),"")</f>
        <v/>
      </c>
      <c r="AJ408" s="144" t="str">
        <f>IFERROR(_xlfn.XLOOKUP($B408,'Cronog. e Histog.'!$BZ:$BZ,'Cronog. e Histog.'!DE:DE),"")</f>
        <v/>
      </c>
      <c r="AK408" s="144" t="str">
        <f>IFERROR(_xlfn.XLOOKUP($B408,'Cronog. e Histog.'!$BZ:$BZ,'Cronog. e Histog.'!DF:DF),"")</f>
        <v/>
      </c>
      <c r="AL408" s="144" t="str">
        <f>IFERROR(_xlfn.XLOOKUP($B408,'Cronog. e Histog.'!$BZ:$BZ,'Cronog. e Histog.'!DG:DG),"")</f>
        <v/>
      </c>
      <c r="AM408" s="144" t="str">
        <f>IFERROR(_xlfn.XLOOKUP($B408,'Cronog. e Histog.'!$BZ:$BZ,'Cronog. e Histog.'!DH:DH),"")</f>
        <v/>
      </c>
      <c r="AN408" s="144" t="str">
        <f>IFERROR(_xlfn.XLOOKUP($B408,'Cronog. e Histog.'!$BZ:$BZ,'Cronog. e Histog.'!DI:DI),"")</f>
        <v/>
      </c>
      <c r="AO408" s="144" t="str">
        <f>IFERROR(_xlfn.XLOOKUP($B408,'Cronog. e Histog.'!$BZ:$BZ,'Cronog. e Histog.'!DJ:DJ),"")</f>
        <v/>
      </c>
      <c r="AP408" s="144" t="str">
        <f>IFERROR(_xlfn.XLOOKUP($B408,'Cronog. e Histog.'!$BZ:$BZ,'Cronog. e Histog.'!DK:DK),"")</f>
        <v/>
      </c>
      <c r="AQ408" s="144" t="str">
        <f>IFERROR(_xlfn.XLOOKUP($B408,'Cronog. e Histog.'!$BZ:$BZ,'Cronog. e Histog.'!DL:DL),"")</f>
        <v/>
      </c>
      <c r="AR408" s="144" t="str">
        <f>IFERROR(_xlfn.XLOOKUP($B408,'Cronog. e Histog.'!$BZ:$BZ,'Cronog. e Histog.'!DM:DM),"")</f>
        <v/>
      </c>
      <c r="AS408" s="144" t="str">
        <f>IFERROR(_xlfn.XLOOKUP($B408,'Cronog. e Histog.'!$BZ:$BZ,'Cronog. e Histog.'!DN:DN),"")</f>
        <v/>
      </c>
      <c r="AT408" s="144" t="str">
        <f>IFERROR(_xlfn.XLOOKUP($B408,'Cronog. e Histog.'!$BZ:$BZ,'Cronog. e Histog.'!DO:DO),"")</f>
        <v/>
      </c>
      <c r="AU408" s="144" t="str">
        <f>IFERROR(_xlfn.XLOOKUP($B408,'Cronog. e Histog.'!$BZ:$BZ,'Cronog. e Histog.'!DP:DP),"")</f>
        <v/>
      </c>
      <c r="AV408" s="144" t="str">
        <f>IFERROR(_xlfn.XLOOKUP($B408,'Cronog. e Histog.'!$BZ:$BZ,'Cronog. e Histog.'!DQ:DQ),"")</f>
        <v/>
      </c>
      <c r="AW408" s="144" t="str">
        <f>IFERROR(_xlfn.XLOOKUP($B408,'Cronog. e Histog.'!$BZ:$BZ,'Cronog. e Histog.'!DR:DR),"")</f>
        <v/>
      </c>
      <c r="AX408" s="144" t="str">
        <f>IFERROR(_xlfn.XLOOKUP($B408,'Cronog. e Histog.'!$BZ:$BZ,'Cronog. e Histog.'!DS:DS),"")</f>
        <v/>
      </c>
      <c r="AY408" s="144" t="str">
        <f>IFERROR(_xlfn.XLOOKUP($B408,'Cronog. e Histog.'!$BZ:$BZ,'Cronog. e Histog.'!DT:DT),"")</f>
        <v/>
      </c>
      <c r="AZ408" s="144" t="str">
        <f>IFERROR(_xlfn.XLOOKUP($B408,'Cronog. e Histog.'!$BZ:$BZ,'Cronog. e Histog.'!DU:DU),"")</f>
        <v/>
      </c>
      <c r="BA408" s="144" t="str">
        <f>IFERROR(_xlfn.XLOOKUP($B408,'Cronog. e Histog.'!$BZ:$BZ,'Cronog. e Histog.'!DV:DV),"")</f>
        <v/>
      </c>
      <c r="BB408" s="144" t="str">
        <f>IFERROR(_xlfn.XLOOKUP($B408,'Cronog. e Histog.'!$BZ:$BZ,'Cronog. e Histog.'!DW:DW),"")</f>
        <v/>
      </c>
      <c r="BC408" s="144" t="str">
        <f>IFERROR(_xlfn.XLOOKUP($B408,'Cronog. e Histog.'!$BZ:$BZ,'Cronog. e Histog.'!DX:DX),"")</f>
        <v/>
      </c>
      <c r="BD408" s="144" t="str">
        <f>IFERROR(_xlfn.XLOOKUP($B408,'Cronog. e Histog.'!$BZ:$BZ,'Cronog. e Histog.'!DY:DY),"")</f>
        <v/>
      </c>
      <c r="BE408" s="144" t="str">
        <f>IFERROR(_xlfn.XLOOKUP($B408,'Cronog. e Histog.'!$BZ:$BZ,'Cronog. e Histog.'!DZ:DZ),"")</f>
        <v/>
      </c>
      <c r="BF408" s="144" t="str">
        <f>IFERROR(_xlfn.XLOOKUP($B408,'Cronog. e Histog.'!$BZ:$BZ,'Cronog. e Histog.'!EA:EA),"")</f>
        <v/>
      </c>
      <c r="BG408" s="144" t="str">
        <f>IFERROR(_xlfn.XLOOKUP($B408,'Cronog. e Histog.'!$BZ:$BZ,'Cronog. e Histog.'!EB:EB),"")</f>
        <v/>
      </c>
      <c r="BH408" s="144" t="str">
        <f>IFERROR(_xlfn.XLOOKUP($B408,'Cronog. e Histog.'!$BZ:$BZ,'Cronog. e Histog.'!EC:EC),"")</f>
        <v/>
      </c>
      <c r="BI408" s="144" t="str">
        <f>IFERROR(_xlfn.XLOOKUP($B408,'Cronog. e Histog.'!$BZ:$BZ,'Cronog. e Histog.'!ED:ED),"")</f>
        <v/>
      </c>
      <c r="BJ408" s="144" t="str">
        <f>IFERROR(_xlfn.XLOOKUP($B408,'Cronog. e Histog.'!$BZ:$BZ,'Cronog. e Histog.'!EE:EE),"")</f>
        <v/>
      </c>
      <c r="BK408" s="144" t="str">
        <f>IFERROR(_xlfn.XLOOKUP($B408,'Cronog. e Histog.'!$BZ:$BZ,'Cronog. e Histog.'!EF:EF),"")</f>
        <v/>
      </c>
      <c r="BL408" s="144" t="str">
        <f>IFERROR(_xlfn.XLOOKUP($B408,'Cronog. e Histog.'!$BZ:$BZ,'Cronog. e Histog.'!EG:EG),"")</f>
        <v/>
      </c>
      <c r="BM408" s="144" t="str">
        <f>IFERROR(_xlfn.XLOOKUP($B408,'Cronog. e Histog.'!$BZ:$BZ,'Cronog. e Histog.'!EH:EH),"")</f>
        <v/>
      </c>
      <c r="BN408" s="144" t="str">
        <f>IFERROR(_xlfn.XLOOKUP($B408,'Cronog. e Histog.'!$BZ:$BZ,'Cronog. e Histog.'!EI:EI),"")</f>
        <v/>
      </c>
    </row>
    <row r="409" spans="2:66" ht="12" hidden="1" customHeight="1" outlineLevel="1">
      <c r="B409" s="76">
        <v>403</v>
      </c>
      <c r="C409" s="143" t="str">
        <f>IFERROR(VLOOKUP(B409,'Cronog. e Histog.'!$BZ$213:$CA$747,2,0),"")</f>
        <v/>
      </c>
      <c r="D409" s="144">
        <f t="shared" si="6"/>
        <v>0</v>
      </c>
      <c r="E409" s="144">
        <f t="shared" si="7"/>
        <v>0</v>
      </c>
      <c r="F409" s="65"/>
      <c r="G409" s="144" t="str">
        <f>IFERROR(_xlfn.XLOOKUP($B409,'Cronog. e Histog.'!$BZ:$BZ,'Cronog. e Histog.'!CB:CB),"")</f>
        <v/>
      </c>
      <c r="H409" s="144" t="str">
        <f>IFERROR(_xlfn.XLOOKUP($B409,'Cronog. e Histog.'!$BZ:$BZ,'Cronog. e Histog.'!CC:CC),"")</f>
        <v/>
      </c>
      <c r="I409" s="144" t="str">
        <f>IFERROR(_xlfn.XLOOKUP($B409,'Cronog. e Histog.'!$BZ:$BZ,'Cronog. e Histog.'!CD:CD),"")</f>
        <v/>
      </c>
      <c r="J409" s="144" t="str">
        <f>IFERROR(_xlfn.XLOOKUP($B409,'Cronog. e Histog.'!$BZ:$BZ,'Cronog. e Histog.'!CE:CE),"")</f>
        <v/>
      </c>
      <c r="K409" s="144" t="str">
        <f>IFERROR(_xlfn.XLOOKUP($B409,'Cronog. e Histog.'!$BZ:$BZ,'Cronog. e Histog.'!CF:CF),"")</f>
        <v/>
      </c>
      <c r="L409" s="144" t="str">
        <f>IFERROR(_xlfn.XLOOKUP($B409,'Cronog. e Histog.'!$BZ:$BZ,'Cronog. e Histog.'!CG:CG),"")</f>
        <v/>
      </c>
      <c r="M409" s="144" t="str">
        <f>IFERROR(_xlfn.XLOOKUP($B409,'Cronog. e Histog.'!$BZ:$BZ,'Cronog. e Histog.'!CH:CH),"")</f>
        <v/>
      </c>
      <c r="N409" s="144" t="str">
        <f>IFERROR(_xlfn.XLOOKUP($B409,'Cronog. e Histog.'!$BZ:$BZ,'Cronog. e Histog.'!CI:CI),"")</f>
        <v/>
      </c>
      <c r="O409" s="144" t="str">
        <f>IFERROR(_xlfn.XLOOKUP($B409,'Cronog. e Histog.'!$BZ:$BZ,'Cronog. e Histog.'!CJ:CJ),"")</f>
        <v/>
      </c>
      <c r="P409" s="144" t="str">
        <f>IFERROR(_xlfn.XLOOKUP($B409,'Cronog. e Histog.'!$BZ:$BZ,'Cronog. e Histog.'!CK:CK),"")</f>
        <v/>
      </c>
      <c r="Q409" s="144" t="str">
        <f>IFERROR(_xlfn.XLOOKUP($B409,'Cronog. e Histog.'!$BZ:$BZ,'Cronog. e Histog.'!CL:CL),"")</f>
        <v/>
      </c>
      <c r="R409" s="144" t="str">
        <f>IFERROR(_xlfn.XLOOKUP($B409,'Cronog. e Histog.'!$BZ:$BZ,'Cronog. e Histog.'!CM:CM),"")</f>
        <v/>
      </c>
      <c r="S409" s="144" t="str">
        <f>IFERROR(_xlfn.XLOOKUP($B409,'Cronog. e Histog.'!$BZ:$BZ,'Cronog. e Histog.'!CN:CN),"")</f>
        <v/>
      </c>
      <c r="T409" s="144" t="str">
        <f>IFERROR(_xlfn.XLOOKUP($B409,'Cronog. e Histog.'!$BZ:$BZ,'Cronog. e Histog.'!CO:CO),"")</f>
        <v/>
      </c>
      <c r="U409" s="144" t="str">
        <f>IFERROR(_xlfn.XLOOKUP($B409,'Cronog. e Histog.'!$BZ:$BZ,'Cronog. e Histog.'!CP:CP),"")</f>
        <v/>
      </c>
      <c r="V409" s="144" t="str">
        <f>IFERROR(_xlfn.XLOOKUP($B409,'Cronog. e Histog.'!$BZ:$BZ,'Cronog. e Histog.'!CQ:CQ),"")</f>
        <v/>
      </c>
      <c r="W409" s="144" t="str">
        <f>IFERROR(_xlfn.XLOOKUP($B409,'Cronog. e Histog.'!$BZ:$BZ,'Cronog. e Histog.'!CR:CR),"")</f>
        <v/>
      </c>
      <c r="X409" s="144" t="str">
        <f>IFERROR(_xlfn.XLOOKUP($B409,'Cronog. e Histog.'!$BZ:$BZ,'Cronog. e Histog.'!CS:CS),"")</f>
        <v/>
      </c>
      <c r="Y409" s="144" t="str">
        <f>IFERROR(_xlfn.XLOOKUP($B409,'Cronog. e Histog.'!$BZ:$BZ,'Cronog. e Histog.'!CT:CT),"")</f>
        <v/>
      </c>
      <c r="Z409" s="144" t="str">
        <f>IFERROR(_xlfn.XLOOKUP($B409,'Cronog. e Histog.'!$BZ:$BZ,'Cronog. e Histog.'!CU:CU),"")</f>
        <v/>
      </c>
      <c r="AA409" s="144" t="str">
        <f>IFERROR(_xlfn.XLOOKUP($B409,'Cronog. e Histog.'!$BZ:$BZ,'Cronog. e Histog.'!CV:CV),"")</f>
        <v/>
      </c>
      <c r="AB409" s="144" t="str">
        <f>IFERROR(_xlfn.XLOOKUP($B409,'Cronog. e Histog.'!$BZ:$BZ,'Cronog. e Histog.'!CW:CW),"")</f>
        <v/>
      </c>
      <c r="AC409" s="144" t="str">
        <f>IFERROR(_xlfn.XLOOKUP($B409,'Cronog. e Histog.'!$BZ:$BZ,'Cronog. e Histog.'!CX:CX),"")</f>
        <v/>
      </c>
      <c r="AD409" s="144" t="str">
        <f>IFERROR(_xlfn.XLOOKUP($B409,'Cronog. e Histog.'!$BZ:$BZ,'Cronog. e Histog.'!CY:CY),"")</f>
        <v/>
      </c>
      <c r="AE409" s="144" t="str">
        <f>IFERROR(_xlfn.XLOOKUP($B409,'Cronog. e Histog.'!$BZ:$BZ,'Cronog. e Histog.'!CZ:CZ),"")</f>
        <v/>
      </c>
      <c r="AF409" s="144" t="str">
        <f>IFERROR(_xlfn.XLOOKUP($B409,'Cronog. e Histog.'!$BZ:$BZ,'Cronog. e Histog.'!DA:DA),"")</f>
        <v/>
      </c>
      <c r="AG409" s="144" t="str">
        <f>IFERROR(_xlfn.XLOOKUP($B409,'Cronog. e Histog.'!$BZ:$BZ,'Cronog. e Histog.'!DB:DB),"")</f>
        <v/>
      </c>
      <c r="AH409" s="144" t="str">
        <f>IFERROR(_xlfn.XLOOKUP($B409,'Cronog. e Histog.'!$BZ:$BZ,'Cronog. e Histog.'!DC:DC),"")</f>
        <v/>
      </c>
      <c r="AI409" s="144" t="str">
        <f>IFERROR(_xlfn.XLOOKUP($B409,'Cronog. e Histog.'!$BZ:$BZ,'Cronog. e Histog.'!DD:DD),"")</f>
        <v/>
      </c>
      <c r="AJ409" s="144" t="str">
        <f>IFERROR(_xlfn.XLOOKUP($B409,'Cronog. e Histog.'!$BZ:$BZ,'Cronog. e Histog.'!DE:DE),"")</f>
        <v/>
      </c>
      <c r="AK409" s="144" t="str">
        <f>IFERROR(_xlfn.XLOOKUP($B409,'Cronog. e Histog.'!$BZ:$BZ,'Cronog. e Histog.'!DF:DF),"")</f>
        <v/>
      </c>
      <c r="AL409" s="144" t="str">
        <f>IFERROR(_xlfn.XLOOKUP($B409,'Cronog. e Histog.'!$BZ:$BZ,'Cronog. e Histog.'!DG:DG),"")</f>
        <v/>
      </c>
      <c r="AM409" s="144" t="str">
        <f>IFERROR(_xlfn.XLOOKUP($B409,'Cronog. e Histog.'!$BZ:$BZ,'Cronog. e Histog.'!DH:DH),"")</f>
        <v/>
      </c>
      <c r="AN409" s="144" t="str">
        <f>IFERROR(_xlfn.XLOOKUP($B409,'Cronog. e Histog.'!$BZ:$BZ,'Cronog. e Histog.'!DI:DI),"")</f>
        <v/>
      </c>
      <c r="AO409" s="144" t="str">
        <f>IFERROR(_xlfn.XLOOKUP($B409,'Cronog. e Histog.'!$BZ:$BZ,'Cronog. e Histog.'!DJ:DJ),"")</f>
        <v/>
      </c>
      <c r="AP409" s="144" t="str">
        <f>IFERROR(_xlfn.XLOOKUP($B409,'Cronog. e Histog.'!$BZ:$BZ,'Cronog. e Histog.'!DK:DK),"")</f>
        <v/>
      </c>
      <c r="AQ409" s="144" t="str">
        <f>IFERROR(_xlfn.XLOOKUP($B409,'Cronog. e Histog.'!$BZ:$BZ,'Cronog. e Histog.'!DL:DL),"")</f>
        <v/>
      </c>
      <c r="AR409" s="144" t="str">
        <f>IFERROR(_xlfn.XLOOKUP($B409,'Cronog. e Histog.'!$BZ:$BZ,'Cronog. e Histog.'!DM:DM),"")</f>
        <v/>
      </c>
      <c r="AS409" s="144" t="str">
        <f>IFERROR(_xlfn.XLOOKUP($B409,'Cronog. e Histog.'!$BZ:$BZ,'Cronog. e Histog.'!DN:DN),"")</f>
        <v/>
      </c>
      <c r="AT409" s="144" t="str">
        <f>IFERROR(_xlfn.XLOOKUP($B409,'Cronog. e Histog.'!$BZ:$BZ,'Cronog. e Histog.'!DO:DO),"")</f>
        <v/>
      </c>
      <c r="AU409" s="144" t="str">
        <f>IFERROR(_xlfn.XLOOKUP($B409,'Cronog. e Histog.'!$BZ:$BZ,'Cronog. e Histog.'!DP:DP),"")</f>
        <v/>
      </c>
      <c r="AV409" s="144" t="str">
        <f>IFERROR(_xlfn.XLOOKUP($B409,'Cronog. e Histog.'!$BZ:$BZ,'Cronog. e Histog.'!DQ:DQ),"")</f>
        <v/>
      </c>
      <c r="AW409" s="144" t="str">
        <f>IFERROR(_xlfn.XLOOKUP($B409,'Cronog. e Histog.'!$BZ:$BZ,'Cronog. e Histog.'!DR:DR),"")</f>
        <v/>
      </c>
      <c r="AX409" s="144" t="str">
        <f>IFERROR(_xlfn.XLOOKUP($B409,'Cronog. e Histog.'!$BZ:$BZ,'Cronog. e Histog.'!DS:DS),"")</f>
        <v/>
      </c>
      <c r="AY409" s="144" t="str">
        <f>IFERROR(_xlfn.XLOOKUP($B409,'Cronog. e Histog.'!$BZ:$BZ,'Cronog. e Histog.'!DT:DT),"")</f>
        <v/>
      </c>
      <c r="AZ409" s="144" t="str">
        <f>IFERROR(_xlfn.XLOOKUP($B409,'Cronog. e Histog.'!$BZ:$BZ,'Cronog. e Histog.'!DU:DU),"")</f>
        <v/>
      </c>
      <c r="BA409" s="144" t="str">
        <f>IFERROR(_xlfn.XLOOKUP($B409,'Cronog. e Histog.'!$BZ:$BZ,'Cronog. e Histog.'!DV:DV),"")</f>
        <v/>
      </c>
      <c r="BB409" s="144" t="str">
        <f>IFERROR(_xlfn.XLOOKUP($B409,'Cronog. e Histog.'!$BZ:$BZ,'Cronog. e Histog.'!DW:DW),"")</f>
        <v/>
      </c>
      <c r="BC409" s="144" t="str">
        <f>IFERROR(_xlfn.XLOOKUP($B409,'Cronog. e Histog.'!$BZ:$BZ,'Cronog. e Histog.'!DX:DX),"")</f>
        <v/>
      </c>
      <c r="BD409" s="144" t="str">
        <f>IFERROR(_xlfn.XLOOKUP($B409,'Cronog. e Histog.'!$BZ:$BZ,'Cronog. e Histog.'!DY:DY),"")</f>
        <v/>
      </c>
      <c r="BE409" s="144" t="str">
        <f>IFERROR(_xlfn.XLOOKUP($B409,'Cronog. e Histog.'!$BZ:$BZ,'Cronog. e Histog.'!DZ:DZ),"")</f>
        <v/>
      </c>
      <c r="BF409" s="144" t="str">
        <f>IFERROR(_xlfn.XLOOKUP($B409,'Cronog. e Histog.'!$BZ:$BZ,'Cronog. e Histog.'!EA:EA),"")</f>
        <v/>
      </c>
      <c r="BG409" s="144" t="str">
        <f>IFERROR(_xlfn.XLOOKUP($B409,'Cronog. e Histog.'!$BZ:$BZ,'Cronog. e Histog.'!EB:EB),"")</f>
        <v/>
      </c>
      <c r="BH409" s="144" t="str">
        <f>IFERROR(_xlfn.XLOOKUP($B409,'Cronog. e Histog.'!$BZ:$BZ,'Cronog. e Histog.'!EC:EC),"")</f>
        <v/>
      </c>
      <c r="BI409" s="144" t="str">
        <f>IFERROR(_xlfn.XLOOKUP($B409,'Cronog. e Histog.'!$BZ:$BZ,'Cronog. e Histog.'!ED:ED),"")</f>
        <v/>
      </c>
      <c r="BJ409" s="144" t="str">
        <f>IFERROR(_xlfn.XLOOKUP($B409,'Cronog. e Histog.'!$BZ:$BZ,'Cronog. e Histog.'!EE:EE),"")</f>
        <v/>
      </c>
      <c r="BK409" s="144" t="str">
        <f>IFERROR(_xlfn.XLOOKUP($B409,'Cronog. e Histog.'!$BZ:$BZ,'Cronog. e Histog.'!EF:EF),"")</f>
        <v/>
      </c>
      <c r="BL409" s="144" t="str">
        <f>IFERROR(_xlfn.XLOOKUP($B409,'Cronog. e Histog.'!$BZ:$BZ,'Cronog. e Histog.'!EG:EG),"")</f>
        <v/>
      </c>
      <c r="BM409" s="144" t="str">
        <f>IFERROR(_xlfn.XLOOKUP($B409,'Cronog. e Histog.'!$BZ:$BZ,'Cronog. e Histog.'!EH:EH),"")</f>
        <v/>
      </c>
      <c r="BN409" s="144" t="str">
        <f>IFERROR(_xlfn.XLOOKUP($B409,'Cronog. e Histog.'!$BZ:$BZ,'Cronog. e Histog.'!EI:EI),"")</f>
        <v/>
      </c>
    </row>
    <row r="410" spans="2:66" ht="12" hidden="1" customHeight="1" outlineLevel="1">
      <c r="B410" s="76">
        <v>404</v>
      </c>
      <c r="C410" s="143" t="str">
        <f>IFERROR(VLOOKUP(B410,'Cronog. e Histog.'!$BZ$213:$CA$747,2,0),"")</f>
        <v/>
      </c>
      <c r="D410" s="144">
        <f t="shared" si="6"/>
        <v>0</v>
      </c>
      <c r="E410" s="144">
        <f t="shared" si="7"/>
        <v>0</v>
      </c>
      <c r="F410" s="65"/>
      <c r="G410" s="144" t="str">
        <f>IFERROR(_xlfn.XLOOKUP($B410,'Cronog. e Histog.'!$BZ:$BZ,'Cronog. e Histog.'!CB:CB),"")</f>
        <v/>
      </c>
      <c r="H410" s="144" t="str">
        <f>IFERROR(_xlfn.XLOOKUP($B410,'Cronog. e Histog.'!$BZ:$BZ,'Cronog. e Histog.'!CC:CC),"")</f>
        <v/>
      </c>
      <c r="I410" s="144" t="str">
        <f>IFERROR(_xlfn.XLOOKUP($B410,'Cronog. e Histog.'!$BZ:$BZ,'Cronog. e Histog.'!CD:CD),"")</f>
        <v/>
      </c>
      <c r="J410" s="144" t="str">
        <f>IFERROR(_xlfn.XLOOKUP($B410,'Cronog. e Histog.'!$BZ:$BZ,'Cronog. e Histog.'!CE:CE),"")</f>
        <v/>
      </c>
      <c r="K410" s="144" t="str">
        <f>IFERROR(_xlfn.XLOOKUP($B410,'Cronog. e Histog.'!$BZ:$BZ,'Cronog. e Histog.'!CF:CF),"")</f>
        <v/>
      </c>
      <c r="L410" s="144" t="str">
        <f>IFERROR(_xlfn.XLOOKUP($B410,'Cronog. e Histog.'!$BZ:$BZ,'Cronog. e Histog.'!CG:CG),"")</f>
        <v/>
      </c>
      <c r="M410" s="144" t="str">
        <f>IFERROR(_xlfn.XLOOKUP($B410,'Cronog. e Histog.'!$BZ:$BZ,'Cronog. e Histog.'!CH:CH),"")</f>
        <v/>
      </c>
      <c r="N410" s="144" t="str">
        <f>IFERROR(_xlfn.XLOOKUP($B410,'Cronog. e Histog.'!$BZ:$BZ,'Cronog. e Histog.'!CI:CI),"")</f>
        <v/>
      </c>
      <c r="O410" s="144" t="str">
        <f>IFERROR(_xlfn.XLOOKUP($B410,'Cronog. e Histog.'!$BZ:$BZ,'Cronog. e Histog.'!CJ:CJ),"")</f>
        <v/>
      </c>
      <c r="P410" s="144" t="str">
        <f>IFERROR(_xlfn.XLOOKUP($B410,'Cronog. e Histog.'!$BZ:$BZ,'Cronog. e Histog.'!CK:CK),"")</f>
        <v/>
      </c>
      <c r="Q410" s="144" t="str">
        <f>IFERROR(_xlfn.XLOOKUP($B410,'Cronog. e Histog.'!$BZ:$BZ,'Cronog. e Histog.'!CL:CL),"")</f>
        <v/>
      </c>
      <c r="R410" s="144" t="str">
        <f>IFERROR(_xlfn.XLOOKUP($B410,'Cronog. e Histog.'!$BZ:$BZ,'Cronog. e Histog.'!CM:CM),"")</f>
        <v/>
      </c>
      <c r="S410" s="144" t="str">
        <f>IFERROR(_xlfn.XLOOKUP($B410,'Cronog. e Histog.'!$BZ:$BZ,'Cronog. e Histog.'!CN:CN),"")</f>
        <v/>
      </c>
      <c r="T410" s="144" t="str">
        <f>IFERROR(_xlfn.XLOOKUP($B410,'Cronog. e Histog.'!$BZ:$BZ,'Cronog. e Histog.'!CO:CO),"")</f>
        <v/>
      </c>
      <c r="U410" s="144" t="str">
        <f>IFERROR(_xlfn.XLOOKUP($B410,'Cronog. e Histog.'!$BZ:$BZ,'Cronog. e Histog.'!CP:CP),"")</f>
        <v/>
      </c>
      <c r="V410" s="144" t="str">
        <f>IFERROR(_xlfn.XLOOKUP($B410,'Cronog. e Histog.'!$BZ:$BZ,'Cronog. e Histog.'!CQ:CQ),"")</f>
        <v/>
      </c>
      <c r="W410" s="144" t="str">
        <f>IFERROR(_xlfn.XLOOKUP($B410,'Cronog. e Histog.'!$BZ:$BZ,'Cronog. e Histog.'!CR:CR),"")</f>
        <v/>
      </c>
      <c r="X410" s="144" t="str">
        <f>IFERROR(_xlfn.XLOOKUP($B410,'Cronog. e Histog.'!$BZ:$BZ,'Cronog. e Histog.'!CS:CS),"")</f>
        <v/>
      </c>
      <c r="Y410" s="144" t="str">
        <f>IFERROR(_xlfn.XLOOKUP($B410,'Cronog. e Histog.'!$BZ:$BZ,'Cronog. e Histog.'!CT:CT),"")</f>
        <v/>
      </c>
      <c r="Z410" s="144" t="str">
        <f>IFERROR(_xlfn.XLOOKUP($B410,'Cronog. e Histog.'!$BZ:$BZ,'Cronog. e Histog.'!CU:CU),"")</f>
        <v/>
      </c>
      <c r="AA410" s="144" t="str">
        <f>IFERROR(_xlfn.XLOOKUP($B410,'Cronog. e Histog.'!$BZ:$BZ,'Cronog. e Histog.'!CV:CV),"")</f>
        <v/>
      </c>
      <c r="AB410" s="144" t="str">
        <f>IFERROR(_xlfn.XLOOKUP($B410,'Cronog. e Histog.'!$BZ:$BZ,'Cronog. e Histog.'!CW:CW),"")</f>
        <v/>
      </c>
      <c r="AC410" s="144" t="str">
        <f>IFERROR(_xlfn.XLOOKUP($B410,'Cronog. e Histog.'!$BZ:$BZ,'Cronog. e Histog.'!CX:CX),"")</f>
        <v/>
      </c>
      <c r="AD410" s="144" t="str">
        <f>IFERROR(_xlfn.XLOOKUP($B410,'Cronog. e Histog.'!$BZ:$BZ,'Cronog. e Histog.'!CY:CY),"")</f>
        <v/>
      </c>
      <c r="AE410" s="144" t="str">
        <f>IFERROR(_xlfn.XLOOKUP($B410,'Cronog. e Histog.'!$BZ:$BZ,'Cronog. e Histog.'!CZ:CZ),"")</f>
        <v/>
      </c>
      <c r="AF410" s="144" t="str">
        <f>IFERROR(_xlfn.XLOOKUP($B410,'Cronog. e Histog.'!$BZ:$BZ,'Cronog. e Histog.'!DA:DA),"")</f>
        <v/>
      </c>
      <c r="AG410" s="144" t="str">
        <f>IFERROR(_xlfn.XLOOKUP($B410,'Cronog. e Histog.'!$BZ:$BZ,'Cronog. e Histog.'!DB:DB),"")</f>
        <v/>
      </c>
      <c r="AH410" s="144" t="str">
        <f>IFERROR(_xlfn.XLOOKUP($B410,'Cronog. e Histog.'!$BZ:$BZ,'Cronog. e Histog.'!DC:DC),"")</f>
        <v/>
      </c>
      <c r="AI410" s="144" t="str">
        <f>IFERROR(_xlfn.XLOOKUP($B410,'Cronog. e Histog.'!$BZ:$BZ,'Cronog. e Histog.'!DD:DD),"")</f>
        <v/>
      </c>
      <c r="AJ410" s="144" t="str">
        <f>IFERROR(_xlfn.XLOOKUP($B410,'Cronog. e Histog.'!$BZ:$BZ,'Cronog. e Histog.'!DE:DE),"")</f>
        <v/>
      </c>
      <c r="AK410" s="144" t="str">
        <f>IFERROR(_xlfn.XLOOKUP($B410,'Cronog. e Histog.'!$BZ:$BZ,'Cronog. e Histog.'!DF:DF),"")</f>
        <v/>
      </c>
      <c r="AL410" s="144" t="str">
        <f>IFERROR(_xlfn.XLOOKUP($B410,'Cronog. e Histog.'!$BZ:$BZ,'Cronog. e Histog.'!DG:DG),"")</f>
        <v/>
      </c>
      <c r="AM410" s="144" t="str">
        <f>IFERROR(_xlfn.XLOOKUP($B410,'Cronog. e Histog.'!$BZ:$BZ,'Cronog. e Histog.'!DH:DH),"")</f>
        <v/>
      </c>
      <c r="AN410" s="144" t="str">
        <f>IFERROR(_xlfn.XLOOKUP($B410,'Cronog. e Histog.'!$BZ:$BZ,'Cronog. e Histog.'!DI:DI),"")</f>
        <v/>
      </c>
      <c r="AO410" s="144" t="str">
        <f>IFERROR(_xlfn.XLOOKUP($B410,'Cronog. e Histog.'!$BZ:$BZ,'Cronog. e Histog.'!DJ:DJ),"")</f>
        <v/>
      </c>
      <c r="AP410" s="144" t="str">
        <f>IFERROR(_xlfn.XLOOKUP($B410,'Cronog. e Histog.'!$BZ:$BZ,'Cronog. e Histog.'!DK:DK),"")</f>
        <v/>
      </c>
      <c r="AQ410" s="144" t="str">
        <f>IFERROR(_xlfn.XLOOKUP($B410,'Cronog. e Histog.'!$BZ:$BZ,'Cronog. e Histog.'!DL:DL),"")</f>
        <v/>
      </c>
      <c r="AR410" s="144" t="str">
        <f>IFERROR(_xlfn.XLOOKUP($B410,'Cronog. e Histog.'!$BZ:$BZ,'Cronog. e Histog.'!DM:DM),"")</f>
        <v/>
      </c>
      <c r="AS410" s="144" t="str">
        <f>IFERROR(_xlfn.XLOOKUP($B410,'Cronog. e Histog.'!$BZ:$BZ,'Cronog. e Histog.'!DN:DN),"")</f>
        <v/>
      </c>
      <c r="AT410" s="144" t="str">
        <f>IFERROR(_xlfn.XLOOKUP($B410,'Cronog. e Histog.'!$BZ:$BZ,'Cronog. e Histog.'!DO:DO),"")</f>
        <v/>
      </c>
      <c r="AU410" s="144" t="str">
        <f>IFERROR(_xlfn.XLOOKUP($B410,'Cronog. e Histog.'!$BZ:$BZ,'Cronog. e Histog.'!DP:DP),"")</f>
        <v/>
      </c>
      <c r="AV410" s="144" t="str">
        <f>IFERROR(_xlfn.XLOOKUP($B410,'Cronog. e Histog.'!$BZ:$BZ,'Cronog. e Histog.'!DQ:DQ),"")</f>
        <v/>
      </c>
      <c r="AW410" s="144" t="str">
        <f>IFERROR(_xlfn.XLOOKUP($B410,'Cronog. e Histog.'!$BZ:$BZ,'Cronog. e Histog.'!DR:DR),"")</f>
        <v/>
      </c>
      <c r="AX410" s="144" t="str">
        <f>IFERROR(_xlfn.XLOOKUP($B410,'Cronog. e Histog.'!$BZ:$BZ,'Cronog. e Histog.'!DS:DS),"")</f>
        <v/>
      </c>
      <c r="AY410" s="144" t="str">
        <f>IFERROR(_xlfn.XLOOKUP($B410,'Cronog. e Histog.'!$BZ:$BZ,'Cronog. e Histog.'!DT:DT),"")</f>
        <v/>
      </c>
      <c r="AZ410" s="144" t="str">
        <f>IFERROR(_xlfn.XLOOKUP($B410,'Cronog. e Histog.'!$BZ:$BZ,'Cronog. e Histog.'!DU:DU),"")</f>
        <v/>
      </c>
      <c r="BA410" s="144" t="str">
        <f>IFERROR(_xlfn.XLOOKUP($B410,'Cronog. e Histog.'!$BZ:$BZ,'Cronog. e Histog.'!DV:DV),"")</f>
        <v/>
      </c>
      <c r="BB410" s="144" t="str">
        <f>IFERROR(_xlfn.XLOOKUP($B410,'Cronog. e Histog.'!$BZ:$BZ,'Cronog. e Histog.'!DW:DW),"")</f>
        <v/>
      </c>
      <c r="BC410" s="144" t="str">
        <f>IFERROR(_xlfn.XLOOKUP($B410,'Cronog. e Histog.'!$BZ:$BZ,'Cronog. e Histog.'!DX:DX),"")</f>
        <v/>
      </c>
      <c r="BD410" s="144" t="str">
        <f>IFERROR(_xlfn.XLOOKUP($B410,'Cronog. e Histog.'!$BZ:$BZ,'Cronog. e Histog.'!DY:DY),"")</f>
        <v/>
      </c>
      <c r="BE410" s="144" t="str">
        <f>IFERROR(_xlfn.XLOOKUP($B410,'Cronog. e Histog.'!$BZ:$BZ,'Cronog. e Histog.'!DZ:DZ),"")</f>
        <v/>
      </c>
      <c r="BF410" s="144" t="str">
        <f>IFERROR(_xlfn.XLOOKUP($B410,'Cronog. e Histog.'!$BZ:$BZ,'Cronog. e Histog.'!EA:EA),"")</f>
        <v/>
      </c>
      <c r="BG410" s="144" t="str">
        <f>IFERROR(_xlfn.XLOOKUP($B410,'Cronog. e Histog.'!$BZ:$BZ,'Cronog. e Histog.'!EB:EB),"")</f>
        <v/>
      </c>
      <c r="BH410" s="144" t="str">
        <f>IFERROR(_xlfn.XLOOKUP($B410,'Cronog. e Histog.'!$BZ:$BZ,'Cronog. e Histog.'!EC:EC),"")</f>
        <v/>
      </c>
      <c r="BI410" s="144" t="str">
        <f>IFERROR(_xlfn.XLOOKUP($B410,'Cronog. e Histog.'!$BZ:$BZ,'Cronog. e Histog.'!ED:ED),"")</f>
        <v/>
      </c>
      <c r="BJ410" s="144" t="str">
        <f>IFERROR(_xlfn.XLOOKUP($B410,'Cronog. e Histog.'!$BZ:$BZ,'Cronog. e Histog.'!EE:EE),"")</f>
        <v/>
      </c>
      <c r="BK410" s="144" t="str">
        <f>IFERROR(_xlfn.XLOOKUP($B410,'Cronog. e Histog.'!$BZ:$BZ,'Cronog. e Histog.'!EF:EF),"")</f>
        <v/>
      </c>
      <c r="BL410" s="144" t="str">
        <f>IFERROR(_xlfn.XLOOKUP($B410,'Cronog. e Histog.'!$BZ:$BZ,'Cronog. e Histog.'!EG:EG),"")</f>
        <v/>
      </c>
      <c r="BM410" s="144" t="str">
        <f>IFERROR(_xlfn.XLOOKUP($B410,'Cronog. e Histog.'!$BZ:$BZ,'Cronog. e Histog.'!EH:EH),"")</f>
        <v/>
      </c>
      <c r="BN410" s="144" t="str">
        <f>IFERROR(_xlfn.XLOOKUP($B410,'Cronog. e Histog.'!$BZ:$BZ,'Cronog. e Histog.'!EI:EI),"")</f>
        <v/>
      </c>
    </row>
    <row r="411" spans="2:66" ht="12" hidden="1" customHeight="1" outlineLevel="1">
      <c r="B411" s="76">
        <v>405</v>
      </c>
      <c r="C411" s="143" t="str">
        <f>IFERROR(VLOOKUP(B411,'Cronog. e Histog.'!$BZ$213:$CA$747,2,0),"")</f>
        <v/>
      </c>
      <c r="D411" s="144">
        <f t="shared" si="6"/>
        <v>0</v>
      </c>
      <c r="E411" s="144">
        <f t="shared" si="7"/>
        <v>0</v>
      </c>
      <c r="F411" s="65"/>
      <c r="G411" s="144" t="str">
        <f>IFERROR(_xlfn.XLOOKUP($B411,'Cronog. e Histog.'!$BZ:$BZ,'Cronog. e Histog.'!CB:CB),"")</f>
        <v/>
      </c>
      <c r="H411" s="144" t="str">
        <f>IFERROR(_xlfn.XLOOKUP($B411,'Cronog. e Histog.'!$BZ:$BZ,'Cronog. e Histog.'!CC:CC),"")</f>
        <v/>
      </c>
      <c r="I411" s="144" t="str">
        <f>IFERROR(_xlfn.XLOOKUP($B411,'Cronog. e Histog.'!$BZ:$BZ,'Cronog. e Histog.'!CD:CD),"")</f>
        <v/>
      </c>
      <c r="J411" s="144" t="str">
        <f>IFERROR(_xlfn.XLOOKUP($B411,'Cronog. e Histog.'!$BZ:$BZ,'Cronog. e Histog.'!CE:CE),"")</f>
        <v/>
      </c>
      <c r="K411" s="144" t="str">
        <f>IFERROR(_xlfn.XLOOKUP($B411,'Cronog. e Histog.'!$BZ:$BZ,'Cronog. e Histog.'!CF:CF),"")</f>
        <v/>
      </c>
      <c r="L411" s="144" t="str">
        <f>IFERROR(_xlfn.XLOOKUP($B411,'Cronog. e Histog.'!$BZ:$BZ,'Cronog. e Histog.'!CG:CG),"")</f>
        <v/>
      </c>
      <c r="M411" s="144" t="str">
        <f>IFERROR(_xlfn.XLOOKUP($B411,'Cronog. e Histog.'!$BZ:$BZ,'Cronog. e Histog.'!CH:CH),"")</f>
        <v/>
      </c>
      <c r="N411" s="144" t="str">
        <f>IFERROR(_xlfn.XLOOKUP($B411,'Cronog. e Histog.'!$BZ:$BZ,'Cronog. e Histog.'!CI:CI),"")</f>
        <v/>
      </c>
      <c r="O411" s="144" t="str">
        <f>IFERROR(_xlfn.XLOOKUP($B411,'Cronog. e Histog.'!$BZ:$BZ,'Cronog. e Histog.'!CJ:CJ),"")</f>
        <v/>
      </c>
      <c r="P411" s="144" t="str">
        <f>IFERROR(_xlfn.XLOOKUP($B411,'Cronog. e Histog.'!$BZ:$BZ,'Cronog. e Histog.'!CK:CK),"")</f>
        <v/>
      </c>
      <c r="Q411" s="144" t="str">
        <f>IFERROR(_xlfn.XLOOKUP($B411,'Cronog. e Histog.'!$BZ:$BZ,'Cronog. e Histog.'!CL:CL),"")</f>
        <v/>
      </c>
      <c r="R411" s="144" t="str">
        <f>IFERROR(_xlfn.XLOOKUP($B411,'Cronog. e Histog.'!$BZ:$BZ,'Cronog. e Histog.'!CM:CM),"")</f>
        <v/>
      </c>
      <c r="S411" s="144" t="str">
        <f>IFERROR(_xlfn.XLOOKUP($B411,'Cronog. e Histog.'!$BZ:$BZ,'Cronog. e Histog.'!CN:CN),"")</f>
        <v/>
      </c>
      <c r="T411" s="144" t="str">
        <f>IFERROR(_xlfn.XLOOKUP($B411,'Cronog. e Histog.'!$BZ:$BZ,'Cronog. e Histog.'!CO:CO),"")</f>
        <v/>
      </c>
      <c r="U411" s="144" t="str">
        <f>IFERROR(_xlfn.XLOOKUP($B411,'Cronog. e Histog.'!$BZ:$BZ,'Cronog. e Histog.'!CP:CP),"")</f>
        <v/>
      </c>
      <c r="V411" s="144" t="str">
        <f>IFERROR(_xlfn.XLOOKUP($B411,'Cronog. e Histog.'!$BZ:$BZ,'Cronog. e Histog.'!CQ:CQ),"")</f>
        <v/>
      </c>
      <c r="W411" s="144" t="str">
        <f>IFERROR(_xlfn.XLOOKUP($B411,'Cronog. e Histog.'!$BZ:$BZ,'Cronog. e Histog.'!CR:CR),"")</f>
        <v/>
      </c>
      <c r="X411" s="144" t="str">
        <f>IFERROR(_xlfn.XLOOKUP($B411,'Cronog. e Histog.'!$BZ:$BZ,'Cronog. e Histog.'!CS:CS),"")</f>
        <v/>
      </c>
      <c r="Y411" s="144" t="str">
        <f>IFERROR(_xlfn.XLOOKUP($B411,'Cronog. e Histog.'!$BZ:$BZ,'Cronog. e Histog.'!CT:CT),"")</f>
        <v/>
      </c>
      <c r="Z411" s="144" t="str">
        <f>IFERROR(_xlfn.XLOOKUP($B411,'Cronog. e Histog.'!$BZ:$BZ,'Cronog. e Histog.'!CU:CU),"")</f>
        <v/>
      </c>
      <c r="AA411" s="144" t="str">
        <f>IFERROR(_xlfn.XLOOKUP($B411,'Cronog. e Histog.'!$BZ:$BZ,'Cronog. e Histog.'!CV:CV),"")</f>
        <v/>
      </c>
      <c r="AB411" s="144" t="str">
        <f>IFERROR(_xlfn.XLOOKUP($B411,'Cronog. e Histog.'!$BZ:$BZ,'Cronog. e Histog.'!CW:CW),"")</f>
        <v/>
      </c>
      <c r="AC411" s="144" t="str">
        <f>IFERROR(_xlfn.XLOOKUP($B411,'Cronog. e Histog.'!$BZ:$BZ,'Cronog. e Histog.'!CX:CX),"")</f>
        <v/>
      </c>
      <c r="AD411" s="144" t="str">
        <f>IFERROR(_xlfn.XLOOKUP($B411,'Cronog. e Histog.'!$BZ:$BZ,'Cronog. e Histog.'!CY:CY),"")</f>
        <v/>
      </c>
      <c r="AE411" s="144" t="str">
        <f>IFERROR(_xlfn.XLOOKUP($B411,'Cronog. e Histog.'!$BZ:$BZ,'Cronog. e Histog.'!CZ:CZ),"")</f>
        <v/>
      </c>
      <c r="AF411" s="144" t="str">
        <f>IFERROR(_xlfn.XLOOKUP($B411,'Cronog. e Histog.'!$BZ:$BZ,'Cronog. e Histog.'!DA:DA),"")</f>
        <v/>
      </c>
      <c r="AG411" s="144" t="str">
        <f>IFERROR(_xlfn.XLOOKUP($B411,'Cronog. e Histog.'!$BZ:$BZ,'Cronog. e Histog.'!DB:DB),"")</f>
        <v/>
      </c>
      <c r="AH411" s="144" t="str">
        <f>IFERROR(_xlfn.XLOOKUP($B411,'Cronog. e Histog.'!$BZ:$BZ,'Cronog. e Histog.'!DC:DC),"")</f>
        <v/>
      </c>
      <c r="AI411" s="144" t="str">
        <f>IFERROR(_xlfn.XLOOKUP($B411,'Cronog. e Histog.'!$BZ:$BZ,'Cronog. e Histog.'!DD:DD),"")</f>
        <v/>
      </c>
      <c r="AJ411" s="144" t="str">
        <f>IFERROR(_xlfn.XLOOKUP($B411,'Cronog. e Histog.'!$BZ:$BZ,'Cronog. e Histog.'!DE:DE),"")</f>
        <v/>
      </c>
      <c r="AK411" s="144" t="str">
        <f>IFERROR(_xlfn.XLOOKUP($B411,'Cronog. e Histog.'!$BZ:$BZ,'Cronog. e Histog.'!DF:DF),"")</f>
        <v/>
      </c>
      <c r="AL411" s="144" t="str">
        <f>IFERROR(_xlfn.XLOOKUP($B411,'Cronog. e Histog.'!$BZ:$BZ,'Cronog. e Histog.'!DG:DG),"")</f>
        <v/>
      </c>
      <c r="AM411" s="144" t="str">
        <f>IFERROR(_xlfn.XLOOKUP($B411,'Cronog. e Histog.'!$BZ:$BZ,'Cronog. e Histog.'!DH:DH),"")</f>
        <v/>
      </c>
      <c r="AN411" s="144" t="str">
        <f>IFERROR(_xlfn.XLOOKUP($B411,'Cronog. e Histog.'!$BZ:$BZ,'Cronog. e Histog.'!DI:DI),"")</f>
        <v/>
      </c>
      <c r="AO411" s="144" t="str">
        <f>IFERROR(_xlfn.XLOOKUP($B411,'Cronog. e Histog.'!$BZ:$BZ,'Cronog. e Histog.'!DJ:DJ),"")</f>
        <v/>
      </c>
      <c r="AP411" s="144" t="str">
        <f>IFERROR(_xlfn.XLOOKUP($B411,'Cronog. e Histog.'!$BZ:$BZ,'Cronog. e Histog.'!DK:DK),"")</f>
        <v/>
      </c>
      <c r="AQ411" s="144" t="str">
        <f>IFERROR(_xlfn.XLOOKUP($B411,'Cronog. e Histog.'!$BZ:$BZ,'Cronog. e Histog.'!DL:DL),"")</f>
        <v/>
      </c>
      <c r="AR411" s="144" t="str">
        <f>IFERROR(_xlfn.XLOOKUP($B411,'Cronog. e Histog.'!$BZ:$BZ,'Cronog. e Histog.'!DM:DM),"")</f>
        <v/>
      </c>
      <c r="AS411" s="144" t="str">
        <f>IFERROR(_xlfn.XLOOKUP($B411,'Cronog. e Histog.'!$BZ:$BZ,'Cronog. e Histog.'!DN:DN),"")</f>
        <v/>
      </c>
      <c r="AT411" s="144" t="str">
        <f>IFERROR(_xlfn.XLOOKUP($B411,'Cronog. e Histog.'!$BZ:$BZ,'Cronog. e Histog.'!DO:DO),"")</f>
        <v/>
      </c>
      <c r="AU411" s="144" t="str">
        <f>IFERROR(_xlfn.XLOOKUP($B411,'Cronog. e Histog.'!$BZ:$BZ,'Cronog. e Histog.'!DP:DP),"")</f>
        <v/>
      </c>
      <c r="AV411" s="144" t="str">
        <f>IFERROR(_xlfn.XLOOKUP($B411,'Cronog. e Histog.'!$BZ:$BZ,'Cronog. e Histog.'!DQ:DQ),"")</f>
        <v/>
      </c>
      <c r="AW411" s="144" t="str">
        <f>IFERROR(_xlfn.XLOOKUP($B411,'Cronog. e Histog.'!$BZ:$BZ,'Cronog. e Histog.'!DR:DR),"")</f>
        <v/>
      </c>
      <c r="AX411" s="144" t="str">
        <f>IFERROR(_xlfn.XLOOKUP($B411,'Cronog. e Histog.'!$BZ:$BZ,'Cronog. e Histog.'!DS:DS),"")</f>
        <v/>
      </c>
      <c r="AY411" s="144" t="str">
        <f>IFERROR(_xlfn.XLOOKUP($B411,'Cronog. e Histog.'!$BZ:$BZ,'Cronog. e Histog.'!DT:DT),"")</f>
        <v/>
      </c>
      <c r="AZ411" s="144" t="str">
        <f>IFERROR(_xlfn.XLOOKUP($B411,'Cronog. e Histog.'!$BZ:$BZ,'Cronog. e Histog.'!DU:DU),"")</f>
        <v/>
      </c>
      <c r="BA411" s="144" t="str">
        <f>IFERROR(_xlfn.XLOOKUP($B411,'Cronog. e Histog.'!$BZ:$BZ,'Cronog. e Histog.'!DV:DV),"")</f>
        <v/>
      </c>
      <c r="BB411" s="144" t="str">
        <f>IFERROR(_xlfn.XLOOKUP($B411,'Cronog. e Histog.'!$BZ:$BZ,'Cronog. e Histog.'!DW:DW),"")</f>
        <v/>
      </c>
      <c r="BC411" s="144" t="str">
        <f>IFERROR(_xlfn.XLOOKUP($B411,'Cronog. e Histog.'!$BZ:$BZ,'Cronog. e Histog.'!DX:DX),"")</f>
        <v/>
      </c>
      <c r="BD411" s="144" t="str">
        <f>IFERROR(_xlfn.XLOOKUP($B411,'Cronog. e Histog.'!$BZ:$BZ,'Cronog. e Histog.'!DY:DY),"")</f>
        <v/>
      </c>
      <c r="BE411" s="144" t="str">
        <f>IFERROR(_xlfn.XLOOKUP($B411,'Cronog. e Histog.'!$BZ:$BZ,'Cronog. e Histog.'!DZ:DZ),"")</f>
        <v/>
      </c>
      <c r="BF411" s="144" t="str">
        <f>IFERROR(_xlfn.XLOOKUP($B411,'Cronog. e Histog.'!$BZ:$BZ,'Cronog. e Histog.'!EA:EA),"")</f>
        <v/>
      </c>
      <c r="BG411" s="144" t="str">
        <f>IFERROR(_xlfn.XLOOKUP($B411,'Cronog. e Histog.'!$BZ:$BZ,'Cronog. e Histog.'!EB:EB),"")</f>
        <v/>
      </c>
      <c r="BH411" s="144" t="str">
        <f>IFERROR(_xlfn.XLOOKUP($B411,'Cronog. e Histog.'!$BZ:$BZ,'Cronog. e Histog.'!EC:EC),"")</f>
        <v/>
      </c>
      <c r="BI411" s="144" t="str">
        <f>IFERROR(_xlfn.XLOOKUP($B411,'Cronog. e Histog.'!$BZ:$BZ,'Cronog. e Histog.'!ED:ED),"")</f>
        <v/>
      </c>
      <c r="BJ411" s="144" t="str">
        <f>IFERROR(_xlfn.XLOOKUP($B411,'Cronog. e Histog.'!$BZ:$BZ,'Cronog. e Histog.'!EE:EE),"")</f>
        <v/>
      </c>
      <c r="BK411" s="144" t="str">
        <f>IFERROR(_xlfn.XLOOKUP($B411,'Cronog. e Histog.'!$BZ:$BZ,'Cronog. e Histog.'!EF:EF),"")</f>
        <v/>
      </c>
      <c r="BL411" s="144" t="str">
        <f>IFERROR(_xlfn.XLOOKUP($B411,'Cronog. e Histog.'!$BZ:$BZ,'Cronog. e Histog.'!EG:EG),"")</f>
        <v/>
      </c>
      <c r="BM411" s="144" t="str">
        <f>IFERROR(_xlfn.XLOOKUP($B411,'Cronog. e Histog.'!$BZ:$BZ,'Cronog. e Histog.'!EH:EH),"")</f>
        <v/>
      </c>
      <c r="BN411" s="144" t="str">
        <f>IFERROR(_xlfn.XLOOKUP($B411,'Cronog. e Histog.'!$BZ:$BZ,'Cronog. e Histog.'!EI:EI),"")</f>
        <v/>
      </c>
    </row>
    <row r="412" spans="2:66" ht="12" hidden="1" customHeight="1" outlineLevel="1">
      <c r="B412" s="76">
        <v>406</v>
      </c>
      <c r="C412" s="143" t="str">
        <f>IFERROR(VLOOKUP(B412,'Cronog. e Histog.'!$BZ$213:$CA$747,2,0),"")</f>
        <v/>
      </c>
      <c r="D412" s="144">
        <f t="shared" si="6"/>
        <v>0</v>
      </c>
      <c r="E412" s="144">
        <f t="shared" si="7"/>
        <v>0</v>
      </c>
      <c r="F412" s="65"/>
      <c r="G412" s="144" t="str">
        <f>IFERROR(_xlfn.XLOOKUP($B412,'Cronog. e Histog.'!$BZ:$BZ,'Cronog. e Histog.'!CB:CB),"")</f>
        <v/>
      </c>
      <c r="H412" s="144" t="str">
        <f>IFERROR(_xlfn.XLOOKUP($B412,'Cronog. e Histog.'!$BZ:$BZ,'Cronog. e Histog.'!CC:CC),"")</f>
        <v/>
      </c>
      <c r="I412" s="144" t="str">
        <f>IFERROR(_xlfn.XLOOKUP($B412,'Cronog. e Histog.'!$BZ:$BZ,'Cronog. e Histog.'!CD:CD),"")</f>
        <v/>
      </c>
      <c r="J412" s="144" t="str">
        <f>IFERROR(_xlfn.XLOOKUP($B412,'Cronog. e Histog.'!$BZ:$BZ,'Cronog. e Histog.'!CE:CE),"")</f>
        <v/>
      </c>
      <c r="K412" s="144" t="str">
        <f>IFERROR(_xlfn.XLOOKUP($B412,'Cronog. e Histog.'!$BZ:$BZ,'Cronog. e Histog.'!CF:CF),"")</f>
        <v/>
      </c>
      <c r="L412" s="144" t="str">
        <f>IFERROR(_xlfn.XLOOKUP($B412,'Cronog. e Histog.'!$BZ:$BZ,'Cronog. e Histog.'!CG:CG),"")</f>
        <v/>
      </c>
      <c r="M412" s="144" t="str">
        <f>IFERROR(_xlfn.XLOOKUP($B412,'Cronog. e Histog.'!$BZ:$BZ,'Cronog. e Histog.'!CH:CH),"")</f>
        <v/>
      </c>
      <c r="N412" s="144" t="str">
        <f>IFERROR(_xlfn.XLOOKUP($B412,'Cronog. e Histog.'!$BZ:$BZ,'Cronog. e Histog.'!CI:CI),"")</f>
        <v/>
      </c>
      <c r="O412" s="144" t="str">
        <f>IFERROR(_xlfn.XLOOKUP($B412,'Cronog. e Histog.'!$BZ:$BZ,'Cronog. e Histog.'!CJ:CJ),"")</f>
        <v/>
      </c>
      <c r="P412" s="144" t="str">
        <f>IFERROR(_xlfn.XLOOKUP($B412,'Cronog. e Histog.'!$BZ:$BZ,'Cronog. e Histog.'!CK:CK),"")</f>
        <v/>
      </c>
      <c r="Q412" s="144" t="str">
        <f>IFERROR(_xlfn.XLOOKUP($B412,'Cronog. e Histog.'!$BZ:$BZ,'Cronog. e Histog.'!CL:CL),"")</f>
        <v/>
      </c>
      <c r="R412" s="144" t="str">
        <f>IFERROR(_xlfn.XLOOKUP($B412,'Cronog. e Histog.'!$BZ:$BZ,'Cronog. e Histog.'!CM:CM),"")</f>
        <v/>
      </c>
      <c r="S412" s="144" t="str">
        <f>IFERROR(_xlfn.XLOOKUP($B412,'Cronog. e Histog.'!$BZ:$BZ,'Cronog. e Histog.'!CN:CN),"")</f>
        <v/>
      </c>
      <c r="T412" s="144" t="str">
        <f>IFERROR(_xlfn.XLOOKUP($B412,'Cronog. e Histog.'!$BZ:$BZ,'Cronog. e Histog.'!CO:CO),"")</f>
        <v/>
      </c>
      <c r="U412" s="144" t="str">
        <f>IFERROR(_xlfn.XLOOKUP($B412,'Cronog. e Histog.'!$BZ:$BZ,'Cronog. e Histog.'!CP:CP),"")</f>
        <v/>
      </c>
      <c r="V412" s="144" t="str">
        <f>IFERROR(_xlfn.XLOOKUP($B412,'Cronog. e Histog.'!$BZ:$BZ,'Cronog. e Histog.'!CQ:CQ),"")</f>
        <v/>
      </c>
      <c r="W412" s="144" t="str">
        <f>IFERROR(_xlfn.XLOOKUP($B412,'Cronog. e Histog.'!$BZ:$BZ,'Cronog. e Histog.'!CR:CR),"")</f>
        <v/>
      </c>
      <c r="X412" s="144" t="str">
        <f>IFERROR(_xlfn.XLOOKUP($B412,'Cronog. e Histog.'!$BZ:$BZ,'Cronog. e Histog.'!CS:CS),"")</f>
        <v/>
      </c>
      <c r="Y412" s="144" t="str">
        <f>IFERROR(_xlfn.XLOOKUP($B412,'Cronog. e Histog.'!$BZ:$BZ,'Cronog. e Histog.'!CT:CT),"")</f>
        <v/>
      </c>
      <c r="Z412" s="144" t="str">
        <f>IFERROR(_xlfn.XLOOKUP($B412,'Cronog. e Histog.'!$BZ:$BZ,'Cronog. e Histog.'!CU:CU),"")</f>
        <v/>
      </c>
      <c r="AA412" s="144" t="str">
        <f>IFERROR(_xlfn.XLOOKUP($B412,'Cronog. e Histog.'!$BZ:$BZ,'Cronog. e Histog.'!CV:CV),"")</f>
        <v/>
      </c>
      <c r="AB412" s="144" t="str">
        <f>IFERROR(_xlfn.XLOOKUP($B412,'Cronog. e Histog.'!$BZ:$BZ,'Cronog. e Histog.'!CW:CW),"")</f>
        <v/>
      </c>
      <c r="AC412" s="144" t="str">
        <f>IFERROR(_xlfn.XLOOKUP($B412,'Cronog. e Histog.'!$BZ:$BZ,'Cronog. e Histog.'!CX:CX),"")</f>
        <v/>
      </c>
      <c r="AD412" s="144" t="str">
        <f>IFERROR(_xlfn.XLOOKUP($B412,'Cronog. e Histog.'!$BZ:$BZ,'Cronog. e Histog.'!CY:CY),"")</f>
        <v/>
      </c>
      <c r="AE412" s="144" t="str">
        <f>IFERROR(_xlfn.XLOOKUP($B412,'Cronog. e Histog.'!$BZ:$BZ,'Cronog. e Histog.'!CZ:CZ),"")</f>
        <v/>
      </c>
      <c r="AF412" s="144" t="str">
        <f>IFERROR(_xlfn.XLOOKUP($B412,'Cronog. e Histog.'!$BZ:$BZ,'Cronog. e Histog.'!DA:DA),"")</f>
        <v/>
      </c>
      <c r="AG412" s="144" t="str">
        <f>IFERROR(_xlfn.XLOOKUP($B412,'Cronog. e Histog.'!$BZ:$BZ,'Cronog. e Histog.'!DB:DB),"")</f>
        <v/>
      </c>
      <c r="AH412" s="144" t="str">
        <f>IFERROR(_xlfn.XLOOKUP($B412,'Cronog. e Histog.'!$BZ:$BZ,'Cronog. e Histog.'!DC:DC),"")</f>
        <v/>
      </c>
      <c r="AI412" s="144" t="str">
        <f>IFERROR(_xlfn.XLOOKUP($B412,'Cronog. e Histog.'!$BZ:$BZ,'Cronog. e Histog.'!DD:DD),"")</f>
        <v/>
      </c>
      <c r="AJ412" s="144" t="str">
        <f>IFERROR(_xlfn.XLOOKUP($B412,'Cronog. e Histog.'!$BZ:$BZ,'Cronog. e Histog.'!DE:DE),"")</f>
        <v/>
      </c>
      <c r="AK412" s="144" t="str">
        <f>IFERROR(_xlfn.XLOOKUP($B412,'Cronog. e Histog.'!$BZ:$BZ,'Cronog. e Histog.'!DF:DF),"")</f>
        <v/>
      </c>
      <c r="AL412" s="144" t="str">
        <f>IFERROR(_xlfn.XLOOKUP($B412,'Cronog. e Histog.'!$BZ:$BZ,'Cronog. e Histog.'!DG:DG),"")</f>
        <v/>
      </c>
      <c r="AM412" s="144" t="str">
        <f>IFERROR(_xlfn.XLOOKUP($B412,'Cronog. e Histog.'!$BZ:$BZ,'Cronog. e Histog.'!DH:DH),"")</f>
        <v/>
      </c>
      <c r="AN412" s="144" t="str">
        <f>IFERROR(_xlfn.XLOOKUP($B412,'Cronog. e Histog.'!$BZ:$BZ,'Cronog. e Histog.'!DI:DI),"")</f>
        <v/>
      </c>
      <c r="AO412" s="144" t="str">
        <f>IFERROR(_xlfn.XLOOKUP($B412,'Cronog. e Histog.'!$BZ:$BZ,'Cronog. e Histog.'!DJ:DJ),"")</f>
        <v/>
      </c>
      <c r="AP412" s="144" t="str">
        <f>IFERROR(_xlfn.XLOOKUP($B412,'Cronog. e Histog.'!$BZ:$BZ,'Cronog. e Histog.'!DK:DK),"")</f>
        <v/>
      </c>
      <c r="AQ412" s="144" t="str">
        <f>IFERROR(_xlfn.XLOOKUP($B412,'Cronog. e Histog.'!$BZ:$BZ,'Cronog. e Histog.'!DL:DL),"")</f>
        <v/>
      </c>
      <c r="AR412" s="144" t="str">
        <f>IFERROR(_xlfn.XLOOKUP($B412,'Cronog. e Histog.'!$BZ:$BZ,'Cronog. e Histog.'!DM:DM),"")</f>
        <v/>
      </c>
      <c r="AS412" s="144" t="str">
        <f>IFERROR(_xlfn.XLOOKUP($B412,'Cronog. e Histog.'!$BZ:$BZ,'Cronog. e Histog.'!DN:DN),"")</f>
        <v/>
      </c>
      <c r="AT412" s="144" t="str">
        <f>IFERROR(_xlfn.XLOOKUP($B412,'Cronog. e Histog.'!$BZ:$BZ,'Cronog. e Histog.'!DO:DO),"")</f>
        <v/>
      </c>
      <c r="AU412" s="144" t="str">
        <f>IFERROR(_xlfn.XLOOKUP($B412,'Cronog. e Histog.'!$BZ:$BZ,'Cronog. e Histog.'!DP:DP),"")</f>
        <v/>
      </c>
      <c r="AV412" s="144" t="str">
        <f>IFERROR(_xlfn.XLOOKUP($B412,'Cronog. e Histog.'!$BZ:$BZ,'Cronog. e Histog.'!DQ:DQ),"")</f>
        <v/>
      </c>
      <c r="AW412" s="144" t="str">
        <f>IFERROR(_xlfn.XLOOKUP($B412,'Cronog. e Histog.'!$BZ:$BZ,'Cronog. e Histog.'!DR:DR),"")</f>
        <v/>
      </c>
      <c r="AX412" s="144" t="str">
        <f>IFERROR(_xlfn.XLOOKUP($B412,'Cronog. e Histog.'!$BZ:$BZ,'Cronog. e Histog.'!DS:DS),"")</f>
        <v/>
      </c>
      <c r="AY412" s="144" t="str">
        <f>IFERROR(_xlfn.XLOOKUP($B412,'Cronog. e Histog.'!$BZ:$BZ,'Cronog. e Histog.'!DT:DT),"")</f>
        <v/>
      </c>
      <c r="AZ412" s="144" t="str">
        <f>IFERROR(_xlfn.XLOOKUP($B412,'Cronog. e Histog.'!$BZ:$BZ,'Cronog. e Histog.'!DU:DU),"")</f>
        <v/>
      </c>
      <c r="BA412" s="144" t="str">
        <f>IFERROR(_xlfn.XLOOKUP($B412,'Cronog. e Histog.'!$BZ:$BZ,'Cronog. e Histog.'!DV:DV),"")</f>
        <v/>
      </c>
      <c r="BB412" s="144" t="str">
        <f>IFERROR(_xlfn.XLOOKUP($B412,'Cronog. e Histog.'!$BZ:$BZ,'Cronog. e Histog.'!DW:DW),"")</f>
        <v/>
      </c>
      <c r="BC412" s="144" t="str">
        <f>IFERROR(_xlfn.XLOOKUP($B412,'Cronog. e Histog.'!$BZ:$BZ,'Cronog. e Histog.'!DX:DX),"")</f>
        <v/>
      </c>
      <c r="BD412" s="144" t="str">
        <f>IFERROR(_xlfn.XLOOKUP($B412,'Cronog. e Histog.'!$BZ:$BZ,'Cronog. e Histog.'!DY:DY),"")</f>
        <v/>
      </c>
      <c r="BE412" s="144" t="str">
        <f>IFERROR(_xlfn.XLOOKUP($B412,'Cronog. e Histog.'!$BZ:$BZ,'Cronog. e Histog.'!DZ:DZ),"")</f>
        <v/>
      </c>
      <c r="BF412" s="144" t="str">
        <f>IFERROR(_xlfn.XLOOKUP($B412,'Cronog. e Histog.'!$BZ:$BZ,'Cronog. e Histog.'!EA:EA),"")</f>
        <v/>
      </c>
      <c r="BG412" s="144" t="str">
        <f>IFERROR(_xlfn.XLOOKUP($B412,'Cronog. e Histog.'!$BZ:$BZ,'Cronog. e Histog.'!EB:EB),"")</f>
        <v/>
      </c>
      <c r="BH412" s="144" t="str">
        <f>IFERROR(_xlfn.XLOOKUP($B412,'Cronog. e Histog.'!$BZ:$BZ,'Cronog. e Histog.'!EC:EC),"")</f>
        <v/>
      </c>
      <c r="BI412" s="144" t="str">
        <f>IFERROR(_xlfn.XLOOKUP($B412,'Cronog. e Histog.'!$BZ:$BZ,'Cronog. e Histog.'!ED:ED),"")</f>
        <v/>
      </c>
      <c r="BJ412" s="144" t="str">
        <f>IFERROR(_xlfn.XLOOKUP($B412,'Cronog. e Histog.'!$BZ:$BZ,'Cronog. e Histog.'!EE:EE),"")</f>
        <v/>
      </c>
      <c r="BK412" s="144" t="str">
        <f>IFERROR(_xlfn.XLOOKUP($B412,'Cronog. e Histog.'!$BZ:$BZ,'Cronog. e Histog.'!EF:EF),"")</f>
        <v/>
      </c>
      <c r="BL412" s="144" t="str">
        <f>IFERROR(_xlfn.XLOOKUP($B412,'Cronog. e Histog.'!$BZ:$BZ,'Cronog. e Histog.'!EG:EG),"")</f>
        <v/>
      </c>
      <c r="BM412" s="144" t="str">
        <f>IFERROR(_xlfn.XLOOKUP($B412,'Cronog. e Histog.'!$BZ:$BZ,'Cronog. e Histog.'!EH:EH),"")</f>
        <v/>
      </c>
      <c r="BN412" s="144" t="str">
        <f>IFERROR(_xlfn.XLOOKUP($B412,'Cronog. e Histog.'!$BZ:$BZ,'Cronog. e Histog.'!EI:EI),"")</f>
        <v/>
      </c>
    </row>
    <row r="413" spans="2:66" ht="12" hidden="1" customHeight="1" outlineLevel="1">
      <c r="B413" s="76">
        <v>407</v>
      </c>
      <c r="C413" s="143" t="str">
        <f>IFERROR(VLOOKUP(B413,'Cronog. e Histog.'!$BZ$213:$CA$747,2,0),"")</f>
        <v/>
      </c>
      <c r="D413" s="144">
        <f t="shared" si="6"/>
        <v>0</v>
      </c>
      <c r="E413" s="144">
        <f t="shared" si="7"/>
        <v>0</v>
      </c>
      <c r="F413" s="65"/>
      <c r="G413" s="144" t="str">
        <f>IFERROR(_xlfn.XLOOKUP($B413,'Cronog. e Histog.'!$BZ:$BZ,'Cronog. e Histog.'!CB:CB),"")</f>
        <v/>
      </c>
      <c r="H413" s="144" t="str">
        <f>IFERROR(_xlfn.XLOOKUP($B413,'Cronog. e Histog.'!$BZ:$BZ,'Cronog. e Histog.'!CC:CC),"")</f>
        <v/>
      </c>
      <c r="I413" s="144" t="str">
        <f>IFERROR(_xlfn.XLOOKUP($B413,'Cronog. e Histog.'!$BZ:$BZ,'Cronog. e Histog.'!CD:CD),"")</f>
        <v/>
      </c>
      <c r="J413" s="144" t="str">
        <f>IFERROR(_xlfn.XLOOKUP($B413,'Cronog. e Histog.'!$BZ:$BZ,'Cronog. e Histog.'!CE:CE),"")</f>
        <v/>
      </c>
      <c r="K413" s="144" t="str">
        <f>IFERROR(_xlfn.XLOOKUP($B413,'Cronog. e Histog.'!$BZ:$BZ,'Cronog. e Histog.'!CF:CF),"")</f>
        <v/>
      </c>
      <c r="L413" s="144" t="str">
        <f>IFERROR(_xlfn.XLOOKUP($B413,'Cronog. e Histog.'!$BZ:$BZ,'Cronog. e Histog.'!CG:CG),"")</f>
        <v/>
      </c>
      <c r="M413" s="144" t="str">
        <f>IFERROR(_xlfn.XLOOKUP($B413,'Cronog. e Histog.'!$BZ:$BZ,'Cronog. e Histog.'!CH:CH),"")</f>
        <v/>
      </c>
      <c r="N413" s="144" t="str">
        <f>IFERROR(_xlfn.XLOOKUP($B413,'Cronog. e Histog.'!$BZ:$BZ,'Cronog. e Histog.'!CI:CI),"")</f>
        <v/>
      </c>
      <c r="O413" s="144" t="str">
        <f>IFERROR(_xlfn.XLOOKUP($B413,'Cronog. e Histog.'!$BZ:$BZ,'Cronog. e Histog.'!CJ:CJ),"")</f>
        <v/>
      </c>
      <c r="P413" s="144" t="str">
        <f>IFERROR(_xlfn.XLOOKUP($B413,'Cronog. e Histog.'!$BZ:$BZ,'Cronog. e Histog.'!CK:CK),"")</f>
        <v/>
      </c>
      <c r="Q413" s="144" t="str">
        <f>IFERROR(_xlfn.XLOOKUP($B413,'Cronog. e Histog.'!$BZ:$BZ,'Cronog. e Histog.'!CL:CL),"")</f>
        <v/>
      </c>
      <c r="R413" s="144" t="str">
        <f>IFERROR(_xlfn.XLOOKUP($B413,'Cronog. e Histog.'!$BZ:$BZ,'Cronog. e Histog.'!CM:CM),"")</f>
        <v/>
      </c>
      <c r="S413" s="144" t="str">
        <f>IFERROR(_xlfn.XLOOKUP($B413,'Cronog. e Histog.'!$BZ:$BZ,'Cronog. e Histog.'!CN:CN),"")</f>
        <v/>
      </c>
      <c r="T413" s="144" t="str">
        <f>IFERROR(_xlfn.XLOOKUP($B413,'Cronog. e Histog.'!$BZ:$BZ,'Cronog. e Histog.'!CO:CO),"")</f>
        <v/>
      </c>
      <c r="U413" s="144" t="str">
        <f>IFERROR(_xlfn.XLOOKUP($B413,'Cronog. e Histog.'!$BZ:$BZ,'Cronog. e Histog.'!CP:CP),"")</f>
        <v/>
      </c>
      <c r="V413" s="144" t="str">
        <f>IFERROR(_xlfn.XLOOKUP($B413,'Cronog. e Histog.'!$BZ:$BZ,'Cronog. e Histog.'!CQ:CQ),"")</f>
        <v/>
      </c>
      <c r="W413" s="144" t="str">
        <f>IFERROR(_xlfn.XLOOKUP($B413,'Cronog. e Histog.'!$BZ:$BZ,'Cronog. e Histog.'!CR:CR),"")</f>
        <v/>
      </c>
      <c r="X413" s="144" t="str">
        <f>IFERROR(_xlfn.XLOOKUP($B413,'Cronog. e Histog.'!$BZ:$BZ,'Cronog. e Histog.'!CS:CS),"")</f>
        <v/>
      </c>
      <c r="Y413" s="144" t="str">
        <f>IFERROR(_xlfn.XLOOKUP($B413,'Cronog. e Histog.'!$BZ:$BZ,'Cronog. e Histog.'!CT:CT),"")</f>
        <v/>
      </c>
      <c r="Z413" s="144" t="str">
        <f>IFERROR(_xlfn.XLOOKUP($B413,'Cronog. e Histog.'!$BZ:$BZ,'Cronog. e Histog.'!CU:CU),"")</f>
        <v/>
      </c>
      <c r="AA413" s="144" t="str">
        <f>IFERROR(_xlfn.XLOOKUP($B413,'Cronog. e Histog.'!$BZ:$BZ,'Cronog. e Histog.'!CV:CV),"")</f>
        <v/>
      </c>
      <c r="AB413" s="144" t="str">
        <f>IFERROR(_xlfn.XLOOKUP($B413,'Cronog. e Histog.'!$BZ:$BZ,'Cronog. e Histog.'!CW:CW),"")</f>
        <v/>
      </c>
      <c r="AC413" s="144" t="str">
        <f>IFERROR(_xlfn.XLOOKUP($B413,'Cronog. e Histog.'!$BZ:$BZ,'Cronog. e Histog.'!CX:CX),"")</f>
        <v/>
      </c>
      <c r="AD413" s="144" t="str">
        <f>IFERROR(_xlfn.XLOOKUP($B413,'Cronog. e Histog.'!$BZ:$BZ,'Cronog. e Histog.'!CY:CY),"")</f>
        <v/>
      </c>
      <c r="AE413" s="144" t="str">
        <f>IFERROR(_xlfn.XLOOKUP($B413,'Cronog. e Histog.'!$BZ:$BZ,'Cronog. e Histog.'!CZ:CZ),"")</f>
        <v/>
      </c>
      <c r="AF413" s="144" t="str">
        <f>IFERROR(_xlfn.XLOOKUP($B413,'Cronog. e Histog.'!$BZ:$BZ,'Cronog. e Histog.'!DA:DA),"")</f>
        <v/>
      </c>
      <c r="AG413" s="144" t="str">
        <f>IFERROR(_xlfn.XLOOKUP($B413,'Cronog. e Histog.'!$BZ:$BZ,'Cronog. e Histog.'!DB:DB),"")</f>
        <v/>
      </c>
      <c r="AH413" s="144" t="str">
        <f>IFERROR(_xlfn.XLOOKUP($B413,'Cronog. e Histog.'!$BZ:$BZ,'Cronog. e Histog.'!DC:DC),"")</f>
        <v/>
      </c>
      <c r="AI413" s="144" t="str">
        <f>IFERROR(_xlfn.XLOOKUP($B413,'Cronog. e Histog.'!$BZ:$BZ,'Cronog. e Histog.'!DD:DD),"")</f>
        <v/>
      </c>
      <c r="AJ413" s="144" t="str">
        <f>IFERROR(_xlfn.XLOOKUP($B413,'Cronog. e Histog.'!$BZ:$BZ,'Cronog. e Histog.'!DE:DE),"")</f>
        <v/>
      </c>
      <c r="AK413" s="144" t="str">
        <f>IFERROR(_xlfn.XLOOKUP($B413,'Cronog. e Histog.'!$BZ:$BZ,'Cronog. e Histog.'!DF:DF),"")</f>
        <v/>
      </c>
      <c r="AL413" s="144" t="str">
        <f>IFERROR(_xlfn.XLOOKUP($B413,'Cronog. e Histog.'!$BZ:$BZ,'Cronog. e Histog.'!DG:DG),"")</f>
        <v/>
      </c>
      <c r="AM413" s="144" t="str">
        <f>IFERROR(_xlfn.XLOOKUP($B413,'Cronog. e Histog.'!$BZ:$BZ,'Cronog. e Histog.'!DH:DH),"")</f>
        <v/>
      </c>
      <c r="AN413" s="144" t="str">
        <f>IFERROR(_xlfn.XLOOKUP($B413,'Cronog. e Histog.'!$BZ:$BZ,'Cronog. e Histog.'!DI:DI),"")</f>
        <v/>
      </c>
      <c r="AO413" s="144" t="str">
        <f>IFERROR(_xlfn.XLOOKUP($B413,'Cronog. e Histog.'!$BZ:$BZ,'Cronog. e Histog.'!DJ:DJ),"")</f>
        <v/>
      </c>
      <c r="AP413" s="144" t="str">
        <f>IFERROR(_xlfn.XLOOKUP($B413,'Cronog. e Histog.'!$BZ:$BZ,'Cronog. e Histog.'!DK:DK),"")</f>
        <v/>
      </c>
      <c r="AQ413" s="144" t="str">
        <f>IFERROR(_xlfn.XLOOKUP($B413,'Cronog. e Histog.'!$BZ:$BZ,'Cronog. e Histog.'!DL:DL),"")</f>
        <v/>
      </c>
      <c r="AR413" s="144" t="str">
        <f>IFERROR(_xlfn.XLOOKUP($B413,'Cronog. e Histog.'!$BZ:$BZ,'Cronog. e Histog.'!DM:DM),"")</f>
        <v/>
      </c>
      <c r="AS413" s="144" t="str">
        <f>IFERROR(_xlfn.XLOOKUP($B413,'Cronog. e Histog.'!$BZ:$BZ,'Cronog. e Histog.'!DN:DN),"")</f>
        <v/>
      </c>
      <c r="AT413" s="144" t="str">
        <f>IFERROR(_xlfn.XLOOKUP($B413,'Cronog. e Histog.'!$BZ:$BZ,'Cronog. e Histog.'!DO:DO),"")</f>
        <v/>
      </c>
      <c r="AU413" s="144" t="str">
        <f>IFERROR(_xlfn.XLOOKUP($B413,'Cronog. e Histog.'!$BZ:$BZ,'Cronog. e Histog.'!DP:DP),"")</f>
        <v/>
      </c>
      <c r="AV413" s="144" t="str">
        <f>IFERROR(_xlfn.XLOOKUP($B413,'Cronog. e Histog.'!$BZ:$BZ,'Cronog. e Histog.'!DQ:DQ),"")</f>
        <v/>
      </c>
      <c r="AW413" s="144" t="str">
        <f>IFERROR(_xlfn.XLOOKUP($B413,'Cronog. e Histog.'!$BZ:$BZ,'Cronog. e Histog.'!DR:DR),"")</f>
        <v/>
      </c>
      <c r="AX413" s="144" t="str">
        <f>IFERROR(_xlfn.XLOOKUP($B413,'Cronog. e Histog.'!$BZ:$BZ,'Cronog. e Histog.'!DS:DS),"")</f>
        <v/>
      </c>
      <c r="AY413" s="144" t="str">
        <f>IFERROR(_xlfn.XLOOKUP($B413,'Cronog. e Histog.'!$BZ:$BZ,'Cronog. e Histog.'!DT:DT),"")</f>
        <v/>
      </c>
      <c r="AZ413" s="144" t="str">
        <f>IFERROR(_xlfn.XLOOKUP($B413,'Cronog. e Histog.'!$BZ:$BZ,'Cronog. e Histog.'!DU:DU),"")</f>
        <v/>
      </c>
      <c r="BA413" s="144" t="str">
        <f>IFERROR(_xlfn.XLOOKUP($B413,'Cronog. e Histog.'!$BZ:$BZ,'Cronog. e Histog.'!DV:DV),"")</f>
        <v/>
      </c>
      <c r="BB413" s="144" t="str">
        <f>IFERROR(_xlfn.XLOOKUP($B413,'Cronog. e Histog.'!$BZ:$BZ,'Cronog. e Histog.'!DW:DW),"")</f>
        <v/>
      </c>
      <c r="BC413" s="144" t="str">
        <f>IFERROR(_xlfn.XLOOKUP($B413,'Cronog. e Histog.'!$BZ:$BZ,'Cronog. e Histog.'!DX:DX),"")</f>
        <v/>
      </c>
      <c r="BD413" s="144" t="str">
        <f>IFERROR(_xlfn.XLOOKUP($B413,'Cronog. e Histog.'!$BZ:$BZ,'Cronog. e Histog.'!DY:DY),"")</f>
        <v/>
      </c>
      <c r="BE413" s="144" t="str">
        <f>IFERROR(_xlfn.XLOOKUP($B413,'Cronog. e Histog.'!$BZ:$BZ,'Cronog. e Histog.'!DZ:DZ),"")</f>
        <v/>
      </c>
      <c r="BF413" s="144" t="str">
        <f>IFERROR(_xlfn.XLOOKUP($B413,'Cronog. e Histog.'!$BZ:$BZ,'Cronog. e Histog.'!EA:EA),"")</f>
        <v/>
      </c>
      <c r="BG413" s="144" t="str">
        <f>IFERROR(_xlfn.XLOOKUP($B413,'Cronog. e Histog.'!$BZ:$BZ,'Cronog. e Histog.'!EB:EB),"")</f>
        <v/>
      </c>
      <c r="BH413" s="144" t="str">
        <f>IFERROR(_xlfn.XLOOKUP($B413,'Cronog. e Histog.'!$BZ:$BZ,'Cronog. e Histog.'!EC:EC),"")</f>
        <v/>
      </c>
      <c r="BI413" s="144" t="str">
        <f>IFERROR(_xlfn.XLOOKUP($B413,'Cronog. e Histog.'!$BZ:$BZ,'Cronog. e Histog.'!ED:ED),"")</f>
        <v/>
      </c>
      <c r="BJ413" s="144" t="str">
        <f>IFERROR(_xlfn.XLOOKUP($B413,'Cronog. e Histog.'!$BZ:$BZ,'Cronog. e Histog.'!EE:EE),"")</f>
        <v/>
      </c>
      <c r="BK413" s="144" t="str">
        <f>IFERROR(_xlfn.XLOOKUP($B413,'Cronog. e Histog.'!$BZ:$BZ,'Cronog. e Histog.'!EF:EF),"")</f>
        <v/>
      </c>
      <c r="BL413" s="144" t="str">
        <f>IFERROR(_xlfn.XLOOKUP($B413,'Cronog. e Histog.'!$BZ:$BZ,'Cronog. e Histog.'!EG:EG),"")</f>
        <v/>
      </c>
      <c r="BM413" s="144" t="str">
        <f>IFERROR(_xlfn.XLOOKUP($B413,'Cronog. e Histog.'!$BZ:$BZ,'Cronog. e Histog.'!EH:EH),"")</f>
        <v/>
      </c>
      <c r="BN413" s="144" t="str">
        <f>IFERROR(_xlfn.XLOOKUP($B413,'Cronog. e Histog.'!$BZ:$BZ,'Cronog. e Histog.'!EI:EI),"")</f>
        <v/>
      </c>
    </row>
    <row r="414" spans="2:66" ht="12" hidden="1" customHeight="1" outlineLevel="1">
      <c r="B414" s="76">
        <v>408</v>
      </c>
      <c r="C414" s="143" t="str">
        <f>IFERROR(VLOOKUP(B414,'Cronog. e Histog.'!$BZ$213:$CA$747,2,0),"")</f>
        <v/>
      </c>
      <c r="D414" s="144">
        <f t="shared" si="6"/>
        <v>0</v>
      </c>
      <c r="E414" s="144">
        <f t="shared" si="7"/>
        <v>0</v>
      </c>
      <c r="F414" s="65"/>
      <c r="G414" s="144" t="str">
        <f>IFERROR(_xlfn.XLOOKUP($B414,'Cronog. e Histog.'!$BZ:$BZ,'Cronog. e Histog.'!CB:CB),"")</f>
        <v/>
      </c>
      <c r="H414" s="144" t="str">
        <f>IFERROR(_xlfn.XLOOKUP($B414,'Cronog. e Histog.'!$BZ:$BZ,'Cronog. e Histog.'!CC:CC),"")</f>
        <v/>
      </c>
      <c r="I414" s="144" t="str">
        <f>IFERROR(_xlfn.XLOOKUP($B414,'Cronog. e Histog.'!$BZ:$BZ,'Cronog. e Histog.'!CD:CD),"")</f>
        <v/>
      </c>
      <c r="J414" s="144" t="str">
        <f>IFERROR(_xlfn.XLOOKUP($B414,'Cronog. e Histog.'!$BZ:$BZ,'Cronog. e Histog.'!CE:CE),"")</f>
        <v/>
      </c>
      <c r="K414" s="144" t="str">
        <f>IFERROR(_xlfn.XLOOKUP($B414,'Cronog. e Histog.'!$BZ:$BZ,'Cronog. e Histog.'!CF:CF),"")</f>
        <v/>
      </c>
      <c r="L414" s="144" t="str">
        <f>IFERROR(_xlfn.XLOOKUP($B414,'Cronog. e Histog.'!$BZ:$BZ,'Cronog. e Histog.'!CG:CG),"")</f>
        <v/>
      </c>
      <c r="M414" s="144" t="str">
        <f>IFERROR(_xlfn.XLOOKUP($B414,'Cronog. e Histog.'!$BZ:$BZ,'Cronog. e Histog.'!CH:CH),"")</f>
        <v/>
      </c>
      <c r="N414" s="144" t="str">
        <f>IFERROR(_xlfn.XLOOKUP($B414,'Cronog. e Histog.'!$BZ:$BZ,'Cronog. e Histog.'!CI:CI),"")</f>
        <v/>
      </c>
      <c r="O414" s="144" t="str">
        <f>IFERROR(_xlfn.XLOOKUP($B414,'Cronog. e Histog.'!$BZ:$BZ,'Cronog. e Histog.'!CJ:CJ),"")</f>
        <v/>
      </c>
      <c r="P414" s="144" t="str">
        <f>IFERROR(_xlfn.XLOOKUP($B414,'Cronog. e Histog.'!$BZ:$BZ,'Cronog. e Histog.'!CK:CK),"")</f>
        <v/>
      </c>
      <c r="Q414" s="144" t="str">
        <f>IFERROR(_xlfn.XLOOKUP($B414,'Cronog. e Histog.'!$BZ:$BZ,'Cronog. e Histog.'!CL:CL),"")</f>
        <v/>
      </c>
      <c r="R414" s="144" t="str">
        <f>IFERROR(_xlfn.XLOOKUP($B414,'Cronog. e Histog.'!$BZ:$BZ,'Cronog. e Histog.'!CM:CM),"")</f>
        <v/>
      </c>
      <c r="S414" s="144" t="str">
        <f>IFERROR(_xlfn.XLOOKUP($B414,'Cronog. e Histog.'!$BZ:$BZ,'Cronog. e Histog.'!CN:CN),"")</f>
        <v/>
      </c>
      <c r="T414" s="144" t="str">
        <f>IFERROR(_xlfn.XLOOKUP($B414,'Cronog. e Histog.'!$BZ:$BZ,'Cronog. e Histog.'!CO:CO),"")</f>
        <v/>
      </c>
      <c r="U414" s="144" t="str">
        <f>IFERROR(_xlfn.XLOOKUP($B414,'Cronog. e Histog.'!$BZ:$BZ,'Cronog. e Histog.'!CP:CP),"")</f>
        <v/>
      </c>
      <c r="V414" s="144" t="str">
        <f>IFERROR(_xlfn.XLOOKUP($B414,'Cronog. e Histog.'!$BZ:$BZ,'Cronog. e Histog.'!CQ:CQ),"")</f>
        <v/>
      </c>
      <c r="W414" s="144" t="str">
        <f>IFERROR(_xlfn.XLOOKUP($B414,'Cronog. e Histog.'!$BZ:$BZ,'Cronog. e Histog.'!CR:CR),"")</f>
        <v/>
      </c>
      <c r="X414" s="144" t="str">
        <f>IFERROR(_xlfn.XLOOKUP($B414,'Cronog. e Histog.'!$BZ:$BZ,'Cronog. e Histog.'!CS:CS),"")</f>
        <v/>
      </c>
      <c r="Y414" s="144" t="str">
        <f>IFERROR(_xlfn.XLOOKUP($B414,'Cronog. e Histog.'!$BZ:$BZ,'Cronog. e Histog.'!CT:CT),"")</f>
        <v/>
      </c>
      <c r="Z414" s="144" t="str">
        <f>IFERROR(_xlfn.XLOOKUP($B414,'Cronog. e Histog.'!$BZ:$BZ,'Cronog. e Histog.'!CU:CU),"")</f>
        <v/>
      </c>
      <c r="AA414" s="144" t="str">
        <f>IFERROR(_xlfn.XLOOKUP($B414,'Cronog. e Histog.'!$BZ:$BZ,'Cronog. e Histog.'!CV:CV),"")</f>
        <v/>
      </c>
      <c r="AB414" s="144" t="str">
        <f>IFERROR(_xlfn.XLOOKUP($B414,'Cronog. e Histog.'!$BZ:$BZ,'Cronog. e Histog.'!CW:CW),"")</f>
        <v/>
      </c>
      <c r="AC414" s="144" t="str">
        <f>IFERROR(_xlfn.XLOOKUP($B414,'Cronog. e Histog.'!$BZ:$BZ,'Cronog. e Histog.'!CX:CX),"")</f>
        <v/>
      </c>
      <c r="AD414" s="144" t="str">
        <f>IFERROR(_xlfn.XLOOKUP($B414,'Cronog. e Histog.'!$BZ:$BZ,'Cronog. e Histog.'!CY:CY),"")</f>
        <v/>
      </c>
      <c r="AE414" s="144" t="str">
        <f>IFERROR(_xlfn.XLOOKUP($B414,'Cronog. e Histog.'!$BZ:$BZ,'Cronog. e Histog.'!CZ:CZ),"")</f>
        <v/>
      </c>
      <c r="AF414" s="144" t="str">
        <f>IFERROR(_xlfn.XLOOKUP($B414,'Cronog. e Histog.'!$BZ:$BZ,'Cronog. e Histog.'!DA:DA),"")</f>
        <v/>
      </c>
      <c r="AG414" s="144" t="str">
        <f>IFERROR(_xlfn.XLOOKUP($B414,'Cronog. e Histog.'!$BZ:$BZ,'Cronog. e Histog.'!DB:DB),"")</f>
        <v/>
      </c>
      <c r="AH414" s="144" t="str">
        <f>IFERROR(_xlfn.XLOOKUP($B414,'Cronog. e Histog.'!$BZ:$BZ,'Cronog. e Histog.'!DC:DC),"")</f>
        <v/>
      </c>
      <c r="AI414" s="144" t="str">
        <f>IFERROR(_xlfn.XLOOKUP($B414,'Cronog. e Histog.'!$BZ:$BZ,'Cronog. e Histog.'!DD:DD),"")</f>
        <v/>
      </c>
      <c r="AJ414" s="144" t="str">
        <f>IFERROR(_xlfn.XLOOKUP($B414,'Cronog. e Histog.'!$BZ:$BZ,'Cronog. e Histog.'!DE:DE),"")</f>
        <v/>
      </c>
      <c r="AK414" s="144" t="str">
        <f>IFERROR(_xlfn.XLOOKUP($B414,'Cronog. e Histog.'!$BZ:$BZ,'Cronog. e Histog.'!DF:DF),"")</f>
        <v/>
      </c>
      <c r="AL414" s="144" t="str">
        <f>IFERROR(_xlfn.XLOOKUP($B414,'Cronog. e Histog.'!$BZ:$BZ,'Cronog. e Histog.'!DG:DG),"")</f>
        <v/>
      </c>
      <c r="AM414" s="144" t="str">
        <f>IFERROR(_xlfn.XLOOKUP($B414,'Cronog. e Histog.'!$BZ:$BZ,'Cronog. e Histog.'!DH:DH),"")</f>
        <v/>
      </c>
      <c r="AN414" s="144" t="str">
        <f>IFERROR(_xlfn.XLOOKUP($B414,'Cronog. e Histog.'!$BZ:$BZ,'Cronog. e Histog.'!DI:DI),"")</f>
        <v/>
      </c>
      <c r="AO414" s="144" t="str">
        <f>IFERROR(_xlfn.XLOOKUP($B414,'Cronog. e Histog.'!$BZ:$BZ,'Cronog. e Histog.'!DJ:DJ),"")</f>
        <v/>
      </c>
      <c r="AP414" s="144" t="str">
        <f>IFERROR(_xlfn.XLOOKUP($B414,'Cronog. e Histog.'!$BZ:$BZ,'Cronog. e Histog.'!DK:DK),"")</f>
        <v/>
      </c>
      <c r="AQ414" s="144" t="str">
        <f>IFERROR(_xlfn.XLOOKUP($B414,'Cronog. e Histog.'!$BZ:$BZ,'Cronog. e Histog.'!DL:DL),"")</f>
        <v/>
      </c>
      <c r="AR414" s="144" t="str">
        <f>IFERROR(_xlfn.XLOOKUP($B414,'Cronog. e Histog.'!$BZ:$BZ,'Cronog. e Histog.'!DM:DM),"")</f>
        <v/>
      </c>
      <c r="AS414" s="144" t="str">
        <f>IFERROR(_xlfn.XLOOKUP($B414,'Cronog. e Histog.'!$BZ:$BZ,'Cronog. e Histog.'!DN:DN),"")</f>
        <v/>
      </c>
      <c r="AT414" s="144" t="str">
        <f>IFERROR(_xlfn.XLOOKUP($B414,'Cronog. e Histog.'!$BZ:$BZ,'Cronog. e Histog.'!DO:DO),"")</f>
        <v/>
      </c>
      <c r="AU414" s="144" t="str">
        <f>IFERROR(_xlfn.XLOOKUP($B414,'Cronog. e Histog.'!$BZ:$BZ,'Cronog. e Histog.'!DP:DP),"")</f>
        <v/>
      </c>
      <c r="AV414" s="144" t="str">
        <f>IFERROR(_xlfn.XLOOKUP($B414,'Cronog. e Histog.'!$BZ:$BZ,'Cronog. e Histog.'!DQ:DQ),"")</f>
        <v/>
      </c>
      <c r="AW414" s="144" t="str">
        <f>IFERROR(_xlfn.XLOOKUP($B414,'Cronog. e Histog.'!$BZ:$BZ,'Cronog. e Histog.'!DR:DR),"")</f>
        <v/>
      </c>
      <c r="AX414" s="144" t="str">
        <f>IFERROR(_xlfn.XLOOKUP($B414,'Cronog. e Histog.'!$BZ:$BZ,'Cronog. e Histog.'!DS:DS),"")</f>
        <v/>
      </c>
      <c r="AY414" s="144" t="str">
        <f>IFERROR(_xlfn.XLOOKUP($B414,'Cronog. e Histog.'!$BZ:$BZ,'Cronog. e Histog.'!DT:DT),"")</f>
        <v/>
      </c>
      <c r="AZ414" s="144" t="str">
        <f>IFERROR(_xlfn.XLOOKUP($B414,'Cronog. e Histog.'!$BZ:$BZ,'Cronog. e Histog.'!DU:DU),"")</f>
        <v/>
      </c>
      <c r="BA414" s="144" t="str">
        <f>IFERROR(_xlfn.XLOOKUP($B414,'Cronog. e Histog.'!$BZ:$BZ,'Cronog. e Histog.'!DV:DV),"")</f>
        <v/>
      </c>
      <c r="BB414" s="144" t="str">
        <f>IFERROR(_xlfn.XLOOKUP($B414,'Cronog. e Histog.'!$BZ:$BZ,'Cronog. e Histog.'!DW:DW),"")</f>
        <v/>
      </c>
      <c r="BC414" s="144" t="str">
        <f>IFERROR(_xlfn.XLOOKUP($B414,'Cronog. e Histog.'!$BZ:$BZ,'Cronog. e Histog.'!DX:DX),"")</f>
        <v/>
      </c>
      <c r="BD414" s="144" t="str">
        <f>IFERROR(_xlfn.XLOOKUP($B414,'Cronog. e Histog.'!$BZ:$BZ,'Cronog. e Histog.'!DY:DY),"")</f>
        <v/>
      </c>
      <c r="BE414" s="144" t="str">
        <f>IFERROR(_xlfn.XLOOKUP($B414,'Cronog. e Histog.'!$BZ:$BZ,'Cronog. e Histog.'!DZ:DZ),"")</f>
        <v/>
      </c>
      <c r="BF414" s="144" t="str">
        <f>IFERROR(_xlfn.XLOOKUP($B414,'Cronog. e Histog.'!$BZ:$BZ,'Cronog. e Histog.'!EA:EA),"")</f>
        <v/>
      </c>
      <c r="BG414" s="144" t="str">
        <f>IFERROR(_xlfn.XLOOKUP($B414,'Cronog. e Histog.'!$BZ:$BZ,'Cronog. e Histog.'!EB:EB),"")</f>
        <v/>
      </c>
      <c r="BH414" s="144" t="str">
        <f>IFERROR(_xlfn.XLOOKUP($B414,'Cronog. e Histog.'!$BZ:$BZ,'Cronog. e Histog.'!EC:EC),"")</f>
        <v/>
      </c>
      <c r="BI414" s="144" t="str">
        <f>IFERROR(_xlfn.XLOOKUP($B414,'Cronog. e Histog.'!$BZ:$BZ,'Cronog. e Histog.'!ED:ED),"")</f>
        <v/>
      </c>
      <c r="BJ414" s="144" t="str">
        <f>IFERROR(_xlfn.XLOOKUP($B414,'Cronog. e Histog.'!$BZ:$BZ,'Cronog. e Histog.'!EE:EE),"")</f>
        <v/>
      </c>
      <c r="BK414" s="144" t="str">
        <f>IFERROR(_xlfn.XLOOKUP($B414,'Cronog. e Histog.'!$BZ:$BZ,'Cronog. e Histog.'!EF:EF),"")</f>
        <v/>
      </c>
      <c r="BL414" s="144" t="str">
        <f>IFERROR(_xlfn.XLOOKUP($B414,'Cronog. e Histog.'!$BZ:$BZ,'Cronog. e Histog.'!EG:EG),"")</f>
        <v/>
      </c>
      <c r="BM414" s="144" t="str">
        <f>IFERROR(_xlfn.XLOOKUP($B414,'Cronog. e Histog.'!$BZ:$BZ,'Cronog. e Histog.'!EH:EH),"")</f>
        <v/>
      </c>
      <c r="BN414" s="144" t="str">
        <f>IFERROR(_xlfn.XLOOKUP($B414,'Cronog. e Histog.'!$BZ:$BZ,'Cronog. e Histog.'!EI:EI),"")</f>
        <v/>
      </c>
    </row>
    <row r="415" spans="2:66" ht="12" hidden="1" customHeight="1" outlineLevel="1">
      <c r="B415" s="76">
        <v>409</v>
      </c>
      <c r="C415" s="143" t="str">
        <f>IFERROR(VLOOKUP(B415,'Cronog. e Histog.'!$BZ$213:$CA$747,2,0),"")</f>
        <v/>
      </c>
      <c r="D415" s="144">
        <f t="shared" si="6"/>
        <v>0</v>
      </c>
      <c r="E415" s="144">
        <f t="shared" si="7"/>
        <v>0</v>
      </c>
      <c r="F415" s="65"/>
      <c r="G415" s="144" t="str">
        <f>IFERROR(_xlfn.XLOOKUP($B415,'Cronog. e Histog.'!$BZ:$BZ,'Cronog. e Histog.'!CB:CB),"")</f>
        <v/>
      </c>
      <c r="H415" s="144" t="str">
        <f>IFERROR(_xlfn.XLOOKUP($B415,'Cronog. e Histog.'!$BZ:$BZ,'Cronog. e Histog.'!CC:CC),"")</f>
        <v/>
      </c>
      <c r="I415" s="144" t="str">
        <f>IFERROR(_xlfn.XLOOKUP($B415,'Cronog. e Histog.'!$BZ:$BZ,'Cronog. e Histog.'!CD:CD),"")</f>
        <v/>
      </c>
      <c r="J415" s="144" t="str">
        <f>IFERROR(_xlfn.XLOOKUP($B415,'Cronog. e Histog.'!$BZ:$BZ,'Cronog. e Histog.'!CE:CE),"")</f>
        <v/>
      </c>
      <c r="K415" s="144" t="str">
        <f>IFERROR(_xlfn.XLOOKUP($B415,'Cronog. e Histog.'!$BZ:$BZ,'Cronog. e Histog.'!CF:CF),"")</f>
        <v/>
      </c>
      <c r="L415" s="144" t="str">
        <f>IFERROR(_xlfn.XLOOKUP($B415,'Cronog. e Histog.'!$BZ:$BZ,'Cronog. e Histog.'!CG:CG),"")</f>
        <v/>
      </c>
      <c r="M415" s="144" t="str">
        <f>IFERROR(_xlfn.XLOOKUP($B415,'Cronog. e Histog.'!$BZ:$BZ,'Cronog. e Histog.'!CH:CH),"")</f>
        <v/>
      </c>
      <c r="N415" s="144" t="str">
        <f>IFERROR(_xlfn.XLOOKUP($B415,'Cronog. e Histog.'!$BZ:$BZ,'Cronog. e Histog.'!CI:CI),"")</f>
        <v/>
      </c>
      <c r="O415" s="144" t="str">
        <f>IFERROR(_xlfn.XLOOKUP($B415,'Cronog. e Histog.'!$BZ:$BZ,'Cronog. e Histog.'!CJ:CJ),"")</f>
        <v/>
      </c>
      <c r="P415" s="144" t="str">
        <f>IFERROR(_xlfn.XLOOKUP($B415,'Cronog. e Histog.'!$BZ:$BZ,'Cronog. e Histog.'!CK:CK),"")</f>
        <v/>
      </c>
      <c r="Q415" s="144" t="str">
        <f>IFERROR(_xlfn.XLOOKUP($B415,'Cronog. e Histog.'!$BZ:$BZ,'Cronog. e Histog.'!CL:CL),"")</f>
        <v/>
      </c>
      <c r="R415" s="144" t="str">
        <f>IFERROR(_xlfn.XLOOKUP($B415,'Cronog. e Histog.'!$BZ:$BZ,'Cronog. e Histog.'!CM:CM),"")</f>
        <v/>
      </c>
      <c r="S415" s="144" t="str">
        <f>IFERROR(_xlfn.XLOOKUP($B415,'Cronog. e Histog.'!$BZ:$BZ,'Cronog. e Histog.'!CN:CN),"")</f>
        <v/>
      </c>
      <c r="T415" s="144" t="str">
        <f>IFERROR(_xlfn.XLOOKUP($B415,'Cronog. e Histog.'!$BZ:$BZ,'Cronog. e Histog.'!CO:CO),"")</f>
        <v/>
      </c>
      <c r="U415" s="144" t="str">
        <f>IFERROR(_xlfn.XLOOKUP($B415,'Cronog. e Histog.'!$BZ:$BZ,'Cronog. e Histog.'!CP:CP),"")</f>
        <v/>
      </c>
      <c r="V415" s="144" t="str">
        <f>IFERROR(_xlfn.XLOOKUP($B415,'Cronog. e Histog.'!$BZ:$BZ,'Cronog. e Histog.'!CQ:CQ),"")</f>
        <v/>
      </c>
      <c r="W415" s="144" t="str">
        <f>IFERROR(_xlfn.XLOOKUP($B415,'Cronog. e Histog.'!$BZ:$BZ,'Cronog. e Histog.'!CR:CR),"")</f>
        <v/>
      </c>
      <c r="X415" s="144" t="str">
        <f>IFERROR(_xlfn.XLOOKUP($B415,'Cronog. e Histog.'!$BZ:$BZ,'Cronog. e Histog.'!CS:CS),"")</f>
        <v/>
      </c>
      <c r="Y415" s="144" t="str">
        <f>IFERROR(_xlfn.XLOOKUP($B415,'Cronog. e Histog.'!$BZ:$BZ,'Cronog. e Histog.'!CT:CT),"")</f>
        <v/>
      </c>
      <c r="Z415" s="144" t="str">
        <f>IFERROR(_xlfn.XLOOKUP($B415,'Cronog. e Histog.'!$BZ:$BZ,'Cronog. e Histog.'!CU:CU),"")</f>
        <v/>
      </c>
      <c r="AA415" s="144" t="str">
        <f>IFERROR(_xlfn.XLOOKUP($B415,'Cronog. e Histog.'!$BZ:$BZ,'Cronog. e Histog.'!CV:CV),"")</f>
        <v/>
      </c>
      <c r="AB415" s="144" t="str">
        <f>IFERROR(_xlfn.XLOOKUP($B415,'Cronog. e Histog.'!$BZ:$BZ,'Cronog. e Histog.'!CW:CW),"")</f>
        <v/>
      </c>
      <c r="AC415" s="144" t="str">
        <f>IFERROR(_xlfn.XLOOKUP($B415,'Cronog. e Histog.'!$BZ:$BZ,'Cronog. e Histog.'!CX:CX),"")</f>
        <v/>
      </c>
      <c r="AD415" s="144" t="str">
        <f>IFERROR(_xlfn.XLOOKUP($B415,'Cronog. e Histog.'!$BZ:$BZ,'Cronog. e Histog.'!CY:CY),"")</f>
        <v/>
      </c>
      <c r="AE415" s="144" t="str">
        <f>IFERROR(_xlfn.XLOOKUP($B415,'Cronog. e Histog.'!$BZ:$BZ,'Cronog. e Histog.'!CZ:CZ),"")</f>
        <v/>
      </c>
      <c r="AF415" s="144" t="str">
        <f>IFERROR(_xlfn.XLOOKUP($B415,'Cronog. e Histog.'!$BZ:$BZ,'Cronog. e Histog.'!DA:DA),"")</f>
        <v/>
      </c>
      <c r="AG415" s="144" t="str">
        <f>IFERROR(_xlfn.XLOOKUP($B415,'Cronog. e Histog.'!$BZ:$BZ,'Cronog. e Histog.'!DB:DB),"")</f>
        <v/>
      </c>
      <c r="AH415" s="144" t="str">
        <f>IFERROR(_xlfn.XLOOKUP($B415,'Cronog. e Histog.'!$BZ:$BZ,'Cronog. e Histog.'!DC:DC),"")</f>
        <v/>
      </c>
      <c r="AI415" s="144" t="str">
        <f>IFERROR(_xlfn.XLOOKUP($B415,'Cronog. e Histog.'!$BZ:$BZ,'Cronog. e Histog.'!DD:DD),"")</f>
        <v/>
      </c>
      <c r="AJ415" s="144" t="str">
        <f>IFERROR(_xlfn.XLOOKUP($B415,'Cronog. e Histog.'!$BZ:$BZ,'Cronog. e Histog.'!DE:DE),"")</f>
        <v/>
      </c>
      <c r="AK415" s="144" t="str">
        <f>IFERROR(_xlfn.XLOOKUP($B415,'Cronog. e Histog.'!$BZ:$BZ,'Cronog. e Histog.'!DF:DF),"")</f>
        <v/>
      </c>
      <c r="AL415" s="144" t="str">
        <f>IFERROR(_xlfn.XLOOKUP($B415,'Cronog. e Histog.'!$BZ:$BZ,'Cronog. e Histog.'!DG:DG),"")</f>
        <v/>
      </c>
      <c r="AM415" s="144" t="str">
        <f>IFERROR(_xlfn.XLOOKUP($B415,'Cronog. e Histog.'!$BZ:$BZ,'Cronog. e Histog.'!DH:DH),"")</f>
        <v/>
      </c>
      <c r="AN415" s="144" t="str">
        <f>IFERROR(_xlfn.XLOOKUP($B415,'Cronog. e Histog.'!$BZ:$BZ,'Cronog. e Histog.'!DI:DI),"")</f>
        <v/>
      </c>
      <c r="AO415" s="144" t="str">
        <f>IFERROR(_xlfn.XLOOKUP($B415,'Cronog. e Histog.'!$BZ:$BZ,'Cronog. e Histog.'!DJ:DJ),"")</f>
        <v/>
      </c>
      <c r="AP415" s="144" t="str">
        <f>IFERROR(_xlfn.XLOOKUP($B415,'Cronog. e Histog.'!$BZ:$BZ,'Cronog. e Histog.'!DK:DK),"")</f>
        <v/>
      </c>
      <c r="AQ415" s="144" t="str">
        <f>IFERROR(_xlfn.XLOOKUP($B415,'Cronog. e Histog.'!$BZ:$BZ,'Cronog. e Histog.'!DL:DL),"")</f>
        <v/>
      </c>
      <c r="AR415" s="144" t="str">
        <f>IFERROR(_xlfn.XLOOKUP($B415,'Cronog. e Histog.'!$BZ:$BZ,'Cronog. e Histog.'!DM:DM),"")</f>
        <v/>
      </c>
      <c r="AS415" s="144" t="str">
        <f>IFERROR(_xlfn.XLOOKUP($B415,'Cronog. e Histog.'!$BZ:$BZ,'Cronog. e Histog.'!DN:DN),"")</f>
        <v/>
      </c>
      <c r="AT415" s="144" t="str">
        <f>IFERROR(_xlfn.XLOOKUP($B415,'Cronog. e Histog.'!$BZ:$BZ,'Cronog. e Histog.'!DO:DO),"")</f>
        <v/>
      </c>
      <c r="AU415" s="144" t="str">
        <f>IFERROR(_xlfn.XLOOKUP($B415,'Cronog. e Histog.'!$BZ:$BZ,'Cronog. e Histog.'!DP:DP),"")</f>
        <v/>
      </c>
      <c r="AV415" s="144" t="str">
        <f>IFERROR(_xlfn.XLOOKUP($B415,'Cronog. e Histog.'!$BZ:$BZ,'Cronog. e Histog.'!DQ:DQ),"")</f>
        <v/>
      </c>
      <c r="AW415" s="144" t="str">
        <f>IFERROR(_xlfn.XLOOKUP($B415,'Cronog. e Histog.'!$BZ:$BZ,'Cronog. e Histog.'!DR:DR),"")</f>
        <v/>
      </c>
      <c r="AX415" s="144" t="str">
        <f>IFERROR(_xlfn.XLOOKUP($B415,'Cronog. e Histog.'!$BZ:$BZ,'Cronog. e Histog.'!DS:DS),"")</f>
        <v/>
      </c>
      <c r="AY415" s="144" t="str">
        <f>IFERROR(_xlfn.XLOOKUP($B415,'Cronog. e Histog.'!$BZ:$BZ,'Cronog. e Histog.'!DT:DT),"")</f>
        <v/>
      </c>
      <c r="AZ415" s="144" t="str">
        <f>IFERROR(_xlfn.XLOOKUP($B415,'Cronog. e Histog.'!$BZ:$BZ,'Cronog. e Histog.'!DU:DU),"")</f>
        <v/>
      </c>
      <c r="BA415" s="144" t="str">
        <f>IFERROR(_xlfn.XLOOKUP($B415,'Cronog. e Histog.'!$BZ:$BZ,'Cronog. e Histog.'!DV:DV),"")</f>
        <v/>
      </c>
      <c r="BB415" s="144" t="str">
        <f>IFERROR(_xlfn.XLOOKUP($B415,'Cronog. e Histog.'!$BZ:$BZ,'Cronog. e Histog.'!DW:DW),"")</f>
        <v/>
      </c>
      <c r="BC415" s="144" t="str">
        <f>IFERROR(_xlfn.XLOOKUP($B415,'Cronog. e Histog.'!$BZ:$BZ,'Cronog. e Histog.'!DX:DX),"")</f>
        <v/>
      </c>
      <c r="BD415" s="144" t="str">
        <f>IFERROR(_xlfn.XLOOKUP($B415,'Cronog. e Histog.'!$BZ:$BZ,'Cronog. e Histog.'!DY:DY),"")</f>
        <v/>
      </c>
      <c r="BE415" s="144" t="str">
        <f>IFERROR(_xlfn.XLOOKUP($B415,'Cronog. e Histog.'!$BZ:$BZ,'Cronog. e Histog.'!DZ:DZ),"")</f>
        <v/>
      </c>
      <c r="BF415" s="144" t="str">
        <f>IFERROR(_xlfn.XLOOKUP($B415,'Cronog. e Histog.'!$BZ:$BZ,'Cronog. e Histog.'!EA:EA),"")</f>
        <v/>
      </c>
      <c r="BG415" s="144" t="str">
        <f>IFERROR(_xlfn.XLOOKUP($B415,'Cronog. e Histog.'!$BZ:$BZ,'Cronog. e Histog.'!EB:EB),"")</f>
        <v/>
      </c>
      <c r="BH415" s="144" t="str">
        <f>IFERROR(_xlfn.XLOOKUP($B415,'Cronog. e Histog.'!$BZ:$BZ,'Cronog. e Histog.'!EC:EC),"")</f>
        <v/>
      </c>
      <c r="BI415" s="144" t="str">
        <f>IFERROR(_xlfn.XLOOKUP($B415,'Cronog. e Histog.'!$BZ:$BZ,'Cronog. e Histog.'!ED:ED),"")</f>
        <v/>
      </c>
      <c r="BJ415" s="144" t="str">
        <f>IFERROR(_xlfn.XLOOKUP($B415,'Cronog. e Histog.'!$BZ:$BZ,'Cronog. e Histog.'!EE:EE),"")</f>
        <v/>
      </c>
      <c r="BK415" s="144" t="str">
        <f>IFERROR(_xlfn.XLOOKUP($B415,'Cronog. e Histog.'!$BZ:$BZ,'Cronog. e Histog.'!EF:EF),"")</f>
        <v/>
      </c>
      <c r="BL415" s="144" t="str">
        <f>IFERROR(_xlfn.XLOOKUP($B415,'Cronog. e Histog.'!$BZ:$BZ,'Cronog. e Histog.'!EG:EG),"")</f>
        <v/>
      </c>
      <c r="BM415" s="144" t="str">
        <f>IFERROR(_xlfn.XLOOKUP($B415,'Cronog. e Histog.'!$BZ:$BZ,'Cronog. e Histog.'!EH:EH),"")</f>
        <v/>
      </c>
      <c r="BN415" s="144" t="str">
        <f>IFERROR(_xlfn.XLOOKUP($B415,'Cronog. e Histog.'!$BZ:$BZ,'Cronog. e Histog.'!EI:EI),"")</f>
        <v/>
      </c>
    </row>
    <row r="416" spans="2:66" ht="12" hidden="1" customHeight="1" outlineLevel="1">
      <c r="B416" s="76">
        <v>410</v>
      </c>
      <c r="C416" s="143" t="str">
        <f>IFERROR(VLOOKUP(B416,'Cronog. e Histog.'!$BZ$213:$CA$747,2,0),"")</f>
        <v/>
      </c>
      <c r="D416" s="144">
        <f t="shared" si="6"/>
        <v>0</v>
      </c>
      <c r="E416" s="144">
        <f t="shared" si="7"/>
        <v>0</v>
      </c>
      <c r="F416" s="65"/>
      <c r="G416" s="144" t="str">
        <f>IFERROR(_xlfn.XLOOKUP($B416,'Cronog. e Histog.'!$BZ:$BZ,'Cronog. e Histog.'!CB:CB),"")</f>
        <v/>
      </c>
      <c r="H416" s="144" t="str">
        <f>IFERROR(_xlfn.XLOOKUP($B416,'Cronog. e Histog.'!$BZ:$BZ,'Cronog. e Histog.'!CC:CC),"")</f>
        <v/>
      </c>
      <c r="I416" s="144" t="str">
        <f>IFERROR(_xlfn.XLOOKUP($B416,'Cronog. e Histog.'!$BZ:$BZ,'Cronog. e Histog.'!CD:CD),"")</f>
        <v/>
      </c>
      <c r="J416" s="144" t="str">
        <f>IFERROR(_xlfn.XLOOKUP($B416,'Cronog. e Histog.'!$BZ:$BZ,'Cronog. e Histog.'!CE:CE),"")</f>
        <v/>
      </c>
      <c r="K416" s="144" t="str">
        <f>IFERROR(_xlfn.XLOOKUP($B416,'Cronog. e Histog.'!$BZ:$BZ,'Cronog. e Histog.'!CF:CF),"")</f>
        <v/>
      </c>
      <c r="L416" s="144" t="str">
        <f>IFERROR(_xlfn.XLOOKUP($B416,'Cronog. e Histog.'!$BZ:$BZ,'Cronog. e Histog.'!CG:CG),"")</f>
        <v/>
      </c>
      <c r="M416" s="144" t="str">
        <f>IFERROR(_xlfn.XLOOKUP($B416,'Cronog. e Histog.'!$BZ:$BZ,'Cronog. e Histog.'!CH:CH),"")</f>
        <v/>
      </c>
      <c r="N416" s="144" t="str">
        <f>IFERROR(_xlfn.XLOOKUP($B416,'Cronog. e Histog.'!$BZ:$BZ,'Cronog. e Histog.'!CI:CI),"")</f>
        <v/>
      </c>
      <c r="O416" s="144" t="str">
        <f>IFERROR(_xlfn.XLOOKUP($B416,'Cronog. e Histog.'!$BZ:$BZ,'Cronog. e Histog.'!CJ:CJ),"")</f>
        <v/>
      </c>
      <c r="P416" s="144" t="str">
        <f>IFERROR(_xlfn.XLOOKUP($B416,'Cronog. e Histog.'!$BZ:$BZ,'Cronog. e Histog.'!CK:CK),"")</f>
        <v/>
      </c>
      <c r="Q416" s="144" t="str">
        <f>IFERROR(_xlfn.XLOOKUP($B416,'Cronog. e Histog.'!$BZ:$BZ,'Cronog. e Histog.'!CL:CL),"")</f>
        <v/>
      </c>
      <c r="R416" s="144" t="str">
        <f>IFERROR(_xlfn.XLOOKUP($B416,'Cronog. e Histog.'!$BZ:$BZ,'Cronog. e Histog.'!CM:CM),"")</f>
        <v/>
      </c>
      <c r="S416" s="144" t="str">
        <f>IFERROR(_xlfn.XLOOKUP($B416,'Cronog. e Histog.'!$BZ:$BZ,'Cronog. e Histog.'!CN:CN),"")</f>
        <v/>
      </c>
      <c r="T416" s="144" t="str">
        <f>IFERROR(_xlfn.XLOOKUP($B416,'Cronog. e Histog.'!$BZ:$BZ,'Cronog. e Histog.'!CO:CO),"")</f>
        <v/>
      </c>
      <c r="U416" s="144" t="str">
        <f>IFERROR(_xlfn.XLOOKUP($B416,'Cronog. e Histog.'!$BZ:$BZ,'Cronog. e Histog.'!CP:CP),"")</f>
        <v/>
      </c>
      <c r="V416" s="144" t="str">
        <f>IFERROR(_xlfn.XLOOKUP($B416,'Cronog. e Histog.'!$BZ:$BZ,'Cronog. e Histog.'!CQ:CQ),"")</f>
        <v/>
      </c>
      <c r="W416" s="144" t="str">
        <f>IFERROR(_xlfn.XLOOKUP($B416,'Cronog. e Histog.'!$BZ:$BZ,'Cronog. e Histog.'!CR:CR),"")</f>
        <v/>
      </c>
      <c r="X416" s="144" t="str">
        <f>IFERROR(_xlfn.XLOOKUP($B416,'Cronog. e Histog.'!$BZ:$BZ,'Cronog. e Histog.'!CS:CS),"")</f>
        <v/>
      </c>
      <c r="Y416" s="144" t="str">
        <f>IFERROR(_xlfn.XLOOKUP($B416,'Cronog. e Histog.'!$BZ:$BZ,'Cronog. e Histog.'!CT:CT),"")</f>
        <v/>
      </c>
      <c r="Z416" s="144" t="str">
        <f>IFERROR(_xlfn.XLOOKUP($B416,'Cronog. e Histog.'!$BZ:$BZ,'Cronog. e Histog.'!CU:CU),"")</f>
        <v/>
      </c>
      <c r="AA416" s="144" t="str">
        <f>IFERROR(_xlfn.XLOOKUP($B416,'Cronog. e Histog.'!$BZ:$BZ,'Cronog. e Histog.'!CV:CV),"")</f>
        <v/>
      </c>
      <c r="AB416" s="144" t="str">
        <f>IFERROR(_xlfn.XLOOKUP($B416,'Cronog. e Histog.'!$BZ:$BZ,'Cronog. e Histog.'!CW:CW),"")</f>
        <v/>
      </c>
      <c r="AC416" s="144" t="str">
        <f>IFERROR(_xlfn.XLOOKUP($B416,'Cronog. e Histog.'!$BZ:$BZ,'Cronog. e Histog.'!CX:CX),"")</f>
        <v/>
      </c>
      <c r="AD416" s="144" t="str">
        <f>IFERROR(_xlfn.XLOOKUP($B416,'Cronog. e Histog.'!$BZ:$BZ,'Cronog. e Histog.'!CY:CY),"")</f>
        <v/>
      </c>
      <c r="AE416" s="144" t="str">
        <f>IFERROR(_xlfn.XLOOKUP($B416,'Cronog. e Histog.'!$BZ:$BZ,'Cronog. e Histog.'!CZ:CZ),"")</f>
        <v/>
      </c>
      <c r="AF416" s="144" t="str">
        <f>IFERROR(_xlfn.XLOOKUP($B416,'Cronog. e Histog.'!$BZ:$BZ,'Cronog. e Histog.'!DA:DA),"")</f>
        <v/>
      </c>
      <c r="AG416" s="144" t="str">
        <f>IFERROR(_xlfn.XLOOKUP($B416,'Cronog. e Histog.'!$BZ:$BZ,'Cronog. e Histog.'!DB:DB),"")</f>
        <v/>
      </c>
      <c r="AH416" s="144" t="str">
        <f>IFERROR(_xlfn.XLOOKUP($B416,'Cronog. e Histog.'!$BZ:$BZ,'Cronog. e Histog.'!DC:DC),"")</f>
        <v/>
      </c>
      <c r="AI416" s="144" t="str">
        <f>IFERROR(_xlfn.XLOOKUP($B416,'Cronog. e Histog.'!$BZ:$BZ,'Cronog. e Histog.'!DD:DD),"")</f>
        <v/>
      </c>
      <c r="AJ416" s="144" t="str">
        <f>IFERROR(_xlfn.XLOOKUP($B416,'Cronog. e Histog.'!$BZ:$BZ,'Cronog. e Histog.'!DE:DE),"")</f>
        <v/>
      </c>
      <c r="AK416" s="144" t="str">
        <f>IFERROR(_xlfn.XLOOKUP($B416,'Cronog. e Histog.'!$BZ:$BZ,'Cronog. e Histog.'!DF:DF),"")</f>
        <v/>
      </c>
      <c r="AL416" s="144" t="str">
        <f>IFERROR(_xlfn.XLOOKUP($B416,'Cronog. e Histog.'!$BZ:$BZ,'Cronog. e Histog.'!DG:DG),"")</f>
        <v/>
      </c>
      <c r="AM416" s="144" t="str">
        <f>IFERROR(_xlfn.XLOOKUP($B416,'Cronog. e Histog.'!$BZ:$BZ,'Cronog. e Histog.'!DH:DH),"")</f>
        <v/>
      </c>
      <c r="AN416" s="144" t="str">
        <f>IFERROR(_xlfn.XLOOKUP($B416,'Cronog. e Histog.'!$BZ:$BZ,'Cronog. e Histog.'!DI:DI),"")</f>
        <v/>
      </c>
      <c r="AO416" s="144" t="str">
        <f>IFERROR(_xlfn.XLOOKUP($B416,'Cronog. e Histog.'!$BZ:$BZ,'Cronog. e Histog.'!DJ:DJ),"")</f>
        <v/>
      </c>
      <c r="AP416" s="144" t="str">
        <f>IFERROR(_xlfn.XLOOKUP($B416,'Cronog. e Histog.'!$BZ:$BZ,'Cronog. e Histog.'!DK:DK),"")</f>
        <v/>
      </c>
      <c r="AQ416" s="144" t="str">
        <f>IFERROR(_xlfn.XLOOKUP($B416,'Cronog. e Histog.'!$BZ:$BZ,'Cronog. e Histog.'!DL:DL),"")</f>
        <v/>
      </c>
      <c r="AR416" s="144" t="str">
        <f>IFERROR(_xlfn.XLOOKUP($B416,'Cronog. e Histog.'!$BZ:$BZ,'Cronog. e Histog.'!DM:DM),"")</f>
        <v/>
      </c>
      <c r="AS416" s="144" t="str">
        <f>IFERROR(_xlfn.XLOOKUP($B416,'Cronog. e Histog.'!$BZ:$BZ,'Cronog. e Histog.'!DN:DN),"")</f>
        <v/>
      </c>
      <c r="AT416" s="144" t="str">
        <f>IFERROR(_xlfn.XLOOKUP($B416,'Cronog. e Histog.'!$BZ:$BZ,'Cronog. e Histog.'!DO:DO),"")</f>
        <v/>
      </c>
      <c r="AU416" s="144" t="str">
        <f>IFERROR(_xlfn.XLOOKUP($B416,'Cronog. e Histog.'!$BZ:$BZ,'Cronog. e Histog.'!DP:DP),"")</f>
        <v/>
      </c>
      <c r="AV416" s="144" t="str">
        <f>IFERROR(_xlfn.XLOOKUP($B416,'Cronog. e Histog.'!$BZ:$BZ,'Cronog. e Histog.'!DQ:DQ),"")</f>
        <v/>
      </c>
      <c r="AW416" s="144" t="str">
        <f>IFERROR(_xlfn.XLOOKUP($B416,'Cronog. e Histog.'!$BZ:$BZ,'Cronog. e Histog.'!DR:DR),"")</f>
        <v/>
      </c>
      <c r="AX416" s="144" t="str">
        <f>IFERROR(_xlfn.XLOOKUP($B416,'Cronog. e Histog.'!$BZ:$BZ,'Cronog. e Histog.'!DS:DS),"")</f>
        <v/>
      </c>
      <c r="AY416" s="144" t="str">
        <f>IFERROR(_xlfn.XLOOKUP($B416,'Cronog. e Histog.'!$BZ:$BZ,'Cronog. e Histog.'!DT:DT),"")</f>
        <v/>
      </c>
      <c r="AZ416" s="144" t="str">
        <f>IFERROR(_xlfn.XLOOKUP($B416,'Cronog. e Histog.'!$BZ:$BZ,'Cronog. e Histog.'!DU:DU),"")</f>
        <v/>
      </c>
      <c r="BA416" s="144" t="str">
        <f>IFERROR(_xlfn.XLOOKUP($B416,'Cronog. e Histog.'!$BZ:$BZ,'Cronog. e Histog.'!DV:DV),"")</f>
        <v/>
      </c>
      <c r="BB416" s="144" t="str">
        <f>IFERROR(_xlfn.XLOOKUP($B416,'Cronog. e Histog.'!$BZ:$BZ,'Cronog. e Histog.'!DW:DW),"")</f>
        <v/>
      </c>
      <c r="BC416" s="144" t="str">
        <f>IFERROR(_xlfn.XLOOKUP($B416,'Cronog. e Histog.'!$BZ:$BZ,'Cronog. e Histog.'!DX:DX),"")</f>
        <v/>
      </c>
      <c r="BD416" s="144" t="str">
        <f>IFERROR(_xlfn.XLOOKUP($B416,'Cronog. e Histog.'!$BZ:$BZ,'Cronog. e Histog.'!DY:DY),"")</f>
        <v/>
      </c>
      <c r="BE416" s="144" t="str">
        <f>IFERROR(_xlfn.XLOOKUP($B416,'Cronog. e Histog.'!$BZ:$BZ,'Cronog. e Histog.'!DZ:DZ),"")</f>
        <v/>
      </c>
      <c r="BF416" s="144" t="str">
        <f>IFERROR(_xlfn.XLOOKUP($B416,'Cronog. e Histog.'!$BZ:$BZ,'Cronog. e Histog.'!EA:EA),"")</f>
        <v/>
      </c>
      <c r="BG416" s="144" t="str">
        <f>IFERROR(_xlfn.XLOOKUP($B416,'Cronog. e Histog.'!$BZ:$BZ,'Cronog. e Histog.'!EB:EB),"")</f>
        <v/>
      </c>
      <c r="BH416" s="144" t="str">
        <f>IFERROR(_xlfn.XLOOKUP($B416,'Cronog. e Histog.'!$BZ:$BZ,'Cronog. e Histog.'!EC:EC),"")</f>
        <v/>
      </c>
      <c r="BI416" s="144" t="str">
        <f>IFERROR(_xlfn.XLOOKUP($B416,'Cronog. e Histog.'!$BZ:$BZ,'Cronog. e Histog.'!ED:ED),"")</f>
        <v/>
      </c>
      <c r="BJ416" s="144" t="str">
        <f>IFERROR(_xlfn.XLOOKUP($B416,'Cronog. e Histog.'!$BZ:$BZ,'Cronog. e Histog.'!EE:EE),"")</f>
        <v/>
      </c>
      <c r="BK416" s="144" t="str">
        <f>IFERROR(_xlfn.XLOOKUP($B416,'Cronog. e Histog.'!$BZ:$BZ,'Cronog. e Histog.'!EF:EF),"")</f>
        <v/>
      </c>
      <c r="BL416" s="144" t="str">
        <f>IFERROR(_xlfn.XLOOKUP($B416,'Cronog. e Histog.'!$BZ:$BZ,'Cronog. e Histog.'!EG:EG),"")</f>
        <v/>
      </c>
      <c r="BM416" s="144" t="str">
        <f>IFERROR(_xlfn.XLOOKUP($B416,'Cronog. e Histog.'!$BZ:$BZ,'Cronog. e Histog.'!EH:EH),"")</f>
        <v/>
      </c>
      <c r="BN416" s="144" t="str">
        <f>IFERROR(_xlfn.XLOOKUP($B416,'Cronog. e Histog.'!$BZ:$BZ,'Cronog. e Histog.'!EI:EI),"")</f>
        <v/>
      </c>
    </row>
    <row r="417" spans="2:66" ht="12" hidden="1" customHeight="1" outlineLevel="1">
      <c r="B417" s="76">
        <v>411</v>
      </c>
      <c r="C417" s="143" t="str">
        <f>IFERROR(VLOOKUP(B417,'Cronog. e Histog.'!$BZ$213:$CA$747,2,0),"")</f>
        <v/>
      </c>
      <c r="D417" s="144">
        <f t="shared" si="6"/>
        <v>0</v>
      </c>
      <c r="E417" s="144">
        <f t="shared" si="7"/>
        <v>0</v>
      </c>
      <c r="F417" s="65"/>
      <c r="G417" s="144" t="str">
        <f>IFERROR(_xlfn.XLOOKUP($B417,'Cronog. e Histog.'!$BZ:$BZ,'Cronog. e Histog.'!CB:CB),"")</f>
        <v/>
      </c>
      <c r="H417" s="144" t="str">
        <f>IFERROR(_xlfn.XLOOKUP($B417,'Cronog. e Histog.'!$BZ:$BZ,'Cronog. e Histog.'!CC:CC),"")</f>
        <v/>
      </c>
      <c r="I417" s="144" t="str">
        <f>IFERROR(_xlfn.XLOOKUP($B417,'Cronog. e Histog.'!$BZ:$BZ,'Cronog. e Histog.'!CD:CD),"")</f>
        <v/>
      </c>
      <c r="J417" s="144" t="str">
        <f>IFERROR(_xlfn.XLOOKUP($B417,'Cronog. e Histog.'!$BZ:$BZ,'Cronog. e Histog.'!CE:CE),"")</f>
        <v/>
      </c>
      <c r="K417" s="144" t="str">
        <f>IFERROR(_xlfn.XLOOKUP($B417,'Cronog. e Histog.'!$BZ:$BZ,'Cronog. e Histog.'!CF:CF),"")</f>
        <v/>
      </c>
      <c r="L417" s="144" t="str">
        <f>IFERROR(_xlfn.XLOOKUP($B417,'Cronog. e Histog.'!$BZ:$BZ,'Cronog. e Histog.'!CG:CG),"")</f>
        <v/>
      </c>
      <c r="M417" s="144" t="str">
        <f>IFERROR(_xlfn.XLOOKUP($B417,'Cronog. e Histog.'!$BZ:$BZ,'Cronog. e Histog.'!CH:CH),"")</f>
        <v/>
      </c>
      <c r="N417" s="144" t="str">
        <f>IFERROR(_xlfn.XLOOKUP($B417,'Cronog. e Histog.'!$BZ:$BZ,'Cronog. e Histog.'!CI:CI),"")</f>
        <v/>
      </c>
      <c r="O417" s="144" t="str">
        <f>IFERROR(_xlfn.XLOOKUP($B417,'Cronog. e Histog.'!$BZ:$BZ,'Cronog. e Histog.'!CJ:CJ),"")</f>
        <v/>
      </c>
      <c r="P417" s="144" t="str">
        <f>IFERROR(_xlfn.XLOOKUP($B417,'Cronog. e Histog.'!$BZ:$BZ,'Cronog. e Histog.'!CK:CK),"")</f>
        <v/>
      </c>
      <c r="Q417" s="144" t="str">
        <f>IFERROR(_xlfn.XLOOKUP($B417,'Cronog. e Histog.'!$BZ:$BZ,'Cronog. e Histog.'!CL:CL),"")</f>
        <v/>
      </c>
      <c r="R417" s="144" t="str">
        <f>IFERROR(_xlfn.XLOOKUP($B417,'Cronog. e Histog.'!$BZ:$BZ,'Cronog. e Histog.'!CM:CM),"")</f>
        <v/>
      </c>
      <c r="S417" s="144" t="str">
        <f>IFERROR(_xlfn.XLOOKUP($B417,'Cronog. e Histog.'!$BZ:$BZ,'Cronog. e Histog.'!CN:CN),"")</f>
        <v/>
      </c>
      <c r="T417" s="144" t="str">
        <f>IFERROR(_xlfn.XLOOKUP($B417,'Cronog. e Histog.'!$BZ:$BZ,'Cronog. e Histog.'!CO:CO),"")</f>
        <v/>
      </c>
      <c r="U417" s="144" t="str">
        <f>IFERROR(_xlfn.XLOOKUP($B417,'Cronog. e Histog.'!$BZ:$BZ,'Cronog. e Histog.'!CP:CP),"")</f>
        <v/>
      </c>
      <c r="V417" s="144" t="str">
        <f>IFERROR(_xlfn.XLOOKUP($B417,'Cronog. e Histog.'!$BZ:$BZ,'Cronog. e Histog.'!CQ:CQ),"")</f>
        <v/>
      </c>
      <c r="W417" s="144" t="str">
        <f>IFERROR(_xlfn.XLOOKUP($B417,'Cronog. e Histog.'!$BZ:$BZ,'Cronog. e Histog.'!CR:CR),"")</f>
        <v/>
      </c>
      <c r="X417" s="144" t="str">
        <f>IFERROR(_xlfn.XLOOKUP($B417,'Cronog. e Histog.'!$BZ:$BZ,'Cronog. e Histog.'!CS:CS),"")</f>
        <v/>
      </c>
      <c r="Y417" s="144" t="str">
        <f>IFERROR(_xlfn.XLOOKUP($B417,'Cronog. e Histog.'!$BZ:$BZ,'Cronog. e Histog.'!CT:CT),"")</f>
        <v/>
      </c>
      <c r="Z417" s="144" t="str">
        <f>IFERROR(_xlfn.XLOOKUP($B417,'Cronog. e Histog.'!$BZ:$BZ,'Cronog. e Histog.'!CU:CU),"")</f>
        <v/>
      </c>
      <c r="AA417" s="144" t="str">
        <f>IFERROR(_xlfn.XLOOKUP($B417,'Cronog. e Histog.'!$BZ:$BZ,'Cronog. e Histog.'!CV:CV),"")</f>
        <v/>
      </c>
      <c r="AB417" s="144" t="str">
        <f>IFERROR(_xlfn.XLOOKUP($B417,'Cronog. e Histog.'!$BZ:$BZ,'Cronog. e Histog.'!CW:CW),"")</f>
        <v/>
      </c>
      <c r="AC417" s="144" t="str">
        <f>IFERROR(_xlfn.XLOOKUP($B417,'Cronog. e Histog.'!$BZ:$BZ,'Cronog. e Histog.'!CX:CX),"")</f>
        <v/>
      </c>
      <c r="AD417" s="144" t="str">
        <f>IFERROR(_xlfn.XLOOKUP($B417,'Cronog. e Histog.'!$BZ:$BZ,'Cronog. e Histog.'!CY:CY),"")</f>
        <v/>
      </c>
      <c r="AE417" s="144" t="str">
        <f>IFERROR(_xlfn.XLOOKUP($B417,'Cronog. e Histog.'!$BZ:$BZ,'Cronog. e Histog.'!CZ:CZ),"")</f>
        <v/>
      </c>
      <c r="AF417" s="144" t="str">
        <f>IFERROR(_xlfn.XLOOKUP($B417,'Cronog. e Histog.'!$BZ:$BZ,'Cronog. e Histog.'!DA:DA),"")</f>
        <v/>
      </c>
      <c r="AG417" s="144" t="str">
        <f>IFERROR(_xlfn.XLOOKUP($B417,'Cronog. e Histog.'!$BZ:$BZ,'Cronog. e Histog.'!DB:DB),"")</f>
        <v/>
      </c>
      <c r="AH417" s="144" t="str">
        <f>IFERROR(_xlfn.XLOOKUP($B417,'Cronog. e Histog.'!$BZ:$BZ,'Cronog. e Histog.'!DC:DC),"")</f>
        <v/>
      </c>
      <c r="AI417" s="144" t="str">
        <f>IFERROR(_xlfn.XLOOKUP($B417,'Cronog. e Histog.'!$BZ:$BZ,'Cronog. e Histog.'!DD:DD),"")</f>
        <v/>
      </c>
      <c r="AJ417" s="144" t="str">
        <f>IFERROR(_xlfn.XLOOKUP($B417,'Cronog. e Histog.'!$BZ:$BZ,'Cronog. e Histog.'!DE:DE),"")</f>
        <v/>
      </c>
      <c r="AK417" s="144" t="str">
        <f>IFERROR(_xlfn.XLOOKUP($B417,'Cronog. e Histog.'!$BZ:$BZ,'Cronog. e Histog.'!DF:DF),"")</f>
        <v/>
      </c>
      <c r="AL417" s="144" t="str">
        <f>IFERROR(_xlfn.XLOOKUP($B417,'Cronog. e Histog.'!$BZ:$BZ,'Cronog. e Histog.'!DG:DG),"")</f>
        <v/>
      </c>
      <c r="AM417" s="144" t="str">
        <f>IFERROR(_xlfn.XLOOKUP($B417,'Cronog. e Histog.'!$BZ:$BZ,'Cronog. e Histog.'!DH:DH),"")</f>
        <v/>
      </c>
      <c r="AN417" s="144" t="str">
        <f>IFERROR(_xlfn.XLOOKUP($B417,'Cronog. e Histog.'!$BZ:$BZ,'Cronog. e Histog.'!DI:DI),"")</f>
        <v/>
      </c>
      <c r="AO417" s="144" t="str">
        <f>IFERROR(_xlfn.XLOOKUP($B417,'Cronog. e Histog.'!$BZ:$BZ,'Cronog. e Histog.'!DJ:DJ),"")</f>
        <v/>
      </c>
      <c r="AP417" s="144" t="str">
        <f>IFERROR(_xlfn.XLOOKUP($B417,'Cronog. e Histog.'!$BZ:$BZ,'Cronog. e Histog.'!DK:DK),"")</f>
        <v/>
      </c>
      <c r="AQ417" s="144" t="str">
        <f>IFERROR(_xlfn.XLOOKUP($B417,'Cronog. e Histog.'!$BZ:$BZ,'Cronog. e Histog.'!DL:DL),"")</f>
        <v/>
      </c>
      <c r="AR417" s="144" t="str">
        <f>IFERROR(_xlfn.XLOOKUP($B417,'Cronog. e Histog.'!$BZ:$BZ,'Cronog. e Histog.'!DM:DM),"")</f>
        <v/>
      </c>
      <c r="AS417" s="144" t="str">
        <f>IFERROR(_xlfn.XLOOKUP($B417,'Cronog. e Histog.'!$BZ:$BZ,'Cronog. e Histog.'!DN:DN),"")</f>
        <v/>
      </c>
      <c r="AT417" s="144" t="str">
        <f>IFERROR(_xlfn.XLOOKUP($B417,'Cronog. e Histog.'!$BZ:$BZ,'Cronog. e Histog.'!DO:DO),"")</f>
        <v/>
      </c>
      <c r="AU417" s="144" t="str">
        <f>IFERROR(_xlfn.XLOOKUP($B417,'Cronog. e Histog.'!$BZ:$BZ,'Cronog. e Histog.'!DP:DP),"")</f>
        <v/>
      </c>
      <c r="AV417" s="144" t="str">
        <f>IFERROR(_xlfn.XLOOKUP($B417,'Cronog. e Histog.'!$BZ:$BZ,'Cronog. e Histog.'!DQ:DQ),"")</f>
        <v/>
      </c>
      <c r="AW417" s="144" t="str">
        <f>IFERROR(_xlfn.XLOOKUP($B417,'Cronog. e Histog.'!$BZ:$BZ,'Cronog. e Histog.'!DR:DR),"")</f>
        <v/>
      </c>
      <c r="AX417" s="144" t="str">
        <f>IFERROR(_xlfn.XLOOKUP($B417,'Cronog. e Histog.'!$BZ:$BZ,'Cronog. e Histog.'!DS:DS),"")</f>
        <v/>
      </c>
      <c r="AY417" s="144" t="str">
        <f>IFERROR(_xlfn.XLOOKUP($B417,'Cronog. e Histog.'!$BZ:$BZ,'Cronog. e Histog.'!DT:DT),"")</f>
        <v/>
      </c>
      <c r="AZ417" s="144" t="str">
        <f>IFERROR(_xlfn.XLOOKUP($B417,'Cronog. e Histog.'!$BZ:$BZ,'Cronog. e Histog.'!DU:DU),"")</f>
        <v/>
      </c>
      <c r="BA417" s="144" t="str">
        <f>IFERROR(_xlfn.XLOOKUP($B417,'Cronog. e Histog.'!$BZ:$BZ,'Cronog. e Histog.'!DV:DV),"")</f>
        <v/>
      </c>
      <c r="BB417" s="144" t="str">
        <f>IFERROR(_xlfn.XLOOKUP($B417,'Cronog. e Histog.'!$BZ:$BZ,'Cronog. e Histog.'!DW:DW),"")</f>
        <v/>
      </c>
      <c r="BC417" s="144" t="str">
        <f>IFERROR(_xlfn.XLOOKUP($B417,'Cronog. e Histog.'!$BZ:$BZ,'Cronog. e Histog.'!DX:DX),"")</f>
        <v/>
      </c>
      <c r="BD417" s="144" t="str">
        <f>IFERROR(_xlfn.XLOOKUP($B417,'Cronog. e Histog.'!$BZ:$BZ,'Cronog. e Histog.'!DY:DY),"")</f>
        <v/>
      </c>
      <c r="BE417" s="144" t="str">
        <f>IFERROR(_xlfn.XLOOKUP($B417,'Cronog. e Histog.'!$BZ:$BZ,'Cronog. e Histog.'!DZ:DZ),"")</f>
        <v/>
      </c>
      <c r="BF417" s="144" t="str">
        <f>IFERROR(_xlfn.XLOOKUP($B417,'Cronog. e Histog.'!$BZ:$BZ,'Cronog. e Histog.'!EA:EA),"")</f>
        <v/>
      </c>
      <c r="BG417" s="144" t="str">
        <f>IFERROR(_xlfn.XLOOKUP($B417,'Cronog. e Histog.'!$BZ:$BZ,'Cronog. e Histog.'!EB:EB),"")</f>
        <v/>
      </c>
      <c r="BH417" s="144" t="str">
        <f>IFERROR(_xlfn.XLOOKUP($B417,'Cronog. e Histog.'!$BZ:$BZ,'Cronog. e Histog.'!EC:EC),"")</f>
        <v/>
      </c>
      <c r="BI417" s="144" t="str">
        <f>IFERROR(_xlfn.XLOOKUP($B417,'Cronog. e Histog.'!$BZ:$BZ,'Cronog. e Histog.'!ED:ED),"")</f>
        <v/>
      </c>
      <c r="BJ417" s="144" t="str">
        <f>IFERROR(_xlfn.XLOOKUP($B417,'Cronog. e Histog.'!$BZ:$BZ,'Cronog. e Histog.'!EE:EE),"")</f>
        <v/>
      </c>
      <c r="BK417" s="144" t="str">
        <f>IFERROR(_xlfn.XLOOKUP($B417,'Cronog. e Histog.'!$BZ:$BZ,'Cronog. e Histog.'!EF:EF),"")</f>
        <v/>
      </c>
      <c r="BL417" s="144" t="str">
        <f>IFERROR(_xlfn.XLOOKUP($B417,'Cronog. e Histog.'!$BZ:$BZ,'Cronog. e Histog.'!EG:EG),"")</f>
        <v/>
      </c>
      <c r="BM417" s="144" t="str">
        <f>IFERROR(_xlfn.XLOOKUP($B417,'Cronog. e Histog.'!$BZ:$BZ,'Cronog. e Histog.'!EH:EH),"")</f>
        <v/>
      </c>
      <c r="BN417" s="144" t="str">
        <f>IFERROR(_xlfn.XLOOKUP($B417,'Cronog. e Histog.'!$BZ:$BZ,'Cronog. e Histog.'!EI:EI),"")</f>
        <v/>
      </c>
    </row>
    <row r="418" spans="2:66" ht="12" hidden="1" customHeight="1" outlineLevel="1">
      <c r="B418" s="76">
        <v>412</v>
      </c>
      <c r="C418" s="143" t="str">
        <f>IFERROR(VLOOKUP(B418,'Cronog. e Histog.'!$BZ$213:$CA$747,2,0),"")</f>
        <v/>
      </c>
      <c r="D418" s="144">
        <f t="shared" si="6"/>
        <v>0</v>
      </c>
      <c r="E418" s="144">
        <f t="shared" si="7"/>
        <v>0</v>
      </c>
      <c r="F418" s="65"/>
      <c r="G418" s="144" t="str">
        <f>IFERROR(_xlfn.XLOOKUP($B418,'Cronog. e Histog.'!$BZ:$BZ,'Cronog. e Histog.'!CB:CB),"")</f>
        <v/>
      </c>
      <c r="H418" s="144" t="str">
        <f>IFERROR(_xlfn.XLOOKUP($B418,'Cronog. e Histog.'!$BZ:$BZ,'Cronog. e Histog.'!CC:CC),"")</f>
        <v/>
      </c>
      <c r="I418" s="144" t="str">
        <f>IFERROR(_xlfn.XLOOKUP($B418,'Cronog. e Histog.'!$BZ:$BZ,'Cronog. e Histog.'!CD:CD),"")</f>
        <v/>
      </c>
      <c r="J418" s="144" t="str">
        <f>IFERROR(_xlfn.XLOOKUP($B418,'Cronog. e Histog.'!$BZ:$BZ,'Cronog. e Histog.'!CE:CE),"")</f>
        <v/>
      </c>
      <c r="K418" s="144" t="str">
        <f>IFERROR(_xlfn.XLOOKUP($B418,'Cronog. e Histog.'!$BZ:$BZ,'Cronog. e Histog.'!CF:CF),"")</f>
        <v/>
      </c>
      <c r="L418" s="144" t="str">
        <f>IFERROR(_xlfn.XLOOKUP($B418,'Cronog. e Histog.'!$BZ:$BZ,'Cronog. e Histog.'!CG:CG),"")</f>
        <v/>
      </c>
      <c r="M418" s="144" t="str">
        <f>IFERROR(_xlfn.XLOOKUP($B418,'Cronog. e Histog.'!$BZ:$BZ,'Cronog. e Histog.'!CH:CH),"")</f>
        <v/>
      </c>
      <c r="N418" s="144" t="str">
        <f>IFERROR(_xlfn.XLOOKUP($B418,'Cronog. e Histog.'!$BZ:$BZ,'Cronog. e Histog.'!CI:CI),"")</f>
        <v/>
      </c>
      <c r="O418" s="144" t="str">
        <f>IFERROR(_xlfn.XLOOKUP($B418,'Cronog. e Histog.'!$BZ:$BZ,'Cronog. e Histog.'!CJ:CJ),"")</f>
        <v/>
      </c>
      <c r="P418" s="144" t="str">
        <f>IFERROR(_xlfn.XLOOKUP($B418,'Cronog. e Histog.'!$BZ:$BZ,'Cronog. e Histog.'!CK:CK),"")</f>
        <v/>
      </c>
      <c r="Q418" s="144" t="str">
        <f>IFERROR(_xlfn.XLOOKUP($B418,'Cronog. e Histog.'!$BZ:$BZ,'Cronog. e Histog.'!CL:CL),"")</f>
        <v/>
      </c>
      <c r="R418" s="144" t="str">
        <f>IFERROR(_xlfn.XLOOKUP($B418,'Cronog. e Histog.'!$BZ:$BZ,'Cronog. e Histog.'!CM:CM),"")</f>
        <v/>
      </c>
      <c r="S418" s="144" t="str">
        <f>IFERROR(_xlfn.XLOOKUP($B418,'Cronog. e Histog.'!$BZ:$BZ,'Cronog. e Histog.'!CN:CN),"")</f>
        <v/>
      </c>
      <c r="T418" s="144" t="str">
        <f>IFERROR(_xlfn.XLOOKUP($B418,'Cronog. e Histog.'!$BZ:$BZ,'Cronog. e Histog.'!CO:CO),"")</f>
        <v/>
      </c>
      <c r="U418" s="144" t="str">
        <f>IFERROR(_xlfn.XLOOKUP($B418,'Cronog. e Histog.'!$BZ:$BZ,'Cronog. e Histog.'!CP:CP),"")</f>
        <v/>
      </c>
      <c r="V418" s="144" t="str">
        <f>IFERROR(_xlfn.XLOOKUP($B418,'Cronog. e Histog.'!$BZ:$BZ,'Cronog. e Histog.'!CQ:CQ),"")</f>
        <v/>
      </c>
      <c r="W418" s="144" t="str">
        <f>IFERROR(_xlfn.XLOOKUP($B418,'Cronog. e Histog.'!$BZ:$BZ,'Cronog. e Histog.'!CR:CR),"")</f>
        <v/>
      </c>
      <c r="X418" s="144" t="str">
        <f>IFERROR(_xlfn.XLOOKUP($B418,'Cronog. e Histog.'!$BZ:$BZ,'Cronog. e Histog.'!CS:CS),"")</f>
        <v/>
      </c>
      <c r="Y418" s="144" t="str">
        <f>IFERROR(_xlfn.XLOOKUP($B418,'Cronog. e Histog.'!$BZ:$BZ,'Cronog. e Histog.'!CT:CT),"")</f>
        <v/>
      </c>
      <c r="Z418" s="144" t="str">
        <f>IFERROR(_xlfn.XLOOKUP($B418,'Cronog. e Histog.'!$BZ:$BZ,'Cronog. e Histog.'!CU:CU),"")</f>
        <v/>
      </c>
      <c r="AA418" s="144" t="str">
        <f>IFERROR(_xlfn.XLOOKUP($B418,'Cronog. e Histog.'!$BZ:$BZ,'Cronog. e Histog.'!CV:CV),"")</f>
        <v/>
      </c>
      <c r="AB418" s="144" t="str">
        <f>IFERROR(_xlfn.XLOOKUP($B418,'Cronog. e Histog.'!$BZ:$BZ,'Cronog. e Histog.'!CW:CW),"")</f>
        <v/>
      </c>
      <c r="AC418" s="144" t="str">
        <f>IFERROR(_xlfn.XLOOKUP($B418,'Cronog. e Histog.'!$BZ:$BZ,'Cronog. e Histog.'!CX:CX),"")</f>
        <v/>
      </c>
      <c r="AD418" s="144" t="str">
        <f>IFERROR(_xlfn.XLOOKUP($B418,'Cronog. e Histog.'!$BZ:$BZ,'Cronog. e Histog.'!CY:CY),"")</f>
        <v/>
      </c>
      <c r="AE418" s="144" t="str">
        <f>IFERROR(_xlfn.XLOOKUP($B418,'Cronog. e Histog.'!$BZ:$BZ,'Cronog. e Histog.'!CZ:CZ),"")</f>
        <v/>
      </c>
      <c r="AF418" s="144" t="str">
        <f>IFERROR(_xlfn.XLOOKUP($B418,'Cronog. e Histog.'!$BZ:$BZ,'Cronog. e Histog.'!DA:DA),"")</f>
        <v/>
      </c>
      <c r="AG418" s="144" t="str">
        <f>IFERROR(_xlfn.XLOOKUP($B418,'Cronog. e Histog.'!$BZ:$BZ,'Cronog. e Histog.'!DB:DB),"")</f>
        <v/>
      </c>
      <c r="AH418" s="144" t="str">
        <f>IFERROR(_xlfn.XLOOKUP($B418,'Cronog. e Histog.'!$BZ:$BZ,'Cronog. e Histog.'!DC:DC),"")</f>
        <v/>
      </c>
      <c r="AI418" s="144" t="str">
        <f>IFERROR(_xlfn.XLOOKUP($B418,'Cronog. e Histog.'!$BZ:$BZ,'Cronog. e Histog.'!DD:DD),"")</f>
        <v/>
      </c>
      <c r="AJ418" s="144" t="str">
        <f>IFERROR(_xlfn.XLOOKUP($B418,'Cronog. e Histog.'!$BZ:$BZ,'Cronog. e Histog.'!DE:DE),"")</f>
        <v/>
      </c>
      <c r="AK418" s="144" t="str">
        <f>IFERROR(_xlfn.XLOOKUP($B418,'Cronog. e Histog.'!$BZ:$BZ,'Cronog. e Histog.'!DF:DF),"")</f>
        <v/>
      </c>
      <c r="AL418" s="144" t="str">
        <f>IFERROR(_xlfn.XLOOKUP($B418,'Cronog. e Histog.'!$BZ:$BZ,'Cronog. e Histog.'!DG:DG),"")</f>
        <v/>
      </c>
      <c r="AM418" s="144" t="str">
        <f>IFERROR(_xlfn.XLOOKUP($B418,'Cronog. e Histog.'!$BZ:$BZ,'Cronog. e Histog.'!DH:DH),"")</f>
        <v/>
      </c>
      <c r="AN418" s="144" t="str">
        <f>IFERROR(_xlfn.XLOOKUP($B418,'Cronog. e Histog.'!$BZ:$BZ,'Cronog. e Histog.'!DI:DI),"")</f>
        <v/>
      </c>
      <c r="AO418" s="144" t="str">
        <f>IFERROR(_xlfn.XLOOKUP($B418,'Cronog. e Histog.'!$BZ:$BZ,'Cronog. e Histog.'!DJ:DJ),"")</f>
        <v/>
      </c>
      <c r="AP418" s="144" t="str">
        <f>IFERROR(_xlfn.XLOOKUP($B418,'Cronog. e Histog.'!$BZ:$BZ,'Cronog. e Histog.'!DK:DK),"")</f>
        <v/>
      </c>
      <c r="AQ418" s="144" t="str">
        <f>IFERROR(_xlfn.XLOOKUP($B418,'Cronog. e Histog.'!$BZ:$BZ,'Cronog. e Histog.'!DL:DL),"")</f>
        <v/>
      </c>
      <c r="AR418" s="144" t="str">
        <f>IFERROR(_xlfn.XLOOKUP($B418,'Cronog. e Histog.'!$BZ:$BZ,'Cronog. e Histog.'!DM:DM),"")</f>
        <v/>
      </c>
      <c r="AS418" s="144" t="str">
        <f>IFERROR(_xlfn.XLOOKUP($B418,'Cronog. e Histog.'!$BZ:$BZ,'Cronog. e Histog.'!DN:DN),"")</f>
        <v/>
      </c>
      <c r="AT418" s="144" t="str">
        <f>IFERROR(_xlfn.XLOOKUP($B418,'Cronog. e Histog.'!$BZ:$BZ,'Cronog. e Histog.'!DO:DO),"")</f>
        <v/>
      </c>
      <c r="AU418" s="144" t="str">
        <f>IFERROR(_xlfn.XLOOKUP($B418,'Cronog. e Histog.'!$BZ:$BZ,'Cronog. e Histog.'!DP:DP),"")</f>
        <v/>
      </c>
      <c r="AV418" s="144" t="str">
        <f>IFERROR(_xlfn.XLOOKUP($B418,'Cronog. e Histog.'!$BZ:$BZ,'Cronog. e Histog.'!DQ:DQ),"")</f>
        <v/>
      </c>
      <c r="AW418" s="144" t="str">
        <f>IFERROR(_xlfn.XLOOKUP($B418,'Cronog. e Histog.'!$BZ:$BZ,'Cronog. e Histog.'!DR:DR),"")</f>
        <v/>
      </c>
      <c r="AX418" s="144" t="str">
        <f>IFERROR(_xlfn.XLOOKUP($B418,'Cronog. e Histog.'!$BZ:$BZ,'Cronog. e Histog.'!DS:DS),"")</f>
        <v/>
      </c>
      <c r="AY418" s="144" t="str">
        <f>IFERROR(_xlfn.XLOOKUP($B418,'Cronog. e Histog.'!$BZ:$BZ,'Cronog. e Histog.'!DT:DT),"")</f>
        <v/>
      </c>
      <c r="AZ418" s="144" t="str">
        <f>IFERROR(_xlfn.XLOOKUP($B418,'Cronog. e Histog.'!$BZ:$BZ,'Cronog. e Histog.'!DU:DU),"")</f>
        <v/>
      </c>
      <c r="BA418" s="144" t="str">
        <f>IFERROR(_xlfn.XLOOKUP($B418,'Cronog. e Histog.'!$BZ:$BZ,'Cronog. e Histog.'!DV:DV),"")</f>
        <v/>
      </c>
      <c r="BB418" s="144" t="str">
        <f>IFERROR(_xlfn.XLOOKUP($B418,'Cronog. e Histog.'!$BZ:$BZ,'Cronog. e Histog.'!DW:DW),"")</f>
        <v/>
      </c>
      <c r="BC418" s="144" t="str">
        <f>IFERROR(_xlfn.XLOOKUP($B418,'Cronog. e Histog.'!$BZ:$BZ,'Cronog. e Histog.'!DX:DX),"")</f>
        <v/>
      </c>
      <c r="BD418" s="144" t="str">
        <f>IFERROR(_xlfn.XLOOKUP($B418,'Cronog. e Histog.'!$BZ:$BZ,'Cronog. e Histog.'!DY:DY),"")</f>
        <v/>
      </c>
      <c r="BE418" s="144" t="str">
        <f>IFERROR(_xlfn.XLOOKUP($B418,'Cronog. e Histog.'!$BZ:$BZ,'Cronog. e Histog.'!DZ:DZ),"")</f>
        <v/>
      </c>
      <c r="BF418" s="144" t="str">
        <f>IFERROR(_xlfn.XLOOKUP($B418,'Cronog. e Histog.'!$BZ:$BZ,'Cronog. e Histog.'!EA:EA),"")</f>
        <v/>
      </c>
      <c r="BG418" s="144" t="str">
        <f>IFERROR(_xlfn.XLOOKUP($B418,'Cronog. e Histog.'!$BZ:$BZ,'Cronog. e Histog.'!EB:EB),"")</f>
        <v/>
      </c>
      <c r="BH418" s="144" t="str">
        <f>IFERROR(_xlfn.XLOOKUP($B418,'Cronog. e Histog.'!$BZ:$BZ,'Cronog. e Histog.'!EC:EC),"")</f>
        <v/>
      </c>
      <c r="BI418" s="144" t="str">
        <f>IFERROR(_xlfn.XLOOKUP($B418,'Cronog. e Histog.'!$BZ:$BZ,'Cronog. e Histog.'!ED:ED),"")</f>
        <v/>
      </c>
      <c r="BJ418" s="144" t="str">
        <f>IFERROR(_xlfn.XLOOKUP($B418,'Cronog. e Histog.'!$BZ:$BZ,'Cronog. e Histog.'!EE:EE),"")</f>
        <v/>
      </c>
      <c r="BK418" s="144" t="str">
        <f>IFERROR(_xlfn.XLOOKUP($B418,'Cronog. e Histog.'!$BZ:$BZ,'Cronog. e Histog.'!EF:EF),"")</f>
        <v/>
      </c>
      <c r="BL418" s="144" t="str">
        <f>IFERROR(_xlfn.XLOOKUP($B418,'Cronog. e Histog.'!$BZ:$BZ,'Cronog. e Histog.'!EG:EG),"")</f>
        <v/>
      </c>
      <c r="BM418" s="144" t="str">
        <f>IFERROR(_xlfn.XLOOKUP($B418,'Cronog. e Histog.'!$BZ:$BZ,'Cronog. e Histog.'!EH:EH),"")</f>
        <v/>
      </c>
      <c r="BN418" s="144" t="str">
        <f>IFERROR(_xlfn.XLOOKUP($B418,'Cronog. e Histog.'!$BZ:$BZ,'Cronog. e Histog.'!EI:EI),"")</f>
        <v/>
      </c>
    </row>
    <row r="419" spans="2:66" ht="12" hidden="1" customHeight="1" outlineLevel="1">
      <c r="B419" s="76">
        <v>413</v>
      </c>
      <c r="C419" s="143" t="str">
        <f>IFERROR(VLOOKUP(B419,'Cronog. e Histog.'!$BZ$213:$CA$747,2,0),"")</f>
        <v/>
      </c>
      <c r="D419" s="144">
        <f t="shared" si="6"/>
        <v>0</v>
      </c>
      <c r="E419" s="144">
        <f t="shared" si="7"/>
        <v>0</v>
      </c>
      <c r="F419" s="65"/>
      <c r="G419" s="144" t="str">
        <f>IFERROR(_xlfn.XLOOKUP($B419,'Cronog. e Histog.'!$BZ:$BZ,'Cronog. e Histog.'!CB:CB),"")</f>
        <v/>
      </c>
      <c r="H419" s="144" t="str">
        <f>IFERROR(_xlfn.XLOOKUP($B419,'Cronog. e Histog.'!$BZ:$BZ,'Cronog. e Histog.'!CC:CC),"")</f>
        <v/>
      </c>
      <c r="I419" s="144" t="str">
        <f>IFERROR(_xlfn.XLOOKUP($B419,'Cronog. e Histog.'!$BZ:$BZ,'Cronog. e Histog.'!CD:CD),"")</f>
        <v/>
      </c>
      <c r="J419" s="144" t="str">
        <f>IFERROR(_xlfn.XLOOKUP($B419,'Cronog. e Histog.'!$BZ:$BZ,'Cronog. e Histog.'!CE:CE),"")</f>
        <v/>
      </c>
      <c r="K419" s="144" t="str">
        <f>IFERROR(_xlfn.XLOOKUP($B419,'Cronog. e Histog.'!$BZ:$BZ,'Cronog. e Histog.'!CF:CF),"")</f>
        <v/>
      </c>
      <c r="L419" s="144" t="str">
        <f>IFERROR(_xlfn.XLOOKUP($B419,'Cronog. e Histog.'!$BZ:$BZ,'Cronog. e Histog.'!CG:CG),"")</f>
        <v/>
      </c>
      <c r="M419" s="144" t="str">
        <f>IFERROR(_xlfn.XLOOKUP($B419,'Cronog. e Histog.'!$BZ:$BZ,'Cronog. e Histog.'!CH:CH),"")</f>
        <v/>
      </c>
      <c r="N419" s="144" t="str">
        <f>IFERROR(_xlfn.XLOOKUP($B419,'Cronog. e Histog.'!$BZ:$BZ,'Cronog. e Histog.'!CI:CI),"")</f>
        <v/>
      </c>
      <c r="O419" s="144" t="str">
        <f>IFERROR(_xlfn.XLOOKUP($B419,'Cronog. e Histog.'!$BZ:$BZ,'Cronog. e Histog.'!CJ:CJ),"")</f>
        <v/>
      </c>
      <c r="P419" s="144" t="str">
        <f>IFERROR(_xlfn.XLOOKUP($B419,'Cronog. e Histog.'!$BZ:$BZ,'Cronog. e Histog.'!CK:CK),"")</f>
        <v/>
      </c>
      <c r="Q419" s="144" t="str">
        <f>IFERROR(_xlfn.XLOOKUP($B419,'Cronog. e Histog.'!$BZ:$BZ,'Cronog. e Histog.'!CL:CL),"")</f>
        <v/>
      </c>
      <c r="R419" s="144" t="str">
        <f>IFERROR(_xlfn.XLOOKUP($B419,'Cronog. e Histog.'!$BZ:$BZ,'Cronog. e Histog.'!CM:CM),"")</f>
        <v/>
      </c>
      <c r="S419" s="144" t="str">
        <f>IFERROR(_xlfn.XLOOKUP($B419,'Cronog. e Histog.'!$BZ:$BZ,'Cronog. e Histog.'!CN:CN),"")</f>
        <v/>
      </c>
      <c r="T419" s="144" t="str">
        <f>IFERROR(_xlfn.XLOOKUP($B419,'Cronog. e Histog.'!$BZ:$BZ,'Cronog. e Histog.'!CO:CO),"")</f>
        <v/>
      </c>
      <c r="U419" s="144" t="str">
        <f>IFERROR(_xlfn.XLOOKUP($B419,'Cronog. e Histog.'!$BZ:$BZ,'Cronog. e Histog.'!CP:CP),"")</f>
        <v/>
      </c>
      <c r="V419" s="144" t="str">
        <f>IFERROR(_xlfn.XLOOKUP($B419,'Cronog. e Histog.'!$BZ:$BZ,'Cronog. e Histog.'!CQ:CQ),"")</f>
        <v/>
      </c>
      <c r="W419" s="144" t="str">
        <f>IFERROR(_xlfn.XLOOKUP($B419,'Cronog. e Histog.'!$BZ:$BZ,'Cronog. e Histog.'!CR:CR),"")</f>
        <v/>
      </c>
      <c r="X419" s="144" t="str">
        <f>IFERROR(_xlfn.XLOOKUP($B419,'Cronog. e Histog.'!$BZ:$BZ,'Cronog. e Histog.'!CS:CS),"")</f>
        <v/>
      </c>
      <c r="Y419" s="144" t="str">
        <f>IFERROR(_xlfn.XLOOKUP($B419,'Cronog. e Histog.'!$BZ:$BZ,'Cronog. e Histog.'!CT:CT),"")</f>
        <v/>
      </c>
      <c r="Z419" s="144" t="str">
        <f>IFERROR(_xlfn.XLOOKUP($B419,'Cronog. e Histog.'!$BZ:$BZ,'Cronog. e Histog.'!CU:CU),"")</f>
        <v/>
      </c>
      <c r="AA419" s="144" t="str">
        <f>IFERROR(_xlfn.XLOOKUP($B419,'Cronog. e Histog.'!$BZ:$BZ,'Cronog. e Histog.'!CV:CV),"")</f>
        <v/>
      </c>
      <c r="AB419" s="144" t="str">
        <f>IFERROR(_xlfn.XLOOKUP($B419,'Cronog. e Histog.'!$BZ:$BZ,'Cronog. e Histog.'!CW:CW),"")</f>
        <v/>
      </c>
      <c r="AC419" s="144" t="str">
        <f>IFERROR(_xlfn.XLOOKUP($B419,'Cronog. e Histog.'!$BZ:$BZ,'Cronog. e Histog.'!CX:CX),"")</f>
        <v/>
      </c>
      <c r="AD419" s="144" t="str">
        <f>IFERROR(_xlfn.XLOOKUP($B419,'Cronog. e Histog.'!$BZ:$BZ,'Cronog. e Histog.'!CY:CY),"")</f>
        <v/>
      </c>
      <c r="AE419" s="144" t="str">
        <f>IFERROR(_xlfn.XLOOKUP($B419,'Cronog. e Histog.'!$BZ:$BZ,'Cronog. e Histog.'!CZ:CZ),"")</f>
        <v/>
      </c>
      <c r="AF419" s="144" t="str">
        <f>IFERROR(_xlfn.XLOOKUP($B419,'Cronog. e Histog.'!$BZ:$BZ,'Cronog. e Histog.'!DA:DA),"")</f>
        <v/>
      </c>
      <c r="AG419" s="144" t="str">
        <f>IFERROR(_xlfn.XLOOKUP($B419,'Cronog. e Histog.'!$BZ:$BZ,'Cronog. e Histog.'!DB:DB),"")</f>
        <v/>
      </c>
      <c r="AH419" s="144" t="str">
        <f>IFERROR(_xlfn.XLOOKUP($B419,'Cronog. e Histog.'!$BZ:$BZ,'Cronog. e Histog.'!DC:DC),"")</f>
        <v/>
      </c>
      <c r="AI419" s="144" t="str">
        <f>IFERROR(_xlfn.XLOOKUP($B419,'Cronog. e Histog.'!$BZ:$BZ,'Cronog. e Histog.'!DD:DD),"")</f>
        <v/>
      </c>
      <c r="AJ419" s="144" t="str">
        <f>IFERROR(_xlfn.XLOOKUP($B419,'Cronog. e Histog.'!$BZ:$BZ,'Cronog. e Histog.'!DE:DE),"")</f>
        <v/>
      </c>
      <c r="AK419" s="144" t="str">
        <f>IFERROR(_xlfn.XLOOKUP($B419,'Cronog. e Histog.'!$BZ:$BZ,'Cronog. e Histog.'!DF:DF),"")</f>
        <v/>
      </c>
      <c r="AL419" s="144" t="str">
        <f>IFERROR(_xlfn.XLOOKUP($B419,'Cronog. e Histog.'!$BZ:$BZ,'Cronog. e Histog.'!DG:DG),"")</f>
        <v/>
      </c>
      <c r="AM419" s="144" t="str">
        <f>IFERROR(_xlfn.XLOOKUP($B419,'Cronog. e Histog.'!$BZ:$BZ,'Cronog. e Histog.'!DH:DH),"")</f>
        <v/>
      </c>
      <c r="AN419" s="144" t="str">
        <f>IFERROR(_xlfn.XLOOKUP($B419,'Cronog. e Histog.'!$BZ:$BZ,'Cronog. e Histog.'!DI:DI),"")</f>
        <v/>
      </c>
      <c r="AO419" s="144" t="str">
        <f>IFERROR(_xlfn.XLOOKUP($B419,'Cronog. e Histog.'!$BZ:$BZ,'Cronog. e Histog.'!DJ:DJ),"")</f>
        <v/>
      </c>
      <c r="AP419" s="144" t="str">
        <f>IFERROR(_xlfn.XLOOKUP($B419,'Cronog. e Histog.'!$BZ:$BZ,'Cronog. e Histog.'!DK:DK),"")</f>
        <v/>
      </c>
      <c r="AQ419" s="144" t="str">
        <f>IFERROR(_xlfn.XLOOKUP($B419,'Cronog. e Histog.'!$BZ:$BZ,'Cronog. e Histog.'!DL:DL),"")</f>
        <v/>
      </c>
      <c r="AR419" s="144" t="str">
        <f>IFERROR(_xlfn.XLOOKUP($B419,'Cronog. e Histog.'!$BZ:$BZ,'Cronog. e Histog.'!DM:DM),"")</f>
        <v/>
      </c>
      <c r="AS419" s="144" t="str">
        <f>IFERROR(_xlfn.XLOOKUP($B419,'Cronog. e Histog.'!$BZ:$BZ,'Cronog. e Histog.'!DN:DN),"")</f>
        <v/>
      </c>
      <c r="AT419" s="144" t="str">
        <f>IFERROR(_xlfn.XLOOKUP($B419,'Cronog. e Histog.'!$BZ:$BZ,'Cronog. e Histog.'!DO:DO),"")</f>
        <v/>
      </c>
      <c r="AU419" s="144" t="str">
        <f>IFERROR(_xlfn.XLOOKUP($B419,'Cronog. e Histog.'!$BZ:$BZ,'Cronog. e Histog.'!DP:DP),"")</f>
        <v/>
      </c>
      <c r="AV419" s="144" t="str">
        <f>IFERROR(_xlfn.XLOOKUP($B419,'Cronog. e Histog.'!$BZ:$BZ,'Cronog. e Histog.'!DQ:DQ),"")</f>
        <v/>
      </c>
      <c r="AW419" s="144" t="str">
        <f>IFERROR(_xlfn.XLOOKUP($B419,'Cronog. e Histog.'!$BZ:$BZ,'Cronog. e Histog.'!DR:DR),"")</f>
        <v/>
      </c>
      <c r="AX419" s="144" t="str">
        <f>IFERROR(_xlfn.XLOOKUP($B419,'Cronog. e Histog.'!$BZ:$BZ,'Cronog. e Histog.'!DS:DS),"")</f>
        <v/>
      </c>
      <c r="AY419" s="144" t="str">
        <f>IFERROR(_xlfn.XLOOKUP($B419,'Cronog. e Histog.'!$BZ:$BZ,'Cronog. e Histog.'!DT:DT),"")</f>
        <v/>
      </c>
      <c r="AZ419" s="144" t="str">
        <f>IFERROR(_xlfn.XLOOKUP($B419,'Cronog. e Histog.'!$BZ:$BZ,'Cronog. e Histog.'!DU:DU),"")</f>
        <v/>
      </c>
      <c r="BA419" s="144" t="str">
        <f>IFERROR(_xlfn.XLOOKUP($B419,'Cronog. e Histog.'!$BZ:$BZ,'Cronog. e Histog.'!DV:DV),"")</f>
        <v/>
      </c>
      <c r="BB419" s="144" t="str">
        <f>IFERROR(_xlfn.XLOOKUP($B419,'Cronog. e Histog.'!$BZ:$BZ,'Cronog. e Histog.'!DW:DW),"")</f>
        <v/>
      </c>
      <c r="BC419" s="144" t="str">
        <f>IFERROR(_xlfn.XLOOKUP($B419,'Cronog. e Histog.'!$BZ:$BZ,'Cronog. e Histog.'!DX:DX),"")</f>
        <v/>
      </c>
      <c r="BD419" s="144" t="str">
        <f>IFERROR(_xlfn.XLOOKUP($B419,'Cronog. e Histog.'!$BZ:$BZ,'Cronog. e Histog.'!DY:DY),"")</f>
        <v/>
      </c>
      <c r="BE419" s="144" t="str">
        <f>IFERROR(_xlfn.XLOOKUP($B419,'Cronog. e Histog.'!$BZ:$BZ,'Cronog. e Histog.'!DZ:DZ),"")</f>
        <v/>
      </c>
      <c r="BF419" s="144" t="str">
        <f>IFERROR(_xlfn.XLOOKUP($B419,'Cronog. e Histog.'!$BZ:$BZ,'Cronog. e Histog.'!EA:EA),"")</f>
        <v/>
      </c>
      <c r="BG419" s="144" t="str">
        <f>IFERROR(_xlfn.XLOOKUP($B419,'Cronog. e Histog.'!$BZ:$BZ,'Cronog. e Histog.'!EB:EB),"")</f>
        <v/>
      </c>
      <c r="BH419" s="144" t="str">
        <f>IFERROR(_xlfn.XLOOKUP($B419,'Cronog. e Histog.'!$BZ:$BZ,'Cronog. e Histog.'!EC:EC),"")</f>
        <v/>
      </c>
      <c r="BI419" s="144" t="str">
        <f>IFERROR(_xlfn.XLOOKUP($B419,'Cronog. e Histog.'!$BZ:$BZ,'Cronog. e Histog.'!ED:ED),"")</f>
        <v/>
      </c>
      <c r="BJ419" s="144" t="str">
        <f>IFERROR(_xlfn.XLOOKUP($B419,'Cronog. e Histog.'!$BZ:$BZ,'Cronog. e Histog.'!EE:EE),"")</f>
        <v/>
      </c>
      <c r="BK419" s="144" t="str">
        <f>IFERROR(_xlfn.XLOOKUP($B419,'Cronog. e Histog.'!$BZ:$BZ,'Cronog. e Histog.'!EF:EF),"")</f>
        <v/>
      </c>
      <c r="BL419" s="144" t="str">
        <f>IFERROR(_xlfn.XLOOKUP($B419,'Cronog. e Histog.'!$BZ:$BZ,'Cronog. e Histog.'!EG:EG),"")</f>
        <v/>
      </c>
      <c r="BM419" s="144" t="str">
        <f>IFERROR(_xlfn.XLOOKUP($B419,'Cronog. e Histog.'!$BZ:$BZ,'Cronog. e Histog.'!EH:EH),"")</f>
        <v/>
      </c>
      <c r="BN419" s="144" t="str">
        <f>IFERROR(_xlfn.XLOOKUP($B419,'Cronog. e Histog.'!$BZ:$BZ,'Cronog. e Histog.'!EI:EI),"")</f>
        <v/>
      </c>
    </row>
    <row r="420" spans="2:66" ht="12" hidden="1" customHeight="1" outlineLevel="1">
      <c r="B420" s="76">
        <v>414</v>
      </c>
      <c r="C420" s="143" t="str">
        <f>IFERROR(VLOOKUP(B420,'Cronog. e Histog.'!$BZ$213:$CA$747,2,0),"")</f>
        <v/>
      </c>
      <c r="D420" s="144">
        <f t="shared" si="6"/>
        <v>0</v>
      </c>
      <c r="E420" s="144">
        <f t="shared" si="7"/>
        <v>0</v>
      </c>
      <c r="F420" s="65"/>
      <c r="G420" s="144" t="str">
        <f>IFERROR(_xlfn.XLOOKUP($B420,'Cronog. e Histog.'!$BZ:$BZ,'Cronog. e Histog.'!CB:CB),"")</f>
        <v/>
      </c>
      <c r="H420" s="144" t="str">
        <f>IFERROR(_xlfn.XLOOKUP($B420,'Cronog. e Histog.'!$BZ:$BZ,'Cronog. e Histog.'!CC:CC),"")</f>
        <v/>
      </c>
      <c r="I420" s="144" t="str">
        <f>IFERROR(_xlfn.XLOOKUP($B420,'Cronog. e Histog.'!$BZ:$BZ,'Cronog. e Histog.'!CD:CD),"")</f>
        <v/>
      </c>
      <c r="J420" s="144" t="str">
        <f>IFERROR(_xlfn.XLOOKUP($B420,'Cronog. e Histog.'!$BZ:$BZ,'Cronog. e Histog.'!CE:CE),"")</f>
        <v/>
      </c>
      <c r="K420" s="144" t="str">
        <f>IFERROR(_xlfn.XLOOKUP($B420,'Cronog. e Histog.'!$BZ:$BZ,'Cronog. e Histog.'!CF:CF),"")</f>
        <v/>
      </c>
      <c r="L420" s="144" t="str">
        <f>IFERROR(_xlfn.XLOOKUP($B420,'Cronog. e Histog.'!$BZ:$BZ,'Cronog. e Histog.'!CG:CG),"")</f>
        <v/>
      </c>
      <c r="M420" s="144" t="str">
        <f>IFERROR(_xlfn.XLOOKUP($B420,'Cronog. e Histog.'!$BZ:$BZ,'Cronog. e Histog.'!CH:CH),"")</f>
        <v/>
      </c>
      <c r="N420" s="144" t="str">
        <f>IFERROR(_xlfn.XLOOKUP($B420,'Cronog. e Histog.'!$BZ:$BZ,'Cronog. e Histog.'!CI:CI),"")</f>
        <v/>
      </c>
      <c r="O420" s="144" t="str">
        <f>IFERROR(_xlfn.XLOOKUP($B420,'Cronog. e Histog.'!$BZ:$BZ,'Cronog. e Histog.'!CJ:CJ),"")</f>
        <v/>
      </c>
      <c r="P420" s="144" t="str">
        <f>IFERROR(_xlfn.XLOOKUP($B420,'Cronog. e Histog.'!$BZ:$BZ,'Cronog. e Histog.'!CK:CK),"")</f>
        <v/>
      </c>
      <c r="Q420" s="144" t="str">
        <f>IFERROR(_xlfn.XLOOKUP($B420,'Cronog. e Histog.'!$BZ:$BZ,'Cronog. e Histog.'!CL:CL),"")</f>
        <v/>
      </c>
      <c r="R420" s="144" t="str">
        <f>IFERROR(_xlfn.XLOOKUP($B420,'Cronog. e Histog.'!$BZ:$BZ,'Cronog. e Histog.'!CM:CM),"")</f>
        <v/>
      </c>
      <c r="S420" s="144" t="str">
        <f>IFERROR(_xlfn.XLOOKUP($B420,'Cronog. e Histog.'!$BZ:$BZ,'Cronog. e Histog.'!CN:CN),"")</f>
        <v/>
      </c>
      <c r="T420" s="144" t="str">
        <f>IFERROR(_xlfn.XLOOKUP($B420,'Cronog. e Histog.'!$BZ:$BZ,'Cronog. e Histog.'!CO:CO),"")</f>
        <v/>
      </c>
      <c r="U420" s="144" t="str">
        <f>IFERROR(_xlfn.XLOOKUP($B420,'Cronog. e Histog.'!$BZ:$BZ,'Cronog. e Histog.'!CP:CP),"")</f>
        <v/>
      </c>
      <c r="V420" s="144" t="str">
        <f>IFERROR(_xlfn.XLOOKUP($B420,'Cronog. e Histog.'!$BZ:$BZ,'Cronog. e Histog.'!CQ:CQ),"")</f>
        <v/>
      </c>
      <c r="W420" s="144" t="str">
        <f>IFERROR(_xlfn.XLOOKUP($B420,'Cronog. e Histog.'!$BZ:$BZ,'Cronog. e Histog.'!CR:CR),"")</f>
        <v/>
      </c>
      <c r="X420" s="144" t="str">
        <f>IFERROR(_xlfn.XLOOKUP($B420,'Cronog. e Histog.'!$BZ:$BZ,'Cronog. e Histog.'!CS:CS),"")</f>
        <v/>
      </c>
      <c r="Y420" s="144" t="str">
        <f>IFERROR(_xlfn.XLOOKUP($B420,'Cronog. e Histog.'!$BZ:$BZ,'Cronog. e Histog.'!CT:CT),"")</f>
        <v/>
      </c>
      <c r="Z420" s="144" t="str">
        <f>IFERROR(_xlfn.XLOOKUP($B420,'Cronog. e Histog.'!$BZ:$BZ,'Cronog. e Histog.'!CU:CU),"")</f>
        <v/>
      </c>
      <c r="AA420" s="144" t="str">
        <f>IFERROR(_xlfn.XLOOKUP($B420,'Cronog. e Histog.'!$BZ:$BZ,'Cronog. e Histog.'!CV:CV),"")</f>
        <v/>
      </c>
      <c r="AB420" s="144" t="str">
        <f>IFERROR(_xlfn.XLOOKUP($B420,'Cronog. e Histog.'!$BZ:$BZ,'Cronog. e Histog.'!CW:CW),"")</f>
        <v/>
      </c>
      <c r="AC420" s="144" t="str">
        <f>IFERROR(_xlfn.XLOOKUP($B420,'Cronog. e Histog.'!$BZ:$BZ,'Cronog. e Histog.'!CX:CX),"")</f>
        <v/>
      </c>
      <c r="AD420" s="144" t="str">
        <f>IFERROR(_xlfn.XLOOKUP($B420,'Cronog. e Histog.'!$BZ:$BZ,'Cronog. e Histog.'!CY:CY),"")</f>
        <v/>
      </c>
      <c r="AE420" s="144" t="str">
        <f>IFERROR(_xlfn.XLOOKUP($B420,'Cronog. e Histog.'!$BZ:$BZ,'Cronog. e Histog.'!CZ:CZ),"")</f>
        <v/>
      </c>
      <c r="AF420" s="144" t="str">
        <f>IFERROR(_xlfn.XLOOKUP($B420,'Cronog. e Histog.'!$BZ:$BZ,'Cronog. e Histog.'!DA:DA),"")</f>
        <v/>
      </c>
      <c r="AG420" s="144" t="str">
        <f>IFERROR(_xlfn.XLOOKUP($B420,'Cronog. e Histog.'!$BZ:$BZ,'Cronog. e Histog.'!DB:DB),"")</f>
        <v/>
      </c>
      <c r="AH420" s="144" t="str">
        <f>IFERROR(_xlfn.XLOOKUP($B420,'Cronog. e Histog.'!$BZ:$BZ,'Cronog. e Histog.'!DC:DC),"")</f>
        <v/>
      </c>
      <c r="AI420" s="144" t="str">
        <f>IFERROR(_xlfn.XLOOKUP($B420,'Cronog. e Histog.'!$BZ:$BZ,'Cronog. e Histog.'!DD:DD),"")</f>
        <v/>
      </c>
      <c r="AJ420" s="144" t="str">
        <f>IFERROR(_xlfn.XLOOKUP($B420,'Cronog. e Histog.'!$BZ:$BZ,'Cronog. e Histog.'!DE:DE),"")</f>
        <v/>
      </c>
      <c r="AK420" s="144" t="str">
        <f>IFERROR(_xlfn.XLOOKUP($B420,'Cronog. e Histog.'!$BZ:$BZ,'Cronog. e Histog.'!DF:DF),"")</f>
        <v/>
      </c>
      <c r="AL420" s="144" t="str">
        <f>IFERROR(_xlfn.XLOOKUP($B420,'Cronog. e Histog.'!$BZ:$BZ,'Cronog. e Histog.'!DG:DG),"")</f>
        <v/>
      </c>
      <c r="AM420" s="144" t="str">
        <f>IFERROR(_xlfn.XLOOKUP($B420,'Cronog. e Histog.'!$BZ:$BZ,'Cronog. e Histog.'!DH:DH),"")</f>
        <v/>
      </c>
      <c r="AN420" s="144" t="str">
        <f>IFERROR(_xlfn.XLOOKUP($B420,'Cronog. e Histog.'!$BZ:$BZ,'Cronog. e Histog.'!DI:DI),"")</f>
        <v/>
      </c>
      <c r="AO420" s="144" t="str">
        <f>IFERROR(_xlfn.XLOOKUP($B420,'Cronog. e Histog.'!$BZ:$BZ,'Cronog. e Histog.'!DJ:DJ),"")</f>
        <v/>
      </c>
      <c r="AP420" s="144" t="str">
        <f>IFERROR(_xlfn.XLOOKUP($B420,'Cronog. e Histog.'!$BZ:$BZ,'Cronog. e Histog.'!DK:DK),"")</f>
        <v/>
      </c>
      <c r="AQ420" s="144" t="str">
        <f>IFERROR(_xlfn.XLOOKUP($B420,'Cronog. e Histog.'!$BZ:$BZ,'Cronog. e Histog.'!DL:DL),"")</f>
        <v/>
      </c>
      <c r="AR420" s="144" t="str">
        <f>IFERROR(_xlfn.XLOOKUP($B420,'Cronog. e Histog.'!$BZ:$BZ,'Cronog. e Histog.'!DM:DM),"")</f>
        <v/>
      </c>
      <c r="AS420" s="144" t="str">
        <f>IFERROR(_xlfn.XLOOKUP($B420,'Cronog. e Histog.'!$BZ:$BZ,'Cronog. e Histog.'!DN:DN),"")</f>
        <v/>
      </c>
      <c r="AT420" s="144" t="str">
        <f>IFERROR(_xlfn.XLOOKUP($B420,'Cronog. e Histog.'!$BZ:$BZ,'Cronog. e Histog.'!DO:DO),"")</f>
        <v/>
      </c>
      <c r="AU420" s="144" t="str">
        <f>IFERROR(_xlfn.XLOOKUP($B420,'Cronog. e Histog.'!$BZ:$BZ,'Cronog. e Histog.'!DP:DP),"")</f>
        <v/>
      </c>
      <c r="AV420" s="144" t="str">
        <f>IFERROR(_xlfn.XLOOKUP($B420,'Cronog. e Histog.'!$BZ:$BZ,'Cronog. e Histog.'!DQ:DQ),"")</f>
        <v/>
      </c>
      <c r="AW420" s="144" t="str">
        <f>IFERROR(_xlfn.XLOOKUP($B420,'Cronog. e Histog.'!$BZ:$BZ,'Cronog. e Histog.'!DR:DR),"")</f>
        <v/>
      </c>
      <c r="AX420" s="144" t="str">
        <f>IFERROR(_xlfn.XLOOKUP($B420,'Cronog. e Histog.'!$BZ:$BZ,'Cronog. e Histog.'!DS:DS),"")</f>
        <v/>
      </c>
      <c r="AY420" s="144" t="str">
        <f>IFERROR(_xlfn.XLOOKUP($B420,'Cronog. e Histog.'!$BZ:$BZ,'Cronog. e Histog.'!DT:DT),"")</f>
        <v/>
      </c>
      <c r="AZ420" s="144" t="str">
        <f>IFERROR(_xlfn.XLOOKUP($B420,'Cronog. e Histog.'!$BZ:$BZ,'Cronog. e Histog.'!DU:DU),"")</f>
        <v/>
      </c>
      <c r="BA420" s="144" t="str">
        <f>IFERROR(_xlfn.XLOOKUP($B420,'Cronog. e Histog.'!$BZ:$BZ,'Cronog. e Histog.'!DV:DV),"")</f>
        <v/>
      </c>
      <c r="BB420" s="144" t="str">
        <f>IFERROR(_xlfn.XLOOKUP($B420,'Cronog. e Histog.'!$BZ:$BZ,'Cronog. e Histog.'!DW:DW),"")</f>
        <v/>
      </c>
      <c r="BC420" s="144" t="str">
        <f>IFERROR(_xlfn.XLOOKUP($B420,'Cronog. e Histog.'!$BZ:$BZ,'Cronog. e Histog.'!DX:DX),"")</f>
        <v/>
      </c>
      <c r="BD420" s="144" t="str">
        <f>IFERROR(_xlfn.XLOOKUP($B420,'Cronog. e Histog.'!$BZ:$BZ,'Cronog. e Histog.'!DY:DY),"")</f>
        <v/>
      </c>
      <c r="BE420" s="144" t="str">
        <f>IFERROR(_xlfn.XLOOKUP($B420,'Cronog. e Histog.'!$BZ:$BZ,'Cronog. e Histog.'!DZ:DZ),"")</f>
        <v/>
      </c>
      <c r="BF420" s="144" t="str">
        <f>IFERROR(_xlfn.XLOOKUP($B420,'Cronog. e Histog.'!$BZ:$BZ,'Cronog. e Histog.'!EA:EA),"")</f>
        <v/>
      </c>
      <c r="BG420" s="144" t="str">
        <f>IFERROR(_xlfn.XLOOKUP($B420,'Cronog. e Histog.'!$BZ:$BZ,'Cronog. e Histog.'!EB:EB),"")</f>
        <v/>
      </c>
      <c r="BH420" s="144" t="str">
        <f>IFERROR(_xlfn.XLOOKUP($B420,'Cronog. e Histog.'!$BZ:$BZ,'Cronog. e Histog.'!EC:EC),"")</f>
        <v/>
      </c>
      <c r="BI420" s="144" t="str">
        <f>IFERROR(_xlfn.XLOOKUP($B420,'Cronog. e Histog.'!$BZ:$BZ,'Cronog. e Histog.'!ED:ED),"")</f>
        <v/>
      </c>
      <c r="BJ420" s="144" t="str">
        <f>IFERROR(_xlfn.XLOOKUP($B420,'Cronog. e Histog.'!$BZ:$BZ,'Cronog. e Histog.'!EE:EE),"")</f>
        <v/>
      </c>
      <c r="BK420" s="144" t="str">
        <f>IFERROR(_xlfn.XLOOKUP($B420,'Cronog. e Histog.'!$BZ:$BZ,'Cronog. e Histog.'!EF:EF),"")</f>
        <v/>
      </c>
      <c r="BL420" s="144" t="str">
        <f>IFERROR(_xlfn.XLOOKUP($B420,'Cronog. e Histog.'!$BZ:$BZ,'Cronog. e Histog.'!EG:EG),"")</f>
        <v/>
      </c>
      <c r="BM420" s="144" t="str">
        <f>IFERROR(_xlfn.XLOOKUP($B420,'Cronog. e Histog.'!$BZ:$BZ,'Cronog. e Histog.'!EH:EH),"")</f>
        <v/>
      </c>
      <c r="BN420" s="144" t="str">
        <f>IFERROR(_xlfn.XLOOKUP($B420,'Cronog. e Histog.'!$BZ:$BZ,'Cronog. e Histog.'!EI:EI),"")</f>
        <v/>
      </c>
    </row>
    <row r="421" spans="2:66" ht="12" hidden="1" customHeight="1" outlineLevel="1">
      <c r="B421" s="76">
        <v>415</v>
      </c>
      <c r="C421" s="143" t="str">
        <f>IFERROR(VLOOKUP(B421,'Cronog. e Histog.'!$BZ$213:$CA$747,2,0),"")</f>
        <v/>
      </c>
      <c r="D421" s="144">
        <f t="shared" si="6"/>
        <v>0</v>
      </c>
      <c r="E421" s="144">
        <f t="shared" si="7"/>
        <v>0</v>
      </c>
      <c r="F421" s="65"/>
      <c r="G421" s="144" t="str">
        <f>IFERROR(_xlfn.XLOOKUP($B421,'Cronog. e Histog.'!$BZ:$BZ,'Cronog. e Histog.'!CB:CB),"")</f>
        <v/>
      </c>
      <c r="H421" s="144" t="str">
        <f>IFERROR(_xlfn.XLOOKUP($B421,'Cronog. e Histog.'!$BZ:$BZ,'Cronog. e Histog.'!CC:CC),"")</f>
        <v/>
      </c>
      <c r="I421" s="144" t="str">
        <f>IFERROR(_xlfn.XLOOKUP($B421,'Cronog. e Histog.'!$BZ:$BZ,'Cronog. e Histog.'!CD:CD),"")</f>
        <v/>
      </c>
      <c r="J421" s="144" t="str">
        <f>IFERROR(_xlfn.XLOOKUP($B421,'Cronog. e Histog.'!$BZ:$BZ,'Cronog. e Histog.'!CE:CE),"")</f>
        <v/>
      </c>
      <c r="K421" s="144" t="str">
        <f>IFERROR(_xlfn.XLOOKUP($B421,'Cronog. e Histog.'!$BZ:$BZ,'Cronog. e Histog.'!CF:CF),"")</f>
        <v/>
      </c>
      <c r="L421" s="144" t="str">
        <f>IFERROR(_xlfn.XLOOKUP($B421,'Cronog. e Histog.'!$BZ:$BZ,'Cronog. e Histog.'!CG:CG),"")</f>
        <v/>
      </c>
      <c r="M421" s="144" t="str">
        <f>IFERROR(_xlfn.XLOOKUP($B421,'Cronog. e Histog.'!$BZ:$BZ,'Cronog. e Histog.'!CH:CH),"")</f>
        <v/>
      </c>
      <c r="N421" s="144" t="str">
        <f>IFERROR(_xlfn.XLOOKUP($B421,'Cronog. e Histog.'!$BZ:$BZ,'Cronog. e Histog.'!CI:CI),"")</f>
        <v/>
      </c>
      <c r="O421" s="144" t="str">
        <f>IFERROR(_xlfn.XLOOKUP($B421,'Cronog. e Histog.'!$BZ:$BZ,'Cronog. e Histog.'!CJ:CJ),"")</f>
        <v/>
      </c>
      <c r="P421" s="144" t="str">
        <f>IFERROR(_xlfn.XLOOKUP($B421,'Cronog. e Histog.'!$BZ:$BZ,'Cronog. e Histog.'!CK:CK),"")</f>
        <v/>
      </c>
      <c r="Q421" s="144" t="str">
        <f>IFERROR(_xlfn.XLOOKUP($B421,'Cronog. e Histog.'!$BZ:$BZ,'Cronog. e Histog.'!CL:CL),"")</f>
        <v/>
      </c>
      <c r="R421" s="144" t="str">
        <f>IFERROR(_xlfn.XLOOKUP($B421,'Cronog. e Histog.'!$BZ:$BZ,'Cronog. e Histog.'!CM:CM),"")</f>
        <v/>
      </c>
      <c r="S421" s="144" t="str">
        <f>IFERROR(_xlfn.XLOOKUP($B421,'Cronog. e Histog.'!$BZ:$BZ,'Cronog. e Histog.'!CN:CN),"")</f>
        <v/>
      </c>
      <c r="T421" s="144" t="str">
        <f>IFERROR(_xlfn.XLOOKUP($B421,'Cronog. e Histog.'!$BZ:$BZ,'Cronog. e Histog.'!CO:CO),"")</f>
        <v/>
      </c>
      <c r="U421" s="144" t="str">
        <f>IFERROR(_xlfn.XLOOKUP($B421,'Cronog. e Histog.'!$BZ:$BZ,'Cronog. e Histog.'!CP:CP),"")</f>
        <v/>
      </c>
      <c r="V421" s="144" t="str">
        <f>IFERROR(_xlfn.XLOOKUP($B421,'Cronog. e Histog.'!$BZ:$BZ,'Cronog. e Histog.'!CQ:CQ),"")</f>
        <v/>
      </c>
      <c r="W421" s="144" t="str">
        <f>IFERROR(_xlfn.XLOOKUP($B421,'Cronog. e Histog.'!$BZ:$BZ,'Cronog. e Histog.'!CR:CR),"")</f>
        <v/>
      </c>
      <c r="X421" s="144" t="str">
        <f>IFERROR(_xlfn.XLOOKUP($B421,'Cronog. e Histog.'!$BZ:$BZ,'Cronog. e Histog.'!CS:CS),"")</f>
        <v/>
      </c>
      <c r="Y421" s="144" t="str">
        <f>IFERROR(_xlfn.XLOOKUP($B421,'Cronog. e Histog.'!$BZ:$BZ,'Cronog. e Histog.'!CT:CT),"")</f>
        <v/>
      </c>
      <c r="Z421" s="144" t="str">
        <f>IFERROR(_xlfn.XLOOKUP($B421,'Cronog. e Histog.'!$BZ:$BZ,'Cronog. e Histog.'!CU:CU),"")</f>
        <v/>
      </c>
      <c r="AA421" s="144" t="str">
        <f>IFERROR(_xlfn.XLOOKUP($B421,'Cronog. e Histog.'!$BZ:$BZ,'Cronog. e Histog.'!CV:CV),"")</f>
        <v/>
      </c>
      <c r="AB421" s="144" t="str">
        <f>IFERROR(_xlfn.XLOOKUP($B421,'Cronog. e Histog.'!$BZ:$BZ,'Cronog. e Histog.'!CW:CW),"")</f>
        <v/>
      </c>
      <c r="AC421" s="144" t="str">
        <f>IFERROR(_xlfn.XLOOKUP($B421,'Cronog. e Histog.'!$BZ:$BZ,'Cronog. e Histog.'!CX:CX),"")</f>
        <v/>
      </c>
      <c r="AD421" s="144" t="str">
        <f>IFERROR(_xlfn.XLOOKUP($B421,'Cronog. e Histog.'!$BZ:$BZ,'Cronog. e Histog.'!CY:CY),"")</f>
        <v/>
      </c>
      <c r="AE421" s="144" t="str">
        <f>IFERROR(_xlfn.XLOOKUP($B421,'Cronog. e Histog.'!$BZ:$BZ,'Cronog. e Histog.'!CZ:CZ),"")</f>
        <v/>
      </c>
      <c r="AF421" s="144" t="str">
        <f>IFERROR(_xlfn.XLOOKUP($B421,'Cronog. e Histog.'!$BZ:$BZ,'Cronog. e Histog.'!DA:DA),"")</f>
        <v/>
      </c>
      <c r="AG421" s="144" t="str">
        <f>IFERROR(_xlfn.XLOOKUP($B421,'Cronog. e Histog.'!$BZ:$BZ,'Cronog. e Histog.'!DB:DB),"")</f>
        <v/>
      </c>
      <c r="AH421" s="144" t="str">
        <f>IFERROR(_xlfn.XLOOKUP($B421,'Cronog. e Histog.'!$BZ:$BZ,'Cronog. e Histog.'!DC:DC),"")</f>
        <v/>
      </c>
      <c r="AI421" s="144" t="str">
        <f>IFERROR(_xlfn.XLOOKUP($B421,'Cronog. e Histog.'!$BZ:$BZ,'Cronog. e Histog.'!DD:DD),"")</f>
        <v/>
      </c>
      <c r="AJ421" s="144" t="str">
        <f>IFERROR(_xlfn.XLOOKUP($B421,'Cronog. e Histog.'!$BZ:$BZ,'Cronog. e Histog.'!DE:DE),"")</f>
        <v/>
      </c>
      <c r="AK421" s="144" t="str">
        <f>IFERROR(_xlfn.XLOOKUP($B421,'Cronog. e Histog.'!$BZ:$BZ,'Cronog. e Histog.'!DF:DF),"")</f>
        <v/>
      </c>
      <c r="AL421" s="144" t="str">
        <f>IFERROR(_xlfn.XLOOKUP($B421,'Cronog. e Histog.'!$BZ:$BZ,'Cronog. e Histog.'!DG:DG),"")</f>
        <v/>
      </c>
      <c r="AM421" s="144" t="str">
        <f>IFERROR(_xlfn.XLOOKUP($B421,'Cronog. e Histog.'!$BZ:$BZ,'Cronog. e Histog.'!DH:DH),"")</f>
        <v/>
      </c>
      <c r="AN421" s="144" t="str">
        <f>IFERROR(_xlfn.XLOOKUP($B421,'Cronog. e Histog.'!$BZ:$BZ,'Cronog. e Histog.'!DI:DI),"")</f>
        <v/>
      </c>
      <c r="AO421" s="144" t="str">
        <f>IFERROR(_xlfn.XLOOKUP($B421,'Cronog. e Histog.'!$BZ:$BZ,'Cronog. e Histog.'!DJ:DJ),"")</f>
        <v/>
      </c>
      <c r="AP421" s="144" t="str">
        <f>IFERROR(_xlfn.XLOOKUP($B421,'Cronog. e Histog.'!$BZ:$BZ,'Cronog. e Histog.'!DK:DK),"")</f>
        <v/>
      </c>
      <c r="AQ421" s="144" t="str">
        <f>IFERROR(_xlfn.XLOOKUP($B421,'Cronog. e Histog.'!$BZ:$BZ,'Cronog. e Histog.'!DL:DL),"")</f>
        <v/>
      </c>
      <c r="AR421" s="144" t="str">
        <f>IFERROR(_xlfn.XLOOKUP($B421,'Cronog. e Histog.'!$BZ:$BZ,'Cronog. e Histog.'!DM:DM),"")</f>
        <v/>
      </c>
      <c r="AS421" s="144" t="str">
        <f>IFERROR(_xlfn.XLOOKUP($B421,'Cronog. e Histog.'!$BZ:$BZ,'Cronog. e Histog.'!DN:DN),"")</f>
        <v/>
      </c>
      <c r="AT421" s="144" t="str">
        <f>IFERROR(_xlfn.XLOOKUP($B421,'Cronog. e Histog.'!$BZ:$BZ,'Cronog. e Histog.'!DO:DO),"")</f>
        <v/>
      </c>
      <c r="AU421" s="144" t="str">
        <f>IFERROR(_xlfn.XLOOKUP($B421,'Cronog. e Histog.'!$BZ:$BZ,'Cronog. e Histog.'!DP:DP),"")</f>
        <v/>
      </c>
      <c r="AV421" s="144" t="str">
        <f>IFERROR(_xlfn.XLOOKUP($B421,'Cronog. e Histog.'!$BZ:$BZ,'Cronog. e Histog.'!DQ:DQ),"")</f>
        <v/>
      </c>
      <c r="AW421" s="144" t="str">
        <f>IFERROR(_xlfn.XLOOKUP($B421,'Cronog. e Histog.'!$BZ:$BZ,'Cronog. e Histog.'!DR:DR),"")</f>
        <v/>
      </c>
      <c r="AX421" s="144" t="str">
        <f>IFERROR(_xlfn.XLOOKUP($B421,'Cronog. e Histog.'!$BZ:$BZ,'Cronog. e Histog.'!DS:DS),"")</f>
        <v/>
      </c>
      <c r="AY421" s="144" t="str">
        <f>IFERROR(_xlfn.XLOOKUP($B421,'Cronog. e Histog.'!$BZ:$BZ,'Cronog. e Histog.'!DT:DT),"")</f>
        <v/>
      </c>
      <c r="AZ421" s="144" t="str">
        <f>IFERROR(_xlfn.XLOOKUP($B421,'Cronog. e Histog.'!$BZ:$BZ,'Cronog. e Histog.'!DU:DU),"")</f>
        <v/>
      </c>
      <c r="BA421" s="144" t="str">
        <f>IFERROR(_xlfn.XLOOKUP($B421,'Cronog. e Histog.'!$BZ:$BZ,'Cronog. e Histog.'!DV:DV),"")</f>
        <v/>
      </c>
      <c r="BB421" s="144" t="str">
        <f>IFERROR(_xlfn.XLOOKUP($B421,'Cronog. e Histog.'!$BZ:$BZ,'Cronog. e Histog.'!DW:DW),"")</f>
        <v/>
      </c>
      <c r="BC421" s="144" t="str">
        <f>IFERROR(_xlfn.XLOOKUP($B421,'Cronog. e Histog.'!$BZ:$BZ,'Cronog. e Histog.'!DX:DX),"")</f>
        <v/>
      </c>
      <c r="BD421" s="144" t="str">
        <f>IFERROR(_xlfn.XLOOKUP($B421,'Cronog. e Histog.'!$BZ:$BZ,'Cronog. e Histog.'!DY:DY),"")</f>
        <v/>
      </c>
      <c r="BE421" s="144" t="str">
        <f>IFERROR(_xlfn.XLOOKUP($B421,'Cronog. e Histog.'!$BZ:$BZ,'Cronog. e Histog.'!DZ:DZ),"")</f>
        <v/>
      </c>
      <c r="BF421" s="144" t="str">
        <f>IFERROR(_xlfn.XLOOKUP($B421,'Cronog. e Histog.'!$BZ:$BZ,'Cronog. e Histog.'!EA:EA),"")</f>
        <v/>
      </c>
      <c r="BG421" s="144" t="str">
        <f>IFERROR(_xlfn.XLOOKUP($B421,'Cronog. e Histog.'!$BZ:$BZ,'Cronog. e Histog.'!EB:EB),"")</f>
        <v/>
      </c>
      <c r="BH421" s="144" t="str">
        <f>IFERROR(_xlfn.XLOOKUP($B421,'Cronog. e Histog.'!$BZ:$BZ,'Cronog. e Histog.'!EC:EC),"")</f>
        <v/>
      </c>
      <c r="BI421" s="144" t="str">
        <f>IFERROR(_xlfn.XLOOKUP($B421,'Cronog. e Histog.'!$BZ:$BZ,'Cronog. e Histog.'!ED:ED),"")</f>
        <v/>
      </c>
      <c r="BJ421" s="144" t="str">
        <f>IFERROR(_xlfn.XLOOKUP($B421,'Cronog. e Histog.'!$BZ:$BZ,'Cronog. e Histog.'!EE:EE),"")</f>
        <v/>
      </c>
      <c r="BK421" s="144" t="str">
        <f>IFERROR(_xlfn.XLOOKUP($B421,'Cronog. e Histog.'!$BZ:$BZ,'Cronog. e Histog.'!EF:EF),"")</f>
        <v/>
      </c>
      <c r="BL421" s="144" t="str">
        <f>IFERROR(_xlfn.XLOOKUP($B421,'Cronog. e Histog.'!$BZ:$BZ,'Cronog. e Histog.'!EG:EG),"")</f>
        <v/>
      </c>
      <c r="BM421" s="144" t="str">
        <f>IFERROR(_xlfn.XLOOKUP($B421,'Cronog. e Histog.'!$BZ:$BZ,'Cronog. e Histog.'!EH:EH),"")</f>
        <v/>
      </c>
      <c r="BN421" s="144" t="str">
        <f>IFERROR(_xlfn.XLOOKUP($B421,'Cronog. e Histog.'!$BZ:$BZ,'Cronog. e Histog.'!EI:EI),"")</f>
        <v/>
      </c>
    </row>
    <row r="422" spans="2:66" ht="12" hidden="1" customHeight="1" outlineLevel="1">
      <c r="B422" s="76">
        <v>416</v>
      </c>
      <c r="C422" s="143" t="str">
        <f>IFERROR(VLOOKUP(B422,'Cronog. e Histog.'!$BZ$213:$CA$747,2,0),"")</f>
        <v/>
      </c>
      <c r="D422" s="144">
        <f t="shared" si="6"/>
        <v>0</v>
      </c>
      <c r="E422" s="144">
        <f t="shared" si="7"/>
        <v>0</v>
      </c>
      <c r="F422" s="65"/>
      <c r="G422" s="144" t="str">
        <f>IFERROR(_xlfn.XLOOKUP($B422,'Cronog. e Histog.'!$BZ:$BZ,'Cronog. e Histog.'!CB:CB),"")</f>
        <v/>
      </c>
      <c r="H422" s="144" t="str">
        <f>IFERROR(_xlfn.XLOOKUP($B422,'Cronog. e Histog.'!$BZ:$BZ,'Cronog. e Histog.'!CC:CC),"")</f>
        <v/>
      </c>
      <c r="I422" s="144" t="str">
        <f>IFERROR(_xlfn.XLOOKUP($B422,'Cronog. e Histog.'!$BZ:$BZ,'Cronog. e Histog.'!CD:CD),"")</f>
        <v/>
      </c>
      <c r="J422" s="144" t="str">
        <f>IFERROR(_xlfn.XLOOKUP($B422,'Cronog. e Histog.'!$BZ:$BZ,'Cronog. e Histog.'!CE:CE),"")</f>
        <v/>
      </c>
      <c r="K422" s="144" t="str">
        <f>IFERROR(_xlfn.XLOOKUP($B422,'Cronog. e Histog.'!$BZ:$BZ,'Cronog. e Histog.'!CF:CF),"")</f>
        <v/>
      </c>
      <c r="L422" s="144" t="str">
        <f>IFERROR(_xlfn.XLOOKUP($B422,'Cronog. e Histog.'!$BZ:$BZ,'Cronog. e Histog.'!CG:CG),"")</f>
        <v/>
      </c>
      <c r="M422" s="144" t="str">
        <f>IFERROR(_xlfn.XLOOKUP($B422,'Cronog. e Histog.'!$BZ:$BZ,'Cronog. e Histog.'!CH:CH),"")</f>
        <v/>
      </c>
      <c r="N422" s="144" t="str">
        <f>IFERROR(_xlfn.XLOOKUP($B422,'Cronog. e Histog.'!$BZ:$BZ,'Cronog. e Histog.'!CI:CI),"")</f>
        <v/>
      </c>
      <c r="O422" s="144" t="str">
        <f>IFERROR(_xlfn.XLOOKUP($B422,'Cronog. e Histog.'!$BZ:$BZ,'Cronog. e Histog.'!CJ:CJ),"")</f>
        <v/>
      </c>
      <c r="P422" s="144" t="str">
        <f>IFERROR(_xlfn.XLOOKUP($B422,'Cronog. e Histog.'!$BZ:$BZ,'Cronog. e Histog.'!CK:CK),"")</f>
        <v/>
      </c>
      <c r="Q422" s="144" t="str">
        <f>IFERROR(_xlfn.XLOOKUP($B422,'Cronog. e Histog.'!$BZ:$BZ,'Cronog. e Histog.'!CL:CL),"")</f>
        <v/>
      </c>
      <c r="R422" s="144" t="str">
        <f>IFERROR(_xlfn.XLOOKUP($B422,'Cronog. e Histog.'!$BZ:$BZ,'Cronog. e Histog.'!CM:CM),"")</f>
        <v/>
      </c>
      <c r="S422" s="144" t="str">
        <f>IFERROR(_xlfn.XLOOKUP($B422,'Cronog. e Histog.'!$BZ:$BZ,'Cronog. e Histog.'!CN:CN),"")</f>
        <v/>
      </c>
      <c r="T422" s="144" t="str">
        <f>IFERROR(_xlfn.XLOOKUP($B422,'Cronog. e Histog.'!$BZ:$BZ,'Cronog. e Histog.'!CO:CO),"")</f>
        <v/>
      </c>
      <c r="U422" s="144" t="str">
        <f>IFERROR(_xlfn.XLOOKUP($B422,'Cronog. e Histog.'!$BZ:$BZ,'Cronog. e Histog.'!CP:CP),"")</f>
        <v/>
      </c>
      <c r="V422" s="144" t="str">
        <f>IFERROR(_xlfn.XLOOKUP($B422,'Cronog. e Histog.'!$BZ:$BZ,'Cronog. e Histog.'!CQ:CQ),"")</f>
        <v/>
      </c>
      <c r="W422" s="144" t="str">
        <f>IFERROR(_xlfn.XLOOKUP($B422,'Cronog. e Histog.'!$BZ:$BZ,'Cronog. e Histog.'!CR:CR),"")</f>
        <v/>
      </c>
      <c r="X422" s="144" t="str">
        <f>IFERROR(_xlfn.XLOOKUP($B422,'Cronog. e Histog.'!$BZ:$BZ,'Cronog. e Histog.'!CS:CS),"")</f>
        <v/>
      </c>
      <c r="Y422" s="144" t="str">
        <f>IFERROR(_xlfn.XLOOKUP($B422,'Cronog. e Histog.'!$BZ:$BZ,'Cronog. e Histog.'!CT:CT),"")</f>
        <v/>
      </c>
      <c r="Z422" s="144" t="str">
        <f>IFERROR(_xlfn.XLOOKUP($B422,'Cronog. e Histog.'!$BZ:$BZ,'Cronog. e Histog.'!CU:CU),"")</f>
        <v/>
      </c>
      <c r="AA422" s="144" t="str">
        <f>IFERROR(_xlfn.XLOOKUP($B422,'Cronog. e Histog.'!$BZ:$BZ,'Cronog. e Histog.'!CV:CV),"")</f>
        <v/>
      </c>
      <c r="AB422" s="144" t="str">
        <f>IFERROR(_xlfn.XLOOKUP($B422,'Cronog. e Histog.'!$BZ:$BZ,'Cronog. e Histog.'!CW:CW),"")</f>
        <v/>
      </c>
      <c r="AC422" s="144" t="str">
        <f>IFERROR(_xlfn.XLOOKUP($B422,'Cronog. e Histog.'!$BZ:$BZ,'Cronog. e Histog.'!CX:CX),"")</f>
        <v/>
      </c>
      <c r="AD422" s="144" t="str">
        <f>IFERROR(_xlfn.XLOOKUP($B422,'Cronog. e Histog.'!$BZ:$BZ,'Cronog. e Histog.'!CY:CY),"")</f>
        <v/>
      </c>
      <c r="AE422" s="144" t="str">
        <f>IFERROR(_xlfn.XLOOKUP($B422,'Cronog. e Histog.'!$BZ:$BZ,'Cronog. e Histog.'!CZ:CZ),"")</f>
        <v/>
      </c>
      <c r="AF422" s="144" t="str">
        <f>IFERROR(_xlfn.XLOOKUP($B422,'Cronog. e Histog.'!$BZ:$BZ,'Cronog. e Histog.'!DA:DA),"")</f>
        <v/>
      </c>
      <c r="AG422" s="144" t="str">
        <f>IFERROR(_xlfn.XLOOKUP($B422,'Cronog. e Histog.'!$BZ:$BZ,'Cronog. e Histog.'!DB:DB),"")</f>
        <v/>
      </c>
      <c r="AH422" s="144" t="str">
        <f>IFERROR(_xlfn.XLOOKUP($B422,'Cronog. e Histog.'!$BZ:$BZ,'Cronog. e Histog.'!DC:DC),"")</f>
        <v/>
      </c>
      <c r="AI422" s="144" t="str">
        <f>IFERROR(_xlfn.XLOOKUP($B422,'Cronog. e Histog.'!$BZ:$BZ,'Cronog. e Histog.'!DD:DD),"")</f>
        <v/>
      </c>
      <c r="AJ422" s="144" t="str">
        <f>IFERROR(_xlfn.XLOOKUP($B422,'Cronog. e Histog.'!$BZ:$BZ,'Cronog. e Histog.'!DE:DE),"")</f>
        <v/>
      </c>
      <c r="AK422" s="144" t="str">
        <f>IFERROR(_xlfn.XLOOKUP($B422,'Cronog. e Histog.'!$BZ:$BZ,'Cronog. e Histog.'!DF:DF),"")</f>
        <v/>
      </c>
      <c r="AL422" s="144" t="str">
        <f>IFERROR(_xlfn.XLOOKUP($B422,'Cronog. e Histog.'!$BZ:$BZ,'Cronog. e Histog.'!DG:DG),"")</f>
        <v/>
      </c>
      <c r="AM422" s="144" t="str">
        <f>IFERROR(_xlfn.XLOOKUP($B422,'Cronog. e Histog.'!$BZ:$BZ,'Cronog. e Histog.'!DH:DH),"")</f>
        <v/>
      </c>
      <c r="AN422" s="144" t="str">
        <f>IFERROR(_xlfn.XLOOKUP($B422,'Cronog. e Histog.'!$BZ:$BZ,'Cronog. e Histog.'!DI:DI),"")</f>
        <v/>
      </c>
      <c r="AO422" s="144" t="str">
        <f>IFERROR(_xlfn.XLOOKUP($B422,'Cronog. e Histog.'!$BZ:$BZ,'Cronog. e Histog.'!DJ:DJ),"")</f>
        <v/>
      </c>
      <c r="AP422" s="144" t="str">
        <f>IFERROR(_xlfn.XLOOKUP($B422,'Cronog. e Histog.'!$BZ:$BZ,'Cronog. e Histog.'!DK:DK),"")</f>
        <v/>
      </c>
      <c r="AQ422" s="144" t="str">
        <f>IFERROR(_xlfn.XLOOKUP($B422,'Cronog. e Histog.'!$BZ:$BZ,'Cronog. e Histog.'!DL:DL),"")</f>
        <v/>
      </c>
      <c r="AR422" s="144" t="str">
        <f>IFERROR(_xlfn.XLOOKUP($B422,'Cronog. e Histog.'!$BZ:$BZ,'Cronog. e Histog.'!DM:DM),"")</f>
        <v/>
      </c>
      <c r="AS422" s="144" t="str">
        <f>IFERROR(_xlfn.XLOOKUP($B422,'Cronog. e Histog.'!$BZ:$BZ,'Cronog. e Histog.'!DN:DN),"")</f>
        <v/>
      </c>
      <c r="AT422" s="144" t="str">
        <f>IFERROR(_xlfn.XLOOKUP($B422,'Cronog. e Histog.'!$BZ:$BZ,'Cronog. e Histog.'!DO:DO),"")</f>
        <v/>
      </c>
      <c r="AU422" s="144" t="str">
        <f>IFERROR(_xlfn.XLOOKUP($B422,'Cronog. e Histog.'!$BZ:$BZ,'Cronog. e Histog.'!DP:DP),"")</f>
        <v/>
      </c>
      <c r="AV422" s="144" t="str">
        <f>IFERROR(_xlfn.XLOOKUP($B422,'Cronog. e Histog.'!$BZ:$BZ,'Cronog. e Histog.'!DQ:DQ),"")</f>
        <v/>
      </c>
      <c r="AW422" s="144" t="str">
        <f>IFERROR(_xlfn.XLOOKUP($B422,'Cronog. e Histog.'!$BZ:$BZ,'Cronog. e Histog.'!DR:DR),"")</f>
        <v/>
      </c>
      <c r="AX422" s="144" t="str">
        <f>IFERROR(_xlfn.XLOOKUP($B422,'Cronog. e Histog.'!$BZ:$BZ,'Cronog. e Histog.'!DS:DS),"")</f>
        <v/>
      </c>
      <c r="AY422" s="144" t="str">
        <f>IFERROR(_xlfn.XLOOKUP($B422,'Cronog. e Histog.'!$BZ:$BZ,'Cronog. e Histog.'!DT:DT),"")</f>
        <v/>
      </c>
      <c r="AZ422" s="144" t="str">
        <f>IFERROR(_xlfn.XLOOKUP($B422,'Cronog. e Histog.'!$BZ:$BZ,'Cronog. e Histog.'!DU:DU),"")</f>
        <v/>
      </c>
      <c r="BA422" s="144" t="str">
        <f>IFERROR(_xlfn.XLOOKUP($B422,'Cronog. e Histog.'!$BZ:$BZ,'Cronog. e Histog.'!DV:DV),"")</f>
        <v/>
      </c>
      <c r="BB422" s="144" t="str">
        <f>IFERROR(_xlfn.XLOOKUP($B422,'Cronog. e Histog.'!$BZ:$BZ,'Cronog. e Histog.'!DW:DW),"")</f>
        <v/>
      </c>
      <c r="BC422" s="144" t="str">
        <f>IFERROR(_xlfn.XLOOKUP($B422,'Cronog. e Histog.'!$BZ:$BZ,'Cronog. e Histog.'!DX:DX),"")</f>
        <v/>
      </c>
      <c r="BD422" s="144" t="str">
        <f>IFERROR(_xlfn.XLOOKUP($B422,'Cronog. e Histog.'!$BZ:$BZ,'Cronog. e Histog.'!DY:DY),"")</f>
        <v/>
      </c>
      <c r="BE422" s="144" t="str">
        <f>IFERROR(_xlfn.XLOOKUP($B422,'Cronog. e Histog.'!$BZ:$BZ,'Cronog. e Histog.'!DZ:DZ),"")</f>
        <v/>
      </c>
      <c r="BF422" s="144" t="str">
        <f>IFERROR(_xlfn.XLOOKUP($B422,'Cronog. e Histog.'!$BZ:$BZ,'Cronog. e Histog.'!EA:EA),"")</f>
        <v/>
      </c>
      <c r="BG422" s="144" t="str">
        <f>IFERROR(_xlfn.XLOOKUP($B422,'Cronog. e Histog.'!$BZ:$BZ,'Cronog. e Histog.'!EB:EB),"")</f>
        <v/>
      </c>
      <c r="BH422" s="144" t="str">
        <f>IFERROR(_xlfn.XLOOKUP($B422,'Cronog. e Histog.'!$BZ:$BZ,'Cronog. e Histog.'!EC:EC),"")</f>
        <v/>
      </c>
      <c r="BI422" s="144" t="str">
        <f>IFERROR(_xlfn.XLOOKUP($B422,'Cronog. e Histog.'!$BZ:$BZ,'Cronog. e Histog.'!ED:ED),"")</f>
        <v/>
      </c>
      <c r="BJ422" s="144" t="str">
        <f>IFERROR(_xlfn.XLOOKUP($B422,'Cronog. e Histog.'!$BZ:$BZ,'Cronog. e Histog.'!EE:EE),"")</f>
        <v/>
      </c>
      <c r="BK422" s="144" t="str">
        <f>IFERROR(_xlfn.XLOOKUP($B422,'Cronog. e Histog.'!$BZ:$BZ,'Cronog. e Histog.'!EF:EF),"")</f>
        <v/>
      </c>
      <c r="BL422" s="144" t="str">
        <f>IFERROR(_xlfn.XLOOKUP($B422,'Cronog. e Histog.'!$BZ:$BZ,'Cronog. e Histog.'!EG:EG),"")</f>
        <v/>
      </c>
      <c r="BM422" s="144" t="str">
        <f>IFERROR(_xlfn.XLOOKUP($B422,'Cronog. e Histog.'!$BZ:$BZ,'Cronog. e Histog.'!EH:EH),"")</f>
        <v/>
      </c>
      <c r="BN422" s="144" t="str">
        <f>IFERROR(_xlfn.XLOOKUP($B422,'Cronog. e Histog.'!$BZ:$BZ,'Cronog. e Histog.'!EI:EI),"")</f>
        <v/>
      </c>
    </row>
    <row r="423" spans="2:66" ht="12" hidden="1" customHeight="1" outlineLevel="1">
      <c r="B423" s="76">
        <v>417</v>
      </c>
      <c r="C423" s="143" t="str">
        <f>IFERROR(VLOOKUP(B423,'Cronog. e Histog.'!$BZ$213:$CA$747,2,0),"")</f>
        <v/>
      </c>
      <c r="D423" s="144">
        <f t="shared" si="6"/>
        <v>0</v>
      </c>
      <c r="E423" s="144">
        <f t="shared" si="7"/>
        <v>0</v>
      </c>
      <c r="F423" s="65"/>
      <c r="G423" s="144" t="str">
        <f>IFERROR(_xlfn.XLOOKUP($B423,'Cronog. e Histog.'!$BZ:$BZ,'Cronog. e Histog.'!CB:CB),"")</f>
        <v/>
      </c>
      <c r="H423" s="144" t="str">
        <f>IFERROR(_xlfn.XLOOKUP($B423,'Cronog. e Histog.'!$BZ:$BZ,'Cronog. e Histog.'!CC:CC),"")</f>
        <v/>
      </c>
      <c r="I423" s="144" t="str">
        <f>IFERROR(_xlfn.XLOOKUP($B423,'Cronog. e Histog.'!$BZ:$BZ,'Cronog. e Histog.'!CD:CD),"")</f>
        <v/>
      </c>
      <c r="J423" s="144" t="str">
        <f>IFERROR(_xlfn.XLOOKUP($B423,'Cronog. e Histog.'!$BZ:$BZ,'Cronog. e Histog.'!CE:CE),"")</f>
        <v/>
      </c>
      <c r="K423" s="144" t="str">
        <f>IFERROR(_xlfn.XLOOKUP($B423,'Cronog. e Histog.'!$BZ:$BZ,'Cronog. e Histog.'!CF:CF),"")</f>
        <v/>
      </c>
      <c r="L423" s="144" t="str">
        <f>IFERROR(_xlfn.XLOOKUP($B423,'Cronog. e Histog.'!$BZ:$BZ,'Cronog. e Histog.'!CG:CG),"")</f>
        <v/>
      </c>
      <c r="M423" s="144" t="str">
        <f>IFERROR(_xlfn.XLOOKUP($B423,'Cronog. e Histog.'!$BZ:$BZ,'Cronog. e Histog.'!CH:CH),"")</f>
        <v/>
      </c>
      <c r="N423" s="144" t="str">
        <f>IFERROR(_xlfn.XLOOKUP($B423,'Cronog. e Histog.'!$BZ:$BZ,'Cronog. e Histog.'!CI:CI),"")</f>
        <v/>
      </c>
      <c r="O423" s="144" t="str">
        <f>IFERROR(_xlfn.XLOOKUP($B423,'Cronog. e Histog.'!$BZ:$BZ,'Cronog. e Histog.'!CJ:CJ),"")</f>
        <v/>
      </c>
      <c r="P423" s="144" t="str">
        <f>IFERROR(_xlfn.XLOOKUP($B423,'Cronog. e Histog.'!$BZ:$BZ,'Cronog. e Histog.'!CK:CK),"")</f>
        <v/>
      </c>
      <c r="Q423" s="144" t="str">
        <f>IFERROR(_xlfn.XLOOKUP($B423,'Cronog. e Histog.'!$BZ:$BZ,'Cronog. e Histog.'!CL:CL),"")</f>
        <v/>
      </c>
      <c r="R423" s="144" t="str">
        <f>IFERROR(_xlfn.XLOOKUP($B423,'Cronog. e Histog.'!$BZ:$BZ,'Cronog. e Histog.'!CM:CM),"")</f>
        <v/>
      </c>
      <c r="S423" s="144" t="str">
        <f>IFERROR(_xlfn.XLOOKUP($B423,'Cronog. e Histog.'!$BZ:$BZ,'Cronog. e Histog.'!CN:CN),"")</f>
        <v/>
      </c>
      <c r="T423" s="144" t="str">
        <f>IFERROR(_xlfn.XLOOKUP($B423,'Cronog. e Histog.'!$BZ:$BZ,'Cronog. e Histog.'!CO:CO),"")</f>
        <v/>
      </c>
      <c r="U423" s="144" t="str">
        <f>IFERROR(_xlfn.XLOOKUP($B423,'Cronog. e Histog.'!$BZ:$BZ,'Cronog. e Histog.'!CP:CP),"")</f>
        <v/>
      </c>
      <c r="V423" s="144" t="str">
        <f>IFERROR(_xlfn.XLOOKUP($B423,'Cronog. e Histog.'!$BZ:$BZ,'Cronog. e Histog.'!CQ:CQ),"")</f>
        <v/>
      </c>
      <c r="W423" s="144" t="str">
        <f>IFERROR(_xlfn.XLOOKUP($B423,'Cronog. e Histog.'!$BZ:$BZ,'Cronog. e Histog.'!CR:CR),"")</f>
        <v/>
      </c>
      <c r="X423" s="144" t="str">
        <f>IFERROR(_xlfn.XLOOKUP($B423,'Cronog. e Histog.'!$BZ:$BZ,'Cronog. e Histog.'!CS:CS),"")</f>
        <v/>
      </c>
      <c r="Y423" s="144" t="str">
        <f>IFERROR(_xlfn.XLOOKUP($B423,'Cronog. e Histog.'!$BZ:$BZ,'Cronog. e Histog.'!CT:CT),"")</f>
        <v/>
      </c>
      <c r="Z423" s="144" t="str">
        <f>IFERROR(_xlfn.XLOOKUP($B423,'Cronog. e Histog.'!$BZ:$BZ,'Cronog. e Histog.'!CU:CU),"")</f>
        <v/>
      </c>
      <c r="AA423" s="144" t="str">
        <f>IFERROR(_xlfn.XLOOKUP($B423,'Cronog. e Histog.'!$BZ:$BZ,'Cronog. e Histog.'!CV:CV),"")</f>
        <v/>
      </c>
      <c r="AB423" s="144" t="str">
        <f>IFERROR(_xlfn.XLOOKUP($B423,'Cronog. e Histog.'!$BZ:$BZ,'Cronog. e Histog.'!CW:CW),"")</f>
        <v/>
      </c>
      <c r="AC423" s="144" t="str">
        <f>IFERROR(_xlfn.XLOOKUP($B423,'Cronog. e Histog.'!$BZ:$BZ,'Cronog. e Histog.'!CX:CX),"")</f>
        <v/>
      </c>
      <c r="AD423" s="144" t="str">
        <f>IFERROR(_xlfn.XLOOKUP($B423,'Cronog. e Histog.'!$BZ:$BZ,'Cronog. e Histog.'!CY:CY),"")</f>
        <v/>
      </c>
      <c r="AE423" s="144" t="str">
        <f>IFERROR(_xlfn.XLOOKUP($B423,'Cronog. e Histog.'!$BZ:$BZ,'Cronog. e Histog.'!CZ:CZ),"")</f>
        <v/>
      </c>
      <c r="AF423" s="144" t="str">
        <f>IFERROR(_xlfn.XLOOKUP($B423,'Cronog. e Histog.'!$BZ:$BZ,'Cronog. e Histog.'!DA:DA),"")</f>
        <v/>
      </c>
      <c r="AG423" s="144" t="str">
        <f>IFERROR(_xlfn.XLOOKUP($B423,'Cronog. e Histog.'!$BZ:$BZ,'Cronog. e Histog.'!DB:DB),"")</f>
        <v/>
      </c>
      <c r="AH423" s="144" t="str">
        <f>IFERROR(_xlfn.XLOOKUP($B423,'Cronog. e Histog.'!$BZ:$BZ,'Cronog. e Histog.'!DC:DC),"")</f>
        <v/>
      </c>
      <c r="AI423" s="144" t="str">
        <f>IFERROR(_xlfn.XLOOKUP($B423,'Cronog. e Histog.'!$BZ:$BZ,'Cronog. e Histog.'!DD:DD),"")</f>
        <v/>
      </c>
      <c r="AJ423" s="144" t="str">
        <f>IFERROR(_xlfn.XLOOKUP($B423,'Cronog. e Histog.'!$BZ:$BZ,'Cronog. e Histog.'!DE:DE),"")</f>
        <v/>
      </c>
      <c r="AK423" s="144" t="str">
        <f>IFERROR(_xlfn.XLOOKUP($B423,'Cronog. e Histog.'!$BZ:$BZ,'Cronog. e Histog.'!DF:DF),"")</f>
        <v/>
      </c>
      <c r="AL423" s="144" t="str">
        <f>IFERROR(_xlfn.XLOOKUP($B423,'Cronog. e Histog.'!$BZ:$BZ,'Cronog. e Histog.'!DG:DG),"")</f>
        <v/>
      </c>
      <c r="AM423" s="144" t="str">
        <f>IFERROR(_xlfn.XLOOKUP($B423,'Cronog. e Histog.'!$BZ:$BZ,'Cronog. e Histog.'!DH:DH),"")</f>
        <v/>
      </c>
      <c r="AN423" s="144" t="str">
        <f>IFERROR(_xlfn.XLOOKUP($B423,'Cronog. e Histog.'!$BZ:$BZ,'Cronog. e Histog.'!DI:DI),"")</f>
        <v/>
      </c>
      <c r="AO423" s="144" t="str">
        <f>IFERROR(_xlfn.XLOOKUP($B423,'Cronog. e Histog.'!$BZ:$BZ,'Cronog. e Histog.'!DJ:DJ),"")</f>
        <v/>
      </c>
      <c r="AP423" s="144" t="str">
        <f>IFERROR(_xlfn.XLOOKUP($B423,'Cronog. e Histog.'!$BZ:$BZ,'Cronog. e Histog.'!DK:DK),"")</f>
        <v/>
      </c>
      <c r="AQ423" s="144" t="str">
        <f>IFERROR(_xlfn.XLOOKUP($B423,'Cronog. e Histog.'!$BZ:$BZ,'Cronog. e Histog.'!DL:DL),"")</f>
        <v/>
      </c>
      <c r="AR423" s="144" t="str">
        <f>IFERROR(_xlfn.XLOOKUP($B423,'Cronog. e Histog.'!$BZ:$BZ,'Cronog. e Histog.'!DM:DM),"")</f>
        <v/>
      </c>
      <c r="AS423" s="144" t="str">
        <f>IFERROR(_xlfn.XLOOKUP($B423,'Cronog. e Histog.'!$BZ:$BZ,'Cronog. e Histog.'!DN:DN),"")</f>
        <v/>
      </c>
      <c r="AT423" s="144" t="str">
        <f>IFERROR(_xlfn.XLOOKUP($B423,'Cronog. e Histog.'!$BZ:$BZ,'Cronog. e Histog.'!DO:DO),"")</f>
        <v/>
      </c>
      <c r="AU423" s="144" t="str">
        <f>IFERROR(_xlfn.XLOOKUP($B423,'Cronog. e Histog.'!$BZ:$BZ,'Cronog. e Histog.'!DP:DP),"")</f>
        <v/>
      </c>
      <c r="AV423" s="144" t="str">
        <f>IFERROR(_xlfn.XLOOKUP($B423,'Cronog. e Histog.'!$BZ:$BZ,'Cronog. e Histog.'!DQ:DQ),"")</f>
        <v/>
      </c>
      <c r="AW423" s="144" t="str">
        <f>IFERROR(_xlfn.XLOOKUP($B423,'Cronog. e Histog.'!$BZ:$BZ,'Cronog. e Histog.'!DR:DR),"")</f>
        <v/>
      </c>
      <c r="AX423" s="144" t="str">
        <f>IFERROR(_xlfn.XLOOKUP($B423,'Cronog. e Histog.'!$BZ:$BZ,'Cronog. e Histog.'!DS:DS),"")</f>
        <v/>
      </c>
      <c r="AY423" s="144" t="str">
        <f>IFERROR(_xlfn.XLOOKUP($B423,'Cronog. e Histog.'!$BZ:$BZ,'Cronog. e Histog.'!DT:DT),"")</f>
        <v/>
      </c>
      <c r="AZ423" s="144" t="str">
        <f>IFERROR(_xlfn.XLOOKUP($B423,'Cronog. e Histog.'!$BZ:$BZ,'Cronog. e Histog.'!DU:DU),"")</f>
        <v/>
      </c>
      <c r="BA423" s="144" t="str">
        <f>IFERROR(_xlfn.XLOOKUP($B423,'Cronog. e Histog.'!$BZ:$BZ,'Cronog. e Histog.'!DV:DV),"")</f>
        <v/>
      </c>
      <c r="BB423" s="144" t="str">
        <f>IFERROR(_xlfn.XLOOKUP($B423,'Cronog. e Histog.'!$BZ:$BZ,'Cronog. e Histog.'!DW:DW),"")</f>
        <v/>
      </c>
      <c r="BC423" s="144" t="str">
        <f>IFERROR(_xlfn.XLOOKUP($B423,'Cronog. e Histog.'!$BZ:$BZ,'Cronog. e Histog.'!DX:DX),"")</f>
        <v/>
      </c>
      <c r="BD423" s="144" t="str">
        <f>IFERROR(_xlfn.XLOOKUP($B423,'Cronog. e Histog.'!$BZ:$BZ,'Cronog. e Histog.'!DY:DY),"")</f>
        <v/>
      </c>
      <c r="BE423" s="144" t="str">
        <f>IFERROR(_xlfn.XLOOKUP($B423,'Cronog. e Histog.'!$BZ:$BZ,'Cronog. e Histog.'!DZ:DZ),"")</f>
        <v/>
      </c>
      <c r="BF423" s="144" t="str">
        <f>IFERROR(_xlfn.XLOOKUP($B423,'Cronog. e Histog.'!$BZ:$BZ,'Cronog. e Histog.'!EA:EA),"")</f>
        <v/>
      </c>
      <c r="BG423" s="144" t="str">
        <f>IFERROR(_xlfn.XLOOKUP($B423,'Cronog. e Histog.'!$BZ:$BZ,'Cronog. e Histog.'!EB:EB),"")</f>
        <v/>
      </c>
      <c r="BH423" s="144" t="str">
        <f>IFERROR(_xlfn.XLOOKUP($B423,'Cronog. e Histog.'!$BZ:$BZ,'Cronog. e Histog.'!EC:EC),"")</f>
        <v/>
      </c>
      <c r="BI423" s="144" t="str">
        <f>IFERROR(_xlfn.XLOOKUP($B423,'Cronog. e Histog.'!$BZ:$BZ,'Cronog. e Histog.'!ED:ED),"")</f>
        <v/>
      </c>
      <c r="BJ423" s="144" t="str">
        <f>IFERROR(_xlfn.XLOOKUP($B423,'Cronog. e Histog.'!$BZ:$BZ,'Cronog. e Histog.'!EE:EE),"")</f>
        <v/>
      </c>
      <c r="BK423" s="144" t="str">
        <f>IFERROR(_xlfn.XLOOKUP($B423,'Cronog. e Histog.'!$BZ:$BZ,'Cronog. e Histog.'!EF:EF),"")</f>
        <v/>
      </c>
      <c r="BL423" s="144" t="str">
        <f>IFERROR(_xlfn.XLOOKUP($B423,'Cronog. e Histog.'!$BZ:$BZ,'Cronog. e Histog.'!EG:EG),"")</f>
        <v/>
      </c>
      <c r="BM423" s="144" t="str">
        <f>IFERROR(_xlfn.XLOOKUP($B423,'Cronog. e Histog.'!$BZ:$BZ,'Cronog. e Histog.'!EH:EH),"")</f>
        <v/>
      </c>
      <c r="BN423" s="144" t="str">
        <f>IFERROR(_xlfn.XLOOKUP($B423,'Cronog. e Histog.'!$BZ:$BZ,'Cronog. e Histog.'!EI:EI),"")</f>
        <v/>
      </c>
    </row>
    <row r="424" spans="2:66" ht="12" hidden="1" customHeight="1" outlineLevel="1">
      <c r="B424" s="76">
        <v>418</v>
      </c>
      <c r="C424" s="143" t="str">
        <f>IFERROR(VLOOKUP(B424,'Cronog. e Histog.'!$BZ$213:$CA$747,2,0),"")</f>
        <v/>
      </c>
      <c r="D424" s="144">
        <f t="shared" si="6"/>
        <v>0</v>
      </c>
      <c r="E424" s="144">
        <f t="shared" si="7"/>
        <v>0</v>
      </c>
      <c r="F424" s="65"/>
      <c r="G424" s="144" t="str">
        <f>IFERROR(_xlfn.XLOOKUP($B424,'Cronog. e Histog.'!$BZ:$BZ,'Cronog. e Histog.'!CB:CB),"")</f>
        <v/>
      </c>
      <c r="H424" s="144" t="str">
        <f>IFERROR(_xlfn.XLOOKUP($B424,'Cronog. e Histog.'!$BZ:$BZ,'Cronog. e Histog.'!CC:CC),"")</f>
        <v/>
      </c>
      <c r="I424" s="144" t="str">
        <f>IFERROR(_xlfn.XLOOKUP($B424,'Cronog. e Histog.'!$BZ:$BZ,'Cronog. e Histog.'!CD:CD),"")</f>
        <v/>
      </c>
      <c r="J424" s="144" t="str">
        <f>IFERROR(_xlfn.XLOOKUP($B424,'Cronog. e Histog.'!$BZ:$BZ,'Cronog. e Histog.'!CE:CE),"")</f>
        <v/>
      </c>
      <c r="K424" s="144" t="str">
        <f>IFERROR(_xlfn.XLOOKUP($B424,'Cronog. e Histog.'!$BZ:$BZ,'Cronog. e Histog.'!CF:CF),"")</f>
        <v/>
      </c>
      <c r="L424" s="144" t="str">
        <f>IFERROR(_xlfn.XLOOKUP($B424,'Cronog. e Histog.'!$BZ:$BZ,'Cronog. e Histog.'!CG:CG),"")</f>
        <v/>
      </c>
      <c r="M424" s="144" t="str">
        <f>IFERROR(_xlfn.XLOOKUP($B424,'Cronog. e Histog.'!$BZ:$BZ,'Cronog. e Histog.'!CH:CH),"")</f>
        <v/>
      </c>
      <c r="N424" s="144" t="str">
        <f>IFERROR(_xlfn.XLOOKUP($B424,'Cronog. e Histog.'!$BZ:$BZ,'Cronog. e Histog.'!CI:CI),"")</f>
        <v/>
      </c>
      <c r="O424" s="144" t="str">
        <f>IFERROR(_xlfn.XLOOKUP($B424,'Cronog. e Histog.'!$BZ:$BZ,'Cronog. e Histog.'!CJ:CJ),"")</f>
        <v/>
      </c>
      <c r="P424" s="144" t="str">
        <f>IFERROR(_xlfn.XLOOKUP($B424,'Cronog. e Histog.'!$BZ:$BZ,'Cronog. e Histog.'!CK:CK),"")</f>
        <v/>
      </c>
      <c r="Q424" s="144" t="str">
        <f>IFERROR(_xlfn.XLOOKUP($B424,'Cronog. e Histog.'!$BZ:$BZ,'Cronog. e Histog.'!CL:CL),"")</f>
        <v/>
      </c>
      <c r="R424" s="144" t="str">
        <f>IFERROR(_xlfn.XLOOKUP($B424,'Cronog. e Histog.'!$BZ:$BZ,'Cronog. e Histog.'!CM:CM),"")</f>
        <v/>
      </c>
      <c r="S424" s="144" t="str">
        <f>IFERROR(_xlfn.XLOOKUP($B424,'Cronog. e Histog.'!$BZ:$BZ,'Cronog. e Histog.'!CN:CN),"")</f>
        <v/>
      </c>
      <c r="T424" s="144" t="str">
        <f>IFERROR(_xlfn.XLOOKUP($B424,'Cronog. e Histog.'!$BZ:$BZ,'Cronog. e Histog.'!CO:CO),"")</f>
        <v/>
      </c>
      <c r="U424" s="144" t="str">
        <f>IFERROR(_xlfn.XLOOKUP($B424,'Cronog. e Histog.'!$BZ:$BZ,'Cronog. e Histog.'!CP:CP),"")</f>
        <v/>
      </c>
      <c r="V424" s="144" t="str">
        <f>IFERROR(_xlfn.XLOOKUP($B424,'Cronog. e Histog.'!$BZ:$BZ,'Cronog. e Histog.'!CQ:CQ),"")</f>
        <v/>
      </c>
      <c r="W424" s="144" t="str">
        <f>IFERROR(_xlfn.XLOOKUP($B424,'Cronog. e Histog.'!$BZ:$BZ,'Cronog. e Histog.'!CR:CR),"")</f>
        <v/>
      </c>
      <c r="X424" s="144" t="str">
        <f>IFERROR(_xlfn.XLOOKUP($B424,'Cronog. e Histog.'!$BZ:$BZ,'Cronog. e Histog.'!CS:CS),"")</f>
        <v/>
      </c>
      <c r="Y424" s="144" t="str">
        <f>IFERROR(_xlfn.XLOOKUP($B424,'Cronog. e Histog.'!$BZ:$BZ,'Cronog. e Histog.'!CT:CT),"")</f>
        <v/>
      </c>
      <c r="Z424" s="144" t="str">
        <f>IFERROR(_xlfn.XLOOKUP($B424,'Cronog. e Histog.'!$BZ:$BZ,'Cronog. e Histog.'!CU:CU),"")</f>
        <v/>
      </c>
      <c r="AA424" s="144" t="str">
        <f>IFERROR(_xlfn.XLOOKUP($B424,'Cronog. e Histog.'!$BZ:$BZ,'Cronog. e Histog.'!CV:CV),"")</f>
        <v/>
      </c>
      <c r="AB424" s="144" t="str">
        <f>IFERROR(_xlfn.XLOOKUP($B424,'Cronog. e Histog.'!$BZ:$BZ,'Cronog. e Histog.'!CW:CW),"")</f>
        <v/>
      </c>
      <c r="AC424" s="144" t="str">
        <f>IFERROR(_xlfn.XLOOKUP($B424,'Cronog. e Histog.'!$BZ:$BZ,'Cronog. e Histog.'!CX:CX),"")</f>
        <v/>
      </c>
      <c r="AD424" s="144" t="str">
        <f>IFERROR(_xlfn.XLOOKUP($B424,'Cronog. e Histog.'!$BZ:$BZ,'Cronog. e Histog.'!CY:CY),"")</f>
        <v/>
      </c>
      <c r="AE424" s="144" t="str">
        <f>IFERROR(_xlfn.XLOOKUP($B424,'Cronog. e Histog.'!$BZ:$BZ,'Cronog. e Histog.'!CZ:CZ),"")</f>
        <v/>
      </c>
      <c r="AF424" s="144" t="str">
        <f>IFERROR(_xlfn.XLOOKUP($B424,'Cronog. e Histog.'!$BZ:$BZ,'Cronog. e Histog.'!DA:DA),"")</f>
        <v/>
      </c>
      <c r="AG424" s="144" t="str">
        <f>IFERROR(_xlfn.XLOOKUP($B424,'Cronog. e Histog.'!$BZ:$BZ,'Cronog. e Histog.'!DB:DB),"")</f>
        <v/>
      </c>
      <c r="AH424" s="144" t="str">
        <f>IFERROR(_xlfn.XLOOKUP($B424,'Cronog. e Histog.'!$BZ:$BZ,'Cronog. e Histog.'!DC:DC),"")</f>
        <v/>
      </c>
      <c r="AI424" s="144" t="str">
        <f>IFERROR(_xlfn.XLOOKUP($B424,'Cronog. e Histog.'!$BZ:$BZ,'Cronog. e Histog.'!DD:DD),"")</f>
        <v/>
      </c>
      <c r="AJ424" s="144" t="str">
        <f>IFERROR(_xlfn.XLOOKUP($B424,'Cronog. e Histog.'!$BZ:$BZ,'Cronog. e Histog.'!DE:DE),"")</f>
        <v/>
      </c>
      <c r="AK424" s="144" t="str">
        <f>IFERROR(_xlfn.XLOOKUP($B424,'Cronog. e Histog.'!$BZ:$BZ,'Cronog. e Histog.'!DF:DF),"")</f>
        <v/>
      </c>
      <c r="AL424" s="144" t="str">
        <f>IFERROR(_xlfn.XLOOKUP($B424,'Cronog. e Histog.'!$BZ:$BZ,'Cronog. e Histog.'!DG:DG),"")</f>
        <v/>
      </c>
      <c r="AM424" s="144" t="str">
        <f>IFERROR(_xlfn.XLOOKUP($B424,'Cronog. e Histog.'!$BZ:$BZ,'Cronog. e Histog.'!DH:DH),"")</f>
        <v/>
      </c>
      <c r="AN424" s="144" t="str">
        <f>IFERROR(_xlfn.XLOOKUP($B424,'Cronog. e Histog.'!$BZ:$BZ,'Cronog. e Histog.'!DI:DI),"")</f>
        <v/>
      </c>
      <c r="AO424" s="144" t="str">
        <f>IFERROR(_xlfn.XLOOKUP($B424,'Cronog. e Histog.'!$BZ:$BZ,'Cronog. e Histog.'!DJ:DJ),"")</f>
        <v/>
      </c>
      <c r="AP424" s="144" t="str">
        <f>IFERROR(_xlfn.XLOOKUP($B424,'Cronog. e Histog.'!$BZ:$BZ,'Cronog. e Histog.'!DK:DK),"")</f>
        <v/>
      </c>
      <c r="AQ424" s="144" t="str">
        <f>IFERROR(_xlfn.XLOOKUP($B424,'Cronog. e Histog.'!$BZ:$BZ,'Cronog. e Histog.'!DL:DL),"")</f>
        <v/>
      </c>
      <c r="AR424" s="144" t="str">
        <f>IFERROR(_xlfn.XLOOKUP($B424,'Cronog. e Histog.'!$BZ:$BZ,'Cronog. e Histog.'!DM:DM),"")</f>
        <v/>
      </c>
      <c r="AS424" s="144" t="str">
        <f>IFERROR(_xlfn.XLOOKUP($B424,'Cronog. e Histog.'!$BZ:$BZ,'Cronog. e Histog.'!DN:DN),"")</f>
        <v/>
      </c>
      <c r="AT424" s="144" t="str">
        <f>IFERROR(_xlfn.XLOOKUP($B424,'Cronog. e Histog.'!$BZ:$BZ,'Cronog. e Histog.'!DO:DO),"")</f>
        <v/>
      </c>
      <c r="AU424" s="144" t="str">
        <f>IFERROR(_xlfn.XLOOKUP($B424,'Cronog. e Histog.'!$BZ:$BZ,'Cronog. e Histog.'!DP:DP),"")</f>
        <v/>
      </c>
      <c r="AV424" s="144" t="str">
        <f>IFERROR(_xlfn.XLOOKUP($B424,'Cronog. e Histog.'!$BZ:$BZ,'Cronog. e Histog.'!DQ:DQ),"")</f>
        <v/>
      </c>
      <c r="AW424" s="144" t="str">
        <f>IFERROR(_xlfn.XLOOKUP($B424,'Cronog. e Histog.'!$BZ:$BZ,'Cronog. e Histog.'!DR:DR),"")</f>
        <v/>
      </c>
      <c r="AX424" s="144" t="str">
        <f>IFERROR(_xlfn.XLOOKUP($B424,'Cronog. e Histog.'!$BZ:$BZ,'Cronog. e Histog.'!DS:DS),"")</f>
        <v/>
      </c>
      <c r="AY424" s="144" t="str">
        <f>IFERROR(_xlfn.XLOOKUP($B424,'Cronog. e Histog.'!$BZ:$BZ,'Cronog. e Histog.'!DT:DT),"")</f>
        <v/>
      </c>
      <c r="AZ424" s="144" t="str">
        <f>IFERROR(_xlfn.XLOOKUP($B424,'Cronog. e Histog.'!$BZ:$BZ,'Cronog. e Histog.'!DU:DU),"")</f>
        <v/>
      </c>
      <c r="BA424" s="144" t="str">
        <f>IFERROR(_xlfn.XLOOKUP($B424,'Cronog. e Histog.'!$BZ:$BZ,'Cronog. e Histog.'!DV:DV),"")</f>
        <v/>
      </c>
      <c r="BB424" s="144" t="str">
        <f>IFERROR(_xlfn.XLOOKUP($B424,'Cronog. e Histog.'!$BZ:$BZ,'Cronog. e Histog.'!DW:DW),"")</f>
        <v/>
      </c>
      <c r="BC424" s="144" t="str">
        <f>IFERROR(_xlfn.XLOOKUP($B424,'Cronog. e Histog.'!$BZ:$BZ,'Cronog. e Histog.'!DX:DX),"")</f>
        <v/>
      </c>
      <c r="BD424" s="144" t="str">
        <f>IFERROR(_xlfn.XLOOKUP($B424,'Cronog. e Histog.'!$BZ:$BZ,'Cronog. e Histog.'!DY:DY),"")</f>
        <v/>
      </c>
      <c r="BE424" s="144" t="str">
        <f>IFERROR(_xlfn.XLOOKUP($B424,'Cronog. e Histog.'!$BZ:$BZ,'Cronog. e Histog.'!DZ:DZ),"")</f>
        <v/>
      </c>
      <c r="BF424" s="144" t="str">
        <f>IFERROR(_xlfn.XLOOKUP($B424,'Cronog. e Histog.'!$BZ:$BZ,'Cronog. e Histog.'!EA:EA),"")</f>
        <v/>
      </c>
      <c r="BG424" s="144" t="str">
        <f>IFERROR(_xlfn.XLOOKUP($B424,'Cronog. e Histog.'!$BZ:$BZ,'Cronog. e Histog.'!EB:EB),"")</f>
        <v/>
      </c>
      <c r="BH424" s="144" t="str">
        <f>IFERROR(_xlfn.XLOOKUP($B424,'Cronog. e Histog.'!$BZ:$BZ,'Cronog. e Histog.'!EC:EC),"")</f>
        <v/>
      </c>
      <c r="BI424" s="144" t="str">
        <f>IFERROR(_xlfn.XLOOKUP($B424,'Cronog. e Histog.'!$BZ:$BZ,'Cronog. e Histog.'!ED:ED),"")</f>
        <v/>
      </c>
      <c r="BJ424" s="144" t="str">
        <f>IFERROR(_xlfn.XLOOKUP($B424,'Cronog. e Histog.'!$BZ:$BZ,'Cronog. e Histog.'!EE:EE),"")</f>
        <v/>
      </c>
      <c r="BK424" s="144" t="str">
        <f>IFERROR(_xlfn.XLOOKUP($B424,'Cronog. e Histog.'!$BZ:$BZ,'Cronog. e Histog.'!EF:EF),"")</f>
        <v/>
      </c>
      <c r="BL424" s="144" t="str">
        <f>IFERROR(_xlfn.XLOOKUP($B424,'Cronog. e Histog.'!$BZ:$BZ,'Cronog. e Histog.'!EG:EG),"")</f>
        <v/>
      </c>
      <c r="BM424" s="144" t="str">
        <f>IFERROR(_xlfn.XLOOKUP($B424,'Cronog. e Histog.'!$BZ:$BZ,'Cronog. e Histog.'!EH:EH),"")</f>
        <v/>
      </c>
      <c r="BN424" s="144" t="str">
        <f>IFERROR(_xlfn.XLOOKUP($B424,'Cronog. e Histog.'!$BZ:$BZ,'Cronog. e Histog.'!EI:EI),"")</f>
        <v/>
      </c>
    </row>
    <row r="425" spans="2:66" ht="12" hidden="1" customHeight="1" outlineLevel="1">
      <c r="B425" s="76">
        <v>419</v>
      </c>
      <c r="C425" s="143" t="str">
        <f>IFERROR(VLOOKUP(B425,'Cronog. e Histog.'!$BZ$213:$CA$747,2,0),"")</f>
        <v/>
      </c>
      <c r="D425" s="144">
        <f t="shared" si="6"/>
        <v>0</v>
      </c>
      <c r="E425" s="144">
        <f t="shared" si="7"/>
        <v>0</v>
      </c>
      <c r="F425" s="65"/>
      <c r="G425" s="144" t="str">
        <f>IFERROR(_xlfn.XLOOKUP($B425,'Cronog. e Histog.'!$BZ:$BZ,'Cronog. e Histog.'!CB:CB),"")</f>
        <v/>
      </c>
      <c r="H425" s="144" t="str">
        <f>IFERROR(_xlfn.XLOOKUP($B425,'Cronog. e Histog.'!$BZ:$BZ,'Cronog. e Histog.'!CC:CC),"")</f>
        <v/>
      </c>
      <c r="I425" s="144" t="str">
        <f>IFERROR(_xlfn.XLOOKUP($B425,'Cronog. e Histog.'!$BZ:$BZ,'Cronog. e Histog.'!CD:CD),"")</f>
        <v/>
      </c>
      <c r="J425" s="144" t="str">
        <f>IFERROR(_xlfn.XLOOKUP($B425,'Cronog. e Histog.'!$BZ:$BZ,'Cronog. e Histog.'!CE:CE),"")</f>
        <v/>
      </c>
      <c r="K425" s="144" t="str">
        <f>IFERROR(_xlfn.XLOOKUP($B425,'Cronog. e Histog.'!$BZ:$BZ,'Cronog. e Histog.'!CF:CF),"")</f>
        <v/>
      </c>
      <c r="L425" s="144" t="str">
        <f>IFERROR(_xlfn.XLOOKUP($B425,'Cronog. e Histog.'!$BZ:$BZ,'Cronog. e Histog.'!CG:CG),"")</f>
        <v/>
      </c>
      <c r="M425" s="144" t="str">
        <f>IFERROR(_xlfn.XLOOKUP($B425,'Cronog. e Histog.'!$BZ:$BZ,'Cronog. e Histog.'!CH:CH),"")</f>
        <v/>
      </c>
      <c r="N425" s="144" t="str">
        <f>IFERROR(_xlfn.XLOOKUP($B425,'Cronog. e Histog.'!$BZ:$BZ,'Cronog. e Histog.'!CI:CI),"")</f>
        <v/>
      </c>
      <c r="O425" s="144" t="str">
        <f>IFERROR(_xlfn.XLOOKUP($B425,'Cronog. e Histog.'!$BZ:$BZ,'Cronog. e Histog.'!CJ:CJ),"")</f>
        <v/>
      </c>
      <c r="P425" s="144" t="str">
        <f>IFERROR(_xlfn.XLOOKUP($B425,'Cronog. e Histog.'!$BZ:$BZ,'Cronog. e Histog.'!CK:CK),"")</f>
        <v/>
      </c>
      <c r="Q425" s="144" t="str">
        <f>IFERROR(_xlfn.XLOOKUP($B425,'Cronog. e Histog.'!$BZ:$BZ,'Cronog. e Histog.'!CL:CL),"")</f>
        <v/>
      </c>
      <c r="R425" s="144" t="str">
        <f>IFERROR(_xlfn.XLOOKUP($B425,'Cronog. e Histog.'!$BZ:$BZ,'Cronog. e Histog.'!CM:CM),"")</f>
        <v/>
      </c>
      <c r="S425" s="144" t="str">
        <f>IFERROR(_xlfn.XLOOKUP($B425,'Cronog. e Histog.'!$BZ:$BZ,'Cronog. e Histog.'!CN:CN),"")</f>
        <v/>
      </c>
      <c r="T425" s="144" t="str">
        <f>IFERROR(_xlfn.XLOOKUP($B425,'Cronog. e Histog.'!$BZ:$BZ,'Cronog. e Histog.'!CO:CO),"")</f>
        <v/>
      </c>
      <c r="U425" s="144" t="str">
        <f>IFERROR(_xlfn.XLOOKUP($B425,'Cronog. e Histog.'!$BZ:$BZ,'Cronog. e Histog.'!CP:CP),"")</f>
        <v/>
      </c>
      <c r="V425" s="144" t="str">
        <f>IFERROR(_xlfn.XLOOKUP($B425,'Cronog. e Histog.'!$BZ:$BZ,'Cronog. e Histog.'!CQ:CQ),"")</f>
        <v/>
      </c>
      <c r="W425" s="144" t="str">
        <f>IFERROR(_xlfn.XLOOKUP($B425,'Cronog. e Histog.'!$BZ:$BZ,'Cronog. e Histog.'!CR:CR),"")</f>
        <v/>
      </c>
      <c r="X425" s="144" t="str">
        <f>IFERROR(_xlfn.XLOOKUP($B425,'Cronog. e Histog.'!$BZ:$BZ,'Cronog. e Histog.'!CS:CS),"")</f>
        <v/>
      </c>
      <c r="Y425" s="144" t="str">
        <f>IFERROR(_xlfn.XLOOKUP($B425,'Cronog. e Histog.'!$BZ:$BZ,'Cronog. e Histog.'!CT:CT),"")</f>
        <v/>
      </c>
      <c r="Z425" s="144" t="str">
        <f>IFERROR(_xlfn.XLOOKUP($B425,'Cronog. e Histog.'!$BZ:$BZ,'Cronog. e Histog.'!CU:CU),"")</f>
        <v/>
      </c>
      <c r="AA425" s="144" t="str">
        <f>IFERROR(_xlfn.XLOOKUP($B425,'Cronog. e Histog.'!$BZ:$BZ,'Cronog. e Histog.'!CV:CV),"")</f>
        <v/>
      </c>
      <c r="AB425" s="144" t="str">
        <f>IFERROR(_xlfn.XLOOKUP($B425,'Cronog. e Histog.'!$BZ:$BZ,'Cronog. e Histog.'!CW:CW),"")</f>
        <v/>
      </c>
      <c r="AC425" s="144" t="str">
        <f>IFERROR(_xlfn.XLOOKUP($B425,'Cronog. e Histog.'!$BZ:$BZ,'Cronog. e Histog.'!CX:CX),"")</f>
        <v/>
      </c>
      <c r="AD425" s="144" t="str">
        <f>IFERROR(_xlfn.XLOOKUP($B425,'Cronog. e Histog.'!$BZ:$BZ,'Cronog. e Histog.'!CY:CY),"")</f>
        <v/>
      </c>
      <c r="AE425" s="144" t="str">
        <f>IFERROR(_xlfn.XLOOKUP($B425,'Cronog. e Histog.'!$BZ:$BZ,'Cronog. e Histog.'!CZ:CZ),"")</f>
        <v/>
      </c>
      <c r="AF425" s="144" t="str">
        <f>IFERROR(_xlfn.XLOOKUP($B425,'Cronog. e Histog.'!$BZ:$BZ,'Cronog. e Histog.'!DA:DA),"")</f>
        <v/>
      </c>
      <c r="AG425" s="144" t="str">
        <f>IFERROR(_xlfn.XLOOKUP($B425,'Cronog. e Histog.'!$BZ:$BZ,'Cronog. e Histog.'!DB:DB),"")</f>
        <v/>
      </c>
      <c r="AH425" s="144" t="str">
        <f>IFERROR(_xlfn.XLOOKUP($B425,'Cronog. e Histog.'!$BZ:$BZ,'Cronog. e Histog.'!DC:DC),"")</f>
        <v/>
      </c>
      <c r="AI425" s="144" t="str">
        <f>IFERROR(_xlfn.XLOOKUP($B425,'Cronog. e Histog.'!$BZ:$BZ,'Cronog. e Histog.'!DD:DD),"")</f>
        <v/>
      </c>
      <c r="AJ425" s="144" t="str">
        <f>IFERROR(_xlfn.XLOOKUP($B425,'Cronog. e Histog.'!$BZ:$BZ,'Cronog. e Histog.'!DE:DE),"")</f>
        <v/>
      </c>
      <c r="AK425" s="144" t="str">
        <f>IFERROR(_xlfn.XLOOKUP($B425,'Cronog. e Histog.'!$BZ:$BZ,'Cronog. e Histog.'!DF:DF),"")</f>
        <v/>
      </c>
      <c r="AL425" s="144" t="str">
        <f>IFERROR(_xlfn.XLOOKUP($B425,'Cronog. e Histog.'!$BZ:$BZ,'Cronog. e Histog.'!DG:DG),"")</f>
        <v/>
      </c>
      <c r="AM425" s="144" t="str">
        <f>IFERROR(_xlfn.XLOOKUP($B425,'Cronog. e Histog.'!$BZ:$BZ,'Cronog. e Histog.'!DH:DH),"")</f>
        <v/>
      </c>
      <c r="AN425" s="144" t="str">
        <f>IFERROR(_xlfn.XLOOKUP($B425,'Cronog. e Histog.'!$BZ:$BZ,'Cronog. e Histog.'!DI:DI),"")</f>
        <v/>
      </c>
      <c r="AO425" s="144" t="str">
        <f>IFERROR(_xlfn.XLOOKUP($B425,'Cronog. e Histog.'!$BZ:$BZ,'Cronog. e Histog.'!DJ:DJ),"")</f>
        <v/>
      </c>
      <c r="AP425" s="144" t="str">
        <f>IFERROR(_xlfn.XLOOKUP($B425,'Cronog. e Histog.'!$BZ:$BZ,'Cronog. e Histog.'!DK:DK),"")</f>
        <v/>
      </c>
      <c r="AQ425" s="144" t="str">
        <f>IFERROR(_xlfn.XLOOKUP($B425,'Cronog. e Histog.'!$BZ:$BZ,'Cronog. e Histog.'!DL:DL),"")</f>
        <v/>
      </c>
      <c r="AR425" s="144" t="str">
        <f>IFERROR(_xlfn.XLOOKUP($B425,'Cronog. e Histog.'!$BZ:$BZ,'Cronog. e Histog.'!DM:DM),"")</f>
        <v/>
      </c>
      <c r="AS425" s="144" t="str">
        <f>IFERROR(_xlfn.XLOOKUP($B425,'Cronog. e Histog.'!$BZ:$BZ,'Cronog. e Histog.'!DN:DN),"")</f>
        <v/>
      </c>
      <c r="AT425" s="144" t="str">
        <f>IFERROR(_xlfn.XLOOKUP($B425,'Cronog. e Histog.'!$BZ:$BZ,'Cronog. e Histog.'!DO:DO),"")</f>
        <v/>
      </c>
      <c r="AU425" s="144" t="str">
        <f>IFERROR(_xlfn.XLOOKUP($B425,'Cronog. e Histog.'!$BZ:$BZ,'Cronog. e Histog.'!DP:DP),"")</f>
        <v/>
      </c>
      <c r="AV425" s="144" t="str">
        <f>IFERROR(_xlfn.XLOOKUP($B425,'Cronog. e Histog.'!$BZ:$BZ,'Cronog. e Histog.'!DQ:DQ),"")</f>
        <v/>
      </c>
      <c r="AW425" s="144" t="str">
        <f>IFERROR(_xlfn.XLOOKUP($B425,'Cronog. e Histog.'!$BZ:$BZ,'Cronog. e Histog.'!DR:DR),"")</f>
        <v/>
      </c>
      <c r="AX425" s="144" t="str">
        <f>IFERROR(_xlfn.XLOOKUP($B425,'Cronog. e Histog.'!$BZ:$BZ,'Cronog. e Histog.'!DS:DS),"")</f>
        <v/>
      </c>
      <c r="AY425" s="144" t="str">
        <f>IFERROR(_xlfn.XLOOKUP($B425,'Cronog. e Histog.'!$BZ:$BZ,'Cronog. e Histog.'!DT:DT),"")</f>
        <v/>
      </c>
      <c r="AZ425" s="144" t="str">
        <f>IFERROR(_xlfn.XLOOKUP($B425,'Cronog. e Histog.'!$BZ:$BZ,'Cronog. e Histog.'!DU:DU),"")</f>
        <v/>
      </c>
      <c r="BA425" s="144" t="str">
        <f>IFERROR(_xlfn.XLOOKUP($B425,'Cronog. e Histog.'!$BZ:$BZ,'Cronog. e Histog.'!DV:DV),"")</f>
        <v/>
      </c>
      <c r="BB425" s="144" t="str">
        <f>IFERROR(_xlfn.XLOOKUP($B425,'Cronog. e Histog.'!$BZ:$BZ,'Cronog. e Histog.'!DW:DW),"")</f>
        <v/>
      </c>
      <c r="BC425" s="144" t="str">
        <f>IFERROR(_xlfn.XLOOKUP($B425,'Cronog. e Histog.'!$BZ:$BZ,'Cronog. e Histog.'!DX:DX),"")</f>
        <v/>
      </c>
      <c r="BD425" s="144" t="str">
        <f>IFERROR(_xlfn.XLOOKUP($B425,'Cronog. e Histog.'!$BZ:$BZ,'Cronog. e Histog.'!DY:DY),"")</f>
        <v/>
      </c>
      <c r="BE425" s="144" t="str">
        <f>IFERROR(_xlfn.XLOOKUP($B425,'Cronog. e Histog.'!$BZ:$BZ,'Cronog. e Histog.'!DZ:DZ),"")</f>
        <v/>
      </c>
      <c r="BF425" s="144" t="str">
        <f>IFERROR(_xlfn.XLOOKUP($B425,'Cronog. e Histog.'!$BZ:$BZ,'Cronog. e Histog.'!EA:EA),"")</f>
        <v/>
      </c>
      <c r="BG425" s="144" t="str">
        <f>IFERROR(_xlfn.XLOOKUP($B425,'Cronog. e Histog.'!$BZ:$BZ,'Cronog. e Histog.'!EB:EB),"")</f>
        <v/>
      </c>
      <c r="BH425" s="144" t="str">
        <f>IFERROR(_xlfn.XLOOKUP($B425,'Cronog. e Histog.'!$BZ:$BZ,'Cronog. e Histog.'!EC:EC),"")</f>
        <v/>
      </c>
      <c r="BI425" s="144" t="str">
        <f>IFERROR(_xlfn.XLOOKUP($B425,'Cronog. e Histog.'!$BZ:$BZ,'Cronog. e Histog.'!ED:ED),"")</f>
        <v/>
      </c>
      <c r="BJ425" s="144" t="str">
        <f>IFERROR(_xlfn.XLOOKUP($B425,'Cronog. e Histog.'!$BZ:$BZ,'Cronog. e Histog.'!EE:EE),"")</f>
        <v/>
      </c>
      <c r="BK425" s="144" t="str">
        <f>IFERROR(_xlfn.XLOOKUP($B425,'Cronog. e Histog.'!$BZ:$BZ,'Cronog. e Histog.'!EF:EF),"")</f>
        <v/>
      </c>
      <c r="BL425" s="144" t="str">
        <f>IFERROR(_xlfn.XLOOKUP($B425,'Cronog. e Histog.'!$BZ:$BZ,'Cronog. e Histog.'!EG:EG),"")</f>
        <v/>
      </c>
      <c r="BM425" s="144" t="str">
        <f>IFERROR(_xlfn.XLOOKUP($B425,'Cronog. e Histog.'!$BZ:$BZ,'Cronog. e Histog.'!EH:EH),"")</f>
        <v/>
      </c>
      <c r="BN425" s="144" t="str">
        <f>IFERROR(_xlfn.XLOOKUP($B425,'Cronog. e Histog.'!$BZ:$BZ,'Cronog. e Histog.'!EI:EI),"")</f>
        <v/>
      </c>
    </row>
    <row r="426" spans="2:66" ht="12" hidden="1" customHeight="1" outlineLevel="1">
      <c r="B426" s="76">
        <v>420</v>
      </c>
      <c r="C426" s="143" t="str">
        <f>IFERROR(VLOOKUP(B426,'Cronog. e Histog.'!$BZ$213:$CA$747,2,0),"")</f>
        <v/>
      </c>
      <c r="D426" s="144">
        <f t="shared" si="6"/>
        <v>0</v>
      </c>
      <c r="E426" s="144">
        <f t="shared" si="7"/>
        <v>0</v>
      </c>
      <c r="F426" s="65"/>
      <c r="G426" s="144" t="str">
        <f>IFERROR(_xlfn.XLOOKUP($B426,'Cronog. e Histog.'!$BZ:$BZ,'Cronog. e Histog.'!CB:CB),"")</f>
        <v/>
      </c>
      <c r="H426" s="144" t="str">
        <f>IFERROR(_xlfn.XLOOKUP($B426,'Cronog. e Histog.'!$BZ:$BZ,'Cronog. e Histog.'!CC:CC),"")</f>
        <v/>
      </c>
      <c r="I426" s="144" t="str">
        <f>IFERROR(_xlfn.XLOOKUP($B426,'Cronog. e Histog.'!$BZ:$BZ,'Cronog. e Histog.'!CD:CD),"")</f>
        <v/>
      </c>
      <c r="J426" s="144" t="str">
        <f>IFERROR(_xlfn.XLOOKUP($B426,'Cronog. e Histog.'!$BZ:$BZ,'Cronog. e Histog.'!CE:CE),"")</f>
        <v/>
      </c>
      <c r="K426" s="144" t="str">
        <f>IFERROR(_xlfn.XLOOKUP($B426,'Cronog. e Histog.'!$BZ:$BZ,'Cronog. e Histog.'!CF:CF),"")</f>
        <v/>
      </c>
      <c r="L426" s="144" t="str">
        <f>IFERROR(_xlfn.XLOOKUP($B426,'Cronog. e Histog.'!$BZ:$BZ,'Cronog. e Histog.'!CG:CG),"")</f>
        <v/>
      </c>
      <c r="M426" s="144" t="str">
        <f>IFERROR(_xlfn.XLOOKUP($B426,'Cronog. e Histog.'!$BZ:$BZ,'Cronog. e Histog.'!CH:CH),"")</f>
        <v/>
      </c>
      <c r="N426" s="144" t="str">
        <f>IFERROR(_xlfn.XLOOKUP($B426,'Cronog. e Histog.'!$BZ:$BZ,'Cronog. e Histog.'!CI:CI),"")</f>
        <v/>
      </c>
      <c r="O426" s="144" t="str">
        <f>IFERROR(_xlfn.XLOOKUP($B426,'Cronog. e Histog.'!$BZ:$BZ,'Cronog. e Histog.'!CJ:CJ),"")</f>
        <v/>
      </c>
      <c r="P426" s="144" t="str">
        <f>IFERROR(_xlfn.XLOOKUP($B426,'Cronog. e Histog.'!$BZ:$BZ,'Cronog. e Histog.'!CK:CK),"")</f>
        <v/>
      </c>
      <c r="Q426" s="144" t="str">
        <f>IFERROR(_xlfn.XLOOKUP($B426,'Cronog. e Histog.'!$BZ:$BZ,'Cronog. e Histog.'!CL:CL),"")</f>
        <v/>
      </c>
      <c r="R426" s="144" t="str">
        <f>IFERROR(_xlfn.XLOOKUP($B426,'Cronog. e Histog.'!$BZ:$BZ,'Cronog. e Histog.'!CM:CM),"")</f>
        <v/>
      </c>
      <c r="S426" s="144" t="str">
        <f>IFERROR(_xlfn.XLOOKUP($B426,'Cronog. e Histog.'!$BZ:$BZ,'Cronog. e Histog.'!CN:CN),"")</f>
        <v/>
      </c>
      <c r="T426" s="144" t="str">
        <f>IFERROR(_xlfn.XLOOKUP($B426,'Cronog. e Histog.'!$BZ:$BZ,'Cronog. e Histog.'!CO:CO),"")</f>
        <v/>
      </c>
      <c r="U426" s="144" t="str">
        <f>IFERROR(_xlfn.XLOOKUP($B426,'Cronog. e Histog.'!$BZ:$BZ,'Cronog. e Histog.'!CP:CP),"")</f>
        <v/>
      </c>
      <c r="V426" s="144" t="str">
        <f>IFERROR(_xlfn.XLOOKUP($B426,'Cronog. e Histog.'!$BZ:$BZ,'Cronog. e Histog.'!CQ:CQ),"")</f>
        <v/>
      </c>
      <c r="W426" s="144" t="str">
        <f>IFERROR(_xlfn.XLOOKUP($B426,'Cronog. e Histog.'!$BZ:$BZ,'Cronog. e Histog.'!CR:CR),"")</f>
        <v/>
      </c>
      <c r="X426" s="144" t="str">
        <f>IFERROR(_xlfn.XLOOKUP($B426,'Cronog. e Histog.'!$BZ:$BZ,'Cronog. e Histog.'!CS:CS),"")</f>
        <v/>
      </c>
      <c r="Y426" s="144" t="str">
        <f>IFERROR(_xlfn.XLOOKUP($B426,'Cronog. e Histog.'!$BZ:$BZ,'Cronog. e Histog.'!CT:CT),"")</f>
        <v/>
      </c>
      <c r="Z426" s="144" t="str">
        <f>IFERROR(_xlfn.XLOOKUP($B426,'Cronog. e Histog.'!$BZ:$BZ,'Cronog. e Histog.'!CU:CU),"")</f>
        <v/>
      </c>
      <c r="AA426" s="144" t="str">
        <f>IFERROR(_xlfn.XLOOKUP($B426,'Cronog. e Histog.'!$BZ:$BZ,'Cronog. e Histog.'!CV:CV),"")</f>
        <v/>
      </c>
      <c r="AB426" s="144" t="str">
        <f>IFERROR(_xlfn.XLOOKUP($B426,'Cronog. e Histog.'!$BZ:$BZ,'Cronog. e Histog.'!CW:CW),"")</f>
        <v/>
      </c>
      <c r="AC426" s="144" t="str">
        <f>IFERROR(_xlfn.XLOOKUP($B426,'Cronog. e Histog.'!$BZ:$BZ,'Cronog. e Histog.'!CX:CX),"")</f>
        <v/>
      </c>
      <c r="AD426" s="144" t="str">
        <f>IFERROR(_xlfn.XLOOKUP($B426,'Cronog. e Histog.'!$BZ:$BZ,'Cronog. e Histog.'!CY:CY),"")</f>
        <v/>
      </c>
      <c r="AE426" s="144" t="str">
        <f>IFERROR(_xlfn.XLOOKUP($B426,'Cronog. e Histog.'!$BZ:$BZ,'Cronog. e Histog.'!CZ:CZ),"")</f>
        <v/>
      </c>
      <c r="AF426" s="144" t="str">
        <f>IFERROR(_xlfn.XLOOKUP($B426,'Cronog. e Histog.'!$BZ:$BZ,'Cronog. e Histog.'!DA:DA),"")</f>
        <v/>
      </c>
      <c r="AG426" s="144" t="str">
        <f>IFERROR(_xlfn.XLOOKUP($B426,'Cronog. e Histog.'!$BZ:$BZ,'Cronog. e Histog.'!DB:DB),"")</f>
        <v/>
      </c>
      <c r="AH426" s="144" t="str">
        <f>IFERROR(_xlfn.XLOOKUP($B426,'Cronog. e Histog.'!$BZ:$BZ,'Cronog. e Histog.'!DC:DC),"")</f>
        <v/>
      </c>
      <c r="AI426" s="144" t="str">
        <f>IFERROR(_xlfn.XLOOKUP($B426,'Cronog. e Histog.'!$BZ:$BZ,'Cronog. e Histog.'!DD:DD),"")</f>
        <v/>
      </c>
      <c r="AJ426" s="144" t="str">
        <f>IFERROR(_xlfn.XLOOKUP($B426,'Cronog. e Histog.'!$BZ:$BZ,'Cronog. e Histog.'!DE:DE),"")</f>
        <v/>
      </c>
      <c r="AK426" s="144" t="str">
        <f>IFERROR(_xlfn.XLOOKUP($B426,'Cronog. e Histog.'!$BZ:$BZ,'Cronog. e Histog.'!DF:DF),"")</f>
        <v/>
      </c>
      <c r="AL426" s="144" t="str">
        <f>IFERROR(_xlfn.XLOOKUP($B426,'Cronog. e Histog.'!$BZ:$BZ,'Cronog. e Histog.'!DG:DG),"")</f>
        <v/>
      </c>
      <c r="AM426" s="144" t="str">
        <f>IFERROR(_xlfn.XLOOKUP($B426,'Cronog. e Histog.'!$BZ:$BZ,'Cronog. e Histog.'!DH:DH),"")</f>
        <v/>
      </c>
      <c r="AN426" s="144" t="str">
        <f>IFERROR(_xlfn.XLOOKUP($B426,'Cronog. e Histog.'!$BZ:$BZ,'Cronog. e Histog.'!DI:DI),"")</f>
        <v/>
      </c>
      <c r="AO426" s="144" t="str">
        <f>IFERROR(_xlfn.XLOOKUP($B426,'Cronog. e Histog.'!$BZ:$BZ,'Cronog. e Histog.'!DJ:DJ),"")</f>
        <v/>
      </c>
      <c r="AP426" s="144" t="str">
        <f>IFERROR(_xlfn.XLOOKUP($B426,'Cronog. e Histog.'!$BZ:$BZ,'Cronog. e Histog.'!DK:DK),"")</f>
        <v/>
      </c>
      <c r="AQ426" s="144" t="str">
        <f>IFERROR(_xlfn.XLOOKUP($B426,'Cronog. e Histog.'!$BZ:$BZ,'Cronog. e Histog.'!DL:DL),"")</f>
        <v/>
      </c>
      <c r="AR426" s="144" t="str">
        <f>IFERROR(_xlfn.XLOOKUP($B426,'Cronog. e Histog.'!$BZ:$BZ,'Cronog. e Histog.'!DM:DM),"")</f>
        <v/>
      </c>
      <c r="AS426" s="144" t="str">
        <f>IFERROR(_xlfn.XLOOKUP($B426,'Cronog. e Histog.'!$BZ:$BZ,'Cronog. e Histog.'!DN:DN),"")</f>
        <v/>
      </c>
      <c r="AT426" s="144" t="str">
        <f>IFERROR(_xlfn.XLOOKUP($B426,'Cronog. e Histog.'!$BZ:$BZ,'Cronog. e Histog.'!DO:DO),"")</f>
        <v/>
      </c>
      <c r="AU426" s="144" t="str">
        <f>IFERROR(_xlfn.XLOOKUP($B426,'Cronog. e Histog.'!$BZ:$BZ,'Cronog. e Histog.'!DP:DP),"")</f>
        <v/>
      </c>
      <c r="AV426" s="144" t="str">
        <f>IFERROR(_xlfn.XLOOKUP($B426,'Cronog. e Histog.'!$BZ:$BZ,'Cronog. e Histog.'!DQ:DQ),"")</f>
        <v/>
      </c>
      <c r="AW426" s="144" t="str">
        <f>IFERROR(_xlfn.XLOOKUP($B426,'Cronog. e Histog.'!$BZ:$BZ,'Cronog. e Histog.'!DR:DR),"")</f>
        <v/>
      </c>
      <c r="AX426" s="144" t="str">
        <f>IFERROR(_xlfn.XLOOKUP($B426,'Cronog. e Histog.'!$BZ:$BZ,'Cronog. e Histog.'!DS:DS),"")</f>
        <v/>
      </c>
      <c r="AY426" s="144" t="str">
        <f>IFERROR(_xlfn.XLOOKUP($B426,'Cronog. e Histog.'!$BZ:$BZ,'Cronog. e Histog.'!DT:DT),"")</f>
        <v/>
      </c>
      <c r="AZ426" s="144" t="str">
        <f>IFERROR(_xlfn.XLOOKUP($B426,'Cronog. e Histog.'!$BZ:$BZ,'Cronog. e Histog.'!DU:DU),"")</f>
        <v/>
      </c>
      <c r="BA426" s="144" t="str">
        <f>IFERROR(_xlfn.XLOOKUP($B426,'Cronog. e Histog.'!$BZ:$BZ,'Cronog. e Histog.'!DV:DV),"")</f>
        <v/>
      </c>
      <c r="BB426" s="144" t="str">
        <f>IFERROR(_xlfn.XLOOKUP($B426,'Cronog. e Histog.'!$BZ:$BZ,'Cronog. e Histog.'!DW:DW),"")</f>
        <v/>
      </c>
      <c r="BC426" s="144" t="str">
        <f>IFERROR(_xlfn.XLOOKUP($B426,'Cronog. e Histog.'!$BZ:$BZ,'Cronog. e Histog.'!DX:DX),"")</f>
        <v/>
      </c>
      <c r="BD426" s="144" t="str">
        <f>IFERROR(_xlfn.XLOOKUP($B426,'Cronog. e Histog.'!$BZ:$BZ,'Cronog. e Histog.'!DY:DY),"")</f>
        <v/>
      </c>
      <c r="BE426" s="144" t="str">
        <f>IFERROR(_xlfn.XLOOKUP($B426,'Cronog. e Histog.'!$BZ:$BZ,'Cronog. e Histog.'!DZ:DZ),"")</f>
        <v/>
      </c>
      <c r="BF426" s="144" t="str">
        <f>IFERROR(_xlfn.XLOOKUP($B426,'Cronog. e Histog.'!$BZ:$BZ,'Cronog. e Histog.'!EA:EA),"")</f>
        <v/>
      </c>
      <c r="BG426" s="144" t="str">
        <f>IFERROR(_xlfn.XLOOKUP($B426,'Cronog. e Histog.'!$BZ:$BZ,'Cronog. e Histog.'!EB:EB),"")</f>
        <v/>
      </c>
      <c r="BH426" s="144" t="str">
        <f>IFERROR(_xlfn.XLOOKUP($B426,'Cronog. e Histog.'!$BZ:$BZ,'Cronog. e Histog.'!EC:EC),"")</f>
        <v/>
      </c>
      <c r="BI426" s="144" t="str">
        <f>IFERROR(_xlfn.XLOOKUP($B426,'Cronog. e Histog.'!$BZ:$BZ,'Cronog. e Histog.'!ED:ED),"")</f>
        <v/>
      </c>
      <c r="BJ426" s="144" t="str">
        <f>IFERROR(_xlfn.XLOOKUP($B426,'Cronog. e Histog.'!$BZ:$BZ,'Cronog. e Histog.'!EE:EE),"")</f>
        <v/>
      </c>
      <c r="BK426" s="144" t="str">
        <f>IFERROR(_xlfn.XLOOKUP($B426,'Cronog. e Histog.'!$BZ:$BZ,'Cronog. e Histog.'!EF:EF),"")</f>
        <v/>
      </c>
      <c r="BL426" s="144" t="str">
        <f>IFERROR(_xlfn.XLOOKUP($B426,'Cronog. e Histog.'!$BZ:$BZ,'Cronog. e Histog.'!EG:EG),"")</f>
        <v/>
      </c>
      <c r="BM426" s="144" t="str">
        <f>IFERROR(_xlfn.XLOOKUP($B426,'Cronog. e Histog.'!$BZ:$BZ,'Cronog. e Histog.'!EH:EH),"")</f>
        <v/>
      </c>
      <c r="BN426" s="144" t="str">
        <f>IFERROR(_xlfn.XLOOKUP($B426,'Cronog. e Histog.'!$BZ:$BZ,'Cronog. e Histog.'!EI:EI),"")</f>
        <v/>
      </c>
    </row>
    <row r="427" spans="2:66" ht="12" hidden="1" customHeight="1" outlineLevel="1">
      <c r="B427" s="76">
        <v>421</v>
      </c>
      <c r="C427" s="143" t="str">
        <f>IFERROR(VLOOKUP(B427,'Cronog. e Histog.'!$BZ$213:$CA$747,2,0),"")</f>
        <v/>
      </c>
      <c r="D427" s="144">
        <f t="shared" si="6"/>
        <v>0</v>
      </c>
      <c r="E427" s="144">
        <f t="shared" si="7"/>
        <v>0</v>
      </c>
      <c r="F427" s="65"/>
      <c r="G427" s="144" t="str">
        <f>IFERROR(_xlfn.XLOOKUP($B427,'Cronog. e Histog.'!$BZ:$BZ,'Cronog. e Histog.'!CB:CB),"")</f>
        <v/>
      </c>
      <c r="H427" s="144" t="str">
        <f>IFERROR(_xlfn.XLOOKUP($B427,'Cronog. e Histog.'!$BZ:$BZ,'Cronog. e Histog.'!CC:CC),"")</f>
        <v/>
      </c>
      <c r="I427" s="144" t="str">
        <f>IFERROR(_xlfn.XLOOKUP($B427,'Cronog. e Histog.'!$BZ:$BZ,'Cronog. e Histog.'!CD:CD),"")</f>
        <v/>
      </c>
      <c r="J427" s="144" t="str">
        <f>IFERROR(_xlfn.XLOOKUP($B427,'Cronog. e Histog.'!$BZ:$BZ,'Cronog. e Histog.'!CE:CE),"")</f>
        <v/>
      </c>
      <c r="K427" s="144" t="str">
        <f>IFERROR(_xlfn.XLOOKUP($B427,'Cronog. e Histog.'!$BZ:$BZ,'Cronog. e Histog.'!CF:CF),"")</f>
        <v/>
      </c>
      <c r="L427" s="144" t="str">
        <f>IFERROR(_xlfn.XLOOKUP($B427,'Cronog. e Histog.'!$BZ:$BZ,'Cronog. e Histog.'!CG:CG),"")</f>
        <v/>
      </c>
      <c r="M427" s="144" t="str">
        <f>IFERROR(_xlfn.XLOOKUP($B427,'Cronog. e Histog.'!$BZ:$BZ,'Cronog. e Histog.'!CH:CH),"")</f>
        <v/>
      </c>
      <c r="N427" s="144" t="str">
        <f>IFERROR(_xlfn.XLOOKUP($B427,'Cronog. e Histog.'!$BZ:$BZ,'Cronog. e Histog.'!CI:CI),"")</f>
        <v/>
      </c>
      <c r="O427" s="144" t="str">
        <f>IFERROR(_xlfn.XLOOKUP($B427,'Cronog. e Histog.'!$BZ:$BZ,'Cronog. e Histog.'!CJ:CJ),"")</f>
        <v/>
      </c>
      <c r="P427" s="144" t="str">
        <f>IFERROR(_xlfn.XLOOKUP($B427,'Cronog. e Histog.'!$BZ:$BZ,'Cronog. e Histog.'!CK:CK),"")</f>
        <v/>
      </c>
      <c r="Q427" s="144" t="str">
        <f>IFERROR(_xlfn.XLOOKUP($B427,'Cronog. e Histog.'!$BZ:$BZ,'Cronog. e Histog.'!CL:CL),"")</f>
        <v/>
      </c>
      <c r="R427" s="144" t="str">
        <f>IFERROR(_xlfn.XLOOKUP($B427,'Cronog. e Histog.'!$BZ:$BZ,'Cronog. e Histog.'!CM:CM),"")</f>
        <v/>
      </c>
      <c r="S427" s="144" t="str">
        <f>IFERROR(_xlfn.XLOOKUP($B427,'Cronog. e Histog.'!$BZ:$BZ,'Cronog. e Histog.'!CN:CN),"")</f>
        <v/>
      </c>
      <c r="T427" s="144" t="str">
        <f>IFERROR(_xlfn.XLOOKUP($B427,'Cronog. e Histog.'!$BZ:$BZ,'Cronog. e Histog.'!CO:CO),"")</f>
        <v/>
      </c>
      <c r="U427" s="144" t="str">
        <f>IFERROR(_xlfn.XLOOKUP($B427,'Cronog. e Histog.'!$BZ:$BZ,'Cronog. e Histog.'!CP:CP),"")</f>
        <v/>
      </c>
      <c r="V427" s="144" t="str">
        <f>IFERROR(_xlfn.XLOOKUP($B427,'Cronog. e Histog.'!$BZ:$BZ,'Cronog. e Histog.'!CQ:CQ),"")</f>
        <v/>
      </c>
      <c r="W427" s="144" t="str">
        <f>IFERROR(_xlfn.XLOOKUP($B427,'Cronog. e Histog.'!$BZ:$BZ,'Cronog. e Histog.'!CR:CR),"")</f>
        <v/>
      </c>
      <c r="X427" s="144" t="str">
        <f>IFERROR(_xlfn.XLOOKUP($B427,'Cronog. e Histog.'!$BZ:$BZ,'Cronog. e Histog.'!CS:CS),"")</f>
        <v/>
      </c>
      <c r="Y427" s="144" t="str">
        <f>IFERROR(_xlfn.XLOOKUP($B427,'Cronog. e Histog.'!$BZ:$BZ,'Cronog. e Histog.'!CT:CT),"")</f>
        <v/>
      </c>
      <c r="Z427" s="144" t="str">
        <f>IFERROR(_xlfn.XLOOKUP($B427,'Cronog. e Histog.'!$BZ:$BZ,'Cronog. e Histog.'!CU:CU),"")</f>
        <v/>
      </c>
      <c r="AA427" s="144" t="str">
        <f>IFERROR(_xlfn.XLOOKUP($B427,'Cronog. e Histog.'!$BZ:$BZ,'Cronog. e Histog.'!CV:CV),"")</f>
        <v/>
      </c>
      <c r="AB427" s="144" t="str">
        <f>IFERROR(_xlfn.XLOOKUP($B427,'Cronog. e Histog.'!$BZ:$BZ,'Cronog. e Histog.'!CW:CW),"")</f>
        <v/>
      </c>
      <c r="AC427" s="144" t="str">
        <f>IFERROR(_xlfn.XLOOKUP($B427,'Cronog. e Histog.'!$BZ:$BZ,'Cronog. e Histog.'!CX:CX),"")</f>
        <v/>
      </c>
      <c r="AD427" s="144" t="str">
        <f>IFERROR(_xlfn.XLOOKUP($B427,'Cronog. e Histog.'!$BZ:$BZ,'Cronog. e Histog.'!CY:CY),"")</f>
        <v/>
      </c>
      <c r="AE427" s="144" t="str">
        <f>IFERROR(_xlfn.XLOOKUP($B427,'Cronog. e Histog.'!$BZ:$BZ,'Cronog. e Histog.'!CZ:CZ),"")</f>
        <v/>
      </c>
      <c r="AF427" s="144" t="str">
        <f>IFERROR(_xlfn.XLOOKUP($B427,'Cronog. e Histog.'!$BZ:$BZ,'Cronog. e Histog.'!DA:DA),"")</f>
        <v/>
      </c>
      <c r="AG427" s="144" t="str">
        <f>IFERROR(_xlfn.XLOOKUP($B427,'Cronog. e Histog.'!$BZ:$BZ,'Cronog. e Histog.'!DB:DB),"")</f>
        <v/>
      </c>
      <c r="AH427" s="144" t="str">
        <f>IFERROR(_xlfn.XLOOKUP($B427,'Cronog. e Histog.'!$BZ:$BZ,'Cronog. e Histog.'!DC:DC),"")</f>
        <v/>
      </c>
      <c r="AI427" s="144" t="str">
        <f>IFERROR(_xlfn.XLOOKUP($B427,'Cronog. e Histog.'!$BZ:$BZ,'Cronog. e Histog.'!DD:DD),"")</f>
        <v/>
      </c>
      <c r="AJ427" s="144" t="str">
        <f>IFERROR(_xlfn.XLOOKUP($B427,'Cronog. e Histog.'!$BZ:$BZ,'Cronog. e Histog.'!DE:DE),"")</f>
        <v/>
      </c>
      <c r="AK427" s="144" t="str">
        <f>IFERROR(_xlfn.XLOOKUP($B427,'Cronog. e Histog.'!$BZ:$BZ,'Cronog. e Histog.'!DF:DF),"")</f>
        <v/>
      </c>
      <c r="AL427" s="144" t="str">
        <f>IFERROR(_xlfn.XLOOKUP($B427,'Cronog. e Histog.'!$BZ:$BZ,'Cronog. e Histog.'!DG:DG),"")</f>
        <v/>
      </c>
      <c r="AM427" s="144" t="str">
        <f>IFERROR(_xlfn.XLOOKUP($B427,'Cronog. e Histog.'!$BZ:$BZ,'Cronog. e Histog.'!DH:DH),"")</f>
        <v/>
      </c>
      <c r="AN427" s="144" t="str">
        <f>IFERROR(_xlfn.XLOOKUP($B427,'Cronog. e Histog.'!$BZ:$BZ,'Cronog. e Histog.'!DI:DI),"")</f>
        <v/>
      </c>
      <c r="AO427" s="144" t="str">
        <f>IFERROR(_xlfn.XLOOKUP($B427,'Cronog. e Histog.'!$BZ:$BZ,'Cronog. e Histog.'!DJ:DJ),"")</f>
        <v/>
      </c>
      <c r="AP427" s="144" t="str">
        <f>IFERROR(_xlfn.XLOOKUP($B427,'Cronog. e Histog.'!$BZ:$BZ,'Cronog. e Histog.'!DK:DK),"")</f>
        <v/>
      </c>
      <c r="AQ427" s="144" t="str">
        <f>IFERROR(_xlfn.XLOOKUP($B427,'Cronog. e Histog.'!$BZ:$BZ,'Cronog. e Histog.'!DL:DL),"")</f>
        <v/>
      </c>
      <c r="AR427" s="144" t="str">
        <f>IFERROR(_xlfn.XLOOKUP($B427,'Cronog. e Histog.'!$BZ:$BZ,'Cronog. e Histog.'!DM:DM),"")</f>
        <v/>
      </c>
      <c r="AS427" s="144" t="str">
        <f>IFERROR(_xlfn.XLOOKUP($B427,'Cronog. e Histog.'!$BZ:$BZ,'Cronog. e Histog.'!DN:DN),"")</f>
        <v/>
      </c>
      <c r="AT427" s="144" t="str">
        <f>IFERROR(_xlfn.XLOOKUP($B427,'Cronog. e Histog.'!$BZ:$BZ,'Cronog. e Histog.'!DO:DO),"")</f>
        <v/>
      </c>
      <c r="AU427" s="144" t="str">
        <f>IFERROR(_xlfn.XLOOKUP($B427,'Cronog. e Histog.'!$BZ:$BZ,'Cronog. e Histog.'!DP:DP),"")</f>
        <v/>
      </c>
      <c r="AV427" s="144" t="str">
        <f>IFERROR(_xlfn.XLOOKUP($B427,'Cronog. e Histog.'!$BZ:$BZ,'Cronog. e Histog.'!DQ:DQ),"")</f>
        <v/>
      </c>
      <c r="AW427" s="144" t="str">
        <f>IFERROR(_xlfn.XLOOKUP($B427,'Cronog. e Histog.'!$BZ:$BZ,'Cronog. e Histog.'!DR:DR),"")</f>
        <v/>
      </c>
      <c r="AX427" s="144" t="str">
        <f>IFERROR(_xlfn.XLOOKUP($B427,'Cronog. e Histog.'!$BZ:$BZ,'Cronog. e Histog.'!DS:DS),"")</f>
        <v/>
      </c>
      <c r="AY427" s="144" t="str">
        <f>IFERROR(_xlfn.XLOOKUP($B427,'Cronog. e Histog.'!$BZ:$BZ,'Cronog. e Histog.'!DT:DT),"")</f>
        <v/>
      </c>
      <c r="AZ427" s="144" t="str">
        <f>IFERROR(_xlfn.XLOOKUP($B427,'Cronog. e Histog.'!$BZ:$BZ,'Cronog. e Histog.'!DU:DU),"")</f>
        <v/>
      </c>
      <c r="BA427" s="144" t="str">
        <f>IFERROR(_xlfn.XLOOKUP($B427,'Cronog. e Histog.'!$BZ:$BZ,'Cronog. e Histog.'!DV:DV),"")</f>
        <v/>
      </c>
      <c r="BB427" s="144" t="str">
        <f>IFERROR(_xlfn.XLOOKUP($B427,'Cronog. e Histog.'!$BZ:$BZ,'Cronog. e Histog.'!DW:DW),"")</f>
        <v/>
      </c>
      <c r="BC427" s="144" t="str">
        <f>IFERROR(_xlfn.XLOOKUP($B427,'Cronog. e Histog.'!$BZ:$BZ,'Cronog. e Histog.'!DX:DX),"")</f>
        <v/>
      </c>
      <c r="BD427" s="144" t="str">
        <f>IFERROR(_xlfn.XLOOKUP($B427,'Cronog. e Histog.'!$BZ:$BZ,'Cronog. e Histog.'!DY:DY),"")</f>
        <v/>
      </c>
      <c r="BE427" s="144" t="str">
        <f>IFERROR(_xlfn.XLOOKUP($B427,'Cronog. e Histog.'!$BZ:$BZ,'Cronog. e Histog.'!DZ:DZ),"")</f>
        <v/>
      </c>
      <c r="BF427" s="144" t="str">
        <f>IFERROR(_xlfn.XLOOKUP($B427,'Cronog. e Histog.'!$BZ:$BZ,'Cronog. e Histog.'!EA:EA),"")</f>
        <v/>
      </c>
      <c r="BG427" s="144" t="str">
        <f>IFERROR(_xlfn.XLOOKUP($B427,'Cronog. e Histog.'!$BZ:$BZ,'Cronog. e Histog.'!EB:EB),"")</f>
        <v/>
      </c>
      <c r="BH427" s="144" t="str">
        <f>IFERROR(_xlfn.XLOOKUP($B427,'Cronog. e Histog.'!$BZ:$BZ,'Cronog. e Histog.'!EC:EC),"")</f>
        <v/>
      </c>
      <c r="BI427" s="144" t="str">
        <f>IFERROR(_xlfn.XLOOKUP($B427,'Cronog. e Histog.'!$BZ:$BZ,'Cronog. e Histog.'!ED:ED),"")</f>
        <v/>
      </c>
      <c r="BJ427" s="144" t="str">
        <f>IFERROR(_xlfn.XLOOKUP($B427,'Cronog. e Histog.'!$BZ:$BZ,'Cronog. e Histog.'!EE:EE),"")</f>
        <v/>
      </c>
      <c r="BK427" s="144" t="str">
        <f>IFERROR(_xlfn.XLOOKUP($B427,'Cronog. e Histog.'!$BZ:$BZ,'Cronog. e Histog.'!EF:EF),"")</f>
        <v/>
      </c>
      <c r="BL427" s="144" t="str">
        <f>IFERROR(_xlfn.XLOOKUP($B427,'Cronog. e Histog.'!$BZ:$BZ,'Cronog. e Histog.'!EG:EG),"")</f>
        <v/>
      </c>
      <c r="BM427" s="144" t="str">
        <f>IFERROR(_xlfn.XLOOKUP($B427,'Cronog. e Histog.'!$BZ:$BZ,'Cronog. e Histog.'!EH:EH),"")</f>
        <v/>
      </c>
      <c r="BN427" s="144" t="str">
        <f>IFERROR(_xlfn.XLOOKUP($B427,'Cronog. e Histog.'!$BZ:$BZ,'Cronog. e Histog.'!EI:EI),"")</f>
        <v/>
      </c>
    </row>
    <row r="428" spans="2:66" ht="12" hidden="1" customHeight="1" outlineLevel="1">
      <c r="B428" s="76">
        <v>422</v>
      </c>
      <c r="C428" s="143" t="str">
        <f>IFERROR(VLOOKUP(B428,'Cronog. e Histog.'!$BZ$213:$CA$747,2,0),"")</f>
        <v/>
      </c>
      <c r="D428" s="144">
        <f t="shared" si="6"/>
        <v>0</v>
      </c>
      <c r="E428" s="144">
        <f t="shared" si="7"/>
        <v>0</v>
      </c>
      <c r="F428" s="65"/>
      <c r="G428" s="144" t="str">
        <f>IFERROR(_xlfn.XLOOKUP($B428,'Cronog. e Histog.'!$BZ:$BZ,'Cronog. e Histog.'!CB:CB),"")</f>
        <v/>
      </c>
      <c r="H428" s="144" t="str">
        <f>IFERROR(_xlfn.XLOOKUP($B428,'Cronog. e Histog.'!$BZ:$BZ,'Cronog. e Histog.'!CC:CC),"")</f>
        <v/>
      </c>
      <c r="I428" s="144" t="str">
        <f>IFERROR(_xlfn.XLOOKUP($B428,'Cronog. e Histog.'!$BZ:$BZ,'Cronog. e Histog.'!CD:CD),"")</f>
        <v/>
      </c>
      <c r="J428" s="144" t="str">
        <f>IFERROR(_xlfn.XLOOKUP($B428,'Cronog. e Histog.'!$BZ:$BZ,'Cronog. e Histog.'!CE:CE),"")</f>
        <v/>
      </c>
      <c r="K428" s="144" t="str">
        <f>IFERROR(_xlfn.XLOOKUP($B428,'Cronog. e Histog.'!$BZ:$BZ,'Cronog. e Histog.'!CF:CF),"")</f>
        <v/>
      </c>
      <c r="L428" s="144" t="str">
        <f>IFERROR(_xlfn.XLOOKUP($B428,'Cronog. e Histog.'!$BZ:$BZ,'Cronog. e Histog.'!CG:CG),"")</f>
        <v/>
      </c>
      <c r="M428" s="144" t="str">
        <f>IFERROR(_xlfn.XLOOKUP($B428,'Cronog. e Histog.'!$BZ:$BZ,'Cronog. e Histog.'!CH:CH),"")</f>
        <v/>
      </c>
      <c r="N428" s="144" t="str">
        <f>IFERROR(_xlfn.XLOOKUP($B428,'Cronog. e Histog.'!$BZ:$BZ,'Cronog. e Histog.'!CI:CI),"")</f>
        <v/>
      </c>
      <c r="O428" s="144" t="str">
        <f>IFERROR(_xlfn.XLOOKUP($B428,'Cronog. e Histog.'!$BZ:$BZ,'Cronog. e Histog.'!CJ:CJ),"")</f>
        <v/>
      </c>
      <c r="P428" s="144" t="str">
        <f>IFERROR(_xlfn.XLOOKUP($B428,'Cronog. e Histog.'!$BZ:$BZ,'Cronog. e Histog.'!CK:CK),"")</f>
        <v/>
      </c>
      <c r="Q428" s="144" t="str">
        <f>IFERROR(_xlfn.XLOOKUP($B428,'Cronog. e Histog.'!$BZ:$BZ,'Cronog. e Histog.'!CL:CL),"")</f>
        <v/>
      </c>
      <c r="R428" s="144" t="str">
        <f>IFERROR(_xlfn.XLOOKUP($B428,'Cronog. e Histog.'!$BZ:$BZ,'Cronog. e Histog.'!CM:CM),"")</f>
        <v/>
      </c>
      <c r="S428" s="144" t="str">
        <f>IFERROR(_xlfn.XLOOKUP($B428,'Cronog. e Histog.'!$BZ:$BZ,'Cronog. e Histog.'!CN:CN),"")</f>
        <v/>
      </c>
      <c r="T428" s="144" t="str">
        <f>IFERROR(_xlfn.XLOOKUP($B428,'Cronog. e Histog.'!$BZ:$BZ,'Cronog. e Histog.'!CO:CO),"")</f>
        <v/>
      </c>
      <c r="U428" s="144" t="str">
        <f>IFERROR(_xlfn.XLOOKUP($B428,'Cronog. e Histog.'!$BZ:$BZ,'Cronog. e Histog.'!CP:CP),"")</f>
        <v/>
      </c>
      <c r="V428" s="144" t="str">
        <f>IFERROR(_xlfn.XLOOKUP($B428,'Cronog. e Histog.'!$BZ:$BZ,'Cronog. e Histog.'!CQ:CQ),"")</f>
        <v/>
      </c>
      <c r="W428" s="144" t="str">
        <f>IFERROR(_xlfn.XLOOKUP($B428,'Cronog. e Histog.'!$BZ:$BZ,'Cronog. e Histog.'!CR:CR),"")</f>
        <v/>
      </c>
      <c r="X428" s="144" t="str">
        <f>IFERROR(_xlfn.XLOOKUP($B428,'Cronog. e Histog.'!$BZ:$BZ,'Cronog. e Histog.'!CS:CS),"")</f>
        <v/>
      </c>
      <c r="Y428" s="144" t="str">
        <f>IFERROR(_xlfn.XLOOKUP($B428,'Cronog. e Histog.'!$BZ:$BZ,'Cronog. e Histog.'!CT:CT),"")</f>
        <v/>
      </c>
      <c r="Z428" s="144" t="str">
        <f>IFERROR(_xlfn.XLOOKUP($B428,'Cronog. e Histog.'!$BZ:$BZ,'Cronog. e Histog.'!CU:CU),"")</f>
        <v/>
      </c>
      <c r="AA428" s="144" t="str">
        <f>IFERROR(_xlfn.XLOOKUP($B428,'Cronog. e Histog.'!$BZ:$BZ,'Cronog. e Histog.'!CV:CV),"")</f>
        <v/>
      </c>
      <c r="AB428" s="144" t="str">
        <f>IFERROR(_xlfn.XLOOKUP($B428,'Cronog. e Histog.'!$BZ:$BZ,'Cronog. e Histog.'!CW:CW),"")</f>
        <v/>
      </c>
      <c r="AC428" s="144" t="str">
        <f>IFERROR(_xlfn.XLOOKUP($B428,'Cronog. e Histog.'!$BZ:$BZ,'Cronog. e Histog.'!CX:CX),"")</f>
        <v/>
      </c>
      <c r="AD428" s="144" t="str">
        <f>IFERROR(_xlfn.XLOOKUP($B428,'Cronog. e Histog.'!$BZ:$BZ,'Cronog. e Histog.'!CY:CY),"")</f>
        <v/>
      </c>
      <c r="AE428" s="144" t="str">
        <f>IFERROR(_xlfn.XLOOKUP($B428,'Cronog. e Histog.'!$BZ:$BZ,'Cronog. e Histog.'!CZ:CZ),"")</f>
        <v/>
      </c>
      <c r="AF428" s="144" t="str">
        <f>IFERROR(_xlfn.XLOOKUP($B428,'Cronog. e Histog.'!$BZ:$BZ,'Cronog. e Histog.'!DA:DA),"")</f>
        <v/>
      </c>
      <c r="AG428" s="144" t="str">
        <f>IFERROR(_xlfn.XLOOKUP($B428,'Cronog. e Histog.'!$BZ:$BZ,'Cronog. e Histog.'!DB:DB),"")</f>
        <v/>
      </c>
      <c r="AH428" s="144" t="str">
        <f>IFERROR(_xlfn.XLOOKUP($B428,'Cronog. e Histog.'!$BZ:$BZ,'Cronog. e Histog.'!DC:DC),"")</f>
        <v/>
      </c>
      <c r="AI428" s="144" t="str">
        <f>IFERROR(_xlfn.XLOOKUP($B428,'Cronog. e Histog.'!$BZ:$BZ,'Cronog. e Histog.'!DD:DD),"")</f>
        <v/>
      </c>
      <c r="AJ428" s="144" t="str">
        <f>IFERROR(_xlfn.XLOOKUP($B428,'Cronog. e Histog.'!$BZ:$BZ,'Cronog. e Histog.'!DE:DE),"")</f>
        <v/>
      </c>
      <c r="AK428" s="144" t="str">
        <f>IFERROR(_xlfn.XLOOKUP($B428,'Cronog. e Histog.'!$BZ:$BZ,'Cronog. e Histog.'!DF:DF),"")</f>
        <v/>
      </c>
      <c r="AL428" s="144" t="str">
        <f>IFERROR(_xlfn.XLOOKUP($B428,'Cronog. e Histog.'!$BZ:$BZ,'Cronog. e Histog.'!DG:DG),"")</f>
        <v/>
      </c>
      <c r="AM428" s="144" t="str">
        <f>IFERROR(_xlfn.XLOOKUP($B428,'Cronog. e Histog.'!$BZ:$BZ,'Cronog. e Histog.'!DH:DH),"")</f>
        <v/>
      </c>
      <c r="AN428" s="144" t="str">
        <f>IFERROR(_xlfn.XLOOKUP($B428,'Cronog. e Histog.'!$BZ:$BZ,'Cronog. e Histog.'!DI:DI),"")</f>
        <v/>
      </c>
      <c r="AO428" s="144" t="str">
        <f>IFERROR(_xlfn.XLOOKUP($B428,'Cronog. e Histog.'!$BZ:$BZ,'Cronog. e Histog.'!DJ:DJ),"")</f>
        <v/>
      </c>
      <c r="AP428" s="144" t="str">
        <f>IFERROR(_xlfn.XLOOKUP($B428,'Cronog. e Histog.'!$BZ:$BZ,'Cronog. e Histog.'!DK:DK),"")</f>
        <v/>
      </c>
      <c r="AQ428" s="144" t="str">
        <f>IFERROR(_xlfn.XLOOKUP($B428,'Cronog. e Histog.'!$BZ:$BZ,'Cronog. e Histog.'!DL:DL),"")</f>
        <v/>
      </c>
      <c r="AR428" s="144" t="str">
        <f>IFERROR(_xlfn.XLOOKUP($B428,'Cronog. e Histog.'!$BZ:$BZ,'Cronog. e Histog.'!DM:DM),"")</f>
        <v/>
      </c>
      <c r="AS428" s="144" t="str">
        <f>IFERROR(_xlfn.XLOOKUP($B428,'Cronog. e Histog.'!$BZ:$BZ,'Cronog. e Histog.'!DN:DN),"")</f>
        <v/>
      </c>
      <c r="AT428" s="144" t="str">
        <f>IFERROR(_xlfn.XLOOKUP($B428,'Cronog. e Histog.'!$BZ:$BZ,'Cronog. e Histog.'!DO:DO),"")</f>
        <v/>
      </c>
      <c r="AU428" s="144" t="str">
        <f>IFERROR(_xlfn.XLOOKUP($B428,'Cronog. e Histog.'!$BZ:$BZ,'Cronog. e Histog.'!DP:DP),"")</f>
        <v/>
      </c>
      <c r="AV428" s="144" t="str">
        <f>IFERROR(_xlfn.XLOOKUP($B428,'Cronog. e Histog.'!$BZ:$BZ,'Cronog. e Histog.'!DQ:DQ),"")</f>
        <v/>
      </c>
      <c r="AW428" s="144" t="str">
        <f>IFERROR(_xlfn.XLOOKUP($B428,'Cronog. e Histog.'!$BZ:$BZ,'Cronog. e Histog.'!DR:DR),"")</f>
        <v/>
      </c>
      <c r="AX428" s="144" t="str">
        <f>IFERROR(_xlfn.XLOOKUP($B428,'Cronog. e Histog.'!$BZ:$BZ,'Cronog. e Histog.'!DS:DS),"")</f>
        <v/>
      </c>
      <c r="AY428" s="144" t="str">
        <f>IFERROR(_xlfn.XLOOKUP($B428,'Cronog. e Histog.'!$BZ:$BZ,'Cronog. e Histog.'!DT:DT),"")</f>
        <v/>
      </c>
      <c r="AZ428" s="144" t="str">
        <f>IFERROR(_xlfn.XLOOKUP($B428,'Cronog. e Histog.'!$BZ:$BZ,'Cronog. e Histog.'!DU:DU),"")</f>
        <v/>
      </c>
      <c r="BA428" s="144" t="str">
        <f>IFERROR(_xlfn.XLOOKUP($B428,'Cronog. e Histog.'!$BZ:$BZ,'Cronog. e Histog.'!DV:DV),"")</f>
        <v/>
      </c>
      <c r="BB428" s="144" t="str">
        <f>IFERROR(_xlfn.XLOOKUP($B428,'Cronog. e Histog.'!$BZ:$BZ,'Cronog. e Histog.'!DW:DW),"")</f>
        <v/>
      </c>
      <c r="BC428" s="144" t="str">
        <f>IFERROR(_xlfn.XLOOKUP($B428,'Cronog. e Histog.'!$BZ:$BZ,'Cronog. e Histog.'!DX:DX),"")</f>
        <v/>
      </c>
      <c r="BD428" s="144" t="str">
        <f>IFERROR(_xlfn.XLOOKUP($B428,'Cronog. e Histog.'!$BZ:$BZ,'Cronog. e Histog.'!DY:DY),"")</f>
        <v/>
      </c>
      <c r="BE428" s="144" t="str">
        <f>IFERROR(_xlfn.XLOOKUP($B428,'Cronog. e Histog.'!$BZ:$BZ,'Cronog. e Histog.'!DZ:DZ),"")</f>
        <v/>
      </c>
      <c r="BF428" s="144" t="str">
        <f>IFERROR(_xlfn.XLOOKUP($B428,'Cronog. e Histog.'!$BZ:$BZ,'Cronog. e Histog.'!EA:EA),"")</f>
        <v/>
      </c>
      <c r="BG428" s="144" t="str">
        <f>IFERROR(_xlfn.XLOOKUP($B428,'Cronog. e Histog.'!$BZ:$BZ,'Cronog. e Histog.'!EB:EB),"")</f>
        <v/>
      </c>
      <c r="BH428" s="144" t="str">
        <f>IFERROR(_xlfn.XLOOKUP($B428,'Cronog. e Histog.'!$BZ:$BZ,'Cronog. e Histog.'!EC:EC),"")</f>
        <v/>
      </c>
      <c r="BI428" s="144" t="str">
        <f>IFERROR(_xlfn.XLOOKUP($B428,'Cronog. e Histog.'!$BZ:$BZ,'Cronog. e Histog.'!ED:ED),"")</f>
        <v/>
      </c>
      <c r="BJ428" s="144" t="str">
        <f>IFERROR(_xlfn.XLOOKUP($B428,'Cronog. e Histog.'!$BZ:$BZ,'Cronog. e Histog.'!EE:EE),"")</f>
        <v/>
      </c>
      <c r="BK428" s="144" t="str">
        <f>IFERROR(_xlfn.XLOOKUP($B428,'Cronog. e Histog.'!$BZ:$BZ,'Cronog. e Histog.'!EF:EF),"")</f>
        <v/>
      </c>
      <c r="BL428" s="144" t="str">
        <f>IFERROR(_xlfn.XLOOKUP($B428,'Cronog. e Histog.'!$BZ:$BZ,'Cronog. e Histog.'!EG:EG),"")</f>
        <v/>
      </c>
      <c r="BM428" s="144" t="str">
        <f>IFERROR(_xlfn.XLOOKUP($B428,'Cronog. e Histog.'!$BZ:$BZ,'Cronog. e Histog.'!EH:EH),"")</f>
        <v/>
      </c>
      <c r="BN428" s="144" t="str">
        <f>IFERROR(_xlfn.XLOOKUP($B428,'Cronog. e Histog.'!$BZ:$BZ,'Cronog. e Histog.'!EI:EI),"")</f>
        <v/>
      </c>
    </row>
    <row r="429" spans="2:66" ht="12" hidden="1" customHeight="1" outlineLevel="1">
      <c r="B429" s="76">
        <v>423</v>
      </c>
      <c r="C429" s="143" t="str">
        <f>IFERROR(VLOOKUP(B429,'Cronog. e Histog.'!$BZ$213:$CA$747,2,0),"")</f>
        <v/>
      </c>
      <c r="D429" s="144">
        <f t="shared" si="6"/>
        <v>0</v>
      </c>
      <c r="E429" s="144">
        <f t="shared" si="7"/>
        <v>0</v>
      </c>
      <c r="F429" s="65"/>
      <c r="G429" s="144" t="str">
        <f>IFERROR(_xlfn.XLOOKUP($B429,'Cronog. e Histog.'!$BZ:$BZ,'Cronog. e Histog.'!CB:CB),"")</f>
        <v/>
      </c>
      <c r="H429" s="144" t="str">
        <f>IFERROR(_xlfn.XLOOKUP($B429,'Cronog. e Histog.'!$BZ:$BZ,'Cronog. e Histog.'!CC:CC),"")</f>
        <v/>
      </c>
      <c r="I429" s="144" t="str">
        <f>IFERROR(_xlfn.XLOOKUP($B429,'Cronog. e Histog.'!$BZ:$BZ,'Cronog. e Histog.'!CD:CD),"")</f>
        <v/>
      </c>
      <c r="J429" s="144" t="str">
        <f>IFERROR(_xlfn.XLOOKUP($B429,'Cronog. e Histog.'!$BZ:$BZ,'Cronog. e Histog.'!CE:CE),"")</f>
        <v/>
      </c>
      <c r="K429" s="144" t="str">
        <f>IFERROR(_xlfn.XLOOKUP($B429,'Cronog. e Histog.'!$BZ:$BZ,'Cronog. e Histog.'!CF:CF),"")</f>
        <v/>
      </c>
      <c r="L429" s="144" t="str">
        <f>IFERROR(_xlfn.XLOOKUP($B429,'Cronog. e Histog.'!$BZ:$BZ,'Cronog. e Histog.'!CG:CG),"")</f>
        <v/>
      </c>
      <c r="M429" s="144" t="str">
        <f>IFERROR(_xlfn.XLOOKUP($B429,'Cronog. e Histog.'!$BZ:$BZ,'Cronog. e Histog.'!CH:CH),"")</f>
        <v/>
      </c>
      <c r="N429" s="144" t="str">
        <f>IFERROR(_xlfn.XLOOKUP($B429,'Cronog. e Histog.'!$BZ:$BZ,'Cronog. e Histog.'!CI:CI),"")</f>
        <v/>
      </c>
      <c r="O429" s="144" t="str">
        <f>IFERROR(_xlfn.XLOOKUP($B429,'Cronog. e Histog.'!$BZ:$BZ,'Cronog. e Histog.'!CJ:CJ),"")</f>
        <v/>
      </c>
      <c r="P429" s="144" t="str">
        <f>IFERROR(_xlfn.XLOOKUP($B429,'Cronog. e Histog.'!$BZ:$BZ,'Cronog. e Histog.'!CK:CK),"")</f>
        <v/>
      </c>
      <c r="Q429" s="144" t="str">
        <f>IFERROR(_xlfn.XLOOKUP($B429,'Cronog. e Histog.'!$BZ:$BZ,'Cronog. e Histog.'!CL:CL),"")</f>
        <v/>
      </c>
      <c r="R429" s="144" t="str">
        <f>IFERROR(_xlfn.XLOOKUP($B429,'Cronog. e Histog.'!$BZ:$BZ,'Cronog. e Histog.'!CM:CM),"")</f>
        <v/>
      </c>
      <c r="S429" s="144" t="str">
        <f>IFERROR(_xlfn.XLOOKUP($B429,'Cronog. e Histog.'!$BZ:$BZ,'Cronog. e Histog.'!CN:CN),"")</f>
        <v/>
      </c>
      <c r="T429" s="144" t="str">
        <f>IFERROR(_xlfn.XLOOKUP($B429,'Cronog. e Histog.'!$BZ:$BZ,'Cronog. e Histog.'!CO:CO),"")</f>
        <v/>
      </c>
      <c r="U429" s="144" t="str">
        <f>IFERROR(_xlfn.XLOOKUP($B429,'Cronog. e Histog.'!$BZ:$BZ,'Cronog. e Histog.'!CP:CP),"")</f>
        <v/>
      </c>
      <c r="V429" s="144" t="str">
        <f>IFERROR(_xlfn.XLOOKUP($B429,'Cronog. e Histog.'!$BZ:$BZ,'Cronog. e Histog.'!CQ:CQ),"")</f>
        <v/>
      </c>
      <c r="W429" s="144" t="str">
        <f>IFERROR(_xlfn.XLOOKUP($B429,'Cronog. e Histog.'!$BZ:$BZ,'Cronog. e Histog.'!CR:CR),"")</f>
        <v/>
      </c>
      <c r="X429" s="144" t="str">
        <f>IFERROR(_xlfn.XLOOKUP($B429,'Cronog. e Histog.'!$BZ:$BZ,'Cronog. e Histog.'!CS:CS),"")</f>
        <v/>
      </c>
      <c r="Y429" s="144" t="str">
        <f>IFERROR(_xlfn.XLOOKUP($B429,'Cronog. e Histog.'!$BZ:$BZ,'Cronog. e Histog.'!CT:CT),"")</f>
        <v/>
      </c>
      <c r="Z429" s="144" t="str">
        <f>IFERROR(_xlfn.XLOOKUP($B429,'Cronog. e Histog.'!$BZ:$BZ,'Cronog. e Histog.'!CU:CU),"")</f>
        <v/>
      </c>
      <c r="AA429" s="144" t="str">
        <f>IFERROR(_xlfn.XLOOKUP($B429,'Cronog. e Histog.'!$BZ:$BZ,'Cronog. e Histog.'!CV:CV),"")</f>
        <v/>
      </c>
      <c r="AB429" s="144" t="str">
        <f>IFERROR(_xlfn.XLOOKUP($B429,'Cronog. e Histog.'!$BZ:$BZ,'Cronog. e Histog.'!CW:CW),"")</f>
        <v/>
      </c>
      <c r="AC429" s="144" t="str">
        <f>IFERROR(_xlfn.XLOOKUP($B429,'Cronog. e Histog.'!$BZ:$BZ,'Cronog. e Histog.'!CX:CX),"")</f>
        <v/>
      </c>
      <c r="AD429" s="144" t="str">
        <f>IFERROR(_xlfn.XLOOKUP($B429,'Cronog. e Histog.'!$BZ:$BZ,'Cronog. e Histog.'!CY:CY),"")</f>
        <v/>
      </c>
      <c r="AE429" s="144" t="str">
        <f>IFERROR(_xlfn.XLOOKUP($B429,'Cronog. e Histog.'!$BZ:$BZ,'Cronog. e Histog.'!CZ:CZ),"")</f>
        <v/>
      </c>
      <c r="AF429" s="144" t="str">
        <f>IFERROR(_xlfn.XLOOKUP($B429,'Cronog. e Histog.'!$BZ:$BZ,'Cronog. e Histog.'!DA:DA),"")</f>
        <v/>
      </c>
      <c r="AG429" s="144" t="str">
        <f>IFERROR(_xlfn.XLOOKUP($B429,'Cronog. e Histog.'!$BZ:$BZ,'Cronog. e Histog.'!DB:DB),"")</f>
        <v/>
      </c>
      <c r="AH429" s="144" t="str">
        <f>IFERROR(_xlfn.XLOOKUP($B429,'Cronog. e Histog.'!$BZ:$BZ,'Cronog. e Histog.'!DC:DC),"")</f>
        <v/>
      </c>
      <c r="AI429" s="144" t="str">
        <f>IFERROR(_xlfn.XLOOKUP($B429,'Cronog. e Histog.'!$BZ:$BZ,'Cronog. e Histog.'!DD:DD),"")</f>
        <v/>
      </c>
      <c r="AJ429" s="144" t="str">
        <f>IFERROR(_xlfn.XLOOKUP($B429,'Cronog. e Histog.'!$BZ:$BZ,'Cronog. e Histog.'!DE:DE),"")</f>
        <v/>
      </c>
      <c r="AK429" s="144" t="str">
        <f>IFERROR(_xlfn.XLOOKUP($B429,'Cronog. e Histog.'!$BZ:$BZ,'Cronog. e Histog.'!DF:DF),"")</f>
        <v/>
      </c>
      <c r="AL429" s="144" t="str">
        <f>IFERROR(_xlfn.XLOOKUP($B429,'Cronog. e Histog.'!$BZ:$BZ,'Cronog. e Histog.'!DG:DG),"")</f>
        <v/>
      </c>
      <c r="AM429" s="144" t="str">
        <f>IFERROR(_xlfn.XLOOKUP($B429,'Cronog. e Histog.'!$BZ:$BZ,'Cronog. e Histog.'!DH:DH),"")</f>
        <v/>
      </c>
      <c r="AN429" s="144" t="str">
        <f>IFERROR(_xlfn.XLOOKUP($B429,'Cronog. e Histog.'!$BZ:$BZ,'Cronog. e Histog.'!DI:DI),"")</f>
        <v/>
      </c>
      <c r="AO429" s="144" t="str">
        <f>IFERROR(_xlfn.XLOOKUP($B429,'Cronog. e Histog.'!$BZ:$BZ,'Cronog. e Histog.'!DJ:DJ),"")</f>
        <v/>
      </c>
      <c r="AP429" s="144" t="str">
        <f>IFERROR(_xlfn.XLOOKUP($B429,'Cronog. e Histog.'!$BZ:$BZ,'Cronog. e Histog.'!DK:DK),"")</f>
        <v/>
      </c>
      <c r="AQ429" s="144" t="str">
        <f>IFERROR(_xlfn.XLOOKUP($B429,'Cronog. e Histog.'!$BZ:$BZ,'Cronog. e Histog.'!DL:DL),"")</f>
        <v/>
      </c>
      <c r="AR429" s="144" t="str">
        <f>IFERROR(_xlfn.XLOOKUP($B429,'Cronog. e Histog.'!$BZ:$BZ,'Cronog. e Histog.'!DM:DM),"")</f>
        <v/>
      </c>
      <c r="AS429" s="144" t="str">
        <f>IFERROR(_xlfn.XLOOKUP($B429,'Cronog. e Histog.'!$BZ:$BZ,'Cronog. e Histog.'!DN:DN),"")</f>
        <v/>
      </c>
      <c r="AT429" s="144" t="str">
        <f>IFERROR(_xlfn.XLOOKUP($B429,'Cronog. e Histog.'!$BZ:$BZ,'Cronog. e Histog.'!DO:DO),"")</f>
        <v/>
      </c>
      <c r="AU429" s="144" t="str">
        <f>IFERROR(_xlfn.XLOOKUP($B429,'Cronog. e Histog.'!$BZ:$BZ,'Cronog. e Histog.'!DP:DP),"")</f>
        <v/>
      </c>
      <c r="AV429" s="144" t="str">
        <f>IFERROR(_xlfn.XLOOKUP($B429,'Cronog. e Histog.'!$BZ:$BZ,'Cronog. e Histog.'!DQ:DQ),"")</f>
        <v/>
      </c>
      <c r="AW429" s="144" t="str">
        <f>IFERROR(_xlfn.XLOOKUP($B429,'Cronog. e Histog.'!$BZ:$BZ,'Cronog. e Histog.'!DR:DR),"")</f>
        <v/>
      </c>
      <c r="AX429" s="144" t="str">
        <f>IFERROR(_xlfn.XLOOKUP($B429,'Cronog. e Histog.'!$BZ:$BZ,'Cronog. e Histog.'!DS:DS),"")</f>
        <v/>
      </c>
      <c r="AY429" s="144" t="str">
        <f>IFERROR(_xlfn.XLOOKUP($B429,'Cronog. e Histog.'!$BZ:$BZ,'Cronog. e Histog.'!DT:DT),"")</f>
        <v/>
      </c>
      <c r="AZ429" s="144" t="str">
        <f>IFERROR(_xlfn.XLOOKUP($B429,'Cronog. e Histog.'!$BZ:$BZ,'Cronog. e Histog.'!DU:DU),"")</f>
        <v/>
      </c>
      <c r="BA429" s="144" t="str">
        <f>IFERROR(_xlfn.XLOOKUP($B429,'Cronog. e Histog.'!$BZ:$BZ,'Cronog. e Histog.'!DV:DV),"")</f>
        <v/>
      </c>
      <c r="BB429" s="144" t="str">
        <f>IFERROR(_xlfn.XLOOKUP($B429,'Cronog. e Histog.'!$BZ:$BZ,'Cronog. e Histog.'!DW:DW),"")</f>
        <v/>
      </c>
      <c r="BC429" s="144" t="str">
        <f>IFERROR(_xlfn.XLOOKUP($B429,'Cronog. e Histog.'!$BZ:$BZ,'Cronog. e Histog.'!DX:DX),"")</f>
        <v/>
      </c>
      <c r="BD429" s="144" t="str">
        <f>IFERROR(_xlfn.XLOOKUP($B429,'Cronog. e Histog.'!$BZ:$BZ,'Cronog. e Histog.'!DY:DY),"")</f>
        <v/>
      </c>
      <c r="BE429" s="144" t="str">
        <f>IFERROR(_xlfn.XLOOKUP($B429,'Cronog. e Histog.'!$BZ:$BZ,'Cronog. e Histog.'!DZ:DZ),"")</f>
        <v/>
      </c>
      <c r="BF429" s="144" t="str">
        <f>IFERROR(_xlfn.XLOOKUP($B429,'Cronog. e Histog.'!$BZ:$BZ,'Cronog. e Histog.'!EA:EA),"")</f>
        <v/>
      </c>
      <c r="BG429" s="144" t="str">
        <f>IFERROR(_xlfn.XLOOKUP($B429,'Cronog. e Histog.'!$BZ:$BZ,'Cronog. e Histog.'!EB:EB),"")</f>
        <v/>
      </c>
      <c r="BH429" s="144" t="str">
        <f>IFERROR(_xlfn.XLOOKUP($B429,'Cronog. e Histog.'!$BZ:$BZ,'Cronog. e Histog.'!EC:EC),"")</f>
        <v/>
      </c>
      <c r="BI429" s="144" t="str">
        <f>IFERROR(_xlfn.XLOOKUP($B429,'Cronog. e Histog.'!$BZ:$BZ,'Cronog. e Histog.'!ED:ED),"")</f>
        <v/>
      </c>
      <c r="BJ429" s="144" t="str">
        <f>IFERROR(_xlfn.XLOOKUP($B429,'Cronog. e Histog.'!$BZ:$BZ,'Cronog. e Histog.'!EE:EE),"")</f>
        <v/>
      </c>
      <c r="BK429" s="144" t="str">
        <f>IFERROR(_xlfn.XLOOKUP($B429,'Cronog. e Histog.'!$BZ:$BZ,'Cronog. e Histog.'!EF:EF),"")</f>
        <v/>
      </c>
      <c r="BL429" s="144" t="str">
        <f>IFERROR(_xlfn.XLOOKUP($B429,'Cronog. e Histog.'!$BZ:$BZ,'Cronog. e Histog.'!EG:EG),"")</f>
        <v/>
      </c>
      <c r="BM429" s="144" t="str">
        <f>IFERROR(_xlfn.XLOOKUP($B429,'Cronog. e Histog.'!$BZ:$BZ,'Cronog. e Histog.'!EH:EH),"")</f>
        <v/>
      </c>
      <c r="BN429" s="144" t="str">
        <f>IFERROR(_xlfn.XLOOKUP($B429,'Cronog. e Histog.'!$BZ:$BZ,'Cronog. e Histog.'!EI:EI),"")</f>
        <v/>
      </c>
    </row>
    <row r="430" spans="2:66" ht="12" hidden="1" customHeight="1" outlineLevel="1">
      <c r="B430" s="76">
        <v>424</v>
      </c>
      <c r="C430" s="143" t="str">
        <f>IFERROR(VLOOKUP(B430,'Cronog. e Histog.'!$BZ$213:$CA$747,2,0),"")</f>
        <v/>
      </c>
      <c r="D430" s="144">
        <f t="shared" si="6"/>
        <v>0</v>
      </c>
      <c r="E430" s="144">
        <f t="shared" si="7"/>
        <v>0</v>
      </c>
      <c r="F430" s="65"/>
      <c r="G430" s="144" t="str">
        <f>IFERROR(_xlfn.XLOOKUP($B430,'Cronog. e Histog.'!$BZ:$BZ,'Cronog. e Histog.'!CB:CB),"")</f>
        <v/>
      </c>
      <c r="H430" s="144" t="str">
        <f>IFERROR(_xlfn.XLOOKUP($B430,'Cronog. e Histog.'!$BZ:$BZ,'Cronog. e Histog.'!CC:CC),"")</f>
        <v/>
      </c>
      <c r="I430" s="144" t="str">
        <f>IFERROR(_xlfn.XLOOKUP($B430,'Cronog. e Histog.'!$BZ:$BZ,'Cronog. e Histog.'!CD:CD),"")</f>
        <v/>
      </c>
      <c r="J430" s="144" t="str">
        <f>IFERROR(_xlfn.XLOOKUP($B430,'Cronog. e Histog.'!$BZ:$BZ,'Cronog. e Histog.'!CE:CE),"")</f>
        <v/>
      </c>
      <c r="K430" s="144" t="str">
        <f>IFERROR(_xlfn.XLOOKUP($B430,'Cronog. e Histog.'!$BZ:$BZ,'Cronog. e Histog.'!CF:CF),"")</f>
        <v/>
      </c>
      <c r="L430" s="144" t="str">
        <f>IFERROR(_xlfn.XLOOKUP($B430,'Cronog. e Histog.'!$BZ:$BZ,'Cronog. e Histog.'!CG:CG),"")</f>
        <v/>
      </c>
      <c r="M430" s="144" t="str">
        <f>IFERROR(_xlfn.XLOOKUP($B430,'Cronog. e Histog.'!$BZ:$BZ,'Cronog. e Histog.'!CH:CH),"")</f>
        <v/>
      </c>
      <c r="N430" s="144" t="str">
        <f>IFERROR(_xlfn.XLOOKUP($B430,'Cronog. e Histog.'!$BZ:$BZ,'Cronog. e Histog.'!CI:CI),"")</f>
        <v/>
      </c>
      <c r="O430" s="144" t="str">
        <f>IFERROR(_xlfn.XLOOKUP($B430,'Cronog. e Histog.'!$BZ:$BZ,'Cronog. e Histog.'!CJ:CJ),"")</f>
        <v/>
      </c>
      <c r="P430" s="144" t="str">
        <f>IFERROR(_xlfn.XLOOKUP($B430,'Cronog. e Histog.'!$BZ:$BZ,'Cronog. e Histog.'!CK:CK),"")</f>
        <v/>
      </c>
      <c r="Q430" s="144" t="str">
        <f>IFERROR(_xlfn.XLOOKUP($B430,'Cronog. e Histog.'!$BZ:$BZ,'Cronog. e Histog.'!CL:CL),"")</f>
        <v/>
      </c>
      <c r="R430" s="144" t="str">
        <f>IFERROR(_xlfn.XLOOKUP($B430,'Cronog. e Histog.'!$BZ:$BZ,'Cronog. e Histog.'!CM:CM),"")</f>
        <v/>
      </c>
      <c r="S430" s="144" t="str">
        <f>IFERROR(_xlfn.XLOOKUP($B430,'Cronog. e Histog.'!$BZ:$BZ,'Cronog. e Histog.'!CN:CN),"")</f>
        <v/>
      </c>
      <c r="T430" s="144" t="str">
        <f>IFERROR(_xlfn.XLOOKUP($B430,'Cronog. e Histog.'!$BZ:$BZ,'Cronog. e Histog.'!CO:CO),"")</f>
        <v/>
      </c>
      <c r="U430" s="144" t="str">
        <f>IFERROR(_xlfn.XLOOKUP($B430,'Cronog. e Histog.'!$BZ:$BZ,'Cronog. e Histog.'!CP:CP),"")</f>
        <v/>
      </c>
      <c r="V430" s="144" t="str">
        <f>IFERROR(_xlfn.XLOOKUP($B430,'Cronog. e Histog.'!$BZ:$BZ,'Cronog. e Histog.'!CQ:CQ),"")</f>
        <v/>
      </c>
      <c r="W430" s="144" t="str">
        <f>IFERROR(_xlfn.XLOOKUP($B430,'Cronog. e Histog.'!$BZ:$BZ,'Cronog. e Histog.'!CR:CR),"")</f>
        <v/>
      </c>
      <c r="X430" s="144" t="str">
        <f>IFERROR(_xlfn.XLOOKUP($B430,'Cronog. e Histog.'!$BZ:$BZ,'Cronog. e Histog.'!CS:CS),"")</f>
        <v/>
      </c>
      <c r="Y430" s="144" t="str">
        <f>IFERROR(_xlfn.XLOOKUP($B430,'Cronog. e Histog.'!$BZ:$BZ,'Cronog. e Histog.'!CT:CT),"")</f>
        <v/>
      </c>
      <c r="Z430" s="144" t="str">
        <f>IFERROR(_xlfn.XLOOKUP($B430,'Cronog. e Histog.'!$BZ:$BZ,'Cronog. e Histog.'!CU:CU),"")</f>
        <v/>
      </c>
      <c r="AA430" s="144" t="str">
        <f>IFERROR(_xlfn.XLOOKUP($B430,'Cronog. e Histog.'!$BZ:$BZ,'Cronog. e Histog.'!CV:CV),"")</f>
        <v/>
      </c>
      <c r="AB430" s="144" t="str">
        <f>IFERROR(_xlfn.XLOOKUP($B430,'Cronog. e Histog.'!$BZ:$BZ,'Cronog. e Histog.'!CW:CW),"")</f>
        <v/>
      </c>
      <c r="AC430" s="144" t="str">
        <f>IFERROR(_xlfn.XLOOKUP($B430,'Cronog. e Histog.'!$BZ:$BZ,'Cronog. e Histog.'!CX:CX),"")</f>
        <v/>
      </c>
      <c r="AD430" s="144" t="str">
        <f>IFERROR(_xlfn.XLOOKUP($B430,'Cronog. e Histog.'!$BZ:$BZ,'Cronog. e Histog.'!CY:CY),"")</f>
        <v/>
      </c>
      <c r="AE430" s="144" t="str">
        <f>IFERROR(_xlfn.XLOOKUP($B430,'Cronog. e Histog.'!$BZ:$BZ,'Cronog. e Histog.'!CZ:CZ),"")</f>
        <v/>
      </c>
      <c r="AF430" s="144" t="str">
        <f>IFERROR(_xlfn.XLOOKUP($B430,'Cronog. e Histog.'!$BZ:$BZ,'Cronog. e Histog.'!DA:DA),"")</f>
        <v/>
      </c>
      <c r="AG430" s="144" t="str">
        <f>IFERROR(_xlfn.XLOOKUP($B430,'Cronog. e Histog.'!$BZ:$BZ,'Cronog. e Histog.'!DB:DB),"")</f>
        <v/>
      </c>
      <c r="AH430" s="144" t="str">
        <f>IFERROR(_xlfn.XLOOKUP($B430,'Cronog. e Histog.'!$BZ:$BZ,'Cronog. e Histog.'!DC:DC),"")</f>
        <v/>
      </c>
      <c r="AI430" s="144" t="str">
        <f>IFERROR(_xlfn.XLOOKUP($B430,'Cronog. e Histog.'!$BZ:$BZ,'Cronog. e Histog.'!DD:DD),"")</f>
        <v/>
      </c>
      <c r="AJ430" s="144" t="str">
        <f>IFERROR(_xlfn.XLOOKUP($B430,'Cronog. e Histog.'!$BZ:$BZ,'Cronog. e Histog.'!DE:DE),"")</f>
        <v/>
      </c>
      <c r="AK430" s="144" t="str">
        <f>IFERROR(_xlfn.XLOOKUP($B430,'Cronog. e Histog.'!$BZ:$BZ,'Cronog. e Histog.'!DF:DF),"")</f>
        <v/>
      </c>
      <c r="AL430" s="144" t="str">
        <f>IFERROR(_xlfn.XLOOKUP($B430,'Cronog. e Histog.'!$BZ:$BZ,'Cronog. e Histog.'!DG:DG),"")</f>
        <v/>
      </c>
      <c r="AM430" s="144" t="str">
        <f>IFERROR(_xlfn.XLOOKUP($B430,'Cronog. e Histog.'!$BZ:$BZ,'Cronog. e Histog.'!DH:DH),"")</f>
        <v/>
      </c>
      <c r="AN430" s="144" t="str">
        <f>IFERROR(_xlfn.XLOOKUP($B430,'Cronog. e Histog.'!$BZ:$BZ,'Cronog. e Histog.'!DI:DI),"")</f>
        <v/>
      </c>
      <c r="AO430" s="144" t="str">
        <f>IFERROR(_xlfn.XLOOKUP($B430,'Cronog. e Histog.'!$BZ:$BZ,'Cronog. e Histog.'!DJ:DJ),"")</f>
        <v/>
      </c>
      <c r="AP430" s="144" t="str">
        <f>IFERROR(_xlfn.XLOOKUP($B430,'Cronog. e Histog.'!$BZ:$BZ,'Cronog. e Histog.'!DK:DK),"")</f>
        <v/>
      </c>
      <c r="AQ430" s="144" t="str">
        <f>IFERROR(_xlfn.XLOOKUP($B430,'Cronog. e Histog.'!$BZ:$BZ,'Cronog. e Histog.'!DL:DL),"")</f>
        <v/>
      </c>
      <c r="AR430" s="144" t="str">
        <f>IFERROR(_xlfn.XLOOKUP($B430,'Cronog. e Histog.'!$BZ:$BZ,'Cronog. e Histog.'!DM:DM),"")</f>
        <v/>
      </c>
      <c r="AS430" s="144" t="str">
        <f>IFERROR(_xlfn.XLOOKUP($B430,'Cronog. e Histog.'!$BZ:$BZ,'Cronog. e Histog.'!DN:DN),"")</f>
        <v/>
      </c>
      <c r="AT430" s="144" t="str">
        <f>IFERROR(_xlfn.XLOOKUP($B430,'Cronog. e Histog.'!$BZ:$BZ,'Cronog. e Histog.'!DO:DO),"")</f>
        <v/>
      </c>
      <c r="AU430" s="144" t="str">
        <f>IFERROR(_xlfn.XLOOKUP($B430,'Cronog. e Histog.'!$BZ:$BZ,'Cronog. e Histog.'!DP:DP),"")</f>
        <v/>
      </c>
      <c r="AV430" s="144" t="str">
        <f>IFERROR(_xlfn.XLOOKUP($B430,'Cronog. e Histog.'!$BZ:$BZ,'Cronog. e Histog.'!DQ:DQ),"")</f>
        <v/>
      </c>
      <c r="AW430" s="144" t="str">
        <f>IFERROR(_xlfn.XLOOKUP($B430,'Cronog. e Histog.'!$BZ:$BZ,'Cronog. e Histog.'!DR:DR),"")</f>
        <v/>
      </c>
      <c r="AX430" s="144" t="str">
        <f>IFERROR(_xlfn.XLOOKUP($B430,'Cronog. e Histog.'!$BZ:$BZ,'Cronog. e Histog.'!DS:DS),"")</f>
        <v/>
      </c>
      <c r="AY430" s="144" t="str">
        <f>IFERROR(_xlfn.XLOOKUP($B430,'Cronog. e Histog.'!$BZ:$BZ,'Cronog. e Histog.'!DT:DT),"")</f>
        <v/>
      </c>
      <c r="AZ430" s="144" t="str">
        <f>IFERROR(_xlfn.XLOOKUP($B430,'Cronog. e Histog.'!$BZ:$BZ,'Cronog. e Histog.'!DU:DU),"")</f>
        <v/>
      </c>
      <c r="BA430" s="144" t="str">
        <f>IFERROR(_xlfn.XLOOKUP($B430,'Cronog. e Histog.'!$BZ:$BZ,'Cronog. e Histog.'!DV:DV),"")</f>
        <v/>
      </c>
      <c r="BB430" s="144" t="str">
        <f>IFERROR(_xlfn.XLOOKUP($B430,'Cronog. e Histog.'!$BZ:$BZ,'Cronog. e Histog.'!DW:DW),"")</f>
        <v/>
      </c>
      <c r="BC430" s="144" t="str">
        <f>IFERROR(_xlfn.XLOOKUP($B430,'Cronog. e Histog.'!$BZ:$BZ,'Cronog. e Histog.'!DX:DX),"")</f>
        <v/>
      </c>
      <c r="BD430" s="144" t="str">
        <f>IFERROR(_xlfn.XLOOKUP($B430,'Cronog. e Histog.'!$BZ:$BZ,'Cronog. e Histog.'!DY:DY),"")</f>
        <v/>
      </c>
      <c r="BE430" s="144" t="str">
        <f>IFERROR(_xlfn.XLOOKUP($B430,'Cronog. e Histog.'!$BZ:$BZ,'Cronog. e Histog.'!DZ:DZ),"")</f>
        <v/>
      </c>
      <c r="BF430" s="144" t="str">
        <f>IFERROR(_xlfn.XLOOKUP($B430,'Cronog. e Histog.'!$BZ:$BZ,'Cronog. e Histog.'!EA:EA),"")</f>
        <v/>
      </c>
      <c r="BG430" s="144" t="str">
        <f>IFERROR(_xlfn.XLOOKUP($B430,'Cronog. e Histog.'!$BZ:$BZ,'Cronog. e Histog.'!EB:EB),"")</f>
        <v/>
      </c>
      <c r="BH430" s="144" t="str">
        <f>IFERROR(_xlfn.XLOOKUP($B430,'Cronog. e Histog.'!$BZ:$BZ,'Cronog. e Histog.'!EC:EC),"")</f>
        <v/>
      </c>
      <c r="BI430" s="144" t="str">
        <f>IFERROR(_xlfn.XLOOKUP($B430,'Cronog. e Histog.'!$BZ:$BZ,'Cronog. e Histog.'!ED:ED),"")</f>
        <v/>
      </c>
      <c r="BJ430" s="144" t="str">
        <f>IFERROR(_xlfn.XLOOKUP($B430,'Cronog. e Histog.'!$BZ:$BZ,'Cronog. e Histog.'!EE:EE),"")</f>
        <v/>
      </c>
      <c r="BK430" s="144" t="str">
        <f>IFERROR(_xlfn.XLOOKUP($B430,'Cronog. e Histog.'!$BZ:$BZ,'Cronog. e Histog.'!EF:EF),"")</f>
        <v/>
      </c>
      <c r="BL430" s="144" t="str">
        <f>IFERROR(_xlfn.XLOOKUP($B430,'Cronog. e Histog.'!$BZ:$BZ,'Cronog. e Histog.'!EG:EG),"")</f>
        <v/>
      </c>
      <c r="BM430" s="144" t="str">
        <f>IFERROR(_xlfn.XLOOKUP($B430,'Cronog. e Histog.'!$BZ:$BZ,'Cronog. e Histog.'!EH:EH),"")</f>
        <v/>
      </c>
      <c r="BN430" s="144" t="str">
        <f>IFERROR(_xlfn.XLOOKUP($B430,'Cronog. e Histog.'!$BZ:$BZ,'Cronog. e Histog.'!EI:EI),"")</f>
        <v/>
      </c>
    </row>
    <row r="431" spans="2:66" ht="12" hidden="1" customHeight="1" outlineLevel="1">
      <c r="B431" s="76">
        <v>425</v>
      </c>
      <c r="C431" s="143" t="str">
        <f>IFERROR(VLOOKUP(B431,'Cronog. e Histog.'!$BZ$213:$CA$747,2,0),"")</f>
        <v/>
      </c>
      <c r="D431" s="144">
        <f t="shared" si="6"/>
        <v>0</v>
      </c>
      <c r="E431" s="144">
        <f t="shared" si="7"/>
        <v>0</v>
      </c>
      <c r="F431" s="65"/>
      <c r="G431" s="144" t="str">
        <f>IFERROR(_xlfn.XLOOKUP($B431,'Cronog. e Histog.'!$BZ:$BZ,'Cronog. e Histog.'!CB:CB),"")</f>
        <v/>
      </c>
      <c r="H431" s="144" t="str">
        <f>IFERROR(_xlfn.XLOOKUP($B431,'Cronog. e Histog.'!$BZ:$BZ,'Cronog. e Histog.'!CC:CC),"")</f>
        <v/>
      </c>
      <c r="I431" s="144" t="str">
        <f>IFERROR(_xlfn.XLOOKUP($B431,'Cronog. e Histog.'!$BZ:$BZ,'Cronog. e Histog.'!CD:CD),"")</f>
        <v/>
      </c>
      <c r="J431" s="144" t="str">
        <f>IFERROR(_xlfn.XLOOKUP($B431,'Cronog. e Histog.'!$BZ:$BZ,'Cronog. e Histog.'!CE:CE),"")</f>
        <v/>
      </c>
      <c r="K431" s="144" t="str">
        <f>IFERROR(_xlfn.XLOOKUP($B431,'Cronog. e Histog.'!$BZ:$BZ,'Cronog. e Histog.'!CF:CF),"")</f>
        <v/>
      </c>
      <c r="L431" s="144" t="str">
        <f>IFERROR(_xlfn.XLOOKUP($B431,'Cronog. e Histog.'!$BZ:$BZ,'Cronog. e Histog.'!CG:CG),"")</f>
        <v/>
      </c>
      <c r="M431" s="144" t="str">
        <f>IFERROR(_xlfn.XLOOKUP($B431,'Cronog. e Histog.'!$BZ:$BZ,'Cronog. e Histog.'!CH:CH),"")</f>
        <v/>
      </c>
      <c r="N431" s="144" t="str">
        <f>IFERROR(_xlfn.XLOOKUP($B431,'Cronog. e Histog.'!$BZ:$BZ,'Cronog. e Histog.'!CI:CI),"")</f>
        <v/>
      </c>
      <c r="O431" s="144" t="str">
        <f>IFERROR(_xlfn.XLOOKUP($B431,'Cronog. e Histog.'!$BZ:$BZ,'Cronog. e Histog.'!CJ:CJ),"")</f>
        <v/>
      </c>
      <c r="P431" s="144" t="str">
        <f>IFERROR(_xlfn.XLOOKUP($B431,'Cronog. e Histog.'!$BZ:$BZ,'Cronog. e Histog.'!CK:CK),"")</f>
        <v/>
      </c>
      <c r="Q431" s="144" t="str">
        <f>IFERROR(_xlfn.XLOOKUP($B431,'Cronog. e Histog.'!$BZ:$BZ,'Cronog. e Histog.'!CL:CL),"")</f>
        <v/>
      </c>
      <c r="R431" s="144" t="str">
        <f>IFERROR(_xlfn.XLOOKUP($B431,'Cronog. e Histog.'!$BZ:$BZ,'Cronog. e Histog.'!CM:CM),"")</f>
        <v/>
      </c>
      <c r="S431" s="144" t="str">
        <f>IFERROR(_xlfn.XLOOKUP($B431,'Cronog. e Histog.'!$BZ:$BZ,'Cronog. e Histog.'!CN:CN),"")</f>
        <v/>
      </c>
      <c r="T431" s="144" t="str">
        <f>IFERROR(_xlfn.XLOOKUP($B431,'Cronog. e Histog.'!$BZ:$BZ,'Cronog. e Histog.'!CO:CO),"")</f>
        <v/>
      </c>
      <c r="U431" s="144" t="str">
        <f>IFERROR(_xlfn.XLOOKUP($B431,'Cronog. e Histog.'!$BZ:$BZ,'Cronog. e Histog.'!CP:CP),"")</f>
        <v/>
      </c>
      <c r="V431" s="144" t="str">
        <f>IFERROR(_xlfn.XLOOKUP($B431,'Cronog. e Histog.'!$BZ:$BZ,'Cronog. e Histog.'!CQ:CQ),"")</f>
        <v/>
      </c>
      <c r="W431" s="144" t="str">
        <f>IFERROR(_xlfn.XLOOKUP($B431,'Cronog. e Histog.'!$BZ:$BZ,'Cronog. e Histog.'!CR:CR),"")</f>
        <v/>
      </c>
      <c r="X431" s="144" t="str">
        <f>IFERROR(_xlfn.XLOOKUP($B431,'Cronog. e Histog.'!$BZ:$BZ,'Cronog. e Histog.'!CS:CS),"")</f>
        <v/>
      </c>
      <c r="Y431" s="144" t="str">
        <f>IFERROR(_xlfn.XLOOKUP($B431,'Cronog. e Histog.'!$BZ:$BZ,'Cronog. e Histog.'!CT:CT),"")</f>
        <v/>
      </c>
      <c r="Z431" s="144" t="str">
        <f>IFERROR(_xlfn.XLOOKUP($B431,'Cronog. e Histog.'!$BZ:$BZ,'Cronog. e Histog.'!CU:CU),"")</f>
        <v/>
      </c>
      <c r="AA431" s="144" t="str">
        <f>IFERROR(_xlfn.XLOOKUP($B431,'Cronog. e Histog.'!$BZ:$BZ,'Cronog. e Histog.'!CV:CV),"")</f>
        <v/>
      </c>
      <c r="AB431" s="144" t="str">
        <f>IFERROR(_xlfn.XLOOKUP($B431,'Cronog. e Histog.'!$BZ:$BZ,'Cronog. e Histog.'!CW:CW),"")</f>
        <v/>
      </c>
      <c r="AC431" s="144" t="str">
        <f>IFERROR(_xlfn.XLOOKUP($B431,'Cronog. e Histog.'!$BZ:$BZ,'Cronog. e Histog.'!CX:CX),"")</f>
        <v/>
      </c>
      <c r="AD431" s="144" t="str">
        <f>IFERROR(_xlfn.XLOOKUP($B431,'Cronog. e Histog.'!$BZ:$BZ,'Cronog. e Histog.'!CY:CY),"")</f>
        <v/>
      </c>
      <c r="AE431" s="144" t="str">
        <f>IFERROR(_xlfn.XLOOKUP($B431,'Cronog. e Histog.'!$BZ:$BZ,'Cronog. e Histog.'!CZ:CZ),"")</f>
        <v/>
      </c>
      <c r="AF431" s="144" t="str">
        <f>IFERROR(_xlfn.XLOOKUP($B431,'Cronog. e Histog.'!$BZ:$BZ,'Cronog. e Histog.'!DA:DA),"")</f>
        <v/>
      </c>
      <c r="AG431" s="144" t="str">
        <f>IFERROR(_xlfn.XLOOKUP($B431,'Cronog. e Histog.'!$BZ:$BZ,'Cronog. e Histog.'!DB:DB),"")</f>
        <v/>
      </c>
      <c r="AH431" s="144" t="str">
        <f>IFERROR(_xlfn.XLOOKUP($B431,'Cronog. e Histog.'!$BZ:$BZ,'Cronog. e Histog.'!DC:DC),"")</f>
        <v/>
      </c>
      <c r="AI431" s="144" t="str">
        <f>IFERROR(_xlfn.XLOOKUP($B431,'Cronog. e Histog.'!$BZ:$BZ,'Cronog. e Histog.'!DD:DD),"")</f>
        <v/>
      </c>
      <c r="AJ431" s="144" t="str">
        <f>IFERROR(_xlfn.XLOOKUP($B431,'Cronog. e Histog.'!$BZ:$BZ,'Cronog. e Histog.'!DE:DE),"")</f>
        <v/>
      </c>
      <c r="AK431" s="144" t="str">
        <f>IFERROR(_xlfn.XLOOKUP($B431,'Cronog. e Histog.'!$BZ:$BZ,'Cronog. e Histog.'!DF:DF),"")</f>
        <v/>
      </c>
      <c r="AL431" s="144" t="str">
        <f>IFERROR(_xlfn.XLOOKUP($B431,'Cronog. e Histog.'!$BZ:$BZ,'Cronog. e Histog.'!DG:DG),"")</f>
        <v/>
      </c>
      <c r="AM431" s="144" t="str">
        <f>IFERROR(_xlfn.XLOOKUP($B431,'Cronog. e Histog.'!$BZ:$BZ,'Cronog. e Histog.'!DH:DH),"")</f>
        <v/>
      </c>
      <c r="AN431" s="144" t="str">
        <f>IFERROR(_xlfn.XLOOKUP($B431,'Cronog. e Histog.'!$BZ:$BZ,'Cronog. e Histog.'!DI:DI),"")</f>
        <v/>
      </c>
      <c r="AO431" s="144" t="str">
        <f>IFERROR(_xlfn.XLOOKUP($B431,'Cronog. e Histog.'!$BZ:$BZ,'Cronog. e Histog.'!DJ:DJ),"")</f>
        <v/>
      </c>
      <c r="AP431" s="144" t="str">
        <f>IFERROR(_xlfn.XLOOKUP($B431,'Cronog. e Histog.'!$BZ:$BZ,'Cronog. e Histog.'!DK:DK),"")</f>
        <v/>
      </c>
      <c r="AQ431" s="144" t="str">
        <f>IFERROR(_xlfn.XLOOKUP($B431,'Cronog. e Histog.'!$BZ:$BZ,'Cronog. e Histog.'!DL:DL),"")</f>
        <v/>
      </c>
      <c r="AR431" s="144" t="str">
        <f>IFERROR(_xlfn.XLOOKUP($B431,'Cronog. e Histog.'!$BZ:$BZ,'Cronog. e Histog.'!DM:DM),"")</f>
        <v/>
      </c>
      <c r="AS431" s="144" t="str">
        <f>IFERROR(_xlfn.XLOOKUP($B431,'Cronog. e Histog.'!$BZ:$BZ,'Cronog. e Histog.'!DN:DN),"")</f>
        <v/>
      </c>
      <c r="AT431" s="144" t="str">
        <f>IFERROR(_xlfn.XLOOKUP($B431,'Cronog. e Histog.'!$BZ:$BZ,'Cronog. e Histog.'!DO:DO),"")</f>
        <v/>
      </c>
      <c r="AU431" s="144" t="str">
        <f>IFERROR(_xlfn.XLOOKUP($B431,'Cronog. e Histog.'!$BZ:$BZ,'Cronog. e Histog.'!DP:DP),"")</f>
        <v/>
      </c>
      <c r="AV431" s="144" t="str">
        <f>IFERROR(_xlfn.XLOOKUP($B431,'Cronog. e Histog.'!$BZ:$BZ,'Cronog. e Histog.'!DQ:DQ),"")</f>
        <v/>
      </c>
      <c r="AW431" s="144" t="str">
        <f>IFERROR(_xlfn.XLOOKUP($B431,'Cronog. e Histog.'!$BZ:$BZ,'Cronog. e Histog.'!DR:DR),"")</f>
        <v/>
      </c>
      <c r="AX431" s="144" t="str">
        <f>IFERROR(_xlfn.XLOOKUP($B431,'Cronog. e Histog.'!$BZ:$BZ,'Cronog. e Histog.'!DS:DS),"")</f>
        <v/>
      </c>
      <c r="AY431" s="144" t="str">
        <f>IFERROR(_xlfn.XLOOKUP($B431,'Cronog. e Histog.'!$BZ:$BZ,'Cronog. e Histog.'!DT:DT),"")</f>
        <v/>
      </c>
      <c r="AZ431" s="144" t="str">
        <f>IFERROR(_xlfn.XLOOKUP($B431,'Cronog. e Histog.'!$BZ:$BZ,'Cronog. e Histog.'!DU:DU),"")</f>
        <v/>
      </c>
      <c r="BA431" s="144" t="str">
        <f>IFERROR(_xlfn.XLOOKUP($B431,'Cronog. e Histog.'!$BZ:$BZ,'Cronog. e Histog.'!DV:DV),"")</f>
        <v/>
      </c>
      <c r="BB431" s="144" t="str">
        <f>IFERROR(_xlfn.XLOOKUP($B431,'Cronog. e Histog.'!$BZ:$BZ,'Cronog. e Histog.'!DW:DW),"")</f>
        <v/>
      </c>
      <c r="BC431" s="144" t="str">
        <f>IFERROR(_xlfn.XLOOKUP($B431,'Cronog. e Histog.'!$BZ:$BZ,'Cronog. e Histog.'!DX:DX),"")</f>
        <v/>
      </c>
      <c r="BD431" s="144" t="str">
        <f>IFERROR(_xlfn.XLOOKUP($B431,'Cronog. e Histog.'!$BZ:$BZ,'Cronog. e Histog.'!DY:DY),"")</f>
        <v/>
      </c>
      <c r="BE431" s="144" t="str">
        <f>IFERROR(_xlfn.XLOOKUP($B431,'Cronog. e Histog.'!$BZ:$BZ,'Cronog. e Histog.'!DZ:DZ),"")</f>
        <v/>
      </c>
      <c r="BF431" s="144" t="str">
        <f>IFERROR(_xlfn.XLOOKUP($B431,'Cronog. e Histog.'!$BZ:$BZ,'Cronog. e Histog.'!EA:EA),"")</f>
        <v/>
      </c>
      <c r="BG431" s="144" t="str">
        <f>IFERROR(_xlfn.XLOOKUP($B431,'Cronog. e Histog.'!$BZ:$BZ,'Cronog. e Histog.'!EB:EB),"")</f>
        <v/>
      </c>
      <c r="BH431" s="144" t="str">
        <f>IFERROR(_xlfn.XLOOKUP($B431,'Cronog. e Histog.'!$BZ:$BZ,'Cronog. e Histog.'!EC:EC),"")</f>
        <v/>
      </c>
      <c r="BI431" s="144" t="str">
        <f>IFERROR(_xlfn.XLOOKUP($B431,'Cronog. e Histog.'!$BZ:$BZ,'Cronog. e Histog.'!ED:ED),"")</f>
        <v/>
      </c>
      <c r="BJ431" s="144" t="str">
        <f>IFERROR(_xlfn.XLOOKUP($B431,'Cronog. e Histog.'!$BZ:$BZ,'Cronog. e Histog.'!EE:EE),"")</f>
        <v/>
      </c>
      <c r="BK431" s="144" t="str">
        <f>IFERROR(_xlfn.XLOOKUP($B431,'Cronog. e Histog.'!$BZ:$BZ,'Cronog. e Histog.'!EF:EF),"")</f>
        <v/>
      </c>
      <c r="BL431" s="144" t="str">
        <f>IFERROR(_xlfn.XLOOKUP($B431,'Cronog. e Histog.'!$BZ:$BZ,'Cronog. e Histog.'!EG:EG),"")</f>
        <v/>
      </c>
      <c r="BM431" s="144" t="str">
        <f>IFERROR(_xlfn.XLOOKUP($B431,'Cronog. e Histog.'!$BZ:$BZ,'Cronog. e Histog.'!EH:EH),"")</f>
        <v/>
      </c>
      <c r="BN431" s="144" t="str">
        <f>IFERROR(_xlfn.XLOOKUP($B431,'Cronog. e Histog.'!$BZ:$BZ,'Cronog. e Histog.'!EI:EI),"")</f>
        <v/>
      </c>
    </row>
    <row r="432" spans="2:66" ht="12" hidden="1" customHeight="1" outlineLevel="1">
      <c r="B432" s="76">
        <v>426</v>
      </c>
      <c r="C432" s="143" t="str">
        <f>IFERROR(VLOOKUP(B432,'Cronog. e Histog.'!$BZ$213:$CA$747,2,0),"")</f>
        <v/>
      </c>
      <c r="D432" s="144">
        <f t="shared" si="6"/>
        <v>0</v>
      </c>
      <c r="E432" s="144">
        <f t="shared" si="7"/>
        <v>0</v>
      </c>
      <c r="F432" s="65"/>
      <c r="G432" s="144" t="str">
        <f>IFERROR(_xlfn.XLOOKUP($B432,'Cronog. e Histog.'!$BZ:$BZ,'Cronog. e Histog.'!CB:CB),"")</f>
        <v/>
      </c>
      <c r="H432" s="144" t="str">
        <f>IFERROR(_xlfn.XLOOKUP($B432,'Cronog. e Histog.'!$BZ:$BZ,'Cronog. e Histog.'!CC:CC),"")</f>
        <v/>
      </c>
      <c r="I432" s="144" t="str">
        <f>IFERROR(_xlfn.XLOOKUP($B432,'Cronog. e Histog.'!$BZ:$BZ,'Cronog. e Histog.'!CD:CD),"")</f>
        <v/>
      </c>
      <c r="J432" s="144" t="str">
        <f>IFERROR(_xlfn.XLOOKUP($B432,'Cronog. e Histog.'!$BZ:$BZ,'Cronog. e Histog.'!CE:CE),"")</f>
        <v/>
      </c>
      <c r="K432" s="144" t="str">
        <f>IFERROR(_xlfn.XLOOKUP($B432,'Cronog. e Histog.'!$BZ:$BZ,'Cronog. e Histog.'!CF:CF),"")</f>
        <v/>
      </c>
      <c r="L432" s="144" t="str">
        <f>IFERROR(_xlfn.XLOOKUP($B432,'Cronog. e Histog.'!$BZ:$BZ,'Cronog. e Histog.'!CG:CG),"")</f>
        <v/>
      </c>
      <c r="M432" s="144" t="str">
        <f>IFERROR(_xlfn.XLOOKUP($B432,'Cronog. e Histog.'!$BZ:$BZ,'Cronog. e Histog.'!CH:CH),"")</f>
        <v/>
      </c>
      <c r="N432" s="144" t="str">
        <f>IFERROR(_xlfn.XLOOKUP($B432,'Cronog. e Histog.'!$BZ:$BZ,'Cronog. e Histog.'!CI:CI),"")</f>
        <v/>
      </c>
      <c r="O432" s="144" t="str">
        <f>IFERROR(_xlfn.XLOOKUP($B432,'Cronog. e Histog.'!$BZ:$BZ,'Cronog. e Histog.'!CJ:CJ),"")</f>
        <v/>
      </c>
      <c r="P432" s="144" t="str">
        <f>IFERROR(_xlfn.XLOOKUP($B432,'Cronog. e Histog.'!$BZ:$BZ,'Cronog. e Histog.'!CK:CK),"")</f>
        <v/>
      </c>
      <c r="Q432" s="144" t="str">
        <f>IFERROR(_xlfn.XLOOKUP($B432,'Cronog. e Histog.'!$BZ:$BZ,'Cronog. e Histog.'!CL:CL),"")</f>
        <v/>
      </c>
      <c r="R432" s="144" t="str">
        <f>IFERROR(_xlfn.XLOOKUP($B432,'Cronog. e Histog.'!$BZ:$BZ,'Cronog. e Histog.'!CM:CM),"")</f>
        <v/>
      </c>
      <c r="S432" s="144" t="str">
        <f>IFERROR(_xlfn.XLOOKUP($B432,'Cronog. e Histog.'!$BZ:$BZ,'Cronog. e Histog.'!CN:CN),"")</f>
        <v/>
      </c>
      <c r="T432" s="144" t="str">
        <f>IFERROR(_xlfn.XLOOKUP($B432,'Cronog. e Histog.'!$BZ:$BZ,'Cronog. e Histog.'!CO:CO),"")</f>
        <v/>
      </c>
      <c r="U432" s="144" t="str">
        <f>IFERROR(_xlfn.XLOOKUP($B432,'Cronog. e Histog.'!$BZ:$BZ,'Cronog. e Histog.'!CP:CP),"")</f>
        <v/>
      </c>
      <c r="V432" s="144" t="str">
        <f>IFERROR(_xlfn.XLOOKUP($B432,'Cronog. e Histog.'!$BZ:$BZ,'Cronog. e Histog.'!CQ:CQ),"")</f>
        <v/>
      </c>
      <c r="W432" s="144" t="str">
        <f>IFERROR(_xlfn.XLOOKUP($B432,'Cronog. e Histog.'!$BZ:$BZ,'Cronog. e Histog.'!CR:CR),"")</f>
        <v/>
      </c>
      <c r="X432" s="144" t="str">
        <f>IFERROR(_xlfn.XLOOKUP($B432,'Cronog. e Histog.'!$BZ:$BZ,'Cronog. e Histog.'!CS:CS),"")</f>
        <v/>
      </c>
      <c r="Y432" s="144" t="str">
        <f>IFERROR(_xlfn.XLOOKUP($B432,'Cronog. e Histog.'!$BZ:$BZ,'Cronog. e Histog.'!CT:CT),"")</f>
        <v/>
      </c>
      <c r="Z432" s="144" t="str">
        <f>IFERROR(_xlfn.XLOOKUP($B432,'Cronog. e Histog.'!$BZ:$BZ,'Cronog. e Histog.'!CU:CU),"")</f>
        <v/>
      </c>
      <c r="AA432" s="144" t="str">
        <f>IFERROR(_xlfn.XLOOKUP($B432,'Cronog. e Histog.'!$BZ:$BZ,'Cronog. e Histog.'!CV:CV),"")</f>
        <v/>
      </c>
      <c r="AB432" s="144" t="str">
        <f>IFERROR(_xlfn.XLOOKUP($B432,'Cronog. e Histog.'!$BZ:$BZ,'Cronog. e Histog.'!CW:CW),"")</f>
        <v/>
      </c>
      <c r="AC432" s="144" t="str">
        <f>IFERROR(_xlfn.XLOOKUP($B432,'Cronog. e Histog.'!$BZ:$BZ,'Cronog. e Histog.'!CX:CX),"")</f>
        <v/>
      </c>
      <c r="AD432" s="144" t="str">
        <f>IFERROR(_xlfn.XLOOKUP($B432,'Cronog. e Histog.'!$BZ:$BZ,'Cronog. e Histog.'!CY:CY),"")</f>
        <v/>
      </c>
      <c r="AE432" s="144" t="str">
        <f>IFERROR(_xlfn.XLOOKUP($B432,'Cronog. e Histog.'!$BZ:$BZ,'Cronog. e Histog.'!CZ:CZ),"")</f>
        <v/>
      </c>
      <c r="AF432" s="144" t="str">
        <f>IFERROR(_xlfn.XLOOKUP($B432,'Cronog. e Histog.'!$BZ:$BZ,'Cronog. e Histog.'!DA:DA),"")</f>
        <v/>
      </c>
      <c r="AG432" s="144" t="str">
        <f>IFERROR(_xlfn.XLOOKUP($B432,'Cronog. e Histog.'!$BZ:$BZ,'Cronog. e Histog.'!DB:DB),"")</f>
        <v/>
      </c>
      <c r="AH432" s="144" t="str">
        <f>IFERROR(_xlfn.XLOOKUP($B432,'Cronog. e Histog.'!$BZ:$BZ,'Cronog. e Histog.'!DC:DC),"")</f>
        <v/>
      </c>
      <c r="AI432" s="144" t="str">
        <f>IFERROR(_xlfn.XLOOKUP($B432,'Cronog. e Histog.'!$BZ:$BZ,'Cronog. e Histog.'!DD:DD),"")</f>
        <v/>
      </c>
      <c r="AJ432" s="144" t="str">
        <f>IFERROR(_xlfn.XLOOKUP($B432,'Cronog. e Histog.'!$BZ:$BZ,'Cronog. e Histog.'!DE:DE),"")</f>
        <v/>
      </c>
      <c r="AK432" s="144" t="str">
        <f>IFERROR(_xlfn.XLOOKUP($B432,'Cronog. e Histog.'!$BZ:$BZ,'Cronog. e Histog.'!DF:DF),"")</f>
        <v/>
      </c>
      <c r="AL432" s="144" t="str">
        <f>IFERROR(_xlfn.XLOOKUP($B432,'Cronog. e Histog.'!$BZ:$BZ,'Cronog. e Histog.'!DG:DG),"")</f>
        <v/>
      </c>
      <c r="AM432" s="144" t="str">
        <f>IFERROR(_xlfn.XLOOKUP($B432,'Cronog. e Histog.'!$BZ:$BZ,'Cronog. e Histog.'!DH:DH),"")</f>
        <v/>
      </c>
      <c r="AN432" s="144" t="str">
        <f>IFERROR(_xlfn.XLOOKUP($B432,'Cronog. e Histog.'!$BZ:$BZ,'Cronog. e Histog.'!DI:DI),"")</f>
        <v/>
      </c>
      <c r="AO432" s="144" t="str">
        <f>IFERROR(_xlfn.XLOOKUP($B432,'Cronog. e Histog.'!$BZ:$BZ,'Cronog. e Histog.'!DJ:DJ),"")</f>
        <v/>
      </c>
      <c r="AP432" s="144" t="str">
        <f>IFERROR(_xlfn.XLOOKUP($B432,'Cronog. e Histog.'!$BZ:$BZ,'Cronog. e Histog.'!DK:DK),"")</f>
        <v/>
      </c>
      <c r="AQ432" s="144" t="str">
        <f>IFERROR(_xlfn.XLOOKUP($B432,'Cronog. e Histog.'!$BZ:$BZ,'Cronog. e Histog.'!DL:DL),"")</f>
        <v/>
      </c>
      <c r="AR432" s="144" t="str">
        <f>IFERROR(_xlfn.XLOOKUP($B432,'Cronog. e Histog.'!$BZ:$BZ,'Cronog. e Histog.'!DM:DM),"")</f>
        <v/>
      </c>
      <c r="AS432" s="144" t="str">
        <f>IFERROR(_xlfn.XLOOKUP($B432,'Cronog. e Histog.'!$BZ:$BZ,'Cronog. e Histog.'!DN:DN),"")</f>
        <v/>
      </c>
      <c r="AT432" s="144" t="str">
        <f>IFERROR(_xlfn.XLOOKUP($B432,'Cronog. e Histog.'!$BZ:$BZ,'Cronog. e Histog.'!DO:DO),"")</f>
        <v/>
      </c>
      <c r="AU432" s="144" t="str">
        <f>IFERROR(_xlfn.XLOOKUP($B432,'Cronog. e Histog.'!$BZ:$BZ,'Cronog. e Histog.'!DP:DP),"")</f>
        <v/>
      </c>
      <c r="AV432" s="144" t="str">
        <f>IFERROR(_xlfn.XLOOKUP($B432,'Cronog. e Histog.'!$BZ:$BZ,'Cronog. e Histog.'!DQ:DQ),"")</f>
        <v/>
      </c>
      <c r="AW432" s="144" t="str">
        <f>IFERROR(_xlfn.XLOOKUP($B432,'Cronog. e Histog.'!$BZ:$BZ,'Cronog. e Histog.'!DR:DR),"")</f>
        <v/>
      </c>
      <c r="AX432" s="144" t="str">
        <f>IFERROR(_xlfn.XLOOKUP($B432,'Cronog. e Histog.'!$BZ:$BZ,'Cronog. e Histog.'!DS:DS),"")</f>
        <v/>
      </c>
      <c r="AY432" s="144" t="str">
        <f>IFERROR(_xlfn.XLOOKUP($B432,'Cronog. e Histog.'!$BZ:$BZ,'Cronog. e Histog.'!DT:DT),"")</f>
        <v/>
      </c>
      <c r="AZ432" s="144" t="str">
        <f>IFERROR(_xlfn.XLOOKUP($B432,'Cronog. e Histog.'!$BZ:$BZ,'Cronog. e Histog.'!DU:DU),"")</f>
        <v/>
      </c>
      <c r="BA432" s="144" t="str">
        <f>IFERROR(_xlfn.XLOOKUP($B432,'Cronog. e Histog.'!$BZ:$BZ,'Cronog. e Histog.'!DV:DV),"")</f>
        <v/>
      </c>
      <c r="BB432" s="144" t="str">
        <f>IFERROR(_xlfn.XLOOKUP($B432,'Cronog. e Histog.'!$BZ:$BZ,'Cronog. e Histog.'!DW:DW),"")</f>
        <v/>
      </c>
      <c r="BC432" s="144" t="str">
        <f>IFERROR(_xlfn.XLOOKUP($B432,'Cronog. e Histog.'!$BZ:$BZ,'Cronog. e Histog.'!DX:DX),"")</f>
        <v/>
      </c>
      <c r="BD432" s="144" t="str">
        <f>IFERROR(_xlfn.XLOOKUP($B432,'Cronog. e Histog.'!$BZ:$BZ,'Cronog. e Histog.'!DY:DY),"")</f>
        <v/>
      </c>
      <c r="BE432" s="144" t="str">
        <f>IFERROR(_xlfn.XLOOKUP($B432,'Cronog. e Histog.'!$BZ:$BZ,'Cronog. e Histog.'!DZ:DZ),"")</f>
        <v/>
      </c>
      <c r="BF432" s="144" t="str">
        <f>IFERROR(_xlfn.XLOOKUP($B432,'Cronog. e Histog.'!$BZ:$BZ,'Cronog. e Histog.'!EA:EA),"")</f>
        <v/>
      </c>
      <c r="BG432" s="144" t="str">
        <f>IFERROR(_xlfn.XLOOKUP($B432,'Cronog. e Histog.'!$BZ:$BZ,'Cronog. e Histog.'!EB:EB),"")</f>
        <v/>
      </c>
      <c r="BH432" s="144" t="str">
        <f>IFERROR(_xlfn.XLOOKUP($B432,'Cronog. e Histog.'!$BZ:$BZ,'Cronog. e Histog.'!EC:EC),"")</f>
        <v/>
      </c>
      <c r="BI432" s="144" t="str">
        <f>IFERROR(_xlfn.XLOOKUP($B432,'Cronog. e Histog.'!$BZ:$BZ,'Cronog. e Histog.'!ED:ED),"")</f>
        <v/>
      </c>
      <c r="BJ432" s="144" t="str">
        <f>IFERROR(_xlfn.XLOOKUP($B432,'Cronog. e Histog.'!$BZ:$BZ,'Cronog. e Histog.'!EE:EE),"")</f>
        <v/>
      </c>
      <c r="BK432" s="144" t="str">
        <f>IFERROR(_xlfn.XLOOKUP($B432,'Cronog. e Histog.'!$BZ:$BZ,'Cronog. e Histog.'!EF:EF),"")</f>
        <v/>
      </c>
      <c r="BL432" s="144" t="str">
        <f>IFERROR(_xlfn.XLOOKUP($B432,'Cronog. e Histog.'!$BZ:$BZ,'Cronog. e Histog.'!EG:EG),"")</f>
        <v/>
      </c>
      <c r="BM432" s="144" t="str">
        <f>IFERROR(_xlfn.XLOOKUP($B432,'Cronog. e Histog.'!$BZ:$BZ,'Cronog. e Histog.'!EH:EH),"")</f>
        <v/>
      </c>
      <c r="BN432" s="144" t="str">
        <f>IFERROR(_xlfn.XLOOKUP($B432,'Cronog. e Histog.'!$BZ:$BZ,'Cronog. e Histog.'!EI:EI),"")</f>
        <v/>
      </c>
    </row>
    <row r="433" spans="2:66" ht="12" hidden="1" customHeight="1" outlineLevel="1">
      <c r="B433" s="76">
        <v>427</v>
      </c>
      <c r="C433" s="143" t="str">
        <f>IFERROR(VLOOKUP(B433,'Cronog. e Histog.'!$BZ$213:$CA$747,2,0),"")</f>
        <v/>
      </c>
      <c r="D433" s="144">
        <f t="shared" si="6"/>
        <v>0</v>
      </c>
      <c r="E433" s="144">
        <f t="shared" si="7"/>
        <v>0</v>
      </c>
      <c r="F433" s="65"/>
      <c r="G433" s="144" t="str">
        <f>IFERROR(_xlfn.XLOOKUP($B433,'Cronog. e Histog.'!$BZ:$BZ,'Cronog. e Histog.'!CB:CB),"")</f>
        <v/>
      </c>
      <c r="H433" s="144" t="str">
        <f>IFERROR(_xlfn.XLOOKUP($B433,'Cronog. e Histog.'!$BZ:$BZ,'Cronog. e Histog.'!CC:CC),"")</f>
        <v/>
      </c>
      <c r="I433" s="144" t="str">
        <f>IFERROR(_xlfn.XLOOKUP($B433,'Cronog. e Histog.'!$BZ:$BZ,'Cronog. e Histog.'!CD:CD),"")</f>
        <v/>
      </c>
      <c r="J433" s="144" t="str">
        <f>IFERROR(_xlfn.XLOOKUP($B433,'Cronog. e Histog.'!$BZ:$BZ,'Cronog. e Histog.'!CE:CE),"")</f>
        <v/>
      </c>
      <c r="K433" s="144" t="str">
        <f>IFERROR(_xlfn.XLOOKUP($B433,'Cronog. e Histog.'!$BZ:$BZ,'Cronog. e Histog.'!CF:CF),"")</f>
        <v/>
      </c>
      <c r="L433" s="144" t="str">
        <f>IFERROR(_xlfn.XLOOKUP($B433,'Cronog. e Histog.'!$BZ:$BZ,'Cronog. e Histog.'!CG:CG),"")</f>
        <v/>
      </c>
      <c r="M433" s="144" t="str">
        <f>IFERROR(_xlfn.XLOOKUP($B433,'Cronog. e Histog.'!$BZ:$BZ,'Cronog. e Histog.'!CH:CH),"")</f>
        <v/>
      </c>
      <c r="N433" s="144" t="str">
        <f>IFERROR(_xlfn.XLOOKUP($B433,'Cronog. e Histog.'!$BZ:$BZ,'Cronog. e Histog.'!CI:CI),"")</f>
        <v/>
      </c>
      <c r="O433" s="144" t="str">
        <f>IFERROR(_xlfn.XLOOKUP($B433,'Cronog. e Histog.'!$BZ:$BZ,'Cronog. e Histog.'!CJ:CJ),"")</f>
        <v/>
      </c>
      <c r="P433" s="144" t="str">
        <f>IFERROR(_xlfn.XLOOKUP($B433,'Cronog. e Histog.'!$BZ:$BZ,'Cronog. e Histog.'!CK:CK),"")</f>
        <v/>
      </c>
      <c r="Q433" s="144" t="str">
        <f>IFERROR(_xlfn.XLOOKUP($B433,'Cronog. e Histog.'!$BZ:$BZ,'Cronog. e Histog.'!CL:CL),"")</f>
        <v/>
      </c>
      <c r="R433" s="144" t="str">
        <f>IFERROR(_xlfn.XLOOKUP($B433,'Cronog. e Histog.'!$BZ:$BZ,'Cronog. e Histog.'!CM:CM),"")</f>
        <v/>
      </c>
      <c r="S433" s="144" t="str">
        <f>IFERROR(_xlfn.XLOOKUP($B433,'Cronog. e Histog.'!$BZ:$BZ,'Cronog. e Histog.'!CN:CN),"")</f>
        <v/>
      </c>
      <c r="T433" s="144" t="str">
        <f>IFERROR(_xlfn.XLOOKUP($B433,'Cronog. e Histog.'!$BZ:$BZ,'Cronog. e Histog.'!CO:CO),"")</f>
        <v/>
      </c>
      <c r="U433" s="144" t="str">
        <f>IFERROR(_xlfn.XLOOKUP($B433,'Cronog. e Histog.'!$BZ:$BZ,'Cronog. e Histog.'!CP:CP),"")</f>
        <v/>
      </c>
      <c r="V433" s="144" t="str">
        <f>IFERROR(_xlfn.XLOOKUP($B433,'Cronog. e Histog.'!$BZ:$BZ,'Cronog. e Histog.'!CQ:CQ),"")</f>
        <v/>
      </c>
      <c r="W433" s="144" t="str">
        <f>IFERROR(_xlfn.XLOOKUP($B433,'Cronog. e Histog.'!$BZ:$BZ,'Cronog. e Histog.'!CR:CR),"")</f>
        <v/>
      </c>
      <c r="X433" s="144" t="str">
        <f>IFERROR(_xlfn.XLOOKUP($B433,'Cronog. e Histog.'!$BZ:$BZ,'Cronog. e Histog.'!CS:CS),"")</f>
        <v/>
      </c>
      <c r="Y433" s="144" t="str">
        <f>IFERROR(_xlfn.XLOOKUP($B433,'Cronog. e Histog.'!$BZ:$BZ,'Cronog. e Histog.'!CT:CT),"")</f>
        <v/>
      </c>
      <c r="Z433" s="144" t="str">
        <f>IFERROR(_xlfn.XLOOKUP($B433,'Cronog. e Histog.'!$BZ:$BZ,'Cronog. e Histog.'!CU:CU),"")</f>
        <v/>
      </c>
      <c r="AA433" s="144" t="str">
        <f>IFERROR(_xlfn.XLOOKUP($B433,'Cronog. e Histog.'!$BZ:$BZ,'Cronog. e Histog.'!CV:CV),"")</f>
        <v/>
      </c>
      <c r="AB433" s="144" t="str">
        <f>IFERROR(_xlfn.XLOOKUP($B433,'Cronog. e Histog.'!$BZ:$BZ,'Cronog. e Histog.'!CW:CW),"")</f>
        <v/>
      </c>
      <c r="AC433" s="144" t="str">
        <f>IFERROR(_xlfn.XLOOKUP($B433,'Cronog. e Histog.'!$BZ:$BZ,'Cronog. e Histog.'!CX:CX),"")</f>
        <v/>
      </c>
      <c r="AD433" s="144" t="str">
        <f>IFERROR(_xlfn.XLOOKUP($B433,'Cronog. e Histog.'!$BZ:$BZ,'Cronog. e Histog.'!CY:CY),"")</f>
        <v/>
      </c>
      <c r="AE433" s="144" t="str">
        <f>IFERROR(_xlfn.XLOOKUP($B433,'Cronog. e Histog.'!$BZ:$BZ,'Cronog. e Histog.'!CZ:CZ),"")</f>
        <v/>
      </c>
      <c r="AF433" s="144" t="str">
        <f>IFERROR(_xlfn.XLOOKUP($B433,'Cronog. e Histog.'!$BZ:$BZ,'Cronog. e Histog.'!DA:DA),"")</f>
        <v/>
      </c>
      <c r="AG433" s="144" t="str">
        <f>IFERROR(_xlfn.XLOOKUP($B433,'Cronog. e Histog.'!$BZ:$BZ,'Cronog. e Histog.'!DB:DB),"")</f>
        <v/>
      </c>
      <c r="AH433" s="144" t="str">
        <f>IFERROR(_xlfn.XLOOKUP($B433,'Cronog. e Histog.'!$BZ:$BZ,'Cronog. e Histog.'!DC:DC),"")</f>
        <v/>
      </c>
      <c r="AI433" s="144" t="str">
        <f>IFERROR(_xlfn.XLOOKUP($B433,'Cronog. e Histog.'!$BZ:$BZ,'Cronog. e Histog.'!DD:DD),"")</f>
        <v/>
      </c>
      <c r="AJ433" s="144" t="str">
        <f>IFERROR(_xlfn.XLOOKUP($B433,'Cronog. e Histog.'!$BZ:$BZ,'Cronog. e Histog.'!DE:DE),"")</f>
        <v/>
      </c>
      <c r="AK433" s="144" t="str">
        <f>IFERROR(_xlfn.XLOOKUP($B433,'Cronog. e Histog.'!$BZ:$BZ,'Cronog. e Histog.'!DF:DF),"")</f>
        <v/>
      </c>
      <c r="AL433" s="144" t="str">
        <f>IFERROR(_xlfn.XLOOKUP($B433,'Cronog. e Histog.'!$BZ:$BZ,'Cronog. e Histog.'!DG:DG),"")</f>
        <v/>
      </c>
      <c r="AM433" s="144" t="str">
        <f>IFERROR(_xlfn.XLOOKUP($B433,'Cronog. e Histog.'!$BZ:$BZ,'Cronog. e Histog.'!DH:DH),"")</f>
        <v/>
      </c>
      <c r="AN433" s="144" t="str">
        <f>IFERROR(_xlfn.XLOOKUP($B433,'Cronog. e Histog.'!$BZ:$BZ,'Cronog. e Histog.'!DI:DI),"")</f>
        <v/>
      </c>
      <c r="AO433" s="144" t="str">
        <f>IFERROR(_xlfn.XLOOKUP($B433,'Cronog. e Histog.'!$BZ:$BZ,'Cronog. e Histog.'!DJ:DJ),"")</f>
        <v/>
      </c>
      <c r="AP433" s="144" t="str">
        <f>IFERROR(_xlfn.XLOOKUP($B433,'Cronog. e Histog.'!$BZ:$BZ,'Cronog. e Histog.'!DK:DK),"")</f>
        <v/>
      </c>
      <c r="AQ433" s="144" t="str">
        <f>IFERROR(_xlfn.XLOOKUP($B433,'Cronog. e Histog.'!$BZ:$BZ,'Cronog. e Histog.'!DL:DL),"")</f>
        <v/>
      </c>
      <c r="AR433" s="144" t="str">
        <f>IFERROR(_xlfn.XLOOKUP($B433,'Cronog. e Histog.'!$BZ:$BZ,'Cronog. e Histog.'!DM:DM),"")</f>
        <v/>
      </c>
      <c r="AS433" s="144" t="str">
        <f>IFERROR(_xlfn.XLOOKUP($B433,'Cronog. e Histog.'!$BZ:$BZ,'Cronog. e Histog.'!DN:DN),"")</f>
        <v/>
      </c>
      <c r="AT433" s="144" t="str">
        <f>IFERROR(_xlfn.XLOOKUP($B433,'Cronog. e Histog.'!$BZ:$BZ,'Cronog. e Histog.'!DO:DO),"")</f>
        <v/>
      </c>
      <c r="AU433" s="144" t="str">
        <f>IFERROR(_xlfn.XLOOKUP($B433,'Cronog. e Histog.'!$BZ:$BZ,'Cronog. e Histog.'!DP:DP),"")</f>
        <v/>
      </c>
      <c r="AV433" s="144" t="str">
        <f>IFERROR(_xlfn.XLOOKUP($B433,'Cronog. e Histog.'!$BZ:$BZ,'Cronog. e Histog.'!DQ:DQ),"")</f>
        <v/>
      </c>
      <c r="AW433" s="144" t="str">
        <f>IFERROR(_xlfn.XLOOKUP($B433,'Cronog. e Histog.'!$BZ:$BZ,'Cronog. e Histog.'!DR:DR),"")</f>
        <v/>
      </c>
      <c r="AX433" s="144" t="str">
        <f>IFERROR(_xlfn.XLOOKUP($B433,'Cronog. e Histog.'!$BZ:$BZ,'Cronog. e Histog.'!DS:DS),"")</f>
        <v/>
      </c>
      <c r="AY433" s="144" t="str">
        <f>IFERROR(_xlfn.XLOOKUP($B433,'Cronog. e Histog.'!$BZ:$BZ,'Cronog. e Histog.'!DT:DT),"")</f>
        <v/>
      </c>
      <c r="AZ433" s="144" t="str">
        <f>IFERROR(_xlfn.XLOOKUP($B433,'Cronog. e Histog.'!$BZ:$BZ,'Cronog. e Histog.'!DU:DU),"")</f>
        <v/>
      </c>
      <c r="BA433" s="144" t="str">
        <f>IFERROR(_xlfn.XLOOKUP($B433,'Cronog. e Histog.'!$BZ:$BZ,'Cronog. e Histog.'!DV:DV),"")</f>
        <v/>
      </c>
      <c r="BB433" s="144" t="str">
        <f>IFERROR(_xlfn.XLOOKUP($B433,'Cronog. e Histog.'!$BZ:$BZ,'Cronog. e Histog.'!DW:DW),"")</f>
        <v/>
      </c>
      <c r="BC433" s="144" t="str">
        <f>IFERROR(_xlfn.XLOOKUP($B433,'Cronog. e Histog.'!$BZ:$BZ,'Cronog. e Histog.'!DX:DX),"")</f>
        <v/>
      </c>
      <c r="BD433" s="144" t="str">
        <f>IFERROR(_xlfn.XLOOKUP($B433,'Cronog. e Histog.'!$BZ:$BZ,'Cronog. e Histog.'!DY:DY),"")</f>
        <v/>
      </c>
      <c r="BE433" s="144" t="str">
        <f>IFERROR(_xlfn.XLOOKUP($B433,'Cronog. e Histog.'!$BZ:$BZ,'Cronog. e Histog.'!DZ:DZ),"")</f>
        <v/>
      </c>
      <c r="BF433" s="144" t="str">
        <f>IFERROR(_xlfn.XLOOKUP($B433,'Cronog. e Histog.'!$BZ:$BZ,'Cronog. e Histog.'!EA:EA),"")</f>
        <v/>
      </c>
      <c r="BG433" s="144" t="str">
        <f>IFERROR(_xlfn.XLOOKUP($B433,'Cronog. e Histog.'!$BZ:$BZ,'Cronog. e Histog.'!EB:EB),"")</f>
        <v/>
      </c>
      <c r="BH433" s="144" t="str">
        <f>IFERROR(_xlfn.XLOOKUP($B433,'Cronog. e Histog.'!$BZ:$BZ,'Cronog. e Histog.'!EC:EC),"")</f>
        <v/>
      </c>
      <c r="BI433" s="144" t="str">
        <f>IFERROR(_xlfn.XLOOKUP($B433,'Cronog. e Histog.'!$BZ:$BZ,'Cronog. e Histog.'!ED:ED),"")</f>
        <v/>
      </c>
      <c r="BJ433" s="144" t="str">
        <f>IFERROR(_xlfn.XLOOKUP($B433,'Cronog. e Histog.'!$BZ:$BZ,'Cronog. e Histog.'!EE:EE),"")</f>
        <v/>
      </c>
      <c r="BK433" s="144" t="str">
        <f>IFERROR(_xlfn.XLOOKUP($B433,'Cronog. e Histog.'!$BZ:$BZ,'Cronog. e Histog.'!EF:EF),"")</f>
        <v/>
      </c>
      <c r="BL433" s="144" t="str">
        <f>IFERROR(_xlfn.XLOOKUP($B433,'Cronog. e Histog.'!$BZ:$BZ,'Cronog. e Histog.'!EG:EG),"")</f>
        <v/>
      </c>
      <c r="BM433" s="144" t="str">
        <f>IFERROR(_xlfn.XLOOKUP($B433,'Cronog. e Histog.'!$BZ:$BZ,'Cronog. e Histog.'!EH:EH),"")</f>
        <v/>
      </c>
      <c r="BN433" s="144" t="str">
        <f>IFERROR(_xlfn.XLOOKUP($B433,'Cronog. e Histog.'!$BZ:$BZ,'Cronog. e Histog.'!EI:EI),"")</f>
        <v/>
      </c>
    </row>
    <row r="434" spans="2:66" ht="12" hidden="1" customHeight="1" outlineLevel="1">
      <c r="B434" s="76">
        <v>428</v>
      </c>
      <c r="C434" s="143" t="str">
        <f>IFERROR(VLOOKUP(B434,'Cronog. e Histog.'!$BZ$213:$CA$747,2,0),"")</f>
        <v/>
      </c>
      <c r="D434" s="144">
        <f t="shared" si="6"/>
        <v>0</v>
      </c>
      <c r="E434" s="144">
        <f t="shared" si="7"/>
        <v>0</v>
      </c>
      <c r="F434" s="65"/>
      <c r="G434" s="144" t="str">
        <f>IFERROR(_xlfn.XLOOKUP($B434,'Cronog. e Histog.'!$BZ:$BZ,'Cronog. e Histog.'!CB:CB),"")</f>
        <v/>
      </c>
      <c r="H434" s="144" t="str">
        <f>IFERROR(_xlfn.XLOOKUP($B434,'Cronog. e Histog.'!$BZ:$BZ,'Cronog. e Histog.'!CC:CC),"")</f>
        <v/>
      </c>
      <c r="I434" s="144" t="str">
        <f>IFERROR(_xlfn.XLOOKUP($B434,'Cronog. e Histog.'!$BZ:$BZ,'Cronog. e Histog.'!CD:CD),"")</f>
        <v/>
      </c>
      <c r="J434" s="144" t="str">
        <f>IFERROR(_xlfn.XLOOKUP($B434,'Cronog. e Histog.'!$BZ:$BZ,'Cronog. e Histog.'!CE:CE),"")</f>
        <v/>
      </c>
      <c r="K434" s="144" t="str">
        <f>IFERROR(_xlfn.XLOOKUP($B434,'Cronog. e Histog.'!$BZ:$BZ,'Cronog. e Histog.'!CF:CF),"")</f>
        <v/>
      </c>
      <c r="L434" s="144" t="str">
        <f>IFERROR(_xlfn.XLOOKUP($B434,'Cronog. e Histog.'!$BZ:$BZ,'Cronog. e Histog.'!CG:CG),"")</f>
        <v/>
      </c>
      <c r="M434" s="144" t="str">
        <f>IFERROR(_xlfn.XLOOKUP($B434,'Cronog. e Histog.'!$BZ:$BZ,'Cronog. e Histog.'!CH:CH),"")</f>
        <v/>
      </c>
      <c r="N434" s="144" t="str">
        <f>IFERROR(_xlfn.XLOOKUP($B434,'Cronog. e Histog.'!$BZ:$BZ,'Cronog. e Histog.'!CI:CI),"")</f>
        <v/>
      </c>
      <c r="O434" s="144" t="str">
        <f>IFERROR(_xlfn.XLOOKUP($B434,'Cronog. e Histog.'!$BZ:$BZ,'Cronog. e Histog.'!CJ:CJ),"")</f>
        <v/>
      </c>
      <c r="P434" s="144" t="str">
        <f>IFERROR(_xlfn.XLOOKUP($B434,'Cronog. e Histog.'!$BZ:$BZ,'Cronog. e Histog.'!CK:CK),"")</f>
        <v/>
      </c>
      <c r="Q434" s="144" t="str">
        <f>IFERROR(_xlfn.XLOOKUP($B434,'Cronog. e Histog.'!$BZ:$BZ,'Cronog. e Histog.'!CL:CL),"")</f>
        <v/>
      </c>
      <c r="R434" s="144" t="str">
        <f>IFERROR(_xlfn.XLOOKUP($B434,'Cronog. e Histog.'!$BZ:$BZ,'Cronog. e Histog.'!CM:CM),"")</f>
        <v/>
      </c>
      <c r="S434" s="144" t="str">
        <f>IFERROR(_xlfn.XLOOKUP($B434,'Cronog. e Histog.'!$BZ:$BZ,'Cronog. e Histog.'!CN:CN),"")</f>
        <v/>
      </c>
      <c r="T434" s="144" t="str">
        <f>IFERROR(_xlfn.XLOOKUP($B434,'Cronog. e Histog.'!$BZ:$BZ,'Cronog. e Histog.'!CO:CO),"")</f>
        <v/>
      </c>
      <c r="U434" s="144" t="str">
        <f>IFERROR(_xlfn.XLOOKUP($B434,'Cronog. e Histog.'!$BZ:$BZ,'Cronog. e Histog.'!CP:CP),"")</f>
        <v/>
      </c>
      <c r="V434" s="144" t="str">
        <f>IFERROR(_xlfn.XLOOKUP($B434,'Cronog. e Histog.'!$BZ:$BZ,'Cronog. e Histog.'!CQ:CQ),"")</f>
        <v/>
      </c>
      <c r="W434" s="144" t="str">
        <f>IFERROR(_xlfn.XLOOKUP($B434,'Cronog. e Histog.'!$BZ:$BZ,'Cronog. e Histog.'!CR:CR),"")</f>
        <v/>
      </c>
      <c r="X434" s="144" t="str">
        <f>IFERROR(_xlfn.XLOOKUP($B434,'Cronog. e Histog.'!$BZ:$BZ,'Cronog. e Histog.'!CS:CS),"")</f>
        <v/>
      </c>
      <c r="Y434" s="144" t="str">
        <f>IFERROR(_xlfn.XLOOKUP($B434,'Cronog. e Histog.'!$BZ:$BZ,'Cronog. e Histog.'!CT:CT),"")</f>
        <v/>
      </c>
      <c r="Z434" s="144" t="str">
        <f>IFERROR(_xlfn.XLOOKUP($B434,'Cronog. e Histog.'!$BZ:$BZ,'Cronog. e Histog.'!CU:CU),"")</f>
        <v/>
      </c>
      <c r="AA434" s="144" t="str">
        <f>IFERROR(_xlfn.XLOOKUP($B434,'Cronog. e Histog.'!$BZ:$BZ,'Cronog. e Histog.'!CV:CV),"")</f>
        <v/>
      </c>
      <c r="AB434" s="144" t="str">
        <f>IFERROR(_xlfn.XLOOKUP($B434,'Cronog. e Histog.'!$BZ:$BZ,'Cronog. e Histog.'!CW:CW),"")</f>
        <v/>
      </c>
      <c r="AC434" s="144" t="str">
        <f>IFERROR(_xlfn.XLOOKUP($B434,'Cronog. e Histog.'!$BZ:$BZ,'Cronog. e Histog.'!CX:CX),"")</f>
        <v/>
      </c>
      <c r="AD434" s="144" t="str">
        <f>IFERROR(_xlfn.XLOOKUP($B434,'Cronog. e Histog.'!$BZ:$BZ,'Cronog. e Histog.'!CY:CY),"")</f>
        <v/>
      </c>
      <c r="AE434" s="144" t="str">
        <f>IFERROR(_xlfn.XLOOKUP($B434,'Cronog. e Histog.'!$BZ:$BZ,'Cronog. e Histog.'!CZ:CZ),"")</f>
        <v/>
      </c>
      <c r="AF434" s="144" t="str">
        <f>IFERROR(_xlfn.XLOOKUP($B434,'Cronog. e Histog.'!$BZ:$BZ,'Cronog. e Histog.'!DA:DA),"")</f>
        <v/>
      </c>
      <c r="AG434" s="144" t="str">
        <f>IFERROR(_xlfn.XLOOKUP($B434,'Cronog. e Histog.'!$BZ:$BZ,'Cronog. e Histog.'!DB:DB),"")</f>
        <v/>
      </c>
      <c r="AH434" s="144" t="str">
        <f>IFERROR(_xlfn.XLOOKUP($B434,'Cronog. e Histog.'!$BZ:$BZ,'Cronog. e Histog.'!DC:DC),"")</f>
        <v/>
      </c>
      <c r="AI434" s="144" t="str">
        <f>IFERROR(_xlfn.XLOOKUP($B434,'Cronog. e Histog.'!$BZ:$BZ,'Cronog. e Histog.'!DD:DD),"")</f>
        <v/>
      </c>
      <c r="AJ434" s="144" t="str">
        <f>IFERROR(_xlfn.XLOOKUP($B434,'Cronog. e Histog.'!$BZ:$BZ,'Cronog. e Histog.'!DE:DE),"")</f>
        <v/>
      </c>
      <c r="AK434" s="144" t="str">
        <f>IFERROR(_xlfn.XLOOKUP($B434,'Cronog. e Histog.'!$BZ:$BZ,'Cronog. e Histog.'!DF:DF),"")</f>
        <v/>
      </c>
      <c r="AL434" s="144" t="str">
        <f>IFERROR(_xlfn.XLOOKUP($B434,'Cronog. e Histog.'!$BZ:$BZ,'Cronog. e Histog.'!DG:DG),"")</f>
        <v/>
      </c>
      <c r="AM434" s="144" t="str">
        <f>IFERROR(_xlfn.XLOOKUP($B434,'Cronog. e Histog.'!$BZ:$BZ,'Cronog. e Histog.'!DH:DH),"")</f>
        <v/>
      </c>
      <c r="AN434" s="144" t="str">
        <f>IFERROR(_xlfn.XLOOKUP($B434,'Cronog. e Histog.'!$BZ:$BZ,'Cronog. e Histog.'!DI:DI),"")</f>
        <v/>
      </c>
      <c r="AO434" s="144" t="str">
        <f>IFERROR(_xlfn.XLOOKUP($B434,'Cronog. e Histog.'!$BZ:$BZ,'Cronog. e Histog.'!DJ:DJ),"")</f>
        <v/>
      </c>
      <c r="AP434" s="144" t="str">
        <f>IFERROR(_xlfn.XLOOKUP($B434,'Cronog. e Histog.'!$BZ:$BZ,'Cronog. e Histog.'!DK:DK),"")</f>
        <v/>
      </c>
      <c r="AQ434" s="144" t="str">
        <f>IFERROR(_xlfn.XLOOKUP($B434,'Cronog. e Histog.'!$BZ:$BZ,'Cronog. e Histog.'!DL:DL),"")</f>
        <v/>
      </c>
      <c r="AR434" s="144" t="str">
        <f>IFERROR(_xlfn.XLOOKUP($B434,'Cronog. e Histog.'!$BZ:$BZ,'Cronog. e Histog.'!DM:DM),"")</f>
        <v/>
      </c>
      <c r="AS434" s="144" t="str">
        <f>IFERROR(_xlfn.XLOOKUP($B434,'Cronog. e Histog.'!$BZ:$BZ,'Cronog. e Histog.'!DN:DN),"")</f>
        <v/>
      </c>
      <c r="AT434" s="144" t="str">
        <f>IFERROR(_xlfn.XLOOKUP($B434,'Cronog. e Histog.'!$BZ:$BZ,'Cronog. e Histog.'!DO:DO),"")</f>
        <v/>
      </c>
      <c r="AU434" s="144" t="str">
        <f>IFERROR(_xlfn.XLOOKUP($B434,'Cronog. e Histog.'!$BZ:$BZ,'Cronog. e Histog.'!DP:DP),"")</f>
        <v/>
      </c>
      <c r="AV434" s="144" t="str">
        <f>IFERROR(_xlfn.XLOOKUP($B434,'Cronog. e Histog.'!$BZ:$BZ,'Cronog. e Histog.'!DQ:DQ),"")</f>
        <v/>
      </c>
      <c r="AW434" s="144" t="str">
        <f>IFERROR(_xlfn.XLOOKUP($B434,'Cronog. e Histog.'!$BZ:$BZ,'Cronog. e Histog.'!DR:DR),"")</f>
        <v/>
      </c>
      <c r="AX434" s="144" t="str">
        <f>IFERROR(_xlfn.XLOOKUP($B434,'Cronog. e Histog.'!$BZ:$BZ,'Cronog. e Histog.'!DS:DS),"")</f>
        <v/>
      </c>
      <c r="AY434" s="144" t="str">
        <f>IFERROR(_xlfn.XLOOKUP($B434,'Cronog. e Histog.'!$BZ:$BZ,'Cronog. e Histog.'!DT:DT),"")</f>
        <v/>
      </c>
      <c r="AZ434" s="144" t="str">
        <f>IFERROR(_xlfn.XLOOKUP($B434,'Cronog. e Histog.'!$BZ:$BZ,'Cronog. e Histog.'!DU:DU),"")</f>
        <v/>
      </c>
      <c r="BA434" s="144" t="str">
        <f>IFERROR(_xlfn.XLOOKUP($B434,'Cronog. e Histog.'!$BZ:$BZ,'Cronog. e Histog.'!DV:DV),"")</f>
        <v/>
      </c>
      <c r="BB434" s="144" t="str">
        <f>IFERROR(_xlfn.XLOOKUP($B434,'Cronog. e Histog.'!$BZ:$BZ,'Cronog. e Histog.'!DW:DW),"")</f>
        <v/>
      </c>
      <c r="BC434" s="144" t="str">
        <f>IFERROR(_xlfn.XLOOKUP($B434,'Cronog. e Histog.'!$BZ:$BZ,'Cronog. e Histog.'!DX:DX),"")</f>
        <v/>
      </c>
      <c r="BD434" s="144" t="str">
        <f>IFERROR(_xlfn.XLOOKUP($B434,'Cronog. e Histog.'!$BZ:$BZ,'Cronog. e Histog.'!DY:DY),"")</f>
        <v/>
      </c>
      <c r="BE434" s="144" t="str">
        <f>IFERROR(_xlfn.XLOOKUP($B434,'Cronog. e Histog.'!$BZ:$BZ,'Cronog. e Histog.'!DZ:DZ),"")</f>
        <v/>
      </c>
      <c r="BF434" s="144" t="str">
        <f>IFERROR(_xlfn.XLOOKUP($B434,'Cronog. e Histog.'!$BZ:$BZ,'Cronog. e Histog.'!EA:EA),"")</f>
        <v/>
      </c>
      <c r="BG434" s="144" t="str">
        <f>IFERROR(_xlfn.XLOOKUP($B434,'Cronog. e Histog.'!$BZ:$BZ,'Cronog. e Histog.'!EB:EB),"")</f>
        <v/>
      </c>
      <c r="BH434" s="144" t="str">
        <f>IFERROR(_xlfn.XLOOKUP($B434,'Cronog. e Histog.'!$BZ:$BZ,'Cronog. e Histog.'!EC:EC),"")</f>
        <v/>
      </c>
      <c r="BI434" s="144" t="str">
        <f>IFERROR(_xlfn.XLOOKUP($B434,'Cronog. e Histog.'!$BZ:$BZ,'Cronog. e Histog.'!ED:ED),"")</f>
        <v/>
      </c>
      <c r="BJ434" s="144" t="str">
        <f>IFERROR(_xlfn.XLOOKUP($B434,'Cronog. e Histog.'!$BZ:$BZ,'Cronog. e Histog.'!EE:EE),"")</f>
        <v/>
      </c>
      <c r="BK434" s="144" t="str">
        <f>IFERROR(_xlfn.XLOOKUP($B434,'Cronog. e Histog.'!$BZ:$BZ,'Cronog. e Histog.'!EF:EF),"")</f>
        <v/>
      </c>
      <c r="BL434" s="144" t="str">
        <f>IFERROR(_xlfn.XLOOKUP($B434,'Cronog. e Histog.'!$BZ:$BZ,'Cronog. e Histog.'!EG:EG),"")</f>
        <v/>
      </c>
      <c r="BM434" s="144" t="str">
        <f>IFERROR(_xlfn.XLOOKUP($B434,'Cronog. e Histog.'!$BZ:$BZ,'Cronog. e Histog.'!EH:EH),"")</f>
        <v/>
      </c>
      <c r="BN434" s="144" t="str">
        <f>IFERROR(_xlfn.XLOOKUP($B434,'Cronog. e Histog.'!$BZ:$BZ,'Cronog. e Histog.'!EI:EI),"")</f>
        <v/>
      </c>
    </row>
    <row r="435" spans="2:66" ht="12" hidden="1" customHeight="1" outlineLevel="1">
      <c r="B435" s="76">
        <v>429</v>
      </c>
      <c r="C435" s="143" t="str">
        <f>IFERROR(VLOOKUP(B435,'Cronog. e Histog.'!$BZ$213:$CA$747,2,0),"")</f>
        <v/>
      </c>
      <c r="D435" s="144">
        <f t="shared" si="6"/>
        <v>0</v>
      </c>
      <c r="E435" s="144">
        <f t="shared" si="7"/>
        <v>0</v>
      </c>
      <c r="F435" s="65"/>
      <c r="G435" s="144" t="str">
        <f>IFERROR(_xlfn.XLOOKUP($B435,'Cronog. e Histog.'!$BZ:$BZ,'Cronog. e Histog.'!CB:CB),"")</f>
        <v/>
      </c>
      <c r="H435" s="144" t="str">
        <f>IFERROR(_xlfn.XLOOKUP($B435,'Cronog. e Histog.'!$BZ:$BZ,'Cronog. e Histog.'!CC:CC),"")</f>
        <v/>
      </c>
      <c r="I435" s="144" t="str">
        <f>IFERROR(_xlfn.XLOOKUP($B435,'Cronog. e Histog.'!$BZ:$BZ,'Cronog. e Histog.'!CD:CD),"")</f>
        <v/>
      </c>
      <c r="J435" s="144" t="str">
        <f>IFERROR(_xlfn.XLOOKUP($B435,'Cronog. e Histog.'!$BZ:$BZ,'Cronog. e Histog.'!CE:CE),"")</f>
        <v/>
      </c>
      <c r="K435" s="144" t="str">
        <f>IFERROR(_xlfn.XLOOKUP($B435,'Cronog. e Histog.'!$BZ:$BZ,'Cronog. e Histog.'!CF:CF),"")</f>
        <v/>
      </c>
      <c r="L435" s="144" t="str">
        <f>IFERROR(_xlfn.XLOOKUP($B435,'Cronog. e Histog.'!$BZ:$BZ,'Cronog. e Histog.'!CG:CG),"")</f>
        <v/>
      </c>
      <c r="M435" s="144" t="str">
        <f>IFERROR(_xlfn.XLOOKUP($B435,'Cronog. e Histog.'!$BZ:$BZ,'Cronog. e Histog.'!CH:CH),"")</f>
        <v/>
      </c>
      <c r="N435" s="144" t="str">
        <f>IFERROR(_xlfn.XLOOKUP($B435,'Cronog. e Histog.'!$BZ:$BZ,'Cronog. e Histog.'!CI:CI),"")</f>
        <v/>
      </c>
      <c r="O435" s="144" t="str">
        <f>IFERROR(_xlfn.XLOOKUP($B435,'Cronog. e Histog.'!$BZ:$BZ,'Cronog. e Histog.'!CJ:CJ),"")</f>
        <v/>
      </c>
      <c r="P435" s="144" t="str">
        <f>IFERROR(_xlfn.XLOOKUP($B435,'Cronog. e Histog.'!$BZ:$BZ,'Cronog. e Histog.'!CK:CK),"")</f>
        <v/>
      </c>
      <c r="Q435" s="144" t="str">
        <f>IFERROR(_xlfn.XLOOKUP($B435,'Cronog. e Histog.'!$BZ:$BZ,'Cronog. e Histog.'!CL:CL),"")</f>
        <v/>
      </c>
      <c r="R435" s="144" t="str">
        <f>IFERROR(_xlfn.XLOOKUP($B435,'Cronog. e Histog.'!$BZ:$BZ,'Cronog. e Histog.'!CM:CM),"")</f>
        <v/>
      </c>
      <c r="S435" s="144" t="str">
        <f>IFERROR(_xlfn.XLOOKUP($B435,'Cronog. e Histog.'!$BZ:$BZ,'Cronog. e Histog.'!CN:CN),"")</f>
        <v/>
      </c>
      <c r="T435" s="144" t="str">
        <f>IFERROR(_xlfn.XLOOKUP($B435,'Cronog. e Histog.'!$BZ:$BZ,'Cronog. e Histog.'!CO:CO),"")</f>
        <v/>
      </c>
      <c r="U435" s="144" t="str">
        <f>IFERROR(_xlfn.XLOOKUP($B435,'Cronog. e Histog.'!$BZ:$BZ,'Cronog. e Histog.'!CP:CP),"")</f>
        <v/>
      </c>
      <c r="V435" s="144" t="str">
        <f>IFERROR(_xlfn.XLOOKUP($B435,'Cronog. e Histog.'!$BZ:$BZ,'Cronog. e Histog.'!CQ:CQ),"")</f>
        <v/>
      </c>
      <c r="W435" s="144" t="str">
        <f>IFERROR(_xlfn.XLOOKUP($B435,'Cronog. e Histog.'!$BZ:$BZ,'Cronog. e Histog.'!CR:CR),"")</f>
        <v/>
      </c>
      <c r="X435" s="144" t="str">
        <f>IFERROR(_xlfn.XLOOKUP($B435,'Cronog. e Histog.'!$BZ:$BZ,'Cronog. e Histog.'!CS:CS),"")</f>
        <v/>
      </c>
      <c r="Y435" s="144" t="str">
        <f>IFERROR(_xlfn.XLOOKUP($B435,'Cronog. e Histog.'!$BZ:$BZ,'Cronog. e Histog.'!CT:CT),"")</f>
        <v/>
      </c>
      <c r="Z435" s="144" t="str">
        <f>IFERROR(_xlfn.XLOOKUP($B435,'Cronog. e Histog.'!$BZ:$BZ,'Cronog. e Histog.'!CU:CU),"")</f>
        <v/>
      </c>
      <c r="AA435" s="144" t="str">
        <f>IFERROR(_xlfn.XLOOKUP($B435,'Cronog. e Histog.'!$BZ:$BZ,'Cronog. e Histog.'!CV:CV),"")</f>
        <v/>
      </c>
      <c r="AB435" s="144" t="str">
        <f>IFERROR(_xlfn.XLOOKUP($B435,'Cronog. e Histog.'!$BZ:$BZ,'Cronog. e Histog.'!CW:CW),"")</f>
        <v/>
      </c>
      <c r="AC435" s="144" t="str">
        <f>IFERROR(_xlfn.XLOOKUP($B435,'Cronog. e Histog.'!$BZ:$BZ,'Cronog. e Histog.'!CX:CX),"")</f>
        <v/>
      </c>
      <c r="AD435" s="144" t="str">
        <f>IFERROR(_xlfn.XLOOKUP($B435,'Cronog. e Histog.'!$BZ:$BZ,'Cronog. e Histog.'!CY:CY),"")</f>
        <v/>
      </c>
      <c r="AE435" s="144" t="str">
        <f>IFERROR(_xlfn.XLOOKUP($B435,'Cronog. e Histog.'!$BZ:$BZ,'Cronog. e Histog.'!CZ:CZ),"")</f>
        <v/>
      </c>
      <c r="AF435" s="144" t="str">
        <f>IFERROR(_xlfn.XLOOKUP($B435,'Cronog. e Histog.'!$BZ:$BZ,'Cronog. e Histog.'!DA:DA),"")</f>
        <v/>
      </c>
      <c r="AG435" s="144" t="str">
        <f>IFERROR(_xlfn.XLOOKUP($B435,'Cronog. e Histog.'!$BZ:$BZ,'Cronog. e Histog.'!DB:DB),"")</f>
        <v/>
      </c>
      <c r="AH435" s="144" t="str">
        <f>IFERROR(_xlfn.XLOOKUP($B435,'Cronog. e Histog.'!$BZ:$BZ,'Cronog. e Histog.'!DC:DC),"")</f>
        <v/>
      </c>
      <c r="AI435" s="144" t="str">
        <f>IFERROR(_xlfn.XLOOKUP($B435,'Cronog. e Histog.'!$BZ:$BZ,'Cronog. e Histog.'!DD:DD),"")</f>
        <v/>
      </c>
      <c r="AJ435" s="144" t="str">
        <f>IFERROR(_xlfn.XLOOKUP($B435,'Cronog. e Histog.'!$BZ:$BZ,'Cronog. e Histog.'!DE:DE),"")</f>
        <v/>
      </c>
      <c r="AK435" s="144" t="str">
        <f>IFERROR(_xlfn.XLOOKUP($B435,'Cronog. e Histog.'!$BZ:$BZ,'Cronog. e Histog.'!DF:DF),"")</f>
        <v/>
      </c>
      <c r="AL435" s="144" t="str">
        <f>IFERROR(_xlfn.XLOOKUP($B435,'Cronog. e Histog.'!$BZ:$BZ,'Cronog. e Histog.'!DG:DG),"")</f>
        <v/>
      </c>
      <c r="AM435" s="144" t="str">
        <f>IFERROR(_xlfn.XLOOKUP($B435,'Cronog. e Histog.'!$BZ:$BZ,'Cronog. e Histog.'!DH:DH),"")</f>
        <v/>
      </c>
      <c r="AN435" s="144" t="str">
        <f>IFERROR(_xlfn.XLOOKUP($B435,'Cronog. e Histog.'!$BZ:$BZ,'Cronog. e Histog.'!DI:DI),"")</f>
        <v/>
      </c>
      <c r="AO435" s="144" t="str">
        <f>IFERROR(_xlfn.XLOOKUP($B435,'Cronog. e Histog.'!$BZ:$BZ,'Cronog. e Histog.'!DJ:DJ),"")</f>
        <v/>
      </c>
      <c r="AP435" s="144" t="str">
        <f>IFERROR(_xlfn.XLOOKUP($B435,'Cronog. e Histog.'!$BZ:$BZ,'Cronog. e Histog.'!DK:DK),"")</f>
        <v/>
      </c>
      <c r="AQ435" s="144" t="str">
        <f>IFERROR(_xlfn.XLOOKUP($B435,'Cronog. e Histog.'!$BZ:$BZ,'Cronog. e Histog.'!DL:DL),"")</f>
        <v/>
      </c>
      <c r="AR435" s="144" t="str">
        <f>IFERROR(_xlfn.XLOOKUP($B435,'Cronog. e Histog.'!$BZ:$BZ,'Cronog. e Histog.'!DM:DM),"")</f>
        <v/>
      </c>
      <c r="AS435" s="144" t="str">
        <f>IFERROR(_xlfn.XLOOKUP($B435,'Cronog. e Histog.'!$BZ:$BZ,'Cronog. e Histog.'!DN:DN),"")</f>
        <v/>
      </c>
      <c r="AT435" s="144" t="str">
        <f>IFERROR(_xlfn.XLOOKUP($B435,'Cronog. e Histog.'!$BZ:$BZ,'Cronog. e Histog.'!DO:DO),"")</f>
        <v/>
      </c>
      <c r="AU435" s="144" t="str">
        <f>IFERROR(_xlfn.XLOOKUP($B435,'Cronog. e Histog.'!$BZ:$BZ,'Cronog. e Histog.'!DP:DP),"")</f>
        <v/>
      </c>
      <c r="AV435" s="144" t="str">
        <f>IFERROR(_xlfn.XLOOKUP($B435,'Cronog. e Histog.'!$BZ:$BZ,'Cronog. e Histog.'!DQ:DQ),"")</f>
        <v/>
      </c>
      <c r="AW435" s="144" t="str">
        <f>IFERROR(_xlfn.XLOOKUP($B435,'Cronog. e Histog.'!$BZ:$BZ,'Cronog. e Histog.'!DR:DR),"")</f>
        <v/>
      </c>
      <c r="AX435" s="144" t="str">
        <f>IFERROR(_xlfn.XLOOKUP($B435,'Cronog. e Histog.'!$BZ:$BZ,'Cronog. e Histog.'!DS:DS),"")</f>
        <v/>
      </c>
      <c r="AY435" s="144" t="str">
        <f>IFERROR(_xlfn.XLOOKUP($B435,'Cronog. e Histog.'!$BZ:$BZ,'Cronog. e Histog.'!DT:DT),"")</f>
        <v/>
      </c>
      <c r="AZ435" s="144" t="str">
        <f>IFERROR(_xlfn.XLOOKUP($B435,'Cronog. e Histog.'!$BZ:$BZ,'Cronog. e Histog.'!DU:DU),"")</f>
        <v/>
      </c>
      <c r="BA435" s="144" t="str">
        <f>IFERROR(_xlfn.XLOOKUP($B435,'Cronog. e Histog.'!$BZ:$BZ,'Cronog. e Histog.'!DV:DV),"")</f>
        <v/>
      </c>
      <c r="BB435" s="144" t="str">
        <f>IFERROR(_xlfn.XLOOKUP($B435,'Cronog. e Histog.'!$BZ:$BZ,'Cronog. e Histog.'!DW:DW),"")</f>
        <v/>
      </c>
      <c r="BC435" s="144" t="str">
        <f>IFERROR(_xlfn.XLOOKUP($B435,'Cronog. e Histog.'!$BZ:$BZ,'Cronog. e Histog.'!DX:DX),"")</f>
        <v/>
      </c>
      <c r="BD435" s="144" t="str">
        <f>IFERROR(_xlfn.XLOOKUP($B435,'Cronog. e Histog.'!$BZ:$BZ,'Cronog. e Histog.'!DY:DY),"")</f>
        <v/>
      </c>
      <c r="BE435" s="144" t="str">
        <f>IFERROR(_xlfn.XLOOKUP($B435,'Cronog. e Histog.'!$BZ:$BZ,'Cronog. e Histog.'!DZ:DZ),"")</f>
        <v/>
      </c>
      <c r="BF435" s="144" t="str">
        <f>IFERROR(_xlfn.XLOOKUP($B435,'Cronog. e Histog.'!$BZ:$BZ,'Cronog. e Histog.'!EA:EA),"")</f>
        <v/>
      </c>
      <c r="BG435" s="144" t="str">
        <f>IFERROR(_xlfn.XLOOKUP($B435,'Cronog. e Histog.'!$BZ:$BZ,'Cronog. e Histog.'!EB:EB),"")</f>
        <v/>
      </c>
      <c r="BH435" s="144" t="str">
        <f>IFERROR(_xlfn.XLOOKUP($B435,'Cronog. e Histog.'!$BZ:$BZ,'Cronog. e Histog.'!EC:EC),"")</f>
        <v/>
      </c>
      <c r="BI435" s="144" t="str">
        <f>IFERROR(_xlfn.XLOOKUP($B435,'Cronog. e Histog.'!$BZ:$BZ,'Cronog. e Histog.'!ED:ED),"")</f>
        <v/>
      </c>
      <c r="BJ435" s="144" t="str">
        <f>IFERROR(_xlfn.XLOOKUP($B435,'Cronog. e Histog.'!$BZ:$BZ,'Cronog. e Histog.'!EE:EE),"")</f>
        <v/>
      </c>
      <c r="BK435" s="144" t="str">
        <f>IFERROR(_xlfn.XLOOKUP($B435,'Cronog. e Histog.'!$BZ:$BZ,'Cronog. e Histog.'!EF:EF),"")</f>
        <v/>
      </c>
      <c r="BL435" s="144" t="str">
        <f>IFERROR(_xlfn.XLOOKUP($B435,'Cronog. e Histog.'!$BZ:$BZ,'Cronog. e Histog.'!EG:EG),"")</f>
        <v/>
      </c>
      <c r="BM435" s="144" t="str">
        <f>IFERROR(_xlfn.XLOOKUP($B435,'Cronog. e Histog.'!$BZ:$BZ,'Cronog. e Histog.'!EH:EH),"")</f>
        <v/>
      </c>
      <c r="BN435" s="144" t="str">
        <f>IFERROR(_xlfn.XLOOKUP($B435,'Cronog. e Histog.'!$BZ:$BZ,'Cronog. e Histog.'!EI:EI),"")</f>
        <v/>
      </c>
    </row>
    <row r="436" spans="2:66" ht="12" hidden="1" customHeight="1" outlineLevel="1">
      <c r="B436" s="76">
        <v>430</v>
      </c>
      <c r="C436" s="143" t="str">
        <f>IFERROR(VLOOKUP(B436,'Cronog. e Histog.'!$BZ$213:$CA$747,2,0),"")</f>
        <v/>
      </c>
      <c r="D436" s="144">
        <f t="shared" si="6"/>
        <v>0</v>
      </c>
      <c r="E436" s="144">
        <f t="shared" si="7"/>
        <v>0</v>
      </c>
      <c r="F436" s="65"/>
      <c r="G436" s="144" t="str">
        <f>IFERROR(_xlfn.XLOOKUP($B436,'Cronog. e Histog.'!$BZ:$BZ,'Cronog. e Histog.'!CB:CB),"")</f>
        <v/>
      </c>
      <c r="H436" s="144" t="str">
        <f>IFERROR(_xlfn.XLOOKUP($B436,'Cronog. e Histog.'!$BZ:$BZ,'Cronog. e Histog.'!CC:CC),"")</f>
        <v/>
      </c>
      <c r="I436" s="144" t="str">
        <f>IFERROR(_xlfn.XLOOKUP($B436,'Cronog. e Histog.'!$BZ:$BZ,'Cronog. e Histog.'!CD:CD),"")</f>
        <v/>
      </c>
      <c r="J436" s="144" t="str">
        <f>IFERROR(_xlfn.XLOOKUP($B436,'Cronog. e Histog.'!$BZ:$BZ,'Cronog. e Histog.'!CE:CE),"")</f>
        <v/>
      </c>
      <c r="K436" s="144" t="str">
        <f>IFERROR(_xlfn.XLOOKUP($B436,'Cronog. e Histog.'!$BZ:$BZ,'Cronog. e Histog.'!CF:CF),"")</f>
        <v/>
      </c>
      <c r="L436" s="144" t="str">
        <f>IFERROR(_xlfn.XLOOKUP($B436,'Cronog. e Histog.'!$BZ:$BZ,'Cronog. e Histog.'!CG:CG),"")</f>
        <v/>
      </c>
      <c r="M436" s="144" t="str">
        <f>IFERROR(_xlfn.XLOOKUP($B436,'Cronog. e Histog.'!$BZ:$BZ,'Cronog. e Histog.'!CH:CH),"")</f>
        <v/>
      </c>
      <c r="N436" s="144" t="str">
        <f>IFERROR(_xlfn.XLOOKUP($B436,'Cronog. e Histog.'!$BZ:$BZ,'Cronog. e Histog.'!CI:CI),"")</f>
        <v/>
      </c>
      <c r="O436" s="144" t="str">
        <f>IFERROR(_xlfn.XLOOKUP($B436,'Cronog. e Histog.'!$BZ:$BZ,'Cronog. e Histog.'!CJ:CJ),"")</f>
        <v/>
      </c>
      <c r="P436" s="144" t="str">
        <f>IFERROR(_xlfn.XLOOKUP($B436,'Cronog. e Histog.'!$BZ:$BZ,'Cronog. e Histog.'!CK:CK),"")</f>
        <v/>
      </c>
      <c r="Q436" s="144" t="str">
        <f>IFERROR(_xlfn.XLOOKUP($B436,'Cronog. e Histog.'!$BZ:$BZ,'Cronog. e Histog.'!CL:CL),"")</f>
        <v/>
      </c>
      <c r="R436" s="144" t="str">
        <f>IFERROR(_xlfn.XLOOKUP($B436,'Cronog. e Histog.'!$BZ:$BZ,'Cronog. e Histog.'!CM:CM),"")</f>
        <v/>
      </c>
      <c r="S436" s="144" t="str">
        <f>IFERROR(_xlfn.XLOOKUP($B436,'Cronog. e Histog.'!$BZ:$BZ,'Cronog. e Histog.'!CN:CN),"")</f>
        <v/>
      </c>
      <c r="T436" s="144" t="str">
        <f>IFERROR(_xlfn.XLOOKUP($B436,'Cronog. e Histog.'!$BZ:$BZ,'Cronog. e Histog.'!CO:CO),"")</f>
        <v/>
      </c>
      <c r="U436" s="144" t="str">
        <f>IFERROR(_xlfn.XLOOKUP($B436,'Cronog. e Histog.'!$BZ:$BZ,'Cronog. e Histog.'!CP:CP),"")</f>
        <v/>
      </c>
      <c r="V436" s="144" t="str">
        <f>IFERROR(_xlfn.XLOOKUP($B436,'Cronog. e Histog.'!$BZ:$BZ,'Cronog. e Histog.'!CQ:CQ),"")</f>
        <v/>
      </c>
      <c r="W436" s="144" t="str">
        <f>IFERROR(_xlfn.XLOOKUP($B436,'Cronog. e Histog.'!$BZ:$BZ,'Cronog. e Histog.'!CR:CR),"")</f>
        <v/>
      </c>
      <c r="X436" s="144" t="str">
        <f>IFERROR(_xlfn.XLOOKUP($B436,'Cronog. e Histog.'!$BZ:$BZ,'Cronog. e Histog.'!CS:CS),"")</f>
        <v/>
      </c>
      <c r="Y436" s="144" t="str">
        <f>IFERROR(_xlfn.XLOOKUP($B436,'Cronog. e Histog.'!$BZ:$BZ,'Cronog. e Histog.'!CT:CT),"")</f>
        <v/>
      </c>
      <c r="Z436" s="144" t="str">
        <f>IFERROR(_xlfn.XLOOKUP($B436,'Cronog. e Histog.'!$BZ:$BZ,'Cronog. e Histog.'!CU:CU),"")</f>
        <v/>
      </c>
      <c r="AA436" s="144" t="str">
        <f>IFERROR(_xlfn.XLOOKUP($B436,'Cronog. e Histog.'!$BZ:$BZ,'Cronog. e Histog.'!CV:CV),"")</f>
        <v/>
      </c>
      <c r="AB436" s="144" t="str">
        <f>IFERROR(_xlfn.XLOOKUP($B436,'Cronog. e Histog.'!$BZ:$BZ,'Cronog. e Histog.'!CW:CW),"")</f>
        <v/>
      </c>
      <c r="AC436" s="144" t="str">
        <f>IFERROR(_xlfn.XLOOKUP($B436,'Cronog. e Histog.'!$BZ:$BZ,'Cronog. e Histog.'!CX:CX),"")</f>
        <v/>
      </c>
      <c r="AD436" s="144" t="str">
        <f>IFERROR(_xlfn.XLOOKUP($B436,'Cronog. e Histog.'!$BZ:$BZ,'Cronog. e Histog.'!CY:CY),"")</f>
        <v/>
      </c>
      <c r="AE436" s="144" t="str">
        <f>IFERROR(_xlfn.XLOOKUP($B436,'Cronog. e Histog.'!$BZ:$BZ,'Cronog. e Histog.'!CZ:CZ),"")</f>
        <v/>
      </c>
      <c r="AF436" s="144" t="str">
        <f>IFERROR(_xlfn.XLOOKUP($B436,'Cronog. e Histog.'!$BZ:$BZ,'Cronog. e Histog.'!DA:DA),"")</f>
        <v/>
      </c>
      <c r="AG436" s="144" t="str">
        <f>IFERROR(_xlfn.XLOOKUP($B436,'Cronog. e Histog.'!$BZ:$BZ,'Cronog. e Histog.'!DB:DB),"")</f>
        <v/>
      </c>
      <c r="AH436" s="144" t="str">
        <f>IFERROR(_xlfn.XLOOKUP($B436,'Cronog. e Histog.'!$BZ:$BZ,'Cronog. e Histog.'!DC:DC),"")</f>
        <v/>
      </c>
      <c r="AI436" s="144" t="str">
        <f>IFERROR(_xlfn.XLOOKUP($B436,'Cronog. e Histog.'!$BZ:$BZ,'Cronog. e Histog.'!DD:DD),"")</f>
        <v/>
      </c>
      <c r="AJ436" s="144" t="str">
        <f>IFERROR(_xlfn.XLOOKUP($B436,'Cronog. e Histog.'!$BZ:$BZ,'Cronog. e Histog.'!DE:DE),"")</f>
        <v/>
      </c>
      <c r="AK436" s="144" t="str">
        <f>IFERROR(_xlfn.XLOOKUP($B436,'Cronog. e Histog.'!$BZ:$BZ,'Cronog. e Histog.'!DF:DF),"")</f>
        <v/>
      </c>
      <c r="AL436" s="144" t="str">
        <f>IFERROR(_xlfn.XLOOKUP($B436,'Cronog. e Histog.'!$BZ:$BZ,'Cronog. e Histog.'!DG:DG),"")</f>
        <v/>
      </c>
      <c r="AM436" s="144" t="str">
        <f>IFERROR(_xlfn.XLOOKUP($B436,'Cronog. e Histog.'!$BZ:$BZ,'Cronog. e Histog.'!DH:DH),"")</f>
        <v/>
      </c>
      <c r="AN436" s="144" t="str">
        <f>IFERROR(_xlfn.XLOOKUP($B436,'Cronog. e Histog.'!$BZ:$BZ,'Cronog. e Histog.'!DI:DI),"")</f>
        <v/>
      </c>
      <c r="AO436" s="144" t="str">
        <f>IFERROR(_xlfn.XLOOKUP($B436,'Cronog. e Histog.'!$BZ:$BZ,'Cronog. e Histog.'!DJ:DJ),"")</f>
        <v/>
      </c>
      <c r="AP436" s="144" t="str">
        <f>IFERROR(_xlfn.XLOOKUP($B436,'Cronog. e Histog.'!$BZ:$BZ,'Cronog. e Histog.'!DK:DK),"")</f>
        <v/>
      </c>
      <c r="AQ436" s="144" t="str">
        <f>IFERROR(_xlfn.XLOOKUP($B436,'Cronog. e Histog.'!$BZ:$BZ,'Cronog. e Histog.'!DL:DL),"")</f>
        <v/>
      </c>
      <c r="AR436" s="144" t="str">
        <f>IFERROR(_xlfn.XLOOKUP($B436,'Cronog. e Histog.'!$BZ:$BZ,'Cronog. e Histog.'!DM:DM),"")</f>
        <v/>
      </c>
      <c r="AS436" s="144" t="str">
        <f>IFERROR(_xlfn.XLOOKUP($B436,'Cronog. e Histog.'!$BZ:$BZ,'Cronog. e Histog.'!DN:DN),"")</f>
        <v/>
      </c>
      <c r="AT436" s="144" t="str">
        <f>IFERROR(_xlfn.XLOOKUP($B436,'Cronog. e Histog.'!$BZ:$BZ,'Cronog. e Histog.'!DO:DO),"")</f>
        <v/>
      </c>
      <c r="AU436" s="144" t="str">
        <f>IFERROR(_xlfn.XLOOKUP($B436,'Cronog. e Histog.'!$BZ:$BZ,'Cronog. e Histog.'!DP:DP),"")</f>
        <v/>
      </c>
      <c r="AV436" s="144" t="str">
        <f>IFERROR(_xlfn.XLOOKUP($B436,'Cronog. e Histog.'!$BZ:$BZ,'Cronog. e Histog.'!DQ:DQ),"")</f>
        <v/>
      </c>
      <c r="AW436" s="144" t="str">
        <f>IFERROR(_xlfn.XLOOKUP($B436,'Cronog. e Histog.'!$BZ:$BZ,'Cronog. e Histog.'!DR:DR),"")</f>
        <v/>
      </c>
      <c r="AX436" s="144" t="str">
        <f>IFERROR(_xlfn.XLOOKUP($B436,'Cronog. e Histog.'!$BZ:$BZ,'Cronog. e Histog.'!DS:DS),"")</f>
        <v/>
      </c>
      <c r="AY436" s="144" t="str">
        <f>IFERROR(_xlfn.XLOOKUP($B436,'Cronog. e Histog.'!$BZ:$BZ,'Cronog. e Histog.'!DT:DT),"")</f>
        <v/>
      </c>
      <c r="AZ436" s="144" t="str">
        <f>IFERROR(_xlfn.XLOOKUP($B436,'Cronog. e Histog.'!$BZ:$BZ,'Cronog. e Histog.'!DU:DU),"")</f>
        <v/>
      </c>
      <c r="BA436" s="144" t="str">
        <f>IFERROR(_xlfn.XLOOKUP($B436,'Cronog. e Histog.'!$BZ:$BZ,'Cronog. e Histog.'!DV:DV),"")</f>
        <v/>
      </c>
      <c r="BB436" s="144" t="str">
        <f>IFERROR(_xlfn.XLOOKUP($B436,'Cronog. e Histog.'!$BZ:$BZ,'Cronog. e Histog.'!DW:DW),"")</f>
        <v/>
      </c>
      <c r="BC436" s="144" t="str">
        <f>IFERROR(_xlfn.XLOOKUP($B436,'Cronog. e Histog.'!$BZ:$BZ,'Cronog. e Histog.'!DX:DX),"")</f>
        <v/>
      </c>
      <c r="BD436" s="144" t="str">
        <f>IFERROR(_xlfn.XLOOKUP($B436,'Cronog. e Histog.'!$BZ:$BZ,'Cronog. e Histog.'!DY:DY),"")</f>
        <v/>
      </c>
      <c r="BE436" s="144" t="str">
        <f>IFERROR(_xlfn.XLOOKUP($B436,'Cronog. e Histog.'!$BZ:$BZ,'Cronog. e Histog.'!DZ:DZ),"")</f>
        <v/>
      </c>
      <c r="BF436" s="144" t="str">
        <f>IFERROR(_xlfn.XLOOKUP($B436,'Cronog. e Histog.'!$BZ:$BZ,'Cronog. e Histog.'!EA:EA),"")</f>
        <v/>
      </c>
      <c r="BG436" s="144" t="str">
        <f>IFERROR(_xlfn.XLOOKUP($B436,'Cronog. e Histog.'!$BZ:$BZ,'Cronog. e Histog.'!EB:EB),"")</f>
        <v/>
      </c>
      <c r="BH436" s="144" t="str">
        <f>IFERROR(_xlfn.XLOOKUP($B436,'Cronog. e Histog.'!$BZ:$BZ,'Cronog. e Histog.'!EC:EC),"")</f>
        <v/>
      </c>
      <c r="BI436" s="144" t="str">
        <f>IFERROR(_xlfn.XLOOKUP($B436,'Cronog. e Histog.'!$BZ:$BZ,'Cronog. e Histog.'!ED:ED),"")</f>
        <v/>
      </c>
      <c r="BJ436" s="144" t="str">
        <f>IFERROR(_xlfn.XLOOKUP($B436,'Cronog. e Histog.'!$BZ:$BZ,'Cronog. e Histog.'!EE:EE),"")</f>
        <v/>
      </c>
      <c r="BK436" s="144" t="str">
        <f>IFERROR(_xlfn.XLOOKUP($B436,'Cronog. e Histog.'!$BZ:$BZ,'Cronog. e Histog.'!EF:EF),"")</f>
        <v/>
      </c>
      <c r="BL436" s="144" t="str">
        <f>IFERROR(_xlfn.XLOOKUP($B436,'Cronog. e Histog.'!$BZ:$BZ,'Cronog. e Histog.'!EG:EG),"")</f>
        <v/>
      </c>
      <c r="BM436" s="144" t="str">
        <f>IFERROR(_xlfn.XLOOKUP($B436,'Cronog. e Histog.'!$BZ:$BZ,'Cronog. e Histog.'!EH:EH),"")</f>
        <v/>
      </c>
      <c r="BN436" s="144" t="str">
        <f>IFERROR(_xlfn.XLOOKUP($B436,'Cronog. e Histog.'!$BZ:$BZ,'Cronog. e Histog.'!EI:EI),"")</f>
        <v/>
      </c>
    </row>
    <row r="437" spans="2:66" ht="12" hidden="1" customHeight="1" outlineLevel="1">
      <c r="B437" s="76">
        <v>431</v>
      </c>
      <c r="C437" s="143" t="str">
        <f>IFERROR(VLOOKUP(B437,'Cronog. e Histog.'!$BZ$213:$CA$747,2,0),"")</f>
        <v/>
      </c>
      <c r="D437" s="144">
        <f t="shared" si="6"/>
        <v>0</v>
      </c>
      <c r="E437" s="144">
        <f t="shared" si="7"/>
        <v>0</v>
      </c>
      <c r="F437" s="65"/>
      <c r="G437" s="144" t="str">
        <f>IFERROR(_xlfn.XLOOKUP($B437,'Cronog. e Histog.'!$BZ:$BZ,'Cronog. e Histog.'!CB:CB),"")</f>
        <v/>
      </c>
      <c r="H437" s="144" t="str">
        <f>IFERROR(_xlfn.XLOOKUP($B437,'Cronog. e Histog.'!$BZ:$BZ,'Cronog. e Histog.'!CC:CC),"")</f>
        <v/>
      </c>
      <c r="I437" s="144" t="str">
        <f>IFERROR(_xlfn.XLOOKUP($B437,'Cronog. e Histog.'!$BZ:$BZ,'Cronog. e Histog.'!CD:CD),"")</f>
        <v/>
      </c>
      <c r="J437" s="144" t="str">
        <f>IFERROR(_xlfn.XLOOKUP($B437,'Cronog. e Histog.'!$BZ:$BZ,'Cronog. e Histog.'!CE:CE),"")</f>
        <v/>
      </c>
      <c r="K437" s="144" t="str">
        <f>IFERROR(_xlfn.XLOOKUP($B437,'Cronog. e Histog.'!$BZ:$BZ,'Cronog. e Histog.'!CF:CF),"")</f>
        <v/>
      </c>
      <c r="L437" s="144" t="str">
        <f>IFERROR(_xlfn.XLOOKUP($B437,'Cronog. e Histog.'!$BZ:$BZ,'Cronog. e Histog.'!CG:CG),"")</f>
        <v/>
      </c>
      <c r="M437" s="144" t="str">
        <f>IFERROR(_xlfn.XLOOKUP($B437,'Cronog. e Histog.'!$BZ:$BZ,'Cronog. e Histog.'!CH:CH),"")</f>
        <v/>
      </c>
      <c r="N437" s="144" t="str">
        <f>IFERROR(_xlfn.XLOOKUP($B437,'Cronog. e Histog.'!$BZ:$BZ,'Cronog. e Histog.'!CI:CI),"")</f>
        <v/>
      </c>
      <c r="O437" s="144" t="str">
        <f>IFERROR(_xlfn.XLOOKUP($B437,'Cronog. e Histog.'!$BZ:$BZ,'Cronog. e Histog.'!CJ:CJ),"")</f>
        <v/>
      </c>
      <c r="P437" s="144" t="str">
        <f>IFERROR(_xlfn.XLOOKUP($B437,'Cronog. e Histog.'!$BZ:$BZ,'Cronog. e Histog.'!CK:CK),"")</f>
        <v/>
      </c>
      <c r="Q437" s="144" t="str">
        <f>IFERROR(_xlfn.XLOOKUP($B437,'Cronog. e Histog.'!$BZ:$BZ,'Cronog. e Histog.'!CL:CL),"")</f>
        <v/>
      </c>
      <c r="R437" s="144" t="str">
        <f>IFERROR(_xlfn.XLOOKUP($B437,'Cronog. e Histog.'!$BZ:$BZ,'Cronog. e Histog.'!CM:CM),"")</f>
        <v/>
      </c>
      <c r="S437" s="144" t="str">
        <f>IFERROR(_xlfn.XLOOKUP($B437,'Cronog. e Histog.'!$BZ:$BZ,'Cronog. e Histog.'!CN:CN),"")</f>
        <v/>
      </c>
      <c r="T437" s="144" t="str">
        <f>IFERROR(_xlfn.XLOOKUP($B437,'Cronog. e Histog.'!$BZ:$BZ,'Cronog. e Histog.'!CO:CO),"")</f>
        <v/>
      </c>
      <c r="U437" s="144" t="str">
        <f>IFERROR(_xlfn.XLOOKUP($B437,'Cronog. e Histog.'!$BZ:$BZ,'Cronog. e Histog.'!CP:CP),"")</f>
        <v/>
      </c>
      <c r="V437" s="144" t="str">
        <f>IFERROR(_xlfn.XLOOKUP($B437,'Cronog. e Histog.'!$BZ:$BZ,'Cronog. e Histog.'!CQ:CQ),"")</f>
        <v/>
      </c>
      <c r="W437" s="144" t="str">
        <f>IFERROR(_xlfn.XLOOKUP($B437,'Cronog. e Histog.'!$BZ:$BZ,'Cronog. e Histog.'!CR:CR),"")</f>
        <v/>
      </c>
      <c r="X437" s="144" t="str">
        <f>IFERROR(_xlfn.XLOOKUP($B437,'Cronog. e Histog.'!$BZ:$BZ,'Cronog. e Histog.'!CS:CS),"")</f>
        <v/>
      </c>
      <c r="Y437" s="144" t="str">
        <f>IFERROR(_xlfn.XLOOKUP($B437,'Cronog. e Histog.'!$BZ:$BZ,'Cronog. e Histog.'!CT:CT),"")</f>
        <v/>
      </c>
      <c r="Z437" s="144" t="str">
        <f>IFERROR(_xlfn.XLOOKUP($B437,'Cronog. e Histog.'!$BZ:$BZ,'Cronog. e Histog.'!CU:CU),"")</f>
        <v/>
      </c>
      <c r="AA437" s="144" t="str">
        <f>IFERROR(_xlfn.XLOOKUP($B437,'Cronog. e Histog.'!$BZ:$BZ,'Cronog. e Histog.'!CV:CV),"")</f>
        <v/>
      </c>
      <c r="AB437" s="144" t="str">
        <f>IFERROR(_xlfn.XLOOKUP($B437,'Cronog. e Histog.'!$BZ:$BZ,'Cronog. e Histog.'!CW:CW),"")</f>
        <v/>
      </c>
      <c r="AC437" s="144" t="str">
        <f>IFERROR(_xlfn.XLOOKUP($B437,'Cronog. e Histog.'!$BZ:$BZ,'Cronog. e Histog.'!CX:CX),"")</f>
        <v/>
      </c>
      <c r="AD437" s="144" t="str">
        <f>IFERROR(_xlfn.XLOOKUP($B437,'Cronog. e Histog.'!$BZ:$BZ,'Cronog. e Histog.'!CY:CY),"")</f>
        <v/>
      </c>
      <c r="AE437" s="144" t="str">
        <f>IFERROR(_xlfn.XLOOKUP($B437,'Cronog. e Histog.'!$BZ:$BZ,'Cronog. e Histog.'!CZ:CZ),"")</f>
        <v/>
      </c>
      <c r="AF437" s="144" t="str">
        <f>IFERROR(_xlfn.XLOOKUP($B437,'Cronog. e Histog.'!$BZ:$BZ,'Cronog. e Histog.'!DA:DA),"")</f>
        <v/>
      </c>
      <c r="AG437" s="144" t="str">
        <f>IFERROR(_xlfn.XLOOKUP($B437,'Cronog. e Histog.'!$BZ:$BZ,'Cronog. e Histog.'!DB:DB),"")</f>
        <v/>
      </c>
      <c r="AH437" s="144" t="str">
        <f>IFERROR(_xlfn.XLOOKUP($B437,'Cronog. e Histog.'!$BZ:$BZ,'Cronog. e Histog.'!DC:DC),"")</f>
        <v/>
      </c>
      <c r="AI437" s="144" t="str">
        <f>IFERROR(_xlfn.XLOOKUP($B437,'Cronog. e Histog.'!$BZ:$BZ,'Cronog. e Histog.'!DD:DD),"")</f>
        <v/>
      </c>
      <c r="AJ437" s="144" t="str">
        <f>IFERROR(_xlfn.XLOOKUP($B437,'Cronog. e Histog.'!$BZ:$BZ,'Cronog. e Histog.'!DE:DE),"")</f>
        <v/>
      </c>
      <c r="AK437" s="144" t="str">
        <f>IFERROR(_xlfn.XLOOKUP($B437,'Cronog. e Histog.'!$BZ:$BZ,'Cronog. e Histog.'!DF:DF),"")</f>
        <v/>
      </c>
      <c r="AL437" s="144" t="str">
        <f>IFERROR(_xlfn.XLOOKUP($B437,'Cronog. e Histog.'!$BZ:$BZ,'Cronog. e Histog.'!DG:DG),"")</f>
        <v/>
      </c>
      <c r="AM437" s="144" t="str">
        <f>IFERROR(_xlfn.XLOOKUP($B437,'Cronog. e Histog.'!$BZ:$BZ,'Cronog. e Histog.'!DH:DH),"")</f>
        <v/>
      </c>
      <c r="AN437" s="144" t="str">
        <f>IFERROR(_xlfn.XLOOKUP($B437,'Cronog. e Histog.'!$BZ:$BZ,'Cronog. e Histog.'!DI:DI),"")</f>
        <v/>
      </c>
      <c r="AO437" s="144" t="str">
        <f>IFERROR(_xlfn.XLOOKUP($B437,'Cronog. e Histog.'!$BZ:$BZ,'Cronog. e Histog.'!DJ:DJ),"")</f>
        <v/>
      </c>
      <c r="AP437" s="144" t="str">
        <f>IFERROR(_xlfn.XLOOKUP($B437,'Cronog. e Histog.'!$BZ:$BZ,'Cronog. e Histog.'!DK:DK),"")</f>
        <v/>
      </c>
      <c r="AQ437" s="144" t="str">
        <f>IFERROR(_xlfn.XLOOKUP($B437,'Cronog. e Histog.'!$BZ:$BZ,'Cronog. e Histog.'!DL:DL),"")</f>
        <v/>
      </c>
      <c r="AR437" s="144" t="str">
        <f>IFERROR(_xlfn.XLOOKUP($B437,'Cronog. e Histog.'!$BZ:$BZ,'Cronog. e Histog.'!DM:DM),"")</f>
        <v/>
      </c>
      <c r="AS437" s="144" t="str">
        <f>IFERROR(_xlfn.XLOOKUP($B437,'Cronog. e Histog.'!$BZ:$BZ,'Cronog. e Histog.'!DN:DN),"")</f>
        <v/>
      </c>
      <c r="AT437" s="144" t="str">
        <f>IFERROR(_xlfn.XLOOKUP($B437,'Cronog. e Histog.'!$BZ:$BZ,'Cronog. e Histog.'!DO:DO),"")</f>
        <v/>
      </c>
      <c r="AU437" s="144" t="str">
        <f>IFERROR(_xlfn.XLOOKUP($B437,'Cronog. e Histog.'!$BZ:$BZ,'Cronog. e Histog.'!DP:DP),"")</f>
        <v/>
      </c>
      <c r="AV437" s="144" t="str">
        <f>IFERROR(_xlfn.XLOOKUP($B437,'Cronog. e Histog.'!$BZ:$BZ,'Cronog. e Histog.'!DQ:DQ),"")</f>
        <v/>
      </c>
      <c r="AW437" s="144" t="str">
        <f>IFERROR(_xlfn.XLOOKUP($B437,'Cronog. e Histog.'!$BZ:$BZ,'Cronog. e Histog.'!DR:DR),"")</f>
        <v/>
      </c>
      <c r="AX437" s="144" t="str">
        <f>IFERROR(_xlfn.XLOOKUP($B437,'Cronog. e Histog.'!$BZ:$BZ,'Cronog. e Histog.'!DS:DS),"")</f>
        <v/>
      </c>
      <c r="AY437" s="144" t="str">
        <f>IFERROR(_xlfn.XLOOKUP($B437,'Cronog. e Histog.'!$BZ:$BZ,'Cronog. e Histog.'!DT:DT),"")</f>
        <v/>
      </c>
      <c r="AZ437" s="144" t="str">
        <f>IFERROR(_xlfn.XLOOKUP($B437,'Cronog. e Histog.'!$BZ:$BZ,'Cronog. e Histog.'!DU:DU),"")</f>
        <v/>
      </c>
      <c r="BA437" s="144" t="str">
        <f>IFERROR(_xlfn.XLOOKUP($B437,'Cronog. e Histog.'!$BZ:$BZ,'Cronog. e Histog.'!DV:DV),"")</f>
        <v/>
      </c>
      <c r="BB437" s="144" t="str">
        <f>IFERROR(_xlfn.XLOOKUP($B437,'Cronog. e Histog.'!$BZ:$BZ,'Cronog. e Histog.'!DW:DW),"")</f>
        <v/>
      </c>
      <c r="BC437" s="144" t="str">
        <f>IFERROR(_xlfn.XLOOKUP($B437,'Cronog. e Histog.'!$BZ:$BZ,'Cronog. e Histog.'!DX:DX),"")</f>
        <v/>
      </c>
      <c r="BD437" s="144" t="str">
        <f>IFERROR(_xlfn.XLOOKUP($B437,'Cronog. e Histog.'!$BZ:$BZ,'Cronog. e Histog.'!DY:DY),"")</f>
        <v/>
      </c>
      <c r="BE437" s="144" t="str">
        <f>IFERROR(_xlfn.XLOOKUP($B437,'Cronog. e Histog.'!$BZ:$BZ,'Cronog. e Histog.'!DZ:DZ),"")</f>
        <v/>
      </c>
      <c r="BF437" s="144" t="str">
        <f>IFERROR(_xlfn.XLOOKUP($B437,'Cronog. e Histog.'!$BZ:$BZ,'Cronog. e Histog.'!EA:EA),"")</f>
        <v/>
      </c>
      <c r="BG437" s="144" t="str">
        <f>IFERROR(_xlfn.XLOOKUP($B437,'Cronog. e Histog.'!$BZ:$BZ,'Cronog. e Histog.'!EB:EB),"")</f>
        <v/>
      </c>
      <c r="BH437" s="144" t="str">
        <f>IFERROR(_xlfn.XLOOKUP($B437,'Cronog. e Histog.'!$BZ:$BZ,'Cronog. e Histog.'!EC:EC),"")</f>
        <v/>
      </c>
      <c r="BI437" s="144" t="str">
        <f>IFERROR(_xlfn.XLOOKUP($B437,'Cronog. e Histog.'!$BZ:$BZ,'Cronog. e Histog.'!ED:ED),"")</f>
        <v/>
      </c>
      <c r="BJ437" s="144" t="str">
        <f>IFERROR(_xlfn.XLOOKUP($B437,'Cronog. e Histog.'!$BZ:$BZ,'Cronog. e Histog.'!EE:EE),"")</f>
        <v/>
      </c>
      <c r="BK437" s="144" t="str">
        <f>IFERROR(_xlfn.XLOOKUP($B437,'Cronog. e Histog.'!$BZ:$BZ,'Cronog. e Histog.'!EF:EF),"")</f>
        <v/>
      </c>
      <c r="BL437" s="144" t="str">
        <f>IFERROR(_xlfn.XLOOKUP($B437,'Cronog. e Histog.'!$BZ:$BZ,'Cronog. e Histog.'!EG:EG),"")</f>
        <v/>
      </c>
      <c r="BM437" s="144" t="str">
        <f>IFERROR(_xlfn.XLOOKUP($B437,'Cronog. e Histog.'!$BZ:$BZ,'Cronog. e Histog.'!EH:EH),"")</f>
        <v/>
      </c>
      <c r="BN437" s="144" t="str">
        <f>IFERROR(_xlfn.XLOOKUP($B437,'Cronog. e Histog.'!$BZ:$BZ,'Cronog. e Histog.'!EI:EI),"")</f>
        <v/>
      </c>
    </row>
    <row r="438" spans="2:66" ht="12" hidden="1" customHeight="1" outlineLevel="1">
      <c r="B438" s="76">
        <v>432</v>
      </c>
      <c r="C438" s="143" t="str">
        <f>IFERROR(VLOOKUP(B438,'Cronog. e Histog.'!$BZ$213:$CA$747,2,0),"")</f>
        <v/>
      </c>
      <c r="D438" s="144">
        <f t="shared" si="6"/>
        <v>0</v>
      </c>
      <c r="E438" s="144">
        <f t="shared" si="7"/>
        <v>0</v>
      </c>
      <c r="F438" s="65"/>
      <c r="G438" s="144" t="str">
        <f>IFERROR(_xlfn.XLOOKUP($B438,'Cronog. e Histog.'!$BZ:$BZ,'Cronog. e Histog.'!CB:CB),"")</f>
        <v/>
      </c>
      <c r="H438" s="144" t="str">
        <f>IFERROR(_xlfn.XLOOKUP($B438,'Cronog. e Histog.'!$BZ:$BZ,'Cronog. e Histog.'!CC:CC),"")</f>
        <v/>
      </c>
      <c r="I438" s="144" t="str">
        <f>IFERROR(_xlfn.XLOOKUP($B438,'Cronog. e Histog.'!$BZ:$BZ,'Cronog. e Histog.'!CD:CD),"")</f>
        <v/>
      </c>
      <c r="J438" s="144" t="str">
        <f>IFERROR(_xlfn.XLOOKUP($B438,'Cronog. e Histog.'!$BZ:$BZ,'Cronog. e Histog.'!CE:CE),"")</f>
        <v/>
      </c>
      <c r="K438" s="144" t="str">
        <f>IFERROR(_xlfn.XLOOKUP($B438,'Cronog. e Histog.'!$BZ:$BZ,'Cronog. e Histog.'!CF:CF),"")</f>
        <v/>
      </c>
      <c r="L438" s="144" t="str">
        <f>IFERROR(_xlfn.XLOOKUP($B438,'Cronog. e Histog.'!$BZ:$BZ,'Cronog. e Histog.'!CG:CG),"")</f>
        <v/>
      </c>
      <c r="M438" s="144" t="str">
        <f>IFERROR(_xlfn.XLOOKUP($B438,'Cronog. e Histog.'!$BZ:$BZ,'Cronog. e Histog.'!CH:CH),"")</f>
        <v/>
      </c>
      <c r="N438" s="144" t="str">
        <f>IFERROR(_xlfn.XLOOKUP($B438,'Cronog. e Histog.'!$BZ:$BZ,'Cronog. e Histog.'!CI:CI),"")</f>
        <v/>
      </c>
      <c r="O438" s="144" t="str">
        <f>IFERROR(_xlfn.XLOOKUP($B438,'Cronog. e Histog.'!$BZ:$BZ,'Cronog. e Histog.'!CJ:CJ),"")</f>
        <v/>
      </c>
      <c r="P438" s="144" t="str">
        <f>IFERROR(_xlfn.XLOOKUP($B438,'Cronog. e Histog.'!$BZ:$BZ,'Cronog. e Histog.'!CK:CK),"")</f>
        <v/>
      </c>
      <c r="Q438" s="144" t="str">
        <f>IFERROR(_xlfn.XLOOKUP($B438,'Cronog. e Histog.'!$BZ:$BZ,'Cronog. e Histog.'!CL:CL),"")</f>
        <v/>
      </c>
      <c r="R438" s="144" t="str">
        <f>IFERROR(_xlfn.XLOOKUP($B438,'Cronog. e Histog.'!$BZ:$BZ,'Cronog. e Histog.'!CM:CM),"")</f>
        <v/>
      </c>
      <c r="S438" s="144" t="str">
        <f>IFERROR(_xlfn.XLOOKUP($B438,'Cronog. e Histog.'!$BZ:$BZ,'Cronog. e Histog.'!CN:CN),"")</f>
        <v/>
      </c>
      <c r="T438" s="144" t="str">
        <f>IFERROR(_xlfn.XLOOKUP($B438,'Cronog. e Histog.'!$BZ:$BZ,'Cronog. e Histog.'!CO:CO),"")</f>
        <v/>
      </c>
      <c r="U438" s="144" t="str">
        <f>IFERROR(_xlfn.XLOOKUP($B438,'Cronog. e Histog.'!$BZ:$BZ,'Cronog. e Histog.'!CP:CP),"")</f>
        <v/>
      </c>
      <c r="V438" s="144" t="str">
        <f>IFERROR(_xlfn.XLOOKUP($B438,'Cronog. e Histog.'!$BZ:$BZ,'Cronog. e Histog.'!CQ:CQ),"")</f>
        <v/>
      </c>
      <c r="W438" s="144" t="str">
        <f>IFERROR(_xlfn.XLOOKUP($B438,'Cronog. e Histog.'!$BZ:$BZ,'Cronog. e Histog.'!CR:CR),"")</f>
        <v/>
      </c>
      <c r="X438" s="144" t="str">
        <f>IFERROR(_xlfn.XLOOKUP($B438,'Cronog. e Histog.'!$BZ:$BZ,'Cronog. e Histog.'!CS:CS),"")</f>
        <v/>
      </c>
      <c r="Y438" s="144" t="str">
        <f>IFERROR(_xlfn.XLOOKUP($B438,'Cronog. e Histog.'!$BZ:$BZ,'Cronog. e Histog.'!CT:CT),"")</f>
        <v/>
      </c>
      <c r="Z438" s="144" t="str">
        <f>IFERROR(_xlfn.XLOOKUP($B438,'Cronog. e Histog.'!$BZ:$BZ,'Cronog. e Histog.'!CU:CU),"")</f>
        <v/>
      </c>
      <c r="AA438" s="144" t="str">
        <f>IFERROR(_xlfn.XLOOKUP($B438,'Cronog. e Histog.'!$BZ:$BZ,'Cronog. e Histog.'!CV:CV),"")</f>
        <v/>
      </c>
      <c r="AB438" s="144" t="str">
        <f>IFERROR(_xlfn.XLOOKUP($B438,'Cronog. e Histog.'!$BZ:$BZ,'Cronog. e Histog.'!CW:CW),"")</f>
        <v/>
      </c>
      <c r="AC438" s="144" t="str">
        <f>IFERROR(_xlfn.XLOOKUP($B438,'Cronog. e Histog.'!$BZ:$BZ,'Cronog. e Histog.'!CX:CX),"")</f>
        <v/>
      </c>
      <c r="AD438" s="144" t="str">
        <f>IFERROR(_xlfn.XLOOKUP($B438,'Cronog. e Histog.'!$BZ:$BZ,'Cronog. e Histog.'!CY:CY),"")</f>
        <v/>
      </c>
      <c r="AE438" s="144" t="str">
        <f>IFERROR(_xlfn.XLOOKUP($B438,'Cronog. e Histog.'!$BZ:$BZ,'Cronog. e Histog.'!CZ:CZ),"")</f>
        <v/>
      </c>
      <c r="AF438" s="144" t="str">
        <f>IFERROR(_xlfn.XLOOKUP($B438,'Cronog. e Histog.'!$BZ:$BZ,'Cronog. e Histog.'!DA:DA),"")</f>
        <v/>
      </c>
      <c r="AG438" s="144" t="str">
        <f>IFERROR(_xlfn.XLOOKUP($B438,'Cronog. e Histog.'!$BZ:$BZ,'Cronog. e Histog.'!DB:DB),"")</f>
        <v/>
      </c>
      <c r="AH438" s="144" t="str">
        <f>IFERROR(_xlfn.XLOOKUP($B438,'Cronog. e Histog.'!$BZ:$BZ,'Cronog. e Histog.'!DC:DC),"")</f>
        <v/>
      </c>
      <c r="AI438" s="144" t="str">
        <f>IFERROR(_xlfn.XLOOKUP($B438,'Cronog. e Histog.'!$BZ:$BZ,'Cronog. e Histog.'!DD:DD),"")</f>
        <v/>
      </c>
      <c r="AJ438" s="144" t="str">
        <f>IFERROR(_xlfn.XLOOKUP($B438,'Cronog. e Histog.'!$BZ:$BZ,'Cronog. e Histog.'!DE:DE),"")</f>
        <v/>
      </c>
      <c r="AK438" s="144" t="str">
        <f>IFERROR(_xlfn.XLOOKUP($B438,'Cronog. e Histog.'!$BZ:$BZ,'Cronog. e Histog.'!DF:DF),"")</f>
        <v/>
      </c>
      <c r="AL438" s="144" t="str">
        <f>IFERROR(_xlfn.XLOOKUP($B438,'Cronog. e Histog.'!$BZ:$BZ,'Cronog. e Histog.'!DG:DG),"")</f>
        <v/>
      </c>
      <c r="AM438" s="144" t="str">
        <f>IFERROR(_xlfn.XLOOKUP($B438,'Cronog. e Histog.'!$BZ:$BZ,'Cronog. e Histog.'!DH:DH),"")</f>
        <v/>
      </c>
      <c r="AN438" s="144" t="str">
        <f>IFERROR(_xlfn.XLOOKUP($B438,'Cronog. e Histog.'!$BZ:$BZ,'Cronog. e Histog.'!DI:DI),"")</f>
        <v/>
      </c>
      <c r="AO438" s="144" t="str">
        <f>IFERROR(_xlfn.XLOOKUP($B438,'Cronog. e Histog.'!$BZ:$BZ,'Cronog. e Histog.'!DJ:DJ),"")</f>
        <v/>
      </c>
      <c r="AP438" s="144" t="str">
        <f>IFERROR(_xlfn.XLOOKUP($B438,'Cronog. e Histog.'!$BZ:$BZ,'Cronog. e Histog.'!DK:DK),"")</f>
        <v/>
      </c>
      <c r="AQ438" s="144" t="str">
        <f>IFERROR(_xlfn.XLOOKUP($B438,'Cronog. e Histog.'!$BZ:$BZ,'Cronog. e Histog.'!DL:DL),"")</f>
        <v/>
      </c>
      <c r="AR438" s="144" t="str">
        <f>IFERROR(_xlfn.XLOOKUP($B438,'Cronog. e Histog.'!$BZ:$BZ,'Cronog. e Histog.'!DM:DM),"")</f>
        <v/>
      </c>
      <c r="AS438" s="144" t="str">
        <f>IFERROR(_xlfn.XLOOKUP($B438,'Cronog. e Histog.'!$BZ:$BZ,'Cronog. e Histog.'!DN:DN),"")</f>
        <v/>
      </c>
      <c r="AT438" s="144" t="str">
        <f>IFERROR(_xlfn.XLOOKUP($B438,'Cronog. e Histog.'!$BZ:$BZ,'Cronog. e Histog.'!DO:DO),"")</f>
        <v/>
      </c>
      <c r="AU438" s="144" t="str">
        <f>IFERROR(_xlfn.XLOOKUP($B438,'Cronog. e Histog.'!$BZ:$BZ,'Cronog. e Histog.'!DP:DP),"")</f>
        <v/>
      </c>
      <c r="AV438" s="144" t="str">
        <f>IFERROR(_xlfn.XLOOKUP($B438,'Cronog. e Histog.'!$BZ:$BZ,'Cronog. e Histog.'!DQ:DQ),"")</f>
        <v/>
      </c>
      <c r="AW438" s="144" t="str">
        <f>IFERROR(_xlfn.XLOOKUP($B438,'Cronog. e Histog.'!$BZ:$BZ,'Cronog. e Histog.'!DR:DR),"")</f>
        <v/>
      </c>
      <c r="AX438" s="144" t="str">
        <f>IFERROR(_xlfn.XLOOKUP($B438,'Cronog. e Histog.'!$BZ:$BZ,'Cronog. e Histog.'!DS:DS),"")</f>
        <v/>
      </c>
      <c r="AY438" s="144" t="str">
        <f>IFERROR(_xlfn.XLOOKUP($B438,'Cronog. e Histog.'!$BZ:$BZ,'Cronog. e Histog.'!DT:DT),"")</f>
        <v/>
      </c>
      <c r="AZ438" s="144" t="str">
        <f>IFERROR(_xlfn.XLOOKUP($B438,'Cronog. e Histog.'!$BZ:$BZ,'Cronog. e Histog.'!DU:DU),"")</f>
        <v/>
      </c>
      <c r="BA438" s="144" t="str">
        <f>IFERROR(_xlfn.XLOOKUP($B438,'Cronog. e Histog.'!$BZ:$BZ,'Cronog. e Histog.'!DV:DV),"")</f>
        <v/>
      </c>
      <c r="BB438" s="144" t="str">
        <f>IFERROR(_xlfn.XLOOKUP($B438,'Cronog. e Histog.'!$BZ:$BZ,'Cronog. e Histog.'!DW:DW),"")</f>
        <v/>
      </c>
      <c r="BC438" s="144" t="str">
        <f>IFERROR(_xlfn.XLOOKUP($B438,'Cronog. e Histog.'!$BZ:$BZ,'Cronog. e Histog.'!DX:DX),"")</f>
        <v/>
      </c>
      <c r="BD438" s="144" t="str">
        <f>IFERROR(_xlfn.XLOOKUP($B438,'Cronog. e Histog.'!$BZ:$BZ,'Cronog. e Histog.'!DY:DY),"")</f>
        <v/>
      </c>
      <c r="BE438" s="144" t="str">
        <f>IFERROR(_xlfn.XLOOKUP($B438,'Cronog. e Histog.'!$BZ:$BZ,'Cronog. e Histog.'!DZ:DZ),"")</f>
        <v/>
      </c>
      <c r="BF438" s="144" t="str">
        <f>IFERROR(_xlfn.XLOOKUP($B438,'Cronog. e Histog.'!$BZ:$BZ,'Cronog. e Histog.'!EA:EA),"")</f>
        <v/>
      </c>
      <c r="BG438" s="144" t="str">
        <f>IFERROR(_xlfn.XLOOKUP($B438,'Cronog. e Histog.'!$BZ:$BZ,'Cronog. e Histog.'!EB:EB),"")</f>
        <v/>
      </c>
      <c r="BH438" s="144" t="str">
        <f>IFERROR(_xlfn.XLOOKUP($B438,'Cronog. e Histog.'!$BZ:$BZ,'Cronog. e Histog.'!EC:EC),"")</f>
        <v/>
      </c>
      <c r="BI438" s="144" t="str">
        <f>IFERROR(_xlfn.XLOOKUP($B438,'Cronog. e Histog.'!$BZ:$BZ,'Cronog. e Histog.'!ED:ED),"")</f>
        <v/>
      </c>
      <c r="BJ438" s="144" t="str">
        <f>IFERROR(_xlfn.XLOOKUP($B438,'Cronog. e Histog.'!$BZ:$BZ,'Cronog. e Histog.'!EE:EE),"")</f>
        <v/>
      </c>
      <c r="BK438" s="144" t="str">
        <f>IFERROR(_xlfn.XLOOKUP($B438,'Cronog. e Histog.'!$BZ:$BZ,'Cronog. e Histog.'!EF:EF),"")</f>
        <v/>
      </c>
      <c r="BL438" s="144" t="str">
        <f>IFERROR(_xlfn.XLOOKUP($B438,'Cronog. e Histog.'!$BZ:$BZ,'Cronog. e Histog.'!EG:EG),"")</f>
        <v/>
      </c>
      <c r="BM438" s="144" t="str">
        <f>IFERROR(_xlfn.XLOOKUP($B438,'Cronog. e Histog.'!$BZ:$BZ,'Cronog. e Histog.'!EH:EH),"")</f>
        <v/>
      </c>
      <c r="BN438" s="144" t="str">
        <f>IFERROR(_xlfn.XLOOKUP($B438,'Cronog. e Histog.'!$BZ:$BZ,'Cronog. e Histog.'!EI:EI),"")</f>
        <v/>
      </c>
    </row>
    <row r="439" spans="2:66" ht="12" hidden="1" customHeight="1" outlineLevel="1">
      <c r="B439" s="76">
        <v>433</v>
      </c>
      <c r="C439" s="143" t="str">
        <f>IFERROR(VLOOKUP(B439,'Cronog. e Histog.'!$BZ$213:$CA$747,2,0),"")</f>
        <v/>
      </c>
      <c r="D439" s="144">
        <f t="shared" si="6"/>
        <v>0</v>
      </c>
      <c r="E439" s="144">
        <f t="shared" si="7"/>
        <v>0</v>
      </c>
      <c r="F439" s="65"/>
      <c r="G439" s="144" t="str">
        <f>IFERROR(_xlfn.XLOOKUP($B439,'Cronog. e Histog.'!$BZ:$BZ,'Cronog. e Histog.'!CB:CB),"")</f>
        <v/>
      </c>
      <c r="H439" s="144" t="str">
        <f>IFERROR(_xlfn.XLOOKUP($B439,'Cronog. e Histog.'!$BZ:$BZ,'Cronog. e Histog.'!CC:CC),"")</f>
        <v/>
      </c>
      <c r="I439" s="144" t="str">
        <f>IFERROR(_xlfn.XLOOKUP($B439,'Cronog. e Histog.'!$BZ:$BZ,'Cronog. e Histog.'!CD:CD),"")</f>
        <v/>
      </c>
      <c r="J439" s="144" t="str">
        <f>IFERROR(_xlfn.XLOOKUP($B439,'Cronog. e Histog.'!$BZ:$BZ,'Cronog. e Histog.'!CE:CE),"")</f>
        <v/>
      </c>
      <c r="K439" s="144" t="str">
        <f>IFERROR(_xlfn.XLOOKUP($B439,'Cronog. e Histog.'!$BZ:$BZ,'Cronog. e Histog.'!CF:CF),"")</f>
        <v/>
      </c>
      <c r="L439" s="144" t="str">
        <f>IFERROR(_xlfn.XLOOKUP($B439,'Cronog. e Histog.'!$BZ:$BZ,'Cronog. e Histog.'!CG:CG),"")</f>
        <v/>
      </c>
      <c r="M439" s="144" t="str">
        <f>IFERROR(_xlfn.XLOOKUP($B439,'Cronog. e Histog.'!$BZ:$BZ,'Cronog. e Histog.'!CH:CH),"")</f>
        <v/>
      </c>
      <c r="N439" s="144" t="str">
        <f>IFERROR(_xlfn.XLOOKUP($B439,'Cronog. e Histog.'!$BZ:$BZ,'Cronog. e Histog.'!CI:CI),"")</f>
        <v/>
      </c>
      <c r="O439" s="144" t="str">
        <f>IFERROR(_xlfn.XLOOKUP($B439,'Cronog. e Histog.'!$BZ:$BZ,'Cronog. e Histog.'!CJ:CJ),"")</f>
        <v/>
      </c>
      <c r="P439" s="144" t="str">
        <f>IFERROR(_xlfn.XLOOKUP($B439,'Cronog. e Histog.'!$BZ:$BZ,'Cronog. e Histog.'!CK:CK),"")</f>
        <v/>
      </c>
      <c r="Q439" s="144" t="str">
        <f>IFERROR(_xlfn.XLOOKUP($B439,'Cronog. e Histog.'!$BZ:$BZ,'Cronog. e Histog.'!CL:CL),"")</f>
        <v/>
      </c>
      <c r="R439" s="144" t="str">
        <f>IFERROR(_xlfn.XLOOKUP($B439,'Cronog. e Histog.'!$BZ:$BZ,'Cronog. e Histog.'!CM:CM),"")</f>
        <v/>
      </c>
      <c r="S439" s="144" t="str">
        <f>IFERROR(_xlfn.XLOOKUP($B439,'Cronog. e Histog.'!$BZ:$BZ,'Cronog. e Histog.'!CN:CN),"")</f>
        <v/>
      </c>
      <c r="T439" s="144" t="str">
        <f>IFERROR(_xlfn.XLOOKUP($B439,'Cronog. e Histog.'!$BZ:$BZ,'Cronog. e Histog.'!CO:CO),"")</f>
        <v/>
      </c>
      <c r="U439" s="144" t="str">
        <f>IFERROR(_xlfn.XLOOKUP($B439,'Cronog. e Histog.'!$BZ:$BZ,'Cronog. e Histog.'!CP:CP),"")</f>
        <v/>
      </c>
      <c r="V439" s="144" t="str">
        <f>IFERROR(_xlfn.XLOOKUP($B439,'Cronog. e Histog.'!$BZ:$BZ,'Cronog. e Histog.'!CQ:CQ),"")</f>
        <v/>
      </c>
      <c r="W439" s="144" t="str">
        <f>IFERROR(_xlfn.XLOOKUP($B439,'Cronog. e Histog.'!$BZ:$BZ,'Cronog. e Histog.'!CR:CR),"")</f>
        <v/>
      </c>
      <c r="X439" s="144" t="str">
        <f>IFERROR(_xlfn.XLOOKUP($B439,'Cronog. e Histog.'!$BZ:$BZ,'Cronog. e Histog.'!CS:CS),"")</f>
        <v/>
      </c>
      <c r="Y439" s="144" t="str">
        <f>IFERROR(_xlfn.XLOOKUP($B439,'Cronog. e Histog.'!$BZ:$BZ,'Cronog. e Histog.'!CT:CT),"")</f>
        <v/>
      </c>
      <c r="Z439" s="144" t="str">
        <f>IFERROR(_xlfn.XLOOKUP($B439,'Cronog. e Histog.'!$BZ:$BZ,'Cronog. e Histog.'!CU:CU),"")</f>
        <v/>
      </c>
      <c r="AA439" s="144" t="str">
        <f>IFERROR(_xlfn.XLOOKUP($B439,'Cronog. e Histog.'!$BZ:$BZ,'Cronog. e Histog.'!CV:CV),"")</f>
        <v/>
      </c>
      <c r="AB439" s="144" t="str">
        <f>IFERROR(_xlfn.XLOOKUP($B439,'Cronog. e Histog.'!$BZ:$BZ,'Cronog. e Histog.'!CW:CW),"")</f>
        <v/>
      </c>
      <c r="AC439" s="144" t="str">
        <f>IFERROR(_xlfn.XLOOKUP($B439,'Cronog. e Histog.'!$BZ:$BZ,'Cronog. e Histog.'!CX:CX),"")</f>
        <v/>
      </c>
      <c r="AD439" s="144" t="str">
        <f>IFERROR(_xlfn.XLOOKUP($B439,'Cronog. e Histog.'!$BZ:$BZ,'Cronog. e Histog.'!CY:CY),"")</f>
        <v/>
      </c>
      <c r="AE439" s="144" t="str">
        <f>IFERROR(_xlfn.XLOOKUP($B439,'Cronog. e Histog.'!$BZ:$BZ,'Cronog. e Histog.'!CZ:CZ),"")</f>
        <v/>
      </c>
      <c r="AF439" s="144" t="str">
        <f>IFERROR(_xlfn.XLOOKUP($B439,'Cronog. e Histog.'!$BZ:$BZ,'Cronog. e Histog.'!DA:DA),"")</f>
        <v/>
      </c>
      <c r="AG439" s="144" t="str">
        <f>IFERROR(_xlfn.XLOOKUP($B439,'Cronog. e Histog.'!$BZ:$BZ,'Cronog. e Histog.'!DB:DB),"")</f>
        <v/>
      </c>
      <c r="AH439" s="144" t="str">
        <f>IFERROR(_xlfn.XLOOKUP($B439,'Cronog. e Histog.'!$BZ:$BZ,'Cronog. e Histog.'!DC:DC),"")</f>
        <v/>
      </c>
      <c r="AI439" s="144" t="str">
        <f>IFERROR(_xlfn.XLOOKUP($B439,'Cronog. e Histog.'!$BZ:$BZ,'Cronog. e Histog.'!DD:DD),"")</f>
        <v/>
      </c>
      <c r="AJ439" s="144" t="str">
        <f>IFERROR(_xlfn.XLOOKUP($B439,'Cronog. e Histog.'!$BZ:$BZ,'Cronog. e Histog.'!DE:DE),"")</f>
        <v/>
      </c>
      <c r="AK439" s="144" t="str">
        <f>IFERROR(_xlfn.XLOOKUP($B439,'Cronog. e Histog.'!$BZ:$BZ,'Cronog. e Histog.'!DF:DF),"")</f>
        <v/>
      </c>
      <c r="AL439" s="144" t="str">
        <f>IFERROR(_xlfn.XLOOKUP($B439,'Cronog. e Histog.'!$BZ:$BZ,'Cronog. e Histog.'!DG:DG),"")</f>
        <v/>
      </c>
      <c r="AM439" s="144" t="str">
        <f>IFERROR(_xlfn.XLOOKUP($B439,'Cronog. e Histog.'!$BZ:$BZ,'Cronog. e Histog.'!DH:DH),"")</f>
        <v/>
      </c>
      <c r="AN439" s="144" t="str">
        <f>IFERROR(_xlfn.XLOOKUP($B439,'Cronog. e Histog.'!$BZ:$BZ,'Cronog. e Histog.'!DI:DI),"")</f>
        <v/>
      </c>
      <c r="AO439" s="144" t="str">
        <f>IFERROR(_xlfn.XLOOKUP($B439,'Cronog. e Histog.'!$BZ:$BZ,'Cronog. e Histog.'!DJ:DJ),"")</f>
        <v/>
      </c>
      <c r="AP439" s="144" t="str">
        <f>IFERROR(_xlfn.XLOOKUP($B439,'Cronog. e Histog.'!$BZ:$BZ,'Cronog. e Histog.'!DK:DK),"")</f>
        <v/>
      </c>
      <c r="AQ439" s="144" t="str">
        <f>IFERROR(_xlfn.XLOOKUP($B439,'Cronog. e Histog.'!$BZ:$BZ,'Cronog. e Histog.'!DL:DL),"")</f>
        <v/>
      </c>
      <c r="AR439" s="144" t="str">
        <f>IFERROR(_xlfn.XLOOKUP($B439,'Cronog. e Histog.'!$BZ:$BZ,'Cronog. e Histog.'!DM:DM),"")</f>
        <v/>
      </c>
      <c r="AS439" s="144" t="str">
        <f>IFERROR(_xlfn.XLOOKUP($B439,'Cronog. e Histog.'!$BZ:$BZ,'Cronog. e Histog.'!DN:DN),"")</f>
        <v/>
      </c>
      <c r="AT439" s="144" t="str">
        <f>IFERROR(_xlfn.XLOOKUP($B439,'Cronog. e Histog.'!$BZ:$BZ,'Cronog. e Histog.'!DO:DO),"")</f>
        <v/>
      </c>
      <c r="AU439" s="144" t="str">
        <f>IFERROR(_xlfn.XLOOKUP($B439,'Cronog. e Histog.'!$BZ:$BZ,'Cronog. e Histog.'!DP:DP),"")</f>
        <v/>
      </c>
      <c r="AV439" s="144" t="str">
        <f>IFERROR(_xlfn.XLOOKUP($B439,'Cronog. e Histog.'!$BZ:$BZ,'Cronog. e Histog.'!DQ:DQ),"")</f>
        <v/>
      </c>
      <c r="AW439" s="144" t="str">
        <f>IFERROR(_xlfn.XLOOKUP($B439,'Cronog. e Histog.'!$BZ:$BZ,'Cronog. e Histog.'!DR:DR),"")</f>
        <v/>
      </c>
      <c r="AX439" s="144" t="str">
        <f>IFERROR(_xlfn.XLOOKUP($B439,'Cronog. e Histog.'!$BZ:$BZ,'Cronog. e Histog.'!DS:DS),"")</f>
        <v/>
      </c>
      <c r="AY439" s="144" t="str">
        <f>IFERROR(_xlfn.XLOOKUP($B439,'Cronog. e Histog.'!$BZ:$BZ,'Cronog. e Histog.'!DT:DT),"")</f>
        <v/>
      </c>
      <c r="AZ439" s="144" t="str">
        <f>IFERROR(_xlfn.XLOOKUP($B439,'Cronog. e Histog.'!$BZ:$BZ,'Cronog. e Histog.'!DU:DU),"")</f>
        <v/>
      </c>
      <c r="BA439" s="144" t="str">
        <f>IFERROR(_xlfn.XLOOKUP($B439,'Cronog. e Histog.'!$BZ:$BZ,'Cronog. e Histog.'!DV:DV),"")</f>
        <v/>
      </c>
      <c r="BB439" s="144" t="str">
        <f>IFERROR(_xlfn.XLOOKUP($B439,'Cronog. e Histog.'!$BZ:$BZ,'Cronog. e Histog.'!DW:DW),"")</f>
        <v/>
      </c>
      <c r="BC439" s="144" t="str">
        <f>IFERROR(_xlfn.XLOOKUP($B439,'Cronog. e Histog.'!$BZ:$BZ,'Cronog. e Histog.'!DX:DX),"")</f>
        <v/>
      </c>
      <c r="BD439" s="144" t="str">
        <f>IFERROR(_xlfn.XLOOKUP($B439,'Cronog. e Histog.'!$BZ:$BZ,'Cronog. e Histog.'!DY:DY),"")</f>
        <v/>
      </c>
      <c r="BE439" s="144" t="str">
        <f>IFERROR(_xlfn.XLOOKUP($B439,'Cronog. e Histog.'!$BZ:$BZ,'Cronog. e Histog.'!DZ:DZ),"")</f>
        <v/>
      </c>
      <c r="BF439" s="144" t="str">
        <f>IFERROR(_xlfn.XLOOKUP($B439,'Cronog. e Histog.'!$BZ:$BZ,'Cronog. e Histog.'!EA:EA),"")</f>
        <v/>
      </c>
      <c r="BG439" s="144" t="str">
        <f>IFERROR(_xlfn.XLOOKUP($B439,'Cronog. e Histog.'!$BZ:$BZ,'Cronog. e Histog.'!EB:EB),"")</f>
        <v/>
      </c>
      <c r="BH439" s="144" t="str">
        <f>IFERROR(_xlfn.XLOOKUP($B439,'Cronog. e Histog.'!$BZ:$BZ,'Cronog. e Histog.'!EC:EC),"")</f>
        <v/>
      </c>
      <c r="BI439" s="144" t="str">
        <f>IFERROR(_xlfn.XLOOKUP($B439,'Cronog. e Histog.'!$BZ:$BZ,'Cronog. e Histog.'!ED:ED),"")</f>
        <v/>
      </c>
      <c r="BJ439" s="144" t="str">
        <f>IFERROR(_xlfn.XLOOKUP($B439,'Cronog. e Histog.'!$BZ:$BZ,'Cronog. e Histog.'!EE:EE),"")</f>
        <v/>
      </c>
      <c r="BK439" s="144" t="str">
        <f>IFERROR(_xlfn.XLOOKUP($B439,'Cronog. e Histog.'!$BZ:$BZ,'Cronog. e Histog.'!EF:EF),"")</f>
        <v/>
      </c>
      <c r="BL439" s="144" t="str">
        <f>IFERROR(_xlfn.XLOOKUP($B439,'Cronog. e Histog.'!$BZ:$BZ,'Cronog. e Histog.'!EG:EG),"")</f>
        <v/>
      </c>
      <c r="BM439" s="144" t="str">
        <f>IFERROR(_xlfn.XLOOKUP($B439,'Cronog. e Histog.'!$BZ:$BZ,'Cronog. e Histog.'!EH:EH),"")</f>
        <v/>
      </c>
      <c r="BN439" s="144" t="str">
        <f>IFERROR(_xlfn.XLOOKUP($B439,'Cronog. e Histog.'!$BZ:$BZ,'Cronog. e Histog.'!EI:EI),"")</f>
        <v/>
      </c>
    </row>
    <row r="440" spans="2:66" ht="12" hidden="1" customHeight="1" outlineLevel="1">
      <c r="B440" s="76">
        <v>434</v>
      </c>
      <c r="C440" s="143" t="str">
        <f>IFERROR(VLOOKUP(B440,'Cronog. e Histog.'!$BZ$213:$CA$747,2,0),"")</f>
        <v/>
      </c>
      <c r="D440" s="144">
        <f t="shared" si="6"/>
        <v>0</v>
      </c>
      <c r="E440" s="144">
        <f t="shared" si="7"/>
        <v>0</v>
      </c>
      <c r="F440" s="65"/>
      <c r="G440" s="144" t="str">
        <f>IFERROR(_xlfn.XLOOKUP($B440,'Cronog. e Histog.'!$BZ:$BZ,'Cronog. e Histog.'!CB:CB),"")</f>
        <v/>
      </c>
      <c r="H440" s="144" t="str">
        <f>IFERROR(_xlfn.XLOOKUP($B440,'Cronog. e Histog.'!$BZ:$BZ,'Cronog. e Histog.'!CC:CC),"")</f>
        <v/>
      </c>
      <c r="I440" s="144" t="str">
        <f>IFERROR(_xlfn.XLOOKUP($B440,'Cronog. e Histog.'!$BZ:$BZ,'Cronog. e Histog.'!CD:CD),"")</f>
        <v/>
      </c>
      <c r="J440" s="144" t="str">
        <f>IFERROR(_xlfn.XLOOKUP($B440,'Cronog. e Histog.'!$BZ:$BZ,'Cronog. e Histog.'!CE:CE),"")</f>
        <v/>
      </c>
      <c r="K440" s="144" t="str">
        <f>IFERROR(_xlfn.XLOOKUP($B440,'Cronog. e Histog.'!$BZ:$BZ,'Cronog. e Histog.'!CF:CF),"")</f>
        <v/>
      </c>
      <c r="L440" s="144" t="str">
        <f>IFERROR(_xlfn.XLOOKUP($B440,'Cronog. e Histog.'!$BZ:$BZ,'Cronog. e Histog.'!CG:CG),"")</f>
        <v/>
      </c>
      <c r="M440" s="144" t="str">
        <f>IFERROR(_xlfn.XLOOKUP($B440,'Cronog. e Histog.'!$BZ:$BZ,'Cronog. e Histog.'!CH:CH),"")</f>
        <v/>
      </c>
      <c r="N440" s="144" t="str">
        <f>IFERROR(_xlfn.XLOOKUP($B440,'Cronog. e Histog.'!$BZ:$BZ,'Cronog. e Histog.'!CI:CI),"")</f>
        <v/>
      </c>
      <c r="O440" s="144" t="str">
        <f>IFERROR(_xlfn.XLOOKUP($B440,'Cronog. e Histog.'!$BZ:$BZ,'Cronog. e Histog.'!CJ:CJ),"")</f>
        <v/>
      </c>
      <c r="P440" s="144" t="str">
        <f>IFERROR(_xlfn.XLOOKUP($B440,'Cronog. e Histog.'!$BZ:$BZ,'Cronog. e Histog.'!CK:CK),"")</f>
        <v/>
      </c>
      <c r="Q440" s="144" t="str">
        <f>IFERROR(_xlfn.XLOOKUP($B440,'Cronog. e Histog.'!$BZ:$BZ,'Cronog. e Histog.'!CL:CL),"")</f>
        <v/>
      </c>
      <c r="R440" s="144" t="str">
        <f>IFERROR(_xlfn.XLOOKUP($B440,'Cronog. e Histog.'!$BZ:$BZ,'Cronog. e Histog.'!CM:CM),"")</f>
        <v/>
      </c>
      <c r="S440" s="144" t="str">
        <f>IFERROR(_xlfn.XLOOKUP($B440,'Cronog. e Histog.'!$BZ:$BZ,'Cronog. e Histog.'!CN:CN),"")</f>
        <v/>
      </c>
      <c r="T440" s="144" t="str">
        <f>IFERROR(_xlfn.XLOOKUP($B440,'Cronog. e Histog.'!$BZ:$BZ,'Cronog. e Histog.'!CO:CO),"")</f>
        <v/>
      </c>
      <c r="U440" s="144" t="str">
        <f>IFERROR(_xlfn.XLOOKUP($B440,'Cronog. e Histog.'!$BZ:$BZ,'Cronog. e Histog.'!CP:CP),"")</f>
        <v/>
      </c>
      <c r="V440" s="144" t="str">
        <f>IFERROR(_xlfn.XLOOKUP($B440,'Cronog. e Histog.'!$BZ:$BZ,'Cronog. e Histog.'!CQ:CQ),"")</f>
        <v/>
      </c>
      <c r="W440" s="144" t="str">
        <f>IFERROR(_xlfn.XLOOKUP($B440,'Cronog. e Histog.'!$BZ:$BZ,'Cronog. e Histog.'!CR:CR),"")</f>
        <v/>
      </c>
      <c r="X440" s="144" t="str">
        <f>IFERROR(_xlfn.XLOOKUP($B440,'Cronog. e Histog.'!$BZ:$BZ,'Cronog. e Histog.'!CS:CS),"")</f>
        <v/>
      </c>
      <c r="Y440" s="144" t="str">
        <f>IFERROR(_xlfn.XLOOKUP($B440,'Cronog. e Histog.'!$BZ:$BZ,'Cronog. e Histog.'!CT:CT),"")</f>
        <v/>
      </c>
      <c r="Z440" s="144" t="str">
        <f>IFERROR(_xlfn.XLOOKUP($B440,'Cronog. e Histog.'!$BZ:$BZ,'Cronog. e Histog.'!CU:CU),"")</f>
        <v/>
      </c>
      <c r="AA440" s="144" t="str">
        <f>IFERROR(_xlfn.XLOOKUP($B440,'Cronog. e Histog.'!$BZ:$BZ,'Cronog. e Histog.'!CV:CV),"")</f>
        <v/>
      </c>
      <c r="AB440" s="144" t="str">
        <f>IFERROR(_xlfn.XLOOKUP($B440,'Cronog. e Histog.'!$BZ:$BZ,'Cronog. e Histog.'!CW:CW),"")</f>
        <v/>
      </c>
      <c r="AC440" s="144" t="str">
        <f>IFERROR(_xlfn.XLOOKUP($B440,'Cronog. e Histog.'!$BZ:$BZ,'Cronog. e Histog.'!CX:CX),"")</f>
        <v/>
      </c>
      <c r="AD440" s="144" t="str">
        <f>IFERROR(_xlfn.XLOOKUP($B440,'Cronog. e Histog.'!$BZ:$BZ,'Cronog. e Histog.'!CY:CY),"")</f>
        <v/>
      </c>
      <c r="AE440" s="144" t="str">
        <f>IFERROR(_xlfn.XLOOKUP($B440,'Cronog. e Histog.'!$BZ:$BZ,'Cronog. e Histog.'!CZ:CZ),"")</f>
        <v/>
      </c>
      <c r="AF440" s="144" t="str">
        <f>IFERROR(_xlfn.XLOOKUP($B440,'Cronog. e Histog.'!$BZ:$BZ,'Cronog. e Histog.'!DA:DA),"")</f>
        <v/>
      </c>
      <c r="AG440" s="144" t="str">
        <f>IFERROR(_xlfn.XLOOKUP($B440,'Cronog. e Histog.'!$BZ:$BZ,'Cronog. e Histog.'!DB:DB),"")</f>
        <v/>
      </c>
      <c r="AH440" s="144" t="str">
        <f>IFERROR(_xlfn.XLOOKUP($B440,'Cronog. e Histog.'!$BZ:$BZ,'Cronog. e Histog.'!DC:DC),"")</f>
        <v/>
      </c>
      <c r="AI440" s="144" t="str">
        <f>IFERROR(_xlfn.XLOOKUP($B440,'Cronog. e Histog.'!$BZ:$BZ,'Cronog. e Histog.'!DD:DD),"")</f>
        <v/>
      </c>
      <c r="AJ440" s="144" t="str">
        <f>IFERROR(_xlfn.XLOOKUP($B440,'Cronog. e Histog.'!$BZ:$BZ,'Cronog. e Histog.'!DE:DE),"")</f>
        <v/>
      </c>
      <c r="AK440" s="144" t="str">
        <f>IFERROR(_xlfn.XLOOKUP($B440,'Cronog. e Histog.'!$BZ:$BZ,'Cronog. e Histog.'!DF:DF),"")</f>
        <v/>
      </c>
      <c r="AL440" s="144" t="str">
        <f>IFERROR(_xlfn.XLOOKUP($B440,'Cronog. e Histog.'!$BZ:$BZ,'Cronog. e Histog.'!DG:DG),"")</f>
        <v/>
      </c>
      <c r="AM440" s="144" t="str">
        <f>IFERROR(_xlfn.XLOOKUP($B440,'Cronog. e Histog.'!$BZ:$BZ,'Cronog. e Histog.'!DH:DH),"")</f>
        <v/>
      </c>
      <c r="AN440" s="144" t="str">
        <f>IFERROR(_xlfn.XLOOKUP($B440,'Cronog. e Histog.'!$BZ:$BZ,'Cronog. e Histog.'!DI:DI),"")</f>
        <v/>
      </c>
      <c r="AO440" s="144" t="str">
        <f>IFERROR(_xlfn.XLOOKUP($B440,'Cronog. e Histog.'!$BZ:$BZ,'Cronog. e Histog.'!DJ:DJ),"")</f>
        <v/>
      </c>
      <c r="AP440" s="144" t="str">
        <f>IFERROR(_xlfn.XLOOKUP($B440,'Cronog. e Histog.'!$BZ:$BZ,'Cronog. e Histog.'!DK:DK),"")</f>
        <v/>
      </c>
      <c r="AQ440" s="144" t="str">
        <f>IFERROR(_xlfn.XLOOKUP($B440,'Cronog. e Histog.'!$BZ:$BZ,'Cronog. e Histog.'!DL:DL),"")</f>
        <v/>
      </c>
      <c r="AR440" s="144" t="str">
        <f>IFERROR(_xlfn.XLOOKUP($B440,'Cronog. e Histog.'!$BZ:$BZ,'Cronog. e Histog.'!DM:DM),"")</f>
        <v/>
      </c>
      <c r="AS440" s="144" t="str">
        <f>IFERROR(_xlfn.XLOOKUP($B440,'Cronog. e Histog.'!$BZ:$BZ,'Cronog. e Histog.'!DN:DN),"")</f>
        <v/>
      </c>
      <c r="AT440" s="144" t="str">
        <f>IFERROR(_xlfn.XLOOKUP($B440,'Cronog. e Histog.'!$BZ:$BZ,'Cronog. e Histog.'!DO:DO),"")</f>
        <v/>
      </c>
      <c r="AU440" s="144" t="str">
        <f>IFERROR(_xlfn.XLOOKUP($B440,'Cronog. e Histog.'!$BZ:$BZ,'Cronog. e Histog.'!DP:DP),"")</f>
        <v/>
      </c>
      <c r="AV440" s="144" t="str">
        <f>IFERROR(_xlfn.XLOOKUP($B440,'Cronog. e Histog.'!$BZ:$BZ,'Cronog. e Histog.'!DQ:DQ),"")</f>
        <v/>
      </c>
      <c r="AW440" s="144" t="str">
        <f>IFERROR(_xlfn.XLOOKUP($B440,'Cronog. e Histog.'!$BZ:$BZ,'Cronog. e Histog.'!DR:DR),"")</f>
        <v/>
      </c>
      <c r="AX440" s="144" t="str">
        <f>IFERROR(_xlfn.XLOOKUP($B440,'Cronog. e Histog.'!$BZ:$BZ,'Cronog. e Histog.'!DS:DS),"")</f>
        <v/>
      </c>
      <c r="AY440" s="144" t="str">
        <f>IFERROR(_xlfn.XLOOKUP($B440,'Cronog. e Histog.'!$BZ:$BZ,'Cronog. e Histog.'!DT:DT),"")</f>
        <v/>
      </c>
      <c r="AZ440" s="144" t="str">
        <f>IFERROR(_xlfn.XLOOKUP($B440,'Cronog. e Histog.'!$BZ:$BZ,'Cronog. e Histog.'!DU:DU),"")</f>
        <v/>
      </c>
      <c r="BA440" s="144" t="str">
        <f>IFERROR(_xlfn.XLOOKUP($B440,'Cronog. e Histog.'!$BZ:$BZ,'Cronog. e Histog.'!DV:DV),"")</f>
        <v/>
      </c>
      <c r="BB440" s="144" t="str">
        <f>IFERROR(_xlfn.XLOOKUP($B440,'Cronog. e Histog.'!$BZ:$BZ,'Cronog. e Histog.'!DW:DW),"")</f>
        <v/>
      </c>
      <c r="BC440" s="144" t="str">
        <f>IFERROR(_xlfn.XLOOKUP($B440,'Cronog. e Histog.'!$BZ:$BZ,'Cronog. e Histog.'!DX:DX),"")</f>
        <v/>
      </c>
      <c r="BD440" s="144" t="str">
        <f>IFERROR(_xlfn.XLOOKUP($B440,'Cronog. e Histog.'!$BZ:$BZ,'Cronog. e Histog.'!DY:DY),"")</f>
        <v/>
      </c>
      <c r="BE440" s="144" t="str">
        <f>IFERROR(_xlfn.XLOOKUP($B440,'Cronog. e Histog.'!$BZ:$BZ,'Cronog. e Histog.'!DZ:DZ),"")</f>
        <v/>
      </c>
      <c r="BF440" s="144" t="str">
        <f>IFERROR(_xlfn.XLOOKUP($B440,'Cronog. e Histog.'!$BZ:$BZ,'Cronog. e Histog.'!EA:EA),"")</f>
        <v/>
      </c>
      <c r="BG440" s="144" t="str">
        <f>IFERROR(_xlfn.XLOOKUP($B440,'Cronog. e Histog.'!$BZ:$BZ,'Cronog. e Histog.'!EB:EB),"")</f>
        <v/>
      </c>
      <c r="BH440" s="144" t="str">
        <f>IFERROR(_xlfn.XLOOKUP($B440,'Cronog. e Histog.'!$BZ:$BZ,'Cronog. e Histog.'!EC:EC),"")</f>
        <v/>
      </c>
      <c r="BI440" s="144" t="str">
        <f>IFERROR(_xlfn.XLOOKUP($B440,'Cronog. e Histog.'!$BZ:$BZ,'Cronog. e Histog.'!ED:ED),"")</f>
        <v/>
      </c>
      <c r="BJ440" s="144" t="str">
        <f>IFERROR(_xlfn.XLOOKUP($B440,'Cronog. e Histog.'!$BZ:$BZ,'Cronog. e Histog.'!EE:EE),"")</f>
        <v/>
      </c>
      <c r="BK440" s="144" t="str">
        <f>IFERROR(_xlfn.XLOOKUP($B440,'Cronog. e Histog.'!$BZ:$BZ,'Cronog. e Histog.'!EF:EF),"")</f>
        <v/>
      </c>
      <c r="BL440" s="144" t="str">
        <f>IFERROR(_xlfn.XLOOKUP($B440,'Cronog. e Histog.'!$BZ:$BZ,'Cronog. e Histog.'!EG:EG),"")</f>
        <v/>
      </c>
      <c r="BM440" s="144" t="str">
        <f>IFERROR(_xlfn.XLOOKUP($B440,'Cronog. e Histog.'!$BZ:$BZ,'Cronog. e Histog.'!EH:EH),"")</f>
        <v/>
      </c>
      <c r="BN440" s="144" t="str">
        <f>IFERROR(_xlfn.XLOOKUP($B440,'Cronog. e Histog.'!$BZ:$BZ,'Cronog. e Histog.'!EI:EI),"")</f>
        <v/>
      </c>
    </row>
    <row r="441" spans="2:66" ht="12" hidden="1" customHeight="1" outlineLevel="1">
      <c r="B441" s="76">
        <v>435</v>
      </c>
      <c r="C441" s="143" t="str">
        <f>IFERROR(VLOOKUP(B441,'Cronog. e Histog.'!$BZ$213:$CA$747,2,0),"")</f>
        <v/>
      </c>
      <c r="D441" s="144">
        <f t="shared" si="6"/>
        <v>0</v>
      </c>
      <c r="E441" s="144">
        <f t="shared" si="7"/>
        <v>0</v>
      </c>
      <c r="F441" s="65"/>
      <c r="G441" s="144" t="str">
        <f>IFERROR(_xlfn.XLOOKUP($B441,'Cronog. e Histog.'!$BZ:$BZ,'Cronog. e Histog.'!CB:CB),"")</f>
        <v/>
      </c>
      <c r="H441" s="144" t="str">
        <f>IFERROR(_xlfn.XLOOKUP($B441,'Cronog. e Histog.'!$BZ:$BZ,'Cronog. e Histog.'!CC:CC),"")</f>
        <v/>
      </c>
      <c r="I441" s="144" t="str">
        <f>IFERROR(_xlfn.XLOOKUP($B441,'Cronog. e Histog.'!$BZ:$BZ,'Cronog. e Histog.'!CD:CD),"")</f>
        <v/>
      </c>
      <c r="J441" s="144" t="str">
        <f>IFERROR(_xlfn.XLOOKUP($B441,'Cronog. e Histog.'!$BZ:$BZ,'Cronog. e Histog.'!CE:CE),"")</f>
        <v/>
      </c>
      <c r="K441" s="144" t="str">
        <f>IFERROR(_xlfn.XLOOKUP($B441,'Cronog. e Histog.'!$BZ:$BZ,'Cronog. e Histog.'!CF:CF),"")</f>
        <v/>
      </c>
      <c r="L441" s="144" t="str">
        <f>IFERROR(_xlfn.XLOOKUP($B441,'Cronog. e Histog.'!$BZ:$BZ,'Cronog. e Histog.'!CG:CG),"")</f>
        <v/>
      </c>
      <c r="M441" s="144" t="str">
        <f>IFERROR(_xlfn.XLOOKUP($B441,'Cronog. e Histog.'!$BZ:$BZ,'Cronog. e Histog.'!CH:CH),"")</f>
        <v/>
      </c>
      <c r="N441" s="144" t="str">
        <f>IFERROR(_xlfn.XLOOKUP($B441,'Cronog. e Histog.'!$BZ:$BZ,'Cronog. e Histog.'!CI:CI),"")</f>
        <v/>
      </c>
      <c r="O441" s="144" t="str">
        <f>IFERROR(_xlfn.XLOOKUP($B441,'Cronog. e Histog.'!$BZ:$BZ,'Cronog. e Histog.'!CJ:CJ),"")</f>
        <v/>
      </c>
      <c r="P441" s="144" t="str">
        <f>IFERROR(_xlfn.XLOOKUP($B441,'Cronog. e Histog.'!$BZ:$BZ,'Cronog. e Histog.'!CK:CK),"")</f>
        <v/>
      </c>
      <c r="Q441" s="144" t="str">
        <f>IFERROR(_xlfn.XLOOKUP($B441,'Cronog. e Histog.'!$BZ:$BZ,'Cronog. e Histog.'!CL:CL),"")</f>
        <v/>
      </c>
      <c r="R441" s="144" t="str">
        <f>IFERROR(_xlfn.XLOOKUP($B441,'Cronog. e Histog.'!$BZ:$BZ,'Cronog. e Histog.'!CM:CM),"")</f>
        <v/>
      </c>
      <c r="S441" s="144" t="str">
        <f>IFERROR(_xlfn.XLOOKUP($B441,'Cronog. e Histog.'!$BZ:$BZ,'Cronog. e Histog.'!CN:CN),"")</f>
        <v/>
      </c>
      <c r="T441" s="144" t="str">
        <f>IFERROR(_xlfn.XLOOKUP($B441,'Cronog. e Histog.'!$BZ:$BZ,'Cronog. e Histog.'!CO:CO),"")</f>
        <v/>
      </c>
      <c r="U441" s="144" t="str">
        <f>IFERROR(_xlfn.XLOOKUP($B441,'Cronog. e Histog.'!$BZ:$BZ,'Cronog. e Histog.'!CP:CP),"")</f>
        <v/>
      </c>
      <c r="V441" s="144" t="str">
        <f>IFERROR(_xlfn.XLOOKUP($B441,'Cronog. e Histog.'!$BZ:$BZ,'Cronog. e Histog.'!CQ:CQ),"")</f>
        <v/>
      </c>
      <c r="W441" s="144" t="str">
        <f>IFERROR(_xlfn.XLOOKUP($B441,'Cronog. e Histog.'!$BZ:$BZ,'Cronog. e Histog.'!CR:CR),"")</f>
        <v/>
      </c>
      <c r="X441" s="144" t="str">
        <f>IFERROR(_xlfn.XLOOKUP($B441,'Cronog. e Histog.'!$BZ:$BZ,'Cronog. e Histog.'!CS:CS),"")</f>
        <v/>
      </c>
      <c r="Y441" s="144" t="str">
        <f>IFERROR(_xlfn.XLOOKUP($B441,'Cronog. e Histog.'!$BZ:$BZ,'Cronog. e Histog.'!CT:CT),"")</f>
        <v/>
      </c>
      <c r="Z441" s="144" t="str">
        <f>IFERROR(_xlfn.XLOOKUP($B441,'Cronog. e Histog.'!$BZ:$BZ,'Cronog. e Histog.'!CU:CU),"")</f>
        <v/>
      </c>
      <c r="AA441" s="144" t="str">
        <f>IFERROR(_xlfn.XLOOKUP($B441,'Cronog. e Histog.'!$BZ:$BZ,'Cronog. e Histog.'!CV:CV),"")</f>
        <v/>
      </c>
      <c r="AB441" s="144" t="str">
        <f>IFERROR(_xlfn.XLOOKUP($B441,'Cronog. e Histog.'!$BZ:$BZ,'Cronog. e Histog.'!CW:CW),"")</f>
        <v/>
      </c>
      <c r="AC441" s="144" t="str">
        <f>IFERROR(_xlfn.XLOOKUP($B441,'Cronog. e Histog.'!$BZ:$BZ,'Cronog. e Histog.'!CX:CX),"")</f>
        <v/>
      </c>
      <c r="AD441" s="144" t="str">
        <f>IFERROR(_xlfn.XLOOKUP($B441,'Cronog. e Histog.'!$BZ:$BZ,'Cronog. e Histog.'!CY:CY),"")</f>
        <v/>
      </c>
      <c r="AE441" s="144" t="str">
        <f>IFERROR(_xlfn.XLOOKUP($B441,'Cronog. e Histog.'!$BZ:$BZ,'Cronog. e Histog.'!CZ:CZ),"")</f>
        <v/>
      </c>
      <c r="AF441" s="144" t="str">
        <f>IFERROR(_xlfn.XLOOKUP($B441,'Cronog. e Histog.'!$BZ:$BZ,'Cronog. e Histog.'!DA:DA),"")</f>
        <v/>
      </c>
      <c r="AG441" s="144" t="str">
        <f>IFERROR(_xlfn.XLOOKUP($B441,'Cronog. e Histog.'!$BZ:$BZ,'Cronog. e Histog.'!DB:DB),"")</f>
        <v/>
      </c>
      <c r="AH441" s="144" t="str">
        <f>IFERROR(_xlfn.XLOOKUP($B441,'Cronog. e Histog.'!$BZ:$BZ,'Cronog. e Histog.'!DC:DC),"")</f>
        <v/>
      </c>
      <c r="AI441" s="144" t="str">
        <f>IFERROR(_xlfn.XLOOKUP($B441,'Cronog. e Histog.'!$BZ:$BZ,'Cronog. e Histog.'!DD:DD),"")</f>
        <v/>
      </c>
      <c r="AJ441" s="144" t="str">
        <f>IFERROR(_xlfn.XLOOKUP($B441,'Cronog. e Histog.'!$BZ:$BZ,'Cronog. e Histog.'!DE:DE),"")</f>
        <v/>
      </c>
      <c r="AK441" s="144" t="str">
        <f>IFERROR(_xlfn.XLOOKUP($B441,'Cronog. e Histog.'!$BZ:$BZ,'Cronog. e Histog.'!DF:DF),"")</f>
        <v/>
      </c>
      <c r="AL441" s="144" t="str">
        <f>IFERROR(_xlfn.XLOOKUP($B441,'Cronog. e Histog.'!$BZ:$BZ,'Cronog. e Histog.'!DG:DG),"")</f>
        <v/>
      </c>
      <c r="AM441" s="144" t="str">
        <f>IFERROR(_xlfn.XLOOKUP($B441,'Cronog. e Histog.'!$BZ:$BZ,'Cronog. e Histog.'!DH:DH),"")</f>
        <v/>
      </c>
      <c r="AN441" s="144" t="str">
        <f>IFERROR(_xlfn.XLOOKUP($B441,'Cronog. e Histog.'!$BZ:$BZ,'Cronog. e Histog.'!DI:DI),"")</f>
        <v/>
      </c>
      <c r="AO441" s="144" t="str">
        <f>IFERROR(_xlfn.XLOOKUP($B441,'Cronog. e Histog.'!$BZ:$BZ,'Cronog. e Histog.'!DJ:DJ),"")</f>
        <v/>
      </c>
      <c r="AP441" s="144" t="str">
        <f>IFERROR(_xlfn.XLOOKUP($B441,'Cronog. e Histog.'!$BZ:$BZ,'Cronog. e Histog.'!DK:DK),"")</f>
        <v/>
      </c>
      <c r="AQ441" s="144" t="str">
        <f>IFERROR(_xlfn.XLOOKUP($B441,'Cronog. e Histog.'!$BZ:$BZ,'Cronog. e Histog.'!DL:DL),"")</f>
        <v/>
      </c>
      <c r="AR441" s="144" t="str">
        <f>IFERROR(_xlfn.XLOOKUP($B441,'Cronog. e Histog.'!$BZ:$BZ,'Cronog. e Histog.'!DM:DM),"")</f>
        <v/>
      </c>
      <c r="AS441" s="144" t="str">
        <f>IFERROR(_xlfn.XLOOKUP($B441,'Cronog. e Histog.'!$BZ:$BZ,'Cronog. e Histog.'!DN:DN),"")</f>
        <v/>
      </c>
      <c r="AT441" s="144" t="str">
        <f>IFERROR(_xlfn.XLOOKUP($B441,'Cronog. e Histog.'!$BZ:$BZ,'Cronog. e Histog.'!DO:DO),"")</f>
        <v/>
      </c>
      <c r="AU441" s="144" t="str">
        <f>IFERROR(_xlfn.XLOOKUP($B441,'Cronog. e Histog.'!$BZ:$BZ,'Cronog. e Histog.'!DP:DP),"")</f>
        <v/>
      </c>
      <c r="AV441" s="144" t="str">
        <f>IFERROR(_xlfn.XLOOKUP($B441,'Cronog. e Histog.'!$BZ:$BZ,'Cronog. e Histog.'!DQ:DQ),"")</f>
        <v/>
      </c>
      <c r="AW441" s="144" t="str">
        <f>IFERROR(_xlfn.XLOOKUP($B441,'Cronog. e Histog.'!$BZ:$BZ,'Cronog. e Histog.'!DR:DR),"")</f>
        <v/>
      </c>
      <c r="AX441" s="144" t="str">
        <f>IFERROR(_xlfn.XLOOKUP($B441,'Cronog. e Histog.'!$BZ:$BZ,'Cronog. e Histog.'!DS:DS),"")</f>
        <v/>
      </c>
      <c r="AY441" s="144" t="str">
        <f>IFERROR(_xlfn.XLOOKUP($B441,'Cronog. e Histog.'!$BZ:$BZ,'Cronog. e Histog.'!DT:DT),"")</f>
        <v/>
      </c>
      <c r="AZ441" s="144" t="str">
        <f>IFERROR(_xlfn.XLOOKUP($B441,'Cronog. e Histog.'!$BZ:$BZ,'Cronog. e Histog.'!DU:DU),"")</f>
        <v/>
      </c>
      <c r="BA441" s="144" t="str">
        <f>IFERROR(_xlfn.XLOOKUP($B441,'Cronog. e Histog.'!$BZ:$BZ,'Cronog. e Histog.'!DV:DV),"")</f>
        <v/>
      </c>
      <c r="BB441" s="144" t="str">
        <f>IFERROR(_xlfn.XLOOKUP($B441,'Cronog. e Histog.'!$BZ:$BZ,'Cronog. e Histog.'!DW:DW),"")</f>
        <v/>
      </c>
      <c r="BC441" s="144" t="str">
        <f>IFERROR(_xlfn.XLOOKUP($B441,'Cronog. e Histog.'!$BZ:$BZ,'Cronog. e Histog.'!DX:DX),"")</f>
        <v/>
      </c>
      <c r="BD441" s="144" t="str">
        <f>IFERROR(_xlfn.XLOOKUP($B441,'Cronog. e Histog.'!$BZ:$BZ,'Cronog. e Histog.'!DY:DY),"")</f>
        <v/>
      </c>
      <c r="BE441" s="144" t="str">
        <f>IFERROR(_xlfn.XLOOKUP($B441,'Cronog. e Histog.'!$BZ:$BZ,'Cronog. e Histog.'!DZ:DZ),"")</f>
        <v/>
      </c>
      <c r="BF441" s="144" t="str">
        <f>IFERROR(_xlfn.XLOOKUP($B441,'Cronog. e Histog.'!$BZ:$BZ,'Cronog. e Histog.'!EA:EA),"")</f>
        <v/>
      </c>
      <c r="BG441" s="144" t="str">
        <f>IFERROR(_xlfn.XLOOKUP($B441,'Cronog. e Histog.'!$BZ:$BZ,'Cronog. e Histog.'!EB:EB),"")</f>
        <v/>
      </c>
      <c r="BH441" s="144" t="str">
        <f>IFERROR(_xlfn.XLOOKUP($B441,'Cronog. e Histog.'!$BZ:$BZ,'Cronog. e Histog.'!EC:EC),"")</f>
        <v/>
      </c>
      <c r="BI441" s="144" t="str">
        <f>IFERROR(_xlfn.XLOOKUP($B441,'Cronog. e Histog.'!$BZ:$BZ,'Cronog. e Histog.'!ED:ED),"")</f>
        <v/>
      </c>
      <c r="BJ441" s="144" t="str">
        <f>IFERROR(_xlfn.XLOOKUP($B441,'Cronog. e Histog.'!$BZ:$BZ,'Cronog. e Histog.'!EE:EE),"")</f>
        <v/>
      </c>
      <c r="BK441" s="144" t="str">
        <f>IFERROR(_xlfn.XLOOKUP($B441,'Cronog. e Histog.'!$BZ:$BZ,'Cronog. e Histog.'!EF:EF),"")</f>
        <v/>
      </c>
      <c r="BL441" s="144" t="str">
        <f>IFERROR(_xlfn.XLOOKUP($B441,'Cronog. e Histog.'!$BZ:$BZ,'Cronog. e Histog.'!EG:EG),"")</f>
        <v/>
      </c>
      <c r="BM441" s="144" t="str">
        <f>IFERROR(_xlfn.XLOOKUP($B441,'Cronog. e Histog.'!$BZ:$BZ,'Cronog. e Histog.'!EH:EH),"")</f>
        <v/>
      </c>
      <c r="BN441" s="144" t="str">
        <f>IFERROR(_xlfn.XLOOKUP($B441,'Cronog. e Histog.'!$BZ:$BZ,'Cronog. e Histog.'!EI:EI),"")</f>
        <v/>
      </c>
    </row>
    <row r="442" spans="2:66" ht="12" hidden="1" customHeight="1" outlineLevel="1">
      <c r="B442" s="76">
        <v>436</v>
      </c>
      <c r="C442" s="143" t="str">
        <f>IFERROR(VLOOKUP(B442,'Cronog. e Histog.'!$BZ$213:$CA$747,2,0),"")</f>
        <v/>
      </c>
      <c r="D442" s="144">
        <f t="shared" si="6"/>
        <v>0</v>
      </c>
      <c r="E442" s="144">
        <f t="shared" si="7"/>
        <v>0</v>
      </c>
      <c r="F442" s="65"/>
      <c r="G442" s="144" t="str">
        <f>IFERROR(_xlfn.XLOOKUP($B442,'Cronog. e Histog.'!$BZ:$BZ,'Cronog. e Histog.'!CB:CB),"")</f>
        <v/>
      </c>
      <c r="H442" s="144" t="str">
        <f>IFERROR(_xlfn.XLOOKUP($B442,'Cronog. e Histog.'!$BZ:$BZ,'Cronog. e Histog.'!CC:CC),"")</f>
        <v/>
      </c>
      <c r="I442" s="144" t="str">
        <f>IFERROR(_xlfn.XLOOKUP($B442,'Cronog. e Histog.'!$BZ:$BZ,'Cronog. e Histog.'!CD:CD),"")</f>
        <v/>
      </c>
      <c r="J442" s="144" t="str">
        <f>IFERROR(_xlfn.XLOOKUP($B442,'Cronog. e Histog.'!$BZ:$BZ,'Cronog. e Histog.'!CE:CE),"")</f>
        <v/>
      </c>
      <c r="K442" s="144" t="str">
        <f>IFERROR(_xlfn.XLOOKUP($B442,'Cronog. e Histog.'!$BZ:$BZ,'Cronog. e Histog.'!CF:CF),"")</f>
        <v/>
      </c>
      <c r="L442" s="144" t="str">
        <f>IFERROR(_xlfn.XLOOKUP($B442,'Cronog. e Histog.'!$BZ:$BZ,'Cronog. e Histog.'!CG:CG),"")</f>
        <v/>
      </c>
      <c r="M442" s="144" t="str">
        <f>IFERROR(_xlfn.XLOOKUP($B442,'Cronog. e Histog.'!$BZ:$BZ,'Cronog. e Histog.'!CH:CH),"")</f>
        <v/>
      </c>
      <c r="N442" s="144" t="str">
        <f>IFERROR(_xlfn.XLOOKUP($B442,'Cronog. e Histog.'!$BZ:$BZ,'Cronog. e Histog.'!CI:CI),"")</f>
        <v/>
      </c>
      <c r="O442" s="144" t="str">
        <f>IFERROR(_xlfn.XLOOKUP($B442,'Cronog. e Histog.'!$BZ:$BZ,'Cronog. e Histog.'!CJ:CJ),"")</f>
        <v/>
      </c>
      <c r="P442" s="144" t="str">
        <f>IFERROR(_xlfn.XLOOKUP($B442,'Cronog. e Histog.'!$BZ:$BZ,'Cronog. e Histog.'!CK:CK),"")</f>
        <v/>
      </c>
      <c r="Q442" s="144" t="str">
        <f>IFERROR(_xlfn.XLOOKUP($B442,'Cronog. e Histog.'!$BZ:$BZ,'Cronog. e Histog.'!CL:CL),"")</f>
        <v/>
      </c>
      <c r="R442" s="144" t="str">
        <f>IFERROR(_xlfn.XLOOKUP($B442,'Cronog. e Histog.'!$BZ:$BZ,'Cronog. e Histog.'!CM:CM),"")</f>
        <v/>
      </c>
      <c r="S442" s="144" t="str">
        <f>IFERROR(_xlfn.XLOOKUP($B442,'Cronog. e Histog.'!$BZ:$BZ,'Cronog. e Histog.'!CN:CN),"")</f>
        <v/>
      </c>
      <c r="T442" s="144" t="str">
        <f>IFERROR(_xlfn.XLOOKUP($B442,'Cronog. e Histog.'!$BZ:$BZ,'Cronog. e Histog.'!CO:CO),"")</f>
        <v/>
      </c>
      <c r="U442" s="144" t="str">
        <f>IFERROR(_xlfn.XLOOKUP($B442,'Cronog. e Histog.'!$BZ:$BZ,'Cronog. e Histog.'!CP:CP),"")</f>
        <v/>
      </c>
      <c r="V442" s="144" t="str">
        <f>IFERROR(_xlfn.XLOOKUP($B442,'Cronog. e Histog.'!$BZ:$BZ,'Cronog. e Histog.'!CQ:CQ),"")</f>
        <v/>
      </c>
      <c r="W442" s="144" t="str">
        <f>IFERROR(_xlfn.XLOOKUP($B442,'Cronog. e Histog.'!$BZ:$BZ,'Cronog. e Histog.'!CR:CR),"")</f>
        <v/>
      </c>
      <c r="X442" s="144" t="str">
        <f>IFERROR(_xlfn.XLOOKUP($B442,'Cronog. e Histog.'!$BZ:$BZ,'Cronog. e Histog.'!CS:CS),"")</f>
        <v/>
      </c>
      <c r="Y442" s="144" t="str">
        <f>IFERROR(_xlfn.XLOOKUP($B442,'Cronog. e Histog.'!$BZ:$BZ,'Cronog. e Histog.'!CT:CT),"")</f>
        <v/>
      </c>
      <c r="Z442" s="144" t="str">
        <f>IFERROR(_xlfn.XLOOKUP($B442,'Cronog. e Histog.'!$BZ:$BZ,'Cronog. e Histog.'!CU:CU),"")</f>
        <v/>
      </c>
      <c r="AA442" s="144" t="str">
        <f>IFERROR(_xlfn.XLOOKUP($B442,'Cronog. e Histog.'!$BZ:$BZ,'Cronog. e Histog.'!CV:CV),"")</f>
        <v/>
      </c>
      <c r="AB442" s="144" t="str">
        <f>IFERROR(_xlfn.XLOOKUP($B442,'Cronog. e Histog.'!$BZ:$BZ,'Cronog. e Histog.'!CW:CW),"")</f>
        <v/>
      </c>
      <c r="AC442" s="144" t="str">
        <f>IFERROR(_xlfn.XLOOKUP($B442,'Cronog. e Histog.'!$BZ:$BZ,'Cronog. e Histog.'!CX:CX),"")</f>
        <v/>
      </c>
      <c r="AD442" s="144" t="str">
        <f>IFERROR(_xlfn.XLOOKUP($B442,'Cronog. e Histog.'!$BZ:$BZ,'Cronog. e Histog.'!CY:CY),"")</f>
        <v/>
      </c>
      <c r="AE442" s="144" t="str">
        <f>IFERROR(_xlfn.XLOOKUP($B442,'Cronog. e Histog.'!$BZ:$BZ,'Cronog. e Histog.'!CZ:CZ),"")</f>
        <v/>
      </c>
      <c r="AF442" s="144" t="str">
        <f>IFERROR(_xlfn.XLOOKUP($B442,'Cronog. e Histog.'!$BZ:$BZ,'Cronog. e Histog.'!DA:DA),"")</f>
        <v/>
      </c>
      <c r="AG442" s="144" t="str">
        <f>IFERROR(_xlfn.XLOOKUP($B442,'Cronog. e Histog.'!$BZ:$BZ,'Cronog. e Histog.'!DB:DB),"")</f>
        <v/>
      </c>
      <c r="AH442" s="144" t="str">
        <f>IFERROR(_xlfn.XLOOKUP($B442,'Cronog. e Histog.'!$BZ:$BZ,'Cronog. e Histog.'!DC:DC),"")</f>
        <v/>
      </c>
      <c r="AI442" s="144" t="str">
        <f>IFERROR(_xlfn.XLOOKUP($B442,'Cronog. e Histog.'!$BZ:$BZ,'Cronog. e Histog.'!DD:DD),"")</f>
        <v/>
      </c>
      <c r="AJ442" s="144" t="str">
        <f>IFERROR(_xlfn.XLOOKUP($B442,'Cronog. e Histog.'!$BZ:$BZ,'Cronog. e Histog.'!DE:DE),"")</f>
        <v/>
      </c>
      <c r="AK442" s="144" t="str">
        <f>IFERROR(_xlfn.XLOOKUP($B442,'Cronog. e Histog.'!$BZ:$BZ,'Cronog. e Histog.'!DF:DF),"")</f>
        <v/>
      </c>
      <c r="AL442" s="144" t="str">
        <f>IFERROR(_xlfn.XLOOKUP($B442,'Cronog. e Histog.'!$BZ:$BZ,'Cronog. e Histog.'!DG:DG),"")</f>
        <v/>
      </c>
      <c r="AM442" s="144" t="str">
        <f>IFERROR(_xlfn.XLOOKUP($B442,'Cronog. e Histog.'!$BZ:$BZ,'Cronog. e Histog.'!DH:DH),"")</f>
        <v/>
      </c>
      <c r="AN442" s="144" t="str">
        <f>IFERROR(_xlfn.XLOOKUP($B442,'Cronog. e Histog.'!$BZ:$BZ,'Cronog. e Histog.'!DI:DI),"")</f>
        <v/>
      </c>
      <c r="AO442" s="144" t="str">
        <f>IFERROR(_xlfn.XLOOKUP($B442,'Cronog. e Histog.'!$BZ:$BZ,'Cronog. e Histog.'!DJ:DJ),"")</f>
        <v/>
      </c>
      <c r="AP442" s="144" t="str">
        <f>IFERROR(_xlfn.XLOOKUP($B442,'Cronog. e Histog.'!$BZ:$BZ,'Cronog. e Histog.'!DK:DK),"")</f>
        <v/>
      </c>
      <c r="AQ442" s="144" t="str">
        <f>IFERROR(_xlfn.XLOOKUP($B442,'Cronog. e Histog.'!$BZ:$BZ,'Cronog. e Histog.'!DL:DL),"")</f>
        <v/>
      </c>
      <c r="AR442" s="144" t="str">
        <f>IFERROR(_xlfn.XLOOKUP($B442,'Cronog. e Histog.'!$BZ:$BZ,'Cronog. e Histog.'!DM:DM),"")</f>
        <v/>
      </c>
      <c r="AS442" s="144" t="str">
        <f>IFERROR(_xlfn.XLOOKUP($B442,'Cronog. e Histog.'!$BZ:$BZ,'Cronog. e Histog.'!DN:DN),"")</f>
        <v/>
      </c>
      <c r="AT442" s="144" t="str">
        <f>IFERROR(_xlfn.XLOOKUP($B442,'Cronog. e Histog.'!$BZ:$BZ,'Cronog. e Histog.'!DO:DO),"")</f>
        <v/>
      </c>
      <c r="AU442" s="144" t="str">
        <f>IFERROR(_xlfn.XLOOKUP($B442,'Cronog. e Histog.'!$BZ:$BZ,'Cronog. e Histog.'!DP:DP),"")</f>
        <v/>
      </c>
      <c r="AV442" s="144" t="str">
        <f>IFERROR(_xlfn.XLOOKUP($B442,'Cronog. e Histog.'!$BZ:$BZ,'Cronog. e Histog.'!DQ:DQ),"")</f>
        <v/>
      </c>
      <c r="AW442" s="144" t="str">
        <f>IFERROR(_xlfn.XLOOKUP($B442,'Cronog. e Histog.'!$BZ:$BZ,'Cronog. e Histog.'!DR:DR),"")</f>
        <v/>
      </c>
      <c r="AX442" s="144" t="str">
        <f>IFERROR(_xlfn.XLOOKUP($B442,'Cronog. e Histog.'!$BZ:$BZ,'Cronog. e Histog.'!DS:DS),"")</f>
        <v/>
      </c>
      <c r="AY442" s="144" t="str">
        <f>IFERROR(_xlfn.XLOOKUP($B442,'Cronog. e Histog.'!$BZ:$BZ,'Cronog. e Histog.'!DT:DT),"")</f>
        <v/>
      </c>
      <c r="AZ442" s="144" t="str">
        <f>IFERROR(_xlfn.XLOOKUP($B442,'Cronog. e Histog.'!$BZ:$BZ,'Cronog. e Histog.'!DU:DU),"")</f>
        <v/>
      </c>
      <c r="BA442" s="144" t="str">
        <f>IFERROR(_xlfn.XLOOKUP($B442,'Cronog. e Histog.'!$BZ:$BZ,'Cronog. e Histog.'!DV:DV),"")</f>
        <v/>
      </c>
      <c r="BB442" s="144" t="str">
        <f>IFERROR(_xlfn.XLOOKUP($B442,'Cronog. e Histog.'!$BZ:$BZ,'Cronog. e Histog.'!DW:DW),"")</f>
        <v/>
      </c>
      <c r="BC442" s="144" t="str">
        <f>IFERROR(_xlfn.XLOOKUP($B442,'Cronog. e Histog.'!$BZ:$BZ,'Cronog. e Histog.'!DX:DX),"")</f>
        <v/>
      </c>
      <c r="BD442" s="144" t="str">
        <f>IFERROR(_xlfn.XLOOKUP($B442,'Cronog. e Histog.'!$BZ:$BZ,'Cronog. e Histog.'!DY:DY),"")</f>
        <v/>
      </c>
      <c r="BE442" s="144" t="str">
        <f>IFERROR(_xlfn.XLOOKUP($B442,'Cronog. e Histog.'!$BZ:$BZ,'Cronog. e Histog.'!DZ:DZ),"")</f>
        <v/>
      </c>
      <c r="BF442" s="144" t="str">
        <f>IFERROR(_xlfn.XLOOKUP($B442,'Cronog. e Histog.'!$BZ:$BZ,'Cronog. e Histog.'!EA:EA),"")</f>
        <v/>
      </c>
      <c r="BG442" s="144" t="str">
        <f>IFERROR(_xlfn.XLOOKUP($B442,'Cronog. e Histog.'!$BZ:$BZ,'Cronog. e Histog.'!EB:EB),"")</f>
        <v/>
      </c>
      <c r="BH442" s="144" t="str">
        <f>IFERROR(_xlfn.XLOOKUP($B442,'Cronog. e Histog.'!$BZ:$BZ,'Cronog. e Histog.'!EC:EC),"")</f>
        <v/>
      </c>
      <c r="BI442" s="144" t="str">
        <f>IFERROR(_xlfn.XLOOKUP($B442,'Cronog. e Histog.'!$BZ:$BZ,'Cronog. e Histog.'!ED:ED),"")</f>
        <v/>
      </c>
      <c r="BJ442" s="144" t="str">
        <f>IFERROR(_xlfn.XLOOKUP($B442,'Cronog. e Histog.'!$BZ:$BZ,'Cronog. e Histog.'!EE:EE),"")</f>
        <v/>
      </c>
      <c r="BK442" s="144" t="str">
        <f>IFERROR(_xlfn.XLOOKUP($B442,'Cronog. e Histog.'!$BZ:$BZ,'Cronog. e Histog.'!EF:EF),"")</f>
        <v/>
      </c>
      <c r="BL442" s="144" t="str">
        <f>IFERROR(_xlfn.XLOOKUP($B442,'Cronog. e Histog.'!$BZ:$BZ,'Cronog. e Histog.'!EG:EG),"")</f>
        <v/>
      </c>
      <c r="BM442" s="144" t="str">
        <f>IFERROR(_xlfn.XLOOKUP($B442,'Cronog. e Histog.'!$BZ:$BZ,'Cronog. e Histog.'!EH:EH),"")</f>
        <v/>
      </c>
      <c r="BN442" s="144" t="str">
        <f>IFERROR(_xlfn.XLOOKUP($B442,'Cronog. e Histog.'!$BZ:$BZ,'Cronog. e Histog.'!EI:EI),"")</f>
        <v/>
      </c>
    </row>
    <row r="443" spans="2:66" ht="12" hidden="1" customHeight="1" outlineLevel="1">
      <c r="B443" s="76">
        <v>437</v>
      </c>
      <c r="C443" s="143" t="str">
        <f>IFERROR(VLOOKUP(B443,'Cronog. e Histog.'!$BZ$213:$CA$747,2,0),"")</f>
        <v/>
      </c>
      <c r="D443" s="144">
        <f t="shared" si="6"/>
        <v>0</v>
      </c>
      <c r="E443" s="144">
        <f t="shared" si="7"/>
        <v>0</v>
      </c>
      <c r="F443" s="65"/>
      <c r="G443" s="144" t="str">
        <f>IFERROR(_xlfn.XLOOKUP($B443,'Cronog. e Histog.'!$BZ:$BZ,'Cronog. e Histog.'!CB:CB),"")</f>
        <v/>
      </c>
      <c r="H443" s="144" t="str">
        <f>IFERROR(_xlfn.XLOOKUP($B443,'Cronog. e Histog.'!$BZ:$BZ,'Cronog. e Histog.'!CC:CC),"")</f>
        <v/>
      </c>
      <c r="I443" s="144" t="str">
        <f>IFERROR(_xlfn.XLOOKUP($B443,'Cronog. e Histog.'!$BZ:$BZ,'Cronog. e Histog.'!CD:CD),"")</f>
        <v/>
      </c>
      <c r="J443" s="144" t="str">
        <f>IFERROR(_xlfn.XLOOKUP($B443,'Cronog. e Histog.'!$BZ:$BZ,'Cronog. e Histog.'!CE:CE),"")</f>
        <v/>
      </c>
      <c r="K443" s="144" t="str">
        <f>IFERROR(_xlfn.XLOOKUP($B443,'Cronog. e Histog.'!$BZ:$BZ,'Cronog. e Histog.'!CF:CF),"")</f>
        <v/>
      </c>
      <c r="L443" s="144" t="str">
        <f>IFERROR(_xlfn.XLOOKUP($B443,'Cronog. e Histog.'!$BZ:$BZ,'Cronog. e Histog.'!CG:CG),"")</f>
        <v/>
      </c>
      <c r="M443" s="144" t="str">
        <f>IFERROR(_xlfn.XLOOKUP($B443,'Cronog. e Histog.'!$BZ:$BZ,'Cronog. e Histog.'!CH:CH),"")</f>
        <v/>
      </c>
      <c r="N443" s="144" t="str">
        <f>IFERROR(_xlfn.XLOOKUP($B443,'Cronog. e Histog.'!$BZ:$BZ,'Cronog. e Histog.'!CI:CI),"")</f>
        <v/>
      </c>
      <c r="O443" s="144" t="str">
        <f>IFERROR(_xlfn.XLOOKUP($B443,'Cronog. e Histog.'!$BZ:$BZ,'Cronog. e Histog.'!CJ:CJ),"")</f>
        <v/>
      </c>
      <c r="P443" s="144" t="str">
        <f>IFERROR(_xlfn.XLOOKUP($B443,'Cronog. e Histog.'!$BZ:$BZ,'Cronog. e Histog.'!CK:CK),"")</f>
        <v/>
      </c>
      <c r="Q443" s="144" t="str">
        <f>IFERROR(_xlfn.XLOOKUP($B443,'Cronog. e Histog.'!$BZ:$BZ,'Cronog. e Histog.'!CL:CL),"")</f>
        <v/>
      </c>
      <c r="R443" s="144" t="str">
        <f>IFERROR(_xlfn.XLOOKUP($B443,'Cronog. e Histog.'!$BZ:$BZ,'Cronog. e Histog.'!CM:CM),"")</f>
        <v/>
      </c>
      <c r="S443" s="144" t="str">
        <f>IFERROR(_xlfn.XLOOKUP($B443,'Cronog. e Histog.'!$BZ:$BZ,'Cronog. e Histog.'!CN:CN),"")</f>
        <v/>
      </c>
      <c r="T443" s="144" t="str">
        <f>IFERROR(_xlfn.XLOOKUP($B443,'Cronog. e Histog.'!$BZ:$BZ,'Cronog. e Histog.'!CO:CO),"")</f>
        <v/>
      </c>
      <c r="U443" s="144" t="str">
        <f>IFERROR(_xlfn.XLOOKUP($B443,'Cronog. e Histog.'!$BZ:$BZ,'Cronog. e Histog.'!CP:CP),"")</f>
        <v/>
      </c>
      <c r="V443" s="144" t="str">
        <f>IFERROR(_xlfn.XLOOKUP($B443,'Cronog. e Histog.'!$BZ:$BZ,'Cronog. e Histog.'!CQ:CQ),"")</f>
        <v/>
      </c>
      <c r="W443" s="144" t="str">
        <f>IFERROR(_xlfn.XLOOKUP($B443,'Cronog. e Histog.'!$BZ:$BZ,'Cronog. e Histog.'!CR:CR),"")</f>
        <v/>
      </c>
      <c r="X443" s="144" t="str">
        <f>IFERROR(_xlfn.XLOOKUP($B443,'Cronog. e Histog.'!$BZ:$BZ,'Cronog. e Histog.'!CS:CS),"")</f>
        <v/>
      </c>
      <c r="Y443" s="144" t="str">
        <f>IFERROR(_xlfn.XLOOKUP($B443,'Cronog. e Histog.'!$BZ:$BZ,'Cronog. e Histog.'!CT:CT),"")</f>
        <v/>
      </c>
      <c r="Z443" s="144" t="str">
        <f>IFERROR(_xlfn.XLOOKUP($B443,'Cronog. e Histog.'!$BZ:$BZ,'Cronog. e Histog.'!CU:CU),"")</f>
        <v/>
      </c>
      <c r="AA443" s="144" t="str">
        <f>IFERROR(_xlfn.XLOOKUP($B443,'Cronog. e Histog.'!$BZ:$BZ,'Cronog. e Histog.'!CV:CV),"")</f>
        <v/>
      </c>
      <c r="AB443" s="144" t="str">
        <f>IFERROR(_xlfn.XLOOKUP($B443,'Cronog. e Histog.'!$BZ:$BZ,'Cronog. e Histog.'!CW:CW),"")</f>
        <v/>
      </c>
      <c r="AC443" s="144" t="str">
        <f>IFERROR(_xlfn.XLOOKUP($B443,'Cronog. e Histog.'!$BZ:$BZ,'Cronog. e Histog.'!CX:CX),"")</f>
        <v/>
      </c>
      <c r="AD443" s="144" t="str">
        <f>IFERROR(_xlfn.XLOOKUP($B443,'Cronog. e Histog.'!$BZ:$BZ,'Cronog. e Histog.'!CY:CY),"")</f>
        <v/>
      </c>
      <c r="AE443" s="144" t="str">
        <f>IFERROR(_xlfn.XLOOKUP($B443,'Cronog. e Histog.'!$BZ:$BZ,'Cronog. e Histog.'!CZ:CZ),"")</f>
        <v/>
      </c>
      <c r="AF443" s="144" t="str">
        <f>IFERROR(_xlfn.XLOOKUP($B443,'Cronog. e Histog.'!$BZ:$BZ,'Cronog. e Histog.'!DA:DA),"")</f>
        <v/>
      </c>
      <c r="AG443" s="144" t="str">
        <f>IFERROR(_xlfn.XLOOKUP($B443,'Cronog. e Histog.'!$BZ:$BZ,'Cronog. e Histog.'!DB:DB),"")</f>
        <v/>
      </c>
      <c r="AH443" s="144" t="str">
        <f>IFERROR(_xlfn.XLOOKUP($B443,'Cronog. e Histog.'!$BZ:$BZ,'Cronog. e Histog.'!DC:DC),"")</f>
        <v/>
      </c>
      <c r="AI443" s="144" t="str">
        <f>IFERROR(_xlfn.XLOOKUP($B443,'Cronog. e Histog.'!$BZ:$BZ,'Cronog. e Histog.'!DD:DD),"")</f>
        <v/>
      </c>
      <c r="AJ443" s="144" t="str">
        <f>IFERROR(_xlfn.XLOOKUP($B443,'Cronog. e Histog.'!$BZ:$BZ,'Cronog. e Histog.'!DE:DE),"")</f>
        <v/>
      </c>
      <c r="AK443" s="144" t="str">
        <f>IFERROR(_xlfn.XLOOKUP($B443,'Cronog. e Histog.'!$BZ:$BZ,'Cronog. e Histog.'!DF:DF),"")</f>
        <v/>
      </c>
      <c r="AL443" s="144" t="str">
        <f>IFERROR(_xlfn.XLOOKUP($B443,'Cronog. e Histog.'!$BZ:$BZ,'Cronog. e Histog.'!DG:DG),"")</f>
        <v/>
      </c>
      <c r="AM443" s="144" t="str">
        <f>IFERROR(_xlfn.XLOOKUP($B443,'Cronog. e Histog.'!$BZ:$BZ,'Cronog. e Histog.'!DH:DH),"")</f>
        <v/>
      </c>
      <c r="AN443" s="144" t="str">
        <f>IFERROR(_xlfn.XLOOKUP($B443,'Cronog. e Histog.'!$BZ:$BZ,'Cronog. e Histog.'!DI:DI),"")</f>
        <v/>
      </c>
      <c r="AO443" s="144" t="str">
        <f>IFERROR(_xlfn.XLOOKUP($B443,'Cronog. e Histog.'!$BZ:$BZ,'Cronog. e Histog.'!DJ:DJ),"")</f>
        <v/>
      </c>
      <c r="AP443" s="144" t="str">
        <f>IFERROR(_xlfn.XLOOKUP($B443,'Cronog. e Histog.'!$BZ:$BZ,'Cronog. e Histog.'!DK:DK),"")</f>
        <v/>
      </c>
      <c r="AQ443" s="144" t="str">
        <f>IFERROR(_xlfn.XLOOKUP($B443,'Cronog. e Histog.'!$BZ:$BZ,'Cronog. e Histog.'!DL:DL),"")</f>
        <v/>
      </c>
      <c r="AR443" s="144" t="str">
        <f>IFERROR(_xlfn.XLOOKUP($B443,'Cronog. e Histog.'!$BZ:$BZ,'Cronog. e Histog.'!DM:DM),"")</f>
        <v/>
      </c>
      <c r="AS443" s="144" t="str">
        <f>IFERROR(_xlfn.XLOOKUP($B443,'Cronog. e Histog.'!$BZ:$BZ,'Cronog. e Histog.'!DN:DN),"")</f>
        <v/>
      </c>
      <c r="AT443" s="144" t="str">
        <f>IFERROR(_xlfn.XLOOKUP($B443,'Cronog. e Histog.'!$BZ:$BZ,'Cronog. e Histog.'!DO:DO),"")</f>
        <v/>
      </c>
      <c r="AU443" s="144" t="str">
        <f>IFERROR(_xlfn.XLOOKUP($B443,'Cronog. e Histog.'!$BZ:$BZ,'Cronog. e Histog.'!DP:DP),"")</f>
        <v/>
      </c>
      <c r="AV443" s="144" t="str">
        <f>IFERROR(_xlfn.XLOOKUP($B443,'Cronog. e Histog.'!$BZ:$BZ,'Cronog. e Histog.'!DQ:DQ),"")</f>
        <v/>
      </c>
      <c r="AW443" s="144" t="str">
        <f>IFERROR(_xlfn.XLOOKUP($B443,'Cronog. e Histog.'!$BZ:$BZ,'Cronog. e Histog.'!DR:DR),"")</f>
        <v/>
      </c>
      <c r="AX443" s="144" t="str">
        <f>IFERROR(_xlfn.XLOOKUP($B443,'Cronog. e Histog.'!$BZ:$BZ,'Cronog. e Histog.'!DS:DS),"")</f>
        <v/>
      </c>
      <c r="AY443" s="144" t="str">
        <f>IFERROR(_xlfn.XLOOKUP($B443,'Cronog. e Histog.'!$BZ:$BZ,'Cronog. e Histog.'!DT:DT),"")</f>
        <v/>
      </c>
      <c r="AZ443" s="144" t="str">
        <f>IFERROR(_xlfn.XLOOKUP($B443,'Cronog. e Histog.'!$BZ:$BZ,'Cronog. e Histog.'!DU:DU),"")</f>
        <v/>
      </c>
      <c r="BA443" s="144" t="str">
        <f>IFERROR(_xlfn.XLOOKUP($B443,'Cronog. e Histog.'!$BZ:$BZ,'Cronog. e Histog.'!DV:DV),"")</f>
        <v/>
      </c>
      <c r="BB443" s="144" t="str">
        <f>IFERROR(_xlfn.XLOOKUP($B443,'Cronog. e Histog.'!$BZ:$BZ,'Cronog. e Histog.'!DW:DW),"")</f>
        <v/>
      </c>
      <c r="BC443" s="144" t="str">
        <f>IFERROR(_xlfn.XLOOKUP($B443,'Cronog. e Histog.'!$BZ:$BZ,'Cronog. e Histog.'!DX:DX),"")</f>
        <v/>
      </c>
      <c r="BD443" s="144" t="str">
        <f>IFERROR(_xlfn.XLOOKUP($B443,'Cronog. e Histog.'!$BZ:$BZ,'Cronog. e Histog.'!DY:DY),"")</f>
        <v/>
      </c>
      <c r="BE443" s="144" t="str">
        <f>IFERROR(_xlfn.XLOOKUP($B443,'Cronog. e Histog.'!$BZ:$BZ,'Cronog. e Histog.'!DZ:DZ),"")</f>
        <v/>
      </c>
      <c r="BF443" s="144" t="str">
        <f>IFERROR(_xlfn.XLOOKUP($B443,'Cronog. e Histog.'!$BZ:$BZ,'Cronog. e Histog.'!EA:EA),"")</f>
        <v/>
      </c>
      <c r="BG443" s="144" t="str">
        <f>IFERROR(_xlfn.XLOOKUP($B443,'Cronog. e Histog.'!$BZ:$BZ,'Cronog. e Histog.'!EB:EB),"")</f>
        <v/>
      </c>
      <c r="BH443" s="144" t="str">
        <f>IFERROR(_xlfn.XLOOKUP($B443,'Cronog. e Histog.'!$BZ:$BZ,'Cronog. e Histog.'!EC:EC),"")</f>
        <v/>
      </c>
      <c r="BI443" s="144" t="str">
        <f>IFERROR(_xlfn.XLOOKUP($B443,'Cronog. e Histog.'!$BZ:$BZ,'Cronog. e Histog.'!ED:ED),"")</f>
        <v/>
      </c>
      <c r="BJ443" s="144" t="str">
        <f>IFERROR(_xlfn.XLOOKUP($B443,'Cronog. e Histog.'!$BZ:$BZ,'Cronog. e Histog.'!EE:EE),"")</f>
        <v/>
      </c>
      <c r="BK443" s="144" t="str">
        <f>IFERROR(_xlfn.XLOOKUP($B443,'Cronog. e Histog.'!$BZ:$BZ,'Cronog. e Histog.'!EF:EF),"")</f>
        <v/>
      </c>
      <c r="BL443" s="144" t="str">
        <f>IFERROR(_xlfn.XLOOKUP($B443,'Cronog. e Histog.'!$BZ:$BZ,'Cronog. e Histog.'!EG:EG),"")</f>
        <v/>
      </c>
      <c r="BM443" s="144" t="str">
        <f>IFERROR(_xlfn.XLOOKUP($B443,'Cronog. e Histog.'!$BZ:$BZ,'Cronog. e Histog.'!EH:EH),"")</f>
        <v/>
      </c>
      <c r="BN443" s="144" t="str">
        <f>IFERROR(_xlfn.XLOOKUP($B443,'Cronog. e Histog.'!$BZ:$BZ,'Cronog. e Histog.'!EI:EI),"")</f>
        <v/>
      </c>
    </row>
    <row r="444" spans="2:66" ht="12" hidden="1" customHeight="1" outlineLevel="1">
      <c r="B444" s="76">
        <v>438</v>
      </c>
      <c r="C444" s="143" t="str">
        <f>IFERROR(VLOOKUP(B444,'Cronog. e Histog.'!$BZ$213:$CA$747,2,0),"")</f>
        <v/>
      </c>
      <c r="D444" s="144">
        <f t="shared" si="6"/>
        <v>0</v>
      </c>
      <c r="E444" s="144">
        <f t="shared" si="7"/>
        <v>0</v>
      </c>
      <c r="F444" s="65"/>
      <c r="G444" s="144" t="str">
        <f>IFERROR(_xlfn.XLOOKUP($B444,'Cronog. e Histog.'!$BZ:$BZ,'Cronog. e Histog.'!CB:CB),"")</f>
        <v/>
      </c>
      <c r="H444" s="144" t="str">
        <f>IFERROR(_xlfn.XLOOKUP($B444,'Cronog. e Histog.'!$BZ:$BZ,'Cronog. e Histog.'!CC:CC),"")</f>
        <v/>
      </c>
      <c r="I444" s="144" t="str">
        <f>IFERROR(_xlfn.XLOOKUP($B444,'Cronog. e Histog.'!$BZ:$BZ,'Cronog. e Histog.'!CD:CD),"")</f>
        <v/>
      </c>
      <c r="J444" s="144" t="str">
        <f>IFERROR(_xlfn.XLOOKUP($B444,'Cronog. e Histog.'!$BZ:$BZ,'Cronog. e Histog.'!CE:CE),"")</f>
        <v/>
      </c>
      <c r="K444" s="144" t="str">
        <f>IFERROR(_xlfn.XLOOKUP($B444,'Cronog. e Histog.'!$BZ:$BZ,'Cronog. e Histog.'!CF:CF),"")</f>
        <v/>
      </c>
      <c r="L444" s="144" t="str">
        <f>IFERROR(_xlfn.XLOOKUP($B444,'Cronog. e Histog.'!$BZ:$BZ,'Cronog. e Histog.'!CG:CG),"")</f>
        <v/>
      </c>
      <c r="M444" s="144" t="str">
        <f>IFERROR(_xlfn.XLOOKUP($B444,'Cronog. e Histog.'!$BZ:$BZ,'Cronog. e Histog.'!CH:CH),"")</f>
        <v/>
      </c>
      <c r="N444" s="144" t="str">
        <f>IFERROR(_xlfn.XLOOKUP($B444,'Cronog. e Histog.'!$BZ:$BZ,'Cronog. e Histog.'!CI:CI),"")</f>
        <v/>
      </c>
      <c r="O444" s="144" t="str">
        <f>IFERROR(_xlfn.XLOOKUP($B444,'Cronog. e Histog.'!$BZ:$BZ,'Cronog. e Histog.'!CJ:CJ),"")</f>
        <v/>
      </c>
      <c r="P444" s="144" t="str">
        <f>IFERROR(_xlfn.XLOOKUP($B444,'Cronog. e Histog.'!$BZ:$BZ,'Cronog. e Histog.'!CK:CK),"")</f>
        <v/>
      </c>
      <c r="Q444" s="144" t="str">
        <f>IFERROR(_xlfn.XLOOKUP($B444,'Cronog. e Histog.'!$BZ:$BZ,'Cronog. e Histog.'!CL:CL),"")</f>
        <v/>
      </c>
      <c r="R444" s="144" t="str">
        <f>IFERROR(_xlfn.XLOOKUP($B444,'Cronog. e Histog.'!$BZ:$BZ,'Cronog. e Histog.'!CM:CM),"")</f>
        <v/>
      </c>
      <c r="S444" s="144" t="str">
        <f>IFERROR(_xlfn.XLOOKUP($B444,'Cronog. e Histog.'!$BZ:$BZ,'Cronog. e Histog.'!CN:CN),"")</f>
        <v/>
      </c>
      <c r="T444" s="144" t="str">
        <f>IFERROR(_xlfn.XLOOKUP($B444,'Cronog. e Histog.'!$BZ:$BZ,'Cronog. e Histog.'!CO:CO),"")</f>
        <v/>
      </c>
      <c r="U444" s="144" t="str">
        <f>IFERROR(_xlfn.XLOOKUP($B444,'Cronog. e Histog.'!$BZ:$BZ,'Cronog. e Histog.'!CP:CP),"")</f>
        <v/>
      </c>
      <c r="V444" s="144" t="str">
        <f>IFERROR(_xlfn.XLOOKUP($B444,'Cronog. e Histog.'!$BZ:$BZ,'Cronog. e Histog.'!CQ:CQ),"")</f>
        <v/>
      </c>
      <c r="W444" s="144" t="str">
        <f>IFERROR(_xlfn.XLOOKUP($B444,'Cronog. e Histog.'!$BZ:$BZ,'Cronog. e Histog.'!CR:CR),"")</f>
        <v/>
      </c>
      <c r="X444" s="144" t="str">
        <f>IFERROR(_xlfn.XLOOKUP($B444,'Cronog. e Histog.'!$BZ:$BZ,'Cronog. e Histog.'!CS:CS),"")</f>
        <v/>
      </c>
      <c r="Y444" s="144" t="str">
        <f>IFERROR(_xlfn.XLOOKUP($B444,'Cronog. e Histog.'!$BZ:$BZ,'Cronog. e Histog.'!CT:CT),"")</f>
        <v/>
      </c>
      <c r="Z444" s="144" t="str">
        <f>IFERROR(_xlfn.XLOOKUP($B444,'Cronog. e Histog.'!$BZ:$BZ,'Cronog. e Histog.'!CU:CU),"")</f>
        <v/>
      </c>
      <c r="AA444" s="144" t="str">
        <f>IFERROR(_xlfn.XLOOKUP($B444,'Cronog. e Histog.'!$BZ:$BZ,'Cronog. e Histog.'!CV:CV),"")</f>
        <v/>
      </c>
      <c r="AB444" s="144" t="str">
        <f>IFERROR(_xlfn.XLOOKUP($B444,'Cronog. e Histog.'!$BZ:$BZ,'Cronog. e Histog.'!CW:CW),"")</f>
        <v/>
      </c>
      <c r="AC444" s="144" t="str">
        <f>IFERROR(_xlfn.XLOOKUP($B444,'Cronog. e Histog.'!$BZ:$BZ,'Cronog. e Histog.'!CX:CX),"")</f>
        <v/>
      </c>
      <c r="AD444" s="144" t="str">
        <f>IFERROR(_xlfn.XLOOKUP($B444,'Cronog. e Histog.'!$BZ:$BZ,'Cronog. e Histog.'!CY:CY),"")</f>
        <v/>
      </c>
      <c r="AE444" s="144" t="str">
        <f>IFERROR(_xlfn.XLOOKUP($B444,'Cronog. e Histog.'!$BZ:$BZ,'Cronog. e Histog.'!CZ:CZ),"")</f>
        <v/>
      </c>
      <c r="AF444" s="144" t="str">
        <f>IFERROR(_xlfn.XLOOKUP($B444,'Cronog. e Histog.'!$BZ:$BZ,'Cronog. e Histog.'!DA:DA),"")</f>
        <v/>
      </c>
      <c r="AG444" s="144" t="str">
        <f>IFERROR(_xlfn.XLOOKUP($B444,'Cronog. e Histog.'!$BZ:$BZ,'Cronog. e Histog.'!DB:DB),"")</f>
        <v/>
      </c>
      <c r="AH444" s="144" t="str">
        <f>IFERROR(_xlfn.XLOOKUP($B444,'Cronog. e Histog.'!$BZ:$BZ,'Cronog. e Histog.'!DC:DC),"")</f>
        <v/>
      </c>
      <c r="AI444" s="144" t="str">
        <f>IFERROR(_xlfn.XLOOKUP($B444,'Cronog. e Histog.'!$BZ:$BZ,'Cronog. e Histog.'!DD:DD),"")</f>
        <v/>
      </c>
      <c r="AJ444" s="144" t="str">
        <f>IFERROR(_xlfn.XLOOKUP($B444,'Cronog. e Histog.'!$BZ:$BZ,'Cronog. e Histog.'!DE:DE),"")</f>
        <v/>
      </c>
      <c r="AK444" s="144" t="str">
        <f>IFERROR(_xlfn.XLOOKUP($B444,'Cronog. e Histog.'!$BZ:$BZ,'Cronog. e Histog.'!DF:DF),"")</f>
        <v/>
      </c>
      <c r="AL444" s="144" t="str">
        <f>IFERROR(_xlfn.XLOOKUP($B444,'Cronog. e Histog.'!$BZ:$BZ,'Cronog. e Histog.'!DG:DG),"")</f>
        <v/>
      </c>
      <c r="AM444" s="144" t="str">
        <f>IFERROR(_xlfn.XLOOKUP($B444,'Cronog. e Histog.'!$BZ:$BZ,'Cronog. e Histog.'!DH:DH),"")</f>
        <v/>
      </c>
      <c r="AN444" s="144" t="str">
        <f>IFERROR(_xlfn.XLOOKUP($B444,'Cronog. e Histog.'!$BZ:$BZ,'Cronog. e Histog.'!DI:DI),"")</f>
        <v/>
      </c>
      <c r="AO444" s="144" t="str">
        <f>IFERROR(_xlfn.XLOOKUP($B444,'Cronog. e Histog.'!$BZ:$BZ,'Cronog. e Histog.'!DJ:DJ),"")</f>
        <v/>
      </c>
      <c r="AP444" s="144" t="str">
        <f>IFERROR(_xlfn.XLOOKUP($B444,'Cronog. e Histog.'!$BZ:$BZ,'Cronog. e Histog.'!DK:DK),"")</f>
        <v/>
      </c>
      <c r="AQ444" s="144" t="str">
        <f>IFERROR(_xlfn.XLOOKUP($B444,'Cronog. e Histog.'!$BZ:$BZ,'Cronog. e Histog.'!DL:DL),"")</f>
        <v/>
      </c>
      <c r="AR444" s="144" t="str">
        <f>IFERROR(_xlfn.XLOOKUP($B444,'Cronog. e Histog.'!$BZ:$BZ,'Cronog. e Histog.'!DM:DM),"")</f>
        <v/>
      </c>
      <c r="AS444" s="144" t="str">
        <f>IFERROR(_xlfn.XLOOKUP($B444,'Cronog. e Histog.'!$BZ:$BZ,'Cronog. e Histog.'!DN:DN),"")</f>
        <v/>
      </c>
      <c r="AT444" s="144" t="str">
        <f>IFERROR(_xlfn.XLOOKUP($B444,'Cronog. e Histog.'!$BZ:$BZ,'Cronog. e Histog.'!DO:DO),"")</f>
        <v/>
      </c>
      <c r="AU444" s="144" t="str">
        <f>IFERROR(_xlfn.XLOOKUP($B444,'Cronog. e Histog.'!$BZ:$BZ,'Cronog. e Histog.'!DP:DP),"")</f>
        <v/>
      </c>
      <c r="AV444" s="144" t="str">
        <f>IFERROR(_xlfn.XLOOKUP($B444,'Cronog. e Histog.'!$BZ:$BZ,'Cronog. e Histog.'!DQ:DQ),"")</f>
        <v/>
      </c>
      <c r="AW444" s="144" t="str">
        <f>IFERROR(_xlfn.XLOOKUP($B444,'Cronog. e Histog.'!$BZ:$BZ,'Cronog. e Histog.'!DR:DR),"")</f>
        <v/>
      </c>
      <c r="AX444" s="144" t="str">
        <f>IFERROR(_xlfn.XLOOKUP($B444,'Cronog. e Histog.'!$BZ:$BZ,'Cronog. e Histog.'!DS:DS),"")</f>
        <v/>
      </c>
      <c r="AY444" s="144" t="str">
        <f>IFERROR(_xlfn.XLOOKUP($B444,'Cronog. e Histog.'!$BZ:$BZ,'Cronog. e Histog.'!DT:DT),"")</f>
        <v/>
      </c>
      <c r="AZ444" s="144" t="str">
        <f>IFERROR(_xlfn.XLOOKUP($B444,'Cronog. e Histog.'!$BZ:$BZ,'Cronog. e Histog.'!DU:DU),"")</f>
        <v/>
      </c>
      <c r="BA444" s="144" t="str">
        <f>IFERROR(_xlfn.XLOOKUP($B444,'Cronog. e Histog.'!$BZ:$BZ,'Cronog. e Histog.'!DV:DV),"")</f>
        <v/>
      </c>
      <c r="BB444" s="144" t="str">
        <f>IFERROR(_xlfn.XLOOKUP($B444,'Cronog. e Histog.'!$BZ:$BZ,'Cronog. e Histog.'!DW:DW),"")</f>
        <v/>
      </c>
      <c r="BC444" s="144" t="str">
        <f>IFERROR(_xlfn.XLOOKUP($B444,'Cronog. e Histog.'!$BZ:$BZ,'Cronog. e Histog.'!DX:DX),"")</f>
        <v/>
      </c>
      <c r="BD444" s="144" t="str">
        <f>IFERROR(_xlfn.XLOOKUP($B444,'Cronog. e Histog.'!$BZ:$BZ,'Cronog. e Histog.'!DY:DY),"")</f>
        <v/>
      </c>
      <c r="BE444" s="144" t="str">
        <f>IFERROR(_xlfn.XLOOKUP($B444,'Cronog. e Histog.'!$BZ:$BZ,'Cronog. e Histog.'!DZ:DZ),"")</f>
        <v/>
      </c>
      <c r="BF444" s="144" t="str">
        <f>IFERROR(_xlfn.XLOOKUP($B444,'Cronog. e Histog.'!$BZ:$BZ,'Cronog. e Histog.'!EA:EA),"")</f>
        <v/>
      </c>
      <c r="BG444" s="144" t="str">
        <f>IFERROR(_xlfn.XLOOKUP($B444,'Cronog. e Histog.'!$BZ:$BZ,'Cronog. e Histog.'!EB:EB),"")</f>
        <v/>
      </c>
      <c r="BH444" s="144" t="str">
        <f>IFERROR(_xlfn.XLOOKUP($B444,'Cronog. e Histog.'!$BZ:$BZ,'Cronog. e Histog.'!EC:EC),"")</f>
        <v/>
      </c>
      <c r="BI444" s="144" t="str">
        <f>IFERROR(_xlfn.XLOOKUP($B444,'Cronog. e Histog.'!$BZ:$BZ,'Cronog. e Histog.'!ED:ED),"")</f>
        <v/>
      </c>
      <c r="BJ444" s="144" t="str">
        <f>IFERROR(_xlfn.XLOOKUP($B444,'Cronog. e Histog.'!$BZ:$BZ,'Cronog. e Histog.'!EE:EE),"")</f>
        <v/>
      </c>
      <c r="BK444" s="144" t="str">
        <f>IFERROR(_xlfn.XLOOKUP($B444,'Cronog. e Histog.'!$BZ:$BZ,'Cronog. e Histog.'!EF:EF),"")</f>
        <v/>
      </c>
      <c r="BL444" s="144" t="str">
        <f>IFERROR(_xlfn.XLOOKUP($B444,'Cronog. e Histog.'!$BZ:$BZ,'Cronog. e Histog.'!EG:EG),"")</f>
        <v/>
      </c>
      <c r="BM444" s="144" t="str">
        <f>IFERROR(_xlfn.XLOOKUP($B444,'Cronog. e Histog.'!$BZ:$BZ,'Cronog. e Histog.'!EH:EH),"")</f>
        <v/>
      </c>
      <c r="BN444" s="144" t="str">
        <f>IFERROR(_xlfn.XLOOKUP($B444,'Cronog. e Histog.'!$BZ:$BZ,'Cronog. e Histog.'!EI:EI),"")</f>
        <v/>
      </c>
    </row>
    <row r="445" spans="2:66" ht="12" hidden="1" customHeight="1" outlineLevel="1">
      <c r="B445" s="76">
        <v>439</v>
      </c>
      <c r="C445" s="143" t="str">
        <f>IFERROR(VLOOKUP(B445,'Cronog. e Histog.'!$BZ$213:$CA$747,2,0),"")</f>
        <v/>
      </c>
      <c r="D445" s="144">
        <f t="shared" si="6"/>
        <v>0</v>
      </c>
      <c r="E445" s="144">
        <f t="shared" si="7"/>
        <v>0</v>
      </c>
      <c r="F445" s="65"/>
      <c r="G445" s="144" t="str">
        <f>IFERROR(_xlfn.XLOOKUP($B445,'Cronog. e Histog.'!$BZ:$BZ,'Cronog. e Histog.'!CB:CB),"")</f>
        <v/>
      </c>
      <c r="H445" s="144" t="str">
        <f>IFERROR(_xlfn.XLOOKUP($B445,'Cronog. e Histog.'!$BZ:$BZ,'Cronog. e Histog.'!CC:CC),"")</f>
        <v/>
      </c>
      <c r="I445" s="144" t="str">
        <f>IFERROR(_xlfn.XLOOKUP($B445,'Cronog. e Histog.'!$BZ:$BZ,'Cronog. e Histog.'!CD:CD),"")</f>
        <v/>
      </c>
      <c r="J445" s="144" t="str">
        <f>IFERROR(_xlfn.XLOOKUP($B445,'Cronog. e Histog.'!$BZ:$BZ,'Cronog. e Histog.'!CE:CE),"")</f>
        <v/>
      </c>
      <c r="K445" s="144" t="str">
        <f>IFERROR(_xlfn.XLOOKUP($B445,'Cronog. e Histog.'!$BZ:$BZ,'Cronog. e Histog.'!CF:CF),"")</f>
        <v/>
      </c>
      <c r="L445" s="144" t="str">
        <f>IFERROR(_xlfn.XLOOKUP($B445,'Cronog. e Histog.'!$BZ:$BZ,'Cronog. e Histog.'!CG:CG),"")</f>
        <v/>
      </c>
      <c r="M445" s="144" t="str">
        <f>IFERROR(_xlfn.XLOOKUP($B445,'Cronog. e Histog.'!$BZ:$BZ,'Cronog. e Histog.'!CH:CH),"")</f>
        <v/>
      </c>
      <c r="N445" s="144" t="str">
        <f>IFERROR(_xlfn.XLOOKUP($B445,'Cronog. e Histog.'!$BZ:$BZ,'Cronog. e Histog.'!CI:CI),"")</f>
        <v/>
      </c>
      <c r="O445" s="144" t="str">
        <f>IFERROR(_xlfn.XLOOKUP($B445,'Cronog. e Histog.'!$BZ:$BZ,'Cronog. e Histog.'!CJ:CJ),"")</f>
        <v/>
      </c>
      <c r="P445" s="144" t="str">
        <f>IFERROR(_xlfn.XLOOKUP($B445,'Cronog. e Histog.'!$BZ:$BZ,'Cronog. e Histog.'!CK:CK),"")</f>
        <v/>
      </c>
      <c r="Q445" s="144" t="str">
        <f>IFERROR(_xlfn.XLOOKUP($B445,'Cronog. e Histog.'!$BZ:$BZ,'Cronog. e Histog.'!CL:CL),"")</f>
        <v/>
      </c>
      <c r="R445" s="144" t="str">
        <f>IFERROR(_xlfn.XLOOKUP($B445,'Cronog. e Histog.'!$BZ:$BZ,'Cronog. e Histog.'!CM:CM),"")</f>
        <v/>
      </c>
      <c r="S445" s="144" t="str">
        <f>IFERROR(_xlfn.XLOOKUP($B445,'Cronog. e Histog.'!$BZ:$BZ,'Cronog. e Histog.'!CN:CN),"")</f>
        <v/>
      </c>
      <c r="T445" s="144" t="str">
        <f>IFERROR(_xlfn.XLOOKUP($B445,'Cronog. e Histog.'!$BZ:$BZ,'Cronog. e Histog.'!CO:CO),"")</f>
        <v/>
      </c>
      <c r="U445" s="144" t="str">
        <f>IFERROR(_xlfn.XLOOKUP($B445,'Cronog. e Histog.'!$BZ:$BZ,'Cronog. e Histog.'!CP:CP),"")</f>
        <v/>
      </c>
      <c r="V445" s="144" t="str">
        <f>IFERROR(_xlfn.XLOOKUP($B445,'Cronog. e Histog.'!$BZ:$BZ,'Cronog. e Histog.'!CQ:CQ),"")</f>
        <v/>
      </c>
      <c r="W445" s="144" t="str">
        <f>IFERROR(_xlfn.XLOOKUP($B445,'Cronog. e Histog.'!$BZ:$BZ,'Cronog. e Histog.'!CR:CR),"")</f>
        <v/>
      </c>
      <c r="X445" s="144" t="str">
        <f>IFERROR(_xlfn.XLOOKUP($B445,'Cronog. e Histog.'!$BZ:$BZ,'Cronog. e Histog.'!CS:CS),"")</f>
        <v/>
      </c>
      <c r="Y445" s="144" t="str">
        <f>IFERROR(_xlfn.XLOOKUP($B445,'Cronog. e Histog.'!$BZ:$BZ,'Cronog. e Histog.'!CT:CT),"")</f>
        <v/>
      </c>
      <c r="Z445" s="144" t="str">
        <f>IFERROR(_xlfn.XLOOKUP($B445,'Cronog. e Histog.'!$BZ:$BZ,'Cronog. e Histog.'!CU:CU),"")</f>
        <v/>
      </c>
      <c r="AA445" s="144" t="str">
        <f>IFERROR(_xlfn.XLOOKUP($B445,'Cronog. e Histog.'!$BZ:$BZ,'Cronog. e Histog.'!CV:CV),"")</f>
        <v/>
      </c>
      <c r="AB445" s="144" t="str">
        <f>IFERROR(_xlfn.XLOOKUP($B445,'Cronog. e Histog.'!$BZ:$BZ,'Cronog. e Histog.'!CW:CW),"")</f>
        <v/>
      </c>
      <c r="AC445" s="144" t="str">
        <f>IFERROR(_xlfn.XLOOKUP($B445,'Cronog. e Histog.'!$BZ:$BZ,'Cronog. e Histog.'!CX:CX),"")</f>
        <v/>
      </c>
      <c r="AD445" s="144" t="str">
        <f>IFERROR(_xlfn.XLOOKUP($B445,'Cronog. e Histog.'!$BZ:$BZ,'Cronog. e Histog.'!CY:CY),"")</f>
        <v/>
      </c>
      <c r="AE445" s="144" t="str">
        <f>IFERROR(_xlfn.XLOOKUP($B445,'Cronog. e Histog.'!$BZ:$BZ,'Cronog. e Histog.'!CZ:CZ),"")</f>
        <v/>
      </c>
      <c r="AF445" s="144" t="str">
        <f>IFERROR(_xlfn.XLOOKUP($B445,'Cronog. e Histog.'!$BZ:$BZ,'Cronog. e Histog.'!DA:DA),"")</f>
        <v/>
      </c>
      <c r="AG445" s="144" t="str">
        <f>IFERROR(_xlfn.XLOOKUP($B445,'Cronog. e Histog.'!$BZ:$BZ,'Cronog. e Histog.'!DB:DB),"")</f>
        <v/>
      </c>
      <c r="AH445" s="144" t="str">
        <f>IFERROR(_xlfn.XLOOKUP($B445,'Cronog. e Histog.'!$BZ:$BZ,'Cronog. e Histog.'!DC:DC),"")</f>
        <v/>
      </c>
      <c r="AI445" s="144" t="str">
        <f>IFERROR(_xlfn.XLOOKUP($B445,'Cronog. e Histog.'!$BZ:$BZ,'Cronog. e Histog.'!DD:DD),"")</f>
        <v/>
      </c>
      <c r="AJ445" s="144" t="str">
        <f>IFERROR(_xlfn.XLOOKUP($B445,'Cronog. e Histog.'!$BZ:$BZ,'Cronog. e Histog.'!DE:DE),"")</f>
        <v/>
      </c>
      <c r="AK445" s="144" t="str">
        <f>IFERROR(_xlfn.XLOOKUP($B445,'Cronog. e Histog.'!$BZ:$BZ,'Cronog. e Histog.'!DF:DF),"")</f>
        <v/>
      </c>
      <c r="AL445" s="144" t="str">
        <f>IFERROR(_xlfn.XLOOKUP($B445,'Cronog. e Histog.'!$BZ:$BZ,'Cronog. e Histog.'!DG:DG),"")</f>
        <v/>
      </c>
      <c r="AM445" s="144" t="str">
        <f>IFERROR(_xlfn.XLOOKUP($B445,'Cronog. e Histog.'!$BZ:$BZ,'Cronog. e Histog.'!DH:DH),"")</f>
        <v/>
      </c>
      <c r="AN445" s="144" t="str">
        <f>IFERROR(_xlfn.XLOOKUP($B445,'Cronog. e Histog.'!$BZ:$BZ,'Cronog. e Histog.'!DI:DI),"")</f>
        <v/>
      </c>
      <c r="AO445" s="144" t="str">
        <f>IFERROR(_xlfn.XLOOKUP($B445,'Cronog. e Histog.'!$BZ:$BZ,'Cronog. e Histog.'!DJ:DJ),"")</f>
        <v/>
      </c>
      <c r="AP445" s="144" t="str">
        <f>IFERROR(_xlfn.XLOOKUP($B445,'Cronog. e Histog.'!$BZ:$BZ,'Cronog. e Histog.'!DK:DK),"")</f>
        <v/>
      </c>
      <c r="AQ445" s="144" t="str">
        <f>IFERROR(_xlfn.XLOOKUP($B445,'Cronog. e Histog.'!$BZ:$BZ,'Cronog. e Histog.'!DL:DL),"")</f>
        <v/>
      </c>
      <c r="AR445" s="144" t="str">
        <f>IFERROR(_xlfn.XLOOKUP($B445,'Cronog. e Histog.'!$BZ:$BZ,'Cronog. e Histog.'!DM:DM),"")</f>
        <v/>
      </c>
      <c r="AS445" s="144" t="str">
        <f>IFERROR(_xlfn.XLOOKUP($B445,'Cronog. e Histog.'!$BZ:$BZ,'Cronog. e Histog.'!DN:DN),"")</f>
        <v/>
      </c>
      <c r="AT445" s="144" t="str">
        <f>IFERROR(_xlfn.XLOOKUP($B445,'Cronog. e Histog.'!$BZ:$BZ,'Cronog. e Histog.'!DO:DO),"")</f>
        <v/>
      </c>
      <c r="AU445" s="144" t="str">
        <f>IFERROR(_xlfn.XLOOKUP($B445,'Cronog. e Histog.'!$BZ:$BZ,'Cronog. e Histog.'!DP:DP),"")</f>
        <v/>
      </c>
      <c r="AV445" s="144" t="str">
        <f>IFERROR(_xlfn.XLOOKUP($B445,'Cronog. e Histog.'!$BZ:$BZ,'Cronog. e Histog.'!DQ:DQ),"")</f>
        <v/>
      </c>
      <c r="AW445" s="144" t="str">
        <f>IFERROR(_xlfn.XLOOKUP($B445,'Cronog. e Histog.'!$BZ:$BZ,'Cronog. e Histog.'!DR:DR),"")</f>
        <v/>
      </c>
      <c r="AX445" s="144" t="str">
        <f>IFERROR(_xlfn.XLOOKUP($B445,'Cronog. e Histog.'!$BZ:$BZ,'Cronog. e Histog.'!DS:DS),"")</f>
        <v/>
      </c>
      <c r="AY445" s="144" t="str">
        <f>IFERROR(_xlfn.XLOOKUP($B445,'Cronog. e Histog.'!$BZ:$BZ,'Cronog. e Histog.'!DT:DT),"")</f>
        <v/>
      </c>
      <c r="AZ445" s="144" t="str">
        <f>IFERROR(_xlfn.XLOOKUP($B445,'Cronog. e Histog.'!$BZ:$BZ,'Cronog. e Histog.'!DU:DU),"")</f>
        <v/>
      </c>
      <c r="BA445" s="144" t="str">
        <f>IFERROR(_xlfn.XLOOKUP($B445,'Cronog. e Histog.'!$BZ:$BZ,'Cronog. e Histog.'!DV:DV),"")</f>
        <v/>
      </c>
      <c r="BB445" s="144" t="str">
        <f>IFERROR(_xlfn.XLOOKUP($B445,'Cronog. e Histog.'!$BZ:$BZ,'Cronog. e Histog.'!DW:DW),"")</f>
        <v/>
      </c>
      <c r="BC445" s="144" t="str">
        <f>IFERROR(_xlfn.XLOOKUP($B445,'Cronog. e Histog.'!$BZ:$BZ,'Cronog. e Histog.'!DX:DX),"")</f>
        <v/>
      </c>
      <c r="BD445" s="144" t="str">
        <f>IFERROR(_xlfn.XLOOKUP($B445,'Cronog. e Histog.'!$BZ:$BZ,'Cronog. e Histog.'!DY:DY),"")</f>
        <v/>
      </c>
      <c r="BE445" s="144" t="str">
        <f>IFERROR(_xlfn.XLOOKUP($B445,'Cronog. e Histog.'!$BZ:$BZ,'Cronog. e Histog.'!DZ:DZ),"")</f>
        <v/>
      </c>
      <c r="BF445" s="144" t="str">
        <f>IFERROR(_xlfn.XLOOKUP($B445,'Cronog. e Histog.'!$BZ:$BZ,'Cronog. e Histog.'!EA:EA),"")</f>
        <v/>
      </c>
      <c r="BG445" s="144" t="str">
        <f>IFERROR(_xlfn.XLOOKUP($B445,'Cronog. e Histog.'!$BZ:$BZ,'Cronog. e Histog.'!EB:EB),"")</f>
        <v/>
      </c>
      <c r="BH445" s="144" t="str">
        <f>IFERROR(_xlfn.XLOOKUP($B445,'Cronog. e Histog.'!$BZ:$BZ,'Cronog. e Histog.'!EC:EC),"")</f>
        <v/>
      </c>
      <c r="BI445" s="144" t="str">
        <f>IFERROR(_xlfn.XLOOKUP($B445,'Cronog. e Histog.'!$BZ:$BZ,'Cronog. e Histog.'!ED:ED),"")</f>
        <v/>
      </c>
      <c r="BJ445" s="144" t="str">
        <f>IFERROR(_xlfn.XLOOKUP($B445,'Cronog. e Histog.'!$BZ:$BZ,'Cronog. e Histog.'!EE:EE),"")</f>
        <v/>
      </c>
      <c r="BK445" s="144" t="str">
        <f>IFERROR(_xlfn.XLOOKUP($B445,'Cronog. e Histog.'!$BZ:$BZ,'Cronog. e Histog.'!EF:EF),"")</f>
        <v/>
      </c>
      <c r="BL445" s="144" t="str">
        <f>IFERROR(_xlfn.XLOOKUP($B445,'Cronog. e Histog.'!$BZ:$BZ,'Cronog. e Histog.'!EG:EG),"")</f>
        <v/>
      </c>
      <c r="BM445" s="144" t="str">
        <f>IFERROR(_xlfn.XLOOKUP($B445,'Cronog. e Histog.'!$BZ:$BZ,'Cronog. e Histog.'!EH:EH),"")</f>
        <v/>
      </c>
      <c r="BN445" s="144" t="str">
        <f>IFERROR(_xlfn.XLOOKUP($B445,'Cronog. e Histog.'!$BZ:$BZ,'Cronog. e Histog.'!EI:EI),"")</f>
        <v/>
      </c>
    </row>
    <row r="446" spans="2:66" ht="12" hidden="1" customHeight="1" outlineLevel="1">
      <c r="B446" s="76">
        <v>440</v>
      </c>
      <c r="C446" s="143" t="str">
        <f>IFERROR(VLOOKUP(B446,'Cronog. e Histog.'!$BZ$213:$CA$747,2,0),"")</f>
        <v/>
      </c>
      <c r="D446" s="144">
        <f t="shared" si="6"/>
        <v>0</v>
      </c>
      <c r="E446" s="144">
        <f t="shared" si="7"/>
        <v>0</v>
      </c>
      <c r="F446" s="65"/>
      <c r="G446" s="144" t="str">
        <f>IFERROR(_xlfn.XLOOKUP($B446,'Cronog. e Histog.'!$BZ:$BZ,'Cronog. e Histog.'!CB:CB),"")</f>
        <v/>
      </c>
      <c r="H446" s="144" t="str">
        <f>IFERROR(_xlfn.XLOOKUP($B446,'Cronog. e Histog.'!$BZ:$BZ,'Cronog. e Histog.'!CC:CC),"")</f>
        <v/>
      </c>
      <c r="I446" s="144" t="str">
        <f>IFERROR(_xlfn.XLOOKUP($B446,'Cronog. e Histog.'!$BZ:$BZ,'Cronog. e Histog.'!CD:CD),"")</f>
        <v/>
      </c>
      <c r="J446" s="144" t="str">
        <f>IFERROR(_xlfn.XLOOKUP($B446,'Cronog. e Histog.'!$BZ:$BZ,'Cronog. e Histog.'!CE:CE),"")</f>
        <v/>
      </c>
      <c r="K446" s="144" t="str">
        <f>IFERROR(_xlfn.XLOOKUP($B446,'Cronog. e Histog.'!$BZ:$BZ,'Cronog. e Histog.'!CF:CF),"")</f>
        <v/>
      </c>
      <c r="L446" s="144" t="str">
        <f>IFERROR(_xlfn.XLOOKUP($B446,'Cronog. e Histog.'!$BZ:$BZ,'Cronog. e Histog.'!CG:CG),"")</f>
        <v/>
      </c>
      <c r="M446" s="144" t="str">
        <f>IFERROR(_xlfn.XLOOKUP($B446,'Cronog. e Histog.'!$BZ:$BZ,'Cronog. e Histog.'!CH:CH),"")</f>
        <v/>
      </c>
      <c r="N446" s="144" t="str">
        <f>IFERROR(_xlfn.XLOOKUP($B446,'Cronog. e Histog.'!$BZ:$BZ,'Cronog. e Histog.'!CI:CI),"")</f>
        <v/>
      </c>
      <c r="O446" s="144" t="str">
        <f>IFERROR(_xlfn.XLOOKUP($B446,'Cronog. e Histog.'!$BZ:$BZ,'Cronog. e Histog.'!CJ:CJ),"")</f>
        <v/>
      </c>
      <c r="P446" s="144" t="str">
        <f>IFERROR(_xlfn.XLOOKUP($B446,'Cronog. e Histog.'!$BZ:$BZ,'Cronog. e Histog.'!CK:CK),"")</f>
        <v/>
      </c>
      <c r="Q446" s="144" t="str">
        <f>IFERROR(_xlfn.XLOOKUP($B446,'Cronog. e Histog.'!$BZ:$BZ,'Cronog. e Histog.'!CL:CL),"")</f>
        <v/>
      </c>
      <c r="R446" s="144" t="str">
        <f>IFERROR(_xlfn.XLOOKUP($B446,'Cronog. e Histog.'!$BZ:$BZ,'Cronog. e Histog.'!CM:CM),"")</f>
        <v/>
      </c>
      <c r="S446" s="144" t="str">
        <f>IFERROR(_xlfn.XLOOKUP($B446,'Cronog. e Histog.'!$BZ:$BZ,'Cronog. e Histog.'!CN:CN),"")</f>
        <v/>
      </c>
      <c r="T446" s="144" t="str">
        <f>IFERROR(_xlfn.XLOOKUP($B446,'Cronog. e Histog.'!$BZ:$BZ,'Cronog. e Histog.'!CO:CO),"")</f>
        <v/>
      </c>
      <c r="U446" s="144" t="str">
        <f>IFERROR(_xlfn.XLOOKUP($B446,'Cronog. e Histog.'!$BZ:$BZ,'Cronog. e Histog.'!CP:CP),"")</f>
        <v/>
      </c>
      <c r="V446" s="144" t="str">
        <f>IFERROR(_xlfn.XLOOKUP($B446,'Cronog. e Histog.'!$BZ:$BZ,'Cronog. e Histog.'!CQ:CQ),"")</f>
        <v/>
      </c>
      <c r="W446" s="144" t="str">
        <f>IFERROR(_xlfn.XLOOKUP($B446,'Cronog. e Histog.'!$BZ:$BZ,'Cronog. e Histog.'!CR:CR),"")</f>
        <v/>
      </c>
      <c r="X446" s="144" t="str">
        <f>IFERROR(_xlfn.XLOOKUP($B446,'Cronog. e Histog.'!$BZ:$BZ,'Cronog. e Histog.'!CS:CS),"")</f>
        <v/>
      </c>
      <c r="Y446" s="144" t="str">
        <f>IFERROR(_xlfn.XLOOKUP($B446,'Cronog. e Histog.'!$BZ:$BZ,'Cronog. e Histog.'!CT:CT),"")</f>
        <v/>
      </c>
      <c r="Z446" s="144" t="str">
        <f>IFERROR(_xlfn.XLOOKUP($B446,'Cronog. e Histog.'!$BZ:$BZ,'Cronog. e Histog.'!CU:CU),"")</f>
        <v/>
      </c>
      <c r="AA446" s="144" t="str">
        <f>IFERROR(_xlfn.XLOOKUP($B446,'Cronog. e Histog.'!$BZ:$BZ,'Cronog. e Histog.'!CV:CV),"")</f>
        <v/>
      </c>
      <c r="AB446" s="144" t="str">
        <f>IFERROR(_xlfn.XLOOKUP($B446,'Cronog. e Histog.'!$BZ:$BZ,'Cronog. e Histog.'!CW:CW),"")</f>
        <v/>
      </c>
      <c r="AC446" s="144" t="str">
        <f>IFERROR(_xlfn.XLOOKUP($B446,'Cronog. e Histog.'!$BZ:$BZ,'Cronog. e Histog.'!CX:CX),"")</f>
        <v/>
      </c>
      <c r="AD446" s="144" t="str">
        <f>IFERROR(_xlfn.XLOOKUP($B446,'Cronog. e Histog.'!$BZ:$BZ,'Cronog. e Histog.'!CY:CY),"")</f>
        <v/>
      </c>
      <c r="AE446" s="144" t="str">
        <f>IFERROR(_xlfn.XLOOKUP($B446,'Cronog. e Histog.'!$BZ:$BZ,'Cronog. e Histog.'!CZ:CZ),"")</f>
        <v/>
      </c>
      <c r="AF446" s="144" t="str">
        <f>IFERROR(_xlfn.XLOOKUP($B446,'Cronog. e Histog.'!$BZ:$BZ,'Cronog. e Histog.'!DA:DA),"")</f>
        <v/>
      </c>
      <c r="AG446" s="144" t="str">
        <f>IFERROR(_xlfn.XLOOKUP($B446,'Cronog. e Histog.'!$BZ:$BZ,'Cronog. e Histog.'!DB:DB),"")</f>
        <v/>
      </c>
      <c r="AH446" s="144" t="str">
        <f>IFERROR(_xlfn.XLOOKUP($B446,'Cronog. e Histog.'!$BZ:$BZ,'Cronog. e Histog.'!DC:DC),"")</f>
        <v/>
      </c>
      <c r="AI446" s="144" t="str">
        <f>IFERROR(_xlfn.XLOOKUP($B446,'Cronog. e Histog.'!$BZ:$BZ,'Cronog. e Histog.'!DD:DD),"")</f>
        <v/>
      </c>
      <c r="AJ446" s="144" t="str">
        <f>IFERROR(_xlfn.XLOOKUP($B446,'Cronog. e Histog.'!$BZ:$BZ,'Cronog. e Histog.'!DE:DE),"")</f>
        <v/>
      </c>
      <c r="AK446" s="144" t="str">
        <f>IFERROR(_xlfn.XLOOKUP($B446,'Cronog. e Histog.'!$BZ:$BZ,'Cronog. e Histog.'!DF:DF),"")</f>
        <v/>
      </c>
      <c r="AL446" s="144" t="str">
        <f>IFERROR(_xlfn.XLOOKUP($B446,'Cronog. e Histog.'!$BZ:$BZ,'Cronog. e Histog.'!DG:DG),"")</f>
        <v/>
      </c>
      <c r="AM446" s="144" t="str">
        <f>IFERROR(_xlfn.XLOOKUP($B446,'Cronog. e Histog.'!$BZ:$BZ,'Cronog. e Histog.'!DH:DH),"")</f>
        <v/>
      </c>
      <c r="AN446" s="144" t="str">
        <f>IFERROR(_xlfn.XLOOKUP($B446,'Cronog. e Histog.'!$BZ:$BZ,'Cronog. e Histog.'!DI:DI),"")</f>
        <v/>
      </c>
      <c r="AO446" s="144" t="str">
        <f>IFERROR(_xlfn.XLOOKUP($B446,'Cronog. e Histog.'!$BZ:$BZ,'Cronog. e Histog.'!DJ:DJ),"")</f>
        <v/>
      </c>
      <c r="AP446" s="144" t="str">
        <f>IFERROR(_xlfn.XLOOKUP($B446,'Cronog. e Histog.'!$BZ:$BZ,'Cronog. e Histog.'!DK:DK),"")</f>
        <v/>
      </c>
      <c r="AQ446" s="144" t="str">
        <f>IFERROR(_xlfn.XLOOKUP($B446,'Cronog. e Histog.'!$BZ:$BZ,'Cronog. e Histog.'!DL:DL),"")</f>
        <v/>
      </c>
      <c r="AR446" s="144" t="str">
        <f>IFERROR(_xlfn.XLOOKUP($B446,'Cronog. e Histog.'!$BZ:$BZ,'Cronog. e Histog.'!DM:DM),"")</f>
        <v/>
      </c>
      <c r="AS446" s="144" t="str">
        <f>IFERROR(_xlfn.XLOOKUP($B446,'Cronog. e Histog.'!$BZ:$BZ,'Cronog. e Histog.'!DN:DN),"")</f>
        <v/>
      </c>
      <c r="AT446" s="144" t="str">
        <f>IFERROR(_xlfn.XLOOKUP($B446,'Cronog. e Histog.'!$BZ:$BZ,'Cronog. e Histog.'!DO:DO),"")</f>
        <v/>
      </c>
      <c r="AU446" s="144" t="str">
        <f>IFERROR(_xlfn.XLOOKUP($B446,'Cronog. e Histog.'!$BZ:$BZ,'Cronog. e Histog.'!DP:DP),"")</f>
        <v/>
      </c>
      <c r="AV446" s="144" t="str">
        <f>IFERROR(_xlfn.XLOOKUP($B446,'Cronog. e Histog.'!$BZ:$BZ,'Cronog. e Histog.'!DQ:DQ),"")</f>
        <v/>
      </c>
      <c r="AW446" s="144" t="str">
        <f>IFERROR(_xlfn.XLOOKUP($B446,'Cronog. e Histog.'!$BZ:$BZ,'Cronog. e Histog.'!DR:DR),"")</f>
        <v/>
      </c>
      <c r="AX446" s="144" t="str">
        <f>IFERROR(_xlfn.XLOOKUP($B446,'Cronog. e Histog.'!$BZ:$BZ,'Cronog. e Histog.'!DS:DS),"")</f>
        <v/>
      </c>
      <c r="AY446" s="144" t="str">
        <f>IFERROR(_xlfn.XLOOKUP($B446,'Cronog. e Histog.'!$BZ:$BZ,'Cronog. e Histog.'!DT:DT),"")</f>
        <v/>
      </c>
      <c r="AZ446" s="144" t="str">
        <f>IFERROR(_xlfn.XLOOKUP($B446,'Cronog. e Histog.'!$BZ:$BZ,'Cronog. e Histog.'!DU:DU),"")</f>
        <v/>
      </c>
      <c r="BA446" s="144" t="str">
        <f>IFERROR(_xlfn.XLOOKUP($B446,'Cronog. e Histog.'!$BZ:$BZ,'Cronog. e Histog.'!DV:DV),"")</f>
        <v/>
      </c>
      <c r="BB446" s="144" t="str">
        <f>IFERROR(_xlfn.XLOOKUP($B446,'Cronog. e Histog.'!$BZ:$BZ,'Cronog. e Histog.'!DW:DW),"")</f>
        <v/>
      </c>
      <c r="BC446" s="144" t="str">
        <f>IFERROR(_xlfn.XLOOKUP($B446,'Cronog. e Histog.'!$BZ:$BZ,'Cronog. e Histog.'!DX:DX),"")</f>
        <v/>
      </c>
      <c r="BD446" s="144" t="str">
        <f>IFERROR(_xlfn.XLOOKUP($B446,'Cronog. e Histog.'!$BZ:$BZ,'Cronog. e Histog.'!DY:DY),"")</f>
        <v/>
      </c>
      <c r="BE446" s="144" t="str">
        <f>IFERROR(_xlfn.XLOOKUP($B446,'Cronog. e Histog.'!$BZ:$BZ,'Cronog. e Histog.'!DZ:DZ),"")</f>
        <v/>
      </c>
      <c r="BF446" s="144" t="str">
        <f>IFERROR(_xlfn.XLOOKUP($B446,'Cronog. e Histog.'!$BZ:$BZ,'Cronog. e Histog.'!EA:EA),"")</f>
        <v/>
      </c>
      <c r="BG446" s="144" t="str">
        <f>IFERROR(_xlfn.XLOOKUP($B446,'Cronog. e Histog.'!$BZ:$BZ,'Cronog. e Histog.'!EB:EB),"")</f>
        <v/>
      </c>
      <c r="BH446" s="144" t="str">
        <f>IFERROR(_xlfn.XLOOKUP($B446,'Cronog. e Histog.'!$BZ:$BZ,'Cronog. e Histog.'!EC:EC),"")</f>
        <v/>
      </c>
      <c r="BI446" s="144" t="str">
        <f>IFERROR(_xlfn.XLOOKUP($B446,'Cronog. e Histog.'!$BZ:$BZ,'Cronog. e Histog.'!ED:ED),"")</f>
        <v/>
      </c>
      <c r="BJ446" s="144" t="str">
        <f>IFERROR(_xlfn.XLOOKUP($B446,'Cronog. e Histog.'!$BZ:$BZ,'Cronog. e Histog.'!EE:EE),"")</f>
        <v/>
      </c>
      <c r="BK446" s="144" t="str">
        <f>IFERROR(_xlfn.XLOOKUP($B446,'Cronog. e Histog.'!$BZ:$BZ,'Cronog. e Histog.'!EF:EF),"")</f>
        <v/>
      </c>
      <c r="BL446" s="144" t="str">
        <f>IFERROR(_xlfn.XLOOKUP($B446,'Cronog. e Histog.'!$BZ:$BZ,'Cronog. e Histog.'!EG:EG),"")</f>
        <v/>
      </c>
      <c r="BM446" s="144" t="str">
        <f>IFERROR(_xlfn.XLOOKUP($B446,'Cronog. e Histog.'!$BZ:$BZ,'Cronog. e Histog.'!EH:EH),"")</f>
        <v/>
      </c>
      <c r="BN446" s="144" t="str">
        <f>IFERROR(_xlfn.XLOOKUP($B446,'Cronog. e Histog.'!$BZ:$BZ,'Cronog. e Histog.'!EI:EI),"")</f>
        <v/>
      </c>
    </row>
    <row r="447" spans="2:66" ht="12" hidden="1" customHeight="1" outlineLevel="1">
      <c r="B447" s="76">
        <v>441</v>
      </c>
      <c r="C447" s="143" t="str">
        <f>IFERROR(VLOOKUP(B447,'Cronog. e Histog.'!$BZ$213:$CA$747,2,0),"")</f>
        <v/>
      </c>
      <c r="D447" s="144">
        <f t="shared" si="6"/>
        <v>0</v>
      </c>
      <c r="E447" s="144">
        <f t="shared" si="7"/>
        <v>0</v>
      </c>
      <c r="F447" s="65"/>
      <c r="G447" s="144" t="str">
        <f>IFERROR(_xlfn.XLOOKUP($B447,'Cronog. e Histog.'!$BZ:$BZ,'Cronog. e Histog.'!CB:CB),"")</f>
        <v/>
      </c>
      <c r="H447" s="144" t="str">
        <f>IFERROR(_xlfn.XLOOKUP($B447,'Cronog. e Histog.'!$BZ:$BZ,'Cronog. e Histog.'!CC:CC),"")</f>
        <v/>
      </c>
      <c r="I447" s="144" t="str">
        <f>IFERROR(_xlfn.XLOOKUP($B447,'Cronog. e Histog.'!$BZ:$BZ,'Cronog. e Histog.'!CD:CD),"")</f>
        <v/>
      </c>
      <c r="J447" s="144" t="str">
        <f>IFERROR(_xlfn.XLOOKUP($B447,'Cronog. e Histog.'!$BZ:$BZ,'Cronog. e Histog.'!CE:CE),"")</f>
        <v/>
      </c>
      <c r="K447" s="144" t="str">
        <f>IFERROR(_xlfn.XLOOKUP($B447,'Cronog. e Histog.'!$BZ:$BZ,'Cronog. e Histog.'!CF:CF),"")</f>
        <v/>
      </c>
      <c r="L447" s="144" t="str">
        <f>IFERROR(_xlfn.XLOOKUP($B447,'Cronog. e Histog.'!$BZ:$BZ,'Cronog. e Histog.'!CG:CG),"")</f>
        <v/>
      </c>
      <c r="M447" s="144" t="str">
        <f>IFERROR(_xlfn.XLOOKUP($B447,'Cronog. e Histog.'!$BZ:$BZ,'Cronog. e Histog.'!CH:CH),"")</f>
        <v/>
      </c>
      <c r="N447" s="144" t="str">
        <f>IFERROR(_xlfn.XLOOKUP($B447,'Cronog. e Histog.'!$BZ:$BZ,'Cronog. e Histog.'!CI:CI),"")</f>
        <v/>
      </c>
      <c r="O447" s="144" t="str">
        <f>IFERROR(_xlfn.XLOOKUP($B447,'Cronog. e Histog.'!$BZ:$BZ,'Cronog. e Histog.'!CJ:CJ),"")</f>
        <v/>
      </c>
      <c r="P447" s="144" t="str">
        <f>IFERROR(_xlfn.XLOOKUP($B447,'Cronog. e Histog.'!$BZ:$BZ,'Cronog. e Histog.'!CK:CK),"")</f>
        <v/>
      </c>
      <c r="Q447" s="144" t="str">
        <f>IFERROR(_xlfn.XLOOKUP($B447,'Cronog. e Histog.'!$BZ:$BZ,'Cronog. e Histog.'!CL:CL),"")</f>
        <v/>
      </c>
      <c r="R447" s="144" t="str">
        <f>IFERROR(_xlfn.XLOOKUP($B447,'Cronog. e Histog.'!$BZ:$BZ,'Cronog. e Histog.'!CM:CM),"")</f>
        <v/>
      </c>
      <c r="S447" s="144" t="str">
        <f>IFERROR(_xlfn.XLOOKUP($B447,'Cronog. e Histog.'!$BZ:$BZ,'Cronog. e Histog.'!CN:CN),"")</f>
        <v/>
      </c>
      <c r="T447" s="144" t="str">
        <f>IFERROR(_xlfn.XLOOKUP($B447,'Cronog. e Histog.'!$BZ:$BZ,'Cronog. e Histog.'!CO:CO),"")</f>
        <v/>
      </c>
      <c r="U447" s="144" t="str">
        <f>IFERROR(_xlfn.XLOOKUP($B447,'Cronog. e Histog.'!$BZ:$BZ,'Cronog. e Histog.'!CP:CP),"")</f>
        <v/>
      </c>
      <c r="V447" s="144" t="str">
        <f>IFERROR(_xlfn.XLOOKUP($B447,'Cronog. e Histog.'!$BZ:$BZ,'Cronog. e Histog.'!CQ:CQ),"")</f>
        <v/>
      </c>
      <c r="W447" s="144" t="str">
        <f>IFERROR(_xlfn.XLOOKUP($B447,'Cronog. e Histog.'!$BZ:$BZ,'Cronog. e Histog.'!CR:CR),"")</f>
        <v/>
      </c>
      <c r="X447" s="144" t="str">
        <f>IFERROR(_xlfn.XLOOKUP($B447,'Cronog. e Histog.'!$BZ:$BZ,'Cronog. e Histog.'!CS:CS),"")</f>
        <v/>
      </c>
      <c r="Y447" s="144" t="str">
        <f>IFERROR(_xlfn.XLOOKUP($B447,'Cronog. e Histog.'!$BZ:$BZ,'Cronog. e Histog.'!CT:CT),"")</f>
        <v/>
      </c>
      <c r="Z447" s="144" t="str">
        <f>IFERROR(_xlfn.XLOOKUP($B447,'Cronog. e Histog.'!$BZ:$BZ,'Cronog. e Histog.'!CU:CU),"")</f>
        <v/>
      </c>
      <c r="AA447" s="144" t="str">
        <f>IFERROR(_xlfn.XLOOKUP($B447,'Cronog. e Histog.'!$BZ:$BZ,'Cronog. e Histog.'!CV:CV),"")</f>
        <v/>
      </c>
      <c r="AB447" s="144" t="str">
        <f>IFERROR(_xlfn.XLOOKUP($B447,'Cronog. e Histog.'!$BZ:$BZ,'Cronog. e Histog.'!CW:CW),"")</f>
        <v/>
      </c>
      <c r="AC447" s="144" t="str">
        <f>IFERROR(_xlfn.XLOOKUP($B447,'Cronog. e Histog.'!$BZ:$BZ,'Cronog. e Histog.'!CX:CX),"")</f>
        <v/>
      </c>
      <c r="AD447" s="144" t="str">
        <f>IFERROR(_xlfn.XLOOKUP($B447,'Cronog. e Histog.'!$BZ:$BZ,'Cronog. e Histog.'!CY:CY),"")</f>
        <v/>
      </c>
      <c r="AE447" s="144" t="str">
        <f>IFERROR(_xlfn.XLOOKUP($B447,'Cronog. e Histog.'!$BZ:$BZ,'Cronog. e Histog.'!CZ:CZ),"")</f>
        <v/>
      </c>
      <c r="AF447" s="144" t="str">
        <f>IFERROR(_xlfn.XLOOKUP($B447,'Cronog. e Histog.'!$BZ:$BZ,'Cronog. e Histog.'!DA:DA),"")</f>
        <v/>
      </c>
      <c r="AG447" s="144" t="str">
        <f>IFERROR(_xlfn.XLOOKUP($B447,'Cronog. e Histog.'!$BZ:$BZ,'Cronog. e Histog.'!DB:DB),"")</f>
        <v/>
      </c>
      <c r="AH447" s="144" t="str">
        <f>IFERROR(_xlfn.XLOOKUP($B447,'Cronog. e Histog.'!$BZ:$BZ,'Cronog. e Histog.'!DC:DC),"")</f>
        <v/>
      </c>
      <c r="AI447" s="144" t="str">
        <f>IFERROR(_xlfn.XLOOKUP($B447,'Cronog. e Histog.'!$BZ:$BZ,'Cronog. e Histog.'!DD:DD),"")</f>
        <v/>
      </c>
      <c r="AJ447" s="144" t="str">
        <f>IFERROR(_xlfn.XLOOKUP($B447,'Cronog. e Histog.'!$BZ:$BZ,'Cronog. e Histog.'!DE:DE),"")</f>
        <v/>
      </c>
      <c r="AK447" s="144" t="str">
        <f>IFERROR(_xlfn.XLOOKUP($B447,'Cronog. e Histog.'!$BZ:$BZ,'Cronog. e Histog.'!DF:DF),"")</f>
        <v/>
      </c>
      <c r="AL447" s="144" t="str">
        <f>IFERROR(_xlfn.XLOOKUP($B447,'Cronog. e Histog.'!$BZ:$BZ,'Cronog. e Histog.'!DG:DG),"")</f>
        <v/>
      </c>
      <c r="AM447" s="144" t="str">
        <f>IFERROR(_xlfn.XLOOKUP($B447,'Cronog. e Histog.'!$BZ:$BZ,'Cronog. e Histog.'!DH:DH),"")</f>
        <v/>
      </c>
      <c r="AN447" s="144" t="str">
        <f>IFERROR(_xlfn.XLOOKUP($B447,'Cronog. e Histog.'!$BZ:$BZ,'Cronog. e Histog.'!DI:DI),"")</f>
        <v/>
      </c>
      <c r="AO447" s="144" t="str">
        <f>IFERROR(_xlfn.XLOOKUP($B447,'Cronog. e Histog.'!$BZ:$BZ,'Cronog. e Histog.'!DJ:DJ),"")</f>
        <v/>
      </c>
      <c r="AP447" s="144" t="str">
        <f>IFERROR(_xlfn.XLOOKUP($B447,'Cronog. e Histog.'!$BZ:$BZ,'Cronog. e Histog.'!DK:DK),"")</f>
        <v/>
      </c>
      <c r="AQ447" s="144" t="str">
        <f>IFERROR(_xlfn.XLOOKUP($B447,'Cronog. e Histog.'!$BZ:$BZ,'Cronog. e Histog.'!DL:DL),"")</f>
        <v/>
      </c>
      <c r="AR447" s="144" t="str">
        <f>IFERROR(_xlfn.XLOOKUP($B447,'Cronog. e Histog.'!$BZ:$BZ,'Cronog. e Histog.'!DM:DM),"")</f>
        <v/>
      </c>
      <c r="AS447" s="144" t="str">
        <f>IFERROR(_xlfn.XLOOKUP($B447,'Cronog. e Histog.'!$BZ:$BZ,'Cronog. e Histog.'!DN:DN),"")</f>
        <v/>
      </c>
      <c r="AT447" s="144" t="str">
        <f>IFERROR(_xlfn.XLOOKUP($B447,'Cronog. e Histog.'!$BZ:$BZ,'Cronog. e Histog.'!DO:DO),"")</f>
        <v/>
      </c>
      <c r="AU447" s="144" t="str">
        <f>IFERROR(_xlfn.XLOOKUP($B447,'Cronog. e Histog.'!$BZ:$BZ,'Cronog. e Histog.'!DP:DP),"")</f>
        <v/>
      </c>
      <c r="AV447" s="144" t="str">
        <f>IFERROR(_xlfn.XLOOKUP($B447,'Cronog. e Histog.'!$BZ:$BZ,'Cronog. e Histog.'!DQ:DQ),"")</f>
        <v/>
      </c>
      <c r="AW447" s="144" t="str">
        <f>IFERROR(_xlfn.XLOOKUP($B447,'Cronog. e Histog.'!$BZ:$BZ,'Cronog. e Histog.'!DR:DR),"")</f>
        <v/>
      </c>
      <c r="AX447" s="144" t="str">
        <f>IFERROR(_xlfn.XLOOKUP($B447,'Cronog. e Histog.'!$BZ:$BZ,'Cronog. e Histog.'!DS:DS),"")</f>
        <v/>
      </c>
      <c r="AY447" s="144" t="str">
        <f>IFERROR(_xlfn.XLOOKUP($B447,'Cronog. e Histog.'!$BZ:$BZ,'Cronog. e Histog.'!DT:DT),"")</f>
        <v/>
      </c>
      <c r="AZ447" s="144" t="str">
        <f>IFERROR(_xlfn.XLOOKUP($B447,'Cronog. e Histog.'!$BZ:$BZ,'Cronog. e Histog.'!DU:DU),"")</f>
        <v/>
      </c>
      <c r="BA447" s="144" t="str">
        <f>IFERROR(_xlfn.XLOOKUP($B447,'Cronog. e Histog.'!$BZ:$BZ,'Cronog. e Histog.'!DV:DV),"")</f>
        <v/>
      </c>
      <c r="BB447" s="144" t="str">
        <f>IFERROR(_xlfn.XLOOKUP($B447,'Cronog. e Histog.'!$BZ:$BZ,'Cronog. e Histog.'!DW:DW),"")</f>
        <v/>
      </c>
      <c r="BC447" s="144" t="str">
        <f>IFERROR(_xlfn.XLOOKUP($B447,'Cronog. e Histog.'!$BZ:$BZ,'Cronog. e Histog.'!DX:DX),"")</f>
        <v/>
      </c>
      <c r="BD447" s="144" t="str">
        <f>IFERROR(_xlfn.XLOOKUP($B447,'Cronog. e Histog.'!$BZ:$BZ,'Cronog. e Histog.'!DY:DY),"")</f>
        <v/>
      </c>
      <c r="BE447" s="144" t="str">
        <f>IFERROR(_xlfn.XLOOKUP($B447,'Cronog. e Histog.'!$BZ:$BZ,'Cronog. e Histog.'!DZ:DZ),"")</f>
        <v/>
      </c>
      <c r="BF447" s="144" t="str">
        <f>IFERROR(_xlfn.XLOOKUP($B447,'Cronog. e Histog.'!$BZ:$BZ,'Cronog. e Histog.'!EA:EA),"")</f>
        <v/>
      </c>
      <c r="BG447" s="144" t="str">
        <f>IFERROR(_xlfn.XLOOKUP($B447,'Cronog. e Histog.'!$BZ:$BZ,'Cronog. e Histog.'!EB:EB),"")</f>
        <v/>
      </c>
      <c r="BH447" s="144" t="str">
        <f>IFERROR(_xlfn.XLOOKUP($B447,'Cronog. e Histog.'!$BZ:$BZ,'Cronog. e Histog.'!EC:EC),"")</f>
        <v/>
      </c>
      <c r="BI447" s="144" t="str">
        <f>IFERROR(_xlfn.XLOOKUP($B447,'Cronog. e Histog.'!$BZ:$BZ,'Cronog. e Histog.'!ED:ED),"")</f>
        <v/>
      </c>
      <c r="BJ447" s="144" t="str">
        <f>IFERROR(_xlfn.XLOOKUP($B447,'Cronog. e Histog.'!$BZ:$BZ,'Cronog. e Histog.'!EE:EE),"")</f>
        <v/>
      </c>
      <c r="BK447" s="144" t="str">
        <f>IFERROR(_xlfn.XLOOKUP($B447,'Cronog. e Histog.'!$BZ:$BZ,'Cronog. e Histog.'!EF:EF),"")</f>
        <v/>
      </c>
      <c r="BL447" s="144" t="str">
        <f>IFERROR(_xlfn.XLOOKUP($B447,'Cronog. e Histog.'!$BZ:$BZ,'Cronog. e Histog.'!EG:EG),"")</f>
        <v/>
      </c>
      <c r="BM447" s="144" t="str">
        <f>IFERROR(_xlfn.XLOOKUP($B447,'Cronog. e Histog.'!$BZ:$BZ,'Cronog. e Histog.'!EH:EH),"")</f>
        <v/>
      </c>
      <c r="BN447" s="144" t="str">
        <f>IFERROR(_xlfn.XLOOKUP($B447,'Cronog. e Histog.'!$BZ:$BZ,'Cronog. e Histog.'!EI:EI),"")</f>
        <v/>
      </c>
    </row>
    <row r="448" spans="2:66" ht="12" hidden="1" customHeight="1" outlineLevel="1">
      <c r="B448" s="76">
        <v>442</v>
      </c>
      <c r="C448" s="143" t="str">
        <f>IFERROR(VLOOKUP(B448,'Cronog. e Histog.'!$BZ$213:$CA$747,2,0),"")</f>
        <v/>
      </c>
      <c r="D448" s="144">
        <f t="shared" si="6"/>
        <v>0</v>
      </c>
      <c r="E448" s="144">
        <f t="shared" si="7"/>
        <v>0</v>
      </c>
      <c r="F448" s="65"/>
      <c r="G448" s="144" t="str">
        <f>IFERROR(_xlfn.XLOOKUP($B448,'Cronog. e Histog.'!$BZ:$BZ,'Cronog. e Histog.'!CB:CB),"")</f>
        <v/>
      </c>
      <c r="H448" s="144" t="str">
        <f>IFERROR(_xlfn.XLOOKUP($B448,'Cronog. e Histog.'!$BZ:$BZ,'Cronog. e Histog.'!CC:CC),"")</f>
        <v/>
      </c>
      <c r="I448" s="144" t="str">
        <f>IFERROR(_xlfn.XLOOKUP($B448,'Cronog. e Histog.'!$BZ:$BZ,'Cronog. e Histog.'!CD:CD),"")</f>
        <v/>
      </c>
      <c r="J448" s="144" t="str">
        <f>IFERROR(_xlfn.XLOOKUP($B448,'Cronog. e Histog.'!$BZ:$BZ,'Cronog. e Histog.'!CE:CE),"")</f>
        <v/>
      </c>
      <c r="K448" s="144" t="str">
        <f>IFERROR(_xlfn.XLOOKUP($B448,'Cronog. e Histog.'!$BZ:$BZ,'Cronog. e Histog.'!CF:CF),"")</f>
        <v/>
      </c>
      <c r="L448" s="144" t="str">
        <f>IFERROR(_xlfn.XLOOKUP($B448,'Cronog. e Histog.'!$BZ:$BZ,'Cronog. e Histog.'!CG:CG),"")</f>
        <v/>
      </c>
      <c r="M448" s="144" t="str">
        <f>IFERROR(_xlfn.XLOOKUP($B448,'Cronog. e Histog.'!$BZ:$BZ,'Cronog. e Histog.'!CH:CH),"")</f>
        <v/>
      </c>
      <c r="N448" s="144" t="str">
        <f>IFERROR(_xlfn.XLOOKUP($B448,'Cronog. e Histog.'!$BZ:$BZ,'Cronog. e Histog.'!CI:CI),"")</f>
        <v/>
      </c>
      <c r="O448" s="144" t="str">
        <f>IFERROR(_xlfn.XLOOKUP($B448,'Cronog. e Histog.'!$BZ:$BZ,'Cronog. e Histog.'!CJ:CJ),"")</f>
        <v/>
      </c>
      <c r="P448" s="144" t="str">
        <f>IFERROR(_xlfn.XLOOKUP($B448,'Cronog. e Histog.'!$BZ:$BZ,'Cronog. e Histog.'!CK:CK),"")</f>
        <v/>
      </c>
      <c r="Q448" s="144" t="str">
        <f>IFERROR(_xlfn.XLOOKUP($B448,'Cronog. e Histog.'!$BZ:$BZ,'Cronog. e Histog.'!CL:CL),"")</f>
        <v/>
      </c>
      <c r="R448" s="144" t="str">
        <f>IFERROR(_xlfn.XLOOKUP($B448,'Cronog. e Histog.'!$BZ:$BZ,'Cronog. e Histog.'!CM:CM),"")</f>
        <v/>
      </c>
      <c r="S448" s="144" t="str">
        <f>IFERROR(_xlfn.XLOOKUP($B448,'Cronog. e Histog.'!$BZ:$BZ,'Cronog. e Histog.'!CN:CN),"")</f>
        <v/>
      </c>
      <c r="T448" s="144" t="str">
        <f>IFERROR(_xlfn.XLOOKUP($B448,'Cronog. e Histog.'!$BZ:$BZ,'Cronog. e Histog.'!CO:CO),"")</f>
        <v/>
      </c>
      <c r="U448" s="144" t="str">
        <f>IFERROR(_xlfn.XLOOKUP($B448,'Cronog. e Histog.'!$BZ:$BZ,'Cronog. e Histog.'!CP:CP),"")</f>
        <v/>
      </c>
      <c r="V448" s="144" t="str">
        <f>IFERROR(_xlfn.XLOOKUP($B448,'Cronog. e Histog.'!$BZ:$BZ,'Cronog. e Histog.'!CQ:CQ),"")</f>
        <v/>
      </c>
      <c r="W448" s="144" t="str">
        <f>IFERROR(_xlfn.XLOOKUP($B448,'Cronog. e Histog.'!$BZ:$BZ,'Cronog. e Histog.'!CR:CR),"")</f>
        <v/>
      </c>
      <c r="X448" s="144" t="str">
        <f>IFERROR(_xlfn.XLOOKUP($B448,'Cronog. e Histog.'!$BZ:$BZ,'Cronog. e Histog.'!CS:CS),"")</f>
        <v/>
      </c>
      <c r="Y448" s="144" t="str">
        <f>IFERROR(_xlfn.XLOOKUP($B448,'Cronog. e Histog.'!$BZ:$BZ,'Cronog. e Histog.'!CT:CT),"")</f>
        <v/>
      </c>
      <c r="Z448" s="144" t="str">
        <f>IFERROR(_xlfn.XLOOKUP($B448,'Cronog. e Histog.'!$BZ:$BZ,'Cronog. e Histog.'!CU:CU),"")</f>
        <v/>
      </c>
      <c r="AA448" s="144" t="str">
        <f>IFERROR(_xlfn.XLOOKUP($B448,'Cronog. e Histog.'!$BZ:$BZ,'Cronog. e Histog.'!CV:CV),"")</f>
        <v/>
      </c>
      <c r="AB448" s="144" t="str">
        <f>IFERROR(_xlfn.XLOOKUP($B448,'Cronog. e Histog.'!$BZ:$BZ,'Cronog. e Histog.'!CW:CW),"")</f>
        <v/>
      </c>
      <c r="AC448" s="144" t="str">
        <f>IFERROR(_xlfn.XLOOKUP($B448,'Cronog. e Histog.'!$BZ:$BZ,'Cronog. e Histog.'!CX:CX),"")</f>
        <v/>
      </c>
      <c r="AD448" s="144" t="str">
        <f>IFERROR(_xlfn.XLOOKUP($B448,'Cronog. e Histog.'!$BZ:$BZ,'Cronog. e Histog.'!CY:CY),"")</f>
        <v/>
      </c>
      <c r="AE448" s="144" t="str">
        <f>IFERROR(_xlfn.XLOOKUP($B448,'Cronog. e Histog.'!$BZ:$BZ,'Cronog. e Histog.'!CZ:CZ),"")</f>
        <v/>
      </c>
      <c r="AF448" s="144" t="str">
        <f>IFERROR(_xlfn.XLOOKUP($B448,'Cronog. e Histog.'!$BZ:$BZ,'Cronog. e Histog.'!DA:DA),"")</f>
        <v/>
      </c>
      <c r="AG448" s="144" t="str">
        <f>IFERROR(_xlfn.XLOOKUP($B448,'Cronog. e Histog.'!$BZ:$BZ,'Cronog. e Histog.'!DB:DB),"")</f>
        <v/>
      </c>
      <c r="AH448" s="144" t="str">
        <f>IFERROR(_xlfn.XLOOKUP($B448,'Cronog. e Histog.'!$BZ:$BZ,'Cronog. e Histog.'!DC:DC),"")</f>
        <v/>
      </c>
      <c r="AI448" s="144" t="str">
        <f>IFERROR(_xlfn.XLOOKUP($B448,'Cronog. e Histog.'!$BZ:$BZ,'Cronog. e Histog.'!DD:DD),"")</f>
        <v/>
      </c>
      <c r="AJ448" s="144" t="str">
        <f>IFERROR(_xlfn.XLOOKUP($B448,'Cronog. e Histog.'!$BZ:$BZ,'Cronog. e Histog.'!DE:DE),"")</f>
        <v/>
      </c>
      <c r="AK448" s="144" t="str">
        <f>IFERROR(_xlfn.XLOOKUP($B448,'Cronog. e Histog.'!$BZ:$BZ,'Cronog. e Histog.'!DF:DF),"")</f>
        <v/>
      </c>
      <c r="AL448" s="144" t="str">
        <f>IFERROR(_xlfn.XLOOKUP($B448,'Cronog. e Histog.'!$BZ:$BZ,'Cronog. e Histog.'!DG:DG),"")</f>
        <v/>
      </c>
      <c r="AM448" s="144" t="str">
        <f>IFERROR(_xlfn.XLOOKUP($B448,'Cronog. e Histog.'!$BZ:$BZ,'Cronog. e Histog.'!DH:DH),"")</f>
        <v/>
      </c>
      <c r="AN448" s="144" t="str">
        <f>IFERROR(_xlfn.XLOOKUP($B448,'Cronog. e Histog.'!$BZ:$BZ,'Cronog. e Histog.'!DI:DI),"")</f>
        <v/>
      </c>
      <c r="AO448" s="144" t="str">
        <f>IFERROR(_xlfn.XLOOKUP($B448,'Cronog. e Histog.'!$BZ:$BZ,'Cronog. e Histog.'!DJ:DJ),"")</f>
        <v/>
      </c>
      <c r="AP448" s="144" t="str">
        <f>IFERROR(_xlfn.XLOOKUP($B448,'Cronog. e Histog.'!$BZ:$BZ,'Cronog. e Histog.'!DK:DK),"")</f>
        <v/>
      </c>
      <c r="AQ448" s="144" t="str">
        <f>IFERROR(_xlfn.XLOOKUP($B448,'Cronog. e Histog.'!$BZ:$BZ,'Cronog. e Histog.'!DL:DL),"")</f>
        <v/>
      </c>
      <c r="AR448" s="144" t="str">
        <f>IFERROR(_xlfn.XLOOKUP($B448,'Cronog. e Histog.'!$BZ:$BZ,'Cronog. e Histog.'!DM:DM),"")</f>
        <v/>
      </c>
      <c r="AS448" s="144" t="str">
        <f>IFERROR(_xlfn.XLOOKUP($B448,'Cronog. e Histog.'!$BZ:$BZ,'Cronog. e Histog.'!DN:DN),"")</f>
        <v/>
      </c>
      <c r="AT448" s="144" t="str">
        <f>IFERROR(_xlfn.XLOOKUP($B448,'Cronog. e Histog.'!$BZ:$BZ,'Cronog. e Histog.'!DO:DO),"")</f>
        <v/>
      </c>
      <c r="AU448" s="144" t="str">
        <f>IFERROR(_xlfn.XLOOKUP($B448,'Cronog. e Histog.'!$BZ:$BZ,'Cronog. e Histog.'!DP:DP),"")</f>
        <v/>
      </c>
      <c r="AV448" s="144" t="str">
        <f>IFERROR(_xlfn.XLOOKUP($B448,'Cronog. e Histog.'!$BZ:$BZ,'Cronog. e Histog.'!DQ:DQ),"")</f>
        <v/>
      </c>
      <c r="AW448" s="144" t="str">
        <f>IFERROR(_xlfn.XLOOKUP($B448,'Cronog. e Histog.'!$BZ:$BZ,'Cronog. e Histog.'!DR:DR),"")</f>
        <v/>
      </c>
      <c r="AX448" s="144" t="str">
        <f>IFERROR(_xlfn.XLOOKUP($B448,'Cronog. e Histog.'!$BZ:$BZ,'Cronog. e Histog.'!DS:DS),"")</f>
        <v/>
      </c>
      <c r="AY448" s="144" t="str">
        <f>IFERROR(_xlfn.XLOOKUP($B448,'Cronog. e Histog.'!$BZ:$BZ,'Cronog. e Histog.'!DT:DT),"")</f>
        <v/>
      </c>
      <c r="AZ448" s="144" t="str">
        <f>IFERROR(_xlfn.XLOOKUP($B448,'Cronog. e Histog.'!$BZ:$BZ,'Cronog. e Histog.'!DU:DU),"")</f>
        <v/>
      </c>
      <c r="BA448" s="144" t="str">
        <f>IFERROR(_xlfn.XLOOKUP($B448,'Cronog. e Histog.'!$BZ:$BZ,'Cronog. e Histog.'!DV:DV),"")</f>
        <v/>
      </c>
      <c r="BB448" s="144" t="str">
        <f>IFERROR(_xlfn.XLOOKUP($B448,'Cronog. e Histog.'!$BZ:$BZ,'Cronog. e Histog.'!DW:DW),"")</f>
        <v/>
      </c>
      <c r="BC448" s="144" t="str">
        <f>IFERROR(_xlfn.XLOOKUP($B448,'Cronog. e Histog.'!$BZ:$BZ,'Cronog. e Histog.'!DX:DX),"")</f>
        <v/>
      </c>
      <c r="BD448" s="144" t="str">
        <f>IFERROR(_xlfn.XLOOKUP($B448,'Cronog. e Histog.'!$BZ:$BZ,'Cronog. e Histog.'!DY:DY),"")</f>
        <v/>
      </c>
      <c r="BE448" s="144" t="str">
        <f>IFERROR(_xlfn.XLOOKUP($B448,'Cronog. e Histog.'!$BZ:$BZ,'Cronog. e Histog.'!DZ:DZ),"")</f>
        <v/>
      </c>
      <c r="BF448" s="144" t="str">
        <f>IFERROR(_xlfn.XLOOKUP($B448,'Cronog. e Histog.'!$BZ:$BZ,'Cronog. e Histog.'!EA:EA),"")</f>
        <v/>
      </c>
      <c r="BG448" s="144" t="str">
        <f>IFERROR(_xlfn.XLOOKUP($B448,'Cronog. e Histog.'!$BZ:$BZ,'Cronog. e Histog.'!EB:EB),"")</f>
        <v/>
      </c>
      <c r="BH448" s="144" t="str">
        <f>IFERROR(_xlfn.XLOOKUP($B448,'Cronog. e Histog.'!$BZ:$BZ,'Cronog. e Histog.'!EC:EC),"")</f>
        <v/>
      </c>
      <c r="BI448" s="144" t="str">
        <f>IFERROR(_xlfn.XLOOKUP($B448,'Cronog. e Histog.'!$BZ:$BZ,'Cronog. e Histog.'!ED:ED),"")</f>
        <v/>
      </c>
      <c r="BJ448" s="144" t="str">
        <f>IFERROR(_xlfn.XLOOKUP($B448,'Cronog. e Histog.'!$BZ:$BZ,'Cronog. e Histog.'!EE:EE),"")</f>
        <v/>
      </c>
      <c r="BK448" s="144" t="str">
        <f>IFERROR(_xlfn.XLOOKUP($B448,'Cronog. e Histog.'!$BZ:$BZ,'Cronog. e Histog.'!EF:EF),"")</f>
        <v/>
      </c>
      <c r="BL448" s="144" t="str">
        <f>IFERROR(_xlfn.XLOOKUP($B448,'Cronog. e Histog.'!$BZ:$BZ,'Cronog. e Histog.'!EG:EG),"")</f>
        <v/>
      </c>
      <c r="BM448" s="144" t="str">
        <f>IFERROR(_xlfn.XLOOKUP($B448,'Cronog. e Histog.'!$BZ:$BZ,'Cronog. e Histog.'!EH:EH),"")</f>
        <v/>
      </c>
      <c r="BN448" s="144" t="str">
        <f>IFERROR(_xlfn.XLOOKUP($B448,'Cronog. e Histog.'!$BZ:$BZ,'Cronog. e Histog.'!EI:EI),"")</f>
        <v/>
      </c>
    </row>
    <row r="449" spans="2:68" ht="12" hidden="1" customHeight="1" outlineLevel="1">
      <c r="B449" s="76">
        <v>443</v>
      </c>
      <c r="C449" s="143" t="str">
        <f>IFERROR(VLOOKUP(B449,'Cronog. e Histog.'!$BZ$213:$CA$747,2,0),"")</f>
        <v/>
      </c>
      <c r="D449" s="144">
        <f t="shared" si="6"/>
        <v>0</v>
      </c>
      <c r="E449" s="144">
        <f t="shared" si="7"/>
        <v>0</v>
      </c>
      <c r="F449" s="65"/>
      <c r="G449" s="144" t="str">
        <f>IFERROR(_xlfn.XLOOKUP($B449,'Cronog. e Histog.'!$BZ:$BZ,'Cronog. e Histog.'!CB:CB),"")</f>
        <v/>
      </c>
      <c r="H449" s="144" t="str">
        <f>IFERROR(_xlfn.XLOOKUP($B449,'Cronog. e Histog.'!$BZ:$BZ,'Cronog. e Histog.'!CC:CC),"")</f>
        <v/>
      </c>
      <c r="I449" s="144" t="str">
        <f>IFERROR(_xlfn.XLOOKUP($B449,'Cronog. e Histog.'!$BZ:$BZ,'Cronog. e Histog.'!CD:CD),"")</f>
        <v/>
      </c>
      <c r="J449" s="144" t="str">
        <f>IFERROR(_xlfn.XLOOKUP($B449,'Cronog. e Histog.'!$BZ:$BZ,'Cronog. e Histog.'!CE:CE),"")</f>
        <v/>
      </c>
      <c r="K449" s="144" t="str">
        <f>IFERROR(_xlfn.XLOOKUP($B449,'Cronog. e Histog.'!$BZ:$BZ,'Cronog. e Histog.'!CF:CF),"")</f>
        <v/>
      </c>
      <c r="L449" s="144" t="str">
        <f>IFERROR(_xlfn.XLOOKUP($B449,'Cronog. e Histog.'!$BZ:$BZ,'Cronog. e Histog.'!CG:CG),"")</f>
        <v/>
      </c>
      <c r="M449" s="144" t="str">
        <f>IFERROR(_xlfn.XLOOKUP($B449,'Cronog. e Histog.'!$BZ:$BZ,'Cronog. e Histog.'!CH:CH),"")</f>
        <v/>
      </c>
      <c r="N449" s="144" t="str">
        <f>IFERROR(_xlfn.XLOOKUP($B449,'Cronog. e Histog.'!$BZ:$BZ,'Cronog. e Histog.'!CI:CI),"")</f>
        <v/>
      </c>
      <c r="O449" s="144" t="str">
        <f>IFERROR(_xlfn.XLOOKUP($B449,'Cronog. e Histog.'!$BZ:$BZ,'Cronog. e Histog.'!CJ:CJ),"")</f>
        <v/>
      </c>
      <c r="P449" s="144" t="str">
        <f>IFERROR(_xlfn.XLOOKUP($B449,'Cronog. e Histog.'!$BZ:$BZ,'Cronog. e Histog.'!CK:CK),"")</f>
        <v/>
      </c>
      <c r="Q449" s="144" t="str">
        <f>IFERROR(_xlfn.XLOOKUP($B449,'Cronog. e Histog.'!$BZ:$BZ,'Cronog. e Histog.'!CL:CL),"")</f>
        <v/>
      </c>
      <c r="R449" s="144" t="str">
        <f>IFERROR(_xlfn.XLOOKUP($B449,'Cronog. e Histog.'!$BZ:$BZ,'Cronog. e Histog.'!CM:CM),"")</f>
        <v/>
      </c>
      <c r="S449" s="144" t="str">
        <f>IFERROR(_xlfn.XLOOKUP($B449,'Cronog. e Histog.'!$BZ:$BZ,'Cronog. e Histog.'!CN:CN),"")</f>
        <v/>
      </c>
      <c r="T449" s="144" t="str">
        <f>IFERROR(_xlfn.XLOOKUP($B449,'Cronog. e Histog.'!$BZ:$BZ,'Cronog. e Histog.'!CO:CO),"")</f>
        <v/>
      </c>
      <c r="U449" s="144" t="str">
        <f>IFERROR(_xlfn.XLOOKUP($B449,'Cronog. e Histog.'!$BZ:$BZ,'Cronog. e Histog.'!CP:CP),"")</f>
        <v/>
      </c>
      <c r="V449" s="144" t="str">
        <f>IFERROR(_xlfn.XLOOKUP($B449,'Cronog. e Histog.'!$BZ:$BZ,'Cronog. e Histog.'!CQ:CQ),"")</f>
        <v/>
      </c>
      <c r="W449" s="144" t="str">
        <f>IFERROR(_xlfn.XLOOKUP($B449,'Cronog. e Histog.'!$BZ:$BZ,'Cronog. e Histog.'!CR:CR),"")</f>
        <v/>
      </c>
      <c r="X449" s="144" t="str">
        <f>IFERROR(_xlfn.XLOOKUP($B449,'Cronog. e Histog.'!$BZ:$BZ,'Cronog. e Histog.'!CS:CS),"")</f>
        <v/>
      </c>
      <c r="Y449" s="144" t="str">
        <f>IFERROR(_xlfn.XLOOKUP($B449,'Cronog. e Histog.'!$BZ:$BZ,'Cronog. e Histog.'!CT:CT),"")</f>
        <v/>
      </c>
      <c r="Z449" s="144" t="str">
        <f>IFERROR(_xlfn.XLOOKUP($B449,'Cronog. e Histog.'!$BZ:$BZ,'Cronog. e Histog.'!CU:CU),"")</f>
        <v/>
      </c>
      <c r="AA449" s="144" t="str">
        <f>IFERROR(_xlfn.XLOOKUP($B449,'Cronog. e Histog.'!$BZ:$BZ,'Cronog. e Histog.'!CV:CV),"")</f>
        <v/>
      </c>
      <c r="AB449" s="144" t="str">
        <f>IFERROR(_xlfn.XLOOKUP($B449,'Cronog. e Histog.'!$BZ:$BZ,'Cronog. e Histog.'!CW:CW),"")</f>
        <v/>
      </c>
      <c r="AC449" s="144" t="str">
        <f>IFERROR(_xlfn.XLOOKUP($B449,'Cronog. e Histog.'!$BZ:$BZ,'Cronog. e Histog.'!CX:CX),"")</f>
        <v/>
      </c>
      <c r="AD449" s="144" t="str">
        <f>IFERROR(_xlfn.XLOOKUP($B449,'Cronog. e Histog.'!$BZ:$BZ,'Cronog. e Histog.'!CY:CY),"")</f>
        <v/>
      </c>
      <c r="AE449" s="144" t="str">
        <f>IFERROR(_xlfn.XLOOKUP($B449,'Cronog. e Histog.'!$BZ:$BZ,'Cronog. e Histog.'!CZ:CZ),"")</f>
        <v/>
      </c>
      <c r="AF449" s="144" t="str">
        <f>IFERROR(_xlfn.XLOOKUP($B449,'Cronog. e Histog.'!$BZ:$BZ,'Cronog. e Histog.'!DA:DA),"")</f>
        <v/>
      </c>
      <c r="AG449" s="144" t="str">
        <f>IFERROR(_xlfn.XLOOKUP($B449,'Cronog. e Histog.'!$BZ:$BZ,'Cronog. e Histog.'!DB:DB),"")</f>
        <v/>
      </c>
      <c r="AH449" s="144" t="str">
        <f>IFERROR(_xlfn.XLOOKUP($B449,'Cronog. e Histog.'!$BZ:$BZ,'Cronog. e Histog.'!DC:DC),"")</f>
        <v/>
      </c>
      <c r="AI449" s="144" t="str">
        <f>IFERROR(_xlfn.XLOOKUP($B449,'Cronog. e Histog.'!$BZ:$BZ,'Cronog. e Histog.'!DD:DD),"")</f>
        <v/>
      </c>
      <c r="AJ449" s="144" t="str">
        <f>IFERROR(_xlfn.XLOOKUP($B449,'Cronog. e Histog.'!$BZ:$BZ,'Cronog. e Histog.'!DE:DE),"")</f>
        <v/>
      </c>
      <c r="AK449" s="144" t="str">
        <f>IFERROR(_xlfn.XLOOKUP($B449,'Cronog. e Histog.'!$BZ:$BZ,'Cronog. e Histog.'!DF:DF),"")</f>
        <v/>
      </c>
      <c r="AL449" s="144" t="str">
        <f>IFERROR(_xlfn.XLOOKUP($B449,'Cronog. e Histog.'!$BZ:$BZ,'Cronog. e Histog.'!DG:DG),"")</f>
        <v/>
      </c>
      <c r="AM449" s="144" t="str">
        <f>IFERROR(_xlfn.XLOOKUP($B449,'Cronog. e Histog.'!$BZ:$BZ,'Cronog. e Histog.'!DH:DH),"")</f>
        <v/>
      </c>
      <c r="AN449" s="144" t="str">
        <f>IFERROR(_xlfn.XLOOKUP($B449,'Cronog. e Histog.'!$BZ:$BZ,'Cronog. e Histog.'!DI:DI),"")</f>
        <v/>
      </c>
      <c r="AO449" s="144" t="str">
        <f>IFERROR(_xlfn.XLOOKUP($B449,'Cronog. e Histog.'!$BZ:$BZ,'Cronog. e Histog.'!DJ:DJ),"")</f>
        <v/>
      </c>
      <c r="AP449" s="144" t="str">
        <f>IFERROR(_xlfn.XLOOKUP($B449,'Cronog. e Histog.'!$BZ:$BZ,'Cronog. e Histog.'!DK:DK),"")</f>
        <v/>
      </c>
      <c r="AQ449" s="144" t="str">
        <f>IFERROR(_xlfn.XLOOKUP($B449,'Cronog. e Histog.'!$BZ:$BZ,'Cronog. e Histog.'!DL:DL),"")</f>
        <v/>
      </c>
      <c r="AR449" s="144" t="str">
        <f>IFERROR(_xlfn.XLOOKUP($B449,'Cronog. e Histog.'!$BZ:$BZ,'Cronog. e Histog.'!DM:DM),"")</f>
        <v/>
      </c>
      <c r="AS449" s="144" t="str">
        <f>IFERROR(_xlfn.XLOOKUP($B449,'Cronog. e Histog.'!$BZ:$BZ,'Cronog. e Histog.'!DN:DN),"")</f>
        <v/>
      </c>
      <c r="AT449" s="144" t="str">
        <f>IFERROR(_xlfn.XLOOKUP($B449,'Cronog. e Histog.'!$BZ:$BZ,'Cronog. e Histog.'!DO:DO),"")</f>
        <v/>
      </c>
      <c r="AU449" s="144" t="str">
        <f>IFERROR(_xlfn.XLOOKUP($B449,'Cronog. e Histog.'!$BZ:$BZ,'Cronog. e Histog.'!DP:DP),"")</f>
        <v/>
      </c>
      <c r="AV449" s="144" t="str">
        <f>IFERROR(_xlfn.XLOOKUP($B449,'Cronog. e Histog.'!$BZ:$BZ,'Cronog. e Histog.'!DQ:DQ),"")</f>
        <v/>
      </c>
      <c r="AW449" s="144" t="str">
        <f>IFERROR(_xlfn.XLOOKUP($B449,'Cronog. e Histog.'!$BZ:$BZ,'Cronog. e Histog.'!DR:DR),"")</f>
        <v/>
      </c>
      <c r="AX449" s="144" t="str">
        <f>IFERROR(_xlfn.XLOOKUP($B449,'Cronog. e Histog.'!$BZ:$BZ,'Cronog. e Histog.'!DS:DS),"")</f>
        <v/>
      </c>
      <c r="AY449" s="144" t="str">
        <f>IFERROR(_xlfn.XLOOKUP($B449,'Cronog. e Histog.'!$BZ:$BZ,'Cronog. e Histog.'!DT:DT),"")</f>
        <v/>
      </c>
      <c r="AZ449" s="144" t="str">
        <f>IFERROR(_xlfn.XLOOKUP($B449,'Cronog. e Histog.'!$BZ:$BZ,'Cronog. e Histog.'!DU:DU),"")</f>
        <v/>
      </c>
      <c r="BA449" s="144" t="str">
        <f>IFERROR(_xlfn.XLOOKUP($B449,'Cronog. e Histog.'!$BZ:$BZ,'Cronog. e Histog.'!DV:DV),"")</f>
        <v/>
      </c>
      <c r="BB449" s="144" t="str">
        <f>IFERROR(_xlfn.XLOOKUP($B449,'Cronog. e Histog.'!$BZ:$BZ,'Cronog. e Histog.'!DW:DW),"")</f>
        <v/>
      </c>
      <c r="BC449" s="144" t="str">
        <f>IFERROR(_xlfn.XLOOKUP($B449,'Cronog. e Histog.'!$BZ:$BZ,'Cronog. e Histog.'!DX:DX),"")</f>
        <v/>
      </c>
      <c r="BD449" s="144" t="str">
        <f>IFERROR(_xlfn.XLOOKUP($B449,'Cronog. e Histog.'!$BZ:$BZ,'Cronog. e Histog.'!DY:DY),"")</f>
        <v/>
      </c>
      <c r="BE449" s="144" t="str">
        <f>IFERROR(_xlfn.XLOOKUP($B449,'Cronog. e Histog.'!$BZ:$BZ,'Cronog. e Histog.'!DZ:DZ),"")</f>
        <v/>
      </c>
      <c r="BF449" s="144" t="str">
        <f>IFERROR(_xlfn.XLOOKUP($B449,'Cronog. e Histog.'!$BZ:$BZ,'Cronog. e Histog.'!EA:EA),"")</f>
        <v/>
      </c>
      <c r="BG449" s="144" t="str">
        <f>IFERROR(_xlfn.XLOOKUP($B449,'Cronog. e Histog.'!$BZ:$BZ,'Cronog. e Histog.'!EB:EB),"")</f>
        <v/>
      </c>
      <c r="BH449" s="144" t="str">
        <f>IFERROR(_xlfn.XLOOKUP($B449,'Cronog. e Histog.'!$BZ:$BZ,'Cronog. e Histog.'!EC:EC),"")</f>
        <v/>
      </c>
      <c r="BI449" s="144" t="str">
        <f>IFERROR(_xlfn.XLOOKUP($B449,'Cronog. e Histog.'!$BZ:$BZ,'Cronog. e Histog.'!ED:ED),"")</f>
        <v/>
      </c>
      <c r="BJ449" s="144" t="str">
        <f>IFERROR(_xlfn.XLOOKUP($B449,'Cronog. e Histog.'!$BZ:$BZ,'Cronog. e Histog.'!EE:EE),"")</f>
        <v/>
      </c>
      <c r="BK449" s="144" t="str">
        <f>IFERROR(_xlfn.XLOOKUP($B449,'Cronog. e Histog.'!$BZ:$BZ,'Cronog. e Histog.'!EF:EF),"")</f>
        <v/>
      </c>
      <c r="BL449" s="144" t="str">
        <f>IFERROR(_xlfn.XLOOKUP($B449,'Cronog. e Histog.'!$BZ:$BZ,'Cronog. e Histog.'!EG:EG),"")</f>
        <v/>
      </c>
      <c r="BM449" s="144" t="str">
        <f>IFERROR(_xlfn.XLOOKUP($B449,'Cronog. e Histog.'!$BZ:$BZ,'Cronog. e Histog.'!EH:EH),"")</f>
        <v/>
      </c>
      <c r="BN449" s="144" t="str">
        <f>IFERROR(_xlfn.XLOOKUP($B449,'Cronog. e Histog.'!$BZ:$BZ,'Cronog. e Histog.'!EI:EI),"")</f>
        <v/>
      </c>
      <c r="BO449" s="65"/>
      <c r="BP449" s="65"/>
    </row>
    <row r="450" spans="2:68" ht="12" hidden="1" customHeight="1" outlineLevel="1">
      <c r="B450" s="76">
        <v>444</v>
      </c>
      <c r="C450" s="143" t="str">
        <f>IFERROR(VLOOKUP(B450,'Cronog. e Histog.'!$BZ$213:$CA$747,2,0),"")</f>
        <v/>
      </c>
      <c r="D450" s="144">
        <f t="shared" si="6"/>
        <v>0</v>
      </c>
      <c r="E450" s="144">
        <f t="shared" si="7"/>
        <v>0</v>
      </c>
      <c r="F450" s="65"/>
      <c r="G450" s="144" t="str">
        <f>IFERROR(_xlfn.XLOOKUP($B450,'Cronog. e Histog.'!$BZ:$BZ,'Cronog. e Histog.'!CB:CB),"")</f>
        <v/>
      </c>
      <c r="H450" s="144" t="str">
        <f>IFERROR(_xlfn.XLOOKUP($B450,'Cronog. e Histog.'!$BZ:$BZ,'Cronog. e Histog.'!CC:CC),"")</f>
        <v/>
      </c>
      <c r="I450" s="144" t="str">
        <f>IFERROR(_xlfn.XLOOKUP($B450,'Cronog. e Histog.'!$BZ:$BZ,'Cronog. e Histog.'!CD:CD),"")</f>
        <v/>
      </c>
      <c r="J450" s="144" t="str">
        <f>IFERROR(_xlfn.XLOOKUP($B450,'Cronog. e Histog.'!$BZ:$BZ,'Cronog. e Histog.'!CE:CE),"")</f>
        <v/>
      </c>
      <c r="K450" s="144" t="str">
        <f>IFERROR(_xlfn.XLOOKUP($B450,'Cronog. e Histog.'!$BZ:$BZ,'Cronog. e Histog.'!CF:CF),"")</f>
        <v/>
      </c>
      <c r="L450" s="144" t="str">
        <f>IFERROR(_xlfn.XLOOKUP($B450,'Cronog. e Histog.'!$BZ:$BZ,'Cronog. e Histog.'!CG:CG),"")</f>
        <v/>
      </c>
      <c r="M450" s="144" t="str">
        <f>IFERROR(_xlfn.XLOOKUP($B450,'Cronog. e Histog.'!$BZ:$BZ,'Cronog. e Histog.'!CH:CH),"")</f>
        <v/>
      </c>
      <c r="N450" s="144" t="str">
        <f>IFERROR(_xlfn.XLOOKUP($B450,'Cronog. e Histog.'!$BZ:$BZ,'Cronog. e Histog.'!CI:CI),"")</f>
        <v/>
      </c>
      <c r="O450" s="144" t="str">
        <f>IFERROR(_xlfn.XLOOKUP($B450,'Cronog. e Histog.'!$BZ:$BZ,'Cronog. e Histog.'!CJ:CJ),"")</f>
        <v/>
      </c>
      <c r="P450" s="144" t="str">
        <f>IFERROR(_xlfn.XLOOKUP($B450,'Cronog. e Histog.'!$BZ:$BZ,'Cronog. e Histog.'!CK:CK),"")</f>
        <v/>
      </c>
      <c r="Q450" s="144" t="str">
        <f>IFERROR(_xlfn.XLOOKUP($B450,'Cronog. e Histog.'!$BZ:$BZ,'Cronog. e Histog.'!CL:CL),"")</f>
        <v/>
      </c>
      <c r="R450" s="144" t="str">
        <f>IFERROR(_xlfn.XLOOKUP($B450,'Cronog. e Histog.'!$BZ:$BZ,'Cronog. e Histog.'!CM:CM),"")</f>
        <v/>
      </c>
      <c r="S450" s="144" t="str">
        <f>IFERROR(_xlfn.XLOOKUP($B450,'Cronog. e Histog.'!$BZ:$BZ,'Cronog. e Histog.'!CN:CN),"")</f>
        <v/>
      </c>
      <c r="T450" s="144" t="str">
        <f>IFERROR(_xlfn.XLOOKUP($B450,'Cronog. e Histog.'!$BZ:$BZ,'Cronog. e Histog.'!CO:CO),"")</f>
        <v/>
      </c>
      <c r="U450" s="144" t="str">
        <f>IFERROR(_xlfn.XLOOKUP($B450,'Cronog. e Histog.'!$BZ:$BZ,'Cronog. e Histog.'!CP:CP),"")</f>
        <v/>
      </c>
      <c r="V450" s="144" t="str">
        <f>IFERROR(_xlfn.XLOOKUP($B450,'Cronog. e Histog.'!$BZ:$BZ,'Cronog. e Histog.'!CQ:CQ),"")</f>
        <v/>
      </c>
      <c r="W450" s="144" t="str">
        <f>IFERROR(_xlfn.XLOOKUP($B450,'Cronog. e Histog.'!$BZ:$BZ,'Cronog. e Histog.'!CR:CR),"")</f>
        <v/>
      </c>
      <c r="X450" s="144" t="str">
        <f>IFERROR(_xlfn.XLOOKUP($B450,'Cronog. e Histog.'!$BZ:$BZ,'Cronog. e Histog.'!CS:CS),"")</f>
        <v/>
      </c>
      <c r="Y450" s="144" t="str">
        <f>IFERROR(_xlfn.XLOOKUP($B450,'Cronog. e Histog.'!$BZ:$BZ,'Cronog. e Histog.'!CT:CT),"")</f>
        <v/>
      </c>
      <c r="Z450" s="144" t="str">
        <f>IFERROR(_xlfn.XLOOKUP($B450,'Cronog. e Histog.'!$BZ:$BZ,'Cronog. e Histog.'!CU:CU),"")</f>
        <v/>
      </c>
      <c r="AA450" s="144" t="str">
        <f>IFERROR(_xlfn.XLOOKUP($B450,'Cronog. e Histog.'!$BZ:$BZ,'Cronog. e Histog.'!CV:CV),"")</f>
        <v/>
      </c>
      <c r="AB450" s="144" t="str">
        <f>IFERROR(_xlfn.XLOOKUP($B450,'Cronog. e Histog.'!$BZ:$BZ,'Cronog. e Histog.'!CW:CW),"")</f>
        <v/>
      </c>
      <c r="AC450" s="144" t="str">
        <f>IFERROR(_xlfn.XLOOKUP($B450,'Cronog. e Histog.'!$BZ:$BZ,'Cronog. e Histog.'!CX:CX),"")</f>
        <v/>
      </c>
      <c r="AD450" s="144" t="str">
        <f>IFERROR(_xlfn.XLOOKUP($B450,'Cronog. e Histog.'!$BZ:$BZ,'Cronog. e Histog.'!CY:CY),"")</f>
        <v/>
      </c>
      <c r="AE450" s="144" t="str">
        <f>IFERROR(_xlfn.XLOOKUP($B450,'Cronog. e Histog.'!$BZ:$BZ,'Cronog. e Histog.'!CZ:CZ),"")</f>
        <v/>
      </c>
      <c r="AF450" s="144" t="str">
        <f>IFERROR(_xlfn.XLOOKUP($B450,'Cronog. e Histog.'!$BZ:$BZ,'Cronog. e Histog.'!DA:DA),"")</f>
        <v/>
      </c>
      <c r="AG450" s="144" t="str">
        <f>IFERROR(_xlfn.XLOOKUP($B450,'Cronog. e Histog.'!$BZ:$BZ,'Cronog. e Histog.'!DB:DB),"")</f>
        <v/>
      </c>
      <c r="AH450" s="144" t="str">
        <f>IFERROR(_xlfn.XLOOKUP($B450,'Cronog. e Histog.'!$BZ:$BZ,'Cronog. e Histog.'!DC:DC),"")</f>
        <v/>
      </c>
      <c r="AI450" s="144" t="str">
        <f>IFERROR(_xlfn.XLOOKUP($B450,'Cronog. e Histog.'!$BZ:$BZ,'Cronog. e Histog.'!DD:DD),"")</f>
        <v/>
      </c>
      <c r="AJ450" s="144" t="str">
        <f>IFERROR(_xlfn.XLOOKUP($B450,'Cronog. e Histog.'!$BZ:$BZ,'Cronog. e Histog.'!DE:DE),"")</f>
        <v/>
      </c>
      <c r="AK450" s="144" t="str">
        <f>IFERROR(_xlfn.XLOOKUP($B450,'Cronog. e Histog.'!$BZ:$BZ,'Cronog. e Histog.'!DF:DF),"")</f>
        <v/>
      </c>
      <c r="AL450" s="144" t="str">
        <f>IFERROR(_xlfn.XLOOKUP($B450,'Cronog. e Histog.'!$BZ:$BZ,'Cronog. e Histog.'!DG:DG),"")</f>
        <v/>
      </c>
      <c r="AM450" s="144" t="str">
        <f>IFERROR(_xlfn.XLOOKUP($B450,'Cronog. e Histog.'!$BZ:$BZ,'Cronog. e Histog.'!DH:DH),"")</f>
        <v/>
      </c>
      <c r="AN450" s="144" t="str">
        <f>IFERROR(_xlfn.XLOOKUP($B450,'Cronog. e Histog.'!$BZ:$BZ,'Cronog. e Histog.'!DI:DI),"")</f>
        <v/>
      </c>
      <c r="AO450" s="144" t="str">
        <f>IFERROR(_xlfn.XLOOKUP($B450,'Cronog. e Histog.'!$BZ:$BZ,'Cronog. e Histog.'!DJ:DJ),"")</f>
        <v/>
      </c>
      <c r="AP450" s="144" t="str">
        <f>IFERROR(_xlfn.XLOOKUP($B450,'Cronog. e Histog.'!$BZ:$BZ,'Cronog. e Histog.'!DK:DK),"")</f>
        <v/>
      </c>
      <c r="AQ450" s="144" t="str">
        <f>IFERROR(_xlfn.XLOOKUP($B450,'Cronog. e Histog.'!$BZ:$BZ,'Cronog. e Histog.'!DL:DL),"")</f>
        <v/>
      </c>
      <c r="AR450" s="144" t="str">
        <f>IFERROR(_xlfn.XLOOKUP($B450,'Cronog. e Histog.'!$BZ:$BZ,'Cronog. e Histog.'!DM:DM),"")</f>
        <v/>
      </c>
      <c r="AS450" s="144" t="str">
        <f>IFERROR(_xlfn.XLOOKUP($B450,'Cronog. e Histog.'!$BZ:$BZ,'Cronog. e Histog.'!DN:DN),"")</f>
        <v/>
      </c>
      <c r="AT450" s="144" t="str">
        <f>IFERROR(_xlfn.XLOOKUP($B450,'Cronog. e Histog.'!$BZ:$BZ,'Cronog. e Histog.'!DO:DO),"")</f>
        <v/>
      </c>
      <c r="AU450" s="144" t="str">
        <f>IFERROR(_xlfn.XLOOKUP($B450,'Cronog. e Histog.'!$BZ:$BZ,'Cronog. e Histog.'!DP:DP),"")</f>
        <v/>
      </c>
      <c r="AV450" s="144" t="str">
        <f>IFERROR(_xlfn.XLOOKUP($B450,'Cronog. e Histog.'!$BZ:$BZ,'Cronog. e Histog.'!DQ:DQ),"")</f>
        <v/>
      </c>
      <c r="AW450" s="144" t="str">
        <f>IFERROR(_xlfn.XLOOKUP($B450,'Cronog. e Histog.'!$BZ:$BZ,'Cronog. e Histog.'!DR:DR),"")</f>
        <v/>
      </c>
      <c r="AX450" s="144" t="str">
        <f>IFERROR(_xlfn.XLOOKUP($B450,'Cronog. e Histog.'!$BZ:$BZ,'Cronog. e Histog.'!DS:DS),"")</f>
        <v/>
      </c>
      <c r="AY450" s="144" t="str">
        <f>IFERROR(_xlfn.XLOOKUP($B450,'Cronog. e Histog.'!$BZ:$BZ,'Cronog. e Histog.'!DT:DT),"")</f>
        <v/>
      </c>
      <c r="AZ450" s="144" t="str">
        <f>IFERROR(_xlfn.XLOOKUP($B450,'Cronog. e Histog.'!$BZ:$BZ,'Cronog. e Histog.'!DU:DU),"")</f>
        <v/>
      </c>
      <c r="BA450" s="144" t="str">
        <f>IFERROR(_xlfn.XLOOKUP($B450,'Cronog. e Histog.'!$BZ:$BZ,'Cronog. e Histog.'!DV:DV),"")</f>
        <v/>
      </c>
      <c r="BB450" s="144" t="str">
        <f>IFERROR(_xlfn.XLOOKUP($B450,'Cronog. e Histog.'!$BZ:$BZ,'Cronog. e Histog.'!DW:DW),"")</f>
        <v/>
      </c>
      <c r="BC450" s="144" t="str">
        <f>IFERROR(_xlfn.XLOOKUP($B450,'Cronog. e Histog.'!$BZ:$BZ,'Cronog. e Histog.'!DX:DX),"")</f>
        <v/>
      </c>
      <c r="BD450" s="144" t="str">
        <f>IFERROR(_xlfn.XLOOKUP($B450,'Cronog. e Histog.'!$BZ:$BZ,'Cronog. e Histog.'!DY:DY),"")</f>
        <v/>
      </c>
      <c r="BE450" s="144" t="str">
        <f>IFERROR(_xlfn.XLOOKUP($B450,'Cronog. e Histog.'!$BZ:$BZ,'Cronog. e Histog.'!DZ:DZ),"")</f>
        <v/>
      </c>
      <c r="BF450" s="144" t="str">
        <f>IFERROR(_xlfn.XLOOKUP($B450,'Cronog. e Histog.'!$BZ:$BZ,'Cronog. e Histog.'!EA:EA),"")</f>
        <v/>
      </c>
      <c r="BG450" s="144" t="str">
        <f>IFERROR(_xlfn.XLOOKUP($B450,'Cronog. e Histog.'!$BZ:$BZ,'Cronog. e Histog.'!EB:EB),"")</f>
        <v/>
      </c>
      <c r="BH450" s="144" t="str">
        <f>IFERROR(_xlfn.XLOOKUP($B450,'Cronog. e Histog.'!$BZ:$BZ,'Cronog. e Histog.'!EC:EC),"")</f>
        <v/>
      </c>
      <c r="BI450" s="144" t="str">
        <f>IFERROR(_xlfn.XLOOKUP($B450,'Cronog. e Histog.'!$BZ:$BZ,'Cronog. e Histog.'!ED:ED),"")</f>
        <v/>
      </c>
      <c r="BJ450" s="144" t="str">
        <f>IFERROR(_xlfn.XLOOKUP($B450,'Cronog. e Histog.'!$BZ:$BZ,'Cronog. e Histog.'!EE:EE),"")</f>
        <v/>
      </c>
      <c r="BK450" s="144" t="str">
        <f>IFERROR(_xlfn.XLOOKUP($B450,'Cronog. e Histog.'!$BZ:$BZ,'Cronog. e Histog.'!EF:EF),"")</f>
        <v/>
      </c>
      <c r="BL450" s="144" t="str">
        <f>IFERROR(_xlfn.XLOOKUP($B450,'Cronog. e Histog.'!$BZ:$BZ,'Cronog. e Histog.'!EG:EG),"")</f>
        <v/>
      </c>
      <c r="BM450" s="144" t="str">
        <f>IFERROR(_xlfn.XLOOKUP($B450,'Cronog. e Histog.'!$BZ:$BZ,'Cronog. e Histog.'!EH:EH),"")</f>
        <v/>
      </c>
      <c r="BN450" s="144" t="str">
        <f>IFERROR(_xlfn.XLOOKUP($B450,'Cronog. e Histog.'!$BZ:$BZ,'Cronog. e Histog.'!EI:EI),"")</f>
        <v/>
      </c>
      <c r="BO450" s="65"/>
      <c r="BP450" s="65"/>
    </row>
    <row r="451" spans="2:68" ht="12" hidden="1" customHeight="1" outlineLevel="1">
      <c r="B451" s="76">
        <v>445</v>
      </c>
      <c r="C451" s="143" t="str">
        <f>IFERROR(VLOOKUP(B451,'Cronog. e Histog.'!$BZ$213:$CA$747,2,0),"")</f>
        <v/>
      </c>
      <c r="D451" s="144">
        <f t="shared" si="6"/>
        <v>0</v>
      </c>
      <c r="E451" s="144">
        <f t="shared" si="7"/>
        <v>0</v>
      </c>
      <c r="F451" s="65"/>
      <c r="G451" s="144" t="str">
        <f>IFERROR(_xlfn.XLOOKUP($B451,'Cronog. e Histog.'!$BZ:$BZ,'Cronog. e Histog.'!CB:CB),"")</f>
        <v/>
      </c>
      <c r="H451" s="144" t="str">
        <f>IFERROR(_xlfn.XLOOKUP($B451,'Cronog. e Histog.'!$BZ:$BZ,'Cronog. e Histog.'!CC:CC),"")</f>
        <v/>
      </c>
      <c r="I451" s="144" t="str">
        <f>IFERROR(_xlfn.XLOOKUP($B451,'Cronog. e Histog.'!$BZ:$BZ,'Cronog. e Histog.'!CD:CD),"")</f>
        <v/>
      </c>
      <c r="J451" s="144" t="str">
        <f>IFERROR(_xlfn.XLOOKUP($B451,'Cronog. e Histog.'!$BZ:$BZ,'Cronog. e Histog.'!CE:CE),"")</f>
        <v/>
      </c>
      <c r="K451" s="144" t="str">
        <f>IFERROR(_xlfn.XLOOKUP($B451,'Cronog. e Histog.'!$BZ:$BZ,'Cronog. e Histog.'!CF:CF),"")</f>
        <v/>
      </c>
      <c r="L451" s="144" t="str">
        <f>IFERROR(_xlfn.XLOOKUP($B451,'Cronog. e Histog.'!$BZ:$BZ,'Cronog. e Histog.'!CG:CG),"")</f>
        <v/>
      </c>
      <c r="M451" s="144" t="str">
        <f>IFERROR(_xlfn.XLOOKUP($B451,'Cronog. e Histog.'!$BZ:$BZ,'Cronog. e Histog.'!CH:CH),"")</f>
        <v/>
      </c>
      <c r="N451" s="144" t="str">
        <f>IFERROR(_xlfn.XLOOKUP($B451,'Cronog. e Histog.'!$BZ:$BZ,'Cronog. e Histog.'!CI:CI),"")</f>
        <v/>
      </c>
      <c r="O451" s="144" t="str">
        <f>IFERROR(_xlfn.XLOOKUP($B451,'Cronog. e Histog.'!$BZ:$BZ,'Cronog. e Histog.'!CJ:CJ),"")</f>
        <v/>
      </c>
      <c r="P451" s="144" t="str">
        <f>IFERROR(_xlfn.XLOOKUP($B451,'Cronog. e Histog.'!$BZ:$BZ,'Cronog. e Histog.'!CK:CK),"")</f>
        <v/>
      </c>
      <c r="Q451" s="144" t="str">
        <f>IFERROR(_xlfn.XLOOKUP($B451,'Cronog. e Histog.'!$BZ:$BZ,'Cronog. e Histog.'!CL:CL),"")</f>
        <v/>
      </c>
      <c r="R451" s="144" t="str">
        <f>IFERROR(_xlfn.XLOOKUP($B451,'Cronog. e Histog.'!$BZ:$BZ,'Cronog. e Histog.'!CM:CM),"")</f>
        <v/>
      </c>
      <c r="S451" s="144" t="str">
        <f>IFERROR(_xlfn.XLOOKUP($B451,'Cronog. e Histog.'!$BZ:$BZ,'Cronog. e Histog.'!CN:CN),"")</f>
        <v/>
      </c>
      <c r="T451" s="144" t="str">
        <f>IFERROR(_xlfn.XLOOKUP($B451,'Cronog. e Histog.'!$BZ:$BZ,'Cronog. e Histog.'!CO:CO),"")</f>
        <v/>
      </c>
      <c r="U451" s="144" t="str">
        <f>IFERROR(_xlfn.XLOOKUP($B451,'Cronog. e Histog.'!$BZ:$BZ,'Cronog. e Histog.'!CP:CP),"")</f>
        <v/>
      </c>
      <c r="V451" s="144" t="str">
        <f>IFERROR(_xlfn.XLOOKUP($B451,'Cronog. e Histog.'!$BZ:$BZ,'Cronog. e Histog.'!CQ:CQ),"")</f>
        <v/>
      </c>
      <c r="W451" s="144" t="str">
        <f>IFERROR(_xlfn.XLOOKUP($B451,'Cronog. e Histog.'!$BZ:$BZ,'Cronog. e Histog.'!CR:CR),"")</f>
        <v/>
      </c>
      <c r="X451" s="144" t="str">
        <f>IFERROR(_xlfn.XLOOKUP($B451,'Cronog. e Histog.'!$BZ:$BZ,'Cronog. e Histog.'!CS:CS),"")</f>
        <v/>
      </c>
      <c r="Y451" s="144" t="str">
        <f>IFERROR(_xlfn.XLOOKUP($B451,'Cronog. e Histog.'!$BZ:$BZ,'Cronog. e Histog.'!CT:CT),"")</f>
        <v/>
      </c>
      <c r="Z451" s="144" t="str">
        <f>IFERROR(_xlfn.XLOOKUP($B451,'Cronog. e Histog.'!$BZ:$BZ,'Cronog. e Histog.'!CU:CU),"")</f>
        <v/>
      </c>
      <c r="AA451" s="144" t="str">
        <f>IFERROR(_xlfn.XLOOKUP($B451,'Cronog. e Histog.'!$BZ:$BZ,'Cronog. e Histog.'!CV:CV),"")</f>
        <v/>
      </c>
      <c r="AB451" s="144" t="str">
        <f>IFERROR(_xlfn.XLOOKUP($B451,'Cronog. e Histog.'!$BZ:$BZ,'Cronog. e Histog.'!CW:CW),"")</f>
        <v/>
      </c>
      <c r="AC451" s="144" t="str">
        <f>IFERROR(_xlfn.XLOOKUP($B451,'Cronog. e Histog.'!$BZ:$BZ,'Cronog. e Histog.'!CX:CX),"")</f>
        <v/>
      </c>
      <c r="AD451" s="144" t="str">
        <f>IFERROR(_xlfn.XLOOKUP($B451,'Cronog. e Histog.'!$BZ:$BZ,'Cronog. e Histog.'!CY:CY),"")</f>
        <v/>
      </c>
      <c r="AE451" s="144" t="str">
        <f>IFERROR(_xlfn.XLOOKUP($B451,'Cronog. e Histog.'!$BZ:$BZ,'Cronog. e Histog.'!CZ:CZ),"")</f>
        <v/>
      </c>
      <c r="AF451" s="144" t="str">
        <f>IFERROR(_xlfn.XLOOKUP($B451,'Cronog. e Histog.'!$BZ:$BZ,'Cronog. e Histog.'!DA:DA),"")</f>
        <v/>
      </c>
      <c r="AG451" s="144" t="str">
        <f>IFERROR(_xlfn.XLOOKUP($B451,'Cronog. e Histog.'!$BZ:$BZ,'Cronog. e Histog.'!DB:DB),"")</f>
        <v/>
      </c>
      <c r="AH451" s="144" t="str">
        <f>IFERROR(_xlfn.XLOOKUP($B451,'Cronog. e Histog.'!$BZ:$BZ,'Cronog. e Histog.'!DC:DC),"")</f>
        <v/>
      </c>
      <c r="AI451" s="144" t="str">
        <f>IFERROR(_xlfn.XLOOKUP($B451,'Cronog. e Histog.'!$BZ:$BZ,'Cronog. e Histog.'!DD:DD),"")</f>
        <v/>
      </c>
      <c r="AJ451" s="144" t="str">
        <f>IFERROR(_xlfn.XLOOKUP($B451,'Cronog. e Histog.'!$BZ:$BZ,'Cronog. e Histog.'!DE:DE),"")</f>
        <v/>
      </c>
      <c r="AK451" s="144" t="str">
        <f>IFERROR(_xlfn.XLOOKUP($B451,'Cronog. e Histog.'!$BZ:$BZ,'Cronog. e Histog.'!DF:DF),"")</f>
        <v/>
      </c>
      <c r="AL451" s="144" t="str">
        <f>IFERROR(_xlfn.XLOOKUP($B451,'Cronog. e Histog.'!$BZ:$BZ,'Cronog. e Histog.'!DG:DG),"")</f>
        <v/>
      </c>
      <c r="AM451" s="144" t="str">
        <f>IFERROR(_xlfn.XLOOKUP($B451,'Cronog. e Histog.'!$BZ:$BZ,'Cronog. e Histog.'!DH:DH),"")</f>
        <v/>
      </c>
      <c r="AN451" s="144" t="str">
        <f>IFERROR(_xlfn.XLOOKUP($B451,'Cronog. e Histog.'!$BZ:$BZ,'Cronog. e Histog.'!DI:DI),"")</f>
        <v/>
      </c>
      <c r="AO451" s="144" t="str">
        <f>IFERROR(_xlfn.XLOOKUP($B451,'Cronog. e Histog.'!$BZ:$BZ,'Cronog. e Histog.'!DJ:DJ),"")</f>
        <v/>
      </c>
      <c r="AP451" s="144" t="str">
        <f>IFERROR(_xlfn.XLOOKUP($B451,'Cronog. e Histog.'!$BZ:$BZ,'Cronog. e Histog.'!DK:DK),"")</f>
        <v/>
      </c>
      <c r="AQ451" s="144" t="str">
        <f>IFERROR(_xlfn.XLOOKUP($B451,'Cronog. e Histog.'!$BZ:$BZ,'Cronog. e Histog.'!DL:DL),"")</f>
        <v/>
      </c>
      <c r="AR451" s="144" t="str">
        <f>IFERROR(_xlfn.XLOOKUP($B451,'Cronog. e Histog.'!$BZ:$BZ,'Cronog. e Histog.'!DM:DM),"")</f>
        <v/>
      </c>
      <c r="AS451" s="144" t="str">
        <f>IFERROR(_xlfn.XLOOKUP($B451,'Cronog. e Histog.'!$BZ:$BZ,'Cronog. e Histog.'!DN:DN),"")</f>
        <v/>
      </c>
      <c r="AT451" s="144" t="str">
        <f>IFERROR(_xlfn.XLOOKUP($B451,'Cronog. e Histog.'!$BZ:$BZ,'Cronog. e Histog.'!DO:DO),"")</f>
        <v/>
      </c>
      <c r="AU451" s="144" t="str">
        <f>IFERROR(_xlfn.XLOOKUP($B451,'Cronog. e Histog.'!$BZ:$BZ,'Cronog. e Histog.'!DP:DP),"")</f>
        <v/>
      </c>
      <c r="AV451" s="144" t="str">
        <f>IFERROR(_xlfn.XLOOKUP($B451,'Cronog. e Histog.'!$BZ:$BZ,'Cronog. e Histog.'!DQ:DQ),"")</f>
        <v/>
      </c>
      <c r="AW451" s="144" t="str">
        <f>IFERROR(_xlfn.XLOOKUP($B451,'Cronog. e Histog.'!$BZ:$BZ,'Cronog. e Histog.'!DR:DR),"")</f>
        <v/>
      </c>
      <c r="AX451" s="144" t="str">
        <f>IFERROR(_xlfn.XLOOKUP($B451,'Cronog. e Histog.'!$BZ:$BZ,'Cronog. e Histog.'!DS:DS),"")</f>
        <v/>
      </c>
      <c r="AY451" s="144" t="str">
        <f>IFERROR(_xlfn.XLOOKUP($B451,'Cronog. e Histog.'!$BZ:$BZ,'Cronog. e Histog.'!DT:DT),"")</f>
        <v/>
      </c>
      <c r="AZ451" s="144" t="str">
        <f>IFERROR(_xlfn.XLOOKUP($B451,'Cronog. e Histog.'!$BZ:$BZ,'Cronog. e Histog.'!DU:DU),"")</f>
        <v/>
      </c>
      <c r="BA451" s="144" t="str">
        <f>IFERROR(_xlfn.XLOOKUP($B451,'Cronog. e Histog.'!$BZ:$BZ,'Cronog. e Histog.'!DV:DV),"")</f>
        <v/>
      </c>
      <c r="BB451" s="144" t="str">
        <f>IFERROR(_xlfn.XLOOKUP($B451,'Cronog. e Histog.'!$BZ:$BZ,'Cronog. e Histog.'!DW:DW),"")</f>
        <v/>
      </c>
      <c r="BC451" s="144" t="str">
        <f>IFERROR(_xlfn.XLOOKUP($B451,'Cronog. e Histog.'!$BZ:$BZ,'Cronog. e Histog.'!DX:DX),"")</f>
        <v/>
      </c>
      <c r="BD451" s="144" t="str">
        <f>IFERROR(_xlfn.XLOOKUP($B451,'Cronog. e Histog.'!$BZ:$BZ,'Cronog. e Histog.'!DY:DY),"")</f>
        <v/>
      </c>
      <c r="BE451" s="144" t="str">
        <f>IFERROR(_xlfn.XLOOKUP($B451,'Cronog. e Histog.'!$BZ:$BZ,'Cronog. e Histog.'!DZ:DZ),"")</f>
        <v/>
      </c>
      <c r="BF451" s="144" t="str">
        <f>IFERROR(_xlfn.XLOOKUP($B451,'Cronog. e Histog.'!$BZ:$BZ,'Cronog. e Histog.'!EA:EA),"")</f>
        <v/>
      </c>
      <c r="BG451" s="144" t="str">
        <f>IFERROR(_xlfn.XLOOKUP($B451,'Cronog. e Histog.'!$BZ:$BZ,'Cronog. e Histog.'!EB:EB),"")</f>
        <v/>
      </c>
      <c r="BH451" s="144" t="str">
        <f>IFERROR(_xlfn.XLOOKUP($B451,'Cronog. e Histog.'!$BZ:$BZ,'Cronog. e Histog.'!EC:EC),"")</f>
        <v/>
      </c>
      <c r="BI451" s="144" t="str">
        <f>IFERROR(_xlfn.XLOOKUP($B451,'Cronog. e Histog.'!$BZ:$BZ,'Cronog. e Histog.'!ED:ED),"")</f>
        <v/>
      </c>
      <c r="BJ451" s="144" t="str">
        <f>IFERROR(_xlfn.XLOOKUP($B451,'Cronog. e Histog.'!$BZ:$BZ,'Cronog. e Histog.'!EE:EE),"")</f>
        <v/>
      </c>
      <c r="BK451" s="144" t="str">
        <f>IFERROR(_xlfn.XLOOKUP($B451,'Cronog. e Histog.'!$BZ:$BZ,'Cronog. e Histog.'!EF:EF),"")</f>
        <v/>
      </c>
      <c r="BL451" s="144" t="str">
        <f>IFERROR(_xlfn.XLOOKUP($B451,'Cronog. e Histog.'!$BZ:$BZ,'Cronog. e Histog.'!EG:EG),"")</f>
        <v/>
      </c>
      <c r="BM451" s="144" t="str">
        <f>IFERROR(_xlfn.XLOOKUP($B451,'Cronog. e Histog.'!$BZ:$BZ,'Cronog. e Histog.'!EH:EH),"")</f>
        <v/>
      </c>
      <c r="BN451" s="144" t="str">
        <f>IFERROR(_xlfn.XLOOKUP($B451,'Cronog. e Histog.'!$BZ:$BZ,'Cronog. e Histog.'!EI:EI),"")</f>
        <v/>
      </c>
      <c r="BO451" s="65"/>
      <c r="BP451" s="65"/>
    </row>
    <row r="452" spans="2:68" ht="12" hidden="1" customHeight="1" outlineLevel="1">
      <c r="B452" s="76">
        <v>446</v>
      </c>
      <c r="C452" s="143" t="str">
        <f>IFERROR(VLOOKUP(B452,'Cronog. e Histog.'!$BZ$213:$CA$747,2,0),"")</f>
        <v/>
      </c>
      <c r="D452" s="144">
        <f t="shared" si="6"/>
        <v>0</v>
      </c>
      <c r="E452" s="144">
        <f t="shared" si="7"/>
        <v>0</v>
      </c>
      <c r="F452" s="65"/>
      <c r="G452" s="144" t="str">
        <f>IFERROR(_xlfn.XLOOKUP($B452,'Cronog. e Histog.'!$BZ:$BZ,'Cronog. e Histog.'!CB:CB),"")</f>
        <v/>
      </c>
      <c r="H452" s="144" t="str">
        <f>IFERROR(_xlfn.XLOOKUP($B452,'Cronog. e Histog.'!$BZ:$BZ,'Cronog. e Histog.'!CC:CC),"")</f>
        <v/>
      </c>
      <c r="I452" s="144" t="str">
        <f>IFERROR(_xlfn.XLOOKUP($B452,'Cronog. e Histog.'!$BZ:$BZ,'Cronog. e Histog.'!CD:CD),"")</f>
        <v/>
      </c>
      <c r="J452" s="144" t="str">
        <f>IFERROR(_xlfn.XLOOKUP($B452,'Cronog. e Histog.'!$BZ:$BZ,'Cronog. e Histog.'!CE:CE),"")</f>
        <v/>
      </c>
      <c r="K452" s="144" t="str">
        <f>IFERROR(_xlfn.XLOOKUP($B452,'Cronog. e Histog.'!$BZ:$BZ,'Cronog. e Histog.'!CF:CF),"")</f>
        <v/>
      </c>
      <c r="L452" s="144" t="str">
        <f>IFERROR(_xlfn.XLOOKUP($B452,'Cronog. e Histog.'!$BZ:$BZ,'Cronog. e Histog.'!CG:CG),"")</f>
        <v/>
      </c>
      <c r="M452" s="144" t="str">
        <f>IFERROR(_xlfn.XLOOKUP($B452,'Cronog. e Histog.'!$BZ:$BZ,'Cronog. e Histog.'!CH:CH),"")</f>
        <v/>
      </c>
      <c r="N452" s="144" t="str">
        <f>IFERROR(_xlfn.XLOOKUP($B452,'Cronog. e Histog.'!$BZ:$BZ,'Cronog. e Histog.'!CI:CI),"")</f>
        <v/>
      </c>
      <c r="O452" s="144" t="str">
        <f>IFERROR(_xlfn.XLOOKUP($B452,'Cronog. e Histog.'!$BZ:$BZ,'Cronog. e Histog.'!CJ:CJ),"")</f>
        <v/>
      </c>
      <c r="P452" s="144" t="str">
        <f>IFERROR(_xlfn.XLOOKUP($B452,'Cronog. e Histog.'!$BZ:$BZ,'Cronog. e Histog.'!CK:CK),"")</f>
        <v/>
      </c>
      <c r="Q452" s="144" t="str">
        <f>IFERROR(_xlfn.XLOOKUP($B452,'Cronog. e Histog.'!$BZ:$BZ,'Cronog. e Histog.'!CL:CL),"")</f>
        <v/>
      </c>
      <c r="R452" s="144" t="str">
        <f>IFERROR(_xlfn.XLOOKUP($B452,'Cronog. e Histog.'!$BZ:$BZ,'Cronog. e Histog.'!CM:CM),"")</f>
        <v/>
      </c>
      <c r="S452" s="144" t="str">
        <f>IFERROR(_xlfn.XLOOKUP($B452,'Cronog. e Histog.'!$BZ:$BZ,'Cronog. e Histog.'!CN:CN),"")</f>
        <v/>
      </c>
      <c r="T452" s="144" t="str">
        <f>IFERROR(_xlfn.XLOOKUP($B452,'Cronog. e Histog.'!$BZ:$BZ,'Cronog. e Histog.'!CO:CO),"")</f>
        <v/>
      </c>
      <c r="U452" s="144" t="str">
        <f>IFERROR(_xlfn.XLOOKUP($B452,'Cronog. e Histog.'!$BZ:$BZ,'Cronog. e Histog.'!CP:CP),"")</f>
        <v/>
      </c>
      <c r="V452" s="144" t="str">
        <f>IFERROR(_xlfn.XLOOKUP($B452,'Cronog. e Histog.'!$BZ:$BZ,'Cronog. e Histog.'!CQ:CQ),"")</f>
        <v/>
      </c>
      <c r="W452" s="144" t="str">
        <f>IFERROR(_xlfn.XLOOKUP($B452,'Cronog. e Histog.'!$BZ:$BZ,'Cronog. e Histog.'!CR:CR),"")</f>
        <v/>
      </c>
      <c r="X452" s="144" t="str">
        <f>IFERROR(_xlfn.XLOOKUP($B452,'Cronog. e Histog.'!$BZ:$BZ,'Cronog. e Histog.'!CS:CS),"")</f>
        <v/>
      </c>
      <c r="Y452" s="144" t="str">
        <f>IFERROR(_xlfn.XLOOKUP($B452,'Cronog. e Histog.'!$BZ:$BZ,'Cronog. e Histog.'!CT:CT),"")</f>
        <v/>
      </c>
      <c r="Z452" s="144" t="str">
        <f>IFERROR(_xlfn.XLOOKUP($B452,'Cronog. e Histog.'!$BZ:$BZ,'Cronog. e Histog.'!CU:CU),"")</f>
        <v/>
      </c>
      <c r="AA452" s="144" t="str">
        <f>IFERROR(_xlfn.XLOOKUP($B452,'Cronog. e Histog.'!$BZ:$BZ,'Cronog. e Histog.'!CV:CV),"")</f>
        <v/>
      </c>
      <c r="AB452" s="144" t="str">
        <f>IFERROR(_xlfn.XLOOKUP($B452,'Cronog. e Histog.'!$BZ:$BZ,'Cronog. e Histog.'!CW:CW),"")</f>
        <v/>
      </c>
      <c r="AC452" s="144" t="str">
        <f>IFERROR(_xlfn.XLOOKUP($B452,'Cronog. e Histog.'!$BZ:$BZ,'Cronog. e Histog.'!CX:CX),"")</f>
        <v/>
      </c>
      <c r="AD452" s="144" t="str">
        <f>IFERROR(_xlfn.XLOOKUP($B452,'Cronog. e Histog.'!$BZ:$BZ,'Cronog. e Histog.'!CY:CY),"")</f>
        <v/>
      </c>
      <c r="AE452" s="144" t="str">
        <f>IFERROR(_xlfn.XLOOKUP($B452,'Cronog. e Histog.'!$BZ:$BZ,'Cronog. e Histog.'!CZ:CZ),"")</f>
        <v/>
      </c>
      <c r="AF452" s="144" t="str">
        <f>IFERROR(_xlfn.XLOOKUP($B452,'Cronog. e Histog.'!$BZ:$BZ,'Cronog. e Histog.'!DA:DA),"")</f>
        <v/>
      </c>
      <c r="AG452" s="144" t="str">
        <f>IFERROR(_xlfn.XLOOKUP($B452,'Cronog. e Histog.'!$BZ:$BZ,'Cronog. e Histog.'!DB:DB),"")</f>
        <v/>
      </c>
      <c r="AH452" s="144" t="str">
        <f>IFERROR(_xlfn.XLOOKUP($B452,'Cronog. e Histog.'!$BZ:$BZ,'Cronog. e Histog.'!DC:DC),"")</f>
        <v/>
      </c>
      <c r="AI452" s="144" t="str">
        <f>IFERROR(_xlfn.XLOOKUP($B452,'Cronog. e Histog.'!$BZ:$BZ,'Cronog. e Histog.'!DD:DD),"")</f>
        <v/>
      </c>
      <c r="AJ452" s="144" t="str">
        <f>IFERROR(_xlfn.XLOOKUP($B452,'Cronog. e Histog.'!$BZ:$BZ,'Cronog. e Histog.'!DE:DE),"")</f>
        <v/>
      </c>
      <c r="AK452" s="144" t="str">
        <f>IFERROR(_xlfn.XLOOKUP($B452,'Cronog. e Histog.'!$BZ:$BZ,'Cronog. e Histog.'!DF:DF),"")</f>
        <v/>
      </c>
      <c r="AL452" s="144" t="str">
        <f>IFERROR(_xlfn.XLOOKUP($B452,'Cronog. e Histog.'!$BZ:$BZ,'Cronog. e Histog.'!DG:DG),"")</f>
        <v/>
      </c>
      <c r="AM452" s="144" t="str">
        <f>IFERROR(_xlfn.XLOOKUP($B452,'Cronog. e Histog.'!$BZ:$BZ,'Cronog. e Histog.'!DH:DH),"")</f>
        <v/>
      </c>
      <c r="AN452" s="144" t="str">
        <f>IFERROR(_xlfn.XLOOKUP($B452,'Cronog. e Histog.'!$BZ:$BZ,'Cronog. e Histog.'!DI:DI),"")</f>
        <v/>
      </c>
      <c r="AO452" s="144" t="str">
        <f>IFERROR(_xlfn.XLOOKUP($B452,'Cronog. e Histog.'!$BZ:$BZ,'Cronog. e Histog.'!DJ:DJ),"")</f>
        <v/>
      </c>
      <c r="AP452" s="144" t="str">
        <f>IFERROR(_xlfn.XLOOKUP($B452,'Cronog. e Histog.'!$BZ:$BZ,'Cronog. e Histog.'!DK:DK),"")</f>
        <v/>
      </c>
      <c r="AQ452" s="144" t="str">
        <f>IFERROR(_xlfn.XLOOKUP($B452,'Cronog. e Histog.'!$BZ:$BZ,'Cronog. e Histog.'!DL:DL),"")</f>
        <v/>
      </c>
      <c r="AR452" s="144" t="str">
        <f>IFERROR(_xlfn.XLOOKUP($B452,'Cronog. e Histog.'!$BZ:$BZ,'Cronog. e Histog.'!DM:DM),"")</f>
        <v/>
      </c>
      <c r="AS452" s="144" t="str">
        <f>IFERROR(_xlfn.XLOOKUP($B452,'Cronog. e Histog.'!$BZ:$BZ,'Cronog. e Histog.'!DN:DN),"")</f>
        <v/>
      </c>
      <c r="AT452" s="144" t="str">
        <f>IFERROR(_xlfn.XLOOKUP($B452,'Cronog. e Histog.'!$BZ:$BZ,'Cronog. e Histog.'!DO:DO),"")</f>
        <v/>
      </c>
      <c r="AU452" s="144" t="str">
        <f>IFERROR(_xlfn.XLOOKUP($B452,'Cronog. e Histog.'!$BZ:$BZ,'Cronog. e Histog.'!DP:DP),"")</f>
        <v/>
      </c>
      <c r="AV452" s="144" t="str">
        <f>IFERROR(_xlfn.XLOOKUP($B452,'Cronog. e Histog.'!$BZ:$BZ,'Cronog. e Histog.'!DQ:DQ),"")</f>
        <v/>
      </c>
      <c r="AW452" s="144" t="str">
        <f>IFERROR(_xlfn.XLOOKUP($B452,'Cronog. e Histog.'!$BZ:$BZ,'Cronog. e Histog.'!DR:DR),"")</f>
        <v/>
      </c>
      <c r="AX452" s="144" t="str">
        <f>IFERROR(_xlfn.XLOOKUP($B452,'Cronog. e Histog.'!$BZ:$BZ,'Cronog. e Histog.'!DS:DS),"")</f>
        <v/>
      </c>
      <c r="AY452" s="144" t="str">
        <f>IFERROR(_xlfn.XLOOKUP($B452,'Cronog. e Histog.'!$BZ:$BZ,'Cronog. e Histog.'!DT:DT),"")</f>
        <v/>
      </c>
      <c r="AZ452" s="144" t="str">
        <f>IFERROR(_xlfn.XLOOKUP($B452,'Cronog. e Histog.'!$BZ:$BZ,'Cronog. e Histog.'!DU:DU),"")</f>
        <v/>
      </c>
      <c r="BA452" s="144" t="str">
        <f>IFERROR(_xlfn.XLOOKUP($B452,'Cronog. e Histog.'!$BZ:$BZ,'Cronog. e Histog.'!DV:DV),"")</f>
        <v/>
      </c>
      <c r="BB452" s="144" t="str">
        <f>IFERROR(_xlfn.XLOOKUP($B452,'Cronog. e Histog.'!$BZ:$BZ,'Cronog. e Histog.'!DW:DW),"")</f>
        <v/>
      </c>
      <c r="BC452" s="144" t="str">
        <f>IFERROR(_xlfn.XLOOKUP($B452,'Cronog. e Histog.'!$BZ:$BZ,'Cronog. e Histog.'!DX:DX),"")</f>
        <v/>
      </c>
      <c r="BD452" s="144" t="str">
        <f>IFERROR(_xlfn.XLOOKUP($B452,'Cronog. e Histog.'!$BZ:$BZ,'Cronog. e Histog.'!DY:DY),"")</f>
        <v/>
      </c>
      <c r="BE452" s="144" t="str">
        <f>IFERROR(_xlfn.XLOOKUP($B452,'Cronog. e Histog.'!$BZ:$BZ,'Cronog. e Histog.'!DZ:DZ),"")</f>
        <v/>
      </c>
      <c r="BF452" s="144" t="str">
        <f>IFERROR(_xlfn.XLOOKUP($B452,'Cronog. e Histog.'!$BZ:$BZ,'Cronog. e Histog.'!EA:EA),"")</f>
        <v/>
      </c>
      <c r="BG452" s="144" t="str">
        <f>IFERROR(_xlfn.XLOOKUP($B452,'Cronog. e Histog.'!$BZ:$BZ,'Cronog. e Histog.'!EB:EB),"")</f>
        <v/>
      </c>
      <c r="BH452" s="144" t="str">
        <f>IFERROR(_xlfn.XLOOKUP($B452,'Cronog. e Histog.'!$BZ:$BZ,'Cronog. e Histog.'!EC:EC),"")</f>
        <v/>
      </c>
      <c r="BI452" s="144" t="str">
        <f>IFERROR(_xlfn.XLOOKUP($B452,'Cronog. e Histog.'!$BZ:$BZ,'Cronog. e Histog.'!ED:ED),"")</f>
        <v/>
      </c>
      <c r="BJ452" s="144" t="str">
        <f>IFERROR(_xlfn.XLOOKUP($B452,'Cronog. e Histog.'!$BZ:$BZ,'Cronog. e Histog.'!EE:EE),"")</f>
        <v/>
      </c>
      <c r="BK452" s="144" t="str">
        <f>IFERROR(_xlfn.XLOOKUP($B452,'Cronog. e Histog.'!$BZ:$BZ,'Cronog. e Histog.'!EF:EF),"")</f>
        <v/>
      </c>
      <c r="BL452" s="144" t="str">
        <f>IFERROR(_xlfn.XLOOKUP($B452,'Cronog. e Histog.'!$BZ:$BZ,'Cronog. e Histog.'!EG:EG),"")</f>
        <v/>
      </c>
      <c r="BM452" s="144" t="str">
        <f>IFERROR(_xlfn.XLOOKUP($B452,'Cronog. e Histog.'!$BZ:$BZ,'Cronog. e Histog.'!EH:EH),"")</f>
        <v/>
      </c>
      <c r="BN452" s="144" t="str">
        <f>IFERROR(_xlfn.XLOOKUP($B452,'Cronog. e Histog.'!$BZ:$BZ,'Cronog. e Histog.'!EI:EI),"")</f>
        <v/>
      </c>
      <c r="BO452" s="65"/>
      <c r="BP452" s="65"/>
    </row>
    <row r="453" spans="2:68" ht="12" hidden="1" customHeight="1" outlineLevel="1">
      <c r="B453" s="76">
        <v>447</v>
      </c>
      <c r="C453" s="143" t="str">
        <f>IFERROR(VLOOKUP(B453,'Cronog. e Histog.'!$BZ$213:$CA$747,2,0),"")</f>
        <v/>
      </c>
      <c r="D453" s="144">
        <f t="shared" si="6"/>
        <v>0</v>
      </c>
      <c r="E453" s="144">
        <f t="shared" si="7"/>
        <v>0</v>
      </c>
      <c r="F453" s="65"/>
      <c r="G453" s="144" t="str">
        <f>IFERROR(_xlfn.XLOOKUP($B453,'Cronog. e Histog.'!$BZ:$BZ,'Cronog. e Histog.'!CB:CB),"")</f>
        <v/>
      </c>
      <c r="H453" s="144" t="str">
        <f>IFERROR(_xlfn.XLOOKUP($B453,'Cronog. e Histog.'!$BZ:$BZ,'Cronog. e Histog.'!CC:CC),"")</f>
        <v/>
      </c>
      <c r="I453" s="144" t="str">
        <f>IFERROR(_xlfn.XLOOKUP($B453,'Cronog. e Histog.'!$BZ:$BZ,'Cronog. e Histog.'!CD:CD),"")</f>
        <v/>
      </c>
      <c r="J453" s="144" t="str">
        <f>IFERROR(_xlfn.XLOOKUP($B453,'Cronog. e Histog.'!$BZ:$BZ,'Cronog. e Histog.'!CE:CE),"")</f>
        <v/>
      </c>
      <c r="K453" s="144" t="str">
        <f>IFERROR(_xlfn.XLOOKUP($B453,'Cronog. e Histog.'!$BZ:$BZ,'Cronog. e Histog.'!CF:CF),"")</f>
        <v/>
      </c>
      <c r="L453" s="144" t="str">
        <f>IFERROR(_xlfn.XLOOKUP($B453,'Cronog. e Histog.'!$BZ:$BZ,'Cronog. e Histog.'!CG:CG),"")</f>
        <v/>
      </c>
      <c r="M453" s="144" t="str">
        <f>IFERROR(_xlfn.XLOOKUP($B453,'Cronog. e Histog.'!$BZ:$BZ,'Cronog. e Histog.'!CH:CH),"")</f>
        <v/>
      </c>
      <c r="N453" s="144" t="str">
        <f>IFERROR(_xlfn.XLOOKUP($B453,'Cronog. e Histog.'!$BZ:$BZ,'Cronog. e Histog.'!CI:CI),"")</f>
        <v/>
      </c>
      <c r="O453" s="144" t="str">
        <f>IFERROR(_xlfn.XLOOKUP($B453,'Cronog. e Histog.'!$BZ:$BZ,'Cronog. e Histog.'!CJ:CJ),"")</f>
        <v/>
      </c>
      <c r="P453" s="144" t="str">
        <f>IFERROR(_xlfn.XLOOKUP($B453,'Cronog. e Histog.'!$BZ:$BZ,'Cronog. e Histog.'!CK:CK),"")</f>
        <v/>
      </c>
      <c r="Q453" s="144" t="str">
        <f>IFERROR(_xlfn.XLOOKUP($B453,'Cronog. e Histog.'!$BZ:$BZ,'Cronog. e Histog.'!CL:CL),"")</f>
        <v/>
      </c>
      <c r="R453" s="144" t="str">
        <f>IFERROR(_xlfn.XLOOKUP($B453,'Cronog. e Histog.'!$BZ:$BZ,'Cronog. e Histog.'!CM:CM),"")</f>
        <v/>
      </c>
      <c r="S453" s="144" t="str">
        <f>IFERROR(_xlfn.XLOOKUP($B453,'Cronog. e Histog.'!$BZ:$BZ,'Cronog. e Histog.'!CN:CN),"")</f>
        <v/>
      </c>
      <c r="T453" s="144" t="str">
        <f>IFERROR(_xlfn.XLOOKUP($B453,'Cronog. e Histog.'!$BZ:$BZ,'Cronog. e Histog.'!CO:CO),"")</f>
        <v/>
      </c>
      <c r="U453" s="144" t="str">
        <f>IFERROR(_xlfn.XLOOKUP($B453,'Cronog. e Histog.'!$BZ:$BZ,'Cronog. e Histog.'!CP:CP),"")</f>
        <v/>
      </c>
      <c r="V453" s="144" t="str">
        <f>IFERROR(_xlfn.XLOOKUP($B453,'Cronog. e Histog.'!$BZ:$BZ,'Cronog. e Histog.'!CQ:CQ),"")</f>
        <v/>
      </c>
      <c r="W453" s="144" t="str">
        <f>IFERROR(_xlfn.XLOOKUP($B453,'Cronog. e Histog.'!$BZ:$BZ,'Cronog. e Histog.'!CR:CR),"")</f>
        <v/>
      </c>
      <c r="X453" s="144" t="str">
        <f>IFERROR(_xlfn.XLOOKUP($B453,'Cronog. e Histog.'!$BZ:$BZ,'Cronog. e Histog.'!CS:CS),"")</f>
        <v/>
      </c>
      <c r="Y453" s="144" t="str">
        <f>IFERROR(_xlfn.XLOOKUP($B453,'Cronog. e Histog.'!$BZ:$BZ,'Cronog. e Histog.'!CT:CT),"")</f>
        <v/>
      </c>
      <c r="Z453" s="144" t="str">
        <f>IFERROR(_xlfn.XLOOKUP($B453,'Cronog. e Histog.'!$BZ:$BZ,'Cronog. e Histog.'!CU:CU),"")</f>
        <v/>
      </c>
      <c r="AA453" s="144" t="str">
        <f>IFERROR(_xlfn.XLOOKUP($B453,'Cronog. e Histog.'!$BZ:$BZ,'Cronog. e Histog.'!CV:CV),"")</f>
        <v/>
      </c>
      <c r="AB453" s="144" t="str">
        <f>IFERROR(_xlfn.XLOOKUP($B453,'Cronog. e Histog.'!$BZ:$BZ,'Cronog. e Histog.'!CW:CW),"")</f>
        <v/>
      </c>
      <c r="AC453" s="144" t="str">
        <f>IFERROR(_xlfn.XLOOKUP($B453,'Cronog. e Histog.'!$BZ:$BZ,'Cronog. e Histog.'!CX:CX),"")</f>
        <v/>
      </c>
      <c r="AD453" s="144" t="str">
        <f>IFERROR(_xlfn.XLOOKUP($B453,'Cronog. e Histog.'!$BZ:$BZ,'Cronog. e Histog.'!CY:CY),"")</f>
        <v/>
      </c>
      <c r="AE453" s="144" t="str">
        <f>IFERROR(_xlfn.XLOOKUP($B453,'Cronog. e Histog.'!$BZ:$BZ,'Cronog. e Histog.'!CZ:CZ),"")</f>
        <v/>
      </c>
      <c r="AF453" s="144" t="str">
        <f>IFERROR(_xlfn.XLOOKUP($B453,'Cronog. e Histog.'!$BZ:$BZ,'Cronog. e Histog.'!DA:DA),"")</f>
        <v/>
      </c>
      <c r="AG453" s="144" t="str">
        <f>IFERROR(_xlfn.XLOOKUP($B453,'Cronog. e Histog.'!$BZ:$BZ,'Cronog. e Histog.'!DB:DB),"")</f>
        <v/>
      </c>
      <c r="AH453" s="144" t="str">
        <f>IFERROR(_xlfn.XLOOKUP($B453,'Cronog. e Histog.'!$BZ:$BZ,'Cronog. e Histog.'!DC:DC),"")</f>
        <v/>
      </c>
      <c r="AI453" s="144" t="str">
        <f>IFERROR(_xlfn.XLOOKUP($B453,'Cronog. e Histog.'!$BZ:$BZ,'Cronog. e Histog.'!DD:DD),"")</f>
        <v/>
      </c>
      <c r="AJ453" s="144" t="str">
        <f>IFERROR(_xlfn.XLOOKUP($B453,'Cronog. e Histog.'!$BZ:$BZ,'Cronog. e Histog.'!DE:DE),"")</f>
        <v/>
      </c>
      <c r="AK453" s="144" t="str">
        <f>IFERROR(_xlfn.XLOOKUP($B453,'Cronog. e Histog.'!$BZ:$BZ,'Cronog. e Histog.'!DF:DF),"")</f>
        <v/>
      </c>
      <c r="AL453" s="144" t="str">
        <f>IFERROR(_xlfn.XLOOKUP($B453,'Cronog. e Histog.'!$BZ:$BZ,'Cronog. e Histog.'!DG:DG),"")</f>
        <v/>
      </c>
      <c r="AM453" s="144" t="str">
        <f>IFERROR(_xlfn.XLOOKUP($B453,'Cronog. e Histog.'!$BZ:$BZ,'Cronog. e Histog.'!DH:DH),"")</f>
        <v/>
      </c>
      <c r="AN453" s="144" t="str">
        <f>IFERROR(_xlfn.XLOOKUP($B453,'Cronog. e Histog.'!$BZ:$BZ,'Cronog. e Histog.'!DI:DI),"")</f>
        <v/>
      </c>
      <c r="AO453" s="144" t="str">
        <f>IFERROR(_xlfn.XLOOKUP($B453,'Cronog. e Histog.'!$BZ:$BZ,'Cronog. e Histog.'!DJ:DJ),"")</f>
        <v/>
      </c>
      <c r="AP453" s="144" t="str">
        <f>IFERROR(_xlfn.XLOOKUP($B453,'Cronog. e Histog.'!$BZ:$BZ,'Cronog. e Histog.'!DK:DK),"")</f>
        <v/>
      </c>
      <c r="AQ453" s="144" t="str">
        <f>IFERROR(_xlfn.XLOOKUP($B453,'Cronog. e Histog.'!$BZ:$BZ,'Cronog. e Histog.'!DL:DL),"")</f>
        <v/>
      </c>
      <c r="AR453" s="144" t="str">
        <f>IFERROR(_xlfn.XLOOKUP($B453,'Cronog. e Histog.'!$BZ:$BZ,'Cronog. e Histog.'!DM:DM),"")</f>
        <v/>
      </c>
      <c r="AS453" s="144" t="str">
        <f>IFERROR(_xlfn.XLOOKUP($B453,'Cronog. e Histog.'!$BZ:$BZ,'Cronog. e Histog.'!DN:DN),"")</f>
        <v/>
      </c>
      <c r="AT453" s="144" t="str">
        <f>IFERROR(_xlfn.XLOOKUP($B453,'Cronog. e Histog.'!$BZ:$BZ,'Cronog. e Histog.'!DO:DO),"")</f>
        <v/>
      </c>
      <c r="AU453" s="144" t="str">
        <f>IFERROR(_xlfn.XLOOKUP($B453,'Cronog. e Histog.'!$BZ:$BZ,'Cronog. e Histog.'!DP:DP),"")</f>
        <v/>
      </c>
      <c r="AV453" s="144" t="str">
        <f>IFERROR(_xlfn.XLOOKUP($B453,'Cronog. e Histog.'!$BZ:$BZ,'Cronog. e Histog.'!DQ:DQ),"")</f>
        <v/>
      </c>
      <c r="AW453" s="144" t="str">
        <f>IFERROR(_xlfn.XLOOKUP($B453,'Cronog. e Histog.'!$BZ:$BZ,'Cronog. e Histog.'!DR:DR),"")</f>
        <v/>
      </c>
      <c r="AX453" s="144" t="str">
        <f>IFERROR(_xlfn.XLOOKUP($B453,'Cronog. e Histog.'!$BZ:$BZ,'Cronog. e Histog.'!DS:DS),"")</f>
        <v/>
      </c>
      <c r="AY453" s="144" t="str">
        <f>IFERROR(_xlfn.XLOOKUP($B453,'Cronog. e Histog.'!$BZ:$BZ,'Cronog. e Histog.'!DT:DT),"")</f>
        <v/>
      </c>
      <c r="AZ453" s="144" t="str">
        <f>IFERROR(_xlfn.XLOOKUP($B453,'Cronog. e Histog.'!$BZ:$BZ,'Cronog. e Histog.'!DU:DU),"")</f>
        <v/>
      </c>
      <c r="BA453" s="144" t="str">
        <f>IFERROR(_xlfn.XLOOKUP($B453,'Cronog. e Histog.'!$BZ:$BZ,'Cronog. e Histog.'!DV:DV),"")</f>
        <v/>
      </c>
      <c r="BB453" s="144" t="str">
        <f>IFERROR(_xlfn.XLOOKUP($B453,'Cronog. e Histog.'!$BZ:$BZ,'Cronog. e Histog.'!DW:DW),"")</f>
        <v/>
      </c>
      <c r="BC453" s="144" t="str">
        <f>IFERROR(_xlfn.XLOOKUP($B453,'Cronog. e Histog.'!$BZ:$BZ,'Cronog. e Histog.'!DX:DX),"")</f>
        <v/>
      </c>
      <c r="BD453" s="144" t="str">
        <f>IFERROR(_xlfn.XLOOKUP($B453,'Cronog. e Histog.'!$BZ:$BZ,'Cronog. e Histog.'!DY:DY),"")</f>
        <v/>
      </c>
      <c r="BE453" s="144" t="str">
        <f>IFERROR(_xlfn.XLOOKUP($B453,'Cronog. e Histog.'!$BZ:$BZ,'Cronog. e Histog.'!DZ:DZ),"")</f>
        <v/>
      </c>
      <c r="BF453" s="144" t="str">
        <f>IFERROR(_xlfn.XLOOKUP($B453,'Cronog. e Histog.'!$BZ:$BZ,'Cronog. e Histog.'!EA:EA),"")</f>
        <v/>
      </c>
      <c r="BG453" s="144" t="str">
        <f>IFERROR(_xlfn.XLOOKUP($B453,'Cronog. e Histog.'!$BZ:$BZ,'Cronog. e Histog.'!EB:EB),"")</f>
        <v/>
      </c>
      <c r="BH453" s="144" t="str">
        <f>IFERROR(_xlfn.XLOOKUP($B453,'Cronog. e Histog.'!$BZ:$BZ,'Cronog. e Histog.'!EC:EC),"")</f>
        <v/>
      </c>
      <c r="BI453" s="144" t="str">
        <f>IFERROR(_xlfn.XLOOKUP($B453,'Cronog. e Histog.'!$BZ:$BZ,'Cronog. e Histog.'!ED:ED),"")</f>
        <v/>
      </c>
      <c r="BJ453" s="144" t="str">
        <f>IFERROR(_xlfn.XLOOKUP($B453,'Cronog. e Histog.'!$BZ:$BZ,'Cronog. e Histog.'!EE:EE),"")</f>
        <v/>
      </c>
      <c r="BK453" s="144" t="str">
        <f>IFERROR(_xlfn.XLOOKUP($B453,'Cronog. e Histog.'!$BZ:$BZ,'Cronog. e Histog.'!EF:EF),"")</f>
        <v/>
      </c>
      <c r="BL453" s="144" t="str">
        <f>IFERROR(_xlfn.XLOOKUP($B453,'Cronog. e Histog.'!$BZ:$BZ,'Cronog. e Histog.'!EG:EG),"")</f>
        <v/>
      </c>
      <c r="BM453" s="144" t="str">
        <f>IFERROR(_xlfn.XLOOKUP($B453,'Cronog. e Histog.'!$BZ:$BZ,'Cronog. e Histog.'!EH:EH),"")</f>
        <v/>
      </c>
      <c r="BN453" s="144" t="str">
        <f>IFERROR(_xlfn.XLOOKUP($B453,'Cronog. e Histog.'!$BZ:$BZ,'Cronog. e Histog.'!EI:EI),"")</f>
        <v/>
      </c>
      <c r="BO453" s="65"/>
      <c r="BP453" s="65"/>
    </row>
    <row r="454" spans="2:68" ht="12" hidden="1" customHeight="1" outlineLevel="1">
      <c r="B454" s="76">
        <v>448</v>
      </c>
      <c r="C454" s="143" t="str">
        <f>IFERROR(VLOOKUP(B454,'Cronog. e Histog.'!$BZ$213:$CA$747,2,0),"")</f>
        <v/>
      </c>
      <c r="D454" s="144">
        <f t="shared" si="6"/>
        <v>0</v>
      </c>
      <c r="E454" s="144">
        <f t="shared" si="7"/>
        <v>0</v>
      </c>
      <c r="F454" s="65"/>
      <c r="G454" s="144" t="str">
        <f>IFERROR(_xlfn.XLOOKUP($B454,'Cronog. e Histog.'!$BZ:$BZ,'Cronog. e Histog.'!CB:CB),"")</f>
        <v/>
      </c>
      <c r="H454" s="144" t="str">
        <f>IFERROR(_xlfn.XLOOKUP($B454,'Cronog. e Histog.'!$BZ:$BZ,'Cronog. e Histog.'!CC:CC),"")</f>
        <v/>
      </c>
      <c r="I454" s="144" t="str">
        <f>IFERROR(_xlfn.XLOOKUP($B454,'Cronog. e Histog.'!$BZ:$BZ,'Cronog. e Histog.'!CD:CD),"")</f>
        <v/>
      </c>
      <c r="J454" s="144" t="str">
        <f>IFERROR(_xlfn.XLOOKUP($B454,'Cronog. e Histog.'!$BZ:$BZ,'Cronog. e Histog.'!CE:CE),"")</f>
        <v/>
      </c>
      <c r="K454" s="144" t="str">
        <f>IFERROR(_xlfn.XLOOKUP($B454,'Cronog. e Histog.'!$BZ:$BZ,'Cronog. e Histog.'!CF:CF),"")</f>
        <v/>
      </c>
      <c r="L454" s="144" t="str">
        <f>IFERROR(_xlfn.XLOOKUP($B454,'Cronog. e Histog.'!$BZ:$BZ,'Cronog. e Histog.'!CG:CG),"")</f>
        <v/>
      </c>
      <c r="M454" s="144" t="str">
        <f>IFERROR(_xlfn.XLOOKUP($B454,'Cronog. e Histog.'!$BZ:$BZ,'Cronog. e Histog.'!CH:CH),"")</f>
        <v/>
      </c>
      <c r="N454" s="144" t="str">
        <f>IFERROR(_xlfn.XLOOKUP($B454,'Cronog. e Histog.'!$BZ:$BZ,'Cronog. e Histog.'!CI:CI),"")</f>
        <v/>
      </c>
      <c r="O454" s="144" t="str">
        <f>IFERROR(_xlfn.XLOOKUP($B454,'Cronog. e Histog.'!$BZ:$BZ,'Cronog. e Histog.'!CJ:CJ),"")</f>
        <v/>
      </c>
      <c r="P454" s="144" t="str">
        <f>IFERROR(_xlfn.XLOOKUP($B454,'Cronog. e Histog.'!$BZ:$BZ,'Cronog. e Histog.'!CK:CK),"")</f>
        <v/>
      </c>
      <c r="Q454" s="144" t="str">
        <f>IFERROR(_xlfn.XLOOKUP($B454,'Cronog. e Histog.'!$BZ:$BZ,'Cronog. e Histog.'!CL:CL),"")</f>
        <v/>
      </c>
      <c r="R454" s="144" t="str">
        <f>IFERROR(_xlfn.XLOOKUP($B454,'Cronog. e Histog.'!$BZ:$BZ,'Cronog. e Histog.'!CM:CM),"")</f>
        <v/>
      </c>
      <c r="S454" s="144" t="str">
        <f>IFERROR(_xlfn.XLOOKUP($B454,'Cronog. e Histog.'!$BZ:$BZ,'Cronog. e Histog.'!CN:CN),"")</f>
        <v/>
      </c>
      <c r="T454" s="144" t="str">
        <f>IFERROR(_xlfn.XLOOKUP($B454,'Cronog. e Histog.'!$BZ:$BZ,'Cronog. e Histog.'!CO:CO),"")</f>
        <v/>
      </c>
      <c r="U454" s="144" t="str">
        <f>IFERROR(_xlfn.XLOOKUP($B454,'Cronog. e Histog.'!$BZ:$BZ,'Cronog. e Histog.'!CP:CP),"")</f>
        <v/>
      </c>
      <c r="V454" s="144" t="str">
        <f>IFERROR(_xlfn.XLOOKUP($B454,'Cronog. e Histog.'!$BZ:$BZ,'Cronog. e Histog.'!CQ:CQ),"")</f>
        <v/>
      </c>
      <c r="W454" s="144" t="str">
        <f>IFERROR(_xlfn.XLOOKUP($B454,'Cronog. e Histog.'!$BZ:$BZ,'Cronog. e Histog.'!CR:CR),"")</f>
        <v/>
      </c>
      <c r="X454" s="144" t="str">
        <f>IFERROR(_xlfn.XLOOKUP($B454,'Cronog. e Histog.'!$BZ:$BZ,'Cronog. e Histog.'!CS:CS),"")</f>
        <v/>
      </c>
      <c r="Y454" s="144" t="str">
        <f>IFERROR(_xlfn.XLOOKUP($B454,'Cronog. e Histog.'!$BZ:$BZ,'Cronog. e Histog.'!CT:CT),"")</f>
        <v/>
      </c>
      <c r="Z454" s="144" t="str">
        <f>IFERROR(_xlfn.XLOOKUP($B454,'Cronog. e Histog.'!$BZ:$BZ,'Cronog. e Histog.'!CU:CU),"")</f>
        <v/>
      </c>
      <c r="AA454" s="144" t="str">
        <f>IFERROR(_xlfn.XLOOKUP($B454,'Cronog. e Histog.'!$BZ:$BZ,'Cronog. e Histog.'!CV:CV),"")</f>
        <v/>
      </c>
      <c r="AB454" s="144" t="str">
        <f>IFERROR(_xlfn.XLOOKUP($B454,'Cronog. e Histog.'!$BZ:$BZ,'Cronog. e Histog.'!CW:CW),"")</f>
        <v/>
      </c>
      <c r="AC454" s="144" t="str">
        <f>IFERROR(_xlfn.XLOOKUP($B454,'Cronog. e Histog.'!$BZ:$BZ,'Cronog. e Histog.'!CX:CX),"")</f>
        <v/>
      </c>
      <c r="AD454" s="144" t="str">
        <f>IFERROR(_xlfn.XLOOKUP($B454,'Cronog. e Histog.'!$BZ:$BZ,'Cronog. e Histog.'!CY:CY),"")</f>
        <v/>
      </c>
      <c r="AE454" s="144" t="str">
        <f>IFERROR(_xlfn.XLOOKUP($B454,'Cronog. e Histog.'!$BZ:$BZ,'Cronog. e Histog.'!CZ:CZ),"")</f>
        <v/>
      </c>
      <c r="AF454" s="144" t="str">
        <f>IFERROR(_xlfn.XLOOKUP($B454,'Cronog. e Histog.'!$BZ:$BZ,'Cronog. e Histog.'!DA:DA),"")</f>
        <v/>
      </c>
      <c r="AG454" s="144" t="str">
        <f>IFERROR(_xlfn.XLOOKUP($B454,'Cronog. e Histog.'!$BZ:$BZ,'Cronog. e Histog.'!DB:DB),"")</f>
        <v/>
      </c>
      <c r="AH454" s="144" t="str">
        <f>IFERROR(_xlfn.XLOOKUP($B454,'Cronog. e Histog.'!$BZ:$BZ,'Cronog. e Histog.'!DC:DC),"")</f>
        <v/>
      </c>
      <c r="AI454" s="144" t="str">
        <f>IFERROR(_xlfn.XLOOKUP($B454,'Cronog. e Histog.'!$BZ:$BZ,'Cronog. e Histog.'!DD:DD),"")</f>
        <v/>
      </c>
      <c r="AJ454" s="144" t="str">
        <f>IFERROR(_xlfn.XLOOKUP($B454,'Cronog. e Histog.'!$BZ:$BZ,'Cronog. e Histog.'!DE:DE),"")</f>
        <v/>
      </c>
      <c r="AK454" s="144" t="str">
        <f>IFERROR(_xlfn.XLOOKUP($B454,'Cronog. e Histog.'!$BZ:$BZ,'Cronog. e Histog.'!DF:DF),"")</f>
        <v/>
      </c>
      <c r="AL454" s="144" t="str">
        <f>IFERROR(_xlfn.XLOOKUP($B454,'Cronog. e Histog.'!$BZ:$BZ,'Cronog. e Histog.'!DG:DG),"")</f>
        <v/>
      </c>
      <c r="AM454" s="144" t="str">
        <f>IFERROR(_xlfn.XLOOKUP($B454,'Cronog. e Histog.'!$BZ:$BZ,'Cronog. e Histog.'!DH:DH),"")</f>
        <v/>
      </c>
      <c r="AN454" s="144" t="str">
        <f>IFERROR(_xlfn.XLOOKUP($B454,'Cronog. e Histog.'!$BZ:$BZ,'Cronog. e Histog.'!DI:DI),"")</f>
        <v/>
      </c>
      <c r="AO454" s="144" t="str">
        <f>IFERROR(_xlfn.XLOOKUP($B454,'Cronog. e Histog.'!$BZ:$BZ,'Cronog. e Histog.'!DJ:DJ),"")</f>
        <v/>
      </c>
      <c r="AP454" s="144" t="str">
        <f>IFERROR(_xlfn.XLOOKUP($B454,'Cronog. e Histog.'!$BZ:$BZ,'Cronog. e Histog.'!DK:DK),"")</f>
        <v/>
      </c>
      <c r="AQ454" s="144" t="str">
        <f>IFERROR(_xlfn.XLOOKUP($B454,'Cronog. e Histog.'!$BZ:$BZ,'Cronog. e Histog.'!DL:DL),"")</f>
        <v/>
      </c>
      <c r="AR454" s="144" t="str">
        <f>IFERROR(_xlfn.XLOOKUP($B454,'Cronog. e Histog.'!$BZ:$BZ,'Cronog. e Histog.'!DM:DM),"")</f>
        <v/>
      </c>
      <c r="AS454" s="144" t="str">
        <f>IFERROR(_xlfn.XLOOKUP($B454,'Cronog. e Histog.'!$BZ:$BZ,'Cronog. e Histog.'!DN:DN),"")</f>
        <v/>
      </c>
      <c r="AT454" s="144" t="str">
        <f>IFERROR(_xlfn.XLOOKUP($B454,'Cronog. e Histog.'!$BZ:$BZ,'Cronog. e Histog.'!DO:DO),"")</f>
        <v/>
      </c>
      <c r="AU454" s="144" t="str">
        <f>IFERROR(_xlfn.XLOOKUP($B454,'Cronog. e Histog.'!$BZ:$BZ,'Cronog. e Histog.'!DP:DP),"")</f>
        <v/>
      </c>
      <c r="AV454" s="144" t="str">
        <f>IFERROR(_xlfn.XLOOKUP($B454,'Cronog. e Histog.'!$BZ:$BZ,'Cronog. e Histog.'!DQ:DQ),"")</f>
        <v/>
      </c>
      <c r="AW454" s="144" t="str">
        <f>IFERROR(_xlfn.XLOOKUP($B454,'Cronog. e Histog.'!$BZ:$BZ,'Cronog. e Histog.'!DR:DR),"")</f>
        <v/>
      </c>
      <c r="AX454" s="144" t="str">
        <f>IFERROR(_xlfn.XLOOKUP($B454,'Cronog. e Histog.'!$BZ:$BZ,'Cronog. e Histog.'!DS:DS),"")</f>
        <v/>
      </c>
      <c r="AY454" s="144" t="str">
        <f>IFERROR(_xlfn.XLOOKUP($B454,'Cronog. e Histog.'!$BZ:$BZ,'Cronog. e Histog.'!DT:DT),"")</f>
        <v/>
      </c>
      <c r="AZ454" s="144" t="str">
        <f>IFERROR(_xlfn.XLOOKUP($B454,'Cronog. e Histog.'!$BZ:$BZ,'Cronog. e Histog.'!DU:DU),"")</f>
        <v/>
      </c>
      <c r="BA454" s="144" t="str">
        <f>IFERROR(_xlfn.XLOOKUP($B454,'Cronog. e Histog.'!$BZ:$BZ,'Cronog. e Histog.'!DV:DV),"")</f>
        <v/>
      </c>
      <c r="BB454" s="144" t="str">
        <f>IFERROR(_xlfn.XLOOKUP($B454,'Cronog. e Histog.'!$BZ:$BZ,'Cronog. e Histog.'!DW:DW),"")</f>
        <v/>
      </c>
      <c r="BC454" s="144" t="str">
        <f>IFERROR(_xlfn.XLOOKUP($B454,'Cronog. e Histog.'!$BZ:$BZ,'Cronog. e Histog.'!DX:DX),"")</f>
        <v/>
      </c>
      <c r="BD454" s="144" t="str">
        <f>IFERROR(_xlfn.XLOOKUP($B454,'Cronog. e Histog.'!$BZ:$BZ,'Cronog. e Histog.'!DY:DY),"")</f>
        <v/>
      </c>
      <c r="BE454" s="144" t="str">
        <f>IFERROR(_xlfn.XLOOKUP($B454,'Cronog. e Histog.'!$BZ:$BZ,'Cronog. e Histog.'!DZ:DZ),"")</f>
        <v/>
      </c>
      <c r="BF454" s="144" t="str">
        <f>IFERROR(_xlfn.XLOOKUP($B454,'Cronog. e Histog.'!$BZ:$BZ,'Cronog. e Histog.'!EA:EA),"")</f>
        <v/>
      </c>
      <c r="BG454" s="144" t="str">
        <f>IFERROR(_xlfn.XLOOKUP($B454,'Cronog. e Histog.'!$BZ:$BZ,'Cronog. e Histog.'!EB:EB),"")</f>
        <v/>
      </c>
      <c r="BH454" s="144" t="str">
        <f>IFERROR(_xlfn.XLOOKUP($B454,'Cronog. e Histog.'!$BZ:$BZ,'Cronog. e Histog.'!EC:EC),"")</f>
        <v/>
      </c>
      <c r="BI454" s="144" t="str">
        <f>IFERROR(_xlfn.XLOOKUP($B454,'Cronog. e Histog.'!$BZ:$BZ,'Cronog. e Histog.'!ED:ED),"")</f>
        <v/>
      </c>
      <c r="BJ454" s="144" t="str">
        <f>IFERROR(_xlfn.XLOOKUP($B454,'Cronog. e Histog.'!$BZ:$BZ,'Cronog. e Histog.'!EE:EE),"")</f>
        <v/>
      </c>
      <c r="BK454" s="144" t="str">
        <f>IFERROR(_xlfn.XLOOKUP($B454,'Cronog. e Histog.'!$BZ:$BZ,'Cronog. e Histog.'!EF:EF),"")</f>
        <v/>
      </c>
      <c r="BL454" s="144" t="str">
        <f>IFERROR(_xlfn.XLOOKUP($B454,'Cronog. e Histog.'!$BZ:$BZ,'Cronog. e Histog.'!EG:EG),"")</f>
        <v/>
      </c>
      <c r="BM454" s="144" t="str">
        <f>IFERROR(_xlfn.XLOOKUP($B454,'Cronog. e Histog.'!$BZ:$BZ,'Cronog. e Histog.'!EH:EH),"")</f>
        <v/>
      </c>
      <c r="BN454" s="144" t="str">
        <f>IFERROR(_xlfn.XLOOKUP($B454,'Cronog. e Histog.'!$BZ:$BZ,'Cronog. e Histog.'!EI:EI),"")</f>
        <v/>
      </c>
      <c r="BO454" s="65"/>
      <c r="BP454" s="65"/>
    </row>
    <row r="455" spans="2:68" ht="12" hidden="1" customHeight="1" outlineLevel="1">
      <c r="B455" s="76">
        <v>449</v>
      </c>
      <c r="C455" s="143" t="str">
        <f>IFERROR(VLOOKUP(B455,'Cronog. e Histog.'!$BZ$213:$CA$747,2,0),"")</f>
        <v/>
      </c>
      <c r="D455" s="144">
        <f t="shared" si="6"/>
        <v>0</v>
      </c>
      <c r="E455" s="144">
        <f t="shared" si="7"/>
        <v>0</v>
      </c>
      <c r="F455" s="65"/>
      <c r="G455" s="144" t="str">
        <f>IFERROR(_xlfn.XLOOKUP($B455,'Cronog. e Histog.'!$BZ:$BZ,'Cronog. e Histog.'!CB:CB),"")</f>
        <v/>
      </c>
      <c r="H455" s="144" t="str">
        <f>IFERROR(_xlfn.XLOOKUP($B455,'Cronog. e Histog.'!$BZ:$BZ,'Cronog. e Histog.'!CC:CC),"")</f>
        <v/>
      </c>
      <c r="I455" s="144" t="str">
        <f>IFERROR(_xlfn.XLOOKUP($B455,'Cronog. e Histog.'!$BZ:$BZ,'Cronog. e Histog.'!CD:CD),"")</f>
        <v/>
      </c>
      <c r="J455" s="144" t="str">
        <f>IFERROR(_xlfn.XLOOKUP($B455,'Cronog. e Histog.'!$BZ:$BZ,'Cronog. e Histog.'!CE:CE),"")</f>
        <v/>
      </c>
      <c r="K455" s="144" t="str">
        <f>IFERROR(_xlfn.XLOOKUP($B455,'Cronog. e Histog.'!$BZ:$BZ,'Cronog. e Histog.'!CF:CF),"")</f>
        <v/>
      </c>
      <c r="L455" s="144" t="str">
        <f>IFERROR(_xlfn.XLOOKUP($B455,'Cronog. e Histog.'!$BZ:$BZ,'Cronog. e Histog.'!CG:CG),"")</f>
        <v/>
      </c>
      <c r="M455" s="144" t="str">
        <f>IFERROR(_xlfn.XLOOKUP($B455,'Cronog. e Histog.'!$BZ:$BZ,'Cronog. e Histog.'!CH:CH),"")</f>
        <v/>
      </c>
      <c r="N455" s="144" t="str">
        <f>IFERROR(_xlfn.XLOOKUP($B455,'Cronog. e Histog.'!$BZ:$BZ,'Cronog. e Histog.'!CI:CI),"")</f>
        <v/>
      </c>
      <c r="O455" s="144" t="str">
        <f>IFERROR(_xlfn.XLOOKUP($B455,'Cronog. e Histog.'!$BZ:$BZ,'Cronog. e Histog.'!CJ:CJ),"")</f>
        <v/>
      </c>
      <c r="P455" s="144" t="str">
        <f>IFERROR(_xlfn.XLOOKUP($B455,'Cronog. e Histog.'!$BZ:$BZ,'Cronog. e Histog.'!CK:CK),"")</f>
        <v/>
      </c>
      <c r="Q455" s="144" t="str">
        <f>IFERROR(_xlfn.XLOOKUP($B455,'Cronog. e Histog.'!$BZ:$BZ,'Cronog. e Histog.'!CL:CL),"")</f>
        <v/>
      </c>
      <c r="R455" s="144" t="str">
        <f>IFERROR(_xlfn.XLOOKUP($B455,'Cronog. e Histog.'!$BZ:$BZ,'Cronog. e Histog.'!CM:CM),"")</f>
        <v/>
      </c>
      <c r="S455" s="144" t="str">
        <f>IFERROR(_xlfn.XLOOKUP($B455,'Cronog. e Histog.'!$BZ:$BZ,'Cronog. e Histog.'!CN:CN),"")</f>
        <v/>
      </c>
      <c r="T455" s="144" t="str">
        <f>IFERROR(_xlfn.XLOOKUP($B455,'Cronog. e Histog.'!$BZ:$BZ,'Cronog. e Histog.'!CO:CO),"")</f>
        <v/>
      </c>
      <c r="U455" s="144" t="str">
        <f>IFERROR(_xlfn.XLOOKUP($B455,'Cronog. e Histog.'!$BZ:$BZ,'Cronog. e Histog.'!CP:CP),"")</f>
        <v/>
      </c>
      <c r="V455" s="144" t="str">
        <f>IFERROR(_xlfn.XLOOKUP($B455,'Cronog. e Histog.'!$BZ:$BZ,'Cronog. e Histog.'!CQ:CQ),"")</f>
        <v/>
      </c>
      <c r="W455" s="144" t="str">
        <f>IFERROR(_xlfn.XLOOKUP($B455,'Cronog. e Histog.'!$BZ:$BZ,'Cronog. e Histog.'!CR:CR),"")</f>
        <v/>
      </c>
      <c r="X455" s="144" t="str">
        <f>IFERROR(_xlfn.XLOOKUP($B455,'Cronog. e Histog.'!$BZ:$BZ,'Cronog. e Histog.'!CS:CS),"")</f>
        <v/>
      </c>
      <c r="Y455" s="144" t="str">
        <f>IFERROR(_xlfn.XLOOKUP($B455,'Cronog. e Histog.'!$BZ:$BZ,'Cronog. e Histog.'!CT:CT),"")</f>
        <v/>
      </c>
      <c r="Z455" s="144" t="str">
        <f>IFERROR(_xlfn.XLOOKUP($B455,'Cronog. e Histog.'!$BZ:$BZ,'Cronog. e Histog.'!CU:CU),"")</f>
        <v/>
      </c>
      <c r="AA455" s="144" t="str">
        <f>IFERROR(_xlfn.XLOOKUP($B455,'Cronog. e Histog.'!$BZ:$BZ,'Cronog. e Histog.'!CV:CV),"")</f>
        <v/>
      </c>
      <c r="AB455" s="144" t="str">
        <f>IFERROR(_xlfn.XLOOKUP($B455,'Cronog. e Histog.'!$BZ:$BZ,'Cronog. e Histog.'!CW:CW),"")</f>
        <v/>
      </c>
      <c r="AC455" s="144" t="str">
        <f>IFERROR(_xlfn.XLOOKUP($B455,'Cronog. e Histog.'!$BZ:$BZ,'Cronog. e Histog.'!CX:CX),"")</f>
        <v/>
      </c>
      <c r="AD455" s="144" t="str">
        <f>IFERROR(_xlfn.XLOOKUP($B455,'Cronog. e Histog.'!$BZ:$BZ,'Cronog. e Histog.'!CY:CY),"")</f>
        <v/>
      </c>
      <c r="AE455" s="144" t="str">
        <f>IFERROR(_xlfn.XLOOKUP($B455,'Cronog. e Histog.'!$BZ:$BZ,'Cronog. e Histog.'!CZ:CZ),"")</f>
        <v/>
      </c>
      <c r="AF455" s="144" t="str">
        <f>IFERROR(_xlfn.XLOOKUP($B455,'Cronog. e Histog.'!$BZ:$BZ,'Cronog. e Histog.'!DA:DA),"")</f>
        <v/>
      </c>
      <c r="AG455" s="144" t="str">
        <f>IFERROR(_xlfn.XLOOKUP($B455,'Cronog. e Histog.'!$BZ:$BZ,'Cronog. e Histog.'!DB:DB),"")</f>
        <v/>
      </c>
      <c r="AH455" s="144" t="str">
        <f>IFERROR(_xlfn.XLOOKUP($B455,'Cronog. e Histog.'!$BZ:$BZ,'Cronog. e Histog.'!DC:DC),"")</f>
        <v/>
      </c>
      <c r="AI455" s="144" t="str">
        <f>IFERROR(_xlfn.XLOOKUP($B455,'Cronog. e Histog.'!$BZ:$BZ,'Cronog. e Histog.'!DD:DD),"")</f>
        <v/>
      </c>
      <c r="AJ455" s="144" t="str">
        <f>IFERROR(_xlfn.XLOOKUP($B455,'Cronog. e Histog.'!$BZ:$BZ,'Cronog. e Histog.'!DE:DE),"")</f>
        <v/>
      </c>
      <c r="AK455" s="144" t="str">
        <f>IFERROR(_xlfn.XLOOKUP($B455,'Cronog. e Histog.'!$BZ:$BZ,'Cronog. e Histog.'!DF:DF),"")</f>
        <v/>
      </c>
      <c r="AL455" s="144" t="str">
        <f>IFERROR(_xlfn.XLOOKUP($B455,'Cronog. e Histog.'!$BZ:$BZ,'Cronog. e Histog.'!DG:DG),"")</f>
        <v/>
      </c>
      <c r="AM455" s="144" t="str">
        <f>IFERROR(_xlfn.XLOOKUP($B455,'Cronog. e Histog.'!$BZ:$BZ,'Cronog. e Histog.'!DH:DH),"")</f>
        <v/>
      </c>
      <c r="AN455" s="144" t="str">
        <f>IFERROR(_xlfn.XLOOKUP($B455,'Cronog. e Histog.'!$BZ:$BZ,'Cronog. e Histog.'!DI:DI),"")</f>
        <v/>
      </c>
      <c r="AO455" s="144" t="str">
        <f>IFERROR(_xlfn.XLOOKUP($B455,'Cronog. e Histog.'!$BZ:$BZ,'Cronog. e Histog.'!DJ:DJ),"")</f>
        <v/>
      </c>
      <c r="AP455" s="144" t="str">
        <f>IFERROR(_xlfn.XLOOKUP($B455,'Cronog. e Histog.'!$BZ:$BZ,'Cronog. e Histog.'!DK:DK),"")</f>
        <v/>
      </c>
      <c r="AQ455" s="144" t="str">
        <f>IFERROR(_xlfn.XLOOKUP($B455,'Cronog. e Histog.'!$BZ:$BZ,'Cronog. e Histog.'!DL:DL),"")</f>
        <v/>
      </c>
      <c r="AR455" s="144" t="str">
        <f>IFERROR(_xlfn.XLOOKUP($B455,'Cronog. e Histog.'!$BZ:$BZ,'Cronog. e Histog.'!DM:DM),"")</f>
        <v/>
      </c>
      <c r="AS455" s="144" t="str">
        <f>IFERROR(_xlfn.XLOOKUP($B455,'Cronog. e Histog.'!$BZ:$BZ,'Cronog. e Histog.'!DN:DN),"")</f>
        <v/>
      </c>
      <c r="AT455" s="144" t="str">
        <f>IFERROR(_xlfn.XLOOKUP($B455,'Cronog. e Histog.'!$BZ:$BZ,'Cronog. e Histog.'!DO:DO),"")</f>
        <v/>
      </c>
      <c r="AU455" s="144" t="str">
        <f>IFERROR(_xlfn.XLOOKUP($B455,'Cronog. e Histog.'!$BZ:$BZ,'Cronog. e Histog.'!DP:DP),"")</f>
        <v/>
      </c>
      <c r="AV455" s="144" t="str">
        <f>IFERROR(_xlfn.XLOOKUP($B455,'Cronog. e Histog.'!$BZ:$BZ,'Cronog. e Histog.'!DQ:DQ),"")</f>
        <v/>
      </c>
      <c r="AW455" s="144" t="str">
        <f>IFERROR(_xlfn.XLOOKUP($B455,'Cronog. e Histog.'!$BZ:$BZ,'Cronog. e Histog.'!DR:DR),"")</f>
        <v/>
      </c>
      <c r="AX455" s="144" t="str">
        <f>IFERROR(_xlfn.XLOOKUP($B455,'Cronog. e Histog.'!$BZ:$BZ,'Cronog. e Histog.'!DS:DS),"")</f>
        <v/>
      </c>
      <c r="AY455" s="144" t="str">
        <f>IFERROR(_xlfn.XLOOKUP($B455,'Cronog. e Histog.'!$BZ:$BZ,'Cronog. e Histog.'!DT:DT),"")</f>
        <v/>
      </c>
      <c r="AZ455" s="144" t="str">
        <f>IFERROR(_xlfn.XLOOKUP($B455,'Cronog. e Histog.'!$BZ:$BZ,'Cronog. e Histog.'!DU:DU),"")</f>
        <v/>
      </c>
      <c r="BA455" s="144" t="str">
        <f>IFERROR(_xlfn.XLOOKUP($B455,'Cronog. e Histog.'!$BZ:$BZ,'Cronog. e Histog.'!DV:DV),"")</f>
        <v/>
      </c>
      <c r="BB455" s="144" t="str">
        <f>IFERROR(_xlfn.XLOOKUP($B455,'Cronog. e Histog.'!$BZ:$BZ,'Cronog. e Histog.'!DW:DW),"")</f>
        <v/>
      </c>
      <c r="BC455" s="144" t="str">
        <f>IFERROR(_xlfn.XLOOKUP($B455,'Cronog. e Histog.'!$BZ:$BZ,'Cronog. e Histog.'!DX:DX),"")</f>
        <v/>
      </c>
      <c r="BD455" s="144" t="str">
        <f>IFERROR(_xlfn.XLOOKUP($B455,'Cronog. e Histog.'!$BZ:$BZ,'Cronog. e Histog.'!DY:DY),"")</f>
        <v/>
      </c>
      <c r="BE455" s="144" t="str">
        <f>IFERROR(_xlfn.XLOOKUP($B455,'Cronog. e Histog.'!$BZ:$BZ,'Cronog. e Histog.'!DZ:DZ),"")</f>
        <v/>
      </c>
      <c r="BF455" s="144" t="str">
        <f>IFERROR(_xlfn.XLOOKUP($B455,'Cronog. e Histog.'!$BZ:$BZ,'Cronog. e Histog.'!EA:EA),"")</f>
        <v/>
      </c>
      <c r="BG455" s="144" t="str">
        <f>IFERROR(_xlfn.XLOOKUP($B455,'Cronog. e Histog.'!$BZ:$BZ,'Cronog. e Histog.'!EB:EB),"")</f>
        <v/>
      </c>
      <c r="BH455" s="144" t="str">
        <f>IFERROR(_xlfn.XLOOKUP($B455,'Cronog. e Histog.'!$BZ:$BZ,'Cronog. e Histog.'!EC:EC),"")</f>
        <v/>
      </c>
      <c r="BI455" s="144" t="str">
        <f>IFERROR(_xlfn.XLOOKUP($B455,'Cronog. e Histog.'!$BZ:$BZ,'Cronog. e Histog.'!ED:ED),"")</f>
        <v/>
      </c>
      <c r="BJ455" s="144" t="str">
        <f>IFERROR(_xlfn.XLOOKUP($B455,'Cronog. e Histog.'!$BZ:$BZ,'Cronog. e Histog.'!EE:EE),"")</f>
        <v/>
      </c>
      <c r="BK455" s="144" t="str">
        <f>IFERROR(_xlfn.XLOOKUP($B455,'Cronog. e Histog.'!$BZ:$BZ,'Cronog. e Histog.'!EF:EF),"")</f>
        <v/>
      </c>
      <c r="BL455" s="144" t="str">
        <f>IFERROR(_xlfn.XLOOKUP($B455,'Cronog. e Histog.'!$BZ:$BZ,'Cronog. e Histog.'!EG:EG),"")</f>
        <v/>
      </c>
      <c r="BM455" s="144" t="str">
        <f>IFERROR(_xlfn.XLOOKUP($B455,'Cronog. e Histog.'!$BZ:$BZ,'Cronog. e Histog.'!EH:EH),"")</f>
        <v/>
      </c>
      <c r="BN455" s="144" t="str">
        <f>IFERROR(_xlfn.XLOOKUP($B455,'Cronog. e Histog.'!$BZ:$BZ,'Cronog. e Histog.'!EI:EI),"")</f>
        <v/>
      </c>
      <c r="BO455" s="65"/>
      <c r="BP455" s="65"/>
    </row>
    <row r="456" spans="2:68" ht="12" hidden="1" customHeight="1" outlineLevel="1">
      <c r="B456" s="76">
        <v>450</v>
      </c>
      <c r="C456" s="143" t="str">
        <f>IFERROR(VLOOKUP(B456,'Cronog. e Histog.'!$BZ$213:$CA$747,2,0),"")</f>
        <v/>
      </c>
      <c r="D456" s="144">
        <f t="shared" si="6"/>
        <v>0</v>
      </c>
      <c r="E456" s="144">
        <f t="shared" si="7"/>
        <v>0</v>
      </c>
      <c r="F456" s="65"/>
      <c r="G456" s="144" t="str">
        <f>IFERROR(_xlfn.XLOOKUP($B456,'Cronog. e Histog.'!$BZ:$BZ,'Cronog. e Histog.'!CB:CB),"")</f>
        <v/>
      </c>
      <c r="H456" s="144" t="str">
        <f>IFERROR(_xlfn.XLOOKUP($B456,'Cronog. e Histog.'!$BZ:$BZ,'Cronog. e Histog.'!CC:CC),"")</f>
        <v/>
      </c>
      <c r="I456" s="144" t="str">
        <f>IFERROR(_xlfn.XLOOKUP($B456,'Cronog. e Histog.'!$BZ:$BZ,'Cronog. e Histog.'!CD:CD),"")</f>
        <v/>
      </c>
      <c r="J456" s="144" t="str">
        <f>IFERROR(_xlfn.XLOOKUP($B456,'Cronog. e Histog.'!$BZ:$BZ,'Cronog. e Histog.'!CE:CE),"")</f>
        <v/>
      </c>
      <c r="K456" s="144" t="str">
        <f>IFERROR(_xlfn.XLOOKUP($B456,'Cronog. e Histog.'!$BZ:$BZ,'Cronog. e Histog.'!CF:CF),"")</f>
        <v/>
      </c>
      <c r="L456" s="144" t="str">
        <f>IFERROR(_xlfn.XLOOKUP($B456,'Cronog. e Histog.'!$BZ:$BZ,'Cronog. e Histog.'!CG:CG),"")</f>
        <v/>
      </c>
      <c r="M456" s="144" t="str">
        <f>IFERROR(_xlfn.XLOOKUP($B456,'Cronog. e Histog.'!$BZ:$BZ,'Cronog. e Histog.'!CH:CH),"")</f>
        <v/>
      </c>
      <c r="N456" s="144" t="str">
        <f>IFERROR(_xlfn.XLOOKUP($B456,'Cronog. e Histog.'!$BZ:$BZ,'Cronog. e Histog.'!CI:CI),"")</f>
        <v/>
      </c>
      <c r="O456" s="144" t="str">
        <f>IFERROR(_xlfn.XLOOKUP($B456,'Cronog. e Histog.'!$BZ:$BZ,'Cronog. e Histog.'!CJ:CJ),"")</f>
        <v/>
      </c>
      <c r="P456" s="144" t="str">
        <f>IFERROR(_xlfn.XLOOKUP($B456,'Cronog. e Histog.'!$BZ:$BZ,'Cronog. e Histog.'!CK:CK),"")</f>
        <v/>
      </c>
      <c r="Q456" s="144" t="str">
        <f>IFERROR(_xlfn.XLOOKUP($B456,'Cronog. e Histog.'!$BZ:$BZ,'Cronog. e Histog.'!CL:CL),"")</f>
        <v/>
      </c>
      <c r="R456" s="144" t="str">
        <f>IFERROR(_xlfn.XLOOKUP($B456,'Cronog. e Histog.'!$BZ:$BZ,'Cronog. e Histog.'!CM:CM),"")</f>
        <v/>
      </c>
      <c r="S456" s="144" t="str">
        <f>IFERROR(_xlfn.XLOOKUP($B456,'Cronog. e Histog.'!$BZ:$BZ,'Cronog. e Histog.'!CN:CN),"")</f>
        <v/>
      </c>
      <c r="T456" s="144" t="str">
        <f>IFERROR(_xlfn.XLOOKUP($B456,'Cronog. e Histog.'!$BZ:$BZ,'Cronog. e Histog.'!CO:CO),"")</f>
        <v/>
      </c>
      <c r="U456" s="144" t="str">
        <f>IFERROR(_xlfn.XLOOKUP($B456,'Cronog. e Histog.'!$BZ:$BZ,'Cronog. e Histog.'!CP:CP),"")</f>
        <v/>
      </c>
      <c r="V456" s="144" t="str">
        <f>IFERROR(_xlfn.XLOOKUP($B456,'Cronog. e Histog.'!$BZ:$BZ,'Cronog. e Histog.'!CQ:CQ),"")</f>
        <v/>
      </c>
      <c r="W456" s="144" t="str">
        <f>IFERROR(_xlfn.XLOOKUP($B456,'Cronog. e Histog.'!$BZ:$BZ,'Cronog. e Histog.'!CR:CR),"")</f>
        <v/>
      </c>
      <c r="X456" s="144" t="str">
        <f>IFERROR(_xlfn.XLOOKUP($B456,'Cronog. e Histog.'!$BZ:$BZ,'Cronog. e Histog.'!CS:CS),"")</f>
        <v/>
      </c>
      <c r="Y456" s="144" t="str">
        <f>IFERROR(_xlfn.XLOOKUP($B456,'Cronog. e Histog.'!$BZ:$BZ,'Cronog. e Histog.'!CT:CT),"")</f>
        <v/>
      </c>
      <c r="Z456" s="144" t="str">
        <f>IFERROR(_xlfn.XLOOKUP($B456,'Cronog. e Histog.'!$BZ:$BZ,'Cronog. e Histog.'!CU:CU),"")</f>
        <v/>
      </c>
      <c r="AA456" s="144" t="str">
        <f>IFERROR(_xlfn.XLOOKUP($B456,'Cronog. e Histog.'!$BZ:$BZ,'Cronog. e Histog.'!CV:CV),"")</f>
        <v/>
      </c>
      <c r="AB456" s="144" t="str">
        <f>IFERROR(_xlfn.XLOOKUP($B456,'Cronog. e Histog.'!$BZ:$BZ,'Cronog. e Histog.'!CW:CW),"")</f>
        <v/>
      </c>
      <c r="AC456" s="144" t="str">
        <f>IFERROR(_xlfn.XLOOKUP($B456,'Cronog. e Histog.'!$BZ:$BZ,'Cronog. e Histog.'!CX:CX),"")</f>
        <v/>
      </c>
      <c r="AD456" s="144" t="str">
        <f>IFERROR(_xlfn.XLOOKUP($B456,'Cronog. e Histog.'!$BZ:$BZ,'Cronog. e Histog.'!CY:CY),"")</f>
        <v/>
      </c>
      <c r="AE456" s="144" t="str">
        <f>IFERROR(_xlfn.XLOOKUP($B456,'Cronog. e Histog.'!$BZ:$BZ,'Cronog. e Histog.'!CZ:CZ),"")</f>
        <v/>
      </c>
      <c r="AF456" s="144" t="str">
        <f>IFERROR(_xlfn.XLOOKUP($B456,'Cronog. e Histog.'!$BZ:$BZ,'Cronog. e Histog.'!DA:DA),"")</f>
        <v/>
      </c>
      <c r="AG456" s="144" t="str">
        <f>IFERROR(_xlfn.XLOOKUP($B456,'Cronog. e Histog.'!$BZ:$BZ,'Cronog. e Histog.'!DB:DB),"")</f>
        <v/>
      </c>
      <c r="AH456" s="144" t="str">
        <f>IFERROR(_xlfn.XLOOKUP($B456,'Cronog. e Histog.'!$BZ:$BZ,'Cronog. e Histog.'!DC:DC),"")</f>
        <v/>
      </c>
      <c r="AI456" s="144" t="str">
        <f>IFERROR(_xlfn.XLOOKUP($B456,'Cronog. e Histog.'!$BZ:$BZ,'Cronog. e Histog.'!DD:DD),"")</f>
        <v/>
      </c>
      <c r="AJ456" s="144" t="str">
        <f>IFERROR(_xlfn.XLOOKUP($B456,'Cronog. e Histog.'!$BZ:$BZ,'Cronog. e Histog.'!DE:DE),"")</f>
        <v/>
      </c>
      <c r="AK456" s="144" t="str">
        <f>IFERROR(_xlfn.XLOOKUP($B456,'Cronog. e Histog.'!$BZ:$BZ,'Cronog. e Histog.'!DF:DF),"")</f>
        <v/>
      </c>
      <c r="AL456" s="144" t="str">
        <f>IFERROR(_xlfn.XLOOKUP($B456,'Cronog. e Histog.'!$BZ:$BZ,'Cronog. e Histog.'!DG:DG),"")</f>
        <v/>
      </c>
      <c r="AM456" s="144" t="str">
        <f>IFERROR(_xlfn.XLOOKUP($B456,'Cronog. e Histog.'!$BZ:$BZ,'Cronog. e Histog.'!DH:DH),"")</f>
        <v/>
      </c>
      <c r="AN456" s="144" t="str">
        <f>IFERROR(_xlfn.XLOOKUP($B456,'Cronog. e Histog.'!$BZ:$BZ,'Cronog. e Histog.'!DI:DI),"")</f>
        <v/>
      </c>
      <c r="AO456" s="144" t="str">
        <f>IFERROR(_xlfn.XLOOKUP($B456,'Cronog. e Histog.'!$BZ:$BZ,'Cronog. e Histog.'!DJ:DJ),"")</f>
        <v/>
      </c>
      <c r="AP456" s="144" t="str">
        <f>IFERROR(_xlfn.XLOOKUP($B456,'Cronog. e Histog.'!$BZ:$BZ,'Cronog. e Histog.'!DK:DK),"")</f>
        <v/>
      </c>
      <c r="AQ456" s="144" t="str">
        <f>IFERROR(_xlfn.XLOOKUP($B456,'Cronog. e Histog.'!$BZ:$BZ,'Cronog. e Histog.'!DL:DL),"")</f>
        <v/>
      </c>
      <c r="AR456" s="144" t="str">
        <f>IFERROR(_xlfn.XLOOKUP($B456,'Cronog. e Histog.'!$BZ:$BZ,'Cronog. e Histog.'!DM:DM),"")</f>
        <v/>
      </c>
      <c r="AS456" s="144" t="str">
        <f>IFERROR(_xlfn.XLOOKUP($B456,'Cronog. e Histog.'!$BZ:$BZ,'Cronog. e Histog.'!DN:DN),"")</f>
        <v/>
      </c>
      <c r="AT456" s="144" t="str">
        <f>IFERROR(_xlfn.XLOOKUP($B456,'Cronog. e Histog.'!$BZ:$BZ,'Cronog. e Histog.'!DO:DO),"")</f>
        <v/>
      </c>
      <c r="AU456" s="144" t="str">
        <f>IFERROR(_xlfn.XLOOKUP($B456,'Cronog. e Histog.'!$BZ:$BZ,'Cronog. e Histog.'!DP:DP),"")</f>
        <v/>
      </c>
      <c r="AV456" s="144" t="str">
        <f>IFERROR(_xlfn.XLOOKUP($B456,'Cronog. e Histog.'!$BZ:$BZ,'Cronog. e Histog.'!DQ:DQ),"")</f>
        <v/>
      </c>
      <c r="AW456" s="144" t="str">
        <f>IFERROR(_xlfn.XLOOKUP($B456,'Cronog. e Histog.'!$BZ:$BZ,'Cronog. e Histog.'!DR:DR),"")</f>
        <v/>
      </c>
      <c r="AX456" s="144" t="str">
        <f>IFERROR(_xlfn.XLOOKUP($B456,'Cronog. e Histog.'!$BZ:$BZ,'Cronog. e Histog.'!DS:DS),"")</f>
        <v/>
      </c>
      <c r="AY456" s="144" t="str">
        <f>IFERROR(_xlfn.XLOOKUP($B456,'Cronog. e Histog.'!$BZ:$BZ,'Cronog. e Histog.'!DT:DT),"")</f>
        <v/>
      </c>
      <c r="AZ456" s="144" t="str">
        <f>IFERROR(_xlfn.XLOOKUP($B456,'Cronog. e Histog.'!$BZ:$BZ,'Cronog. e Histog.'!DU:DU),"")</f>
        <v/>
      </c>
      <c r="BA456" s="144" t="str">
        <f>IFERROR(_xlfn.XLOOKUP($B456,'Cronog. e Histog.'!$BZ:$BZ,'Cronog. e Histog.'!DV:DV),"")</f>
        <v/>
      </c>
      <c r="BB456" s="144" t="str">
        <f>IFERROR(_xlfn.XLOOKUP($B456,'Cronog. e Histog.'!$BZ:$BZ,'Cronog. e Histog.'!DW:DW),"")</f>
        <v/>
      </c>
      <c r="BC456" s="144" t="str">
        <f>IFERROR(_xlfn.XLOOKUP($B456,'Cronog. e Histog.'!$BZ:$BZ,'Cronog. e Histog.'!DX:DX),"")</f>
        <v/>
      </c>
      <c r="BD456" s="144" t="str">
        <f>IFERROR(_xlfn.XLOOKUP($B456,'Cronog. e Histog.'!$BZ:$BZ,'Cronog. e Histog.'!DY:DY),"")</f>
        <v/>
      </c>
      <c r="BE456" s="144" t="str">
        <f>IFERROR(_xlfn.XLOOKUP($B456,'Cronog. e Histog.'!$BZ:$BZ,'Cronog. e Histog.'!DZ:DZ),"")</f>
        <v/>
      </c>
      <c r="BF456" s="144" t="str">
        <f>IFERROR(_xlfn.XLOOKUP($B456,'Cronog. e Histog.'!$BZ:$BZ,'Cronog. e Histog.'!EA:EA),"")</f>
        <v/>
      </c>
      <c r="BG456" s="144" t="str">
        <f>IFERROR(_xlfn.XLOOKUP($B456,'Cronog. e Histog.'!$BZ:$BZ,'Cronog. e Histog.'!EB:EB),"")</f>
        <v/>
      </c>
      <c r="BH456" s="144" t="str">
        <f>IFERROR(_xlfn.XLOOKUP($B456,'Cronog. e Histog.'!$BZ:$BZ,'Cronog. e Histog.'!EC:EC),"")</f>
        <v/>
      </c>
      <c r="BI456" s="144" t="str">
        <f>IFERROR(_xlfn.XLOOKUP($B456,'Cronog. e Histog.'!$BZ:$BZ,'Cronog. e Histog.'!ED:ED),"")</f>
        <v/>
      </c>
      <c r="BJ456" s="144" t="str">
        <f>IFERROR(_xlfn.XLOOKUP($B456,'Cronog. e Histog.'!$BZ:$BZ,'Cronog. e Histog.'!EE:EE),"")</f>
        <v/>
      </c>
      <c r="BK456" s="144" t="str">
        <f>IFERROR(_xlfn.XLOOKUP($B456,'Cronog. e Histog.'!$BZ:$BZ,'Cronog. e Histog.'!EF:EF),"")</f>
        <v/>
      </c>
      <c r="BL456" s="144" t="str">
        <f>IFERROR(_xlfn.XLOOKUP($B456,'Cronog. e Histog.'!$BZ:$BZ,'Cronog. e Histog.'!EG:EG),"")</f>
        <v/>
      </c>
      <c r="BM456" s="144" t="str">
        <f>IFERROR(_xlfn.XLOOKUP($B456,'Cronog. e Histog.'!$BZ:$BZ,'Cronog. e Histog.'!EH:EH),"")</f>
        <v/>
      </c>
      <c r="BN456" s="144" t="str">
        <f>IFERROR(_xlfn.XLOOKUP($B456,'Cronog. e Histog.'!$BZ:$BZ,'Cronog. e Histog.'!EI:EI),"")</f>
        <v/>
      </c>
      <c r="BO456" s="65"/>
      <c r="BP456" s="65"/>
    </row>
    <row r="457" spans="2:68" ht="24" customHeight="1">
      <c r="B457" s="610" t="s">
        <v>380</v>
      </c>
      <c r="C457" s="611"/>
      <c r="D457" s="611"/>
      <c r="E457" s="612"/>
      <c r="F457" s="65"/>
      <c r="G457" s="146">
        <f t="shared" ref="G457:BN457" si="10">SUM(G7:G456)</f>
        <v>4.2699999999999987</v>
      </c>
      <c r="H457" s="146">
        <f t="shared" si="10"/>
        <v>4.2699999999999987</v>
      </c>
      <c r="I457" s="146">
        <f t="shared" si="10"/>
        <v>4.2699999999999987</v>
      </c>
      <c r="J457" s="146">
        <f t="shared" si="10"/>
        <v>4.2699999999999987</v>
      </c>
      <c r="K457" s="146">
        <f t="shared" si="10"/>
        <v>4.2699999999999987</v>
      </c>
      <c r="L457" s="146">
        <f t="shared" si="10"/>
        <v>4.2699999999999987</v>
      </c>
      <c r="M457" s="146">
        <f t="shared" si="10"/>
        <v>4.2699999999999987</v>
      </c>
      <c r="N457" s="146">
        <f t="shared" si="10"/>
        <v>4.2699999999999987</v>
      </c>
      <c r="O457" s="146">
        <f t="shared" si="10"/>
        <v>4.2699999999999987</v>
      </c>
      <c r="P457" s="146">
        <f t="shared" si="10"/>
        <v>4.2699999999999987</v>
      </c>
      <c r="Q457" s="146">
        <f t="shared" si="10"/>
        <v>0</v>
      </c>
      <c r="R457" s="146">
        <f t="shared" si="10"/>
        <v>0</v>
      </c>
      <c r="S457" s="146">
        <f t="shared" si="10"/>
        <v>0</v>
      </c>
      <c r="T457" s="146">
        <f t="shared" si="10"/>
        <v>0</v>
      </c>
      <c r="U457" s="146">
        <f t="shared" si="10"/>
        <v>0</v>
      </c>
      <c r="V457" s="146">
        <f t="shared" si="10"/>
        <v>0</v>
      </c>
      <c r="W457" s="146">
        <f t="shared" si="10"/>
        <v>0</v>
      </c>
      <c r="X457" s="146">
        <f t="shared" si="10"/>
        <v>0</v>
      </c>
      <c r="Y457" s="146">
        <f t="shared" si="10"/>
        <v>0</v>
      </c>
      <c r="Z457" s="146">
        <f t="shared" si="10"/>
        <v>0</v>
      </c>
      <c r="AA457" s="146">
        <f t="shared" si="10"/>
        <v>0</v>
      </c>
      <c r="AB457" s="146">
        <f t="shared" si="10"/>
        <v>0</v>
      </c>
      <c r="AC457" s="146">
        <f t="shared" si="10"/>
        <v>0</v>
      </c>
      <c r="AD457" s="146">
        <f t="shared" si="10"/>
        <v>0</v>
      </c>
      <c r="AE457" s="146">
        <f t="shared" si="10"/>
        <v>0</v>
      </c>
      <c r="AF457" s="146">
        <f t="shared" si="10"/>
        <v>0</v>
      </c>
      <c r="AG457" s="146">
        <f t="shared" si="10"/>
        <v>0</v>
      </c>
      <c r="AH457" s="146">
        <f t="shared" si="10"/>
        <v>0</v>
      </c>
      <c r="AI457" s="146">
        <f t="shared" si="10"/>
        <v>0</v>
      </c>
      <c r="AJ457" s="146">
        <f t="shared" si="10"/>
        <v>0</v>
      </c>
      <c r="AK457" s="146">
        <f t="shared" si="10"/>
        <v>0</v>
      </c>
      <c r="AL457" s="146">
        <f t="shared" si="10"/>
        <v>0</v>
      </c>
      <c r="AM457" s="146">
        <f t="shared" si="10"/>
        <v>0</v>
      </c>
      <c r="AN457" s="146">
        <f t="shared" si="10"/>
        <v>0</v>
      </c>
      <c r="AO457" s="146">
        <f t="shared" si="10"/>
        <v>0</v>
      </c>
      <c r="AP457" s="146">
        <f t="shared" si="10"/>
        <v>0</v>
      </c>
      <c r="AQ457" s="146">
        <f t="shared" si="10"/>
        <v>0</v>
      </c>
      <c r="AR457" s="146">
        <f t="shared" si="10"/>
        <v>0</v>
      </c>
      <c r="AS457" s="146">
        <f t="shared" si="10"/>
        <v>0</v>
      </c>
      <c r="AT457" s="146">
        <f t="shared" si="10"/>
        <v>0</v>
      </c>
      <c r="AU457" s="146">
        <f t="shared" si="10"/>
        <v>0</v>
      </c>
      <c r="AV457" s="146">
        <f t="shared" si="10"/>
        <v>0</v>
      </c>
      <c r="AW457" s="146">
        <f t="shared" si="10"/>
        <v>0</v>
      </c>
      <c r="AX457" s="146">
        <f t="shared" si="10"/>
        <v>0</v>
      </c>
      <c r="AY457" s="146">
        <f t="shared" si="10"/>
        <v>0</v>
      </c>
      <c r="AZ457" s="146">
        <f t="shared" si="10"/>
        <v>0</v>
      </c>
      <c r="BA457" s="146">
        <f t="shared" si="10"/>
        <v>0</v>
      </c>
      <c r="BB457" s="146">
        <f t="shared" si="10"/>
        <v>0</v>
      </c>
      <c r="BC457" s="146">
        <f t="shared" si="10"/>
        <v>0</v>
      </c>
      <c r="BD457" s="146">
        <f t="shared" si="10"/>
        <v>0</v>
      </c>
      <c r="BE457" s="146">
        <f t="shared" si="10"/>
        <v>0</v>
      </c>
      <c r="BF457" s="146">
        <f t="shared" si="10"/>
        <v>0</v>
      </c>
      <c r="BG457" s="146">
        <f t="shared" si="10"/>
        <v>0</v>
      </c>
      <c r="BH457" s="146">
        <f t="shared" si="10"/>
        <v>0</v>
      </c>
      <c r="BI457" s="146">
        <f t="shared" si="10"/>
        <v>0</v>
      </c>
      <c r="BJ457" s="146">
        <f t="shared" si="10"/>
        <v>0</v>
      </c>
      <c r="BK457" s="146">
        <f t="shared" si="10"/>
        <v>0</v>
      </c>
      <c r="BL457" s="146">
        <f t="shared" si="10"/>
        <v>0</v>
      </c>
      <c r="BM457" s="146">
        <f t="shared" si="10"/>
        <v>0</v>
      </c>
      <c r="BN457" s="146">
        <f t="shared" si="10"/>
        <v>0</v>
      </c>
      <c r="BO457" s="65"/>
      <c r="BP457" s="65"/>
    </row>
    <row r="458" spans="2:68" ht="12" customHeight="1"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  <c r="AQ458" s="65"/>
      <c r="AR458" s="65"/>
      <c r="AS458" s="65"/>
      <c r="AT458" s="65"/>
      <c r="AU458" s="65"/>
      <c r="AV458" s="65"/>
      <c r="AW458" s="65"/>
      <c r="AX458" s="65"/>
      <c r="AY458" s="65"/>
      <c r="AZ458" s="65"/>
      <c r="BA458" s="65"/>
      <c r="BB458" s="65"/>
      <c r="BC458" s="65"/>
      <c r="BD458" s="65"/>
      <c r="BE458" s="65"/>
      <c r="BF458" s="65"/>
      <c r="BG458" s="65"/>
      <c r="BH458" s="65"/>
      <c r="BI458" s="65"/>
      <c r="BJ458" s="65"/>
      <c r="BK458" s="65"/>
      <c r="BL458" s="65"/>
      <c r="BM458" s="65"/>
      <c r="BN458" s="65"/>
      <c r="BO458" s="65"/>
      <c r="BP458" s="65"/>
    </row>
    <row r="459" spans="2:68" ht="24" customHeight="1">
      <c r="B459" s="613" t="s">
        <v>851</v>
      </c>
      <c r="C459" s="613"/>
      <c r="D459" s="613"/>
      <c r="E459" s="613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  <c r="AQ459" s="65"/>
      <c r="AR459" s="65"/>
      <c r="AS459" s="65"/>
      <c r="AT459" s="65"/>
      <c r="AU459" s="65"/>
      <c r="AV459" s="65"/>
      <c r="AW459" s="65"/>
      <c r="AX459" s="65"/>
      <c r="AY459" s="65"/>
      <c r="AZ459" s="65"/>
      <c r="BA459" s="65"/>
      <c r="BB459" s="65"/>
      <c r="BC459" s="65"/>
      <c r="BD459" s="65"/>
      <c r="BE459" s="65"/>
      <c r="BF459" s="65"/>
      <c r="BG459" s="65"/>
      <c r="BH459" s="65"/>
      <c r="BI459" s="65"/>
      <c r="BJ459" s="65"/>
      <c r="BK459" s="65"/>
      <c r="BL459" s="65"/>
      <c r="BM459" s="65"/>
      <c r="BN459" s="65"/>
      <c r="BO459" s="65"/>
      <c r="BP459" s="512" t="s">
        <v>22</v>
      </c>
    </row>
    <row r="460" spans="2:68" ht="24" customHeight="1" collapsed="1">
      <c r="B460" s="142" t="s">
        <v>196</v>
      </c>
      <c r="C460" s="142" t="s">
        <v>253</v>
      </c>
      <c r="D460" s="142" t="s">
        <v>255</v>
      </c>
      <c r="E460" s="142" t="s">
        <v>850</v>
      </c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  <c r="AQ460" s="65"/>
      <c r="AR460" s="65"/>
      <c r="AS460" s="65"/>
      <c r="AT460" s="65"/>
      <c r="AU460" s="65"/>
      <c r="AV460" s="65"/>
      <c r="AW460" s="65"/>
      <c r="AX460" s="65"/>
      <c r="AY460" s="65"/>
      <c r="AZ460" s="65"/>
      <c r="BA460" s="65"/>
      <c r="BB460" s="65"/>
      <c r="BC460" s="65"/>
      <c r="BD460" s="65"/>
      <c r="BE460" s="65"/>
      <c r="BF460" s="65"/>
      <c r="BG460" s="65"/>
      <c r="BH460" s="65"/>
      <c r="BI460" s="65"/>
      <c r="BJ460" s="65"/>
      <c r="BK460" s="65"/>
      <c r="BL460" s="65"/>
      <c r="BM460" s="65"/>
      <c r="BN460" s="65"/>
      <c r="BO460" s="65"/>
      <c r="BP460" s="512"/>
    </row>
    <row r="461" spans="2:68" ht="12" hidden="1" customHeight="1" outlineLevel="1">
      <c r="B461" s="76">
        <v>1</v>
      </c>
      <c r="C461" s="77" t="s">
        <v>852</v>
      </c>
      <c r="D461" s="144">
        <f t="shared" ref="D461:D492" si="11">IFERROR(ROUNDUP(SUM(G461:BN461)/COUNTIF(G461:BN461,"&gt;0"),2),0)</f>
        <v>0</v>
      </c>
      <c r="E461" s="144">
        <f t="shared" ref="E461:E492" si="12">COUNTIF(G461:BN461,"&gt;0")</f>
        <v>0</v>
      </c>
      <c r="F461" s="65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7"/>
      <c r="AM461" s="107"/>
      <c r="AN461" s="107"/>
      <c r="AO461" s="107"/>
      <c r="AP461" s="107"/>
      <c r="AQ461" s="107"/>
      <c r="AR461" s="107"/>
      <c r="AS461" s="107"/>
      <c r="AT461" s="107"/>
      <c r="AU461" s="107"/>
      <c r="AV461" s="107"/>
      <c r="AW461" s="107"/>
      <c r="AX461" s="107"/>
      <c r="AY461" s="107"/>
      <c r="AZ461" s="107"/>
      <c r="BA461" s="107"/>
      <c r="BB461" s="107"/>
      <c r="BC461" s="107"/>
      <c r="BD461" s="107"/>
      <c r="BE461" s="107"/>
      <c r="BF461" s="107"/>
      <c r="BG461" s="107"/>
      <c r="BH461" s="107"/>
      <c r="BI461" s="107"/>
      <c r="BJ461" s="107"/>
      <c r="BK461" s="107"/>
      <c r="BL461" s="107"/>
      <c r="BM461" s="107"/>
      <c r="BN461" s="107"/>
      <c r="BO461" s="65"/>
      <c r="BP461" s="78" t="s">
        <v>853</v>
      </c>
    </row>
    <row r="462" spans="2:68" ht="12" hidden="1" customHeight="1" outlineLevel="1">
      <c r="B462" s="76">
        <v>2</v>
      </c>
      <c r="C462" s="77" t="s">
        <v>854</v>
      </c>
      <c r="D462" s="144">
        <f t="shared" si="11"/>
        <v>0</v>
      </c>
      <c r="E462" s="144">
        <f t="shared" si="12"/>
        <v>0</v>
      </c>
      <c r="F462" s="65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7"/>
      <c r="AM462" s="107"/>
      <c r="AN462" s="107"/>
      <c r="AO462" s="107"/>
      <c r="AP462" s="107"/>
      <c r="AQ462" s="107"/>
      <c r="AR462" s="107"/>
      <c r="AS462" s="107"/>
      <c r="AT462" s="107"/>
      <c r="AU462" s="107"/>
      <c r="AV462" s="107"/>
      <c r="AW462" s="107"/>
      <c r="AX462" s="107"/>
      <c r="AY462" s="107"/>
      <c r="AZ462" s="107"/>
      <c r="BA462" s="107"/>
      <c r="BB462" s="107"/>
      <c r="BC462" s="107"/>
      <c r="BD462" s="107"/>
      <c r="BE462" s="107"/>
      <c r="BF462" s="107"/>
      <c r="BG462" s="107"/>
      <c r="BH462" s="107"/>
      <c r="BI462" s="107"/>
      <c r="BJ462" s="107"/>
      <c r="BK462" s="107"/>
      <c r="BL462" s="107"/>
      <c r="BM462" s="107"/>
      <c r="BN462" s="107"/>
      <c r="BO462" s="65"/>
      <c r="BP462" s="78" t="s">
        <v>853</v>
      </c>
    </row>
    <row r="463" spans="2:68" ht="12" hidden="1" customHeight="1" outlineLevel="1">
      <c r="B463" s="76">
        <v>3</v>
      </c>
      <c r="C463" s="77" t="s">
        <v>855</v>
      </c>
      <c r="D463" s="144">
        <f t="shared" si="11"/>
        <v>0</v>
      </c>
      <c r="E463" s="144">
        <f t="shared" si="12"/>
        <v>0</v>
      </c>
      <c r="F463" s="65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7"/>
      <c r="AM463" s="107"/>
      <c r="AN463" s="107"/>
      <c r="AO463" s="107"/>
      <c r="AP463" s="107"/>
      <c r="AQ463" s="107"/>
      <c r="AR463" s="107"/>
      <c r="AS463" s="107"/>
      <c r="AT463" s="107"/>
      <c r="AU463" s="107"/>
      <c r="AV463" s="107"/>
      <c r="AW463" s="107"/>
      <c r="AX463" s="107"/>
      <c r="AY463" s="107"/>
      <c r="AZ463" s="107"/>
      <c r="BA463" s="107"/>
      <c r="BB463" s="107"/>
      <c r="BC463" s="107"/>
      <c r="BD463" s="107"/>
      <c r="BE463" s="107"/>
      <c r="BF463" s="107"/>
      <c r="BG463" s="107"/>
      <c r="BH463" s="107"/>
      <c r="BI463" s="107"/>
      <c r="BJ463" s="107"/>
      <c r="BK463" s="107"/>
      <c r="BL463" s="107"/>
      <c r="BM463" s="107"/>
      <c r="BN463" s="107"/>
      <c r="BO463" s="65"/>
      <c r="BP463" s="78" t="s">
        <v>22</v>
      </c>
    </row>
    <row r="464" spans="2:68" ht="12" hidden="1" customHeight="1" outlineLevel="1">
      <c r="B464" s="76">
        <v>4</v>
      </c>
      <c r="C464" s="77" t="s">
        <v>856</v>
      </c>
      <c r="D464" s="144">
        <f t="shared" si="11"/>
        <v>0</v>
      </c>
      <c r="E464" s="144">
        <f t="shared" si="12"/>
        <v>0</v>
      </c>
      <c r="F464" s="65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107"/>
      <c r="AN464" s="107"/>
      <c r="AO464" s="107"/>
      <c r="AP464" s="107"/>
      <c r="AQ464" s="107"/>
      <c r="AR464" s="107"/>
      <c r="AS464" s="107"/>
      <c r="AT464" s="107"/>
      <c r="AU464" s="107"/>
      <c r="AV464" s="107"/>
      <c r="AW464" s="107"/>
      <c r="AX464" s="107"/>
      <c r="AY464" s="107"/>
      <c r="AZ464" s="107"/>
      <c r="BA464" s="107"/>
      <c r="BB464" s="107"/>
      <c r="BC464" s="107"/>
      <c r="BD464" s="107"/>
      <c r="BE464" s="107"/>
      <c r="BF464" s="107"/>
      <c r="BG464" s="107"/>
      <c r="BH464" s="107"/>
      <c r="BI464" s="107"/>
      <c r="BJ464" s="107"/>
      <c r="BK464" s="107"/>
      <c r="BL464" s="107"/>
      <c r="BM464" s="107"/>
      <c r="BN464" s="107"/>
      <c r="BO464" s="65"/>
      <c r="BP464" s="78" t="s">
        <v>22</v>
      </c>
    </row>
    <row r="465" spans="2:68" ht="12" hidden="1" customHeight="1" outlineLevel="1">
      <c r="B465" s="76">
        <v>5</v>
      </c>
      <c r="C465" s="77" t="s">
        <v>857</v>
      </c>
      <c r="D465" s="144">
        <f t="shared" si="11"/>
        <v>0</v>
      </c>
      <c r="E465" s="144">
        <f t="shared" si="12"/>
        <v>0</v>
      </c>
      <c r="F465" s="65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7"/>
      <c r="AM465" s="107"/>
      <c r="AN465" s="107"/>
      <c r="AO465" s="107"/>
      <c r="AP465" s="107"/>
      <c r="AQ465" s="107"/>
      <c r="AR465" s="107"/>
      <c r="AS465" s="107"/>
      <c r="AT465" s="107"/>
      <c r="AU465" s="107"/>
      <c r="AV465" s="107"/>
      <c r="AW465" s="107"/>
      <c r="AX465" s="107"/>
      <c r="AY465" s="107"/>
      <c r="AZ465" s="107"/>
      <c r="BA465" s="107"/>
      <c r="BB465" s="107"/>
      <c r="BC465" s="107"/>
      <c r="BD465" s="107"/>
      <c r="BE465" s="107"/>
      <c r="BF465" s="107"/>
      <c r="BG465" s="107"/>
      <c r="BH465" s="107"/>
      <c r="BI465" s="107"/>
      <c r="BJ465" s="107"/>
      <c r="BK465" s="107"/>
      <c r="BL465" s="107"/>
      <c r="BM465" s="107"/>
      <c r="BN465" s="107"/>
      <c r="BO465" s="65"/>
      <c r="BP465" s="78" t="s">
        <v>858</v>
      </c>
    </row>
    <row r="466" spans="2:68" ht="12" hidden="1" customHeight="1" outlineLevel="1">
      <c r="B466" s="76">
        <v>6</v>
      </c>
      <c r="C466" s="77" t="s">
        <v>859</v>
      </c>
      <c r="D466" s="144">
        <f t="shared" si="11"/>
        <v>0</v>
      </c>
      <c r="E466" s="144">
        <f t="shared" si="12"/>
        <v>0</v>
      </c>
      <c r="F466" s="65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7"/>
      <c r="AM466" s="107"/>
      <c r="AN466" s="107"/>
      <c r="AO466" s="107"/>
      <c r="AP466" s="107"/>
      <c r="AQ466" s="107"/>
      <c r="AR466" s="107"/>
      <c r="AS466" s="107"/>
      <c r="AT466" s="107"/>
      <c r="AU466" s="107"/>
      <c r="AV466" s="107"/>
      <c r="AW466" s="107"/>
      <c r="AX466" s="107"/>
      <c r="AY466" s="107"/>
      <c r="AZ466" s="107"/>
      <c r="BA466" s="107"/>
      <c r="BB466" s="107"/>
      <c r="BC466" s="107"/>
      <c r="BD466" s="107"/>
      <c r="BE466" s="107"/>
      <c r="BF466" s="107"/>
      <c r="BG466" s="107"/>
      <c r="BH466" s="107"/>
      <c r="BI466" s="107"/>
      <c r="BJ466" s="107"/>
      <c r="BK466" s="107"/>
      <c r="BL466" s="107"/>
      <c r="BM466" s="107"/>
      <c r="BN466" s="107"/>
      <c r="BO466" s="65"/>
      <c r="BP466" s="78" t="s">
        <v>22</v>
      </c>
    </row>
    <row r="467" spans="2:68" ht="12" hidden="1" customHeight="1" outlineLevel="1">
      <c r="B467" s="76">
        <v>7</v>
      </c>
      <c r="C467" s="77" t="s">
        <v>860</v>
      </c>
      <c r="D467" s="144">
        <f t="shared" si="11"/>
        <v>0</v>
      </c>
      <c r="E467" s="144">
        <f t="shared" si="12"/>
        <v>0</v>
      </c>
      <c r="F467" s="65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7"/>
      <c r="AM467" s="107"/>
      <c r="AN467" s="107"/>
      <c r="AO467" s="107"/>
      <c r="AP467" s="107"/>
      <c r="AQ467" s="107"/>
      <c r="AR467" s="107"/>
      <c r="AS467" s="107"/>
      <c r="AT467" s="107"/>
      <c r="AU467" s="107"/>
      <c r="AV467" s="107"/>
      <c r="AW467" s="107"/>
      <c r="AX467" s="107"/>
      <c r="AY467" s="107"/>
      <c r="AZ467" s="107"/>
      <c r="BA467" s="107"/>
      <c r="BB467" s="107"/>
      <c r="BC467" s="107"/>
      <c r="BD467" s="107"/>
      <c r="BE467" s="107"/>
      <c r="BF467" s="107"/>
      <c r="BG467" s="107"/>
      <c r="BH467" s="107"/>
      <c r="BI467" s="107"/>
      <c r="BJ467" s="107"/>
      <c r="BK467" s="107"/>
      <c r="BL467" s="107"/>
      <c r="BM467" s="107"/>
      <c r="BN467" s="107"/>
      <c r="BO467" s="65"/>
      <c r="BP467" s="78" t="s">
        <v>22</v>
      </c>
    </row>
    <row r="468" spans="2:68" ht="12" hidden="1" customHeight="1" outlineLevel="1">
      <c r="B468" s="76">
        <v>8</v>
      </c>
      <c r="C468" s="77" t="s">
        <v>861</v>
      </c>
      <c r="D468" s="144">
        <f t="shared" si="11"/>
        <v>0</v>
      </c>
      <c r="E468" s="144">
        <f t="shared" si="12"/>
        <v>0</v>
      </c>
      <c r="F468" s="65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  <c r="AK468" s="107"/>
      <c r="AL468" s="107"/>
      <c r="AM468" s="107"/>
      <c r="AN468" s="107"/>
      <c r="AO468" s="107"/>
      <c r="AP468" s="107"/>
      <c r="AQ468" s="107"/>
      <c r="AR468" s="107"/>
      <c r="AS468" s="107"/>
      <c r="AT468" s="107"/>
      <c r="AU468" s="107"/>
      <c r="AV468" s="107"/>
      <c r="AW468" s="107"/>
      <c r="AX468" s="107"/>
      <c r="AY468" s="107"/>
      <c r="AZ468" s="107"/>
      <c r="BA468" s="107"/>
      <c r="BB468" s="107"/>
      <c r="BC468" s="107"/>
      <c r="BD468" s="107"/>
      <c r="BE468" s="107"/>
      <c r="BF468" s="107"/>
      <c r="BG468" s="107"/>
      <c r="BH468" s="107"/>
      <c r="BI468" s="107"/>
      <c r="BJ468" s="107"/>
      <c r="BK468" s="107"/>
      <c r="BL468" s="107"/>
      <c r="BM468" s="107"/>
      <c r="BN468" s="107"/>
      <c r="BO468" s="65"/>
      <c r="BP468" s="78" t="s">
        <v>22</v>
      </c>
    </row>
    <row r="469" spans="2:68" ht="12" hidden="1" customHeight="1" outlineLevel="1">
      <c r="B469" s="76">
        <v>9</v>
      </c>
      <c r="C469" s="77" t="s">
        <v>862</v>
      </c>
      <c r="D469" s="144">
        <f t="shared" si="11"/>
        <v>0</v>
      </c>
      <c r="E469" s="144">
        <f t="shared" si="12"/>
        <v>0</v>
      </c>
      <c r="F469" s="65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  <c r="AK469" s="107"/>
      <c r="AL469" s="107"/>
      <c r="AM469" s="107"/>
      <c r="AN469" s="107"/>
      <c r="AO469" s="107"/>
      <c r="AP469" s="107"/>
      <c r="AQ469" s="107"/>
      <c r="AR469" s="107"/>
      <c r="AS469" s="107"/>
      <c r="AT469" s="107"/>
      <c r="AU469" s="107"/>
      <c r="AV469" s="107"/>
      <c r="AW469" s="107"/>
      <c r="AX469" s="107"/>
      <c r="AY469" s="107"/>
      <c r="AZ469" s="107"/>
      <c r="BA469" s="107"/>
      <c r="BB469" s="107"/>
      <c r="BC469" s="107"/>
      <c r="BD469" s="107"/>
      <c r="BE469" s="107"/>
      <c r="BF469" s="107"/>
      <c r="BG469" s="107"/>
      <c r="BH469" s="107"/>
      <c r="BI469" s="107"/>
      <c r="BJ469" s="107"/>
      <c r="BK469" s="107"/>
      <c r="BL469" s="107"/>
      <c r="BM469" s="107"/>
      <c r="BN469" s="107"/>
      <c r="BO469" s="65"/>
      <c r="BP469" s="78" t="s">
        <v>22</v>
      </c>
    </row>
    <row r="470" spans="2:68" ht="12" hidden="1" customHeight="1" outlineLevel="1">
      <c r="B470" s="76">
        <v>10</v>
      </c>
      <c r="C470" s="77" t="s">
        <v>863</v>
      </c>
      <c r="D470" s="144">
        <f t="shared" si="11"/>
        <v>0</v>
      </c>
      <c r="E470" s="144">
        <f t="shared" si="12"/>
        <v>0</v>
      </c>
      <c r="F470" s="65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7"/>
      <c r="AM470" s="107"/>
      <c r="AN470" s="107"/>
      <c r="AO470" s="107"/>
      <c r="AP470" s="107"/>
      <c r="AQ470" s="107"/>
      <c r="AR470" s="107"/>
      <c r="AS470" s="107"/>
      <c r="AT470" s="107"/>
      <c r="AU470" s="107"/>
      <c r="AV470" s="107"/>
      <c r="AW470" s="107"/>
      <c r="AX470" s="107"/>
      <c r="AY470" s="107"/>
      <c r="AZ470" s="107"/>
      <c r="BA470" s="107"/>
      <c r="BB470" s="107"/>
      <c r="BC470" s="107"/>
      <c r="BD470" s="107"/>
      <c r="BE470" s="107"/>
      <c r="BF470" s="107"/>
      <c r="BG470" s="107"/>
      <c r="BH470" s="107"/>
      <c r="BI470" s="107"/>
      <c r="BJ470" s="107"/>
      <c r="BK470" s="107"/>
      <c r="BL470" s="107"/>
      <c r="BM470" s="107"/>
      <c r="BN470" s="107"/>
      <c r="BO470" s="65"/>
      <c r="BP470" s="78" t="s">
        <v>22</v>
      </c>
    </row>
    <row r="471" spans="2:68" ht="12" hidden="1" customHeight="1" outlineLevel="1">
      <c r="B471" s="76">
        <v>11</v>
      </c>
      <c r="C471" s="77" t="s">
        <v>864</v>
      </c>
      <c r="D471" s="144">
        <f t="shared" si="11"/>
        <v>0</v>
      </c>
      <c r="E471" s="144">
        <f t="shared" si="12"/>
        <v>0</v>
      </c>
      <c r="F471" s="65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7"/>
      <c r="AM471" s="107"/>
      <c r="AN471" s="107"/>
      <c r="AO471" s="107"/>
      <c r="AP471" s="107"/>
      <c r="AQ471" s="107"/>
      <c r="AR471" s="107"/>
      <c r="AS471" s="107"/>
      <c r="AT471" s="107"/>
      <c r="AU471" s="107"/>
      <c r="AV471" s="107"/>
      <c r="AW471" s="107"/>
      <c r="AX471" s="107"/>
      <c r="AY471" s="107"/>
      <c r="AZ471" s="107"/>
      <c r="BA471" s="107"/>
      <c r="BB471" s="107"/>
      <c r="BC471" s="107"/>
      <c r="BD471" s="107"/>
      <c r="BE471" s="107"/>
      <c r="BF471" s="107"/>
      <c r="BG471" s="107"/>
      <c r="BH471" s="107"/>
      <c r="BI471" s="107"/>
      <c r="BJ471" s="107"/>
      <c r="BK471" s="107"/>
      <c r="BL471" s="107"/>
      <c r="BM471" s="107"/>
      <c r="BN471" s="107"/>
      <c r="BO471" s="65"/>
      <c r="BP471" s="78" t="s">
        <v>22</v>
      </c>
    </row>
    <row r="472" spans="2:68" ht="12" hidden="1" customHeight="1" outlineLevel="1">
      <c r="B472" s="76">
        <v>12</v>
      </c>
      <c r="C472" s="77" t="s">
        <v>865</v>
      </c>
      <c r="D472" s="144">
        <f t="shared" si="11"/>
        <v>0</v>
      </c>
      <c r="E472" s="144">
        <f t="shared" si="12"/>
        <v>0</v>
      </c>
      <c r="F472" s="65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  <c r="AJ472" s="107"/>
      <c r="AK472" s="107"/>
      <c r="AL472" s="107"/>
      <c r="AM472" s="107"/>
      <c r="AN472" s="107"/>
      <c r="AO472" s="107"/>
      <c r="AP472" s="107"/>
      <c r="AQ472" s="107"/>
      <c r="AR472" s="107"/>
      <c r="AS472" s="107"/>
      <c r="AT472" s="107"/>
      <c r="AU472" s="107"/>
      <c r="AV472" s="107"/>
      <c r="AW472" s="107"/>
      <c r="AX472" s="107"/>
      <c r="AY472" s="107"/>
      <c r="AZ472" s="107"/>
      <c r="BA472" s="107"/>
      <c r="BB472" s="107"/>
      <c r="BC472" s="107"/>
      <c r="BD472" s="107"/>
      <c r="BE472" s="107"/>
      <c r="BF472" s="107"/>
      <c r="BG472" s="107"/>
      <c r="BH472" s="107"/>
      <c r="BI472" s="107"/>
      <c r="BJ472" s="107"/>
      <c r="BK472" s="107"/>
      <c r="BL472" s="107"/>
      <c r="BM472" s="107"/>
      <c r="BN472" s="107"/>
      <c r="BO472" s="65"/>
      <c r="BP472" s="78" t="s">
        <v>22</v>
      </c>
    </row>
    <row r="473" spans="2:68" ht="12" hidden="1" customHeight="1" outlineLevel="1">
      <c r="B473" s="76">
        <v>13</v>
      </c>
      <c r="C473" s="77" t="s">
        <v>866</v>
      </c>
      <c r="D473" s="144">
        <f t="shared" si="11"/>
        <v>0</v>
      </c>
      <c r="E473" s="144">
        <f t="shared" si="12"/>
        <v>0</v>
      </c>
      <c r="F473" s="65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  <c r="AK473" s="107"/>
      <c r="AL473" s="107"/>
      <c r="AM473" s="107"/>
      <c r="AN473" s="107"/>
      <c r="AO473" s="107"/>
      <c r="AP473" s="107"/>
      <c r="AQ473" s="107"/>
      <c r="AR473" s="107"/>
      <c r="AS473" s="107"/>
      <c r="AT473" s="107"/>
      <c r="AU473" s="107"/>
      <c r="AV473" s="107"/>
      <c r="AW473" s="107"/>
      <c r="AX473" s="107"/>
      <c r="AY473" s="107"/>
      <c r="AZ473" s="107"/>
      <c r="BA473" s="107"/>
      <c r="BB473" s="107"/>
      <c r="BC473" s="107"/>
      <c r="BD473" s="107"/>
      <c r="BE473" s="107"/>
      <c r="BF473" s="107"/>
      <c r="BG473" s="107"/>
      <c r="BH473" s="107"/>
      <c r="BI473" s="107"/>
      <c r="BJ473" s="107"/>
      <c r="BK473" s="107"/>
      <c r="BL473" s="107"/>
      <c r="BM473" s="107"/>
      <c r="BN473" s="107"/>
      <c r="BO473" s="65"/>
      <c r="BP473" s="78" t="s">
        <v>22</v>
      </c>
    </row>
    <row r="474" spans="2:68" ht="12" hidden="1" customHeight="1" outlineLevel="1">
      <c r="B474" s="76">
        <v>14</v>
      </c>
      <c r="C474" s="77" t="s">
        <v>867</v>
      </c>
      <c r="D474" s="144">
        <f t="shared" si="11"/>
        <v>0</v>
      </c>
      <c r="E474" s="144">
        <f t="shared" si="12"/>
        <v>0</v>
      </c>
      <c r="F474" s="65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  <c r="AK474" s="107"/>
      <c r="AL474" s="107"/>
      <c r="AM474" s="107"/>
      <c r="AN474" s="107"/>
      <c r="AO474" s="107"/>
      <c r="AP474" s="107"/>
      <c r="AQ474" s="107"/>
      <c r="AR474" s="107"/>
      <c r="AS474" s="107"/>
      <c r="AT474" s="107"/>
      <c r="AU474" s="107"/>
      <c r="AV474" s="107"/>
      <c r="AW474" s="107"/>
      <c r="AX474" s="107"/>
      <c r="AY474" s="107"/>
      <c r="AZ474" s="107"/>
      <c r="BA474" s="107"/>
      <c r="BB474" s="107"/>
      <c r="BC474" s="107"/>
      <c r="BD474" s="107"/>
      <c r="BE474" s="107"/>
      <c r="BF474" s="107"/>
      <c r="BG474" s="107"/>
      <c r="BH474" s="107"/>
      <c r="BI474" s="107"/>
      <c r="BJ474" s="107"/>
      <c r="BK474" s="107"/>
      <c r="BL474" s="107"/>
      <c r="BM474" s="107"/>
      <c r="BN474" s="107"/>
      <c r="BO474" s="65"/>
      <c r="BP474" s="78" t="s">
        <v>22</v>
      </c>
    </row>
    <row r="475" spans="2:68" ht="12" hidden="1" customHeight="1" outlineLevel="1">
      <c r="B475" s="76">
        <v>15</v>
      </c>
      <c r="C475" s="77" t="s">
        <v>868</v>
      </c>
      <c r="D475" s="144">
        <f t="shared" si="11"/>
        <v>0</v>
      </c>
      <c r="E475" s="144">
        <f t="shared" si="12"/>
        <v>0</v>
      </c>
      <c r="F475" s="65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7"/>
      <c r="AM475" s="107"/>
      <c r="AN475" s="107"/>
      <c r="AO475" s="107"/>
      <c r="AP475" s="107"/>
      <c r="AQ475" s="107"/>
      <c r="AR475" s="107"/>
      <c r="AS475" s="107"/>
      <c r="AT475" s="107"/>
      <c r="AU475" s="107"/>
      <c r="AV475" s="107"/>
      <c r="AW475" s="107"/>
      <c r="AX475" s="107"/>
      <c r="AY475" s="107"/>
      <c r="AZ475" s="107"/>
      <c r="BA475" s="107"/>
      <c r="BB475" s="107"/>
      <c r="BC475" s="107"/>
      <c r="BD475" s="107"/>
      <c r="BE475" s="107"/>
      <c r="BF475" s="107"/>
      <c r="BG475" s="107"/>
      <c r="BH475" s="107"/>
      <c r="BI475" s="107"/>
      <c r="BJ475" s="107"/>
      <c r="BK475" s="107"/>
      <c r="BL475" s="107"/>
      <c r="BM475" s="107"/>
      <c r="BN475" s="107"/>
      <c r="BO475" s="65"/>
      <c r="BP475" s="78" t="s">
        <v>22</v>
      </c>
    </row>
    <row r="476" spans="2:68" ht="12" hidden="1" customHeight="1" outlineLevel="1">
      <c r="B476" s="76">
        <v>16</v>
      </c>
      <c r="C476" s="77" t="s">
        <v>869</v>
      </c>
      <c r="D476" s="144">
        <f t="shared" si="11"/>
        <v>0</v>
      </c>
      <c r="E476" s="144">
        <f t="shared" si="12"/>
        <v>0</v>
      </c>
      <c r="F476" s="65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7"/>
      <c r="AM476" s="107"/>
      <c r="AN476" s="107"/>
      <c r="AO476" s="107"/>
      <c r="AP476" s="107"/>
      <c r="AQ476" s="107"/>
      <c r="AR476" s="107"/>
      <c r="AS476" s="107"/>
      <c r="AT476" s="107"/>
      <c r="AU476" s="107"/>
      <c r="AV476" s="107"/>
      <c r="AW476" s="107"/>
      <c r="AX476" s="107"/>
      <c r="AY476" s="107"/>
      <c r="AZ476" s="107"/>
      <c r="BA476" s="107"/>
      <c r="BB476" s="107"/>
      <c r="BC476" s="107"/>
      <c r="BD476" s="107"/>
      <c r="BE476" s="107"/>
      <c r="BF476" s="107"/>
      <c r="BG476" s="107"/>
      <c r="BH476" s="107"/>
      <c r="BI476" s="107"/>
      <c r="BJ476" s="107"/>
      <c r="BK476" s="107"/>
      <c r="BL476" s="107"/>
      <c r="BM476" s="107"/>
      <c r="BN476" s="107"/>
      <c r="BO476" s="65"/>
      <c r="BP476" s="78" t="s">
        <v>22</v>
      </c>
    </row>
    <row r="477" spans="2:68" ht="12" hidden="1" customHeight="1" outlineLevel="1">
      <c r="B477" s="76">
        <v>17</v>
      </c>
      <c r="C477" s="77" t="s">
        <v>870</v>
      </c>
      <c r="D477" s="144">
        <f t="shared" si="11"/>
        <v>0</v>
      </c>
      <c r="E477" s="144">
        <f t="shared" si="12"/>
        <v>0</v>
      </c>
      <c r="F477" s="65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  <c r="AK477" s="107"/>
      <c r="AL477" s="107"/>
      <c r="AM477" s="107"/>
      <c r="AN477" s="107"/>
      <c r="AO477" s="107"/>
      <c r="AP477" s="107"/>
      <c r="AQ477" s="107"/>
      <c r="AR477" s="107"/>
      <c r="AS477" s="107"/>
      <c r="AT477" s="107"/>
      <c r="AU477" s="107"/>
      <c r="AV477" s="107"/>
      <c r="AW477" s="107"/>
      <c r="AX477" s="107"/>
      <c r="AY477" s="107"/>
      <c r="AZ477" s="107"/>
      <c r="BA477" s="107"/>
      <c r="BB477" s="107"/>
      <c r="BC477" s="107"/>
      <c r="BD477" s="107"/>
      <c r="BE477" s="107"/>
      <c r="BF477" s="107"/>
      <c r="BG477" s="107"/>
      <c r="BH477" s="107"/>
      <c r="BI477" s="107"/>
      <c r="BJ477" s="107"/>
      <c r="BK477" s="107"/>
      <c r="BL477" s="107"/>
      <c r="BM477" s="107"/>
      <c r="BN477" s="107"/>
      <c r="BO477" s="65"/>
      <c r="BP477" s="78" t="s">
        <v>22</v>
      </c>
    </row>
    <row r="478" spans="2:68" ht="12" hidden="1" customHeight="1" outlineLevel="1">
      <c r="B478" s="76">
        <v>18</v>
      </c>
      <c r="C478" s="77" t="s">
        <v>871</v>
      </c>
      <c r="D478" s="144">
        <f t="shared" si="11"/>
        <v>0</v>
      </c>
      <c r="E478" s="144">
        <f t="shared" si="12"/>
        <v>0</v>
      </c>
      <c r="F478" s="65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7"/>
      <c r="AM478" s="107"/>
      <c r="AN478" s="107"/>
      <c r="AO478" s="107"/>
      <c r="AP478" s="107"/>
      <c r="AQ478" s="107"/>
      <c r="AR478" s="107"/>
      <c r="AS478" s="107"/>
      <c r="AT478" s="107"/>
      <c r="AU478" s="107"/>
      <c r="AV478" s="107"/>
      <c r="AW478" s="107"/>
      <c r="AX478" s="107"/>
      <c r="AY478" s="107"/>
      <c r="AZ478" s="107"/>
      <c r="BA478" s="107"/>
      <c r="BB478" s="107"/>
      <c r="BC478" s="107"/>
      <c r="BD478" s="107"/>
      <c r="BE478" s="107"/>
      <c r="BF478" s="107"/>
      <c r="BG478" s="107"/>
      <c r="BH478" s="107"/>
      <c r="BI478" s="107"/>
      <c r="BJ478" s="107"/>
      <c r="BK478" s="107"/>
      <c r="BL478" s="107"/>
      <c r="BM478" s="107"/>
      <c r="BN478" s="107"/>
      <c r="BO478" s="65"/>
      <c r="BP478" s="78" t="s">
        <v>22</v>
      </c>
    </row>
    <row r="479" spans="2:68" ht="12" hidden="1" customHeight="1" outlineLevel="1">
      <c r="B479" s="76">
        <v>19</v>
      </c>
      <c r="C479" s="77" t="s">
        <v>872</v>
      </c>
      <c r="D479" s="144">
        <f t="shared" si="11"/>
        <v>0</v>
      </c>
      <c r="E479" s="144">
        <f t="shared" si="12"/>
        <v>0</v>
      </c>
      <c r="F479" s="65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  <c r="AK479" s="107"/>
      <c r="AL479" s="107"/>
      <c r="AM479" s="107"/>
      <c r="AN479" s="107"/>
      <c r="AO479" s="107"/>
      <c r="AP479" s="107"/>
      <c r="AQ479" s="107"/>
      <c r="AR479" s="107"/>
      <c r="AS479" s="107"/>
      <c r="AT479" s="107"/>
      <c r="AU479" s="107"/>
      <c r="AV479" s="107"/>
      <c r="AW479" s="107"/>
      <c r="AX479" s="107"/>
      <c r="AY479" s="107"/>
      <c r="AZ479" s="107"/>
      <c r="BA479" s="107"/>
      <c r="BB479" s="107"/>
      <c r="BC479" s="107"/>
      <c r="BD479" s="107"/>
      <c r="BE479" s="107"/>
      <c r="BF479" s="107"/>
      <c r="BG479" s="107"/>
      <c r="BH479" s="107"/>
      <c r="BI479" s="107"/>
      <c r="BJ479" s="107"/>
      <c r="BK479" s="107"/>
      <c r="BL479" s="107"/>
      <c r="BM479" s="107"/>
      <c r="BN479" s="107"/>
      <c r="BO479" s="65"/>
      <c r="BP479" s="78" t="s">
        <v>22</v>
      </c>
    </row>
    <row r="480" spans="2:68" ht="12" hidden="1" customHeight="1" outlineLevel="1">
      <c r="B480" s="76">
        <v>20</v>
      </c>
      <c r="C480" s="77" t="s">
        <v>873</v>
      </c>
      <c r="D480" s="144">
        <f t="shared" si="11"/>
        <v>0</v>
      </c>
      <c r="E480" s="144">
        <f t="shared" si="12"/>
        <v>0</v>
      </c>
      <c r="F480" s="65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  <c r="AK480" s="107"/>
      <c r="AL480" s="107"/>
      <c r="AM480" s="107"/>
      <c r="AN480" s="107"/>
      <c r="AO480" s="107"/>
      <c r="AP480" s="107"/>
      <c r="AQ480" s="107"/>
      <c r="AR480" s="107"/>
      <c r="AS480" s="107"/>
      <c r="AT480" s="107"/>
      <c r="AU480" s="107"/>
      <c r="AV480" s="107"/>
      <c r="AW480" s="107"/>
      <c r="AX480" s="107"/>
      <c r="AY480" s="107"/>
      <c r="AZ480" s="107"/>
      <c r="BA480" s="107"/>
      <c r="BB480" s="107"/>
      <c r="BC480" s="107"/>
      <c r="BD480" s="107"/>
      <c r="BE480" s="107"/>
      <c r="BF480" s="107"/>
      <c r="BG480" s="107"/>
      <c r="BH480" s="107"/>
      <c r="BI480" s="107"/>
      <c r="BJ480" s="107"/>
      <c r="BK480" s="107"/>
      <c r="BL480" s="107"/>
      <c r="BM480" s="107"/>
      <c r="BN480" s="107"/>
      <c r="BO480" s="65"/>
      <c r="BP480" s="78" t="s">
        <v>22</v>
      </c>
    </row>
    <row r="481" spans="2:68" ht="12" hidden="1" customHeight="1" outlineLevel="1">
      <c r="B481" s="76">
        <v>21</v>
      </c>
      <c r="C481" s="77" t="s">
        <v>874</v>
      </c>
      <c r="D481" s="144">
        <f t="shared" si="11"/>
        <v>0</v>
      </c>
      <c r="E481" s="144">
        <f t="shared" si="12"/>
        <v>0</v>
      </c>
      <c r="F481" s="65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  <c r="AM481" s="107"/>
      <c r="AN481" s="107"/>
      <c r="AO481" s="107"/>
      <c r="AP481" s="107"/>
      <c r="AQ481" s="107"/>
      <c r="AR481" s="107"/>
      <c r="AS481" s="107"/>
      <c r="AT481" s="107"/>
      <c r="AU481" s="107"/>
      <c r="AV481" s="107"/>
      <c r="AW481" s="107"/>
      <c r="AX481" s="107"/>
      <c r="AY481" s="107"/>
      <c r="AZ481" s="107"/>
      <c r="BA481" s="107"/>
      <c r="BB481" s="107"/>
      <c r="BC481" s="107"/>
      <c r="BD481" s="107"/>
      <c r="BE481" s="107"/>
      <c r="BF481" s="107"/>
      <c r="BG481" s="107"/>
      <c r="BH481" s="107"/>
      <c r="BI481" s="107"/>
      <c r="BJ481" s="107"/>
      <c r="BK481" s="107"/>
      <c r="BL481" s="107"/>
      <c r="BM481" s="107"/>
      <c r="BN481" s="107"/>
      <c r="BO481" s="65"/>
      <c r="BP481" s="78" t="s">
        <v>22</v>
      </c>
    </row>
    <row r="482" spans="2:68" ht="12" hidden="1" customHeight="1" outlineLevel="1">
      <c r="B482" s="76">
        <v>22</v>
      </c>
      <c r="C482" s="77" t="s">
        <v>875</v>
      </c>
      <c r="D482" s="144">
        <f t="shared" si="11"/>
        <v>0</v>
      </c>
      <c r="E482" s="144">
        <f t="shared" si="12"/>
        <v>0</v>
      </c>
      <c r="F482" s="65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  <c r="AK482" s="107"/>
      <c r="AL482" s="107"/>
      <c r="AM482" s="107"/>
      <c r="AN482" s="107"/>
      <c r="AO482" s="107"/>
      <c r="AP482" s="107"/>
      <c r="AQ482" s="107"/>
      <c r="AR482" s="107"/>
      <c r="AS482" s="107"/>
      <c r="AT482" s="107"/>
      <c r="AU482" s="107"/>
      <c r="AV482" s="107"/>
      <c r="AW482" s="107"/>
      <c r="AX482" s="107"/>
      <c r="AY482" s="107"/>
      <c r="AZ482" s="107"/>
      <c r="BA482" s="107"/>
      <c r="BB482" s="107"/>
      <c r="BC482" s="107"/>
      <c r="BD482" s="107"/>
      <c r="BE482" s="107"/>
      <c r="BF482" s="107"/>
      <c r="BG482" s="107"/>
      <c r="BH482" s="107"/>
      <c r="BI482" s="107"/>
      <c r="BJ482" s="107"/>
      <c r="BK482" s="107"/>
      <c r="BL482" s="107"/>
      <c r="BM482" s="107"/>
      <c r="BN482" s="107"/>
      <c r="BO482" s="65"/>
      <c r="BP482" s="78" t="s">
        <v>22</v>
      </c>
    </row>
    <row r="483" spans="2:68" ht="12" hidden="1" customHeight="1" outlineLevel="1">
      <c r="B483" s="76">
        <v>23</v>
      </c>
      <c r="C483" s="77" t="s">
        <v>876</v>
      </c>
      <c r="D483" s="144">
        <f t="shared" si="11"/>
        <v>0</v>
      </c>
      <c r="E483" s="144">
        <f t="shared" si="12"/>
        <v>0</v>
      </c>
      <c r="F483" s="65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G483" s="107"/>
      <c r="BH483" s="107"/>
      <c r="BI483" s="107"/>
      <c r="BJ483" s="107"/>
      <c r="BK483" s="107"/>
      <c r="BL483" s="107"/>
      <c r="BM483" s="107"/>
      <c r="BN483" s="107"/>
      <c r="BO483" s="65"/>
      <c r="BP483" s="78" t="s">
        <v>22</v>
      </c>
    </row>
    <row r="484" spans="2:68" ht="12" hidden="1" customHeight="1" outlineLevel="1">
      <c r="B484" s="76">
        <v>24</v>
      </c>
      <c r="C484" s="77" t="s">
        <v>877</v>
      </c>
      <c r="D484" s="144">
        <f t="shared" si="11"/>
        <v>0</v>
      </c>
      <c r="E484" s="144">
        <f t="shared" si="12"/>
        <v>0</v>
      </c>
      <c r="F484" s="65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107"/>
      <c r="AN484" s="107"/>
      <c r="AO484" s="107"/>
      <c r="AP484" s="107"/>
      <c r="AQ484" s="107"/>
      <c r="AR484" s="107"/>
      <c r="AS484" s="107"/>
      <c r="AT484" s="107"/>
      <c r="AU484" s="107"/>
      <c r="AV484" s="107"/>
      <c r="AW484" s="107"/>
      <c r="AX484" s="107"/>
      <c r="AY484" s="107"/>
      <c r="AZ484" s="107"/>
      <c r="BA484" s="107"/>
      <c r="BB484" s="107"/>
      <c r="BC484" s="107"/>
      <c r="BD484" s="107"/>
      <c r="BE484" s="107"/>
      <c r="BF484" s="107"/>
      <c r="BG484" s="107"/>
      <c r="BH484" s="107"/>
      <c r="BI484" s="107"/>
      <c r="BJ484" s="107"/>
      <c r="BK484" s="107"/>
      <c r="BL484" s="107"/>
      <c r="BM484" s="107"/>
      <c r="BN484" s="107"/>
      <c r="BO484" s="65"/>
      <c r="BP484" s="78" t="s">
        <v>22</v>
      </c>
    </row>
    <row r="485" spans="2:68" ht="12" hidden="1" customHeight="1" outlineLevel="1">
      <c r="B485" s="76">
        <v>25</v>
      </c>
      <c r="C485" s="77" t="s">
        <v>878</v>
      </c>
      <c r="D485" s="144">
        <f t="shared" si="11"/>
        <v>0</v>
      </c>
      <c r="E485" s="144">
        <f t="shared" si="12"/>
        <v>0</v>
      </c>
      <c r="F485" s="65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7"/>
      <c r="AM485" s="107"/>
      <c r="AN485" s="107"/>
      <c r="AO485" s="107"/>
      <c r="AP485" s="107"/>
      <c r="AQ485" s="107"/>
      <c r="AR485" s="107"/>
      <c r="AS485" s="107"/>
      <c r="AT485" s="107"/>
      <c r="AU485" s="107"/>
      <c r="AV485" s="107"/>
      <c r="AW485" s="107"/>
      <c r="AX485" s="107"/>
      <c r="AY485" s="107"/>
      <c r="AZ485" s="107"/>
      <c r="BA485" s="107"/>
      <c r="BB485" s="107"/>
      <c r="BC485" s="107"/>
      <c r="BD485" s="107"/>
      <c r="BE485" s="107"/>
      <c r="BF485" s="107"/>
      <c r="BG485" s="107"/>
      <c r="BH485" s="107"/>
      <c r="BI485" s="107"/>
      <c r="BJ485" s="107"/>
      <c r="BK485" s="107"/>
      <c r="BL485" s="107"/>
      <c r="BM485" s="107"/>
      <c r="BN485" s="107"/>
      <c r="BO485" s="65"/>
      <c r="BP485" s="78" t="s">
        <v>22</v>
      </c>
    </row>
    <row r="486" spans="2:68" ht="12" hidden="1" customHeight="1" outlineLevel="1">
      <c r="B486" s="76">
        <v>26</v>
      </c>
      <c r="C486" s="77" t="s">
        <v>879</v>
      </c>
      <c r="D486" s="144">
        <f t="shared" si="11"/>
        <v>0</v>
      </c>
      <c r="E486" s="144">
        <f t="shared" si="12"/>
        <v>0</v>
      </c>
      <c r="F486" s="65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107"/>
      <c r="AN486" s="107"/>
      <c r="AO486" s="107"/>
      <c r="AP486" s="107"/>
      <c r="AQ486" s="107"/>
      <c r="AR486" s="107"/>
      <c r="AS486" s="107"/>
      <c r="AT486" s="107"/>
      <c r="AU486" s="107"/>
      <c r="AV486" s="107"/>
      <c r="AW486" s="107"/>
      <c r="AX486" s="107"/>
      <c r="AY486" s="107"/>
      <c r="AZ486" s="107"/>
      <c r="BA486" s="107"/>
      <c r="BB486" s="107"/>
      <c r="BC486" s="107"/>
      <c r="BD486" s="107"/>
      <c r="BE486" s="107"/>
      <c r="BF486" s="107"/>
      <c r="BG486" s="107"/>
      <c r="BH486" s="107"/>
      <c r="BI486" s="107"/>
      <c r="BJ486" s="107"/>
      <c r="BK486" s="107"/>
      <c r="BL486" s="107"/>
      <c r="BM486" s="107"/>
      <c r="BN486" s="107"/>
      <c r="BO486" s="65"/>
      <c r="BP486" s="78" t="s">
        <v>22</v>
      </c>
    </row>
    <row r="487" spans="2:68" ht="12" hidden="1" customHeight="1" outlineLevel="1">
      <c r="B487" s="76">
        <v>27</v>
      </c>
      <c r="C487" s="77" t="s">
        <v>880</v>
      </c>
      <c r="D487" s="144">
        <f t="shared" si="11"/>
        <v>0</v>
      </c>
      <c r="E487" s="144">
        <f t="shared" si="12"/>
        <v>0</v>
      </c>
      <c r="F487" s="65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7"/>
      <c r="AM487" s="107"/>
      <c r="AN487" s="107"/>
      <c r="AO487" s="107"/>
      <c r="AP487" s="107"/>
      <c r="AQ487" s="107"/>
      <c r="AR487" s="107"/>
      <c r="AS487" s="107"/>
      <c r="AT487" s="107"/>
      <c r="AU487" s="107"/>
      <c r="AV487" s="107"/>
      <c r="AW487" s="107"/>
      <c r="AX487" s="107"/>
      <c r="AY487" s="107"/>
      <c r="AZ487" s="107"/>
      <c r="BA487" s="107"/>
      <c r="BB487" s="107"/>
      <c r="BC487" s="107"/>
      <c r="BD487" s="107"/>
      <c r="BE487" s="107"/>
      <c r="BF487" s="107"/>
      <c r="BG487" s="107"/>
      <c r="BH487" s="107"/>
      <c r="BI487" s="107"/>
      <c r="BJ487" s="107"/>
      <c r="BK487" s="107"/>
      <c r="BL487" s="107"/>
      <c r="BM487" s="107"/>
      <c r="BN487" s="107"/>
      <c r="BO487" s="65"/>
      <c r="BP487" s="78" t="s">
        <v>22</v>
      </c>
    </row>
    <row r="488" spans="2:68" ht="12" hidden="1" customHeight="1" outlineLevel="1">
      <c r="B488" s="76">
        <v>28</v>
      </c>
      <c r="C488" s="77" t="s">
        <v>881</v>
      </c>
      <c r="D488" s="144">
        <f t="shared" si="11"/>
        <v>0</v>
      </c>
      <c r="E488" s="144">
        <f t="shared" si="12"/>
        <v>0</v>
      </c>
      <c r="F488" s="65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7"/>
      <c r="AM488" s="107"/>
      <c r="AN488" s="107"/>
      <c r="AO488" s="107"/>
      <c r="AP488" s="107"/>
      <c r="AQ488" s="107"/>
      <c r="AR488" s="107"/>
      <c r="AS488" s="107"/>
      <c r="AT488" s="107"/>
      <c r="AU488" s="107"/>
      <c r="AV488" s="107"/>
      <c r="AW488" s="107"/>
      <c r="AX488" s="107"/>
      <c r="AY488" s="107"/>
      <c r="AZ488" s="107"/>
      <c r="BA488" s="107"/>
      <c r="BB488" s="107"/>
      <c r="BC488" s="107"/>
      <c r="BD488" s="107"/>
      <c r="BE488" s="107"/>
      <c r="BF488" s="107"/>
      <c r="BG488" s="107"/>
      <c r="BH488" s="107"/>
      <c r="BI488" s="107"/>
      <c r="BJ488" s="107"/>
      <c r="BK488" s="107"/>
      <c r="BL488" s="107"/>
      <c r="BM488" s="107"/>
      <c r="BN488" s="107"/>
      <c r="BO488" s="65"/>
      <c r="BP488" s="78" t="s">
        <v>22</v>
      </c>
    </row>
    <row r="489" spans="2:68" ht="12" hidden="1" customHeight="1" outlineLevel="1">
      <c r="B489" s="76">
        <v>29</v>
      </c>
      <c r="C489" s="77" t="s">
        <v>882</v>
      </c>
      <c r="D489" s="144">
        <f t="shared" si="11"/>
        <v>0</v>
      </c>
      <c r="E489" s="144">
        <f t="shared" si="12"/>
        <v>0</v>
      </c>
      <c r="F489" s="65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107"/>
      <c r="AN489" s="107"/>
      <c r="AO489" s="107"/>
      <c r="AP489" s="107"/>
      <c r="AQ489" s="107"/>
      <c r="AR489" s="107"/>
      <c r="AS489" s="107"/>
      <c r="AT489" s="107"/>
      <c r="AU489" s="107"/>
      <c r="AV489" s="107"/>
      <c r="AW489" s="107"/>
      <c r="AX489" s="107"/>
      <c r="AY489" s="107"/>
      <c r="AZ489" s="107"/>
      <c r="BA489" s="107"/>
      <c r="BB489" s="107"/>
      <c r="BC489" s="107"/>
      <c r="BD489" s="107"/>
      <c r="BE489" s="107"/>
      <c r="BF489" s="107"/>
      <c r="BG489" s="107"/>
      <c r="BH489" s="107"/>
      <c r="BI489" s="107"/>
      <c r="BJ489" s="107"/>
      <c r="BK489" s="107"/>
      <c r="BL489" s="107"/>
      <c r="BM489" s="107"/>
      <c r="BN489" s="107"/>
      <c r="BO489" s="65"/>
      <c r="BP489" s="78" t="s">
        <v>22</v>
      </c>
    </row>
    <row r="490" spans="2:68" ht="12" hidden="1" customHeight="1" outlineLevel="1">
      <c r="B490" s="76">
        <v>30</v>
      </c>
      <c r="C490" s="77" t="s">
        <v>883</v>
      </c>
      <c r="D490" s="144">
        <f t="shared" si="11"/>
        <v>0</v>
      </c>
      <c r="E490" s="144">
        <f t="shared" si="12"/>
        <v>0</v>
      </c>
      <c r="F490" s="65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7"/>
      <c r="AM490" s="107"/>
      <c r="AN490" s="107"/>
      <c r="AO490" s="107"/>
      <c r="AP490" s="107"/>
      <c r="AQ490" s="107"/>
      <c r="AR490" s="107"/>
      <c r="AS490" s="107"/>
      <c r="AT490" s="107"/>
      <c r="AU490" s="107"/>
      <c r="AV490" s="107"/>
      <c r="AW490" s="107"/>
      <c r="AX490" s="107"/>
      <c r="AY490" s="107"/>
      <c r="AZ490" s="107"/>
      <c r="BA490" s="107"/>
      <c r="BB490" s="107"/>
      <c r="BC490" s="107"/>
      <c r="BD490" s="107"/>
      <c r="BE490" s="107"/>
      <c r="BF490" s="107"/>
      <c r="BG490" s="107"/>
      <c r="BH490" s="107"/>
      <c r="BI490" s="107"/>
      <c r="BJ490" s="107"/>
      <c r="BK490" s="107"/>
      <c r="BL490" s="107"/>
      <c r="BM490" s="107"/>
      <c r="BN490" s="107"/>
      <c r="BO490" s="65"/>
      <c r="BP490" s="78" t="s">
        <v>22</v>
      </c>
    </row>
    <row r="491" spans="2:68" ht="12" hidden="1" customHeight="1" outlineLevel="1">
      <c r="B491" s="76">
        <v>31</v>
      </c>
      <c r="C491" s="77" t="s">
        <v>884</v>
      </c>
      <c r="D491" s="144">
        <f t="shared" si="11"/>
        <v>0</v>
      </c>
      <c r="E491" s="144">
        <f t="shared" si="12"/>
        <v>0</v>
      </c>
      <c r="F491" s="65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7"/>
      <c r="AM491" s="107"/>
      <c r="AN491" s="107"/>
      <c r="AO491" s="107"/>
      <c r="AP491" s="107"/>
      <c r="AQ491" s="107"/>
      <c r="AR491" s="107"/>
      <c r="AS491" s="107"/>
      <c r="AT491" s="107"/>
      <c r="AU491" s="107"/>
      <c r="AV491" s="107"/>
      <c r="AW491" s="107"/>
      <c r="AX491" s="107"/>
      <c r="AY491" s="107"/>
      <c r="AZ491" s="107"/>
      <c r="BA491" s="107"/>
      <c r="BB491" s="107"/>
      <c r="BC491" s="107"/>
      <c r="BD491" s="107"/>
      <c r="BE491" s="107"/>
      <c r="BF491" s="107"/>
      <c r="BG491" s="107"/>
      <c r="BH491" s="107"/>
      <c r="BI491" s="107"/>
      <c r="BJ491" s="107"/>
      <c r="BK491" s="107"/>
      <c r="BL491" s="107"/>
      <c r="BM491" s="107"/>
      <c r="BN491" s="107"/>
      <c r="BO491" s="65"/>
      <c r="BP491" s="78" t="s">
        <v>22</v>
      </c>
    </row>
    <row r="492" spans="2:68" ht="12" hidden="1" customHeight="1" outlineLevel="1">
      <c r="B492" s="76">
        <v>32</v>
      </c>
      <c r="C492" s="77" t="s">
        <v>885</v>
      </c>
      <c r="D492" s="144">
        <f t="shared" si="11"/>
        <v>0</v>
      </c>
      <c r="E492" s="144">
        <f t="shared" si="12"/>
        <v>0</v>
      </c>
      <c r="F492" s="65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  <c r="AK492" s="107"/>
      <c r="AL492" s="107"/>
      <c r="AM492" s="107"/>
      <c r="AN492" s="107"/>
      <c r="AO492" s="107"/>
      <c r="AP492" s="107"/>
      <c r="AQ492" s="107"/>
      <c r="AR492" s="107"/>
      <c r="AS492" s="107"/>
      <c r="AT492" s="107"/>
      <c r="AU492" s="107"/>
      <c r="AV492" s="107"/>
      <c r="AW492" s="107"/>
      <c r="AX492" s="107"/>
      <c r="AY492" s="107"/>
      <c r="AZ492" s="107"/>
      <c r="BA492" s="107"/>
      <c r="BB492" s="107"/>
      <c r="BC492" s="107"/>
      <c r="BD492" s="107"/>
      <c r="BE492" s="107"/>
      <c r="BF492" s="107"/>
      <c r="BG492" s="107"/>
      <c r="BH492" s="107"/>
      <c r="BI492" s="107"/>
      <c r="BJ492" s="107"/>
      <c r="BK492" s="107"/>
      <c r="BL492" s="107"/>
      <c r="BM492" s="107"/>
      <c r="BN492" s="107"/>
      <c r="BO492" s="65"/>
      <c r="BP492" s="78" t="s">
        <v>22</v>
      </c>
    </row>
    <row r="493" spans="2:68" ht="12" hidden="1" customHeight="1" outlineLevel="1">
      <c r="B493" s="76">
        <v>33</v>
      </c>
      <c r="C493" s="77" t="s">
        <v>886</v>
      </c>
      <c r="D493" s="144">
        <f t="shared" ref="D493:D524" si="13">IFERROR(ROUNDUP(SUM(G493:BN493)/COUNTIF(G493:BN493,"&gt;0"),2),0)</f>
        <v>0</v>
      </c>
      <c r="E493" s="144">
        <f t="shared" ref="E493:E524" si="14">COUNTIF(G493:BN493,"&gt;0")</f>
        <v>0</v>
      </c>
      <c r="F493" s="65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  <c r="AN493" s="107"/>
      <c r="AO493" s="107"/>
      <c r="AP493" s="107"/>
      <c r="AQ493" s="107"/>
      <c r="AR493" s="107"/>
      <c r="AS493" s="107"/>
      <c r="AT493" s="107"/>
      <c r="AU493" s="107"/>
      <c r="AV493" s="107"/>
      <c r="AW493" s="107"/>
      <c r="AX493" s="107"/>
      <c r="AY493" s="107"/>
      <c r="AZ493" s="107"/>
      <c r="BA493" s="107"/>
      <c r="BB493" s="107"/>
      <c r="BC493" s="107"/>
      <c r="BD493" s="107"/>
      <c r="BE493" s="107"/>
      <c r="BF493" s="107"/>
      <c r="BG493" s="107"/>
      <c r="BH493" s="107"/>
      <c r="BI493" s="107"/>
      <c r="BJ493" s="107"/>
      <c r="BK493" s="107"/>
      <c r="BL493" s="107"/>
      <c r="BM493" s="107"/>
      <c r="BN493" s="107"/>
      <c r="BO493" s="65"/>
      <c r="BP493" s="78" t="s">
        <v>22</v>
      </c>
    </row>
    <row r="494" spans="2:68" ht="12" hidden="1" customHeight="1" outlineLevel="1">
      <c r="B494" s="76">
        <v>34</v>
      </c>
      <c r="C494" s="77" t="s">
        <v>887</v>
      </c>
      <c r="D494" s="144">
        <f t="shared" si="13"/>
        <v>0</v>
      </c>
      <c r="E494" s="144">
        <f t="shared" si="14"/>
        <v>0</v>
      </c>
      <c r="F494" s="65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7"/>
      <c r="AM494" s="107"/>
      <c r="AN494" s="107"/>
      <c r="AO494" s="107"/>
      <c r="AP494" s="107"/>
      <c r="AQ494" s="107"/>
      <c r="AR494" s="107"/>
      <c r="AS494" s="107"/>
      <c r="AT494" s="107"/>
      <c r="AU494" s="107"/>
      <c r="AV494" s="107"/>
      <c r="AW494" s="107"/>
      <c r="AX494" s="107"/>
      <c r="AY494" s="107"/>
      <c r="AZ494" s="107"/>
      <c r="BA494" s="107"/>
      <c r="BB494" s="107"/>
      <c r="BC494" s="107"/>
      <c r="BD494" s="107"/>
      <c r="BE494" s="107"/>
      <c r="BF494" s="107"/>
      <c r="BG494" s="107"/>
      <c r="BH494" s="107"/>
      <c r="BI494" s="107"/>
      <c r="BJ494" s="107"/>
      <c r="BK494" s="107"/>
      <c r="BL494" s="107"/>
      <c r="BM494" s="107"/>
      <c r="BN494" s="107"/>
      <c r="BO494" s="65"/>
      <c r="BP494" s="78" t="s">
        <v>22</v>
      </c>
    </row>
    <row r="495" spans="2:68" ht="12" hidden="1" customHeight="1" outlineLevel="1">
      <c r="B495" s="76">
        <v>35</v>
      </c>
      <c r="C495" s="77" t="s">
        <v>888</v>
      </c>
      <c r="D495" s="144">
        <f t="shared" si="13"/>
        <v>0</v>
      </c>
      <c r="E495" s="144">
        <f t="shared" si="14"/>
        <v>0</v>
      </c>
      <c r="F495" s="65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7"/>
      <c r="AM495" s="107"/>
      <c r="AN495" s="107"/>
      <c r="AO495" s="107"/>
      <c r="AP495" s="107"/>
      <c r="AQ495" s="107"/>
      <c r="AR495" s="107"/>
      <c r="AS495" s="107"/>
      <c r="AT495" s="107"/>
      <c r="AU495" s="107"/>
      <c r="AV495" s="107"/>
      <c r="AW495" s="107"/>
      <c r="AX495" s="107"/>
      <c r="AY495" s="107"/>
      <c r="AZ495" s="107"/>
      <c r="BA495" s="107"/>
      <c r="BB495" s="107"/>
      <c r="BC495" s="107"/>
      <c r="BD495" s="107"/>
      <c r="BE495" s="107"/>
      <c r="BF495" s="107"/>
      <c r="BG495" s="107"/>
      <c r="BH495" s="107"/>
      <c r="BI495" s="107"/>
      <c r="BJ495" s="107"/>
      <c r="BK495" s="107"/>
      <c r="BL495" s="107"/>
      <c r="BM495" s="107"/>
      <c r="BN495" s="107"/>
      <c r="BO495" s="65"/>
      <c r="BP495" s="78" t="s">
        <v>22</v>
      </c>
    </row>
    <row r="496" spans="2:68" ht="12" hidden="1" customHeight="1" outlineLevel="1">
      <c r="B496" s="76">
        <v>36</v>
      </c>
      <c r="C496" s="77" t="s">
        <v>889</v>
      </c>
      <c r="D496" s="144">
        <f t="shared" si="13"/>
        <v>0</v>
      </c>
      <c r="E496" s="144">
        <f t="shared" si="14"/>
        <v>0</v>
      </c>
      <c r="F496" s="65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  <c r="AK496" s="107"/>
      <c r="AL496" s="107"/>
      <c r="AM496" s="107"/>
      <c r="AN496" s="107"/>
      <c r="AO496" s="107"/>
      <c r="AP496" s="107"/>
      <c r="AQ496" s="107"/>
      <c r="AR496" s="107"/>
      <c r="AS496" s="107"/>
      <c r="AT496" s="107"/>
      <c r="AU496" s="107"/>
      <c r="AV496" s="107"/>
      <c r="AW496" s="107"/>
      <c r="AX496" s="107"/>
      <c r="AY496" s="107"/>
      <c r="AZ496" s="107"/>
      <c r="BA496" s="107"/>
      <c r="BB496" s="107"/>
      <c r="BC496" s="107"/>
      <c r="BD496" s="107"/>
      <c r="BE496" s="107"/>
      <c r="BF496" s="107"/>
      <c r="BG496" s="107"/>
      <c r="BH496" s="107"/>
      <c r="BI496" s="107"/>
      <c r="BJ496" s="107"/>
      <c r="BK496" s="107"/>
      <c r="BL496" s="107"/>
      <c r="BM496" s="107"/>
      <c r="BN496" s="107"/>
      <c r="BO496" s="65"/>
      <c r="BP496" s="78" t="s">
        <v>22</v>
      </c>
    </row>
    <row r="497" spans="2:68" ht="12" hidden="1" customHeight="1" outlineLevel="1">
      <c r="B497" s="76">
        <v>37</v>
      </c>
      <c r="C497" s="77" t="s">
        <v>890</v>
      </c>
      <c r="D497" s="144">
        <f t="shared" si="13"/>
        <v>0</v>
      </c>
      <c r="E497" s="144">
        <f t="shared" si="14"/>
        <v>0</v>
      </c>
      <c r="F497" s="65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7"/>
      <c r="AM497" s="107"/>
      <c r="AN497" s="107"/>
      <c r="AO497" s="107"/>
      <c r="AP497" s="107"/>
      <c r="AQ497" s="107"/>
      <c r="AR497" s="107"/>
      <c r="AS497" s="107"/>
      <c r="AT497" s="107"/>
      <c r="AU497" s="107"/>
      <c r="AV497" s="107"/>
      <c r="AW497" s="107"/>
      <c r="AX497" s="107"/>
      <c r="AY497" s="107"/>
      <c r="AZ497" s="107"/>
      <c r="BA497" s="107"/>
      <c r="BB497" s="107"/>
      <c r="BC497" s="107"/>
      <c r="BD497" s="107"/>
      <c r="BE497" s="107"/>
      <c r="BF497" s="107"/>
      <c r="BG497" s="107"/>
      <c r="BH497" s="107"/>
      <c r="BI497" s="107"/>
      <c r="BJ497" s="107"/>
      <c r="BK497" s="107"/>
      <c r="BL497" s="107"/>
      <c r="BM497" s="107"/>
      <c r="BN497" s="107"/>
      <c r="BO497" s="65"/>
      <c r="BP497" s="78" t="s">
        <v>22</v>
      </c>
    </row>
    <row r="498" spans="2:68" ht="12" hidden="1" customHeight="1" outlineLevel="1">
      <c r="B498" s="76">
        <v>38</v>
      </c>
      <c r="C498" s="77" t="s">
        <v>891</v>
      </c>
      <c r="D498" s="144">
        <f t="shared" si="13"/>
        <v>0</v>
      </c>
      <c r="E498" s="144">
        <f t="shared" si="14"/>
        <v>0</v>
      </c>
      <c r="F498" s="65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7"/>
      <c r="AM498" s="107"/>
      <c r="AN498" s="107"/>
      <c r="AO498" s="107"/>
      <c r="AP498" s="107"/>
      <c r="AQ498" s="107"/>
      <c r="AR498" s="107"/>
      <c r="AS498" s="107"/>
      <c r="AT498" s="107"/>
      <c r="AU498" s="107"/>
      <c r="AV498" s="107"/>
      <c r="AW498" s="107"/>
      <c r="AX498" s="107"/>
      <c r="AY498" s="107"/>
      <c r="AZ498" s="107"/>
      <c r="BA498" s="107"/>
      <c r="BB498" s="107"/>
      <c r="BC498" s="107"/>
      <c r="BD498" s="107"/>
      <c r="BE498" s="107"/>
      <c r="BF498" s="107"/>
      <c r="BG498" s="107"/>
      <c r="BH498" s="107"/>
      <c r="BI498" s="107"/>
      <c r="BJ498" s="107"/>
      <c r="BK498" s="107"/>
      <c r="BL498" s="107"/>
      <c r="BM498" s="107"/>
      <c r="BN498" s="107"/>
      <c r="BO498" s="65"/>
      <c r="BP498" s="78" t="s">
        <v>22</v>
      </c>
    </row>
    <row r="499" spans="2:68" ht="12" hidden="1" customHeight="1" outlineLevel="1">
      <c r="B499" s="76">
        <v>39</v>
      </c>
      <c r="C499" s="77" t="s">
        <v>892</v>
      </c>
      <c r="D499" s="144">
        <f t="shared" si="13"/>
        <v>0</v>
      </c>
      <c r="E499" s="144">
        <f t="shared" si="14"/>
        <v>0</v>
      </c>
      <c r="F499" s="65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7"/>
      <c r="AM499" s="107"/>
      <c r="AN499" s="107"/>
      <c r="AO499" s="107"/>
      <c r="AP499" s="107"/>
      <c r="AQ499" s="107"/>
      <c r="AR499" s="107"/>
      <c r="AS499" s="107"/>
      <c r="AT499" s="107"/>
      <c r="AU499" s="107"/>
      <c r="AV499" s="107"/>
      <c r="AW499" s="107"/>
      <c r="AX499" s="107"/>
      <c r="AY499" s="107"/>
      <c r="AZ499" s="107"/>
      <c r="BA499" s="107"/>
      <c r="BB499" s="107"/>
      <c r="BC499" s="107"/>
      <c r="BD499" s="107"/>
      <c r="BE499" s="107"/>
      <c r="BF499" s="107"/>
      <c r="BG499" s="107"/>
      <c r="BH499" s="107"/>
      <c r="BI499" s="107"/>
      <c r="BJ499" s="107"/>
      <c r="BK499" s="107"/>
      <c r="BL499" s="107"/>
      <c r="BM499" s="107"/>
      <c r="BN499" s="107"/>
      <c r="BO499" s="65"/>
      <c r="BP499" s="78" t="s">
        <v>22</v>
      </c>
    </row>
    <row r="500" spans="2:68" ht="12" hidden="1" customHeight="1" outlineLevel="1">
      <c r="B500" s="76">
        <v>40</v>
      </c>
      <c r="C500" s="77" t="s">
        <v>893</v>
      </c>
      <c r="D500" s="144">
        <f t="shared" si="13"/>
        <v>0</v>
      </c>
      <c r="E500" s="144">
        <f t="shared" si="14"/>
        <v>0</v>
      </c>
      <c r="F500" s="65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7"/>
      <c r="AM500" s="107"/>
      <c r="AN500" s="107"/>
      <c r="AO500" s="107"/>
      <c r="AP500" s="107"/>
      <c r="AQ500" s="107"/>
      <c r="AR500" s="107"/>
      <c r="AS500" s="107"/>
      <c r="AT500" s="107"/>
      <c r="AU500" s="107"/>
      <c r="AV500" s="107"/>
      <c r="AW500" s="107"/>
      <c r="AX500" s="107"/>
      <c r="AY500" s="107"/>
      <c r="AZ500" s="107"/>
      <c r="BA500" s="107"/>
      <c r="BB500" s="107"/>
      <c r="BC500" s="107"/>
      <c r="BD500" s="107"/>
      <c r="BE500" s="107"/>
      <c r="BF500" s="107"/>
      <c r="BG500" s="107"/>
      <c r="BH500" s="107"/>
      <c r="BI500" s="107"/>
      <c r="BJ500" s="107"/>
      <c r="BK500" s="107"/>
      <c r="BL500" s="107"/>
      <c r="BM500" s="107"/>
      <c r="BN500" s="107"/>
      <c r="BO500" s="65"/>
      <c r="BP500" s="78" t="s">
        <v>22</v>
      </c>
    </row>
    <row r="501" spans="2:68" ht="12" hidden="1" customHeight="1" outlineLevel="1">
      <c r="B501" s="76">
        <v>41</v>
      </c>
      <c r="C501" s="77" t="s">
        <v>894</v>
      </c>
      <c r="D501" s="144">
        <f t="shared" si="13"/>
        <v>0</v>
      </c>
      <c r="E501" s="144">
        <f t="shared" si="14"/>
        <v>0</v>
      </c>
      <c r="F501" s="65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7"/>
      <c r="AL501" s="107"/>
      <c r="AM501" s="107"/>
      <c r="AN501" s="107"/>
      <c r="AO501" s="107"/>
      <c r="AP501" s="107"/>
      <c r="AQ501" s="107"/>
      <c r="AR501" s="107"/>
      <c r="AS501" s="107"/>
      <c r="AT501" s="107"/>
      <c r="AU501" s="107"/>
      <c r="AV501" s="107"/>
      <c r="AW501" s="107"/>
      <c r="AX501" s="107"/>
      <c r="AY501" s="107"/>
      <c r="AZ501" s="107"/>
      <c r="BA501" s="107"/>
      <c r="BB501" s="107"/>
      <c r="BC501" s="107"/>
      <c r="BD501" s="107"/>
      <c r="BE501" s="107"/>
      <c r="BF501" s="107"/>
      <c r="BG501" s="107"/>
      <c r="BH501" s="107"/>
      <c r="BI501" s="107"/>
      <c r="BJ501" s="107"/>
      <c r="BK501" s="107"/>
      <c r="BL501" s="107"/>
      <c r="BM501" s="107"/>
      <c r="BN501" s="107"/>
      <c r="BO501" s="65"/>
      <c r="BP501" s="78" t="s">
        <v>22</v>
      </c>
    </row>
    <row r="502" spans="2:68" ht="12" hidden="1" customHeight="1" outlineLevel="1">
      <c r="B502" s="76">
        <v>42</v>
      </c>
      <c r="C502" s="77" t="s">
        <v>895</v>
      </c>
      <c r="D502" s="144">
        <f t="shared" si="13"/>
        <v>0</v>
      </c>
      <c r="E502" s="144">
        <f t="shared" si="14"/>
        <v>0</v>
      </c>
      <c r="F502" s="65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7"/>
      <c r="AM502" s="107"/>
      <c r="AN502" s="107"/>
      <c r="AO502" s="107"/>
      <c r="AP502" s="107"/>
      <c r="AQ502" s="107"/>
      <c r="AR502" s="107"/>
      <c r="AS502" s="107"/>
      <c r="AT502" s="107"/>
      <c r="AU502" s="107"/>
      <c r="AV502" s="107"/>
      <c r="AW502" s="107"/>
      <c r="AX502" s="107"/>
      <c r="AY502" s="107"/>
      <c r="AZ502" s="107"/>
      <c r="BA502" s="107"/>
      <c r="BB502" s="107"/>
      <c r="BC502" s="107"/>
      <c r="BD502" s="107"/>
      <c r="BE502" s="107"/>
      <c r="BF502" s="107"/>
      <c r="BG502" s="107"/>
      <c r="BH502" s="107"/>
      <c r="BI502" s="107"/>
      <c r="BJ502" s="107"/>
      <c r="BK502" s="107"/>
      <c r="BL502" s="107"/>
      <c r="BM502" s="107"/>
      <c r="BN502" s="107"/>
      <c r="BO502" s="65"/>
      <c r="BP502" s="78" t="s">
        <v>22</v>
      </c>
    </row>
    <row r="503" spans="2:68" ht="12" hidden="1" customHeight="1" outlineLevel="1">
      <c r="B503" s="76">
        <v>43</v>
      </c>
      <c r="C503" s="77" t="s">
        <v>896</v>
      </c>
      <c r="D503" s="144">
        <f t="shared" si="13"/>
        <v>0</v>
      </c>
      <c r="E503" s="144">
        <f t="shared" si="14"/>
        <v>0</v>
      </c>
      <c r="F503" s="65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07"/>
      <c r="AL503" s="107"/>
      <c r="AM503" s="107"/>
      <c r="AN503" s="107"/>
      <c r="AO503" s="107"/>
      <c r="AP503" s="107"/>
      <c r="AQ503" s="107"/>
      <c r="AR503" s="107"/>
      <c r="AS503" s="107"/>
      <c r="AT503" s="107"/>
      <c r="AU503" s="107"/>
      <c r="AV503" s="107"/>
      <c r="AW503" s="107"/>
      <c r="AX503" s="107"/>
      <c r="AY503" s="107"/>
      <c r="AZ503" s="107"/>
      <c r="BA503" s="107"/>
      <c r="BB503" s="107"/>
      <c r="BC503" s="107"/>
      <c r="BD503" s="107"/>
      <c r="BE503" s="107"/>
      <c r="BF503" s="107"/>
      <c r="BG503" s="107"/>
      <c r="BH503" s="107"/>
      <c r="BI503" s="107"/>
      <c r="BJ503" s="107"/>
      <c r="BK503" s="107"/>
      <c r="BL503" s="107"/>
      <c r="BM503" s="107"/>
      <c r="BN503" s="107"/>
      <c r="BO503" s="65"/>
      <c r="BP503" s="78" t="s">
        <v>22</v>
      </c>
    </row>
    <row r="504" spans="2:68" ht="12" hidden="1" customHeight="1" outlineLevel="1">
      <c r="B504" s="76">
        <v>44</v>
      </c>
      <c r="C504" s="77" t="s">
        <v>897</v>
      </c>
      <c r="D504" s="144">
        <f t="shared" si="13"/>
        <v>0</v>
      </c>
      <c r="E504" s="144">
        <f t="shared" si="14"/>
        <v>0</v>
      </c>
      <c r="F504" s="65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07"/>
      <c r="AM504" s="107"/>
      <c r="AN504" s="107"/>
      <c r="AO504" s="107"/>
      <c r="AP504" s="107"/>
      <c r="AQ504" s="107"/>
      <c r="AR504" s="107"/>
      <c r="AS504" s="107"/>
      <c r="AT504" s="107"/>
      <c r="AU504" s="107"/>
      <c r="AV504" s="107"/>
      <c r="AW504" s="107"/>
      <c r="AX504" s="107"/>
      <c r="AY504" s="107"/>
      <c r="AZ504" s="107"/>
      <c r="BA504" s="107"/>
      <c r="BB504" s="107"/>
      <c r="BC504" s="107"/>
      <c r="BD504" s="107"/>
      <c r="BE504" s="107"/>
      <c r="BF504" s="107"/>
      <c r="BG504" s="107"/>
      <c r="BH504" s="107"/>
      <c r="BI504" s="107"/>
      <c r="BJ504" s="107"/>
      <c r="BK504" s="107"/>
      <c r="BL504" s="107"/>
      <c r="BM504" s="107"/>
      <c r="BN504" s="107"/>
      <c r="BO504" s="65"/>
      <c r="BP504" s="78" t="s">
        <v>22</v>
      </c>
    </row>
    <row r="505" spans="2:68" ht="12" hidden="1" customHeight="1" outlineLevel="1">
      <c r="B505" s="76">
        <v>45</v>
      </c>
      <c r="C505" s="77" t="s">
        <v>898</v>
      </c>
      <c r="D505" s="144">
        <f t="shared" si="13"/>
        <v>0</v>
      </c>
      <c r="E505" s="144">
        <f t="shared" si="14"/>
        <v>0</v>
      </c>
      <c r="F505" s="65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  <c r="AK505" s="107"/>
      <c r="AL505" s="107"/>
      <c r="AM505" s="107"/>
      <c r="AN505" s="107"/>
      <c r="AO505" s="107"/>
      <c r="AP505" s="107"/>
      <c r="AQ505" s="107"/>
      <c r="AR505" s="107"/>
      <c r="AS505" s="107"/>
      <c r="AT505" s="107"/>
      <c r="AU505" s="107"/>
      <c r="AV505" s="107"/>
      <c r="AW505" s="107"/>
      <c r="AX505" s="107"/>
      <c r="AY505" s="107"/>
      <c r="AZ505" s="107"/>
      <c r="BA505" s="107"/>
      <c r="BB505" s="107"/>
      <c r="BC505" s="107"/>
      <c r="BD505" s="107"/>
      <c r="BE505" s="107"/>
      <c r="BF505" s="107"/>
      <c r="BG505" s="107"/>
      <c r="BH505" s="107"/>
      <c r="BI505" s="107"/>
      <c r="BJ505" s="107"/>
      <c r="BK505" s="107"/>
      <c r="BL505" s="107"/>
      <c r="BM505" s="107"/>
      <c r="BN505" s="107"/>
      <c r="BO505" s="65"/>
      <c r="BP505" s="78" t="s">
        <v>22</v>
      </c>
    </row>
    <row r="506" spans="2:68" ht="12" hidden="1" customHeight="1" outlineLevel="1">
      <c r="B506" s="76">
        <v>46</v>
      </c>
      <c r="C506" s="77" t="s">
        <v>899</v>
      </c>
      <c r="D506" s="144">
        <f t="shared" si="13"/>
        <v>0</v>
      </c>
      <c r="E506" s="144">
        <f t="shared" si="14"/>
        <v>0</v>
      </c>
      <c r="F506" s="65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7"/>
      <c r="AM506" s="107"/>
      <c r="AN506" s="107"/>
      <c r="AO506" s="107"/>
      <c r="AP506" s="107"/>
      <c r="AQ506" s="107"/>
      <c r="AR506" s="107"/>
      <c r="AS506" s="107"/>
      <c r="AT506" s="107"/>
      <c r="AU506" s="107"/>
      <c r="AV506" s="107"/>
      <c r="AW506" s="107"/>
      <c r="AX506" s="107"/>
      <c r="AY506" s="107"/>
      <c r="AZ506" s="107"/>
      <c r="BA506" s="107"/>
      <c r="BB506" s="107"/>
      <c r="BC506" s="107"/>
      <c r="BD506" s="107"/>
      <c r="BE506" s="107"/>
      <c r="BF506" s="107"/>
      <c r="BG506" s="107"/>
      <c r="BH506" s="107"/>
      <c r="BI506" s="107"/>
      <c r="BJ506" s="107"/>
      <c r="BK506" s="107"/>
      <c r="BL506" s="107"/>
      <c r="BM506" s="107"/>
      <c r="BN506" s="107"/>
      <c r="BO506" s="65"/>
      <c r="BP506" s="78" t="s">
        <v>22</v>
      </c>
    </row>
    <row r="507" spans="2:68" ht="12" hidden="1" customHeight="1" outlineLevel="1">
      <c r="B507" s="76">
        <v>47</v>
      </c>
      <c r="C507" s="77" t="s">
        <v>900</v>
      </c>
      <c r="D507" s="144">
        <f t="shared" si="13"/>
        <v>0</v>
      </c>
      <c r="E507" s="144">
        <f t="shared" si="14"/>
        <v>0</v>
      </c>
      <c r="F507" s="65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7"/>
      <c r="AM507" s="107"/>
      <c r="AN507" s="107"/>
      <c r="AO507" s="107"/>
      <c r="AP507" s="107"/>
      <c r="AQ507" s="107"/>
      <c r="AR507" s="107"/>
      <c r="AS507" s="107"/>
      <c r="AT507" s="107"/>
      <c r="AU507" s="107"/>
      <c r="AV507" s="107"/>
      <c r="AW507" s="107"/>
      <c r="AX507" s="107"/>
      <c r="AY507" s="107"/>
      <c r="AZ507" s="107"/>
      <c r="BA507" s="107"/>
      <c r="BB507" s="107"/>
      <c r="BC507" s="107"/>
      <c r="BD507" s="107"/>
      <c r="BE507" s="107"/>
      <c r="BF507" s="107"/>
      <c r="BG507" s="107"/>
      <c r="BH507" s="107"/>
      <c r="BI507" s="107"/>
      <c r="BJ507" s="107"/>
      <c r="BK507" s="107"/>
      <c r="BL507" s="107"/>
      <c r="BM507" s="107"/>
      <c r="BN507" s="107"/>
      <c r="BO507" s="65"/>
      <c r="BP507" s="78" t="s">
        <v>22</v>
      </c>
    </row>
    <row r="508" spans="2:68" ht="12" hidden="1" customHeight="1" outlineLevel="1">
      <c r="B508" s="76">
        <v>48</v>
      </c>
      <c r="C508" s="77" t="s">
        <v>901</v>
      </c>
      <c r="D508" s="144">
        <f t="shared" si="13"/>
        <v>0</v>
      </c>
      <c r="E508" s="144">
        <f t="shared" si="14"/>
        <v>0</v>
      </c>
      <c r="F508" s="65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  <c r="AJ508" s="107"/>
      <c r="AK508" s="107"/>
      <c r="AL508" s="107"/>
      <c r="AM508" s="107"/>
      <c r="AN508" s="107"/>
      <c r="AO508" s="107"/>
      <c r="AP508" s="107"/>
      <c r="AQ508" s="107"/>
      <c r="AR508" s="107"/>
      <c r="AS508" s="107"/>
      <c r="AT508" s="107"/>
      <c r="AU508" s="107"/>
      <c r="AV508" s="107"/>
      <c r="AW508" s="107"/>
      <c r="AX508" s="107"/>
      <c r="AY508" s="107"/>
      <c r="AZ508" s="107"/>
      <c r="BA508" s="107"/>
      <c r="BB508" s="107"/>
      <c r="BC508" s="107"/>
      <c r="BD508" s="107"/>
      <c r="BE508" s="107"/>
      <c r="BF508" s="107"/>
      <c r="BG508" s="107"/>
      <c r="BH508" s="107"/>
      <c r="BI508" s="107"/>
      <c r="BJ508" s="107"/>
      <c r="BK508" s="107"/>
      <c r="BL508" s="107"/>
      <c r="BM508" s="107"/>
      <c r="BN508" s="107"/>
      <c r="BO508" s="65"/>
      <c r="BP508" s="78" t="s">
        <v>22</v>
      </c>
    </row>
    <row r="509" spans="2:68" ht="12" hidden="1" customHeight="1" outlineLevel="1">
      <c r="B509" s="76">
        <v>49</v>
      </c>
      <c r="C509" s="77" t="s">
        <v>902</v>
      </c>
      <c r="D509" s="144">
        <f t="shared" si="13"/>
        <v>0</v>
      </c>
      <c r="E509" s="144">
        <f t="shared" si="14"/>
        <v>0</v>
      </c>
      <c r="F509" s="65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7"/>
      <c r="AM509" s="107"/>
      <c r="AN509" s="107"/>
      <c r="AO509" s="107"/>
      <c r="AP509" s="107"/>
      <c r="AQ509" s="107"/>
      <c r="AR509" s="107"/>
      <c r="AS509" s="107"/>
      <c r="AT509" s="107"/>
      <c r="AU509" s="107"/>
      <c r="AV509" s="107"/>
      <c r="AW509" s="107"/>
      <c r="AX509" s="107"/>
      <c r="AY509" s="107"/>
      <c r="AZ509" s="107"/>
      <c r="BA509" s="107"/>
      <c r="BB509" s="107"/>
      <c r="BC509" s="107"/>
      <c r="BD509" s="107"/>
      <c r="BE509" s="107"/>
      <c r="BF509" s="107"/>
      <c r="BG509" s="107"/>
      <c r="BH509" s="107"/>
      <c r="BI509" s="107"/>
      <c r="BJ509" s="107"/>
      <c r="BK509" s="107"/>
      <c r="BL509" s="107"/>
      <c r="BM509" s="107"/>
      <c r="BN509" s="107"/>
      <c r="BO509" s="65"/>
      <c r="BP509" s="78" t="s">
        <v>22</v>
      </c>
    </row>
    <row r="510" spans="2:68" ht="12" hidden="1" customHeight="1" outlineLevel="1">
      <c r="B510" s="76">
        <v>50</v>
      </c>
      <c r="C510" s="77" t="s">
        <v>903</v>
      </c>
      <c r="D510" s="144">
        <f t="shared" si="13"/>
        <v>0</v>
      </c>
      <c r="E510" s="144">
        <f t="shared" si="14"/>
        <v>0</v>
      </c>
      <c r="F510" s="65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  <c r="AK510" s="107"/>
      <c r="AL510" s="107"/>
      <c r="AM510" s="107"/>
      <c r="AN510" s="107"/>
      <c r="AO510" s="107"/>
      <c r="AP510" s="107"/>
      <c r="AQ510" s="107"/>
      <c r="AR510" s="107"/>
      <c r="AS510" s="107"/>
      <c r="AT510" s="107"/>
      <c r="AU510" s="107"/>
      <c r="AV510" s="107"/>
      <c r="AW510" s="107"/>
      <c r="AX510" s="107"/>
      <c r="AY510" s="107"/>
      <c r="AZ510" s="107"/>
      <c r="BA510" s="107"/>
      <c r="BB510" s="107"/>
      <c r="BC510" s="107"/>
      <c r="BD510" s="107"/>
      <c r="BE510" s="107"/>
      <c r="BF510" s="107"/>
      <c r="BG510" s="107"/>
      <c r="BH510" s="107"/>
      <c r="BI510" s="107"/>
      <c r="BJ510" s="107"/>
      <c r="BK510" s="107"/>
      <c r="BL510" s="107"/>
      <c r="BM510" s="107"/>
      <c r="BN510" s="107"/>
      <c r="BO510" s="65"/>
      <c r="BP510" s="78" t="s">
        <v>22</v>
      </c>
    </row>
    <row r="511" spans="2:68" ht="12" hidden="1" customHeight="1" outlineLevel="1">
      <c r="B511" s="76">
        <v>51</v>
      </c>
      <c r="C511" s="77" t="s">
        <v>904</v>
      </c>
      <c r="D511" s="144">
        <f t="shared" si="13"/>
        <v>0</v>
      </c>
      <c r="E511" s="144">
        <f t="shared" si="14"/>
        <v>0</v>
      </c>
      <c r="F511" s="65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  <c r="AK511" s="107"/>
      <c r="AL511" s="107"/>
      <c r="AM511" s="107"/>
      <c r="AN511" s="107"/>
      <c r="AO511" s="107"/>
      <c r="AP511" s="107"/>
      <c r="AQ511" s="107"/>
      <c r="AR511" s="107"/>
      <c r="AS511" s="107"/>
      <c r="AT511" s="107"/>
      <c r="AU511" s="107"/>
      <c r="AV511" s="107"/>
      <c r="AW511" s="107"/>
      <c r="AX511" s="107"/>
      <c r="AY511" s="107"/>
      <c r="AZ511" s="107"/>
      <c r="BA511" s="107"/>
      <c r="BB511" s="107"/>
      <c r="BC511" s="107"/>
      <c r="BD511" s="107"/>
      <c r="BE511" s="107"/>
      <c r="BF511" s="107"/>
      <c r="BG511" s="107"/>
      <c r="BH511" s="107"/>
      <c r="BI511" s="107"/>
      <c r="BJ511" s="107"/>
      <c r="BK511" s="107"/>
      <c r="BL511" s="107"/>
      <c r="BM511" s="107"/>
      <c r="BN511" s="107"/>
      <c r="BO511" s="65"/>
      <c r="BP511" s="78" t="s">
        <v>22</v>
      </c>
    </row>
    <row r="512" spans="2:68" ht="12" hidden="1" customHeight="1" outlineLevel="1">
      <c r="B512" s="76">
        <v>52</v>
      </c>
      <c r="C512" s="77" t="s">
        <v>905</v>
      </c>
      <c r="D512" s="144">
        <f t="shared" si="13"/>
        <v>0</v>
      </c>
      <c r="E512" s="144">
        <f t="shared" si="14"/>
        <v>0</v>
      </c>
      <c r="F512" s="65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07"/>
      <c r="AM512" s="107"/>
      <c r="AN512" s="107"/>
      <c r="AO512" s="107"/>
      <c r="AP512" s="107"/>
      <c r="AQ512" s="107"/>
      <c r="AR512" s="107"/>
      <c r="AS512" s="107"/>
      <c r="AT512" s="107"/>
      <c r="AU512" s="107"/>
      <c r="AV512" s="107"/>
      <c r="AW512" s="107"/>
      <c r="AX512" s="107"/>
      <c r="AY512" s="107"/>
      <c r="AZ512" s="107"/>
      <c r="BA512" s="107"/>
      <c r="BB512" s="107"/>
      <c r="BC512" s="107"/>
      <c r="BD512" s="107"/>
      <c r="BE512" s="107"/>
      <c r="BF512" s="107"/>
      <c r="BG512" s="107"/>
      <c r="BH512" s="107"/>
      <c r="BI512" s="107"/>
      <c r="BJ512" s="107"/>
      <c r="BK512" s="107"/>
      <c r="BL512" s="107"/>
      <c r="BM512" s="107"/>
      <c r="BN512" s="107"/>
      <c r="BO512" s="65"/>
      <c r="BP512" s="78" t="s">
        <v>22</v>
      </c>
    </row>
    <row r="513" spans="2:68" ht="12" hidden="1" customHeight="1" outlineLevel="1">
      <c r="B513" s="76">
        <v>53</v>
      </c>
      <c r="C513" s="77" t="s">
        <v>906</v>
      </c>
      <c r="D513" s="144">
        <f t="shared" si="13"/>
        <v>0</v>
      </c>
      <c r="E513" s="144">
        <f t="shared" si="14"/>
        <v>0</v>
      </c>
      <c r="F513" s="65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7"/>
      <c r="AM513" s="107"/>
      <c r="AN513" s="107"/>
      <c r="AO513" s="107"/>
      <c r="AP513" s="107"/>
      <c r="AQ513" s="107"/>
      <c r="AR513" s="107"/>
      <c r="AS513" s="107"/>
      <c r="AT513" s="107"/>
      <c r="AU513" s="107"/>
      <c r="AV513" s="107"/>
      <c r="AW513" s="107"/>
      <c r="AX513" s="107"/>
      <c r="AY513" s="107"/>
      <c r="AZ513" s="107"/>
      <c r="BA513" s="107"/>
      <c r="BB513" s="107"/>
      <c r="BC513" s="107"/>
      <c r="BD513" s="107"/>
      <c r="BE513" s="107"/>
      <c r="BF513" s="107"/>
      <c r="BG513" s="107"/>
      <c r="BH513" s="107"/>
      <c r="BI513" s="107"/>
      <c r="BJ513" s="107"/>
      <c r="BK513" s="107"/>
      <c r="BL513" s="107"/>
      <c r="BM513" s="107"/>
      <c r="BN513" s="107"/>
      <c r="BO513" s="65"/>
      <c r="BP513" s="78" t="s">
        <v>22</v>
      </c>
    </row>
    <row r="514" spans="2:68" ht="12" hidden="1" customHeight="1" outlineLevel="1">
      <c r="B514" s="76">
        <v>54</v>
      </c>
      <c r="C514" s="77" t="s">
        <v>907</v>
      </c>
      <c r="D514" s="144">
        <f t="shared" si="13"/>
        <v>0</v>
      </c>
      <c r="E514" s="144">
        <f t="shared" si="14"/>
        <v>0</v>
      </c>
      <c r="F514" s="65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07"/>
      <c r="AM514" s="107"/>
      <c r="AN514" s="107"/>
      <c r="AO514" s="107"/>
      <c r="AP514" s="107"/>
      <c r="AQ514" s="107"/>
      <c r="AR514" s="107"/>
      <c r="AS514" s="107"/>
      <c r="AT514" s="107"/>
      <c r="AU514" s="107"/>
      <c r="AV514" s="107"/>
      <c r="AW514" s="107"/>
      <c r="AX514" s="107"/>
      <c r="AY514" s="107"/>
      <c r="AZ514" s="107"/>
      <c r="BA514" s="107"/>
      <c r="BB514" s="107"/>
      <c r="BC514" s="107"/>
      <c r="BD514" s="107"/>
      <c r="BE514" s="107"/>
      <c r="BF514" s="107"/>
      <c r="BG514" s="107"/>
      <c r="BH514" s="107"/>
      <c r="BI514" s="107"/>
      <c r="BJ514" s="107"/>
      <c r="BK514" s="107"/>
      <c r="BL514" s="107"/>
      <c r="BM514" s="107"/>
      <c r="BN514" s="107"/>
      <c r="BO514" s="65"/>
      <c r="BP514" s="78" t="s">
        <v>22</v>
      </c>
    </row>
    <row r="515" spans="2:68" ht="12" hidden="1" customHeight="1" outlineLevel="1">
      <c r="B515" s="76">
        <v>55</v>
      </c>
      <c r="C515" s="77" t="s">
        <v>908</v>
      </c>
      <c r="D515" s="144">
        <f t="shared" si="13"/>
        <v>0</v>
      </c>
      <c r="E515" s="144">
        <f t="shared" si="14"/>
        <v>0</v>
      </c>
      <c r="F515" s="65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7"/>
      <c r="AM515" s="107"/>
      <c r="AN515" s="107"/>
      <c r="AO515" s="107"/>
      <c r="AP515" s="107"/>
      <c r="AQ515" s="107"/>
      <c r="AR515" s="107"/>
      <c r="AS515" s="107"/>
      <c r="AT515" s="107"/>
      <c r="AU515" s="107"/>
      <c r="AV515" s="107"/>
      <c r="AW515" s="107"/>
      <c r="AX515" s="107"/>
      <c r="AY515" s="107"/>
      <c r="AZ515" s="107"/>
      <c r="BA515" s="107"/>
      <c r="BB515" s="107"/>
      <c r="BC515" s="107"/>
      <c r="BD515" s="107"/>
      <c r="BE515" s="107"/>
      <c r="BF515" s="107"/>
      <c r="BG515" s="107"/>
      <c r="BH515" s="107"/>
      <c r="BI515" s="107"/>
      <c r="BJ515" s="107"/>
      <c r="BK515" s="107"/>
      <c r="BL515" s="107"/>
      <c r="BM515" s="107"/>
      <c r="BN515" s="107"/>
      <c r="BO515" s="65"/>
      <c r="BP515" s="78" t="s">
        <v>22</v>
      </c>
    </row>
    <row r="516" spans="2:68" ht="12" hidden="1" customHeight="1" outlineLevel="1">
      <c r="B516" s="76">
        <v>56</v>
      </c>
      <c r="C516" s="77" t="s">
        <v>909</v>
      </c>
      <c r="D516" s="144">
        <f t="shared" si="13"/>
        <v>0</v>
      </c>
      <c r="E516" s="144">
        <f t="shared" si="14"/>
        <v>0</v>
      </c>
      <c r="F516" s="65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7"/>
      <c r="AM516" s="107"/>
      <c r="AN516" s="107"/>
      <c r="AO516" s="107"/>
      <c r="AP516" s="107"/>
      <c r="AQ516" s="107"/>
      <c r="AR516" s="107"/>
      <c r="AS516" s="107"/>
      <c r="AT516" s="107"/>
      <c r="AU516" s="107"/>
      <c r="AV516" s="107"/>
      <c r="AW516" s="107"/>
      <c r="AX516" s="107"/>
      <c r="AY516" s="107"/>
      <c r="AZ516" s="107"/>
      <c r="BA516" s="107"/>
      <c r="BB516" s="107"/>
      <c r="BC516" s="107"/>
      <c r="BD516" s="107"/>
      <c r="BE516" s="107"/>
      <c r="BF516" s="107"/>
      <c r="BG516" s="107"/>
      <c r="BH516" s="107"/>
      <c r="BI516" s="107"/>
      <c r="BJ516" s="107"/>
      <c r="BK516" s="107"/>
      <c r="BL516" s="107"/>
      <c r="BM516" s="107"/>
      <c r="BN516" s="107"/>
      <c r="BO516" s="65"/>
      <c r="BP516" s="78" t="s">
        <v>22</v>
      </c>
    </row>
    <row r="517" spans="2:68" ht="12" hidden="1" customHeight="1" outlineLevel="1">
      <c r="B517" s="76">
        <v>57</v>
      </c>
      <c r="C517" s="77" t="s">
        <v>910</v>
      </c>
      <c r="D517" s="144">
        <f t="shared" si="13"/>
        <v>0</v>
      </c>
      <c r="E517" s="144">
        <f t="shared" si="14"/>
        <v>0</v>
      </c>
      <c r="F517" s="65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  <c r="AJ517" s="107"/>
      <c r="AK517" s="107"/>
      <c r="AL517" s="107"/>
      <c r="AM517" s="107"/>
      <c r="AN517" s="107"/>
      <c r="AO517" s="107"/>
      <c r="AP517" s="107"/>
      <c r="AQ517" s="107"/>
      <c r="AR517" s="107"/>
      <c r="AS517" s="107"/>
      <c r="AT517" s="107"/>
      <c r="AU517" s="107"/>
      <c r="AV517" s="107"/>
      <c r="AW517" s="107"/>
      <c r="AX517" s="107"/>
      <c r="AY517" s="107"/>
      <c r="AZ517" s="107"/>
      <c r="BA517" s="107"/>
      <c r="BB517" s="107"/>
      <c r="BC517" s="107"/>
      <c r="BD517" s="107"/>
      <c r="BE517" s="107"/>
      <c r="BF517" s="107"/>
      <c r="BG517" s="107"/>
      <c r="BH517" s="107"/>
      <c r="BI517" s="107"/>
      <c r="BJ517" s="107"/>
      <c r="BK517" s="107"/>
      <c r="BL517" s="107"/>
      <c r="BM517" s="107"/>
      <c r="BN517" s="107"/>
      <c r="BO517" s="65"/>
      <c r="BP517" s="78" t="s">
        <v>22</v>
      </c>
    </row>
    <row r="518" spans="2:68" ht="12" hidden="1" customHeight="1" outlineLevel="1">
      <c r="B518" s="76">
        <v>58</v>
      </c>
      <c r="C518" s="77" t="s">
        <v>911</v>
      </c>
      <c r="D518" s="144">
        <f t="shared" si="13"/>
        <v>0</v>
      </c>
      <c r="E518" s="144">
        <f t="shared" si="14"/>
        <v>0</v>
      </c>
      <c r="F518" s="65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  <c r="AK518" s="107"/>
      <c r="AL518" s="107"/>
      <c r="AM518" s="107"/>
      <c r="AN518" s="107"/>
      <c r="AO518" s="107"/>
      <c r="AP518" s="107"/>
      <c r="AQ518" s="107"/>
      <c r="AR518" s="107"/>
      <c r="AS518" s="107"/>
      <c r="AT518" s="107"/>
      <c r="AU518" s="107"/>
      <c r="AV518" s="107"/>
      <c r="AW518" s="107"/>
      <c r="AX518" s="107"/>
      <c r="AY518" s="107"/>
      <c r="AZ518" s="107"/>
      <c r="BA518" s="107"/>
      <c r="BB518" s="107"/>
      <c r="BC518" s="107"/>
      <c r="BD518" s="107"/>
      <c r="BE518" s="107"/>
      <c r="BF518" s="107"/>
      <c r="BG518" s="107"/>
      <c r="BH518" s="107"/>
      <c r="BI518" s="107"/>
      <c r="BJ518" s="107"/>
      <c r="BK518" s="107"/>
      <c r="BL518" s="107"/>
      <c r="BM518" s="107"/>
      <c r="BN518" s="107"/>
      <c r="BO518" s="65"/>
      <c r="BP518" s="78" t="s">
        <v>22</v>
      </c>
    </row>
    <row r="519" spans="2:68" ht="12" hidden="1" customHeight="1" outlineLevel="1">
      <c r="B519" s="76">
        <v>59</v>
      </c>
      <c r="C519" s="77" t="s">
        <v>912</v>
      </c>
      <c r="D519" s="144">
        <f t="shared" si="13"/>
        <v>0</v>
      </c>
      <c r="E519" s="144">
        <f t="shared" si="14"/>
        <v>0</v>
      </c>
      <c r="F519" s="65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  <c r="AK519" s="107"/>
      <c r="AL519" s="107"/>
      <c r="AM519" s="107"/>
      <c r="AN519" s="107"/>
      <c r="AO519" s="107"/>
      <c r="AP519" s="107"/>
      <c r="AQ519" s="107"/>
      <c r="AR519" s="107"/>
      <c r="AS519" s="107"/>
      <c r="AT519" s="107"/>
      <c r="AU519" s="107"/>
      <c r="AV519" s="107"/>
      <c r="AW519" s="107"/>
      <c r="AX519" s="107"/>
      <c r="AY519" s="107"/>
      <c r="AZ519" s="107"/>
      <c r="BA519" s="107"/>
      <c r="BB519" s="107"/>
      <c r="BC519" s="107"/>
      <c r="BD519" s="107"/>
      <c r="BE519" s="107"/>
      <c r="BF519" s="107"/>
      <c r="BG519" s="107"/>
      <c r="BH519" s="107"/>
      <c r="BI519" s="107"/>
      <c r="BJ519" s="107"/>
      <c r="BK519" s="107"/>
      <c r="BL519" s="107"/>
      <c r="BM519" s="107"/>
      <c r="BN519" s="107"/>
      <c r="BO519" s="65"/>
      <c r="BP519" s="78" t="s">
        <v>22</v>
      </c>
    </row>
    <row r="520" spans="2:68" ht="12" hidden="1" customHeight="1" outlineLevel="1">
      <c r="B520" s="76">
        <v>60</v>
      </c>
      <c r="C520" s="77" t="s">
        <v>913</v>
      </c>
      <c r="D520" s="144">
        <f t="shared" si="13"/>
        <v>0</v>
      </c>
      <c r="E520" s="144">
        <f t="shared" si="14"/>
        <v>0</v>
      </c>
      <c r="F520" s="65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7"/>
      <c r="AM520" s="107"/>
      <c r="AN520" s="107"/>
      <c r="AO520" s="107"/>
      <c r="AP520" s="107"/>
      <c r="AQ520" s="107"/>
      <c r="AR520" s="107"/>
      <c r="AS520" s="107"/>
      <c r="AT520" s="107"/>
      <c r="AU520" s="107"/>
      <c r="AV520" s="107"/>
      <c r="AW520" s="107"/>
      <c r="AX520" s="107"/>
      <c r="AY520" s="107"/>
      <c r="AZ520" s="107"/>
      <c r="BA520" s="107"/>
      <c r="BB520" s="107"/>
      <c r="BC520" s="107"/>
      <c r="BD520" s="107"/>
      <c r="BE520" s="107"/>
      <c r="BF520" s="107"/>
      <c r="BG520" s="107"/>
      <c r="BH520" s="107"/>
      <c r="BI520" s="107"/>
      <c r="BJ520" s="107"/>
      <c r="BK520" s="107"/>
      <c r="BL520" s="107"/>
      <c r="BM520" s="107"/>
      <c r="BN520" s="107"/>
      <c r="BO520" s="65"/>
      <c r="BP520" s="78" t="s">
        <v>22</v>
      </c>
    </row>
    <row r="521" spans="2:68" ht="12" hidden="1" customHeight="1" outlineLevel="1">
      <c r="B521" s="76">
        <v>61</v>
      </c>
      <c r="C521" s="77" t="s">
        <v>914</v>
      </c>
      <c r="D521" s="144">
        <f t="shared" si="13"/>
        <v>0</v>
      </c>
      <c r="E521" s="144">
        <f t="shared" si="14"/>
        <v>0</v>
      </c>
      <c r="F521" s="65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7"/>
      <c r="AM521" s="107"/>
      <c r="AN521" s="107"/>
      <c r="AO521" s="107"/>
      <c r="AP521" s="107"/>
      <c r="AQ521" s="107"/>
      <c r="AR521" s="107"/>
      <c r="AS521" s="107"/>
      <c r="AT521" s="107"/>
      <c r="AU521" s="107"/>
      <c r="AV521" s="107"/>
      <c r="AW521" s="107"/>
      <c r="AX521" s="107"/>
      <c r="AY521" s="107"/>
      <c r="AZ521" s="107"/>
      <c r="BA521" s="107"/>
      <c r="BB521" s="107"/>
      <c r="BC521" s="107"/>
      <c r="BD521" s="107"/>
      <c r="BE521" s="107"/>
      <c r="BF521" s="107"/>
      <c r="BG521" s="107"/>
      <c r="BH521" s="107"/>
      <c r="BI521" s="107"/>
      <c r="BJ521" s="107"/>
      <c r="BK521" s="107"/>
      <c r="BL521" s="107"/>
      <c r="BM521" s="107"/>
      <c r="BN521" s="107"/>
      <c r="BO521" s="65"/>
      <c r="BP521" s="78" t="s">
        <v>22</v>
      </c>
    </row>
    <row r="522" spans="2:68" ht="12" hidden="1" customHeight="1" outlineLevel="1">
      <c r="B522" s="76">
        <v>62</v>
      </c>
      <c r="C522" s="77" t="s">
        <v>915</v>
      </c>
      <c r="D522" s="144">
        <f t="shared" si="13"/>
        <v>0</v>
      </c>
      <c r="E522" s="144">
        <f t="shared" si="14"/>
        <v>0</v>
      </c>
      <c r="F522" s="65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7"/>
      <c r="AM522" s="107"/>
      <c r="AN522" s="107"/>
      <c r="AO522" s="107"/>
      <c r="AP522" s="107"/>
      <c r="AQ522" s="107"/>
      <c r="AR522" s="107"/>
      <c r="AS522" s="107"/>
      <c r="AT522" s="107"/>
      <c r="AU522" s="107"/>
      <c r="AV522" s="107"/>
      <c r="AW522" s="107"/>
      <c r="AX522" s="107"/>
      <c r="AY522" s="107"/>
      <c r="AZ522" s="107"/>
      <c r="BA522" s="107"/>
      <c r="BB522" s="107"/>
      <c r="BC522" s="107"/>
      <c r="BD522" s="107"/>
      <c r="BE522" s="107"/>
      <c r="BF522" s="107"/>
      <c r="BG522" s="107"/>
      <c r="BH522" s="107"/>
      <c r="BI522" s="107"/>
      <c r="BJ522" s="107"/>
      <c r="BK522" s="107"/>
      <c r="BL522" s="107"/>
      <c r="BM522" s="107"/>
      <c r="BN522" s="107"/>
      <c r="BO522" s="65"/>
      <c r="BP522" s="78" t="s">
        <v>22</v>
      </c>
    </row>
    <row r="523" spans="2:68" ht="12" hidden="1" customHeight="1" outlineLevel="1">
      <c r="B523" s="76">
        <v>63</v>
      </c>
      <c r="C523" s="77" t="s">
        <v>916</v>
      </c>
      <c r="D523" s="144">
        <f t="shared" si="13"/>
        <v>0</v>
      </c>
      <c r="E523" s="144">
        <f t="shared" si="14"/>
        <v>0</v>
      </c>
      <c r="F523" s="65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G523" s="107"/>
      <c r="BH523" s="107"/>
      <c r="BI523" s="107"/>
      <c r="BJ523" s="107"/>
      <c r="BK523" s="107"/>
      <c r="BL523" s="107"/>
      <c r="BM523" s="107"/>
      <c r="BN523" s="107"/>
      <c r="BO523" s="65"/>
      <c r="BP523" s="78" t="s">
        <v>22</v>
      </c>
    </row>
    <row r="524" spans="2:68" ht="12" hidden="1" customHeight="1" outlineLevel="1">
      <c r="B524" s="76">
        <v>64</v>
      </c>
      <c r="C524" s="77" t="s">
        <v>917</v>
      </c>
      <c r="D524" s="144">
        <f t="shared" si="13"/>
        <v>0</v>
      </c>
      <c r="E524" s="144">
        <f t="shared" si="14"/>
        <v>0</v>
      </c>
      <c r="F524" s="65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7"/>
      <c r="AM524" s="107"/>
      <c r="AN524" s="107"/>
      <c r="AO524" s="107"/>
      <c r="AP524" s="107"/>
      <c r="AQ524" s="107"/>
      <c r="AR524" s="107"/>
      <c r="AS524" s="107"/>
      <c r="AT524" s="107"/>
      <c r="AU524" s="107"/>
      <c r="AV524" s="107"/>
      <c r="AW524" s="107"/>
      <c r="AX524" s="107"/>
      <c r="AY524" s="107"/>
      <c r="AZ524" s="107"/>
      <c r="BA524" s="107"/>
      <c r="BB524" s="107"/>
      <c r="BC524" s="107"/>
      <c r="BD524" s="107"/>
      <c r="BE524" s="107"/>
      <c r="BF524" s="107"/>
      <c r="BG524" s="107"/>
      <c r="BH524" s="107"/>
      <c r="BI524" s="107"/>
      <c r="BJ524" s="107"/>
      <c r="BK524" s="107"/>
      <c r="BL524" s="107"/>
      <c r="BM524" s="107"/>
      <c r="BN524" s="107"/>
      <c r="BO524" s="65"/>
      <c r="BP524" s="78" t="s">
        <v>22</v>
      </c>
    </row>
    <row r="525" spans="2:68" ht="12" hidden="1" customHeight="1" outlineLevel="1">
      <c r="B525" s="76">
        <v>65</v>
      </c>
      <c r="C525" s="77" t="s">
        <v>918</v>
      </c>
      <c r="D525" s="144">
        <f t="shared" ref="D525:D556" si="15">IFERROR(ROUNDUP(SUM(G525:BN525)/COUNTIF(G525:BN525,"&gt;0"),2),0)</f>
        <v>0</v>
      </c>
      <c r="E525" s="144">
        <f t="shared" ref="E525:E556" si="16">COUNTIF(G525:BN525,"&gt;0")</f>
        <v>0</v>
      </c>
      <c r="F525" s="65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7"/>
      <c r="AM525" s="107"/>
      <c r="AN525" s="107"/>
      <c r="AO525" s="107"/>
      <c r="AP525" s="107"/>
      <c r="AQ525" s="107"/>
      <c r="AR525" s="107"/>
      <c r="AS525" s="107"/>
      <c r="AT525" s="107"/>
      <c r="AU525" s="107"/>
      <c r="AV525" s="107"/>
      <c r="AW525" s="107"/>
      <c r="AX525" s="107"/>
      <c r="AY525" s="107"/>
      <c r="AZ525" s="107"/>
      <c r="BA525" s="107"/>
      <c r="BB525" s="107"/>
      <c r="BC525" s="107"/>
      <c r="BD525" s="107"/>
      <c r="BE525" s="107"/>
      <c r="BF525" s="107"/>
      <c r="BG525" s="107"/>
      <c r="BH525" s="107"/>
      <c r="BI525" s="107"/>
      <c r="BJ525" s="107"/>
      <c r="BK525" s="107"/>
      <c r="BL525" s="107"/>
      <c r="BM525" s="107"/>
      <c r="BN525" s="107"/>
      <c r="BO525" s="65"/>
      <c r="BP525" s="78" t="s">
        <v>22</v>
      </c>
    </row>
    <row r="526" spans="2:68" ht="12" hidden="1" customHeight="1" outlineLevel="1">
      <c r="B526" s="76">
        <v>66</v>
      </c>
      <c r="C526" s="77" t="s">
        <v>919</v>
      </c>
      <c r="D526" s="144">
        <f t="shared" si="15"/>
        <v>0</v>
      </c>
      <c r="E526" s="144">
        <f t="shared" si="16"/>
        <v>0</v>
      </c>
      <c r="F526" s="65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7"/>
      <c r="AM526" s="107"/>
      <c r="AN526" s="107"/>
      <c r="AO526" s="107"/>
      <c r="AP526" s="107"/>
      <c r="AQ526" s="107"/>
      <c r="AR526" s="107"/>
      <c r="AS526" s="107"/>
      <c r="AT526" s="107"/>
      <c r="AU526" s="107"/>
      <c r="AV526" s="107"/>
      <c r="AW526" s="107"/>
      <c r="AX526" s="107"/>
      <c r="AY526" s="107"/>
      <c r="AZ526" s="107"/>
      <c r="BA526" s="107"/>
      <c r="BB526" s="107"/>
      <c r="BC526" s="107"/>
      <c r="BD526" s="107"/>
      <c r="BE526" s="107"/>
      <c r="BF526" s="107"/>
      <c r="BG526" s="107"/>
      <c r="BH526" s="107"/>
      <c r="BI526" s="107"/>
      <c r="BJ526" s="107"/>
      <c r="BK526" s="107"/>
      <c r="BL526" s="107"/>
      <c r="BM526" s="107"/>
      <c r="BN526" s="107"/>
      <c r="BO526" s="65"/>
      <c r="BP526" s="78" t="s">
        <v>22</v>
      </c>
    </row>
    <row r="527" spans="2:68" ht="12" hidden="1" customHeight="1" outlineLevel="1">
      <c r="B527" s="76">
        <v>67</v>
      </c>
      <c r="C527" s="77" t="s">
        <v>920</v>
      </c>
      <c r="D527" s="144">
        <f t="shared" si="15"/>
        <v>0</v>
      </c>
      <c r="E527" s="144">
        <f t="shared" si="16"/>
        <v>0</v>
      </c>
      <c r="F527" s="65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7"/>
      <c r="AM527" s="107"/>
      <c r="AN527" s="107"/>
      <c r="AO527" s="107"/>
      <c r="AP527" s="107"/>
      <c r="AQ527" s="107"/>
      <c r="AR527" s="107"/>
      <c r="AS527" s="107"/>
      <c r="AT527" s="107"/>
      <c r="AU527" s="107"/>
      <c r="AV527" s="107"/>
      <c r="AW527" s="107"/>
      <c r="AX527" s="107"/>
      <c r="AY527" s="107"/>
      <c r="AZ527" s="107"/>
      <c r="BA527" s="107"/>
      <c r="BB527" s="107"/>
      <c r="BC527" s="107"/>
      <c r="BD527" s="107"/>
      <c r="BE527" s="107"/>
      <c r="BF527" s="107"/>
      <c r="BG527" s="107"/>
      <c r="BH527" s="107"/>
      <c r="BI527" s="107"/>
      <c r="BJ527" s="107"/>
      <c r="BK527" s="107"/>
      <c r="BL527" s="107"/>
      <c r="BM527" s="107"/>
      <c r="BN527" s="107"/>
      <c r="BO527" s="65"/>
      <c r="BP527" s="78" t="s">
        <v>22</v>
      </c>
    </row>
    <row r="528" spans="2:68" ht="12" hidden="1" customHeight="1" outlineLevel="1">
      <c r="B528" s="76">
        <v>68</v>
      </c>
      <c r="C528" s="77" t="s">
        <v>921</v>
      </c>
      <c r="D528" s="144">
        <f t="shared" si="15"/>
        <v>0</v>
      </c>
      <c r="E528" s="144">
        <f t="shared" si="16"/>
        <v>0</v>
      </c>
      <c r="F528" s="65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7"/>
      <c r="AM528" s="107"/>
      <c r="AN528" s="107"/>
      <c r="AO528" s="107"/>
      <c r="AP528" s="107"/>
      <c r="AQ528" s="107"/>
      <c r="AR528" s="107"/>
      <c r="AS528" s="107"/>
      <c r="AT528" s="107"/>
      <c r="AU528" s="107"/>
      <c r="AV528" s="107"/>
      <c r="AW528" s="107"/>
      <c r="AX528" s="107"/>
      <c r="AY528" s="107"/>
      <c r="AZ528" s="107"/>
      <c r="BA528" s="107"/>
      <c r="BB528" s="107"/>
      <c r="BC528" s="107"/>
      <c r="BD528" s="107"/>
      <c r="BE528" s="107"/>
      <c r="BF528" s="107"/>
      <c r="BG528" s="107"/>
      <c r="BH528" s="107"/>
      <c r="BI528" s="107"/>
      <c r="BJ528" s="107"/>
      <c r="BK528" s="107"/>
      <c r="BL528" s="107"/>
      <c r="BM528" s="107"/>
      <c r="BN528" s="107"/>
      <c r="BO528" s="65"/>
      <c r="BP528" s="78" t="s">
        <v>22</v>
      </c>
    </row>
    <row r="529" spans="2:68" ht="12" hidden="1" customHeight="1" outlineLevel="1">
      <c r="B529" s="76">
        <v>69</v>
      </c>
      <c r="C529" s="77" t="s">
        <v>922</v>
      </c>
      <c r="D529" s="144">
        <f t="shared" si="15"/>
        <v>0</v>
      </c>
      <c r="E529" s="144">
        <f t="shared" si="16"/>
        <v>0</v>
      </c>
      <c r="F529" s="65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7"/>
      <c r="AM529" s="107"/>
      <c r="AN529" s="107"/>
      <c r="AO529" s="107"/>
      <c r="AP529" s="107"/>
      <c r="AQ529" s="107"/>
      <c r="AR529" s="107"/>
      <c r="AS529" s="107"/>
      <c r="AT529" s="107"/>
      <c r="AU529" s="107"/>
      <c r="AV529" s="107"/>
      <c r="AW529" s="107"/>
      <c r="AX529" s="107"/>
      <c r="AY529" s="107"/>
      <c r="AZ529" s="107"/>
      <c r="BA529" s="107"/>
      <c r="BB529" s="107"/>
      <c r="BC529" s="107"/>
      <c r="BD529" s="107"/>
      <c r="BE529" s="107"/>
      <c r="BF529" s="107"/>
      <c r="BG529" s="107"/>
      <c r="BH529" s="107"/>
      <c r="BI529" s="107"/>
      <c r="BJ529" s="107"/>
      <c r="BK529" s="107"/>
      <c r="BL529" s="107"/>
      <c r="BM529" s="107"/>
      <c r="BN529" s="107"/>
      <c r="BO529" s="65"/>
      <c r="BP529" s="78" t="s">
        <v>22</v>
      </c>
    </row>
    <row r="530" spans="2:68" ht="12" hidden="1" customHeight="1" outlineLevel="1">
      <c r="B530" s="76">
        <v>70</v>
      </c>
      <c r="C530" s="77" t="s">
        <v>923</v>
      </c>
      <c r="D530" s="144">
        <f t="shared" si="15"/>
        <v>0</v>
      </c>
      <c r="E530" s="144">
        <f t="shared" si="16"/>
        <v>0</v>
      </c>
      <c r="F530" s="65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  <c r="AK530" s="107"/>
      <c r="AL530" s="107"/>
      <c r="AM530" s="107"/>
      <c r="AN530" s="107"/>
      <c r="AO530" s="107"/>
      <c r="AP530" s="107"/>
      <c r="AQ530" s="107"/>
      <c r="AR530" s="107"/>
      <c r="AS530" s="107"/>
      <c r="AT530" s="107"/>
      <c r="AU530" s="107"/>
      <c r="AV530" s="107"/>
      <c r="AW530" s="107"/>
      <c r="AX530" s="107"/>
      <c r="AY530" s="107"/>
      <c r="AZ530" s="107"/>
      <c r="BA530" s="107"/>
      <c r="BB530" s="107"/>
      <c r="BC530" s="107"/>
      <c r="BD530" s="107"/>
      <c r="BE530" s="107"/>
      <c r="BF530" s="107"/>
      <c r="BG530" s="107"/>
      <c r="BH530" s="107"/>
      <c r="BI530" s="107"/>
      <c r="BJ530" s="107"/>
      <c r="BK530" s="107"/>
      <c r="BL530" s="107"/>
      <c r="BM530" s="107"/>
      <c r="BN530" s="107"/>
      <c r="BO530" s="65"/>
      <c r="BP530" s="78" t="s">
        <v>22</v>
      </c>
    </row>
    <row r="531" spans="2:68" ht="12" hidden="1" customHeight="1" outlineLevel="1">
      <c r="B531" s="76">
        <v>71</v>
      </c>
      <c r="C531" s="77" t="s">
        <v>924</v>
      </c>
      <c r="D531" s="144">
        <f t="shared" si="15"/>
        <v>0</v>
      </c>
      <c r="E531" s="144">
        <f t="shared" si="16"/>
        <v>0</v>
      </c>
      <c r="F531" s="65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  <c r="AK531" s="107"/>
      <c r="AL531" s="107"/>
      <c r="AM531" s="107"/>
      <c r="AN531" s="107"/>
      <c r="AO531" s="107"/>
      <c r="AP531" s="107"/>
      <c r="AQ531" s="107"/>
      <c r="AR531" s="107"/>
      <c r="AS531" s="107"/>
      <c r="AT531" s="107"/>
      <c r="AU531" s="107"/>
      <c r="AV531" s="107"/>
      <c r="AW531" s="107"/>
      <c r="AX531" s="107"/>
      <c r="AY531" s="107"/>
      <c r="AZ531" s="107"/>
      <c r="BA531" s="107"/>
      <c r="BB531" s="107"/>
      <c r="BC531" s="107"/>
      <c r="BD531" s="107"/>
      <c r="BE531" s="107"/>
      <c r="BF531" s="107"/>
      <c r="BG531" s="107"/>
      <c r="BH531" s="107"/>
      <c r="BI531" s="107"/>
      <c r="BJ531" s="107"/>
      <c r="BK531" s="107"/>
      <c r="BL531" s="107"/>
      <c r="BM531" s="107"/>
      <c r="BN531" s="107"/>
      <c r="BO531" s="65"/>
      <c r="BP531" s="78" t="s">
        <v>22</v>
      </c>
    </row>
    <row r="532" spans="2:68" ht="12" hidden="1" customHeight="1" outlineLevel="1">
      <c r="B532" s="76">
        <v>72</v>
      </c>
      <c r="C532" s="77" t="s">
        <v>925</v>
      </c>
      <c r="D532" s="144">
        <f t="shared" si="15"/>
        <v>0</v>
      </c>
      <c r="E532" s="144">
        <f t="shared" si="16"/>
        <v>0</v>
      </c>
      <c r="F532" s="65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7"/>
      <c r="AM532" s="107"/>
      <c r="AN532" s="107"/>
      <c r="AO532" s="107"/>
      <c r="AP532" s="107"/>
      <c r="AQ532" s="107"/>
      <c r="AR532" s="107"/>
      <c r="AS532" s="107"/>
      <c r="AT532" s="107"/>
      <c r="AU532" s="107"/>
      <c r="AV532" s="107"/>
      <c r="AW532" s="107"/>
      <c r="AX532" s="107"/>
      <c r="AY532" s="107"/>
      <c r="AZ532" s="107"/>
      <c r="BA532" s="107"/>
      <c r="BB532" s="107"/>
      <c r="BC532" s="107"/>
      <c r="BD532" s="107"/>
      <c r="BE532" s="107"/>
      <c r="BF532" s="107"/>
      <c r="BG532" s="107"/>
      <c r="BH532" s="107"/>
      <c r="BI532" s="107"/>
      <c r="BJ532" s="107"/>
      <c r="BK532" s="107"/>
      <c r="BL532" s="107"/>
      <c r="BM532" s="107"/>
      <c r="BN532" s="107"/>
      <c r="BO532" s="65"/>
      <c r="BP532" s="78" t="s">
        <v>22</v>
      </c>
    </row>
    <row r="533" spans="2:68" ht="12" hidden="1" customHeight="1" outlineLevel="1">
      <c r="B533" s="76">
        <v>73</v>
      </c>
      <c r="C533" s="77" t="s">
        <v>926</v>
      </c>
      <c r="D533" s="144">
        <f t="shared" si="15"/>
        <v>0</v>
      </c>
      <c r="E533" s="144">
        <f t="shared" si="16"/>
        <v>0</v>
      </c>
      <c r="F533" s="65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7"/>
      <c r="AM533" s="107"/>
      <c r="AN533" s="107"/>
      <c r="AO533" s="107"/>
      <c r="AP533" s="107"/>
      <c r="AQ533" s="107"/>
      <c r="AR533" s="107"/>
      <c r="AS533" s="107"/>
      <c r="AT533" s="107"/>
      <c r="AU533" s="107"/>
      <c r="AV533" s="107"/>
      <c r="AW533" s="107"/>
      <c r="AX533" s="107"/>
      <c r="AY533" s="107"/>
      <c r="AZ533" s="107"/>
      <c r="BA533" s="107"/>
      <c r="BB533" s="107"/>
      <c r="BC533" s="107"/>
      <c r="BD533" s="107"/>
      <c r="BE533" s="107"/>
      <c r="BF533" s="107"/>
      <c r="BG533" s="107"/>
      <c r="BH533" s="107"/>
      <c r="BI533" s="107"/>
      <c r="BJ533" s="107"/>
      <c r="BK533" s="107"/>
      <c r="BL533" s="107"/>
      <c r="BM533" s="107"/>
      <c r="BN533" s="107"/>
      <c r="BO533" s="65"/>
      <c r="BP533" s="78" t="s">
        <v>22</v>
      </c>
    </row>
    <row r="534" spans="2:68" ht="12" hidden="1" customHeight="1" outlineLevel="1">
      <c r="B534" s="76">
        <v>74</v>
      </c>
      <c r="C534" s="77" t="s">
        <v>927</v>
      </c>
      <c r="D534" s="144">
        <f t="shared" si="15"/>
        <v>0</v>
      </c>
      <c r="E534" s="144">
        <f t="shared" si="16"/>
        <v>0</v>
      </c>
      <c r="F534" s="65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  <c r="AJ534" s="107"/>
      <c r="AK534" s="107"/>
      <c r="AL534" s="107"/>
      <c r="AM534" s="107"/>
      <c r="AN534" s="107"/>
      <c r="AO534" s="107"/>
      <c r="AP534" s="107"/>
      <c r="AQ534" s="107"/>
      <c r="AR534" s="107"/>
      <c r="AS534" s="107"/>
      <c r="AT534" s="107"/>
      <c r="AU534" s="107"/>
      <c r="AV534" s="107"/>
      <c r="AW534" s="107"/>
      <c r="AX534" s="107"/>
      <c r="AY534" s="107"/>
      <c r="AZ534" s="107"/>
      <c r="BA534" s="107"/>
      <c r="BB534" s="107"/>
      <c r="BC534" s="107"/>
      <c r="BD534" s="107"/>
      <c r="BE534" s="107"/>
      <c r="BF534" s="107"/>
      <c r="BG534" s="107"/>
      <c r="BH534" s="107"/>
      <c r="BI534" s="107"/>
      <c r="BJ534" s="107"/>
      <c r="BK534" s="107"/>
      <c r="BL534" s="107"/>
      <c r="BM534" s="107"/>
      <c r="BN534" s="107"/>
      <c r="BO534" s="65"/>
      <c r="BP534" s="78" t="s">
        <v>22</v>
      </c>
    </row>
    <row r="535" spans="2:68" ht="12" hidden="1" customHeight="1" outlineLevel="1">
      <c r="B535" s="76">
        <v>75</v>
      </c>
      <c r="C535" s="77" t="s">
        <v>928</v>
      </c>
      <c r="D535" s="144">
        <f t="shared" si="15"/>
        <v>0</v>
      </c>
      <c r="E535" s="144">
        <f t="shared" si="16"/>
        <v>0</v>
      </c>
      <c r="F535" s="65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  <c r="AJ535" s="107"/>
      <c r="AK535" s="107"/>
      <c r="AL535" s="107"/>
      <c r="AM535" s="107"/>
      <c r="AN535" s="107"/>
      <c r="AO535" s="107"/>
      <c r="AP535" s="107"/>
      <c r="AQ535" s="107"/>
      <c r="AR535" s="107"/>
      <c r="AS535" s="107"/>
      <c r="AT535" s="107"/>
      <c r="AU535" s="107"/>
      <c r="AV535" s="107"/>
      <c r="AW535" s="107"/>
      <c r="AX535" s="107"/>
      <c r="AY535" s="107"/>
      <c r="AZ535" s="107"/>
      <c r="BA535" s="107"/>
      <c r="BB535" s="107"/>
      <c r="BC535" s="107"/>
      <c r="BD535" s="107"/>
      <c r="BE535" s="107"/>
      <c r="BF535" s="107"/>
      <c r="BG535" s="107"/>
      <c r="BH535" s="107"/>
      <c r="BI535" s="107"/>
      <c r="BJ535" s="107"/>
      <c r="BK535" s="107"/>
      <c r="BL535" s="107"/>
      <c r="BM535" s="107"/>
      <c r="BN535" s="107"/>
      <c r="BO535" s="65"/>
      <c r="BP535" s="78" t="s">
        <v>22</v>
      </c>
    </row>
    <row r="536" spans="2:68" ht="12" hidden="1" customHeight="1" outlineLevel="1">
      <c r="B536" s="76">
        <v>76</v>
      </c>
      <c r="C536" s="77" t="s">
        <v>929</v>
      </c>
      <c r="D536" s="144">
        <f t="shared" si="15"/>
        <v>0</v>
      </c>
      <c r="E536" s="144">
        <f t="shared" si="16"/>
        <v>0</v>
      </c>
      <c r="F536" s="65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  <c r="AJ536" s="107"/>
      <c r="AK536" s="107"/>
      <c r="AL536" s="107"/>
      <c r="AM536" s="107"/>
      <c r="AN536" s="107"/>
      <c r="AO536" s="107"/>
      <c r="AP536" s="107"/>
      <c r="AQ536" s="107"/>
      <c r="AR536" s="107"/>
      <c r="AS536" s="107"/>
      <c r="AT536" s="107"/>
      <c r="AU536" s="107"/>
      <c r="AV536" s="107"/>
      <c r="AW536" s="107"/>
      <c r="AX536" s="107"/>
      <c r="AY536" s="107"/>
      <c r="AZ536" s="107"/>
      <c r="BA536" s="107"/>
      <c r="BB536" s="107"/>
      <c r="BC536" s="107"/>
      <c r="BD536" s="107"/>
      <c r="BE536" s="107"/>
      <c r="BF536" s="107"/>
      <c r="BG536" s="107"/>
      <c r="BH536" s="107"/>
      <c r="BI536" s="107"/>
      <c r="BJ536" s="107"/>
      <c r="BK536" s="107"/>
      <c r="BL536" s="107"/>
      <c r="BM536" s="107"/>
      <c r="BN536" s="107"/>
      <c r="BO536" s="65"/>
      <c r="BP536" s="78" t="s">
        <v>22</v>
      </c>
    </row>
    <row r="537" spans="2:68" ht="12" hidden="1" customHeight="1" outlineLevel="1">
      <c r="B537" s="76">
        <v>77</v>
      </c>
      <c r="C537" s="77" t="s">
        <v>930</v>
      </c>
      <c r="D537" s="144">
        <f t="shared" si="15"/>
        <v>0</v>
      </c>
      <c r="E537" s="144">
        <f t="shared" si="16"/>
        <v>0</v>
      </c>
      <c r="F537" s="65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  <c r="AK537" s="107"/>
      <c r="AL537" s="107"/>
      <c r="AM537" s="107"/>
      <c r="AN537" s="107"/>
      <c r="AO537" s="107"/>
      <c r="AP537" s="107"/>
      <c r="AQ537" s="107"/>
      <c r="AR537" s="107"/>
      <c r="AS537" s="107"/>
      <c r="AT537" s="107"/>
      <c r="AU537" s="107"/>
      <c r="AV537" s="107"/>
      <c r="AW537" s="107"/>
      <c r="AX537" s="107"/>
      <c r="AY537" s="107"/>
      <c r="AZ537" s="107"/>
      <c r="BA537" s="107"/>
      <c r="BB537" s="107"/>
      <c r="BC537" s="107"/>
      <c r="BD537" s="107"/>
      <c r="BE537" s="107"/>
      <c r="BF537" s="107"/>
      <c r="BG537" s="107"/>
      <c r="BH537" s="107"/>
      <c r="BI537" s="107"/>
      <c r="BJ537" s="107"/>
      <c r="BK537" s="107"/>
      <c r="BL537" s="107"/>
      <c r="BM537" s="107"/>
      <c r="BN537" s="107"/>
      <c r="BO537" s="65"/>
      <c r="BP537" s="78" t="s">
        <v>22</v>
      </c>
    </row>
    <row r="538" spans="2:68" ht="12" hidden="1" customHeight="1" outlineLevel="1">
      <c r="B538" s="76">
        <v>78</v>
      </c>
      <c r="C538" s="77" t="s">
        <v>931</v>
      </c>
      <c r="D538" s="144">
        <f t="shared" si="15"/>
        <v>0</v>
      </c>
      <c r="E538" s="144">
        <f t="shared" si="16"/>
        <v>0</v>
      </c>
      <c r="F538" s="65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  <c r="AK538" s="107"/>
      <c r="AL538" s="107"/>
      <c r="AM538" s="107"/>
      <c r="AN538" s="107"/>
      <c r="AO538" s="107"/>
      <c r="AP538" s="107"/>
      <c r="AQ538" s="107"/>
      <c r="AR538" s="107"/>
      <c r="AS538" s="107"/>
      <c r="AT538" s="107"/>
      <c r="AU538" s="107"/>
      <c r="AV538" s="107"/>
      <c r="AW538" s="107"/>
      <c r="AX538" s="107"/>
      <c r="AY538" s="107"/>
      <c r="AZ538" s="107"/>
      <c r="BA538" s="107"/>
      <c r="BB538" s="107"/>
      <c r="BC538" s="107"/>
      <c r="BD538" s="107"/>
      <c r="BE538" s="107"/>
      <c r="BF538" s="107"/>
      <c r="BG538" s="107"/>
      <c r="BH538" s="107"/>
      <c r="BI538" s="107"/>
      <c r="BJ538" s="107"/>
      <c r="BK538" s="107"/>
      <c r="BL538" s="107"/>
      <c r="BM538" s="107"/>
      <c r="BN538" s="107"/>
      <c r="BO538" s="65"/>
      <c r="BP538" s="78" t="s">
        <v>22</v>
      </c>
    </row>
    <row r="539" spans="2:68" ht="12" hidden="1" customHeight="1" outlineLevel="1">
      <c r="B539" s="76">
        <v>79</v>
      </c>
      <c r="C539" s="77" t="s">
        <v>932</v>
      </c>
      <c r="D539" s="144">
        <f t="shared" si="15"/>
        <v>0</v>
      </c>
      <c r="E539" s="144">
        <f t="shared" si="16"/>
        <v>0</v>
      </c>
      <c r="F539" s="65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  <c r="AK539" s="107"/>
      <c r="AL539" s="107"/>
      <c r="AM539" s="107"/>
      <c r="AN539" s="107"/>
      <c r="AO539" s="107"/>
      <c r="AP539" s="107"/>
      <c r="AQ539" s="107"/>
      <c r="AR539" s="107"/>
      <c r="AS539" s="107"/>
      <c r="AT539" s="107"/>
      <c r="AU539" s="107"/>
      <c r="AV539" s="107"/>
      <c r="AW539" s="107"/>
      <c r="AX539" s="107"/>
      <c r="AY539" s="107"/>
      <c r="AZ539" s="107"/>
      <c r="BA539" s="107"/>
      <c r="BB539" s="107"/>
      <c r="BC539" s="107"/>
      <c r="BD539" s="107"/>
      <c r="BE539" s="107"/>
      <c r="BF539" s="107"/>
      <c r="BG539" s="107"/>
      <c r="BH539" s="107"/>
      <c r="BI539" s="107"/>
      <c r="BJ539" s="107"/>
      <c r="BK539" s="107"/>
      <c r="BL539" s="107"/>
      <c r="BM539" s="107"/>
      <c r="BN539" s="107"/>
      <c r="BO539" s="65"/>
      <c r="BP539" s="78" t="s">
        <v>22</v>
      </c>
    </row>
    <row r="540" spans="2:68" ht="12" hidden="1" customHeight="1" outlineLevel="1">
      <c r="B540" s="76">
        <v>80</v>
      </c>
      <c r="C540" s="77" t="s">
        <v>933</v>
      </c>
      <c r="D540" s="144">
        <f t="shared" si="15"/>
        <v>0</v>
      </c>
      <c r="E540" s="144">
        <f t="shared" si="16"/>
        <v>0</v>
      </c>
      <c r="F540" s="65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  <c r="AK540" s="107"/>
      <c r="AL540" s="107"/>
      <c r="AM540" s="107"/>
      <c r="AN540" s="107"/>
      <c r="AO540" s="107"/>
      <c r="AP540" s="107"/>
      <c r="AQ540" s="107"/>
      <c r="AR540" s="107"/>
      <c r="AS540" s="107"/>
      <c r="AT540" s="107"/>
      <c r="AU540" s="107"/>
      <c r="AV540" s="107"/>
      <c r="AW540" s="107"/>
      <c r="AX540" s="107"/>
      <c r="AY540" s="107"/>
      <c r="AZ540" s="107"/>
      <c r="BA540" s="107"/>
      <c r="BB540" s="107"/>
      <c r="BC540" s="107"/>
      <c r="BD540" s="107"/>
      <c r="BE540" s="107"/>
      <c r="BF540" s="107"/>
      <c r="BG540" s="107"/>
      <c r="BH540" s="107"/>
      <c r="BI540" s="107"/>
      <c r="BJ540" s="107"/>
      <c r="BK540" s="107"/>
      <c r="BL540" s="107"/>
      <c r="BM540" s="107"/>
      <c r="BN540" s="107"/>
      <c r="BO540" s="65"/>
      <c r="BP540" s="78" t="s">
        <v>22</v>
      </c>
    </row>
    <row r="541" spans="2:68" ht="12" hidden="1" customHeight="1" outlineLevel="1">
      <c r="B541" s="76">
        <v>81</v>
      </c>
      <c r="C541" s="77" t="s">
        <v>934</v>
      </c>
      <c r="D541" s="144">
        <f t="shared" si="15"/>
        <v>0</v>
      </c>
      <c r="E541" s="144">
        <f t="shared" si="16"/>
        <v>0</v>
      </c>
      <c r="F541" s="65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  <c r="AJ541" s="107"/>
      <c r="AK541" s="107"/>
      <c r="AL541" s="107"/>
      <c r="AM541" s="107"/>
      <c r="AN541" s="107"/>
      <c r="AO541" s="107"/>
      <c r="AP541" s="107"/>
      <c r="AQ541" s="107"/>
      <c r="AR541" s="107"/>
      <c r="AS541" s="107"/>
      <c r="AT541" s="107"/>
      <c r="AU541" s="107"/>
      <c r="AV541" s="107"/>
      <c r="AW541" s="107"/>
      <c r="AX541" s="107"/>
      <c r="AY541" s="107"/>
      <c r="AZ541" s="107"/>
      <c r="BA541" s="107"/>
      <c r="BB541" s="107"/>
      <c r="BC541" s="107"/>
      <c r="BD541" s="107"/>
      <c r="BE541" s="107"/>
      <c r="BF541" s="107"/>
      <c r="BG541" s="107"/>
      <c r="BH541" s="107"/>
      <c r="BI541" s="107"/>
      <c r="BJ541" s="107"/>
      <c r="BK541" s="107"/>
      <c r="BL541" s="107"/>
      <c r="BM541" s="107"/>
      <c r="BN541" s="107"/>
      <c r="BO541" s="65"/>
      <c r="BP541" s="78" t="s">
        <v>22</v>
      </c>
    </row>
    <row r="542" spans="2:68" ht="12" hidden="1" customHeight="1" outlineLevel="1">
      <c r="B542" s="76">
        <v>82</v>
      </c>
      <c r="C542" s="77" t="s">
        <v>935</v>
      </c>
      <c r="D542" s="144">
        <f t="shared" si="15"/>
        <v>0</v>
      </c>
      <c r="E542" s="144">
        <f t="shared" si="16"/>
        <v>0</v>
      </c>
      <c r="F542" s="65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  <c r="AJ542" s="107"/>
      <c r="AK542" s="107"/>
      <c r="AL542" s="107"/>
      <c r="AM542" s="107"/>
      <c r="AN542" s="107"/>
      <c r="AO542" s="107"/>
      <c r="AP542" s="107"/>
      <c r="AQ542" s="107"/>
      <c r="AR542" s="107"/>
      <c r="AS542" s="107"/>
      <c r="AT542" s="107"/>
      <c r="AU542" s="107"/>
      <c r="AV542" s="107"/>
      <c r="AW542" s="107"/>
      <c r="AX542" s="107"/>
      <c r="AY542" s="107"/>
      <c r="AZ542" s="107"/>
      <c r="BA542" s="107"/>
      <c r="BB542" s="107"/>
      <c r="BC542" s="107"/>
      <c r="BD542" s="107"/>
      <c r="BE542" s="107"/>
      <c r="BF542" s="107"/>
      <c r="BG542" s="107"/>
      <c r="BH542" s="107"/>
      <c r="BI542" s="107"/>
      <c r="BJ542" s="107"/>
      <c r="BK542" s="107"/>
      <c r="BL542" s="107"/>
      <c r="BM542" s="107"/>
      <c r="BN542" s="107"/>
      <c r="BO542" s="65"/>
      <c r="BP542" s="78" t="s">
        <v>22</v>
      </c>
    </row>
    <row r="543" spans="2:68" ht="12" hidden="1" customHeight="1" outlineLevel="1">
      <c r="B543" s="76">
        <v>83</v>
      </c>
      <c r="C543" s="77" t="s">
        <v>936</v>
      </c>
      <c r="D543" s="144">
        <f t="shared" si="15"/>
        <v>0</v>
      </c>
      <c r="E543" s="144">
        <f t="shared" si="16"/>
        <v>0</v>
      </c>
      <c r="F543" s="65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  <c r="AJ543" s="107"/>
      <c r="AK543" s="107"/>
      <c r="AL543" s="107"/>
      <c r="AM543" s="107"/>
      <c r="AN543" s="107"/>
      <c r="AO543" s="107"/>
      <c r="AP543" s="107"/>
      <c r="AQ543" s="107"/>
      <c r="AR543" s="107"/>
      <c r="AS543" s="107"/>
      <c r="AT543" s="107"/>
      <c r="AU543" s="107"/>
      <c r="AV543" s="107"/>
      <c r="AW543" s="107"/>
      <c r="AX543" s="107"/>
      <c r="AY543" s="107"/>
      <c r="AZ543" s="107"/>
      <c r="BA543" s="107"/>
      <c r="BB543" s="107"/>
      <c r="BC543" s="107"/>
      <c r="BD543" s="107"/>
      <c r="BE543" s="107"/>
      <c r="BF543" s="107"/>
      <c r="BG543" s="107"/>
      <c r="BH543" s="107"/>
      <c r="BI543" s="107"/>
      <c r="BJ543" s="107"/>
      <c r="BK543" s="107"/>
      <c r="BL543" s="107"/>
      <c r="BM543" s="107"/>
      <c r="BN543" s="107"/>
      <c r="BO543" s="65"/>
      <c r="BP543" s="78" t="s">
        <v>22</v>
      </c>
    </row>
    <row r="544" spans="2:68" ht="12" hidden="1" customHeight="1" outlineLevel="1">
      <c r="B544" s="76">
        <v>84</v>
      </c>
      <c r="C544" s="77" t="s">
        <v>937</v>
      </c>
      <c r="D544" s="144">
        <f t="shared" si="15"/>
        <v>0</v>
      </c>
      <c r="E544" s="144">
        <f t="shared" si="16"/>
        <v>0</v>
      </c>
      <c r="F544" s="65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  <c r="AJ544" s="107"/>
      <c r="AK544" s="107"/>
      <c r="AL544" s="107"/>
      <c r="AM544" s="107"/>
      <c r="AN544" s="107"/>
      <c r="AO544" s="107"/>
      <c r="AP544" s="107"/>
      <c r="AQ544" s="107"/>
      <c r="AR544" s="107"/>
      <c r="AS544" s="107"/>
      <c r="AT544" s="107"/>
      <c r="AU544" s="107"/>
      <c r="AV544" s="107"/>
      <c r="AW544" s="107"/>
      <c r="AX544" s="107"/>
      <c r="AY544" s="107"/>
      <c r="AZ544" s="107"/>
      <c r="BA544" s="107"/>
      <c r="BB544" s="107"/>
      <c r="BC544" s="107"/>
      <c r="BD544" s="107"/>
      <c r="BE544" s="107"/>
      <c r="BF544" s="107"/>
      <c r="BG544" s="107"/>
      <c r="BH544" s="107"/>
      <c r="BI544" s="107"/>
      <c r="BJ544" s="107"/>
      <c r="BK544" s="107"/>
      <c r="BL544" s="107"/>
      <c r="BM544" s="107"/>
      <c r="BN544" s="107"/>
      <c r="BO544" s="65"/>
      <c r="BP544" s="78" t="s">
        <v>22</v>
      </c>
    </row>
    <row r="545" spans="2:68" ht="12" hidden="1" customHeight="1" outlineLevel="1">
      <c r="B545" s="76">
        <v>85</v>
      </c>
      <c r="C545" s="77" t="s">
        <v>938</v>
      </c>
      <c r="D545" s="144">
        <f t="shared" si="15"/>
        <v>0</v>
      </c>
      <c r="E545" s="144">
        <f t="shared" si="16"/>
        <v>0</v>
      </c>
      <c r="F545" s="65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  <c r="AK545" s="107"/>
      <c r="AL545" s="107"/>
      <c r="AM545" s="107"/>
      <c r="AN545" s="107"/>
      <c r="AO545" s="107"/>
      <c r="AP545" s="107"/>
      <c r="AQ545" s="107"/>
      <c r="AR545" s="107"/>
      <c r="AS545" s="107"/>
      <c r="AT545" s="107"/>
      <c r="AU545" s="107"/>
      <c r="AV545" s="107"/>
      <c r="AW545" s="107"/>
      <c r="AX545" s="107"/>
      <c r="AY545" s="107"/>
      <c r="AZ545" s="107"/>
      <c r="BA545" s="107"/>
      <c r="BB545" s="107"/>
      <c r="BC545" s="107"/>
      <c r="BD545" s="107"/>
      <c r="BE545" s="107"/>
      <c r="BF545" s="107"/>
      <c r="BG545" s="107"/>
      <c r="BH545" s="107"/>
      <c r="BI545" s="107"/>
      <c r="BJ545" s="107"/>
      <c r="BK545" s="107"/>
      <c r="BL545" s="107"/>
      <c r="BM545" s="107"/>
      <c r="BN545" s="107"/>
      <c r="BO545" s="65"/>
      <c r="BP545" s="78" t="s">
        <v>22</v>
      </c>
    </row>
    <row r="546" spans="2:68" ht="12" hidden="1" customHeight="1" outlineLevel="1">
      <c r="B546" s="76">
        <v>86</v>
      </c>
      <c r="C546" s="77" t="s">
        <v>939</v>
      </c>
      <c r="D546" s="144">
        <f t="shared" si="15"/>
        <v>0</v>
      </c>
      <c r="E546" s="144">
        <f t="shared" si="16"/>
        <v>0</v>
      </c>
      <c r="F546" s="65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  <c r="AJ546" s="107"/>
      <c r="AK546" s="107"/>
      <c r="AL546" s="107"/>
      <c r="AM546" s="107"/>
      <c r="AN546" s="107"/>
      <c r="AO546" s="107"/>
      <c r="AP546" s="107"/>
      <c r="AQ546" s="107"/>
      <c r="AR546" s="107"/>
      <c r="AS546" s="107"/>
      <c r="AT546" s="107"/>
      <c r="AU546" s="107"/>
      <c r="AV546" s="107"/>
      <c r="AW546" s="107"/>
      <c r="AX546" s="107"/>
      <c r="AY546" s="107"/>
      <c r="AZ546" s="107"/>
      <c r="BA546" s="107"/>
      <c r="BB546" s="107"/>
      <c r="BC546" s="107"/>
      <c r="BD546" s="107"/>
      <c r="BE546" s="107"/>
      <c r="BF546" s="107"/>
      <c r="BG546" s="107"/>
      <c r="BH546" s="107"/>
      <c r="BI546" s="107"/>
      <c r="BJ546" s="107"/>
      <c r="BK546" s="107"/>
      <c r="BL546" s="107"/>
      <c r="BM546" s="107"/>
      <c r="BN546" s="107"/>
      <c r="BO546" s="65"/>
      <c r="BP546" s="78" t="s">
        <v>22</v>
      </c>
    </row>
    <row r="547" spans="2:68" ht="12" hidden="1" customHeight="1" outlineLevel="1">
      <c r="B547" s="76">
        <v>87</v>
      </c>
      <c r="C547" s="77" t="s">
        <v>940</v>
      </c>
      <c r="D547" s="144">
        <f t="shared" si="15"/>
        <v>0</v>
      </c>
      <c r="E547" s="144">
        <f t="shared" si="16"/>
        <v>0</v>
      </c>
      <c r="F547" s="65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  <c r="AJ547" s="107"/>
      <c r="AK547" s="107"/>
      <c r="AL547" s="107"/>
      <c r="AM547" s="107"/>
      <c r="AN547" s="107"/>
      <c r="AO547" s="107"/>
      <c r="AP547" s="107"/>
      <c r="AQ547" s="107"/>
      <c r="AR547" s="107"/>
      <c r="AS547" s="107"/>
      <c r="AT547" s="107"/>
      <c r="AU547" s="107"/>
      <c r="AV547" s="107"/>
      <c r="AW547" s="107"/>
      <c r="AX547" s="107"/>
      <c r="AY547" s="107"/>
      <c r="AZ547" s="107"/>
      <c r="BA547" s="107"/>
      <c r="BB547" s="107"/>
      <c r="BC547" s="107"/>
      <c r="BD547" s="107"/>
      <c r="BE547" s="107"/>
      <c r="BF547" s="107"/>
      <c r="BG547" s="107"/>
      <c r="BH547" s="107"/>
      <c r="BI547" s="107"/>
      <c r="BJ547" s="107"/>
      <c r="BK547" s="107"/>
      <c r="BL547" s="107"/>
      <c r="BM547" s="107"/>
      <c r="BN547" s="107"/>
      <c r="BO547" s="65"/>
      <c r="BP547" s="78" t="s">
        <v>22</v>
      </c>
    </row>
    <row r="548" spans="2:68" ht="12" hidden="1" customHeight="1" outlineLevel="1">
      <c r="B548" s="76">
        <v>88</v>
      </c>
      <c r="C548" s="77" t="s">
        <v>941</v>
      </c>
      <c r="D548" s="144">
        <f t="shared" si="15"/>
        <v>0</v>
      </c>
      <c r="E548" s="144">
        <f t="shared" si="16"/>
        <v>0</v>
      </c>
      <c r="F548" s="65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  <c r="AK548" s="107"/>
      <c r="AL548" s="107"/>
      <c r="AM548" s="107"/>
      <c r="AN548" s="107"/>
      <c r="AO548" s="107"/>
      <c r="AP548" s="107"/>
      <c r="AQ548" s="107"/>
      <c r="AR548" s="107"/>
      <c r="AS548" s="107"/>
      <c r="AT548" s="107"/>
      <c r="AU548" s="107"/>
      <c r="AV548" s="107"/>
      <c r="AW548" s="107"/>
      <c r="AX548" s="107"/>
      <c r="AY548" s="107"/>
      <c r="AZ548" s="107"/>
      <c r="BA548" s="107"/>
      <c r="BB548" s="107"/>
      <c r="BC548" s="107"/>
      <c r="BD548" s="107"/>
      <c r="BE548" s="107"/>
      <c r="BF548" s="107"/>
      <c r="BG548" s="107"/>
      <c r="BH548" s="107"/>
      <c r="BI548" s="107"/>
      <c r="BJ548" s="107"/>
      <c r="BK548" s="107"/>
      <c r="BL548" s="107"/>
      <c r="BM548" s="107"/>
      <c r="BN548" s="107"/>
      <c r="BO548" s="65"/>
      <c r="BP548" s="78" t="s">
        <v>22</v>
      </c>
    </row>
    <row r="549" spans="2:68" ht="12" hidden="1" customHeight="1" outlineLevel="1">
      <c r="B549" s="76">
        <v>89</v>
      </c>
      <c r="C549" s="77" t="s">
        <v>942</v>
      </c>
      <c r="D549" s="144">
        <f t="shared" si="15"/>
        <v>0</v>
      </c>
      <c r="E549" s="144">
        <f t="shared" si="16"/>
        <v>0</v>
      </c>
      <c r="F549" s="65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  <c r="AK549" s="107"/>
      <c r="AL549" s="107"/>
      <c r="AM549" s="107"/>
      <c r="AN549" s="107"/>
      <c r="AO549" s="107"/>
      <c r="AP549" s="107"/>
      <c r="AQ549" s="107"/>
      <c r="AR549" s="107"/>
      <c r="AS549" s="107"/>
      <c r="AT549" s="107"/>
      <c r="AU549" s="107"/>
      <c r="AV549" s="107"/>
      <c r="AW549" s="107"/>
      <c r="AX549" s="107"/>
      <c r="AY549" s="107"/>
      <c r="AZ549" s="107"/>
      <c r="BA549" s="107"/>
      <c r="BB549" s="107"/>
      <c r="BC549" s="107"/>
      <c r="BD549" s="107"/>
      <c r="BE549" s="107"/>
      <c r="BF549" s="107"/>
      <c r="BG549" s="107"/>
      <c r="BH549" s="107"/>
      <c r="BI549" s="107"/>
      <c r="BJ549" s="107"/>
      <c r="BK549" s="107"/>
      <c r="BL549" s="107"/>
      <c r="BM549" s="107"/>
      <c r="BN549" s="107"/>
      <c r="BO549" s="65"/>
      <c r="BP549" s="78" t="s">
        <v>22</v>
      </c>
    </row>
    <row r="550" spans="2:68" ht="12" hidden="1" customHeight="1" outlineLevel="1">
      <c r="B550" s="76">
        <v>90</v>
      </c>
      <c r="C550" s="77" t="s">
        <v>943</v>
      </c>
      <c r="D550" s="144">
        <f t="shared" si="15"/>
        <v>0</v>
      </c>
      <c r="E550" s="144">
        <f t="shared" si="16"/>
        <v>0</v>
      </c>
      <c r="F550" s="65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  <c r="AK550" s="107"/>
      <c r="AL550" s="107"/>
      <c r="AM550" s="107"/>
      <c r="AN550" s="107"/>
      <c r="AO550" s="107"/>
      <c r="AP550" s="107"/>
      <c r="AQ550" s="107"/>
      <c r="AR550" s="107"/>
      <c r="AS550" s="107"/>
      <c r="AT550" s="107"/>
      <c r="AU550" s="107"/>
      <c r="AV550" s="107"/>
      <c r="AW550" s="107"/>
      <c r="AX550" s="107"/>
      <c r="AY550" s="107"/>
      <c r="AZ550" s="107"/>
      <c r="BA550" s="107"/>
      <c r="BB550" s="107"/>
      <c r="BC550" s="107"/>
      <c r="BD550" s="107"/>
      <c r="BE550" s="107"/>
      <c r="BF550" s="107"/>
      <c r="BG550" s="107"/>
      <c r="BH550" s="107"/>
      <c r="BI550" s="107"/>
      <c r="BJ550" s="107"/>
      <c r="BK550" s="107"/>
      <c r="BL550" s="107"/>
      <c r="BM550" s="107"/>
      <c r="BN550" s="107"/>
      <c r="BO550" s="65"/>
      <c r="BP550" s="78" t="s">
        <v>22</v>
      </c>
    </row>
    <row r="551" spans="2:68" ht="12" hidden="1" customHeight="1" outlineLevel="1">
      <c r="B551" s="76">
        <v>91</v>
      </c>
      <c r="C551" s="77" t="s">
        <v>944</v>
      </c>
      <c r="D551" s="144">
        <f t="shared" si="15"/>
        <v>0</v>
      </c>
      <c r="E551" s="144">
        <f t="shared" si="16"/>
        <v>0</v>
      </c>
      <c r="F551" s="65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  <c r="AK551" s="107"/>
      <c r="AL551" s="107"/>
      <c r="AM551" s="107"/>
      <c r="AN551" s="107"/>
      <c r="AO551" s="107"/>
      <c r="AP551" s="107"/>
      <c r="AQ551" s="107"/>
      <c r="AR551" s="107"/>
      <c r="AS551" s="107"/>
      <c r="AT551" s="107"/>
      <c r="AU551" s="107"/>
      <c r="AV551" s="107"/>
      <c r="AW551" s="107"/>
      <c r="AX551" s="107"/>
      <c r="AY551" s="107"/>
      <c r="AZ551" s="107"/>
      <c r="BA551" s="107"/>
      <c r="BB551" s="107"/>
      <c r="BC551" s="107"/>
      <c r="BD551" s="107"/>
      <c r="BE551" s="107"/>
      <c r="BF551" s="107"/>
      <c r="BG551" s="107"/>
      <c r="BH551" s="107"/>
      <c r="BI551" s="107"/>
      <c r="BJ551" s="107"/>
      <c r="BK551" s="107"/>
      <c r="BL551" s="107"/>
      <c r="BM551" s="107"/>
      <c r="BN551" s="107"/>
      <c r="BO551" s="65"/>
      <c r="BP551" s="78" t="s">
        <v>22</v>
      </c>
    </row>
    <row r="552" spans="2:68" ht="12" hidden="1" customHeight="1" outlineLevel="1">
      <c r="B552" s="76">
        <v>92</v>
      </c>
      <c r="C552" s="77" t="s">
        <v>945</v>
      </c>
      <c r="D552" s="144">
        <f t="shared" si="15"/>
        <v>0</v>
      </c>
      <c r="E552" s="144">
        <f t="shared" si="16"/>
        <v>0</v>
      </c>
      <c r="F552" s="65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7"/>
      <c r="AM552" s="107"/>
      <c r="AN552" s="107"/>
      <c r="AO552" s="107"/>
      <c r="AP552" s="107"/>
      <c r="AQ552" s="107"/>
      <c r="AR552" s="107"/>
      <c r="AS552" s="107"/>
      <c r="AT552" s="107"/>
      <c r="AU552" s="107"/>
      <c r="AV552" s="107"/>
      <c r="AW552" s="107"/>
      <c r="AX552" s="107"/>
      <c r="AY552" s="107"/>
      <c r="AZ552" s="107"/>
      <c r="BA552" s="107"/>
      <c r="BB552" s="107"/>
      <c r="BC552" s="107"/>
      <c r="BD552" s="107"/>
      <c r="BE552" s="107"/>
      <c r="BF552" s="107"/>
      <c r="BG552" s="107"/>
      <c r="BH552" s="107"/>
      <c r="BI552" s="107"/>
      <c r="BJ552" s="107"/>
      <c r="BK552" s="107"/>
      <c r="BL552" s="107"/>
      <c r="BM552" s="107"/>
      <c r="BN552" s="107"/>
      <c r="BO552" s="65"/>
      <c r="BP552" s="78" t="s">
        <v>22</v>
      </c>
    </row>
    <row r="553" spans="2:68" ht="12" hidden="1" customHeight="1" outlineLevel="1">
      <c r="B553" s="76">
        <v>93</v>
      </c>
      <c r="C553" s="77" t="s">
        <v>946</v>
      </c>
      <c r="D553" s="144">
        <f t="shared" si="15"/>
        <v>0</v>
      </c>
      <c r="E553" s="144">
        <f t="shared" si="16"/>
        <v>0</v>
      </c>
      <c r="F553" s="65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  <c r="AK553" s="107"/>
      <c r="AL553" s="107"/>
      <c r="AM553" s="107"/>
      <c r="AN553" s="107"/>
      <c r="AO553" s="107"/>
      <c r="AP553" s="107"/>
      <c r="AQ553" s="107"/>
      <c r="AR553" s="107"/>
      <c r="AS553" s="107"/>
      <c r="AT553" s="107"/>
      <c r="AU553" s="107"/>
      <c r="AV553" s="107"/>
      <c r="AW553" s="107"/>
      <c r="AX553" s="107"/>
      <c r="AY553" s="107"/>
      <c r="AZ553" s="107"/>
      <c r="BA553" s="107"/>
      <c r="BB553" s="107"/>
      <c r="BC553" s="107"/>
      <c r="BD553" s="107"/>
      <c r="BE553" s="107"/>
      <c r="BF553" s="107"/>
      <c r="BG553" s="107"/>
      <c r="BH553" s="107"/>
      <c r="BI553" s="107"/>
      <c r="BJ553" s="107"/>
      <c r="BK553" s="107"/>
      <c r="BL553" s="107"/>
      <c r="BM553" s="107"/>
      <c r="BN553" s="107"/>
      <c r="BO553" s="65"/>
      <c r="BP553" s="78" t="s">
        <v>22</v>
      </c>
    </row>
    <row r="554" spans="2:68" ht="12" hidden="1" customHeight="1" outlineLevel="1">
      <c r="B554" s="76">
        <v>94</v>
      </c>
      <c r="C554" s="77" t="s">
        <v>947</v>
      </c>
      <c r="D554" s="144">
        <f t="shared" si="15"/>
        <v>0</v>
      </c>
      <c r="E554" s="144">
        <f t="shared" si="16"/>
        <v>0</v>
      </c>
      <c r="F554" s="65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  <c r="AK554" s="107"/>
      <c r="AL554" s="107"/>
      <c r="AM554" s="107"/>
      <c r="AN554" s="107"/>
      <c r="AO554" s="107"/>
      <c r="AP554" s="107"/>
      <c r="AQ554" s="107"/>
      <c r="AR554" s="107"/>
      <c r="AS554" s="107"/>
      <c r="AT554" s="107"/>
      <c r="AU554" s="107"/>
      <c r="AV554" s="107"/>
      <c r="AW554" s="107"/>
      <c r="AX554" s="107"/>
      <c r="AY554" s="107"/>
      <c r="AZ554" s="107"/>
      <c r="BA554" s="107"/>
      <c r="BB554" s="107"/>
      <c r="BC554" s="107"/>
      <c r="BD554" s="107"/>
      <c r="BE554" s="107"/>
      <c r="BF554" s="107"/>
      <c r="BG554" s="107"/>
      <c r="BH554" s="107"/>
      <c r="BI554" s="107"/>
      <c r="BJ554" s="107"/>
      <c r="BK554" s="107"/>
      <c r="BL554" s="107"/>
      <c r="BM554" s="107"/>
      <c r="BN554" s="107"/>
      <c r="BO554" s="65"/>
      <c r="BP554" s="78" t="s">
        <v>22</v>
      </c>
    </row>
    <row r="555" spans="2:68" ht="12" hidden="1" customHeight="1" outlineLevel="1">
      <c r="B555" s="76">
        <v>95</v>
      </c>
      <c r="C555" s="77" t="s">
        <v>948</v>
      </c>
      <c r="D555" s="144">
        <f t="shared" si="15"/>
        <v>0</v>
      </c>
      <c r="E555" s="144">
        <f t="shared" si="16"/>
        <v>0</v>
      </c>
      <c r="F555" s="65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  <c r="AJ555" s="107"/>
      <c r="AK555" s="107"/>
      <c r="AL555" s="107"/>
      <c r="AM555" s="107"/>
      <c r="AN555" s="107"/>
      <c r="AO555" s="107"/>
      <c r="AP555" s="107"/>
      <c r="AQ555" s="107"/>
      <c r="AR555" s="107"/>
      <c r="AS555" s="107"/>
      <c r="AT555" s="107"/>
      <c r="AU555" s="107"/>
      <c r="AV555" s="107"/>
      <c r="AW555" s="107"/>
      <c r="AX555" s="107"/>
      <c r="AY555" s="107"/>
      <c r="AZ555" s="107"/>
      <c r="BA555" s="107"/>
      <c r="BB555" s="107"/>
      <c r="BC555" s="107"/>
      <c r="BD555" s="107"/>
      <c r="BE555" s="107"/>
      <c r="BF555" s="107"/>
      <c r="BG555" s="107"/>
      <c r="BH555" s="107"/>
      <c r="BI555" s="107"/>
      <c r="BJ555" s="107"/>
      <c r="BK555" s="107"/>
      <c r="BL555" s="107"/>
      <c r="BM555" s="107"/>
      <c r="BN555" s="107"/>
      <c r="BO555" s="65"/>
      <c r="BP555" s="78" t="s">
        <v>22</v>
      </c>
    </row>
    <row r="556" spans="2:68" ht="12" hidden="1" customHeight="1" outlineLevel="1">
      <c r="B556" s="76">
        <v>96</v>
      </c>
      <c r="C556" s="77" t="s">
        <v>949</v>
      </c>
      <c r="D556" s="144">
        <f t="shared" si="15"/>
        <v>0</v>
      </c>
      <c r="E556" s="144">
        <f t="shared" si="16"/>
        <v>0</v>
      </c>
      <c r="F556" s="65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  <c r="AJ556" s="107"/>
      <c r="AK556" s="107"/>
      <c r="AL556" s="107"/>
      <c r="AM556" s="107"/>
      <c r="AN556" s="107"/>
      <c r="AO556" s="107"/>
      <c r="AP556" s="107"/>
      <c r="AQ556" s="107"/>
      <c r="AR556" s="107"/>
      <c r="AS556" s="107"/>
      <c r="AT556" s="107"/>
      <c r="AU556" s="107"/>
      <c r="AV556" s="107"/>
      <c r="AW556" s="107"/>
      <c r="AX556" s="107"/>
      <c r="AY556" s="107"/>
      <c r="AZ556" s="107"/>
      <c r="BA556" s="107"/>
      <c r="BB556" s="107"/>
      <c r="BC556" s="107"/>
      <c r="BD556" s="107"/>
      <c r="BE556" s="107"/>
      <c r="BF556" s="107"/>
      <c r="BG556" s="107"/>
      <c r="BH556" s="107"/>
      <c r="BI556" s="107"/>
      <c r="BJ556" s="107"/>
      <c r="BK556" s="107"/>
      <c r="BL556" s="107"/>
      <c r="BM556" s="107"/>
      <c r="BN556" s="107"/>
      <c r="BO556" s="65"/>
      <c r="BP556" s="78" t="s">
        <v>22</v>
      </c>
    </row>
    <row r="557" spans="2:68" ht="12" hidden="1" customHeight="1" outlineLevel="1">
      <c r="B557" s="76">
        <v>97</v>
      </c>
      <c r="C557" s="77" t="s">
        <v>950</v>
      </c>
      <c r="D557" s="144">
        <f t="shared" ref="D557:D588" si="17">IFERROR(ROUNDUP(SUM(G557:BN557)/COUNTIF(G557:BN557,"&gt;0"),2),0)</f>
        <v>0</v>
      </c>
      <c r="E557" s="144">
        <f t="shared" ref="E557:E588" si="18">COUNTIF(G557:BN557,"&gt;0")</f>
        <v>0</v>
      </c>
      <c r="F557" s="65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  <c r="AK557" s="107"/>
      <c r="AL557" s="107"/>
      <c r="AM557" s="107"/>
      <c r="AN557" s="107"/>
      <c r="AO557" s="107"/>
      <c r="AP557" s="107"/>
      <c r="AQ557" s="107"/>
      <c r="AR557" s="107"/>
      <c r="AS557" s="107"/>
      <c r="AT557" s="107"/>
      <c r="AU557" s="107"/>
      <c r="AV557" s="107"/>
      <c r="AW557" s="107"/>
      <c r="AX557" s="107"/>
      <c r="AY557" s="107"/>
      <c r="AZ557" s="107"/>
      <c r="BA557" s="107"/>
      <c r="BB557" s="107"/>
      <c r="BC557" s="107"/>
      <c r="BD557" s="107"/>
      <c r="BE557" s="107"/>
      <c r="BF557" s="107"/>
      <c r="BG557" s="107"/>
      <c r="BH557" s="107"/>
      <c r="BI557" s="107"/>
      <c r="BJ557" s="107"/>
      <c r="BK557" s="107"/>
      <c r="BL557" s="107"/>
      <c r="BM557" s="107"/>
      <c r="BN557" s="107"/>
      <c r="BO557" s="65"/>
      <c r="BP557" s="78" t="s">
        <v>22</v>
      </c>
    </row>
    <row r="558" spans="2:68" ht="12" hidden="1" customHeight="1" outlineLevel="1">
      <c r="B558" s="76">
        <v>98</v>
      </c>
      <c r="C558" s="77" t="s">
        <v>951</v>
      </c>
      <c r="D558" s="144">
        <f t="shared" si="17"/>
        <v>0</v>
      </c>
      <c r="E558" s="144">
        <f t="shared" si="18"/>
        <v>0</v>
      </c>
      <c r="F558" s="65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  <c r="AJ558" s="107"/>
      <c r="AK558" s="107"/>
      <c r="AL558" s="107"/>
      <c r="AM558" s="107"/>
      <c r="AN558" s="107"/>
      <c r="AO558" s="107"/>
      <c r="AP558" s="107"/>
      <c r="AQ558" s="107"/>
      <c r="AR558" s="107"/>
      <c r="AS558" s="107"/>
      <c r="AT558" s="107"/>
      <c r="AU558" s="107"/>
      <c r="AV558" s="107"/>
      <c r="AW558" s="107"/>
      <c r="AX558" s="107"/>
      <c r="AY558" s="107"/>
      <c r="AZ558" s="107"/>
      <c r="BA558" s="107"/>
      <c r="BB558" s="107"/>
      <c r="BC558" s="107"/>
      <c r="BD558" s="107"/>
      <c r="BE558" s="107"/>
      <c r="BF558" s="107"/>
      <c r="BG558" s="107"/>
      <c r="BH558" s="107"/>
      <c r="BI558" s="107"/>
      <c r="BJ558" s="107"/>
      <c r="BK558" s="107"/>
      <c r="BL558" s="107"/>
      <c r="BM558" s="107"/>
      <c r="BN558" s="107"/>
      <c r="BO558" s="65"/>
      <c r="BP558" s="78" t="s">
        <v>22</v>
      </c>
    </row>
    <row r="559" spans="2:68" ht="12" hidden="1" customHeight="1" outlineLevel="1">
      <c r="B559" s="76">
        <v>99</v>
      </c>
      <c r="C559" s="77" t="s">
        <v>952</v>
      </c>
      <c r="D559" s="144">
        <f t="shared" si="17"/>
        <v>0</v>
      </c>
      <c r="E559" s="144">
        <f t="shared" si="18"/>
        <v>0</v>
      </c>
      <c r="F559" s="65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  <c r="AJ559" s="107"/>
      <c r="AK559" s="107"/>
      <c r="AL559" s="107"/>
      <c r="AM559" s="107"/>
      <c r="AN559" s="107"/>
      <c r="AO559" s="107"/>
      <c r="AP559" s="107"/>
      <c r="AQ559" s="107"/>
      <c r="AR559" s="107"/>
      <c r="AS559" s="107"/>
      <c r="AT559" s="107"/>
      <c r="AU559" s="107"/>
      <c r="AV559" s="107"/>
      <c r="AW559" s="107"/>
      <c r="AX559" s="107"/>
      <c r="AY559" s="107"/>
      <c r="AZ559" s="107"/>
      <c r="BA559" s="107"/>
      <c r="BB559" s="107"/>
      <c r="BC559" s="107"/>
      <c r="BD559" s="107"/>
      <c r="BE559" s="107"/>
      <c r="BF559" s="107"/>
      <c r="BG559" s="107"/>
      <c r="BH559" s="107"/>
      <c r="BI559" s="107"/>
      <c r="BJ559" s="107"/>
      <c r="BK559" s="107"/>
      <c r="BL559" s="107"/>
      <c r="BM559" s="107"/>
      <c r="BN559" s="107"/>
      <c r="BO559" s="65"/>
      <c r="BP559" s="78" t="s">
        <v>22</v>
      </c>
    </row>
    <row r="560" spans="2:68" ht="12" hidden="1" customHeight="1" outlineLevel="1">
      <c r="B560" s="76">
        <v>100</v>
      </c>
      <c r="C560" s="77" t="s">
        <v>953</v>
      </c>
      <c r="D560" s="144">
        <f t="shared" si="17"/>
        <v>0</v>
      </c>
      <c r="E560" s="144">
        <f t="shared" si="18"/>
        <v>0</v>
      </c>
      <c r="F560" s="65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  <c r="AK560" s="107"/>
      <c r="AL560" s="107"/>
      <c r="AM560" s="107"/>
      <c r="AN560" s="107"/>
      <c r="AO560" s="107"/>
      <c r="AP560" s="107"/>
      <c r="AQ560" s="107"/>
      <c r="AR560" s="107"/>
      <c r="AS560" s="107"/>
      <c r="AT560" s="107"/>
      <c r="AU560" s="107"/>
      <c r="AV560" s="107"/>
      <c r="AW560" s="107"/>
      <c r="AX560" s="107"/>
      <c r="AY560" s="107"/>
      <c r="AZ560" s="107"/>
      <c r="BA560" s="107"/>
      <c r="BB560" s="107"/>
      <c r="BC560" s="107"/>
      <c r="BD560" s="107"/>
      <c r="BE560" s="107"/>
      <c r="BF560" s="107"/>
      <c r="BG560" s="107"/>
      <c r="BH560" s="107"/>
      <c r="BI560" s="107"/>
      <c r="BJ560" s="107"/>
      <c r="BK560" s="107"/>
      <c r="BL560" s="107"/>
      <c r="BM560" s="107"/>
      <c r="BN560" s="107"/>
      <c r="BO560" s="65"/>
      <c r="BP560" s="78" t="s">
        <v>22</v>
      </c>
    </row>
    <row r="561" spans="2:68" ht="12" hidden="1" customHeight="1" outlineLevel="1">
      <c r="B561" s="76">
        <v>101</v>
      </c>
      <c r="C561" s="77" t="s">
        <v>954</v>
      </c>
      <c r="D561" s="144">
        <f t="shared" si="17"/>
        <v>0</v>
      </c>
      <c r="E561" s="144">
        <f t="shared" si="18"/>
        <v>0</v>
      </c>
      <c r="F561" s="65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  <c r="AK561" s="107"/>
      <c r="AL561" s="107"/>
      <c r="AM561" s="107"/>
      <c r="AN561" s="107"/>
      <c r="AO561" s="107"/>
      <c r="AP561" s="107"/>
      <c r="AQ561" s="107"/>
      <c r="AR561" s="107"/>
      <c r="AS561" s="107"/>
      <c r="AT561" s="107"/>
      <c r="AU561" s="107"/>
      <c r="AV561" s="107"/>
      <c r="AW561" s="107"/>
      <c r="AX561" s="107"/>
      <c r="AY561" s="107"/>
      <c r="AZ561" s="107"/>
      <c r="BA561" s="107"/>
      <c r="BB561" s="107"/>
      <c r="BC561" s="107"/>
      <c r="BD561" s="107"/>
      <c r="BE561" s="107"/>
      <c r="BF561" s="107"/>
      <c r="BG561" s="107"/>
      <c r="BH561" s="107"/>
      <c r="BI561" s="107"/>
      <c r="BJ561" s="107"/>
      <c r="BK561" s="107"/>
      <c r="BL561" s="107"/>
      <c r="BM561" s="107"/>
      <c r="BN561" s="107"/>
      <c r="BO561" s="65"/>
      <c r="BP561" s="78" t="s">
        <v>22</v>
      </c>
    </row>
    <row r="562" spans="2:68" ht="12" hidden="1" customHeight="1" outlineLevel="1">
      <c r="B562" s="76">
        <v>102</v>
      </c>
      <c r="C562" s="77" t="s">
        <v>955</v>
      </c>
      <c r="D562" s="144">
        <f t="shared" si="17"/>
        <v>0</v>
      </c>
      <c r="E562" s="144">
        <f t="shared" si="18"/>
        <v>0</v>
      </c>
      <c r="F562" s="65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  <c r="AK562" s="107"/>
      <c r="AL562" s="107"/>
      <c r="AM562" s="107"/>
      <c r="AN562" s="107"/>
      <c r="AO562" s="107"/>
      <c r="AP562" s="107"/>
      <c r="AQ562" s="107"/>
      <c r="AR562" s="107"/>
      <c r="AS562" s="107"/>
      <c r="AT562" s="107"/>
      <c r="AU562" s="107"/>
      <c r="AV562" s="107"/>
      <c r="AW562" s="107"/>
      <c r="AX562" s="107"/>
      <c r="AY562" s="107"/>
      <c r="AZ562" s="107"/>
      <c r="BA562" s="107"/>
      <c r="BB562" s="107"/>
      <c r="BC562" s="107"/>
      <c r="BD562" s="107"/>
      <c r="BE562" s="107"/>
      <c r="BF562" s="107"/>
      <c r="BG562" s="107"/>
      <c r="BH562" s="107"/>
      <c r="BI562" s="107"/>
      <c r="BJ562" s="107"/>
      <c r="BK562" s="107"/>
      <c r="BL562" s="107"/>
      <c r="BM562" s="107"/>
      <c r="BN562" s="107"/>
      <c r="BO562" s="65"/>
      <c r="BP562" s="78" t="s">
        <v>22</v>
      </c>
    </row>
    <row r="563" spans="2:68" ht="12" hidden="1" customHeight="1" outlineLevel="1">
      <c r="B563" s="76">
        <v>103</v>
      </c>
      <c r="C563" s="77" t="s">
        <v>956</v>
      </c>
      <c r="D563" s="144">
        <f t="shared" si="17"/>
        <v>0</v>
      </c>
      <c r="E563" s="144">
        <f t="shared" si="18"/>
        <v>0</v>
      </c>
      <c r="F563" s="65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  <c r="BC563" s="107"/>
      <c r="BD563" s="107"/>
      <c r="BE563" s="107"/>
      <c r="BF563" s="107"/>
      <c r="BG563" s="107"/>
      <c r="BH563" s="107"/>
      <c r="BI563" s="107"/>
      <c r="BJ563" s="107"/>
      <c r="BK563" s="107"/>
      <c r="BL563" s="107"/>
      <c r="BM563" s="107"/>
      <c r="BN563" s="107"/>
      <c r="BO563" s="65"/>
      <c r="BP563" s="78" t="s">
        <v>22</v>
      </c>
    </row>
    <row r="564" spans="2:68" ht="12" hidden="1" customHeight="1" outlineLevel="1">
      <c r="B564" s="76">
        <v>104</v>
      </c>
      <c r="C564" s="77" t="s">
        <v>957</v>
      </c>
      <c r="D564" s="144">
        <f t="shared" si="17"/>
        <v>0</v>
      </c>
      <c r="E564" s="144">
        <f t="shared" si="18"/>
        <v>0</v>
      </c>
      <c r="F564" s="65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  <c r="AK564" s="107"/>
      <c r="AL564" s="107"/>
      <c r="AM564" s="107"/>
      <c r="AN564" s="107"/>
      <c r="AO564" s="107"/>
      <c r="AP564" s="107"/>
      <c r="AQ564" s="107"/>
      <c r="AR564" s="107"/>
      <c r="AS564" s="107"/>
      <c r="AT564" s="107"/>
      <c r="AU564" s="107"/>
      <c r="AV564" s="107"/>
      <c r="AW564" s="107"/>
      <c r="AX564" s="107"/>
      <c r="AY564" s="107"/>
      <c r="AZ564" s="107"/>
      <c r="BA564" s="107"/>
      <c r="BB564" s="107"/>
      <c r="BC564" s="107"/>
      <c r="BD564" s="107"/>
      <c r="BE564" s="107"/>
      <c r="BF564" s="107"/>
      <c r="BG564" s="107"/>
      <c r="BH564" s="107"/>
      <c r="BI564" s="107"/>
      <c r="BJ564" s="107"/>
      <c r="BK564" s="107"/>
      <c r="BL564" s="107"/>
      <c r="BM564" s="107"/>
      <c r="BN564" s="107"/>
      <c r="BO564" s="65"/>
      <c r="BP564" s="78" t="s">
        <v>22</v>
      </c>
    </row>
    <row r="565" spans="2:68" ht="12" hidden="1" customHeight="1" outlineLevel="1">
      <c r="B565" s="76">
        <v>105</v>
      </c>
      <c r="C565" s="77" t="s">
        <v>958</v>
      </c>
      <c r="D565" s="144">
        <f t="shared" si="17"/>
        <v>0</v>
      </c>
      <c r="E565" s="144">
        <f t="shared" si="18"/>
        <v>0</v>
      </c>
      <c r="F565" s="65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  <c r="AJ565" s="107"/>
      <c r="AK565" s="107"/>
      <c r="AL565" s="107"/>
      <c r="AM565" s="107"/>
      <c r="AN565" s="107"/>
      <c r="AO565" s="107"/>
      <c r="AP565" s="107"/>
      <c r="AQ565" s="107"/>
      <c r="AR565" s="107"/>
      <c r="AS565" s="107"/>
      <c r="AT565" s="107"/>
      <c r="AU565" s="107"/>
      <c r="AV565" s="107"/>
      <c r="AW565" s="107"/>
      <c r="AX565" s="107"/>
      <c r="AY565" s="107"/>
      <c r="AZ565" s="107"/>
      <c r="BA565" s="107"/>
      <c r="BB565" s="107"/>
      <c r="BC565" s="107"/>
      <c r="BD565" s="107"/>
      <c r="BE565" s="107"/>
      <c r="BF565" s="107"/>
      <c r="BG565" s="107"/>
      <c r="BH565" s="107"/>
      <c r="BI565" s="107"/>
      <c r="BJ565" s="107"/>
      <c r="BK565" s="107"/>
      <c r="BL565" s="107"/>
      <c r="BM565" s="107"/>
      <c r="BN565" s="107"/>
      <c r="BO565" s="65"/>
      <c r="BP565" s="78" t="s">
        <v>22</v>
      </c>
    </row>
    <row r="566" spans="2:68" ht="12" hidden="1" customHeight="1" outlineLevel="1">
      <c r="B566" s="76">
        <v>106</v>
      </c>
      <c r="C566" s="77" t="s">
        <v>959</v>
      </c>
      <c r="D566" s="144">
        <f t="shared" si="17"/>
        <v>0</v>
      </c>
      <c r="E566" s="144">
        <f t="shared" si="18"/>
        <v>0</v>
      </c>
      <c r="F566" s="65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  <c r="AK566" s="107"/>
      <c r="AL566" s="107"/>
      <c r="AM566" s="107"/>
      <c r="AN566" s="107"/>
      <c r="AO566" s="107"/>
      <c r="AP566" s="107"/>
      <c r="AQ566" s="107"/>
      <c r="AR566" s="107"/>
      <c r="AS566" s="107"/>
      <c r="AT566" s="107"/>
      <c r="AU566" s="107"/>
      <c r="AV566" s="107"/>
      <c r="AW566" s="107"/>
      <c r="AX566" s="107"/>
      <c r="AY566" s="107"/>
      <c r="AZ566" s="107"/>
      <c r="BA566" s="107"/>
      <c r="BB566" s="107"/>
      <c r="BC566" s="107"/>
      <c r="BD566" s="107"/>
      <c r="BE566" s="107"/>
      <c r="BF566" s="107"/>
      <c r="BG566" s="107"/>
      <c r="BH566" s="107"/>
      <c r="BI566" s="107"/>
      <c r="BJ566" s="107"/>
      <c r="BK566" s="107"/>
      <c r="BL566" s="107"/>
      <c r="BM566" s="107"/>
      <c r="BN566" s="107"/>
      <c r="BO566" s="65"/>
      <c r="BP566" s="78" t="s">
        <v>22</v>
      </c>
    </row>
    <row r="567" spans="2:68" ht="12" hidden="1" customHeight="1" outlineLevel="1">
      <c r="B567" s="76">
        <v>107</v>
      </c>
      <c r="C567" s="77" t="s">
        <v>960</v>
      </c>
      <c r="D567" s="144">
        <f t="shared" si="17"/>
        <v>0</v>
      </c>
      <c r="E567" s="144">
        <f t="shared" si="18"/>
        <v>0</v>
      </c>
      <c r="F567" s="65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  <c r="AJ567" s="107"/>
      <c r="AK567" s="107"/>
      <c r="AL567" s="107"/>
      <c r="AM567" s="107"/>
      <c r="AN567" s="107"/>
      <c r="AO567" s="107"/>
      <c r="AP567" s="107"/>
      <c r="AQ567" s="107"/>
      <c r="AR567" s="107"/>
      <c r="AS567" s="107"/>
      <c r="AT567" s="107"/>
      <c r="AU567" s="107"/>
      <c r="AV567" s="107"/>
      <c r="AW567" s="107"/>
      <c r="AX567" s="107"/>
      <c r="AY567" s="107"/>
      <c r="AZ567" s="107"/>
      <c r="BA567" s="107"/>
      <c r="BB567" s="107"/>
      <c r="BC567" s="107"/>
      <c r="BD567" s="107"/>
      <c r="BE567" s="107"/>
      <c r="BF567" s="107"/>
      <c r="BG567" s="107"/>
      <c r="BH567" s="107"/>
      <c r="BI567" s="107"/>
      <c r="BJ567" s="107"/>
      <c r="BK567" s="107"/>
      <c r="BL567" s="107"/>
      <c r="BM567" s="107"/>
      <c r="BN567" s="107"/>
      <c r="BO567" s="65"/>
      <c r="BP567" s="78" t="s">
        <v>22</v>
      </c>
    </row>
    <row r="568" spans="2:68" ht="12" hidden="1" customHeight="1" outlineLevel="1">
      <c r="B568" s="76">
        <v>108</v>
      </c>
      <c r="C568" s="77" t="s">
        <v>961</v>
      </c>
      <c r="D568" s="144">
        <f t="shared" si="17"/>
        <v>0</v>
      </c>
      <c r="E568" s="144">
        <f t="shared" si="18"/>
        <v>0</v>
      </c>
      <c r="F568" s="65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  <c r="AK568" s="107"/>
      <c r="AL568" s="107"/>
      <c r="AM568" s="107"/>
      <c r="AN568" s="107"/>
      <c r="AO568" s="107"/>
      <c r="AP568" s="107"/>
      <c r="AQ568" s="107"/>
      <c r="AR568" s="107"/>
      <c r="AS568" s="107"/>
      <c r="AT568" s="107"/>
      <c r="AU568" s="107"/>
      <c r="AV568" s="107"/>
      <c r="AW568" s="107"/>
      <c r="AX568" s="107"/>
      <c r="AY568" s="107"/>
      <c r="AZ568" s="107"/>
      <c r="BA568" s="107"/>
      <c r="BB568" s="107"/>
      <c r="BC568" s="107"/>
      <c r="BD568" s="107"/>
      <c r="BE568" s="107"/>
      <c r="BF568" s="107"/>
      <c r="BG568" s="107"/>
      <c r="BH568" s="107"/>
      <c r="BI568" s="107"/>
      <c r="BJ568" s="107"/>
      <c r="BK568" s="107"/>
      <c r="BL568" s="107"/>
      <c r="BM568" s="107"/>
      <c r="BN568" s="107"/>
      <c r="BO568" s="65"/>
      <c r="BP568" s="78" t="s">
        <v>22</v>
      </c>
    </row>
    <row r="569" spans="2:68" ht="12" hidden="1" customHeight="1" outlineLevel="1">
      <c r="B569" s="76">
        <v>109</v>
      </c>
      <c r="C569" s="77" t="s">
        <v>962</v>
      </c>
      <c r="D569" s="144">
        <f t="shared" si="17"/>
        <v>0</v>
      </c>
      <c r="E569" s="144">
        <f t="shared" si="18"/>
        <v>0</v>
      </c>
      <c r="F569" s="65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  <c r="AK569" s="107"/>
      <c r="AL569" s="107"/>
      <c r="AM569" s="107"/>
      <c r="AN569" s="107"/>
      <c r="AO569" s="107"/>
      <c r="AP569" s="107"/>
      <c r="AQ569" s="107"/>
      <c r="AR569" s="107"/>
      <c r="AS569" s="107"/>
      <c r="AT569" s="107"/>
      <c r="AU569" s="107"/>
      <c r="AV569" s="107"/>
      <c r="AW569" s="107"/>
      <c r="AX569" s="107"/>
      <c r="AY569" s="107"/>
      <c r="AZ569" s="107"/>
      <c r="BA569" s="107"/>
      <c r="BB569" s="107"/>
      <c r="BC569" s="107"/>
      <c r="BD569" s="107"/>
      <c r="BE569" s="107"/>
      <c r="BF569" s="107"/>
      <c r="BG569" s="107"/>
      <c r="BH569" s="107"/>
      <c r="BI569" s="107"/>
      <c r="BJ569" s="107"/>
      <c r="BK569" s="107"/>
      <c r="BL569" s="107"/>
      <c r="BM569" s="107"/>
      <c r="BN569" s="107"/>
      <c r="BO569" s="65"/>
      <c r="BP569" s="78" t="s">
        <v>22</v>
      </c>
    </row>
    <row r="570" spans="2:68" ht="12" hidden="1" customHeight="1" outlineLevel="1">
      <c r="B570" s="76">
        <v>110</v>
      </c>
      <c r="C570" s="77" t="s">
        <v>963</v>
      </c>
      <c r="D570" s="144">
        <f t="shared" si="17"/>
        <v>0</v>
      </c>
      <c r="E570" s="144">
        <f t="shared" si="18"/>
        <v>0</v>
      </c>
      <c r="F570" s="65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  <c r="AJ570" s="107"/>
      <c r="AK570" s="107"/>
      <c r="AL570" s="107"/>
      <c r="AM570" s="107"/>
      <c r="AN570" s="107"/>
      <c r="AO570" s="107"/>
      <c r="AP570" s="107"/>
      <c r="AQ570" s="107"/>
      <c r="AR570" s="107"/>
      <c r="AS570" s="107"/>
      <c r="AT570" s="107"/>
      <c r="AU570" s="107"/>
      <c r="AV570" s="107"/>
      <c r="AW570" s="107"/>
      <c r="AX570" s="107"/>
      <c r="AY570" s="107"/>
      <c r="AZ570" s="107"/>
      <c r="BA570" s="107"/>
      <c r="BB570" s="107"/>
      <c r="BC570" s="107"/>
      <c r="BD570" s="107"/>
      <c r="BE570" s="107"/>
      <c r="BF570" s="107"/>
      <c r="BG570" s="107"/>
      <c r="BH570" s="107"/>
      <c r="BI570" s="107"/>
      <c r="BJ570" s="107"/>
      <c r="BK570" s="107"/>
      <c r="BL570" s="107"/>
      <c r="BM570" s="107"/>
      <c r="BN570" s="107"/>
      <c r="BO570" s="65"/>
      <c r="BP570" s="78" t="s">
        <v>22</v>
      </c>
    </row>
    <row r="571" spans="2:68" ht="12" hidden="1" customHeight="1" outlineLevel="1">
      <c r="B571" s="76">
        <v>111</v>
      </c>
      <c r="C571" s="77" t="s">
        <v>964</v>
      </c>
      <c r="D571" s="144">
        <f t="shared" si="17"/>
        <v>0</v>
      </c>
      <c r="E571" s="144">
        <f t="shared" si="18"/>
        <v>0</v>
      </c>
      <c r="F571" s="65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  <c r="AK571" s="107"/>
      <c r="AL571" s="107"/>
      <c r="AM571" s="107"/>
      <c r="AN571" s="107"/>
      <c r="AO571" s="107"/>
      <c r="AP571" s="107"/>
      <c r="AQ571" s="107"/>
      <c r="AR571" s="107"/>
      <c r="AS571" s="107"/>
      <c r="AT571" s="107"/>
      <c r="AU571" s="107"/>
      <c r="AV571" s="107"/>
      <c r="AW571" s="107"/>
      <c r="AX571" s="107"/>
      <c r="AY571" s="107"/>
      <c r="AZ571" s="107"/>
      <c r="BA571" s="107"/>
      <c r="BB571" s="107"/>
      <c r="BC571" s="107"/>
      <c r="BD571" s="107"/>
      <c r="BE571" s="107"/>
      <c r="BF571" s="107"/>
      <c r="BG571" s="107"/>
      <c r="BH571" s="107"/>
      <c r="BI571" s="107"/>
      <c r="BJ571" s="107"/>
      <c r="BK571" s="107"/>
      <c r="BL571" s="107"/>
      <c r="BM571" s="107"/>
      <c r="BN571" s="107"/>
      <c r="BO571" s="65"/>
      <c r="BP571" s="78" t="s">
        <v>22</v>
      </c>
    </row>
    <row r="572" spans="2:68" ht="12" hidden="1" customHeight="1" outlineLevel="1">
      <c r="B572" s="76">
        <v>112</v>
      </c>
      <c r="C572" s="77" t="s">
        <v>965</v>
      </c>
      <c r="D572" s="144">
        <f t="shared" si="17"/>
        <v>0</v>
      </c>
      <c r="E572" s="144">
        <f t="shared" si="18"/>
        <v>0</v>
      </c>
      <c r="F572" s="65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  <c r="AN572" s="107"/>
      <c r="AO572" s="107"/>
      <c r="AP572" s="107"/>
      <c r="AQ572" s="107"/>
      <c r="AR572" s="107"/>
      <c r="AS572" s="107"/>
      <c r="AT572" s="107"/>
      <c r="AU572" s="107"/>
      <c r="AV572" s="107"/>
      <c r="AW572" s="107"/>
      <c r="AX572" s="107"/>
      <c r="AY572" s="107"/>
      <c r="AZ572" s="107"/>
      <c r="BA572" s="107"/>
      <c r="BB572" s="107"/>
      <c r="BC572" s="107"/>
      <c r="BD572" s="107"/>
      <c r="BE572" s="107"/>
      <c r="BF572" s="107"/>
      <c r="BG572" s="107"/>
      <c r="BH572" s="107"/>
      <c r="BI572" s="107"/>
      <c r="BJ572" s="107"/>
      <c r="BK572" s="107"/>
      <c r="BL572" s="107"/>
      <c r="BM572" s="107"/>
      <c r="BN572" s="107"/>
      <c r="BO572" s="65"/>
      <c r="BP572" s="78" t="s">
        <v>22</v>
      </c>
    </row>
    <row r="573" spans="2:68" ht="12" hidden="1" customHeight="1" outlineLevel="1">
      <c r="B573" s="76">
        <v>113</v>
      </c>
      <c r="C573" s="77" t="s">
        <v>966</v>
      </c>
      <c r="D573" s="144">
        <f t="shared" si="17"/>
        <v>0</v>
      </c>
      <c r="E573" s="144">
        <f t="shared" si="18"/>
        <v>0</v>
      </c>
      <c r="F573" s="65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  <c r="AK573" s="107"/>
      <c r="AL573" s="107"/>
      <c r="AM573" s="107"/>
      <c r="AN573" s="107"/>
      <c r="AO573" s="107"/>
      <c r="AP573" s="107"/>
      <c r="AQ573" s="107"/>
      <c r="AR573" s="107"/>
      <c r="AS573" s="107"/>
      <c r="AT573" s="107"/>
      <c r="AU573" s="107"/>
      <c r="AV573" s="107"/>
      <c r="AW573" s="107"/>
      <c r="AX573" s="107"/>
      <c r="AY573" s="107"/>
      <c r="AZ573" s="107"/>
      <c r="BA573" s="107"/>
      <c r="BB573" s="107"/>
      <c r="BC573" s="107"/>
      <c r="BD573" s="107"/>
      <c r="BE573" s="107"/>
      <c r="BF573" s="107"/>
      <c r="BG573" s="107"/>
      <c r="BH573" s="107"/>
      <c r="BI573" s="107"/>
      <c r="BJ573" s="107"/>
      <c r="BK573" s="107"/>
      <c r="BL573" s="107"/>
      <c r="BM573" s="107"/>
      <c r="BN573" s="107"/>
      <c r="BO573" s="65"/>
      <c r="BP573" s="78" t="s">
        <v>22</v>
      </c>
    </row>
    <row r="574" spans="2:68" ht="12" hidden="1" customHeight="1" outlineLevel="1">
      <c r="B574" s="76">
        <v>114</v>
      </c>
      <c r="C574" s="77" t="s">
        <v>967</v>
      </c>
      <c r="D574" s="144">
        <f t="shared" si="17"/>
        <v>0</v>
      </c>
      <c r="E574" s="144">
        <f t="shared" si="18"/>
        <v>0</v>
      </c>
      <c r="F574" s="65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  <c r="AK574" s="107"/>
      <c r="AL574" s="107"/>
      <c r="AM574" s="107"/>
      <c r="AN574" s="107"/>
      <c r="AO574" s="107"/>
      <c r="AP574" s="107"/>
      <c r="AQ574" s="107"/>
      <c r="AR574" s="107"/>
      <c r="AS574" s="107"/>
      <c r="AT574" s="107"/>
      <c r="AU574" s="107"/>
      <c r="AV574" s="107"/>
      <c r="AW574" s="107"/>
      <c r="AX574" s="107"/>
      <c r="AY574" s="107"/>
      <c r="AZ574" s="107"/>
      <c r="BA574" s="107"/>
      <c r="BB574" s="107"/>
      <c r="BC574" s="107"/>
      <c r="BD574" s="107"/>
      <c r="BE574" s="107"/>
      <c r="BF574" s="107"/>
      <c r="BG574" s="107"/>
      <c r="BH574" s="107"/>
      <c r="BI574" s="107"/>
      <c r="BJ574" s="107"/>
      <c r="BK574" s="107"/>
      <c r="BL574" s="107"/>
      <c r="BM574" s="107"/>
      <c r="BN574" s="107"/>
      <c r="BO574" s="65"/>
      <c r="BP574" s="78" t="s">
        <v>22</v>
      </c>
    </row>
    <row r="575" spans="2:68" ht="12" hidden="1" customHeight="1" outlineLevel="1">
      <c r="B575" s="76">
        <v>115</v>
      </c>
      <c r="C575" s="77" t="s">
        <v>968</v>
      </c>
      <c r="D575" s="144">
        <f t="shared" si="17"/>
        <v>0</v>
      </c>
      <c r="E575" s="144">
        <f t="shared" si="18"/>
        <v>0</v>
      </c>
      <c r="F575" s="65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  <c r="AJ575" s="107"/>
      <c r="AK575" s="107"/>
      <c r="AL575" s="107"/>
      <c r="AM575" s="107"/>
      <c r="AN575" s="107"/>
      <c r="AO575" s="107"/>
      <c r="AP575" s="107"/>
      <c r="AQ575" s="107"/>
      <c r="AR575" s="107"/>
      <c r="AS575" s="107"/>
      <c r="AT575" s="107"/>
      <c r="AU575" s="107"/>
      <c r="AV575" s="107"/>
      <c r="AW575" s="107"/>
      <c r="AX575" s="107"/>
      <c r="AY575" s="107"/>
      <c r="AZ575" s="107"/>
      <c r="BA575" s="107"/>
      <c r="BB575" s="107"/>
      <c r="BC575" s="107"/>
      <c r="BD575" s="107"/>
      <c r="BE575" s="107"/>
      <c r="BF575" s="107"/>
      <c r="BG575" s="107"/>
      <c r="BH575" s="107"/>
      <c r="BI575" s="107"/>
      <c r="BJ575" s="107"/>
      <c r="BK575" s="107"/>
      <c r="BL575" s="107"/>
      <c r="BM575" s="107"/>
      <c r="BN575" s="107"/>
      <c r="BO575" s="65"/>
      <c r="BP575" s="78" t="s">
        <v>22</v>
      </c>
    </row>
    <row r="576" spans="2:68" ht="12" hidden="1" customHeight="1" outlineLevel="1">
      <c r="B576" s="76">
        <v>116</v>
      </c>
      <c r="C576" s="77" t="s">
        <v>969</v>
      </c>
      <c r="D576" s="144">
        <f t="shared" si="17"/>
        <v>0</v>
      </c>
      <c r="E576" s="144">
        <f t="shared" si="18"/>
        <v>0</v>
      </c>
      <c r="F576" s="65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  <c r="AK576" s="107"/>
      <c r="AL576" s="107"/>
      <c r="AM576" s="107"/>
      <c r="AN576" s="107"/>
      <c r="AO576" s="107"/>
      <c r="AP576" s="107"/>
      <c r="AQ576" s="107"/>
      <c r="AR576" s="107"/>
      <c r="AS576" s="107"/>
      <c r="AT576" s="107"/>
      <c r="AU576" s="107"/>
      <c r="AV576" s="107"/>
      <c r="AW576" s="107"/>
      <c r="AX576" s="107"/>
      <c r="AY576" s="107"/>
      <c r="AZ576" s="107"/>
      <c r="BA576" s="107"/>
      <c r="BB576" s="107"/>
      <c r="BC576" s="107"/>
      <c r="BD576" s="107"/>
      <c r="BE576" s="107"/>
      <c r="BF576" s="107"/>
      <c r="BG576" s="107"/>
      <c r="BH576" s="107"/>
      <c r="BI576" s="107"/>
      <c r="BJ576" s="107"/>
      <c r="BK576" s="107"/>
      <c r="BL576" s="107"/>
      <c r="BM576" s="107"/>
      <c r="BN576" s="107"/>
      <c r="BO576" s="65"/>
      <c r="BP576" s="78" t="s">
        <v>22</v>
      </c>
    </row>
    <row r="577" spans="2:68" ht="12" hidden="1" customHeight="1" outlineLevel="1">
      <c r="B577" s="76">
        <v>117</v>
      </c>
      <c r="C577" s="77" t="s">
        <v>970</v>
      </c>
      <c r="D577" s="144">
        <f t="shared" si="17"/>
        <v>0</v>
      </c>
      <c r="E577" s="144">
        <f t="shared" si="18"/>
        <v>0</v>
      </c>
      <c r="F577" s="65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  <c r="AK577" s="107"/>
      <c r="AL577" s="107"/>
      <c r="AM577" s="107"/>
      <c r="AN577" s="107"/>
      <c r="AO577" s="107"/>
      <c r="AP577" s="107"/>
      <c r="AQ577" s="107"/>
      <c r="AR577" s="107"/>
      <c r="AS577" s="107"/>
      <c r="AT577" s="107"/>
      <c r="AU577" s="107"/>
      <c r="AV577" s="107"/>
      <c r="AW577" s="107"/>
      <c r="AX577" s="107"/>
      <c r="AY577" s="107"/>
      <c r="AZ577" s="107"/>
      <c r="BA577" s="107"/>
      <c r="BB577" s="107"/>
      <c r="BC577" s="107"/>
      <c r="BD577" s="107"/>
      <c r="BE577" s="107"/>
      <c r="BF577" s="107"/>
      <c r="BG577" s="107"/>
      <c r="BH577" s="107"/>
      <c r="BI577" s="107"/>
      <c r="BJ577" s="107"/>
      <c r="BK577" s="107"/>
      <c r="BL577" s="107"/>
      <c r="BM577" s="107"/>
      <c r="BN577" s="107"/>
      <c r="BO577" s="65"/>
      <c r="BP577" s="78" t="s">
        <v>22</v>
      </c>
    </row>
    <row r="578" spans="2:68" ht="12" hidden="1" customHeight="1" outlineLevel="1">
      <c r="B578" s="76">
        <v>118</v>
      </c>
      <c r="C578" s="77" t="s">
        <v>971</v>
      </c>
      <c r="D578" s="144">
        <f t="shared" si="17"/>
        <v>0</v>
      </c>
      <c r="E578" s="144">
        <f t="shared" si="18"/>
        <v>0</v>
      </c>
      <c r="F578" s="65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  <c r="AJ578" s="107"/>
      <c r="AK578" s="107"/>
      <c r="AL578" s="107"/>
      <c r="AM578" s="107"/>
      <c r="AN578" s="107"/>
      <c r="AO578" s="107"/>
      <c r="AP578" s="107"/>
      <c r="AQ578" s="107"/>
      <c r="AR578" s="107"/>
      <c r="AS578" s="107"/>
      <c r="AT578" s="107"/>
      <c r="AU578" s="107"/>
      <c r="AV578" s="107"/>
      <c r="AW578" s="107"/>
      <c r="AX578" s="107"/>
      <c r="AY578" s="107"/>
      <c r="AZ578" s="107"/>
      <c r="BA578" s="107"/>
      <c r="BB578" s="107"/>
      <c r="BC578" s="107"/>
      <c r="BD578" s="107"/>
      <c r="BE578" s="107"/>
      <c r="BF578" s="107"/>
      <c r="BG578" s="107"/>
      <c r="BH578" s="107"/>
      <c r="BI578" s="107"/>
      <c r="BJ578" s="107"/>
      <c r="BK578" s="107"/>
      <c r="BL578" s="107"/>
      <c r="BM578" s="107"/>
      <c r="BN578" s="107"/>
      <c r="BO578" s="65"/>
      <c r="BP578" s="78" t="s">
        <v>22</v>
      </c>
    </row>
    <row r="579" spans="2:68" ht="12" hidden="1" customHeight="1" outlineLevel="1">
      <c r="B579" s="76">
        <v>119</v>
      </c>
      <c r="C579" s="77" t="s">
        <v>972</v>
      </c>
      <c r="D579" s="144">
        <f t="shared" si="17"/>
        <v>0</v>
      </c>
      <c r="E579" s="144">
        <f t="shared" si="18"/>
        <v>0</v>
      </c>
      <c r="F579" s="65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  <c r="AK579" s="107"/>
      <c r="AL579" s="107"/>
      <c r="AM579" s="107"/>
      <c r="AN579" s="107"/>
      <c r="AO579" s="107"/>
      <c r="AP579" s="107"/>
      <c r="AQ579" s="107"/>
      <c r="AR579" s="107"/>
      <c r="AS579" s="107"/>
      <c r="AT579" s="107"/>
      <c r="AU579" s="107"/>
      <c r="AV579" s="107"/>
      <c r="AW579" s="107"/>
      <c r="AX579" s="107"/>
      <c r="AY579" s="107"/>
      <c r="AZ579" s="107"/>
      <c r="BA579" s="107"/>
      <c r="BB579" s="107"/>
      <c r="BC579" s="107"/>
      <c r="BD579" s="107"/>
      <c r="BE579" s="107"/>
      <c r="BF579" s="107"/>
      <c r="BG579" s="107"/>
      <c r="BH579" s="107"/>
      <c r="BI579" s="107"/>
      <c r="BJ579" s="107"/>
      <c r="BK579" s="107"/>
      <c r="BL579" s="107"/>
      <c r="BM579" s="107"/>
      <c r="BN579" s="107"/>
      <c r="BO579" s="65"/>
      <c r="BP579" s="78" t="s">
        <v>22</v>
      </c>
    </row>
    <row r="580" spans="2:68" ht="12" hidden="1" customHeight="1" outlineLevel="1">
      <c r="B580" s="76">
        <v>120</v>
      </c>
      <c r="C580" s="77" t="s">
        <v>973</v>
      </c>
      <c r="D580" s="144">
        <f t="shared" si="17"/>
        <v>0</v>
      </c>
      <c r="E580" s="144">
        <f t="shared" si="18"/>
        <v>0</v>
      </c>
      <c r="F580" s="65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  <c r="AK580" s="107"/>
      <c r="AL580" s="107"/>
      <c r="AM580" s="107"/>
      <c r="AN580" s="107"/>
      <c r="AO580" s="107"/>
      <c r="AP580" s="107"/>
      <c r="AQ580" s="107"/>
      <c r="AR580" s="107"/>
      <c r="AS580" s="107"/>
      <c r="AT580" s="107"/>
      <c r="AU580" s="107"/>
      <c r="AV580" s="107"/>
      <c r="AW580" s="107"/>
      <c r="AX580" s="107"/>
      <c r="AY580" s="107"/>
      <c r="AZ580" s="107"/>
      <c r="BA580" s="107"/>
      <c r="BB580" s="107"/>
      <c r="BC580" s="107"/>
      <c r="BD580" s="107"/>
      <c r="BE580" s="107"/>
      <c r="BF580" s="107"/>
      <c r="BG580" s="107"/>
      <c r="BH580" s="107"/>
      <c r="BI580" s="107"/>
      <c r="BJ580" s="107"/>
      <c r="BK580" s="107"/>
      <c r="BL580" s="107"/>
      <c r="BM580" s="107"/>
      <c r="BN580" s="107"/>
      <c r="BO580" s="65"/>
      <c r="BP580" s="78" t="s">
        <v>22</v>
      </c>
    </row>
    <row r="581" spans="2:68" ht="12" hidden="1" customHeight="1" outlineLevel="1">
      <c r="B581" s="76">
        <v>121</v>
      </c>
      <c r="C581" s="77" t="s">
        <v>974</v>
      </c>
      <c r="D581" s="144">
        <f t="shared" si="17"/>
        <v>0</v>
      </c>
      <c r="E581" s="144">
        <f t="shared" si="18"/>
        <v>0</v>
      </c>
      <c r="F581" s="65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  <c r="AK581" s="107"/>
      <c r="AL581" s="107"/>
      <c r="AM581" s="107"/>
      <c r="AN581" s="107"/>
      <c r="AO581" s="107"/>
      <c r="AP581" s="107"/>
      <c r="AQ581" s="107"/>
      <c r="AR581" s="107"/>
      <c r="AS581" s="107"/>
      <c r="AT581" s="107"/>
      <c r="AU581" s="107"/>
      <c r="AV581" s="107"/>
      <c r="AW581" s="107"/>
      <c r="AX581" s="107"/>
      <c r="AY581" s="107"/>
      <c r="AZ581" s="107"/>
      <c r="BA581" s="107"/>
      <c r="BB581" s="107"/>
      <c r="BC581" s="107"/>
      <c r="BD581" s="107"/>
      <c r="BE581" s="107"/>
      <c r="BF581" s="107"/>
      <c r="BG581" s="107"/>
      <c r="BH581" s="107"/>
      <c r="BI581" s="107"/>
      <c r="BJ581" s="107"/>
      <c r="BK581" s="107"/>
      <c r="BL581" s="107"/>
      <c r="BM581" s="107"/>
      <c r="BN581" s="107"/>
      <c r="BO581" s="65"/>
      <c r="BP581" s="78" t="s">
        <v>22</v>
      </c>
    </row>
    <row r="582" spans="2:68" ht="12" hidden="1" customHeight="1" outlineLevel="1">
      <c r="B582" s="76">
        <v>122</v>
      </c>
      <c r="C582" s="77" t="s">
        <v>975</v>
      </c>
      <c r="D582" s="144">
        <f t="shared" si="17"/>
        <v>0</v>
      </c>
      <c r="E582" s="144">
        <f t="shared" si="18"/>
        <v>0</v>
      </c>
      <c r="F582" s="65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  <c r="AK582" s="107"/>
      <c r="AL582" s="107"/>
      <c r="AM582" s="107"/>
      <c r="AN582" s="107"/>
      <c r="AO582" s="107"/>
      <c r="AP582" s="107"/>
      <c r="AQ582" s="107"/>
      <c r="AR582" s="107"/>
      <c r="AS582" s="107"/>
      <c r="AT582" s="107"/>
      <c r="AU582" s="107"/>
      <c r="AV582" s="107"/>
      <c r="AW582" s="107"/>
      <c r="AX582" s="107"/>
      <c r="AY582" s="107"/>
      <c r="AZ582" s="107"/>
      <c r="BA582" s="107"/>
      <c r="BB582" s="107"/>
      <c r="BC582" s="107"/>
      <c r="BD582" s="107"/>
      <c r="BE582" s="107"/>
      <c r="BF582" s="107"/>
      <c r="BG582" s="107"/>
      <c r="BH582" s="107"/>
      <c r="BI582" s="107"/>
      <c r="BJ582" s="107"/>
      <c r="BK582" s="107"/>
      <c r="BL582" s="107"/>
      <c r="BM582" s="107"/>
      <c r="BN582" s="107"/>
      <c r="BO582" s="65"/>
      <c r="BP582" s="78" t="s">
        <v>22</v>
      </c>
    </row>
    <row r="583" spans="2:68" ht="12" hidden="1" customHeight="1" outlineLevel="1">
      <c r="B583" s="76">
        <v>123</v>
      </c>
      <c r="C583" s="77" t="s">
        <v>976</v>
      </c>
      <c r="D583" s="144">
        <f t="shared" si="17"/>
        <v>0</v>
      </c>
      <c r="E583" s="144">
        <f t="shared" si="18"/>
        <v>0</v>
      </c>
      <c r="F583" s="65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  <c r="AK583" s="107"/>
      <c r="AL583" s="107"/>
      <c r="AM583" s="107"/>
      <c r="AN583" s="107"/>
      <c r="AO583" s="107"/>
      <c r="AP583" s="107"/>
      <c r="AQ583" s="107"/>
      <c r="AR583" s="107"/>
      <c r="AS583" s="107"/>
      <c r="AT583" s="107"/>
      <c r="AU583" s="107"/>
      <c r="AV583" s="107"/>
      <c r="AW583" s="107"/>
      <c r="AX583" s="107"/>
      <c r="AY583" s="107"/>
      <c r="AZ583" s="107"/>
      <c r="BA583" s="107"/>
      <c r="BB583" s="107"/>
      <c r="BC583" s="107"/>
      <c r="BD583" s="107"/>
      <c r="BE583" s="107"/>
      <c r="BF583" s="107"/>
      <c r="BG583" s="107"/>
      <c r="BH583" s="107"/>
      <c r="BI583" s="107"/>
      <c r="BJ583" s="107"/>
      <c r="BK583" s="107"/>
      <c r="BL583" s="107"/>
      <c r="BM583" s="107"/>
      <c r="BN583" s="107"/>
      <c r="BO583" s="65"/>
      <c r="BP583" s="78" t="s">
        <v>22</v>
      </c>
    </row>
    <row r="584" spans="2:68" ht="12" hidden="1" customHeight="1" outlineLevel="1">
      <c r="B584" s="76">
        <v>124</v>
      </c>
      <c r="C584" s="77" t="s">
        <v>977</v>
      </c>
      <c r="D584" s="144">
        <f t="shared" si="17"/>
        <v>0</v>
      </c>
      <c r="E584" s="144">
        <f t="shared" si="18"/>
        <v>0</v>
      </c>
      <c r="F584" s="65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  <c r="AJ584" s="107"/>
      <c r="AK584" s="107"/>
      <c r="AL584" s="107"/>
      <c r="AM584" s="107"/>
      <c r="AN584" s="107"/>
      <c r="AO584" s="107"/>
      <c r="AP584" s="107"/>
      <c r="AQ584" s="107"/>
      <c r="AR584" s="107"/>
      <c r="AS584" s="107"/>
      <c r="AT584" s="107"/>
      <c r="AU584" s="107"/>
      <c r="AV584" s="107"/>
      <c r="AW584" s="107"/>
      <c r="AX584" s="107"/>
      <c r="AY584" s="107"/>
      <c r="AZ584" s="107"/>
      <c r="BA584" s="107"/>
      <c r="BB584" s="107"/>
      <c r="BC584" s="107"/>
      <c r="BD584" s="107"/>
      <c r="BE584" s="107"/>
      <c r="BF584" s="107"/>
      <c r="BG584" s="107"/>
      <c r="BH584" s="107"/>
      <c r="BI584" s="107"/>
      <c r="BJ584" s="107"/>
      <c r="BK584" s="107"/>
      <c r="BL584" s="107"/>
      <c r="BM584" s="107"/>
      <c r="BN584" s="107"/>
      <c r="BO584" s="65"/>
      <c r="BP584" s="78" t="s">
        <v>22</v>
      </c>
    </row>
    <row r="585" spans="2:68" ht="12" hidden="1" customHeight="1" outlineLevel="1">
      <c r="B585" s="76">
        <v>125</v>
      </c>
      <c r="C585" s="77" t="s">
        <v>978</v>
      </c>
      <c r="D585" s="144">
        <f t="shared" si="17"/>
        <v>0</v>
      </c>
      <c r="E585" s="144">
        <f t="shared" si="18"/>
        <v>0</v>
      </c>
      <c r="F585" s="65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  <c r="AJ585" s="107"/>
      <c r="AK585" s="107"/>
      <c r="AL585" s="107"/>
      <c r="AM585" s="107"/>
      <c r="AN585" s="107"/>
      <c r="AO585" s="107"/>
      <c r="AP585" s="107"/>
      <c r="AQ585" s="107"/>
      <c r="AR585" s="107"/>
      <c r="AS585" s="107"/>
      <c r="AT585" s="107"/>
      <c r="AU585" s="107"/>
      <c r="AV585" s="107"/>
      <c r="AW585" s="107"/>
      <c r="AX585" s="107"/>
      <c r="AY585" s="107"/>
      <c r="AZ585" s="107"/>
      <c r="BA585" s="107"/>
      <c r="BB585" s="107"/>
      <c r="BC585" s="107"/>
      <c r="BD585" s="107"/>
      <c r="BE585" s="107"/>
      <c r="BF585" s="107"/>
      <c r="BG585" s="107"/>
      <c r="BH585" s="107"/>
      <c r="BI585" s="107"/>
      <c r="BJ585" s="107"/>
      <c r="BK585" s="107"/>
      <c r="BL585" s="107"/>
      <c r="BM585" s="107"/>
      <c r="BN585" s="107"/>
      <c r="BO585" s="65"/>
      <c r="BP585" s="78" t="s">
        <v>22</v>
      </c>
    </row>
    <row r="586" spans="2:68" ht="12" hidden="1" customHeight="1" outlineLevel="1">
      <c r="B586" s="76">
        <v>126</v>
      </c>
      <c r="C586" s="77" t="s">
        <v>979</v>
      </c>
      <c r="D586" s="144">
        <f t="shared" si="17"/>
        <v>0</v>
      </c>
      <c r="E586" s="144">
        <f t="shared" si="18"/>
        <v>0</v>
      </c>
      <c r="F586" s="65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  <c r="AJ586" s="107"/>
      <c r="AK586" s="107"/>
      <c r="AL586" s="107"/>
      <c r="AM586" s="107"/>
      <c r="AN586" s="107"/>
      <c r="AO586" s="107"/>
      <c r="AP586" s="107"/>
      <c r="AQ586" s="107"/>
      <c r="AR586" s="107"/>
      <c r="AS586" s="107"/>
      <c r="AT586" s="107"/>
      <c r="AU586" s="107"/>
      <c r="AV586" s="107"/>
      <c r="AW586" s="107"/>
      <c r="AX586" s="107"/>
      <c r="AY586" s="107"/>
      <c r="AZ586" s="107"/>
      <c r="BA586" s="107"/>
      <c r="BB586" s="107"/>
      <c r="BC586" s="107"/>
      <c r="BD586" s="107"/>
      <c r="BE586" s="107"/>
      <c r="BF586" s="107"/>
      <c r="BG586" s="107"/>
      <c r="BH586" s="107"/>
      <c r="BI586" s="107"/>
      <c r="BJ586" s="107"/>
      <c r="BK586" s="107"/>
      <c r="BL586" s="107"/>
      <c r="BM586" s="107"/>
      <c r="BN586" s="107"/>
      <c r="BO586" s="65"/>
      <c r="BP586" s="78" t="s">
        <v>22</v>
      </c>
    </row>
    <row r="587" spans="2:68" ht="12" hidden="1" customHeight="1" outlineLevel="1">
      <c r="B587" s="76">
        <v>127</v>
      </c>
      <c r="C587" s="77" t="s">
        <v>980</v>
      </c>
      <c r="D587" s="144">
        <f t="shared" si="17"/>
        <v>0</v>
      </c>
      <c r="E587" s="144">
        <f t="shared" si="18"/>
        <v>0</v>
      </c>
      <c r="F587" s="65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  <c r="AK587" s="107"/>
      <c r="AL587" s="107"/>
      <c r="AM587" s="107"/>
      <c r="AN587" s="107"/>
      <c r="AO587" s="107"/>
      <c r="AP587" s="107"/>
      <c r="AQ587" s="107"/>
      <c r="AR587" s="107"/>
      <c r="AS587" s="107"/>
      <c r="AT587" s="107"/>
      <c r="AU587" s="107"/>
      <c r="AV587" s="107"/>
      <c r="AW587" s="107"/>
      <c r="AX587" s="107"/>
      <c r="AY587" s="107"/>
      <c r="AZ587" s="107"/>
      <c r="BA587" s="107"/>
      <c r="BB587" s="107"/>
      <c r="BC587" s="107"/>
      <c r="BD587" s="107"/>
      <c r="BE587" s="107"/>
      <c r="BF587" s="107"/>
      <c r="BG587" s="107"/>
      <c r="BH587" s="107"/>
      <c r="BI587" s="107"/>
      <c r="BJ587" s="107"/>
      <c r="BK587" s="107"/>
      <c r="BL587" s="107"/>
      <c r="BM587" s="107"/>
      <c r="BN587" s="107"/>
      <c r="BO587" s="65"/>
      <c r="BP587" s="78" t="s">
        <v>22</v>
      </c>
    </row>
    <row r="588" spans="2:68" ht="12" hidden="1" customHeight="1" outlineLevel="1">
      <c r="B588" s="76">
        <v>128</v>
      </c>
      <c r="C588" s="77" t="s">
        <v>981</v>
      </c>
      <c r="D588" s="144">
        <f t="shared" si="17"/>
        <v>0</v>
      </c>
      <c r="E588" s="144">
        <f t="shared" si="18"/>
        <v>0</v>
      </c>
      <c r="F588" s="65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  <c r="AK588" s="107"/>
      <c r="AL588" s="107"/>
      <c r="AM588" s="107"/>
      <c r="AN588" s="107"/>
      <c r="AO588" s="107"/>
      <c r="AP588" s="107"/>
      <c r="AQ588" s="107"/>
      <c r="AR588" s="107"/>
      <c r="AS588" s="107"/>
      <c r="AT588" s="107"/>
      <c r="AU588" s="107"/>
      <c r="AV588" s="107"/>
      <c r="AW588" s="107"/>
      <c r="AX588" s="107"/>
      <c r="AY588" s="107"/>
      <c r="AZ588" s="107"/>
      <c r="BA588" s="107"/>
      <c r="BB588" s="107"/>
      <c r="BC588" s="107"/>
      <c r="BD588" s="107"/>
      <c r="BE588" s="107"/>
      <c r="BF588" s="107"/>
      <c r="BG588" s="107"/>
      <c r="BH588" s="107"/>
      <c r="BI588" s="107"/>
      <c r="BJ588" s="107"/>
      <c r="BK588" s="107"/>
      <c r="BL588" s="107"/>
      <c r="BM588" s="107"/>
      <c r="BN588" s="107"/>
      <c r="BO588" s="65"/>
      <c r="BP588" s="78" t="s">
        <v>22</v>
      </c>
    </row>
    <row r="589" spans="2:68" ht="12" hidden="1" customHeight="1" outlineLevel="1">
      <c r="B589" s="76">
        <v>129</v>
      </c>
      <c r="C589" s="77" t="s">
        <v>982</v>
      </c>
      <c r="D589" s="144">
        <f t="shared" ref="D589:D620" si="19">IFERROR(ROUNDUP(SUM(G589:BN589)/COUNTIF(G589:BN589,"&gt;0"),2),0)</f>
        <v>0</v>
      </c>
      <c r="E589" s="144">
        <f t="shared" ref="E589:E620" si="20">COUNTIF(G589:BN589,"&gt;0")</f>
        <v>0</v>
      </c>
      <c r="F589" s="65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  <c r="AJ589" s="107"/>
      <c r="AK589" s="107"/>
      <c r="AL589" s="107"/>
      <c r="AM589" s="107"/>
      <c r="AN589" s="107"/>
      <c r="AO589" s="107"/>
      <c r="AP589" s="107"/>
      <c r="AQ589" s="107"/>
      <c r="AR589" s="107"/>
      <c r="AS589" s="107"/>
      <c r="AT589" s="107"/>
      <c r="AU589" s="107"/>
      <c r="AV589" s="107"/>
      <c r="AW589" s="107"/>
      <c r="AX589" s="107"/>
      <c r="AY589" s="107"/>
      <c r="AZ589" s="107"/>
      <c r="BA589" s="107"/>
      <c r="BB589" s="107"/>
      <c r="BC589" s="107"/>
      <c r="BD589" s="107"/>
      <c r="BE589" s="107"/>
      <c r="BF589" s="107"/>
      <c r="BG589" s="107"/>
      <c r="BH589" s="107"/>
      <c r="BI589" s="107"/>
      <c r="BJ589" s="107"/>
      <c r="BK589" s="107"/>
      <c r="BL589" s="107"/>
      <c r="BM589" s="107"/>
      <c r="BN589" s="107"/>
      <c r="BO589" s="65"/>
      <c r="BP589" s="78" t="s">
        <v>22</v>
      </c>
    </row>
    <row r="590" spans="2:68" ht="12" hidden="1" customHeight="1" outlineLevel="1">
      <c r="B590" s="76">
        <v>130</v>
      </c>
      <c r="C590" s="77" t="s">
        <v>983</v>
      </c>
      <c r="D590" s="144">
        <f t="shared" si="19"/>
        <v>0</v>
      </c>
      <c r="E590" s="144">
        <f t="shared" si="20"/>
        <v>0</v>
      </c>
      <c r="F590" s="65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  <c r="AK590" s="107"/>
      <c r="AL590" s="107"/>
      <c r="AM590" s="107"/>
      <c r="AN590" s="107"/>
      <c r="AO590" s="107"/>
      <c r="AP590" s="107"/>
      <c r="AQ590" s="107"/>
      <c r="AR590" s="107"/>
      <c r="AS590" s="107"/>
      <c r="AT590" s="107"/>
      <c r="AU590" s="107"/>
      <c r="AV590" s="107"/>
      <c r="AW590" s="107"/>
      <c r="AX590" s="107"/>
      <c r="AY590" s="107"/>
      <c r="AZ590" s="107"/>
      <c r="BA590" s="107"/>
      <c r="BB590" s="107"/>
      <c r="BC590" s="107"/>
      <c r="BD590" s="107"/>
      <c r="BE590" s="107"/>
      <c r="BF590" s="107"/>
      <c r="BG590" s="107"/>
      <c r="BH590" s="107"/>
      <c r="BI590" s="107"/>
      <c r="BJ590" s="107"/>
      <c r="BK590" s="107"/>
      <c r="BL590" s="107"/>
      <c r="BM590" s="107"/>
      <c r="BN590" s="107"/>
      <c r="BO590" s="65"/>
      <c r="BP590" s="78" t="s">
        <v>22</v>
      </c>
    </row>
    <row r="591" spans="2:68" ht="12" hidden="1" customHeight="1" outlineLevel="1">
      <c r="B591" s="76">
        <v>131</v>
      </c>
      <c r="C591" s="77" t="s">
        <v>984</v>
      </c>
      <c r="D591" s="144">
        <f t="shared" si="19"/>
        <v>0</v>
      </c>
      <c r="E591" s="144">
        <f t="shared" si="20"/>
        <v>0</v>
      </c>
      <c r="F591" s="65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  <c r="AK591" s="107"/>
      <c r="AL591" s="107"/>
      <c r="AM591" s="107"/>
      <c r="AN591" s="107"/>
      <c r="AO591" s="107"/>
      <c r="AP591" s="107"/>
      <c r="AQ591" s="107"/>
      <c r="AR591" s="107"/>
      <c r="AS591" s="107"/>
      <c r="AT591" s="107"/>
      <c r="AU591" s="107"/>
      <c r="AV591" s="107"/>
      <c r="AW591" s="107"/>
      <c r="AX591" s="107"/>
      <c r="AY591" s="107"/>
      <c r="AZ591" s="107"/>
      <c r="BA591" s="107"/>
      <c r="BB591" s="107"/>
      <c r="BC591" s="107"/>
      <c r="BD591" s="107"/>
      <c r="BE591" s="107"/>
      <c r="BF591" s="107"/>
      <c r="BG591" s="107"/>
      <c r="BH591" s="107"/>
      <c r="BI591" s="107"/>
      <c r="BJ591" s="107"/>
      <c r="BK591" s="107"/>
      <c r="BL591" s="107"/>
      <c r="BM591" s="107"/>
      <c r="BN591" s="107"/>
      <c r="BO591" s="65"/>
      <c r="BP591" s="78" t="s">
        <v>22</v>
      </c>
    </row>
    <row r="592" spans="2:68" ht="12" hidden="1" customHeight="1" outlineLevel="1">
      <c r="B592" s="76">
        <v>132</v>
      </c>
      <c r="C592" s="77" t="s">
        <v>985</v>
      </c>
      <c r="D592" s="144">
        <f t="shared" si="19"/>
        <v>0</v>
      </c>
      <c r="E592" s="144">
        <f t="shared" si="20"/>
        <v>0</v>
      </c>
      <c r="F592" s="65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  <c r="AJ592" s="107"/>
      <c r="AK592" s="107"/>
      <c r="AL592" s="107"/>
      <c r="AM592" s="107"/>
      <c r="AN592" s="107"/>
      <c r="AO592" s="107"/>
      <c r="AP592" s="107"/>
      <c r="AQ592" s="107"/>
      <c r="AR592" s="107"/>
      <c r="AS592" s="107"/>
      <c r="AT592" s="107"/>
      <c r="AU592" s="107"/>
      <c r="AV592" s="107"/>
      <c r="AW592" s="107"/>
      <c r="AX592" s="107"/>
      <c r="AY592" s="107"/>
      <c r="AZ592" s="107"/>
      <c r="BA592" s="107"/>
      <c r="BB592" s="107"/>
      <c r="BC592" s="107"/>
      <c r="BD592" s="107"/>
      <c r="BE592" s="107"/>
      <c r="BF592" s="107"/>
      <c r="BG592" s="107"/>
      <c r="BH592" s="107"/>
      <c r="BI592" s="107"/>
      <c r="BJ592" s="107"/>
      <c r="BK592" s="107"/>
      <c r="BL592" s="107"/>
      <c r="BM592" s="107"/>
      <c r="BN592" s="107"/>
      <c r="BO592" s="65"/>
      <c r="BP592" s="78" t="s">
        <v>22</v>
      </c>
    </row>
    <row r="593" spans="2:68" ht="12" hidden="1" customHeight="1" outlineLevel="1">
      <c r="B593" s="76">
        <v>133</v>
      </c>
      <c r="C593" s="77" t="s">
        <v>986</v>
      </c>
      <c r="D593" s="144">
        <f t="shared" si="19"/>
        <v>0</v>
      </c>
      <c r="E593" s="144">
        <f t="shared" si="20"/>
        <v>0</v>
      </c>
      <c r="F593" s="65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  <c r="AJ593" s="107"/>
      <c r="AK593" s="107"/>
      <c r="AL593" s="107"/>
      <c r="AM593" s="107"/>
      <c r="AN593" s="107"/>
      <c r="AO593" s="107"/>
      <c r="AP593" s="107"/>
      <c r="AQ593" s="107"/>
      <c r="AR593" s="107"/>
      <c r="AS593" s="107"/>
      <c r="AT593" s="107"/>
      <c r="AU593" s="107"/>
      <c r="AV593" s="107"/>
      <c r="AW593" s="107"/>
      <c r="AX593" s="107"/>
      <c r="AY593" s="107"/>
      <c r="AZ593" s="107"/>
      <c r="BA593" s="107"/>
      <c r="BB593" s="107"/>
      <c r="BC593" s="107"/>
      <c r="BD593" s="107"/>
      <c r="BE593" s="107"/>
      <c r="BF593" s="107"/>
      <c r="BG593" s="107"/>
      <c r="BH593" s="107"/>
      <c r="BI593" s="107"/>
      <c r="BJ593" s="107"/>
      <c r="BK593" s="107"/>
      <c r="BL593" s="107"/>
      <c r="BM593" s="107"/>
      <c r="BN593" s="107"/>
      <c r="BO593" s="65"/>
      <c r="BP593" s="78" t="s">
        <v>22</v>
      </c>
    </row>
    <row r="594" spans="2:68" ht="12" hidden="1" customHeight="1" outlineLevel="1">
      <c r="B594" s="76">
        <v>134</v>
      </c>
      <c r="C594" s="77" t="s">
        <v>987</v>
      </c>
      <c r="D594" s="144">
        <f t="shared" si="19"/>
        <v>0</v>
      </c>
      <c r="E594" s="144">
        <f t="shared" si="20"/>
        <v>0</v>
      </c>
      <c r="F594" s="65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  <c r="AJ594" s="107"/>
      <c r="AK594" s="107"/>
      <c r="AL594" s="107"/>
      <c r="AM594" s="107"/>
      <c r="AN594" s="107"/>
      <c r="AO594" s="107"/>
      <c r="AP594" s="107"/>
      <c r="AQ594" s="107"/>
      <c r="AR594" s="107"/>
      <c r="AS594" s="107"/>
      <c r="AT594" s="107"/>
      <c r="AU594" s="107"/>
      <c r="AV594" s="107"/>
      <c r="AW594" s="107"/>
      <c r="AX594" s="107"/>
      <c r="AY594" s="107"/>
      <c r="AZ594" s="107"/>
      <c r="BA594" s="107"/>
      <c r="BB594" s="107"/>
      <c r="BC594" s="107"/>
      <c r="BD594" s="107"/>
      <c r="BE594" s="107"/>
      <c r="BF594" s="107"/>
      <c r="BG594" s="107"/>
      <c r="BH594" s="107"/>
      <c r="BI594" s="107"/>
      <c r="BJ594" s="107"/>
      <c r="BK594" s="107"/>
      <c r="BL594" s="107"/>
      <c r="BM594" s="107"/>
      <c r="BN594" s="107"/>
      <c r="BO594" s="65"/>
      <c r="BP594" s="78" t="s">
        <v>22</v>
      </c>
    </row>
    <row r="595" spans="2:68" ht="12" hidden="1" customHeight="1" outlineLevel="1">
      <c r="B595" s="76">
        <v>135</v>
      </c>
      <c r="C595" s="77" t="s">
        <v>988</v>
      </c>
      <c r="D595" s="144">
        <f t="shared" si="19"/>
        <v>0</v>
      </c>
      <c r="E595" s="144">
        <f t="shared" si="20"/>
        <v>0</v>
      </c>
      <c r="F595" s="65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  <c r="AJ595" s="107"/>
      <c r="AK595" s="107"/>
      <c r="AL595" s="107"/>
      <c r="AM595" s="107"/>
      <c r="AN595" s="107"/>
      <c r="AO595" s="107"/>
      <c r="AP595" s="107"/>
      <c r="AQ595" s="107"/>
      <c r="AR595" s="107"/>
      <c r="AS595" s="107"/>
      <c r="AT595" s="107"/>
      <c r="AU595" s="107"/>
      <c r="AV595" s="107"/>
      <c r="AW595" s="107"/>
      <c r="AX595" s="107"/>
      <c r="AY595" s="107"/>
      <c r="AZ595" s="107"/>
      <c r="BA595" s="107"/>
      <c r="BB595" s="107"/>
      <c r="BC595" s="107"/>
      <c r="BD595" s="107"/>
      <c r="BE595" s="107"/>
      <c r="BF595" s="107"/>
      <c r="BG595" s="107"/>
      <c r="BH595" s="107"/>
      <c r="BI595" s="107"/>
      <c r="BJ595" s="107"/>
      <c r="BK595" s="107"/>
      <c r="BL595" s="107"/>
      <c r="BM595" s="107"/>
      <c r="BN595" s="107"/>
      <c r="BO595" s="65"/>
      <c r="BP595" s="78" t="s">
        <v>22</v>
      </c>
    </row>
    <row r="596" spans="2:68" ht="12" hidden="1" customHeight="1" outlineLevel="1">
      <c r="B596" s="76">
        <v>136</v>
      </c>
      <c r="C596" s="77" t="s">
        <v>989</v>
      </c>
      <c r="D596" s="144">
        <f t="shared" si="19"/>
        <v>0</v>
      </c>
      <c r="E596" s="144">
        <f t="shared" si="20"/>
        <v>0</v>
      </c>
      <c r="F596" s="65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  <c r="AJ596" s="107"/>
      <c r="AK596" s="107"/>
      <c r="AL596" s="107"/>
      <c r="AM596" s="107"/>
      <c r="AN596" s="107"/>
      <c r="AO596" s="107"/>
      <c r="AP596" s="107"/>
      <c r="AQ596" s="107"/>
      <c r="AR596" s="107"/>
      <c r="AS596" s="107"/>
      <c r="AT596" s="107"/>
      <c r="AU596" s="107"/>
      <c r="AV596" s="107"/>
      <c r="AW596" s="107"/>
      <c r="AX596" s="107"/>
      <c r="AY596" s="107"/>
      <c r="AZ596" s="107"/>
      <c r="BA596" s="107"/>
      <c r="BB596" s="107"/>
      <c r="BC596" s="107"/>
      <c r="BD596" s="107"/>
      <c r="BE596" s="107"/>
      <c r="BF596" s="107"/>
      <c r="BG596" s="107"/>
      <c r="BH596" s="107"/>
      <c r="BI596" s="107"/>
      <c r="BJ596" s="107"/>
      <c r="BK596" s="107"/>
      <c r="BL596" s="107"/>
      <c r="BM596" s="107"/>
      <c r="BN596" s="107"/>
      <c r="BO596" s="65"/>
      <c r="BP596" s="78" t="s">
        <v>22</v>
      </c>
    </row>
    <row r="597" spans="2:68" ht="12" hidden="1" customHeight="1" outlineLevel="1">
      <c r="B597" s="76">
        <v>137</v>
      </c>
      <c r="C597" s="77" t="s">
        <v>990</v>
      </c>
      <c r="D597" s="144">
        <f t="shared" si="19"/>
        <v>0</v>
      </c>
      <c r="E597" s="144">
        <f t="shared" si="20"/>
        <v>0</v>
      </c>
      <c r="F597" s="65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  <c r="AK597" s="107"/>
      <c r="AL597" s="107"/>
      <c r="AM597" s="107"/>
      <c r="AN597" s="107"/>
      <c r="AO597" s="107"/>
      <c r="AP597" s="107"/>
      <c r="AQ597" s="107"/>
      <c r="AR597" s="107"/>
      <c r="AS597" s="107"/>
      <c r="AT597" s="107"/>
      <c r="AU597" s="107"/>
      <c r="AV597" s="107"/>
      <c r="AW597" s="107"/>
      <c r="AX597" s="107"/>
      <c r="AY597" s="107"/>
      <c r="AZ597" s="107"/>
      <c r="BA597" s="107"/>
      <c r="BB597" s="107"/>
      <c r="BC597" s="107"/>
      <c r="BD597" s="107"/>
      <c r="BE597" s="107"/>
      <c r="BF597" s="107"/>
      <c r="BG597" s="107"/>
      <c r="BH597" s="107"/>
      <c r="BI597" s="107"/>
      <c r="BJ597" s="107"/>
      <c r="BK597" s="107"/>
      <c r="BL597" s="107"/>
      <c r="BM597" s="107"/>
      <c r="BN597" s="107"/>
      <c r="BO597" s="65"/>
      <c r="BP597" s="78" t="s">
        <v>22</v>
      </c>
    </row>
    <row r="598" spans="2:68" ht="12" hidden="1" customHeight="1" outlineLevel="1">
      <c r="B598" s="76">
        <v>138</v>
      </c>
      <c r="C598" s="77" t="s">
        <v>991</v>
      </c>
      <c r="D598" s="144">
        <f t="shared" si="19"/>
        <v>0</v>
      </c>
      <c r="E598" s="144">
        <f t="shared" si="20"/>
        <v>0</v>
      </c>
      <c r="F598" s="65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  <c r="AJ598" s="107"/>
      <c r="AK598" s="107"/>
      <c r="AL598" s="107"/>
      <c r="AM598" s="107"/>
      <c r="AN598" s="107"/>
      <c r="AO598" s="107"/>
      <c r="AP598" s="107"/>
      <c r="AQ598" s="107"/>
      <c r="AR598" s="107"/>
      <c r="AS598" s="107"/>
      <c r="AT598" s="107"/>
      <c r="AU598" s="107"/>
      <c r="AV598" s="107"/>
      <c r="AW598" s="107"/>
      <c r="AX598" s="107"/>
      <c r="AY598" s="107"/>
      <c r="AZ598" s="107"/>
      <c r="BA598" s="107"/>
      <c r="BB598" s="107"/>
      <c r="BC598" s="107"/>
      <c r="BD598" s="107"/>
      <c r="BE598" s="107"/>
      <c r="BF598" s="107"/>
      <c r="BG598" s="107"/>
      <c r="BH598" s="107"/>
      <c r="BI598" s="107"/>
      <c r="BJ598" s="107"/>
      <c r="BK598" s="107"/>
      <c r="BL598" s="107"/>
      <c r="BM598" s="107"/>
      <c r="BN598" s="107"/>
      <c r="BO598" s="65"/>
      <c r="BP598" s="78" t="s">
        <v>22</v>
      </c>
    </row>
    <row r="599" spans="2:68" ht="12" hidden="1" customHeight="1" outlineLevel="1">
      <c r="B599" s="76">
        <v>139</v>
      </c>
      <c r="C599" s="77" t="s">
        <v>992</v>
      </c>
      <c r="D599" s="144">
        <f t="shared" si="19"/>
        <v>0</v>
      </c>
      <c r="E599" s="144">
        <f t="shared" si="20"/>
        <v>0</v>
      </c>
      <c r="F599" s="65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  <c r="AJ599" s="107"/>
      <c r="AK599" s="107"/>
      <c r="AL599" s="107"/>
      <c r="AM599" s="107"/>
      <c r="AN599" s="107"/>
      <c r="AO599" s="107"/>
      <c r="AP599" s="107"/>
      <c r="AQ599" s="107"/>
      <c r="AR599" s="107"/>
      <c r="AS599" s="107"/>
      <c r="AT599" s="107"/>
      <c r="AU599" s="107"/>
      <c r="AV599" s="107"/>
      <c r="AW599" s="107"/>
      <c r="AX599" s="107"/>
      <c r="AY599" s="107"/>
      <c r="AZ599" s="107"/>
      <c r="BA599" s="107"/>
      <c r="BB599" s="107"/>
      <c r="BC599" s="107"/>
      <c r="BD599" s="107"/>
      <c r="BE599" s="107"/>
      <c r="BF599" s="107"/>
      <c r="BG599" s="107"/>
      <c r="BH599" s="107"/>
      <c r="BI599" s="107"/>
      <c r="BJ599" s="107"/>
      <c r="BK599" s="107"/>
      <c r="BL599" s="107"/>
      <c r="BM599" s="107"/>
      <c r="BN599" s="107"/>
      <c r="BO599" s="65"/>
      <c r="BP599" s="78" t="s">
        <v>22</v>
      </c>
    </row>
    <row r="600" spans="2:68" ht="12" hidden="1" customHeight="1" outlineLevel="1">
      <c r="B600" s="76">
        <v>140</v>
      </c>
      <c r="C600" s="77" t="s">
        <v>993</v>
      </c>
      <c r="D600" s="144">
        <f t="shared" si="19"/>
        <v>0</v>
      </c>
      <c r="E600" s="144">
        <f t="shared" si="20"/>
        <v>0</v>
      </c>
      <c r="F600" s="65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7"/>
      <c r="AM600" s="107"/>
      <c r="AN600" s="107"/>
      <c r="AO600" s="107"/>
      <c r="AP600" s="107"/>
      <c r="AQ600" s="107"/>
      <c r="AR600" s="107"/>
      <c r="AS600" s="107"/>
      <c r="AT600" s="107"/>
      <c r="AU600" s="107"/>
      <c r="AV600" s="107"/>
      <c r="AW600" s="107"/>
      <c r="AX600" s="107"/>
      <c r="AY600" s="107"/>
      <c r="AZ600" s="107"/>
      <c r="BA600" s="107"/>
      <c r="BB600" s="107"/>
      <c r="BC600" s="107"/>
      <c r="BD600" s="107"/>
      <c r="BE600" s="107"/>
      <c r="BF600" s="107"/>
      <c r="BG600" s="107"/>
      <c r="BH600" s="107"/>
      <c r="BI600" s="107"/>
      <c r="BJ600" s="107"/>
      <c r="BK600" s="107"/>
      <c r="BL600" s="107"/>
      <c r="BM600" s="107"/>
      <c r="BN600" s="107"/>
      <c r="BO600" s="65"/>
      <c r="BP600" s="78" t="s">
        <v>22</v>
      </c>
    </row>
    <row r="601" spans="2:68" ht="12" hidden="1" customHeight="1" outlineLevel="1">
      <c r="B601" s="76">
        <v>141</v>
      </c>
      <c r="C601" s="77" t="s">
        <v>994</v>
      </c>
      <c r="D601" s="144">
        <f t="shared" si="19"/>
        <v>0</v>
      </c>
      <c r="E601" s="144">
        <f t="shared" si="20"/>
        <v>0</v>
      </c>
      <c r="F601" s="65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  <c r="AK601" s="107"/>
      <c r="AL601" s="107"/>
      <c r="AM601" s="107"/>
      <c r="AN601" s="107"/>
      <c r="AO601" s="107"/>
      <c r="AP601" s="107"/>
      <c r="AQ601" s="107"/>
      <c r="AR601" s="107"/>
      <c r="AS601" s="107"/>
      <c r="AT601" s="107"/>
      <c r="AU601" s="107"/>
      <c r="AV601" s="107"/>
      <c r="AW601" s="107"/>
      <c r="AX601" s="107"/>
      <c r="AY601" s="107"/>
      <c r="AZ601" s="107"/>
      <c r="BA601" s="107"/>
      <c r="BB601" s="107"/>
      <c r="BC601" s="107"/>
      <c r="BD601" s="107"/>
      <c r="BE601" s="107"/>
      <c r="BF601" s="107"/>
      <c r="BG601" s="107"/>
      <c r="BH601" s="107"/>
      <c r="BI601" s="107"/>
      <c r="BJ601" s="107"/>
      <c r="BK601" s="107"/>
      <c r="BL601" s="107"/>
      <c r="BM601" s="107"/>
      <c r="BN601" s="107"/>
      <c r="BO601" s="65"/>
      <c r="BP601" s="78" t="s">
        <v>22</v>
      </c>
    </row>
    <row r="602" spans="2:68" ht="12" hidden="1" customHeight="1" outlineLevel="1">
      <c r="B602" s="76">
        <v>142</v>
      </c>
      <c r="C602" s="77" t="s">
        <v>995</v>
      </c>
      <c r="D602" s="144">
        <f t="shared" si="19"/>
        <v>0</v>
      </c>
      <c r="E602" s="144">
        <f t="shared" si="20"/>
        <v>0</v>
      </c>
      <c r="F602" s="65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  <c r="AK602" s="107"/>
      <c r="AL602" s="107"/>
      <c r="AM602" s="107"/>
      <c r="AN602" s="107"/>
      <c r="AO602" s="107"/>
      <c r="AP602" s="107"/>
      <c r="AQ602" s="107"/>
      <c r="AR602" s="107"/>
      <c r="AS602" s="107"/>
      <c r="AT602" s="107"/>
      <c r="AU602" s="107"/>
      <c r="AV602" s="107"/>
      <c r="AW602" s="107"/>
      <c r="AX602" s="107"/>
      <c r="AY602" s="107"/>
      <c r="AZ602" s="107"/>
      <c r="BA602" s="107"/>
      <c r="BB602" s="107"/>
      <c r="BC602" s="107"/>
      <c r="BD602" s="107"/>
      <c r="BE602" s="107"/>
      <c r="BF602" s="107"/>
      <c r="BG602" s="107"/>
      <c r="BH602" s="107"/>
      <c r="BI602" s="107"/>
      <c r="BJ602" s="107"/>
      <c r="BK602" s="107"/>
      <c r="BL602" s="107"/>
      <c r="BM602" s="107"/>
      <c r="BN602" s="107"/>
      <c r="BO602" s="65"/>
      <c r="BP602" s="78" t="s">
        <v>22</v>
      </c>
    </row>
    <row r="603" spans="2:68" ht="12" hidden="1" customHeight="1" outlineLevel="1">
      <c r="B603" s="76">
        <v>143</v>
      </c>
      <c r="C603" s="77" t="s">
        <v>996</v>
      </c>
      <c r="D603" s="144">
        <f t="shared" si="19"/>
        <v>0</v>
      </c>
      <c r="E603" s="144">
        <f t="shared" si="20"/>
        <v>0</v>
      </c>
      <c r="F603" s="65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  <c r="AZ603" s="107"/>
      <c r="BA603" s="107"/>
      <c r="BB603" s="107"/>
      <c r="BC603" s="107"/>
      <c r="BD603" s="107"/>
      <c r="BE603" s="107"/>
      <c r="BF603" s="107"/>
      <c r="BG603" s="107"/>
      <c r="BH603" s="107"/>
      <c r="BI603" s="107"/>
      <c r="BJ603" s="107"/>
      <c r="BK603" s="107"/>
      <c r="BL603" s="107"/>
      <c r="BM603" s="107"/>
      <c r="BN603" s="107"/>
      <c r="BO603" s="65"/>
      <c r="BP603" s="78" t="s">
        <v>22</v>
      </c>
    </row>
    <row r="604" spans="2:68" ht="12" hidden="1" customHeight="1" outlineLevel="1">
      <c r="B604" s="76">
        <v>144</v>
      </c>
      <c r="C604" s="77" t="s">
        <v>997</v>
      </c>
      <c r="D604" s="144">
        <f t="shared" si="19"/>
        <v>0</v>
      </c>
      <c r="E604" s="144">
        <f t="shared" si="20"/>
        <v>0</v>
      </c>
      <c r="F604" s="65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  <c r="AJ604" s="107"/>
      <c r="AK604" s="107"/>
      <c r="AL604" s="107"/>
      <c r="AM604" s="107"/>
      <c r="AN604" s="107"/>
      <c r="AO604" s="107"/>
      <c r="AP604" s="107"/>
      <c r="AQ604" s="107"/>
      <c r="AR604" s="107"/>
      <c r="AS604" s="107"/>
      <c r="AT604" s="107"/>
      <c r="AU604" s="107"/>
      <c r="AV604" s="107"/>
      <c r="AW604" s="107"/>
      <c r="AX604" s="107"/>
      <c r="AY604" s="107"/>
      <c r="AZ604" s="107"/>
      <c r="BA604" s="107"/>
      <c r="BB604" s="107"/>
      <c r="BC604" s="107"/>
      <c r="BD604" s="107"/>
      <c r="BE604" s="107"/>
      <c r="BF604" s="107"/>
      <c r="BG604" s="107"/>
      <c r="BH604" s="107"/>
      <c r="BI604" s="107"/>
      <c r="BJ604" s="107"/>
      <c r="BK604" s="107"/>
      <c r="BL604" s="107"/>
      <c r="BM604" s="107"/>
      <c r="BN604" s="107"/>
      <c r="BO604" s="65"/>
      <c r="BP604" s="78" t="s">
        <v>22</v>
      </c>
    </row>
    <row r="605" spans="2:68" ht="12" hidden="1" customHeight="1" outlineLevel="1">
      <c r="B605" s="76">
        <v>145</v>
      </c>
      <c r="C605" s="77" t="s">
        <v>998</v>
      </c>
      <c r="D605" s="144">
        <f t="shared" si="19"/>
        <v>0</v>
      </c>
      <c r="E605" s="144">
        <f t="shared" si="20"/>
        <v>0</v>
      </c>
      <c r="F605" s="65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  <c r="AK605" s="107"/>
      <c r="AL605" s="107"/>
      <c r="AM605" s="107"/>
      <c r="AN605" s="107"/>
      <c r="AO605" s="107"/>
      <c r="AP605" s="107"/>
      <c r="AQ605" s="107"/>
      <c r="AR605" s="107"/>
      <c r="AS605" s="107"/>
      <c r="AT605" s="107"/>
      <c r="AU605" s="107"/>
      <c r="AV605" s="107"/>
      <c r="AW605" s="107"/>
      <c r="AX605" s="107"/>
      <c r="AY605" s="107"/>
      <c r="AZ605" s="107"/>
      <c r="BA605" s="107"/>
      <c r="BB605" s="107"/>
      <c r="BC605" s="107"/>
      <c r="BD605" s="107"/>
      <c r="BE605" s="107"/>
      <c r="BF605" s="107"/>
      <c r="BG605" s="107"/>
      <c r="BH605" s="107"/>
      <c r="BI605" s="107"/>
      <c r="BJ605" s="107"/>
      <c r="BK605" s="107"/>
      <c r="BL605" s="107"/>
      <c r="BM605" s="107"/>
      <c r="BN605" s="107"/>
      <c r="BO605" s="65"/>
      <c r="BP605" s="78" t="s">
        <v>22</v>
      </c>
    </row>
    <row r="606" spans="2:68" ht="12" hidden="1" customHeight="1" outlineLevel="1">
      <c r="B606" s="76">
        <v>146</v>
      </c>
      <c r="C606" s="77" t="s">
        <v>999</v>
      </c>
      <c r="D606" s="144">
        <f t="shared" si="19"/>
        <v>0</v>
      </c>
      <c r="E606" s="144">
        <f t="shared" si="20"/>
        <v>0</v>
      </c>
      <c r="F606" s="65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  <c r="AJ606" s="107"/>
      <c r="AK606" s="107"/>
      <c r="AL606" s="107"/>
      <c r="AM606" s="107"/>
      <c r="AN606" s="107"/>
      <c r="AO606" s="107"/>
      <c r="AP606" s="107"/>
      <c r="AQ606" s="107"/>
      <c r="AR606" s="107"/>
      <c r="AS606" s="107"/>
      <c r="AT606" s="107"/>
      <c r="AU606" s="107"/>
      <c r="AV606" s="107"/>
      <c r="AW606" s="107"/>
      <c r="AX606" s="107"/>
      <c r="AY606" s="107"/>
      <c r="AZ606" s="107"/>
      <c r="BA606" s="107"/>
      <c r="BB606" s="107"/>
      <c r="BC606" s="107"/>
      <c r="BD606" s="107"/>
      <c r="BE606" s="107"/>
      <c r="BF606" s="107"/>
      <c r="BG606" s="107"/>
      <c r="BH606" s="107"/>
      <c r="BI606" s="107"/>
      <c r="BJ606" s="107"/>
      <c r="BK606" s="107"/>
      <c r="BL606" s="107"/>
      <c r="BM606" s="107"/>
      <c r="BN606" s="107"/>
      <c r="BO606" s="65"/>
      <c r="BP606" s="78" t="s">
        <v>22</v>
      </c>
    </row>
    <row r="607" spans="2:68" ht="12" hidden="1" customHeight="1" outlineLevel="1">
      <c r="B607" s="76">
        <v>147</v>
      </c>
      <c r="C607" s="77" t="s">
        <v>1000</v>
      </c>
      <c r="D607" s="144">
        <f t="shared" si="19"/>
        <v>0</v>
      </c>
      <c r="E607" s="144">
        <f t="shared" si="20"/>
        <v>0</v>
      </c>
      <c r="F607" s="65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  <c r="AK607" s="107"/>
      <c r="AL607" s="107"/>
      <c r="AM607" s="107"/>
      <c r="AN607" s="107"/>
      <c r="AO607" s="107"/>
      <c r="AP607" s="107"/>
      <c r="AQ607" s="107"/>
      <c r="AR607" s="107"/>
      <c r="AS607" s="107"/>
      <c r="AT607" s="107"/>
      <c r="AU607" s="107"/>
      <c r="AV607" s="107"/>
      <c r="AW607" s="107"/>
      <c r="AX607" s="107"/>
      <c r="AY607" s="107"/>
      <c r="AZ607" s="107"/>
      <c r="BA607" s="107"/>
      <c r="BB607" s="107"/>
      <c r="BC607" s="107"/>
      <c r="BD607" s="107"/>
      <c r="BE607" s="107"/>
      <c r="BF607" s="107"/>
      <c r="BG607" s="107"/>
      <c r="BH607" s="107"/>
      <c r="BI607" s="107"/>
      <c r="BJ607" s="107"/>
      <c r="BK607" s="107"/>
      <c r="BL607" s="107"/>
      <c r="BM607" s="107"/>
      <c r="BN607" s="107"/>
      <c r="BO607" s="65"/>
      <c r="BP607" s="78" t="s">
        <v>22</v>
      </c>
    </row>
    <row r="608" spans="2:68" ht="12" hidden="1" customHeight="1" outlineLevel="1">
      <c r="B608" s="76">
        <v>148</v>
      </c>
      <c r="C608" s="77" t="s">
        <v>1001</v>
      </c>
      <c r="D608" s="144">
        <f t="shared" si="19"/>
        <v>0</v>
      </c>
      <c r="E608" s="144">
        <f t="shared" si="20"/>
        <v>0</v>
      </c>
      <c r="F608" s="65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  <c r="AK608" s="107"/>
      <c r="AL608" s="107"/>
      <c r="AM608" s="107"/>
      <c r="AN608" s="107"/>
      <c r="AO608" s="107"/>
      <c r="AP608" s="107"/>
      <c r="AQ608" s="107"/>
      <c r="AR608" s="107"/>
      <c r="AS608" s="107"/>
      <c r="AT608" s="107"/>
      <c r="AU608" s="107"/>
      <c r="AV608" s="107"/>
      <c r="AW608" s="107"/>
      <c r="AX608" s="107"/>
      <c r="AY608" s="107"/>
      <c r="AZ608" s="107"/>
      <c r="BA608" s="107"/>
      <c r="BB608" s="107"/>
      <c r="BC608" s="107"/>
      <c r="BD608" s="107"/>
      <c r="BE608" s="107"/>
      <c r="BF608" s="107"/>
      <c r="BG608" s="107"/>
      <c r="BH608" s="107"/>
      <c r="BI608" s="107"/>
      <c r="BJ608" s="107"/>
      <c r="BK608" s="107"/>
      <c r="BL608" s="107"/>
      <c r="BM608" s="107"/>
      <c r="BN608" s="107"/>
      <c r="BO608" s="65"/>
      <c r="BP608" s="78" t="s">
        <v>22</v>
      </c>
    </row>
    <row r="609" spans="2:68" ht="12" hidden="1" customHeight="1" outlineLevel="1">
      <c r="B609" s="76">
        <v>149</v>
      </c>
      <c r="C609" s="77" t="s">
        <v>1002</v>
      </c>
      <c r="D609" s="144">
        <f t="shared" si="19"/>
        <v>0</v>
      </c>
      <c r="E609" s="144">
        <f t="shared" si="20"/>
        <v>0</v>
      </c>
      <c r="F609" s="65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  <c r="AK609" s="107"/>
      <c r="AL609" s="107"/>
      <c r="AM609" s="107"/>
      <c r="AN609" s="107"/>
      <c r="AO609" s="107"/>
      <c r="AP609" s="107"/>
      <c r="AQ609" s="107"/>
      <c r="AR609" s="107"/>
      <c r="AS609" s="107"/>
      <c r="AT609" s="107"/>
      <c r="AU609" s="107"/>
      <c r="AV609" s="107"/>
      <c r="AW609" s="107"/>
      <c r="AX609" s="107"/>
      <c r="AY609" s="107"/>
      <c r="AZ609" s="107"/>
      <c r="BA609" s="107"/>
      <c r="BB609" s="107"/>
      <c r="BC609" s="107"/>
      <c r="BD609" s="107"/>
      <c r="BE609" s="107"/>
      <c r="BF609" s="107"/>
      <c r="BG609" s="107"/>
      <c r="BH609" s="107"/>
      <c r="BI609" s="107"/>
      <c r="BJ609" s="107"/>
      <c r="BK609" s="107"/>
      <c r="BL609" s="107"/>
      <c r="BM609" s="107"/>
      <c r="BN609" s="107"/>
      <c r="BO609" s="65"/>
      <c r="BP609" s="78" t="s">
        <v>22</v>
      </c>
    </row>
    <row r="610" spans="2:68" ht="12" hidden="1" customHeight="1" outlineLevel="1">
      <c r="B610" s="76">
        <v>150</v>
      </c>
      <c r="C610" s="77"/>
      <c r="D610" s="144">
        <f t="shared" si="19"/>
        <v>0</v>
      </c>
      <c r="E610" s="144">
        <f t="shared" si="20"/>
        <v>0</v>
      </c>
      <c r="F610" s="65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  <c r="AJ610" s="107"/>
      <c r="AK610" s="107"/>
      <c r="AL610" s="107"/>
      <c r="AM610" s="107"/>
      <c r="AN610" s="107"/>
      <c r="AO610" s="107"/>
      <c r="AP610" s="107"/>
      <c r="AQ610" s="107"/>
      <c r="AR610" s="107"/>
      <c r="AS610" s="107"/>
      <c r="AT610" s="107"/>
      <c r="AU610" s="107"/>
      <c r="AV610" s="107"/>
      <c r="AW610" s="107"/>
      <c r="AX610" s="107"/>
      <c r="AY610" s="107"/>
      <c r="AZ610" s="107"/>
      <c r="BA610" s="107"/>
      <c r="BB610" s="107"/>
      <c r="BC610" s="107"/>
      <c r="BD610" s="107"/>
      <c r="BE610" s="107"/>
      <c r="BF610" s="107"/>
      <c r="BG610" s="107"/>
      <c r="BH610" s="107"/>
      <c r="BI610" s="107"/>
      <c r="BJ610" s="107"/>
      <c r="BK610" s="107"/>
      <c r="BL610" s="107"/>
      <c r="BM610" s="107"/>
      <c r="BN610" s="107"/>
      <c r="BO610" s="65"/>
      <c r="BP610" s="78"/>
    </row>
    <row r="611" spans="2:68" ht="12" hidden="1" customHeight="1" outlineLevel="1">
      <c r="B611" s="76">
        <v>151</v>
      </c>
      <c r="C611" s="77"/>
      <c r="D611" s="144">
        <f t="shared" si="19"/>
        <v>0</v>
      </c>
      <c r="E611" s="144">
        <f t="shared" si="20"/>
        <v>0</v>
      </c>
      <c r="F611" s="65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  <c r="AK611" s="107"/>
      <c r="AL611" s="107"/>
      <c r="AM611" s="107"/>
      <c r="AN611" s="107"/>
      <c r="AO611" s="107"/>
      <c r="AP611" s="107"/>
      <c r="AQ611" s="107"/>
      <c r="AR611" s="107"/>
      <c r="AS611" s="107"/>
      <c r="AT611" s="107"/>
      <c r="AU611" s="107"/>
      <c r="AV611" s="107"/>
      <c r="AW611" s="107"/>
      <c r="AX611" s="107"/>
      <c r="AY611" s="107"/>
      <c r="AZ611" s="107"/>
      <c r="BA611" s="107"/>
      <c r="BB611" s="107"/>
      <c r="BC611" s="107"/>
      <c r="BD611" s="107"/>
      <c r="BE611" s="107"/>
      <c r="BF611" s="107"/>
      <c r="BG611" s="107"/>
      <c r="BH611" s="107"/>
      <c r="BI611" s="107"/>
      <c r="BJ611" s="107"/>
      <c r="BK611" s="107"/>
      <c r="BL611" s="107"/>
      <c r="BM611" s="107"/>
      <c r="BN611" s="107"/>
      <c r="BO611" s="65"/>
      <c r="BP611" s="78"/>
    </row>
    <row r="612" spans="2:68" ht="12" hidden="1" customHeight="1" outlineLevel="1">
      <c r="B612" s="76">
        <v>152</v>
      </c>
      <c r="C612" s="77"/>
      <c r="D612" s="144">
        <f t="shared" si="19"/>
        <v>0</v>
      </c>
      <c r="E612" s="144">
        <f t="shared" si="20"/>
        <v>0</v>
      </c>
      <c r="F612" s="65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  <c r="AJ612" s="107"/>
      <c r="AK612" s="107"/>
      <c r="AL612" s="107"/>
      <c r="AM612" s="107"/>
      <c r="AN612" s="107"/>
      <c r="AO612" s="107"/>
      <c r="AP612" s="107"/>
      <c r="AQ612" s="107"/>
      <c r="AR612" s="107"/>
      <c r="AS612" s="107"/>
      <c r="AT612" s="107"/>
      <c r="AU612" s="107"/>
      <c r="AV612" s="107"/>
      <c r="AW612" s="107"/>
      <c r="AX612" s="107"/>
      <c r="AY612" s="107"/>
      <c r="AZ612" s="107"/>
      <c r="BA612" s="107"/>
      <c r="BB612" s="107"/>
      <c r="BC612" s="107"/>
      <c r="BD612" s="107"/>
      <c r="BE612" s="107"/>
      <c r="BF612" s="107"/>
      <c r="BG612" s="107"/>
      <c r="BH612" s="107"/>
      <c r="BI612" s="107"/>
      <c r="BJ612" s="107"/>
      <c r="BK612" s="107"/>
      <c r="BL612" s="107"/>
      <c r="BM612" s="107"/>
      <c r="BN612" s="107"/>
      <c r="BO612" s="65"/>
      <c r="BP612" s="78"/>
    </row>
    <row r="613" spans="2:68" ht="12" hidden="1" customHeight="1" outlineLevel="1">
      <c r="B613" s="76">
        <v>153</v>
      </c>
      <c r="C613" s="77"/>
      <c r="D613" s="144">
        <f t="shared" si="19"/>
        <v>0</v>
      </c>
      <c r="E613" s="144">
        <f t="shared" si="20"/>
        <v>0</v>
      </c>
      <c r="F613" s="65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  <c r="AJ613" s="107"/>
      <c r="AK613" s="107"/>
      <c r="AL613" s="107"/>
      <c r="AM613" s="107"/>
      <c r="AN613" s="107"/>
      <c r="AO613" s="107"/>
      <c r="AP613" s="107"/>
      <c r="AQ613" s="107"/>
      <c r="AR613" s="107"/>
      <c r="AS613" s="107"/>
      <c r="AT613" s="107"/>
      <c r="AU613" s="107"/>
      <c r="AV613" s="107"/>
      <c r="AW613" s="107"/>
      <c r="AX613" s="107"/>
      <c r="AY613" s="107"/>
      <c r="AZ613" s="107"/>
      <c r="BA613" s="107"/>
      <c r="BB613" s="107"/>
      <c r="BC613" s="107"/>
      <c r="BD613" s="107"/>
      <c r="BE613" s="107"/>
      <c r="BF613" s="107"/>
      <c r="BG613" s="107"/>
      <c r="BH613" s="107"/>
      <c r="BI613" s="107"/>
      <c r="BJ613" s="107"/>
      <c r="BK613" s="107"/>
      <c r="BL613" s="107"/>
      <c r="BM613" s="107"/>
      <c r="BN613" s="107"/>
      <c r="BO613" s="65"/>
      <c r="BP613" s="78"/>
    </row>
    <row r="614" spans="2:68" ht="12" hidden="1" customHeight="1" outlineLevel="1">
      <c r="B614" s="76">
        <v>154</v>
      </c>
      <c r="C614" s="77"/>
      <c r="D614" s="144">
        <f t="shared" si="19"/>
        <v>0</v>
      </c>
      <c r="E614" s="144">
        <f t="shared" si="20"/>
        <v>0</v>
      </c>
      <c r="F614" s="65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  <c r="AK614" s="107"/>
      <c r="AL614" s="107"/>
      <c r="AM614" s="107"/>
      <c r="AN614" s="107"/>
      <c r="AO614" s="107"/>
      <c r="AP614" s="107"/>
      <c r="AQ614" s="107"/>
      <c r="AR614" s="107"/>
      <c r="AS614" s="107"/>
      <c r="AT614" s="107"/>
      <c r="AU614" s="107"/>
      <c r="AV614" s="107"/>
      <c r="AW614" s="107"/>
      <c r="AX614" s="107"/>
      <c r="AY614" s="107"/>
      <c r="AZ614" s="107"/>
      <c r="BA614" s="107"/>
      <c r="BB614" s="107"/>
      <c r="BC614" s="107"/>
      <c r="BD614" s="107"/>
      <c r="BE614" s="107"/>
      <c r="BF614" s="107"/>
      <c r="BG614" s="107"/>
      <c r="BH614" s="107"/>
      <c r="BI614" s="107"/>
      <c r="BJ614" s="107"/>
      <c r="BK614" s="107"/>
      <c r="BL614" s="107"/>
      <c r="BM614" s="107"/>
      <c r="BN614" s="107"/>
      <c r="BO614" s="65"/>
      <c r="BP614" s="78"/>
    </row>
    <row r="615" spans="2:68" ht="12" hidden="1" customHeight="1" outlineLevel="1">
      <c r="B615" s="76">
        <v>155</v>
      </c>
      <c r="C615" s="77"/>
      <c r="D615" s="144">
        <f t="shared" si="19"/>
        <v>0</v>
      </c>
      <c r="E615" s="144">
        <f t="shared" si="20"/>
        <v>0</v>
      </c>
      <c r="F615" s="65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  <c r="AJ615" s="107"/>
      <c r="AK615" s="107"/>
      <c r="AL615" s="107"/>
      <c r="AM615" s="107"/>
      <c r="AN615" s="107"/>
      <c r="AO615" s="107"/>
      <c r="AP615" s="107"/>
      <c r="AQ615" s="107"/>
      <c r="AR615" s="107"/>
      <c r="AS615" s="107"/>
      <c r="AT615" s="107"/>
      <c r="AU615" s="107"/>
      <c r="AV615" s="107"/>
      <c r="AW615" s="107"/>
      <c r="AX615" s="107"/>
      <c r="AY615" s="107"/>
      <c r="AZ615" s="107"/>
      <c r="BA615" s="107"/>
      <c r="BB615" s="107"/>
      <c r="BC615" s="107"/>
      <c r="BD615" s="107"/>
      <c r="BE615" s="107"/>
      <c r="BF615" s="107"/>
      <c r="BG615" s="107"/>
      <c r="BH615" s="107"/>
      <c r="BI615" s="107"/>
      <c r="BJ615" s="107"/>
      <c r="BK615" s="107"/>
      <c r="BL615" s="107"/>
      <c r="BM615" s="107"/>
      <c r="BN615" s="107"/>
      <c r="BO615" s="65"/>
      <c r="BP615" s="78"/>
    </row>
    <row r="616" spans="2:68" ht="12" hidden="1" customHeight="1" outlineLevel="1">
      <c r="B616" s="76">
        <v>156</v>
      </c>
      <c r="C616" s="77"/>
      <c r="D616" s="144">
        <f t="shared" si="19"/>
        <v>0</v>
      </c>
      <c r="E616" s="144">
        <f t="shared" si="20"/>
        <v>0</v>
      </c>
      <c r="F616" s="65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  <c r="AK616" s="107"/>
      <c r="AL616" s="107"/>
      <c r="AM616" s="107"/>
      <c r="AN616" s="107"/>
      <c r="AO616" s="107"/>
      <c r="AP616" s="107"/>
      <c r="AQ616" s="107"/>
      <c r="AR616" s="107"/>
      <c r="AS616" s="107"/>
      <c r="AT616" s="107"/>
      <c r="AU616" s="107"/>
      <c r="AV616" s="107"/>
      <c r="AW616" s="107"/>
      <c r="AX616" s="107"/>
      <c r="AY616" s="107"/>
      <c r="AZ616" s="107"/>
      <c r="BA616" s="107"/>
      <c r="BB616" s="107"/>
      <c r="BC616" s="107"/>
      <c r="BD616" s="107"/>
      <c r="BE616" s="107"/>
      <c r="BF616" s="107"/>
      <c r="BG616" s="107"/>
      <c r="BH616" s="107"/>
      <c r="BI616" s="107"/>
      <c r="BJ616" s="107"/>
      <c r="BK616" s="107"/>
      <c r="BL616" s="107"/>
      <c r="BM616" s="107"/>
      <c r="BN616" s="107"/>
      <c r="BO616" s="65"/>
      <c r="BP616" s="78"/>
    </row>
    <row r="617" spans="2:68" ht="12" hidden="1" customHeight="1" outlineLevel="1">
      <c r="B617" s="76">
        <v>157</v>
      </c>
      <c r="C617" s="77"/>
      <c r="D617" s="144">
        <f t="shared" si="19"/>
        <v>0</v>
      </c>
      <c r="E617" s="144">
        <f t="shared" si="20"/>
        <v>0</v>
      </c>
      <c r="F617" s="65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  <c r="AK617" s="107"/>
      <c r="AL617" s="107"/>
      <c r="AM617" s="107"/>
      <c r="AN617" s="107"/>
      <c r="AO617" s="107"/>
      <c r="AP617" s="107"/>
      <c r="AQ617" s="107"/>
      <c r="AR617" s="107"/>
      <c r="AS617" s="107"/>
      <c r="AT617" s="107"/>
      <c r="AU617" s="107"/>
      <c r="AV617" s="107"/>
      <c r="AW617" s="107"/>
      <c r="AX617" s="107"/>
      <c r="AY617" s="107"/>
      <c r="AZ617" s="107"/>
      <c r="BA617" s="107"/>
      <c r="BB617" s="107"/>
      <c r="BC617" s="107"/>
      <c r="BD617" s="107"/>
      <c r="BE617" s="107"/>
      <c r="BF617" s="107"/>
      <c r="BG617" s="107"/>
      <c r="BH617" s="107"/>
      <c r="BI617" s="107"/>
      <c r="BJ617" s="107"/>
      <c r="BK617" s="107"/>
      <c r="BL617" s="107"/>
      <c r="BM617" s="107"/>
      <c r="BN617" s="107"/>
      <c r="BO617" s="65"/>
      <c r="BP617" s="78"/>
    </row>
    <row r="618" spans="2:68" ht="12" hidden="1" customHeight="1" outlineLevel="1">
      <c r="B618" s="76">
        <v>158</v>
      </c>
      <c r="C618" s="77"/>
      <c r="D618" s="144">
        <f t="shared" si="19"/>
        <v>0</v>
      </c>
      <c r="E618" s="144">
        <f t="shared" si="20"/>
        <v>0</v>
      </c>
      <c r="F618" s="65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  <c r="AJ618" s="107"/>
      <c r="AK618" s="107"/>
      <c r="AL618" s="107"/>
      <c r="AM618" s="107"/>
      <c r="AN618" s="107"/>
      <c r="AO618" s="107"/>
      <c r="AP618" s="107"/>
      <c r="AQ618" s="107"/>
      <c r="AR618" s="107"/>
      <c r="AS618" s="107"/>
      <c r="AT618" s="107"/>
      <c r="AU618" s="107"/>
      <c r="AV618" s="107"/>
      <c r="AW618" s="107"/>
      <c r="AX618" s="107"/>
      <c r="AY618" s="107"/>
      <c r="AZ618" s="107"/>
      <c r="BA618" s="107"/>
      <c r="BB618" s="107"/>
      <c r="BC618" s="107"/>
      <c r="BD618" s="107"/>
      <c r="BE618" s="107"/>
      <c r="BF618" s="107"/>
      <c r="BG618" s="107"/>
      <c r="BH618" s="107"/>
      <c r="BI618" s="107"/>
      <c r="BJ618" s="107"/>
      <c r="BK618" s="107"/>
      <c r="BL618" s="107"/>
      <c r="BM618" s="107"/>
      <c r="BN618" s="107"/>
      <c r="BO618" s="65"/>
      <c r="BP618" s="78"/>
    </row>
    <row r="619" spans="2:68" ht="12" hidden="1" customHeight="1" outlineLevel="1">
      <c r="B619" s="76">
        <v>159</v>
      </c>
      <c r="C619" s="77"/>
      <c r="D619" s="144">
        <f t="shared" si="19"/>
        <v>0</v>
      </c>
      <c r="E619" s="144">
        <f t="shared" si="20"/>
        <v>0</v>
      </c>
      <c r="F619" s="65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  <c r="AK619" s="107"/>
      <c r="AL619" s="107"/>
      <c r="AM619" s="107"/>
      <c r="AN619" s="107"/>
      <c r="AO619" s="107"/>
      <c r="AP619" s="107"/>
      <c r="AQ619" s="107"/>
      <c r="AR619" s="107"/>
      <c r="AS619" s="107"/>
      <c r="AT619" s="107"/>
      <c r="AU619" s="107"/>
      <c r="AV619" s="107"/>
      <c r="AW619" s="107"/>
      <c r="AX619" s="107"/>
      <c r="AY619" s="107"/>
      <c r="AZ619" s="107"/>
      <c r="BA619" s="107"/>
      <c r="BB619" s="107"/>
      <c r="BC619" s="107"/>
      <c r="BD619" s="107"/>
      <c r="BE619" s="107"/>
      <c r="BF619" s="107"/>
      <c r="BG619" s="107"/>
      <c r="BH619" s="107"/>
      <c r="BI619" s="107"/>
      <c r="BJ619" s="107"/>
      <c r="BK619" s="107"/>
      <c r="BL619" s="107"/>
      <c r="BM619" s="107"/>
      <c r="BN619" s="107"/>
      <c r="BO619" s="65"/>
      <c r="BP619" s="78"/>
    </row>
    <row r="620" spans="2:68" ht="12" hidden="1" customHeight="1" outlineLevel="1">
      <c r="B620" s="76">
        <v>160</v>
      </c>
      <c r="C620" s="77"/>
      <c r="D620" s="144">
        <f t="shared" si="19"/>
        <v>0</v>
      </c>
      <c r="E620" s="144">
        <f t="shared" si="20"/>
        <v>0</v>
      </c>
      <c r="F620" s="65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  <c r="AJ620" s="107"/>
      <c r="AK620" s="107"/>
      <c r="AL620" s="107"/>
      <c r="AM620" s="107"/>
      <c r="AN620" s="107"/>
      <c r="AO620" s="107"/>
      <c r="AP620" s="107"/>
      <c r="AQ620" s="107"/>
      <c r="AR620" s="107"/>
      <c r="AS620" s="107"/>
      <c r="AT620" s="107"/>
      <c r="AU620" s="107"/>
      <c r="AV620" s="107"/>
      <c r="AW620" s="107"/>
      <c r="AX620" s="107"/>
      <c r="AY620" s="107"/>
      <c r="AZ620" s="107"/>
      <c r="BA620" s="107"/>
      <c r="BB620" s="107"/>
      <c r="BC620" s="107"/>
      <c r="BD620" s="107"/>
      <c r="BE620" s="107"/>
      <c r="BF620" s="107"/>
      <c r="BG620" s="107"/>
      <c r="BH620" s="107"/>
      <c r="BI620" s="107"/>
      <c r="BJ620" s="107"/>
      <c r="BK620" s="107"/>
      <c r="BL620" s="107"/>
      <c r="BM620" s="107"/>
      <c r="BN620" s="107"/>
      <c r="BO620" s="65"/>
      <c r="BP620" s="78"/>
    </row>
    <row r="621" spans="2:68" ht="12" hidden="1" customHeight="1" outlineLevel="1">
      <c r="B621" s="76">
        <v>161</v>
      </c>
      <c r="C621" s="77"/>
      <c r="D621" s="144">
        <f t="shared" ref="D621:D635" si="21">IFERROR(ROUNDUP(SUM(G621:BN621)/COUNTIF(G621:BN621,"&gt;0"),2),0)</f>
        <v>0</v>
      </c>
      <c r="E621" s="144">
        <f t="shared" ref="E621:E635" si="22">COUNTIF(G621:BN621,"&gt;0")</f>
        <v>0</v>
      </c>
      <c r="F621" s="65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  <c r="AJ621" s="107"/>
      <c r="AK621" s="107"/>
      <c r="AL621" s="107"/>
      <c r="AM621" s="107"/>
      <c r="AN621" s="107"/>
      <c r="AO621" s="107"/>
      <c r="AP621" s="107"/>
      <c r="AQ621" s="107"/>
      <c r="AR621" s="107"/>
      <c r="AS621" s="107"/>
      <c r="AT621" s="107"/>
      <c r="AU621" s="107"/>
      <c r="AV621" s="107"/>
      <c r="AW621" s="107"/>
      <c r="AX621" s="107"/>
      <c r="AY621" s="107"/>
      <c r="AZ621" s="107"/>
      <c r="BA621" s="107"/>
      <c r="BB621" s="107"/>
      <c r="BC621" s="107"/>
      <c r="BD621" s="107"/>
      <c r="BE621" s="107"/>
      <c r="BF621" s="107"/>
      <c r="BG621" s="107"/>
      <c r="BH621" s="107"/>
      <c r="BI621" s="107"/>
      <c r="BJ621" s="107"/>
      <c r="BK621" s="107"/>
      <c r="BL621" s="107"/>
      <c r="BM621" s="107"/>
      <c r="BN621" s="107"/>
      <c r="BO621" s="65"/>
      <c r="BP621" s="78"/>
    </row>
    <row r="622" spans="2:68" ht="12" hidden="1" customHeight="1" outlineLevel="1">
      <c r="B622" s="76">
        <v>162</v>
      </c>
      <c r="C622" s="77"/>
      <c r="D622" s="144">
        <f t="shared" si="21"/>
        <v>0</v>
      </c>
      <c r="E622" s="144">
        <f t="shared" si="22"/>
        <v>0</v>
      </c>
      <c r="F622" s="65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  <c r="AK622" s="107"/>
      <c r="AL622" s="107"/>
      <c r="AM622" s="107"/>
      <c r="AN622" s="107"/>
      <c r="AO622" s="107"/>
      <c r="AP622" s="107"/>
      <c r="AQ622" s="107"/>
      <c r="AR622" s="107"/>
      <c r="AS622" s="107"/>
      <c r="AT622" s="107"/>
      <c r="AU622" s="107"/>
      <c r="AV622" s="107"/>
      <c r="AW622" s="107"/>
      <c r="AX622" s="107"/>
      <c r="AY622" s="107"/>
      <c r="AZ622" s="107"/>
      <c r="BA622" s="107"/>
      <c r="BB622" s="107"/>
      <c r="BC622" s="107"/>
      <c r="BD622" s="107"/>
      <c r="BE622" s="107"/>
      <c r="BF622" s="107"/>
      <c r="BG622" s="107"/>
      <c r="BH622" s="107"/>
      <c r="BI622" s="107"/>
      <c r="BJ622" s="107"/>
      <c r="BK622" s="107"/>
      <c r="BL622" s="107"/>
      <c r="BM622" s="107"/>
      <c r="BN622" s="107"/>
      <c r="BO622" s="65"/>
      <c r="BP622" s="78"/>
    </row>
    <row r="623" spans="2:68" ht="12" hidden="1" customHeight="1" outlineLevel="1">
      <c r="B623" s="76">
        <v>163</v>
      </c>
      <c r="C623" s="77"/>
      <c r="D623" s="144">
        <f t="shared" si="21"/>
        <v>0</v>
      </c>
      <c r="E623" s="144">
        <f t="shared" si="22"/>
        <v>0</v>
      </c>
      <c r="F623" s="65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  <c r="AJ623" s="107"/>
      <c r="AK623" s="107"/>
      <c r="AL623" s="107"/>
      <c r="AM623" s="107"/>
      <c r="AN623" s="107"/>
      <c r="AO623" s="107"/>
      <c r="AP623" s="107"/>
      <c r="AQ623" s="107"/>
      <c r="AR623" s="107"/>
      <c r="AS623" s="107"/>
      <c r="AT623" s="107"/>
      <c r="AU623" s="107"/>
      <c r="AV623" s="107"/>
      <c r="AW623" s="107"/>
      <c r="AX623" s="107"/>
      <c r="AY623" s="107"/>
      <c r="AZ623" s="107"/>
      <c r="BA623" s="107"/>
      <c r="BB623" s="107"/>
      <c r="BC623" s="107"/>
      <c r="BD623" s="107"/>
      <c r="BE623" s="107"/>
      <c r="BF623" s="107"/>
      <c r="BG623" s="107"/>
      <c r="BH623" s="107"/>
      <c r="BI623" s="107"/>
      <c r="BJ623" s="107"/>
      <c r="BK623" s="107"/>
      <c r="BL623" s="107"/>
      <c r="BM623" s="107"/>
      <c r="BN623" s="107"/>
      <c r="BO623" s="65"/>
      <c r="BP623" s="78"/>
    </row>
    <row r="624" spans="2:68" ht="12" hidden="1" customHeight="1" outlineLevel="1">
      <c r="B624" s="76">
        <v>164</v>
      </c>
      <c r="C624" s="77"/>
      <c r="D624" s="144">
        <f t="shared" si="21"/>
        <v>0</v>
      </c>
      <c r="E624" s="144">
        <f t="shared" si="22"/>
        <v>0</v>
      </c>
      <c r="F624" s="65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  <c r="AK624" s="107"/>
      <c r="AL624" s="107"/>
      <c r="AM624" s="107"/>
      <c r="AN624" s="107"/>
      <c r="AO624" s="107"/>
      <c r="AP624" s="107"/>
      <c r="AQ624" s="107"/>
      <c r="AR624" s="107"/>
      <c r="AS624" s="107"/>
      <c r="AT624" s="107"/>
      <c r="AU624" s="107"/>
      <c r="AV624" s="107"/>
      <c r="AW624" s="107"/>
      <c r="AX624" s="107"/>
      <c r="AY624" s="107"/>
      <c r="AZ624" s="107"/>
      <c r="BA624" s="107"/>
      <c r="BB624" s="107"/>
      <c r="BC624" s="107"/>
      <c r="BD624" s="107"/>
      <c r="BE624" s="107"/>
      <c r="BF624" s="107"/>
      <c r="BG624" s="107"/>
      <c r="BH624" s="107"/>
      <c r="BI624" s="107"/>
      <c r="BJ624" s="107"/>
      <c r="BK624" s="107"/>
      <c r="BL624" s="107"/>
      <c r="BM624" s="107"/>
      <c r="BN624" s="107"/>
      <c r="BO624" s="65"/>
      <c r="BP624" s="78"/>
    </row>
    <row r="625" spans="2:68" ht="12" hidden="1" customHeight="1" outlineLevel="1">
      <c r="B625" s="76">
        <v>165</v>
      </c>
      <c r="C625" s="77"/>
      <c r="D625" s="144">
        <f t="shared" si="21"/>
        <v>0</v>
      </c>
      <c r="E625" s="144">
        <f t="shared" si="22"/>
        <v>0</v>
      </c>
      <c r="F625" s="65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  <c r="AK625" s="107"/>
      <c r="AL625" s="107"/>
      <c r="AM625" s="107"/>
      <c r="AN625" s="107"/>
      <c r="AO625" s="107"/>
      <c r="AP625" s="107"/>
      <c r="AQ625" s="107"/>
      <c r="AR625" s="107"/>
      <c r="AS625" s="107"/>
      <c r="AT625" s="107"/>
      <c r="AU625" s="107"/>
      <c r="AV625" s="107"/>
      <c r="AW625" s="107"/>
      <c r="AX625" s="107"/>
      <c r="AY625" s="107"/>
      <c r="AZ625" s="107"/>
      <c r="BA625" s="107"/>
      <c r="BB625" s="107"/>
      <c r="BC625" s="107"/>
      <c r="BD625" s="107"/>
      <c r="BE625" s="107"/>
      <c r="BF625" s="107"/>
      <c r="BG625" s="107"/>
      <c r="BH625" s="107"/>
      <c r="BI625" s="107"/>
      <c r="BJ625" s="107"/>
      <c r="BK625" s="107"/>
      <c r="BL625" s="107"/>
      <c r="BM625" s="107"/>
      <c r="BN625" s="107"/>
      <c r="BO625" s="65"/>
      <c r="BP625" s="78"/>
    </row>
    <row r="626" spans="2:68" ht="12" hidden="1" customHeight="1" outlineLevel="1">
      <c r="B626" s="76">
        <v>166</v>
      </c>
      <c r="C626" s="77"/>
      <c r="D626" s="144">
        <f t="shared" si="21"/>
        <v>0</v>
      </c>
      <c r="E626" s="144">
        <f t="shared" si="22"/>
        <v>0</v>
      </c>
      <c r="F626" s="65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7"/>
      <c r="AM626" s="107"/>
      <c r="AN626" s="107"/>
      <c r="AO626" s="107"/>
      <c r="AP626" s="107"/>
      <c r="AQ626" s="107"/>
      <c r="AR626" s="107"/>
      <c r="AS626" s="107"/>
      <c r="AT626" s="107"/>
      <c r="AU626" s="107"/>
      <c r="AV626" s="107"/>
      <c r="AW626" s="107"/>
      <c r="AX626" s="107"/>
      <c r="AY626" s="107"/>
      <c r="AZ626" s="107"/>
      <c r="BA626" s="107"/>
      <c r="BB626" s="107"/>
      <c r="BC626" s="107"/>
      <c r="BD626" s="107"/>
      <c r="BE626" s="107"/>
      <c r="BF626" s="107"/>
      <c r="BG626" s="107"/>
      <c r="BH626" s="107"/>
      <c r="BI626" s="107"/>
      <c r="BJ626" s="107"/>
      <c r="BK626" s="107"/>
      <c r="BL626" s="107"/>
      <c r="BM626" s="107"/>
      <c r="BN626" s="107"/>
      <c r="BO626" s="65"/>
      <c r="BP626" s="78"/>
    </row>
    <row r="627" spans="2:68" ht="12" hidden="1" customHeight="1" outlineLevel="1">
      <c r="B627" s="76">
        <v>167</v>
      </c>
      <c r="C627" s="77"/>
      <c r="D627" s="144">
        <f t="shared" si="21"/>
        <v>0</v>
      </c>
      <c r="E627" s="144">
        <f t="shared" si="22"/>
        <v>0</v>
      </c>
      <c r="F627" s="65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  <c r="AJ627" s="107"/>
      <c r="AK627" s="107"/>
      <c r="AL627" s="107"/>
      <c r="AM627" s="107"/>
      <c r="AN627" s="107"/>
      <c r="AO627" s="107"/>
      <c r="AP627" s="107"/>
      <c r="AQ627" s="107"/>
      <c r="AR627" s="107"/>
      <c r="AS627" s="107"/>
      <c r="AT627" s="107"/>
      <c r="AU627" s="107"/>
      <c r="AV627" s="107"/>
      <c r="AW627" s="107"/>
      <c r="AX627" s="107"/>
      <c r="AY627" s="107"/>
      <c r="AZ627" s="107"/>
      <c r="BA627" s="107"/>
      <c r="BB627" s="107"/>
      <c r="BC627" s="107"/>
      <c r="BD627" s="107"/>
      <c r="BE627" s="107"/>
      <c r="BF627" s="107"/>
      <c r="BG627" s="107"/>
      <c r="BH627" s="107"/>
      <c r="BI627" s="107"/>
      <c r="BJ627" s="107"/>
      <c r="BK627" s="107"/>
      <c r="BL627" s="107"/>
      <c r="BM627" s="107"/>
      <c r="BN627" s="107"/>
      <c r="BO627" s="65"/>
      <c r="BP627" s="78"/>
    </row>
    <row r="628" spans="2:68" ht="12" hidden="1" customHeight="1" outlineLevel="1">
      <c r="B628" s="76">
        <v>168</v>
      </c>
      <c r="C628" s="77"/>
      <c r="D628" s="144">
        <f t="shared" si="21"/>
        <v>0</v>
      </c>
      <c r="E628" s="144">
        <f t="shared" si="22"/>
        <v>0</v>
      </c>
      <c r="F628" s="65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  <c r="AJ628" s="107"/>
      <c r="AK628" s="107"/>
      <c r="AL628" s="107"/>
      <c r="AM628" s="107"/>
      <c r="AN628" s="107"/>
      <c r="AO628" s="107"/>
      <c r="AP628" s="107"/>
      <c r="AQ628" s="107"/>
      <c r="AR628" s="107"/>
      <c r="AS628" s="107"/>
      <c r="AT628" s="107"/>
      <c r="AU628" s="107"/>
      <c r="AV628" s="107"/>
      <c r="AW628" s="107"/>
      <c r="AX628" s="107"/>
      <c r="AY628" s="107"/>
      <c r="AZ628" s="107"/>
      <c r="BA628" s="107"/>
      <c r="BB628" s="107"/>
      <c r="BC628" s="107"/>
      <c r="BD628" s="107"/>
      <c r="BE628" s="107"/>
      <c r="BF628" s="107"/>
      <c r="BG628" s="107"/>
      <c r="BH628" s="107"/>
      <c r="BI628" s="107"/>
      <c r="BJ628" s="107"/>
      <c r="BK628" s="107"/>
      <c r="BL628" s="107"/>
      <c r="BM628" s="107"/>
      <c r="BN628" s="107"/>
      <c r="BO628" s="65"/>
      <c r="BP628" s="78"/>
    </row>
    <row r="629" spans="2:68" ht="12" hidden="1" customHeight="1" outlineLevel="1">
      <c r="B629" s="76">
        <v>169</v>
      </c>
      <c r="C629" s="77"/>
      <c r="D629" s="144">
        <f t="shared" si="21"/>
        <v>0</v>
      </c>
      <c r="E629" s="144">
        <f t="shared" si="22"/>
        <v>0</v>
      </c>
      <c r="F629" s="65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  <c r="AK629" s="107"/>
      <c r="AL629" s="107"/>
      <c r="AM629" s="107"/>
      <c r="AN629" s="107"/>
      <c r="AO629" s="107"/>
      <c r="AP629" s="107"/>
      <c r="AQ629" s="107"/>
      <c r="AR629" s="107"/>
      <c r="AS629" s="107"/>
      <c r="AT629" s="107"/>
      <c r="AU629" s="107"/>
      <c r="AV629" s="107"/>
      <c r="AW629" s="107"/>
      <c r="AX629" s="107"/>
      <c r="AY629" s="107"/>
      <c r="AZ629" s="107"/>
      <c r="BA629" s="107"/>
      <c r="BB629" s="107"/>
      <c r="BC629" s="107"/>
      <c r="BD629" s="107"/>
      <c r="BE629" s="107"/>
      <c r="BF629" s="107"/>
      <c r="BG629" s="107"/>
      <c r="BH629" s="107"/>
      <c r="BI629" s="107"/>
      <c r="BJ629" s="107"/>
      <c r="BK629" s="107"/>
      <c r="BL629" s="107"/>
      <c r="BM629" s="107"/>
      <c r="BN629" s="107"/>
      <c r="BO629" s="65"/>
      <c r="BP629" s="78"/>
    </row>
    <row r="630" spans="2:68" ht="12" hidden="1" customHeight="1" outlineLevel="1">
      <c r="B630" s="76">
        <v>170</v>
      </c>
      <c r="C630" s="77"/>
      <c r="D630" s="144">
        <f t="shared" si="21"/>
        <v>0</v>
      </c>
      <c r="E630" s="144">
        <f t="shared" si="22"/>
        <v>0</v>
      </c>
      <c r="F630" s="65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  <c r="AK630" s="107"/>
      <c r="AL630" s="107"/>
      <c r="AM630" s="107"/>
      <c r="AN630" s="107"/>
      <c r="AO630" s="107"/>
      <c r="AP630" s="107"/>
      <c r="AQ630" s="107"/>
      <c r="AR630" s="107"/>
      <c r="AS630" s="107"/>
      <c r="AT630" s="107"/>
      <c r="AU630" s="107"/>
      <c r="AV630" s="107"/>
      <c r="AW630" s="107"/>
      <c r="AX630" s="107"/>
      <c r="AY630" s="107"/>
      <c r="AZ630" s="107"/>
      <c r="BA630" s="107"/>
      <c r="BB630" s="107"/>
      <c r="BC630" s="107"/>
      <c r="BD630" s="107"/>
      <c r="BE630" s="107"/>
      <c r="BF630" s="107"/>
      <c r="BG630" s="107"/>
      <c r="BH630" s="107"/>
      <c r="BI630" s="107"/>
      <c r="BJ630" s="107"/>
      <c r="BK630" s="107"/>
      <c r="BL630" s="107"/>
      <c r="BM630" s="107"/>
      <c r="BN630" s="107"/>
      <c r="BO630" s="65"/>
      <c r="BP630" s="78"/>
    </row>
    <row r="631" spans="2:68" ht="12" hidden="1" customHeight="1" outlineLevel="1">
      <c r="B631" s="76">
        <v>171</v>
      </c>
      <c r="C631" s="77"/>
      <c r="D631" s="144">
        <f t="shared" si="21"/>
        <v>0</v>
      </c>
      <c r="E631" s="144">
        <f t="shared" si="22"/>
        <v>0</v>
      </c>
      <c r="F631" s="65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  <c r="AK631" s="107"/>
      <c r="AL631" s="107"/>
      <c r="AM631" s="107"/>
      <c r="AN631" s="107"/>
      <c r="AO631" s="107"/>
      <c r="AP631" s="107"/>
      <c r="AQ631" s="107"/>
      <c r="AR631" s="107"/>
      <c r="AS631" s="107"/>
      <c r="AT631" s="107"/>
      <c r="AU631" s="107"/>
      <c r="AV631" s="107"/>
      <c r="AW631" s="107"/>
      <c r="AX631" s="107"/>
      <c r="AY631" s="107"/>
      <c r="AZ631" s="107"/>
      <c r="BA631" s="107"/>
      <c r="BB631" s="107"/>
      <c r="BC631" s="107"/>
      <c r="BD631" s="107"/>
      <c r="BE631" s="107"/>
      <c r="BF631" s="107"/>
      <c r="BG631" s="107"/>
      <c r="BH631" s="107"/>
      <c r="BI631" s="107"/>
      <c r="BJ631" s="107"/>
      <c r="BK631" s="107"/>
      <c r="BL631" s="107"/>
      <c r="BM631" s="107"/>
      <c r="BN631" s="107"/>
      <c r="BO631" s="65"/>
      <c r="BP631" s="78"/>
    </row>
    <row r="632" spans="2:68" ht="12" hidden="1" customHeight="1" outlineLevel="1">
      <c r="B632" s="76">
        <v>172</v>
      </c>
      <c r="C632" s="77"/>
      <c r="D632" s="144">
        <f t="shared" si="21"/>
        <v>0</v>
      </c>
      <c r="E632" s="144">
        <f t="shared" si="22"/>
        <v>0</v>
      </c>
      <c r="F632" s="65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7"/>
      <c r="AM632" s="107"/>
      <c r="AN632" s="107"/>
      <c r="AO632" s="107"/>
      <c r="AP632" s="107"/>
      <c r="AQ632" s="107"/>
      <c r="AR632" s="107"/>
      <c r="AS632" s="107"/>
      <c r="AT632" s="107"/>
      <c r="AU632" s="107"/>
      <c r="AV632" s="107"/>
      <c r="AW632" s="107"/>
      <c r="AX632" s="107"/>
      <c r="AY632" s="107"/>
      <c r="AZ632" s="107"/>
      <c r="BA632" s="107"/>
      <c r="BB632" s="107"/>
      <c r="BC632" s="107"/>
      <c r="BD632" s="107"/>
      <c r="BE632" s="107"/>
      <c r="BF632" s="107"/>
      <c r="BG632" s="107"/>
      <c r="BH632" s="107"/>
      <c r="BI632" s="107"/>
      <c r="BJ632" s="107"/>
      <c r="BK632" s="107"/>
      <c r="BL632" s="107"/>
      <c r="BM632" s="107"/>
      <c r="BN632" s="107"/>
      <c r="BO632" s="65"/>
      <c r="BP632" s="78"/>
    </row>
    <row r="633" spans="2:68" ht="12" hidden="1" customHeight="1" outlineLevel="1">
      <c r="B633" s="76">
        <v>173</v>
      </c>
      <c r="C633" s="77"/>
      <c r="D633" s="144">
        <f t="shared" si="21"/>
        <v>0</v>
      </c>
      <c r="E633" s="144">
        <f t="shared" si="22"/>
        <v>0</v>
      </c>
      <c r="F633" s="65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  <c r="AJ633" s="107"/>
      <c r="AK633" s="107"/>
      <c r="AL633" s="107"/>
      <c r="AM633" s="107"/>
      <c r="AN633" s="107"/>
      <c r="AO633" s="107"/>
      <c r="AP633" s="107"/>
      <c r="AQ633" s="107"/>
      <c r="AR633" s="107"/>
      <c r="AS633" s="107"/>
      <c r="AT633" s="107"/>
      <c r="AU633" s="107"/>
      <c r="AV633" s="107"/>
      <c r="AW633" s="107"/>
      <c r="AX633" s="107"/>
      <c r="AY633" s="107"/>
      <c r="AZ633" s="107"/>
      <c r="BA633" s="107"/>
      <c r="BB633" s="107"/>
      <c r="BC633" s="107"/>
      <c r="BD633" s="107"/>
      <c r="BE633" s="107"/>
      <c r="BF633" s="107"/>
      <c r="BG633" s="107"/>
      <c r="BH633" s="107"/>
      <c r="BI633" s="107"/>
      <c r="BJ633" s="107"/>
      <c r="BK633" s="107"/>
      <c r="BL633" s="107"/>
      <c r="BM633" s="107"/>
      <c r="BN633" s="107"/>
      <c r="BO633" s="65"/>
      <c r="BP633" s="78"/>
    </row>
    <row r="634" spans="2:68" ht="12" hidden="1" customHeight="1" outlineLevel="1">
      <c r="B634" s="76">
        <v>174</v>
      </c>
      <c r="C634" s="77"/>
      <c r="D634" s="144">
        <f t="shared" si="21"/>
        <v>0</v>
      </c>
      <c r="E634" s="144">
        <f t="shared" si="22"/>
        <v>0</v>
      </c>
      <c r="F634" s="65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  <c r="AJ634" s="107"/>
      <c r="AK634" s="107"/>
      <c r="AL634" s="107"/>
      <c r="AM634" s="107"/>
      <c r="AN634" s="107"/>
      <c r="AO634" s="107"/>
      <c r="AP634" s="107"/>
      <c r="AQ634" s="107"/>
      <c r="AR634" s="107"/>
      <c r="AS634" s="107"/>
      <c r="AT634" s="107"/>
      <c r="AU634" s="107"/>
      <c r="AV634" s="107"/>
      <c r="AW634" s="107"/>
      <c r="AX634" s="107"/>
      <c r="AY634" s="107"/>
      <c r="AZ634" s="107"/>
      <c r="BA634" s="107"/>
      <c r="BB634" s="107"/>
      <c r="BC634" s="107"/>
      <c r="BD634" s="107"/>
      <c r="BE634" s="107"/>
      <c r="BF634" s="107"/>
      <c r="BG634" s="107"/>
      <c r="BH634" s="107"/>
      <c r="BI634" s="107"/>
      <c r="BJ634" s="107"/>
      <c r="BK634" s="107"/>
      <c r="BL634" s="107"/>
      <c r="BM634" s="107"/>
      <c r="BN634" s="107"/>
      <c r="BO634" s="65"/>
      <c r="BP634" s="78"/>
    </row>
    <row r="635" spans="2:68" ht="12" hidden="1" customHeight="1" outlineLevel="1">
      <c r="B635" s="76">
        <v>175</v>
      </c>
      <c r="C635" s="77"/>
      <c r="D635" s="144">
        <f t="shared" si="21"/>
        <v>0</v>
      </c>
      <c r="E635" s="144">
        <f t="shared" si="22"/>
        <v>0</v>
      </c>
      <c r="F635" s="65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  <c r="AK635" s="107"/>
      <c r="AL635" s="107"/>
      <c r="AM635" s="107"/>
      <c r="AN635" s="107"/>
      <c r="AO635" s="107"/>
      <c r="AP635" s="107"/>
      <c r="AQ635" s="107"/>
      <c r="AR635" s="107"/>
      <c r="AS635" s="107"/>
      <c r="AT635" s="107"/>
      <c r="AU635" s="107"/>
      <c r="AV635" s="107"/>
      <c r="AW635" s="107"/>
      <c r="AX635" s="107"/>
      <c r="AY635" s="107"/>
      <c r="AZ635" s="107"/>
      <c r="BA635" s="107"/>
      <c r="BB635" s="107"/>
      <c r="BC635" s="107"/>
      <c r="BD635" s="107"/>
      <c r="BE635" s="107"/>
      <c r="BF635" s="107"/>
      <c r="BG635" s="107"/>
      <c r="BH635" s="107"/>
      <c r="BI635" s="107"/>
      <c r="BJ635" s="107"/>
      <c r="BK635" s="107"/>
      <c r="BL635" s="107"/>
      <c r="BM635" s="107"/>
      <c r="BN635" s="107"/>
      <c r="BO635" s="65"/>
      <c r="BP635" s="78"/>
    </row>
    <row r="636" spans="2:68" ht="24" customHeight="1">
      <c r="B636" s="614" t="s">
        <v>380</v>
      </c>
      <c r="C636" s="614"/>
      <c r="D636" s="146">
        <f>SUM(D603:D635)</f>
        <v>0</v>
      </c>
      <c r="E636" s="65"/>
      <c r="F636" s="65"/>
      <c r="G636" s="146">
        <f t="shared" ref="G636:BN636" si="23">SUM(G461:G635)</f>
        <v>0</v>
      </c>
      <c r="H636" s="146">
        <f t="shared" si="23"/>
        <v>0</v>
      </c>
      <c r="I636" s="146">
        <f t="shared" si="23"/>
        <v>0</v>
      </c>
      <c r="J636" s="146">
        <f t="shared" si="23"/>
        <v>0</v>
      </c>
      <c r="K636" s="146">
        <f t="shared" si="23"/>
        <v>0</v>
      </c>
      <c r="L636" s="146">
        <f t="shared" si="23"/>
        <v>0</v>
      </c>
      <c r="M636" s="146">
        <f t="shared" si="23"/>
        <v>0</v>
      </c>
      <c r="N636" s="146">
        <f t="shared" si="23"/>
        <v>0</v>
      </c>
      <c r="O636" s="146">
        <f t="shared" si="23"/>
        <v>0</v>
      </c>
      <c r="P636" s="146">
        <f t="shared" si="23"/>
        <v>0</v>
      </c>
      <c r="Q636" s="146">
        <f t="shared" si="23"/>
        <v>0</v>
      </c>
      <c r="R636" s="146">
        <f t="shared" si="23"/>
        <v>0</v>
      </c>
      <c r="S636" s="146">
        <f t="shared" si="23"/>
        <v>0</v>
      </c>
      <c r="T636" s="146">
        <f t="shared" si="23"/>
        <v>0</v>
      </c>
      <c r="U636" s="146">
        <f t="shared" si="23"/>
        <v>0</v>
      </c>
      <c r="V636" s="146">
        <f t="shared" si="23"/>
        <v>0</v>
      </c>
      <c r="W636" s="146">
        <f t="shared" si="23"/>
        <v>0</v>
      </c>
      <c r="X636" s="146">
        <f t="shared" si="23"/>
        <v>0</v>
      </c>
      <c r="Y636" s="146">
        <f t="shared" si="23"/>
        <v>0</v>
      </c>
      <c r="Z636" s="146">
        <f t="shared" si="23"/>
        <v>0</v>
      </c>
      <c r="AA636" s="146">
        <f t="shared" si="23"/>
        <v>0</v>
      </c>
      <c r="AB636" s="146">
        <f t="shared" si="23"/>
        <v>0</v>
      </c>
      <c r="AC636" s="146">
        <f t="shared" si="23"/>
        <v>0</v>
      </c>
      <c r="AD636" s="146">
        <f t="shared" si="23"/>
        <v>0</v>
      </c>
      <c r="AE636" s="146">
        <f t="shared" si="23"/>
        <v>0</v>
      </c>
      <c r="AF636" s="146">
        <f t="shared" si="23"/>
        <v>0</v>
      </c>
      <c r="AG636" s="146">
        <f t="shared" si="23"/>
        <v>0</v>
      </c>
      <c r="AH636" s="146">
        <f t="shared" si="23"/>
        <v>0</v>
      </c>
      <c r="AI636" s="146">
        <f t="shared" si="23"/>
        <v>0</v>
      </c>
      <c r="AJ636" s="146">
        <f t="shared" si="23"/>
        <v>0</v>
      </c>
      <c r="AK636" s="146">
        <f t="shared" si="23"/>
        <v>0</v>
      </c>
      <c r="AL636" s="146">
        <f t="shared" si="23"/>
        <v>0</v>
      </c>
      <c r="AM636" s="146">
        <f t="shared" si="23"/>
        <v>0</v>
      </c>
      <c r="AN636" s="146">
        <f t="shared" si="23"/>
        <v>0</v>
      </c>
      <c r="AO636" s="146">
        <f t="shared" si="23"/>
        <v>0</v>
      </c>
      <c r="AP636" s="146">
        <f t="shared" si="23"/>
        <v>0</v>
      </c>
      <c r="AQ636" s="146">
        <f t="shared" si="23"/>
        <v>0</v>
      </c>
      <c r="AR636" s="146">
        <f t="shared" si="23"/>
        <v>0</v>
      </c>
      <c r="AS636" s="146">
        <f t="shared" si="23"/>
        <v>0</v>
      </c>
      <c r="AT636" s="146">
        <f t="shared" si="23"/>
        <v>0</v>
      </c>
      <c r="AU636" s="146">
        <f t="shared" si="23"/>
        <v>0</v>
      </c>
      <c r="AV636" s="146">
        <f t="shared" si="23"/>
        <v>0</v>
      </c>
      <c r="AW636" s="146">
        <f t="shared" si="23"/>
        <v>0</v>
      </c>
      <c r="AX636" s="146">
        <f t="shared" si="23"/>
        <v>0</v>
      </c>
      <c r="AY636" s="146">
        <f t="shared" si="23"/>
        <v>0</v>
      </c>
      <c r="AZ636" s="146">
        <f t="shared" si="23"/>
        <v>0</v>
      </c>
      <c r="BA636" s="146">
        <f t="shared" si="23"/>
        <v>0</v>
      </c>
      <c r="BB636" s="146">
        <f t="shared" si="23"/>
        <v>0</v>
      </c>
      <c r="BC636" s="146">
        <f t="shared" si="23"/>
        <v>0</v>
      </c>
      <c r="BD636" s="146">
        <f t="shared" si="23"/>
        <v>0</v>
      </c>
      <c r="BE636" s="146">
        <f t="shared" si="23"/>
        <v>0</v>
      </c>
      <c r="BF636" s="146">
        <f t="shared" si="23"/>
        <v>0</v>
      </c>
      <c r="BG636" s="146">
        <f t="shared" si="23"/>
        <v>0</v>
      </c>
      <c r="BH636" s="146">
        <f t="shared" si="23"/>
        <v>0</v>
      </c>
      <c r="BI636" s="146">
        <f t="shared" si="23"/>
        <v>0</v>
      </c>
      <c r="BJ636" s="146">
        <f t="shared" si="23"/>
        <v>0</v>
      </c>
      <c r="BK636" s="146">
        <f t="shared" si="23"/>
        <v>0</v>
      </c>
      <c r="BL636" s="146">
        <f t="shared" si="23"/>
        <v>0</v>
      </c>
      <c r="BM636" s="146">
        <f t="shared" si="23"/>
        <v>0</v>
      </c>
      <c r="BN636" s="146">
        <f t="shared" si="23"/>
        <v>0</v>
      </c>
      <c r="BO636" s="65"/>
      <c r="BP636" s="65"/>
    </row>
    <row r="637" spans="2:68" ht="12" customHeight="1"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5"/>
      <c r="AT637" s="65"/>
      <c r="AU637" s="65"/>
      <c r="AV637" s="65"/>
      <c r="AW637" s="65"/>
      <c r="AX637" s="65"/>
      <c r="AY637" s="65"/>
      <c r="AZ637" s="65"/>
      <c r="BA637" s="65"/>
      <c r="BB637" s="65"/>
      <c r="BC637" s="65"/>
      <c r="BD637" s="65"/>
      <c r="BE637" s="65"/>
      <c r="BF637" s="65"/>
      <c r="BG637" s="65"/>
      <c r="BH637" s="65"/>
      <c r="BI637" s="65"/>
      <c r="BJ637" s="65"/>
      <c r="BK637" s="65"/>
      <c r="BL637" s="65"/>
      <c r="BM637" s="65"/>
      <c r="BN637" s="65"/>
      <c r="BO637" s="65"/>
      <c r="BP637" s="65"/>
    </row>
    <row r="638" spans="2:68" ht="5.0999999999999996" customHeight="1"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  <c r="AP638" s="69"/>
      <c r="AQ638" s="69"/>
      <c r="AR638" s="69"/>
      <c r="AS638" s="69"/>
      <c r="AT638" s="69"/>
      <c r="AU638" s="69"/>
      <c r="AV638" s="69"/>
      <c r="AW638" s="69"/>
      <c r="AX638" s="69"/>
      <c r="AY638" s="69"/>
      <c r="AZ638" s="69"/>
      <c r="BA638" s="69"/>
      <c r="BB638" s="69"/>
      <c r="BC638" s="69"/>
      <c r="BD638" s="69"/>
      <c r="BE638" s="69"/>
      <c r="BF638" s="69"/>
      <c r="BG638" s="69"/>
      <c r="BH638" s="69"/>
      <c r="BI638" s="69"/>
      <c r="BJ638" s="69"/>
      <c r="BK638" s="69"/>
      <c r="BL638" s="69"/>
      <c r="BM638" s="69"/>
      <c r="BN638" s="69"/>
      <c r="BO638" s="69"/>
      <c r="BP638" s="69"/>
    </row>
    <row r="639" spans="2:68" ht="12" customHeight="1"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5"/>
      <c r="AT639" s="65"/>
      <c r="AU639" s="65"/>
      <c r="AV639" s="65"/>
      <c r="AW639" s="65"/>
      <c r="AX639" s="65"/>
      <c r="AY639" s="65"/>
      <c r="AZ639" s="65"/>
      <c r="BA639" s="65"/>
      <c r="BB639" s="65"/>
      <c r="BC639" s="65"/>
      <c r="BD639" s="65"/>
      <c r="BE639" s="65"/>
      <c r="BF639" s="65"/>
      <c r="BG639" s="65"/>
      <c r="BH639" s="65"/>
      <c r="BI639" s="65"/>
      <c r="BJ639" s="65"/>
      <c r="BK639" s="65"/>
      <c r="BL639" s="65"/>
      <c r="BM639" s="65"/>
      <c r="BN639" s="65"/>
      <c r="BO639" s="65"/>
      <c r="BP639" s="65"/>
    </row>
    <row r="640" spans="2:68" ht="24" customHeight="1">
      <c r="B640" s="613" t="s">
        <v>1003</v>
      </c>
      <c r="C640" s="613"/>
      <c r="D640" s="613"/>
      <c r="E640" s="613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5"/>
      <c r="AT640" s="65"/>
      <c r="AU640" s="65"/>
      <c r="AV640" s="65"/>
      <c r="AW640" s="65"/>
      <c r="AX640" s="65"/>
      <c r="AY640" s="65"/>
      <c r="AZ640" s="65"/>
      <c r="BA640" s="65"/>
      <c r="BB640" s="65"/>
      <c r="BC640" s="65"/>
      <c r="BD640" s="65"/>
      <c r="BE640" s="65"/>
      <c r="BF640" s="65"/>
      <c r="BG640" s="65"/>
      <c r="BH640" s="65"/>
      <c r="BI640" s="65"/>
      <c r="BJ640" s="65"/>
      <c r="BK640" s="65"/>
      <c r="BL640" s="65"/>
      <c r="BM640" s="65"/>
      <c r="BN640" s="65"/>
      <c r="BO640" s="65"/>
      <c r="BP640" s="512" t="s">
        <v>22</v>
      </c>
    </row>
    <row r="641" spans="2:68" ht="24" customHeight="1" collapsed="1">
      <c r="B641" s="142" t="s">
        <v>196</v>
      </c>
      <c r="C641" s="142" t="s">
        <v>253</v>
      </c>
      <c r="D641" s="142" t="s">
        <v>255</v>
      </c>
      <c r="E641" s="142" t="s">
        <v>850</v>
      </c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  <c r="AT641" s="65"/>
      <c r="AU641" s="65"/>
      <c r="AV641" s="65"/>
      <c r="AW641" s="65"/>
      <c r="AX641" s="65"/>
      <c r="AY641" s="65"/>
      <c r="AZ641" s="65"/>
      <c r="BA641" s="65"/>
      <c r="BB641" s="65"/>
      <c r="BC641" s="65"/>
      <c r="BD641" s="65"/>
      <c r="BE641" s="65"/>
      <c r="BF641" s="65"/>
      <c r="BG641" s="65"/>
      <c r="BH641" s="65"/>
      <c r="BI641" s="65"/>
      <c r="BJ641" s="65"/>
      <c r="BK641" s="65"/>
      <c r="BL641" s="65"/>
      <c r="BM641" s="65"/>
      <c r="BN641" s="65"/>
      <c r="BO641" s="65"/>
      <c r="BP641" s="512"/>
    </row>
    <row r="642" spans="2:68" ht="12" hidden="1" customHeight="1" outlineLevel="1">
      <c r="B642" s="76">
        <v>1</v>
      </c>
      <c r="C642" s="143" t="str">
        <f>"Caixa de Ferramentas - Equipe - "&amp;Tarefas!H3</f>
        <v>Caixa de Ferramentas - Equipe - PROJETO</v>
      </c>
      <c r="D642" s="144">
        <f t="shared" ref="D642:D662" si="24">IFERROR(ROUNDUP(SUM(G642:BN642)/COUNTIF(G642:BN642,"&gt;0"),0),0)</f>
        <v>2</v>
      </c>
      <c r="E642" s="144">
        <f t="shared" ref="E642:E662" si="25">COUNTIF(G642:BN642,"&gt;0")</f>
        <v>10</v>
      </c>
      <c r="F642" s="65"/>
      <c r="G642" s="144">
        <f>'Cronog. e Histog.'!K233</f>
        <v>1.03</v>
      </c>
      <c r="H642" s="144">
        <f>'Cronog. e Histog.'!L233</f>
        <v>1.03</v>
      </c>
      <c r="I642" s="144">
        <f>'Cronog. e Histog.'!M233</f>
        <v>1.03</v>
      </c>
      <c r="J642" s="144">
        <f>'Cronog. e Histog.'!N233</f>
        <v>1.03</v>
      </c>
      <c r="K642" s="144">
        <f>'Cronog. e Histog.'!O233</f>
        <v>1.03</v>
      </c>
      <c r="L642" s="144">
        <f>'Cronog. e Histog.'!P233</f>
        <v>1.03</v>
      </c>
      <c r="M642" s="144">
        <f>'Cronog. e Histog.'!Q233</f>
        <v>1.03</v>
      </c>
      <c r="N642" s="144">
        <f>'Cronog. e Histog.'!R233</f>
        <v>1.03</v>
      </c>
      <c r="O642" s="144">
        <f>'Cronog. e Histog.'!S233</f>
        <v>1.03</v>
      </c>
      <c r="P642" s="144">
        <f>'Cronog. e Histog.'!T233</f>
        <v>1.03</v>
      </c>
      <c r="Q642" s="144">
        <f>'Cronog. e Histog.'!U233</f>
        <v>0</v>
      </c>
      <c r="R642" s="144">
        <f>'Cronog. e Histog.'!V233</f>
        <v>0</v>
      </c>
      <c r="S642" s="144">
        <f>'Cronog. e Histog.'!W233</f>
        <v>0</v>
      </c>
      <c r="T642" s="144">
        <f>'Cronog. e Histog.'!X233</f>
        <v>0</v>
      </c>
      <c r="U642" s="144">
        <f>'Cronog. e Histog.'!Y233</f>
        <v>0</v>
      </c>
      <c r="V642" s="144">
        <f>'Cronog. e Histog.'!Z233</f>
        <v>0</v>
      </c>
      <c r="W642" s="144">
        <f>'Cronog. e Histog.'!AA233</f>
        <v>0</v>
      </c>
      <c r="X642" s="144">
        <f>'Cronog. e Histog.'!AB233</f>
        <v>0</v>
      </c>
      <c r="Y642" s="144">
        <f>'Cronog. e Histog.'!AC233</f>
        <v>0</v>
      </c>
      <c r="Z642" s="144">
        <f>'Cronog. e Histog.'!AD233</f>
        <v>0</v>
      </c>
      <c r="AA642" s="144">
        <f>'Cronog. e Histog.'!AE233</f>
        <v>0</v>
      </c>
      <c r="AB642" s="144">
        <f>'Cronog. e Histog.'!AF233</f>
        <v>0</v>
      </c>
      <c r="AC642" s="144">
        <f>'Cronog. e Histog.'!AG233</f>
        <v>0</v>
      </c>
      <c r="AD642" s="144">
        <f>'Cronog. e Histog.'!AH233</f>
        <v>0</v>
      </c>
      <c r="AE642" s="144">
        <f>'Cronog. e Histog.'!AI233</f>
        <v>0</v>
      </c>
      <c r="AF642" s="144">
        <f>'Cronog. e Histog.'!AJ233</f>
        <v>0</v>
      </c>
      <c r="AG642" s="144">
        <f>'Cronog. e Histog.'!AK233</f>
        <v>0</v>
      </c>
      <c r="AH642" s="144">
        <f>'Cronog. e Histog.'!AL233</f>
        <v>0</v>
      </c>
      <c r="AI642" s="144">
        <f>'Cronog. e Histog.'!AM233</f>
        <v>0</v>
      </c>
      <c r="AJ642" s="144">
        <f>'Cronog. e Histog.'!AN233</f>
        <v>0</v>
      </c>
      <c r="AK642" s="144">
        <f>'Cronog. e Histog.'!AO233</f>
        <v>0</v>
      </c>
      <c r="AL642" s="144">
        <f>'Cronog. e Histog.'!AP233</f>
        <v>0</v>
      </c>
      <c r="AM642" s="144">
        <f>'Cronog. e Histog.'!AQ233</f>
        <v>0</v>
      </c>
      <c r="AN642" s="144">
        <f>'Cronog. e Histog.'!AR233</f>
        <v>0</v>
      </c>
      <c r="AO642" s="144">
        <f>'Cronog. e Histog.'!AS233</f>
        <v>0</v>
      </c>
      <c r="AP642" s="144">
        <f>'Cronog. e Histog.'!AT233</f>
        <v>0</v>
      </c>
      <c r="AQ642" s="144">
        <f>'Cronog. e Histog.'!AU233</f>
        <v>0</v>
      </c>
      <c r="AR642" s="144">
        <f>'Cronog. e Histog.'!AV233</f>
        <v>0</v>
      </c>
      <c r="AS642" s="144">
        <f>'Cronog. e Histog.'!AW233</f>
        <v>0</v>
      </c>
      <c r="AT642" s="144">
        <f>'Cronog. e Histog.'!AX233</f>
        <v>0</v>
      </c>
      <c r="AU642" s="144">
        <f>'Cronog. e Histog.'!AY233</f>
        <v>0</v>
      </c>
      <c r="AV642" s="144">
        <f>'Cronog. e Histog.'!AZ233</f>
        <v>0</v>
      </c>
      <c r="AW642" s="144">
        <f>'Cronog. e Histog.'!BA233</f>
        <v>0</v>
      </c>
      <c r="AX642" s="144">
        <f>'Cronog. e Histog.'!BB233</f>
        <v>0</v>
      </c>
      <c r="AY642" s="144">
        <f>'Cronog. e Histog.'!BC233</f>
        <v>0</v>
      </c>
      <c r="AZ642" s="144">
        <f>'Cronog. e Histog.'!BD233</f>
        <v>0</v>
      </c>
      <c r="BA642" s="144">
        <f>'Cronog. e Histog.'!BE233</f>
        <v>0</v>
      </c>
      <c r="BB642" s="144">
        <f>'Cronog. e Histog.'!BF233</f>
        <v>0</v>
      </c>
      <c r="BC642" s="144">
        <f>'Cronog. e Histog.'!BG233</f>
        <v>0</v>
      </c>
      <c r="BD642" s="144">
        <f>'Cronog. e Histog.'!BH233</f>
        <v>0</v>
      </c>
      <c r="BE642" s="144">
        <f>'Cronog. e Histog.'!BI233</f>
        <v>0</v>
      </c>
      <c r="BF642" s="144">
        <f>'Cronog. e Histog.'!BJ233</f>
        <v>0</v>
      </c>
      <c r="BG642" s="144">
        <f>'Cronog. e Histog.'!BK233</f>
        <v>0</v>
      </c>
      <c r="BH642" s="144">
        <f>'Cronog. e Histog.'!BL233</f>
        <v>0</v>
      </c>
      <c r="BI642" s="144">
        <f>'Cronog. e Histog.'!BM233</f>
        <v>0</v>
      </c>
      <c r="BJ642" s="144">
        <f>'Cronog. e Histog.'!BN233</f>
        <v>0</v>
      </c>
      <c r="BK642" s="144">
        <f>'Cronog. e Histog.'!BO233</f>
        <v>0</v>
      </c>
      <c r="BL642" s="144">
        <f>'Cronog. e Histog.'!BP233</f>
        <v>0</v>
      </c>
      <c r="BM642" s="144">
        <f>'Cronog. e Histog.'!BQ233</f>
        <v>0</v>
      </c>
      <c r="BN642" s="144">
        <f>'Cronog. e Histog.'!BR233</f>
        <v>0</v>
      </c>
      <c r="BO642" s="65"/>
      <c r="BP642" s="78" t="s">
        <v>1004</v>
      </c>
    </row>
    <row r="643" spans="2:68" ht="12" hidden="1" customHeight="1" outlineLevel="1">
      <c r="B643" s="76">
        <v>2</v>
      </c>
      <c r="C643" s="143" t="str">
        <f>"Caixa de Ferramentas - Equipe - "&amp;Tarefas!H4</f>
        <v>Caixa de Ferramentas - Equipe - PERMITS</v>
      </c>
      <c r="D643" s="144">
        <f t="shared" si="24"/>
        <v>1</v>
      </c>
      <c r="E643" s="144">
        <f t="shared" si="25"/>
        <v>10</v>
      </c>
      <c r="F643" s="65"/>
      <c r="G643" s="144">
        <f>'Cronog. e Histog.'!K257</f>
        <v>0.73</v>
      </c>
      <c r="H643" s="144">
        <f>'Cronog. e Histog.'!L257</f>
        <v>0.73</v>
      </c>
      <c r="I643" s="144">
        <f>'Cronog. e Histog.'!M257</f>
        <v>0.73</v>
      </c>
      <c r="J643" s="144">
        <f>'Cronog. e Histog.'!N257</f>
        <v>0.73</v>
      </c>
      <c r="K643" s="144">
        <f>'Cronog. e Histog.'!O257</f>
        <v>0.73</v>
      </c>
      <c r="L643" s="144">
        <f>'Cronog. e Histog.'!P257</f>
        <v>0.73</v>
      </c>
      <c r="M643" s="144">
        <f>'Cronog. e Histog.'!Q257</f>
        <v>0.73</v>
      </c>
      <c r="N643" s="144">
        <f>'Cronog. e Histog.'!R257</f>
        <v>0.73</v>
      </c>
      <c r="O643" s="144">
        <f>'Cronog. e Histog.'!S257</f>
        <v>0.73</v>
      </c>
      <c r="P643" s="144">
        <f>'Cronog. e Histog.'!T257</f>
        <v>0.73</v>
      </c>
      <c r="Q643" s="144">
        <f>'Cronog. e Histog.'!U257</f>
        <v>0</v>
      </c>
      <c r="R643" s="144">
        <f>'Cronog. e Histog.'!V257</f>
        <v>0</v>
      </c>
      <c r="S643" s="144">
        <f>'Cronog. e Histog.'!W257</f>
        <v>0</v>
      </c>
      <c r="T643" s="144">
        <f>'Cronog. e Histog.'!X257</f>
        <v>0</v>
      </c>
      <c r="U643" s="144">
        <f>'Cronog. e Histog.'!Y257</f>
        <v>0</v>
      </c>
      <c r="V643" s="144">
        <f>'Cronog. e Histog.'!Z257</f>
        <v>0</v>
      </c>
      <c r="W643" s="144">
        <f>'Cronog. e Histog.'!AA257</f>
        <v>0</v>
      </c>
      <c r="X643" s="144">
        <f>'Cronog. e Histog.'!AB257</f>
        <v>0</v>
      </c>
      <c r="Y643" s="144">
        <f>'Cronog. e Histog.'!AC257</f>
        <v>0</v>
      </c>
      <c r="Z643" s="144">
        <f>'Cronog. e Histog.'!AD257</f>
        <v>0</v>
      </c>
      <c r="AA643" s="144">
        <f>'Cronog. e Histog.'!AE257</f>
        <v>0</v>
      </c>
      <c r="AB643" s="144">
        <f>'Cronog. e Histog.'!AF257</f>
        <v>0</v>
      </c>
      <c r="AC643" s="144">
        <f>'Cronog. e Histog.'!AG257</f>
        <v>0</v>
      </c>
      <c r="AD643" s="144">
        <f>'Cronog. e Histog.'!AH257</f>
        <v>0</v>
      </c>
      <c r="AE643" s="144">
        <f>'Cronog. e Histog.'!AI257</f>
        <v>0</v>
      </c>
      <c r="AF643" s="144">
        <f>'Cronog. e Histog.'!AJ257</f>
        <v>0</v>
      </c>
      <c r="AG643" s="144">
        <f>'Cronog. e Histog.'!AK257</f>
        <v>0</v>
      </c>
      <c r="AH643" s="144">
        <f>'Cronog. e Histog.'!AL257</f>
        <v>0</v>
      </c>
      <c r="AI643" s="144">
        <f>'Cronog. e Histog.'!AM257</f>
        <v>0</v>
      </c>
      <c r="AJ643" s="144">
        <f>'Cronog. e Histog.'!AN257</f>
        <v>0</v>
      </c>
      <c r="AK643" s="144">
        <f>'Cronog. e Histog.'!AO257</f>
        <v>0</v>
      </c>
      <c r="AL643" s="144">
        <f>'Cronog. e Histog.'!AP257</f>
        <v>0</v>
      </c>
      <c r="AM643" s="144">
        <f>'Cronog. e Histog.'!AQ257</f>
        <v>0</v>
      </c>
      <c r="AN643" s="144">
        <f>'Cronog. e Histog.'!AR257</f>
        <v>0</v>
      </c>
      <c r="AO643" s="144">
        <f>'Cronog. e Histog.'!AS257</f>
        <v>0</v>
      </c>
      <c r="AP643" s="144">
        <f>'Cronog. e Histog.'!AT257</f>
        <v>0</v>
      </c>
      <c r="AQ643" s="144">
        <f>'Cronog. e Histog.'!AU257</f>
        <v>0</v>
      </c>
      <c r="AR643" s="144">
        <f>'Cronog. e Histog.'!AV257</f>
        <v>0</v>
      </c>
      <c r="AS643" s="144">
        <f>'Cronog. e Histog.'!AW257</f>
        <v>0</v>
      </c>
      <c r="AT643" s="144">
        <f>'Cronog. e Histog.'!AX257</f>
        <v>0</v>
      </c>
      <c r="AU643" s="144">
        <f>'Cronog. e Histog.'!AY257</f>
        <v>0</v>
      </c>
      <c r="AV643" s="144">
        <f>'Cronog. e Histog.'!AZ257</f>
        <v>0</v>
      </c>
      <c r="AW643" s="144">
        <f>'Cronog. e Histog.'!BA257</f>
        <v>0</v>
      </c>
      <c r="AX643" s="144">
        <f>'Cronog. e Histog.'!BB257</f>
        <v>0</v>
      </c>
      <c r="AY643" s="144">
        <f>'Cronog. e Histog.'!BC257</f>
        <v>0</v>
      </c>
      <c r="AZ643" s="144">
        <f>'Cronog. e Histog.'!BD257</f>
        <v>0</v>
      </c>
      <c r="BA643" s="144">
        <f>'Cronog. e Histog.'!BE257</f>
        <v>0</v>
      </c>
      <c r="BB643" s="144">
        <f>'Cronog. e Histog.'!BF257</f>
        <v>0</v>
      </c>
      <c r="BC643" s="144">
        <f>'Cronog. e Histog.'!BG257</f>
        <v>0</v>
      </c>
      <c r="BD643" s="144">
        <f>'Cronog. e Histog.'!BH257</f>
        <v>0</v>
      </c>
      <c r="BE643" s="144">
        <f>'Cronog. e Histog.'!BI257</f>
        <v>0</v>
      </c>
      <c r="BF643" s="144">
        <f>'Cronog. e Histog.'!BJ257</f>
        <v>0</v>
      </c>
      <c r="BG643" s="144">
        <f>'Cronog. e Histog.'!BK257</f>
        <v>0</v>
      </c>
      <c r="BH643" s="144">
        <f>'Cronog. e Histog.'!BL257</f>
        <v>0</v>
      </c>
      <c r="BI643" s="144">
        <f>'Cronog. e Histog.'!BM257</f>
        <v>0</v>
      </c>
      <c r="BJ643" s="144">
        <f>'Cronog. e Histog.'!BN257</f>
        <v>0</v>
      </c>
      <c r="BK643" s="144">
        <f>'Cronog. e Histog.'!BO257</f>
        <v>0</v>
      </c>
      <c r="BL643" s="144">
        <f>'Cronog. e Histog.'!BP257</f>
        <v>0</v>
      </c>
      <c r="BM643" s="144">
        <f>'Cronog. e Histog.'!BQ257</f>
        <v>0</v>
      </c>
      <c r="BN643" s="144">
        <f>'Cronog. e Histog.'!BR257</f>
        <v>0</v>
      </c>
      <c r="BO643" s="65"/>
      <c r="BP643" s="78" t="s">
        <v>1004</v>
      </c>
    </row>
    <row r="644" spans="2:68" ht="12" hidden="1" customHeight="1" outlineLevel="1">
      <c r="B644" s="76">
        <v>3</v>
      </c>
      <c r="C644" s="143" t="str">
        <f>"Caixa de Ferramentas - Equipe - "&amp;Tarefas!H5</f>
        <v>Caixa de Ferramentas - Equipe - GERENCIMENTO</v>
      </c>
      <c r="D644" s="144">
        <f t="shared" si="24"/>
        <v>1</v>
      </c>
      <c r="E644" s="144">
        <f t="shared" si="25"/>
        <v>10</v>
      </c>
      <c r="F644" s="65"/>
      <c r="G644" s="144">
        <f>'Cronog. e Histog.'!K281</f>
        <v>0.13</v>
      </c>
      <c r="H644" s="144">
        <f>'Cronog. e Histog.'!L281</f>
        <v>0.13</v>
      </c>
      <c r="I644" s="144">
        <f>'Cronog. e Histog.'!M281</f>
        <v>0.13</v>
      </c>
      <c r="J644" s="144">
        <f>'Cronog. e Histog.'!N281</f>
        <v>0.13</v>
      </c>
      <c r="K644" s="144">
        <f>'Cronog. e Histog.'!O281</f>
        <v>0.13</v>
      </c>
      <c r="L644" s="144">
        <f>'Cronog. e Histog.'!P281</f>
        <v>0.13</v>
      </c>
      <c r="M644" s="144">
        <f>'Cronog. e Histog.'!Q281</f>
        <v>0.13</v>
      </c>
      <c r="N644" s="144">
        <f>'Cronog. e Histog.'!R281</f>
        <v>0.13</v>
      </c>
      <c r="O644" s="144">
        <f>'Cronog. e Histog.'!S281</f>
        <v>0.13</v>
      </c>
      <c r="P644" s="144">
        <f>'Cronog. e Histog.'!T281</f>
        <v>0.13</v>
      </c>
      <c r="Q644" s="144">
        <f>'Cronog. e Histog.'!U281</f>
        <v>0</v>
      </c>
      <c r="R644" s="144">
        <f>'Cronog. e Histog.'!V281</f>
        <v>0</v>
      </c>
      <c r="S644" s="144">
        <f>'Cronog. e Histog.'!W281</f>
        <v>0</v>
      </c>
      <c r="T644" s="144">
        <f>'Cronog. e Histog.'!X281</f>
        <v>0</v>
      </c>
      <c r="U644" s="144">
        <f>'Cronog. e Histog.'!Y281</f>
        <v>0</v>
      </c>
      <c r="V644" s="144">
        <f>'Cronog. e Histog.'!Z281</f>
        <v>0</v>
      </c>
      <c r="W644" s="144">
        <f>'Cronog. e Histog.'!AA281</f>
        <v>0</v>
      </c>
      <c r="X644" s="144">
        <f>'Cronog. e Histog.'!AB281</f>
        <v>0</v>
      </c>
      <c r="Y644" s="144">
        <f>'Cronog. e Histog.'!AC281</f>
        <v>0</v>
      </c>
      <c r="Z644" s="144">
        <f>'Cronog. e Histog.'!AD281</f>
        <v>0</v>
      </c>
      <c r="AA644" s="144">
        <f>'Cronog. e Histog.'!AE281</f>
        <v>0</v>
      </c>
      <c r="AB644" s="144">
        <f>'Cronog. e Histog.'!AF281</f>
        <v>0</v>
      </c>
      <c r="AC644" s="144">
        <f>'Cronog. e Histog.'!AG281</f>
        <v>0</v>
      </c>
      <c r="AD644" s="144">
        <f>'Cronog. e Histog.'!AH281</f>
        <v>0</v>
      </c>
      <c r="AE644" s="144">
        <f>'Cronog. e Histog.'!AI281</f>
        <v>0</v>
      </c>
      <c r="AF644" s="144">
        <f>'Cronog. e Histog.'!AJ281</f>
        <v>0</v>
      </c>
      <c r="AG644" s="144">
        <f>'Cronog. e Histog.'!AK281</f>
        <v>0</v>
      </c>
      <c r="AH644" s="144">
        <f>'Cronog. e Histog.'!AL281</f>
        <v>0</v>
      </c>
      <c r="AI644" s="144">
        <f>'Cronog. e Histog.'!AM281</f>
        <v>0</v>
      </c>
      <c r="AJ644" s="144">
        <f>'Cronog. e Histog.'!AN281</f>
        <v>0</v>
      </c>
      <c r="AK644" s="144">
        <f>'Cronog. e Histog.'!AO281</f>
        <v>0</v>
      </c>
      <c r="AL644" s="144">
        <f>'Cronog. e Histog.'!AP281</f>
        <v>0</v>
      </c>
      <c r="AM644" s="144">
        <f>'Cronog. e Histog.'!AQ281</f>
        <v>0</v>
      </c>
      <c r="AN644" s="144">
        <f>'Cronog. e Histog.'!AR281</f>
        <v>0</v>
      </c>
      <c r="AO644" s="144">
        <f>'Cronog. e Histog.'!AS281</f>
        <v>0</v>
      </c>
      <c r="AP644" s="144">
        <f>'Cronog. e Histog.'!AT281</f>
        <v>0</v>
      </c>
      <c r="AQ644" s="144">
        <f>'Cronog. e Histog.'!AU281</f>
        <v>0</v>
      </c>
      <c r="AR644" s="144">
        <f>'Cronog. e Histog.'!AV281</f>
        <v>0</v>
      </c>
      <c r="AS644" s="144">
        <f>'Cronog. e Histog.'!AW281</f>
        <v>0</v>
      </c>
      <c r="AT644" s="144">
        <f>'Cronog. e Histog.'!AX281</f>
        <v>0</v>
      </c>
      <c r="AU644" s="144">
        <f>'Cronog. e Histog.'!AY281</f>
        <v>0</v>
      </c>
      <c r="AV644" s="144">
        <f>'Cronog. e Histog.'!AZ281</f>
        <v>0</v>
      </c>
      <c r="AW644" s="144">
        <f>'Cronog. e Histog.'!BA281</f>
        <v>0</v>
      </c>
      <c r="AX644" s="144">
        <f>'Cronog. e Histog.'!BB281</f>
        <v>0</v>
      </c>
      <c r="AY644" s="144">
        <f>'Cronog. e Histog.'!BC281</f>
        <v>0</v>
      </c>
      <c r="AZ644" s="144">
        <f>'Cronog. e Histog.'!BD281</f>
        <v>0</v>
      </c>
      <c r="BA644" s="144">
        <f>'Cronog. e Histog.'!BE281</f>
        <v>0</v>
      </c>
      <c r="BB644" s="144">
        <f>'Cronog. e Histog.'!BF281</f>
        <v>0</v>
      </c>
      <c r="BC644" s="144">
        <f>'Cronog. e Histog.'!BG281</f>
        <v>0</v>
      </c>
      <c r="BD644" s="144">
        <f>'Cronog. e Histog.'!BH281</f>
        <v>0</v>
      </c>
      <c r="BE644" s="144">
        <f>'Cronog. e Histog.'!BI281</f>
        <v>0</v>
      </c>
      <c r="BF644" s="144">
        <f>'Cronog. e Histog.'!BJ281</f>
        <v>0</v>
      </c>
      <c r="BG644" s="144">
        <f>'Cronog. e Histog.'!BK281</f>
        <v>0</v>
      </c>
      <c r="BH644" s="144">
        <f>'Cronog. e Histog.'!BL281</f>
        <v>0</v>
      </c>
      <c r="BI644" s="144">
        <f>'Cronog. e Histog.'!BM281</f>
        <v>0</v>
      </c>
      <c r="BJ644" s="144">
        <f>'Cronog. e Histog.'!BN281</f>
        <v>0</v>
      </c>
      <c r="BK644" s="144">
        <f>'Cronog. e Histog.'!BO281</f>
        <v>0</v>
      </c>
      <c r="BL644" s="144">
        <f>'Cronog. e Histog.'!BP281</f>
        <v>0</v>
      </c>
      <c r="BM644" s="144">
        <f>'Cronog. e Histog.'!BQ281</f>
        <v>0</v>
      </c>
      <c r="BN644" s="144">
        <f>'Cronog. e Histog.'!BR281</f>
        <v>0</v>
      </c>
      <c r="BO644" s="65"/>
      <c r="BP644" s="78" t="s">
        <v>1004</v>
      </c>
    </row>
    <row r="645" spans="2:68" ht="12" hidden="1" customHeight="1" outlineLevel="1">
      <c r="B645" s="76">
        <v>4</v>
      </c>
      <c r="C645" s="143" t="str">
        <f>"Caixa de Ferramentas - Equipe - "&amp;Tarefas!H6</f>
        <v>Caixa de Ferramentas - Equipe - SUPRIMENTOS</v>
      </c>
      <c r="D645" s="144">
        <f t="shared" si="24"/>
        <v>1</v>
      </c>
      <c r="E645" s="144">
        <f t="shared" si="25"/>
        <v>10</v>
      </c>
      <c r="F645" s="65"/>
      <c r="G645" s="144">
        <f>'Cronog. e Histog.'!K305</f>
        <v>0.3</v>
      </c>
      <c r="H645" s="144">
        <f>'Cronog. e Histog.'!L305</f>
        <v>0.3</v>
      </c>
      <c r="I645" s="144">
        <f>'Cronog. e Histog.'!M305</f>
        <v>0.3</v>
      </c>
      <c r="J645" s="144">
        <f>'Cronog. e Histog.'!N305</f>
        <v>0.3</v>
      </c>
      <c r="K645" s="144">
        <f>'Cronog. e Histog.'!O305</f>
        <v>0.3</v>
      </c>
      <c r="L645" s="144">
        <f>'Cronog. e Histog.'!P305</f>
        <v>0.3</v>
      </c>
      <c r="M645" s="144">
        <f>'Cronog. e Histog.'!Q305</f>
        <v>0.3</v>
      </c>
      <c r="N645" s="144">
        <f>'Cronog. e Histog.'!R305</f>
        <v>0.3</v>
      </c>
      <c r="O645" s="144">
        <f>'Cronog. e Histog.'!S305</f>
        <v>0.3</v>
      </c>
      <c r="P645" s="144">
        <f>'Cronog. e Histog.'!T305</f>
        <v>0.3</v>
      </c>
      <c r="Q645" s="144">
        <f>'Cronog. e Histog.'!U305</f>
        <v>0</v>
      </c>
      <c r="R645" s="144">
        <f>'Cronog. e Histog.'!V305</f>
        <v>0</v>
      </c>
      <c r="S645" s="144">
        <f>'Cronog. e Histog.'!W305</f>
        <v>0</v>
      </c>
      <c r="T645" s="144">
        <f>'Cronog. e Histog.'!X305</f>
        <v>0</v>
      </c>
      <c r="U645" s="144">
        <f>'Cronog. e Histog.'!Y305</f>
        <v>0</v>
      </c>
      <c r="V645" s="144">
        <f>'Cronog. e Histog.'!Z305</f>
        <v>0</v>
      </c>
      <c r="W645" s="144">
        <f>'Cronog. e Histog.'!AA305</f>
        <v>0</v>
      </c>
      <c r="X645" s="144">
        <f>'Cronog. e Histog.'!AB305</f>
        <v>0</v>
      </c>
      <c r="Y645" s="144">
        <f>'Cronog. e Histog.'!AC305</f>
        <v>0</v>
      </c>
      <c r="Z645" s="144">
        <f>'Cronog. e Histog.'!AD305</f>
        <v>0</v>
      </c>
      <c r="AA645" s="144">
        <f>'Cronog. e Histog.'!AE305</f>
        <v>0</v>
      </c>
      <c r="AB645" s="144">
        <f>'Cronog. e Histog.'!AF305</f>
        <v>0</v>
      </c>
      <c r="AC645" s="144">
        <f>'Cronog. e Histog.'!AG305</f>
        <v>0</v>
      </c>
      <c r="AD645" s="144">
        <f>'Cronog. e Histog.'!AH305</f>
        <v>0</v>
      </c>
      <c r="AE645" s="144">
        <f>'Cronog. e Histog.'!AI305</f>
        <v>0</v>
      </c>
      <c r="AF645" s="144">
        <f>'Cronog. e Histog.'!AJ305</f>
        <v>0</v>
      </c>
      <c r="AG645" s="144">
        <f>'Cronog. e Histog.'!AK305</f>
        <v>0</v>
      </c>
      <c r="AH645" s="144">
        <f>'Cronog. e Histog.'!AL305</f>
        <v>0</v>
      </c>
      <c r="AI645" s="144">
        <f>'Cronog. e Histog.'!AM305</f>
        <v>0</v>
      </c>
      <c r="AJ645" s="144">
        <f>'Cronog. e Histog.'!AN305</f>
        <v>0</v>
      </c>
      <c r="AK645" s="144">
        <f>'Cronog. e Histog.'!AO305</f>
        <v>0</v>
      </c>
      <c r="AL645" s="144">
        <f>'Cronog. e Histog.'!AP305</f>
        <v>0</v>
      </c>
      <c r="AM645" s="144">
        <f>'Cronog. e Histog.'!AQ305</f>
        <v>0</v>
      </c>
      <c r="AN645" s="144">
        <f>'Cronog. e Histog.'!AR305</f>
        <v>0</v>
      </c>
      <c r="AO645" s="144">
        <f>'Cronog. e Histog.'!AS305</f>
        <v>0</v>
      </c>
      <c r="AP645" s="144">
        <f>'Cronog. e Histog.'!AT305</f>
        <v>0</v>
      </c>
      <c r="AQ645" s="144">
        <f>'Cronog. e Histog.'!AU305</f>
        <v>0</v>
      </c>
      <c r="AR645" s="144">
        <f>'Cronog. e Histog.'!AV305</f>
        <v>0</v>
      </c>
      <c r="AS645" s="144">
        <f>'Cronog. e Histog.'!AW305</f>
        <v>0</v>
      </c>
      <c r="AT645" s="144">
        <f>'Cronog. e Histog.'!AX305</f>
        <v>0</v>
      </c>
      <c r="AU645" s="144">
        <f>'Cronog. e Histog.'!AY305</f>
        <v>0</v>
      </c>
      <c r="AV645" s="144">
        <f>'Cronog. e Histog.'!AZ305</f>
        <v>0</v>
      </c>
      <c r="AW645" s="144">
        <f>'Cronog. e Histog.'!BA305</f>
        <v>0</v>
      </c>
      <c r="AX645" s="144">
        <f>'Cronog. e Histog.'!BB305</f>
        <v>0</v>
      </c>
      <c r="AY645" s="144">
        <f>'Cronog. e Histog.'!BC305</f>
        <v>0</v>
      </c>
      <c r="AZ645" s="144">
        <f>'Cronog. e Histog.'!BD305</f>
        <v>0</v>
      </c>
      <c r="BA645" s="144">
        <f>'Cronog. e Histog.'!BE305</f>
        <v>0</v>
      </c>
      <c r="BB645" s="144">
        <f>'Cronog. e Histog.'!BF305</f>
        <v>0</v>
      </c>
      <c r="BC645" s="144">
        <f>'Cronog. e Histog.'!BG305</f>
        <v>0</v>
      </c>
      <c r="BD645" s="144">
        <f>'Cronog. e Histog.'!BH305</f>
        <v>0</v>
      </c>
      <c r="BE645" s="144">
        <f>'Cronog. e Histog.'!BI305</f>
        <v>0</v>
      </c>
      <c r="BF645" s="144">
        <f>'Cronog. e Histog.'!BJ305</f>
        <v>0</v>
      </c>
      <c r="BG645" s="144">
        <f>'Cronog. e Histog.'!BK305</f>
        <v>0</v>
      </c>
      <c r="BH645" s="144">
        <f>'Cronog. e Histog.'!BL305</f>
        <v>0</v>
      </c>
      <c r="BI645" s="144">
        <f>'Cronog. e Histog.'!BM305</f>
        <v>0</v>
      </c>
      <c r="BJ645" s="144">
        <f>'Cronog. e Histog.'!BN305</f>
        <v>0</v>
      </c>
      <c r="BK645" s="144">
        <f>'Cronog. e Histog.'!BO305</f>
        <v>0</v>
      </c>
      <c r="BL645" s="144">
        <f>'Cronog. e Histog.'!BP305</f>
        <v>0</v>
      </c>
      <c r="BM645" s="144">
        <f>'Cronog. e Histog.'!BQ305</f>
        <v>0</v>
      </c>
      <c r="BN645" s="144">
        <f>'Cronog. e Histog.'!BR305</f>
        <v>0</v>
      </c>
      <c r="BO645" s="65"/>
      <c r="BP645" s="78" t="s">
        <v>1004</v>
      </c>
    </row>
    <row r="646" spans="2:68" ht="12" hidden="1" customHeight="1" outlineLevel="1">
      <c r="B646" s="76">
        <v>5</v>
      </c>
      <c r="C646" s="143" t="str">
        <f>"Caixa de Ferramentas - Equipe - "&amp;Tarefas!H7</f>
        <v>Caixa de Ferramentas - Equipe - ORÇAMENTOS</v>
      </c>
      <c r="D646" s="144">
        <f t="shared" si="24"/>
        <v>1</v>
      </c>
      <c r="E646" s="144">
        <f t="shared" si="25"/>
        <v>10</v>
      </c>
      <c r="F646" s="65"/>
      <c r="G646" s="144">
        <f>'Cronog. e Histog.'!K329</f>
        <v>0.61</v>
      </c>
      <c r="H646" s="144">
        <f>'Cronog. e Histog.'!L329</f>
        <v>0.61</v>
      </c>
      <c r="I646" s="144">
        <f>'Cronog. e Histog.'!M329</f>
        <v>0.61</v>
      </c>
      <c r="J646" s="144">
        <f>'Cronog. e Histog.'!N329</f>
        <v>0.61</v>
      </c>
      <c r="K646" s="144">
        <f>'Cronog. e Histog.'!O329</f>
        <v>0.61</v>
      </c>
      <c r="L646" s="144">
        <f>'Cronog. e Histog.'!P329</f>
        <v>0.61</v>
      </c>
      <c r="M646" s="144">
        <f>'Cronog. e Histog.'!Q329</f>
        <v>0.61</v>
      </c>
      <c r="N646" s="144">
        <f>'Cronog. e Histog.'!R329</f>
        <v>0.61</v>
      </c>
      <c r="O646" s="144">
        <f>'Cronog. e Histog.'!S329</f>
        <v>0.61</v>
      </c>
      <c r="P646" s="144">
        <f>'Cronog. e Histog.'!T329</f>
        <v>0.61</v>
      </c>
      <c r="Q646" s="144">
        <f>'Cronog. e Histog.'!U329</f>
        <v>0</v>
      </c>
      <c r="R646" s="144">
        <f>'Cronog. e Histog.'!V329</f>
        <v>0</v>
      </c>
      <c r="S646" s="144">
        <f>'Cronog. e Histog.'!W329</f>
        <v>0</v>
      </c>
      <c r="T646" s="144">
        <f>'Cronog. e Histog.'!X329</f>
        <v>0</v>
      </c>
      <c r="U646" s="144">
        <f>'Cronog. e Histog.'!Y329</f>
        <v>0</v>
      </c>
      <c r="V646" s="144">
        <f>'Cronog. e Histog.'!Z329</f>
        <v>0</v>
      </c>
      <c r="W646" s="144">
        <f>'Cronog. e Histog.'!AA329</f>
        <v>0</v>
      </c>
      <c r="X646" s="144">
        <f>'Cronog. e Histog.'!AB329</f>
        <v>0</v>
      </c>
      <c r="Y646" s="144">
        <f>'Cronog. e Histog.'!AC329</f>
        <v>0</v>
      </c>
      <c r="Z646" s="144">
        <f>'Cronog. e Histog.'!AD329</f>
        <v>0</v>
      </c>
      <c r="AA646" s="144">
        <f>'Cronog. e Histog.'!AE329</f>
        <v>0</v>
      </c>
      <c r="AB646" s="144">
        <f>'Cronog. e Histog.'!AF329</f>
        <v>0</v>
      </c>
      <c r="AC646" s="144">
        <f>'Cronog. e Histog.'!AG329</f>
        <v>0</v>
      </c>
      <c r="AD646" s="144">
        <f>'Cronog. e Histog.'!AH329</f>
        <v>0</v>
      </c>
      <c r="AE646" s="144">
        <f>'Cronog. e Histog.'!AI329</f>
        <v>0</v>
      </c>
      <c r="AF646" s="144">
        <f>'Cronog. e Histog.'!AJ329</f>
        <v>0</v>
      </c>
      <c r="AG646" s="144">
        <f>'Cronog. e Histog.'!AK329</f>
        <v>0</v>
      </c>
      <c r="AH646" s="144">
        <f>'Cronog. e Histog.'!AL329</f>
        <v>0</v>
      </c>
      <c r="AI646" s="144">
        <f>'Cronog. e Histog.'!AM329</f>
        <v>0</v>
      </c>
      <c r="AJ646" s="144">
        <f>'Cronog. e Histog.'!AN329</f>
        <v>0</v>
      </c>
      <c r="AK646" s="144">
        <f>'Cronog. e Histog.'!AO329</f>
        <v>0</v>
      </c>
      <c r="AL646" s="144">
        <f>'Cronog. e Histog.'!AP329</f>
        <v>0</v>
      </c>
      <c r="AM646" s="144">
        <f>'Cronog. e Histog.'!AQ329</f>
        <v>0</v>
      </c>
      <c r="AN646" s="144">
        <f>'Cronog. e Histog.'!AR329</f>
        <v>0</v>
      </c>
      <c r="AO646" s="144">
        <f>'Cronog. e Histog.'!AS329</f>
        <v>0</v>
      </c>
      <c r="AP646" s="144">
        <f>'Cronog. e Histog.'!AT329</f>
        <v>0</v>
      </c>
      <c r="AQ646" s="144">
        <f>'Cronog. e Histog.'!AU329</f>
        <v>0</v>
      </c>
      <c r="AR646" s="144">
        <f>'Cronog. e Histog.'!AV329</f>
        <v>0</v>
      </c>
      <c r="AS646" s="144">
        <f>'Cronog. e Histog.'!AW329</f>
        <v>0</v>
      </c>
      <c r="AT646" s="144">
        <f>'Cronog. e Histog.'!AX329</f>
        <v>0</v>
      </c>
      <c r="AU646" s="144">
        <f>'Cronog. e Histog.'!AY329</f>
        <v>0</v>
      </c>
      <c r="AV646" s="144">
        <f>'Cronog. e Histog.'!AZ329</f>
        <v>0</v>
      </c>
      <c r="AW646" s="144">
        <f>'Cronog. e Histog.'!BA329</f>
        <v>0</v>
      </c>
      <c r="AX646" s="144">
        <f>'Cronog. e Histog.'!BB329</f>
        <v>0</v>
      </c>
      <c r="AY646" s="144">
        <f>'Cronog. e Histog.'!BC329</f>
        <v>0</v>
      </c>
      <c r="AZ646" s="144">
        <f>'Cronog. e Histog.'!BD329</f>
        <v>0</v>
      </c>
      <c r="BA646" s="144">
        <f>'Cronog. e Histog.'!BE329</f>
        <v>0</v>
      </c>
      <c r="BB646" s="144">
        <f>'Cronog. e Histog.'!BF329</f>
        <v>0</v>
      </c>
      <c r="BC646" s="144">
        <f>'Cronog. e Histog.'!BG329</f>
        <v>0</v>
      </c>
      <c r="BD646" s="144">
        <f>'Cronog. e Histog.'!BH329</f>
        <v>0</v>
      </c>
      <c r="BE646" s="144">
        <f>'Cronog. e Histog.'!BI329</f>
        <v>0</v>
      </c>
      <c r="BF646" s="144">
        <f>'Cronog. e Histog.'!BJ329</f>
        <v>0</v>
      </c>
      <c r="BG646" s="144">
        <f>'Cronog. e Histog.'!BK329</f>
        <v>0</v>
      </c>
      <c r="BH646" s="144">
        <f>'Cronog. e Histog.'!BL329</f>
        <v>0</v>
      </c>
      <c r="BI646" s="144">
        <f>'Cronog. e Histog.'!BM329</f>
        <v>0</v>
      </c>
      <c r="BJ646" s="144">
        <f>'Cronog. e Histog.'!BN329</f>
        <v>0</v>
      </c>
      <c r="BK646" s="144">
        <f>'Cronog. e Histog.'!BO329</f>
        <v>0</v>
      </c>
      <c r="BL646" s="144">
        <f>'Cronog. e Histog.'!BP329</f>
        <v>0</v>
      </c>
      <c r="BM646" s="144">
        <f>'Cronog. e Histog.'!BQ329</f>
        <v>0</v>
      </c>
      <c r="BN646" s="144">
        <f>'Cronog. e Histog.'!BR329</f>
        <v>0</v>
      </c>
      <c r="BO646" s="65"/>
      <c r="BP646" s="78" t="s">
        <v>1004</v>
      </c>
    </row>
    <row r="647" spans="2:68" ht="12" hidden="1" customHeight="1" outlineLevel="1">
      <c r="B647" s="76">
        <v>6</v>
      </c>
      <c r="C647" s="143" t="str">
        <f>"Caixa de Ferramentas - Equipe - "&amp;Tarefas!H8</f>
        <v xml:space="preserve">Caixa de Ferramentas - Equipe - </v>
      </c>
      <c r="D647" s="144">
        <f t="shared" si="24"/>
        <v>2</v>
      </c>
      <c r="E647" s="144">
        <f t="shared" si="25"/>
        <v>10</v>
      </c>
      <c r="F647" s="65"/>
      <c r="G647" s="144">
        <f>'Cronog. e Histog.'!K353</f>
        <v>1.08</v>
      </c>
      <c r="H647" s="144">
        <f>'Cronog. e Histog.'!L353</f>
        <v>1.08</v>
      </c>
      <c r="I647" s="144">
        <f>'Cronog. e Histog.'!M353</f>
        <v>1.08</v>
      </c>
      <c r="J647" s="144">
        <f>'Cronog. e Histog.'!N353</f>
        <v>1.08</v>
      </c>
      <c r="K647" s="144">
        <f>'Cronog. e Histog.'!O353</f>
        <v>1.08</v>
      </c>
      <c r="L647" s="144">
        <f>'Cronog. e Histog.'!P353</f>
        <v>1.08</v>
      </c>
      <c r="M647" s="144">
        <f>'Cronog. e Histog.'!Q353</f>
        <v>1.08</v>
      </c>
      <c r="N647" s="144">
        <f>'Cronog. e Histog.'!R353</f>
        <v>1.08</v>
      </c>
      <c r="O647" s="144">
        <f>'Cronog. e Histog.'!S353</f>
        <v>1.08</v>
      </c>
      <c r="P647" s="144">
        <f>'Cronog. e Histog.'!T353</f>
        <v>1.08</v>
      </c>
      <c r="Q647" s="144">
        <f>'Cronog. e Histog.'!U353</f>
        <v>0</v>
      </c>
      <c r="R647" s="144">
        <f>'Cronog. e Histog.'!V353</f>
        <v>0</v>
      </c>
      <c r="S647" s="144">
        <f>'Cronog. e Histog.'!W353</f>
        <v>0</v>
      </c>
      <c r="T647" s="144">
        <f>'Cronog. e Histog.'!X353</f>
        <v>0</v>
      </c>
      <c r="U647" s="144">
        <f>'Cronog. e Histog.'!Y353</f>
        <v>0</v>
      </c>
      <c r="V647" s="144">
        <f>'Cronog. e Histog.'!Z353</f>
        <v>0</v>
      </c>
      <c r="W647" s="144">
        <f>'Cronog. e Histog.'!AA353</f>
        <v>0</v>
      </c>
      <c r="X647" s="144">
        <f>'Cronog. e Histog.'!AB353</f>
        <v>0</v>
      </c>
      <c r="Y647" s="144">
        <f>'Cronog. e Histog.'!AC353</f>
        <v>0</v>
      </c>
      <c r="Z647" s="144">
        <f>'Cronog. e Histog.'!AD353</f>
        <v>0</v>
      </c>
      <c r="AA647" s="144">
        <f>'Cronog. e Histog.'!AE353</f>
        <v>0</v>
      </c>
      <c r="AB647" s="144">
        <f>'Cronog. e Histog.'!AF353</f>
        <v>0</v>
      </c>
      <c r="AC647" s="144">
        <f>'Cronog. e Histog.'!AG353</f>
        <v>0</v>
      </c>
      <c r="AD647" s="144">
        <f>'Cronog. e Histog.'!AH353</f>
        <v>0</v>
      </c>
      <c r="AE647" s="144">
        <f>'Cronog. e Histog.'!AI353</f>
        <v>0</v>
      </c>
      <c r="AF647" s="144">
        <f>'Cronog. e Histog.'!AJ353</f>
        <v>0</v>
      </c>
      <c r="AG647" s="144">
        <f>'Cronog. e Histog.'!AK353</f>
        <v>0</v>
      </c>
      <c r="AH647" s="144">
        <f>'Cronog. e Histog.'!AL353</f>
        <v>0</v>
      </c>
      <c r="AI647" s="144">
        <f>'Cronog. e Histog.'!AM353</f>
        <v>0</v>
      </c>
      <c r="AJ647" s="144">
        <f>'Cronog. e Histog.'!AN353</f>
        <v>0</v>
      </c>
      <c r="AK647" s="144">
        <f>'Cronog. e Histog.'!AO353</f>
        <v>0</v>
      </c>
      <c r="AL647" s="144">
        <f>'Cronog. e Histog.'!AP353</f>
        <v>0</v>
      </c>
      <c r="AM647" s="144">
        <f>'Cronog. e Histog.'!AQ353</f>
        <v>0</v>
      </c>
      <c r="AN647" s="144">
        <f>'Cronog. e Histog.'!AR353</f>
        <v>0</v>
      </c>
      <c r="AO647" s="144">
        <f>'Cronog. e Histog.'!AS353</f>
        <v>0</v>
      </c>
      <c r="AP647" s="144">
        <f>'Cronog. e Histog.'!AT353</f>
        <v>0</v>
      </c>
      <c r="AQ647" s="144">
        <f>'Cronog. e Histog.'!AU353</f>
        <v>0</v>
      </c>
      <c r="AR647" s="144">
        <f>'Cronog. e Histog.'!AV353</f>
        <v>0</v>
      </c>
      <c r="AS647" s="144">
        <f>'Cronog. e Histog.'!AW353</f>
        <v>0</v>
      </c>
      <c r="AT647" s="144">
        <f>'Cronog. e Histog.'!AX353</f>
        <v>0</v>
      </c>
      <c r="AU647" s="144">
        <f>'Cronog. e Histog.'!AY353</f>
        <v>0</v>
      </c>
      <c r="AV647" s="144">
        <f>'Cronog. e Histog.'!AZ353</f>
        <v>0</v>
      </c>
      <c r="AW647" s="144">
        <f>'Cronog. e Histog.'!BA353</f>
        <v>0</v>
      </c>
      <c r="AX647" s="144">
        <f>'Cronog. e Histog.'!BB353</f>
        <v>0</v>
      </c>
      <c r="AY647" s="144">
        <f>'Cronog. e Histog.'!BC353</f>
        <v>0</v>
      </c>
      <c r="AZ647" s="144">
        <f>'Cronog. e Histog.'!BD353</f>
        <v>0</v>
      </c>
      <c r="BA647" s="144">
        <f>'Cronog. e Histog.'!BE353</f>
        <v>0</v>
      </c>
      <c r="BB647" s="144">
        <f>'Cronog. e Histog.'!BF353</f>
        <v>0</v>
      </c>
      <c r="BC647" s="144">
        <f>'Cronog. e Histog.'!BG353</f>
        <v>0</v>
      </c>
      <c r="BD647" s="144">
        <f>'Cronog. e Histog.'!BH353</f>
        <v>0</v>
      </c>
      <c r="BE647" s="144">
        <f>'Cronog. e Histog.'!BI353</f>
        <v>0</v>
      </c>
      <c r="BF647" s="144">
        <f>'Cronog. e Histog.'!BJ353</f>
        <v>0</v>
      </c>
      <c r="BG647" s="144">
        <f>'Cronog. e Histog.'!BK353</f>
        <v>0</v>
      </c>
      <c r="BH647" s="144">
        <f>'Cronog. e Histog.'!BL353</f>
        <v>0</v>
      </c>
      <c r="BI647" s="144">
        <f>'Cronog. e Histog.'!BM353</f>
        <v>0</v>
      </c>
      <c r="BJ647" s="144">
        <f>'Cronog. e Histog.'!BN353</f>
        <v>0</v>
      </c>
      <c r="BK647" s="144">
        <f>'Cronog. e Histog.'!BO353</f>
        <v>0</v>
      </c>
      <c r="BL647" s="144">
        <f>'Cronog. e Histog.'!BP353</f>
        <v>0</v>
      </c>
      <c r="BM647" s="144">
        <f>'Cronog. e Histog.'!BQ353</f>
        <v>0</v>
      </c>
      <c r="BN647" s="144">
        <f>'Cronog. e Histog.'!BR353</f>
        <v>0</v>
      </c>
      <c r="BO647" s="65"/>
      <c r="BP647" s="78" t="s">
        <v>1004</v>
      </c>
    </row>
    <row r="648" spans="2:68" ht="12" hidden="1" customHeight="1" outlineLevel="1">
      <c r="B648" s="76">
        <v>7</v>
      </c>
      <c r="C648" s="143" t="str">
        <f>"Caixa de Ferramentas - Equipe - "&amp;Tarefas!H9</f>
        <v xml:space="preserve">Caixa de Ferramentas - Equipe - </v>
      </c>
      <c r="D648" s="144">
        <f t="shared" si="24"/>
        <v>0</v>
      </c>
      <c r="E648" s="144">
        <f t="shared" si="25"/>
        <v>0</v>
      </c>
      <c r="F648" s="65"/>
      <c r="G648" s="144">
        <f>'Cronog. e Histog.'!K377</f>
        <v>0</v>
      </c>
      <c r="H648" s="144">
        <f>'Cronog. e Histog.'!L377</f>
        <v>0</v>
      </c>
      <c r="I648" s="144">
        <f>'Cronog. e Histog.'!M377</f>
        <v>0</v>
      </c>
      <c r="J648" s="144">
        <f>'Cronog. e Histog.'!N377</f>
        <v>0</v>
      </c>
      <c r="K648" s="144">
        <f>'Cronog. e Histog.'!O377</f>
        <v>0</v>
      </c>
      <c r="L648" s="144">
        <f>'Cronog. e Histog.'!P377</f>
        <v>0</v>
      </c>
      <c r="M648" s="144">
        <f>'Cronog. e Histog.'!Q377</f>
        <v>0</v>
      </c>
      <c r="N648" s="144">
        <f>'Cronog. e Histog.'!R377</f>
        <v>0</v>
      </c>
      <c r="O648" s="144">
        <f>'Cronog. e Histog.'!S377</f>
        <v>0</v>
      </c>
      <c r="P648" s="144">
        <f>'Cronog. e Histog.'!T377</f>
        <v>0</v>
      </c>
      <c r="Q648" s="144">
        <f>'Cronog. e Histog.'!U377</f>
        <v>0</v>
      </c>
      <c r="R648" s="144">
        <f>'Cronog. e Histog.'!V377</f>
        <v>0</v>
      </c>
      <c r="S648" s="144">
        <f>'Cronog. e Histog.'!W377</f>
        <v>0</v>
      </c>
      <c r="T648" s="144">
        <f>'Cronog. e Histog.'!X377</f>
        <v>0</v>
      </c>
      <c r="U648" s="144">
        <f>'Cronog. e Histog.'!Y377</f>
        <v>0</v>
      </c>
      <c r="V648" s="144">
        <f>'Cronog. e Histog.'!Z377</f>
        <v>0</v>
      </c>
      <c r="W648" s="144">
        <f>'Cronog. e Histog.'!AA377</f>
        <v>0</v>
      </c>
      <c r="X648" s="144">
        <f>'Cronog. e Histog.'!AB377</f>
        <v>0</v>
      </c>
      <c r="Y648" s="144">
        <f>'Cronog. e Histog.'!AC377</f>
        <v>0</v>
      </c>
      <c r="Z648" s="144">
        <f>'Cronog. e Histog.'!AD377</f>
        <v>0</v>
      </c>
      <c r="AA648" s="144">
        <f>'Cronog. e Histog.'!AE377</f>
        <v>0</v>
      </c>
      <c r="AB648" s="144">
        <f>'Cronog. e Histog.'!AF377</f>
        <v>0</v>
      </c>
      <c r="AC648" s="144">
        <f>'Cronog. e Histog.'!AG377</f>
        <v>0</v>
      </c>
      <c r="AD648" s="144">
        <f>'Cronog. e Histog.'!AH377</f>
        <v>0</v>
      </c>
      <c r="AE648" s="144">
        <f>'Cronog. e Histog.'!AI377</f>
        <v>0</v>
      </c>
      <c r="AF648" s="144">
        <f>'Cronog. e Histog.'!AJ377</f>
        <v>0</v>
      </c>
      <c r="AG648" s="144">
        <f>'Cronog. e Histog.'!AK377</f>
        <v>0</v>
      </c>
      <c r="AH648" s="144">
        <f>'Cronog. e Histog.'!AL377</f>
        <v>0</v>
      </c>
      <c r="AI648" s="144">
        <f>'Cronog. e Histog.'!AM377</f>
        <v>0</v>
      </c>
      <c r="AJ648" s="144">
        <f>'Cronog. e Histog.'!AN377</f>
        <v>0</v>
      </c>
      <c r="AK648" s="144">
        <f>'Cronog. e Histog.'!AO377</f>
        <v>0</v>
      </c>
      <c r="AL648" s="144">
        <f>'Cronog. e Histog.'!AP377</f>
        <v>0</v>
      </c>
      <c r="AM648" s="144">
        <f>'Cronog. e Histog.'!AQ377</f>
        <v>0</v>
      </c>
      <c r="AN648" s="144">
        <f>'Cronog. e Histog.'!AR377</f>
        <v>0</v>
      </c>
      <c r="AO648" s="144">
        <f>'Cronog. e Histog.'!AS377</f>
        <v>0</v>
      </c>
      <c r="AP648" s="144">
        <f>'Cronog. e Histog.'!AT377</f>
        <v>0</v>
      </c>
      <c r="AQ648" s="144">
        <f>'Cronog. e Histog.'!AU377</f>
        <v>0</v>
      </c>
      <c r="AR648" s="144">
        <f>'Cronog. e Histog.'!AV377</f>
        <v>0</v>
      </c>
      <c r="AS648" s="144">
        <f>'Cronog. e Histog.'!AW377</f>
        <v>0</v>
      </c>
      <c r="AT648" s="144">
        <f>'Cronog. e Histog.'!AX377</f>
        <v>0</v>
      </c>
      <c r="AU648" s="144">
        <f>'Cronog. e Histog.'!AY377</f>
        <v>0</v>
      </c>
      <c r="AV648" s="144">
        <f>'Cronog. e Histog.'!AZ377</f>
        <v>0</v>
      </c>
      <c r="AW648" s="144">
        <f>'Cronog. e Histog.'!BA377</f>
        <v>0</v>
      </c>
      <c r="AX648" s="144">
        <f>'Cronog. e Histog.'!BB377</f>
        <v>0</v>
      </c>
      <c r="AY648" s="144">
        <f>'Cronog. e Histog.'!BC377</f>
        <v>0</v>
      </c>
      <c r="AZ648" s="144">
        <f>'Cronog. e Histog.'!BD377</f>
        <v>0</v>
      </c>
      <c r="BA648" s="144">
        <f>'Cronog. e Histog.'!BE377</f>
        <v>0</v>
      </c>
      <c r="BB648" s="144">
        <f>'Cronog. e Histog.'!BF377</f>
        <v>0</v>
      </c>
      <c r="BC648" s="144">
        <f>'Cronog. e Histog.'!BG377</f>
        <v>0</v>
      </c>
      <c r="BD648" s="144">
        <f>'Cronog. e Histog.'!BH377</f>
        <v>0</v>
      </c>
      <c r="BE648" s="144">
        <f>'Cronog. e Histog.'!BI377</f>
        <v>0</v>
      </c>
      <c r="BF648" s="144">
        <f>'Cronog. e Histog.'!BJ377</f>
        <v>0</v>
      </c>
      <c r="BG648" s="144">
        <f>'Cronog. e Histog.'!BK377</f>
        <v>0</v>
      </c>
      <c r="BH648" s="144">
        <f>'Cronog. e Histog.'!BL377</f>
        <v>0</v>
      </c>
      <c r="BI648" s="144">
        <f>'Cronog. e Histog.'!BM377</f>
        <v>0</v>
      </c>
      <c r="BJ648" s="144">
        <f>'Cronog. e Histog.'!BN377</f>
        <v>0</v>
      </c>
      <c r="BK648" s="144">
        <f>'Cronog. e Histog.'!BO377</f>
        <v>0</v>
      </c>
      <c r="BL648" s="144">
        <f>'Cronog. e Histog.'!BP377</f>
        <v>0</v>
      </c>
      <c r="BM648" s="144">
        <f>'Cronog. e Histog.'!BQ377</f>
        <v>0</v>
      </c>
      <c r="BN648" s="144">
        <f>'Cronog. e Histog.'!BR377</f>
        <v>0</v>
      </c>
      <c r="BO648" s="65"/>
      <c r="BP648" s="78" t="s">
        <v>1004</v>
      </c>
    </row>
    <row r="649" spans="2:68" ht="12" hidden="1" customHeight="1" outlineLevel="1">
      <c r="B649" s="76">
        <v>8</v>
      </c>
      <c r="C649" s="143" t="str">
        <f>"Caixa de Ferramentas - Equipe - "&amp;Tarefas!H10</f>
        <v xml:space="preserve">Caixa de Ferramentas - Equipe - </v>
      </c>
      <c r="D649" s="144">
        <f t="shared" si="24"/>
        <v>0</v>
      </c>
      <c r="E649" s="144">
        <f t="shared" si="25"/>
        <v>0</v>
      </c>
      <c r="F649" s="65"/>
      <c r="G649" s="144">
        <f>'Cronog. e Histog.'!K401</f>
        <v>0</v>
      </c>
      <c r="H649" s="144">
        <f>'Cronog. e Histog.'!L401</f>
        <v>0</v>
      </c>
      <c r="I649" s="144">
        <f>'Cronog. e Histog.'!M401</f>
        <v>0</v>
      </c>
      <c r="J649" s="144">
        <f>'Cronog. e Histog.'!N401</f>
        <v>0</v>
      </c>
      <c r="K649" s="144">
        <f>'Cronog. e Histog.'!O401</f>
        <v>0</v>
      </c>
      <c r="L649" s="144">
        <f>'Cronog. e Histog.'!P401</f>
        <v>0</v>
      </c>
      <c r="M649" s="144">
        <f>'Cronog. e Histog.'!Q401</f>
        <v>0</v>
      </c>
      <c r="N649" s="144">
        <f>'Cronog. e Histog.'!R401</f>
        <v>0</v>
      </c>
      <c r="O649" s="144">
        <f>'Cronog. e Histog.'!S401</f>
        <v>0</v>
      </c>
      <c r="P649" s="144">
        <f>'Cronog. e Histog.'!T401</f>
        <v>0</v>
      </c>
      <c r="Q649" s="144">
        <f>'Cronog. e Histog.'!U401</f>
        <v>0</v>
      </c>
      <c r="R649" s="144">
        <f>'Cronog. e Histog.'!V401</f>
        <v>0</v>
      </c>
      <c r="S649" s="144">
        <f>'Cronog. e Histog.'!W401</f>
        <v>0</v>
      </c>
      <c r="T649" s="144">
        <f>'Cronog. e Histog.'!X401</f>
        <v>0</v>
      </c>
      <c r="U649" s="144">
        <f>'Cronog. e Histog.'!Y401</f>
        <v>0</v>
      </c>
      <c r="V649" s="144">
        <f>'Cronog. e Histog.'!Z401</f>
        <v>0</v>
      </c>
      <c r="W649" s="144">
        <f>'Cronog. e Histog.'!AA401</f>
        <v>0</v>
      </c>
      <c r="X649" s="144">
        <f>'Cronog. e Histog.'!AB401</f>
        <v>0</v>
      </c>
      <c r="Y649" s="144">
        <f>'Cronog. e Histog.'!AC401</f>
        <v>0</v>
      </c>
      <c r="Z649" s="144">
        <f>'Cronog. e Histog.'!AD401</f>
        <v>0</v>
      </c>
      <c r="AA649" s="144">
        <f>'Cronog. e Histog.'!AE401</f>
        <v>0</v>
      </c>
      <c r="AB649" s="144">
        <f>'Cronog. e Histog.'!AF401</f>
        <v>0</v>
      </c>
      <c r="AC649" s="144">
        <f>'Cronog. e Histog.'!AG401</f>
        <v>0</v>
      </c>
      <c r="AD649" s="144">
        <f>'Cronog. e Histog.'!AH401</f>
        <v>0</v>
      </c>
      <c r="AE649" s="144">
        <f>'Cronog. e Histog.'!AI401</f>
        <v>0</v>
      </c>
      <c r="AF649" s="144">
        <f>'Cronog. e Histog.'!AJ401</f>
        <v>0</v>
      </c>
      <c r="AG649" s="144">
        <f>'Cronog. e Histog.'!AK401</f>
        <v>0</v>
      </c>
      <c r="AH649" s="144">
        <f>'Cronog. e Histog.'!AL401</f>
        <v>0</v>
      </c>
      <c r="AI649" s="144">
        <f>'Cronog. e Histog.'!AM401</f>
        <v>0</v>
      </c>
      <c r="AJ649" s="144">
        <f>'Cronog. e Histog.'!AN401</f>
        <v>0</v>
      </c>
      <c r="AK649" s="144">
        <f>'Cronog. e Histog.'!AO401</f>
        <v>0</v>
      </c>
      <c r="AL649" s="144">
        <f>'Cronog. e Histog.'!AP401</f>
        <v>0</v>
      </c>
      <c r="AM649" s="144">
        <f>'Cronog. e Histog.'!AQ401</f>
        <v>0</v>
      </c>
      <c r="AN649" s="144">
        <f>'Cronog. e Histog.'!AR401</f>
        <v>0</v>
      </c>
      <c r="AO649" s="144">
        <f>'Cronog. e Histog.'!AS401</f>
        <v>0</v>
      </c>
      <c r="AP649" s="144">
        <f>'Cronog. e Histog.'!AT401</f>
        <v>0</v>
      </c>
      <c r="AQ649" s="144">
        <f>'Cronog. e Histog.'!AU401</f>
        <v>0</v>
      </c>
      <c r="AR649" s="144">
        <f>'Cronog. e Histog.'!AV401</f>
        <v>0</v>
      </c>
      <c r="AS649" s="144">
        <f>'Cronog. e Histog.'!AW401</f>
        <v>0</v>
      </c>
      <c r="AT649" s="144">
        <f>'Cronog. e Histog.'!AX401</f>
        <v>0</v>
      </c>
      <c r="AU649" s="144">
        <f>'Cronog. e Histog.'!AY401</f>
        <v>0</v>
      </c>
      <c r="AV649" s="144">
        <f>'Cronog. e Histog.'!AZ401</f>
        <v>0</v>
      </c>
      <c r="AW649" s="144">
        <f>'Cronog. e Histog.'!BA401</f>
        <v>0</v>
      </c>
      <c r="AX649" s="144">
        <f>'Cronog. e Histog.'!BB401</f>
        <v>0</v>
      </c>
      <c r="AY649" s="144">
        <f>'Cronog. e Histog.'!BC401</f>
        <v>0</v>
      </c>
      <c r="AZ649" s="144">
        <f>'Cronog. e Histog.'!BD401</f>
        <v>0</v>
      </c>
      <c r="BA649" s="144">
        <f>'Cronog. e Histog.'!BE401</f>
        <v>0</v>
      </c>
      <c r="BB649" s="144">
        <f>'Cronog. e Histog.'!BF401</f>
        <v>0</v>
      </c>
      <c r="BC649" s="144">
        <f>'Cronog. e Histog.'!BG401</f>
        <v>0</v>
      </c>
      <c r="BD649" s="144">
        <f>'Cronog. e Histog.'!BH401</f>
        <v>0</v>
      </c>
      <c r="BE649" s="144">
        <f>'Cronog. e Histog.'!BI401</f>
        <v>0</v>
      </c>
      <c r="BF649" s="144">
        <f>'Cronog. e Histog.'!BJ401</f>
        <v>0</v>
      </c>
      <c r="BG649" s="144">
        <f>'Cronog. e Histog.'!BK401</f>
        <v>0</v>
      </c>
      <c r="BH649" s="144">
        <f>'Cronog. e Histog.'!BL401</f>
        <v>0</v>
      </c>
      <c r="BI649" s="144">
        <f>'Cronog. e Histog.'!BM401</f>
        <v>0</v>
      </c>
      <c r="BJ649" s="144">
        <f>'Cronog. e Histog.'!BN401</f>
        <v>0</v>
      </c>
      <c r="BK649" s="144">
        <f>'Cronog. e Histog.'!BO401</f>
        <v>0</v>
      </c>
      <c r="BL649" s="144">
        <f>'Cronog. e Histog.'!BP401</f>
        <v>0</v>
      </c>
      <c r="BM649" s="144">
        <f>'Cronog. e Histog.'!BQ401</f>
        <v>0</v>
      </c>
      <c r="BN649" s="144">
        <f>'Cronog. e Histog.'!BR401</f>
        <v>0</v>
      </c>
      <c r="BO649" s="65"/>
      <c r="BP649" s="78" t="s">
        <v>1004</v>
      </c>
    </row>
    <row r="650" spans="2:68" ht="12" hidden="1" customHeight="1" outlineLevel="1">
      <c r="B650" s="76">
        <v>9</v>
      </c>
      <c r="C650" s="143" t="str">
        <f>"Caixa de Ferramentas - Equipe - "&amp;Tarefas!H11</f>
        <v xml:space="preserve">Caixa de Ferramentas - Equipe - </v>
      </c>
      <c r="D650" s="144">
        <f t="shared" si="24"/>
        <v>0</v>
      </c>
      <c r="E650" s="144">
        <f t="shared" si="25"/>
        <v>0</v>
      </c>
      <c r="F650" s="65"/>
      <c r="G650" s="144">
        <f>'Cronog. e Histog.'!K425</f>
        <v>0</v>
      </c>
      <c r="H650" s="144">
        <f>'Cronog. e Histog.'!L425</f>
        <v>0</v>
      </c>
      <c r="I650" s="144">
        <f>'Cronog. e Histog.'!M425</f>
        <v>0</v>
      </c>
      <c r="J650" s="144">
        <f>'Cronog. e Histog.'!N425</f>
        <v>0</v>
      </c>
      <c r="K650" s="144">
        <f>'Cronog. e Histog.'!O425</f>
        <v>0</v>
      </c>
      <c r="L650" s="144">
        <f>'Cronog. e Histog.'!P425</f>
        <v>0</v>
      </c>
      <c r="M650" s="144">
        <f>'Cronog. e Histog.'!Q425</f>
        <v>0</v>
      </c>
      <c r="N650" s="144">
        <f>'Cronog. e Histog.'!R425</f>
        <v>0</v>
      </c>
      <c r="O650" s="144">
        <f>'Cronog. e Histog.'!S425</f>
        <v>0</v>
      </c>
      <c r="P650" s="144">
        <f>'Cronog. e Histog.'!T425</f>
        <v>0</v>
      </c>
      <c r="Q650" s="144">
        <f>'Cronog. e Histog.'!U425</f>
        <v>0</v>
      </c>
      <c r="R650" s="144">
        <f>'Cronog. e Histog.'!V425</f>
        <v>0</v>
      </c>
      <c r="S650" s="144">
        <f>'Cronog. e Histog.'!W425</f>
        <v>0</v>
      </c>
      <c r="T650" s="144">
        <f>'Cronog. e Histog.'!X425</f>
        <v>0</v>
      </c>
      <c r="U650" s="144">
        <f>'Cronog. e Histog.'!Y425</f>
        <v>0</v>
      </c>
      <c r="V650" s="144">
        <f>'Cronog. e Histog.'!Z425</f>
        <v>0</v>
      </c>
      <c r="W650" s="144">
        <f>'Cronog. e Histog.'!AA425</f>
        <v>0</v>
      </c>
      <c r="X650" s="144">
        <f>'Cronog. e Histog.'!AB425</f>
        <v>0</v>
      </c>
      <c r="Y650" s="144">
        <f>'Cronog. e Histog.'!AC425</f>
        <v>0</v>
      </c>
      <c r="Z650" s="144">
        <f>'Cronog. e Histog.'!AD425</f>
        <v>0</v>
      </c>
      <c r="AA650" s="144">
        <f>'Cronog. e Histog.'!AE425</f>
        <v>0</v>
      </c>
      <c r="AB650" s="144">
        <f>'Cronog. e Histog.'!AF425</f>
        <v>0</v>
      </c>
      <c r="AC650" s="144">
        <f>'Cronog. e Histog.'!AG425</f>
        <v>0</v>
      </c>
      <c r="AD650" s="144">
        <f>'Cronog. e Histog.'!AH425</f>
        <v>0</v>
      </c>
      <c r="AE650" s="144">
        <f>'Cronog. e Histog.'!AI425</f>
        <v>0</v>
      </c>
      <c r="AF650" s="144">
        <f>'Cronog. e Histog.'!AJ425</f>
        <v>0</v>
      </c>
      <c r="AG650" s="144">
        <f>'Cronog. e Histog.'!AK425</f>
        <v>0</v>
      </c>
      <c r="AH650" s="144">
        <f>'Cronog. e Histog.'!AL425</f>
        <v>0</v>
      </c>
      <c r="AI650" s="144">
        <f>'Cronog. e Histog.'!AM425</f>
        <v>0</v>
      </c>
      <c r="AJ650" s="144">
        <f>'Cronog. e Histog.'!AN425</f>
        <v>0</v>
      </c>
      <c r="AK650" s="144">
        <f>'Cronog. e Histog.'!AO425</f>
        <v>0</v>
      </c>
      <c r="AL650" s="144">
        <f>'Cronog. e Histog.'!AP425</f>
        <v>0</v>
      </c>
      <c r="AM650" s="144">
        <f>'Cronog. e Histog.'!AQ425</f>
        <v>0</v>
      </c>
      <c r="AN650" s="144">
        <f>'Cronog. e Histog.'!AR425</f>
        <v>0</v>
      </c>
      <c r="AO650" s="144">
        <f>'Cronog. e Histog.'!AS425</f>
        <v>0</v>
      </c>
      <c r="AP650" s="144">
        <f>'Cronog. e Histog.'!AT425</f>
        <v>0</v>
      </c>
      <c r="AQ650" s="144">
        <f>'Cronog. e Histog.'!AU425</f>
        <v>0</v>
      </c>
      <c r="AR650" s="144">
        <f>'Cronog. e Histog.'!AV425</f>
        <v>0</v>
      </c>
      <c r="AS650" s="144">
        <f>'Cronog. e Histog.'!AW425</f>
        <v>0</v>
      </c>
      <c r="AT650" s="144">
        <f>'Cronog. e Histog.'!AX425</f>
        <v>0</v>
      </c>
      <c r="AU650" s="144">
        <f>'Cronog. e Histog.'!AY425</f>
        <v>0</v>
      </c>
      <c r="AV650" s="144">
        <f>'Cronog. e Histog.'!AZ425</f>
        <v>0</v>
      </c>
      <c r="AW650" s="144">
        <f>'Cronog. e Histog.'!BA425</f>
        <v>0</v>
      </c>
      <c r="AX650" s="144">
        <f>'Cronog. e Histog.'!BB425</f>
        <v>0</v>
      </c>
      <c r="AY650" s="144">
        <f>'Cronog. e Histog.'!BC425</f>
        <v>0</v>
      </c>
      <c r="AZ650" s="144">
        <f>'Cronog. e Histog.'!BD425</f>
        <v>0</v>
      </c>
      <c r="BA650" s="144">
        <f>'Cronog. e Histog.'!BE425</f>
        <v>0</v>
      </c>
      <c r="BB650" s="144">
        <f>'Cronog. e Histog.'!BF425</f>
        <v>0</v>
      </c>
      <c r="BC650" s="144">
        <f>'Cronog. e Histog.'!BG425</f>
        <v>0</v>
      </c>
      <c r="BD650" s="144">
        <f>'Cronog. e Histog.'!BH425</f>
        <v>0</v>
      </c>
      <c r="BE650" s="144">
        <f>'Cronog. e Histog.'!BI425</f>
        <v>0</v>
      </c>
      <c r="BF650" s="144">
        <f>'Cronog. e Histog.'!BJ425</f>
        <v>0</v>
      </c>
      <c r="BG650" s="144">
        <f>'Cronog. e Histog.'!BK425</f>
        <v>0</v>
      </c>
      <c r="BH650" s="144">
        <f>'Cronog. e Histog.'!BL425</f>
        <v>0</v>
      </c>
      <c r="BI650" s="144">
        <f>'Cronog. e Histog.'!BM425</f>
        <v>0</v>
      </c>
      <c r="BJ650" s="144">
        <f>'Cronog. e Histog.'!BN425</f>
        <v>0</v>
      </c>
      <c r="BK650" s="144">
        <f>'Cronog. e Histog.'!BO425</f>
        <v>0</v>
      </c>
      <c r="BL650" s="144">
        <f>'Cronog. e Histog.'!BP425</f>
        <v>0</v>
      </c>
      <c r="BM650" s="144">
        <f>'Cronog. e Histog.'!BQ425</f>
        <v>0</v>
      </c>
      <c r="BN650" s="144">
        <f>'Cronog. e Histog.'!BR425</f>
        <v>0</v>
      </c>
      <c r="BO650" s="65"/>
      <c r="BP650" s="78" t="s">
        <v>1004</v>
      </c>
    </row>
    <row r="651" spans="2:68" ht="12" hidden="1" customHeight="1" outlineLevel="1">
      <c r="B651" s="76">
        <v>10</v>
      </c>
      <c r="C651" s="143" t="str">
        <f>"Caixa de Ferramentas - Equipe - "&amp;Tarefas!H12</f>
        <v xml:space="preserve">Caixa de Ferramentas - Equipe - </v>
      </c>
      <c r="D651" s="144">
        <f t="shared" si="24"/>
        <v>1</v>
      </c>
      <c r="E651" s="144">
        <f t="shared" si="25"/>
        <v>10</v>
      </c>
      <c r="F651" s="65"/>
      <c r="G651" s="144">
        <f>'Cronog. e Histog.'!K449</f>
        <v>6.9999999999999993E-2</v>
      </c>
      <c r="H651" s="144">
        <f>'Cronog. e Histog.'!L449</f>
        <v>6.9999999999999993E-2</v>
      </c>
      <c r="I651" s="144">
        <f>'Cronog. e Histog.'!M449</f>
        <v>6.9999999999999993E-2</v>
      </c>
      <c r="J651" s="144">
        <f>'Cronog. e Histog.'!N449</f>
        <v>6.9999999999999993E-2</v>
      </c>
      <c r="K651" s="144">
        <f>'Cronog. e Histog.'!O449</f>
        <v>6.9999999999999993E-2</v>
      </c>
      <c r="L651" s="144">
        <f>'Cronog. e Histog.'!P449</f>
        <v>6.9999999999999993E-2</v>
      </c>
      <c r="M651" s="144">
        <f>'Cronog. e Histog.'!Q449</f>
        <v>6.9999999999999993E-2</v>
      </c>
      <c r="N651" s="144">
        <f>'Cronog. e Histog.'!R449</f>
        <v>6.9999999999999993E-2</v>
      </c>
      <c r="O651" s="144">
        <f>'Cronog. e Histog.'!S449</f>
        <v>6.9999999999999993E-2</v>
      </c>
      <c r="P651" s="144">
        <f>'Cronog. e Histog.'!T449</f>
        <v>6.9999999999999993E-2</v>
      </c>
      <c r="Q651" s="144">
        <f>'Cronog. e Histog.'!U449</f>
        <v>0</v>
      </c>
      <c r="R651" s="144">
        <f>'Cronog. e Histog.'!V449</f>
        <v>0</v>
      </c>
      <c r="S651" s="144">
        <f>'Cronog. e Histog.'!W449</f>
        <v>0</v>
      </c>
      <c r="T651" s="144">
        <f>'Cronog. e Histog.'!X449</f>
        <v>0</v>
      </c>
      <c r="U651" s="144">
        <f>'Cronog. e Histog.'!Y449</f>
        <v>0</v>
      </c>
      <c r="V651" s="144">
        <f>'Cronog. e Histog.'!Z449</f>
        <v>0</v>
      </c>
      <c r="W651" s="144">
        <f>'Cronog. e Histog.'!AA449</f>
        <v>0</v>
      </c>
      <c r="X651" s="144">
        <f>'Cronog. e Histog.'!AB449</f>
        <v>0</v>
      </c>
      <c r="Y651" s="144">
        <f>'Cronog. e Histog.'!AC449</f>
        <v>0</v>
      </c>
      <c r="Z651" s="144">
        <f>'Cronog. e Histog.'!AD449</f>
        <v>0</v>
      </c>
      <c r="AA651" s="144">
        <f>'Cronog. e Histog.'!AE449</f>
        <v>0</v>
      </c>
      <c r="AB651" s="144">
        <f>'Cronog. e Histog.'!AF449</f>
        <v>0</v>
      </c>
      <c r="AC651" s="144">
        <f>'Cronog. e Histog.'!AG449</f>
        <v>0</v>
      </c>
      <c r="AD651" s="144">
        <f>'Cronog. e Histog.'!AH449</f>
        <v>0</v>
      </c>
      <c r="AE651" s="144">
        <f>'Cronog. e Histog.'!AI449</f>
        <v>0</v>
      </c>
      <c r="AF651" s="144">
        <f>'Cronog. e Histog.'!AJ449</f>
        <v>0</v>
      </c>
      <c r="AG651" s="144">
        <f>'Cronog. e Histog.'!AK449</f>
        <v>0</v>
      </c>
      <c r="AH651" s="144">
        <f>'Cronog. e Histog.'!AL449</f>
        <v>0</v>
      </c>
      <c r="AI651" s="144">
        <f>'Cronog. e Histog.'!AM449</f>
        <v>0</v>
      </c>
      <c r="AJ651" s="144">
        <f>'Cronog. e Histog.'!AN449</f>
        <v>0</v>
      </c>
      <c r="AK651" s="144">
        <f>'Cronog. e Histog.'!AO449</f>
        <v>0</v>
      </c>
      <c r="AL651" s="144">
        <f>'Cronog. e Histog.'!AP449</f>
        <v>0</v>
      </c>
      <c r="AM651" s="144">
        <f>'Cronog. e Histog.'!AQ449</f>
        <v>0</v>
      </c>
      <c r="AN651" s="144">
        <f>'Cronog. e Histog.'!AR449</f>
        <v>0</v>
      </c>
      <c r="AO651" s="144">
        <f>'Cronog. e Histog.'!AS449</f>
        <v>0</v>
      </c>
      <c r="AP651" s="144">
        <f>'Cronog. e Histog.'!AT449</f>
        <v>0</v>
      </c>
      <c r="AQ651" s="144">
        <f>'Cronog. e Histog.'!AU449</f>
        <v>0</v>
      </c>
      <c r="AR651" s="144">
        <f>'Cronog. e Histog.'!AV449</f>
        <v>0</v>
      </c>
      <c r="AS651" s="144">
        <f>'Cronog. e Histog.'!AW449</f>
        <v>0</v>
      </c>
      <c r="AT651" s="144">
        <f>'Cronog. e Histog.'!AX449</f>
        <v>0</v>
      </c>
      <c r="AU651" s="144">
        <f>'Cronog. e Histog.'!AY449</f>
        <v>0</v>
      </c>
      <c r="AV651" s="144">
        <f>'Cronog. e Histog.'!AZ449</f>
        <v>0</v>
      </c>
      <c r="AW651" s="144">
        <f>'Cronog. e Histog.'!BA449</f>
        <v>0</v>
      </c>
      <c r="AX651" s="144">
        <f>'Cronog. e Histog.'!BB449</f>
        <v>0</v>
      </c>
      <c r="AY651" s="144">
        <f>'Cronog. e Histog.'!BC449</f>
        <v>0</v>
      </c>
      <c r="AZ651" s="144">
        <f>'Cronog. e Histog.'!BD449</f>
        <v>0</v>
      </c>
      <c r="BA651" s="144">
        <f>'Cronog. e Histog.'!BE449</f>
        <v>0</v>
      </c>
      <c r="BB651" s="144">
        <f>'Cronog. e Histog.'!BF449</f>
        <v>0</v>
      </c>
      <c r="BC651" s="144">
        <f>'Cronog. e Histog.'!BG449</f>
        <v>0</v>
      </c>
      <c r="BD651" s="144">
        <f>'Cronog. e Histog.'!BH449</f>
        <v>0</v>
      </c>
      <c r="BE651" s="144">
        <f>'Cronog. e Histog.'!BI449</f>
        <v>0</v>
      </c>
      <c r="BF651" s="144">
        <f>'Cronog. e Histog.'!BJ449</f>
        <v>0</v>
      </c>
      <c r="BG651" s="144">
        <f>'Cronog. e Histog.'!BK449</f>
        <v>0</v>
      </c>
      <c r="BH651" s="144">
        <f>'Cronog. e Histog.'!BL449</f>
        <v>0</v>
      </c>
      <c r="BI651" s="144">
        <f>'Cronog. e Histog.'!BM449</f>
        <v>0</v>
      </c>
      <c r="BJ651" s="144">
        <f>'Cronog. e Histog.'!BN449</f>
        <v>0</v>
      </c>
      <c r="BK651" s="144">
        <f>'Cronog. e Histog.'!BO449</f>
        <v>0</v>
      </c>
      <c r="BL651" s="144">
        <f>'Cronog. e Histog.'!BP449</f>
        <v>0</v>
      </c>
      <c r="BM651" s="144">
        <f>'Cronog. e Histog.'!BQ449</f>
        <v>0</v>
      </c>
      <c r="BN651" s="144">
        <f>'Cronog. e Histog.'!BR449</f>
        <v>0</v>
      </c>
      <c r="BO651" s="65"/>
      <c r="BP651" s="78" t="s">
        <v>1004</v>
      </c>
    </row>
    <row r="652" spans="2:68" ht="12" hidden="1" customHeight="1" outlineLevel="1">
      <c r="B652" s="76">
        <v>11</v>
      </c>
      <c r="C652" s="143" t="str">
        <f>"Caixa de Ferramentas - Equipe - "&amp;Tarefas!H13</f>
        <v xml:space="preserve">Caixa de Ferramentas - Equipe - </v>
      </c>
      <c r="D652" s="144">
        <f t="shared" si="24"/>
        <v>0</v>
      </c>
      <c r="E652" s="144">
        <f t="shared" si="25"/>
        <v>0</v>
      </c>
      <c r="F652" s="65"/>
      <c r="G652" s="144">
        <f>'Cronog. e Histog.'!K473</f>
        <v>0</v>
      </c>
      <c r="H652" s="144">
        <f>'Cronog. e Histog.'!L473</f>
        <v>0</v>
      </c>
      <c r="I652" s="144">
        <f>'Cronog. e Histog.'!M473</f>
        <v>0</v>
      </c>
      <c r="J652" s="144">
        <f>'Cronog. e Histog.'!N473</f>
        <v>0</v>
      </c>
      <c r="K652" s="144">
        <f>'Cronog. e Histog.'!O473</f>
        <v>0</v>
      </c>
      <c r="L652" s="144">
        <f>'Cronog. e Histog.'!P473</f>
        <v>0</v>
      </c>
      <c r="M652" s="144">
        <f>'Cronog. e Histog.'!Q473</f>
        <v>0</v>
      </c>
      <c r="N652" s="144">
        <f>'Cronog. e Histog.'!R473</f>
        <v>0</v>
      </c>
      <c r="O652" s="144">
        <f>'Cronog. e Histog.'!S473</f>
        <v>0</v>
      </c>
      <c r="P652" s="144">
        <f>'Cronog. e Histog.'!T473</f>
        <v>0</v>
      </c>
      <c r="Q652" s="144">
        <f>'Cronog. e Histog.'!U473</f>
        <v>0</v>
      </c>
      <c r="R652" s="144">
        <f>'Cronog. e Histog.'!V473</f>
        <v>0</v>
      </c>
      <c r="S652" s="144">
        <f>'Cronog. e Histog.'!W473</f>
        <v>0</v>
      </c>
      <c r="T652" s="144">
        <f>'Cronog. e Histog.'!X473</f>
        <v>0</v>
      </c>
      <c r="U652" s="144">
        <f>'Cronog. e Histog.'!Y473</f>
        <v>0</v>
      </c>
      <c r="V652" s="144">
        <f>'Cronog. e Histog.'!Z473</f>
        <v>0</v>
      </c>
      <c r="W652" s="144">
        <f>'Cronog. e Histog.'!AA473</f>
        <v>0</v>
      </c>
      <c r="X652" s="144">
        <f>'Cronog. e Histog.'!AB473</f>
        <v>0</v>
      </c>
      <c r="Y652" s="144">
        <f>'Cronog. e Histog.'!AC473</f>
        <v>0</v>
      </c>
      <c r="Z652" s="144">
        <f>'Cronog. e Histog.'!AD473</f>
        <v>0</v>
      </c>
      <c r="AA652" s="144">
        <f>'Cronog. e Histog.'!AE473</f>
        <v>0</v>
      </c>
      <c r="AB652" s="144">
        <f>'Cronog. e Histog.'!AF473</f>
        <v>0</v>
      </c>
      <c r="AC652" s="144">
        <f>'Cronog. e Histog.'!AG473</f>
        <v>0</v>
      </c>
      <c r="AD652" s="144">
        <f>'Cronog. e Histog.'!AH473</f>
        <v>0</v>
      </c>
      <c r="AE652" s="144">
        <f>'Cronog. e Histog.'!AI473</f>
        <v>0</v>
      </c>
      <c r="AF652" s="144">
        <f>'Cronog. e Histog.'!AJ473</f>
        <v>0</v>
      </c>
      <c r="AG652" s="144">
        <f>'Cronog. e Histog.'!AK473</f>
        <v>0</v>
      </c>
      <c r="AH652" s="144">
        <f>'Cronog. e Histog.'!AL473</f>
        <v>0</v>
      </c>
      <c r="AI652" s="144">
        <f>'Cronog. e Histog.'!AM473</f>
        <v>0</v>
      </c>
      <c r="AJ652" s="144">
        <f>'Cronog. e Histog.'!AN473</f>
        <v>0</v>
      </c>
      <c r="AK652" s="144">
        <f>'Cronog. e Histog.'!AO473</f>
        <v>0</v>
      </c>
      <c r="AL652" s="144">
        <f>'Cronog. e Histog.'!AP473</f>
        <v>0</v>
      </c>
      <c r="AM652" s="144">
        <f>'Cronog. e Histog.'!AQ473</f>
        <v>0</v>
      </c>
      <c r="AN652" s="144">
        <f>'Cronog. e Histog.'!AR473</f>
        <v>0</v>
      </c>
      <c r="AO652" s="144">
        <f>'Cronog. e Histog.'!AS473</f>
        <v>0</v>
      </c>
      <c r="AP652" s="144">
        <f>'Cronog. e Histog.'!AT473</f>
        <v>0</v>
      </c>
      <c r="AQ652" s="144">
        <f>'Cronog. e Histog.'!AU473</f>
        <v>0</v>
      </c>
      <c r="AR652" s="144">
        <f>'Cronog. e Histog.'!AV473</f>
        <v>0</v>
      </c>
      <c r="AS652" s="144">
        <f>'Cronog. e Histog.'!AW473</f>
        <v>0</v>
      </c>
      <c r="AT652" s="144">
        <f>'Cronog. e Histog.'!AX473</f>
        <v>0</v>
      </c>
      <c r="AU652" s="144">
        <f>'Cronog. e Histog.'!AY473</f>
        <v>0</v>
      </c>
      <c r="AV652" s="144">
        <f>'Cronog. e Histog.'!AZ473</f>
        <v>0</v>
      </c>
      <c r="AW652" s="144">
        <f>'Cronog. e Histog.'!BA473</f>
        <v>0</v>
      </c>
      <c r="AX652" s="144">
        <f>'Cronog. e Histog.'!BB473</f>
        <v>0</v>
      </c>
      <c r="AY652" s="144">
        <f>'Cronog. e Histog.'!BC473</f>
        <v>0</v>
      </c>
      <c r="AZ652" s="144">
        <f>'Cronog. e Histog.'!BD473</f>
        <v>0</v>
      </c>
      <c r="BA652" s="144">
        <f>'Cronog. e Histog.'!BE473</f>
        <v>0</v>
      </c>
      <c r="BB652" s="144">
        <f>'Cronog. e Histog.'!BF473</f>
        <v>0</v>
      </c>
      <c r="BC652" s="144">
        <f>'Cronog. e Histog.'!BG473</f>
        <v>0</v>
      </c>
      <c r="BD652" s="144">
        <f>'Cronog. e Histog.'!BH473</f>
        <v>0</v>
      </c>
      <c r="BE652" s="144">
        <f>'Cronog. e Histog.'!BI473</f>
        <v>0</v>
      </c>
      <c r="BF652" s="144">
        <f>'Cronog. e Histog.'!BJ473</f>
        <v>0</v>
      </c>
      <c r="BG652" s="144">
        <f>'Cronog. e Histog.'!BK473</f>
        <v>0</v>
      </c>
      <c r="BH652" s="144">
        <f>'Cronog. e Histog.'!BL473</f>
        <v>0</v>
      </c>
      <c r="BI652" s="144">
        <f>'Cronog. e Histog.'!BM473</f>
        <v>0</v>
      </c>
      <c r="BJ652" s="144">
        <f>'Cronog. e Histog.'!BN473</f>
        <v>0</v>
      </c>
      <c r="BK652" s="144">
        <f>'Cronog. e Histog.'!BO473</f>
        <v>0</v>
      </c>
      <c r="BL652" s="144">
        <f>'Cronog. e Histog.'!BP473</f>
        <v>0</v>
      </c>
      <c r="BM652" s="144">
        <f>'Cronog. e Histog.'!BQ473</f>
        <v>0</v>
      </c>
      <c r="BN652" s="144">
        <f>'Cronog. e Histog.'!BR473</f>
        <v>0</v>
      </c>
      <c r="BO652" s="65"/>
      <c r="BP652" s="78" t="s">
        <v>1004</v>
      </c>
    </row>
    <row r="653" spans="2:68" ht="12" hidden="1" customHeight="1" outlineLevel="1">
      <c r="B653" s="76">
        <v>12</v>
      </c>
      <c r="C653" s="143" t="str">
        <f>"Caixa de Ferramentas - Equipe - "&amp;Tarefas!H14</f>
        <v xml:space="preserve">Caixa de Ferramentas - Equipe - </v>
      </c>
      <c r="D653" s="144">
        <f t="shared" si="24"/>
        <v>0</v>
      </c>
      <c r="E653" s="144">
        <f t="shared" si="25"/>
        <v>0</v>
      </c>
      <c r="F653" s="65"/>
      <c r="G653" s="144">
        <f>'Cronog. e Histog.'!K497</f>
        <v>0</v>
      </c>
      <c r="H653" s="144">
        <f>'Cronog. e Histog.'!L497</f>
        <v>0</v>
      </c>
      <c r="I653" s="144">
        <f>'Cronog. e Histog.'!M497</f>
        <v>0</v>
      </c>
      <c r="J653" s="144">
        <f>'Cronog. e Histog.'!N497</f>
        <v>0</v>
      </c>
      <c r="K653" s="144">
        <f>'Cronog. e Histog.'!O497</f>
        <v>0</v>
      </c>
      <c r="L653" s="144">
        <f>'Cronog. e Histog.'!P497</f>
        <v>0</v>
      </c>
      <c r="M653" s="144">
        <f>'Cronog. e Histog.'!Q497</f>
        <v>0</v>
      </c>
      <c r="N653" s="144">
        <f>'Cronog. e Histog.'!R497</f>
        <v>0</v>
      </c>
      <c r="O653" s="144">
        <f>'Cronog. e Histog.'!S497</f>
        <v>0</v>
      </c>
      <c r="P653" s="144">
        <f>'Cronog. e Histog.'!T497</f>
        <v>0</v>
      </c>
      <c r="Q653" s="144">
        <f>'Cronog. e Histog.'!U497</f>
        <v>0</v>
      </c>
      <c r="R653" s="144">
        <f>'Cronog. e Histog.'!V497</f>
        <v>0</v>
      </c>
      <c r="S653" s="144">
        <f>'Cronog. e Histog.'!W497</f>
        <v>0</v>
      </c>
      <c r="T653" s="144">
        <f>'Cronog. e Histog.'!X497</f>
        <v>0</v>
      </c>
      <c r="U653" s="144">
        <f>'Cronog. e Histog.'!Y497</f>
        <v>0</v>
      </c>
      <c r="V653" s="144">
        <f>'Cronog. e Histog.'!Z497</f>
        <v>0</v>
      </c>
      <c r="W653" s="144">
        <f>'Cronog. e Histog.'!AA497</f>
        <v>0</v>
      </c>
      <c r="X653" s="144">
        <f>'Cronog. e Histog.'!AB497</f>
        <v>0</v>
      </c>
      <c r="Y653" s="144">
        <f>'Cronog. e Histog.'!AC497</f>
        <v>0</v>
      </c>
      <c r="Z653" s="144">
        <f>'Cronog. e Histog.'!AD497</f>
        <v>0</v>
      </c>
      <c r="AA653" s="144">
        <f>'Cronog. e Histog.'!AE497</f>
        <v>0</v>
      </c>
      <c r="AB653" s="144">
        <f>'Cronog. e Histog.'!AF497</f>
        <v>0</v>
      </c>
      <c r="AC653" s="144">
        <f>'Cronog. e Histog.'!AG497</f>
        <v>0</v>
      </c>
      <c r="AD653" s="144">
        <f>'Cronog. e Histog.'!AH497</f>
        <v>0</v>
      </c>
      <c r="AE653" s="144">
        <f>'Cronog. e Histog.'!AI497</f>
        <v>0</v>
      </c>
      <c r="AF653" s="144">
        <f>'Cronog. e Histog.'!AJ497</f>
        <v>0</v>
      </c>
      <c r="AG653" s="144">
        <f>'Cronog. e Histog.'!AK497</f>
        <v>0</v>
      </c>
      <c r="AH653" s="144">
        <f>'Cronog. e Histog.'!AL497</f>
        <v>0</v>
      </c>
      <c r="AI653" s="144">
        <f>'Cronog. e Histog.'!AM497</f>
        <v>0</v>
      </c>
      <c r="AJ653" s="144">
        <f>'Cronog. e Histog.'!AN497</f>
        <v>0</v>
      </c>
      <c r="AK653" s="144">
        <f>'Cronog. e Histog.'!AO497</f>
        <v>0</v>
      </c>
      <c r="AL653" s="144">
        <f>'Cronog. e Histog.'!AP497</f>
        <v>0</v>
      </c>
      <c r="AM653" s="144">
        <f>'Cronog. e Histog.'!AQ497</f>
        <v>0</v>
      </c>
      <c r="AN653" s="144">
        <f>'Cronog. e Histog.'!AR497</f>
        <v>0</v>
      </c>
      <c r="AO653" s="144">
        <f>'Cronog. e Histog.'!AS497</f>
        <v>0</v>
      </c>
      <c r="AP653" s="144">
        <f>'Cronog. e Histog.'!AT497</f>
        <v>0</v>
      </c>
      <c r="AQ653" s="144">
        <f>'Cronog. e Histog.'!AU497</f>
        <v>0</v>
      </c>
      <c r="AR653" s="144">
        <f>'Cronog. e Histog.'!AV497</f>
        <v>0</v>
      </c>
      <c r="AS653" s="144">
        <f>'Cronog. e Histog.'!AW497</f>
        <v>0</v>
      </c>
      <c r="AT653" s="144">
        <f>'Cronog. e Histog.'!AX497</f>
        <v>0</v>
      </c>
      <c r="AU653" s="144">
        <f>'Cronog. e Histog.'!AY497</f>
        <v>0</v>
      </c>
      <c r="AV653" s="144">
        <f>'Cronog. e Histog.'!AZ497</f>
        <v>0</v>
      </c>
      <c r="AW653" s="144">
        <f>'Cronog. e Histog.'!BA497</f>
        <v>0</v>
      </c>
      <c r="AX653" s="144">
        <f>'Cronog. e Histog.'!BB497</f>
        <v>0</v>
      </c>
      <c r="AY653" s="144">
        <f>'Cronog. e Histog.'!BC497</f>
        <v>0</v>
      </c>
      <c r="AZ653" s="144">
        <f>'Cronog. e Histog.'!BD497</f>
        <v>0</v>
      </c>
      <c r="BA653" s="144">
        <f>'Cronog. e Histog.'!BE497</f>
        <v>0</v>
      </c>
      <c r="BB653" s="144">
        <f>'Cronog. e Histog.'!BF497</f>
        <v>0</v>
      </c>
      <c r="BC653" s="144">
        <f>'Cronog. e Histog.'!BG497</f>
        <v>0</v>
      </c>
      <c r="BD653" s="144">
        <f>'Cronog. e Histog.'!BH497</f>
        <v>0</v>
      </c>
      <c r="BE653" s="144">
        <f>'Cronog. e Histog.'!BI497</f>
        <v>0</v>
      </c>
      <c r="BF653" s="144">
        <f>'Cronog. e Histog.'!BJ497</f>
        <v>0</v>
      </c>
      <c r="BG653" s="144">
        <f>'Cronog. e Histog.'!BK497</f>
        <v>0</v>
      </c>
      <c r="BH653" s="144">
        <f>'Cronog. e Histog.'!BL497</f>
        <v>0</v>
      </c>
      <c r="BI653" s="144">
        <f>'Cronog. e Histog.'!BM497</f>
        <v>0</v>
      </c>
      <c r="BJ653" s="144">
        <f>'Cronog. e Histog.'!BN497</f>
        <v>0</v>
      </c>
      <c r="BK653" s="144">
        <f>'Cronog. e Histog.'!BO497</f>
        <v>0</v>
      </c>
      <c r="BL653" s="144">
        <f>'Cronog. e Histog.'!BP497</f>
        <v>0</v>
      </c>
      <c r="BM653" s="144">
        <f>'Cronog. e Histog.'!BQ497</f>
        <v>0</v>
      </c>
      <c r="BN653" s="144">
        <f>'Cronog. e Histog.'!BR497</f>
        <v>0</v>
      </c>
      <c r="BO653" s="65"/>
      <c r="BP653" s="78" t="s">
        <v>1004</v>
      </c>
    </row>
    <row r="654" spans="2:68" ht="12" hidden="1" customHeight="1" outlineLevel="1">
      <c r="B654" s="76">
        <v>13</v>
      </c>
      <c r="C654" s="143" t="str">
        <f>"Caixa de Ferramentas - Equipe - "&amp;Tarefas!H15</f>
        <v xml:space="preserve">Caixa de Ferramentas - Equipe - </v>
      </c>
      <c r="D654" s="144">
        <f t="shared" si="24"/>
        <v>0</v>
      </c>
      <c r="E654" s="144">
        <f t="shared" si="25"/>
        <v>0</v>
      </c>
      <c r="F654" s="65"/>
      <c r="G654" s="144">
        <f>'Cronog. e Histog.'!K521</f>
        <v>0</v>
      </c>
      <c r="H654" s="144">
        <f>'Cronog. e Histog.'!L521</f>
        <v>0</v>
      </c>
      <c r="I654" s="144">
        <f>'Cronog. e Histog.'!M521</f>
        <v>0</v>
      </c>
      <c r="J654" s="144">
        <f>'Cronog. e Histog.'!N521</f>
        <v>0</v>
      </c>
      <c r="K654" s="144">
        <f>'Cronog. e Histog.'!O521</f>
        <v>0</v>
      </c>
      <c r="L654" s="144">
        <f>'Cronog. e Histog.'!P521</f>
        <v>0</v>
      </c>
      <c r="M654" s="144">
        <f>'Cronog. e Histog.'!Q521</f>
        <v>0</v>
      </c>
      <c r="N654" s="144">
        <f>'Cronog. e Histog.'!R521</f>
        <v>0</v>
      </c>
      <c r="O654" s="144">
        <f>'Cronog. e Histog.'!S521</f>
        <v>0</v>
      </c>
      <c r="P654" s="144">
        <f>'Cronog. e Histog.'!T521</f>
        <v>0</v>
      </c>
      <c r="Q654" s="144">
        <f>'Cronog. e Histog.'!U521</f>
        <v>0</v>
      </c>
      <c r="R654" s="144">
        <f>'Cronog. e Histog.'!V521</f>
        <v>0</v>
      </c>
      <c r="S654" s="144">
        <f>'Cronog. e Histog.'!W521</f>
        <v>0</v>
      </c>
      <c r="T654" s="144">
        <f>'Cronog. e Histog.'!X521</f>
        <v>0</v>
      </c>
      <c r="U654" s="144">
        <f>'Cronog. e Histog.'!Y521</f>
        <v>0</v>
      </c>
      <c r="V654" s="144">
        <f>'Cronog. e Histog.'!Z521</f>
        <v>0</v>
      </c>
      <c r="W654" s="144">
        <f>'Cronog. e Histog.'!AA521</f>
        <v>0</v>
      </c>
      <c r="X654" s="144">
        <f>'Cronog. e Histog.'!AB521</f>
        <v>0</v>
      </c>
      <c r="Y654" s="144">
        <f>'Cronog. e Histog.'!AC521</f>
        <v>0</v>
      </c>
      <c r="Z654" s="144">
        <f>'Cronog. e Histog.'!AD521</f>
        <v>0</v>
      </c>
      <c r="AA654" s="144">
        <f>'Cronog. e Histog.'!AE521</f>
        <v>0</v>
      </c>
      <c r="AB654" s="144">
        <f>'Cronog. e Histog.'!AF521</f>
        <v>0</v>
      </c>
      <c r="AC654" s="144">
        <f>'Cronog. e Histog.'!AG521</f>
        <v>0</v>
      </c>
      <c r="AD654" s="144">
        <f>'Cronog. e Histog.'!AH521</f>
        <v>0</v>
      </c>
      <c r="AE654" s="144">
        <f>'Cronog. e Histog.'!AI521</f>
        <v>0</v>
      </c>
      <c r="AF654" s="144">
        <f>'Cronog. e Histog.'!AJ521</f>
        <v>0</v>
      </c>
      <c r="AG654" s="144">
        <f>'Cronog. e Histog.'!AK521</f>
        <v>0</v>
      </c>
      <c r="AH654" s="144">
        <f>'Cronog. e Histog.'!AL521</f>
        <v>0</v>
      </c>
      <c r="AI654" s="144">
        <f>'Cronog. e Histog.'!AM521</f>
        <v>0</v>
      </c>
      <c r="AJ654" s="144">
        <f>'Cronog. e Histog.'!AN521</f>
        <v>0</v>
      </c>
      <c r="AK654" s="144">
        <f>'Cronog. e Histog.'!AO521</f>
        <v>0</v>
      </c>
      <c r="AL654" s="144">
        <f>'Cronog. e Histog.'!AP521</f>
        <v>0</v>
      </c>
      <c r="AM654" s="144">
        <f>'Cronog. e Histog.'!AQ521</f>
        <v>0</v>
      </c>
      <c r="AN654" s="144">
        <f>'Cronog. e Histog.'!AR521</f>
        <v>0</v>
      </c>
      <c r="AO654" s="144">
        <f>'Cronog. e Histog.'!AS521</f>
        <v>0</v>
      </c>
      <c r="AP654" s="144">
        <f>'Cronog. e Histog.'!AT521</f>
        <v>0</v>
      </c>
      <c r="AQ654" s="144">
        <f>'Cronog. e Histog.'!AU521</f>
        <v>0</v>
      </c>
      <c r="AR654" s="144">
        <f>'Cronog. e Histog.'!AV521</f>
        <v>0</v>
      </c>
      <c r="AS654" s="144">
        <f>'Cronog. e Histog.'!AW521</f>
        <v>0</v>
      </c>
      <c r="AT654" s="144">
        <f>'Cronog. e Histog.'!AX521</f>
        <v>0</v>
      </c>
      <c r="AU654" s="144">
        <f>'Cronog. e Histog.'!AY521</f>
        <v>0</v>
      </c>
      <c r="AV654" s="144">
        <f>'Cronog. e Histog.'!AZ521</f>
        <v>0</v>
      </c>
      <c r="AW654" s="144">
        <f>'Cronog. e Histog.'!BA521</f>
        <v>0</v>
      </c>
      <c r="AX654" s="144">
        <f>'Cronog. e Histog.'!BB521</f>
        <v>0</v>
      </c>
      <c r="AY654" s="144">
        <f>'Cronog. e Histog.'!BC521</f>
        <v>0</v>
      </c>
      <c r="AZ654" s="144">
        <f>'Cronog. e Histog.'!BD521</f>
        <v>0</v>
      </c>
      <c r="BA654" s="144">
        <f>'Cronog. e Histog.'!BE521</f>
        <v>0</v>
      </c>
      <c r="BB654" s="144">
        <f>'Cronog. e Histog.'!BF521</f>
        <v>0</v>
      </c>
      <c r="BC654" s="144">
        <f>'Cronog. e Histog.'!BG521</f>
        <v>0</v>
      </c>
      <c r="BD654" s="144">
        <f>'Cronog. e Histog.'!BH521</f>
        <v>0</v>
      </c>
      <c r="BE654" s="144">
        <f>'Cronog. e Histog.'!BI521</f>
        <v>0</v>
      </c>
      <c r="BF654" s="144">
        <f>'Cronog. e Histog.'!BJ521</f>
        <v>0</v>
      </c>
      <c r="BG654" s="144">
        <f>'Cronog. e Histog.'!BK521</f>
        <v>0</v>
      </c>
      <c r="BH654" s="144">
        <f>'Cronog. e Histog.'!BL521</f>
        <v>0</v>
      </c>
      <c r="BI654" s="144">
        <f>'Cronog. e Histog.'!BM521</f>
        <v>0</v>
      </c>
      <c r="BJ654" s="144">
        <f>'Cronog. e Histog.'!BN521</f>
        <v>0</v>
      </c>
      <c r="BK654" s="144">
        <f>'Cronog. e Histog.'!BO521</f>
        <v>0</v>
      </c>
      <c r="BL654" s="144">
        <f>'Cronog. e Histog.'!BP521</f>
        <v>0</v>
      </c>
      <c r="BM654" s="144">
        <f>'Cronog. e Histog.'!BQ521</f>
        <v>0</v>
      </c>
      <c r="BN654" s="144">
        <f>'Cronog. e Histog.'!BR521</f>
        <v>0</v>
      </c>
      <c r="BO654" s="65"/>
      <c r="BP654" s="78" t="s">
        <v>1004</v>
      </c>
    </row>
    <row r="655" spans="2:68" ht="12" hidden="1" customHeight="1" outlineLevel="1">
      <c r="B655" s="76">
        <v>14</v>
      </c>
      <c r="C655" s="143" t="str">
        <f>"Caixa de Ferramentas - Equipe - "&amp;Tarefas!H16</f>
        <v xml:space="preserve">Caixa de Ferramentas - Equipe - </v>
      </c>
      <c r="D655" s="144">
        <f t="shared" si="24"/>
        <v>0</v>
      </c>
      <c r="E655" s="144">
        <f t="shared" si="25"/>
        <v>0</v>
      </c>
      <c r="F655" s="65"/>
      <c r="G655" s="144">
        <f>'Cronog. e Histog.'!K545</f>
        <v>0</v>
      </c>
      <c r="H655" s="144">
        <f>'Cronog. e Histog.'!L545</f>
        <v>0</v>
      </c>
      <c r="I655" s="144">
        <f>'Cronog. e Histog.'!M545</f>
        <v>0</v>
      </c>
      <c r="J655" s="144">
        <f>'Cronog. e Histog.'!N545</f>
        <v>0</v>
      </c>
      <c r="K655" s="144">
        <f>'Cronog. e Histog.'!O545</f>
        <v>0</v>
      </c>
      <c r="L655" s="144">
        <f>'Cronog. e Histog.'!P545</f>
        <v>0</v>
      </c>
      <c r="M655" s="144">
        <f>'Cronog. e Histog.'!Q545</f>
        <v>0</v>
      </c>
      <c r="N655" s="144">
        <f>'Cronog. e Histog.'!R545</f>
        <v>0</v>
      </c>
      <c r="O655" s="144">
        <f>'Cronog. e Histog.'!S545</f>
        <v>0</v>
      </c>
      <c r="P655" s="144">
        <f>'Cronog. e Histog.'!T545</f>
        <v>0</v>
      </c>
      <c r="Q655" s="144">
        <f>'Cronog. e Histog.'!U545</f>
        <v>0</v>
      </c>
      <c r="R655" s="144">
        <f>'Cronog. e Histog.'!V545</f>
        <v>0</v>
      </c>
      <c r="S655" s="144">
        <f>'Cronog. e Histog.'!W545</f>
        <v>0</v>
      </c>
      <c r="T655" s="144">
        <f>'Cronog. e Histog.'!X545</f>
        <v>0</v>
      </c>
      <c r="U655" s="144">
        <f>'Cronog. e Histog.'!Y545</f>
        <v>0</v>
      </c>
      <c r="V655" s="144">
        <f>'Cronog. e Histog.'!Z545</f>
        <v>0</v>
      </c>
      <c r="W655" s="144">
        <f>'Cronog. e Histog.'!AA545</f>
        <v>0</v>
      </c>
      <c r="X655" s="144">
        <f>'Cronog. e Histog.'!AB545</f>
        <v>0</v>
      </c>
      <c r="Y655" s="144">
        <f>'Cronog. e Histog.'!AC545</f>
        <v>0</v>
      </c>
      <c r="Z655" s="144">
        <f>'Cronog. e Histog.'!AD545</f>
        <v>0</v>
      </c>
      <c r="AA655" s="144">
        <f>'Cronog. e Histog.'!AE545</f>
        <v>0</v>
      </c>
      <c r="AB655" s="144">
        <f>'Cronog. e Histog.'!AF545</f>
        <v>0</v>
      </c>
      <c r="AC655" s="144">
        <f>'Cronog. e Histog.'!AG545</f>
        <v>0</v>
      </c>
      <c r="AD655" s="144">
        <f>'Cronog. e Histog.'!AH545</f>
        <v>0</v>
      </c>
      <c r="AE655" s="144">
        <f>'Cronog. e Histog.'!AI545</f>
        <v>0</v>
      </c>
      <c r="AF655" s="144">
        <f>'Cronog. e Histog.'!AJ545</f>
        <v>0</v>
      </c>
      <c r="AG655" s="144">
        <f>'Cronog. e Histog.'!AK545</f>
        <v>0</v>
      </c>
      <c r="AH655" s="144">
        <f>'Cronog. e Histog.'!AL545</f>
        <v>0</v>
      </c>
      <c r="AI655" s="144">
        <f>'Cronog. e Histog.'!AM545</f>
        <v>0</v>
      </c>
      <c r="AJ655" s="144">
        <f>'Cronog. e Histog.'!AN545</f>
        <v>0</v>
      </c>
      <c r="AK655" s="144">
        <f>'Cronog. e Histog.'!AO545</f>
        <v>0</v>
      </c>
      <c r="AL655" s="144">
        <f>'Cronog. e Histog.'!AP545</f>
        <v>0</v>
      </c>
      <c r="AM655" s="144">
        <f>'Cronog. e Histog.'!AQ545</f>
        <v>0</v>
      </c>
      <c r="AN655" s="144">
        <f>'Cronog. e Histog.'!AR545</f>
        <v>0</v>
      </c>
      <c r="AO655" s="144">
        <f>'Cronog. e Histog.'!AS545</f>
        <v>0</v>
      </c>
      <c r="AP655" s="144">
        <f>'Cronog. e Histog.'!AT545</f>
        <v>0</v>
      </c>
      <c r="AQ655" s="144">
        <f>'Cronog. e Histog.'!AU545</f>
        <v>0</v>
      </c>
      <c r="AR655" s="144">
        <f>'Cronog. e Histog.'!AV545</f>
        <v>0</v>
      </c>
      <c r="AS655" s="144">
        <f>'Cronog. e Histog.'!AW545</f>
        <v>0</v>
      </c>
      <c r="AT655" s="144">
        <f>'Cronog. e Histog.'!AX545</f>
        <v>0</v>
      </c>
      <c r="AU655" s="144">
        <f>'Cronog. e Histog.'!AY545</f>
        <v>0</v>
      </c>
      <c r="AV655" s="144">
        <f>'Cronog. e Histog.'!AZ545</f>
        <v>0</v>
      </c>
      <c r="AW655" s="144">
        <f>'Cronog. e Histog.'!BA545</f>
        <v>0</v>
      </c>
      <c r="AX655" s="144">
        <f>'Cronog. e Histog.'!BB545</f>
        <v>0</v>
      </c>
      <c r="AY655" s="144">
        <f>'Cronog. e Histog.'!BC545</f>
        <v>0</v>
      </c>
      <c r="AZ655" s="144">
        <f>'Cronog. e Histog.'!BD545</f>
        <v>0</v>
      </c>
      <c r="BA655" s="144">
        <f>'Cronog. e Histog.'!BE545</f>
        <v>0</v>
      </c>
      <c r="BB655" s="144">
        <f>'Cronog. e Histog.'!BF545</f>
        <v>0</v>
      </c>
      <c r="BC655" s="144">
        <f>'Cronog. e Histog.'!BG545</f>
        <v>0</v>
      </c>
      <c r="BD655" s="144">
        <f>'Cronog. e Histog.'!BH545</f>
        <v>0</v>
      </c>
      <c r="BE655" s="144">
        <f>'Cronog. e Histog.'!BI545</f>
        <v>0</v>
      </c>
      <c r="BF655" s="144">
        <f>'Cronog. e Histog.'!BJ545</f>
        <v>0</v>
      </c>
      <c r="BG655" s="144">
        <f>'Cronog. e Histog.'!BK545</f>
        <v>0</v>
      </c>
      <c r="BH655" s="144">
        <f>'Cronog. e Histog.'!BL545</f>
        <v>0</v>
      </c>
      <c r="BI655" s="144">
        <f>'Cronog. e Histog.'!BM545</f>
        <v>0</v>
      </c>
      <c r="BJ655" s="144">
        <f>'Cronog. e Histog.'!BN545</f>
        <v>0</v>
      </c>
      <c r="BK655" s="144">
        <f>'Cronog. e Histog.'!BO545</f>
        <v>0</v>
      </c>
      <c r="BL655" s="144">
        <f>'Cronog. e Histog.'!BP545</f>
        <v>0</v>
      </c>
      <c r="BM655" s="144">
        <f>'Cronog. e Histog.'!BQ545</f>
        <v>0</v>
      </c>
      <c r="BN655" s="144">
        <f>'Cronog. e Histog.'!BR545</f>
        <v>0</v>
      </c>
      <c r="BO655" s="65"/>
      <c r="BP655" s="78" t="s">
        <v>1004</v>
      </c>
    </row>
    <row r="656" spans="2:68" ht="12" hidden="1" customHeight="1" outlineLevel="1">
      <c r="B656" s="76">
        <v>15</v>
      </c>
      <c r="C656" s="143" t="str">
        <f>"Caixa de Ferramentas - Equipe - "&amp;Tarefas!H17</f>
        <v xml:space="preserve">Caixa de Ferramentas - Equipe - </v>
      </c>
      <c r="D656" s="144">
        <f t="shared" si="24"/>
        <v>0</v>
      </c>
      <c r="E656" s="144">
        <f t="shared" si="25"/>
        <v>0</v>
      </c>
      <c r="F656" s="65"/>
      <c r="G656" s="144">
        <f>'Cronog. e Histog.'!K569</f>
        <v>0</v>
      </c>
      <c r="H656" s="144">
        <f>'Cronog. e Histog.'!L569</f>
        <v>0</v>
      </c>
      <c r="I656" s="144">
        <f>'Cronog. e Histog.'!M569</f>
        <v>0</v>
      </c>
      <c r="J656" s="144">
        <f>'Cronog. e Histog.'!N569</f>
        <v>0</v>
      </c>
      <c r="K656" s="144">
        <f>'Cronog. e Histog.'!O569</f>
        <v>0</v>
      </c>
      <c r="L656" s="144">
        <f>'Cronog. e Histog.'!P569</f>
        <v>0</v>
      </c>
      <c r="M656" s="144">
        <f>'Cronog. e Histog.'!Q569</f>
        <v>0</v>
      </c>
      <c r="N656" s="144">
        <f>'Cronog. e Histog.'!R569</f>
        <v>0</v>
      </c>
      <c r="O656" s="144">
        <f>'Cronog. e Histog.'!S569</f>
        <v>0</v>
      </c>
      <c r="P656" s="144">
        <f>'Cronog. e Histog.'!T569</f>
        <v>0</v>
      </c>
      <c r="Q656" s="144">
        <f>'Cronog. e Histog.'!U569</f>
        <v>0</v>
      </c>
      <c r="R656" s="144">
        <f>'Cronog. e Histog.'!V569</f>
        <v>0</v>
      </c>
      <c r="S656" s="144">
        <f>'Cronog. e Histog.'!W569</f>
        <v>0</v>
      </c>
      <c r="T656" s="144">
        <f>'Cronog. e Histog.'!X569</f>
        <v>0</v>
      </c>
      <c r="U656" s="144">
        <f>'Cronog. e Histog.'!Y569</f>
        <v>0</v>
      </c>
      <c r="V656" s="144">
        <f>'Cronog. e Histog.'!Z569</f>
        <v>0</v>
      </c>
      <c r="W656" s="144">
        <f>'Cronog. e Histog.'!AA569</f>
        <v>0</v>
      </c>
      <c r="X656" s="144">
        <f>'Cronog. e Histog.'!AB569</f>
        <v>0</v>
      </c>
      <c r="Y656" s="144">
        <f>'Cronog. e Histog.'!AC569</f>
        <v>0</v>
      </c>
      <c r="Z656" s="144">
        <f>'Cronog. e Histog.'!AD569</f>
        <v>0</v>
      </c>
      <c r="AA656" s="144">
        <f>'Cronog. e Histog.'!AE569</f>
        <v>0</v>
      </c>
      <c r="AB656" s="144">
        <f>'Cronog. e Histog.'!AF569</f>
        <v>0</v>
      </c>
      <c r="AC656" s="144">
        <f>'Cronog. e Histog.'!AG569</f>
        <v>0</v>
      </c>
      <c r="AD656" s="144">
        <f>'Cronog. e Histog.'!AH569</f>
        <v>0</v>
      </c>
      <c r="AE656" s="144">
        <f>'Cronog. e Histog.'!AI569</f>
        <v>0</v>
      </c>
      <c r="AF656" s="144">
        <f>'Cronog. e Histog.'!AJ569</f>
        <v>0</v>
      </c>
      <c r="AG656" s="144">
        <f>'Cronog. e Histog.'!AK569</f>
        <v>0</v>
      </c>
      <c r="AH656" s="144">
        <f>'Cronog. e Histog.'!AL569</f>
        <v>0</v>
      </c>
      <c r="AI656" s="144">
        <f>'Cronog. e Histog.'!AM569</f>
        <v>0</v>
      </c>
      <c r="AJ656" s="144">
        <f>'Cronog. e Histog.'!AN569</f>
        <v>0</v>
      </c>
      <c r="AK656" s="144">
        <f>'Cronog. e Histog.'!AO569</f>
        <v>0</v>
      </c>
      <c r="AL656" s="144">
        <f>'Cronog. e Histog.'!AP569</f>
        <v>0</v>
      </c>
      <c r="AM656" s="144">
        <f>'Cronog. e Histog.'!AQ569</f>
        <v>0</v>
      </c>
      <c r="AN656" s="144">
        <f>'Cronog. e Histog.'!AR569</f>
        <v>0</v>
      </c>
      <c r="AO656" s="144">
        <f>'Cronog. e Histog.'!AS569</f>
        <v>0</v>
      </c>
      <c r="AP656" s="144">
        <f>'Cronog. e Histog.'!AT569</f>
        <v>0</v>
      </c>
      <c r="AQ656" s="144">
        <f>'Cronog. e Histog.'!AU569</f>
        <v>0</v>
      </c>
      <c r="AR656" s="144">
        <f>'Cronog. e Histog.'!AV569</f>
        <v>0</v>
      </c>
      <c r="AS656" s="144">
        <f>'Cronog. e Histog.'!AW569</f>
        <v>0</v>
      </c>
      <c r="AT656" s="144">
        <f>'Cronog. e Histog.'!AX569</f>
        <v>0</v>
      </c>
      <c r="AU656" s="144">
        <f>'Cronog. e Histog.'!AY569</f>
        <v>0</v>
      </c>
      <c r="AV656" s="144">
        <f>'Cronog. e Histog.'!AZ569</f>
        <v>0</v>
      </c>
      <c r="AW656" s="144">
        <f>'Cronog. e Histog.'!BA569</f>
        <v>0</v>
      </c>
      <c r="AX656" s="144">
        <f>'Cronog. e Histog.'!BB569</f>
        <v>0</v>
      </c>
      <c r="AY656" s="144">
        <f>'Cronog. e Histog.'!BC569</f>
        <v>0</v>
      </c>
      <c r="AZ656" s="144">
        <f>'Cronog. e Histog.'!BD569</f>
        <v>0</v>
      </c>
      <c r="BA656" s="144">
        <f>'Cronog. e Histog.'!BE569</f>
        <v>0</v>
      </c>
      <c r="BB656" s="144">
        <f>'Cronog. e Histog.'!BF569</f>
        <v>0</v>
      </c>
      <c r="BC656" s="144">
        <f>'Cronog. e Histog.'!BG569</f>
        <v>0</v>
      </c>
      <c r="BD656" s="144">
        <f>'Cronog. e Histog.'!BH569</f>
        <v>0</v>
      </c>
      <c r="BE656" s="144">
        <f>'Cronog. e Histog.'!BI569</f>
        <v>0</v>
      </c>
      <c r="BF656" s="144">
        <f>'Cronog. e Histog.'!BJ569</f>
        <v>0</v>
      </c>
      <c r="BG656" s="144">
        <f>'Cronog. e Histog.'!BK569</f>
        <v>0</v>
      </c>
      <c r="BH656" s="144">
        <f>'Cronog. e Histog.'!BL569</f>
        <v>0</v>
      </c>
      <c r="BI656" s="144">
        <f>'Cronog. e Histog.'!BM569</f>
        <v>0</v>
      </c>
      <c r="BJ656" s="144">
        <f>'Cronog. e Histog.'!BN569</f>
        <v>0</v>
      </c>
      <c r="BK656" s="144">
        <f>'Cronog. e Histog.'!BO569</f>
        <v>0</v>
      </c>
      <c r="BL656" s="144">
        <f>'Cronog. e Histog.'!BP569</f>
        <v>0</v>
      </c>
      <c r="BM656" s="144">
        <f>'Cronog. e Histog.'!BQ569</f>
        <v>0</v>
      </c>
      <c r="BN656" s="144">
        <f>'Cronog. e Histog.'!BR569</f>
        <v>0</v>
      </c>
      <c r="BO656" s="65"/>
      <c r="BP656" s="78" t="s">
        <v>1004</v>
      </c>
    </row>
    <row r="657" spans="2:68" ht="12" hidden="1" customHeight="1" outlineLevel="1">
      <c r="B657" s="76">
        <v>16</v>
      </c>
      <c r="C657" s="143" t="str">
        <f>"Caixa de Ferramentas - Equipe - "&amp;Tarefas!H18</f>
        <v xml:space="preserve">Caixa de Ferramentas - Equipe - </v>
      </c>
      <c r="D657" s="144">
        <f t="shared" si="24"/>
        <v>1</v>
      </c>
      <c r="E657" s="144">
        <f t="shared" si="25"/>
        <v>10</v>
      </c>
      <c r="F657" s="65"/>
      <c r="G657" s="144">
        <f>'Cronog. e Histog.'!K593</f>
        <v>0.1</v>
      </c>
      <c r="H657" s="144">
        <f>'Cronog. e Histog.'!L593</f>
        <v>0.1</v>
      </c>
      <c r="I657" s="144">
        <f>'Cronog. e Histog.'!M593</f>
        <v>0.1</v>
      </c>
      <c r="J657" s="144">
        <f>'Cronog. e Histog.'!N593</f>
        <v>0.1</v>
      </c>
      <c r="K657" s="144">
        <f>'Cronog. e Histog.'!O593</f>
        <v>0.1</v>
      </c>
      <c r="L657" s="144">
        <f>'Cronog. e Histog.'!P593</f>
        <v>0.1</v>
      </c>
      <c r="M657" s="144">
        <f>'Cronog. e Histog.'!Q593</f>
        <v>0.1</v>
      </c>
      <c r="N657" s="144">
        <f>'Cronog. e Histog.'!R593</f>
        <v>0.1</v>
      </c>
      <c r="O657" s="144">
        <f>'Cronog. e Histog.'!S593</f>
        <v>0.1</v>
      </c>
      <c r="P657" s="144">
        <f>'Cronog. e Histog.'!T593</f>
        <v>0.1</v>
      </c>
      <c r="Q657" s="144">
        <f>'Cronog. e Histog.'!U593</f>
        <v>0</v>
      </c>
      <c r="R657" s="144">
        <f>'Cronog. e Histog.'!V593</f>
        <v>0</v>
      </c>
      <c r="S657" s="144">
        <f>'Cronog. e Histog.'!W593</f>
        <v>0</v>
      </c>
      <c r="T657" s="144">
        <f>'Cronog. e Histog.'!X593</f>
        <v>0</v>
      </c>
      <c r="U657" s="144">
        <f>'Cronog. e Histog.'!Y593</f>
        <v>0</v>
      </c>
      <c r="V657" s="144">
        <f>'Cronog. e Histog.'!Z593</f>
        <v>0</v>
      </c>
      <c r="W657" s="144">
        <f>'Cronog. e Histog.'!AA593</f>
        <v>0</v>
      </c>
      <c r="X657" s="144">
        <f>'Cronog. e Histog.'!AB593</f>
        <v>0</v>
      </c>
      <c r="Y657" s="144">
        <f>'Cronog. e Histog.'!AC593</f>
        <v>0</v>
      </c>
      <c r="Z657" s="144">
        <f>'Cronog. e Histog.'!AD593</f>
        <v>0</v>
      </c>
      <c r="AA657" s="144">
        <f>'Cronog. e Histog.'!AE593</f>
        <v>0</v>
      </c>
      <c r="AB657" s="144">
        <f>'Cronog. e Histog.'!AF593</f>
        <v>0</v>
      </c>
      <c r="AC657" s="144">
        <f>'Cronog. e Histog.'!AG593</f>
        <v>0</v>
      </c>
      <c r="AD657" s="144">
        <f>'Cronog. e Histog.'!AH593</f>
        <v>0</v>
      </c>
      <c r="AE657" s="144">
        <f>'Cronog. e Histog.'!AI593</f>
        <v>0</v>
      </c>
      <c r="AF657" s="144">
        <f>'Cronog. e Histog.'!AJ593</f>
        <v>0</v>
      </c>
      <c r="AG657" s="144">
        <f>'Cronog. e Histog.'!AK593</f>
        <v>0</v>
      </c>
      <c r="AH657" s="144">
        <f>'Cronog. e Histog.'!AL593</f>
        <v>0</v>
      </c>
      <c r="AI657" s="144">
        <f>'Cronog. e Histog.'!AM593</f>
        <v>0</v>
      </c>
      <c r="AJ657" s="144">
        <f>'Cronog. e Histog.'!AN593</f>
        <v>0</v>
      </c>
      <c r="AK657" s="144">
        <f>'Cronog. e Histog.'!AO593</f>
        <v>0</v>
      </c>
      <c r="AL657" s="144">
        <f>'Cronog. e Histog.'!AP593</f>
        <v>0</v>
      </c>
      <c r="AM657" s="144">
        <f>'Cronog. e Histog.'!AQ593</f>
        <v>0</v>
      </c>
      <c r="AN657" s="144">
        <f>'Cronog. e Histog.'!AR593</f>
        <v>0</v>
      </c>
      <c r="AO657" s="144">
        <f>'Cronog. e Histog.'!AS593</f>
        <v>0</v>
      </c>
      <c r="AP657" s="144">
        <f>'Cronog. e Histog.'!AT593</f>
        <v>0</v>
      </c>
      <c r="AQ657" s="144">
        <f>'Cronog. e Histog.'!AU593</f>
        <v>0</v>
      </c>
      <c r="AR657" s="144">
        <f>'Cronog. e Histog.'!AV593</f>
        <v>0</v>
      </c>
      <c r="AS657" s="144">
        <f>'Cronog. e Histog.'!AW593</f>
        <v>0</v>
      </c>
      <c r="AT657" s="144">
        <f>'Cronog. e Histog.'!AX593</f>
        <v>0</v>
      </c>
      <c r="AU657" s="144">
        <f>'Cronog. e Histog.'!AY593</f>
        <v>0</v>
      </c>
      <c r="AV657" s="144">
        <f>'Cronog. e Histog.'!AZ593</f>
        <v>0</v>
      </c>
      <c r="AW657" s="144">
        <f>'Cronog. e Histog.'!BA593</f>
        <v>0</v>
      </c>
      <c r="AX657" s="144">
        <f>'Cronog. e Histog.'!BB593</f>
        <v>0</v>
      </c>
      <c r="AY657" s="144">
        <f>'Cronog. e Histog.'!BC593</f>
        <v>0</v>
      </c>
      <c r="AZ657" s="144">
        <f>'Cronog. e Histog.'!BD593</f>
        <v>0</v>
      </c>
      <c r="BA657" s="144">
        <f>'Cronog. e Histog.'!BE593</f>
        <v>0</v>
      </c>
      <c r="BB657" s="144">
        <f>'Cronog. e Histog.'!BF593</f>
        <v>0</v>
      </c>
      <c r="BC657" s="144">
        <f>'Cronog. e Histog.'!BG593</f>
        <v>0</v>
      </c>
      <c r="BD657" s="144">
        <f>'Cronog. e Histog.'!BH593</f>
        <v>0</v>
      </c>
      <c r="BE657" s="144">
        <f>'Cronog. e Histog.'!BI593</f>
        <v>0</v>
      </c>
      <c r="BF657" s="144">
        <f>'Cronog. e Histog.'!BJ593</f>
        <v>0</v>
      </c>
      <c r="BG657" s="144">
        <f>'Cronog. e Histog.'!BK593</f>
        <v>0</v>
      </c>
      <c r="BH657" s="144">
        <f>'Cronog. e Histog.'!BL593</f>
        <v>0</v>
      </c>
      <c r="BI657" s="144">
        <f>'Cronog. e Histog.'!BM593</f>
        <v>0</v>
      </c>
      <c r="BJ657" s="144">
        <f>'Cronog. e Histog.'!BN593</f>
        <v>0</v>
      </c>
      <c r="BK657" s="144">
        <f>'Cronog. e Histog.'!BO593</f>
        <v>0</v>
      </c>
      <c r="BL657" s="144">
        <f>'Cronog. e Histog.'!BP593</f>
        <v>0</v>
      </c>
      <c r="BM657" s="144">
        <f>'Cronog. e Histog.'!BQ593</f>
        <v>0</v>
      </c>
      <c r="BN657" s="144">
        <f>'Cronog. e Histog.'!BR593</f>
        <v>0</v>
      </c>
      <c r="BO657" s="65"/>
      <c r="BP657" s="78" t="s">
        <v>1004</v>
      </c>
    </row>
    <row r="658" spans="2:68" ht="12" hidden="1" customHeight="1" outlineLevel="1">
      <c r="B658" s="76">
        <v>17</v>
      </c>
      <c r="C658" s="143" t="str">
        <f>"Caixa de Ferramentas - Equipe - "&amp;Tarefas!H19</f>
        <v xml:space="preserve">Caixa de Ferramentas - Equipe - </v>
      </c>
      <c r="D658" s="144">
        <f t="shared" si="24"/>
        <v>1</v>
      </c>
      <c r="E658" s="144">
        <f t="shared" si="25"/>
        <v>10</v>
      </c>
      <c r="F658" s="65"/>
      <c r="G658" s="144">
        <f>'Cronog. e Histog.'!K617</f>
        <v>0.04</v>
      </c>
      <c r="H658" s="144">
        <f>'Cronog. e Histog.'!L617</f>
        <v>0.04</v>
      </c>
      <c r="I658" s="144">
        <f>'Cronog. e Histog.'!M617</f>
        <v>0.04</v>
      </c>
      <c r="J658" s="144">
        <f>'Cronog. e Histog.'!N617</f>
        <v>0.04</v>
      </c>
      <c r="K658" s="144">
        <f>'Cronog. e Histog.'!O617</f>
        <v>0.04</v>
      </c>
      <c r="L658" s="144">
        <f>'Cronog. e Histog.'!P617</f>
        <v>0.04</v>
      </c>
      <c r="M658" s="144">
        <f>'Cronog. e Histog.'!Q617</f>
        <v>0.04</v>
      </c>
      <c r="N658" s="144">
        <f>'Cronog. e Histog.'!R617</f>
        <v>0.04</v>
      </c>
      <c r="O658" s="144">
        <f>'Cronog. e Histog.'!S617</f>
        <v>0.04</v>
      </c>
      <c r="P658" s="144">
        <f>'Cronog. e Histog.'!T617</f>
        <v>0.04</v>
      </c>
      <c r="Q658" s="144">
        <f>'Cronog. e Histog.'!U617</f>
        <v>0</v>
      </c>
      <c r="R658" s="144">
        <f>'Cronog. e Histog.'!V617</f>
        <v>0</v>
      </c>
      <c r="S658" s="144">
        <f>'Cronog. e Histog.'!W617</f>
        <v>0</v>
      </c>
      <c r="T658" s="144">
        <f>'Cronog. e Histog.'!X617</f>
        <v>0</v>
      </c>
      <c r="U658" s="144">
        <f>'Cronog. e Histog.'!Y617</f>
        <v>0</v>
      </c>
      <c r="V658" s="144">
        <f>'Cronog. e Histog.'!Z617</f>
        <v>0</v>
      </c>
      <c r="W658" s="144">
        <f>'Cronog. e Histog.'!AA617</f>
        <v>0</v>
      </c>
      <c r="X658" s="144">
        <f>'Cronog. e Histog.'!AB617</f>
        <v>0</v>
      </c>
      <c r="Y658" s="144">
        <f>'Cronog. e Histog.'!AC617</f>
        <v>0</v>
      </c>
      <c r="Z658" s="144">
        <f>'Cronog. e Histog.'!AD617</f>
        <v>0</v>
      </c>
      <c r="AA658" s="144">
        <f>'Cronog. e Histog.'!AE617</f>
        <v>0</v>
      </c>
      <c r="AB658" s="144">
        <f>'Cronog. e Histog.'!AF617</f>
        <v>0</v>
      </c>
      <c r="AC658" s="144">
        <f>'Cronog. e Histog.'!AG617</f>
        <v>0</v>
      </c>
      <c r="AD658" s="144">
        <f>'Cronog. e Histog.'!AH617</f>
        <v>0</v>
      </c>
      <c r="AE658" s="144">
        <f>'Cronog. e Histog.'!AI617</f>
        <v>0</v>
      </c>
      <c r="AF658" s="144">
        <f>'Cronog. e Histog.'!AJ617</f>
        <v>0</v>
      </c>
      <c r="AG658" s="144">
        <f>'Cronog. e Histog.'!AK617</f>
        <v>0</v>
      </c>
      <c r="AH658" s="144">
        <f>'Cronog. e Histog.'!AL617</f>
        <v>0</v>
      </c>
      <c r="AI658" s="144">
        <f>'Cronog. e Histog.'!AM617</f>
        <v>0</v>
      </c>
      <c r="AJ658" s="144">
        <f>'Cronog. e Histog.'!AN617</f>
        <v>0</v>
      </c>
      <c r="AK658" s="144">
        <f>'Cronog. e Histog.'!AO617</f>
        <v>0</v>
      </c>
      <c r="AL658" s="144">
        <f>'Cronog. e Histog.'!AP617</f>
        <v>0</v>
      </c>
      <c r="AM658" s="144">
        <f>'Cronog. e Histog.'!AQ617</f>
        <v>0</v>
      </c>
      <c r="AN658" s="144">
        <f>'Cronog. e Histog.'!AR617</f>
        <v>0</v>
      </c>
      <c r="AO658" s="144">
        <f>'Cronog. e Histog.'!AS617</f>
        <v>0</v>
      </c>
      <c r="AP658" s="144">
        <f>'Cronog. e Histog.'!AT617</f>
        <v>0</v>
      </c>
      <c r="AQ658" s="144">
        <f>'Cronog. e Histog.'!AU617</f>
        <v>0</v>
      </c>
      <c r="AR658" s="144">
        <f>'Cronog. e Histog.'!AV617</f>
        <v>0</v>
      </c>
      <c r="AS658" s="144">
        <f>'Cronog. e Histog.'!AW617</f>
        <v>0</v>
      </c>
      <c r="AT658" s="144">
        <f>'Cronog. e Histog.'!AX617</f>
        <v>0</v>
      </c>
      <c r="AU658" s="144">
        <f>'Cronog. e Histog.'!AY617</f>
        <v>0</v>
      </c>
      <c r="AV658" s="144">
        <f>'Cronog. e Histog.'!AZ617</f>
        <v>0</v>
      </c>
      <c r="AW658" s="144">
        <f>'Cronog. e Histog.'!BA617</f>
        <v>0</v>
      </c>
      <c r="AX658" s="144">
        <f>'Cronog. e Histog.'!BB617</f>
        <v>0</v>
      </c>
      <c r="AY658" s="144">
        <f>'Cronog. e Histog.'!BC617</f>
        <v>0</v>
      </c>
      <c r="AZ658" s="144">
        <f>'Cronog. e Histog.'!BD617</f>
        <v>0</v>
      </c>
      <c r="BA658" s="144">
        <f>'Cronog. e Histog.'!BE617</f>
        <v>0</v>
      </c>
      <c r="BB658" s="144">
        <f>'Cronog. e Histog.'!BF617</f>
        <v>0</v>
      </c>
      <c r="BC658" s="144">
        <f>'Cronog. e Histog.'!BG617</f>
        <v>0</v>
      </c>
      <c r="BD658" s="144">
        <f>'Cronog. e Histog.'!BH617</f>
        <v>0</v>
      </c>
      <c r="BE658" s="144">
        <f>'Cronog. e Histog.'!BI617</f>
        <v>0</v>
      </c>
      <c r="BF658" s="144">
        <f>'Cronog. e Histog.'!BJ617</f>
        <v>0</v>
      </c>
      <c r="BG658" s="144">
        <f>'Cronog. e Histog.'!BK617</f>
        <v>0</v>
      </c>
      <c r="BH658" s="144">
        <f>'Cronog. e Histog.'!BL617</f>
        <v>0</v>
      </c>
      <c r="BI658" s="144">
        <f>'Cronog. e Histog.'!BM617</f>
        <v>0</v>
      </c>
      <c r="BJ658" s="144">
        <f>'Cronog. e Histog.'!BN617</f>
        <v>0</v>
      </c>
      <c r="BK658" s="144">
        <f>'Cronog. e Histog.'!BO617</f>
        <v>0</v>
      </c>
      <c r="BL658" s="144">
        <f>'Cronog. e Histog.'!BP617</f>
        <v>0</v>
      </c>
      <c r="BM658" s="144">
        <f>'Cronog. e Histog.'!BQ617</f>
        <v>0</v>
      </c>
      <c r="BN658" s="144">
        <f>'Cronog. e Histog.'!BR617</f>
        <v>0</v>
      </c>
      <c r="BO658" s="65"/>
      <c r="BP658" s="78" t="s">
        <v>1004</v>
      </c>
    </row>
    <row r="659" spans="2:68" ht="12" hidden="1" customHeight="1" outlineLevel="1">
      <c r="B659" s="76">
        <v>18</v>
      </c>
      <c r="C659" s="143" t="str">
        <f>"Caixa de Ferramentas - Equipe - "&amp;Tarefas!H20</f>
        <v xml:space="preserve">Caixa de Ferramentas - Equipe - </v>
      </c>
      <c r="D659" s="144">
        <f t="shared" si="24"/>
        <v>1</v>
      </c>
      <c r="E659" s="144">
        <f t="shared" si="25"/>
        <v>10</v>
      </c>
      <c r="F659" s="65"/>
      <c r="G659" s="144">
        <f>'Cronog. e Histog.'!K641</f>
        <v>0.02</v>
      </c>
      <c r="H659" s="144">
        <f>'Cronog. e Histog.'!L641</f>
        <v>0.02</v>
      </c>
      <c r="I659" s="144">
        <f>'Cronog. e Histog.'!M641</f>
        <v>0.02</v>
      </c>
      <c r="J659" s="144">
        <f>'Cronog. e Histog.'!N641</f>
        <v>0.02</v>
      </c>
      <c r="K659" s="144">
        <f>'Cronog. e Histog.'!O641</f>
        <v>0.02</v>
      </c>
      <c r="L659" s="144">
        <f>'Cronog. e Histog.'!P641</f>
        <v>0.02</v>
      </c>
      <c r="M659" s="144">
        <f>'Cronog. e Histog.'!Q641</f>
        <v>0.02</v>
      </c>
      <c r="N659" s="144">
        <f>'Cronog. e Histog.'!R641</f>
        <v>0.02</v>
      </c>
      <c r="O659" s="144">
        <f>'Cronog. e Histog.'!S641</f>
        <v>0.02</v>
      </c>
      <c r="P659" s="144">
        <f>'Cronog. e Histog.'!T641</f>
        <v>0.02</v>
      </c>
      <c r="Q659" s="144">
        <f>'Cronog. e Histog.'!U641</f>
        <v>0</v>
      </c>
      <c r="R659" s="144">
        <f>'Cronog. e Histog.'!V641</f>
        <v>0</v>
      </c>
      <c r="S659" s="144">
        <f>'Cronog. e Histog.'!W641</f>
        <v>0</v>
      </c>
      <c r="T659" s="144">
        <f>'Cronog. e Histog.'!X641</f>
        <v>0</v>
      </c>
      <c r="U659" s="144">
        <f>'Cronog. e Histog.'!Y641</f>
        <v>0</v>
      </c>
      <c r="V659" s="144">
        <f>'Cronog. e Histog.'!Z641</f>
        <v>0</v>
      </c>
      <c r="W659" s="144">
        <f>'Cronog. e Histog.'!AA641</f>
        <v>0</v>
      </c>
      <c r="X659" s="144">
        <f>'Cronog. e Histog.'!AB641</f>
        <v>0</v>
      </c>
      <c r="Y659" s="144">
        <f>'Cronog. e Histog.'!AC641</f>
        <v>0</v>
      </c>
      <c r="Z659" s="144">
        <f>'Cronog. e Histog.'!AD641</f>
        <v>0</v>
      </c>
      <c r="AA659" s="144">
        <f>'Cronog. e Histog.'!AE641</f>
        <v>0</v>
      </c>
      <c r="AB659" s="144">
        <f>'Cronog. e Histog.'!AF641</f>
        <v>0</v>
      </c>
      <c r="AC659" s="144">
        <f>'Cronog. e Histog.'!AG641</f>
        <v>0</v>
      </c>
      <c r="AD659" s="144">
        <f>'Cronog. e Histog.'!AH641</f>
        <v>0</v>
      </c>
      <c r="AE659" s="144">
        <f>'Cronog. e Histog.'!AI641</f>
        <v>0</v>
      </c>
      <c r="AF659" s="144">
        <f>'Cronog. e Histog.'!AJ641</f>
        <v>0</v>
      </c>
      <c r="AG659" s="144">
        <f>'Cronog. e Histog.'!AK641</f>
        <v>0</v>
      </c>
      <c r="AH659" s="144">
        <f>'Cronog. e Histog.'!AL641</f>
        <v>0</v>
      </c>
      <c r="AI659" s="144">
        <f>'Cronog. e Histog.'!AM641</f>
        <v>0</v>
      </c>
      <c r="AJ659" s="144">
        <f>'Cronog. e Histog.'!AN641</f>
        <v>0</v>
      </c>
      <c r="AK659" s="144">
        <f>'Cronog. e Histog.'!AO641</f>
        <v>0</v>
      </c>
      <c r="AL659" s="144">
        <f>'Cronog. e Histog.'!AP641</f>
        <v>0</v>
      </c>
      <c r="AM659" s="144">
        <f>'Cronog. e Histog.'!AQ641</f>
        <v>0</v>
      </c>
      <c r="AN659" s="144">
        <f>'Cronog. e Histog.'!AR641</f>
        <v>0</v>
      </c>
      <c r="AO659" s="144">
        <f>'Cronog. e Histog.'!AS641</f>
        <v>0</v>
      </c>
      <c r="AP659" s="144">
        <f>'Cronog. e Histog.'!AT641</f>
        <v>0</v>
      </c>
      <c r="AQ659" s="144">
        <f>'Cronog. e Histog.'!AU641</f>
        <v>0</v>
      </c>
      <c r="AR659" s="144">
        <f>'Cronog. e Histog.'!AV641</f>
        <v>0</v>
      </c>
      <c r="AS659" s="144">
        <f>'Cronog. e Histog.'!AW641</f>
        <v>0</v>
      </c>
      <c r="AT659" s="144">
        <f>'Cronog. e Histog.'!AX641</f>
        <v>0</v>
      </c>
      <c r="AU659" s="144">
        <f>'Cronog. e Histog.'!AY641</f>
        <v>0</v>
      </c>
      <c r="AV659" s="144">
        <f>'Cronog. e Histog.'!AZ641</f>
        <v>0</v>
      </c>
      <c r="AW659" s="144">
        <f>'Cronog. e Histog.'!BA641</f>
        <v>0</v>
      </c>
      <c r="AX659" s="144">
        <f>'Cronog. e Histog.'!BB641</f>
        <v>0</v>
      </c>
      <c r="AY659" s="144">
        <f>'Cronog. e Histog.'!BC641</f>
        <v>0</v>
      </c>
      <c r="AZ659" s="144">
        <f>'Cronog. e Histog.'!BD641</f>
        <v>0</v>
      </c>
      <c r="BA659" s="144">
        <f>'Cronog. e Histog.'!BE641</f>
        <v>0</v>
      </c>
      <c r="BB659" s="144">
        <f>'Cronog. e Histog.'!BF641</f>
        <v>0</v>
      </c>
      <c r="BC659" s="144">
        <f>'Cronog. e Histog.'!BG641</f>
        <v>0</v>
      </c>
      <c r="BD659" s="144">
        <f>'Cronog. e Histog.'!BH641</f>
        <v>0</v>
      </c>
      <c r="BE659" s="144">
        <f>'Cronog. e Histog.'!BI641</f>
        <v>0</v>
      </c>
      <c r="BF659" s="144">
        <f>'Cronog. e Histog.'!BJ641</f>
        <v>0</v>
      </c>
      <c r="BG659" s="144">
        <f>'Cronog. e Histog.'!BK641</f>
        <v>0</v>
      </c>
      <c r="BH659" s="144">
        <f>'Cronog. e Histog.'!BL641</f>
        <v>0</v>
      </c>
      <c r="BI659" s="144">
        <f>'Cronog. e Histog.'!BM641</f>
        <v>0</v>
      </c>
      <c r="BJ659" s="144">
        <f>'Cronog. e Histog.'!BN641</f>
        <v>0</v>
      </c>
      <c r="BK659" s="144">
        <f>'Cronog. e Histog.'!BO641</f>
        <v>0</v>
      </c>
      <c r="BL659" s="144">
        <f>'Cronog. e Histog.'!BP641</f>
        <v>0</v>
      </c>
      <c r="BM659" s="144">
        <f>'Cronog. e Histog.'!BQ641</f>
        <v>0</v>
      </c>
      <c r="BN659" s="144">
        <f>'Cronog. e Histog.'!BR641</f>
        <v>0</v>
      </c>
      <c r="BO659" s="65"/>
      <c r="BP659" s="78" t="s">
        <v>1004</v>
      </c>
    </row>
    <row r="660" spans="2:68" ht="12" hidden="1" customHeight="1" outlineLevel="1">
      <c r="B660" s="76">
        <v>19</v>
      </c>
      <c r="C660" s="143" t="str">
        <f>"Caixa de Ferramentas - Equipe - "&amp;Tarefas!H21</f>
        <v xml:space="preserve">Caixa de Ferramentas - Equipe - </v>
      </c>
      <c r="D660" s="144">
        <f t="shared" si="24"/>
        <v>1</v>
      </c>
      <c r="E660" s="144">
        <f t="shared" si="25"/>
        <v>10</v>
      </c>
      <c r="F660" s="65"/>
      <c r="G660" s="144">
        <f>'Cronog. e Histog.'!K665</f>
        <v>0.05</v>
      </c>
      <c r="H660" s="144">
        <f>'Cronog. e Histog.'!L665</f>
        <v>0.05</v>
      </c>
      <c r="I660" s="144">
        <f>'Cronog. e Histog.'!M665</f>
        <v>0.05</v>
      </c>
      <c r="J660" s="144">
        <f>'Cronog. e Histog.'!N665</f>
        <v>0.05</v>
      </c>
      <c r="K660" s="144">
        <f>'Cronog. e Histog.'!O665</f>
        <v>0.05</v>
      </c>
      <c r="L660" s="144">
        <f>'Cronog. e Histog.'!P665</f>
        <v>0.05</v>
      </c>
      <c r="M660" s="144">
        <f>'Cronog. e Histog.'!Q665</f>
        <v>0.05</v>
      </c>
      <c r="N660" s="144">
        <f>'Cronog. e Histog.'!R665</f>
        <v>0.05</v>
      </c>
      <c r="O660" s="144">
        <f>'Cronog. e Histog.'!S665</f>
        <v>0.05</v>
      </c>
      <c r="P660" s="144">
        <f>'Cronog. e Histog.'!T665</f>
        <v>0.05</v>
      </c>
      <c r="Q660" s="144">
        <f>'Cronog. e Histog.'!U665</f>
        <v>0</v>
      </c>
      <c r="R660" s="144">
        <f>'Cronog. e Histog.'!V665</f>
        <v>0</v>
      </c>
      <c r="S660" s="144">
        <f>'Cronog. e Histog.'!W665</f>
        <v>0</v>
      </c>
      <c r="T660" s="144">
        <f>'Cronog. e Histog.'!X665</f>
        <v>0</v>
      </c>
      <c r="U660" s="144">
        <f>'Cronog. e Histog.'!Y665</f>
        <v>0</v>
      </c>
      <c r="V660" s="144">
        <f>'Cronog. e Histog.'!Z665</f>
        <v>0</v>
      </c>
      <c r="W660" s="144">
        <f>'Cronog. e Histog.'!AA665</f>
        <v>0</v>
      </c>
      <c r="X660" s="144">
        <f>'Cronog. e Histog.'!AB665</f>
        <v>0</v>
      </c>
      <c r="Y660" s="144">
        <f>'Cronog. e Histog.'!AC665</f>
        <v>0</v>
      </c>
      <c r="Z660" s="144">
        <f>'Cronog. e Histog.'!AD665</f>
        <v>0</v>
      </c>
      <c r="AA660" s="144">
        <f>'Cronog. e Histog.'!AE665</f>
        <v>0</v>
      </c>
      <c r="AB660" s="144">
        <f>'Cronog. e Histog.'!AF665</f>
        <v>0</v>
      </c>
      <c r="AC660" s="144">
        <f>'Cronog. e Histog.'!AG665</f>
        <v>0</v>
      </c>
      <c r="AD660" s="144">
        <f>'Cronog. e Histog.'!AH665</f>
        <v>0</v>
      </c>
      <c r="AE660" s="144">
        <f>'Cronog. e Histog.'!AI665</f>
        <v>0</v>
      </c>
      <c r="AF660" s="144">
        <f>'Cronog. e Histog.'!AJ665</f>
        <v>0</v>
      </c>
      <c r="AG660" s="144">
        <f>'Cronog. e Histog.'!AK665</f>
        <v>0</v>
      </c>
      <c r="AH660" s="144">
        <f>'Cronog. e Histog.'!AL665</f>
        <v>0</v>
      </c>
      <c r="AI660" s="144">
        <f>'Cronog. e Histog.'!AM665</f>
        <v>0</v>
      </c>
      <c r="AJ660" s="144">
        <f>'Cronog. e Histog.'!AN665</f>
        <v>0</v>
      </c>
      <c r="AK660" s="144">
        <f>'Cronog. e Histog.'!AO665</f>
        <v>0</v>
      </c>
      <c r="AL660" s="144">
        <f>'Cronog. e Histog.'!AP665</f>
        <v>0</v>
      </c>
      <c r="AM660" s="144">
        <f>'Cronog. e Histog.'!AQ665</f>
        <v>0</v>
      </c>
      <c r="AN660" s="144">
        <f>'Cronog. e Histog.'!AR665</f>
        <v>0</v>
      </c>
      <c r="AO660" s="144">
        <f>'Cronog. e Histog.'!AS665</f>
        <v>0</v>
      </c>
      <c r="AP660" s="144">
        <f>'Cronog. e Histog.'!AT665</f>
        <v>0</v>
      </c>
      <c r="AQ660" s="144">
        <f>'Cronog. e Histog.'!AU665</f>
        <v>0</v>
      </c>
      <c r="AR660" s="144">
        <f>'Cronog. e Histog.'!AV665</f>
        <v>0</v>
      </c>
      <c r="AS660" s="144">
        <f>'Cronog. e Histog.'!AW665</f>
        <v>0</v>
      </c>
      <c r="AT660" s="144">
        <f>'Cronog. e Histog.'!AX665</f>
        <v>0</v>
      </c>
      <c r="AU660" s="144">
        <f>'Cronog. e Histog.'!AY665</f>
        <v>0</v>
      </c>
      <c r="AV660" s="144">
        <f>'Cronog. e Histog.'!AZ665</f>
        <v>0</v>
      </c>
      <c r="AW660" s="144">
        <f>'Cronog. e Histog.'!BA665</f>
        <v>0</v>
      </c>
      <c r="AX660" s="144">
        <f>'Cronog. e Histog.'!BB665</f>
        <v>0</v>
      </c>
      <c r="AY660" s="144">
        <f>'Cronog. e Histog.'!BC665</f>
        <v>0</v>
      </c>
      <c r="AZ660" s="144">
        <f>'Cronog. e Histog.'!BD665</f>
        <v>0</v>
      </c>
      <c r="BA660" s="144">
        <f>'Cronog. e Histog.'!BE665</f>
        <v>0</v>
      </c>
      <c r="BB660" s="144">
        <f>'Cronog. e Histog.'!BF665</f>
        <v>0</v>
      </c>
      <c r="BC660" s="144">
        <f>'Cronog. e Histog.'!BG665</f>
        <v>0</v>
      </c>
      <c r="BD660" s="144">
        <f>'Cronog. e Histog.'!BH665</f>
        <v>0</v>
      </c>
      <c r="BE660" s="144">
        <f>'Cronog. e Histog.'!BI665</f>
        <v>0</v>
      </c>
      <c r="BF660" s="144">
        <f>'Cronog. e Histog.'!BJ665</f>
        <v>0</v>
      </c>
      <c r="BG660" s="144">
        <f>'Cronog. e Histog.'!BK665</f>
        <v>0</v>
      </c>
      <c r="BH660" s="144">
        <f>'Cronog. e Histog.'!BL665</f>
        <v>0</v>
      </c>
      <c r="BI660" s="144">
        <f>'Cronog. e Histog.'!BM665</f>
        <v>0</v>
      </c>
      <c r="BJ660" s="144">
        <f>'Cronog. e Histog.'!BN665</f>
        <v>0</v>
      </c>
      <c r="BK660" s="144">
        <f>'Cronog. e Histog.'!BO665</f>
        <v>0</v>
      </c>
      <c r="BL660" s="144">
        <f>'Cronog. e Histog.'!BP665</f>
        <v>0</v>
      </c>
      <c r="BM660" s="144">
        <f>'Cronog. e Histog.'!BQ665</f>
        <v>0</v>
      </c>
      <c r="BN660" s="144">
        <f>'Cronog. e Histog.'!BR665</f>
        <v>0</v>
      </c>
      <c r="BO660" s="65"/>
      <c r="BP660" s="78" t="s">
        <v>1004</v>
      </c>
    </row>
    <row r="661" spans="2:68" ht="12" hidden="1" customHeight="1" outlineLevel="1">
      <c r="B661" s="76">
        <v>20</v>
      </c>
      <c r="C661" s="143" t="str">
        <f>"Caixa de Ferramentas - Equipe - "&amp;Tarefas!H22</f>
        <v xml:space="preserve">Caixa de Ferramentas - Equipe - </v>
      </c>
      <c r="D661" s="144">
        <f t="shared" si="24"/>
        <v>1</v>
      </c>
      <c r="E661" s="144">
        <f t="shared" si="25"/>
        <v>10</v>
      </c>
      <c r="F661" s="65"/>
      <c r="G661" s="144">
        <f>'Cronog. e Histog.'!K689</f>
        <v>0.11</v>
      </c>
      <c r="H661" s="144">
        <f>'Cronog. e Histog.'!L689</f>
        <v>0.11</v>
      </c>
      <c r="I661" s="144">
        <f>'Cronog. e Histog.'!M689</f>
        <v>0.11</v>
      </c>
      <c r="J661" s="144">
        <f>'Cronog. e Histog.'!N689</f>
        <v>0.11</v>
      </c>
      <c r="K661" s="144">
        <f>'Cronog. e Histog.'!O689</f>
        <v>0.11</v>
      </c>
      <c r="L661" s="144">
        <f>'Cronog. e Histog.'!P689</f>
        <v>0.11</v>
      </c>
      <c r="M661" s="144">
        <f>'Cronog. e Histog.'!Q689</f>
        <v>0.11</v>
      </c>
      <c r="N661" s="144">
        <f>'Cronog. e Histog.'!R689</f>
        <v>0.11</v>
      </c>
      <c r="O661" s="144">
        <f>'Cronog. e Histog.'!S689</f>
        <v>0.11</v>
      </c>
      <c r="P661" s="144">
        <f>'Cronog. e Histog.'!T689</f>
        <v>0.11</v>
      </c>
      <c r="Q661" s="144">
        <f>'Cronog. e Histog.'!U689</f>
        <v>0</v>
      </c>
      <c r="R661" s="144">
        <f>'Cronog. e Histog.'!V689</f>
        <v>0</v>
      </c>
      <c r="S661" s="144">
        <f>'Cronog. e Histog.'!W689</f>
        <v>0</v>
      </c>
      <c r="T661" s="144">
        <f>'Cronog. e Histog.'!X689</f>
        <v>0</v>
      </c>
      <c r="U661" s="144">
        <f>'Cronog. e Histog.'!Y689</f>
        <v>0</v>
      </c>
      <c r="V661" s="144">
        <f>'Cronog. e Histog.'!Z689</f>
        <v>0</v>
      </c>
      <c r="W661" s="144">
        <f>'Cronog. e Histog.'!AA689</f>
        <v>0</v>
      </c>
      <c r="X661" s="144">
        <f>'Cronog. e Histog.'!AB689</f>
        <v>0</v>
      </c>
      <c r="Y661" s="144">
        <f>'Cronog. e Histog.'!AC689</f>
        <v>0</v>
      </c>
      <c r="Z661" s="144">
        <f>'Cronog. e Histog.'!AD689</f>
        <v>0</v>
      </c>
      <c r="AA661" s="144">
        <f>'Cronog. e Histog.'!AE689</f>
        <v>0</v>
      </c>
      <c r="AB661" s="144">
        <f>'Cronog. e Histog.'!AF689</f>
        <v>0</v>
      </c>
      <c r="AC661" s="144">
        <f>'Cronog. e Histog.'!AG689</f>
        <v>0</v>
      </c>
      <c r="AD661" s="144">
        <f>'Cronog. e Histog.'!AH689</f>
        <v>0</v>
      </c>
      <c r="AE661" s="144">
        <f>'Cronog. e Histog.'!AI689</f>
        <v>0</v>
      </c>
      <c r="AF661" s="144">
        <f>'Cronog. e Histog.'!AJ689</f>
        <v>0</v>
      </c>
      <c r="AG661" s="144">
        <f>'Cronog. e Histog.'!AK689</f>
        <v>0</v>
      </c>
      <c r="AH661" s="144">
        <f>'Cronog. e Histog.'!AL689</f>
        <v>0</v>
      </c>
      <c r="AI661" s="144">
        <f>'Cronog. e Histog.'!AM689</f>
        <v>0</v>
      </c>
      <c r="AJ661" s="144">
        <f>'Cronog. e Histog.'!AN689</f>
        <v>0</v>
      </c>
      <c r="AK661" s="144">
        <f>'Cronog. e Histog.'!AO689</f>
        <v>0</v>
      </c>
      <c r="AL661" s="144">
        <f>'Cronog. e Histog.'!AP689</f>
        <v>0</v>
      </c>
      <c r="AM661" s="144">
        <f>'Cronog. e Histog.'!AQ689</f>
        <v>0</v>
      </c>
      <c r="AN661" s="144">
        <f>'Cronog. e Histog.'!AR689</f>
        <v>0</v>
      </c>
      <c r="AO661" s="144">
        <f>'Cronog. e Histog.'!AS689</f>
        <v>0</v>
      </c>
      <c r="AP661" s="144">
        <f>'Cronog. e Histog.'!AT689</f>
        <v>0</v>
      </c>
      <c r="AQ661" s="144">
        <f>'Cronog. e Histog.'!AU689</f>
        <v>0</v>
      </c>
      <c r="AR661" s="144">
        <f>'Cronog. e Histog.'!AV689</f>
        <v>0</v>
      </c>
      <c r="AS661" s="144">
        <f>'Cronog. e Histog.'!AW689</f>
        <v>0</v>
      </c>
      <c r="AT661" s="144">
        <f>'Cronog. e Histog.'!AX689</f>
        <v>0</v>
      </c>
      <c r="AU661" s="144">
        <f>'Cronog. e Histog.'!AY689</f>
        <v>0</v>
      </c>
      <c r="AV661" s="144">
        <f>'Cronog. e Histog.'!AZ689</f>
        <v>0</v>
      </c>
      <c r="AW661" s="144">
        <f>'Cronog. e Histog.'!BA689</f>
        <v>0</v>
      </c>
      <c r="AX661" s="144">
        <f>'Cronog. e Histog.'!BB689</f>
        <v>0</v>
      </c>
      <c r="AY661" s="144">
        <f>'Cronog. e Histog.'!BC689</f>
        <v>0</v>
      </c>
      <c r="AZ661" s="144">
        <f>'Cronog. e Histog.'!BD689</f>
        <v>0</v>
      </c>
      <c r="BA661" s="144">
        <f>'Cronog. e Histog.'!BE689</f>
        <v>0</v>
      </c>
      <c r="BB661" s="144">
        <f>'Cronog. e Histog.'!BF689</f>
        <v>0</v>
      </c>
      <c r="BC661" s="144">
        <f>'Cronog. e Histog.'!BG689</f>
        <v>0</v>
      </c>
      <c r="BD661" s="144">
        <f>'Cronog. e Histog.'!BH689</f>
        <v>0</v>
      </c>
      <c r="BE661" s="144">
        <f>'Cronog. e Histog.'!BI689</f>
        <v>0</v>
      </c>
      <c r="BF661" s="144">
        <f>'Cronog. e Histog.'!BJ689</f>
        <v>0</v>
      </c>
      <c r="BG661" s="144">
        <f>'Cronog. e Histog.'!BK689</f>
        <v>0</v>
      </c>
      <c r="BH661" s="144">
        <f>'Cronog. e Histog.'!BL689</f>
        <v>0</v>
      </c>
      <c r="BI661" s="144">
        <f>'Cronog. e Histog.'!BM689</f>
        <v>0</v>
      </c>
      <c r="BJ661" s="144">
        <f>'Cronog. e Histog.'!BN689</f>
        <v>0</v>
      </c>
      <c r="BK661" s="144">
        <f>'Cronog. e Histog.'!BO689</f>
        <v>0</v>
      </c>
      <c r="BL661" s="144">
        <f>'Cronog. e Histog.'!BP689</f>
        <v>0</v>
      </c>
      <c r="BM661" s="144">
        <f>'Cronog. e Histog.'!BQ689</f>
        <v>0</v>
      </c>
      <c r="BN661" s="144">
        <f>'Cronog. e Histog.'!BR689</f>
        <v>0</v>
      </c>
      <c r="BO661" s="65"/>
      <c r="BP661" s="78" t="s">
        <v>1004</v>
      </c>
    </row>
    <row r="662" spans="2:68" ht="12" hidden="1" customHeight="1" outlineLevel="1">
      <c r="B662" s="76">
        <v>20</v>
      </c>
      <c r="C662" s="143" t="s">
        <v>1005</v>
      </c>
      <c r="D662" s="144">
        <f t="shared" si="24"/>
        <v>0</v>
      </c>
      <c r="E662" s="144">
        <f t="shared" si="25"/>
        <v>0</v>
      </c>
      <c r="F662" s="65"/>
      <c r="G662" s="144">
        <f>'Cronog. e Histog.'!K748</f>
        <v>0</v>
      </c>
      <c r="H662" s="144">
        <f>'Cronog. e Histog.'!L748</f>
        <v>0</v>
      </c>
      <c r="I662" s="144">
        <f>'Cronog. e Histog.'!M748</f>
        <v>0</v>
      </c>
      <c r="J662" s="144">
        <f>'Cronog. e Histog.'!N748</f>
        <v>0</v>
      </c>
      <c r="K662" s="144">
        <f>'Cronog. e Histog.'!O748</f>
        <v>0</v>
      </c>
      <c r="L662" s="144">
        <f>'Cronog. e Histog.'!P748</f>
        <v>0</v>
      </c>
      <c r="M662" s="144">
        <f>'Cronog. e Histog.'!Q748</f>
        <v>0</v>
      </c>
      <c r="N662" s="144">
        <f>'Cronog. e Histog.'!R748</f>
        <v>0</v>
      </c>
      <c r="O662" s="144">
        <f>'Cronog. e Histog.'!S748</f>
        <v>0</v>
      </c>
      <c r="P662" s="144">
        <f>'Cronog. e Histog.'!T748</f>
        <v>0</v>
      </c>
      <c r="Q662" s="144">
        <f>'Cronog. e Histog.'!U748</f>
        <v>0</v>
      </c>
      <c r="R662" s="144">
        <f>'Cronog. e Histog.'!V748</f>
        <v>0</v>
      </c>
      <c r="S662" s="144">
        <f>'Cronog. e Histog.'!W748</f>
        <v>0</v>
      </c>
      <c r="T662" s="144">
        <f>'Cronog. e Histog.'!X748</f>
        <v>0</v>
      </c>
      <c r="U662" s="144">
        <f>'Cronog. e Histog.'!Y748</f>
        <v>0</v>
      </c>
      <c r="V662" s="144">
        <f>'Cronog. e Histog.'!Z748</f>
        <v>0</v>
      </c>
      <c r="W662" s="144">
        <f>'Cronog. e Histog.'!AA748</f>
        <v>0</v>
      </c>
      <c r="X662" s="144">
        <f>'Cronog. e Histog.'!AB748</f>
        <v>0</v>
      </c>
      <c r="Y662" s="144">
        <f>'Cronog. e Histog.'!AC748</f>
        <v>0</v>
      </c>
      <c r="Z662" s="144">
        <f>'Cronog. e Histog.'!AD748</f>
        <v>0</v>
      </c>
      <c r="AA662" s="144">
        <f>'Cronog. e Histog.'!AE748</f>
        <v>0</v>
      </c>
      <c r="AB662" s="144">
        <f>'Cronog. e Histog.'!AF748</f>
        <v>0</v>
      </c>
      <c r="AC662" s="144">
        <f>'Cronog. e Histog.'!AG748</f>
        <v>0</v>
      </c>
      <c r="AD662" s="144">
        <f>'Cronog. e Histog.'!AH748</f>
        <v>0</v>
      </c>
      <c r="AE662" s="144">
        <f>'Cronog. e Histog.'!AI748</f>
        <v>0</v>
      </c>
      <c r="AF662" s="144">
        <f>'Cronog. e Histog.'!AJ748</f>
        <v>0</v>
      </c>
      <c r="AG662" s="144">
        <f>'Cronog. e Histog.'!AK748</f>
        <v>0</v>
      </c>
      <c r="AH662" s="144">
        <f>'Cronog. e Histog.'!AL748</f>
        <v>0</v>
      </c>
      <c r="AI662" s="144">
        <f>'Cronog. e Histog.'!AM748</f>
        <v>0</v>
      </c>
      <c r="AJ662" s="144">
        <f>'Cronog. e Histog.'!AN748</f>
        <v>0</v>
      </c>
      <c r="AK662" s="144">
        <f>'Cronog. e Histog.'!AO748</f>
        <v>0</v>
      </c>
      <c r="AL662" s="144">
        <f>'Cronog. e Histog.'!AP748</f>
        <v>0</v>
      </c>
      <c r="AM662" s="144">
        <f>'Cronog. e Histog.'!AQ748</f>
        <v>0</v>
      </c>
      <c r="AN662" s="144">
        <f>'Cronog. e Histog.'!AR748</f>
        <v>0</v>
      </c>
      <c r="AO662" s="144">
        <f>'Cronog. e Histog.'!AS748</f>
        <v>0</v>
      </c>
      <c r="AP662" s="144">
        <f>'Cronog. e Histog.'!AT748</f>
        <v>0</v>
      </c>
      <c r="AQ662" s="144">
        <f>'Cronog. e Histog.'!AU748</f>
        <v>0</v>
      </c>
      <c r="AR662" s="144">
        <f>'Cronog. e Histog.'!AV748</f>
        <v>0</v>
      </c>
      <c r="AS662" s="144">
        <f>'Cronog. e Histog.'!AW748</f>
        <v>0</v>
      </c>
      <c r="AT662" s="144">
        <f>'Cronog. e Histog.'!AX748</f>
        <v>0</v>
      </c>
      <c r="AU662" s="144">
        <f>'Cronog. e Histog.'!AY748</f>
        <v>0</v>
      </c>
      <c r="AV662" s="144">
        <f>'Cronog. e Histog.'!AZ748</f>
        <v>0</v>
      </c>
      <c r="AW662" s="144">
        <f>'Cronog. e Histog.'!BA748</f>
        <v>0</v>
      </c>
      <c r="AX662" s="144">
        <f>'Cronog. e Histog.'!BB748</f>
        <v>0</v>
      </c>
      <c r="AY662" s="144">
        <f>'Cronog. e Histog.'!BC748</f>
        <v>0</v>
      </c>
      <c r="AZ662" s="144">
        <f>'Cronog. e Histog.'!BD748</f>
        <v>0</v>
      </c>
      <c r="BA662" s="144">
        <f>'Cronog. e Histog.'!BE748</f>
        <v>0</v>
      </c>
      <c r="BB662" s="144">
        <f>'Cronog. e Histog.'!BF748</f>
        <v>0</v>
      </c>
      <c r="BC662" s="144">
        <f>'Cronog. e Histog.'!BG748</f>
        <v>0</v>
      </c>
      <c r="BD662" s="144">
        <f>'Cronog. e Histog.'!BH748</f>
        <v>0</v>
      </c>
      <c r="BE662" s="144">
        <f>'Cronog. e Histog.'!BI748</f>
        <v>0</v>
      </c>
      <c r="BF662" s="144">
        <f>'Cronog. e Histog.'!BJ748</f>
        <v>0</v>
      </c>
      <c r="BG662" s="144">
        <f>'Cronog. e Histog.'!BK748</f>
        <v>0</v>
      </c>
      <c r="BH662" s="144">
        <f>'Cronog. e Histog.'!BL748</f>
        <v>0</v>
      </c>
      <c r="BI662" s="144">
        <f>'Cronog. e Histog.'!BM748</f>
        <v>0</v>
      </c>
      <c r="BJ662" s="144">
        <f>'Cronog. e Histog.'!BN748</f>
        <v>0</v>
      </c>
      <c r="BK662" s="144">
        <f>'Cronog. e Histog.'!BO748</f>
        <v>0</v>
      </c>
      <c r="BL662" s="144">
        <f>'Cronog. e Histog.'!BP748</f>
        <v>0</v>
      </c>
      <c r="BM662" s="144">
        <f>'Cronog. e Histog.'!BQ748</f>
        <v>0</v>
      </c>
      <c r="BN662" s="144">
        <f>'Cronog. e Histog.'!BR748</f>
        <v>0</v>
      </c>
      <c r="BO662" s="65"/>
      <c r="BP662" s="78" t="s">
        <v>1004</v>
      </c>
    </row>
    <row r="663" spans="2:68" ht="24" customHeight="1">
      <c r="B663" s="614" t="s">
        <v>380</v>
      </c>
      <c r="C663" s="614"/>
      <c r="D663" s="146">
        <f>SUM(D642:D661)</f>
        <v>14</v>
      </c>
      <c r="E663" s="65"/>
      <c r="F663" s="65"/>
      <c r="G663" s="146">
        <f t="shared" ref="G663:BM663" si="26">SUM(G642:G662)</f>
        <v>4.2699999999999996</v>
      </c>
      <c r="H663" s="146">
        <f t="shared" si="26"/>
        <v>4.2699999999999996</v>
      </c>
      <c r="I663" s="146">
        <f t="shared" si="26"/>
        <v>4.2699999999999996</v>
      </c>
      <c r="J663" s="146">
        <f t="shared" si="26"/>
        <v>4.2699999999999996</v>
      </c>
      <c r="K663" s="146">
        <f t="shared" si="26"/>
        <v>4.2699999999999996</v>
      </c>
      <c r="L663" s="146">
        <f t="shared" si="26"/>
        <v>4.2699999999999996</v>
      </c>
      <c r="M663" s="146">
        <f t="shared" si="26"/>
        <v>4.2699999999999996</v>
      </c>
      <c r="N663" s="146">
        <f t="shared" si="26"/>
        <v>4.2699999999999996</v>
      </c>
      <c r="O663" s="146">
        <f t="shared" si="26"/>
        <v>4.2699999999999996</v>
      </c>
      <c r="P663" s="146">
        <f t="shared" si="26"/>
        <v>4.2699999999999996</v>
      </c>
      <c r="Q663" s="146">
        <f t="shared" si="26"/>
        <v>0</v>
      </c>
      <c r="R663" s="146">
        <f t="shared" si="26"/>
        <v>0</v>
      </c>
      <c r="S663" s="146">
        <f t="shared" si="26"/>
        <v>0</v>
      </c>
      <c r="T663" s="146">
        <f t="shared" si="26"/>
        <v>0</v>
      </c>
      <c r="U663" s="146">
        <f t="shared" si="26"/>
        <v>0</v>
      </c>
      <c r="V663" s="146">
        <f t="shared" si="26"/>
        <v>0</v>
      </c>
      <c r="W663" s="146">
        <f t="shared" si="26"/>
        <v>0</v>
      </c>
      <c r="X663" s="146">
        <f t="shared" si="26"/>
        <v>0</v>
      </c>
      <c r="Y663" s="146">
        <f t="shared" si="26"/>
        <v>0</v>
      </c>
      <c r="Z663" s="146">
        <f t="shared" si="26"/>
        <v>0</v>
      </c>
      <c r="AA663" s="146">
        <f t="shared" si="26"/>
        <v>0</v>
      </c>
      <c r="AB663" s="146">
        <f t="shared" si="26"/>
        <v>0</v>
      </c>
      <c r="AC663" s="146">
        <f t="shared" si="26"/>
        <v>0</v>
      </c>
      <c r="AD663" s="146">
        <f t="shared" si="26"/>
        <v>0</v>
      </c>
      <c r="AE663" s="146">
        <f t="shared" si="26"/>
        <v>0</v>
      </c>
      <c r="AF663" s="146">
        <f t="shared" si="26"/>
        <v>0</v>
      </c>
      <c r="AG663" s="146">
        <f t="shared" si="26"/>
        <v>0</v>
      </c>
      <c r="AH663" s="146">
        <f t="shared" si="26"/>
        <v>0</v>
      </c>
      <c r="AI663" s="146">
        <f t="shared" si="26"/>
        <v>0</v>
      </c>
      <c r="AJ663" s="146">
        <f t="shared" si="26"/>
        <v>0</v>
      </c>
      <c r="AK663" s="146">
        <f t="shared" si="26"/>
        <v>0</v>
      </c>
      <c r="AL663" s="146">
        <f t="shared" si="26"/>
        <v>0</v>
      </c>
      <c r="AM663" s="146">
        <f t="shared" si="26"/>
        <v>0</v>
      </c>
      <c r="AN663" s="146">
        <f t="shared" si="26"/>
        <v>0</v>
      </c>
      <c r="AO663" s="146">
        <f t="shared" si="26"/>
        <v>0</v>
      </c>
      <c r="AP663" s="146">
        <f t="shared" si="26"/>
        <v>0</v>
      </c>
      <c r="AQ663" s="146">
        <f t="shared" si="26"/>
        <v>0</v>
      </c>
      <c r="AR663" s="146">
        <f t="shared" si="26"/>
        <v>0</v>
      </c>
      <c r="AS663" s="146">
        <f t="shared" si="26"/>
        <v>0</v>
      </c>
      <c r="AT663" s="146">
        <f t="shared" si="26"/>
        <v>0</v>
      </c>
      <c r="AU663" s="146">
        <f t="shared" si="26"/>
        <v>0</v>
      </c>
      <c r="AV663" s="146">
        <f t="shared" si="26"/>
        <v>0</v>
      </c>
      <c r="AW663" s="146">
        <f t="shared" si="26"/>
        <v>0</v>
      </c>
      <c r="AX663" s="146">
        <f t="shared" si="26"/>
        <v>0</v>
      </c>
      <c r="AY663" s="146">
        <f t="shared" si="26"/>
        <v>0</v>
      </c>
      <c r="AZ663" s="146">
        <f t="shared" si="26"/>
        <v>0</v>
      </c>
      <c r="BA663" s="146">
        <f t="shared" si="26"/>
        <v>0</v>
      </c>
      <c r="BB663" s="146">
        <f t="shared" si="26"/>
        <v>0</v>
      </c>
      <c r="BC663" s="146">
        <f t="shared" si="26"/>
        <v>0</v>
      </c>
      <c r="BD663" s="146">
        <f t="shared" si="26"/>
        <v>0</v>
      </c>
      <c r="BE663" s="146">
        <f t="shared" si="26"/>
        <v>0</v>
      </c>
      <c r="BF663" s="146">
        <f t="shared" si="26"/>
        <v>0</v>
      </c>
      <c r="BG663" s="146">
        <f t="shared" si="26"/>
        <v>0</v>
      </c>
      <c r="BH663" s="146">
        <f t="shared" si="26"/>
        <v>0</v>
      </c>
      <c r="BI663" s="146">
        <f t="shared" si="26"/>
        <v>0</v>
      </c>
      <c r="BJ663" s="146">
        <f t="shared" si="26"/>
        <v>0</v>
      </c>
      <c r="BK663" s="146">
        <f t="shared" si="26"/>
        <v>0</v>
      </c>
      <c r="BL663" s="146">
        <f t="shared" si="26"/>
        <v>0</v>
      </c>
      <c r="BM663" s="146">
        <f t="shared" si="26"/>
        <v>0</v>
      </c>
      <c r="BN663" s="146">
        <f>SUM(BN642:BN662)</f>
        <v>0</v>
      </c>
      <c r="BO663" s="65"/>
      <c r="BP663" s="65"/>
    </row>
    <row r="664" spans="2:68" ht="12" customHeight="1"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  <c r="BE664" s="65"/>
      <c r="BF664" s="65"/>
      <c r="BG664" s="65"/>
      <c r="BH664" s="65"/>
      <c r="BI664" s="65"/>
      <c r="BJ664" s="65"/>
      <c r="BK664" s="65"/>
      <c r="BL664" s="65"/>
      <c r="BM664" s="65"/>
      <c r="BN664" s="65"/>
      <c r="BO664" s="65"/>
      <c r="BP664" s="65"/>
    </row>
    <row r="665" spans="2:68" ht="5.0999999999999996" customHeight="1"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Q665" s="69"/>
      <c r="AR665" s="69"/>
      <c r="AS665" s="69"/>
      <c r="AT665" s="69"/>
      <c r="AU665" s="69"/>
      <c r="AV665" s="69"/>
      <c r="AW665" s="69"/>
      <c r="AX665" s="69"/>
      <c r="AY665" s="69"/>
      <c r="AZ665" s="69"/>
      <c r="BA665" s="69"/>
      <c r="BB665" s="69"/>
      <c r="BC665" s="69"/>
      <c r="BD665" s="69"/>
      <c r="BE665" s="69"/>
      <c r="BF665" s="69"/>
      <c r="BG665" s="69"/>
      <c r="BH665" s="69"/>
      <c r="BI665" s="69"/>
      <c r="BJ665" s="69"/>
      <c r="BK665" s="69"/>
      <c r="BL665" s="69"/>
      <c r="BM665" s="69"/>
      <c r="BN665" s="69"/>
      <c r="BO665" s="69"/>
      <c r="BP665" s="69"/>
    </row>
    <row r="666" spans="2:68" ht="12" customHeight="1"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  <c r="BE666" s="65"/>
      <c r="BF666" s="65"/>
      <c r="BG666" s="65"/>
      <c r="BH666" s="65"/>
      <c r="BI666" s="65"/>
      <c r="BJ666" s="65"/>
      <c r="BK666" s="65"/>
      <c r="BL666" s="65"/>
      <c r="BM666" s="65"/>
      <c r="BN666" s="65"/>
      <c r="BO666" s="65"/>
      <c r="BP666" s="65"/>
    </row>
    <row r="667" spans="2:68" ht="24" customHeight="1">
      <c r="B667" s="613" t="s">
        <v>1006</v>
      </c>
      <c r="C667" s="613"/>
      <c r="D667" s="613"/>
      <c r="E667" s="613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  <c r="BD667" s="65"/>
      <c r="BE667" s="65"/>
      <c r="BF667" s="65"/>
      <c r="BG667" s="65"/>
      <c r="BH667" s="65"/>
      <c r="BI667" s="65"/>
      <c r="BJ667" s="65"/>
      <c r="BK667" s="65"/>
      <c r="BL667" s="65"/>
      <c r="BM667" s="65"/>
      <c r="BN667" s="65"/>
      <c r="BO667" s="65"/>
      <c r="BP667" s="512" t="s">
        <v>22</v>
      </c>
    </row>
    <row r="668" spans="2:68" ht="24" customHeight="1">
      <c r="B668" s="142" t="s">
        <v>196</v>
      </c>
      <c r="C668" s="142" t="s">
        <v>253</v>
      </c>
      <c r="D668" s="142" t="s">
        <v>255</v>
      </c>
      <c r="E668" s="142" t="s">
        <v>850</v>
      </c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  <c r="BE668" s="65"/>
      <c r="BF668" s="65"/>
      <c r="BG668" s="65"/>
      <c r="BH668" s="65"/>
      <c r="BI668" s="65"/>
      <c r="BJ668" s="65"/>
      <c r="BK668" s="65"/>
      <c r="BL668" s="65"/>
      <c r="BM668" s="65"/>
      <c r="BN668" s="65"/>
      <c r="BO668" s="65"/>
      <c r="BP668" s="512"/>
    </row>
    <row r="669" spans="2:68" ht="12" customHeight="1" outlineLevel="1">
      <c r="B669" s="76">
        <v>1</v>
      </c>
      <c r="C669" s="77" t="s">
        <v>1007</v>
      </c>
      <c r="D669" s="144">
        <f t="shared" ref="D669:D683" si="27">IFERROR(ROUNDUP(SUM(G669:BN669)/COUNTIF(G669:BN669,"&gt;0"),2),0)</f>
        <v>3.6399999999999997</v>
      </c>
      <c r="E669" s="144">
        <f t="shared" ref="E669:E683" si="28">COUNTIF(G669:BN669,"&gt;0")</f>
        <v>12</v>
      </c>
      <c r="F669" s="65"/>
      <c r="G669" s="107">
        <f>'Cronog. e Histog.'!K861</f>
        <v>4.3499999999999996</v>
      </c>
      <c r="H669" s="107">
        <f>'Cronog. e Histog.'!L861</f>
        <v>4.3499999999999996</v>
      </c>
      <c r="I669" s="107">
        <f>'Cronog. e Histog.'!M861</f>
        <v>4.3499999999999996</v>
      </c>
      <c r="J669" s="107">
        <f>'Cronog. e Histog.'!N861</f>
        <v>4.3499999999999996</v>
      </c>
      <c r="K669" s="107">
        <f>'Cronog. e Histog.'!O861</f>
        <v>4.3499999999999996</v>
      </c>
      <c r="L669" s="107">
        <f>'Cronog. e Histog.'!P861</f>
        <v>4.3499999999999996</v>
      </c>
      <c r="M669" s="107">
        <f>'Cronog. e Histog.'!Q861</f>
        <v>4.3499999999999996</v>
      </c>
      <c r="N669" s="107">
        <f>'Cronog. e Histog.'!R861</f>
        <v>4.3499999999999996</v>
      </c>
      <c r="O669" s="107">
        <f>'Cronog. e Histog.'!S861</f>
        <v>4.3499999999999996</v>
      </c>
      <c r="P669" s="107">
        <f>'Cronog. e Histog.'!T861</f>
        <v>4.3499999999999996</v>
      </c>
      <c r="Q669" s="107">
        <f>'Cronog. e Histog.'!U861</f>
        <v>0.08</v>
      </c>
      <c r="R669" s="107">
        <f>'Cronog. e Histog.'!V861</f>
        <v>0.08</v>
      </c>
      <c r="S669" s="107">
        <f>'Cronog. e Histog.'!W861</f>
        <v>0</v>
      </c>
      <c r="T669" s="107">
        <f>'Cronog. e Histog.'!X861</f>
        <v>0</v>
      </c>
      <c r="U669" s="107">
        <f>'Cronog. e Histog.'!Y861</f>
        <v>0</v>
      </c>
      <c r="V669" s="107">
        <f>'Cronog. e Histog.'!Z861</f>
        <v>0</v>
      </c>
      <c r="W669" s="107">
        <f>'Cronog. e Histog.'!AA861</f>
        <v>0</v>
      </c>
      <c r="X669" s="107">
        <f>'Cronog. e Histog.'!AB861</f>
        <v>0</v>
      </c>
      <c r="Y669" s="107">
        <f>'Cronog. e Histog.'!AC861</f>
        <v>0</v>
      </c>
      <c r="Z669" s="107">
        <f>'Cronog. e Histog.'!AD861</f>
        <v>0</v>
      </c>
      <c r="AA669" s="107">
        <f>'Cronog. e Histog.'!AE861</f>
        <v>0</v>
      </c>
      <c r="AB669" s="107">
        <f>'Cronog. e Histog.'!AF861</f>
        <v>0</v>
      </c>
      <c r="AC669" s="107">
        <f>'Cronog. e Histog.'!AG861</f>
        <v>0</v>
      </c>
      <c r="AD669" s="107">
        <f>'Cronog. e Histog.'!AH861</f>
        <v>0</v>
      </c>
      <c r="AE669" s="107">
        <f>'Cronog. e Histog.'!AI861</f>
        <v>0</v>
      </c>
      <c r="AF669" s="107">
        <f>'Cronog. e Histog.'!AJ861</f>
        <v>0</v>
      </c>
      <c r="AG669" s="107">
        <f>'Cronog. e Histog.'!AK861</f>
        <v>0</v>
      </c>
      <c r="AH669" s="107">
        <f>'Cronog. e Histog.'!AL861</f>
        <v>0</v>
      </c>
      <c r="AI669" s="107">
        <f>'Cronog. e Histog.'!AM861</f>
        <v>0</v>
      </c>
      <c r="AJ669" s="107">
        <f>'Cronog. e Histog.'!AN861</f>
        <v>0</v>
      </c>
      <c r="AK669" s="107">
        <f>'Cronog. e Histog.'!AO861</f>
        <v>0</v>
      </c>
      <c r="AL669" s="107">
        <f>'Cronog. e Histog.'!AP861</f>
        <v>0</v>
      </c>
      <c r="AM669" s="107">
        <f>'Cronog. e Histog.'!AQ861</f>
        <v>0</v>
      </c>
      <c r="AN669" s="107">
        <f>'Cronog. e Histog.'!AR861</f>
        <v>0</v>
      </c>
      <c r="AO669" s="107">
        <f>'Cronog. e Histog.'!AS861</f>
        <v>0</v>
      </c>
      <c r="AP669" s="107">
        <f>'Cronog. e Histog.'!AT861</f>
        <v>0</v>
      </c>
      <c r="AQ669" s="107">
        <f>'Cronog. e Histog.'!AU861</f>
        <v>0</v>
      </c>
      <c r="AR669" s="107">
        <f>'Cronog. e Histog.'!AV861</f>
        <v>0</v>
      </c>
      <c r="AS669" s="107">
        <f>'Cronog. e Histog.'!AW861</f>
        <v>0</v>
      </c>
      <c r="AT669" s="107">
        <f>'Cronog. e Histog.'!AX861</f>
        <v>0</v>
      </c>
      <c r="AU669" s="107">
        <f>'Cronog. e Histog.'!AY861</f>
        <v>0</v>
      </c>
      <c r="AV669" s="107">
        <f>'Cronog. e Histog.'!AZ861</f>
        <v>0</v>
      </c>
      <c r="AW669" s="107">
        <f>'Cronog. e Histog.'!BA861</f>
        <v>0</v>
      </c>
      <c r="AX669" s="107">
        <f>'Cronog. e Histog.'!BB861</f>
        <v>0</v>
      </c>
      <c r="AY669" s="107">
        <f>'Cronog. e Histog.'!BC861</f>
        <v>0</v>
      </c>
      <c r="AZ669" s="107">
        <f>'Cronog. e Histog.'!BD861</f>
        <v>0</v>
      </c>
      <c r="BA669" s="107">
        <f>'Cronog. e Histog.'!BE861</f>
        <v>0</v>
      </c>
      <c r="BB669" s="107">
        <f>'Cronog. e Histog.'!BF861</f>
        <v>0</v>
      </c>
      <c r="BC669" s="107">
        <f>'Cronog. e Histog.'!BG861</f>
        <v>0</v>
      </c>
      <c r="BD669" s="107">
        <f>'Cronog. e Histog.'!BH861</f>
        <v>0</v>
      </c>
      <c r="BE669" s="107">
        <f>'Cronog. e Histog.'!BI861</f>
        <v>0</v>
      </c>
      <c r="BF669" s="107">
        <f>'Cronog. e Histog.'!BJ861</f>
        <v>0</v>
      </c>
      <c r="BG669" s="107">
        <f>'Cronog. e Histog.'!BK861</f>
        <v>0</v>
      </c>
      <c r="BH669" s="107">
        <f>'Cronog. e Histog.'!BL861</f>
        <v>0</v>
      </c>
      <c r="BI669" s="107">
        <f>'Cronog. e Histog.'!BM861</f>
        <v>0</v>
      </c>
      <c r="BJ669" s="107">
        <f>'Cronog. e Histog.'!BN861</f>
        <v>0</v>
      </c>
      <c r="BK669" s="107">
        <f>'Cronog. e Histog.'!BO861</f>
        <v>0</v>
      </c>
      <c r="BL669" s="107">
        <f>'Cronog. e Histog.'!BP861</f>
        <v>0</v>
      </c>
      <c r="BM669" s="107">
        <f>'Cronog. e Histog.'!BQ861</f>
        <v>0</v>
      </c>
      <c r="BN669" s="107">
        <f>'Cronog. e Histog.'!BR861</f>
        <v>0</v>
      </c>
      <c r="BO669" s="65"/>
      <c r="BP669" s="78" t="s">
        <v>1004</v>
      </c>
    </row>
    <row r="670" spans="2:68" ht="12" customHeight="1" outlineLevel="1">
      <c r="B670" s="76">
        <v>2</v>
      </c>
      <c r="C670" s="77" t="s">
        <v>1008</v>
      </c>
      <c r="D670" s="144">
        <f t="shared" si="27"/>
        <v>0</v>
      </c>
      <c r="E670" s="144">
        <f t="shared" si="28"/>
        <v>0</v>
      </c>
      <c r="F670" s="65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  <c r="AJ670" s="107"/>
      <c r="AK670" s="107"/>
      <c r="AL670" s="107"/>
      <c r="AM670" s="107"/>
      <c r="AN670" s="107"/>
      <c r="AO670" s="107"/>
      <c r="AP670" s="107"/>
      <c r="AQ670" s="107"/>
      <c r="AR670" s="107"/>
      <c r="AS670" s="107"/>
      <c r="AT670" s="107"/>
      <c r="AU670" s="107"/>
      <c r="AV670" s="107"/>
      <c r="AW670" s="107"/>
      <c r="AX670" s="107"/>
      <c r="AY670" s="107"/>
      <c r="AZ670" s="107"/>
      <c r="BA670" s="107"/>
      <c r="BB670" s="107"/>
      <c r="BC670" s="107"/>
      <c r="BD670" s="107"/>
      <c r="BE670" s="107"/>
      <c r="BF670" s="107"/>
      <c r="BG670" s="107"/>
      <c r="BH670" s="107"/>
      <c r="BI670" s="107"/>
      <c r="BJ670" s="107"/>
      <c r="BK670" s="107"/>
      <c r="BL670" s="107"/>
      <c r="BM670" s="107"/>
      <c r="BN670" s="107"/>
      <c r="BO670" s="65"/>
      <c r="BP670" s="78" t="s">
        <v>1004</v>
      </c>
    </row>
    <row r="671" spans="2:68" ht="12" customHeight="1" outlineLevel="1">
      <c r="B671" s="76">
        <v>3</v>
      </c>
      <c r="C671" s="77" t="s">
        <v>1009</v>
      </c>
      <c r="D671" s="144">
        <f t="shared" si="27"/>
        <v>0</v>
      </c>
      <c r="E671" s="144">
        <f t="shared" si="28"/>
        <v>0</v>
      </c>
      <c r="F671" s="65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  <c r="AJ671" s="107"/>
      <c r="AK671" s="107"/>
      <c r="AL671" s="107"/>
      <c r="AM671" s="107"/>
      <c r="AN671" s="107"/>
      <c r="AO671" s="107"/>
      <c r="AP671" s="107"/>
      <c r="AQ671" s="107"/>
      <c r="AR671" s="107"/>
      <c r="AS671" s="107"/>
      <c r="AT671" s="107"/>
      <c r="AU671" s="107"/>
      <c r="AV671" s="107"/>
      <c r="AW671" s="107"/>
      <c r="AX671" s="107"/>
      <c r="AY671" s="107"/>
      <c r="AZ671" s="107"/>
      <c r="BA671" s="107"/>
      <c r="BB671" s="107"/>
      <c r="BC671" s="107"/>
      <c r="BD671" s="107"/>
      <c r="BE671" s="107"/>
      <c r="BF671" s="107"/>
      <c r="BG671" s="107"/>
      <c r="BH671" s="107"/>
      <c r="BI671" s="107"/>
      <c r="BJ671" s="107"/>
      <c r="BK671" s="107"/>
      <c r="BL671" s="107"/>
      <c r="BM671" s="107"/>
      <c r="BN671" s="107"/>
      <c r="BO671" s="65"/>
      <c r="BP671" s="78" t="s">
        <v>1004</v>
      </c>
    </row>
    <row r="672" spans="2:68" ht="12" customHeight="1" outlineLevel="1">
      <c r="B672" s="76">
        <v>4</v>
      </c>
      <c r="C672" s="77" t="s">
        <v>1010</v>
      </c>
      <c r="D672" s="144">
        <f t="shared" si="27"/>
        <v>0</v>
      </c>
      <c r="E672" s="144">
        <f t="shared" si="28"/>
        <v>0</v>
      </c>
      <c r="F672" s="65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  <c r="AJ672" s="107"/>
      <c r="AK672" s="107"/>
      <c r="AL672" s="107"/>
      <c r="AM672" s="107"/>
      <c r="AN672" s="107"/>
      <c r="AO672" s="107"/>
      <c r="AP672" s="107"/>
      <c r="AQ672" s="107"/>
      <c r="AR672" s="107"/>
      <c r="AS672" s="107"/>
      <c r="AT672" s="107"/>
      <c r="AU672" s="107"/>
      <c r="AV672" s="107"/>
      <c r="AW672" s="107"/>
      <c r="AX672" s="107"/>
      <c r="AY672" s="107"/>
      <c r="AZ672" s="107"/>
      <c r="BA672" s="107"/>
      <c r="BB672" s="107"/>
      <c r="BC672" s="107"/>
      <c r="BD672" s="107"/>
      <c r="BE672" s="107"/>
      <c r="BF672" s="107"/>
      <c r="BG672" s="107"/>
      <c r="BH672" s="107"/>
      <c r="BI672" s="107"/>
      <c r="BJ672" s="107"/>
      <c r="BK672" s="107"/>
      <c r="BL672" s="107"/>
      <c r="BM672" s="107"/>
      <c r="BN672" s="107"/>
      <c r="BO672" s="65"/>
      <c r="BP672" s="78" t="s">
        <v>1004</v>
      </c>
    </row>
    <row r="673" spans="2:68" ht="12" customHeight="1" outlineLevel="1">
      <c r="B673" s="76">
        <v>5</v>
      </c>
      <c r="C673" s="77" t="s">
        <v>1011</v>
      </c>
      <c r="D673" s="144">
        <f t="shared" si="27"/>
        <v>0</v>
      </c>
      <c r="E673" s="144">
        <f t="shared" si="28"/>
        <v>0</v>
      </c>
      <c r="F673" s="65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  <c r="AK673" s="107"/>
      <c r="AL673" s="107"/>
      <c r="AM673" s="107"/>
      <c r="AN673" s="107"/>
      <c r="AO673" s="107"/>
      <c r="AP673" s="107"/>
      <c r="AQ673" s="107"/>
      <c r="AR673" s="107"/>
      <c r="AS673" s="107"/>
      <c r="AT673" s="107"/>
      <c r="AU673" s="107"/>
      <c r="AV673" s="107"/>
      <c r="AW673" s="107"/>
      <c r="AX673" s="107"/>
      <c r="AY673" s="107"/>
      <c r="AZ673" s="107"/>
      <c r="BA673" s="107"/>
      <c r="BB673" s="107"/>
      <c r="BC673" s="107"/>
      <c r="BD673" s="107"/>
      <c r="BE673" s="107"/>
      <c r="BF673" s="107"/>
      <c r="BG673" s="107"/>
      <c r="BH673" s="107"/>
      <c r="BI673" s="107"/>
      <c r="BJ673" s="107"/>
      <c r="BK673" s="107"/>
      <c r="BL673" s="107"/>
      <c r="BM673" s="107"/>
      <c r="BN673" s="107"/>
      <c r="BO673" s="65"/>
      <c r="BP673" s="78" t="s">
        <v>1004</v>
      </c>
    </row>
    <row r="674" spans="2:68" ht="12" customHeight="1" outlineLevel="1">
      <c r="B674" s="76">
        <v>6</v>
      </c>
      <c r="C674" s="77" t="s">
        <v>1012</v>
      </c>
      <c r="D674" s="144">
        <f t="shared" si="27"/>
        <v>0</v>
      </c>
      <c r="E674" s="144">
        <f t="shared" si="28"/>
        <v>0</v>
      </c>
      <c r="F674" s="65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  <c r="AK674" s="107"/>
      <c r="AL674" s="107"/>
      <c r="AM674" s="107"/>
      <c r="AN674" s="107"/>
      <c r="AO674" s="107"/>
      <c r="AP674" s="107"/>
      <c r="AQ674" s="107"/>
      <c r="AR674" s="107"/>
      <c r="AS674" s="107"/>
      <c r="AT674" s="107"/>
      <c r="AU674" s="107"/>
      <c r="AV674" s="107"/>
      <c r="AW674" s="107"/>
      <c r="AX674" s="107"/>
      <c r="AY674" s="107"/>
      <c r="AZ674" s="107"/>
      <c r="BA674" s="107"/>
      <c r="BB674" s="107"/>
      <c r="BC674" s="107"/>
      <c r="BD674" s="107"/>
      <c r="BE674" s="107"/>
      <c r="BF674" s="107"/>
      <c r="BG674" s="107"/>
      <c r="BH674" s="107"/>
      <c r="BI674" s="107"/>
      <c r="BJ674" s="107"/>
      <c r="BK674" s="107"/>
      <c r="BL674" s="107"/>
      <c r="BM674" s="107"/>
      <c r="BN674" s="107"/>
      <c r="BO674" s="65"/>
      <c r="BP674" s="78" t="s">
        <v>1004</v>
      </c>
    </row>
    <row r="675" spans="2:68" ht="12" customHeight="1" outlineLevel="1">
      <c r="B675" s="76">
        <v>7</v>
      </c>
      <c r="C675" s="77" t="s">
        <v>1013</v>
      </c>
      <c r="D675" s="144">
        <f t="shared" si="27"/>
        <v>0</v>
      </c>
      <c r="E675" s="144">
        <f t="shared" si="28"/>
        <v>0</v>
      </c>
      <c r="F675" s="65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  <c r="AK675" s="107"/>
      <c r="AL675" s="107"/>
      <c r="AM675" s="107"/>
      <c r="AN675" s="107"/>
      <c r="AO675" s="107"/>
      <c r="AP675" s="107"/>
      <c r="AQ675" s="107"/>
      <c r="AR675" s="107"/>
      <c r="AS675" s="107"/>
      <c r="AT675" s="107"/>
      <c r="AU675" s="107"/>
      <c r="AV675" s="107"/>
      <c r="AW675" s="107"/>
      <c r="AX675" s="107"/>
      <c r="AY675" s="107"/>
      <c r="AZ675" s="107"/>
      <c r="BA675" s="107"/>
      <c r="BB675" s="107"/>
      <c r="BC675" s="107"/>
      <c r="BD675" s="107"/>
      <c r="BE675" s="107"/>
      <c r="BF675" s="107"/>
      <c r="BG675" s="107"/>
      <c r="BH675" s="107"/>
      <c r="BI675" s="107"/>
      <c r="BJ675" s="107"/>
      <c r="BK675" s="107"/>
      <c r="BL675" s="107"/>
      <c r="BM675" s="107"/>
      <c r="BN675" s="107"/>
      <c r="BO675" s="65"/>
      <c r="BP675" s="78" t="s">
        <v>1004</v>
      </c>
    </row>
    <row r="676" spans="2:68" ht="12" customHeight="1" outlineLevel="1">
      <c r="B676" s="76">
        <v>8</v>
      </c>
      <c r="C676" s="77" t="s">
        <v>1014</v>
      </c>
      <c r="D676" s="144">
        <f t="shared" si="27"/>
        <v>3.6399999999999997</v>
      </c>
      <c r="E676" s="144">
        <f t="shared" si="28"/>
        <v>12</v>
      </c>
      <c r="F676" s="65"/>
      <c r="G676" s="107">
        <f>G669</f>
        <v>4.3499999999999996</v>
      </c>
      <c r="H676" s="107">
        <f t="shared" ref="H676:BN676" si="29">H669</f>
        <v>4.3499999999999996</v>
      </c>
      <c r="I676" s="107">
        <f t="shared" si="29"/>
        <v>4.3499999999999996</v>
      </c>
      <c r="J676" s="107">
        <f t="shared" si="29"/>
        <v>4.3499999999999996</v>
      </c>
      <c r="K676" s="107">
        <f t="shared" si="29"/>
        <v>4.3499999999999996</v>
      </c>
      <c r="L676" s="107">
        <f t="shared" si="29"/>
        <v>4.3499999999999996</v>
      </c>
      <c r="M676" s="107">
        <f t="shared" si="29"/>
        <v>4.3499999999999996</v>
      </c>
      <c r="N676" s="107">
        <f t="shared" si="29"/>
        <v>4.3499999999999996</v>
      </c>
      <c r="O676" s="107">
        <f t="shared" si="29"/>
        <v>4.3499999999999996</v>
      </c>
      <c r="P676" s="107">
        <f t="shared" si="29"/>
        <v>4.3499999999999996</v>
      </c>
      <c r="Q676" s="107">
        <f t="shared" si="29"/>
        <v>0.08</v>
      </c>
      <c r="R676" s="107">
        <f t="shared" si="29"/>
        <v>0.08</v>
      </c>
      <c r="S676" s="107">
        <f t="shared" si="29"/>
        <v>0</v>
      </c>
      <c r="T676" s="107">
        <f t="shared" si="29"/>
        <v>0</v>
      </c>
      <c r="U676" s="107">
        <f t="shared" si="29"/>
        <v>0</v>
      </c>
      <c r="V676" s="107">
        <f t="shared" si="29"/>
        <v>0</v>
      </c>
      <c r="W676" s="107">
        <f t="shared" si="29"/>
        <v>0</v>
      </c>
      <c r="X676" s="107">
        <f t="shared" si="29"/>
        <v>0</v>
      </c>
      <c r="Y676" s="107">
        <f t="shared" si="29"/>
        <v>0</v>
      </c>
      <c r="Z676" s="107">
        <f t="shared" si="29"/>
        <v>0</v>
      </c>
      <c r="AA676" s="107">
        <f t="shared" si="29"/>
        <v>0</v>
      </c>
      <c r="AB676" s="107">
        <f t="shared" si="29"/>
        <v>0</v>
      </c>
      <c r="AC676" s="107">
        <f t="shared" si="29"/>
        <v>0</v>
      </c>
      <c r="AD676" s="107">
        <f t="shared" si="29"/>
        <v>0</v>
      </c>
      <c r="AE676" s="107">
        <f t="shared" si="29"/>
        <v>0</v>
      </c>
      <c r="AF676" s="107">
        <f t="shared" si="29"/>
        <v>0</v>
      </c>
      <c r="AG676" s="107">
        <f t="shared" si="29"/>
        <v>0</v>
      </c>
      <c r="AH676" s="107">
        <f t="shared" si="29"/>
        <v>0</v>
      </c>
      <c r="AI676" s="107">
        <f t="shared" si="29"/>
        <v>0</v>
      </c>
      <c r="AJ676" s="107">
        <f t="shared" si="29"/>
        <v>0</v>
      </c>
      <c r="AK676" s="107">
        <f t="shared" si="29"/>
        <v>0</v>
      </c>
      <c r="AL676" s="107">
        <f t="shared" si="29"/>
        <v>0</v>
      </c>
      <c r="AM676" s="107">
        <f t="shared" si="29"/>
        <v>0</v>
      </c>
      <c r="AN676" s="107">
        <f t="shared" si="29"/>
        <v>0</v>
      </c>
      <c r="AO676" s="107">
        <f t="shared" si="29"/>
        <v>0</v>
      </c>
      <c r="AP676" s="107">
        <f t="shared" si="29"/>
        <v>0</v>
      </c>
      <c r="AQ676" s="107">
        <f t="shared" si="29"/>
        <v>0</v>
      </c>
      <c r="AR676" s="107">
        <f t="shared" si="29"/>
        <v>0</v>
      </c>
      <c r="AS676" s="107">
        <f t="shared" si="29"/>
        <v>0</v>
      </c>
      <c r="AT676" s="107">
        <f t="shared" si="29"/>
        <v>0</v>
      </c>
      <c r="AU676" s="107">
        <f t="shared" si="29"/>
        <v>0</v>
      </c>
      <c r="AV676" s="107">
        <f t="shared" si="29"/>
        <v>0</v>
      </c>
      <c r="AW676" s="107">
        <f t="shared" si="29"/>
        <v>0</v>
      </c>
      <c r="AX676" s="107">
        <f t="shared" si="29"/>
        <v>0</v>
      </c>
      <c r="AY676" s="107">
        <f t="shared" si="29"/>
        <v>0</v>
      </c>
      <c r="AZ676" s="107">
        <f t="shared" si="29"/>
        <v>0</v>
      </c>
      <c r="BA676" s="107">
        <f t="shared" si="29"/>
        <v>0</v>
      </c>
      <c r="BB676" s="107">
        <f t="shared" si="29"/>
        <v>0</v>
      </c>
      <c r="BC676" s="107">
        <f t="shared" si="29"/>
        <v>0</v>
      </c>
      <c r="BD676" s="107">
        <f t="shared" si="29"/>
        <v>0</v>
      </c>
      <c r="BE676" s="107">
        <f t="shared" si="29"/>
        <v>0</v>
      </c>
      <c r="BF676" s="107">
        <f t="shared" si="29"/>
        <v>0</v>
      </c>
      <c r="BG676" s="107">
        <f t="shared" si="29"/>
        <v>0</v>
      </c>
      <c r="BH676" s="107">
        <f t="shared" si="29"/>
        <v>0</v>
      </c>
      <c r="BI676" s="107">
        <f t="shared" si="29"/>
        <v>0</v>
      </c>
      <c r="BJ676" s="107">
        <f t="shared" si="29"/>
        <v>0</v>
      </c>
      <c r="BK676" s="107">
        <f t="shared" si="29"/>
        <v>0</v>
      </c>
      <c r="BL676" s="107">
        <f t="shared" si="29"/>
        <v>0</v>
      </c>
      <c r="BM676" s="107">
        <f t="shared" si="29"/>
        <v>0</v>
      </c>
      <c r="BN676" s="107">
        <f t="shared" si="29"/>
        <v>0</v>
      </c>
      <c r="BO676" s="65"/>
      <c r="BP676" s="78" t="s">
        <v>1004</v>
      </c>
    </row>
    <row r="677" spans="2:68" ht="12" customHeight="1" outlineLevel="1">
      <c r="B677" s="76">
        <v>9</v>
      </c>
      <c r="C677" s="77" t="s">
        <v>1015</v>
      </c>
      <c r="D677" s="144">
        <f t="shared" si="27"/>
        <v>0</v>
      </c>
      <c r="E677" s="144">
        <f t="shared" si="28"/>
        <v>0</v>
      </c>
      <c r="F677" s="65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  <c r="AJ677" s="107"/>
      <c r="AK677" s="107"/>
      <c r="AL677" s="107"/>
      <c r="AM677" s="107"/>
      <c r="AN677" s="107"/>
      <c r="AO677" s="107"/>
      <c r="AP677" s="107"/>
      <c r="AQ677" s="107"/>
      <c r="AR677" s="107"/>
      <c r="AS677" s="107"/>
      <c r="AT677" s="107"/>
      <c r="AU677" s="107"/>
      <c r="AV677" s="107"/>
      <c r="AW677" s="107"/>
      <c r="AX677" s="107"/>
      <c r="AY677" s="107"/>
      <c r="AZ677" s="107"/>
      <c r="BA677" s="107"/>
      <c r="BB677" s="107"/>
      <c r="BC677" s="107"/>
      <c r="BD677" s="107"/>
      <c r="BE677" s="107"/>
      <c r="BF677" s="107"/>
      <c r="BG677" s="107"/>
      <c r="BH677" s="107"/>
      <c r="BI677" s="107"/>
      <c r="BJ677" s="107"/>
      <c r="BK677" s="107"/>
      <c r="BL677" s="107"/>
      <c r="BM677" s="107"/>
      <c r="BN677" s="107"/>
      <c r="BO677" s="65"/>
      <c r="BP677" s="78" t="s">
        <v>1004</v>
      </c>
    </row>
    <row r="678" spans="2:68" ht="12" customHeight="1" outlineLevel="1">
      <c r="B678" s="76">
        <v>10</v>
      </c>
      <c r="C678" s="77" t="s">
        <v>1016</v>
      </c>
      <c r="D678" s="144">
        <f t="shared" si="27"/>
        <v>0</v>
      </c>
      <c r="E678" s="144">
        <f t="shared" si="28"/>
        <v>0</v>
      </c>
      <c r="F678" s="65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  <c r="AK678" s="107"/>
      <c r="AL678" s="107"/>
      <c r="AM678" s="107"/>
      <c r="AN678" s="107"/>
      <c r="AO678" s="107"/>
      <c r="AP678" s="107"/>
      <c r="AQ678" s="107"/>
      <c r="AR678" s="107"/>
      <c r="AS678" s="107"/>
      <c r="AT678" s="107"/>
      <c r="AU678" s="107"/>
      <c r="AV678" s="107"/>
      <c r="AW678" s="107"/>
      <c r="AX678" s="107"/>
      <c r="AY678" s="107"/>
      <c r="AZ678" s="107"/>
      <c r="BA678" s="107"/>
      <c r="BB678" s="107"/>
      <c r="BC678" s="107"/>
      <c r="BD678" s="107"/>
      <c r="BE678" s="107"/>
      <c r="BF678" s="107"/>
      <c r="BG678" s="107"/>
      <c r="BH678" s="107"/>
      <c r="BI678" s="107"/>
      <c r="BJ678" s="107"/>
      <c r="BK678" s="107"/>
      <c r="BL678" s="107"/>
      <c r="BM678" s="107"/>
      <c r="BN678" s="107"/>
      <c r="BO678" s="65"/>
      <c r="BP678" s="78" t="s">
        <v>1004</v>
      </c>
    </row>
    <row r="679" spans="2:68" ht="12" customHeight="1" outlineLevel="1">
      <c r="B679" s="76">
        <v>11</v>
      </c>
      <c r="C679" s="77" t="s">
        <v>1017</v>
      </c>
      <c r="D679" s="144">
        <f t="shared" si="27"/>
        <v>0</v>
      </c>
      <c r="E679" s="144">
        <f t="shared" si="28"/>
        <v>0</v>
      </c>
      <c r="F679" s="65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  <c r="AK679" s="107"/>
      <c r="AL679" s="107"/>
      <c r="AM679" s="107"/>
      <c r="AN679" s="107"/>
      <c r="AO679" s="107"/>
      <c r="AP679" s="107"/>
      <c r="AQ679" s="107"/>
      <c r="AR679" s="107"/>
      <c r="AS679" s="107"/>
      <c r="AT679" s="107"/>
      <c r="AU679" s="107"/>
      <c r="AV679" s="107"/>
      <c r="AW679" s="107"/>
      <c r="AX679" s="107"/>
      <c r="AY679" s="107"/>
      <c r="AZ679" s="107"/>
      <c r="BA679" s="107"/>
      <c r="BB679" s="107"/>
      <c r="BC679" s="107"/>
      <c r="BD679" s="107"/>
      <c r="BE679" s="107"/>
      <c r="BF679" s="107"/>
      <c r="BG679" s="107"/>
      <c r="BH679" s="107"/>
      <c r="BI679" s="107"/>
      <c r="BJ679" s="107"/>
      <c r="BK679" s="107"/>
      <c r="BL679" s="107"/>
      <c r="BM679" s="107"/>
      <c r="BN679" s="107"/>
      <c r="BO679" s="65"/>
      <c r="BP679" s="78" t="s">
        <v>1004</v>
      </c>
    </row>
    <row r="680" spans="2:68" ht="12" customHeight="1" outlineLevel="1">
      <c r="B680" s="76">
        <v>12</v>
      </c>
      <c r="C680" s="77" t="s">
        <v>1018</v>
      </c>
      <c r="D680" s="144">
        <f t="shared" si="27"/>
        <v>0</v>
      </c>
      <c r="E680" s="144">
        <f t="shared" si="28"/>
        <v>0</v>
      </c>
      <c r="F680" s="65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  <c r="AK680" s="107"/>
      <c r="AL680" s="107"/>
      <c r="AM680" s="107"/>
      <c r="AN680" s="107"/>
      <c r="AO680" s="107"/>
      <c r="AP680" s="107"/>
      <c r="AQ680" s="107"/>
      <c r="AR680" s="107"/>
      <c r="AS680" s="107"/>
      <c r="AT680" s="107"/>
      <c r="AU680" s="107"/>
      <c r="AV680" s="107"/>
      <c r="AW680" s="107"/>
      <c r="AX680" s="107"/>
      <c r="AY680" s="107"/>
      <c r="AZ680" s="107"/>
      <c r="BA680" s="107"/>
      <c r="BB680" s="107"/>
      <c r="BC680" s="107"/>
      <c r="BD680" s="107"/>
      <c r="BE680" s="107"/>
      <c r="BF680" s="107"/>
      <c r="BG680" s="107"/>
      <c r="BH680" s="107"/>
      <c r="BI680" s="107"/>
      <c r="BJ680" s="107"/>
      <c r="BK680" s="107"/>
      <c r="BL680" s="107"/>
      <c r="BM680" s="107"/>
      <c r="BN680" s="107"/>
      <c r="BO680" s="65"/>
      <c r="BP680" s="78" t="s">
        <v>1004</v>
      </c>
    </row>
    <row r="681" spans="2:68" ht="12" customHeight="1" outlineLevel="1">
      <c r="B681" s="76">
        <v>13</v>
      </c>
      <c r="C681" s="77" t="s">
        <v>1019</v>
      </c>
      <c r="D681" s="144">
        <f t="shared" si="27"/>
        <v>0</v>
      </c>
      <c r="E681" s="144">
        <f t="shared" si="28"/>
        <v>0</v>
      </c>
      <c r="F681" s="65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7"/>
      <c r="AM681" s="107"/>
      <c r="AN681" s="107"/>
      <c r="AO681" s="107"/>
      <c r="AP681" s="107"/>
      <c r="AQ681" s="107"/>
      <c r="AR681" s="107"/>
      <c r="AS681" s="107"/>
      <c r="AT681" s="107"/>
      <c r="AU681" s="107"/>
      <c r="AV681" s="107"/>
      <c r="AW681" s="107"/>
      <c r="AX681" s="107"/>
      <c r="AY681" s="107"/>
      <c r="AZ681" s="107"/>
      <c r="BA681" s="107"/>
      <c r="BB681" s="107"/>
      <c r="BC681" s="107"/>
      <c r="BD681" s="107"/>
      <c r="BE681" s="107"/>
      <c r="BF681" s="107"/>
      <c r="BG681" s="107"/>
      <c r="BH681" s="107"/>
      <c r="BI681" s="107"/>
      <c r="BJ681" s="107"/>
      <c r="BK681" s="107"/>
      <c r="BL681" s="107"/>
      <c r="BM681" s="107"/>
      <c r="BN681" s="107"/>
      <c r="BO681" s="65"/>
      <c r="BP681" s="78" t="s">
        <v>1004</v>
      </c>
    </row>
    <row r="682" spans="2:68" ht="12" customHeight="1" outlineLevel="1">
      <c r="B682" s="76">
        <v>14</v>
      </c>
      <c r="C682" s="77" t="s">
        <v>1020</v>
      </c>
      <c r="D682" s="144">
        <f t="shared" si="27"/>
        <v>0</v>
      </c>
      <c r="E682" s="144">
        <f t="shared" si="28"/>
        <v>0</v>
      </c>
      <c r="F682" s="65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  <c r="AK682" s="107"/>
      <c r="AL682" s="107"/>
      <c r="AM682" s="107"/>
      <c r="AN682" s="107"/>
      <c r="AO682" s="107"/>
      <c r="AP682" s="107"/>
      <c r="AQ682" s="107"/>
      <c r="AR682" s="107"/>
      <c r="AS682" s="107"/>
      <c r="AT682" s="107"/>
      <c r="AU682" s="107"/>
      <c r="AV682" s="107"/>
      <c r="AW682" s="107"/>
      <c r="AX682" s="107"/>
      <c r="AY682" s="107"/>
      <c r="AZ682" s="107"/>
      <c r="BA682" s="107"/>
      <c r="BB682" s="107"/>
      <c r="BC682" s="107"/>
      <c r="BD682" s="107"/>
      <c r="BE682" s="107"/>
      <c r="BF682" s="107"/>
      <c r="BG682" s="107"/>
      <c r="BH682" s="107"/>
      <c r="BI682" s="107"/>
      <c r="BJ682" s="107"/>
      <c r="BK682" s="107"/>
      <c r="BL682" s="107"/>
      <c r="BM682" s="107"/>
      <c r="BN682" s="107"/>
      <c r="BO682" s="65"/>
      <c r="BP682" s="78" t="s">
        <v>1004</v>
      </c>
    </row>
    <row r="683" spans="2:68" ht="12" customHeight="1" outlineLevel="1">
      <c r="B683" s="76">
        <v>15</v>
      </c>
      <c r="C683" s="77"/>
      <c r="D683" s="144">
        <f t="shared" si="27"/>
        <v>0</v>
      </c>
      <c r="E683" s="144">
        <f t="shared" si="28"/>
        <v>0</v>
      </c>
      <c r="F683" s="65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107"/>
      <c r="AZ683" s="107"/>
      <c r="BA683" s="107"/>
      <c r="BB683" s="107"/>
      <c r="BC683" s="107"/>
      <c r="BD683" s="107"/>
      <c r="BE683" s="107"/>
      <c r="BF683" s="107"/>
      <c r="BG683" s="107"/>
      <c r="BH683" s="107"/>
      <c r="BI683" s="107"/>
      <c r="BJ683" s="107"/>
      <c r="BK683" s="107"/>
      <c r="BL683" s="107"/>
      <c r="BM683" s="107"/>
      <c r="BN683" s="107"/>
      <c r="BO683" s="65"/>
      <c r="BP683" s="78" t="s">
        <v>1004</v>
      </c>
    </row>
    <row r="684" spans="2:68" ht="24" customHeight="1">
      <c r="B684" s="614" t="s">
        <v>380</v>
      </c>
      <c r="C684" s="614"/>
      <c r="D684" s="146">
        <f>SUM(D669:D683)</f>
        <v>7.2799999999999994</v>
      </c>
      <c r="E684" s="65"/>
      <c r="F684" s="65"/>
      <c r="G684" s="146">
        <f>SUM(G669:G683)</f>
        <v>8.6999999999999993</v>
      </c>
      <c r="H684" s="146">
        <f t="shared" ref="H684:BN684" si="30">SUM(H669:H683)</f>
        <v>8.6999999999999993</v>
      </c>
      <c r="I684" s="146">
        <f t="shared" si="30"/>
        <v>8.6999999999999993</v>
      </c>
      <c r="J684" s="146">
        <f t="shared" si="30"/>
        <v>8.6999999999999993</v>
      </c>
      <c r="K684" s="146">
        <f t="shared" si="30"/>
        <v>8.6999999999999993</v>
      </c>
      <c r="L684" s="146">
        <f t="shared" si="30"/>
        <v>8.6999999999999993</v>
      </c>
      <c r="M684" s="146">
        <f t="shared" si="30"/>
        <v>8.6999999999999993</v>
      </c>
      <c r="N684" s="146">
        <f t="shared" si="30"/>
        <v>8.6999999999999993</v>
      </c>
      <c r="O684" s="146">
        <f t="shared" si="30"/>
        <v>8.6999999999999993</v>
      </c>
      <c r="P684" s="146">
        <f t="shared" si="30"/>
        <v>8.6999999999999993</v>
      </c>
      <c r="Q684" s="146">
        <f t="shared" si="30"/>
        <v>0.16</v>
      </c>
      <c r="R684" s="146">
        <f t="shared" si="30"/>
        <v>0.16</v>
      </c>
      <c r="S684" s="146">
        <f t="shared" si="30"/>
        <v>0</v>
      </c>
      <c r="T684" s="146">
        <f t="shared" si="30"/>
        <v>0</v>
      </c>
      <c r="U684" s="146">
        <f t="shared" si="30"/>
        <v>0</v>
      </c>
      <c r="V684" s="146">
        <f t="shared" si="30"/>
        <v>0</v>
      </c>
      <c r="W684" s="146">
        <f t="shared" si="30"/>
        <v>0</v>
      </c>
      <c r="X684" s="146">
        <f t="shared" si="30"/>
        <v>0</v>
      </c>
      <c r="Y684" s="146">
        <f t="shared" si="30"/>
        <v>0</v>
      </c>
      <c r="Z684" s="146">
        <f t="shared" si="30"/>
        <v>0</v>
      </c>
      <c r="AA684" s="146">
        <f t="shared" si="30"/>
        <v>0</v>
      </c>
      <c r="AB684" s="146">
        <f t="shared" si="30"/>
        <v>0</v>
      </c>
      <c r="AC684" s="146">
        <f t="shared" si="30"/>
        <v>0</v>
      </c>
      <c r="AD684" s="146">
        <f t="shared" si="30"/>
        <v>0</v>
      </c>
      <c r="AE684" s="146">
        <f t="shared" si="30"/>
        <v>0</v>
      </c>
      <c r="AF684" s="146">
        <f t="shared" si="30"/>
        <v>0</v>
      </c>
      <c r="AG684" s="146">
        <f t="shared" si="30"/>
        <v>0</v>
      </c>
      <c r="AH684" s="146">
        <f t="shared" si="30"/>
        <v>0</v>
      </c>
      <c r="AI684" s="146">
        <f t="shared" si="30"/>
        <v>0</v>
      </c>
      <c r="AJ684" s="146">
        <f t="shared" si="30"/>
        <v>0</v>
      </c>
      <c r="AK684" s="146">
        <f t="shared" si="30"/>
        <v>0</v>
      </c>
      <c r="AL684" s="146">
        <f t="shared" si="30"/>
        <v>0</v>
      </c>
      <c r="AM684" s="146">
        <f t="shared" si="30"/>
        <v>0</v>
      </c>
      <c r="AN684" s="146">
        <f t="shared" si="30"/>
        <v>0</v>
      </c>
      <c r="AO684" s="146">
        <f t="shared" si="30"/>
        <v>0</v>
      </c>
      <c r="AP684" s="146">
        <f t="shared" si="30"/>
        <v>0</v>
      </c>
      <c r="AQ684" s="146">
        <f t="shared" si="30"/>
        <v>0</v>
      </c>
      <c r="AR684" s="146">
        <f t="shared" si="30"/>
        <v>0</v>
      </c>
      <c r="AS684" s="146">
        <f t="shared" si="30"/>
        <v>0</v>
      </c>
      <c r="AT684" s="146">
        <f t="shared" si="30"/>
        <v>0</v>
      </c>
      <c r="AU684" s="146">
        <f t="shared" si="30"/>
        <v>0</v>
      </c>
      <c r="AV684" s="146">
        <f t="shared" si="30"/>
        <v>0</v>
      </c>
      <c r="AW684" s="146">
        <f t="shared" si="30"/>
        <v>0</v>
      </c>
      <c r="AX684" s="146">
        <f t="shared" si="30"/>
        <v>0</v>
      </c>
      <c r="AY684" s="146">
        <f t="shared" si="30"/>
        <v>0</v>
      </c>
      <c r="AZ684" s="146">
        <f t="shared" si="30"/>
        <v>0</v>
      </c>
      <c r="BA684" s="146">
        <f t="shared" si="30"/>
        <v>0</v>
      </c>
      <c r="BB684" s="146">
        <f t="shared" si="30"/>
        <v>0</v>
      </c>
      <c r="BC684" s="146">
        <f t="shared" si="30"/>
        <v>0</v>
      </c>
      <c r="BD684" s="146">
        <f t="shared" si="30"/>
        <v>0</v>
      </c>
      <c r="BE684" s="146">
        <f t="shared" si="30"/>
        <v>0</v>
      </c>
      <c r="BF684" s="146">
        <f t="shared" si="30"/>
        <v>0</v>
      </c>
      <c r="BG684" s="146">
        <f t="shared" si="30"/>
        <v>0</v>
      </c>
      <c r="BH684" s="146">
        <f t="shared" si="30"/>
        <v>0</v>
      </c>
      <c r="BI684" s="146">
        <f t="shared" si="30"/>
        <v>0</v>
      </c>
      <c r="BJ684" s="146">
        <f t="shared" si="30"/>
        <v>0</v>
      </c>
      <c r="BK684" s="146">
        <f t="shared" si="30"/>
        <v>0</v>
      </c>
      <c r="BL684" s="146">
        <f t="shared" si="30"/>
        <v>0</v>
      </c>
      <c r="BM684" s="146">
        <f t="shared" si="30"/>
        <v>0</v>
      </c>
      <c r="BN684" s="146">
        <f t="shared" si="30"/>
        <v>0</v>
      </c>
      <c r="BO684" s="65"/>
      <c r="BP684" s="65"/>
    </row>
    <row r="685" spans="2:68" ht="12" customHeight="1"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  <c r="AT685" s="65"/>
      <c r="AU685" s="65"/>
      <c r="AV685" s="65"/>
      <c r="AW685" s="65"/>
      <c r="AX685" s="65"/>
      <c r="AY685" s="65"/>
      <c r="AZ685" s="65"/>
      <c r="BA685" s="65"/>
      <c r="BB685" s="65"/>
      <c r="BC685" s="65"/>
      <c r="BD685" s="65"/>
      <c r="BE685" s="65"/>
      <c r="BF685" s="65"/>
      <c r="BG685" s="65"/>
      <c r="BH685" s="65"/>
      <c r="BI685" s="65"/>
      <c r="BJ685" s="65"/>
      <c r="BK685" s="65"/>
      <c r="BL685" s="65"/>
      <c r="BM685" s="65"/>
      <c r="BN685" s="65"/>
      <c r="BO685" s="65"/>
      <c r="BP685" s="65"/>
    </row>
    <row r="686" spans="2:68" ht="5.0999999999999996" customHeight="1"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Q686" s="69"/>
      <c r="AR686" s="69"/>
      <c r="AS686" s="69"/>
      <c r="AT686" s="69"/>
      <c r="AU686" s="69"/>
      <c r="AV686" s="69"/>
      <c r="AW686" s="69"/>
      <c r="AX686" s="69"/>
      <c r="AY686" s="69"/>
      <c r="AZ686" s="69"/>
      <c r="BA686" s="69"/>
      <c r="BB686" s="69"/>
      <c r="BC686" s="69"/>
      <c r="BD686" s="69"/>
      <c r="BE686" s="69"/>
      <c r="BF686" s="69"/>
      <c r="BG686" s="69"/>
      <c r="BH686" s="69"/>
      <c r="BI686" s="69"/>
      <c r="BJ686" s="69"/>
      <c r="BK686" s="69"/>
      <c r="BL686" s="69"/>
      <c r="BM686" s="69"/>
      <c r="BN686" s="69"/>
      <c r="BO686" s="69"/>
      <c r="BP686" s="69"/>
    </row>
    <row r="687" spans="2:68" ht="12" customHeight="1"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  <c r="AT687" s="65"/>
      <c r="AU687" s="65"/>
      <c r="AV687" s="65"/>
      <c r="AW687" s="65"/>
      <c r="AX687" s="65"/>
      <c r="AY687" s="65"/>
      <c r="AZ687" s="65"/>
      <c r="BA687" s="65"/>
      <c r="BB687" s="65"/>
      <c r="BC687" s="65"/>
      <c r="BD687" s="65"/>
      <c r="BE687" s="65"/>
      <c r="BF687" s="65"/>
      <c r="BG687" s="65"/>
      <c r="BH687" s="65"/>
      <c r="BI687" s="65"/>
      <c r="BJ687" s="65"/>
      <c r="BK687" s="65"/>
      <c r="BL687" s="65"/>
      <c r="BM687" s="65"/>
      <c r="BN687" s="65"/>
      <c r="BO687" s="65"/>
      <c r="BP687" s="65"/>
    </row>
    <row r="688" spans="2:68" ht="24" customHeight="1">
      <c r="B688" s="613" t="s">
        <v>1021</v>
      </c>
      <c r="C688" s="613"/>
      <c r="D688" s="613"/>
      <c r="E688" s="613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  <c r="AT688" s="65"/>
      <c r="AU688" s="65"/>
      <c r="AV688" s="65"/>
      <c r="AW688" s="65"/>
      <c r="AX688" s="65"/>
      <c r="AY688" s="65"/>
      <c r="AZ688" s="65"/>
      <c r="BA688" s="65"/>
      <c r="BB688" s="65"/>
      <c r="BC688" s="65"/>
      <c r="BD688" s="65"/>
      <c r="BE688" s="65"/>
      <c r="BF688" s="65"/>
      <c r="BG688" s="65"/>
      <c r="BH688" s="65"/>
      <c r="BI688" s="65"/>
      <c r="BJ688" s="65"/>
      <c r="BK688" s="65"/>
      <c r="BL688" s="65"/>
      <c r="BM688" s="65"/>
      <c r="BN688" s="65"/>
      <c r="BO688" s="65"/>
      <c r="BP688" s="512" t="s">
        <v>22</v>
      </c>
    </row>
    <row r="689" spans="2:68" ht="24" customHeight="1" collapsed="1">
      <c r="B689" s="142" t="s">
        <v>196</v>
      </c>
      <c r="C689" s="142" t="s">
        <v>253</v>
      </c>
      <c r="D689" s="142" t="s">
        <v>255</v>
      </c>
      <c r="E689" s="142" t="s">
        <v>850</v>
      </c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  <c r="AT689" s="65"/>
      <c r="AU689" s="65"/>
      <c r="AV689" s="65"/>
      <c r="AW689" s="65"/>
      <c r="AX689" s="65"/>
      <c r="AY689" s="65"/>
      <c r="AZ689" s="65"/>
      <c r="BA689" s="65"/>
      <c r="BB689" s="65"/>
      <c r="BC689" s="65"/>
      <c r="BD689" s="65"/>
      <c r="BE689" s="65"/>
      <c r="BF689" s="65"/>
      <c r="BG689" s="65"/>
      <c r="BH689" s="65"/>
      <c r="BI689" s="65"/>
      <c r="BJ689" s="65"/>
      <c r="BK689" s="65"/>
      <c r="BL689" s="65"/>
      <c r="BM689" s="65"/>
      <c r="BN689" s="65"/>
      <c r="BO689" s="65"/>
      <c r="BP689" s="512"/>
    </row>
    <row r="690" spans="2:68" ht="12" hidden="1" customHeight="1" outlineLevel="1">
      <c r="B690" s="76">
        <v>1</v>
      </c>
      <c r="C690" s="77" t="s">
        <v>1022</v>
      </c>
      <c r="D690" s="144">
        <f t="shared" ref="D690:D696" si="31">IFERROR(ROUNDUP(SUM(G690:BN690)/COUNTIF(G690:BN690,"&gt;0"),2),0)</f>
        <v>0</v>
      </c>
      <c r="E690" s="144">
        <f t="shared" ref="E690:E696" si="32">COUNTIF(G690:BN690,"&gt;0")</f>
        <v>0</v>
      </c>
      <c r="F690" s="65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  <c r="AK690" s="107"/>
      <c r="AL690" s="107"/>
      <c r="AM690" s="107"/>
      <c r="AN690" s="107"/>
      <c r="AO690" s="107"/>
      <c r="AP690" s="107"/>
      <c r="AQ690" s="107"/>
      <c r="AR690" s="107"/>
      <c r="AS690" s="107"/>
      <c r="AT690" s="107"/>
      <c r="AU690" s="107"/>
      <c r="AV690" s="107"/>
      <c r="AW690" s="107"/>
      <c r="AX690" s="107"/>
      <c r="AY690" s="107"/>
      <c r="AZ690" s="107"/>
      <c r="BA690" s="107"/>
      <c r="BB690" s="107"/>
      <c r="BC690" s="107"/>
      <c r="BD690" s="107"/>
      <c r="BE690" s="107"/>
      <c r="BF690" s="107"/>
      <c r="BG690" s="107"/>
      <c r="BH690" s="107"/>
      <c r="BI690" s="107"/>
      <c r="BJ690" s="107"/>
      <c r="BK690" s="107"/>
      <c r="BL690" s="107"/>
      <c r="BM690" s="107"/>
      <c r="BN690" s="107"/>
      <c r="BO690" s="65"/>
      <c r="BP690" s="78" t="s">
        <v>1004</v>
      </c>
    </row>
    <row r="691" spans="2:68" ht="12" hidden="1" customHeight="1" outlineLevel="1">
      <c r="B691" s="76">
        <v>2</v>
      </c>
      <c r="C691" s="77" t="s">
        <v>1023</v>
      </c>
      <c r="D691" s="144">
        <f t="shared" si="31"/>
        <v>0</v>
      </c>
      <c r="E691" s="144">
        <f t="shared" si="32"/>
        <v>0</v>
      </c>
      <c r="F691" s="65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7"/>
      <c r="AM691" s="107"/>
      <c r="AN691" s="107"/>
      <c r="AO691" s="107"/>
      <c r="AP691" s="107"/>
      <c r="AQ691" s="107"/>
      <c r="AR691" s="107"/>
      <c r="AS691" s="107"/>
      <c r="AT691" s="107"/>
      <c r="AU691" s="107"/>
      <c r="AV691" s="107"/>
      <c r="AW691" s="107"/>
      <c r="AX691" s="107"/>
      <c r="AY691" s="107"/>
      <c r="AZ691" s="107"/>
      <c r="BA691" s="107"/>
      <c r="BB691" s="107"/>
      <c r="BC691" s="107"/>
      <c r="BD691" s="107"/>
      <c r="BE691" s="107"/>
      <c r="BF691" s="107"/>
      <c r="BG691" s="107"/>
      <c r="BH691" s="107"/>
      <c r="BI691" s="107"/>
      <c r="BJ691" s="107"/>
      <c r="BK691" s="107"/>
      <c r="BL691" s="107"/>
      <c r="BM691" s="107"/>
      <c r="BN691" s="107"/>
      <c r="BO691" s="65"/>
      <c r="BP691" s="78" t="s">
        <v>1004</v>
      </c>
    </row>
    <row r="692" spans="2:68" ht="12" hidden="1" customHeight="1" outlineLevel="1">
      <c r="B692" s="76">
        <v>3</v>
      </c>
      <c r="C692" s="77" t="s">
        <v>1024</v>
      </c>
      <c r="D692" s="144">
        <f t="shared" si="31"/>
        <v>0</v>
      </c>
      <c r="E692" s="144">
        <f t="shared" si="32"/>
        <v>0</v>
      </c>
      <c r="F692" s="65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  <c r="AJ692" s="107"/>
      <c r="AK692" s="107"/>
      <c r="AL692" s="107"/>
      <c r="AM692" s="107"/>
      <c r="AN692" s="107"/>
      <c r="AO692" s="107"/>
      <c r="AP692" s="107"/>
      <c r="AQ692" s="107"/>
      <c r="AR692" s="107"/>
      <c r="AS692" s="107"/>
      <c r="AT692" s="107"/>
      <c r="AU692" s="107"/>
      <c r="AV692" s="107"/>
      <c r="AW692" s="107"/>
      <c r="AX692" s="107"/>
      <c r="AY692" s="107"/>
      <c r="AZ692" s="107"/>
      <c r="BA692" s="107"/>
      <c r="BB692" s="107"/>
      <c r="BC692" s="107"/>
      <c r="BD692" s="107"/>
      <c r="BE692" s="107"/>
      <c r="BF692" s="107"/>
      <c r="BG692" s="107"/>
      <c r="BH692" s="107"/>
      <c r="BI692" s="107"/>
      <c r="BJ692" s="107"/>
      <c r="BK692" s="107"/>
      <c r="BL692" s="107"/>
      <c r="BM692" s="107"/>
      <c r="BN692" s="107"/>
      <c r="BO692" s="65"/>
      <c r="BP692" s="78" t="s">
        <v>1004</v>
      </c>
    </row>
    <row r="693" spans="2:68" ht="12" hidden="1" customHeight="1" outlineLevel="1">
      <c r="B693" s="76">
        <v>4</v>
      </c>
      <c r="C693" s="77" t="s">
        <v>1025</v>
      </c>
      <c r="D693" s="144">
        <f t="shared" si="31"/>
        <v>0</v>
      </c>
      <c r="E693" s="144">
        <f t="shared" si="32"/>
        <v>0</v>
      </c>
      <c r="F693" s="65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  <c r="AK693" s="107"/>
      <c r="AL693" s="107"/>
      <c r="AM693" s="107"/>
      <c r="AN693" s="107"/>
      <c r="AO693" s="107"/>
      <c r="AP693" s="107"/>
      <c r="AQ693" s="107"/>
      <c r="AR693" s="107"/>
      <c r="AS693" s="107"/>
      <c r="AT693" s="107"/>
      <c r="AU693" s="107"/>
      <c r="AV693" s="107"/>
      <c r="AW693" s="107"/>
      <c r="AX693" s="107"/>
      <c r="AY693" s="107"/>
      <c r="AZ693" s="107"/>
      <c r="BA693" s="107"/>
      <c r="BB693" s="107"/>
      <c r="BC693" s="107"/>
      <c r="BD693" s="107"/>
      <c r="BE693" s="107"/>
      <c r="BF693" s="107"/>
      <c r="BG693" s="107"/>
      <c r="BH693" s="107"/>
      <c r="BI693" s="107"/>
      <c r="BJ693" s="107"/>
      <c r="BK693" s="107"/>
      <c r="BL693" s="107"/>
      <c r="BM693" s="107"/>
      <c r="BN693" s="107"/>
      <c r="BO693" s="65"/>
      <c r="BP693" s="78" t="s">
        <v>1004</v>
      </c>
    </row>
    <row r="694" spans="2:68" ht="12" hidden="1" customHeight="1" outlineLevel="1">
      <c r="B694" s="76">
        <v>5</v>
      </c>
      <c r="C694" s="77" t="s">
        <v>1026</v>
      </c>
      <c r="D694" s="144">
        <f t="shared" si="31"/>
        <v>0</v>
      </c>
      <c r="E694" s="144">
        <f t="shared" si="32"/>
        <v>0</v>
      </c>
      <c r="F694" s="65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  <c r="AK694" s="107"/>
      <c r="AL694" s="107"/>
      <c r="AM694" s="107"/>
      <c r="AN694" s="107"/>
      <c r="AO694" s="107"/>
      <c r="AP694" s="107"/>
      <c r="AQ694" s="107"/>
      <c r="AR694" s="107"/>
      <c r="AS694" s="107"/>
      <c r="AT694" s="107"/>
      <c r="AU694" s="107"/>
      <c r="AV694" s="107"/>
      <c r="AW694" s="107"/>
      <c r="AX694" s="107"/>
      <c r="AY694" s="107"/>
      <c r="AZ694" s="107"/>
      <c r="BA694" s="107"/>
      <c r="BB694" s="107"/>
      <c r="BC694" s="107"/>
      <c r="BD694" s="107"/>
      <c r="BE694" s="107"/>
      <c r="BF694" s="107"/>
      <c r="BG694" s="107"/>
      <c r="BH694" s="107"/>
      <c r="BI694" s="107"/>
      <c r="BJ694" s="107"/>
      <c r="BK694" s="107"/>
      <c r="BL694" s="107"/>
      <c r="BM694" s="107"/>
      <c r="BN694" s="107"/>
      <c r="BO694" s="65"/>
      <c r="BP694" s="78" t="s">
        <v>1004</v>
      </c>
    </row>
    <row r="695" spans="2:68" ht="12" hidden="1" customHeight="1" outlineLevel="1">
      <c r="B695" s="76">
        <v>6</v>
      </c>
      <c r="C695" s="77" t="s">
        <v>1027</v>
      </c>
      <c r="D695" s="144">
        <f t="shared" si="31"/>
        <v>0</v>
      </c>
      <c r="E695" s="144">
        <f t="shared" si="32"/>
        <v>0</v>
      </c>
      <c r="F695" s="65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  <c r="AJ695" s="107"/>
      <c r="AK695" s="107"/>
      <c r="AL695" s="107"/>
      <c r="AM695" s="107"/>
      <c r="AN695" s="107"/>
      <c r="AO695" s="107"/>
      <c r="AP695" s="107"/>
      <c r="AQ695" s="107"/>
      <c r="AR695" s="107"/>
      <c r="AS695" s="107"/>
      <c r="AT695" s="107"/>
      <c r="AU695" s="107"/>
      <c r="AV695" s="107"/>
      <c r="AW695" s="107"/>
      <c r="AX695" s="107"/>
      <c r="AY695" s="107"/>
      <c r="AZ695" s="107"/>
      <c r="BA695" s="107"/>
      <c r="BB695" s="107"/>
      <c r="BC695" s="107"/>
      <c r="BD695" s="107"/>
      <c r="BE695" s="107"/>
      <c r="BF695" s="107"/>
      <c r="BG695" s="107"/>
      <c r="BH695" s="107"/>
      <c r="BI695" s="107"/>
      <c r="BJ695" s="107"/>
      <c r="BK695" s="107"/>
      <c r="BL695" s="107"/>
      <c r="BM695" s="107"/>
      <c r="BN695" s="107"/>
      <c r="BO695" s="65"/>
      <c r="BP695" s="78" t="s">
        <v>1004</v>
      </c>
    </row>
    <row r="696" spans="2:68" ht="12" hidden="1" customHeight="1" outlineLevel="1">
      <c r="B696" s="76">
        <v>7</v>
      </c>
      <c r="C696" s="77"/>
      <c r="D696" s="144">
        <f t="shared" si="31"/>
        <v>0</v>
      </c>
      <c r="E696" s="144">
        <f t="shared" si="32"/>
        <v>0</v>
      </c>
      <c r="F696" s="65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  <c r="AJ696" s="107"/>
      <c r="AK696" s="107"/>
      <c r="AL696" s="107"/>
      <c r="AM696" s="107"/>
      <c r="AN696" s="107"/>
      <c r="AO696" s="107"/>
      <c r="AP696" s="107"/>
      <c r="AQ696" s="107"/>
      <c r="AR696" s="107"/>
      <c r="AS696" s="107"/>
      <c r="AT696" s="107"/>
      <c r="AU696" s="107"/>
      <c r="AV696" s="107"/>
      <c r="AW696" s="107"/>
      <c r="AX696" s="107"/>
      <c r="AY696" s="107"/>
      <c r="AZ696" s="107"/>
      <c r="BA696" s="107"/>
      <c r="BB696" s="107"/>
      <c r="BC696" s="107"/>
      <c r="BD696" s="107"/>
      <c r="BE696" s="107"/>
      <c r="BF696" s="107"/>
      <c r="BG696" s="107"/>
      <c r="BH696" s="107"/>
      <c r="BI696" s="107"/>
      <c r="BJ696" s="107"/>
      <c r="BK696" s="107"/>
      <c r="BL696" s="107"/>
      <c r="BM696" s="107"/>
      <c r="BN696" s="107"/>
      <c r="BO696" s="65"/>
      <c r="BP696" s="78" t="s">
        <v>1004</v>
      </c>
    </row>
    <row r="697" spans="2:68" ht="24" hidden="1" customHeight="1" outlineLevel="1">
      <c r="B697" s="614" t="s">
        <v>380</v>
      </c>
      <c r="C697" s="614"/>
      <c r="D697" s="146">
        <f>SUM(D655:D696)</f>
        <v>33.56</v>
      </c>
      <c r="E697" s="65"/>
      <c r="F697" s="65"/>
      <c r="G697" s="146">
        <f>SUM(G690:G696)</f>
        <v>0</v>
      </c>
      <c r="H697" s="146">
        <f t="shared" ref="H697:BN697" si="33">SUM(H690:H696)</f>
        <v>0</v>
      </c>
      <c r="I697" s="146">
        <f t="shared" si="33"/>
        <v>0</v>
      </c>
      <c r="J697" s="146">
        <f t="shared" si="33"/>
        <v>0</v>
      </c>
      <c r="K697" s="146">
        <f t="shared" si="33"/>
        <v>0</v>
      </c>
      <c r="L697" s="146">
        <f t="shared" si="33"/>
        <v>0</v>
      </c>
      <c r="M697" s="146">
        <f t="shared" si="33"/>
        <v>0</v>
      </c>
      <c r="N697" s="146">
        <f t="shared" si="33"/>
        <v>0</v>
      </c>
      <c r="O697" s="146">
        <f t="shared" si="33"/>
        <v>0</v>
      </c>
      <c r="P697" s="146">
        <f t="shared" si="33"/>
        <v>0</v>
      </c>
      <c r="Q697" s="146">
        <f t="shared" si="33"/>
        <v>0</v>
      </c>
      <c r="R697" s="146">
        <f t="shared" si="33"/>
        <v>0</v>
      </c>
      <c r="S697" s="146">
        <f t="shared" si="33"/>
        <v>0</v>
      </c>
      <c r="T697" s="146">
        <f t="shared" si="33"/>
        <v>0</v>
      </c>
      <c r="U697" s="146">
        <f t="shared" si="33"/>
        <v>0</v>
      </c>
      <c r="V697" s="146">
        <f t="shared" si="33"/>
        <v>0</v>
      </c>
      <c r="W697" s="146">
        <f t="shared" si="33"/>
        <v>0</v>
      </c>
      <c r="X697" s="146">
        <f t="shared" si="33"/>
        <v>0</v>
      </c>
      <c r="Y697" s="146">
        <f t="shared" si="33"/>
        <v>0</v>
      </c>
      <c r="Z697" s="146">
        <f t="shared" si="33"/>
        <v>0</v>
      </c>
      <c r="AA697" s="146">
        <f t="shared" si="33"/>
        <v>0</v>
      </c>
      <c r="AB697" s="146">
        <f t="shared" si="33"/>
        <v>0</v>
      </c>
      <c r="AC697" s="146">
        <f t="shared" si="33"/>
        <v>0</v>
      </c>
      <c r="AD697" s="146">
        <f t="shared" si="33"/>
        <v>0</v>
      </c>
      <c r="AE697" s="146">
        <f t="shared" si="33"/>
        <v>0</v>
      </c>
      <c r="AF697" s="146">
        <f t="shared" si="33"/>
        <v>0</v>
      </c>
      <c r="AG697" s="146">
        <f t="shared" si="33"/>
        <v>0</v>
      </c>
      <c r="AH697" s="146">
        <f t="shared" si="33"/>
        <v>0</v>
      </c>
      <c r="AI697" s="146">
        <f t="shared" si="33"/>
        <v>0</v>
      </c>
      <c r="AJ697" s="146">
        <f t="shared" si="33"/>
        <v>0</v>
      </c>
      <c r="AK697" s="146">
        <f t="shared" si="33"/>
        <v>0</v>
      </c>
      <c r="AL697" s="146">
        <f t="shared" si="33"/>
        <v>0</v>
      </c>
      <c r="AM697" s="146">
        <f t="shared" si="33"/>
        <v>0</v>
      </c>
      <c r="AN697" s="146">
        <f t="shared" si="33"/>
        <v>0</v>
      </c>
      <c r="AO697" s="146">
        <f t="shared" si="33"/>
        <v>0</v>
      </c>
      <c r="AP697" s="146">
        <f t="shared" si="33"/>
        <v>0</v>
      </c>
      <c r="AQ697" s="146">
        <f t="shared" si="33"/>
        <v>0</v>
      </c>
      <c r="AR697" s="146">
        <f t="shared" si="33"/>
        <v>0</v>
      </c>
      <c r="AS697" s="146">
        <f t="shared" si="33"/>
        <v>0</v>
      </c>
      <c r="AT697" s="146">
        <f t="shared" si="33"/>
        <v>0</v>
      </c>
      <c r="AU697" s="146">
        <f t="shared" si="33"/>
        <v>0</v>
      </c>
      <c r="AV697" s="146">
        <f t="shared" si="33"/>
        <v>0</v>
      </c>
      <c r="AW697" s="146">
        <f t="shared" si="33"/>
        <v>0</v>
      </c>
      <c r="AX697" s="146">
        <f t="shared" si="33"/>
        <v>0</v>
      </c>
      <c r="AY697" s="146">
        <f t="shared" si="33"/>
        <v>0</v>
      </c>
      <c r="AZ697" s="146">
        <f t="shared" si="33"/>
        <v>0</v>
      </c>
      <c r="BA697" s="146">
        <f t="shared" si="33"/>
        <v>0</v>
      </c>
      <c r="BB697" s="146">
        <f t="shared" si="33"/>
        <v>0</v>
      </c>
      <c r="BC697" s="146">
        <f t="shared" si="33"/>
        <v>0</v>
      </c>
      <c r="BD697" s="146">
        <f t="shared" si="33"/>
        <v>0</v>
      </c>
      <c r="BE697" s="146">
        <f t="shared" si="33"/>
        <v>0</v>
      </c>
      <c r="BF697" s="146">
        <f t="shared" si="33"/>
        <v>0</v>
      </c>
      <c r="BG697" s="146">
        <f t="shared" si="33"/>
        <v>0</v>
      </c>
      <c r="BH697" s="146">
        <f t="shared" si="33"/>
        <v>0</v>
      </c>
      <c r="BI697" s="146">
        <f t="shared" si="33"/>
        <v>0</v>
      </c>
      <c r="BJ697" s="146">
        <f t="shared" si="33"/>
        <v>0</v>
      </c>
      <c r="BK697" s="146">
        <f t="shared" si="33"/>
        <v>0</v>
      </c>
      <c r="BL697" s="146">
        <f t="shared" si="33"/>
        <v>0</v>
      </c>
      <c r="BM697" s="146">
        <f t="shared" si="33"/>
        <v>0</v>
      </c>
      <c r="BN697" s="146">
        <f t="shared" si="33"/>
        <v>0</v>
      </c>
      <c r="BO697" s="65"/>
      <c r="BP697" s="65"/>
    </row>
    <row r="698" spans="2:68" ht="12" hidden="1" customHeight="1" outlineLevel="1"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  <c r="AQ698" s="65"/>
      <c r="AR698" s="65"/>
      <c r="AS698" s="65"/>
      <c r="AT698" s="65"/>
      <c r="AU698" s="65"/>
      <c r="AV698" s="65"/>
      <c r="AW698" s="65"/>
      <c r="AX698" s="65"/>
      <c r="AY698" s="65"/>
      <c r="AZ698" s="65"/>
      <c r="BA698" s="65"/>
      <c r="BB698" s="65"/>
      <c r="BC698" s="65"/>
      <c r="BD698" s="65"/>
      <c r="BE698" s="65"/>
      <c r="BF698" s="65"/>
      <c r="BG698" s="65"/>
      <c r="BH698" s="65"/>
      <c r="BI698" s="65"/>
      <c r="BJ698" s="65"/>
      <c r="BK698" s="65"/>
      <c r="BL698" s="65"/>
      <c r="BM698" s="65"/>
      <c r="BN698" s="65"/>
      <c r="BO698" s="65"/>
      <c r="BP698" s="65"/>
    </row>
    <row r="699" spans="2:68" ht="24" hidden="1" customHeight="1" outlineLevel="1">
      <c r="B699" s="142" t="s">
        <v>196</v>
      </c>
      <c r="C699" s="142" t="s">
        <v>253</v>
      </c>
      <c r="D699" s="142" t="s">
        <v>255</v>
      </c>
      <c r="E699" s="142" t="s">
        <v>850</v>
      </c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  <c r="AQ699" s="65"/>
      <c r="AR699" s="65"/>
      <c r="AS699" s="65"/>
      <c r="AT699" s="65"/>
      <c r="AU699" s="65"/>
      <c r="AV699" s="65"/>
      <c r="AW699" s="65"/>
      <c r="AX699" s="65"/>
      <c r="AY699" s="65"/>
      <c r="AZ699" s="65"/>
      <c r="BA699" s="65"/>
      <c r="BB699" s="65"/>
      <c r="BC699" s="65"/>
      <c r="BD699" s="65"/>
      <c r="BE699" s="65"/>
      <c r="BF699" s="65"/>
      <c r="BG699" s="65"/>
      <c r="BH699" s="65"/>
      <c r="BI699" s="65"/>
      <c r="BJ699" s="65"/>
      <c r="BK699" s="65"/>
      <c r="BL699" s="65"/>
      <c r="BM699" s="65"/>
      <c r="BN699" s="65"/>
      <c r="BO699" s="65"/>
      <c r="BP699" s="73" t="s">
        <v>22</v>
      </c>
    </row>
    <row r="700" spans="2:68" ht="12" hidden="1" customHeight="1" outlineLevel="1">
      <c r="B700" s="76">
        <v>1</v>
      </c>
      <c r="C700" s="77" t="s">
        <v>1028</v>
      </c>
      <c r="D700" s="144">
        <f>IFERROR(ROUNDUP(SUM(G700:BN700)/COUNTIF(G700:BN700,"&gt;0"),0),0)</f>
        <v>0</v>
      </c>
      <c r="E700" s="144">
        <f>COUNTIF(G700:BN700,"&gt;0")</f>
        <v>0</v>
      </c>
      <c r="F700" s="65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  <c r="AJ700" s="107"/>
      <c r="AK700" s="107"/>
      <c r="AL700" s="107"/>
      <c r="AM700" s="107"/>
      <c r="AN700" s="107"/>
      <c r="AO700" s="107"/>
      <c r="AP700" s="107"/>
      <c r="AQ700" s="107"/>
      <c r="AR700" s="107"/>
      <c r="AS700" s="107"/>
      <c r="AT700" s="107"/>
      <c r="AU700" s="107"/>
      <c r="AV700" s="107"/>
      <c r="AW700" s="107"/>
      <c r="AX700" s="107"/>
      <c r="AY700" s="107"/>
      <c r="AZ700" s="107"/>
      <c r="BA700" s="107"/>
      <c r="BB700" s="107"/>
      <c r="BC700" s="107"/>
      <c r="BD700" s="107"/>
      <c r="BE700" s="107"/>
      <c r="BF700" s="107"/>
      <c r="BG700" s="107"/>
      <c r="BH700" s="107"/>
      <c r="BI700" s="107"/>
      <c r="BJ700" s="107"/>
      <c r="BK700" s="107"/>
      <c r="BL700" s="107"/>
      <c r="BM700" s="107"/>
      <c r="BN700" s="107"/>
      <c r="BO700" s="65"/>
      <c r="BP700" s="78" t="s">
        <v>1004</v>
      </c>
    </row>
    <row r="701" spans="2:68" ht="12" hidden="1" customHeight="1" outlineLevel="1">
      <c r="B701" s="76">
        <v>2</v>
      </c>
      <c r="C701" s="77" t="s">
        <v>1029</v>
      </c>
      <c r="D701" s="144">
        <f>IFERROR(ROUNDUP(SUM(G701:BN701)/COUNTIF(G701:BN701,"&gt;0"),0),0)</f>
        <v>0</v>
      </c>
      <c r="E701" s="144">
        <f>COUNTIF(G701:BN701,"&gt;0")</f>
        <v>0</v>
      </c>
      <c r="F701" s="65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  <c r="AK701" s="107"/>
      <c r="AL701" s="107"/>
      <c r="AM701" s="107"/>
      <c r="AN701" s="107"/>
      <c r="AO701" s="107"/>
      <c r="AP701" s="107"/>
      <c r="AQ701" s="107"/>
      <c r="AR701" s="107"/>
      <c r="AS701" s="107"/>
      <c r="AT701" s="107"/>
      <c r="AU701" s="107"/>
      <c r="AV701" s="107"/>
      <c r="AW701" s="107"/>
      <c r="AX701" s="107"/>
      <c r="AY701" s="107"/>
      <c r="AZ701" s="107"/>
      <c r="BA701" s="107"/>
      <c r="BB701" s="107"/>
      <c r="BC701" s="107"/>
      <c r="BD701" s="107"/>
      <c r="BE701" s="107"/>
      <c r="BF701" s="107"/>
      <c r="BG701" s="107"/>
      <c r="BH701" s="107"/>
      <c r="BI701" s="107"/>
      <c r="BJ701" s="107"/>
      <c r="BK701" s="107"/>
      <c r="BL701" s="107"/>
      <c r="BM701" s="107"/>
      <c r="BN701" s="107"/>
      <c r="BO701" s="65"/>
      <c r="BP701" s="78" t="s">
        <v>1004</v>
      </c>
    </row>
    <row r="702" spans="2:68" ht="12" hidden="1" customHeight="1" outlineLevel="1">
      <c r="B702" s="76">
        <v>3</v>
      </c>
      <c r="C702" s="77" t="s">
        <v>1030</v>
      </c>
      <c r="D702" s="144">
        <f>IFERROR(ROUNDUP(SUM(G702:BN702)/COUNTIF(G702:BN702,"&gt;0"),0),0)</f>
        <v>0</v>
      </c>
      <c r="E702" s="144">
        <f>COUNTIF(G702:BN702,"&gt;0")</f>
        <v>0</v>
      </c>
      <c r="F702" s="65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  <c r="AK702" s="107"/>
      <c r="AL702" s="107"/>
      <c r="AM702" s="107"/>
      <c r="AN702" s="107"/>
      <c r="AO702" s="107"/>
      <c r="AP702" s="107"/>
      <c r="AQ702" s="107"/>
      <c r="AR702" s="107"/>
      <c r="AS702" s="107"/>
      <c r="AT702" s="107"/>
      <c r="AU702" s="107"/>
      <c r="AV702" s="107"/>
      <c r="AW702" s="107"/>
      <c r="AX702" s="107"/>
      <c r="AY702" s="107"/>
      <c r="AZ702" s="107"/>
      <c r="BA702" s="107"/>
      <c r="BB702" s="107"/>
      <c r="BC702" s="107"/>
      <c r="BD702" s="107"/>
      <c r="BE702" s="107"/>
      <c r="BF702" s="107"/>
      <c r="BG702" s="107"/>
      <c r="BH702" s="107"/>
      <c r="BI702" s="107"/>
      <c r="BJ702" s="107"/>
      <c r="BK702" s="107"/>
      <c r="BL702" s="107"/>
      <c r="BM702" s="107"/>
      <c r="BN702" s="107"/>
      <c r="BO702" s="65"/>
      <c r="BP702" s="78" t="s">
        <v>1004</v>
      </c>
    </row>
    <row r="703" spans="2:68" ht="12" hidden="1" customHeight="1" outlineLevel="1">
      <c r="B703" s="76">
        <v>4</v>
      </c>
      <c r="C703" s="77"/>
      <c r="D703" s="144">
        <f>IFERROR(ROUNDUP(SUM(G703:BN703)/COUNTIF(G703:BN703,"&gt;0"),0),0)</f>
        <v>0</v>
      </c>
      <c r="E703" s="144">
        <f>COUNTIF(G703:BN703,"&gt;0")</f>
        <v>0</v>
      </c>
      <c r="F703" s="65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  <c r="AJ703" s="107"/>
      <c r="AK703" s="107"/>
      <c r="AL703" s="107"/>
      <c r="AM703" s="107"/>
      <c r="AN703" s="107"/>
      <c r="AO703" s="107"/>
      <c r="AP703" s="107"/>
      <c r="AQ703" s="107"/>
      <c r="AR703" s="107"/>
      <c r="AS703" s="107"/>
      <c r="AT703" s="107"/>
      <c r="AU703" s="107"/>
      <c r="AV703" s="107"/>
      <c r="AW703" s="107"/>
      <c r="AX703" s="107"/>
      <c r="AY703" s="107"/>
      <c r="AZ703" s="107"/>
      <c r="BA703" s="107"/>
      <c r="BB703" s="107"/>
      <c r="BC703" s="107"/>
      <c r="BD703" s="107"/>
      <c r="BE703" s="107"/>
      <c r="BF703" s="107"/>
      <c r="BG703" s="107"/>
      <c r="BH703" s="107"/>
      <c r="BI703" s="107"/>
      <c r="BJ703" s="107"/>
      <c r="BK703" s="107"/>
      <c r="BL703" s="107"/>
      <c r="BM703" s="107"/>
      <c r="BN703" s="107"/>
      <c r="BO703" s="65"/>
      <c r="BP703" s="78" t="s">
        <v>1004</v>
      </c>
    </row>
    <row r="704" spans="2:68" ht="12" hidden="1" customHeight="1" outlineLevel="1">
      <c r="B704" s="76">
        <v>5</v>
      </c>
      <c r="C704" s="77"/>
      <c r="D704" s="144">
        <f>IFERROR(ROUNDUP(SUM(G704:BN704)/COUNTIF(G704:BN704,"&gt;0"),0),0)</f>
        <v>0</v>
      </c>
      <c r="E704" s="144">
        <f>COUNTIF(G704:BN704,"&gt;0")</f>
        <v>0</v>
      </c>
      <c r="F704" s="65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  <c r="AJ704" s="107"/>
      <c r="AK704" s="107"/>
      <c r="AL704" s="107"/>
      <c r="AM704" s="107"/>
      <c r="AN704" s="107"/>
      <c r="AO704" s="107"/>
      <c r="AP704" s="107"/>
      <c r="AQ704" s="107"/>
      <c r="AR704" s="107"/>
      <c r="AS704" s="107"/>
      <c r="AT704" s="107"/>
      <c r="AU704" s="107"/>
      <c r="AV704" s="107"/>
      <c r="AW704" s="107"/>
      <c r="AX704" s="107"/>
      <c r="AY704" s="107"/>
      <c r="AZ704" s="107"/>
      <c r="BA704" s="107"/>
      <c r="BB704" s="107"/>
      <c r="BC704" s="107"/>
      <c r="BD704" s="107"/>
      <c r="BE704" s="107"/>
      <c r="BF704" s="107"/>
      <c r="BG704" s="107"/>
      <c r="BH704" s="107"/>
      <c r="BI704" s="107"/>
      <c r="BJ704" s="107"/>
      <c r="BK704" s="107"/>
      <c r="BL704" s="107"/>
      <c r="BM704" s="107"/>
      <c r="BN704" s="107"/>
      <c r="BO704" s="65"/>
      <c r="BP704" s="78" t="s">
        <v>1004</v>
      </c>
    </row>
    <row r="705" spans="2:68" ht="24" hidden="1" customHeight="1" outlineLevel="1">
      <c r="B705" s="614" t="s">
        <v>380</v>
      </c>
      <c r="C705" s="614"/>
      <c r="D705" s="146">
        <f>SUM(D664:D704)</f>
        <v>48.120000000000005</v>
      </c>
      <c r="E705" s="65"/>
      <c r="F705" s="65"/>
      <c r="G705" s="146">
        <f>SUM(G700:G704)</f>
        <v>0</v>
      </c>
      <c r="H705" s="146">
        <f t="shared" ref="H705:BN705" si="34">SUM(H700:H704)</f>
        <v>0</v>
      </c>
      <c r="I705" s="146">
        <f t="shared" si="34"/>
        <v>0</v>
      </c>
      <c r="J705" s="146">
        <f t="shared" si="34"/>
        <v>0</v>
      </c>
      <c r="K705" s="146">
        <f t="shared" si="34"/>
        <v>0</v>
      </c>
      <c r="L705" s="146">
        <f t="shared" si="34"/>
        <v>0</v>
      </c>
      <c r="M705" s="146">
        <f t="shared" si="34"/>
        <v>0</v>
      </c>
      <c r="N705" s="146">
        <f t="shared" si="34"/>
        <v>0</v>
      </c>
      <c r="O705" s="146">
        <f t="shared" si="34"/>
        <v>0</v>
      </c>
      <c r="P705" s="146">
        <f t="shared" si="34"/>
        <v>0</v>
      </c>
      <c r="Q705" s="146">
        <f t="shared" si="34"/>
        <v>0</v>
      </c>
      <c r="R705" s="146">
        <f t="shared" si="34"/>
        <v>0</v>
      </c>
      <c r="S705" s="146">
        <f t="shared" si="34"/>
        <v>0</v>
      </c>
      <c r="T705" s="146">
        <f t="shared" si="34"/>
        <v>0</v>
      </c>
      <c r="U705" s="146">
        <f t="shared" si="34"/>
        <v>0</v>
      </c>
      <c r="V705" s="146">
        <f t="shared" si="34"/>
        <v>0</v>
      </c>
      <c r="W705" s="146">
        <f t="shared" si="34"/>
        <v>0</v>
      </c>
      <c r="X705" s="146">
        <f t="shared" si="34"/>
        <v>0</v>
      </c>
      <c r="Y705" s="146">
        <f t="shared" si="34"/>
        <v>0</v>
      </c>
      <c r="Z705" s="146">
        <f t="shared" si="34"/>
        <v>0</v>
      </c>
      <c r="AA705" s="146">
        <f t="shared" si="34"/>
        <v>0</v>
      </c>
      <c r="AB705" s="146">
        <f t="shared" si="34"/>
        <v>0</v>
      </c>
      <c r="AC705" s="146">
        <f t="shared" si="34"/>
        <v>0</v>
      </c>
      <c r="AD705" s="146">
        <f t="shared" si="34"/>
        <v>0</v>
      </c>
      <c r="AE705" s="146">
        <f t="shared" si="34"/>
        <v>0</v>
      </c>
      <c r="AF705" s="146">
        <f t="shared" si="34"/>
        <v>0</v>
      </c>
      <c r="AG705" s="146">
        <f t="shared" si="34"/>
        <v>0</v>
      </c>
      <c r="AH705" s="146">
        <f t="shared" si="34"/>
        <v>0</v>
      </c>
      <c r="AI705" s="146">
        <f t="shared" si="34"/>
        <v>0</v>
      </c>
      <c r="AJ705" s="146">
        <f t="shared" si="34"/>
        <v>0</v>
      </c>
      <c r="AK705" s="146">
        <f t="shared" si="34"/>
        <v>0</v>
      </c>
      <c r="AL705" s="146">
        <f t="shared" si="34"/>
        <v>0</v>
      </c>
      <c r="AM705" s="146">
        <f t="shared" si="34"/>
        <v>0</v>
      </c>
      <c r="AN705" s="146">
        <f t="shared" si="34"/>
        <v>0</v>
      </c>
      <c r="AO705" s="146">
        <f t="shared" si="34"/>
        <v>0</v>
      </c>
      <c r="AP705" s="146">
        <f t="shared" si="34"/>
        <v>0</v>
      </c>
      <c r="AQ705" s="146">
        <f t="shared" si="34"/>
        <v>0</v>
      </c>
      <c r="AR705" s="146">
        <f t="shared" si="34"/>
        <v>0</v>
      </c>
      <c r="AS705" s="146">
        <f t="shared" si="34"/>
        <v>0</v>
      </c>
      <c r="AT705" s="146">
        <f t="shared" si="34"/>
        <v>0</v>
      </c>
      <c r="AU705" s="146">
        <f t="shared" si="34"/>
        <v>0</v>
      </c>
      <c r="AV705" s="146">
        <f t="shared" si="34"/>
        <v>0</v>
      </c>
      <c r="AW705" s="146">
        <f t="shared" si="34"/>
        <v>0</v>
      </c>
      <c r="AX705" s="146">
        <f t="shared" si="34"/>
        <v>0</v>
      </c>
      <c r="AY705" s="146">
        <f t="shared" si="34"/>
        <v>0</v>
      </c>
      <c r="AZ705" s="146">
        <f t="shared" si="34"/>
        <v>0</v>
      </c>
      <c r="BA705" s="146">
        <f t="shared" si="34"/>
        <v>0</v>
      </c>
      <c r="BB705" s="146">
        <f t="shared" si="34"/>
        <v>0</v>
      </c>
      <c r="BC705" s="146">
        <f t="shared" si="34"/>
        <v>0</v>
      </c>
      <c r="BD705" s="146">
        <f t="shared" si="34"/>
        <v>0</v>
      </c>
      <c r="BE705" s="146">
        <f t="shared" si="34"/>
        <v>0</v>
      </c>
      <c r="BF705" s="146">
        <f t="shared" si="34"/>
        <v>0</v>
      </c>
      <c r="BG705" s="146">
        <f t="shared" si="34"/>
        <v>0</v>
      </c>
      <c r="BH705" s="146">
        <f t="shared" si="34"/>
        <v>0</v>
      </c>
      <c r="BI705" s="146">
        <f t="shared" si="34"/>
        <v>0</v>
      </c>
      <c r="BJ705" s="146">
        <f t="shared" si="34"/>
        <v>0</v>
      </c>
      <c r="BK705" s="146">
        <f t="shared" si="34"/>
        <v>0</v>
      </c>
      <c r="BL705" s="146">
        <f t="shared" si="34"/>
        <v>0</v>
      </c>
      <c r="BM705" s="146">
        <f t="shared" si="34"/>
        <v>0</v>
      </c>
      <c r="BN705" s="146">
        <f t="shared" si="34"/>
        <v>0</v>
      </c>
      <c r="BO705" s="65"/>
      <c r="BP705" s="65"/>
    </row>
    <row r="706" spans="2:68" ht="12" hidden="1" customHeight="1" outlineLevel="1"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  <c r="AQ706" s="65"/>
      <c r="AR706" s="65"/>
      <c r="AS706" s="65"/>
      <c r="AT706" s="65"/>
      <c r="AU706" s="65"/>
      <c r="AV706" s="65"/>
      <c r="AW706" s="65"/>
      <c r="AX706" s="65"/>
      <c r="AY706" s="65"/>
      <c r="AZ706" s="65"/>
      <c r="BA706" s="65"/>
      <c r="BB706" s="65"/>
      <c r="BC706" s="65"/>
      <c r="BD706" s="65"/>
      <c r="BE706" s="65"/>
      <c r="BF706" s="65"/>
      <c r="BG706" s="65"/>
      <c r="BH706" s="65"/>
      <c r="BI706" s="65"/>
      <c r="BJ706" s="65"/>
      <c r="BK706" s="65"/>
      <c r="BL706" s="65"/>
      <c r="BM706" s="65"/>
      <c r="BN706" s="65"/>
      <c r="BO706" s="65"/>
      <c r="BP706" s="65"/>
    </row>
    <row r="707" spans="2:68" ht="24" customHeight="1">
      <c r="B707" s="614" t="s">
        <v>1031</v>
      </c>
      <c r="C707" s="614"/>
      <c r="D707" s="146">
        <f>SUM(D666:D706)</f>
        <v>96.240000000000009</v>
      </c>
      <c r="E707" s="65"/>
      <c r="F707" s="65"/>
      <c r="G707" s="146">
        <f>G697+G705</f>
        <v>0</v>
      </c>
      <c r="H707" s="146">
        <f t="shared" ref="H707:BN707" si="35">H697+H705</f>
        <v>0</v>
      </c>
      <c r="I707" s="146">
        <f t="shared" si="35"/>
        <v>0</v>
      </c>
      <c r="J707" s="146">
        <f t="shared" si="35"/>
        <v>0</v>
      </c>
      <c r="K707" s="146">
        <f t="shared" si="35"/>
        <v>0</v>
      </c>
      <c r="L707" s="146">
        <f t="shared" si="35"/>
        <v>0</v>
      </c>
      <c r="M707" s="146">
        <f t="shared" si="35"/>
        <v>0</v>
      </c>
      <c r="N707" s="146">
        <f t="shared" si="35"/>
        <v>0</v>
      </c>
      <c r="O707" s="146">
        <f t="shared" si="35"/>
        <v>0</v>
      </c>
      <c r="P707" s="146">
        <f t="shared" si="35"/>
        <v>0</v>
      </c>
      <c r="Q707" s="146">
        <f t="shared" si="35"/>
        <v>0</v>
      </c>
      <c r="R707" s="146">
        <f t="shared" si="35"/>
        <v>0</v>
      </c>
      <c r="S707" s="146">
        <f t="shared" si="35"/>
        <v>0</v>
      </c>
      <c r="T707" s="146">
        <f t="shared" si="35"/>
        <v>0</v>
      </c>
      <c r="U707" s="146">
        <f t="shared" si="35"/>
        <v>0</v>
      </c>
      <c r="V707" s="146">
        <f t="shared" si="35"/>
        <v>0</v>
      </c>
      <c r="W707" s="146">
        <f t="shared" si="35"/>
        <v>0</v>
      </c>
      <c r="X707" s="146">
        <f t="shared" si="35"/>
        <v>0</v>
      </c>
      <c r="Y707" s="146">
        <f t="shared" si="35"/>
        <v>0</v>
      </c>
      <c r="Z707" s="146">
        <f t="shared" si="35"/>
        <v>0</v>
      </c>
      <c r="AA707" s="146">
        <f t="shared" si="35"/>
        <v>0</v>
      </c>
      <c r="AB707" s="146">
        <f t="shared" si="35"/>
        <v>0</v>
      </c>
      <c r="AC707" s="146">
        <f t="shared" si="35"/>
        <v>0</v>
      </c>
      <c r="AD707" s="146">
        <f t="shared" si="35"/>
        <v>0</v>
      </c>
      <c r="AE707" s="146">
        <f t="shared" si="35"/>
        <v>0</v>
      </c>
      <c r="AF707" s="146">
        <f t="shared" si="35"/>
        <v>0</v>
      </c>
      <c r="AG707" s="146">
        <f t="shared" si="35"/>
        <v>0</v>
      </c>
      <c r="AH707" s="146">
        <f t="shared" si="35"/>
        <v>0</v>
      </c>
      <c r="AI707" s="146">
        <f t="shared" si="35"/>
        <v>0</v>
      </c>
      <c r="AJ707" s="146">
        <f t="shared" si="35"/>
        <v>0</v>
      </c>
      <c r="AK707" s="146">
        <f t="shared" si="35"/>
        <v>0</v>
      </c>
      <c r="AL707" s="146">
        <f t="shared" si="35"/>
        <v>0</v>
      </c>
      <c r="AM707" s="146">
        <f t="shared" si="35"/>
        <v>0</v>
      </c>
      <c r="AN707" s="146">
        <f t="shared" si="35"/>
        <v>0</v>
      </c>
      <c r="AO707" s="146">
        <f t="shared" si="35"/>
        <v>0</v>
      </c>
      <c r="AP707" s="146"/>
      <c r="AQ707" s="146"/>
      <c r="AR707" s="146"/>
      <c r="AS707" s="146"/>
      <c r="AT707" s="146"/>
      <c r="AU707" s="146"/>
      <c r="AV707" s="146"/>
      <c r="AW707" s="146"/>
      <c r="AX707" s="146"/>
      <c r="AY707" s="146"/>
      <c r="AZ707" s="146"/>
      <c r="BA707" s="146"/>
      <c r="BB707" s="146"/>
      <c r="BC707" s="146"/>
      <c r="BD707" s="146"/>
      <c r="BE707" s="146"/>
      <c r="BF707" s="146"/>
      <c r="BG707" s="146"/>
      <c r="BH707" s="146"/>
      <c r="BI707" s="146"/>
      <c r="BJ707" s="146"/>
      <c r="BK707" s="146"/>
      <c r="BL707" s="146"/>
      <c r="BM707" s="146"/>
      <c r="BN707" s="146">
        <f t="shared" si="35"/>
        <v>0</v>
      </c>
      <c r="BO707" s="65"/>
      <c r="BP707" s="65"/>
    </row>
    <row r="708" spans="2:68" ht="12" customHeight="1"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  <c r="AQ708" s="65"/>
      <c r="AR708" s="65"/>
      <c r="AS708" s="65"/>
      <c r="AT708" s="65"/>
      <c r="AU708" s="65"/>
      <c r="AV708" s="65"/>
      <c r="AW708" s="65"/>
      <c r="AX708" s="65"/>
      <c r="AY708" s="65"/>
      <c r="AZ708" s="65"/>
      <c r="BA708" s="65"/>
      <c r="BB708" s="65"/>
      <c r="BC708" s="65"/>
      <c r="BD708" s="65"/>
      <c r="BE708" s="65"/>
      <c r="BF708" s="65"/>
      <c r="BG708" s="65"/>
      <c r="BH708" s="65"/>
      <c r="BI708" s="65"/>
      <c r="BJ708" s="65"/>
      <c r="BK708" s="65"/>
      <c r="BL708" s="65"/>
      <c r="BM708" s="65"/>
      <c r="BN708" s="65"/>
      <c r="BO708" s="65"/>
      <c r="BP708" s="65"/>
    </row>
    <row r="709" spans="2:68" ht="5.0999999999999996" customHeight="1"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  <c r="AS709" s="69"/>
      <c r="AT709" s="69"/>
      <c r="AU709" s="69"/>
      <c r="AV709" s="69"/>
      <c r="AW709" s="69"/>
      <c r="AX709" s="69"/>
      <c r="AY709" s="69"/>
      <c r="AZ709" s="69"/>
      <c r="BA709" s="69"/>
      <c r="BB709" s="69"/>
      <c r="BC709" s="69"/>
      <c r="BD709" s="69"/>
      <c r="BE709" s="69"/>
      <c r="BF709" s="69"/>
      <c r="BG709" s="69"/>
      <c r="BH709" s="69"/>
      <c r="BI709" s="69"/>
      <c r="BJ709" s="69"/>
      <c r="BK709" s="69"/>
      <c r="BL709" s="69"/>
      <c r="BM709" s="69"/>
      <c r="BN709" s="69"/>
      <c r="BO709" s="69"/>
      <c r="BP709" s="69"/>
    </row>
    <row r="710" spans="2:68" ht="12" customHeight="1"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  <c r="AQ710" s="65"/>
      <c r="AR710" s="65"/>
      <c r="AS710" s="65"/>
      <c r="AT710" s="65"/>
      <c r="AU710" s="65"/>
      <c r="AV710" s="65"/>
      <c r="AW710" s="65"/>
      <c r="AX710" s="65"/>
      <c r="AY710" s="65"/>
      <c r="AZ710" s="65"/>
      <c r="BA710" s="65"/>
      <c r="BB710" s="65"/>
      <c r="BC710" s="65"/>
      <c r="BD710" s="65"/>
      <c r="BE710" s="65"/>
      <c r="BF710" s="65"/>
      <c r="BG710" s="65"/>
      <c r="BH710" s="65"/>
      <c r="BI710" s="65"/>
      <c r="BJ710" s="65"/>
      <c r="BK710" s="65"/>
      <c r="BL710" s="65"/>
      <c r="BM710" s="65"/>
      <c r="BN710" s="65"/>
      <c r="BO710" s="65"/>
      <c r="BP710" s="65"/>
    </row>
    <row r="711" spans="2:68" ht="24" customHeight="1">
      <c r="B711" s="613" t="s">
        <v>72</v>
      </c>
      <c r="C711" s="613"/>
      <c r="D711" s="613"/>
      <c r="E711" s="613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  <c r="AQ711" s="65"/>
      <c r="AR711" s="65"/>
      <c r="AS711" s="65"/>
      <c r="AT711" s="65"/>
      <c r="AU711" s="65"/>
      <c r="AV711" s="65"/>
      <c r="AW711" s="65"/>
      <c r="AX711" s="65"/>
      <c r="AY711" s="65"/>
      <c r="AZ711" s="65"/>
      <c r="BA711" s="65"/>
      <c r="BB711" s="65"/>
      <c r="BC711" s="65"/>
      <c r="BD711" s="65"/>
      <c r="BE711" s="65"/>
      <c r="BF711" s="65"/>
      <c r="BG711" s="65"/>
      <c r="BH711" s="65"/>
      <c r="BI711" s="65"/>
      <c r="BJ711" s="65"/>
      <c r="BK711" s="65"/>
      <c r="BL711" s="65"/>
      <c r="BM711" s="65"/>
      <c r="BN711" s="65"/>
      <c r="BO711" s="65"/>
      <c r="BP711" s="512" t="s">
        <v>22</v>
      </c>
    </row>
    <row r="712" spans="2:68" ht="24" customHeight="1" collapsed="1">
      <c r="B712" s="142" t="s">
        <v>196</v>
      </c>
      <c r="C712" s="142" t="s">
        <v>253</v>
      </c>
      <c r="D712" s="142" t="s">
        <v>255</v>
      </c>
      <c r="E712" s="142" t="s">
        <v>850</v>
      </c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  <c r="AQ712" s="65"/>
      <c r="AR712" s="65"/>
      <c r="AS712" s="65"/>
      <c r="AT712" s="65"/>
      <c r="AU712" s="65"/>
      <c r="AV712" s="65"/>
      <c r="AW712" s="65"/>
      <c r="AX712" s="65"/>
      <c r="AY712" s="65"/>
      <c r="AZ712" s="65"/>
      <c r="BA712" s="65"/>
      <c r="BB712" s="65"/>
      <c r="BC712" s="65"/>
      <c r="BD712" s="65"/>
      <c r="BE712" s="65"/>
      <c r="BF712" s="65"/>
      <c r="BG712" s="65"/>
      <c r="BH712" s="65"/>
      <c r="BI712" s="65"/>
      <c r="BJ712" s="65"/>
      <c r="BK712" s="65"/>
      <c r="BL712" s="65"/>
      <c r="BM712" s="65"/>
      <c r="BN712" s="65"/>
      <c r="BO712" s="65"/>
      <c r="BP712" s="512"/>
    </row>
    <row r="713" spans="2:68" ht="12" hidden="1" customHeight="1" outlineLevel="1">
      <c r="B713" s="76">
        <v>1</v>
      </c>
      <c r="C713" s="77" t="s">
        <v>1032</v>
      </c>
      <c r="D713" s="144">
        <f t="shared" ref="D713:D755" si="36">IFERROR(ROUNDUP(SUM(G713:BN713)/COUNTIF(G713:BN713,"&gt;0"),2),0)</f>
        <v>0</v>
      </c>
      <c r="E713" s="144">
        <f t="shared" ref="E713:E755" si="37">COUNTIF(G713:BN713,"&gt;0")</f>
        <v>0</v>
      </c>
      <c r="F713" s="65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  <c r="AJ713" s="107"/>
      <c r="AK713" s="107"/>
      <c r="AL713" s="107"/>
      <c r="AM713" s="107"/>
      <c r="AN713" s="107"/>
      <c r="AO713" s="107"/>
      <c r="AP713" s="107"/>
      <c r="AQ713" s="107"/>
      <c r="AR713" s="107"/>
      <c r="AS713" s="107"/>
      <c r="AT713" s="107"/>
      <c r="AU713" s="107"/>
      <c r="AV713" s="107"/>
      <c r="AW713" s="107"/>
      <c r="AX713" s="107"/>
      <c r="AY713" s="107"/>
      <c r="AZ713" s="107"/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65"/>
      <c r="BP713" s="78" t="s">
        <v>1004</v>
      </c>
    </row>
    <row r="714" spans="2:68" ht="12" hidden="1" customHeight="1" outlineLevel="1">
      <c r="B714" s="76">
        <v>2</v>
      </c>
      <c r="C714" s="77" t="s">
        <v>1033</v>
      </c>
      <c r="D714" s="144">
        <f t="shared" si="36"/>
        <v>0</v>
      </c>
      <c r="E714" s="144">
        <f t="shared" si="37"/>
        <v>0</v>
      </c>
      <c r="F714" s="65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  <c r="AK714" s="107"/>
      <c r="AL714" s="107"/>
      <c r="AM714" s="107"/>
      <c r="AN714" s="107"/>
      <c r="AO714" s="107"/>
      <c r="AP714" s="107"/>
      <c r="AQ714" s="107"/>
      <c r="AR714" s="107"/>
      <c r="AS714" s="107"/>
      <c r="AT714" s="107"/>
      <c r="AU714" s="107"/>
      <c r="AV714" s="107"/>
      <c r="AW714" s="107"/>
      <c r="AX714" s="107"/>
      <c r="AY714" s="107"/>
      <c r="AZ714" s="107"/>
      <c r="BA714" s="107"/>
      <c r="BB714" s="107"/>
      <c r="BC714" s="107"/>
      <c r="BD714" s="107"/>
      <c r="BE714" s="107"/>
      <c r="BF714" s="107"/>
      <c r="BG714" s="107"/>
      <c r="BH714" s="107"/>
      <c r="BI714" s="107"/>
      <c r="BJ714" s="107"/>
      <c r="BK714" s="107"/>
      <c r="BL714" s="107"/>
      <c r="BM714" s="107"/>
      <c r="BN714" s="107"/>
      <c r="BO714" s="65"/>
      <c r="BP714" s="78" t="s">
        <v>1004</v>
      </c>
    </row>
    <row r="715" spans="2:68" ht="12" hidden="1" customHeight="1" outlineLevel="1">
      <c r="B715" s="76">
        <v>3</v>
      </c>
      <c r="C715" s="77" t="s">
        <v>1034</v>
      </c>
      <c r="D715" s="144">
        <f t="shared" si="36"/>
        <v>0</v>
      </c>
      <c r="E715" s="144">
        <f t="shared" si="37"/>
        <v>0</v>
      </c>
      <c r="F715" s="65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7"/>
      <c r="AM715" s="107"/>
      <c r="AN715" s="107"/>
      <c r="AO715" s="107"/>
      <c r="AP715" s="107"/>
      <c r="AQ715" s="107"/>
      <c r="AR715" s="107"/>
      <c r="AS715" s="107"/>
      <c r="AT715" s="107"/>
      <c r="AU715" s="107"/>
      <c r="AV715" s="107"/>
      <c r="AW715" s="107"/>
      <c r="AX715" s="107"/>
      <c r="AY715" s="107"/>
      <c r="AZ715" s="107"/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65"/>
      <c r="BP715" s="78" t="s">
        <v>1004</v>
      </c>
    </row>
    <row r="716" spans="2:68" ht="12" hidden="1" customHeight="1" outlineLevel="1">
      <c r="B716" s="76">
        <v>4</v>
      </c>
      <c r="C716" s="77" t="s">
        <v>1035</v>
      </c>
      <c r="D716" s="144">
        <f t="shared" si="36"/>
        <v>0</v>
      </c>
      <c r="E716" s="144">
        <f t="shared" si="37"/>
        <v>0</v>
      </c>
      <c r="F716" s="65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07"/>
      <c r="AL716" s="107"/>
      <c r="AM716" s="107"/>
      <c r="AN716" s="107"/>
      <c r="AO716" s="107"/>
      <c r="AP716" s="107"/>
      <c r="AQ716" s="107"/>
      <c r="AR716" s="107"/>
      <c r="AS716" s="107"/>
      <c r="AT716" s="107"/>
      <c r="AU716" s="107"/>
      <c r="AV716" s="107"/>
      <c r="AW716" s="107"/>
      <c r="AX716" s="107"/>
      <c r="AY716" s="107"/>
      <c r="AZ716" s="107"/>
      <c r="BA716" s="107"/>
      <c r="BB716" s="107"/>
      <c r="BC716" s="107"/>
      <c r="BD716" s="107"/>
      <c r="BE716" s="107"/>
      <c r="BF716" s="107"/>
      <c r="BG716" s="107"/>
      <c r="BH716" s="107"/>
      <c r="BI716" s="107"/>
      <c r="BJ716" s="107"/>
      <c r="BK716" s="107"/>
      <c r="BL716" s="107"/>
      <c r="BM716" s="107"/>
      <c r="BN716" s="107"/>
      <c r="BO716" s="65"/>
      <c r="BP716" s="78" t="s">
        <v>1004</v>
      </c>
    </row>
    <row r="717" spans="2:68" ht="12" hidden="1" customHeight="1" outlineLevel="1">
      <c r="B717" s="76">
        <v>5</v>
      </c>
      <c r="C717" s="77" t="s">
        <v>1036</v>
      </c>
      <c r="D717" s="144">
        <f t="shared" si="36"/>
        <v>0</v>
      </c>
      <c r="E717" s="144">
        <f t="shared" si="37"/>
        <v>0</v>
      </c>
      <c r="F717" s="65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  <c r="AK717" s="107"/>
      <c r="AL717" s="107"/>
      <c r="AM717" s="107"/>
      <c r="AN717" s="107"/>
      <c r="AO717" s="107"/>
      <c r="AP717" s="107"/>
      <c r="AQ717" s="107"/>
      <c r="AR717" s="107"/>
      <c r="AS717" s="107"/>
      <c r="AT717" s="107"/>
      <c r="AU717" s="107"/>
      <c r="AV717" s="107"/>
      <c r="AW717" s="107"/>
      <c r="AX717" s="107"/>
      <c r="AY717" s="107"/>
      <c r="AZ717" s="107"/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65"/>
      <c r="BP717" s="78" t="s">
        <v>1004</v>
      </c>
    </row>
    <row r="718" spans="2:68" ht="12" hidden="1" customHeight="1" outlineLevel="1">
      <c r="B718" s="76">
        <v>6</v>
      </c>
      <c r="C718" s="77" t="s">
        <v>1037</v>
      </c>
      <c r="D718" s="144">
        <f t="shared" si="36"/>
        <v>0</v>
      </c>
      <c r="E718" s="144">
        <f t="shared" si="37"/>
        <v>0</v>
      </c>
      <c r="F718" s="65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  <c r="AJ718" s="107"/>
      <c r="AK718" s="107"/>
      <c r="AL718" s="107"/>
      <c r="AM718" s="107"/>
      <c r="AN718" s="107"/>
      <c r="AO718" s="107"/>
      <c r="AP718" s="107"/>
      <c r="AQ718" s="107"/>
      <c r="AR718" s="107"/>
      <c r="AS718" s="107"/>
      <c r="AT718" s="107"/>
      <c r="AU718" s="107"/>
      <c r="AV718" s="107"/>
      <c r="AW718" s="107"/>
      <c r="AX718" s="107"/>
      <c r="AY718" s="107"/>
      <c r="AZ718" s="107"/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65"/>
      <c r="BP718" s="78" t="s">
        <v>1004</v>
      </c>
    </row>
    <row r="719" spans="2:68" ht="12" hidden="1" customHeight="1" outlineLevel="1">
      <c r="B719" s="76">
        <v>7</v>
      </c>
      <c r="C719" s="77" t="s">
        <v>1038</v>
      </c>
      <c r="D719" s="144">
        <f t="shared" si="36"/>
        <v>0</v>
      </c>
      <c r="E719" s="144">
        <f t="shared" si="37"/>
        <v>0</v>
      </c>
      <c r="F719" s="65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  <c r="AK719" s="107"/>
      <c r="AL719" s="107"/>
      <c r="AM719" s="107"/>
      <c r="AN719" s="107"/>
      <c r="AO719" s="107"/>
      <c r="AP719" s="107"/>
      <c r="AQ719" s="107"/>
      <c r="AR719" s="107"/>
      <c r="AS719" s="107"/>
      <c r="AT719" s="107"/>
      <c r="AU719" s="107"/>
      <c r="AV719" s="107"/>
      <c r="AW719" s="107"/>
      <c r="AX719" s="107"/>
      <c r="AY719" s="107"/>
      <c r="AZ719" s="107"/>
      <c r="BA719" s="107"/>
      <c r="BB719" s="107"/>
      <c r="BC719" s="107"/>
      <c r="BD719" s="107"/>
      <c r="BE719" s="107"/>
      <c r="BF719" s="107"/>
      <c r="BG719" s="107"/>
      <c r="BH719" s="107"/>
      <c r="BI719" s="107"/>
      <c r="BJ719" s="107"/>
      <c r="BK719" s="107"/>
      <c r="BL719" s="107"/>
      <c r="BM719" s="107"/>
      <c r="BN719" s="107"/>
      <c r="BO719" s="65"/>
      <c r="BP719" s="78" t="s">
        <v>1004</v>
      </c>
    </row>
    <row r="720" spans="2:68" ht="12" hidden="1" customHeight="1" outlineLevel="1">
      <c r="B720" s="76">
        <v>8</v>
      </c>
      <c r="C720" s="77" t="s">
        <v>1039</v>
      </c>
      <c r="D720" s="144">
        <f t="shared" si="36"/>
        <v>0</v>
      </c>
      <c r="E720" s="144">
        <f t="shared" si="37"/>
        <v>0</v>
      </c>
      <c r="F720" s="65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  <c r="AK720" s="107"/>
      <c r="AL720" s="107"/>
      <c r="AM720" s="107"/>
      <c r="AN720" s="107"/>
      <c r="AO720" s="107"/>
      <c r="AP720" s="107"/>
      <c r="AQ720" s="107"/>
      <c r="AR720" s="107"/>
      <c r="AS720" s="107"/>
      <c r="AT720" s="107"/>
      <c r="AU720" s="107"/>
      <c r="AV720" s="107"/>
      <c r="AW720" s="107"/>
      <c r="AX720" s="107"/>
      <c r="AY720" s="107"/>
      <c r="AZ720" s="107"/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65"/>
      <c r="BP720" s="78" t="s">
        <v>1004</v>
      </c>
    </row>
    <row r="721" spans="2:68" ht="12" hidden="1" customHeight="1" outlineLevel="1">
      <c r="B721" s="76">
        <v>9</v>
      </c>
      <c r="C721" s="77" t="s">
        <v>1040</v>
      </c>
      <c r="D721" s="144">
        <f t="shared" si="36"/>
        <v>0</v>
      </c>
      <c r="E721" s="144">
        <f t="shared" si="37"/>
        <v>0</v>
      </c>
      <c r="F721" s="65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  <c r="AJ721" s="107"/>
      <c r="AK721" s="107"/>
      <c r="AL721" s="107"/>
      <c r="AM721" s="107"/>
      <c r="AN721" s="107"/>
      <c r="AO721" s="107"/>
      <c r="AP721" s="107"/>
      <c r="AQ721" s="107"/>
      <c r="AR721" s="107"/>
      <c r="AS721" s="107"/>
      <c r="AT721" s="107"/>
      <c r="AU721" s="107"/>
      <c r="AV721" s="107"/>
      <c r="AW721" s="107"/>
      <c r="AX721" s="107"/>
      <c r="AY721" s="107"/>
      <c r="AZ721" s="107"/>
      <c r="BA721" s="107"/>
      <c r="BB721" s="107"/>
      <c r="BC721" s="107"/>
      <c r="BD721" s="107"/>
      <c r="BE721" s="107"/>
      <c r="BF721" s="107"/>
      <c r="BG721" s="107"/>
      <c r="BH721" s="107"/>
      <c r="BI721" s="107"/>
      <c r="BJ721" s="107"/>
      <c r="BK721" s="107"/>
      <c r="BL721" s="107"/>
      <c r="BM721" s="107"/>
      <c r="BN721" s="107"/>
      <c r="BO721" s="65"/>
      <c r="BP721" s="78" t="s">
        <v>1004</v>
      </c>
    </row>
    <row r="722" spans="2:68" ht="12" hidden="1" customHeight="1" outlineLevel="1">
      <c r="B722" s="76">
        <v>10</v>
      </c>
      <c r="C722" s="77" t="s">
        <v>1041</v>
      </c>
      <c r="D722" s="144">
        <f t="shared" si="36"/>
        <v>0</v>
      </c>
      <c r="E722" s="144">
        <f t="shared" si="37"/>
        <v>0</v>
      </c>
      <c r="F722" s="65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  <c r="AK722" s="107"/>
      <c r="AL722" s="107"/>
      <c r="AM722" s="107"/>
      <c r="AN722" s="107"/>
      <c r="AO722" s="107"/>
      <c r="AP722" s="107"/>
      <c r="AQ722" s="107"/>
      <c r="AR722" s="107"/>
      <c r="AS722" s="107"/>
      <c r="AT722" s="107"/>
      <c r="AU722" s="107"/>
      <c r="AV722" s="107"/>
      <c r="AW722" s="107"/>
      <c r="AX722" s="107"/>
      <c r="AY722" s="107"/>
      <c r="AZ722" s="107"/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65"/>
      <c r="BP722" s="78" t="s">
        <v>1004</v>
      </c>
    </row>
    <row r="723" spans="2:68" ht="12" hidden="1" customHeight="1" outlineLevel="1">
      <c r="B723" s="76">
        <v>11</v>
      </c>
      <c r="C723" s="77" t="s">
        <v>1042</v>
      </c>
      <c r="D723" s="144">
        <f t="shared" si="36"/>
        <v>0</v>
      </c>
      <c r="E723" s="144">
        <f t="shared" si="37"/>
        <v>0</v>
      </c>
      <c r="F723" s="65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  <c r="AQ723" s="107"/>
      <c r="AR723" s="107"/>
      <c r="AS723" s="107"/>
      <c r="AT723" s="107"/>
      <c r="AU723" s="107"/>
      <c r="AV723" s="107"/>
      <c r="AW723" s="107"/>
      <c r="AX723" s="107"/>
      <c r="AY723" s="107"/>
      <c r="AZ723" s="107"/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65"/>
      <c r="BP723" s="78" t="s">
        <v>1004</v>
      </c>
    </row>
    <row r="724" spans="2:68" ht="12" hidden="1" customHeight="1" outlineLevel="1">
      <c r="B724" s="76">
        <v>12</v>
      </c>
      <c r="C724" s="77" t="s">
        <v>1043</v>
      </c>
      <c r="D724" s="144">
        <f t="shared" si="36"/>
        <v>0</v>
      </c>
      <c r="E724" s="144">
        <f t="shared" si="37"/>
        <v>0</v>
      </c>
      <c r="F724" s="65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  <c r="AJ724" s="107"/>
      <c r="AK724" s="107"/>
      <c r="AL724" s="107"/>
      <c r="AM724" s="107"/>
      <c r="AN724" s="107"/>
      <c r="AO724" s="107"/>
      <c r="AP724" s="107"/>
      <c r="AQ724" s="107"/>
      <c r="AR724" s="107"/>
      <c r="AS724" s="107"/>
      <c r="AT724" s="107"/>
      <c r="AU724" s="107"/>
      <c r="AV724" s="107"/>
      <c r="AW724" s="107"/>
      <c r="AX724" s="107"/>
      <c r="AY724" s="107"/>
      <c r="AZ724" s="107"/>
      <c r="BA724" s="107"/>
      <c r="BB724" s="107"/>
      <c r="BC724" s="107"/>
      <c r="BD724" s="107"/>
      <c r="BE724" s="107"/>
      <c r="BF724" s="107"/>
      <c r="BG724" s="107"/>
      <c r="BH724" s="107"/>
      <c r="BI724" s="107"/>
      <c r="BJ724" s="107"/>
      <c r="BK724" s="107"/>
      <c r="BL724" s="107"/>
      <c r="BM724" s="107"/>
      <c r="BN724" s="107"/>
      <c r="BO724" s="65"/>
      <c r="BP724" s="78" t="s">
        <v>1004</v>
      </c>
    </row>
    <row r="725" spans="2:68" ht="12" hidden="1" customHeight="1" outlineLevel="1">
      <c r="B725" s="76">
        <v>13</v>
      </c>
      <c r="C725" s="77" t="s">
        <v>1044</v>
      </c>
      <c r="D725" s="144">
        <f t="shared" si="36"/>
        <v>0</v>
      </c>
      <c r="E725" s="144">
        <f t="shared" si="37"/>
        <v>0</v>
      </c>
      <c r="F725" s="65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  <c r="AK725" s="107"/>
      <c r="AL725" s="107"/>
      <c r="AM725" s="107"/>
      <c r="AN725" s="107"/>
      <c r="AO725" s="107"/>
      <c r="AP725" s="107"/>
      <c r="AQ725" s="107"/>
      <c r="AR725" s="107"/>
      <c r="AS725" s="107"/>
      <c r="AT725" s="107"/>
      <c r="AU725" s="107"/>
      <c r="AV725" s="107"/>
      <c r="AW725" s="107"/>
      <c r="AX725" s="107"/>
      <c r="AY725" s="107"/>
      <c r="AZ725" s="107"/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65"/>
      <c r="BP725" s="78" t="s">
        <v>1004</v>
      </c>
    </row>
    <row r="726" spans="2:68" ht="12" hidden="1" customHeight="1" outlineLevel="1">
      <c r="B726" s="76">
        <v>14</v>
      </c>
      <c r="C726" s="77" t="s">
        <v>1045</v>
      </c>
      <c r="D726" s="144">
        <f t="shared" si="36"/>
        <v>0</v>
      </c>
      <c r="E726" s="144">
        <f t="shared" si="37"/>
        <v>0</v>
      </c>
      <c r="F726" s="65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  <c r="AJ726" s="107"/>
      <c r="AK726" s="107"/>
      <c r="AL726" s="107"/>
      <c r="AM726" s="107"/>
      <c r="AN726" s="107"/>
      <c r="AO726" s="107"/>
      <c r="AP726" s="107"/>
      <c r="AQ726" s="107"/>
      <c r="AR726" s="107"/>
      <c r="AS726" s="107"/>
      <c r="AT726" s="107"/>
      <c r="AU726" s="107"/>
      <c r="AV726" s="107"/>
      <c r="AW726" s="107"/>
      <c r="AX726" s="107"/>
      <c r="AY726" s="107"/>
      <c r="AZ726" s="107"/>
      <c r="BA726" s="107"/>
      <c r="BB726" s="107"/>
      <c r="BC726" s="107"/>
      <c r="BD726" s="107"/>
      <c r="BE726" s="107"/>
      <c r="BF726" s="107"/>
      <c r="BG726" s="107"/>
      <c r="BH726" s="107"/>
      <c r="BI726" s="107"/>
      <c r="BJ726" s="107"/>
      <c r="BK726" s="107"/>
      <c r="BL726" s="107"/>
      <c r="BM726" s="107"/>
      <c r="BN726" s="107"/>
      <c r="BO726" s="65"/>
      <c r="BP726" s="78" t="s">
        <v>1004</v>
      </c>
    </row>
    <row r="727" spans="2:68" ht="12" hidden="1" customHeight="1" outlineLevel="1">
      <c r="B727" s="76">
        <v>15</v>
      </c>
      <c r="C727" s="77" t="s">
        <v>1046</v>
      </c>
      <c r="D727" s="144">
        <f t="shared" si="36"/>
        <v>0</v>
      </c>
      <c r="E727" s="144">
        <f t="shared" si="37"/>
        <v>0</v>
      </c>
      <c r="F727" s="65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  <c r="AJ727" s="107"/>
      <c r="AK727" s="107"/>
      <c r="AL727" s="107"/>
      <c r="AM727" s="107"/>
      <c r="AN727" s="107"/>
      <c r="AO727" s="107"/>
      <c r="AP727" s="107"/>
      <c r="AQ727" s="107"/>
      <c r="AR727" s="107"/>
      <c r="AS727" s="107"/>
      <c r="AT727" s="107"/>
      <c r="AU727" s="107"/>
      <c r="AV727" s="107"/>
      <c r="AW727" s="107"/>
      <c r="AX727" s="107"/>
      <c r="AY727" s="107"/>
      <c r="AZ727" s="107"/>
      <c r="BA727" s="107"/>
      <c r="BB727" s="107"/>
      <c r="BC727" s="107"/>
      <c r="BD727" s="107"/>
      <c r="BE727" s="107"/>
      <c r="BF727" s="107"/>
      <c r="BG727" s="107"/>
      <c r="BH727" s="107"/>
      <c r="BI727" s="107"/>
      <c r="BJ727" s="107"/>
      <c r="BK727" s="107"/>
      <c r="BL727" s="107"/>
      <c r="BM727" s="107"/>
      <c r="BN727" s="107"/>
      <c r="BO727" s="65"/>
      <c r="BP727" s="78" t="s">
        <v>1004</v>
      </c>
    </row>
    <row r="728" spans="2:68" ht="12" hidden="1" customHeight="1" outlineLevel="1">
      <c r="B728" s="76">
        <v>16</v>
      </c>
      <c r="C728" s="77" t="s">
        <v>1047</v>
      </c>
      <c r="D728" s="144">
        <f t="shared" si="36"/>
        <v>0</v>
      </c>
      <c r="E728" s="144">
        <f t="shared" si="37"/>
        <v>0</v>
      </c>
      <c r="F728" s="65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  <c r="AJ728" s="107"/>
      <c r="AK728" s="107"/>
      <c r="AL728" s="107"/>
      <c r="AM728" s="107"/>
      <c r="AN728" s="107"/>
      <c r="AO728" s="107"/>
      <c r="AP728" s="107"/>
      <c r="AQ728" s="107"/>
      <c r="AR728" s="107"/>
      <c r="AS728" s="107"/>
      <c r="AT728" s="107"/>
      <c r="AU728" s="107"/>
      <c r="AV728" s="107"/>
      <c r="AW728" s="107"/>
      <c r="AX728" s="107"/>
      <c r="AY728" s="107"/>
      <c r="AZ728" s="107"/>
      <c r="BA728" s="107"/>
      <c r="BB728" s="107"/>
      <c r="BC728" s="107"/>
      <c r="BD728" s="107"/>
      <c r="BE728" s="107"/>
      <c r="BF728" s="107"/>
      <c r="BG728" s="107"/>
      <c r="BH728" s="107"/>
      <c r="BI728" s="107"/>
      <c r="BJ728" s="107"/>
      <c r="BK728" s="107"/>
      <c r="BL728" s="107"/>
      <c r="BM728" s="107"/>
      <c r="BN728" s="107"/>
      <c r="BO728" s="65"/>
      <c r="BP728" s="78" t="s">
        <v>1004</v>
      </c>
    </row>
    <row r="729" spans="2:68" ht="12" hidden="1" customHeight="1" outlineLevel="1">
      <c r="B729" s="76">
        <v>17</v>
      </c>
      <c r="C729" s="77" t="s">
        <v>1048</v>
      </c>
      <c r="D729" s="144">
        <f t="shared" si="36"/>
        <v>0</v>
      </c>
      <c r="E729" s="144">
        <f t="shared" si="37"/>
        <v>0</v>
      </c>
      <c r="F729" s="65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  <c r="AJ729" s="107"/>
      <c r="AK729" s="107"/>
      <c r="AL729" s="107"/>
      <c r="AM729" s="107"/>
      <c r="AN729" s="107"/>
      <c r="AO729" s="107"/>
      <c r="AP729" s="107"/>
      <c r="AQ729" s="107"/>
      <c r="AR729" s="107"/>
      <c r="AS729" s="107"/>
      <c r="AT729" s="107"/>
      <c r="AU729" s="107"/>
      <c r="AV729" s="107"/>
      <c r="AW729" s="107"/>
      <c r="AX729" s="107"/>
      <c r="AY729" s="107"/>
      <c r="AZ729" s="107"/>
      <c r="BA729" s="107"/>
      <c r="BB729" s="107"/>
      <c r="BC729" s="107"/>
      <c r="BD729" s="107"/>
      <c r="BE729" s="107"/>
      <c r="BF729" s="107"/>
      <c r="BG729" s="107"/>
      <c r="BH729" s="107"/>
      <c r="BI729" s="107"/>
      <c r="BJ729" s="107"/>
      <c r="BK729" s="107"/>
      <c r="BL729" s="107"/>
      <c r="BM729" s="107"/>
      <c r="BN729" s="107"/>
      <c r="BO729" s="65"/>
      <c r="BP729" s="78" t="s">
        <v>1004</v>
      </c>
    </row>
    <row r="730" spans="2:68" ht="12" hidden="1" customHeight="1" outlineLevel="1">
      <c r="B730" s="76">
        <v>18</v>
      </c>
      <c r="C730" s="77" t="s">
        <v>1049</v>
      </c>
      <c r="D730" s="144">
        <f t="shared" si="36"/>
        <v>0</v>
      </c>
      <c r="E730" s="144">
        <f t="shared" si="37"/>
        <v>0</v>
      </c>
      <c r="F730" s="65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  <c r="AK730" s="107"/>
      <c r="AL730" s="107"/>
      <c r="AM730" s="107"/>
      <c r="AN730" s="107"/>
      <c r="AO730" s="107"/>
      <c r="AP730" s="107"/>
      <c r="AQ730" s="107"/>
      <c r="AR730" s="107"/>
      <c r="AS730" s="107"/>
      <c r="AT730" s="107"/>
      <c r="AU730" s="107"/>
      <c r="AV730" s="107"/>
      <c r="AW730" s="107"/>
      <c r="AX730" s="107"/>
      <c r="AY730" s="107"/>
      <c r="AZ730" s="107"/>
      <c r="BA730" s="107"/>
      <c r="BB730" s="107"/>
      <c r="BC730" s="107"/>
      <c r="BD730" s="107"/>
      <c r="BE730" s="107"/>
      <c r="BF730" s="107"/>
      <c r="BG730" s="107"/>
      <c r="BH730" s="107"/>
      <c r="BI730" s="107"/>
      <c r="BJ730" s="107"/>
      <c r="BK730" s="107"/>
      <c r="BL730" s="107"/>
      <c r="BM730" s="107"/>
      <c r="BN730" s="107"/>
      <c r="BO730" s="65"/>
      <c r="BP730" s="78" t="s">
        <v>1004</v>
      </c>
    </row>
    <row r="731" spans="2:68" ht="12" hidden="1" customHeight="1" outlineLevel="1">
      <c r="B731" s="76">
        <v>19</v>
      </c>
      <c r="C731" s="77" t="s">
        <v>1050</v>
      </c>
      <c r="D731" s="144">
        <f t="shared" si="36"/>
        <v>0</v>
      </c>
      <c r="E731" s="144">
        <f t="shared" si="37"/>
        <v>0</v>
      </c>
      <c r="F731" s="65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  <c r="AJ731" s="107"/>
      <c r="AK731" s="107"/>
      <c r="AL731" s="107"/>
      <c r="AM731" s="107"/>
      <c r="AN731" s="107"/>
      <c r="AO731" s="107"/>
      <c r="AP731" s="107"/>
      <c r="AQ731" s="107"/>
      <c r="AR731" s="107"/>
      <c r="AS731" s="107"/>
      <c r="AT731" s="107"/>
      <c r="AU731" s="107"/>
      <c r="AV731" s="107"/>
      <c r="AW731" s="107"/>
      <c r="AX731" s="107"/>
      <c r="AY731" s="107"/>
      <c r="AZ731" s="107"/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65"/>
      <c r="BP731" s="78" t="s">
        <v>1004</v>
      </c>
    </row>
    <row r="732" spans="2:68" ht="12" hidden="1" customHeight="1" outlineLevel="1">
      <c r="B732" s="76">
        <v>20</v>
      </c>
      <c r="C732" s="77" t="s">
        <v>1051</v>
      </c>
      <c r="D732" s="144">
        <f t="shared" si="36"/>
        <v>0</v>
      </c>
      <c r="E732" s="144">
        <f t="shared" si="37"/>
        <v>0</v>
      </c>
      <c r="F732" s="65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  <c r="AJ732" s="107"/>
      <c r="AK732" s="107"/>
      <c r="AL732" s="107"/>
      <c r="AM732" s="107"/>
      <c r="AN732" s="107"/>
      <c r="AO732" s="107"/>
      <c r="AP732" s="107"/>
      <c r="AQ732" s="107"/>
      <c r="AR732" s="107"/>
      <c r="AS732" s="107"/>
      <c r="AT732" s="107"/>
      <c r="AU732" s="107"/>
      <c r="AV732" s="107"/>
      <c r="AW732" s="107"/>
      <c r="AX732" s="107"/>
      <c r="AY732" s="107"/>
      <c r="AZ732" s="107"/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65"/>
      <c r="BP732" s="78" t="s">
        <v>1004</v>
      </c>
    </row>
    <row r="733" spans="2:68" ht="12" hidden="1" customHeight="1" outlineLevel="1">
      <c r="B733" s="76">
        <v>21</v>
      </c>
      <c r="C733" s="77" t="s">
        <v>1052</v>
      </c>
      <c r="D733" s="144">
        <f t="shared" si="36"/>
        <v>0</v>
      </c>
      <c r="E733" s="144">
        <f t="shared" si="37"/>
        <v>0</v>
      </c>
      <c r="F733" s="65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  <c r="AK733" s="107"/>
      <c r="AL733" s="107"/>
      <c r="AM733" s="107"/>
      <c r="AN733" s="107"/>
      <c r="AO733" s="107"/>
      <c r="AP733" s="107"/>
      <c r="AQ733" s="107"/>
      <c r="AR733" s="107"/>
      <c r="AS733" s="107"/>
      <c r="AT733" s="107"/>
      <c r="AU733" s="107"/>
      <c r="AV733" s="107"/>
      <c r="AW733" s="107"/>
      <c r="AX733" s="107"/>
      <c r="AY733" s="107"/>
      <c r="AZ733" s="107"/>
      <c r="BA733" s="107"/>
      <c r="BB733" s="107"/>
      <c r="BC733" s="107"/>
      <c r="BD733" s="107"/>
      <c r="BE733" s="107"/>
      <c r="BF733" s="107"/>
      <c r="BG733" s="107"/>
      <c r="BH733" s="107"/>
      <c r="BI733" s="107"/>
      <c r="BJ733" s="107"/>
      <c r="BK733" s="107"/>
      <c r="BL733" s="107"/>
      <c r="BM733" s="107"/>
      <c r="BN733" s="107"/>
      <c r="BO733" s="65"/>
      <c r="BP733" s="78" t="s">
        <v>1004</v>
      </c>
    </row>
    <row r="734" spans="2:68" ht="12" hidden="1" customHeight="1" outlineLevel="1">
      <c r="B734" s="76">
        <v>22</v>
      </c>
      <c r="C734" s="77" t="s">
        <v>1053</v>
      </c>
      <c r="D734" s="144">
        <f t="shared" si="36"/>
        <v>0</v>
      </c>
      <c r="E734" s="144">
        <f t="shared" si="37"/>
        <v>0</v>
      </c>
      <c r="F734" s="65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  <c r="AK734" s="107"/>
      <c r="AL734" s="107"/>
      <c r="AM734" s="107"/>
      <c r="AN734" s="107"/>
      <c r="AO734" s="107"/>
      <c r="AP734" s="107"/>
      <c r="AQ734" s="107"/>
      <c r="AR734" s="107"/>
      <c r="AS734" s="107"/>
      <c r="AT734" s="107"/>
      <c r="AU734" s="107"/>
      <c r="AV734" s="107"/>
      <c r="AW734" s="107"/>
      <c r="AX734" s="107"/>
      <c r="AY734" s="107"/>
      <c r="AZ734" s="107"/>
      <c r="BA734" s="107"/>
      <c r="BB734" s="107"/>
      <c r="BC734" s="107"/>
      <c r="BD734" s="107"/>
      <c r="BE734" s="107"/>
      <c r="BF734" s="107"/>
      <c r="BG734" s="107"/>
      <c r="BH734" s="107"/>
      <c r="BI734" s="107"/>
      <c r="BJ734" s="107"/>
      <c r="BK734" s="107"/>
      <c r="BL734" s="107"/>
      <c r="BM734" s="107"/>
      <c r="BN734" s="107"/>
      <c r="BO734" s="65"/>
      <c r="BP734" s="78" t="s">
        <v>1004</v>
      </c>
    </row>
    <row r="735" spans="2:68" ht="12" hidden="1" customHeight="1" outlineLevel="1">
      <c r="B735" s="76">
        <v>23</v>
      </c>
      <c r="C735" s="77" t="s">
        <v>1054</v>
      </c>
      <c r="D735" s="144">
        <f t="shared" si="36"/>
        <v>0</v>
      </c>
      <c r="E735" s="144">
        <f t="shared" si="37"/>
        <v>0</v>
      </c>
      <c r="F735" s="65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  <c r="AJ735" s="107"/>
      <c r="AK735" s="107"/>
      <c r="AL735" s="107"/>
      <c r="AM735" s="107"/>
      <c r="AN735" s="107"/>
      <c r="AO735" s="107"/>
      <c r="AP735" s="107"/>
      <c r="AQ735" s="107"/>
      <c r="AR735" s="107"/>
      <c r="AS735" s="107"/>
      <c r="AT735" s="107"/>
      <c r="AU735" s="107"/>
      <c r="AV735" s="107"/>
      <c r="AW735" s="107"/>
      <c r="AX735" s="107"/>
      <c r="AY735" s="107"/>
      <c r="AZ735" s="107"/>
      <c r="BA735" s="107"/>
      <c r="BB735" s="107"/>
      <c r="BC735" s="107"/>
      <c r="BD735" s="107"/>
      <c r="BE735" s="107"/>
      <c r="BF735" s="107"/>
      <c r="BG735" s="107"/>
      <c r="BH735" s="107"/>
      <c r="BI735" s="107"/>
      <c r="BJ735" s="107"/>
      <c r="BK735" s="107"/>
      <c r="BL735" s="107"/>
      <c r="BM735" s="107"/>
      <c r="BN735" s="107"/>
      <c r="BO735" s="65"/>
      <c r="BP735" s="78" t="s">
        <v>1004</v>
      </c>
    </row>
    <row r="736" spans="2:68" ht="12" hidden="1" customHeight="1" outlineLevel="1">
      <c r="B736" s="76">
        <v>24</v>
      </c>
      <c r="C736" s="77" t="s">
        <v>1055</v>
      </c>
      <c r="D736" s="144">
        <f t="shared" si="36"/>
        <v>0</v>
      </c>
      <c r="E736" s="144">
        <f t="shared" si="37"/>
        <v>0</v>
      </c>
      <c r="F736" s="65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  <c r="AJ736" s="107"/>
      <c r="AK736" s="107"/>
      <c r="AL736" s="107"/>
      <c r="AM736" s="107"/>
      <c r="AN736" s="107"/>
      <c r="AO736" s="107"/>
      <c r="AP736" s="107"/>
      <c r="AQ736" s="107"/>
      <c r="AR736" s="107"/>
      <c r="AS736" s="107"/>
      <c r="AT736" s="107"/>
      <c r="AU736" s="107"/>
      <c r="AV736" s="107"/>
      <c r="AW736" s="107"/>
      <c r="AX736" s="107"/>
      <c r="AY736" s="107"/>
      <c r="AZ736" s="107"/>
      <c r="BA736" s="107"/>
      <c r="BB736" s="107"/>
      <c r="BC736" s="107"/>
      <c r="BD736" s="107"/>
      <c r="BE736" s="107"/>
      <c r="BF736" s="107"/>
      <c r="BG736" s="107"/>
      <c r="BH736" s="107"/>
      <c r="BI736" s="107"/>
      <c r="BJ736" s="107"/>
      <c r="BK736" s="107"/>
      <c r="BL736" s="107"/>
      <c r="BM736" s="107"/>
      <c r="BN736" s="107"/>
      <c r="BO736" s="65"/>
      <c r="BP736" s="78" t="s">
        <v>1004</v>
      </c>
    </row>
    <row r="737" spans="2:68" ht="12" hidden="1" customHeight="1" outlineLevel="1">
      <c r="B737" s="76">
        <v>25</v>
      </c>
      <c r="C737" s="77" t="s">
        <v>1056</v>
      </c>
      <c r="D737" s="144">
        <f t="shared" si="36"/>
        <v>0</v>
      </c>
      <c r="E737" s="144">
        <f t="shared" si="37"/>
        <v>0</v>
      </c>
      <c r="F737" s="65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  <c r="AJ737" s="107"/>
      <c r="AK737" s="107"/>
      <c r="AL737" s="107"/>
      <c r="AM737" s="107"/>
      <c r="AN737" s="107"/>
      <c r="AO737" s="107"/>
      <c r="AP737" s="107"/>
      <c r="AQ737" s="107"/>
      <c r="AR737" s="107"/>
      <c r="AS737" s="107"/>
      <c r="AT737" s="107"/>
      <c r="AU737" s="107"/>
      <c r="AV737" s="107"/>
      <c r="AW737" s="107"/>
      <c r="AX737" s="107"/>
      <c r="AY737" s="107"/>
      <c r="AZ737" s="107"/>
      <c r="BA737" s="107"/>
      <c r="BB737" s="107"/>
      <c r="BC737" s="107"/>
      <c r="BD737" s="107"/>
      <c r="BE737" s="107"/>
      <c r="BF737" s="107"/>
      <c r="BG737" s="107"/>
      <c r="BH737" s="107"/>
      <c r="BI737" s="107"/>
      <c r="BJ737" s="107"/>
      <c r="BK737" s="107"/>
      <c r="BL737" s="107"/>
      <c r="BM737" s="107"/>
      <c r="BN737" s="107"/>
      <c r="BO737" s="65"/>
      <c r="BP737" s="78" t="s">
        <v>1004</v>
      </c>
    </row>
    <row r="738" spans="2:68" ht="12" hidden="1" customHeight="1" outlineLevel="1">
      <c r="B738" s="76">
        <v>26</v>
      </c>
      <c r="C738" s="77" t="s">
        <v>1057</v>
      </c>
      <c r="D738" s="144">
        <f t="shared" si="36"/>
        <v>0</v>
      </c>
      <c r="E738" s="144">
        <f t="shared" si="37"/>
        <v>0</v>
      </c>
      <c r="F738" s="65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  <c r="AJ738" s="107"/>
      <c r="AK738" s="107"/>
      <c r="AL738" s="107"/>
      <c r="AM738" s="107"/>
      <c r="AN738" s="107"/>
      <c r="AO738" s="107"/>
      <c r="AP738" s="107"/>
      <c r="AQ738" s="107"/>
      <c r="AR738" s="107"/>
      <c r="AS738" s="107"/>
      <c r="AT738" s="107"/>
      <c r="AU738" s="107"/>
      <c r="AV738" s="107"/>
      <c r="AW738" s="107"/>
      <c r="AX738" s="107"/>
      <c r="AY738" s="107"/>
      <c r="AZ738" s="107"/>
      <c r="BA738" s="107"/>
      <c r="BB738" s="107"/>
      <c r="BC738" s="107"/>
      <c r="BD738" s="107"/>
      <c r="BE738" s="107"/>
      <c r="BF738" s="107"/>
      <c r="BG738" s="107"/>
      <c r="BH738" s="107"/>
      <c r="BI738" s="107"/>
      <c r="BJ738" s="107"/>
      <c r="BK738" s="107"/>
      <c r="BL738" s="107"/>
      <c r="BM738" s="107"/>
      <c r="BN738" s="107"/>
      <c r="BO738" s="65"/>
      <c r="BP738" s="78" t="s">
        <v>1004</v>
      </c>
    </row>
    <row r="739" spans="2:68" ht="12" hidden="1" customHeight="1" outlineLevel="1">
      <c r="B739" s="76">
        <v>27</v>
      </c>
      <c r="C739" s="77" t="s">
        <v>1058</v>
      </c>
      <c r="D739" s="144">
        <f t="shared" si="36"/>
        <v>0</v>
      </c>
      <c r="E739" s="144">
        <f t="shared" si="37"/>
        <v>0</v>
      </c>
      <c r="F739" s="65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  <c r="AK739" s="107"/>
      <c r="AL739" s="107"/>
      <c r="AM739" s="107"/>
      <c r="AN739" s="107"/>
      <c r="AO739" s="107"/>
      <c r="AP739" s="107"/>
      <c r="AQ739" s="107"/>
      <c r="AR739" s="107"/>
      <c r="AS739" s="107"/>
      <c r="AT739" s="107"/>
      <c r="AU739" s="107"/>
      <c r="AV739" s="107"/>
      <c r="AW739" s="107"/>
      <c r="AX739" s="107"/>
      <c r="AY739" s="107"/>
      <c r="AZ739" s="107"/>
      <c r="BA739" s="107"/>
      <c r="BB739" s="107"/>
      <c r="BC739" s="107"/>
      <c r="BD739" s="107"/>
      <c r="BE739" s="107"/>
      <c r="BF739" s="107"/>
      <c r="BG739" s="107"/>
      <c r="BH739" s="107"/>
      <c r="BI739" s="107"/>
      <c r="BJ739" s="107"/>
      <c r="BK739" s="107"/>
      <c r="BL739" s="107"/>
      <c r="BM739" s="107"/>
      <c r="BN739" s="107"/>
      <c r="BO739" s="65"/>
      <c r="BP739" s="78" t="s">
        <v>1004</v>
      </c>
    </row>
    <row r="740" spans="2:68" ht="12" hidden="1" customHeight="1" outlineLevel="1">
      <c r="B740" s="76">
        <v>28</v>
      </c>
      <c r="C740" s="77" t="s">
        <v>1059</v>
      </c>
      <c r="D740" s="144">
        <f t="shared" si="36"/>
        <v>0</v>
      </c>
      <c r="E740" s="144">
        <f t="shared" si="37"/>
        <v>0</v>
      </c>
      <c r="F740" s="65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  <c r="AK740" s="107"/>
      <c r="AL740" s="107"/>
      <c r="AM740" s="107"/>
      <c r="AN740" s="107"/>
      <c r="AO740" s="107"/>
      <c r="AP740" s="107"/>
      <c r="AQ740" s="107"/>
      <c r="AR740" s="107"/>
      <c r="AS740" s="107"/>
      <c r="AT740" s="107"/>
      <c r="AU740" s="107"/>
      <c r="AV740" s="107"/>
      <c r="AW740" s="107"/>
      <c r="AX740" s="107"/>
      <c r="AY740" s="107"/>
      <c r="AZ740" s="107"/>
      <c r="BA740" s="107"/>
      <c r="BB740" s="107"/>
      <c r="BC740" s="107"/>
      <c r="BD740" s="107"/>
      <c r="BE740" s="107"/>
      <c r="BF740" s="107"/>
      <c r="BG740" s="107"/>
      <c r="BH740" s="107"/>
      <c r="BI740" s="107"/>
      <c r="BJ740" s="107"/>
      <c r="BK740" s="107"/>
      <c r="BL740" s="107"/>
      <c r="BM740" s="107"/>
      <c r="BN740" s="107"/>
      <c r="BO740" s="65"/>
      <c r="BP740" s="78" t="s">
        <v>1004</v>
      </c>
    </row>
    <row r="741" spans="2:68" ht="12" hidden="1" customHeight="1" outlineLevel="1">
      <c r="B741" s="76">
        <v>29</v>
      </c>
      <c r="C741" s="77" t="s">
        <v>1060</v>
      </c>
      <c r="D741" s="144">
        <f t="shared" si="36"/>
        <v>0</v>
      </c>
      <c r="E741" s="144">
        <f t="shared" si="37"/>
        <v>0</v>
      </c>
      <c r="F741" s="65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  <c r="AK741" s="107"/>
      <c r="AL741" s="107"/>
      <c r="AM741" s="107"/>
      <c r="AN741" s="107"/>
      <c r="AO741" s="107"/>
      <c r="AP741" s="107"/>
      <c r="AQ741" s="107"/>
      <c r="AR741" s="107"/>
      <c r="AS741" s="107"/>
      <c r="AT741" s="107"/>
      <c r="AU741" s="107"/>
      <c r="AV741" s="107"/>
      <c r="AW741" s="107"/>
      <c r="AX741" s="107"/>
      <c r="AY741" s="107"/>
      <c r="AZ741" s="107"/>
      <c r="BA741" s="107"/>
      <c r="BB741" s="107"/>
      <c r="BC741" s="107"/>
      <c r="BD741" s="107"/>
      <c r="BE741" s="107"/>
      <c r="BF741" s="107"/>
      <c r="BG741" s="107"/>
      <c r="BH741" s="107"/>
      <c r="BI741" s="107"/>
      <c r="BJ741" s="107"/>
      <c r="BK741" s="107"/>
      <c r="BL741" s="107"/>
      <c r="BM741" s="107"/>
      <c r="BN741" s="107"/>
      <c r="BO741" s="65"/>
      <c r="BP741" s="78" t="s">
        <v>1004</v>
      </c>
    </row>
    <row r="742" spans="2:68" ht="12" hidden="1" customHeight="1" outlineLevel="1">
      <c r="B742" s="76">
        <v>30</v>
      </c>
      <c r="C742" s="77" t="s">
        <v>1061</v>
      </c>
      <c r="D742" s="144">
        <f t="shared" si="36"/>
        <v>0</v>
      </c>
      <c r="E742" s="144">
        <f t="shared" si="37"/>
        <v>0</v>
      </c>
      <c r="F742" s="65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  <c r="AK742" s="107"/>
      <c r="AL742" s="107"/>
      <c r="AM742" s="107"/>
      <c r="AN742" s="107"/>
      <c r="AO742" s="107"/>
      <c r="AP742" s="107"/>
      <c r="AQ742" s="107"/>
      <c r="AR742" s="107"/>
      <c r="AS742" s="107"/>
      <c r="AT742" s="107"/>
      <c r="AU742" s="107"/>
      <c r="AV742" s="107"/>
      <c r="AW742" s="107"/>
      <c r="AX742" s="107"/>
      <c r="AY742" s="107"/>
      <c r="AZ742" s="107"/>
      <c r="BA742" s="107"/>
      <c r="BB742" s="107"/>
      <c r="BC742" s="107"/>
      <c r="BD742" s="107"/>
      <c r="BE742" s="107"/>
      <c r="BF742" s="107"/>
      <c r="BG742" s="107"/>
      <c r="BH742" s="107"/>
      <c r="BI742" s="107"/>
      <c r="BJ742" s="107"/>
      <c r="BK742" s="107"/>
      <c r="BL742" s="107"/>
      <c r="BM742" s="107"/>
      <c r="BN742" s="107"/>
      <c r="BO742" s="65"/>
      <c r="BP742" s="78" t="s">
        <v>1004</v>
      </c>
    </row>
    <row r="743" spans="2:68" ht="12" hidden="1" customHeight="1" outlineLevel="1">
      <c r="B743" s="76">
        <v>31</v>
      </c>
      <c r="C743" s="77" t="s">
        <v>1062</v>
      </c>
      <c r="D743" s="144">
        <f t="shared" si="36"/>
        <v>0</v>
      </c>
      <c r="E743" s="144">
        <f t="shared" si="37"/>
        <v>0</v>
      </c>
      <c r="F743" s="65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  <c r="AK743" s="107"/>
      <c r="AL743" s="107"/>
      <c r="AM743" s="107"/>
      <c r="AN743" s="107"/>
      <c r="AO743" s="107"/>
      <c r="AP743" s="107"/>
      <c r="AQ743" s="107"/>
      <c r="AR743" s="107"/>
      <c r="AS743" s="107"/>
      <c r="AT743" s="107"/>
      <c r="AU743" s="107"/>
      <c r="AV743" s="107"/>
      <c r="AW743" s="107"/>
      <c r="AX743" s="107"/>
      <c r="AY743" s="107"/>
      <c r="AZ743" s="107"/>
      <c r="BA743" s="107"/>
      <c r="BB743" s="107"/>
      <c r="BC743" s="107"/>
      <c r="BD743" s="107"/>
      <c r="BE743" s="107"/>
      <c r="BF743" s="107"/>
      <c r="BG743" s="107"/>
      <c r="BH743" s="107"/>
      <c r="BI743" s="107"/>
      <c r="BJ743" s="107"/>
      <c r="BK743" s="107"/>
      <c r="BL743" s="107"/>
      <c r="BM743" s="107"/>
      <c r="BN743" s="107"/>
      <c r="BO743" s="65"/>
      <c r="BP743" s="78" t="s">
        <v>1004</v>
      </c>
    </row>
    <row r="744" spans="2:68" ht="12" hidden="1" customHeight="1" outlineLevel="1">
      <c r="B744" s="76">
        <v>32</v>
      </c>
      <c r="C744" s="77" t="s">
        <v>1063</v>
      </c>
      <c r="D744" s="144">
        <f t="shared" si="36"/>
        <v>0</v>
      </c>
      <c r="E744" s="144">
        <f t="shared" si="37"/>
        <v>0</v>
      </c>
      <c r="F744" s="65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  <c r="AJ744" s="107"/>
      <c r="AK744" s="107"/>
      <c r="AL744" s="107"/>
      <c r="AM744" s="107"/>
      <c r="AN744" s="107"/>
      <c r="AO744" s="107"/>
      <c r="AP744" s="107"/>
      <c r="AQ744" s="107"/>
      <c r="AR744" s="107"/>
      <c r="AS744" s="107"/>
      <c r="AT744" s="107"/>
      <c r="AU744" s="107"/>
      <c r="AV744" s="107"/>
      <c r="AW744" s="107"/>
      <c r="AX744" s="107"/>
      <c r="AY744" s="107"/>
      <c r="AZ744" s="107"/>
      <c r="BA744" s="107"/>
      <c r="BB744" s="107"/>
      <c r="BC744" s="107"/>
      <c r="BD744" s="107"/>
      <c r="BE744" s="107"/>
      <c r="BF744" s="107"/>
      <c r="BG744" s="107"/>
      <c r="BH744" s="107"/>
      <c r="BI744" s="107"/>
      <c r="BJ744" s="107"/>
      <c r="BK744" s="107"/>
      <c r="BL744" s="107"/>
      <c r="BM744" s="107"/>
      <c r="BN744" s="107"/>
      <c r="BO744" s="65"/>
      <c r="BP744" s="78" t="s">
        <v>1004</v>
      </c>
    </row>
    <row r="745" spans="2:68" ht="12" hidden="1" customHeight="1" outlineLevel="1">
      <c r="B745" s="76">
        <v>33</v>
      </c>
      <c r="C745" s="77" t="s">
        <v>1064</v>
      </c>
      <c r="D745" s="144">
        <f t="shared" si="36"/>
        <v>0</v>
      </c>
      <c r="E745" s="144">
        <f t="shared" si="37"/>
        <v>0</v>
      </c>
      <c r="F745" s="65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  <c r="AJ745" s="107"/>
      <c r="AK745" s="107"/>
      <c r="AL745" s="107"/>
      <c r="AM745" s="107"/>
      <c r="AN745" s="107"/>
      <c r="AO745" s="107"/>
      <c r="AP745" s="107"/>
      <c r="AQ745" s="107"/>
      <c r="AR745" s="107"/>
      <c r="AS745" s="107"/>
      <c r="AT745" s="107"/>
      <c r="AU745" s="107"/>
      <c r="AV745" s="107"/>
      <c r="AW745" s="107"/>
      <c r="AX745" s="107"/>
      <c r="AY745" s="107"/>
      <c r="AZ745" s="107"/>
      <c r="BA745" s="107"/>
      <c r="BB745" s="107"/>
      <c r="BC745" s="107"/>
      <c r="BD745" s="107"/>
      <c r="BE745" s="107"/>
      <c r="BF745" s="107"/>
      <c r="BG745" s="107"/>
      <c r="BH745" s="107"/>
      <c r="BI745" s="107"/>
      <c r="BJ745" s="107"/>
      <c r="BK745" s="107"/>
      <c r="BL745" s="107"/>
      <c r="BM745" s="107"/>
      <c r="BN745" s="107"/>
      <c r="BO745" s="65"/>
      <c r="BP745" s="78" t="s">
        <v>1004</v>
      </c>
    </row>
    <row r="746" spans="2:68" ht="12" hidden="1" customHeight="1" outlineLevel="1">
      <c r="B746" s="76">
        <v>34</v>
      </c>
      <c r="C746" s="77" t="s">
        <v>1065</v>
      </c>
      <c r="D746" s="144">
        <f t="shared" si="36"/>
        <v>0</v>
      </c>
      <c r="E746" s="144">
        <f t="shared" si="37"/>
        <v>0</v>
      </c>
      <c r="F746" s="65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  <c r="AJ746" s="107"/>
      <c r="AK746" s="107"/>
      <c r="AL746" s="107"/>
      <c r="AM746" s="107"/>
      <c r="AN746" s="107"/>
      <c r="AO746" s="107"/>
      <c r="AP746" s="107"/>
      <c r="AQ746" s="107"/>
      <c r="AR746" s="107"/>
      <c r="AS746" s="107"/>
      <c r="AT746" s="107"/>
      <c r="AU746" s="107"/>
      <c r="AV746" s="107"/>
      <c r="AW746" s="107"/>
      <c r="AX746" s="107"/>
      <c r="AY746" s="107"/>
      <c r="AZ746" s="107"/>
      <c r="BA746" s="107"/>
      <c r="BB746" s="107"/>
      <c r="BC746" s="107"/>
      <c r="BD746" s="107"/>
      <c r="BE746" s="107"/>
      <c r="BF746" s="107"/>
      <c r="BG746" s="107"/>
      <c r="BH746" s="107"/>
      <c r="BI746" s="107"/>
      <c r="BJ746" s="107"/>
      <c r="BK746" s="107"/>
      <c r="BL746" s="107"/>
      <c r="BM746" s="107"/>
      <c r="BN746" s="107"/>
      <c r="BO746" s="65"/>
      <c r="BP746" s="78" t="s">
        <v>1004</v>
      </c>
    </row>
    <row r="747" spans="2:68" ht="12" hidden="1" customHeight="1" outlineLevel="1">
      <c r="B747" s="76">
        <v>35</v>
      </c>
      <c r="C747" s="77" t="s">
        <v>1066</v>
      </c>
      <c r="D747" s="144">
        <f t="shared" si="36"/>
        <v>0</v>
      </c>
      <c r="E747" s="144">
        <f t="shared" si="37"/>
        <v>0</v>
      </c>
      <c r="F747" s="65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  <c r="AK747" s="107"/>
      <c r="AL747" s="107"/>
      <c r="AM747" s="107"/>
      <c r="AN747" s="107"/>
      <c r="AO747" s="107"/>
      <c r="AP747" s="107"/>
      <c r="AQ747" s="107"/>
      <c r="AR747" s="107"/>
      <c r="AS747" s="107"/>
      <c r="AT747" s="107"/>
      <c r="AU747" s="107"/>
      <c r="AV747" s="107"/>
      <c r="AW747" s="107"/>
      <c r="AX747" s="107"/>
      <c r="AY747" s="107"/>
      <c r="AZ747" s="107"/>
      <c r="BA747" s="107"/>
      <c r="BB747" s="107"/>
      <c r="BC747" s="107"/>
      <c r="BD747" s="107"/>
      <c r="BE747" s="107"/>
      <c r="BF747" s="107"/>
      <c r="BG747" s="107"/>
      <c r="BH747" s="107"/>
      <c r="BI747" s="107"/>
      <c r="BJ747" s="107"/>
      <c r="BK747" s="107"/>
      <c r="BL747" s="107"/>
      <c r="BM747" s="107"/>
      <c r="BN747" s="107"/>
      <c r="BO747" s="65"/>
      <c r="BP747" s="78" t="s">
        <v>1004</v>
      </c>
    </row>
    <row r="748" spans="2:68" ht="12" hidden="1" customHeight="1" outlineLevel="1">
      <c r="B748" s="76">
        <v>36</v>
      </c>
      <c r="C748" s="77" t="s">
        <v>1067</v>
      </c>
      <c r="D748" s="144">
        <f t="shared" si="36"/>
        <v>0</v>
      </c>
      <c r="E748" s="144">
        <f t="shared" si="37"/>
        <v>0</v>
      </c>
      <c r="F748" s="65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  <c r="AJ748" s="107"/>
      <c r="AK748" s="107"/>
      <c r="AL748" s="107"/>
      <c r="AM748" s="107"/>
      <c r="AN748" s="107"/>
      <c r="AO748" s="107"/>
      <c r="AP748" s="107"/>
      <c r="AQ748" s="107"/>
      <c r="AR748" s="107"/>
      <c r="AS748" s="107"/>
      <c r="AT748" s="107"/>
      <c r="AU748" s="107"/>
      <c r="AV748" s="107"/>
      <c r="AW748" s="107"/>
      <c r="AX748" s="107"/>
      <c r="AY748" s="107"/>
      <c r="AZ748" s="107"/>
      <c r="BA748" s="107"/>
      <c r="BB748" s="107"/>
      <c r="BC748" s="107"/>
      <c r="BD748" s="107"/>
      <c r="BE748" s="107"/>
      <c r="BF748" s="107"/>
      <c r="BG748" s="107"/>
      <c r="BH748" s="107"/>
      <c r="BI748" s="107"/>
      <c r="BJ748" s="107"/>
      <c r="BK748" s="107"/>
      <c r="BL748" s="107"/>
      <c r="BM748" s="107"/>
      <c r="BN748" s="107"/>
      <c r="BO748" s="65"/>
      <c r="BP748" s="78" t="s">
        <v>1004</v>
      </c>
    </row>
    <row r="749" spans="2:68" ht="12" hidden="1" customHeight="1" outlineLevel="1">
      <c r="B749" s="76">
        <v>37</v>
      </c>
      <c r="C749" s="77" t="s">
        <v>1068</v>
      </c>
      <c r="D749" s="144">
        <f t="shared" si="36"/>
        <v>0</v>
      </c>
      <c r="E749" s="144">
        <f t="shared" si="37"/>
        <v>0</v>
      </c>
      <c r="F749" s="65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  <c r="AJ749" s="107"/>
      <c r="AK749" s="107"/>
      <c r="AL749" s="107"/>
      <c r="AM749" s="107"/>
      <c r="AN749" s="107"/>
      <c r="AO749" s="107"/>
      <c r="AP749" s="107"/>
      <c r="AQ749" s="107"/>
      <c r="AR749" s="107"/>
      <c r="AS749" s="107"/>
      <c r="AT749" s="107"/>
      <c r="AU749" s="107"/>
      <c r="AV749" s="107"/>
      <c r="AW749" s="107"/>
      <c r="AX749" s="107"/>
      <c r="AY749" s="107"/>
      <c r="AZ749" s="107"/>
      <c r="BA749" s="107"/>
      <c r="BB749" s="107"/>
      <c r="BC749" s="107"/>
      <c r="BD749" s="107"/>
      <c r="BE749" s="107"/>
      <c r="BF749" s="107"/>
      <c r="BG749" s="107"/>
      <c r="BH749" s="107"/>
      <c r="BI749" s="107"/>
      <c r="BJ749" s="107"/>
      <c r="BK749" s="107"/>
      <c r="BL749" s="107"/>
      <c r="BM749" s="107"/>
      <c r="BN749" s="107"/>
      <c r="BO749" s="65"/>
      <c r="BP749" s="78" t="s">
        <v>1004</v>
      </c>
    </row>
    <row r="750" spans="2:68" ht="12" hidden="1" customHeight="1" outlineLevel="1">
      <c r="B750" s="76">
        <v>38</v>
      </c>
      <c r="C750" s="77" t="s">
        <v>1069</v>
      </c>
      <c r="D750" s="144">
        <f t="shared" si="36"/>
        <v>0</v>
      </c>
      <c r="E750" s="144">
        <f t="shared" si="37"/>
        <v>0</v>
      </c>
      <c r="F750" s="65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  <c r="AK750" s="107"/>
      <c r="AL750" s="107"/>
      <c r="AM750" s="107"/>
      <c r="AN750" s="107"/>
      <c r="AO750" s="107"/>
      <c r="AP750" s="107"/>
      <c r="AQ750" s="107"/>
      <c r="AR750" s="107"/>
      <c r="AS750" s="107"/>
      <c r="AT750" s="107"/>
      <c r="AU750" s="107"/>
      <c r="AV750" s="107"/>
      <c r="AW750" s="107"/>
      <c r="AX750" s="107"/>
      <c r="AY750" s="107"/>
      <c r="AZ750" s="107"/>
      <c r="BA750" s="107"/>
      <c r="BB750" s="107"/>
      <c r="BC750" s="107"/>
      <c r="BD750" s="107"/>
      <c r="BE750" s="107"/>
      <c r="BF750" s="107"/>
      <c r="BG750" s="107"/>
      <c r="BH750" s="107"/>
      <c r="BI750" s="107"/>
      <c r="BJ750" s="107"/>
      <c r="BK750" s="107"/>
      <c r="BL750" s="107"/>
      <c r="BM750" s="107"/>
      <c r="BN750" s="107"/>
      <c r="BO750" s="65"/>
      <c r="BP750" s="78" t="s">
        <v>1004</v>
      </c>
    </row>
    <row r="751" spans="2:68" ht="12" hidden="1" customHeight="1" outlineLevel="1">
      <c r="B751" s="76">
        <v>39</v>
      </c>
      <c r="C751" s="77" t="s">
        <v>1070</v>
      </c>
      <c r="D751" s="144">
        <f t="shared" si="36"/>
        <v>0</v>
      </c>
      <c r="E751" s="144">
        <f t="shared" si="37"/>
        <v>0</v>
      </c>
      <c r="F751" s="65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  <c r="AK751" s="107"/>
      <c r="AL751" s="107"/>
      <c r="AM751" s="107"/>
      <c r="AN751" s="107"/>
      <c r="AO751" s="107"/>
      <c r="AP751" s="107"/>
      <c r="AQ751" s="107"/>
      <c r="AR751" s="107"/>
      <c r="AS751" s="107"/>
      <c r="AT751" s="107"/>
      <c r="AU751" s="107"/>
      <c r="AV751" s="107"/>
      <c r="AW751" s="107"/>
      <c r="AX751" s="107"/>
      <c r="AY751" s="107"/>
      <c r="AZ751" s="107"/>
      <c r="BA751" s="107"/>
      <c r="BB751" s="107"/>
      <c r="BC751" s="107"/>
      <c r="BD751" s="107"/>
      <c r="BE751" s="107"/>
      <c r="BF751" s="107"/>
      <c r="BG751" s="107"/>
      <c r="BH751" s="107"/>
      <c r="BI751" s="107"/>
      <c r="BJ751" s="107"/>
      <c r="BK751" s="107"/>
      <c r="BL751" s="107"/>
      <c r="BM751" s="107"/>
      <c r="BN751" s="107"/>
      <c r="BO751" s="65"/>
      <c r="BP751" s="78" t="s">
        <v>1004</v>
      </c>
    </row>
    <row r="752" spans="2:68" ht="12" hidden="1" customHeight="1" outlineLevel="1">
      <c r="B752" s="76">
        <v>40</v>
      </c>
      <c r="C752" s="77" t="s">
        <v>1071</v>
      </c>
      <c r="D752" s="144">
        <f t="shared" si="36"/>
        <v>0</v>
      </c>
      <c r="E752" s="144">
        <f t="shared" si="37"/>
        <v>0</v>
      </c>
      <c r="F752" s="65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  <c r="AJ752" s="107"/>
      <c r="AK752" s="107"/>
      <c r="AL752" s="107"/>
      <c r="AM752" s="107"/>
      <c r="AN752" s="107"/>
      <c r="AO752" s="107"/>
      <c r="AP752" s="107"/>
      <c r="AQ752" s="107"/>
      <c r="AR752" s="107"/>
      <c r="AS752" s="107"/>
      <c r="AT752" s="107"/>
      <c r="AU752" s="107"/>
      <c r="AV752" s="107"/>
      <c r="AW752" s="107"/>
      <c r="AX752" s="107"/>
      <c r="AY752" s="107"/>
      <c r="AZ752" s="107"/>
      <c r="BA752" s="107"/>
      <c r="BB752" s="107"/>
      <c r="BC752" s="107"/>
      <c r="BD752" s="107"/>
      <c r="BE752" s="107"/>
      <c r="BF752" s="107"/>
      <c r="BG752" s="107"/>
      <c r="BH752" s="107"/>
      <c r="BI752" s="107"/>
      <c r="BJ752" s="107"/>
      <c r="BK752" s="107"/>
      <c r="BL752" s="107"/>
      <c r="BM752" s="107"/>
      <c r="BN752" s="107"/>
      <c r="BO752" s="65"/>
      <c r="BP752" s="78" t="s">
        <v>1004</v>
      </c>
    </row>
    <row r="753" spans="2:68" ht="12" hidden="1" customHeight="1" outlineLevel="1">
      <c r="B753" s="76">
        <v>41</v>
      </c>
      <c r="C753" s="77" t="s">
        <v>1072</v>
      </c>
      <c r="D753" s="144">
        <f t="shared" si="36"/>
        <v>0</v>
      </c>
      <c r="E753" s="144">
        <f t="shared" si="37"/>
        <v>0</v>
      </c>
      <c r="F753" s="65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  <c r="AK753" s="107"/>
      <c r="AL753" s="107"/>
      <c r="AM753" s="107"/>
      <c r="AN753" s="107"/>
      <c r="AO753" s="107"/>
      <c r="AP753" s="107"/>
      <c r="AQ753" s="107"/>
      <c r="AR753" s="107"/>
      <c r="AS753" s="107"/>
      <c r="AT753" s="107"/>
      <c r="AU753" s="107"/>
      <c r="AV753" s="107"/>
      <c r="AW753" s="107"/>
      <c r="AX753" s="107"/>
      <c r="AY753" s="107"/>
      <c r="AZ753" s="107"/>
      <c r="BA753" s="107"/>
      <c r="BB753" s="107"/>
      <c r="BC753" s="107"/>
      <c r="BD753" s="107"/>
      <c r="BE753" s="107"/>
      <c r="BF753" s="107"/>
      <c r="BG753" s="107"/>
      <c r="BH753" s="107"/>
      <c r="BI753" s="107"/>
      <c r="BJ753" s="107"/>
      <c r="BK753" s="107"/>
      <c r="BL753" s="107"/>
      <c r="BM753" s="107"/>
      <c r="BN753" s="107"/>
      <c r="BO753" s="65"/>
      <c r="BP753" s="78" t="s">
        <v>1004</v>
      </c>
    </row>
    <row r="754" spans="2:68" ht="12" hidden="1" customHeight="1" outlineLevel="1">
      <c r="B754" s="76">
        <v>42</v>
      </c>
      <c r="C754" s="77" t="s">
        <v>1073</v>
      </c>
      <c r="D754" s="144">
        <f t="shared" si="36"/>
        <v>0</v>
      </c>
      <c r="E754" s="144">
        <f t="shared" si="37"/>
        <v>0</v>
      </c>
      <c r="F754" s="65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  <c r="AJ754" s="107"/>
      <c r="AK754" s="107"/>
      <c r="AL754" s="107"/>
      <c r="AM754" s="107"/>
      <c r="AN754" s="107"/>
      <c r="AO754" s="107"/>
      <c r="AP754" s="107"/>
      <c r="AQ754" s="107"/>
      <c r="AR754" s="107"/>
      <c r="AS754" s="107"/>
      <c r="AT754" s="107"/>
      <c r="AU754" s="107"/>
      <c r="AV754" s="107"/>
      <c r="AW754" s="107"/>
      <c r="AX754" s="107"/>
      <c r="AY754" s="107"/>
      <c r="AZ754" s="107"/>
      <c r="BA754" s="107"/>
      <c r="BB754" s="107"/>
      <c r="BC754" s="107"/>
      <c r="BD754" s="107"/>
      <c r="BE754" s="107"/>
      <c r="BF754" s="107"/>
      <c r="BG754" s="107"/>
      <c r="BH754" s="107"/>
      <c r="BI754" s="107"/>
      <c r="BJ754" s="107"/>
      <c r="BK754" s="107"/>
      <c r="BL754" s="107"/>
      <c r="BM754" s="107"/>
      <c r="BN754" s="107"/>
      <c r="BO754" s="65"/>
      <c r="BP754" s="78" t="s">
        <v>1004</v>
      </c>
    </row>
    <row r="755" spans="2:68" ht="12" hidden="1" customHeight="1" outlineLevel="1">
      <c r="B755" s="76">
        <v>43</v>
      </c>
      <c r="C755" s="77" t="s">
        <v>1074</v>
      </c>
      <c r="D755" s="144">
        <f t="shared" si="36"/>
        <v>0</v>
      </c>
      <c r="E755" s="144">
        <f t="shared" si="37"/>
        <v>0</v>
      </c>
      <c r="F755" s="65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  <c r="AK755" s="107"/>
      <c r="AL755" s="107"/>
      <c r="AM755" s="107"/>
      <c r="AN755" s="107"/>
      <c r="AO755" s="107"/>
      <c r="AP755" s="107"/>
      <c r="AQ755" s="107"/>
      <c r="AR755" s="107"/>
      <c r="AS755" s="107"/>
      <c r="AT755" s="107"/>
      <c r="AU755" s="107"/>
      <c r="AV755" s="107"/>
      <c r="AW755" s="107"/>
      <c r="AX755" s="107"/>
      <c r="AY755" s="107"/>
      <c r="AZ755" s="107"/>
      <c r="BA755" s="107"/>
      <c r="BB755" s="107"/>
      <c r="BC755" s="107"/>
      <c r="BD755" s="107"/>
      <c r="BE755" s="107"/>
      <c r="BF755" s="107"/>
      <c r="BG755" s="107"/>
      <c r="BH755" s="107"/>
      <c r="BI755" s="107"/>
      <c r="BJ755" s="107"/>
      <c r="BK755" s="107"/>
      <c r="BL755" s="107"/>
      <c r="BM755" s="107"/>
      <c r="BN755" s="107"/>
      <c r="BO755" s="65"/>
      <c r="BP755" s="78" t="s">
        <v>1004</v>
      </c>
    </row>
    <row r="756" spans="2:68" ht="12" hidden="1" customHeight="1" outlineLevel="1">
      <c r="B756" s="76">
        <v>44</v>
      </c>
      <c r="C756" s="77" t="s">
        <v>1075</v>
      </c>
      <c r="D756" s="144">
        <f t="shared" ref="D756:D772" si="38">IFERROR(ROUNDUP(SUM(G756:BN756)/COUNTIF(G756:BN756,"&gt;0"),2),0)</f>
        <v>0</v>
      </c>
      <c r="E756" s="144">
        <f t="shared" ref="E756:E772" si="39">COUNTIF(G756:BN756,"&gt;0")</f>
        <v>0</v>
      </c>
      <c r="F756" s="65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  <c r="AK756" s="107"/>
      <c r="AL756" s="107"/>
      <c r="AM756" s="107"/>
      <c r="AN756" s="107"/>
      <c r="AO756" s="107"/>
      <c r="AP756" s="107"/>
      <c r="AQ756" s="107"/>
      <c r="AR756" s="107"/>
      <c r="AS756" s="107"/>
      <c r="AT756" s="107"/>
      <c r="AU756" s="107"/>
      <c r="AV756" s="107"/>
      <c r="AW756" s="107"/>
      <c r="AX756" s="107"/>
      <c r="AY756" s="107"/>
      <c r="AZ756" s="107"/>
      <c r="BA756" s="107"/>
      <c r="BB756" s="107"/>
      <c r="BC756" s="107"/>
      <c r="BD756" s="107"/>
      <c r="BE756" s="107"/>
      <c r="BF756" s="107"/>
      <c r="BG756" s="107"/>
      <c r="BH756" s="107"/>
      <c r="BI756" s="107"/>
      <c r="BJ756" s="107"/>
      <c r="BK756" s="107"/>
      <c r="BL756" s="107"/>
      <c r="BM756" s="107"/>
      <c r="BN756" s="107"/>
      <c r="BO756" s="65"/>
      <c r="BP756" s="78" t="s">
        <v>1004</v>
      </c>
    </row>
    <row r="757" spans="2:68" ht="12" hidden="1" customHeight="1" outlineLevel="1">
      <c r="B757" s="76">
        <v>45</v>
      </c>
      <c r="C757" s="77" t="s">
        <v>1076</v>
      </c>
      <c r="D757" s="144">
        <f t="shared" si="38"/>
        <v>0</v>
      </c>
      <c r="E757" s="144">
        <f t="shared" si="39"/>
        <v>0</v>
      </c>
      <c r="F757" s="65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7"/>
      <c r="AM757" s="107"/>
      <c r="AN757" s="107"/>
      <c r="AO757" s="107"/>
      <c r="AP757" s="107"/>
      <c r="AQ757" s="107"/>
      <c r="AR757" s="107"/>
      <c r="AS757" s="107"/>
      <c r="AT757" s="107"/>
      <c r="AU757" s="107"/>
      <c r="AV757" s="107"/>
      <c r="AW757" s="107"/>
      <c r="AX757" s="107"/>
      <c r="AY757" s="107"/>
      <c r="AZ757" s="107"/>
      <c r="BA757" s="107"/>
      <c r="BB757" s="107"/>
      <c r="BC757" s="107"/>
      <c r="BD757" s="107"/>
      <c r="BE757" s="107"/>
      <c r="BF757" s="107"/>
      <c r="BG757" s="107"/>
      <c r="BH757" s="107"/>
      <c r="BI757" s="107"/>
      <c r="BJ757" s="107"/>
      <c r="BK757" s="107"/>
      <c r="BL757" s="107"/>
      <c r="BM757" s="107"/>
      <c r="BN757" s="107"/>
      <c r="BO757" s="65"/>
      <c r="BP757" s="78" t="s">
        <v>1004</v>
      </c>
    </row>
    <row r="758" spans="2:68" ht="12" hidden="1" customHeight="1" outlineLevel="1">
      <c r="B758" s="76">
        <v>46</v>
      </c>
      <c r="C758" s="77" t="s">
        <v>1077</v>
      </c>
      <c r="D758" s="144">
        <f t="shared" si="38"/>
        <v>0</v>
      </c>
      <c r="E758" s="144">
        <f t="shared" si="39"/>
        <v>0</v>
      </c>
      <c r="F758" s="65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07"/>
      <c r="AM758" s="107"/>
      <c r="AN758" s="107"/>
      <c r="AO758" s="107"/>
      <c r="AP758" s="107"/>
      <c r="AQ758" s="107"/>
      <c r="AR758" s="107"/>
      <c r="AS758" s="107"/>
      <c r="AT758" s="107"/>
      <c r="AU758" s="107"/>
      <c r="AV758" s="107"/>
      <c r="AW758" s="107"/>
      <c r="AX758" s="107"/>
      <c r="AY758" s="107"/>
      <c r="AZ758" s="107"/>
      <c r="BA758" s="107"/>
      <c r="BB758" s="107"/>
      <c r="BC758" s="107"/>
      <c r="BD758" s="107"/>
      <c r="BE758" s="107"/>
      <c r="BF758" s="107"/>
      <c r="BG758" s="107"/>
      <c r="BH758" s="107"/>
      <c r="BI758" s="107"/>
      <c r="BJ758" s="107"/>
      <c r="BK758" s="107"/>
      <c r="BL758" s="107"/>
      <c r="BM758" s="107"/>
      <c r="BN758" s="107"/>
      <c r="BO758" s="65"/>
      <c r="BP758" s="78" t="s">
        <v>1004</v>
      </c>
    </row>
    <row r="759" spans="2:68" ht="12" hidden="1" customHeight="1" outlineLevel="1">
      <c r="B759" s="76">
        <v>47</v>
      </c>
      <c r="C759" s="77" t="s">
        <v>1078</v>
      </c>
      <c r="D759" s="144">
        <f t="shared" si="38"/>
        <v>0</v>
      </c>
      <c r="E759" s="144">
        <f t="shared" si="39"/>
        <v>0</v>
      </c>
      <c r="F759" s="65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  <c r="AJ759" s="107"/>
      <c r="AK759" s="107"/>
      <c r="AL759" s="107"/>
      <c r="AM759" s="107"/>
      <c r="AN759" s="107"/>
      <c r="AO759" s="107"/>
      <c r="AP759" s="107"/>
      <c r="AQ759" s="107"/>
      <c r="AR759" s="107"/>
      <c r="AS759" s="107"/>
      <c r="AT759" s="107"/>
      <c r="AU759" s="107"/>
      <c r="AV759" s="107"/>
      <c r="AW759" s="107"/>
      <c r="AX759" s="107"/>
      <c r="AY759" s="107"/>
      <c r="AZ759" s="107"/>
      <c r="BA759" s="107"/>
      <c r="BB759" s="107"/>
      <c r="BC759" s="107"/>
      <c r="BD759" s="107"/>
      <c r="BE759" s="107"/>
      <c r="BF759" s="107"/>
      <c r="BG759" s="107"/>
      <c r="BH759" s="107"/>
      <c r="BI759" s="107"/>
      <c r="BJ759" s="107"/>
      <c r="BK759" s="107"/>
      <c r="BL759" s="107"/>
      <c r="BM759" s="107"/>
      <c r="BN759" s="107"/>
      <c r="BO759" s="65"/>
      <c r="BP759" s="78" t="s">
        <v>1004</v>
      </c>
    </row>
    <row r="760" spans="2:68" ht="12" hidden="1" customHeight="1" outlineLevel="1">
      <c r="B760" s="76">
        <v>48</v>
      </c>
      <c r="C760" s="77" t="s">
        <v>1079</v>
      </c>
      <c r="D760" s="144">
        <f t="shared" si="38"/>
        <v>0</v>
      </c>
      <c r="E760" s="144">
        <f t="shared" si="39"/>
        <v>0</v>
      </c>
      <c r="F760" s="65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  <c r="AK760" s="107"/>
      <c r="AL760" s="107"/>
      <c r="AM760" s="107"/>
      <c r="AN760" s="107"/>
      <c r="AO760" s="107"/>
      <c r="AP760" s="107"/>
      <c r="AQ760" s="107"/>
      <c r="AR760" s="107"/>
      <c r="AS760" s="107"/>
      <c r="AT760" s="107"/>
      <c r="AU760" s="107"/>
      <c r="AV760" s="107"/>
      <c r="AW760" s="107"/>
      <c r="AX760" s="107"/>
      <c r="AY760" s="107"/>
      <c r="AZ760" s="107"/>
      <c r="BA760" s="107"/>
      <c r="BB760" s="107"/>
      <c r="BC760" s="107"/>
      <c r="BD760" s="107"/>
      <c r="BE760" s="107"/>
      <c r="BF760" s="107"/>
      <c r="BG760" s="107"/>
      <c r="BH760" s="107"/>
      <c r="BI760" s="107"/>
      <c r="BJ760" s="107"/>
      <c r="BK760" s="107"/>
      <c r="BL760" s="107"/>
      <c r="BM760" s="107"/>
      <c r="BN760" s="107"/>
      <c r="BO760" s="65"/>
      <c r="BP760" s="78" t="s">
        <v>1004</v>
      </c>
    </row>
    <row r="761" spans="2:68" ht="12" hidden="1" customHeight="1" outlineLevel="1">
      <c r="B761" s="76">
        <v>49</v>
      </c>
      <c r="C761" s="77" t="s">
        <v>1080</v>
      </c>
      <c r="D761" s="144">
        <f t="shared" si="38"/>
        <v>0</v>
      </c>
      <c r="E761" s="144">
        <f t="shared" si="39"/>
        <v>0</v>
      </c>
      <c r="F761" s="65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  <c r="AJ761" s="107"/>
      <c r="AK761" s="107"/>
      <c r="AL761" s="107"/>
      <c r="AM761" s="107"/>
      <c r="AN761" s="107"/>
      <c r="AO761" s="107"/>
      <c r="AP761" s="107"/>
      <c r="AQ761" s="107"/>
      <c r="AR761" s="107"/>
      <c r="AS761" s="107"/>
      <c r="AT761" s="107"/>
      <c r="AU761" s="107"/>
      <c r="AV761" s="107"/>
      <c r="AW761" s="107"/>
      <c r="AX761" s="107"/>
      <c r="AY761" s="107"/>
      <c r="AZ761" s="107"/>
      <c r="BA761" s="107"/>
      <c r="BB761" s="107"/>
      <c r="BC761" s="107"/>
      <c r="BD761" s="107"/>
      <c r="BE761" s="107"/>
      <c r="BF761" s="107"/>
      <c r="BG761" s="107"/>
      <c r="BH761" s="107"/>
      <c r="BI761" s="107"/>
      <c r="BJ761" s="107"/>
      <c r="BK761" s="107"/>
      <c r="BL761" s="107"/>
      <c r="BM761" s="107"/>
      <c r="BN761" s="107"/>
      <c r="BO761" s="65"/>
      <c r="BP761" s="78" t="s">
        <v>1004</v>
      </c>
    </row>
    <row r="762" spans="2:68" ht="12" hidden="1" customHeight="1" outlineLevel="1">
      <c r="B762" s="76">
        <v>50</v>
      </c>
      <c r="C762" s="77" t="s">
        <v>1081</v>
      </c>
      <c r="D762" s="144">
        <f t="shared" si="38"/>
        <v>0</v>
      </c>
      <c r="E762" s="144">
        <f t="shared" si="39"/>
        <v>0</v>
      </c>
      <c r="F762" s="65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  <c r="AK762" s="107"/>
      <c r="AL762" s="107"/>
      <c r="AM762" s="107"/>
      <c r="AN762" s="107"/>
      <c r="AO762" s="107"/>
      <c r="AP762" s="107"/>
      <c r="AQ762" s="107"/>
      <c r="AR762" s="107"/>
      <c r="AS762" s="107"/>
      <c r="AT762" s="107"/>
      <c r="AU762" s="107"/>
      <c r="AV762" s="107"/>
      <c r="AW762" s="107"/>
      <c r="AX762" s="107"/>
      <c r="AY762" s="107"/>
      <c r="AZ762" s="107"/>
      <c r="BA762" s="107"/>
      <c r="BB762" s="107"/>
      <c r="BC762" s="107"/>
      <c r="BD762" s="107"/>
      <c r="BE762" s="107"/>
      <c r="BF762" s="107"/>
      <c r="BG762" s="107"/>
      <c r="BH762" s="107"/>
      <c r="BI762" s="107"/>
      <c r="BJ762" s="107"/>
      <c r="BK762" s="107"/>
      <c r="BL762" s="107"/>
      <c r="BM762" s="107"/>
      <c r="BN762" s="107"/>
      <c r="BO762" s="65"/>
      <c r="BP762" s="78" t="s">
        <v>1004</v>
      </c>
    </row>
    <row r="763" spans="2:68" ht="12" hidden="1" customHeight="1" outlineLevel="1">
      <c r="B763" s="76">
        <v>51</v>
      </c>
      <c r="C763" s="77" t="s">
        <v>1082</v>
      </c>
      <c r="D763" s="144">
        <f t="shared" si="38"/>
        <v>0</v>
      </c>
      <c r="E763" s="144">
        <f t="shared" si="39"/>
        <v>0</v>
      </c>
      <c r="F763" s="65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  <c r="AQ763" s="107"/>
      <c r="AR763" s="107"/>
      <c r="AS763" s="107"/>
      <c r="AT763" s="107"/>
      <c r="AU763" s="107"/>
      <c r="AV763" s="107"/>
      <c r="AW763" s="107"/>
      <c r="AX763" s="107"/>
      <c r="AY763" s="107"/>
      <c r="AZ763" s="107"/>
      <c r="BA763" s="107"/>
      <c r="BB763" s="107"/>
      <c r="BC763" s="107"/>
      <c r="BD763" s="107"/>
      <c r="BE763" s="107"/>
      <c r="BF763" s="107"/>
      <c r="BG763" s="107"/>
      <c r="BH763" s="107"/>
      <c r="BI763" s="107"/>
      <c r="BJ763" s="107"/>
      <c r="BK763" s="107"/>
      <c r="BL763" s="107"/>
      <c r="BM763" s="107"/>
      <c r="BN763" s="107"/>
      <c r="BO763" s="65"/>
      <c r="BP763" s="78" t="s">
        <v>1004</v>
      </c>
    </row>
    <row r="764" spans="2:68" ht="12" hidden="1" customHeight="1" outlineLevel="1">
      <c r="B764" s="76">
        <v>52</v>
      </c>
      <c r="C764" s="77" t="s">
        <v>1083</v>
      </c>
      <c r="D764" s="144">
        <f t="shared" si="38"/>
        <v>0</v>
      </c>
      <c r="E764" s="144">
        <f t="shared" si="39"/>
        <v>0</v>
      </c>
      <c r="F764" s="65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  <c r="AK764" s="107"/>
      <c r="AL764" s="107"/>
      <c r="AM764" s="107"/>
      <c r="AN764" s="107"/>
      <c r="AO764" s="107"/>
      <c r="AP764" s="107"/>
      <c r="AQ764" s="107"/>
      <c r="AR764" s="107"/>
      <c r="AS764" s="107"/>
      <c r="AT764" s="107"/>
      <c r="AU764" s="107"/>
      <c r="AV764" s="107"/>
      <c r="AW764" s="107"/>
      <c r="AX764" s="107"/>
      <c r="AY764" s="107"/>
      <c r="AZ764" s="107"/>
      <c r="BA764" s="107"/>
      <c r="BB764" s="107"/>
      <c r="BC764" s="107"/>
      <c r="BD764" s="107"/>
      <c r="BE764" s="107"/>
      <c r="BF764" s="107"/>
      <c r="BG764" s="107"/>
      <c r="BH764" s="107"/>
      <c r="BI764" s="107"/>
      <c r="BJ764" s="107"/>
      <c r="BK764" s="107"/>
      <c r="BL764" s="107"/>
      <c r="BM764" s="107"/>
      <c r="BN764" s="107"/>
      <c r="BO764" s="65"/>
      <c r="BP764" s="78" t="s">
        <v>1004</v>
      </c>
    </row>
    <row r="765" spans="2:68" ht="12" hidden="1" customHeight="1" outlineLevel="1">
      <c r="B765" s="76">
        <v>53</v>
      </c>
      <c r="C765" s="77" t="s">
        <v>1084</v>
      </c>
      <c r="D765" s="144">
        <f t="shared" si="38"/>
        <v>0</v>
      </c>
      <c r="E765" s="144">
        <f t="shared" si="39"/>
        <v>0</v>
      </c>
      <c r="F765" s="65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  <c r="AJ765" s="107"/>
      <c r="AK765" s="107"/>
      <c r="AL765" s="107"/>
      <c r="AM765" s="107"/>
      <c r="AN765" s="107"/>
      <c r="AO765" s="107"/>
      <c r="AP765" s="107"/>
      <c r="AQ765" s="107"/>
      <c r="AR765" s="107"/>
      <c r="AS765" s="107"/>
      <c r="AT765" s="107"/>
      <c r="AU765" s="107"/>
      <c r="AV765" s="107"/>
      <c r="AW765" s="107"/>
      <c r="AX765" s="107"/>
      <c r="AY765" s="107"/>
      <c r="AZ765" s="107"/>
      <c r="BA765" s="107"/>
      <c r="BB765" s="107"/>
      <c r="BC765" s="107"/>
      <c r="BD765" s="107"/>
      <c r="BE765" s="107"/>
      <c r="BF765" s="107"/>
      <c r="BG765" s="107"/>
      <c r="BH765" s="107"/>
      <c r="BI765" s="107"/>
      <c r="BJ765" s="107"/>
      <c r="BK765" s="107"/>
      <c r="BL765" s="107"/>
      <c r="BM765" s="107"/>
      <c r="BN765" s="107"/>
      <c r="BO765" s="65"/>
      <c r="BP765" s="78" t="s">
        <v>1004</v>
      </c>
    </row>
    <row r="766" spans="2:68" ht="12" hidden="1" customHeight="1" outlineLevel="1">
      <c r="B766" s="76">
        <v>54</v>
      </c>
      <c r="C766" s="77" t="s">
        <v>1085</v>
      </c>
      <c r="D766" s="144">
        <f t="shared" si="38"/>
        <v>0</v>
      </c>
      <c r="E766" s="144">
        <f t="shared" si="39"/>
        <v>0</v>
      </c>
      <c r="F766" s="65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  <c r="AJ766" s="107"/>
      <c r="AK766" s="107"/>
      <c r="AL766" s="107"/>
      <c r="AM766" s="107"/>
      <c r="AN766" s="107"/>
      <c r="AO766" s="107"/>
      <c r="AP766" s="107"/>
      <c r="AQ766" s="107"/>
      <c r="AR766" s="107"/>
      <c r="AS766" s="107"/>
      <c r="AT766" s="107"/>
      <c r="AU766" s="107"/>
      <c r="AV766" s="107"/>
      <c r="AW766" s="107"/>
      <c r="AX766" s="107"/>
      <c r="AY766" s="107"/>
      <c r="AZ766" s="107"/>
      <c r="BA766" s="107"/>
      <c r="BB766" s="107"/>
      <c r="BC766" s="107"/>
      <c r="BD766" s="107"/>
      <c r="BE766" s="107"/>
      <c r="BF766" s="107"/>
      <c r="BG766" s="107"/>
      <c r="BH766" s="107"/>
      <c r="BI766" s="107"/>
      <c r="BJ766" s="107"/>
      <c r="BK766" s="107"/>
      <c r="BL766" s="107"/>
      <c r="BM766" s="107"/>
      <c r="BN766" s="107"/>
      <c r="BO766" s="65"/>
      <c r="BP766" s="78" t="s">
        <v>1004</v>
      </c>
    </row>
    <row r="767" spans="2:68" ht="12" hidden="1" customHeight="1" outlineLevel="1">
      <c r="B767" s="76">
        <v>55</v>
      </c>
      <c r="C767" s="77" t="s">
        <v>1086</v>
      </c>
      <c r="D767" s="144">
        <f t="shared" si="38"/>
        <v>0</v>
      </c>
      <c r="E767" s="144">
        <f t="shared" si="39"/>
        <v>0</v>
      </c>
      <c r="F767" s="65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  <c r="AK767" s="107"/>
      <c r="AL767" s="107"/>
      <c r="AM767" s="107"/>
      <c r="AN767" s="107"/>
      <c r="AO767" s="107"/>
      <c r="AP767" s="107"/>
      <c r="AQ767" s="107"/>
      <c r="AR767" s="107"/>
      <c r="AS767" s="107"/>
      <c r="AT767" s="107"/>
      <c r="AU767" s="107"/>
      <c r="AV767" s="107"/>
      <c r="AW767" s="107"/>
      <c r="AX767" s="107"/>
      <c r="AY767" s="107"/>
      <c r="AZ767" s="107"/>
      <c r="BA767" s="107"/>
      <c r="BB767" s="107"/>
      <c r="BC767" s="107"/>
      <c r="BD767" s="107"/>
      <c r="BE767" s="107"/>
      <c r="BF767" s="107"/>
      <c r="BG767" s="107"/>
      <c r="BH767" s="107"/>
      <c r="BI767" s="107"/>
      <c r="BJ767" s="107"/>
      <c r="BK767" s="107"/>
      <c r="BL767" s="107"/>
      <c r="BM767" s="107"/>
      <c r="BN767" s="107"/>
      <c r="BO767" s="65"/>
      <c r="BP767" s="78" t="s">
        <v>1004</v>
      </c>
    </row>
    <row r="768" spans="2:68" ht="12" hidden="1" customHeight="1" outlineLevel="1">
      <c r="B768" s="76">
        <v>56</v>
      </c>
      <c r="C768" s="77" t="s">
        <v>1087</v>
      </c>
      <c r="D768" s="144">
        <f t="shared" si="38"/>
        <v>0</v>
      </c>
      <c r="E768" s="144">
        <f t="shared" si="39"/>
        <v>0</v>
      </c>
      <c r="F768" s="65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  <c r="AK768" s="107"/>
      <c r="AL768" s="107"/>
      <c r="AM768" s="107"/>
      <c r="AN768" s="107"/>
      <c r="AO768" s="107"/>
      <c r="AP768" s="107"/>
      <c r="AQ768" s="107"/>
      <c r="AR768" s="107"/>
      <c r="AS768" s="107"/>
      <c r="AT768" s="107"/>
      <c r="AU768" s="107"/>
      <c r="AV768" s="107"/>
      <c r="AW768" s="107"/>
      <c r="AX768" s="107"/>
      <c r="AY768" s="107"/>
      <c r="AZ768" s="107"/>
      <c r="BA768" s="107"/>
      <c r="BB768" s="107"/>
      <c r="BC768" s="107"/>
      <c r="BD768" s="107"/>
      <c r="BE768" s="107"/>
      <c r="BF768" s="107"/>
      <c r="BG768" s="107"/>
      <c r="BH768" s="107"/>
      <c r="BI768" s="107"/>
      <c r="BJ768" s="107"/>
      <c r="BK768" s="107"/>
      <c r="BL768" s="107"/>
      <c r="BM768" s="107"/>
      <c r="BN768" s="107"/>
      <c r="BO768" s="65"/>
      <c r="BP768" s="78" t="s">
        <v>1004</v>
      </c>
    </row>
    <row r="769" spans="2:68" ht="12" hidden="1" customHeight="1" outlineLevel="1">
      <c r="B769" s="76">
        <v>57</v>
      </c>
      <c r="C769" s="77" t="s">
        <v>1088</v>
      </c>
      <c r="D769" s="144">
        <f t="shared" si="38"/>
        <v>0</v>
      </c>
      <c r="E769" s="144">
        <f t="shared" si="39"/>
        <v>0</v>
      </c>
      <c r="F769" s="65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  <c r="AJ769" s="107"/>
      <c r="AK769" s="107"/>
      <c r="AL769" s="107"/>
      <c r="AM769" s="107"/>
      <c r="AN769" s="107"/>
      <c r="AO769" s="107"/>
      <c r="AP769" s="107"/>
      <c r="AQ769" s="107"/>
      <c r="AR769" s="107"/>
      <c r="AS769" s="107"/>
      <c r="AT769" s="107"/>
      <c r="AU769" s="107"/>
      <c r="AV769" s="107"/>
      <c r="AW769" s="107"/>
      <c r="AX769" s="107"/>
      <c r="AY769" s="107"/>
      <c r="AZ769" s="107"/>
      <c r="BA769" s="107"/>
      <c r="BB769" s="107"/>
      <c r="BC769" s="107"/>
      <c r="BD769" s="107"/>
      <c r="BE769" s="107"/>
      <c r="BF769" s="107"/>
      <c r="BG769" s="107"/>
      <c r="BH769" s="107"/>
      <c r="BI769" s="107"/>
      <c r="BJ769" s="107"/>
      <c r="BK769" s="107"/>
      <c r="BL769" s="107"/>
      <c r="BM769" s="107"/>
      <c r="BN769" s="107"/>
      <c r="BO769" s="65"/>
      <c r="BP769" s="78" t="s">
        <v>1004</v>
      </c>
    </row>
    <row r="770" spans="2:68" ht="12" hidden="1" customHeight="1" outlineLevel="1">
      <c r="B770" s="76">
        <v>58</v>
      </c>
      <c r="C770" s="77" t="s">
        <v>1089</v>
      </c>
      <c r="D770" s="144">
        <f t="shared" si="38"/>
        <v>0</v>
      </c>
      <c r="E770" s="144">
        <f t="shared" si="39"/>
        <v>0</v>
      </c>
      <c r="F770" s="65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07"/>
      <c r="AK770" s="107"/>
      <c r="AL770" s="107"/>
      <c r="AM770" s="107"/>
      <c r="AN770" s="107"/>
      <c r="AO770" s="107"/>
      <c r="AP770" s="107"/>
      <c r="AQ770" s="107"/>
      <c r="AR770" s="107"/>
      <c r="AS770" s="107"/>
      <c r="AT770" s="107"/>
      <c r="AU770" s="107"/>
      <c r="AV770" s="107"/>
      <c r="AW770" s="107"/>
      <c r="AX770" s="107"/>
      <c r="AY770" s="107"/>
      <c r="AZ770" s="107"/>
      <c r="BA770" s="107"/>
      <c r="BB770" s="107"/>
      <c r="BC770" s="107"/>
      <c r="BD770" s="107"/>
      <c r="BE770" s="107"/>
      <c r="BF770" s="107"/>
      <c r="BG770" s="107"/>
      <c r="BH770" s="107"/>
      <c r="BI770" s="107"/>
      <c r="BJ770" s="107"/>
      <c r="BK770" s="107"/>
      <c r="BL770" s="107"/>
      <c r="BM770" s="107"/>
      <c r="BN770" s="107"/>
      <c r="BO770" s="65"/>
      <c r="BP770" s="78" t="s">
        <v>1004</v>
      </c>
    </row>
    <row r="771" spans="2:68" ht="12" hidden="1" customHeight="1" outlineLevel="1">
      <c r="B771" s="76">
        <v>59</v>
      </c>
      <c r="C771" s="77"/>
      <c r="D771" s="144">
        <f t="shared" si="38"/>
        <v>0</v>
      </c>
      <c r="E771" s="144">
        <f t="shared" si="39"/>
        <v>0</v>
      </c>
      <c r="F771" s="65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  <c r="AK771" s="107"/>
      <c r="AL771" s="107"/>
      <c r="AM771" s="107"/>
      <c r="AN771" s="107"/>
      <c r="AO771" s="107"/>
      <c r="AP771" s="107"/>
      <c r="AQ771" s="107"/>
      <c r="AR771" s="107"/>
      <c r="AS771" s="107"/>
      <c r="AT771" s="107"/>
      <c r="AU771" s="107"/>
      <c r="AV771" s="107"/>
      <c r="AW771" s="107"/>
      <c r="AX771" s="107"/>
      <c r="AY771" s="107"/>
      <c r="AZ771" s="107"/>
      <c r="BA771" s="107"/>
      <c r="BB771" s="107"/>
      <c r="BC771" s="107"/>
      <c r="BD771" s="107"/>
      <c r="BE771" s="107"/>
      <c r="BF771" s="107"/>
      <c r="BG771" s="107"/>
      <c r="BH771" s="107"/>
      <c r="BI771" s="107"/>
      <c r="BJ771" s="107"/>
      <c r="BK771" s="107"/>
      <c r="BL771" s="107"/>
      <c r="BM771" s="107"/>
      <c r="BN771" s="107"/>
      <c r="BO771" s="65"/>
      <c r="BP771" s="78" t="s">
        <v>1004</v>
      </c>
    </row>
    <row r="772" spans="2:68" ht="12" hidden="1" customHeight="1" outlineLevel="1">
      <c r="B772" s="76">
        <v>60</v>
      </c>
      <c r="C772" s="77"/>
      <c r="D772" s="144">
        <f t="shared" si="38"/>
        <v>0</v>
      </c>
      <c r="E772" s="144">
        <f t="shared" si="39"/>
        <v>0</v>
      </c>
      <c r="F772" s="65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  <c r="AJ772" s="107"/>
      <c r="AK772" s="107"/>
      <c r="AL772" s="107"/>
      <c r="AM772" s="107"/>
      <c r="AN772" s="107"/>
      <c r="AO772" s="107"/>
      <c r="AP772" s="107"/>
      <c r="AQ772" s="107"/>
      <c r="AR772" s="107"/>
      <c r="AS772" s="107"/>
      <c r="AT772" s="107"/>
      <c r="AU772" s="107"/>
      <c r="AV772" s="107"/>
      <c r="AW772" s="107"/>
      <c r="AX772" s="107"/>
      <c r="AY772" s="107"/>
      <c r="AZ772" s="107"/>
      <c r="BA772" s="107"/>
      <c r="BB772" s="107"/>
      <c r="BC772" s="107"/>
      <c r="BD772" s="107"/>
      <c r="BE772" s="107"/>
      <c r="BF772" s="107"/>
      <c r="BG772" s="107"/>
      <c r="BH772" s="107"/>
      <c r="BI772" s="107"/>
      <c r="BJ772" s="107"/>
      <c r="BK772" s="107"/>
      <c r="BL772" s="107"/>
      <c r="BM772" s="107"/>
      <c r="BN772" s="107"/>
      <c r="BO772" s="65"/>
      <c r="BP772" s="78" t="s">
        <v>1004</v>
      </c>
    </row>
    <row r="773" spans="2:68" ht="24" customHeight="1">
      <c r="B773" s="614" t="s">
        <v>380</v>
      </c>
      <c r="C773" s="614"/>
      <c r="D773" s="146">
        <f>SUM(D713:D772)</f>
        <v>0</v>
      </c>
      <c r="E773" s="65"/>
      <c r="F773" s="65"/>
      <c r="G773" s="146">
        <f t="shared" ref="G773:AL773" si="40">SUM(G713:G772)</f>
        <v>0</v>
      </c>
      <c r="H773" s="146">
        <f t="shared" si="40"/>
        <v>0</v>
      </c>
      <c r="I773" s="146">
        <f t="shared" si="40"/>
        <v>0</v>
      </c>
      <c r="J773" s="146">
        <f t="shared" si="40"/>
        <v>0</v>
      </c>
      <c r="K773" s="146">
        <f t="shared" si="40"/>
        <v>0</v>
      </c>
      <c r="L773" s="146">
        <f t="shared" si="40"/>
        <v>0</v>
      </c>
      <c r="M773" s="146">
        <f t="shared" si="40"/>
        <v>0</v>
      </c>
      <c r="N773" s="146">
        <f t="shared" si="40"/>
        <v>0</v>
      </c>
      <c r="O773" s="146">
        <f t="shared" si="40"/>
        <v>0</v>
      </c>
      <c r="P773" s="146">
        <f t="shared" si="40"/>
        <v>0</v>
      </c>
      <c r="Q773" s="146">
        <f t="shared" si="40"/>
        <v>0</v>
      </c>
      <c r="R773" s="146">
        <f t="shared" si="40"/>
        <v>0</v>
      </c>
      <c r="S773" s="146">
        <f t="shared" si="40"/>
        <v>0</v>
      </c>
      <c r="T773" s="146">
        <f t="shared" si="40"/>
        <v>0</v>
      </c>
      <c r="U773" s="146">
        <f t="shared" si="40"/>
        <v>0</v>
      </c>
      <c r="V773" s="146">
        <f t="shared" si="40"/>
        <v>0</v>
      </c>
      <c r="W773" s="146">
        <f t="shared" si="40"/>
        <v>0</v>
      </c>
      <c r="X773" s="146">
        <f t="shared" si="40"/>
        <v>0</v>
      </c>
      <c r="Y773" s="146">
        <f t="shared" si="40"/>
        <v>0</v>
      </c>
      <c r="Z773" s="146">
        <f t="shared" si="40"/>
        <v>0</v>
      </c>
      <c r="AA773" s="146">
        <f t="shared" si="40"/>
        <v>0</v>
      </c>
      <c r="AB773" s="146">
        <f t="shared" si="40"/>
        <v>0</v>
      </c>
      <c r="AC773" s="146">
        <f t="shared" si="40"/>
        <v>0</v>
      </c>
      <c r="AD773" s="146">
        <f t="shared" si="40"/>
        <v>0</v>
      </c>
      <c r="AE773" s="146">
        <f t="shared" si="40"/>
        <v>0</v>
      </c>
      <c r="AF773" s="146">
        <f t="shared" si="40"/>
        <v>0</v>
      </c>
      <c r="AG773" s="146">
        <f t="shared" si="40"/>
        <v>0</v>
      </c>
      <c r="AH773" s="146">
        <f t="shared" si="40"/>
        <v>0</v>
      </c>
      <c r="AI773" s="146">
        <f t="shared" si="40"/>
        <v>0</v>
      </c>
      <c r="AJ773" s="146">
        <f t="shared" si="40"/>
        <v>0</v>
      </c>
      <c r="AK773" s="146">
        <f t="shared" si="40"/>
        <v>0</v>
      </c>
      <c r="AL773" s="146">
        <f t="shared" si="40"/>
        <v>0</v>
      </c>
      <c r="AM773" s="146">
        <f t="shared" ref="AM773:BN773" si="41">SUM(AM713:AM772)</f>
        <v>0</v>
      </c>
      <c r="AN773" s="146">
        <f t="shared" si="41"/>
        <v>0</v>
      </c>
      <c r="AO773" s="146">
        <f t="shared" si="41"/>
        <v>0</v>
      </c>
      <c r="AP773" s="146">
        <f t="shared" si="41"/>
        <v>0</v>
      </c>
      <c r="AQ773" s="146">
        <f t="shared" si="41"/>
        <v>0</v>
      </c>
      <c r="AR773" s="146">
        <f t="shared" si="41"/>
        <v>0</v>
      </c>
      <c r="AS773" s="146">
        <f t="shared" si="41"/>
        <v>0</v>
      </c>
      <c r="AT773" s="146">
        <f t="shared" si="41"/>
        <v>0</v>
      </c>
      <c r="AU773" s="146">
        <f t="shared" si="41"/>
        <v>0</v>
      </c>
      <c r="AV773" s="146">
        <f t="shared" si="41"/>
        <v>0</v>
      </c>
      <c r="AW773" s="146">
        <f t="shared" si="41"/>
        <v>0</v>
      </c>
      <c r="AX773" s="146">
        <f t="shared" si="41"/>
        <v>0</v>
      </c>
      <c r="AY773" s="146">
        <f t="shared" si="41"/>
        <v>0</v>
      </c>
      <c r="AZ773" s="146">
        <f t="shared" si="41"/>
        <v>0</v>
      </c>
      <c r="BA773" s="146">
        <f t="shared" si="41"/>
        <v>0</v>
      </c>
      <c r="BB773" s="146">
        <f t="shared" si="41"/>
        <v>0</v>
      </c>
      <c r="BC773" s="146">
        <f t="shared" si="41"/>
        <v>0</v>
      </c>
      <c r="BD773" s="146">
        <f t="shared" si="41"/>
        <v>0</v>
      </c>
      <c r="BE773" s="146">
        <f t="shared" si="41"/>
        <v>0</v>
      </c>
      <c r="BF773" s="146">
        <f t="shared" si="41"/>
        <v>0</v>
      </c>
      <c r="BG773" s="146">
        <f t="shared" si="41"/>
        <v>0</v>
      </c>
      <c r="BH773" s="146">
        <f t="shared" si="41"/>
        <v>0</v>
      </c>
      <c r="BI773" s="146">
        <f t="shared" si="41"/>
        <v>0</v>
      </c>
      <c r="BJ773" s="146">
        <f t="shared" si="41"/>
        <v>0</v>
      </c>
      <c r="BK773" s="146">
        <f t="shared" si="41"/>
        <v>0</v>
      </c>
      <c r="BL773" s="146">
        <f t="shared" si="41"/>
        <v>0</v>
      </c>
      <c r="BM773" s="146">
        <f t="shared" si="41"/>
        <v>0</v>
      </c>
      <c r="BN773" s="146">
        <f t="shared" si="41"/>
        <v>0</v>
      </c>
      <c r="BO773" s="65"/>
      <c r="BP773" s="65"/>
    </row>
  </sheetData>
  <mergeCells count="20">
    <mergeCell ref="B457:E457"/>
    <mergeCell ref="B2:E3"/>
    <mergeCell ref="B5:E5"/>
    <mergeCell ref="BP640:BP641"/>
    <mergeCell ref="B711:E711"/>
    <mergeCell ref="BP711:BP712"/>
    <mergeCell ref="B773:C773"/>
    <mergeCell ref="BP459:BP460"/>
    <mergeCell ref="B636:C636"/>
    <mergeCell ref="B459:E459"/>
    <mergeCell ref="BP688:BP689"/>
    <mergeCell ref="B697:C697"/>
    <mergeCell ref="B705:C705"/>
    <mergeCell ref="B707:C707"/>
    <mergeCell ref="BP667:BP668"/>
    <mergeCell ref="B640:E640"/>
    <mergeCell ref="B663:C663"/>
    <mergeCell ref="B667:E667"/>
    <mergeCell ref="B688:E688"/>
    <mergeCell ref="B684:C684"/>
  </mergeCells>
  <pageMargins left="0.511811024" right="0.511811024" top="0.78740157499999996" bottom="0.78740157499999996" header="0.31496062000000002" footer="0.31496062000000002"/>
  <ignoredErrors>
    <ignoredError sqref="G636:BN636 AP663:BM663 AP684:BM684 BN697 G697:BM697 G705:BN705 G773:BN77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88AC-A9C4-44A0-A09A-4CA395B34D99}">
  <sheetPr codeName="Planilha6">
    <outlinePr summaryBelow="0" summaryRight="0"/>
  </sheetPr>
  <dimension ref="B2:BE589"/>
  <sheetViews>
    <sheetView topLeftCell="A29" zoomScale="115" zoomScaleNormal="115" workbookViewId="0">
      <pane xSplit="5" topLeftCell="F1" activePane="topRight" state="frozen"/>
      <selection pane="topRight" activeCell="K120" sqref="K120"/>
    </sheetView>
  </sheetViews>
  <sheetFormatPr defaultColWidth="8.85546875" defaultRowHeight="12" customHeight="1" outlineLevelRow="1" outlineLevelCol="1"/>
  <cols>
    <col min="1" max="1" width="0.85546875" style="65" customWidth="1"/>
    <col min="2" max="2" width="10.85546875" style="65" customWidth="1"/>
    <col min="3" max="3" width="0.85546875" style="65" customWidth="1"/>
    <col min="4" max="4" width="12.85546875" style="65" customWidth="1"/>
    <col min="5" max="5" width="30.85546875" style="65" customWidth="1"/>
    <col min="6" max="6" width="0.85546875" style="65" customWidth="1"/>
    <col min="7" max="7" width="4.85546875" style="65" customWidth="1"/>
    <col min="8" max="9" width="12.85546875" style="65" customWidth="1" outlineLevel="1"/>
    <col min="10" max="11" width="13.42578125" style="65" bestFit="1" customWidth="1" outlineLevel="1"/>
    <col min="12" max="13" width="20.85546875" style="65" customWidth="1" outlineLevel="1"/>
    <col min="14" max="14" width="0.85546875" style="65" customWidth="1"/>
    <col min="15" max="15" width="4.85546875" style="65" customWidth="1"/>
    <col min="16" max="19" width="10.85546875" style="92" customWidth="1" outlineLevel="1"/>
    <col min="20" max="20" width="0.85546875" style="92" customWidth="1" outlineLevel="1"/>
    <col min="21" max="24" width="10.85546875" style="92" customWidth="1" outlineLevel="1"/>
    <col min="25" max="25" width="0.85546875" style="92" customWidth="1"/>
    <col min="26" max="26" width="4.85546875" style="92" customWidth="1"/>
    <col min="27" max="30" width="10.85546875" style="92" customWidth="1" outlineLevel="1"/>
    <col min="31" max="31" width="0.85546875" style="92" customWidth="1" outlineLevel="1"/>
    <col min="32" max="35" width="10.85546875" style="92" customWidth="1" outlineLevel="1"/>
    <col min="36" max="36" width="0.85546875" style="92" customWidth="1"/>
    <col min="37" max="37" width="4.85546875" style="92" customWidth="1"/>
    <col min="38" max="41" width="10.85546875" style="92" customWidth="1" outlineLevel="1"/>
    <col min="42" max="42" width="0.85546875" style="92" customWidth="1" outlineLevel="1"/>
    <col min="43" max="46" width="10.85546875" style="92" customWidth="1" outlineLevel="1"/>
    <col min="47" max="47" width="0.85546875" style="65" customWidth="1"/>
    <col min="48" max="48" width="4.85546875" style="65" customWidth="1"/>
    <col min="49" max="56" width="10.85546875" style="65" customWidth="1" outlineLevel="1"/>
    <col min="57" max="57" width="14.85546875" style="65" customWidth="1" outlineLevel="1"/>
    <col min="58" max="16384" width="8.85546875" style="65"/>
  </cols>
  <sheetData>
    <row r="2" spans="4:39" ht="12" customHeight="1">
      <c r="D2" s="170" t="s">
        <v>11</v>
      </c>
      <c r="E2" s="171"/>
      <c r="P2" s="630" t="s">
        <v>1090</v>
      </c>
      <c r="AA2" s="630" t="s">
        <v>1090</v>
      </c>
      <c r="AB2" s="630" t="s">
        <v>1091</v>
      </c>
      <c r="AL2" s="630" t="s">
        <v>1090</v>
      </c>
      <c r="AM2" s="630" t="s">
        <v>1091</v>
      </c>
    </row>
    <row r="3" spans="4:39" ht="12" customHeight="1">
      <c r="D3" s="172" t="s">
        <v>11</v>
      </c>
      <c r="E3" s="173"/>
      <c r="P3" s="630"/>
      <c r="AA3" s="630"/>
      <c r="AB3" s="630"/>
      <c r="AL3" s="630"/>
      <c r="AM3" s="630"/>
    </row>
    <row r="4" spans="4:39" ht="12" customHeight="1">
      <c r="D4" s="172" t="s">
        <v>15</v>
      </c>
      <c r="E4" s="173"/>
      <c r="P4" s="630"/>
      <c r="AA4" s="630"/>
      <c r="AB4" s="630"/>
      <c r="AL4" s="630"/>
      <c r="AM4" s="630"/>
    </row>
    <row r="5" spans="4:39" ht="12" customHeight="1">
      <c r="D5" s="172" t="s">
        <v>1092</v>
      </c>
      <c r="E5" s="173"/>
      <c r="P5" s="630"/>
      <c r="AA5" s="630"/>
      <c r="AB5" s="630"/>
      <c r="AL5" s="630"/>
      <c r="AM5" s="630"/>
    </row>
    <row r="6" spans="4:39" ht="12" customHeight="1">
      <c r="D6" s="172" t="s">
        <v>1093</v>
      </c>
      <c r="E6" s="173"/>
      <c r="P6" s="109">
        <f>IFERROR(ROUND(Dashboard!L8/Dashboard!$AA$16,2),0)</f>
        <v>0</v>
      </c>
      <c r="AA6" s="109">
        <f t="shared" ref="AA6:AA25" si="0">IF(AB6="Sim",$P6,0)</f>
        <v>0</v>
      </c>
      <c r="AB6" s="110" t="s">
        <v>1094</v>
      </c>
      <c r="AL6" s="109">
        <f t="shared" ref="AL6:AL25" si="1">IF(AM6="Sim",$P6,0)</f>
        <v>0</v>
      </c>
      <c r="AM6" s="110" t="s">
        <v>1094</v>
      </c>
    </row>
    <row r="7" spans="4:39" ht="12" customHeight="1">
      <c r="D7" s="172" t="s">
        <v>36</v>
      </c>
      <c r="E7" s="173"/>
      <c r="P7" s="109">
        <f>IFERROR(ROUND(Dashboard!L9/Dashboard!$AA$16,2),0)</f>
        <v>0</v>
      </c>
      <c r="AA7" s="109">
        <f t="shared" si="0"/>
        <v>0</v>
      </c>
      <c r="AB7" s="110" t="s">
        <v>1094</v>
      </c>
      <c r="AL7" s="109">
        <f t="shared" si="1"/>
        <v>0</v>
      </c>
      <c r="AM7" s="110" t="s">
        <v>1094</v>
      </c>
    </row>
    <row r="8" spans="4:39" ht="12" customHeight="1">
      <c r="D8" s="172" t="s">
        <v>1095</v>
      </c>
      <c r="E8" s="173"/>
      <c r="P8" s="109">
        <f>IFERROR(ROUND(Dashboard!L10/Dashboard!$AA$16,2),0)</f>
        <v>0</v>
      </c>
      <c r="AA8" s="109">
        <f t="shared" si="0"/>
        <v>0</v>
      </c>
      <c r="AB8" s="110" t="s">
        <v>1096</v>
      </c>
      <c r="AL8" s="109">
        <f t="shared" si="1"/>
        <v>0</v>
      </c>
      <c r="AM8" s="110" t="s">
        <v>1096</v>
      </c>
    </row>
    <row r="9" spans="4:39" ht="12" customHeight="1">
      <c r="D9" s="172" t="s">
        <v>41</v>
      </c>
      <c r="E9" s="173"/>
      <c r="P9" s="109">
        <f>IFERROR(ROUND(Dashboard!L11/Dashboard!$AA$16,2),0)</f>
        <v>7.39</v>
      </c>
      <c r="AA9" s="109">
        <f t="shared" si="0"/>
        <v>7.39</v>
      </c>
      <c r="AB9" s="110" t="s">
        <v>1094</v>
      </c>
      <c r="AL9" s="109">
        <f t="shared" si="1"/>
        <v>7.39</v>
      </c>
      <c r="AM9" s="110" t="s">
        <v>1094</v>
      </c>
    </row>
    <row r="10" spans="4:39" ht="12" customHeight="1">
      <c r="D10" s="172" t="s">
        <v>42</v>
      </c>
      <c r="E10" s="173"/>
      <c r="P10" s="109">
        <f>IFERROR(ROUND(Dashboard!L12/Dashboard!$AA$16,2),0)</f>
        <v>0.46</v>
      </c>
      <c r="AA10" s="109">
        <f t="shared" si="0"/>
        <v>0.46</v>
      </c>
      <c r="AB10" s="110" t="s">
        <v>1094</v>
      </c>
      <c r="AL10" s="109">
        <f t="shared" si="1"/>
        <v>0.46</v>
      </c>
      <c r="AM10" s="110" t="s">
        <v>1094</v>
      </c>
    </row>
    <row r="11" spans="4:39" ht="12" customHeight="1">
      <c r="D11" s="172" t="s">
        <v>48</v>
      </c>
      <c r="E11" s="173"/>
      <c r="P11" s="109">
        <f>IFERROR(ROUND(Dashboard!L13/Dashboard!$AA$16,2),0)</f>
        <v>1.67</v>
      </c>
      <c r="AA11" s="109">
        <f t="shared" si="0"/>
        <v>1.67</v>
      </c>
      <c r="AB11" s="110" t="s">
        <v>1094</v>
      </c>
      <c r="AL11" s="109">
        <f t="shared" si="1"/>
        <v>1.67</v>
      </c>
      <c r="AM11" s="110" t="s">
        <v>1094</v>
      </c>
    </row>
    <row r="12" spans="4:39" ht="12" customHeight="1">
      <c r="D12" s="172" t="s">
        <v>51</v>
      </c>
      <c r="E12" s="173"/>
      <c r="P12" s="109">
        <f>IFERROR(ROUND(Dashboard!L14/Dashboard!$AA$16,2),0)</f>
        <v>0.28999999999999998</v>
      </c>
      <c r="AA12" s="109">
        <f t="shared" si="0"/>
        <v>0</v>
      </c>
      <c r="AB12" s="110" t="s">
        <v>1096</v>
      </c>
      <c r="AL12" s="109">
        <f t="shared" si="1"/>
        <v>0.28999999999999998</v>
      </c>
      <c r="AM12" s="110" t="s">
        <v>1094</v>
      </c>
    </row>
    <row r="13" spans="4:39" ht="12" customHeight="1">
      <c r="D13" s="172" t="s">
        <v>55</v>
      </c>
      <c r="E13" s="173"/>
      <c r="P13" s="109">
        <f>IFERROR(ROUND(Dashboard!L15/Dashboard!$AA$16,2),0)</f>
        <v>0</v>
      </c>
      <c r="AA13" s="109">
        <f t="shared" si="0"/>
        <v>0</v>
      </c>
      <c r="AB13" s="110" t="s">
        <v>1094</v>
      </c>
      <c r="AL13" s="109">
        <f t="shared" si="1"/>
        <v>0</v>
      </c>
      <c r="AM13" s="110" t="s">
        <v>1094</v>
      </c>
    </row>
    <row r="14" spans="4:39" ht="12" customHeight="1">
      <c r="D14" s="172" t="s">
        <v>58</v>
      </c>
      <c r="E14" s="173"/>
      <c r="P14" s="109">
        <f>IFERROR(ROUND(Dashboard!L16/Dashboard!$AA$16,2),0)</f>
        <v>10.29</v>
      </c>
      <c r="AA14" s="109">
        <f t="shared" si="0"/>
        <v>0</v>
      </c>
      <c r="AB14" s="110" t="s">
        <v>1096</v>
      </c>
      <c r="AL14" s="109">
        <f t="shared" si="1"/>
        <v>10.29</v>
      </c>
      <c r="AM14" s="110" t="s">
        <v>1094</v>
      </c>
    </row>
    <row r="15" spans="4:39" ht="12" customHeight="1">
      <c r="D15" s="172" t="s">
        <v>62</v>
      </c>
      <c r="E15" s="173"/>
      <c r="P15" s="109">
        <f>IFERROR(ROUND(Dashboard!L17/Dashboard!$AA$16,2),0)</f>
        <v>0.24</v>
      </c>
      <c r="AA15" s="109">
        <f t="shared" si="0"/>
        <v>0.24</v>
      </c>
      <c r="AB15" s="110" t="s">
        <v>1094</v>
      </c>
      <c r="AL15" s="109">
        <f t="shared" si="1"/>
        <v>0.24</v>
      </c>
      <c r="AM15" s="110" t="s">
        <v>1094</v>
      </c>
    </row>
    <row r="16" spans="4:39" ht="12" customHeight="1">
      <c r="D16" s="172" t="s">
        <v>63</v>
      </c>
      <c r="E16" s="173"/>
      <c r="P16" s="109">
        <f>IFERROR(ROUND(Dashboard!L18/Dashboard!$AA$16,2),0)</f>
        <v>4.7300000000000004</v>
      </c>
      <c r="AA16" s="109">
        <f t="shared" si="0"/>
        <v>0</v>
      </c>
      <c r="AB16" s="110" t="s">
        <v>1096</v>
      </c>
      <c r="AL16" s="109">
        <f t="shared" si="1"/>
        <v>4.7300000000000004</v>
      </c>
      <c r="AM16" s="110" t="s">
        <v>1094</v>
      </c>
    </row>
    <row r="17" spans="2:57" ht="12" customHeight="1">
      <c r="D17" s="172" t="s">
        <v>69</v>
      </c>
      <c r="E17" s="173"/>
      <c r="P17" s="109">
        <f>IFERROR(ROUND(Dashboard!L19/Dashboard!$AA$16,2),0)</f>
        <v>0</v>
      </c>
      <c r="AA17" s="109">
        <f t="shared" si="0"/>
        <v>0</v>
      </c>
      <c r="AB17" s="110" t="s">
        <v>1096</v>
      </c>
      <c r="AL17" s="109">
        <f t="shared" si="1"/>
        <v>0</v>
      </c>
      <c r="AM17" s="110" t="s">
        <v>1094</v>
      </c>
    </row>
    <row r="18" spans="2:57" ht="12" customHeight="1">
      <c r="D18" s="172" t="s">
        <v>72</v>
      </c>
      <c r="E18" s="173"/>
      <c r="P18" s="109">
        <f>IFERROR(ROUND(Dashboard!L20/Dashboard!$AA$16,2),0)</f>
        <v>0</v>
      </c>
      <c r="AA18" s="109">
        <f t="shared" si="0"/>
        <v>0</v>
      </c>
      <c r="AB18" s="110" t="s">
        <v>1096</v>
      </c>
      <c r="AL18" s="109">
        <f t="shared" si="1"/>
        <v>0</v>
      </c>
      <c r="AM18" s="110" t="s">
        <v>1094</v>
      </c>
    </row>
    <row r="19" spans="2:57" ht="12" customHeight="1">
      <c r="D19" s="172" t="s">
        <v>75</v>
      </c>
      <c r="E19" s="173"/>
      <c r="P19" s="109">
        <f>IFERROR(ROUND(Dashboard!L21/Dashboard!$AA$16,2),0)</f>
        <v>0</v>
      </c>
      <c r="AA19" s="109">
        <f t="shared" si="0"/>
        <v>0</v>
      </c>
      <c r="AB19" s="110" t="s">
        <v>1094</v>
      </c>
      <c r="AL19" s="109">
        <f t="shared" si="1"/>
        <v>0</v>
      </c>
      <c r="AM19" s="110" t="s">
        <v>1094</v>
      </c>
    </row>
    <row r="20" spans="2:57" ht="12" customHeight="1">
      <c r="D20" s="172" t="s">
        <v>77</v>
      </c>
      <c r="E20" s="173"/>
      <c r="P20" s="109">
        <f>IFERROR(ROUND(Dashboard!L22/Dashboard!$AA$16,2),0)</f>
        <v>0</v>
      </c>
      <c r="AA20" s="109">
        <f t="shared" si="0"/>
        <v>0</v>
      </c>
      <c r="AB20" s="110" t="s">
        <v>1094</v>
      </c>
      <c r="AL20" s="109">
        <f t="shared" si="1"/>
        <v>0</v>
      </c>
      <c r="AM20" s="110" t="s">
        <v>1094</v>
      </c>
    </row>
    <row r="21" spans="2:57" ht="12" customHeight="1">
      <c r="D21" s="172" t="s">
        <v>81</v>
      </c>
      <c r="E21" s="173"/>
      <c r="P21" s="109">
        <f>IFERROR(ROUND(Dashboard!L23/Dashboard!$AA$16,2),0)</f>
        <v>0.46</v>
      </c>
      <c r="AA21" s="109">
        <f t="shared" si="0"/>
        <v>0</v>
      </c>
      <c r="AB21" s="110" t="s">
        <v>1096</v>
      </c>
      <c r="AL21" s="109">
        <f t="shared" si="1"/>
        <v>0.46</v>
      </c>
      <c r="AM21" s="110" t="s">
        <v>1094</v>
      </c>
    </row>
    <row r="22" spans="2:57" ht="12" customHeight="1">
      <c r="D22" s="172" t="s">
        <v>85</v>
      </c>
      <c r="E22" s="173"/>
      <c r="P22" s="109">
        <f>IFERROR(ROUND(Dashboard!L24/Dashboard!$AA$16,2),0)</f>
        <v>0</v>
      </c>
      <c r="AA22" s="109">
        <f t="shared" si="0"/>
        <v>0</v>
      </c>
      <c r="AB22" s="110" t="s">
        <v>1096</v>
      </c>
      <c r="AL22" s="109">
        <f t="shared" si="1"/>
        <v>0</v>
      </c>
      <c r="AM22" s="110" t="s">
        <v>1094</v>
      </c>
    </row>
    <row r="23" spans="2:57" ht="12" customHeight="1">
      <c r="D23" s="172" t="s">
        <v>87</v>
      </c>
      <c r="E23" s="173"/>
      <c r="P23" s="109">
        <f>IFERROR(ROUND(Dashboard!L25/Dashboard!$AA$16,2),0)</f>
        <v>0.1</v>
      </c>
      <c r="AA23" s="109">
        <f t="shared" si="0"/>
        <v>0</v>
      </c>
      <c r="AB23" s="110" t="s">
        <v>1096</v>
      </c>
      <c r="AL23" s="109">
        <f t="shared" si="1"/>
        <v>0.1</v>
      </c>
      <c r="AM23" s="110" t="s">
        <v>1094</v>
      </c>
    </row>
    <row r="24" spans="2:57" ht="12" customHeight="1">
      <c r="D24" s="172" t="s">
        <v>91</v>
      </c>
      <c r="E24" s="173"/>
      <c r="P24" s="109">
        <f>IFERROR(ROUND(Dashboard!L26/Dashboard!$AA$16,2),0)</f>
        <v>0</v>
      </c>
      <c r="AA24" s="109">
        <f t="shared" si="0"/>
        <v>0</v>
      </c>
      <c r="AB24" s="110" t="s">
        <v>1094</v>
      </c>
      <c r="AL24" s="109">
        <f t="shared" si="1"/>
        <v>0</v>
      </c>
      <c r="AM24" s="110" t="s">
        <v>1094</v>
      </c>
    </row>
    <row r="25" spans="2:57" ht="12" customHeight="1">
      <c r="D25" s="172" t="s">
        <v>93</v>
      </c>
      <c r="E25" s="173"/>
      <c r="P25" s="109">
        <f>IFERROR(ROUND(Dashboard!L27/Dashboard!$AA$16,2),0)</f>
        <v>0</v>
      </c>
      <c r="AA25" s="109">
        <f t="shared" si="0"/>
        <v>0</v>
      </c>
      <c r="AB25" s="110" t="s">
        <v>1094</v>
      </c>
      <c r="AL25" s="109">
        <f t="shared" si="1"/>
        <v>0</v>
      </c>
      <c r="AM25" s="110" t="s">
        <v>1094</v>
      </c>
    </row>
    <row r="26" spans="2:57" ht="12" customHeight="1">
      <c r="P26" s="84">
        <f>SUM(P3:P25)</f>
        <v>25.63</v>
      </c>
      <c r="AA26" s="84">
        <f>SUM(AA3:AA25)</f>
        <v>9.76</v>
      </c>
      <c r="AL26" s="84">
        <f>SUM(AL3:AL25)</f>
        <v>25.63</v>
      </c>
    </row>
    <row r="28" spans="2:57" ht="12" customHeight="1">
      <c r="P28" s="174" t="s">
        <v>1097</v>
      </c>
      <c r="Q28" s="174">
        <f>Dashboard!$D$19</f>
        <v>0.5</v>
      </c>
      <c r="R28" s="174">
        <f>Dashboard!$D$20</f>
        <v>0.75</v>
      </c>
      <c r="S28" s="174">
        <f>Dashboard!$D$21</f>
        <v>1</v>
      </c>
      <c r="AA28" s="174" t="s">
        <v>1097</v>
      </c>
      <c r="AB28" s="174">
        <f>Dashboard!$D$19</f>
        <v>0.5</v>
      </c>
      <c r="AC28" s="174">
        <f>Dashboard!$D$20</f>
        <v>0.75</v>
      </c>
      <c r="AD28" s="174">
        <f>Dashboard!$D$21</f>
        <v>1</v>
      </c>
      <c r="AL28" s="174" t="s">
        <v>1097</v>
      </c>
      <c r="AM28" s="174">
        <f>Dashboard!$D$19</f>
        <v>0.5</v>
      </c>
      <c r="AN28" s="174">
        <f>Dashboard!$D$20</f>
        <v>0.75</v>
      </c>
      <c r="AO28" s="174">
        <f>Dashboard!$D$21</f>
        <v>1</v>
      </c>
    </row>
    <row r="29" spans="2:57" s="85" customFormat="1" ht="24" customHeight="1">
      <c r="B29" s="65"/>
      <c r="C29" s="65"/>
      <c r="D29" s="630" t="s">
        <v>1098</v>
      </c>
      <c r="E29" s="630"/>
      <c r="G29" s="584" t="s">
        <v>1098</v>
      </c>
      <c r="H29" s="512" t="s">
        <v>1098</v>
      </c>
      <c r="I29" s="512"/>
      <c r="J29" s="512"/>
      <c r="K29" s="512"/>
      <c r="L29" s="512"/>
      <c r="M29" s="512"/>
      <c r="N29" s="65"/>
      <c r="O29" s="584" t="s">
        <v>1099</v>
      </c>
      <c r="P29" s="628" t="s">
        <v>1099</v>
      </c>
      <c r="Q29" s="629"/>
      <c r="R29" s="629"/>
      <c r="S29" s="629"/>
      <c r="T29" s="177"/>
      <c r="U29" s="628" t="s">
        <v>1100</v>
      </c>
      <c r="V29" s="629"/>
      <c r="W29" s="629"/>
      <c r="X29" s="629"/>
      <c r="Y29" s="177"/>
      <c r="Z29" s="631" t="s">
        <v>1101</v>
      </c>
      <c r="AA29" s="629" t="s">
        <v>1101</v>
      </c>
      <c r="AB29" s="629"/>
      <c r="AC29" s="629"/>
      <c r="AD29" s="629"/>
      <c r="AE29" s="177"/>
      <c r="AF29" s="629" t="s">
        <v>1102</v>
      </c>
      <c r="AG29" s="629"/>
      <c r="AH29" s="629"/>
      <c r="AI29" s="629"/>
      <c r="AJ29" s="177"/>
      <c r="AK29" s="631" t="s">
        <v>1103</v>
      </c>
      <c r="AL29" s="629" t="s">
        <v>1103</v>
      </c>
      <c r="AM29" s="629"/>
      <c r="AN29" s="629"/>
      <c r="AO29" s="629"/>
      <c r="AP29" s="177"/>
      <c r="AQ29" s="629" t="s">
        <v>1104</v>
      </c>
      <c r="AR29" s="629"/>
      <c r="AS29" s="629"/>
      <c r="AT29" s="629"/>
      <c r="AV29" s="584" t="s">
        <v>1105</v>
      </c>
      <c r="AW29" s="628" t="s">
        <v>1105</v>
      </c>
      <c r="AX29" s="629"/>
      <c r="AY29" s="629"/>
      <c r="AZ29" s="629"/>
      <c r="BA29" s="629"/>
      <c r="BB29" s="629"/>
      <c r="BC29" s="629"/>
      <c r="BD29" s="629"/>
      <c r="BE29" s="629"/>
    </row>
    <row r="30" spans="2:57" ht="12" customHeight="1">
      <c r="G30" s="584"/>
      <c r="O30" s="584"/>
      <c r="P30" s="178"/>
      <c r="Q30" s="178"/>
      <c r="R30" s="178"/>
      <c r="S30" s="178"/>
      <c r="Z30" s="631"/>
      <c r="AA30" s="178"/>
      <c r="AB30" s="178"/>
      <c r="AC30" s="178"/>
      <c r="AD30" s="178"/>
      <c r="AK30" s="631"/>
      <c r="AL30" s="178"/>
      <c r="AM30" s="178"/>
      <c r="AN30" s="178"/>
      <c r="AO30" s="178"/>
      <c r="AV30" s="584"/>
    </row>
    <row r="31" spans="2:57" ht="24" customHeight="1" collapsed="1">
      <c r="B31" s="157" t="s">
        <v>395</v>
      </c>
      <c r="D31" s="73" t="s">
        <v>542</v>
      </c>
      <c r="E31" s="72" t="s">
        <v>462</v>
      </c>
      <c r="G31" s="584"/>
      <c r="H31" s="73" t="s">
        <v>1106</v>
      </c>
      <c r="I31" s="73" t="s">
        <v>1107</v>
      </c>
      <c r="J31" s="73" t="s">
        <v>1108</v>
      </c>
      <c r="K31" s="73" t="s">
        <v>1109</v>
      </c>
      <c r="L31" s="73" t="s">
        <v>1110</v>
      </c>
      <c r="M31" s="73" t="s">
        <v>1111</v>
      </c>
      <c r="O31" s="584"/>
      <c r="P31" s="175" t="s">
        <v>1112</v>
      </c>
      <c r="Q31" s="176" t="s">
        <v>376</v>
      </c>
      <c r="R31" s="176" t="s">
        <v>1113</v>
      </c>
      <c r="S31" s="176" t="s">
        <v>1114</v>
      </c>
      <c r="U31" s="175" t="s">
        <v>1112</v>
      </c>
      <c r="V31" s="176" t="s">
        <v>376</v>
      </c>
      <c r="W31" s="176" t="s">
        <v>1113</v>
      </c>
      <c r="X31" s="176" t="s">
        <v>1114</v>
      </c>
      <c r="Z31" s="631"/>
      <c r="AA31" s="176" t="s">
        <v>1112</v>
      </c>
      <c r="AB31" s="176" t="s">
        <v>376</v>
      </c>
      <c r="AC31" s="176" t="s">
        <v>1113</v>
      </c>
      <c r="AD31" s="176" t="s">
        <v>1114</v>
      </c>
      <c r="AF31" s="176" t="s">
        <v>1112</v>
      </c>
      <c r="AG31" s="176" t="s">
        <v>376</v>
      </c>
      <c r="AH31" s="176" t="s">
        <v>1113</v>
      </c>
      <c r="AI31" s="176" t="s">
        <v>1114</v>
      </c>
      <c r="AK31" s="631"/>
      <c r="AL31" s="176" t="s">
        <v>1112</v>
      </c>
      <c r="AM31" s="176" t="s">
        <v>376</v>
      </c>
      <c r="AN31" s="176" t="s">
        <v>1113</v>
      </c>
      <c r="AO31" s="176" t="s">
        <v>1114</v>
      </c>
      <c r="AQ31" s="176" t="s">
        <v>1112</v>
      </c>
      <c r="AR31" s="176" t="s">
        <v>376</v>
      </c>
      <c r="AS31" s="176" t="s">
        <v>1113</v>
      </c>
      <c r="AT31" s="176" t="s">
        <v>1114</v>
      </c>
      <c r="AV31" s="584"/>
      <c r="AW31" s="73" t="s">
        <v>255</v>
      </c>
      <c r="AX31" s="73" t="s">
        <v>850</v>
      </c>
      <c r="AY31" s="73" t="s">
        <v>1115</v>
      </c>
      <c r="AZ31" s="73" t="s">
        <v>1116</v>
      </c>
      <c r="BA31" s="73" t="s">
        <v>1117</v>
      </c>
      <c r="BB31" s="73" t="s">
        <v>1118</v>
      </c>
      <c r="BC31" s="73" t="s">
        <v>1119</v>
      </c>
      <c r="BD31" s="73" t="s">
        <v>1120</v>
      </c>
      <c r="BE31" s="73" t="s">
        <v>1121</v>
      </c>
    </row>
    <row r="32" spans="2:57" ht="12" hidden="1" customHeight="1" outlineLevel="1">
      <c r="B32" s="137" t="str">
        <f>Precificação!B7</f>
        <v>Gerente de Contrato - Gerência do Contrato</v>
      </c>
      <c r="D32" s="607" t="s">
        <v>470</v>
      </c>
      <c r="E32" s="143" t="str">
        <f>IF('Cronog. e Histog.'!F757&gt;0,'Cronog. e Histog.'!F757,"")</f>
        <v>Gerente de Contrato</v>
      </c>
      <c r="G32" s="179">
        <f t="shared" ref="G32:G63" si="2">IF(AND((AW32*AX32)&gt;0,K32=0),1,0)</f>
        <v>0</v>
      </c>
      <c r="H32" s="110">
        <v>21000</v>
      </c>
      <c r="I32" s="78" t="s">
        <v>249</v>
      </c>
      <c r="J32" s="81">
        <f>IF(I32="horista",H32*Dashboard!$D$15,IF(OR(I32="Mensalista",I32="PJ"),H32,))</f>
        <v>21000</v>
      </c>
      <c r="K32" s="81">
        <f>IF(I32="PJ",J32,ROUND(J32*(1+Dashboard!$D$22),2))</f>
        <v>21000</v>
      </c>
      <c r="L32" s="77"/>
      <c r="M32" s="180"/>
      <c r="P32" s="109">
        <f>IF($BD32&gt;0,(((($BD32/Dashboard!$D$15)*(1+Precificação!$W$589)))+$P$26)*(1+Dashboard!$D$35),0)</f>
        <v>0</v>
      </c>
      <c r="Q32" s="109">
        <f>IF($BD32&gt;0,(((($BD32/Dashboard!$D$23)*(1+Precificação!$W$589))*(1+Q$28))+$P$26)*(1+Dashboard!$D$35),0)</f>
        <v>0</v>
      </c>
      <c r="R32" s="109">
        <f>IF($BD32&gt;0,(((($BD32/Dashboard!$D$23)*(1+Precificação!$W$589))*(1+R$28))+$P$26)*(1+Dashboard!$D$35),0)</f>
        <v>0</v>
      </c>
      <c r="S32" s="109">
        <f>IF($BD32&gt;0,(((($BD32/Dashboard!$D$23)*(1+Precificação!$W$589))*(1+S$28))+$P$26)*(1+Dashboard!$D$35),0)</f>
        <v>0</v>
      </c>
      <c r="U32" s="109">
        <f>IFERROR(SUMPRODUCT($AW$32:$AW$114,P32:P114)/SUM($AW$118:$AW$589),0)</f>
        <v>0</v>
      </c>
      <c r="V32" s="109">
        <f>IFERROR(SUMPRODUCT($AW$32:$AW$114,Q32:Q114)/SUM($AW$118:$AW$589),0)</f>
        <v>0</v>
      </c>
      <c r="W32" s="109">
        <f>IFERROR(SUMPRODUCT($AW$32:$AW$114,R32:R114)/SUM($AW$118:$AW$589),0)</f>
        <v>0</v>
      </c>
      <c r="X32" s="109">
        <f>IFERROR(SUMPRODUCT($AW$32:$AW$114,S32:S114)/SUM($AW$118:$AW$589),0)</f>
        <v>0</v>
      </c>
      <c r="AA32" s="109">
        <f>IF($BD32&gt;0,(((($BD32/Dashboard!$D$23)*(1+Precificação!$W$589)))+$AA$26)*(1+Dashboard!$D$35),0)</f>
        <v>0</v>
      </c>
      <c r="AB32" s="109">
        <f>IF($BD32&gt;0,(((($BD32/Dashboard!$D$23)*(1+Precificação!$W$589))*(1+AB$28))+$AA$26)*(1+Dashboard!$D$35),0)</f>
        <v>0</v>
      </c>
      <c r="AC32" s="109">
        <f>IF($BD32&gt;0,(((($BD32/Dashboard!$D$23)*(1+Precificação!$W$589))*(1+AC$28))+$AA$26)*(1+Dashboard!$D$35),0)</f>
        <v>0</v>
      </c>
      <c r="AD32" s="109">
        <f>IF($BD32&gt;0,(((($BD32/Dashboard!$D$23)*(1+Precificação!$W$589))*(1+AD$28))+$AA$26)*(1+Dashboard!$D$35),0)</f>
        <v>0</v>
      </c>
      <c r="AF32" s="109">
        <f>IFERROR(SUMPRODUCT($AY$32:$AY$114,AA32:AA114)/SUM($AY$118:$AY$589),0)</f>
        <v>0</v>
      </c>
      <c r="AG32" s="109">
        <f>IFERROR(SUMPRODUCT($AY$32:$AY$114,AB32:AB114)/SUM($AY$118:$AY$589),0)</f>
        <v>0</v>
      </c>
      <c r="AH32" s="109">
        <f>IFERROR(SUMPRODUCT($AY$32:$AY$114,AC32:AC114)/SUM($AY$118:$AY$589),0)</f>
        <v>0</v>
      </c>
      <c r="AI32" s="109">
        <f>IFERROR(SUMPRODUCT($AY$32:$AY$114,AD32:AD114)/SUM($AY$118:$AY$589),0)</f>
        <v>0</v>
      </c>
      <c r="AL32" s="109">
        <f>IF($BD32&gt;0,(((($BD32/Dashboard!$D$23)*(1+Precificação!$W$589)))+$AL$26)*(1+Dashboard!$D$35),0)</f>
        <v>0</v>
      </c>
      <c r="AM32" s="109">
        <f>IF($BD32&gt;0,(((($BD32/Dashboard!$D$23)*(1+Precificação!$W$589))*(1+AM$28))+$AA$26)*(1+Dashboard!$D$35),0)</f>
        <v>0</v>
      </c>
      <c r="AN32" s="109">
        <f>IF($BD32&gt;0,(((($BD32/Dashboard!$D$23)*(1+Precificação!$W$589))*(1+AN$28))+$AA$26)*(1+Dashboard!$D$35),0)</f>
        <v>0</v>
      </c>
      <c r="AO32" s="109">
        <f>IF($BD32&gt;0,(((($BD32/Dashboard!$D$23)*(1+Precificação!$W$589))*(1+AO$28))+$AA$26)*(1+Dashboard!$D$35),0)</f>
        <v>0</v>
      </c>
      <c r="AQ32" s="109">
        <f>IFERROR(SUMPRODUCT($AY$32:$AY$114,AL32:AL114)/SUM($AY$118:$AY$589),0)</f>
        <v>0</v>
      </c>
      <c r="AR32" s="109">
        <f>IFERROR(SUMPRODUCT($AY$32:$AY$114,AM32:AM114)/SUM($AY$118:$AY$589),0)</f>
        <v>0</v>
      </c>
      <c r="AS32" s="109">
        <f>IFERROR(SUMPRODUCT($AY$32:$AY$114,AN32:AN114)/SUM($AY$118:$AY$589),0)</f>
        <v>0</v>
      </c>
      <c r="AT32" s="109">
        <f>IFERROR(SUMPRODUCT($AY$32:$AY$114,AO32:AO114)/SUM($AY$118:$AY$589),0)</f>
        <v>0</v>
      </c>
      <c r="AW32" s="144">
        <f>VLOOKUP(B32,'Cronog. e Histog.'!$B$757:$H$849,7,0)</f>
        <v>3.0000000000000009E-2</v>
      </c>
      <c r="AX32" s="144">
        <f>VLOOKUP(B32,'Cronog. e Histog.'!$B$757:$I$849,8,0)</f>
        <v>12</v>
      </c>
      <c r="AY32" s="144">
        <f>$AW32*$AX32*Dashboard!$D$15</f>
        <v>69.696000000000026</v>
      </c>
      <c r="AZ32" s="144">
        <f>$AW32*$AX32*VLOOKUP(B32,Precificação!$B$7:$BM$89,54,0)</f>
        <v>0</v>
      </c>
      <c r="BA32" s="144">
        <f>$AW32*$AX32*VLOOKUP(B32,Precificação!$B$7:$BR$89,58,0)</f>
        <v>0</v>
      </c>
      <c r="BB32" s="144">
        <f>$AW32*$AX32*VLOOKUP(B32,Precificação!$B$7:$BW$89,62,0)</f>
        <v>0</v>
      </c>
      <c r="BC32" s="144">
        <f>SUM(AY32:BB32)</f>
        <v>69.696000000000026</v>
      </c>
      <c r="BD32" s="109">
        <f>IFERROR(VLOOKUP(B32,Precificação!$B$7:$S$89,13,0),0)</f>
        <v>0</v>
      </c>
      <c r="BE32" s="109">
        <f>IFERROR(VLOOKUP(B32,Precificação!$B$7:$U$89,15,0)/(Precificação!$U$4+Precificação!$U$91),0)*Dashboard!$T$3</f>
        <v>0</v>
      </c>
    </row>
    <row r="33" spans="2:57" ht="12" hidden="1" customHeight="1" outlineLevel="1">
      <c r="B33" s="137" t="str">
        <f>Precificação!B8</f>
        <v>Coordenador de Contrato - Gerência do Contrato</v>
      </c>
      <c r="D33" s="607"/>
      <c r="E33" s="143" t="str">
        <f>IF('Cronog. e Histog.'!F758&gt;0,'Cronog. e Histog.'!F758,"")</f>
        <v>Coordenador de Contrato</v>
      </c>
      <c r="G33" s="179">
        <f t="shared" si="2"/>
        <v>0</v>
      </c>
      <c r="H33" s="110">
        <v>16000</v>
      </c>
      <c r="I33" s="78" t="s">
        <v>249</v>
      </c>
      <c r="J33" s="81">
        <f>IF(I33="horista",H33*Dashboard!$D$15,IF(OR(I33="Mensalista",I33="PJ"),H33,))</f>
        <v>16000</v>
      </c>
      <c r="K33" s="81">
        <f>IF(I33="PJ",J33,ROUND(J33*(1+Dashboard!$D$22),2))</f>
        <v>16000</v>
      </c>
      <c r="L33" s="77"/>
      <c r="M33" s="180"/>
      <c r="P33" s="109">
        <f>IF($BD33&gt;0,(((($BD33/Dashboard!$D$15)*(1+Precificação!$W$589)))+$P$26)*(1+Dashboard!$D$35),0)</f>
        <v>0</v>
      </c>
      <c r="Q33" s="109">
        <f>IF($BD33&gt;0,(((($BD33/Dashboard!$D$23)*(1+Precificação!$W$589))*(1+Q$28))+$P$26)*(1+Dashboard!$D$35),0)</f>
        <v>0</v>
      </c>
      <c r="R33" s="109">
        <f>IF($BD33&gt;0,(((($BD33/Dashboard!$D$23)*(1+Precificação!$W$589))*(1+R$28))+$P$26)*(1+Dashboard!$D$35),0)</f>
        <v>0</v>
      </c>
      <c r="S33" s="109">
        <f>IF($BD33&gt;0,(((($BD33/Dashboard!$D$23)*(1+Precificação!$W$589))*(1+S$28))+$P$26)*(1+Dashboard!$D$35),0)</f>
        <v>0</v>
      </c>
      <c r="AA33" s="109">
        <f>IF($BD33&gt;0,(((($BD33/Dashboard!$D$23)*(1+Precificação!$W$589)))+$AA$26)*(1+Dashboard!$D$35),0)</f>
        <v>0</v>
      </c>
      <c r="AB33" s="109">
        <f>IF($BD33&gt;0,(((($BD33/Dashboard!$D$23)*(1+Precificação!$W$589))*(1+AB$28))+$AA$26)*(1+Dashboard!$D$35),0)</f>
        <v>0</v>
      </c>
      <c r="AC33" s="109">
        <f>IF($BD33&gt;0,(((($BD33/Dashboard!$D$23)*(1+Precificação!$W$589))*(1+AC$28))+$AA$26)*(1+Dashboard!$D$35),0)</f>
        <v>0</v>
      </c>
      <c r="AD33" s="109">
        <f>IF($BD33&gt;0,(((($BD33/Dashboard!$D$23)*(1+Precificação!$W$589))*(1+AD$28))+$AA$26)*(1+Dashboard!$D$35),0)</f>
        <v>0</v>
      </c>
      <c r="AL33" s="109">
        <f>IF($BD33&gt;0,(((($BD33/Dashboard!$D$23)*(1+Precificação!$W$589)))+$AL$26)*(1+Dashboard!$D$35),0)</f>
        <v>0</v>
      </c>
      <c r="AM33" s="109">
        <f>IF($BD33&gt;0,(((($BD33/Dashboard!$D$23)*(1+Precificação!$W$589))*(1+AM$28))+$AA$26)*(1+Dashboard!$D$35),0)</f>
        <v>0</v>
      </c>
      <c r="AN33" s="109">
        <f>IF($BD33&gt;0,(((($BD33/Dashboard!$D$23)*(1+Precificação!$W$589))*(1+AN$28))+$AA$26)*(1+Dashboard!$D$35),0)</f>
        <v>0</v>
      </c>
      <c r="AO33" s="109">
        <f>IF($BD33&gt;0,(((($BD33/Dashboard!$D$23)*(1+Precificação!$W$589))*(1+AO$28))+$AA$26)*(1+Dashboard!$D$35),0)</f>
        <v>0</v>
      </c>
      <c r="AV33" s="179">
        <f t="shared" ref="AV33:AV64" si="3">IF(AND((AW33*AX33)&gt;0,K33=0),1,0)</f>
        <v>0</v>
      </c>
      <c r="AW33" s="144">
        <f>VLOOKUP(B33,'Cronog. e Histog.'!$B$757:$H$849,7,0)</f>
        <v>4.9999999999999996E-2</v>
      </c>
      <c r="AX33" s="144">
        <f>VLOOKUP(B33,'Cronog. e Histog.'!$B$757:$I$849,8,0)</f>
        <v>12</v>
      </c>
      <c r="AY33" s="144">
        <f>$AW33*$AX33*Dashboard!$D$15</f>
        <v>116.16000000000001</v>
      </c>
      <c r="AZ33" s="144">
        <f>$AW33*$AX33*VLOOKUP(B33,Precificação!$B$7:$BM$89,54,0)</f>
        <v>0</v>
      </c>
      <c r="BA33" s="144">
        <f>$AW33*$AX33*VLOOKUP(B33,Precificação!$B$7:$BR$89,58,0)</f>
        <v>0</v>
      </c>
      <c r="BB33" s="144">
        <f>$AW33*$AX33*VLOOKUP(B33,Precificação!$B$7:$BW$89,62,0)</f>
        <v>0</v>
      </c>
      <c r="BC33" s="144">
        <f t="shared" ref="BC33:BC96" si="4">SUM(AY33:BB33)</f>
        <v>116.16000000000001</v>
      </c>
      <c r="BD33" s="109">
        <f>IFERROR(VLOOKUP(B33,Precificação!$B$7:$S$89,13,0),0)</f>
        <v>0</v>
      </c>
      <c r="BE33" s="109">
        <f>IFERROR(VLOOKUP(B33,Precificação!$B$7:$U$89,15,0)/(Precificação!$U$4+Precificação!$U$91),0)*Dashboard!$T$3</f>
        <v>0</v>
      </c>
    </row>
    <row r="34" spans="2:57" ht="12" hidden="1" customHeight="1" outlineLevel="1">
      <c r="B34" s="137" t="str">
        <f>Precificação!B9</f>
        <v>Engenheiro Preposto - Gerência do Contrato</v>
      </c>
      <c r="D34" s="607"/>
      <c r="E34" s="143" t="str">
        <f>IF('Cronog. e Histog.'!F759&gt;0,'Cronog. e Histog.'!F759,"")</f>
        <v>Engenheiro Preposto</v>
      </c>
      <c r="G34" s="179">
        <f t="shared" si="2"/>
        <v>0</v>
      </c>
      <c r="H34" s="110"/>
      <c r="I34" s="78"/>
      <c r="J34" s="81">
        <f>IF(I34="horista",H34*Dashboard!$D$15,IF(OR(I34="Mensalista",I34="PJ"),H34,))</f>
        <v>0</v>
      </c>
      <c r="K34" s="81">
        <f>IF(I34="PJ",J34,ROUND(J34*(1+Dashboard!$D$22),2))</f>
        <v>0</v>
      </c>
      <c r="L34" s="77"/>
      <c r="M34" s="180"/>
      <c r="P34" s="109">
        <f>IF($BD34&gt;0,(((($BD34/Dashboard!$D$15)*(1+Precificação!$W$589)))+$P$26)*(1+Dashboard!$D$35),0)</f>
        <v>0</v>
      </c>
      <c r="Q34" s="109">
        <f>IF($BD34&gt;0,(((($BD34/Dashboard!$D$23)*(1+Precificação!$W$589))*(1+Q$28))+$P$26)*(1+Dashboard!$D$35),0)</f>
        <v>0</v>
      </c>
      <c r="R34" s="109">
        <f>IF($BD34&gt;0,(((($BD34/Dashboard!$D$23)*(1+Precificação!$W$589))*(1+R$28))+$P$26)*(1+Dashboard!$D$35),0)</f>
        <v>0</v>
      </c>
      <c r="S34" s="109">
        <f>IF($BD34&gt;0,(((($BD34/Dashboard!$D$23)*(1+Precificação!$W$589))*(1+S$28))+$P$26)*(1+Dashboard!$D$35),0)</f>
        <v>0</v>
      </c>
      <c r="AA34" s="109">
        <f>IF($BD34&gt;0,(((($BD34/Dashboard!$D$23)*(1+Precificação!$W$589)))+$AA$26)*(1+Dashboard!$D$35),0)</f>
        <v>0</v>
      </c>
      <c r="AB34" s="109">
        <f>IF($BD34&gt;0,(((($BD34/Dashboard!$D$23)*(1+Precificação!$W$589))*(1+AB$28))+$AA$26)*(1+Dashboard!$D$35),0)</f>
        <v>0</v>
      </c>
      <c r="AC34" s="109">
        <f>IF($BD34&gt;0,(((($BD34/Dashboard!$D$23)*(1+Precificação!$W$589))*(1+AC$28))+$AA$26)*(1+Dashboard!$D$35),0)</f>
        <v>0</v>
      </c>
      <c r="AD34" s="109">
        <f>IF($BD34&gt;0,(((($BD34/Dashboard!$D$23)*(1+Precificação!$W$589))*(1+AD$28))+$AA$26)*(1+Dashboard!$D$35),0)</f>
        <v>0</v>
      </c>
      <c r="AL34" s="109">
        <f>IF($BD34&gt;0,(((($BD34/Dashboard!$D$23)*(1+Precificação!$W$589)))+$AL$26)*(1+Dashboard!$D$35),0)</f>
        <v>0</v>
      </c>
      <c r="AM34" s="109">
        <f>IF($BD34&gt;0,(((($BD34/Dashboard!$D$23)*(1+Precificação!$W$589))*(1+AM$28))+$AA$26)*(1+Dashboard!$D$35),0)</f>
        <v>0</v>
      </c>
      <c r="AN34" s="109">
        <f>IF($BD34&gt;0,(((($BD34/Dashboard!$D$23)*(1+Precificação!$W$589))*(1+AN$28))+$AA$26)*(1+Dashboard!$D$35),0)</f>
        <v>0</v>
      </c>
      <c r="AO34" s="109">
        <f>IF($BD34&gt;0,(((($BD34/Dashboard!$D$23)*(1+Precificação!$W$589))*(1+AO$28))+$AA$26)*(1+Dashboard!$D$35),0)</f>
        <v>0</v>
      </c>
      <c r="AV34" s="179">
        <f t="shared" si="3"/>
        <v>0</v>
      </c>
      <c r="AW34" s="144">
        <f>VLOOKUP(B34,'Cronog. e Histog.'!$B$757:$H$849,7,0)</f>
        <v>0</v>
      </c>
      <c r="AX34" s="144">
        <f>VLOOKUP(B34,'Cronog. e Histog.'!$B$757:$I$849,8,0)</f>
        <v>0</v>
      </c>
      <c r="AY34" s="144">
        <f>$AW34*$AX34*Dashboard!$D$15</f>
        <v>0</v>
      </c>
      <c r="AZ34" s="144">
        <f>$AW34*$AX34*VLOOKUP(B34,Precificação!$B$7:$BM$89,54,0)</f>
        <v>0</v>
      </c>
      <c r="BA34" s="144">
        <f>$AW34*$AX34*VLOOKUP(B34,Precificação!$B$7:$BR$89,58,0)</f>
        <v>0</v>
      </c>
      <c r="BB34" s="144">
        <f>$AW34*$AX34*VLOOKUP(B34,Precificação!$B$7:$BW$89,62,0)</f>
        <v>0</v>
      </c>
      <c r="BC34" s="144">
        <f t="shared" si="4"/>
        <v>0</v>
      </c>
      <c r="BD34" s="109">
        <f>IFERROR(VLOOKUP(B34,Precificação!$B$7:$S$89,13,0),0)</f>
        <v>0</v>
      </c>
      <c r="BE34" s="109">
        <f>IFERROR(VLOOKUP(B34,Precificação!$B$7:$U$89,15,0)/(Precificação!$U$4+Precificação!$U$91),0)*Dashboard!$T$3</f>
        <v>0</v>
      </c>
    </row>
    <row r="35" spans="2:57" ht="12" hidden="1" customHeight="1" outlineLevel="1">
      <c r="B35" s="137" t="str">
        <f>Precificação!B10</f>
        <v>Administrador Contratual - Gerência do Contrato</v>
      </c>
      <c r="D35" s="607"/>
      <c r="E35" s="143" t="str">
        <f>IF('Cronog. e Histog.'!F760&gt;0,'Cronog. e Histog.'!F760,"")</f>
        <v>Administrador Contratual</v>
      </c>
      <c r="G35" s="179">
        <f t="shared" si="2"/>
        <v>0</v>
      </c>
      <c r="H35" s="110"/>
      <c r="I35" s="78"/>
      <c r="J35" s="81">
        <f>IF(I35="horista",H35*Dashboard!$D$15,IF(OR(I35="Mensalista",I35="PJ"),H35,))</f>
        <v>0</v>
      </c>
      <c r="K35" s="81">
        <f>IF(I35="PJ",J35,ROUND(J35*(1+Dashboard!$D$22),2))</f>
        <v>0</v>
      </c>
      <c r="L35" s="77"/>
      <c r="M35" s="180"/>
      <c r="P35" s="109">
        <f>IF($BD35&gt;0,(((($BD35/Dashboard!$D$15)*(1+Precificação!$W$589)))+$P$26)*(1+Dashboard!$D$35),0)</f>
        <v>0</v>
      </c>
      <c r="Q35" s="109">
        <f>IF($BD35&gt;0,(((($BD35/Dashboard!$D$23)*(1+Precificação!$W$589))*(1+Q$28))+$P$26)*(1+Dashboard!$D$35),0)</f>
        <v>0</v>
      </c>
      <c r="R35" s="109">
        <f>IF($BD35&gt;0,(((($BD35/Dashboard!$D$23)*(1+Precificação!$W$589))*(1+R$28))+$P$26)*(1+Dashboard!$D$35),0)</f>
        <v>0</v>
      </c>
      <c r="S35" s="109">
        <f>IF($BD35&gt;0,(((($BD35/Dashboard!$D$23)*(1+Precificação!$W$589))*(1+S$28))+$P$26)*(1+Dashboard!$D$35),0)</f>
        <v>0</v>
      </c>
      <c r="AA35" s="109">
        <f>IF($BD35&gt;0,(((($BD35/Dashboard!$D$23)*(1+Precificação!$W$589)))+$AA$26)*(1+Dashboard!$D$35),0)</f>
        <v>0</v>
      </c>
      <c r="AB35" s="109">
        <f>IF($BD35&gt;0,(((($BD35/Dashboard!$D$23)*(1+Precificação!$W$589))*(1+AB$28))+$AA$26)*(1+Dashboard!$D$35),0)</f>
        <v>0</v>
      </c>
      <c r="AC35" s="109">
        <f>IF($BD35&gt;0,(((($BD35/Dashboard!$D$23)*(1+Precificação!$W$589))*(1+AC$28))+$AA$26)*(1+Dashboard!$D$35),0)</f>
        <v>0</v>
      </c>
      <c r="AD35" s="109">
        <f>IF($BD35&gt;0,(((($BD35/Dashboard!$D$23)*(1+Precificação!$W$589))*(1+AD$28))+$AA$26)*(1+Dashboard!$D$35),0)</f>
        <v>0</v>
      </c>
      <c r="AL35" s="109">
        <f>IF($BD35&gt;0,(((($BD35/Dashboard!$D$23)*(1+Precificação!$W$589)))+$AL$26)*(1+Dashboard!$D$35),0)</f>
        <v>0</v>
      </c>
      <c r="AM35" s="109">
        <f>IF($BD35&gt;0,(((($BD35/Dashboard!$D$23)*(1+Precificação!$W$589))*(1+AM$28))+$AA$26)*(1+Dashboard!$D$35),0)</f>
        <v>0</v>
      </c>
      <c r="AN35" s="109">
        <f>IF($BD35&gt;0,(((($BD35/Dashboard!$D$23)*(1+Precificação!$W$589))*(1+AN$28))+$AA$26)*(1+Dashboard!$D$35),0)</f>
        <v>0</v>
      </c>
      <c r="AO35" s="109">
        <f>IF($BD35&gt;0,(((($BD35/Dashboard!$D$23)*(1+Precificação!$W$589))*(1+AO$28))+$AA$26)*(1+Dashboard!$D$35),0)</f>
        <v>0</v>
      </c>
      <c r="AV35" s="179">
        <f t="shared" si="3"/>
        <v>0</v>
      </c>
      <c r="AW35" s="144">
        <f>VLOOKUP(B35,'Cronog. e Histog.'!$B$757:$H$849,7,0)</f>
        <v>0</v>
      </c>
      <c r="AX35" s="144">
        <f>VLOOKUP(B35,'Cronog. e Histog.'!$B$757:$I$849,8,0)</f>
        <v>0</v>
      </c>
      <c r="AY35" s="144">
        <f>$AW35*$AX35*Dashboard!$D$15</f>
        <v>0</v>
      </c>
      <c r="AZ35" s="144">
        <f>$AW35*$AX35*VLOOKUP(B35,Precificação!$B$7:$BM$89,54,0)</f>
        <v>0</v>
      </c>
      <c r="BA35" s="144">
        <f>$AW35*$AX35*VLOOKUP(B35,Precificação!$B$7:$BR$89,58,0)</f>
        <v>0</v>
      </c>
      <c r="BB35" s="144">
        <f>$AW35*$AX35*VLOOKUP(B35,Precificação!$B$7:$BW$89,62,0)</f>
        <v>0</v>
      </c>
      <c r="BC35" s="144">
        <f t="shared" si="4"/>
        <v>0</v>
      </c>
      <c r="BD35" s="109">
        <f>IFERROR(VLOOKUP(B35,Precificação!$B$7:$S$89,13,0),0)</f>
        <v>0</v>
      </c>
      <c r="BE35" s="109">
        <f>IFERROR(VLOOKUP(B35,Precificação!$B$7:$U$89,15,0)/(Precificação!$U$4+Precificação!$U$91),0)*Dashboard!$T$3</f>
        <v>0</v>
      </c>
    </row>
    <row r="36" spans="2:57" ht="12" hidden="1" customHeight="1" outlineLevel="1">
      <c r="B36" s="137" t="str">
        <f>Precificação!B11</f>
        <v>Auxiliar de RH - Gerência do Contrato</v>
      </c>
      <c r="D36" s="607"/>
      <c r="E36" s="143" t="str">
        <f>IF('Cronog. e Histog.'!F761&gt;0,'Cronog. e Histog.'!F761,"")</f>
        <v>Auxiliar de RH</v>
      </c>
      <c r="G36" s="179">
        <f t="shared" si="2"/>
        <v>0</v>
      </c>
      <c r="H36" s="110"/>
      <c r="I36" s="78"/>
      <c r="J36" s="81">
        <f>IF(I36="horista",H36*Dashboard!$D$15,IF(OR(I36="Mensalista",I36="PJ"),H36,))</f>
        <v>0</v>
      </c>
      <c r="K36" s="81">
        <f>IF(I36="PJ",J36,ROUND(J36*(1+Dashboard!$D$22),2))</f>
        <v>0</v>
      </c>
      <c r="L36" s="77"/>
      <c r="M36" s="180"/>
      <c r="P36" s="109">
        <f>IF($BD36&gt;0,(((($BD36/Dashboard!$D$15)*(1+Precificação!$W$589)))+$P$26)*(1+Dashboard!$D$35),0)</f>
        <v>0</v>
      </c>
      <c r="Q36" s="109">
        <f>IF($BD36&gt;0,(((($BD36/Dashboard!$D$23)*(1+Precificação!$W$589))*(1+Q$28))+$P$26)*(1+Dashboard!$D$35),0)</f>
        <v>0</v>
      </c>
      <c r="R36" s="109">
        <f>IF($BD36&gt;0,(((($BD36/Dashboard!$D$23)*(1+Precificação!$W$589))*(1+R$28))+$P$26)*(1+Dashboard!$D$35),0)</f>
        <v>0</v>
      </c>
      <c r="S36" s="109">
        <f>IF($BD36&gt;0,(((($BD36/Dashboard!$D$23)*(1+Precificação!$W$589))*(1+S$28))+$P$26)*(1+Dashboard!$D$35),0)</f>
        <v>0</v>
      </c>
      <c r="AA36" s="109">
        <f>IF($BD36&gt;0,(((($BD36/Dashboard!$D$23)*(1+Precificação!$W$589)))+$AA$26)*(1+Dashboard!$D$35),0)</f>
        <v>0</v>
      </c>
      <c r="AB36" s="109">
        <f>IF($BD36&gt;0,(((($BD36/Dashboard!$D$23)*(1+Precificação!$W$589))*(1+AB$28))+$AA$26)*(1+Dashboard!$D$35),0)</f>
        <v>0</v>
      </c>
      <c r="AC36" s="109">
        <f>IF($BD36&gt;0,(((($BD36/Dashboard!$D$23)*(1+Precificação!$W$589))*(1+AC$28))+$AA$26)*(1+Dashboard!$D$35),0)</f>
        <v>0</v>
      </c>
      <c r="AD36" s="109">
        <f>IF($BD36&gt;0,(((($BD36/Dashboard!$D$23)*(1+Precificação!$W$589))*(1+AD$28))+$AA$26)*(1+Dashboard!$D$35),0)</f>
        <v>0</v>
      </c>
      <c r="AL36" s="109">
        <f>IF($BD36&gt;0,(((($BD36/Dashboard!$D$23)*(1+Precificação!$W$589)))+$AL$26)*(1+Dashboard!$D$35),0)</f>
        <v>0</v>
      </c>
      <c r="AM36" s="109">
        <f>IF($BD36&gt;0,(((($BD36/Dashboard!$D$23)*(1+Precificação!$W$589))*(1+AM$28))+$AA$26)*(1+Dashboard!$D$35),0)</f>
        <v>0</v>
      </c>
      <c r="AN36" s="109">
        <f>IF($BD36&gt;0,(((($BD36/Dashboard!$D$23)*(1+Precificação!$W$589))*(1+AN$28))+$AA$26)*(1+Dashboard!$D$35),0)</f>
        <v>0</v>
      </c>
      <c r="AO36" s="109">
        <f>IF($BD36&gt;0,(((($BD36/Dashboard!$D$23)*(1+Precificação!$W$589))*(1+AO$28))+$AA$26)*(1+Dashboard!$D$35),0)</f>
        <v>0</v>
      </c>
      <c r="AV36" s="179">
        <f t="shared" si="3"/>
        <v>0</v>
      </c>
      <c r="AW36" s="144">
        <f>VLOOKUP(B36,'Cronog. e Histog.'!$B$757:$H$849,7,0)</f>
        <v>0</v>
      </c>
      <c r="AX36" s="144">
        <f>VLOOKUP(B36,'Cronog. e Histog.'!$B$757:$I$849,8,0)</f>
        <v>0</v>
      </c>
      <c r="AY36" s="144">
        <f>$AW36*$AX36*Dashboard!$D$15</f>
        <v>0</v>
      </c>
      <c r="AZ36" s="144">
        <f>$AW36*$AX36*VLOOKUP(B36,Precificação!$B$7:$BM$89,54,0)</f>
        <v>0</v>
      </c>
      <c r="BA36" s="144">
        <f>$AW36*$AX36*VLOOKUP(B36,Precificação!$B$7:$BR$89,58,0)</f>
        <v>0</v>
      </c>
      <c r="BB36" s="144">
        <f>$AW36*$AX36*VLOOKUP(B36,Precificação!$B$7:$BW$89,62,0)</f>
        <v>0</v>
      </c>
      <c r="BC36" s="144">
        <f t="shared" si="4"/>
        <v>0</v>
      </c>
      <c r="BD36" s="109">
        <f>IFERROR(VLOOKUP(B36,Precificação!$B$7:$S$89,13,0),0)</f>
        <v>0</v>
      </c>
      <c r="BE36" s="109">
        <f>IFERROR(VLOOKUP(B36,Precificação!$B$7:$U$89,15,0)/(Precificação!$U$4+Precificação!$U$91),0)*Dashboard!$T$3</f>
        <v>0</v>
      </c>
    </row>
    <row r="37" spans="2:57" ht="12" hidden="1" customHeight="1" outlineLevel="1">
      <c r="B37" s="137" t="str">
        <f>Precificação!B12</f>
        <v>Auxiliar Administrativo - Gerência do Contrato</v>
      </c>
      <c r="D37" s="607"/>
      <c r="E37" s="143" t="str">
        <f>IF('Cronog. e Histog.'!F762&gt;0,'Cronog. e Histog.'!F762,"")</f>
        <v>Auxiliar Administrativo</v>
      </c>
      <c r="G37" s="179">
        <f t="shared" si="2"/>
        <v>0</v>
      </c>
      <c r="H37" s="110"/>
      <c r="I37" s="78"/>
      <c r="J37" s="81">
        <f>IF(I37="horista",H37*Dashboard!$D$15,IF(OR(I37="Mensalista",I37="PJ"),H37,))</f>
        <v>0</v>
      </c>
      <c r="K37" s="81">
        <f>IF(I37="PJ",J37,ROUND(J37*(1+Dashboard!$D$22),2))</f>
        <v>0</v>
      </c>
      <c r="L37" s="77"/>
      <c r="M37" s="180"/>
      <c r="P37" s="109">
        <f>IF($BD37&gt;0,(((($BD37/Dashboard!$D$15)*(1+Precificação!$W$589)))+$P$26)*(1+Dashboard!$D$35),0)</f>
        <v>0</v>
      </c>
      <c r="Q37" s="109">
        <f>IF($BD37&gt;0,(((($BD37/Dashboard!$D$23)*(1+Precificação!$W$589))*(1+Q$28))+$P$26)*(1+Dashboard!$D$35),0)</f>
        <v>0</v>
      </c>
      <c r="R37" s="109">
        <f>IF($BD37&gt;0,(((($BD37/Dashboard!$D$23)*(1+Precificação!$W$589))*(1+R$28))+$P$26)*(1+Dashboard!$D$35),0)</f>
        <v>0</v>
      </c>
      <c r="S37" s="109">
        <f>IF($BD37&gt;0,(((($BD37/Dashboard!$D$23)*(1+Precificação!$W$589))*(1+S$28))+$P$26)*(1+Dashboard!$D$35),0)</f>
        <v>0</v>
      </c>
      <c r="AA37" s="109">
        <f>IF($BD37&gt;0,(((($BD37/Dashboard!$D$23)*(1+Precificação!$W$589)))+$AA$26)*(1+Dashboard!$D$35),0)</f>
        <v>0</v>
      </c>
      <c r="AB37" s="109">
        <f>IF($BD37&gt;0,(((($BD37/Dashboard!$D$23)*(1+Precificação!$W$589))*(1+AB$28))+$AA$26)*(1+Dashboard!$D$35),0)</f>
        <v>0</v>
      </c>
      <c r="AC37" s="109">
        <f>IF($BD37&gt;0,(((($BD37/Dashboard!$D$23)*(1+Precificação!$W$589))*(1+AC$28))+$AA$26)*(1+Dashboard!$D$35),0)</f>
        <v>0</v>
      </c>
      <c r="AD37" s="109">
        <f>IF($BD37&gt;0,(((($BD37/Dashboard!$D$23)*(1+Precificação!$W$589))*(1+AD$28))+$AA$26)*(1+Dashboard!$D$35),0)</f>
        <v>0</v>
      </c>
      <c r="AL37" s="109">
        <f>IF($BD37&gt;0,(((($BD37/Dashboard!$D$23)*(1+Precificação!$W$589)))+$AL$26)*(1+Dashboard!$D$35),0)</f>
        <v>0</v>
      </c>
      <c r="AM37" s="109">
        <f>IF($BD37&gt;0,(((($BD37/Dashboard!$D$23)*(1+Precificação!$W$589))*(1+AM$28))+$AA$26)*(1+Dashboard!$D$35),0)</f>
        <v>0</v>
      </c>
      <c r="AN37" s="109">
        <f>IF($BD37&gt;0,(((($BD37/Dashboard!$D$23)*(1+Precificação!$W$589))*(1+AN$28))+$AA$26)*(1+Dashboard!$D$35),0)</f>
        <v>0</v>
      </c>
      <c r="AO37" s="109">
        <f>IF($BD37&gt;0,(((($BD37/Dashboard!$D$23)*(1+Precificação!$W$589))*(1+AO$28))+$AA$26)*(1+Dashboard!$D$35),0)</f>
        <v>0</v>
      </c>
      <c r="AV37" s="179">
        <f t="shared" si="3"/>
        <v>0</v>
      </c>
      <c r="AW37" s="144">
        <f>VLOOKUP(B37,'Cronog. e Histog.'!$B$757:$H$849,7,0)</f>
        <v>0</v>
      </c>
      <c r="AX37" s="144">
        <f>VLOOKUP(B37,'Cronog. e Histog.'!$B$757:$I$849,8,0)</f>
        <v>0</v>
      </c>
      <c r="AY37" s="144">
        <f>$AW37*$AX37*Dashboard!$D$15</f>
        <v>0</v>
      </c>
      <c r="AZ37" s="144">
        <f>$AW37*$AX37*VLOOKUP(B37,Precificação!$B$7:$BM$89,54,0)</f>
        <v>0</v>
      </c>
      <c r="BA37" s="144">
        <f>$AW37*$AX37*VLOOKUP(B37,Precificação!$B$7:$BR$89,58,0)</f>
        <v>0</v>
      </c>
      <c r="BB37" s="144">
        <f>$AW37*$AX37*VLOOKUP(B37,Precificação!$B$7:$BW$89,62,0)</f>
        <v>0</v>
      </c>
      <c r="BC37" s="144">
        <f t="shared" si="4"/>
        <v>0</v>
      </c>
      <c r="BD37" s="109">
        <f>IFERROR(VLOOKUP(B37,Precificação!$B$7:$S$89,13,0),0)</f>
        <v>0</v>
      </c>
      <c r="BE37" s="109">
        <f>IFERROR(VLOOKUP(B37,Precificação!$B$7:$U$89,15,0)/(Precificação!$U$4+Precificação!$U$91),0)*Dashboard!$T$3</f>
        <v>0</v>
      </c>
    </row>
    <row r="38" spans="2:57" ht="12" hidden="1" customHeight="1" outlineLevel="1">
      <c r="B38" s="137" t="str">
        <f>Precificação!B13</f>
        <v/>
      </c>
      <c r="D38" s="607"/>
      <c r="E38" s="143" t="str">
        <f>IF('Cronog. e Histog.'!F763&gt;0,'Cronog. e Histog.'!F763,"")</f>
        <v/>
      </c>
      <c r="G38" s="179">
        <f t="shared" si="2"/>
        <v>0</v>
      </c>
      <c r="H38" s="110"/>
      <c r="I38" s="78"/>
      <c r="J38" s="81">
        <f>IF(I38="horista",H38*Dashboard!$D$15,IF(OR(I38="Mensalista",I38="PJ"),H38,))</f>
        <v>0</v>
      </c>
      <c r="K38" s="81">
        <f>IF(I38="PJ",J38,ROUND(J38*(1+Dashboard!$D$22),2))</f>
        <v>0</v>
      </c>
      <c r="L38" s="77"/>
      <c r="M38" s="180"/>
      <c r="P38" s="109">
        <f>IF($BD38&gt;0,(((($BD38/Dashboard!$D$15)*(1+Precificação!$W$589)))+$P$26)*(1+Dashboard!$D$35),0)</f>
        <v>0</v>
      </c>
      <c r="Q38" s="109">
        <f>IF($BD38&gt;0,(((($BD38/Dashboard!$D$23)*(1+Precificação!$W$589))*(1+Q$28))+$P$26)*(1+Dashboard!$D$35),0)</f>
        <v>0</v>
      </c>
      <c r="R38" s="109">
        <f>IF($BD38&gt;0,(((($BD38/Dashboard!$D$23)*(1+Precificação!$W$589))*(1+R$28))+$P$26)*(1+Dashboard!$D$35),0)</f>
        <v>0</v>
      </c>
      <c r="S38" s="109">
        <f>IF($BD38&gt;0,(((($BD38/Dashboard!$D$23)*(1+Precificação!$W$589))*(1+S$28))+$P$26)*(1+Dashboard!$D$35),0)</f>
        <v>0</v>
      </c>
      <c r="AA38" s="109">
        <f>IF($BD38&gt;0,(((($BD38/Dashboard!$D$23)*(1+Precificação!$W$589)))+$AA$26)*(1+Dashboard!$D$35),0)</f>
        <v>0</v>
      </c>
      <c r="AB38" s="109">
        <f>IF($BD38&gt;0,(((($BD38/Dashboard!$D$23)*(1+Precificação!$W$589))*(1+AB$28))+$AA$26)*(1+Dashboard!$D$35),0)</f>
        <v>0</v>
      </c>
      <c r="AC38" s="109">
        <f>IF($BD38&gt;0,(((($BD38/Dashboard!$D$23)*(1+Precificação!$W$589))*(1+AC$28))+$AA$26)*(1+Dashboard!$D$35),0)</f>
        <v>0</v>
      </c>
      <c r="AD38" s="109">
        <f>IF($BD38&gt;0,(((($BD38/Dashboard!$D$23)*(1+Precificação!$W$589))*(1+AD$28))+$AA$26)*(1+Dashboard!$D$35),0)</f>
        <v>0</v>
      </c>
      <c r="AL38" s="109">
        <f>IF($BD38&gt;0,(((($BD38/Dashboard!$D$23)*(1+Precificação!$W$589)))+$AL$26)*(1+Dashboard!$D$35),0)</f>
        <v>0</v>
      </c>
      <c r="AM38" s="109">
        <f>IF($BD38&gt;0,(((($BD38/Dashboard!$D$23)*(1+Precificação!$W$589))*(1+AM$28))+$AA$26)*(1+Dashboard!$D$35),0)</f>
        <v>0</v>
      </c>
      <c r="AN38" s="109">
        <f>IF($BD38&gt;0,(((($BD38/Dashboard!$D$23)*(1+Precificação!$W$589))*(1+AN$28))+$AA$26)*(1+Dashboard!$D$35),0)</f>
        <v>0</v>
      </c>
      <c r="AO38" s="109">
        <f>IF($BD38&gt;0,(((($BD38/Dashboard!$D$23)*(1+Precificação!$W$589))*(1+AO$28))+$AA$26)*(1+Dashboard!$D$35),0)</f>
        <v>0</v>
      </c>
      <c r="AV38" s="179">
        <f t="shared" si="3"/>
        <v>0</v>
      </c>
      <c r="AW38" s="144">
        <f>VLOOKUP(B38,'Cronog. e Histog.'!$B$757:$H$849,7,0)</f>
        <v>0</v>
      </c>
      <c r="AX38" s="144">
        <f>VLOOKUP(B38,'Cronog. e Histog.'!$B$757:$I$849,8,0)</f>
        <v>0</v>
      </c>
      <c r="AY38" s="144">
        <f>$AW38*$AX38*Dashboard!$D$15</f>
        <v>0</v>
      </c>
      <c r="AZ38" s="144">
        <f>$AW38*$AX38*VLOOKUP(B38,Precificação!$B$7:$BM$89,54,0)</f>
        <v>0</v>
      </c>
      <c r="BA38" s="144">
        <f>$AW38*$AX38*VLOOKUP(B38,Precificação!$B$7:$BR$89,58,0)</f>
        <v>0</v>
      </c>
      <c r="BB38" s="144">
        <f>$AW38*$AX38*VLOOKUP(B38,Precificação!$B$7:$BW$89,62,0)</f>
        <v>0</v>
      </c>
      <c r="BC38" s="144">
        <f t="shared" si="4"/>
        <v>0</v>
      </c>
      <c r="BD38" s="109">
        <f>IFERROR(VLOOKUP(B38,Precificação!$B$7:$S$89,13,0),0)</f>
        <v>0</v>
      </c>
      <c r="BE38" s="109">
        <f>IFERROR(VLOOKUP(B38,Precificação!$B$7:$U$89,15,0)/(Precificação!$U$4+Precificação!$U$91),0)*Dashboard!$T$3</f>
        <v>0</v>
      </c>
    </row>
    <row r="39" spans="2:57" ht="12" hidden="1" customHeight="1" outlineLevel="1">
      <c r="B39" s="137" t="str">
        <f>Precificação!B14</f>
        <v>Engenheiro Mecânico - Supervisão de Obra</v>
      </c>
      <c r="D39" s="607" t="s">
        <v>477</v>
      </c>
      <c r="E39" s="143" t="str">
        <f>IF('Cronog. e Histog.'!F765&gt;0,'Cronog. e Histog.'!F765,"")</f>
        <v>Engenheiro Mecânico</v>
      </c>
      <c r="G39" s="179">
        <f t="shared" si="2"/>
        <v>0</v>
      </c>
      <c r="H39" s="110"/>
      <c r="I39" s="78"/>
      <c r="J39" s="81">
        <f>IF(I39="horista",H39*Dashboard!$D$15,IF(OR(I39="Mensalista",I39="PJ"),H39,))</f>
        <v>0</v>
      </c>
      <c r="K39" s="81">
        <f>IF(I39="PJ",J39,ROUND(J39*(1+Dashboard!$D$22),2))</f>
        <v>0</v>
      </c>
      <c r="L39" s="77"/>
      <c r="M39" s="180"/>
      <c r="P39" s="109">
        <f>IF($BD39&gt;0,(((($BD39/Dashboard!$D$15)*(1+Precificação!$W$589)))+$P$26)*(1+Dashboard!$D$35),0)</f>
        <v>0</v>
      </c>
      <c r="Q39" s="109">
        <f>IF($BD39&gt;0,(((($BD39/Dashboard!$D$23)*(1+Precificação!$W$589))*(1+Q$28))+$P$26)*(1+Dashboard!$D$35),0)</f>
        <v>0</v>
      </c>
      <c r="R39" s="109">
        <f>IF($BD39&gt;0,(((($BD39/Dashboard!$D$23)*(1+Precificação!$W$589))*(1+R$28))+$P$26)*(1+Dashboard!$D$35),0)</f>
        <v>0</v>
      </c>
      <c r="S39" s="109">
        <f>IF($BD39&gt;0,(((($BD39/Dashboard!$D$23)*(1+Precificação!$W$589))*(1+S$28))+$P$26)*(1+Dashboard!$D$35),0)</f>
        <v>0</v>
      </c>
      <c r="AA39" s="109">
        <f>IF($BD39&gt;0,(((($BD39/Dashboard!$D$23)*(1+Precificação!$W$589)))+$AA$26)*(1+Dashboard!$D$35),0)</f>
        <v>0</v>
      </c>
      <c r="AB39" s="109">
        <f>IF($BD39&gt;0,(((($BD39/Dashboard!$D$23)*(1+Precificação!$W$589))*(1+AB$28))+$AA$26)*(1+Dashboard!$D$35),0)</f>
        <v>0</v>
      </c>
      <c r="AC39" s="109">
        <f>IF($BD39&gt;0,(((($BD39/Dashboard!$D$23)*(1+Precificação!$W$589))*(1+AC$28))+$AA$26)*(1+Dashboard!$D$35),0)</f>
        <v>0</v>
      </c>
      <c r="AD39" s="109">
        <f>IF($BD39&gt;0,(((($BD39/Dashboard!$D$23)*(1+Precificação!$W$589))*(1+AD$28))+$AA$26)*(1+Dashboard!$D$35),0)</f>
        <v>0</v>
      </c>
      <c r="AL39" s="109">
        <f>IF($BD39&gt;0,(((($BD39/Dashboard!$D$23)*(1+Precificação!$W$589)))+$AL$26)*(1+Dashboard!$D$35),0)</f>
        <v>0</v>
      </c>
      <c r="AM39" s="109">
        <f>IF($BD39&gt;0,(((($BD39/Dashboard!$D$23)*(1+Precificação!$W$589))*(1+AM$28))+$AA$26)*(1+Dashboard!$D$35),0)</f>
        <v>0</v>
      </c>
      <c r="AN39" s="109">
        <f>IF($BD39&gt;0,(((($BD39/Dashboard!$D$23)*(1+Precificação!$W$589))*(1+AN$28))+$AA$26)*(1+Dashboard!$D$35),0)</f>
        <v>0</v>
      </c>
      <c r="AO39" s="109">
        <f>IF($BD39&gt;0,(((($BD39/Dashboard!$D$23)*(1+Precificação!$W$589))*(1+AO$28))+$AA$26)*(1+Dashboard!$D$35),0)</f>
        <v>0</v>
      </c>
      <c r="AV39" s="179">
        <f t="shared" si="3"/>
        <v>0</v>
      </c>
      <c r="AW39" s="144">
        <f>VLOOKUP(B39,'Cronog. e Histog.'!$B$757:$H$849,7,0)</f>
        <v>0</v>
      </c>
      <c r="AX39" s="144">
        <f>VLOOKUP(B39,'Cronog. e Histog.'!$B$757:$I$849,8,0)</f>
        <v>0</v>
      </c>
      <c r="AY39" s="144">
        <f>$AW39*$AX39*Dashboard!$D$15</f>
        <v>0</v>
      </c>
      <c r="AZ39" s="144">
        <f>$AW39*$AX39*VLOOKUP(B39,Precificação!$B$7:$BM$89,54,0)</f>
        <v>0</v>
      </c>
      <c r="BA39" s="144">
        <f>$AW39*$AX39*VLOOKUP(B39,Precificação!$B$7:$BR$89,58,0)</f>
        <v>0</v>
      </c>
      <c r="BB39" s="144">
        <f>$AW39*$AX39*VLOOKUP(B39,Precificação!$B$7:$BW$89,62,0)</f>
        <v>0</v>
      </c>
      <c r="BC39" s="144">
        <f t="shared" si="4"/>
        <v>0</v>
      </c>
      <c r="BD39" s="109">
        <f>IFERROR(VLOOKUP(B39,Precificação!$B$7:$S$89,13,0),0)</f>
        <v>0</v>
      </c>
      <c r="BE39" s="109">
        <f>IFERROR(VLOOKUP(B39,Precificação!$B$7:$U$89,15,0)/(Precificação!$U$4+Precificação!$U$91),0)*Dashboard!$T$3</f>
        <v>0</v>
      </c>
    </row>
    <row r="40" spans="2:57" ht="12" hidden="1" customHeight="1" outlineLevel="1">
      <c r="B40" s="137" t="str">
        <f>Precificação!B15</f>
        <v>Engenheiro Elétrica &amp; Instrumentação - Supervisão de Obra</v>
      </c>
      <c r="D40" s="607"/>
      <c r="E40" s="143" t="str">
        <f>IF('Cronog. e Histog.'!F766&gt;0,'Cronog. e Histog.'!F766,"")</f>
        <v>Engenheiro Elétrica &amp; Instrumentação</v>
      </c>
      <c r="G40" s="179">
        <f t="shared" si="2"/>
        <v>0</v>
      </c>
      <c r="H40" s="110"/>
      <c r="I40" s="78"/>
      <c r="J40" s="81">
        <f>IF(I40="horista",H40*Dashboard!$D$15,IF(OR(I40="Mensalista",I40="PJ"),H40,))</f>
        <v>0</v>
      </c>
      <c r="K40" s="81">
        <f>IF(I40="PJ",J40,ROUND(J40*(1+Dashboard!$D$22),2))</f>
        <v>0</v>
      </c>
      <c r="L40" s="77"/>
      <c r="M40" s="180"/>
      <c r="P40" s="109">
        <f>IF($BD40&gt;0,(((($BD40/Dashboard!$D$15)*(1+Precificação!$W$589)))+$P$26)*(1+Dashboard!$D$35),0)</f>
        <v>0</v>
      </c>
      <c r="Q40" s="109">
        <f>IF($BD40&gt;0,(((($BD40/Dashboard!$D$23)*(1+Precificação!$W$589))*(1+Q$28))+$P$26)*(1+Dashboard!$D$35),0)</f>
        <v>0</v>
      </c>
      <c r="R40" s="109">
        <f>IF($BD40&gt;0,(((($BD40/Dashboard!$D$23)*(1+Precificação!$W$589))*(1+R$28))+$P$26)*(1+Dashboard!$D$35),0)</f>
        <v>0</v>
      </c>
      <c r="S40" s="109">
        <f>IF($BD40&gt;0,(((($BD40/Dashboard!$D$23)*(1+Precificação!$W$589))*(1+S$28))+$P$26)*(1+Dashboard!$D$35),0)</f>
        <v>0</v>
      </c>
      <c r="AA40" s="109">
        <f>IF($BD40&gt;0,(((($BD40/Dashboard!$D$23)*(1+Precificação!$W$589)))+$AA$26)*(1+Dashboard!$D$35),0)</f>
        <v>0</v>
      </c>
      <c r="AB40" s="109">
        <f>IF($BD40&gt;0,(((($BD40/Dashboard!$D$23)*(1+Precificação!$W$589))*(1+AB$28))+$AA$26)*(1+Dashboard!$D$35),0)</f>
        <v>0</v>
      </c>
      <c r="AC40" s="109">
        <f>IF($BD40&gt;0,(((($BD40/Dashboard!$D$23)*(1+Precificação!$W$589))*(1+AC$28))+$AA$26)*(1+Dashboard!$D$35),0)</f>
        <v>0</v>
      </c>
      <c r="AD40" s="109">
        <f>IF($BD40&gt;0,(((($BD40/Dashboard!$D$23)*(1+Precificação!$W$589))*(1+AD$28))+$AA$26)*(1+Dashboard!$D$35),0)</f>
        <v>0</v>
      </c>
      <c r="AL40" s="109">
        <f>IF($BD40&gt;0,(((($BD40/Dashboard!$D$23)*(1+Precificação!$W$589)))+$AL$26)*(1+Dashboard!$D$35),0)</f>
        <v>0</v>
      </c>
      <c r="AM40" s="109">
        <f>IF($BD40&gt;0,(((($BD40/Dashboard!$D$23)*(1+Precificação!$W$589))*(1+AM$28))+$AA$26)*(1+Dashboard!$D$35),0)</f>
        <v>0</v>
      </c>
      <c r="AN40" s="109">
        <f>IF($BD40&gt;0,(((($BD40/Dashboard!$D$23)*(1+Precificação!$W$589))*(1+AN$28))+$AA$26)*(1+Dashboard!$D$35),0)</f>
        <v>0</v>
      </c>
      <c r="AO40" s="109">
        <f>IF($BD40&gt;0,(((($BD40/Dashboard!$D$23)*(1+Precificação!$W$589))*(1+AO$28))+$AA$26)*(1+Dashboard!$D$35),0)</f>
        <v>0</v>
      </c>
      <c r="AV40" s="179">
        <f t="shared" si="3"/>
        <v>0</v>
      </c>
      <c r="AW40" s="144">
        <f>VLOOKUP(B40,'Cronog. e Histog.'!$B$757:$H$849,7,0)</f>
        <v>0</v>
      </c>
      <c r="AX40" s="144">
        <f>VLOOKUP(B40,'Cronog. e Histog.'!$B$757:$I$849,8,0)</f>
        <v>0</v>
      </c>
      <c r="AY40" s="144">
        <f>$AW40*$AX40*Dashboard!$D$15</f>
        <v>0</v>
      </c>
      <c r="AZ40" s="144">
        <f>$AW40*$AX40*VLOOKUP(B40,Precificação!$B$7:$BM$89,54,0)</f>
        <v>0</v>
      </c>
      <c r="BA40" s="144">
        <f>$AW40*$AX40*VLOOKUP(B40,Precificação!$B$7:$BR$89,58,0)</f>
        <v>0</v>
      </c>
      <c r="BB40" s="144">
        <f>$AW40*$AX40*VLOOKUP(B40,Precificação!$B$7:$BW$89,62,0)</f>
        <v>0</v>
      </c>
      <c r="BC40" s="144">
        <f t="shared" si="4"/>
        <v>0</v>
      </c>
      <c r="BD40" s="109">
        <f>IFERROR(VLOOKUP(B40,Precificação!$B$7:$S$89,13,0),0)</f>
        <v>0</v>
      </c>
      <c r="BE40" s="109">
        <f>IFERROR(VLOOKUP(B40,Precificação!$B$7:$U$89,15,0)/(Precificação!$U$4+Precificação!$U$91),0)*Dashboard!$T$3</f>
        <v>0</v>
      </c>
    </row>
    <row r="41" spans="2:57" ht="12" hidden="1" customHeight="1" outlineLevel="1">
      <c r="B41" s="137" t="str">
        <f>Precificação!B16</f>
        <v>Engenheiro Civil - Supervisão de Obra</v>
      </c>
      <c r="D41" s="607"/>
      <c r="E41" s="143" t="str">
        <f>IF('Cronog. e Histog.'!F767&gt;0,'Cronog. e Histog.'!F767,"")</f>
        <v>Engenheiro Civil</v>
      </c>
      <c r="G41" s="179">
        <f t="shared" si="2"/>
        <v>0</v>
      </c>
      <c r="H41" s="110"/>
      <c r="I41" s="78"/>
      <c r="J41" s="81">
        <f>IF(I41="horista",H41*Dashboard!$D$15,IF(OR(I41="Mensalista",I41="PJ"),H41,))</f>
        <v>0</v>
      </c>
      <c r="K41" s="81">
        <f>IF(I41="PJ",J41,ROUND(J41*(1+Dashboard!$D$22),2))</f>
        <v>0</v>
      </c>
      <c r="L41" s="77"/>
      <c r="M41" s="180"/>
      <c r="P41" s="109">
        <f>IF($BD41&gt;0,(((($BD41/Dashboard!$D$15)*(1+Precificação!$W$589)))+$P$26)*(1+Dashboard!$D$35),0)</f>
        <v>0</v>
      </c>
      <c r="Q41" s="109">
        <f>IF($BD41&gt;0,(((($BD41/Dashboard!$D$23)*(1+Precificação!$W$589))*(1+Q$28))+$P$26)*(1+Dashboard!$D$35),0)</f>
        <v>0</v>
      </c>
      <c r="R41" s="109">
        <f>IF($BD41&gt;0,(((($BD41/Dashboard!$D$23)*(1+Precificação!$W$589))*(1+R$28))+$P$26)*(1+Dashboard!$D$35),0)</f>
        <v>0</v>
      </c>
      <c r="S41" s="109">
        <f>IF($BD41&gt;0,(((($BD41/Dashboard!$D$23)*(1+Precificação!$W$589))*(1+S$28))+$P$26)*(1+Dashboard!$D$35),0)</f>
        <v>0</v>
      </c>
      <c r="AA41" s="109">
        <f>IF($BD41&gt;0,(((($BD41/Dashboard!$D$23)*(1+Precificação!$W$589)))+$AA$26)*(1+Dashboard!$D$35),0)</f>
        <v>0</v>
      </c>
      <c r="AB41" s="109">
        <f>IF($BD41&gt;0,(((($BD41/Dashboard!$D$23)*(1+Precificação!$W$589))*(1+AB$28))+$AA$26)*(1+Dashboard!$D$35),0)</f>
        <v>0</v>
      </c>
      <c r="AC41" s="109">
        <f>IF($BD41&gt;0,(((($BD41/Dashboard!$D$23)*(1+Precificação!$W$589))*(1+AC$28))+$AA$26)*(1+Dashboard!$D$35),0)</f>
        <v>0</v>
      </c>
      <c r="AD41" s="109">
        <f>IF($BD41&gt;0,(((($BD41/Dashboard!$D$23)*(1+Precificação!$W$589))*(1+AD$28))+$AA$26)*(1+Dashboard!$D$35),0)</f>
        <v>0</v>
      </c>
      <c r="AL41" s="109">
        <f>IF($BD41&gt;0,(((($BD41/Dashboard!$D$23)*(1+Precificação!$W$589)))+$AL$26)*(1+Dashboard!$D$35),0)</f>
        <v>0</v>
      </c>
      <c r="AM41" s="109">
        <f>IF($BD41&gt;0,(((($BD41/Dashboard!$D$23)*(1+Precificação!$W$589))*(1+AM$28))+$AA$26)*(1+Dashboard!$D$35),0)</f>
        <v>0</v>
      </c>
      <c r="AN41" s="109">
        <f>IF($BD41&gt;0,(((($BD41/Dashboard!$D$23)*(1+Precificação!$W$589))*(1+AN$28))+$AA$26)*(1+Dashboard!$D$35),0)</f>
        <v>0</v>
      </c>
      <c r="AO41" s="109">
        <f>IF($BD41&gt;0,(((($BD41/Dashboard!$D$23)*(1+Precificação!$W$589))*(1+AO$28))+$AA$26)*(1+Dashboard!$D$35),0)</f>
        <v>0</v>
      </c>
      <c r="AV41" s="179">
        <f t="shared" si="3"/>
        <v>0</v>
      </c>
      <c r="AW41" s="144">
        <f>VLOOKUP(B41,'Cronog. e Histog.'!$B$757:$H$849,7,0)</f>
        <v>0</v>
      </c>
      <c r="AX41" s="144">
        <f>VLOOKUP(B41,'Cronog. e Histog.'!$B$757:$I$849,8,0)</f>
        <v>0</v>
      </c>
      <c r="AY41" s="144">
        <f>$AW41*$AX41*Dashboard!$D$15</f>
        <v>0</v>
      </c>
      <c r="AZ41" s="144">
        <f>$AW41*$AX41*VLOOKUP(B41,Precificação!$B$7:$BM$89,54,0)</f>
        <v>0</v>
      </c>
      <c r="BA41" s="144">
        <f>$AW41*$AX41*VLOOKUP(B41,Precificação!$B$7:$BR$89,58,0)</f>
        <v>0</v>
      </c>
      <c r="BB41" s="144">
        <f>$AW41*$AX41*VLOOKUP(B41,Precificação!$B$7:$BW$89,62,0)</f>
        <v>0</v>
      </c>
      <c r="BC41" s="144">
        <f t="shared" si="4"/>
        <v>0</v>
      </c>
      <c r="BD41" s="109">
        <f>IFERROR(VLOOKUP(B41,Precificação!$B$7:$S$89,13,0),0)</f>
        <v>0</v>
      </c>
      <c r="BE41" s="109">
        <f>IFERROR(VLOOKUP(B41,Precificação!$B$7:$U$89,15,0)/(Precificação!$U$4+Precificação!$U$91),0)*Dashboard!$T$3</f>
        <v>0</v>
      </c>
    </row>
    <row r="42" spans="2:57" ht="12" hidden="1" customHeight="1" outlineLevel="1">
      <c r="B42" s="137" t="str">
        <f>Precificação!B17</f>
        <v>Engenheiro de Produção - Supervisão de Obra</v>
      </c>
      <c r="D42" s="607"/>
      <c r="E42" s="143" t="str">
        <f>IF('Cronog. e Histog.'!F768&gt;0,'Cronog. e Histog.'!F768,"")</f>
        <v>Engenheiro de Produção</v>
      </c>
      <c r="G42" s="179">
        <f t="shared" si="2"/>
        <v>0</v>
      </c>
      <c r="H42" s="110"/>
      <c r="I42" s="78"/>
      <c r="J42" s="81">
        <f>IF(I42="horista",H42*Dashboard!$D$15,IF(OR(I42="Mensalista",I42="PJ"),H42,))</f>
        <v>0</v>
      </c>
      <c r="K42" s="81">
        <f>IF(I42="PJ",J42,ROUND(J42*(1+Dashboard!$D$22),2))</f>
        <v>0</v>
      </c>
      <c r="L42" s="77"/>
      <c r="M42" s="180"/>
      <c r="P42" s="109">
        <f>IF($BD42&gt;0,(((($BD42/Dashboard!$D$15)*(1+Precificação!$W$589)))+$P$26)*(1+Dashboard!$D$35),0)</f>
        <v>0</v>
      </c>
      <c r="Q42" s="109">
        <f>IF($BD42&gt;0,(((($BD42/Dashboard!$D$23)*(1+Precificação!$W$589))*(1+Q$28))+$P$26)*(1+Dashboard!$D$35),0)</f>
        <v>0</v>
      </c>
      <c r="R42" s="109">
        <f>IF($BD42&gt;0,(((($BD42/Dashboard!$D$23)*(1+Precificação!$W$589))*(1+R$28))+$P$26)*(1+Dashboard!$D$35),0)</f>
        <v>0</v>
      </c>
      <c r="S42" s="109">
        <f>IF($BD42&gt;0,(((($BD42/Dashboard!$D$23)*(1+Precificação!$W$589))*(1+S$28))+$P$26)*(1+Dashboard!$D$35),0)</f>
        <v>0</v>
      </c>
      <c r="AA42" s="109">
        <f>IF($BD42&gt;0,(((($BD42/Dashboard!$D$23)*(1+Precificação!$W$589)))+$AA$26)*(1+Dashboard!$D$35),0)</f>
        <v>0</v>
      </c>
      <c r="AB42" s="109">
        <f>IF($BD42&gt;0,(((($BD42/Dashboard!$D$23)*(1+Precificação!$W$589))*(1+AB$28))+$AA$26)*(1+Dashboard!$D$35),0)</f>
        <v>0</v>
      </c>
      <c r="AC42" s="109">
        <f>IF($BD42&gt;0,(((($BD42/Dashboard!$D$23)*(1+Precificação!$W$589))*(1+AC$28))+$AA$26)*(1+Dashboard!$D$35),0)</f>
        <v>0</v>
      </c>
      <c r="AD42" s="109">
        <f>IF($BD42&gt;0,(((($BD42/Dashboard!$D$23)*(1+Precificação!$W$589))*(1+AD$28))+$AA$26)*(1+Dashboard!$D$35),0)</f>
        <v>0</v>
      </c>
      <c r="AL42" s="109">
        <f>IF($BD42&gt;0,(((($BD42/Dashboard!$D$23)*(1+Precificação!$W$589)))+$AL$26)*(1+Dashboard!$D$35),0)</f>
        <v>0</v>
      </c>
      <c r="AM42" s="109">
        <f>IF($BD42&gt;0,(((($BD42/Dashboard!$D$23)*(1+Precificação!$W$589))*(1+AM$28))+$AA$26)*(1+Dashboard!$D$35),0)</f>
        <v>0</v>
      </c>
      <c r="AN42" s="109">
        <f>IF($BD42&gt;0,(((($BD42/Dashboard!$D$23)*(1+Precificação!$W$589))*(1+AN$28))+$AA$26)*(1+Dashboard!$D$35),0)</f>
        <v>0</v>
      </c>
      <c r="AO42" s="109">
        <f>IF($BD42&gt;0,(((($BD42/Dashboard!$D$23)*(1+Precificação!$W$589))*(1+AO$28))+$AA$26)*(1+Dashboard!$D$35),0)</f>
        <v>0</v>
      </c>
      <c r="AV42" s="179">
        <f t="shared" si="3"/>
        <v>0</v>
      </c>
      <c r="AW42" s="144">
        <f>VLOOKUP(B42,'Cronog. e Histog.'!$B$757:$H$849,7,0)</f>
        <v>0</v>
      </c>
      <c r="AX42" s="144">
        <f>VLOOKUP(B42,'Cronog. e Histog.'!$B$757:$I$849,8,0)</f>
        <v>0</v>
      </c>
      <c r="AY42" s="144">
        <f>$AW42*$AX42*Dashboard!$D$15</f>
        <v>0</v>
      </c>
      <c r="AZ42" s="144">
        <f>$AW42*$AX42*VLOOKUP(B42,Precificação!$B$7:$BM$89,54,0)</f>
        <v>0</v>
      </c>
      <c r="BA42" s="144">
        <f>$AW42*$AX42*VLOOKUP(B42,Precificação!$B$7:$BR$89,58,0)</f>
        <v>0</v>
      </c>
      <c r="BB42" s="144">
        <f>$AW42*$AX42*VLOOKUP(B42,Precificação!$B$7:$BW$89,62,0)</f>
        <v>0</v>
      </c>
      <c r="BC42" s="144">
        <f t="shared" si="4"/>
        <v>0</v>
      </c>
      <c r="BD42" s="109">
        <f>IFERROR(VLOOKUP(B42,Precificação!$B$7:$S$89,13,0),0)</f>
        <v>0</v>
      </c>
      <c r="BE42" s="109">
        <f>IFERROR(VLOOKUP(B42,Precificação!$B$7:$U$89,15,0)/(Precificação!$U$4+Precificação!$U$91),0)*Dashboard!$T$3</f>
        <v>0</v>
      </c>
    </row>
    <row r="43" spans="2:57" ht="12" hidden="1" customHeight="1" outlineLevel="1">
      <c r="B43" s="137" t="str">
        <f>Precificação!B18</f>
        <v>Engenheiro de Campo - Supervisão de Obra</v>
      </c>
      <c r="D43" s="607"/>
      <c r="E43" s="143" t="str">
        <f>IF('Cronog. e Histog.'!F769&gt;0,'Cronog. e Histog.'!F769,"")</f>
        <v>Engenheiro de Campo</v>
      </c>
      <c r="G43" s="179">
        <f t="shared" si="2"/>
        <v>0</v>
      </c>
      <c r="H43" s="110"/>
      <c r="I43" s="78"/>
      <c r="J43" s="81">
        <f>IF(I43="horista",H43*Dashboard!$D$15,IF(OR(I43="Mensalista",I43="PJ"),H43,))</f>
        <v>0</v>
      </c>
      <c r="K43" s="81">
        <f>IF(I43="PJ",J43,ROUND(J43*(1+Dashboard!$D$22),2))</f>
        <v>0</v>
      </c>
      <c r="L43" s="77"/>
      <c r="M43" s="180"/>
      <c r="P43" s="109">
        <f>IF($BD43&gt;0,(((($BD43/Dashboard!$D$15)*(1+Precificação!$W$589)))+$P$26)*(1+Dashboard!$D$35),0)</f>
        <v>0</v>
      </c>
      <c r="Q43" s="109">
        <f>IF($BD43&gt;0,(((($BD43/Dashboard!$D$23)*(1+Precificação!$W$589))*(1+Q$28))+$P$26)*(1+Dashboard!$D$35),0)</f>
        <v>0</v>
      </c>
      <c r="R43" s="109">
        <f>IF($BD43&gt;0,(((($BD43/Dashboard!$D$23)*(1+Precificação!$W$589))*(1+R$28))+$P$26)*(1+Dashboard!$D$35),0)</f>
        <v>0</v>
      </c>
      <c r="S43" s="109">
        <f>IF($BD43&gt;0,(((($BD43/Dashboard!$D$23)*(1+Precificação!$W$589))*(1+S$28))+$P$26)*(1+Dashboard!$D$35),0)</f>
        <v>0</v>
      </c>
      <c r="AA43" s="109">
        <f>IF($BD43&gt;0,(((($BD43/Dashboard!$D$23)*(1+Precificação!$W$589)))+$AA$26)*(1+Dashboard!$D$35),0)</f>
        <v>0</v>
      </c>
      <c r="AB43" s="109">
        <f>IF($BD43&gt;0,(((($BD43/Dashboard!$D$23)*(1+Precificação!$W$589))*(1+AB$28))+$AA$26)*(1+Dashboard!$D$35),0)</f>
        <v>0</v>
      </c>
      <c r="AC43" s="109">
        <f>IF($BD43&gt;0,(((($BD43/Dashboard!$D$23)*(1+Precificação!$W$589))*(1+AC$28))+$AA$26)*(1+Dashboard!$D$35),0)</f>
        <v>0</v>
      </c>
      <c r="AD43" s="109">
        <f>IF($BD43&gt;0,(((($BD43/Dashboard!$D$23)*(1+Precificação!$W$589))*(1+AD$28))+$AA$26)*(1+Dashboard!$D$35),0)</f>
        <v>0</v>
      </c>
      <c r="AL43" s="109">
        <f>IF($BD43&gt;0,(((($BD43/Dashboard!$D$23)*(1+Precificação!$W$589)))+$AL$26)*(1+Dashboard!$D$35),0)</f>
        <v>0</v>
      </c>
      <c r="AM43" s="109">
        <f>IF($BD43&gt;0,(((($BD43/Dashboard!$D$23)*(1+Precificação!$W$589))*(1+AM$28))+$AA$26)*(1+Dashboard!$D$35),0)</f>
        <v>0</v>
      </c>
      <c r="AN43" s="109">
        <f>IF($BD43&gt;0,(((($BD43/Dashboard!$D$23)*(1+Precificação!$W$589))*(1+AN$28))+$AA$26)*(1+Dashboard!$D$35),0)</f>
        <v>0</v>
      </c>
      <c r="AO43" s="109">
        <f>IF($BD43&gt;0,(((($BD43/Dashboard!$D$23)*(1+Precificação!$W$589))*(1+AO$28))+$AA$26)*(1+Dashboard!$D$35),0)</f>
        <v>0</v>
      </c>
      <c r="AV43" s="179">
        <f t="shared" si="3"/>
        <v>0</v>
      </c>
      <c r="AW43" s="144">
        <f>VLOOKUP(B43,'Cronog. e Histog.'!$B$757:$H$849,7,0)</f>
        <v>0</v>
      </c>
      <c r="AX43" s="144">
        <f>VLOOKUP(B43,'Cronog. e Histog.'!$B$757:$I$849,8,0)</f>
        <v>0</v>
      </c>
      <c r="AY43" s="144">
        <f>$AW43*$AX43*Dashboard!$D$15</f>
        <v>0</v>
      </c>
      <c r="AZ43" s="144">
        <f>$AW43*$AX43*VLOOKUP(B43,Precificação!$B$7:$BM$89,54,0)</f>
        <v>0</v>
      </c>
      <c r="BA43" s="144">
        <f>$AW43*$AX43*VLOOKUP(B43,Precificação!$B$7:$BR$89,58,0)</f>
        <v>0</v>
      </c>
      <c r="BB43" s="144">
        <f>$AW43*$AX43*VLOOKUP(B43,Precificação!$B$7:$BW$89,62,0)</f>
        <v>0</v>
      </c>
      <c r="BC43" s="144">
        <f t="shared" si="4"/>
        <v>0</v>
      </c>
      <c r="BD43" s="109">
        <f>IFERROR(VLOOKUP(B43,Precificação!$B$7:$S$89,13,0),0)</f>
        <v>0</v>
      </c>
      <c r="BE43" s="109">
        <f>IFERROR(VLOOKUP(B43,Precificação!$B$7:$U$89,15,0)/(Precificação!$U$4+Precificação!$U$91),0)*Dashboard!$T$3</f>
        <v>0</v>
      </c>
    </row>
    <row r="44" spans="2:57" ht="12" hidden="1" customHeight="1" outlineLevel="1">
      <c r="B44" s="137" t="str">
        <f>Precificação!B19</f>
        <v>Supervisor de Campo - Supervisão de Obra</v>
      </c>
      <c r="D44" s="607"/>
      <c r="E44" s="143" t="str">
        <f>IF('Cronog. e Histog.'!F770&gt;0,'Cronog. e Histog.'!F770,"")</f>
        <v>Supervisor de Campo</v>
      </c>
      <c r="G44" s="179">
        <f t="shared" si="2"/>
        <v>0</v>
      </c>
      <c r="H44" s="110"/>
      <c r="I44" s="78"/>
      <c r="J44" s="81">
        <f>IF(I44="horista",H44*Dashboard!$D$15,IF(OR(I44="Mensalista",I44="PJ"),H44,))</f>
        <v>0</v>
      </c>
      <c r="K44" s="81">
        <f>IF(I44="PJ",J44,ROUND(J44*(1+Dashboard!$D$22),2))</f>
        <v>0</v>
      </c>
      <c r="L44" s="77"/>
      <c r="M44" s="180"/>
      <c r="P44" s="109">
        <f>IF($BD44&gt;0,(((($BD44/Dashboard!$D$15)*(1+Precificação!$W$589)))+$P$26)*(1+Dashboard!$D$35),0)</f>
        <v>0</v>
      </c>
      <c r="Q44" s="109">
        <f>IF($BD44&gt;0,(((($BD44/Dashboard!$D$23)*(1+Precificação!$W$589))*(1+Q$28))+$P$26)*(1+Dashboard!$D$35),0)</f>
        <v>0</v>
      </c>
      <c r="R44" s="109">
        <f>IF($BD44&gt;0,(((($BD44/Dashboard!$D$23)*(1+Precificação!$W$589))*(1+R$28))+$P$26)*(1+Dashboard!$D$35),0)</f>
        <v>0</v>
      </c>
      <c r="S44" s="109">
        <f>IF($BD44&gt;0,(((($BD44/Dashboard!$D$23)*(1+Precificação!$W$589))*(1+S$28))+$P$26)*(1+Dashboard!$D$35),0)</f>
        <v>0</v>
      </c>
      <c r="AA44" s="109">
        <f>IF($BD44&gt;0,(((($BD44/Dashboard!$D$23)*(1+Precificação!$W$589)))+$AA$26)*(1+Dashboard!$D$35),0)</f>
        <v>0</v>
      </c>
      <c r="AB44" s="109">
        <f>IF($BD44&gt;0,(((($BD44/Dashboard!$D$23)*(1+Precificação!$W$589))*(1+AB$28))+$AA$26)*(1+Dashboard!$D$35),0)</f>
        <v>0</v>
      </c>
      <c r="AC44" s="109">
        <f>IF($BD44&gt;0,(((($BD44/Dashboard!$D$23)*(1+Precificação!$W$589))*(1+AC$28))+$AA$26)*(1+Dashboard!$D$35),0)</f>
        <v>0</v>
      </c>
      <c r="AD44" s="109">
        <f>IF($BD44&gt;0,(((($BD44/Dashboard!$D$23)*(1+Precificação!$W$589))*(1+AD$28))+$AA$26)*(1+Dashboard!$D$35),0)</f>
        <v>0</v>
      </c>
      <c r="AL44" s="109">
        <f>IF($BD44&gt;0,(((($BD44/Dashboard!$D$23)*(1+Precificação!$W$589)))+$AL$26)*(1+Dashboard!$D$35),0)</f>
        <v>0</v>
      </c>
      <c r="AM44" s="109">
        <f>IF($BD44&gt;0,(((($BD44/Dashboard!$D$23)*(1+Precificação!$W$589))*(1+AM$28))+$AA$26)*(1+Dashboard!$D$35),0)</f>
        <v>0</v>
      </c>
      <c r="AN44" s="109">
        <f>IF($BD44&gt;0,(((($BD44/Dashboard!$D$23)*(1+Precificação!$W$589))*(1+AN$28))+$AA$26)*(1+Dashboard!$D$35),0)</f>
        <v>0</v>
      </c>
      <c r="AO44" s="109">
        <f>IF($BD44&gt;0,(((($BD44/Dashboard!$D$23)*(1+Precificação!$W$589))*(1+AO$28))+$AA$26)*(1+Dashboard!$D$35),0)</f>
        <v>0</v>
      </c>
      <c r="AV44" s="179">
        <f t="shared" si="3"/>
        <v>0</v>
      </c>
      <c r="AW44" s="144">
        <f>VLOOKUP(B44,'Cronog. e Histog.'!$B$757:$H$849,7,0)</f>
        <v>0</v>
      </c>
      <c r="AX44" s="144">
        <f>VLOOKUP(B44,'Cronog. e Histog.'!$B$757:$I$849,8,0)</f>
        <v>0</v>
      </c>
      <c r="AY44" s="144">
        <f>$AW44*$AX44*Dashboard!$D$15</f>
        <v>0</v>
      </c>
      <c r="AZ44" s="144">
        <f>$AW44*$AX44*VLOOKUP(B44,Precificação!$B$7:$BM$89,54,0)</f>
        <v>0</v>
      </c>
      <c r="BA44" s="144">
        <f>$AW44*$AX44*VLOOKUP(B44,Precificação!$B$7:$BR$89,58,0)</f>
        <v>0</v>
      </c>
      <c r="BB44" s="144">
        <f>$AW44*$AX44*VLOOKUP(B44,Precificação!$B$7:$BW$89,62,0)</f>
        <v>0</v>
      </c>
      <c r="BC44" s="144">
        <f t="shared" si="4"/>
        <v>0</v>
      </c>
      <c r="BD44" s="109">
        <f>IFERROR(VLOOKUP(B44,Precificação!$B$7:$S$89,13,0),0)</f>
        <v>0</v>
      </c>
      <c r="BE44" s="109">
        <f>IFERROR(VLOOKUP(B44,Precificação!$B$7:$U$89,15,0)/(Precificação!$U$4+Precificação!$U$91),0)*Dashboard!$T$3</f>
        <v>0</v>
      </c>
    </row>
    <row r="45" spans="2:57" ht="12" hidden="1" customHeight="1" outlineLevel="1">
      <c r="B45" s="137" t="str">
        <f>Precificação!B20</f>
        <v>Encarregado - Supervisão de Obra</v>
      </c>
      <c r="D45" s="607"/>
      <c r="E45" s="143" t="str">
        <f>IF('Cronog. e Histog.'!F771&gt;0,'Cronog. e Histog.'!F771,"")</f>
        <v>Encarregado</v>
      </c>
      <c r="G45" s="179">
        <f t="shared" si="2"/>
        <v>0</v>
      </c>
      <c r="H45" s="110"/>
      <c r="I45" s="78"/>
      <c r="J45" s="81">
        <f>IF(I45="horista",H45*Dashboard!$D$15,IF(OR(I45="Mensalista",I45="PJ"),H45,))</f>
        <v>0</v>
      </c>
      <c r="K45" s="81">
        <f>IF(I45="PJ",J45,ROUND(J45*(1+Dashboard!$D$22),2))</f>
        <v>0</v>
      </c>
      <c r="L45" s="77"/>
      <c r="M45" s="180"/>
      <c r="P45" s="109">
        <f>IF($BD45&gt;0,(((($BD45/Dashboard!$D$15)*(1+Precificação!$W$589)))+$P$26)*(1+Dashboard!$D$35),0)</f>
        <v>0</v>
      </c>
      <c r="Q45" s="109">
        <f>IF($BD45&gt;0,(((($BD45/Dashboard!$D$23)*(1+Precificação!$W$589))*(1+Q$28))+$P$26)*(1+Dashboard!$D$35),0)</f>
        <v>0</v>
      </c>
      <c r="R45" s="109">
        <f>IF($BD45&gt;0,(((($BD45/Dashboard!$D$23)*(1+Precificação!$W$589))*(1+R$28))+$P$26)*(1+Dashboard!$D$35),0)</f>
        <v>0</v>
      </c>
      <c r="S45" s="109">
        <f>IF($BD45&gt;0,(((($BD45/Dashboard!$D$23)*(1+Precificação!$W$589))*(1+S$28))+$P$26)*(1+Dashboard!$D$35),0)</f>
        <v>0</v>
      </c>
      <c r="AA45" s="109">
        <f>IF($BD45&gt;0,(((($BD45/Dashboard!$D$23)*(1+Precificação!$W$589)))+$AA$26)*(1+Dashboard!$D$35),0)</f>
        <v>0</v>
      </c>
      <c r="AB45" s="109">
        <f>IF($BD45&gt;0,(((($BD45/Dashboard!$D$23)*(1+Precificação!$W$589))*(1+AB$28))+$AA$26)*(1+Dashboard!$D$35),0)</f>
        <v>0</v>
      </c>
      <c r="AC45" s="109">
        <f>IF($BD45&gt;0,(((($BD45/Dashboard!$D$23)*(1+Precificação!$W$589))*(1+AC$28))+$AA$26)*(1+Dashboard!$D$35),0)</f>
        <v>0</v>
      </c>
      <c r="AD45" s="109">
        <f>IF($BD45&gt;0,(((($BD45/Dashboard!$D$23)*(1+Precificação!$W$589))*(1+AD$28))+$AA$26)*(1+Dashboard!$D$35),0)</f>
        <v>0</v>
      </c>
      <c r="AL45" s="109">
        <f>IF($BD45&gt;0,(((($BD45/Dashboard!$D$23)*(1+Precificação!$W$589)))+$AL$26)*(1+Dashboard!$D$35),0)</f>
        <v>0</v>
      </c>
      <c r="AM45" s="109">
        <f>IF($BD45&gt;0,(((($BD45/Dashboard!$D$23)*(1+Precificação!$W$589))*(1+AM$28))+$AA$26)*(1+Dashboard!$D$35),0)</f>
        <v>0</v>
      </c>
      <c r="AN45" s="109">
        <f>IF($BD45&gt;0,(((($BD45/Dashboard!$D$23)*(1+Precificação!$W$589))*(1+AN$28))+$AA$26)*(1+Dashboard!$D$35),0)</f>
        <v>0</v>
      </c>
      <c r="AO45" s="109">
        <f>IF($BD45&gt;0,(((($BD45/Dashboard!$D$23)*(1+Precificação!$W$589))*(1+AO$28))+$AA$26)*(1+Dashboard!$D$35),0)</f>
        <v>0</v>
      </c>
      <c r="AV45" s="179">
        <f t="shared" si="3"/>
        <v>0</v>
      </c>
      <c r="AW45" s="144">
        <f>VLOOKUP(B45,'Cronog. e Histog.'!$B$757:$H$849,7,0)</f>
        <v>0</v>
      </c>
      <c r="AX45" s="144">
        <f>VLOOKUP(B45,'Cronog. e Histog.'!$B$757:$I$849,8,0)</f>
        <v>0</v>
      </c>
      <c r="AY45" s="144">
        <f>$AW45*$AX45*Dashboard!$D$15</f>
        <v>0</v>
      </c>
      <c r="AZ45" s="144">
        <f>$AW45*$AX45*VLOOKUP(B45,Precificação!$B$7:$BM$89,54,0)</f>
        <v>0</v>
      </c>
      <c r="BA45" s="144">
        <f>$AW45*$AX45*VLOOKUP(B45,Precificação!$B$7:$BR$89,58,0)</f>
        <v>0</v>
      </c>
      <c r="BB45" s="144">
        <f>$AW45*$AX45*VLOOKUP(B45,Precificação!$B$7:$BW$89,62,0)</f>
        <v>0</v>
      </c>
      <c r="BC45" s="144">
        <f t="shared" si="4"/>
        <v>0</v>
      </c>
      <c r="BD45" s="109">
        <f>IFERROR(VLOOKUP(B45,Precificação!$B$7:$S$89,13,0),0)</f>
        <v>0</v>
      </c>
      <c r="BE45" s="109">
        <f>IFERROR(VLOOKUP(B45,Precificação!$B$7:$U$89,15,0)/(Precificação!$U$4+Precificação!$U$91),0)*Dashboard!$T$3</f>
        <v>0</v>
      </c>
    </row>
    <row r="46" spans="2:57" ht="12" hidden="1" customHeight="1" outlineLevel="1">
      <c r="B46" s="137" t="str">
        <f>Precificação!B21</f>
        <v>Supervisor Administrativo - Administração da Obra</v>
      </c>
      <c r="D46" s="607" t="s">
        <v>485</v>
      </c>
      <c r="E46" s="143" t="str">
        <f>IF('Cronog. e Histog.'!F773&gt;0,'Cronog. e Histog.'!F773,"")</f>
        <v>Supervisor Administrativo</v>
      </c>
      <c r="G46" s="179">
        <f t="shared" si="2"/>
        <v>0</v>
      </c>
      <c r="H46" s="110"/>
      <c r="I46" s="78"/>
      <c r="J46" s="81">
        <f>IF(I46="horista",H46*Dashboard!$D$15,IF(OR(I46="Mensalista",I46="PJ"),H46,))</f>
        <v>0</v>
      </c>
      <c r="K46" s="81">
        <f>IF(I46="PJ",J46,ROUND(J46*(1+Dashboard!$D$22),2))</f>
        <v>0</v>
      </c>
      <c r="L46" s="77"/>
      <c r="M46" s="180"/>
      <c r="P46" s="109">
        <f>IF($BD46&gt;0,(((($BD46/Dashboard!$D$15)*(1+Precificação!$W$589)))+$P$26)*(1+Dashboard!$D$35),0)</f>
        <v>0</v>
      </c>
      <c r="Q46" s="109">
        <f>IF($BD46&gt;0,(((($BD46/Dashboard!$D$23)*(1+Precificação!$W$589))*(1+Q$28))+$P$26)*(1+Dashboard!$D$35),0)</f>
        <v>0</v>
      </c>
      <c r="R46" s="109">
        <f>IF($BD46&gt;0,(((($BD46/Dashboard!$D$23)*(1+Precificação!$W$589))*(1+R$28))+$P$26)*(1+Dashboard!$D$35),0)</f>
        <v>0</v>
      </c>
      <c r="S46" s="109">
        <f>IF($BD46&gt;0,(((($BD46/Dashboard!$D$23)*(1+Precificação!$W$589))*(1+S$28))+$P$26)*(1+Dashboard!$D$35),0)</f>
        <v>0</v>
      </c>
      <c r="AA46" s="109">
        <f>IF($BD46&gt;0,(((($BD46/Dashboard!$D$23)*(1+Precificação!$W$589)))+$AA$26)*(1+Dashboard!$D$35),0)</f>
        <v>0</v>
      </c>
      <c r="AB46" s="109">
        <f>IF($BD46&gt;0,(((($BD46/Dashboard!$D$23)*(1+Precificação!$W$589))*(1+AB$28))+$AA$26)*(1+Dashboard!$D$35),0)</f>
        <v>0</v>
      </c>
      <c r="AC46" s="109">
        <f>IF($BD46&gt;0,(((($BD46/Dashboard!$D$23)*(1+Precificação!$W$589))*(1+AC$28))+$AA$26)*(1+Dashboard!$D$35),0)</f>
        <v>0</v>
      </c>
      <c r="AD46" s="109">
        <f>IF($BD46&gt;0,(((($BD46/Dashboard!$D$23)*(1+Precificação!$W$589))*(1+AD$28))+$AA$26)*(1+Dashboard!$D$35),0)</f>
        <v>0</v>
      </c>
      <c r="AL46" s="109">
        <f>IF($BD46&gt;0,(((($BD46/Dashboard!$D$23)*(1+Precificação!$W$589)))+$AL$26)*(1+Dashboard!$D$35),0)</f>
        <v>0</v>
      </c>
      <c r="AM46" s="109">
        <f>IF($BD46&gt;0,(((($BD46/Dashboard!$D$23)*(1+Precificação!$W$589))*(1+AM$28))+$AA$26)*(1+Dashboard!$D$35),0)</f>
        <v>0</v>
      </c>
      <c r="AN46" s="109">
        <f>IF($BD46&gt;0,(((($BD46/Dashboard!$D$23)*(1+Precificação!$W$589))*(1+AN$28))+$AA$26)*(1+Dashboard!$D$35),0)</f>
        <v>0</v>
      </c>
      <c r="AO46" s="109">
        <f>IF($BD46&gt;0,(((($BD46/Dashboard!$D$23)*(1+Precificação!$W$589))*(1+AO$28))+$AA$26)*(1+Dashboard!$D$35),0)</f>
        <v>0</v>
      </c>
      <c r="AV46" s="179">
        <f t="shared" si="3"/>
        <v>0</v>
      </c>
      <c r="AW46" s="144">
        <f>VLOOKUP(B46,'Cronog. e Histog.'!$B$757:$H$849,7,0)</f>
        <v>0</v>
      </c>
      <c r="AX46" s="144">
        <f>VLOOKUP(B46,'Cronog. e Histog.'!$B$757:$I$849,8,0)</f>
        <v>0</v>
      </c>
      <c r="AY46" s="144">
        <f>$AW46*$AX46*Dashboard!$D$15</f>
        <v>0</v>
      </c>
      <c r="AZ46" s="144">
        <f>$AW46*$AX46*VLOOKUP(B46,Precificação!$B$7:$BM$89,54,0)</f>
        <v>0</v>
      </c>
      <c r="BA46" s="144">
        <f>$AW46*$AX46*VLOOKUP(B46,Precificação!$B$7:$BR$89,58,0)</f>
        <v>0</v>
      </c>
      <c r="BB46" s="144">
        <f>$AW46*$AX46*VLOOKUP(B46,Precificação!$B$7:$BW$89,62,0)</f>
        <v>0</v>
      </c>
      <c r="BC46" s="144">
        <f t="shared" si="4"/>
        <v>0</v>
      </c>
      <c r="BD46" s="109">
        <f>IFERROR(VLOOKUP(B46,Precificação!$B$7:$S$89,13,0),0)</f>
        <v>0</v>
      </c>
      <c r="BE46" s="109">
        <f>IFERROR(VLOOKUP(B46,Precificação!$B$7:$U$89,15,0)/(Precificação!$U$4+Precificação!$U$91),0)*Dashboard!$T$3</f>
        <v>0</v>
      </c>
    </row>
    <row r="47" spans="2:57" ht="12" hidden="1" customHeight="1" outlineLevel="1">
      <c r="B47" s="137" t="str">
        <f>Precificação!B22</f>
        <v>Técnico Administrativo - Administração da Obra</v>
      </c>
      <c r="D47" s="607"/>
      <c r="E47" s="143" t="str">
        <f>IF('Cronog. e Histog.'!F774&gt;0,'Cronog. e Histog.'!F774,"")</f>
        <v>Técnico Administrativo</v>
      </c>
      <c r="G47" s="179">
        <f t="shared" si="2"/>
        <v>0</v>
      </c>
      <c r="H47" s="110"/>
      <c r="I47" s="78"/>
      <c r="J47" s="81">
        <f>IF(I47="horista",H47*Dashboard!$D$15,IF(OR(I47="Mensalista",I47="PJ"),H47,))</f>
        <v>0</v>
      </c>
      <c r="K47" s="81">
        <f>IF(I47="PJ",J47,ROUND(J47*(1+Dashboard!$D$22),2))</f>
        <v>0</v>
      </c>
      <c r="L47" s="77"/>
      <c r="M47" s="180"/>
      <c r="P47" s="109">
        <f>IF($BD47&gt;0,(((($BD47/Dashboard!$D$15)*(1+Precificação!$W$589)))+$P$26)*(1+Dashboard!$D$35),0)</f>
        <v>0</v>
      </c>
      <c r="Q47" s="109">
        <f>IF($BD47&gt;0,(((($BD47/Dashboard!$D$23)*(1+Precificação!$W$589))*(1+Q$28))+$P$26)*(1+Dashboard!$D$35),0)</f>
        <v>0</v>
      </c>
      <c r="R47" s="109">
        <f>IF($BD47&gt;0,(((($BD47/Dashboard!$D$23)*(1+Precificação!$W$589))*(1+R$28))+$P$26)*(1+Dashboard!$D$35),0)</f>
        <v>0</v>
      </c>
      <c r="S47" s="109">
        <f>IF($BD47&gt;0,(((($BD47/Dashboard!$D$23)*(1+Precificação!$W$589))*(1+S$28))+$P$26)*(1+Dashboard!$D$35),0)</f>
        <v>0</v>
      </c>
      <c r="AA47" s="109">
        <f>IF($BD47&gt;0,(((($BD47/Dashboard!$D$23)*(1+Precificação!$W$589)))+$AA$26)*(1+Dashboard!$D$35),0)</f>
        <v>0</v>
      </c>
      <c r="AB47" s="109">
        <f>IF($BD47&gt;0,(((($BD47/Dashboard!$D$23)*(1+Precificação!$W$589))*(1+AB$28))+$AA$26)*(1+Dashboard!$D$35),0)</f>
        <v>0</v>
      </c>
      <c r="AC47" s="109">
        <f>IF($BD47&gt;0,(((($BD47/Dashboard!$D$23)*(1+Precificação!$W$589))*(1+AC$28))+$AA$26)*(1+Dashboard!$D$35),0)</f>
        <v>0</v>
      </c>
      <c r="AD47" s="109">
        <f>IF($BD47&gt;0,(((($BD47/Dashboard!$D$23)*(1+Precificação!$W$589))*(1+AD$28))+$AA$26)*(1+Dashboard!$D$35),0)</f>
        <v>0</v>
      </c>
      <c r="AL47" s="109">
        <f>IF($BD47&gt;0,(((($BD47/Dashboard!$D$23)*(1+Precificação!$W$589)))+$AL$26)*(1+Dashboard!$D$35),0)</f>
        <v>0</v>
      </c>
      <c r="AM47" s="109">
        <f>IF($BD47&gt;0,(((($BD47/Dashboard!$D$23)*(1+Precificação!$W$589))*(1+AM$28))+$AA$26)*(1+Dashboard!$D$35),0)</f>
        <v>0</v>
      </c>
      <c r="AN47" s="109">
        <f>IF($BD47&gt;0,(((($BD47/Dashboard!$D$23)*(1+Precificação!$W$589))*(1+AN$28))+$AA$26)*(1+Dashboard!$D$35),0)</f>
        <v>0</v>
      </c>
      <c r="AO47" s="109">
        <f>IF($BD47&gt;0,(((($BD47/Dashboard!$D$23)*(1+Precificação!$W$589))*(1+AO$28))+$AA$26)*(1+Dashboard!$D$35),0)</f>
        <v>0</v>
      </c>
      <c r="AV47" s="179">
        <f t="shared" si="3"/>
        <v>0</v>
      </c>
      <c r="AW47" s="144">
        <f>VLOOKUP(B47,'Cronog. e Histog.'!$B$757:$H$849,7,0)</f>
        <v>0</v>
      </c>
      <c r="AX47" s="144">
        <f>VLOOKUP(B47,'Cronog. e Histog.'!$B$757:$I$849,8,0)</f>
        <v>0</v>
      </c>
      <c r="AY47" s="144">
        <f>$AW47*$AX47*Dashboard!$D$15</f>
        <v>0</v>
      </c>
      <c r="AZ47" s="144">
        <f>$AW47*$AX47*VLOOKUP(B47,Precificação!$B$7:$BM$89,54,0)</f>
        <v>0</v>
      </c>
      <c r="BA47" s="144">
        <f>$AW47*$AX47*VLOOKUP(B47,Precificação!$B$7:$BR$89,58,0)</f>
        <v>0</v>
      </c>
      <c r="BB47" s="144">
        <f>$AW47*$AX47*VLOOKUP(B47,Precificação!$B$7:$BW$89,62,0)</f>
        <v>0</v>
      </c>
      <c r="BC47" s="144">
        <f t="shared" si="4"/>
        <v>0</v>
      </c>
      <c r="BD47" s="109">
        <f>IFERROR(VLOOKUP(B47,Precificação!$B$7:$S$89,13,0),0)</f>
        <v>0</v>
      </c>
      <c r="BE47" s="109">
        <f>IFERROR(VLOOKUP(B47,Precificação!$B$7:$U$89,15,0)/(Precificação!$U$4+Precificação!$U$91),0)*Dashboard!$T$3</f>
        <v>0</v>
      </c>
    </row>
    <row r="48" spans="2:57" ht="12" hidden="1" customHeight="1" outlineLevel="1">
      <c r="B48" s="137" t="str">
        <f>Precificação!B23</f>
        <v>Auxiliar Administrativo - Administração da Obra</v>
      </c>
      <c r="D48" s="607"/>
      <c r="E48" s="143" t="str">
        <f>IF('Cronog. e Histog.'!F775&gt;0,'Cronog. e Histog.'!F775,"")</f>
        <v>Auxiliar Administrativo</v>
      </c>
      <c r="G48" s="179">
        <f t="shared" si="2"/>
        <v>0</v>
      </c>
      <c r="H48" s="110"/>
      <c r="I48" s="78"/>
      <c r="J48" s="81">
        <f>IF(I48="horista",H48*Dashboard!$D$15,IF(OR(I48="Mensalista",I48="PJ"),H48,))</f>
        <v>0</v>
      </c>
      <c r="K48" s="81">
        <f>IF(I48="PJ",J48,ROUND(J48*(1+Dashboard!$D$22),2))</f>
        <v>0</v>
      </c>
      <c r="L48" s="77"/>
      <c r="M48" s="180"/>
      <c r="P48" s="109">
        <f>IF($BD48&gt;0,(((($BD48/Dashboard!$D$15)*(1+Precificação!$W$589)))+$P$26)*(1+Dashboard!$D$35),0)</f>
        <v>0</v>
      </c>
      <c r="Q48" s="109">
        <f>IF($BD48&gt;0,(((($BD48/Dashboard!$D$23)*(1+Precificação!$W$589))*(1+Q$28))+$P$26)*(1+Dashboard!$D$35),0)</f>
        <v>0</v>
      </c>
      <c r="R48" s="109">
        <f>IF($BD48&gt;0,(((($BD48/Dashboard!$D$23)*(1+Precificação!$W$589))*(1+R$28))+$P$26)*(1+Dashboard!$D$35),0)</f>
        <v>0</v>
      </c>
      <c r="S48" s="109">
        <f>IF($BD48&gt;0,(((($BD48/Dashboard!$D$23)*(1+Precificação!$W$589))*(1+S$28))+$P$26)*(1+Dashboard!$D$35),0)</f>
        <v>0</v>
      </c>
      <c r="AA48" s="109">
        <f>IF($BD48&gt;0,(((($BD48/Dashboard!$D$23)*(1+Precificação!$W$589)))+$AA$26)*(1+Dashboard!$D$35),0)</f>
        <v>0</v>
      </c>
      <c r="AB48" s="109">
        <f>IF($BD48&gt;0,(((($BD48/Dashboard!$D$23)*(1+Precificação!$W$589))*(1+AB$28))+$AA$26)*(1+Dashboard!$D$35),0)</f>
        <v>0</v>
      </c>
      <c r="AC48" s="109">
        <f>IF($BD48&gt;0,(((($BD48/Dashboard!$D$23)*(1+Precificação!$W$589))*(1+AC$28))+$AA$26)*(1+Dashboard!$D$35),0)</f>
        <v>0</v>
      </c>
      <c r="AD48" s="109">
        <f>IF($BD48&gt;0,(((($BD48/Dashboard!$D$23)*(1+Precificação!$W$589))*(1+AD$28))+$AA$26)*(1+Dashboard!$D$35),0)</f>
        <v>0</v>
      </c>
      <c r="AL48" s="109">
        <f>IF($BD48&gt;0,(((($BD48/Dashboard!$D$23)*(1+Precificação!$W$589)))+$AL$26)*(1+Dashboard!$D$35),0)</f>
        <v>0</v>
      </c>
      <c r="AM48" s="109">
        <f>IF($BD48&gt;0,(((($BD48/Dashboard!$D$23)*(1+Precificação!$W$589))*(1+AM$28))+$AA$26)*(1+Dashboard!$D$35),0)</f>
        <v>0</v>
      </c>
      <c r="AN48" s="109">
        <f>IF($BD48&gt;0,(((($BD48/Dashboard!$D$23)*(1+Precificação!$W$589))*(1+AN$28))+$AA$26)*(1+Dashboard!$D$35),0)</f>
        <v>0</v>
      </c>
      <c r="AO48" s="109">
        <f>IF($BD48&gt;0,(((($BD48/Dashboard!$D$23)*(1+Precificação!$W$589))*(1+AO$28))+$AA$26)*(1+Dashboard!$D$35),0)</f>
        <v>0</v>
      </c>
      <c r="AV48" s="179">
        <f t="shared" si="3"/>
        <v>0</v>
      </c>
      <c r="AW48" s="144">
        <f>VLOOKUP(B48,'Cronog. e Histog.'!$B$757:$H$849,7,0)</f>
        <v>0</v>
      </c>
      <c r="AX48" s="144">
        <f>VLOOKUP(B48,'Cronog. e Histog.'!$B$757:$I$849,8,0)</f>
        <v>0</v>
      </c>
      <c r="AY48" s="144">
        <f>$AW48*$AX48*Dashboard!$D$15</f>
        <v>0</v>
      </c>
      <c r="AZ48" s="144">
        <f>$AW48*$AX48*VLOOKUP(B48,Precificação!$B$7:$BM$89,54,0)</f>
        <v>0</v>
      </c>
      <c r="BA48" s="144">
        <f>$AW48*$AX48*VLOOKUP(B48,Precificação!$B$7:$BR$89,58,0)</f>
        <v>0</v>
      </c>
      <c r="BB48" s="144">
        <f>$AW48*$AX48*VLOOKUP(B48,Precificação!$B$7:$BW$89,62,0)</f>
        <v>0</v>
      </c>
      <c r="BC48" s="144">
        <f t="shared" si="4"/>
        <v>0</v>
      </c>
      <c r="BD48" s="109">
        <f>IFERROR(VLOOKUP(B48,Precificação!$B$7:$S$89,13,0),0)</f>
        <v>0</v>
      </c>
      <c r="BE48" s="109">
        <f>IFERROR(VLOOKUP(B48,Precificação!$B$7:$U$89,15,0)/(Precificação!$U$4+Precificação!$U$91),0)*Dashboard!$T$3</f>
        <v>0</v>
      </c>
    </row>
    <row r="49" spans="2:57" ht="12" hidden="1" customHeight="1" outlineLevel="1">
      <c r="B49" s="137" t="str">
        <f>Precificação!B24</f>
        <v>Comprador Técnico - Administração da Obra</v>
      </c>
      <c r="D49" s="607"/>
      <c r="E49" s="143" t="str">
        <f>IF('Cronog. e Histog.'!F776&gt;0,'Cronog. e Histog.'!F776,"")</f>
        <v>Comprador Técnico</v>
      </c>
      <c r="G49" s="179">
        <f t="shared" si="2"/>
        <v>0</v>
      </c>
      <c r="H49" s="110"/>
      <c r="I49" s="78"/>
      <c r="J49" s="81">
        <f>IF(I49="horista",H49*Dashboard!$D$15,IF(OR(I49="Mensalista",I49="PJ"),H49,))</f>
        <v>0</v>
      </c>
      <c r="K49" s="81">
        <f>IF(I49="PJ",J49,ROUND(J49*(1+Dashboard!$D$22),2))</f>
        <v>0</v>
      </c>
      <c r="L49" s="77"/>
      <c r="M49" s="180"/>
      <c r="P49" s="109">
        <f>IF($BD49&gt;0,(((($BD49/Dashboard!$D$15)*(1+Precificação!$W$589)))+$P$26)*(1+Dashboard!$D$35),0)</f>
        <v>0</v>
      </c>
      <c r="Q49" s="109">
        <f>IF($BD49&gt;0,(((($BD49/Dashboard!$D$23)*(1+Precificação!$W$589))*(1+Q$28))+$P$26)*(1+Dashboard!$D$35),0)</f>
        <v>0</v>
      </c>
      <c r="R49" s="109">
        <f>IF($BD49&gt;0,(((($BD49/Dashboard!$D$23)*(1+Precificação!$W$589))*(1+R$28))+$P$26)*(1+Dashboard!$D$35),0)</f>
        <v>0</v>
      </c>
      <c r="S49" s="109">
        <f>IF($BD49&gt;0,(((($BD49/Dashboard!$D$23)*(1+Precificação!$W$589))*(1+S$28))+$P$26)*(1+Dashboard!$D$35),0)</f>
        <v>0</v>
      </c>
      <c r="AA49" s="109">
        <f>IF($BD49&gt;0,(((($BD49/Dashboard!$D$23)*(1+Precificação!$W$589)))+$AA$26)*(1+Dashboard!$D$35),0)</f>
        <v>0</v>
      </c>
      <c r="AB49" s="109">
        <f>IF($BD49&gt;0,(((($BD49/Dashboard!$D$23)*(1+Precificação!$W$589))*(1+AB$28))+$AA$26)*(1+Dashboard!$D$35),0)</f>
        <v>0</v>
      </c>
      <c r="AC49" s="109">
        <f>IF($BD49&gt;0,(((($BD49/Dashboard!$D$23)*(1+Precificação!$W$589))*(1+AC$28))+$AA$26)*(1+Dashboard!$D$35),0)</f>
        <v>0</v>
      </c>
      <c r="AD49" s="109">
        <f>IF($BD49&gt;0,(((($BD49/Dashboard!$D$23)*(1+Precificação!$W$589))*(1+AD$28))+$AA$26)*(1+Dashboard!$D$35),0)</f>
        <v>0</v>
      </c>
      <c r="AL49" s="109">
        <f>IF($BD49&gt;0,(((($BD49/Dashboard!$D$23)*(1+Precificação!$W$589)))+$AL$26)*(1+Dashboard!$D$35),0)</f>
        <v>0</v>
      </c>
      <c r="AM49" s="109">
        <f>IF($BD49&gt;0,(((($BD49/Dashboard!$D$23)*(1+Precificação!$W$589))*(1+AM$28))+$AA$26)*(1+Dashboard!$D$35),0)</f>
        <v>0</v>
      </c>
      <c r="AN49" s="109">
        <f>IF($BD49&gt;0,(((($BD49/Dashboard!$D$23)*(1+Precificação!$W$589))*(1+AN$28))+$AA$26)*(1+Dashboard!$D$35),0)</f>
        <v>0</v>
      </c>
      <c r="AO49" s="109">
        <f>IF($BD49&gt;0,(((($BD49/Dashboard!$D$23)*(1+Precificação!$W$589))*(1+AO$28))+$AA$26)*(1+Dashboard!$D$35),0)</f>
        <v>0</v>
      </c>
      <c r="AV49" s="179">
        <f t="shared" si="3"/>
        <v>0</v>
      </c>
      <c r="AW49" s="144">
        <f>VLOOKUP(B49,'Cronog. e Histog.'!$B$757:$H$849,7,0)</f>
        <v>0</v>
      </c>
      <c r="AX49" s="144">
        <f>VLOOKUP(B49,'Cronog. e Histog.'!$B$757:$I$849,8,0)</f>
        <v>0</v>
      </c>
      <c r="AY49" s="144">
        <f>$AW49*$AX49*Dashboard!$D$15</f>
        <v>0</v>
      </c>
      <c r="AZ49" s="144">
        <f>$AW49*$AX49*VLOOKUP(B49,Precificação!$B$7:$BM$89,54,0)</f>
        <v>0</v>
      </c>
      <c r="BA49" s="144">
        <f>$AW49*$AX49*VLOOKUP(B49,Precificação!$B$7:$BR$89,58,0)</f>
        <v>0</v>
      </c>
      <c r="BB49" s="144">
        <f>$AW49*$AX49*VLOOKUP(B49,Precificação!$B$7:$BW$89,62,0)</f>
        <v>0</v>
      </c>
      <c r="BC49" s="144">
        <f t="shared" si="4"/>
        <v>0</v>
      </c>
      <c r="BD49" s="109">
        <f>IFERROR(VLOOKUP(B49,Precificação!$B$7:$S$89,13,0),0)</f>
        <v>0</v>
      </c>
      <c r="BE49" s="109">
        <f>IFERROR(VLOOKUP(B49,Precificação!$B$7:$U$89,15,0)/(Precificação!$U$4+Precificação!$U$91),0)*Dashboard!$T$3</f>
        <v>0</v>
      </c>
    </row>
    <row r="50" spans="2:57" ht="12" hidden="1" customHeight="1" outlineLevel="1">
      <c r="B50" s="137" t="str">
        <f>Precificação!B25</f>
        <v>Auxiliar de Compras - Administração da Obra</v>
      </c>
      <c r="D50" s="607"/>
      <c r="E50" s="143" t="str">
        <f>IF('Cronog. e Histog.'!F777&gt;0,'Cronog. e Histog.'!F777,"")</f>
        <v>Auxiliar de Compras</v>
      </c>
      <c r="G50" s="179">
        <f t="shared" si="2"/>
        <v>0</v>
      </c>
      <c r="H50" s="110"/>
      <c r="I50" s="78"/>
      <c r="J50" s="81">
        <f>IF(I50="horista",H50*Dashboard!$D$15,IF(OR(I50="Mensalista",I50="PJ"),H50,))</f>
        <v>0</v>
      </c>
      <c r="K50" s="81">
        <f>IF(I50="PJ",J50,ROUND(J50*(1+Dashboard!$D$22),2))</f>
        <v>0</v>
      </c>
      <c r="L50" s="77"/>
      <c r="M50" s="180"/>
      <c r="P50" s="109">
        <f>IF($BD50&gt;0,(((($BD50/Dashboard!$D$15)*(1+Precificação!$W$589)))+$P$26)*(1+Dashboard!$D$35),0)</f>
        <v>0</v>
      </c>
      <c r="Q50" s="109">
        <f>IF($BD50&gt;0,(((($BD50/Dashboard!$D$23)*(1+Precificação!$W$589))*(1+Q$28))+$P$26)*(1+Dashboard!$D$35),0)</f>
        <v>0</v>
      </c>
      <c r="R50" s="109">
        <f>IF($BD50&gt;0,(((($BD50/Dashboard!$D$23)*(1+Precificação!$W$589))*(1+R$28))+$P$26)*(1+Dashboard!$D$35),0)</f>
        <v>0</v>
      </c>
      <c r="S50" s="109">
        <f>IF($BD50&gt;0,(((($BD50/Dashboard!$D$23)*(1+Precificação!$W$589))*(1+S$28))+$P$26)*(1+Dashboard!$D$35),0)</f>
        <v>0</v>
      </c>
      <c r="AA50" s="109">
        <f>IF($BD50&gt;0,(((($BD50/Dashboard!$D$23)*(1+Precificação!$W$589)))+$AA$26)*(1+Dashboard!$D$35),0)</f>
        <v>0</v>
      </c>
      <c r="AB50" s="109">
        <f>IF($BD50&gt;0,(((($BD50/Dashboard!$D$23)*(1+Precificação!$W$589))*(1+AB$28))+$AA$26)*(1+Dashboard!$D$35),0)</f>
        <v>0</v>
      </c>
      <c r="AC50" s="109">
        <f>IF($BD50&gt;0,(((($BD50/Dashboard!$D$23)*(1+Precificação!$W$589))*(1+AC$28))+$AA$26)*(1+Dashboard!$D$35),0)</f>
        <v>0</v>
      </c>
      <c r="AD50" s="109">
        <f>IF($BD50&gt;0,(((($BD50/Dashboard!$D$23)*(1+Precificação!$W$589))*(1+AD$28))+$AA$26)*(1+Dashboard!$D$35),0)</f>
        <v>0</v>
      </c>
      <c r="AL50" s="109">
        <f>IF($BD50&gt;0,(((($BD50/Dashboard!$D$23)*(1+Precificação!$W$589)))+$AL$26)*(1+Dashboard!$D$35),0)</f>
        <v>0</v>
      </c>
      <c r="AM50" s="109">
        <f>IF($BD50&gt;0,(((($BD50/Dashboard!$D$23)*(1+Precificação!$W$589))*(1+AM$28))+$AA$26)*(1+Dashboard!$D$35),0)</f>
        <v>0</v>
      </c>
      <c r="AN50" s="109">
        <f>IF($BD50&gt;0,(((($BD50/Dashboard!$D$23)*(1+Precificação!$W$589))*(1+AN$28))+$AA$26)*(1+Dashboard!$D$35),0)</f>
        <v>0</v>
      </c>
      <c r="AO50" s="109">
        <f>IF($BD50&gt;0,(((($BD50/Dashboard!$D$23)*(1+Precificação!$W$589))*(1+AO$28))+$AA$26)*(1+Dashboard!$D$35),0)</f>
        <v>0</v>
      </c>
      <c r="AV50" s="179">
        <f t="shared" si="3"/>
        <v>0</v>
      </c>
      <c r="AW50" s="144">
        <f>VLOOKUP(B50,'Cronog. e Histog.'!$B$757:$H$849,7,0)</f>
        <v>0</v>
      </c>
      <c r="AX50" s="144">
        <f>VLOOKUP(B50,'Cronog. e Histog.'!$B$757:$I$849,8,0)</f>
        <v>0</v>
      </c>
      <c r="AY50" s="144">
        <f>$AW50*$AX50*Dashboard!$D$15</f>
        <v>0</v>
      </c>
      <c r="AZ50" s="144">
        <f>$AW50*$AX50*VLOOKUP(B50,Precificação!$B$7:$BM$89,54,0)</f>
        <v>0</v>
      </c>
      <c r="BA50" s="144">
        <f>$AW50*$AX50*VLOOKUP(B50,Precificação!$B$7:$BR$89,58,0)</f>
        <v>0</v>
      </c>
      <c r="BB50" s="144">
        <f>$AW50*$AX50*VLOOKUP(B50,Precificação!$B$7:$BW$89,62,0)</f>
        <v>0</v>
      </c>
      <c r="BC50" s="144">
        <f t="shared" si="4"/>
        <v>0</v>
      </c>
      <c r="BD50" s="109">
        <f>IFERROR(VLOOKUP(B50,Precificação!$B$7:$S$89,13,0),0)</f>
        <v>0</v>
      </c>
      <c r="BE50" s="109">
        <f>IFERROR(VLOOKUP(B50,Precificação!$B$7:$U$89,15,0)/(Precificação!$U$4+Precificação!$U$91),0)*Dashboard!$T$3</f>
        <v>0</v>
      </c>
    </row>
    <row r="51" spans="2:57" ht="12" hidden="1" customHeight="1" outlineLevel="1">
      <c r="B51" s="137" t="str">
        <f>Precificação!B26</f>
        <v>Técnico de Documentação - Administração da Obra</v>
      </c>
      <c r="D51" s="607"/>
      <c r="E51" s="143" t="str">
        <f>IF('Cronog. e Histog.'!F778&gt;0,'Cronog. e Histog.'!F778,"")</f>
        <v>Técnico de Documentação</v>
      </c>
      <c r="G51" s="179">
        <f t="shared" si="2"/>
        <v>0</v>
      </c>
      <c r="H51" s="110"/>
      <c r="I51" s="78"/>
      <c r="J51" s="81">
        <f>IF(I51="horista",H51*Dashboard!$D$15,IF(OR(I51="Mensalista",I51="PJ"),H51,))</f>
        <v>0</v>
      </c>
      <c r="K51" s="81">
        <f>IF(I51="PJ",J51,ROUND(J51*(1+Dashboard!$D$22),2))</f>
        <v>0</v>
      </c>
      <c r="L51" s="77"/>
      <c r="M51" s="180"/>
      <c r="P51" s="109">
        <f>IF($BD51&gt;0,(((($BD51/Dashboard!$D$15)*(1+Precificação!$W$589)))+$P$26)*(1+Dashboard!$D$35),0)</f>
        <v>0</v>
      </c>
      <c r="Q51" s="109">
        <f>IF($BD51&gt;0,(((($BD51/Dashboard!$D$23)*(1+Precificação!$W$589))*(1+Q$28))+$P$26)*(1+Dashboard!$D$35),0)</f>
        <v>0</v>
      </c>
      <c r="R51" s="109">
        <f>IF($BD51&gt;0,(((($BD51/Dashboard!$D$23)*(1+Precificação!$W$589))*(1+R$28))+$P$26)*(1+Dashboard!$D$35),0)</f>
        <v>0</v>
      </c>
      <c r="S51" s="109">
        <f>IF($BD51&gt;0,(((($BD51/Dashboard!$D$23)*(1+Precificação!$W$589))*(1+S$28))+$P$26)*(1+Dashboard!$D$35),0)</f>
        <v>0</v>
      </c>
      <c r="AA51" s="109">
        <f>IF($BD51&gt;0,(((($BD51/Dashboard!$D$23)*(1+Precificação!$W$589)))+$AA$26)*(1+Dashboard!$D$35),0)</f>
        <v>0</v>
      </c>
      <c r="AB51" s="109">
        <f>IF($BD51&gt;0,(((($BD51/Dashboard!$D$23)*(1+Precificação!$W$589))*(1+AB$28))+$AA$26)*(1+Dashboard!$D$35),0)</f>
        <v>0</v>
      </c>
      <c r="AC51" s="109">
        <f>IF($BD51&gt;0,(((($BD51/Dashboard!$D$23)*(1+Precificação!$W$589))*(1+AC$28))+$AA$26)*(1+Dashboard!$D$35),0)</f>
        <v>0</v>
      </c>
      <c r="AD51" s="109">
        <f>IF($BD51&gt;0,(((($BD51/Dashboard!$D$23)*(1+Precificação!$W$589))*(1+AD$28))+$AA$26)*(1+Dashboard!$D$35),0)</f>
        <v>0</v>
      </c>
      <c r="AL51" s="109">
        <f>IF($BD51&gt;0,(((($BD51/Dashboard!$D$23)*(1+Precificação!$W$589)))+$AL$26)*(1+Dashboard!$D$35),0)</f>
        <v>0</v>
      </c>
      <c r="AM51" s="109">
        <f>IF($BD51&gt;0,(((($BD51/Dashboard!$D$23)*(1+Precificação!$W$589))*(1+AM$28))+$AA$26)*(1+Dashboard!$D$35),0)</f>
        <v>0</v>
      </c>
      <c r="AN51" s="109">
        <f>IF($BD51&gt;0,(((($BD51/Dashboard!$D$23)*(1+Precificação!$W$589))*(1+AN$28))+$AA$26)*(1+Dashboard!$D$35),0)</f>
        <v>0</v>
      </c>
      <c r="AO51" s="109">
        <f>IF($BD51&gt;0,(((($BD51/Dashboard!$D$23)*(1+Precificação!$W$589))*(1+AO$28))+$AA$26)*(1+Dashboard!$D$35),0)</f>
        <v>0</v>
      </c>
      <c r="AV51" s="179">
        <f t="shared" si="3"/>
        <v>0</v>
      </c>
      <c r="AW51" s="144">
        <f>VLOOKUP(B51,'Cronog. e Histog.'!$B$757:$H$849,7,0)</f>
        <v>0</v>
      </c>
      <c r="AX51" s="144">
        <f>VLOOKUP(B51,'Cronog. e Histog.'!$B$757:$I$849,8,0)</f>
        <v>0</v>
      </c>
      <c r="AY51" s="144">
        <f>$AW51*$AX51*Dashboard!$D$15</f>
        <v>0</v>
      </c>
      <c r="AZ51" s="144">
        <f>$AW51*$AX51*VLOOKUP(B51,Precificação!$B$7:$BM$89,54,0)</f>
        <v>0</v>
      </c>
      <c r="BA51" s="144">
        <f>$AW51*$AX51*VLOOKUP(B51,Precificação!$B$7:$BR$89,58,0)</f>
        <v>0</v>
      </c>
      <c r="BB51" s="144">
        <f>$AW51*$AX51*VLOOKUP(B51,Precificação!$B$7:$BW$89,62,0)</f>
        <v>0</v>
      </c>
      <c r="BC51" s="144">
        <f t="shared" si="4"/>
        <v>0</v>
      </c>
      <c r="BD51" s="109">
        <f>IFERROR(VLOOKUP(B51,Precificação!$B$7:$S$89,13,0),0)</f>
        <v>0</v>
      </c>
      <c r="BE51" s="109">
        <f>IFERROR(VLOOKUP(B51,Precificação!$B$7:$U$89,15,0)/(Precificação!$U$4+Precificação!$U$91),0)*Dashboard!$T$3</f>
        <v>0</v>
      </c>
    </row>
    <row r="52" spans="2:57" ht="12" hidden="1" customHeight="1" outlineLevel="1">
      <c r="B52" s="137" t="str">
        <f>Precificação!B27</f>
        <v/>
      </c>
      <c r="D52" s="607"/>
      <c r="E52" s="143" t="str">
        <f>IF('Cronog. e Histog.'!F779&gt;0,'Cronog. e Histog.'!F779,"")</f>
        <v/>
      </c>
      <c r="G52" s="179">
        <f t="shared" si="2"/>
        <v>0</v>
      </c>
      <c r="H52" s="110"/>
      <c r="I52" s="78"/>
      <c r="J52" s="81">
        <f>IF(I52="horista",H52*Dashboard!$D$15,IF(OR(I52="Mensalista",I52="PJ"),H52,))</f>
        <v>0</v>
      </c>
      <c r="K52" s="81">
        <f>IF(I52="PJ",J52,ROUND(J52*(1+Dashboard!$D$22),2))</f>
        <v>0</v>
      </c>
      <c r="L52" s="77"/>
      <c r="M52" s="180"/>
      <c r="P52" s="109">
        <f>IF($BD52&gt;0,(((($BD52/Dashboard!$D$15)*(1+Precificação!$W$589)))+$P$26)*(1+Dashboard!$D$35),0)</f>
        <v>0</v>
      </c>
      <c r="Q52" s="109">
        <f>IF($BD52&gt;0,(((($BD52/Dashboard!$D$23)*(1+Precificação!$W$589))*(1+Q$28))+$P$26)*(1+Dashboard!$D$35),0)</f>
        <v>0</v>
      </c>
      <c r="R52" s="109">
        <f>IF($BD52&gt;0,(((($BD52/Dashboard!$D$23)*(1+Precificação!$W$589))*(1+R$28))+$P$26)*(1+Dashboard!$D$35),0)</f>
        <v>0</v>
      </c>
      <c r="S52" s="109">
        <f>IF($BD52&gt;0,(((($BD52/Dashboard!$D$23)*(1+Precificação!$W$589))*(1+S$28))+$P$26)*(1+Dashboard!$D$35),0)</f>
        <v>0</v>
      </c>
      <c r="AA52" s="109">
        <f>IF($BD52&gt;0,(((($BD52/Dashboard!$D$23)*(1+Precificação!$W$589)))+$AA$26)*(1+Dashboard!$D$35),0)</f>
        <v>0</v>
      </c>
      <c r="AB52" s="109">
        <f>IF($BD52&gt;0,(((($BD52/Dashboard!$D$23)*(1+Precificação!$W$589))*(1+AB$28))+$AA$26)*(1+Dashboard!$D$35),0)</f>
        <v>0</v>
      </c>
      <c r="AC52" s="109">
        <f>IF($BD52&gt;0,(((($BD52/Dashboard!$D$23)*(1+Precificação!$W$589))*(1+AC$28))+$AA$26)*(1+Dashboard!$D$35),0)</f>
        <v>0</v>
      </c>
      <c r="AD52" s="109">
        <f>IF($BD52&gt;0,(((($BD52/Dashboard!$D$23)*(1+Precificação!$W$589))*(1+AD$28))+$AA$26)*(1+Dashboard!$D$35),0)</f>
        <v>0</v>
      </c>
      <c r="AL52" s="109">
        <f>IF($BD52&gt;0,(((($BD52/Dashboard!$D$23)*(1+Precificação!$W$589)))+$AL$26)*(1+Dashboard!$D$35),0)</f>
        <v>0</v>
      </c>
      <c r="AM52" s="109">
        <f>IF($BD52&gt;0,(((($BD52/Dashboard!$D$23)*(1+Precificação!$W$589))*(1+AM$28))+$AA$26)*(1+Dashboard!$D$35),0)</f>
        <v>0</v>
      </c>
      <c r="AN52" s="109">
        <f>IF($BD52&gt;0,(((($BD52/Dashboard!$D$23)*(1+Precificação!$W$589))*(1+AN$28))+$AA$26)*(1+Dashboard!$D$35),0)</f>
        <v>0</v>
      </c>
      <c r="AO52" s="109">
        <f>IF($BD52&gt;0,(((($BD52/Dashboard!$D$23)*(1+Precificação!$W$589))*(1+AO$28))+$AA$26)*(1+Dashboard!$D$35),0)</f>
        <v>0</v>
      </c>
      <c r="AV52" s="179">
        <f t="shared" si="3"/>
        <v>0</v>
      </c>
      <c r="AW52" s="144">
        <f>VLOOKUP(B52,'Cronog. e Histog.'!$B$757:$H$849,7,0)</f>
        <v>0</v>
      </c>
      <c r="AX52" s="144">
        <f>VLOOKUP(B52,'Cronog. e Histog.'!$B$757:$I$849,8,0)</f>
        <v>0</v>
      </c>
      <c r="AY52" s="144">
        <f>$AW52*$AX52*Dashboard!$D$15</f>
        <v>0</v>
      </c>
      <c r="AZ52" s="144">
        <f>$AW52*$AX52*VLOOKUP(B52,Precificação!$B$7:$BM$89,54,0)</f>
        <v>0</v>
      </c>
      <c r="BA52" s="144">
        <f>$AW52*$AX52*VLOOKUP(B52,Precificação!$B$7:$BR$89,58,0)</f>
        <v>0</v>
      </c>
      <c r="BB52" s="144">
        <f>$AW52*$AX52*VLOOKUP(B52,Precificação!$B$7:$BW$89,62,0)</f>
        <v>0</v>
      </c>
      <c r="BC52" s="144">
        <f t="shared" si="4"/>
        <v>0</v>
      </c>
      <c r="BD52" s="109">
        <f>IFERROR(VLOOKUP(B52,Precificação!$B$7:$S$89,13,0),0)</f>
        <v>0</v>
      </c>
      <c r="BE52" s="109">
        <f>IFERROR(VLOOKUP(B52,Precificação!$B$7:$U$89,15,0)/(Precificação!$U$4+Precificação!$U$91),0)*Dashboard!$T$3</f>
        <v>0</v>
      </c>
    </row>
    <row r="53" spans="2:57" ht="12" hidden="1" customHeight="1" outlineLevel="1">
      <c r="B53" s="137" t="str">
        <f>Precificação!B28</f>
        <v>Coordenador de Planejamento - Planejamento e Controle</v>
      </c>
      <c r="D53" s="607" t="s">
        <v>491</v>
      </c>
      <c r="E53" s="143" t="str">
        <f>IF('Cronog. e Histog.'!F781&gt;0,'Cronog. e Histog.'!F781,"")</f>
        <v>Coordenador de Planejamento</v>
      </c>
      <c r="G53" s="179">
        <f t="shared" si="2"/>
        <v>0</v>
      </c>
      <c r="H53" s="110"/>
      <c r="I53" s="78"/>
      <c r="J53" s="81">
        <f>IF(I53="horista",H53*Dashboard!$D$15,IF(OR(I53="Mensalista",I53="PJ"),H53,))</f>
        <v>0</v>
      </c>
      <c r="K53" s="81">
        <f>IF(I53="PJ",J53,ROUND(J53*(1+Dashboard!$D$22),2))</f>
        <v>0</v>
      </c>
      <c r="L53" s="77"/>
      <c r="M53" s="180"/>
      <c r="P53" s="109">
        <f>IF($BD53&gt;0,(((($BD53/Dashboard!$D$15)*(1+Precificação!$W$589)))+$P$26)*(1+Dashboard!$D$35),0)</f>
        <v>0</v>
      </c>
      <c r="Q53" s="109">
        <f>IF($BD53&gt;0,(((($BD53/Dashboard!$D$23)*(1+Precificação!$W$589))*(1+Q$28))+$P$26)*(1+Dashboard!$D$35),0)</f>
        <v>0</v>
      </c>
      <c r="R53" s="109">
        <f>IF($BD53&gt;0,(((($BD53/Dashboard!$D$23)*(1+Precificação!$W$589))*(1+R$28))+$P$26)*(1+Dashboard!$D$35),0)</f>
        <v>0</v>
      </c>
      <c r="S53" s="109">
        <f>IF($BD53&gt;0,(((($BD53/Dashboard!$D$23)*(1+Precificação!$W$589))*(1+S$28))+$P$26)*(1+Dashboard!$D$35),0)</f>
        <v>0</v>
      </c>
      <c r="AA53" s="109">
        <f>IF($BD53&gt;0,(((($BD53/Dashboard!$D$23)*(1+Precificação!$W$589)))+$AA$26)*(1+Dashboard!$D$35),0)</f>
        <v>0</v>
      </c>
      <c r="AB53" s="109">
        <f>IF($BD53&gt;0,(((($BD53/Dashboard!$D$23)*(1+Precificação!$W$589))*(1+AB$28))+$AA$26)*(1+Dashboard!$D$35),0)</f>
        <v>0</v>
      </c>
      <c r="AC53" s="109">
        <f>IF($BD53&gt;0,(((($BD53/Dashboard!$D$23)*(1+Precificação!$W$589))*(1+AC$28))+$AA$26)*(1+Dashboard!$D$35),0)</f>
        <v>0</v>
      </c>
      <c r="AD53" s="109">
        <f>IF($BD53&gt;0,(((($BD53/Dashboard!$D$23)*(1+Precificação!$W$589))*(1+AD$28))+$AA$26)*(1+Dashboard!$D$35),0)</f>
        <v>0</v>
      </c>
      <c r="AL53" s="109">
        <f>IF($BD53&gt;0,(((($BD53/Dashboard!$D$23)*(1+Precificação!$W$589)))+$AL$26)*(1+Dashboard!$D$35),0)</f>
        <v>0</v>
      </c>
      <c r="AM53" s="109">
        <f>IF($BD53&gt;0,(((($BD53/Dashboard!$D$23)*(1+Precificação!$W$589))*(1+AM$28))+$AA$26)*(1+Dashboard!$D$35),0)</f>
        <v>0</v>
      </c>
      <c r="AN53" s="109">
        <f>IF($BD53&gt;0,(((($BD53/Dashboard!$D$23)*(1+Precificação!$W$589))*(1+AN$28))+$AA$26)*(1+Dashboard!$D$35),0)</f>
        <v>0</v>
      </c>
      <c r="AO53" s="109">
        <f>IF($BD53&gt;0,(((($BD53/Dashboard!$D$23)*(1+Precificação!$W$589))*(1+AO$28))+$AA$26)*(1+Dashboard!$D$35),0)</f>
        <v>0</v>
      </c>
      <c r="AV53" s="179">
        <f t="shared" si="3"/>
        <v>0</v>
      </c>
      <c r="AW53" s="144">
        <f>VLOOKUP(B53,'Cronog. e Histog.'!$B$757:$H$849,7,0)</f>
        <v>0</v>
      </c>
      <c r="AX53" s="144">
        <f>VLOOKUP(B53,'Cronog. e Histog.'!$B$757:$I$849,8,0)</f>
        <v>0</v>
      </c>
      <c r="AY53" s="144">
        <f>$AW53*$AX53*Dashboard!$D$15</f>
        <v>0</v>
      </c>
      <c r="AZ53" s="144">
        <f>$AW53*$AX53*VLOOKUP(B53,Precificação!$B$7:$BM$89,54,0)</f>
        <v>0</v>
      </c>
      <c r="BA53" s="144">
        <f>$AW53*$AX53*VLOOKUP(B53,Precificação!$B$7:$BR$89,58,0)</f>
        <v>0</v>
      </c>
      <c r="BB53" s="144">
        <f>$AW53*$AX53*VLOOKUP(B53,Precificação!$B$7:$BW$89,62,0)</f>
        <v>0</v>
      </c>
      <c r="BC53" s="144">
        <f t="shared" si="4"/>
        <v>0</v>
      </c>
      <c r="BD53" s="109">
        <f>IFERROR(VLOOKUP(B53,Precificação!$B$7:$S$89,13,0),0)</f>
        <v>0</v>
      </c>
      <c r="BE53" s="109">
        <f>IFERROR(VLOOKUP(B53,Precificação!$B$7:$U$89,15,0)/(Precificação!$U$4+Precificação!$U$91),0)*Dashboard!$T$3</f>
        <v>0</v>
      </c>
    </row>
    <row r="54" spans="2:57" ht="12" hidden="1" customHeight="1" outlineLevel="1">
      <c r="B54" s="137" t="str">
        <f>Precificação!B29</f>
        <v>Técnico de Planejamento - Planejamento e Controle</v>
      </c>
      <c r="D54" s="607"/>
      <c r="E54" s="143" t="str">
        <f>IF('Cronog. e Histog.'!F782&gt;0,'Cronog. e Histog.'!F782,"")</f>
        <v>Técnico de Planejamento</v>
      </c>
      <c r="G54" s="179">
        <f t="shared" si="2"/>
        <v>0</v>
      </c>
      <c r="H54" s="110"/>
      <c r="I54" s="78"/>
      <c r="J54" s="81">
        <f>IF(I54="horista",H54*Dashboard!$D$15,IF(OR(I54="Mensalista",I54="PJ"),H54,))</f>
        <v>0</v>
      </c>
      <c r="K54" s="81">
        <f>IF(I54="PJ",J54,ROUND(J54*(1+Dashboard!$D$22),2))</f>
        <v>0</v>
      </c>
      <c r="L54" s="77"/>
      <c r="M54" s="180"/>
      <c r="P54" s="109">
        <f>IF($BD54&gt;0,(((($BD54/Dashboard!$D$15)*(1+Precificação!$W$589)))+$P$26)*(1+Dashboard!$D$35),0)</f>
        <v>0</v>
      </c>
      <c r="Q54" s="109">
        <f>IF($BD54&gt;0,(((($BD54/Dashboard!$D$23)*(1+Precificação!$W$589))*(1+Q$28))+$P$26)*(1+Dashboard!$D$35),0)</f>
        <v>0</v>
      </c>
      <c r="R54" s="109">
        <f>IF($BD54&gt;0,(((($BD54/Dashboard!$D$23)*(1+Precificação!$W$589))*(1+R$28))+$P$26)*(1+Dashboard!$D$35),0)</f>
        <v>0</v>
      </c>
      <c r="S54" s="109">
        <f>IF($BD54&gt;0,(((($BD54/Dashboard!$D$23)*(1+Precificação!$W$589))*(1+S$28))+$P$26)*(1+Dashboard!$D$35),0)</f>
        <v>0</v>
      </c>
      <c r="AA54" s="109">
        <f>IF($BD54&gt;0,(((($BD54/Dashboard!$D$23)*(1+Precificação!$W$589)))+$AA$26)*(1+Dashboard!$D$35),0)</f>
        <v>0</v>
      </c>
      <c r="AB54" s="109">
        <f>IF($BD54&gt;0,(((($BD54/Dashboard!$D$23)*(1+Precificação!$W$589))*(1+AB$28))+$AA$26)*(1+Dashboard!$D$35),0)</f>
        <v>0</v>
      </c>
      <c r="AC54" s="109">
        <f>IF($BD54&gt;0,(((($BD54/Dashboard!$D$23)*(1+Precificação!$W$589))*(1+AC$28))+$AA$26)*(1+Dashboard!$D$35),0)</f>
        <v>0</v>
      </c>
      <c r="AD54" s="109">
        <f>IF($BD54&gt;0,(((($BD54/Dashboard!$D$23)*(1+Precificação!$W$589))*(1+AD$28))+$AA$26)*(1+Dashboard!$D$35),0)</f>
        <v>0</v>
      </c>
      <c r="AL54" s="109">
        <f>IF($BD54&gt;0,(((($BD54/Dashboard!$D$23)*(1+Precificação!$W$589)))+$AL$26)*(1+Dashboard!$D$35),0)</f>
        <v>0</v>
      </c>
      <c r="AM54" s="109">
        <f>IF($BD54&gt;0,(((($BD54/Dashboard!$D$23)*(1+Precificação!$W$589))*(1+AM$28))+$AA$26)*(1+Dashboard!$D$35),0)</f>
        <v>0</v>
      </c>
      <c r="AN54" s="109">
        <f>IF($BD54&gt;0,(((($BD54/Dashboard!$D$23)*(1+Precificação!$W$589))*(1+AN$28))+$AA$26)*(1+Dashboard!$D$35),0)</f>
        <v>0</v>
      </c>
      <c r="AO54" s="109">
        <f>IF($BD54&gt;0,(((($BD54/Dashboard!$D$23)*(1+Precificação!$W$589))*(1+AO$28))+$AA$26)*(1+Dashboard!$D$35),0)</f>
        <v>0</v>
      </c>
      <c r="AV54" s="179">
        <f t="shared" si="3"/>
        <v>0</v>
      </c>
      <c r="AW54" s="144">
        <f>VLOOKUP(B54,'Cronog. e Histog.'!$B$757:$H$849,7,0)</f>
        <v>0</v>
      </c>
      <c r="AX54" s="144">
        <f>VLOOKUP(B54,'Cronog. e Histog.'!$B$757:$I$849,8,0)</f>
        <v>0</v>
      </c>
      <c r="AY54" s="144">
        <f>$AW54*$AX54*Dashboard!$D$15</f>
        <v>0</v>
      </c>
      <c r="AZ54" s="144">
        <f>$AW54*$AX54*VLOOKUP(B54,Precificação!$B$7:$BM$89,54,0)</f>
        <v>0</v>
      </c>
      <c r="BA54" s="144">
        <f>$AW54*$AX54*VLOOKUP(B54,Precificação!$B$7:$BR$89,58,0)</f>
        <v>0</v>
      </c>
      <c r="BB54" s="144">
        <f>$AW54*$AX54*VLOOKUP(B54,Precificação!$B$7:$BW$89,62,0)</f>
        <v>0</v>
      </c>
      <c r="BC54" s="144">
        <f t="shared" si="4"/>
        <v>0</v>
      </c>
      <c r="BD54" s="109">
        <f>IFERROR(VLOOKUP(B54,Precificação!$B$7:$S$89,13,0),0)</f>
        <v>0</v>
      </c>
      <c r="BE54" s="109">
        <f>IFERROR(VLOOKUP(B54,Precificação!$B$7:$U$89,15,0)/(Precificação!$U$4+Precificação!$U$91),0)*Dashboard!$T$3</f>
        <v>0</v>
      </c>
    </row>
    <row r="55" spans="2:57" ht="12" hidden="1" customHeight="1" outlineLevel="1">
      <c r="B55" s="137" t="str">
        <f>Precificação!B30</f>
        <v>Planejador - Planejamento e Controle</v>
      </c>
      <c r="D55" s="607"/>
      <c r="E55" s="143" t="str">
        <f>IF('Cronog. e Histog.'!F783&gt;0,'Cronog. e Histog.'!F783,"")</f>
        <v>Planejador</v>
      </c>
      <c r="G55" s="179">
        <f t="shared" si="2"/>
        <v>0</v>
      </c>
      <c r="H55" s="110"/>
      <c r="I55" s="78"/>
      <c r="J55" s="81">
        <f>IF(I55="horista",H55*Dashboard!$D$15,IF(OR(I55="Mensalista",I55="PJ"),H55,))</f>
        <v>0</v>
      </c>
      <c r="K55" s="81">
        <f>IF(I55="PJ",J55,ROUND(J55*(1+Dashboard!$D$22),2))</f>
        <v>0</v>
      </c>
      <c r="L55" s="77"/>
      <c r="M55" s="180"/>
      <c r="P55" s="109">
        <f>IF($BD55&gt;0,(((($BD55/Dashboard!$D$15)*(1+Precificação!$W$589)))+$P$26)*(1+Dashboard!$D$35),0)</f>
        <v>0</v>
      </c>
      <c r="Q55" s="109">
        <f>IF($BD55&gt;0,(((($BD55/Dashboard!$D$23)*(1+Precificação!$W$589))*(1+Q$28))+$P$26)*(1+Dashboard!$D$35),0)</f>
        <v>0</v>
      </c>
      <c r="R55" s="109">
        <f>IF($BD55&gt;0,(((($BD55/Dashboard!$D$23)*(1+Precificação!$W$589))*(1+R$28))+$P$26)*(1+Dashboard!$D$35),0)</f>
        <v>0</v>
      </c>
      <c r="S55" s="109">
        <f>IF($BD55&gt;0,(((($BD55/Dashboard!$D$23)*(1+Precificação!$W$589))*(1+S$28))+$P$26)*(1+Dashboard!$D$35),0)</f>
        <v>0</v>
      </c>
      <c r="AA55" s="109">
        <f>IF($BD55&gt;0,(((($BD55/Dashboard!$D$23)*(1+Precificação!$W$589)))+$AA$26)*(1+Dashboard!$D$35),0)</f>
        <v>0</v>
      </c>
      <c r="AB55" s="109">
        <f>IF($BD55&gt;0,(((($BD55/Dashboard!$D$23)*(1+Precificação!$W$589))*(1+AB$28))+$AA$26)*(1+Dashboard!$D$35),0)</f>
        <v>0</v>
      </c>
      <c r="AC55" s="109">
        <f>IF($BD55&gt;0,(((($BD55/Dashboard!$D$23)*(1+Precificação!$W$589))*(1+AC$28))+$AA$26)*(1+Dashboard!$D$35),0)</f>
        <v>0</v>
      </c>
      <c r="AD55" s="109">
        <f>IF($BD55&gt;0,(((($BD55/Dashboard!$D$23)*(1+Precificação!$W$589))*(1+AD$28))+$AA$26)*(1+Dashboard!$D$35),0)</f>
        <v>0</v>
      </c>
      <c r="AL55" s="109">
        <f>IF($BD55&gt;0,(((($BD55/Dashboard!$D$23)*(1+Precificação!$W$589)))+$AL$26)*(1+Dashboard!$D$35),0)</f>
        <v>0</v>
      </c>
      <c r="AM55" s="109">
        <f>IF($BD55&gt;0,(((($BD55/Dashboard!$D$23)*(1+Precificação!$W$589))*(1+AM$28))+$AA$26)*(1+Dashboard!$D$35),0)</f>
        <v>0</v>
      </c>
      <c r="AN55" s="109">
        <f>IF($BD55&gt;0,(((($BD55/Dashboard!$D$23)*(1+Precificação!$W$589))*(1+AN$28))+$AA$26)*(1+Dashboard!$D$35),0)</f>
        <v>0</v>
      </c>
      <c r="AO55" s="109">
        <f>IF($BD55&gt;0,(((($BD55/Dashboard!$D$23)*(1+Precificação!$W$589))*(1+AO$28))+$AA$26)*(1+Dashboard!$D$35),0)</f>
        <v>0</v>
      </c>
      <c r="AV55" s="179">
        <f t="shared" si="3"/>
        <v>0</v>
      </c>
      <c r="AW55" s="144">
        <f>VLOOKUP(B55,'Cronog. e Histog.'!$B$757:$H$849,7,0)</f>
        <v>0</v>
      </c>
      <c r="AX55" s="144">
        <f>VLOOKUP(B55,'Cronog. e Histog.'!$B$757:$I$849,8,0)</f>
        <v>0</v>
      </c>
      <c r="AY55" s="144">
        <f>$AW55*$AX55*Dashboard!$D$15</f>
        <v>0</v>
      </c>
      <c r="AZ55" s="144">
        <f>$AW55*$AX55*VLOOKUP(B55,Precificação!$B$7:$BM$89,54,0)</f>
        <v>0</v>
      </c>
      <c r="BA55" s="144">
        <f>$AW55*$AX55*VLOOKUP(B55,Precificação!$B$7:$BR$89,58,0)</f>
        <v>0</v>
      </c>
      <c r="BB55" s="144">
        <f>$AW55*$AX55*VLOOKUP(B55,Precificação!$B$7:$BW$89,62,0)</f>
        <v>0</v>
      </c>
      <c r="BC55" s="144">
        <f t="shared" si="4"/>
        <v>0</v>
      </c>
      <c r="BD55" s="109">
        <f>IFERROR(VLOOKUP(B55,Precificação!$B$7:$S$89,13,0),0)</f>
        <v>0</v>
      </c>
      <c r="BE55" s="109">
        <f>IFERROR(VLOOKUP(B55,Precificação!$B$7:$U$89,15,0)/(Precificação!$U$4+Precificação!$U$91),0)*Dashboard!$T$3</f>
        <v>0</v>
      </c>
    </row>
    <row r="56" spans="2:57" ht="12" hidden="1" customHeight="1" outlineLevel="1">
      <c r="B56" s="137" t="str">
        <f>Precificação!B31</f>
        <v>Controller - Planejamento e Controle</v>
      </c>
      <c r="D56" s="607"/>
      <c r="E56" s="143" t="str">
        <f>IF('Cronog. e Histog.'!F784&gt;0,'Cronog. e Histog.'!F784,"")</f>
        <v>Controller</v>
      </c>
      <c r="G56" s="179">
        <f t="shared" si="2"/>
        <v>0</v>
      </c>
      <c r="H56" s="110"/>
      <c r="I56" s="78"/>
      <c r="J56" s="81">
        <f>IF(I56="horista",H56*Dashboard!$D$15,IF(OR(I56="Mensalista",I56="PJ"),H56,))</f>
        <v>0</v>
      </c>
      <c r="K56" s="81">
        <f>IF(I56="PJ",J56,ROUND(J56*(1+Dashboard!$D$22),2))</f>
        <v>0</v>
      </c>
      <c r="L56" s="77"/>
      <c r="M56" s="180"/>
      <c r="P56" s="109">
        <f>IF($BD56&gt;0,(((($BD56/Dashboard!$D$15)*(1+Precificação!$W$589)))+$P$26)*(1+Dashboard!$D$35),0)</f>
        <v>0</v>
      </c>
      <c r="Q56" s="109">
        <f>IF($BD56&gt;0,(((($BD56/Dashboard!$D$23)*(1+Precificação!$W$589))*(1+Q$28))+$P$26)*(1+Dashboard!$D$35),0)</f>
        <v>0</v>
      </c>
      <c r="R56" s="109">
        <f>IF($BD56&gt;0,(((($BD56/Dashboard!$D$23)*(1+Precificação!$W$589))*(1+R$28))+$P$26)*(1+Dashboard!$D$35),0)</f>
        <v>0</v>
      </c>
      <c r="S56" s="109">
        <f>IF($BD56&gt;0,(((($BD56/Dashboard!$D$23)*(1+Precificação!$W$589))*(1+S$28))+$P$26)*(1+Dashboard!$D$35),0)</f>
        <v>0</v>
      </c>
      <c r="AA56" s="109">
        <f>IF($BD56&gt;0,(((($BD56/Dashboard!$D$23)*(1+Precificação!$W$589)))+$AA$26)*(1+Dashboard!$D$35),0)</f>
        <v>0</v>
      </c>
      <c r="AB56" s="109">
        <f>IF($BD56&gt;0,(((($BD56/Dashboard!$D$23)*(1+Precificação!$W$589))*(1+AB$28))+$AA$26)*(1+Dashboard!$D$35),0)</f>
        <v>0</v>
      </c>
      <c r="AC56" s="109">
        <f>IF($BD56&gt;0,(((($BD56/Dashboard!$D$23)*(1+Precificação!$W$589))*(1+AC$28))+$AA$26)*(1+Dashboard!$D$35),0)</f>
        <v>0</v>
      </c>
      <c r="AD56" s="109">
        <f>IF($BD56&gt;0,(((($BD56/Dashboard!$D$23)*(1+Precificação!$W$589))*(1+AD$28))+$AA$26)*(1+Dashboard!$D$35),0)</f>
        <v>0</v>
      </c>
      <c r="AL56" s="109">
        <f>IF($BD56&gt;0,(((($BD56/Dashboard!$D$23)*(1+Precificação!$W$589)))+$AL$26)*(1+Dashboard!$D$35),0)</f>
        <v>0</v>
      </c>
      <c r="AM56" s="109">
        <f>IF($BD56&gt;0,(((($BD56/Dashboard!$D$23)*(1+Precificação!$W$589))*(1+AM$28))+$AA$26)*(1+Dashboard!$D$35),0)</f>
        <v>0</v>
      </c>
      <c r="AN56" s="109">
        <f>IF($BD56&gt;0,(((($BD56/Dashboard!$D$23)*(1+Precificação!$W$589))*(1+AN$28))+$AA$26)*(1+Dashboard!$D$35),0)</f>
        <v>0</v>
      </c>
      <c r="AO56" s="109">
        <f>IF($BD56&gt;0,(((($BD56/Dashboard!$D$23)*(1+Precificação!$W$589))*(1+AO$28))+$AA$26)*(1+Dashboard!$D$35),0)</f>
        <v>0</v>
      </c>
      <c r="AV56" s="179">
        <f t="shared" si="3"/>
        <v>0</v>
      </c>
      <c r="AW56" s="144">
        <f>VLOOKUP(B56,'Cronog. e Histog.'!$B$757:$H$849,7,0)</f>
        <v>0</v>
      </c>
      <c r="AX56" s="144">
        <f>VLOOKUP(B56,'Cronog. e Histog.'!$B$757:$I$849,8,0)</f>
        <v>0</v>
      </c>
      <c r="AY56" s="144">
        <f>$AW56*$AX56*Dashboard!$D$15</f>
        <v>0</v>
      </c>
      <c r="AZ56" s="144">
        <f>$AW56*$AX56*VLOOKUP(B56,Precificação!$B$7:$BM$89,54,0)</f>
        <v>0</v>
      </c>
      <c r="BA56" s="144">
        <f>$AW56*$AX56*VLOOKUP(B56,Precificação!$B$7:$BR$89,58,0)</f>
        <v>0</v>
      </c>
      <c r="BB56" s="144">
        <f>$AW56*$AX56*VLOOKUP(B56,Precificação!$B$7:$BW$89,62,0)</f>
        <v>0</v>
      </c>
      <c r="BC56" s="144">
        <f t="shared" si="4"/>
        <v>0</v>
      </c>
      <c r="BD56" s="109">
        <f>IFERROR(VLOOKUP(B56,Precificação!$B$7:$S$89,13,0),0)</f>
        <v>0</v>
      </c>
      <c r="BE56" s="109">
        <f>IFERROR(VLOOKUP(B56,Precificação!$B$7:$U$89,15,0)/(Precificação!$U$4+Precificação!$U$91),0)*Dashboard!$T$3</f>
        <v>0</v>
      </c>
    </row>
    <row r="57" spans="2:57" ht="12" hidden="1" customHeight="1" outlineLevel="1">
      <c r="B57" s="137" t="str">
        <f>Precificação!B32</f>
        <v>Auxiliar de Planejamento - Planejamento e Controle</v>
      </c>
      <c r="D57" s="607"/>
      <c r="E57" s="143" t="str">
        <f>IF('Cronog. e Histog.'!F785&gt;0,'Cronog. e Histog.'!F785,"")</f>
        <v>Auxiliar de Planejamento</v>
      </c>
      <c r="G57" s="179">
        <f t="shared" si="2"/>
        <v>0</v>
      </c>
      <c r="H57" s="110"/>
      <c r="I57" s="78"/>
      <c r="J57" s="81">
        <f>IF(I57="horista",H57*Dashboard!$D$15,IF(OR(I57="Mensalista",I57="PJ"),H57,))</f>
        <v>0</v>
      </c>
      <c r="K57" s="81">
        <f>IF(I57="PJ",J57,ROUND(J57*(1+Dashboard!$D$22),2))</f>
        <v>0</v>
      </c>
      <c r="L57" s="77"/>
      <c r="M57" s="180"/>
      <c r="P57" s="109">
        <f>IF($BD57&gt;0,(((($BD57/Dashboard!$D$15)*(1+Precificação!$W$589)))+$P$26)*(1+Dashboard!$D$35),0)</f>
        <v>0</v>
      </c>
      <c r="Q57" s="109">
        <f>IF($BD57&gt;0,(((($BD57/Dashboard!$D$23)*(1+Precificação!$W$589))*(1+Q$28))+$P$26)*(1+Dashboard!$D$35),0)</f>
        <v>0</v>
      </c>
      <c r="R57" s="109">
        <f>IF($BD57&gt;0,(((($BD57/Dashboard!$D$23)*(1+Precificação!$W$589))*(1+R$28))+$P$26)*(1+Dashboard!$D$35),0)</f>
        <v>0</v>
      </c>
      <c r="S57" s="109">
        <f>IF($BD57&gt;0,(((($BD57/Dashboard!$D$23)*(1+Precificação!$W$589))*(1+S$28))+$P$26)*(1+Dashboard!$D$35),0)</f>
        <v>0</v>
      </c>
      <c r="AA57" s="109">
        <f>IF($BD57&gt;0,(((($BD57/Dashboard!$D$23)*(1+Precificação!$W$589)))+$AA$26)*(1+Dashboard!$D$35),0)</f>
        <v>0</v>
      </c>
      <c r="AB57" s="109">
        <f>IF($BD57&gt;0,(((($BD57/Dashboard!$D$23)*(1+Precificação!$W$589))*(1+AB$28))+$AA$26)*(1+Dashboard!$D$35),0)</f>
        <v>0</v>
      </c>
      <c r="AC57" s="109">
        <f>IF($BD57&gt;0,(((($BD57/Dashboard!$D$23)*(1+Precificação!$W$589))*(1+AC$28))+$AA$26)*(1+Dashboard!$D$35),0)</f>
        <v>0</v>
      </c>
      <c r="AD57" s="109">
        <f>IF($BD57&gt;0,(((($BD57/Dashboard!$D$23)*(1+Precificação!$W$589))*(1+AD$28))+$AA$26)*(1+Dashboard!$D$35),0)</f>
        <v>0</v>
      </c>
      <c r="AL57" s="109">
        <f>IF($BD57&gt;0,(((($BD57/Dashboard!$D$23)*(1+Precificação!$W$589)))+$AL$26)*(1+Dashboard!$D$35),0)</f>
        <v>0</v>
      </c>
      <c r="AM57" s="109">
        <f>IF($BD57&gt;0,(((($BD57/Dashboard!$D$23)*(1+Precificação!$W$589))*(1+AM$28))+$AA$26)*(1+Dashboard!$D$35),0)</f>
        <v>0</v>
      </c>
      <c r="AN57" s="109">
        <f>IF($BD57&gt;0,(((($BD57/Dashboard!$D$23)*(1+Precificação!$W$589))*(1+AN$28))+$AA$26)*(1+Dashboard!$D$35),0)</f>
        <v>0</v>
      </c>
      <c r="AO57" s="109">
        <f>IF($BD57&gt;0,(((($BD57/Dashboard!$D$23)*(1+Precificação!$W$589))*(1+AO$28))+$AA$26)*(1+Dashboard!$D$35),0)</f>
        <v>0</v>
      </c>
      <c r="AV57" s="179">
        <f t="shared" si="3"/>
        <v>0</v>
      </c>
      <c r="AW57" s="144">
        <f>VLOOKUP(B57,'Cronog. e Histog.'!$B$757:$H$849,7,0)</f>
        <v>0</v>
      </c>
      <c r="AX57" s="144">
        <f>VLOOKUP(B57,'Cronog. e Histog.'!$B$757:$I$849,8,0)</f>
        <v>0</v>
      </c>
      <c r="AY57" s="144">
        <f>$AW57*$AX57*Dashboard!$D$15</f>
        <v>0</v>
      </c>
      <c r="AZ57" s="144">
        <f>$AW57*$AX57*VLOOKUP(B57,Precificação!$B$7:$BM$89,54,0)</f>
        <v>0</v>
      </c>
      <c r="BA57" s="144">
        <f>$AW57*$AX57*VLOOKUP(B57,Precificação!$B$7:$BR$89,58,0)</f>
        <v>0</v>
      </c>
      <c r="BB57" s="144">
        <f>$AW57*$AX57*VLOOKUP(B57,Precificação!$B$7:$BW$89,62,0)</f>
        <v>0</v>
      </c>
      <c r="BC57" s="144">
        <f t="shared" si="4"/>
        <v>0</v>
      </c>
      <c r="BD57" s="109">
        <f>IFERROR(VLOOKUP(B57,Precificação!$B$7:$S$89,13,0),0)</f>
        <v>0</v>
      </c>
      <c r="BE57" s="109">
        <f>IFERROR(VLOOKUP(B57,Precificação!$B$7:$U$89,15,0)/(Precificação!$U$4+Precificação!$U$91),0)*Dashboard!$T$3</f>
        <v>0</v>
      </c>
    </row>
    <row r="58" spans="2:57" ht="12" hidden="1" customHeight="1" outlineLevel="1">
      <c r="B58" s="137" t="str">
        <f>Precificação!B33</f>
        <v/>
      </c>
      <c r="D58" s="607"/>
      <c r="E58" s="143" t="str">
        <f>IF('Cronog. e Histog.'!F786&gt;0,'Cronog. e Histog.'!F786,"")</f>
        <v/>
      </c>
      <c r="G58" s="179">
        <f t="shared" si="2"/>
        <v>0</v>
      </c>
      <c r="H58" s="110"/>
      <c r="I58" s="78"/>
      <c r="J58" s="81">
        <f>IF(I58="horista",H58*Dashboard!$D$15,IF(OR(I58="Mensalista",I58="PJ"),H58,))</f>
        <v>0</v>
      </c>
      <c r="K58" s="81">
        <f>IF(I58="PJ",J58,ROUND(J58*(1+Dashboard!$D$22),2))</f>
        <v>0</v>
      </c>
      <c r="L58" s="77"/>
      <c r="M58" s="180"/>
      <c r="P58" s="109">
        <f>IF($BD58&gt;0,(((($BD58/Dashboard!$D$15)*(1+Precificação!$W$589)))+$P$26)*(1+Dashboard!$D$35),0)</f>
        <v>0</v>
      </c>
      <c r="Q58" s="109">
        <f>IF($BD58&gt;0,(((($BD58/Dashboard!$D$23)*(1+Precificação!$W$589))*(1+Q$28))+$P$26)*(1+Dashboard!$D$35),0)</f>
        <v>0</v>
      </c>
      <c r="R58" s="109">
        <f>IF($BD58&gt;0,(((($BD58/Dashboard!$D$23)*(1+Precificação!$W$589))*(1+R$28))+$P$26)*(1+Dashboard!$D$35),0)</f>
        <v>0</v>
      </c>
      <c r="S58" s="109">
        <f>IF($BD58&gt;0,(((($BD58/Dashboard!$D$23)*(1+Precificação!$W$589))*(1+S$28))+$P$26)*(1+Dashboard!$D$35),0)</f>
        <v>0</v>
      </c>
      <c r="AA58" s="109">
        <f>IF($BD58&gt;0,(((($BD58/Dashboard!$D$23)*(1+Precificação!$W$589)))+$AA$26)*(1+Dashboard!$D$35),0)</f>
        <v>0</v>
      </c>
      <c r="AB58" s="109">
        <f>IF($BD58&gt;0,(((($BD58/Dashboard!$D$23)*(1+Precificação!$W$589))*(1+AB$28))+$AA$26)*(1+Dashboard!$D$35),0)</f>
        <v>0</v>
      </c>
      <c r="AC58" s="109">
        <f>IF($BD58&gt;0,(((($BD58/Dashboard!$D$23)*(1+Precificação!$W$589))*(1+AC$28))+$AA$26)*(1+Dashboard!$D$35),0)</f>
        <v>0</v>
      </c>
      <c r="AD58" s="109">
        <f>IF($BD58&gt;0,(((($BD58/Dashboard!$D$23)*(1+Precificação!$W$589))*(1+AD$28))+$AA$26)*(1+Dashboard!$D$35),0)</f>
        <v>0</v>
      </c>
      <c r="AL58" s="109">
        <f>IF($BD58&gt;0,(((($BD58/Dashboard!$D$23)*(1+Precificação!$W$589)))+$AL$26)*(1+Dashboard!$D$35),0)</f>
        <v>0</v>
      </c>
      <c r="AM58" s="109">
        <f>IF($BD58&gt;0,(((($BD58/Dashboard!$D$23)*(1+Precificação!$W$589))*(1+AM$28))+$AA$26)*(1+Dashboard!$D$35),0)</f>
        <v>0</v>
      </c>
      <c r="AN58" s="109">
        <f>IF($BD58&gt;0,(((($BD58/Dashboard!$D$23)*(1+Precificação!$W$589))*(1+AN$28))+$AA$26)*(1+Dashboard!$D$35),0)</f>
        <v>0</v>
      </c>
      <c r="AO58" s="109">
        <f>IF($BD58&gt;0,(((($BD58/Dashboard!$D$23)*(1+Precificação!$W$589))*(1+AO$28))+$AA$26)*(1+Dashboard!$D$35),0)</f>
        <v>0</v>
      </c>
      <c r="AV58" s="179">
        <f t="shared" si="3"/>
        <v>0</v>
      </c>
      <c r="AW58" s="144">
        <f>VLOOKUP(B58,'Cronog. e Histog.'!$B$757:$H$849,7,0)</f>
        <v>0</v>
      </c>
      <c r="AX58" s="144">
        <f>VLOOKUP(B58,'Cronog. e Histog.'!$B$757:$I$849,8,0)</f>
        <v>0</v>
      </c>
      <c r="AY58" s="144">
        <f>$AW58*$AX58*Dashboard!$D$15</f>
        <v>0</v>
      </c>
      <c r="AZ58" s="144">
        <f>$AW58*$AX58*VLOOKUP(B58,Precificação!$B$7:$BM$89,54,0)</f>
        <v>0</v>
      </c>
      <c r="BA58" s="144">
        <f>$AW58*$AX58*VLOOKUP(B58,Precificação!$B$7:$BR$89,58,0)</f>
        <v>0</v>
      </c>
      <c r="BB58" s="144">
        <f>$AW58*$AX58*VLOOKUP(B58,Precificação!$B$7:$BW$89,62,0)</f>
        <v>0</v>
      </c>
      <c r="BC58" s="144">
        <f t="shared" si="4"/>
        <v>0</v>
      </c>
      <c r="BD58" s="109">
        <f>IFERROR(VLOOKUP(B58,Precificação!$B$7:$S$89,13,0),0)</f>
        <v>0</v>
      </c>
      <c r="BE58" s="109">
        <f>IFERROR(VLOOKUP(B58,Precificação!$B$7:$U$89,15,0)/(Precificação!$U$4+Precificação!$U$91),0)*Dashboard!$T$3</f>
        <v>0</v>
      </c>
    </row>
    <row r="59" spans="2:57" ht="12" hidden="1" customHeight="1" outlineLevel="1">
      <c r="B59" s="137" t="str">
        <f>Precificação!B34</f>
        <v/>
      </c>
      <c r="D59" s="607"/>
      <c r="E59" s="143" t="str">
        <f>IF('Cronog. e Histog.'!F787&gt;0,'Cronog. e Histog.'!F787,"")</f>
        <v/>
      </c>
      <c r="G59" s="179">
        <f t="shared" si="2"/>
        <v>0</v>
      </c>
      <c r="H59" s="110"/>
      <c r="I59" s="78"/>
      <c r="J59" s="81">
        <f>IF(I59="horista",H59*Dashboard!$D$15,IF(OR(I59="Mensalista",I59="PJ"),H59,))</f>
        <v>0</v>
      </c>
      <c r="K59" s="81">
        <f>IF(I59="PJ",J59,ROUND(J59*(1+Dashboard!$D$22),2))</f>
        <v>0</v>
      </c>
      <c r="L59" s="77"/>
      <c r="M59" s="180"/>
      <c r="P59" s="109">
        <f>IF($BD59&gt;0,(((($BD59/Dashboard!$D$15)*(1+Precificação!$W$589)))+$P$26)*(1+Dashboard!$D$35),0)</f>
        <v>0</v>
      </c>
      <c r="Q59" s="109">
        <f>IF($BD59&gt;0,(((($BD59/Dashboard!$D$23)*(1+Precificação!$W$589))*(1+Q$28))+$P$26)*(1+Dashboard!$D$35),0)</f>
        <v>0</v>
      </c>
      <c r="R59" s="109">
        <f>IF($BD59&gt;0,(((($BD59/Dashboard!$D$23)*(1+Precificação!$W$589))*(1+R$28))+$P$26)*(1+Dashboard!$D$35),0)</f>
        <v>0</v>
      </c>
      <c r="S59" s="109">
        <f>IF($BD59&gt;0,(((($BD59/Dashboard!$D$23)*(1+Precificação!$W$589))*(1+S$28))+$P$26)*(1+Dashboard!$D$35),0)</f>
        <v>0</v>
      </c>
      <c r="AA59" s="109">
        <f>IF($BD59&gt;0,(((($BD59/Dashboard!$D$23)*(1+Precificação!$W$589)))+$AA$26)*(1+Dashboard!$D$35),0)</f>
        <v>0</v>
      </c>
      <c r="AB59" s="109">
        <f>IF($BD59&gt;0,(((($BD59/Dashboard!$D$23)*(1+Precificação!$W$589))*(1+AB$28))+$AA$26)*(1+Dashboard!$D$35),0)</f>
        <v>0</v>
      </c>
      <c r="AC59" s="109">
        <f>IF($BD59&gt;0,(((($BD59/Dashboard!$D$23)*(1+Precificação!$W$589))*(1+AC$28))+$AA$26)*(1+Dashboard!$D$35),0)</f>
        <v>0</v>
      </c>
      <c r="AD59" s="109">
        <f>IF($BD59&gt;0,(((($BD59/Dashboard!$D$23)*(1+Precificação!$W$589))*(1+AD$28))+$AA$26)*(1+Dashboard!$D$35),0)</f>
        <v>0</v>
      </c>
      <c r="AL59" s="109">
        <f>IF($BD59&gt;0,(((($BD59/Dashboard!$D$23)*(1+Precificação!$W$589)))+$AL$26)*(1+Dashboard!$D$35),0)</f>
        <v>0</v>
      </c>
      <c r="AM59" s="109">
        <f>IF($BD59&gt;0,(((($BD59/Dashboard!$D$23)*(1+Precificação!$W$589))*(1+AM$28))+$AA$26)*(1+Dashboard!$D$35),0)</f>
        <v>0</v>
      </c>
      <c r="AN59" s="109">
        <f>IF($BD59&gt;0,(((($BD59/Dashboard!$D$23)*(1+Precificação!$W$589))*(1+AN$28))+$AA$26)*(1+Dashboard!$D$35),0)</f>
        <v>0</v>
      </c>
      <c r="AO59" s="109">
        <f>IF($BD59&gt;0,(((($BD59/Dashboard!$D$23)*(1+Precificação!$W$589))*(1+AO$28))+$AA$26)*(1+Dashboard!$D$35),0)</f>
        <v>0</v>
      </c>
      <c r="AV59" s="179">
        <f t="shared" si="3"/>
        <v>0</v>
      </c>
      <c r="AW59" s="144">
        <f>VLOOKUP(B59,'Cronog. e Histog.'!$B$757:$H$849,7,0)</f>
        <v>0</v>
      </c>
      <c r="AX59" s="144">
        <f>VLOOKUP(B59,'Cronog. e Histog.'!$B$757:$I$849,8,0)</f>
        <v>0</v>
      </c>
      <c r="AY59" s="144">
        <f>$AW59*$AX59*Dashboard!$D$15</f>
        <v>0</v>
      </c>
      <c r="AZ59" s="144">
        <f>$AW59*$AX59*VLOOKUP(B59,Precificação!$B$7:$BM$89,54,0)</f>
        <v>0</v>
      </c>
      <c r="BA59" s="144">
        <f>$AW59*$AX59*VLOOKUP(B59,Precificação!$B$7:$BR$89,58,0)</f>
        <v>0</v>
      </c>
      <c r="BB59" s="144">
        <f>$AW59*$AX59*VLOOKUP(B59,Precificação!$B$7:$BW$89,62,0)</f>
        <v>0</v>
      </c>
      <c r="BC59" s="144">
        <f t="shared" si="4"/>
        <v>0</v>
      </c>
      <c r="BD59" s="109">
        <f>IFERROR(VLOOKUP(B59,Precificação!$B$7:$S$89,13,0),0)</f>
        <v>0</v>
      </c>
      <c r="BE59" s="109">
        <f>IFERROR(VLOOKUP(B59,Precificação!$B$7:$U$89,15,0)/(Precificação!$U$4+Precificação!$U$91),0)*Dashboard!$T$3</f>
        <v>0</v>
      </c>
    </row>
    <row r="60" spans="2:57" ht="12" hidden="1" customHeight="1" outlineLevel="1">
      <c r="B60" s="137" t="str">
        <f>Precificação!B35</f>
        <v>Coordenador de Qualidade - Controle de Qualidade</v>
      </c>
      <c r="D60" s="607" t="s">
        <v>497</v>
      </c>
      <c r="E60" s="143" t="str">
        <f>IF('Cronog. e Histog.'!F789&gt;0,'Cronog. e Histog.'!F789,"")</f>
        <v>Coordenador de Qualidade</v>
      </c>
      <c r="G60" s="179">
        <f t="shared" si="2"/>
        <v>0</v>
      </c>
      <c r="H60" s="110"/>
      <c r="I60" s="78"/>
      <c r="J60" s="81">
        <f>IF(I60="horista",H60*Dashboard!$D$15,IF(OR(I60="Mensalista",I60="PJ"),H60,))</f>
        <v>0</v>
      </c>
      <c r="K60" s="81">
        <f>IF(I60="PJ",J60,ROUND(J60*(1+Dashboard!$D$22),2))</f>
        <v>0</v>
      </c>
      <c r="L60" s="77"/>
      <c r="M60" s="180"/>
      <c r="P60" s="109">
        <f>IF($BD60&gt;0,(((($BD60/Dashboard!$D$15)*(1+Precificação!$W$589)))+$P$26)*(1+Dashboard!$D$35),0)</f>
        <v>0</v>
      </c>
      <c r="Q60" s="109">
        <f>IF($BD60&gt;0,(((($BD60/Dashboard!$D$23)*(1+Precificação!$W$589))*(1+Q$28))+$P$26)*(1+Dashboard!$D$35),0)</f>
        <v>0</v>
      </c>
      <c r="R60" s="109">
        <f>IF($BD60&gt;0,(((($BD60/Dashboard!$D$23)*(1+Precificação!$W$589))*(1+R$28))+$P$26)*(1+Dashboard!$D$35),0)</f>
        <v>0</v>
      </c>
      <c r="S60" s="109">
        <f>IF($BD60&gt;0,(((($BD60/Dashboard!$D$23)*(1+Precificação!$W$589))*(1+S$28))+$P$26)*(1+Dashboard!$D$35),0)</f>
        <v>0</v>
      </c>
      <c r="AA60" s="109">
        <f>IF($BD60&gt;0,(((($BD60/Dashboard!$D$23)*(1+Precificação!$W$589)))+$AA$26)*(1+Dashboard!$D$35),0)</f>
        <v>0</v>
      </c>
      <c r="AB60" s="109">
        <f>IF($BD60&gt;0,(((($BD60/Dashboard!$D$23)*(1+Precificação!$W$589))*(1+AB$28))+$AA$26)*(1+Dashboard!$D$35),0)</f>
        <v>0</v>
      </c>
      <c r="AC60" s="109">
        <f>IF($BD60&gt;0,(((($BD60/Dashboard!$D$23)*(1+Precificação!$W$589))*(1+AC$28))+$AA$26)*(1+Dashboard!$D$35),0)</f>
        <v>0</v>
      </c>
      <c r="AD60" s="109">
        <f>IF($BD60&gt;0,(((($BD60/Dashboard!$D$23)*(1+Precificação!$W$589))*(1+AD$28))+$AA$26)*(1+Dashboard!$D$35),0)</f>
        <v>0</v>
      </c>
      <c r="AL60" s="109">
        <f>IF($BD60&gt;0,(((($BD60/Dashboard!$D$23)*(1+Precificação!$W$589)))+$AL$26)*(1+Dashboard!$D$35),0)</f>
        <v>0</v>
      </c>
      <c r="AM60" s="109">
        <f>IF($BD60&gt;0,(((($BD60/Dashboard!$D$23)*(1+Precificação!$W$589))*(1+AM$28))+$AA$26)*(1+Dashboard!$D$35),0)</f>
        <v>0</v>
      </c>
      <c r="AN60" s="109">
        <f>IF($BD60&gt;0,(((($BD60/Dashboard!$D$23)*(1+Precificação!$W$589))*(1+AN$28))+$AA$26)*(1+Dashboard!$D$35),0)</f>
        <v>0</v>
      </c>
      <c r="AO60" s="109">
        <f>IF($BD60&gt;0,(((($BD60/Dashboard!$D$23)*(1+Precificação!$W$589))*(1+AO$28))+$AA$26)*(1+Dashboard!$D$35),0)</f>
        <v>0</v>
      </c>
      <c r="AV60" s="179">
        <f t="shared" si="3"/>
        <v>0</v>
      </c>
      <c r="AW60" s="144">
        <f>VLOOKUP(B60,'Cronog. e Histog.'!$B$757:$H$849,7,0)</f>
        <v>0</v>
      </c>
      <c r="AX60" s="144">
        <f>VLOOKUP(B60,'Cronog. e Histog.'!$B$757:$I$849,8,0)</f>
        <v>0</v>
      </c>
      <c r="AY60" s="144">
        <f>$AW60*$AX60*Dashboard!$D$15</f>
        <v>0</v>
      </c>
      <c r="AZ60" s="144">
        <f>$AW60*$AX60*VLOOKUP(B60,Precificação!$B$7:$BM$89,54,0)</f>
        <v>0</v>
      </c>
      <c r="BA60" s="144">
        <f>$AW60*$AX60*VLOOKUP(B60,Precificação!$B$7:$BR$89,58,0)</f>
        <v>0</v>
      </c>
      <c r="BB60" s="144">
        <f>$AW60*$AX60*VLOOKUP(B60,Precificação!$B$7:$BW$89,62,0)</f>
        <v>0</v>
      </c>
      <c r="BC60" s="144">
        <f t="shared" si="4"/>
        <v>0</v>
      </c>
      <c r="BD60" s="109">
        <f>IFERROR(VLOOKUP(B60,Precificação!$B$7:$S$89,13,0),0)</f>
        <v>0</v>
      </c>
      <c r="BE60" s="109">
        <f>IFERROR(VLOOKUP(B60,Precificação!$B$7:$U$89,15,0)/(Precificação!$U$4+Precificação!$U$91),0)*Dashboard!$T$3</f>
        <v>0</v>
      </c>
    </row>
    <row r="61" spans="2:57" ht="12" hidden="1" customHeight="1" outlineLevel="1">
      <c r="B61" s="137" t="str">
        <f>Precificação!B36</f>
        <v>Técnico de Qualidade - Controle de Qualidade</v>
      </c>
      <c r="D61" s="607"/>
      <c r="E61" s="143" t="str">
        <f>IF('Cronog. e Histog.'!F790&gt;0,'Cronog. e Histog.'!F790,"")</f>
        <v>Técnico de Qualidade</v>
      </c>
      <c r="G61" s="179">
        <f t="shared" si="2"/>
        <v>0</v>
      </c>
      <c r="H61" s="110"/>
      <c r="I61" s="78"/>
      <c r="J61" s="81">
        <f>IF(I61="horista",H61*Dashboard!$D$15,IF(OR(I61="Mensalista",I61="PJ"),H61,))</f>
        <v>0</v>
      </c>
      <c r="K61" s="81">
        <f>IF(I61="PJ",J61,ROUND(J61*(1+Dashboard!$D$22),2))</f>
        <v>0</v>
      </c>
      <c r="L61" s="77"/>
      <c r="M61" s="180"/>
      <c r="P61" s="109">
        <f>IF($BD61&gt;0,(((($BD61/Dashboard!$D$15)*(1+Precificação!$W$589)))+$P$26)*(1+Dashboard!$D$35),0)</f>
        <v>0</v>
      </c>
      <c r="Q61" s="109">
        <f>IF($BD61&gt;0,(((($BD61/Dashboard!$D$23)*(1+Precificação!$W$589))*(1+Q$28))+$P$26)*(1+Dashboard!$D$35),0)</f>
        <v>0</v>
      </c>
      <c r="R61" s="109">
        <f>IF($BD61&gt;0,(((($BD61/Dashboard!$D$23)*(1+Precificação!$W$589))*(1+R$28))+$P$26)*(1+Dashboard!$D$35),0)</f>
        <v>0</v>
      </c>
      <c r="S61" s="109">
        <f>IF($BD61&gt;0,(((($BD61/Dashboard!$D$23)*(1+Precificação!$W$589))*(1+S$28))+$P$26)*(1+Dashboard!$D$35),0)</f>
        <v>0</v>
      </c>
      <c r="AA61" s="109">
        <f>IF($BD61&gt;0,(((($BD61/Dashboard!$D$23)*(1+Precificação!$W$589)))+$AA$26)*(1+Dashboard!$D$35),0)</f>
        <v>0</v>
      </c>
      <c r="AB61" s="109">
        <f>IF($BD61&gt;0,(((($BD61/Dashboard!$D$23)*(1+Precificação!$W$589))*(1+AB$28))+$AA$26)*(1+Dashboard!$D$35),0)</f>
        <v>0</v>
      </c>
      <c r="AC61" s="109">
        <f>IF($BD61&gt;0,(((($BD61/Dashboard!$D$23)*(1+Precificação!$W$589))*(1+AC$28))+$AA$26)*(1+Dashboard!$D$35),0)</f>
        <v>0</v>
      </c>
      <c r="AD61" s="109">
        <f>IF($BD61&gt;0,(((($BD61/Dashboard!$D$23)*(1+Precificação!$W$589))*(1+AD$28))+$AA$26)*(1+Dashboard!$D$35),0)</f>
        <v>0</v>
      </c>
      <c r="AL61" s="109">
        <f>IF($BD61&gt;0,(((($BD61/Dashboard!$D$23)*(1+Precificação!$W$589)))+$AL$26)*(1+Dashboard!$D$35),0)</f>
        <v>0</v>
      </c>
      <c r="AM61" s="109">
        <f>IF($BD61&gt;0,(((($BD61/Dashboard!$D$23)*(1+Precificação!$W$589))*(1+AM$28))+$AA$26)*(1+Dashboard!$D$35),0)</f>
        <v>0</v>
      </c>
      <c r="AN61" s="109">
        <f>IF($BD61&gt;0,(((($BD61/Dashboard!$D$23)*(1+Precificação!$W$589))*(1+AN$28))+$AA$26)*(1+Dashboard!$D$35),0)</f>
        <v>0</v>
      </c>
      <c r="AO61" s="109">
        <f>IF($BD61&gt;0,(((($BD61/Dashboard!$D$23)*(1+Precificação!$W$589))*(1+AO$28))+$AA$26)*(1+Dashboard!$D$35),0)</f>
        <v>0</v>
      </c>
      <c r="AV61" s="179">
        <f t="shared" si="3"/>
        <v>0</v>
      </c>
      <c r="AW61" s="144">
        <f>VLOOKUP(B61,'Cronog. e Histog.'!$B$757:$H$849,7,0)</f>
        <v>0</v>
      </c>
      <c r="AX61" s="144">
        <f>VLOOKUP(B61,'Cronog. e Histog.'!$B$757:$I$849,8,0)</f>
        <v>0</v>
      </c>
      <c r="AY61" s="144">
        <f>$AW61*$AX61*Dashboard!$D$15</f>
        <v>0</v>
      </c>
      <c r="AZ61" s="144">
        <f>$AW61*$AX61*VLOOKUP(B61,Precificação!$B$7:$BM$89,54,0)</f>
        <v>0</v>
      </c>
      <c r="BA61" s="144">
        <f>$AW61*$AX61*VLOOKUP(B61,Precificação!$B$7:$BR$89,58,0)</f>
        <v>0</v>
      </c>
      <c r="BB61" s="144">
        <f>$AW61*$AX61*VLOOKUP(B61,Precificação!$B$7:$BW$89,62,0)</f>
        <v>0</v>
      </c>
      <c r="BC61" s="144">
        <f t="shared" si="4"/>
        <v>0</v>
      </c>
      <c r="BD61" s="109">
        <f>IFERROR(VLOOKUP(B61,Precificação!$B$7:$S$89,13,0),0)</f>
        <v>0</v>
      </c>
      <c r="BE61" s="109">
        <f>IFERROR(VLOOKUP(B61,Precificação!$B$7:$U$89,15,0)/(Precificação!$U$4+Precificação!$U$91),0)*Dashboard!$T$3</f>
        <v>0</v>
      </c>
    </row>
    <row r="62" spans="2:57" ht="12" hidden="1" customHeight="1" outlineLevel="1">
      <c r="B62" s="137" t="str">
        <f>Precificação!B37</f>
        <v>Inspetor (LP/PM/EVS) - Controle de Qualidade</v>
      </c>
      <c r="D62" s="607"/>
      <c r="E62" s="143" t="str">
        <f>IF('Cronog. e Histog.'!F791&gt;0,'Cronog. e Histog.'!F791,"")</f>
        <v>Inspetor (LP/PM/EVS)</v>
      </c>
      <c r="G62" s="179">
        <f t="shared" si="2"/>
        <v>0</v>
      </c>
      <c r="H62" s="110"/>
      <c r="I62" s="78"/>
      <c r="J62" s="81">
        <f>IF(I62="horista",H62*Dashboard!$D$15,IF(OR(I62="Mensalista",I62="PJ"),H62,))</f>
        <v>0</v>
      </c>
      <c r="K62" s="81">
        <f>IF(I62="PJ",J62,ROUND(J62*(1+Dashboard!$D$22),2))</f>
        <v>0</v>
      </c>
      <c r="L62" s="77"/>
      <c r="M62" s="180"/>
      <c r="P62" s="109">
        <f>IF($BD62&gt;0,(((($BD62/Dashboard!$D$15)*(1+Precificação!$W$589)))+$P$26)*(1+Dashboard!$D$35),0)</f>
        <v>0</v>
      </c>
      <c r="Q62" s="109">
        <f>IF($BD62&gt;0,(((($BD62/Dashboard!$D$23)*(1+Precificação!$W$589))*(1+Q$28))+$P$26)*(1+Dashboard!$D$35),0)</f>
        <v>0</v>
      </c>
      <c r="R62" s="109">
        <f>IF($BD62&gt;0,(((($BD62/Dashboard!$D$23)*(1+Precificação!$W$589))*(1+R$28))+$P$26)*(1+Dashboard!$D$35),0)</f>
        <v>0</v>
      </c>
      <c r="S62" s="109">
        <f>IF($BD62&gt;0,(((($BD62/Dashboard!$D$23)*(1+Precificação!$W$589))*(1+S$28))+$P$26)*(1+Dashboard!$D$35),0)</f>
        <v>0</v>
      </c>
      <c r="AA62" s="109">
        <f>IF($BD62&gt;0,(((($BD62/Dashboard!$D$23)*(1+Precificação!$W$589)))+$AA$26)*(1+Dashboard!$D$35),0)</f>
        <v>0</v>
      </c>
      <c r="AB62" s="109">
        <f>IF($BD62&gt;0,(((($BD62/Dashboard!$D$23)*(1+Precificação!$W$589))*(1+AB$28))+$AA$26)*(1+Dashboard!$D$35),0)</f>
        <v>0</v>
      </c>
      <c r="AC62" s="109">
        <f>IF($BD62&gt;0,(((($BD62/Dashboard!$D$23)*(1+Precificação!$W$589))*(1+AC$28))+$AA$26)*(1+Dashboard!$D$35),0)</f>
        <v>0</v>
      </c>
      <c r="AD62" s="109">
        <f>IF($BD62&gt;0,(((($BD62/Dashboard!$D$23)*(1+Precificação!$W$589))*(1+AD$28))+$AA$26)*(1+Dashboard!$D$35),0)</f>
        <v>0</v>
      </c>
      <c r="AL62" s="109">
        <f>IF($BD62&gt;0,(((($BD62/Dashboard!$D$23)*(1+Precificação!$W$589)))+$AL$26)*(1+Dashboard!$D$35),0)</f>
        <v>0</v>
      </c>
      <c r="AM62" s="109">
        <f>IF($BD62&gt;0,(((($BD62/Dashboard!$D$23)*(1+Precificação!$W$589))*(1+AM$28))+$AA$26)*(1+Dashboard!$D$35),0)</f>
        <v>0</v>
      </c>
      <c r="AN62" s="109">
        <f>IF($BD62&gt;0,(((($BD62/Dashboard!$D$23)*(1+Precificação!$W$589))*(1+AN$28))+$AA$26)*(1+Dashboard!$D$35),0)</f>
        <v>0</v>
      </c>
      <c r="AO62" s="109">
        <f>IF($BD62&gt;0,(((($BD62/Dashboard!$D$23)*(1+Precificação!$W$589))*(1+AO$28))+$AA$26)*(1+Dashboard!$D$35),0)</f>
        <v>0</v>
      </c>
      <c r="AV62" s="179">
        <f t="shared" si="3"/>
        <v>0</v>
      </c>
      <c r="AW62" s="144">
        <f>VLOOKUP(B62,'Cronog. e Histog.'!$B$757:$H$849,7,0)</f>
        <v>0</v>
      </c>
      <c r="AX62" s="144">
        <f>VLOOKUP(B62,'Cronog. e Histog.'!$B$757:$I$849,8,0)</f>
        <v>0</v>
      </c>
      <c r="AY62" s="144">
        <f>$AW62*$AX62*Dashboard!$D$15</f>
        <v>0</v>
      </c>
      <c r="AZ62" s="144">
        <f>$AW62*$AX62*VLOOKUP(B62,Precificação!$B$7:$BM$89,54,0)</f>
        <v>0</v>
      </c>
      <c r="BA62" s="144">
        <f>$AW62*$AX62*VLOOKUP(B62,Precificação!$B$7:$BR$89,58,0)</f>
        <v>0</v>
      </c>
      <c r="BB62" s="144">
        <f>$AW62*$AX62*VLOOKUP(B62,Precificação!$B$7:$BW$89,62,0)</f>
        <v>0</v>
      </c>
      <c r="BC62" s="144">
        <f t="shared" si="4"/>
        <v>0</v>
      </c>
      <c r="BD62" s="109">
        <f>IFERROR(VLOOKUP(B62,Precificação!$B$7:$S$89,13,0),0)</f>
        <v>0</v>
      </c>
      <c r="BE62" s="109">
        <f>IFERROR(VLOOKUP(B62,Precificação!$B$7:$U$89,15,0)/(Precificação!$U$4+Precificação!$U$91),0)*Dashboard!$T$3</f>
        <v>0</v>
      </c>
    </row>
    <row r="63" spans="2:57" ht="12" hidden="1" customHeight="1" outlineLevel="1">
      <c r="B63" s="137" t="str">
        <f>Precificação!B38</f>
        <v>Inspetor RX - Controle de Qualidade</v>
      </c>
      <c r="D63" s="607"/>
      <c r="E63" s="143" t="str">
        <f>IF('Cronog. e Histog.'!F792&gt;0,'Cronog. e Histog.'!F792,"")</f>
        <v>Inspetor RX</v>
      </c>
      <c r="G63" s="179">
        <f t="shared" si="2"/>
        <v>0</v>
      </c>
      <c r="H63" s="110"/>
      <c r="I63" s="78"/>
      <c r="J63" s="81">
        <f>IF(I63="horista",H63*Dashboard!$D$15,IF(OR(I63="Mensalista",I63="PJ"),H63,))</f>
        <v>0</v>
      </c>
      <c r="K63" s="81">
        <f>IF(I63="PJ",J63,ROUND(J63*(1+Dashboard!$D$22),2))</f>
        <v>0</v>
      </c>
      <c r="L63" s="77"/>
      <c r="M63" s="180"/>
      <c r="P63" s="109">
        <f>IF($BD63&gt;0,(((($BD63/Dashboard!$D$15)*(1+Precificação!$W$589)))+$P$26)*(1+Dashboard!$D$35),0)</f>
        <v>0</v>
      </c>
      <c r="Q63" s="109">
        <f>IF($BD63&gt;0,(((($BD63/Dashboard!$D$23)*(1+Precificação!$W$589))*(1+Q$28))+$P$26)*(1+Dashboard!$D$35),0)</f>
        <v>0</v>
      </c>
      <c r="R63" s="109">
        <f>IF($BD63&gt;0,(((($BD63/Dashboard!$D$23)*(1+Precificação!$W$589))*(1+R$28))+$P$26)*(1+Dashboard!$D$35),0)</f>
        <v>0</v>
      </c>
      <c r="S63" s="109">
        <f>IF($BD63&gt;0,(((($BD63/Dashboard!$D$23)*(1+Precificação!$W$589))*(1+S$28))+$P$26)*(1+Dashboard!$D$35),0)</f>
        <v>0</v>
      </c>
      <c r="AA63" s="109">
        <f>IF($BD63&gt;0,(((($BD63/Dashboard!$D$23)*(1+Precificação!$W$589)))+$AA$26)*(1+Dashboard!$D$35),0)</f>
        <v>0</v>
      </c>
      <c r="AB63" s="109">
        <f>IF($BD63&gt;0,(((($BD63/Dashboard!$D$23)*(1+Precificação!$W$589))*(1+AB$28))+$AA$26)*(1+Dashboard!$D$35),0)</f>
        <v>0</v>
      </c>
      <c r="AC63" s="109">
        <f>IF($BD63&gt;0,(((($BD63/Dashboard!$D$23)*(1+Precificação!$W$589))*(1+AC$28))+$AA$26)*(1+Dashboard!$D$35),0)</f>
        <v>0</v>
      </c>
      <c r="AD63" s="109">
        <f>IF($BD63&gt;0,(((($BD63/Dashboard!$D$23)*(1+Precificação!$W$589))*(1+AD$28))+$AA$26)*(1+Dashboard!$D$35),0)</f>
        <v>0</v>
      </c>
      <c r="AL63" s="109">
        <f>IF($BD63&gt;0,(((($BD63/Dashboard!$D$23)*(1+Precificação!$W$589)))+$AL$26)*(1+Dashboard!$D$35),0)</f>
        <v>0</v>
      </c>
      <c r="AM63" s="109">
        <f>IF($BD63&gt;0,(((($BD63/Dashboard!$D$23)*(1+Precificação!$W$589))*(1+AM$28))+$AA$26)*(1+Dashboard!$D$35),0)</f>
        <v>0</v>
      </c>
      <c r="AN63" s="109">
        <f>IF($BD63&gt;0,(((($BD63/Dashboard!$D$23)*(1+Precificação!$W$589))*(1+AN$28))+$AA$26)*(1+Dashboard!$D$35),0)</f>
        <v>0</v>
      </c>
      <c r="AO63" s="109">
        <f>IF($BD63&gt;0,(((($BD63/Dashboard!$D$23)*(1+Precificação!$W$589))*(1+AO$28))+$AA$26)*(1+Dashboard!$D$35),0)</f>
        <v>0</v>
      </c>
      <c r="AV63" s="179">
        <f t="shared" si="3"/>
        <v>0</v>
      </c>
      <c r="AW63" s="144">
        <f>VLOOKUP(B63,'Cronog. e Histog.'!$B$757:$H$849,7,0)</f>
        <v>0</v>
      </c>
      <c r="AX63" s="144">
        <f>VLOOKUP(B63,'Cronog. e Histog.'!$B$757:$I$849,8,0)</f>
        <v>0</v>
      </c>
      <c r="AY63" s="144">
        <f>$AW63*$AX63*Dashboard!$D$15</f>
        <v>0</v>
      </c>
      <c r="AZ63" s="144">
        <f>$AW63*$AX63*VLOOKUP(B63,Precificação!$B$7:$BM$89,54,0)</f>
        <v>0</v>
      </c>
      <c r="BA63" s="144">
        <f>$AW63*$AX63*VLOOKUP(B63,Precificação!$B$7:$BR$89,58,0)</f>
        <v>0</v>
      </c>
      <c r="BB63" s="144">
        <f>$AW63*$AX63*VLOOKUP(B63,Precificação!$B$7:$BW$89,62,0)</f>
        <v>0</v>
      </c>
      <c r="BC63" s="144">
        <f t="shared" si="4"/>
        <v>0</v>
      </c>
      <c r="BD63" s="109">
        <f>IFERROR(VLOOKUP(B63,Precificação!$B$7:$S$89,13,0),0)</f>
        <v>0</v>
      </c>
      <c r="BE63" s="109">
        <f>IFERROR(VLOOKUP(B63,Precificação!$B$7:$U$89,15,0)/(Precificação!$U$4+Precificação!$U$91),0)*Dashboard!$T$3</f>
        <v>0</v>
      </c>
    </row>
    <row r="64" spans="2:57" ht="12" hidden="1" customHeight="1" outlineLevel="1">
      <c r="B64" s="137" t="str">
        <f>Precificação!B39</f>
        <v>Inpestor de Equipamento - Controle de Qualidade</v>
      </c>
      <c r="D64" s="607"/>
      <c r="E64" s="143" t="str">
        <f>IF('Cronog. e Histog.'!F793&gt;0,'Cronog. e Histog.'!F793,"")</f>
        <v>Inpestor de Equipamento</v>
      </c>
      <c r="G64" s="179">
        <f t="shared" ref="G64:G95" si="5">IF(AND((AW64*AX64)&gt;0,K64=0),1,0)</f>
        <v>0</v>
      </c>
      <c r="H64" s="110"/>
      <c r="I64" s="78"/>
      <c r="J64" s="81">
        <f>IF(I64="horista",H64*Dashboard!$D$15,IF(OR(I64="Mensalista",I64="PJ"),H64,))</f>
        <v>0</v>
      </c>
      <c r="K64" s="81">
        <f>IF(I64="PJ",J64,ROUND(J64*(1+Dashboard!$D$22),2))</f>
        <v>0</v>
      </c>
      <c r="L64" s="77"/>
      <c r="M64" s="180"/>
      <c r="P64" s="109">
        <f>IF($BD64&gt;0,(((($BD64/Dashboard!$D$15)*(1+Precificação!$W$589)))+$P$26)*(1+Dashboard!$D$35),0)</f>
        <v>0</v>
      </c>
      <c r="Q64" s="109">
        <f>IF($BD64&gt;0,(((($BD64/Dashboard!$D$23)*(1+Precificação!$W$589))*(1+Q$28))+$P$26)*(1+Dashboard!$D$35),0)</f>
        <v>0</v>
      </c>
      <c r="R64" s="109">
        <f>IF($BD64&gt;0,(((($BD64/Dashboard!$D$23)*(1+Precificação!$W$589))*(1+R$28))+$P$26)*(1+Dashboard!$D$35),0)</f>
        <v>0</v>
      </c>
      <c r="S64" s="109">
        <f>IF($BD64&gt;0,(((($BD64/Dashboard!$D$23)*(1+Precificação!$W$589))*(1+S$28))+$P$26)*(1+Dashboard!$D$35),0)</f>
        <v>0</v>
      </c>
      <c r="AA64" s="109">
        <f>IF($BD64&gt;0,(((($BD64/Dashboard!$D$23)*(1+Precificação!$W$589)))+$AA$26)*(1+Dashboard!$D$35),0)</f>
        <v>0</v>
      </c>
      <c r="AB64" s="109">
        <f>IF($BD64&gt;0,(((($BD64/Dashboard!$D$23)*(1+Precificação!$W$589))*(1+AB$28))+$AA$26)*(1+Dashboard!$D$35),0)</f>
        <v>0</v>
      </c>
      <c r="AC64" s="109">
        <f>IF($BD64&gt;0,(((($BD64/Dashboard!$D$23)*(1+Precificação!$W$589))*(1+AC$28))+$AA$26)*(1+Dashboard!$D$35),0)</f>
        <v>0</v>
      </c>
      <c r="AD64" s="109">
        <f>IF($BD64&gt;0,(((($BD64/Dashboard!$D$23)*(1+Precificação!$W$589))*(1+AD$28))+$AA$26)*(1+Dashboard!$D$35),0)</f>
        <v>0</v>
      </c>
      <c r="AL64" s="109">
        <f>IF($BD64&gt;0,(((($BD64/Dashboard!$D$23)*(1+Precificação!$W$589)))+$AL$26)*(1+Dashboard!$D$35),0)</f>
        <v>0</v>
      </c>
      <c r="AM64" s="109">
        <f>IF($BD64&gt;0,(((($BD64/Dashboard!$D$23)*(1+Precificação!$W$589))*(1+AM$28))+$AA$26)*(1+Dashboard!$D$35),0)</f>
        <v>0</v>
      </c>
      <c r="AN64" s="109">
        <f>IF($BD64&gt;0,(((($BD64/Dashboard!$D$23)*(1+Precificação!$W$589))*(1+AN$28))+$AA$26)*(1+Dashboard!$D$35),0)</f>
        <v>0</v>
      </c>
      <c r="AO64" s="109">
        <f>IF($BD64&gt;0,(((($BD64/Dashboard!$D$23)*(1+Precificação!$W$589))*(1+AO$28))+$AA$26)*(1+Dashboard!$D$35),0)</f>
        <v>0</v>
      </c>
      <c r="AV64" s="179">
        <f t="shared" si="3"/>
        <v>0</v>
      </c>
      <c r="AW64" s="144">
        <f>VLOOKUP(B64,'Cronog. e Histog.'!$B$757:$H$849,7,0)</f>
        <v>0</v>
      </c>
      <c r="AX64" s="144">
        <f>VLOOKUP(B64,'Cronog. e Histog.'!$B$757:$I$849,8,0)</f>
        <v>0</v>
      </c>
      <c r="AY64" s="144">
        <f>$AW64*$AX64*Dashboard!$D$15</f>
        <v>0</v>
      </c>
      <c r="AZ64" s="144">
        <f>$AW64*$AX64*VLOOKUP(B64,Precificação!$B$7:$BM$89,54,0)</f>
        <v>0</v>
      </c>
      <c r="BA64" s="144">
        <f>$AW64*$AX64*VLOOKUP(B64,Precificação!$B$7:$BR$89,58,0)</f>
        <v>0</v>
      </c>
      <c r="BB64" s="144">
        <f>$AW64*$AX64*VLOOKUP(B64,Precificação!$B$7:$BW$89,62,0)</f>
        <v>0</v>
      </c>
      <c r="BC64" s="144">
        <f t="shared" si="4"/>
        <v>0</v>
      </c>
      <c r="BD64" s="109">
        <f>IFERROR(VLOOKUP(B64,Precificação!$B$7:$S$89,13,0),0)</f>
        <v>0</v>
      </c>
      <c r="BE64" s="109">
        <f>IFERROR(VLOOKUP(B64,Precificação!$B$7:$U$89,15,0)/(Precificação!$U$4+Precificação!$U$91),0)*Dashboard!$T$3</f>
        <v>0</v>
      </c>
    </row>
    <row r="65" spans="2:57" ht="12" hidden="1" customHeight="1" outlineLevel="1">
      <c r="B65" s="137" t="str">
        <f>Precificação!B40</f>
        <v>Inspetor N1 - Controle de Qualidade</v>
      </c>
      <c r="D65" s="607"/>
      <c r="E65" s="143" t="str">
        <f>IF('Cronog. e Histog.'!F794&gt;0,'Cronog. e Histog.'!F794,"")</f>
        <v>Inspetor N1</v>
      </c>
      <c r="G65" s="179">
        <f t="shared" si="5"/>
        <v>0</v>
      </c>
      <c r="H65" s="110"/>
      <c r="I65" s="78"/>
      <c r="J65" s="81">
        <f>IF(I65="horista",H65*Dashboard!$D$15,IF(OR(I65="Mensalista",I65="PJ"),H65,))</f>
        <v>0</v>
      </c>
      <c r="K65" s="81">
        <f>IF(I65="PJ",J65,ROUND(J65*(1+Dashboard!$D$22),2))</f>
        <v>0</v>
      </c>
      <c r="L65" s="77"/>
      <c r="M65" s="180"/>
      <c r="P65" s="109">
        <f>IF($BD65&gt;0,(((($BD65/Dashboard!$D$15)*(1+Precificação!$W$589)))+$P$26)*(1+Dashboard!$D$35),0)</f>
        <v>0</v>
      </c>
      <c r="Q65" s="109">
        <f>IF($BD65&gt;0,(((($BD65/Dashboard!$D$23)*(1+Precificação!$W$589))*(1+Q$28))+$P$26)*(1+Dashboard!$D$35),0)</f>
        <v>0</v>
      </c>
      <c r="R65" s="109">
        <f>IF($BD65&gt;0,(((($BD65/Dashboard!$D$23)*(1+Precificação!$W$589))*(1+R$28))+$P$26)*(1+Dashboard!$D$35),0)</f>
        <v>0</v>
      </c>
      <c r="S65" s="109">
        <f>IF($BD65&gt;0,(((($BD65/Dashboard!$D$23)*(1+Precificação!$W$589))*(1+S$28))+$P$26)*(1+Dashboard!$D$35),0)</f>
        <v>0</v>
      </c>
      <c r="AA65" s="109">
        <f>IF($BD65&gt;0,(((($BD65/Dashboard!$D$23)*(1+Precificação!$W$589)))+$AA$26)*(1+Dashboard!$D$35),0)</f>
        <v>0</v>
      </c>
      <c r="AB65" s="109">
        <f>IF($BD65&gt;0,(((($BD65/Dashboard!$D$23)*(1+Precificação!$W$589))*(1+AB$28))+$AA$26)*(1+Dashboard!$D$35),0)</f>
        <v>0</v>
      </c>
      <c r="AC65" s="109">
        <f>IF($BD65&gt;0,(((($BD65/Dashboard!$D$23)*(1+Precificação!$W$589))*(1+AC$28))+$AA$26)*(1+Dashboard!$D$35),0)</f>
        <v>0</v>
      </c>
      <c r="AD65" s="109">
        <f>IF($BD65&gt;0,(((($BD65/Dashboard!$D$23)*(1+Precificação!$W$589))*(1+AD$28))+$AA$26)*(1+Dashboard!$D$35),0)</f>
        <v>0</v>
      </c>
      <c r="AL65" s="109">
        <f>IF($BD65&gt;0,(((($BD65/Dashboard!$D$23)*(1+Precificação!$W$589)))+$AL$26)*(1+Dashboard!$D$35),0)</f>
        <v>0</v>
      </c>
      <c r="AM65" s="109">
        <f>IF($BD65&gt;0,(((($BD65/Dashboard!$D$23)*(1+Precificação!$W$589))*(1+AM$28))+$AA$26)*(1+Dashboard!$D$35),0)</f>
        <v>0</v>
      </c>
      <c r="AN65" s="109">
        <f>IF($BD65&gt;0,(((($BD65/Dashboard!$D$23)*(1+Precificação!$W$589))*(1+AN$28))+$AA$26)*(1+Dashboard!$D$35),0)</f>
        <v>0</v>
      </c>
      <c r="AO65" s="109">
        <f>IF($BD65&gt;0,(((($BD65/Dashboard!$D$23)*(1+Precificação!$W$589))*(1+AO$28))+$AA$26)*(1+Dashboard!$D$35),0)</f>
        <v>0</v>
      </c>
      <c r="AV65" s="179">
        <f t="shared" ref="AV65:AV96" si="6">IF(AND((AW65*AX65)&gt;0,K65=0),1,0)</f>
        <v>0</v>
      </c>
      <c r="AW65" s="144">
        <f>VLOOKUP(B65,'Cronog. e Histog.'!$B$757:$H$849,7,0)</f>
        <v>0</v>
      </c>
      <c r="AX65" s="144">
        <f>VLOOKUP(B65,'Cronog. e Histog.'!$B$757:$I$849,8,0)</f>
        <v>0</v>
      </c>
      <c r="AY65" s="144">
        <f>$AW65*$AX65*Dashboard!$D$15</f>
        <v>0</v>
      </c>
      <c r="AZ65" s="144">
        <f>$AW65*$AX65*VLOOKUP(B65,Precificação!$B$7:$BM$89,54,0)</f>
        <v>0</v>
      </c>
      <c r="BA65" s="144">
        <f>$AW65*$AX65*VLOOKUP(B65,Precificação!$B$7:$BR$89,58,0)</f>
        <v>0</v>
      </c>
      <c r="BB65" s="144">
        <f>$AW65*$AX65*VLOOKUP(B65,Precificação!$B$7:$BW$89,62,0)</f>
        <v>0</v>
      </c>
      <c r="BC65" s="144">
        <f t="shared" si="4"/>
        <v>0</v>
      </c>
      <c r="BD65" s="109">
        <f>IFERROR(VLOOKUP(B65,Precificação!$B$7:$S$89,13,0),0)</f>
        <v>0</v>
      </c>
      <c r="BE65" s="109">
        <f>IFERROR(VLOOKUP(B65,Precificação!$B$7:$U$89,15,0)/(Precificação!$U$4+Precificação!$U$91),0)*Dashboard!$T$3</f>
        <v>0</v>
      </c>
    </row>
    <row r="66" spans="2:57" ht="12" hidden="1" customHeight="1" outlineLevel="1">
      <c r="B66" s="137" t="str">
        <f>Precificação!B41</f>
        <v>Inspetor N2 - Controle de Qualidade</v>
      </c>
      <c r="D66" s="607"/>
      <c r="E66" s="143" t="str">
        <f>IF('Cronog. e Histog.'!F795&gt;0,'Cronog. e Histog.'!F795,"")</f>
        <v>Inspetor N2</v>
      </c>
      <c r="G66" s="179">
        <f t="shared" si="5"/>
        <v>0</v>
      </c>
      <c r="H66" s="110"/>
      <c r="I66" s="78"/>
      <c r="J66" s="81">
        <f>IF(I66="horista",H66*Dashboard!$D$15,IF(OR(I66="Mensalista",I66="PJ"),H66,))</f>
        <v>0</v>
      </c>
      <c r="K66" s="81">
        <f>IF(I66="PJ",J66,ROUND(J66*(1+Dashboard!$D$22),2))</f>
        <v>0</v>
      </c>
      <c r="L66" s="77"/>
      <c r="M66" s="180"/>
      <c r="P66" s="109">
        <f>IF($BD66&gt;0,(((($BD66/Dashboard!$D$15)*(1+Precificação!$W$589)))+$P$26)*(1+Dashboard!$D$35),0)</f>
        <v>0</v>
      </c>
      <c r="Q66" s="109">
        <f>IF($BD66&gt;0,(((($BD66/Dashboard!$D$23)*(1+Precificação!$W$589))*(1+Q$28))+$P$26)*(1+Dashboard!$D$35),0)</f>
        <v>0</v>
      </c>
      <c r="R66" s="109">
        <f>IF($BD66&gt;0,(((($BD66/Dashboard!$D$23)*(1+Precificação!$W$589))*(1+R$28))+$P$26)*(1+Dashboard!$D$35),0)</f>
        <v>0</v>
      </c>
      <c r="S66" s="109">
        <f>IF($BD66&gt;0,(((($BD66/Dashboard!$D$23)*(1+Precificação!$W$589))*(1+S$28))+$P$26)*(1+Dashboard!$D$35),0)</f>
        <v>0</v>
      </c>
      <c r="AA66" s="109">
        <f>IF($BD66&gt;0,(((($BD66/Dashboard!$D$23)*(1+Precificação!$W$589)))+$AA$26)*(1+Dashboard!$D$35),0)</f>
        <v>0</v>
      </c>
      <c r="AB66" s="109">
        <f>IF($BD66&gt;0,(((($BD66/Dashboard!$D$23)*(1+Precificação!$W$589))*(1+AB$28))+$AA$26)*(1+Dashboard!$D$35),0)</f>
        <v>0</v>
      </c>
      <c r="AC66" s="109">
        <f>IF($BD66&gt;0,(((($BD66/Dashboard!$D$23)*(1+Precificação!$W$589))*(1+AC$28))+$AA$26)*(1+Dashboard!$D$35),0)</f>
        <v>0</v>
      </c>
      <c r="AD66" s="109">
        <f>IF($BD66&gt;0,(((($BD66/Dashboard!$D$23)*(1+Precificação!$W$589))*(1+AD$28))+$AA$26)*(1+Dashboard!$D$35),0)</f>
        <v>0</v>
      </c>
      <c r="AL66" s="109">
        <f>IF($BD66&gt;0,(((($BD66/Dashboard!$D$23)*(1+Precificação!$W$589)))+$AL$26)*(1+Dashboard!$D$35),0)</f>
        <v>0</v>
      </c>
      <c r="AM66" s="109">
        <f>IF($BD66&gt;0,(((($BD66/Dashboard!$D$23)*(1+Precificação!$W$589))*(1+AM$28))+$AA$26)*(1+Dashboard!$D$35),0)</f>
        <v>0</v>
      </c>
      <c r="AN66" s="109">
        <f>IF($BD66&gt;0,(((($BD66/Dashboard!$D$23)*(1+Precificação!$W$589))*(1+AN$28))+$AA$26)*(1+Dashboard!$D$35),0)</f>
        <v>0</v>
      </c>
      <c r="AO66" s="109">
        <f>IF($BD66&gt;0,(((($BD66/Dashboard!$D$23)*(1+Precificação!$W$589))*(1+AO$28))+$AA$26)*(1+Dashboard!$D$35),0)</f>
        <v>0</v>
      </c>
      <c r="AV66" s="179">
        <f t="shared" si="6"/>
        <v>0</v>
      </c>
      <c r="AW66" s="144">
        <f>VLOOKUP(B66,'Cronog. e Histog.'!$B$757:$H$849,7,0)</f>
        <v>0</v>
      </c>
      <c r="AX66" s="144">
        <f>VLOOKUP(B66,'Cronog. e Histog.'!$B$757:$I$849,8,0)</f>
        <v>0</v>
      </c>
      <c r="AY66" s="144">
        <f>$AW66*$AX66*Dashboard!$D$15</f>
        <v>0</v>
      </c>
      <c r="AZ66" s="144">
        <f>$AW66*$AX66*VLOOKUP(B66,Precificação!$B$7:$BM$89,54,0)</f>
        <v>0</v>
      </c>
      <c r="BA66" s="144">
        <f>$AW66*$AX66*VLOOKUP(B66,Precificação!$B$7:$BR$89,58,0)</f>
        <v>0</v>
      </c>
      <c r="BB66" s="144">
        <f>$AW66*$AX66*VLOOKUP(B66,Precificação!$B$7:$BW$89,62,0)</f>
        <v>0</v>
      </c>
      <c r="BC66" s="144">
        <f t="shared" si="4"/>
        <v>0</v>
      </c>
      <c r="BD66" s="109">
        <f>IFERROR(VLOOKUP(B66,Precificação!$B$7:$S$89,13,0),0)</f>
        <v>0</v>
      </c>
      <c r="BE66" s="109">
        <f>IFERROR(VLOOKUP(B66,Precificação!$B$7:$U$89,15,0)/(Precificação!$U$4+Precificação!$U$91),0)*Dashboard!$T$3</f>
        <v>0</v>
      </c>
    </row>
    <row r="67" spans="2:57" ht="12" hidden="1" customHeight="1" outlineLevel="1">
      <c r="B67" s="137" t="str">
        <f>Precificação!B42</f>
        <v>Coordenador de SSMA - SSMA</v>
      </c>
      <c r="D67" s="607" t="s">
        <v>505</v>
      </c>
      <c r="E67" s="143" t="str">
        <f>IF('Cronog. e Histog.'!F797&gt;0,'Cronog. e Histog.'!F797,"")</f>
        <v>Coordenador de SSMA</v>
      </c>
      <c r="G67" s="179">
        <f t="shared" si="5"/>
        <v>0</v>
      </c>
      <c r="H67" s="110"/>
      <c r="I67" s="78"/>
      <c r="J67" s="81">
        <f>IF(I67="horista",H67*Dashboard!$D$15,IF(OR(I67="Mensalista",I67="PJ"),H67,))</f>
        <v>0</v>
      </c>
      <c r="K67" s="81">
        <f>IF(I67="PJ",J67,ROUND(J67*(1+Dashboard!$D$22),2))</f>
        <v>0</v>
      </c>
      <c r="L67" s="77"/>
      <c r="M67" s="180"/>
      <c r="P67" s="109">
        <f>IF($BD67&gt;0,(((($BD67/Dashboard!$D$15)*(1+Precificação!$W$589)))+$P$26)*(1+Dashboard!$D$35),0)</f>
        <v>0</v>
      </c>
      <c r="Q67" s="109">
        <f>IF($BD67&gt;0,(((($BD67/Dashboard!$D$23)*(1+Precificação!$W$589))*(1+Q$28))+$P$26)*(1+Dashboard!$D$35),0)</f>
        <v>0</v>
      </c>
      <c r="R67" s="109">
        <f>IF($BD67&gt;0,(((($BD67/Dashboard!$D$23)*(1+Precificação!$W$589))*(1+R$28))+$P$26)*(1+Dashboard!$D$35),0)</f>
        <v>0</v>
      </c>
      <c r="S67" s="109">
        <f>IF($BD67&gt;0,(((($BD67/Dashboard!$D$23)*(1+Precificação!$W$589))*(1+S$28))+$P$26)*(1+Dashboard!$D$35),0)</f>
        <v>0</v>
      </c>
      <c r="AA67" s="109">
        <f>IF($BD67&gt;0,(((($BD67/Dashboard!$D$23)*(1+Precificação!$W$589)))+$AA$26)*(1+Dashboard!$D$35),0)</f>
        <v>0</v>
      </c>
      <c r="AB67" s="109">
        <f>IF($BD67&gt;0,(((($BD67/Dashboard!$D$23)*(1+Precificação!$W$589))*(1+AB$28))+$AA$26)*(1+Dashboard!$D$35),0)</f>
        <v>0</v>
      </c>
      <c r="AC67" s="109">
        <f>IF($BD67&gt;0,(((($BD67/Dashboard!$D$23)*(1+Precificação!$W$589))*(1+AC$28))+$AA$26)*(1+Dashboard!$D$35),0)</f>
        <v>0</v>
      </c>
      <c r="AD67" s="109">
        <f>IF($BD67&gt;0,(((($BD67/Dashboard!$D$23)*(1+Precificação!$W$589))*(1+AD$28))+$AA$26)*(1+Dashboard!$D$35),0)</f>
        <v>0</v>
      </c>
      <c r="AL67" s="109">
        <f>IF($BD67&gt;0,(((($BD67/Dashboard!$D$23)*(1+Precificação!$W$589)))+$AL$26)*(1+Dashboard!$D$35),0)</f>
        <v>0</v>
      </c>
      <c r="AM67" s="109">
        <f>IF($BD67&gt;0,(((($BD67/Dashboard!$D$23)*(1+Precificação!$W$589))*(1+AM$28))+$AA$26)*(1+Dashboard!$D$35),0)</f>
        <v>0</v>
      </c>
      <c r="AN67" s="109">
        <f>IF($BD67&gt;0,(((($BD67/Dashboard!$D$23)*(1+Precificação!$W$589))*(1+AN$28))+$AA$26)*(1+Dashboard!$D$35),0)</f>
        <v>0</v>
      </c>
      <c r="AO67" s="109">
        <f>IF($BD67&gt;0,(((($BD67/Dashboard!$D$23)*(1+Precificação!$W$589))*(1+AO$28))+$AA$26)*(1+Dashboard!$D$35),0)</f>
        <v>0</v>
      </c>
      <c r="AV67" s="179">
        <f t="shared" si="6"/>
        <v>0</v>
      </c>
      <c r="AW67" s="144">
        <f>VLOOKUP(B67,'Cronog. e Histog.'!$B$757:$H$849,7,0)</f>
        <v>0</v>
      </c>
      <c r="AX67" s="144">
        <f>VLOOKUP(B67,'Cronog. e Histog.'!$B$757:$I$849,8,0)</f>
        <v>0</v>
      </c>
      <c r="AY67" s="144">
        <f>$AW67*$AX67*Dashboard!$D$15</f>
        <v>0</v>
      </c>
      <c r="AZ67" s="144">
        <f>$AW67*$AX67*VLOOKUP(B67,Precificação!$B$7:$BM$89,54,0)</f>
        <v>0</v>
      </c>
      <c r="BA67" s="144">
        <f>$AW67*$AX67*VLOOKUP(B67,Precificação!$B$7:$BR$89,58,0)</f>
        <v>0</v>
      </c>
      <c r="BB67" s="144">
        <f>$AW67*$AX67*VLOOKUP(B67,Precificação!$B$7:$BW$89,62,0)</f>
        <v>0</v>
      </c>
      <c r="BC67" s="144">
        <f t="shared" si="4"/>
        <v>0</v>
      </c>
      <c r="BD67" s="109">
        <f>IFERROR(VLOOKUP(B67,Precificação!$B$7:$S$89,13,0),0)</f>
        <v>0</v>
      </c>
      <c r="BE67" s="109">
        <f>IFERROR(VLOOKUP(B67,Precificação!$B$7:$U$89,15,0)/(Precificação!$U$4+Precificação!$U$91),0)*Dashboard!$T$3</f>
        <v>0</v>
      </c>
    </row>
    <row r="68" spans="2:57" ht="12" hidden="1" customHeight="1" outlineLevel="1">
      <c r="B68" s="137" t="str">
        <f>Precificação!B43</f>
        <v>Técnico de Segurança - SSMA</v>
      </c>
      <c r="D68" s="607"/>
      <c r="E68" s="143" t="str">
        <f>IF('Cronog. e Histog.'!F798&gt;0,'Cronog. e Histog.'!F798,"")</f>
        <v>Técnico de Segurança</v>
      </c>
      <c r="G68" s="179">
        <f t="shared" si="5"/>
        <v>0</v>
      </c>
      <c r="H68" s="110"/>
      <c r="I68" s="78"/>
      <c r="J68" s="81">
        <f>IF(I68="horista",H68*Dashboard!$D$15,IF(OR(I68="Mensalista",I68="PJ"),H68,))</f>
        <v>0</v>
      </c>
      <c r="K68" s="81">
        <f>IF(I68="PJ",J68,ROUND(J68*(1+Dashboard!$D$22),2))</f>
        <v>0</v>
      </c>
      <c r="L68" s="77"/>
      <c r="M68" s="180"/>
      <c r="P68" s="109">
        <f>IF($BD68&gt;0,(((($BD68/Dashboard!$D$15)*(1+Precificação!$W$589)))+$P$26)*(1+Dashboard!$D$35),0)</f>
        <v>0</v>
      </c>
      <c r="Q68" s="109">
        <f>IF($BD68&gt;0,(((($BD68/Dashboard!$D$23)*(1+Precificação!$W$589))*(1+Q$28))+$P$26)*(1+Dashboard!$D$35),0)</f>
        <v>0</v>
      </c>
      <c r="R68" s="109">
        <f>IF($BD68&gt;0,(((($BD68/Dashboard!$D$23)*(1+Precificação!$W$589))*(1+R$28))+$P$26)*(1+Dashboard!$D$35),0)</f>
        <v>0</v>
      </c>
      <c r="S68" s="109">
        <f>IF($BD68&gt;0,(((($BD68/Dashboard!$D$23)*(1+Precificação!$W$589))*(1+S$28))+$P$26)*(1+Dashboard!$D$35),0)</f>
        <v>0</v>
      </c>
      <c r="AA68" s="109">
        <f>IF($BD68&gt;0,(((($BD68/Dashboard!$D$23)*(1+Precificação!$W$589)))+$AA$26)*(1+Dashboard!$D$35),0)</f>
        <v>0</v>
      </c>
      <c r="AB68" s="109">
        <f>IF($BD68&gt;0,(((($BD68/Dashboard!$D$23)*(1+Precificação!$W$589))*(1+AB$28))+$AA$26)*(1+Dashboard!$D$35),0)</f>
        <v>0</v>
      </c>
      <c r="AC68" s="109">
        <f>IF($BD68&gt;0,(((($BD68/Dashboard!$D$23)*(1+Precificação!$W$589))*(1+AC$28))+$AA$26)*(1+Dashboard!$D$35),0)</f>
        <v>0</v>
      </c>
      <c r="AD68" s="109">
        <f>IF($BD68&gt;0,(((($BD68/Dashboard!$D$23)*(1+Precificação!$W$589))*(1+AD$28))+$AA$26)*(1+Dashboard!$D$35),0)</f>
        <v>0</v>
      </c>
      <c r="AL68" s="109">
        <f>IF($BD68&gt;0,(((($BD68/Dashboard!$D$23)*(1+Precificação!$W$589)))+$AL$26)*(1+Dashboard!$D$35),0)</f>
        <v>0</v>
      </c>
      <c r="AM68" s="109">
        <f>IF($BD68&gt;0,(((($BD68/Dashboard!$D$23)*(1+Precificação!$W$589))*(1+AM$28))+$AA$26)*(1+Dashboard!$D$35),0)</f>
        <v>0</v>
      </c>
      <c r="AN68" s="109">
        <f>IF($BD68&gt;0,(((($BD68/Dashboard!$D$23)*(1+Precificação!$W$589))*(1+AN$28))+$AA$26)*(1+Dashboard!$D$35),0)</f>
        <v>0</v>
      </c>
      <c r="AO68" s="109">
        <f>IF($BD68&gt;0,(((($BD68/Dashboard!$D$23)*(1+Precificação!$W$589))*(1+AO$28))+$AA$26)*(1+Dashboard!$D$35),0)</f>
        <v>0</v>
      </c>
      <c r="AV68" s="179">
        <f t="shared" si="6"/>
        <v>0</v>
      </c>
      <c r="AW68" s="144">
        <f>VLOOKUP(B68,'Cronog. e Histog.'!$B$757:$H$849,7,0)</f>
        <v>0</v>
      </c>
      <c r="AX68" s="144">
        <f>VLOOKUP(B68,'Cronog. e Histog.'!$B$757:$I$849,8,0)</f>
        <v>0</v>
      </c>
      <c r="AY68" s="144">
        <f>$AW68*$AX68*Dashboard!$D$15</f>
        <v>0</v>
      </c>
      <c r="AZ68" s="144">
        <f>$AW68*$AX68*VLOOKUP(B68,Precificação!$B$7:$BM$89,54,0)</f>
        <v>0</v>
      </c>
      <c r="BA68" s="144">
        <f>$AW68*$AX68*VLOOKUP(B68,Precificação!$B$7:$BR$89,58,0)</f>
        <v>0</v>
      </c>
      <c r="BB68" s="144">
        <f>$AW68*$AX68*VLOOKUP(B68,Precificação!$B$7:$BW$89,62,0)</f>
        <v>0</v>
      </c>
      <c r="BC68" s="144">
        <f t="shared" si="4"/>
        <v>0</v>
      </c>
      <c r="BD68" s="109">
        <f>IFERROR(VLOOKUP(B68,Precificação!$B$7:$S$89,13,0),0)</f>
        <v>0</v>
      </c>
      <c r="BE68" s="109">
        <f>IFERROR(VLOOKUP(B68,Precificação!$B$7:$U$89,15,0)/(Precificação!$U$4+Precificação!$U$91),0)*Dashboard!$T$3</f>
        <v>0</v>
      </c>
    </row>
    <row r="69" spans="2:57" ht="12" hidden="1" customHeight="1" outlineLevel="1">
      <c r="B69" s="137" t="str">
        <f>Precificação!B44</f>
        <v>Auxiliar de Segurança - SSMA</v>
      </c>
      <c r="D69" s="607"/>
      <c r="E69" s="143" t="str">
        <f>IF('Cronog. e Histog.'!F799&gt;0,'Cronog. e Histog.'!F799,"")</f>
        <v>Auxiliar de Segurança</v>
      </c>
      <c r="G69" s="179">
        <f t="shared" si="5"/>
        <v>0</v>
      </c>
      <c r="H69" s="110"/>
      <c r="I69" s="78"/>
      <c r="J69" s="81">
        <f>IF(I69="horista",H69*Dashboard!$D$15,IF(OR(I69="Mensalista",I69="PJ"),H69,))</f>
        <v>0</v>
      </c>
      <c r="K69" s="81">
        <f>IF(I69="PJ",J69,ROUND(J69*(1+Dashboard!$D$22),2))</f>
        <v>0</v>
      </c>
      <c r="L69" s="77"/>
      <c r="M69" s="180"/>
      <c r="P69" s="109">
        <f>IF($BD69&gt;0,(((($BD69/Dashboard!$D$15)*(1+Precificação!$W$589)))+$P$26)*(1+Dashboard!$D$35),0)</f>
        <v>0</v>
      </c>
      <c r="Q69" s="109">
        <f>IF($BD69&gt;0,(((($BD69/Dashboard!$D$23)*(1+Precificação!$W$589))*(1+Q$28))+$P$26)*(1+Dashboard!$D$35),0)</f>
        <v>0</v>
      </c>
      <c r="R69" s="109">
        <f>IF($BD69&gt;0,(((($BD69/Dashboard!$D$23)*(1+Precificação!$W$589))*(1+R$28))+$P$26)*(1+Dashboard!$D$35),0)</f>
        <v>0</v>
      </c>
      <c r="S69" s="109">
        <f>IF($BD69&gt;0,(((($BD69/Dashboard!$D$23)*(1+Precificação!$W$589))*(1+S$28))+$P$26)*(1+Dashboard!$D$35),0)</f>
        <v>0</v>
      </c>
      <c r="AA69" s="109">
        <f>IF($BD69&gt;0,(((($BD69/Dashboard!$D$23)*(1+Precificação!$W$589)))+$AA$26)*(1+Dashboard!$D$35),0)</f>
        <v>0</v>
      </c>
      <c r="AB69" s="109">
        <f>IF($BD69&gt;0,(((($BD69/Dashboard!$D$23)*(1+Precificação!$W$589))*(1+AB$28))+$AA$26)*(1+Dashboard!$D$35),0)</f>
        <v>0</v>
      </c>
      <c r="AC69" s="109">
        <f>IF($BD69&gt;0,(((($BD69/Dashboard!$D$23)*(1+Precificação!$W$589))*(1+AC$28))+$AA$26)*(1+Dashboard!$D$35),0)</f>
        <v>0</v>
      </c>
      <c r="AD69" s="109">
        <f>IF($BD69&gt;0,(((($BD69/Dashboard!$D$23)*(1+Precificação!$W$589))*(1+AD$28))+$AA$26)*(1+Dashboard!$D$35),0)</f>
        <v>0</v>
      </c>
      <c r="AL69" s="109">
        <f>IF($BD69&gt;0,(((($BD69/Dashboard!$D$23)*(1+Precificação!$W$589)))+$AL$26)*(1+Dashboard!$D$35),0)</f>
        <v>0</v>
      </c>
      <c r="AM69" s="109">
        <f>IF($BD69&gt;0,(((($BD69/Dashboard!$D$23)*(1+Precificação!$W$589))*(1+AM$28))+$AA$26)*(1+Dashboard!$D$35),0)</f>
        <v>0</v>
      </c>
      <c r="AN69" s="109">
        <f>IF($BD69&gt;0,(((($BD69/Dashboard!$D$23)*(1+Precificação!$W$589))*(1+AN$28))+$AA$26)*(1+Dashboard!$D$35),0)</f>
        <v>0</v>
      </c>
      <c r="AO69" s="109">
        <f>IF($BD69&gt;0,(((($BD69/Dashboard!$D$23)*(1+Precificação!$W$589))*(1+AO$28))+$AA$26)*(1+Dashboard!$D$35),0)</f>
        <v>0</v>
      </c>
      <c r="AV69" s="179">
        <f t="shared" si="6"/>
        <v>0</v>
      </c>
      <c r="AW69" s="144">
        <f>VLOOKUP(B69,'Cronog. e Histog.'!$B$757:$H$849,7,0)</f>
        <v>0</v>
      </c>
      <c r="AX69" s="144">
        <f>VLOOKUP(B69,'Cronog. e Histog.'!$B$757:$I$849,8,0)</f>
        <v>0</v>
      </c>
      <c r="AY69" s="144">
        <f>$AW69*$AX69*Dashboard!$D$15</f>
        <v>0</v>
      </c>
      <c r="AZ69" s="144">
        <f>$AW69*$AX69*VLOOKUP(B69,Precificação!$B$7:$BM$89,54,0)</f>
        <v>0</v>
      </c>
      <c r="BA69" s="144">
        <f>$AW69*$AX69*VLOOKUP(B69,Precificação!$B$7:$BR$89,58,0)</f>
        <v>0</v>
      </c>
      <c r="BB69" s="144">
        <f>$AW69*$AX69*VLOOKUP(B69,Precificação!$B$7:$BW$89,62,0)</f>
        <v>0</v>
      </c>
      <c r="BC69" s="144">
        <f t="shared" si="4"/>
        <v>0</v>
      </c>
      <c r="BD69" s="109">
        <f>IFERROR(VLOOKUP(B69,Precificação!$B$7:$S$89,13,0),0)</f>
        <v>0</v>
      </c>
      <c r="BE69" s="109">
        <f>IFERROR(VLOOKUP(B69,Precificação!$B$7:$U$89,15,0)/(Precificação!$U$4+Precificação!$U$91),0)*Dashboard!$T$3</f>
        <v>0</v>
      </c>
    </row>
    <row r="70" spans="2:57" ht="12" hidden="1" customHeight="1" outlineLevel="1">
      <c r="B70" s="137" t="str">
        <f>Precificação!B45</f>
        <v>Técnico de Meio Ambiente - SSMA</v>
      </c>
      <c r="D70" s="607"/>
      <c r="E70" s="143" t="str">
        <f>IF('Cronog. e Histog.'!F800&gt;0,'Cronog. e Histog.'!F800,"")</f>
        <v>Técnico de Meio Ambiente</v>
      </c>
      <c r="G70" s="179">
        <f t="shared" si="5"/>
        <v>0</v>
      </c>
      <c r="H70" s="110"/>
      <c r="I70" s="78"/>
      <c r="J70" s="81">
        <f>IF(I70="horista",H70*Dashboard!$D$15,IF(OR(I70="Mensalista",I70="PJ"),H70,))</f>
        <v>0</v>
      </c>
      <c r="K70" s="81">
        <f>IF(I70="PJ",J70,ROUND(J70*(1+Dashboard!$D$22),2))</f>
        <v>0</v>
      </c>
      <c r="L70" s="77"/>
      <c r="M70" s="180"/>
      <c r="P70" s="109">
        <f>IF($BD70&gt;0,(((($BD70/Dashboard!$D$15)*(1+Precificação!$W$589)))+$P$26)*(1+Dashboard!$D$35),0)</f>
        <v>0</v>
      </c>
      <c r="Q70" s="109">
        <f>IF($BD70&gt;0,(((($BD70/Dashboard!$D$23)*(1+Precificação!$W$589))*(1+Q$28))+$P$26)*(1+Dashboard!$D$35),0)</f>
        <v>0</v>
      </c>
      <c r="R70" s="109">
        <f>IF($BD70&gt;0,(((($BD70/Dashboard!$D$23)*(1+Precificação!$W$589))*(1+R$28))+$P$26)*(1+Dashboard!$D$35),0)</f>
        <v>0</v>
      </c>
      <c r="S70" s="109">
        <f>IF($BD70&gt;0,(((($BD70/Dashboard!$D$23)*(1+Precificação!$W$589))*(1+S$28))+$P$26)*(1+Dashboard!$D$35),0)</f>
        <v>0</v>
      </c>
      <c r="AA70" s="109">
        <f>IF($BD70&gt;0,(((($BD70/Dashboard!$D$23)*(1+Precificação!$W$589)))+$AA$26)*(1+Dashboard!$D$35),0)</f>
        <v>0</v>
      </c>
      <c r="AB70" s="109">
        <f>IF($BD70&gt;0,(((($BD70/Dashboard!$D$23)*(1+Precificação!$W$589))*(1+AB$28))+$AA$26)*(1+Dashboard!$D$35),0)</f>
        <v>0</v>
      </c>
      <c r="AC70" s="109">
        <f>IF($BD70&gt;0,(((($BD70/Dashboard!$D$23)*(1+Precificação!$W$589))*(1+AC$28))+$AA$26)*(1+Dashboard!$D$35),0)</f>
        <v>0</v>
      </c>
      <c r="AD70" s="109">
        <f>IF($BD70&gt;0,(((($BD70/Dashboard!$D$23)*(1+Precificação!$W$589))*(1+AD$28))+$AA$26)*(1+Dashboard!$D$35),0)</f>
        <v>0</v>
      </c>
      <c r="AL70" s="109">
        <f>IF($BD70&gt;0,(((($BD70/Dashboard!$D$23)*(1+Precificação!$W$589)))+$AL$26)*(1+Dashboard!$D$35),0)</f>
        <v>0</v>
      </c>
      <c r="AM70" s="109">
        <f>IF($BD70&gt;0,(((($BD70/Dashboard!$D$23)*(1+Precificação!$W$589))*(1+AM$28))+$AA$26)*(1+Dashboard!$D$35),0)</f>
        <v>0</v>
      </c>
      <c r="AN70" s="109">
        <f>IF($BD70&gt;0,(((($BD70/Dashboard!$D$23)*(1+Precificação!$W$589))*(1+AN$28))+$AA$26)*(1+Dashboard!$D$35),0)</f>
        <v>0</v>
      </c>
      <c r="AO70" s="109">
        <f>IF($BD70&gt;0,(((($BD70/Dashboard!$D$23)*(1+Precificação!$W$589))*(1+AO$28))+$AA$26)*(1+Dashboard!$D$35),0)</f>
        <v>0</v>
      </c>
      <c r="AV70" s="179">
        <f t="shared" si="6"/>
        <v>0</v>
      </c>
      <c r="AW70" s="144">
        <f>VLOOKUP(B70,'Cronog. e Histog.'!$B$757:$H$849,7,0)</f>
        <v>0</v>
      </c>
      <c r="AX70" s="144">
        <f>VLOOKUP(B70,'Cronog. e Histog.'!$B$757:$I$849,8,0)</f>
        <v>0</v>
      </c>
      <c r="AY70" s="144">
        <f>$AW70*$AX70*Dashboard!$D$15</f>
        <v>0</v>
      </c>
      <c r="AZ70" s="144">
        <f>$AW70*$AX70*VLOOKUP(B70,Precificação!$B$7:$BM$89,54,0)</f>
        <v>0</v>
      </c>
      <c r="BA70" s="144">
        <f>$AW70*$AX70*VLOOKUP(B70,Precificação!$B$7:$BR$89,58,0)</f>
        <v>0</v>
      </c>
      <c r="BB70" s="144">
        <f>$AW70*$AX70*VLOOKUP(B70,Precificação!$B$7:$BW$89,62,0)</f>
        <v>0</v>
      </c>
      <c r="BC70" s="144">
        <f t="shared" si="4"/>
        <v>0</v>
      </c>
      <c r="BD70" s="109">
        <f>IFERROR(VLOOKUP(B70,Precificação!$B$7:$S$89,13,0),0)</f>
        <v>0</v>
      </c>
      <c r="BE70" s="109">
        <f>IFERROR(VLOOKUP(B70,Precificação!$B$7:$U$89,15,0)/(Precificação!$U$4+Precificação!$U$91),0)*Dashboard!$T$3</f>
        <v>0</v>
      </c>
    </row>
    <row r="71" spans="2:57" ht="12" hidden="1" customHeight="1" outlineLevel="1">
      <c r="B71" s="137" t="str">
        <f>Precificação!B46</f>
        <v/>
      </c>
      <c r="D71" s="607"/>
      <c r="E71" s="143" t="str">
        <f>IF('Cronog. e Histog.'!F801&gt;0,'Cronog. e Histog.'!F801,"")</f>
        <v/>
      </c>
      <c r="G71" s="179">
        <f t="shared" si="5"/>
        <v>0</v>
      </c>
      <c r="H71" s="110"/>
      <c r="I71" s="78"/>
      <c r="J71" s="81">
        <f>IF(I71="horista",H71*Dashboard!$D$15,IF(OR(I71="Mensalista",I71="PJ"),H71,))</f>
        <v>0</v>
      </c>
      <c r="K71" s="81">
        <f>IF(I71="PJ",J71,ROUND(J71*(1+Dashboard!$D$22),2))</f>
        <v>0</v>
      </c>
      <c r="L71" s="77"/>
      <c r="M71" s="180"/>
      <c r="P71" s="109">
        <f>IF($BD71&gt;0,(((($BD71/Dashboard!$D$15)*(1+Precificação!$W$589)))+$P$26)*(1+Dashboard!$D$35),0)</f>
        <v>0</v>
      </c>
      <c r="Q71" s="109">
        <f>IF($BD71&gt;0,(((($BD71/Dashboard!$D$23)*(1+Precificação!$W$589))*(1+Q$28))+$P$26)*(1+Dashboard!$D$35),0)</f>
        <v>0</v>
      </c>
      <c r="R71" s="109">
        <f>IF($BD71&gt;0,(((($BD71/Dashboard!$D$23)*(1+Precificação!$W$589))*(1+R$28))+$P$26)*(1+Dashboard!$D$35),0)</f>
        <v>0</v>
      </c>
      <c r="S71" s="109">
        <f>IF($BD71&gt;0,(((($BD71/Dashboard!$D$23)*(1+Precificação!$W$589))*(1+S$28))+$P$26)*(1+Dashboard!$D$35),0)</f>
        <v>0</v>
      </c>
      <c r="AA71" s="109">
        <f>IF($BD71&gt;0,(((($BD71/Dashboard!$D$23)*(1+Precificação!$W$589)))+$AA$26)*(1+Dashboard!$D$35),0)</f>
        <v>0</v>
      </c>
      <c r="AB71" s="109">
        <f>IF($BD71&gt;0,(((($BD71/Dashboard!$D$23)*(1+Precificação!$W$589))*(1+AB$28))+$AA$26)*(1+Dashboard!$D$35),0)</f>
        <v>0</v>
      </c>
      <c r="AC71" s="109">
        <f>IF($BD71&gt;0,(((($BD71/Dashboard!$D$23)*(1+Precificação!$W$589))*(1+AC$28))+$AA$26)*(1+Dashboard!$D$35),0)</f>
        <v>0</v>
      </c>
      <c r="AD71" s="109">
        <f>IF($BD71&gt;0,(((($BD71/Dashboard!$D$23)*(1+Precificação!$W$589))*(1+AD$28))+$AA$26)*(1+Dashboard!$D$35),0)</f>
        <v>0</v>
      </c>
      <c r="AL71" s="109">
        <f>IF($BD71&gt;0,(((($BD71/Dashboard!$D$23)*(1+Precificação!$W$589)))+$AL$26)*(1+Dashboard!$D$35),0)</f>
        <v>0</v>
      </c>
      <c r="AM71" s="109">
        <f>IF($BD71&gt;0,(((($BD71/Dashboard!$D$23)*(1+Precificação!$W$589))*(1+AM$28))+$AA$26)*(1+Dashboard!$D$35),0)</f>
        <v>0</v>
      </c>
      <c r="AN71" s="109">
        <f>IF($BD71&gt;0,(((($BD71/Dashboard!$D$23)*(1+Precificação!$W$589))*(1+AN$28))+$AA$26)*(1+Dashboard!$D$35),0)</f>
        <v>0</v>
      </c>
      <c r="AO71" s="109">
        <f>IF($BD71&gt;0,(((($BD71/Dashboard!$D$23)*(1+Precificação!$W$589))*(1+AO$28))+$AA$26)*(1+Dashboard!$D$35),0)</f>
        <v>0</v>
      </c>
      <c r="AV71" s="179">
        <f t="shared" si="6"/>
        <v>0</v>
      </c>
      <c r="AW71" s="144">
        <f>VLOOKUP(B71,'Cronog. e Histog.'!$B$757:$H$849,7,0)</f>
        <v>0</v>
      </c>
      <c r="AX71" s="144">
        <f>VLOOKUP(B71,'Cronog. e Histog.'!$B$757:$I$849,8,0)</f>
        <v>0</v>
      </c>
      <c r="AY71" s="144">
        <f>$AW71*$AX71*Dashboard!$D$15</f>
        <v>0</v>
      </c>
      <c r="AZ71" s="144">
        <f>$AW71*$AX71*VLOOKUP(B71,Precificação!$B$7:$BM$89,54,0)</f>
        <v>0</v>
      </c>
      <c r="BA71" s="144">
        <f>$AW71*$AX71*VLOOKUP(B71,Precificação!$B$7:$BR$89,58,0)</f>
        <v>0</v>
      </c>
      <c r="BB71" s="144">
        <f>$AW71*$AX71*VLOOKUP(B71,Precificação!$B$7:$BW$89,62,0)</f>
        <v>0</v>
      </c>
      <c r="BC71" s="144">
        <f t="shared" si="4"/>
        <v>0</v>
      </c>
      <c r="BD71" s="109">
        <f>IFERROR(VLOOKUP(B71,Precificação!$B$7:$S$89,13,0),0)</f>
        <v>0</v>
      </c>
      <c r="BE71" s="109">
        <f>IFERROR(VLOOKUP(B71,Precificação!$B$7:$U$89,15,0)/(Precificação!$U$4+Precificação!$U$91),0)*Dashboard!$T$3</f>
        <v>0</v>
      </c>
    </row>
    <row r="72" spans="2:57" ht="12" hidden="1" customHeight="1" outlineLevel="1">
      <c r="B72" s="137" t="str">
        <f>Precificação!B47</f>
        <v/>
      </c>
      <c r="D72" s="607"/>
      <c r="E72" s="143" t="str">
        <f>IF('Cronog. e Histog.'!F802&gt;0,'Cronog. e Histog.'!F802,"")</f>
        <v/>
      </c>
      <c r="G72" s="179">
        <f t="shared" si="5"/>
        <v>0</v>
      </c>
      <c r="H72" s="110"/>
      <c r="I72" s="78"/>
      <c r="J72" s="81">
        <f>IF(I72="horista",H72*Dashboard!$D$15,IF(OR(I72="Mensalista",I72="PJ"),H72,))</f>
        <v>0</v>
      </c>
      <c r="K72" s="81">
        <f>IF(I72="PJ",J72,ROUND(J72*(1+Dashboard!$D$22),2))</f>
        <v>0</v>
      </c>
      <c r="L72" s="77"/>
      <c r="M72" s="180"/>
      <c r="P72" s="109">
        <f>IF($BD72&gt;0,(((($BD72/Dashboard!$D$15)*(1+Precificação!$W$589)))+$P$26)*(1+Dashboard!$D$35),0)</f>
        <v>0</v>
      </c>
      <c r="Q72" s="109">
        <f>IF($BD72&gt;0,(((($BD72/Dashboard!$D$23)*(1+Precificação!$W$589))*(1+Q$28))+$P$26)*(1+Dashboard!$D$35),0)</f>
        <v>0</v>
      </c>
      <c r="R72" s="109">
        <f>IF($BD72&gt;0,(((($BD72/Dashboard!$D$23)*(1+Precificação!$W$589))*(1+R$28))+$P$26)*(1+Dashboard!$D$35),0)</f>
        <v>0</v>
      </c>
      <c r="S72" s="109">
        <f>IF($BD72&gt;0,(((($BD72/Dashboard!$D$23)*(1+Precificação!$W$589))*(1+S$28))+$P$26)*(1+Dashboard!$D$35),0)</f>
        <v>0</v>
      </c>
      <c r="AA72" s="109">
        <f>IF($BD72&gt;0,(((($BD72/Dashboard!$D$23)*(1+Precificação!$W$589)))+$AA$26)*(1+Dashboard!$D$35),0)</f>
        <v>0</v>
      </c>
      <c r="AB72" s="109">
        <f>IF($BD72&gt;0,(((($BD72/Dashboard!$D$23)*(1+Precificação!$W$589))*(1+AB$28))+$AA$26)*(1+Dashboard!$D$35),0)</f>
        <v>0</v>
      </c>
      <c r="AC72" s="109">
        <f>IF($BD72&gt;0,(((($BD72/Dashboard!$D$23)*(1+Precificação!$W$589))*(1+AC$28))+$AA$26)*(1+Dashboard!$D$35),0)</f>
        <v>0</v>
      </c>
      <c r="AD72" s="109">
        <f>IF($BD72&gt;0,(((($BD72/Dashboard!$D$23)*(1+Precificação!$W$589))*(1+AD$28))+$AA$26)*(1+Dashboard!$D$35),0)</f>
        <v>0</v>
      </c>
      <c r="AL72" s="109">
        <f>IF($BD72&gt;0,(((($BD72/Dashboard!$D$23)*(1+Precificação!$W$589)))+$AL$26)*(1+Dashboard!$D$35),0)</f>
        <v>0</v>
      </c>
      <c r="AM72" s="109">
        <f>IF($BD72&gt;0,(((($BD72/Dashboard!$D$23)*(1+Precificação!$W$589))*(1+AM$28))+$AA$26)*(1+Dashboard!$D$35),0)</f>
        <v>0</v>
      </c>
      <c r="AN72" s="109">
        <f>IF($BD72&gt;0,(((($BD72/Dashboard!$D$23)*(1+Precificação!$W$589))*(1+AN$28))+$AA$26)*(1+Dashboard!$D$35),0)</f>
        <v>0</v>
      </c>
      <c r="AO72" s="109">
        <f>IF($BD72&gt;0,(((($BD72/Dashboard!$D$23)*(1+Precificação!$W$589))*(1+AO$28))+$AA$26)*(1+Dashboard!$D$35),0)</f>
        <v>0</v>
      </c>
      <c r="AV72" s="179">
        <f t="shared" si="6"/>
        <v>0</v>
      </c>
      <c r="AW72" s="144">
        <f>VLOOKUP(B72,'Cronog. e Histog.'!$B$757:$H$849,7,0)</f>
        <v>0</v>
      </c>
      <c r="AX72" s="144">
        <f>VLOOKUP(B72,'Cronog. e Histog.'!$B$757:$I$849,8,0)</f>
        <v>0</v>
      </c>
      <c r="AY72" s="144">
        <f>$AW72*$AX72*Dashboard!$D$15</f>
        <v>0</v>
      </c>
      <c r="AZ72" s="144">
        <f>$AW72*$AX72*VLOOKUP(B72,Precificação!$B$7:$BM$89,54,0)</f>
        <v>0</v>
      </c>
      <c r="BA72" s="144">
        <f>$AW72*$AX72*VLOOKUP(B72,Precificação!$B$7:$BR$89,58,0)</f>
        <v>0</v>
      </c>
      <c r="BB72" s="144">
        <f>$AW72*$AX72*VLOOKUP(B72,Precificação!$B$7:$BW$89,62,0)</f>
        <v>0</v>
      </c>
      <c r="BC72" s="144">
        <f t="shared" si="4"/>
        <v>0</v>
      </c>
      <c r="BD72" s="109">
        <f>IFERROR(VLOOKUP(B72,Precificação!$B$7:$S$89,13,0),0)</f>
        <v>0</v>
      </c>
      <c r="BE72" s="109">
        <f>IFERROR(VLOOKUP(B72,Precificação!$B$7:$U$89,15,0)/(Precificação!$U$4+Precificação!$U$91),0)*Dashboard!$T$3</f>
        <v>0</v>
      </c>
    </row>
    <row r="73" spans="2:57" ht="12" hidden="1" customHeight="1" outlineLevel="1">
      <c r="B73" s="137" t="str">
        <f>Precificação!B48</f>
        <v/>
      </c>
      <c r="D73" s="607"/>
      <c r="E73" s="143" t="str">
        <f>IF('Cronog. e Histog.'!F803&gt;0,'Cronog. e Histog.'!F803,"")</f>
        <v/>
      </c>
      <c r="G73" s="179">
        <f t="shared" si="5"/>
        <v>0</v>
      </c>
      <c r="H73" s="110"/>
      <c r="I73" s="78"/>
      <c r="J73" s="81">
        <f>IF(I73="horista",H73*Dashboard!$D$15,IF(OR(I73="Mensalista",I73="PJ"),H73,))</f>
        <v>0</v>
      </c>
      <c r="K73" s="81">
        <f>IF(I73="PJ",J73,ROUND(J73*(1+Dashboard!$D$22),2))</f>
        <v>0</v>
      </c>
      <c r="L73" s="77"/>
      <c r="M73" s="180"/>
      <c r="P73" s="109">
        <f>IF($BD73&gt;0,(((($BD73/Dashboard!$D$15)*(1+Precificação!$W$589)))+$P$26)*(1+Dashboard!$D$35),0)</f>
        <v>0</v>
      </c>
      <c r="Q73" s="109">
        <f>IF($BD73&gt;0,(((($BD73/Dashboard!$D$23)*(1+Precificação!$W$589))*(1+Q$28))+$P$26)*(1+Dashboard!$D$35),0)</f>
        <v>0</v>
      </c>
      <c r="R73" s="109">
        <f>IF($BD73&gt;0,(((($BD73/Dashboard!$D$23)*(1+Precificação!$W$589))*(1+R$28))+$P$26)*(1+Dashboard!$D$35),0)</f>
        <v>0</v>
      </c>
      <c r="S73" s="109">
        <f>IF($BD73&gt;0,(((($BD73/Dashboard!$D$23)*(1+Precificação!$W$589))*(1+S$28))+$P$26)*(1+Dashboard!$D$35),0)</f>
        <v>0</v>
      </c>
      <c r="AA73" s="109">
        <f>IF($BD73&gt;0,(((($BD73/Dashboard!$D$23)*(1+Precificação!$W$589)))+$AA$26)*(1+Dashboard!$D$35),0)</f>
        <v>0</v>
      </c>
      <c r="AB73" s="109">
        <f>IF($BD73&gt;0,(((($BD73/Dashboard!$D$23)*(1+Precificação!$W$589))*(1+AB$28))+$AA$26)*(1+Dashboard!$D$35),0)</f>
        <v>0</v>
      </c>
      <c r="AC73" s="109">
        <f>IF($BD73&gt;0,(((($BD73/Dashboard!$D$23)*(1+Precificação!$W$589))*(1+AC$28))+$AA$26)*(1+Dashboard!$D$35),0)</f>
        <v>0</v>
      </c>
      <c r="AD73" s="109">
        <f>IF($BD73&gt;0,(((($BD73/Dashboard!$D$23)*(1+Precificação!$W$589))*(1+AD$28))+$AA$26)*(1+Dashboard!$D$35),0)</f>
        <v>0</v>
      </c>
      <c r="AL73" s="109">
        <f>IF($BD73&gt;0,(((($BD73/Dashboard!$D$23)*(1+Precificação!$W$589)))+$AL$26)*(1+Dashboard!$D$35),0)</f>
        <v>0</v>
      </c>
      <c r="AM73" s="109">
        <f>IF($BD73&gt;0,(((($BD73/Dashboard!$D$23)*(1+Precificação!$W$589))*(1+AM$28))+$AA$26)*(1+Dashboard!$D$35),0)</f>
        <v>0</v>
      </c>
      <c r="AN73" s="109">
        <f>IF($BD73&gt;0,(((($BD73/Dashboard!$D$23)*(1+Precificação!$W$589))*(1+AN$28))+$AA$26)*(1+Dashboard!$D$35),0)</f>
        <v>0</v>
      </c>
      <c r="AO73" s="109">
        <f>IF($BD73&gt;0,(((($BD73/Dashboard!$D$23)*(1+Precificação!$W$589))*(1+AO$28))+$AA$26)*(1+Dashboard!$D$35),0)</f>
        <v>0</v>
      </c>
      <c r="AV73" s="179">
        <f t="shared" si="6"/>
        <v>0</v>
      </c>
      <c r="AW73" s="144">
        <f>VLOOKUP(B73,'Cronog. e Histog.'!$B$757:$H$849,7,0)</f>
        <v>0</v>
      </c>
      <c r="AX73" s="144">
        <f>VLOOKUP(B73,'Cronog. e Histog.'!$B$757:$I$849,8,0)</f>
        <v>0</v>
      </c>
      <c r="AY73" s="144">
        <f>$AW73*$AX73*Dashboard!$D$15</f>
        <v>0</v>
      </c>
      <c r="AZ73" s="144">
        <f>$AW73*$AX73*VLOOKUP(B73,Precificação!$B$7:$BM$89,54,0)</f>
        <v>0</v>
      </c>
      <c r="BA73" s="144">
        <f>$AW73*$AX73*VLOOKUP(B73,Precificação!$B$7:$BR$89,58,0)</f>
        <v>0</v>
      </c>
      <c r="BB73" s="144">
        <f>$AW73*$AX73*VLOOKUP(B73,Precificação!$B$7:$BW$89,62,0)</f>
        <v>0</v>
      </c>
      <c r="BC73" s="144">
        <f t="shared" si="4"/>
        <v>0</v>
      </c>
      <c r="BD73" s="109">
        <f>IFERROR(VLOOKUP(B73,Precificação!$B$7:$S$89,13,0),0)</f>
        <v>0</v>
      </c>
      <c r="BE73" s="109">
        <f>IFERROR(VLOOKUP(B73,Precificação!$B$7:$U$89,15,0)/(Precificação!$U$4+Precificação!$U$91),0)*Dashboard!$T$3</f>
        <v>0</v>
      </c>
    </row>
    <row r="74" spans="2:57" ht="12" hidden="1" customHeight="1" outlineLevel="1">
      <c r="B74" s="137" t="str">
        <f>Precificação!B49</f>
        <v>Médico do Trabalho - Medicina do Trabalho</v>
      </c>
      <c r="D74" s="607" t="s">
        <v>510</v>
      </c>
      <c r="E74" s="143" t="str">
        <f>IF('Cronog. e Histog.'!F805&gt;0,'Cronog. e Histog.'!F805,"")</f>
        <v>Médico do Trabalho</v>
      </c>
      <c r="G74" s="179">
        <f t="shared" si="5"/>
        <v>0</v>
      </c>
      <c r="H74" s="110"/>
      <c r="I74" s="78"/>
      <c r="J74" s="81">
        <f>IF(I74="horista",H74*Dashboard!$D$15,IF(OR(I74="Mensalista",I74="PJ"),H74,))</f>
        <v>0</v>
      </c>
      <c r="K74" s="81">
        <f>IF(I74="PJ",J74,ROUND(J74*(1+Dashboard!$D$22),2))</f>
        <v>0</v>
      </c>
      <c r="L74" s="77"/>
      <c r="M74" s="180"/>
      <c r="P74" s="109">
        <f>IF($BD74&gt;0,(((($BD74/Dashboard!$D$15)*(1+Precificação!$W$589)))+$P$26)*(1+Dashboard!$D$35),0)</f>
        <v>0</v>
      </c>
      <c r="Q74" s="109">
        <f>IF($BD74&gt;0,(((($BD74/Dashboard!$D$23)*(1+Precificação!$W$589))*(1+Q$28))+$P$26)*(1+Dashboard!$D$35),0)</f>
        <v>0</v>
      </c>
      <c r="R74" s="109">
        <f>IF($BD74&gt;0,(((($BD74/Dashboard!$D$23)*(1+Precificação!$W$589))*(1+R$28))+$P$26)*(1+Dashboard!$D$35),0)</f>
        <v>0</v>
      </c>
      <c r="S74" s="109">
        <f>IF($BD74&gt;0,(((($BD74/Dashboard!$D$23)*(1+Precificação!$W$589))*(1+S$28))+$P$26)*(1+Dashboard!$D$35),0)</f>
        <v>0</v>
      </c>
      <c r="AA74" s="109">
        <f>IF($BD74&gt;0,(((($BD74/Dashboard!$D$23)*(1+Precificação!$W$589)))+$AA$26)*(1+Dashboard!$D$35),0)</f>
        <v>0</v>
      </c>
      <c r="AB74" s="109">
        <f>IF($BD74&gt;0,(((($BD74/Dashboard!$D$23)*(1+Precificação!$W$589))*(1+AB$28))+$AA$26)*(1+Dashboard!$D$35),0)</f>
        <v>0</v>
      </c>
      <c r="AC74" s="109">
        <f>IF($BD74&gt;0,(((($BD74/Dashboard!$D$23)*(1+Precificação!$W$589))*(1+AC$28))+$AA$26)*(1+Dashboard!$D$35),0)</f>
        <v>0</v>
      </c>
      <c r="AD74" s="109">
        <f>IF($BD74&gt;0,(((($BD74/Dashboard!$D$23)*(1+Precificação!$W$589))*(1+AD$28))+$AA$26)*(1+Dashboard!$D$35),0)</f>
        <v>0</v>
      </c>
      <c r="AL74" s="109">
        <f>IF($BD74&gt;0,(((($BD74/Dashboard!$D$23)*(1+Precificação!$W$589)))+$AL$26)*(1+Dashboard!$D$35),0)</f>
        <v>0</v>
      </c>
      <c r="AM74" s="109">
        <f>IF($BD74&gt;0,(((($BD74/Dashboard!$D$23)*(1+Precificação!$W$589))*(1+AM$28))+$AA$26)*(1+Dashboard!$D$35),0)</f>
        <v>0</v>
      </c>
      <c r="AN74" s="109">
        <f>IF($BD74&gt;0,(((($BD74/Dashboard!$D$23)*(1+Precificação!$W$589))*(1+AN$28))+$AA$26)*(1+Dashboard!$D$35),0)</f>
        <v>0</v>
      </c>
      <c r="AO74" s="109">
        <f>IF($BD74&gt;0,(((($BD74/Dashboard!$D$23)*(1+Precificação!$W$589))*(1+AO$28))+$AA$26)*(1+Dashboard!$D$35),0)</f>
        <v>0</v>
      </c>
      <c r="AV74" s="179">
        <f t="shared" si="6"/>
        <v>0</v>
      </c>
      <c r="AW74" s="144">
        <f>VLOOKUP(B74,'Cronog. e Histog.'!$B$757:$H$849,7,0)</f>
        <v>0</v>
      </c>
      <c r="AX74" s="144">
        <f>VLOOKUP(B74,'Cronog. e Histog.'!$B$757:$I$849,8,0)</f>
        <v>0</v>
      </c>
      <c r="AY74" s="144">
        <f>$AW74*$AX74*Dashboard!$D$15</f>
        <v>0</v>
      </c>
      <c r="AZ74" s="144">
        <f>$AW74*$AX74*VLOOKUP(B74,Precificação!$B$7:$BM$89,54,0)</f>
        <v>0</v>
      </c>
      <c r="BA74" s="144">
        <f>$AW74*$AX74*VLOOKUP(B74,Precificação!$B$7:$BR$89,58,0)</f>
        <v>0</v>
      </c>
      <c r="BB74" s="144">
        <f>$AW74*$AX74*VLOOKUP(B74,Precificação!$B$7:$BW$89,62,0)</f>
        <v>0</v>
      </c>
      <c r="BC74" s="144">
        <f t="shared" si="4"/>
        <v>0</v>
      </c>
      <c r="BD74" s="109">
        <f>IFERROR(VLOOKUP(B74,Precificação!$B$7:$S$89,13,0),0)</f>
        <v>0</v>
      </c>
      <c r="BE74" s="109">
        <f>IFERROR(VLOOKUP(B74,Precificação!$B$7:$U$89,15,0)/(Precificação!$U$4+Precificação!$U$91),0)*Dashboard!$T$3</f>
        <v>0</v>
      </c>
    </row>
    <row r="75" spans="2:57" ht="12" hidden="1" customHeight="1" outlineLevel="1">
      <c r="B75" s="137" t="str">
        <f>Precificação!B50</f>
        <v>Técnico de Enfermagem do Trabalho - Medicina do Trabalho</v>
      </c>
      <c r="D75" s="607"/>
      <c r="E75" s="143" t="str">
        <f>IF('Cronog. e Histog.'!F806&gt;0,'Cronog. e Histog.'!F806,"")</f>
        <v>Técnico de Enfermagem do Trabalho</v>
      </c>
      <c r="G75" s="179">
        <f t="shared" si="5"/>
        <v>0</v>
      </c>
      <c r="H75" s="110"/>
      <c r="I75" s="78"/>
      <c r="J75" s="81">
        <f>IF(I75="horista",H75*Dashboard!$D$15,IF(OR(I75="Mensalista",I75="PJ"),H75,))</f>
        <v>0</v>
      </c>
      <c r="K75" s="81">
        <f>IF(I75="PJ",J75,ROUND(J75*(1+Dashboard!$D$22),2))</f>
        <v>0</v>
      </c>
      <c r="L75" s="77"/>
      <c r="M75" s="180"/>
      <c r="P75" s="109">
        <f>IF($BD75&gt;0,(((($BD75/Dashboard!$D$15)*(1+Precificação!$W$589)))+$P$26)*(1+Dashboard!$D$35),0)</f>
        <v>0</v>
      </c>
      <c r="Q75" s="109">
        <f>IF($BD75&gt;0,(((($BD75/Dashboard!$D$23)*(1+Precificação!$W$589))*(1+Q$28))+$P$26)*(1+Dashboard!$D$35),0)</f>
        <v>0</v>
      </c>
      <c r="R75" s="109">
        <f>IF($BD75&gt;0,(((($BD75/Dashboard!$D$23)*(1+Precificação!$W$589))*(1+R$28))+$P$26)*(1+Dashboard!$D$35),0)</f>
        <v>0</v>
      </c>
      <c r="S75" s="109">
        <f>IF($BD75&gt;0,(((($BD75/Dashboard!$D$23)*(1+Precificação!$W$589))*(1+S$28))+$P$26)*(1+Dashboard!$D$35),0)</f>
        <v>0</v>
      </c>
      <c r="AA75" s="109">
        <f>IF($BD75&gt;0,(((($BD75/Dashboard!$D$23)*(1+Precificação!$W$589)))+$AA$26)*(1+Dashboard!$D$35),0)</f>
        <v>0</v>
      </c>
      <c r="AB75" s="109">
        <f>IF($BD75&gt;0,(((($BD75/Dashboard!$D$23)*(1+Precificação!$W$589))*(1+AB$28))+$AA$26)*(1+Dashboard!$D$35),0)</f>
        <v>0</v>
      </c>
      <c r="AC75" s="109">
        <f>IF($BD75&gt;0,(((($BD75/Dashboard!$D$23)*(1+Precificação!$W$589))*(1+AC$28))+$AA$26)*(1+Dashboard!$D$35),0)</f>
        <v>0</v>
      </c>
      <c r="AD75" s="109">
        <f>IF($BD75&gt;0,(((($BD75/Dashboard!$D$23)*(1+Precificação!$W$589))*(1+AD$28))+$AA$26)*(1+Dashboard!$D$35),0)</f>
        <v>0</v>
      </c>
      <c r="AL75" s="109">
        <f>IF($BD75&gt;0,(((($BD75/Dashboard!$D$23)*(1+Precificação!$W$589)))+$AL$26)*(1+Dashboard!$D$35),0)</f>
        <v>0</v>
      </c>
      <c r="AM75" s="109">
        <f>IF($BD75&gt;0,(((($BD75/Dashboard!$D$23)*(1+Precificação!$W$589))*(1+AM$28))+$AA$26)*(1+Dashboard!$D$35),0)</f>
        <v>0</v>
      </c>
      <c r="AN75" s="109">
        <f>IF($BD75&gt;0,(((($BD75/Dashboard!$D$23)*(1+Precificação!$W$589))*(1+AN$28))+$AA$26)*(1+Dashboard!$D$35),0)</f>
        <v>0</v>
      </c>
      <c r="AO75" s="109">
        <f>IF($BD75&gt;0,(((($BD75/Dashboard!$D$23)*(1+Precificação!$W$589))*(1+AO$28))+$AA$26)*(1+Dashboard!$D$35),0)</f>
        <v>0</v>
      </c>
      <c r="AV75" s="179">
        <f t="shared" si="6"/>
        <v>0</v>
      </c>
      <c r="AW75" s="144">
        <f>VLOOKUP(B75,'Cronog. e Histog.'!$B$757:$H$849,7,0)</f>
        <v>0</v>
      </c>
      <c r="AX75" s="144">
        <f>VLOOKUP(B75,'Cronog. e Histog.'!$B$757:$I$849,8,0)</f>
        <v>0</v>
      </c>
      <c r="AY75" s="144">
        <f>$AW75*$AX75*Dashboard!$D$15</f>
        <v>0</v>
      </c>
      <c r="AZ75" s="144">
        <f>$AW75*$AX75*VLOOKUP(B75,Precificação!$B$7:$BM$89,54,0)</f>
        <v>0</v>
      </c>
      <c r="BA75" s="144">
        <f>$AW75*$AX75*VLOOKUP(B75,Precificação!$B$7:$BR$89,58,0)</f>
        <v>0</v>
      </c>
      <c r="BB75" s="144">
        <f>$AW75*$AX75*VLOOKUP(B75,Precificação!$B$7:$BW$89,62,0)</f>
        <v>0</v>
      </c>
      <c r="BC75" s="144">
        <f t="shared" si="4"/>
        <v>0</v>
      </c>
      <c r="BD75" s="109">
        <f>IFERROR(VLOOKUP(B75,Precificação!$B$7:$S$89,13,0),0)</f>
        <v>0</v>
      </c>
      <c r="BE75" s="109">
        <f>IFERROR(VLOOKUP(B75,Precificação!$B$7:$U$89,15,0)/(Precificação!$U$4+Precificação!$U$91),0)*Dashboard!$T$3</f>
        <v>0</v>
      </c>
    </row>
    <row r="76" spans="2:57" ht="12" hidden="1" customHeight="1" outlineLevel="1">
      <c r="B76" s="137" t="str">
        <f>Precificação!B51</f>
        <v>Enfermeiro do Trabalho - Medicina do Trabalho</v>
      </c>
      <c r="D76" s="607"/>
      <c r="E76" s="143" t="str">
        <f>IF('Cronog. e Histog.'!F807&gt;0,'Cronog. e Histog.'!F807,"")</f>
        <v>Enfermeiro do Trabalho</v>
      </c>
      <c r="G76" s="179">
        <f t="shared" si="5"/>
        <v>0</v>
      </c>
      <c r="H76" s="110"/>
      <c r="I76" s="78"/>
      <c r="J76" s="81">
        <f>IF(I76="horista",H76*Dashboard!$D$15,IF(OR(I76="Mensalista",I76="PJ"),H76,))</f>
        <v>0</v>
      </c>
      <c r="K76" s="81">
        <f>IF(I76="PJ",J76,ROUND(J76*(1+Dashboard!$D$22),2))</f>
        <v>0</v>
      </c>
      <c r="L76" s="77"/>
      <c r="M76" s="180"/>
      <c r="P76" s="109">
        <f>IF($BD76&gt;0,(((($BD76/Dashboard!$D$15)*(1+Precificação!$W$589)))+$P$26)*(1+Dashboard!$D$35),0)</f>
        <v>0</v>
      </c>
      <c r="Q76" s="109">
        <f>IF($BD76&gt;0,(((($BD76/Dashboard!$D$23)*(1+Precificação!$W$589))*(1+Q$28))+$P$26)*(1+Dashboard!$D$35),0)</f>
        <v>0</v>
      </c>
      <c r="R76" s="109">
        <f>IF($BD76&gt;0,(((($BD76/Dashboard!$D$23)*(1+Precificação!$W$589))*(1+R$28))+$P$26)*(1+Dashboard!$D$35),0)</f>
        <v>0</v>
      </c>
      <c r="S76" s="109">
        <f>IF($BD76&gt;0,(((($BD76/Dashboard!$D$23)*(1+Precificação!$W$589))*(1+S$28))+$P$26)*(1+Dashboard!$D$35),0)</f>
        <v>0</v>
      </c>
      <c r="AA76" s="109">
        <f>IF($BD76&gt;0,(((($BD76/Dashboard!$D$23)*(1+Precificação!$W$589)))+$AA$26)*(1+Dashboard!$D$35),0)</f>
        <v>0</v>
      </c>
      <c r="AB76" s="109">
        <f>IF($BD76&gt;0,(((($BD76/Dashboard!$D$23)*(1+Precificação!$W$589))*(1+AB$28))+$AA$26)*(1+Dashboard!$D$35),0)</f>
        <v>0</v>
      </c>
      <c r="AC76" s="109">
        <f>IF($BD76&gt;0,(((($BD76/Dashboard!$D$23)*(1+Precificação!$W$589))*(1+AC$28))+$AA$26)*(1+Dashboard!$D$35),0)</f>
        <v>0</v>
      </c>
      <c r="AD76" s="109">
        <f>IF($BD76&gt;0,(((($BD76/Dashboard!$D$23)*(1+Precificação!$W$589))*(1+AD$28))+$AA$26)*(1+Dashboard!$D$35),0)</f>
        <v>0</v>
      </c>
      <c r="AL76" s="109">
        <f>IF($BD76&gt;0,(((($BD76/Dashboard!$D$23)*(1+Precificação!$W$589)))+$AL$26)*(1+Dashboard!$D$35),0)</f>
        <v>0</v>
      </c>
      <c r="AM76" s="109">
        <f>IF($BD76&gt;0,(((($BD76/Dashboard!$D$23)*(1+Precificação!$W$589))*(1+AM$28))+$AA$26)*(1+Dashboard!$D$35),0)</f>
        <v>0</v>
      </c>
      <c r="AN76" s="109">
        <f>IF($BD76&gt;0,(((($BD76/Dashboard!$D$23)*(1+Precificação!$W$589))*(1+AN$28))+$AA$26)*(1+Dashboard!$D$35),0)</f>
        <v>0</v>
      </c>
      <c r="AO76" s="109">
        <f>IF($BD76&gt;0,(((($BD76/Dashboard!$D$23)*(1+Precificação!$W$589))*(1+AO$28))+$AA$26)*(1+Dashboard!$D$35),0)</f>
        <v>0</v>
      </c>
      <c r="AV76" s="179">
        <f t="shared" si="6"/>
        <v>0</v>
      </c>
      <c r="AW76" s="144">
        <f>VLOOKUP(B76,'Cronog. e Histog.'!$B$757:$H$849,7,0)</f>
        <v>0</v>
      </c>
      <c r="AX76" s="144">
        <f>VLOOKUP(B76,'Cronog. e Histog.'!$B$757:$I$849,8,0)</f>
        <v>0</v>
      </c>
      <c r="AY76" s="144">
        <f>$AW76*$AX76*Dashboard!$D$15</f>
        <v>0</v>
      </c>
      <c r="AZ76" s="144">
        <f>$AW76*$AX76*VLOOKUP(B76,Precificação!$B$7:$BM$89,54,0)</f>
        <v>0</v>
      </c>
      <c r="BA76" s="144">
        <f>$AW76*$AX76*VLOOKUP(B76,Precificação!$B$7:$BR$89,58,0)</f>
        <v>0</v>
      </c>
      <c r="BB76" s="144">
        <f>$AW76*$AX76*VLOOKUP(B76,Precificação!$B$7:$BW$89,62,0)</f>
        <v>0</v>
      </c>
      <c r="BC76" s="144">
        <f t="shared" si="4"/>
        <v>0</v>
      </c>
      <c r="BD76" s="109">
        <f>IFERROR(VLOOKUP(B76,Precificação!$B$7:$S$89,13,0),0)</f>
        <v>0</v>
      </c>
      <c r="BE76" s="109">
        <f>IFERROR(VLOOKUP(B76,Precificação!$B$7:$U$89,15,0)/(Precificação!$U$4+Precificação!$U$91),0)*Dashboard!$T$3</f>
        <v>0</v>
      </c>
    </row>
    <row r="77" spans="2:57" ht="12" hidden="1" customHeight="1" outlineLevel="1">
      <c r="B77" s="137" t="str">
        <f>Precificação!B52</f>
        <v>Motorista de Ambulância - Medicina do Trabalho</v>
      </c>
      <c r="D77" s="607"/>
      <c r="E77" s="143" t="str">
        <f>IF('Cronog. e Histog.'!F808&gt;0,'Cronog. e Histog.'!F808,"")</f>
        <v>Motorista de Ambulância</v>
      </c>
      <c r="G77" s="179">
        <f t="shared" si="5"/>
        <v>0</v>
      </c>
      <c r="H77" s="110"/>
      <c r="I77" s="78"/>
      <c r="J77" s="81">
        <f>IF(I77="horista",H77*Dashboard!$D$15,IF(OR(I77="Mensalista",I77="PJ"),H77,))</f>
        <v>0</v>
      </c>
      <c r="K77" s="81">
        <f>IF(I77="PJ",J77,ROUND(J77*(1+Dashboard!$D$22),2))</f>
        <v>0</v>
      </c>
      <c r="L77" s="77"/>
      <c r="M77" s="180"/>
      <c r="P77" s="109">
        <f>IF($BD77&gt;0,(((($BD77/Dashboard!$D$15)*(1+Precificação!$W$589)))+$P$26)*(1+Dashboard!$D$35),0)</f>
        <v>0</v>
      </c>
      <c r="Q77" s="109">
        <f>IF($BD77&gt;0,(((($BD77/Dashboard!$D$23)*(1+Precificação!$W$589))*(1+Q$28))+$P$26)*(1+Dashboard!$D$35),0)</f>
        <v>0</v>
      </c>
      <c r="R77" s="109">
        <f>IF($BD77&gt;0,(((($BD77/Dashboard!$D$23)*(1+Precificação!$W$589))*(1+R$28))+$P$26)*(1+Dashboard!$D$35),0)</f>
        <v>0</v>
      </c>
      <c r="S77" s="109">
        <f>IF($BD77&gt;0,(((($BD77/Dashboard!$D$23)*(1+Precificação!$W$589))*(1+S$28))+$P$26)*(1+Dashboard!$D$35),0)</f>
        <v>0</v>
      </c>
      <c r="AA77" s="109">
        <f>IF($BD77&gt;0,(((($BD77/Dashboard!$D$23)*(1+Precificação!$W$589)))+$AA$26)*(1+Dashboard!$D$35),0)</f>
        <v>0</v>
      </c>
      <c r="AB77" s="109">
        <f>IF($BD77&gt;0,(((($BD77/Dashboard!$D$23)*(1+Precificação!$W$589))*(1+AB$28))+$AA$26)*(1+Dashboard!$D$35),0)</f>
        <v>0</v>
      </c>
      <c r="AC77" s="109">
        <f>IF($BD77&gt;0,(((($BD77/Dashboard!$D$23)*(1+Precificação!$W$589))*(1+AC$28))+$AA$26)*(1+Dashboard!$D$35),0)</f>
        <v>0</v>
      </c>
      <c r="AD77" s="109">
        <f>IF($BD77&gt;0,(((($BD77/Dashboard!$D$23)*(1+Precificação!$W$589))*(1+AD$28))+$AA$26)*(1+Dashboard!$D$35),0)</f>
        <v>0</v>
      </c>
      <c r="AL77" s="109">
        <f>IF($BD77&gt;0,(((($BD77/Dashboard!$D$23)*(1+Precificação!$W$589)))+$AL$26)*(1+Dashboard!$D$35),0)</f>
        <v>0</v>
      </c>
      <c r="AM77" s="109">
        <f>IF($BD77&gt;0,(((($BD77/Dashboard!$D$23)*(1+Precificação!$W$589))*(1+AM$28))+$AA$26)*(1+Dashboard!$D$35),0)</f>
        <v>0</v>
      </c>
      <c r="AN77" s="109">
        <f>IF($BD77&gt;0,(((($BD77/Dashboard!$D$23)*(1+Precificação!$W$589))*(1+AN$28))+$AA$26)*(1+Dashboard!$D$35),0)</f>
        <v>0</v>
      </c>
      <c r="AO77" s="109">
        <f>IF($BD77&gt;0,(((($BD77/Dashboard!$D$23)*(1+Precificação!$W$589))*(1+AO$28))+$AA$26)*(1+Dashboard!$D$35),0)</f>
        <v>0</v>
      </c>
      <c r="AV77" s="179">
        <f t="shared" si="6"/>
        <v>0</v>
      </c>
      <c r="AW77" s="144">
        <f>VLOOKUP(B77,'Cronog. e Histog.'!$B$757:$H$849,7,0)</f>
        <v>0</v>
      </c>
      <c r="AX77" s="144">
        <f>VLOOKUP(B77,'Cronog. e Histog.'!$B$757:$I$849,8,0)</f>
        <v>0</v>
      </c>
      <c r="AY77" s="144">
        <f>$AW77*$AX77*Dashboard!$D$15</f>
        <v>0</v>
      </c>
      <c r="AZ77" s="144">
        <f>$AW77*$AX77*VLOOKUP(B77,Precificação!$B$7:$BM$89,54,0)</f>
        <v>0</v>
      </c>
      <c r="BA77" s="144">
        <f>$AW77*$AX77*VLOOKUP(B77,Precificação!$B$7:$BR$89,58,0)</f>
        <v>0</v>
      </c>
      <c r="BB77" s="144">
        <f>$AW77*$AX77*VLOOKUP(B77,Precificação!$B$7:$BW$89,62,0)</f>
        <v>0</v>
      </c>
      <c r="BC77" s="144">
        <f t="shared" si="4"/>
        <v>0</v>
      </c>
      <c r="BD77" s="109">
        <f>IFERROR(VLOOKUP(B77,Precificação!$B$7:$S$89,13,0),0)</f>
        <v>0</v>
      </c>
      <c r="BE77" s="109">
        <f>IFERROR(VLOOKUP(B77,Precificação!$B$7:$U$89,15,0)/(Precificação!$U$4+Precificação!$U$91),0)*Dashboard!$T$3</f>
        <v>0</v>
      </c>
    </row>
    <row r="78" spans="2:57" ht="12" hidden="1" customHeight="1" outlineLevel="1">
      <c r="B78" s="137" t="str">
        <f>Precificação!B53</f>
        <v>Bombeiro - Medicina do Trabalho</v>
      </c>
      <c r="D78" s="607"/>
      <c r="E78" s="143" t="str">
        <f>IF('Cronog. e Histog.'!F809&gt;0,'Cronog. e Histog.'!F809,"")</f>
        <v>Bombeiro</v>
      </c>
      <c r="G78" s="179">
        <f t="shared" si="5"/>
        <v>0</v>
      </c>
      <c r="H78" s="110"/>
      <c r="I78" s="78"/>
      <c r="J78" s="81">
        <f>IF(I78="horista",H78*Dashboard!$D$15,IF(OR(I78="Mensalista",I78="PJ"),H78,))</f>
        <v>0</v>
      </c>
      <c r="K78" s="81">
        <f>IF(I78="PJ",J78,ROUND(J78*(1+Dashboard!$D$22),2))</f>
        <v>0</v>
      </c>
      <c r="L78" s="77"/>
      <c r="M78" s="180"/>
      <c r="P78" s="109">
        <f>IF($BD78&gt;0,(((($BD78/Dashboard!$D$15)*(1+Precificação!$W$589)))+$P$26)*(1+Dashboard!$D$35),0)</f>
        <v>0</v>
      </c>
      <c r="Q78" s="109">
        <f>IF($BD78&gt;0,(((($BD78/Dashboard!$D$23)*(1+Precificação!$W$589))*(1+Q$28))+$P$26)*(1+Dashboard!$D$35),0)</f>
        <v>0</v>
      </c>
      <c r="R78" s="109">
        <f>IF($BD78&gt;0,(((($BD78/Dashboard!$D$23)*(1+Precificação!$W$589))*(1+R$28))+$P$26)*(1+Dashboard!$D$35),0)</f>
        <v>0</v>
      </c>
      <c r="S78" s="109">
        <f>IF($BD78&gt;0,(((($BD78/Dashboard!$D$23)*(1+Precificação!$W$589))*(1+S$28))+$P$26)*(1+Dashboard!$D$35),0)</f>
        <v>0</v>
      </c>
      <c r="AA78" s="109">
        <f>IF($BD78&gt;0,(((($BD78/Dashboard!$D$23)*(1+Precificação!$W$589)))+$AA$26)*(1+Dashboard!$D$35),0)</f>
        <v>0</v>
      </c>
      <c r="AB78" s="109">
        <f>IF($BD78&gt;0,(((($BD78/Dashboard!$D$23)*(1+Precificação!$W$589))*(1+AB$28))+$AA$26)*(1+Dashboard!$D$35),0)</f>
        <v>0</v>
      </c>
      <c r="AC78" s="109">
        <f>IF($BD78&gt;0,(((($BD78/Dashboard!$D$23)*(1+Precificação!$W$589))*(1+AC$28))+$AA$26)*(1+Dashboard!$D$35),0)</f>
        <v>0</v>
      </c>
      <c r="AD78" s="109">
        <f>IF($BD78&gt;0,(((($BD78/Dashboard!$D$23)*(1+Precificação!$W$589))*(1+AD$28))+$AA$26)*(1+Dashboard!$D$35),0)</f>
        <v>0</v>
      </c>
      <c r="AL78" s="109">
        <f>IF($BD78&gt;0,(((($BD78/Dashboard!$D$23)*(1+Precificação!$W$589)))+$AL$26)*(1+Dashboard!$D$35),0)</f>
        <v>0</v>
      </c>
      <c r="AM78" s="109">
        <f>IF($BD78&gt;0,(((($BD78/Dashboard!$D$23)*(1+Precificação!$W$589))*(1+AM$28))+$AA$26)*(1+Dashboard!$D$35),0)</f>
        <v>0</v>
      </c>
      <c r="AN78" s="109">
        <f>IF($BD78&gt;0,(((($BD78/Dashboard!$D$23)*(1+Precificação!$W$589))*(1+AN$28))+$AA$26)*(1+Dashboard!$D$35),0)</f>
        <v>0</v>
      </c>
      <c r="AO78" s="109">
        <f>IF($BD78&gt;0,(((($BD78/Dashboard!$D$23)*(1+Precificação!$W$589))*(1+AO$28))+$AA$26)*(1+Dashboard!$D$35),0)</f>
        <v>0</v>
      </c>
      <c r="AV78" s="179">
        <f t="shared" si="6"/>
        <v>0</v>
      </c>
      <c r="AW78" s="144">
        <f>VLOOKUP(B78,'Cronog. e Histog.'!$B$757:$H$849,7,0)</f>
        <v>0</v>
      </c>
      <c r="AX78" s="144">
        <f>VLOOKUP(B78,'Cronog. e Histog.'!$B$757:$I$849,8,0)</f>
        <v>0</v>
      </c>
      <c r="AY78" s="144">
        <f>$AW78*$AX78*Dashboard!$D$15</f>
        <v>0</v>
      </c>
      <c r="AZ78" s="144">
        <f>$AW78*$AX78*VLOOKUP(B78,Precificação!$B$7:$BM$89,54,0)</f>
        <v>0</v>
      </c>
      <c r="BA78" s="144">
        <f>$AW78*$AX78*VLOOKUP(B78,Precificação!$B$7:$BR$89,58,0)</f>
        <v>0</v>
      </c>
      <c r="BB78" s="144">
        <f>$AW78*$AX78*VLOOKUP(B78,Precificação!$B$7:$BW$89,62,0)</f>
        <v>0</v>
      </c>
      <c r="BC78" s="144">
        <f t="shared" si="4"/>
        <v>0</v>
      </c>
      <c r="BD78" s="109">
        <f>IFERROR(VLOOKUP(B78,Precificação!$B$7:$S$89,13,0),0)</f>
        <v>0</v>
      </c>
      <c r="BE78" s="109">
        <f>IFERROR(VLOOKUP(B78,Precificação!$B$7:$U$89,15,0)/(Precificação!$U$4+Precificação!$U$91),0)*Dashboard!$T$3</f>
        <v>0</v>
      </c>
    </row>
    <row r="79" spans="2:57" ht="12" hidden="1" customHeight="1" outlineLevel="1">
      <c r="B79" s="137" t="str">
        <f>Precificação!B54</f>
        <v/>
      </c>
      <c r="D79" s="607"/>
      <c r="E79" s="143" t="str">
        <f>IF('Cronog. e Histog.'!F810&gt;0,'Cronog. e Histog.'!F810,"")</f>
        <v/>
      </c>
      <c r="G79" s="179">
        <f t="shared" si="5"/>
        <v>0</v>
      </c>
      <c r="H79" s="110"/>
      <c r="I79" s="78"/>
      <c r="J79" s="81">
        <f>IF(I79="horista",H79*Dashboard!$D$15,IF(OR(I79="Mensalista",I79="PJ"),H79,))</f>
        <v>0</v>
      </c>
      <c r="K79" s="81">
        <f>IF(I79="PJ",J79,ROUND(J79*(1+Dashboard!$D$22),2))</f>
        <v>0</v>
      </c>
      <c r="L79" s="77"/>
      <c r="M79" s="180"/>
      <c r="P79" s="109">
        <f>IF($BD79&gt;0,(((($BD79/Dashboard!$D$15)*(1+Precificação!$W$589)))+$P$26)*(1+Dashboard!$D$35),0)</f>
        <v>0</v>
      </c>
      <c r="Q79" s="109">
        <f>IF($BD79&gt;0,(((($BD79/Dashboard!$D$23)*(1+Precificação!$W$589))*(1+Q$28))+$P$26)*(1+Dashboard!$D$35),0)</f>
        <v>0</v>
      </c>
      <c r="R79" s="109">
        <f>IF($BD79&gt;0,(((($BD79/Dashboard!$D$23)*(1+Precificação!$W$589))*(1+R$28))+$P$26)*(1+Dashboard!$D$35),0)</f>
        <v>0</v>
      </c>
      <c r="S79" s="109">
        <f>IF($BD79&gt;0,(((($BD79/Dashboard!$D$23)*(1+Precificação!$W$589))*(1+S$28))+$P$26)*(1+Dashboard!$D$35),0)</f>
        <v>0</v>
      </c>
      <c r="AA79" s="109">
        <f>IF($BD79&gt;0,(((($BD79/Dashboard!$D$23)*(1+Precificação!$W$589)))+$AA$26)*(1+Dashboard!$D$35),0)</f>
        <v>0</v>
      </c>
      <c r="AB79" s="109">
        <f>IF($BD79&gt;0,(((($BD79/Dashboard!$D$23)*(1+Precificação!$W$589))*(1+AB$28))+$AA$26)*(1+Dashboard!$D$35),0)</f>
        <v>0</v>
      </c>
      <c r="AC79" s="109">
        <f>IF($BD79&gt;0,(((($BD79/Dashboard!$D$23)*(1+Precificação!$W$589))*(1+AC$28))+$AA$26)*(1+Dashboard!$D$35),0)</f>
        <v>0</v>
      </c>
      <c r="AD79" s="109">
        <f>IF($BD79&gt;0,(((($BD79/Dashboard!$D$23)*(1+Precificação!$W$589))*(1+AD$28))+$AA$26)*(1+Dashboard!$D$35),0)</f>
        <v>0</v>
      </c>
      <c r="AL79" s="109">
        <f>IF($BD79&gt;0,(((($BD79/Dashboard!$D$23)*(1+Precificação!$W$589)))+$AL$26)*(1+Dashboard!$D$35),0)</f>
        <v>0</v>
      </c>
      <c r="AM79" s="109">
        <f>IF($BD79&gt;0,(((($BD79/Dashboard!$D$23)*(1+Precificação!$W$589))*(1+AM$28))+$AA$26)*(1+Dashboard!$D$35),0)</f>
        <v>0</v>
      </c>
      <c r="AN79" s="109">
        <f>IF($BD79&gt;0,(((($BD79/Dashboard!$D$23)*(1+Precificação!$W$589))*(1+AN$28))+$AA$26)*(1+Dashboard!$D$35),0)</f>
        <v>0</v>
      </c>
      <c r="AO79" s="109">
        <f>IF($BD79&gt;0,(((($BD79/Dashboard!$D$23)*(1+Precificação!$W$589))*(1+AO$28))+$AA$26)*(1+Dashboard!$D$35),0)</f>
        <v>0</v>
      </c>
      <c r="AV79" s="179">
        <f t="shared" si="6"/>
        <v>0</v>
      </c>
      <c r="AW79" s="144">
        <f>VLOOKUP(B79,'Cronog. e Histog.'!$B$757:$H$849,7,0)</f>
        <v>0</v>
      </c>
      <c r="AX79" s="144">
        <f>VLOOKUP(B79,'Cronog. e Histog.'!$B$757:$I$849,8,0)</f>
        <v>0</v>
      </c>
      <c r="AY79" s="144">
        <f>$AW79*$AX79*Dashboard!$D$15</f>
        <v>0</v>
      </c>
      <c r="AZ79" s="144">
        <f>$AW79*$AX79*VLOOKUP(B79,Precificação!$B$7:$BM$89,54,0)</f>
        <v>0</v>
      </c>
      <c r="BA79" s="144">
        <f>$AW79*$AX79*VLOOKUP(B79,Precificação!$B$7:$BR$89,58,0)</f>
        <v>0</v>
      </c>
      <c r="BB79" s="144">
        <f>$AW79*$AX79*VLOOKUP(B79,Precificação!$B$7:$BW$89,62,0)</f>
        <v>0</v>
      </c>
      <c r="BC79" s="144">
        <f t="shared" si="4"/>
        <v>0</v>
      </c>
      <c r="BD79" s="109">
        <f>IFERROR(VLOOKUP(B79,Precificação!$B$7:$S$89,13,0),0)</f>
        <v>0</v>
      </c>
      <c r="BE79" s="109">
        <f>IFERROR(VLOOKUP(B79,Precificação!$B$7:$U$89,15,0)/(Precificação!$U$4+Precificação!$U$91),0)*Dashboard!$T$3</f>
        <v>0</v>
      </c>
    </row>
    <row r="80" spans="2:57" ht="12" hidden="1" customHeight="1" outlineLevel="1">
      <c r="B80" s="137" t="str">
        <f>Precificação!B55</f>
        <v/>
      </c>
      <c r="D80" s="607"/>
      <c r="E80" s="143" t="str">
        <f>IF('Cronog. e Histog.'!F811&gt;0,'Cronog. e Histog.'!F811,"")</f>
        <v/>
      </c>
      <c r="G80" s="179">
        <f t="shared" si="5"/>
        <v>0</v>
      </c>
      <c r="H80" s="110"/>
      <c r="I80" s="78"/>
      <c r="J80" s="81">
        <f>IF(I80="horista",H80*Dashboard!$D$15,IF(OR(I80="Mensalista",I80="PJ"),H80,))</f>
        <v>0</v>
      </c>
      <c r="K80" s="81">
        <f>IF(I80="PJ",J80,ROUND(J80*(1+Dashboard!$D$22),2))</f>
        <v>0</v>
      </c>
      <c r="L80" s="77"/>
      <c r="M80" s="180"/>
      <c r="P80" s="109">
        <f>IF($BD80&gt;0,(((($BD80/Dashboard!$D$15)*(1+Precificação!$W$589)))+$P$26)*(1+Dashboard!$D$35),0)</f>
        <v>0</v>
      </c>
      <c r="Q80" s="109">
        <f>IF($BD80&gt;0,(((($BD80/Dashboard!$D$23)*(1+Precificação!$W$589))*(1+Q$28))+$P$26)*(1+Dashboard!$D$35),0)</f>
        <v>0</v>
      </c>
      <c r="R80" s="109">
        <f>IF($BD80&gt;0,(((($BD80/Dashboard!$D$23)*(1+Precificação!$W$589))*(1+R$28))+$P$26)*(1+Dashboard!$D$35),0)</f>
        <v>0</v>
      </c>
      <c r="S80" s="109">
        <f>IF($BD80&gt;0,(((($BD80/Dashboard!$D$23)*(1+Precificação!$W$589))*(1+S$28))+$P$26)*(1+Dashboard!$D$35),0)</f>
        <v>0</v>
      </c>
      <c r="AA80" s="109">
        <f>IF($BD80&gt;0,(((($BD80/Dashboard!$D$23)*(1+Precificação!$W$589)))+$AA$26)*(1+Dashboard!$D$35),0)</f>
        <v>0</v>
      </c>
      <c r="AB80" s="109">
        <f>IF($BD80&gt;0,(((($BD80/Dashboard!$D$23)*(1+Precificação!$W$589))*(1+AB$28))+$AA$26)*(1+Dashboard!$D$35),0)</f>
        <v>0</v>
      </c>
      <c r="AC80" s="109">
        <f>IF($BD80&gt;0,(((($BD80/Dashboard!$D$23)*(1+Precificação!$W$589))*(1+AC$28))+$AA$26)*(1+Dashboard!$D$35),0)</f>
        <v>0</v>
      </c>
      <c r="AD80" s="109">
        <f>IF($BD80&gt;0,(((($BD80/Dashboard!$D$23)*(1+Precificação!$W$589))*(1+AD$28))+$AA$26)*(1+Dashboard!$D$35),0)</f>
        <v>0</v>
      </c>
      <c r="AL80" s="109">
        <f>IF($BD80&gt;0,(((($BD80/Dashboard!$D$23)*(1+Precificação!$W$589)))+$AL$26)*(1+Dashboard!$D$35),0)</f>
        <v>0</v>
      </c>
      <c r="AM80" s="109">
        <f>IF($BD80&gt;0,(((($BD80/Dashboard!$D$23)*(1+Precificação!$W$589))*(1+AM$28))+$AA$26)*(1+Dashboard!$D$35),0)</f>
        <v>0</v>
      </c>
      <c r="AN80" s="109">
        <f>IF($BD80&gt;0,(((($BD80/Dashboard!$D$23)*(1+Precificação!$W$589))*(1+AN$28))+$AA$26)*(1+Dashboard!$D$35),0)</f>
        <v>0</v>
      </c>
      <c r="AO80" s="109">
        <f>IF($BD80&gt;0,(((($BD80/Dashboard!$D$23)*(1+Precificação!$W$589))*(1+AO$28))+$AA$26)*(1+Dashboard!$D$35),0)</f>
        <v>0</v>
      </c>
      <c r="AV80" s="179">
        <f t="shared" si="6"/>
        <v>0</v>
      </c>
      <c r="AW80" s="144">
        <f>VLOOKUP(B80,'Cronog. e Histog.'!$B$757:$H$849,7,0)</f>
        <v>0</v>
      </c>
      <c r="AX80" s="144">
        <f>VLOOKUP(B80,'Cronog. e Histog.'!$B$757:$I$849,8,0)</f>
        <v>0</v>
      </c>
      <c r="AY80" s="144">
        <f>$AW80*$AX80*Dashboard!$D$15</f>
        <v>0</v>
      </c>
      <c r="AZ80" s="144">
        <f>$AW80*$AX80*VLOOKUP(B80,Precificação!$B$7:$BM$89,54,0)</f>
        <v>0</v>
      </c>
      <c r="BA80" s="144">
        <f>$AW80*$AX80*VLOOKUP(B80,Precificação!$B$7:$BR$89,58,0)</f>
        <v>0</v>
      </c>
      <c r="BB80" s="144">
        <f>$AW80*$AX80*VLOOKUP(B80,Precificação!$B$7:$BW$89,62,0)</f>
        <v>0</v>
      </c>
      <c r="BC80" s="144">
        <f t="shared" si="4"/>
        <v>0</v>
      </c>
      <c r="BD80" s="109">
        <f>IFERROR(VLOOKUP(B80,Precificação!$B$7:$S$89,13,0),0)</f>
        <v>0</v>
      </c>
      <c r="BE80" s="109">
        <f>IFERROR(VLOOKUP(B80,Precificação!$B$7:$U$89,15,0)/(Precificação!$U$4+Precificação!$U$91),0)*Dashboard!$T$3</f>
        <v>0</v>
      </c>
    </row>
    <row r="81" spans="2:57" ht="12" hidden="1" customHeight="1" outlineLevel="1">
      <c r="B81" s="137" t="str">
        <f>Precificação!B56</f>
        <v>Coordenador de Projetos - Projeto</v>
      </c>
      <c r="D81" s="607" t="s">
        <v>13</v>
      </c>
      <c r="E81" s="143" t="str">
        <f>IF('Cronog. e Histog.'!F813&gt;0,'Cronog. e Histog.'!F813,"")</f>
        <v>Coordenador de Projetos</v>
      </c>
      <c r="G81" s="179">
        <f t="shared" si="5"/>
        <v>0</v>
      </c>
      <c r="H81" s="110"/>
      <c r="I81" s="78"/>
      <c r="J81" s="81">
        <f>IF(I81="horista",H81*Dashboard!$D$15,IF(OR(I81="Mensalista",I81="PJ"),H81,))</f>
        <v>0</v>
      </c>
      <c r="K81" s="81">
        <f>IF(I81="PJ",J81,ROUND(J81*(1+Dashboard!$D$22),2))</f>
        <v>0</v>
      </c>
      <c r="L81" s="77"/>
      <c r="M81" s="180"/>
      <c r="P81" s="109">
        <f>IF($BD81&gt;0,(((($BD81/Dashboard!$D$15)*(1+Precificação!$W$589)))+$P$26)*(1+Dashboard!$D$35),0)</f>
        <v>0</v>
      </c>
      <c r="Q81" s="109">
        <f>IF($BD81&gt;0,(((($BD81/Dashboard!$D$23)*(1+Precificação!$W$589))*(1+Q$28))+$P$26)*(1+Dashboard!$D$35),0)</f>
        <v>0</v>
      </c>
      <c r="R81" s="109">
        <f>IF($BD81&gt;0,(((($BD81/Dashboard!$D$23)*(1+Precificação!$W$589))*(1+R$28))+$P$26)*(1+Dashboard!$D$35),0)</f>
        <v>0</v>
      </c>
      <c r="S81" s="109">
        <f>IF($BD81&gt;0,(((($BD81/Dashboard!$D$23)*(1+Precificação!$W$589))*(1+S$28))+$P$26)*(1+Dashboard!$D$35),0)</f>
        <v>0</v>
      </c>
      <c r="AA81" s="109">
        <f>IF($BD81&gt;0,(((($BD81/Dashboard!$D$23)*(1+Precificação!$W$589)))+$AA$26)*(1+Dashboard!$D$35),0)</f>
        <v>0</v>
      </c>
      <c r="AB81" s="109">
        <f>IF($BD81&gt;0,(((($BD81/Dashboard!$D$23)*(1+Precificação!$W$589))*(1+AB$28))+$AA$26)*(1+Dashboard!$D$35),0)</f>
        <v>0</v>
      </c>
      <c r="AC81" s="109">
        <f>IF($BD81&gt;0,(((($BD81/Dashboard!$D$23)*(1+Precificação!$W$589))*(1+AC$28))+$AA$26)*(1+Dashboard!$D$35),0)</f>
        <v>0</v>
      </c>
      <c r="AD81" s="109">
        <f>IF($BD81&gt;0,(((($BD81/Dashboard!$D$23)*(1+Precificação!$W$589))*(1+AD$28))+$AA$26)*(1+Dashboard!$D$35),0)</f>
        <v>0</v>
      </c>
      <c r="AL81" s="109">
        <f>IF($BD81&gt;0,(((($BD81/Dashboard!$D$23)*(1+Precificação!$W$589)))+$AL$26)*(1+Dashboard!$D$35),0)</f>
        <v>0</v>
      </c>
      <c r="AM81" s="109">
        <f>IF($BD81&gt;0,(((($BD81/Dashboard!$D$23)*(1+Precificação!$W$589))*(1+AM$28))+$AA$26)*(1+Dashboard!$D$35),0)</f>
        <v>0</v>
      </c>
      <c r="AN81" s="109">
        <f>IF($BD81&gt;0,(((($BD81/Dashboard!$D$23)*(1+Precificação!$W$589))*(1+AN$28))+$AA$26)*(1+Dashboard!$D$35),0)</f>
        <v>0</v>
      </c>
      <c r="AO81" s="109">
        <f>IF($BD81&gt;0,(((($BD81/Dashboard!$D$23)*(1+Precificação!$W$589))*(1+AO$28))+$AA$26)*(1+Dashboard!$D$35),0)</f>
        <v>0</v>
      </c>
      <c r="AV81" s="179">
        <f t="shared" si="6"/>
        <v>0</v>
      </c>
      <c r="AW81" s="144">
        <f>VLOOKUP(B81,'Cronog. e Histog.'!$B$757:$H$849,7,0)</f>
        <v>0</v>
      </c>
      <c r="AX81" s="144">
        <f>VLOOKUP(B81,'Cronog. e Histog.'!$B$757:$I$849,8,0)</f>
        <v>0</v>
      </c>
      <c r="AY81" s="144">
        <f>$AW81*$AX81*Dashboard!$D$15</f>
        <v>0</v>
      </c>
      <c r="AZ81" s="144">
        <f>$AW81*$AX81*VLOOKUP(B81,Precificação!$B$7:$BM$89,54,0)</f>
        <v>0</v>
      </c>
      <c r="BA81" s="144">
        <f>$AW81*$AX81*VLOOKUP(B81,Precificação!$B$7:$BR$89,58,0)</f>
        <v>0</v>
      </c>
      <c r="BB81" s="144">
        <f>$AW81*$AX81*VLOOKUP(B81,Precificação!$B$7:$BW$89,62,0)</f>
        <v>0</v>
      </c>
      <c r="BC81" s="144">
        <f t="shared" si="4"/>
        <v>0</v>
      </c>
      <c r="BD81" s="109">
        <f>IFERROR(VLOOKUP(B81,Precificação!$B$7:$S$89,13,0),0)</f>
        <v>0</v>
      </c>
      <c r="BE81" s="109">
        <f>IFERROR(VLOOKUP(B81,Precificação!$B$7:$U$89,15,0)/(Precificação!$U$4+Precificação!$U$91),0)*Dashboard!$T$3</f>
        <v>0</v>
      </c>
    </row>
    <row r="82" spans="2:57" ht="12" hidden="1" customHeight="1" outlineLevel="1">
      <c r="B82" s="137" t="str">
        <f>Precificação!B57</f>
        <v>Projetista Sênior - Projeto</v>
      </c>
      <c r="D82" s="607"/>
      <c r="E82" s="143" t="str">
        <f>IF('Cronog. e Histog.'!F814&gt;0,'Cronog. e Histog.'!F814,"")</f>
        <v>Projetista Sênior</v>
      </c>
      <c r="G82" s="179">
        <f t="shared" si="5"/>
        <v>0</v>
      </c>
      <c r="H82" s="110"/>
      <c r="I82" s="78"/>
      <c r="J82" s="81">
        <f>IF(I82="horista",H82*Dashboard!$D$15,IF(OR(I82="Mensalista",I82="PJ"),H82,))</f>
        <v>0</v>
      </c>
      <c r="K82" s="81">
        <f>IF(I82="PJ",J82,ROUND(J82*(1+Dashboard!$D$22),2))</f>
        <v>0</v>
      </c>
      <c r="L82" s="77"/>
      <c r="M82" s="180"/>
      <c r="P82" s="109">
        <f>IF($BD82&gt;0,(((($BD82/Dashboard!$D$15)*(1+Precificação!$W$589)))+$P$26)*(1+Dashboard!$D$35),0)</f>
        <v>0</v>
      </c>
      <c r="Q82" s="109">
        <f>IF($BD82&gt;0,(((($BD82/Dashboard!$D$23)*(1+Precificação!$W$589))*(1+Q$28))+$P$26)*(1+Dashboard!$D$35),0)</f>
        <v>0</v>
      </c>
      <c r="R82" s="109">
        <f>IF($BD82&gt;0,(((($BD82/Dashboard!$D$23)*(1+Precificação!$W$589))*(1+R$28))+$P$26)*(1+Dashboard!$D$35),0)</f>
        <v>0</v>
      </c>
      <c r="S82" s="109">
        <f>IF($BD82&gt;0,(((($BD82/Dashboard!$D$23)*(1+Precificação!$W$589))*(1+S$28))+$P$26)*(1+Dashboard!$D$35),0)</f>
        <v>0</v>
      </c>
      <c r="AA82" s="109">
        <f>IF($BD82&gt;0,(((($BD82/Dashboard!$D$23)*(1+Precificação!$W$589)))+$AA$26)*(1+Dashboard!$D$35),0)</f>
        <v>0</v>
      </c>
      <c r="AB82" s="109">
        <f>IF($BD82&gt;0,(((($BD82/Dashboard!$D$23)*(1+Precificação!$W$589))*(1+AB$28))+$AA$26)*(1+Dashboard!$D$35),0)</f>
        <v>0</v>
      </c>
      <c r="AC82" s="109">
        <f>IF($BD82&gt;0,(((($BD82/Dashboard!$D$23)*(1+Precificação!$W$589))*(1+AC$28))+$AA$26)*(1+Dashboard!$D$35),0)</f>
        <v>0</v>
      </c>
      <c r="AD82" s="109">
        <f>IF($BD82&gt;0,(((($BD82/Dashboard!$D$23)*(1+Precificação!$W$589))*(1+AD$28))+$AA$26)*(1+Dashboard!$D$35),0)</f>
        <v>0</v>
      </c>
      <c r="AL82" s="109">
        <f>IF($BD82&gt;0,(((($BD82/Dashboard!$D$23)*(1+Precificação!$W$589)))+$AL$26)*(1+Dashboard!$D$35),0)</f>
        <v>0</v>
      </c>
      <c r="AM82" s="109">
        <f>IF($BD82&gt;0,(((($BD82/Dashboard!$D$23)*(1+Precificação!$W$589))*(1+AM$28))+$AA$26)*(1+Dashboard!$D$35),0)</f>
        <v>0</v>
      </c>
      <c r="AN82" s="109">
        <f>IF($BD82&gt;0,(((($BD82/Dashboard!$D$23)*(1+Precificação!$W$589))*(1+AN$28))+$AA$26)*(1+Dashboard!$D$35),0)</f>
        <v>0</v>
      </c>
      <c r="AO82" s="109">
        <f>IF($BD82&gt;0,(((($BD82/Dashboard!$D$23)*(1+Precificação!$W$589))*(1+AO$28))+$AA$26)*(1+Dashboard!$D$35),0)</f>
        <v>0</v>
      </c>
      <c r="AV82" s="179">
        <f t="shared" si="6"/>
        <v>0</v>
      </c>
      <c r="AW82" s="144">
        <f>VLOOKUP(B82,'Cronog. e Histog.'!$B$757:$H$849,7,0)</f>
        <v>0</v>
      </c>
      <c r="AX82" s="144">
        <f>VLOOKUP(B82,'Cronog. e Histog.'!$B$757:$I$849,8,0)</f>
        <v>0</v>
      </c>
      <c r="AY82" s="144">
        <f>$AW82*$AX82*Dashboard!$D$15</f>
        <v>0</v>
      </c>
      <c r="AZ82" s="144">
        <f>$AW82*$AX82*VLOOKUP(B82,Precificação!$B$7:$BM$89,54,0)</f>
        <v>0</v>
      </c>
      <c r="BA82" s="144">
        <f>$AW82*$AX82*VLOOKUP(B82,Precificação!$B$7:$BR$89,58,0)</f>
        <v>0</v>
      </c>
      <c r="BB82" s="144">
        <f>$AW82*$AX82*VLOOKUP(B82,Precificação!$B$7:$BW$89,62,0)</f>
        <v>0</v>
      </c>
      <c r="BC82" s="144">
        <f t="shared" si="4"/>
        <v>0</v>
      </c>
      <c r="BD82" s="109">
        <f>IFERROR(VLOOKUP(B82,Precificação!$B$7:$S$89,13,0),0)</f>
        <v>0</v>
      </c>
      <c r="BE82" s="109">
        <f>IFERROR(VLOOKUP(B82,Precificação!$B$7:$U$89,15,0)/(Precificação!$U$4+Precificação!$U$91),0)*Dashboard!$T$3</f>
        <v>0</v>
      </c>
    </row>
    <row r="83" spans="2:57" ht="12" hidden="1" customHeight="1" outlineLevel="1">
      <c r="B83" s="137" t="str">
        <f>Precificação!B58</f>
        <v>Projetista Pleno - Projeto</v>
      </c>
      <c r="D83" s="607"/>
      <c r="E83" s="143" t="str">
        <f>IF('Cronog. e Histog.'!F815&gt;0,'Cronog. e Histog.'!F815,"")</f>
        <v>Projetista Pleno</v>
      </c>
      <c r="G83" s="179">
        <f t="shared" si="5"/>
        <v>0</v>
      </c>
      <c r="H83" s="110"/>
      <c r="I83" s="78"/>
      <c r="J83" s="81">
        <f>IF(I83="horista",H83*Dashboard!$D$15,IF(OR(I83="Mensalista",I83="PJ"),H83,))</f>
        <v>0</v>
      </c>
      <c r="K83" s="81">
        <f>IF(I83="PJ",J83,ROUND(J83*(1+Dashboard!$D$22),2))</f>
        <v>0</v>
      </c>
      <c r="L83" s="77"/>
      <c r="M83" s="180"/>
      <c r="P83" s="109">
        <f>IF($BD83&gt;0,(((($BD83/Dashboard!$D$15)*(1+Precificação!$W$589)))+$P$26)*(1+Dashboard!$D$35),0)</f>
        <v>0</v>
      </c>
      <c r="Q83" s="109">
        <f>IF($BD83&gt;0,(((($BD83/Dashboard!$D$23)*(1+Precificação!$W$589))*(1+Q$28))+$P$26)*(1+Dashboard!$D$35),0)</f>
        <v>0</v>
      </c>
      <c r="R83" s="109">
        <f>IF($BD83&gt;0,(((($BD83/Dashboard!$D$23)*(1+Precificação!$W$589))*(1+R$28))+$P$26)*(1+Dashboard!$D$35),0)</f>
        <v>0</v>
      </c>
      <c r="S83" s="109">
        <f>IF($BD83&gt;0,(((($BD83/Dashboard!$D$23)*(1+Precificação!$W$589))*(1+S$28))+$P$26)*(1+Dashboard!$D$35),0)</f>
        <v>0</v>
      </c>
      <c r="AA83" s="109">
        <f>IF($BD83&gt;0,(((($BD83/Dashboard!$D$23)*(1+Precificação!$W$589)))+$AA$26)*(1+Dashboard!$D$35),0)</f>
        <v>0</v>
      </c>
      <c r="AB83" s="109">
        <f>IF($BD83&gt;0,(((($BD83/Dashboard!$D$23)*(1+Precificação!$W$589))*(1+AB$28))+$AA$26)*(1+Dashboard!$D$35),0)</f>
        <v>0</v>
      </c>
      <c r="AC83" s="109">
        <f>IF($BD83&gt;0,(((($BD83/Dashboard!$D$23)*(1+Precificação!$W$589))*(1+AC$28))+$AA$26)*(1+Dashboard!$D$35),0)</f>
        <v>0</v>
      </c>
      <c r="AD83" s="109">
        <f>IF($BD83&gt;0,(((($BD83/Dashboard!$D$23)*(1+Precificação!$W$589))*(1+AD$28))+$AA$26)*(1+Dashboard!$D$35),0)</f>
        <v>0</v>
      </c>
      <c r="AL83" s="109">
        <f>IF($BD83&gt;0,(((($BD83/Dashboard!$D$23)*(1+Precificação!$W$589)))+$AL$26)*(1+Dashboard!$D$35),0)</f>
        <v>0</v>
      </c>
      <c r="AM83" s="109">
        <f>IF($BD83&gt;0,(((($BD83/Dashboard!$D$23)*(1+Precificação!$W$589))*(1+AM$28))+$AA$26)*(1+Dashboard!$D$35),0)</f>
        <v>0</v>
      </c>
      <c r="AN83" s="109">
        <f>IF($BD83&gt;0,(((($BD83/Dashboard!$D$23)*(1+Precificação!$W$589))*(1+AN$28))+$AA$26)*(1+Dashboard!$D$35),0)</f>
        <v>0</v>
      </c>
      <c r="AO83" s="109">
        <f>IF($BD83&gt;0,(((($BD83/Dashboard!$D$23)*(1+Precificação!$W$589))*(1+AO$28))+$AA$26)*(1+Dashboard!$D$35),0)</f>
        <v>0</v>
      </c>
      <c r="AV83" s="179">
        <f t="shared" si="6"/>
        <v>0</v>
      </c>
      <c r="AW83" s="144">
        <f>VLOOKUP(B83,'Cronog. e Histog.'!$B$757:$H$849,7,0)</f>
        <v>0</v>
      </c>
      <c r="AX83" s="144">
        <f>VLOOKUP(B83,'Cronog. e Histog.'!$B$757:$I$849,8,0)</f>
        <v>0</v>
      </c>
      <c r="AY83" s="144">
        <f>$AW83*$AX83*Dashboard!$D$15</f>
        <v>0</v>
      </c>
      <c r="AZ83" s="144">
        <f>$AW83*$AX83*VLOOKUP(B83,Precificação!$B$7:$BM$89,54,0)</f>
        <v>0</v>
      </c>
      <c r="BA83" s="144">
        <f>$AW83*$AX83*VLOOKUP(B83,Precificação!$B$7:$BR$89,58,0)</f>
        <v>0</v>
      </c>
      <c r="BB83" s="144">
        <f>$AW83*$AX83*VLOOKUP(B83,Precificação!$B$7:$BW$89,62,0)</f>
        <v>0</v>
      </c>
      <c r="BC83" s="144">
        <f t="shared" si="4"/>
        <v>0</v>
      </c>
      <c r="BD83" s="109">
        <f>IFERROR(VLOOKUP(B83,Precificação!$B$7:$S$89,13,0),0)</f>
        <v>0</v>
      </c>
      <c r="BE83" s="109">
        <f>IFERROR(VLOOKUP(B83,Precificação!$B$7:$U$89,15,0)/(Precificação!$U$4+Precificação!$U$91),0)*Dashboard!$T$3</f>
        <v>0</v>
      </c>
    </row>
    <row r="84" spans="2:57" ht="12" hidden="1" customHeight="1" outlineLevel="1">
      <c r="B84" s="137" t="str">
        <f>Precificação!B59</f>
        <v>Projetista Junior - Projeto</v>
      </c>
      <c r="D84" s="607"/>
      <c r="E84" s="143" t="str">
        <f>IF('Cronog. e Histog.'!F816&gt;0,'Cronog. e Histog.'!F816,"")</f>
        <v>Projetista Junior</v>
      </c>
      <c r="G84" s="179">
        <f t="shared" si="5"/>
        <v>0</v>
      </c>
      <c r="H84" s="110"/>
      <c r="I84" s="78"/>
      <c r="J84" s="81">
        <f>IF(I84="horista",H84*Dashboard!$D$15,IF(OR(I84="Mensalista",I84="PJ"),H84,))</f>
        <v>0</v>
      </c>
      <c r="K84" s="81">
        <f>IF(I84="PJ",J84,ROUND(J84*(1+Dashboard!$D$22),2))</f>
        <v>0</v>
      </c>
      <c r="L84" s="77"/>
      <c r="M84" s="180"/>
      <c r="P84" s="109">
        <f>IF($BD84&gt;0,(((($BD84/Dashboard!$D$15)*(1+Precificação!$W$589)))+$P$26)*(1+Dashboard!$D$35),0)</f>
        <v>0</v>
      </c>
      <c r="Q84" s="109">
        <f>IF($BD84&gt;0,(((($BD84/Dashboard!$D$23)*(1+Precificação!$W$589))*(1+Q$28))+$P$26)*(1+Dashboard!$D$35),0)</f>
        <v>0</v>
      </c>
      <c r="R84" s="109">
        <f>IF($BD84&gt;0,(((($BD84/Dashboard!$D$23)*(1+Precificação!$W$589))*(1+R$28))+$P$26)*(1+Dashboard!$D$35),0)</f>
        <v>0</v>
      </c>
      <c r="S84" s="109">
        <f>IF($BD84&gt;0,(((($BD84/Dashboard!$D$23)*(1+Precificação!$W$589))*(1+S$28))+$P$26)*(1+Dashboard!$D$35),0)</f>
        <v>0</v>
      </c>
      <c r="AA84" s="109">
        <f>IF($BD84&gt;0,(((($BD84/Dashboard!$D$23)*(1+Precificação!$W$589)))+$AA$26)*(1+Dashboard!$D$35),0)</f>
        <v>0</v>
      </c>
      <c r="AB84" s="109">
        <f>IF($BD84&gt;0,(((($BD84/Dashboard!$D$23)*(1+Precificação!$W$589))*(1+AB$28))+$AA$26)*(1+Dashboard!$D$35),0)</f>
        <v>0</v>
      </c>
      <c r="AC84" s="109">
        <f>IF($BD84&gt;0,(((($BD84/Dashboard!$D$23)*(1+Precificação!$W$589))*(1+AC$28))+$AA$26)*(1+Dashboard!$D$35),0)</f>
        <v>0</v>
      </c>
      <c r="AD84" s="109">
        <f>IF($BD84&gt;0,(((($BD84/Dashboard!$D$23)*(1+Precificação!$W$589))*(1+AD$28))+$AA$26)*(1+Dashboard!$D$35),0)</f>
        <v>0</v>
      </c>
      <c r="AL84" s="109">
        <f>IF($BD84&gt;0,(((($BD84/Dashboard!$D$23)*(1+Precificação!$W$589)))+$AL$26)*(1+Dashboard!$D$35),0)</f>
        <v>0</v>
      </c>
      <c r="AM84" s="109">
        <f>IF($BD84&gt;0,(((($BD84/Dashboard!$D$23)*(1+Precificação!$W$589))*(1+AM$28))+$AA$26)*(1+Dashboard!$D$35),0)</f>
        <v>0</v>
      </c>
      <c r="AN84" s="109">
        <f>IF($BD84&gt;0,(((($BD84/Dashboard!$D$23)*(1+Precificação!$W$589))*(1+AN$28))+$AA$26)*(1+Dashboard!$D$35),0)</f>
        <v>0</v>
      </c>
      <c r="AO84" s="109">
        <f>IF($BD84&gt;0,(((($BD84/Dashboard!$D$23)*(1+Precificação!$W$589))*(1+AO$28))+$AA$26)*(1+Dashboard!$D$35),0)</f>
        <v>0</v>
      </c>
      <c r="AV84" s="179">
        <f t="shared" si="6"/>
        <v>0</v>
      </c>
      <c r="AW84" s="144">
        <f>VLOOKUP(B84,'Cronog. e Histog.'!$B$757:$H$849,7,0)</f>
        <v>0</v>
      </c>
      <c r="AX84" s="144">
        <f>VLOOKUP(B84,'Cronog. e Histog.'!$B$757:$I$849,8,0)</f>
        <v>0</v>
      </c>
      <c r="AY84" s="144">
        <f>$AW84*$AX84*Dashboard!$D$15</f>
        <v>0</v>
      </c>
      <c r="AZ84" s="144">
        <f>$AW84*$AX84*VLOOKUP(B84,Precificação!$B$7:$BM$89,54,0)</f>
        <v>0</v>
      </c>
      <c r="BA84" s="144">
        <f>$AW84*$AX84*VLOOKUP(B84,Precificação!$B$7:$BR$89,58,0)</f>
        <v>0</v>
      </c>
      <c r="BB84" s="144">
        <f>$AW84*$AX84*VLOOKUP(B84,Precificação!$B$7:$BW$89,62,0)</f>
        <v>0</v>
      </c>
      <c r="BC84" s="144">
        <f t="shared" si="4"/>
        <v>0</v>
      </c>
      <c r="BD84" s="109">
        <f>IFERROR(VLOOKUP(B84,Precificação!$B$7:$S$89,13,0),0)</f>
        <v>0</v>
      </c>
      <c r="BE84" s="109">
        <f>IFERROR(VLOOKUP(B84,Precificação!$B$7:$U$89,15,0)/(Precificação!$U$4+Precificação!$U$91),0)*Dashboard!$T$3</f>
        <v>0</v>
      </c>
    </row>
    <row r="85" spans="2:57" ht="12" hidden="1" customHeight="1" outlineLevel="1">
      <c r="B85" s="137" t="str">
        <f>Precificação!B60</f>
        <v>Desenhista Cadista - Projeto</v>
      </c>
      <c r="D85" s="607"/>
      <c r="E85" s="143" t="str">
        <f>IF('Cronog. e Histog.'!F817&gt;0,'Cronog. e Histog.'!F817,"")</f>
        <v>Desenhista Cadista</v>
      </c>
      <c r="G85" s="179">
        <f t="shared" si="5"/>
        <v>0</v>
      </c>
      <c r="H85" s="110"/>
      <c r="I85" s="78"/>
      <c r="J85" s="81">
        <f>IF(I85="horista",H85*Dashboard!$D$15,IF(OR(I85="Mensalista",I85="PJ"),H85,))</f>
        <v>0</v>
      </c>
      <c r="K85" s="81">
        <f>IF(I85="PJ",J85,ROUND(J85*(1+Dashboard!$D$22),2))</f>
        <v>0</v>
      </c>
      <c r="L85" s="77"/>
      <c r="M85" s="180"/>
      <c r="P85" s="109">
        <f>IF($BD85&gt;0,(((($BD85/Dashboard!$D$15)*(1+Precificação!$W$589)))+$P$26)*(1+Dashboard!$D$35),0)</f>
        <v>0</v>
      </c>
      <c r="Q85" s="109">
        <f>IF($BD85&gt;0,(((($BD85/Dashboard!$D$23)*(1+Precificação!$W$589))*(1+Q$28))+$P$26)*(1+Dashboard!$D$35),0)</f>
        <v>0</v>
      </c>
      <c r="R85" s="109">
        <f>IF($BD85&gt;0,(((($BD85/Dashboard!$D$23)*(1+Precificação!$W$589))*(1+R$28))+$P$26)*(1+Dashboard!$D$35),0)</f>
        <v>0</v>
      </c>
      <c r="S85" s="109">
        <f>IF($BD85&gt;0,(((($BD85/Dashboard!$D$23)*(1+Precificação!$W$589))*(1+S$28))+$P$26)*(1+Dashboard!$D$35),0)</f>
        <v>0</v>
      </c>
      <c r="AA85" s="109">
        <f>IF($BD85&gt;0,(((($BD85/Dashboard!$D$23)*(1+Precificação!$W$589)))+$AA$26)*(1+Dashboard!$D$35),0)</f>
        <v>0</v>
      </c>
      <c r="AB85" s="109">
        <f>IF($BD85&gt;0,(((($BD85/Dashboard!$D$23)*(1+Precificação!$W$589))*(1+AB$28))+$AA$26)*(1+Dashboard!$D$35),0)</f>
        <v>0</v>
      </c>
      <c r="AC85" s="109">
        <f>IF($BD85&gt;0,(((($BD85/Dashboard!$D$23)*(1+Precificação!$W$589))*(1+AC$28))+$AA$26)*(1+Dashboard!$D$35),0)</f>
        <v>0</v>
      </c>
      <c r="AD85" s="109">
        <f>IF($BD85&gt;0,(((($BD85/Dashboard!$D$23)*(1+Precificação!$W$589))*(1+AD$28))+$AA$26)*(1+Dashboard!$D$35),0)</f>
        <v>0</v>
      </c>
      <c r="AL85" s="109">
        <f>IF($BD85&gt;0,(((($BD85/Dashboard!$D$23)*(1+Precificação!$W$589)))+$AL$26)*(1+Dashboard!$D$35),0)</f>
        <v>0</v>
      </c>
      <c r="AM85" s="109">
        <f>IF($BD85&gt;0,(((($BD85/Dashboard!$D$23)*(1+Precificação!$W$589))*(1+AM$28))+$AA$26)*(1+Dashboard!$D$35),0)</f>
        <v>0</v>
      </c>
      <c r="AN85" s="109">
        <f>IF($BD85&gt;0,(((($BD85/Dashboard!$D$23)*(1+Precificação!$W$589))*(1+AN$28))+$AA$26)*(1+Dashboard!$D$35),0)</f>
        <v>0</v>
      </c>
      <c r="AO85" s="109">
        <f>IF($BD85&gt;0,(((($BD85/Dashboard!$D$23)*(1+Precificação!$W$589))*(1+AO$28))+$AA$26)*(1+Dashboard!$D$35),0)</f>
        <v>0</v>
      </c>
      <c r="AV85" s="179">
        <f t="shared" si="6"/>
        <v>0</v>
      </c>
      <c r="AW85" s="144">
        <f>VLOOKUP(B85,'Cronog. e Histog.'!$B$757:$H$849,7,0)</f>
        <v>0</v>
      </c>
      <c r="AX85" s="144">
        <f>VLOOKUP(B85,'Cronog. e Histog.'!$B$757:$I$849,8,0)</f>
        <v>0</v>
      </c>
      <c r="AY85" s="144">
        <f>$AW85*$AX85*Dashboard!$D$15</f>
        <v>0</v>
      </c>
      <c r="AZ85" s="144">
        <f>$AW85*$AX85*VLOOKUP(B85,Precificação!$B$7:$BM$89,54,0)</f>
        <v>0</v>
      </c>
      <c r="BA85" s="144">
        <f>$AW85*$AX85*VLOOKUP(B85,Precificação!$B$7:$BR$89,58,0)</f>
        <v>0</v>
      </c>
      <c r="BB85" s="144">
        <f>$AW85*$AX85*VLOOKUP(B85,Precificação!$B$7:$BW$89,62,0)</f>
        <v>0</v>
      </c>
      <c r="BC85" s="144">
        <f t="shared" si="4"/>
        <v>0</v>
      </c>
      <c r="BD85" s="109">
        <f>IFERROR(VLOOKUP(B85,Precificação!$B$7:$S$89,13,0),0)</f>
        <v>0</v>
      </c>
      <c r="BE85" s="109">
        <f>IFERROR(VLOOKUP(B85,Precificação!$B$7:$U$89,15,0)/(Precificação!$U$4+Precificação!$U$91),0)*Dashboard!$T$3</f>
        <v>0</v>
      </c>
    </row>
    <row r="86" spans="2:57" ht="12" hidden="1" customHeight="1" outlineLevel="1">
      <c r="B86" s="137" t="str">
        <f>Precificação!B61</f>
        <v/>
      </c>
      <c r="D86" s="607"/>
      <c r="E86" s="143" t="str">
        <f>IF('Cronog. e Histog.'!F818&gt;0,'Cronog. e Histog.'!F818,"")</f>
        <v/>
      </c>
      <c r="G86" s="179">
        <f t="shared" si="5"/>
        <v>0</v>
      </c>
      <c r="H86" s="110"/>
      <c r="I86" s="78"/>
      <c r="J86" s="81">
        <f>IF(I86="horista",H86*Dashboard!$D$15,IF(OR(I86="Mensalista",I86="PJ"),H86,))</f>
        <v>0</v>
      </c>
      <c r="K86" s="81">
        <f>IF(I86="PJ",J86,ROUND(J86*(1+Dashboard!$D$22),2))</f>
        <v>0</v>
      </c>
      <c r="L86" s="77"/>
      <c r="M86" s="180"/>
      <c r="P86" s="109">
        <f>IF($BD86&gt;0,(((($BD86/Dashboard!$D$15)*(1+Precificação!$W$589)))+$P$26)*(1+Dashboard!$D$35),0)</f>
        <v>0</v>
      </c>
      <c r="Q86" s="109">
        <f>IF($BD86&gt;0,(((($BD86/Dashboard!$D$23)*(1+Precificação!$W$589))*(1+Q$28))+$P$26)*(1+Dashboard!$D$35),0)</f>
        <v>0</v>
      </c>
      <c r="R86" s="109">
        <f>IF($BD86&gt;0,(((($BD86/Dashboard!$D$23)*(1+Precificação!$W$589))*(1+R$28))+$P$26)*(1+Dashboard!$D$35),0)</f>
        <v>0</v>
      </c>
      <c r="S86" s="109">
        <f>IF($BD86&gt;0,(((($BD86/Dashboard!$D$23)*(1+Precificação!$W$589))*(1+S$28))+$P$26)*(1+Dashboard!$D$35),0)</f>
        <v>0</v>
      </c>
      <c r="AA86" s="109">
        <f>IF($BD86&gt;0,(((($BD86/Dashboard!$D$23)*(1+Precificação!$W$589)))+$AA$26)*(1+Dashboard!$D$35),0)</f>
        <v>0</v>
      </c>
      <c r="AB86" s="109">
        <f>IF($BD86&gt;0,(((($BD86/Dashboard!$D$23)*(1+Precificação!$W$589))*(1+AB$28))+$AA$26)*(1+Dashboard!$D$35),0)</f>
        <v>0</v>
      </c>
      <c r="AC86" s="109">
        <f>IF($BD86&gt;0,(((($BD86/Dashboard!$D$23)*(1+Precificação!$W$589))*(1+AC$28))+$AA$26)*(1+Dashboard!$D$35),0)</f>
        <v>0</v>
      </c>
      <c r="AD86" s="109">
        <f>IF($BD86&gt;0,(((($BD86/Dashboard!$D$23)*(1+Precificação!$W$589))*(1+AD$28))+$AA$26)*(1+Dashboard!$D$35),0)</f>
        <v>0</v>
      </c>
      <c r="AL86" s="109">
        <f>IF($BD86&gt;0,(((($BD86/Dashboard!$D$23)*(1+Precificação!$W$589)))+$AL$26)*(1+Dashboard!$D$35),0)</f>
        <v>0</v>
      </c>
      <c r="AM86" s="109">
        <f>IF($BD86&gt;0,(((($BD86/Dashboard!$D$23)*(1+Precificação!$W$589))*(1+AM$28))+$AA$26)*(1+Dashboard!$D$35),0)</f>
        <v>0</v>
      </c>
      <c r="AN86" s="109">
        <f>IF($BD86&gt;0,(((($BD86/Dashboard!$D$23)*(1+Precificação!$W$589))*(1+AN$28))+$AA$26)*(1+Dashboard!$D$35),0)</f>
        <v>0</v>
      </c>
      <c r="AO86" s="109">
        <f>IF($BD86&gt;0,(((($BD86/Dashboard!$D$23)*(1+Precificação!$W$589))*(1+AO$28))+$AA$26)*(1+Dashboard!$D$35),0)</f>
        <v>0</v>
      </c>
      <c r="AV86" s="179">
        <f t="shared" si="6"/>
        <v>0</v>
      </c>
      <c r="AW86" s="144">
        <f>VLOOKUP(B86,'Cronog. e Histog.'!$B$757:$H$849,7,0)</f>
        <v>0</v>
      </c>
      <c r="AX86" s="144">
        <f>VLOOKUP(B86,'Cronog. e Histog.'!$B$757:$I$849,8,0)</f>
        <v>0</v>
      </c>
      <c r="AY86" s="144">
        <f>$AW86*$AX86*Dashboard!$D$15</f>
        <v>0</v>
      </c>
      <c r="AZ86" s="144">
        <f>$AW86*$AX86*VLOOKUP(B86,Precificação!$B$7:$BM$89,54,0)</f>
        <v>0</v>
      </c>
      <c r="BA86" s="144">
        <f>$AW86*$AX86*VLOOKUP(B86,Precificação!$B$7:$BR$89,58,0)</f>
        <v>0</v>
      </c>
      <c r="BB86" s="144">
        <f>$AW86*$AX86*VLOOKUP(B86,Precificação!$B$7:$BW$89,62,0)</f>
        <v>0</v>
      </c>
      <c r="BC86" s="144">
        <f t="shared" si="4"/>
        <v>0</v>
      </c>
      <c r="BD86" s="109">
        <f>IFERROR(VLOOKUP(B86,Precificação!$B$7:$S$89,13,0),0)</f>
        <v>0</v>
      </c>
      <c r="BE86" s="109">
        <f>IFERROR(VLOOKUP(B86,Precificação!$B$7:$U$89,15,0)/(Precificação!$U$4+Precificação!$U$91),0)*Dashboard!$T$3</f>
        <v>0</v>
      </c>
    </row>
    <row r="87" spans="2:57" ht="12" hidden="1" customHeight="1" outlineLevel="1">
      <c r="B87" s="137" t="str">
        <f>Precificação!B62</f>
        <v/>
      </c>
      <c r="D87" s="607"/>
      <c r="E87" s="143" t="str">
        <f>IF('Cronog. e Histog.'!F819&gt;0,'Cronog. e Histog.'!F819,"")</f>
        <v/>
      </c>
      <c r="G87" s="179">
        <f t="shared" si="5"/>
        <v>0</v>
      </c>
      <c r="H87" s="110"/>
      <c r="I87" s="78"/>
      <c r="J87" s="81">
        <f>IF(I87="horista",H87*Dashboard!$D$15,IF(OR(I87="Mensalista",I87="PJ"),H87,))</f>
        <v>0</v>
      </c>
      <c r="K87" s="81">
        <f>IF(I87="PJ",J87,ROUND(J87*(1+Dashboard!$D$22),2))</f>
        <v>0</v>
      </c>
      <c r="L87" s="77"/>
      <c r="M87" s="180"/>
      <c r="P87" s="109">
        <f>IF($BD87&gt;0,(((($BD87/Dashboard!$D$15)*(1+Precificação!$W$589)))+$P$26)*(1+Dashboard!$D$35),0)</f>
        <v>0</v>
      </c>
      <c r="Q87" s="109">
        <f>IF($BD87&gt;0,(((($BD87/Dashboard!$D$23)*(1+Precificação!$W$589))*(1+Q$28))+$P$26)*(1+Dashboard!$D$35),0)</f>
        <v>0</v>
      </c>
      <c r="R87" s="109">
        <f>IF($BD87&gt;0,(((($BD87/Dashboard!$D$23)*(1+Precificação!$W$589))*(1+R$28))+$P$26)*(1+Dashboard!$D$35),0)</f>
        <v>0</v>
      </c>
      <c r="S87" s="109">
        <f>IF($BD87&gt;0,(((($BD87/Dashboard!$D$23)*(1+Precificação!$W$589))*(1+S$28))+$P$26)*(1+Dashboard!$D$35),0)</f>
        <v>0</v>
      </c>
      <c r="AA87" s="109">
        <f>IF($BD87&gt;0,(((($BD87/Dashboard!$D$23)*(1+Precificação!$W$589)))+$AA$26)*(1+Dashboard!$D$35),0)</f>
        <v>0</v>
      </c>
      <c r="AB87" s="109">
        <f>IF($BD87&gt;0,(((($BD87/Dashboard!$D$23)*(1+Precificação!$W$589))*(1+AB$28))+$AA$26)*(1+Dashboard!$D$35),0)</f>
        <v>0</v>
      </c>
      <c r="AC87" s="109">
        <f>IF($BD87&gt;0,(((($BD87/Dashboard!$D$23)*(1+Precificação!$W$589))*(1+AC$28))+$AA$26)*(1+Dashboard!$D$35),0)</f>
        <v>0</v>
      </c>
      <c r="AD87" s="109">
        <f>IF($BD87&gt;0,(((($BD87/Dashboard!$D$23)*(1+Precificação!$W$589))*(1+AD$28))+$AA$26)*(1+Dashboard!$D$35),0)</f>
        <v>0</v>
      </c>
      <c r="AL87" s="109">
        <f>IF($BD87&gt;0,(((($BD87/Dashboard!$D$23)*(1+Precificação!$W$589)))+$AL$26)*(1+Dashboard!$D$35),0)</f>
        <v>0</v>
      </c>
      <c r="AM87" s="109">
        <f>IF($BD87&gt;0,(((($BD87/Dashboard!$D$23)*(1+Precificação!$W$589))*(1+AM$28))+$AA$26)*(1+Dashboard!$D$35),0)</f>
        <v>0</v>
      </c>
      <c r="AN87" s="109">
        <f>IF($BD87&gt;0,(((($BD87/Dashboard!$D$23)*(1+Precificação!$W$589))*(1+AN$28))+$AA$26)*(1+Dashboard!$D$35),0)</f>
        <v>0</v>
      </c>
      <c r="AO87" s="109">
        <f>IF($BD87&gt;0,(((($BD87/Dashboard!$D$23)*(1+Precificação!$W$589))*(1+AO$28))+$AA$26)*(1+Dashboard!$D$35),0)</f>
        <v>0</v>
      </c>
      <c r="AV87" s="179">
        <f t="shared" si="6"/>
        <v>0</v>
      </c>
      <c r="AW87" s="144">
        <f>VLOOKUP(B87,'Cronog. e Histog.'!$B$757:$H$849,7,0)</f>
        <v>0</v>
      </c>
      <c r="AX87" s="144">
        <f>VLOOKUP(B87,'Cronog. e Histog.'!$B$757:$I$849,8,0)</f>
        <v>0</v>
      </c>
      <c r="AY87" s="144">
        <f>$AW87*$AX87*Dashboard!$D$15</f>
        <v>0</v>
      </c>
      <c r="AZ87" s="144">
        <f>$AW87*$AX87*VLOOKUP(B87,Precificação!$B$7:$BM$89,54,0)</f>
        <v>0</v>
      </c>
      <c r="BA87" s="144">
        <f>$AW87*$AX87*VLOOKUP(B87,Precificação!$B$7:$BR$89,58,0)</f>
        <v>0</v>
      </c>
      <c r="BB87" s="144">
        <f>$AW87*$AX87*VLOOKUP(B87,Precificação!$B$7:$BW$89,62,0)</f>
        <v>0</v>
      </c>
      <c r="BC87" s="144">
        <f t="shared" si="4"/>
        <v>0</v>
      </c>
      <c r="BD87" s="109">
        <f>IFERROR(VLOOKUP(B87,Precificação!$B$7:$S$89,13,0),0)</f>
        <v>0</v>
      </c>
      <c r="BE87" s="109">
        <f>IFERROR(VLOOKUP(B87,Precificação!$B$7:$U$89,15,0)/(Precificação!$U$4+Precificação!$U$91),0)*Dashboard!$T$3</f>
        <v>0</v>
      </c>
    </row>
    <row r="88" spans="2:57" ht="12" hidden="1" customHeight="1" outlineLevel="1">
      <c r="B88" s="137" t="str">
        <f>Precificação!B63</f>
        <v>Líder de Almoxarifado - Almoxarifado e Materiais</v>
      </c>
      <c r="D88" s="607" t="s">
        <v>521</v>
      </c>
      <c r="E88" s="143" t="str">
        <f>IF('Cronog. e Histog.'!F821&gt;0,'Cronog. e Histog.'!F821,"")</f>
        <v>Líder de Almoxarifado</v>
      </c>
      <c r="G88" s="179">
        <f t="shared" si="5"/>
        <v>0</v>
      </c>
      <c r="H88" s="110"/>
      <c r="I88" s="78"/>
      <c r="J88" s="81">
        <f>IF(I88="horista",H88*Dashboard!$D$15,IF(OR(I88="Mensalista",I88="PJ"),H88,))</f>
        <v>0</v>
      </c>
      <c r="K88" s="81">
        <f>IF(I88="PJ",J88,ROUND(J88*(1+Dashboard!$D$22),2))</f>
        <v>0</v>
      </c>
      <c r="L88" s="77"/>
      <c r="M88" s="180"/>
      <c r="P88" s="109">
        <f>IF($BD88&gt;0,(((($BD88/Dashboard!$D$15)*(1+Precificação!$W$589)))+$P$26)*(1+Dashboard!$D$35),0)</f>
        <v>0</v>
      </c>
      <c r="Q88" s="109">
        <f>IF($BD88&gt;0,(((($BD88/Dashboard!$D$23)*(1+Precificação!$W$589))*(1+Q$28))+$P$26)*(1+Dashboard!$D$35),0)</f>
        <v>0</v>
      </c>
      <c r="R88" s="109">
        <f>IF($BD88&gt;0,(((($BD88/Dashboard!$D$23)*(1+Precificação!$W$589))*(1+R$28))+$P$26)*(1+Dashboard!$D$35),0)</f>
        <v>0</v>
      </c>
      <c r="S88" s="109">
        <f>IF($BD88&gt;0,(((($BD88/Dashboard!$D$23)*(1+Precificação!$W$589))*(1+S$28))+$P$26)*(1+Dashboard!$D$35),0)</f>
        <v>0</v>
      </c>
      <c r="AA88" s="109">
        <f>IF($BD88&gt;0,(((($BD88/Dashboard!$D$23)*(1+Precificação!$W$589)))+$AA$26)*(1+Dashboard!$D$35),0)</f>
        <v>0</v>
      </c>
      <c r="AB88" s="109">
        <f>IF($BD88&gt;0,(((($BD88/Dashboard!$D$23)*(1+Precificação!$W$589))*(1+AB$28))+$AA$26)*(1+Dashboard!$D$35),0)</f>
        <v>0</v>
      </c>
      <c r="AC88" s="109">
        <f>IF($BD88&gt;0,(((($BD88/Dashboard!$D$23)*(1+Precificação!$W$589))*(1+AC$28))+$AA$26)*(1+Dashboard!$D$35),0)</f>
        <v>0</v>
      </c>
      <c r="AD88" s="109">
        <f>IF($BD88&gt;0,(((($BD88/Dashboard!$D$23)*(1+Precificação!$W$589))*(1+AD$28))+$AA$26)*(1+Dashboard!$D$35),0)</f>
        <v>0</v>
      </c>
      <c r="AL88" s="109">
        <f>IF($BD88&gt;0,(((($BD88/Dashboard!$D$23)*(1+Precificação!$W$589)))+$AL$26)*(1+Dashboard!$D$35),0)</f>
        <v>0</v>
      </c>
      <c r="AM88" s="109">
        <f>IF($BD88&gt;0,(((($BD88/Dashboard!$D$23)*(1+Precificação!$W$589))*(1+AM$28))+$AA$26)*(1+Dashboard!$D$35),0)</f>
        <v>0</v>
      </c>
      <c r="AN88" s="109">
        <f>IF($BD88&gt;0,(((($BD88/Dashboard!$D$23)*(1+Precificação!$W$589))*(1+AN$28))+$AA$26)*(1+Dashboard!$D$35),0)</f>
        <v>0</v>
      </c>
      <c r="AO88" s="109">
        <f>IF($BD88&gt;0,(((($BD88/Dashboard!$D$23)*(1+Precificação!$W$589))*(1+AO$28))+$AA$26)*(1+Dashboard!$D$35),0)</f>
        <v>0</v>
      </c>
      <c r="AV88" s="179">
        <f t="shared" si="6"/>
        <v>0</v>
      </c>
      <c r="AW88" s="144">
        <f>VLOOKUP(B88,'Cronog. e Histog.'!$B$757:$H$849,7,0)</f>
        <v>0</v>
      </c>
      <c r="AX88" s="144">
        <f>VLOOKUP(B88,'Cronog. e Histog.'!$B$757:$I$849,8,0)</f>
        <v>0</v>
      </c>
      <c r="AY88" s="144">
        <f>$AW88*$AX88*Dashboard!$D$15</f>
        <v>0</v>
      </c>
      <c r="AZ88" s="144">
        <f>$AW88*$AX88*VLOOKUP(B88,Precificação!$B$7:$BM$89,54,0)</f>
        <v>0</v>
      </c>
      <c r="BA88" s="144">
        <f>$AW88*$AX88*VLOOKUP(B88,Precificação!$B$7:$BR$89,58,0)</f>
        <v>0</v>
      </c>
      <c r="BB88" s="144">
        <f>$AW88*$AX88*VLOOKUP(B88,Precificação!$B$7:$BW$89,62,0)</f>
        <v>0</v>
      </c>
      <c r="BC88" s="144">
        <f t="shared" si="4"/>
        <v>0</v>
      </c>
      <c r="BD88" s="109">
        <f>IFERROR(VLOOKUP(B88,Precificação!$B$7:$S$89,13,0),0)</f>
        <v>0</v>
      </c>
      <c r="BE88" s="109">
        <f>IFERROR(VLOOKUP(B88,Precificação!$B$7:$U$89,15,0)/(Precificação!$U$4+Precificação!$U$91),0)*Dashboard!$T$3</f>
        <v>0</v>
      </c>
    </row>
    <row r="89" spans="2:57" ht="12" hidden="1" customHeight="1" outlineLevel="1">
      <c r="B89" s="137" t="str">
        <f>Precificação!B64</f>
        <v>Almoxarife - Almoxarifado e Materiais</v>
      </c>
      <c r="D89" s="607"/>
      <c r="E89" s="143" t="str">
        <f>IF('Cronog. e Histog.'!F822&gt;0,'Cronog. e Histog.'!F822,"")</f>
        <v>Almoxarife</v>
      </c>
      <c r="G89" s="179">
        <f t="shared" si="5"/>
        <v>0</v>
      </c>
      <c r="H89" s="110"/>
      <c r="I89" s="78"/>
      <c r="J89" s="81">
        <f>IF(I89="horista",H89*Dashboard!$D$15,IF(OR(I89="Mensalista",I89="PJ"),H89,))</f>
        <v>0</v>
      </c>
      <c r="K89" s="81">
        <f>IF(I89="PJ",J89,ROUND(J89*(1+Dashboard!$D$22),2))</f>
        <v>0</v>
      </c>
      <c r="L89" s="77"/>
      <c r="M89" s="180"/>
      <c r="P89" s="109">
        <f>IF($BD89&gt;0,(((($BD89/Dashboard!$D$15)*(1+Precificação!$W$589)))+$P$26)*(1+Dashboard!$D$35),0)</f>
        <v>0</v>
      </c>
      <c r="Q89" s="109">
        <f>IF($BD89&gt;0,(((($BD89/Dashboard!$D$23)*(1+Precificação!$W$589))*(1+Q$28))+$P$26)*(1+Dashboard!$D$35),0)</f>
        <v>0</v>
      </c>
      <c r="R89" s="109">
        <f>IF($BD89&gt;0,(((($BD89/Dashboard!$D$23)*(1+Precificação!$W$589))*(1+R$28))+$P$26)*(1+Dashboard!$D$35),0)</f>
        <v>0</v>
      </c>
      <c r="S89" s="109">
        <f>IF($BD89&gt;0,(((($BD89/Dashboard!$D$23)*(1+Precificação!$W$589))*(1+S$28))+$P$26)*(1+Dashboard!$D$35),0)</f>
        <v>0</v>
      </c>
      <c r="AA89" s="109">
        <f>IF($BD89&gt;0,(((($BD89/Dashboard!$D$23)*(1+Precificação!$W$589)))+$AA$26)*(1+Dashboard!$D$35),0)</f>
        <v>0</v>
      </c>
      <c r="AB89" s="109">
        <f>IF($BD89&gt;0,(((($BD89/Dashboard!$D$23)*(1+Precificação!$W$589))*(1+AB$28))+$AA$26)*(1+Dashboard!$D$35),0)</f>
        <v>0</v>
      </c>
      <c r="AC89" s="109">
        <f>IF($BD89&gt;0,(((($BD89/Dashboard!$D$23)*(1+Precificação!$W$589))*(1+AC$28))+$AA$26)*(1+Dashboard!$D$35),0)</f>
        <v>0</v>
      </c>
      <c r="AD89" s="109">
        <f>IF($BD89&gt;0,(((($BD89/Dashboard!$D$23)*(1+Precificação!$W$589))*(1+AD$28))+$AA$26)*(1+Dashboard!$D$35),0)</f>
        <v>0</v>
      </c>
      <c r="AL89" s="109">
        <f>IF($BD89&gt;0,(((($BD89/Dashboard!$D$23)*(1+Precificação!$W$589)))+$AL$26)*(1+Dashboard!$D$35),0)</f>
        <v>0</v>
      </c>
      <c r="AM89" s="109">
        <f>IF($BD89&gt;0,(((($BD89/Dashboard!$D$23)*(1+Precificação!$W$589))*(1+AM$28))+$AA$26)*(1+Dashboard!$D$35),0)</f>
        <v>0</v>
      </c>
      <c r="AN89" s="109">
        <f>IF($BD89&gt;0,(((($BD89/Dashboard!$D$23)*(1+Precificação!$W$589))*(1+AN$28))+$AA$26)*(1+Dashboard!$D$35),0)</f>
        <v>0</v>
      </c>
      <c r="AO89" s="109">
        <f>IF($BD89&gt;0,(((($BD89/Dashboard!$D$23)*(1+Precificação!$W$589))*(1+AO$28))+$AA$26)*(1+Dashboard!$D$35),0)</f>
        <v>0</v>
      </c>
      <c r="AV89" s="179">
        <f t="shared" si="6"/>
        <v>0</v>
      </c>
      <c r="AW89" s="144">
        <f>VLOOKUP(B89,'Cronog. e Histog.'!$B$757:$H$849,7,0)</f>
        <v>0</v>
      </c>
      <c r="AX89" s="144">
        <f>VLOOKUP(B89,'Cronog. e Histog.'!$B$757:$I$849,8,0)</f>
        <v>0</v>
      </c>
      <c r="AY89" s="144">
        <f>$AW89*$AX89*Dashboard!$D$15</f>
        <v>0</v>
      </c>
      <c r="AZ89" s="144">
        <f>$AW89*$AX89*VLOOKUP(B89,Precificação!$B$7:$BM$89,54,0)</f>
        <v>0</v>
      </c>
      <c r="BA89" s="144">
        <f>$AW89*$AX89*VLOOKUP(B89,Precificação!$B$7:$BR$89,58,0)</f>
        <v>0</v>
      </c>
      <c r="BB89" s="144">
        <f>$AW89*$AX89*VLOOKUP(B89,Precificação!$B$7:$BW$89,62,0)</f>
        <v>0</v>
      </c>
      <c r="BC89" s="144">
        <f t="shared" si="4"/>
        <v>0</v>
      </c>
      <c r="BD89" s="109">
        <f>IFERROR(VLOOKUP(B89,Precificação!$B$7:$S$89,13,0),0)</f>
        <v>0</v>
      </c>
      <c r="BE89" s="109">
        <f>IFERROR(VLOOKUP(B89,Precificação!$B$7:$U$89,15,0)/(Precificação!$U$4+Precificação!$U$91),0)*Dashboard!$T$3</f>
        <v>0</v>
      </c>
    </row>
    <row r="90" spans="2:57" ht="12" hidden="1" customHeight="1" outlineLevel="1">
      <c r="B90" s="137" t="str">
        <f>Precificação!B65</f>
        <v>Auxiliar de Almoxarifado - Almoxarifado e Materiais</v>
      </c>
      <c r="D90" s="607"/>
      <c r="E90" s="143" t="str">
        <f>IF('Cronog. e Histog.'!F823&gt;0,'Cronog. e Histog.'!F823,"")</f>
        <v>Auxiliar de Almoxarifado</v>
      </c>
      <c r="G90" s="179">
        <f t="shared" si="5"/>
        <v>0</v>
      </c>
      <c r="H90" s="110"/>
      <c r="I90" s="78"/>
      <c r="J90" s="81">
        <f>IF(I90="horista",H90*Dashboard!$D$15,IF(OR(I90="Mensalista",I90="PJ"),H90,))</f>
        <v>0</v>
      </c>
      <c r="K90" s="81">
        <f>IF(I90="PJ",J90,ROUND(J90*(1+Dashboard!$D$22),2))</f>
        <v>0</v>
      </c>
      <c r="L90" s="77"/>
      <c r="M90" s="180"/>
      <c r="P90" s="109">
        <f>IF($BD90&gt;0,(((($BD90/Dashboard!$D$15)*(1+Precificação!$W$589)))+$P$26)*(1+Dashboard!$D$35),0)</f>
        <v>0</v>
      </c>
      <c r="Q90" s="109">
        <f>IF($BD90&gt;0,(((($BD90/Dashboard!$D$23)*(1+Precificação!$W$589))*(1+Q$28))+$P$26)*(1+Dashboard!$D$35),0)</f>
        <v>0</v>
      </c>
      <c r="R90" s="109">
        <f>IF($BD90&gt;0,(((($BD90/Dashboard!$D$23)*(1+Precificação!$W$589))*(1+R$28))+$P$26)*(1+Dashboard!$D$35),0)</f>
        <v>0</v>
      </c>
      <c r="S90" s="109">
        <f>IF($BD90&gt;0,(((($BD90/Dashboard!$D$23)*(1+Precificação!$W$589))*(1+S$28))+$P$26)*(1+Dashboard!$D$35),0)</f>
        <v>0</v>
      </c>
      <c r="AA90" s="109">
        <f>IF($BD90&gt;0,(((($BD90/Dashboard!$D$23)*(1+Precificação!$W$589)))+$AA$26)*(1+Dashboard!$D$35),0)</f>
        <v>0</v>
      </c>
      <c r="AB90" s="109">
        <f>IF($BD90&gt;0,(((($BD90/Dashboard!$D$23)*(1+Precificação!$W$589))*(1+AB$28))+$AA$26)*(1+Dashboard!$D$35),0)</f>
        <v>0</v>
      </c>
      <c r="AC90" s="109">
        <f>IF($BD90&gt;0,(((($BD90/Dashboard!$D$23)*(1+Precificação!$W$589))*(1+AC$28))+$AA$26)*(1+Dashboard!$D$35),0)</f>
        <v>0</v>
      </c>
      <c r="AD90" s="109">
        <f>IF($BD90&gt;0,(((($BD90/Dashboard!$D$23)*(1+Precificação!$W$589))*(1+AD$28))+$AA$26)*(1+Dashboard!$D$35),0)</f>
        <v>0</v>
      </c>
      <c r="AL90" s="109">
        <f>IF($BD90&gt;0,(((($BD90/Dashboard!$D$23)*(1+Precificação!$W$589)))+$AL$26)*(1+Dashboard!$D$35),0)</f>
        <v>0</v>
      </c>
      <c r="AM90" s="109">
        <f>IF($BD90&gt;0,(((($BD90/Dashboard!$D$23)*(1+Precificação!$W$589))*(1+AM$28))+$AA$26)*(1+Dashboard!$D$35),0)</f>
        <v>0</v>
      </c>
      <c r="AN90" s="109">
        <f>IF($BD90&gt;0,(((($BD90/Dashboard!$D$23)*(1+Precificação!$W$589))*(1+AN$28))+$AA$26)*(1+Dashboard!$D$35),0)</f>
        <v>0</v>
      </c>
      <c r="AO90" s="109">
        <f>IF($BD90&gt;0,(((($BD90/Dashboard!$D$23)*(1+Precificação!$W$589))*(1+AO$28))+$AA$26)*(1+Dashboard!$D$35),0)</f>
        <v>0</v>
      </c>
      <c r="AV90" s="179">
        <f t="shared" si="6"/>
        <v>0</v>
      </c>
      <c r="AW90" s="144">
        <f>VLOOKUP(B90,'Cronog. e Histog.'!$B$757:$H$849,7,0)</f>
        <v>0</v>
      </c>
      <c r="AX90" s="144">
        <f>VLOOKUP(B90,'Cronog. e Histog.'!$B$757:$I$849,8,0)</f>
        <v>0</v>
      </c>
      <c r="AY90" s="144">
        <f>$AW90*$AX90*Dashboard!$D$15</f>
        <v>0</v>
      </c>
      <c r="AZ90" s="144">
        <f>$AW90*$AX90*VLOOKUP(B90,Precificação!$B$7:$BM$89,54,0)</f>
        <v>0</v>
      </c>
      <c r="BA90" s="144">
        <f>$AW90*$AX90*VLOOKUP(B90,Precificação!$B$7:$BR$89,58,0)</f>
        <v>0</v>
      </c>
      <c r="BB90" s="144">
        <f>$AW90*$AX90*VLOOKUP(B90,Precificação!$B$7:$BW$89,62,0)</f>
        <v>0</v>
      </c>
      <c r="BC90" s="144">
        <f t="shared" si="4"/>
        <v>0</v>
      </c>
      <c r="BD90" s="109">
        <f>IFERROR(VLOOKUP(B90,Precificação!$B$7:$S$89,13,0),0)</f>
        <v>0</v>
      </c>
      <c r="BE90" s="109">
        <f>IFERROR(VLOOKUP(B90,Precificação!$B$7:$U$89,15,0)/(Precificação!$U$4+Precificação!$U$91),0)*Dashboard!$T$3</f>
        <v>0</v>
      </c>
    </row>
    <row r="91" spans="2:57" ht="12" hidden="1" customHeight="1" outlineLevel="1">
      <c r="B91" s="137" t="str">
        <f>Precificação!B66</f>
        <v>Técnico de Materiais - Almoxarifado e Materiais</v>
      </c>
      <c r="D91" s="607"/>
      <c r="E91" s="143" t="str">
        <f>IF('Cronog. e Histog.'!F824&gt;0,'Cronog. e Histog.'!F824,"")</f>
        <v>Técnico de Materiais</v>
      </c>
      <c r="G91" s="179">
        <f t="shared" si="5"/>
        <v>0</v>
      </c>
      <c r="H91" s="110"/>
      <c r="I91" s="78"/>
      <c r="J91" s="81">
        <f>IF(I91="horista",H91*Dashboard!$D$15,IF(OR(I91="Mensalista",I91="PJ"),H91,))</f>
        <v>0</v>
      </c>
      <c r="K91" s="81">
        <f>IF(I91="PJ",J91,ROUND(J91*(1+Dashboard!$D$22),2))</f>
        <v>0</v>
      </c>
      <c r="L91" s="77"/>
      <c r="M91" s="180"/>
      <c r="P91" s="109">
        <f>IF($BD91&gt;0,(((($BD91/Dashboard!$D$15)*(1+Precificação!$W$589)))+$P$26)*(1+Dashboard!$D$35),0)</f>
        <v>0</v>
      </c>
      <c r="Q91" s="109">
        <f>IF($BD91&gt;0,(((($BD91/Dashboard!$D$23)*(1+Precificação!$W$589))*(1+Q$28))+$P$26)*(1+Dashboard!$D$35),0)</f>
        <v>0</v>
      </c>
      <c r="R91" s="109">
        <f>IF($BD91&gt;0,(((($BD91/Dashboard!$D$23)*(1+Precificação!$W$589))*(1+R$28))+$P$26)*(1+Dashboard!$D$35),0)</f>
        <v>0</v>
      </c>
      <c r="S91" s="109">
        <f>IF($BD91&gt;0,(((($BD91/Dashboard!$D$23)*(1+Precificação!$W$589))*(1+S$28))+$P$26)*(1+Dashboard!$D$35),0)</f>
        <v>0</v>
      </c>
      <c r="AA91" s="109">
        <f>IF($BD91&gt;0,(((($BD91/Dashboard!$D$23)*(1+Precificação!$W$589)))+$AA$26)*(1+Dashboard!$D$35),0)</f>
        <v>0</v>
      </c>
      <c r="AB91" s="109">
        <f>IF($BD91&gt;0,(((($BD91/Dashboard!$D$23)*(1+Precificação!$W$589))*(1+AB$28))+$AA$26)*(1+Dashboard!$D$35),0)</f>
        <v>0</v>
      </c>
      <c r="AC91" s="109">
        <f>IF($BD91&gt;0,(((($BD91/Dashboard!$D$23)*(1+Precificação!$W$589))*(1+AC$28))+$AA$26)*(1+Dashboard!$D$35),0)</f>
        <v>0</v>
      </c>
      <c r="AD91" s="109">
        <f>IF($BD91&gt;0,(((($BD91/Dashboard!$D$23)*(1+Precificação!$W$589))*(1+AD$28))+$AA$26)*(1+Dashboard!$D$35),0)</f>
        <v>0</v>
      </c>
      <c r="AL91" s="109">
        <f>IF($BD91&gt;0,(((($BD91/Dashboard!$D$23)*(1+Precificação!$W$589)))+$AL$26)*(1+Dashboard!$D$35),0)</f>
        <v>0</v>
      </c>
      <c r="AM91" s="109">
        <f>IF($BD91&gt;0,(((($BD91/Dashboard!$D$23)*(1+Precificação!$W$589))*(1+AM$28))+$AA$26)*(1+Dashboard!$D$35),0)</f>
        <v>0</v>
      </c>
      <c r="AN91" s="109">
        <f>IF($BD91&gt;0,(((($BD91/Dashboard!$D$23)*(1+Precificação!$W$589))*(1+AN$28))+$AA$26)*(1+Dashboard!$D$35),0)</f>
        <v>0</v>
      </c>
      <c r="AO91" s="109">
        <f>IF($BD91&gt;0,(((($BD91/Dashboard!$D$23)*(1+Precificação!$W$589))*(1+AO$28))+$AA$26)*(1+Dashboard!$D$35),0)</f>
        <v>0</v>
      </c>
      <c r="AV91" s="179">
        <f t="shared" si="6"/>
        <v>0</v>
      </c>
      <c r="AW91" s="144">
        <f>VLOOKUP(B91,'Cronog. e Histog.'!$B$757:$H$849,7,0)</f>
        <v>0</v>
      </c>
      <c r="AX91" s="144">
        <f>VLOOKUP(B91,'Cronog. e Histog.'!$B$757:$I$849,8,0)</f>
        <v>0</v>
      </c>
      <c r="AY91" s="144">
        <f>$AW91*$AX91*Dashboard!$D$15</f>
        <v>0</v>
      </c>
      <c r="AZ91" s="144">
        <f>$AW91*$AX91*VLOOKUP(B91,Precificação!$B$7:$BM$89,54,0)</f>
        <v>0</v>
      </c>
      <c r="BA91" s="144">
        <f>$AW91*$AX91*VLOOKUP(B91,Precificação!$B$7:$BR$89,58,0)</f>
        <v>0</v>
      </c>
      <c r="BB91" s="144">
        <f>$AW91*$AX91*VLOOKUP(B91,Precificação!$B$7:$BW$89,62,0)</f>
        <v>0</v>
      </c>
      <c r="BC91" s="144">
        <f t="shared" si="4"/>
        <v>0</v>
      </c>
      <c r="BD91" s="109">
        <f>IFERROR(VLOOKUP(B91,Precificação!$B$7:$S$89,13,0),0)</f>
        <v>0</v>
      </c>
      <c r="BE91" s="109">
        <f>IFERROR(VLOOKUP(B91,Precificação!$B$7:$U$89,15,0)/(Precificação!$U$4+Precificação!$U$91),0)*Dashboard!$T$3</f>
        <v>0</v>
      </c>
    </row>
    <row r="92" spans="2:57" ht="12" hidden="1" customHeight="1" outlineLevel="1">
      <c r="B92" s="137" t="str">
        <f>Precificação!B67</f>
        <v/>
      </c>
      <c r="D92" s="607"/>
      <c r="E92" s="143" t="str">
        <f>IF('Cronog. e Histog.'!F825&gt;0,'Cronog. e Histog.'!F825,"")</f>
        <v/>
      </c>
      <c r="G92" s="179">
        <f t="shared" si="5"/>
        <v>0</v>
      </c>
      <c r="H92" s="110"/>
      <c r="I92" s="78"/>
      <c r="J92" s="81">
        <f>IF(I92="horista",H92*Dashboard!$D$15,IF(OR(I92="Mensalista",I92="PJ"),H92,))</f>
        <v>0</v>
      </c>
      <c r="K92" s="81">
        <f>IF(I92="PJ",J92,ROUND(J92*(1+Dashboard!$D$22),2))</f>
        <v>0</v>
      </c>
      <c r="L92" s="77"/>
      <c r="M92" s="180"/>
      <c r="P92" s="109">
        <f>IF($BD92&gt;0,(((($BD92/Dashboard!$D$15)*(1+Precificação!$W$589)))+$P$26)*(1+Dashboard!$D$35),0)</f>
        <v>0</v>
      </c>
      <c r="Q92" s="109">
        <f>IF($BD92&gt;0,(((($BD92/Dashboard!$D$23)*(1+Precificação!$W$589))*(1+Q$28))+$P$26)*(1+Dashboard!$D$35),0)</f>
        <v>0</v>
      </c>
      <c r="R92" s="109">
        <f>IF($BD92&gt;0,(((($BD92/Dashboard!$D$23)*(1+Precificação!$W$589))*(1+R$28))+$P$26)*(1+Dashboard!$D$35),0)</f>
        <v>0</v>
      </c>
      <c r="S92" s="109">
        <f>IF($BD92&gt;0,(((($BD92/Dashboard!$D$23)*(1+Precificação!$W$589))*(1+S$28))+$P$26)*(1+Dashboard!$D$35),0)</f>
        <v>0</v>
      </c>
      <c r="AA92" s="109">
        <f>IF($BD92&gt;0,(((($BD92/Dashboard!$D$23)*(1+Precificação!$W$589)))+$AA$26)*(1+Dashboard!$D$35),0)</f>
        <v>0</v>
      </c>
      <c r="AB92" s="109">
        <f>IF($BD92&gt;0,(((($BD92/Dashboard!$D$23)*(1+Precificação!$W$589))*(1+AB$28))+$AA$26)*(1+Dashboard!$D$35),0)</f>
        <v>0</v>
      </c>
      <c r="AC92" s="109">
        <f>IF($BD92&gt;0,(((($BD92/Dashboard!$D$23)*(1+Precificação!$W$589))*(1+AC$28))+$AA$26)*(1+Dashboard!$D$35),0)</f>
        <v>0</v>
      </c>
      <c r="AD92" s="109">
        <f>IF($BD92&gt;0,(((($BD92/Dashboard!$D$23)*(1+Precificação!$W$589))*(1+AD$28))+$AA$26)*(1+Dashboard!$D$35),0)</f>
        <v>0</v>
      </c>
      <c r="AL92" s="109">
        <f>IF($BD92&gt;0,(((($BD92/Dashboard!$D$23)*(1+Precificação!$W$589)))+$AL$26)*(1+Dashboard!$D$35),0)</f>
        <v>0</v>
      </c>
      <c r="AM92" s="109">
        <f>IF($BD92&gt;0,(((($BD92/Dashboard!$D$23)*(1+Precificação!$W$589))*(1+AM$28))+$AA$26)*(1+Dashboard!$D$35),0)</f>
        <v>0</v>
      </c>
      <c r="AN92" s="109">
        <f>IF($BD92&gt;0,(((($BD92/Dashboard!$D$23)*(1+Precificação!$W$589))*(1+AN$28))+$AA$26)*(1+Dashboard!$D$35),0)</f>
        <v>0</v>
      </c>
      <c r="AO92" s="109">
        <f>IF($BD92&gt;0,(((($BD92/Dashboard!$D$23)*(1+Precificação!$W$589))*(1+AO$28))+$AA$26)*(1+Dashboard!$D$35),0)</f>
        <v>0</v>
      </c>
      <c r="AV92" s="179">
        <f t="shared" si="6"/>
        <v>0</v>
      </c>
      <c r="AW92" s="144">
        <f>VLOOKUP(B92,'Cronog. e Histog.'!$B$757:$H$849,7,0)</f>
        <v>0</v>
      </c>
      <c r="AX92" s="144">
        <f>VLOOKUP(B92,'Cronog. e Histog.'!$B$757:$I$849,8,0)</f>
        <v>0</v>
      </c>
      <c r="AY92" s="144">
        <f>$AW92*$AX92*Dashboard!$D$15</f>
        <v>0</v>
      </c>
      <c r="AZ92" s="144">
        <f>$AW92*$AX92*VLOOKUP(B92,Precificação!$B$7:$BM$89,54,0)</f>
        <v>0</v>
      </c>
      <c r="BA92" s="144">
        <f>$AW92*$AX92*VLOOKUP(B92,Precificação!$B$7:$BR$89,58,0)</f>
        <v>0</v>
      </c>
      <c r="BB92" s="144">
        <f>$AW92*$AX92*VLOOKUP(B92,Precificação!$B$7:$BW$89,62,0)</f>
        <v>0</v>
      </c>
      <c r="BC92" s="144">
        <f t="shared" si="4"/>
        <v>0</v>
      </c>
      <c r="BD92" s="109">
        <f>IFERROR(VLOOKUP(B92,Precificação!$B$7:$S$89,13,0),0)</f>
        <v>0</v>
      </c>
      <c r="BE92" s="109">
        <f>IFERROR(VLOOKUP(B92,Precificação!$B$7:$U$89,15,0)/(Precificação!$U$4+Precificação!$U$91),0)*Dashboard!$T$3</f>
        <v>0</v>
      </c>
    </row>
    <row r="93" spans="2:57" ht="12" hidden="1" customHeight="1" outlineLevel="1">
      <c r="B93" s="137" t="str">
        <f>Precificação!B68</f>
        <v/>
      </c>
      <c r="D93" s="607"/>
      <c r="E93" s="143" t="str">
        <f>IF('Cronog. e Histog.'!F826&gt;0,'Cronog. e Histog.'!F826,"")</f>
        <v/>
      </c>
      <c r="G93" s="179">
        <f t="shared" si="5"/>
        <v>0</v>
      </c>
      <c r="H93" s="110"/>
      <c r="I93" s="78"/>
      <c r="J93" s="81">
        <f>IF(I93="horista",H93*Dashboard!$D$15,IF(OR(I93="Mensalista",I93="PJ"),H93,))</f>
        <v>0</v>
      </c>
      <c r="K93" s="81">
        <f>IF(I93="PJ",J93,ROUND(J93*(1+Dashboard!$D$22),2))</f>
        <v>0</v>
      </c>
      <c r="L93" s="77"/>
      <c r="M93" s="180"/>
      <c r="P93" s="109">
        <f>IF($BD93&gt;0,(((($BD93/Dashboard!$D$15)*(1+Precificação!$W$589)))+$P$26)*(1+Dashboard!$D$35),0)</f>
        <v>0</v>
      </c>
      <c r="Q93" s="109">
        <f>IF($BD93&gt;0,(((($BD93/Dashboard!$D$23)*(1+Precificação!$W$589))*(1+Q$28))+$P$26)*(1+Dashboard!$D$35),0)</f>
        <v>0</v>
      </c>
      <c r="R93" s="109">
        <f>IF($BD93&gt;0,(((($BD93/Dashboard!$D$23)*(1+Precificação!$W$589))*(1+R$28))+$P$26)*(1+Dashboard!$D$35),0)</f>
        <v>0</v>
      </c>
      <c r="S93" s="109">
        <f>IF($BD93&gt;0,(((($BD93/Dashboard!$D$23)*(1+Precificação!$W$589))*(1+S$28))+$P$26)*(1+Dashboard!$D$35),0)</f>
        <v>0</v>
      </c>
      <c r="AA93" s="109">
        <f>IF($BD93&gt;0,(((($BD93/Dashboard!$D$23)*(1+Precificação!$W$589)))+$AA$26)*(1+Dashboard!$D$35),0)</f>
        <v>0</v>
      </c>
      <c r="AB93" s="109">
        <f>IF($BD93&gt;0,(((($BD93/Dashboard!$D$23)*(1+Precificação!$W$589))*(1+AB$28))+$AA$26)*(1+Dashboard!$D$35),0)</f>
        <v>0</v>
      </c>
      <c r="AC93" s="109">
        <f>IF($BD93&gt;0,(((($BD93/Dashboard!$D$23)*(1+Precificação!$W$589))*(1+AC$28))+$AA$26)*(1+Dashboard!$D$35),0)</f>
        <v>0</v>
      </c>
      <c r="AD93" s="109">
        <f>IF($BD93&gt;0,(((($BD93/Dashboard!$D$23)*(1+Precificação!$W$589))*(1+AD$28))+$AA$26)*(1+Dashboard!$D$35),0)</f>
        <v>0</v>
      </c>
      <c r="AL93" s="109">
        <f>IF($BD93&gt;0,(((($BD93/Dashboard!$D$23)*(1+Precificação!$W$589)))+$AL$26)*(1+Dashboard!$D$35),0)</f>
        <v>0</v>
      </c>
      <c r="AM93" s="109">
        <f>IF($BD93&gt;0,(((($BD93/Dashboard!$D$23)*(1+Precificação!$W$589))*(1+AM$28))+$AA$26)*(1+Dashboard!$D$35),0)</f>
        <v>0</v>
      </c>
      <c r="AN93" s="109">
        <f>IF($BD93&gt;0,(((($BD93/Dashboard!$D$23)*(1+Precificação!$W$589))*(1+AN$28))+$AA$26)*(1+Dashboard!$D$35),0)</f>
        <v>0</v>
      </c>
      <c r="AO93" s="109">
        <f>IF($BD93&gt;0,(((($BD93/Dashboard!$D$23)*(1+Precificação!$W$589))*(1+AO$28))+$AA$26)*(1+Dashboard!$D$35),0)</f>
        <v>0</v>
      </c>
      <c r="AV93" s="179">
        <f t="shared" si="6"/>
        <v>0</v>
      </c>
      <c r="AW93" s="144">
        <f>VLOOKUP(B93,'Cronog. e Histog.'!$B$757:$H$849,7,0)</f>
        <v>0</v>
      </c>
      <c r="AX93" s="144">
        <f>VLOOKUP(B93,'Cronog. e Histog.'!$B$757:$I$849,8,0)</f>
        <v>0</v>
      </c>
      <c r="AY93" s="144">
        <f>$AW93*$AX93*Dashboard!$D$15</f>
        <v>0</v>
      </c>
      <c r="AZ93" s="144">
        <f>$AW93*$AX93*VLOOKUP(B93,Precificação!$B$7:$BM$89,54,0)</f>
        <v>0</v>
      </c>
      <c r="BA93" s="144">
        <f>$AW93*$AX93*VLOOKUP(B93,Precificação!$B$7:$BR$89,58,0)</f>
        <v>0</v>
      </c>
      <c r="BB93" s="144">
        <f>$AW93*$AX93*VLOOKUP(B93,Precificação!$B$7:$BW$89,62,0)</f>
        <v>0</v>
      </c>
      <c r="BC93" s="144">
        <f t="shared" si="4"/>
        <v>0</v>
      </c>
      <c r="BD93" s="109">
        <f>IFERROR(VLOOKUP(B93,Precificação!$B$7:$S$89,13,0),0)</f>
        <v>0</v>
      </c>
      <c r="BE93" s="109">
        <f>IFERROR(VLOOKUP(B93,Precificação!$B$7:$U$89,15,0)/(Precificação!$U$4+Precificação!$U$91),0)*Dashboard!$T$3</f>
        <v>0</v>
      </c>
    </row>
    <row r="94" spans="2:57" ht="12" hidden="1" customHeight="1" outlineLevel="1">
      <c r="B94" s="137" t="str">
        <f>Precificação!B69</f>
        <v/>
      </c>
      <c r="D94" s="607"/>
      <c r="E94" s="143" t="str">
        <f>IF('Cronog. e Histog.'!F827&gt;0,'Cronog. e Histog.'!F827,"")</f>
        <v/>
      </c>
      <c r="G94" s="179">
        <f t="shared" si="5"/>
        <v>0</v>
      </c>
      <c r="H94" s="110"/>
      <c r="I94" s="78"/>
      <c r="J94" s="81">
        <f>IF(I94="horista",H94*Dashboard!$D$15,IF(OR(I94="Mensalista",I94="PJ"),H94,))</f>
        <v>0</v>
      </c>
      <c r="K94" s="81">
        <f>IF(I94="PJ",J94,ROUND(J94*(1+Dashboard!$D$22),2))</f>
        <v>0</v>
      </c>
      <c r="L94" s="77"/>
      <c r="M94" s="180"/>
      <c r="P94" s="109">
        <f>IF($BD94&gt;0,(((($BD94/Dashboard!$D$15)*(1+Precificação!$W$589)))+$P$26)*(1+Dashboard!$D$35),0)</f>
        <v>0</v>
      </c>
      <c r="Q94" s="109">
        <f>IF($BD94&gt;0,(((($BD94/Dashboard!$D$23)*(1+Precificação!$W$589))*(1+Q$28))+$P$26)*(1+Dashboard!$D$35),0)</f>
        <v>0</v>
      </c>
      <c r="R94" s="109">
        <f>IF($BD94&gt;0,(((($BD94/Dashboard!$D$23)*(1+Precificação!$W$589))*(1+R$28))+$P$26)*(1+Dashboard!$D$35),0)</f>
        <v>0</v>
      </c>
      <c r="S94" s="109">
        <f>IF($BD94&gt;0,(((($BD94/Dashboard!$D$23)*(1+Precificação!$W$589))*(1+S$28))+$P$26)*(1+Dashboard!$D$35),0)</f>
        <v>0</v>
      </c>
      <c r="AA94" s="109">
        <f>IF($BD94&gt;0,(((($BD94/Dashboard!$D$23)*(1+Precificação!$W$589)))+$AA$26)*(1+Dashboard!$D$35),0)</f>
        <v>0</v>
      </c>
      <c r="AB94" s="109">
        <f>IF($BD94&gt;0,(((($BD94/Dashboard!$D$23)*(1+Precificação!$W$589))*(1+AB$28))+$AA$26)*(1+Dashboard!$D$35),0)</f>
        <v>0</v>
      </c>
      <c r="AC94" s="109">
        <f>IF($BD94&gt;0,(((($BD94/Dashboard!$D$23)*(1+Precificação!$W$589))*(1+AC$28))+$AA$26)*(1+Dashboard!$D$35),0)</f>
        <v>0</v>
      </c>
      <c r="AD94" s="109">
        <f>IF($BD94&gt;0,(((($BD94/Dashboard!$D$23)*(1+Precificação!$W$589))*(1+AD$28))+$AA$26)*(1+Dashboard!$D$35),0)</f>
        <v>0</v>
      </c>
      <c r="AL94" s="109">
        <f>IF($BD94&gt;0,(((($BD94/Dashboard!$D$23)*(1+Precificação!$W$589)))+$AL$26)*(1+Dashboard!$D$35),0)</f>
        <v>0</v>
      </c>
      <c r="AM94" s="109">
        <f>IF($BD94&gt;0,(((($BD94/Dashboard!$D$23)*(1+Precificação!$W$589))*(1+AM$28))+$AA$26)*(1+Dashboard!$D$35),0)</f>
        <v>0</v>
      </c>
      <c r="AN94" s="109">
        <f>IF($BD94&gt;0,(((($BD94/Dashboard!$D$23)*(1+Precificação!$W$589))*(1+AN$28))+$AA$26)*(1+Dashboard!$D$35),0)</f>
        <v>0</v>
      </c>
      <c r="AO94" s="109">
        <f>IF($BD94&gt;0,(((($BD94/Dashboard!$D$23)*(1+Precificação!$W$589))*(1+AO$28))+$AA$26)*(1+Dashboard!$D$35),0)</f>
        <v>0</v>
      </c>
      <c r="AV94" s="179">
        <f t="shared" si="6"/>
        <v>0</v>
      </c>
      <c r="AW94" s="144">
        <f>VLOOKUP(B94,'Cronog. e Histog.'!$B$757:$H$849,7,0)</f>
        <v>0</v>
      </c>
      <c r="AX94" s="144">
        <f>VLOOKUP(B94,'Cronog. e Histog.'!$B$757:$I$849,8,0)</f>
        <v>0</v>
      </c>
      <c r="AY94" s="144">
        <f>$AW94*$AX94*Dashboard!$D$15</f>
        <v>0</v>
      </c>
      <c r="AZ94" s="144">
        <f>$AW94*$AX94*VLOOKUP(B94,Precificação!$B$7:$BM$89,54,0)</f>
        <v>0</v>
      </c>
      <c r="BA94" s="144">
        <f>$AW94*$AX94*VLOOKUP(B94,Precificação!$B$7:$BR$89,58,0)</f>
        <v>0</v>
      </c>
      <c r="BB94" s="144">
        <f>$AW94*$AX94*VLOOKUP(B94,Precificação!$B$7:$BW$89,62,0)</f>
        <v>0</v>
      </c>
      <c r="BC94" s="144">
        <f t="shared" si="4"/>
        <v>0</v>
      </c>
      <c r="BD94" s="109">
        <f>IFERROR(VLOOKUP(B94,Precificação!$B$7:$S$89,13,0),0)</f>
        <v>0</v>
      </c>
      <c r="BE94" s="109">
        <f>IFERROR(VLOOKUP(B94,Precificação!$B$7:$U$89,15,0)/(Precificação!$U$4+Precificação!$U$91),0)*Dashboard!$T$3</f>
        <v>0</v>
      </c>
    </row>
    <row r="95" spans="2:57" ht="12" hidden="1" customHeight="1" outlineLevel="1">
      <c r="B95" s="137" t="str">
        <f>Precificação!B70</f>
        <v>Operador de Máquinas (Cat.A) - Apoio, Limpeza e Conservação</v>
      </c>
      <c r="D95" s="604" t="s">
        <v>526</v>
      </c>
      <c r="E95" s="143" t="str">
        <f>IF('Cronog. e Histog.'!F829&gt;0,'Cronog. e Histog.'!F829,"")</f>
        <v>Operador de Máquinas (Cat.A)</v>
      </c>
      <c r="G95" s="179">
        <f t="shared" si="5"/>
        <v>0</v>
      </c>
      <c r="H95" s="110"/>
      <c r="I95" s="78"/>
      <c r="J95" s="81">
        <f>IF(I95="horista",H95*Dashboard!$D$15,IF(OR(I95="Mensalista",I95="PJ"),H95,))</f>
        <v>0</v>
      </c>
      <c r="K95" s="81">
        <f>IF(I95="PJ",J95,ROUND(J95*(1+Dashboard!$D$22),2))</f>
        <v>0</v>
      </c>
      <c r="L95" s="77"/>
      <c r="M95" s="180"/>
      <c r="P95" s="109">
        <f>IF($BD95&gt;0,(((($BD95/Dashboard!$D$15)*(1+Precificação!$W$589)))+$P$26)*(1+Dashboard!$D$35),0)</f>
        <v>0</v>
      </c>
      <c r="Q95" s="109">
        <f>IF($BD95&gt;0,(((($BD95/Dashboard!$D$23)*(1+Precificação!$W$589))*(1+Q$28))+$P$26)*(1+Dashboard!$D$35),0)</f>
        <v>0</v>
      </c>
      <c r="R95" s="109">
        <f>IF($BD95&gt;0,(((($BD95/Dashboard!$D$23)*(1+Precificação!$W$589))*(1+R$28))+$P$26)*(1+Dashboard!$D$35),0)</f>
        <v>0</v>
      </c>
      <c r="S95" s="109">
        <f>IF($BD95&gt;0,(((($BD95/Dashboard!$D$23)*(1+Precificação!$W$589))*(1+S$28))+$P$26)*(1+Dashboard!$D$35),0)</f>
        <v>0</v>
      </c>
      <c r="AA95" s="109">
        <f>IF($BD95&gt;0,(((($BD95/Dashboard!$D$23)*(1+Precificação!$W$589)))+$AA$26)*(1+Dashboard!$D$35),0)</f>
        <v>0</v>
      </c>
      <c r="AB95" s="109">
        <f>IF($BD95&gt;0,(((($BD95/Dashboard!$D$23)*(1+Precificação!$W$589))*(1+AB$28))+$AA$26)*(1+Dashboard!$D$35),0)</f>
        <v>0</v>
      </c>
      <c r="AC95" s="109">
        <f>IF($BD95&gt;0,(((($BD95/Dashboard!$D$23)*(1+Precificação!$W$589))*(1+AC$28))+$AA$26)*(1+Dashboard!$D$35),0)</f>
        <v>0</v>
      </c>
      <c r="AD95" s="109">
        <f>IF($BD95&gt;0,(((($BD95/Dashboard!$D$23)*(1+Precificação!$W$589))*(1+AD$28))+$AA$26)*(1+Dashboard!$D$35),0)</f>
        <v>0</v>
      </c>
      <c r="AL95" s="109">
        <f>IF($BD95&gt;0,(((($BD95/Dashboard!$D$23)*(1+Precificação!$W$589)))+$AL$26)*(1+Dashboard!$D$35),0)</f>
        <v>0</v>
      </c>
      <c r="AM95" s="109">
        <f>IF($BD95&gt;0,(((($BD95/Dashboard!$D$23)*(1+Precificação!$W$589))*(1+AM$28))+$AA$26)*(1+Dashboard!$D$35),0)</f>
        <v>0</v>
      </c>
      <c r="AN95" s="109">
        <f>IF($BD95&gt;0,(((($BD95/Dashboard!$D$23)*(1+Precificação!$W$589))*(1+AN$28))+$AA$26)*(1+Dashboard!$D$35),0)</f>
        <v>0</v>
      </c>
      <c r="AO95" s="109">
        <f>IF($BD95&gt;0,(((($BD95/Dashboard!$D$23)*(1+Precificação!$W$589))*(1+AO$28))+$AA$26)*(1+Dashboard!$D$35),0)</f>
        <v>0</v>
      </c>
      <c r="AV95" s="179">
        <f t="shared" si="6"/>
        <v>0</v>
      </c>
      <c r="AW95" s="144">
        <f>VLOOKUP(B95,'Cronog. e Histog.'!$B$757:$H$849,7,0)</f>
        <v>0</v>
      </c>
      <c r="AX95" s="144">
        <f>VLOOKUP(B95,'Cronog. e Histog.'!$B$757:$I$849,8,0)</f>
        <v>0</v>
      </c>
      <c r="AY95" s="144">
        <f>$AW95*$AX95*Dashboard!$D$15</f>
        <v>0</v>
      </c>
      <c r="AZ95" s="144">
        <f>$AW95*$AX95*VLOOKUP(B95,Precificação!$B$7:$BM$89,54,0)</f>
        <v>0</v>
      </c>
      <c r="BA95" s="144">
        <f>$AW95*$AX95*VLOOKUP(B95,Precificação!$B$7:$BR$89,58,0)</f>
        <v>0</v>
      </c>
      <c r="BB95" s="144">
        <f>$AW95*$AX95*VLOOKUP(B95,Precificação!$B$7:$BW$89,62,0)</f>
        <v>0</v>
      </c>
      <c r="BC95" s="144">
        <f t="shared" si="4"/>
        <v>0</v>
      </c>
      <c r="BD95" s="109">
        <f>IFERROR(VLOOKUP(B95,Precificação!$B$7:$S$89,13,0),0)</f>
        <v>0</v>
      </c>
      <c r="BE95" s="109">
        <f>IFERROR(VLOOKUP(B95,Precificação!$B$7:$U$89,15,0)/(Precificação!$U$4+Precificação!$U$91),0)*Dashboard!$T$3</f>
        <v>0</v>
      </c>
    </row>
    <row r="96" spans="2:57" ht="12" hidden="1" customHeight="1" outlineLevel="1">
      <c r="B96" s="137" t="str">
        <f>Precificação!B71</f>
        <v>Operador de Máquinas (Cat.B) - Apoio, Limpeza e Conservação</v>
      </c>
      <c r="D96" s="605"/>
      <c r="E96" s="143" t="str">
        <f>IF('Cronog. e Histog.'!F830&gt;0,'Cronog. e Histog.'!F830,"")</f>
        <v>Operador de Máquinas (Cat.B)</v>
      </c>
      <c r="G96" s="179">
        <f t="shared" ref="G96:G114" si="7">IF(AND((AW96*AX96)&gt;0,K96=0),1,0)</f>
        <v>0</v>
      </c>
      <c r="H96" s="110"/>
      <c r="I96" s="78"/>
      <c r="J96" s="81">
        <f>IF(I96="horista",H96*Dashboard!$D$15,IF(OR(I96="Mensalista",I96="PJ"),H96,))</f>
        <v>0</v>
      </c>
      <c r="K96" s="81">
        <f>IF(I96="PJ",J96,ROUND(J96*(1+Dashboard!$D$22),2))</f>
        <v>0</v>
      </c>
      <c r="L96" s="77"/>
      <c r="M96" s="180"/>
      <c r="P96" s="109">
        <f>IF($BD96&gt;0,(((($BD96/Dashboard!$D$15)*(1+Precificação!$W$589)))+$P$26)*(1+Dashboard!$D$35),0)</f>
        <v>0</v>
      </c>
      <c r="Q96" s="109">
        <f>IF($BD96&gt;0,(((($BD96/Dashboard!$D$23)*(1+Precificação!$W$589))*(1+Q$28))+$P$26)*(1+Dashboard!$D$35),0)</f>
        <v>0</v>
      </c>
      <c r="R96" s="109">
        <f>IF($BD96&gt;0,(((($BD96/Dashboard!$D$23)*(1+Precificação!$W$589))*(1+R$28))+$P$26)*(1+Dashboard!$D$35),0)</f>
        <v>0</v>
      </c>
      <c r="S96" s="109">
        <f>IF($BD96&gt;0,(((($BD96/Dashboard!$D$23)*(1+Precificação!$W$589))*(1+S$28))+$P$26)*(1+Dashboard!$D$35),0)</f>
        <v>0</v>
      </c>
      <c r="AA96" s="109">
        <f>IF($BD96&gt;0,(((($BD96/Dashboard!$D$23)*(1+Precificação!$W$589)))+$AA$26)*(1+Dashboard!$D$35),0)</f>
        <v>0</v>
      </c>
      <c r="AB96" s="109">
        <f>IF($BD96&gt;0,(((($BD96/Dashboard!$D$23)*(1+Precificação!$W$589))*(1+AB$28))+$AA$26)*(1+Dashboard!$D$35),0)</f>
        <v>0</v>
      </c>
      <c r="AC96" s="109">
        <f>IF($BD96&gt;0,(((($BD96/Dashboard!$D$23)*(1+Precificação!$W$589))*(1+AC$28))+$AA$26)*(1+Dashboard!$D$35),0)</f>
        <v>0</v>
      </c>
      <c r="AD96" s="109">
        <f>IF($BD96&gt;0,(((($BD96/Dashboard!$D$23)*(1+Precificação!$W$589))*(1+AD$28))+$AA$26)*(1+Dashboard!$D$35),0)</f>
        <v>0</v>
      </c>
      <c r="AL96" s="109">
        <f>IF($BD96&gt;0,(((($BD96/Dashboard!$D$23)*(1+Precificação!$W$589)))+$AL$26)*(1+Dashboard!$D$35),0)</f>
        <v>0</v>
      </c>
      <c r="AM96" s="109">
        <f>IF($BD96&gt;0,(((($BD96/Dashboard!$D$23)*(1+Precificação!$W$589))*(1+AM$28))+$AA$26)*(1+Dashboard!$D$35),0)</f>
        <v>0</v>
      </c>
      <c r="AN96" s="109">
        <f>IF($BD96&gt;0,(((($BD96/Dashboard!$D$23)*(1+Precificação!$W$589))*(1+AN$28))+$AA$26)*(1+Dashboard!$D$35),0)</f>
        <v>0</v>
      </c>
      <c r="AO96" s="109">
        <f>IF($BD96&gt;0,(((($BD96/Dashboard!$D$23)*(1+Precificação!$W$589))*(1+AO$28))+$AA$26)*(1+Dashboard!$D$35),0)</f>
        <v>0</v>
      </c>
      <c r="AV96" s="179">
        <f t="shared" si="6"/>
        <v>0</v>
      </c>
      <c r="AW96" s="144">
        <f>VLOOKUP(B96,'Cronog. e Histog.'!$B$757:$H$849,7,0)</f>
        <v>0</v>
      </c>
      <c r="AX96" s="144">
        <f>VLOOKUP(B96,'Cronog. e Histog.'!$B$757:$I$849,8,0)</f>
        <v>0</v>
      </c>
      <c r="AY96" s="144">
        <f>$AW96*$AX96*Dashboard!$D$15</f>
        <v>0</v>
      </c>
      <c r="AZ96" s="144">
        <f>$AW96*$AX96*VLOOKUP(B96,Precificação!$B$7:$BM$89,54,0)</f>
        <v>0</v>
      </c>
      <c r="BA96" s="144">
        <f>$AW96*$AX96*VLOOKUP(B96,Precificação!$B$7:$BR$89,58,0)</f>
        <v>0</v>
      </c>
      <c r="BB96" s="144">
        <f>$AW96*$AX96*VLOOKUP(B96,Precificação!$B$7:$BW$89,62,0)</f>
        <v>0</v>
      </c>
      <c r="BC96" s="144">
        <f t="shared" si="4"/>
        <v>0</v>
      </c>
      <c r="BD96" s="109">
        <f>IFERROR(VLOOKUP(B96,Precificação!$B$7:$S$89,13,0),0)</f>
        <v>0</v>
      </c>
      <c r="BE96" s="109">
        <f>IFERROR(VLOOKUP(B96,Precificação!$B$7:$U$89,15,0)/(Precificação!$U$4+Precificação!$U$91),0)*Dashboard!$T$3</f>
        <v>0</v>
      </c>
    </row>
    <row r="97" spans="2:57" ht="12" hidden="1" customHeight="1" outlineLevel="1">
      <c r="B97" s="137" t="str">
        <f>Precificação!B72</f>
        <v>Técnico de Rigging - Apoio, Limpeza e Conservação</v>
      </c>
      <c r="D97" s="605"/>
      <c r="E97" s="143" t="str">
        <f>IF('Cronog. e Histog.'!F831&gt;0,'Cronog. e Histog.'!F831,"")</f>
        <v>Técnico de Rigging</v>
      </c>
      <c r="G97" s="179">
        <f t="shared" si="7"/>
        <v>0</v>
      </c>
      <c r="H97" s="110"/>
      <c r="I97" s="78"/>
      <c r="J97" s="81">
        <f>IF(I97="horista",H97*Dashboard!$D$15,IF(OR(I97="Mensalista",I97="PJ"),H97,))</f>
        <v>0</v>
      </c>
      <c r="K97" s="81">
        <f>IF(I97="PJ",J97,ROUND(J97*(1+Dashboard!$D$22),2))</f>
        <v>0</v>
      </c>
      <c r="L97" s="77"/>
      <c r="M97" s="180"/>
      <c r="P97" s="109">
        <f>IF($BD97&gt;0,(((($BD97/Dashboard!$D$15)*(1+Precificação!$W$589)))+$P$26)*(1+Dashboard!$D$35),0)</f>
        <v>0</v>
      </c>
      <c r="Q97" s="109">
        <f>IF($BD97&gt;0,(((($BD97/Dashboard!$D$23)*(1+Precificação!$W$589))*(1+Q$28))+$P$26)*(1+Dashboard!$D$35),0)</f>
        <v>0</v>
      </c>
      <c r="R97" s="109">
        <f>IF($BD97&gt;0,(((($BD97/Dashboard!$D$23)*(1+Precificação!$W$589))*(1+R$28))+$P$26)*(1+Dashboard!$D$35),0)</f>
        <v>0</v>
      </c>
      <c r="S97" s="109">
        <f>IF($BD97&gt;0,(((($BD97/Dashboard!$D$23)*(1+Precificação!$W$589))*(1+S$28))+$P$26)*(1+Dashboard!$D$35),0)</f>
        <v>0</v>
      </c>
      <c r="AA97" s="109">
        <f>IF($BD97&gt;0,(((($BD97/Dashboard!$D$23)*(1+Precificação!$W$589)))+$AA$26)*(1+Dashboard!$D$35),0)</f>
        <v>0</v>
      </c>
      <c r="AB97" s="109">
        <f>IF($BD97&gt;0,(((($BD97/Dashboard!$D$23)*(1+Precificação!$W$589))*(1+AB$28))+$AA$26)*(1+Dashboard!$D$35),0)</f>
        <v>0</v>
      </c>
      <c r="AC97" s="109">
        <f>IF($BD97&gt;0,(((($BD97/Dashboard!$D$23)*(1+Precificação!$W$589))*(1+AC$28))+$AA$26)*(1+Dashboard!$D$35),0)</f>
        <v>0</v>
      </c>
      <c r="AD97" s="109">
        <f>IF($BD97&gt;0,(((($BD97/Dashboard!$D$23)*(1+Precificação!$W$589))*(1+AD$28))+$AA$26)*(1+Dashboard!$D$35),0)</f>
        <v>0</v>
      </c>
      <c r="AL97" s="109">
        <f>IF($BD97&gt;0,(((($BD97/Dashboard!$D$23)*(1+Precificação!$W$589)))+$AL$26)*(1+Dashboard!$D$35),0)</f>
        <v>0</v>
      </c>
      <c r="AM97" s="109">
        <f>IF($BD97&gt;0,(((($BD97/Dashboard!$D$23)*(1+Precificação!$W$589))*(1+AM$28))+$AA$26)*(1+Dashboard!$D$35),0)</f>
        <v>0</v>
      </c>
      <c r="AN97" s="109">
        <f>IF($BD97&gt;0,(((($BD97/Dashboard!$D$23)*(1+Precificação!$W$589))*(1+AN$28))+$AA$26)*(1+Dashboard!$D$35),0)</f>
        <v>0</v>
      </c>
      <c r="AO97" s="109">
        <f>IF($BD97&gt;0,(((($BD97/Dashboard!$D$23)*(1+Precificação!$W$589))*(1+AO$28))+$AA$26)*(1+Dashboard!$D$35),0)</f>
        <v>0</v>
      </c>
      <c r="AV97" s="179">
        <f t="shared" ref="AV97:AV114" si="8">IF(AND((AW97*AX97)&gt;0,K97=0),1,0)</f>
        <v>0</v>
      </c>
      <c r="AW97" s="144">
        <f>VLOOKUP(B97,'Cronog. e Histog.'!$B$757:$H$849,7,0)</f>
        <v>0</v>
      </c>
      <c r="AX97" s="144">
        <f>VLOOKUP(B97,'Cronog. e Histog.'!$B$757:$I$849,8,0)</f>
        <v>0</v>
      </c>
      <c r="AY97" s="144">
        <f>$AW97*$AX97*Dashboard!$D$15</f>
        <v>0</v>
      </c>
      <c r="AZ97" s="144">
        <f>$AW97*$AX97*VLOOKUP(B97,Precificação!$B$7:$BM$89,54,0)</f>
        <v>0</v>
      </c>
      <c r="BA97" s="144">
        <f>$AW97*$AX97*VLOOKUP(B97,Precificação!$B$7:$BR$89,58,0)</f>
        <v>0</v>
      </c>
      <c r="BB97" s="144">
        <f>$AW97*$AX97*VLOOKUP(B97,Precificação!$B$7:$BW$89,62,0)</f>
        <v>0</v>
      </c>
      <c r="BC97" s="144">
        <f t="shared" ref="BC97:BC114" si="9">SUM(AY97:BB97)</f>
        <v>0</v>
      </c>
      <c r="BD97" s="109">
        <f>IFERROR(VLOOKUP(B97,Precificação!$B$7:$S$89,13,0),0)</f>
        <v>0</v>
      </c>
      <c r="BE97" s="109">
        <f>IFERROR(VLOOKUP(B97,Precificação!$B$7:$U$89,15,0)/(Precificação!$U$4+Precificação!$U$91),0)*Dashboard!$T$3</f>
        <v>0</v>
      </c>
    </row>
    <row r="98" spans="2:57" ht="12" hidden="1" customHeight="1" outlineLevel="1">
      <c r="B98" s="137" t="str">
        <f>Precificação!B73</f>
        <v>Auxiliar de Rigging - Apoio, Limpeza e Conservação</v>
      </c>
      <c r="D98" s="605"/>
      <c r="E98" s="143" t="str">
        <f>IF('Cronog. e Histog.'!F832&gt;0,'Cronog. e Histog.'!F832,"")</f>
        <v>Auxiliar de Rigging</v>
      </c>
      <c r="G98" s="179">
        <f t="shared" si="7"/>
        <v>0</v>
      </c>
      <c r="H98" s="110"/>
      <c r="I98" s="78"/>
      <c r="J98" s="81">
        <f>IF(I98="horista",H98*Dashboard!$D$15,IF(OR(I98="Mensalista",I98="PJ"),H98,))</f>
        <v>0</v>
      </c>
      <c r="K98" s="81">
        <f>IF(I98="PJ",J98,ROUND(J98*(1+Dashboard!$D$22),2))</f>
        <v>0</v>
      </c>
      <c r="L98" s="77"/>
      <c r="M98" s="180"/>
      <c r="P98" s="109">
        <f>IF($BD98&gt;0,(((($BD98/Dashboard!$D$15)*(1+Precificação!$W$589)))+$P$26)*(1+Dashboard!$D$35),0)</f>
        <v>0</v>
      </c>
      <c r="Q98" s="109">
        <f>IF($BD98&gt;0,(((($BD98/Dashboard!$D$23)*(1+Precificação!$W$589))*(1+Q$28))+$P$26)*(1+Dashboard!$D$35),0)</f>
        <v>0</v>
      </c>
      <c r="R98" s="109">
        <f>IF($BD98&gt;0,(((($BD98/Dashboard!$D$23)*(1+Precificação!$W$589))*(1+R$28))+$P$26)*(1+Dashboard!$D$35),0)</f>
        <v>0</v>
      </c>
      <c r="S98" s="109">
        <f>IF($BD98&gt;0,(((($BD98/Dashboard!$D$23)*(1+Precificação!$W$589))*(1+S$28))+$P$26)*(1+Dashboard!$D$35),0)</f>
        <v>0</v>
      </c>
      <c r="AA98" s="109">
        <f>IF($BD98&gt;0,(((($BD98/Dashboard!$D$23)*(1+Precificação!$W$589)))+$AA$26)*(1+Dashboard!$D$35),0)</f>
        <v>0</v>
      </c>
      <c r="AB98" s="109">
        <f>IF($BD98&gt;0,(((($BD98/Dashboard!$D$23)*(1+Precificação!$W$589))*(1+AB$28))+$AA$26)*(1+Dashboard!$D$35),0)</f>
        <v>0</v>
      </c>
      <c r="AC98" s="109">
        <f>IF($BD98&gt;0,(((($BD98/Dashboard!$D$23)*(1+Precificação!$W$589))*(1+AC$28))+$AA$26)*(1+Dashboard!$D$35),0)</f>
        <v>0</v>
      </c>
      <c r="AD98" s="109">
        <f>IF($BD98&gt;0,(((($BD98/Dashboard!$D$23)*(1+Precificação!$W$589))*(1+AD$28))+$AA$26)*(1+Dashboard!$D$35),0)</f>
        <v>0</v>
      </c>
      <c r="AL98" s="109">
        <f>IF($BD98&gt;0,(((($BD98/Dashboard!$D$23)*(1+Precificação!$W$589)))+$AL$26)*(1+Dashboard!$D$35),0)</f>
        <v>0</v>
      </c>
      <c r="AM98" s="109">
        <f>IF($BD98&gt;0,(((($BD98/Dashboard!$D$23)*(1+Precificação!$W$589))*(1+AM$28))+$AA$26)*(1+Dashboard!$D$35),0)</f>
        <v>0</v>
      </c>
      <c r="AN98" s="109">
        <f>IF($BD98&gt;0,(((($BD98/Dashboard!$D$23)*(1+Precificação!$W$589))*(1+AN$28))+$AA$26)*(1+Dashboard!$D$35),0)</f>
        <v>0</v>
      </c>
      <c r="AO98" s="109">
        <f>IF($BD98&gt;0,(((($BD98/Dashboard!$D$23)*(1+Precificação!$W$589))*(1+AO$28))+$AA$26)*(1+Dashboard!$D$35),0)</f>
        <v>0</v>
      </c>
      <c r="AV98" s="179">
        <f t="shared" si="8"/>
        <v>0</v>
      </c>
      <c r="AW98" s="144">
        <f>VLOOKUP(B98,'Cronog. e Histog.'!$B$757:$H$849,7,0)</f>
        <v>0</v>
      </c>
      <c r="AX98" s="144">
        <f>VLOOKUP(B98,'Cronog. e Histog.'!$B$757:$I$849,8,0)</f>
        <v>0</v>
      </c>
      <c r="AY98" s="144">
        <f>$AW98*$AX98*Dashboard!$D$15</f>
        <v>0</v>
      </c>
      <c r="AZ98" s="144">
        <f>$AW98*$AX98*VLOOKUP(B98,Precificação!$B$7:$BM$89,54,0)</f>
        <v>0</v>
      </c>
      <c r="BA98" s="144">
        <f>$AW98*$AX98*VLOOKUP(B98,Precificação!$B$7:$BR$89,58,0)</f>
        <v>0</v>
      </c>
      <c r="BB98" s="144">
        <f>$AW98*$AX98*VLOOKUP(B98,Precificação!$B$7:$BW$89,62,0)</f>
        <v>0</v>
      </c>
      <c r="BC98" s="144">
        <f t="shared" si="9"/>
        <v>0</v>
      </c>
      <c r="BD98" s="109">
        <f>IFERROR(VLOOKUP(B98,Precificação!$B$7:$S$89,13,0),0)</f>
        <v>0</v>
      </c>
      <c r="BE98" s="109">
        <f>IFERROR(VLOOKUP(B98,Precificação!$B$7:$U$89,15,0)/(Precificação!$U$4+Precificação!$U$91),0)*Dashboard!$T$3</f>
        <v>0</v>
      </c>
    </row>
    <row r="99" spans="2:57" ht="12" hidden="1" customHeight="1" outlineLevel="1">
      <c r="B99" s="137" t="str">
        <f>Precificação!B74</f>
        <v>Operador de Empilhadeira - Apoio, Limpeza e Conservação</v>
      </c>
      <c r="D99" s="605"/>
      <c r="E99" s="143" t="str">
        <f>IF('Cronog. e Histog.'!F833&gt;0,'Cronog. e Histog.'!F833,"")</f>
        <v>Operador de Empilhadeira</v>
      </c>
      <c r="G99" s="179">
        <f t="shared" si="7"/>
        <v>0</v>
      </c>
      <c r="H99" s="110"/>
      <c r="I99" s="78"/>
      <c r="J99" s="81">
        <f>IF(I99="horista",H99*Dashboard!$D$15,IF(OR(I99="Mensalista",I99="PJ"),H99,))</f>
        <v>0</v>
      </c>
      <c r="K99" s="81">
        <f>IF(I99="PJ",J99,ROUND(J99*(1+Dashboard!$D$22),2))</f>
        <v>0</v>
      </c>
      <c r="L99" s="77"/>
      <c r="M99" s="180"/>
      <c r="P99" s="109">
        <f>IF($BD99&gt;0,(((($BD99/Dashboard!$D$15)*(1+Precificação!$W$589)))+$P$26)*(1+Dashboard!$D$35),0)</f>
        <v>0</v>
      </c>
      <c r="Q99" s="109">
        <f>IF($BD99&gt;0,(((($BD99/Dashboard!$D$23)*(1+Precificação!$W$589))*(1+Q$28))+$P$26)*(1+Dashboard!$D$35),0)</f>
        <v>0</v>
      </c>
      <c r="R99" s="109">
        <f>IF($BD99&gt;0,(((($BD99/Dashboard!$D$23)*(1+Precificação!$W$589))*(1+R$28))+$P$26)*(1+Dashboard!$D$35),0)</f>
        <v>0</v>
      </c>
      <c r="S99" s="109">
        <f>IF($BD99&gt;0,(((($BD99/Dashboard!$D$23)*(1+Precificação!$W$589))*(1+S$28))+$P$26)*(1+Dashboard!$D$35),0)</f>
        <v>0</v>
      </c>
      <c r="AA99" s="109">
        <f>IF($BD99&gt;0,(((($BD99/Dashboard!$D$23)*(1+Precificação!$W$589)))+$AA$26)*(1+Dashboard!$D$35),0)</f>
        <v>0</v>
      </c>
      <c r="AB99" s="109">
        <f>IF($BD99&gt;0,(((($BD99/Dashboard!$D$23)*(1+Precificação!$W$589))*(1+AB$28))+$AA$26)*(1+Dashboard!$D$35),0)</f>
        <v>0</v>
      </c>
      <c r="AC99" s="109">
        <f>IF($BD99&gt;0,(((($BD99/Dashboard!$D$23)*(1+Precificação!$W$589))*(1+AC$28))+$AA$26)*(1+Dashboard!$D$35),0)</f>
        <v>0</v>
      </c>
      <c r="AD99" s="109">
        <f>IF($BD99&gt;0,(((($BD99/Dashboard!$D$23)*(1+Precificação!$W$589))*(1+AD$28))+$AA$26)*(1+Dashboard!$D$35),0)</f>
        <v>0</v>
      </c>
      <c r="AL99" s="109">
        <f>IF($BD99&gt;0,(((($BD99/Dashboard!$D$23)*(1+Precificação!$W$589)))+$AL$26)*(1+Dashboard!$D$35),0)</f>
        <v>0</v>
      </c>
      <c r="AM99" s="109">
        <f>IF($BD99&gt;0,(((($BD99/Dashboard!$D$23)*(1+Precificação!$W$589))*(1+AM$28))+$AA$26)*(1+Dashboard!$D$35),0)</f>
        <v>0</v>
      </c>
      <c r="AN99" s="109">
        <f>IF($BD99&gt;0,(((($BD99/Dashboard!$D$23)*(1+Precificação!$W$589))*(1+AN$28))+$AA$26)*(1+Dashboard!$D$35),0)</f>
        <v>0</v>
      </c>
      <c r="AO99" s="109">
        <f>IF($BD99&gt;0,(((($BD99/Dashboard!$D$23)*(1+Precificação!$W$589))*(1+AO$28))+$AA$26)*(1+Dashboard!$D$35),0)</f>
        <v>0</v>
      </c>
      <c r="AV99" s="179">
        <f t="shared" si="8"/>
        <v>0</v>
      </c>
      <c r="AW99" s="144">
        <f>VLOOKUP(B99,'Cronog. e Histog.'!$B$757:$H$849,7,0)</f>
        <v>0</v>
      </c>
      <c r="AX99" s="144">
        <f>VLOOKUP(B99,'Cronog. e Histog.'!$B$757:$I$849,8,0)</f>
        <v>0</v>
      </c>
      <c r="AY99" s="144">
        <f>$AW99*$AX99*Dashboard!$D$15</f>
        <v>0</v>
      </c>
      <c r="AZ99" s="144">
        <f>$AW99*$AX99*VLOOKUP(B99,Precificação!$B$7:$BM$89,54,0)</f>
        <v>0</v>
      </c>
      <c r="BA99" s="144">
        <f>$AW99*$AX99*VLOOKUP(B99,Precificação!$B$7:$BR$89,58,0)</f>
        <v>0</v>
      </c>
      <c r="BB99" s="144">
        <f>$AW99*$AX99*VLOOKUP(B99,Precificação!$B$7:$BW$89,62,0)</f>
        <v>0</v>
      </c>
      <c r="BC99" s="144">
        <f t="shared" si="9"/>
        <v>0</v>
      </c>
      <c r="BD99" s="109">
        <f>IFERROR(VLOOKUP(B99,Precificação!$B$7:$S$89,13,0),0)</f>
        <v>0</v>
      </c>
      <c r="BE99" s="109">
        <f>IFERROR(VLOOKUP(B99,Precificação!$B$7:$U$89,15,0)/(Precificação!$U$4+Precificação!$U$91),0)*Dashboard!$T$3</f>
        <v>0</v>
      </c>
    </row>
    <row r="100" spans="2:57" ht="12" hidden="1" customHeight="1" outlineLevel="1">
      <c r="B100" s="137" t="str">
        <f>Precificação!B75</f>
        <v>Operador de Caminhão Munck - Apoio, Limpeza e Conservação</v>
      </c>
      <c r="D100" s="605"/>
      <c r="E100" s="143" t="str">
        <f>IF('Cronog. e Histog.'!F834&gt;0,'Cronog. e Histog.'!F834,"")</f>
        <v>Operador de Caminhão Munck</v>
      </c>
      <c r="G100" s="179">
        <f t="shared" si="7"/>
        <v>0</v>
      </c>
      <c r="H100" s="110"/>
      <c r="I100" s="78"/>
      <c r="J100" s="81">
        <f>IF(I100="horista",H100*Dashboard!$D$15,IF(OR(I100="Mensalista",I100="PJ"),H100,))</f>
        <v>0</v>
      </c>
      <c r="K100" s="81">
        <f>IF(I100="PJ",J100,ROUND(J100*(1+Dashboard!$D$22),2))</f>
        <v>0</v>
      </c>
      <c r="L100" s="77"/>
      <c r="M100" s="180"/>
      <c r="P100" s="109">
        <f>IF($BD100&gt;0,(((($BD100/Dashboard!$D$15)*(1+Precificação!$W$589)))+$P$26)*(1+Dashboard!$D$35),0)</f>
        <v>0</v>
      </c>
      <c r="Q100" s="109">
        <f>IF($BD100&gt;0,(((($BD100/Dashboard!$D$23)*(1+Precificação!$W$589))*(1+Q$28))+$P$26)*(1+Dashboard!$D$35),0)</f>
        <v>0</v>
      </c>
      <c r="R100" s="109">
        <f>IF($BD100&gt;0,(((($BD100/Dashboard!$D$23)*(1+Precificação!$W$589))*(1+R$28))+$P$26)*(1+Dashboard!$D$35),0)</f>
        <v>0</v>
      </c>
      <c r="S100" s="109">
        <f>IF($BD100&gt;0,(((($BD100/Dashboard!$D$23)*(1+Precificação!$W$589))*(1+S$28))+$P$26)*(1+Dashboard!$D$35),0)</f>
        <v>0</v>
      </c>
      <c r="AA100" s="109">
        <f>IF($BD100&gt;0,(((($BD100/Dashboard!$D$23)*(1+Precificação!$W$589)))+$AA$26)*(1+Dashboard!$D$35),0)</f>
        <v>0</v>
      </c>
      <c r="AB100" s="109">
        <f>IF($BD100&gt;0,(((($BD100/Dashboard!$D$23)*(1+Precificação!$W$589))*(1+AB$28))+$AA$26)*(1+Dashboard!$D$35),0)</f>
        <v>0</v>
      </c>
      <c r="AC100" s="109">
        <f>IF($BD100&gt;0,(((($BD100/Dashboard!$D$23)*(1+Precificação!$W$589))*(1+AC$28))+$AA$26)*(1+Dashboard!$D$35),0)</f>
        <v>0</v>
      </c>
      <c r="AD100" s="109">
        <f>IF($BD100&gt;0,(((($BD100/Dashboard!$D$23)*(1+Precificação!$W$589))*(1+AD$28))+$AA$26)*(1+Dashboard!$D$35),0)</f>
        <v>0</v>
      </c>
      <c r="AL100" s="109">
        <f>IF($BD100&gt;0,(((($BD100/Dashboard!$D$23)*(1+Precificação!$W$589)))+$AL$26)*(1+Dashboard!$D$35),0)</f>
        <v>0</v>
      </c>
      <c r="AM100" s="109">
        <f>IF($BD100&gt;0,(((($BD100/Dashboard!$D$23)*(1+Precificação!$W$589))*(1+AM$28))+$AA$26)*(1+Dashboard!$D$35),0)</f>
        <v>0</v>
      </c>
      <c r="AN100" s="109">
        <f>IF($BD100&gt;0,(((($BD100/Dashboard!$D$23)*(1+Precificação!$W$589))*(1+AN$28))+$AA$26)*(1+Dashboard!$D$35),0)</f>
        <v>0</v>
      </c>
      <c r="AO100" s="109">
        <f>IF($BD100&gt;0,(((($BD100/Dashboard!$D$23)*(1+Precificação!$W$589))*(1+AO$28))+$AA$26)*(1+Dashboard!$D$35),0)</f>
        <v>0</v>
      </c>
      <c r="AV100" s="179">
        <f t="shared" si="8"/>
        <v>0</v>
      </c>
      <c r="AW100" s="144">
        <f>VLOOKUP(B100,'Cronog. e Histog.'!$B$757:$H$849,7,0)</f>
        <v>0</v>
      </c>
      <c r="AX100" s="144">
        <f>VLOOKUP(B100,'Cronog. e Histog.'!$B$757:$I$849,8,0)</f>
        <v>0</v>
      </c>
      <c r="AY100" s="144">
        <f>$AW100*$AX100*Dashboard!$D$15</f>
        <v>0</v>
      </c>
      <c r="AZ100" s="144">
        <f>$AW100*$AX100*VLOOKUP(B100,Precificação!$B$7:$BM$89,54,0)</f>
        <v>0</v>
      </c>
      <c r="BA100" s="144">
        <f>$AW100*$AX100*VLOOKUP(B100,Precificação!$B$7:$BR$89,58,0)</f>
        <v>0</v>
      </c>
      <c r="BB100" s="144">
        <f>$AW100*$AX100*VLOOKUP(B100,Precificação!$B$7:$BW$89,62,0)</f>
        <v>0</v>
      </c>
      <c r="BC100" s="144">
        <f t="shared" si="9"/>
        <v>0</v>
      </c>
      <c r="BD100" s="109">
        <f>IFERROR(VLOOKUP(B100,Precificação!$B$7:$S$89,13,0),0)</f>
        <v>0</v>
      </c>
      <c r="BE100" s="109">
        <f>IFERROR(VLOOKUP(B100,Precificação!$B$7:$U$89,15,0)/(Precificação!$U$4+Precificação!$U$91),0)*Dashboard!$T$3</f>
        <v>0</v>
      </c>
    </row>
    <row r="101" spans="2:57" ht="12" hidden="1" customHeight="1" outlineLevel="1">
      <c r="B101" s="137" t="str">
        <f>Precificação!B76</f>
        <v>Motorista (AB) - Apoio, Limpeza e Conservação</v>
      </c>
      <c r="D101" s="605"/>
      <c r="E101" s="143" t="str">
        <f>IF('Cronog. e Histog.'!F835&gt;0,'Cronog. e Histog.'!F835,"")</f>
        <v>Motorista (AB)</v>
      </c>
      <c r="G101" s="179">
        <f t="shared" si="7"/>
        <v>0</v>
      </c>
      <c r="H101" s="110"/>
      <c r="I101" s="78"/>
      <c r="J101" s="81">
        <f>IF(I101="horista",H101*Dashboard!$D$15,IF(OR(I101="Mensalista",I101="PJ"),H101,))</f>
        <v>0</v>
      </c>
      <c r="K101" s="81">
        <f>IF(I101="PJ",J101,ROUND(J101*(1+Dashboard!$D$22),2))</f>
        <v>0</v>
      </c>
      <c r="L101" s="77"/>
      <c r="M101" s="180"/>
      <c r="P101" s="109">
        <f>IF($BD101&gt;0,(((($BD101/Dashboard!$D$15)*(1+Precificação!$W$589)))+$P$26)*(1+Dashboard!$D$35),0)</f>
        <v>0</v>
      </c>
      <c r="Q101" s="109">
        <f>IF($BD101&gt;0,(((($BD101/Dashboard!$D$23)*(1+Precificação!$W$589))*(1+Q$28))+$P$26)*(1+Dashboard!$D$35),0)</f>
        <v>0</v>
      </c>
      <c r="R101" s="109">
        <f>IF($BD101&gt;0,(((($BD101/Dashboard!$D$23)*(1+Precificação!$W$589))*(1+R$28))+$P$26)*(1+Dashboard!$D$35),0)</f>
        <v>0</v>
      </c>
      <c r="S101" s="109">
        <f>IF($BD101&gt;0,(((($BD101/Dashboard!$D$23)*(1+Precificação!$W$589))*(1+S$28))+$P$26)*(1+Dashboard!$D$35),0)</f>
        <v>0</v>
      </c>
      <c r="AA101" s="109">
        <f>IF($BD101&gt;0,(((($BD101/Dashboard!$D$23)*(1+Precificação!$W$589)))+$AA$26)*(1+Dashboard!$D$35),0)</f>
        <v>0</v>
      </c>
      <c r="AB101" s="109">
        <f>IF($BD101&gt;0,(((($BD101/Dashboard!$D$23)*(1+Precificação!$W$589))*(1+AB$28))+$AA$26)*(1+Dashboard!$D$35),0)</f>
        <v>0</v>
      </c>
      <c r="AC101" s="109">
        <f>IF($BD101&gt;0,(((($BD101/Dashboard!$D$23)*(1+Precificação!$W$589))*(1+AC$28))+$AA$26)*(1+Dashboard!$D$35),0)</f>
        <v>0</v>
      </c>
      <c r="AD101" s="109">
        <f>IF($BD101&gt;0,(((($BD101/Dashboard!$D$23)*(1+Precificação!$W$589))*(1+AD$28))+$AA$26)*(1+Dashboard!$D$35),0)</f>
        <v>0</v>
      </c>
      <c r="AL101" s="109">
        <f>IF($BD101&gt;0,(((($BD101/Dashboard!$D$23)*(1+Precificação!$W$589)))+$AL$26)*(1+Dashboard!$D$35),0)</f>
        <v>0</v>
      </c>
      <c r="AM101" s="109">
        <f>IF($BD101&gt;0,(((($BD101/Dashboard!$D$23)*(1+Precificação!$W$589))*(1+AM$28))+$AA$26)*(1+Dashboard!$D$35),0)</f>
        <v>0</v>
      </c>
      <c r="AN101" s="109">
        <f>IF($BD101&gt;0,(((($BD101/Dashboard!$D$23)*(1+Precificação!$W$589))*(1+AN$28))+$AA$26)*(1+Dashboard!$D$35),0)</f>
        <v>0</v>
      </c>
      <c r="AO101" s="109">
        <f>IF($BD101&gt;0,(((($BD101/Dashboard!$D$23)*(1+Precificação!$W$589))*(1+AO$28))+$AA$26)*(1+Dashboard!$D$35),0)</f>
        <v>0</v>
      </c>
      <c r="AV101" s="179">
        <f t="shared" si="8"/>
        <v>0</v>
      </c>
      <c r="AW101" s="144">
        <f>VLOOKUP(B101,'Cronog. e Histog.'!$B$757:$H$849,7,0)</f>
        <v>0</v>
      </c>
      <c r="AX101" s="144">
        <f>VLOOKUP(B101,'Cronog. e Histog.'!$B$757:$I$849,8,0)</f>
        <v>0</v>
      </c>
      <c r="AY101" s="144">
        <f>$AW101*$AX101*Dashboard!$D$15</f>
        <v>0</v>
      </c>
      <c r="AZ101" s="144">
        <f>$AW101*$AX101*VLOOKUP(B101,Precificação!$B$7:$BM$89,54,0)</f>
        <v>0</v>
      </c>
      <c r="BA101" s="144">
        <f>$AW101*$AX101*VLOOKUP(B101,Precificação!$B$7:$BR$89,58,0)</f>
        <v>0</v>
      </c>
      <c r="BB101" s="144">
        <f>$AW101*$AX101*VLOOKUP(B101,Precificação!$B$7:$BW$89,62,0)</f>
        <v>0</v>
      </c>
      <c r="BC101" s="144">
        <f t="shared" si="9"/>
        <v>0</v>
      </c>
      <c r="BD101" s="109">
        <f>IFERROR(VLOOKUP(B101,Precificação!$B$7:$S$89,13,0),0)</f>
        <v>0</v>
      </c>
      <c r="BE101" s="109">
        <f>IFERROR(VLOOKUP(B101,Precificação!$B$7:$U$89,15,0)/(Precificação!$U$4+Precificação!$U$91),0)*Dashboard!$T$3</f>
        <v>0</v>
      </c>
    </row>
    <row r="102" spans="2:57" ht="12" hidden="1" customHeight="1" outlineLevel="1">
      <c r="B102" s="137" t="str">
        <f>Precificação!B77</f>
        <v>Motorista (C, D ou E) - Apoio, Limpeza e Conservação</v>
      </c>
      <c r="D102" s="605"/>
      <c r="E102" s="143" t="str">
        <f>IF('Cronog. e Histog.'!F836&gt;0,'Cronog. e Histog.'!F836,"")</f>
        <v>Motorista (C, D ou E)</v>
      </c>
      <c r="G102" s="179">
        <f t="shared" si="7"/>
        <v>0</v>
      </c>
      <c r="H102" s="110"/>
      <c r="I102" s="78"/>
      <c r="J102" s="81">
        <f>IF(I102="horista",H102*Dashboard!$D$15,IF(OR(I102="Mensalista",I102="PJ"),H102,))</f>
        <v>0</v>
      </c>
      <c r="K102" s="81">
        <f>IF(I102="PJ",J102,ROUND(J102*(1+Dashboard!$D$22),2))</f>
        <v>0</v>
      </c>
      <c r="L102" s="77"/>
      <c r="M102" s="180"/>
      <c r="P102" s="109">
        <f>IF($BD102&gt;0,(((($BD102/Dashboard!$D$15)*(1+Precificação!$W$589)))+$P$26)*(1+Dashboard!$D$35),0)</f>
        <v>0</v>
      </c>
      <c r="Q102" s="109">
        <f>IF($BD102&gt;0,(((($BD102/Dashboard!$D$23)*(1+Precificação!$W$589))*(1+Q$28))+$P$26)*(1+Dashboard!$D$35),0)</f>
        <v>0</v>
      </c>
      <c r="R102" s="109">
        <f>IF($BD102&gt;0,(((($BD102/Dashboard!$D$23)*(1+Precificação!$W$589))*(1+R$28))+$P$26)*(1+Dashboard!$D$35),0)</f>
        <v>0</v>
      </c>
      <c r="S102" s="109">
        <f>IF($BD102&gt;0,(((($BD102/Dashboard!$D$23)*(1+Precificação!$W$589))*(1+S$28))+$P$26)*(1+Dashboard!$D$35),0)</f>
        <v>0</v>
      </c>
      <c r="AA102" s="109">
        <f>IF($BD102&gt;0,(((($BD102/Dashboard!$D$23)*(1+Precificação!$W$589)))+$AA$26)*(1+Dashboard!$D$35),0)</f>
        <v>0</v>
      </c>
      <c r="AB102" s="109">
        <f>IF($BD102&gt;0,(((($BD102/Dashboard!$D$23)*(1+Precificação!$W$589))*(1+AB$28))+$AA$26)*(1+Dashboard!$D$35),0)</f>
        <v>0</v>
      </c>
      <c r="AC102" s="109">
        <f>IF($BD102&gt;0,(((($BD102/Dashboard!$D$23)*(1+Precificação!$W$589))*(1+AC$28))+$AA$26)*(1+Dashboard!$D$35),0)</f>
        <v>0</v>
      </c>
      <c r="AD102" s="109">
        <f>IF($BD102&gt;0,(((($BD102/Dashboard!$D$23)*(1+Precificação!$W$589))*(1+AD$28))+$AA$26)*(1+Dashboard!$D$35),0)</f>
        <v>0</v>
      </c>
      <c r="AL102" s="109">
        <f>IF($BD102&gt;0,(((($BD102/Dashboard!$D$23)*(1+Precificação!$W$589)))+$AL$26)*(1+Dashboard!$D$35),0)</f>
        <v>0</v>
      </c>
      <c r="AM102" s="109">
        <f>IF($BD102&gt;0,(((($BD102/Dashboard!$D$23)*(1+Precificação!$W$589))*(1+AM$28))+$AA$26)*(1+Dashboard!$D$35),0)</f>
        <v>0</v>
      </c>
      <c r="AN102" s="109">
        <f>IF($BD102&gt;0,(((($BD102/Dashboard!$D$23)*(1+Precificação!$W$589))*(1+AN$28))+$AA$26)*(1+Dashboard!$D$35),0)</f>
        <v>0</v>
      </c>
      <c r="AO102" s="109">
        <f>IF($BD102&gt;0,(((($BD102/Dashboard!$D$23)*(1+Precificação!$W$589))*(1+AO$28))+$AA$26)*(1+Dashboard!$D$35),0)</f>
        <v>0</v>
      </c>
      <c r="AV102" s="179">
        <f t="shared" si="8"/>
        <v>0</v>
      </c>
      <c r="AW102" s="144">
        <f>VLOOKUP(B102,'Cronog. e Histog.'!$B$757:$H$849,7,0)</f>
        <v>0</v>
      </c>
      <c r="AX102" s="144">
        <f>VLOOKUP(B102,'Cronog. e Histog.'!$B$757:$I$849,8,0)</f>
        <v>0</v>
      </c>
      <c r="AY102" s="144">
        <f>$AW102*$AX102*Dashboard!$D$15</f>
        <v>0</v>
      </c>
      <c r="AZ102" s="144">
        <f>$AW102*$AX102*VLOOKUP(B102,Precificação!$B$7:$BM$89,54,0)</f>
        <v>0</v>
      </c>
      <c r="BA102" s="144">
        <f>$AW102*$AX102*VLOOKUP(B102,Precificação!$B$7:$BR$89,58,0)</f>
        <v>0</v>
      </c>
      <c r="BB102" s="144">
        <f>$AW102*$AX102*VLOOKUP(B102,Precificação!$B$7:$BW$89,62,0)</f>
        <v>0</v>
      </c>
      <c r="BC102" s="144">
        <f t="shared" si="9"/>
        <v>0</v>
      </c>
      <c r="BD102" s="109">
        <f>IFERROR(VLOOKUP(B102,Precificação!$B$7:$S$89,13,0),0)</f>
        <v>0</v>
      </c>
      <c r="BE102" s="109">
        <f>IFERROR(VLOOKUP(B102,Precificação!$B$7:$U$89,15,0)/(Precificação!$U$4+Precificação!$U$91),0)*Dashboard!$T$3</f>
        <v>0</v>
      </c>
    </row>
    <row r="103" spans="2:57" ht="12" hidden="1" customHeight="1" outlineLevel="1">
      <c r="B103" s="137" t="str">
        <f>Precificação!B78</f>
        <v>Auxiliar de Serviços Gerais - Apoio, Limpeza e Conservação</v>
      </c>
      <c r="D103" s="605"/>
      <c r="E103" s="143" t="str">
        <f>IF('Cronog. e Histog.'!F837&gt;0,'Cronog. e Histog.'!F837,"")</f>
        <v>Auxiliar de Serviços Gerais</v>
      </c>
      <c r="G103" s="179">
        <f t="shared" si="7"/>
        <v>0</v>
      </c>
      <c r="H103" s="110"/>
      <c r="I103" s="78"/>
      <c r="J103" s="81">
        <f>IF(I103="horista",H103*Dashboard!$D$15,IF(OR(I103="Mensalista",I103="PJ"),H103,))</f>
        <v>0</v>
      </c>
      <c r="K103" s="81">
        <f>IF(I103="PJ",J103,ROUND(J103*(1+Dashboard!$D$22),2))</f>
        <v>0</v>
      </c>
      <c r="L103" s="77"/>
      <c r="M103" s="180"/>
      <c r="P103" s="109">
        <f>IF($BD103&gt;0,(((($BD103/Dashboard!$D$15)*(1+Precificação!$W$589)))+$P$26)*(1+Dashboard!$D$35),0)</f>
        <v>0</v>
      </c>
      <c r="Q103" s="109">
        <f>IF($BD103&gt;0,(((($BD103/Dashboard!$D$23)*(1+Precificação!$W$589))*(1+Q$28))+$P$26)*(1+Dashboard!$D$35),0)</f>
        <v>0</v>
      </c>
      <c r="R103" s="109">
        <f>IF($BD103&gt;0,(((($BD103/Dashboard!$D$23)*(1+Precificação!$W$589))*(1+R$28))+$P$26)*(1+Dashboard!$D$35),0)</f>
        <v>0</v>
      </c>
      <c r="S103" s="109">
        <f>IF($BD103&gt;0,(((($BD103/Dashboard!$D$23)*(1+Precificação!$W$589))*(1+S$28))+$P$26)*(1+Dashboard!$D$35),0)</f>
        <v>0</v>
      </c>
      <c r="AA103" s="109">
        <f>IF($BD103&gt;0,(((($BD103/Dashboard!$D$23)*(1+Precificação!$W$589)))+$AA$26)*(1+Dashboard!$D$35),0)</f>
        <v>0</v>
      </c>
      <c r="AB103" s="109">
        <f>IF($BD103&gt;0,(((($BD103/Dashboard!$D$23)*(1+Precificação!$W$589))*(1+AB$28))+$AA$26)*(1+Dashboard!$D$35),0)</f>
        <v>0</v>
      </c>
      <c r="AC103" s="109">
        <f>IF($BD103&gt;0,(((($BD103/Dashboard!$D$23)*(1+Precificação!$W$589))*(1+AC$28))+$AA$26)*(1+Dashboard!$D$35),0)</f>
        <v>0</v>
      </c>
      <c r="AD103" s="109">
        <f>IF($BD103&gt;0,(((($BD103/Dashboard!$D$23)*(1+Precificação!$W$589))*(1+AD$28))+$AA$26)*(1+Dashboard!$D$35),0)</f>
        <v>0</v>
      </c>
      <c r="AL103" s="109">
        <f>IF($BD103&gt;0,(((($BD103/Dashboard!$D$23)*(1+Precificação!$W$589)))+$AL$26)*(1+Dashboard!$D$35),0)</f>
        <v>0</v>
      </c>
      <c r="AM103" s="109">
        <f>IF($BD103&gt;0,(((($BD103/Dashboard!$D$23)*(1+Precificação!$W$589))*(1+AM$28))+$AA$26)*(1+Dashboard!$D$35),0)</f>
        <v>0</v>
      </c>
      <c r="AN103" s="109">
        <f>IF($BD103&gt;0,(((($BD103/Dashboard!$D$23)*(1+Precificação!$W$589))*(1+AN$28))+$AA$26)*(1+Dashboard!$D$35),0)</f>
        <v>0</v>
      </c>
      <c r="AO103" s="109">
        <f>IF($BD103&gt;0,(((($BD103/Dashboard!$D$23)*(1+Precificação!$W$589))*(1+AO$28))+$AA$26)*(1+Dashboard!$D$35),0)</f>
        <v>0</v>
      </c>
      <c r="AV103" s="179">
        <f t="shared" si="8"/>
        <v>0</v>
      </c>
      <c r="AW103" s="144">
        <f>VLOOKUP(B103,'Cronog. e Histog.'!$B$757:$H$849,7,0)</f>
        <v>0</v>
      </c>
      <c r="AX103" s="144">
        <f>VLOOKUP(B103,'Cronog. e Histog.'!$B$757:$I$849,8,0)</f>
        <v>0</v>
      </c>
      <c r="AY103" s="144">
        <f>$AW103*$AX103*Dashboard!$D$15</f>
        <v>0</v>
      </c>
      <c r="AZ103" s="144">
        <f>$AW103*$AX103*VLOOKUP(B103,Precificação!$B$7:$BM$89,54,0)</f>
        <v>0</v>
      </c>
      <c r="BA103" s="144">
        <f>$AW103*$AX103*VLOOKUP(B103,Precificação!$B$7:$BR$89,58,0)</f>
        <v>0</v>
      </c>
      <c r="BB103" s="144">
        <f>$AW103*$AX103*VLOOKUP(B103,Precificação!$B$7:$BW$89,62,0)</f>
        <v>0</v>
      </c>
      <c r="BC103" s="144">
        <f t="shared" si="9"/>
        <v>0</v>
      </c>
      <c r="BD103" s="109">
        <f>IFERROR(VLOOKUP(B103,Precificação!$B$7:$S$89,13,0),0)</f>
        <v>0</v>
      </c>
      <c r="BE103" s="109">
        <f>IFERROR(VLOOKUP(B103,Precificação!$B$7:$U$89,15,0)/(Precificação!$U$4+Precificação!$U$91),0)*Dashboard!$T$3</f>
        <v>0</v>
      </c>
    </row>
    <row r="104" spans="2:57" ht="12" hidden="1" customHeight="1" outlineLevel="1">
      <c r="B104" s="137" t="str">
        <f>Precificação!B79</f>
        <v/>
      </c>
      <c r="D104" s="606"/>
      <c r="E104" s="143" t="str">
        <f>IF('Cronog. e Histog.'!F838&gt;0,'Cronog. e Histog.'!F838,"")</f>
        <v/>
      </c>
      <c r="G104" s="179">
        <f t="shared" si="7"/>
        <v>0</v>
      </c>
      <c r="H104" s="110"/>
      <c r="I104" s="78"/>
      <c r="J104" s="81">
        <f>IF(I104="horista",H104*Dashboard!$D$15,IF(OR(I104="Mensalista",I104="PJ"),H104,))</f>
        <v>0</v>
      </c>
      <c r="K104" s="81">
        <f>IF(I104="PJ",J104,ROUND(J104*(1+Dashboard!$D$22),2))</f>
        <v>0</v>
      </c>
      <c r="L104" s="77"/>
      <c r="M104" s="180"/>
      <c r="P104" s="109">
        <f>IF($BD104&gt;0,(((($BD104/Dashboard!$D$15)*(1+Precificação!$W$589)))+$P$26)*(1+Dashboard!$D$35),0)</f>
        <v>0</v>
      </c>
      <c r="Q104" s="109">
        <f>IF($BD104&gt;0,(((($BD104/Dashboard!$D$23)*(1+Precificação!$W$589))*(1+Q$28))+$P$26)*(1+Dashboard!$D$35),0)</f>
        <v>0</v>
      </c>
      <c r="R104" s="109">
        <f>IF($BD104&gt;0,(((($BD104/Dashboard!$D$23)*(1+Precificação!$W$589))*(1+R$28))+$P$26)*(1+Dashboard!$D$35),0)</f>
        <v>0</v>
      </c>
      <c r="S104" s="109">
        <f>IF($BD104&gt;0,(((($BD104/Dashboard!$D$23)*(1+Precificação!$W$589))*(1+S$28))+$P$26)*(1+Dashboard!$D$35),0)</f>
        <v>0</v>
      </c>
      <c r="AA104" s="109">
        <f>IF($BD104&gt;0,(((($BD104/Dashboard!$D$23)*(1+Precificação!$W$589)))+$AA$26)*(1+Dashboard!$D$35),0)</f>
        <v>0</v>
      </c>
      <c r="AB104" s="109">
        <f>IF($BD104&gt;0,(((($BD104/Dashboard!$D$23)*(1+Precificação!$W$589))*(1+AB$28))+$AA$26)*(1+Dashboard!$D$35),0)</f>
        <v>0</v>
      </c>
      <c r="AC104" s="109">
        <f>IF($BD104&gt;0,(((($BD104/Dashboard!$D$23)*(1+Precificação!$W$589))*(1+AC$28))+$AA$26)*(1+Dashboard!$D$35),0)</f>
        <v>0</v>
      </c>
      <c r="AD104" s="109">
        <f>IF($BD104&gt;0,(((($BD104/Dashboard!$D$23)*(1+Precificação!$W$589))*(1+AD$28))+$AA$26)*(1+Dashboard!$D$35),0)</f>
        <v>0</v>
      </c>
      <c r="AL104" s="109">
        <f>IF($BD104&gt;0,(((($BD104/Dashboard!$D$23)*(1+Precificação!$W$589)))+$AL$26)*(1+Dashboard!$D$35),0)</f>
        <v>0</v>
      </c>
      <c r="AM104" s="109">
        <f>IF($BD104&gt;0,(((($BD104/Dashboard!$D$23)*(1+Precificação!$W$589))*(1+AM$28))+$AA$26)*(1+Dashboard!$D$35),0)</f>
        <v>0</v>
      </c>
      <c r="AN104" s="109">
        <f>IF($BD104&gt;0,(((($BD104/Dashboard!$D$23)*(1+Precificação!$W$589))*(1+AN$28))+$AA$26)*(1+Dashboard!$D$35),0)</f>
        <v>0</v>
      </c>
      <c r="AO104" s="109">
        <f>IF($BD104&gt;0,(((($BD104/Dashboard!$D$23)*(1+Precificação!$W$589))*(1+AO$28))+$AA$26)*(1+Dashboard!$D$35),0)</f>
        <v>0</v>
      </c>
      <c r="AV104" s="179">
        <f t="shared" si="8"/>
        <v>0</v>
      </c>
      <c r="AW104" s="144">
        <f>VLOOKUP(B104,'Cronog. e Histog.'!$B$757:$H$849,7,0)</f>
        <v>0</v>
      </c>
      <c r="AX104" s="144">
        <f>VLOOKUP(B104,'Cronog. e Histog.'!$B$757:$I$849,8,0)</f>
        <v>0</v>
      </c>
      <c r="AY104" s="144">
        <f>$AW104*$AX104*Dashboard!$D$15</f>
        <v>0</v>
      </c>
      <c r="AZ104" s="144">
        <f>$AW104*$AX104*VLOOKUP(B104,Precificação!$B$7:$BM$89,54,0)</f>
        <v>0</v>
      </c>
      <c r="BA104" s="144">
        <f>$AW104*$AX104*VLOOKUP(B104,Precificação!$B$7:$BR$89,58,0)</f>
        <v>0</v>
      </c>
      <c r="BB104" s="144">
        <f>$AW104*$AX104*VLOOKUP(B104,Precificação!$B$7:$BW$89,62,0)</f>
        <v>0</v>
      </c>
      <c r="BC104" s="144">
        <f t="shared" si="9"/>
        <v>0</v>
      </c>
      <c r="BD104" s="109">
        <f>IFERROR(VLOOKUP(B104,Precificação!$B$7:$S$89,13,0),0)</f>
        <v>0</v>
      </c>
      <c r="BE104" s="109">
        <f>IFERROR(VLOOKUP(B104,Precificação!$B$7:$U$89,15,0)/(Precificação!$U$4+Precificação!$U$91),0)*Dashboard!$T$3</f>
        <v>0</v>
      </c>
    </row>
    <row r="105" spans="2:57" ht="12" hidden="1" customHeight="1" outlineLevel="1">
      <c r="B105" s="137" t="str">
        <f>Precificação!B80</f>
        <v/>
      </c>
      <c r="D105" s="604" t="s">
        <v>536</v>
      </c>
      <c r="E105" s="143" t="str">
        <f>IF('Cronog. e Histog.'!F840&gt;0,'Cronog. e Histog.'!F840,"")</f>
        <v/>
      </c>
      <c r="G105" s="179">
        <f t="shared" si="7"/>
        <v>0</v>
      </c>
      <c r="H105" s="110"/>
      <c r="I105" s="78"/>
      <c r="J105" s="81">
        <f>IF(I105="horista",H105*Dashboard!$D$15,IF(OR(I105="Mensalista",I105="PJ"),H105,))</f>
        <v>0</v>
      </c>
      <c r="K105" s="81">
        <f>IF(I105="PJ",J105,ROUND(J105*(1+Dashboard!$D$22),2))</f>
        <v>0</v>
      </c>
      <c r="L105" s="77"/>
      <c r="M105" s="180"/>
      <c r="P105" s="109">
        <f>IF($BD105&gt;0,(((($BD105/Dashboard!$D$15)*(1+Precificação!$W$589)))+$P$26)*(1+Dashboard!$D$35),0)</f>
        <v>0</v>
      </c>
      <c r="Q105" s="109">
        <f>IF($BD105&gt;0,(((($BD105/Dashboard!$D$23)*(1+Precificação!$W$589))*(1+Q$28))+$P$26)*(1+Dashboard!$D$35),0)</f>
        <v>0</v>
      </c>
      <c r="R105" s="109">
        <f>IF($BD105&gt;0,(((($BD105/Dashboard!$D$23)*(1+Precificação!$W$589))*(1+R$28))+$P$26)*(1+Dashboard!$D$35),0)</f>
        <v>0</v>
      </c>
      <c r="S105" s="109">
        <f>IF($BD105&gt;0,(((($BD105/Dashboard!$D$23)*(1+Precificação!$W$589))*(1+S$28))+$P$26)*(1+Dashboard!$D$35),0)</f>
        <v>0</v>
      </c>
      <c r="AA105" s="109">
        <f>IF($BD105&gt;0,(((($BD105/Dashboard!$D$23)*(1+Precificação!$W$589)))+$AA$26)*(1+Dashboard!$D$35),0)</f>
        <v>0</v>
      </c>
      <c r="AB105" s="109">
        <f>IF($BD105&gt;0,(((($BD105/Dashboard!$D$23)*(1+Precificação!$W$589))*(1+AB$28))+$AA$26)*(1+Dashboard!$D$35),0)</f>
        <v>0</v>
      </c>
      <c r="AC105" s="109">
        <f>IF($BD105&gt;0,(((($BD105/Dashboard!$D$23)*(1+Precificação!$W$589))*(1+AC$28))+$AA$26)*(1+Dashboard!$D$35),0)</f>
        <v>0</v>
      </c>
      <c r="AD105" s="109">
        <f>IF($BD105&gt;0,(((($BD105/Dashboard!$D$23)*(1+Precificação!$W$589))*(1+AD$28))+$AA$26)*(1+Dashboard!$D$35),0)</f>
        <v>0</v>
      </c>
      <c r="AL105" s="109">
        <f>IF($BD105&gt;0,(((($BD105/Dashboard!$D$23)*(1+Precificação!$W$589)))+$AL$26)*(1+Dashboard!$D$35),0)</f>
        <v>0</v>
      </c>
      <c r="AM105" s="109">
        <f>IF($BD105&gt;0,(((($BD105/Dashboard!$D$23)*(1+Precificação!$W$589))*(1+AM$28))+$AA$26)*(1+Dashboard!$D$35),0)</f>
        <v>0</v>
      </c>
      <c r="AN105" s="109">
        <f>IF($BD105&gt;0,(((($BD105/Dashboard!$D$23)*(1+Precificação!$W$589))*(1+AN$28))+$AA$26)*(1+Dashboard!$D$35),0)</f>
        <v>0</v>
      </c>
      <c r="AO105" s="109">
        <f>IF($BD105&gt;0,(((($BD105/Dashboard!$D$23)*(1+Precificação!$W$589))*(1+AO$28))+$AA$26)*(1+Dashboard!$D$35),0)</f>
        <v>0</v>
      </c>
      <c r="AV105" s="179">
        <f t="shared" si="8"/>
        <v>0</v>
      </c>
      <c r="AW105" s="144">
        <f>VLOOKUP(B105,'Cronog. e Histog.'!$B$757:$H$849,7,0)</f>
        <v>0</v>
      </c>
      <c r="AX105" s="144">
        <f>VLOOKUP(B105,'Cronog. e Histog.'!$B$757:$I$849,8,0)</f>
        <v>0</v>
      </c>
      <c r="AY105" s="144">
        <f>$AW105*$AX105*Dashboard!$D$15</f>
        <v>0</v>
      </c>
      <c r="AZ105" s="144">
        <f>$AW105*$AX105*VLOOKUP(B105,Precificação!$B$7:$BM$89,54,0)</f>
        <v>0</v>
      </c>
      <c r="BA105" s="144">
        <f>$AW105*$AX105*VLOOKUP(B105,Precificação!$B$7:$BR$89,58,0)</f>
        <v>0</v>
      </c>
      <c r="BB105" s="144">
        <f>$AW105*$AX105*VLOOKUP(B105,Precificação!$B$7:$BW$89,62,0)</f>
        <v>0</v>
      </c>
      <c r="BC105" s="144">
        <f t="shared" si="9"/>
        <v>0</v>
      </c>
      <c r="BD105" s="109">
        <f>IFERROR(VLOOKUP(B105,Precificação!$B$7:$S$89,13,0),0)</f>
        <v>0</v>
      </c>
      <c r="BE105" s="109">
        <f>IFERROR(VLOOKUP(B105,Precificação!$B$7:$U$89,15,0)/(Precificação!$U$4+Precificação!$U$91),0)*Dashboard!$T$3</f>
        <v>0</v>
      </c>
    </row>
    <row r="106" spans="2:57" ht="12" hidden="1" customHeight="1" outlineLevel="1">
      <c r="B106" s="137" t="str">
        <f>Precificação!B81</f>
        <v/>
      </c>
      <c r="D106" s="605"/>
      <c r="E106" s="143" t="str">
        <f>IF('Cronog. e Histog.'!F841&gt;0,'Cronog. e Histog.'!F841,"")</f>
        <v/>
      </c>
      <c r="G106" s="179">
        <f t="shared" si="7"/>
        <v>0</v>
      </c>
      <c r="H106" s="110"/>
      <c r="I106" s="78"/>
      <c r="J106" s="81">
        <f>IF(I106="horista",H106*Dashboard!$D$15,IF(OR(I106="Mensalista",I106="PJ"),H106,))</f>
        <v>0</v>
      </c>
      <c r="K106" s="81">
        <f>IF(I106="PJ",J106,ROUND(J106*(1+Dashboard!$D$22),2))</f>
        <v>0</v>
      </c>
      <c r="L106" s="77"/>
      <c r="M106" s="180"/>
      <c r="P106" s="109">
        <f>IF($BD106&gt;0,(((($BD106/Dashboard!$D$15)*(1+Precificação!$W$589)))+$P$26)*(1+Dashboard!$D$35),0)</f>
        <v>0</v>
      </c>
      <c r="Q106" s="109">
        <f>IF($BD106&gt;0,(((($BD106/Dashboard!$D$23)*(1+Precificação!$W$589))*(1+Q$28))+$P$26)*(1+Dashboard!$D$35),0)</f>
        <v>0</v>
      </c>
      <c r="R106" s="109">
        <f>IF($BD106&gt;0,(((($BD106/Dashboard!$D$23)*(1+Precificação!$W$589))*(1+R$28))+$P$26)*(1+Dashboard!$D$35),0)</f>
        <v>0</v>
      </c>
      <c r="S106" s="109">
        <f>IF($BD106&gt;0,(((($BD106/Dashboard!$D$23)*(1+Precificação!$W$589))*(1+S$28))+$P$26)*(1+Dashboard!$D$35),0)</f>
        <v>0</v>
      </c>
      <c r="AA106" s="109">
        <f>IF($BD106&gt;0,(((($BD106/Dashboard!$D$23)*(1+Precificação!$W$589)))+$AA$26)*(1+Dashboard!$D$35),0)</f>
        <v>0</v>
      </c>
      <c r="AB106" s="109">
        <f>IF($BD106&gt;0,(((($BD106/Dashboard!$D$23)*(1+Precificação!$W$589))*(1+AB$28))+$AA$26)*(1+Dashboard!$D$35),0)</f>
        <v>0</v>
      </c>
      <c r="AC106" s="109">
        <f>IF($BD106&gt;0,(((($BD106/Dashboard!$D$23)*(1+Precificação!$W$589))*(1+AC$28))+$AA$26)*(1+Dashboard!$D$35),0)</f>
        <v>0</v>
      </c>
      <c r="AD106" s="109">
        <f>IF($BD106&gt;0,(((($BD106/Dashboard!$D$23)*(1+Precificação!$W$589))*(1+AD$28))+$AA$26)*(1+Dashboard!$D$35),0)</f>
        <v>0</v>
      </c>
      <c r="AL106" s="109">
        <f>IF($BD106&gt;0,(((($BD106/Dashboard!$D$23)*(1+Precificação!$W$589)))+$AL$26)*(1+Dashboard!$D$35),0)</f>
        <v>0</v>
      </c>
      <c r="AM106" s="109">
        <f>IF($BD106&gt;0,(((($BD106/Dashboard!$D$23)*(1+Precificação!$W$589))*(1+AM$28))+$AA$26)*(1+Dashboard!$D$35),0)</f>
        <v>0</v>
      </c>
      <c r="AN106" s="109">
        <f>IF($BD106&gt;0,(((($BD106/Dashboard!$D$23)*(1+Precificação!$W$589))*(1+AN$28))+$AA$26)*(1+Dashboard!$D$35),0)</f>
        <v>0</v>
      </c>
      <c r="AO106" s="109">
        <f>IF($BD106&gt;0,(((($BD106/Dashboard!$D$23)*(1+Precificação!$W$589))*(1+AO$28))+$AA$26)*(1+Dashboard!$D$35),0)</f>
        <v>0</v>
      </c>
      <c r="AV106" s="179">
        <f t="shared" si="8"/>
        <v>0</v>
      </c>
      <c r="AW106" s="144">
        <f>VLOOKUP(B106,'Cronog. e Histog.'!$B$757:$H$849,7,0)</f>
        <v>0</v>
      </c>
      <c r="AX106" s="144">
        <f>VLOOKUP(B106,'Cronog. e Histog.'!$B$757:$I$849,8,0)</f>
        <v>0</v>
      </c>
      <c r="AY106" s="144">
        <f>$AW106*$AX106*Dashboard!$D$15</f>
        <v>0</v>
      </c>
      <c r="AZ106" s="144">
        <f>$AW106*$AX106*VLOOKUP(B106,Precificação!$B$7:$BM$89,54,0)</f>
        <v>0</v>
      </c>
      <c r="BA106" s="144">
        <f>$AW106*$AX106*VLOOKUP(B106,Precificação!$B$7:$BR$89,58,0)</f>
        <v>0</v>
      </c>
      <c r="BB106" s="144">
        <f>$AW106*$AX106*VLOOKUP(B106,Precificação!$B$7:$BW$89,62,0)</f>
        <v>0</v>
      </c>
      <c r="BC106" s="144">
        <f t="shared" si="9"/>
        <v>0</v>
      </c>
      <c r="BD106" s="109">
        <f>IFERROR(VLOOKUP(B106,Precificação!$B$7:$S$89,13,0),0)</f>
        <v>0</v>
      </c>
      <c r="BE106" s="109">
        <f>IFERROR(VLOOKUP(B106,Precificação!$B$7:$U$89,15,0)/(Precificação!$U$4+Precificação!$U$91),0)*Dashboard!$T$3</f>
        <v>0</v>
      </c>
    </row>
    <row r="107" spans="2:57" ht="12" hidden="1" customHeight="1" outlineLevel="1">
      <c r="B107" s="137" t="str">
        <f>Precificação!B82</f>
        <v/>
      </c>
      <c r="D107" s="605"/>
      <c r="E107" s="143" t="str">
        <f>IF('Cronog. e Histog.'!F842&gt;0,'Cronog. e Histog.'!F842,"")</f>
        <v/>
      </c>
      <c r="G107" s="179">
        <f t="shared" si="7"/>
        <v>0</v>
      </c>
      <c r="H107" s="110"/>
      <c r="I107" s="78"/>
      <c r="J107" s="81">
        <f>IF(I107="horista",H107*Dashboard!$D$15,IF(OR(I107="Mensalista",I107="PJ"),H107,))</f>
        <v>0</v>
      </c>
      <c r="K107" s="81">
        <f>IF(I107="PJ",J107,ROUND(J107*(1+Dashboard!$D$22),2))</f>
        <v>0</v>
      </c>
      <c r="L107" s="77"/>
      <c r="M107" s="180"/>
      <c r="P107" s="109">
        <f>IF($BD107&gt;0,(((($BD107/Dashboard!$D$15)*(1+Precificação!$W$589)))+$P$26)*(1+Dashboard!$D$35),0)</f>
        <v>0</v>
      </c>
      <c r="Q107" s="109">
        <f>IF($BD107&gt;0,(((($BD107/Dashboard!$D$23)*(1+Precificação!$W$589))*(1+Q$28))+$P$26)*(1+Dashboard!$D$35),0)</f>
        <v>0</v>
      </c>
      <c r="R107" s="109">
        <f>IF($BD107&gt;0,(((($BD107/Dashboard!$D$23)*(1+Precificação!$W$589))*(1+R$28))+$P$26)*(1+Dashboard!$D$35),0)</f>
        <v>0</v>
      </c>
      <c r="S107" s="109">
        <f>IF($BD107&gt;0,(((($BD107/Dashboard!$D$23)*(1+Precificação!$W$589))*(1+S$28))+$P$26)*(1+Dashboard!$D$35),0)</f>
        <v>0</v>
      </c>
      <c r="AA107" s="109">
        <f>IF($BD107&gt;0,(((($BD107/Dashboard!$D$23)*(1+Precificação!$W$589)))+$AA$26)*(1+Dashboard!$D$35),0)</f>
        <v>0</v>
      </c>
      <c r="AB107" s="109">
        <f>IF($BD107&gt;0,(((($BD107/Dashboard!$D$23)*(1+Precificação!$W$589))*(1+AB$28))+$AA$26)*(1+Dashboard!$D$35),0)</f>
        <v>0</v>
      </c>
      <c r="AC107" s="109">
        <f>IF($BD107&gt;0,(((($BD107/Dashboard!$D$23)*(1+Precificação!$W$589))*(1+AC$28))+$AA$26)*(1+Dashboard!$D$35),0)</f>
        <v>0</v>
      </c>
      <c r="AD107" s="109">
        <f>IF($BD107&gt;0,(((($BD107/Dashboard!$D$23)*(1+Precificação!$W$589))*(1+AD$28))+$AA$26)*(1+Dashboard!$D$35),0)</f>
        <v>0</v>
      </c>
      <c r="AL107" s="109">
        <f>IF($BD107&gt;0,(((($BD107/Dashboard!$D$23)*(1+Precificação!$W$589)))+$AL$26)*(1+Dashboard!$D$35),0)</f>
        <v>0</v>
      </c>
      <c r="AM107" s="109">
        <f>IF($BD107&gt;0,(((($BD107/Dashboard!$D$23)*(1+Precificação!$W$589))*(1+AM$28))+$AA$26)*(1+Dashboard!$D$35),0)</f>
        <v>0</v>
      </c>
      <c r="AN107" s="109">
        <f>IF($BD107&gt;0,(((($BD107/Dashboard!$D$23)*(1+Precificação!$W$589))*(1+AN$28))+$AA$26)*(1+Dashboard!$D$35),0)</f>
        <v>0</v>
      </c>
      <c r="AO107" s="109">
        <f>IF($BD107&gt;0,(((($BD107/Dashboard!$D$23)*(1+Precificação!$W$589))*(1+AO$28))+$AA$26)*(1+Dashboard!$D$35),0)</f>
        <v>0</v>
      </c>
      <c r="AV107" s="179">
        <f t="shared" si="8"/>
        <v>0</v>
      </c>
      <c r="AW107" s="144">
        <f>VLOOKUP(B107,'Cronog. e Histog.'!$B$757:$H$849,7,0)</f>
        <v>0</v>
      </c>
      <c r="AX107" s="144">
        <f>VLOOKUP(B107,'Cronog. e Histog.'!$B$757:$I$849,8,0)</f>
        <v>0</v>
      </c>
      <c r="AY107" s="144">
        <f>$AW107*$AX107*Dashboard!$D$15</f>
        <v>0</v>
      </c>
      <c r="AZ107" s="144">
        <f>$AW107*$AX107*VLOOKUP(B107,Precificação!$B$7:$BM$89,54,0)</f>
        <v>0</v>
      </c>
      <c r="BA107" s="144">
        <f>$AW107*$AX107*VLOOKUP(B107,Precificação!$B$7:$BR$89,58,0)</f>
        <v>0</v>
      </c>
      <c r="BB107" s="144">
        <f>$AW107*$AX107*VLOOKUP(B107,Precificação!$B$7:$BW$89,62,0)</f>
        <v>0</v>
      </c>
      <c r="BC107" s="144">
        <f t="shared" si="9"/>
        <v>0</v>
      </c>
      <c r="BD107" s="109">
        <f>IFERROR(VLOOKUP(B107,Precificação!$B$7:$S$89,13,0),0)</f>
        <v>0</v>
      </c>
      <c r="BE107" s="109">
        <f>IFERROR(VLOOKUP(B107,Precificação!$B$7:$U$89,15,0)/(Precificação!$U$4+Precificação!$U$91),0)*Dashboard!$T$3</f>
        <v>0</v>
      </c>
    </row>
    <row r="108" spans="2:57" ht="12" hidden="1" customHeight="1" outlineLevel="1">
      <c r="B108" s="137" t="str">
        <f>Precificação!B83</f>
        <v/>
      </c>
      <c r="D108" s="605"/>
      <c r="E108" s="143" t="str">
        <f>IF('Cronog. e Histog.'!F843&gt;0,'Cronog. e Histog.'!F843,"")</f>
        <v/>
      </c>
      <c r="G108" s="179">
        <f t="shared" si="7"/>
        <v>0</v>
      </c>
      <c r="H108" s="110"/>
      <c r="I108" s="78"/>
      <c r="J108" s="81">
        <f>IF(I108="horista",H108*Dashboard!$D$15,IF(OR(I108="Mensalista",I108="PJ"),H108,))</f>
        <v>0</v>
      </c>
      <c r="K108" s="81">
        <f>IF(I108="PJ",J108,ROUND(J108*(1+Dashboard!$D$22),2))</f>
        <v>0</v>
      </c>
      <c r="L108" s="77"/>
      <c r="M108" s="180"/>
      <c r="P108" s="109">
        <f>IF($BD108&gt;0,(((($BD108/Dashboard!$D$15)*(1+Precificação!$W$589)))+$P$26)*(1+Dashboard!$D$35),0)</f>
        <v>0</v>
      </c>
      <c r="Q108" s="109">
        <f>IF($BD108&gt;0,(((($BD108/Dashboard!$D$23)*(1+Precificação!$W$589))*(1+Q$28))+$P$26)*(1+Dashboard!$D$35),0)</f>
        <v>0</v>
      </c>
      <c r="R108" s="109">
        <f>IF($BD108&gt;0,(((($BD108/Dashboard!$D$23)*(1+Precificação!$W$589))*(1+R$28))+$P$26)*(1+Dashboard!$D$35),0)</f>
        <v>0</v>
      </c>
      <c r="S108" s="109">
        <f>IF($BD108&gt;0,(((($BD108/Dashboard!$D$23)*(1+Precificação!$W$589))*(1+S$28))+$P$26)*(1+Dashboard!$D$35),0)</f>
        <v>0</v>
      </c>
      <c r="AA108" s="109">
        <f>IF($BD108&gt;0,(((($BD108/Dashboard!$D$23)*(1+Precificação!$W$589)))+$AA$26)*(1+Dashboard!$D$35),0)</f>
        <v>0</v>
      </c>
      <c r="AB108" s="109">
        <f>IF($BD108&gt;0,(((($BD108/Dashboard!$D$23)*(1+Precificação!$W$589))*(1+AB$28))+$AA$26)*(1+Dashboard!$D$35),0)</f>
        <v>0</v>
      </c>
      <c r="AC108" s="109">
        <f>IF($BD108&gt;0,(((($BD108/Dashboard!$D$23)*(1+Precificação!$W$589))*(1+AC$28))+$AA$26)*(1+Dashboard!$D$35),0)</f>
        <v>0</v>
      </c>
      <c r="AD108" s="109">
        <f>IF($BD108&gt;0,(((($BD108/Dashboard!$D$23)*(1+Precificação!$W$589))*(1+AD$28))+$AA$26)*(1+Dashboard!$D$35),0)</f>
        <v>0</v>
      </c>
      <c r="AL108" s="109">
        <f>IF($BD108&gt;0,(((($BD108/Dashboard!$D$23)*(1+Precificação!$W$589)))+$AL$26)*(1+Dashboard!$D$35),0)</f>
        <v>0</v>
      </c>
      <c r="AM108" s="109">
        <f>IF($BD108&gt;0,(((($BD108/Dashboard!$D$23)*(1+Precificação!$W$589))*(1+AM$28))+$AA$26)*(1+Dashboard!$D$35),0)</f>
        <v>0</v>
      </c>
      <c r="AN108" s="109">
        <f>IF($BD108&gt;0,(((($BD108/Dashboard!$D$23)*(1+Precificação!$W$589))*(1+AN$28))+$AA$26)*(1+Dashboard!$D$35),0)</f>
        <v>0</v>
      </c>
      <c r="AO108" s="109">
        <f>IF($BD108&gt;0,(((($BD108/Dashboard!$D$23)*(1+Precificação!$W$589))*(1+AO$28))+$AA$26)*(1+Dashboard!$D$35),0)</f>
        <v>0</v>
      </c>
      <c r="AV108" s="179">
        <f t="shared" si="8"/>
        <v>0</v>
      </c>
      <c r="AW108" s="144">
        <f>VLOOKUP(B108,'Cronog. e Histog.'!$B$757:$H$849,7,0)</f>
        <v>0</v>
      </c>
      <c r="AX108" s="144">
        <f>VLOOKUP(B108,'Cronog. e Histog.'!$B$757:$I$849,8,0)</f>
        <v>0</v>
      </c>
      <c r="AY108" s="144">
        <f>$AW108*$AX108*Dashboard!$D$15</f>
        <v>0</v>
      </c>
      <c r="AZ108" s="144">
        <f>$AW108*$AX108*VLOOKUP(B108,Precificação!$B$7:$BM$89,54,0)</f>
        <v>0</v>
      </c>
      <c r="BA108" s="144">
        <f>$AW108*$AX108*VLOOKUP(B108,Precificação!$B$7:$BR$89,58,0)</f>
        <v>0</v>
      </c>
      <c r="BB108" s="144">
        <f>$AW108*$AX108*VLOOKUP(B108,Precificação!$B$7:$BW$89,62,0)</f>
        <v>0</v>
      </c>
      <c r="BC108" s="144">
        <f t="shared" si="9"/>
        <v>0</v>
      </c>
      <c r="BD108" s="109">
        <f>IFERROR(VLOOKUP(B108,Precificação!$B$7:$S$89,13,0),0)</f>
        <v>0</v>
      </c>
      <c r="BE108" s="109">
        <f>IFERROR(VLOOKUP(B108,Precificação!$B$7:$U$89,15,0)/(Precificação!$U$4+Precificação!$U$91),0)*Dashboard!$T$3</f>
        <v>0</v>
      </c>
    </row>
    <row r="109" spans="2:57" ht="12" hidden="1" customHeight="1" outlineLevel="1">
      <c r="B109" s="137" t="str">
        <f>Precificação!B84</f>
        <v/>
      </c>
      <c r="D109" s="605"/>
      <c r="E109" s="143" t="str">
        <f>IF('Cronog. e Histog.'!F844&gt;0,'Cronog. e Histog.'!F844,"")</f>
        <v/>
      </c>
      <c r="G109" s="179">
        <f t="shared" si="7"/>
        <v>0</v>
      </c>
      <c r="H109" s="110"/>
      <c r="I109" s="78"/>
      <c r="J109" s="81">
        <f>IF(I109="horista",H109*Dashboard!$D$15,IF(OR(I109="Mensalista",I109="PJ"),H109,))</f>
        <v>0</v>
      </c>
      <c r="K109" s="81">
        <f>IF(I109="PJ",J109,ROUND(J109*(1+Dashboard!$D$22),2))</f>
        <v>0</v>
      </c>
      <c r="L109" s="77"/>
      <c r="M109" s="180"/>
      <c r="P109" s="109">
        <f>IF($BD109&gt;0,(((($BD109/Dashboard!$D$15)*(1+Precificação!$W$589)))+$P$26)*(1+Dashboard!$D$35),0)</f>
        <v>0</v>
      </c>
      <c r="Q109" s="109">
        <f>IF($BD109&gt;0,(((($BD109/Dashboard!$D$23)*(1+Precificação!$W$589))*(1+Q$28))+$P$26)*(1+Dashboard!$D$35),0)</f>
        <v>0</v>
      </c>
      <c r="R109" s="109">
        <f>IF($BD109&gt;0,(((($BD109/Dashboard!$D$23)*(1+Precificação!$W$589))*(1+R$28))+$P$26)*(1+Dashboard!$D$35),0)</f>
        <v>0</v>
      </c>
      <c r="S109" s="109">
        <f>IF($BD109&gt;0,(((($BD109/Dashboard!$D$23)*(1+Precificação!$W$589))*(1+S$28))+$P$26)*(1+Dashboard!$D$35),0)</f>
        <v>0</v>
      </c>
      <c r="AA109" s="109">
        <f>IF($BD109&gt;0,(((($BD109/Dashboard!$D$23)*(1+Precificação!$W$589)))+$AA$26)*(1+Dashboard!$D$35),0)</f>
        <v>0</v>
      </c>
      <c r="AB109" s="109">
        <f>IF($BD109&gt;0,(((($BD109/Dashboard!$D$23)*(1+Precificação!$W$589))*(1+AB$28))+$AA$26)*(1+Dashboard!$D$35),0)</f>
        <v>0</v>
      </c>
      <c r="AC109" s="109">
        <f>IF($BD109&gt;0,(((($BD109/Dashboard!$D$23)*(1+Precificação!$W$589))*(1+AC$28))+$AA$26)*(1+Dashboard!$D$35),0)</f>
        <v>0</v>
      </c>
      <c r="AD109" s="109">
        <f>IF($BD109&gt;0,(((($BD109/Dashboard!$D$23)*(1+Precificação!$W$589))*(1+AD$28))+$AA$26)*(1+Dashboard!$D$35),0)</f>
        <v>0</v>
      </c>
      <c r="AL109" s="109">
        <f>IF($BD109&gt;0,(((($BD109/Dashboard!$D$23)*(1+Precificação!$W$589)))+$AL$26)*(1+Dashboard!$D$35),0)</f>
        <v>0</v>
      </c>
      <c r="AM109" s="109">
        <f>IF($BD109&gt;0,(((($BD109/Dashboard!$D$23)*(1+Precificação!$W$589))*(1+AM$28))+$AA$26)*(1+Dashboard!$D$35),0)</f>
        <v>0</v>
      </c>
      <c r="AN109" s="109">
        <f>IF($BD109&gt;0,(((($BD109/Dashboard!$D$23)*(1+Precificação!$W$589))*(1+AN$28))+$AA$26)*(1+Dashboard!$D$35),0)</f>
        <v>0</v>
      </c>
      <c r="AO109" s="109">
        <f>IF($BD109&gt;0,(((($BD109/Dashboard!$D$23)*(1+Precificação!$W$589))*(1+AO$28))+$AA$26)*(1+Dashboard!$D$35),0)</f>
        <v>0</v>
      </c>
      <c r="AV109" s="179">
        <f t="shared" si="8"/>
        <v>0</v>
      </c>
      <c r="AW109" s="144">
        <f>VLOOKUP(B109,'Cronog. e Histog.'!$B$757:$H$849,7,0)</f>
        <v>0</v>
      </c>
      <c r="AX109" s="144">
        <f>VLOOKUP(B109,'Cronog. e Histog.'!$B$757:$I$849,8,0)</f>
        <v>0</v>
      </c>
      <c r="AY109" s="144">
        <f>$AW109*$AX109*Dashboard!$D$15</f>
        <v>0</v>
      </c>
      <c r="AZ109" s="144">
        <f>$AW109*$AX109*VLOOKUP(B109,Precificação!$B$7:$BM$89,54,0)</f>
        <v>0</v>
      </c>
      <c r="BA109" s="144">
        <f>$AW109*$AX109*VLOOKUP(B109,Precificação!$B$7:$BR$89,58,0)</f>
        <v>0</v>
      </c>
      <c r="BB109" s="144">
        <f>$AW109*$AX109*VLOOKUP(B109,Precificação!$B$7:$BW$89,62,0)</f>
        <v>0</v>
      </c>
      <c r="BC109" s="144">
        <f t="shared" si="9"/>
        <v>0</v>
      </c>
      <c r="BD109" s="109">
        <f>IFERROR(VLOOKUP(B109,Precificação!$B$7:$S$89,13,0),0)</f>
        <v>0</v>
      </c>
      <c r="BE109" s="109">
        <f>IFERROR(VLOOKUP(B109,Precificação!$B$7:$U$89,15,0)/(Precificação!$U$4+Precificação!$U$91),0)*Dashboard!$T$3</f>
        <v>0</v>
      </c>
    </row>
    <row r="110" spans="2:57" ht="12" hidden="1" customHeight="1" outlineLevel="1">
      <c r="B110" s="137" t="str">
        <f>Precificação!B85</f>
        <v/>
      </c>
      <c r="D110" s="605"/>
      <c r="E110" s="143" t="str">
        <f>IF('Cronog. e Histog.'!F845&gt;0,'Cronog. e Histog.'!F845,"")</f>
        <v/>
      </c>
      <c r="G110" s="179">
        <f t="shared" si="7"/>
        <v>0</v>
      </c>
      <c r="H110" s="110"/>
      <c r="I110" s="78"/>
      <c r="J110" s="81">
        <f>IF(I110="horista",H110*Dashboard!$D$15,IF(OR(I110="Mensalista",I110="PJ"),H110,))</f>
        <v>0</v>
      </c>
      <c r="K110" s="81">
        <f>IF(I110="PJ",J110,ROUND(J110*(1+Dashboard!$D$22),2))</f>
        <v>0</v>
      </c>
      <c r="L110" s="77"/>
      <c r="M110" s="180"/>
      <c r="P110" s="109">
        <f>IF($BD110&gt;0,(((($BD110/Dashboard!$D$15)*(1+Precificação!$W$589)))+$P$26)*(1+Dashboard!$D$35),0)</f>
        <v>0</v>
      </c>
      <c r="Q110" s="109">
        <f>IF($BD110&gt;0,(((($BD110/Dashboard!$D$23)*(1+Precificação!$W$589))*(1+Q$28))+$P$26)*(1+Dashboard!$D$35),0)</f>
        <v>0</v>
      </c>
      <c r="R110" s="109">
        <f>IF($BD110&gt;0,(((($BD110/Dashboard!$D$23)*(1+Precificação!$W$589))*(1+R$28))+$P$26)*(1+Dashboard!$D$35),0)</f>
        <v>0</v>
      </c>
      <c r="S110" s="109">
        <f>IF($BD110&gt;0,(((($BD110/Dashboard!$D$23)*(1+Precificação!$W$589))*(1+S$28))+$P$26)*(1+Dashboard!$D$35),0)</f>
        <v>0</v>
      </c>
      <c r="AA110" s="109">
        <f>IF($BD110&gt;0,(((($BD110/Dashboard!$D$23)*(1+Precificação!$W$589)))+$AA$26)*(1+Dashboard!$D$35),0)</f>
        <v>0</v>
      </c>
      <c r="AB110" s="109">
        <f>IF($BD110&gt;0,(((($BD110/Dashboard!$D$23)*(1+Precificação!$W$589))*(1+AB$28))+$AA$26)*(1+Dashboard!$D$35),0)</f>
        <v>0</v>
      </c>
      <c r="AC110" s="109">
        <f>IF($BD110&gt;0,(((($BD110/Dashboard!$D$23)*(1+Precificação!$W$589))*(1+AC$28))+$AA$26)*(1+Dashboard!$D$35),0)</f>
        <v>0</v>
      </c>
      <c r="AD110" s="109">
        <f>IF($BD110&gt;0,(((($BD110/Dashboard!$D$23)*(1+Precificação!$W$589))*(1+AD$28))+$AA$26)*(1+Dashboard!$D$35),0)</f>
        <v>0</v>
      </c>
      <c r="AL110" s="109">
        <f>IF($BD110&gt;0,(((($BD110/Dashboard!$D$23)*(1+Precificação!$W$589)))+$AL$26)*(1+Dashboard!$D$35),0)</f>
        <v>0</v>
      </c>
      <c r="AM110" s="109">
        <f>IF($BD110&gt;0,(((($BD110/Dashboard!$D$23)*(1+Precificação!$W$589))*(1+AM$28))+$AA$26)*(1+Dashboard!$D$35),0)</f>
        <v>0</v>
      </c>
      <c r="AN110" s="109">
        <f>IF($BD110&gt;0,(((($BD110/Dashboard!$D$23)*(1+Precificação!$W$589))*(1+AN$28))+$AA$26)*(1+Dashboard!$D$35),0)</f>
        <v>0</v>
      </c>
      <c r="AO110" s="109">
        <f>IF($BD110&gt;0,(((($BD110/Dashboard!$D$23)*(1+Precificação!$W$589))*(1+AO$28))+$AA$26)*(1+Dashboard!$D$35),0)</f>
        <v>0</v>
      </c>
      <c r="AV110" s="179">
        <f t="shared" si="8"/>
        <v>0</v>
      </c>
      <c r="AW110" s="144">
        <f>VLOOKUP(B110,'Cronog. e Histog.'!$B$757:$H$849,7,0)</f>
        <v>0</v>
      </c>
      <c r="AX110" s="144">
        <f>VLOOKUP(B110,'Cronog. e Histog.'!$B$757:$I$849,8,0)</f>
        <v>0</v>
      </c>
      <c r="AY110" s="144">
        <f>$AW110*$AX110*Dashboard!$D$15</f>
        <v>0</v>
      </c>
      <c r="AZ110" s="144">
        <f>$AW110*$AX110*VLOOKUP(B110,Precificação!$B$7:$BM$89,54,0)</f>
        <v>0</v>
      </c>
      <c r="BA110" s="144">
        <f>$AW110*$AX110*VLOOKUP(B110,Precificação!$B$7:$BR$89,58,0)</f>
        <v>0</v>
      </c>
      <c r="BB110" s="144">
        <f>$AW110*$AX110*VLOOKUP(B110,Precificação!$B$7:$BW$89,62,0)</f>
        <v>0</v>
      </c>
      <c r="BC110" s="144">
        <f t="shared" si="9"/>
        <v>0</v>
      </c>
      <c r="BD110" s="109">
        <f>IFERROR(VLOOKUP(B110,Precificação!$B$7:$S$89,13,0),0)</f>
        <v>0</v>
      </c>
      <c r="BE110" s="109">
        <f>IFERROR(VLOOKUP(B110,Precificação!$B$7:$U$89,15,0)/(Precificação!$U$4+Precificação!$U$91),0)*Dashboard!$T$3</f>
        <v>0</v>
      </c>
    </row>
    <row r="111" spans="2:57" ht="12" hidden="1" customHeight="1" outlineLevel="1">
      <c r="B111" s="137" t="str">
        <f>Precificação!B86</f>
        <v/>
      </c>
      <c r="D111" s="605"/>
      <c r="E111" s="143" t="str">
        <f>IF('Cronog. e Histog.'!F846&gt;0,'Cronog. e Histog.'!F846,"")</f>
        <v/>
      </c>
      <c r="G111" s="179">
        <f t="shared" si="7"/>
        <v>0</v>
      </c>
      <c r="H111" s="110"/>
      <c r="I111" s="78"/>
      <c r="J111" s="81">
        <f>IF(I111="horista",H111*Dashboard!$D$15,IF(OR(I111="Mensalista",I111="PJ"),H111,))</f>
        <v>0</v>
      </c>
      <c r="K111" s="81">
        <f>IF(I111="PJ",J111,ROUND(J111*(1+Dashboard!$D$22),2))</f>
        <v>0</v>
      </c>
      <c r="L111" s="77"/>
      <c r="M111" s="180"/>
      <c r="P111" s="109">
        <f>IF($BD111&gt;0,(((($BD111/Dashboard!$D$15)*(1+Precificação!$W$589)))+$P$26)*(1+Dashboard!$D$35),0)</f>
        <v>0</v>
      </c>
      <c r="Q111" s="109">
        <f>IF($BD111&gt;0,(((($BD111/Dashboard!$D$23)*(1+Precificação!$W$589))*(1+Q$28))+$P$26)*(1+Dashboard!$D$35),0)</f>
        <v>0</v>
      </c>
      <c r="R111" s="109">
        <f>IF($BD111&gt;0,(((($BD111/Dashboard!$D$23)*(1+Precificação!$W$589))*(1+R$28))+$P$26)*(1+Dashboard!$D$35),0)</f>
        <v>0</v>
      </c>
      <c r="S111" s="109">
        <f>IF($BD111&gt;0,(((($BD111/Dashboard!$D$23)*(1+Precificação!$W$589))*(1+S$28))+$P$26)*(1+Dashboard!$D$35),0)</f>
        <v>0</v>
      </c>
      <c r="AA111" s="109">
        <f>IF($BD111&gt;0,(((($BD111/Dashboard!$D$23)*(1+Precificação!$W$589)))+$AA$26)*(1+Dashboard!$D$35),0)</f>
        <v>0</v>
      </c>
      <c r="AB111" s="109">
        <f>IF($BD111&gt;0,(((($BD111/Dashboard!$D$23)*(1+Precificação!$W$589))*(1+AB$28))+$AA$26)*(1+Dashboard!$D$35),0)</f>
        <v>0</v>
      </c>
      <c r="AC111" s="109">
        <f>IF($BD111&gt;0,(((($BD111/Dashboard!$D$23)*(1+Precificação!$W$589))*(1+AC$28))+$AA$26)*(1+Dashboard!$D$35),0)</f>
        <v>0</v>
      </c>
      <c r="AD111" s="109">
        <f>IF($BD111&gt;0,(((($BD111/Dashboard!$D$23)*(1+Precificação!$W$589))*(1+AD$28))+$AA$26)*(1+Dashboard!$D$35),0)</f>
        <v>0</v>
      </c>
      <c r="AL111" s="109">
        <f>IF($BD111&gt;0,(((($BD111/Dashboard!$D$23)*(1+Precificação!$W$589)))+$AL$26)*(1+Dashboard!$D$35),0)</f>
        <v>0</v>
      </c>
      <c r="AM111" s="109">
        <f>IF($BD111&gt;0,(((($BD111/Dashboard!$D$23)*(1+Precificação!$W$589))*(1+AM$28))+$AA$26)*(1+Dashboard!$D$35),0)</f>
        <v>0</v>
      </c>
      <c r="AN111" s="109">
        <f>IF($BD111&gt;0,(((($BD111/Dashboard!$D$23)*(1+Precificação!$W$589))*(1+AN$28))+$AA$26)*(1+Dashboard!$D$35),0)</f>
        <v>0</v>
      </c>
      <c r="AO111" s="109">
        <f>IF($BD111&gt;0,(((($BD111/Dashboard!$D$23)*(1+Precificação!$W$589))*(1+AO$28))+$AA$26)*(1+Dashboard!$D$35),0)</f>
        <v>0</v>
      </c>
      <c r="AV111" s="179">
        <f t="shared" si="8"/>
        <v>0</v>
      </c>
      <c r="AW111" s="144">
        <f>VLOOKUP(B111,'Cronog. e Histog.'!$B$757:$H$849,7,0)</f>
        <v>0</v>
      </c>
      <c r="AX111" s="144">
        <f>VLOOKUP(B111,'Cronog. e Histog.'!$B$757:$I$849,8,0)</f>
        <v>0</v>
      </c>
      <c r="AY111" s="144">
        <f>$AW111*$AX111*Dashboard!$D$15</f>
        <v>0</v>
      </c>
      <c r="AZ111" s="144">
        <f>$AW111*$AX111*VLOOKUP(B111,Precificação!$B$7:$BM$89,54,0)</f>
        <v>0</v>
      </c>
      <c r="BA111" s="144">
        <f>$AW111*$AX111*VLOOKUP(B111,Precificação!$B$7:$BR$89,58,0)</f>
        <v>0</v>
      </c>
      <c r="BB111" s="144">
        <f>$AW111*$AX111*VLOOKUP(B111,Precificação!$B$7:$BW$89,62,0)</f>
        <v>0</v>
      </c>
      <c r="BC111" s="144">
        <f t="shared" si="9"/>
        <v>0</v>
      </c>
      <c r="BD111" s="109">
        <f>IFERROR(VLOOKUP(B111,Precificação!$B$7:$S$89,13,0),0)</f>
        <v>0</v>
      </c>
      <c r="BE111" s="109">
        <f>IFERROR(VLOOKUP(B111,Precificação!$B$7:$U$89,15,0)/(Precificação!$U$4+Precificação!$U$91),0)*Dashboard!$T$3</f>
        <v>0</v>
      </c>
    </row>
    <row r="112" spans="2:57" ht="12" hidden="1" customHeight="1" outlineLevel="1">
      <c r="B112" s="137" t="str">
        <f>Precificação!B87</f>
        <v/>
      </c>
      <c r="D112" s="605"/>
      <c r="E112" s="143" t="str">
        <f>IF('Cronog. e Histog.'!F847&gt;0,'Cronog. e Histog.'!F847,"")</f>
        <v/>
      </c>
      <c r="G112" s="179">
        <f t="shared" si="7"/>
        <v>0</v>
      </c>
      <c r="H112" s="110"/>
      <c r="I112" s="78"/>
      <c r="J112" s="81">
        <f>IF(I112="horista",H112*Dashboard!$D$15,IF(OR(I112="Mensalista",I112="PJ"),H112,))</f>
        <v>0</v>
      </c>
      <c r="K112" s="81">
        <f>IF(I112="PJ",J112,ROUND(J112*(1+Dashboard!$D$22),2))</f>
        <v>0</v>
      </c>
      <c r="L112" s="77"/>
      <c r="M112" s="180"/>
      <c r="P112" s="109">
        <f>IF($BD112&gt;0,(((($BD112/Dashboard!$D$15)*(1+Precificação!$W$589)))+$P$26)*(1+Dashboard!$D$35),0)</f>
        <v>0</v>
      </c>
      <c r="Q112" s="109">
        <f>IF($BD112&gt;0,(((($BD112/Dashboard!$D$23)*(1+Precificação!$W$589))*(1+Q$28))+$P$26)*(1+Dashboard!$D$35),0)</f>
        <v>0</v>
      </c>
      <c r="R112" s="109">
        <f>IF($BD112&gt;0,(((($BD112/Dashboard!$D$23)*(1+Precificação!$W$589))*(1+R$28))+$P$26)*(1+Dashboard!$D$35),0)</f>
        <v>0</v>
      </c>
      <c r="S112" s="109">
        <f>IF($BD112&gt;0,(((($BD112/Dashboard!$D$23)*(1+Precificação!$W$589))*(1+S$28))+$P$26)*(1+Dashboard!$D$35),0)</f>
        <v>0</v>
      </c>
      <c r="AA112" s="109">
        <f>IF($BD112&gt;0,(((($BD112/Dashboard!$D$23)*(1+Precificação!$W$589)))+$AA$26)*(1+Dashboard!$D$35),0)</f>
        <v>0</v>
      </c>
      <c r="AB112" s="109">
        <f>IF($BD112&gt;0,(((($BD112/Dashboard!$D$23)*(1+Precificação!$W$589))*(1+AB$28))+$AA$26)*(1+Dashboard!$D$35),0)</f>
        <v>0</v>
      </c>
      <c r="AC112" s="109">
        <f>IF($BD112&gt;0,(((($BD112/Dashboard!$D$23)*(1+Precificação!$W$589))*(1+AC$28))+$AA$26)*(1+Dashboard!$D$35),0)</f>
        <v>0</v>
      </c>
      <c r="AD112" s="109">
        <f>IF($BD112&gt;0,(((($BD112/Dashboard!$D$23)*(1+Precificação!$W$589))*(1+AD$28))+$AA$26)*(1+Dashboard!$D$35),0)</f>
        <v>0</v>
      </c>
      <c r="AL112" s="109">
        <f>IF($BD112&gt;0,(((($BD112/Dashboard!$D$23)*(1+Precificação!$W$589)))+$AL$26)*(1+Dashboard!$D$35),0)</f>
        <v>0</v>
      </c>
      <c r="AM112" s="109">
        <f>IF($BD112&gt;0,(((($BD112/Dashboard!$D$23)*(1+Precificação!$W$589))*(1+AM$28))+$AA$26)*(1+Dashboard!$D$35),0)</f>
        <v>0</v>
      </c>
      <c r="AN112" s="109">
        <f>IF($BD112&gt;0,(((($BD112/Dashboard!$D$23)*(1+Precificação!$W$589))*(1+AN$28))+$AA$26)*(1+Dashboard!$D$35),0)</f>
        <v>0</v>
      </c>
      <c r="AO112" s="109">
        <f>IF($BD112&gt;0,(((($BD112/Dashboard!$D$23)*(1+Precificação!$W$589))*(1+AO$28))+$AA$26)*(1+Dashboard!$D$35),0)</f>
        <v>0</v>
      </c>
      <c r="AV112" s="179">
        <f t="shared" si="8"/>
        <v>0</v>
      </c>
      <c r="AW112" s="144">
        <f>VLOOKUP(B112,'Cronog. e Histog.'!$B$757:$H$849,7,0)</f>
        <v>0</v>
      </c>
      <c r="AX112" s="144">
        <f>VLOOKUP(B112,'Cronog. e Histog.'!$B$757:$I$849,8,0)</f>
        <v>0</v>
      </c>
      <c r="AY112" s="144">
        <f>$AW112*$AX112*Dashboard!$D$15</f>
        <v>0</v>
      </c>
      <c r="AZ112" s="144">
        <f>$AW112*$AX112*VLOOKUP(B112,Precificação!$B$7:$BM$89,54,0)</f>
        <v>0</v>
      </c>
      <c r="BA112" s="144">
        <f>$AW112*$AX112*VLOOKUP(B112,Precificação!$B$7:$BR$89,58,0)</f>
        <v>0</v>
      </c>
      <c r="BB112" s="144">
        <f>$AW112*$AX112*VLOOKUP(B112,Precificação!$B$7:$BW$89,62,0)</f>
        <v>0</v>
      </c>
      <c r="BC112" s="144">
        <f t="shared" si="9"/>
        <v>0</v>
      </c>
      <c r="BD112" s="109">
        <f>IFERROR(VLOOKUP(B112,Precificação!$B$7:$S$89,13,0),0)</f>
        <v>0</v>
      </c>
      <c r="BE112" s="109">
        <f>IFERROR(VLOOKUP(B112,Precificação!$B$7:$U$89,15,0)/(Precificação!$U$4+Precificação!$U$91),0)*Dashboard!$T$3</f>
        <v>0</v>
      </c>
    </row>
    <row r="113" spans="2:57" ht="12" hidden="1" customHeight="1" outlineLevel="1">
      <c r="B113" s="137" t="str">
        <f>Precificação!B88</f>
        <v/>
      </c>
      <c r="D113" s="605"/>
      <c r="E113" s="143" t="str">
        <f>IF('Cronog. e Histog.'!F848&gt;0,'Cronog. e Histog.'!F848,"")</f>
        <v/>
      </c>
      <c r="G113" s="179">
        <f t="shared" si="7"/>
        <v>0</v>
      </c>
      <c r="H113" s="110"/>
      <c r="I113" s="78"/>
      <c r="J113" s="81">
        <f>IF(I113="horista",H113*Dashboard!$D$15,IF(OR(I113="Mensalista",I113="PJ"),H113,))</f>
        <v>0</v>
      </c>
      <c r="K113" s="81">
        <f>IF(I113="PJ",J113,ROUND(J113*(1+Dashboard!$D$22),2))</f>
        <v>0</v>
      </c>
      <c r="L113" s="77"/>
      <c r="M113" s="180"/>
      <c r="P113" s="109">
        <f>IF($BD113&gt;0,(((($BD113/Dashboard!$D$15)*(1+Precificação!$W$589)))+$P$26)*(1+Dashboard!$D$35),0)</f>
        <v>0</v>
      </c>
      <c r="Q113" s="109">
        <f>IF($BD113&gt;0,(((($BD113/Dashboard!$D$23)*(1+Precificação!$W$589))*(1+Q$28))+$P$26)*(1+Dashboard!$D$35),0)</f>
        <v>0</v>
      </c>
      <c r="R113" s="109">
        <f>IF($BD113&gt;0,(((($BD113/Dashboard!$D$23)*(1+Precificação!$W$589))*(1+R$28))+$P$26)*(1+Dashboard!$D$35),0)</f>
        <v>0</v>
      </c>
      <c r="S113" s="109">
        <f>IF($BD113&gt;0,(((($BD113/Dashboard!$D$23)*(1+Precificação!$W$589))*(1+S$28))+$P$26)*(1+Dashboard!$D$35),0)</f>
        <v>0</v>
      </c>
      <c r="AA113" s="109">
        <f>IF($BD113&gt;0,(((($BD113/Dashboard!$D$23)*(1+Precificação!$W$589)))+$AA$26)*(1+Dashboard!$D$35),0)</f>
        <v>0</v>
      </c>
      <c r="AB113" s="109">
        <f>IF($BD113&gt;0,(((($BD113/Dashboard!$D$23)*(1+Precificação!$W$589))*(1+AB$28))+$AA$26)*(1+Dashboard!$D$35),0)</f>
        <v>0</v>
      </c>
      <c r="AC113" s="109">
        <f>IF($BD113&gt;0,(((($BD113/Dashboard!$D$23)*(1+Precificação!$W$589))*(1+AC$28))+$AA$26)*(1+Dashboard!$D$35),0)</f>
        <v>0</v>
      </c>
      <c r="AD113" s="109">
        <f>IF($BD113&gt;0,(((($BD113/Dashboard!$D$23)*(1+Precificação!$W$589))*(1+AD$28))+$AA$26)*(1+Dashboard!$D$35),0)</f>
        <v>0</v>
      </c>
      <c r="AL113" s="109">
        <f>IF($BD113&gt;0,(((($BD113/Dashboard!$D$23)*(1+Precificação!$W$589)))+$AL$26)*(1+Dashboard!$D$35),0)</f>
        <v>0</v>
      </c>
      <c r="AM113" s="109">
        <f>IF($BD113&gt;0,(((($BD113/Dashboard!$D$23)*(1+Precificação!$W$589))*(1+AM$28))+$AA$26)*(1+Dashboard!$D$35),0)</f>
        <v>0</v>
      </c>
      <c r="AN113" s="109">
        <f>IF($BD113&gt;0,(((($BD113/Dashboard!$D$23)*(1+Precificação!$W$589))*(1+AN$28))+$AA$26)*(1+Dashboard!$D$35),0)</f>
        <v>0</v>
      </c>
      <c r="AO113" s="109">
        <f>IF($BD113&gt;0,(((($BD113/Dashboard!$D$23)*(1+Precificação!$W$589))*(1+AO$28))+$AA$26)*(1+Dashboard!$D$35),0)</f>
        <v>0</v>
      </c>
      <c r="AV113" s="179">
        <f t="shared" si="8"/>
        <v>0</v>
      </c>
      <c r="AW113" s="144">
        <f>VLOOKUP(B113,'Cronog. e Histog.'!$B$757:$H$849,7,0)</f>
        <v>0</v>
      </c>
      <c r="AX113" s="144">
        <f>VLOOKUP(B113,'Cronog. e Histog.'!$B$757:$I$849,8,0)</f>
        <v>0</v>
      </c>
      <c r="AY113" s="144">
        <f>$AW113*$AX113*Dashboard!$D$15</f>
        <v>0</v>
      </c>
      <c r="AZ113" s="144">
        <f>$AW113*$AX113*VLOOKUP(B113,Precificação!$B$7:$BM$89,54,0)</f>
        <v>0</v>
      </c>
      <c r="BA113" s="144">
        <f>$AW113*$AX113*VLOOKUP(B113,Precificação!$B$7:$BR$89,58,0)</f>
        <v>0</v>
      </c>
      <c r="BB113" s="144">
        <f>$AW113*$AX113*VLOOKUP(B113,Precificação!$B$7:$BW$89,62,0)</f>
        <v>0</v>
      </c>
      <c r="BC113" s="144">
        <f t="shared" si="9"/>
        <v>0</v>
      </c>
      <c r="BD113" s="109">
        <f>IFERROR(VLOOKUP(B113,Precificação!$B$7:$S$89,13,0),0)</f>
        <v>0</v>
      </c>
      <c r="BE113" s="109">
        <f>IFERROR(VLOOKUP(B113,Precificação!$B$7:$U$89,15,0)/(Precificação!$U$4+Precificação!$U$91),0)*Dashboard!$T$3</f>
        <v>0</v>
      </c>
    </row>
    <row r="114" spans="2:57" ht="12" hidden="1" customHeight="1" outlineLevel="1">
      <c r="B114" s="137" t="str">
        <f>Precificação!B89</f>
        <v/>
      </c>
      <c r="D114" s="606"/>
      <c r="E114" s="143" t="str">
        <f>IF('Cronog. e Histog.'!F849&gt;0,'Cronog. e Histog.'!F849,"")</f>
        <v/>
      </c>
      <c r="G114" s="179">
        <f t="shared" si="7"/>
        <v>0</v>
      </c>
      <c r="H114" s="110"/>
      <c r="I114" s="78"/>
      <c r="J114" s="81">
        <f>IF(I114="horista",H114*Dashboard!$D$15,IF(OR(I114="Mensalista",I114="PJ"),H114,))</f>
        <v>0</v>
      </c>
      <c r="K114" s="81">
        <f>IF(I114="PJ",J114,ROUND(J114*(1+Dashboard!$D$22),2))</f>
        <v>0</v>
      </c>
      <c r="L114" s="77"/>
      <c r="M114" s="180"/>
      <c r="P114" s="109">
        <f>IF($BD114&gt;0,(((($BD114/Dashboard!$D$15)*(1+Precificação!$W$589)))+$P$26)*(1+Dashboard!$D$35),0)</f>
        <v>0</v>
      </c>
      <c r="Q114" s="109">
        <f>IF($BD114&gt;0,(((($BD114/Dashboard!$D$23)*(1+Precificação!$W$589))*(1+Q$28))+$P$26)*(1+Dashboard!$D$35),0)</f>
        <v>0</v>
      </c>
      <c r="R114" s="109">
        <f>IF($BD114&gt;0,(((($BD114/Dashboard!$D$23)*(1+Precificação!$W$589))*(1+R$28))+$P$26)*(1+Dashboard!$D$35),0)</f>
        <v>0</v>
      </c>
      <c r="S114" s="109">
        <f>IF($BD114&gt;0,(((($BD114/Dashboard!$D$23)*(1+Precificação!$W$589))*(1+S$28))+$P$26)*(1+Dashboard!$D$35),0)</f>
        <v>0</v>
      </c>
      <c r="AA114" s="109">
        <f>IF($BD114&gt;0,(((($BD114/Dashboard!$D$23)*(1+Precificação!$W$589)))+$AA$26)*(1+Dashboard!$D$35),0)</f>
        <v>0</v>
      </c>
      <c r="AB114" s="109">
        <f>IF($BD114&gt;0,(((($BD114/Dashboard!$D$23)*(1+Precificação!$W$589))*(1+AB$28))+$AA$26)*(1+Dashboard!$D$35),0)</f>
        <v>0</v>
      </c>
      <c r="AC114" s="109">
        <f>IF($BD114&gt;0,(((($BD114/Dashboard!$D$23)*(1+Precificação!$W$589))*(1+AC$28))+$AA$26)*(1+Dashboard!$D$35),0)</f>
        <v>0</v>
      </c>
      <c r="AD114" s="109">
        <f>IF($BD114&gt;0,(((($BD114/Dashboard!$D$23)*(1+Precificação!$W$589))*(1+AD$28))+$AA$26)*(1+Dashboard!$D$35),0)</f>
        <v>0</v>
      </c>
      <c r="AL114" s="109">
        <f>IF($BD114&gt;0,(((($BD114/Dashboard!$D$23)*(1+Precificação!$W$589)))+$AL$26)*(1+Dashboard!$D$35),0)</f>
        <v>0</v>
      </c>
      <c r="AM114" s="109">
        <f>IF($BD114&gt;0,(((($BD114/Dashboard!$D$23)*(1+Precificação!$W$589))*(1+AM$28))+$AA$26)*(1+Dashboard!$D$35),0)</f>
        <v>0</v>
      </c>
      <c r="AN114" s="109">
        <f>IF($BD114&gt;0,(((($BD114/Dashboard!$D$23)*(1+Precificação!$W$589))*(1+AN$28))+$AA$26)*(1+Dashboard!$D$35),0)</f>
        <v>0</v>
      </c>
      <c r="AO114" s="109">
        <f>IF($BD114&gt;0,(((($BD114/Dashboard!$D$23)*(1+Precificação!$W$589))*(1+AO$28))+$AA$26)*(1+Dashboard!$D$35),0)</f>
        <v>0</v>
      </c>
      <c r="AV114" s="179">
        <f t="shared" si="8"/>
        <v>0</v>
      </c>
      <c r="AW114" s="144">
        <f>VLOOKUP(B114,'Cronog. e Histog.'!$B$757:$H$849,7,0)</f>
        <v>0</v>
      </c>
      <c r="AX114" s="144">
        <f>VLOOKUP(B114,'Cronog. e Histog.'!$B$757:$I$849,8,0)</f>
        <v>0</v>
      </c>
      <c r="AY114" s="144">
        <f>$AW114*$AX114*Dashboard!$D$15</f>
        <v>0</v>
      </c>
      <c r="AZ114" s="144">
        <f>$AW114*$AX114*VLOOKUP(B114,Precificação!$B$7:$BM$89,54,0)</f>
        <v>0</v>
      </c>
      <c r="BA114" s="144">
        <f>$AW114*$AX114*VLOOKUP(B114,Precificação!$B$7:$BR$89,58,0)</f>
        <v>0</v>
      </c>
      <c r="BB114" s="144">
        <f>$AW114*$AX114*VLOOKUP(B114,Precificação!$B$7:$BW$89,62,0)</f>
        <v>0</v>
      </c>
      <c r="BC114" s="144">
        <f t="shared" si="9"/>
        <v>0</v>
      </c>
      <c r="BD114" s="109">
        <f>IFERROR(VLOOKUP(B114,Precificação!$B$7:$S$89,13,0),0)</f>
        <v>0</v>
      </c>
      <c r="BE114" s="109">
        <f>IFERROR(VLOOKUP(B114,Precificação!$B$7:$U$89,15,0)/(Precificação!$U$4+Precificação!$U$91),0)*Dashboard!$T$3</f>
        <v>0</v>
      </c>
    </row>
    <row r="116" spans="2:57" ht="24" customHeight="1">
      <c r="B116" s="157" t="s">
        <v>395</v>
      </c>
      <c r="D116" s="73" t="s">
        <v>540</v>
      </c>
      <c r="E116" s="72" t="s">
        <v>462</v>
      </c>
      <c r="H116" s="73" t="s">
        <v>1106</v>
      </c>
      <c r="I116" s="73" t="s">
        <v>1107</v>
      </c>
      <c r="J116" s="73" t="s">
        <v>1108</v>
      </c>
      <c r="K116" s="73" t="s">
        <v>1109</v>
      </c>
      <c r="L116" s="73" t="s">
        <v>1110</v>
      </c>
      <c r="M116" s="73" t="s">
        <v>1111</v>
      </c>
      <c r="P116" s="176" t="s">
        <v>1112</v>
      </c>
      <c r="Q116" s="176" t="s">
        <v>376</v>
      </c>
      <c r="R116" s="176" t="s">
        <v>1113</v>
      </c>
      <c r="S116" s="176" t="s">
        <v>1114</v>
      </c>
      <c r="U116" s="176" t="s">
        <v>1112</v>
      </c>
      <c r="V116" s="176" t="s">
        <v>376</v>
      </c>
      <c r="W116" s="176" t="s">
        <v>1113</v>
      </c>
      <c r="X116" s="176" t="s">
        <v>1114</v>
      </c>
      <c r="AA116" s="176" t="s">
        <v>1112</v>
      </c>
      <c r="AB116" s="176" t="s">
        <v>376</v>
      </c>
      <c r="AC116" s="176" t="s">
        <v>1113</v>
      </c>
      <c r="AD116" s="176" t="s">
        <v>1114</v>
      </c>
      <c r="AF116" s="176" t="s">
        <v>1112</v>
      </c>
      <c r="AG116" s="176" t="s">
        <v>376</v>
      </c>
      <c r="AH116" s="176" t="s">
        <v>1113</v>
      </c>
      <c r="AI116" s="176" t="s">
        <v>1114</v>
      </c>
      <c r="AL116" s="176" t="s">
        <v>1112</v>
      </c>
      <c r="AM116" s="176" t="s">
        <v>376</v>
      </c>
      <c r="AN116" s="176" t="s">
        <v>1113</v>
      </c>
      <c r="AO116" s="176" t="s">
        <v>1114</v>
      </c>
      <c r="AQ116" s="176" t="s">
        <v>1112</v>
      </c>
      <c r="AR116" s="176" t="s">
        <v>376</v>
      </c>
      <c r="AS116" s="176" t="s">
        <v>1113</v>
      </c>
      <c r="AT116" s="176" t="s">
        <v>1114</v>
      </c>
      <c r="AW116" s="73" t="s">
        <v>255</v>
      </c>
      <c r="AX116" s="73" t="s">
        <v>850</v>
      </c>
      <c r="AY116" s="73" t="s">
        <v>1115</v>
      </c>
      <c r="AZ116" s="73" t="s">
        <v>1116</v>
      </c>
      <c r="BA116" s="73" t="s">
        <v>1117</v>
      </c>
      <c r="BB116" s="73" t="s">
        <v>1118</v>
      </c>
      <c r="BC116" s="73" t="s">
        <v>1119</v>
      </c>
      <c r="BD116" s="73" t="s">
        <v>1120</v>
      </c>
      <c r="BE116" s="73" t="s">
        <v>1121</v>
      </c>
    </row>
    <row r="117" spans="2:57" ht="12" customHeight="1" outlineLevel="1"/>
    <row r="118" spans="2:57" ht="12" customHeight="1" outlineLevel="1">
      <c r="B118" s="137" t="str">
        <f>Precificação!B96</f>
        <v>GER. (OBRA/PROJ) - Equipe_01</v>
      </c>
      <c r="D118" s="512" t="str">
        <f>'Cronog. e Histog.'!F211</f>
        <v>Equipe01</v>
      </c>
      <c r="E118" s="143" t="str">
        <f>IF('Cronog. e Histog.'!G213&gt;0,'Cronog. e Histog.'!G213,"")</f>
        <v>GER. (OBRA/PROJ)</v>
      </c>
      <c r="G118" s="179">
        <f t="shared" ref="G118" si="10">IF(AND((AW118*AX118)&gt;0,K118=0),1,0)</f>
        <v>0</v>
      </c>
      <c r="H118" s="110">
        <f>IFERROR(INDEX('Base Salarial'!$D$5:$F$25,MATCH(E118,'Base Salarial'!$G$5:$G$25,0),MATCH(I118,'Base Salarial'!$D$4:$F$4,0)),"")</f>
        <v>21000</v>
      </c>
      <c r="I118" s="78" t="str">
        <f>IFERROR(INDEX(Tarefas!$BQ$29:$FK$29,MATCH(E118,Tarefas!$BQ$30:$FK$30,0)),"")</f>
        <v>PJ</v>
      </c>
      <c r="J118" s="81">
        <f>IF(I118="horista",H118*Dashboard!$D$15,IF(OR(I118="Mensalista",I118="PJ"),H118,))</f>
        <v>21000</v>
      </c>
      <c r="K118" s="81">
        <f>IF(I118="PJ",J118,ROUND(J118*(1+Dashboard!$D$22),2))</f>
        <v>21000</v>
      </c>
      <c r="L118" s="77"/>
      <c r="M118" s="180"/>
      <c r="P118" s="109">
        <f>IF($BD118&gt;0,(((($BD118/Dashboard!$D$15)*(1+Precificação!$W$589)))+$P$26)*(1+Dashboard!$D$35),0)</f>
        <v>0</v>
      </c>
      <c r="Q118" s="109">
        <f>IF($BD118&gt;0,(((($BD118/Dashboard!$D$23)+(1+Precificação!$W$589))*(1+Q$28))+$P$26)*(1+Dashboard!$D$35),0)</f>
        <v>0</v>
      </c>
      <c r="R118" s="109">
        <f>IF($BD118&gt;0,(((($BD118/Dashboard!$D$23)+(1+Precificação!$W$589))*(1+R$28))+$P$26)*(1+Dashboard!$D$35),0)</f>
        <v>0</v>
      </c>
      <c r="S118" s="109">
        <f>IF($BD118&gt;0,(((($BD118/Dashboard!$D$23)+(1+Precificação!$W$589))*(1+S$28))+$P$26)*(1+Dashboard!$D$35),0)</f>
        <v>0</v>
      </c>
      <c r="U118" s="109">
        <f>IF(P118&gt;0,P118+U$32,0)</f>
        <v>0</v>
      </c>
      <c r="V118" s="109">
        <f t="shared" ref="V118:X118" si="11">IF(Q118&gt;0,Q118+V$32,0)</f>
        <v>0</v>
      </c>
      <c r="W118" s="109">
        <f t="shared" si="11"/>
        <v>0</v>
      </c>
      <c r="X118" s="109">
        <f t="shared" si="11"/>
        <v>0</v>
      </c>
      <c r="AA118" s="109">
        <f>IF($BD118&gt;0,(((($BD118/Dashboard!$D$23)*(1+Precificação!$W$589)))+$AA$26)*(1+Dashboard!$D$35),0)</f>
        <v>0</v>
      </c>
      <c r="AB118" s="109">
        <f>IF($BD118&gt;0,(((($BD118/Dashboard!$D$23)*(1+Precificação!$W$589))*(1+AB$28))+$AA$26)*(1+Dashboard!$D$35),0)</f>
        <v>0</v>
      </c>
      <c r="AC118" s="109">
        <f>IF($BD118&gt;0,(((($BD118/Dashboard!$D$23)*(1+Precificação!$W$589))*(1+AC$28))+$AA$26)*(1+Dashboard!$D$35),0)</f>
        <v>0</v>
      </c>
      <c r="AD118" s="109">
        <f>IF($BD118&gt;0,(((($BD118/Dashboard!$D$23)*(1+Precificação!$W$589))*(1+AD$28))+$AA$26)*(1+Dashboard!$D$35),0)</f>
        <v>0</v>
      </c>
      <c r="AF118" s="109">
        <f>IF(AA118&gt;0,AA118+AF$32,0)</f>
        <v>0</v>
      </c>
      <c r="AG118" s="109">
        <f t="shared" ref="AG118" si="12">IF(AB118&gt;0,AB118+AG$32,0)</f>
        <v>0</v>
      </c>
      <c r="AH118" s="109">
        <f t="shared" ref="AH118" si="13">IF(AC118&gt;0,AC118+AH$32,0)</f>
        <v>0</v>
      </c>
      <c r="AI118" s="109">
        <f t="shared" ref="AI118" si="14">IF(AD118&gt;0,AD118+AI$32,0)</f>
        <v>0</v>
      </c>
      <c r="AL118" s="109">
        <f>IF($BD118&gt;0,(((($BD118/Dashboard!$D$23)*(1+Precificação!$W$589)))+$AL$26)*(1+Dashboard!$D$35),0)</f>
        <v>0</v>
      </c>
      <c r="AM118" s="109">
        <f>IF($BD118&gt;0,(((($BD118/Dashboard!$D$23)*(1+Precificação!$W$589))*(1+AM$28))+$AA$26)*(1+Dashboard!$D$35),0)</f>
        <v>0</v>
      </c>
      <c r="AN118" s="109">
        <f>IF($BD118&gt;0,(((($BD118/Dashboard!$D$23)*(1+Precificação!$W$589))*(1+AN$28))+$AA$26)*(1+Dashboard!$D$35),0)</f>
        <v>0</v>
      </c>
      <c r="AO118" s="109">
        <f>IF($BD118&gt;0,(((($BD118/Dashboard!$D$23)*(1+Precificação!$W$589))*(1+AO$28))+$AA$26)*(1+Dashboard!$D$35),0)</f>
        <v>0</v>
      </c>
      <c r="AQ118" s="109">
        <f>IF(AL118&gt;0,AL118+AQ$32,0)</f>
        <v>0</v>
      </c>
      <c r="AR118" s="109">
        <f t="shared" ref="AR118" si="15">IF(AM118&gt;0,AM118+AR$32,0)</f>
        <v>0</v>
      </c>
      <c r="AS118" s="109">
        <f t="shared" ref="AS118" si="16">IF(AN118&gt;0,AN118+AS$32,0)</f>
        <v>0</v>
      </c>
      <c r="AT118" s="109">
        <f t="shared" ref="AT118" si="17">IF(AO118&gt;0,AO118+AT$32,0)</f>
        <v>0</v>
      </c>
      <c r="AW118" s="144">
        <f>VLOOKUP(B118,'Cronog. e Histog.'!$B$213:$BT$688,71,0)</f>
        <v>1.9999999999999997E-2</v>
      </c>
      <c r="AX118" s="144">
        <f>VLOOKUP(B118,'Cronog. e Histog.'!$B$213:$BU$688,72,0)</f>
        <v>10</v>
      </c>
      <c r="AY118" s="144">
        <f>$AW118*$AX118*Dashboard!$D$15</f>
        <v>38.72</v>
      </c>
      <c r="AZ118" s="144">
        <f>VLOOKUP(B118,Precificação!$B$96:$BM$533,54,0)</f>
        <v>0</v>
      </c>
      <c r="BA118" s="144">
        <f>VLOOKUP(B118,Precificação!$B$96:$BR$533,58,0)</f>
        <v>0</v>
      </c>
      <c r="BB118" s="144">
        <f>VLOOKUP(B118,Precificação!$B$96:$BW$533,62,0)</f>
        <v>0</v>
      </c>
      <c r="BC118" s="144">
        <f t="shared" ref="BC118" si="18">SUM(AY118:BB118)</f>
        <v>38.72</v>
      </c>
      <c r="BD118" s="109">
        <f>IFERROR(VLOOKUP(B118,Precificação!$B$96:$S$533,13,0),0)</f>
        <v>0</v>
      </c>
      <c r="BE118" s="109">
        <f>IFERROR(VLOOKUP(B118,Precificação!$B$96:$U$533,15,0)/(Precificação!$U$4+Precificação!$U$91),0)*Dashboard!$T$3</f>
        <v>0</v>
      </c>
    </row>
    <row r="119" spans="2:57" ht="12" customHeight="1" outlineLevel="1">
      <c r="B119" s="137" t="str">
        <f>Precificação!B97</f>
        <v>COORD. - Equipe_01</v>
      </c>
      <c r="D119" s="512"/>
      <c r="E119" s="143" t="str">
        <f>IF('Cronog. e Histog.'!G214&gt;0,'Cronog. e Histog.'!G214,"")</f>
        <v>COORD.</v>
      </c>
      <c r="G119" s="179">
        <f t="shared" ref="G119:G137" si="19">IF(AND((AW119*AX119)&gt;0,K119=0),1,0)</f>
        <v>0</v>
      </c>
      <c r="H119" s="110">
        <f>IFERROR(INDEX('Base Salarial'!$D$5:$F$25,MATCH(E119,'Base Salarial'!$G$5:$G$25,0),MATCH(I119,'Base Salarial'!$D$4:$F$4,0)),"")</f>
        <v>19000</v>
      </c>
      <c r="I119" s="78" t="str">
        <f>IFERROR(INDEX(Tarefas!$BQ$29:$FK$29,MATCH(E119,Tarefas!$BQ$30:$FK$30,0)),"")</f>
        <v>PJ</v>
      </c>
      <c r="J119" s="81">
        <f>IF(I119="horista",H119*Dashboard!$D$15,IF(OR(I119="Mensalista",I119="PJ"),H119,))</f>
        <v>19000</v>
      </c>
      <c r="K119" s="81">
        <f>IF(I119="PJ",J119,ROUND(J119*(1+Dashboard!$D$22),2))</f>
        <v>19000</v>
      </c>
      <c r="L119" s="77"/>
      <c r="M119" s="180"/>
      <c r="P119" s="109">
        <f>IF($BD119&gt;0,(((($BD119/Dashboard!$D$15)*(1+Precificação!$W$589)))+$P$26)*(1+Dashboard!$D$35),0)</f>
        <v>0</v>
      </c>
      <c r="Q119" s="109">
        <f>IF($BD119&gt;0,(((($BD119/Dashboard!$D$23)+(1+Precificação!$W$589))*(1+Q$28))+$P$26)*(1+Dashboard!$D$35),0)</f>
        <v>0</v>
      </c>
      <c r="R119" s="109">
        <f>IF($BD119&gt;0,(((($BD119/Dashboard!$D$23)+(1+Precificação!$W$589))*(1+R$28))+$P$26)*(1+Dashboard!$D$35),0)</f>
        <v>0</v>
      </c>
      <c r="S119" s="109">
        <f>IF($BD119&gt;0,(((($BD119/Dashboard!$D$23)+(1+Precificação!$W$589))*(1+S$28))+$P$26)*(1+Dashboard!$D$35),0)</f>
        <v>0</v>
      </c>
      <c r="U119" s="109">
        <f t="shared" ref="U119:U137" si="20">IF(P119&gt;0,P119+U$32,0)</f>
        <v>0</v>
      </c>
      <c r="V119" s="109">
        <f t="shared" ref="V119:V137" si="21">IF(Q119&gt;0,Q119+V$32,0)</f>
        <v>0</v>
      </c>
      <c r="W119" s="109">
        <f t="shared" ref="W119:W137" si="22">IF(R119&gt;0,R119+W$32,0)</f>
        <v>0</v>
      </c>
      <c r="X119" s="109">
        <f t="shared" ref="X119:X137" si="23">IF(S119&gt;0,S119+X$32,0)</f>
        <v>0</v>
      </c>
      <c r="AA119" s="109">
        <f>IF($BD119&gt;0,(((($BD119/Dashboard!$D$23)*(1+Precificação!$W$589)))+$AA$26)*(1+Dashboard!$D$35),0)</f>
        <v>0</v>
      </c>
      <c r="AB119" s="109">
        <f>IF($BD119&gt;0,(((($BD119/Dashboard!$D$23)*(1+Precificação!$W$589))*(1+AB$28))+$AA$26)*(1+Dashboard!$D$35),0)</f>
        <v>0</v>
      </c>
      <c r="AC119" s="109">
        <f>IF($BD119&gt;0,(((($BD119/Dashboard!$D$23)*(1+Precificação!$W$589))*(1+AC$28))+$AA$26)*(1+Dashboard!$D$35),0)</f>
        <v>0</v>
      </c>
      <c r="AD119" s="109">
        <f>IF($BD119&gt;0,(((($BD119/Dashboard!$D$23)*(1+Precificação!$W$589))*(1+AD$28))+$AA$26)*(1+Dashboard!$D$35),0)</f>
        <v>0</v>
      </c>
      <c r="AF119" s="109">
        <f t="shared" ref="AF119:AF137" si="24">IF(AA119&gt;0,AA119+AF$32,0)</f>
        <v>0</v>
      </c>
      <c r="AG119" s="109">
        <f t="shared" ref="AG119:AG137" si="25">IF(AB119&gt;0,AB119+AG$32,0)</f>
        <v>0</v>
      </c>
      <c r="AH119" s="109">
        <f t="shared" ref="AH119:AH137" si="26">IF(AC119&gt;0,AC119+AH$32,0)</f>
        <v>0</v>
      </c>
      <c r="AI119" s="109">
        <f t="shared" ref="AI119:AI137" si="27">IF(AD119&gt;0,AD119+AI$32,0)</f>
        <v>0</v>
      </c>
      <c r="AL119" s="109">
        <f>IF($BD119&gt;0,(((($BD119/Dashboard!$D$23)*(1+Precificação!$W$589)))+$AL$26)*(1+Dashboard!$D$35),0)</f>
        <v>0</v>
      </c>
      <c r="AM119" s="109">
        <f>IF($BD119&gt;0,(((($BD119/Dashboard!$D$23)*(1+Precificação!$W$589))*(1+AM$28))+$AA$26)*(1+Dashboard!$D$35),0)</f>
        <v>0</v>
      </c>
      <c r="AN119" s="109">
        <f>IF($BD119&gt;0,(((($BD119/Dashboard!$D$23)*(1+Precificação!$W$589))*(1+AN$28))+$AA$26)*(1+Dashboard!$D$35),0)</f>
        <v>0</v>
      </c>
      <c r="AO119" s="109">
        <f>IF($BD119&gt;0,(((($BD119/Dashboard!$D$23)*(1+Precificação!$W$589))*(1+AO$28))+$AA$26)*(1+Dashboard!$D$35),0)</f>
        <v>0</v>
      </c>
      <c r="AQ119" s="109">
        <f t="shared" ref="AQ119:AQ137" si="28">IF(AL119&gt;0,AL119+AQ$32,0)</f>
        <v>0</v>
      </c>
      <c r="AR119" s="109">
        <f t="shared" ref="AR119:AR137" si="29">IF(AM119&gt;0,AM119+AR$32,0)</f>
        <v>0</v>
      </c>
      <c r="AS119" s="109">
        <f t="shared" ref="AS119:AS137" si="30">IF(AN119&gt;0,AN119+AS$32,0)</f>
        <v>0</v>
      </c>
      <c r="AT119" s="109">
        <f t="shared" ref="AT119:AT137" si="31">IF(AO119&gt;0,AO119+AT$32,0)</f>
        <v>0</v>
      </c>
      <c r="AW119" s="144">
        <f>VLOOKUP(B119,'Cronog. e Histog.'!$B$213:$BT$688,71,0)</f>
        <v>1</v>
      </c>
      <c r="AX119" s="144">
        <f>VLOOKUP(B119,'Cronog. e Histog.'!$B$213:$BU$688,72,0)</f>
        <v>10</v>
      </c>
      <c r="AY119" s="144">
        <f>$AW119*$AX119*Dashboard!$D$15</f>
        <v>1936.0000000000002</v>
      </c>
      <c r="AZ119" s="144">
        <f>VLOOKUP(B119,Precificação!$B$96:$BM$533,54,0)</f>
        <v>0</v>
      </c>
      <c r="BA119" s="144">
        <f>VLOOKUP(B119,Precificação!$B$96:$BR$533,58,0)</f>
        <v>0</v>
      </c>
      <c r="BB119" s="144">
        <f>VLOOKUP(B119,Precificação!$B$96:$BW$533,62,0)</f>
        <v>0</v>
      </c>
      <c r="BC119" s="144">
        <f t="shared" ref="BC119:BC137" si="32">SUM(AY119:BB119)</f>
        <v>1936.0000000000002</v>
      </c>
      <c r="BD119" s="109">
        <f>IFERROR(VLOOKUP(B119,Precificação!$B$96:$S$533,13,0),0)</f>
        <v>0</v>
      </c>
      <c r="BE119" s="109">
        <f>IFERROR(VLOOKUP(B119,Precificação!$B$96:$U$533,15,0)/(Precificação!$U$4+Precificação!$U$91),0)*Dashboard!$T$3</f>
        <v>0</v>
      </c>
    </row>
    <row r="120" spans="2:57" ht="12" customHeight="1" outlineLevel="1">
      <c r="B120" s="137" t="str">
        <f>Precificação!B98</f>
        <v>SUP.-ESP - Equipe_01</v>
      </c>
      <c r="D120" s="512"/>
      <c r="E120" s="143" t="str">
        <f>IF('Cronog. e Histog.'!G215&gt;0,'Cronog. e Histog.'!G215,"")</f>
        <v>SUP.-ESP</v>
      </c>
      <c r="G120" s="179">
        <f t="shared" si="19"/>
        <v>0</v>
      </c>
      <c r="H120" s="110">
        <f>IFERROR(INDEX('Base Salarial'!$D$5:$F$25,MATCH(E120,'Base Salarial'!$G$5:$G$25,0),MATCH(I120,'Base Salarial'!$D$4:$F$4,0)),"")</f>
        <v>9166.6666666666679</v>
      </c>
      <c r="I120" s="78" t="str">
        <f>IFERROR(INDEX(Tarefas!$BQ$29:$FK$29,MATCH(E120,Tarefas!$BQ$30:$FK$30,0)),"")</f>
        <v>Mensalista</v>
      </c>
      <c r="J120" s="81">
        <f>IF(I120="horista",H120*Dashboard!$D$15,IF(OR(I120="Mensalista",I120="PJ"),H120,))</f>
        <v>9166.6666666666679</v>
      </c>
      <c r="K120" s="81">
        <f>IF(I120="PJ",J120,ROUND(J120*(1+Dashboard!$D$22),2))</f>
        <v>9716.67</v>
      </c>
      <c r="L120" s="77"/>
      <c r="M120" s="180"/>
      <c r="P120" s="109">
        <f>IF($BD120&gt;0,(((($BD120/Dashboard!$D$15)*(1+Precificação!$W$589)))+$P$26)*(1+Dashboard!$D$35),0)</f>
        <v>0</v>
      </c>
      <c r="Q120" s="109">
        <f>IF($BD120&gt;0,(((($BD120/Dashboard!$D$23)+(1+Precificação!$W$589))*(1+Q$28))+$P$26)*(1+Dashboard!$D$35),0)</f>
        <v>0</v>
      </c>
      <c r="R120" s="109">
        <f>IF($BD120&gt;0,(((($BD120/Dashboard!$D$23)+(1+Precificação!$W$589))*(1+R$28))+$P$26)*(1+Dashboard!$D$35),0)</f>
        <v>0</v>
      </c>
      <c r="S120" s="109">
        <f>IF($BD120&gt;0,(((($BD120/Dashboard!$D$23)+(1+Precificação!$W$589))*(1+S$28))+$P$26)*(1+Dashboard!$D$35),0)</f>
        <v>0</v>
      </c>
      <c r="U120" s="109">
        <f t="shared" si="20"/>
        <v>0</v>
      </c>
      <c r="V120" s="109">
        <f t="shared" si="21"/>
        <v>0</v>
      </c>
      <c r="W120" s="109">
        <f t="shared" si="22"/>
        <v>0</v>
      </c>
      <c r="X120" s="109">
        <f t="shared" si="23"/>
        <v>0</v>
      </c>
      <c r="AA120" s="109">
        <f>IF($BD120&gt;0,(((($BD120/Dashboard!$D$23)*(1+Precificação!$W$589)))+$AA$26)*(1+Dashboard!$D$35),0)</f>
        <v>0</v>
      </c>
      <c r="AB120" s="109">
        <f>IF($BD120&gt;0,(((($BD120/Dashboard!$D$23)*(1+Precificação!$W$589))*(1+AB$28))+$AA$26)*(1+Dashboard!$D$35),0)</f>
        <v>0</v>
      </c>
      <c r="AC120" s="109">
        <f>IF($BD120&gt;0,(((($BD120/Dashboard!$D$23)*(1+Precificação!$W$589))*(1+AC$28))+$AA$26)*(1+Dashboard!$D$35),0)</f>
        <v>0</v>
      </c>
      <c r="AD120" s="109">
        <f>IF($BD120&gt;0,(((($BD120/Dashboard!$D$23)*(1+Precificação!$W$589))*(1+AD$28))+$AA$26)*(1+Dashboard!$D$35),0)</f>
        <v>0</v>
      </c>
      <c r="AF120" s="109">
        <f t="shared" si="24"/>
        <v>0</v>
      </c>
      <c r="AG120" s="109">
        <f t="shared" si="25"/>
        <v>0</v>
      </c>
      <c r="AH120" s="109">
        <f t="shared" si="26"/>
        <v>0</v>
      </c>
      <c r="AI120" s="109">
        <f t="shared" si="27"/>
        <v>0</v>
      </c>
      <c r="AL120" s="109">
        <f>IF($BD120&gt;0,(((($BD120/Dashboard!$D$23)*(1+Precificação!$W$589)))+$AL$26)*(1+Dashboard!$D$35),0)</f>
        <v>0</v>
      </c>
      <c r="AM120" s="109">
        <f>IF($BD120&gt;0,(((($BD120/Dashboard!$D$23)*(1+Precificação!$W$589))*(1+AM$28))+$AA$26)*(1+Dashboard!$D$35),0)</f>
        <v>0</v>
      </c>
      <c r="AN120" s="109">
        <f>IF($BD120&gt;0,(((($BD120/Dashboard!$D$23)*(1+Precificação!$W$589))*(1+AN$28))+$AA$26)*(1+Dashboard!$D$35),0)</f>
        <v>0</v>
      </c>
      <c r="AO120" s="109">
        <f>IF($BD120&gt;0,(((($BD120/Dashboard!$D$23)*(1+Precificação!$W$589))*(1+AO$28))+$AA$26)*(1+Dashboard!$D$35),0)</f>
        <v>0</v>
      </c>
      <c r="AQ120" s="109">
        <f t="shared" si="28"/>
        <v>0</v>
      </c>
      <c r="AR120" s="109">
        <f t="shared" si="29"/>
        <v>0</v>
      </c>
      <c r="AS120" s="109">
        <f t="shared" si="30"/>
        <v>0</v>
      </c>
      <c r="AT120" s="109">
        <f t="shared" si="31"/>
        <v>0</v>
      </c>
      <c r="AW120" s="144">
        <f>VLOOKUP(B120,'Cronog. e Histog.'!$B$213:$BT$688,71,0)</f>
        <v>0</v>
      </c>
      <c r="AX120" s="144">
        <f>VLOOKUP(B120,'Cronog. e Histog.'!$B$213:$BU$688,72,0)</f>
        <v>0</v>
      </c>
      <c r="AY120" s="144">
        <f>$AW120*$AX120*Dashboard!$D$15</f>
        <v>0</v>
      </c>
      <c r="AZ120" s="144">
        <f>VLOOKUP(B120,Precificação!$B$96:$BM$533,54,0)</f>
        <v>0</v>
      </c>
      <c r="BA120" s="144">
        <f>VLOOKUP(B120,Precificação!$B$96:$BR$533,58,0)</f>
        <v>0</v>
      </c>
      <c r="BB120" s="144">
        <f>VLOOKUP(B120,Precificação!$B$96:$BW$533,62,0)</f>
        <v>0</v>
      </c>
      <c r="BC120" s="144">
        <f t="shared" si="32"/>
        <v>0</v>
      </c>
      <c r="BD120" s="109">
        <f>IFERROR(VLOOKUP(B120,Precificação!$B$96:$S$533,13,0),0)</f>
        <v>0</v>
      </c>
      <c r="BE120" s="109">
        <f>IFERROR(VLOOKUP(B120,Precificação!$B$96:$U$533,15,0)/(Precificação!$U$4+Precificação!$U$91),0)*Dashboard!$T$3</f>
        <v>0</v>
      </c>
    </row>
    <row r="121" spans="2:57" ht="12" customHeight="1" outlineLevel="1">
      <c r="B121" s="137" t="str">
        <f>Precificação!B99</f>
        <v>ENG/ARQ SR. - Equipe_01</v>
      </c>
      <c r="D121" s="512"/>
      <c r="E121" s="143" t="str">
        <f>IF('Cronog. e Histog.'!G216&gt;0,'Cronog. e Histog.'!G216,"")</f>
        <v>ENG/ARQ SR.</v>
      </c>
      <c r="G121" s="179">
        <f t="shared" si="19"/>
        <v>0</v>
      </c>
      <c r="H121" s="110">
        <f>IFERROR(INDEX('Base Salarial'!$D$5:$F$25,MATCH(E121,'Base Salarial'!$G$5:$G$25,0),MATCH(I121,'Base Salarial'!$D$4:$F$4,0)),"")</f>
        <v>16000</v>
      </c>
      <c r="I121" s="78" t="str">
        <f>IFERROR(INDEX(Tarefas!$BQ$29:$FK$29,MATCH(E121,Tarefas!$BQ$30:$FK$30,0)),"")</f>
        <v>PJ</v>
      </c>
      <c r="J121" s="81">
        <f>IF(I121="horista",H121*Dashboard!$D$15,IF(OR(I121="Mensalista",I121="PJ"),H121,))</f>
        <v>16000</v>
      </c>
      <c r="K121" s="81">
        <f>IF(I121="PJ",J121,ROUND(J121*(1+Dashboard!$D$22),2))</f>
        <v>16000</v>
      </c>
      <c r="L121" s="77"/>
      <c r="M121" s="180"/>
      <c r="P121" s="109">
        <f>IF($BD121&gt;0,(((($BD121/Dashboard!$D$15)*(1+Precificação!$W$589)))+$P$26)*(1+Dashboard!$D$35),0)</f>
        <v>0</v>
      </c>
      <c r="Q121" s="109">
        <f>IF($BD121&gt;0,(((($BD121/Dashboard!$D$23)+(1+Precificação!$W$589))*(1+Q$28))+$P$26)*(1+Dashboard!$D$35),0)</f>
        <v>0</v>
      </c>
      <c r="R121" s="109">
        <f>IF($BD121&gt;0,(((($BD121/Dashboard!$D$23)+(1+Precificação!$W$589))*(1+R$28))+$P$26)*(1+Dashboard!$D$35),0)</f>
        <v>0</v>
      </c>
      <c r="S121" s="109">
        <f>IF($BD121&gt;0,(((($BD121/Dashboard!$D$23)+(1+Precificação!$W$589))*(1+S$28))+$P$26)*(1+Dashboard!$D$35),0)</f>
        <v>0</v>
      </c>
      <c r="U121" s="109">
        <f t="shared" si="20"/>
        <v>0</v>
      </c>
      <c r="V121" s="109">
        <f t="shared" si="21"/>
        <v>0</v>
      </c>
      <c r="W121" s="109">
        <f t="shared" si="22"/>
        <v>0</v>
      </c>
      <c r="X121" s="109">
        <f t="shared" si="23"/>
        <v>0</v>
      </c>
      <c r="AA121" s="109">
        <f>IF($BD121&gt;0,(((($BD121/Dashboard!$D$23)*(1+Precificação!$W$589)))+$AA$26)*(1+Dashboard!$D$35),0)</f>
        <v>0</v>
      </c>
      <c r="AB121" s="109">
        <f>IF($BD121&gt;0,(((($BD121/Dashboard!$D$23)*(1+Precificação!$W$589))*(1+AB$28))+$AA$26)*(1+Dashboard!$D$35),0)</f>
        <v>0</v>
      </c>
      <c r="AC121" s="109">
        <f>IF($BD121&gt;0,(((($BD121/Dashboard!$D$23)*(1+Precificação!$W$589))*(1+AC$28))+$AA$26)*(1+Dashboard!$D$35),0)</f>
        <v>0</v>
      </c>
      <c r="AD121" s="109">
        <f>IF($BD121&gt;0,(((($BD121/Dashboard!$D$23)*(1+Precificação!$W$589))*(1+AD$28))+$AA$26)*(1+Dashboard!$D$35),0)</f>
        <v>0</v>
      </c>
      <c r="AF121" s="109">
        <f t="shared" si="24"/>
        <v>0</v>
      </c>
      <c r="AG121" s="109">
        <f t="shared" si="25"/>
        <v>0</v>
      </c>
      <c r="AH121" s="109">
        <f t="shared" si="26"/>
        <v>0</v>
      </c>
      <c r="AI121" s="109">
        <f t="shared" si="27"/>
        <v>0</v>
      </c>
      <c r="AL121" s="109">
        <f>IF($BD121&gt;0,(((($BD121/Dashboard!$D$23)*(1+Precificação!$W$589)))+$AL$26)*(1+Dashboard!$D$35),0)</f>
        <v>0</v>
      </c>
      <c r="AM121" s="109">
        <f>IF($BD121&gt;0,(((($BD121/Dashboard!$D$23)*(1+Precificação!$W$589))*(1+AM$28))+$AA$26)*(1+Dashboard!$D$35),0)</f>
        <v>0</v>
      </c>
      <c r="AN121" s="109">
        <f>IF($BD121&gt;0,(((($BD121/Dashboard!$D$23)*(1+Precificação!$W$589))*(1+AN$28))+$AA$26)*(1+Dashboard!$D$35),0)</f>
        <v>0</v>
      </c>
      <c r="AO121" s="109">
        <f>IF($BD121&gt;0,(((($BD121/Dashboard!$D$23)*(1+Precificação!$W$589))*(1+AO$28))+$AA$26)*(1+Dashboard!$D$35),0)</f>
        <v>0</v>
      </c>
      <c r="AQ121" s="109">
        <f t="shared" si="28"/>
        <v>0</v>
      </c>
      <c r="AR121" s="109">
        <f t="shared" si="29"/>
        <v>0</v>
      </c>
      <c r="AS121" s="109">
        <f t="shared" si="30"/>
        <v>0</v>
      </c>
      <c r="AT121" s="109">
        <f t="shared" si="31"/>
        <v>0</v>
      </c>
      <c r="AW121" s="144">
        <f>VLOOKUP(B121,'Cronog. e Histog.'!$B$213:$BT$688,71,0)</f>
        <v>9.9999999999999985E-3</v>
      </c>
      <c r="AX121" s="144">
        <f>VLOOKUP(B121,'Cronog. e Histog.'!$B$213:$BU$688,72,0)</f>
        <v>10</v>
      </c>
      <c r="AY121" s="144">
        <f>$AW121*$AX121*Dashboard!$D$15</f>
        <v>19.36</v>
      </c>
      <c r="AZ121" s="144">
        <f>VLOOKUP(B121,Precificação!$B$96:$BM$533,54,0)</f>
        <v>0</v>
      </c>
      <c r="BA121" s="144">
        <f>VLOOKUP(B121,Precificação!$B$96:$BR$533,58,0)</f>
        <v>0</v>
      </c>
      <c r="BB121" s="144">
        <f>VLOOKUP(B121,Precificação!$B$96:$BW$533,62,0)</f>
        <v>0</v>
      </c>
      <c r="BC121" s="144">
        <f t="shared" si="32"/>
        <v>19.36</v>
      </c>
      <c r="BD121" s="109">
        <f>IFERROR(VLOOKUP(B121,Precificação!$B$96:$S$533,13,0),0)</f>
        <v>0</v>
      </c>
      <c r="BE121" s="109">
        <f>IFERROR(VLOOKUP(B121,Precificação!$B$96:$U$533,15,0)/(Precificação!$U$4+Precificação!$U$91),0)*Dashboard!$T$3</f>
        <v>0</v>
      </c>
    </row>
    <row r="122" spans="2:57" ht="12" customHeight="1" outlineLevel="1">
      <c r="B122" s="137" t="str">
        <f>Precificação!B100</f>
        <v>ENG/ARQ PL. - Equipe_01</v>
      </c>
      <c r="D122" s="512"/>
      <c r="E122" s="143" t="str">
        <f>IF('Cronog. e Histog.'!G217&gt;0,'Cronog. e Histog.'!G217,"")</f>
        <v>ENG/ARQ PL.</v>
      </c>
      <c r="G122" s="179">
        <f t="shared" si="19"/>
        <v>0</v>
      </c>
      <c r="H122" s="110">
        <f>IFERROR(INDEX('Base Salarial'!$D$5:$F$25,MATCH(E122,'Base Salarial'!$G$5:$G$25,0),MATCH(I122,'Base Salarial'!$D$4:$F$4,0)),"")</f>
        <v>14000</v>
      </c>
      <c r="I122" s="78" t="str">
        <f>IFERROR(INDEX(Tarefas!$BQ$29:$FK$29,MATCH(E122,Tarefas!$BQ$30:$FK$30,0)),"")</f>
        <v>PJ</v>
      </c>
      <c r="J122" s="81">
        <f>IF(I122="horista",H122*Dashboard!$D$15,IF(OR(I122="Mensalista",I122="PJ"),H122,))</f>
        <v>14000</v>
      </c>
      <c r="K122" s="81">
        <f>IF(I122="PJ",J122,ROUND(J122*(1+Dashboard!$D$22),2))</f>
        <v>14000</v>
      </c>
      <c r="L122" s="77"/>
      <c r="M122" s="180"/>
      <c r="P122" s="109">
        <f>IF($BD122&gt;0,(((($BD122/Dashboard!$D$15)*(1+Precificação!$W$589)))+$P$26)*(1+Dashboard!$D$35),0)</f>
        <v>0</v>
      </c>
      <c r="Q122" s="109">
        <f>IF($BD122&gt;0,(((($BD122/Dashboard!$D$23)+(1+Precificação!$W$589))*(1+Q$28))+$P$26)*(1+Dashboard!$D$35),0)</f>
        <v>0</v>
      </c>
      <c r="R122" s="109">
        <f>IF($BD122&gt;0,(((($BD122/Dashboard!$D$23)+(1+Precificação!$W$589))*(1+R$28))+$P$26)*(1+Dashboard!$D$35),0)</f>
        <v>0</v>
      </c>
      <c r="S122" s="109">
        <f>IF($BD122&gt;0,(((($BD122/Dashboard!$D$23)+(1+Precificação!$W$589))*(1+S$28))+$P$26)*(1+Dashboard!$D$35),0)</f>
        <v>0</v>
      </c>
      <c r="U122" s="109">
        <f t="shared" si="20"/>
        <v>0</v>
      </c>
      <c r="V122" s="109">
        <f t="shared" si="21"/>
        <v>0</v>
      </c>
      <c r="W122" s="109">
        <f t="shared" si="22"/>
        <v>0</v>
      </c>
      <c r="X122" s="109">
        <f t="shared" si="23"/>
        <v>0</v>
      </c>
      <c r="AA122" s="109">
        <f>IF($BD122&gt;0,(((($BD122/Dashboard!$D$23)*(1+Precificação!$W$589)))+$AA$26)*(1+Dashboard!$D$35),0)</f>
        <v>0</v>
      </c>
      <c r="AB122" s="109">
        <f>IF($BD122&gt;0,(((($BD122/Dashboard!$D$23)*(1+Precificação!$W$589))*(1+AB$28))+$AA$26)*(1+Dashboard!$D$35),0)</f>
        <v>0</v>
      </c>
      <c r="AC122" s="109">
        <f>IF($BD122&gt;0,(((($BD122/Dashboard!$D$23)*(1+Precificação!$W$589))*(1+AC$28))+$AA$26)*(1+Dashboard!$D$35),0)</f>
        <v>0</v>
      </c>
      <c r="AD122" s="109">
        <f>IF($BD122&gt;0,(((($BD122/Dashboard!$D$23)*(1+Precificação!$W$589))*(1+AD$28))+$AA$26)*(1+Dashboard!$D$35),0)</f>
        <v>0</v>
      </c>
      <c r="AF122" s="109">
        <f t="shared" si="24"/>
        <v>0</v>
      </c>
      <c r="AG122" s="109">
        <f t="shared" si="25"/>
        <v>0</v>
      </c>
      <c r="AH122" s="109">
        <f t="shared" si="26"/>
        <v>0</v>
      </c>
      <c r="AI122" s="109">
        <f t="shared" si="27"/>
        <v>0</v>
      </c>
      <c r="AL122" s="109">
        <f>IF($BD122&gt;0,(((($BD122/Dashboard!$D$23)*(1+Precificação!$W$589)))+$AL$26)*(1+Dashboard!$D$35),0)</f>
        <v>0</v>
      </c>
      <c r="AM122" s="109">
        <f>IF($BD122&gt;0,(((($BD122/Dashboard!$D$23)*(1+Precificação!$W$589))*(1+AM$28))+$AA$26)*(1+Dashboard!$D$35),0)</f>
        <v>0</v>
      </c>
      <c r="AN122" s="109">
        <f>IF($BD122&gt;0,(((($BD122/Dashboard!$D$23)*(1+Precificação!$W$589))*(1+AN$28))+$AA$26)*(1+Dashboard!$D$35),0)</f>
        <v>0</v>
      </c>
      <c r="AO122" s="109">
        <f>IF($BD122&gt;0,(((($BD122/Dashboard!$D$23)*(1+Precificação!$W$589))*(1+AO$28))+$AA$26)*(1+Dashboard!$D$35),0)</f>
        <v>0</v>
      </c>
      <c r="AQ122" s="109">
        <f t="shared" si="28"/>
        <v>0</v>
      </c>
      <c r="AR122" s="109">
        <f t="shared" si="29"/>
        <v>0</v>
      </c>
      <c r="AS122" s="109">
        <f t="shared" si="30"/>
        <v>0</v>
      </c>
      <c r="AT122" s="109">
        <f t="shared" si="31"/>
        <v>0</v>
      </c>
      <c r="AW122" s="144">
        <f>VLOOKUP(B122,'Cronog. e Histog.'!$B$213:$BT$688,71,0)</f>
        <v>0</v>
      </c>
      <c r="AX122" s="144">
        <f>VLOOKUP(B122,'Cronog. e Histog.'!$B$213:$BU$688,72,0)</f>
        <v>0</v>
      </c>
      <c r="AY122" s="144">
        <f>$AW122*$AX122*Dashboard!$D$15</f>
        <v>0</v>
      </c>
      <c r="AZ122" s="144">
        <f>VLOOKUP(B122,Precificação!$B$96:$BM$533,54,0)</f>
        <v>0</v>
      </c>
      <c r="BA122" s="144">
        <f>VLOOKUP(B122,Precificação!$B$96:$BR$533,58,0)</f>
        <v>0</v>
      </c>
      <c r="BB122" s="144">
        <f>VLOOKUP(B122,Precificação!$B$96:$BW$533,62,0)</f>
        <v>0</v>
      </c>
      <c r="BC122" s="144">
        <f t="shared" si="32"/>
        <v>0</v>
      </c>
      <c r="BD122" s="109">
        <f>IFERROR(VLOOKUP(B122,Precificação!$B$96:$S$533,13,0),0)</f>
        <v>0</v>
      </c>
      <c r="BE122" s="109">
        <f>IFERROR(VLOOKUP(B122,Precificação!$B$96:$U$533,15,0)/(Precificação!$U$4+Precificação!$U$91),0)*Dashboard!$T$3</f>
        <v>0</v>
      </c>
    </row>
    <row r="123" spans="2:57" ht="12" customHeight="1" outlineLevel="1">
      <c r="B123" s="137" t="str">
        <f>Precificação!B101</f>
        <v>ENG/ARQ JR. - Equipe_01</v>
      </c>
      <c r="D123" s="512"/>
      <c r="E123" s="143" t="str">
        <f>IF('Cronog. e Histog.'!G218&gt;0,'Cronog. e Histog.'!G218,"")</f>
        <v>ENG/ARQ JR.</v>
      </c>
      <c r="G123" s="179">
        <f t="shared" si="19"/>
        <v>0</v>
      </c>
      <c r="H123" s="110">
        <f>IFERROR(INDEX('Base Salarial'!$D$5:$F$25,MATCH(E123,'Base Salarial'!$G$5:$G$25,0),MATCH(I123,'Base Salarial'!$D$4:$F$4,0)),"")</f>
        <v>14000</v>
      </c>
      <c r="I123" s="78" t="str">
        <f>IFERROR(INDEX(Tarefas!$BQ$29:$FK$29,MATCH(E123,Tarefas!$BQ$30:$FK$30,0)),"")</f>
        <v>PJ</v>
      </c>
      <c r="J123" s="81">
        <f>IF(I123="horista",H123*Dashboard!$D$15,IF(OR(I123="Mensalista",I123="PJ"),H123,))</f>
        <v>14000</v>
      </c>
      <c r="K123" s="81">
        <f>IF(I123="PJ",J123,ROUND(J123*(1+Dashboard!$D$22),2))</f>
        <v>14000</v>
      </c>
      <c r="L123" s="77"/>
      <c r="M123" s="180"/>
      <c r="P123" s="109">
        <f>IF($BD123&gt;0,(((($BD123/Dashboard!$D$15)*(1+Precificação!$W$589)))+$P$26)*(1+Dashboard!$D$35),0)</f>
        <v>0</v>
      </c>
      <c r="Q123" s="109">
        <f>IF($BD123&gt;0,(((($BD123/Dashboard!$D$23)+(1+Precificação!$W$589))*(1+Q$28))+$P$26)*(1+Dashboard!$D$35),0)</f>
        <v>0</v>
      </c>
      <c r="R123" s="109">
        <f>IF($BD123&gt;0,(((($BD123/Dashboard!$D$23)+(1+Precificação!$W$589))*(1+R$28))+$P$26)*(1+Dashboard!$D$35),0)</f>
        <v>0</v>
      </c>
      <c r="S123" s="109">
        <f>IF($BD123&gt;0,(((($BD123/Dashboard!$D$23)+(1+Precificação!$W$589))*(1+S$28))+$P$26)*(1+Dashboard!$D$35),0)</f>
        <v>0</v>
      </c>
      <c r="U123" s="109">
        <f t="shared" si="20"/>
        <v>0</v>
      </c>
      <c r="V123" s="109">
        <f t="shared" si="21"/>
        <v>0</v>
      </c>
      <c r="W123" s="109">
        <f t="shared" si="22"/>
        <v>0</v>
      </c>
      <c r="X123" s="109">
        <f t="shared" si="23"/>
        <v>0</v>
      </c>
      <c r="AA123" s="109">
        <f>IF($BD123&gt;0,(((($BD123/Dashboard!$D$23)*(1+Precificação!$W$589)))+$AA$26)*(1+Dashboard!$D$35),0)</f>
        <v>0</v>
      </c>
      <c r="AB123" s="109">
        <f>IF($BD123&gt;0,(((($BD123/Dashboard!$D$23)*(1+Precificação!$W$589))*(1+AB$28))+$AA$26)*(1+Dashboard!$D$35),0)</f>
        <v>0</v>
      </c>
      <c r="AC123" s="109">
        <f>IF($BD123&gt;0,(((($BD123/Dashboard!$D$23)*(1+Precificação!$W$589))*(1+AC$28))+$AA$26)*(1+Dashboard!$D$35),0)</f>
        <v>0</v>
      </c>
      <c r="AD123" s="109">
        <f>IF($BD123&gt;0,(((($BD123/Dashboard!$D$23)*(1+Precificação!$W$589))*(1+AD$28))+$AA$26)*(1+Dashboard!$D$35),0)</f>
        <v>0</v>
      </c>
      <c r="AF123" s="109">
        <f t="shared" si="24"/>
        <v>0</v>
      </c>
      <c r="AG123" s="109">
        <f t="shared" si="25"/>
        <v>0</v>
      </c>
      <c r="AH123" s="109">
        <f t="shared" si="26"/>
        <v>0</v>
      </c>
      <c r="AI123" s="109">
        <f t="shared" si="27"/>
        <v>0</v>
      </c>
      <c r="AL123" s="109">
        <f>IF($BD123&gt;0,(((($BD123/Dashboard!$D$23)*(1+Precificação!$W$589)))+$AL$26)*(1+Dashboard!$D$35),0)</f>
        <v>0</v>
      </c>
      <c r="AM123" s="109">
        <f>IF($BD123&gt;0,(((($BD123/Dashboard!$D$23)*(1+Precificação!$W$589))*(1+AM$28))+$AA$26)*(1+Dashboard!$D$35),0)</f>
        <v>0</v>
      </c>
      <c r="AN123" s="109">
        <f>IF($BD123&gt;0,(((($BD123/Dashboard!$D$23)*(1+Precificação!$W$589))*(1+AN$28))+$AA$26)*(1+Dashboard!$D$35),0)</f>
        <v>0</v>
      </c>
      <c r="AO123" s="109">
        <f>IF($BD123&gt;0,(((($BD123/Dashboard!$D$23)*(1+Precificação!$W$589))*(1+AO$28))+$AA$26)*(1+Dashboard!$D$35),0)</f>
        <v>0</v>
      </c>
      <c r="AQ123" s="109">
        <f t="shared" si="28"/>
        <v>0</v>
      </c>
      <c r="AR123" s="109">
        <f t="shared" si="29"/>
        <v>0</v>
      </c>
      <c r="AS123" s="109">
        <f t="shared" si="30"/>
        <v>0</v>
      </c>
      <c r="AT123" s="109">
        <f t="shared" si="31"/>
        <v>0</v>
      </c>
      <c r="AW123" s="144">
        <f>VLOOKUP(B123,'Cronog. e Histog.'!$B$213:$BT$688,71,0)</f>
        <v>0</v>
      </c>
      <c r="AX123" s="144">
        <f>VLOOKUP(B123,'Cronog. e Histog.'!$B$213:$BU$688,72,0)</f>
        <v>0</v>
      </c>
      <c r="AY123" s="144">
        <f>$AW123*$AX123*Dashboard!$D$15</f>
        <v>0</v>
      </c>
      <c r="AZ123" s="144">
        <f>VLOOKUP(B123,Precificação!$B$96:$BM$533,54,0)</f>
        <v>0</v>
      </c>
      <c r="BA123" s="144">
        <f>VLOOKUP(B123,Precificação!$B$96:$BR$533,58,0)</f>
        <v>0</v>
      </c>
      <c r="BB123" s="144">
        <f>VLOOKUP(B123,Precificação!$B$96:$BW$533,62,0)</f>
        <v>0</v>
      </c>
      <c r="BC123" s="144">
        <f t="shared" si="32"/>
        <v>0</v>
      </c>
      <c r="BD123" s="109">
        <f>IFERROR(VLOOKUP(B123,Precificação!$B$96:$S$533,13,0),0)</f>
        <v>0</v>
      </c>
      <c r="BE123" s="109">
        <f>IFERROR(VLOOKUP(B123,Precificação!$B$96:$U$533,15,0)/(Precificação!$U$4+Precificação!$U$91),0)*Dashboard!$T$3</f>
        <v>0</v>
      </c>
    </row>
    <row r="124" spans="2:57" ht="12" customHeight="1" outlineLevel="1">
      <c r="B124" s="137" t="str">
        <f>Precificação!B102</f>
        <v>AN SR. ENG/ARQ - Equipe_01</v>
      </c>
      <c r="D124" s="512"/>
      <c r="E124" s="143" t="str">
        <f>IF('Cronog. e Histog.'!G219&gt;0,'Cronog. e Histog.'!G219,"")</f>
        <v>AN SR. ENG/ARQ</v>
      </c>
      <c r="G124" s="179">
        <f t="shared" si="19"/>
        <v>0</v>
      </c>
      <c r="H124" s="110">
        <f>IFERROR(INDEX('Base Salarial'!$D$5:$F$25,MATCH(E124,'Base Salarial'!$G$5:$G$25,0),MATCH(I124,'Base Salarial'!$D$4:$F$4,0)),"")</f>
        <v>7500</v>
      </c>
      <c r="I124" s="78" t="str">
        <f>IFERROR(INDEX(Tarefas!$BQ$29:$FK$29,MATCH(E124,Tarefas!$BQ$30:$FK$30,0)),"")</f>
        <v>Mensalista</v>
      </c>
      <c r="J124" s="81">
        <f>IF(I124="horista",H124*Dashboard!$D$15,IF(OR(I124="Mensalista",I124="PJ"),H124,))</f>
        <v>7500</v>
      </c>
      <c r="K124" s="81">
        <f>IF(I124="PJ",J124,ROUND(J124*(1+Dashboard!$D$22),2))</f>
        <v>7950</v>
      </c>
      <c r="L124" s="77"/>
      <c r="M124" s="180"/>
      <c r="P124" s="109">
        <f>IF($BD124&gt;0,(((($BD124/Dashboard!$D$15)*(1+Precificação!$W$589)))+$P$26)*(1+Dashboard!$D$35),0)</f>
        <v>0</v>
      </c>
      <c r="Q124" s="109">
        <f>IF($BD124&gt;0,(((($BD124/Dashboard!$D$23)+(1+Precificação!$W$589))*(1+Q$28))+$P$26)*(1+Dashboard!$D$35),0)</f>
        <v>0</v>
      </c>
      <c r="R124" s="109">
        <f>IF($BD124&gt;0,(((($BD124/Dashboard!$D$23)+(1+Precificação!$W$589))*(1+R$28))+$P$26)*(1+Dashboard!$D$35),0)</f>
        <v>0</v>
      </c>
      <c r="S124" s="109">
        <f>IF($BD124&gt;0,(((($BD124/Dashboard!$D$23)+(1+Precificação!$W$589))*(1+S$28))+$P$26)*(1+Dashboard!$D$35),0)</f>
        <v>0</v>
      </c>
      <c r="U124" s="109">
        <f t="shared" si="20"/>
        <v>0</v>
      </c>
      <c r="V124" s="109">
        <f t="shared" si="21"/>
        <v>0</v>
      </c>
      <c r="W124" s="109">
        <f t="shared" si="22"/>
        <v>0</v>
      </c>
      <c r="X124" s="109">
        <f t="shared" si="23"/>
        <v>0</v>
      </c>
      <c r="AA124" s="109">
        <f>IF($BD124&gt;0,(((($BD124/Dashboard!$D$23)*(1+Precificação!$W$589)))+$AA$26)*(1+Dashboard!$D$35),0)</f>
        <v>0</v>
      </c>
      <c r="AB124" s="109">
        <f>IF($BD124&gt;0,(((($BD124/Dashboard!$D$23)*(1+Precificação!$W$589))*(1+AB$28))+$AA$26)*(1+Dashboard!$D$35),0)</f>
        <v>0</v>
      </c>
      <c r="AC124" s="109">
        <f>IF($BD124&gt;0,(((($BD124/Dashboard!$D$23)*(1+Precificação!$W$589))*(1+AC$28))+$AA$26)*(1+Dashboard!$D$35),0)</f>
        <v>0</v>
      </c>
      <c r="AD124" s="109">
        <f>IF($BD124&gt;0,(((($BD124/Dashboard!$D$23)*(1+Precificação!$W$589))*(1+AD$28))+$AA$26)*(1+Dashboard!$D$35),0)</f>
        <v>0</v>
      </c>
      <c r="AF124" s="109">
        <f t="shared" si="24"/>
        <v>0</v>
      </c>
      <c r="AG124" s="109">
        <f t="shared" si="25"/>
        <v>0</v>
      </c>
      <c r="AH124" s="109">
        <f t="shared" si="26"/>
        <v>0</v>
      </c>
      <c r="AI124" s="109">
        <f t="shared" si="27"/>
        <v>0</v>
      </c>
      <c r="AL124" s="109">
        <f>IF($BD124&gt;0,(((($BD124/Dashboard!$D$23)*(1+Precificação!$W$589)))+$AL$26)*(1+Dashboard!$D$35),0)</f>
        <v>0</v>
      </c>
      <c r="AM124" s="109">
        <f>IF($BD124&gt;0,(((($BD124/Dashboard!$D$23)*(1+Precificação!$W$589))*(1+AM$28))+$AA$26)*(1+Dashboard!$D$35),0)</f>
        <v>0</v>
      </c>
      <c r="AN124" s="109">
        <f>IF($BD124&gt;0,(((($BD124/Dashboard!$D$23)*(1+Precificação!$W$589))*(1+AN$28))+$AA$26)*(1+Dashboard!$D$35),0)</f>
        <v>0</v>
      </c>
      <c r="AO124" s="109">
        <f>IF($BD124&gt;0,(((($BD124/Dashboard!$D$23)*(1+Precificação!$W$589))*(1+AO$28))+$AA$26)*(1+Dashboard!$D$35),0)</f>
        <v>0</v>
      </c>
      <c r="AQ124" s="109">
        <f t="shared" si="28"/>
        <v>0</v>
      </c>
      <c r="AR124" s="109">
        <f t="shared" si="29"/>
        <v>0</v>
      </c>
      <c r="AS124" s="109">
        <f t="shared" si="30"/>
        <v>0</v>
      </c>
      <c r="AT124" s="109">
        <f t="shared" si="31"/>
        <v>0</v>
      </c>
      <c r="AW124" s="144">
        <f>VLOOKUP(B124,'Cronog. e Histog.'!$B$213:$BT$688,71,0)</f>
        <v>0</v>
      </c>
      <c r="AX124" s="144">
        <f>VLOOKUP(B124,'Cronog. e Histog.'!$B$213:$BU$688,72,0)</f>
        <v>0</v>
      </c>
      <c r="AY124" s="144">
        <f>$AW124*$AX124*Dashboard!$D$15</f>
        <v>0</v>
      </c>
      <c r="AZ124" s="144">
        <f>VLOOKUP(B124,Precificação!$B$96:$BM$533,54,0)</f>
        <v>0</v>
      </c>
      <c r="BA124" s="144">
        <f>VLOOKUP(B124,Precificação!$B$96:$BR$533,58,0)</f>
        <v>0</v>
      </c>
      <c r="BB124" s="144">
        <f>VLOOKUP(B124,Precificação!$B$96:$BW$533,62,0)</f>
        <v>0</v>
      </c>
      <c r="BC124" s="144">
        <f t="shared" si="32"/>
        <v>0</v>
      </c>
      <c r="BD124" s="109">
        <f>IFERROR(VLOOKUP(B124,Precificação!$B$96:$S$533,13,0),0)</f>
        <v>0</v>
      </c>
      <c r="BE124" s="109">
        <f>IFERROR(VLOOKUP(B124,Precificação!$B$96:$U$533,15,0)/(Precificação!$U$4+Precificação!$U$91),0)*Dashboard!$T$3</f>
        <v>0</v>
      </c>
    </row>
    <row r="125" spans="2:57" ht="12" customHeight="1" outlineLevel="1">
      <c r="B125" s="137" t="str">
        <f>Precificação!B103</f>
        <v>AN PL. ENG/ARQ - Equipe_01</v>
      </c>
      <c r="D125" s="512"/>
      <c r="E125" s="143" t="str">
        <f>IF('Cronog. e Histog.'!G220&gt;0,'Cronog. e Histog.'!G220,"")</f>
        <v>AN PL. ENG/ARQ</v>
      </c>
      <c r="G125" s="179">
        <f t="shared" si="19"/>
        <v>0</v>
      </c>
      <c r="H125" s="110">
        <f>IFERROR(INDEX('Base Salarial'!$D$5:$F$25,MATCH(E125,'Base Salarial'!$G$5:$G$25,0),MATCH(I125,'Base Salarial'!$D$4:$F$4,0)),"")</f>
        <v>6000</v>
      </c>
      <c r="I125" s="78" t="str">
        <f>IFERROR(INDEX(Tarefas!$BQ$29:$FK$29,MATCH(E125,Tarefas!$BQ$30:$FK$30,0)),"")</f>
        <v>Mensalista</v>
      </c>
      <c r="J125" s="81">
        <f>IF(I125="horista",H125*Dashboard!$D$15,IF(OR(I125="Mensalista",I125="PJ"),H125,))</f>
        <v>6000</v>
      </c>
      <c r="K125" s="81">
        <f>IF(I125="PJ",J125,ROUND(J125*(1+Dashboard!$D$22),2))</f>
        <v>6360</v>
      </c>
      <c r="L125" s="77"/>
      <c r="M125" s="180"/>
      <c r="P125" s="109">
        <f>IF($BD125&gt;0,(((($BD125/Dashboard!$D$15)*(1+Precificação!$W$589)))+$P$26)*(1+Dashboard!$D$35),0)</f>
        <v>0</v>
      </c>
      <c r="Q125" s="109">
        <f>IF($BD125&gt;0,(((($BD125/Dashboard!$D$23)+(1+Precificação!$W$589))*(1+Q$28))+$P$26)*(1+Dashboard!$D$35),0)</f>
        <v>0</v>
      </c>
      <c r="R125" s="109">
        <f>IF($BD125&gt;0,(((($BD125/Dashboard!$D$23)+(1+Precificação!$W$589))*(1+R$28))+$P$26)*(1+Dashboard!$D$35),0)</f>
        <v>0</v>
      </c>
      <c r="S125" s="109">
        <f>IF($BD125&gt;0,(((($BD125/Dashboard!$D$23)+(1+Precificação!$W$589))*(1+S$28))+$P$26)*(1+Dashboard!$D$35),0)</f>
        <v>0</v>
      </c>
      <c r="U125" s="109">
        <f t="shared" si="20"/>
        <v>0</v>
      </c>
      <c r="V125" s="109">
        <f t="shared" si="21"/>
        <v>0</v>
      </c>
      <c r="W125" s="109">
        <f t="shared" si="22"/>
        <v>0</v>
      </c>
      <c r="X125" s="109">
        <f t="shared" si="23"/>
        <v>0</v>
      </c>
      <c r="AA125" s="109">
        <f>IF($BD125&gt;0,(((($BD125/Dashboard!$D$23)*(1+Precificação!$W$589)))+$AA$26)*(1+Dashboard!$D$35),0)</f>
        <v>0</v>
      </c>
      <c r="AB125" s="109">
        <f>IF($BD125&gt;0,(((($BD125/Dashboard!$D$23)*(1+Precificação!$W$589))*(1+AB$28))+$AA$26)*(1+Dashboard!$D$35),0)</f>
        <v>0</v>
      </c>
      <c r="AC125" s="109">
        <f>IF($BD125&gt;0,(((($BD125/Dashboard!$D$23)*(1+Precificação!$W$589))*(1+AC$28))+$AA$26)*(1+Dashboard!$D$35),0)</f>
        <v>0</v>
      </c>
      <c r="AD125" s="109">
        <f>IF($BD125&gt;0,(((($BD125/Dashboard!$D$23)*(1+Precificação!$W$589))*(1+AD$28))+$AA$26)*(1+Dashboard!$D$35),0)</f>
        <v>0</v>
      </c>
      <c r="AF125" s="109">
        <f t="shared" si="24"/>
        <v>0</v>
      </c>
      <c r="AG125" s="109">
        <f t="shared" si="25"/>
        <v>0</v>
      </c>
      <c r="AH125" s="109">
        <f t="shared" si="26"/>
        <v>0</v>
      </c>
      <c r="AI125" s="109">
        <f t="shared" si="27"/>
        <v>0</v>
      </c>
      <c r="AL125" s="109">
        <f>IF($BD125&gt;0,(((($BD125/Dashboard!$D$23)*(1+Precificação!$W$589)))+$AL$26)*(1+Dashboard!$D$35),0)</f>
        <v>0</v>
      </c>
      <c r="AM125" s="109">
        <f>IF($BD125&gt;0,(((($BD125/Dashboard!$D$23)*(1+Precificação!$W$589))*(1+AM$28))+$AA$26)*(1+Dashboard!$D$35),0)</f>
        <v>0</v>
      </c>
      <c r="AN125" s="109">
        <f>IF($BD125&gt;0,(((($BD125/Dashboard!$D$23)*(1+Precificação!$W$589))*(1+AN$28))+$AA$26)*(1+Dashboard!$D$35),0)</f>
        <v>0</v>
      </c>
      <c r="AO125" s="109">
        <f>IF($BD125&gt;0,(((($BD125/Dashboard!$D$23)*(1+Precificação!$W$589))*(1+AO$28))+$AA$26)*(1+Dashboard!$D$35),0)</f>
        <v>0</v>
      </c>
      <c r="AQ125" s="109">
        <f t="shared" si="28"/>
        <v>0</v>
      </c>
      <c r="AR125" s="109">
        <f t="shared" si="29"/>
        <v>0</v>
      </c>
      <c r="AS125" s="109">
        <f t="shared" si="30"/>
        <v>0</v>
      </c>
      <c r="AT125" s="109">
        <f t="shared" si="31"/>
        <v>0</v>
      </c>
      <c r="AW125" s="144">
        <f>VLOOKUP(B125,'Cronog. e Histog.'!$B$213:$BT$688,71,0)</f>
        <v>0</v>
      </c>
      <c r="AX125" s="144">
        <f>VLOOKUP(B125,'Cronog. e Histog.'!$B$213:$BU$688,72,0)</f>
        <v>0</v>
      </c>
      <c r="AY125" s="144">
        <f>$AW125*$AX125*Dashboard!$D$15</f>
        <v>0</v>
      </c>
      <c r="AZ125" s="144">
        <f>VLOOKUP(B125,Precificação!$B$96:$BM$533,54,0)</f>
        <v>0</v>
      </c>
      <c r="BA125" s="144">
        <f>VLOOKUP(B125,Precificação!$B$96:$BR$533,58,0)</f>
        <v>0</v>
      </c>
      <c r="BB125" s="144">
        <f>VLOOKUP(B125,Precificação!$B$96:$BW$533,62,0)</f>
        <v>0</v>
      </c>
      <c r="BC125" s="144">
        <f t="shared" si="32"/>
        <v>0</v>
      </c>
      <c r="BD125" s="109">
        <f>IFERROR(VLOOKUP(B125,Precificação!$B$96:$S$533,13,0),0)</f>
        <v>0</v>
      </c>
      <c r="BE125" s="109">
        <f>IFERROR(VLOOKUP(B125,Precificação!$B$96:$U$533,15,0)/(Precificação!$U$4+Precificação!$U$91),0)*Dashboard!$T$3</f>
        <v>0</v>
      </c>
    </row>
    <row r="126" spans="2:57" ht="12" customHeight="1" outlineLevel="1">
      <c r="B126" s="137" t="str">
        <f>Precificação!B104</f>
        <v>AN JR. ENG/ARQ - Equipe_01</v>
      </c>
      <c r="D126" s="512"/>
      <c r="E126" s="143" t="str">
        <f>IF('Cronog. e Histog.'!G221&gt;0,'Cronog. e Histog.'!G221,"")</f>
        <v>AN JR. ENG/ARQ</v>
      </c>
      <c r="G126" s="179">
        <f t="shared" si="19"/>
        <v>0</v>
      </c>
      <c r="H126" s="110">
        <f>IFERROR(INDEX('Base Salarial'!$D$5:$F$25,MATCH(E126,'Base Salarial'!$G$5:$G$25,0),MATCH(I126,'Base Salarial'!$D$4:$F$4,0)),"")</f>
        <v>4500</v>
      </c>
      <c r="I126" s="78" t="str">
        <f>IFERROR(INDEX(Tarefas!$BQ$29:$FK$29,MATCH(E126,Tarefas!$BQ$30:$FK$30,0)),"")</f>
        <v>Mensalista</v>
      </c>
      <c r="J126" s="81">
        <f>IF(I126="horista",H126*Dashboard!$D$15,IF(OR(I126="Mensalista",I126="PJ"),H126,))</f>
        <v>4500</v>
      </c>
      <c r="K126" s="81">
        <f>IF(I126="PJ",J126,ROUND(J126*(1+Dashboard!$D$22),2))</f>
        <v>4770</v>
      </c>
      <c r="L126" s="77"/>
      <c r="M126" s="180"/>
      <c r="P126" s="109">
        <f>IF($BD126&gt;0,(((($BD126/Dashboard!$D$15)*(1+Precificação!$W$589)))+$P$26)*(1+Dashboard!$D$35),0)</f>
        <v>0</v>
      </c>
      <c r="Q126" s="109">
        <f>IF($BD126&gt;0,(((($BD126/Dashboard!$D$23)+(1+Precificação!$W$589))*(1+Q$28))+$P$26)*(1+Dashboard!$D$35),0)</f>
        <v>0</v>
      </c>
      <c r="R126" s="109">
        <f>IF($BD126&gt;0,(((($BD126/Dashboard!$D$23)+(1+Precificação!$W$589))*(1+R$28))+$P$26)*(1+Dashboard!$D$35),0)</f>
        <v>0</v>
      </c>
      <c r="S126" s="109">
        <f>IF($BD126&gt;0,(((($BD126/Dashboard!$D$23)+(1+Precificação!$W$589))*(1+S$28))+$P$26)*(1+Dashboard!$D$35),0)</f>
        <v>0</v>
      </c>
      <c r="U126" s="109">
        <f t="shared" si="20"/>
        <v>0</v>
      </c>
      <c r="V126" s="109">
        <f t="shared" si="21"/>
        <v>0</v>
      </c>
      <c r="W126" s="109">
        <f t="shared" si="22"/>
        <v>0</v>
      </c>
      <c r="X126" s="109">
        <f t="shared" si="23"/>
        <v>0</v>
      </c>
      <c r="AA126" s="109">
        <f>IF($BD126&gt;0,(((($BD126/Dashboard!$D$23)*(1+Precificação!$W$589)))+$AA$26)*(1+Dashboard!$D$35),0)</f>
        <v>0</v>
      </c>
      <c r="AB126" s="109">
        <f>IF($BD126&gt;0,(((($BD126/Dashboard!$D$23)*(1+Precificação!$W$589))*(1+AB$28))+$AA$26)*(1+Dashboard!$D$35),0)</f>
        <v>0</v>
      </c>
      <c r="AC126" s="109">
        <f>IF($BD126&gt;0,(((($BD126/Dashboard!$D$23)*(1+Precificação!$W$589))*(1+AC$28))+$AA$26)*(1+Dashboard!$D$35),0)</f>
        <v>0</v>
      </c>
      <c r="AD126" s="109">
        <f>IF($BD126&gt;0,(((($BD126/Dashboard!$D$23)*(1+Precificação!$W$589))*(1+AD$28))+$AA$26)*(1+Dashboard!$D$35),0)</f>
        <v>0</v>
      </c>
      <c r="AF126" s="109">
        <f t="shared" si="24"/>
        <v>0</v>
      </c>
      <c r="AG126" s="109">
        <f t="shared" si="25"/>
        <v>0</v>
      </c>
      <c r="AH126" s="109">
        <f t="shared" si="26"/>
        <v>0</v>
      </c>
      <c r="AI126" s="109">
        <f t="shared" si="27"/>
        <v>0</v>
      </c>
      <c r="AL126" s="109">
        <f>IF($BD126&gt;0,(((($BD126/Dashboard!$D$23)*(1+Precificação!$W$589)))+$AL$26)*(1+Dashboard!$D$35),0)</f>
        <v>0</v>
      </c>
      <c r="AM126" s="109">
        <f>IF($BD126&gt;0,(((($BD126/Dashboard!$D$23)*(1+Precificação!$W$589))*(1+AM$28))+$AA$26)*(1+Dashboard!$D$35),0)</f>
        <v>0</v>
      </c>
      <c r="AN126" s="109">
        <f>IF($BD126&gt;0,(((($BD126/Dashboard!$D$23)*(1+Precificação!$W$589))*(1+AN$28))+$AA$26)*(1+Dashboard!$D$35),0)</f>
        <v>0</v>
      </c>
      <c r="AO126" s="109">
        <f>IF($BD126&gt;0,(((($BD126/Dashboard!$D$23)*(1+Precificação!$W$589))*(1+AO$28))+$AA$26)*(1+Dashboard!$D$35),0)</f>
        <v>0</v>
      </c>
      <c r="AQ126" s="109">
        <f t="shared" si="28"/>
        <v>0</v>
      </c>
      <c r="AR126" s="109">
        <f t="shared" si="29"/>
        <v>0</v>
      </c>
      <c r="AS126" s="109">
        <f t="shared" si="30"/>
        <v>0</v>
      </c>
      <c r="AT126" s="109">
        <f t="shared" si="31"/>
        <v>0</v>
      </c>
      <c r="AW126" s="144">
        <f>VLOOKUP(B126,'Cronog. e Histog.'!$B$213:$BT$688,71,0)</f>
        <v>0</v>
      </c>
      <c r="AX126" s="144">
        <f>VLOOKUP(B126,'Cronog. e Histog.'!$B$213:$BU$688,72,0)</f>
        <v>0</v>
      </c>
      <c r="AY126" s="144">
        <f>$AW126*$AX126*Dashboard!$D$15</f>
        <v>0</v>
      </c>
      <c r="AZ126" s="144">
        <f>VLOOKUP(B126,Precificação!$B$96:$BM$533,54,0)</f>
        <v>0</v>
      </c>
      <c r="BA126" s="144">
        <f>VLOOKUP(B126,Precificação!$B$96:$BR$533,58,0)</f>
        <v>0</v>
      </c>
      <c r="BB126" s="144">
        <f>VLOOKUP(B126,Precificação!$B$96:$BW$533,62,0)</f>
        <v>0</v>
      </c>
      <c r="BC126" s="144">
        <f t="shared" si="32"/>
        <v>0</v>
      </c>
      <c r="BD126" s="109">
        <f>IFERROR(VLOOKUP(B126,Precificação!$B$96:$S$533,13,0),0)</f>
        <v>0</v>
      </c>
      <c r="BE126" s="109">
        <f>IFERROR(VLOOKUP(B126,Precificação!$B$96:$U$533,15,0)/(Precificação!$U$4+Precificação!$U$91),0)*Dashboard!$T$3</f>
        <v>0</v>
      </c>
    </row>
    <row r="127" spans="2:57" ht="12" customHeight="1" outlineLevel="1">
      <c r="B127" s="137" t="str">
        <f>Precificação!B105</f>
        <v>AN SR. ADM/CRP - Equipe_01</v>
      </c>
      <c r="D127" s="512"/>
      <c r="E127" s="143" t="str">
        <f>IF('Cronog. e Histog.'!G222&gt;0,'Cronog. e Histog.'!G222,"")</f>
        <v>AN SR. ADM/CRP</v>
      </c>
      <c r="G127" s="179">
        <f t="shared" si="19"/>
        <v>0</v>
      </c>
      <c r="H127" s="110">
        <f>IFERROR(INDEX('Base Salarial'!$D$5:$F$25,MATCH(E127,'Base Salarial'!$G$5:$G$25,0),MATCH(I127,'Base Salarial'!$D$4:$F$4,0)),"")</f>
        <v>7000</v>
      </c>
      <c r="I127" s="78" t="str">
        <f>IFERROR(INDEX(Tarefas!$BQ$29:$FK$29,MATCH(E127,Tarefas!$BQ$30:$FK$30,0)),"")</f>
        <v>Mensalista</v>
      </c>
      <c r="J127" s="81">
        <f>IF(I127="horista",H127*Dashboard!$D$15,IF(OR(I127="Mensalista",I127="PJ"),H127,))</f>
        <v>7000</v>
      </c>
      <c r="K127" s="81">
        <f>IF(I127="PJ",J127,ROUND(J127*(1+Dashboard!$D$22),2))</f>
        <v>7420</v>
      </c>
      <c r="L127" s="77"/>
      <c r="M127" s="180"/>
      <c r="P127" s="109">
        <f>IF($BD127&gt;0,(((($BD127/Dashboard!$D$15)*(1+Precificação!$W$589)))+$P$26)*(1+Dashboard!$D$35),0)</f>
        <v>0</v>
      </c>
      <c r="Q127" s="109">
        <f>IF($BD127&gt;0,(((($BD127/Dashboard!$D$23)+(1+Precificação!$W$589))*(1+Q$28))+$P$26)*(1+Dashboard!$D$35),0)</f>
        <v>0</v>
      </c>
      <c r="R127" s="109">
        <f>IF($BD127&gt;0,(((($BD127/Dashboard!$D$23)+(1+Precificação!$W$589))*(1+R$28))+$P$26)*(1+Dashboard!$D$35),0)</f>
        <v>0</v>
      </c>
      <c r="S127" s="109">
        <f>IF($BD127&gt;0,(((($BD127/Dashboard!$D$23)+(1+Precificação!$W$589))*(1+S$28))+$P$26)*(1+Dashboard!$D$35),0)</f>
        <v>0</v>
      </c>
      <c r="U127" s="109">
        <f t="shared" si="20"/>
        <v>0</v>
      </c>
      <c r="V127" s="109">
        <f t="shared" si="21"/>
        <v>0</v>
      </c>
      <c r="W127" s="109">
        <f t="shared" si="22"/>
        <v>0</v>
      </c>
      <c r="X127" s="109">
        <f t="shared" si="23"/>
        <v>0</v>
      </c>
      <c r="AA127" s="109">
        <f>IF($BD127&gt;0,(((($BD127/Dashboard!$D$23)*(1+Precificação!$W$589)))+$AA$26)*(1+Dashboard!$D$35),0)</f>
        <v>0</v>
      </c>
      <c r="AB127" s="109">
        <f>IF($BD127&gt;0,(((($BD127/Dashboard!$D$23)*(1+Precificação!$W$589))*(1+AB$28))+$AA$26)*(1+Dashboard!$D$35),0)</f>
        <v>0</v>
      </c>
      <c r="AC127" s="109">
        <f>IF($BD127&gt;0,(((($BD127/Dashboard!$D$23)*(1+Precificação!$W$589))*(1+AC$28))+$AA$26)*(1+Dashboard!$D$35),0)</f>
        <v>0</v>
      </c>
      <c r="AD127" s="109">
        <f>IF($BD127&gt;0,(((($BD127/Dashboard!$D$23)*(1+Precificação!$W$589))*(1+AD$28))+$AA$26)*(1+Dashboard!$D$35),0)</f>
        <v>0</v>
      </c>
      <c r="AF127" s="109">
        <f t="shared" si="24"/>
        <v>0</v>
      </c>
      <c r="AG127" s="109">
        <f t="shared" si="25"/>
        <v>0</v>
      </c>
      <c r="AH127" s="109">
        <f t="shared" si="26"/>
        <v>0</v>
      </c>
      <c r="AI127" s="109">
        <f t="shared" si="27"/>
        <v>0</v>
      </c>
      <c r="AL127" s="109">
        <f>IF($BD127&gt;0,(((($BD127/Dashboard!$D$23)*(1+Precificação!$W$589)))+$AL$26)*(1+Dashboard!$D$35),0)</f>
        <v>0</v>
      </c>
      <c r="AM127" s="109">
        <f>IF($BD127&gt;0,(((($BD127/Dashboard!$D$23)*(1+Precificação!$W$589))*(1+AM$28))+$AA$26)*(1+Dashboard!$D$35),0)</f>
        <v>0</v>
      </c>
      <c r="AN127" s="109">
        <f>IF($BD127&gt;0,(((($BD127/Dashboard!$D$23)*(1+Precificação!$W$589))*(1+AN$28))+$AA$26)*(1+Dashboard!$D$35),0)</f>
        <v>0</v>
      </c>
      <c r="AO127" s="109">
        <f>IF($BD127&gt;0,(((($BD127/Dashboard!$D$23)*(1+Precificação!$W$589))*(1+AO$28))+$AA$26)*(1+Dashboard!$D$35),0)</f>
        <v>0</v>
      </c>
      <c r="AQ127" s="109">
        <f t="shared" si="28"/>
        <v>0</v>
      </c>
      <c r="AR127" s="109">
        <f t="shared" si="29"/>
        <v>0</v>
      </c>
      <c r="AS127" s="109">
        <f t="shared" si="30"/>
        <v>0</v>
      </c>
      <c r="AT127" s="109">
        <f t="shared" si="31"/>
        <v>0</v>
      </c>
      <c r="AW127" s="144">
        <f>VLOOKUP(B127,'Cronog. e Histog.'!$B$213:$BT$688,71,0)</f>
        <v>0</v>
      </c>
      <c r="AX127" s="144">
        <f>VLOOKUP(B127,'Cronog. e Histog.'!$B$213:$BU$688,72,0)</f>
        <v>0</v>
      </c>
      <c r="AY127" s="144">
        <f>$AW127*$AX127*Dashboard!$D$15</f>
        <v>0</v>
      </c>
      <c r="AZ127" s="144">
        <f>VLOOKUP(B127,Precificação!$B$96:$BM$533,54,0)</f>
        <v>0</v>
      </c>
      <c r="BA127" s="144">
        <f>VLOOKUP(B127,Precificação!$B$96:$BR$533,58,0)</f>
        <v>0</v>
      </c>
      <c r="BB127" s="144">
        <f>VLOOKUP(B127,Precificação!$B$96:$BW$533,62,0)</f>
        <v>0</v>
      </c>
      <c r="BC127" s="144">
        <f t="shared" si="32"/>
        <v>0</v>
      </c>
      <c r="BD127" s="109">
        <f>IFERROR(VLOOKUP(B127,Precificação!$B$96:$S$533,13,0),0)</f>
        <v>0</v>
      </c>
      <c r="BE127" s="109">
        <f>IFERROR(VLOOKUP(B127,Precificação!$B$96:$U$533,15,0)/(Precificação!$U$4+Precificação!$U$91),0)*Dashboard!$T$3</f>
        <v>0</v>
      </c>
    </row>
    <row r="128" spans="2:57" ht="12" customHeight="1" outlineLevel="1">
      <c r="B128" s="137" t="str">
        <f>Precificação!B106</f>
        <v>AN PL. ADM/CRP - Equipe_01</v>
      </c>
      <c r="D128" s="512"/>
      <c r="E128" s="143" t="str">
        <f>IF('Cronog. e Histog.'!G223&gt;0,'Cronog. e Histog.'!G223,"")</f>
        <v>AN PL. ADM/CRP</v>
      </c>
      <c r="G128" s="179">
        <f t="shared" si="19"/>
        <v>0</v>
      </c>
      <c r="H128" s="110">
        <f>IFERROR(INDEX('Base Salarial'!$D$5:$F$25,MATCH(E128,'Base Salarial'!$G$5:$G$25,0),MATCH(I128,'Base Salarial'!$D$4:$F$4,0)),"")</f>
        <v>5000</v>
      </c>
      <c r="I128" s="78" t="str">
        <f>IFERROR(INDEX(Tarefas!$BQ$29:$FK$29,MATCH(E128,Tarefas!$BQ$30:$FK$30,0)),"")</f>
        <v>Mensalista</v>
      </c>
      <c r="J128" s="81">
        <f>IF(I128="horista",H128*Dashboard!$D$15,IF(OR(I128="Mensalista",I128="PJ"),H128,))</f>
        <v>5000</v>
      </c>
      <c r="K128" s="81">
        <f>IF(I128="PJ",J128,ROUND(J128*(1+Dashboard!$D$22),2))</f>
        <v>5300</v>
      </c>
      <c r="L128" s="77"/>
      <c r="M128" s="180"/>
      <c r="P128" s="109">
        <f>IF($BD128&gt;0,(((($BD128/Dashboard!$D$15)*(1+Precificação!$W$589)))+$P$26)*(1+Dashboard!$D$35),0)</f>
        <v>0</v>
      </c>
      <c r="Q128" s="109">
        <f>IF($BD128&gt;0,(((($BD128/Dashboard!$D$23)+(1+Precificação!$W$589))*(1+Q$28))+$P$26)*(1+Dashboard!$D$35),0)</f>
        <v>0</v>
      </c>
      <c r="R128" s="109">
        <f>IF($BD128&gt;0,(((($BD128/Dashboard!$D$23)+(1+Precificação!$W$589))*(1+R$28))+$P$26)*(1+Dashboard!$D$35),0)</f>
        <v>0</v>
      </c>
      <c r="S128" s="109">
        <f>IF($BD128&gt;0,(((($BD128/Dashboard!$D$23)+(1+Precificação!$W$589))*(1+S$28))+$P$26)*(1+Dashboard!$D$35),0)</f>
        <v>0</v>
      </c>
      <c r="U128" s="109">
        <f t="shared" si="20"/>
        <v>0</v>
      </c>
      <c r="V128" s="109">
        <f t="shared" si="21"/>
        <v>0</v>
      </c>
      <c r="W128" s="109">
        <f t="shared" si="22"/>
        <v>0</v>
      </c>
      <c r="X128" s="109">
        <f t="shared" si="23"/>
        <v>0</v>
      </c>
      <c r="AA128" s="109">
        <f>IF($BD128&gt;0,(((($BD128/Dashboard!$D$23)*(1+Precificação!$W$589)))+$AA$26)*(1+Dashboard!$D$35),0)</f>
        <v>0</v>
      </c>
      <c r="AB128" s="109">
        <f>IF($BD128&gt;0,(((($BD128/Dashboard!$D$23)*(1+Precificação!$W$589))*(1+AB$28))+$AA$26)*(1+Dashboard!$D$35),0)</f>
        <v>0</v>
      </c>
      <c r="AC128" s="109">
        <f>IF($BD128&gt;0,(((($BD128/Dashboard!$D$23)*(1+Precificação!$W$589))*(1+AC$28))+$AA$26)*(1+Dashboard!$D$35),0)</f>
        <v>0</v>
      </c>
      <c r="AD128" s="109">
        <f>IF($BD128&gt;0,(((($BD128/Dashboard!$D$23)*(1+Precificação!$W$589))*(1+AD$28))+$AA$26)*(1+Dashboard!$D$35),0)</f>
        <v>0</v>
      </c>
      <c r="AF128" s="109">
        <f t="shared" si="24"/>
        <v>0</v>
      </c>
      <c r="AG128" s="109">
        <f t="shared" si="25"/>
        <v>0</v>
      </c>
      <c r="AH128" s="109">
        <f t="shared" si="26"/>
        <v>0</v>
      </c>
      <c r="AI128" s="109">
        <f t="shared" si="27"/>
        <v>0</v>
      </c>
      <c r="AL128" s="109">
        <f>IF($BD128&gt;0,(((($BD128/Dashboard!$D$23)*(1+Precificação!$W$589)))+$AL$26)*(1+Dashboard!$D$35),0)</f>
        <v>0</v>
      </c>
      <c r="AM128" s="109">
        <f>IF($BD128&gt;0,(((($BD128/Dashboard!$D$23)*(1+Precificação!$W$589))*(1+AM$28))+$AA$26)*(1+Dashboard!$D$35),0)</f>
        <v>0</v>
      </c>
      <c r="AN128" s="109">
        <f>IF($BD128&gt;0,(((($BD128/Dashboard!$D$23)*(1+Precificação!$W$589))*(1+AN$28))+$AA$26)*(1+Dashboard!$D$35),0)</f>
        <v>0</v>
      </c>
      <c r="AO128" s="109">
        <f>IF($BD128&gt;0,(((($BD128/Dashboard!$D$23)*(1+Precificação!$W$589))*(1+AO$28))+$AA$26)*(1+Dashboard!$D$35),0)</f>
        <v>0</v>
      </c>
      <c r="AQ128" s="109">
        <f t="shared" si="28"/>
        <v>0</v>
      </c>
      <c r="AR128" s="109">
        <f t="shared" si="29"/>
        <v>0</v>
      </c>
      <c r="AS128" s="109">
        <f t="shared" si="30"/>
        <v>0</v>
      </c>
      <c r="AT128" s="109">
        <f t="shared" si="31"/>
        <v>0</v>
      </c>
      <c r="AW128" s="144">
        <f>VLOOKUP(B128,'Cronog. e Histog.'!$B$213:$BT$688,71,0)</f>
        <v>0</v>
      </c>
      <c r="AX128" s="144">
        <f>VLOOKUP(B128,'Cronog. e Histog.'!$B$213:$BU$688,72,0)</f>
        <v>0</v>
      </c>
      <c r="AY128" s="144">
        <f>$AW128*$AX128*Dashboard!$D$15</f>
        <v>0</v>
      </c>
      <c r="AZ128" s="144">
        <f>VLOOKUP(B128,Precificação!$B$96:$BM$533,54,0)</f>
        <v>0</v>
      </c>
      <c r="BA128" s="144">
        <f>VLOOKUP(B128,Precificação!$B$96:$BR$533,58,0)</f>
        <v>0</v>
      </c>
      <c r="BB128" s="144">
        <f>VLOOKUP(B128,Precificação!$B$96:$BW$533,62,0)</f>
        <v>0</v>
      </c>
      <c r="BC128" s="144">
        <f t="shared" si="32"/>
        <v>0</v>
      </c>
      <c r="BD128" s="109">
        <f>IFERROR(VLOOKUP(B128,Precificação!$B$96:$S$533,13,0),0)</f>
        <v>0</v>
      </c>
      <c r="BE128" s="109">
        <f>IFERROR(VLOOKUP(B128,Precificação!$B$96:$U$533,15,0)/(Precificação!$U$4+Precificação!$U$91),0)*Dashboard!$T$3</f>
        <v>0</v>
      </c>
    </row>
    <row r="129" spans="2:57" ht="12" customHeight="1" outlineLevel="1">
      <c r="B129" s="137" t="str">
        <f>Precificação!B107</f>
        <v>AN JR. ADM/CRP - Equipe_01</v>
      </c>
      <c r="D129" s="512"/>
      <c r="E129" s="143" t="str">
        <f>IF('Cronog. e Histog.'!G224&gt;0,'Cronog. e Histog.'!G224,"")</f>
        <v>AN JR. ADM/CRP</v>
      </c>
      <c r="G129" s="179">
        <f t="shared" si="19"/>
        <v>0</v>
      </c>
      <c r="H129" s="110">
        <f>IFERROR(INDEX('Base Salarial'!$D$5:$F$25,MATCH(E129,'Base Salarial'!$G$5:$G$25,0),MATCH(I129,'Base Salarial'!$D$4:$F$4,0)),"")</f>
        <v>3500</v>
      </c>
      <c r="I129" s="78" t="str">
        <f>IFERROR(INDEX(Tarefas!$BQ$29:$FK$29,MATCH(E129,Tarefas!$BQ$30:$FK$30,0)),"")</f>
        <v>Mensalista</v>
      </c>
      <c r="J129" s="81">
        <f>IF(I129="horista",H129*Dashboard!$D$15,IF(OR(I129="Mensalista",I129="PJ"),H129,))</f>
        <v>3500</v>
      </c>
      <c r="K129" s="81">
        <f>IF(I129="PJ",J129,ROUND(J129*(1+Dashboard!$D$22),2))</f>
        <v>3710</v>
      </c>
      <c r="L129" s="77"/>
      <c r="M129" s="180"/>
      <c r="P129" s="109">
        <f>IF($BD129&gt;0,(((($BD129/Dashboard!$D$15)*(1+Precificação!$W$589)))+$P$26)*(1+Dashboard!$D$35),0)</f>
        <v>0</v>
      </c>
      <c r="Q129" s="109">
        <f>IF($BD129&gt;0,(((($BD129/Dashboard!$D$23)+(1+Precificação!$W$589))*(1+Q$28))+$P$26)*(1+Dashboard!$D$35),0)</f>
        <v>0</v>
      </c>
      <c r="R129" s="109">
        <f>IF($BD129&gt;0,(((($BD129/Dashboard!$D$23)+(1+Precificação!$W$589))*(1+R$28))+$P$26)*(1+Dashboard!$D$35),0)</f>
        <v>0</v>
      </c>
      <c r="S129" s="109">
        <f>IF($BD129&gt;0,(((($BD129/Dashboard!$D$23)+(1+Precificação!$W$589))*(1+S$28))+$P$26)*(1+Dashboard!$D$35),0)</f>
        <v>0</v>
      </c>
      <c r="U129" s="109">
        <f t="shared" si="20"/>
        <v>0</v>
      </c>
      <c r="V129" s="109">
        <f t="shared" si="21"/>
        <v>0</v>
      </c>
      <c r="W129" s="109">
        <f t="shared" si="22"/>
        <v>0</v>
      </c>
      <c r="X129" s="109">
        <f t="shared" si="23"/>
        <v>0</v>
      </c>
      <c r="AA129" s="109">
        <f>IF($BD129&gt;0,(((($BD129/Dashboard!$D$23)*(1+Precificação!$W$589)))+$AA$26)*(1+Dashboard!$D$35),0)</f>
        <v>0</v>
      </c>
      <c r="AB129" s="109">
        <f>IF($BD129&gt;0,(((($BD129/Dashboard!$D$23)*(1+Precificação!$W$589))*(1+AB$28))+$AA$26)*(1+Dashboard!$D$35),0)</f>
        <v>0</v>
      </c>
      <c r="AC129" s="109">
        <f>IF($BD129&gt;0,(((($BD129/Dashboard!$D$23)*(1+Precificação!$W$589))*(1+AC$28))+$AA$26)*(1+Dashboard!$D$35),0)</f>
        <v>0</v>
      </c>
      <c r="AD129" s="109">
        <f>IF($BD129&gt;0,(((($BD129/Dashboard!$D$23)*(1+Precificação!$W$589))*(1+AD$28))+$AA$26)*(1+Dashboard!$D$35),0)</f>
        <v>0</v>
      </c>
      <c r="AF129" s="109">
        <f t="shared" si="24"/>
        <v>0</v>
      </c>
      <c r="AG129" s="109">
        <f t="shared" si="25"/>
        <v>0</v>
      </c>
      <c r="AH129" s="109">
        <f t="shared" si="26"/>
        <v>0</v>
      </c>
      <c r="AI129" s="109">
        <f t="shared" si="27"/>
        <v>0</v>
      </c>
      <c r="AL129" s="109">
        <f>IF($BD129&gt;0,(((($BD129/Dashboard!$D$23)*(1+Precificação!$W$589)))+$AL$26)*(1+Dashboard!$D$35),0)</f>
        <v>0</v>
      </c>
      <c r="AM129" s="109">
        <f>IF($BD129&gt;0,(((($BD129/Dashboard!$D$23)*(1+Precificação!$W$589))*(1+AM$28))+$AA$26)*(1+Dashboard!$D$35),0)</f>
        <v>0</v>
      </c>
      <c r="AN129" s="109">
        <f>IF($BD129&gt;0,(((($BD129/Dashboard!$D$23)*(1+Precificação!$W$589))*(1+AN$28))+$AA$26)*(1+Dashboard!$D$35),0)</f>
        <v>0</v>
      </c>
      <c r="AO129" s="109">
        <f>IF($BD129&gt;0,(((($BD129/Dashboard!$D$23)*(1+Precificação!$W$589))*(1+AO$28))+$AA$26)*(1+Dashboard!$D$35),0)</f>
        <v>0</v>
      </c>
      <c r="AQ129" s="109">
        <f t="shared" si="28"/>
        <v>0</v>
      </c>
      <c r="AR129" s="109">
        <f t="shared" si="29"/>
        <v>0</v>
      </c>
      <c r="AS129" s="109">
        <f t="shared" si="30"/>
        <v>0</v>
      </c>
      <c r="AT129" s="109">
        <f t="shared" si="31"/>
        <v>0</v>
      </c>
      <c r="AW129" s="144">
        <f>VLOOKUP(B129,'Cronog. e Histog.'!$B$213:$BT$688,71,0)</f>
        <v>0</v>
      </c>
      <c r="AX129" s="144">
        <f>VLOOKUP(B129,'Cronog. e Histog.'!$B$213:$BU$688,72,0)</f>
        <v>0</v>
      </c>
      <c r="AY129" s="144">
        <f>$AW129*$AX129*Dashboard!$D$15</f>
        <v>0</v>
      </c>
      <c r="AZ129" s="144">
        <f>VLOOKUP(B129,Precificação!$B$96:$BM$533,54,0)</f>
        <v>0</v>
      </c>
      <c r="BA129" s="144">
        <f>VLOOKUP(B129,Precificação!$B$96:$BR$533,58,0)</f>
        <v>0</v>
      </c>
      <c r="BB129" s="144">
        <f>VLOOKUP(B129,Precificação!$B$96:$BW$533,62,0)</f>
        <v>0</v>
      </c>
      <c r="BC129" s="144">
        <f t="shared" si="32"/>
        <v>0</v>
      </c>
      <c r="BD129" s="109">
        <f>IFERROR(VLOOKUP(B129,Precificação!$B$96:$S$533,13,0),0)</f>
        <v>0</v>
      </c>
      <c r="BE129" s="109">
        <f>IFERROR(VLOOKUP(B129,Precificação!$B$96:$U$533,15,0)/(Precificação!$U$4+Precificação!$U$91),0)*Dashboard!$T$3</f>
        <v>0</v>
      </c>
    </row>
    <row r="130" spans="2:57" ht="12" customHeight="1" outlineLevel="1">
      <c r="B130" s="137" t="str">
        <f>Precificação!B108</f>
        <v>TEC III - Equipe_01</v>
      </c>
      <c r="D130" s="512"/>
      <c r="E130" s="143" t="str">
        <f>IF('Cronog. e Histog.'!G225&gt;0,'Cronog. e Histog.'!G225,"")</f>
        <v>TEC III</v>
      </c>
      <c r="G130" s="179">
        <f t="shared" si="19"/>
        <v>0</v>
      </c>
      <c r="H130" s="110">
        <f>IFERROR(INDEX('Base Salarial'!$D$5:$F$25,MATCH(E130,'Base Salarial'!$G$5:$G$25,0),MATCH(I130,'Base Salarial'!$D$4:$F$4,0)),"")</f>
        <v>6000</v>
      </c>
      <c r="I130" s="78" t="str">
        <f>IFERROR(INDEX(Tarefas!$BQ$29:$FK$29,MATCH(E130,Tarefas!$BQ$30:$FK$30,0)),"")</f>
        <v>Mensalista</v>
      </c>
      <c r="J130" s="81">
        <f>IF(I130="horista",H130*Dashboard!$D$15,IF(OR(I130="Mensalista",I130="PJ"),H130,))</f>
        <v>6000</v>
      </c>
      <c r="K130" s="81">
        <f>IF(I130="PJ",J130,ROUND(J130*(1+Dashboard!$D$22),2))</f>
        <v>6360</v>
      </c>
      <c r="L130" s="77"/>
      <c r="M130" s="180"/>
      <c r="P130" s="109">
        <f>IF($BD130&gt;0,(((($BD130/Dashboard!$D$15)*(1+Precificação!$W$589)))+$P$26)*(1+Dashboard!$D$35),0)</f>
        <v>0</v>
      </c>
      <c r="Q130" s="109">
        <f>IF($BD130&gt;0,(((($BD130/Dashboard!$D$23)+(1+Precificação!$W$589))*(1+Q$28))+$P$26)*(1+Dashboard!$D$35),0)</f>
        <v>0</v>
      </c>
      <c r="R130" s="109">
        <f>IF($BD130&gt;0,(((($BD130/Dashboard!$D$23)+(1+Precificação!$W$589))*(1+R$28))+$P$26)*(1+Dashboard!$D$35),0)</f>
        <v>0</v>
      </c>
      <c r="S130" s="109">
        <f>IF($BD130&gt;0,(((($BD130/Dashboard!$D$23)+(1+Precificação!$W$589))*(1+S$28))+$P$26)*(1+Dashboard!$D$35),0)</f>
        <v>0</v>
      </c>
      <c r="U130" s="109">
        <f t="shared" si="20"/>
        <v>0</v>
      </c>
      <c r="V130" s="109">
        <f t="shared" si="21"/>
        <v>0</v>
      </c>
      <c r="W130" s="109">
        <f t="shared" si="22"/>
        <v>0</v>
      </c>
      <c r="X130" s="109">
        <f t="shared" si="23"/>
        <v>0</v>
      </c>
      <c r="AA130" s="109">
        <f>IF($BD130&gt;0,(((($BD130/Dashboard!$D$23)*(1+Precificação!$W$589)))+$AA$26)*(1+Dashboard!$D$35),0)</f>
        <v>0</v>
      </c>
      <c r="AB130" s="109">
        <f>IF($BD130&gt;0,(((($BD130/Dashboard!$D$23)*(1+Precificação!$W$589))*(1+AB$28))+$AA$26)*(1+Dashboard!$D$35),0)</f>
        <v>0</v>
      </c>
      <c r="AC130" s="109">
        <f>IF($BD130&gt;0,(((($BD130/Dashboard!$D$23)*(1+Precificação!$W$589))*(1+AC$28))+$AA$26)*(1+Dashboard!$D$35),0)</f>
        <v>0</v>
      </c>
      <c r="AD130" s="109">
        <f>IF($BD130&gt;0,(((($BD130/Dashboard!$D$23)*(1+Precificação!$W$589))*(1+AD$28))+$AA$26)*(1+Dashboard!$D$35),0)</f>
        <v>0</v>
      </c>
      <c r="AF130" s="109">
        <f t="shared" si="24"/>
        <v>0</v>
      </c>
      <c r="AG130" s="109">
        <f t="shared" si="25"/>
        <v>0</v>
      </c>
      <c r="AH130" s="109">
        <f t="shared" si="26"/>
        <v>0</v>
      </c>
      <c r="AI130" s="109">
        <f t="shared" si="27"/>
        <v>0</v>
      </c>
      <c r="AL130" s="109">
        <f>IF($BD130&gt;0,(((($BD130/Dashboard!$D$23)*(1+Precificação!$W$589)))+$AL$26)*(1+Dashboard!$D$35),0)</f>
        <v>0</v>
      </c>
      <c r="AM130" s="109">
        <f>IF($BD130&gt;0,(((($BD130/Dashboard!$D$23)*(1+Precificação!$W$589))*(1+AM$28))+$AA$26)*(1+Dashboard!$D$35),0)</f>
        <v>0</v>
      </c>
      <c r="AN130" s="109">
        <f>IF($BD130&gt;0,(((($BD130/Dashboard!$D$23)*(1+Precificação!$W$589))*(1+AN$28))+$AA$26)*(1+Dashboard!$D$35),0)</f>
        <v>0</v>
      </c>
      <c r="AO130" s="109">
        <f>IF($BD130&gt;0,(((($BD130/Dashboard!$D$23)*(1+Precificação!$W$589))*(1+AO$28))+$AA$26)*(1+Dashboard!$D$35),0)</f>
        <v>0</v>
      </c>
      <c r="AQ130" s="109">
        <f t="shared" si="28"/>
        <v>0</v>
      </c>
      <c r="AR130" s="109">
        <f t="shared" si="29"/>
        <v>0</v>
      </c>
      <c r="AS130" s="109">
        <f t="shared" si="30"/>
        <v>0</v>
      </c>
      <c r="AT130" s="109">
        <f t="shared" si="31"/>
        <v>0</v>
      </c>
      <c r="AW130" s="144">
        <f>VLOOKUP(B130,'Cronog. e Histog.'!$B$213:$BT$688,71,0)</f>
        <v>0</v>
      </c>
      <c r="AX130" s="144">
        <f>VLOOKUP(B130,'Cronog. e Histog.'!$B$213:$BU$688,72,0)</f>
        <v>0</v>
      </c>
      <c r="AY130" s="144">
        <f>$AW130*$AX130*Dashboard!$D$15</f>
        <v>0</v>
      </c>
      <c r="AZ130" s="144">
        <f>VLOOKUP(B130,Precificação!$B$96:$BM$533,54,0)</f>
        <v>0</v>
      </c>
      <c r="BA130" s="144">
        <f>VLOOKUP(B130,Precificação!$B$96:$BR$533,58,0)</f>
        <v>0</v>
      </c>
      <c r="BB130" s="144">
        <f>VLOOKUP(B130,Precificação!$B$96:$BW$533,62,0)</f>
        <v>0</v>
      </c>
      <c r="BC130" s="144">
        <f t="shared" si="32"/>
        <v>0</v>
      </c>
      <c r="BD130" s="109">
        <f>IFERROR(VLOOKUP(B130,Precificação!$B$96:$S$533,13,0),0)</f>
        <v>0</v>
      </c>
      <c r="BE130" s="109">
        <f>IFERROR(VLOOKUP(B130,Precificação!$B$96:$U$533,15,0)/(Precificação!$U$4+Precificação!$U$91),0)*Dashboard!$T$3</f>
        <v>0</v>
      </c>
    </row>
    <row r="131" spans="2:57" ht="12" customHeight="1" outlineLevel="1">
      <c r="B131" s="137" t="str">
        <f>Precificação!B109</f>
        <v>TEC II - Equipe_01</v>
      </c>
      <c r="D131" s="512"/>
      <c r="E131" s="143" t="str">
        <f>IF('Cronog. e Histog.'!G226&gt;0,'Cronog. e Histog.'!G226,"")</f>
        <v>TEC II</v>
      </c>
      <c r="G131" s="179">
        <f t="shared" si="19"/>
        <v>0</v>
      </c>
      <c r="H131" s="110">
        <f>IFERROR(INDEX('Base Salarial'!$D$5:$F$25,MATCH(E131,'Base Salarial'!$G$5:$G$25,0),MATCH(I131,'Base Salarial'!$D$4:$F$4,0)),"")</f>
        <v>4500</v>
      </c>
      <c r="I131" s="78" t="str">
        <f>IFERROR(INDEX(Tarefas!$BQ$29:$FK$29,MATCH(E131,Tarefas!$BQ$30:$FK$30,0)),"")</f>
        <v>Mensalista</v>
      </c>
      <c r="J131" s="81">
        <f>IF(I131="horista",H131*Dashboard!$D$15,IF(OR(I131="Mensalista",I131="PJ"),H131,))</f>
        <v>4500</v>
      </c>
      <c r="K131" s="81">
        <f>IF(I131="PJ",J131,ROUND(J131*(1+Dashboard!$D$22),2))</f>
        <v>4770</v>
      </c>
      <c r="L131" s="77"/>
      <c r="M131" s="180"/>
      <c r="P131" s="109">
        <f>IF($BD131&gt;0,(((($BD131/Dashboard!$D$15)*(1+Precificação!$W$589)))+$P$26)*(1+Dashboard!$D$35),0)</f>
        <v>0</v>
      </c>
      <c r="Q131" s="109">
        <f>IF($BD131&gt;0,(((($BD131/Dashboard!$D$23)+(1+Precificação!$W$589))*(1+Q$28))+$P$26)*(1+Dashboard!$D$35),0)</f>
        <v>0</v>
      </c>
      <c r="R131" s="109">
        <f>IF($BD131&gt;0,(((($BD131/Dashboard!$D$23)+(1+Precificação!$W$589))*(1+R$28))+$P$26)*(1+Dashboard!$D$35),0)</f>
        <v>0</v>
      </c>
      <c r="S131" s="109">
        <f>IF($BD131&gt;0,(((($BD131/Dashboard!$D$23)+(1+Precificação!$W$589))*(1+S$28))+$P$26)*(1+Dashboard!$D$35),0)</f>
        <v>0</v>
      </c>
      <c r="U131" s="109">
        <f t="shared" si="20"/>
        <v>0</v>
      </c>
      <c r="V131" s="109">
        <f t="shared" si="21"/>
        <v>0</v>
      </c>
      <c r="W131" s="109">
        <f t="shared" si="22"/>
        <v>0</v>
      </c>
      <c r="X131" s="109">
        <f t="shared" si="23"/>
        <v>0</v>
      </c>
      <c r="AA131" s="109">
        <f>IF($BD131&gt;0,(((($BD131/Dashboard!$D$23)*(1+Precificação!$W$589)))+$AA$26)*(1+Dashboard!$D$35),0)</f>
        <v>0</v>
      </c>
      <c r="AB131" s="109">
        <f>IF($BD131&gt;0,(((($BD131/Dashboard!$D$23)*(1+Precificação!$W$589))*(1+AB$28))+$AA$26)*(1+Dashboard!$D$35),0)</f>
        <v>0</v>
      </c>
      <c r="AC131" s="109">
        <f>IF($BD131&gt;0,(((($BD131/Dashboard!$D$23)*(1+Precificação!$W$589))*(1+AC$28))+$AA$26)*(1+Dashboard!$D$35),0)</f>
        <v>0</v>
      </c>
      <c r="AD131" s="109">
        <f>IF($BD131&gt;0,(((($BD131/Dashboard!$D$23)*(1+Precificação!$W$589))*(1+AD$28))+$AA$26)*(1+Dashboard!$D$35),0)</f>
        <v>0</v>
      </c>
      <c r="AF131" s="109">
        <f t="shared" si="24"/>
        <v>0</v>
      </c>
      <c r="AG131" s="109">
        <f t="shared" si="25"/>
        <v>0</v>
      </c>
      <c r="AH131" s="109">
        <f t="shared" si="26"/>
        <v>0</v>
      </c>
      <c r="AI131" s="109">
        <f t="shared" si="27"/>
        <v>0</v>
      </c>
      <c r="AL131" s="109">
        <f>IF($BD131&gt;0,(((($BD131/Dashboard!$D$23)*(1+Precificação!$W$589)))+$AL$26)*(1+Dashboard!$D$35),0)</f>
        <v>0</v>
      </c>
      <c r="AM131" s="109">
        <f>IF($BD131&gt;0,(((($BD131/Dashboard!$D$23)*(1+Precificação!$W$589))*(1+AM$28))+$AA$26)*(1+Dashboard!$D$35),0)</f>
        <v>0</v>
      </c>
      <c r="AN131" s="109">
        <f>IF($BD131&gt;0,(((($BD131/Dashboard!$D$23)*(1+Precificação!$W$589))*(1+AN$28))+$AA$26)*(1+Dashboard!$D$35),0)</f>
        <v>0</v>
      </c>
      <c r="AO131" s="109">
        <f>IF($BD131&gt;0,(((($BD131/Dashboard!$D$23)*(1+Precificação!$W$589))*(1+AO$28))+$AA$26)*(1+Dashboard!$D$35),0)</f>
        <v>0</v>
      </c>
      <c r="AQ131" s="109">
        <f t="shared" si="28"/>
        <v>0</v>
      </c>
      <c r="AR131" s="109">
        <f t="shared" si="29"/>
        <v>0</v>
      </c>
      <c r="AS131" s="109">
        <f t="shared" si="30"/>
        <v>0</v>
      </c>
      <c r="AT131" s="109">
        <f t="shared" si="31"/>
        <v>0</v>
      </c>
      <c r="AW131" s="144">
        <f>VLOOKUP(B131,'Cronog. e Histog.'!$B$213:$BT$688,71,0)</f>
        <v>0</v>
      </c>
      <c r="AX131" s="144">
        <f>VLOOKUP(B131,'Cronog. e Histog.'!$B$213:$BU$688,72,0)</f>
        <v>0</v>
      </c>
      <c r="AY131" s="144">
        <f>$AW131*$AX131*Dashboard!$D$15</f>
        <v>0</v>
      </c>
      <c r="AZ131" s="144">
        <f>VLOOKUP(B131,Precificação!$B$96:$BM$533,54,0)</f>
        <v>0</v>
      </c>
      <c r="BA131" s="144">
        <f>VLOOKUP(B131,Precificação!$B$96:$BR$533,58,0)</f>
        <v>0</v>
      </c>
      <c r="BB131" s="144">
        <f>VLOOKUP(B131,Precificação!$B$96:$BW$533,62,0)</f>
        <v>0</v>
      </c>
      <c r="BC131" s="144">
        <f t="shared" si="32"/>
        <v>0</v>
      </c>
      <c r="BD131" s="109">
        <f>IFERROR(VLOOKUP(B131,Precificação!$B$96:$S$533,13,0),0)</f>
        <v>0</v>
      </c>
      <c r="BE131" s="109">
        <f>IFERROR(VLOOKUP(B131,Precificação!$B$96:$U$533,15,0)/(Precificação!$U$4+Precificação!$U$91),0)*Dashboard!$T$3</f>
        <v>0</v>
      </c>
    </row>
    <row r="132" spans="2:57" ht="12" customHeight="1" outlineLevel="1">
      <c r="B132" s="137" t="str">
        <f>Precificação!B110</f>
        <v>TEC I - Equipe_01</v>
      </c>
      <c r="D132" s="512"/>
      <c r="E132" s="143" t="str">
        <f>IF('Cronog. e Histog.'!G227&gt;0,'Cronog. e Histog.'!G227,"")</f>
        <v>TEC I</v>
      </c>
      <c r="G132" s="179">
        <f t="shared" si="19"/>
        <v>0</v>
      </c>
      <c r="H132" s="110">
        <f>IFERROR(INDEX('Base Salarial'!$D$5:$F$25,MATCH(E132,'Base Salarial'!$G$5:$G$25,0),MATCH(I132,'Base Salarial'!$D$4:$F$4,0)),"")</f>
        <v>3000</v>
      </c>
      <c r="I132" s="78" t="str">
        <f>IFERROR(INDEX(Tarefas!$BQ$29:$FK$29,MATCH(E132,Tarefas!$BQ$30:$FK$30,0)),"")</f>
        <v>Mensalista</v>
      </c>
      <c r="J132" s="81">
        <f>IF(I132="horista",H132*Dashboard!$D$15,IF(OR(I132="Mensalista",I132="PJ"),H132,))</f>
        <v>3000</v>
      </c>
      <c r="K132" s="81">
        <f>IF(I132="PJ",J132,ROUND(J132*(1+Dashboard!$D$22),2))</f>
        <v>3180</v>
      </c>
      <c r="L132" s="77"/>
      <c r="M132" s="180"/>
      <c r="P132" s="109">
        <f>IF($BD132&gt;0,(((($BD132/Dashboard!$D$15)*(1+Precificação!$W$589)))+$P$26)*(1+Dashboard!$D$35),0)</f>
        <v>0</v>
      </c>
      <c r="Q132" s="109">
        <f>IF($BD132&gt;0,(((($BD132/Dashboard!$D$23)+(1+Precificação!$W$589))*(1+Q$28))+$P$26)*(1+Dashboard!$D$35),0)</f>
        <v>0</v>
      </c>
      <c r="R132" s="109">
        <f>IF($BD132&gt;0,(((($BD132/Dashboard!$D$23)+(1+Precificação!$W$589))*(1+R$28))+$P$26)*(1+Dashboard!$D$35),0)</f>
        <v>0</v>
      </c>
      <c r="S132" s="109">
        <f>IF($BD132&gt;0,(((($BD132/Dashboard!$D$23)+(1+Precificação!$W$589))*(1+S$28))+$P$26)*(1+Dashboard!$D$35),0)</f>
        <v>0</v>
      </c>
      <c r="U132" s="109">
        <f t="shared" si="20"/>
        <v>0</v>
      </c>
      <c r="V132" s="109">
        <f t="shared" si="21"/>
        <v>0</v>
      </c>
      <c r="W132" s="109">
        <f t="shared" si="22"/>
        <v>0</v>
      </c>
      <c r="X132" s="109">
        <f t="shared" si="23"/>
        <v>0</v>
      </c>
      <c r="AA132" s="109">
        <f>IF($BD132&gt;0,(((($BD132/Dashboard!$D$23)*(1+Precificação!$W$589)))+$AA$26)*(1+Dashboard!$D$35),0)</f>
        <v>0</v>
      </c>
      <c r="AB132" s="109">
        <f>IF($BD132&gt;0,(((($BD132/Dashboard!$D$23)*(1+Precificação!$W$589))*(1+AB$28))+$AA$26)*(1+Dashboard!$D$35),0)</f>
        <v>0</v>
      </c>
      <c r="AC132" s="109">
        <f>IF($BD132&gt;0,(((($BD132/Dashboard!$D$23)*(1+Precificação!$W$589))*(1+AC$28))+$AA$26)*(1+Dashboard!$D$35),0)</f>
        <v>0</v>
      </c>
      <c r="AD132" s="109">
        <f>IF($BD132&gt;0,(((($BD132/Dashboard!$D$23)*(1+Precificação!$W$589))*(1+AD$28))+$AA$26)*(1+Dashboard!$D$35),0)</f>
        <v>0</v>
      </c>
      <c r="AF132" s="109">
        <f t="shared" si="24"/>
        <v>0</v>
      </c>
      <c r="AG132" s="109">
        <f t="shared" si="25"/>
        <v>0</v>
      </c>
      <c r="AH132" s="109">
        <f t="shared" si="26"/>
        <v>0</v>
      </c>
      <c r="AI132" s="109">
        <f t="shared" si="27"/>
        <v>0</v>
      </c>
      <c r="AL132" s="109">
        <f>IF($BD132&gt;0,(((($BD132/Dashboard!$D$23)*(1+Precificação!$W$589)))+$AL$26)*(1+Dashboard!$D$35),0)</f>
        <v>0</v>
      </c>
      <c r="AM132" s="109">
        <f>IF($BD132&gt;0,(((($BD132/Dashboard!$D$23)*(1+Precificação!$W$589))*(1+AM$28))+$AA$26)*(1+Dashboard!$D$35),0)</f>
        <v>0</v>
      </c>
      <c r="AN132" s="109">
        <f>IF($BD132&gt;0,(((($BD132/Dashboard!$D$23)*(1+Precificação!$W$589))*(1+AN$28))+$AA$26)*(1+Dashboard!$D$35),0)</f>
        <v>0</v>
      </c>
      <c r="AO132" s="109">
        <f>IF($BD132&gt;0,(((($BD132/Dashboard!$D$23)*(1+Precificação!$W$589))*(1+AO$28))+$AA$26)*(1+Dashboard!$D$35),0)</f>
        <v>0</v>
      </c>
      <c r="AQ132" s="109">
        <f t="shared" si="28"/>
        <v>0</v>
      </c>
      <c r="AR132" s="109">
        <f t="shared" si="29"/>
        <v>0</v>
      </c>
      <c r="AS132" s="109">
        <f t="shared" si="30"/>
        <v>0</v>
      </c>
      <c r="AT132" s="109">
        <f t="shared" si="31"/>
        <v>0</v>
      </c>
      <c r="AW132" s="144">
        <f>VLOOKUP(B132,'Cronog. e Histog.'!$B$213:$BT$688,71,0)</f>
        <v>0</v>
      </c>
      <c r="AX132" s="144">
        <f>VLOOKUP(B132,'Cronog. e Histog.'!$B$213:$BU$688,72,0)</f>
        <v>0</v>
      </c>
      <c r="AY132" s="144">
        <f>$AW132*$AX132*Dashboard!$D$15</f>
        <v>0</v>
      </c>
      <c r="AZ132" s="144">
        <f>VLOOKUP(B132,Precificação!$B$96:$BM$533,54,0)</f>
        <v>0</v>
      </c>
      <c r="BA132" s="144">
        <f>VLOOKUP(B132,Precificação!$B$96:$BR$533,58,0)</f>
        <v>0</v>
      </c>
      <c r="BB132" s="144">
        <f>VLOOKUP(B132,Precificação!$B$96:$BW$533,62,0)</f>
        <v>0</v>
      </c>
      <c r="BC132" s="144">
        <f t="shared" si="32"/>
        <v>0</v>
      </c>
      <c r="BD132" s="109">
        <f>IFERROR(VLOOKUP(B132,Precificação!$B$96:$S$533,13,0),0)</f>
        <v>0</v>
      </c>
      <c r="BE132" s="109">
        <f>IFERROR(VLOOKUP(B132,Precificação!$B$96:$U$533,15,0)/(Precificação!$U$4+Precificação!$U$91),0)*Dashboard!$T$3</f>
        <v>0</v>
      </c>
    </row>
    <row r="133" spans="2:57" ht="12" customHeight="1" outlineLevel="1">
      <c r="B133" s="137" t="str">
        <f>Precificação!B111</f>
        <v>AUX TEC - Equipe_01</v>
      </c>
      <c r="D133" s="512"/>
      <c r="E133" s="143" t="str">
        <f>IF('Cronog. e Histog.'!G228&gt;0,'Cronog. e Histog.'!G228,"")</f>
        <v>AUX TEC</v>
      </c>
      <c r="G133" s="179">
        <f t="shared" si="19"/>
        <v>0</v>
      </c>
      <c r="H133" s="110">
        <f>IFERROR(INDEX('Base Salarial'!$D$5:$F$25,MATCH(E133,'Base Salarial'!$G$5:$G$25,0),MATCH(I133,'Base Salarial'!$D$4:$F$4,0)),"")</f>
        <v>3500</v>
      </c>
      <c r="I133" s="78" t="str">
        <f>IFERROR(INDEX(Tarefas!$BQ$29:$FK$29,MATCH(E133,Tarefas!$BQ$30:$FK$30,0)),"")</f>
        <v>Mensalista</v>
      </c>
      <c r="J133" s="81">
        <f>IF(I133="horista",H133*Dashboard!$D$15,IF(OR(I133="Mensalista",I133="PJ"),H133,))</f>
        <v>3500</v>
      </c>
      <c r="K133" s="81">
        <f>IF(I133="PJ",J133,ROUND(J133*(1+Dashboard!$D$22),2))</f>
        <v>3710</v>
      </c>
      <c r="L133" s="77"/>
      <c r="M133" s="180"/>
      <c r="P133" s="109">
        <f>IF($BD133&gt;0,(((($BD133/Dashboard!$D$15)*(1+Precificação!$W$589)))+$P$26)*(1+Dashboard!$D$35),0)</f>
        <v>0</v>
      </c>
      <c r="Q133" s="109">
        <f>IF($BD133&gt;0,(((($BD133/Dashboard!$D$23)+(1+Precificação!$W$589))*(1+Q$28))+$P$26)*(1+Dashboard!$D$35),0)</f>
        <v>0</v>
      </c>
      <c r="R133" s="109">
        <f>IF($BD133&gt;0,(((($BD133/Dashboard!$D$23)+(1+Precificação!$W$589))*(1+R$28))+$P$26)*(1+Dashboard!$D$35),0)</f>
        <v>0</v>
      </c>
      <c r="S133" s="109">
        <f>IF($BD133&gt;0,(((($BD133/Dashboard!$D$23)+(1+Precificação!$W$589))*(1+S$28))+$P$26)*(1+Dashboard!$D$35),0)</f>
        <v>0</v>
      </c>
      <c r="U133" s="109">
        <f t="shared" si="20"/>
        <v>0</v>
      </c>
      <c r="V133" s="109">
        <f t="shared" si="21"/>
        <v>0</v>
      </c>
      <c r="W133" s="109">
        <f t="shared" si="22"/>
        <v>0</v>
      </c>
      <c r="X133" s="109">
        <f t="shared" si="23"/>
        <v>0</v>
      </c>
      <c r="AA133" s="109">
        <f>IF($BD133&gt;0,(((($BD133/Dashboard!$D$23)*(1+Precificação!$W$589)))+$AA$26)*(1+Dashboard!$D$35),0)</f>
        <v>0</v>
      </c>
      <c r="AB133" s="109">
        <f>IF($BD133&gt;0,(((($BD133/Dashboard!$D$23)*(1+Precificação!$W$589))*(1+AB$28))+$AA$26)*(1+Dashboard!$D$35),0)</f>
        <v>0</v>
      </c>
      <c r="AC133" s="109">
        <f>IF($BD133&gt;0,(((($BD133/Dashboard!$D$23)*(1+Precificação!$W$589))*(1+AC$28))+$AA$26)*(1+Dashboard!$D$35),0)</f>
        <v>0</v>
      </c>
      <c r="AD133" s="109">
        <f>IF($BD133&gt;0,(((($BD133/Dashboard!$D$23)*(1+Precificação!$W$589))*(1+AD$28))+$AA$26)*(1+Dashboard!$D$35),0)</f>
        <v>0</v>
      </c>
      <c r="AF133" s="109">
        <f t="shared" si="24"/>
        <v>0</v>
      </c>
      <c r="AG133" s="109">
        <f t="shared" si="25"/>
        <v>0</v>
      </c>
      <c r="AH133" s="109">
        <f t="shared" si="26"/>
        <v>0</v>
      </c>
      <c r="AI133" s="109">
        <f t="shared" si="27"/>
        <v>0</v>
      </c>
      <c r="AL133" s="109">
        <f>IF($BD133&gt;0,(((($BD133/Dashboard!$D$23)*(1+Precificação!$W$589)))+$AL$26)*(1+Dashboard!$D$35),0)</f>
        <v>0</v>
      </c>
      <c r="AM133" s="109">
        <f>IF($BD133&gt;0,(((($BD133/Dashboard!$D$23)*(1+Precificação!$W$589))*(1+AM$28))+$AA$26)*(1+Dashboard!$D$35),0)</f>
        <v>0</v>
      </c>
      <c r="AN133" s="109">
        <f>IF($BD133&gt;0,(((($BD133/Dashboard!$D$23)*(1+Precificação!$W$589))*(1+AN$28))+$AA$26)*(1+Dashboard!$D$35),0)</f>
        <v>0</v>
      </c>
      <c r="AO133" s="109">
        <f>IF($BD133&gt;0,(((($BD133/Dashboard!$D$23)*(1+Precificação!$W$589))*(1+AO$28))+$AA$26)*(1+Dashboard!$D$35),0)</f>
        <v>0</v>
      </c>
      <c r="AQ133" s="109">
        <f t="shared" si="28"/>
        <v>0</v>
      </c>
      <c r="AR133" s="109">
        <f t="shared" si="29"/>
        <v>0</v>
      </c>
      <c r="AS133" s="109">
        <f t="shared" si="30"/>
        <v>0</v>
      </c>
      <c r="AT133" s="109">
        <f t="shared" si="31"/>
        <v>0</v>
      </c>
      <c r="AW133" s="144">
        <f>VLOOKUP(B133,'Cronog. e Histog.'!$B$213:$BT$688,71,0)</f>
        <v>0</v>
      </c>
      <c r="AX133" s="144">
        <f>VLOOKUP(B133,'Cronog. e Histog.'!$B$213:$BU$688,72,0)</f>
        <v>0</v>
      </c>
      <c r="AY133" s="144">
        <f>$AW133*$AX133*Dashboard!$D$15</f>
        <v>0</v>
      </c>
      <c r="AZ133" s="144">
        <f>VLOOKUP(B133,Precificação!$B$96:$BM$533,54,0)</f>
        <v>0</v>
      </c>
      <c r="BA133" s="144">
        <f>VLOOKUP(B133,Precificação!$B$96:$BR$533,58,0)</f>
        <v>0</v>
      </c>
      <c r="BB133" s="144">
        <f>VLOOKUP(B133,Precificação!$B$96:$BW$533,62,0)</f>
        <v>0</v>
      </c>
      <c r="BC133" s="144">
        <f t="shared" si="32"/>
        <v>0</v>
      </c>
      <c r="BD133" s="109">
        <f>IFERROR(VLOOKUP(B133,Precificação!$B$96:$S$533,13,0),0)</f>
        <v>0</v>
      </c>
      <c r="BE133" s="109">
        <f>IFERROR(VLOOKUP(B133,Precificação!$B$96:$U$533,15,0)/(Precificação!$U$4+Precificação!$U$91),0)*Dashboard!$T$3</f>
        <v>0</v>
      </c>
    </row>
    <row r="134" spans="2:57" ht="12" customHeight="1" outlineLevel="1">
      <c r="B134" s="137" t="str">
        <f>Precificação!B112</f>
        <v>AUX ADM - Equipe_01</v>
      </c>
      <c r="D134" s="512"/>
      <c r="E134" s="143" t="str">
        <f>IF('Cronog. e Histog.'!G229&gt;0,'Cronog. e Histog.'!G229,"")</f>
        <v>AUX ADM</v>
      </c>
      <c r="G134" s="179">
        <f t="shared" si="19"/>
        <v>0</v>
      </c>
      <c r="H134" s="110">
        <f>IFERROR(INDEX('Base Salarial'!$D$5:$F$25,MATCH(E134,'Base Salarial'!$G$5:$G$25,0),MATCH(I134,'Base Salarial'!$D$4:$F$4,0)),"")</f>
        <v>1804</v>
      </c>
      <c r="I134" s="78" t="str">
        <f>IFERROR(INDEX(Tarefas!$BQ$29:$FK$29,MATCH(E134,Tarefas!$BQ$30:$FK$30,0)),"")</f>
        <v>Mensalista</v>
      </c>
      <c r="J134" s="81">
        <f>IF(I134="horista",H134*Dashboard!$D$15,IF(OR(I134="Mensalista",I134="PJ"),H134,))</f>
        <v>1804</v>
      </c>
      <c r="K134" s="81">
        <f>IF(I134="PJ",J134,ROUND(J134*(1+Dashboard!$D$22),2))</f>
        <v>1912.24</v>
      </c>
      <c r="L134" s="77"/>
      <c r="M134" s="180"/>
      <c r="P134" s="109">
        <f>IF($BD134&gt;0,(((($BD134/Dashboard!$D$15)*(1+Precificação!$W$589)))+$P$26)*(1+Dashboard!$D$35),0)</f>
        <v>0</v>
      </c>
      <c r="Q134" s="109">
        <f>IF($BD134&gt;0,(((($BD134/Dashboard!$D$23)+(1+Precificação!$W$589))*(1+Q$28))+$P$26)*(1+Dashboard!$D$35),0)</f>
        <v>0</v>
      </c>
      <c r="R134" s="109">
        <f>IF($BD134&gt;0,(((($BD134/Dashboard!$D$23)+(1+Precificação!$W$589))*(1+R$28))+$P$26)*(1+Dashboard!$D$35),0)</f>
        <v>0</v>
      </c>
      <c r="S134" s="109">
        <f>IF($BD134&gt;0,(((($BD134/Dashboard!$D$23)+(1+Precificação!$W$589))*(1+S$28))+$P$26)*(1+Dashboard!$D$35),0)</f>
        <v>0</v>
      </c>
      <c r="U134" s="109">
        <f t="shared" si="20"/>
        <v>0</v>
      </c>
      <c r="V134" s="109">
        <f t="shared" si="21"/>
        <v>0</v>
      </c>
      <c r="W134" s="109">
        <f t="shared" si="22"/>
        <v>0</v>
      </c>
      <c r="X134" s="109">
        <f t="shared" si="23"/>
        <v>0</v>
      </c>
      <c r="AA134" s="109">
        <f>IF($BD134&gt;0,(((($BD134/Dashboard!$D$23)*(1+Precificação!$W$589)))+$AA$26)*(1+Dashboard!$D$35),0)</f>
        <v>0</v>
      </c>
      <c r="AB134" s="109">
        <f>IF($BD134&gt;0,(((($BD134/Dashboard!$D$23)*(1+Precificação!$W$589))*(1+AB$28))+$AA$26)*(1+Dashboard!$D$35),0)</f>
        <v>0</v>
      </c>
      <c r="AC134" s="109">
        <f>IF($BD134&gt;0,(((($BD134/Dashboard!$D$23)*(1+Precificação!$W$589))*(1+AC$28))+$AA$26)*(1+Dashboard!$D$35),0)</f>
        <v>0</v>
      </c>
      <c r="AD134" s="109">
        <f>IF($BD134&gt;0,(((($BD134/Dashboard!$D$23)*(1+Precificação!$W$589))*(1+AD$28))+$AA$26)*(1+Dashboard!$D$35),0)</f>
        <v>0</v>
      </c>
      <c r="AF134" s="109">
        <f t="shared" si="24"/>
        <v>0</v>
      </c>
      <c r="AG134" s="109">
        <f t="shared" si="25"/>
        <v>0</v>
      </c>
      <c r="AH134" s="109">
        <f t="shared" si="26"/>
        <v>0</v>
      </c>
      <c r="AI134" s="109">
        <f t="shared" si="27"/>
        <v>0</v>
      </c>
      <c r="AL134" s="109">
        <f>IF($BD134&gt;0,(((($BD134/Dashboard!$D$23)*(1+Precificação!$W$589)))+$AL$26)*(1+Dashboard!$D$35),0)</f>
        <v>0</v>
      </c>
      <c r="AM134" s="109">
        <f>IF($BD134&gt;0,(((($BD134/Dashboard!$D$23)*(1+Precificação!$W$589))*(1+AM$28))+$AA$26)*(1+Dashboard!$D$35),0)</f>
        <v>0</v>
      </c>
      <c r="AN134" s="109">
        <f>IF($BD134&gt;0,(((($BD134/Dashboard!$D$23)*(1+Precificação!$W$589))*(1+AN$28))+$AA$26)*(1+Dashboard!$D$35),0)</f>
        <v>0</v>
      </c>
      <c r="AO134" s="109">
        <f>IF($BD134&gt;0,(((($BD134/Dashboard!$D$23)*(1+Precificação!$W$589))*(1+AO$28))+$AA$26)*(1+Dashboard!$D$35),0)</f>
        <v>0</v>
      </c>
      <c r="AQ134" s="109">
        <f t="shared" si="28"/>
        <v>0</v>
      </c>
      <c r="AR134" s="109">
        <f t="shared" si="29"/>
        <v>0</v>
      </c>
      <c r="AS134" s="109">
        <f t="shared" si="30"/>
        <v>0</v>
      </c>
      <c r="AT134" s="109">
        <f t="shared" si="31"/>
        <v>0</v>
      </c>
      <c r="AW134" s="144">
        <f>VLOOKUP(B134,'Cronog. e Histog.'!$B$213:$BT$688,71,0)</f>
        <v>0</v>
      </c>
      <c r="AX134" s="144">
        <f>VLOOKUP(B134,'Cronog. e Histog.'!$B$213:$BU$688,72,0)</f>
        <v>0</v>
      </c>
      <c r="AY134" s="144">
        <f>$AW134*$AX134*Dashboard!$D$15</f>
        <v>0</v>
      </c>
      <c r="AZ134" s="144">
        <f>VLOOKUP(B134,Precificação!$B$96:$BM$533,54,0)</f>
        <v>0</v>
      </c>
      <c r="BA134" s="144">
        <f>VLOOKUP(B134,Precificação!$B$96:$BR$533,58,0)</f>
        <v>0</v>
      </c>
      <c r="BB134" s="144">
        <f>VLOOKUP(B134,Precificação!$B$96:$BW$533,62,0)</f>
        <v>0</v>
      </c>
      <c r="BC134" s="144">
        <f t="shared" si="32"/>
        <v>0</v>
      </c>
      <c r="BD134" s="109">
        <f>IFERROR(VLOOKUP(B134,Precificação!$B$96:$S$533,13,0),0)</f>
        <v>0</v>
      </c>
      <c r="BE134" s="109">
        <f>IFERROR(VLOOKUP(B134,Precificação!$B$96:$U$533,15,0)/(Precificação!$U$4+Precificação!$U$91),0)*Dashboard!$T$3</f>
        <v>0</v>
      </c>
    </row>
    <row r="135" spans="2:57" ht="12" customHeight="1" outlineLevel="1">
      <c r="B135" s="137" t="str">
        <f>Precificação!B113</f>
        <v>EST - Equipe_01</v>
      </c>
      <c r="D135" s="512"/>
      <c r="E135" s="143" t="str">
        <f>IF('Cronog. e Histog.'!G230&gt;0,'Cronog. e Histog.'!G230,"")</f>
        <v>EST</v>
      </c>
      <c r="G135" s="179">
        <f t="shared" si="19"/>
        <v>0</v>
      </c>
      <c r="H135" s="110">
        <f>IFERROR(INDEX('Base Salarial'!$D$5:$F$25,MATCH(E135,'Base Salarial'!$G$5:$G$25,0),MATCH(I135,'Base Salarial'!$D$4:$F$4,0)),"")</f>
        <v>1633</v>
      </c>
      <c r="I135" s="78" t="str">
        <f>IFERROR(INDEX(Tarefas!$BQ$29:$FK$29,MATCH(E135,Tarefas!$BQ$30:$FK$30,0)),"")</f>
        <v>PJ</v>
      </c>
      <c r="J135" s="81">
        <f>IF(I135="horista",H135*Dashboard!$D$15,IF(OR(I135="Mensalista",I135="PJ"),H135,))</f>
        <v>1633</v>
      </c>
      <c r="K135" s="81">
        <f>IF(I135="PJ",J135,ROUND(J135*(1+Dashboard!$D$22),2))</f>
        <v>1633</v>
      </c>
      <c r="L135" s="77"/>
      <c r="M135" s="180"/>
      <c r="P135" s="109">
        <f>IF($BD135&gt;0,(((($BD135/Dashboard!$D$15)*(1+Precificação!$W$589)))+$P$26)*(1+Dashboard!$D$35),0)</f>
        <v>0</v>
      </c>
      <c r="Q135" s="109">
        <f>IF($BD135&gt;0,(((($BD135/Dashboard!$D$23)+(1+Precificação!$W$589))*(1+Q$28))+$P$26)*(1+Dashboard!$D$35),0)</f>
        <v>0</v>
      </c>
      <c r="R135" s="109">
        <f>IF($BD135&gt;0,(((($BD135/Dashboard!$D$23)+(1+Precificação!$W$589))*(1+R$28))+$P$26)*(1+Dashboard!$D$35),0)</f>
        <v>0</v>
      </c>
      <c r="S135" s="109">
        <f>IF($BD135&gt;0,(((($BD135/Dashboard!$D$23)+(1+Precificação!$W$589))*(1+S$28))+$P$26)*(1+Dashboard!$D$35),0)</f>
        <v>0</v>
      </c>
      <c r="U135" s="109">
        <f t="shared" si="20"/>
        <v>0</v>
      </c>
      <c r="V135" s="109">
        <f t="shared" si="21"/>
        <v>0</v>
      </c>
      <c r="W135" s="109">
        <f t="shared" si="22"/>
        <v>0</v>
      </c>
      <c r="X135" s="109">
        <f t="shared" si="23"/>
        <v>0</v>
      </c>
      <c r="AA135" s="109">
        <f>IF($BD135&gt;0,(((($BD135/Dashboard!$D$23)*(1+Precificação!$W$589)))+$AA$26)*(1+Dashboard!$D$35),0)</f>
        <v>0</v>
      </c>
      <c r="AB135" s="109">
        <f>IF($BD135&gt;0,(((($BD135/Dashboard!$D$23)*(1+Precificação!$W$589))*(1+AB$28))+$AA$26)*(1+Dashboard!$D$35),0)</f>
        <v>0</v>
      </c>
      <c r="AC135" s="109">
        <f>IF($BD135&gt;0,(((($BD135/Dashboard!$D$23)*(1+Precificação!$W$589))*(1+AC$28))+$AA$26)*(1+Dashboard!$D$35),0)</f>
        <v>0</v>
      </c>
      <c r="AD135" s="109">
        <f>IF($BD135&gt;0,(((($BD135/Dashboard!$D$23)*(1+Precificação!$W$589))*(1+AD$28))+$AA$26)*(1+Dashboard!$D$35),0)</f>
        <v>0</v>
      </c>
      <c r="AF135" s="109">
        <f t="shared" si="24"/>
        <v>0</v>
      </c>
      <c r="AG135" s="109">
        <f t="shared" si="25"/>
        <v>0</v>
      </c>
      <c r="AH135" s="109">
        <f t="shared" si="26"/>
        <v>0</v>
      </c>
      <c r="AI135" s="109">
        <f t="shared" si="27"/>
        <v>0</v>
      </c>
      <c r="AL135" s="109">
        <f>IF($BD135&gt;0,(((($BD135/Dashboard!$D$23)*(1+Precificação!$W$589)))+$AL$26)*(1+Dashboard!$D$35),0)</f>
        <v>0</v>
      </c>
      <c r="AM135" s="109">
        <f>IF($BD135&gt;0,(((($BD135/Dashboard!$D$23)*(1+Precificação!$W$589))*(1+AM$28))+$AA$26)*(1+Dashboard!$D$35),0)</f>
        <v>0</v>
      </c>
      <c r="AN135" s="109">
        <f>IF($BD135&gt;0,(((($BD135/Dashboard!$D$23)*(1+Precificação!$W$589))*(1+AN$28))+$AA$26)*(1+Dashboard!$D$35),0)</f>
        <v>0</v>
      </c>
      <c r="AO135" s="109">
        <f>IF($BD135&gt;0,(((($BD135/Dashboard!$D$23)*(1+Precificação!$W$589))*(1+AO$28))+$AA$26)*(1+Dashboard!$D$35),0)</f>
        <v>0</v>
      </c>
      <c r="AQ135" s="109">
        <f t="shared" si="28"/>
        <v>0</v>
      </c>
      <c r="AR135" s="109">
        <f t="shared" si="29"/>
        <v>0</v>
      </c>
      <c r="AS135" s="109">
        <f t="shared" si="30"/>
        <v>0</v>
      </c>
      <c r="AT135" s="109">
        <f t="shared" si="31"/>
        <v>0</v>
      </c>
      <c r="AW135" s="144">
        <f>VLOOKUP(B135,'Cronog. e Histog.'!$B$213:$BT$688,71,0)</f>
        <v>0</v>
      </c>
      <c r="AX135" s="144">
        <f>VLOOKUP(B135,'Cronog. e Histog.'!$B$213:$BU$688,72,0)</f>
        <v>0</v>
      </c>
      <c r="AY135" s="144">
        <f>$AW135*$AX135*Dashboard!$D$15</f>
        <v>0</v>
      </c>
      <c r="AZ135" s="144">
        <f>VLOOKUP(B135,Precificação!$B$96:$BM$533,54,0)</f>
        <v>0</v>
      </c>
      <c r="BA135" s="144">
        <f>VLOOKUP(B135,Precificação!$B$96:$BR$533,58,0)</f>
        <v>0</v>
      </c>
      <c r="BB135" s="144">
        <f>VLOOKUP(B135,Precificação!$B$96:$BW$533,62,0)</f>
        <v>0</v>
      </c>
      <c r="BC135" s="144">
        <f t="shared" si="32"/>
        <v>0</v>
      </c>
      <c r="BD135" s="109">
        <f>IFERROR(VLOOKUP(B135,Precificação!$B$96:$S$533,13,0),0)</f>
        <v>0</v>
      </c>
      <c r="BE135" s="109">
        <f>IFERROR(VLOOKUP(B135,Precificação!$B$96:$U$533,15,0)/(Precificação!$U$4+Precificação!$U$91),0)*Dashboard!$T$3</f>
        <v>0</v>
      </c>
    </row>
    <row r="136" spans="2:57" ht="12" customHeight="1" outlineLevel="1">
      <c r="B136" s="137" t="str">
        <f>Precificação!B114</f>
        <v>EST_II - Equipe_01</v>
      </c>
      <c r="D136" s="512"/>
      <c r="E136" s="143" t="str">
        <f>IF('Cronog. e Histog.'!G231&gt;0,'Cronog. e Histog.'!G231,"")</f>
        <v>EST_II</v>
      </c>
      <c r="G136" s="179">
        <f t="shared" si="19"/>
        <v>0</v>
      </c>
      <c r="H136" s="110">
        <f>IFERROR(INDEX('Base Salarial'!$D$5:$F$25,MATCH(E136,'Base Salarial'!$G$5:$G$25,0),MATCH(I136,'Base Salarial'!$D$4:$F$4,0)),"")</f>
        <v>1633</v>
      </c>
      <c r="I136" s="78" t="str">
        <f>IFERROR(INDEX(Tarefas!$BQ$29:$FK$29,MATCH(E136,Tarefas!$BQ$30:$FK$30,0)),"")</f>
        <v>PJ</v>
      </c>
      <c r="J136" s="81">
        <f>IF(I136="horista",H136*Dashboard!$D$15,IF(OR(I136="Mensalista",I136="PJ"),H136,))</f>
        <v>1633</v>
      </c>
      <c r="K136" s="81">
        <f>IF(I136="PJ",J136,ROUND(J136*(1+Dashboard!$D$22),2))</f>
        <v>1633</v>
      </c>
      <c r="L136" s="77"/>
      <c r="M136" s="180"/>
      <c r="P136" s="109">
        <f>IF($BD136&gt;0,(((($BD136/Dashboard!$D$15)*(1+Precificação!$W$589)))+$P$26)*(1+Dashboard!$D$35),0)</f>
        <v>0</v>
      </c>
      <c r="Q136" s="109">
        <f>IF($BD136&gt;0,(((($BD136/Dashboard!$D$23)+(1+Precificação!$W$589))*(1+Q$28))+$P$26)*(1+Dashboard!$D$35),0)</f>
        <v>0</v>
      </c>
      <c r="R136" s="109">
        <f>IF($BD136&gt;0,(((($BD136/Dashboard!$D$23)+(1+Precificação!$W$589))*(1+R$28))+$P$26)*(1+Dashboard!$D$35),0)</f>
        <v>0</v>
      </c>
      <c r="S136" s="109">
        <f>IF($BD136&gt;0,(((($BD136/Dashboard!$D$23)+(1+Precificação!$W$589))*(1+S$28))+$P$26)*(1+Dashboard!$D$35),0)</f>
        <v>0</v>
      </c>
      <c r="U136" s="109">
        <f t="shared" si="20"/>
        <v>0</v>
      </c>
      <c r="V136" s="109">
        <f t="shared" si="21"/>
        <v>0</v>
      </c>
      <c r="W136" s="109">
        <f t="shared" si="22"/>
        <v>0</v>
      </c>
      <c r="X136" s="109">
        <f t="shared" si="23"/>
        <v>0</v>
      </c>
      <c r="AA136" s="109">
        <f>IF($BD136&gt;0,(((($BD136/Dashboard!$D$23)*(1+Precificação!$W$589)))+$AA$26)*(1+Dashboard!$D$35),0)</f>
        <v>0</v>
      </c>
      <c r="AB136" s="109">
        <f>IF($BD136&gt;0,(((($BD136/Dashboard!$D$23)*(1+Precificação!$W$589))*(1+AB$28))+$AA$26)*(1+Dashboard!$D$35),0)</f>
        <v>0</v>
      </c>
      <c r="AC136" s="109">
        <f>IF($BD136&gt;0,(((($BD136/Dashboard!$D$23)*(1+Precificação!$W$589))*(1+AC$28))+$AA$26)*(1+Dashboard!$D$35),0)</f>
        <v>0</v>
      </c>
      <c r="AD136" s="109">
        <f>IF($BD136&gt;0,(((($BD136/Dashboard!$D$23)*(1+Precificação!$W$589))*(1+AD$28))+$AA$26)*(1+Dashboard!$D$35),0)</f>
        <v>0</v>
      </c>
      <c r="AF136" s="109">
        <f t="shared" si="24"/>
        <v>0</v>
      </c>
      <c r="AG136" s="109">
        <f t="shared" si="25"/>
        <v>0</v>
      </c>
      <c r="AH136" s="109">
        <f t="shared" si="26"/>
        <v>0</v>
      </c>
      <c r="AI136" s="109">
        <f t="shared" si="27"/>
        <v>0</v>
      </c>
      <c r="AL136" s="109">
        <f>IF($BD136&gt;0,(((($BD136/Dashboard!$D$23)*(1+Precificação!$W$589)))+$AL$26)*(1+Dashboard!$D$35),0)</f>
        <v>0</v>
      </c>
      <c r="AM136" s="109">
        <f>IF($BD136&gt;0,(((($BD136/Dashboard!$D$23)*(1+Precificação!$W$589))*(1+AM$28))+$AA$26)*(1+Dashboard!$D$35),0)</f>
        <v>0</v>
      </c>
      <c r="AN136" s="109">
        <f>IF($BD136&gt;0,(((($BD136/Dashboard!$D$23)*(1+Precificação!$W$589))*(1+AN$28))+$AA$26)*(1+Dashboard!$D$35),0)</f>
        <v>0</v>
      </c>
      <c r="AO136" s="109">
        <f>IF($BD136&gt;0,(((($BD136/Dashboard!$D$23)*(1+Precificação!$W$589))*(1+AO$28))+$AA$26)*(1+Dashboard!$D$35),0)</f>
        <v>0</v>
      </c>
      <c r="AQ136" s="109">
        <f t="shared" si="28"/>
        <v>0</v>
      </c>
      <c r="AR136" s="109">
        <f t="shared" si="29"/>
        <v>0</v>
      </c>
      <c r="AS136" s="109">
        <f t="shared" si="30"/>
        <v>0</v>
      </c>
      <c r="AT136" s="109">
        <f t="shared" si="31"/>
        <v>0</v>
      </c>
      <c r="AW136" s="144">
        <f>VLOOKUP(B136,'Cronog. e Histog.'!$B$213:$BT$688,71,0)</f>
        <v>0</v>
      </c>
      <c r="AX136" s="144">
        <f>VLOOKUP(B136,'Cronog. e Histog.'!$B$213:$BU$688,72,0)</f>
        <v>0</v>
      </c>
      <c r="AY136" s="144">
        <f>$AW136*$AX136*Dashboard!$D$15</f>
        <v>0</v>
      </c>
      <c r="AZ136" s="144">
        <f>VLOOKUP(B136,Precificação!$B$96:$BM$533,54,0)</f>
        <v>0</v>
      </c>
      <c r="BA136" s="144">
        <f>VLOOKUP(B136,Precificação!$B$96:$BR$533,58,0)</f>
        <v>0</v>
      </c>
      <c r="BB136" s="144">
        <f>VLOOKUP(B136,Precificação!$B$96:$BW$533,62,0)</f>
        <v>0</v>
      </c>
      <c r="BC136" s="144">
        <f t="shared" si="32"/>
        <v>0</v>
      </c>
      <c r="BD136" s="109">
        <f>IFERROR(VLOOKUP(B136,Precificação!$B$96:$S$533,13,0),0)</f>
        <v>0</v>
      </c>
      <c r="BE136" s="109">
        <f>IFERROR(VLOOKUP(B136,Precificação!$B$96:$U$533,15,0)/(Precificação!$U$4+Precificação!$U$91),0)*Dashboard!$T$3</f>
        <v>0</v>
      </c>
    </row>
    <row r="137" spans="2:57" ht="12" customHeight="1" outlineLevel="1">
      <c r="B137" s="137" t="str">
        <f>Precificação!B115</f>
        <v>EST_III - Equipe_01</v>
      </c>
      <c r="D137" s="512"/>
      <c r="E137" s="143" t="str">
        <f>IF('Cronog. e Histog.'!G232&gt;0,'Cronog. e Histog.'!G232,"")</f>
        <v>EST_III</v>
      </c>
      <c r="G137" s="179">
        <f t="shared" si="19"/>
        <v>0</v>
      </c>
      <c r="H137" s="110">
        <f>IFERROR(INDEX('Base Salarial'!$D$5:$F$25,MATCH(E137,'Base Salarial'!$G$5:$G$25,0),MATCH(I137,'Base Salarial'!$D$4:$F$4,0)),"")</f>
        <v>1633</v>
      </c>
      <c r="I137" s="78" t="str">
        <f>IFERROR(INDEX(Tarefas!$BQ$29:$FK$29,MATCH(E137,Tarefas!$BQ$30:$FK$30,0)),"")</f>
        <v>PJ</v>
      </c>
      <c r="J137" s="81">
        <f>IF(I137="horista",H137*Dashboard!$D$15,IF(OR(I137="Mensalista",I137="PJ"),H137,))</f>
        <v>1633</v>
      </c>
      <c r="K137" s="81">
        <f>IF(I137="PJ",J137,ROUND(J137*(1+Dashboard!$D$22),2))</f>
        <v>1633</v>
      </c>
      <c r="L137" s="77"/>
      <c r="M137" s="180"/>
      <c r="P137" s="109">
        <f>IF($BD137&gt;0,(((($BD137/Dashboard!$D$15)*(1+Precificação!$W$589)))+$P$26)*(1+Dashboard!$D$35),0)</f>
        <v>0</v>
      </c>
      <c r="Q137" s="109">
        <f>IF($BD137&gt;0,(((($BD137/Dashboard!$D$23)+(1+Precificação!$W$589))*(1+Q$28))+$P$26)*(1+Dashboard!$D$35),0)</f>
        <v>0</v>
      </c>
      <c r="R137" s="109">
        <f>IF($BD137&gt;0,(((($BD137/Dashboard!$D$23)+(1+Precificação!$W$589))*(1+R$28))+$P$26)*(1+Dashboard!$D$35),0)</f>
        <v>0</v>
      </c>
      <c r="S137" s="109">
        <f>IF($BD137&gt;0,(((($BD137/Dashboard!$D$23)+(1+Precificação!$W$589))*(1+S$28))+$P$26)*(1+Dashboard!$D$35),0)</f>
        <v>0</v>
      </c>
      <c r="U137" s="109">
        <f t="shared" si="20"/>
        <v>0</v>
      </c>
      <c r="V137" s="109">
        <f t="shared" si="21"/>
        <v>0</v>
      </c>
      <c r="W137" s="109">
        <f t="shared" si="22"/>
        <v>0</v>
      </c>
      <c r="X137" s="109">
        <f t="shared" si="23"/>
        <v>0</v>
      </c>
      <c r="AA137" s="109">
        <f>IF($BD137&gt;0,(((($BD137/Dashboard!$D$23)*(1+Precificação!$W$589)))+$AA$26)*(1+Dashboard!$D$35),0)</f>
        <v>0</v>
      </c>
      <c r="AB137" s="109">
        <f>IF($BD137&gt;0,(((($BD137/Dashboard!$D$23)*(1+Precificação!$W$589))*(1+AB$28))+$AA$26)*(1+Dashboard!$D$35),0)</f>
        <v>0</v>
      </c>
      <c r="AC137" s="109">
        <f>IF($BD137&gt;0,(((($BD137/Dashboard!$D$23)*(1+Precificação!$W$589))*(1+AC$28))+$AA$26)*(1+Dashboard!$D$35),0)</f>
        <v>0</v>
      </c>
      <c r="AD137" s="109">
        <f>IF($BD137&gt;0,(((($BD137/Dashboard!$D$23)*(1+Precificação!$W$589))*(1+AD$28))+$AA$26)*(1+Dashboard!$D$35),0)</f>
        <v>0</v>
      </c>
      <c r="AF137" s="109">
        <f t="shared" si="24"/>
        <v>0</v>
      </c>
      <c r="AG137" s="109">
        <f t="shared" si="25"/>
        <v>0</v>
      </c>
      <c r="AH137" s="109">
        <f t="shared" si="26"/>
        <v>0</v>
      </c>
      <c r="AI137" s="109">
        <f t="shared" si="27"/>
        <v>0</v>
      </c>
      <c r="AL137" s="109">
        <f>IF($BD137&gt;0,(((($BD137/Dashboard!$D$23)*(1+Precificação!$W$589)))+$AL$26)*(1+Dashboard!$D$35),0)</f>
        <v>0</v>
      </c>
      <c r="AM137" s="109">
        <f>IF($BD137&gt;0,(((($BD137/Dashboard!$D$23)*(1+Precificação!$W$589))*(1+AM$28))+$AA$26)*(1+Dashboard!$D$35),0)</f>
        <v>0</v>
      </c>
      <c r="AN137" s="109">
        <f>IF($BD137&gt;0,(((($BD137/Dashboard!$D$23)*(1+Precificação!$W$589))*(1+AN$28))+$AA$26)*(1+Dashboard!$D$35),0)</f>
        <v>0</v>
      </c>
      <c r="AO137" s="109">
        <f>IF($BD137&gt;0,(((($BD137/Dashboard!$D$23)*(1+Precificação!$W$589))*(1+AO$28))+$AA$26)*(1+Dashboard!$D$35),0)</f>
        <v>0</v>
      </c>
      <c r="AQ137" s="109">
        <f t="shared" si="28"/>
        <v>0</v>
      </c>
      <c r="AR137" s="109">
        <f t="shared" si="29"/>
        <v>0</v>
      </c>
      <c r="AS137" s="109">
        <f t="shared" si="30"/>
        <v>0</v>
      </c>
      <c r="AT137" s="109">
        <f t="shared" si="31"/>
        <v>0</v>
      </c>
      <c r="AW137" s="144">
        <f>VLOOKUP(B137,'Cronog. e Histog.'!$B$213:$BT$688,71,0)</f>
        <v>0</v>
      </c>
      <c r="AX137" s="144">
        <f>VLOOKUP(B137,'Cronog. e Histog.'!$B$213:$BU$688,72,0)</f>
        <v>0</v>
      </c>
      <c r="AY137" s="144">
        <f>$AW137*$AX137*Dashboard!$D$15</f>
        <v>0</v>
      </c>
      <c r="AZ137" s="144">
        <f>VLOOKUP(B137,Precificação!$B$96:$BM$533,54,0)</f>
        <v>0</v>
      </c>
      <c r="BA137" s="144">
        <f>VLOOKUP(B137,Precificação!$B$96:$BR$533,58,0)</f>
        <v>0</v>
      </c>
      <c r="BB137" s="144">
        <f>VLOOKUP(B137,Precificação!$B$96:$BW$533,62,0)</f>
        <v>0</v>
      </c>
      <c r="BC137" s="144">
        <f t="shared" si="32"/>
        <v>0</v>
      </c>
      <c r="BD137" s="109">
        <f>IFERROR(VLOOKUP(B137,Precificação!$B$96:$S$533,13,0),0)</f>
        <v>0</v>
      </c>
      <c r="BE137" s="109">
        <f>IFERROR(VLOOKUP(B137,Precificação!$B$96:$U$533,15,0)/(Precificação!$U$4+Precificação!$U$91),0)*Dashboard!$T$3</f>
        <v>0</v>
      </c>
    </row>
    <row r="138" spans="2:57" ht="12" customHeight="1" outlineLevel="1"/>
    <row r="139" spans="2:57" ht="12" customHeight="1" outlineLevel="1">
      <c r="B139" s="137">
        <f>Precificação!B117</f>
        <v>0</v>
      </c>
      <c r="D139" s="512" t="str">
        <f>'Cronog. e Histog.'!F235</f>
        <v>Equipe02</v>
      </c>
      <c r="E139" s="143" t="str">
        <f>IF('Cronog. e Histog.'!G237&gt;0,'Cronog. e Histog.'!G237,"")</f>
        <v>GER. (OBRA/PROJ)</v>
      </c>
      <c r="G139" s="179" t="e">
        <f t="shared" ref="G139" si="33">IF(AND((AW139*AX139)&gt;0,K139=0),1,0)</f>
        <v>#N/A</v>
      </c>
      <c r="H139" s="110">
        <f>IFERROR(INDEX('Base Salarial'!$D$5:$F$25,MATCH(E139,'Base Salarial'!$G$5:$G$25,0),MATCH(I139,'Base Salarial'!$D$4:$F$4,0)),"")</f>
        <v>21000</v>
      </c>
      <c r="I139" s="78" t="str">
        <f>IFERROR(INDEX(Tarefas!$BQ$29:$FK$29,MATCH(E139,Tarefas!$BQ$30:$FK$30,0)),"")</f>
        <v>PJ</v>
      </c>
      <c r="J139" s="81">
        <f>IF(I139="horista",H139*Dashboard!$D$15,IF(OR(I139="Mensalista",I139="PJ"),H139,))</f>
        <v>21000</v>
      </c>
      <c r="K139" s="81">
        <f>IF(I139="PJ",J139,ROUND(J139*(1+Dashboard!$D$22),2))</f>
        <v>21000</v>
      </c>
      <c r="L139" s="77"/>
      <c r="M139" s="180"/>
      <c r="P139" s="109">
        <f>IF($BD139&gt;0,(((($BD139/Dashboard!$D$15)*(1+Precificação!$W$589)))+$P$26)*(1+Dashboard!$D$35),0)</f>
        <v>0</v>
      </c>
      <c r="Q139" s="109">
        <f>IF($BD139&gt;0,(((($BD139/Dashboard!$D$23)+(1+Precificação!$W$589))*(1+Q$28))+$P$26)*(1+Dashboard!$D$35),0)</f>
        <v>0</v>
      </c>
      <c r="R139" s="109">
        <f>IF($BD139&gt;0,(((($BD139/Dashboard!$D$23)+(1+Precificação!$W$589))*(1+R$28))+$P$26)*(1+Dashboard!$D$35),0)</f>
        <v>0</v>
      </c>
      <c r="S139" s="109">
        <f>IF($BD139&gt;0,(((($BD139/Dashboard!$D$23)+(1+Precificação!$W$589))*(1+S$28))+$P$26)*(1+Dashboard!$D$35),0)</f>
        <v>0</v>
      </c>
      <c r="U139" s="109">
        <f>IF(P139&gt;0,P139+U$32,0)</f>
        <v>0</v>
      </c>
      <c r="V139" s="109">
        <f t="shared" ref="V139:X139" si="34">IF(Q139&gt;0,Q139+V$32,0)</f>
        <v>0</v>
      </c>
      <c r="W139" s="109">
        <f t="shared" si="34"/>
        <v>0</v>
      </c>
      <c r="X139" s="109">
        <f t="shared" si="34"/>
        <v>0</v>
      </c>
      <c r="AA139" s="109">
        <f>IF($BD139&gt;0,(((($BD139/Dashboard!$D$23)*(1+Precificação!$W$589)))+$AA$26)*(1+Dashboard!$D$35),0)</f>
        <v>0</v>
      </c>
      <c r="AB139" s="109">
        <f>IF($BD139&gt;0,(((($BD139/Dashboard!$D$23)*(1+Precificação!$W$589))*(1+AB$28))+$AA$26)*(1+Dashboard!$D$35),0)</f>
        <v>0</v>
      </c>
      <c r="AC139" s="109">
        <f>IF($BD139&gt;0,(((($BD139/Dashboard!$D$23)*(1+Precificação!$W$589))*(1+AC$28))+$AA$26)*(1+Dashboard!$D$35),0)</f>
        <v>0</v>
      </c>
      <c r="AD139" s="109">
        <f>IF($BD139&gt;0,(((($BD139/Dashboard!$D$23)*(1+Precificação!$W$589))*(1+AD$28))+$AA$26)*(1+Dashboard!$D$35),0)</f>
        <v>0</v>
      </c>
      <c r="AF139" s="109">
        <f>IF(AA139&gt;0,AA139+AF$32,0)</f>
        <v>0</v>
      </c>
      <c r="AG139" s="109">
        <f t="shared" ref="AG139" si="35">IF(AB139&gt;0,AB139+AG$32,0)</f>
        <v>0</v>
      </c>
      <c r="AH139" s="109">
        <f t="shared" ref="AH139" si="36">IF(AC139&gt;0,AC139+AH$32,0)</f>
        <v>0</v>
      </c>
      <c r="AI139" s="109">
        <f t="shared" ref="AI139" si="37">IF(AD139&gt;0,AD139+AI$32,0)</f>
        <v>0</v>
      </c>
      <c r="AL139" s="109">
        <f>IF($BD139&gt;0,(((($BD139/Dashboard!$D$23)*(1+Precificação!$W$589)))+$AL$26)*(1+Dashboard!$D$35),0)</f>
        <v>0</v>
      </c>
      <c r="AM139" s="109">
        <f>IF($BD139&gt;0,(((($BD139/Dashboard!$D$23)*(1+Precificação!$W$589))*(1+AM$28))+$AA$26)*(1+Dashboard!$D$35),0)</f>
        <v>0</v>
      </c>
      <c r="AN139" s="109">
        <f>IF($BD139&gt;0,(((($BD139/Dashboard!$D$23)*(1+Precificação!$W$589))*(1+AN$28))+$AA$26)*(1+Dashboard!$D$35),0)</f>
        <v>0</v>
      </c>
      <c r="AO139" s="109">
        <f>IF($BD139&gt;0,(((($BD139/Dashboard!$D$23)*(1+Precificação!$W$589))*(1+AO$28))+$AA$26)*(1+Dashboard!$D$35),0)</f>
        <v>0</v>
      </c>
      <c r="AQ139" s="109">
        <f>IF(AL139&gt;0,AL139+AQ$32,0)</f>
        <v>0</v>
      </c>
      <c r="AR139" s="109">
        <f t="shared" ref="AR139" si="38">IF(AM139&gt;0,AM139+AR$32,0)</f>
        <v>0</v>
      </c>
      <c r="AS139" s="109">
        <f t="shared" ref="AS139" si="39">IF(AN139&gt;0,AN139+AS$32,0)</f>
        <v>0</v>
      </c>
      <c r="AT139" s="109">
        <f t="shared" ref="AT139" si="40">IF(AO139&gt;0,AO139+AT$32,0)</f>
        <v>0</v>
      </c>
      <c r="AW139" s="144" t="e">
        <f>VLOOKUP(B139,'Cronog. e Histog.'!$B$213:$BT$688,71,0)</f>
        <v>#N/A</v>
      </c>
      <c r="AX139" s="144" t="e">
        <f>VLOOKUP(B139,'Cronog. e Histog.'!$B$213:$BU$688,72,0)</f>
        <v>#N/A</v>
      </c>
      <c r="AY139" s="144" t="e">
        <f>$AW139*$AX139*Dashboard!$D$15</f>
        <v>#N/A</v>
      </c>
      <c r="AZ139" s="144" t="e">
        <f>VLOOKUP(B139,Precificação!$B$96:$BM$533,54,0)</f>
        <v>#N/A</v>
      </c>
      <c r="BA139" s="144" t="e">
        <f>VLOOKUP(B139,Precificação!$B$96:$BR$533,58,0)</f>
        <v>#N/A</v>
      </c>
      <c r="BB139" s="144" t="e">
        <f>VLOOKUP(B139,Precificação!$B$96:$BW$533,62,0)</f>
        <v>#N/A</v>
      </c>
      <c r="BC139" s="144" t="e">
        <f t="shared" ref="BC139" si="41">SUM(AY139:BB139)</f>
        <v>#N/A</v>
      </c>
      <c r="BD139" s="109">
        <f>IFERROR(VLOOKUP(B139,Precificação!$B$96:$S$533,13,0),0)</f>
        <v>0</v>
      </c>
      <c r="BE139" s="109">
        <f>IFERROR(VLOOKUP(B139,Precificação!$B$96:$U$533,15,0)/(Precificação!$U$4+Precificação!$U$91),0)*Dashboard!$T$3</f>
        <v>0</v>
      </c>
    </row>
    <row r="140" spans="2:57" ht="12" customHeight="1" outlineLevel="1">
      <c r="B140" s="137" t="str">
        <f>Precificação!B118</f>
        <v>GER. (OBRA/PROJ) - Equipe_01</v>
      </c>
      <c r="D140" s="512"/>
      <c r="E140" s="143" t="str">
        <f>IF('Cronog. e Histog.'!G238&gt;0,'Cronog. e Histog.'!G238,"")</f>
        <v>COORD.</v>
      </c>
      <c r="G140" s="179">
        <f t="shared" ref="G140:G158" si="42">IF(AND((AW140*AX140)&gt;0,K140=0),1,0)</f>
        <v>0</v>
      </c>
      <c r="H140" s="110">
        <f>IFERROR(INDEX('Base Salarial'!$D$5:$F$25,MATCH(E140,'Base Salarial'!$G$5:$G$25,0),MATCH(I140,'Base Salarial'!$D$4:$F$4,0)),"")</f>
        <v>19000</v>
      </c>
      <c r="I140" s="78" t="str">
        <f>IFERROR(INDEX(Tarefas!$BQ$29:$FK$29,MATCH(E140,Tarefas!$BQ$30:$FK$30,0)),"")</f>
        <v>PJ</v>
      </c>
      <c r="J140" s="81">
        <f>IF(I140="horista",H140*Dashboard!$D$15,IF(OR(I140="Mensalista",I140="PJ"),H140,))</f>
        <v>19000</v>
      </c>
      <c r="K140" s="81">
        <f>IF(I140="PJ",J140,ROUND(J140*(1+Dashboard!$D$22),2))</f>
        <v>19000</v>
      </c>
      <c r="L140" s="77"/>
      <c r="M140" s="180"/>
      <c r="P140" s="109">
        <f>IF($BD140&gt;0,(((($BD140/Dashboard!$D$15)*(1+Precificação!$W$589)))+$P$26)*(1+Dashboard!$D$35),0)</f>
        <v>0</v>
      </c>
      <c r="Q140" s="109">
        <f>IF($BD140&gt;0,(((($BD140/Dashboard!$D$23)+(1+Precificação!$W$589))*(1+Q$28))+$P$26)*(1+Dashboard!$D$35),0)</f>
        <v>0</v>
      </c>
      <c r="R140" s="109">
        <f>IF($BD140&gt;0,(((($BD140/Dashboard!$D$23)+(1+Precificação!$W$589))*(1+R$28))+$P$26)*(1+Dashboard!$D$35),0)</f>
        <v>0</v>
      </c>
      <c r="S140" s="109">
        <f>IF($BD140&gt;0,(((($BD140/Dashboard!$D$23)+(1+Precificação!$W$589))*(1+S$28))+$P$26)*(1+Dashboard!$D$35),0)</f>
        <v>0</v>
      </c>
      <c r="U140" s="109">
        <f t="shared" ref="U140:U158" si="43">IF(P140&gt;0,P140+U$32,0)</f>
        <v>0</v>
      </c>
      <c r="V140" s="109">
        <f t="shared" ref="V140:V158" si="44">IF(Q140&gt;0,Q140+V$32,0)</f>
        <v>0</v>
      </c>
      <c r="W140" s="109">
        <f t="shared" ref="W140:W158" si="45">IF(R140&gt;0,R140+W$32,0)</f>
        <v>0</v>
      </c>
      <c r="X140" s="109">
        <f t="shared" ref="X140:X158" si="46">IF(S140&gt;0,S140+X$32,0)</f>
        <v>0</v>
      </c>
      <c r="AA140" s="109">
        <f>IF($BD140&gt;0,(((($BD140/Dashboard!$D$23)*(1+Precificação!$W$589)))+$AA$26)*(1+Dashboard!$D$35),0)</f>
        <v>0</v>
      </c>
      <c r="AB140" s="109">
        <f>IF($BD140&gt;0,(((($BD140/Dashboard!$D$23)*(1+Precificação!$W$589))*(1+AB$28))+$AA$26)*(1+Dashboard!$D$35),0)</f>
        <v>0</v>
      </c>
      <c r="AC140" s="109">
        <f>IF($BD140&gt;0,(((($BD140/Dashboard!$D$23)*(1+Precificação!$W$589))*(1+AC$28))+$AA$26)*(1+Dashboard!$D$35),0)</f>
        <v>0</v>
      </c>
      <c r="AD140" s="109">
        <f>IF($BD140&gt;0,(((($BD140/Dashboard!$D$23)*(1+Precificação!$W$589))*(1+AD$28))+$AA$26)*(1+Dashboard!$D$35),0)</f>
        <v>0</v>
      </c>
      <c r="AF140" s="109">
        <f t="shared" ref="AF140:AF158" si="47">IF(AA140&gt;0,AA140+AF$32,0)</f>
        <v>0</v>
      </c>
      <c r="AG140" s="109">
        <f t="shared" ref="AG140:AG158" si="48">IF(AB140&gt;0,AB140+AG$32,0)</f>
        <v>0</v>
      </c>
      <c r="AH140" s="109">
        <f t="shared" ref="AH140:AH158" si="49">IF(AC140&gt;0,AC140+AH$32,0)</f>
        <v>0</v>
      </c>
      <c r="AI140" s="109">
        <f t="shared" ref="AI140:AI158" si="50">IF(AD140&gt;0,AD140+AI$32,0)</f>
        <v>0</v>
      </c>
      <c r="AL140" s="109">
        <f>IF($BD140&gt;0,(((($BD140/Dashboard!$D$23)*(1+Precificação!$W$589)))+$AL$26)*(1+Dashboard!$D$35),0)</f>
        <v>0</v>
      </c>
      <c r="AM140" s="109">
        <f>IF($BD140&gt;0,(((($BD140/Dashboard!$D$23)*(1+Precificação!$W$589))*(1+AM$28))+$AA$26)*(1+Dashboard!$D$35),0)</f>
        <v>0</v>
      </c>
      <c r="AN140" s="109">
        <f>IF($BD140&gt;0,(((($BD140/Dashboard!$D$23)*(1+Precificação!$W$589))*(1+AN$28))+$AA$26)*(1+Dashboard!$D$35),0)</f>
        <v>0</v>
      </c>
      <c r="AO140" s="109">
        <f>IF($BD140&gt;0,(((($BD140/Dashboard!$D$23)*(1+Precificação!$W$589))*(1+AO$28))+$AA$26)*(1+Dashboard!$D$35),0)</f>
        <v>0</v>
      </c>
      <c r="AQ140" s="109">
        <f t="shared" ref="AQ140:AQ158" si="51">IF(AL140&gt;0,AL140+AQ$32,0)</f>
        <v>0</v>
      </c>
      <c r="AR140" s="109">
        <f t="shared" ref="AR140:AR158" si="52">IF(AM140&gt;0,AM140+AR$32,0)</f>
        <v>0</v>
      </c>
      <c r="AS140" s="109">
        <f t="shared" ref="AS140:AS158" si="53">IF(AN140&gt;0,AN140+AS$32,0)</f>
        <v>0</v>
      </c>
      <c r="AT140" s="109">
        <f t="shared" ref="AT140:AT158" si="54">IF(AO140&gt;0,AO140+AT$32,0)</f>
        <v>0</v>
      </c>
      <c r="AW140" s="144">
        <f>VLOOKUP(B140,'Cronog. e Histog.'!$B$213:$BT$688,71,0)</f>
        <v>1.9999999999999997E-2</v>
      </c>
      <c r="AX140" s="144">
        <f>VLOOKUP(B140,'Cronog. e Histog.'!$B$213:$BU$688,72,0)</f>
        <v>10</v>
      </c>
      <c r="AY140" s="144">
        <f>$AW140*$AX140*Dashboard!$D$15</f>
        <v>38.72</v>
      </c>
      <c r="AZ140" s="144">
        <f>VLOOKUP(B140,Precificação!$B$96:$BM$533,54,0)</f>
        <v>0</v>
      </c>
      <c r="BA140" s="144">
        <f>VLOOKUP(B140,Precificação!$B$96:$BR$533,58,0)</f>
        <v>0</v>
      </c>
      <c r="BB140" s="144">
        <f>VLOOKUP(B140,Precificação!$B$96:$BW$533,62,0)</f>
        <v>0</v>
      </c>
      <c r="BC140" s="144">
        <f t="shared" ref="BC140:BC158" si="55">SUM(AY140:BB140)</f>
        <v>38.72</v>
      </c>
      <c r="BD140" s="109">
        <f>IFERROR(VLOOKUP(B140,Precificação!$B$96:$S$533,13,0),0)</f>
        <v>0</v>
      </c>
      <c r="BE140" s="109">
        <f>IFERROR(VLOOKUP(B140,Precificação!$B$96:$U$533,15,0)/(Precificação!$U$4+Precificação!$U$91),0)*Dashboard!$T$3</f>
        <v>0</v>
      </c>
    </row>
    <row r="141" spans="2:57" ht="12" customHeight="1" outlineLevel="1">
      <c r="B141" s="137" t="str">
        <f>Precificação!B119</f>
        <v>COORD. - Equipe_01</v>
      </c>
      <c r="D141" s="512"/>
      <c r="E141" s="143" t="str">
        <f>IF('Cronog. e Histog.'!G239&gt;0,'Cronog. e Histog.'!G239,"")</f>
        <v>SUP.-ESP</v>
      </c>
      <c r="G141" s="179">
        <f t="shared" si="42"/>
        <v>0</v>
      </c>
      <c r="H141" s="110">
        <f>IFERROR(INDEX('Base Salarial'!$D$5:$F$25,MATCH(E141,'Base Salarial'!$G$5:$G$25,0),MATCH(I141,'Base Salarial'!$D$4:$F$4,0)),"")</f>
        <v>9166.6666666666679</v>
      </c>
      <c r="I141" s="78" t="str">
        <f>IFERROR(INDEX(Tarefas!$BQ$29:$FK$29,MATCH(E141,Tarefas!$BQ$30:$FK$30,0)),"")</f>
        <v>Mensalista</v>
      </c>
      <c r="J141" s="81">
        <f>IF(I141="horista",H141*Dashboard!$D$15,IF(OR(I141="Mensalista",I141="PJ"),H141,))</f>
        <v>9166.6666666666679</v>
      </c>
      <c r="K141" s="81">
        <f>IF(I141="PJ",J141,ROUND(J141*(1+Dashboard!$D$22),2))</f>
        <v>9716.67</v>
      </c>
      <c r="L141" s="77"/>
      <c r="M141" s="180"/>
      <c r="P141" s="109">
        <f>IF($BD141&gt;0,(((($BD141/Dashboard!$D$15)*(1+Precificação!$W$589)))+$P$26)*(1+Dashboard!$D$35),0)</f>
        <v>0</v>
      </c>
      <c r="Q141" s="109">
        <f>IF($BD141&gt;0,(((($BD141/Dashboard!$D$23)+(1+Precificação!$W$589))*(1+Q$28))+$P$26)*(1+Dashboard!$D$35),0)</f>
        <v>0</v>
      </c>
      <c r="R141" s="109">
        <f>IF($BD141&gt;0,(((($BD141/Dashboard!$D$23)+(1+Precificação!$W$589))*(1+R$28))+$P$26)*(1+Dashboard!$D$35),0)</f>
        <v>0</v>
      </c>
      <c r="S141" s="109">
        <f>IF($BD141&gt;0,(((($BD141/Dashboard!$D$23)+(1+Precificação!$W$589))*(1+S$28))+$P$26)*(1+Dashboard!$D$35),0)</f>
        <v>0</v>
      </c>
      <c r="U141" s="109">
        <f t="shared" si="43"/>
        <v>0</v>
      </c>
      <c r="V141" s="109">
        <f t="shared" si="44"/>
        <v>0</v>
      </c>
      <c r="W141" s="109">
        <f t="shared" si="45"/>
        <v>0</v>
      </c>
      <c r="X141" s="109">
        <f t="shared" si="46"/>
        <v>0</v>
      </c>
      <c r="AA141" s="109">
        <f>IF($BD141&gt;0,(((($BD141/Dashboard!$D$23)*(1+Precificação!$W$589)))+$AA$26)*(1+Dashboard!$D$35),0)</f>
        <v>0</v>
      </c>
      <c r="AB141" s="109">
        <f>IF($BD141&gt;0,(((($BD141/Dashboard!$D$23)*(1+Precificação!$W$589))*(1+AB$28))+$AA$26)*(1+Dashboard!$D$35),0)</f>
        <v>0</v>
      </c>
      <c r="AC141" s="109">
        <f>IF($BD141&gt;0,(((($BD141/Dashboard!$D$23)*(1+Precificação!$W$589))*(1+AC$28))+$AA$26)*(1+Dashboard!$D$35),0)</f>
        <v>0</v>
      </c>
      <c r="AD141" s="109">
        <f>IF($BD141&gt;0,(((($BD141/Dashboard!$D$23)*(1+Precificação!$W$589))*(1+AD$28))+$AA$26)*(1+Dashboard!$D$35),0)</f>
        <v>0</v>
      </c>
      <c r="AF141" s="109">
        <f t="shared" si="47"/>
        <v>0</v>
      </c>
      <c r="AG141" s="109">
        <f t="shared" si="48"/>
        <v>0</v>
      </c>
      <c r="AH141" s="109">
        <f t="shared" si="49"/>
        <v>0</v>
      </c>
      <c r="AI141" s="109">
        <f t="shared" si="50"/>
        <v>0</v>
      </c>
      <c r="AL141" s="109">
        <f>IF($BD141&gt;0,(((($BD141/Dashboard!$D$23)*(1+Precificação!$W$589)))+$AL$26)*(1+Dashboard!$D$35),0)</f>
        <v>0</v>
      </c>
      <c r="AM141" s="109">
        <f>IF($BD141&gt;0,(((($BD141/Dashboard!$D$23)*(1+Precificação!$W$589))*(1+AM$28))+$AA$26)*(1+Dashboard!$D$35),0)</f>
        <v>0</v>
      </c>
      <c r="AN141" s="109">
        <f>IF($BD141&gt;0,(((($BD141/Dashboard!$D$23)*(1+Precificação!$W$589))*(1+AN$28))+$AA$26)*(1+Dashboard!$D$35),0)</f>
        <v>0</v>
      </c>
      <c r="AO141" s="109">
        <f>IF($BD141&gt;0,(((($BD141/Dashboard!$D$23)*(1+Precificação!$W$589))*(1+AO$28))+$AA$26)*(1+Dashboard!$D$35),0)</f>
        <v>0</v>
      </c>
      <c r="AQ141" s="109">
        <f t="shared" si="51"/>
        <v>0</v>
      </c>
      <c r="AR141" s="109">
        <f t="shared" si="52"/>
        <v>0</v>
      </c>
      <c r="AS141" s="109">
        <f t="shared" si="53"/>
        <v>0</v>
      </c>
      <c r="AT141" s="109">
        <f t="shared" si="54"/>
        <v>0</v>
      </c>
      <c r="AW141" s="144">
        <f>VLOOKUP(B141,'Cronog. e Histog.'!$B$213:$BT$688,71,0)</f>
        <v>1</v>
      </c>
      <c r="AX141" s="144">
        <f>VLOOKUP(B141,'Cronog. e Histog.'!$B$213:$BU$688,72,0)</f>
        <v>10</v>
      </c>
      <c r="AY141" s="144">
        <f>$AW141*$AX141*Dashboard!$D$15</f>
        <v>1936.0000000000002</v>
      </c>
      <c r="AZ141" s="144">
        <f>VLOOKUP(B141,Precificação!$B$96:$BM$533,54,0)</f>
        <v>0</v>
      </c>
      <c r="BA141" s="144">
        <f>VLOOKUP(B141,Precificação!$B$96:$BR$533,58,0)</f>
        <v>0</v>
      </c>
      <c r="BB141" s="144">
        <f>VLOOKUP(B141,Precificação!$B$96:$BW$533,62,0)</f>
        <v>0</v>
      </c>
      <c r="BC141" s="144">
        <f t="shared" si="55"/>
        <v>1936.0000000000002</v>
      </c>
      <c r="BD141" s="109">
        <f>IFERROR(VLOOKUP(B141,Precificação!$B$96:$S$533,13,0),0)</f>
        <v>0</v>
      </c>
      <c r="BE141" s="109">
        <f>IFERROR(VLOOKUP(B141,Precificação!$B$96:$U$533,15,0)/(Precificação!$U$4+Precificação!$U$91),0)*Dashboard!$T$3</f>
        <v>0</v>
      </c>
    </row>
    <row r="142" spans="2:57" ht="12" customHeight="1" outlineLevel="1">
      <c r="B142" s="137" t="str">
        <f>Precificação!B120</f>
        <v>SUP.-ESP - Equipe_01</v>
      </c>
      <c r="D142" s="512"/>
      <c r="E142" s="143" t="str">
        <f>IF('Cronog. e Histog.'!G240&gt;0,'Cronog. e Histog.'!G240,"")</f>
        <v>ENG/ARQ SR.</v>
      </c>
      <c r="G142" s="179">
        <f t="shared" si="42"/>
        <v>0</v>
      </c>
      <c r="H142" s="110">
        <f>IFERROR(INDEX('Base Salarial'!$D$5:$F$25,MATCH(E142,'Base Salarial'!$G$5:$G$25,0),MATCH(I142,'Base Salarial'!$D$4:$F$4,0)),"")</f>
        <v>16000</v>
      </c>
      <c r="I142" s="78" t="str">
        <f>IFERROR(INDEX(Tarefas!$BQ$29:$FK$29,MATCH(E142,Tarefas!$BQ$30:$FK$30,0)),"")</f>
        <v>PJ</v>
      </c>
      <c r="J142" s="81">
        <f>IF(I142="horista",H142*Dashboard!$D$15,IF(OR(I142="Mensalista",I142="PJ"),H142,))</f>
        <v>16000</v>
      </c>
      <c r="K142" s="81">
        <f>IF(I142="PJ",J142,ROUND(J142*(1+Dashboard!$D$22),2))</f>
        <v>16000</v>
      </c>
      <c r="L142" s="77"/>
      <c r="M142" s="180"/>
      <c r="P142" s="109">
        <f>IF($BD142&gt;0,(((($BD142/Dashboard!$D$15)*(1+Precificação!$W$589)))+$P$26)*(1+Dashboard!$D$35),0)</f>
        <v>0</v>
      </c>
      <c r="Q142" s="109">
        <f>IF($BD142&gt;0,(((($BD142/Dashboard!$D$23)+(1+Precificação!$W$589))*(1+Q$28))+$P$26)*(1+Dashboard!$D$35),0)</f>
        <v>0</v>
      </c>
      <c r="R142" s="109">
        <f>IF($BD142&gt;0,(((($BD142/Dashboard!$D$23)+(1+Precificação!$W$589))*(1+R$28))+$P$26)*(1+Dashboard!$D$35),0)</f>
        <v>0</v>
      </c>
      <c r="S142" s="109">
        <f>IF($BD142&gt;0,(((($BD142/Dashboard!$D$23)+(1+Precificação!$W$589))*(1+S$28))+$P$26)*(1+Dashboard!$D$35),0)</f>
        <v>0</v>
      </c>
      <c r="U142" s="109">
        <f t="shared" si="43"/>
        <v>0</v>
      </c>
      <c r="V142" s="109">
        <f t="shared" si="44"/>
        <v>0</v>
      </c>
      <c r="W142" s="109">
        <f t="shared" si="45"/>
        <v>0</v>
      </c>
      <c r="X142" s="109">
        <f t="shared" si="46"/>
        <v>0</v>
      </c>
      <c r="AA142" s="109">
        <f>IF($BD142&gt;0,(((($BD142/Dashboard!$D$23)*(1+Precificação!$W$589)))+$AA$26)*(1+Dashboard!$D$35),0)</f>
        <v>0</v>
      </c>
      <c r="AB142" s="109">
        <f>IF($BD142&gt;0,(((($BD142/Dashboard!$D$23)*(1+Precificação!$W$589))*(1+AB$28))+$AA$26)*(1+Dashboard!$D$35),0)</f>
        <v>0</v>
      </c>
      <c r="AC142" s="109">
        <f>IF($BD142&gt;0,(((($BD142/Dashboard!$D$23)*(1+Precificação!$W$589))*(1+AC$28))+$AA$26)*(1+Dashboard!$D$35),0)</f>
        <v>0</v>
      </c>
      <c r="AD142" s="109">
        <f>IF($BD142&gt;0,(((($BD142/Dashboard!$D$23)*(1+Precificação!$W$589))*(1+AD$28))+$AA$26)*(1+Dashboard!$D$35),0)</f>
        <v>0</v>
      </c>
      <c r="AF142" s="109">
        <f t="shared" si="47"/>
        <v>0</v>
      </c>
      <c r="AG142" s="109">
        <f t="shared" si="48"/>
        <v>0</v>
      </c>
      <c r="AH142" s="109">
        <f t="shared" si="49"/>
        <v>0</v>
      </c>
      <c r="AI142" s="109">
        <f t="shared" si="50"/>
        <v>0</v>
      </c>
      <c r="AL142" s="109">
        <f>IF($BD142&gt;0,(((($BD142/Dashboard!$D$23)*(1+Precificação!$W$589)))+$AL$26)*(1+Dashboard!$D$35),0)</f>
        <v>0</v>
      </c>
      <c r="AM142" s="109">
        <f>IF($BD142&gt;0,(((($BD142/Dashboard!$D$23)*(1+Precificação!$W$589))*(1+AM$28))+$AA$26)*(1+Dashboard!$D$35),0)</f>
        <v>0</v>
      </c>
      <c r="AN142" s="109">
        <f>IF($BD142&gt;0,(((($BD142/Dashboard!$D$23)*(1+Precificação!$W$589))*(1+AN$28))+$AA$26)*(1+Dashboard!$D$35),0)</f>
        <v>0</v>
      </c>
      <c r="AO142" s="109">
        <f>IF($BD142&gt;0,(((($BD142/Dashboard!$D$23)*(1+Precificação!$W$589))*(1+AO$28))+$AA$26)*(1+Dashboard!$D$35),0)</f>
        <v>0</v>
      </c>
      <c r="AQ142" s="109">
        <f t="shared" si="51"/>
        <v>0</v>
      </c>
      <c r="AR142" s="109">
        <f t="shared" si="52"/>
        <v>0</v>
      </c>
      <c r="AS142" s="109">
        <f t="shared" si="53"/>
        <v>0</v>
      </c>
      <c r="AT142" s="109">
        <f t="shared" si="54"/>
        <v>0</v>
      </c>
      <c r="AW142" s="144">
        <f>VLOOKUP(B142,'Cronog. e Histog.'!$B$213:$BT$688,71,0)</f>
        <v>0</v>
      </c>
      <c r="AX142" s="144">
        <f>VLOOKUP(B142,'Cronog. e Histog.'!$B$213:$BU$688,72,0)</f>
        <v>0</v>
      </c>
      <c r="AY142" s="144">
        <f>$AW142*$AX142*Dashboard!$D$15</f>
        <v>0</v>
      </c>
      <c r="AZ142" s="144">
        <f>VLOOKUP(B142,Precificação!$B$96:$BM$533,54,0)</f>
        <v>0</v>
      </c>
      <c r="BA142" s="144">
        <f>VLOOKUP(B142,Precificação!$B$96:$BR$533,58,0)</f>
        <v>0</v>
      </c>
      <c r="BB142" s="144">
        <f>VLOOKUP(B142,Precificação!$B$96:$BW$533,62,0)</f>
        <v>0</v>
      </c>
      <c r="BC142" s="144">
        <f t="shared" si="55"/>
        <v>0</v>
      </c>
      <c r="BD142" s="109">
        <f>IFERROR(VLOOKUP(B142,Precificação!$B$96:$S$533,13,0),0)</f>
        <v>0</v>
      </c>
      <c r="BE142" s="109">
        <f>IFERROR(VLOOKUP(B142,Precificação!$B$96:$U$533,15,0)/(Precificação!$U$4+Precificação!$U$91),0)*Dashboard!$T$3</f>
        <v>0</v>
      </c>
    </row>
    <row r="143" spans="2:57" ht="12" customHeight="1" outlineLevel="1">
      <c r="B143" s="137" t="str">
        <f>Precificação!B121</f>
        <v>ENG/ARQ SR. - Equipe_01</v>
      </c>
      <c r="D143" s="512"/>
      <c r="E143" s="143" t="str">
        <f>IF('Cronog. e Histog.'!G241&gt;0,'Cronog. e Histog.'!G241,"")</f>
        <v>ENG/ARQ PL.</v>
      </c>
      <c r="G143" s="179">
        <f t="shared" si="42"/>
        <v>0</v>
      </c>
      <c r="H143" s="110">
        <f>IFERROR(INDEX('Base Salarial'!$D$5:$F$25,MATCH(E143,'Base Salarial'!$G$5:$G$25,0),MATCH(I143,'Base Salarial'!$D$4:$F$4,0)),"")</f>
        <v>14000</v>
      </c>
      <c r="I143" s="78" t="str">
        <f>IFERROR(INDEX(Tarefas!$BQ$29:$FK$29,MATCH(E143,Tarefas!$BQ$30:$FK$30,0)),"")</f>
        <v>PJ</v>
      </c>
      <c r="J143" s="81">
        <f>IF(I143="horista",H143*Dashboard!$D$15,IF(OR(I143="Mensalista",I143="PJ"),H143,))</f>
        <v>14000</v>
      </c>
      <c r="K143" s="81">
        <f>IF(I143="PJ",J143,ROUND(J143*(1+Dashboard!$D$22),2))</f>
        <v>14000</v>
      </c>
      <c r="L143" s="77"/>
      <c r="M143" s="180"/>
      <c r="P143" s="109">
        <f>IF($BD143&gt;0,(((($BD143/Dashboard!$D$15)*(1+Precificação!$W$589)))+$P$26)*(1+Dashboard!$D$35),0)</f>
        <v>0</v>
      </c>
      <c r="Q143" s="109">
        <f>IF($BD143&gt;0,(((($BD143/Dashboard!$D$23)+(1+Precificação!$W$589))*(1+Q$28))+$P$26)*(1+Dashboard!$D$35),0)</f>
        <v>0</v>
      </c>
      <c r="R143" s="109">
        <f>IF($BD143&gt;0,(((($BD143/Dashboard!$D$23)+(1+Precificação!$W$589))*(1+R$28))+$P$26)*(1+Dashboard!$D$35),0)</f>
        <v>0</v>
      </c>
      <c r="S143" s="109">
        <f>IF($BD143&gt;0,(((($BD143/Dashboard!$D$23)+(1+Precificação!$W$589))*(1+S$28))+$P$26)*(1+Dashboard!$D$35),0)</f>
        <v>0</v>
      </c>
      <c r="U143" s="109">
        <f t="shared" si="43"/>
        <v>0</v>
      </c>
      <c r="V143" s="109">
        <f t="shared" si="44"/>
        <v>0</v>
      </c>
      <c r="W143" s="109">
        <f t="shared" si="45"/>
        <v>0</v>
      </c>
      <c r="X143" s="109">
        <f t="shared" si="46"/>
        <v>0</v>
      </c>
      <c r="AA143" s="109">
        <f>IF($BD143&gt;0,(((($BD143/Dashboard!$D$23)*(1+Precificação!$W$589)))+$AA$26)*(1+Dashboard!$D$35),0)</f>
        <v>0</v>
      </c>
      <c r="AB143" s="109">
        <f>IF($BD143&gt;0,(((($BD143/Dashboard!$D$23)*(1+Precificação!$W$589))*(1+AB$28))+$AA$26)*(1+Dashboard!$D$35),0)</f>
        <v>0</v>
      </c>
      <c r="AC143" s="109">
        <f>IF($BD143&gt;0,(((($BD143/Dashboard!$D$23)*(1+Precificação!$W$589))*(1+AC$28))+$AA$26)*(1+Dashboard!$D$35),0)</f>
        <v>0</v>
      </c>
      <c r="AD143" s="109">
        <f>IF($BD143&gt;0,(((($BD143/Dashboard!$D$23)*(1+Precificação!$W$589))*(1+AD$28))+$AA$26)*(1+Dashboard!$D$35),0)</f>
        <v>0</v>
      </c>
      <c r="AF143" s="109">
        <f t="shared" si="47"/>
        <v>0</v>
      </c>
      <c r="AG143" s="109">
        <f t="shared" si="48"/>
        <v>0</v>
      </c>
      <c r="AH143" s="109">
        <f t="shared" si="49"/>
        <v>0</v>
      </c>
      <c r="AI143" s="109">
        <f t="shared" si="50"/>
        <v>0</v>
      </c>
      <c r="AL143" s="109">
        <f>IF($BD143&gt;0,(((($BD143/Dashboard!$D$23)*(1+Precificação!$W$589)))+$AL$26)*(1+Dashboard!$D$35),0)</f>
        <v>0</v>
      </c>
      <c r="AM143" s="109">
        <f>IF($BD143&gt;0,(((($BD143/Dashboard!$D$23)*(1+Precificação!$W$589))*(1+AM$28))+$AA$26)*(1+Dashboard!$D$35),0)</f>
        <v>0</v>
      </c>
      <c r="AN143" s="109">
        <f>IF($BD143&gt;0,(((($BD143/Dashboard!$D$23)*(1+Precificação!$W$589))*(1+AN$28))+$AA$26)*(1+Dashboard!$D$35),0)</f>
        <v>0</v>
      </c>
      <c r="AO143" s="109">
        <f>IF($BD143&gt;0,(((($BD143/Dashboard!$D$23)*(1+Precificação!$W$589))*(1+AO$28))+$AA$26)*(1+Dashboard!$D$35),0)</f>
        <v>0</v>
      </c>
      <c r="AQ143" s="109">
        <f t="shared" si="51"/>
        <v>0</v>
      </c>
      <c r="AR143" s="109">
        <f t="shared" si="52"/>
        <v>0</v>
      </c>
      <c r="AS143" s="109">
        <f t="shared" si="53"/>
        <v>0</v>
      </c>
      <c r="AT143" s="109">
        <f t="shared" si="54"/>
        <v>0</v>
      </c>
      <c r="AW143" s="144">
        <f>VLOOKUP(B143,'Cronog. e Histog.'!$B$213:$BT$688,71,0)</f>
        <v>9.9999999999999985E-3</v>
      </c>
      <c r="AX143" s="144">
        <f>VLOOKUP(B143,'Cronog. e Histog.'!$B$213:$BU$688,72,0)</f>
        <v>10</v>
      </c>
      <c r="AY143" s="144">
        <f>$AW143*$AX143*Dashboard!$D$15</f>
        <v>19.36</v>
      </c>
      <c r="AZ143" s="144">
        <f>VLOOKUP(B143,Precificação!$B$96:$BM$533,54,0)</f>
        <v>0</v>
      </c>
      <c r="BA143" s="144">
        <f>VLOOKUP(B143,Precificação!$B$96:$BR$533,58,0)</f>
        <v>0</v>
      </c>
      <c r="BB143" s="144">
        <f>VLOOKUP(B143,Precificação!$B$96:$BW$533,62,0)</f>
        <v>0</v>
      </c>
      <c r="BC143" s="144">
        <f t="shared" si="55"/>
        <v>19.36</v>
      </c>
      <c r="BD143" s="109">
        <f>IFERROR(VLOOKUP(B143,Precificação!$B$96:$S$533,13,0),0)</f>
        <v>0</v>
      </c>
      <c r="BE143" s="109">
        <f>IFERROR(VLOOKUP(B143,Precificação!$B$96:$U$533,15,0)/(Precificação!$U$4+Precificação!$U$91),0)*Dashboard!$T$3</f>
        <v>0</v>
      </c>
    </row>
    <row r="144" spans="2:57" ht="12" customHeight="1" outlineLevel="1">
      <c r="B144" s="137" t="str">
        <f>Precificação!B122</f>
        <v>ENG/ARQ PL. - Equipe_01</v>
      </c>
      <c r="D144" s="512"/>
      <c r="E144" s="143" t="str">
        <f>IF('Cronog. e Histog.'!G242&gt;0,'Cronog. e Histog.'!G242,"")</f>
        <v>ENG/ARQ JR.</v>
      </c>
      <c r="G144" s="179">
        <f t="shared" si="42"/>
        <v>0</v>
      </c>
      <c r="H144" s="110">
        <f>IFERROR(INDEX('Base Salarial'!$D$5:$F$25,MATCH(E144,'Base Salarial'!$G$5:$G$25,0),MATCH(I144,'Base Salarial'!$D$4:$F$4,0)),"")</f>
        <v>14000</v>
      </c>
      <c r="I144" s="78" t="str">
        <f>IFERROR(INDEX(Tarefas!$BQ$29:$FK$29,MATCH(E144,Tarefas!$BQ$30:$FK$30,0)),"")</f>
        <v>PJ</v>
      </c>
      <c r="J144" s="81">
        <f>IF(I144="horista",H144*Dashboard!$D$15,IF(OR(I144="Mensalista",I144="PJ"),H144,))</f>
        <v>14000</v>
      </c>
      <c r="K144" s="81">
        <f>IF(I144="PJ",J144,ROUND(J144*(1+Dashboard!$D$22),2))</f>
        <v>14000</v>
      </c>
      <c r="L144" s="77"/>
      <c r="M144" s="180"/>
      <c r="P144" s="109">
        <f>IF($BD144&gt;0,(((($BD144/Dashboard!$D$15)*(1+Precificação!$W$589)))+$P$26)*(1+Dashboard!$D$35),0)</f>
        <v>0</v>
      </c>
      <c r="Q144" s="109">
        <f>IF($BD144&gt;0,(((($BD144/Dashboard!$D$23)+(1+Precificação!$W$589))*(1+Q$28))+$P$26)*(1+Dashboard!$D$35),0)</f>
        <v>0</v>
      </c>
      <c r="R144" s="109">
        <f>IF($BD144&gt;0,(((($BD144/Dashboard!$D$23)+(1+Precificação!$W$589))*(1+R$28))+$P$26)*(1+Dashboard!$D$35),0)</f>
        <v>0</v>
      </c>
      <c r="S144" s="109">
        <f>IF($BD144&gt;0,(((($BD144/Dashboard!$D$23)+(1+Precificação!$W$589))*(1+S$28))+$P$26)*(1+Dashboard!$D$35),0)</f>
        <v>0</v>
      </c>
      <c r="U144" s="109">
        <f t="shared" si="43"/>
        <v>0</v>
      </c>
      <c r="V144" s="109">
        <f t="shared" si="44"/>
        <v>0</v>
      </c>
      <c r="W144" s="109">
        <f t="shared" si="45"/>
        <v>0</v>
      </c>
      <c r="X144" s="109">
        <f t="shared" si="46"/>
        <v>0</v>
      </c>
      <c r="AA144" s="109">
        <f>IF($BD144&gt;0,(((($BD144/Dashboard!$D$23)*(1+Precificação!$W$589)))+$AA$26)*(1+Dashboard!$D$35),0)</f>
        <v>0</v>
      </c>
      <c r="AB144" s="109">
        <f>IF($BD144&gt;0,(((($BD144/Dashboard!$D$23)*(1+Precificação!$W$589))*(1+AB$28))+$AA$26)*(1+Dashboard!$D$35),0)</f>
        <v>0</v>
      </c>
      <c r="AC144" s="109">
        <f>IF($BD144&gt;0,(((($BD144/Dashboard!$D$23)*(1+Precificação!$W$589))*(1+AC$28))+$AA$26)*(1+Dashboard!$D$35),0)</f>
        <v>0</v>
      </c>
      <c r="AD144" s="109">
        <f>IF($BD144&gt;0,(((($BD144/Dashboard!$D$23)*(1+Precificação!$W$589))*(1+AD$28))+$AA$26)*(1+Dashboard!$D$35),0)</f>
        <v>0</v>
      </c>
      <c r="AF144" s="109">
        <f t="shared" si="47"/>
        <v>0</v>
      </c>
      <c r="AG144" s="109">
        <f t="shared" si="48"/>
        <v>0</v>
      </c>
      <c r="AH144" s="109">
        <f t="shared" si="49"/>
        <v>0</v>
      </c>
      <c r="AI144" s="109">
        <f t="shared" si="50"/>
        <v>0</v>
      </c>
      <c r="AL144" s="109">
        <f>IF($BD144&gt;0,(((($BD144/Dashboard!$D$23)*(1+Precificação!$W$589)))+$AL$26)*(1+Dashboard!$D$35),0)</f>
        <v>0</v>
      </c>
      <c r="AM144" s="109">
        <f>IF($BD144&gt;0,(((($BD144/Dashboard!$D$23)*(1+Precificação!$W$589))*(1+AM$28))+$AA$26)*(1+Dashboard!$D$35),0)</f>
        <v>0</v>
      </c>
      <c r="AN144" s="109">
        <f>IF($BD144&gt;0,(((($BD144/Dashboard!$D$23)*(1+Precificação!$W$589))*(1+AN$28))+$AA$26)*(1+Dashboard!$D$35),0)</f>
        <v>0</v>
      </c>
      <c r="AO144" s="109">
        <f>IF($BD144&gt;0,(((($BD144/Dashboard!$D$23)*(1+Precificação!$W$589))*(1+AO$28))+$AA$26)*(1+Dashboard!$D$35),0)</f>
        <v>0</v>
      </c>
      <c r="AQ144" s="109">
        <f t="shared" si="51"/>
        <v>0</v>
      </c>
      <c r="AR144" s="109">
        <f t="shared" si="52"/>
        <v>0</v>
      </c>
      <c r="AS144" s="109">
        <f t="shared" si="53"/>
        <v>0</v>
      </c>
      <c r="AT144" s="109">
        <f t="shared" si="54"/>
        <v>0</v>
      </c>
      <c r="AW144" s="144">
        <f>VLOOKUP(B144,'Cronog. e Histog.'!$B$213:$BT$688,71,0)</f>
        <v>0</v>
      </c>
      <c r="AX144" s="144">
        <f>VLOOKUP(B144,'Cronog. e Histog.'!$B$213:$BU$688,72,0)</f>
        <v>0</v>
      </c>
      <c r="AY144" s="144">
        <f>$AW144*$AX144*Dashboard!$D$15</f>
        <v>0</v>
      </c>
      <c r="AZ144" s="144">
        <f>VLOOKUP(B144,Precificação!$B$96:$BM$533,54,0)</f>
        <v>0</v>
      </c>
      <c r="BA144" s="144">
        <f>VLOOKUP(B144,Precificação!$B$96:$BR$533,58,0)</f>
        <v>0</v>
      </c>
      <c r="BB144" s="144">
        <f>VLOOKUP(B144,Precificação!$B$96:$BW$533,62,0)</f>
        <v>0</v>
      </c>
      <c r="BC144" s="144">
        <f t="shared" si="55"/>
        <v>0</v>
      </c>
      <c r="BD144" s="109">
        <f>IFERROR(VLOOKUP(B144,Precificação!$B$96:$S$533,13,0),0)</f>
        <v>0</v>
      </c>
      <c r="BE144" s="109">
        <f>IFERROR(VLOOKUP(B144,Precificação!$B$96:$U$533,15,0)/(Precificação!$U$4+Precificação!$U$91),0)*Dashboard!$T$3</f>
        <v>0</v>
      </c>
    </row>
    <row r="145" spans="2:57" ht="12" customHeight="1" outlineLevel="1">
      <c r="B145" s="137" t="str">
        <f>Precificação!B123</f>
        <v>ENG/ARQ JR. - Equipe_01</v>
      </c>
      <c r="D145" s="512"/>
      <c r="E145" s="143" t="str">
        <f>IF('Cronog. e Histog.'!G243&gt;0,'Cronog. e Histog.'!G243,"")</f>
        <v>AN SR. ENG/ARQ</v>
      </c>
      <c r="G145" s="179">
        <f t="shared" si="42"/>
        <v>0</v>
      </c>
      <c r="H145" s="110">
        <f>IFERROR(INDEX('Base Salarial'!$D$5:$F$25,MATCH(E145,'Base Salarial'!$G$5:$G$25,0),MATCH(I145,'Base Salarial'!$D$4:$F$4,0)),"")</f>
        <v>7500</v>
      </c>
      <c r="I145" s="78" t="str">
        <f>IFERROR(INDEX(Tarefas!$BQ$29:$FK$29,MATCH(E145,Tarefas!$BQ$30:$FK$30,0)),"")</f>
        <v>Mensalista</v>
      </c>
      <c r="J145" s="81">
        <f>IF(I145="horista",H145*Dashboard!$D$15,IF(OR(I145="Mensalista",I145="PJ"),H145,))</f>
        <v>7500</v>
      </c>
      <c r="K145" s="81">
        <f>IF(I145="PJ",J145,ROUND(J145*(1+Dashboard!$D$22),2))</f>
        <v>7950</v>
      </c>
      <c r="L145" s="77"/>
      <c r="M145" s="180"/>
      <c r="P145" s="109">
        <f>IF($BD145&gt;0,(((($BD145/Dashboard!$D$15)*(1+Precificação!$W$589)))+$P$26)*(1+Dashboard!$D$35),0)</f>
        <v>0</v>
      </c>
      <c r="Q145" s="109">
        <f>IF($BD145&gt;0,(((($BD145/Dashboard!$D$23)+(1+Precificação!$W$589))*(1+Q$28))+$P$26)*(1+Dashboard!$D$35),0)</f>
        <v>0</v>
      </c>
      <c r="R145" s="109">
        <f>IF($BD145&gt;0,(((($BD145/Dashboard!$D$23)+(1+Precificação!$W$589))*(1+R$28))+$P$26)*(1+Dashboard!$D$35),0)</f>
        <v>0</v>
      </c>
      <c r="S145" s="109">
        <f>IF($BD145&gt;0,(((($BD145/Dashboard!$D$23)+(1+Precificação!$W$589))*(1+S$28))+$P$26)*(1+Dashboard!$D$35),0)</f>
        <v>0</v>
      </c>
      <c r="U145" s="109">
        <f t="shared" si="43"/>
        <v>0</v>
      </c>
      <c r="V145" s="109">
        <f t="shared" si="44"/>
        <v>0</v>
      </c>
      <c r="W145" s="109">
        <f t="shared" si="45"/>
        <v>0</v>
      </c>
      <c r="X145" s="109">
        <f t="shared" si="46"/>
        <v>0</v>
      </c>
      <c r="AA145" s="109">
        <f>IF($BD145&gt;0,(((($BD145/Dashboard!$D$23)*(1+Precificação!$W$589)))+$AA$26)*(1+Dashboard!$D$35),0)</f>
        <v>0</v>
      </c>
      <c r="AB145" s="109">
        <f>IF($BD145&gt;0,(((($BD145/Dashboard!$D$23)*(1+Precificação!$W$589))*(1+AB$28))+$AA$26)*(1+Dashboard!$D$35),0)</f>
        <v>0</v>
      </c>
      <c r="AC145" s="109">
        <f>IF($BD145&gt;0,(((($BD145/Dashboard!$D$23)*(1+Precificação!$W$589))*(1+AC$28))+$AA$26)*(1+Dashboard!$D$35),0)</f>
        <v>0</v>
      </c>
      <c r="AD145" s="109">
        <f>IF($BD145&gt;0,(((($BD145/Dashboard!$D$23)*(1+Precificação!$W$589))*(1+AD$28))+$AA$26)*(1+Dashboard!$D$35),0)</f>
        <v>0</v>
      </c>
      <c r="AF145" s="109">
        <f t="shared" si="47"/>
        <v>0</v>
      </c>
      <c r="AG145" s="109">
        <f t="shared" si="48"/>
        <v>0</v>
      </c>
      <c r="AH145" s="109">
        <f t="shared" si="49"/>
        <v>0</v>
      </c>
      <c r="AI145" s="109">
        <f t="shared" si="50"/>
        <v>0</v>
      </c>
      <c r="AL145" s="109">
        <f>IF($BD145&gt;0,(((($BD145/Dashboard!$D$23)*(1+Precificação!$W$589)))+$AL$26)*(1+Dashboard!$D$35),0)</f>
        <v>0</v>
      </c>
      <c r="AM145" s="109">
        <f>IF($BD145&gt;0,(((($BD145/Dashboard!$D$23)*(1+Precificação!$W$589))*(1+AM$28))+$AA$26)*(1+Dashboard!$D$35),0)</f>
        <v>0</v>
      </c>
      <c r="AN145" s="109">
        <f>IF($BD145&gt;0,(((($BD145/Dashboard!$D$23)*(1+Precificação!$W$589))*(1+AN$28))+$AA$26)*(1+Dashboard!$D$35),0)</f>
        <v>0</v>
      </c>
      <c r="AO145" s="109">
        <f>IF($BD145&gt;0,(((($BD145/Dashboard!$D$23)*(1+Precificação!$W$589))*(1+AO$28))+$AA$26)*(1+Dashboard!$D$35),0)</f>
        <v>0</v>
      </c>
      <c r="AQ145" s="109">
        <f t="shared" si="51"/>
        <v>0</v>
      </c>
      <c r="AR145" s="109">
        <f t="shared" si="52"/>
        <v>0</v>
      </c>
      <c r="AS145" s="109">
        <f t="shared" si="53"/>
        <v>0</v>
      </c>
      <c r="AT145" s="109">
        <f t="shared" si="54"/>
        <v>0</v>
      </c>
      <c r="AW145" s="144">
        <f>VLOOKUP(B145,'Cronog. e Histog.'!$B$213:$BT$688,71,0)</f>
        <v>0</v>
      </c>
      <c r="AX145" s="144">
        <f>VLOOKUP(B145,'Cronog. e Histog.'!$B$213:$BU$688,72,0)</f>
        <v>0</v>
      </c>
      <c r="AY145" s="144">
        <f>$AW145*$AX145*Dashboard!$D$15</f>
        <v>0</v>
      </c>
      <c r="AZ145" s="144">
        <f>VLOOKUP(B145,Precificação!$B$96:$BM$533,54,0)</f>
        <v>0</v>
      </c>
      <c r="BA145" s="144">
        <f>VLOOKUP(B145,Precificação!$B$96:$BR$533,58,0)</f>
        <v>0</v>
      </c>
      <c r="BB145" s="144">
        <f>VLOOKUP(B145,Precificação!$B$96:$BW$533,62,0)</f>
        <v>0</v>
      </c>
      <c r="BC145" s="144">
        <f t="shared" si="55"/>
        <v>0</v>
      </c>
      <c r="BD145" s="109">
        <f>IFERROR(VLOOKUP(B145,Precificação!$B$96:$S$533,13,0),0)</f>
        <v>0</v>
      </c>
      <c r="BE145" s="109">
        <f>IFERROR(VLOOKUP(B145,Precificação!$B$96:$U$533,15,0)/(Precificação!$U$4+Precificação!$U$91),0)*Dashboard!$T$3</f>
        <v>0</v>
      </c>
    </row>
    <row r="146" spans="2:57" ht="12" customHeight="1" outlineLevel="1">
      <c r="B146" s="137" t="str">
        <f>Precificação!B124</f>
        <v>AN SR. ENG/ARQ - Equipe_01</v>
      </c>
      <c r="D146" s="512"/>
      <c r="E146" s="143" t="str">
        <f>IF('Cronog. e Histog.'!G244&gt;0,'Cronog. e Histog.'!G244,"")</f>
        <v>AN PL. ENG/ARQ</v>
      </c>
      <c r="G146" s="179">
        <f t="shared" si="42"/>
        <v>0</v>
      </c>
      <c r="H146" s="110">
        <f>IFERROR(INDEX('Base Salarial'!$D$5:$F$25,MATCH(E146,'Base Salarial'!$G$5:$G$25,0),MATCH(I146,'Base Salarial'!$D$4:$F$4,0)),"")</f>
        <v>6000</v>
      </c>
      <c r="I146" s="78" t="str">
        <f>IFERROR(INDEX(Tarefas!$BQ$29:$FK$29,MATCH(E146,Tarefas!$BQ$30:$FK$30,0)),"")</f>
        <v>Mensalista</v>
      </c>
      <c r="J146" s="81">
        <f>IF(I146="horista",H146*Dashboard!$D$15,IF(OR(I146="Mensalista",I146="PJ"),H146,))</f>
        <v>6000</v>
      </c>
      <c r="K146" s="81">
        <f>IF(I146="PJ",J146,ROUND(J146*(1+Dashboard!$D$22),2))</f>
        <v>6360</v>
      </c>
      <c r="L146" s="77"/>
      <c r="M146" s="180"/>
      <c r="P146" s="109">
        <f>IF($BD146&gt;0,(((($BD146/Dashboard!$D$15)*(1+Precificação!$W$589)))+$P$26)*(1+Dashboard!$D$35),0)</f>
        <v>0</v>
      </c>
      <c r="Q146" s="109">
        <f>IF($BD146&gt;0,(((($BD146/Dashboard!$D$23)+(1+Precificação!$W$589))*(1+Q$28))+$P$26)*(1+Dashboard!$D$35),0)</f>
        <v>0</v>
      </c>
      <c r="R146" s="109">
        <f>IF($BD146&gt;0,(((($BD146/Dashboard!$D$23)+(1+Precificação!$W$589))*(1+R$28))+$P$26)*(1+Dashboard!$D$35),0)</f>
        <v>0</v>
      </c>
      <c r="S146" s="109">
        <f>IF($BD146&gt;0,(((($BD146/Dashboard!$D$23)+(1+Precificação!$W$589))*(1+S$28))+$P$26)*(1+Dashboard!$D$35),0)</f>
        <v>0</v>
      </c>
      <c r="U146" s="109">
        <f t="shared" si="43"/>
        <v>0</v>
      </c>
      <c r="V146" s="109">
        <f t="shared" si="44"/>
        <v>0</v>
      </c>
      <c r="W146" s="109">
        <f t="shared" si="45"/>
        <v>0</v>
      </c>
      <c r="X146" s="109">
        <f t="shared" si="46"/>
        <v>0</v>
      </c>
      <c r="AA146" s="109">
        <f>IF($BD146&gt;0,(((($BD146/Dashboard!$D$23)*(1+Precificação!$W$589)))+$AA$26)*(1+Dashboard!$D$35),0)</f>
        <v>0</v>
      </c>
      <c r="AB146" s="109">
        <f>IF($BD146&gt;0,(((($BD146/Dashboard!$D$23)*(1+Precificação!$W$589))*(1+AB$28))+$AA$26)*(1+Dashboard!$D$35),0)</f>
        <v>0</v>
      </c>
      <c r="AC146" s="109">
        <f>IF($BD146&gt;0,(((($BD146/Dashboard!$D$23)*(1+Precificação!$W$589))*(1+AC$28))+$AA$26)*(1+Dashboard!$D$35),0)</f>
        <v>0</v>
      </c>
      <c r="AD146" s="109">
        <f>IF($BD146&gt;0,(((($BD146/Dashboard!$D$23)*(1+Precificação!$W$589))*(1+AD$28))+$AA$26)*(1+Dashboard!$D$35),0)</f>
        <v>0</v>
      </c>
      <c r="AF146" s="109">
        <f t="shared" si="47"/>
        <v>0</v>
      </c>
      <c r="AG146" s="109">
        <f t="shared" si="48"/>
        <v>0</v>
      </c>
      <c r="AH146" s="109">
        <f t="shared" si="49"/>
        <v>0</v>
      </c>
      <c r="AI146" s="109">
        <f t="shared" si="50"/>
        <v>0</v>
      </c>
      <c r="AL146" s="109">
        <f>IF($BD146&gt;0,(((($BD146/Dashboard!$D$23)*(1+Precificação!$W$589)))+$AL$26)*(1+Dashboard!$D$35),0)</f>
        <v>0</v>
      </c>
      <c r="AM146" s="109">
        <f>IF($BD146&gt;0,(((($BD146/Dashboard!$D$23)*(1+Precificação!$W$589))*(1+AM$28))+$AA$26)*(1+Dashboard!$D$35),0)</f>
        <v>0</v>
      </c>
      <c r="AN146" s="109">
        <f>IF($BD146&gt;0,(((($BD146/Dashboard!$D$23)*(1+Precificação!$W$589))*(1+AN$28))+$AA$26)*(1+Dashboard!$D$35),0)</f>
        <v>0</v>
      </c>
      <c r="AO146" s="109">
        <f>IF($BD146&gt;0,(((($BD146/Dashboard!$D$23)*(1+Precificação!$W$589))*(1+AO$28))+$AA$26)*(1+Dashboard!$D$35),0)</f>
        <v>0</v>
      </c>
      <c r="AQ146" s="109">
        <f t="shared" si="51"/>
        <v>0</v>
      </c>
      <c r="AR146" s="109">
        <f t="shared" si="52"/>
        <v>0</v>
      </c>
      <c r="AS146" s="109">
        <f t="shared" si="53"/>
        <v>0</v>
      </c>
      <c r="AT146" s="109">
        <f t="shared" si="54"/>
        <v>0</v>
      </c>
      <c r="AW146" s="144">
        <f>VLOOKUP(B146,'Cronog. e Histog.'!$B$213:$BT$688,71,0)</f>
        <v>0</v>
      </c>
      <c r="AX146" s="144">
        <f>VLOOKUP(B146,'Cronog. e Histog.'!$B$213:$BU$688,72,0)</f>
        <v>0</v>
      </c>
      <c r="AY146" s="144">
        <f>$AW146*$AX146*Dashboard!$D$15</f>
        <v>0</v>
      </c>
      <c r="AZ146" s="144">
        <f>VLOOKUP(B146,Precificação!$B$96:$BM$533,54,0)</f>
        <v>0</v>
      </c>
      <c r="BA146" s="144">
        <f>VLOOKUP(B146,Precificação!$B$96:$BR$533,58,0)</f>
        <v>0</v>
      </c>
      <c r="BB146" s="144">
        <f>VLOOKUP(B146,Precificação!$B$96:$BW$533,62,0)</f>
        <v>0</v>
      </c>
      <c r="BC146" s="144">
        <f t="shared" si="55"/>
        <v>0</v>
      </c>
      <c r="BD146" s="109">
        <f>IFERROR(VLOOKUP(B146,Precificação!$B$96:$S$533,13,0),0)</f>
        <v>0</v>
      </c>
      <c r="BE146" s="109">
        <f>IFERROR(VLOOKUP(B146,Precificação!$B$96:$U$533,15,0)/(Precificação!$U$4+Precificação!$U$91),0)*Dashboard!$T$3</f>
        <v>0</v>
      </c>
    </row>
    <row r="147" spans="2:57" ht="12" customHeight="1" outlineLevel="1">
      <c r="B147" s="137" t="str">
        <f>Precificação!B125</f>
        <v>AN PL. ENG/ARQ - Equipe_01</v>
      </c>
      <c r="D147" s="512"/>
      <c r="E147" s="143" t="str">
        <f>IF('Cronog. e Histog.'!G245&gt;0,'Cronog. e Histog.'!G245,"")</f>
        <v>AN JR. ENG/ARQ</v>
      </c>
      <c r="G147" s="179">
        <f t="shared" si="42"/>
        <v>0</v>
      </c>
      <c r="H147" s="110">
        <f>IFERROR(INDEX('Base Salarial'!$D$5:$F$25,MATCH(E147,'Base Salarial'!$G$5:$G$25,0),MATCH(I147,'Base Salarial'!$D$4:$F$4,0)),"")</f>
        <v>4500</v>
      </c>
      <c r="I147" s="78" t="str">
        <f>IFERROR(INDEX(Tarefas!$BQ$29:$FK$29,MATCH(E147,Tarefas!$BQ$30:$FK$30,0)),"")</f>
        <v>Mensalista</v>
      </c>
      <c r="J147" s="81">
        <f>IF(I147="horista",H147*Dashboard!$D$15,IF(OR(I147="Mensalista",I147="PJ"),H147,))</f>
        <v>4500</v>
      </c>
      <c r="K147" s="81">
        <f>IF(I147="PJ",J147,ROUND(J147*(1+Dashboard!$D$22),2))</f>
        <v>4770</v>
      </c>
      <c r="L147" s="77"/>
      <c r="M147" s="180"/>
      <c r="P147" s="109">
        <f>IF($BD147&gt;0,(((($BD147/Dashboard!$D$15)*(1+Precificação!$W$589)))+$P$26)*(1+Dashboard!$D$35),0)</f>
        <v>0</v>
      </c>
      <c r="Q147" s="109">
        <f>IF($BD147&gt;0,(((($BD147/Dashboard!$D$23)+(1+Precificação!$W$589))*(1+Q$28))+$P$26)*(1+Dashboard!$D$35),0)</f>
        <v>0</v>
      </c>
      <c r="R147" s="109">
        <f>IF($BD147&gt;0,(((($BD147/Dashboard!$D$23)+(1+Precificação!$W$589))*(1+R$28))+$P$26)*(1+Dashboard!$D$35),0)</f>
        <v>0</v>
      </c>
      <c r="S147" s="109">
        <f>IF($BD147&gt;0,(((($BD147/Dashboard!$D$23)+(1+Precificação!$W$589))*(1+S$28))+$P$26)*(1+Dashboard!$D$35),0)</f>
        <v>0</v>
      </c>
      <c r="U147" s="109">
        <f t="shared" si="43"/>
        <v>0</v>
      </c>
      <c r="V147" s="109">
        <f t="shared" si="44"/>
        <v>0</v>
      </c>
      <c r="W147" s="109">
        <f t="shared" si="45"/>
        <v>0</v>
      </c>
      <c r="X147" s="109">
        <f t="shared" si="46"/>
        <v>0</v>
      </c>
      <c r="AA147" s="109">
        <f>IF($BD147&gt;0,(((($BD147/Dashboard!$D$23)*(1+Precificação!$W$589)))+$AA$26)*(1+Dashboard!$D$35),0)</f>
        <v>0</v>
      </c>
      <c r="AB147" s="109">
        <f>IF($BD147&gt;0,(((($BD147/Dashboard!$D$23)*(1+Precificação!$W$589))*(1+AB$28))+$AA$26)*(1+Dashboard!$D$35),0)</f>
        <v>0</v>
      </c>
      <c r="AC147" s="109">
        <f>IF($BD147&gt;0,(((($BD147/Dashboard!$D$23)*(1+Precificação!$W$589))*(1+AC$28))+$AA$26)*(1+Dashboard!$D$35),0)</f>
        <v>0</v>
      </c>
      <c r="AD147" s="109">
        <f>IF($BD147&gt;0,(((($BD147/Dashboard!$D$23)*(1+Precificação!$W$589))*(1+AD$28))+$AA$26)*(1+Dashboard!$D$35),0)</f>
        <v>0</v>
      </c>
      <c r="AF147" s="109">
        <f t="shared" si="47"/>
        <v>0</v>
      </c>
      <c r="AG147" s="109">
        <f t="shared" si="48"/>
        <v>0</v>
      </c>
      <c r="AH147" s="109">
        <f t="shared" si="49"/>
        <v>0</v>
      </c>
      <c r="AI147" s="109">
        <f t="shared" si="50"/>
        <v>0</v>
      </c>
      <c r="AL147" s="109">
        <f>IF($BD147&gt;0,(((($BD147/Dashboard!$D$23)*(1+Precificação!$W$589)))+$AL$26)*(1+Dashboard!$D$35),0)</f>
        <v>0</v>
      </c>
      <c r="AM147" s="109">
        <f>IF($BD147&gt;0,(((($BD147/Dashboard!$D$23)*(1+Precificação!$W$589))*(1+AM$28))+$AA$26)*(1+Dashboard!$D$35),0)</f>
        <v>0</v>
      </c>
      <c r="AN147" s="109">
        <f>IF($BD147&gt;0,(((($BD147/Dashboard!$D$23)*(1+Precificação!$W$589))*(1+AN$28))+$AA$26)*(1+Dashboard!$D$35),0)</f>
        <v>0</v>
      </c>
      <c r="AO147" s="109">
        <f>IF($BD147&gt;0,(((($BD147/Dashboard!$D$23)*(1+Precificação!$W$589))*(1+AO$28))+$AA$26)*(1+Dashboard!$D$35),0)</f>
        <v>0</v>
      </c>
      <c r="AQ147" s="109">
        <f t="shared" si="51"/>
        <v>0</v>
      </c>
      <c r="AR147" s="109">
        <f t="shared" si="52"/>
        <v>0</v>
      </c>
      <c r="AS147" s="109">
        <f t="shared" si="53"/>
        <v>0</v>
      </c>
      <c r="AT147" s="109">
        <f t="shared" si="54"/>
        <v>0</v>
      </c>
      <c r="AW147" s="144">
        <f>VLOOKUP(B147,'Cronog. e Histog.'!$B$213:$BT$688,71,0)</f>
        <v>0</v>
      </c>
      <c r="AX147" s="144">
        <f>VLOOKUP(B147,'Cronog. e Histog.'!$B$213:$BU$688,72,0)</f>
        <v>0</v>
      </c>
      <c r="AY147" s="144">
        <f>$AW147*$AX147*Dashboard!$D$15</f>
        <v>0</v>
      </c>
      <c r="AZ147" s="144">
        <f>VLOOKUP(B147,Precificação!$B$96:$BM$533,54,0)</f>
        <v>0</v>
      </c>
      <c r="BA147" s="144">
        <f>VLOOKUP(B147,Precificação!$B$96:$BR$533,58,0)</f>
        <v>0</v>
      </c>
      <c r="BB147" s="144">
        <f>VLOOKUP(B147,Precificação!$B$96:$BW$533,62,0)</f>
        <v>0</v>
      </c>
      <c r="BC147" s="144">
        <f t="shared" si="55"/>
        <v>0</v>
      </c>
      <c r="BD147" s="109">
        <f>IFERROR(VLOOKUP(B147,Precificação!$B$96:$S$533,13,0),0)</f>
        <v>0</v>
      </c>
      <c r="BE147" s="109">
        <f>IFERROR(VLOOKUP(B147,Precificação!$B$96:$U$533,15,0)/(Precificação!$U$4+Precificação!$U$91),0)*Dashboard!$T$3</f>
        <v>0</v>
      </c>
    </row>
    <row r="148" spans="2:57" ht="12" customHeight="1" outlineLevel="1">
      <c r="B148" s="137" t="str">
        <f>Precificação!B126</f>
        <v>AN JR. ENG/ARQ - Equipe_01</v>
      </c>
      <c r="D148" s="512"/>
      <c r="E148" s="143" t="str">
        <f>IF('Cronog. e Histog.'!G246&gt;0,'Cronog. e Histog.'!G246,"")</f>
        <v>AN SR. ADM/CRP</v>
      </c>
      <c r="G148" s="179">
        <f t="shared" si="42"/>
        <v>0</v>
      </c>
      <c r="H148" s="110">
        <f>IFERROR(INDEX('Base Salarial'!$D$5:$F$25,MATCH(E148,'Base Salarial'!$G$5:$G$25,0),MATCH(I148,'Base Salarial'!$D$4:$F$4,0)),"")</f>
        <v>7000</v>
      </c>
      <c r="I148" s="78" t="str">
        <f>IFERROR(INDEX(Tarefas!$BQ$29:$FK$29,MATCH(E148,Tarefas!$BQ$30:$FK$30,0)),"")</f>
        <v>Mensalista</v>
      </c>
      <c r="J148" s="81">
        <f>IF(I148="horista",H148*Dashboard!$D$15,IF(OR(I148="Mensalista",I148="PJ"),H148,))</f>
        <v>7000</v>
      </c>
      <c r="K148" s="81">
        <f>IF(I148="PJ",J148,ROUND(J148*(1+Dashboard!$D$22),2))</f>
        <v>7420</v>
      </c>
      <c r="L148" s="77"/>
      <c r="M148" s="180"/>
      <c r="P148" s="109">
        <f>IF($BD148&gt;0,(((($BD148/Dashboard!$D$15)*(1+Precificação!$W$589)))+$P$26)*(1+Dashboard!$D$35),0)</f>
        <v>0</v>
      </c>
      <c r="Q148" s="109">
        <f>IF($BD148&gt;0,(((($BD148/Dashboard!$D$23)+(1+Precificação!$W$589))*(1+Q$28))+$P$26)*(1+Dashboard!$D$35),0)</f>
        <v>0</v>
      </c>
      <c r="R148" s="109">
        <f>IF($BD148&gt;0,(((($BD148/Dashboard!$D$23)+(1+Precificação!$W$589))*(1+R$28))+$P$26)*(1+Dashboard!$D$35),0)</f>
        <v>0</v>
      </c>
      <c r="S148" s="109">
        <f>IF($BD148&gt;0,(((($BD148/Dashboard!$D$23)+(1+Precificação!$W$589))*(1+S$28))+$P$26)*(1+Dashboard!$D$35),0)</f>
        <v>0</v>
      </c>
      <c r="U148" s="109">
        <f t="shared" si="43"/>
        <v>0</v>
      </c>
      <c r="V148" s="109">
        <f t="shared" si="44"/>
        <v>0</v>
      </c>
      <c r="W148" s="109">
        <f t="shared" si="45"/>
        <v>0</v>
      </c>
      <c r="X148" s="109">
        <f t="shared" si="46"/>
        <v>0</v>
      </c>
      <c r="AA148" s="109">
        <f>IF($BD148&gt;0,(((($BD148/Dashboard!$D$23)*(1+Precificação!$W$589)))+$AA$26)*(1+Dashboard!$D$35),0)</f>
        <v>0</v>
      </c>
      <c r="AB148" s="109">
        <f>IF($BD148&gt;0,(((($BD148/Dashboard!$D$23)*(1+Precificação!$W$589))*(1+AB$28))+$AA$26)*(1+Dashboard!$D$35),0)</f>
        <v>0</v>
      </c>
      <c r="AC148" s="109">
        <f>IF($BD148&gt;0,(((($BD148/Dashboard!$D$23)*(1+Precificação!$W$589))*(1+AC$28))+$AA$26)*(1+Dashboard!$D$35),0)</f>
        <v>0</v>
      </c>
      <c r="AD148" s="109">
        <f>IF($BD148&gt;0,(((($BD148/Dashboard!$D$23)*(1+Precificação!$W$589))*(1+AD$28))+$AA$26)*(1+Dashboard!$D$35),0)</f>
        <v>0</v>
      </c>
      <c r="AF148" s="109">
        <f t="shared" si="47"/>
        <v>0</v>
      </c>
      <c r="AG148" s="109">
        <f t="shared" si="48"/>
        <v>0</v>
      </c>
      <c r="AH148" s="109">
        <f t="shared" si="49"/>
        <v>0</v>
      </c>
      <c r="AI148" s="109">
        <f t="shared" si="50"/>
        <v>0</v>
      </c>
      <c r="AL148" s="109">
        <f>IF($BD148&gt;0,(((($BD148/Dashboard!$D$23)*(1+Precificação!$W$589)))+$AL$26)*(1+Dashboard!$D$35),0)</f>
        <v>0</v>
      </c>
      <c r="AM148" s="109">
        <f>IF($BD148&gt;0,(((($BD148/Dashboard!$D$23)*(1+Precificação!$W$589))*(1+AM$28))+$AA$26)*(1+Dashboard!$D$35),0)</f>
        <v>0</v>
      </c>
      <c r="AN148" s="109">
        <f>IF($BD148&gt;0,(((($BD148/Dashboard!$D$23)*(1+Precificação!$W$589))*(1+AN$28))+$AA$26)*(1+Dashboard!$D$35),0)</f>
        <v>0</v>
      </c>
      <c r="AO148" s="109">
        <f>IF($BD148&gt;0,(((($BD148/Dashboard!$D$23)*(1+Precificação!$W$589))*(1+AO$28))+$AA$26)*(1+Dashboard!$D$35),0)</f>
        <v>0</v>
      </c>
      <c r="AQ148" s="109">
        <f t="shared" si="51"/>
        <v>0</v>
      </c>
      <c r="AR148" s="109">
        <f t="shared" si="52"/>
        <v>0</v>
      </c>
      <c r="AS148" s="109">
        <f t="shared" si="53"/>
        <v>0</v>
      </c>
      <c r="AT148" s="109">
        <f t="shared" si="54"/>
        <v>0</v>
      </c>
      <c r="AW148" s="144">
        <f>VLOOKUP(B148,'Cronog. e Histog.'!$B$213:$BT$688,71,0)</f>
        <v>0</v>
      </c>
      <c r="AX148" s="144">
        <f>VLOOKUP(B148,'Cronog. e Histog.'!$B$213:$BU$688,72,0)</f>
        <v>0</v>
      </c>
      <c r="AY148" s="144">
        <f>$AW148*$AX148*Dashboard!$D$15</f>
        <v>0</v>
      </c>
      <c r="AZ148" s="144">
        <f>VLOOKUP(B148,Precificação!$B$96:$BM$533,54,0)</f>
        <v>0</v>
      </c>
      <c r="BA148" s="144">
        <f>VLOOKUP(B148,Precificação!$B$96:$BR$533,58,0)</f>
        <v>0</v>
      </c>
      <c r="BB148" s="144">
        <f>VLOOKUP(B148,Precificação!$B$96:$BW$533,62,0)</f>
        <v>0</v>
      </c>
      <c r="BC148" s="144">
        <f t="shared" si="55"/>
        <v>0</v>
      </c>
      <c r="BD148" s="109">
        <f>IFERROR(VLOOKUP(B148,Precificação!$B$96:$S$533,13,0),0)</f>
        <v>0</v>
      </c>
      <c r="BE148" s="109">
        <f>IFERROR(VLOOKUP(B148,Precificação!$B$96:$U$533,15,0)/(Precificação!$U$4+Precificação!$U$91),0)*Dashboard!$T$3</f>
        <v>0</v>
      </c>
    </row>
    <row r="149" spans="2:57" ht="12" customHeight="1" outlineLevel="1">
      <c r="B149" s="137" t="str">
        <f>Precificação!B127</f>
        <v>AN SR. ADM/CRP - Equipe_01</v>
      </c>
      <c r="D149" s="512"/>
      <c r="E149" s="143" t="str">
        <f>IF('Cronog. e Histog.'!G247&gt;0,'Cronog. e Histog.'!G247,"")</f>
        <v>AN PL. ADM/CRP</v>
      </c>
      <c r="G149" s="179">
        <f t="shared" si="42"/>
        <v>0</v>
      </c>
      <c r="H149" s="110">
        <f>IFERROR(INDEX('Base Salarial'!$D$5:$F$25,MATCH(E149,'Base Salarial'!$G$5:$G$25,0),MATCH(I149,'Base Salarial'!$D$4:$F$4,0)),"")</f>
        <v>5000</v>
      </c>
      <c r="I149" s="78" t="str">
        <f>IFERROR(INDEX(Tarefas!$BQ$29:$FK$29,MATCH(E149,Tarefas!$BQ$30:$FK$30,0)),"")</f>
        <v>Mensalista</v>
      </c>
      <c r="J149" s="81">
        <f>IF(I149="horista",H149*Dashboard!$D$15,IF(OR(I149="Mensalista",I149="PJ"),H149,))</f>
        <v>5000</v>
      </c>
      <c r="K149" s="81">
        <f>IF(I149="PJ",J149,ROUND(J149*(1+Dashboard!$D$22),2))</f>
        <v>5300</v>
      </c>
      <c r="L149" s="77"/>
      <c r="M149" s="180"/>
      <c r="P149" s="109">
        <f>IF($BD149&gt;0,(((($BD149/Dashboard!$D$15)*(1+Precificação!$W$589)))+$P$26)*(1+Dashboard!$D$35),0)</f>
        <v>0</v>
      </c>
      <c r="Q149" s="109">
        <f>IF($BD149&gt;0,(((($BD149/Dashboard!$D$23)+(1+Precificação!$W$589))*(1+Q$28))+$P$26)*(1+Dashboard!$D$35),0)</f>
        <v>0</v>
      </c>
      <c r="R149" s="109">
        <f>IF($BD149&gt;0,(((($BD149/Dashboard!$D$23)+(1+Precificação!$W$589))*(1+R$28))+$P$26)*(1+Dashboard!$D$35),0)</f>
        <v>0</v>
      </c>
      <c r="S149" s="109">
        <f>IF($BD149&gt;0,(((($BD149/Dashboard!$D$23)+(1+Precificação!$W$589))*(1+S$28))+$P$26)*(1+Dashboard!$D$35),0)</f>
        <v>0</v>
      </c>
      <c r="U149" s="109">
        <f t="shared" si="43"/>
        <v>0</v>
      </c>
      <c r="V149" s="109">
        <f t="shared" si="44"/>
        <v>0</v>
      </c>
      <c r="W149" s="109">
        <f t="shared" si="45"/>
        <v>0</v>
      </c>
      <c r="X149" s="109">
        <f t="shared" si="46"/>
        <v>0</v>
      </c>
      <c r="AA149" s="109">
        <f>IF($BD149&gt;0,(((($BD149/Dashboard!$D$23)*(1+Precificação!$W$589)))+$AA$26)*(1+Dashboard!$D$35),0)</f>
        <v>0</v>
      </c>
      <c r="AB149" s="109">
        <f>IF($BD149&gt;0,(((($BD149/Dashboard!$D$23)*(1+Precificação!$W$589))*(1+AB$28))+$AA$26)*(1+Dashboard!$D$35),0)</f>
        <v>0</v>
      </c>
      <c r="AC149" s="109">
        <f>IF($BD149&gt;0,(((($BD149/Dashboard!$D$23)*(1+Precificação!$W$589))*(1+AC$28))+$AA$26)*(1+Dashboard!$D$35),0)</f>
        <v>0</v>
      </c>
      <c r="AD149" s="109">
        <f>IF($BD149&gt;0,(((($BD149/Dashboard!$D$23)*(1+Precificação!$W$589))*(1+AD$28))+$AA$26)*(1+Dashboard!$D$35),0)</f>
        <v>0</v>
      </c>
      <c r="AF149" s="109">
        <f t="shared" si="47"/>
        <v>0</v>
      </c>
      <c r="AG149" s="109">
        <f t="shared" si="48"/>
        <v>0</v>
      </c>
      <c r="AH149" s="109">
        <f t="shared" si="49"/>
        <v>0</v>
      </c>
      <c r="AI149" s="109">
        <f t="shared" si="50"/>
        <v>0</v>
      </c>
      <c r="AL149" s="109">
        <f>IF($BD149&gt;0,(((($BD149/Dashboard!$D$23)*(1+Precificação!$W$589)))+$AL$26)*(1+Dashboard!$D$35),0)</f>
        <v>0</v>
      </c>
      <c r="AM149" s="109">
        <f>IF($BD149&gt;0,(((($BD149/Dashboard!$D$23)*(1+Precificação!$W$589))*(1+AM$28))+$AA$26)*(1+Dashboard!$D$35),0)</f>
        <v>0</v>
      </c>
      <c r="AN149" s="109">
        <f>IF($BD149&gt;0,(((($BD149/Dashboard!$D$23)*(1+Precificação!$W$589))*(1+AN$28))+$AA$26)*(1+Dashboard!$D$35),0)</f>
        <v>0</v>
      </c>
      <c r="AO149" s="109">
        <f>IF($BD149&gt;0,(((($BD149/Dashboard!$D$23)*(1+Precificação!$W$589))*(1+AO$28))+$AA$26)*(1+Dashboard!$D$35),0)</f>
        <v>0</v>
      </c>
      <c r="AQ149" s="109">
        <f t="shared" si="51"/>
        <v>0</v>
      </c>
      <c r="AR149" s="109">
        <f t="shared" si="52"/>
        <v>0</v>
      </c>
      <c r="AS149" s="109">
        <f t="shared" si="53"/>
        <v>0</v>
      </c>
      <c r="AT149" s="109">
        <f t="shared" si="54"/>
        <v>0</v>
      </c>
      <c r="AW149" s="144">
        <f>VLOOKUP(B149,'Cronog. e Histog.'!$B$213:$BT$688,71,0)</f>
        <v>0</v>
      </c>
      <c r="AX149" s="144">
        <f>VLOOKUP(B149,'Cronog. e Histog.'!$B$213:$BU$688,72,0)</f>
        <v>0</v>
      </c>
      <c r="AY149" s="144">
        <f>$AW149*$AX149*Dashboard!$D$15</f>
        <v>0</v>
      </c>
      <c r="AZ149" s="144">
        <f>VLOOKUP(B149,Precificação!$B$96:$BM$533,54,0)</f>
        <v>0</v>
      </c>
      <c r="BA149" s="144">
        <f>VLOOKUP(B149,Precificação!$B$96:$BR$533,58,0)</f>
        <v>0</v>
      </c>
      <c r="BB149" s="144">
        <f>VLOOKUP(B149,Precificação!$B$96:$BW$533,62,0)</f>
        <v>0</v>
      </c>
      <c r="BC149" s="144">
        <f t="shared" si="55"/>
        <v>0</v>
      </c>
      <c r="BD149" s="109">
        <f>IFERROR(VLOOKUP(B149,Precificação!$B$96:$S$533,13,0),0)</f>
        <v>0</v>
      </c>
      <c r="BE149" s="109">
        <f>IFERROR(VLOOKUP(B149,Precificação!$B$96:$U$533,15,0)/(Precificação!$U$4+Precificação!$U$91),0)*Dashboard!$T$3</f>
        <v>0</v>
      </c>
    </row>
    <row r="150" spans="2:57" ht="12" customHeight="1" outlineLevel="1">
      <c r="B150" s="137" t="str">
        <f>Precificação!B128</f>
        <v>AN PL. ADM/CRP - Equipe_01</v>
      </c>
      <c r="D150" s="512"/>
      <c r="E150" s="143" t="str">
        <f>IF('Cronog. e Histog.'!G248&gt;0,'Cronog. e Histog.'!G248,"")</f>
        <v>AN JR. ADM/CRP</v>
      </c>
      <c r="G150" s="179">
        <f t="shared" si="42"/>
        <v>0</v>
      </c>
      <c r="H150" s="110">
        <f>IFERROR(INDEX('Base Salarial'!$D$5:$F$25,MATCH(E150,'Base Salarial'!$G$5:$G$25,0),MATCH(I150,'Base Salarial'!$D$4:$F$4,0)),"")</f>
        <v>3500</v>
      </c>
      <c r="I150" s="78" t="str">
        <f>IFERROR(INDEX(Tarefas!$BQ$29:$FK$29,MATCH(E150,Tarefas!$BQ$30:$FK$30,0)),"")</f>
        <v>Mensalista</v>
      </c>
      <c r="J150" s="81">
        <f>IF(I150="horista",H150*Dashboard!$D$15,IF(OR(I150="Mensalista",I150="PJ"),H150,))</f>
        <v>3500</v>
      </c>
      <c r="K150" s="81">
        <f>IF(I150="PJ",J150,ROUND(J150*(1+Dashboard!$D$22),2))</f>
        <v>3710</v>
      </c>
      <c r="L150" s="77"/>
      <c r="M150" s="180"/>
      <c r="P150" s="109">
        <f>IF($BD150&gt;0,(((($BD150/Dashboard!$D$15)*(1+Precificação!$W$589)))+$P$26)*(1+Dashboard!$D$35),0)</f>
        <v>0</v>
      </c>
      <c r="Q150" s="109">
        <f>IF($BD150&gt;0,(((($BD150/Dashboard!$D$23)+(1+Precificação!$W$589))*(1+Q$28))+$P$26)*(1+Dashboard!$D$35),0)</f>
        <v>0</v>
      </c>
      <c r="R150" s="109">
        <f>IF($BD150&gt;0,(((($BD150/Dashboard!$D$23)+(1+Precificação!$W$589))*(1+R$28))+$P$26)*(1+Dashboard!$D$35),0)</f>
        <v>0</v>
      </c>
      <c r="S150" s="109">
        <f>IF($BD150&gt;0,(((($BD150/Dashboard!$D$23)+(1+Precificação!$W$589))*(1+S$28))+$P$26)*(1+Dashboard!$D$35),0)</f>
        <v>0</v>
      </c>
      <c r="U150" s="109">
        <f t="shared" si="43"/>
        <v>0</v>
      </c>
      <c r="V150" s="109">
        <f t="shared" si="44"/>
        <v>0</v>
      </c>
      <c r="W150" s="109">
        <f t="shared" si="45"/>
        <v>0</v>
      </c>
      <c r="X150" s="109">
        <f t="shared" si="46"/>
        <v>0</v>
      </c>
      <c r="AA150" s="109">
        <f>IF($BD150&gt;0,(((($BD150/Dashboard!$D$23)*(1+Precificação!$W$589)))+$AA$26)*(1+Dashboard!$D$35),0)</f>
        <v>0</v>
      </c>
      <c r="AB150" s="109">
        <f>IF($BD150&gt;0,(((($BD150/Dashboard!$D$23)*(1+Precificação!$W$589))*(1+AB$28))+$AA$26)*(1+Dashboard!$D$35),0)</f>
        <v>0</v>
      </c>
      <c r="AC150" s="109">
        <f>IF($BD150&gt;0,(((($BD150/Dashboard!$D$23)*(1+Precificação!$W$589))*(1+AC$28))+$AA$26)*(1+Dashboard!$D$35),0)</f>
        <v>0</v>
      </c>
      <c r="AD150" s="109">
        <f>IF($BD150&gt;0,(((($BD150/Dashboard!$D$23)*(1+Precificação!$W$589))*(1+AD$28))+$AA$26)*(1+Dashboard!$D$35),0)</f>
        <v>0</v>
      </c>
      <c r="AF150" s="109">
        <f t="shared" si="47"/>
        <v>0</v>
      </c>
      <c r="AG150" s="109">
        <f t="shared" si="48"/>
        <v>0</v>
      </c>
      <c r="AH150" s="109">
        <f t="shared" si="49"/>
        <v>0</v>
      </c>
      <c r="AI150" s="109">
        <f t="shared" si="50"/>
        <v>0</v>
      </c>
      <c r="AL150" s="109">
        <f>IF($BD150&gt;0,(((($BD150/Dashboard!$D$23)*(1+Precificação!$W$589)))+$AL$26)*(1+Dashboard!$D$35),0)</f>
        <v>0</v>
      </c>
      <c r="AM150" s="109">
        <f>IF($BD150&gt;0,(((($BD150/Dashboard!$D$23)*(1+Precificação!$W$589))*(1+AM$28))+$AA$26)*(1+Dashboard!$D$35),0)</f>
        <v>0</v>
      </c>
      <c r="AN150" s="109">
        <f>IF($BD150&gt;0,(((($BD150/Dashboard!$D$23)*(1+Precificação!$W$589))*(1+AN$28))+$AA$26)*(1+Dashboard!$D$35),0)</f>
        <v>0</v>
      </c>
      <c r="AO150" s="109">
        <f>IF($BD150&gt;0,(((($BD150/Dashboard!$D$23)*(1+Precificação!$W$589))*(1+AO$28))+$AA$26)*(1+Dashboard!$D$35),0)</f>
        <v>0</v>
      </c>
      <c r="AQ150" s="109">
        <f t="shared" si="51"/>
        <v>0</v>
      </c>
      <c r="AR150" s="109">
        <f t="shared" si="52"/>
        <v>0</v>
      </c>
      <c r="AS150" s="109">
        <f t="shared" si="53"/>
        <v>0</v>
      </c>
      <c r="AT150" s="109">
        <f t="shared" si="54"/>
        <v>0</v>
      </c>
      <c r="AW150" s="144">
        <f>VLOOKUP(B150,'Cronog. e Histog.'!$B$213:$BT$688,71,0)</f>
        <v>0</v>
      </c>
      <c r="AX150" s="144">
        <f>VLOOKUP(B150,'Cronog. e Histog.'!$B$213:$BU$688,72,0)</f>
        <v>0</v>
      </c>
      <c r="AY150" s="144">
        <f>$AW150*$AX150*Dashboard!$D$15</f>
        <v>0</v>
      </c>
      <c r="AZ150" s="144">
        <f>VLOOKUP(B150,Precificação!$B$96:$BM$533,54,0)</f>
        <v>0</v>
      </c>
      <c r="BA150" s="144">
        <f>VLOOKUP(B150,Precificação!$B$96:$BR$533,58,0)</f>
        <v>0</v>
      </c>
      <c r="BB150" s="144">
        <f>VLOOKUP(B150,Precificação!$B$96:$BW$533,62,0)</f>
        <v>0</v>
      </c>
      <c r="BC150" s="144">
        <f t="shared" si="55"/>
        <v>0</v>
      </c>
      <c r="BD150" s="109">
        <f>IFERROR(VLOOKUP(B150,Precificação!$B$96:$S$533,13,0),0)</f>
        <v>0</v>
      </c>
      <c r="BE150" s="109">
        <f>IFERROR(VLOOKUP(B150,Precificação!$B$96:$U$533,15,0)/(Precificação!$U$4+Precificação!$U$91),0)*Dashboard!$T$3</f>
        <v>0</v>
      </c>
    </row>
    <row r="151" spans="2:57" ht="12" customHeight="1" outlineLevel="1">
      <c r="B151" s="137" t="str">
        <f>Precificação!B129</f>
        <v>AN JR. ADM/CRP - Equipe_01</v>
      </c>
      <c r="D151" s="512"/>
      <c r="E151" s="143" t="str">
        <f>IF('Cronog. e Histog.'!G249&gt;0,'Cronog. e Histog.'!G249,"")</f>
        <v>TEC III</v>
      </c>
      <c r="G151" s="179">
        <f t="shared" si="42"/>
        <v>0</v>
      </c>
      <c r="H151" s="110">
        <f>IFERROR(INDEX('Base Salarial'!$D$5:$F$25,MATCH(E151,'Base Salarial'!$G$5:$G$25,0),MATCH(I151,'Base Salarial'!$D$4:$F$4,0)),"")</f>
        <v>6000</v>
      </c>
      <c r="I151" s="78" t="str">
        <f>IFERROR(INDEX(Tarefas!$BQ$29:$FK$29,MATCH(E151,Tarefas!$BQ$30:$FK$30,0)),"")</f>
        <v>Mensalista</v>
      </c>
      <c r="J151" s="81">
        <f>IF(I151="horista",H151*Dashboard!$D$15,IF(OR(I151="Mensalista",I151="PJ"),H151,))</f>
        <v>6000</v>
      </c>
      <c r="K151" s="81">
        <f>IF(I151="PJ",J151,ROUND(J151*(1+Dashboard!$D$22),2))</f>
        <v>6360</v>
      </c>
      <c r="L151" s="77"/>
      <c r="M151" s="180"/>
      <c r="P151" s="109">
        <f>IF($BD151&gt;0,(((($BD151/Dashboard!$D$15)*(1+Precificação!$W$589)))+$P$26)*(1+Dashboard!$D$35),0)</f>
        <v>0</v>
      </c>
      <c r="Q151" s="109">
        <f>IF($BD151&gt;0,(((($BD151/Dashboard!$D$23)+(1+Precificação!$W$589))*(1+Q$28))+$P$26)*(1+Dashboard!$D$35),0)</f>
        <v>0</v>
      </c>
      <c r="R151" s="109">
        <f>IF($BD151&gt;0,(((($BD151/Dashboard!$D$23)+(1+Precificação!$W$589))*(1+R$28))+$P$26)*(1+Dashboard!$D$35),0)</f>
        <v>0</v>
      </c>
      <c r="S151" s="109">
        <f>IF($BD151&gt;0,(((($BD151/Dashboard!$D$23)+(1+Precificação!$W$589))*(1+S$28))+$P$26)*(1+Dashboard!$D$35),0)</f>
        <v>0</v>
      </c>
      <c r="U151" s="109">
        <f t="shared" si="43"/>
        <v>0</v>
      </c>
      <c r="V151" s="109">
        <f t="shared" si="44"/>
        <v>0</v>
      </c>
      <c r="W151" s="109">
        <f t="shared" si="45"/>
        <v>0</v>
      </c>
      <c r="X151" s="109">
        <f t="shared" si="46"/>
        <v>0</v>
      </c>
      <c r="AA151" s="109">
        <f>IF($BD151&gt;0,(((($BD151/Dashboard!$D$23)*(1+Precificação!$W$589)))+$AA$26)*(1+Dashboard!$D$35),0)</f>
        <v>0</v>
      </c>
      <c r="AB151" s="109">
        <f>IF($BD151&gt;0,(((($BD151/Dashboard!$D$23)*(1+Precificação!$W$589))*(1+AB$28))+$AA$26)*(1+Dashboard!$D$35),0)</f>
        <v>0</v>
      </c>
      <c r="AC151" s="109">
        <f>IF($BD151&gt;0,(((($BD151/Dashboard!$D$23)*(1+Precificação!$W$589))*(1+AC$28))+$AA$26)*(1+Dashboard!$D$35),0)</f>
        <v>0</v>
      </c>
      <c r="AD151" s="109">
        <f>IF($BD151&gt;0,(((($BD151/Dashboard!$D$23)*(1+Precificação!$W$589))*(1+AD$28))+$AA$26)*(1+Dashboard!$D$35),0)</f>
        <v>0</v>
      </c>
      <c r="AF151" s="109">
        <f t="shared" si="47"/>
        <v>0</v>
      </c>
      <c r="AG151" s="109">
        <f t="shared" si="48"/>
        <v>0</v>
      </c>
      <c r="AH151" s="109">
        <f t="shared" si="49"/>
        <v>0</v>
      </c>
      <c r="AI151" s="109">
        <f t="shared" si="50"/>
        <v>0</v>
      </c>
      <c r="AL151" s="109">
        <f>IF($BD151&gt;0,(((($BD151/Dashboard!$D$23)*(1+Precificação!$W$589)))+$AL$26)*(1+Dashboard!$D$35),0)</f>
        <v>0</v>
      </c>
      <c r="AM151" s="109">
        <f>IF($BD151&gt;0,(((($BD151/Dashboard!$D$23)*(1+Precificação!$W$589))*(1+AM$28))+$AA$26)*(1+Dashboard!$D$35),0)</f>
        <v>0</v>
      </c>
      <c r="AN151" s="109">
        <f>IF($BD151&gt;0,(((($BD151/Dashboard!$D$23)*(1+Precificação!$W$589))*(1+AN$28))+$AA$26)*(1+Dashboard!$D$35),0)</f>
        <v>0</v>
      </c>
      <c r="AO151" s="109">
        <f>IF($BD151&gt;0,(((($BD151/Dashboard!$D$23)*(1+Precificação!$W$589))*(1+AO$28))+$AA$26)*(1+Dashboard!$D$35),0)</f>
        <v>0</v>
      </c>
      <c r="AQ151" s="109">
        <f t="shared" si="51"/>
        <v>0</v>
      </c>
      <c r="AR151" s="109">
        <f t="shared" si="52"/>
        <v>0</v>
      </c>
      <c r="AS151" s="109">
        <f t="shared" si="53"/>
        <v>0</v>
      </c>
      <c r="AT151" s="109">
        <f t="shared" si="54"/>
        <v>0</v>
      </c>
      <c r="AW151" s="144">
        <f>VLOOKUP(B151,'Cronog. e Histog.'!$B$213:$BT$688,71,0)</f>
        <v>0</v>
      </c>
      <c r="AX151" s="144">
        <f>VLOOKUP(B151,'Cronog. e Histog.'!$B$213:$BU$688,72,0)</f>
        <v>0</v>
      </c>
      <c r="AY151" s="144">
        <f>$AW151*$AX151*Dashboard!$D$15</f>
        <v>0</v>
      </c>
      <c r="AZ151" s="144">
        <f>VLOOKUP(B151,Precificação!$B$96:$BM$533,54,0)</f>
        <v>0</v>
      </c>
      <c r="BA151" s="144">
        <f>VLOOKUP(B151,Precificação!$B$96:$BR$533,58,0)</f>
        <v>0</v>
      </c>
      <c r="BB151" s="144">
        <f>VLOOKUP(B151,Precificação!$B$96:$BW$533,62,0)</f>
        <v>0</v>
      </c>
      <c r="BC151" s="144">
        <f t="shared" si="55"/>
        <v>0</v>
      </c>
      <c r="BD151" s="109">
        <f>IFERROR(VLOOKUP(B151,Precificação!$B$96:$S$533,13,0),0)</f>
        <v>0</v>
      </c>
      <c r="BE151" s="109">
        <f>IFERROR(VLOOKUP(B151,Precificação!$B$96:$U$533,15,0)/(Precificação!$U$4+Precificação!$U$91),0)*Dashboard!$T$3</f>
        <v>0</v>
      </c>
    </row>
    <row r="152" spans="2:57" ht="12" customHeight="1" outlineLevel="1">
      <c r="B152" s="137" t="str">
        <f>Precificação!B130</f>
        <v>TEC III - Equipe_01</v>
      </c>
      <c r="D152" s="512"/>
      <c r="E152" s="143" t="str">
        <f>IF('Cronog. e Histog.'!G250&gt;0,'Cronog. e Histog.'!G250,"")</f>
        <v>TEC II</v>
      </c>
      <c r="G152" s="179">
        <f t="shared" si="42"/>
        <v>0</v>
      </c>
      <c r="H152" s="110">
        <f>IFERROR(INDEX('Base Salarial'!$D$5:$F$25,MATCH(E152,'Base Salarial'!$G$5:$G$25,0),MATCH(I152,'Base Salarial'!$D$4:$F$4,0)),"")</f>
        <v>4500</v>
      </c>
      <c r="I152" s="78" t="str">
        <f>IFERROR(INDEX(Tarefas!$BQ$29:$FK$29,MATCH(E152,Tarefas!$BQ$30:$FK$30,0)),"")</f>
        <v>Mensalista</v>
      </c>
      <c r="J152" s="81">
        <f>IF(I152="horista",H152*Dashboard!$D$15,IF(OR(I152="Mensalista",I152="PJ"),H152,))</f>
        <v>4500</v>
      </c>
      <c r="K152" s="81">
        <f>IF(I152="PJ",J152,ROUND(J152*(1+Dashboard!$D$22),2))</f>
        <v>4770</v>
      </c>
      <c r="L152" s="77"/>
      <c r="M152" s="180"/>
      <c r="P152" s="109">
        <f>IF($BD152&gt;0,(((($BD152/Dashboard!$D$15)*(1+Precificação!$W$589)))+$P$26)*(1+Dashboard!$D$35),0)</f>
        <v>0</v>
      </c>
      <c r="Q152" s="109">
        <f>IF($BD152&gt;0,(((($BD152/Dashboard!$D$23)+(1+Precificação!$W$589))*(1+Q$28))+$P$26)*(1+Dashboard!$D$35),0)</f>
        <v>0</v>
      </c>
      <c r="R152" s="109">
        <f>IF($BD152&gt;0,(((($BD152/Dashboard!$D$23)+(1+Precificação!$W$589))*(1+R$28))+$P$26)*(1+Dashboard!$D$35),0)</f>
        <v>0</v>
      </c>
      <c r="S152" s="109">
        <f>IF($BD152&gt;0,(((($BD152/Dashboard!$D$23)+(1+Precificação!$W$589))*(1+S$28))+$P$26)*(1+Dashboard!$D$35),0)</f>
        <v>0</v>
      </c>
      <c r="U152" s="109">
        <f t="shared" si="43"/>
        <v>0</v>
      </c>
      <c r="V152" s="109">
        <f t="shared" si="44"/>
        <v>0</v>
      </c>
      <c r="W152" s="109">
        <f t="shared" si="45"/>
        <v>0</v>
      </c>
      <c r="X152" s="109">
        <f t="shared" si="46"/>
        <v>0</v>
      </c>
      <c r="AA152" s="109">
        <f>IF($BD152&gt;0,(((($BD152/Dashboard!$D$23)*(1+Precificação!$W$589)))+$AA$26)*(1+Dashboard!$D$35),0)</f>
        <v>0</v>
      </c>
      <c r="AB152" s="109">
        <f>IF($BD152&gt;0,(((($BD152/Dashboard!$D$23)*(1+Precificação!$W$589))*(1+AB$28))+$AA$26)*(1+Dashboard!$D$35),0)</f>
        <v>0</v>
      </c>
      <c r="AC152" s="109">
        <f>IF($BD152&gt;0,(((($BD152/Dashboard!$D$23)*(1+Precificação!$W$589))*(1+AC$28))+$AA$26)*(1+Dashboard!$D$35),0)</f>
        <v>0</v>
      </c>
      <c r="AD152" s="109">
        <f>IF($BD152&gt;0,(((($BD152/Dashboard!$D$23)*(1+Precificação!$W$589))*(1+AD$28))+$AA$26)*(1+Dashboard!$D$35),0)</f>
        <v>0</v>
      </c>
      <c r="AF152" s="109">
        <f t="shared" si="47"/>
        <v>0</v>
      </c>
      <c r="AG152" s="109">
        <f t="shared" si="48"/>
        <v>0</v>
      </c>
      <c r="AH152" s="109">
        <f t="shared" si="49"/>
        <v>0</v>
      </c>
      <c r="AI152" s="109">
        <f t="shared" si="50"/>
        <v>0</v>
      </c>
      <c r="AL152" s="109">
        <f>IF($BD152&gt;0,(((($BD152/Dashboard!$D$23)*(1+Precificação!$W$589)))+$AL$26)*(1+Dashboard!$D$35),0)</f>
        <v>0</v>
      </c>
      <c r="AM152" s="109">
        <f>IF($BD152&gt;0,(((($BD152/Dashboard!$D$23)*(1+Precificação!$W$589))*(1+AM$28))+$AA$26)*(1+Dashboard!$D$35),0)</f>
        <v>0</v>
      </c>
      <c r="AN152" s="109">
        <f>IF($BD152&gt;0,(((($BD152/Dashboard!$D$23)*(1+Precificação!$W$589))*(1+AN$28))+$AA$26)*(1+Dashboard!$D$35),0)</f>
        <v>0</v>
      </c>
      <c r="AO152" s="109">
        <f>IF($BD152&gt;0,(((($BD152/Dashboard!$D$23)*(1+Precificação!$W$589))*(1+AO$28))+$AA$26)*(1+Dashboard!$D$35),0)</f>
        <v>0</v>
      </c>
      <c r="AQ152" s="109">
        <f t="shared" si="51"/>
        <v>0</v>
      </c>
      <c r="AR152" s="109">
        <f t="shared" si="52"/>
        <v>0</v>
      </c>
      <c r="AS152" s="109">
        <f t="shared" si="53"/>
        <v>0</v>
      </c>
      <c r="AT152" s="109">
        <f t="shared" si="54"/>
        <v>0</v>
      </c>
      <c r="AW152" s="144">
        <f>VLOOKUP(B152,'Cronog. e Histog.'!$B$213:$BT$688,71,0)</f>
        <v>0</v>
      </c>
      <c r="AX152" s="144">
        <f>VLOOKUP(B152,'Cronog. e Histog.'!$B$213:$BU$688,72,0)</f>
        <v>0</v>
      </c>
      <c r="AY152" s="144">
        <f>$AW152*$AX152*Dashboard!$D$15</f>
        <v>0</v>
      </c>
      <c r="AZ152" s="144">
        <f>VLOOKUP(B152,Precificação!$B$96:$BM$533,54,0)</f>
        <v>0</v>
      </c>
      <c r="BA152" s="144">
        <f>VLOOKUP(B152,Precificação!$B$96:$BR$533,58,0)</f>
        <v>0</v>
      </c>
      <c r="BB152" s="144">
        <f>VLOOKUP(B152,Precificação!$B$96:$BW$533,62,0)</f>
        <v>0</v>
      </c>
      <c r="BC152" s="144">
        <f t="shared" si="55"/>
        <v>0</v>
      </c>
      <c r="BD152" s="109">
        <f>IFERROR(VLOOKUP(B152,Precificação!$B$96:$S$533,13,0),0)</f>
        <v>0</v>
      </c>
      <c r="BE152" s="109">
        <f>IFERROR(VLOOKUP(B152,Precificação!$B$96:$U$533,15,0)/(Precificação!$U$4+Precificação!$U$91),0)*Dashboard!$T$3</f>
        <v>0</v>
      </c>
    </row>
    <row r="153" spans="2:57" ht="12" customHeight="1" outlineLevel="1">
      <c r="B153" s="137" t="str">
        <f>Precificação!B131</f>
        <v>TEC II - Equipe_01</v>
      </c>
      <c r="D153" s="512"/>
      <c r="E153" s="143" t="str">
        <f>IF('Cronog. e Histog.'!G251&gt;0,'Cronog. e Histog.'!G251,"")</f>
        <v>TEC I</v>
      </c>
      <c r="G153" s="179">
        <f t="shared" si="42"/>
        <v>0</v>
      </c>
      <c r="H153" s="110">
        <f>IFERROR(INDEX('Base Salarial'!$D$5:$F$25,MATCH(E153,'Base Salarial'!$G$5:$G$25,0),MATCH(I153,'Base Salarial'!$D$4:$F$4,0)),"")</f>
        <v>3000</v>
      </c>
      <c r="I153" s="78" t="str">
        <f>IFERROR(INDEX(Tarefas!$BQ$29:$FK$29,MATCH(E153,Tarefas!$BQ$30:$FK$30,0)),"")</f>
        <v>Mensalista</v>
      </c>
      <c r="J153" s="81">
        <f>IF(I153="horista",H153*Dashboard!$D$15,IF(OR(I153="Mensalista",I153="PJ"),H153,))</f>
        <v>3000</v>
      </c>
      <c r="K153" s="81">
        <f>IF(I153="PJ",J153,ROUND(J153*(1+Dashboard!$D$22),2))</f>
        <v>3180</v>
      </c>
      <c r="L153" s="77"/>
      <c r="M153" s="180"/>
      <c r="P153" s="109">
        <f>IF($BD153&gt;0,(((($BD153/Dashboard!$D$15)*(1+Precificação!$W$589)))+$P$26)*(1+Dashboard!$D$35),0)</f>
        <v>0</v>
      </c>
      <c r="Q153" s="109">
        <f>IF($BD153&gt;0,(((($BD153/Dashboard!$D$23)+(1+Precificação!$W$589))*(1+Q$28))+$P$26)*(1+Dashboard!$D$35),0)</f>
        <v>0</v>
      </c>
      <c r="R153" s="109">
        <f>IF($BD153&gt;0,(((($BD153/Dashboard!$D$23)+(1+Precificação!$W$589))*(1+R$28))+$P$26)*(1+Dashboard!$D$35),0)</f>
        <v>0</v>
      </c>
      <c r="S153" s="109">
        <f>IF($BD153&gt;0,(((($BD153/Dashboard!$D$23)+(1+Precificação!$W$589))*(1+S$28))+$P$26)*(1+Dashboard!$D$35),0)</f>
        <v>0</v>
      </c>
      <c r="U153" s="109">
        <f t="shared" si="43"/>
        <v>0</v>
      </c>
      <c r="V153" s="109">
        <f t="shared" si="44"/>
        <v>0</v>
      </c>
      <c r="W153" s="109">
        <f t="shared" si="45"/>
        <v>0</v>
      </c>
      <c r="X153" s="109">
        <f t="shared" si="46"/>
        <v>0</v>
      </c>
      <c r="AA153" s="109">
        <f>IF($BD153&gt;0,(((($BD153/Dashboard!$D$23)*(1+Precificação!$W$589)))+$AA$26)*(1+Dashboard!$D$35),0)</f>
        <v>0</v>
      </c>
      <c r="AB153" s="109">
        <f>IF($BD153&gt;0,(((($BD153/Dashboard!$D$23)*(1+Precificação!$W$589))*(1+AB$28))+$AA$26)*(1+Dashboard!$D$35),0)</f>
        <v>0</v>
      </c>
      <c r="AC153" s="109">
        <f>IF($BD153&gt;0,(((($BD153/Dashboard!$D$23)*(1+Precificação!$W$589))*(1+AC$28))+$AA$26)*(1+Dashboard!$D$35),0)</f>
        <v>0</v>
      </c>
      <c r="AD153" s="109">
        <f>IF($BD153&gt;0,(((($BD153/Dashboard!$D$23)*(1+Precificação!$W$589))*(1+AD$28))+$AA$26)*(1+Dashboard!$D$35),0)</f>
        <v>0</v>
      </c>
      <c r="AF153" s="109">
        <f t="shared" si="47"/>
        <v>0</v>
      </c>
      <c r="AG153" s="109">
        <f t="shared" si="48"/>
        <v>0</v>
      </c>
      <c r="AH153" s="109">
        <f t="shared" si="49"/>
        <v>0</v>
      </c>
      <c r="AI153" s="109">
        <f t="shared" si="50"/>
        <v>0</v>
      </c>
      <c r="AL153" s="109">
        <f>IF($BD153&gt;0,(((($BD153/Dashboard!$D$23)*(1+Precificação!$W$589)))+$AL$26)*(1+Dashboard!$D$35),0)</f>
        <v>0</v>
      </c>
      <c r="AM153" s="109">
        <f>IF($BD153&gt;0,(((($BD153/Dashboard!$D$23)*(1+Precificação!$W$589))*(1+AM$28))+$AA$26)*(1+Dashboard!$D$35),0)</f>
        <v>0</v>
      </c>
      <c r="AN153" s="109">
        <f>IF($BD153&gt;0,(((($BD153/Dashboard!$D$23)*(1+Precificação!$W$589))*(1+AN$28))+$AA$26)*(1+Dashboard!$D$35),0)</f>
        <v>0</v>
      </c>
      <c r="AO153" s="109">
        <f>IF($BD153&gt;0,(((($BD153/Dashboard!$D$23)*(1+Precificação!$W$589))*(1+AO$28))+$AA$26)*(1+Dashboard!$D$35),0)</f>
        <v>0</v>
      </c>
      <c r="AQ153" s="109">
        <f t="shared" si="51"/>
        <v>0</v>
      </c>
      <c r="AR153" s="109">
        <f t="shared" si="52"/>
        <v>0</v>
      </c>
      <c r="AS153" s="109">
        <f t="shared" si="53"/>
        <v>0</v>
      </c>
      <c r="AT153" s="109">
        <f t="shared" si="54"/>
        <v>0</v>
      </c>
      <c r="AW153" s="144">
        <f>VLOOKUP(B153,'Cronog. e Histog.'!$B$213:$BT$688,71,0)</f>
        <v>0</v>
      </c>
      <c r="AX153" s="144">
        <f>VLOOKUP(B153,'Cronog. e Histog.'!$B$213:$BU$688,72,0)</f>
        <v>0</v>
      </c>
      <c r="AY153" s="144">
        <f>$AW153*$AX153*Dashboard!$D$15</f>
        <v>0</v>
      </c>
      <c r="AZ153" s="144">
        <f>VLOOKUP(B153,Precificação!$B$96:$BM$533,54,0)</f>
        <v>0</v>
      </c>
      <c r="BA153" s="144">
        <f>VLOOKUP(B153,Precificação!$B$96:$BR$533,58,0)</f>
        <v>0</v>
      </c>
      <c r="BB153" s="144">
        <f>VLOOKUP(B153,Precificação!$B$96:$BW$533,62,0)</f>
        <v>0</v>
      </c>
      <c r="BC153" s="144">
        <f t="shared" si="55"/>
        <v>0</v>
      </c>
      <c r="BD153" s="109">
        <f>IFERROR(VLOOKUP(B153,Precificação!$B$96:$S$533,13,0),0)</f>
        <v>0</v>
      </c>
      <c r="BE153" s="109">
        <f>IFERROR(VLOOKUP(B153,Precificação!$B$96:$U$533,15,0)/(Precificação!$U$4+Precificação!$U$91),0)*Dashboard!$T$3</f>
        <v>0</v>
      </c>
    </row>
    <row r="154" spans="2:57" ht="12" customHeight="1" outlineLevel="1">
      <c r="B154" s="137" t="str">
        <f>Precificação!B132</f>
        <v>TEC I - Equipe_01</v>
      </c>
      <c r="D154" s="512"/>
      <c r="E154" s="143" t="str">
        <f>IF('Cronog. e Histog.'!G252&gt;0,'Cronog. e Histog.'!G252,"")</f>
        <v>AUX TEC</v>
      </c>
      <c r="G154" s="179">
        <f t="shared" si="42"/>
        <v>0</v>
      </c>
      <c r="H154" s="110">
        <f>IFERROR(INDEX('Base Salarial'!$D$5:$F$25,MATCH(E154,'Base Salarial'!$G$5:$G$25,0),MATCH(I154,'Base Salarial'!$D$4:$F$4,0)),"")</f>
        <v>3500</v>
      </c>
      <c r="I154" s="78" t="str">
        <f>IFERROR(INDEX(Tarefas!$BQ$29:$FK$29,MATCH(E154,Tarefas!$BQ$30:$FK$30,0)),"")</f>
        <v>Mensalista</v>
      </c>
      <c r="J154" s="81">
        <f>IF(I154="horista",H154*Dashboard!$D$15,IF(OR(I154="Mensalista",I154="PJ"),H154,))</f>
        <v>3500</v>
      </c>
      <c r="K154" s="81">
        <f>IF(I154="PJ",J154,ROUND(J154*(1+Dashboard!$D$22),2))</f>
        <v>3710</v>
      </c>
      <c r="L154" s="77"/>
      <c r="M154" s="180"/>
      <c r="P154" s="109">
        <f>IF($BD154&gt;0,(((($BD154/Dashboard!$D$15)*(1+Precificação!$W$589)))+$P$26)*(1+Dashboard!$D$35),0)</f>
        <v>0</v>
      </c>
      <c r="Q154" s="109">
        <f>IF($BD154&gt;0,(((($BD154/Dashboard!$D$23)+(1+Precificação!$W$589))*(1+Q$28))+$P$26)*(1+Dashboard!$D$35),0)</f>
        <v>0</v>
      </c>
      <c r="R154" s="109">
        <f>IF($BD154&gt;0,(((($BD154/Dashboard!$D$23)+(1+Precificação!$W$589))*(1+R$28))+$P$26)*(1+Dashboard!$D$35),0)</f>
        <v>0</v>
      </c>
      <c r="S154" s="109">
        <f>IF($BD154&gt;0,(((($BD154/Dashboard!$D$23)+(1+Precificação!$W$589))*(1+S$28))+$P$26)*(1+Dashboard!$D$35),0)</f>
        <v>0</v>
      </c>
      <c r="U154" s="109">
        <f t="shared" si="43"/>
        <v>0</v>
      </c>
      <c r="V154" s="109">
        <f t="shared" si="44"/>
        <v>0</v>
      </c>
      <c r="W154" s="109">
        <f t="shared" si="45"/>
        <v>0</v>
      </c>
      <c r="X154" s="109">
        <f t="shared" si="46"/>
        <v>0</v>
      </c>
      <c r="AA154" s="109">
        <f>IF($BD154&gt;0,(((($BD154/Dashboard!$D$23)*(1+Precificação!$W$589)))+$AA$26)*(1+Dashboard!$D$35),0)</f>
        <v>0</v>
      </c>
      <c r="AB154" s="109">
        <f>IF($BD154&gt;0,(((($BD154/Dashboard!$D$23)*(1+Precificação!$W$589))*(1+AB$28))+$AA$26)*(1+Dashboard!$D$35),0)</f>
        <v>0</v>
      </c>
      <c r="AC154" s="109">
        <f>IF($BD154&gt;0,(((($BD154/Dashboard!$D$23)*(1+Precificação!$W$589))*(1+AC$28))+$AA$26)*(1+Dashboard!$D$35),0)</f>
        <v>0</v>
      </c>
      <c r="AD154" s="109">
        <f>IF($BD154&gt;0,(((($BD154/Dashboard!$D$23)*(1+Precificação!$W$589))*(1+AD$28))+$AA$26)*(1+Dashboard!$D$35),0)</f>
        <v>0</v>
      </c>
      <c r="AF154" s="109">
        <f t="shared" si="47"/>
        <v>0</v>
      </c>
      <c r="AG154" s="109">
        <f t="shared" si="48"/>
        <v>0</v>
      </c>
      <c r="AH154" s="109">
        <f t="shared" si="49"/>
        <v>0</v>
      </c>
      <c r="AI154" s="109">
        <f t="shared" si="50"/>
        <v>0</v>
      </c>
      <c r="AL154" s="109">
        <f>IF($BD154&gt;0,(((($BD154/Dashboard!$D$23)*(1+Precificação!$W$589)))+$AL$26)*(1+Dashboard!$D$35),0)</f>
        <v>0</v>
      </c>
      <c r="AM154" s="109">
        <f>IF($BD154&gt;0,(((($BD154/Dashboard!$D$23)*(1+Precificação!$W$589))*(1+AM$28))+$AA$26)*(1+Dashboard!$D$35),0)</f>
        <v>0</v>
      </c>
      <c r="AN154" s="109">
        <f>IF($BD154&gt;0,(((($BD154/Dashboard!$D$23)*(1+Precificação!$W$589))*(1+AN$28))+$AA$26)*(1+Dashboard!$D$35),0)</f>
        <v>0</v>
      </c>
      <c r="AO154" s="109">
        <f>IF($BD154&gt;0,(((($BD154/Dashboard!$D$23)*(1+Precificação!$W$589))*(1+AO$28))+$AA$26)*(1+Dashboard!$D$35),0)</f>
        <v>0</v>
      </c>
      <c r="AQ154" s="109">
        <f t="shared" si="51"/>
        <v>0</v>
      </c>
      <c r="AR154" s="109">
        <f t="shared" si="52"/>
        <v>0</v>
      </c>
      <c r="AS154" s="109">
        <f t="shared" si="53"/>
        <v>0</v>
      </c>
      <c r="AT154" s="109">
        <f t="shared" si="54"/>
        <v>0</v>
      </c>
      <c r="AW154" s="144">
        <f>VLOOKUP(B154,'Cronog. e Histog.'!$B$213:$BT$688,71,0)</f>
        <v>0</v>
      </c>
      <c r="AX154" s="144">
        <f>VLOOKUP(B154,'Cronog. e Histog.'!$B$213:$BU$688,72,0)</f>
        <v>0</v>
      </c>
      <c r="AY154" s="144">
        <f>$AW154*$AX154*Dashboard!$D$15</f>
        <v>0</v>
      </c>
      <c r="AZ154" s="144">
        <f>VLOOKUP(B154,Precificação!$B$96:$BM$533,54,0)</f>
        <v>0</v>
      </c>
      <c r="BA154" s="144">
        <f>VLOOKUP(B154,Precificação!$B$96:$BR$533,58,0)</f>
        <v>0</v>
      </c>
      <c r="BB154" s="144">
        <f>VLOOKUP(B154,Precificação!$B$96:$BW$533,62,0)</f>
        <v>0</v>
      </c>
      <c r="BC154" s="144">
        <f t="shared" si="55"/>
        <v>0</v>
      </c>
      <c r="BD154" s="109">
        <f>IFERROR(VLOOKUP(B154,Precificação!$B$96:$S$533,13,0),0)</f>
        <v>0</v>
      </c>
      <c r="BE154" s="109">
        <f>IFERROR(VLOOKUP(B154,Precificação!$B$96:$U$533,15,0)/(Precificação!$U$4+Precificação!$U$91),0)*Dashboard!$T$3</f>
        <v>0</v>
      </c>
    </row>
    <row r="155" spans="2:57" ht="12" customHeight="1" outlineLevel="1">
      <c r="B155" s="137" t="str">
        <f>Precificação!B133</f>
        <v>AUX TEC - Equipe_01</v>
      </c>
      <c r="D155" s="512"/>
      <c r="E155" s="143" t="str">
        <f>IF('Cronog. e Histog.'!G253&gt;0,'Cronog. e Histog.'!G253,"")</f>
        <v>AUX ADM</v>
      </c>
      <c r="G155" s="179">
        <f t="shared" si="42"/>
        <v>0</v>
      </c>
      <c r="H155" s="110">
        <f>IFERROR(INDEX('Base Salarial'!$D$5:$F$25,MATCH(E155,'Base Salarial'!$G$5:$G$25,0),MATCH(I155,'Base Salarial'!$D$4:$F$4,0)),"")</f>
        <v>1804</v>
      </c>
      <c r="I155" s="78" t="str">
        <f>IFERROR(INDEX(Tarefas!$BQ$29:$FK$29,MATCH(E155,Tarefas!$BQ$30:$FK$30,0)),"")</f>
        <v>Mensalista</v>
      </c>
      <c r="J155" s="81">
        <f>IF(I155="horista",H155*Dashboard!$D$15,IF(OR(I155="Mensalista",I155="PJ"),H155,))</f>
        <v>1804</v>
      </c>
      <c r="K155" s="81">
        <f>IF(I155="PJ",J155,ROUND(J155*(1+Dashboard!$D$22),2))</f>
        <v>1912.24</v>
      </c>
      <c r="L155" s="77"/>
      <c r="M155" s="180"/>
      <c r="P155" s="109">
        <f>IF($BD155&gt;0,(((($BD155/Dashboard!$D$15)*(1+Precificação!$W$589)))+$P$26)*(1+Dashboard!$D$35),0)</f>
        <v>0</v>
      </c>
      <c r="Q155" s="109">
        <f>IF($BD155&gt;0,(((($BD155/Dashboard!$D$23)+(1+Precificação!$W$589))*(1+Q$28))+$P$26)*(1+Dashboard!$D$35),0)</f>
        <v>0</v>
      </c>
      <c r="R155" s="109">
        <f>IF($BD155&gt;0,(((($BD155/Dashboard!$D$23)+(1+Precificação!$W$589))*(1+R$28))+$P$26)*(1+Dashboard!$D$35),0)</f>
        <v>0</v>
      </c>
      <c r="S155" s="109">
        <f>IF($BD155&gt;0,(((($BD155/Dashboard!$D$23)+(1+Precificação!$W$589))*(1+S$28))+$P$26)*(1+Dashboard!$D$35),0)</f>
        <v>0</v>
      </c>
      <c r="U155" s="109">
        <f t="shared" si="43"/>
        <v>0</v>
      </c>
      <c r="V155" s="109">
        <f t="shared" si="44"/>
        <v>0</v>
      </c>
      <c r="W155" s="109">
        <f t="shared" si="45"/>
        <v>0</v>
      </c>
      <c r="X155" s="109">
        <f t="shared" si="46"/>
        <v>0</v>
      </c>
      <c r="AA155" s="109">
        <f>IF($BD155&gt;0,(((($BD155/Dashboard!$D$23)*(1+Precificação!$W$589)))+$AA$26)*(1+Dashboard!$D$35),0)</f>
        <v>0</v>
      </c>
      <c r="AB155" s="109">
        <f>IF($BD155&gt;0,(((($BD155/Dashboard!$D$23)*(1+Precificação!$W$589))*(1+AB$28))+$AA$26)*(1+Dashboard!$D$35),0)</f>
        <v>0</v>
      </c>
      <c r="AC155" s="109">
        <f>IF($BD155&gt;0,(((($BD155/Dashboard!$D$23)*(1+Precificação!$W$589))*(1+AC$28))+$AA$26)*(1+Dashboard!$D$35),0)</f>
        <v>0</v>
      </c>
      <c r="AD155" s="109">
        <f>IF($BD155&gt;0,(((($BD155/Dashboard!$D$23)*(1+Precificação!$W$589))*(1+AD$28))+$AA$26)*(1+Dashboard!$D$35),0)</f>
        <v>0</v>
      </c>
      <c r="AF155" s="109">
        <f t="shared" si="47"/>
        <v>0</v>
      </c>
      <c r="AG155" s="109">
        <f t="shared" si="48"/>
        <v>0</v>
      </c>
      <c r="AH155" s="109">
        <f t="shared" si="49"/>
        <v>0</v>
      </c>
      <c r="AI155" s="109">
        <f t="shared" si="50"/>
        <v>0</v>
      </c>
      <c r="AL155" s="109">
        <f>IF($BD155&gt;0,(((($BD155/Dashboard!$D$23)*(1+Precificação!$W$589)))+$AL$26)*(1+Dashboard!$D$35),0)</f>
        <v>0</v>
      </c>
      <c r="AM155" s="109">
        <f>IF($BD155&gt;0,(((($BD155/Dashboard!$D$23)*(1+Precificação!$W$589))*(1+AM$28))+$AA$26)*(1+Dashboard!$D$35),0)</f>
        <v>0</v>
      </c>
      <c r="AN155" s="109">
        <f>IF($BD155&gt;0,(((($BD155/Dashboard!$D$23)*(1+Precificação!$W$589))*(1+AN$28))+$AA$26)*(1+Dashboard!$D$35),0)</f>
        <v>0</v>
      </c>
      <c r="AO155" s="109">
        <f>IF($BD155&gt;0,(((($BD155/Dashboard!$D$23)*(1+Precificação!$W$589))*(1+AO$28))+$AA$26)*(1+Dashboard!$D$35),0)</f>
        <v>0</v>
      </c>
      <c r="AQ155" s="109">
        <f t="shared" si="51"/>
        <v>0</v>
      </c>
      <c r="AR155" s="109">
        <f t="shared" si="52"/>
        <v>0</v>
      </c>
      <c r="AS155" s="109">
        <f t="shared" si="53"/>
        <v>0</v>
      </c>
      <c r="AT155" s="109">
        <f t="shared" si="54"/>
        <v>0</v>
      </c>
      <c r="AW155" s="144">
        <f>VLOOKUP(B155,'Cronog. e Histog.'!$B$213:$BT$688,71,0)</f>
        <v>0</v>
      </c>
      <c r="AX155" s="144">
        <f>VLOOKUP(B155,'Cronog. e Histog.'!$B$213:$BU$688,72,0)</f>
        <v>0</v>
      </c>
      <c r="AY155" s="144">
        <f>$AW155*$AX155*Dashboard!$D$15</f>
        <v>0</v>
      </c>
      <c r="AZ155" s="144">
        <f>VLOOKUP(B155,Precificação!$B$96:$BM$533,54,0)</f>
        <v>0</v>
      </c>
      <c r="BA155" s="144">
        <f>VLOOKUP(B155,Precificação!$B$96:$BR$533,58,0)</f>
        <v>0</v>
      </c>
      <c r="BB155" s="144">
        <f>VLOOKUP(B155,Precificação!$B$96:$BW$533,62,0)</f>
        <v>0</v>
      </c>
      <c r="BC155" s="144">
        <f t="shared" si="55"/>
        <v>0</v>
      </c>
      <c r="BD155" s="109">
        <f>IFERROR(VLOOKUP(B155,Precificação!$B$96:$S$533,13,0),0)</f>
        <v>0</v>
      </c>
      <c r="BE155" s="109">
        <f>IFERROR(VLOOKUP(B155,Precificação!$B$96:$U$533,15,0)/(Precificação!$U$4+Precificação!$U$91),0)*Dashboard!$T$3</f>
        <v>0</v>
      </c>
    </row>
    <row r="156" spans="2:57" ht="12" customHeight="1" outlineLevel="1">
      <c r="B156" s="137" t="str">
        <f>Precificação!B134</f>
        <v>AUX ADM - Equipe_01</v>
      </c>
      <c r="D156" s="512"/>
      <c r="E156" s="143" t="str">
        <f>IF('Cronog. e Histog.'!G254&gt;0,'Cronog. e Histog.'!G254,"")</f>
        <v>EST</v>
      </c>
      <c r="G156" s="179">
        <f t="shared" si="42"/>
        <v>0</v>
      </c>
      <c r="H156" s="110">
        <f>IFERROR(INDEX('Base Salarial'!$D$5:$F$25,MATCH(E156,'Base Salarial'!$G$5:$G$25,0),MATCH(I156,'Base Salarial'!$D$4:$F$4,0)),"")</f>
        <v>1633</v>
      </c>
      <c r="I156" s="78" t="str">
        <f>IFERROR(INDEX(Tarefas!$BQ$29:$FK$29,MATCH(E156,Tarefas!$BQ$30:$FK$30,0)),"")</f>
        <v>PJ</v>
      </c>
      <c r="J156" s="81">
        <f>IF(I156="horista",H156*Dashboard!$D$15,IF(OR(I156="Mensalista",I156="PJ"),H156,))</f>
        <v>1633</v>
      </c>
      <c r="K156" s="81">
        <f>IF(I156="PJ",J156,ROUND(J156*(1+Dashboard!$D$22),2))</f>
        <v>1633</v>
      </c>
      <c r="L156" s="77"/>
      <c r="M156" s="180"/>
      <c r="P156" s="109">
        <f>IF($BD156&gt;0,(((($BD156/Dashboard!$D$15)*(1+Precificação!$W$589)))+$P$26)*(1+Dashboard!$D$35),0)</f>
        <v>0</v>
      </c>
      <c r="Q156" s="109">
        <f>IF($BD156&gt;0,(((($BD156/Dashboard!$D$23)+(1+Precificação!$W$589))*(1+Q$28))+$P$26)*(1+Dashboard!$D$35),0)</f>
        <v>0</v>
      </c>
      <c r="R156" s="109">
        <f>IF($BD156&gt;0,(((($BD156/Dashboard!$D$23)+(1+Precificação!$W$589))*(1+R$28))+$P$26)*(1+Dashboard!$D$35),0)</f>
        <v>0</v>
      </c>
      <c r="S156" s="109">
        <f>IF($BD156&gt;0,(((($BD156/Dashboard!$D$23)+(1+Precificação!$W$589))*(1+S$28))+$P$26)*(1+Dashboard!$D$35),0)</f>
        <v>0</v>
      </c>
      <c r="U156" s="109">
        <f t="shared" si="43"/>
        <v>0</v>
      </c>
      <c r="V156" s="109">
        <f t="shared" si="44"/>
        <v>0</v>
      </c>
      <c r="W156" s="109">
        <f t="shared" si="45"/>
        <v>0</v>
      </c>
      <c r="X156" s="109">
        <f t="shared" si="46"/>
        <v>0</v>
      </c>
      <c r="AA156" s="109">
        <f>IF($BD156&gt;0,(((($BD156/Dashboard!$D$23)*(1+Precificação!$W$589)))+$AA$26)*(1+Dashboard!$D$35),0)</f>
        <v>0</v>
      </c>
      <c r="AB156" s="109">
        <f>IF($BD156&gt;0,(((($BD156/Dashboard!$D$23)*(1+Precificação!$W$589))*(1+AB$28))+$AA$26)*(1+Dashboard!$D$35),0)</f>
        <v>0</v>
      </c>
      <c r="AC156" s="109">
        <f>IF($BD156&gt;0,(((($BD156/Dashboard!$D$23)*(1+Precificação!$W$589))*(1+AC$28))+$AA$26)*(1+Dashboard!$D$35),0)</f>
        <v>0</v>
      </c>
      <c r="AD156" s="109">
        <f>IF($BD156&gt;0,(((($BD156/Dashboard!$D$23)*(1+Precificação!$W$589))*(1+AD$28))+$AA$26)*(1+Dashboard!$D$35),0)</f>
        <v>0</v>
      </c>
      <c r="AF156" s="109">
        <f t="shared" si="47"/>
        <v>0</v>
      </c>
      <c r="AG156" s="109">
        <f t="shared" si="48"/>
        <v>0</v>
      </c>
      <c r="AH156" s="109">
        <f t="shared" si="49"/>
        <v>0</v>
      </c>
      <c r="AI156" s="109">
        <f t="shared" si="50"/>
        <v>0</v>
      </c>
      <c r="AL156" s="109">
        <f>IF($BD156&gt;0,(((($BD156/Dashboard!$D$23)*(1+Precificação!$W$589)))+$AL$26)*(1+Dashboard!$D$35),0)</f>
        <v>0</v>
      </c>
      <c r="AM156" s="109">
        <f>IF($BD156&gt;0,(((($BD156/Dashboard!$D$23)*(1+Precificação!$W$589))*(1+AM$28))+$AA$26)*(1+Dashboard!$D$35),0)</f>
        <v>0</v>
      </c>
      <c r="AN156" s="109">
        <f>IF($BD156&gt;0,(((($BD156/Dashboard!$D$23)*(1+Precificação!$W$589))*(1+AN$28))+$AA$26)*(1+Dashboard!$D$35),0)</f>
        <v>0</v>
      </c>
      <c r="AO156" s="109">
        <f>IF($BD156&gt;0,(((($BD156/Dashboard!$D$23)*(1+Precificação!$W$589))*(1+AO$28))+$AA$26)*(1+Dashboard!$D$35),0)</f>
        <v>0</v>
      </c>
      <c r="AQ156" s="109">
        <f t="shared" si="51"/>
        <v>0</v>
      </c>
      <c r="AR156" s="109">
        <f t="shared" si="52"/>
        <v>0</v>
      </c>
      <c r="AS156" s="109">
        <f t="shared" si="53"/>
        <v>0</v>
      </c>
      <c r="AT156" s="109">
        <f t="shared" si="54"/>
        <v>0</v>
      </c>
      <c r="AW156" s="144">
        <f>VLOOKUP(B156,'Cronog. e Histog.'!$B$213:$BT$688,71,0)</f>
        <v>0</v>
      </c>
      <c r="AX156" s="144">
        <f>VLOOKUP(B156,'Cronog. e Histog.'!$B$213:$BU$688,72,0)</f>
        <v>0</v>
      </c>
      <c r="AY156" s="144">
        <f>$AW156*$AX156*Dashboard!$D$15</f>
        <v>0</v>
      </c>
      <c r="AZ156" s="144">
        <f>VLOOKUP(B156,Precificação!$B$96:$BM$533,54,0)</f>
        <v>0</v>
      </c>
      <c r="BA156" s="144">
        <f>VLOOKUP(B156,Precificação!$B$96:$BR$533,58,0)</f>
        <v>0</v>
      </c>
      <c r="BB156" s="144">
        <f>VLOOKUP(B156,Precificação!$B$96:$BW$533,62,0)</f>
        <v>0</v>
      </c>
      <c r="BC156" s="144">
        <f t="shared" si="55"/>
        <v>0</v>
      </c>
      <c r="BD156" s="109">
        <f>IFERROR(VLOOKUP(B156,Precificação!$B$96:$S$533,13,0),0)</f>
        <v>0</v>
      </c>
      <c r="BE156" s="109">
        <f>IFERROR(VLOOKUP(B156,Precificação!$B$96:$U$533,15,0)/(Precificação!$U$4+Precificação!$U$91),0)*Dashboard!$T$3</f>
        <v>0</v>
      </c>
    </row>
    <row r="157" spans="2:57" ht="12" customHeight="1" outlineLevel="1">
      <c r="B157" s="137" t="str">
        <f>Precificação!B135</f>
        <v>EST - Equipe_01</v>
      </c>
      <c r="D157" s="512"/>
      <c r="E157" s="143" t="str">
        <f>IF('Cronog. e Histog.'!G255&gt;0,'Cronog. e Histog.'!G255,"")</f>
        <v>EST_II</v>
      </c>
      <c r="G157" s="179">
        <f t="shared" si="42"/>
        <v>0</v>
      </c>
      <c r="H157" s="110">
        <f>IFERROR(INDEX('Base Salarial'!$D$5:$F$25,MATCH(E157,'Base Salarial'!$G$5:$G$25,0),MATCH(I157,'Base Salarial'!$D$4:$F$4,0)),"")</f>
        <v>1633</v>
      </c>
      <c r="I157" s="78" t="str">
        <f>IFERROR(INDEX(Tarefas!$BQ$29:$FK$29,MATCH(E157,Tarefas!$BQ$30:$FK$30,0)),"")</f>
        <v>PJ</v>
      </c>
      <c r="J157" s="81">
        <f>IF(I157="horista",H157*Dashboard!$D$15,IF(OR(I157="Mensalista",I157="PJ"),H157,))</f>
        <v>1633</v>
      </c>
      <c r="K157" s="81">
        <f>IF(I157="PJ",J157,ROUND(J157*(1+Dashboard!$D$22),2))</f>
        <v>1633</v>
      </c>
      <c r="L157" s="77"/>
      <c r="M157" s="180"/>
      <c r="P157" s="109">
        <f>IF($BD157&gt;0,(((($BD157/Dashboard!$D$15)*(1+Precificação!$W$589)))+$P$26)*(1+Dashboard!$D$35),0)</f>
        <v>0</v>
      </c>
      <c r="Q157" s="109">
        <f>IF($BD157&gt;0,(((($BD157/Dashboard!$D$23)+(1+Precificação!$W$589))*(1+Q$28))+$P$26)*(1+Dashboard!$D$35),0)</f>
        <v>0</v>
      </c>
      <c r="R157" s="109">
        <f>IF($BD157&gt;0,(((($BD157/Dashboard!$D$23)+(1+Precificação!$W$589))*(1+R$28))+$P$26)*(1+Dashboard!$D$35),0)</f>
        <v>0</v>
      </c>
      <c r="S157" s="109">
        <f>IF($BD157&gt;0,(((($BD157/Dashboard!$D$23)+(1+Precificação!$W$589))*(1+S$28))+$P$26)*(1+Dashboard!$D$35),0)</f>
        <v>0</v>
      </c>
      <c r="U157" s="109">
        <f t="shared" si="43"/>
        <v>0</v>
      </c>
      <c r="V157" s="109">
        <f t="shared" si="44"/>
        <v>0</v>
      </c>
      <c r="W157" s="109">
        <f t="shared" si="45"/>
        <v>0</v>
      </c>
      <c r="X157" s="109">
        <f t="shared" si="46"/>
        <v>0</v>
      </c>
      <c r="AA157" s="109">
        <f>IF($BD157&gt;0,(((($BD157/Dashboard!$D$23)*(1+Precificação!$W$589)))+$AA$26)*(1+Dashboard!$D$35),0)</f>
        <v>0</v>
      </c>
      <c r="AB157" s="109">
        <f>IF($BD157&gt;0,(((($BD157/Dashboard!$D$23)*(1+Precificação!$W$589))*(1+AB$28))+$AA$26)*(1+Dashboard!$D$35),0)</f>
        <v>0</v>
      </c>
      <c r="AC157" s="109">
        <f>IF($BD157&gt;0,(((($BD157/Dashboard!$D$23)*(1+Precificação!$W$589))*(1+AC$28))+$AA$26)*(1+Dashboard!$D$35),0)</f>
        <v>0</v>
      </c>
      <c r="AD157" s="109">
        <f>IF($BD157&gt;0,(((($BD157/Dashboard!$D$23)*(1+Precificação!$W$589))*(1+AD$28))+$AA$26)*(1+Dashboard!$D$35),0)</f>
        <v>0</v>
      </c>
      <c r="AF157" s="109">
        <f t="shared" si="47"/>
        <v>0</v>
      </c>
      <c r="AG157" s="109">
        <f t="shared" si="48"/>
        <v>0</v>
      </c>
      <c r="AH157" s="109">
        <f t="shared" si="49"/>
        <v>0</v>
      </c>
      <c r="AI157" s="109">
        <f t="shared" si="50"/>
        <v>0</v>
      </c>
      <c r="AL157" s="109">
        <f>IF($BD157&gt;0,(((($BD157/Dashboard!$D$23)*(1+Precificação!$W$589)))+$AL$26)*(1+Dashboard!$D$35),0)</f>
        <v>0</v>
      </c>
      <c r="AM157" s="109">
        <f>IF($BD157&gt;0,(((($BD157/Dashboard!$D$23)*(1+Precificação!$W$589))*(1+AM$28))+$AA$26)*(1+Dashboard!$D$35),0)</f>
        <v>0</v>
      </c>
      <c r="AN157" s="109">
        <f>IF($BD157&gt;0,(((($BD157/Dashboard!$D$23)*(1+Precificação!$W$589))*(1+AN$28))+$AA$26)*(1+Dashboard!$D$35),0)</f>
        <v>0</v>
      </c>
      <c r="AO157" s="109">
        <f>IF($BD157&gt;0,(((($BD157/Dashboard!$D$23)*(1+Precificação!$W$589))*(1+AO$28))+$AA$26)*(1+Dashboard!$D$35),0)</f>
        <v>0</v>
      </c>
      <c r="AQ157" s="109">
        <f t="shared" si="51"/>
        <v>0</v>
      </c>
      <c r="AR157" s="109">
        <f t="shared" si="52"/>
        <v>0</v>
      </c>
      <c r="AS157" s="109">
        <f t="shared" si="53"/>
        <v>0</v>
      </c>
      <c r="AT157" s="109">
        <f t="shared" si="54"/>
        <v>0</v>
      </c>
      <c r="AW157" s="144">
        <f>VLOOKUP(B157,'Cronog. e Histog.'!$B$213:$BT$688,71,0)</f>
        <v>0</v>
      </c>
      <c r="AX157" s="144">
        <f>VLOOKUP(B157,'Cronog. e Histog.'!$B$213:$BU$688,72,0)</f>
        <v>0</v>
      </c>
      <c r="AY157" s="144">
        <f>$AW157*$AX157*Dashboard!$D$15</f>
        <v>0</v>
      </c>
      <c r="AZ157" s="144">
        <f>VLOOKUP(B157,Precificação!$B$96:$BM$533,54,0)</f>
        <v>0</v>
      </c>
      <c r="BA157" s="144">
        <f>VLOOKUP(B157,Precificação!$B$96:$BR$533,58,0)</f>
        <v>0</v>
      </c>
      <c r="BB157" s="144">
        <f>VLOOKUP(B157,Precificação!$B$96:$BW$533,62,0)</f>
        <v>0</v>
      </c>
      <c r="BC157" s="144">
        <f t="shared" si="55"/>
        <v>0</v>
      </c>
      <c r="BD157" s="109">
        <f>IFERROR(VLOOKUP(B157,Precificação!$B$96:$S$533,13,0),0)</f>
        <v>0</v>
      </c>
      <c r="BE157" s="109">
        <f>IFERROR(VLOOKUP(B157,Precificação!$B$96:$U$533,15,0)/(Precificação!$U$4+Precificação!$U$91),0)*Dashboard!$T$3</f>
        <v>0</v>
      </c>
    </row>
    <row r="158" spans="2:57" ht="12" customHeight="1" outlineLevel="1">
      <c r="B158" s="137" t="str">
        <f>Precificação!B136</f>
        <v>EST_II - Equipe_01</v>
      </c>
      <c r="D158" s="512"/>
      <c r="E158" s="143" t="str">
        <f>IF('Cronog. e Histog.'!G256&gt;0,'Cronog. e Histog.'!G256,"")</f>
        <v>EST_III</v>
      </c>
      <c r="G158" s="179">
        <f t="shared" si="42"/>
        <v>0</v>
      </c>
      <c r="H158" s="110">
        <f>IFERROR(INDEX('Base Salarial'!$D$5:$F$25,MATCH(E158,'Base Salarial'!$G$5:$G$25,0),MATCH(I158,'Base Salarial'!$D$4:$F$4,0)),"")</f>
        <v>1633</v>
      </c>
      <c r="I158" s="78" t="str">
        <f>IFERROR(INDEX(Tarefas!$BQ$29:$FK$29,MATCH(E158,Tarefas!$BQ$30:$FK$30,0)),"")</f>
        <v>PJ</v>
      </c>
      <c r="J158" s="81">
        <f>IF(I158="horista",H158*Dashboard!$D$15,IF(OR(I158="Mensalista",I158="PJ"),H158,))</f>
        <v>1633</v>
      </c>
      <c r="K158" s="81">
        <f>IF(I158="PJ",J158,ROUND(J158*(1+Dashboard!$D$22),2))</f>
        <v>1633</v>
      </c>
      <c r="L158" s="77"/>
      <c r="M158" s="180"/>
      <c r="P158" s="109">
        <f>IF($BD158&gt;0,(((($BD158/Dashboard!$D$15)*(1+Precificação!$W$589)))+$P$26)*(1+Dashboard!$D$35),0)</f>
        <v>0</v>
      </c>
      <c r="Q158" s="109">
        <f>IF($BD158&gt;0,(((($BD158/Dashboard!$D$23)+(1+Precificação!$W$589))*(1+Q$28))+$P$26)*(1+Dashboard!$D$35),0)</f>
        <v>0</v>
      </c>
      <c r="R158" s="109">
        <f>IF($BD158&gt;0,(((($BD158/Dashboard!$D$23)+(1+Precificação!$W$589))*(1+R$28))+$P$26)*(1+Dashboard!$D$35),0)</f>
        <v>0</v>
      </c>
      <c r="S158" s="109">
        <f>IF($BD158&gt;0,(((($BD158/Dashboard!$D$23)+(1+Precificação!$W$589))*(1+S$28))+$P$26)*(1+Dashboard!$D$35),0)</f>
        <v>0</v>
      </c>
      <c r="U158" s="109">
        <f t="shared" si="43"/>
        <v>0</v>
      </c>
      <c r="V158" s="109">
        <f t="shared" si="44"/>
        <v>0</v>
      </c>
      <c r="W158" s="109">
        <f t="shared" si="45"/>
        <v>0</v>
      </c>
      <c r="X158" s="109">
        <f t="shared" si="46"/>
        <v>0</v>
      </c>
      <c r="AA158" s="109">
        <f>IF($BD158&gt;0,(((($BD158/Dashboard!$D$23)*(1+Precificação!$W$589)))+$AA$26)*(1+Dashboard!$D$35),0)</f>
        <v>0</v>
      </c>
      <c r="AB158" s="109">
        <f>IF($BD158&gt;0,(((($BD158/Dashboard!$D$23)*(1+Precificação!$W$589))*(1+AB$28))+$AA$26)*(1+Dashboard!$D$35),0)</f>
        <v>0</v>
      </c>
      <c r="AC158" s="109">
        <f>IF($BD158&gt;0,(((($BD158/Dashboard!$D$23)*(1+Precificação!$W$589))*(1+AC$28))+$AA$26)*(1+Dashboard!$D$35),0)</f>
        <v>0</v>
      </c>
      <c r="AD158" s="109">
        <f>IF($BD158&gt;0,(((($BD158/Dashboard!$D$23)*(1+Precificação!$W$589))*(1+AD$28))+$AA$26)*(1+Dashboard!$D$35),0)</f>
        <v>0</v>
      </c>
      <c r="AF158" s="109">
        <f t="shared" si="47"/>
        <v>0</v>
      </c>
      <c r="AG158" s="109">
        <f t="shared" si="48"/>
        <v>0</v>
      </c>
      <c r="AH158" s="109">
        <f t="shared" si="49"/>
        <v>0</v>
      </c>
      <c r="AI158" s="109">
        <f t="shared" si="50"/>
        <v>0</v>
      </c>
      <c r="AL158" s="109">
        <f>IF($BD158&gt;0,(((($BD158/Dashboard!$D$23)*(1+Precificação!$W$589)))+$AL$26)*(1+Dashboard!$D$35),0)</f>
        <v>0</v>
      </c>
      <c r="AM158" s="109">
        <f>IF($BD158&gt;0,(((($BD158/Dashboard!$D$23)*(1+Precificação!$W$589))*(1+AM$28))+$AA$26)*(1+Dashboard!$D$35),0)</f>
        <v>0</v>
      </c>
      <c r="AN158" s="109">
        <f>IF($BD158&gt;0,(((($BD158/Dashboard!$D$23)*(1+Precificação!$W$589))*(1+AN$28))+$AA$26)*(1+Dashboard!$D$35),0)</f>
        <v>0</v>
      </c>
      <c r="AO158" s="109">
        <f>IF($BD158&gt;0,(((($BD158/Dashboard!$D$23)*(1+Precificação!$W$589))*(1+AO$28))+$AA$26)*(1+Dashboard!$D$35),0)</f>
        <v>0</v>
      </c>
      <c r="AQ158" s="109">
        <f t="shared" si="51"/>
        <v>0</v>
      </c>
      <c r="AR158" s="109">
        <f t="shared" si="52"/>
        <v>0</v>
      </c>
      <c r="AS158" s="109">
        <f t="shared" si="53"/>
        <v>0</v>
      </c>
      <c r="AT158" s="109">
        <f t="shared" si="54"/>
        <v>0</v>
      </c>
      <c r="AW158" s="144">
        <f>VLOOKUP(B158,'Cronog. e Histog.'!$B$213:$BT$688,71,0)</f>
        <v>0</v>
      </c>
      <c r="AX158" s="144">
        <f>VLOOKUP(B158,'Cronog. e Histog.'!$B$213:$BU$688,72,0)</f>
        <v>0</v>
      </c>
      <c r="AY158" s="144">
        <f>$AW158*$AX158*Dashboard!$D$15</f>
        <v>0</v>
      </c>
      <c r="AZ158" s="144">
        <f>VLOOKUP(B158,Precificação!$B$96:$BM$533,54,0)</f>
        <v>0</v>
      </c>
      <c r="BA158" s="144">
        <f>VLOOKUP(B158,Precificação!$B$96:$BR$533,58,0)</f>
        <v>0</v>
      </c>
      <c r="BB158" s="144">
        <f>VLOOKUP(B158,Precificação!$B$96:$BW$533,62,0)</f>
        <v>0</v>
      </c>
      <c r="BC158" s="144">
        <f t="shared" si="55"/>
        <v>0</v>
      </c>
      <c r="BD158" s="109">
        <f>IFERROR(VLOOKUP(B158,Precificação!$B$96:$S$533,13,0),0)</f>
        <v>0</v>
      </c>
      <c r="BE158" s="109">
        <f>IFERROR(VLOOKUP(B158,Precificação!$B$96:$U$533,15,0)/(Precificação!$U$4+Precificação!$U$91),0)*Dashboard!$T$3</f>
        <v>0</v>
      </c>
    </row>
    <row r="159" spans="2:57" ht="12" customHeight="1" outlineLevel="1"/>
    <row r="160" spans="2:57" ht="12" customHeight="1" outlineLevel="1">
      <c r="B160" s="137">
        <f>Precificação!B138</f>
        <v>0</v>
      </c>
      <c r="D160" s="512" t="str">
        <f>'Cronog. e Histog.'!F259</f>
        <v>Equipe03</v>
      </c>
      <c r="E160" s="143" t="str">
        <f>IF('Cronog. e Histog.'!G261&gt;0,'Cronog. e Histog.'!G261,"")</f>
        <v>GER. (OBRA/PROJ)</v>
      </c>
      <c r="G160" s="179" t="e">
        <f t="shared" ref="G160" si="56">IF(AND((AW160*AX160)&gt;0,K160=0),1,0)</f>
        <v>#N/A</v>
      </c>
      <c r="H160" s="110">
        <f>IFERROR(INDEX('Base Salarial'!$D$5:$F$25,MATCH(E160,'Base Salarial'!$G$5:$G$25,0),MATCH(I160,'Base Salarial'!$D$4:$F$4,0)),"")</f>
        <v>21000</v>
      </c>
      <c r="I160" s="78" t="str">
        <f>IFERROR(INDEX(Tarefas!$BQ$29:$FK$29,MATCH(E160,Tarefas!$BQ$30:$FK$30,0)),"")</f>
        <v>PJ</v>
      </c>
      <c r="J160" s="81">
        <f>IF(I160="horista",H160*Dashboard!$D$15,IF(OR(I160="Mensalista",I160="PJ"),H160,))</f>
        <v>21000</v>
      </c>
      <c r="K160" s="81">
        <f>IF(I160="PJ",J160,ROUND(J160*(1+Dashboard!$D$22),2))</f>
        <v>21000</v>
      </c>
      <c r="L160" s="77"/>
      <c r="M160" s="180"/>
      <c r="P160" s="109">
        <f>IF($BD160&gt;0,(((($BD160/Dashboard!$D$15)*(1+Precificação!$W$589)))+$P$26)*(1+Dashboard!$D$35),0)</f>
        <v>0</v>
      </c>
      <c r="Q160" s="109">
        <f>IF($BD160&gt;0,(((($BD160/Dashboard!$D$23)+(1+Precificação!$W$589))*(1+Q$28))+$P$26)*(1+Dashboard!$D$35),0)</f>
        <v>0</v>
      </c>
      <c r="R160" s="109">
        <f>IF($BD160&gt;0,(((($BD160/Dashboard!$D$23)+(1+Precificação!$W$589))*(1+R$28))+$P$26)*(1+Dashboard!$D$35),0)</f>
        <v>0</v>
      </c>
      <c r="S160" s="109">
        <f>IF($BD160&gt;0,(((($BD160/Dashboard!$D$23)+(1+Precificação!$W$589))*(1+S$28))+$P$26)*(1+Dashboard!$D$35),0)</f>
        <v>0</v>
      </c>
      <c r="U160" s="109">
        <f>IF(P160&gt;0,P160+U$32,0)</f>
        <v>0</v>
      </c>
      <c r="V160" s="109">
        <f t="shared" ref="V160:X160" si="57">IF(Q160&gt;0,Q160+V$32,0)</f>
        <v>0</v>
      </c>
      <c r="W160" s="109">
        <f t="shared" si="57"/>
        <v>0</v>
      </c>
      <c r="X160" s="109">
        <f t="shared" si="57"/>
        <v>0</v>
      </c>
      <c r="AA160" s="109">
        <f>IF($BD160&gt;0,(((($BD160/Dashboard!$D$23)*(1+Precificação!$W$589)))+$AA$26)*(1+Dashboard!$D$35),0)</f>
        <v>0</v>
      </c>
      <c r="AB160" s="109">
        <f>IF($BD160&gt;0,(((($BD160/Dashboard!$D$23)*(1+Precificação!$W$589))*(1+AB$28))+$AA$26)*(1+Dashboard!$D$35),0)</f>
        <v>0</v>
      </c>
      <c r="AC160" s="109">
        <f>IF($BD160&gt;0,(((($BD160/Dashboard!$D$23)*(1+Precificação!$W$589))*(1+AC$28))+$AA$26)*(1+Dashboard!$D$35),0)</f>
        <v>0</v>
      </c>
      <c r="AD160" s="109">
        <f>IF($BD160&gt;0,(((($BD160/Dashboard!$D$23)*(1+Precificação!$W$589))*(1+AD$28))+$AA$26)*(1+Dashboard!$D$35),0)</f>
        <v>0</v>
      </c>
      <c r="AF160" s="109">
        <f>IF(AA160&gt;0,AA160+AF$32,0)</f>
        <v>0</v>
      </c>
      <c r="AG160" s="109">
        <f t="shared" ref="AG160" si="58">IF(AB160&gt;0,AB160+AG$32,0)</f>
        <v>0</v>
      </c>
      <c r="AH160" s="109">
        <f t="shared" ref="AH160" si="59">IF(AC160&gt;0,AC160+AH$32,0)</f>
        <v>0</v>
      </c>
      <c r="AI160" s="109">
        <f t="shared" ref="AI160" si="60">IF(AD160&gt;0,AD160+AI$32,0)</f>
        <v>0</v>
      </c>
      <c r="AL160" s="109">
        <f>IF($BD160&gt;0,(((($BD160/Dashboard!$D$23)*(1+Precificação!$W$589)))+$AL$26)*(1+Dashboard!$D$35),0)</f>
        <v>0</v>
      </c>
      <c r="AM160" s="109">
        <f>IF($BD160&gt;0,(((($BD160/Dashboard!$D$23)*(1+Precificação!$W$589))*(1+AM$28))+$AA$26)*(1+Dashboard!$D$35),0)</f>
        <v>0</v>
      </c>
      <c r="AN160" s="109">
        <f>IF($BD160&gt;0,(((($BD160/Dashboard!$D$23)*(1+Precificação!$W$589))*(1+AN$28))+$AA$26)*(1+Dashboard!$D$35),0)</f>
        <v>0</v>
      </c>
      <c r="AO160" s="109">
        <f>IF($BD160&gt;0,(((($BD160/Dashboard!$D$23)*(1+Precificação!$W$589))*(1+AO$28))+$AA$26)*(1+Dashboard!$D$35),0)</f>
        <v>0</v>
      </c>
      <c r="AQ160" s="109">
        <f>IF(AL160&gt;0,AL160+AQ$32,0)</f>
        <v>0</v>
      </c>
      <c r="AR160" s="109">
        <f t="shared" ref="AR160" si="61">IF(AM160&gt;0,AM160+AR$32,0)</f>
        <v>0</v>
      </c>
      <c r="AS160" s="109">
        <f t="shared" ref="AS160" si="62">IF(AN160&gt;0,AN160+AS$32,0)</f>
        <v>0</v>
      </c>
      <c r="AT160" s="109">
        <f t="shared" ref="AT160" si="63">IF(AO160&gt;0,AO160+AT$32,0)</f>
        <v>0</v>
      </c>
      <c r="AW160" s="144" t="e">
        <f>VLOOKUP(B160,'Cronog. e Histog.'!$B$213:$BT$688,71,0)</f>
        <v>#N/A</v>
      </c>
      <c r="AX160" s="144" t="e">
        <f>VLOOKUP(B160,'Cronog. e Histog.'!$B$213:$BU$688,72,0)</f>
        <v>#N/A</v>
      </c>
      <c r="AY160" s="144" t="e">
        <f>$AW160*$AX160*Dashboard!$D$15</f>
        <v>#N/A</v>
      </c>
      <c r="AZ160" s="144" t="e">
        <f>VLOOKUP(B160,Precificação!$B$96:$BM$533,54,0)</f>
        <v>#N/A</v>
      </c>
      <c r="BA160" s="144" t="e">
        <f>VLOOKUP(B160,Precificação!$B$96:$BR$533,58,0)</f>
        <v>#N/A</v>
      </c>
      <c r="BB160" s="144" t="e">
        <f>VLOOKUP(B160,Precificação!$B$96:$BW$533,62,0)</f>
        <v>#N/A</v>
      </c>
      <c r="BC160" s="144" t="e">
        <f t="shared" ref="BC160" si="64">SUM(AY160:BB160)</f>
        <v>#N/A</v>
      </c>
      <c r="BD160" s="109">
        <f>IFERROR(VLOOKUP(B160,Precificação!$B$96:$S$533,13,0),0)</f>
        <v>0</v>
      </c>
      <c r="BE160" s="109">
        <f>IFERROR(VLOOKUP(B160,Precificação!$B$96:$U$533,15,0)/(Precificação!$U$4+Precificação!$U$91),0)*Dashboard!$T$3</f>
        <v>0</v>
      </c>
    </row>
    <row r="161" spans="2:57" ht="12" customHeight="1" outlineLevel="1">
      <c r="B161" s="137">
        <f>Precificação!B139</f>
        <v>0</v>
      </c>
      <c r="D161" s="512"/>
      <c r="E161" s="143" t="str">
        <f>IF('Cronog. e Histog.'!G262&gt;0,'Cronog. e Histog.'!G262,"")</f>
        <v>COORD.</v>
      </c>
      <c r="G161" s="179" t="e">
        <f t="shared" ref="G161:G179" si="65">IF(AND((AW161*AX161)&gt;0,K161=0),1,0)</f>
        <v>#N/A</v>
      </c>
      <c r="H161" s="110">
        <f>IFERROR(INDEX('Base Salarial'!$D$5:$F$25,MATCH(E161,'Base Salarial'!$G$5:$G$25,0),MATCH(I161,'Base Salarial'!$D$4:$F$4,0)),"")</f>
        <v>19000</v>
      </c>
      <c r="I161" s="78" t="str">
        <f>IFERROR(INDEX(Tarefas!$BQ$29:$FK$29,MATCH(E161,Tarefas!$BQ$30:$FK$30,0)),"")</f>
        <v>PJ</v>
      </c>
      <c r="J161" s="81">
        <f>IF(I161="horista",H161*Dashboard!$D$15,IF(OR(I161="Mensalista",I161="PJ"),H161,))</f>
        <v>19000</v>
      </c>
      <c r="K161" s="81">
        <f>IF(I161="PJ",J161,ROUND(J161*(1+Dashboard!$D$22),2))</f>
        <v>19000</v>
      </c>
      <c r="L161" s="77"/>
      <c r="M161" s="180"/>
      <c r="P161" s="109">
        <f>IF($BD161&gt;0,(((($BD161/Dashboard!$D$15)*(1+Precificação!$W$589)))+$P$26)*(1+Dashboard!$D$35),0)</f>
        <v>0</v>
      </c>
      <c r="Q161" s="109">
        <f>IF($BD161&gt;0,(((($BD161/Dashboard!$D$23)+(1+Precificação!$W$589))*(1+Q$28))+$P$26)*(1+Dashboard!$D$35),0)</f>
        <v>0</v>
      </c>
      <c r="R161" s="109">
        <f>IF($BD161&gt;0,(((($BD161/Dashboard!$D$23)+(1+Precificação!$W$589))*(1+R$28))+$P$26)*(1+Dashboard!$D$35),0)</f>
        <v>0</v>
      </c>
      <c r="S161" s="109">
        <f>IF($BD161&gt;0,(((($BD161/Dashboard!$D$23)+(1+Precificação!$W$589))*(1+S$28))+$P$26)*(1+Dashboard!$D$35),0)</f>
        <v>0</v>
      </c>
      <c r="U161" s="109">
        <f t="shared" ref="U161:U179" si="66">IF(P161&gt;0,P161+U$32,0)</f>
        <v>0</v>
      </c>
      <c r="V161" s="109">
        <f t="shared" ref="V161:V179" si="67">IF(Q161&gt;0,Q161+V$32,0)</f>
        <v>0</v>
      </c>
      <c r="W161" s="109">
        <f t="shared" ref="W161:W179" si="68">IF(R161&gt;0,R161+W$32,0)</f>
        <v>0</v>
      </c>
      <c r="X161" s="109">
        <f t="shared" ref="X161:X179" si="69">IF(S161&gt;0,S161+X$32,0)</f>
        <v>0</v>
      </c>
      <c r="AA161" s="109">
        <f>IF($BD161&gt;0,(((($BD161/Dashboard!$D$23)*(1+Precificação!$W$589)))+$AA$26)*(1+Dashboard!$D$35),0)</f>
        <v>0</v>
      </c>
      <c r="AB161" s="109">
        <f>IF($BD161&gt;0,(((($BD161/Dashboard!$D$23)*(1+Precificação!$W$589))*(1+AB$28))+$AA$26)*(1+Dashboard!$D$35),0)</f>
        <v>0</v>
      </c>
      <c r="AC161" s="109">
        <f>IF($BD161&gt;0,(((($BD161/Dashboard!$D$23)*(1+Precificação!$W$589))*(1+AC$28))+$AA$26)*(1+Dashboard!$D$35),0)</f>
        <v>0</v>
      </c>
      <c r="AD161" s="109">
        <f>IF($BD161&gt;0,(((($BD161/Dashboard!$D$23)*(1+Precificação!$W$589))*(1+AD$28))+$AA$26)*(1+Dashboard!$D$35),0)</f>
        <v>0</v>
      </c>
      <c r="AF161" s="109">
        <f t="shared" ref="AF161:AF179" si="70">IF(AA161&gt;0,AA161+AF$32,0)</f>
        <v>0</v>
      </c>
      <c r="AG161" s="109">
        <f t="shared" ref="AG161:AG179" si="71">IF(AB161&gt;0,AB161+AG$32,0)</f>
        <v>0</v>
      </c>
      <c r="AH161" s="109">
        <f t="shared" ref="AH161:AH179" si="72">IF(AC161&gt;0,AC161+AH$32,0)</f>
        <v>0</v>
      </c>
      <c r="AI161" s="109">
        <f t="shared" ref="AI161:AI179" si="73">IF(AD161&gt;0,AD161+AI$32,0)</f>
        <v>0</v>
      </c>
      <c r="AL161" s="109">
        <f>IF($BD161&gt;0,(((($BD161/Dashboard!$D$23)*(1+Precificação!$W$589)))+$AL$26)*(1+Dashboard!$D$35),0)</f>
        <v>0</v>
      </c>
      <c r="AM161" s="109">
        <f>IF($BD161&gt;0,(((($BD161/Dashboard!$D$23)*(1+Precificação!$W$589))*(1+AM$28))+$AA$26)*(1+Dashboard!$D$35),0)</f>
        <v>0</v>
      </c>
      <c r="AN161" s="109">
        <f>IF($BD161&gt;0,(((($BD161/Dashboard!$D$23)*(1+Precificação!$W$589))*(1+AN$28))+$AA$26)*(1+Dashboard!$D$35),0)</f>
        <v>0</v>
      </c>
      <c r="AO161" s="109">
        <f>IF($BD161&gt;0,(((($BD161/Dashboard!$D$23)*(1+Precificação!$W$589))*(1+AO$28))+$AA$26)*(1+Dashboard!$D$35),0)</f>
        <v>0</v>
      </c>
      <c r="AQ161" s="109">
        <f t="shared" ref="AQ161:AQ179" si="74">IF(AL161&gt;0,AL161+AQ$32,0)</f>
        <v>0</v>
      </c>
      <c r="AR161" s="109">
        <f t="shared" ref="AR161:AR179" si="75">IF(AM161&gt;0,AM161+AR$32,0)</f>
        <v>0</v>
      </c>
      <c r="AS161" s="109">
        <f t="shared" ref="AS161:AS179" si="76">IF(AN161&gt;0,AN161+AS$32,0)</f>
        <v>0</v>
      </c>
      <c r="AT161" s="109">
        <f t="shared" ref="AT161:AT179" si="77">IF(AO161&gt;0,AO161+AT$32,0)</f>
        <v>0</v>
      </c>
      <c r="AW161" s="144" t="e">
        <f>VLOOKUP(B161,'Cronog. e Histog.'!$B$213:$BT$688,71,0)</f>
        <v>#N/A</v>
      </c>
      <c r="AX161" s="144" t="e">
        <f>VLOOKUP(B161,'Cronog. e Histog.'!$B$213:$BU$688,72,0)</f>
        <v>#N/A</v>
      </c>
      <c r="AY161" s="144" t="e">
        <f>$AW161*$AX161*Dashboard!$D$15</f>
        <v>#N/A</v>
      </c>
      <c r="AZ161" s="144" t="e">
        <f>VLOOKUP(B161,Precificação!$B$96:$BM$533,54,0)</f>
        <v>#N/A</v>
      </c>
      <c r="BA161" s="144" t="e">
        <f>VLOOKUP(B161,Precificação!$B$96:$BR$533,58,0)</f>
        <v>#N/A</v>
      </c>
      <c r="BB161" s="144" t="e">
        <f>VLOOKUP(B161,Precificação!$B$96:$BW$533,62,0)</f>
        <v>#N/A</v>
      </c>
      <c r="BC161" s="144" t="e">
        <f t="shared" ref="BC161:BC179" si="78">SUM(AY161:BB161)</f>
        <v>#N/A</v>
      </c>
      <c r="BD161" s="109">
        <f>IFERROR(VLOOKUP(B161,Precificação!$B$96:$S$533,13,0),0)</f>
        <v>0</v>
      </c>
      <c r="BE161" s="109">
        <f>IFERROR(VLOOKUP(B161,Precificação!$B$96:$U$533,15,0)/(Precificação!$U$4+Precificação!$U$91),0)*Dashboard!$T$3</f>
        <v>0</v>
      </c>
    </row>
    <row r="162" spans="2:57" ht="12" customHeight="1" outlineLevel="1">
      <c r="B162" s="137" t="str">
        <f>Precificação!B140</f>
        <v>GER. (OBRA/PROJ) - Equipe_01</v>
      </c>
      <c r="D162" s="512"/>
      <c r="E162" s="143" t="str">
        <f>IF('Cronog. e Histog.'!G263&gt;0,'Cronog. e Histog.'!G263,"")</f>
        <v>SUP.-ESP</v>
      </c>
      <c r="G162" s="179">
        <f t="shared" si="65"/>
        <v>0</v>
      </c>
      <c r="H162" s="110">
        <f>IFERROR(INDEX('Base Salarial'!$D$5:$F$25,MATCH(E162,'Base Salarial'!$G$5:$G$25,0),MATCH(I162,'Base Salarial'!$D$4:$F$4,0)),"")</f>
        <v>9166.6666666666679</v>
      </c>
      <c r="I162" s="78" t="str">
        <f>IFERROR(INDEX(Tarefas!$BQ$29:$FK$29,MATCH(E162,Tarefas!$BQ$30:$FK$30,0)),"")</f>
        <v>Mensalista</v>
      </c>
      <c r="J162" s="81">
        <f>IF(I162="horista",H162*Dashboard!$D$15,IF(OR(I162="Mensalista",I162="PJ"),H162,))</f>
        <v>9166.6666666666679</v>
      </c>
      <c r="K162" s="81">
        <f>IF(I162="PJ",J162,ROUND(J162*(1+Dashboard!$D$22),2))</f>
        <v>9716.67</v>
      </c>
      <c r="L162" s="77"/>
      <c r="M162" s="180"/>
      <c r="P162" s="109">
        <f>IF($BD162&gt;0,(((($BD162/Dashboard!$D$15)*(1+Precificação!$W$589)))+$P$26)*(1+Dashboard!$D$35),0)</f>
        <v>0</v>
      </c>
      <c r="Q162" s="109">
        <f>IF($BD162&gt;0,(((($BD162/Dashboard!$D$23)+(1+Precificação!$W$589))*(1+Q$28))+$P$26)*(1+Dashboard!$D$35),0)</f>
        <v>0</v>
      </c>
      <c r="R162" s="109">
        <f>IF($BD162&gt;0,(((($BD162/Dashboard!$D$23)+(1+Precificação!$W$589))*(1+R$28))+$P$26)*(1+Dashboard!$D$35),0)</f>
        <v>0</v>
      </c>
      <c r="S162" s="109">
        <f>IF($BD162&gt;0,(((($BD162/Dashboard!$D$23)+(1+Precificação!$W$589))*(1+S$28))+$P$26)*(1+Dashboard!$D$35),0)</f>
        <v>0</v>
      </c>
      <c r="U162" s="109">
        <f t="shared" si="66"/>
        <v>0</v>
      </c>
      <c r="V162" s="109">
        <f t="shared" si="67"/>
        <v>0</v>
      </c>
      <c r="W162" s="109">
        <f t="shared" si="68"/>
        <v>0</v>
      </c>
      <c r="X162" s="109">
        <f t="shared" si="69"/>
        <v>0</v>
      </c>
      <c r="AA162" s="109">
        <f>IF($BD162&gt;0,(((($BD162/Dashboard!$D$23)*(1+Precificação!$W$589)))+$AA$26)*(1+Dashboard!$D$35),0)</f>
        <v>0</v>
      </c>
      <c r="AB162" s="109">
        <f>IF($BD162&gt;0,(((($BD162/Dashboard!$D$23)*(1+Precificação!$W$589))*(1+AB$28))+$AA$26)*(1+Dashboard!$D$35),0)</f>
        <v>0</v>
      </c>
      <c r="AC162" s="109">
        <f>IF($BD162&gt;0,(((($BD162/Dashboard!$D$23)*(1+Precificação!$W$589))*(1+AC$28))+$AA$26)*(1+Dashboard!$D$35),0)</f>
        <v>0</v>
      </c>
      <c r="AD162" s="109">
        <f>IF($BD162&gt;0,(((($BD162/Dashboard!$D$23)*(1+Precificação!$W$589))*(1+AD$28))+$AA$26)*(1+Dashboard!$D$35),0)</f>
        <v>0</v>
      </c>
      <c r="AF162" s="109">
        <f t="shared" si="70"/>
        <v>0</v>
      </c>
      <c r="AG162" s="109">
        <f t="shared" si="71"/>
        <v>0</v>
      </c>
      <c r="AH162" s="109">
        <f t="shared" si="72"/>
        <v>0</v>
      </c>
      <c r="AI162" s="109">
        <f t="shared" si="73"/>
        <v>0</v>
      </c>
      <c r="AL162" s="109">
        <f>IF($BD162&gt;0,(((($BD162/Dashboard!$D$23)*(1+Precificação!$W$589)))+$AL$26)*(1+Dashboard!$D$35),0)</f>
        <v>0</v>
      </c>
      <c r="AM162" s="109">
        <f>IF($BD162&gt;0,(((($BD162/Dashboard!$D$23)*(1+Precificação!$W$589))*(1+AM$28))+$AA$26)*(1+Dashboard!$D$35),0)</f>
        <v>0</v>
      </c>
      <c r="AN162" s="109">
        <f>IF($BD162&gt;0,(((($BD162/Dashboard!$D$23)*(1+Precificação!$W$589))*(1+AN$28))+$AA$26)*(1+Dashboard!$D$35),0)</f>
        <v>0</v>
      </c>
      <c r="AO162" s="109">
        <f>IF($BD162&gt;0,(((($BD162/Dashboard!$D$23)*(1+Precificação!$W$589))*(1+AO$28))+$AA$26)*(1+Dashboard!$D$35),0)</f>
        <v>0</v>
      </c>
      <c r="AQ162" s="109">
        <f t="shared" si="74"/>
        <v>0</v>
      </c>
      <c r="AR162" s="109">
        <f t="shared" si="75"/>
        <v>0</v>
      </c>
      <c r="AS162" s="109">
        <f t="shared" si="76"/>
        <v>0</v>
      </c>
      <c r="AT162" s="109">
        <f t="shared" si="77"/>
        <v>0</v>
      </c>
      <c r="AW162" s="144">
        <f>VLOOKUP(B162,'Cronog. e Histog.'!$B$213:$BT$688,71,0)</f>
        <v>1.9999999999999997E-2</v>
      </c>
      <c r="AX162" s="144">
        <f>VLOOKUP(B162,'Cronog. e Histog.'!$B$213:$BU$688,72,0)</f>
        <v>10</v>
      </c>
      <c r="AY162" s="144">
        <f>$AW162*$AX162*Dashboard!$D$15</f>
        <v>38.72</v>
      </c>
      <c r="AZ162" s="144">
        <f>VLOOKUP(B162,Precificação!$B$96:$BM$533,54,0)</f>
        <v>0</v>
      </c>
      <c r="BA162" s="144">
        <f>VLOOKUP(B162,Precificação!$B$96:$BR$533,58,0)</f>
        <v>0</v>
      </c>
      <c r="BB162" s="144">
        <f>VLOOKUP(B162,Precificação!$B$96:$BW$533,62,0)</f>
        <v>0</v>
      </c>
      <c r="BC162" s="144">
        <f t="shared" si="78"/>
        <v>38.72</v>
      </c>
      <c r="BD162" s="109">
        <f>IFERROR(VLOOKUP(B162,Precificação!$B$96:$S$533,13,0),0)</f>
        <v>0</v>
      </c>
      <c r="BE162" s="109">
        <f>IFERROR(VLOOKUP(B162,Precificação!$B$96:$U$533,15,0)/(Precificação!$U$4+Precificação!$U$91),0)*Dashboard!$T$3</f>
        <v>0</v>
      </c>
    </row>
    <row r="163" spans="2:57" ht="12" customHeight="1" outlineLevel="1">
      <c r="B163" s="137" t="str">
        <f>Precificação!B141</f>
        <v>COORD. - Equipe_01</v>
      </c>
      <c r="D163" s="512"/>
      <c r="E163" s="143" t="str">
        <f>IF('Cronog. e Histog.'!G264&gt;0,'Cronog. e Histog.'!G264,"")</f>
        <v>ENG/ARQ SR.</v>
      </c>
      <c r="G163" s="179">
        <f t="shared" si="65"/>
        <v>0</v>
      </c>
      <c r="H163" s="110">
        <f>IFERROR(INDEX('Base Salarial'!$D$5:$F$25,MATCH(E163,'Base Salarial'!$G$5:$G$25,0),MATCH(I163,'Base Salarial'!$D$4:$F$4,0)),"")</f>
        <v>16000</v>
      </c>
      <c r="I163" s="78" t="str">
        <f>IFERROR(INDEX(Tarefas!$BQ$29:$FK$29,MATCH(E163,Tarefas!$BQ$30:$FK$30,0)),"")</f>
        <v>PJ</v>
      </c>
      <c r="J163" s="81">
        <f>IF(I163="horista",H163*Dashboard!$D$15,IF(OR(I163="Mensalista",I163="PJ"),H163,))</f>
        <v>16000</v>
      </c>
      <c r="K163" s="81">
        <f>IF(I163="PJ",J163,ROUND(J163*(1+Dashboard!$D$22),2))</f>
        <v>16000</v>
      </c>
      <c r="L163" s="77"/>
      <c r="M163" s="180"/>
      <c r="P163" s="109">
        <f>IF($BD163&gt;0,(((($BD163/Dashboard!$D$15)*(1+Precificação!$W$589)))+$P$26)*(1+Dashboard!$D$35),0)</f>
        <v>0</v>
      </c>
      <c r="Q163" s="109">
        <f>IF($BD163&gt;0,(((($BD163/Dashboard!$D$23)+(1+Precificação!$W$589))*(1+Q$28))+$P$26)*(1+Dashboard!$D$35),0)</f>
        <v>0</v>
      </c>
      <c r="R163" s="109">
        <f>IF($BD163&gt;0,(((($BD163/Dashboard!$D$23)+(1+Precificação!$W$589))*(1+R$28))+$P$26)*(1+Dashboard!$D$35),0)</f>
        <v>0</v>
      </c>
      <c r="S163" s="109">
        <f>IF($BD163&gt;0,(((($BD163/Dashboard!$D$23)+(1+Precificação!$W$589))*(1+S$28))+$P$26)*(1+Dashboard!$D$35),0)</f>
        <v>0</v>
      </c>
      <c r="U163" s="109">
        <f t="shared" si="66"/>
        <v>0</v>
      </c>
      <c r="V163" s="109">
        <f t="shared" si="67"/>
        <v>0</v>
      </c>
      <c r="W163" s="109">
        <f t="shared" si="68"/>
        <v>0</v>
      </c>
      <c r="X163" s="109">
        <f t="shared" si="69"/>
        <v>0</v>
      </c>
      <c r="AA163" s="109">
        <f>IF($BD163&gt;0,(((($BD163/Dashboard!$D$23)*(1+Precificação!$W$589)))+$AA$26)*(1+Dashboard!$D$35),0)</f>
        <v>0</v>
      </c>
      <c r="AB163" s="109">
        <f>IF($BD163&gt;0,(((($BD163/Dashboard!$D$23)*(1+Precificação!$W$589))*(1+AB$28))+$AA$26)*(1+Dashboard!$D$35),0)</f>
        <v>0</v>
      </c>
      <c r="AC163" s="109">
        <f>IF($BD163&gt;0,(((($BD163/Dashboard!$D$23)*(1+Precificação!$W$589))*(1+AC$28))+$AA$26)*(1+Dashboard!$D$35),0)</f>
        <v>0</v>
      </c>
      <c r="AD163" s="109">
        <f>IF($BD163&gt;0,(((($BD163/Dashboard!$D$23)*(1+Precificação!$W$589))*(1+AD$28))+$AA$26)*(1+Dashboard!$D$35),0)</f>
        <v>0</v>
      </c>
      <c r="AF163" s="109">
        <f t="shared" si="70"/>
        <v>0</v>
      </c>
      <c r="AG163" s="109">
        <f t="shared" si="71"/>
        <v>0</v>
      </c>
      <c r="AH163" s="109">
        <f t="shared" si="72"/>
        <v>0</v>
      </c>
      <c r="AI163" s="109">
        <f t="shared" si="73"/>
        <v>0</v>
      </c>
      <c r="AL163" s="109">
        <f>IF($BD163&gt;0,(((($BD163/Dashboard!$D$23)*(1+Precificação!$W$589)))+$AL$26)*(1+Dashboard!$D$35),0)</f>
        <v>0</v>
      </c>
      <c r="AM163" s="109">
        <f>IF($BD163&gt;0,(((($BD163/Dashboard!$D$23)*(1+Precificação!$W$589))*(1+AM$28))+$AA$26)*(1+Dashboard!$D$35),0)</f>
        <v>0</v>
      </c>
      <c r="AN163" s="109">
        <f>IF($BD163&gt;0,(((($BD163/Dashboard!$D$23)*(1+Precificação!$W$589))*(1+AN$28))+$AA$26)*(1+Dashboard!$D$35),0)</f>
        <v>0</v>
      </c>
      <c r="AO163" s="109">
        <f>IF($BD163&gt;0,(((($BD163/Dashboard!$D$23)*(1+Precificação!$W$589))*(1+AO$28))+$AA$26)*(1+Dashboard!$D$35),0)</f>
        <v>0</v>
      </c>
      <c r="AQ163" s="109">
        <f t="shared" si="74"/>
        <v>0</v>
      </c>
      <c r="AR163" s="109">
        <f t="shared" si="75"/>
        <v>0</v>
      </c>
      <c r="AS163" s="109">
        <f t="shared" si="76"/>
        <v>0</v>
      </c>
      <c r="AT163" s="109">
        <f t="shared" si="77"/>
        <v>0</v>
      </c>
      <c r="AW163" s="144">
        <f>VLOOKUP(B163,'Cronog. e Histog.'!$B$213:$BT$688,71,0)</f>
        <v>1</v>
      </c>
      <c r="AX163" s="144">
        <f>VLOOKUP(B163,'Cronog. e Histog.'!$B$213:$BU$688,72,0)</f>
        <v>10</v>
      </c>
      <c r="AY163" s="144">
        <f>$AW163*$AX163*Dashboard!$D$15</f>
        <v>1936.0000000000002</v>
      </c>
      <c r="AZ163" s="144">
        <f>VLOOKUP(B163,Precificação!$B$96:$BM$533,54,0)</f>
        <v>0</v>
      </c>
      <c r="BA163" s="144">
        <f>VLOOKUP(B163,Precificação!$B$96:$BR$533,58,0)</f>
        <v>0</v>
      </c>
      <c r="BB163" s="144">
        <f>VLOOKUP(B163,Precificação!$B$96:$BW$533,62,0)</f>
        <v>0</v>
      </c>
      <c r="BC163" s="144">
        <f t="shared" si="78"/>
        <v>1936.0000000000002</v>
      </c>
      <c r="BD163" s="109">
        <f>IFERROR(VLOOKUP(B163,Precificação!$B$96:$S$533,13,0),0)</f>
        <v>0</v>
      </c>
      <c r="BE163" s="109">
        <f>IFERROR(VLOOKUP(B163,Precificação!$B$96:$U$533,15,0)/(Precificação!$U$4+Precificação!$U$91),0)*Dashboard!$T$3</f>
        <v>0</v>
      </c>
    </row>
    <row r="164" spans="2:57" ht="12" customHeight="1" outlineLevel="1">
      <c r="B164" s="137" t="str">
        <f>Precificação!B142</f>
        <v>SUP.-ESP - Equipe_01</v>
      </c>
      <c r="D164" s="512"/>
      <c r="E164" s="143" t="str">
        <f>IF('Cronog. e Histog.'!G265&gt;0,'Cronog. e Histog.'!G265,"")</f>
        <v>ENG/ARQ PL.</v>
      </c>
      <c r="G164" s="179">
        <f t="shared" si="65"/>
        <v>0</v>
      </c>
      <c r="H164" s="110">
        <f>IFERROR(INDEX('Base Salarial'!$D$5:$F$25,MATCH(E164,'Base Salarial'!$G$5:$G$25,0),MATCH(I164,'Base Salarial'!$D$4:$F$4,0)),"")</f>
        <v>14000</v>
      </c>
      <c r="I164" s="78" t="str">
        <f>IFERROR(INDEX(Tarefas!$BQ$29:$FK$29,MATCH(E164,Tarefas!$BQ$30:$FK$30,0)),"")</f>
        <v>PJ</v>
      </c>
      <c r="J164" s="81">
        <f>IF(I164="horista",H164*Dashboard!$D$15,IF(OR(I164="Mensalista",I164="PJ"),H164,))</f>
        <v>14000</v>
      </c>
      <c r="K164" s="81">
        <f>IF(I164="PJ",J164,ROUND(J164*(1+Dashboard!$D$22),2))</f>
        <v>14000</v>
      </c>
      <c r="L164" s="77"/>
      <c r="M164" s="180"/>
      <c r="P164" s="109">
        <f>IF($BD164&gt;0,(((($BD164/Dashboard!$D$15)*(1+Precificação!$W$589)))+$P$26)*(1+Dashboard!$D$35),0)</f>
        <v>0</v>
      </c>
      <c r="Q164" s="109">
        <f>IF($BD164&gt;0,(((($BD164/Dashboard!$D$23)+(1+Precificação!$W$589))*(1+Q$28))+$P$26)*(1+Dashboard!$D$35),0)</f>
        <v>0</v>
      </c>
      <c r="R164" s="109">
        <f>IF($BD164&gt;0,(((($BD164/Dashboard!$D$23)+(1+Precificação!$W$589))*(1+R$28))+$P$26)*(1+Dashboard!$D$35),0)</f>
        <v>0</v>
      </c>
      <c r="S164" s="109">
        <f>IF($BD164&gt;0,(((($BD164/Dashboard!$D$23)+(1+Precificação!$W$589))*(1+S$28))+$P$26)*(1+Dashboard!$D$35),0)</f>
        <v>0</v>
      </c>
      <c r="U164" s="109">
        <f t="shared" si="66"/>
        <v>0</v>
      </c>
      <c r="V164" s="109">
        <f t="shared" si="67"/>
        <v>0</v>
      </c>
      <c r="W164" s="109">
        <f t="shared" si="68"/>
        <v>0</v>
      </c>
      <c r="X164" s="109">
        <f t="shared" si="69"/>
        <v>0</v>
      </c>
      <c r="AA164" s="109">
        <f>IF($BD164&gt;0,(((($BD164/Dashboard!$D$23)*(1+Precificação!$W$589)))+$AA$26)*(1+Dashboard!$D$35),0)</f>
        <v>0</v>
      </c>
      <c r="AB164" s="109">
        <f>IF($BD164&gt;0,(((($BD164/Dashboard!$D$23)*(1+Precificação!$W$589))*(1+AB$28))+$AA$26)*(1+Dashboard!$D$35),0)</f>
        <v>0</v>
      </c>
      <c r="AC164" s="109">
        <f>IF($BD164&gt;0,(((($BD164/Dashboard!$D$23)*(1+Precificação!$W$589))*(1+AC$28))+$AA$26)*(1+Dashboard!$D$35),0)</f>
        <v>0</v>
      </c>
      <c r="AD164" s="109">
        <f>IF($BD164&gt;0,(((($BD164/Dashboard!$D$23)*(1+Precificação!$W$589))*(1+AD$28))+$AA$26)*(1+Dashboard!$D$35),0)</f>
        <v>0</v>
      </c>
      <c r="AF164" s="109">
        <f t="shared" si="70"/>
        <v>0</v>
      </c>
      <c r="AG164" s="109">
        <f t="shared" si="71"/>
        <v>0</v>
      </c>
      <c r="AH164" s="109">
        <f t="shared" si="72"/>
        <v>0</v>
      </c>
      <c r="AI164" s="109">
        <f t="shared" si="73"/>
        <v>0</v>
      </c>
      <c r="AL164" s="109">
        <f>IF($BD164&gt;0,(((($BD164/Dashboard!$D$23)*(1+Precificação!$W$589)))+$AL$26)*(1+Dashboard!$D$35),0)</f>
        <v>0</v>
      </c>
      <c r="AM164" s="109">
        <f>IF($BD164&gt;0,(((($BD164/Dashboard!$D$23)*(1+Precificação!$W$589))*(1+AM$28))+$AA$26)*(1+Dashboard!$D$35),0)</f>
        <v>0</v>
      </c>
      <c r="AN164" s="109">
        <f>IF($BD164&gt;0,(((($BD164/Dashboard!$D$23)*(1+Precificação!$W$589))*(1+AN$28))+$AA$26)*(1+Dashboard!$D$35),0)</f>
        <v>0</v>
      </c>
      <c r="AO164" s="109">
        <f>IF($BD164&gt;0,(((($BD164/Dashboard!$D$23)*(1+Precificação!$W$589))*(1+AO$28))+$AA$26)*(1+Dashboard!$D$35),0)</f>
        <v>0</v>
      </c>
      <c r="AQ164" s="109">
        <f t="shared" si="74"/>
        <v>0</v>
      </c>
      <c r="AR164" s="109">
        <f t="shared" si="75"/>
        <v>0</v>
      </c>
      <c r="AS164" s="109">
        <f t="shared" si="76"/>
        <v>0</v>
      </c>
      <c r="AT164" s="109">
        <f t="shared" si="77"/>
        <v>0</v>
      </c>
      <c r="AW164" s="144">
        <f>VLOOKUP(B164,'Cronog. e Histog.'!$B$213:$BT$688,71,0)</f>
        <v>0</v>
      </c>
      <c r="AX164" s="144">
        <f>VLOOKUP(B164,'Cronog. e Histog.'!$B$213:$BU$688,72,0)</f>
        <v>0</v>
      </c>
      <c r="AY164" s="144">
        <f>$AW164*$AX164*Dashboard!$D$15</f>
        <v>0</v>
      </c>
      <c r="AZ164" s="144">
        <f>VLOOKUP(B164,Precificação!$B$96:$BM$533,54,0)</f>
        <v>0</v>
      </c>
      <c r="BA164" s="144">
        <f>VLOOKUP(B164,Precificação!$B$96:$BR$533,58,0)</f>
        <v>0</v>
      </c>
      <c r="BB164" s="144">
        <f>VLOOKUP(B164,Precificação!$B$96:$BW$533,62,0)</f>
        <v>0</v>
      </c>
      <c r="BC164" s="144">
        <f t="shared" si="78"/>
        <v>0</v>
      </c>
      <c r="BD164" s="109">
        <f>IFERROR(VLOOKUP(B164,Precificação!$B$96:$S$533,13,0),0)</f>
        <v>0</v>
      </c>
      <c r="BE164" s="109">
        <f>IFERROR(VLOOKUP(B164,Precificação!$B$96:$U$533,15,0)/(Precificação!$U$4+Precificação!$U$91),0)*Dashboard!$T$3</f>
        <v>0</v>
      </c>
    </row>
    <row r="165" spans="2:57" ht="12" customHeight="1" outlineLevel="1">
      <c r="B165" s="137" t="str">
        <f>Precificação!B143</f>
        <v>ENG/ARQ SR. - Equipe_01</v>
      </c>
      <c r="D165" s="512"/>
      <c r="E165" s="143" t="str">
        <f>IF('Cronog. e Histog.'!G266&gt;0,'Cronog. e Histog.'!G266,"")</f>
        <v>ENG/ARQ JR.</v>
      </c>
      <c r="G165" s="179">
        <f t="shared" si="65"/>
        <v>0</v>
      </c>
      <c r="H165" s="110">
        <f>IFERROR(INDEX('Base Salarial'!$D$5:$F$25,MATCH(E165,'Base Salarial'!$G$5:$G$25,0),MATCH(I165,'Base Salarial'!$D$4:$F$4,0)),"")</f>
        <v>14000</v>
      </c>
      <c r="I165" s="78" t="str">
        <f>IFERROR(INDEX(Tarefas!$BQ$29:$FK$29,MATCH(E165,Tarefas!$BQ$30:$FK$30,0)),"")</f>
        <v>PJ</v>
      </c>
      <c r="J165" s="81">
        <f>IF(I165="horista",H165*Dashboard!$D$15,IF(OR(I165="Mensalista",I165="PJ"),H165,))</f>
        <v>14000</v>
      </c>
      <c r="K165" s="81">
        <f>IF(I165="PJ",J165,ROUND(J165*(1+Dashboard!$D$22),2))</f>
        <v>14000</v>
      </c>
      <c r="L165" s="77"/>
      <c r="M165" s="180"/>
      <c r="P165" s="109">
        <f>IF($BD165&gt;0,(((($BD165/Dashboard!$D$15)*(1+Precificação!$W$589)))+$P$26)*(1+Dashboard!$D$35),0)</f>
        <v>0</v>
      </c>
      <c r="Q165" s="109">
        <f>IF($BD165&gt;0,(((($BD165/Dashboard!$D$23)+(1+Precificação!$W$589))*(1+Q$28))+$P$26)*(1+Dashboard!$D$35),0)</f>
        <v>0</v>
      </c>
      <c r="R165" s="109">
        <f>IF($BD165&gt;0,(((($BD165/Dashboard!$D$23)+(1+Precificação!$W$589))*(1+R$28))+$P$26)*(1+Dashboard!$D$35),0)</f>
        <v>0</v>
      </c>
      <c r="S165" s="109">
        <f>IF($BD165&gt;0,(((($BD165/Dashboard!$D$23)+(1+Precificação!$W$589))*(1+S$28))+$P$26)*(1+Dashboard!$D$35),0)</f>
        <v>0</v>
      </c>
      <c r="U165" s="109">
        <f t="shared" si="66"/>
        <v>0</v>
      </c>
      <c r="V165" s="109">
        <f t="shared" si="67"/>
        <v>0</v>
      </c>
      <c r="W165" s="109">
        <f t="shared" si="68"/>
        <v>0</v>
      </c>
      <c r="X165" s="109">
        <f t="shared" si="69"/>
        <v>0</v>
      </c>
      <c r="AA165" s="109">
        <f>IF($BD165&gt;0,(((($BD165/Dashboard!$D$23)*(1+Precificação!$W$589)))+$AA$26)*(1+Dashboard!$D$35),0)</f>
        <v>0</v>
      </c>
      <c r="AB165" s="109">
        <f>IF($BD165&gt;0,(((($BD165/Dashboard!$D$23)*(1+Precificação!$W$589))*(1+AB$28))+$AA$26)*(1+Dashboard!$D$35),0)</f>
        <v>0</v>
      </c>
      <c r="AC165" s="109">
        <f>IF($BD165&gt;0,(((($BD165/Dashboard!$D$23)*(1+Precificação!$W$589))*(1+AC$28))+$AA$26)*(1+Dashboard!$D$35),0)</f>
        <v>0</v>
      </c>
      <c r="AD165" s="109">
        <f>IF($BD165&gt;0,(((($BD165/Dashboard!$D$23)*(1+Precificação!$W$589))*(1+AD$28))+$AA$26)*(1+Dashboard!$D$35),0)</f>
        <v>0</v>
      </c>
      <c r="AF165" s="109">
        <f t="shared" si="70"/>
        <v>0</v>
      </c>
      <c r="AG165" s="109">
        <f t="shared" si="71"/>
        <v>0</v>
      </c>
      <c r="AH165" s="109">
        <f t="shared" si="72"/>
        <v>0</v>
      </c>
      <c r="AI165" s="109">
        <f t="shared" si="73"/>
        <v>0</v>
      </c>
      <c r="AL165" s="109">
        <f>IF($BD165&gt;0,(((($BD165/Dashboard!$D$23)*(1+Precificação!$W$589)))+$AL$26)*(1+Dashboard!$D$35),0)</f>
        <v>0</v>
      </c>
      <c r="AM165" s="109">
        <f>IF($BD165&gt;0,(((($BD165/Dashboard!$D$23)*(1+Precificação!$W$589))*(1+AM$28))+$AA$26)*(1+Dashboard!$D$35),0)</f>
        <v>0</v>
      </c>
      <c r="AN165" s="109">
        <f>IF($BD165&gt;0,(((($BD165/Dashboard!$D$23)*(1+Precificação!$W$589))*(1+AN$28))+$AA$26)*(1+Dashboard!$D$35),0)</f>
        <v>0</v>
      </c>
      <c r="AO165" s="109">
        <f>IF($BD165&gt;0,(((($BD165/Dashboard!$D$23)*(1+Precificação!$W$589))*(1+AO$28))+$AA$26)*(1+Dashboard!$D$35),0)</f>
        <v>0</v>
      </c>
      <c r="AQ165" s="109">
        <f t="shared" si="74"/>
        <v>0</v>
      </c>
      <c r="AR165" s="109">
        <f t="shared" si="75"/>
        <v>0</v>
      </c>
      <c r="AS165" s="109">
        <f t="shared" si="76"/>
        <v>0</v>
      </c>
      <c r="AT165" s="109">
        <f t="shared" si="77"/>
        <v>0</v>
      </c>
      <c r="AW165" s="144">
        <f>VLOOKUP(B165,'Cronog. e Histog.'!$B$213:$BT$688,71,0)</f>
        <v>9.9999999999999985E-3</v>
      </c>
      <c r="AX165" s="144">
        <f>VLOOKUP(B165,'Cronog. e Histog.'!$B$213:$BU$688,72,0)</f>
        <v>10</v>
      </c>
      <c r="AY165" s="144">
        <f>$AW165*$AX165*Dashboard!$D$15</f>
        <v>19.36</v>
      </c>
      <c r="AZ165" s="144">
        <f>VLOOKUP(B165,Precificação!$B$96:$BM$533,54,0)</f>
        <v>0</v>
      </c>
      <c r="BA165" s="144">
        <f>VLOOKUP(B165,Precificação!$B$96:$BR$533,58,0)</f>
        <v>0</v>
      </c>
      <c r="BB165" s="144">
        <f>VLOOKUP(B165,Precificação!$B$96:$BW$533,62,0)</f>
        <v>0</v>
      </c>
      <c r="BC165" s="144">
        <f t="shared" si="78"/>
        <v>19.36</v>
      </c>
      <c r="BD165" s="109">
        <f>IFERROR(VLOOKUP(B165,Precificação!$B$96:$S$533,13,0),0)</f>
        <v>0</v>
      </c>
      <c r="BE165" s="109">
        <f>IFERROR(VLOOKUP(B165,Precificação!$B$96:$U$533,15,0)/(Precificação!$U$4+Precificação!$U$91),0)*Dashboard!$T$3</f>
        <v>0</v>
      </c>
    </row>
    <row r="166" spans="2:57" ht="12" customHeight="1" outlineLevel="1">
      <c r="B166" s="137" t="str">
        <f>Precificação!B144</f>
        <v>ENG/ARQ PL. - Equipe_01</v>
      </c>
      <c r="D166" s="512"/>
      <c r="E166" s="143" t="str">
        <f>IF('Cronog. e Histog.'!G267&gt;0,'Cronog. e Histog.'!G267,"")</f>
        <v>AN SR. ENG/ARQ</v>
      </c>
      <c r="G166" s="179">
        <f t="shared" si="65"/>
        <v>0</v>
      </c>
      <c r="H166" s="110">
        <f>IFERROR(INDEX('Base Salarial'!$D$5:$F$25,MATCH(E166,'Base Salarial'!$G$5:$G$25,0),MATCH(I166,'Base Salarial'!$D$4:$F$4,0)),"")</f>
        <v>7500</v>
      </c>
      <c r="I166" s="78" t="str">
        <f>IFERROR(INDEX(Tarefas!$BQ$29:$FK$29,MATCH(E166,Tarefas!$BQ$30:$FK$30,0)),"")</f>
        <v>Mensalista</v>
      </c>
      <c r="J166" s="81">
        <f>IF(I166="horista",H166*Dashboard!$D$15,IF(OR(I166="Mensalista",I166="PJ"),H166,))</f>
        <v>7500</v>
      </c>
      <c r="K166" s="81">
        <f>IF(I166="PJ",J166,ROUND(J166*(1+Dashboard!$D$22),2))</f>
        <v>7950</v>
      </c>
      <c r="L166" s="77"/>
      <c r="M166" s="180"/>
      <c r="P166" s="109">
        <f>IF($BD166&gt;0,(((($BD166/Dashboard!$D$15)*(1+Precificação!$W$589)))+$P$26)*(1+Dashboard!$D$35),0)</f>
        <v>0</v>
      </c>
      <c r="Q166" s="109">
        <f>IF($BD166&gt;0,(((($BD166/Dashboard!$D$23)+(1+Precificação!$W$589))*(1+Q$28))+$P$26)*(1+Dashboard!$D$35),0)</f>
        <v>0</v>
      </c>
      <c r="R166" s="109">
        <f>IF($BD166&gt;0,(((($BD166/Dashboard!$D$23)+(1+Precificação!$W$589))*(1+R$28))+$P$26)*(1+Dashboard!$D$35),0)</f>
        <v>0</v>
      </c>
      <c r="S166" s="109">
        <f>IF($BD166&gt;0,(((($BD166/Dashboard!$D$23)+(1+Precificação!$W$589))*(1+S$28))+$P$26)*(1+Dashboard!$D$35),0)</f>
        <v>0</v>
      </c>
      <c r="U166" s="109">
        <f t="shared" si="66"/>
        <v>0</v>
      </c>
      <c r="V166" s="109">
        <f t="shared" si="67"/>
        <v>0</v>
      </c>
      <c r="W166" s="109">
        <f t="shared" si="68"/>
        <v>0</v>
      </c>
      <c r="X166" s="109">
        <f t="shared" si="69"/>
        <v>0</v>
      </c>
      <c r="AA166" s="109">
        <f>IF($BD166&gt;0,(((($BD166/Dashboard!$D$23)*(1+Precificação!$W$589)))+$AA$26)*(1+Dashboard!$D$35),0)</f>
        <v>0</v>
      </c>
      <c r="AB166" s="109">
        <f>IF($BD166&gt;0,(((($BD166/Dashboard!$D$23)*(1+Precificação!$W$589))*(1+AB$28))+$AA$26)*(1+Dashboard!$D$35),0)</f>
        <v>0</v>
      </c>
      <c r="AC166" s="109">
        <f>IF($BD166&gt;0,(((($BD166/Dashboard!$D$23)*(1+Precificação!$W$589))*(1+AC$28))+$AA$26)*(1+Dashboard!$D$35),0)</f>
        <v>0</v>
      </c>
      <c r="AD166" s="109">
        <f>IF($BD166&gt;0,(((($BD166/Dashboard!$D$23)*(1+Precificação!$W$589))*(1+AD$28))+$AA$26)*(1+Dashboard!$D$35),0)</f>
        <v>0</v>
      </c>
      <c r="AF166" s="109">
        <f t="shared" si="70"/>
        <v>0</v>
      </c>
      <c r="AG166" s="109">
        <f t="shared" si="71"/>
        <v>0</v>
      </c>
      <c r="AH166" s="109">
        <f t="shared" si="72"/>
        <v>0</v>
      </c>
      <c r="AI166" s="109">
        <f t="shared" si="73"/>
        <v>0</v>
      </c>
      <c r="AL166" s="109">
        <f>IF($BD166&gt;0,(((($BD166/Dashboard!$D$23)*(1+Precificação!$W$589)))+$AL$26)*(1+Dashboard!$D$35),0)</f>
        <v>0</v>
      </c>
      <c r="AM166" s="109">
        <f>IF($BD166&gt;0,(((($BD166/Dashboard!$D$23)*(1+Precificação!$W$589))*(1+AM$28))+$AA$26)*(1+Dashboard!$D$35),0)</f>
        <v>0</v>
      </c>
      <c r="AN166" s="109">
        <f>IF($BD166&gt;0,(((($BD166/Dashboard!$D$23)*(1+Precificação!$W$589))*(1+AN$28))+$AA$26)*(1+Dashboard!$D$35),0)</f>
        <v>0</v>
      </c>
      <c r="AO166" s="109">
        <f>IF($BD166&gt;0,(((($BD166/Dashboard!$D$23)*(1+Precificação!$W$589))*(1+AO$28))+$AA$26)*(1+Dashboard!$D$35),0)</f>
        <v>0</v>
      </c>
      <c r="AQ166" s="109">
        <f t="shared" si="74"/>
        <v>0</v>
      </c>
      <c r="AR166" s="109">
        <f t="shared" si="75"/>
        <v>0</v>
      </c>
      <c r="AS166" s="109">
        <f t="shared" si="76"/>
        <v>0</v>
      </c>
      <c r="AT166" s="109">
        <f t="shared" si="77"/>
        <v>0</v>
      </c>
      <c r="AW166" s="144">
        <f>VLOOKUP(B166,'Cronog. e Histog.'!$B$213:$BT$688,71,0)</f>
        <v>0</v>
      </c>
      <c r="AX166" s="144">
        <f>VLOOKUP(B166,'Cronog. e Histog.'!$B$213:$BU$688,72,0)</f>
        <v>0</v>
      </c>
      <c r="AY166" s="144">
        <f>$AW166*$AX166*Dashboard!$D$15</f>
        <v>0</v>
      </c>
      <c r="AZ166" s="144">
        <f>VLOOKUP(B166,Precificação!$B$96:$BM$533,54,0)</f>
        <v>0</v>
      </c>
      <c r="BA166" s="144">
        <f>VLOOKUP(B166,Precificação!$B$96:$BR$533,58,0)</f>
        <v>0</v>
      </c>
      <c r="BB166" s="144">
        <f>VLOOKUP(B166,Precificação!$B$96:$BW$533,62,0)</f>
        <v>0</v>
      </c>
      <c r="BC166" s="144">
        <f t="shared" si="78"/>
        <v>0</v>
      </c>
      <c r="BD166" s="109">
        <f>IFERROR(VLOOKUP(B166,Precificação!$B$96:$S$533,13,0),0)</f>
        <v>0</v>
      </c>
      <c r="BE166" s="109">
        <f>IFERROR(VLOOKUP(B166,Precificação!$B$96:$U$533,15,0)/(Precificação!$U$4+Precificação!$U$91),0)*Dashboard!$T$3</f>
        <v>0</v>
      </c>
    </row>
    <row r="167" spans="2:57" ht="12" customHeight="1" outlineLevel="1">
      <c r="B167" s="137" t="str">
        <f>Precificação!B145</f>
        <v>ENG/ARQ JR. - Equipe_01</v>
      </c>
      <c r="D167" s="512"/>
      <c r="E167" s="143" t="str">
        <f>IF('Cronog. e Histog.'!G268&gt;0,'Cronog. e Histog.'!G268,"")</f>
        <v>AN PL. ENG/ARQ</v>
      </c>
      <c r="G167" s="179">
        <f t="shared" si="65"/>
        <v>0</v>
      </c>
      <c r="H167" s="110">
        <f>IFERROR(INDEX('Base Salarial'!$D$5:$F$25,MATCH(E167,'Base Salarial'!$G$5:$G$25,0),MATCH(I167,'Base Salarial'!$D$4:$F$4,0)),"")</f>
        <v>6000</v>
      </c>
      <c r="I167" s="78" t="str">
        <f>IFERROR(INDEX(Tarefas!$BQ$29:$FK$29,MATCH(E167,Tarefas!$BQ$30:$FK$30,0)),"")</f>
        <v>Mensalista</v>
      </c>
      <c r="J167" s="81">
        <f>IF(I167="horista",H167*Dashboard!$D$15,IF(OR(I167="Mensalista",I167="PJ"),H167,))</f>
        <v>6000</v>
      </c>
      <c r="K167" s="81">
        <f>IF(I167="PJ",J167,ROUND(J167*(1+Dashboard!$D$22),2))</f>
        <v>6360</v>
      </c>
      <c r="L167" s="77"/>
      <c r="M167" s="180"/>
      <c r="P167" s="109">
        <f>IF($BD167&gt;0,(((($BD167/Dashboard!$D$15)*(1+Precificação!$W$589)))+$P$26)*(1+Dashboard!$D$35),0)</f>
        <v>0</v>
      </c>
      <c r="Q167" s="109">
        <f>IF($BD167&gt;0,(((($BD167/Dashboard!$D$23)+(1+Precificação!$W$589))*(1+Q$28))+$P$26)*(1+Dashboard!$D$35),0)</f>
        <v>0</v>
      </c>
      <c r="R167" s="109">
        <f>IF($BD167&gt;0,(((($BD167/Dashboard!$D$23)+(1+Precificação!$W$589))*(1+R$28))+$P$26)*(1+Dashboard!$D$35),0)</f>
        <v>0</v>
      </c>
      <c r="S167" s="109">
        <f>IF($BD167&gt;0,(((($BD167/Dashboard!$D$23)+(1+Precificação!$W$589))*(1+S$28))+$P$26)*(1+Dashboard!$D$35),0)</f>
        <v>0</v>
      </c>
      <c r="U167" s="109">
        <f t="shared" si="66"/>
        <v>0</v>
      </c>
      <c r="V167" s="109">
        <f t="shared" si="67"/>
        <v>0</v>
      </c>
      <c r="W167" s="109">
        <f t="shared" si="68"/>
        <v>0</v>
      </c>
      <c r="X167" s="109">
        <f t="shared" si="69"/>
        <v>0</v>
      </c>
      <c r="AA167" s="109">
        <f>IF($BD167&gt;0,(((($BD167/Dashboard!$D$23)*(1+Precificação!$W$589)))+$AA$26)*(1+Dashboard!$D$35),0)</f>
        <v>0</v>
      </c>
      <c r="AB167" s="109">
        <f>IF($BD167&gt;0,(((($BD167/Dashboard!$D$23)*(1+Precificação!$W$589))*(1+AB$28))+$AA$26)*(1+Dashboard!$D$35),0)</f>
        <v>0</v>
      </c>
      <c r="AC167" s="109">
        <f>IF($BD167&gt;0,(((($BD167/Dashboard!$D$23)*(1+Precificação!$W$589))*(1+AC$28))+$AA$26)*(1+Dashboard!$D$35),0)</f>
        <v>0</v>
      </c>
      <c r="AD167" s="109">
        <f>IF($BD167&gt;0,(((($BD167/Dashboard!$D$23)*(1+Precificação!$W$589))*(1+AD$28))+$AA$26)*(1+Dashboard!$D$35),0)</f>
        <v>0</v>
      </c>
      <c r="AF167" s="109">
        <f t="shared" si="70"/>
        <v>0</v>
      </c>
      <c r="AG167" s="109">
        <f t="shared" si="71"/>
        <v>0</v>
      </c>
      <c r="AH167" s="109">
        <f t="shared" si="72"/>
        <v>0</v>
      </c>
      <c r="AI167" s="109">
        <f t="shared" si="73"/>
        <v>0</v>
      </c>
      <c r="AL167" s="109">
        <f>IF($BD167&gt;0,(((($BD167/Dashboard!$D$23)*(1+Precificação!$W$589)))+$AL$26)*(1+Dashboard!$D$35),0)</f>
        <v>0</v>
      </c>
      <c r="AM167" s="109">
        <f>IF($BD167&gt;0,(((($BD167/Dashboard!$D$23)*(1+Precificação!$W$589))*(1+AM$28))+$AA$26)*(1+Dashboard!$D$35),0)</f>
        <v>0</v>
      </c>
      <c r="AN167" s="109">
        <f>IF($BD167&gt;0,(((($BD167/Dashboard!$D$23)*(1+Precificação!$W$589))*(1+AN$28))+$AA$26)*(1+Dashboard!$D$35),0)</f>
        <v>0</v>
      </c>
      <c r="AO167" s="109">
        <f>IF($BD167&gt;0,(((($BD167/Dashboard!$D$23)*(1+Precificação!$W$589))*(1+AO$28))+$AA$26)*(1+Dashboard!$D$35),0)</f>
        <v>0</v>
      </c>
      <c r="AQ167" s="109">
        <f t="shared" si="74"/>
        <v>0</v>
      </c>
      <c r="AR167" s="109">
        <f t="shared" si="75"/>
        <v>0</v>
      </c>
      <c r="AS167" s="109">
        <f t="shared" si="76"/>
        <v>0</v>
      </c>
      <c r="AT167" s="109">
        <f t="shared" si="77"/>
        <v>0</v>
      </c>
      <c r="AW167" s="144">
        <f>VLOOKUP(B167,'Cronog. e Histog.'!$B$213:$BT$688,71,0)</f>
        <v>0</v>
      </c>
      <c r="AX167" s="144">
        <f>VLOOKUP(B167,'Cronog. e Histog.'!$B$213:$BU$688,72,0)</f>
        <v>0</v>
      </c>
      <c r="AY167" s="144">
        <f>$AW167*$AX167*Dashboard!$D$15</f>
        <v>0</v>
      </c>
      <c r="AZ167" s="144">
        <f>VLOOKUP(B167,Precificação!$B$96:$BM$533,54,0)</f>
        <v>0</v>
      </c>
      <c r="BA167" s="144">
        <f>VLOOKUP(B167,Precificação!$B$96:$BR$533,58,0)</f>
        <v>0</v>
      </c>
      <c r="BB167" s="144">
        <f>VLOOKUP(B167,Precificação!$B$96:$BW$533,62,0)</f>
        <v>0</v>
      </c>
      <c r="BC167" s="144">
        <f t="shared" si="78"/>
        <v>0</v>
      </c>
      <c r="BD167" s="109">
        <f>IFERROR(VLOOKUP(B167,Precificação!$B$96:$S$533,13,0),0)</f>
        <v>0</v>
      </c>
      <c r="BE167" s="109">
        <f>IFERROR(VLOOKUP(B167,Precificação!$B$96:$U$533,15,0)/(Precificação!$U$4+Precificação!$U$91),0)*Dashboard!$T$3</f>
        <v>0</v>
      </c>
    </row>
    <row r="168" spans="2:57" ht="12" customHeight="1" outlineLevel="1">
      <c r="B168" s="137" t="str">
        <f>Precificação!B146</f>
        <v>AN SR. ENG/ARQ - Equipe_01</v>
      </c>
      <c r="D168" s="512"/>
      <c r="E168" s="143" t="str">
        <f>IF('Cronog. e Histog.'!G269&gt;0,'Cronog. e Histog.'!G269,"")</f>
        <v>AN JR. ENG/ARQ</v>
      </c>
      <c r="G168" s="179">
        <f t="shared" si="65"/>
        <v>0</v>
      </c>
      <c r="H168" s="110">
        <f>IFERROR(INDEX('Base Salarial'!$D$5:$F$25,MATCH(E168,'Base Salarial'!$G$5:$G$25,0),MATCH(I168,'Base Salarial'!$D$4:$F$4,0)),"")</f>
        <v>4500</v>
      </c>
      <c r="I168" s="78" t="str">
        <f>IFERROR(INDEX(Tarefas!$BQ$29:$FK$29,MATCH(E168,Tarefas!$BQ$30:$FK$30,0)),"")</f>
        <v>Mensalista</v>
      </c>
      <c r="J168" s="81">
        <f>IF(I168="horista",H168*Dashboard!$D$15,IF(OR(I168="Mensalista",I168="PJ"),H168,))</f>
        <v>4500</v>
      </c>
      <c r="K168" s="81">
        <f>IF(I168="PJ",J168,ROUND(J168*(1+Dashboard!$D$22),2))</f>
        <v>4770</v>
      </c>
      <c r="L168" s="77"/>
      <c r="M168" s="180"/>
      <c r="P168" s="109">
        <f>IF($BD168&gt;0,(((($BD168/Dashboard!$D$15)*(1+Precificação!$W$589)))+$P$26)*(1+Dashboard!$D$35),0)</f>
        <v>0</v>
      </c>
      <c r="Q168" s="109">
        <f>IF($BD168&gt;0,(((($BD168/Dashboard!$D$23)+(1+Precificação!$W$589))*(1+Q$28))+$P$26)*(1+Dashboard!$D$35),0)</f>
        <v>0</v>
      </c>
      <c r="R168" s="109">
        <f>IF($BD168&gt;0,(((($BD168/Dashboard!$D$23)+(1+Precificação!$W$589))*(1+R$28))+$P$26)*(1+Dashboard!$D$35),0)</f>
        <v>0</v>
      </c>
      <c r="S168" s="109">
        <f>IF($BD168&gt;0,(((($BD168/Dashboard!$D$23)+(1+Precificação!$W$589))*(1+S$28))+$P$26)*(1+Dashboard!$D$35),0)</f>
        <v>0</v>
      </c>
      <c r="U168" s="109">
        <f t="shared" si="66"/>
        <v>0</v>
      </c>
      <c r="V168" s="109">
        <f t="shared" si="67"/>
        <v>0</v>
      </c>
      <c r="W168" s="109">
        <f t="shared" si="68"/>
        <v>0</v>
      </c>
      <c r="X168" s="109">
        <f t="shared" si="69"/>
        <v>0</v>
      </c>
      <c r="AA168" s="109">
        <f>IF($BD168&gt;0,(((($BD168/Dashboard!$D$23)*(1+Precificação!$W$589)))+$AA$26)*(1+Dashboard!$D$35),0)</f>
        <v>0</v>
      </c>
      <c r="AB168" s="109">
        <f>IF($BD168&gt;0,(((($BD168/Dashboard!$D$23)*(1+Precificação!$W$589))*(1+AB$28))+$AA$26)*(1+Dashboard!$D$35),0)</f>
        <v>0</v>
      </c>
      <c r="AC168" s="109">
        <f>IF($BD168&gt;0,(((($BD168/Dashboard!$D$23)*(1+Precificação!$W$589))*(1+AC$28))+$AA$26)*(1+Dashboard!$D$35),0)</f>
        <v>0</v>
      </c>
      <c r="AD168" s="109">
        <f>IF($BD168&gt;0,(((($BD168/Dashboard!$D$23)*(1+Precificação!$W$589))*(1+AD$28))+$AA$26)*(1+Dashboard!$D$35),0)</f>
        <v>0</v>
      </c>
      <c r="AF168" s="109">
        <f t="shared" si="70"/>
        <v>0</v>
      </c>
      <c r="AG168" s="109">
        <f t="shared" si="71"/>
        <v>0</v>
      </c>
      <c r="AH168" s="109">
        <f t="shared" si="72"/>
        <v>0</v>
      </c>
      <c r="AI168" s="109">
        <f t="shared" si="73"/>
        <v>0</v>
      </c>
      <c r="AL168" s="109">
        <f>IF($BD168&gt;0,(((($BD168/Dashboard!$D$23)*(1+Precificação!$W$589)))+$AL$26)*(1+Dashboard!$D$35),0)</f>
        <v>0</v>
      </c>
      <c r="AM168" s="109">
        <f>IF($BD168&gt;0,(((($BD168/Dashboard!$D$23)*(1+Precificação!$W$589))*(1+AM$28))+$AA$26)*(1+Dashboard!$D$35),0)</f>
        <v>0</v>
      </c>
      <c r="AN168" s="109">
        <f>IF($BD168&gt;0,(((($BD168/Dashboard!$D$23)*(1+Precificação!$W$589))*(1+AN$28))+$AA$26)*(1+Dashboard!$D$35),0)</f>
        <v>0</v>
      </c>
      <c r="AO168" s="109">
        <f>IF($BD168&gt;0,(((($BD168/Dashboard!$D$23)*(1+Precificação!$W$589))*(1+AO$28))+$AA$26)*(1+Dashboard!$D$35),0)</f>
        <v>0</v>
      </c>
      <c r="AQ168" s="109">
        <f t="shared" si="74"/>
        <v>0</v>
      </c>
      <c r="AR168" s="109">
        <f t="shared" si="75"/>
        <v>0</v>
      </c>
      <c r="AS168" s="109">
        <f t="shared" si="76"/>
        <v>0</v>
      </c>
      <c r="AT168" s="109">
        <f t="shared" si="77"/>
        <v>0</v>
      </c>
      <c r="AW168" s="144">
        <f>VLOOKUP(B168,'Cronog. e Histog.'!$B$213:$BT$688,71,0)</f>
        <v>0</v>
      </c>
      <c r="AX168" s="144">
        <f>VLOOKUP(B168,'Cronog. e Histog.'!$B$213:$BU$688,72,0)</f>
        <v>0</v>
      </c>
      <c r="AY168" s="144">
        <f>$AW168*$AX168*Dashboard!$D$15</f>
        <v>0</v>
      </c>
      <c r="AZ168" s="144">
        <f>VLOOKUP(B168,Precificação!$B$96:$BM$533,54,0)</f>
        <v>0</v>
      </c>
      <c r="BA168" s="144">
        <f>VLOOKUP(B168,Precificação!$B$96:$BR$533,58,0)</f>
        <v>0</v>
      </c>
      <c r="BB168" s="144">
        <f>VLOOKUP(B168,Precificação!$B$96:$BW$533,62,0)</f>
        <v>0</v>
      </c>
      <c r="BC168" s="144">
        <f t="shared" si="78"/>
        <v>0</v>
      </c>
      <c r="BD168" s="109">
        <f>IFERROR(VLOOKUP(B168,Precificação!$B$96:$S$533,13,0),0)</f>
        <v>0</v>
      </c>
      <c r="BE168" s="109">
        <f>IFERROR(VLOOKUP(B168,Precificação!$B$96:$U$533,15,0)/(Precificação!$U$4+Precificação!$U$91),0)*Dashboard!$T$3</f>
        <v>0</v>
      </c>
    </row>
    <row r="169" spans="2:57" ht="12" customHeight="1" outlineLevel="1">
      <c r="B169" s="137" t="str">
        <f>Precificação!B147</f>
        <v>AN PL. ENG/ARQ - Equipe_01</v>
      </c>
      <c r="D169" s="512"/>
      <c r="E169" s="143" t="str">
        <f>IF('Cronog. e Histog.'!G270&gt;0,'Cronog. e Histog.'!G270,"")</f>
        <v>AN SR. ADM/CRP</v>
      </c>
      <c r="G169" s="179">
        <f t="shared" si="65"/>
        <v>0</v>
      </c>
      <c r="H169" s="110">
        <f>IFERROR(INDEX('Base Salarial'!$D$5:$F$25,MATCH(E169,'Base Salarial'!$G$5:$G$25,0),MATCH(I169,'Base Salarial'!$D$4:$F$4,0)),"")</f>
        <v>7000</v>
      </c>
      <c r="I169" s="78" t="str">
        <f>IFERROR(INDEX(Tarefas!$BQ$29:$FK$29,MATCH(E169,Tarefas!$BQ$30:$FK$30,0)),"")</f>
        <v>Mensalista</v>
      </c>
      <c r="J169" s="81">
        <f>IF(I169="horista",H169*Dashboard!$D$15,IF(OR(I169="Mensalista",I169="PJ"),H169,))</f>
        <v>7000</v>
      </c>
      <c r="K169" s="81">
        <f>IF(I169="PJ",J169,ROUND(J169*(1+Dashboard!$D$22),2))</f>
        <v>7420</v>
      </c>
      <c r="L169" s="77"/>
      <c r="M169" s="180"/>
      <c r="P169" s="109">
        <f>IF($BD169&gt;0,(((($BD169/Dashboard!$D$15)*(1+Precificação!$W$589)))+$P$26)*(1+Dashboard!$D$35),0)</f>
        <v>0</v>
      </c>
      <c r="Q169" s="109">
        <f>IF($BD169&gt;0,(((($BD169/Dashboard!$D$23)+(1+Precificação!$W$589))*(1+Q$28))+$P$26)*(1+Dashboard!$D$35),0)</f>
        <v>0</v>
      </c>
      <c r="R169" s="109">
        <f>IF($BD169&gt;0,(((($BD169/Dashboard!$D$23)+(1+Precificação!$W$589))*(1+R$28))+$P$26)*(1+Dashboard!$D$35),0)</f>
        <v>0</v>
      </c>
      <c r="S169" s="109">
        <f>IF($BD169&gt;0,(((($BD169/Dashboard!$D$23)+(1+Precificação!$W$589))*(1+S$28))+$P$26)*(1+Dashboard!$D$35),0)</f>
        <v>0</v>
      </c>
      <c r="U169" s="109">
        <f t="shared" si="66"/>
        <v>0</v>
      </c>
      <c r="V169" s="109">
        <f t="shared" si="67"/>
        <v>0</v>
      </c>
      <c r="W169" s="109">
        <f t="shared" si="68"/>
        <v>0</v>
      </c>
      <c r="X169" s="109">
        <f t="shared" si="69"/>
        <v>0</v>
      </c>
      <c r="AA169" s="109">
        <f>IF($BD169&gt;0,(((($BD169/Dashboard!$D$23)*(1+Precificação!$W$589)))+$AA$26)*(1+Dashboard!$D$35),0)</f>
        <v>0</v>
      </c>
      <c r="AB169" s="109">
        <f>IF($BD169&gt;0,(((($BD169/Dashboard!$D$23)*(1+Precificação!$W$589))*(1+AB$28))+$AA$26)*(1+Dashboard!$D$35),0)</f>
        <v>0</v>
      </c>
      <c r="AC169" s="109">
        <f>IF($BD169&gt;0,(((($BD169/Dashboard!$D$23)*(1+Precificação!$W$589))*(1+AC$28))+$AA$26)*(1+Dashboard!$D$35),0)</f>
        <v>0</v>
      </c>
      <c r="AD169" s="109">
        <f>IF($BD169&gt;0,(((($BD169/Dashboard!$D$23)*(1+Precificação!$W$589))*(1+AD$28))+$AA$26)*(1+Dashboard!$D$35),0)</f>
        <v>0</v>
      </c>
      <c r="AF169" s="109">
        <f t="shared" si="70"/>
        <v>0</v>
      </c>
      <c r="AG169" s="109">
        <f t="shared" si="71"/>
        <v>0</v>
      </c>
      <c r="AH169" s="109">
        <f t="shared" si="72"/>
        <v>0</v>
      </c>
      <c r="AI169" s="109">
        <f t="shared" si="73"/>
        <v>0</v>
      </c>
      <c r="AL169" s="109">
        <f>IF($BD169&gt;0,(((($BD169/Dashboard!$D$23)*(1+Precificação!$W$589)))+$AL$26)*(1+Dashboard!$D$35),0)</f>
        <v>0</v>
      </c>
      <c r="AM169" s="109">
        <f>IF($BD169&gt;0,(((($BD169/Dashboard!$D$23)*(1+Precificação!$W$589))*(1+AM$28))+$AA$26)*(1+Dashboard!$D$35),0)</f>
        <v>0</v>
      </c>
      <c r="AN169" s="109">
        <f>IF($BD169&gt;0,(((($BD169/Dashboard!$D$23)*(1+Precificação!$W$589))*(1+AN$28))+$AA$26)*(1+Dashboard!$D$35),0)</f>
        <v>0</v>
      </c>
      <c r="AO169" s="109">
        <f>IF($BD169&gt;0,(((($BD169/Dashboard!$D$23)*(1+Precificação!$W$589))*(1+AO$28))+$AA$26)*(1+Dashboard!$D$35),0)</f>
        <v>0</v>
      </c>
      <c r="AQ169" s="109">
        <f t="shared" si="74"/>
        <v>0</v>
      </c>
      <c r="AR169" s="109">
        <f t="shared" si="75"/>
        <v>0</v>
      </c>
      <c r="AS169" s="109">
        <f t="shared" si="76"/>
        <v>0</v>
      </c>
      <c r="AT169" s="109">
        <f t="shared" si="77"/>
        <v>0</v>
      </c>
      <c r="AW169" s="144">
        <f>VLOOKUP(B169,'Cronog. e Histog.'!$B$213:$BT$688,71,0)</f>
        <v>0</v>
      </c>
      <c r="AX169" s="144">
        <f>VLOOKUP(B169,'Cronog. e Histog.'!$B$213:$BU$688,72,0)</f>
        <v>0</v>
      </c>
      <c r="AY169" s="144">
        <f>$AW169*$AX169*Dashboard!$D$15</f>
        <v>0</v>
      </c>
      <c r="AZ169" s="144">
        <f>VLOOKUP(B169,Precificação!$B$96:$BM$533,54,0)</f>
        <v>0</v>
      </c>
      <c r="BA169" s="144">
        <f>VLOOKUP(B169,Precificação!$B$96:$BR$533,58,0)</f>
        <v>0</v>
      </c>
      <c r="BB169" s="144">
        <f>VLOOKUP(B169,Precificação!$B$96:$BW$533,62,0)</f>
        <v>0</v>
      </c>
      <c r="BC169" s="144">
        <f t="shared" si="78"/>
        <v>0</v>
      </c>
      <c r="BD169" s="109">
        <f>IFERROR(VLOOKUP(B169,Precificação!$B$96:$S$533,13,0),0)</f>
        <v>0</v>
      </c>
      <c r="BE169" s="109">
        <f>IFERROR(VLOOKUP(B169,Precificação!$B$96:$U$533,15,0)/(Precificação!$U$4+Precificação!$U$91),0)*Dashboard!$T$3</f>
        <v>0</v>
      </c>
    </row>
    <row r="170" spans="2:57" ht="12" customHeight="1" outlineLevel="1">
      <c r="B170" s="137" t="str">
        <f>Precificação!B148</f>
        <v>AN JR. ENG/ARQ - Equipe_01</v>
      </c>
      <c r="D170" s="512"/>
      <c r="E170" s="143" t="str">
        <f>IF('Cronog. e Histog.'!G271&gt;0,'Cronog. e Histog.'!G271,"")</f>
        <v>AN PL. ADM/CRP</v>
      </c>
      <c r="G170" s="179">
        <f t="shared" si="65"/>
        <v>0</v>
      </c>
      <c r="H170" s="110">
        <f>IFERROR(INDEX('Base Salarial'!$D$5:$F$25,MATCH(E170,'Base Salarial'!$G$5:$G$25,0),MATCH(I170,'Base Salarial'!$D$4:$F$4,0)),"")</f>
        <v>5000</v>
      </c>
      <c r="I170" s="78" t="str">
        <f>IFERROR(INDEX(Tarefas!$BQ$29:$FK$29,MATCH(E170,Tarefas!$BQ$30:$FK$30,0)),"")</f>
        <v>Mensalista</v>
      </c>
      <c r="J170" s="81">
        <f>IF(I170="horista",H170*Dashboard!$D$15,IF(OR(I170="Mensalista",I170="PJ"),H170,))</f>
        <v>5000</v>
      </c>
      <c r="K170" s="81">
        <f>IF(I170="PJ",J170,ROUND(J170*(1+Dashboard!$D$22),2))</f>
        <v>5300</v>
      </c>
      <c r="L170" s="77"/>
      <c r="M170" s="180"/>
      <c r="P170" s="109">
        <f>IF($BD170&gt;0,(((($BD170/Dashboard!$D$15)*(1+Precificação!$W$589)))+$P$26)*(1+Dashboard!$D$35),0)</f>
        <v>0</v>
      </c>
      <c r="Q170" s="109">
        <f>IF($BD170&gt;0,(((($BD170/Dashboard!$D$23)+(1+Precificação!$W$589))*(1+Q$28))+$P$26)*(1+Dashboard!$D$35),0)</f>
        <v>0</v>
      </c>
      <c r="R170" s="109">
        <f>IF($BD170&gt;0,(((($BD170/Dashboard!$D$23)+(1+Precificação!$W$589))*(1+R$28))+$P$26)*(1+Dashboard!$D$35),0)</f>
        <v>0</v>
      </c>
      <c r="S170" s="109">
        <f>IF($BD170&gt;0,(((($BD170/Dashboard!$D$23)+(1+Precificação!$W$589))*(1+S$28))+$P$26)*(1+Dashboard!$D$35),0)</f>
        <v>0</v>
      </c>
      <c r="U170" s="109">
        <f t="shared" si="66"/>
        <v>0</v>
      </c>
      <c r="V170" s="109">
        <f t="shared" si="67"/>
        <v>0</v>
      </c>
      <c r="W170" s="109">
        <f t="shared" si="68"/>
        <v>0</v>
      </c>
      <c r="X170" s="109">
        <f t="shared" si="69"/>
        <v>0</v>
      </c>
      <c r="AA170" s="109">
        <f>IF($BD170&gt;0,(((($BD170/Dashboard!$D$23)*(1+Precificação!$W$589)))+$AA$26)*(1+Dashboard!$D$35),0)</f>
        <v>0</v>
      </c>
      <c r="AB170" s="109">
        <f>IF($BD170&gt;0,(((($BD170/Dashboard!$D$23)*(1+Precificação!$W$589))*(1+AB$28))+$AA$26)*(1+Dashboard!$D$35),0)</f>
        <v>0</v>
      </c>
      <c r="AC170" s="109">
        <f>IF($BD170&gt;0,(((($BD170/Dashboard!$D$23)*(1+Precificação!$W$589))*(1+AC$28))+$AA$26)*(1+Dashboard!$D$35),0)</f>
        <v>0</v>
      </c>
      <c r="AD170" s="109">
        <f>IF($BD170&gt;0,(((($BD170/Dashboard!$D$23)*(1+Precificação!$W$589))*(1+AD$28))+$AA$26)*(1+Dashboard!$D$35),0)</f>
        <v>0</v>
      </c>
      <c r="AF170" s="109">
        <f t="shared" si="70"/>
        <v>0</v>
      </c>
      <c r="AG170" s="109">
        <f t="shared" si="71"/>
        <v>0</v>
      </c>
      <c r="AH170" s="109">
        <f t="shared" si="72"/>
        <v>0</v>
      </c>
      <c r="AI170" s="109">
        <f t="shared" si="73"/>
        <v>0</v>
      </c>
      <c r="AL170" s="109">
        <f>IF($BD170&gt;0,(((($BD170/Dashboard!$D$23)*(1+Precificação!$W$589)))+$AL$26)*(1+Dashboard!$D$35),0)</f>
        <v>0</v>
      </c>
      <c r="AM170" s="109">
        <f>IF($BD170&gt;0,(((($BD170/Dashboard!$D$23)*(1+Precificação!$W$589))*(1+AM$28))+$AA$26)*(1+Dashboard!$D$35),0)</f>
        <v>0</v>
      </c>
      <c r="AN170" s="109">
        <f>IF($BD170&gt;0,(((($BD170/Dashboard!$D$23)*(1+Precificação!$W$589))*(1+AN$28))+$AA$26)*(1+Dashboard!$D$35),0)</f>
        <v>0</v>
      </c>
      <c r="AO170" s="109">
        <f>IF($BD170&gt;0,(((($BD170/Dashboard!$D$23)*(1+Precificação!$W$589))*(1+AO$28))+$AA$26)*(1+Dashboard!$D$35),0)</f>
        <v>0</v>
      </c>
      <c r="AQ170" s="109">
        <f t="shared" si="74"/>
        <v>0</v>
      </c>
      <c r="AR170" s="109">
        <f t="shared" si="75"/>
        <v>0</v>
      </c>
      <c r="AS170" s="109">
        <f t="shared" si="76"/>
        <v>0</v>
      </c>
      <c r="AT170" s="109">
        <f t="shared" si="77"/>
        <v>0</v>
      </c>
      <c r="AW170" s="144">
        <f>VLOOKUP(B170,'Cronog. e Histog.'!$B$213:$BT$688,71,0)</f>
        <v>0</v>
      </c>
      <c r="AX170" s="144">
        <f>VLOOKUP(B170,'Cronog. e Histog.'!$B$213:$BU$688,72,0)</f>
        <v>0</v>
      </c>
      <c r="AY170" s="144">
        <f>$AW170*$AX170*Dashboard!$D$15</f>
        <v>0</v>
      </c>
      <c r="AZ170" s="144">
        <f>VLOOKUP(B170,Precificação!$B$96:$BM$533,54,0)</f>
        <v>0</v>
      </c>
      <c r="BA170" s="144">
        <f>VLOOKUP(B170,Precificação!$B$96:$BR$533,58,0)</f>
        <v>0</v>
      </c>
      <c r="BB170" s="144">
        <f>VLOOKUP(B170,Precificação!$B$96:$BW$533,62,0)</f>
        <v>0</v>
      </c>
      <c r="BC170" s="144">
        <f t="shared" si="78"/>
        <v>0</v>
      </c>
      <c r="BD170" s="109">
        <f>IFERROR(VLOOKUP(B170,Precificação!$B$96:$S$533,13,0),0)</f>
        <v>0</v>
      </c>
      <c r="BE170" s="109">
        <f>IFERROR(VLOOKUP(B170,Precificação!$B$96:$U$533,15,0)/(Precificação!$U$4+Precificação!$U$91),0)*Dashboard!$T$3</f>
        <v>0</v>
      </c>
    </row>
    <row r="171" spans="2:57" ht="12" customHeight="1" outlineLevel="1">
      <c r="B171" s="137" t="str">
        <f>Precificação!B149</f>
        <v>AN SR. ADM/CRP - Equipe_01</v>
      </c>
      <c r="D171" s="512"/>
      <c r="E171" s="143" t="str">
        <f>IF('Cronog. e Histog.'!G272&gt;0,'Cronog. e Histog.'!G272,"")</f>
        <v>AN JR. ADM/CRP</v>
      </c>
      <c r="G171" s="179">
        <f t="shared" si="65"/>
        <v>0</v>
      </c>
      <c r="H171" s="110">
        <f>IFERROR(INDEX('Base Salarial'!$D$5:$F$25,MATCH(E171,'Base Salarial'!$G$5:$G$25,0),MATCH(I171,'Base Salarial'!$D$4:$F$4,0)),"")</f>
        <v>3500</v>
      </c>
      <c r="I171" s="78" t="str">
        <f>IFERROR(INDEX(Tarefas!$BQ$29:$FK$29,MATCH(E171,Tarefas!$BQ$30:$FK$30,0)),"")</f>
        <v>Mensalista</v>
      </c>
      <c r="J171" s="81">
        <f>IF(I171="horista",H171*Dashboard!$D$15,IF(OR(I171="Mensalista",I171="PJ"),H171,))</f>
        <v>3500</v>
      </c>
      <c r="K171" s="81">
        <f>IF(I171="PJ",J171,ROUND(J171*(1+Dashboard!$D$22),2))</f>
        <v>3710</v>
      </c>
      <c r="L171" s="77"/>
      <c r="M171" s="180"/>
      <c r="P171" s="109">
        <f>IF($BD171&gt;0,(((($BD171/Dashboard!$D$15)*(1+Precificação!$W$589)))+$P$26)*(1+Dashboard!$D$35),0)</f>
        <v>0</v>
      </c>
      <c r="Q171" s="109">
        <f>IF($BD171&gt;0,(((($BD171/Dashboard!$D$23)+(1+Precificação!$W$589))*(1+Q$28))+$P$26)*(1+Dashboard!$D$35),0)</f>
        <v>0</v>
      </c>
      <c r="R171" s="109">
        <f>IF($BD171&gt;0,(((($BD171/Dashboard!$D$23)+(1+Precificação!$W$589))*(1+R$28))+$P$26)*(1+Dashboard!$D$35),0)</f>
        <v>0</v>
      </c>
      <c r="S171" s="109">
        <f>IF($BD171&gt;0,(((($BD171/Dashboard!$D$23)+(1+Precificação!$W$589))*(1+S$28))+$P$26)*(1+Dashboard!$D$35),0)</f>
        <v>0</v>
      </c>
      <c r="U171" s="109">
        <f t="shared" si="66"/>
        <v>0</v>
      </c>
      <c r="V171" s="109">
        <f t="shared" si="67"/>
        <v>0</v>
      </c>
      <c r="W171" s="109">
        <f t="shared" si="68"/>
        <v>0</v>
      </c>
      <c r="X171" s="109">
        <f t="shared" si="69"/>
        <v>0</v>
      </c>
      <c r="AA171" s="109">
        <f>IF($BD171&gt;0,(((($BD171/Dashboard!$D$23)*(1+Precificação!$W$589)))+$AA$26)*(1+Dashboard!$D$35),0)</f>
        <v>0</v>
      </c>
      <c r="AB171" s="109">
        <f>IF($BD171&gt;0,(((($BD171/Dashboard!$D$23)*(1+Precificação!$W$589))*(1+AB$28))+$AA$26)*(1+Dashboard!$D$35),0)</f>
        <v>0</v>
      </c>
      <c r="AC171" s="109">
        <f>IF($BD171&gt;0,(((($BD171/Dashboard!$D$23)*(1+Precificação!$W$589))*(1+AC$28))+$AA$26)*(1+Dashboard!$D$35),0)</f>
        <v>0</v>
      </c>
      <c r="AD171" s="109">
        <f>IF($BD171&gt;0,(((($BD171/Dashboard!$D$23)*(1+Precificação!$W$589))*(1+AD$28))+$AA$26)*(1+Dashboard!$D$35),0)</f>
        <v>0</v>
      </c>
      <c r="AF171" s="109">
        <f t="shared" si="70"/>
        <v>0</v>
      </c>
      <c r="AG171" s="109">
        <f t="shared" si="71"/>
        <v>0</v>
      </c>
      <c r="AH171" s="109">
        <f t="shared" si="72"/>
        <v>0</v>
      </c>
      <c r="AI171" s="109">
        <f t="shared" si="73"/>
        <v>0</v>
      </c>
      <c r="AL171" s="109">
        <f>IF($BD171&gt;0,(((($BD171/Dashboard!$D$23)*(1+Precificação!$W$589)))+$AL$26)*(1+Dashboard!$D$35),0)</f>
        <v>0</v>
      </c>
      <c r="AM171" s="109">
        <f>IF($BD171&gt;0,(((($BD171/Dashboard!$D$23)*(1+Precificação!$W$589))*(1+AM$28))+$AA$26)*(1+Dashboard!$D$35),0)</f>
        <v>0</v>
      </c>
      <c r="AN171" s="109">
        <f>IF($BD171&gt;0,(((($BD171/Dashboard!$D$23)*(1+Precificação!$W$589))*(1+AN$28))+$AA$26)*(1+Dashboard!$D$35),0)</f>
        <v>0</v>
      </c>
      <c r="AO171" s="109">
        <f>IF($BD171&gt;0,(((($BD171/Dashboard!$D$23)*(1+Precificação!$W$589))*(1+AO$28))+$AA$26)*(1+Dashboard!$D$35),0)</f>
        <v>0</v>
      </c>
      <c r="AQ171" s="109">
        <f t="shared" si="74"/>
        <v>0</v>
      </c>
      <c r="AR171" s="109">
        <f t="shared" si="75"/>
        <v>0</v>
      </c>
      <c r="AS171" s="109">
        <f t="shared" si="76"/>
        <v>0</v>
      </c>
      <c r="AT171" s="109">
        <f t="shared" si="77"/>
        <v>0</v>
      </c>
      <c r="AW171" s="144">
        <f>VLOOKUP(B171,'Cronog. e Histog.'!$B$213:$BT$688,71,0)</f>
        <v>0</v>
      </c>
      <c r="AX171" s="144">
        <f>VLOOKUP(B171,'Cronog. e Histog.'!$B$213:$BU$688,72,0)</f>
        <v>0</v>
      </c>
      <c r="AY171" s="144">
        <f>$AW171*$AX171*Dashboard!$D$15</f>
        <v>0</v>
      </c>
      <c r="AZ171" s="144">
        <f>VLOOKUP(B171,Precificação!$B$96:$BM$533,54,0)</f>
        <v>0</v>
      </c>
      <c r="BA171" s="144">
        <f>VLOOKUP(B171,Precificação!$B$96:$BR$533,58,0)</f>
        <v>0</v>
      </c>
      <c r="BB171" s="144">
        <f>VLOOKUP(B171,Precificação!$B$96:$BW$533,62,0)</f>
        <v>0</v>
      </c>
      <c r="BC171" s="144">
        <f t="shared" si="78"/>
        <v>0</v>
      </c>
      <c r="BD171" s="109">
        <f>IFERROR(VLOOKUP(B171,Precificação!$B$96:$S$533,13,0),0)</f>
        <v>0</v>
      </c>
      <c r="BE171" s="109">
        <f>IFERROR(VLOOKUP(B171,Precificação!$B$96:$U$533,15,0)/(Precificação!$U$4+Precificação!$U$91),0)*Dashboard!$T$3</f>
        <v>0</v>
      </c>
    </row>
    <row r="172" spans="2:57" ht="12" customHeight="1" outlineLevel="1">
      <c r="B172" s="137" t="str">
        <f>Precificação!B150</f>
        <v>AN PL. ADM/CRP - Equipe_01</v>
      </c>
      <c r="D172" s="512"/>
      <c r="E172" s="143" t="str">
        <f>IF('Cronog. e Histog.'!G273&gt;0,'Cronog. e Histog.'!G273,"")</f>
        <v>TEC III</v>
      </c>
      <c r="G172" s="179">
        <f t="shared" si="65"/>
        <v>0</v>
      </c>
      <c r="H172" s="110">
        <f>IFERROR(INDEX('Base Salarial'!$D$5:$F$25,MATCH(E172,'Base Salarial'!$G$5:$G$25,0),MATCH(I172,'Base Salarial'!$D$4:$F$4,0)),"")</f>
        <v>6000</v>
      </c>
      <c r="I172" s="78" t="str">
        <f>IFERROR(INDEX(Tarefas!$BQ$29:$FK$29,MATCH(E172,Tarefas!$BQ$30:$FK$30,0)),"")</f>
        <v>Mensalista</v>
      </c>
      <c r="J172" s="81">
        <f>IF(I172="horista",H172*Dashboard!$D$15,IF(OR(I172="Mensalista",I172="PJ"),H172,))</f>
        <v>6000</v>
      </c>
      <c r="K172" s="81">
        <f>IF(I172="PJ",J172,ROUND(J172*(1+Dashboard!$D$22),2))</f>
        <v>6360</v>
      </c>
      <c r="L172" s="77"/>
      <c r="M172" s="180"/>
      <c r="P172" s="109">
        <f>IF($BD172&gt;0,(((($BD172/Dashboard!$D$15)*(1+Precificação!$W$589)))+$P$26)*(1+Dashboard!$D$35),0)</f>
        <v>0</v>
      </c>
      <c r="Q172" s="109">
        <f>IF($BD172&gt;0,(((($BD172/Dashboard!$D$23)+(1+Precificação!$W$589))*(1+Q$28))+$P$26)*(1+Dashboard!$D$35),0)</f>
        <v>0</v>
      </c>
      <c r="R172" s="109">
        <f>IF($BD172&gt;0,(((($BD172/Dashboard!$D$23)+(1+Precificação!$W$589))*(1+R$28))+$P$26)*(1+Dashboard!$D$35),0)</f>
        <v>0</v>
      </c>
      <c r="S172" s="109">
        <f>IF($BD172&gt;0,(((($BD172/Dashboard!$D$23)+(1+Precificação!$W$589))*(1+S$28))+$P$26)*(1+Dashboard!$D$35),0)</f>
        <v>0</v>
      </c>
      <c r="U172" s="109">
        <f t="shared" si="66"/>
        <v>0</v>
      </c>
      <c r="V172" s="109">
        <f t="shared" si="67"/>
        <v>0</v>
      </c>
      <c r="W172" s="109">
        <f t="shared" si="68"/>
        <v>0</v>
      </c>
      <c r="X172" s="109">
        <f t="shared" si="69"/>
        <v>0</v>
      </c>
      <c r="AA172" s="109">
        <f>IF($BD172&gt;0,(((($BD172/Dashboard!$D$23)*(1+Precificação!$W$589)))+$AA$26)*(1+Dashboard!$D$35),0)</f>
        <v>0</v>
      </c>
      <c r="AB172" s="109">
        <f>IF($BD172&gt;0,(((($BD172/Dashboard!$D$23)*(1+Precificação!$W$589))*(1+AB$28))+$AA$26)*(1+Dashboard!$D$35),0)</f>
        <v>0</v>
      </c>
      <c r="AC172" s="109">
        <f>IF($BD172&gt;0,(((($BD172/Dashboard!$D$23)*(1+Precificação!$W$589))*(1+AC$28))+$AA$26)*(1+Dashboard!$D$35),0)</f>
        <v>0</v>
      </c>
      <c r="AD172" s="109">
        <f>IF($BD172&gt;0,(((($BD172/Dashboard!$D$23)*(1+Precificação!$W$589))*(1+AD$28))+$AA$26)*(1+Dashboard!$D$35),0)</f>
        <v>0</v>
      </c>
      <c r="AF172" s="109">
        <f t="shared" si="70"/>
        <v>0</v>
      </c>
      <c r="AG172" s="109">
        <f t="shared" si="71"/>
        <v>0</v>
      </c>
      <c r="AH172" s="109">
        <f t="shared" si="72"/>
        <v>0</v>
      </c>
      <c r="AI172" s="109">
        <f t="shared" si="73"/>
        <v>0</v>
      </c>
      <c r="AL172" s="109">
        <f>IF($BD172&gt;0,(((($BD172/Dashboard!$D$23)*(1+Precificação!$W$589)))+$AL$26)*(1+Dashboard!$D$35),0)</f>
        <v>0</v>
      </c>
      <c r="AM172" s="109">
        <f>IF($BD172&gt;0,(((($BD172/Dashboard!$D$23)*(1+Precificação!$W$589))*(1+AM$28))+$AA$26)*(1+Dashboard!$D$35),0)</f>
        <v>0</v>
      </c>
      <c r="AN172" s="109">
        <f>IF($BD172&gt;0,(((($BD172/Dashboard!$D$23)*(1+Precificação!$W$589))*(1+AN$28))+$AA$26)*(1+Dashboard!$D$35),0)</f>
        <v>0</v>
      </c>
      <c r="AO172" s="109">
        <f>IF($BD172&gt;0,(((($BD172/Dashboard!$D$23)*(1+Precificação!$W$589))*(1+AO$28))+$AA$26)*(1+Dashboard!$D$35),0)</f>
        <v>0</v>
      </c>
      <c r="AQ172" s="109">
        <f t="shared" si="74"/>
        <v>0</v>
      </c>
      <c r="AR172" s="109">
        <f t="shared" si="75"/>
        <v>0</v>
      </c>
      <c r="AS172" s="109">
        <f t="shared" si="76"/>
        <v>0</v>
      </c>
      <c r="AT172" s="109">
        <f t="shared" si="77"/>
        <v>0</v>
      </c>
      <c r="AW172" s="144">
        <f>VLOOKUP(B172,'Cronog. e Histog.'!$B$213:$BT$688,71,0)</f>
        <v>0</v>
      </c>
      <c r="AX172" s="144">
        <f>VLOOKUP(B172,'Cronog. e Histog.'!$B$213:$BU$688,72,0)</f>
        <v>0</v>
      </c>
      <c r="AY172" s="144">
        <f>$AW172*$AX172*Dashboard!$D$15</f>
        <v>0</v>
      </c>
      <c r="AZ172" s="144">
        <f>VLOOKUP(B172,Precificação!$B$96:$BM$533,54,0)</f>
        <v>0</v>
      </c>
      <c r="BA172" s="144">
        <f>VLOOKUP(B172,Precificação!$B$96:$BR$533,58,0)</f>
        <v>0</v>
      </c>
      <c r="BB172" s="144">
        <f>VLOOKUP(B172,Precificação!$B$96:$BW$533,62,0)</f>
        <v>0</v>
      </c>
      <c r="BC172" s="144">
        <f t="shared" si="78"/>
        <v>0</v>
      </c>
      <c r="BD172" s="109">
        <f>IFERROR(VLOOKUP(B172,Precificação!$B$96:$S$533,13,0),0)</f>
        <v>0</v>
      </c>
      <c r="BE172" s="109">
        <f>IFERROR(VLOOKUP(B172,Precificação!$B$96:$U$533,15,0)/(Precificação!$U$4+Precificação!$U$91),0)*Dashboard!$T$3</f>
        <v>0</v>
      </c>
    </row>
    <row r="173" spans="2:57" ht="12" customHeight="1" outlineLevel="1">
      <c r="B173" s="137" t="str">
        <f>Precificação!B151</f>
        <v>AN JR. ADM/CRP - Equipe_01</v>
      </c>
      <c r="D173" s="512"/>
      <c r="E173" s="143" t="str">
        <f>IF('Cronog. e Histog.'!G274&gt;0,'Cronog. e Histog.'!G274,"")</f>
        <v>TEC II</v>
      </c>
      <c r="G173" s="179">
        <f t="shared" si="65"/>
        <v>0</v>
      </c>
      <c r="H173" s="110">
        <f>IFERROR(INDEX('Base Salarial'!$D$5:$F$25,MATCH(E173,'Base Salarial'!$G$5:$G$25,0),MATCH(I173,'Base Salarial'!$D$4:$F$4,0)),"")</f>
        <v>4500</v>
      </c>
      <c r="I173" s="78" t="str">
        <f>IFERROR(INDEX(Tarefas!$BQ$29:$FK$29,MATCH(E173,Tarefas!$BQ$30:$FK$30,0)),"")</f>
        <v>Mensalista</v>
      </c>
      <c r="J173" s="81">
        <f>IF(I173="horista",H173*Dashboard!$D$15,IF(OR(I173="Mensalista",I173="PJ"),H173,))</f>
        <v>4500</v>
      </c>
      <c r="K173" s="81">
        <f>IF(I173="PJ",J173,ROUND(J173*(1+Dashboard!$D$22),2))</f>
        <v>4770</v>
      </c>
      <c r="L173" s="77"/>
      <c r="M173" s="180"/>
      <c r="P173" s="109">
        <f>IF($BD173&gt;0,(((($BD173/Dashboard!$D$15)*(1+Precificação!$W$589)))+$P$26)*(1+Dashboard!$D$35),0)</f>
        <v>0</v>
      </c>
      <c r="Q173" s="109">
        <f>IF($BD173&gt;0,(((($BD173/Dashboard!$D$23)+(1+Precificação!$W$589))*(1+Q$28))+$P$26)*(1+Dashboard!$D$35),0)</f>
        <v>0</v>
      </c>
      <c r="R173" s="109">
        <f>IF($BD173&gt;0,(((($BD173/Dashboard!$D$23)+(1+Precificação!$W$589))*(1+R$28))+$P$26)*(1+Dashboard!$D$35),0)</f>
        <v>0</v>
      </c>
      <c r="S173" s="109">
        <f>IF($BD173&gt;0,(((($BD173/Dashboard!$D$23)+(1+Precificação!$W$589))*(1+S$28))+$P$26)*(1+Dashboard!$D$35),0)</f>
        <v>0</v>
      </c>
      <c r="U173" s="109">
        <f t="shared" si="66"/>
        <v>0</v>
      </c>
      <c r="V173" s="109">
        <f t="shared" si="67"/>
        <v>0</v>
      </c>
      <c r="W173" s="109">
        <f t="shared" si="68"/>
        <v>0</v>
      </c>
      <c r="X173" s="109">
        <f t="shared" si="69"/>
        <v>0</v>
      </c>
      <c r="AA173" s="109">
        <f>IF($BD173&gt;0,(((($BD173/Dashboard!$D$23)*(1+Precificação!$W$589)))+$AA$26)*(1+Dashboard!$D$35),0)</f>
        <v>0</v>
      </c>
      <c r="AB173" s="109">
        <f>IF($BD173&gt;0,(((($BD173/Dashboard!$D$23)*(1+Precificação!$W$589))*(1+AB$28))+$AA$26)*(1+Dashboard!$D$35),0)</f>
        <v>0</v>
      </c>
      <c r="AC173" s="109">
        <f>IF($BD173&gt;0,(((($BD173/Dashboard!$D$23)*(1+Precificação!$W$589))*(1+AC$28))+$AA$26)*(1+Dashboard!$D$35),0)</f>
        <v>0</v>
      </c>
      <c r="AD173" s="109">
        <f>IF($BD173&gt;0,(((($BD173/Dashboard!$D$23)*(1+Precificação!$W$589))*(1+AD$28))+$AA$26)*(1+Dashboard!$D$35),0)</f>
        <v>0</v>
      </c>
      <c r="AF173" s="109">
        <f t="shared" si="70"/>
        <v>0</v>
      </c>
      <c r="AG173" s="109">
        <f t="shared" si="71"/>
        <v>0</v>
      </c>
      <c r="AH173" s="109">
        <f t="shared" si="72"/>
        <v>0</v>
      </c>
      <c r="AI173" s="109">
        <f t="shared" si="73"/>
        <v>0</v>
      </c>
      <c r="AL173" s="109">
        <f>IF($BD173&gt;0,(((($BD173/Dashboard!$D$23)*(1+Precificação!$W$589)))+$AL$26)*(1+Dashboard!$D$35),0)</f>
        <v>0</v>
      </c>
      <c r="AM173" s="109">
        <f>IF($BD173&gt;0,(((($BD173/Dashboard!$D$23)*(1+Precificação!$W$589))*(1+AM$28))+$AA$26)*(1+Dashboard!$D$35),0)</f>
        <v>0</v>
      </c>
      <c r="AN173" s="109">
        <f>IF($BD173&gt;0,(((($BD173/Dashboard!$D$23)*(1+Precificação!$W$589))*(1+AN$28))+$AA$26)*(1+Dashboard!$D$35),0)</f>
        <v>0</v>
      </c>
      <c r="AO173" s="109">
        <f>IF($BD173&gt;0,(((($BD173/Dashboard!$D$23)*(1+Precificação!$W$589))*(1+AO$28))+$AA$26)*(1+Dashboard!$D$35),0)</f>
        <v>0</v>
      </c>
      <c r="AQ173" s="109">
        <f t="shared" si="74"/>
        <v>0</v>
      </c>
      <c r="AR173" s="109">
        <f t="shared" si="75"/>
        <v>0</v>
      </c>
      <c r="AS173" s="109">
        <f t="shared" si="76"/>
        <v>0</v>
      </c>
      <c r="AT173" s="109">
        <f t="shared" si="77"/>
        <v>0</v>
      </c>
      <c r="AW173" s="144">
        <f>VLOOKUP(B173,'Cronog. e Histog.'!$B$213:$BT$688,71,0)</f>
        <v>0</v>
      </c>
      <c r="AX173" s="144">
        <f>VLOOKUP(B173,'Cronog. e Histog.'!$B$213:$BU$688,72,0)</f>
        <v>0</v>
      </c>
      <c r="AY173" s="144">
        <f>$AW173*$AX173*Dashboard!$D$15</f>
        <v>0</v>
      </c>
      <c r="AZ173" s="144">
        <f>VLOOKUP(B173,Precificação!$B$96:$BM$533,54,0)</f>
        <v>0</v>
      </c>
      <c r="BA173" s="144">
        <f>VLOOKUP(B173,Precificação!$B$96:$BR$533,58,0)</f>
        <v>0</v>
      </c>
      <c r="BB173" s="144">
        <f>VLOOKUP(B173,Precificação!$B$96:$BW$533,62,0)</f>
        <v>0</v>
      </c>
      <c r="BC173" s="144">
        <f t="shared" si="78"/>
        <v>0</v>
      </c>
      <c r="BD173" s="109">
        <f>IFERROR(VLOOKUP(B173,Precificação!$B$96:$S$533,13,0),0)</f>
        <v>0</v>
      </c>
      <c r="BE173" s="109">
        <f>IFERROR(VLOOKUP(B173,Precificação!$B$96:$U$533,15,0)/(Precificação!$U$4+Precificação!$U$91),0)*Dashboard!$T$3</f>
        <v>0</v>
      </c>
    </row>
    <row r="174" spans="2:57" ht="12" customHeight="1" outlineLevel="1">
      <c r="B174" s="137" t="str">
        <f>Precificação!B152</f>
        <v>TEC III - Equipe_01</v>
      </c>
      <c r="D174" s="512"/>
      <c r="E174" s="143" t="str">
        <f>IF('Cronog. e Histog.'!G275&gt;0,'Cronog. e Histog.'!G275,"")</f>
        <v>TEC I</v>
      </c>
      <c r="G174" s="179">
        <f t="shared" si="65"/>
        <v>0</v>
      </c>
      <c r="H174" s="110">
        <f>IFERROR(INDEX('Base Salarial'!$D$5:$F$25,MATCH(E174,'Base Salarial'!$G$5:$G$25,0),MATCH(I174,'Base Salarial'!$D$4:$F$4,0)),"")</f>
        <v>3000</v>
      </c>
      <c r="I174" s="78" t="str">
        <f>IFERROR(INDEX(Tarefas!$BQ$29:$FK$29,MATCH(E174,Tarefas!$BQ$30:$FK$30,0)),"")</f>
        <v>Mensalista</v>
      </c>
      <c r="J174" s="81">
        <f>IF(I174="horista",H174*Dashboard!$D$15,IF(OR(I174="Mensalista",I174="PJ"),H174,))</f>
        <v>3000</v>
      </c>
      <c r="K174" s="81">
        <f>IF(I174="PJ",J174,ROUND(J174*(1+Dashboard!$D$22),2))</f>
        <v>3180</v>
      </c>
      <c r="L174" s="77"/>
      <c r="M174" s="180"/>
      <c r="P174" s="109">
        <f>IF($BD174&gt;0,(((($BD174/Dashboard!$D$15)*(1+Precificação!$W$589)))+$P$26)*(1+Dashboard!$D$35),0)</f>
        <v>0</v>
      </c>
      <c r="Q174" s="109">
        <f>IF($BD174&gt;0,(((($BD174/Dashboard!$D$23)+(1+Precificação!$W$589))*(1+Q$28))+$P$26)*(1+Dashboard!$D$35),0)</f>
        <v>0</v>
      </c>
      <c r="R174" s="109">
        <f>IF($BD174&gt;0,(((($BD174/Dashboard!$D$23)+(1+Precificação!$W$589))*(1+R$28))+$P$26)*(1+Dashboard!$D$35),0)</f>
        <v>0</v>
      </c>
      <c r="S174" s="109">
        <f>IF($BD174&gt;0,(((($BD174/Dashboard!$D$23)+(1+Precificação!$W$589))*(1+S$28))+$P$26)*(1+Dashboard!$D$35),0)</f>
        <v>0</v>
      </c>
      <c r="U174" s="109">
        <f t="shared" si="66"/>
        <v>0</v>
      </c>
      <c r="V174" s="109">
        <f t="shared" si="67"/>
        <v>0</v>
      </c>
      <c r="W174" s="109">
        <f t="shared" si="68"/>
        <v>0</v>
      </c>
      <c r="X174" s="109">
        <f t="shared" si="69"/>
        <v>0</v>
      </c>
      <c r="AA174" s="109">
        <f>IF($BD174&gt;0,(((($BD174/Dashboard!$D$23)*(1+Precificação!$W$589)))+$AA$26)*(1+Dashboard!$D$35),0)</f>
        <v>0</v>
      </c>
      <c r="AB174" s="109">
        <f>IF($BD174&gt;0,(((($BD174/Dashboard!$D$23)*(1+Precificação!$W$589))*(1+AB$28))+$AA$26)*(1+Dashboard!$D$35),0)</f>
        <v>0</v>
      </c>
      <c r="AC174" s="109">
        <f>IF($BD174&gt;0,(((($BD174/Dashboard!$D$23)*(1+Precificação!$W$589))*(1+AC$28))+$AA$26)*(1+Dashboard!$D$35),0)</f>
        <v>0</v>
      </c>
      <c r="AD174" s="109">
        <f>IF($BD174&gt;0,(((($BD174/Dashboard!$D$23)*(1+Precificação!$W$589))*(1+AD$28))+$AA$26)*(1+Dashboard!$D$35),0)</f>
        <v>0</v>
      </c>
      <c r="AF174" s="109">
        <f t="shared" si="70"/>
        <v>0</v>
      </c>
      <c r="AG174" s="109">
        <f t="shared" si="71"/>
        <v>0</v>
      </c>
      <c r="AH174" s="109">
        <f t="shared" si="72"/>
        <v>0</v>
      </c>
      <c r="AI174" s="109">
        <f t="shared" si="73"/>
        <v>0</v>
      </c>
      <c r="AL174" s="109">
        <f>IF($BD174&gt;0,(((($BD174/Dashboard!$D$23)*(1+Precificação!$W$589)))+$AL$26)*(1+Dashboard!$D$35),0)</f>
        <v>0</v>
      </c>
      <c r="AM174" s="109">
        <f>IF($BD174&gt;0,(((($BD174/Dashboard!$D$23)*(1+Precificação!$W$589))*(1+AM$28))+$AA$26)*(1+Dashboard!$D$35),0)</f>
        <v>0</v>
      </c>
      <c r="AN174" s="109">
        <f>IF($BD174&gt;0,(((($BD174/Dashboard!$D$23)*(1+Precificação!$W$589))*(1+AN$28))+$AA$26)*(1+Dashboard!$D$35),0)</f>
        <v>0</v>
      </c>
      <c r="AO174" s="109">
        <f>IF($BD174&gt;0,(((($BD174/Dashboard!$D$23)*(1+Precificação!$W$589))*(1+AO$28))+$AA$26)*(1+Dashboard!$D$35),0)</f>
        <v>0</v>
      </c>
      <c r="AQ174" s="109">
        <f t="shared" si="74"/>
        <v>0</v>
      </c>
      <c r="AR174" s="109">
        <f t="shared" si="75"/>
        <v>0</v>
      </c>
      <c r="AS174" s="109">
        <f t="shared" si="76"/>
        <v>0</v>
      </c>
      <c r="AT174" s="109">
        <f t="shared" si="77"/>
        <v>0</v>
      </c>
      <c r="AW174" s="144">
        <f>VLOOKUP(B174,'Cronog. e Histog.'!$B$213:$BT$688,71,0)</f>
        <v>0</v>
      </c>
      <c r="AX174" s="144">
        <f>VLOOKUP(B174,'Cronog. e Histog.'!$B$213:$BU$688,72,0)</f>
        <v>0</v>
      </c>
      <c r="AY174" s="144">
        <f>$AW174*$AX174*Dashboard!$D$15</f>
        <v>0</v>
      </c>
      <c r="AZ174" s="144">
        <f>VLOOKUP(B174,Precificação!$B$96:$BM$533,54,0)</f>
        <v>0</v>
      </c>
      <c r="BA174" s="144">
        <f>VLOOKUP(B174,Precificação!$B$96:$BR$533,58,0)</f>
        <v>0</v>
      </c>
      <c r="BB174" s="144">
        <f>VLOOKUP(B174,Precificação!$B$96:$BW$533,62,0)</f>
        <v>0</v>
      </c>
      <c r="BC174" s="144">
        <f t="shared" si="78"/>
        <v>0</v>
      </c>
      <c r="BD174" s="109">
        <f>IFERROR(VLOOKUP(B174,Precificação!$B$96:$S$533,13,0),0)</f>
        <v>0</v>
      </c>
      <c r="BE174" s="109">
        <f>IFERROR(VLOOKUP(B174,Precificação!$B$96:$U$533,15,0)/(Precificação!$U$4+Precificação!$U$91),0)*Dashboard!$T$3</f>
        <v>0</v>
      </c>
    </row>
    <row r="175" spans="2:57" ht="12" customHeight="1" outlineLevel="1">
      <c r="B175" s="137" t="str">
        <f>Precificação!B153</f>
        <v>TEC II - Equipe_01</v>
      </c>
      <c r="D175" s="512"/>
      <c r="E175" s="143" t="str">
        <f>IF('Cronog. e Histog.'!G276&gt;0,'Cronog. e Histog.'!G276,"")</f>
        <v>AUX TEC</v>
      </c>
      <c r="G175" s="179">
        <f t="shared" si="65"/>
        <v>0</v>
      </c>
      <c r="H175" s="110">
        <f>IFERROR(INDEX('Base Salarial'!$D$5:$F$25,MATCH(E175,'Base Salarial'!$G$5:$G$25,0),MATCH(I175,'Base Salarial'!$D$4:$F$4,0)),"")</f>
        <v>3500</v>
      </c>
      <c r="I175" s="78" t="str">
        <f>IFERROR(INDEX(Tarefas!$BQ$29:$FK$29,MATCH(E175,Tarefas!$BQ$30:$FK$30,0)),"")</f>
        <v>Mensalista</v>
      </c>
      <c r="J175" s="81">
        <f>IF(I175="horista",H175*Dashboard!$D$15,IF(OR(I175="Mensalista",I175="PJ"),H175,))</f>
        <v>3500</v>
      </c>
      <c r="K175" s="81">
        <f>IF(I175="PJ",J175,ROUND(J175*(1+Dashboard!$D$22),2))</f>
        <v>3710</v>
      </c>
      <c r="L175" s="77"/>
      <c r="M175" s="180"/>
      <c r="P175" s="109">
        <f>IF($BD175&gt;0,(((($BD175/Dashboard!$D$15)*(1+Precificação!$W$589)))+$P$26)*(1+Dashboard!$D$35),0)</f>
        <v>0</v>
      </c>
      <c r="Q175" s="109">
        <f>IF($BD175&gt;0,(((($BD175/Dashboard!$D$23)+(1+Precificação!$W$589))*(1+Q$28))+$P$26)*(1+Dashboard!$D$35),0)</f>
        <v>0</v>
      </c>
      <c r="R175" s="109">
        <f>IF($BD175&gt;0,(((($BD175/Dashboard!$D$23)+(1+Precificação!$W$589))*(1+R$28))+$P$26)*(1+Dashboard!$D$35),0)</f>
        <v>0</v>
      </c>
      <c r="S175" s="109">
        <f>IF($BD175&gt;0,(((($BD175/Dashboard!$D$23)+(1+Precificação!$W$589))*(1+S$28))+$P$26)*(1+Dashboard!$D$35),0)</f>
        <v>0</v>
      </c>
      <c r="U175" s="109">
        <f t="shared" si="66"/>
        <v>0</v>
      </c>
      <c r="V175" s="109">
        <f t="shared" si="67"/>
        <v>0</v>
      </c>
      <c r="W175" s="109">
        <f t="shared" si="68"/>
        <v>0</v>
      </c>
      <c r="X175" s="109">
        <f t="shared" si="69"/>
        <v>0</v>
      </c>
      <c r="AA175" s="109">
        <f>IF($BD175&gt;0,(((($BD175/Dashboard!$D$23)*(1+Precificação!$W$589)))+$AA$26)*(1+Dashboard!$D$35),0)</f>
        <v>0</v>
      </c>
      <c r="AB175" s="109">
        <f>IF($BD175&gt;0,(((($BD175/Dashboard!$D$23)*(1+Precificação!$W$589))*(1+AB$28))+$AA$26)*(1+Dashboard!$D$35),0)</f>
        <v>0</v>
      </c>
      <c r="AC175" s="109">
        <f>IF($BD175&gt;0,(((($BD175/Dashboard!$D$23)*(1+Precificação!$W$589))*(1+AC$28))+$AA$26)*(1+Dashboard!$D$35),0)</f>
        <v>0</v>
      </c>
      <c r="AD175" s="109">
        <f>IF($BD175&gt;0,(((($BD175/Dashboard!$D$23)*(1+Precificação!$W$589))*(1+AD$28))+$AA$26)*(1+Dashboard!$D$35),0)</f>
        <v>0</v>
      </c>
      <c r="AF175" s="109">
        <f t="shared" si="70"/>
        <v>0</v>
      </c>
      <c r="AG175" s="109">
        <f t="shared" si="71"/>
        <v>0</v>
      </c>
      <c r="AH175" s="109">
        <f t="shared" si="72"/>
        <v>0</v>
      </c>
      <c r="AI175" s="109">
        <f t="shared" si="73"/>
        <v>0</v>
      </c>
      <c r="AL175" s="109">
        <f>IF($BD175&gt;0,(((($BD175/Dashboard!$D$23)*(1+Precificação!$W$589)))+$AL$26)*(1+Dashboard!$D$35),0)</f>
        <v>0</v>
      </c>
      <c r="AM175" s="109">
        <f>IF($BD175&gt;0,(((($BD175/Dashboard!$D$23)*(1+Precificação!$W$589))*(1+AM$28))+$AA$26)*(1+Dashboard!$D$35),0)</f>
        <v>0</v>
      </c>
      <c r="AN175" s="109">
        <f>IF($BD175&gt;0,(((($BD175/Dashboard!$D$23)*(1+Precificação!$W$589))*(1+AN$28))+$AA$26)*(1+Dashboard!$D$35),0)</f>
        <v>0</v>
      </c>
      <c r="AO175" s="109">
        <f>IF($BD175&gt;0,(((($BD175/Dashboard!$D$23)*(1+Precificação!$W$589))*(1+AO$28))+$AA$26)*(1+Dashboard!$D$35),0)</f>
        <v>0</v>
      </c>
      <c r="AQ175" s="109">
        <f t="shared" si="74"/>
        <v>0</v>
      </c>
      <c r="AR175" s="109">
        <f t="shared" si="75"/>
        <v>0</v>
      </c>
      <c r="AS175" s="109">
        <f t="shared" si="76"/>
        <v>0</v>
      </c>
      <c r="AT175" s="109">
        <f t="shared" si="77"/>
        <v>0</v>
      </c>
      <c r="AW175" s="144">
        <f>VLOOKUP(B175,'Cronog. e Histog.'!$B$213:$BT$688,71,0)</f>
        <v>0</v>
      </c>
      <c r="AX175" s="144">
        <f>VLOOKUP(B175,'Cronog. e Histog.'!$B$213:$BU$688,72,0)</f>
        <v>0</v>
      </c>
      <c r="AY175" s="144">
        <f>$AW175*$AX175*Dashboard!$D$15</f>
        <v>0</v>
      </c>
      <c r="AZ175" s="144">
        <f>VLOOKUP(B175,Precificação!$B$96:$BM$533,54,0)</f>
        <v>0</v>
      </c>
      <c r="BA175" s="144">
        <f>VLOOKUP(B175,Precificação!$B$96:$BR$533,58,0)</f>
        <v>0</v>
      </c>
      <c r="BB175" s="144">
        <f>VLOOKUP(B175,Precificação!$B$96:$BW$533,62,0)</f>
        <v>0</v>
      </c>
      <c r="BC175" s="144">
        <f t="shared" si="78"/>
        <v>0</v>
      </c>
      <c r="BD175" s="109">
        <f>IFERROR(VLOOKUP(B175,Precificação!$B$96:$S$533,13,0),0)</f>
        <v>0</v>
      </c>
      <c r="BE175" s="109">
        <f>IFERROR(VLOOKUP(B175,Precificação!$B$96:$U$533,15,0)/(Precificação!$U$4+Precificação!$U$91),0)*Dashboard!$T$3</f>
        <v>0</v>
      </c>
    </row>
    <row r="176" spans="2:57" ht="12" customHeight="1" outlineLevel="1">
      <c r="B176" s="137" t="str">
        <f>Precificação!B154</f>
        <v>TEC I - Equipe_01</v>
      </c>
      <c r="D176" s="512"/>
      <c r="E176" s="143" t="str">
        <f>IF('Cronog. e Histog.'!G277&gt;0,'Cronog. e Histog.'!G277,"")</f>
        <v>AUX ADM</v>
      </c>
      <c r="G176" s="179">
        <f t="shared" si="65"/>
        <v>0</v>
      </c>
      <c r="H176" s="110">
        <f>IFERROR(INDEX('Base Salarial'!$D$5:$F$25,MATCH(E176,'Base Salarial'!$G$5:$G$25,0),MATCH(I176,'Base Salarial'!$D$4:$F$4,0)),"")</f>
        <v>1804</v>
      </c>
      <c r="I176" s="78" t="str">
        <f>IFERROR(INDEX(Tarefas!$BQ$29:$FK$29,MATCH(E176,Tarefas!$BQ$30:$FK$30,0)),"")</f>
        <v>Mensalista</v>
      </c>
      <c r="J176" s="81">
        <f>IF(I176="horista",H176*Dashboard!$D$15,IF(OR(I176="Mensalista",I176="PJ"),H176,))</f>
        <v>1804</v>
      </c>
      <c r="K176" s="81">
        <f>IF(I176="PJ",J176,ROUND(J176*(1+Dashboard!$D$22),2))</f>
        <v>1912.24</v>
      </c>
      <c r="L176" s="77"/>
      <c r="M176" s="180"/>
      <c r="P176" s="109">
        <f>IF($BD176&gt;0,(((($BD176/Dashboard!$D$15)*(1+Precificação!$W$589)))+$P$26)*(1+Dashboard!$D$35),0)</f>
        <v>0</v>
      </c>
      <c r="Q176" s="109">
        <f>IF($BD176&gt;0,(((($BD176/Dashboard!$D$23)+(1+Precificação!$W$589))*(1+Q$28))+$P$26)*(1+Dashboard!$D$35),0)</f>
        <v>0</v>
      </c>
      <c r="R176" s="109">
        <f>IF($BD176&gt;0,(((($BD176/Dashboard!$D$23)+(1+Precificação!$W$589))*(1+R$28))+$P$26)*(1+Dashboard!$D$35),0)</f>
        <v>0</v>
      </c>
      <c r="S176" s="109">
        <f>IF($BD176&gt;0,(((($BD176/Dashboard!$D$23)+(1+Precificação!$W$589))*(1+S$28))+$P$26)*(1+Dashboard!$D$35),0)</f>
        <v>0</v>
      </c>
      <c r="U176" s="109">
        <f t="shared" si="66"/>
        <v>0</v>
      </c>
      <c r="V176" s="109">
        <f t="shared" si="67"/>
        <v>0</v>
      </c>
      <c r="W176" s="109">
        <f t="shared" si="68"/>
        <v>0</v>
      </c>
      <c r="X176" s="109">
        <f t="shared" si="69"/>
        <v>0</v>
      </c>
      <c r="AA176" s="109">
        <f>IF($BD176&gt;0,(((($BD176/Dashboard!$D$23)*(1+Precificação!$W$589)))+$AA$26)*(1+Dashboard!$D$35),0)</f>
        <v>0</v>
      </c>
      <c r="AB176" s="109">
        <f>IF($BD176&gt;0,(((($BD176/Dashboard!$D$23)*(1+Precificação!$W$589))*(1+AB$28))+$AA$26)*(1+Dashboard!$D$35),0)</f>
        <v>0</v>
      </c>
      <c r="AC176" s="109">
        <f>IF($BD176&gt;0,(((($BD176/Dashboard!$D$23)*(1+Precificação!$W$589))*(1+AC$28))+$AA$26)*(1+Dashboard!$D$35),0)</f>
        <v>0</v>
      </c>
      <c r="AD176" s="109">
        <f>IF($BD176&gt;0,(((($BD176/Dashboard!$D$23)*(1+Precificação!$W$589))*(1+AD$28))+$AA$26)*(1+Dashboard!$D$35),0)</f>
        <v>0</v>
      </c>
      <c r="AF176" s="109">
        <f t="shared" si="70"/>
        <v>0</v>
      </c>
      <c r="AG176" s="109">
        <f t="shared" si="71"/>
        <v>0</v>
      </c>
      <c r="AH176" s="109">
        <f t="shared" si="72"/>
        <v>0</v>
      </c>
      <c r="AI176" s="109">
        <f t="shared" si="73"/>
        <v>0</v>
      </c>
      <c r="AL176" s="109">
        <f>IF($BD176&gt;0,(((($BD176/Dashboard!$D$23)*(1+Precificação!$W$589)))+$AL$26)*(1+Dashboard!$D$35),0)</f>
        <v>0</v>
      </c>
      <c r="AM176" s="109">
        <f>IF($BD176&gt;0,(((($BD176/Dashboard!$D$23)*(1+Precificação!$W$589))*(1+AM$28))+$AA$26)*(1+Dashboard!$D$35),0)</f>
        <v>0</v>
      </c>
      <c r="AN176" s="109">
        <f>IF($BD176&gt;0,(((($BD176/Dashboard!$D$23)*(1+Precificação!$W$589))*(1+AN$28))+$AA$26)*(1+Dashboard!$D$35),0)</f>
        <v>0</v>
      </c>
      <c r="AO176" s="109">
        <f>IF($BD176&gt;0,(((($BD176/Dashboard!$D$23)*(1+Precificação!$W$589))*(1+AO$28))+$AA$26)*(1+Dashboard!$D$35),0)</f>
        <v>0</v>
      </c>
      <c r="AQ176" s="109">
        <f t="shared" si="74"/>
        <v>0</v>
      </c>
      <c r="AR176" s="109">
        <f t="shared" si="75"/>
        <v>0</v>
      </c>
      <c r="AS176" s="109">
        <f t="shared" si="76"/>
        <v>0</v>
      </c>
      <c r="AT176" s="109">
        <f t="shared" si="77"/>
        <v>0</v>
      </c>
      <c r="AW176" s="144">
        <f>VLOOKUP(B176,'Cronog. e Histog.'!$B$213:$BT$688,71,0)</f>
        <v>0</v>
      </c>
      <c r="AX176" s="144">
        <f>VLOOKUP(B176,'Cronog. e Histog.'!$B$213:$BU$688,72,0)</f>
        <v>0</v>
      </c>
      <c r="AY176" s="144">
        <f>$AW176*$AX176*Dashboard!$D$15</f>
        <v>0</v>
      </c>
      <c r="AZ176" s="144">
        <f>VLOOKUP(B176,Precificação!$B$96:$BM$533,54,0)</f>
        <v>0</v>
      </c>
      <c r="BA176" s="144">
        <f>VLOOKUP(B176,Precificação!$B$96:$BR$533,58,0)</f>
        <v>0</v>
      </c>
      <c r="BB176" s="144">
        <f>VLOOKUP(B176,Precificação!$B$96:$BW$533,62,0)</f>
        <v>0</v>
      </c>
      <c r="BC176" s="144">
        <f t="shared" si="78"/>
        <v>0</v>
      </c>
      <c r="BD176" s="109">
        <f>IFERROR(VLOOKUP(B176,Precificação!$B$96:$S$533,13,0),0)</f>
        <v>0</v>
      </c>
      <c r="BE176" s="109">
        <f>IFERROR(VLOOKUP(B176,Precificação!$B$96:$U$533,15,0)/(Precificação!$U$4+Precificação!$U$91),0)*Dashboard!$T$3</f>
        <v>0</v>
      </c>
    </row>
    <row r="177" spans="2:57" ht="12" customHeight="1" outlineLevel="1">
      <c r="B177" s="137" t="str">
        <f>Precificação!B155</f>
        <v>AUX TEC - Equipe_01</v>
      </c>
      <c r="D177" s="512"/>
      <c r="E177" s="143" t="str">
        <f>IF('Cronog. e Histog.'!G278&gt;0,'Cronog. e Histog.'!G278,"")</f>
        <v>EST</v>
      </c>
      <c r="G177" s="179">
        <f t="shared" si="65"/>
        <v>0</v>
      </c>
      <c r="H177" s="110">
        <f>IFERROR(INDEX('Base Salarial'!$D$5:$F$25,MATCH(E177,'Base Salarial'!$G$5:$G$25,0),MATCH(I177,'Base Salarial'!$D$4:$F$4,0)),"")</f>
        <v>1633</v>
      </c>
      <c r="I177" s="78" t="str">
        <f>IFERROR(INDEX(Tarefas!$BQ$29:$FK$29,MATCH(E177,Tarefas!$BQ$30:$FK$30,0)),"")</f>
        <v>PJ</v>
      </c>
      <c r="J177" s="81">
        <f>IF(I177="horista",H177*Dashboard!$D$15,IF(OR(I177="Mensalista",I177="PJ"),H177,))</f>
        <v>1633</v>
      </c>
      <c r="K177" s="81">
        <f>IF(I177="PJ",J177,ROUND(J177*(1+Dashboard!$D$22),2))</f>
        <v>1633</v>
      </c>
      <c r="L177" s="77"/>
      <c r="M177" s="180"/>
      <c r="P177" s="109">
        <f>IF($BD177&gt;0,(((($BD177/Dashboard!$D$15)*(1+Precificação!$W$589)))+$P$26)*(1+Dashboard!$D$35),0)</f>
        <v>0</v>
      </c>
      <c r="Q177" s="109">
        <f>IF($BD177&gt;0,(((($BD177/Dashboard!$D$23)+(1+Precificação!$W$589))*(1+Q$28))+$P$26)*(1+Dashboard!$D$35),0)</f>
        <v>0</v>
      </c>
      <c r="R177" s="109">
        <f>IF($BD177&gt;0,(((($BD177/Dashboard!$D$23)+(1+Precificação!$W$589))*(1+R$28))+$P$26)*(1+Dashboard!$D$35),0)</f>
        <v>0</v>
      </c>
      <c r="S177" s="109">
        <f>IF($BD177&gt;0,(((($BD177/Dashboard!$D$23)+(1+Precificação!$W$589))*(1+S$28))+$P$26)*(1+Dashboard!$D$35),0)</f>
        <v>0</v>
      </c>
      <c r="U177" s="109">
        <f t="shared" si="66"/>
        <v>0</v>
      </c>
      <c r="V177" s="109">
        <f t="shared" si="67"/>
        <v>0</v>
      </c>
      <c r="W177" s="109">
        <f t="shared" si="68"/>
        <v>0</v>
      </c>
      <c r="X177" s="109">
        <f t="shared" si="69"/>
        <v>0</v>
      </c>
      <c r="AA177" s="109">
        <f>IF($BD177&gt;0,(((($BD177/Dashboard!$D$23)*(1+Precificação!$W$589)))+$AA$26)*(1+Dashboard!$D$35),0)</f>
        <v>0</v>
      </c>
      <c r="AB177" s="109">
        <f>IF($BD177&gt;0,(((($BD177/Dashboard!$D$23)*(1+Precificação!$W$589))*(1+AB$28))+$AA$26)*(1+Dashboard!$D$35),0)</f>
        <v>0</v>
      </c>
      <c r="AC177" s="109">
        <f>IF($BD177&gt;0,(((($BD177/Dashboard!$D$23)*(1+Precificação!$W$589))*(1+AC$28))+$AA$26)*(1+Dashboard!$D$35),0)</f>
        <v>0</v>
      </c>
      <c r="AD177" s="109">
        <f>IF($BD177&gt;0,(((($BD177/Dashboard!$D$23)*(1+Precificação!$W$589))*(1+AD$28))+$AA$26)*(1+Dashboard!$D$35),0)</f>
        <v>0</v>
      </c>
      <c r="AF177" s="109">
        <f t="shared" si="70"/>
        <v>0</v>
      </c>
      <c r="AG177" s="109">
        <f t="shared" si="71"/>
        <v>0</v>
      </c>
      <c r="AH177" s="109">
        <f t="shared" si="72"/>
        <v>0</v>
      </c>
      <c r="AI177" s="109">
        <f t="shared" si="73"/>
        <v>0</v>
      </c>
      <c r="AL177" s="109">
        <f>IF($BD177&gt;0,(((($BD177/Dashboard!$D$23)*(1+Precificação!$W$589)))+$AL$26)*(1+Dashboard!$D$35),0)</f>
        <v>0</v>
      </c>
      <c r="AM177" s="109">
        <f>IF($BD177&gt;0,(((($BD177/Dashboard!$D$23)*(1+Precificação!$W$589))*(1+AM$28))+$AA$26)*(1+Dashboard!$D$35),0)</f>
        <v>0</v>
      </c>
      <c r="AN177" s="109">
        <f>IF($BD177&gt;0,(((($BD177/Dashboard!$D$23)*(1+Precificação!$W$589))*(1+AN$28))+$AA$26)*(1+Dashboard!$D$35),0)</f>
        <v>0</v>
      </c>
      <c r="AO177" s="109">
        <f>IF($BD177&gt;0,(((($BD177/Dashboard!$D$23)*(1+Precificação!$W$589))*(1+AO$28))+$AA$26)*(1+Dashboard!$D$35),0)</f>
        <v>0</v>
      </c>
      <c r="AQ177" s="109">
        <f t="shared" si="74"/>
        <v>0</v>
      </c>
      <c r="AR177" s="109">
        <f t="shared" si="75"/>
        <v>0</v>
      </c>
      <c r="AS177" s="109">
        <f t="shared" si="76"/>
        <v>0</v>
      </c>
      <c r="AT177" s="109">
        <f t="shared" si="77"/>
        <v>0</v>
      </c>
      <c r="AW177" s="144">
        <f>VLOOKUP(B177,'Cronog. e Histog.'!$B$213:$BT$688,71,0)</f>
        <v>0</v>
      </c>
      <c r="AX177" s="144">
        <f>VLOOKUP(B177,'Cronog. e Histog.'!$B$213:$BU$688,72,0)</f>
        <v>0</v>
      </c>
      <c r="AY177" s="144">
        <f>$AW177*$AX177*Dashboard!$D$15</f>
        <v>0</v>
      </c>
      <c r="AZ177" s="144">
        <f>VLOOKUP(B177,Precificação!$B$96:$BM$533,54,0)</f>
        <v>0</v>
      </c>
      <c r="BA177" s="144">
        <f>VLOOKUP(B177,Precificação!$B$96:$BR$533,58,0)</f>
        <v>0</v>
      </c>
      <c r="BB177" s="144">
        <f>VLOOKUP(B177,Precificação!$B$96:$BW$533,62,0)</f>
        <v>0</v>
      </c>
      <c r="BC177" s="144">
        <f t="shared" si="78"/>
        <v>0</v>
      </c>
      <c r="BD177" s="109">
        <f>IFERROR(VLOOKUP(B177,Precificação!$B$96:$S$533,13,0),0)</f>
        <v>0</v>
      </c>
      <c r="BE177" s="109">
        <f>IFERROR(VLOOKUP(B177,Precificação!$B$96:$U$533,15,0)/(Precificação!$U$4+Precificação!$U$91),0)*Dashboard!$T$3</f>
        <v>0</v>
      </c>
    </row>
    <row r="178" spans="2:57" ht="12" customHeight="1" outlineLevel="1">
      <c r="B178" s="137" t="str">
        <f>Precificação!B156</f>
        <v>AUX ADM - Equipe_01</v>
      </c>
      <c r="D178" s="512"/>
      <c r="E178" s="143" t="str">
        <f>IF('Cronog. e Histog.'!G279&gt;0,'Cronog. e Histog.'!G279,"")</f>
        <v>EST_II</v>
      </c>
      <c r="G178" s="179">
        <f t="shared" si="65"/>
        <v>0</v>
      </c>
      <c r="H178" s="110">
        <f>IFERROR(INDEX('Base Salarial'!$D$5:$F$25,MATCH(E178,'Base Salarial'!$G$5:$G$25,0),MATCH(I178,'Base Salarial'!$D$4:$F$4,0)),"")</f>
        <v>1633</v>
      </c>
      <c r="I178" s="78" t="str">
        <f>IFERROR(INDEX(Tarefas!$BQ$29:$FK$29,MATCH(E178,Tarefas!$BQ$30:$FK$30,0)),"")</f>
        <v>PJ</v>
      </c>
      <c r="J178" s="81">
        <f>IF(I178="horista",H178*Dashboard!$D$15,IF(OR(I178="Mensalista",I178="PJ"),H178,))</f>
        <v>1633</v>
      </c>
      <c r="K178" s="81">
        <f>IF(I178="PJ",J178,ROUND(J178*(1+Dashboard!$D$22),2))</f>
        <v>1633</v>
      </c>
      <c r="L178" s="77"/>
      <c r="M178" s="180"/>
      <c r="P178" s="109">
        <f>IF($BD178&gt;0,(((($BD178/Dashboard!$D$15)*(1+Precificação!$W$589)))+$P$26)*(1+Dashboard!$D$35),0)</f>
        <v>0</v>
      </c>
      <c r="Q178" s="109">
        <f>IF($BD178&gt;0,(((($BD178/Dashboard!$D$23)+(1+Precificação!$W$589))*(1+Q$28))+$P$26)*(1+Dashboard!$D$35),0)</f>
        <v>0</v>
      </c>
      <c r="R178" s="109">
        <f>IF($BD178&gt;0,(((($BD178/Dashboard!$D$23)+(1+Precificação!$W$589))*(1+R$28))+$P$26)*(1+Dashboard!$D$35),0)</f>
        <v>0</v>
      </c>
      <c r="S178" s="109">
        <f>IF($BD178&gt;0,(((($BD178/Dashboard!$D$23)+(1+Precificação!$W$589))*(1+S$28))+$P$26)*(1+Dashboard!$D$35),0)</f>
        <v>0</v>
      </c>
      <c r="U178" s="109">
        <f t="shared" si="66"/>
        <v>0</v>
      </c>
      <c r="V178" s="109">
        <f t="shared" si="67"/>
        <v>0</v>
      </c>
      <c r="W178" s="109">
        <f t="shared" si="68"/>
        <v>0</v>
      </c>
      <c r="X178" s="109">
        <f t="shared" si="69"/>
        <v>0</v>
      </c>
      <c r="AA178" s="109">
        <f>IF($BD178&gt;0,(((($BD178/Dashboard!$D$23)*(1+Precificação!$W$589)))+$AA$26)*(1+Dashboard!$D$35),0)</f>
        <v>0</v>
      </c>
      <c r="AB178" s="109">
        <f>IF($BD178&gt;0,(((($BD178/Dashboard!$D$23)*(1+Precificação!$W$589))*(1+AB$28))+$AA$26)*(1+Dashboard!$D$35),0)</f>
        <v>0</v>
      </c>
      <c r="AC178" s="109">
        <f>IF($BD178&gt;0,(((($BD178/Dashboard!$D$23)*(1+Precificação!$W$589))*(1+AC$28))+$AA$26)*(1+Dashboard!$D$35),0)</f>
        <v>0</v>
      </c>
      <c r="AD178" s="109">
        <f>IF($BD178&gt;0,(((($BD178/Dashboard!$D$23)*(1+Precificação!$W$589))*(1+AD$28))+$AA$26)*(1+Dashboard!$D$35),0)</f>
        <v>0</v>
      </c>
      <c r="AF178" s="109">
        <f t="shared" si="70"/>
        <v>0</v>
      </c>
      <c r="AG178" s="109">
        <f t="shared" si="71"/>
        <v>0</v>
      </c>
      <c r="AH178" s="109">
        <f t="shared" si="72"/>
        <v>0</v>
      </c>
      <c r="AI178" s="109">
        <f t="shared" si="73"/>
        <v>0</v>
      </c>
      <c r="AL178" s="109">
        <f>IF($BD178&gt;0,(((($BD178/Dashboard!$D$23)*(1+Precificação!$W$589)))+$AL$26)*(1+Dashboard!$D$35),0)</f>
        <v>0</v>
      </c>
      <c r="AM178" s="109">
        <f>IF($BD178&gt;0,(((($BD178/Dashboard!$D$23)*(1+Precificação!$W$589))*(1+AM$28))+$AA$26)*(1+Dashboard!$D$35),0)</f>
        <v>0</v>
      </c>
      <c r="AN178" s="109">
        <f>IF($BD178&gt;0,(((($BD178/Dashboard!$D$23)*(1+Precificação!$W$589))*(1+AN$28))+$AA$26)*(1+Dashboard!$D$35),0)</f>
        <v>0</v>
      </c>
      <c r="AO178" s="109">
        <f>IF($BD178&gt;0,(((($BD178/Dashboard!$D$23)*(1+Precificação!$W$589))*(1+AO$28))+$AA$26)*(1+Dashboard!$D$35),0)</f>
        <v>0</v>
      </c>
      <c r="AQ178" s="109">
        <f t="shared" si="74"/>
        <v>0</v>
      </c>
      <c r="AR178" s="109">
        <f t="shared" si="75"/>
        <v>0</v>
      </c>
      <c r="AS178" s="109">
        <f t="shared" si="76"/>
        <v>0</v>
      </c>
      <c r="AT178" s="109">
        <f t="shared" si="77"/>
        <v>0</v>
      </c>
      <c r="AW178" s="144">
        <f>VLOOKUP(B178,'Cronog. e Histog.'!$B$213:$BT$688,71,0)</f>
        <v>0</v>
      </c>
      <c r="AX178" s="144">
        <f>VLOOKUP(B178,'Cronog. e Histog.'!$B$213:$BU$688,72,0)</f>
        <v>0</v>
      </c>
      <c r="AY178" s="144">
        <f>$AW178*$AX178*Dashboard!$D$15</f>
        <v>0</v>
      </c>
      <c r="AZ178" s="144">
        <f>VLOOKUP(B178,Precificação!$B$96:$BM$533,54,0)</f>
        <v>0</v>
      </c>
      <c r="BA178" s="144">
        <f>VLOOKUP(B178,Precificação!$B$96:$BR$533,58,0)</f>
        <v>0</v>
      </c>
      <c r="BB178" s="144">
        <f>VLOOKUP(B178,Precificação!$B$96:$BW$533,62,0)</f>
        <v>0</v>
      </c>
      <c r="BC178" s="144">
        <f t="shared" si="78"/>
        <v>0</v>
      </c>
      <c r="BD178" s="109">
        <f>IFERROR(VLOOKUP(B178,Precificação!$B$96:$S$533,13,0),0)</f>
        <v>0</v>
      </c>
      <c r="BE178" s="109">
        <f>IFERROR(VLOOKUP(B178,Precificação!$B$96:$U$533,15,0)/(Precificação!$U$4+Precificação!$U$91),0)*Dashboard!$T$3</f>
        <v>0</v>
      </c>
    </row>
    <row r="179" spans="2:57" ht="12" customHeight="1" outlineLevel="1">
      <c r="B179" s="137" t="str">
        <f>Precificação!B157</f>
        <v>EST - Equipe_01</v>
      </c>
      <c r="D179" s="512"/>
      <c r="E179" s="143" t="str">
        <f>IF('Cronog. e Histog.'!G280&gt;0,'Cronog. e Histog.'!G280,"")</f>
        <v>EST_III</v>
      </c>
      <c r="G179" s="179">
        <f t="shared" si="65"/>
        <v>0</v>
      </c>
      <c r="H179" s="110">
        <f>IFERROR(INDEX('Base Salarial'!$D$5:$F$25,MATCH(E179,'Base Salarial'!$G$5:$G$25,0),MATCH(I179,'Base Salarial'!$D$4:$F$4,0)),"")</f>
        <v>1633</v>
      </c>
      <c r="I179" s="78" t="str">
        <f>IFERROR(INDEX(Tarefas!$BQ$29:$FK$29,MATCH(E179,Tarefas!$BQ$30:$FK$30,0)),"")</f>
        <v>PJ</v>
      </c>
      <c r="J179" s="81">
        <f>IF(I179="horista",H179*Dashboard!$D$15,IF(OR(I179="Mensalista",I179="PJ"),H179,))</f>
        <v>1633</v>
      </c>
      <c r="K179" s="81">
        <f>IF(I179="PJ",J179,ROUND(J179*(1+Dashboard!$D$22),2))</f>
        <v>1633</v>
      </c>
      <c r="L179" s="77"/>
      <c r="M179" s="180"/>
      <c r="P179" s="109">
        <f>IF($BD179&gt;0,(((($BD179/Dashboard!$D$15)*(1+Precificação!$W$589)))+$P$26)*(1+Dashboard!$D$35),0)</f>
        <v>0</v>
      </c>
      <c r="Q179" s="109">
        <f>IF($BD179&gt;0,(((($BD179/Dashboard!$D$23)+(1+Precificação!$W$589))*(1+Q$28))+$P$26)*(1+Dashboard!$D$35),0)</f>
        <v>0</v>
      </c>
      <c r="R179" s="109">
        <f>IF($BD179&gt;0,(((($BD179/Dashboard!$D$23)+(1+Precificação!$W$589))*(1+R$28))+$P$26)*(1+Dashboard!$D$35),0)</f>
        <v>0</v>
      </c>
      <c r="S179" s="109">
        <f>IF($BD179&gt;0,(((($BD179/Dashboard!$D$23)+(1+Precificação!$W$589))*(1+S$28))+$P$26)*(1+Dashboard!$D$35),0)</f>
        <v>0</v>
      </c>
      <c r="U179" s="109">
        <f t="shared" si="66"/>
        <v>0</v>
      </c>
      <c r="V179" s="109">
        <f t="shared" si="67"/>
        <v>0</v>
      </c>
      <c r="W179" s="109">
        <f t="shared" si="68"/>
        <v>0</v>
      </c>
      <c r="X179" s="109">
        <f t="shared" si="69"/>
        <v>0</v>
      </c>
      <c r="AA179" s="109">
        <f>IF($BD179&gt;0,(((($BD179/Dashboard!$D$23)*(1+Precificação!$W$589)))+$AA$26)*(1+Dashboard!$D$35),0)</f>
        <v>0</v>
      </c>
      <c r="AB179" s="109">
        <f>IF($BD179&gt;0,(((($BD179/Dashboard!$D$23)*(1+Precificação!$W$589))*(1+AB$28))+$AA$26)*(1+Dashboard!$D$35),0)</f>
        <v>0</v>
      </c>
      <c r="AC179" s="109">
        <f>IF($BD179&gt;0,(((($BD179/Dashboard!$D$23)*(1+Precificação!$W$589))*(1+AC$28))+$AA$26)*(1+Dashboard!$D$35),0)</f>
        <v>0</v>
      </c>
      <c r="AD179" s="109">
        <f>IF($BD179&gt;0,(((($BD179/Dashboard!$D$23)*(1+Precificação!$W$589))*(1+AD$28))+$AA$26)*(1+Dashboard!$D$35),0)</f>
        <v>0</v>
      </c>
      <c r="AF179" s="109">
        <f t="shared" si="70"/>
        <v>0</v>
      </c>
      <c r="AG179" s="109">
        <f t="shared" si="71"/>
        <v>0</v>
      </c>
      <c r="AH179" s="109">
        <f t="shared" si="72"/>
        <v>0</v>
      </c>
      <c r="AI179" s="109">
        <f t="shared" si="73"/>
        <v>0</v>
      </c>
      <c r="AL179" s="109">
        <f>IF($BD179&gt;0,(((($BD179/Dashboard!$D$23)*(1+Precificação!$W$589)))+$AL$26)*(1+Dashboard!$D$35),0)</f>
        <v>0</v>
      </c>
      <c r="AM179" s="109">
        <f>IF($BD179&gt;0,(((($BD179/Dashboard!$D$23)*(1+Precificação!$W$589))*(1+AM$28))+$AA$26)*(1+Dashboard!$D$35),0)</f>
        <v>0</v>
      </c>
      <c r="AN179" s="109">
        <f>IF($BD179&gt;0,(((($BD179/Dashboard!$D$23)*(1+Precificação!$W$589))*(1+AN$28))+$AA$26)*(1+Dashboard!$D$35),0)</f>
        <v>0</v>
      </c>
      <c r="AO179" s="109">
        <f>IF($BD179&gt;0,(((($BD179/Dashboard!$D$23)*(1+Precificação!$W$589))*(1+AO$28))+$AA$26)*(1+Dashboard!$D$35),0)</f>
        <v>0</v>
      </c>
      <c r="AQ179" s="109">
        <f t="shared" si="74"/>
        <v>0</v>
      </c>
      <c r="AR179" s="109">
        <f t="shared" si="75"/>
        <v>0</v>
      </c>
      <c r="AS179" s="109">
        <f t="shared" si="76"/>
        <v>0</v>
      </c>
      <c r="AT179" s="109">
        <f t="shared" si="77"/>
        <v>0</v>
      </c>
      <c r="AW179" s="144">
        <f>VLOOKUP(B179,'Cronog. e Histog.'!$B$213:$BT$688,71,0)</f>
        <v>0</v>
      </c>
      <c r="AX179" s="144">
        <f>VLOOKUP(B179,'Cronog. e Histog.'!$B$213:$BU$688,72,0)</f>
        <v>0</v>
      </c>
      <c r="AY179" s="144">
        <f>$AW179*$AX179*Dashboard!$D$15</f>
        <v>0</v>
      </c>
      <c r="AZ179" s="144">
        <f>VLOOKUP(B179,Precificação!$B$96:$BM$533,54,0)</f>
        <v>0</v>
      </c>
      <c r="BA179" s="144">
        <f>VLOOKUP(B179,Precificação!$B$96:$BR$533,58,0)</f>
        <v>0</v>
      </c>
      <c r="BB179" s="144">
        <f>VLOOKUP(B179,Precificação!$B$96:$BW$533,62,0)</f>
        <v>0</v>
      </c>
      <c r="BC179" s="144">
        <f t="shared" si="78"/>
        <v>0</v>
      </c>
      <c r="BD179" s="109">
        <f>IFERROR(VLOOKUP(B179,Precificação!$B$96:$S$533,13,0),0)</f>
        <v>0</v>
      </c>
      <c r="BE179" s="109">
        <f>IFERROR(VLOOKUP(B179,Precificação!$B$96:$U$533,15,0)/(Precificação!$U$4+Precificação!$U$91),0)*Dashboard!$T$3</f>
        <v>0</v>
      </c>
    </row>
    <row r="180" spans="2:57" ht="12" customHeight="1" outlineLevel="1"/>
    <row r="181" spans="2:57" ht="12" customHeight="1" outlineLevel="1">
      <c r="B181" s="137" t="str">
        <f>Precificação!B162</f>
        <v>GER. (OBRA/PROJ) - Equipe_01</v>
      </c>
      <c r="D181" s="512" t="str">
        <f>'Cronog. e Histog.'!F283</f>
        <v>Equipe04</v>
      </c>
      <c r="E181" s="143" t="str">
        <f>IF('Cronog. e Histog.'!G285&gt;0,'Cronog. e Histog.'!G285,"")</f>
        <v>GER. (OBRA/PROJ)</v>
      </c>
      <c r="G181" s="179">
        <f t="shared" ref="G181" si="79">IF(AND((AW181*AX181)&gt;0,K181=0),1,0)</f>
        <v>0</v>
      </c>
      <c r="H181" s="110">
        <f>IFERROR(INDEX('Base Salarial'!$D$5:$F$25,MATCH(E181,'Base Salarial'!$G$5:$G$25,0),MATCH(I181,'Base Salarial'!$D$4:$F$4,0)),"")</f>
        <v>21000</v>
      </c>
      <c r="I181" s="78" t="str">
        <f>IFERROR(INDEX(Tarefas!$BQ$29:$FK$29,MATCH(E181,Tarefas!$BQ$30:$FK$30,0)),"")</f>
        <v>PJ</v>
      </c>
      <c r="J181" s="81">
        <f>IF(I181="horista",H181*Dashboard!$D$15,IF(OR(I181="Mensalista",I181="PJ"),H181,))</f>
        <v>21000</v>
      </c>
      <c r="K181" s="81">
        <f>IF(I181="PJ",J181,ROUND(J181*(1+Dashboard!$D$22),2))</f>
        <v>21000</v>
      </c>
      <c r="L181" s="77"/>
      <c r="M181" s="180"/>
      <c r="P181" s="109">
        <f>IF($BD181&gt;0,(((($BD181/Dashboard!$D$15)*(1+Precificação!$W$589)))+$P$26)*(1+Dashboard!$D$35),0)</f>
        <v>0</v>
      </c>
      <c r="Q181" s="109">
        <f>IF($BD181&gt;0,(((($BD181/Dashboard!$D$23)+(1+Precificação!$W$589))*(1+Q$28))+$P$26)*(1+Dashboard!$D$35),0)</f>
        <v>0</v>
      </c>
      <c r="R181" s="109">
        <f>IF($BD181&gt;0,(((($BD181/Dashboard!$D$23)+(1+Precificação!$W$589))*(1+R$28))+$P$26)*(1+Dashboard!$D$35),0)</f>
        <v>0</v>
      </c>
      <c r="S181" s="109">
        <f>IF($BD181&gt;0,(((($BD181/Dashboard!$D$23)+(1+Precificação!$W$589))*(1+S$28))+$P$26)*(1+Dashboard!$D$35),0)</f>
        <v>0</v>
      </c>
      <c r="U181" s="109">
        <f>IF(P181&gt;0,P181+U$32,0)</f>
        <v>0</v>
      </c>
      <c r="V181" s="109">
        <f t="shared" ref="V181:X181" si="80">IF(Q181&gt;0,Q181+V$32,0)</f>
        <v>0</v>
      </c>
      <c r="W181" s="109">
        <f t="shared" si="80"/>
        <v>0</v>
      </c>
      <c r="X181" s="109">
        <f t="shared" si="80"/>
        <v>0</v>
      </c>
      <c r="AA181" s="109">
        <f>IF($BD181&gt;0,(((($BD181/Dashboard!$D$23)*(1+Precificação!$W$589)))+$AA$26)*(1+Dashboard!$D$35),0)</f>
        <v>0</v>
      </c>
      <c r="AB181" s="109">
        <f>IF($BD181&gt;0,(((($BD181/Dashboard!$D$23)*(1+Precificação!$W$589))*(1+AB$28))+$AA$26)*(1+Dashboard!$D$35),0)</f>
        <v>0</v>
      </c>
      <c r="AC181" s="109">
        <f>IF($BD181&gt;0,(((($BD181/Dashboard!$D$23)*(1+Precificação!$W$589))*(1+AC$28))+$AA$26)*(1+Dashboard!$D$35),0)</f>
        <v>0</v>
      </c>
      <c r="AD181" s="109">
        <f>IF($BD181&gt;0,(((($BD181/Dashboard!$D$23)*(1+Precificação!$W$589))*(1+AD$28))+$AA$26)*(1+Dashboard!$D$35),0)</f>
        <v>0</v>
      </c>
      <c r="AF181" s="109">
        <f>IF(AA181&gt;0,AA181+AF$32,0)</f>
        <v>0</v>
      </c>
      <c r="AG181" s="109">
        <f t="shared" ref="AG181" si="81">IF(AB181&gt;0,AB181+AG$32,0)</f>
        <v>0</v>
      </c>
      <c r="AH181" s="109">
        <f t="shared" ref="AH181" si="82">IF(AC181&gt;0,AC181+AH$32,0)</f>
        <v>0</v>
      </c>
      <c r="AI181" s="109">
        <f t="shared" ref="AI181" si="83">IF(AD181&gt;0,AD181+AI$32,0)</f>
        <v>0</v>
      </c>
      <c r="AL181" s="109">
        <f>IF($BD181&gt;0,(((($BD181/Dashboard!$D$23)*(1+Precificação!$W$589)))+$AL$26)*(1+Dashboard!$D$35),0)</f>
        <v>0</v>
      </c>
      <c r="AM181" s="109">
        <f>IF($BD181&gt;0,(((($BD181/Dashboard!$D$23)*(1+Precificação!$W$589))*(1+AM$28))+$AA$26)*(1+Dashboard!$D$35),0)</f>
        <v>0</v>
      </c>
      <c r="AN181" s="109">
        <f>IF($BD181&gt;0,(((($BD181/Dashboard!$D$23)*(1+Precificação!$W$589))*(1+AN$28))+$AA$26)*(1+Dashboard!$D$35),0)</f>
        <v>0</v>
      </c>
      <c r="AO181" s="109">
        <f>IF($BD181&gt;0,(((($BD181/Dashboard!$D$23)*(1+Precificação!$W$589))*(1+AO$28))+$AA$26)*(1+Dashboard!$D$35),0)</f>
        <v>0</v>
      </c>
      <c r="AQ181" s="109">
        <f>IF(AL181&gt;0,AL181+AQ$32,0)</f>
        <v>0</v>
      </c>
      <c r="AR181" s="109">
        <f t="shared" ref="AR181" si="84">IF(AM181&gt;0,AM181+AR$32,0)</f>
        <v>0</v>
      </c>
      <c r="AS181" s="109">
        <f t="shared" ref="AS181" si="85">IF(AN181&gt;0,AN181+AS$32,0)</f>
        <v>0</v>
      </c>
      <c r="AT181" s="109">
        <f t="shared" ref="AT181" si="86">IF(AO181&gt;0,AO181+AT$32,0)</f>
        <v>0</v>
      </c>
      <c r="AW181" s="144">
        <f>VLOOKUP(B181,'Cronog. e Histog.'!$B$213:$BT$688,71,0)</f>
        <v>1.9999999999999997E-2</v>
      </c>
      <c r="AX181" s="144">
        <f>VLOOKUP(B181,'Cronog. e Histog.'!$B$213:$BU$688,72,0)</f>
        <v>10</v>
      </c>
      <c r="AY181" s="144">
        <f>$AW181*$AX181*Dashboard!$D$15</f>
        <v>38.72</v>
      </c>
      <c r="AZ181" s="144">
        <f>VLOOKUP(B181,Precificação!$B$96:$BM$533,54,0)</f>
        <v>0</v>
      </c>
      <c r="BA181" s="144">
        <f>VLOOKUP(B181,Precificação!$B$96:$BR$533,58,0)</f>
        <v>0</v>
      </c>
      <c r="BB181" s="144">
        <f>VLOOKUP(B181,Precificação!$B$96:$BW$533,62,0)</f>
        <v>0</v>
      </c>
      <c r="BC181" s="144">
        <f t="shared" ref="BC181" si="87">SUM(AY181:BB181)</f>
        <v>38.72</v>
      </c>
      <c r="BD181" s="109">
        <f>IFERROR(VLOOKUP(B181,Precificação!$B$96:$S$533,13,0),0)</f>
        <v>0</v>
      </c>
      <c r="BE181" s="109">
        <f>IFERROR(VLOOKUP(B181,Precificação!$B$96:$U$533,15,0)/(Precificação!$U$4+Precificação!$U$91),0)*Dashboard!$T$3</f>
        <v>0</v>
      </c>
    </row>
    <row r="182" spans="2:57" ht="12" customHeight="1" outlineLevel="1">
      <c r="B182" s="137" t="str">
        <f>Precificação!B163</f>
        <v>COORD. - Equipe_01</v>
      </c>
      <c r="D182" s="512"/>
      <c r="E182" s="143" t="str">
        <f>IF('Cronog. e Histog.'!G286&gt;0,'Cronog. e Histog.'!G286,"")</f>
        <v>COORD.</v>
      </c>
      <c r="G182" s="179">
        <f t="shared" ref="G182:G200" si="88">IF(AND((AW182*AX182)&gt;0,K182=0),1,0)</f>
        <v>0</v>
      </c>
      <c r="H182" s="110">
        <f>IFERROR(INDEX('Base Salarial'!$D$5:$F$25,MATCH(E182,'Base Salarial'!$G$5:$G$25,0),MATCH(I182,'Base Salarial'!$D$4:$F$4,0)),"")</f>
        <v>19000</v>
      </c>
      <c r="I182" s="78" t="str">
        <f>IFERROR(INDEX(Tarefas!$BQ$29:$FK$29,MATCH(E182,Tarefas!$BQ$30:$FK$30,0)),"")</f>
        <v>PJ</v>
      </c>
      <c r="J182" s="81">
        <f>IF(I182="horista",H182*Dashboard!$D$15,IF(OR(I182="Mensalista",I182="PJ"),H182,))</f>
        <v>19000</v>
      </c>
      <c r="K182" s="81">
        <f>IF(I182="PJ",J182,ROUND(J182*(1+Dashboard!$D$22),2))</f>
        <v>19000</v>
      </c>
      <c r="L182" s="77"/>
      <c r="M182" s="180"/>
      <c r="P182" s="109">
        <f>IF($BD182&gt;0,(((($BD182/Dashboard!$D$15)*(1+Precificação!$W$589)))+$P$26)*(1+Dashboard!$D$35),0)</f>
        <v>0</v>
      </c>
      <c r="Q182" s="109">
        <f>IF($BD182&gt;0,(((($BD182/Dashboard!$D$23)+(1+Precificação!$W$589))*(1+Q$28))+$P$26)*(1+Dashboard!$D$35),0)</f>
        <v>0</v>
      </c>
      <c r="R182" s="109">
        <f>IF($BD182&gt;0,(((($BD182/Dashboard!$D$23)+(1+Precificação!$W$589))*(1+R$28))+$P$26)*(1+Dashboard!$D$35),0)</f>
        <v>0</v>
      </c>
      <c r="S182" s="109">
        <f>IF($BD182&gt;0,(((($BD182/Dashboard!$D$23)+(1+Precificação!$W$589))*(1+S$28))+$P$26)*(1+Dashboard!$D$35),0)</f>
        <v>0</v>
      </c>
      <c r="U182" s="109">
        <f t="shared" ref="U182:U200" si="89">IF(P182&gt;0,P182+U$32,0)</f>
        <v>0</v>
      </c>
      <c r="V182" s="109">
        <f t="shared" ref="V182:V200" si="90">IF(Q182&gt;0,Q182+V$32,0)</f>
        <v>0</v>
      </c>
      <c r="W182" s="109">
        <f t="shared" ref="W182:W200" si="91">IF(R182&gt;0,R182+W$32,0)</f>
        <v>0</v>
      </c>
      <c r="X182" s="109">
        <f t="shared" ref="X182:X200" si="92">IF(S182&gt;0,S182+X$32,0)</f>
        <v>0</v>
      </c>
      <c r="AA182" s="109">
        <f>IF($BD182&gt;0,(((($BD182/Dashboard!$D$23)*(1+Precificação!$W$589)))+$AA$26)*(1+Dashboard!$D$35),0)</f>
        <v>0</v>
      </c>
      <c r="AB182" s="109">
        <f>IF($BD182&gt;0,(((($BD182/Dashboard!$D$23)*(1+Precificação!$W$589))*(1+AB$28))+$AA$26)*(1+Dashboard!$D$35),0)</f>
        <v>0</v>
      </c>
      <c r="AC182" s="109">
        <f>IF($BD182&gt;0,(((($BD182/Dashboard!$D$23)*(1+Precificação!$W$589))*(1+AC$28))+$AA$26)*(1+Dashboard!$D$35),0)</f>
        <v>0</v>
      </c>
      <c r="AD182" s="109">
        <f>IF($BD182&gt;0,(((($BD182/Dashboard!$D$23)*(1+Precificação!$W$589))*(1+AD$28))+$AA$26)*(1+Dashboard!$D$35),0)</f>
        <v>0</v>
      </c>
      <c r="AF182" s="109">
        <f t="shared" ref="AF182:AF200" si="93">IF(AA182&gt;0,AA182+AF$32,0)</f>
        <v>0</v>
      </c>
      <c r="AG182" s="109">
        <f t="shared" ref="AG182:AG200" si="94">IF(AB182&gt;0,AB182+AG$32,0)</f>
        <v>0</v>
      </c>
      <c r="AH182" s="109">
        <f t="shared" ref="AH182:AH200" si="95">IF(AC182&gt;0,AC182+AH$32,0)</f>
        <v>0</v>
      </c>
      <c r="AI182" s="109">
        <f t="shared" ref="AI182:AI200" si="96">IF(AD182&gt;0,AD182+AI$32,0)</f>
        <v>0</v>
      </c>
      <c r="AL182" s="109">
        <f>IF($BD182&gt;0,(((($BD182/Dashboard!$D$23)*(1+Precificação!$W$589)))+$AL$26)*(1+Dashboard!$D$35),0)</f>
        <v>0</v>
      </c>
      <c r="AM182" s="109">
        <f>IF($BD182&gt;0,(((($BD182/Dashboard!$D$23)*(1+Precificação!$W$589))*(1+AM$28))+$AA$26)*(1+Dashboard!$D$35),0)</f>
        <v>0</v>
      </c>
      <c r="AN182" s="109">
        <f>IF($BD182&gt;0,(((($BD182/Dashboard!$D$23)*(1+Precificação!$W$589))*(1+AN$28))+$AA$26)*(1+Dashboard!$D$35),0)</f>
        <v>0</v>
      </c>
      <c r="AO182" s="109">
        <f>IF($BD182&gt;0,(((($BD182/Dashboard!$D$23)*(1+Precificação!$W$589))*(1+AO$28))+$AA$26)*(1+Dashboard!$D$35),0)</f>
        <v>0</v>
      </c>
      <c r="AQ182" s="109">
        <f t="shared" ref="AQ182:AQ200" si="97">IF(AL182&gt;0,AL182+AQ$32,0)</f>
        <v>0</v>
      </c>
      <c r="AR182" s="109">
        <f t="shared" ref="AR182:AR200" si="98">IF(AM182&gt;0,AM182+AR$32,0)</f>
        <v>0</v>
      </c>
      <c r="AS182" s="109">
        <f t="shared" ref="AS182:AS200" si="99">IF(AN182&gt;0,AN182+AS$32,0)</f>
        <v>0</v>
      </c>
      <c r="AT182" s="109">
        <f t="shared" ref="AT182:AT200" si="100">IF(AO182&gt;0,AO182+AT$32,0)</f>
        <v>0</v>
      </c>
      <c r="AW182" s="144">
        <f>VLOOKUP(B182,'Cronog. e Histog.'!$B$213:$BT$688,71,0)</f>
        <v>1</v>
      </c>
      <c r="AX182" s="144">
        <f>VLOOKUP(B182,'Cronog. e Histog.'!$B$213:$BU$688,72,0)</f>
        <v>10</v>
      </c>
      <c r="AY182" s="144">
        <f>$AW182*$AX182*Dashboard!$D$15</f>
        <v>1936.0000000000002</v>
      </c>
      <c r="AZ182" s="144">
        <f>VLOOKUP(B182,Precificação!$B$96:$BM$533,54,0)</f>
        <v>0</v>
      </c>
      <c r="BA182" s="144">
        <f>VLOOKUP(B182,Precificação!$B$96:$BR$533,58,0)</f>
        <v>0</v>
      </c>
      <c r="BB182" s="144">
        <f>VLOOKUP(B182,Precificação!$B$96:$BW$533,62,0)</f>
        <v>0</v>
      </c>
      <c r="BC182" s="144">
        <f t="shared" ref="BC182:BC200" si="101">SUM(AY182:BB182)</f>
        <v>1936.0000000000002</v>
      </c>
      <c r="BD182" s="109">
        <f>IFERROR(VLOOKUP(B182,Precificação!$B$96:$S$533,13,0),0)</f>
        <v>0</v>
      </c>
      <c r="BE182" s="109">
        <f>IFERROR(VLOOKUP(B182,Precificação!$B$96:$U$533,15,0)/(Precificação!$U$4+Precificação!$U$91),0)*Dashboard!$T$3</f>
        <v>0</v>
      </c>
    </row>
    <row r="183" spans="2:57" ht="12" customHeight="1" outlineLevel="1">
      <c r="B183" s="137" t="str">
        <f>Precificação!B164</f>
        <v>SUP.-ESP - Equipe_01</v>
      </c>
      <c r="D183" s="512"/>
      <c r="E183" s="143" t="str">
        <f>IF('Cronog. e Histog.'!G287&gt;0,'Cronog. e Histog.'!G287,"")</f>
        <v>SUP.-ESP</v>
      </c>
      <c r="G183" s="179">
        <f t="shared" si="88"/>
        <v>0</v>
      </c>
      <c r="H183" s="110">
        <f>IFERROR(INDEX('Base Salarial'!$D$5:$F$25,MATCH(E183,'Base Salarial'!$G$5:$G$25,0),MATCH(I183,'Base Salarial'!$D$4:$F$4,0)),"")</f>
        <v>9166.6666666666679</v>
      </c>
      <c r="I183" s="78" t="str">
        <f>IFERROR(INDEX(Tarefas!$BQ$29:$FK$29,MATCH(E183,Tarefas!$BQ$30:$FK$30,0)),"")</f>
        <v>Mensalista</v>
      </c>
      <c r="J183" s="81">
        <f>IF(I183="horista",H183*Dashboard!$D$15,IF(OR(I183="Mensalista",I183="PJ"),H183,))</f>
        <v>9166.6666666666679</v>
      </c>
      <c r="K183" s="81">
        <f>IF(I183="PJ",J183,ROUND(J183*(1+Dashboard!$D$22),2))</f>
        <v>9716.67</v>
      </c>
      <c r="L183" s="77"/>
      <c r="M183" s="180"/>
      <c r="P183" s="109">
        <f>IF($BD183&gt;0,(((($BD183/Dashboard!$D$15)*(1+Precificação!$W$589)))+$P$26)*(1+Dashboard!$D$35),0)</f>
        <v>0</v>
      </c>
      <c r="Q183" s="109">
        <f>IF($BD183&gt;0,(((($BD183/Dashboard!$D$23)+(1+Precificação!$W$589))*(1+Q$28))+$P$26)*(1+Dashboard!$D$35),0)</f>
        <v>0</v>
      </c>
      <c r="R183" s="109">
        <f>IF($BD183&gt;0,(((($BD183/Dashboard!$D$23)+(1+Precificação!$W$589))*(1+R$28))+$P$26)*(1+Dashboard!$D$35),0)</f>
        <v>0</v>
      </c>
      <c r="S183" s="109">
        <f>IF($BD183&gt;0,(((($BD183/Dashboard!$D$23)+(1+Precificação!$W$589))*(1+S$28))+$P$26)*(1+Dashboard!$D$35),0)</f>
        <v>0</v>
      </c>
      <c r="U183" s="109">
        <f t="shared" si="89"/>
        <v>0</v>
      </c>
      <c r="V183" s="109">
        <f t="shared" si="90"/>
        <v>0</v>
      </c>
      <c r="W183" s="109">
        <f t="shared" si="91"/>
        <v>0</v>
      </c>
      <c r="X183" s="109">
        <f t="shared" si="92"/>
        <v>0</v>
      </c>
      <c r="AA183" s="109">
        <f>IF($BD183&gt;0,(((($BD183/Dashboard!$D$23)*(1+Precificação!$W$589)))+$AA$26)*(1+Dashboard!$D$35),0)</f>
        <v>0</v>
      </c>
      <c r="AB183" s="109">
        <f>IF($BD183&gt;0,(((($BD183/Dashboard!$D$23)*(1+Precificação!$W$589))*(1+AB$28))+$AA$26)*(1+Dashboard!$D$35),0)</f>
        <v>0</v>
      </c>
      <c r="AC183" s="109">
        <f>IF($BD183&gt;0,(((($BD183/Dashboard!$D$23)*(1+Precificação!$W$589))*(1+AC$28))+$AA$26)*(1+Dashboard!$D$35),0)</f>
        <v>0</v>
      </c>
      <c r="AD183" s="109">
        <f>IF($BD183&gt;0,(((($BD183/Dashboard!$D$23)*(1+Precificação!$W$589))*(1+AD$28))+$AA$26)*(1+Dashboard!$D$35),0)</f>
        <v>0</v>
      </c>
      <c r="AF183" s="109">
        <f t="shared" si="93"/>
        <v>0</v>
      </c>
      <c r="AG183" s="109">
        <f t="shared" si="94"/>
        <v>0</v>
      </c>
      <c r="AH183" s="109">
        <f t="shared" si="95"/>
        <v>0</v>
      </c>
      <c r="AI183" s="109">
        <f t="shared" si="96"/>
        <v>0</v>
      </c>
      <c r="AL183" s="109">
        <f>IF($BD183&gt;0,(((($BD183/Dashboard!$D$23)*(1+Precificação!$W$589)))+$AL$26)*(1+Dashboard!$D$35),0)</f>
        <v>0</v>
      </c>
      <c r="AM183" s="109">
        <f>IF($BD183&gt;0,(((($BD183/Dashboard!$D$23)*(1+Precificação!$W$589))*(1+AM$28))+$AA$26)*(1+Dashboard!$D$35),0)</f>
        <v>0</v>
      </c>
      <c r="AN183" s="109">
        <f>IF($BD183&gt;0,(((($BD183/Dashboard!$D$23)*(1+Precificação!$W$589))*(1+AN$28))+$AA$26)*(1+Dashboard!$D$35),0)</f>
        <v>0</v>
      </c>
      <c r="AO183" s="109">
        <f>IF($BD183&gt;0,(((($BD183/Dashboard!$D$23)*(1+Precificação!$W$589))*(1+AO$28))+$AA$26)*(1+Dashboard!$D$35),0)</f>
        <v>0</v>
      </c>
      <c r="AQ183" s="109">
        <f t="shared" si="97"/>
        <v>0</v>
      </c>
      <c r="AR183" s="109">
        <f t="shared" si="98"/>
        <v>0</v>
      </c>
      <c r="AS183" s="109">
        <f t="shared" si="99"/>
        <v>0</v>
      </c>
      <c r="AT183" s="109">
        <f t="shared" si="100"/>
        <v>0</v>
      </c>
      <c r="AW183" s="144">
        <f>VLOOKUP(B183,'Cronog. e Histog.'!$B$213:$BT$688,71,0)</f>
        <v>0</v>
      </c>
      <c r="AX183" s="144">
        <f>VLOOKUP(B183,'Cronog. e Histog.'!$B$213:$BU$688,72,0)</f>
        <v>0</v>
      </c>
      <c r="AY183" s="144">
        <f>$AW183*$AX183*Dashboard!$D$15</f>
        <v>0</v>
      </c>
      <c r="AZ183" s="144">
        <f>VLOOKUP(B183,Precificação!$B$96:$BM$533,54,0)</f>
        <v>0</v>
      </c>
      <c r="BA183" s="144">
        <f>VLOOKUP(B183,Precificação!$B$96:$BR$533,58,0)</f>
        <v>0</v>
      </c>
      <c r="BB183" s="144">
        <f>VLOOKUP(B183,Precificação!$B$96:$BW$533,62,0)</f>
        <v>0</v>
      </c>
      <c r="BC183" s="144">
        <f t="shared" si="101"/>
        <v>0</v>
      </c>
      <c r="BD183" s="109">
        <f>IFERROR(VLOOKUP(B183,Precificação!$B$96:$S$533,13,0),0)</f>
        <v>0</v>
      </c>
      <c r="BE183" s="109">
        <f>IFERROR(VLOOKUP(B183,Precificação!$B$96:$U$533,15,0)/(Precificação!$U$4+Precificação!$U$91),0)*Dashboard!$T$3</f>
        <v>0</v>
      </c>
    </row>
    <row r="184" spans="2:57" ht="12" customHeight="1" outlineLevel="1">
      <c r="B184" s="137" t="str">
        <f>Precificação!B165</f>
        <v>ENG/ARQ SR. - Equipe_01</v>
      </c>
      <c r="D184" s="512"/>
      <c r="E184" s="143" t="str">
        <f>IF('Cronog. e Histog.'!G288&gt;0,'Cronog. e Histog.'!G288,"")</f>
        <v>ENG/ARQ SR.</v>
      </c>
      <c r="G184" s="179">
        <f t="shared" si="88"/>
        <v>0</v>
      </c>
      <c r="H184" s="110">
        <f>IFERROR(INDEX('Base Salarial'!$D$5:$F$25,MATCH(E184,'Base Salarial'!$G$5:$G$25,0),MATCH(I184,'Base Salarial'!$D$4:$F$4,0)),"")</f>
        <v>16000</v>
      </c>
      <c r="I184" s="78" t="str">
        <f>IFERROR(INDEX(Tarefas!$BQ$29:$FK$29,MATCH(E184,Tarefas!$BQ$30:$FK$30,0)),"")</f>
        <v>PJ</v>
      </c>
      <c r="J184" s="81">
        <f>IF(I184="horista",H184*Dashboard!$D$15,IF(OR(I184="Mensalista",I184="PJ"),H184,))</f>
        <v>16000</v>
      </c>
      <c r="K184" s="81">
        <f>IF(I184="PJ",J184,ROUND(J184*(1+Dashboard!$D$22),2))</f>
        <v>16000</v>
      </c>
      <c r="L184" s="77"/>
      <c r="M184" s="180"/>
      <c r="P184" s="109">
        <f>IF($BD184&gt;0,(((($BD184/Dashboard!$D$15)*(1+Precificação!$W$589)))+$P$26)*(1+Dashboard!$D$35),0)</f>
        <v>0</v>
      </c>
      <c r="Q184" s="109">
        <f>IF($BD184&gt;0,(((($BD184/Dashboard!$D$23)+(1+Precificação!$W$589))*(1+Q$28))+$P$26)*(1+Dashboard!$D$35),0)</f>
        <v>0</v>
      </c>
      <c r="R184" s="109">
        <f>IF($BD184&gt;0,(((($BD184/Dashboard!$D$23)+(1+Precificação!$W$589))*(1+R$28))+$P$26)*(1+Dashboard!$D$35),0)</f>
        <v>0</v>
      </c>
      <c r="S184" s="109">
        <f>IF($BD184&gt;0,(((($BD184/Dashboard!$D$23)+(1+Precificação!$W$589))*(1+S$28))+$P$26)*(1+Dashboard!$D$35),0)</f>
        <v>0</v>
      </c>
      <c r="U184" s="109">
        <f t="shared" si="89"/>
        <v>0</v>
      </c>
      <c r="V184" s="109">
        <f t="shared" si="90"/>
        <v>0</v>
      </c>
      <c r="W184" s="109">
        <f t="shared" si="91"/>
        <v>0</v>
      </c>
      <c r="X184" s="109">
        <f t="shared" si="92"/>
        <v>0</v>
      </c>
      <c r="AA184" s="109">
        <f>IF($BD184&gt;0,(((($BD184/Dashboard!$D$23)*(1+Precificação!$W$589)))+$AA$26)*(1+Dashboard!$D$35),0)</f>
        <v>0</v>
      </c>
      <c r="AB184" s="109">
        <f>IF($BD184&gt;0,(((($BD184/Dashboard!$D$23)*(1+Precificação!$W$589))*(1+AB$28))+$AA$26)*(1+Dashboard!$D$35),0)</f>
        <v>0</v>
      </c>
      <c r="AC184" s="109">
        <f>IF($BD184&gt;0,(((($BD184/Dashboard!$D$23)*(1+Precificação!$W$589))*(1+AC$28))+$AA$26)*(1+Dashboard!$D$35),0)</f>
        <v>0</v>
      </c>
      <c r="AD184" s="109">
        <f>IF($BD184&gt;0,(((($BD184/Dashboard!$D$23)*(1+Precificação!$W$589))*(1+AD$28))+$AA$26)*(1+Dashboard!$D$35),0)</f>
        <v>0</v>
      </c>
      <c r="AF184" s="109">
        <f t="shared" si="93"/>
        <v>0</v>
      </c>
      <c r="AG184" s="109">
        <f t="shared" si="94"/>
        <v>0</v>
      </c>
      <c r="AH184" s="109">
        <f t="shared" si="95"/>
        <v>0</v>
      </c>
      <c r="AI184" s="109">
        <f t="shared" si="96"/>
        <v>0</v>
      </c>
      <c r="AL184" s="109">
        <f>IF($BD184&gt;0,(((($BD184/Dashboard!$D$23)*(1+Precificação!$W$589)))+$AL$26)*(1+Dashboard!$D$35),0)</f>
        <v>0</v>
      </c>
      <c r="AM184" s="109">
        <f>IF($BD184&gt;0,(((($BD184/Dashboard!$D$23)*(1+Precificação!$W$589))*(1+AM$28))+$AA$26)*(1+Dashboard!$D$35),0)</f>
        <v>0</v>
      </c>
      <c r="AN184" s="109">
        <f>IF($BD184&gt;0,(((($BD184/Dashboard!$D$23)*(1+Precificação!$W$589))*(1+AN$28))+$AA$26)*(1+Dashboard!$D$35),0)</f>
        <v>0</v>
      </c>
      <c r="AO184" s="109">
        <f>IF($BD184&gt;0,(((($BD184/Dashboard!$D$23)*(1+Precificação!$W$589))*(1+AO$28))+$AA$26)*(1+Dashboard!$D$35),0)</f>
        <v>0</v>
      </c>
      <c r="AQ184" s="109">
        <f t="shared" si="97"/>
        <v>0</v>
      </c>
      <c r="AR184" s="109">
        <f t="shared" si="98"/>
        <v>0</v>
      </c>
      <c r="AS184" s="109">
        <f t="shared" si="99"/>
        <v>0</v>
      </c>
      <c r="AT184" s="109">
        <f t="shared" si="100"/>
        <v>0</v>
      </c>
      <c r="AW184" s="144">
        <f>VLOOKUP(B184,'Cronog. e Histog.'!$B$213:$BT$688,71,0)</f>
        <v>9.9999999999999985E-3</v>
      </c>
      <c r="AX184" s="144">
        <f>VLOOKUP(B184,'Cronog. e Histog.'!$B$213:$BU$688,72,0)</f>
        <v>10</v>
      </c>
      <c r="AY184" s="144">
        <f>$AW184*$AX184*Dashboard!$D$15</f>
        <v>19.36</v>
      </c>
      <c r="AZ184" s="144">
        <f>VLOOKUP(B184,Precificação!$B$96:$BM$533,54,0)</f>
        <v>0</v>
      </c>
      <c r="BA184" s="144">
        <f>VLOOKUP(B184,Precificação!$B$96:$BR$533,58,0)</f>
        <v>0</v>
      </c>
      <c r="BB184" s="144">
        <f>VLOOKUP(B184,Precificação!$B$96:$BW$533,62,0)</f>
        <v>0</v>
      </c>
      <c r="BC184" s="144">
        <f t="shared" si="101"/>
        <v>19.36</v>
      </c>
      <c r="BD184" s="109">
        <f>IFERROR(VLOOKUP(B184,Precificação!$B$96:$S$533,13,0),0)</f>
        <v>0</v>
      </c>
      <c r="BE184" s="109">
        <f>IFERROR(VLOOKUP(B184,Precificação!$B$96:$U$533,15,0)/(Precificação!$U$4+Precificação!$U$91),0)*Dashboard!$T$3</f>
        <v>0</v>
      </c>
    </row>
    <row r="185" spans="2:57" ht="12" customHeight="1" outlineLevel="1">
      <c r="B185" s="137" t="str">
        <f>Precificação!B166</f>
        <v>ENG/ARQ PL. - Equipe_01</v>
      </c>
      <c r="D185" s="512"/>
      <c r="E185" s="143" t="str">
        <f>IF('Cronog. e Histog.'!G289&gt;0,'Cronog. e Histog.'!G289,"")</f>
        <v>ENG/ARQ PL.</v>
      </c>
      <c r="G185" s="179">
        <f t="shared" si="88"/>
        <v>0</v>
      </c>
      <c r="H185" s="110">
        <f>IFERROR(INDEX('Base Salarial'!$D$5:$F$25,MATCH(E185,'Base Salarial'!$G$5:$G$25,0),MATCH(I185,'Base Salarial'!$D$4:$F$4,0)),"")</f>
        <v>14000</v>
      </c>
      <c r="I185" s="78" t="str">
        <f>IFERROR(INDEX(Tarefas!$BQ$29:$FK$29,MATCH(E185,Tarefas!$BQ$30:$FK$30,0)),"")</f>
        <v>PJ</v>
      </c>
      <c r="J185" s="81">
        <f>IF(I185="horista",H185*Dashboard!$D$15,IF(OR(I185="Mensalista",I185="PJ"),H185,))</f>
        <v>14000</v>
      </c>
      <c r="K185" s="81">
        <f>IF(I185="PJ",J185,ROUND(J185*(1+Dashboard!$D$22),2))</f>
        <v>14000</v>
      </c>
      <c r="L185" s="77"/>
      <c r="M185" s="180"/>
      <c r="P185" s="109">
        <f>IF($BD185&gt;0,(((($BD185/Dashboard!$D$15)*(1+Precificação!$W$589)))+$P$26)*(1+Dashboard!$D$35),0)</f>
        <v>0</v>
      </c>
      <c r="Q185" s="109">
        <f>IF($BD185&gt;0,(((($BD185/Dashboard!$D$23)+(1+Precificação!$W$589))*(1+Q$28))+$P$26)*(1+Dashboard!$D$35),0)</f>
        <v>0</v>
      </c>
      <c r="R185" s="109">
        <f>IF($BD185&gt;0,(((($BD185/Dashboard!$D$23)+(1+Precificação!$W$589))*(1+R$28))+$P$26)*(1+Dashboard!$D$35),0)</f>
        <v>0</v>
      </c>
      <c r="S185" s="109">
        <f>IF($BD185&gt;0,(((($BD185/Dashboard!$D$23)+(1+Precificação!$W$589))*(1+S$28))+$P$26)*(1+Dashboard!$D$35),0)</f>
        <v>0</v>
      </c>
      <c r="U185" s="109">
        <f t="shared" si="89"/>
        <v>0</v>
      </c>
      <c r="V185" s="109">
        <f t="shared" si="90"/>
        <v>0</v>
      </c>
      <c r="W185" s="109">
        <f t="shared" si="91"/>
        <v>0</v>
      </c>
      <c r="X185" s="109">
        <f t="shared" si="92"/>
        <v>0</v>
      </c>
      <c r="AA185" s="109">
        <f>IF($BD185&gt;0,(((($BD185/Dashboard!$D$23)*(1+Precificação!$W$589)))+$AA$26)*(1+Dashboard!$D$35),0)</f>
        <v>0</v>
      </c>
      <c r="AB185" s="109">
        <f>IF($BD185&gt;0,(((($BD185/Dashboard!$D$23)*(1+Precificação!$W$589))*(1+AB$28))+$AA$26)*(1+Dashboard!$D$35),0)</f>
        <v>0</v>
      </c>
      <c r="AC185" s="109">
        <f>IF($BD185&gt;0,(((($BD185/Dashboard!$D$23)*(1+Precificação!$W$589))*(1+AC$28))+$AA$26)*(1+Dashboard!$D$35),0)</f>
        <v>0</v>
      </c>
      <c r="AD185" s="109">
        <f>IF($BD185&gt;0,(((($BD185/Dashboard!$D$23)*(1+Precificação!$W$589))*(1+AD$28))+$AA$26)*(1+Dashboard!$D$35),0)</f>
        <v>0</v>
      </c>
      <c r="AF185" s="109">
        <f t="shared" si="93"/>
        <v>0</v>
      </c>
      <c r="AG185" s="109">
        <f t="shared" si="94"/>
        <v>0</v>
      </c>
      <c r="AH185" s="109">
        <f t="shared" si="95"/>
        <v>0</v>
      </c>
      <c r="AI185" s="109">
        <f t="shared" si="96"/>
        <v>0</v>
      </c>
      <c r="AL185" s="109">
        <f>IF($BD185&gt;0,(((($BD185/Dashboard!$D$23)*(1+Precificação!$W$589)))+$AL$26)*(1+Dashboard!$D$35),0)</f>
        <v>0</v>
      </c>
      <c r="AM185" s="109">
        <f>IF($BD185&gt;0,(((($BD185/Dashboard!$D$23)*(1+Precificação!$W$589))*(1+AM$28))+$AA$26)*(1+Dashboard!$D$35),0)</f>
        <v>0</v>
      </c>
      <c r="AN185" s="109">
        <f>IF($BD185&gt;0,(((($BD185/Dashboard!$D$23)*(1+Precificação!$W$589))*(1+AN$28))+$AA$26)*(1+Dashboard!$D$35),0)</f>
        <v>0</v>
      </c>
      <c r="AO185" s="109">
        <f>IF($BD185&gt;0,(((($BD185/Dashboard!$D$23)*(1+Precificação!$W$589))*(1+AO$28))+$AA$26)*(1+Dashboard!$D$35),0)</f>
        <v>0</v>
      </c>
      <c r="AQ185" s="109">
        <f t="shared" si="97"/>
        <v>0</v>
      </c>
      <c r="AR185" s="109">
        <f t="shared" si="98"/>
        <v>0</v>
      </c>
      <c r="AS185" s="109">
        <f t="shared" si="99"/>
        <v>0</v>
      </c>
      <c r="AT185" s="109">
        <f t="shared" si="100"/>
        <v>0</v>
      </c>
      <c r="AW185" s="144">
        <f>VLOOKUP(B185,'Cronog. e Histog.'!$B$213:$BT$688,71,0)</f>
        <v>0</v>
      </c>
      <c r="AX185" s="144">
        <f>VLOOKUP(B185,'Cronog. e Histog.'!$B$213:$BU$688,72,0)</f>
        <v>0</v>
      </c>
      <c r="AY185" s="144">
        <f>$AW185*$AX185*Dashboard!$D$15</f>
        <v>0</v>
      </c>
      <c r="AZ185" s="144">
        <f>VLOOKUP(B185,Precificação!$B$96:$BM$533,54,0)</f>
        <v>0</v>
      </c>
      <c r="BA185" s="144">
        <f>VLOOKUP(B185,Precificação!$B$96:$BR$533,58,0)</f>
        <v>0</v>
      </c>
      <c r="BB185" s="144">
        <f>VLOOKUP(B185,Precificação!$B$96:$BW$533,62,0)</f>
        <v>0</v>
      </c>
      <c r="BC185" s="144">
        <f t="shared" si="101"/>
        <v>0</v>
      </c>
      <c r="BD185" s="109">
        <f>IFERROR(VLOOKUP(B185,Precificação!$B$96:$S$533,13,0),0)</f>
        <v>0</v>
      </c>
      <c r="BE185" s="109">
        <f>IFERROR(VLOOKUP(B185,Precificação!$B$96:$U$533,15,0)/(Precificação!$U$4+Precificação!$U$91),0)*Dashboard!$T$3</f>
        <v>0</v>
      </c>
    </row>
    <row r="186" spans="2:57" ht="12" customHeight="1" outlineLevel="1">
      <c r="B186" s="137" t="str">
        <f>Precificação!B167</f>
        <v>ENG/ARQ JR. - Equipe_01</v>
      </c>
      <c r="D186" s="512"/>
      <c r="E186" s="143" t="str">
        <f>IF('Cronog. e Histog.'!G290&gt;0,'Cronog. e Histog.'!G290,"")</f>
        <v>ENG/ARQ JR.</v>
      </c>
      <c r="G186" s="179">
        <f t="shared" si="88"/>
        <v>0</v>
      </c>
      <c r="H186" s="110">
        <f>IFERROR(INDEX('Base Salarial'!$D$5:$F$25,MATCH(E186,'Base Salarial'!$G$5:$G$25,0),MATCH(I186,'Base Salarial'!$D$4:$F$4,0)),"")</f>
        <v>14000</v>
      </c>
      <c r="I186" s="78" t="str">
        <f>IFERROR(INDEX(Tarefas!$BQ$29:$FK$29,MATCH(E186,Tarefas!$BQ$30:$FK$30,0)),"")</f>
        <v>PJ</v>
      </c>
      <c r="J186" s="81">
        <f>IF(I186="horista",H186*Dashboard!$D$15,IF(OR(I186="Mensalista",I186="PJ"),H186,))</f>
        <v>14000</v>
      </c>
      <c r="K186" s="81">
        <f>IF(I186="PJ",J186,ROUND(J186*(1+Dashboard!$D$22),2))</f>
        <v>14000</v>
      </c>
      <c r="L186" s="77"/>
      <c r="M186" s="180"/>
      <c r="P186" s="109">
        <f>IF($BD186&gt;0,(((($BD186/Dashboard!$D$15)*(1+Precificação!$W$589)))+$P$26)*(1+Dashboard!$D$35),0)</f>
        <v>0</v>
      </c>
      <c r="Q186" s="109">
        <f>IF($BD186&gt;0,(((($BD186/Dashboard!$D$23)+(1+Precificação!$W$589))*(1+Q$28))+$P$26)*(1+Dashboard!$D$35),0)</f>
        <v>0</v>
      </c>
      <c r="R186" s="109">
        <f>IF($BD186&gt;0,(((($BD186/Dashboard!$D$23)+(1+Precificação!$W$589))*(1+R$28))+$P$26)*(1+Dashboard!$D$35),0)</f>
        <v>0</v>
      </c>
      <c r="S186" s="109">
        <f>IF($BD186&gt;0,(((($BD186/Dashboard!$D$23)+(1+Precificação!$W$589))*(1+S$28))+$P$26)*(1+Dashboard!$D$35),0)</f>
        <v>0</v>
      </c>
      <c r="U186" s="109">
        <f t="shared" si="89"/>
        <v>0</v>
      </c>
      <c r="V186" s="109">
        <f t="shared" si="90"/>
        <v>0</v>
      </c>
      <c r="W186" s="109">
        <f t="shared" si="91"/>
        <v>0</v>
      </c>
      <c r="X186" s="109">
        <f t="shared" si="92"/>
        <v>0</v>
      </c>
      <c r="AA186" s="109">
        <f>IF($BD186&gt;0,(((($BD186/Dashboard!$D$23)*(1+Precificação!$W$589)))+$AA$26)*(1+Dashboard!$D$35),0)</f>
        <v>0</v>
      </c>
      <c r="AB186" s="109">
        <f>IF($BD186&gt;0,(((($BD186/Dashboard!$D$23)*(1+Precificação!$W$589))*(1+AB$28))+$AA$26)*(1+Dashboard!$D$35),0)</f>
        <v>0</v>
      </c>
      <c r="AC186" s="109">
        <f>IF($BD186&gt;0,(((($BD186/Dashboard!$D$23)*(1+Precificação!$W$589))*(1+AC$28))+$AA$26)*(1+Dashboard!$D$35),0)</f>
        <v>0</v>
      </c>
      <c r="AD186" s="109">
        <f>IF($BD186&gt;0,(((($BD186/Dashboard!$D$23)*(1+Precificação!$W$589))*(1+AD$28))+$AA$26)*(1+Dashboard!$D$35),0)</f>
        <v>0</v>
      </c>
      <c r="AF186" s="109">
        <f t="shared" si="93"/>
        <v>0</v>
      </c>
      <c r="AG186" s="109">
        <f t="shared" si="94"/>
        <v>0</v>
      </c>
      <c r="AH186" s="109">
        <f t="shared" si="95"/>
        <v>0</v>
      </c>
      <c r="AI186" s="109">
        <f t="shared" si="96"/>
        <v>0</v>
      </c>
      <c r="AL186" s="109">
        <f>IF($BD186&gt;0,(((($BD186/Dashboard!$D$23)*(1+Precificação!$W$589)))+$AL$26)*(1+Dashboard!$D$35),0)</f>
        <v>0</v>
      </c>
      <c r="AM186" s="109">
        <f>IF($BD186&gt;0,(((($BD186/Dashboard!$D$23)*(1+Precificação!$W$589))*(1+AM$28))+$AA$26)*(1+Dashboard!$D$35),0)</f>
        <v>0</v>
      </c>
      <c r="AN186" s="109">
        <f>IF($BD186&gt;0,(((($BD186/Dashboard!$D$23)*(1+Precificação!$W$589))*(1+AN$28))+$AA$26)*(1+Dashboard!$D$35),0)</f>
        <v>0</v>
      </c>
      <c r="AO186" s="109">
        <f>IF($BD186&gt;0,(((($BD186/Dashboard!$D$23)*(1+Precificação!$W$589))*(1+AO$28))+$AA$26)*(1+Dashboard!$D$35),0)</f>
        <v>0</v>
      </c>
      <c r="AQ186" s="109">
        <f t="shared" si="97"/>
        <v>0</v>
      </c>
      <c r="AR186" s="109">
        <f t="shared" si="98"/>
        <v>0</v>
      </c>
      <c r="AS186" s="109">
        <f t="shared" si="99"/>
        <v>0</v>
      </c>
      <c r="AT186" s="109">
        <f t="shared" si="100"/>
        <v>0</v>
      </c>
      <c r="AW186" s="144">
        <f>VLOOKUP(B186,'Cronog. e Histog.'!$B$213:$BT$688,71,0)</f>
        <v>0</v>
      </c>
      <c r="AX186" s="144">
        <f>VLOOKUP(B186,'Cronog. e Histog.'!$B$213:$BU$688,72,0)</f>
        <v>0</v>
      </c>
      <c r="AY186" s="144">
        <f>$AW186*$AX186*Dashboard!$D$15</f>
        <v>0</v>
      </c>
      <c r="AZ186" s="144">
        <f>VLOOKUP(B186,Precificação!$B$96:$BM$533,54,0)</f>
        <v>0</v>
      </c>
      <c r="BA186" s="144">
        <f>VLOOKUP(B186,Precificação!$B$96:$BR$533,58,0)</f>
        <v>0</v>
      </c>
      <c r="BB186" s="144">
        <f>VLOOKUP(B186,Precificação!$B$96:$BW$533,62,0)</f>
        <v>0</v>
      </c>
      <c r="BC186" s="144">
        <f t="shared" si="101"/>
        <v>0</v>
      </c>
      <c r="BD186" s="109">
        <f>IFERROR(VLOOKUP(B186,Precificação!$B$96:$S$533,13,0),0)</f>
        <v>0</v>
      </c>
      <c r="BE186" s="109">
        <f>IFERROR(VLOOKUP(B186,Precificação!$B$96:$U$533,15,0)/(Precificação!$U$4+Precificação!$U$91),0)*Dashboard!$T$3</f>
        <v>0</v>
      </c>
    </row>
    <row r="187" spans="2:57" ht="12" customHeight="1" outlineLevel="1">
      <c r="B187" s="137" t="str">
        <f>Precificação!B168</f>
        <v>AN SR. ENG/ARQ - Equipe_01</v>
      </c>
      <c r="D187" s="512"/>
      <c r="E187" s="143" t="str">
        <f>IF('Cronog. e Histog.'!G291&gt;0,'Cronog. e Histog.'!G291,"")</f>
        <v>AN SR. ENG/ARQ</v>
      </c>
      <c r="G187" s="179">
        <f t="shared" si="88"/>
        <v>0</v>
      </c>
      <c r="H187" s="110">
        <f>IFERROR(INDEX('Base Salarial'!$D$5:$F$25,MATCH(E187,'Base Salarial'!$G$5:$G$25,0),MATCH(I187,'Base Salarial'!$D$4:$F$4,0)),"")</f>
        <v>7500</v>
      </c>
      <c r="I187" s="78" t="str">
        <f>IFERROR(INDEX(Tarefas!$BQ$29:$FK$29,MATCH(E187,Tarefas!$BQ$30:$FK$30,0)),"")</f>
        <v>Mensalista</v>
      </c>
      <c r="J187" s="81">
        <f>IF(I187="horista",H187*Dashboard!$D$15,IF(OR(I187="Mensalista",I187="PJ"),H187,))</f>
        <v>7500</v>
      </c>
      <c r="K187" s="81">
        <f>IF(I187="PJ",J187,ROUND(J187*(1+Dashboard!$D$22),2))</f>
        <v>7950</v>
      </c>
      <c r="L187" s="77"/>
      <c r="M187" s="180"/>
      <c r="P187" s="109">
        <f>IF($BD187&gt;0,(((($BD187/Dashboard!$D$15)*(1+Precificação!$W$589)))+$P$26)*(1+Dashboard!$D$35),0)</f>
        <v>0</v>
      </c>
      <c r="Q187" s="109">
        <f>IF($BD187&gt;0,(((($BD187/Dashboard!$D$23)+(1+Precificação!$W$589))*(1+Q$28))+$P$26)*(1+Dashboard!$D$35),0)</f>
        <v>0</v>
      </c>
      <c r="R187" s="109">
        <f>IF($BD187&gt;0,(((($BD187/Dashboard!$D$23)+(1+Precificação!$W$589))*(1+R$28))+$P$26)*(1+Dashboard!$D$35),0)</f>
        <v>0</v>
      </c>
      <c r="S187" s="109">
        <f>IF($BD187&gt;0,(((($BD187/Dashboard!$D$23)+(1+Precificação!$W$589))*(1+S$28))+$P$26)*(1+Dashboard!$D$35),0)</f>
        <v>0</v>
      </c>
      <c r="U187" s="109">
        <f t="shared" si="89"/>
        <v>0</v>
      </c>
      <c r="V187" s="109">
        <f t="shared" si="90"/>
        <v>0</v>
      </c>
      <c r="W187" s="109">
        <f t="shared" si="91"/>
        <v>0</v>
      </c>
      <c r="X187" s="109">
        <f t="shared" si="92"/>
        <v>0</v>
      </c>
      <c r="AA187" s="109">
        <f>IF($BD187&gt;0,(((($BD187/Dashboard!$D$23)*(1+Precificação!$W$589)))+$AA$26)*(1+Dashboard!$D$35),0)</f>
        <v>0</v>
      </c>
      <c r="AB187" s="109">
        <f>IF($BD187&gt;0,(((($BD187/Dashboard!$D$23)*(1+Precificação!$W$589))*(1+AB$28))+$AA$26)*(1+Dashboard!$D$35),0)</f>
        <v>0</v>
      </c>
      <c r="AC187" s="109">
        <f>IF($BD187&gt;0,(((($BD187/Dashboard!$D$23)*(1+Precificação!$W$589))*(1+AC$28))+$AA$26)*(1+Dashboard!$D$35),0)</f>
        <v>0</v>
      </c>
      <c r="AD187" s="109">
        <f>IF($BD187&gt;0,(((($BD187/Dashboard!$D$23)*(1+Precificação!$W$589))*(1+AD$28))+$AA$26)*(1+Dashboard!$D$35),0)</f>
        <v>0</v>
      </c>
      <c r="AF187" s="109">
        <f t="shared" si="93"/>
        <v>0</v>
      </c>
      <c r="AG187" s="109">
        <f t="shared" si="94"/>
        <v>0</v>
      </c>
      <c r="AH187" s="109">
        <f t="shared" si="95"/>
        <v>0</v>
      </c>
      <c r="AI187" s="109">
        <f t="shared" si="96"/>
        <v>0</v>
      </c>
      <c r="AL187" s="109">
        <f>IF($BD187&gt;0,(((($BD187/Dashboard!$D$23)*(1+Precificação!$W$589)))+$AL$26)*(1+Dashboard!$D$35),0)</f>
        <v>0</v>
      </c>
      <c r="AM187" s="109">
        <f>IF($BD187&gt;0,(((($BD187/Dashboard!$D$23)*(1+Precificação!$W$589))*(1+AM$28))+$AA$26)*(1+Dashboard!$D$35),0)</f>
        <v>0</v>
      </c>
      <c r="AN187" s="109">
        <f>IF($BD187&gt;0,(((($BD187/Dashboard!$D$23)*(1+Precificação!$W$589))*(1+AN$28))+$AA$26)*(1+Dashboard!$D$35),0)</f>
        <v>0</v>
      </c>
      <c r="AO187" s="109">
        <f>IF($BD187&gt;0,(((($BD187/Dashboard!$D$23)*(1+Precificação!$W$589))*(1+AO$28))+$AA$26)*(1+Dashboard!$D$35),0)</f>
        <v>0</v>
      </c>
      <c r="AQ187" s="109">
        <f t="shared" si="97"/>
        <v>0</v>
      </c>
      <c r="AR187" s="109">
        <f t="shared" si="98"/>
        <v>0</v>
      </c>
      <c r="AS187" s="109">
        <f t="shared" si="99"/>
        <v>0</v>
      </c>
      <c r="AT187" s="109">
        <f t="shared" si="100"/>
        <v>0</v>
      </c>
      <c r="AW187" s="144">
        <f>VLOOKUP(B187,'Cronog. e Histog.'!$B$213:$BT$688,71,0)</f>
        <v>0</v>
      </c>
      <c r="AX187" s="144">
        <f>VLOOKUP(B187,'Cronog. e Histog.'!$B$213:$BU$688,72,0)</f>
        <v>0</v>
      </c>
      <c r="AY187" s="144">
        <f>$AW187*$AX187*Dashboard!$D$15</f>
        <v>0</v>
      </c>
      <c r="AZ187" s="144">
        <f>VLOOKUP(B187,Precificação!$B$96:$BM$533,54,0)</f>
        <v>0</v>
      </c>
      <c r="BA187" s="144">
        <f>VLOOKUP(B187,Precificação!$B$96:$BR$533,58,0)</f>
        <v>0</v>
      </c>
      <c r="BB187" s="144">
        <f>VLOOKUP(B187,Precificação!$B$96:$BW$533,62,0)</f>
        <v>0</v>
      </c>
      <c r="BC187" s="144">
        <f t="shared" si="101"/>
        <v>0</v>
      </c>
      <c r="BD187" s="109">
        <f>IFERROR(VLOOKUP(B187,Precificação!$B$96:$S$533,13,0),0)</f>
        <v>0</v>
      </c>
      <c r="BE187" s="109">
        <f>IFERROR(VLOOKUP(B187,Precificação!$B$96:$U$533,15,0)/(Precificação!$U$4+Precificação!$U$91),0)*Dashboard!$T$3</f>
        <v>0</v>
      </c>
    </row>
    <row r="188" spans="2:57" ht="12" customHeight="1" outlineLevel="1">
      <c r="B188" s="137" t="str">
        <f>Precificação!B169</f>
        <v>AN PL. ENG/ARQ - Equipe_01</v>
      </c>
      <c r="D188" s="512"/>
      <c r="E188" s="143" t="str">
        <f>IF('Cronog. e Histog.'!G292&gt;0,'Cronog. e Histog.'!G292,"")</f>
        <v>AN PL. ENG/ARQ</v>
      </c>
      <c r="G188" s="179">
        <f t="shared" si="88"/>
        <v>0</v>
      </c>
      <c r="H188" s="110">
        <f>IFERROR(INDEX('Base Salarial'!$D$5:$F$25,MATCH(E188,'Base Salarial'!$G$5:$G$25,0),MATCH(I188,'Base Salarial'!$D$4:$F$4,0)),"")</f>
        <v>6000</v>
      </c>
      <c r="I188" s="78" t="str">
        <f>IFERROR(INDEX(Tarefas!$BQ$29:$FK$29,MATCH(E188,Tarefas!$BQ$30:$FK$30,0)),"")</f>
        <v>Mensalista</v>
      </c>
      <c r="J188" s="81">
        <f>IF(I188="horista",H188*Dashboard!$D$15,IF(OR(I188="Mensalista",I188="PJ"),H188,))</f>
        <v>6000</v>
      </c>
      <c r="K188" s="81">
        <f>IF(I188="PJ",J188,ROUND(J188*(1+Dashboard!$D$22),2))</f>
        <v>6360</v>
      </c>
      <c r="L188" s="77"/>
      <c r="M188" s="180"/>
      <c r="P188" s="109">
        <f>IF($BD188&gt;0,(((($BD188/Dashboard!$D$15)*(1+Precificação!$W$589)))+$P$26)*(1+Dashboard!$D$35),0)</f>
        <v>0</v>
      </c>
      <c r="Q188" s="109">
        <f>IF($BD188&gt;0,(((($BD188/Dashboard!$D$23)+(1+Precificação!$W$589))*(1+Q$28))+$P$26)*(1+Dashboard!$D$35),0)</f>
        <v>0</v>
      </c>
      <c r="R188" s="109">
        <f>IF($BD188&gt;0,(((($BD188/Dashboard!$D$23)+(1+Precificação!$W$589))*(1+R$28))+$P$26)*(1+Dashboard!$D$35),0)</f>
        <v>0</v>
      </c>
      <c r="S188" s="109">
        <f>IF($BD188&gt;0,(((($BD188/Dashboard!$D$23)+(1+Precificação!$W$589))*(1+S$28))+$P$26)*(1+Dashboard!$D$35),0)</f>
        <v>0</v>
      </c>
      <c r="U188" s="109">
        <f t="shared" si="89"/>
        <v>0</v>
      </c>
      <c r="V188" s="109">
        <f t="shared" si="90"/>
        <v>0</v>
      </c>
      <c r="W188" s="109">
        <f t="shared" si="91"/>
        <v>0</v>
      </c>
      <c r="X188" s="109">
        <f t="shared" si="92"/>
        <v>0</v>
      </c>
      <c r="AA188" s="109">
        <f>IF($BD188&gt;0,(((($BD188/Dashboard!$D$23)*(1+Precificação!$W$589)))+$AA$26)*(1+Dashboard!$D$35),0)</f>
        <v>0</v>
      </c>
      <c r="AB188" s="109">
        <f>IF($BD188&gt;0,(((($BD188/Dashboard!$D$23)*(1+Precificação!$W$589))*(1+AB$28))+$AA$26)*(1+Dashboard!$D$35),0)</f>
        <v>0</v>
      </c>
      <c r="AC188" s="109">
        <f>IF($BD188&gt;0,(((($BD188/Dashboard!$D$23)*(1+Precificação!$W$589))*(1+AC$28))+$AA$26)*(1+Dashboard!$D$35),0)</f>
        <v>0</v>
      </c>
      <c r="AD188" s="109">
        <f>IF($BD188&gt;0,(((($BD188/Dashboard!$D$23)*(1+Precificação!$W$589))*(1+AD$28))+$AA$26)*(1+Dashboard!$D$35),0)</f>
        <v>0</v>
      </c>
      <c r="AF188" s="109">
        <f t="shared" si="93"/>
        <v>0</v>
      </c>
      <c r="AG188" s="109">
        <f t="shared" si="94"/>
        <v>0</v>
      </c>
      <c r="AH188" s="109">
        <f t="shared" si="95"/>
        <v>0</v>
      </c>
      <c r="AI188" s="109">
        <f t="shared" si="96"/>
        <v>0</v>
      </c>
      <c r="AL188" s="109">
        <f>IF($BD188&gt;0,(((($BD188/Dashboard!$D$23)*(1+Precificação!$W$589)))+$AL$26)*(1+Dashboard!$D$35),0)</f>
        <v>0</v>
      </c>
      <c r="AM188" s="109">
        <f>IF($BD188&gt;0,(((($BD188/Dashboard!$D$23)*(1+Precificação!$W$589))*(1+AM$28))+$AA$26)*(1+Dashboard!$D$35),0)</f>
        <v>0</v>
      </c>
      <c r="AN188" s="109">
        <f>IF($BD188&gt;0,(((($BD188/Dashboard!$D$23)*(1+Precificação!$W$589))*(1+AN$28))+$AA$26)*(1+Dashboard!$D$35),0)</f>
        <v>0</v>
      </c>
      <c r="AO188" s="109">
        <f>IF($BD188&gt;0,(((($BD188/Dashboard!$D$23)*(1+Precificação!$W$589))*(1+AO$28))+$AA$26)*(1+Dashboard!$D$35),0)</f>
        <v>0</v>
      </c>
      <c r="AQ188" s="109">
        <f t="shared" si="97"/>
        <v>0</v>
      </c>
      <c r="AR188" s="109">
        <f t="shared" si="98"/>
        <v>0</v>
      </c>
      <c r="AS188" s="109">
        <f t="shared" si="99"/>
        <v>0</v>
      </c>
      <c r="AT188" s="109">
        <f t="shared" si="100"/>
        <v>0</v>
      </c>
      <c r="AW188" s="144">
        <f>VLOOKUP(B188,'Cronog. e Histog.'!$B$213:$BT$688,71,0)</f>
        <v>0</v>
      </c>
      <c r="AX188" s="144">
        <f>VLOOKUP(B188,'Cronog. e Histog.'!$B$213:$BU$688,72,0)</f>
        <v>0</v>
      </c>
      <c r="AY188" s="144">
        <f>$AW188*$AX188*Dashboard!$D$15</f>
        <v>0</v>
      </c>
      <c r="AZ188" s="144">
        <f>VLOOKUP(B188,Precificação!$B$96:$BM$533,54,0)</f>
        <v>0</v>
      </c>
      <c r="BA188" s="144">
        <f>VLOOKUP(B188,Precificação!$B$96:$BR$533,58,0)</f>
        <v>0</v>
      </c>
      <c r="BB188" s="144">
        <f>VLOOKUP(B188,Precificação!$B$96:$BW$533,62,0)</f>
        <v>0</v>
      </c>
      <c r="BC188" s="144">
        <f t="shared" si="101"/>
        <v>0</v>
      </c>
      <c r="BD188" s="109">
        <f>IFERROR(VLOOKUP(B188,Precificação!$B$96:$S$533,13,0),0)</f>
        <v>0</v>
      </c>
      <c r="BE188" s="109">
        <f>IFERROR(VLOOKUP(B188,Precificação!$B$96:$U$533,15,0)/(Precificação!$U$4+Precificação!$U$91),0)*Dashboard!$T$3</f>
        <v>0</v>
      </c>
    </row>
    <row r="189" spans="2:57" ht="12" customHeight="1" outlineLevel="1">
      <c r="B189" s="137" t="str">
        <f>Precificação!B170</f>
        <v>AN JR. ENG/ARQ - Equipe_01</v>
      </c>
      <c r="D189" s="512"/>
      <c r="E189" s="143" t="str">
        <f>IF('Cronog. e Histog.'!G293&gt;0,'Cronog. e Histog.'!G293,"")</f>
        <v>AN JR. ENG/ARQ</v>
      </c>
      <c r="G189" s="179">
        <f t="shared" si="88"/>
        <v>0</v>
      </c>
      <c r="H189" s="110">
        <f>IFERROR(INDEX('Base Salarial'!$D$5:$F$25,MATCH(E189,'Base Salarial'!$G$5:$G$25,0),MATCH(I189,'Base Salarial'!$D$4:$F$4,0)),"")</f>
        <v>4500</v>
      </c>
      <c r="I189" s="78" t="str">
        <f>IFERROR(INDEX(Tarefas!$BQ$29:$FK$29,MATCH(E189,Tarefas!$BQ$30:$FK$30,0)),"")</f>
        <v>Mensalista</v>
      </c>
      <c r="J189" s="81">
        <f>IF(I189="horista",H189*Dashboard!$D$15,IF(OR(I189="Mensalista",I189="PJ"),H189,))</f>
        <v>4500</v>
      </c>
      <c r="K189" s="81">
        <f>IF(I189="PJ",J189,ROUND(J189*(1+Dashboard!$D$22),2))</f>
        <v>4770</v>
      </c>
      <c r="L189" s="77"/>
      <c r="M189" s="180"/>
      <c r="P189" s="109">
        <f>IF($BD189&gt;0,(((($BD189/Dashboard!$D$15)*(1+Precificação!$W$589)))+$P$26)*(1+Dashboard!$D$35),0)</f>
        <v>0</v>
      </c>
      <c r="Q189" s="109">
        <f>IF($BD189&gt;0,(((($BD189/Dashboard!$D$23)+(1+Precificação!$W$589))*(1+Q$28))+$P$26)*(1+Dashboard!$D$35),0)</f>
        <v>0</v>
      </c>
      <c r="R189" s="109">
        <f>IF($BD189&gt;0,(((($BD189/Dashboard!$D$23)+(1+Precificação!$W$589))*(1+R$28))+$P$26)*(1+Dashboard!$D$35),0)</f>
        <v>0</v>
      </c>
      <c r="S189" s="109">
        <f>IF($BD189&gt;0,(((($BD189/Dashboard!$D$23)+(1+Precificação!$W$589))*(1+S$28))+$P$26)*(1+Dashboard!$D$35),0)</f>
        <v>0</v>
      </c>
      <c r="U189" s="109">
        <f t="shared" si="89"/>
        <v>0</v>
      </c>
      <c r="V189" s="109">
        <f t="shared" si="90"/>
        <v>0</v>
      </c>
      <c r="W189" s="109">
        <f t="shared" si="91"/>
        <v>0</v>
      </c>
      <c r="X189" s="109">
        <f t="shared" si="92"/>
        <v>0</v>
      </c>
      <c r="AA189" s="109">
        <f>IF($BD189&gt;0,(((($BD189/Dashboard!$D$23)*(1+Precificação!$W$589)))+$AA$26)*(1+Dashboard!$D$35),0)</f>
        <v>0</v>
      </c>
      <c r="AB189" s="109">
        <f>IF($BD189&gt;0,(((($BD189/Dashboard!$D$23)*(1+Precificação!$W$589))*(1+AB$28))+$AA$26)*(1+Dashboard!$D$35),0)</f>
        <v>0</v>
      </c>
      <c r="AC189" s="109">
        <f>IF($BD189&gt;0,(((($BD189/Dashboard!$D$23)*(1+Precificação!$W$589))*(1+AC$28))+$AA$26)*(1+Dashboard!$D$35),0)</f>
        <v>0</v>
      </c>
      <c r="AD189" s="109">
        <f>IF($BD189&gt;0,(((($BD189/Dashboard!$D$23)*(1+Precificação!$W$589))*(1+AD$28))+$AA$26)*(1+Dashboard!$D$35),0)</f>
        <v>0</v>
      </c>
      <c r="AF189" s="109">
        <f t="shared" si="93"/>
        <v>0</v>
      </c>
      <c r="AG189" s="109">
        <f t="shared" si="94"/>
        <v>0</v>
      </c>
      <c r="AH189" s="109">
        <f t="shared" si="95"/>
        <v>0</v>
      </c>
      <c r="AI189" s="109">
        <f t="shared" si="96"/>
        <v>0</v>
      </c>
      <c r="AL189" s="109">
        <f>IF($BD189&gt;0,(((($BD189/Dashboard!$D$23)*(1+Precificação!$W$589)))+$AL$26)*(1+Dashboard!$D$35),0)</f>
        <v>0</v>
      </c>
      <c r="AM189" s="109">
        <f>IF($BD189&gt;0,(((($BD189/Dashboard!$D$23)*(1+Precificação!$W$589))*(1+AM$28))+$AA$26)*(1+Dashboard!$D$35),0)</f>
        <v>0</v>
      </c>
      <c r="AN189" s="109">
        <f>IF($BD189&gt;0,(((($BD189/Dashboard!$D$23)*(1+Precificação!$W$589))*(1+AN$28))+$AA$26)*(1+Dashboard!$D$35),0)</f>
        <v>0</v>
      </c>
      <c r="AO189" s="109">
        <f>IF($BD189&gt;0,(((($BD189/Dashboard!$D$23)*(1+Precificação!$W$589))*(1+AO$28))+$AA$26)*(1+Dashboard!$D$35),0)</f>
        <v>0</v>
      </c>
      <c r="AQ189" s="109">
        <f t="shared" si="97"/>
        <v>0</v>
      </c>
      <c r="AR189" s="109">
        <f t="shared" si="98"/>
        <v>0</v>
      </c>
      <c r="AS189" s="109">
        <f t="shared" si="99"/>
        <v>0</v>
      </c>
      <c r="AT189" s="109">
        <f t="shared" si="100"/>
        <v>0</v>
      </c>
      <c r="AW189" s="144">
        <f>VLOOKUP(B189,'Cronog. e Histog.'!$B$213:$BT$688,71,0)</f>
        <v>0</v>
      </c>
      <c r="AX189" s="144">
        <f>VLOOKUP(B189,'Cronog. e Histog.'!$B$213:$BU$688,72,0)</f>
        <v>0</v>
      </c>
      <c r="AY189" s="144">
        <f>$AW189*$AX189*Dashboard!$D$15</f>
        <v>0</v>
      </c>
      <c r="AZ189" s="144">
        <f>VLOOKUP(B189,Precificação!$B$96:$BM$533,54,0)</f>
        <v>0</v>
      </c>
      <c r="BA189" s="144">
        <f>VLOOKUP(B189,Precificação!$B$96:$BR$533,58,0)</f>
        <v>0</v>
      </c>
      <c r="BB189" s="144">
        <f>VLOOKUP(B189,Precificação!$B$96:$BW$533,62,0)</f>
        <v>0</v>
      </c>
      <c r="BC189" s="144">
        <f t="shared" si="101"/>
        <v>0</v>
      </c>
      <c r="BD189" s="109">
        <f>IFERROR(VLOOKUP(B189,Precificação!$B$96:$S$533,13,0),0)</f>
        <v>0</v>
      </c>
      <c r="BE189" s="109">
        <f>IFERROR(VLOOKUP(B189,Precificação!$B$96:$U$533,15,0)/(Precificação!$U$4+Precificação!$U$91),0)*Dashboard!$T$3</f>
        <v>0</v>
      </c>
    </row>
    <row r="190" spans="2:57" ht="12" customHeight="1" outlineLevel="1">
      <c r="B190" s="137" t="str">
        <f>Precificação!B171</f>
        <v>AN SR. ADM/CRP - Equipe_01</v>
      </c>
      <c r="D190" s="512"/>
      <c r="E190" s="143" t="str">
        <f>IF('Cronog. e Histog.'!G294&gt;0,'Cronog. e Histog.'!G294,"")</f>
        <v>AN SR. ADM/CRP</v>
      </c>
      <c r="G190" s="179">
        <f t="shared" si="88"/>
        <v>0</v>
      </c>
      <c r="H190" s="110">
        <f>IFERROR(INDEX('Base Salarial'!$D$5:$F$25,MATCH(E190,'Base Salarial'!$G$5:$G$25,0),MATCH(I190,'Base Salarial'!$D$4:$F$4,0)),"")</f>
        <v>7000</v>
      </c>
      <c r="I190" s="78" t="str">
        <f>IFERROR(INDEX(Tarefas!$BQ$29:$FK$29,MATCH(E190,Tarefas!$BQ$30:$FK$30,0)),"")</f>
        <v>Mensalista</v>
      </c>
      <c r="J190" s="81">
        <f>IF(I190="horista",H190*Dashboard!$D$15,IF(OR(I190="Mensalista",I190="PJ"),H190,))</f>
        <v>7000</v>
      </c>
      <c r="K190" s="81">
        <f>IF(I190="PJ",J190,ROUND(J190*(1+Dashboard!$D$22),2))</f>
        <v>7420</v>
      </c>
      <c r="L190" s="77"/>
      <c r="M190" s="180"/>
      <c r="P190" s="109">
        <f>IF($BD190&gt;0,(((($BD190/Dashboard!$D$15)*(1+Precificação!$W$589)))+$P$26)*(1+Dashboard!$D$35),0)</f>
        <v>0</v>
      </c>
      <c r="Q190" s="109">
        <f>IF($BD190&gt;0,(((($BD190/Dashboard!$D$23)+(1+Precificação!$W$589))*(1+Q$28))+$P$26)*(1+Dashboard!$D$35),0)</f>
        <v>0</v>
      </c>
      <c r="R190" s="109">
        <f>IF($BD190&gt;0,(((($BD190/Dashboard!$D$23)+(1+Precificação!$W$589))*(1+R$28))+$P$26)*(1+Dashboard!$D$35),0)</f>
        <v>0</v>
      </c>
      <c r="S190" s="109">
        <f>IF($BD190&gt;0,(((($BD190/Dashboard!$D$23)+(1+Precificação!$W$589))*(1+S$28))+$P$26)*(1+Dashboard!$D$35),0)</f>
        <v>0</v>
      </c>
      <c r="U190" s="109">
        <f t="shared" si="89"/>
        <v>0</v>
      </c>
      <c r="V190" s="109">
        <f t="shared" si="90"/>
        <v>0</v>
      </c>
      <c r="W190" s="109">
        <f t="shared" si="91"/>
        <v>0</v>
      </c>
      <c r="X190" s="109">
        <f t="shared" si="92"/>
        <v>0</v>
      </c>
      <c r="AA190" s="109">
        <f>IF($BD190&gt;0,(((($BD190/Dashboard!$D$23)*(1+Precificação!$W$589)))+$AA$26)*(1+Dashboard!$D$35),0)</f>
        <v>0</v>
      </c>
      <c r="AB190" s="109">
        <f>IF($BD190&gt;0,(((($BD190/Dashboard!$D$23)*(1+Precificação!$W$589))*(1+AB$28))+$AA$26)*(1+Dashboard!$D$35),0)</f>
        <v>0</v>
      </c>
      <c r="AC190" s="109">
        <f>IF($BD190&gt;0,(((($BD190/Dashboard!$D$23)*(1+Precificação!$W$589))*(1+AC$28))+$AA$26)*(1+Dashboard!$D$35),0)</f>
        <v>0</v>
      </c>
      <c r="AD190" s="109">
        <f>IF($BD190&gt;0,(((($BD190/Dashboard!$D$23)*(1+Precificação!$W$589))*(1+AD$28))+$AA$26)*(1+Dashboard!$D$35),0)</f>
        <v>0</v>
      </c>
      <c r="AF190" s="109">
        <f t="shared" si="93"/>
        <v>0</v>
      </c>
      <c r="AG190" s="109">
        <f t="shared" si="94"/>
        <v>0</v>
      </c>
      <c r="AH190" s="109">
        <f t="shared" si="95"/>
        <v>0</v>
      </c>
      <c r="AI190" s="109">
        <f t="shared" si="96"/>
        <v>0</v>
      </c>
      <c r="AL190" s="109">
        <f>IF($BD190&gt;0,(((($BD190/Dashboard!$D$23)*(1+Precificação!$W$589)))+$AL$26)*(1+Dashboard!$D$35),0)</f>
        <v>0</v>
      </c>
      <c r="AM190" s="109">
        <f>IF($BD190&gt;0,(((($BD190/Dashboard!$D$23)*(1+Precificação!$W$589))*(1+AM$28))+$AA$26)*(1+Dashboard!$D$35),0)</f>
        <v>0</v>
      </c>
      <c r="AN190" s="109">
        <f>IF($BD190&gt;0,(((($BD190/Dashboard!$D$23)*(1+Precificação!$W$589))*(1+AN$28))+$AA$26)*(1+Dashboard!$D$35),0)</f>
        <v>0</v>
      </c>
      <c r="AO190" s="109">
        <f>IF($BD190&gt;0,(((($BD190/Dashboard!$D$23)*(1+Precificação!$W$589))*(1+AO$28))+$AA$26)*(1+Dashboard!$D$35),0)</f>
        <v>0</v>
      </c>
      <c r="AQ190" s="109">
        <f t="shared" si="97"/>
        <v>0</v>
      </c>
      <c r="AR190" s="109">
        <f t="shared" si="98"/>
        <v>0</v>
      </c>
      <c r="AS190" s="109">
        <f t="shared" si="99"/>
        <v>0</v>
      </c>
      <c r="AT190" s="109">
        <f t="shared" si="100"/>
        <v>0</v>
      </c>
      <c r="AW190" s="144">
        <f>VLOOKUP(B190,'Cronog. e Histog.'!$B$213:$BT$688,71,0)</f>
        <v>0</v>
      </c>
      <c r="AX190" s="144">
        <f>VLOOKUP(B190,'Cronog. e Histog.'!$B$213:$BU$688,72,0)</f>
        <v>0</v>
      </c>
      <c r="AY190" s="144">
        <f>$AW190*$AX190*Dashboard!$D$15</f>
        <v>0</v>
      </c>
      <c r="AZ190" s="144">
        <f>VLOOKUP(B190,Precificação!$B$96:$BM$533,54,0)</f>
        <v>0</v>
      </c>
      <c r="BA190" s="144">
        <f>VLOOKUP(B190,Precificação!$B$96:$BR$533,58,0)</f>
        <v>0</v>
      </c>
      <c r="BB190" s="144">
        <f>VLOOKUP(B190,Precificação!$B$96:$BW$533,62,0)</f>
        <v>0</v>
      </c>
      <c r="BC190" s="144">
        <f t="shared" si="101"/>
        <v>0</v>
      </c>
      <c r="BD190" s="109">
        <f>IFERROR(VLOOKUP(B190,Precificação!$B$96:$S$533,13,0),0)</f>
        <v>0</v>
      </c>
      <c r="BE190" s="109">
        <f>IFERROR(VLOOKUP(B190,Precificação!$B$96:$U$533,15,0)/(Precificação!$U$4+Precificação!$U$91),0)*Dashboard!$T$3</f>
        <v>0</v>
      </c>
    </row>
    <row r="191" spans="2:57" ht="12" customHeight="1" outlineLevel="1">
      <c r="B191" s="137" t="str">
        <f>Precificação!B172</f>
        <v>AN PL. ADM/CRP - Equipe_01</v>
      </c>
      <c r="D191" s="512"/>
      <c r="E191" s="143" t="str">
        <f>IF('Cronog. e Histog.'!G295&gt;0,'Cronog. e Histog.'!G295,"")</f>
        <v>AN PL. ADM/CRP</v>
      </c>
      <c r="G191" s="179">
        <f t="shared" si="88"/>
        <v>0</v>
      </c>
      <c r="H191" s="110">
        <f>IFERROR(INDEX('Base Salarial'!$D$5:$F$25,MATCH(E191,'Base Salarial'!$G$5:$G$25,0),MATCH(I191,'Base Salarial'!$D$4:$F$4,0)),"")</f>
        <v>5000</v>
      </c>
      <c r="I191" s="78" t="str">
        <f>IFERROR(INDEX(Tarefas!$BQ$29:$FK$29,MATCH(E191,Tarefas!$BQ$30:$FK$30,0)),"")</f>
        <v>Mensalista</v>
      </c>
      <c r="J191" s="81">
        <f>IF(I191="horista",H191*Dashboard!$D$15,IF(OR(I191="Mensalista",I191="PJ"),H191,))</f>
        <v>5000</v>
      </c>
      <c r="K191" s="81">
        <f>IF(I191="PJ",J191,ROUND(J191*(1+Dashboard!$D$22),2))</f>
        <v>5300</v>
      </c>
      <c r="L191" s="77"/>
      <c r="M191" s="180"/>
      <c r="P191" s="109">
        <f>IF($BD191&gt;0,(((($BD191/Dashboard!$D$15)*(1+Precificação!$W$589)))+$P$26)*(1+Dashboard!$D$35),0)</f>
        <v>0</v>
      </c>
      <c r="Q191" s="109">
        <f>IF($BD191&gt;0,(((($BD191/Dashboard!$D$23)+(1+Precificação!$W$589))*(1+Q$28))+$P$26)*(1+Dashboard!$D$35),0)</f>
        <v>0</v>
      </c>
      <c r="R191" s="109">
        <f>IF($BD191&gt;0,(((($BD191/Dashboard!$D$23)+(1+Precificação!$W$589))*(1+R$28))+$P$26)*(1+Dashboard!$D$35),0)</f>
        <v>0</v>
      </c>
      <c r="S191" s="109">
        <f>IF($BD191&gt;0,(((($BD191/Dashboard!$D$23)+(1+Precificação!$W$589))*(1+S$28))+$P$26)*(1+Dashboard!$D$35),0)</f>
        <v>0</v>
      </c>
      <c r="U191" s="109">
        <f t="shared" si="89"/>
        <v>0</v>
      </c>
      <c r="V191" s="109">
        <f t="shared" si="90"/>
        <v>0</v>
      </c>
      <c r="W191" s="109">
        <f t="shared" si="91"/>
        <v>0</v>
      </c>
      <c r="X191" s="109">
        <f t="shared" si="92"/>
        <v>0</v>
      </c>
      <c r="AA191" s="109">
        <f>IF($BD191&gt;0,(((($BD191/Dashboard!$D$23)*(1+Precificação!$W$589)))+$AA$26)*(1+Dashboard!$D$35),0)</f>
        <v>0</v>
      </c>
      <c r="AB191" s="109">
        <f>IF($BD191&gt;0,(((($BD191/Dashboard!$D$23)*(1+Precificação!$W$589))*(1+AB$28))+$AA$26)*(1+Dashboard!$D$35),0)</f>
        <v>0</v>
      </c>
      <c r="AC191" s="109">
        <f>IF($BD191&gt;0,(((($BD191/Dashboard!$D$23)*(1+Precificação!$W$589))*(1+AC$28))+$AA$26)*(1+Dashboard!$D$35),0)</f>
        <v>0</v>
      </c>
      <c r="AD191" s="109">
        <f>IF($BD191&gt;0,(((($BD191/Dashboard!$D$23)*(1+Precificação!$W$589))*(1+AD$28))+$AA$26)*(1+Dashboard!$D$35),0)</f>
        <v>0</v>
      </c>
      <c r="AF191" s="109">
        <f t="shared" si="93"/>
        <v>0</v>
      </c>
      <c r="AG191" s="109">
        <f t="shared" si="94"/>
        <v>0</v>
      </c>
      <c r="AH191" s="109">
        <f t="shared" si="95"/>
        <v>0</v>
      </c>
      <c r="AI191" s="109">
        <f t="shared" si="96"/>
        <v>0</v>
      </c>
      <c r="AL191" s="109">
        <f>IF($BD191&gt;0,(((($BD191/Dashboard!$D$23)*(1+Precificação!$W$589)))+$AL$26)*(1+Dashboard!$D$35),0)</f>
        <v>0</v>
      </c>
      <c r="AM191" s="109">
        <f>IF($BD191&gt;0,(((($BD191/Dashboard!$D$23)*(1+Precificação!$W$589))*(1+AM$28))+$AA$26)*(1+Dashboard!$D$35),0)</f>
        <v>0</v>
      </c>
      <c r="AN191" s="109">
        <f>IF($BD191&gt;0,(((($BD191/Dashboard!$D$23)*(1+Precificação!$W$589))*(1+AN$28))+$AA$26)*(1+Dashboard!$D$35),0)</f>
        <v>0</v>
      </c>
      <c r="AO191" s="109">
        <f>IF($BD191&gt;0,(((($BD191/Dashboard!$D$23)*(1+Precificação!$W$589))*(1+AO$28))+$AA$26)*(1+Dashboard!$D$35),0)</f>
        <v>0</v>
      </c>
      <c r="AQ191" s="109">
        <f t="shared" si="97"/>
        <v>0</v>
      </c>
      <c r="AR191" s="109">
        <f t="shared" si="98"/>
        <v>0</v>
      </c>
      <c r="AS191" s="109">
        <f t="shared" si="99"/>
        <v>0</v>
      </c>
      <c r="AT191" s="109">
        <f t="shared" si="100"/>
        <v>0</v>
      </c>
      <c r="AW191" s="144">
        <f>VLOOKUP(B191,'Cronog. e Histog.'!$B$213:$BT$688,71,0)</f>
        <v>0</v>
      </c>
      <c r="AX191" s="144">
        <f>VLOOKUP(B191,'Cronog. e Histog.'!$B$213:$BU$688,72,0)</f>
        <v>0</v>
      </c>
      <c r="AY191" s="144">
        <f>$AW191*$AX191*Dashboard!$D$15</f>
        <v>0</v>
      </c>
      <c r="AZ191" s="144">
        <f>VLOOKUP(B191,Precificação!$B$96:$BM$533,54,0)</f>
        <v>0</v>
      </c>
      <c r="BA191" s="144">
        <f>VLOOKUP(B191,Precificação!$B$96:$BR$533,58,0)</f>
        <v>0</v>
      </c>
      <c r="BB191" s="144">
        <f>VLOOKUP(B191,Precificação!$B$96:$BW$533,62,0)</f>
        <v>0</v>
      </c>
      <c r="BC191" s="144">
        <f t="shared" si="101"/>
        <v>0</v>
      </c>
      <c r="BD191" s="109">
        <f>IFERROR(VLOOKUP(B191,Precificação!$B$96:$S$533,13,0),0)</f>
        <v>0</v>
      </c>
      <c r="BE191" s="109">
        <f>IFERROR(VLOOKUP(B191,Precificação!$B$96:$U$533,15,0)/(Precificação!$U$4+Precificação!$U$91),0)*Dashboard!$T$3</f>
        <v>0</v>
      </c>
    </row>
    <row r="192" spans="2:57" ht="12" customHeight="1" outlineLevel="1">
      <c r="B192" s="137" t="str">
        <f>Precificação!B173</f>
        <v>AN JR. ADM/CRP - Equipe_01</v>
      </c>
      <c r="D192" s="512"/>
      <c r="E192" s="143" t="str">
        <f>IF('Cronog. e Histog.'!G296&gt;0,'Cronog. e Histog.'!G296,"")</f>
        <v>AN JR. ADM/CRP</v>
      </c>
      <c r="G192" s="179">
        <f t="shared" si="88"/>
        <v>0</v>
      </c>
      <c r="H192" s="110">
        <f>IFERROR(INDEX('Base Salarial'!$D$5:$F$25,MATCH(E192,'Base Salarial'!$G$5:$G$25,0),MATCH(I192,'Base Salarial'!$D$4:$F$4,0)),"")</f>
        <v>3500</v>
      </c>
      <c r="I192" s="78" t="str">
        <f>IFERROR(INDEX(Tarefas!$BQ$29:$FK$29,MATCH(E192,Tarefas!$BQ$30:$FK$30,0)),"")</f>
        <v>Mensalista</v>
      </c>
      <c r="J192" s="81">
        <f>IF(I192="horista",H192*Dashboard!$D$15,IF(OR(I192="Mensalista",I192="PJ"),H192,))</f>
        <v>3500</v>
      </c>
      <c r="K192" s="81">
        <f>IF(I192="PJ",J192,ROUND(J192*(1+Dashboard!$D$22),2))</f>
        <v>3710</v>
      </c>
      <c r="L192" s="77"/>
      <c r="M192" s="180"/>
      <c r="P192" s="109">
        <f>IF($BD192&gt;0,(((($BD192/Dashboard!$D$15)*(1+Precificação!$W$589)))+$P$26)*(1+Dashboard!$D$35),0)</f>
        <v>0</v>
      </c>
      <c r="Q192" s="109">
        <f>IF($BD192&gt;0,(((($BD192/Dashboard!$D$23)+(1+Precificação!$W$589))*(1+Q$28))+$P$26)*(1+Dashboard!$D$35),0)</f>
        <v>0</v>
      </c>
      <c r="R192" s="109">
        <f>IF($BD192&gt;0,(((($BD192/Dashboard!$D$23)+(1+Precificação!$W$589))*(1+R$28))+$P$26)*(1+Dashboard!$D$35),0)</f>
        <v>0</v>
      </c>
      <c r="S192" s="109">
        <f>IF($BD192&gt;0,(((($BD192/Dashboard!$D$23)+(1+Precificação!$W$589))*(1+S$28))+$P$26)*(1+Dashboard!$D$35),0)</f>
        <v>0</v>
      </c>
      <c r="U192" s="109">
        <f t="shared" si="89"/>
        <v>0</v>
      </c>
      <c r="V192" s="109">
        <f t="shared" si="90"/>
        <v>0</v>
      </c>
      <c r="W192" s="109">
        <f t="shared" si="91"/>
        <v>0</v>
      </c>
      <c r="X192" s="109">
        <f t="shared" si="92"/>
        <v>0</v>
      </c>
      <c r="AA192" s="109">
        <f>IF($BD192&gt;0,(((($BD192/Dashboard!$D$23)*(1+Precificação!$W$589)))+$AA$26)*(1+Dashboard!$D$35),0)</f>
        <v>0</v>
      </c>
      <c r="AB192" s="109">
        <f>IF($BD192&gt;0,(((($BD192/Dashboard!$D$23)*(1+Precificação!$W$589))*(1+AB$28))+$AA$26)*(1+Dashboard!$D$35),0)</f>
        <v>0</v>
      </c>
      <c r="AC192" s="109">
        <f>IF($BD192&gt;0,(((($BD192/Dashboard!$D$23)*(1+Precificação!$W$589))*(1+AC$28))+$AA$26)*(1+Dashboard!$D$35),0)</f>
        <v>0</v>
      </c>
      <c r="AD192" s="109">
        <f>IF($BD192&gt;0,(((($BD192/Dashboard!$D$23)*(1+Precificação!$W$589))*(1+AD$28))+$AA$26)*(1+Dashboard!$D$35),0)</f>
        <v>0</v>
      </c>
      <c r="AF192" s="109">
        <f t="shared" si="93"/>
        <v>0</v>
      </c>
      <c r="AG192" s="109">
        <f t="shared" si="94"/>
        <v>0</v>
      </c>
      <c r="AH192" s="109">
        <f t="shared" si="95"/>
        <v>0</v>
      </c>
      <c r="AI192" s="109">
        <f t="shared" si="96"/>
        <v>0</v>
      </c>
      <c r="AL192" s="109">
        <f>IF($BD192&gt;0,(((($BD192/Dashboard!$D$23)*(1+Precificação!$W$589)))+$AL$26)*(1+Dashboard!$D$35),0)</f>
        <v>0</v>
      </c>
      <c r="AM192" s="109">
        <f>IF($BD192&gt;0,(((($BD192/Dashboard!$D$23)*(1+Precificação!$W$589))*(1+AM$28))+$AA$26)*(1+Dashboard!$D$35),0)</f>
        <v>0</v>
      </c>
      <c r="AN192" s="109">
        <f>IF($BD192&gt;0,(((($BD192/Dashboard!$D$23)*(1+Precificação!$W$589))*(1+AN$28))+$AA$26)*(1+Dashboard!$D$35),0)</f>
        <v>0</v>
      </c>
      <c r="AO192" s="109">
        <f>IF($BD192&gt;0,(((($BD192/Dashboard!$D$23)*(1+Precificação!$W$589))*(1+AO$28))+$AA$26)*(1+Dashboard!$D$35),0)</f>
        <v>0</v>
      </c>
      <c r="AQ192" s="109">
        <f t="shared" si="97"/>
        <v>0</v>
      </c>
      <c r="AR192" s="109">
        <f t="shared" si="98"/>
        <v>0</v>
      </c>
      <c r="AS192" s="109">
        <f t="shared" si="99"/>
        <v>0</v>
      </c>
      <c r="AT192" s="109">
        <f t="shared" si="100"/>
        <v>0</v>
      </c>
      <c r="AW192" s="144">
        <f>VLOOKUP(B192,'Cronog. e Histog.'!$B$213:$BT$688,71,0)</f>
        <v>0</v>
      </c>
      <c r="AX192" s="144">
        <f>VLOOKUP(B192,'Cronog. e Histog.'!$B$213:$BU$688,72,0)</f>
        <v>0</v>
      </c>
      <c r="AY192" s="144">
        <f>$AW192*$AX192*Dashboard!$D$15</f>
        <v>0</v>
      </c>
      <c r="AZ192" s="144">
        <f>VLOOKUP(B192,Precificação!$B$96:$BM$533,54,0)</f>
        <v>0</v>
      </c>
      <c r="BA192" s="144">
        <f>VLOOKUP(B192,Precificação!$B$96:$BR$533,58,0)</f>
        <v>0</v>
      </c>
      <c r="BB192" s="144">
        <f>VLOOKUP(B192,Precificação!$B$96:$BW$533,62,0)</f>
        <v>0</v>
      </c>
      <c r="BC192" s="144">
        <f t="shared" si="101"/>
        <v>0</v>
      </c>
      <c r="BD192" s="109">
        <f>IFERROR(VLOOKUP(B192,Precificação!$B$96:$S$533,13,0),0)</f>
        <v>0</v>
      </c>
      <c r="BE192" s="109">
        <f>IFERROR(VLOOKUP(B192,Precificação!$B$96:$U$533,15,0)/(Precificação!$U$4+Precificação!$U$91),0)*Dashboard!$T$3</f>
        <v>0</v>
      </c>
    </row>
    <row r="193" spans="2:57" ht="12" customHeight="1" outlineLevel="1">
      <c r="B193" s="137" t="str">
        <f>Precificação!B174</f>
        <v>TEC III - Equipe_01</v>
      </c>
      <c r="D193" s="512"/>
      <c r="E193" s="143" t="str">
        <f>IF('Cronog. e Histog.'!G297&gt;0,'Cronog. e Histog.'!G297,"")</f>
        <v>TEC III</v>
      </c>
      <c r="G193" s="179">
        <f t="shared" si="88"/>
        <v>0</v>
      </c>
      <c r="H193" s="110">
        <f>IFERROR(INDEX('Base Salarial'!$D$5:$F$25,MATCH(E193,'Base Salarial'!$G$5:$G$25,0),MATCH(I193,'Base Salarial'!$D$4:$F$4,0)),"")</f>
        <v>6000</v>
      </c>
      <c r="I193" s="78" t="str">
        <f>IFERROR(INDEX(Tarefas!$BQ$29:$FK$29,MATCH(E193,Tarefas!$BQ$30:$FK$30,0)),"")</f>
        <v>Mensalista</v>
      </c>
      <c r="J193" s="81">
        <f>IF(I193="horista",H193*Dashboard!$D$15,IF(OR(I193="Mensalista",I193="PJ"),H193,))</f>
        <v>6000</v>
      </c>
      <c r="K193" s="81">
        <f>IF(I193="PJ",J193,ROUND(J193*(1+Dashboard!$D$22),2))</f>
        <v>6360</v>
      </c>
      <c r="L193" s="77"/>
      <c r="M193" s="180"/>
      <c r="P193" s="109">
        <f>IF($BD193&gt;0,(((($BD193/Dashboard!$D$15)*(1+Precificação!$W$589)))+$P$26)*(1+Dashboard!$D$35),0)</f>
        <v>0</v>
      </c>
      <c r="Q193" s="109">
        <f>IF($BD193&gt;0,(((($BD193/Dashboard!$D$23)+(1+Precificação!$W$589))*(1+Q$28))+$P$26)*(1+Dashboard!$D$35),0)</f>
        <v>0</v>
      </c>
      <c r="R193" s="109">
        <f>IF($BD193&gt;0,(((($BD193/Dashboard!$D$23)+(1+Precificação!$W$589))*(1+R$28))+$P$26)*(1+Dashboard!$D$35),0)</f>
        <v>0</v>
      </c>
      <c r="S193" s="109">
        <f>IF($BD193&gt;0,(((($BD193/Dashboard!$D$23)+(1+Precificação!$W$589))*(1+S$28))+$P$26)*(1+Dashboard!$D$35),0)</f>
        <v>0</v>
      </c>
      <c r="U193" s="109">
        <f t="shared" si="89"/>
        <v>0</v>
      </c>
      <c r="V193" s="109">
        <f t="shared" si="90"/>
        <v>0</v>
      </c>
      <c r="W193" s="109">
        <f t="shared" si="91"/>
        <v>0</v>
      </c>
      <c r="X193" s="109">
        <f t="shared" si="92"/>
        <v>0</v>
      </c>
      <c r="AA193" s="109">
        <f>IF($BD193&gt;0,(((($BD193/Dashboard!$D$23)*(1+Precificação!$W$589)))+$AA$26)*(1+Dashboard!$D$35),0)</f>
        <v>0</v>
      </c>
      <c r="AB193" s="109">
        <f>IF($BD193&gt;0,(((($BD193/Dashboard!$D$23)*(1+Precificação!$W$589))*(1+AB$28))+$AA$26)*(1+Dashboard!$D$35),0)</f>
        <v>0</v>
      </c>
      <c r="AC193" s="109">
        <f>IF($BD193&gt;0,(((($BD193/Dashboard!$D$23)*(1+Precificação!$W$589))*(1+AC$28))+$AA$26)*(1+Dashboard!$D$35),0)</f>
        <v>0</v>
      </c>
      <c r="AD193" s="109">
        <f>IF($BD193&gt;0,(((($BD193/Dashboard!$D$23)*(1+Precificação!$W$589))*(1+AD$28))+$AA$26)*(1+Dashboard!$D$35),0)</f>
        <v>0</v>
      </c>
      <c r="AF193" s="109">
        <f t="shared" si="93"/>
        <v>0</v>
      </c>
      <c r="AG193" s="109">
        <f t="shared" si="94"/>
        <v>0</v>
      </c>
      <c r="AH193" s="109">
        <f t="shared" si="95"/>
        <v>0</v>
      </c>
      <c r="AI193" s="109">
        <f t="shared" si="96"/>
        <v>0</v>
      </c>
      <c r="AL193" s="109">
        <f>IF($BD193&gt;0,(((($BD193/Dashboard!$D$23)*(1+Precificação!$W$589)))+$AL$26)*(1+Dashboard!$D$35),0)</f>
        <v>0</v>
      </c>
      <c r="AM193" s="109">
        <f>IF($BD193&gt;0,(((($BD193/Dashboard!$D$23)*(1+Precificação!$W$589))*(1+AM$28))+$AA$26)*(1+Dashboard!$D$35),0)</f>
        <v>0</v>
      </c>
      <c r="AN193" s="109">
        <f>IF($BD193&gt;0,(((($BD193/Dashboard!$D$23)*(1+Precificação!$W$589))*(1+AN$28))+$AA$26)*(1+Dashboard!$D$35),0)</f>
        <v>0</v>
      </c>
      <c r="AO193" s="109">
        <f>IF($BD193&gt;0,(((($BD193/Dashboard!$D$23)*(1+Precificação!$W$589))*(1+AO$28))+$AA$26)*(1+Dashboard!$D$35),0)</f>
        <v>0</v>
      </c>
      <c r="AQ193" s="109">
        <f t="shared" si="97"/>
        <v>0</v>
      </c>
      <c r="AR193" s="109">
        <f t="shared" si="98"/>
        <v>0</v>
      </c>
      <c r="AS193" s="109">
        <f t="shared" si="99"/>
        <v>0</v>
      </c>
      <c r="AT193" s="109">
        <f t="shared" si="100"/>
        <v>0</v>
      </c>
      <c r="AW193" s="144">
        <f>VLOOKUP(B193,'Cronog. e Histog.'!$B$213:$BT$688,71,0)</f>
        <v>0</v>
      </c>
      <c r="AX193" s="144">
        <f>VLOOKUP(B193,'Cronog. e Histog.'!$B$213:$BU$688,72,0)</f>
        <v>0</v>
      </c>
      <c r="AY193" s="144">
        <f>$AW193*$AX193*Dashboard!$D$15</f>
        <v>0</v>
      </c>
      <c r="AZ193" s="144">
        <f>VLOOKUP(B193,Precificação!$B$96:$BM$533,54,0)</f>
        <v>0</v>
      </c>
      <c r="BA193" s="144">
        <f>VLOOKUP(B193,Precificação!$B$96:$BR$533,58,0)</f>
        <v>0</v>
      </c>
      <c r="BB193" s="144">
        <f>VLOOKUP(B193,Precificação!$B$96:$BW$533,62,0)</f>
        <v>0</v>
      </c>
      <c r="BC193" s="144">
        <f t="shared" si="101"/>
        <v>0</v>
      </c>
      <c r="BD193" s="109">
        <f>IFERROR(VLOOKUP(B193,Precificação!$B$96:$S$533,13,0),0)</f>
        <v>0</v>
      </c>
      <c r="BE193" s="109">
        <f>IFERROR(VLOOKUP(B193,Precificação!$B$96:$U$533,15,0)/(Precificação!$U$4+Precificação!$U$91),0)*Dashboard!$T$3</f>
        <v>0</v>
      </c>
    </row>
    <row r="194" spans="2:57" ht="12" customHeight="1" outlineLevel="1">
      <c r="B194" s="137" t="str">
        <f>Precificação!B175</f>
        <v>TEC II - Equipe_01</v>
      </c>
      <c r="D194" s="512"/>
      <c r="E194" s="143" t="str">
        <f>IF('Cronog. e Histog.'!G298&gt;0,'Cronog. e Histog.'!G298,"")</f>
        <v>TEC II</v>
      </c>
      <c r="G194" s="179">
        <f t="shared" si="88"/>
        <v>0</v>
      </c>
      <c r="H194" s="110">
        <f>IFERROR(INDEX('Base Salarial'!$D$5:$F$25,MATCH(E194,'Base Salarial'!$G$5:$G$25,0),MATCH(I194,'Base Salarial'!$D$4:$F$4,0)),"")</f>
        <v>4500</v>
      </c>
      <c r="I194" s="78" t="str">
        <f>IFERROR(INDEX(Tarefas!$BQ$29:$FK$29,MATCH(E194,Tarefas!$BQ$30:$FK$30,0)),"")</f>
        <v>Mensalista</v>
      </c>
      <c r="J194" s="81">
        <f>IF(I194="horista",H194*Dashboard!$D$15,IF(OR(I194="Mensalista",I194="PJ"),H194,))</f>
        <v>4500</v>
      </c>
      <c r="K194" s="81">
        <f>IF(I194="PJ",J194,ROUND(J194*(1+Dashboard!$D$22),2))</f>
        <v>4770</v>
      </c>
      <c r="L194" s="77"/>
      <c r="M194" s="180"/>
      <c r="P194" s="109">
        <f>IF($BD194&gt;0,(((($BD194/Dashboard!$D$15)*(1+Precificação!$W$589)))+$P$26)*(1+Dashboard!$D$35),0)</f>
        <v>0</v>
      </c>
      <c r="Q194" s="109">
        <f>IF($BD194&gt;0,(((($BD194/Dashboard!$D$23)+(1+Precificação!$W$589))*(1+Q$28))+$P$26)*(1+Dashboard!$D$35),0)</f>
        <v>0</v>
      </c>
      <c r="R194" s="109">
        <f>IF($BD194&gt;0,(((($BD194/Dashboard!$D$23)+(1+Precificação!$W$589))*(1+R$28))+$P$26)*(1+Dashboard!$D$35),0)</f>
        <v>0</v>
      </c>
      <c r="S194" s="109">
        <f>IF($BD194&gt;0,(((($BD194/Dashboard!$D$23)+(1+Precificação!$W$589))*(1+S$28))+$P$26)*(1+Dashboard!$D$35),0)</f>
        <v>0</v>
      </c>
      <c r="U194" s="109">
        <f t="shared" si="89"/>
        <v>0</v>
      </c>
      <c r="V194" s="109">
        <f t="shared" si="90"/>
        <v>0</v>
      </c>
      <c r="W194" s="109">
        <f t="shared" si="91"/>
        <v>0</v>
      </c>
      <c r="X194" s="109">
        <f t="shared" si="92"/>
        <v>0</v>
      </c>
      <c r="AA194" s="109">
        <f>IF($BD194&gt;0,(((($BD194/Dashboard!$D$23)*(1+Precificação!$W$589)))+$AA$26)*(1+Dashboard!$D$35),0)</f>
        <v>0</v>
      </c>
      <c r="AB194" s="109">
        <f>IF($BD194&gt;0,(((($BD194/Dashboard!$D$23)*(1+Precificação!$W$589))*(1+AB$28))+$AA$26)*(1+Dashboard!$D$35),0)</f>
        <v>0</v>
      </c>
      <c r="AC194" s="109">
        <f>IF($BD194&gt;0,(((($BD194/Dashboard!$D$23)*(1+Precificação!$W$589))*(1+AC$28))+$AA$26)*(1+Dashboard!$D$35),0)</f>
        <v>0</v>
      </c>
      <c r="AD194" s="109">
        <f>IF($BD194&gt;0,(((($BD194/Dashboard!$D$23)*(1+Precificação!$W$589))*(1+AD$28))+$AA$26)*(1+Dashboard!$D$35),0)</f>
        <v>0</v>
      </c>
      <c r="AF194" s="109">
        <f t="shared" si="93"/>
        <v>0</v>
      </c>
      <c r="AG194" s="109">
        <f t="shared" si="94"/>
        <v>0</v>
      </c>
      <c r="AH194" s="109">
        <f t="shared" si="95"/>
        <v>0</v>
      </c>
      <c r="AI194" s="109">
        <f t="shared" si="96"/>
        <v>0</v>
      </c>
      <c r="AL194" s="109">
        <f>IF($BD194&gt;0,(((($BD194/Dashboard!$D$23)*(1+Precificação!$W$589)))+$AL$26)*(1+Dashboard!$D$35),0)</f>
        <v>0</v>
      </c>
      <c r="AM194" s="109">
        <f>IF($BD194&gt;0,(((($BD194/Dashboard!$D$23)*(1+Precificação!$W$589))*(1+AM$28))+$AA$26)*(1+Dashboard!$D$35),0)</f>
        <v>0</v>
      </c>
      <c r="AN194" s="109">
        <f>IF($BD194&gt;0,(((($BD194/Dashboard!$D$23)*(1+Precificação!$W$589))*(1+AN$28))+$AA$26)*(1+Dashboard!$D$35),0)</f>
        <v>0</v>
      </c>
      <c r="AO194" s="109">
        <f>IF($BD194&gt;0,(((($BD194/Dashboard!$D$23)*(1+Precificação!$W$589))*(1+AO$28))+$AA$26)*(1+Dashboard!$D$35),0)</f>
        <v>0</v>
      </c>
      <c r="AQ194" s="109">
        <f t="shared" si="97"/>
        <v>0</v>
      </c>
      <c r="AR194" s="109">
        <f t="shared" si="98"/>
        <v>0</v>
      </c>
      <c r="AS194" s="109">
        <f t="shared" si="99"/>
        <v>0</v>
      </c>
      <c r="AT194" s="109">
        <f t="shared" si="100"/>
        <v>0</v>
      </c>
      <c r="AW194" s="144">
        <f>VLOOKUP(B194,'Cronog. e Histog.'!$B$213:$BT$688,71,0)</f>
        <v>0</v>
      </c>
      <c r="AX194" s="144">
        <f>VLOOKUP(B194,'Cronog. e Histog.'!$B$213:$BU$688,72,0)</f>
        <v>0</v>
      </c>
      <c r="AY194" s="144">
        <f>$AW194*$AX194*Dashboard!$D$15</f>
        <v>0</v>
      </c>
      <c r="AZ194" s="144">
        <f>VLOOKUP(B194,Precificação!$B$96:$BM$533,54,0)</f>
        <v>0</v>
      </c>
      <c r="BA194" s="144">
        <f>VLOOKUP(B194,Precificação!$B$96:$BR$533,58,0)</f>
        <v>0</v>
      </c>
      <c r="BB194" s="144">
        <f>VLOOKUP(B194,Precificação!$B$96:$BW$533,62,0)</f>
        <v>0</v>
      </c>
      <c r="BC194" s="144">
        <f t="shared" si="101"/>
        <v>0</v>
      </c>
      <c r="BD194" s="109">
        <f>IFERROR(VLOOKUP(B194,Precificação!$B$96:$S$533,13,0),0)</f>
        <v>0</v>
      </c>
      <c r="BE194" s="109">
        <f>IFERROR(VLOOKUP(B194,Precificação!$B$96:$U$533,15,0)/(Precificação!$U$4+Precificação!$U$91),0)*Dashboard!$T$3</f>
        <v>0</v>
      </c>
    </row>
    <row r="195" spans="2:57" ht="12" customHeight="1" outlineLevel="1">
      <c r="B195" s="137" t="str">
        <f>Precificação!B176</f>
        <v>TEC I - Equipe_01</v>
      </c>
      <c r="D195" s="512"/>
      <c r="E195" s="143" t="str">
        <f>IF('Cronog. e Histog.'!G299&gt;0,'Cronog. e Histog.'!G299,"")</f>
        <v>TEC I</v>
      </c>
      <c r="G195" s="179">
        <f t="shared" si="88"/>
        <v>0</v>
      </c>
      <c r="H195" s="110">
        <f>IFERROR(INDEX('Base Salarial'!$D$5:$F$25,MATCH(E195,'Base Salarial'!$G$5:$G$25,0),MATCH(I195,'Base Salarial'!$D$4:$F$4,0)),"")</f>
        <v>3000</v>
      </c>
      <c r="I195" s="78" t="str">
        <f>IFERROR(INDEX(Tarefas!$BQ$29:$FK$29,MATCH(E195,Tarefas!$BQ$30:$FK$30,0)),"")</f>
        <v>Mensalista</v>
      </c>
      <c r="J195" s="81">
        <f>IF(I195="horista",H195*Dashboard!$D$15,IF(OR(I195="Mensalista",I195="PJ"),H195,))</f>
        <v>3000</v>
      </c>
      <c r="K195" s="81">
        <f>IF(I195="PJ",J195,ROUND(J195*(1+Dashboard!$D$22),2))</f>
        <v>3180</v>
      </c>
      <c r="L195" s="77"/>
      <c r="M195" s="180"/>
      <c r="P195" s="109">
        <f>IF($BD195&gt;0,(((($BD195/Dashboard!$D$15)*(1+Precificação!$W$589)))+$P$26)*(1+Dashboard!$D$35),0)</f>
        <v>0</v>
      </c>
      <c r="Q195" s="109">
        <f>IF($BD195&gt;0,(((($BD195/Dashboard!$D$23)+(1+Precificação!$W$589))*(1+Q$28))+$P$26)*(1+Dashboard!$D$35),0)</f>
        <v>0</v>
      </c>
      <c r="R195" s="109">
        <f>IF($BD195&gt;0,(((($BD195/Dashboard!$D$23)+(1+Precificação!$W$589))*(1+R$28))+$P$26)*(1+Dashboard!$D$35),0)</f>
        <v>0</v>
      </c>
      <c r="S195" s="109">
        <f>IF($BD195&gt;0,(((($BD195/Dashboard!$D$23)+(1+Precificação!$W$589))*(1+S$28))+$P$26)*(1+Dashboard!$D$35),0)</f>
        <v>0</v>
      </c>
      <c r="U195" s="109">
        <f t="shared" si="89"/>
        <v>0</v>
      </c>
      <c r="V195" s="109">
        <f t="shared" si="90"/>
        <v>0</v>
      </c>
      <c r="W195" s="109">
        <f t="shared" si="91"/>
        <v>0</v>
      </c>
      <c r="X195" s="109">
        <f t="shared" si="92"/>
        <v>0</v>
      </c>
      <c r="AA195" s="109">
        <f>IF($BD195&gt;0,(((($BD195/Dashboard!$D$23)*(1+Precificação!$W$589)))+$AA$26)*(1+Dashboard!$D$35),0)</f>
        <v>0</v>
      </c>
      <c r="AB195" s="109">
        <f>IF($BD195&gt;0,(((($BD195/Dashboard!$D$23)*(1+Precificação!$W$589))*(1+AB$28))+$AA$26)*(1+Dashboard!$D$35),0)</f>
        <v>0</v>
      </c>
      <c r="AC195" s="109">
        <f>IF($BD195&gt;0,(((($BD195/Dashboard!$D$23)*(1+Precificação!$W$589))*(1+AC$28))+$AA$26)*(1+Dashboard!$D$35),0)</f>
        <v>0</v>
      </c>
      <c r="AD195" s="109">
        <f>IF($BD195&gt;0,(((($BD195/Dashboard!$D$23)*(1+Precificação!$W$589))*(1+AD$28))+$AA$26)*(1+Dashboard!$D$35),0)</f>
        <v>0</v>
      </c>
      <c r="AF195" s="109">
        <f t="shared" si="93"/>
        <v>0</v>
      </c>
      <c r="AG195" s="109">
        <f t="shared" si="94"/>
        <v>0</v>
      </c>
      <c r="AH195" s="109">
        <f t="shared" si="95"/>
        <v>0</v>
      </c>
      <c r="AI195" s="109">
        <f t="shared" si="96"/>
        <v>0</v>
      </c>
      <c r="AL195" s="109">
        <f>IF($BD195&gt;0,(((($BD195/Dashboard!$D$23)*(1+Precificação!$W$589)))+$AL$26)*(1+Dashboard!$D$35),0)</f>
        <v>0</v>
      </c>
      <c r="AM195" s="109">
        <f>IF($BD195&gt;0,(((($BD195/Dashboard!$D$23)*(1+Precificação!$W$589))*(1+AM$28))+$AA$26)*(1+Dashboard!$D$35),0)</f>
        <v>0</v>
      </c>
      <c r="AN195" s="109">
        <f>IF($BD195&gt;0,(((($BD195/Dashboard!$D$23)*(1+Precificação!$W$589))*(1+AN$28))+$AA$26)*(1+Dashboard!$D$35),0)</f>
        <v>0</v>
      </c>
      <c r="AO195" s="109">
        <f>IF($BD195&gt;0,(((($BD195/Dashboard!$D$23)*(1+Precificação!$W$589))*(1+AO$28))+$AA$26)*(1+Dashboard!$D$35),0)</f>
        <v>0</v>
      </c>
      <c r="AQ195" s="109">
        <f t="shared" si="97"/>
        <v>0</v>
      </c>
      <c r="AR195" s="109">
        <f t="shared" si="98"/>
        <v>0</v>
      </c>
      <c r="AS195" s="109">
        <f t="shared" si="99"/>
        <v>0</v>
      </c>
      <c r="AT195" s="109">
        <f t="shared" si="100"/>
        <v>0</v>
      </c>
      <c r="AW195" s="144">
        <f>VLOOKUP(B195,'Cronog. e Histog.'!$B$213:$BT$688,71,0)</f>
        <v>0</v>
      </c>
      <c r="AX195" s="144">
        <f>VLOOKUP(B195,'Cronog. e Histog.'!$B$213:$BU$688,72,0)</f>
        <v>0</v>
      </c>
      <c r="AY195" s="144">
        <f>$AW195*$AX195*Dashboard!$D$15</f>
        <v>0</v>
      </c>
      <c r="AZ195" s="144">
        <f>VLOOKUP(B195,Precificação!$B$96:$BM$533,54,0)</f>
        <v>0</v>
      </c>
      <c r="BA195" s="144">
        <f>VLOOKUP(B195,Precificação!$B$96:$BR$533,58,0)</f>
        <v>0</v>
      </c>
      <c r="BB195" s="144">
        <f>VLOOKUP(B195,Precificação!$B$96:$BW$533,62,0)</f>
        <v>0</v>
      </c>
      <c r="BC195" s="144">
        <f t="shared" si="101"/>
        <v>0</v>
      </c>
      <c r="BD195" s="109">
        <f>IFERROR(VLOOKUP(B195,Precificação!$B$96:$S$533,13,0),0)</f>
        <v>0</v>
      </c>
      <c r="BE195" s="109">
        <f>IFERROR(VLOOKUP(B195,Precificação!$B$96:$U$533,15,0)/(Precificação!$U$4+Precificação!$U$91),0)*Dashboard!$T$3</f>
        <v>0</v>
      </c>
    </row>
    <row r="196" spans="2:57" ht="12" customHeight="1" outlineLevel="1">
      <c r="B196" s="137" t="str">
        <f>Precificação!B177</f>
        <v>AUX TEC - Equipe_01</v>
      </c>
      <c r="D196" s="512"/>
      <c r="E196" s="143" t="str">
        <f>IF('Cronog. e Histog.'!G300&gt;0,'Cronog. e Histog.'!G300,"")</f>
        <v>AUX TEC</v>
      </c>
      <c r="G196" s="179">
        <f t="shared" si="88"/>
        <v>0</v>
      </c>
      <c r="H196" s="110">
        <f>IFERROR(INDEX('Base Salarial'!$D$5:$F$25,MATCH(E196,'Base Salarial'!$G$5:$G$25,0),MATCH(I196,'Base Salarial'!$D$4:$F$4,0)),"")</f>
        <v>3500</v>
      </c>
      <c r="I196" s="78" t="str">
        <f>IFERROR(INDEX(Tarefas!$BQ$29:$FK$29,MATCH(E196,Tarefas!$BQ$30:$FK$30,0)),"")</f>
        <v>Mensalista</v>
      </c>
      <c r="J196" s="81">
        <f>IF(I196="horista",H196*Dashboard!$D$15,IF(OR(I196="Mensalista",I196="PJ"),H196,))</f>
        <v>3500</v>
      </c>
      <c r="K196" s="81">
        <f>IF(I196="PJ",J196,ROUND(J196*(1+Dashboard!$D$22),2))</f>
        <v>3710</v>
      </c>
      <c r="L196" s="77"/>
      <c r="M196" s="180"/>
      <c r="P196" s="109">
        <f>IF($BD196&gt;0,(((($BD196/Dashboard!$D$15)*(1+Precificação!$W$589)))+$P$26)*(1+Dashboard!$D$35),0)</f>
        <v>0</v>
      </c>
      <c r="Q196" s="109">
        <f>IF($BD196&gt;0,(((($BD196/Dashboard!$D$23)+(1+Precificação!$W$589))*(1+Q$28))+$P$26)*(1+Dashboard!$D$35),0)</f>
        <v>0</v>
      </c>
      <c r="R196" s="109">
        <f>IF($BD196&gt;0,(((($BD196/Dashboard!$D$23)+(1+Precificação!$W$589))*(1+R$28))+$P$26)*(1+Dashboard!$D$35),0)</f>
        <v>0</v>
      </c>
      <c r="S196" s="109">
        <f>IF($BD196&gt;0,(((($BD196/Dashboard!$D$23)+(1+Precificação!$W$589))*(1+S$28))+$P$26)*(1+Dashboard!$D$35),0)</f>
        <v>0</v>
      </c>
      <c r="U196" s="109">
        <f t="shared" si="89"/>
        <v>0</v>
      </c>
      <c r="V196" s="109">
        <f t="shared" si="90"/>
        <v>0</v>
      </c>
      <c r="W196" s="109">
        <f t="shared" si="91"/>
        <v>0</v>
      </c>
      <c r="X196" s="109">
        <f t="shared" si="92"/>
        <v>0</v>
      </c>
      <c r="AA196" s="109">
        <f>IF($BD196&gt;0,(((($BD196/Dashboard!$D$23)*(1+Precificação!$W$589)))+$AA$26)*(1+Dashboard!$D$35),0)</f>
        <v>0</v>
      </c>
      <c r="AB196" s="109">
        <f>IF($BD196&gt;0,(((($BD196/Dashboard!$D$23)*(1+Precificação!$W$589))*(1+AB$28))+$AA$26)*(1+Dashboard!$D$35),0)</f>
        <v>0</v>
      </c>
      <c r="AC196" s="109">
        <f>IF($BD196&gt;0,(((($BD196/Dashboard!$D$23)*(1+Precificação!$W$589))*(1+AC$28))+$AA$26)*(1+Dashboard!$D$35),0)</f>
        <v>0</v>
      </c>
      <c r="AD196" s="109">
        <f>IF($BD196&gt;0,(((($BD196/Dashboard!$D$23)*(1+Precificação!$W$589))*(1+AD$28))+$AA$26)*(1+Dashboard!$D$35),0)</f>
        <v>0</v>
      </c>
      <c r="AF196" s="109">
        <f t="shared" si="93"/>
        <v>0</v>
      </c>
      <c r="AG196" s="109">
        <f t="shared" si="94"/>
        <v>0</v>
      </c>
      <c r="AH196" s="109">
        <f t="shared" si="95"/>
        <v>0</v>
      </c>
      <c r="AI196" s="109">
        <f t="shared" si="96"/>
        <v>0</v>
      </c>
      <c r="AL196" s="109">
        <f>IF($BD196&gt;0,(((($BD196/Dashboard!$D$23)*(1+Precificação!$W$589)))+$AL$26)*(1+Dashboard!$D$35),0)</f>
        <v>0</v>
      </c>
      <c r="AM196" s="109">
        <f>IF($BD196&gt;0,(((($BD196/Dashboard!$D$23)*(1+Precificação!$W$589))*(1+AM$28))+$AA$26)*(1+Dashboard!$D$35),0)</f>
        <v>0</v>
      </c>
      <c r="AN196" s="109">
        <f>IF($BD196&gt;0,(((($BD196/Dashboard!$D$23)*(1+Precificação!$W$589))*(1+AN$28))+$AA$26)*(1+Dashboard!$D$35),0)</f>
        <v>0</v>
      </c>
      <c r="AO196" s="109">
        <f>IF($BD196&gt;0,(((($BD196/Dashboard!$D$23)*(1+Precificação!$W$589))*(1+AO$28))+$AA$26)*(1+Dashboard!$D$35),0)</f>
        <v>0</v>
      </c>
      <c r="AQ196" s="109">
        <f t="shared" si="97"/>
        <v>0</v>
      </c>
      <c r="AR196" s="109">
        <f t="shared" si="98"/>
        <v>0</v>
      </c>
      <c r="AS196" s="109">
        <f t="shared" si="99"/>
        <v>0</v>
      </c>
      <c r="AT196" s="109">
        <f t="shared" si="100"/>
        <v>0</v>
      </c>
      <c r="AW196" s="144">
        <f>VLOOKUP(B196,'Cronog. e Histog.'!$B$213:$BT$688,71,0)</f>
        <v>0</v>
      </c>
      <c r="AX196" s="144">
        <f>VLOOKUP(B196,'Cronog. e Histog.'!$B$213:$BU$688,72,0)</f>
        <v>0</v>
      </c>
      <c r="AY196" s="144">
        <f>$AW196*$AX196*Dashboard!$D$15</f>
        <v>0</v>
      </c>
      <c r="AZ196" s="144">
        <f>VLOOKUP(B196,Precificação!$B$96:$BM$533,54,0)</f>
        <v>0</v>
      </c>
      <c r="BA196" s="144">
        <f>VLOOKUP(B196,Precificação!$B$96:$BR$533,58,0)</f>
        <v>0</v>
      </c>
      <c r="BB196" s="144">
        <f>VLOOKUP(B196,Precificação!$B$96:$BW$533,62,0)</f>
        <v>0</v>
      </c>
      <c r="BC196" s="144">
        <f t="shared" si="101"/>
        <v>0</v>
      </c>
      <c r="BD196" s="109">
        <f>IFERROR(VLOOKUP(B196,Precificação!$B$96:$S$533,13,0),0)</f>
        <v>0</v>
      </c>
      <c r="BE196" s="109">
        <f>IFERROR(VLOOKUP(B196,Precificação!$B$96:$U$533,15,0)/(Precificação!$U$4+Precificação!$U$91),0)*Dashboard!$T$3</f>
        <v>0</v>
      </c>
    </row>
    <row r="197" spans="2:57" ht="12" customHeight="1" outlineLevel="1">
      <c r="B197" s="137" t="str">
        <f>Precificação!B178</f>
        <v>AUX ADM - Equipe_01</v>
      </c>
      <c r="D197" s="512"/>
      <c r="E197" s="143" t="str">
        <f>IF('Cronog. e Histog.'!G301&gt;0,'Cronog. e Histog.'!G301,"")</f>
        <v>AUX ADM</v>
      </c>
      <c r="G197" s="179">
        <f t="shared" si="88"/>
        <v>0</v>
      </c>
      <c r="H197" s="110">
        <f>IFERROR(INDEX('Base Salarial'!$D$5:$F$25,MATCH(E197,'Base Salarial'!$G$5:$G$25,0),MATCH(I197,'Base Salarial'!$D$4:$F$4,0)),"")</f>
        <v>1804</v>
      </c>
      <c r="I197" s="78" t="str">
        <f>IFERROR(INDEX(Tarefas!$BQ$29:$FK$29,MATCH(E197,Tarefas!$BQ$30:$FK$30,0)),"")</f>
        <v>Mensalista</v>
      </c>
      <c r="J197" s="81">
        <f>IF(I197="horista",H197*Dashboard!$D$15,IF(OR(I197="Mensalista",I197="PJ"),H197,))</f>
        <v>1804</v>
      </c>
      <c r="K197" s="81">
        <f>IF(I197="PJ",J197,ROUND(J197*(1+Dashboard!$D$22),2))</f>
        <v>1912.24</v>
      </c>
      <c r="L197" s="77"/>
      <c r="M197" s="180"/>
      <c r="P197" s="109">
        <f>IF($BD197&gt;0,(((($BD197/Dashboard!$D$15)*(1+Precificação!$W$589)))+$P$26)*(1+Dashboard!$D$35),0)</f>
        <v>0</v>
      </c>
      <c r="Q197" s="109">
        <f>IF($BD197&gt;0,(((($BD197/Dashboard!$D$23)+(1+Precificação!$W$589))*(1+Q$28))+$P$26)*(1+Dashboard!$D$35),0)</f>
        <v>0</v>
      </c>
      <c r="R197" s="109">
        <f>IF($BD197&gt;0,(((($BD197/Dashboard!$D$23)+(1+Precificação!$W$589))*(1+R$28))+$P$26)*(1+Dashboard!$D$35),0)</f>
        <v>0</v>
      </c>
      <c r="S197" s="109">
        <f>IF($BD197&gt;0,(((($BD197/Dashboard!$D$23)+(1+Precificação!$W$589))*(1+S$28))+$P$26)*(1+Dashboard!$D$35),0)</f>
        <v>0</v>
      </c>
      <c r="U197" s="109">
        <f t="shared" si="89"/>
        <v>0</v>
      </c>
      <c r="V197" s="109">
        <f t="shared" si="90"/>
        <v>0</v>
      </c>
      <c r="W197" s="109">
        <f t="shared" si="91"/>
        <v>0</v>
      </c>
      <c r="X197" s="109">
        <f t="shared" si="92"/>
        <v>0</v>
      </c>
      <c r="AA197" s="109">
        <f>IF($BD197&gt;0,(((($BD197/Dashboard!$D$23)*(1+Precificação!$W$589)))+$AA$26)*(1+Dashboard!$D$35),0)</f>
        <v>0</v>
      </c>
      <c r="AB197" s="109">
        <f>IF($BD197&gt;0,(((($BD197/Dashboard!$D$23)*(1+Precificação!$W$589))*(1+AB$28))+$AA$26)*(1+Dashboard!$D$35),0)</f>
        <v>0</v>
      </c>
      <c r="AC197" s="109">
        <f>IF($BD197&gt;0,(((($BD197/Dashboard!$D$23)*(1+Precificação!$W$589))*(1+AC$28))+$AA$26)*(1+Dashboard!$D$35),0)</f>
        <v>0</v>
      </c>
      <c r="AD197" s="109">
        <f>IF($BD197&gt;0,(((($BD197/Dashboard!$D$23)*(1+Precificação!$W$589))*(1+AD$28))+$AA$26)*(1+Dashboard!$D$35),0)</f>
        <v>0</v>
      </c>
      <c r="AF197" s="109">
        <f t="shared" si="93"/>
        <v>0</v>
      </c>
      <c r="AG197" s="109">
        <f t="shared" si="94"/>
        <v>0</v>
      </c>
      <c r="AH197" s="109">
        <f t="shared" si="95"/>
        <v>0</v>
      </c>
      <c r="AI197" s="109">
        <f t="shared" si="96"/>
        <v>0</v>
      </c>
      <c r="AL197" s="109">
        <f>IF($BD197&gt;0,(((($BD197/Dashboard!$D$23)*(1+Precificação!$W$589)))+$AL$26)*(1+Dashboard!$D$35),0)</f>
        <v>0</v>
      </c>
      <c r="AM197" s="109">
        <f>IF($BD197&gt;0,(((($BD197/Dashboard!$D$23)*(1+Precificação!$W$589))*(1+AM$28))+$AA$26)*(1+Dashboard!$D$35),0)</f>
        <v>0</v>
      </c>
      <c r="AN197" s="109">
        <f>IF($BD197&gt;0,(((($BD197/Dashboard!$D$23)*(1+Precificação!$W$589))*(1+AN$28))+$AA$26)*(1+Dashboard!$D$35),0)</f>
        <v>0</v>
      </c>
      <c r="AO197" s="109">
        <f>IF($BD197&gt;0,(((($BD197/Dashboard!$D$23)*(1+Precificação!$W$589))*(1+AO$28))+$AA$26)*(1+Dashboard!$D$35),0)</f>
        <v>0</v>
      </c>
      <c r="AQ197" s="109">
        <f t="shared" si="97"/>
        <v>0</v>
      </c>
      <c r="AR197" s="109">
        <f t="shared" si="98"/>
        <v>0</v>
      </c>
      <c r="AS197" s="109">
        <f t="shared" si="99"/>
        <v>0</v>
      </c>
      <c r="AT197" s="109">
        <f t="shared" si="100"/>
        <v>0</v>
      </c>
      <c r="AW197" s="144">
        <f>VLOOKUP(B197,'Cronog. e Histog.'!$B$213:$BT$688,71,0)</f>
        <v>0</v>
      </c>
      <c r="AX197" s="144">
        <f>VLOOKUP(B197,'Cronog. e Histog.'!$B$213:$BU$688,72,0)</f>
        <v>0</v>
      </c>
      <c r="AY197" s="144">
        <f>$AW197*$AX197*Dashboard!$D$15</f>
        <v>0</v>
      </c>
      <c r="AZ197" s="144">
        <f>VLOOKUP(B197,Precificação!$B$96:$BM$533,54,0)</f>
        <v>0</v>
      </c>
      <c r="BA197" s="144">
        <f>VLOOKUP(B197,Precificação!$B$96:$BR$533,58,0)</f>
        <v>0</v>
      </c>
      <c r="BB197" s="144">
        <f>VLOOKUP(B197,Precificação!$B$96:$BW$533,62,0)</f>
        <v>0</v>
      </c>
      <c r="BC197" s="144">
        <f t="shared" si="101"/>
        <v>0</v>
      </c>
      <c r="BD197" s="109">
        <f>IFERROR(VLOOKUP(B197,Precificação!$B$96:$S$533,13,0),0)</f>
        <v>0</v>
      </c>
      <c r="BE197" s="109">
        <f>IFERROR(VLOOKUP(B197,Precificação!$B$96:$U$533,15,0)/(Precificação!$U$4+Precificação!$U$91),0)*Dashboard!$T$3</f>
        <v>0</v>
      </c>
    </row>
    <row r="198" spans="2:57" ht="12" customHeight="1" outlineLevel="1">
      <c r="B198" s="137" t="str">
        <f>Precificação!B179</f>
        <v>EST - Equipe_01</v>
      </c>
      <c r="D198" s="512"/>
      <c r="E198" s="143" t="str">
        <f>IF('Cronog. e Histog.'!G302&gt;0,'Cronog. e Histog.'!G302,"")</f>
        <v>EST</v>
      </c>
      <c r="G198" s="179">
        <f t="shared" si="88"/>
        <v>0</v>
      </c>
      <c r="H198" s="110">
        <f>IFERROR(INDEX('Base Salarial'!$D$5:$F$25,MATCH(E198,'Base Salarial'!$G$5:$G$25,0),MATCH(I198,'Base Salarial'!$D$4:$F$4,0)),"")</f>
        <v>1633</v>
      </c>
      <c r="I198" s="78" t="str">
        <f>IFERROR(INDEX(Tarefas!$BQ$29:$FK$29,MATCH(E198,Tarefas!$BQ$30:$FK$30,0)),"")</f>
        <v>PJ</v>
      </c>
      <c r="J198" s="81">
        <f>IF(I198="horista",H198*Dashboard!$D$15,IF(OR(I198="Mensalista",I198="PJ"),H198,))</f>
        <v>1633</v>
      </c>
      <c r="K198" s="81">
        <f>IF(I198="PJ",J198,ROUND(J198*(1+Dashboard!$D$22),2))</f>
        <v>1633</v>
      </c>
      <c r="L198" s="77"/>
      <c r="M198" s="180"/>
      <c r="P198" s="109">
        <f>IF($BD198&gt;0,(((($BD198/Dashboard!$D$15)*(1+Precificação!$W$589)))+$P$26)*(1+Dashboard!$D$35),0)</f>
        <v>0</v>
      </c>
      <c r="Q198" s="109">
        <f>IF($BD198&gt;0,(((($BD198/Dashboard!$D$23)+(1+Precificação!$W$589))*(1+Q$28))+$P$26)*(1+Dashboard!$D$35),0)</f>
        <v>0</v>
      </c>
      <c r="R198" s="109">
        <f>IF($BD198&gt;0,(((($BD198/Dashboard!$D$23)+(1+Precificação!$W$589))*(1+R$28))+$P$26)*(1+Dashboard!$D$35),0)</f>
        <v>0</v>
      </c>
      <c r="S198" s="109">
        <f>IF($BD198&gt;0,(((($BD198/Dashboard!$D$23)+(1+Precificação!$W$589))*(1+S$28))+$P$26)*(1+Dashboard!$D$35),0)</f>
        <v>0</v>
      </c>
      <c r="U198" s="109">
        <f t="shared" si="89"/>
        <v>0</v>
      </c>
      <c r="V198" s="109">
        <f t="shared" si="90"/>
        <v>0</v>
      </c>
      <c r="W198" s="109">
        <f t="shared" si="91"/>
        <v>0</v>
      </c>
      <c r="X198" s="109">
        <f t="shared" si="92"/>
        <v>0</v>
      </c>
      <c r="AA198" s="109">
        <f>IF($BD198&gt;0,(((($BD198/Dashboard!$D$23)*(1+Precificação!$W$589)))+$AA$26)*(1+Dashboard!$D$35),0)</f>
        <v>0</v>
      </c>
      <c r="AB198" s="109">
        <f>IF($BD198&gt;0,(((($BD198/Dashboard!$D$23)*(1+Precificação!$W$589))*(1+AB$28))+$AA$26)*(1+Dashboard!$D$35),0)</f>
        <v>0</v>
      </c>
      <c r="AC198" s="109">
        <f>IF($BD198&gt;0,(((($BD198/Dashboard!$D$23)*(1+Precificação!$W$589))*(1+AC$28))+$AA$26)*(1+Dashboard!$D$35),0)</f>
        <v>0</v>
      </c>
      <c r="AD198" s="109">
        <f>IF($BD198&gt;0,(((($BD198/Dashboard!$D$23)*(1+Precificação!$W$589))*(1+AD$28))+$AA$26)*(1+Dashboard!$D$35),0)</f>
        <v>0</v>
      </c>
      <c r="AF198" s="109">
        <f t="shared" si="93"/>
        <v>0</v>
      </c>
      <c r="AG198" s="109">
        <f t="shared" si="94"/>
        <v>0</v>
      </c>
      <c r="AH198" s="109">
        <f t="shared" si="95"/>
        <v>0</v>
      </c>
      <c r="AI198" s="109">
        <f t="shared" si="96"/>
        <v>0</v>
      </c>
      <c r="AL198" s="109">
        <f>IF($BD198&gt;0,(((($BD198/Dashboard!$D$23)*(1+Precificação!$W$589)))+$AL$26)*(1+Dashboard!$D$35),0)</f>
        <v>0</v>
      </c>
      <c r="AM198" s="109">
        <f>IF($BD198&gt;0,(((($BD198/Dashboard!$D$23)*(1+Precificação!$W$589))*(1+AM$28))+$AA$26)*(1+Dashboard!$D$35),0)</f>
        <v>0</v>
      </c>
      <c r="AN198" s="109">
        <f>IF($BD198&gt;0,(((($BD198/Dashboard!$D$23)*(1+Precificação!$W$589))*(1+AN$28))+$AA$26)*(1+Dashboard!$D$35),0)</f>
        <v>0</v>
      </c>
      <c r="AO198" s="109">
        <f>IF($BD198&gt;0,(((($BD198/Dashboard!$D$23)*(1+Precificação!$W$589))*(1+AO$28))+$AA$26)*(1+Dashboard!$D$35),0)</f>
        <v>0</v>
      </c>
      <c r="AQ198" s="109">
        <f t="shared" si="97"/>
        <v>0</v>
      </c>
      <c r="AR198" s="109">
        <f t="shared" si="98"/>
        <v>0</v>
      </c>
      <c r="AS198" s="109">
        <f t="shared" si="99"/>
        <v>0</v>
      </c>
      <c r="AT198" s="109">
        <f t="shared" si="100"/>
        <v>0</v>
      </c>
      <c r="AW198" s="144">
        <f>VLOOKUP(B198,'Cronog. e Histog.'!$B$213:$BT$688,71,0)</f>
        <v>0</v>
      </c>
      <c r="AX198" s="144">
        <f>VLOOKUP(B198,'Cronog. e Histog.'!$B$213:$BU$688,72,0)</f>
        <v>0</v>
      </c>
      <c r="AY198" s="144">
        <f>$AW198*$AX198*Dashboard!$D$15</f>
        <v>0</v>
      </c>
      <c r="AZ198" s="144">
        <f>VLOOKUP(B198,Precificação!$B$96:$BM$533,54,0)</f>
        <v>0</v>
      </c>
      <c r="BA198" s="144">
        <f>VLOOKUP(B198,Precificação!$B$96:$BR$533,58,0)</f>
        <v>0</v>
      </c>
      <c r="BB198" s="144">
        <f>VLOOKUP(B198,Precificação!$B$96:$BW$533,62,0)</f>
        <v>0</v>
      </c>
      <c r="BC198" s="144">
        <f t="shared" si="101"/>
        <v>0</v>
      </c>
      <c r="BD198" s="109">
        <f>IFERROR(VLOOKUP(B198,Precificação!$B$96:$S$533,13,0),0)</f>
        <v>0</v>
      </c>
      <c r="BE198" s="109">
        <f>IFERROR(VLOOKUP(B198,Precificação!$B$96:$U$533,15,0)/(Precificação!$U$4+Precificação!$U$91),0)*Dashboard!$T$3</f>
        <v>0</v>
      </c>
    </row>
    <row r="199" spans="2:57" ht="12" customHeight="1" outlineLevel="1">
      <c r="B199" s="137" t="str">
        <f>Precificação!B180</f>
        <v>EST_II - Equipe_01</v>
      </c>
      <c r="D199" s="512"/>
      <c r="E199" s="143" t="str">
        <f>IF('Cronog. e Histog.'!G303&gt;0,'Cronog. e Histog.'!G303,"")</f>
        <v>EST_II</v>
      </c>
      <c r="G199" s="179">
        <f t="shared" si="88"/>
        <v>0</v>
      </c>
      <c r="H199" s="110">
        <f>IFERROR(INDEX('Base Salarial'!$D$5:$F$25,MATCH(E199,'Base Salarial'!$G$5:$G$25,0),MATCH(I199,'Base Salarial'!$D$4:$F$4,0)),"")</f>
        <v>1633</v>
      </c>
      <c r="I199" s="78" t="str">
        <f>IFERROR(INDEX(Tarefas!$BQ$29:$FK$29,MATCH(E199,Tarefas!$BQ$30:$FK$30,0)),"")</f>
        <v>PJ</v>
      </c>
      <c r="J199" s="81">
        <f>IF(I199="horista",H199*Dashboard!$D$15,IF(OR(I199="Mensalista",I199="PJ"),H199,))</f>
        <v>1633</v>
      </c>
      <c r="K199" s="81">
        <f>IF(I199="PJ",J199,ROUND(J199*(1+Dashboard!$D$22),2))</f>
        <v>1633</v>
      </c>
      <c r="L199" s="77"/>
      <c r="M199" s="180"/>
      <c r="P199" s="109">
        <f>IF($BD199&gt;0,(((($BD199/Dashboard!$D$15)*(1+Precificação!$W$589)))+$P$26)*(1+Dashboard!$D$35),0)</f>
        <v>0</v>
      </c>
      <c r="Q199" s="109">
        <f>IF($BD199&gt;0,(((($BD199/Dashboard!$D$23)+(1+Precificação!$W$589))*(1+Q$28))+$P$26)*(1+Dashboard!$D$35),0)</f>
        <v>0</v>
      </c>
      <c r="R199" s="109">
        <f>IF($BD199&gt;0,(((($BD199/Dashboard!$D$23)+(1+Precificação!$W$589))*(1+R$28))+$P$26)*(1+Dashboard!$D$35),0)</f>
        <v>0</v>
      </c>
      <c r="S199" s="109">
        <f>IF($BD199&gt;0,(((($BD199/Dashboard!$D$23)+(1+Precificação!$W$589))*(1+S$28))+$P$26)*(1+Dashboard!$D$35),0)</f>
        <v>0</v>
      </c>
      <c r="U199" s="109">
        <f t="shared" si="89"/>
        <v>0</v>
      </c>
      <c r="V199" s="109">
        <f t="shared" si="90"/>
        <v>0</v>
      </c>
      <c r="W199" s="109">
        <f t="shared" si="91"/>
        <v>0</v>
      </c>
      <c r="X199" s="109">
        <f t="shared" si="92"/>
        <v>0</v>
      </c>
      <c r="AA199" s="109">
        <f>IF($BD199&gt;0,(((($BD199/Dashboard!$D$23)*(1+Precificação!$W$589)))+$AA$26)*(1+Dashboard!$D$35),0)</f>
        <v>0</v>
      </c>
      <c r="AB199" s="109">
        <f>IF($BD199&gt;0,(((($BD199/Dashboard!$D$23)*(1+Precificação!$W$589))*(1+AB$28))+$AA$26)*(1+Dashboard!$D$35),0)</f>
        <v>0</v>
      </c>
      <c r="AC199" s="109">
        <f>IF($BD199&gt;0,(((($BD199/Dashboard!$D$23)*(1+Precificação!$W$589))*(1+AC$28))+$AA$26)*(1+Dashboard!$D$35),0)</f>
        <v>0</v>
      </c>
      <c r="AD199" s="109">
        <f>IF($BD199&gt;0,(((($BD199/Dashboard!$D$23)*(1+Precificação!$W$589))*(1+AD$28))+$AA$26)*(1+Dashboard!$D$35),0)</f>
        <v>0</v>
      </c>
      <c r="AF199" s="109">
        <f t="shared" si="93"/>
        <v>0</v>
      </c>
      <c r="AG199" s="109">
        <f t="shared" si="94"/>
        <v>0</v>
      </c>
      <c r="AH199" s="109">
        <f t="shared" si="95"/>
        <v>0</v>
      </c>
      <c r="AI199" s="109">
        <f t="shared" si="96"/>
        <v>0</v>
      </c>
      <c r="AL199" s="109">
        <f>IF($BD199&gt;0,(((($BD199/Dashboard!$D$23)*(1+Precificação!$W$589)))+$AL$26)*(1+Dashboard!$D$35),0)</f>
        <v>0</v>
      </c>
      <c r="AM199" s="109">
        <f>IF($BD199&gt;0,(((($BD199/Dashboard!$D$23)*(1+Precificação!$W$589))*(1+AM$28))+$AA$26)*(1+Dashboard!$D$35),0)</f>
        <v>0</v>
      </c>
      <c r="AN199" s="109">
        <f>IF($BD199&gt;0,(((($BD199/Dashboard!$D$23)*(1+Precificação!$W$589))*(1+AN$28))+$AA$26)*(1+Dashboard!$D$35),0)</f>
        <v>0</v>
      </c>
      <c r="AO199" s="109">
        <f>IF($BD199&gt;0,(((($BD199/Dashboard!$D$23)*(1+Precificação!$W$589))*(1+AO$28))+$AA$26)*(1+Dashboard!$D$35),0)</f>
        <v>0</v>
      </c>
      <c r="AQ199" s="109">
        <f t="shared" si="97"/>
        <v>0</v>
      </c>
      <c r="AR199" s="109">
        <f t="shared" si="98"/>
        <v>0</v>
      </c>
      <c r="AS199" s="109">
        <f t="shared" si="99"/>
        <v>0</v>
      </c>
      <c r="AT199" s="109">
        <f t="shared" si="100"/>
        <v>0</v>
      </c>
      <c r="AW199" s="144">
        <f>VLOOKUP(B199,'Cronog. e Histog.'!$B$213:$BT$688,71,0)</f>
        <v>0</v>
      </c>
      <c r="AX199" s="144">
        <f>VLOOKUP(B199,'Cronog. e Histog.'!$B$213:$BU$688,72,0)</f>
        <v>0</v>
      </c>
      <c r="AY199" s="144">
        <f>$AW199*$AX199*Dashboard!$D$15</f>
        <v>0</v>
      </c>
      <c r="AZ199" s="144">
        <f>VLOOKUP(B199,Precificação!$B$96:$BM$533,54,0)</f>
        <v>0</v>
      </c>
      <c r="BA199" s="144">
        <f>VLOOKUP(B199,Precificação!$B$96:$BR$533,58,0)</f>
        <v>0</v>
      </c>
      <c r="BB199" s="144">
        <f>VLOOKUP(B199,Precificação!$B$96:$BW$533,62,0)</f>
        <v>0</v>
      </c>
      <c r="BC199" s="144">
        <f t="shared" si="101"/>
        <v>0</v>
      </c>
      <c r="BD199" s="109">
        <f>IFERROR(VLOOKUP(B199,Precificação!$B$96:$S$533,13,0),0)</f>
        <v>0</v>
      </c>
      <c r="BE199" s="109">
        <f>IFERROR(VLOOKUP(B199,Precificação!$B$96:$U$533,15,0)/(Precificação!$U$4+Precificação!$U$91),0)*Dashboard!$T$3</f>
        <v>0</v>
      </c>
    </row>
    <row r="200" spans="2:57" ht="12" customHeight="1" outlineLevel="1">
      <c r="B200" s="137" t="str">
        <f>Precificação!B181</f>
        <v>EST_III - Equipe_01</v>
      </c>
      <c r="D200" s="512"/>
      <c r="E200" s="143" t="str">
        <f>IF('Cronog. e Histog.'!G304&gt;0,'Cronog. e Histog.'!G304,"")</f>
        <v>EST_III</v>
      </c>
      <c r="G200" s="179">
        <f t="shared" si="88"/>
        <v>0</v>
      </c>
      <c r="H200" s="110">
        <f>IFERROR(INDEX('Base Salarial'!$D$5:$F$25,MATCH(E200,'Base Salarial'!$G$5:$G$25,0),MATCH(I200,'Base Salarial'!$D$4:$F$4,0)),"")</f>
        <v>1633</v>
      </c>
      <c r="I200" s="78" t="str">
        <f>IFERROR(INDEX(Tarefas!$BQ$29:$FK$29,MATCH(E200,Tarefas!$BQ$30:$FK$30,0)),"")</f>
        <v>PJ</v>
      </c>
      <c r="J200" s="81">
        <f>IF(I200="horista",H200*Dashboard!$D$15,IF(OR(I200="Mensalista",I200="PJ"),H200,))</f>
        <v>1633</v>
      </c>
      <c r="K200" s="81">
        <f>IF(I200="PJ",J200,ROUND(J200*(1+Dashboard!$D$22),2))</f>
        <v>1633</v>
      </c>
      <c r="L200" s="77"/>
      <c r="M200" s="180"/>
      <c r="P200" s="109">
        <f>IF($BD200&gt;0,(((($BD200/Dashboard!$D$15)*(1+Precificação!$W$589)))+$P$26)*(1+Dashboard!$D$35),0)</f>
        <v>0</v>
      </c>
      <c r="Q200" s="109">
        <f>IF($BD200&gt;0,(((($BD200/Dashboard!$D$23)+(1+Precificação!$W$589))*(1+Q$28))+$P$26)*(1+Dashboard!$D$35),0)</f>
        <v>0</v>
      </c>
      <c r="R200" s="109">
        <f>IF($BD200&gt;0,(((($BD200/Dashboard!$D$23)+(1+Precificação!$W$589))*(1+R$28))+$P$26)*(1+Dashboard!$D$35),0)</f>
        <v>0</v>
      </c>
      <c r="S200" s="109">
        <f>IF($BD200&gt;0,(((($BD200/Dashboard!$D$23)+(1+Precificação!$W$589))*(1+S$28))+$P$26)*(1+Dashboard!$D$35),0)</f>
        <v>0</v>
      </c>
      <c r="U200" s="109">
        <f t="shared" si="89"/>
        <v>0</v>
      </c>
      <c r="V200" s="109">
        <f t="shared" si="90"/>
        <v>0</v>
      </c>
      <c r="W200" s="109">
        <f t="shared" si="91"/>
        <v>0</v>
      </c>
      <c r="X200" s="109">
        <f t="shared" si="92"/>
        <v>0</v>
      </c>
      <c r="AA200" s="109">
        <f>IF($BD200&gt;0,(((($BD200/Dashboard!$D$23)*(1+Precificação!$W$589)))+$AA$26)*(1+Dashboard!$D$35),0)</f>
        <v>0</v>
      </c>
      <c r="AB200" s="109">
        <f>IF($BD200&gt;0,(((($BD200/Dashboard!$D$23)*(1+Precificação!$W$589))*(1+AB$28))+$AA$26)*(1+Dashboard!$D$35),0)</f>
        <v>0</v>
      </c>
      <c r="AC200" s="109">
        <f>IF($BD200&gt;0,(((($BD200/Dashboard!$D$23)*(1+Precificação!$W$589))*(1+AC$28))+$AA$26)*(1+Dashboard!$D$35),0)</f>
        <v>0</v>
      </c>
      <c r="AD200" s="109">
        <f>IF($BD200&gt;0,(((($BD200/Dashboard!$D$23)*(1+Precificação!$W$589))*(1+AD$28))+$AA$26)*(1+Dashboard!$D$35),0)</f>
        <v>0</v>
      </c>
      <c r="AF200" s="109">
        <f t="shared" si="93"/>
        <v>0</v>
      </c>
      <c r="AG200" s="109">
        <f t="shared" si="94"/>
        <v>0</v>
      </c>
      <c r="AH200" s="109">
        <f t="shared" si="95"/>
        <v>0</v>
      </c>
      <c r="AI200" s="109">
        <f t="shared" si="96"/>
        <v>0</v>
      </c>
      <c r="AL200" s="109">
        <f>IF($BD200&gt;0,(((($BD200/Dashboard!$D$23)*(1+Precificação!$W$589)))+$AL$26)*(1+Dashboard!$D$35),0)</f>
        <v>0</v>
      </c>
      <c r="AM200" s="109">
        <f>IF($BD200&gt;0,(((($BD200/Dashboard!$D$23)*(1+Precificação!$W$589))*(1+AM$28))+$AA$26)*(1+Dashboard!$D$35),0)</f>
        <v>0</v>
      </c>
      <c r="AN200" s="109">
        <f>IF($BD200&gt;0,(((($BD200/Dashboard!$D$23)*(1+Precificação!$W$589))*(1+AN$28))+$AA$26)*(1+Dashboard!$D$35),0)</f>
        <v>0</v>
      </c>
      <c r="AO200" s="109">
        <f>IF($BD200&gt;0,(((($BD200/Dashboard!$D$23)*(1+Precificação!$W$589))*(1+AO$28))+$AA$26)*(1+Dashboard!$D$35),0)</f>
        <v>0</v>
      </c>
      <c r="AQ200" s="109">
        <f t="shared" si="97"/>
        <v>0</v>
      </c>
      <c r="AR200" s="109">
        <f t="shared" si="98"/>
        <v>0</v>
      </c>
      <c r="AS200" s="109">
        <f t="shared" si="99"/>
        <v>0</v>
      </c>
      <c r="AT200" s="109">
        <f t="shared" si="100"/>
        <v>0</v>
      </c>
      <c r="AW200" s="144">
        <f>VLOOKUP(B200,'Cronog. e Histog.'!$B$213:$BT$688,71,0)</f>
        <v>0</v>
      </c>
      <c r="AX200" s="144">
        <f>VLOOKUP(B200,'Cronog. e Histog.'!$B$213:$BU$688,72,0)</f>
        <v>0</v>
      </c>
      <c r="AY200" s="144">
        <f>$AW200*$AX200*Dashboard!$D$15</f>
        <v>0</v>
      </c>
      <c r="AZ200" s="144">
        <f>VLOOKUP(B200,Precificação!$B$96:$BM$533,54,0)</f>
        <v>0</v>
      </c>
      <c r="BA200" s="144">
        <f>VLOOKUP(B200,Precificação!$B$96:$BR$533,58,0)</f>
        <v>0</v>
      </c>
      <c r="BB200" s="144">
        <f>VLOOKUP(B200,Precificação!$B$96:$BW$533,62,0)</f>
        <v>0</v>
      </c>
      <c r="BC200" s="144">
        <f t="shared" si="101"/>
        <v>0</v>
      </c>
      <c r="BD200" s="109">
        <f>IFERROR(VLOOKUP(B200,Precificação!$B$96:$S$533,13,0),0)</f>
        <v>0</v>
      </c>
      <c r="BE200" s="109">
        <f>IFERROR(VLOOKUP(B200,Precificação!$B$96:$U$533,15,0)/(Precificação!$U$4+Precificação!$U$91),0)*Dashboard!$T$3</f>
        <v>0</v>
      </c>
    </row>
    <row r="201" spans="2:57" ht="12" customHeight="1" outlineLevel="1"/>
    <row r="202" spans="2:57" ht="12" customHeight="1" outlineLevel="1">
      <c r="B202" s="137" t="str">
        <f>Precificação!B184</f>
        <v>GER. (OBRA/PROJ) - Equipe_01</v>
      </c>
      <c r="D202" s="512" t="str">
        <f>'Cronog. e Histog.'!F307</f>
        <v>Equipe05</v>
      </c>
      <c r="E202" s="143" t="str">
        <f>IF('Cronog. e Histog.'!G309&gt;0,'Cronog. e Histog.'!G309,"")</f>
        <v>GER. (OBRA/PROJ)</v>
      </c>
      <c r="G202" s="179">
        <f t="shared" ref="G202" si="102">IF(AND((AW202*AX202)&gt;0,K202=0),1,0)</f>
        <v>0</v>
      </c>
      <c r="H202" s="110">
        <f>IFERROR(INDEX('Base Salarial'!$D$5:$F$25,MATCH(E202,'Base Salarial'!$G$5:$G$25,0),MATCH(I202,'Base Salarial'!$D$4:$F$4,0)),"")</f>
        <v>21000</v>
      </c>
      <c r="I202" s="78" t="str">
        <f>IFERROR(INDEX(Tarefas!$BQ$29:$FK$29,MATCH(E202,Tarefas!$BQ$30:$FK$30,0)),"")</f>
        <v>PJ</v>
      </c>
      <c r="J202" s="81">
        <f>IF(I202="horista",H202*Dashboard!$D$15,IF(OR(I202="Mensalista",I202="PJ"),H202,))</f>
        <v>21000</v>
      </c>
      <c r="K202" s="81">
        <f>IF(I202="PJ",J202,ROUND(J202*(1+Dashboard!$D$22),2))</f>
        <v>21000</v>
      </c>
      <c r="L202" s="77"/>
      <c r="M202" s="180"/>
      <c r="P202" s="109">
        <f>IF($BD202&gt;0,(((($BD202/Dashboard!$D$15)*(1+Precificação!$W$589)))+$P$26)*(1+Dashboard!$D$35),0)</f>
        <v>0</v>
      </c>
      <c r="Q202" s="109">
        <f>IF($BD202&gt;0,(((($BD202/Dashboard!$D$23)+(1+Precificação!$W$589))*(1+Q$28))+$P$26)*(1+Dashboard!$D$35),0)</f>
        <v>0</v>
      </c>
      <c r="R202" s="109">
        <f>IF($BD202&gt;0,(((($BD202/Dashboard!$D$23)+(1+Precificação!$W$589))*(1+R$28))+$P$26)*(1+Dashboard!$D$35),0)</f>
        <v>0</v>
      </c>
      <c r="S202" s="109">
        <f>IF($BD202&gt;0,(((($BD202/Dashboard!$D$23)+(1+Precificação!$W$589))*(1+S$28))+$P$26)*(1+Dashboard!$D$35),0)</f>
        <v>0</v>
      </c>
      <c r="U202" s="109">
        <f>IF(P202&gt;0,P202+U$32,0)</f>
        <v>0</v>
      </c>
      <c r="V202" s="109">
        <f t="shared" ref="V202:X202" si="103">IF(Q202&gt;0,Q202+V$32,0)</f>
        <v>0</v>
      </c>
      <c r="W202" s="109">
        <f t="shared" si="103"/>
        <v>0</v>
      </c>
      <c r="X202" s="109">
        <f t="shared" si="103"/>
        <v>0</v>
      </c>
      <c r="AA202" s="109">
        <f>IF($BD202&gt;0,(((($BD202/Dashboard!$D$23)*(1+Precificação!$W$589)))+$AA$26)*(1+Dashboard!$D$35),0)</f>
        <v>0</v>
      </c>
      <c r="AB202" s="109">
        <f>IF($BD202&gt;0,(((($BD202/Dashboard!$D$23)*(1+Precificação!$W$589))*(1+AB$28))+$AA$26)*(1+Dashboard!$D$35),0)</f>
        <v>0</v>
      </c>
      <c r="AC202" s="109">
        <f>IF($BD202&gt;0,(((($BD202/Dashboard!$D$23)*(1+Precificação!$W$589))*(1+AC$28))+$AA$26)*(1+Dashboard!$D$35),0)</f>
        <v>0</v>
      </c>
      <c r="AD202" s="109">
        <f>IF($BD202&gt;0,(((($BD202/Dashboard!$D$23)*(1+Precificação!$W$589))*(1+AD$28))+$AA$26)*(1+Dashboard!$D$35),0)</f>
        <v>0</v>
      </c>
      <c r="AF202" s="109">
        <f>IF(AA202&gt;0,AA202+AF$32,0)</f>
        <v>0</v>
      </c>
      <c r="AG202" s="109">
        <f t="shared" ref="AG202" si="104">IF(AB202&gt;0,AB202+AG$32,0)</f>
        <v>0</v>
      </c>
      <c r="AH202" s="109">
        <f t="shared" ref="AH202" si="105">IF(AC202&gt;0,AC202+AH$32,0)</f>
        <v>0</v>
      </c>
      <c r="AI202" s="109">
        <f t="shared" ref="AI202" si="106">IF(AD202&gt;0,AD202+AI$32,0)</f>
        <v>0</v>
      </c>
      <c r="AL202" s="109">
        <f>IF($BD202&gt;0,(((($BD202/Dashboard!$D$23)*(1+Precificação!$W$589)))+$AL$26)*(1+Dashboard!$D$35),0)</f>
        <v>0</v>
      </c>
      <c r="AM202" s="109">
        <f>IF($BD202&gt;0,(((($BD202/Dashboard!$D$23)*(1+Precificação!$W$589))*(1+AM$28))+$AA$26)*(1+Dashboard!$D$35),0)</f>
        <v>0</v>
      </c>
      <c r="AN202" s="109">
        <f>IF($BD202&gt;0,(((($BD202/Dashboard!$D$23)*(1+Precificação!$W$589))*(1+AN$28))+$AA$26)*(1+Dashboard!$D$35),0)</f>
        <v>0</v>
      </c>
      <c r="AO202" s="109">
        <f>IF($BD202&gt;0,(((($BD202/Dashboard!$D$23)*(1+Precificação!$W$589))*(1+AO$28))+$AA$26)*(1+Dashboard!$D$35),0)</f>
        <v>0</v>
      </c>
      <c r="AQ202" s="109">
        <f>IF(AL202&gt;0,AL202+AQ$32,0)</f>
        <v>0</v>
      </c>
      <c r="AR202" s="109">
        <f t="shared" ref="AR202" si="107">IF(AM202&gt;0,AM202+AR$32,0)</f>
        <v>0</v>
      </c>
      <c r="AS202" s="109">
        <f t="shared" ref="AS202" si="108">IF(AN202&gt;0,AN202+AS$32,0)</f>
        <v>0</v>
      </c>
      <c r="AT202" s="109">
        <f t="shared" ref="AT202" si="109">IF(AO202&gt;0,AO202+AT$32,0)</f>
        <v>0</v>
      </c>
      <c r="AW202" s="144">
        <f>VLOOKUP(B202,'Cronog. e Histog.'!$B$213:$BT$688,71,0)</f>
        <v>1.9999999999999997E-2</v>
      </c>
      <c r="AX202" s="144">
        <f>VLOOKUP(B202,'Cronog. e Histog.'!$B$213:$BU$688,72,0)</f>
        <v>10</v>
      </c>
      <c r="AY202" s="144">
        <f>$AW202*$AX202*Dashboard!$D$15</f>
        <v>38.72</v>
      </c>
      <c r="AZ202" s="144">
        <f>VLOOKUP(B202,Precificação!$B$96:$BM$533,54,0)</f>
        <v>0</v>
      </c>
      <c r="BA202" s="144">
        <f>VLOOKUP(B202,Precificação!$B$96:$BR$533,58,0)</f>
        <v>0</v>
      </c>
      <c r="BB202" s="144">
        <f>VLOOKUP(B202,Precificação!$B$96:$BW$533,62,0)</f>
        <v>0</v>
      </c>
      <c r="BC202" s="144">
        <f t="shared" ref="BC202" si="110">SUM(AY202:BB202)</f>
        <v>38.72</v>
      </c>
      <c r="BD202" s="109">
        <f>IFERROR(VLOOKUP(B202,Precificação!$B$96:$S$533,13,0),0)</f>
        <v>0</v>
      </c>
      <c r="BE202" s="109">
        <f>IFERROR(VLOOKUP(B202,Precificação!$B$96:$U$533,15,0)/(Precificação!$U$4+Precificação!$U$91),0)*Dashboard!$T$3</f>
        <v>0</v>
      </c>
    </row>
    <row r="203" spans="2:57" ht="12" customHeight="1" outlineLevel="1">
      <c r="B203" s="137" t="str">
        <f>Precificação!B185</f>
        <v>COORD. - Equipe_01</v>
      </c>
      <c r="D203" s="512"/>
      <c r="E203" s="143" t="str">
        <f>IF('Cronog. e Histog.'!G310&gt;0,'Cronog. e Histog.'!G310,"")</f>
        <v>COORD.</v>
      </c>
      <c r="G203" s="179">
        <f t="shared" ref="G203:G221" si="111">IF(AND((AW203*AX203)&gt;0,K203=0),1,0)</f>
        <v>0</v>
      </c>
      <c r="H203" s="110">
        <f>IFERROR(INDEX('Base Salarial'!$D$5:$F$25,MATCH(E203,'Base Salarial'!$G$5:$G$25,0),MATCH(I203,'Base Salarial'!$D$4:$F$4,0)),"")</f>
        <v>19000</v>
      </c>
      <c r="I203" s="78" t="str">
        <f>IFERROR(INDEX(Tarefas!$BQ$29:$FK$29,MATCH(E203,Tarefas!$BQ$30:$FK$30,0)),"")</f>
        <v>PJ</v>
      </c>
      <c r="J203" s="81">
        <f>IF(I203="horista",H203*Dashboard!$D$15,IF(OR(I203="Mensalista",I203="PJ"),H203,))</f>
        <v>19000</v>
      </c>
      <c r="K203" s="81">
        <f>IF(I203="PJ",J203,ROUND(J203*(1+Dashboard!$D$22),2))</f>
        <v>19000</v>
      </c>
      <c r="L203" s="77"/>
      <c r="M203" s="180"/>
      <c r="P203" s="109">
        <f>IF($BD203&gt;0,(((($BD203/Dashboard!$D$15)*(1+Precificação!$W$589)))+$P$26)*(1+Dashboard!$D$35),0)</f>
        <v>0</v>
      </c>
      <c r="Q203" s="109">
        <f>IF($BD203&gt;0,(((($BD203/Dashboard!$D$23)+(1+Precificação!$W$589))*(1+Q$28))+$P$26)*(1+Dashboard!$D$35),0)</f>
        <v>0</v>
      </c>
      <c r="R203" s="109">
        <f>IF($BD203&gt;0,(((($BD203/Dashboard!$D$23)+(1+Precificação!$W$589))*(1+R$28))+$P$26)*(1+Dashboard!$D$35),0)</f>
        <v>0</v>
      </c>
      <c r="S203" s="109">
        <f>IF($BD203&gt;0,(((($BD203/Dashboard!$D$23)+(1+Precificação!$W$589))*(1+S$28))+$P$26)*(1+Dashboard!$D$35),0)</f>
        <v>0</v>
      </c>
      <c r="U203" s="109">
        <f t="shared" ref="U203:U221" si="112">IF(P203&gt;0,P203+U$32,0)</f>
        <v>0</v>
      </c>
      <c r="V203" s="109">
        <f t="shared" ref="V203:V221" si="113">IF(Q203&gt;0,Q203+V$32,0)</f>
        <v>0</v>
      </c>
      <c r="W203" s="109">
        <f t="shared" ref="W203:W221" si="114">IF(R203&gt;0,R203+W$32,0)</f>
        <v>0</v>
      </c>
      <c r="X203" s="109">
        <f t="shared" ref="X203:X221" si="115">IF(S203&gt;0,S203+X$32,0)</f>
        <v>0</v>
      </c>
      <c r="AA203" s="109">
        <f>IF($BD203&gt;0,(((($BD203/Dashboard!$D$23)*(1+Precificação!$W$589)))+$AA$26)*(1+Dashboard!$D$35),0)</f>
        <v>0</v>
      </c>
      <c r="AB203" s="109">
        <f>IF($BD203&gt;0,(((($BD203/Dashboard!$D$23)*(1+Precificação!$W$589))*(1+AB$28))+$AA$26)*(1+Dashboard!$D$35),0)</f>
        <v>0</v>
      </c>
      <c r="AC203" s="109">
        <f>IF($BD203&gt;0,(((($BD203/Dashboard!$D$23)*(1+Precificação!$W$589))*(1+AC$28))+$AA$26)*(1+Dashboard!$D$35),0)</f>
        <v>0</v>
      </c>
      <c r="AD203" s="109">
        <f>IF($BD203&gt;0,(((($BD203/Dashboard!$D$23)*(1+Precificação!$W$589))*(1+AD$28))+$AA$26)*(1+Dashboard!$D$35),0)</f>
        <v>0</v>
      </c>
      <c r="AF203" s="109">
        <f t="shared" ref="AF203:AF221" si="116">IF(AA203&gt;0,AA203+AF$32,0)</f>
        <v>0</v>
      </c>
      <c r="AG203" s="109">
        <f t="shared" ref="AG203:AG221" si="117">IF(AB203&gt;0,AB203+AG$32,0)</f>
        <v>0</v>
      </c>
      <c r="AH203" s="109">
        <f t="shared" ref="AH203:AH221" si="118">IF(AC203&gt;0,AC203+AH$32,0)</f>
        <v>0</v>
      </c>
      <c r="AI203" s="109">
        <f t="shared" ref="AI203:AI221" si="119">IF(AD203&gt;0,AD203+AI$32,0)</f>
        <v>0</v>
      </c>
      <c r="AL203" s="109">
        <f>IF($BD203&gt;0,(((($BD203/Dashboard!$D$23)*(1+Precificação!$W$589)))+$AL$26)*(1+Dashboard!$D$35),0)</f>
        <v>0</v>
      </c>
      <c r="AM203" s="109">
        <f>IF($BD203&gt;0,(((($BD203/Dashboard!$D$23)*(1+Precificação!$W$589))*(1+AM$28))+$AA$26)*(1+Dashboard!$D$35),0)</f>
        <v>0</v>
      </c>
      <c r="AN203" s="109">
        <f>IF($BD203&gt;0,(((($BD203/Dashboard!$D$23)*(1+Precificação!$W$589))*(1+AN$28))+$AA$26)*(1+Dashboard!$D$35),0)</f>
        <v>0</v>
      </c>
      <c r="AO203" s="109">
        <f>IF($BD203&gt;0,(((($BD203/Dashboard!$D$23)*(1+Precificação!$W$589))*(1+AO$28))+$AA$26)*(1+Dashboard!$D$35),0)</f>
        <v>0</v>
      </c>
      <c r="AQ203" s="109">
        <f t="shared" ref="AQ203:AQ221" si="120">IF(AL203&gt;0,AL203+AQ$32,0)</f>
        <v>0</v>
      </c>
      <c r="AR203" s="109">
        <f t="shared" ref="AR203:AR221" si="121">IF(AM203&gt;0,AM203+AR$32,0)</f>
        <v>0</v>
      </c>
      <c r="AS203" s="109">
        <f t="shared" ref="AS203:AS221" si="122">IF(AN203&gt;0,AN203+AS$32,0)</f>
        <v>0</v>
      </c>
      <c r="AT203" s="109">
        <f t="shared" ref="AT203:AT221" si="123">IF(AO203&gt;0,AO203+AT$32,0)</f>
        <v>0</v>
      </c>
      <c r="AW203" s="144">
        <f>VLOOKUP(B203,'Cronog. e Histog.'!$B$213:$BT$688,71,0)</f>
        <v>1</v>
      </c>
      <c r="AX203" s="144">
        <f>VLOOKUP(B203,'Cronog. e Histog.'!$B$213:$BU$688,72,0)</f>
        <v>10</v>
      </c>
      <c r="AY203" s="144">
        <f>$AW203*$AX203*Dashboard!$D$15</f>
        <v>1936.0000000000002</v>
      </c>
      <c r="AZ203" s="144">
        <f>VLOOKUP(B203,Precificação!$B$96:$BM$533,54,0)</f>
        <v>0</v>
      </c>
      <c r="BA203" s="144">
        <f>VLOOKUP(B203,Precificação!$B$96:$BR$533,58,0)</f>
        <v>0</v>
      </c>
      <c r="BB203" s="144">
        <f>VLOOKUP(B203,Precificação!$B$96:$BW$533,62,0)</f>
        <v>0</v>
      </c>
      <c r="BC203" s="144">
        <f t="shared" ref="BC203:BC221" si="124">SUM(AY203:BB203)</f>
        <v>1936.0000000000002</v>
      </c>
      <c r="BD203" s="109">
        <f>IFERROR(VLOOKUP(B203,Precificação!$B$96:$S$533,13,0),0)</f>
        <v>0</v>
      </c>
      <c r="BE203" s="109">
        <f>IFERROR(VLOOKUP(B203,Precificação!$B$96:$U$533,15,0)/(Precificação!$U$4+Precificação!$U$91),0)*Dashboard!$T$3</f>
        <v>0</v>
      </c>
    </row>
    <row r="204" spans="2:57" ht="12" customHeight="1" outlineLevel="1">
      <c r="B204" s="137" t="str">
        <f>Precificação!B186</f>
        <v>SUP.-ESP - Equipe_01</v>
      </c>
      <c r="D204" s="512"/>
      <c r="E204" s="143" t="str">
        <f>IF('Cronog. e Histog.'!G311&gt;0,'Cronog. e Histog.'!G311,"")</f>
        <v>SUP.-ESP</v>
      </c>
      <c r="G204" s="179">
        <f t="shared" si="111"/>
        <v>0</v>
      </c>
      <c r="H204" s="110">
        <f>IFERROR(INDEX('Base Salarial'!$D$5:$F$25,MATCH(E204,'Base Salarial'!$G$5:$G$25,0),MATCH(I204,'Base Salarial'!$D$4:$F$4,0)),"")</f>
        <v>9166.6666666666679</v>
      </c>
      <c r="I204" s="78" t="str">
        <f>IFERROR(INDEX(Tarefas!$BQ$29:$FK$29,MATCH(E204,Tarefas!$BQ$30:$FK$30,0)),"")</f>
        <v>Mensalista</v>
      </c>
      <c r="J204" s="81">
        <f>IF(I204="horista",H204*Dashboard!$D$15,IF(OR(I204="Mensalista",I204="PJ"),H204,))</f>
        <v>9166.6666666666679</v>
      </c>
      <c r="K204" s="81">
        <f>IF(I204="PJ",J204,ROUND(J204*(1+Dashboard!$D$22),2))</f>
        <v>9716.67</v>
      </c>
      <c r="L204" s="77"/>
      <c r="M204" s="180"/>
      <c r="P204" s="109">
        <f>IF($BD204&gt;0,(((($BD204/Dashboard!$D$15)*(1+Precificação!$W$589)))+$P$26)*(1+Dashboard!$D$35),0)</f>
        <v>0</v>
      </c>
      <c r="Q204" s="109">
        <f>IF($BD204&gt;0,(((($BD204/Dashboard!$D$23)+(1+Precificação!$W$589))*(1+Q$28))+$P$26)*(1+Dashboard!$D$35),0)</f>
        <v>0</v>
      </c>
      <c r="R204" s="109">
        <f>IF($BD204&gt;0,(((($BD204/Dashboard!$D$23)+(1+Precificação!$W$589))*(1+R$28))+$P$26)*(1+Dashboard!$D$35),0)</f>
        <v>0</v>
      </c>
      <c r="S204" s="109">
        <f>IF($BD204&gt;0,(((($BD204/Dashboard!$D$23)+(1+Precificação!$W$589))*(1+S$28))+$P$26)*(1+Dashboard!$D$35),0)</f>
        <v>0</v>
      </c>
      <c r="U204" s="109">
        <f t="shared" si="112"/>
        <v>0</v>
      </c>
      <c r="V204" s="109">
        <f t="shared" si="113"/>
        <v>0</v>
      </c>
      <c r="W204" s="109">
        <f t="shared" si="114"/>
        <v>0</v>
      </c>
      <c r="X204" s="109">
        <f t="shared" si="115"/>
        <v>0</v>
      </c>
      <c r="AA204" s="109">
        <f>IF($BD204&gt;0,(((($BD204/Dashboard!$D$23)*(1+Precificação!$W$589)))+$AA$26)*(1+Dashboard!$D$35),0)</f>
        <v>0</v>
      </c>
      <c r="AB204" s="109">
        <f>IF($BD204&gt;0,(((($BD204/Dashboard!$D$23)*(1+Precificação!$W$589))*(1+AB$28))+$AA$26)*(1+Dashboard!$D$35),0)</f>
        <v>0</v>
      </c>
      <c r="AC204" s="109">
        <f>IF($BD204&gt;0,(((($BD204/Dashboard!$D$23)*(1+Precificação!$W$589))*(1+AC$28))+$AA$26)*(1+Dashboard!$D$35),0)</f>
        <v>0</v>
      </c>
      <c r="AD204" s="109">
        <f>IF($BD204&gt;0,(((($BD204/Dashboard!$D$23)*(1+Precificação!$W$589))*(1+AD$28))+$AA$26)*(1+Dashboard!$D$35),0)</f>
        <v>0</v>
      </c>
      <c r="AF204" s="109">
        <f t="shared" si="116"/>
        <v>0</v>
      </c>
      <c r="AG204" s="109">
        <f t="shared" si="117"/>
        <v>0</v>
      </c>
      <c r="AH204" s="109">
        <f t="shared" si="118"/>
        <v>0</v>
      </c>
      <c r="AI204" s="109">
        <f t="shared" si="119"/>
        <v>0</v>
      </c>
      <c r="AL204" s="109">
        <f>IF($BD204&gt;0,(((($BD204/Dashboard!$D$23)*(1+Precificação!$W$589)))+$AL$26)*(1+Dashboard!$D$35),0)</f>
        <v>0</v>
      </c>
      <c r="AM204" s="109">
        <f>IF($BD204&gt;0,(((($BD204/Dashboard!$D$23)*(1+Precificação!$W$589))*(1+AM$28))+$AA$26)*(1+Dashboard!$D$35),0)</f>
        <v>0</v>
      </c>
      <c r="AN204" s="109">
        <f>IF($BD204&gt;0,(((($BD204/Dashboard!$D$23)*(1+Precificação!$W$589))*(1+AN$28))+$AA$26)*(1+Dashboard!$D$35),0)</f>
        <v>0</v>
      </c>
      <c r="AO204" s="109">
        <f>IF($BD204&gt;0,(((($BD204/Dashboard!$D$23)*(1+Precificação!$W$589))*(1+AO$28))+$AA$26)*(1+Dashboard!$D$35),0)</f>
        <v>0</v>
      </c>
      <c r="AQ204" s="109">
        <f t="shared" si="120"/>
        <v>0</v>
      </c>
      <c r="AR204" s="109">
        <f t="shared" si="121"/>
        <v>0</v>
      </c>
      <c r="AS204" s="109">
        <f t="shared" si="122"/>
        <v>0</v>
      </c>
      <c r="AT204" s="109">
        <f t="shared" si="123"/>
        <v>0</v>
      </c>
      <c r="AW204" s="144">
        <f>VLOOKUP(B204,'Cronog. e Histog.'!$B$213:$BT$688,71,0)</f>
        <v>0</v>
      </c>
      <c r="AX204" s="144">
        <f>VLOOKUP(B204,'Cronog. e Histog.'!$B$213:$BU$688,72,0)</f>
        <v>0</v>
      </c>
      <c r="AY204" s="144">
        <f>$AW204*$AX204*Dashboard!$D$15</f>
        <v>0</v>
      </c>
      <c r="AZ204" s="144">
        <f>VLOOKUP(B204,Precificação!$B$96:$BM$533,54,0)</f>
        <v>0</v>
      </c>
      <c r="BA204" s="144">
        <f>VLOOKUP(B204,Precificação!$B$96:$BR$533,58,0)</f>
        <v>0</v>
      </c>
      <c r="BB204" s="144">
        <f>VLOOKUP(B204,Precificação!$B$96:$BW$533,62,0)</f>
        <v>0</v>
      </c>
      <c r="BC204" s="144">
        <f t="shared" si="124"/>
        <v>0</v>
      </c>
      <c r="BD204" s="109">
        <f>IFERROR(VLOOKUP(B204,Precificação!$B$96:$S$533,13,0),0)</f>
        <v>0</v>
      </c>
      <c r="BE204" s="109">
        <f>IFERROR(VLOOKUP(B204,Precificação!$B$96:$U$533,15,0)/(Precificação!$U$4+Precificação!$U$91),0)*Dashboard!$T$3</f>
        <v>0</v>
      </c>
    </row>
    <row r="205" spans="2:57" ht="12" customHeight="1" outlineLevel="1">
      <c r="B205" s="137" t="str">
        <f>Precificação!B187</f>
        <v>ENG/ARQ SR. - Equipe_01</v>
      </c>
      <c r="D205" s="512"/>
      <c r="E205" s="143" t="str">
        <f>IF('Cronog. e Histog.'!G312&gt;0,'Cronog. e Histog.'!G312,"")</f>
        <v>ENG/ARQ SR.</v>
      </c>
      <c r="G205" s="179">
        <f t="shared" si="111"/>
        <v>0</v>
      </c>
      <c r="H205" s="110">
        <f>IFERROR(INDEX('Base Salarial'!$D$5:$F$25,MATCH(E205,'Base Salarial'!$G$5:$G$25,0),MATCH(I205,'Base Salarial'!$D$4:$F$4,0)),"")</f>
        <v>16000</v>
      </c>
      <c r="I205" s="78" t="str">
        <f>IFERROR(INDEX(Tarefas!$BQ$29:$FK$29,MATCH(E205,Tarefas!$BQ$30:$FK$30,0)),"")</f>
        <v>PJ</v>
      </c>
      <c r="J205" s="81">
        <f>IF(I205="horista",H205*Dashboard!$D$15,IF(OR(I205="Mensalista",I205="PJ"),H205,))</f>
        <v>16000</v>
      </c>
      <c r="K205" s="81">
        <f>IF(I205="PJ",J205,ROUND(J205*(1+Dashboard!$D$22),2))</f>
        <v>16000</v>
      </c>
      <c r="L205" s="77"/>
      <c r="M205" s="180"/>
      <c r="P205" s="109">
        <f>IF($BD205&gt;0,(((($BD205/Dashboard!$D$15)*(1+Precificação!$W$589)))+$P$26)*(1+Dashboard!$D$35),0)</f>
        <v>0</v>
      </c>
      <c r="Q205" s="109">
        <f>IF($BD205&gt;0,(((($BD205/Dashboard!$D$23)+(1+Precificação!$W$589))*(1+Q$28))+$P$26)*(1+Dashboard!$D$35),0)</f>
        <v>0</v>
      </c>
      <c r="R205" s="109">
        <f>IF($BD205&gt;0,(((($BD205/Dashboard!$D$23)+(1+Precificação!$W$589))*(1+R$28))+$P$26)*(1+Dashboard!$D$35),0)</f>
        <v>0</v>
      </c>
      <c r="S205" s="109">
        <f>IF($BD205&gt;0,(((($BD205/Dashboard!$D$23)+(1+Precificação!$W$589))*(1+S$28))+$P$26)*(1+Dashboard!$D$35),0)</f>
        <v>0</v>
      </c>
      <c r="U205" s="109">
        <f t="shared" si="112"/>
        <v>0</v>
      </c>
      <c r="V205" s="109">
        <f t="shared" si="113"/>
        <v>0</v>
      </c>
      <c r="W205" s="109">
        <f t="shared" si="114"/>
        <v>0</v>
      </c>
      <c r="X205" s="109">
        <f t="shared" si="115"/>
        <v>0</v>
      </c>
      <c r="AA205" s="109">
        <f>IF($BD205&gt;0,(((($BD205/Dashboard!$D$23)*(1+Precificação!$W$589)))+$AA$26)*(1+Dashboard!$D$35),0)</f>
        <v>0</v>
      </c>
      <c r="AB205" s="109">
        <f>IF($BD205&gt;0,(((($BD205/Dashboard!$D$23)*(1+Precificação!$W$589))*(1+AB$28))+$AA$26)*(1+Dashboard!$D$35),0)</f>
        <v>0</v>
      </c>
      <c r="AC205" s="109">
        <f>IF($BD205&gt;0,(((($BD205/Dashboard!$D$23)*(1+Precificação!$W$589))*(1+AC$28))+$AA$26)*(1+Dashboard!$D$35),0)</f>
        <v>0</v>
      </c>
      <c r="AD205" s="109">
        <f>IF($BD205&gt;0,(((($BD205/Dashboard!$D$23)*(1+Precificação!$W$589))*(1+AD$28))+$AA$26)*(1+Dashboard!$D$35),0)</f>
        <v>0</v>
      </c>
      <c r="AF205" s="109">
        <f t="shared" si="116"/>
        <v>0</v>
      </c>
      <c r="AG205" s="109">
        <f t="shared" si="117"/>
        <v>0</v>
      </c>
      <c r="AH205" s="109">
        <f t="shared" si="118"/>
        <v>0</v>
      </c>
      <c r="AI205" s="109">
        <f t="shared" si="119"/>
        <v>0</v>
      </c>
      <c r="AL205" s="109">
        <f>IF($BD205&gt;0,(((($BD205/Dashboard!$D$23)*(1+Precificação!$W$589)))+$AL$26)*(1+Dashboard!$D$35),0)</f>
        <v>0</v>
      </c>
      <c r="AM205" s="109">
        <f>IF($BD205&gt;0,(((($BD205/Dashboard!$D$23)*(1+Precificação!$W$589))*(1+AM$28))+$AA$26)*(1+Dashboard!$D$35),0)</f>
        <v>0</v>
      </c>
      <c r="AN205" s="109">
        <f>IF($BD205&gt;0,(((($BD205/Dashboard!$D$23)*(1+Precificação!$W$589))*(1+AN$28))+$AA$26)*(1+Dashboard!$D$35),0)</f>
        <v>0</v>
      </c>
      <c r="AO205" s="109">
        <f>IF($BD205&gt;0,(((($BD205/Dashboard!$D$23)*(1+Precificação!$W$589))*(1+AO$28))+$AA$26)*(1+Dashboard!$D$35),0)</f>
        <v>0</v>
      </c>
      <c r="AQ205" s="109">
        <f t="shared" si="120"/>
        <v>0</v>
      </c>
      <c r="AR205" s="109">
        <f t="shared" si="121"/>
        <v>0</v>
      </c>
      <c r="AS205" s="109">
        <f t="shared" si="122"/>
        <v>0</v>
      </c>
      <c r="AT205" s="109">
        <f t="shared" si="123"/>
        <v>0</v>
      </c>
      <c r="AW205" s="144">
        <f>VLOOKUP(B205,'Cronog. e Histog.'!$B$213:$BT$688,71,0)</f>
        <v>9.9999999999999985E-3</v>
      </c>
      <c r="AX205" s="144">
        <f>VLOOKUP(B205,'Cronog. e Histog.'!$B$213:$BU$688,72,0)</f>
        <v>10</v>
      </c>
      <c r="AY205" s="144">
        <f>$AW205*$AX205*Dashboard!$D$15</f>
        <v>19.36</v>
      </c>
      <c r="AZ205" s="144">
        <f>VLOOKUP(B205,Precificação!$B$96:$BM$533,54,0)</f>
        <v>0</v>
      </c>
      <c r="BA205" s="144">
        <f>VLOOKUP(B205,Precificação!$B$96:$BR$533,58,0)</f>
        <v>0</v>
      </c>
      <c r="BB205" s="144">
        <f>VLOOKUP(B205,Precificação!$B$96:$BW$533,62,0)</f>
        <v>0</v>
      </c>
      <c r="BC205" s="144">
        <f t="shared" si="124"/>
        <v>19.36</v>
      </c>
      <c r="BD205" s="109">
        <f>IFERROR(VLOOKUP(B205,Precificação!$B$96:$S$533,13,0),0)</f>
        <v>0</v>
      </c>
      <c r="BE205" s="109">
        <f>IFERROR(VLOOKUP(B205,Precificação!$B$96:$U$533,15,0)/(Precificação!$U$4+Precificação!$U$91),0)*Dashboard!$T$3</f>
        <v>0</v>
      </c>
    </row>
    <row r="206" spans="2:57" ht="12" customHeight="1" outlineLevel="1">
      <c r="B206" s="137" t="str">
        <f>Precificação!B188</f>
        <v>ENG/ARQ PL. - Equipe_01</v>
      </c>
      <c r="D206" s="512"/>
      <c r="E206" s="143" t="str">
        <f>IF('Cronog. e Histog.'!G313&gt;0,'Cronog. e Histog.'!G313,"")</f>
        <v>ENG/ARQ PL.</v>
      </c>
      <c r="G206" s="179">
        <f t="shared" si="111"/>
        <v>0</v>
      </c>
      <c r="H206" s="110">
        <f>IFERROR(INDEX('Base Salarial'!$D$5:$F$25,MATCH(E206,'Base Salarial'!$G$5:$G$25,0),MATCH(I206,'Base Salarial'!$D$4:$F$4,0)),"")</f>
        <v>14000</v>
      </c>
      <c r="I206" s="78" t="str">
        <f>IFERROR(INDEX(Tarefas!$BQ$29:$FK$29,MATCH(E206,Tarefas!$BQ$30:$FK$30,0)),"")</f>
        <v>PJ</v>
      </c>
      <c r="J206" s="81">
        <f>IF(I206="horista",H206*Dashboard!$D$15,IF(OR(I206="Mensalista",I206="PJ"),H206,))</f>
        <v>14000</v>
      </c>
      <c r="K206" s="81">
        <f>IF(I206="PJ",J206,ROUND(J206*(1+Dashboard!$D$22),2))</f>
        <v>14000</v>
      </c>
      <c r="L206" s="77"/>
      <c r="M206" s="180"/>
      <c r="P206" s="109">
        <f>IF($BD206&gt;0,(((($BD206/Dashboard!$D$15)*(1+Precificação!$W$589)))+$P$26)*(1+Dashboard!$D$35),0)</f>
        <v>0</v>
      </c>
      <c r="Q206" s="109">
        <f>IF($BD206&gt;0,(((($BD206/Dashboard!$D$23)+(1+Precificação!$W$589))*(1+Q$28))+$P$26)*(1+Dashboard!$D$35),0)</f>
        <v>0</v>
      </c>
      <c r="R206" s="109">
        <f>IF($BD206&gt;0,(((($BD206/Dashboard!$D$23)+(1+Precificação!$W$589))*(1+R$28))+$P$26)*(1+Dashboard!$D$35),0)</f>
        <v>0</v>
      </c>
      <c r="S206" s="109">
        <f>IF($BD206&gt;0,(((($BD206/Dashboard!$D$23)+(1+Precificação!$W$589))*(1+S$28))+$P$26)*(1+Dashboard!$D$35),0)</f>
        <v>0</v>
      </c>
      <c r="U206" s="109">
        <f t="shared" si="112"/>
        <v>0</v>
      </c>
      <c r="V206" s="109">
        <f t="shared" si="113"/>
        <v>0</v>
      </c>
      <c r="W206" s="109">
        <f t="shared" si="114"/>
        <v>0</v>
      </c>
      <c r="X206" s="109">
        <f t="shared" si="115"/>
        <v>0</v>
      </c>
      <c r="AA206" s="109">
        <f>IF($BD206&gt;0,(((($BD206/Dashboard!$D$23)*(1+Precificação!$W$589)))+$AA$26)*(1+Dashboard!$D$35),0)</f>
        <v>0</v>
      </c>
      <c r="AB206" s="109">
        <f>IF($BD206&gt;0,(((($BD206/Dashboard!$D$23)*(1+Precificação!$W$589))*(1+AB$28))+$AA$26)*(1+Dashboard!$D$35),0)</f>
        <v>0</v>
      </c>
      <c r="AC206" s="109">
        <f>IF($BD206&gt;0,(((($BD206/Dashboard!$D$23)*(1+Precificação!$W$589))*(1+AC$28))+$AA$26)*(1+Dashboard!$D$35),0)</f>
        <v>0</v>
      </c>
      <c r="AD206" s="109">
        <f>IF($BD206&gt;0,(((($BD206/Dashboard!$D$23)*(1+Precificação!$W$589))*(1+AD$28))+$AA$26)*(1+Dashboard!$D$35),0)</f>
        <v>0</v>
      </c>
      <c r="AF206" s="109">
        <f t="shared" si="116"/>
        <v>0</v>
      </c>
      <c r="AG206" s="109">
        <f t="shared" si="117"/>
        <v>0</v>
      </c>
      <c r="AH206" s="109">
        <f t="shared" si="118"/>
        <v>0</v>
      </c>
      <c r="AI206" s="109">
        <f t="shared" si="119"/>
        <v>0</v>
      </c>
      <c r="AL206" s="109">
        <f>IF($BD206&gt;0,(((($BD206/Dashboard!$D$23)*(1+Precificação!$W$589)))+$AL$26)*(1+Dashboard!$D$35),0)</f>
        <v>0</v>
      </c>
      <c r="AM206" s="109">
        <f>IF($BD206&gt;0,(((($BD206/Dashboard!$D$23)*(1+Precificação!$W$589))*(1+AM$28))+$AA$26)*(1+Dashboard!$D$35),0)</f>
        <v>0</v>
      </c>
      <c r="AN206" s="109">
        <f>IF($BD206&gt;0,(((($BD206/Dashboard!$D$23)*(1+Precificação!$W$589))*(1+AN$28))+$AA$26)*(1+Dashboard!$D$35),0)</f>
        <v>0</v>
      </c>
      <c r="AO206" s="109">
        <f>IF($BD206&gt;0,(((($BD206/Dashboard!$D$23)*(1+Precificação!$W$589))*(1+AO$28))+$AA$26)*(1+Dashboard!$D$35),0)</f>
        <v>0</v>
      </c>
      <c r="AQ206" s="109">
        <f t="shared" si="120"/>
        <v>0</v>
      </c>
      <c r="AR206" s="109">
        <f t="shared" si="121"/>
        <v>0</v>
      </c>
      <c r="AS206" s="109">
        <f t="shared" si="122"/>
        <v>0</v>
      </c>
      <c r="AT206" s="109">
        <f t="shared" si="123"/>
        <v>0</v>
      </c>
      <c r="AW206" s="144">
        <f>VLOOKUP(B206,'Cronog. e Histog.'!$B$213:$BT$688,71,0)</f>
        <v>0</v>
      </c>
      <c r="AX206" s="144">
        <f>VLOOKUP(B206,'Cronog. e Histog.'!$B$213:$BU$688,72,0)</f>
        <v>0</v>
      </c>
      <c r="AY206" s="144">
        <f>$AW206*$AX206*Dashboard!$D$15</f>
        <v>0</v>
      </c>
      <c r="AZ206" s="144">
        <f>VLOOKUP(B206,Precificação!$B$96:$BM$533,54,0)</f>
        <v>0</v>
      </c>
      <c r="BA206" s="144">
        <f>VLOOKUP(B206,Precificação!$B$96:$BR$533,58,0)</f>
        <v>0</v>
      </c>
      <c r="BB206" s="144">
        <f>VLOOKUP(B206,Precificação!$B$96:$BW$533,62,0)</f>
        <v>0</v>
      </c>
      <c r="BC206" s="144">
        <f t="shared" si="124"/>
        <v>0</v>
      </c>
      <c r="BD206" s="109">
        <f>IFERROR(VLOOKUP(B206,Precificação!$B$96:$S$533,13,0),0)</f>
        <v>0</v>
      </c>
      <c r="BE206" s="109">
        <f>IFERROR(VLOOKUP(B206,Precificação!$B$96:$U$533,15,0)/(Precificação!$U$4+Precificação!$U$91),0)*Dashboard!$T$3</f>
        <v>0</v>
      </c>
    </row>
    <row r="207" spans="2:57" ht="12" customHeight="1" outlineLevel="1">
      <c r="B207" s="137" t="str">
        <f>Precificação!B189</f>
        <v>ENG/ARQ JR. - Equipe_01</v>
      </c>
      <c r="D207" s="512"/>
      <c r="E207" s="143" t="str">
        <f>IF('Cronog. e Histog.'!G314&gt;0,'Cronog. e Histog.'!G314,"")</f>
        <v>ENG/ARQ JR.</v>
      </c>
      <c r="G207" s="179">
        <f t="shared" si="111"/>
        <v>0</v>
      </c>
      <c r="H207" s="110">
        <f>IFERROR(INDEX('Base Salarial'!$D$5:$F$25,MATCH(E207,'Base Salarial'!$G$5:$G$25,0),MATCH(I207,'Base Salarial'!$D$4:$F$4,0)),"")</f>
        <v>14000</v>
      </c>
      <c r="I207" s="78" t="str">
        <f>IFERROR(INDEX(Tarefas!$BQ$29:$FK$29,MATCH(E207,Tarefas!$BQ$30:$FK$30,0)),"")</f>
        <v>PJ</v>
      </c>
      <c r="J207" s="81">
        <f>IF(I207="horista",H207*Dashboard!$D$15,IF(OR(I207="Mensalista",I207="PJ"),H207,))</f>
        <v>14000</v>
      </c>
      <c r="K207" s="81">
        <f>IF(I207="PJ",J207,ROUND(J207*(1+Dashboard!$D$22),2))</f>
        <v>14000</v>
      </c>
      <c r="L207" s="77"/>
      <c r="M207" s="180"/>
      <c r="P207" s="109">
        <f>IF($BD207&gt;0,(((($BD207/Dashboard!$D$15)*(1+Precificação!$W$589)))+$P$26)*(1+Dashboard!$D$35),0)</f>
        <v>0</v>
      </c>
      <c r="Q207" s="109">
        <f>IF($BD207&gt;0,(((($BD207/Dashboard!$D$23)+(1+Precificação!$W$589))*(1+Q$28))+$P$26)*(1+Dashboard!$D$35),0)</f>
        <v>0</v>
      </c>
      <c r="R207" s="109">
        <f>IF($BD207&gt;0,(((($BD207/Dashboard!$D$23)+(1+Precificação!$W$589))*(1+R$28))+$P$26)*(1+Dashboard!$D$35),0)</f>
        <v>0</v>
      </c>
      <c r="S207" s="109">
        <f>IF($BD207&gt;0,(((($BD207/Dashboard!$D$23)+(1+Precificação!$W$589))*(1+S$28))+$P$26)*(1+Dashboard!$D$35),0)</f>
        <v>0</v>
      </c>
      <c r="U207" s="109">
        <f t="shared" si="112"/>
        <v>0</v>
      </c>
      <c r="V207" s="109">
        <f t="shared" si="113"/>
        <v>0</v>
      </c>
      <c r="W207" s="109">
        <f t="shared" si="114"/>
        <v>0</v>
      </c>
      <c r="X207" s="109">
        <f t="shared" si="115"/>
        <v>0</v>
      </c>
      <c r="AA207" s="109">
        <f>IF($BD207&gt;0,(((($BD207/Dashboard!$D$23)*(1+Precificação!$W$589)))+$AA$26)*(1+Dashboard!$D$35),0)</f>
        <v>0</v>
      </c>
      <c r="AB207" s="109">
        <f>IF($BD207&gt;0,(((($BD207/Dashboard!$D$23)*(1+Precificação!$W$589))*(1+AB$28))+$AA$26)*(1+Dashboard!$D$35),0)</f>
        <v>0</v>
      </c>
      <c r="AC207" s="109">
        <f>IF($BD207&gt;0,(((($BD207/Dashboard!$D$23)*(1+Precificação!$W$589))*(1+AC$28))+$AA$26)*(1+Dashboard!$D$35),0)</f>
        <v>0</v>
      </c>
      <c r="AD207" s="109">
        <f>IF($BD207&gt;0,(((($BD207/Dashboard!$D$23)*(1+Precificação!$W$589))*(1+AD$28))+$AA$26)*(1+Dashboard!$D$35),0)</f>
        <v>0</v>
      </c>
      <c r="AF207" s="109">
        <f t="shared" si="116"/>
        <v>0</v>
      </c>
      <c r="AG207" s="109">
        <f t="shared" si="117"/>
        <v>0</v>
      </c>
      <c r="AH207" s="109">
        <f t="shared" si="118"/>
        <v>0</v>
      </c>
      <c r="AI207" s="109">
        <f t="shared" si="119"/>
        <v>0</v>
      </c>
      <c r="AL207" s="109">
        <f>IF($BD207&gt;0,(((($BD207/Dashboard!$D$23)*(1+Precificação!$W$589)))+$AL$26)*(1+Dashboard!$D$35),0)</f>
        <v>0</v>
      </c>
      <c r="AM207" s="109">
        <f>IF($BD207&gt;0,(((($BD207/Dashboard!$D$23)*(1+Precificação!$W$589))*(1+AM$28))+$AA$26)*(1+Dashboard!$D$35),0)</f>
        <v>0</v>
      </c>
      <c r="AN207" s="109">
        <f>IF($BD207&gt;0,(((($BD207/Dashboard!$D$23)*(1+Precificação!$W$589))*(1+AN$28))+$AA$26)*(1+Dashboard!$D$35),0)</f>
        <v>0</v>
      </c>
      <c r="AO207" s="109">
        <f>IF($BD207&gt;0,(((($BD207/Dashboard!$D$23)*(1+Precificação!$W$589))*(1+AO$28))+$AA$26)*(1+Dashboard!$D$35),0)</f>
        <v>0</v>
      </c>
      <c r="AQ207" s="109">
        <f t="shared" si="120"/>
        <v>0</v>
      </c>
      <c r="AR207" s="109">
        <f t="shared" si="121"/>
        <v>0</v>
      </c>
      <c r="AS207" s="109">
        <f t="shared" si="122"/>
        <v>0</v>
      </c>
      <c r="AT207" s="109">
        <f t="shared" si="123"/>
        <v>0</v>
      </c>
      <c r="AW207" s="144">
        <f>VLOOKUP(B207,'Cronog. e Histog.'!$B$213:$BT$688,71,0)</f>
        <v>0</v>
      </c>
      <c r="AX207" s="144">
        <f>VLOOKUP(B207,'Cronog. e Histog.'!$B$213:$BU$688,72,0)</f>
        <v>0</v>
      </c>
      <c r="AY207" s="144">
        <f>$AW207*$AX207*Dashboard!$D$15</f>
        <v>0</v>
      </c>
      <c r="AZ207" s="144">
        <f>VLOOKUP(B207,Precificação!$B$96:$BM$533,54,0)</f>
        <v>0</v>
      </c>
      <c r="BA207" s="144">
        <f>VLOOKUP(B207,Precificação!$B$96:$BR$533,58,0)</f>
        <v>0</v>
      </c>
      <c r="BB207" s="144">
        <f>VLOOKUP(B207,Precificação!$B$96:$BW$533,62,0)</f>
        <v>0</v>
      </c>
      <c r="BC207" s="144">
        <f t="shared" si="124"/>
        <v>0</v>
      </c>
      <c r="BD207" s="109">
        <f>IFERROR(VLOOKUP(B207,Precificação!$B$96:$S$533,13,0),0)</f>
        <v>0</v>
      </c>
      <c r="BE207" s="109">
        <f>IFERROR(VLOOKUP(B207,Precificação!$B$96:$U$533,15,0)/(Precificação!$U$4+Precificação!$U$91),0)*Dashboard!$T$3</f>
        <v>0</v>
      </c>
    </row>
    <row r="208" spans="2:57" ht="12" customHeight="1" outlineLevel="1">
      <c r="B208" s="137" t="str">
        <f>Precificação!B190</f>
        <v>AN SR. ENG/ARQ - Equipe_01</v>
      </c>
      <c r="D208" s="512"/>
      <c r="E208" s="143" t="str">
        <f>IF('Cronog. e Histog.'!G315&gt;0,'Cronog. e Histog.'!G315,"")</f>
        <v>AN SR. ENG/ARQ</v>
      </c>
      <c r="G208" s="179">
        <f t="shared" si="111"/>
        <v>0</v>
      </c>
      <c r="H208" s="110">
        <f>IFERROR(INDEX('Base Salarial'!$D$5:$F$25,MATCH(E208,'Base Salarial'!$G$5:$G$25,0),MATCH(I208,'Base Salarial'!$D$4:$F$4,0)),"")</f>
        <v>7500</v>
      </c>
      <c r="I208" s="78" t="str">
        <f>IFERROR(INDEX(Tarefas!$BQ$29:$FK$29,MATCH(E208,Tarefas!$BQ$30:$FK$30,0)),"")</f>
        <v>Mensalista</v>
      </c>
      <c r="J208" s="81">
        <f>IF(I208="horista",H208*Dashboard!$D$15,IF(OR(I208="Mensalista",I208="PJ"),H208,))</f>
        <v>7500</v>
      </c>
      <c r="K208" s="81">
        <f>IF(I208="PJ",J208,ROUND(J208*(1+Dashboard!$D$22),2))</f>
        <v>7950</v>
      </c>
      <c r="L208" s="77"/>
      <c r="M208" s="180"/>
      <c r="P208" s="109">
        <f>IF($BD208&gt;0,(((($BD208/Dashboard!$D$15)*(1+Precificação!$W$589)))+$P$26)*(1+Dashboard!$D$35),0)</f>
        <v>0</v>
      </c>
      <c r="Q208" s="109">
        <f>IF($BD208&gt;0,(((($BD208/Dashboard!$D$23)+(1+Precificação!$W$589))*(1+Q$28))+$P$26)*(1+Dashboard!$D$35),0)</f>
        <v>0</v>
      </c>
      <c r="R208" s="109">
        <f>IF($BD208&gt;0,(((($BD208/Dashboard!$D$23)+(1+Precificação!$W$589))*(1+R$28))+$P$26)*(1+Dashboard!$D$35),0)</f>
        <v>0</v>
      </c>
      <c r="S208" s="109">
        <f>IF($BD208&gt;0,(((($BD208/Dashboard!$D$23)+(1+Precificação!$W$589))*(1+S$28))+$P$26)*(1+Dashboard!$D$35),0)</f>
        <v>0</v>
      </c>
      <c r="U208" s="109">
        <f t="shared" si="112"/>
        <v>0</v>
      </c>
      <c r="V208" s="109">
        <f t="shared" si="113"/>
        <v>0</v>
      </c>
      <c r="W208" s="109">
        <f t="shared" si="114"/>
        <v>0</v>
      </c>
      <c r="X208" s="109">
        <f t="shared" si="115"/>
        <v>0</v>
      </c>
      <c r="AA208" s="109">
        <f>IF($BD208&gt;0,(((($BD208/Dashboard!$D$23)*(1+Precificação!$W$589)))+$AA$26)*(1+Dashboard!$D$35),0)</f>
        <v>0</v>
      </c>
      <c r="AB208" s="109">
        <f>IF($BD208&gt;0,(((($BD208/Dashboard!$D$23)*(1+Precificação!$W$589))*(1+AB$28))+$AA$26)*(1+Dashboard!$D$35),0)</f>
        <v>0</v>
      </c>
      <c r="AC208" s="109">
        <f>IF($BD208&gt;0,(((($BD208/Dashboard!$D$23)*(1+Precificação!$W$589))*(1+AC$28))+$AA$26)*(1+Dashboard!$D$35),0)</f>
        <v>0</v>
      </c>
      <c r="AD208" s="109">
        <f>IF($BD208&gt;0,(((($BD208/Dashboard!$D$23)*(1+Precificação!$W$589))*(1+AD$28))+$AA$26)*(1+Dashboard!$D$35),0)</f>
        <v>0</v>
      </c>
      <c r="AF208" s="109">
        <f t="shared" si="116"/>
        <v>0</v>
      </c>
      <c r="AG208" s="109">
        <f t="shared" si="117"/>
        <v>0</v>
      </c>
      <c r="AH208" s="109">
        <f t="shared" si="118"/>
        <v>0</v>
      </c>
      <c r="AI208" s="109">
        <f t="shared" si="119"/>
        <v>0</v>
      </c>
      <c r="AL208" s="109">
        <f>IF($BD208&gt;0,(((($BD208/Dashboard!$D$23)*(1+Precificação!$W$589)))+$AL$26)*(1+Dashboard!$D$35),0)</f>
        <v>0</v>
      </c>
      <c r="AM208" s="109">
        <f>IF($BD208&gt;0,(((($BD208/Dashboard!$D$23)*(1+Precificação!$W$589))*(1+AM$28))+$AA$26)*(1+Dashboard!$D$35),0)</f>
        <v>0</v>
      </c>
      <c r="AN208" s="109">
        <f>IF($BD208&gt;0,(((($BD208/Dashboard!$D$23)*(1+Precificação!$W$589))*(1+AN$28))+$AA$26)*(1+Dashboard!$D$35),0)</f>
        <v>0</v>
      </c>
      <c r="AO208" s="109">
        <f>IF($BD208&gt;0,(((($BD208/Dashboard!$D$23)*(1+Precificação!$W$589))*(1+AO$28))+$AA$26)*(1+Dashboard!$D$35),0)</f>
        <v>0</v>
      </c>
      <c r="AQ208" s="109">
        <f t="shared" si="120"/>
        <v>0</v>
      </c>
      <c r="AR208" s="109">
        <f t="shared" si="121"/>
        <v>0</v>
      </c>
      <c r="AS208" s="109">
        <f t="shared" si="122"/>
        <v>0</v>
      </c>
      <c r="AT208" s="109">
        <f t="shared" si="123"/>
        <v>0</v>
      </c>
      <c r="AW208" s="144">
        <f>VLOOKUP(B208,'Cronog. e Histog.'!$B$213:$BT$688,71,0)</f>
        <v>0</v>
      </c>
      <c r="AX208" s="144">
        <f>VLOOKUP(B208,'Cronog. e Histog.'!$B$213:$BU$688,72,0)</f>
        <v>0</v>
      </c>
      <c r="AY208" s="144">
        <f>$AW208*$AX208*Dashboard!$D$15</f>
        <v>0</v>
      </c>
      <c r="AZ208" s="144">
        <f>VLOOKUP(B208,Precificação!$B$96:$BM$533,54,0)</f>
        <v>0</v>
      </c>
      <c r="BA208" s="144">
        <f>VLOOKUP(B208,Precificação!$B$96:$BR$533,58,0)</f>
        <v>0</v>
      </c>
      <c r="BB208" s="144">
        <f>VLOOKUP(B208,Precificação!$B$96:$BW$533,62,0)</f>
        <v>0</v>
      </c>
      <c r="BC208" s="144">
        <f t="shared" si="124"/>
        <v>0</v>
      </c>
      <c r="BD208" s="109">
        <f>IFERROR(VLOOKUP(B208,Precificação!$B$96:$S$533,13,0),0)</f>
        <v>0</v>
      </c>
      <c r="BE208" s="109">
        <f>IFERROR(VLOOKUP(B208,Precificação!$B$96:$U$533,15,0)/(Precificação!$U$4+Precificação!$U$91),0)*Dashboard!$T$3</f>
        <v>0</v>
      </c>
    </row>
    <row r="209" spans="2:57" ht="12" customHeight="1" outlineLevel="1">
      <c r="B209" s="137" t="str">
        <f>Precificação!B191</f>
        <v>AN PL. ENG/ARQ - Equipe_01</v>
      </c>
      <c r="D209" s="512"/>
      <c r="E209" s="143" t="str">
        <f>IF('Cronog. e Histog.'!G316&gt;0,'Cronog. e Histog.'!G316,"")</f>
        <v>AN PL. ENG/ARQ</v>
      </c>
      <c r="G209" s="179">
        <f t="shared" si="111"/>
        <v>0</v>
      </c>
      <c r="H209" s="110">
        <f>IFERROR(INDEX('Base Salarial'!$D$5:$F$25,MATCH(E209,'Base Salarial'!$G$5:$G$25,0),MATCH(I209,'Base Salarial'!$D$4:$F$4,0)),"")</f>
        <v>6000</v>
      </c>
      <c r="I209" s="78" t="str">
        <f>IFERROR(INDEX(Tarefas!$BQ$29:$FK$29,MATCH(E209,Tarefas!$BQ$30:$FK$30,0)),"")</f>
        <v>Mensalista</v>
      </c>
      <c r="J209" s="81">
        <f>IF(I209="horista",H209*Dashboard!$D$15,IF(OR(I209="Mensalista",I209="PJ"),H209,))</f>
        <v>6000</v>
      </c>
      <c r="K209" s="81">
        <f>IF(I209="PJ",J209,ROUND(J209*(1+Dashboard!$D$22),2))</f>
        <v>6360</v>
      </c>
      <c r="L209" s="77"/>
      <c r="M209" s="180"/>
      <c r="P209" s="109">
        <f>IF($BD209&gt;0,(((($BD209/Dashboard!$D$15)*(1+Precificação!$W$589)))+$P$26)*(1+Dashboard!$D$35),0)</f>
        <v>0</v>
      </c>
      <c r="Q209" s="109">
        <f>IF($BD209&gt;0,(((($BD209/Dashboard!$D$23)+(1+Precificação!$W$589))*(1+Q$28))+$P$26)*(1+Dashboard!$D$35),0)</f>
        <v>0</v>
      </c>
      <c r="R209" s="109">
        <f>IF($BD209&gt;0,(((($BD209/Dashboard!$D$23)+(1+Precificação!$W$589))*(1+R$28))+$P$26)*(1+Dashboard!$D$35),0)</f>
        <v>0</v>
      </c>
      <c r="S209" s="109">
        <f>IF($BD209&gt;0,(((($BD209/Dashboard!$D$23)+(1+Precificação!$W$589))*(1+S$28))+$P$26)*(1+Dashboard!$D$35),0)</f>
        <v>0</v>
      </c>
      <c r="U209" s="109">
        <f t="shared" si="112"/>
        <v>0</v>
      </c>
      <c r="V209" s="109">
        <f t="shared" si="113"/>
        <v>0</v>
      </c>
      <c r="W209" s="109">
        <f t="shared" si="114"/>
        <v>0</v>
      </c>
      <c r="X209" s="109">
        <f t="shared" si="115"/>
        <v>0</v>
      </c>
      <c r="AA209" s="109">
        <f>IF($BD209&gt;0,(((($BD209/Dashboard!$D$23)*(1+Precificação!$W$589)))+$AA$26)*(1+Dashboard!$D$35),0)</f>
        <v>0</v>
      </c>
      <c r="AB209" s="109">
        <f>IF($BD209&gt;0,(((($BD209/Dashboard!$D$23)*(1+Precificação!$W$589))*(1+AB$28))+$AA$26)*(1+Dashboard!$D$35),0)</f>
        <v>0</v>
      </c>
      <c r="AC209" s="109">
        <f>IF($BD209&gt;0,(((($BD209/Dashboard!$D$23)*(1+Precificação!$W$589))*(1+AC$28))+$AA$26)*(1+Dashboard!$D$35),0)</f>
        <v>0</v>
      </c>
      <c r="AD209" s="109">
        <f>IF($BD209&gt;0,(((($BD209/Dashboard!$D$23)*(1+Precificação!$W$589))*(1+AD$28))+$AA$26)*(1+Dashboard!$D$35),0)</f>
        <v>0</v>
      </c>
      <c r="AF209" s="109">
        <f t="shared" si="116"/>
        <v>0</v>
      </c>
      <c r="AG209" s="109">
        <f t="shared" si="117"/>
        <v>0</v>
      </c>
      <c r="AH209" s="109">
        <f t="shared" si="118"/>
        <v>0</v>
      </c>
      <c r="AI209" s="109">
        <f t="shared" si="119"/>
        <v>0</v>
      </c>
      <c r="AL209" s="109">
        <f>IF($BD209&gt;0,(((($BD209/Dashboard!$D$23)*(1+Precificação!$W$589)))+$AL$26)*(1+Dashboard!$D$35),0)</f>
        <v>0</v>
      </c>
      <c r="AM209" s="109">
        <f>IF($BD209&gt;0,(((($BD209/Dashboard!$D$23)*(1+Precificação!$W$589))*(1+AM$28))+$AA$26)*(1+Dashboard!$D$35),0)</f>
        <v>0</v>
      </c>
      <c r="AN209" s="109">
        <f>IF($BD209&gt;0,(((($BD209/Dashboard!$D$23)*(1+Precificação!$W$589))*(1+AN$28))+$AA$26)*(1+Dashboard!$D$35),0)</f>
        <v>0</v>
      </c>
      <c r="AO209" s="109">
        <f>IF($BD209&gt;0,(((($BD209/Dashboard!$D$23)*(1+Precificação!$W$589))*(1+AO$28))+$AA$26)*(1+Dashboard!$D$35),0)</f>
        <v>0</v>
      </c>
      <c r="AQ209" s="109">
        <f t="shared" si="120"/>
        <v>0</v>
      </c>
      <c r="AR209" s="109">
        <f t="shared" si="121"/>
        <v>0</v>
      </c>
      <c r="AS209" s="109">
        <f t="shared" si="122"/>
        <v>0</v>
      </c>
      <c r="AT209" s="109">
        <f t="shared" si="123"/>
        <v>0</v>
      </c>
      <c r="AW209" s="144">
        <f>VLOOKUP(B209,'Cronog. e Histog.'!$B$213:$BT$688,71,0)</f>
        <v>0</v>
      </c>
      <c r="AX209" s="144">
        <f>VLOOKUP(B209,'Cronog. e Histog.'!$B$213:$BU$688,72,0)</f>
        <v>0</v>
      </c>
      <c r="AY209" s="144">
        <f>$AW209*$AX209*Dashboard!$D$15</f>
        <v>0</v>
      </c>
      <c r="AZ209" s="144">
        <f>VLOOKUP(B209,Precificação!$B$96:$BM$533,54,0)</f>
        <v>0</v>
      </c>
      <c r="BA209" s="144">
        <f>VLOOKUP(B209,Precificação!$B$96:$BR$533,58,0)</f>
        <v>0</v>
      </c>
      <c r="BB209" s="144">
        <f>VLOOKUP(B209,Precificação!$B$96:$BW$533,62,0)</f>
        <v>0</v>
      </c>
      <c r="BC209" s="144">
        <f t="shared" si="124"/>
        <v>0</v>
      </c>
      <c r="BD209" s="109">
        <f>IFERROR(VLOOKUP(B209,Precificação!$B$96:$S$533,13,0),0)</f>
        <v>0</v>
      </c>
      <c r="BE209" s="109">
        <f>IFERROR(VLOOKUP(B209,Precificação!$B$96:$U$533,15,0)/(Precificação!$U$4+Precificação!$U$91),0)*Dashboard!$T$3</f>
        <v>0</v>
      </c>
    </row>
    <row r="210" spans="2:57" ht="12" customHeight="1" outlineLevel="1">
      <c r="B210" s="137" t="str">
        <f>Precificação!B192</f>
        <v>AN JR. ENG/ARQ - Equipe_01</v>
      </c>
      <c r="D210" s="512"/>
      <c r="E210" s="143" t="str">
        <f>IF('Cronog. e Histog.'!G317&gt;0,'Cronog. e Histog.'!G317,"")</f>
        <v>AN JR. ENG/ARQ</v>
      </c>
      <c r="G210" s="179">
        <f t="shared" si="111"/>
        <v>0</v>
      </c>
      <c r="H210" s="110">
        <f>IFERROR(INDEX('Base Salarial'!$D$5:$F$25,MATCH(E210,'Base Salarial'!$G$5:$G$25,0),MATCH(I210,'Base Salarial'!$D$4:$F$4,0)),"")</f>
        <v>4500</v>
      </c>
      <c r="I210" s="78" t="str">
        <f>IFERROR(INDEX(Tarefas!$BQ$29:$FK$29,MATCH(E210,Tarefas!$BQ$30:$FK$30,0)),"")</f>
        <v>Mensalista</v>
      </c>
      <c r="J210" s="81">
        <f>IF(I210="horista",H210*Dashboard!$D$15,IF(OR(I210="Mensalista",I210="PJ"),H210,))</f>
        <v>4500</v>
      </c>
      <c r="K210" s="81">
        <f>IF(I210="PJ",J210,ROUND(J210*(1+Dashboard!$D$22),2))</f>
        <v>4770</v>
      </c>
      <c r="L210" s="77"/>
      <c r="M210" s="180"/>
      <c r="P210" s="109">
        <f>IF($BD210&gt;0,(((($BD210/Dashboard!$D$15)*(1+Precificação!$W$589)))+$P$26)*(1+Dashboard!$D$35),0)</f>
        <v>0</v>
      </c>
      <c r="Q210" s="109">
        <f>IF($BD210&gt;0,(((($BD210/Dashboard!$D$23)+(1+Precificação!$W$589))*(1+Q$28))+$P$26)*(1+Dashboard!$D$35),0)</f>
        <v>0</v>
      </c>
      <c r="R210" s="109">
        <f>IF($BD210&gt;0,(((($BD210/Dashboard!$D$23)+(1+Precificação!$W$589))*(1+R$28))+$P$26)*(1+Dashboard!$D$35),0)</f>
        <v>0</v>
      </c>
      <c r="S210" s="109">
        <f>IF($BD210&gt;0,(((($BD210/Dashboard!$D$23)+(1+Precificação!$W$589))*(1+S$28))+$P$26)*(1+Dashboard!$D$35),0)</f>
        <v>0</v>
      </c>
      <c r="U210" s="109">
        <f t="shared" si="112"/>
        <v>0</v>
      </c>
      <c r="V210" s="109">
        <f t="shared" si="113"/>
        <v>0</v>
      </c>
      <c r="W210" s="109">
        <f t="shared" si="114"/>
        <v>0</v>
      </c>
      <c r="X210" s="109">
        <f t="shared" si="115"/>
        <v>0</v>
      </c>
      <c r="AA210" s="109">
        <f>IF($BD210&gt;0,(((($BD210/Dashboard!$D$23)*(1+Precificação!$W$589)))+$AA$26)*(1+Dashboard!$D$35),0)</f>
        <v>0</v>
      </c>
      <c r="AB210" s="109">
        <f>IF($BD210&gt;0,(((($BD210/Dashboard!$D$23)*(1+Precificação!$W$589))*(1+AB$28))+$AA$26)*(1+Dashboard!$D$35),0)</f>
        <v>0</v>
      </c>
      <c r="AC210" s="109">
        <f>IF($BD210&gt;0,(((($BD210/Dashboard!$D$23)*(1+Precificação!$W$589))*(1+AC$28))+$AA$26)*(1+Dashboard!$D$35),0)</f>
        <v>0</v>
      </c>
      <c r="AD210" s="109">
        <f>IF($BD210&gt;0,(((($BD210/Dashboard!$D$23)*(1+Precificação!$W$589))*(1+AD$28))+$AA$26)*(1+Dashboard!$D$35),0)</f>
        <v>0</v>
      </c>
      <c r="AF210" s="109">
        <f t="shared" si="116"/>
        <v>0</v>
      </c>
      <c r="AG210" s="109">
        <f t="shared" si="117"/>
        <v>0</v>
      </c>
      <c r="AH210" s="109">
        <f t="shared" si="118"/>
        <v>0</v>
      </c>
      <c r="AI210" s="109">
        <f t="shared" si="119"/>
        <v>0</v>
      </c>
      <c r="AL210" s="109">
        <f>IF($BD210&gt;0,(((($BD210/Dashboard!$D$23)*(1+Precificação!$W$589)))+$AL$26)*(1+Dashboard!$D$35),0)</f>
        <v>0</v>
      </c>
      <c r="AM210" s="109">
        <f>IF($BD210&gt;0,(((($BD210/Dashboard!$D$23)*(1+Precificação!$W$589))*(1+AM$28))+$AA$26)*(1+Dashboard!$D$35),0)</f>
        <v>0</v>
      </c>
      <c r="AN210" s="109">
        <f>IF($BD210&gt;0,(((($BD210/Dashboard!$D$23)*(1+Precificação!$W$589))*(1+AN$28))+$AA$26)*(1+Dashboard!$D$35),0)</f>
        <v>0</v>
      </c>
      <c r="AO210" s="109">
        <f>IF($BD210&gt;0,(((($BD210/Dashboard!$D$23)*(1+Precificação!$W$589))*(1+AO$28))+$AA$26)*(1+Dashboard!$D$35),0)</f>
        <v>0</v>
      </c>
      <c r="AQ210" s="109">
        <f t="shared" si="120"/>
        <v>0</v>
      </c>
      <c r="AR210" s="109">
        <f t="shared" si="121"/>
        <v>0</v>
      </c>
      <c r="AS210" s="109">
        <f t="shared" si="122"/>
        <v>0</v>
      </c>
      <c r="AT210" s="109">
        <f t="shared" si="123"/>
        <v>0</v>
      </c>
      <c r="AW210" s="144">
        <f>VLOOKUP(B210,'Cronog. e Histog.'!$B$213:$BT$688,71,0)</f>
        <v>0</v>
      </c>
      <c r="AX210" s="144">
        <f>VLOOKUP(B210,'Cronog. e Histog.'!$B$213:$BU$688,72,0)</f>
        <v>0</v>
      </c>
      <c r="AY210" s="144">
        <f>$AW210*$AX210*Dashboard!$D$15</f>
        <v>0</v>
      </c>
      <c r="AZ210" s="144">
        <f>VLOOKUP(B210,Precificação!$B$96:$BM$533,54,0)</f>
        <v>0</v>
      </c>
      <c r="BA210" s="144">
        <f>VLOOKUP(B210,Precificação!$B$96:$BR$533,58,0)</f>
        <v>0</v>
      </c>
      <c r="BB210" s="144">
        <f>VLOOKUP(B210,Precificação!$B$96:$BW$533,62,0)</f>
        <v>0</v>
      </c>
      <c r="BC210" s="144">
        <f t="shared" si="124"/>
        <v>0</v>
      </c>
      <c r="BD210" s="109">
        <f>IFERROR(VLOOKUP(B210,Precificação!$B$96:$S$533,13,0),0)</f>
        <v>0</v>
      </c>
      <c r="BE210" s="109">
        <f>IFERROR(VLOOKUP(B210,Precificação!$B$96:$U$533,15,0)/(Precificação!$U$4+Precificação!$U$91),0)*Dashboard!$T$3</f>
        <v>0</v>
      </c>
    </row>
    <row r="211" spans="2:57" ht="12" customHeight="1" outlineLevel="1">
      <c r="B211" s="137" t="str">
        <f>Precificação!B193</f>
        <v>AN SR. ADM/CRP - Equipe_01</v>
      </c>
      <c r="D211" s="512"/>
      <c r="E211" s="143" t="str">
        <f>IF('Cronog. e Histog.'!G318&gt;0,'Cronog. e Histog.'!G318,"")</f>
        <v>AN SR. ADM/CRP</v>
      </c>
      <c r="G211" s="179">
        <f t="shared" si="111"/>
        <v>0</v>
      </c>
      <c r="H211" s="110">
        <f>IFERROR(INDEX('Base Salarial'!$D$5:$F$25,MATCH(E211,'Base Salarial'!$G$5:$G$25,0),MATCH(I211,'Base Salarial'!$D$4:$F$4,0)),"")</f>
        <v>7000</v>
      </c>
      <c r="I211" s="78" t="str">
        <f>IFERROR(INDEX(Tarefas!$BQ$29:$FK$29,MATCH(E211,Tarefas!$BQ$30:$FK$30,0)),"")</f>
        <v>Mensalista</v>
      </c>
      <c r="J211" s="81">
        <f>IF(I211="horista",H211*Dashboard!$D$15,IF(OR(I211="Mensalista",I211="PJ"),H211,))</f>
        <v>7000</v>
      </c>
      <c r="K211" s="81">
        <f>IF(I211="PJ",J211,ROUND(J211*(1+Dashboard!$D$22),2))</f>
        <v>7420</v>
      </c>
      <c r="L211" s="77"/>
      <c r="M211" s="180"/>
      <c r="P211" s="109">
        <f>IF($BD211&gt;0,(((($BD211/Dashboard!$D$15)*(1+Precificação!$W$589)))+$P$26)*(1+Dashboard!$D$35),0)</f>
        <v>0</v>
      </c>
      <c r="Q211" s="109">
        <f>IF($BD211&gt;0,(((($BD211/Dashboard!$D$23)+(1+Precificação!$W$589))*(1+Q$28))+$P$26)*(1+Dashboard!$D$35),0)</f>
        <v>0</v>
      </c>
      <c r="R211" s="109">
        <f>IF($BD211&gt;0,(((($BD211/Dashboard!$D$23)+(1+Precificação!$W$589))*(1+R$28))+$P$26)*(1+Dashboard!$D$35),0)</f>
        <v>0</v>
      </c>
      <c r="S211" s="109">
        <f>IF($BD211&gt;0,(((($BD211/Dashboard!$D$23)+(1+Precificação!$W$589))*(1+S$28))+$P$26)*(1+Dashboard!$D$35),0)</f>
        <v>0</v>
      </c>
      <c r="U211" s="109">
        <f t="shared" si="112"/>
        <v>0</v>
      </c>
      <c r="V211" s="109">
        <f t="shared" si="113"/>
        <v>0</v>
      </c>
      <c r="W211" s="109">
        <f t="shared" si="114"/>
        <v>0</v>
      </c>
      <c r="X211" s="109">
        <f t="shared" si="115"/>
        <v>0</v>
      </c>
      <c r="AA211" s="109">
        <f>IF($BD211&gt;0,(((($BD211/Dashboard!$D$23)*(1+Precificação!$W$589)))+$AA$26)*(1+Dashboard!$D$35),0)</f>
        <v>0</v>
      </c>
      <c r="AB211" s="109">
        <f>IF($BD211&gt;0,(((($BD211/Dashboard!$D$23)*(1+Precificação!$W$589))*(1+AB$28))+$AA$26)*(1+Dashboard!$D$35),0)</f>
        <v>0</v>
      </c>
      <c r="AC211" s="109">
        <f>IF($BD211&gt;0,(((($BD211/Dashboard!$D$23)*(1+Precificação!$W$589))*(1+AC$28))+$AA$26)*(1+Dashboard!$D$35),0)</f>
        <v>0</v>
      </c>
      <c r="AD211" s="109">
        <f>IF($BD211&gt;0,(((($BD211/Dashboard!$D$23)*(1+Precificação!$W$589))*(1+AD$28))+$AA$26)*(1+Dashboard!$D$35),0)</f>
        <v>0</v>
      </c>
      <c r="AF211" s="109">
        <f t="shared" si="116"/>
        <v>0</v>
      </c>
      <c r="AG211" s="109">
        <f t="shared" si="117"/>
        <v>0</v>
      </c>
      <c r="AH211" s="109">
        <f t="shared" si="118"/>
        <v>0</v>
      </c>
      <c r="AI211" s="109">
        <f t="shared" si="119"/>
        <v>0</v>
      </c>
      <c r="AL211" s="109">
        <f>IF($BD211&gt;0,(((($BD211/Dashboard!$D$23)*(1+Precificação!$W$589)))+$AL$26)*(1+Dashboard!$D$35),0)</f>
        <v>0</v>
      </c>
      <c r="AM211" s="109">
        <f>IF($BD211&gt;0,(((($BD211/Dashboard!$D$23)*(1+Precificação!$W$589))*(1+AM$28))+$AA$26)*(1+Dashboard!$D$35),0)</f>
        <v>0</v>
      </c>
      <c r="AN211" s="109">
        <f>IF($BD211&gt;0,(((($BD211/Dashboard!$D$23)*(1+Precificação!$W$589))*(1+AN$28))+$AA$26)*(1+Dashboard!$D$35),0)</f>
        <v>0</v>
      </c>
      <c r="AO211" s="109">
        <f>IF($BD211&gt;0,(((($BD211/Dashboard!$D$23)*(1+Precificação!$W$589))*(1+AO$28))+$AA$26)*(1+Dashboard!$D$35),0)</f>
        <v>0</v>
      </c>
      <c r="AQ211" s="109">
        <f t="shared" si="120"/>
        <v>0</v>
      </c>
      <c r="AR211" s="109">
        <f t="shared" si="121"/>
        <v>0</v>
      </c>
      <c r="AS211" s="109">
        <f t="shared" si="122"/>
        <v>0</v>
      </c>
      <c r="AT211" s="109">
        <f t="shared" si="123"/>
        <v>0</v>
      </c>
      <c r="AW211" s="144">
        <f>VLOOKUP(B211,'Cronog. e Histog.'!$B$213:$BT$688,71,0)</f>
        <v>0</v>
      </c>
      <c r="AX211" s="144">
        <f>VLOOKUP(B211,'Cronog. e Histog.'!$B$213:$BU$688,72,0)</f>
        <v>0</v>
      </c>
      <c r="AY211" s="144">
        <f>$AW211*$AX211*Dashboard!$D$15</f>
        <v>0</v>
      </c>
      <c r="AZ211" s="144">
        <f>VLOOKUP(B211,Precificação!$B$96:$BM$533,54,0)</f>
        <v>0</v>
      </c>
      <c r="BA211" s="144">
        <f>VLOOKUP(B211,Precificação!$B$96:$BR$533,58,0)</f>
        <v>0</v>
      </c>
      <c r="BB211" s="144">
        <f>VLOOKUP(B211,Precificação!$B$96:$BW$533,62,0)</f>
        <v>0</v>
      </c>
      <c r="BC211" s="144">
        <f t="shared" si="124"/>
        <v>0</v>
      </c>
      <c r="BD211" s="109">
        <f>IFERROR(VLOOKUP(B211,Precificação!$B$96:$S$533,13,0),0)</f>
        <v>0</v>
      </c>
      <c r="BE211" s="109">
        <f>IFERROR(VLOOKUP(B211,Precificação!$B$96:$U$533,15,0)/(Precificação!$U$4+Precificação!$U$91),0)*Dashboard!$T$3</f>
        <v>0</v>
      </c>
    </row>
    <row r="212" spans="2:57" ht="12" customHeight="1" outlineLevel="1">
      <c r="B212" s="137" t="str">
        <f>Precificação!B194</f>
        <v>AN PL. ADM/CRP - Equipe_01</v>
      </c>
      <c r="D212" s="512"/>
      <c r="E212" s="143" t="str">
        <f>IF('Cronog. e Histog.'!G319&gt;0,'Cronog. e Histog.'!G319,"")</f>
        <v>AN PL. ADM/CRP</v>
      </c>
      <c r="G212" s="179">
        <f t="shared" si="111"/>
        <v>0</v>
      </c>
      <c r="H212" s="110">
        <f>IFERROR(INDEX('Base Salarial'!$D$5:$F$25,MATCH(E212,'Base Salarial'!$G$5:$G$25,0),MATCH(I212,'Base Salarial'!$D$4:$F$4,0)),"")</f>
        <v>5000</v>
      </c>
      <c r="I212" s="78" t="str">
        <f>IFERROR(INDEX(Tarefas!$BQ$29:$FK$29,MATCH(E212,Tarefas!$BQ$30:$FK$30,0)),"")</f>
        <v>Mensalista</v>
      </c>
      <c r="J212" s="81">
        <f>IF(I212="horista",H212*Dashboard!$D$15,IF(OR(I212="Mensalista",I212="PJ"),H212,))</f>
        <v>5000</v>
      </c>
      <c r="K212" s="81">
        <f>IF(I212="PJ",J212,ROUND(J212*(1+Dashboard!$D$22),2))</f>
        <v>5300</v>
      </c>
      <c r="L212" s="77"/>
      <c r="M212" s="180"/>
      <c r="P212" s="109">
        <f>IF($BD212&gt;0,(((($BD212/Dashboard!$D$15)*(1+Precificação!$W$589)))+$P$26)*(1+Dashboard!$D$35),0)</f>
        <v>0</v>
      </c>
      <c r="Q212" s="109">
        <f>IF($BD212&gt;0,(((($BD212/Dashboard!$D$23)+(1+Precificação!$W$589))*(1+Q$28))+$P$26)*(1+Dashboard!$D$35),0)</f>
        <v>0</v>
      </c>
      <c r="R212" s="109">
        <f>IF($BD212&gt;0,(((($BD212/Dashboard!$D$23)+(1+Precificação!$W$589))*(1+R$28))+$P$26)*(1+Dashboard!$D$35),0)</f>
        <v>0</v>
      </c>
      <c r="S212" s="109">
        <f>IF($BD212&gt;0,(((($BD212/Dashboard!$D$23)+(1+Precificação!$W$589))*(1+S$28))+$P$26)*(1+Dashboard!$D$35),0)</f>
        <v>0</v>
      </c>
      <c r="U212" s="109">
        <f t="shared" si="112"/>
        <v>0</v>
      </c>
      <c r="V212" s="109">
        <f t="shared" si="113"/>
        <v>0</v>
      </c>
      <c r="W212" s="109">
        <f t="shared" si="114"/>
        <v>0</v>
      </c>
      <c r="X212" s="109">
        <f t="shared" si="115"/>
        <v>0</v>
      </c>
      <c r="AA212" s="109">
        <f>IF($BD212&gt;0,(((($BD212/Dashboard!$D$23)*(1+Precificação!$W$589)))+$AA$26)*(1+Dashboard!$D$35),0)</f>
        <v>0</v>
      </c>
      <c r="AB212" s="109">
        <f>IF($BD212&gt;0,(((($BD212/Dashboard!$D$23)*(1+Precificação!$W$589))*(1+AB$28))+$AA$26)*(1+Dashboard!$D$35),0)</f>
        <v>0</v>
      </c>
      <c r="AC212" s="109">
        <f>IF($BD212&gt;0,(((($BD212/Dashboard!$D$23)*(1+Precificação!$W$589))*(1+AC$28))+$AA$26)*(1+Dashboard!$D$35),0)</f>
        <v>0</v>
      </c>
      <c r="AD212" s="109">
        <f>IF($BD212&gt;0,(((($BD212/Dashboard!$D$23)*(1+Precificação!$W$589))*(1+AD$28))+$AA$26)*(1+Dashboard!$D$35),0)</f>
        <v>0</v>
      </c>
      <c r="AF212" s="109">
        <f t="shared" si="116"/>
        <v>0</v>
      </c>
      <c r="AG212" s="109">
        <f t="shared" si="117"/>
        <v>0</v>
      </c>
      <c r="AH212" s="109">
        <f t="shared" si="118"/>
        <v>0</v>
      </c>
      <c r="AI212" s="109">
        <f t="shared" si="119"/>
        <v>0</v>
      </c>
      <c r="AL212" s="109">
        <f>IF($BD212&gt;0,(((($BD212/Dashboard!$D$23)*(1+Precificação!$W$589)))+$AL$26)*(1+Dashboard!$D$35),0)</f>
        <v>0</v>
      </c>
      <c r="AM212" s="109">
        <f>IF($BD212&gt;0,(((($BD212/Dashboard!$D$23)*(1+Precificação!$W$589))*(1+AM$28))+$AA$26)*(1+Dashboard!$D$35),0)</f>
        <v>0</v>
      </c>
      <c r="AN212" s="109">
        <f>IF($BD212&gt;0,(((($BD212/Dashboard!$D$23)*(1+Precificação!$W$589))*(1+AN$28))+$AA$26)*(1+Dashboard!$D$35),0)</f>
        <v>0</v>
      </c>
      <c r="AO212" s="109">
        <f>IF($BD212&gt;0,(((($BD212/Dashboard!$D$23)*(1+Precificação!$W$589))*(1+AO$28))+$AA$26)*(1+Dashboard!$D$35),0)</f>
        <v>0</v>
      </c>
      <c r="AQ212" s="109">
        <f t="shared" si="120"/>
        <v>0</v>
      </c>
      <c r="AR212" s="109">
        <f t="shared" si="121"/>
        <v>0</v>
      </c>
      <c r="AS212" s="109">
        <f t="shared" si="122"/>
        <v>0</v>
      </c>
      <c r="AT212" s="109">
        <f t="shared" si="123"/>
        <v>0</v>
      </c>
      <c r="AW212" s="144">
        <f>VLOOKUP(B212,'Cronog. e Histog.'!$B$213:$BT$688,71,0)</f>
        <v>0</v>
      </c>
      <c r="AX212" s="144">
        <f>VLOOKUP(B212,'Cronog. e Histog.'!$B$213:$BU$688,72,0)</f>
        <v>0</v>
      </c>
      <c r="AY212" s="144">
        <f>$AW212*$AX212*Dashboard!$D$15</f>
        <v>0</v>
      </c>
      <c r="AZ212" s="144">
        <f>VLOOKUP(B212,Precificação!$B$96:$BM$533,54,0)</f>
        <v>0</v>
      </c>
      <c r="BA212" s="144">
        <f>VLOOKUP(B212,Precificação!$B$96:$BR$533,58,0)</f>
        <v>0</v>
      </c>
      <c r="BB212" s="144">
        <f>VLOOKUP(B212,Precificação!$B$96:$BW$533,62,0)</f>
        <v>0</v>
      </c>
      <c r="BC212" s="144">
        <f t="shared" si="124"/>
        <v>0</v>
      </c>
      <c r="BD212" s="109">
        <f>IFERROR(VLOOKUP(B212,Precificação!$B$96:$S$533,13,0),0)</f>
        <v>0</v>
      </c>
      <c r="BE212" s="109">
        <f>IFERROR(VLOOKUP(B212,Precificação!$B$96:$U$533,15,0)/(Precificação!$U$4+Precificação!$U$91),0)*Dashboard!$T$3</f>
        <v>0</v>
      </c>
    </row>
    <row r="213" spans="2:57" ht="12" customHeight="1" outlineLevel="1">
      <c r="B213" s="137" t="str">
        <f>Precificação!B195</f>
        <v>AN JR. ADM/CRP - Equipe_01</v>
      </c>
      <c r="D213" s="512"/>
      <c r="E213" s="143" t="str">
        <f>IF('Cronog. e Histog.'!G320&gt;0,'Cronog. e Histog.'!G320,"")</f>
        <v>AN JR. ADM/CRP</v>
      </c>
      <c r="G213" s="179">
        <f t="shared" si="111"/>
        <v>0</v>
      </c>
      <c r="H213" s="110">
        <f>IFERROR(INDEX('Base Salarial'!$D$5:$F$25,MATCH(E213,'Base Salarial'!$G$5:$G$25,0),MATCH(I213,'Base Salarial'!$D$4:$F$4,0)),"")</f>
        <v>3500</v>
      </c>
      <c r="I213" s="78" t="str">
        <f>IFERROR(INDEX(Tarefas!$BQ$29:$FK$29,MATCH(E213,Tarefas!$BQ$30:$FK$30,0)),"")</f>
        <v>Mensalista</v>
      </c>
      <c r="J213" s="81">
        <f>IF(I213="horista",H213*Dashboard!$D$15,IF(OR(I213="Mensalista",I213="PJ"),H213,))</f>
        <v>3500</v>
      </c>
      <c r="K213" s="81">
        <f>IF(I213="PJ",J213,ROUND(J213*(1+Dashboard!$D$22),2))</f>
        <v>3710</v>
      </c>
      <c r="L213" s="77"/>
      <c r="M213" s="180"/>
      <c r="P213" s="109">
        <f>IF($BD213&gt;0,(((($BD213/Dashboard!$D$15)*(1+Precificação!$W$589)))+$P$26)*(1+Dashboard!$D$35),0)</f>
        <v>0</v>
      </c>
      <c r="Q213" s="109">
        <f>IF($BD213&gt;0,(((($BD213/Dashboard!$D$23)+(1+Precificação!$W$589))*(1+Q$28))+$P$26)*(1+Dashboard!$D$35),0)</f>
        <v>0</v>
      </c>
      <c r="R213" s="109">
        <f>IF($BD213&gt;0,(((($BD213/Dashboard!$D$23)+(1+Precificação!$W$589))*(1+R$28))+$P$26)*(1+Dashboard!$D$35),0)</f>
        <v>0</v>
      </c>
      <c r="S213" s="109">
        <f>IF($BD213&gt;0,(((($BD213/Dashboard!$D$23)+(1+Precificação!$W$589))*(1+S$28))+$P$26)*(1+Dashboard!$D$35),0)</f>
        <v>0</v>
      </c>
      <c r="U213" s="109">
        <f t="shared" si="112"/>
        <v>0</v>
      </c>
      <c r="V213" s="109">
        <f t="shared" si="113"/>
        <v>0</v>
      </c>
      <c r="W213" s="109">
        <f t="shared" si="114"/>
        <v>0</v>
      </c>
      <c r="X213" s="109">
        <f t="shared" si="115"/>
        <v>0</v>
      </c>
      <c r="AA213" s="109">
        <f>IF($BD213&gt;0,(((($BD213/Dashboard!$D$23)*(1+Precificação!$W$589)))+$AA$26)*(1+Dashboard!$D$35),0)</f>
        <v>0</v>
      </c>
      <c r="AB213" s="109">
        <f>IF($BD213&gt;0,(((($BD213/Dashboard!$D$23)*(1+Precificação!$W$589))*(1+AB$28))+$AA$26)*(1+Dashboard!$D$35),0)</f>
        <v>0</v>
      </c>
      <c r="AC213" s="109">
        <f>IF($BD213&gt;0,(((($BD213/Dashboard!$D$23)*(1+Precificação!$W$589))*(1+AC$28))+$AA$26)*(1+Dashboard!$D$35),0)</f>
        <v>0</v>
      </c>
      <c r="AD213" s="109">
        <f>IF($BD213&gt;0,(((($BD213/Dashboard!$D$23)*(1+Precificação!$W$589))*(1+AD$28))+$AA$26)*(1+Dashboard!$D$35),0)</f>
        <v>0</v>
      </c>
      <c r="AF213" s="109">
        <f t="shared" si="116"/>
        <v>0</v>
      </c>
      <c r="AG213" s="109">
        <f t="shared" si="117"/>
        <v>0</v>
      </c>
      <c r="AH213" s="109">
        <f t="shared" si="118"/>
        <v>0</v>
      </c>
      <c r="AI213" s="109">
        <f t="shared" si="119"/>
        <v>0</v>
      </c>
      <c r="AL213" s="109">
        <f>IF($BD213&gt;0,(((($BD213/Dashboard!$D$23)*(1+Precificação!$W$589)))+$AL$26)*(1+Dashboard!$D$35),0)</f>
        <v>0</v>
      </c>
      <c r="AM213" s="109">
        <f>IF($BD213&gt;0,(((($BD213/Dashboard!$D$23)*(1+Precificação!$W$589))*(1+AM$28))+$AA$26)*(1+Dashboard!$D$35),0)</f>
        <v>0</v>
      </c>
      <c r="AN213" s="109">
        <f>IF($BD213&gt;0,(((($BD213/Dashboard!$D$23)*(1+Precificação!$W$589))*(1+AN$28))+$AA$26)*(1+Dashboard!$D$35),0)</f>
        <v>0</v>
      </c>
      <c r="AO213" s="109">
        <f>IF($BD213&gt;0,(((($BD213/Dashboard!$D$23)*(1+Precificação!$W$589))*(1+AO$28))+$AA$26)*(1+Dashboard!$D$35),0)</f>
        <v>0</v>
      </c>
      <c r="AQ213" s="109">
        <f t="shared" si="120"/>
        <v>0</v>
      </c>
      <c r="AR213" s="109">
        <f t="shared" si="121"/>
        <v>0</v>
      </c>
      <c r="AS213" s="109">
        <f t="shared" si="122"/>
        <v>0</v>
      </c>
      <c r="AT213" s="109">
        <f t="shared" si="123"/>
        <v>0</v>
      </c>
      <c r="AW213" s="144">
        <f>VLOOKUP(B213,'Cronog. e Histog.'!$B$213:$BT$688,71,0)</f>
        <v>0</v>
      </c>
      <c r="AX213" s="144">
        <f>VLOOKUP(B213,'Cronog. e Histog.'!$B$213:$BU$688,72,0)</f>
        <v>0</v>
      </c>
      <c r="AY213" s="144">
        <f>$AW213*$AX213*Dashboard!$D$15</f>
        <v>0</v>
      </c>
      <c r="AZ213" s="144">
        <f>VLOOKUP(B213,Precificação!$B$96:$BM$533,54,0)</f>
        <v>0</v>
      </c>
      <c r="BA213" s="144">
        <f>VLOOKUP(B213,Precificação!$B$96:$BR$533,58,0)</f>
        <v>0</v>
      </c>
      <c r="BB213" s="144">
        <f>VLOOKUP(B213,Precificação!$B$96:$BW$533,62,0)</f>
        <v>0</v>
      </c>
      <c r="BC213" s="144">
        <f t="shared" si="124"/>
        <v>0</v>
      </c>
      <c r="BD213" s="109">
        <f>IFERROR(VLOOKUP(B213,Precificação!$B$96:$S$533,13,0),0)</f>
        <v>0</v>
      </c>
      <c r="BE213" s="109">
        <f>IFERROR(VLOOKUP(B213,Precificação!$B$96:$U$533,15,0)/(Precificação!$U$4+Precificação!$U$91),0)*Dashboard!$T$3</f>
        <v>0</v>
      </c>
    </row>
    <row r="214" spans="2:57" ht="12" customHeight="1" outlineLevel="1">
      <c r="B214" s="137" t="str">
        <f>Precificação!B196</f>
        <v>TEC III - Equipe_01</v>
      </c>
      <c r="D214" s="512"/>
      <c r="E214" s="143" t="str">
        <f>IF('Cronog. e Histog.'!G321&gt;0,'Cronog. e Histog.'!G321,"")</f>
        <v>TEC III</v>
      </c>
      <c r="G214" s="179">
        <f t="shared" si="111"/>
        <v>0</v>
      </c>
      <c r="H214" s="110">
        <f>IFERROR(INDEX('Base Salarial'!$D$5:$F$25,MATCH(E214,'Base Salarial'!$G$5:$G$25,0),MATCH(I214,'Base Salarial'!$D$4:$F$4,0)),"")</f>
        <v>6000</v>
      </c>
      <c r="I214" s="78" t="str">
        <f>IFERROR(INDEX(Tarefas!$BQ$29:$FK$29,MATCH(E214,Tarefas!$BQ$30:$FK$30,0)),"")</f>
        <v>Mensalista</v>
      </c>
      <c r="J214" s="81">
        <f>IF(I214="horista",H214*Dashboard!$D$15,IF(OR(I214="Mensalista",I214="PJ"),H214,))</f>
        <v>6000</v>
      </c>
      <c r="K214" s="81">
        <f>IF(I214="PJ",J214,ROUND(J214*(1+Dashboard!$D$22),2))</f>
        <v>6360</v>
      </c>
      <c r="L214" s="77"/>
      <c r="M214" s="180"/>
      <c r="P214" s="109">
        <f>IF($BD214&gt;0,(((($BD214/Dashboard!$D$15)*(1+Precificação!$W$589)))+$P$26)*(1+Dashboard!$D$35),0)</f>
        <v>0</v>
      </c>
      <c r="Q214" s="109">
        <f>IF($BD214&gt;0,(((($BD214/Dashboard!$D$23)+(1+Precificação!$W$589))*(1+Q$28))+$P$26)*(1+Dashboard!$D$35),0)</f>
        <v>0</v>
      </c>
      <c r="R214" s="109">
        <f>IF($BD214&gt;0,(((($BD214/Dashboard!$D$23)+(1+Precificação!$W$589))*(1+R$28))+$P$26)*(1+Dashboard!$D$35),0)</f>
        <v>0</v>
      </c>
      <c r="S214" s="109">
        <f>IF($BD214&gt;0,(((($BD214/Dashboard!$D$23)+(1+Precificação!$W$589))*(1+S$28))+$P$26)*(1+Dashboard!$D$35),0)</f>
        <v>0</v>
      </c>
      <c r="U214" s="109">
        <f t="shared" si="112"/>
        <v>0</v>
      </c>
      <c r="V214" s="109">
        <f t="shared" si="113"/>
        <v>0</v>
      </c>
      <c r="W214" s="109">
        <f t="shared" si="114"/>
        <v>0</v>
      </c>
      <c r="X214" s="109">
        <f t="shared" si="115"/>
        <v>0</v>
      </c>
      <c r="AA214" s="109">
        <f>IF($BD214&gt;0,(((($BD214/Dashboard!$D$23)*(1+Precificação!$W$589)))+$AA$26)*(1+Dashboard!$D$35),0)</f>
        <v>0</v>
      </c>
      <c r="AB214" s="109">
        <f>IF($BD214&gt;0,(((($BD214/Dashboard!$D$23)*(1+Precificação!$W$589))*(1+AB$28))+$AA$26)*(1+Dashboard!$D$35),0)</f>
        <v>0</v>
      </c>
      <c r="AC214" s="109">
        <f>IF($BD214&gt;0,(((($BD214/Dashboard!$D$23)*(1+Precificação!$W$589))*(1+AC$28))+$AA$26)*(1+Dashboard!$D$35),0)</f>
        <v>0</v>
      </c>
      <c r="AD214" s="109">
        <f>IF($BD214&gt;0,(((($BD214/Dashboard!$D$23)*(1+Precificação!$W$589))*(1+AD$28))+$AA$26)*(1+Dashboard!$D$35),0)</f>
        <v>0</v>
      </c>
      <c r="AF214" s="109">
        <f t="shared" si="116"/>
        <v>0</v>
      </c>
      <c r="AG214" s="109">
        <f t="shared" si="117"/>
        <v>0</v>
      </c>
      <c r="AH214" s="109">
        <f t="shared" si="118"/>
        <v>0</v>
      </c>
      <c r="AI214" s="109">
        <f t="shared" si="119"/>
        <v>0</v>
      </c>
      <c r="AL214" s="109">
        <f>IF($BD214&gt;0,(((($BD214/Dashboard!$D$23)*(1+Precificação!$W$589)))+$AL$26)*(1+Dashboard!$D$35),0)</f>
        <v>0</v>
      </c>
      <c r="AM214" s="109">
        <f>IF($BD214&gt;0,(((($BD214/Dashboard!$D$23)*(1+Precificação!$W$589))*(1+AM$28))+$AA$26)*(1+Dashboard!$D$35),0)</f>
        <v>0</v>
      </c>
      <c r="AN214" s="109">
        <f>IF($BD214&gt;0,(((($BD214/Dashboard!$D$23)*(1+Precificação!$W$589))*(1+AN$28))+$AA$26)*(1+Dashboard!$D$35),0)</f>
        <v>0</v>
      </c>
      <c r="AO214" s="109">
        <f>IF($BD214&gt;0,(((($BD214/Dashboard!$D$23)*(1+Precificação!$W$589))*(1+AO$28))+$AA$26)*(1+Dashboard!$D$35),0)</f>
        <v>0</v>
      </c>
      <c r="AQ214" s="109">
        <f t="shared" si="120"/>
        <v>0</v>
      </c>
      <c r="AR214" s="109">
        <f t="shared" si="121"/>
        <v>0</v>
      </c>
      <c r="AS214" s="109">
        <f t="shared" si="122"/>
        <v>0</v>
      </c>
      <c r="AT214" s="109">
        <f t="shared" si="123"/>
        <v>0</v>
      </c>
      <c r="AW214" s="144">
        <f>VLOOKUP(B214,'Cronog. e Histog.'!$B$213:$BT$688,71,0)</f>
        <v>0</v>
      </c>
      <c r="AX214" s="144">
        <f>VLOOKUP(B214,'Cronog. e Histog.'!$B$213:$BU$688,72,0)</f>
        <v>0</v>
      </c>
      <c r="AY214" s="144">
        <f>$AW214*$AX214*Dashboard!$D$15</f>
        <v>0</v>
      </c>
      <c r="AZ214" s="144">
        <f>VLOOKUP(B214,Precificação!$B$96:$BM$533,54,0)</f>
        <v>0</v>
      </c>
      <c r="BA214" s="144">
        <f>VLOOKUP(B214,Precificação!$B$96:$BR$533,58,0)</f>
        <v>0</v>
      </c>
      <c r="BB214" s="144">
        <f>VLOOKUP(B214,Precificação!$B$96:$BW$533,62,0)</f>
        <v>0</v>
      </c>
      <c r="BC214" s="144">
        <f t="shared" si="124"/>
        <v>0</v>
      </c>
      <c r="BD214" s="109">
        <f>IFERROR(VLOOKUP(B214,Precificação!$B$96:$S$533,13,0),0)</f>
        <v>0</v>
      </c>
      <c r="BE214" s="109">
        <f>IFERROR(VLOOKUP(B214,Precificação!$B$96:$U$533,15,0)/(Precificação!$U$4+Precificação!$U$91),0)*Dashboard!$T$3</f>
        <v>0</v>
      </c>
    </row>
    <row r="215" spans="2:57" ht="12" customHeight="1" outlineLevel="1">
      <c r="B215" s="137" t="str">
        <f>Precificação!B197</f>
        <v>TEC II - Equipe_01</v>
      </c>
      <c r="D215" s="512"/>
      <c r="E215" s="143" t="str">
        <f>IF('Cronog. e Histog.'!G322&gt;0,'Cronog. e Histog.'!G322,"")</f>
        <v>TEC II</v>
      </c>
      <c r="G215" s="179">
        <f t="shared" si="111"/>
        <v>0</v>
      </c>
      <c r="H215" s="110">
        <f>IFERROR(INDEX('Base Salarial'!$D$5:$F$25,MATCH(E215,'Base Salarial'!$G$5:$G$25,0),MATCH(I215,'Base Salarial'!$D$4:$F$4,0)),"")</f>
        <v>4500</v>
      </c>
      <c r="I215" s="78" t="str">
        <f>IFERROR(INDEX(Tarefas!$BQ$29:$FK$29,MATCH(E215,Tarefas!$BQ$30:$FK$30,0)),"")</f>
        <v>Mensalista</v>
      </c>
      <c r="J215" s="81">
        <f>IF(I215="horista",H215*Dashboard!$D$15,IF(OR(I215="Mensalista",I215="PJ"),H215,))</f>
        <v>4500</v>
      </c>
      <c r="K215" s="81">
        <f>IF(I215="PJ",J215,ROUND(J215*(1+Dashboard!$D$22),2))</f>
        <v>4770</v>
      </c>
      <c r="L215" s="77"/>
      <c r="M215" s="180"/>
      <c r="P215" s="109">
        <f>IF($BD215&gt;0,(((($BD215/Dashboard!$D$15)*(1+Precificação!$W$589)))+$P$26)*(1+Dashboard!$D$35),0)</f>
        <v>0</v>
      </c>
      <c r="Q215" s="109">
        <f>IF($BD215&gt;0,(((($BD215/Dashboard!$D$23)+(1+Precificação!$W$589))*(1+Q$28))+$P$26)*(1+Dashboard!$D$35),0)</f>
        <v>0</v>
      </c>
      <c r="R215" s="109">
        <f>IF($BD215&gt;0,(((($BD215/Dashboard!$D$23)+(1+Precificação!$W$589))*(1+R$28))+$P$26)*(1+Dashboard!$D$35),0)</f>
        <v>0</v>
      </c>
      <c r="S215" s="109">
        <f>IF($BD215&gt;0,(((($BD215/Dashboard!$D$23)+(1+Precificação!$W$589))*(1+S$28))+$P$26)*(1+Dashboard!$D$35),0)</f>
        <v>0</v>
      </c>
      <c r="U215" s="109">
        <f t="shared" si="112"/>
        <v>0</v>
      </c>
      <c r="V215" s="109">
        <f t="shared" si="113"/>
        <v>0</v>
      </c>
      <c r="W215" s="109">
        <f t="shared" si="114"/>
        <v>0</v>
      </c>
      <c r="X215" s="109">
        <f t="shared" si="115"/>
        <v>0</v>
      </c>
      <c r="AA215" s="109">
        <f>IF($BD215&gt;0,(((($BD215/Dashboard!$D$23)*(1+Precificação!$W$589)))+$AA$26)*(1+Dashboard!$D$35),0)</f>
        <v>0</v>
      </c>
      <c r="AB215" s="109">
        <f>IF($BD215&gt;0,(((($BD215/Dashboard!$D$23)*(1+Precificação!$W$589))*(1+AB$28))+$AA$26)*(1+Dashboard!$D$35),0)</f>
        <v>0</v>
      </c>
      <c r="AC215" s="109">
        <f>IF($BD215&gt;0,(((($BD215/Dashboard!$D$23)*(1+Precificação!$W$589))*(1+AC$28))+$AA$26)*(1+Dashboard!$D$35),0)</f>
        <v>0</v>
      </c>
      <c r="AD215" s="109">
        <f>IF($BD215&gt;0,(((($BD215/Dashboard!$D$23)*(1+Precificação!$W$589))*(1+AD$28))+$AA$26)*(1+Dashboard!$D$35),0)</f>
        <v>0</v>
      </c>
      <c r="AF215" s="109">
        <f t="shared" si="116"/>
        <v>0</v>
      </c>
      <c r="AG215" s="109">
        <f t="shared" si="117"/>
        <v>0</v>
      </c>
      <c r="AH215" s="109">
        <f t="shared" si="118"/>
        <v>0</v>
      </c>
      <c r="AI215" s="109">
        <f t="shared" si="119"/>
        <v>0</v>
      </c>
      <c r="AL215" s="109">
        <f>IF($BD215&gt;0,(((($BD215/Dashboard!$D$23)*(1+Precificação!$W$589)))+$AL$26)*(1+Dashboard!$D$35),0)</f>
        <v>0</v>
      </c>
      <c r="AM215" s="109">
        <f>IF($BD215&gt;0,(((($BD215/Dashboard!$D$23)*(1+Precificação!$W$589))*(1+AM$28))+$AA$26)*(1+Dashboard!$D$35),0)</f>
        <v>0</v>
      </c>
      <c r="AN215" s="109">
        <f>IF($BD215&gt;0,(((($BD215/Dashboard!$D$23)*(1+Precificação!$W$589))*(1+AN$28))+$AA$26)*(1+Dashboard!$D$35),0)</f>
        <v>0</v>
      </c>
      <c r="AO215" s="109">
        <f>IF($BD215&gt;0,(((($BD215/Dashboard!$D$23)*(1+Precificação!$W$589))*(1+AO$28))+$AA$26)*(1+Dashboard!$D$35),0)</f>
        <v>0</v>
      </c>
      <c r="AQ215" s="109">
        <f t="shared" si="120"/>
        <v>0</v>
      </c>
      <c r="AR215" s="109">
        <f t="shared" si="121"/>
        <v>0</v>
      </c>
      <c r="AS215" s="109">
        <f t="shared" si="122"/>
        <v>0</v>
      </c>
      <c r="AT215" s="109">
        <f t="shared" si="123"/>
        <v>0</v>
      </c>
      <c r="AW215" s="144">
        <f>VLOOKUP(B215,'Cronog. e Histog.'!$B$213:$BT$688,71,0)</f>
        <v>0</v>
      </c>
      <c r="AX215" s="144">
        <f>VLOOKUP(B215,'Cronog. e Histog.'!$B$213:$BU$688,72,0)</f>
        <v>0</v>
      </c>
      <c r="AY215" s="144">
        <f>$AW215*$AX215*Dashboard!$D$15</f>
        <v>0</v>
      </c>
      <c r="AZ215" s="144">
        <f>VLOOKUP(B215,Precificação!$B$96:$BM$533,54,0)</f>
        <v>0</v>
      </c>
      <c r="BA215" s="144">
        <f>VLOOKUP(B215,Precificação!$B$96:$BR$533,58,0)</f>
        <v>0</v>
      </c>
      <c r="BB215" s="144">
        <f>VLOOKUP(B215,Precificação!$B$96:$BW$533,62,0)</f>
        <v>0</v>
      </c>
      <c r="BC215" s="144">
        <f t="shared" si="124"/>
        <v>0</v>
      </c>
      <c r="BD215" s="109">
        <f>IFERROR(VLOOKUP(B215,Precificação!$B$96:$S$533,13,0),0)</f>
        <v>0</v>
      </c>
      <c r="BE215" s="109">
        <f>IFERROR(VLOOKUP(B215,Precificação!$B$96:$U$533,15,0)/(Precificação!$U$4+Precificação!$U$91),0)*Dashboard!$T$3</f>
        <v>0</v>
      </c>
    </row>
    <row r="216" spans="2:57" ht="12" customHeight="1" outlineLevel="1">
      <c r="B216" s="137" t="str">
        <f>Precificação!B198</f>
        <v>TEC I - Equipe_01</v>
      </c>
      <c r="D216" s="512"/>
      <c r="E216" s="143" t="str">
        <f>IF('Cronog. e Histog.'!G323&gt;0,'Cronog. e Histog.'!G323,"")</f>
        <v>TEC I</v>
      </c>
      <c r="G216" s="179">
        <f t="shared" si="111"/>
        <v>0</v>
      </c>
      <c r="H216" s="110">
        <f>IFERROR(INDEX('Base Salarial'!$D$5:$F$25,MATCH(E216,'Base Salarial'!$G$5:$G$25,0),MATCH(I216,'Base Salarial'!$D$4:$F$4,0)),"")</f>
        <v>3000</v>
      </c>
      <c r="I216" s="78" t="str">
        <f>IFERROR(INDEX(Tarefas!$BQ$29:$FK$29,MATCH(E216,Tarefas!$BQ$30:$FK$30,0)),"")</f>
        <v>Mensalista</v>
      </c>
      <c r="J216" s="81">
        <f>IF(I216="horista",H216*Dashboard!$D$15,IF(OR(I216="Mensalista",I216="PJ"),H216,))</f>
        <v>3000</v>
      </c>
      <c r="K216" s="81">
        <f>IF(I216="PJ",J216,ROUND(J216*(1+Dashboard!$D$22),2))</f>
        <v>3180</v>
      </c>
      <c r="L216" s="77"/>
      <c r="M216" s="180"/>
      <c r="P216" s="109">
        <f>IF($BD216&gt;0,(((($BD216/Dashboard!$D$15)*(1+Precificação!$W$589)))+$P$26)*(1+Dashboard!$D$35),0)</f>
        <v>0</v>
      </c>
      <c r="Q216" s="109">
        <f>IF($BD216&gt;0,(((($BD216/Dashboard!$D$23)+(1+Precificação!$W$589))*(1+Q$28))+$P$26)*(1+Dashboard!$D$35),0)</f>
        <v>0</v>
      </c>
      <c r="R216" s="109">
        <f>IF($BD216&gt;0,(((($BD216/Dashboard!$D$23)+(1+Precificação!$W$589))*(1+R$28))+$P$26)*(1+Dashboard!$D$35),0)</f>
        <v>0</v>
      </c>
      <c r="S216" s="109">
        <f>IF($BD216&gt;0,(((($BD216/Dashboard!$D$23)+(1+Precificação!$W$589))*(1+S$28))+$P$26)*(1+Dashboard!$D$35),0)</f>
        <v>0</v>
      </c>
      <c r="U216" s="109">
        <f t="shared" si="112"/>
        <v>0</v>
      </c>
      <c r="V216" s="109">
        <f t="shared" si="113"/>
        <v>0</v>
      </c>
      <c r="W216" s="109">
        <f t="shared" si="114"/>
        <v>0</v>
      </c>
      <c r="X216" s="109">
        <f t="shared" si="115"/>
        <v>0</v>
      </c>
      <c r="AA216" s="109">
        <f>IF($BD216&gt;0,(((($BD216/Dashboard!$D$23)*(1+Precificação!$W$589)))+$AA$26)*(1+Dashboard!$D$35),0)</f>
        <v>0</v>
      </c>
      <c r="AB216" s="109">
        <f>IF($BD216&gt;0,(((($BD216/Dashboard!$D$23)*(1+Precificação!$W$589))*(1+AB$28))+$AA$26)*(1+Dashboard!$D$35),0)</f>
        <v>0</v>
      </c>
      <c r="AC216" s="109">
        <f>IF($BD216&gt;0,(((($BD216/Dashboard!$D$23)*(1+Precificação!$W$589))*(1+AC$28))+$AA$26)*(1+Dashboard!$D$35),0)</f>
        <v>0</v>
      </c>
      <c r="AD216" s="109">
        <f>IF($BD216&gt;0,(((($BD216/Dashboard!$D$23)*(1+Precificação!$W$589))*(1+AD$28))+$AA$26)*(1+Dashboard!$D$35),0)</f>
        <v>0</v>
      </c>
      <c r="AF216" s="109">
        <f t="shared" si="116"/>
        <v>0</v>
      </c>
      <c r="AG216" s="109">
        <f t="shared" si="117"/>
        <v>0</v>
      </c>
      <c r="AH216" s="109">
        <f t="shared" si="118"/>
        <v>0</v>
      </c>
      <c r="AI216" s="109">
        <f t="shared" si="119"/>
        <v>0</v>
      </c>
      <c r="AL216" s="109">
        <f>IF($BD216&gt;0,(((($BD216/Dashboard!$D$23)*(1+Precificação!$W$589)))+$AL$26)*(1+Dashboard!$D$35),0)</f>
        <v>0</v>
      </c>
      <c r="AM216" s="109">
        <f>IF($BD216&gt;0,(((($BD216/Dashboard!$D$23)*(1+Precificação!$W$589))*(1+AM$28))+$AA$26)*(1+Dashboard!$D$35),0)</f>
        <v>0</v>
      </c>
      <c r="AN216" s="109">
        <f>IF($BD216&gt;0,(((($BD216/Dashboard!$D$23)*(1+Precificação!$W$589))*(1+AN$28))+$AA$26)*(1+Dashboard!$D$35),0)</f>
        <v>0</v>
      </c>
      <c r="AO216" s="109">
        <f>IF($BD216&gt;0,(((($BD216/Dashboard!$D$23)*(1+Precificação!$W$589))*(1+AO$28))+$AA$26)*(1+Dashboard!$D$35),0)</f>
        <v>0</v>
      </c>
      <c r="AQ216" s="109">
        <f t="shared" si="120"/>
        <v>0</v>
      </c>
      <c r="AR216" s="109">
        <f t="shared" si="121"/>
        <v>0</v>
      </c>
      <c r="AS216" s="109">
        <f t="shared" si="122"/>
        <v>0</v>
      </c>
      <c r="AT216" s="109">
        <f t="shared" si="123"/>
        <v>0</v>
      </c>
      <c r="AW216" s="144">
        <f>VLOOKUP(B216,'Cronog. e Histog.'!$B$213:$BT$688,71,0)</f>
        <v>0</v>
      </c>
      <c r="AX216" s="144">
        <f>VLOOKUP(B216,'Cronog. e Histog.'!$B$213:$BU$688,72,0)</f>
        <v>0</v>
      </c>
      <c r="AY216" s="144">
        <f>$AW216*$AX216*Dashboard!$D$15</f>
        <v>0</v>
      </c>
      <c r="AZ216" s="144">
        <f>VLOOKUP(B216,Precificação!$B$96:$BM$533,54,0)</f>
        <v>0</v>
      </c>
      <c r="BA216" s="144">
        <f>VLOOKUP(B216,Precificação!$B$96:$BR$533,58,0)</f>
        <v>0</v>
      </c>
      <c r="BB216" s="144">
        <f>VLOOKUP(B216,Precificação!$B$96:$BW$533,62,0)</f>
        <v>0</v>
      </c>
      <c r="BC216" s="144">
        <f t="shared" si="124"/>
        <v>0</v>
      </c>
      <c r="BD216" s="109">
        <f>IFERROR(VLOOKUP(B216,Precificação!$B$96:$S$533,13,0),0)</f>
        <v>0</v>
      </c>
      <c r="BE216" s="109">
        <f>IFERROR(VLOOKUP(B216,Precificação!$B$96:$U$533,15,0)/(Precificação!$U$4+Precificação!$U$91),0)*Dashboard!$T$3</f>
        <v>0</v>
      </c>
    </row>
    <row r="217" spans="2:57" ht="12" customHeight="1" outlineLevel="1">
      <c r="B217" s="137" t="str">
        <f>Precificação!B199</f>
        <v>AUX TEC - Equipe_01</v>
      </c>
      <c r="D217" s="512"/>
      <c r="E217" s="143" t="str">
        <f>IF('Cronog. e Histog.'!G324&gt;0,'Cronog. e Histog.'!G324,"")</f>
        <v>AUX TEC</v>
      </c>
      <c r="G217" s="179">
        <f t="shared" si="111"/>
        <v>0</v>
      </c>
      <c r="H217" s="110">
        <f>IFERROR(INDEX('Base Salarial'!$D$5:$F$25,MATCH(E217,'Base Salarial'!$G$5:$G$25,0),MATCH(I217,'Base Salarial'!$D$4:$F$4,0)),"")</f>
        <v>3500</v>
      </c>
      <c r="I217" s="78" t="str">
        <f>IFERROR(INDEX(Tarefas!$BQ$29:$FK$29,MATCH(E217,Tarefas!$BQ$30:$FK$30,0)),"")</f>
        <v>Mensalista</v>
      </c>
      <c r="J217" s="81">
        <f>IF(I217="horista",H217*Dashboard!$D$15,IF(OR(I217="Mensalista",I217="PJ"),H217,))</f>
        <v>3500</v>
      </c>
      <c r="K217" s="81">
        <f>IF(I217="PJ",J217,ROUND(J217*(1+Dashboard!$D$22),2))</f>
        <v>3710</v>
      </c>
      <c r="L217" s="77"/>
      <c r="M217" s="180"/>
      <c r="P217" s="109">
        <f>IF($BD217&gt;0,(((($BD217/Dashboard!$D$15)*(1+Precificação!$W$589)))+$P$26)*(1+Dashboard!$D$35),0)</f>
        <v>0</v>
      </c>
      <c r="Q217" s="109">
        <f>IF($BD217&gt;0,(((($BD217/Dashboard!$D$23)+(1+Precificação!$W$589))*(1+Q$28))+$P$26)*(1+Dashboard!$D$35),0)</f>
        <v>0</v>
      </c>
      <c r="R217" s="109">
        <f>IF($BD217&gt;0,(((($BD217/Dashboard!$D$23)+(1+Precificação!$W$589))*(1+R$28))+$P$26)*(1+Dashboard!$D$35),0)</f>
        <v>0</v>
      </c>
      <c r="S217" s="109">
        <f>IF($BD217&gt;0,(((($BD217/Dashboard!$D$23)+(1+Precificação!$W$589))*(1+S$28))+$P$26)*(1+Dashboard!$D$35),0)</f>
        <v>0</v>
      </c>
      <c r="U217" s="109">
        <f t="shared" si="112"/>
        <v>0</v>
      </c>
      <c r="V217" s="109">
        <f t="shared" si="113"/>
        <v>0</v>
      </c>
      <c r="W217" s="109">
        <f t="shared" si="114"/>
        <v>0</v>
      </c>
      <c r="X217" s="109">
        <f t="shared" si="115"/>
        <v>0</v>
      </c>
      <c r="AA217" s="109">
        <f>IF($BD217&gt;0,(((($BD217/Dashboard!$D$23)*(1+Precificação!$W$589)))+$AA$26)*(1+Dashboard!$D$35),0)</f>
        <v>0</v>
      </c>
      <c r="AB217" s="109">
        <f>IF($BD217&gt;0,(((($BD217/Dashboard!$D$23)*(1+Precificação!$W$589))*(1+AB$28))+$AA$26)*(1+Dashboard!$D$35),0)</f>
        <v>0</v>
      </c>
      <c r="AC217" s="109">
        <f>IF($BD217&gt;0,(((($BD217/Dashboard!$D$23)*(1+Precificação!$W$589))*(1+AC$28))+$AA$26)*(1+Dashboard!$D$35),0)</f>
        <v>0</v>
      </c>
      <c r="AD217" s="109">
        <f>IF($BD217&gt;0,(((($BD217/Dashboard!$D$23)*(1+Precificação!$W$589))*(1+AD$28))+$AA$26)*(1+Dashboard!$D$35),0)</f>
        <v>0</v>
      </c>
      <c r="AF217" s="109">
        <f t="shared" si="116"/>
        <v>0</v>
      </c>
      <c r="AG217" s="109">
        <f t="shared" si="117"/>
        <v>0</v>
      </c>
      <c r="AH217" s="109">
        <f t="shared" si="118"/>
        <v>0</v>
      </c>
      <c r="AI217" s="109">
        <f t="shared" si="119"/>
        <v>0</v>
      </c>
      <c r="AL217" s="109">
        <f>IF($BD217&gt;0,(((($BD217/Dashboard!$D$23)*(1+Precificação!$W$589)))+$AL$26)*(1+Dashboard!$D$35),0)</f>
        <v>0</v>
      </c>
      <c r="AM217" s="109">
        <f>IF($BD217&gt;0,(((($BD217/Dashboard!$D$23)*(1+Precificação!$W$589))*(1+AM$28))+$AA$26)*(1+Dashboard!$D$35),0)</f>
        <v>0</v>
      </c>
      <c r="AN217" s="109">
        <f>IF($BD217&gt;0,(((($BD217/Dashboard!$D$23)*(1+Precificação!$W$589))*(1+AN$28))+$AA$26)*(1+Dashboard!$D$35),0)</f>
        <v>0</v>
      </c>
      <c r="AO217" s="109">
        <f>IF($BD217&gt;0,(((($BD217/Dashboard!$D$23)*(1+Precificação!$W$589))*(1+AO$28))+$AA$26)*(1+Dashboard!$D$35),0)</f>
        <v>0</v>
      </c>
      <c r="AQ217" s="109">
        <f t="shared" si="120"/>
        <v>0</v>
      </c>
      <c r="AR217" s="109">
        <f t="shared" si="121"/>
        <v>0</v>
      </c>
      <c r="AS217" s="109">
        <f t="shared" si="122"/>
        <v>0</v>
      </c>
      <c r="AT217" s="109">
        <f t="shared" si="123"/>
        <v>0</v>
      </c>
      <c r="AW217" s="144">
        <f>VLOOKUP(B217,'Cronog. e Histog.'!$B$213:$BT$688,71,0)</f>
        <v>0</v>
      </c>
      <c r="AX217" s="144">
        <f>VLOOKUP(B217,'Cronog. e Histog.'!$B$213:$BU$688,72,0)</f>
        <v>0</v>
      </c>
      <c r="AY217" s="144">
        <f>$AW217*$AX217*Dashboard!$D$15</f>
        <v>0</v>
      </c>
      <c r="AZ217" s="144">
        <f>VLOOKUP(B217,Precificação!$B$96:$BM$533,54,0)</f>
        <v>0</v>
      </c>
      <c r="BA217" s="144">
        <f>VLOOKUP(B217,Precificação!$B$96:$BR$533,58,0)</f>
        <v>0</v>
      </c>
      <c r="BB217" s="144">
        <f>VLOOKUP(B217,Precificação!$B$96:$BW$533,62,0)</f>
        <v>0</v>
      </c>
      <c r="BC217" s="144">
        <f t="shared" si="124"/>
        <v>0</v>
      </c>
      <c r="BD217" s="109">
        <f>IFERROR(VLOOKUP(B217,Precificação!$B$96:$S$533,13,0),0)</f>
        <v>0</v>
      </c>
      <c r="BE217" s="109">
        <f>IFERROR(VLOOKUP(B217,Precificação!$B$96:$U$533,15,0)/(Precificação!$U$4+Precificação!$U$91),0)*Dashboard!$T$3</f>
        <v>0</v>
      </c>
    </row>
    <row r="218" spans="2:57" ht="12" customHeight="1" outlineLevel="1">
      <c r="B218" s="137" t="str">
        <f>Precificação!B200</f>
        <v>AUX ADM - Equipe_01</v>
      </c>
      <c r="D218" s="512"/>
      <c r="E218" s="143" t="str">
        <f>IF('Cronog. e Histog.'!G325&gt;0,'Cronog. e Histog.'!G325,"")</f>
        <v>AUX ADM</v>
      </c>
      <c r="G218" s="179">
        <f t="shared" si="111"/>
        <v>0</v>
      </c>
      <c r="H218" s="110">
        <f>IFERROR(INDEX('Base Salarial'!$D$5:$F$25,MATCH(E218,'Base Salarial'!$G$5:$G$25,0),MATCH(I218,'Base Salarial'!$D$4:$F$4,0)),"")</f>
        <v>1804</v>
      </c>
      <c r="I218" s="78" t="str">
        <f>IFERROR(INDEX(Tarefas!$BQ$29:$FK$29,MATCH(E218,Tarefas!$BQ$30:$FK$30,0)),"")</f>
        <v>Mensalista</v>
      </c>
      <c r="J218" s="81">
        <f>IF(I218="horista",H218*Dashboard!$D$15,IF(OR(I218="Mensalista",I218="PJ"),H218,))</f>
        <v>1804</v>
      </c>
      <c r="K218" s="81">
        <f>IF(I218="PJ",J218,ROUND(J218*(1+Dashboard!$D$22),2))</f>
        <v>1912.24</v>
      </c>
      <c r="L218" s="77"/>
      <c r="M218" s="180"/>
      <c r="P218" s="109">
        <f>IF($BD218&gt;0,(((($BD218/Dashboard!$D$15)*(1+Precificação!$W$589)))+$P$26)*(1+Dashboard!$D$35),0)</f>
        <v>0</v>
      </c>
      <c r="Q218" s="109">
        <f>IF($BD218&gt;0,(((($BD218/Dashboard!$D$23)+(1+Precificação!$W$589))*(1+Q$28))+$P$26)*(1+Dashboard!$D$35),0)</f>
        <v>0</v>
      </c>
      <c r="R218" s="109">
        <f>IF($BD218&gt;0,(((($BD218/Dashboard!$D$23)+(1+Precificação!$W$589))*(1+R$28))+$P$26)*(1+Dashboard!$D$35),0)</f>
        <v>0</v>
      </c>
      <c r="S218" s="109">
        <f>IF($BD218&gt;0,(((($BD218/Dashboard!$D$23)+(1+Precificação!$W$589))*(1+S$28))+$P$26)*(1+Dashboard!$D$35),0)</f>
        <v>0</v>
      </c>
      <c r="U218" s="109">
        <f t="shared" si="112"/>
        <v>0</v>
      </c>
      <c r="V218" s="109">
        <f t="shared" si="113"/>
        <v>0</v>
      </c>
      <c r="W218" s="109">
        <f t="shared" si="114"/>
        <v>0</v>
      </c>
      <c r="X218" s="109">
        <f t="shared" si="115"/>
        <v>0</v>
      </c>
      <c r="AA218" s="109">
        <f>IF($BD218&gt;0,(((($BD218/Dashboard!$D$23)*(1+Precificação!$W$589)))+$AA$26)*(1+Dashboard!$D$35),0)</f>
        <v>0</v>
      </c>
      <c r="AB218" s="109">
        <f>IF($BD218&gt;0,(((($BD218/Dashboard!$D$23)*(1+Precificação!$W$589))*(1+AB$28))+$AA$26)*(1+Dashboard!$D$35),0)</f>
        <v>0</v>
      </c>
      <c r="AC218" s="109">
        <f>IF($BD218&gt;0,(((($BD218/Dashboard!$D$23)*(1+Precificação!$W$589))*(1+AC$28))+$AA$26)*(1+Dashboard!$D$35),0)</f>
        <v>0</v>
      </c>
      <c r="AD218" s="109">
        <f>IF($BD218&gt;0,(((($BD218/Dashboard!$D$23)*(1+Precificação!$W$589))*(1+AD$28))+$AA$26)*(1+Dashboard!$D$35),0)</f>
        <v>0</v>
      </c>
      <c r="AF218" s="109">
        <f t="shared" si="116"/>
        <v>0</v>
      </c>
      <c r="AG218" s="109">
        <f t="shared" si="117"/>
        <v>0</v>
      </c>
      <c r="AH218" s="109">
        <f t="shared" si="118"/>
        <v>0</v>
      </c>
      <c r="AI218" s="109">
        <f t="shared" si="119"/>
        <v>0</v>
      </c>
      <c r="AL218" s="109">
        <f>IF($BD218&gt;0,(((($BD218/Dashboard!$D$23)*(1+Precificação!$W$589)))+$AL$26)*(1+Dashboard!$D$35),0)</f>
        <v>0</v>
      </c>
      <c r="AM218" s="109">
        <f>IF($BD218&gt;0,(((($BD218/Dashboard!$D$23)*(1+Precificação!$W$589))*(1+AM$28))+$AA$26)*(1+Dashboard!$D$35),0)</f>
        <v>0</v>
      </c>
      <c r="AN218" s="109">
        <f>IF($BD218&gt;0,(((($BD218/Dashboard!$D$23)*(1+Precificação!$W$589))*(1+AN$28))+$AA$26)*(1+Dashboard!$D$35),0)</f>
        <v>0</v>
      </c>
      <c r="AO218" s="109">
        <f>IF($BD218&gt;0,(((($BD218/Dashboard!$D$23)*(1+Precificação!$W$589))*(1+AO$28))+$AA$26)*(1+Dashboard!$D$35),0)</f>
        <v>0</v>
      </c>
      <c r="AQ218" s="109">
        <f t="shared" si="120"/>
        <v>0</v>
      </c>
      <c r="AR218" s="109">
        <f t="shared" si="121"/>
        <v>0</v>
      </c>
      <c r="AS218" s="109">
        <f t="shared" si="122"/>
        <v>0</v>
      </c>
      <c r="AT218" s="109">
        <f t="shared" si="123"/>
        <v>0</v>
      </c>
      <c r="AW218" s="144">
        <f>VLOOKUP(B218,'Cronog. e Histog.'!$B$213:$BT$688,71,0)</f>
        <v>0</v>
      </c>
      <c r="AX218" s="144">
        <f>VLOOKUP(B218,'Cronog. e Histog.'!$B$213:$BU$688,72,0)</f>
        <v>0</v>
      </c>
      <c r="AY218" s="144">
        <f>$AW218*$AX218*Dashboard!$D$15</f>
        <v>0</v>
      </c>
      <c r="AZ218" s="144">
        <f>VLOOKUP(B218,Precificação!$B$96:$BM$533,54,0)</f>
        <v>0</v>
      </c>
      <c r="BA218" s="144">
        <f>VLOOKUP(B218,Precificação!$B$96:$BR$533,58,0)</f>
        <v>0</v>
      </c>
      <c r="BB218" s="144">
        <f>VLOOKUP(B218,Precificação!$B$96:$BW$533,62,0)</f>
        <v>0</v>
      </c>
      <c r="BC218" s="144">
        <f t="shared" si="124"/>
        <v>0</v>
      </c>
      <c r="BD218" s="109">
        <f>IFERROR(VLOOKUP(B218,Precificação!$B$96:$S$533,13,0),0)</f>
        <v>0</v>
      </c>
      <c r="BE218" s="109">
        <f>IFERROR(VLOOKUP(B218,Precificação!$B$96:$U$533,15,0)/(Precificação!$U$4+Precificação!$U$91),0)*Dashboard!$T$3</f>
        <v>0</v>
      </c>
    </row>
    <row r="219" spans="2:57" ht="12" customHeight="1" outlineLevel="1">
      <c r="B219" s="137" t="str">
        <f>Precificação!B201</f>
        <v>EST - Equipe_01</v>
      </c>
      <c r="D219" s="512"/>
      <c r="E219" s="143" t="str">
        <f>IF('Cronog. e Histog.'!G326&gt;0,'Cronog. e Histog.'!G326,"")</f>
        <v>EST</v>
      </c>
      <c r="G219" s="179">
        <f t="shared" si="111"/>
        <v>0</v>
      </c>
      <c r="H219" s="110">
        <f>IFERROR(INDEX('Base Salarial'!$D$5:$F$25,MATCH(E219,'Base Salarial'!$G$5:$G$25,0),MATCH(I219,'Base Salarial'!$D$4:$F$4,0)),"")</f>
        <v>1633</v>
      </c>
      <c r="I219" s="78" t="str">
        <f>IFERROR(INDEX(Tarefas!$BQ$29:$FK$29,MATCH(E219,Tarefas!$BQ$30:$FK$30,0)),"")</f>
        <v>PJ</v>
      </c>
      <c r="J219" s="81">
        <f>IF(I219="horista",H219*Dashboard!$D$15,IF(OR(I219="Mensalista",I219="PJ"),H219,))</f>
        <v>1633</v>
      </c>
      <c r="K219" s="81">
        <f>IF(I219="PJ",J219,ROUND(J219*(1+Dashboard!$D$22),2))</f>
        <v>1633</v>
      </c>
      <c r="L219" s="77"/>
      <c r="M219" s="180"/>
      <c r="P219" s="109">
        <f>IF($BD219&gt;0,(((($BD219/Dashboard!$D$15)*(1+Precificação!$W$589)))+$P$26)*(1+Dashboard!$D$35),0)</f>
        <v>0</v>
      </c>
      <c r="Q219" s="109">
        <f>IF($BD219&gt;0,(((($BD219/Dashboard!$D$23)+(1+Precificação!$W$589))*(1+Q$28))+$P$26)*(1+Dashboard!$D$35),0)</f>
        <v>0</v>
      </c>
      <c r="R219" s="109">
        <f>IF($BD219&gt;0,(((($BD219/Dashboard!$D$23)+(1+Precificação!$W$589))*(1+R$28))+$P$26)*(1+Dashboard!$D$35),0)</f>
        <v>0</v>
      </c>
      <c r="S219" s="109">
        <f>IF($BD219&gt;0,(((($BD219/Dashboard!$D$23)+(1+Precificação!$W$589))*(1+S$28))+$P$26)*(1+Dashboard!$D$35),0)</f>
        <v>0</v>
      </c>
      <c r="U219" s="109">
        <f t="shared" si="112"/>
        <v>0</v>
      </c>
      <c r="V219" s="109">
        <f t="shared" si="113"/>
        <v>0</v>
      </c>
      <c r="W219" s="109">
        <f t="shared" si="114"/>
        <v>0</v>
      </c>
      <c r="X219" s="109">
        <f t="shared" si="115"/>
        <v>0</v>
      </c>
      <c r="AA219" s="109">
        <f>IF($BD219&gt;0,(((($BD219/Dashboard!$D$23)*(1+Precificação!$W$589)))+$AA$26)*(1+Dashboard!$D$35),0)</f>
        <v>0</v>
      </c>
      <c r="AB219" s="109">
        <f>IF($BD219&gt;0,(((($BD219/Dashboard!$D$23)*(1+Precificação!$W$589))*(1+AB$28))+$AA$26)*(1+Dashboard!$D$35),0)</f>
        <v>0</v>
      </c>
      <c r="AC219" s="109">
        <f>IF($BD219&gt;0,(((($BD219/Dashboard!$D$23)*(1+Precificação!$W$589))*(1+AC$28))+$AA$26)*(1+Dashboard!$D$35),0)</f>
        <v>0</v>
      </c>
      <c r="AD219" s="109">
        <f>IF($BD219&gt;0,(((($BD219/Dashboard!$D$23)*(1+Precificação!$W$589))*(1+AD$28))+$AA$26)*(1+Dashboard!$D$35),0)</f>
        <v>0</v>
      </c>
      <c r="AF219" s="109">
        <f t="shared" si="116"/>
        <v>0</v>
      </c>
      <c r="AG219" s="109">
        <f t="shared" si="117"/>
        <v>0</v>
      </c>
      <c r="AH219" s="109">
        <f t="shared" si="118"/>
        <v>0</v>
      </c>
      <c r="AI219" s="109">
        <f t="shared" si="119"/>
        <v>0</v>
      </c>
      <c r="AL219" s="109">
        <f>IF($BD219&gt;0,(((($BD219/Dashboard!$D$23)*(1+Precificação!$W$589)))+$AL$26)*(1+Dashboard!$D$35),0)</f>
        <v>0</v>
      </c>
      <c r="AM219" s="109">
        <f>IF($BD219&gt;0,(((($BD219/Dashboard!$D$23)*(1+Precificação!$W$589))*(1+AM$28))+$AA$26)*(1+Dashboard!$D$35),0)</f>
        <v>0</v>
      </c>
      <c r="AN219" s="109">
        <f>IF($BD219&gt;0,(((($BD219/Dashboard!$D$23)*(1+Precificação!$W$589))*(1+AN$28))+$AA$26)*(1+Dashboard!$D$35),0)</f>
        <v>0</v>
      </c>
      <c r="AO219" s="109">
        <f>IF($BD219&gt;0,(((($BD219/Dashboard!$D$23)*(1+Precificação!$W$589))*(1+AO$28))+$AA$26)*(1+Dashboard!$D$35),0)</f>
        <v>0</v>
      </c>
      <c r="AQ219" s="109">
        <f t="shared" si="120"/>
        <v>0</v>
      </c>
      <c r="AR219" s="109">
        <f t="shared" si="121"/>
        <v>0</v>
      </c>
      <c r="AS219" s="109">
        <f t="shared" si="122"/>
        <v>0</v>
      </c>
      <c r="AT219" s="109">
        <f t="shared" si="123"/>
        <v>0</v>
      </c>
      <c r="AW219" s="144">
        <f>VLOOKUP(B219,'Cronog. e Histog.'!$B$213:$BT$688,71,0)</f>
        <v>0</v>
      </c>
      <c r="AX219" s="144">
        <f>VLOOKUP(B219,'Cronog. e Histog.'!$B$213:$BU$688,72,0)</f>
        <v>0</v>
      </c>
      <c r="AY219" s="144">
        <f>$AW219*$AX219*Dashboard!$D$15</f>
        <v>0</v>
      </c>
      <c r="AZ219" s="144">
        <f>VLOOKUP(B219,Precificação!$B$96:$BM$533,54,0)</f>
        <v>0</v>
      </c>
      <c r="BA219" s="144">
        <f>VLOOKUP(B219,Precificação!$B$96:$BR$533,58,0)</f>
        <v>0</v>
      </c>
      <c r="BB219" s="144">
        <f>VLOOKUP(B219,Precificação!$B$96:$BW$533,62,0)</f>
        <v>0</v>
      </c>
      <c r="BC219" s="144">
        <f t="shared" si="124"/>
        <v>0</v>
      </c>
      <c r="BD219" s="109">
        <f>IFERROR(VLOOKUP(B219,Precificação!$B$96:$S$533,13,0),0)</f>
        <v>0</v>
      </c>
      <c r="BE219" s="109">
        <f>IFERROR(VLOOKUP(B219,Precificação!$B$96:$U$533,15,0)/(Precificação!$U$4+Precificação!$U$91),0)*Dashboard!$T$3</f>
        <v>0</v>
      </c>
    </row>
    <row r="220" spans="2:57" ht="12" customHeight="1" outlineLevel="1">
      <c r="B220" s="137" t="str">
        <f>Precificação!B202</f>
        <v>EST_II - Equipe_01</v>
      </c>
      <c r="D220" s="512"/>
      <c r="E220" s="143" t="str">
        <f>IF('Cronog. e Histog.'!G327&gt;0,'Cronog. e Histog.'!G327,"")</f>
        <v>EST_II</v>
      </c>
      <c r="G220" s="179">
        <f t="shared" si="111"/>
        <v>0</v>
      </c>
      <c r="H220" s="110">
        <f>IFERROR(INDEX('Base Salarial'!$D$5:$F$25,MATCH(E220,'Base Salarial'!$G$5:$G$25,0),MATCH(I220,'Base Salarial'!$D$4:$F$4,0)),"")</f>
        <v>1633</v>
      </c>
      <c r="I220" s="78" t="str">
        <f>IFERROR(INDEX(Tarefas!$BQ$29:$FK$29,MATCH(E220,Tarefas!$BQ$30:$FK$30,0)),"")</f>
        <v>PJ</v>
      </c>
      <c r="J220" s="81">
        <f>IF(I220="horista",H220*Dashboard!$D$15,IF(OR(I220="Mensalista",I220="PJ"),H220,))</f>
        <v>1633</v>
      </c>
      <c r="K220" s="81">
        <f>IF(I220="PJ",J220,ROUND(J220*(1+Dashboard!$D$22),2))</f>
        <v>1633</v>
      </c>
      <c r="L220" s="77"/>
      <c r="M220" s="180"/>
      <c r="P220" s="109">
        <f>IF($BD220&gt;0,(((($BD220/Dashboard!$D$15)*(1+Precificação!$W$589)))+$P$26)*(1+Dashboard!$D$35),0)</f>
        <v>0</v>
      </c>
      <c r="Q220" s="109">
        <f>IF($BD220&gt;0,(((($BD220/Dashboard!$D$23)+(1+Precificação!$W$589))*(1+Q$28))+$P$26)*(1+Dashboard!$D$35),0)</f>
        <v>0</v>
      </c>
      <c r="R220" s="109">
        <f>IF($BD220&gt;0,(((($BD220/Dashboard!$D$23)+(1+Precificação!$W$589))*(1+R$28))+$P$26)*(1+Dashboard!$D$35),0)</f>
        <v>0</v>
      </c>
      <c r="S220" s="109">
        <f>IF($BD220&gt;0,(((($BD220/Dashboard!$D$23)+(1+Precificação!$W$589))*(1+S$28))+$P$26)*(1+Dashboard!$D$35),0)</f>
        <v>0</v>
      </c>
      <c r="U220" s="109">
        <f t="shared" si="112"/>
        <v>0</v>
      </c>
      <c r="V220" s="109">
        <f t="shared" si="113"/>
        <v>0</v>
      </c>
      <c r="W220" s="109">
        <f t="shared" si="114"/>
        <v>0</v>
      </c>
      <c r="X220" s="109">
        <f t="shared" si="115"/>
        <v>0</v>
      </c>
      <c r="AA220" s="109">
        <f>IF($BD220&gt;0,(((($BD220/Dashboard!$D$23)*(1+Precificação!$W$589)))+$AA$26)*(1+Dashboard!$D$35),0)</f>
        <v>0</v>
      </c>
      <c r="AB220" s="109">
        <f>IF($BD220&gt;0,(((($BD220/Dashboard!$D$23)*(1+Precificação!$W$589))*(1+AB$28))+$AA$26)*(1+Dashboard!$D$35),0)</f>
        <v>0</v>
      </c>
      <c r="AC220" s="109">
        <f>IF($BD220&gt;0,(((($BD220/Dashboard!$D$23)*(1+Precificação!$W$589))*(1+AC$28))+$AA$26)*(1+Dashboard!$D$35),0)</f>
        <v>0</v>
      </c>
      <c r="AD220" s="109">
        <f>IF($BD220&gt;0,(((($BD220/Dashboard!$D$23)*(1+Precificação!$W$589))*(1+AD$28))+$AA$26)*(1+Dashboard!$D$35),0)</f>
        <v>0</v>
      </c>
      <c r="AF220" s="109">
        <f t="shared" si="116"/>
        <v>0</v>
      </c>
      <c r="AG220" s="109">
        <f t="shared" si="117"/>
        <v>0</v>
      </c>
      <c r="AH220" s="109">
        <f t="shared" si="118"/>
        <v>0</v>
      </c>
      <c r="AI220" s="109">
        <f t="shared" si="119"/>
        <v>0</v>
      </c>
      <c r="AL220" s="109">
        <f>IF($BD220&gt;0,(((($BD220/Dashboard!$D$23)*(1+Precificação!$W$589)))+$AL$26)*(1+Dashboard!$D$35),0)</f>
        <v>0</v>
      </c>
      <c r="AM220" s="109">
        <f>IF($BD220&gt;0,(((($BD220/Dashboard!$D$23)*(1+Precificação!$W$589))*(1+AM$28))+$AA$26)*(1+Dashboard!$D$35),0)</f>
        <v>0</v>
      </c>
      <c r="AN220" s="109">
        <f>IF($BD220&gt;0,(((($BD220/Dashboard!$D$23)*(1+Precificação!$W$589))*(1+AN$28))+$AA$26)*(1+Dashboard!$D$35),0)</f>
        <v>0</v>
      </c>
      <c r="AO220" s="109">
        <f>IF($BD220&gt;0,(((($BD220/Dashboard!$D$23)*(1+Precificação!$W$589))*(1+AO$28))+$AA$26)*(1+Dashboard!$D$35),0)</f>
        <v>0</v>
      </c>
      <c r="AQ220" s="109">
        <f t="shared" si="120"/>
        <v>0</v>
      </c>
      <c r="AR220" s="109">
        <f t="shared" si="121"/>
        <v>0</v>
      </c>
      <c r="AS220" s="109">
        <f t="shared" si="122"/>
        <v>0</v>
      </c>
      <c r="AT220" s="109">
        <f t="shared" si="123"/>
        <v>0</v>
      </c>
      <c r="AW220" s="144">
        <f>VLOOKUP(B220,'Cronog. e Histog.'!$B$213:$BT$688,71,0)</f>
        <v>0</v>
      </c>
      <c r="AX220" s="144">
        <f>VLOOKUP(B220,'Cronog. e Histog.'!$B$213:$BU$688,72,0)</f>
        <v>0</v>
      </c>
      <c r="AY220" s="144">
        <f>$AW220*$AX220*Dashboard!$D$15</f>
        <v>0</v>
      </c>
      <c r="AZ220" s="144">
        <f>VLOOKUP(B220,Precificação!$B$96:$BM$533,54,0)</f>
        <v>0</v>
      </c>
      <c r="BA220" s="144">
        <f>VLOOKUP(B220,Precificação!$B$96:$BR$533,58,0)</f>
        <v>0</v>
      </c>
      <c r="BB220" s="144">
        <f>VLOOKUP(B220,Precificação!$B$96:$BW$533,62,0)</f>
        <v>0</v>
      </c>
      <c r="BC220" s="144">
        <f t="shared" si="124"/>
        <v>0</v>
      </c>
      <c r="BD220" s="109">
        <f>IFERROR(VLOOKUP(B220,Precificação!$B$96:$S$533,13,0),0)</f>
        <v>0</v>
      </c>
      <c r="BE220" s="109">
        <f>IFERROR(VLOOKUP(B220,Precificação!$B$96:$U$533,15,0)/(Precificação!$U$4+Precificação!$U$91),0)*Dashboard!$T$3</f>
        <v>0</v>
      </c>
    </row>
    <row r="221" spans="2:57" ht="12" customHeight="1" outlineLevel="1">
      <c r="B221" s="137" t="str">
        <f>Precificação!B203</f>
        <v>EST_III - Equipe_01</v>
      </c>
      <c r="D221" s="512"/>
      <c r="E221" s="143" t="str">
        <f>IF('Cronog. e Histog.'!G328&gt;0,'Cronog. e Histog.'!G328,"")</f>
        <v>EST_III</v>
      </c>
      <c r="G221" s="179">
        <f t="shared" si="111"/>
        <v>0</v>
      </c>
      <c r="H221" s="110">
        <f>IFERROR(INDEX('Base Salarial'!$D$5:$F$25,MATCH(E221,'Base Salarial'!$G$5:$G$25,0),MATCH(I221,'Base Salarial'!$D$4:$F$4,0)),"")</f>
        <v>1633</v>
      </c>
      <c r="I221" s="78" t="str">
        <f>IFERROR(INDEX(Tarefas!$BQ$29:$FK$29,MATCH(E221,Tarefas!$BQ$30:$FK$30,0)),"")</f>
        <v>PJ</v>
      </c>
      <c r="J221" s="81">
        <f>IF(I221="horista",H221*Dashboard!$D$15,IF(OR(I221="Mensalista",I221="PJ"),H221,))</f>
        <v>1633</v>
      </c>
      <c r="K221" s="81">
        <f>IF(I221="PJ",J221,ROUND(J221*(1+Dashboard!$D$22),2))</f>
        <v>1633</v>
      </c>
      <c r="L221" s="77"/>
      <c r="M221" s="180"/>
      <c r="P221" s="109">
        <f>IF($BD221&gt;0,(((($BD221/Dashboard!$D$15)*(1+Precificação!$W$589)))+$P$26)*(1+Dashboard!$D$35),0)</f>
        <v>0</v>
      </c>
      <c r="Q221" s="109">
        <f>IF($BD221&gt;0,(((($BD221/Dashboard!$D$23)+(1+Precificação!$W$589))*(1+Q$28))+$P$26)*(1+Dashboard!$D$35),0)</f>
        <v>0</v>
      </c>
      <c r="R221" s="109">
        <f>IF($BD221&gt;0,(((($BD221/Dashboard!$D$23)+(1+Precificação!$W$589))*(1+R$28))+$P$26)*(1+Dashboard!$D$35),0)</f>
        <v>0</v>
      </c>
      <c r="S221" s="109">
        <f>IF($BD221&gt;0,(((($BD221/Dashboard!$D$23)+(1+Precificação!$W$589))*(1+S$28))+$P$26)*(1+Dashboard!$D$35),0)</f>
        <v>0</v>
      </c>
      <c r="U221" s="109">
        <f t="shared" si="112"/>
        <v>0</v>
      </c>
      <c r="V221" s="109">
        <f t="shared" si="113"/>
        <v>0</v>
      </c>
      <c r="W221" s="109">
        <f t="shared" si="114"/>
        <v>0</v>
      </c>
      <c r="X221" s="109">
        <f t="shared" si="115"/>
        <v>0</v>
      </c>
      <c r="AA221" s="109">
        <f>IF($BD221&gt;0,(((($BD221/Dashboard!$D$23)*(1+Precificação!$W$589)))+$AA$26)*(1+Dashboard!$D$35),0)</f>
        <v>0</v>
      </c>
      <c r="AB221" s="109">
        <f>IF($BD221&gt;0,(((($BD221/Dashboard!$D$23)*(1+Precificação!$W$589))*(1+AB$28))+$AA$26)*(1+Dashboard!$D$35),0)</f>
        <v>0</v>
      </c>
      <c r="AC221" s="109">
        <f>IF($BD221&gt;0,(((($BD221/Dashboard!$D$23)*(1+Precificação!$W$589))*(1+AC$28))+$AA$26)*(1+Dashboard!$D$35),0)</f>
        <v>0</v>
      </c>
      <c r="AD221" s="109">
        <f>IF($BD221&gt;0,(((($BD221/Dashboard!$D$23)*(1+Precificação!$W$589))*(1+AD$28))+$AA$26)*(1+Dashboard!$D$35),0)</f>
        <v>0</v>
      </c>
      <c r="AF221" s="109">
        <f t="shared" si="116"/>
        <v>0</v>
      </c>
      <c r="AG221" s="109">
        <f t="shared" si="117"/>
        <v>0</v>
      </c>
      <c r="AH221" s="109">
        <f t="shared" si="118"/>
        <v>0</v>
      </c>
      <c r="AI221" s="109">
        <f t="shared" si="119"/>
        <v>0</v>
      </c>
      <c r="AL221" s="109">
        <f>IF($BD221&gt;0,(((($BD221/Dashboard!$D$23)*(1+Precificação!$W$589)))+$AL$26)*(1+Dashboard!$D$35),0)</f>
        <v>0</v>
      </c>
      <c r="AM221" s="109">
        <f>IF($BD221&gt;0,(((($BD221/Dashboard!$D$23)*(1+Precificação!$W$589))*(1+AM$28))+$AA$26)*(1+Dashboard!$D$35),0)</f>
        <v>0</v>
      </c>
      <c r="AN221" s="109">
        <f>IF($BD221&gt;0,(((($BD221/Dashboard!$D$23)*(1+Precificação!$W$589))*(1+AN$28))+$AA$26)*(1+Dashboard!$D$35),0)</f>
        <v>0</v>
      </c>
      <c r="AO221" s="109">
        <f>IF($BD221&gt;0,(((($BD221/Dashboard!$D$23)*(1+Precificação!$W$589))*(1+AO$28))+$AA$26)*(1+Dashboard!$D$35),0)</f>
        <v>0</v>
      </c>
      <c r="AQ221" s="109">
        <f t="shared" si="120"/>
        <v>0</v>
      </c>
      <c r="AR221" s="109">
        <f t="shared" si="121"/>
        <v>0</v>
      </c>
      <c r="AS221" s="109">
        <f t="shared" si="122"/>
        <v>0</v>
      </c>
      <c r="AT221" s="109">
        <f t="shared" si="123"/>
        <v>0</v>
      </c>
      <c r="AW221" s="144">
        <f>VLOOKUP(B221,'Cronog. e Histog.'!$B$213:$BT$688,71,0)</f>
        <v>0</v>
      </c>
      <c r="AX221" s="144">
        <f>VLOOKUP(B221,'Cronog. e Histog.'!$B$213:$BU$688,72,0)</f>
        <v>0</v>
      </c>
      <c r="AY221" s="144">
        <f>$AW221*$AX221*Dashboard!$D$15</f>
        <v>0</v>
      </c>
      <c r="AZ221" s="144">
        <f>VLOOKUP(B221,Precificação!$B$96:$BM$533,54,0)</f>
        <v>0</v>
      </c>
      <c r="BA221" s="144">
        <f>VLOOKUP(B221,Precificação!$B$96:$BR$533,58,0)</f>
        <v>0</v>
      </c>
      <c r="BB221" s="144">
        <f>VLOOKUP(B221,Precificação!$B$96:$BW$533,62,0)</f>
        <v>0</v>
      </c>
      <c r="BC221" s="144">
        <f t="shared" si="124"/>
        <v>0</v>
      </c>
      <c r="BD221" s="109">
        <f>IFERROR(VLOOKUP(B221,Precificação!$B$96:$S$533,13,0),0)</f>
        <v>0</v>
      </c>
      <c r="BE221" s="109">
        <f>IFERROR(VLOOKUP(B221,Precificação!$B$96:$U$533,15,0)/(Precificação!$U$4+Precificação!$U$91),0)*Dashboard!$T$3</f>
        <v>0</v>
      </c>
    </row>
    <row r="222" spans="2:57" ht="12" customHeight="1" outlineLevel="1"/>
    <row r="223" spans="2:57" ht="12" customHeight="1" outlineLevel="1">
      <c r="B223" s="137" t="str">
        <f>Precificação!B206</f>
        <v>GER. (OBRA/PROJ) - Equipe_01</v>
      </c>
      <c r="D223" s="512" t="str">
        <f>'Cronog. e Histog.'!F331</f>
        <v>Equipe06</v>
      </c>
      <c r="E223" s="143" t="str">
        <f>IF('Cronog. e Histog.'!G333&gt;0,'Cronog. e Histog.'!G333,"")</f>
        <v>GER. (OBRA/PROJ)</v>
      </c>
      <c r="G223" s="179">
        <f t="shared" ref="G223" si="125">IF(AND((AW223*AX223)&gt;0,K223=0),1,0)</f>
        <v>0</v>
      </c>
      <c r="H223" s="110">
        <f>IFERROR(INDEX('Base Salarial'!$D$5:$F$25,MATCH(E223,'Base Salarial'!$G$5:$G$25,0),MATCH(I223,'Base Salarial'!$D$4:$F$4,0)),"")</f>
        <v>21000</v>
      </c>
      <c r="I223" s="78" t="str">
        <f>IFERROR(INDEX(Tarefas!$BQ$29:$FK$29,MATCH(E223,Tarefas!$BQ$30:$FK$30,0)),"")</f>
        <v>PJ</v>
      </c>
      <c r="J223" s="81">
        <f>IF(I223="horista",H223*Dashboard!$D$15,IF(OR(I223="Mensalista",I223="PJ"),H223,))</f>
        <v>21000</v>
      </c>
      <c r="K223" s="81">
        <f>IF(I223="PJ",J223,ROUND(J223*(1+Dashboard!$D$22),2))</f>
        <v>21000</v>
      </c>
      <c r="L223" s="77"/>
      <c r="M223" s="180"/>
      <c r="P223" s="109">
        <f>IF($BD223&gt;0,(((($BD223/Dashboard!$D$15)*(1+Precificação!$W$589)))+$P$26)*(1+Dashboard!$D$35),0)</f>
        <v>0</v>
      </c>
      <c r="Q223" s="109">
        <f>IF($BD223&gt;0,(((($BD223/Dashboard!$D$23)+(1+Precificação!$W$589))*(1+Q$28))+$P$26)*(1+Dashboard!$D$35),0)</f>
        <v>0</v>
      </c>
      <c r="R223" s="109">
        <f>IF($BD223&gt;0,(((($BD223/Dashboard!$D$23)+(1+Precificação!$W$589))*(1+R$28))+$P$26)*(1+Dashboard!$D$35),0)</f>
        <v>0</v>
      </c>
      <c r="S223" s="109">
        <f>IF($BD223&gt;0,(((($BD223/Dashboard!$D$23)+(1+Precificação!$W$589))*(1+S$28))+$P$26)*(1+Dashboard!$D$35),0)</f>
        <v>0</v>
      </c>
      <c r="U223" s="109">
        <f>IF(P223&gt;0,P223+U$32,0)</f>
        <v>0</v>
      </c>
      <c r="V223" s="109">
        <f t="shared" ref="V223:X223" si="126">IF(Q223&gt;0,Q223+V$32,0)</f>
        <v>0</v>
      </c>
      <c r="W223" s="109">
        <f t="shared" si="126"/>
        <v>0</v>
      </c>
      <c r="X223" s="109">
        <f t="shared" si="126"/>
        <v>0</v>
      </c>
      <c r="AA223" s="109">
        <f>IF($BD223&gt;0,(((($BD223/Dashboard!$D$23)*(1+Precificação!$W$589)))+$AA$26)*(1+Dashboard!$D$35),0)</f>
        <v>0</v>
      </c>
      <c r="AB223" s="109">
        <f>IF($BD223&gt;0,(((($BD223/Dashboard!$D$23)*(1+Precificação!$W$589))*(1+AB$28))+$AA$26)*(1+Dashboard!$D$35),0)</f>
        <v>0</v>
      </c>
      <c r="AC223" s="109">
        <f>IF($BD223&gt;0,(((($BD223/Dashboard!$D$23)*(1+Precificação!$W$589))*(1+AC$28))+$AA$26)*(1+Dashboard!$D$35),0)</f>
        <v>0</v>
      </c>
      <c r="AD223" s="109">
        <f>IF($BD223&gt;0,(((($BD223/Dashboard!$D$23)*(1+Precificação!$W$589))*(1+AD$28))+$AA$26)*(1+Dashboard!$D$35),0)</f>
        <v>0</v>
      </c>
      <c r="AF223" s="109">
        <f>IF(AA223&gt;0,AA223+AF$32,0)</f>
        <v>0</v>
      </c>
      <c r="AG223" s="109">
        <f t="shared" ref="AG223" si="127">IF(AB223&gt;0,AB223+AG$32,0)</f>
        <v>0</v>
      </c>
      <c r="AH223" s="109">
        <f t="shared" ref="AH223" si="128">IF(AC223&gt;0,AC223+AH$32,0)</f>
        <v>0</v>
      </c>
      <c r="AI223" s="109">
        <f t="shared" ref="AI223" si="129">IF(AD223&gt;0,AD223+AI$32,0)</f>
        <v>0</v>
      </c>
      <c r="AL223" s="109">
        <f>IF($BD223&gt;0,(((($BD223/Dashboard!$D$23)*(1+Precificação!$W$589)))+$AL$26)*(1+Dashboard!$D$35),0)</f>
        <v>0</v>
      </c>
      <c r="AM223" s="109">
        <f>IF($BD223&gt;0,(((($BD223/Dashboard!$D$23)*(1+Precificação!$W$589))*(1+AM$28))+$AA$26)*(1+Dashboard!$D$35),0)</f>
        <v>0</v>
      </c>
      <c r="AN223" s="109">
        <f>IF($BD223&gt;0,(((($BD223/Dashboard!$D$23)*(1+Precificação!$W$589))*(1+AN$28))+$AA$26)*(1+Dashboard!$D$35),0)</f>
        <v>0</v>
      </c>
      <c r="AO223" s="109">
        <f>IF($BD223&gt;0,(((($BD223/Dashboard!$D$23)*(1+Precificação!$W$589))*(1+AO$28))+$AA$26)*(1+Dashboard!$D$35),0)</f>
        <v>0</v>
      </c>
      <c r="AQ223" s="109">
        <f>IF(AL223&gt;0,AL223+AQ$32,0)</f>
        <v>0</v>
      </c>
      <c r="AR223" s="109">
        <f t="shared" ref="AR223" si="130">IF(AM223&gt;0,AM223+AR$32,0)</f>
        <v>0</v>
      </c>
      <c r="AS223" s="109">
        <f t="shared" ref="AS223" si="131">IF(AN223&gt;0,AN223+AS$32,0)</f>
        <v>0</v>
      </c>
      <c r="AT223" s="109">
        <f t="shared" ref="AT223" si="132">IF(AO223&gt;0,AO223+AT$32,0)</f>
        <v>0</v>
      </c>
      <c r="AW223" s="144">
        <f>VLOOKUP(B223,'Cronog. e Histog.'!$B$213:$BT$688,71,0)</f>
        <v>1.9999999999999997E-2</v>
      </c>
      <c r="AX223" s="144">
        <f>VLOOKUP(B223,'Cronog. e Histog.'!$B$213:$BU$688,72,0)</f>
        <v>10</v>
      </c>
      <c r="AY223" s="144">
        <f>$AW223*$AX223*Dashboard!$D$15</f>
        <v>38.72</v>
      </c>
      <c r="AZ223" s="144">
        <f>VLOOKUP(B223,Precificação!$B$96:$BM$533,54,0)</f>
        <v>0</v>
      </c>
      <c r="BA223" s="144">
        <f>VLOOKUP(B223,Precificação!$B$96:$BR$533,58,0)</f>
        <v>0</v>
      </c>
      <c r="BB223" s="144">
        <f>VLOOKUP(B223,Precificação!$B$96:$BW$533,62,0)</f>
        <v>0</v>
      </c>
      <c r="BC223" s="144">
        <f t="shared" ref="BC223" si="133">SUM(AY223:BB223)</f>
        <v>38.72</v>
      </c>
      <c r="BD223" s="109">
        <f>IFERROR(VLOOKUP(B223,Precificação!$B$96:$S$533,13,0),0)</f>
        <v>0</v>
      </c>
      <c r="BE223" s="109">
        <f>IFERROR(VLOOKUP(B223,Precificação!$B$96:$U$533,15,0)/(Precificação!$U$4+Precificação!$U$91),0)*Dashboard!$T$3</f>
        <v>0</v>
      </c>
    </row>
    <row r="224" spans="2:57" ht="12" customHeight="1" outlineLevel="1">
      <c r="B224" s="137" t="str">
        <f>Precificação!B207</f>
        <v>COORD. - Equipe_01</v>
      </c>
      <c r="D224" s="512"/>
      <c r="E224" s="143" t="str">
        <f>IF('Cronog. e Histog.'!G334&gt;0,'Cronog. e Histog.'!G334,"")</f>
        <v>COORD.</v>
      </c>
      <c r="G224" s="179">
        <f t="shared" ref="G224:G242" si="134">IF(AND((AW224*AX224)&gt;0,K224=0),1,0)</f>
        <v>0</v>
      </c>
      <c r="H224" s="110">
        <f>IFERROR(INDEX('Base Salarial'!$D$5:$F$25,MATCH(E224,'Base Salarial'!$G$5:$G$25,0),MATCH(I224,'Base Salarial'!$D$4:$F$4,0)),"")</f>
        <v>19000</v>
      </c>
      <c r="I224" s="78" t="str">
        <f>IFERROR(INDEX(Tarefas!$BQ$29:$FK$29,MATCH(E224,Tarefas!$BQ$30:$FK$30,0)),"")</f>
        <v>PJ</v>
      </c>
      <c r="J224" s="81">
        <f>IF(I224="horista",H224*Dashboard!$D$15,IF(OR(I224="Mensalista",I224="PJ"),H224,))</f>
        <v>19000</v>
      </c>
      <c r="K224" s="81">
        <f>IF(I224="PJ",J224,ROUND(J224*(1+Dashboard!$D$22),2))</f>
        <v>19000</v>
      </c>
      <c r="L224" s="77"/>
      <c r="M224" s="180"/>
      <c r="P224" s="109">
        <f>IF($BD224&gt;0,(((($BD224/Dashboard!$D$15)*(1+Precificação!$W$589)))+$P$26)*(1+Dashboard!$D$35),0)</f>
        <v>0</v>
      </c>
      <c r="Q224" s="109">
        <f>IF($BD224&gt;0,(((($BD224/Dashboard!$D$23)+(1+Precificação!$W$589))*(1+Q$28))+$P$26)*(1+Dashboard!$D$35),0)</f>
        <v>0</v>
      </c>
      <c r="R224" s="109">
        <f>IF($BD224&gt;0,(((($BD224/Dashboard!$D$23)+(1+Precificação!$W$589))*(1+R$28))+$P$26)*(1+Dashboard!$D$35),0)</f>
        <v>0</v>
      </c>
      <c r="S224" s="109">
        <f>IF($BD224&gt;0,(((($BD224/Dashboard!$D$23)+(1+Precificação!$W$589))*(1+S$28))+$P$26)*(1+Dashboard!$D$35),0)</f>
        <v>0</v>
      </c>
      <c r="U224" s="109">
        <f t="shared" ref="U224:U242" si="135">IF(P224&gt;0,P224+U$32,0)</f>
        <v>0</v>
      </c>
      <c r="V224" s="109">
        <f t="shared" ref="V224:V242" si="136">IF(Q224&gt;0,Q224+V$32,0)</f>
        <v>0</v>
      </c>
      <c r="W224" s="109">
        <f t="shared" ref="W224:W242" si="137">IF(R224&gt;0,R224+W$32,0)</f>
        <v>0</v>
      </c>
      <c r="X224" s="109">
        <f t="shared" ref="X224:X242" si="138">IF(S224&gt;0,S224+X$32,0)</f>
        <v>0</v>
      </c>
      <c r="AA224" s="109">
        <f>IF($BD224&gt;0,(((($BD224/Dashboard!$D$23)*(1+Precificação!$W$589)))+$AA$26)*(1+Dashboard!$D$35),0)</f>
        <v>0</v>
      </c>
      <c r="AB224" s="109">
        <f>IF($BD224&gt;0,(((($BD224/Dashboard!$D$23)*(1+Precificação!$W$589))*(1+AB$28))+$AA$26)*(1+Dashboard!$D$35),0)</f>
        <v>0</v>
      </c>
      <c r="AC224" s="109">
        <f>IF($BD224&gt;0,(((($BD224/Dashboard!$D$23)*(1+Precificação!$W$589))*(1+AC$28))+$AA$26)*(1+Dashboard!$D$35),0)</f>
        <v>0</v>
      </c>
      <c r="AD224" s="109">
        <f>IF($BD224&gt;0,(((($BD224/Dashboard!$D$23)*(1+Precificação!$W$589))*(1+AD$28))+$AA$26)*(1+Dashboard!$D$35),0)</f>
        <v>0</v>
      </c>
      <c r="AF224" s="109">
        <f t="shared" ref="AF224:AF242" si="139">IF(AA224&gt;0,AA224+AF$32,0)</f>
        <v>0</v>
      </c>
      <c r="AG224" s="109">
        <f t="shared" ref="AG224:AG242" si="140">IF(AB224&gt;0,AB224+AG$32,0)</f>
        <v>0</v>
      </c>
      <c r="AH224" s="109">
        <f t="shared" ref="AH224:AH242" si="141">IF(AC224&gt;0,AC224+AH$32,0)</f>
        <v>0</v>
      </c>
      <c r="AI224" s="109">
        <f t="shared" ref="AI224:AI242" si="142">IF(AD224&gt;0,AD224+AI$32,0)</f>
        <v>0</v>
      </c>
      <c r="AL224" s="109">
        <f>IF($BD224&gt;0,(((($BD224/Dashboard!$D$23)*(1+Precificação!$W$589)))+$AL$26)*(1+Dashboard!$D$35),0)</f>
        <v>0</v>
      </c>
      <c r="AM224" s="109">
        <f>IF($BD224&gt;0,(((($BD224/Dashboard!$D$23)*(1+Precificação!$W$589))*(1+AM$28))+$AA$26)*(1+Dashboard!$D$35),0)</f>
        <v>0</v>
      </c>
      <c r="AN224" s="109">
        <f>IF($BD224&gt;0,(((($BD224/Dashboard!$D$23)*(1+Precificação!$W$589))*(1+AN$28))+$AA$26)*(1+Dashboard!$D$35),0)</f>
        <v>0</v>
      </c>
      <c r="AO224" s="109">
        <f>IF($BD224&gt;0,(((($BD224/Dashboard!$D$23)*(1+Precificação!$W$589))*(1+AO$28))+$AA$26)*(1+Dashboard!$D$35),0)</f>
        <v>0</v>
      </c>
      <c r="AQ224" s="109">
        <f t="shared" ref="AQ224:AQ242" si="143">IF(AL224&gt;0,AL224+AQ$32,0)</f>
        <v>0</v>
      </c>
      <c r="AR224" s="109">
        <f t="shared" ref="AR224:AR242" si="144">IF(AM224&gt;0,AM224+AR$32,0)</f>
        <v>0</v>
      </c>
      <c r="AS224" s="109">
        <f t="shared" ref="AS224:AS242" si="145">IF(AN224&gt;0,AN224+AS$32,0)</f>
        <v>0</v>
      </c>
      <c r="AT224" s="109">
        <f t="shared" ref="AT224:AT242" si="146">IF(AO224&gt;0,AO224+AT$32,0)</f>
        <v>0</v>
      </c>
      <c r="AW224" s="144">
        <f>VLOOKUP(B224,'Cronog. e Histog.'!$B$213:$BT$688,71,0)</f>
        <v>1</v>
      </c>
      <c r="AX224" s="144">
        <f>VLOOKUP(B224,'Cronog. e Histog.'!$B$213:$BU$688,72,0)</f>
        <v>10</v>
      </c>
      <c r="AY224" s="144">
        <f>$AW224*$AX224*Dashboard!$D$15</f>
        <v>1936.0000000000002</v>
      </c>
      <c r="AZ224" s="144">
        <f>VLOOKUP(B224,Precificação!$B$96:$BM$533,54,0)</f>
        <v>0</v>
      </c>
      <c r="BA224" s="144">
        <f>VLOOKUP(B224,Precificação!$B$96:$BR$533,58,0)</f>
        <v>0</v>
      </c>
      <c r="BB224" s="144">
        <f>VLOOKUP(B224,Precificação!$B$96:$BW$533,62,0)</f>
        <v>0</v>
      </c>
      <c r="BC224" s="144">
        <f t="shared" ref="BC224:BC242" si="147">SUM(AY224:BB224)</f>
        <v>1936.0000000000002</v>
      </c>
      <c r="BD224" s="109">
        <f>IFERROR(VLOOKUP(B224,Precificação!$B$96:$S$533,13,0),0)</f>
        <v>0</v>
      </c>
      <c r="BE224" s="109">
        <f>IFERROR(VLOOKUP(B224,Precificação!$B$96:$U$533,15,0)/(Precificação!$U$4+Precificação!$U$91),0)*Dashboard!$T$3</f>
        <v>0</v>
      </c>
    </row>
    <row r="225" spans="2:57" ht="12" customHeight="1" outlineLevel="1">
      <c r="B225" s="137" t="str">
        <f>Precificação!B208</f>
        <v>SUP.-ESP - Equipe_01</v>
      </c>
      <c r="D225" s="512"/>
      <c r="E225" s="143" t="str">
        <f>IF('Cronog. e Histog.'!G335&gt;0,'Cronog. e Histog.'!G335,"")</f>
        <v>SUP.-ESP</v>
      </c>
      <c r="G225" s="179">
        <f t="shared" si="134"/>
        <v>0</v>
      </c>
      <c r="H225" s="110">
        <f>IFERROR(INDEX('Base Salarial'!$D$5:$F$25,MATCH(E225,'Base Salarial'!$G$5:$G$25,0),MATCH(I225,'Base Salarial'!$D$4:$F$4,0)),"")</f>
        <v>9166.6666666666679</v>
      </c>
      <c r="I225" s="78" t="str">
        <f>IFERROR(INDEX(Tarefas!$BQ$29:$FK$29,MATCH(E225,Tarefas!$BQ$30:$FK$30,0)),"")</f>
        <v>Mensalista</v>
      </c>
      <c r="J225" s="81">
        <f>IF(I225="horista",H225*Dashboard!$D$15,IF(OR(I225="Mensalista",I225="PJ"),H225,))</f>
        <v>9166.6666666666679</v>
      </c>
      <c r="K225" s="81">
        <f>IF(I225="PJ",J225,ROUND(J225*(1+Dashboard!$D$22),2))</f>
        <v>9716.67</v>
      </c>
      <c r="L225" s="77"/>
      <c r="M225" s="180"/>
      <c r="P225" s="109">
        <f>IF($BD225&gt;0,(((($BD225/Dashboard!$D$15)*(1+Precificação!$W$589)))+$P$26)*(1+Dashboard!$D$35),0)</f>
        <v>0</v>
      </c>
      <c r="Q225" s="109">
        <f>IF($BD225&gt;0,(((($BD225/Dashboard!$D$23)+(1+Precificação!$W$589))*(1+Q$28))+$P$26)*(1+Dashboard!$D$35),0)</f>
        <v>0</v>
      </c>
      <c r="R225" s="109">
        <f>IF($BD225&gt;0,(((($BD225/Dashboard!$D$23)+(1+Precificação!$W$589))*(1+R$28))+$P$26)*(1+Dashboard!$D$35),0)</f>
        <v>0</v>
      </c>
      <c r="S225" s="109">
        <f>IF($BD225&gt;0,(((($BD225/Dashboard!$D$23)+(1+Precificação!$W$589))*(1+S$28))+$P$26)*(1+Dashboard!$D$35),0)</f>
        <v>0</v>
      </c>
      <c r="U225" s="109">
        <f t="shared" si="135"/>
        <v>0</v>
      </c>
      <c r="V225" s="109">
        <f t="shared" si="136"/>
        <v>0</v>
      </c>
      <c r="W225" s="109">
        <f t="shared" si="137"/>
        <v>0</v>
      </c>
      <c r="X225" s="109">
        <f t="shared" si="138"/>
        <v>0</v>
      </c>
      <c r="AA225" s="109">
        <f>IF($BD225&gt;0,(((($BD225/Dashboard!$D$23)*(1+Precificação!$W$589)))+$AA$26)*(1+Dashboard!$D$35),0)</f>
        <v>0</v>
      </c>
      <c r="AB225" s="109">
        <f>IF($BD225&gt;0,(((($BD225/Dashboard!$D$23)*(1+Precificação!$W$589))*(1+AB$28))+$AA$26)*(1+Dashboard!$D$35),0)</f>
        <v>0</v>
      </c>
      <c r="AC225" s="109">
        <f>IF($BD225&gt;0,(((($BD225/Dashboard!$D$23)*(1+Precificação!$W$589))*(1+AC$28))+$AA$26)*(1+Dashboard!$D$35),0)</f>
        <v>0</v>
      </c>
      <c r="AD225" s="109">
        <f>IF($BD225&gt;0,(((($BD225/Dashboard!$D$23)*(1+Precificação!$W$589))*(1+AD$28))+$AA$26)*(1+Dashboard!$D$35),0)</f>
        <v>0</v>
      </c>
      <c r="AF225" s="109">
        <f t="shared" si="139"/>
        <v>0</v>
      </c>
      <c r="AG225" s="109">
        <f t="shared" si="140"/>
        <v>0</v>
      </c>
      <c r="AH225" s="109">
        <f t="shared" si="141"/>
        <v>0</v>
      </c>
      <c r="AI225" s="109">
        <f t="shared" si="142"/>
        <v>0</v>
      </c>
      <c r="AL225" s="109">
        <f>IF($BD225&gt;0,(((($BD225/Dashboard!$D$23)*(1+Precificação!$W$589)))+$AL$26)*(1+Dashboard!$D$35),0)</f>
        <v>0</v>
      </c>
      <c r="AM225" s="109">
        <f>IF($BD225&gt;0,(((($BD225/Dashboard!$D$23)*(1+Precificação!$W$589))*(1+AM$28))+$AA$26)*(1+Dashboard!$D$35),0)</f>
        <v>0</v>
      </c>
      <c r="AN225" s="109">
        <f>IF($BD225&gt;0,(((($BD225/Dashboard!$D$23)*(1+Precificação!$W$589))*(1+AN$28))+$AA$26)*(1+Dashboard!$D$35),0)</f>
        <v>0</v>
      </c>
      <c r="AO225" s="109">
        <f>IF($BD225&gt;0,(((($BD225/Dashboard!$D$23)*(1+Precificação!$W$589))*(1+AO$28))+$AA$26)*(1+Dashboard!$D$35),0)</f>
        <v>0</v>
      </c>
      <c r="AQ225" s="109">
        <f t="shared" si="143"/>
        <v>0</v>
      </c>
      <c r="AR225" s="109">
        <f t="shared" si="144"/>
        <v>0</v>
      </c>
      <c r="AS225" s="109">
        <f t="shared" si="145"/>
        <v>0</v>
      </c>
      <c r="AT225" s="109">
        <f t="shared" si="146"/>
        <v>0</v>
      </c>
      <c r="AW225" s="144">
        <f>VLOOKUP(B225,'Cronog. e Histog.'!$B$213:$BT$688,71,0)</f>
        <v>0</v>
      </c>
      <c r="AX225" s="144">
        <f>VLOOKUP(B225,'Cronog. e Histog.'!$B$213:$BU$688,72,0)</f>
        <v>0</v>
      </c>
      <c r="AY225" s="144">
        <f>$AW225*$AX225*Dashboard!$D$15</f>
        <v>0</v>
      </c>
      <c r="AZ225" s="144">
        <f>VLOOKUP(B225,Precificação!$B$96:$BM$533,54,0)</f>
        <v>0</v>
      </c>
      <c r="BA225" s="144">
        <f>VLOOKUP(B225,Precificação!$B$96:$BR$533,58,0)</f>
        <v>0</v>
      </c>
      <c r="BB225" s="144">
        <f>VLOOKUP(B225,Precificação!$B$96:$BW$533,62,0)</f>
        <v>0</v>
      </c>
      <c r="BC225" s="144">
        <f t="shared" si="147"/>
        <v>0</v>
      </c>
      <c r="BD225" s="109">
        <f>IFERROR(VLOOKUP(B225,Precificação!$B$96:$S$533,13,0),0)</f>
        <v>0</v>
      </c>
      <c r="BE225" s="109">
        <f>IFERROR(VLOOKUP(B225,Precificação!$B$96:$U$533,15,0)/(Precificação!$U$4+Precificação!$U$91),0)*Dashboard!$T$3</f>
        <v>0</v>
      </c>
    </row>
    <row r="226" spans="2:57" ht="12" customHeight="1" outlineLevel="1">
      <c r="B226" s="137" t="str">
        <f>Precificação!B209</f>
        <v>ENG/ARQ SR. - Equipe_01</v>
      </c>
      <c r="D226" s="512"/>
      <c r="E226" s="143" t="str">
        <f>IF('Cronog. e Histog.'!G336&gt;0,'Cronog. e Histog.'!G336,"")</f>
        <v>ENG/ARQ SR.</v>
      </c>
      <c r="G226" s="179">
        <f t="shared" si="134"/>
        <v>0</v>
      </c>
      <c r="H226" s="110">
        <f>IFERROR(INDEX('Base Salarial'!$D$5:$F$25,MATCH(E226,'Base Salarial'!$G$5:$G$25,0),MATCH(I226,'Base Salarial'!$D$4:$F$4,0)),"")</f>
        <v>16000</v>
      </c>
      <c r="I226" s="78" t="str">
        <f>IFERROR(INDEX(Tarefas!$BQ$29:$FK$29,MATCH(E226,Tarefas!$BQ$30:$FK$30,0)),"")</f>
        <v>PJ</v>
      </c>
      <c r="J226" s="81">
        <f>IF(I226="horista",H226*Dashboard!$D$15,IF(OR(I226="Mensalista",I226="PJ"),H226,))</f>
        <v>16000</v>
      </c>
      <c r="K226" s="81">
        <f>IF(I226="PJ",J226,ROUND(J226*(1+Dashboard!$D$22),2))</f>
        <v>16000</v>
      </c>
      <c r="L226" s="77"/>
      <c r="M226" s="180"/>
      <c r="P226" s="109">
        <f>IF($BD226&gt;0,(((($BD226/Dashboard!$D$15)*(1+Precificação!$W$589)))+$P$26)*(1+Dashboard!$D$35),0)</f>
        <v>0</v>
      </c>
      <c r="Q226" s="109">
        <f>IF($BD226&gt;0,(((($BD226/Dashboard!$D$23)+(1+Precificação!$W$589))*(1+Q$28))+$P$26)*(1+Dashboard!$D$35),0)</f>
        <v>0</v>
      </c>
      <c r="R226" s="109">
        <f>IF($BD226&gt;0,(((($BD226/Dashboard!$D$23)+(1+Precificação!$W$589))*(1+R$28))+$P$26)*(1+Dashboard!$D$35),0)</f>
        <v>0</v>
      </c>
      <c r="S226" s="109">
        <f>IF($BD226&gt;0,(((($BD226/Dashboard!$D$23)+(1+Precificação!$W$589))*(1+S$28))+$P$26)*(1+Dashboard!$D$35),0)</f>
        <v>0</v>
      </c>
      <c r="U226" s="109">
        <f t="shared" si="135"/>
        <v>0</v>
      </c>
      <c r="V226" s="109">
        <f t="shared" si="136"/>
        <v>0</v>
      </c>
      <c r="W226" s="109">
        <f t="shared" si="137"/>
        <v>0</v>
      </c>
      <c r="X226" s="109">
        <f t="shared" si="138"/>
        <v>0</v>
      </c>
      <c r="AA226" s="109">
        <f>IF($BD226&gt;0,(((($BD226/Dashboard!$D$23)*(1+Precificação!$W$589)))+$AA$26)*(1+Dashboard!$D$35),0)</f>
        <v>0</v>
      </c>
      <c r="AB226" s="109">
        <f>IF($BD226&gt;0,(((($BD226/Dashboard!$D$23)*(1+Precificação!$W$589))*(1+AB$28))+$AA$26)*(1+Dashboard!$D$35),0)</f>
        <v>0</v>
      </c>
      <c r="AC226" s="109">
        <f>IF($BD226&gt;0,(((($BD226/Dashboard!$D$23)*(1+Precificação!$W$589))*(1+AC$28))+$AA$26)*(1+Dashboard!$D$35),0)</f>
        <v>0</v>
      </c>
      <c r="AD226" s="109">
        <f>IF($BD226&gt;0,(((($BD226/Dashboard!$D$23)*(1+Precificação!$W$589))*(1+AD$28))+$AA$26)*(1+Dashboard!$D$35),0)</f>
        <v>0</v>
      </c>
      <c r="AF226" s="109">
        <f t="shared" si="139"/>
        <v>0</v>
      </c>
      <c r="AG226" s="109">
        <f t="shared" si="140"/>
        <v>0</v>
      </c>
      <c r="AH226" s="109">
        <f t="shared" si="141"/>
        <v>0</v>
      </c>
      <c r="AI226" s="109">
        <f t="shared" si="142"/>
        <v>0</v>
      </c>
      <c r="AL226" s="109">
        <f>IF($BD226&gt;0,(((($BD226/Dashboard!$D$23)*(1+Precificação!$W$589)))+$AL$26)*(1+Dashboard!$D$35),0)</f>
        <v>0</v>
      </c>
      <c r="AM226" s="109">
        <f>IF($BD226&gt;0,(((($BD226/Dashboard!$D$23)*(1+Precificação!$W$589))*(1+AM$28))+$AA$26)*(1+Dashboard!$D$35),0)</f>
        <v>0</v>
      </c>
      <c r="AN226" s="109">
        <f>IF($BD226&gt;0,(((($BD226/Dashboard!$D$23)*(1+Precificação!$W$589))*(1+AN$28))+$AA$26)*(1+Dashboard!$D$35),0)</f>
        <v>0</v>
      </c>
      <c r="AO226" s="109">
        <f>IF($BD226&gt;0,(((($BD226/Dashboard!$D$23)*(1+Precificação!$W$589))*(1+AO$28))+$AA$26)*(1+Dashboard!$D$35),0)</f>
        <v>0</v>
      </c>
      <c r="AQ226" s="109">
        <f t="shared" si="143"/>
        <v>0</v>
      </c>
      <c r="AR226" s="109">
        <f t="shared" si="144"/>
        <v>0</v>
      </c>
      <c r="AS226" s="109">
        <f t="shared" si="145"/>
        <v>0</v>
      </c>
      <c r="AT226" s="109">
        <f t="shared" si="146"/>
        <v>0</v>
      </c>
      <c r="AW226" s="144">
        <f>VLOOKUP(B226,'Cronog. e Histog.'!$B$213:$BT$688,71,0)</f>
        <v>9.9999999999999985E-3</v>
      </c>
      <c r="AX226" s="144">
        <f>VLOOKUP(B226,'Cronog. e Histog.'!$B$213:$BU$688,72,0)</f>
        <v>10</v>
      </c>
      <c r="AY226" s="144">
        <f>$AW226*$AX226*Dashboard!$D$15</f>
        <v>19.36</v>
      </c>
      <c r="AZ226" s="144">
        <f>VLOOKUP(B226,Precificação!$B$96:$BM$533,54,0)</f>
        <v>0</v>
      </c>
      <c r="BA226" s="144">
        <f>VLOOKUP(B226,Precificação!$B$96:$BR$533,58,0)</f>
        <v>0</v>
      </c>
      <c r="BB226" s="144">
        <f>VLOOKUP(B226,Precificação!$B$96:$BW$533,62,0)</f>
        <v>0</v>
      </c>
      <c r="BC226" s="144">
        <f t="shared" si="147"/>
        <v>19.36</v>
      </c>
      <c r="BD226" s="109">
        <f>IFERROR(VLOOKUP(B226,Precificação!$B$96:$S$533,13,0),0)</f>
        <v>0</v>
      </c>
      <c r="BE226" s="109">
        <f>IFERROR(VLOOKUP(B226,Precificação!$B$96:$U$533,15,0)/(Precificação!$U$4+Precificação!$U$91),0)*Dashboard!$T$3</f>
        <v>0</v>
      </c>
    </row>
    <row r="227" spans="2:57" ht="12" customHeight="1" outlineLevel="1">
      <c r="B227" s="137" t="str">
        <f>Precificação!B210</f>
        <v>ENG/ARQ PL. - Equipe_01</v>
      </c>
      <c r="D227" s="512"/>
      <c r="E227" s="143" t="str">
        <f>IF('Cronog. e Histog.'!G337&gt;0,'Cronog. e Histog.'!G337,"")</f>
        <v>ENG/ARQ PL.</v>
      </c>
      <c r="G227" s="179">
        <f t="shared" si="134"/>
        <v>0</v>
      </c>
      <c r="H227" s="110">
        <f>IFERROR(INDEX('Base Salarial'!$D$5:$F$25,MATCH(E227,'Base Salarial'!$G$5:$G$25,0),MATCH(I227,'Base Salarial'!$D$4:$F$4,0)),"")</f>
        <v>14000</v>
      </c>
      <c r="I227" s="78" t="str">
        <f>IFERROR(INDEX(Tarefas!$BQ$29:$FK$29,MATCH(E227,Tarefas!$BQ$30:$FK$30,0)),"")</f>
        <v>PJ</v>
      </c>
      <c r="J227" s="81">
        <f>IF(I227="horista",H227*Dashboard!$D$15,IF(OR(I227="Mensalista",I227="PJ"),H227,))</f>
        <v>14000</v>
      </c>
      <c r="K227" s="81">
        <f>IF(I227="PJ",J227,ROUND(J227*(1+Dashboard!$D$22),2))</f>
        <v>14000</v>
      </c>
      <c r="L227" s="77"/>
      <c r="M227" s="180"/>
      <c r="P227" s="109">
        <f>IF($BD227&gt;0,(((($BD227/Dashboard!$D$15)*(1+Precificação!$W$589)))+$P$26)*(1+Dashboard!$D$35),0)</f>
        <v>0</v>
      </c>
      <c r="Q227" s="109">
        <f>IF($BD227&gt;0,(((($BD227/Dashboard!$D$23)+(1+Precificação!$W$589))*(1+Q$28))+$P$26)*(1+Dashboard!$D$35),0)</f>
        <v>0</v>
      </c>
      <c r="R227" s="109">
        <f>IF($BD227&gt;0,(((($BD227/Dashboard!$D$23)+(1+Precificação!$W$589))*(1+R$28))+$P$26)*(1+Dashboard!$D$35),0)</f>
        <v>0</v>
      </c>
      <c r="S227" s="109">
        <f>IF($BD227&gt;0,(((($BD227/Dashboard!$D$23)+(1+Precificação!$W$589))*(1+S$28))+$P$26)*(1+Dashboard!$D$35),0)</f>
        <v>0</v>
      </c>
      <c r="U227" s="109">
        <f t="shared" si="135"/>
        <v>0</v>
      </c>
      <c r="V227" s="109">
        <f t="shared" si="136"/>
        <v>0</v>
      </c>
      <c r="W227" s="109">
        <f t="shared" si="137"/>
        <v>0</v>
      </c>
      <c r="X227" s="109">
        <f t="shared" si="138"/>
        <v>0</v>
      </c>
      <c r="AA227" s="109">
        <f>IF($BD227&gt;0,(((($BD227/Dashboard!$D$23)*(1+Precificação!$W$589)))+$AA$26)*(1+Dashboard!$D$35),0)</f>
        <v>0</v>
      </c>
      <c r="AB227" s="109">
        <f>IF($BD227&gt;0,(((($BD227/Dashboard!$D$23)*(1+Precificação!$W$589))*(1+AB$28))+$AA$26)*(1+Dashboard!$D$35),0)</f>
        <v>0</v>
      </c>
      <c r="AC227" s="109">
        <f>IF($BD227&gt;0,(((($BD227/Dashboard!$D$23)*(1+Precificação!$W$589))*(1+AC$28))+$AA$26)*(1+Dashboard!$D$35),0)</f>
        <v>0</v>
      </c>
      <c r="AD227" s="109">
        <f>IF($BD227&gt;0,(((($BD227/Dashboard!$D$23)*(1+Precificação!$W$589))*(1+AD$28))+$AA$26)*(1+Dashboard!$D$35),0)</f>
        <v>0</v>
      </c>
      <c r="AF227" s="109">
        <f t="shared" si="139"/>
        <v>0</v>
      </c>
      <c r="AG227" s="109">
        <f t="shared" si="140"/>
        <v>0</v>
      </c>
      <c r="AH227" s="109">
        <f t="shared" si="141"/>
        <v>0</v>
      </c>
      <c r="AI227" s="109">
        <f t="shared" si="142"/>
        <v>0</v>
      </c>
      <c r="AL227" s="109">
        <f>IF($BD227&gt;0,(((($BD227/Dashboard!$D$23)*(1+Precificação!$W$589)))+$AL$26)*(1+Dashboard!$D$35),0)</f>
        <v>0</v>
      </c>
      <c r="AM227" s="109">
        <f>IF($BD227&gt;0,(((($BD227/Dashboard!$D$23)*(1+Precificação!$W$589))*(1+AM$28))+$AA$26)*(1+Dashboard!$D$35),0)</f>
        <v>0</v>
      </c>
      <c r="AN227" s="109">
        <f>IF($BD227&gt;0,(((($BD227/Dashboard!$D$23)*(1+Precificação!$W$589))*(1+AN$28))+$AA$26)*(1+Dashboard!$D$35),0)</f>
        <v>0</v>
      </c>
      <c r="AO227" s="109">
        <f>IF($BD227&gt;0,(((($BD227/Dashboard!$D$23)*(1+Precificação!$W$589))*(1+AO$28))+$AA$26)*(1+Dashboard!$D$35),0)</f>
        <v>0</v>
      </c>
      <c r="AQ227" s="109">
        <f t="shared" si="143"/>
        <v>0</v>
      </c>
      <c r="AR227" s="109">
        <f t="shared" si="144"/>
        <v>0</v>
      </c>
      <c r="AS227" s="109">
        <f t="shared" si="145"/>
        <v>0</v>
      </c>
      <c r="AT227" s="109">
        <f t="shared" si="146"/>
        <v>0</v>
      </c>
      <c r="AW227" s="144">
        <f>VLOOKUP(B227,'Cronog. e Histog.'!$B$213:$BT$688,71,0)</f>
        <v>0</v>
      </c>
      <c r="AX227" s="144">
        <f>VLOOKUP(B227,'Cronog. e Histog.'!$B$213:$BU$688,72,0)</f>
        <v>0</v>
      </c>
      <c r="AY227" s="144">
        <f>$AW227*$AX227*Dashboard!$D$15</f>
        <v>0</v>
      </c>
      <c r="AZ227" s="144">
        <f>VLOOKUP(B227,Precificação!$B$96:$BM$533,54,0)</f>
        <v>0</v>
      </c>
      <c r="BA227" s="144">
        <f>VLOOKUP(B227,Precificação!$B$96:$BR$533,58,0)</f>
        <v>0</v>
      </c>
      <c r="BB227" s="144">
        <f>VLOOKUP(B227,Precificação!$B$96:$BW$533,62,0)</f>
        <v>0</v>
      </c>
      <c r="BC227" s="144">
        <f t="shared" si="147"/>
        <v>0</v>
      </c>
      <c r="BD227" s="109">
        <f>IFERROR(VLOOKUP(B227,Precificação!$B$96:$S$533,13,0),0)</f>
        <v>0</v>
      </c>
      <c r="BE227" s="109">
        <f>IFERROR(VLOOKUP(B227,Precificação!$B$96:$U$533,15,0)/(Precificação!$U$4+Precificação!$U$91),0)*Dashboard!$T$3</f>
        <v>0</v>
      </c>
    </row>
    <row r="228" spans="2:57" ht="12" customHeight="1" outlineLevel="1">
      <c r="B228" s="137" t="str">
        <f>Precificação!B211</f>
        <v>ENG/ARQ JR. - Equipe_01</v>
      </c>
      <c r="D228" s="512"/>
      <c r="E228" s="143" t="str">
        <f>IF('Cronog. e Histog.'!G338&gt;0,'Cronog. e Histog.'!G338,"")</f>
        <v>ENG/ARQ JR.</v>
      </c>
      <c r="G228" s="179">
        <f t="shared" si="134"/>
        <v>0</v>
      </c>
      <c r="H228" s="110">
        <f>IFERROR(INDEX('Base Salarial'!$D$5:$F$25,MATCH(E228,'Base Salarial'!$G$5:$G$25,0),MATCH(I228,'Base Salarial'!$D$4:$F$4,0)),"")</f>
        <v>14000</v>
      </c>
      <c r="I228" s="78" t="str">
        <f>IFERROR(INDEX(Tarefas!$BQ$29:$FK$29,MATCH(E228,Tarefas!$BQ$30:$FK$30,0)),"")</f>
        <v>PJ</v>
      </c>
      <c r="J228" s="81">
        <f>IF(I228="horista",H228*Dashboard!$D$15,IF(OR(I228="Mensalista",I228="PJ"),H228,))</f>
        <v>14000</v>
      </c>
      <c r="K228" s="81">
        <f>IF(I228="PJ",J228,ROUND(J228*(1+Dashboard!$D$22),2))</f>
        <v>14000</v>
      </c>
      <c r="L228" s="77"/>
      <c r="M228" s="180"/>
      <c r="P228" s="109">
        <f>IF($BD228&gt;0,(((($BD228/Dashboard!$D$15)*(1+Precificação!$W$589)))+$P$26)*(1+Dashboard!$D$35),0)</f>
        <v>0</v>
      </c>
      <c r="Q228" s="109">
        <f>IF($BD228&gt;0,(((($BD228/Dashboard!$D$23)+(1+Precificação!$W$589))*(1+Q$28))+$P$26)*(1+Dashboard!$D$35),0)</f>
        <v>0</v>
      </c>
      <c r="R228" s="109">
        <f>IF($BD228&gt;0,(((($BD228/Dashboard!$D$23)+(1+Precificação!$W$589))*(1+R$28))+$P$26)*(1+Dashboard!$D$35),0)</f>
        <v>0</v>
      </c>
      <c r="S228" s="109">
        <f>IF($BD228&gt;0,(((($BD228/Dashboard!$D$23)+(1+Precificação!$W$589))*(1+S$28))+$P$26)*(1+Dashboard!$D$35),0)</f>
        <v>0</v>
      </c>
      <c r="U228" s="109">
        <f t="shared" si="135"/>
        <v>0</v>
      </c>
      <c r="V228" s="109">
        <f t="shared" si="136"/>
        <v>0</v>
      </c>
      <c r="W228" s="109">
        <f t="shared" si="137"/>
        <v>0</v>
      </c>
      <c r="X228" s="109">
        <f t="shared" si="138"/>
        <v>0</v>
      </c>
      <c r="AA228" s="109">
        <f>IF($BD228&gt;0,(((($BD228/Dashboard!$D$23)*(1+Precificação!$W$589)))+$AA$26)*(1+Dashboard!$D$35),0)</f>
        <v>0</v>
      </c>
      <c r="AB228" s="109">
        <f>IF($BD228&gt;0,(((($BD228/Dashboard!$D$23)*(1+Precificação!$W$589))*(1+AB$28))+$AA$26)*(1+Dashboard!$D$35),0)</f>
        <v>0</v>
      </c>
      <c r="AC228" s="109">
        <f>IF($BD228&gt;0,(((($BD228/Dashboard!$D$23)*(1+Precificação!$W$589))*(1+AC$28))+$AA$26)*(1+Dashboard!$D$35),0)</f>
        <v>0</v>
      </c>
      <c r="AD228" s="109">
        <f>IF($BD228&gt;0,(((($BD228/Dashboard!$D$23)*(1+Precificação!$W$589))*(1+AD$28))+$AA$26)*(1+Dashboard!$D$35),0)</f>
        <v>0</v>
      </c>
      <c r="AF228" s="109">
        <f t="shared" si="139"/>
        <v>0</v>
      </c>
      <c r="AG228" s="109">
        <f t="shared" si="140"/>
        <v>0</v>
      </c>
      <c r="AH228" s="109">
        <f t="shared" si="141"/>
        <v>0</v>
      </c>
      <c r="AI228" s="109">
        <f t="shared" si="142"/>
        <v>0</v>
      </c>
      <c r="AL228" s="109">
        <f>IF($BD228&gt;0,(((($BD228/Dashboard!$D$23)*(1+Precificação!$W$589)))+$AL$26)*(1+Dashboard!$D$35),0)</f>
        <v>0</v>
      </c>
      <c r="AM228" s="109">
        <f>IF($BD228&gt;0,(((($BD228/Dashboard!$D$23)*(1+Precificação!$W$589))*(1+AM$28))+$AA$26)*(1+Dashboard!$D$35),0)</f>
        <v>0</v>
      </c>
      <c r="AN228" s="109">
        <f>IF($BD228&gt;0,(((($BD228/Dashboard!$D$23)*(1+Precificação!$W$589))*(1+AN$28))+$AA$26)*(1+Dashboard!$D$35),0)</f>
        <v>0</v>
      </c>
      <c r="AO228" s="109">
        <f>IF($BD228&gt;0,(((($BD228/Dashboard!$D$23)*(1+Precificação!$W$589))*(1+AO$28))+$AA$26)*(1+Dashboard!$D$35),0)</f>
        <v>0</v>
      </c>
      <c r="AQ228" s="109">
        <f t="shared" si="143"/>
        <v>0</v>
      </c>
      <c r="AR228" s="109">
        <f t="shared" si="144"/>
        <v>0</v>
      </c>
      <c r="AS228" s="109">
        <f t="shared" si="145"/>
        <v>0</v>
      </c>
      <c r="AT228" s="109">
        <f t="shared" si="146"/>
        <v>0</v>
      </c>
      <c r="AW228" s="144">
        <f>VLOOKUP(B228,'Cronog. e Histog.'!$B$213:$BT$688,71,0)</f>
        <v>0</v>
      </c>
      <c r="AX228" s="144">
        <f>VLOOKUP(B228,'Cronog. e Histog.'!$B$213:$BU$688,72,0)</f>
        <v>0</v>
      </c>
      <c r="AY228" s="144">
        <f>$AW228*$AX228*Dashboard!$D$15</f>
        <v>0</v>
      </c>
      <c r="AZ228" s="144">
        <f>VLOOKUP(B228,Precificação!$B$96:$BM$533,54,0)</f>
        <v>0</v>
      </c>
      <c r="BA228" s="144">
        <f>VLOOKUP(B228,Precificação!$B$96:$BR$533,58,0)</f>
        <v>0</v>
      </c>
      <c r="BB228" s="144">
        <f>VLOOKUP(B228,Precificação!$B$96:$BW$533,62,0)</f>
        <v>0</v>
      </c>
      <c r="BC228" s="144">
        <f t="shared" si="147"/>
        <v>0</v>
      </c>
      <c r="BD228" s="109">
        <f>IFERROR(VLOOKUP(B228,Precificação!$B$96:$S$533,13,0),0)</f>
        <v>0</v>
      </c>
      <c r="BE228" s="109">
        <f>IFERROR(VLOOKUP(B228,Precificação!$B$96:$U$533,15,0)/(Precificação!$U$4+Precificação!$U$91),0)*Dashboard!$T$3</f>
        <v>0</v>
      </c>
    </row>
    <row r="229" spans="2:57" ht="12" customHeight="1" outlineLevel="1">
      <c r="B229" s="137" t="str">
        <f>Precificação!B212</f>
        <v>AN SR. ENG/ARQ - Equipe_01</v>
      </c>
      <c r="D229" s="512"/>
      <c r="E229" s="143" t="str">
        <f>IF('Cronog. e Histog.'!G339&gt;0,'Cronog. e Histog.'!G339,"")</f>
        <v>AN SR. ENG/ARQ</v>
      </c>
      <c r="G229" s="179">
        <f t="shared" si="134"/>
        <v>0</v>
      </c>
      <c r="H229" s="110">
        <f>IFERROR(INDEX('Base Salarial'!$D$5:$F$25,MATCH(E229,'Base Salarial'!$G$5:$G$25,0),MATCH(I229,'Base Salarial'!$D$4:$F$4,0)),"")</f>
        <v>7500</v>
      </c>
      <c r="I229" s="78" t="str">
        <f>IFERROR(INDEX(Tarefas!$BQ$29:$FK$29,MATCH(E229,Tarefas!$BQ$30:$FK$30,0)),"")</f>
        <v>Mensalista</v>
      </c>
      <c r="J229" s="81">
        <f>IF(I229="horista",H229*Dashboard!$D$15,IF(OR(I229="Mensalista",I229="PJ"),H229,))</f>
        <v>7500</v>
      </c>
      <c r="K229" s="81">
        <f>IF(I229="PJ",J229,ROUND(J229*(1+Dashboard!$D$22),2))</f>
        <v>7950</v>
      </c>
      <c r="L229" s="77"/>
      <c r="M229" s="180"/>
      <c r="P229" s="109">
        <f>IF($BD229&gt;0,(((($BD229/Dashboard!$D$15)*(1+Precificação!$W$589)))+$P$26)*(1+Dashboard!$D$35),0)</f>
        <v>0</v>
      </c>
      <c r="Q229" s="109">
        <f>IF($BD229&gt;0,(((($BD229/Dashboard!$D$23)+(1+Precificação!$W$589))*(1+Q$28))+$P$26)*(1+Dashboard!$D$35),0)</f>
        <v>0</v>
      </c>
      <c r="R229" s="109">
        <f>IF($BD229&gt;0,(((($BD229/Dashboard!$D$23)+(1+Precificação!$W$589))*(1+R$28))+$P$26)*(1+Dashboard!$D$35),0)</f>
        <v>0</v>
      </c>
      <c r="S229" s="109">
        <f>IF($BD229&gt;0,(((($BD229/Dashboard!$D$23)+(1+Precificação!$W$589))*(1+S$28))+$P$26)*(1+Dashboard!$D$35),0)</f>
        <v>0</v>
      </c>
      <c r="U229" s="109">
        <f t="shared" si="135"/>
        <v>0</v>
      </c>
      <c r="V229" s="109">
        <f t="shared" si="136"/>
        <v>0</v>
      </c>
      <c r="W229" s="109">
        <f t="shared" si="137"/>
        <v>0</v>
      </c>
      <c r="X229" s="109">
        <f t="shared" si="138"/>
        <v>0</v>
      </c>
      <c r="AA229" s="109">
        <f>IF($BD229&gt;0,(((($BD229/Dashboard!$D$23)*(1+Precificação!$W$589)))+$AA$26)*(1+Dashboard!$D$35),0)</f>
        <v>0</v>
      </c>
      <c r="AB229" s="109">
        <f>IF($BD229&gt;0,(((($BD229/Dashboard!$D$23)*(1+Precificação!$W$589))*(1+AB$28))+$AA$26)*(1+Dashboard!$D$35),0)</f>
        <v>0</v>
      </c>
      <c r="AC229" s="109">
        <f>IF($BD229&gt;0,(((($BD229/Dashboard!$D$23)*(1+Precificação!$W$589))*(1+AC$28))+$AA$26)*(1+Dashboard!$D$35),0)</f>
        <v>0</v>
      </c>
      <c r="AD229" s="109">
        <f>IF($BD229&gt;0,(((($BD229/Dashboard!$D$23)*(1+Precificação!$W$589))*(1+AD$28))+$AA$26)*(1+Dashboard!$D$35),0)</f>
        <v>0</v>
      </c>
      <c r="AF229" s="109">
        <f t="shared" si="139"/>
        <v>0</v>
      </c>
      <c r="AG229" s="109">
        <f t="shared" si="140"/>
        <v>0</v>
      </c>
      <c r="AH229" s="109">
        <f t="shared" si="141"/>
        <v>0</v>
      </c>
      <c r="AI229" s="109">
        <f t="shared" si="142"/>
        <v>0</v>
      </c>
      <c r="AL229" s="109">
        <f>IF($BD229&gt;0,(((($BD229/Dashboard!$D$23)*(1+Precificação!$W$589)))+$AL$26)*(1+Dashboard!$D$35),0)</f>
        <v>0</v>
      </c>
      <c r="AM229" s="109">
        <f>IF($BD229&gt;0,(((($BD229/Dashboard!$D$23)*(1+Precificação!$W$589))*(1+AM$28))+$AA$26)*(1+Dashboard!$D$35),0)</f>
        <v>0</v>
      </c>
      <c r="AN229" s="109">
        <f>IF($BD229&gt;0,(((($BD229/Dashboard!$D$23)*(1+Precificação!$W$589))*(1+AN$28))+$AA$26)*(1+Dashboard!$D$35),0)</f>
        <v>0</v>
      </c>
      <c r="AO229" s="109">
        <f>IF($BD229&gt;0,(((($BD229/Dashboard!$D$23)*(1+Precificação!$W$589))*(1+AO$28))+$AA$26)*(1+Dashboard!$D$35),0)</f>
        <v>0</v>
      </c>
      <c r="AQ229" s="109">
        <f t="shared" si="143"/>
        <v>0</v>
      </c>
      <c r="AR229" s="109">
        <f t="shared" si="144"/>
        <v>0</v>
      </c>
      <c r="AS229" s="109">
        <f t="shared" si="145"/>
        <v>0</v>
      </c>
      <c r="AT229" s="109">
        <f t="shared" si="146"/>
        <v>0</v>
      </c>
      <c r="AW229" s="144">
        <f>VLOOKUP(B229,'Cronog. e Histog.'!$B$213:$BT$688,71,0)</f>
        <v>0</v>
      </c>
      <c r="AX229" s="144">
        <f>VLOOKUP(B229,'Cronog. e Histog.'!$B$213:$BU$688,72,0)</f>
        <v>0</v>
      </c>
      <c r="AY229" s="144">
        <f>$AW229*$AX229*Dashboard!$D$15</f>
        <v>0</v>
      </c>
      <c r="AZ229" s="144">
        <f>VLOOKUP(B229,Precificação!$B$96:$BM$533,54,0)</f>
        <v>0</v>
      </c>
      <c r="BA229" s="144">
        <f>VLOOKUP(B229,Precificação!$B$96:$BR$533,58,0)</f>
        <v>0</v>
      </c>
      <c r="BB229" s="144">
        <f>VLOOKUP(B229,Precificação!$B$96:$BW$533,62,0)</f>
        <v>0</v>
      </c>
      <c r="BC229" s="144">
        <f t="shared" si="147"/>
        <v>0</v>
      </c>
      <c r="BD229" s="109">
        <f>IFERROR(VLOOKUP(B229,Precificação!$B$96:$S$533,13,0),0)</f>
        <v>0</v>
      </c>
      <c r="BE229" s="109">
        <f>IFERROR(VLOOKUP(B229,Precificação!$B$96:$U$533,15,0)/(Precificação!$U$4+Precificação!$U$91),0)*Dashboard!$T$3</f>
        <v>0</v>
      </c>
    </row>
    <row r="230" spans="2:57" ht="12" customHeight="1" outlineLevel="1">
      <c r="B230" s="137" t="str">
        <f>Precificação!B213</f>
        <v>AN PL. ENG/ARQ - Equipe_01</v>
      </c>
      <c r="D230" s="512"/>
      <c r="E230" s="143" t="str">
        <f>IF('Cronog. e Histog.'!G340&gt;0,'Cronog. e Histog.'!G340,"")</f>
        <v>AN PL. ENG/ARQ</v>
      </c>
      <c r="G230" s="179">
        <f t="shared" si="134"/>
        <v>0</v>
      </c>
      <c r="H230" s="110">
        <f>IFERROR(INDEX('Base Salarial'!$D$5:$F$25,MATCH(E230,'Base Salarial'!$G$5:$G$25,0),MATCH(I230,'Base Salarial'!$D$4:$F$4,0)),"")</f>
        <v>6000</v>
      </c>
      <c r="I230" s="78" t="str">
        <f>IFERROR(INDEX(Tarefas!$BQ$29:$FK$29,MATCH(E230,Tarefas!$BQ$30:$FK$30,0)),"")</f>
        <v>Mensalista</v>
      </c>
      <c r="J230" s="81">
        <f>IF(I230="horista",H230*Dashboard!$D$15,IF(OR(I230="Mensalista",I230="PJ"),H230,))</f>
        <v>6000</v>
      </c>
      <c r="K230" s="81">
        <f>IF(I230="PJ",J230,ROUND(J230*(1+Dashboard!$D$22),2))</f>
        <v>6360</v>
      </c>
      <c r="L230" s="77"/>
      <c r="M230" s="180"/>
      <c r="P230" s="109">
        <f>IF($BD230&gt;0,(((($BD230/Dashboard!$D$15)*(1+Precificação!$W$589)))+$P$26)*(1+Dashboard!$D$35),0)</f>
        <v>0</v>
      </c>
      <c r="Q230" s="109">
        <f>IF($BD230&gt;0,(((($BD230/Dashboard!$D$23)+(1+Precificação!$W$589))*(1+Q$28))+$P$26)*(1+Dashboard!$D$35),0)</f>
        <v>0</v>
      </c>
      <c r="R230" s="109">
        <f>IF($BD230&gt;0,(((($BD230/Dashboard!$D$23)+(1+Precificação!$W$589))*(1+R$28))+$P$26)*(1+Dashboard!$D$35),0)</f>
        <v>0</v>
      </c>
      <c r="S230" s="109">
        <f>IF($BD230&gt;0,(((($BD230/Dashboard!$D$23)+(1+Precificação!$W$589))*(1+S$28))+$P$26)*(1+Dashboard!$D$35),0)</f>
        <v>0</v>
      </c>
      <c r="U230" s="109">
        <f t="shared" si="135"/>
        <v>0</v>
      </c>
      <c r="V230" s="109">
        <f t="shared" si="136"/>
        <v>0</v>
      </c>
      <c r="W230" s="109">
        <f t="shared" si="137"/>
        <v>0</v>
      </c>
      <c r="X230" s="109">
        <f t="shared" si="138"/>
        <v>0</v>
      </c>
      <c r="AA230" s="109">
        <f>IF($BD230&gt;0,(((($BD230/Dashboard!$D$23)*(1+Precificação!$W$589)))+$AA$26)*(1+Dashboard!$D$35),0)</f>
        <v>0</v>
      </c>
      <c r="AB230" s="109">
        <f>IF($BD230&gt;0,(((($BD230/Dashboard!$D$23)*(1+Precificação!$W$589))*(1+AB$28))+$AA$26)*(1+Dashboard!$D$35),0)</f>
        <v>0</v>
      </c>
      <c r="AC230" s="109">
        <f>IF($BD230&gt;0,(((($BD230/Dashboard!$D$23)*(1+Precificação!$W$589))*(1+AC$28))+$AA$26)*(1+Dashboard!$D$35),0)</f>
        <v>0</v>
      </c>
      <c r="AD230" s="109">
        <f>IF($BD230&gt;0,(((($BD230/Dashboard!$D$23)*(1+Precificação!$W$589))*(1+AD$28))+$AA$26)*(1+Dashboard!$D$35),0)</f>
        <v>0</v>
      </c>
      <c r="AF230" s="109">
        <f t="shared" si="139"/>
        <v>0</v>
      </c>
      <c r="AG230" s="109">
        <f t="shared" si="140"/>
        <v>0</v>
      </c>
      <c r="AH230" s="109">
        <f t="shared" si="141"/>
        <v>0</v>
      </c>
      <c r="AI230" s="109">
        <f t="shared" si="142"/>
        <v>0</v>
      </c>
      <c r="AL230" s="109">
        <f>IF($BD230&gt;0,(((($BD230/Dashboard!$D$23)*(1+Precificação!$W$589)))+$AL$26)*(1+Dashboard!$D$35),0)</f>
        <v>0</v>
      </c>
      <c r="AM230" s="109">
        <f>IF($BD230&gt;0,(((($BD230/Dashboard!$D$23)*(1+Precificação!$W$589))*(1+AM$28))+$AA$26)*(1+Dashboard!$D$35),0)</f>
        <v>0</v>
      </c>
      <c r="AN230" s="109">
        <f>IF($BD230&gt;0,(((($BD230/Dashboard!$D$23)*(1+Precificação!$W$589))*(1+AN$28))+$AA$26)*(1+Dashboard!$D$35),0)</f>
        <v>0</v>
      </c>
      <c r="AO230" s="109">
        <f>IF($BD230&gt;0,(((($BD230/Dashboard!$D$23)*(1+Precificação!$W$589))*(1+AO$28))+$AA$26)*(1+Dashboard!$D$35),0)</f>
        <v>0</v>
      </c>
      <c r="AQ230" s="109">
        <f t="shared" si="143"/>
        <v>0</v>
      </c>
      <c r="AR230" s="109">
        <f t="shared" si="144"/>
        <v>0</v>
      </c>
      <c r="AS230" s="109">
        <f t="shared" si="145"/>
        <v>0</v>
      </c>
      <c r="AT230" s="109">
        <f t="shared" si="146"/>
        <v>0</v>
      </c>
      <c r="AW230" s="144">
        <f>VLOOKUP(B230,'Cronog. e Histog.'!$B$213:$BT$688,71,0)</f>
        <v>0</v>
      </c>
      <c r="AX230" s="144">
        <f>VLOOKUP(B230,'Cronog. e Histog.'!$B$213:$BU$688,72,0)</f>
        <v>0</v>
      </c>
      <c r="AY230" s="144">
        <f>$AW230*$AX230*Dashboard!$D$15</f>
        <v>0</v>
      </c>
      <c r="AZ230" s="144">
        <f>VLOOKUP(B230,Precificação!$B$96:$BM$533,54,0)</f>
        <v>0</v>
      </c>
      <c r="BA230" s="144">
        <f>VLOOKUP(B230,Precificação!$B$96:$BR$533,58,0)</f>
        <v>0</v>
      </c>
      <c r="BB230" s="144">
        <f>VLOOKUP(B230,Precificação!$B$96:$BW$533,62,0)</f>
        <v>0</v>
      </c>
      <c r="BC230" s="144">
        <f t="shared" si="147"/>
        <v>0</v>
      </c>
      <c r="BD230" s="109">
        <f>IFERROR(VLOOKUP(B230,Precificação!$B$96:$S$533,13,0),0)</f>
        <v>0</v>
      </c>
      <c r="BE230" s="109">
        <f>IFERROR(VLOOKUP(B230,Precificação!$B$96:$U$533,15,0)/(Precificação!$U$4+Precificação!$U$91),0)*Dashboard!$T$3</f>
        <v>0</v>
      </c>
    </row>
    <row r="231" spans="2:57" ht="12" customHeight="1" outlineLevel="1">
      <c r="B231" s="137" t="str">
        <f>Precificação!B214</f>
        <v>AN JR. ENG/ARQ - Equipe_01</v>
      </c>
      <c r="D231" s="512"/>
      <c r="E231" s="143" t="str">
        <f>IF('Cronog. e Histog.'!G341&gt;0,'Cronog. e Histog.'!G341,"")</f>
        <v>AN JR. ENG/ARQ</v>
      </c>
      <c r="G231" s="179">
        <f t="shared" si="134"/>
        <v>0</v>
      </c>
      <c r="H231" s="110">
        <f>IFERROR(INDEX('Base Salarial'!$D$5:$F$25,MATCH(E231,'Base Salarial'!$G$5:$G$25,0),MATCH(I231,'Base Salarial'!$D$4:$F$4,0)),"")</f>
        <v>4500</v>
      </c>
      <c r="I231" s="78" t="str">
        <f>IFERROR(INDEX(Tarefas!$BQ$29:$FK$29,MATCH(E231,Tarefas!$BQ$30:$FK$30,0)),"")</f>
        <v>Mensalista</v>
      </c>
      <c r="J231" s="81">
        <f>IF(I231="horista",H231*Dashboard!$D$15,IF(OR(I231="Mensalista",I231="PJ"),H231,))</f>
        <v>4500</v>
      </c>
      <c r="K231" s="81">
        <f>IF(I231="PJ",J231,ROUND(J231*(1+Dashboard!$D$22),2))</f>
        <v>4770</v>
      </c>
      <c r="L231" s="77"/>
      <c r="M231" s="180"/>
      <c r="P231" s="109">
        <f>IF($BD231&gt;0,(((($BD231/Dashboard!$D$15)*(1+Precificação!$W$589)))+$P$26)*(1+Dashboard!$D$35),0)</f>
        <v>0</v>
      </c>
      <c r="Q231" s="109">
        <f>IF($BD231&gt;0,(((($BD231/Dashboard!$D$23)+(1+Precificação!$W$589))*(1+Q$28))+$P$26)*(1+Dashboard!$D$35),0)</f>
        <v>0</v>
      </c>
      <c r="R231" s="109">
        <f>IF($BD231&gt;0,(((($BD231/Dashboard!$D$23)+(1+Precificação!$W$589))*(1+R$28))+$P$26)*(1+Dashboard!$D$35),0)</f>
        <v>0</v>
      </c>
      <c r="S231" s="109">
        <f>IF($BD231&gt;0,(((($BD231/Dashboard!$D$23)+(1+Precificação!$W$589))*(1+S$28))+$P$26)*(1+Dashboard!$D$35),0)</f>
        <v>0</v>
      </c>
      <c r="U231" s="109">
        <f t="shared" si="135"/>
        <v>0</v>
      </c>
      <c r="V231" s="109">
        <f t="shared" si="136"/>
        <v>0</v>
      </c>
      <c r="W231" s="109">
        <f t="shared" si="137"/>
        <v>0</v>
      </c>
      <c r="X231" s="109">
        <f t="shared" si="138"/>
        <v>0</v>
      </c>
      <c r="AA231" s="109">
        <f>IF($BD231&gt;0,(((($BD231/Dashboard!$D$23)*(1+Precificação!$W$589)))+$AA$26)*(1+Dashboard!$D$35),0)</f>
        <v>0</v>
      </c>
      <c r="AB231" s="109">
        <f>IF($BD231&gt;0,(((($BD231/Dashboard!$D$23)*(1+Precificação!$W$589))*(1+AB$28))+$AA$26)*(1+Dashboard!$D$35),0)</f>
        <v>0</v>
      </c>
      <c r="AC231" s="109">
        <f>IF($BD231&gt;0,(((($BD231/Dashboard!$D$23)*(1+Precificação!$W$589))*(1+AC$28))+$AA$26)*(1+Dashboard!$D$35),0)</f>
        <v>0</v>
      </c>
      <c r="AD231" s="109">
        <f>IF($BD231&gt;0,(((($BD231/Dashboard!$D$23)*(1+Precificação!$W$589))*(1+AD$28))+$AA$26)*(1+Dashboard!$D$35),0)</f>
        <v>0</v>
      </c>
      <c r="AF231" s="109">
        <f t="shared" si="139"/>
        <v>0</v>
      </c>
      <c r="AG231" s="109">
        <f t="shared" si="140"/>
        <v>0</v>
      </c>
      <c r="AH231" s="109">
        <f t="shared" si="141"/>
        <v>0</v>
      </c>
      <c r="AI231" s="109">
        <f t="shared" si="142"/>
        <v>0</v>
      </c>
      <c r="AL231" s="109">
        <f>IF($BD231&gt;0,(((($BD231/Dashboard!$D$23)*(1+Precificação!$W$589)))+$AL$26)*(1+Dashboard!$D$35),0)</f>
        <v>0</v>
      </c>
      <c r="AM231" s="109">
        <f>IF($BD231&gt;0,(((($BD231/Dashboard!$D$23)*(1+Precificação!$W$589))*(1+AM$28))+$AA$26)*(1+Dashboard!$D$35),0)</f>
        <v>0</v>
      </c>
      <c r="AN231" s="109">
        <f>IF($BD231&gt;0,(((($BD231/Dashboard!$D$23)*(1+Precificação!$W$589))*(1+AN$28))+$AA$26)*(1+Dashboard!$D$35),0)</f>
        <v>0</v>
      </c>
      <c r="AO231" s="109">
        <f>IF($BD231&gt;0,(((($BD231/Dashboard!$D$23)*(1+Precificação!$W$589))*(1+AO$28))+$AA$26)*(1+Dashboard!$D$35),0)</f>
        <v>0</v>
      </c>
      <c r="AQ231" s="109">
        <f t="shared" si="143"/>
        <v>0</v>
      </c>
      <c r="AR231" s="109">
        <f t="shared" si="144"/>
        <v>0</v>
      </c>
      <c r="AS231" s="109">
        <f t="shared" si="145"/>
        <v>0</v>
      </c>
      <c r="AT231" s="109">
        <f t="shared" si="146"/>
        <v>0</v>
      </c>
      <c r="AW231" s="144">
        <f>VLOOKUP(B231,'Cronog. e Histog.'!$B$213:$BT$688,71,0)</f>
        <v>0</v>
      </c>
      <c r="AX231" s="144">
        <f>VLOOKUP(B231,'Cronog. e Histog.'!$B$213:$BU$688,72,0)</f>
        <v>0</v>
      </c>
      <c r="AY231" s="144">
        <f>$AW231*$AX231*Dashboard!$D$15</f>
        <v>0</v>
      </c>
      <c r="AZ231" s="144">
        <f>VLOOKUP(B231,Precificação!$B$96:$BM$533,54,0)</f>
        <v>0</v>
      </c>
      <c r="BA231" s="144">
        <f>VLOOKUP(B231,Precificação!$B$96:$BR$533,58,0)</f>
        <v>0</v>
      </c>
      <c r="BB231" s="144">
        <f>VLOOKUP(B231,Precificação!$B$96:$BW$533,62,0)</f>
        <v>0</v>
      </c>
      <c r="BC231" s="144">
        <f t="shared" si="147"/>
        <v>0</v>
      </c>
      <c r="BD231" s="109">
        <f>IFERROR(VLOOKUP(B231,Precificação!$B$96:$S$533,13,0),0)</f>
        <v>0</v>
      </c>
      <c r="BE231" s="109">
        <f>IFERROR(VLOOKUP(B231,Precificação!$B$96:$U$533,15,0)/(Precificação!$U$4+Precificação!$U$91),0)*Dashboard!$T$3</f>
        <v>0</v>
      </c>
    </row>
    <row r="232" spans="2:57" ht="12" customHeight="1" outlineLevel="1">
      <c r="B232" s="137" t="str">
        <f>Precificação!B215</f>
        <v>AN SR. ADM/CRP - Equipe_01</v>
      </c>
      <c r="D232" s="512"/>
      <c r="E232" s="143" t="str">
        <f>IF('Cronog. e Histog.'!G342&gt;0,'Cronog. e Histog.'!G342,"")</f>
        <v>AN SR. ADM/CRP</v>
      </c>
      <c r="G232" s="179">
        <f t="shared" si="134"/>
        <v>0</v>
      </c>
      <c r="H232" s="110">
        <f>IFERROR(INDEX('Base Salarial'!$D$5:$F$25,MATCH(E232,'Base Salarial'!$G$5:$G$25,0),MATCH(I232,'Base Salarial'!$D$4:$F$4,0)),"")</f>
        <v>7000</v>
      </c>
      <c r="I232" s="78" t="str">
        <f>IFERROR(INDEX(Tarefas!$BQ$29:$FK$29,MATCH(E232,Tarefas!$BQ$30:$FK$30,0)),"")</f>
        <v>Mensalista</v>
      </c>
      <c r="J232" s="81">
        <f>IF(I232="horista",H232*Dashboard!$D$15,IF(OR(I232="Mensalista",I232="PJ"),H232,))</f>
        <v>7000</v>
      </c>
      <c r="K232" s="81">
        <f>IF(I232="PJ",J232,ROUND(J232*(1+Dashboard!$D$22),2))</f>
        <v>7420</v>
      </c>
      <c r="L232" s="77"/>
      <c r="M232" s="180"/>
      <c r="P232" s="109">
        <f>IF($BD232&gt;0,(((($BD232/Dashboard!$D$15)*(1+Precificação!$W$589)))+$P$26)*(1+Dashboard!$D$35),0)</f>
        <v>0</v>
      </c>
      <c r="Q232" s="109">
        <f>IF($BD232&gt;0,(((($BD232/Dashboard!$D$23)+(1+Precificação!$W$589))*(1+Q$28))+$P$26)*(1+Dashboard!$D$35),0)</f>
        <v>0</v>
      </c>
      <c r="R232" s="109">
        <f>IF($BD232&gt;0,(((($BD232/Dashboard!$D$23)+(1+Precificação!$W$589))*(1+R$28))+$P$26)*(1+Dashboard!$D$35),0)</f>
        <v>0</v>
      </c>
      <c r="S232" s="109">
        <f>IF($BD232&gt;0,(((($BD232/Dashboard!$D$23)+(1+Precificação!$W$589))*(1+S$28))+$P$26)*(1+Dashboard!$D$35),0)</f>
        <v>0</v>
      </c>
      <c r="U232" s="109">
        <f t="shared" si="135"/>
        <v>0</v>
      </c>
      <c r="V232" s="109">
        <f t="shared" si="136"/>
        <v>0</v>
      </c>
      <c r="W232" s="109">
        <f t="shared" si="137"/>
        <v>0</v>
      </c>
      <c r="X232" s="109">
        <f t="shared" si="138"/>
        <v>0</v>
      </c>
      <c r="AA232" s="109">
        <f>IF($BD232&gt;0,(((($BD232/Dashboard!$D$23)*(1+Precificação!$W$589)))+$AA$26)*(1+Dashboard!$D$35),0)</f>
        <v>0</v>
      </c>
      <c r="AB232" s="109">
        <f>IF($BD232&gt;0,(((($BD232/Dashboard!$D$23)*(1+Precificação!$W$589))*(1+AB$28))+$AA$26)*(1+Dashboard!$D$35),0)</f>
        <v>0</v>
      </c>
      <c r="AC232" s="109">
        <f>IF($BD232&gt;0,(((($BD232/Dashboard!$D$23)*(1+Precificação!$W$589))*(1+AC$28))+$AA$26)*(1+Dashboard!$D$35),0)</f>
        <v>0</v>
      </c>
      <c r="AD232" s="109">
        <f>IF($BD232&gt;0,(((($BD232/Dashboard!$D$23)*(1+Precificação!$W$589))*(1+AD$28))+$AA$26)*(1+Dashboard!$D$35),0)</f>
        <v>0</v>
      </c>
      <c r="AF232" s="109">
        <f t="shared" si="139"/>
        <v>0</v>
      </c>
      <c r="AG232" s="109">
        <f t="shared" si="140"/>
        <v>0</v>
      </c>
      <c r="AH232" s="109">
        <f t="shared" si="141"/>
        <v>0</v>
      </c>
      <c r="AI232" s="109">
        <f t="shared" si="142"/>
        <v>0</v>
      </c>
      <c r="AL232" s="109">
        <f>IF($BD232&gt;0,(((($BD232/Dashboard!$D$23)*(1+Precificação!$W$589)))+$AL$26)*(1+Dashboard!$D$35),0)</f>
        <v>0</v>
      </c>
      <c r="AM232" s="109">
        <f>IF($BD232&gt;0,(((($BD232/Dashboard!$D$23)*(1+Precificação!$W$589))*(1+AM$28))+$AA$26)*(1+Dashboard!$D$35),0)</f>
        <v>0</v>
      </c>
      <c r="AN232" s="109">
        <f>IF($BD232&gt;0,(((($BD232/Dashboard!$D$23)*(1+Precificação!$W$589))*(1+AN$28))+$AA$26)*(1+Dashboard!$D$35),0)</f>
        <v>0</v>
      </c>
      <c r="AO232" s="109">
        <f>IF($BD232&gt;0,(((($BD232/Dashboard!$D$23)*(1+Precificação!$W$589))*(1+AO$28))+$AA$26)*(1+Dashboard!$D$35),0)</f>
        <v>0</v>
      </c>
      <c r="AQ232" s="109">
        <f t="shared" si="143"/>
        <v>0</v>
      </c>
      <c r="AR232" s="109">
        <f t="shared" si="144"/>
        <v>0</v>
      </c>
      <c r="AS232" s="109">
        <f t="shared" si="145"/>
        <v>0</v>
      </c>
      <c r="AT232" s="109">
        <f t="shared" si="146"/>
        <v>0</v>
      </c>
      <c r="AW232" s="144">
        <f>VLOOKUP(B232,'Cronog. e Histog.'!$B$213:$BT$688,71,0)</f>
        <v>0</v>
      </c>
      <c r="AX232" s="144">
        <f>VLOOKUP(B232,'Cronog. e Histog.'!$B$213:$BU$688,72,0)</f>
        <v>0</v>
      </c>
      <c r="AY232" s="144">
        <f>$AW232*$AX232*Dashboard!$D$15</f>
        <v>0</v>
      </c>
      <c r="AZ232" s="144">
        <f>VLOOKUP(B232,Precificação!$B$96:$BM$533,54,0)</f>
        <v>0</v>
      </c>
      <c r="BA232" s="144">
        <f>VLOOKUP(B232,Precificação!$B$96:$BR$533,58,0)</f>
        <v>0</v>
      </c>
      <c r="BB232" s="144">
        <f>VLOOKUP(B232,Precificação!$B$96:$BW$533,62,0)</f>
        <v>0</v>
      </c>
      <c r="BC232" s="144">
        <f t="shared" si="147"/>
        <v>0</v>
      </c>
      <c r="BD232" s="109">
        <f>IFERROR(VLOOKUP(B232,Precificação!$B$96:$S$533,13,0),0)</f>
        <v>0</v>
      </c>
      <c r="BE232" s="109">
        <f>IFERROR(VLOOKUP(B232,Precificação!$B$96:$U$533,15,0)/(Precificação!$U$4+Precificação!$U$91),0)*Dashboard!$T$3</f>
        <v>0</v>
      </c>
    </row>
    <row r="233" spans="2:57" ht="12" customHeight="1" outlineLevel="1">
      <c r="B233" s="137" t="str">
        <f>Precificação!B216</f>
        <v>AN PL. ADM/CRP - Equipe_01</v>
      </c>
      <c r="D233" s="512"/>
      <c r="E233" s="143" t="str">
        <f>IF('Cronog. e Histog.'!G343&gt;0,'Cronog. e Histog.'!G343,"")</f>
        <v>AN PL. ADM/CRP</v>
      </c>
      <c r="G233" s="179">
        <f t="shared" si="134"/>
        <v>0</v>
      </c>
      <c r="H233" s="110">
        <f>IFERROR(INDEX('Base Salarial'!$D$5:$F$25,MATCH(E233,'Base Salarial'!$G$5:$G$25,0),MATCH(I233,'Base Salarial'!$D$4:$F$4,0)),"")</f>
        <v>5000</v>
      </c>
      <c r="I233" s="78" t="str">
        <f>IFERROR(INDEX(Tarefas!$BQ$29:$FK$29,MATCH(E233,Tarefas!$BQ$30:$FK$30,0)),"")</f>
        <v>Mensalista</v>
      </c>
      <c r="J233" s="81">
        <f>IF(I233="horista",H233*Dashboard!$D$15,IF(OR(I233="Mensalista",I233="PJ"),H233,))</f>
        <v>5000</v>
      </c>
      <c r="K233" s="81">
        <f>IF(I233="PJ",J233,ROUND(J233*(1+Dashboard!$D$22),2))</f>
        <v>5300</v>
      </c>
      <c r="L233" s="77"/>
      <c r="M233" s="180"/>
      <c r="P233" s="109">
        <f>IF($BD233&gt;0,(((($BD233/Dashboard!$D$15)*(1+Precificação!$W$589)))+$P$26)*(1+Dashboard!$D$35),0)</f>
        <v>0</v>
      </c>
      <c r="Q233" s="109">
        <f>IF($BD233&gt;0,(((($BD233/Dashboard!$D$23)+(1+Precificação!$W$589))*(1+Q$28))+$P$26)*(1+Dashboard!$D$35),0)</f>
        <v>0</v>
      </c>
      <c r="R233" s="109">
        <f>IF($BD233&gt;0,(((($BD233/Dashboard!$D$23)+(1+Precificação!$W$589))*(1+R$28))+$P$26)*(1+Dashboard!$D$35),0)</f>
        <v>0</v>
      </c>
      <c r="S233" s="109">
        <f>IF($BD233&gt;0,(((($BD233/Dashboard!$D$23)+(1+Precificação!$W$589))*(1+S$28))+$P$26)*(1+Dashboard!$D$35),0)</f>
        <v>0</v>
      </c>
      <c r="U233" s="109">
        <f t="shared" si="135"/>
        <v>0</v>
      </c>
      <c r="V233" s="109">
        <f t="shared" si="136"/>
        <v>0</v>
      </c>
      <c r="W233" s="109">
        <f t="shared" si="137"/>
        <v>0</v>
      </c>
      <c r="X233" s="109">
        <f t="shared" si="138"/>
        <v>0</v>
      </c>
      <c r="AA233" s="109">
        <f>IF($BD233&gt;0,(((($BD233/Dashboard!$D$23)*(1+Precificação!$W$589)))+$AA$26)*(1+Dashboard!$D$35),0)</f>
        <v>0</v>
      </c>
      <c r="AB233" s="109">
        <f>IF($BD233&gt;0,(((($BD233/Dashboard!$D$23)*(1+Precificação!$W$589))*(1+AB$28))+$AA$26)*(1+Dashboard!$D$35),0)</f>
        <v>0</v>
      </c>
      <c r="AC233" s="109">
        <f>IF($BD233&gt;0,(((($BD233/Dashboard!$D$23)*(1+Precificação!$W$589))*(1+AC$28))+$AA$26)*(1+Dashboard!$D$35),0)</f>
        <v>0</v>
      </c>
      <c r="AD233" s="109">
        <f>IF($BD233&gt;0,(((($BD233/Dashboard!$D$23)*(1+Precificação!$W$589))*(1+AD$28))+$AA$26)*(1+Dashboard!$D$35),0)</f>
        <v>0</v>
      </c>
      <c r="AF233" s="109">
        <f t="shared" si="139"/>
        <v>0</v>
      </c>
      <c r="AG233" s="109">
        <f t="shared" si="140"/>
        <v>0</v>
      </c>
      <c r="AH233" s="109">
        <f t="shared" si="141"/>
        <v>0</v>
      </c>
      <c r="AI233" s="109">
        <f t="shared" si="142"/>
        <v>0</v>
      </c>
      <c r="AL233" s="109">
        <f>IF($BD233&gt;0,(((($BD233/Dashboard!$D$23)*(1+Precificação!$W$589)))+$AL$26)*(1+Dashboard!$D$35),0)</f>
        <v>0</v>
      </c>
      <c r="AM233" s="109">
        <f>IF($BD233&gt;0,(((($BD233/Dashboard!$D$23)*(1+Precificação!$W$589))*(1+AM$28))+$AA$26)*(1+Dashboard!$D$35),0)</f>
        <v>0</v>
      </c>
      <c r="AN233" s="109">
        <f>IF($BD233&gt;0,(((($BD233/Dashboard!$D$23)*(1+Precificação!$W$589))*(1+AN$28))+$AA$26)*(1+Dashboard!$D$35),0)</f>
        <v>0</v>
      </c>
      <c r="AO233" s="109">
        <f>IF($BD233&gt;0,(((($BD233/Dashboard!$D$23)*(1+Precificação!$W$589))*(1+AO$28))+$AA$26)*(1+Dashboard!$D$35),0)</f>
        <v>0</v>
      </c>
      <c r="AQ233" s="109">
        <f t="shared" si="143"/>
        <v>0</v>
      </c>
      <c r="AR233" s="109">
        <f t="shared" si="144"/>
        <v>0</v>
      </c>
      <c r="AS233" s="109">
        <f t="shared" si="145"/>
        <v>0</v>
      </c>
      <c r="AT233" s="109">
        <f t="shared" si="146"/>
        <v>0</v>
      </c>
      <c r="AW233" s="144">
        <f>VLOOKUP(B233,'Cronog. e Histog.'!$B$213:$BT$688,71,0)</f>
        <v>0</v>
      </c>
      <c r="AX233" s="144">
        <f>VLOOKUP(B233,'Cronog. e Histog.'!$B$213:$BU$688,72,0)</f>
        <v>0</v>
      </c>
      <c r="AY233" s="144">
        <f>$AW233*$AX233*Dashboard!$D$15</f>
        <v>0</v>
      </c>
      <c r="AZ233" s="144">
        <f>VLOOKUP(B233,Precificação!$B$96:$BM$533,54,0)</f>
        <v>0</v>
      </c>
      <c r="BA233" s="144">
        <f>VLOOKUP(B233,Precificação!$B$96:$BR$533,58,0)</f>
        <v>0</v>
      </c>
      <c r="BB233" s="144">
        <f>VLOOKUP(B233,Precificação!$B$96:$BW$533,62,0)</f>
        <v>0</v>
      </c>
      <c r="BC233" s="144">
        <f t="shared" si="147"/>
        <v>0</v>
      </c>
      <c r="BD233" s="109">
        <f>IFERROR(VLOOKUP(B233,Precificação!$B$96:$S$533,13,0),0)</f>
        <v>0</v>
      </c>
      <c r="BE233" s="109">
        <f>IFERROR(VLOOKUP(B233,Precificação!$B$96:$U$533,15,0)/(Precificação!$U$4+Precificação!$U$91),0)*Dashboard!$T$3</f>
        <v>0</v>
      </c>
    </row>
    <row r="234" spans="2:57" ht="12" customHeight="1" outlineLevel="1">
      <c r="B234" s="137" t="str">
        <f>Precificação!B217</f>
        <v>AN JR. ADM/CRP - Equipe_01</v>
      </c>
      <c r="D234" s="512"/>
      <c r="E234" s="143" t="str">
        <f>IF('Cronog. e Histog.'!G344&gt;0,'Cronog. e Histog.'!G344,"")</f>
        <v>AN JR. ADM/CRP</v>
      </c>
      <c r="G234" s="179">
        <f t="shared" si="134"/>
        <v>0</v>
      </c>
      <c r="H234" s="110">
        <f>IFERROR(INDEX('Base Salarial'!$D$5:$F$25,MATCH(E234,'Base Salarial'!$G$5:$G$25,0),MATCH(I234,'Base Salarial'!$D$4:$F$4,0)),"")</f>
        <v>3500</v>
      </c>
      <c r="I234" s="78" t="str">
        <f>IFERROR(INDEX(Tarefas!$BQ$29:$FK$29,MATCH(E234,Tarefas!$BQ$30:$FK$30,0)),"")</f>
        <v>Mensalista</v>
      </c>
      <c r="J234" s="81">
        <f>IF(I234="horista",H234*Dashboard!$D$15,IF(OR(I234="Mensalista",I234="PJ"),H234,))</f>
        <v>3500</v>
      </c>
      <c r="K234" s="81">
        <f>IF(I234="PJ",J234,ROUND(J234*(1+Dashboard!$D$22),2))</f>
        <v>3710</v>
      </c>
      <c r="L234" s="77"/>
      <c r="M234" s="180"/>
      <c r="P234" s="109">
        <f>IF($BD234&gt;0,(((($BD234/Dashboard!$D$15)*(1+Precificação!$W$589)))+$P$26)*(1+Dashboard!$D$35),0)</f>
        <v>0</v>
      </c>
      <c r="Q234" s="109">
        <f>IF($BD234&gt;0,(((($BD234/Dashboard!$D$23)+(1+Precificação!$W$589))*(1+Q$28))+$P$26)*(1+Dashboard!$D$35),0)</f>
        <v>0</v>
      </c>
      <c r="R234" s="109">
        <f>IF($BD234&gt;0,(((($BD234/Dashboard!$D$23)+(1+Precificação!$W$589))*(1+R$28))+$P$26)*(1+Dashboard!$D$35),0)</f>
        <v>0</v>
      </c>
      <c r="S234" s="109">
        <f>IF($BD234&gt;0,(((($BD234/Dashboard!$D$23)+(1+Precificação!$W$589))*(1+S$28))+$P$26)*(1+Dashboard!$D$35),0)</f>
        <v>0</v>
      </c>
      <c r="U234" s="109">
        <f t="shared" si="135"/>
        <v>0</v>
      </c>
      <c r="V234" s="109">
        <f t="shared" si="136"/>
        <v>0</v>
      </c>
      <c r="W234" s="109">
        <f t="shared" si="137"/>
        <v>0</v>
      </c>
      <c r="X234" s="109">
        <f t="shared" si="138"/>
        <v>0</v>
      </c>
      <c r="AA234" s="109">
        <f>IF($BD234&gt;0,(((($BD234/Dashboard!$D$23)*(1+Precificação!$W$589)))+$AA$26)*(1+Dashboard!$D$35),0)</f>
        <v>0</v>
      </c>
      <c r="AB234" s="109">
        <f>IF($BD234&gt;0,(((($BD234/Dashboard!$D$23)*(1+Precificação!$W$589))*(1+AB$28))+$AA$26)*(1+Dashboard!$D$35),0)</f>
        <v>0</v>
      </c>
      <c r="AC234" s="109">
        <f>IF($BD234&gt;0,(((($BD234/Dashboard!$D$23)*(1+Precificação!$W$589))*(1+AC$28))+$AA$26)*(1+Dashboard!$D$35),0)</f>
        <v>0</v>
      </c>
      <c r="AD234" s="109">
        <f>IF($BD234&gt;0,(((($BD234/Dashboard!$D$23)*(1+Precificação!$W$589))*(1+AD$28))+$AA$26)*(1+Dashboard!$D$35),0)</f>
        <v>0</v>
      </c>
      <c r="AF234" s="109">
        <f t="shared" si="139"/>
        <v>0</v>
      </c>
      <c r="AG234" s="109">
        <f t="shared" si="140"/>
        <v>0</v>
      </c>
      <c r="AH234" s="109">
        <f t="shared" si="141"/>
        <v>0</v>
      </c>
      <c r="AI234" s="109">
        <f t="shared" si="142"/>
        <v>0</v>
      </c>
      <c r="AL234" s="109">
        <f>IF($BD234&gt;0,(((($BD234/Dashboard!$D$23)*(1+Precificação!$W$589)))+$AL$26)*(1+Dashboard!$D$35),0)</f>
        <v>0</v>
      </c>
      <c r="AM234" s="109">
        <f>IF($BD234&gt;0,(((($BD234/Dashboard!$D$23)*(1+Precificação!$W$589))*(1+AM$28))+$AA$26)*(1+Dashboard!$D$35),0)</f>
        <v>0</v>
      </c>
      <c r="AN234" s="109">
        <f>IF($BD234&gt;0,(((($BD234/Dashboard!$D$23)*(1+Precificação!$W$589))*(1+AN$28))+$AA$26)*(1+Dashboard!$D$35),0)</f>
        <v>0</v>
      </c>
      <c r="AO234" s="109">
        <f>IF($BD234&gt;0,(((($BD234/Dashboard!$D$23)*(1+Precificação!$W$589))*(1+AO$28))+$AA$26)*(1+Dashboard!$D$35),0)</f>
        <v>0</v>
      </c>
      <c r="AQ234" s="109">
        <f t="shared" si="143"/>
        <v>0</v>
      </c>
      <c r="AR234" s="109">
        <f t="shared" si="144"/>
        <v>0</v>
      </c>
      <c r="AS234" s="109">
        <f t="shared" si="145"/>
        <v>0</v>
      </c>
      <c r="AT234" s="109">
        <f t="shared" si="146"/>
        <v>0</v>
      </c>
      <c r="AW234" s="144">
        <f>VLOOKUP(B234,'Cronog. e Histog.'!$B$213:$BT$688,71,0)</f>
        <v>0</v>
      </c>
      <c r="AX234" s="144">
        <f>VLOOKUP(B234,'Cronog. e Histog.'!$B$213:$BU$688,72,0)</f>
        <v>0</v>
      </c>
      <c r="AY234" s="144">
        <f>$AW234*$AX234*Dashboard!$D$15</f>
        <v>0</v>
      </c>
      <c r="AZ234" s="144">
        <f>VLOOKUP(B234,Precificação!$B$96:$BM$533,54,0)</f>
        <v>0</v>
      </c>
      <c r="BA234" s="144">
        <f>VLOOKUP(B234,Precificação!$B$96:$BR$533,58,0)</f>
        <v>0</v>
      </c>
      <c r="BB234" s="144">
        <f>VLOOKUP(B234,Precificação!$B$96:$BW$533,62,0)</f>
        <v>0</v>
      </c>
      <c r="BC234" s="144">
        <f t="shared" si="147"/>
        <v>0</v>
      </c>
      <c r="BD234" s="109">
        <f>IFERROR(VLOOKUP(B234,Precificação!$B$96:$S$533,13,0),0)</f>
        <v>0</v>
      </c>
      <c r="BE234" s="109">
        <f>IFERROR(VLOOKUP(B234,Precificação!$B$96:$U$533,15,0)/(Precificação!$U$4+Precificação!$U$91),0)*Dashboard!$T$3</f>
        <v>0</v>
      </c>
    </row>
    <row r="235" spans="2:57" ht="12" customHeight="1" outlineLevel="1">
      <c r="B235" s="137" t="str">
        <f>Precificação!B218</f>
        <v>TEC III - Equipe_01</v>
      </c>
      <c r="D235" s="512"/>
      <c r="E235" s="143" t="str">
        <f>IF('Cronog. e Histog.'!G345&gt;0,'Cronog. e Histog.'!G345,"")</f>
        <v>TEC III</v>
      </c>
      <c r="G235" s="179">
        <f t="shared" si="134"/>
        <v>0</v>
      </c>
      <c r="H235" s="110">
        <f>IFERROR(INDEX('Base Salarial'!$D$5:$F$25,MATCH(E235,'Base Salarial'!$G$5:$G$25,0),MATCH(I235,'Base Salarial'!$D$4:$F$4,0)),"")</f>
        <v>6000</v>
      </c>
      <c r="I235" s="78" t="str">
        <f>IFERROR(INDEX(Tarefas!$BQ$29:$FK$29,MATCH(E235,Tarefas!$BQ$30:$FK$30,0)),"")</f>
        <v>Mensalista</v>
      </c>
      <c r="J235" s="81">
        <f>IF(I235="horista",H235*Dashboard!$D$15,IF(OR(I235="Mensalista",I235="PJ"),H235,))</f>
        <v>6000</v>
      </c>
      <c r="K235" s="81">
        <f>IF(I235="PJ",J235,ROUND(J235*(1+Dashboard!$D$22),2))</f>
        <v>6360</v>
      </c>
      <c r="L235" s="77"/>
      <c r="M235" s="180"/>
      <c r="P235" s="109">
        <f>IF($BD235&gt;0,(((($BD235/Dashboard!$D$15)*(1+Precificação!$W$589)))+$P$26)*(1+Dashboard!$D$35),0)</f>
        <v>0</v>
      </c>
      <c r="Q235" s="109">
        <f>IF($BD235&gt;0,(((($BD235/Dashboard!$D$23)+(1+Precificação!$W$589))*(1+Q$28))+$P$26)*(1+Dashboard!$D$35),0)</f>
        <v>0</v>
      </c>
      <c r="R235" s="109">
        <f>IF($BD235&gt;0,(((($BD235/Dashboard!$D$23)+(1+Precificação!$W$589))*(1+R$28))+$P$26)*(1+Dashboard!$D$35),0)</f>
        <v>0</v>
      </c>
      <c r="S235" s="109">
        <f>IF($BD235&gt;0,(((($BD235/Dashboard!$D$23)+(1+Precificação!$W$589))*(1+S$28))+$P$26)*(1+Dashboard!$D$35),0)</f>
        <v>0</v>
      </c>
      <c r="U235" s="109">
        <f t="shared" si="135"/>
        <v>0</v>
      </c>
      <c r="V235" s="109">
        <f t="shared" si="136"/>
        <v>0</v>
      </c>
      <c r="W235" s="109">
        <f t="shared" si="137"/>
        <v>0</v>
      </c>
      <c r="X235" s="109">
        <f t="shared" si="138"/>
        <v>0</v>
      </c>
      <c r="AA235" s="109">
        <f>IF($BD235&gt;0,(((($BD235/Dashboard!$D$23)*(1+Precificação!$W$589)))+$AA$26)*(1+Dashboard!$D$35),0)</f>
        <v>0</v>
      </c>
      <c r="AB235" s="109">
        <f>IF($BD235&gt;0,(((($BD235/Dashboard!$D$23)*(1+Precificação!$W$589))*(1+AB$28))+$AA$26)*(1+Dashboard!$D$35),0)</f>
        <v>0</v>
      </c>
      <c r="AC235" s="109">
        <f>IF($BD235&gt;0,(((($BD235/Dashboard!$D$23)*(1+Precificação!$W$589))*(1+AC$28))+$AA$26)*(1+Dashboard!$D$35),0)</f>
        <v>0</v>
      </c>
      <c r="AD235" s="109">
        <f>IF($BD235&gt;0,(((($BD235/Dashboard!$D$23)*(1+Precificação!$W$589))*(1+AD$28))+$AA$26)*(1+Dashboard!$D$35),0)</f>
        <v>0</v>
      </c>
      <c r="AF235" s="109">
        <f t="shared" si="139"/>
        <v>0</v>
      </c>
      <c r="AG235" s="109">
        <f t="shared" si="140"/>
        <v>0</v>
      </c>
      <c r="AH235" s="109">
        <f t="shared" si="141"/>
        <v>0</v>
      </c>
      <c r="AI235" s="109">
        <f t="shared" si="142"/>
        <v>0</v>
      </c>
      <c r="AL235" s="109">
        <f>IF($BD235&gt;0,(((($BD235/Dashboard!$D$23)*(1+Precificação!$W$589)))+$AL$26)*(1+Dashboard!$D$35),0)</f>
        <v>0</v>
      </c>
      <c r="AM235" s="109">
        <f>IF($BD235&gt;0,(((($BD235/Dashboard!$D$23)*(1+Precificação!$W$589))*(1+AM$28))+$AA$26)*(1+Dashboard!$D$35),0)</f>
        <v>0</v>
      </c>
      <c r="AN235" s="109">
        <f>IF($BD235&gt;0,(((($BD235/Dashboard!$D$23)*(1+Precificação!$W$589))*(1+AN$28))+$AA$26)*(1+Dashboard!$D$35),0)</f>
        <v>0</v>
      </c>
      <c r="AO235" s="109">
        <f>IF($BD235&gt;0,(((($BD235/Dashboard!$D$23)*(1+Precificação!$W$589))*(1+AO$28))+$AA$26)*(1+Dashboard!$D$35),0)</f>
        <v>0</v>
      </c>
      <c r="AQ235" s="109">
        <f t="shared" si="143"/>
        <v>0</v>
      </c>
      <c r="AR235" s="109">
        <f t="shared" si="144"/>
        <v>0</v>
      </c>
      <c r="AS235" s="109">
        <f t="shared" si="145"/>
        <v>0</v>
      </c>
      <c r="AT235" s="109">
        <f t="shared" si="146"/>
        <v>0</v>
      </c>
      <c r="AW235" s="144">
        <f>VLOOKUP(B235,'Cronog. e Histog.'!$B$213:$BT$688,71,0)</f>
        <v>0</v>
      </c>
      <c r="AX235" s="144">
        <f>VLOOKUP(B235,'Cronog. e Histog.'!$B$213:$BU$688,72,0)</f>
        <v>0</v>
      </c>
      <c r="AY235" s="144">
        <f>$AW235*$AX235*Dashboard!$D$15</f>
        <v>0</v>
      </c>
      <c r="AZ235" s="144">
        <f>VLOOKUP(B235,Precificação!$B$96:$BM$533,54,0)</f>
        <v>0</v>
      </c>
      <c r="BA235" s="144">
        <f>VLOOKUP(B235,Precificação!$B$96:$BR$533,58,0)</f>
        <v>0</v>
      </c>
      <c r="BB235" s="144">
        <f>VLOOKUP(B235,Precificação!$B$96:$BW$533,62,0)</f>
        <v>0</v>
      </c>
      <c r="BC235" s="144">
        <f t="shared" si="147"/>
        <v>0</v>
      </c>
      <c r="BD235" s="109">
        <f>IFERROR(VLOOKUP(B235,Precificação!$B$96:$S$533,13,0),0)</f>
        <v>0</v>
      </c>
      <c r="BE235" s="109">
        <f>IFERROR(VLOOKUP(B235,Precificação!$B$96:$U$533,15,0)/(Precificação!$U$4+Precificação!$U$91),0)*Dashboard!$T$3</f>
        <v>0</v>
      </c>
    </row>
    <row r="236" spans="2:57" ht="12" customHeight="1" outlineLevel="1">
      <c r="B236" s="137" t="str">
        <f>Precificação!B219</f>
        <v>TEC II - Equipe_01</v>
      </c>
      <c r="D236" s="512"/>
      <c r="E236" s="143" t="str">
        <f>IF('Cronog. e Histog.'!G346&gt;0,'Cronog. e Histog.'!G346,"")</f>
        <v>TEC II</v>
      </c>
      <c r="G236" s="179">
        <f t="shared" si="134"/>
        <v>0</v>
      </c>
      <c r="H236" s="110">
        <f>IFERROR(INDEX('Base Salarial'!$D$5:$F$25,MATCH(E236,'Base Salarial'!$G$5:$G$25,0),MATCH(I236,'Base Salarial'!$D$4:$F$4,0)),"")</f>
        <v>4500</v>
      </c>
      <c r="I236" s="78" t="str">
        <f>IFERROR(INDEX(Tarefas!$BQ$29:$FK$29,MATCH(E236,Tarefas!$BQ$30:$FK$30,0)),"")</f>
        <v>Mensalista</v>
      </c>
      <c r="J236" s="81">
        <f>IF(I236="horista",H236*Dashboard!$D$15,IF(OR(I236="Mensalista",I236="PJ"),H236,))</f>
        <v>4500</v>
      </c>
      <c r="K236" s="81">
        <f>IF(I236="PJ",J236,ROUND(J236*(1+Dashboard!$D$22),2))</f>
        <v>4770</v>
      </c>
      <c r="L236" s="77"/>
      <c r="M236" s="180"/>
      <c r="P236" s="109">
        <f>IF($BD236&gt;0,(((($BD236/Dashboard!$D$15)*(1+Precificação!$W$589)))+$P$26)*(1+Dashboard!$D$35),0)</f>
        <v>0</v>
      </c>
      <c r="Q236" s="109">
        <f>IF($BD236&gt;0,(((($BD236/Dashboard!$D$23)+(1+Precificação!$W$589))*(1+Q$28))+$P$26)*(1+Dashboard!$D$35),0)</f>
        <v>0</v>
      </c>
      <c r="R236" s="109">
        <f>IF($BD236&gt;0,(((($BD236/Dashboard!$D$23)+(1+Precificação!$W$589))*(1+R$28))+$P$26)*(1+Dashboard!$D$35),0)</f>
        <v>0</v>
      </c>
      <c r="S236" s="109">
        <f>IF($BD236&gt;0,(((($BD236/Dashboard!$D$23)+(1+Precificação!$W$589))*(1+S$28))+$P$26)*(1+Dashboard!$D$35),0)</f>
        <v>0</v>
      </c>
      <c r="U236" s="109">
        <f t="shared" si="135"/>
        <v>0</v>
      </c>
      <c r="V236" s="109">
        <f t="shared" si="136"/>
        <v>0</v>
      </c>
      <c r="W236" s="109">
        <f t="shared" si="137"/>
        <v>0</v>
      </c>
      <c r="X236" s="109">
        <f t="shared" si="138"/>
        <v>0</v>
      </c>
      <c r="AA236" s="109">
        <f>IF($BD236&gt;0,(((($BD236/Dashboard!$D$23)*(1+Precificação!$W$589)))+$AA$26)*(1+Dashboard!$D$35),0)</f>
        <v>0</v>
      </c>
      <c r="AB236" s="109">
        <f>IF($BD236&gt;0,(((($BD236/Dashboard!$D$23)*(1+Precificação!$W$589))*(1+AB$28))+$AA$26)*(1+Dashboard!$D$35),0)</f>
        <v>0</v>
      </c>
      <c r="AC236" s="109">
        <f>IF($BD236&gt;0,(((($BD236/Dashboard!$D$23)*(1+Precificação!$W$589))*(1+AC$28))+$AA$26)*(1+Dashboard!$D$35),0)</f>
        <v>0</v>
      </c>
      <c r="AD236" s="109">
        <f>IF($BD236&gt;0,(((($BD236/Dashboard!$D$23)*(1+Precificação!$W$589))*(1+AD$28))+$AA$26)*(1+Dashboard!$D$35),0)</f>
        <v>0</v>
      </c>
      <c r="AF236" s="109">
        <f t="shared" si="139"/>
        <v>0</v>
      </c>
      <c r="AG236" s="109">
        <f t="shared" si="140"/>
        <v>0</v>
      </c>
      <c r="AH236" s="109">
        <f t="shared" si="141"/>
        <v>0</v>
      </c>
      <c r="AI236" s="109">
        <f t="shared" si="142"/>
        <v>0</v>
      </c>
      <c r="AL236" s="109">
        <f>IF($BD236&gt;0,(((($BD236/Dashboard!$D$23)*(1+Precificação!$W$589)))+$AL$26)*(1+Dashboard!$D$35),0)</f>
        <v>0</v>
      </c>
      <c r="AM236" s="109">
        <f>IF($BD236&gt;0,(((($BD236/Dashboard!$D$23)*(1+Precificação!$W$589))*(1+AM$28))+$AA$26)*(1+Dashboard!$D$35),0)</f>
        <v>0</v>
      </c>
      <c r="AN236" s="109">
        <f>IF($BD236&gt;0,(((($BD236/Dashboard!$D$23)*(1+Precificação!$W$589))*(1+AN$28))+$AA$26)*(1+Dashboard!$D$35),0)</f>
        <v>0</v>
      </c>
      <c r="AO236" s="109">
        <f>IF($BD236&gt;0,(((($BD236/Dashboard!$D$23)*(1+Precificação!$W$589))*(1+AO$28))+$AA$26)*(1+Dashboard!$D$35),0)</f>
        <v>0</v>
      </c>
      <c r="AQ236" s="109">
        <f t="shared" si="143"/>
        <v>0</v>
      </c>
      <c r="AR236" s="109">
        <f t="shared" si="144"/>
        <v>0</v>
      </c>
      <c r="AS236" s="109">
        <f t="shared" si="145"/>
        <v>0</v>
      </c>
      <c r="AT236" s="109">
        <f t="shared" si="146"/>
        <v>0</v>
      </c>
      <c r="AW236" s="144">
        <f>VLOOKUP(B236,'Cronog. e Histog.'!$B$213:$BT$688,71,0)</f>
        <v>0</v>
      </c>
      <c r="AX236" s="144">
        <f>VLOOKUP(B236,'Cronog. e Histog.'!$B$213:$BU$688,72,0)</f>
        <v>0</v>
      </c>
      <c r="AY236" s="144">
        <f>$AW236*$AX236*Dashboard!$D$15</f>
        <v>0</v>
      </c>
      <c r="AZ236" s="144">
        <f>VLOOKUP(B236,Precificação!$B$96:$BM$533,54,0)</f>
        <v>0</v>
      </c>
      <c r="BA236" s="144">
        <f>VLOOKUP(B236,Precificação!$B$96:$BR$533,58,0)</f>
        <v>0</v>
      </c>
      <c r="BB236" s="144">
        <f>VLOOKUP(B236,Precificação!$B$96:$BW$533,62,0)</f>
        <v>0</v>
      </c>
      <c r="BC236" s="144">
        <f t="shared" si="147"/>
        <v>0</v>
      </c>
      <c r="BD236" s="109">
        <f>IFERROR(VLOOKUP(B236,Precificação!$B$96:$S$533,13,0),0)</f>
        <v>0</v>
      </c>
      <c r="BE236" s="109">
        <f>IFERROR(VLOOKUP(B236,Precificação!$B$96:$U$533,15,0)/(Precificação!$U$4+Precificação!$U$91),0)*Dashboard!$T$3</f>
        <v>0</v>
      </c>
    </row>
    <row r="237" spans="2:57" ht="12" customHeight="1" outlineLevel="1">
      <c r="B237" s="137" t="str">
        <f>Precificação!B220</f>
        <v>TEC I - Equipe_01</v>
      </c>
      <c r="D237" s="512"/>
      <c r="E237" s="143" t="str">
        <f>IF('Cronog. e Histog.'!G347&gt;0,'Cronog. e Histog.'!G347,"")</f>
        <v>TEC I</v>
      </c>
      <c r="G237" s="179">
        <f t="shared" si="134"/>
        <v>0</v>
      </c>
      <c r="H237" s="110">
        <f>IFERROR(INDEX('Base Salarial'!$D$5:$F$25,MATCH(E237,'Base Salarial'!$G$5:$G$25,0),MATCH(I237,'Base Salarial'!$D$4:$F$4,0)),"")</f>
        <v>3000</v>
      </c>
      <c r="I237" s="78" t="str">
        <f>IFERROR(INDEX(Tarefas!$BQ$29:$FK$29,MATCH(E237,Tarefas!$BQ$30:$FK$30,0)),"")</f>
        <v>Mensalista</v>
      </c>
      <c r="J237" s="81">
        <f>IF(I237="horista",H237*Dashboard!$D$15,IF(OR(I237="Mensalista",I237="PJ"),H237,))</f>
        <v>3000</v>
      </c>
      <c r="K237" s="81">
        <f>IF(I237="PJ",J237,ROUND(J237*(1+Dashboard!$D$22),2))</f>
        <v>3180</v>
      </c>
      <c r="L237" s="77"/>
      <c r="M237" s="180"/>
      <c r="P237" s="109">
        <f>IF($BD237&gt;0,(((($BD237/Dashboard!$D$15)*(1+Precificação!$W$589)))+$P$26)*(1+Dashboard!$D$35),0)</f>
        <v>0</v>
      </c>
      <c r="Q237" s="109">
        <f>IF($BD237&gt;0,(((($BD237/Dashboard!$D$23)+(1+Precificação!$W$589))*(1+Q$28))+$P$26)*(1+Dashboard!$D$35),0)</f>
        <v>0</v>
      </c>
      <c r="R237" s="109">
        <f>IF($BD237&gt;0,(((($BD237/Dashboard!$D$23)+(1+Precificação!$W$589))*(1+R$28))+$P$26)*(1+Dashboard!$D$35),0)</f>
        <v>0</v>
      </c>
      <c r="S237" s="109">
        <f>IF($BD237&gt;0,(((($BD237/Dashboard!$D$23)+(1+Precificação!$W$589))*(1+S$28))+$P$26)*(1+Dashboard!$D$35),0)</f>
        <v>0</v>
      </c>
      <c r="U237" s="109">
        <f t="shared" si="135"/>
        <v>0</v>
      </c>
      <c r="V237" s="109">
        <f t="shared" si="136"/>
        <v>0</v>
      </c>
      <c r="W237" s="109">
        <f t="shared" si="137"/>
        <v>0</v>
      </c>
      <c r="X237" s="109">
        <f t="shared" si="138"/>
        <v>0</v>
      </c>
      <c r="AA237" s="109">
        <f>IF($BD237&gt;0,(((($BD237/Dashboard!$D$23)*(1+Precificação!$W$589)))+$AA$26)*(1+Dashboard!$D$35),0)</f>
        <v>0</v>
      </c>
      <c r="AB237" s="109">
        <f>IF($BD237&gt;0,(((($BD237/Dashboard!$D$23)*(1+Precificação!$W$589))*(1+AB$28))+$AA$26)*(1+Dashboard!$D$35),0)</f>
        <v>0</v>
      </c>
      <c r="AC237" s="109">
        <f>IF($BD237&gt;0,(((($BD237/Dashboard!$D$23)*(1+Precificação!$W$589))*(1+AC$28))+$AA$26)*(1+Dashboard!$D$35),0)</f>
        <v>0</v>
      </c>
      <c r="AD237" s="109">
        <f>IF($BD237&gt;0,(((($BD237/Dashboard!$D$23)*(1+Precificação!$W$589))*(1+AD$28))+$AA$26)*(1+Dashboard!$D$35),0)</f>
        <v>0</v>
      </c>
      <c r="AF237" s="109">
        <f t="shared" si="139"/>
        <v>0</v>
      </c>
      <c r="AG237" s="109">
        <f t="shared" si="140"/>
        <v>0</v>
      </c>
      <c r="AH237" s="109">
        <f t="shared" si="141"/>
        <v>0</v>
      </c>
      <c r="AI237" s="109">
        <f t="shared" si="142"/>
        <v>0</v>
      </c>
      <c r="AL237" s="109">
        <f>IF($BD237&gt;0,(((($BD237/Dashboard!$D$23)*(1+Precificação!$W$589)))+$AL$26)*(1+Dashboard!$D$35),0)</f>
        <v>0</v>
      </c>
      <c r="AM237" s="109">
        <f>IF($BD237&gt;0,(((($BD237/Dashboard!$D$23)*(1+Precificação!$W$589))*(1+AM$28))+$AA$26)*(1+Dashboard!$D$35),0)</f>
        <v>0</v>
      </c>
      <c r="AN237" s="109">
        <f>IF($BD237&gt;0,(((($BD237/Dashboard!$D$23)*(1+Precificação!$W$589))*(1+AN$28))+$AA$26)*(1+Dashboard!$D$35),0)</f>
        <v>0</v>
      </c>
      <c r="AO237" s="109">
        <f>IF($BD237&gt;0,(((($BD237/Dashboard!$D$23)*(1+Precificação!$W$589))*(1+AO$28))+$AA$26)*(1+Dashboard!$D$35),0)</f>
        <v>0</v>
      </c>
      <c r="AQ237" s="109">
        <f t="shared" si="143"/>
        <v>0</v>
      </c>
      <c r="AR237" s="109">
        <f t="shared" si="144"/>
        <v>0</v>
      </c>
      <c r="AS237" s="109">
        <f t="shared" si="145"/>
        <v>0</v>
      </c>
      <c r="AT237" s="109">
        <f t="shared" si="146"/>
        <v>0</v>
      </c>
      <c r="AW237" s="144">
        <f>VLOOKUP(B237,'Cronog. e Histog.'!$B$213:$BT$688,71,0)</f>
        <v>0</v>
      </c>
      <c r="AX237" s="144">
        <f>VLOOKUP(B237,'Cronog. e Histog.'!$B$213:$BU$688,72,0)</f>
        <v>0</v>
      </c>
      <c r="AY237" s="144">
        <f>$AW237*$AX237*Dashboard!$D$15</f>
        <v>0</v>
      </c>
      <c r="AZ237" s="144">
        <f>VLOOKUP(B237,Precificação!$B$96:$BM$533,54,0)</f>
        <v>0</v>
      </c>
      <c r="BA237" s="144">
        <f>VLOOKUP(B237,Precificação!$B$96:$BR$533,58,0)</f>
        <v>0</v>
      </c>
      <c r="BB237" s="144">
        <f>VLOOKUP(B237,Precificação!$B$96:$BW$533,62,0)</f>
        <v>0</v>
      </c>
      <c r="BC237" s="144">
        <f t="shared" si="147"/>
        <v>0</v>
      </c>
      <c r="BD237" s="109">
        <f>IFERROR(VLOOKUP(B237,Precificação!$B$96:$S$533,13,0),0)</f>
        <v>0</v>
      </c>
      <c r="BE237" s="109">
        <f>IFERROR(VLOOKUP(B237,Precificação!$B$96:$U$533,15,0)/(Precificação!$U$4+Precificação!$U$91),0)*Dashboard!$T$3</f>
        <v>0</v>
      </c>
    </row>
    <row r="238" spans="2:57" ht="12" customHeight="1" outlineLevel="1">
      <c r="B238" s="137" t="str">
        <f>Precificação!B221</f>
        <v>AUX TEC - Equipe_01</v>
      </c>
      <c r="D238" s="512"/>
      <c r="E238" s="143" t="str">
        <f>IF('Cronog. e Histog.'!G348&gt;0,'Cronog. e Histog.'!G348,"")</f>
        <v>AUX TEC</v>
      </c>
      <c r="G238" s="179">
        <f t="shared" si="134"/>
        <v>0</v>
      </c>
      <c r="H238" s="110">
        <f>IFERROR(INDEX('Base Salarial'!$D$5:$F$25,MATCH(E238,'Base Salarial'!$G$5:$G$25,0),MATCH(I238,'Base Salarial'!$D$4:$F$4,0)),"")</f>
        <v>3500</v>
      </c>
      <c r="I238" s="78" t="str">
        <f>IFERROR(INDEX(Tarefas!$BQ$29:$FK$29,MATCH(E238,Tarefas!$BQ$30:$FK$30,0)),"")</f>
        <v>Mensalista</v>
      </c>
      <c r="J238" s="81">
        <f>IF(I238="horista",H238*Dashboard!$D$15,IF(OR(I238="Mensalista",I238="PJ"),H238,))</f>
        <v>3500</v>
      </c>
      <c r="K238" s="81">
        <f>IF(I238="PJ",J238,ROUND(J238*(1+Dashboard!$D$22),2))</f>
        <v>3710</v>
      </c>
      <c r="L238" s="77"/>
      <c r="M238" s="180"/>
      <c r="P238" s="109">
        <f>IF($BD238&gt;0,(((($BD238/Dashboard!$D$15)*(1+Precificação!$W$589)))+$P$26)*(1+Dashboard!$D$35),0)</f>
        <v>0</v>
      </c>
      <c r="Q238" s="109">
        <f>IF($BD238&gt;0,(((($BD238/Dashboard!$D$23)+(1+Precificação!$W$589))*(1+Q$28))+$P$26)*(1+Dashboard!$D$35),0)</f>
        <v>0</v>
      </c>
      <c r="R238" s="109">
        <f>IF($BD238&gt;0,(((($BD238/Dashboard!$D$23)+(1+Precificação!$W$589))*(1+R$28))+$P$26)*(1+Dashboard!$D$35),0)</f>
        <v>0</v>
      </c>
      <c r="S238" s="109">
        <f>IF($BD238&gt;0,(((($BD238/Dashboard!$D$23)+(1+Precificação!$W$589))*(1+S$28))+$P$26)*(1+Dashboard!$D$35),0)</f>
        <v>0</v>
      </c>
      <c r="U238" s="109">
        <f t="shared" si="135"/>
        <v>0</v>
      </c>
      <c r="V238" s="109">
        <f t="shared" si="136"/>
        <v>0</v>
      </c>
      <c r="W238" s="109">
        <f t="shared" si="137"/>
        <v>0</v>
      </c>
      <c r="X238" s="109">
        <f t="shared" si="138"/>
        <v>0</v>
      </c>
      <c r="AA238" s="109">
        <f>IF($BD238&gt;0,(((($BD238/Dashboard!$D$23)*(1+Precificação!$W$589)))+$AA$26)*(1+Dashboard!$D$35),0)</f>
        <v>0</v>
      </c>
      <c r="AB238" s="109">
        <f>IF($BD238&gt;0,(((($BD238/Dashboard!$D$23)*(1+Precificação!$W$589))*(1+AB$28))+$AA$26)*(1+Dashboard!$D$35),0)</f>
        <v>0</v>
      </c>
      <c r="AC238" s="109">
        <f>IF($BD238&gt;0,(((($BD238/Dashboard!$D$23)*(1+Precificação!$W$589))*(1+AC$28))+$AA$26)*(1+Dashboard!$D$35),0)</f>
        <v>0</v>
      </c>
      <c r="AD238" s="109">
        <f>IF($BD238&gt;0,(((($BD238/Dashboard!$D$23)*(1+Precificação!$W$589))*(1+AD$28))+$AA$26)*(1+Dashboard!$D$35),0)</f>
        <v>0</v>
      </c>
      <c r="AF238" s="109">
        <f t="shared" si="139"/>
        <v>0</v>
      </c>
      <c r="AG238" s="109">
        <f t="shared" si="140"/>
        <v>0</v>
      </c>
      <c r="AH238" s="109">
        <f t="shared" si="141"/>
        <v>0</v>
      </c>
      <c r="AI238" s="109">
        <f t="shared" si="142"/>
        <v>0</v>
      </c>
      <c r="AL238" s="109">
        <f>IF($BD238&gt;0,(((($BD238/Dashboard!$D$23)*(1+Precificação!$W$589)))+$AL$26)*(1+Dashboard!$D$35),0)</f>
        <v>0</v>
      </c>
      <c r="AM238" s="109">
        <f>IF($BD238&gt;0,(((($BD238/Dashboard!$D$23)*(1+Precificação!$W$589))*(1+AM$28))+$AA$26)*(1+Dashboard!$D$35),0)</f>
        <v>0</v>
      </c>
      <c r="AN238" s="109">
        <f>IF($BD238&gt;0,(((($BD238/Dashboard!$D$23)*(1+Precificação!$W$589))*(1+AN$28))+$AA$26)*(1+Dashboard!$D$35),0)</f>
        <v>0</v>
      </c>
      <c r="AO238" s="109">
        <f>IF($BD238&gt;0,(((($BD238/Dashboard!$D$23)*(1+Precificação!$W$589))*(1+AO$28))+$AA$26)*(1+Dashboard!$D$35),0)</f>
        <v>0</v>
      </c>
      <c r="AQ238" s="109">
        <f t="shared" si="143"/>
        <v>0</v>
      </c>
      <c r="AR238" s="109">
        <f t="shared" si="144"/>
        <v>0</v>
      </c>
      <c r="AS238" s="109">
        <f t="shared" si="145"/>
        <v>0</v>
      </c>
      <c r="AT238" s="109">
        <f t="shared" si="146"/>
        <v>0</v>
      </c>
      <c r="AW238" s="144">
        <f>VLOOKUP(B238,'Cronog. e Histog.'!$B$213:$BT$688,71,0)</f>
        <v>0</v>
      </c>
      <c r="AX238" s="144">
        <f>VLOOKUP(B238,'Cronog. e Histog.'!$B$213:$BU$688,72,0)</f>
        <v>0</v>
      </c>
      <c r="AY238" s="144">
        <f>$AW238*$AX238*Dashboard!$D$15</f>
        <v>0</v>
      </c>
      <c r="AZ238" s="144">
        <f>VLOOKUP(B238,Precificação!$B$96:$BM$533,54,0)</f>
        <v>0</v>
      </c>
      <c r="BA238" s="144">
        <f>VLOOKUP(B238,Precificação!$B$96:$BR$533,58,0)</f>
        <v>0</v>
      </c>
      <c r="BB238" s="144">
        <f>VLOOKUP(B238,Precificação!$B$96:$BW$533,62,0)</f>
        <v>0</v>
      </c>
      <c r="BC238" s="144">
        <f t="shared" si="147"/>
        <v>0</v>
      </c>
      <c r="BD238" s="109">
        <f>IFERROR(VLOOKUP(B238,Precificação!$B$96:$S$533,13,0),0)</f>
        <v>0</v>
      </c>
      <c r="BE238" s="109">
        <f>IFERROR(VLOOKUP(B238,Precificação!$B$96:$U$533,15,0)/(Precificação!$U$4+Precificação!$U$91),0)*Dashboard!$T$3</f>
        <v>0</v>
      </c>
    </row>
    <row r="239" spans="2:57" ht="12" customHeight="1" outlineLevel="1">
      <c r="B239" s="137" t="str">
        <f>Precificação!B222</f>
        <v>AUX ADM - Equipe_01</v>
      </c>
      <c r="D239" s="512"/>
      <c r="E239" s="143" t="str">
        <f>IF('Cronog. e Histog.'!G349&gt;0,'Cronog. e Histog.'!G349,"")</f>
        <v>AUX ADM</v>
      </c>
      <c r="G239" s="179">
        <f t="shared" si="134"/>
        <v>0</v>
      </c>
      <c r="H239" s="110">
        <f>IFERROR(INDEX('Base Salarial'!$D$5:$F$25,MATCH(E239,'Base Salarial'!$G$5:$G$25,0),MATCH(I239,'Base Salarial'!$D$4:$F$4,0)),"")</f>
        <v>1804</v>
      </c>
      <c r="I239" s="78" t="str">
        <f>IFERROR(INDEX(Tarefas!$BQ$29:$FK$29,MATCH(E239,Tarefas!$BQ$30:$FK$30,0)),"")</f>
        <v>Mensalista</v>
      </c>
      <c r="J239" s="81">
        <f>IF(I239="horista",H239*Dashboard!$D$15,IF(OR(I239="Mensalista",I239="PJ"),H239,))</f>
        <v>1804</v>
      </c>
      <c r="K239" s="81">
        <f>IF(I239="PJ",J239,ROUND(J239*(1+Dashboard!$D$22),2))</f>
        <v>1912.24</v>
      </c>
      <c r="L239" s="77"/>
      <c r="M239" s="180"/>
      <c r="P239" s="109">
        <f>IF($BD239&gt;0,(((($BD239/Dashboard!$D$15)*(1+Precificação!$W$589)))+$P$26)*(1+Dashboard!$D$35),0)</f>
        <v>0</v>
      </c>
      <c r="Q239" s="109">
        <f>IF($BD239&gt;0,(((($BD239/Dashboard!$D$23)+(1+Precificação!$W$589))*(1+Q$28))+$P$26)*(1+Dashboard!$D$35),0)</f>
        <v>0</v>
      </c>
      <c r="R239" s="109">
        <f>IF($BD239&gt;0,(((($BD239/Dashboard!$D$23)+(1+Precificação!$W$589))*(1+R$28))+$P$26)*(1+Dashboard!$D$35),0)</f>
        <v>0</v>
      </c>
      <c r="S239" s="109">
        <f>IF($BD239&gt;0,(((($BD239/Dashboard!$D$23)+(1+Precificação!$W$589))*(1+S$28))+$P$26)*(1+Dashboard!$D$35),0)</f>
        <v>0</v>
      </c>
      <c r="U239" s="109">
        <f t="shared" si="135"/>
        <v>0</v>
      </c>
      <c r="V239" s="109">
        <f t="shared" si="136"/>
        <v>0</v>
      </c>
      <c r="W239" s="109">
        <f t="shared" si="137"/>
        <v>0</v>
      </c>
      <c r="X239" s="109">
        <f t="shared" si="138"/>
        <v>0</v>
      </c>
      <c r="AA239" s="109">
        <f>IF($BD239&gt;0,(((($BD239/Dashboard!$D$23)*(1+Precificação!$W$589)))+$AA$26)*(1+Dashboard!$D$35),0)</f>
        <v>0</v>
      </c>
      <c r="AB239" s="109">
        <f>IF($BD239&gt;0,(((($BD239/Dashboard!$D$23)*(1+Precificação!$W$589))*(1+AB$28))+$AA$26)*(1+Dashboard!$D$35),0)</f>
        <v>0</v>
      </c>
      <c r="AC239" s="109">
        <f>IF($BD239&gt;0,(((($BD239/Dashboard!$D$23)*(1+Precificação!$W$589))*(1+AC$28))+$AA$26)*(1+Dashboard!$D$35),0)</f>
        <v>0</v>
      </c>
      <c r="AD239" s="109">
        <f>IF($BD239&gt;0,(((($BD239/Dashboard!$D$23)*(1+Precificação!$W$589))*(1+AD$28))+$AA$26)*(1+Dashboard!$D$35),0)</f>
        <v>0</v>
      </c>
      <c r="AF239" s="109">
        <f t="shared" si="139"/>
        <v>0</v>
      </c>
      <c r="AG239" s="109">
        <f t="shared" si="140"/>
        <v>0</v>
      </c>
      <c r="AH239" s="109">
        <f t="shared" si="141"/>
        <v>0</v>
      </c>
      <c r="AI239" s="109">
        <f t="shared" si="142"/>
        <v>0</v>
      </c>
      <c r="AL239" s="109">
        <f>IF($BD239&gt;0,(((($BD239/Dashboard!$D$23)*(1+Precificação!$W$589)))+$AL$26)*(1+Dashboard!$D$35),0)</f>
        <v>0</v>
      </c>
      <c r="AM239" s="109">
        <f>IF($BD239&gt;0,(((($BD239/Dashboard!$D$23)*(1+Precificação!$W$589))*(1+AM$28))+$AA$26)*(1+Dashboard!$D$35),0)</f>
        <v>0</v>
      </c>
      <c r="AN239" s="109">
        <f>IF($BD239&gt;0,(((($BD239/Dashboard!$D$23)*(1+Precificação!$W$589))*(1+AN$28))+$AA$26)*(1+Dashboard!$D$35),0)</f>
        <v>0</v>
      </c>
      <c r="AO239" s="109">
        <f>IF($BD239&gt;0,(((($BD239/Dashboard!$D$23)*(1+Precificação!$W$589))*(1+AO$28))+$AA$26)*(1+Dashboard!$D$35),0)</f>
        <v>0</v>
      </c>
      <c r="AQ239" s="109">
        <f t="shared" si="143"/>
        <v>0</v>
      </c>
      <c r="AR239" s="109">
        <f t="shared" si="144"/>
        <v>0</v>
      </c>
      <c r="AS239" s="109">
        <f t="shared" si="145"/>
        <v>0</v>
      </c>
      <c r="AT239" s="109">
        <f t="shared" si="146"/>
        <v>0</v>
      </c>
      <c r="AW239" s="144">
        <f>VLOOKUP(B239,'Cronog. e Histog.'!$B$213:$BT$688,71,0)</f>
        <v>0</v>
      </c>
      <c r="AX239" s="144">
        <f>VLOOKUP(B239,'Cronog. e Histog.'!$B$213:$BU$688,72,0)</f>
        <v>0</v>
      </c>
      <c r="AY239" s="144">
        <f>$AW239*$AX239*Dashboard!$D$15</f>
        <v>0</v>
      </c>
      <c r="AZ239" s="144">
        <f>VLOOKUP(B239,Precificação!$B$96:$BM$533,54,0)</f>
        <v>0</v>
      </c>
      <c r="BA239" s="144">
        <f>VLOOKUP(B239,Precificação!$B$96:$BR$533,58,0)</f>
        <v>0</v>
      </c>
      <c r="BB239" s="144">
        <f>VLOOKUP(B239,Precificação!$B$96:$BW$533,62,0)</f>
        <v>0</v>
      </c>
      <c r="BC239" s="144">
        <f t="shared" si="147"/>
        <v>0</v>
      </c>
      <c r="BD239" s="109">
        <f>IFERROR(VLOOKUP(B239,Precificação!$B$96:$S$533,13,0),0)</f>
        <v>0</v>
      </c>
      <c r="BE239" s="109">
        <f>IFERROR(VLOOKUP(B239,Precificação!$B$96:$U$533,15,0)/(Precificação!$U$4+Precificação!$U$91),0)*Dashboard!$T$3</f>
        <v>0</v>
      </c>
    </row>
    <row r="240" spans="2:57" ht="12" customHeight="1" outlineLevel="1">
      <c r="B240" s="137" t="str">
        <f>Precificação!B223</f>
        <v>EST - Equipe_01</v>
      </c>
      <c r="D240" s="512"/>
      <c r="E240" s="143" t="str">
        <f>IF('Cronog. e Histog.'!G350&gt;0,'Cronog. e Histog.'!G350,"")</f>
        <v>EST</v>
      </c>
      <c r="G240" s="179">
        <f t="shared" si="134"/>
        <v>0</v>
      </c>
      <c r="H240" s="110">
        <f>IFERROR(INDEX('Base Salarial'!$D$5:$F$25,MATCH(E240,'Base Salarial'!$G$5:$G$25,0),MATCH(I240,'Base Salarial'!$D$4:$F$4,0)),"")</f>
        <v>1633</v>
      </c>
      <c r="I240" s="78" t="str">
        <f>IFERROR(INDEX(Tarefas!$BQ$29:$FK$29,MATCH(E240,Tarefas!$BQ$30:$FK$30,0)),"")</f>
        <v>PJ</v>
      </c>
      <c r="J240" s="81">
        <f>IF(I240="horista",H240*Dashboard!$D$15,IF(OR(I240="Mensalista",I240="PJ"),H240,))</f>
        <v>1633</v>
      </c>
      <c r="K240" s="81">
        <f>IF(I240="PJ",J240,ROUND(J240*(1+Dashboard!$D$22),2))</f>
        <v>1633</v>
      </c>
      <c r="L240" s="77"/>
      <c r="M240" s="180"/>
      <c r="P240" s="109">
        <f>IF($BD240&gt;0,(((($BD240/Dashboard!$D$15)*(1+Precificação!$W$589)))+$P$26)*(1+Dashboard!$D$35),0)</f>
        <v>0</v>
      </c>
      <c r="Q240" s="109">
        <f>IF($BD240&gt;0,(((($BD240/Dashboard!$D$23)+(1+Precificação!$W$589))*(1+Q$28))+$P$26)*(1+Dashboard!$D$35),0)</f>
        <v>0</v>
      </c>
      <c r="R240" s="109">
        <f>IF($BD240&gt;0,(((($BD240/Dashboard!$D$23)+(1+Precificação!$W$589))*(1+R$28))+$P$26)*(1+Dashboard!$D$35),0)</f>
        <v>0</v>
      </c>
      <c r="S240" s="109">
        <f>IF($BD240&gt;0,(((($BD240/Dashboard!$D$23)+(1+Precificação!$W$589))*(1+S$28))+$P$26)*(1+Dashboard!$D$35),0)</f>
        <v>0</v>
      </c>
      <c r="U240" s="109">
        <f t="shared" si="135"/>
        <v>0</v>
      </c>
      <c r="V240" s="109">
        <f t="shared" si="136"/>
        <v>0</v>
      </c>
      <c r="W240" s="109">
        <f t="shared" si="137"/>
        <v>0</v>
      </c>
      <c r="X240" s="109">
        <f t="shared" si="138"/>
        <v>0</v>
      </c>
      <c r="AA240" s="109">
        <f>IF($BD240&gt;0,(((($BD240/Dashboard!$D$23)*(1+Precificação!$W$589)))+$AA$26)*(1+Dashboard!$D$35),0)</f>
        <v>0</v>
      </c>
      <c r="AB240" s="109">
        <f>IF($BD240&gt;0,(((($BD240/Dashboard!$D$23)*(1+Precificação!$W$589))*(1+AB$28))+$AA$26)*(1+Dashboard!$D$35),0)</f>
        <v>0</v>
      </c>
      <c r="AC240" s="109">
        <f>IF($BD240&gt;0,(((($BD240/Dashboard!$D$23)*(1+Precificação!$W$589))*(1+AC$28))+$AA$26)*(1+Dashboard!$D$35),0)</f>
        <v>0</v>
      </c>
      <c r="AD240" s="109">
        <f>IF($BD240&gt;0,(((($BD240/Dashboard!$D$23)*(1+Precificação!$W$589))*(1+AD$28))+$AA$26)*(1+Dashboard!$D$35),0)</f>
        <v>0</v>
      </c>
      <c r="AF240" s="109">
        <f t="shared" si="139"/>
        <v>0</v>
      </c>
      <c r="AG240" s="109">
        <f t="shared" si="140"/>
        <v>0</v>
      </c>
      <c r="AH240" s="109">
        <f t="shared" si="141"/>
        <v>0</v>
      </c>
      <c r="AI240" s="109">
        <f t="shared" si="142"/>
        <v>0</v>
      </c>
      <c r="AL240" s="109">
        <f>IF($BD240&gt;0,(((($BD240/Dashboard!$D$23)*(1+Precificação!$W$589)))+$AL$26)*(1+Dashboard!$D$35),0)</f>
        <v>0</v>
      </c>
      <c r="AM240" s="109">
        <f>IF($BD240&gt;0,(((($BD240/Dashboard!$D$23)*(1+Precificação!$W$589))*(1+AM$28))+$AA$26)*(1+Dashboard!$D$35),0)</f>
        <v>0</v>
      </c>
      <c r="AN240" s="109">
        <f>IF($BD240&gt;0,(((($BD240/Dashboard!$D$23)*(1+Precificação!$W$589))*(1+AN$28))+$AA$26)*(1+Dashboard!$D$35),0)</f>
        <v>0</v>
      </c>
      <c r="AO240" s="109">
        <f>IF($BD240&gt;0,(((($BD240/Dashboard!$D$23)*(1+Precificação!$W$589))*(1+AO$28))+$AA$26)*(1+Dashboard!$D$35),0)</f>
        <v>0</v>
      </c>
      <c r="AQ240" s="109">
        <f t="shared" si="143"/>
        <v>0</v>
      </c>
      <c r="AR240" s="109">
        <f t="shared" si="144"/>
        <v>0</v>
      </c>
      <c r="AS240" s="109">
        <f t="shared" si="145"/>
        <v>0</v>
      </c>
      <c r="AT240" s="109">
        <f t="shared" si="146"/>
        <v>0</v>
      </c>
      <c r="AW240" s="144">
        <f>VLOOKUP(B240,'Cronog. e Histog.'!$B$213:$BT$688,71,0)</f>
        <v>0</v>
      </c>
      <c r="AX240" s="144">
        <f>VLOOKUP(B240,'Cronog. e Histog.'!$B$213:$BU$688,72,0)</f>
        <v>0</v>
      </c>
      <c r="AY240" s="144">
        <f>$AW240*$AX240*Dashboard!$D$15</f>
        <v>0</v>
      </c>
      <c r="AZ240" s="144">
        <f>VLOOKUP(B240,Precificação!$B$96:$BM$533,54,0)</f>
        <v>0</v>
      </c>
      <c r="BA240" s="144">
        <f>VLOOKUP(B240,Precificação!$B$96:$BR$533,58,0)</f>
        <v>0</v>
      </c>
      <c r="BB240" s="144">
        <f>VLOOKUP(B240,Precificação!$B$96:$BW$533,62,0)</f>
        <v>0</v>
      </c>
      <c r="BC240" s="144">
        <f t="shared" si="147"/>
        <v>0</v>
      </c>
      <c r="BD240" s="109">
        <f>IFERROR(VLOOKUP(B240,Precificação!$B$96:$S$533,13,0),0)</f>
        <v>0</v>
      </c>
      <c r="BE240" s="109">
        <f>IFERROR(VLOOKUP(B240,Precificação!$B$96:$U$533,15,0)/(Precificação!$U$4+Precificação!$U$91),0)*Dashboard!$T$3</f>
        <v>0</v>
      </c>
    </row>
    <row r="241" spans="2:57" ht="12" customHeight="1" outlineLevel="1">
      <c r="B241" s="137" t="str">
        <f>Precificação!B224</f>
        <v>EST_II - Equipe_01</v>
      </c>
      <c r="D241" s="512"/>
      <c r="E241" s="143" t="str">
        <f>IF('Cronog. e Histog.'!G351&gt;0,'Cronog. e Histog.'!G351,"")</f>
        <v>EST_II</v>
      </c>
      <c r="G241" s="179">
        <f t="shared" si="134"/>
        <v>0</v>
      </c>
      <c r="H241" s="110">
        <f>IFERROR(INDEX('Base Salarial'!$D$5:$F$25,MATCH(E241,'Base Salarial'!$G$5:$G$25,0),MATCH(I241,'Base Salarial'!$D$4:$F$4,0)),"")</f>
        <v>1633</v>
      </c>
      <c r="I241" s="78" t="str">
        <f>IFERROR(INDEX(Tarefas!$BQ$29:$FK$29,MATCH(E241,Tarefas!$BQ$30:$FK$30,0)),"")</f>
        <v>PJ</v>
      </c>
      <c r="J241" s="81">
        <f>IF(I241="horista",H241*Dashboard!$D$15,IF(OR(I241="Mensalista",I241="PJ"),H241,))</f>
        <v>1633</v>
      </c>
      <c r="K241" s="81">
        <f>IF(I241="PJ",J241,ROUND(J241*(1+Dashboard!$D$22),2))</f>
        <v>1633</v>
      </c>
      <c r="L241" s="77"/>
      <c r="M241" s="180"/>
      <c r="P241" s="109">
        <f>IF($BD241&gt;0,(((($BD241/Dashboard!$D$15)*(1+Precificação!$W$589)))+$P$26)*(1+Dashboard!$D$35),0)</f>
        <v>0</v>
      </c>
      <c r="Q241" s="109">
        <f>IF($BD241&gt;0,(((($BD241/Dashboard!$D$23)+(1+Precificação!$W$589))*(1+Q$28))+$P$26)*(1+Dashboard!$D$35),0)</f>
        <v>0</v>
      </c>
      <c r="R241" s="109">
        <f>IF($BD241&gt;0,(((($BD241/Dashboard!$D$23)+(1+Precificação!$W$589))*(1+R$28))+$P$26)*(1+Dashboard!$D$35),0)</f>
        <v>0</v>
      </c>
      <c r="S241" s="109">
        <f>IF($BD241&gt;0,(((($BD241/Dashboard!$D$23)+(1+Precificação!$W$589))*(1+S$28))+$P$26)*(1+Dashboard!$D$35),0)</f>
        <v>0</v>
      </c>
      <c r="U241" s="109">
        <f t="shared" si="135"/>
        <v>0</v>
      </c>
      <c r="V241" s="109">
        <f t="shared" si="136"/>
        <v>0</v>
      </c>
      <c r="W241" s="109">
        <f t="shared" si="137"/>
        <v>0</v>
      </c>
      <c r="X241" s="109">
        <f t="shared" si="138"/>
        <v>0</v>
      </c>
      <c r="AA241" s="109">
        <f>IF($BD241&gt;0,(((($BD241/Dashboard!$D$23)*(1+Precificação!$W$589)))+$AA$26)*(1+Dashboard!$D$35),0)</f>
        <v>0</v>
      </c>
      <c r="AB241" s="109">
        <f>IF($BD241&gt;0,(((($BD241/Dashboard!$D$23)*(1+Precificação!$W$589))*(1+AB$28))+$AA$26)*(1+Dashboard!$D$35),0)</f>
        <v>0</v>
      </c>
      <c r="AC241" s="109">
        <f>IF($BD241&gt;0,(((($BD241/Dashboard!$D$23)*(1+Precificação!$W$589))*(1+AC$28))+$AA$26)*(1+Dashboard!$D$35),0)</f>
        <v>0</v>
      </c>
      <c r="AD241" s="109">
        <f>IF($BD241&gt;0,(((($BD241/Dashboard!$D$23)*(1+Precificação!$W$589))*(1+AD$28))+$AA$26)*(1+Dashboard!$D$35),0)</f>
        <v>0</v>
      </c>
      <c r="AF241" s="109">
        <f t="shared" si="139"/>
        <v>0</v>
      </c>
      <c r="AG241" s="109">
        <f t="shared" si="140"/>
        <v>0</v>
      </c>
      <c r="AH241" s="109">
        <f t="shared" si="141"/>
        <v>0</v>
      </c>
      <c r="AI241" s="109">
        <f t="shared" si="142"/>
        <v>0</v>
      </c>
      <c r="AL241" s="109">
        <f>IF($BD241&gt;0,(((($BD241/Dashboard!$D$23)*(1+Precificação!$W$589)))+$AL$26)*(1+Dashboard!$D$35),0)</f>
        <v>0</v>
      </c>
      <c r="AM241" s="109">
        <f>IF($BD241&gt;0,(((($BD241/Dashboard!$D$23)*(1+Precificação!$W$589))*(1+AM$28))+$AA$26)*(1+Dashboard!$D$35),0)</f>
        <v>0</v>
      </c>
      <c r="AN241" s="109">
        <f>IF($BD241&gt;0,(((($BD241/Dashboard!$D$23)*(1+Precificação!$W$589))*(1+AN$28))+$AA$26)*(1+Dashboard!$D$35),0)</f>
        <v>0</v>
      </c>
      <c r="AO241" s="109">
        <f>IF($BD241&gt;0,(((($BD241/Dashboard!$D$23)*(1+Precificação!$W$589))*(1+AO$28))+$AA$26)*(1+Dashboard!$D$35),0)</f>
        <v>0</v>
      </c>
      <c r="AQ241" s="109">
        <f t="shared" si="143"/>
        <v>0</v>
      </c>
      <c r="AR241" s="109">
        <f t="shared" si="144"/>
        <v>0</v>
      </c>
      <c r="AS241" s="109">
        <f t="shared" si="145"/>
        <v>0</v>
      </c>
      <c r="AT241" s="109">
        <f t="shared" si="146"/>
        <v>0</v>
      </c>
      <c r="AW241" s="144">
        <f>VLOOKUP(B241,'Cronog. e Histog.'!$B$213:$BT$688,71,0)</f>
        <v>0</v>
      </c>
      <c r="AX241" s="144">
        <f>VLOOKUP(B241,'Cronog. e Histog.'!$B$213:$BU$688,72,0)</f>
        <v>0</v>
      </c>
      <c r="AY241" s="144">
        <f>$AW241*$AX241*Dashboard!$D$15</f>
        <v>0</v>
      </c>
      <c r="AZ241" s="144">
        <f>VLOOKUP(B241,Precificação!$B$96:$BM$533,54,0)</f>
        <v>0</v>
      </c>
      <c r="BA241" s="144">
        <f>VLOOKUP(B241,Precificação!$B$96:$BR$533,58,0)</f>
        <v>0</v>
      </c>
      <c r="BB241" s="144">
        <f>VLOOKUP(B241,Precificação!$B$96:$BW$533,62,0)</f>
        <v>0</v>
      </c>
      <c r="BC241" s="144">
        <f t="shared" si="147"/>
        <v>0</v>
      </c>
      <c r="BD241" s="109">
        <f>IFERROR(VLOOKUP(B241,Precificação!$B$96:$S$533,13,0),0)</f>
        <v>0</v>
      </c>
      <c r="BE241" s="109">
        <f>IFERROR(VLOOKUP(B241,Precificação!$B$96:$U$533,15,0)/(Precificação!$U$4+Precificação!$U$91),0)*Dashboard!$T$3</f>
        <v>0</v>
      </c>
    </row>
    <row r="242" spans="2:57" ht="12" customHeight="1" outlineLevel="1">
      <c r="B242" s="137" t="str">
        <f>Precificação!B225</f>
        <v>EST_III - Equipe_01</v>
      </c>
      <c r="D242" s="512"/>
      <c r="E242" s="143" t="str">
        <f>IF('Cronog. e Histog.'!G352&gt;0,'Cronog. e Histog.'!G352,"")</f>
        <v>EST_III</v>
      </c>
      <c r="G242" s="179">
        <f t="shared" si="134"/>
        <v>0</v>
      </c>
      <c r="H242" s="110">
        <f>IFERROR(INDEX('Base Salarial'!$D$5:$F$25,MATCH(E242,'Base Salarial'!$G$5:$G$25,0),MATCH(I242,'Base Salarial'!$D$4:$F$4,0)),"")</f>
        <v>1633</v>
      </c>
      <c r="I242" s="78" t="str">
        <f>IFERROR(INDEX(Tarefas!$BQ$29:$FK$29,MATCH(E242,Tarefas!$BQ$30:$FK$30,0)),"")</f>
        <v>PJ</v>
      </c>
      <c r="J242" s="81">
        <f>IF(I242="horista",H242*Dashboard!$D$15,IF(OR(I242="Mensalista",I242="PJ"),H242,))</f>
        <v>1633</v>
      </c>
      <c r="K242" s="81">
        <f>IF(I242="PJ",J242,ROUND(J242*(1+Dashboard!$D$22),2))</f>
        <v>1633</v>
      </c>
      <c r="L242" s="77"/>
      <c r="M242" s="180"/>
      <c r="P242" s="109">
        <f>IF($BD242&gt;0,(((($BD242/Dashboard!$D$15)*(1+Precificação!$W$589)))+$P$26)*(1+Dashboard!$D$35),0)</f>
        <v>0</v>
      </c>
      <c r="Q242" s="109">
        <f>IF($BD242&gt;0,(((($BD242/Dashboard!$D$23)+(1+Precificação!$W$589))*(1+Q$28))+$P$26)*(1+Dashboard!$D$35),0)</f>
        <v>0</v>
      </c>
      <c r="R242" s="109">
        <f>IF($BD242&gt;0,(((($BD242/Dashboard!$D$23)+(1+Precificação!$W$589))*(1+R$28))+$P$26)*(1+Dashboard!$D$35),0)</f>
        <v>0</v>
      </c>
      <c r="S242" s="109">
        <f>IF($BD242&gt;0,(((($BD242/Dashboard!$D$23)+(1+Precificação!$W$589))*(1+S$28))+$P$26)*(1+Dashboard!$D$35),0)</f>
        <v>0</v>
      </c>
      <c r="U242" s="109">
        <f t="shared" si="135"/>
        <v>0</v>
      </c>
      <c r="V242" s="109">
        <f t="shared" si="136"/>
        <v>0</v>
      </c>
      <c r="W242" s="109">
        <f t="shared" si="137"/>
        <v>0</v>
      </c>
      <c r="X242" s="109">
        <f t="shared" si="138"/>
        <v>0</v>
      </c>
      <c r="AA242" s="109">
        <f>IF($BD242&gt;0,(((($BD242/Dashboard!$D$23)*(1+Precificação!$W$589)))+$AA$26)*(1+Dashboard!$D$35),0)</f>
        <v>0</v>
      </c>
      <c r="AB242" s="109">
        <f>IF($BD242&gt;0,(((($BD242/Dashboard!$D$23)*(1+Precificação!$W$589))*(1+AB$28))+$AA$26)*(1+Dashboard!$D$35),0)</f>
        <v>0</v>
      </c>
      <c r="AC242" s="109">
        <f>IF($BD242&gt;0,(((($BD242/Dashboard!$D$23)*(1+Precificação!$W$589))*(1+AC$28))+$AA$26)*(1+Dashboard!$D$35),0)</f>
        <v>0</v>
      </c>
      <c r="AD242" s="109">
        <f>IF($BD242&gt;0,(((($BD242/Dashboard!$D$23)*(1+Precificação!$W$589))*(1+AD$28))+$AA$26)*(1+Dashboard!$D$35),0)</f>
        <v>0</v>
      </c>
      <c r="AF242" s="109">
        <f t="shared" si="139"/>
        <v>0</v>
      </c>
      <c r="AG242" s="109">
        <f t="shared" si="140"/>
        <v>0</v>
      </c>
      <c r="AH242" s="109">
        <f t="shared" si="141"/>
        <v>0</v>
      </c>
      <c r="AI242" s="109">
        <f t="shared" si="142"/>
        <v>0</v>
      </c>
      <c r="AL242" s="109">
        <f>IF($BD242&gt;0,(((($BD242/Dashboard!$D$23)*(1+Precificação!$W$589)))+$AL$26)*(1+Dashboard!$D$35),0)</f>
        <v>0</v>
      </c>
      <c r="AM242" s="109">
        <f>IF($BD242&gt;0,(((($BD242/Dashboard!$D$23)*(1+Precificação!$W$589))*(1+AM$28))+$AA$26)*(1+Dashboard!$D$35),0)</f>
        <v>0</v>
      </c>
      <c r="AN242" s="109">
        <f>IF($BD242&gt;0,(((($BD242/Dashboard!$D$23)*(1+Precificação!$W$589))*(1+AN$28))+$AA$26)*(1+Dashboard!$D$35),0)</f>
        <v>0</v>
      </c>
      <c r="AO242" s="109">
        <f>IF($BD242&gt;0,(((($BD242/Dashboard!$D$23)*(1+Precificação!$W$589))*(1+AO$28))+$AA$26)*(1+Dashboard!$D$35),0)</f>
        <v>0</v>
      </c>
      <c r="AQ242" s="109">
        <f t="shared" si="143"/>
        <v>0</v>
      </c>
      <c r="AR242" s="109">
        <f t="shared" si="144"/>
        <v>0</v>
      </c>
      <c r="AS242" s="109">
        <f t="shared" si="145"/>
        <v>0</v>
      </c>
      <c r="AT242" s="109">
        <f t="shared" si="146"/>
        <v>0</v>
      </c>
      <c r="AW242" s="144">
        <f>VLOOKUP(B242,'Cronog. e Histog.'!$B$213:$BT$688,71,0)</f>
        <v>0</v>
      </c>
      <c r="AX242" s="144">
        <f>VLOOKUP(B242,'Cronog. e Histog.'!$B$213:$BU$688,72,0)</f>
        <v>0</v>
      </c>
      <c r="AY242" s="144">
        <f>$AW242*$AX242*Dashboard!$D$15</f>
        <v>0</v>
      </c>
      <c r="AZ242" s="144">
        <f>VLOOKUP(B242,Precificação!$B$96:$BM$533,54,0)</f>
        <v>0</v>
      </c>
      <c r="BA242" s="144">
        <f>VLOOKUP(B242,Precificação!$B$96:$BR$533,58,0)</f>
        <v>0</v>
      </c>
      <c r="BB242" s="144">
        <f>VLOOKUP(B242,Precificação!$B$96:$BW$533,62,0)</f>
        <v>0</v>
      </c>
      <c r="BC242" s="144">
        <f t="shared" si="147"/>
        <v>0</v>
      </c>
      <c r="BD242" s="109">
        <f>IFERROR(VLOOKUP(B242,Precificação!$B$96:$S$533,13,0),0)</f>
        <v>0</v>
      </c>
      <c r="BE242" s="109">
        <f>IFERROR(VLOOKUP(B242,Precificação!$B$96:$U$533,15,0)/(Precificação!$U$4+Precificação!$U$91),0)*Dashboard!$T$3</f>
        <v>0</v>
      </c>
    </row>
    <row r="243" spans="2:57" ht="12" customHeight="1" outlineLevel="1"/>
    <row r="244" spans="2:57" ht="12" customHeight="1" outlineLevel="1">
      <c r="B244" s="137" t="str">
        <f>Precificação!B228</f>
        <v>GER. (OBRA/PROJ) - Equipe_01</v>
      </c>
      <c r="D244" s="512" t="str">
        <f>'Cronog. e Histog.'!F355</f>
        <v>Equipe07</v>
      </c>
      <c r="E244" s="143" t="str">
        <f>IF('Cronog. e Histog.'!G357&gt;0,'Cronog. e Histog.'!G357,"")</f>
        <v>GER. (OBRA/PROJ)</v>
      </c>
      <c r="G244" s="179">
        <f t="shared" ref="G244" si="148">IF(AND((AW244*AX244)&gt;0,K244=0),1,0)</f>
        <v>0</v>
      </c>
      <c r="H244" s="110">
        <f>IFERROR(INDEX('Base Salarial'!$D$5:$F$25,MATCH(E244,'Base Salarial'!$G$5:$G$25,0),MATCH(I244,'Base Salarial'!$D$4:$F$4,0)),"")</f>
        <v>21000</v>
      </c>
      <c r="I244" s="78" t="str">
        <f>IFERROR(INDEX(Tarefas!$BQ$29:$FK$29,MATCH(E244,Tarefas!$BQ$30:$FK$30,0)),"")</f>
        <v>PJ</v>
      </c>
      <c r="J244" s="81">
        <f>IF(I244="horista",H244*Dashboard!$D$15,IF(OR(I244="Mensalista",I244="PJ"),H244,))</f>
        <v>21000</v>
      </c>
      <c r="K244" s="81">
        <f>IF(I244="PJ",J244,ROUND(J244*(1+Dashboard!$D$22),2))</f>
        <v>21000</v>
      </c>
      <c r="L244" s="77"/>
      <c r="M244" s="180"/>
      <c r="P244" s="109">
        <f>IF($BD244&gt;0,(((($BD244/Dashboard!$D$15)*(1+Precificação!$W$589)))+$P$26)*(1+Dashboard!$D$35),0)</f>
        <v>0</v>
      </c>
      <c r="Q244" s="109">
        <f>IF($BD244&gt;0,(((($BD244/Dashboard!$D$23)+(1+Precificação!$W$589))*(1+Q$28))+$P$26)*(1+Dashboard!$D$35),0)</f>
        <v>0</v>
      </c>
      <c r="R244" s="109">
        <f>IF($BD244&gt;0,(((($BD244/Dashboard!$D$23)+(1+Precificação!$W$589))*(1+R$28))+$P$26)*(1+Dashboard!$D$35),0)</f>
        <v>0</v>
      </c>
      <c r="S244" s="109">
        <f>IF($BD244&gt;0,(((($BD244/Dashboard!$D$23)+(1+Precificação!$W$589))*(1+S$28))+$P$26)*(1+Dashboard!$D$35),0)</f>
        <v>0</v>
      </c>
      <c r="U244" s="109">
        <f>IF(P244&gt;0,P244+U$32,0)</f>
        <v>0</v>
      </c>
      <c r="V244" s="109">
        <f t="shared" ref="V244:X244" si="149">IF(Q244&gt;0,Q244+V$32,0)</f>
        <v>0</v>
      </c>
      <c r="W244" s="109">
        <f t="shared" si="149"/>
        <v>0</v>
      </c>
      <c r="X244" s="109">
        <f t="shared" si="149"/>
        <v>0</v>
      </c>
      <c r="AA244" s="109">
        <f>IF($BD244&gt;0,(((($BD244/Dashboard!$D$23)*(1+Precificação!$W$589)))+$AA$26)*(1+Dashboard!$D$35),0)</f>
        <v>0</v>
      </c>
      <c r="AB244" s="109">
        <f>IF($BD244&gt;0,(((($BD244/Dashboard!$D$23)*(1+Precificação!$W$589))*(1+AB$28))+$AA$26)*(1+Dashboard!$D$35),0)</f>
        <v>0</v>
      </c>
      <c r="AC244" s="109">
        <f>IF($BD244&gt;0,(((($BD244/Dashboard!$D$23)*(1+Precificação!$W$589))*(1+AC$28))+$AA$26)*(1+Dashboard!$D$35),0)</f>
        <v>0</v>
      </c>
      <c r="AD244" s="109">
        <f>IF($BD244&gt;0,(((($BD244/Dashboard!$D$23)*(1+Precificação!$W$589))*(1+AD$28))+$AA$26)*(1+Dashboard!$D$35),0)</f>
        <v>0</v>
      </c>
      <c r="AF244" s="109">
        <f>IF(AA244&gt;0,AA244+AF$32,0)</f>
        <v>0</v>
      </c>
      <c r="AG244" s="109">
        <f t="shared" ref="AG244" si="150">IF(AB244&gt;0,AB244+AG$32,0)</f>
        <v>0</v>
      </c>
      <c r="AH244" s="109">
        <f t="shared" ref="AH244" si="151">IF(AC244&gt;0,AC244+AH$32,0)</f>
        <v>0</v>
      </c>
      <c r="AI244" s="109">
        <f t="shared" ref="AI244" si="152">IF(AD244&gt;0,AD244+AI$32,0)</f>
        <v>0</v>
      </c>
      <c r="AL244" s="109">
        <f>IF($BD244&gt;0,(((($BD244/Dashboard!$D$23)*(1+Precificação!$W$589)))+$AL$26)*(1+Dashboard!$D$35),0)</f>
        <v>0</v>
      </c>
      <c r="AM244" s="109">
        <f>IF($BD244&gt;0,(((($BD244/Dashboard!$D$23)*(1+Precificação!$W$589))*(1+AM$28))+$AA$26)*(1+Dashboard!$D$35),0)</f>
        <v>0</v>
      </c>
      <c r="AN244" s="109">
        <f>IF($BD244&gt;0,(((($BD244/Dashboard!$D$23)*(1+Precificação!$W$589))*(1+AN$28))+$AA$26)*(1+Dashboard!$D$35),0)</f>
        <v>0</v>
      </c>
      <c r="AO244" s="109">
        <f>IF($BD244&gt;0,(((($BD244/Dashboard!$D$23)*(1+Precificação!$W$589))*(1+AO$28))+$AA$26)*(1+Dashboard!$D$35),0)</f>
        <v>0</v>
      </c>
      <c r="AQ244" s="109">
        <f>IF(AL244&gt;0,AL244+AQ$32,0)</f>
        <v>0</v>
      </c>
      <c r="AR244" s="109">
        <f t="shared" ref="AR244" si="153">IF(AM244&gt;0,AM244+AR$32,0)</f>
        <v>0</v>
      </c>
      <c r="AS244" s="109">
        <f t="shared" ref="AS244" si="154">IF(AN244&gt;0,AN244+AS$32,0)</f>
        <v>0</v>
      </c>
      <c r="AT244" s="109">
        <f t="shared" ref="AT244" si="155">IF(AO244&gt;0,AO244+AT$32,0)</f>
        <v>0</v>
      </c>
      <c r="AW244" s="144">
        <f>VLOOKUP(B244,'Cronog. e Histog.'!$B$213:$BT$688,71,0)</f>
        <v>1.9999999999999997E-2</v>
      </c>
      <c r="AX244" s="144">
        <f>VLOOKUP(B244,'Cronog. e Histog.'!$B$213:$BU$688,72,0)</f>
        <v>10</v>
      </c>
      <c r="AY244" s="144">
        <f>$AW244*$AX244*Dashboard!$D$15</f>
        <v>38.72</v>
      </c>
      <c r="AZ244" s="144">
        <f>VLOOKUP(B244,Precificação!$B$96:$BM$533,54,0)</f>
        <v>0</v>
      </c>
      <c r="BA244" s="144">
        <f>VLOOKUP(B244,Precificação!$B$96:$BR$533,58,0)</f>
        <v>0</v>
      </c>
      <c r="BB244" s="144">
        <f>VLOOKUP(B244,Precificação!$B$96:$BW$533,62,0)</f>
        <v>0</v>
      </c>
      <c r="BC244" s="144">
        <f t="shared" ref="BC244" si="156">SUM(AY244:BB244)</f>
        <v>38.72</v>
      </c>
      <c r="BD244" s="109">
        <f>IFERROR(VLOOKUP(B244,Precificação!$B$96:$S$533,13,0),0)</f>
        <v>0</v>
      </c>
      <c r="BE244" s="109">
        <f>IFERROR(VLOOKUP(B244,Precificação!$B$96:$U$533,15,0)/(Precificação!$U$4+Precificação!$U$91),0)*Dashboard!$T$3</f>
        <v>0</v>
      </c>
    </row>
    <row r="245" spans="2:57" ht="12" customHeight="1" outlineLevel="1">
      <c r="B245" s="137" t="str">
        <f>Precificação!B229</f>
        <v>COORD. - Equipe_01</v>
      </c>
      <c r="D245" s="512"/>
      <c r="E245" s="143" t="str">
        <f>IF('Cronog. e Histog.'!G358&gt;0,'Cronog. e Histog.'!G358,"")</f>
        <v>COORD.</v>
      </c>
      <c r="G245" s="179">
        <f t="shared" ref="G245:G263" si="157">IF(AND((AW245*AX245)&gt;0,K245=0),1,0)</f>
        <v>0</v>
      </c>
      <c r="H245" s="110">
        <f>IFERROR(INDEX('Base Salarial'!$D$5:$F$25,MATCH(E245,'Base Salarial'!$G$5:$G$25,0),MATCH(I245,'Base Salarial'!$D$4:$F$4,0)),"")</f>
        <v>19000</v>
      </c>
      <c r="I245" s="78" t="str">
        <f>IFERROR(INDEX(Tarefas!$BQ$29:$FK$29,MATCH(E245,Tarefas!$BQ$30:$FK$30,0)),"")</f>
        <v>PJ</v>
      </c>
      <c r="J245" s="81">
        <f>IF(I245="horista",H245*Dashboard!$D$15,IF(OR(I245="Mensalista",I245="PJ"),H245,))</f>
        <v>19000</v>
      </c>
      <c r="K245" s="81">
        <f>IF(I245="PJ",J245,ROUND(J245*(1+Dashboard!$D$22),2))</f>
        <v>19000</v>
      </c>
      <c r="L245" s="77"/>
      <c r="M245" s="180"/>
      <c r="P245" s="109">
        <f>IF($BD245&gt;0,(((($BD245/Dashboard!$D$15)*(1+Precificação!$W$589)))+$P$26)*(1+Dashboard!$D$35),0)</f>
        <v>0</v>
      </c>
      <c r="Q245" s="109">
        <f>IF($BD245&gt;0,(((($BD245/Dashboard!$D$23)+(1+Precificação!$W$589))*(1+Q$28))+$P$26)*(1+Dashboard!$D$35),0)</f>
        <v>0</v>
      </c>
      <c r="R245" s="109">
        <f>IF($BD245&gt;0,(((($BD245/Dashboard!$D$23)+(1+Precificação!$W$589))*(1+R$28))+$P$26)*(1+Dashboard!$D$35),0)</f>
        <v>0</v>
      </c>
      <c r="S245" s="109">
        <f>IF($BD245&gt;0,(((($BD245/Dashboard!$D$23)+(1+Precificação!$W$589))*(1+S$28))+$P$26)*(1+Dashboard!$D$35),0)</f>
        <v>0</v>
      </c>
      <c r="U245" s="109">
        <f t="shared" ref="U245:U263" si="158">IF(P245&gt;0,P245+U$32,0)</f>
        <v>0</v>
      </c>
      <c r="V245" s="109">
        <f t="shared" ref="V245:V263" si="159">IF(Q245&gt;0,Q245+V$32,0)</f>
        <v>0</v>
      </c>
      <c r="W245" s="109">
        <f t="shared" ref="W245:W263" si="160">IF(R245&gt;0,R245+W$32,0)</f>
        <v>0</v>
      </c>
      <c r="X245" s="109">
        <f t="shared" ref="X245:X263" si="161">IF(S245&gt;0,S245+X$32,0)</f>
        <v>0</v>
      </c>
      <c r="AA245" s="109">
        <f>IF($BD245&gt;0,(((($BD245/Dashboard!$D$23)*(1+Precificação!$W$589)))+$AA$26)*(1+Dashboard!$D$35),0)</f>
        <v>0</v>
      </c>
      <c r="AB245" s="109">
        <f>IF($BD245&gt;0,(((($BD245/Dashboard!$D$23)*(1+Precificação!$W$589))*(1+AB$28))+$AA$26)*(1+Dashboard!$D$35),0)</f>
        <v>0</v>
      </c>
      <c r="AC245" s="109">
        <f>IF($BD245&gt;0,(((($BD245/Dashboard!$D$23)*(1+Precificação!$W$589))*(1+AC$28))+$AA$26)*(1+Dashboard!$D$35),0)</f>
        <v>0</v>
      </c>
      <c r="AD245" s="109">
        <f>IF($BD245&gt;0,(((($BD245/Dashboard!$D$23)*(1+Precificação!$W$589))*(1+AD$28))+$AA$26)*(1+Dashboard!$D$35),0)</f>
        <v>0</v>
      </c>
      <c r="AF245" s="109">
        <f t="shared" ref="AF245:AF263" si="162">IF(AA245&gt;0,AA245+AF$32,0)</f>
        <v>0</v>
      </c>
      <c r="AG245" s="109">
        <f t="shared" ref="AG245:AG263" si="163">IF(AB245&gt;0,AB245+AG$32,0)</f>
        <v>0</v>
      </c>
      <c r="AH245" s="109">
        <f t="shared" ref="AH245:AH263" si="164">IF(AC245&gt;0,AC245+AH$32,0)</f>
        <v>0</v>
      </c>
      <c r="AI245" s="109">
        <f t="shared" ref="AI245:AI263" si="165">IF(AD245&gt;0,AD245+AI$32,0)</f>
        <v>0</v>
      </c>
      <c r="AL245" s="109">
        <f>IF($BD245&gt;0,(((($BD245/Dashboard!$D$23)*(1+Precificação!$W$589)))+$AL$26)*(1+Dashboard!$D$35),0)</f>
        <v>0</v>
      </c>
      <c r="AM245" s="109">
        <f>IF($BD245&gt;0,(((($BD245/Dashboard!$D$23)*(1+Precificação!$W$589))*(1+AM$28))+$AA$26)*(1+Dashboard!$D$35),0)</f>
        <v>0</v>
      </c>
      <c r="AN245" s="109">
        <f>IF($BD245&gt;0,(((($BD245/Dashboard!$D$23)*(1+Precificação!$W$589))*(1+AN$28))+$AA$26)*(1+Dashboard!$D$35),0)</f>
        <v>0</v>
      </c>
      <c r="AO245" s="109">
        <f>IF($BD245&gt;0,(((($BD245/Dashboard!$D$23)*(1+Precificação!$W$589))*(1+AO$28))+$AA$26)*(1+Dashboard!$D$35),0)</f>
        <v>0</v>
      </c>
      <c r="AQ245" s="109">
        <f t="shared" ref="AQ245:AQ263" si="166">IF(AL245&gt;0,AL245+AQ$32,0)</f>
        <v>0</v>
      </c>
      <c r="AR245" s="109">
        <f t="shared" ref="AR245:AR263" si="167">IF(AM245&gt;0,AM245+AR$32,0)</f>
        <v>0</v>
      </c>
      <c r="AS245" s="109">
        <f t="shared" ref="AS245:AS263" si="168">IF(AN245&gt;0,AN245+AS$32,0)</f>
        <v>0</v>
      </c>
      <c r="AT245" s="109">
        <f t="shared" ref="AT245:AT263" si="169">IF(AO245&gt;0,AO245+AT$32,0)</f>
        <v>0</v>
      </c>
      <c r="AW245" s="144">
        <f>VLOOKUP(B245,'Cronog. e Histog.'!$B$213:$BT$688,71,0)</f>
        <v>1</v>
      </c>
      <c r="AX245" s="144">
        <f>VLOOKUP(B245,'Cronog. e Histog.'!$B$213:$BU$688,72,0)</f>
        <v>10</v>
      </c>
      <c r="AY245" s="144">
        <f>$AW245*$AX245*Dashboard!$D$15</f>
        <v>1936.0000000000002</v>
      </c>
      <c r="AZ245" s="144">
        <f>VLOOKUP(B245,Precificação!$B$96:$BM$533,54,0)</f>
        <v>0</v>
      </c>
      <c r="BA245" s="144">
        <f>VLOOKUP(B245,Precificação!$B$96:$BR$533,58,0)</f>
        <v>0</v>
      </c>
      <c r="BB245" s="144">
        <f>VLOOKUP(B245,Precificação!$B$96:$BW$533,62,0)</f>
        <v>0</v>
      </c>
      <c r="BC245" s="144">
        <f t="shared" ref="BC245:BC263" si="170">SUM(AY245:BB245)</f>
        <v>1936.0000000000002</v>
      </c>
      <c r="BD245" s="109">
        <f>IFERROR(VLOOKUP(B245,Precificação!$B$96:$S$533,13,0),0)</f>
        <v>0</v>
      </c>
      <c r="BE245" s="109">
        <f>IFERROR(VLOOKUP(B245,Precificação!$B$96:$U$533,15,0)/(Precificação!$U$4+Precificação!$U$91),0)*Dashboard!$T$3</f>
        <v>0</v>
      </c>
    </row>
    <row r="246" spans="2:57" ht="12" customHeight="1" outlineLevel="1">
      <c r="B246" s="137" t="str">
        <f>Precificação!B230</f>
        <v>SUP.-ESP - Equipe_01</v>
      </c>
      <c r="D246" s="512"/>
      <c r="E246" s="143" t="str">
        <f>IF('Cronog. e Histog.'!G359&gt;0,'Cronog. e Histog.'!G359,"")</f>
        <v>SUP.-ESP</v>
      </c>
      <c r="G246" s="179">
        <f t="shared" si="157"/>
        <v>0</v>
      </c>
      <c r="H246" s="110">
        <f>IFERROR(INDEX('Base Salarial'!$D$5:$F$25,MATCH(E246,'Base Salarial'!$G$5:$G$25,0),MATCH(I246,'Base Salarial'!$D$4:$F$4,0)),"")</f>
        <v>9166.6666666666679</v>
      </c>
      <c r="I246" s="78" t="str">
        <f>IFERROR(INDEX(Tarefas!$BQ$29:$FK$29,MATCH(E246,Tarefas!$BQ$30:$FK$30,0)),"")</f>
        <v>Mensalista</v>
      </c>
      <c r="J246" s="81">
        <f>IF(I246="horista",H246*Dashboard!$D$15,IF(OR(I246="Mensalista",I246="PJ"),H246,))</f>
        <v>9166.6666666666679</v>
      </c>
      <c r="K246" s="81">
        <f>IF(I246="PJ",J246,ROUND(J246*(1+Dashboard!$D$22),2))</f>
        <v>9716.67</v>
      </c>
      <c r="L246" s="77"/>
      <c r="M246" s="180"/>
      <c r="P246" s="109">
        <f>IF($BD246&gt;0,(((($BD246/Dashboard!$D$15)*(1+Precificação!$W$589)))+$P$26)*(1+Dashboard!$D$35),0)</f>
        <v>0</v>
      </c>
      <c r="Q246" s="109">
        <f>IF($BD246&gt;0,(((($BD246/Dashboard!$D$23)+(1+Precificação!$W$589))*(1+Q$28))+$P$26)*(1+Dashboard!$D$35),0)</f>
        <v>0</v>
      </c>
      <c r="R246" s="109">
        <f>IF($BD246&gt;0,(((($BD246/Dashboard!$D$23)+(1+Precificação!$W$589))*(1+R$28))+$P$26)*(1+Dashboard!$D$35),0)</f>
        <v>0</v>
      </c>
      <c r="S246" s="109">
        <f>IF($BD246&gt;0,(((($BD246/Dashboard!$D$23)+(1+Precificação!$W$589))*(1+S$28))+$P$26)*(1+Dashboard!$D$35),0)</f>
        <v>0</v>
      </c>
      <c r="U246" s="109">
        <f t="shared" si="158"/>
        <v>0</v>
      </c>
      <c r="V246" s="109">
        <f t="shared" si="159"/>
        <v>0</v>
      </c>
      <c r="W246" s="109">
        <f t="shared" si="160"/>
        <v>0</v>
      </c>
      <c r="X246" s="109">
        <f t="shared" si="161"/>
        <v>0</v>
      </c>
      <c r="AA246" s="109">
        <f>IF($BD246&gt;0,(((($BD246/Dashboard!$D$23)*(1+Precificação!$W$589)))+$AA$26)*(1+Dashboard!$D$35),0)</f>
        <v>0</v>
      </c>
      <c r="AB246" s="109">
        <f>IF($BD246&gt;0,(((($BD246/Dashboard!$D$23)*(1+Precificação!$W$589))*(1+AB$28))+$AA$26)*(1+Dashboard!$D$35),0)</f>
        <v>0</v>
      </c>
      <c r="AC246" s="109">
        <f>IF($BD246&gt;0,(((($BD246/Dashboard!$D$23)*(1+Precificação!$W$589))*(1+AC$28))+$AA$26)*(1+Dashboard!$D$35),0)</f>
        <v>0</v>
      </c>
      <c r="AD246" s="109">
        <f>IF($BD246&gt;0,(((($BD246/Dashboard!$D$23)*(1+Precificação!$W$589))*(1+AD$28))+$AA$26)*(1+Dashboard!$D$35),0)</f>
        <v>0</v>
      </c>
      <c r="AF246" s="109">
        <f t="shared" si="162"/>
        <v>0</v>
      </c>
      <c r="AG246" s="109">
        <f t="shared" si="163"/>
        <v>0</v>
      </c>
      <c r="AH246" s="109">
        <f t="shared" si="164"/>
        <v>0</v>
      </c>
      <c r="AI246" s="109">
        <f t="shared" si="165"/>
        <v>0</v>
      </c>
      <c r="AL246" s="109">
        <f>IF($BD246&gt;0,(((($BD246/Dashboard!$D$23)*(1+Precificação!$W$589)))+$AL$26)*(1+Dashboard!$D$35),0)</f>
        <v>0</v>
      </c>
      <c r="AM246" s="109">
        <f>IF($BD246&gt;0,(((($BD246/Dashboard!$D$23)*(1+Precificação!$W$589))*(1+AM$28))+$AA$26)*(1+Dashboard!$D$35),0)</f>
        <v>0</v>
      </c>
      <c r="AN246" s="109">
        <f>IF($BD246&gt;0,(((($BD246/Dashboard!$D$23)*(1+Precificação!$W$589))*(1+AN$28))+$AA$26)*(1+Dashboard!$D$35),0)</f>
        <v>0</v>
      </c>
      <c r="AO246" s="109">
        <f>IF($BD246&gt;0,(((($BD246/Dashboard!$D$23)*(1+Precificação!$W$589))*(1+AO$28))+$AA$26)*(1+Dashboard!$D$35),0)</f>
        <v>0</v>
      </c>
      <c r="AQ246" s="109">
        <f t="shared" si="166"/>
        <v>0</v>
      </c>
      <c r="AR246" s="109">
        <f t="shared" si="167"/>
        <v>0</v>
      </c>
      <c r="AS246" s="109">
        <f t="shared" si="168"/>
        <v>0</v>
      </c>
      <c r="AT246" s="109">
        <f t="shared" si="169"/>
        <v>0</v>
      </c>
      <c r="AW246" s="144">
        <f>VLOOKUP(B246,'Cronog. e Histog.'!$B$213:$BT$688,71,0)</f>
        <v>0</v>
      </c>
      <c r="AX246" s="144">
        <f>VLOOKUP(B246,'Cronog. e Histog.'!$B$213:$BU$688,72,0)</f>
        <v>0</v>
      </c>
      <c r="AY246" s="144">
        <f>$AW246*$AX246*Dashboard!$D$15</f>
        <v>0</v>
      </c>
      <c r="AZ246" s="144">
        <f>VLOOKUP(B246,Precificação!$B$96:$BM$533,54,0)</f>
        <v>0</v>
      </c>
      <c r="BA246" s="144">
        <f>VLOOKUP(B246,Precificação!$B$96:$BR$533,58,0)</f>
        <v>0</v>
      </c>
      <c r="BB246" s="144">
        <f>VLOOKUP(B246,Precificação!$B$96:$BW$533,62,0)</f>
        <v>0</v>
      </c>
      <c r="BC246" s="144">
        <f t="shared" si="170"/>
        <v>0</v>
      </c>
      <c r="BD246" s="109">
        <f>IFERROR(VLOOKUP(B246,Precificação!$B$96:$S$533,13,0),0)</f>
        <v>0</v>
      </c>
      <c r="BE246" s="109">
        <f>IFERROR(VLOOKUP(B246,Precificação!$B$96:$U$533,15,0)/(Precificação!$U$4+Precificação!$U$91),0)*Dashboard!$T$3</f>
        <v>0</v>
      </c>
    </row>
    <row r="247" spans="2:57" ht="12" customHeight="1" outlineLevel="1">
      <c r="B247" s="137" t="str">
        <f>Precificação!B231</f>
        <v>ENG/ARQ SR. - Equipe_01</v>
      </c>
      <c r="D247" s="512"/>
      <c r="E247" s="143" t="str">
        <f>IF('Cronog. e Histog.'!G360&gt;0,'Cronog. e Histog.'!G360,"")</f>
        <v>ENG/ARQ SR.</v>
      </c>
      <c r="G247" s="179">
        <f t="shared" si="157"/>
        <v>0</v>
      </c>
      <c r="H247" s="110">
        <f>IFERROR(INDEX('Base Salarial'!$D$5:$F$25,MATCH(E247,'Base Salarial'!$G$5:$G$25,0),MATCH(I247,'Base Salarial'!$D$4:$F$4,0)),"")</f>
        <v>16000</v>
      </c>
      <c r="I247" s="78" t="str">
        <f>IFERROR(INDEX(Tarefas!$BQ$29:$FK$29,MATCH(E247,Tarefas!$BQ$30:$FK$30,0)),"")</f>
        <v>PJ</v>
      </c>
      <c r="J247" s="81">
        <f>IF(I247="horista",H247*Dashboard!$D$15,IF(OR(I247="Mensalista",I247="PJ"),H247,))</f>
        <v>16000</v>
      </c>
      <c r="K247" s="81">
        <f>IF(I247="PJ",J247,ROUND(J247*(1+Dashboard!$D$22),2))</f>
        <v>16000</v>
      </c>
      <c r="L247" s="77"/>
      <c r="M247" s="180"/>
      <c r="P247" s="109">
        <f>IF($BD247&gt;0,(((($BD247/Dashboard!$D$15)*(1+Precificação!$W$589)))+$P$26)*(1+Dashboard!$D$35),0)</f>
        <v>0</v>
      </c>
      <c r="Q247" s="109">
        <f>IF($BD247&gt;0,(((($BD247/Dashboard!$D$23)+(1+Precificação!$W$589))*(1+Q$28))+$P$26)*(1+Dashboard!$D$35),0)</f>
        <v>0</v>
      </c>
      <c r="R247" s="109">
        <f>IF($BD247&gt;0,(((($BD247/Dashboard!$D$23)+(1+Precificação!$W$589))*(1+R$28))+$P$26)*(1+Dashboard!$D$35),0)</f>
        <v>0</v>
      </c>
      <c r="S247" s="109">
        <f>IF($BD247&gt;0,(((($BD247/Dashboard!$D$23)+(1+Precificação!$W$589))*(1+S$28))+$P$26)*(1+Dashboard!$D$35),0)</f>
        <v>0</v>
      </c>
      <c r="U247" s="109">
        <f t="shared" si="158"/>
        <v>0</v>
      </c>
      <c r="V247" s="109">
        <f t="shared" si="159"/>
        <v>0</v>
      </c>
      <c r="W247" s="109">
        <f t="shared" si="160"/>
        <v>0</v>
      </c>
      <c r="X247" s="109">
        <f t="shared" si="161"/>
        <v>0</v>
      </c>
      <c r="AA247" s="109">
        <f>IF($BD247&gt;0,(((($BD247/Dashboard!$D$23)*(1+Precificação!$W$589)))+$AA$26)*(1+Dashboard!$D$35),0)</f>
        <v>0</v>
      </c>
      <c r="AB247" s="109">
        <f>IF($BD247&gt;0,(((($BD247/Dashboard!$D$23)*(1+Precificação!$W$589))*(1+AB$28))+$AA$26)*(1+Dashboard!$D$35),0)</f>
        <v>0</v>
      </c>
      <c r="AC247" s="109">
        <f>IF($BD247&gt;0,(((($BD247/Dashboard!$D$23)*(1+Precificação!$W$589))*(1+AC$28))+$AA$26)*(1+Dashboard!$D$35),0)</f>
        <v>0</v>
      </c>
      <c r="AD247" s="109">
        <f>IF($BD247&gt;0,(((($BD247/Dashboard!$D$23)*(1+Precificação!$W$589))*(1+AD$28))+$AA$26)*(1+Dashboard!$D$35),0)</f>
        <v>0</v>
      </c>
      <c r="AF247" s="109">
        <f t="shared" si="162"/>
        <v>0</v>
      </c>
      <c r="AG247" s="109">
        <f t="shared" si="163"/>
        <v>0</v>
      </c>
      <c r="AH247" s="109">
        <f t="shared" si="164"/>
        <v>0</v>
      </c>
      <c r="AI247" s="109">
        <f t="shared" si="165"/>
        <v>0</v>
      </c>
      <c r="AL247" s="109">
        <f>IF($BD247&gt;0,(((($BD247/Dashboard!$D$23)*(1+Precificação!$W$589)))+$AL$26)*(1+Dashboard!$D$35),0)</f>
        <v>0</v>
      </c>
      <c r="AM247" s="109">
        <f>IF($BD247&gt;0,(((($BD247/Dashboard!$D$23)*(1+Precificação!$W$589))*(1+AM$28))+$AA$26)*(1+Dashboard!$D$35),0)</f>
        <v>0</v>
      </c>
      <c r="AN247" s="109">
        <f>IF($BD247&gt;0,(((($BD247/Dashboard!$D$23)*(1+Precificação!$W$589))*(1+AN$28))+$AA$26)*(1+Dashboard!$D$35),0)</f>
        <v>0</v>
      </c>
      <c r="AO247" s="109">
        <f>IF($BD247&gt;0,(((($BD247/Dashboard!$D$23)*(1+Precificação!$W$589))*(1+AO$28))+$AA$26)*(1+Dashboard!$D$35),0)</f>
        <v>0</v>
      </c>
      <c r="AQ247" s="109">
        <f t="shared" si="166"/>
        <v>0</v>
      </c>
      <c r="AR247" s="109">
        <f t="shared" si="167"/>
        <v>0</v>
      </c>
      <c r="AS247" s="109">
        <f t="shared" si="168"/>
        <v>0</v>
      </c>
      <c r="AT247" s="109">
        <f t="shared" si="169"/>
        <v>0</v>
      </c>
      <c r="AW247" s="144">
        <f>VLOOKUP(B247,'Cronog. e Histog.'!$B$213:$BT$688,71,0)</f>
        <v>9.9999999999999985E-3</v>
      </c>
      <c r="AX247" s="144">
        <f>VLOOKUP(B247,'Cronog. e Histog.'!$B$213:$BU$688,72,0)</f>
        <v>10</v>
      </c>
      <c r="AY247" s="144">
        <f>$AW247*$AX247*Dashboard!$D$15</f>
        <v>19.36</v>
      </c>
      <c r="AZ247" s="144">
        <f>VLOOKUP(B247,Precificação!$B$96:$BM$533,54,0)</f>
        <v>0</v>
      </c>
      <c r="BA247" s="144">
        <f>VLOOKUP(B247,Precificação!$B$96:$BR$533,58,0)</f>
        <v>0</v>
      </c>
      <c r="BB247" s="144">
        <f>VLOOKUP(B247,Precificação!$B$96:$BW$533,62,0)</f>
        <v>0</v>
      </c>
      <c r="BC247" s="144">
        <f t="shared" si="170"/>
        <v>19.36</v>
      </c>
      <c r="BD247" s="109">
        <f>IFERROR(VLOOKUP(B247,Precificação!$B$96:$S$533,13,0),0)</f>
        <v>0</v>
      </c>
      <c r="BE247" s="109">
        <f>IFERROR(VLOOKUP(B247,Precificação!$B$96:$U$533,15,0)/(Precificação!$U$4+Precificação!$U$91),0)*Dashboard!$T$3</f>
        <v>0</v>
      </c>
    </row>
    <row r="248" spans="2:57" ht="12" customHeight="1" outlineLevel="1">
      <c r="B248" s="137" t="str">
        <f>Precificação!B232</f>
        <v>ENG/ARQ PL. - Equipe_01</v>
      </c>
      <c r="D248" s="512"/>
      <c r="E248" s="143" t="str">
        <f>IF('Cronog. e Histog.'!G361&gt;0,'Cronog. e Histog.'!G361,"")</f>
        <v>ENG/ARQ PL.</v>
      </c>
      <c r="G248" s="179">
        <f t="shared" si="157"/>
        <v>0</v>
      </c>
      <c r="H248" s="110">
        <f>IFERROR(INDEX('Base Salarial'!$D$5:$F$25,MATCH(E248,'Base Salarial'!$G$5:$G$25,0),MATCH(I248,'Base Salarial'!$D$4:$F$4,0)),"")</f>
        <v>14000</v>
      </c>
      <c r="I248" s="78" t="str">
        <f>IFERROR(INDEX(Tarefas!$BQ$29:$FK$29,MATCH(E248,Tarefas!$BQ$30:$FK$30,0)),"")</f>
        <v>PJ</v>
      </c>
      <c r="J248" s="81">
        <f>IF(I248="horista",H248*Dashboard!$D$15,IF(OR(I248="Mensalista",I248="PJ"),H248,))</f>
        <v>14000</v>
      </c>
      <c r="K248" s="81">
        <f>IF(I248="PJ",J248,ROUND(J248*(1+Dashboard!$D$22),2))</f>
        <v>14000</v>
      </c>
      <c r="L248" s="77"/>
      <c r="M248" s="180"/>
      <c r="P248" s="109">
        <f>IF($BD248&gt;0,(((($BD248/Dashboard!$D$15)*(1+Precificação!$W$589)))+$P$26)*(1+Dashboard!$D$35),0)</f>
        <v>0</v>
      </c>
      <c r="Q248" s="109">
        <f>IF($BD248&gt;0,(((($BD248/Dashboard!$D$23)+(1+Precificação!$W$589))*(1+Q$28))+$P$26)*(1+Dashboard!$D$35),0)</f>
        <v>0</v>
      </c>
      <c r="R248" s="109">
        <f>IF($BD248&gt;0,(((($BD248/Dashboard!$D$23)+(1+Precificação!$W$589))*(1+R$28))+$P$26)*(1+Dashboard!$D$35),0)</f>
        <v>0</v>
      </c>
      <c r="S248" s="109">
        <f>IF($BD248&gt;0,(((($BD248/Dashboard!$D$23)+(1+Precificação!$W$589))*(1+S$28))+$P$26)*(1+Dashboard!$D$35),0)</f>
        <v>0</v>
      </c>
      <c r="U248" s="109">
        <f t="shared" si="158"/>
        <v>0</v>
      </c>
      <c r="V248" s="109">
        <f t="shared" si="159"/>
        <v>0</v>
      </c>
      <c r="W248" s="109">
        <f t="shared" si="160"/>
        <v>0</v>
      </c>
      <c r="X248" s="109">
        <f t="shared" si="161"/>
        <v>0</v>
      </c>
      <c r="AA248" s="109">
        <f>IF($BD248&gt;0,(((($BD248/Dashboard!$D$23)*(1+Precificação!$W$589)))+$AA$26)*(1+Dashboard!$D$35),0)</f>
        <v>0</v>
      </c>
      <c r="AB248" s="109">
        <f>IF($BD248&gt;0,(((($BD248/Dashboard!$D$23)*(1+Precificação!$W$589))*(1+AB$28))+$AA$26)*(1+Dashboard!$D$35),0)</f>
        <v>0</v>
      </c>
      <c r="AC248" s="109">
        <f>IF($BD248&gt;0,(((($BD248/Dashboard!$D$23)*(1+Precificação!$W$589))*(1+AC$28))+$AA$26)*(1+Dashboard!$D$35),0)</f>
        <v>0</v>
      </c>
      <c r="AD248" s="109">
        <f>IF($BD248&gt;0,(((($BD248/Dashboard!$D$23)*(1+Precificação!$W$589))*(1+AD$28))+$AA$26)*(1+Dashboard!$D$35),0)</f>
        <v>0</v>
      </c>
      <c r="AF248" s="109">
        <f t="shared" si="162"/>
        <v>0</v>
      </c>
      <c r="AG248" s="109">
        <f t="shared" si="163"/>
        <v>0</v>
      </c>
      <c r="AH248" s="109">
        <f t="shared" si="164"/>
        <v>0</v>
      </c>
      <c r="AI248" s="109">
        <f t="shared" si="165"/>
        <v>0</v>
      </c>
      <c r="AL248" s="109">
        <f>IF($BD248&gt;0,(((($BD248/Dashboard!$D$23)*(1+Precificação!$W$589)))+$AL$26)*(1+Dashboard!$D$35),0)</f>
        <v>0</v>
      </c>
      <c r="AM248" s="109">
        <f>IF($BD248&gt;0,(((($BD248/Dashboard!$D$23)*(1+Precificação!$W$589))*(1+AM$28))+$AA$26)*(1+Dashboard!$D$35),0)</f>
        <v>0</v>
      </c>
      <c r="AN248" s="109">
        <f>IF($BD248&gt;0,(((($BD248/Dashboard!$D$23)*(1+Precificação!$W$589))*(1+AN$28))+$AA$26)*(1+Dashboard!$D$35),0)</f>
        <v>0</v>
      </c>
      <c r="AO248" s="109">
        <f>IF($BD248&gt;0,(((($BD248/Dashboard!$D$23)*(1+Precificação!$W$589))*(1+AO$28))+$AA$26)*(1+Dashboard!$D$35),0)</f>
        <v>0</v>
      </c>
      <c r="AQ248" s="109">
        <f t="shared" si="166"/>
        <v>0</v>
      </c>
      <c r="AR248" s="109">
        <f t="shared" si="167"/>
        <v>0</v>
      </c>
      <c r="AS248" s="109">
        <f t="shared" si="168"/>
        <v>0</v>
      </c>
      <c r="AT248" s="109">
        <f t="shared" si="169"/>
        <v>0</v>
      </c>
      <c r="AW248" s="144">
        <f>VLOOKUP(B248,'Cronog. e Histog.'!$B$213:$BT$688,71,0)</f>
        <v>0</v>
      </c>
      <c r="AX248" s="144">
        <f>VLOOKUP(B248,'Cronog. e Histog.'!$B$213:$BU$688,72,0)</f>
        <v>0</v>
      </c>
      <c r="AY248" s="144">
        <f>$AW248*$AX248*Dashboard!$D$15</f>
        <v>0</v>
      </c>
      <c r="AZ248" s="144">
        <f>VLOOKUP(B248,Precificação!$B$96:$BM$533,54,0)</f>
        <v>0</v>
      </c>
      <c r="BA248" s="144">
        <f>VLOOKUP(B248,Precificação!$B$96:$BR$533,58,0)</f>
        <v>0</v>
      </c>
      <c r="BB248" s="144">
        <f>VLOOKUP(B248,Precificação!$B$96:$BW$533,62,0)</f>
        <v>0</v>
      </c>
      <c r="BC248" s="144">
        <f t="shared" si="170"/>
        <v>0</v>
      </c>
      <c r="BD248" s="109">
        <f>IFERROR(VLOOKUP(B248,Precificação!$B$96:$S$533,13,0),0)</f>
        <v>0</v>
      </c>
      <c r="BE248" s="109">
        <f>IFERROR(VLOOKUP(B248,Precificação!$B$96:$U$533,15,0)/(Precificação!$U$4+Precificação!$U$91),0)*Dashboard!$T$3</f>
        <v>0</v>
      </c>
    </row>
    <row r="249" spans="2:57" ht="12" customHeight="1" outlineLevel="1">
      <c r="B249" s="137" t="str">
        <f>Precificação!B233</f>
        <v>ENG/ARQ JR. - Equipe_01</v>
      </c>
      <c r="D249" s="512"/>
      <c r="E249" s="143" t="str">
        <f>IF('Cronog. e Histog.'!G362&gt;0,'Cronog. e Histog.'!G362,"")</f>
        <v>ENG/ARQ JR.</v>
      </c>
      <c r="G249" s="179">
        <f t="shared" si="157"/>
        <v>0</v>
      </c>
      <c r="H249" s="110">
        <f>IFERROR(INDEX('Base Salarial'!$D$5:$F$25,MATCH(E249,'Base Salarial'!$G$5:$G$25,0),MATCH(I249,'Base Salarial'!$D$4:$F$4,0)),"")</f>
        <v>14000</v>
      </c>
      <c r="I249" s="78" t="str">
        <f>IFERROR(INDEX(Tarefas!$BQ$29:$FK$29,MATCH(E249,Tarefas!$BQ$30:$FK$30,0)),"")</f>
        <v>PJ</v>
      </c>
      <c r="J249" s="81">
        <f>IF(I249="horista",H249*Dashboard!$D$15,IF(OR(I249="Mensalista",I249="PJ"),H249,))</f>
        <v>14000</v>
      </c>
      <c r="K249" s="81">
        <f>IF(I249="PJ",J249,ROUND(J249*(1+Dashboard!$D$22),2))</f>
        <v>14000</v>
      </c>
      <c r="L249" s="77"/>
      <c r="M249" s="180"/>
      <c r="P249" s="109">
        <f>IF($BD249&gt;0,(((($BD249/Dashboard!$D$15)*(1+Precificação!$W$589)))+$P$26)*(1+Dashboard!$D$35),0)</f>
        <v>0</v>
      </c>
      <c r="Q249" s="109">
        <f>IF($BD249&gt;0,(((($BD249/Dashboard!$D$23)+(1+Precificação!$W$589))*(1+Q$28))+$P$26)*(1+Dashboard!$D$35),0)</f>
        <v>0</v>
      </c>
      <c r="R249" s="109">
        <f>IF($BD249&gt;0,(((($BD249/Dashboard!$D$23)+(1+Precificação!$W$589))*(1+R$28))+$P$26)*(1+Dashboard!$D$35),0)</f>
        <v>0</v>
      </c>
      <c r="S249" s="109">
        <f>IF($BD249&gt;0,(((($BD249/Dashboard!$D$23)+(1+Precificação!$W$589))*(1+S$28))+$P$26)*(1+Dashboard!$D$35),0)</f>
        <v>0</v>
      </c>
      <c r="U249" s="109">
        <f t="shared" si="158"/>
        <v>0</v>
      </c>
      <c r="V249" s="109">
        <f t="shared" si="159"/>
        <v>0</v>
      </c>
      <c r="W249" s="109">
        <f t="shared" si="160"/>
        <v>0</v>
      </c>
      <c r="X249" s="109">
        <f t="shared" si="161"/>
        <v>0</v>
      </c>
      <c r="AA249" s="109">
        <f>IF($BD249&gt;0,(((($BD249/Dashboard!$D$23)*(1+Precificação!$W$589)))+$AA$26)*(1+Dashboard!$D$35),0)</f>
        <v>0</v>
      </c>
      <c r="AB249" s="109">
        <f>IF($BD249&gt;0,(((($BD249/Dashboard!$D$23)*(1+Precificação!$W$589))*(1+AB$28))+$AA$26)*(1+Dashboard!$D$35),0)</f>
        <v>0</v>
      </c>
      <c r="AC249" s="109">
        <f>IF($BD249&gt;0,(((($BD249/Dashboard!$D$23)*(1+Precificação!$W$589))*(1+AC$28))+$AA$26)*(1+Dashboard!$D$35),0)</f>
        <v>0</v>
      </c>
      <c r="AD249" s="109">
        <f>IF($BD249&gt;0,(((($BD249/Dashboard!$D$23)*(1+Precificação!$W$589))*(1+AD$28))+$AA$26)*(1+Dashboard!$D$35),0)</f>
        <v>0</v>
      </c>
      <c r="AF249" s="109">
        <f t="shared" si="162"/>
        <v>0</v>
      </c>
      <c r="AG249" s="109">
        <f t="shared" si="163"/>
        <v>0</v>
      </c>
      <c r="AH249" s="109">
        <f t="shared" si="164"/>
        <v>0</v>
      </c>
      <c r="AI249" s="109">
        <f t="shared" si="165"/>
        <v>0</v>
      </c>
      <c r="AL249" s="109">
        <f>IF($BD249&gt;0,(((($BD249/Dashboard!$D$23)*(1+Precificação!$W$589)))+$AL$26)*(1+Dashboard!$D$35),0)</f>
        <v>0</v>
      </c>
      <c r="AM249" s="109">
        <f>IF($BD249&gt;0,(((($BD249/Dashboard!$D$23)*(1+Precificação!$W$589))*(1+AM$28))+$AA$26)*(1+Dashboard!$D$35),0)</f>
        <v>0</v>
      </c>
      <c r="AN249" s="109">
        <f>IF($BD249&gt;0,(((($BD249/Dashboard!$D$23)*(1+Precificação!$W$589))*(1+AN$28))+$AA$26)*(1+Dashboard!$D$35),0)</f>
        <v>0</v>
      </c>
      <c r="AO249" s="109">
        <f>IF($BD249&gt;0,(((($BD249/Dashboard!$D$23)*(1+Precificação!$W$589))*(1+AO$28))+$AA$26)*(1+Dashboard!$D$35),0)</f>
        <v>0</v>
      </c>
      <c r="AQ249" s="109">
        <f t="shared" si="166"/>
        <v>0</v>
      </c>
      <c r="AR249" s="109">
        <f t="shared" si="167"/>
        <v>0</v>
      </c>
      <c r="AS249" s="109">
        <f t="shared" si="168"/>
        <v>0</v>
      </c>
      <c r="AT249" s="109">
        <f t="shared" si="169"/>
        <v>0</v>
      </c>
      <c r="AW249" s="144">
        <f>VLOOKUP(B249,'Cronog. e Histog.'!$B$213:$BT$688,71,0)</f>
        <v>0</v>
      </c>
      <c r="AX249" s="144">
        <f>VLOOKUP(B249,'Cronog. e Histog.'!$B$213:$BU$688,72,0)</f>
        <v>0</v>
      </c>
      <c r="AY249" s="144">
        <f>$AW249*$AX249*Dashboard!$D$15</f>
        <v>0</v>
      </c>
      <c r="AZ249" s="144">
        <f>VLOOKUP(B249,Precificação!$B$96:$BM$533,54,0)</f>
        <v>0</v>
      </c>
      <c r="BA249" s="144">
        <f>VLOOKUP(B249,Precificação!$B$96:$BR$533,58,0)</f>
        <v>0</v>
      </c>
      <c r="BB249" s="144">
        <f>VLOOKUP(B249,Precificação!$B$96:$BW$533,62,0)</f>
        <v>0</v>
      </c>
      <c r="BC249" s="144">
        <f t="shared" si="170"/>
        <v>0</v>
      </c>
      <c r="BD249" s="109">
        <f>IFERROR(VLOOKUP(B249,Precificação!$B$96:$S$533,13,0),0)</f>
        <v>0</v>
      </c>
      <c r="BE249" s="109">
        <f>IFERROR(VLOOKUP(B249,Precificação!$B$96:$U$533,15,0)/(Precificação!$U$4+Precificação!$U$91),0)*Dashboard!$T$3</f>
        <v>0</v>
      </c>
    </row>
    <row r="250" spans="2:57" ht="12" customHeight="1" outlineLevel="1">
      <c r="B250" s="137" t="str">
        <f>Precificação!B234</f>
        <v>AN SR. ENG/ARQ - Equipe_01</v>
      </c>
      <c r="D250" s="512"/>
      <c r="E250" s="143" t="str">
        <f>IF('Cronog. e Histog.'!G363&gt;0,'Cronog. e Histog.'!G363,"")</f>
        <v>AN SR. ENG/ARQ</v>
      </c>
      <c r="G250" s="179">
        <f t="shared" si="157"/>
        <v>0</v>
      </c>
      <c r="H250" s="110">
        <f>IFERROR(INDEX('Base Salarial'!$D$5:$F$25,MATCH(E250,'Base Salarial'!$G$5:$G$25,0),MATCH(I250,'Base Salarial'!$D$4:$F$4,0)),"")</f>
        <v>7500</v>
      </c>
      <c r="I250" s="78" t="str">
        <f>IFERROR(INDEX(Tarefas!$BQ$29:$FK$29,MATCH(E250,Tarefas!$BQ$30:$FK$30,0)),"")</f>
        <v>Mensalista</v>
      </c>
      <c r="J250" s="81">
        <f>IF(I250="horista",H250*Dashboard!$D$15,IF(OR(I250="Mensalista",I250="PJ"),H250,))</f>
        <v>7500</v>
      </c>
      <c r="K250" s="81">
        <f>IF(I250="PJ",J250,ROUND(J250*(1+Dashboard!$D$22),2))</f>
        <v>7950</v>
      </c>
      <c r="L250" s="77"/>
      <c r="M250" s="180"/>
      <c r="P250" s="109">
        <f>IF($BD250&gt;0,(((($BD250/Dashboard!$D$15)*(1+Precificação!$W$589)))+$P$26)*(1+Dashboard!$D$35),0)</f>
        <v>0</v>
      </c>
      <c r="Q250" s="109">
        <f>IF($BD250&gt;0,(((($BD250/Dashboard!$D$23)+(1+Precificação!$W$589))*(1+Q$28))+$P$26)*(1+Dashboard!$D$35),0)</f>
        <v>0</v>
      </c>
      <c r="R250" s="109">
        <f>IF($BD250&gt;0,(((($BD250/Dashboard!$D$23)+(1+Precificação!$W$589))*(1+R$28))+$P$26)*(1+Dashboard!$D$35),0)</f>
        <v>0</v>
      </c>
      <c r="S250" s="109">
        <f>IF($BD250&gt;0,(((($BD250/Dashboard!$D$23)+(1+Precificação!$W$589))*(1+S$28))+$P$26)*(1+Dashboard!$D$35),0)</f>
        <v>0</v>
      </c>
      <c r="U250" s="109">
        <f t="shared" si="158"/>
        <v>0</v>
      </c>
      <c r="V250" s="109">
        <f t="shared" si="159"/>
        <v>0</v>
      </c>
      <c r="W250" s="109">
        <f t="shared" si="160"/>
        <v>0</v>
      </c>
      <c r="X250" s="109">
        <f t="shared" si="161"/>
        <v>0</v>
      </c>
      <c r="AA250" s="109">
        <f>IF($BD250&gt;0,(((($BD250/Dashboard!$D$23)*(1+Precificação!$W$589)))+$AA$26)*(1+Dashboard!$D$35),0)</f>
        <v>0</v>
      </c>
      <c r="AB250" s="109">
        <f>IF($BD250&gt;0,(((($BD250/Dashboard!$D$23)*(1+Precificação!$W$589))*(1+AB$28))+$AA$26)*(1+Dashboard!$D$35),0)</f>
        <v>0</v>
      </c>
      <c r="AC250" s="109">
        <f>IF($BD250&gt;0,(((($BD250/Dashboard!$D$23)*(1+Precificação!$W$589))*(1+AC$28))+$AA$26)*(1+Dashboard!$D$35),0)</f>
        <v>0</v>
      </c>
      <c r="AD250" s="109">
        <f>IF($BD250&gt;0,(((($BD250/Dashboard!$D$23)*(1+Precificação!$W$589))*(1+AD$28))+$AA$26)*(1+Dashboard!$D$35),0)</f>
        <v>0</v>
      </c>
      <c r="AF250" s="109">
        <f t="shared" si="162"/>
        <v>0</v>
      </c>
      <c r="AG250" s="109">
        <f t="shared" si="163"/>
        <v>0</v>
      </c>
      <c r="AH250" s="109">
        <f t="shared" si="164"/>
        <v>0</v>
      </c>
      <c r="AI250" s="109">
        <f t="shared" si="165"/>
        <v>0</v>
      </c>
      <c r="AL250" s="109">
        <f>IF($BD250&gt;0,(((($BD250/Dashboard!$D$23)*(1+Precificação!$W$589)))+$AL$26)*(1+Dashboard!$D$35),0)</f>
        <v>0</v>
      </c>
      <c r="AM250" s="109">
        <f>IF($BD250&gt;0,(((($BD250/Dashboard!$D$23)*(1+Precificação!$W$589))*(1+AM$28))+$AA$26)*(1+Dashboard!$D$35),0)</f>
        <v>0</v>
      </c>
      <c r="AN250" s="109">
        <f>IF($BD250&gt;0,(((($BD250/Dashboard!$D$23)*(1+Precificação!$W$589))*(1+AN$28))+$AA$26)*(1+Dashboard!$D$35),0)</f>
        <v>0</v>
      </c>
      <c r="AO250" s="109">
        <f>IF($BD250&gt;0,(((($BD250/Dashboard!$D$23)*(1+Precificação!$W$589))*(1+AO$28))+$AA$26)*(1+Dashboard!$D$35),0)</f>
        <v>0</v>
      </c>
      <c r="AQ250" s="109">
        <f t="shared" si="166"/>
        <v>0</v>
      </c>
      <c r="AR250" s="109">
        <f t="shared" si="167"/>
        <v>0</v>
      </c>
      <c r="AS250" s="109">
        <f t="shared" si="168"/>
        <v>0</v>
      </c>
      <c r="AT250" s="109">
        <f t="shared" si="169"/>
        <v>0</v>
      </c>
      <c r="AW250" s="144">
        <f>VLOOKUP(B250,'Cronog. e Histog.'!$B$213:$BT$688,71,0)</f>
        <v>0</v>
      </c>
      <c r="AX250" s="144">
        <f>VLOOKUP(B250,'Cronog. e Histog.'!$B$213:$BU$688,72,0)</f>
        <v>0</v>
      </c>
      <c r="AY250" s="144">
        <f>$AW250*$AX250*Dashboard!$D$15</f>
        <v>0</v>
      </c>
      <c r="AZ250" s="144">
        <f>VLOOKUP(B250,Precificação!$B$96:$BM$533,54,0)</f>
        <v>0</v>
      </c>
      <c r="BA250" s="144">
        <f>VLOOKUP(B250,Precificação!$B$96:$BR$533,58,0)</f>
        <v>0</v>
      </c>
      <c r="BB250" s="144">
        <f>VLOOKUP(B250,Precificação!$B$96:$BW$533,62,0)</f>
        <v>0</v>
      </c>
      <c r="BC250" s="144">
        <f t="shared" si="170"/>
        <v>0</v>
      </c>
      <c r="BD250" s="109">
        <f>IFERROR(VLOOKUP(B250,Precificação!$B$96:$S$533,13,0),0)</f>
        <v>0</v>
      </c>
      <c r="BE250" s="109">
        <f>IFERROR(VLOOKUP(B250,Precificação!$B$96:$U$533,15,0)/(Precificação!$U$4+Precificação!$U$91),0)*Dashboard!$T$3</f>
        <v>0</v>
      </c>
    </row>
    <row r="251" spans="2:57" ht="12" customHeight="1" outlineLevel="1">
      <c r="B251" s="137" t="str">
        <f>Precificação!B235</f>
        <v>AN PL. ENG/ARQ - Equipe_01</v>
      </c>
      <c r="D251" s="512"/>
      <c r="E251" s="143" t="str">
        <f>IF('Cronog. e Histog.'!G364&gt;0,'Cronog. e Histog.'!G364,"")</f>
        <v>AN PL. ENG/ARQ</v>
      </c>
      <c r="G251" s="179">
        <f t="shared" si="157"/>
        <v>0</v>
      </c>
      <c r="H251" s="110">
        <f>IFERROR(INDEX('Base Salarial'!$D$5:$F$25,MATCH(E251,'Base Salarial'!$G$5:$G$25,0),MATCH(I251,'Base Salarial'!$D$4:$F$4,0)),"")</f>
        <v>6000</v>
      </c>
      <c r="I251" s="78" t="str">
        <f>IFERROR(INDEX(Tarefas!$BQ$29:$FK$29,MATCH(E251,Tarefas!$BQ$30:$FK$30,0)),"")</f>
        <v>Mensalista</v>
      </c>
      <c r="J251" s="81">
        <f>IF(I251="horista",H251*Dashboard!$D$15,IF(OR(I251="Mensalista",I251="PJ"),H251,))</f>
        <v>6000</v>
      </c>
      <c r="K251" s="81">
        <f>IF(I251="PJ",J251,ROUND(J251*(1+Dashboard!$D$22),2))</f>
        <v>6360</v>
      </c>
      <c r="L251" s="77"/>
      <c r="M251" s="180"/>
      <c r="P251" s="109">
        <f>IF($BD251&gt;0,(((($BD251/Dashboard!$D$15)*(1+Precificação!$W$589)))+$P$26)*(1+Dashboard!$D$35),0)</f>
        <v>0</v>
      </c>
      <c r="Q251" s="109">
        <f>IF($BD251&gt;0,(((($BD251/Dashboard!$D$23)+(1+Precificação!$W$589))*(1+Q$28))+$P$26)*(1+Dashboard!$D$35),0)</f>
        <v>0</v>
      </c>
      <c r="R251" s="109">
        <f>IF($BD251&gt;0,(((($BD251/Dashboard!$D$23)+(1+Precificação!$W$589))*(1+R$28))+$P$26)*(1+Dashboard!$D$35),0)</f>
        <v>0</v>
      </c>
      <c r="S251" s="109">
        <f>IF($BD251&gt;0,(((($BD251/Dashboard!$D$23)+(1+Precificação!$W$589))*(1+S$28))+$P$26)*(1+Dashboard!$D$35),0)</f>
        <v>0</v>
      </c>
      <c r="U251" s="109">
        <f t="shared" si="158"/>
        <v>0</v>
      </c>
      <c r="V251" s="109">
        <f t="shared" si="159"/>
        <v>0</v>
      </c>
      <c r="W251" s="109">
        <f t="shared" si="160"/>
        <v>0</v>
      </c>
      <c r="X251" s="109">
        <f t="shared" si="161"/>
        <v>0</v>
      </c>
      <c r="AA251" s="109">
        <f>IF($BD251&gt;0,(((($BD251/Dashboard!$D$23)*(1+Precificação!$W$589)))+$AA$26)*(1+Dashboard!$D$35),0)</f>
        <v>0</v>
      </c>
      <c r="AB251" s="109">
        <f>IF($BD251&gt;0,(((($BD251/Dashboard!$D$23)*(1+Precificação!$W$589))*(1+AB$28))+$AA$26)*(1+Dashboard!$D$35),0)</f>
        <v>0</v>
      </c>
      <c r="AC251" s="109">
        <f>IF($BD251&gt;0,(((($BD251/Dashboard!$D$23)*(1+Precificação!$W$589))*(1+AC$28))+$AA$26)*(1+Dashboard!$D$35),0)</f>
        <v>0</v>
      </c>
      <c r="AD251" s="109">
        <f>IF($BD251&gt;0,(((($BD251/Dashboard!$D$23)*(1+Precificação!$W$589))*(1+AD$28))+$AA$26)*(1+Dashboard!$D$35),0)</f>
        <v>0</v>
      </c>
      <c r="AF251" s="109">
        <f t="shared" si="162"/>
        <v>0</v>
      </c>
      <c r="AG251" s="109">
        <f t="shared" si="163"/>
        <v>0</v>
      </c>
      <c r="AH251" s="109">
        <f t="shared" si="164"/>
        <v>0</v>
      </c>
      <c r="AI251" s="109">
        <f t="shared" si="165"/>
        <v>0</v>
      </c>
      <c r="AL251" s="109">
        <f>IF($BD251&gt;0,(((($BD251/Dashboard!$D$23)*(1+Precificação!$W$589)))+$AL$26)*(1+Dashboard!$D$35),0)</f>
        <v>0</v>
      </c>
      <c r="AM251" s="109">
        <f>IF($BD251&gt;0,(((($BD251/Dashboard!$D$23)*(1+Precificação!$W$589))*(1+AM$28))+$AA$26)*(1+Dashboard!$D$35),0)</f>
        <v>0</v>
      </c>
      <c r="AN251" s="109">
        <f>IF($BD251&gt;0,(((($BD251/Dashboard!$D$23)*(1+Precificação!$W$589))*(1+AN$28))+$AA$26)*(1+Dashboard!$D$35),0)</f>
        <v>0</v>
      </c>
      <c r="AO251" s="109">
        <f>IF($BD251&gt;0,(((($BD251/Dashboard!$D$23)*(1+Precificação!$W$589))*(1+AO$28))+$AA$26)*(1+Dashboard!$D$35),0)</f>
        <v>0</v>
      </c>
      <c r="AQ251" s="109">
        <f t="shared" si="166"/>
        <v>0</v>
      </c>
      <c r="AR251" s="109">
        <f t="shared" si="167"/>
        <v>0</v>
      </c>
      <c r="AS251" s="109">
        <f t="shared" si="168"/>
        <v>0</v>
      </c>
      <c r="AT251" s="109">
        <f t="shared" si="169"/>
        <v>0</v>
      </c>
      <c r="AW251" s="144">
        <f>VLOOKUP(B251,'Cronog. e Histog.'!$B$213:$BT$688,71,0)</f>
        <v>0</v>
      </c>
      <c r="AX251" s="144">
        <f>VLOOKUP(B251,'Cronog. e Histog.'!$B$213:$BU$688,72,0)</f>
        <v>0</v>
      </c>
      <c r="AY251" s="144">
        <f>$AW251*$AX251*Dashboard!$D$15</f>
        <v>0</v>
      </c>
      <c r="AZ251" s="144">
        <f>VLOOKUP(B251,Precificação!$B$96:$BM$533,54,0)</f>
        <v>0</v>
      </c>
      <c r="BA251" s="144">
        <f>VLOOKUP(B251,Precificação!$B$96:$BR$533,58,0)</f>
        <v>0</v>
      </c>
      <c r="BB251" s="144">
        <f>VLOOKUP(B251,Precificação!$B$96:$BW$533,62,0)</f>
        <v>0</v>
      </c>
      <c r="BC251" s="144">
        <f t="shared" si="170"/>
        <v>0</v>
      </c>
      <c r="BD251" s="109">
        <f>IFERROR(VLOOKUP(B251,Precificação!$B$96:$S$533,13,0),0)</f>
        <v>0</v>
      </c>
      <c r="BE251" s="109">
        <f>IFERROR(VLOOKUP(B251,Precificação!$B$96:$U$533,15,0)/(Precificação!$U$4+Precificação!$U$91),0)*Dashboard!$T$3</f>
        <v>0</v>
      </c>
    </row>
    <row r="252" spans="2:57" ht="12" customHeight="1" outlineLevel="1">
      <c r="B252" s="137" t="str">
        <f>Precificação!B236</f>
        <v>AN JR. ENG/ARQ - Equipe_01</v>
      </c>
      <c r="D252" s="512"/>
      <c r="E252" s="143" t="str">
        <f>IF('Cronog. e Histog.'!G365&gt;0,'Cronog. e Histog.'!G365,"")</f>
        <v>AN JR. ENG/ARQ</v>
      </c>
      <c r="G252" s="179">
        <f t="shared" si="157"/>
        <v>0</v>
      </c>
      <c r="H252" s="110">
        <f>IFERROR(INDEX('Base Salarial'!$D$5:$F$25,MATCH(E252,'Base Salarial'!$G$5:$G$25,0),MATCH(I252,'Base Salarial'!$D$4:$F$4,0)),"")</f>
        <v>4500</v>
      </c>
      <c r="I252" s="78" t="str">
        <f>IFERROR(INDEX(Tarefas!$BQ$29:$FK$29,MATCH(E252,Tarefas!$BQ$30:$FK$30,0)),"")</f>
        <v>Mensalista</v>
      </c>
      <c r="J252" s="81">
        <f>IF(I252="horista",H252*Dashboard!$D$15,IF(OR(I252="Mensalista",I252="PJ"),H252,))</f>
        <v>4500</v>
      </c>
      <c r="K252" s="81">
        <f>IF(I252="PJ",J252,ROUND(J252*(1+Dashboard!$D$22),2))</f>
        <v>4770</v>
      </c>
      <c r="L252" s="77"/>
      <c r="M252" s="180"/>
      <c r="P252" s="109">
        <f>IF($BD252&gt;0,(((($BD252/Dashboard!$D$15)*(1+Precificação!$W$589)))+$P$26)*(1+Dashboard!$D$35),0)</f>
        <v>0</v>
      </c>
      <c r="Q252" s="109">
        <f>IF($BD252&gt;0,(((($BD252/Dashboard!$D$23)+(1+Precificação!$W$589))*(1+Q$28))+$P$26)*(1+Dashboard!$D$35),0)</f>
        <v>0</v>
      </c>
      <c r="R252" s="109">
        <f>IF($BD252&gt;0,(((($BD252/Dashboard!$D$23)+(1+Precificação!$W$589))*(1+R$28))+$P$26)*(1+Dashboard!$D$35),0)</f>
        <v>0</v>
      </c>
      <c r="S252" s="109">
        <f>IF($BD252&gt;0,(((($BD252/Dashboard!$D$23)+(1+Precificação!$W$589))*(1+S$28))+$P$26)*(1+Dashboard!$D$35),0)</f>
        <v>0</v>
      </c>
      <c r="U252" s="109">
        <f t="shared" si="158"/>
        <v>0</v>
      </c>
      <c r="V252" s="109">
        <f t="shared" si="159"/>
        <v>0</v>
      </c>
      <c r="W252" s="109">
        <f t="shared" si="160"/>
        <v>0</v>
      </c>
      <c r="X252" s="109">
        <f t="shared" si="161"/>
        <v>0</v>
      </c>
      <c r="AA252" s="109">
        <f>IF($BD252&gt;0,(((($BD252/Dashboard!$D$23)*(1+Precificação!$W$589)))+$AA$26)*(1+Dashboard!$D$35),0)</f>
        <v>0</v>
      </c>
      <c r="AB252" s="109">
        <f>IF($BD252&gt;0,(((($BD252/Dashboard!$D$23)*(1+Precificação!$W$589))*(1+AB$28))+$AA$26)*(1+Dashboard!$D$35),0)</f>
        <v>0</v>
      </c>
      <c r="AC252" s="109">
        <f>IF($BD252&gt;0,(((($BD252/Dashboard!$D$23)*(1+Precificação!$W$589))*(1+AC$28))+$AA$26)*(1+Dashboard!$D$35),0)</f>
        <v>0</v>
      </c>
      <c r="AD252" s="109">
        <f>IF($BD252&gt;0,(((($BD252/Dashboard!$D$23)*(1+Precificação!$W$589))*(1+AD$28))+$AA$26)*(1+Dashboard!$D$35),0)</f>
        <v>0</v>
      </c>
      <c r="AF252" s="109">
        <f t="shared" si="162"/>
        <v>0</v>
      </c>
      <c r="AG252" s="109">
        <f t="shared" si="163"/>
        <v>0</v>
      </c>
      <c r="AH252" s="109">
        <f t="shared" si="164"/>
        <v>0</v>
      </c>
      <c r="AI252" s="109">
        <f t="shared" si="165"/>
        <v>0</v>
      </c>
      <c r="AL252" s="109">
        <f>IF($BD252&gt;0,(((($BD252/Dashboard!$D$23)*(1+Precificação!$W$589)))+$AL$26)*(1+Dashboard!$D$35),0)</f>
        <v>0</v>
      </c>
      <c r="AM252" s="109">
        <f>IF($BD252&gt;0,(((($BD252/Dashboard!$D$23)*(1+Precificação!$W$589))*(1+AM$28))+$AA$26)*(1+Dashboard!$D$35),0)</f>
        <v>0</v>
      </c>
      <c r="AN252" s="109">
        <f>IF($BD252&gt;0,(((($BD252/Dashboard!$D$23)*(1+Precificação!$W$589))*(1+AN$28))+$AA$26)*(1+Dashboard!$D$35),0)</f>
        <v>0</v>
      </c>
      <c r="AO252" s="109">
        <f>IF($BD252&gt;0,(((($BD252/Dashboard!$D$23)*(1+Precificação!$W$589))*(1+AO$28))+$AA$26)*(1+Dashboard!$D$35),0)</f>
        <v>0</v>
      </c>
      <c r="AQ252" s="109">
        <f t="shared" si="166"/>
        <v>0</v>
      </c>
      <c r="AR252" s="109">
        <f t="shared" si="167"/>
        <v>0</v>
      </c>
      <c r="AS252" s="109">
        <f t="shared" si="168"/>
        <v>0</v>
      </c>
      <c r="AT252" s="109">
        <f t="shared" si="169"/>
        <v>0</v>
      </c>
      <c r="AW252" s="144">
        <f>VLOOKUP(B252,'Cronog. e Histog.'!$B$213:$BT$688,71,0)</f>
        <v>0</v>
      </c>
      <c r="AX252" s="144">
        <f>VLOOKUP(B252,'Cronog. e Histog.'!$B$213:$BU$688,72,0)</f>
        <v>0</v>
      </c>
      <c r="AY252" s="144">
        <f>$AW252*$AX252*Dashboard!$D$15</f>
        <v>0</v>
      </c>
      <c r="AZ252" s="144">
        <f>VLOOKUP(B252,Precificação!$B$96:$BM$533,54,0)</f>
        <v>0</v>
      </c>
      <c r="BA252" s="144">
        <f>VLOOKUP(B252,Precificação!$B$96:$BR$533,58,0)</f>
        <v>0</v>
      </c>
      <c r="BB252" s="144">
        <f>VLOOKUP(B252,Precificação!$B$96:$BW$533,62,0)</f>
        <v>0</v>
      </c>
      <c r="BC252" s="144">
        <f t="shared" si="170"/>
        <v>0</v>
      </c>
      <c r="BD252" s="109">
        <f>IFERROR(VLOOKUP(B252,Precificação!$B$96:$S$533,13,0),0)</f>
        <v>0</v>
      </c>
      <c r="BE252" s="109">
        <f>IFERROR(VLOOKUP(B252,Precificação!$B$96:$U$533,15,0)/(Precificação!$U$4+Precificação!$U$91),0)*Dashboard!$T$3</f>
        <v>0</v>
      </c>
    </row>
    <row r="253" spans="2:57" ht="12" customHeight="1" outlineLevel="1">
      <c r="B253" s="137" t="str">
        <f>Precificação!B237</f>
        <v>AN SR. ADM/CRP - Equipe_01</v>
      </c>
      <c r="D253" s="512"/>
      <c r="E253" s="143" t="str">
        <f>IF('Cronog. e Histog.'!G366&gt;0,'Cronog. e Histog.'!G366,"")</f>
        <v>AN SR. ADM/CRP</v>
      </c>
      <c r="G253" s="179">
        <f t="shared" si="157"/>
        <v>0</v>
      </c>
      <c r="H253" s="110">
        <f>IFERROR(INDEX('Base Salarial'!$D$5:$F$25,MATCH(E253,'Base Salarial'!$G$5:$G$25,0),MATCH(I253,'Base Salarial'!$D$4:$F$4,0)),"")</f>
        <v>7000</v>
      </c>
      <c r="I253" s="78" t="str">
        <f>IFERROR(INDEX(Tarefas!$BQ$29:$FK$29,MATCH(E253,Tarefas!$BQ$30:$FK$30,0)),"")</f>
        <v>Mensalista</v>
      </c>
      <c r="J253" s="81">
        <f>IF(I253="horista",H253*Dashboard!$D$15,IF(OR(I253="Mensalista",I253="PJ"),H253,))</f>
        <v>7000</v>
      </c>
      <c r="K253" s="81">
        <f>IF(I253="PJ",J253,ROUND(J253*(1+Dashboard!$D$22),2))</f>
        <v>7420</v>
      </c>
      <c r="L253" s="77"/>
      <c r="M253" s="180"/>
      <c r="P253" s="109">
        <f>IF($BD253&gt;0,(((($BD253/Dashboard!$D$15)*(1+Precificação!$W$589)))+$P$26)*(1+Dashboard!$D$35),0)</f>
        <v>0</v>
      </c>
      <c r="Q253" s="109">
        <f>IF($BD253&gt;0,(((($BD253/Dashboard!$D$23)+(1+Precificação!$W$589))*(1+Q$28))+$P$26)*(1+Dashboard!$D$35),0)</f>
        <v>0</v>
      </c>
      <c r="R253" s="109">
        <f>IF($BD253&gt;0,(((($BD253/Dashboard!$D$23)+(1+Precificação!$W$589))*(1+R$28))+$P$26)*(1+Dashboard!$D$35),0)</f>
        <v>0</v>
      </c>
      <c r="S253" s="109">
        <f>IF($BD253&gt;0,(((($BD253/Dashboard!$D$23)+(1+Precificação!$W$589))*(1+S$28))+$P$26)*(1+Dashboard!$D$35),0)</f>
        <v>0</v>
      </c>
      <c r="U253" s="109">
        <f t="shared" si="158"/>
        <v>0</v>
      </c>
      <c r="V253" s="109">
        <f t="shared" si="159"/>
        <v>0</v>
      </c>
      <c r="W253" s="109">
        <f t="shared" si="160"/>
        <v>0</v>
      </c>
      <c r="X253" s="109">
        <f t="shared" si="161"/>
        <v>0</v>
      </c>
      <c r="AA253" s="109">
        <f>IF($BD253&gt;0,(((($BD253/Dashboard!$D$23)*(1+Precificação!$W$589)))+$AA$26)*(1+Dashboard!$D$35),0)</f>
        <v>0</v>
      </c>
      <c r="AB253" s="109">
        <f>IF($BD253&gt;0,(((($BD253/Dashboard!$D$23)*(1+Precificação!$W$589))*(1+AB$28))+$AA$26)*(1+Dashboard!$D$35),0)</f>
        <v>0</v>
      </c>
      <c r="AC253" s="109">
        <f>IF($BD253&gt;0,(((($BD253/Dashboard!$D$23)*(1+Precificação!$W$589))*(1+AC$28))+$AA$26)*(1+Dashboard!$D$35),0)</f>
        <v>0</v>
      </c>
      <c r="AD253" s="109">
        <f>IF($BD253&gt;0,(((($BD253/Dashboard!$D$23)*(1+Precificação!$W$589))*(1+AD$28))+$AA$26)*(1+Dashboard!$D$35),0)</f>
        <v>0</v>
      </c>
      <c r="AF253" s="109">
        <f t="shared" si="162"/>
        <v>0</v>
      </c>
      <c r="AG253" s="109">
        <f t="shared" si="163"/>
        <v>0</v>
      </c>
      <c r="AH253" s="109">
        <f t="shared" si="164"/>
        <v>0</v>
      </c>
      <c r="AI253" s="109">
        <f t="shared" si="165"/>
        <v>0</v>
      </c>
      <c r="AL253" s="109">
        <f>IF($BD253&gt;0,(((($BD253/Dashboard!$D$23)*(1+Precificação!$W$589)))+$AL$26)*(1+Dashboard!$D$35),0)</f>
        <v>0</v>
      </c>
      <c r="AM253" s="109">
        <f>IF($BD253&gt;0,(((($BD253/Dashboard!$D$23)*(1+Precificação!$W$589))*(1+AM$28))+$AA$26)*(1+Dashboard!$D$35),0)</f>
        <v>0</v>
      </c>
      <c r="AN253" s="109">
        <f>IF($BD253&gt;0,(((($BD253/Dashboard!$D$23)*(1+Precificação!$W$589))*(1+AN$28))+$AA$26)*(1+Dashboard!$D$35),0)</f>
        <v>0</v>
      </c>
      <c r="AO253" s="109">
        <f>IF($BD253&gt;0,(((($BD253/Dashboard!$D$23)*(1+Precificação!$W$589))*(1+AO$28))+$AA$26)*(1+Dashboard!$D$35),0)</f>
        <v>0</v>
      </c>
      <c r="AQ253" s="109">
        <f t="shared" si="166"/>
        <v>0</v>
      </c>
      <c r="AR253" s="109">
        <f t="shared" si="167"/>
        <v>0</v>
      </c>
      <c r="AS253" s="109">
        <f t="shared" si="168"/>
        <v>0</v>
      </c>
      <c r="AT253" s="109">
        <f t="shared" si="169"/>
        <v>0</v>
      </c>
      <c r="AW253" s="144">
        <f>VLOOKUP(B253,'Cronog. e Histog.'!$B$213:$BT$688,71,0)</f>
        <v>0</v>
      </c>
      <c r="AX253" s="144">
        <f>VLOOKUP(B253,'Cronog. e Histog.'!$B$213:$BU$688,72,0)</f>
        <v>0</v>
      </c>
      <c r="AY253" s="144">
        <f>$AW253*$AX253*Dashboard!$D$15</f>
        <v>0</v>
      </c>
      <c r="AZ253" s="144">
        <f>VLOOKUP(B253,Precificação!$B$96:$BM$533,54,0)</f>
        <v>0</v>
      </c>
      <c r="BA253" s="144">
        <f>VLOOKUP(B253,Precificação!$B$96:$BR$533,58,0)</f>
        <v>0</v>
      </c>
      <c r="BB253" s="144">
        <f>VLOOKUP(B253,Precificação!$B$96:$BW$533,62,0)</f>
        <v>0</v>
      </c>
      <c r="BC253" s="144">
        <f t="shared" si="170"/>
        <v>0</v>
      </c>
      <c r="BD253" s="109">
        <f>IFERROR(VLOOKUP(B253,Precificação!$B$96:$S$533,13,0),0)</f>
        <v>0</v>
      </c>
      <c r="BE253" s="109">
        <f>IFERROR(VLOOKUP(B253,Precificação!$B$96:$U$533,15,0)/(Precificação!$U$4+Precificação!$U$91),0)*Dashboard!$T$3</f>
        <v>0</v>
      </c>
    </row>
    <row r="254" spans="2:57" ht="12" customHeight="1" outlineLevel="1">
      <c r="B254" s="137" t="str">
        <f>Precificação!B238</f>
        <v>AN PL. ADM/CRP - Equipe_01</v>
      </c>
      <c r="D254" s="512"/>
      <c r="E254" s="143" t="str">
        <f>IF('Cronog. e Histog.'!G367&gt;0,'Cronog. e Histog.'!G367,"")</f>
        <v>AN PL. ADM/CRP</v>
      </c>
      <c r="G254" s="179">
        <f t="shared" si="157"/>
        <v>0</v>
      </c>
      <c r="H254" s="110">
        <f>IFERROR(INDEX('Base Salarial'!$D$5:$F$25,MATCH(E254,'Base Salarial'!$G$5:$G$25,0),MATCH(I254,'Base Salarial'!$D$4:$F$4,0)),"")</f>
        <v>5000</v>
      </c>
      <c r="I254" s="78" t="str">
        <f>IFERROR(INDEX(Tarefas!$BQ$29:$FK$29,MATCH(E254,Tarefas!$BQ$30:$FK$30,0)),"")</f>
        <v>Mensalista</v>
      </c>
      <c r="J254" s="81">
        <f>IF(I254="horista",H254*Dashboard!$D$15,IF(OR(I254="Mensalista",I254="PJ"),H254,))</f>
        <v>5000</v>
      </c>
      <c r="K254" s="81">
        <f>IF(I254="PJ",J254,ROUND(J254*(1+Dashboard!$D$22),2))</f>
        <v>5300</v>
      </c>
      <c r="L254" s="77"/>
      <c r="M254" s="180"/>
      <c r="P254" s="109">
        <f>IF($BD254&gt;0,(((($BD254/Dashboard!$D$15)*(1+Precificação!$W$589)))+$P$26)*(1+Dashboard!$D$35),0)</f>
        <v>0</v>
      </c>
      <c r="Q254" s="109">
        <f>IF($BD254&gt;0,(((($BD254/Dashboard!$D$23)+(1+Precificação!$W$589))*(1+Q$28))+$P$26)*(1+Dashboard!$D$35),0)</f>
        <v>0</v>
      </c>
      <c r="R254" s="109">
        <f>IF($BD254&gt;0,(((($BD254/Dashboard!$D$23)+(1+Precificação!$W$589))*(1+R$28))+$P$26)*(1+Dashboard!$D$35),0)</f>
        <v>0</v>
      </c>
      <c r="S254" s="109">
        <f>IF($BD254&gt;0,(((($BD254/Dashboard!$D$23)+(1+Precificação!$W$589))*(1+S$28))+$P$26)*(1+Dashboard!$D$35),0)</f>
        <v>0</v>
      </c>
      <c r="U254" s="109">
        <f t="shared" si="158"/>
        <v>0</v>
      </c>
      <c r="V254" s="109">
        <f t="shared" si="159"/>
        <v>0</v>
      </c>
      <c r="W254" s="109">
        <f t="shared" si="160"/>
        <v>0</v>
      </c>
      <c r="X254" s="109">
        <f t="shared" si="161"/>
        <v>0</v>
      </c>
      <c r="AA254" s="109">
        <f>IF($BD254&gt;0,(((($BD254/Dashboard!$D$23)*(1+Precificação!$W$589)))+$AA$26)*(1+Dashboard!$D$35),0)</f>
        <v>0</v>
      </c>
      <c r="AB254" s="109">
        <f>IF($BD254&gt;0,(((($BD254/Dashboard!$D$23)*(1+Precificação!$W$589))*(1+AB$28))+$AA$26)*(1+Dashboard!$D$35),0)</f>
        <v>0</v>
      </c>
      <c r="AC254" s="109">
        <f>IF($BD254&gt;0,(((($BD254/Dashboard!$D$23)*(1+Precificação!$W$589))*(1+AC$28))+$AA$26)*(1+Dashboard!$D$35),0)</f>
        <v>0</v>
      </c>
      <c r="AD254" s="109">
        <f>IF($BD254&gt;0,(((($BD254/Dashboard!$D$23)*(1+Precificação!$W$589))*(1+AD$28))+$AA$26)*(1+Dashboard!$D$35),0)</f>
        <v>0</v>
      </c>
      <c r="AF254" s="109">
        <f t="shared" si="162"/>
        <v>0</v>
      </c>
      <c r="AG254" s="109">
        <f t="shared" si="163"/>
        <v>0</v>
      </c>
      <c r="AH254" s="109">
        <f t="shared" si="164"/>
        <v>0</v>
      </c>
      <c r="AI254" s="109">
        <f t="shared" si="165"/>
        <v>0</v>
      </c>
      <c r="AL254" s="109">
        <f>IF($BD254&gt;0,(((($BD254/Dashboard!$D$23)*(1+Precificação!$W$589)))+$AL$26)*(1+Dashboard!$D$35),0)</f>
        <v>0</v>
      </c>
      <c r="AM254" s="109">
        <f>IF($BD254&gt;0,(((($BD254/Dashboard!$D$23)*(1+Precificação!$W$589))*(1+AM$28))+$AA$26)*(1+Dashboard!$D$35),0)</f>
        <v>0</v>
      </c>
      <c r="AN254" s="109">
        <f>IF($BD254&gt;0,(((($BD254/Dashboard!$D$23)*(1+Precificação!$W$589))*(1+AN$28))+$AA$26)*(1+Dashboard!$D$35),0)</f>
        <v>0</v>
      </c>
      <c r="AO254" s="109">
        <f>IF($BD254&gt;0,(((($BD254/Dashboard!$D$23)*(1+Precificação!$W$589))*(1+AO$28))+$AA$26)*(1+Dashboard!$D$35),0)</f>
        <v>0</v>
      </c>
      <c r="AQ254" s="109">
        <f t="shared" si="166"/>
        <v>0</v>
      </c>
      <c r="AR254" s="109">
        <f t="shared" si="167"/>
        <v>0</v>
      </c>
      <c r="AS254" s="109">
        <f t="shared" si="168"/>
        <v>0</v>
      </c>
      <c r="AT254" s="109">
        <f t="shared" si="169"/>
        <v>0</v>
      </c>
      <c r="AW254" s="144">
        <f>VLOOKUP(B254,'Cronog. e Histog.'!$B$213:$BT$688,71,0)</f>
        <v>0</v>
      </c>
      <c r="AX254" s="144">
        <f>VLOOKUP(B254,'Cronog. e Histog.'!$B$213:$BU$688,72,0)</f>
        <v>0</v>
      </c>
      <c r="AY254" s="144">
        <f>$AW254*$AX254*Dashboard!$D$15</f>
        <v>0</v>
      </c>
      <c r="AZ254" s="144">
        <f>VLOOKUP(B254,Precificação!$B$96:$BM$533,54,0)</f>
        <v>0</v>
      </c>
      <c r="BA254" s="144">
        <f>VLOOKUP(B254,Precificação!$B$96:$BR$533,58,0)</f>
        <v>0</v>
      </c>
      <c r="BB254" s="144">
        <f>VLOOKUP(B254,Precificação!$B$96:$BW$533,62,0)</f>
        <v>0</v>
      </c>
      <c r="BC254" s="144">
        <f t="shared" si="170"/>
        <v>0</v>
      </c>
      <c r="BD254" s="109">
        <f>IFERROR(VLOOKUP(B254,Precificação!$B$96:$S$533,13,0),0)</f>
        <v>0</v>
      </c>
      <c r="BE254" s="109">
        <f>IFERROR(VLOOKUP(B254,Precificação!$B$96:$U$533,15,0)/(Precificação!$U$4+Precificação!$U$91),0)*Dashboard!$T$3</f>
        <v>0</v>
      </c>
    </row>
    <row r="255" spans="2:57" ht="12" customHeight="1" outlineLevel="1">
      <c r="B255" s="137" t="str">
        <f>Precificação!B239</f>
        <v>AN JR. ADM/CRP - Equipe_01</v>
      </c>
      <c r="D255" s="512"/>
      <c r="E255" s="143" t="str">
        <f>IF('Cronog. e Histog.'!G368&gt;0,'Cronog. e Histog.'!G368,"")</f>
        <v>AN JR. ADM/CRP</v>
      </c>
      <c r="G255" s="179">
        <f t="shared" si="157"/>
        <v>0</v>
      </c>
      <c r="H255" s="110">
        <f>IFERROR(INDEX('Base Salarial'!$D$5:$F$25,MATCH(E255,'Base Salarial'!$G$5:$G$25,0),MATCH(I255,'Base Salarial'!$D$4:$F$4,0)),"")</f>
        <v>3500</v>
      </c>
      <c r="I255" s="78" t="str">
        <f>IFERROR(INDEX(Tarefas!$BQ$29:$FK$29,MATCH(E255,Tarefas!$BQ$30:$FK$30,0)),"")</f>
        <v>Mensalista</v>
      </c>
      <c r="J255" s="81">
        <f>IF(I255="horista",H255*Dashboard!$D$15,IF(OR(I255="Mensalista",I255="PJ"),H255,))</f>
        <v>3500</v>
      </c>
      <c r="K255" s="81">
        <f>IF(I255="PJ",J255,ROUND(J255*(1+Dashboard!$D$22),2))</f>
        <v>3710</v>
      </c>
      <c r="L255" s="77"/>
      <c r="M255" s="180"/>
      <c r="P255" s="109">
        <f>IF($BD255&gt;0,(((($BD255/Dashboard!$D$15)*(1+Precificação!$W$589)))+$P$26)*(1+Dashboard!$D$35),0)</f>
        <v>0</v>
      </c>
      <c r="Q255" s="109">
        <f>IF($BD255&gt;0,(((($BD255/Dashboard!$D$23)+(1+Precificação!$W$589))*(1+Q$28))+$P$26)*(1+Dashboard!$D$35),0)</f>
        <v>0</v>
      </c>
      <c r="R255" s="109">
        <f>IF($BD255&gt;0,(((($BD255/Dashboard!$D$23)+(1+Precificação!$W$589))*(1+R$28))+$P$26)*(1+Dashboard!$D$35),0)</f>
        <v>0</v>
      </c>
      <c r="S255" s="109">
        <f>IF($BD255&gt;0,(((($BD255/Dashboard!$D$23)+(1+Precificação!$W$589))*(1+S$28))+$P$26)*(1+Dashboard!$D$35),0)</f>
        <v>0</v>
      </c>
      <c r="U255" s="109">
        <f t="shared" si="158"/>
        <v>0</v>
      </c>
      <c r="V255" s="109">
        <f t="shared" si="159"/>
        <v>0</v>
      </c>
      <c r="W255" s="109">
        <f t="shared" si="160"/>
        <v>0</v>
      </c>
      <c r="X255" s="109">
        <f t="shared" si="161"/>
        <v>0</v>
      </c>
      <c r="AA255" s="109">
        <f>IF($BD255&gt;0,(((($BD255/Dashboard!$D$23)*(1+Precificação!$W$589)))+$AA$26)*(1+Dashboard!$D$35),0)</f>
        <v>0</v>
      </c>
      <c r="AB255" s="109">
        <f>IF($BD255&gt;0,(((($BD255/Dashboard!$D$23)*(1+Precificação!$W$589))*(1+AB$28))+$AA$26)*(1+Dashboard!$D$35),0)</f>
        <v>0</v>
      </c>
      <c r="AC255" s="109">
        <f>IF($BD255&gt;0,(((($BD255/Dashboard!$D$23)*(1+Precificação!$W$589))*(1+AC$28))+$AA$26)*(1+Dashboard!$D$35),0)</f>
        <v>0</v>
      </c>
      <c r="AD255" s="109">
        <f>IF($BD255&gt;0,(((($BD255/Dashboard!$D$23)*(1+Precificação!$W$589))*(1+AD$28))+$AA$26)*(1+Dashboard!$D$35),0)</f>
        <v>0</v>
      </c>
      <c r="AF255" s="109">
        <f t="shared" si="162"/>
        <v>0</v>
      </c>
      <c r="AG255" s="109">
        <f t="shared" si="163"/>
        <v>0</v>
      </c>
      <c r="AH255" s="109">
        <f t="shared" si="164"/>
        <v>0</v>
      </c>
      <c r="AI255" s="109">
        <f t="shared" si="165"/>
        <v>0</v>
      </c>
      <c r="AL255" s="109">
        <f>IF($BD255&gt;0,(((($BD255/Dashboard!$D$23)*(1+Precificação!$W$589)))+$AL$26)*(1+Dashboard!$D$35),0)</f>
        <v>0</v>
      </c>
      <c r="AM255" s="109">
        <f>IF($BD255&gt;0,(((($BD255/Dashboard!$D$23)*(1+Precificação!$W$589))*(1+AM$28))+$AA$26)*(1+Dashboard!$D$35),0)</f>
        <v>0</v>
      </c>
      <c r="AN255" s="109">
        <f>IF($BD255&gt;0,(((($BD255/Dashboard!$D$23)*(1+Precificação!$W$589))*(1+AN$28))+$AA$26)*(1+Dashboard!$D$35),0)</f>
        <v>0</v>
      </c>
      <c r="AO255" s="109">
        <f>IF($BD255&gt;0,(((($BD255/Dashboard!$D$23)*(1+Precificação!$W$589))*(1+AO$28))+$AA$26)*(1+Dashboard!$D$35),0)</f>
        <v>0</v>
      </c>
      <c r="AQ255" s="109">
        <f t="shared" si="166"/>
        <v>0</v>
      </c>
      <c r="AR255" s="109">
        <f t="shared" si="167"/>
        <v>0</v>
      </c>
      <c r="AS255" s="109">
        <f t="shared" si="168"/>
        <v>0</v>
      </c>
      <c r="AT255" s="109">
        <f t="shared" si="169"/>
        <v>0</v>
      </c>
      <c r="AW255" s="144">
        <f>VLOOKUP(B255,'Cronog. e Histog.'!$B$213:$BT$688,71,0)</f>
        <v>0</v>
      </c>
      <c r="AX255" s="144">
        <f>VLOOKUP(B255,'Cronog. e Histog.'!$B$213:$BU$688,72,0)</f>
        <v>0</v>
      </c>
      <c r="AY255" s="144">
        <f>$AW255*$AX255*Dashboard!$D$15</f>
        <v>0</v>
      </c>
      <c r="AZ255" s="144">
        <f>VLOOKUP(B255,Precificação!$B$96:$BM$533,54,0)</f>
        <v>0</v>
      </c>
      <c r="BA255" s="144">
        <f>VLOOKUP(B255,Precificação!$B$96:$BR$533,58,0)</f>
        <v>0</v>
      </c>
      <c r="BB255" s="144">
        <f>VLOOKUP(B255,Precificação!$B$96:$BW$533,62,0)</f>
        <v>0</v>
      </c>
      <c r="BC255" s="144">
        <f t="shared" si="170"/>
        <v>0</v>
      </c>
      <c r="BD255" s="109">
        <f>IFERROR(VLOOKUP(B255,Precificação!$B$96:$S$533,13,0),0)</f>
        <v>0</v>
      </c>
      <c r="BE255" s="109">
        <f>IFERROR(VLOOKUP(B255,Precificação!$B$96:$U$533,15,0)/(Precificação!$U$4+Precificação!$U$91),0)*Dashboard!$T$3</f>
        <v>0</v>
      </c>
    </row>
    <row r="256" spans="2:57" ht="12" customHeight="1" outlineLevel="1">
      <c r="B256" s="137" t="str">
        <f>Precificação!B240</f>
        <v>TEC III - Equipe_01</v>
      </c>
      <c r="D256" s="512"/>
      <c r="E256" s="143" t="str">
        <f>IF('Cronog. e Histog.'!G369&gt;0,'Cronog. e Histog.'!G369,"")</f>
        <v>TEC III</v>
      </c>
      <c r="G256" s="179">
        <f t="shared" si="157"/>
        <v>0</v>
      </c>
      <c r="H256" s="110">
        <f>IFERROR(INDEX('Base Salarial'!$D$5:$F$25,MATCH(E256,'Base Salarial'!$G$5:$G$25,0),MATCH(I256,'Base Salarial'!$D$4:$F$4,0)),"")</f>
        <v>6000</v>
      </c>
      <c r="I256" s="78" t="str">
        <f>IFERROR(INDEX(Tarefas!$BQ$29:$FK$29,MATCH(E256,Tarefas!$BQ$30:$FK$30,0)),"")</f>
        <v>Mensalista</v>
      </c>
      <c r="J256" s="81">
        <f>IF(I256="horista",H256*Dashboard!$D$15,IF(OR(I256="Mensalista",I256="PJ"),H256,))</f>
        <v>6000</v>
      </c>
      <c r="K256" s="81">
        <f>IF(I256="PJ",J256,ROUND(J256*(1+Dashboard!$D$22),2))</f>
        <v>6360</v>
      </c>
      <c r="L256" s="77"/>
      <c r="M256" s="180"/>
      <c r="P256" s="109">
        <f>IF($BD256&gt;0,(((($BD256/Dashboard!$D$15)*(1+Precificação!$W$589)))+$P$26)*(1+Dashboard!$D$35),0)</f>
        <v>0</v>
      </c>
      <c r="Q256" s="109">
        <f>IF($BD256&gt;0,(((($BD256/Dashboard!$D$23)+(1+Precificação!$W$589))*(1+Q$28))+$P$26)*(1+Dashboard!$D$35),0)</f>
        <v>0</v>
      </c>
      <c r="R256" s="109">
        <f>IF($BD256&gt;0,(((($BD256/Dashboard!$D$23)+(1+Precificação!$W$589))*(1+R$28))+$P$26)*(1+Dashboard!$D$35),0)</f>
        <v>0</v>
      </c>
      <c r="S256" s="109">
        <f>IF($BD256&gt;0,(((($BD256/Dashboard!$D$23)+(1+Precificação!$W$589))*(1+S$28))+$P$26)*(1+Dashboard!$D$35),0)</f>
        <v>0</v>
      </c>
      <c r="U256" s="109">
        <f t="shared" si="158"/>
        <v>0</v>
      </c>
      <c r="V256" s="109">
        <f t="shared" si="159"/>
        <v>0</v>
      </c>
      <c r="W256" s="109">
        <f t="shared" si="160"/>
        <v>0</v>
      </c>
      <c r="X256" s="109">
        <f t="shared" si="161"/>
        <v>0</v>
      </c>
      <c r="AA256" s="109">
        <f>IF($BD256&gt;0,(((($BD256/Dashboard!$D$23)*(1+Precificação!$W$589)))+$AA$26)*(1+Dashboard!$D$35),0)</f>
        <v>0</v>
      </c>
      <c r="AB256" s="109">
        <f>IF($BD256&gt;0,(((($BD256/Dashboard!$D$23)*(1+Precificação!$W$589))*(1+AB$28))+$AA$26)*(1+Dashboard!$D$35),0)</f>
        <v>0</v>
      </c>
      <c r="AC256" s="109">
        <f>IF($BD256&gt;0,(((($BD256/Dashboard!$D$23)*(1+Precificação!$W$589))*(1+AC$28))+$AA$26)*(1+Dashboard!$D$35),0)</f>
        <v>0</v>
      </c>
      <c r="AD256" s="109">
        <f>IF($BD256&gt;0,(((($BD256/Dashboard!$D$23)*(1+Precificação!$W$589))*(1+AD$28))+$AA$26)*(1+Dashboard!$D$35),0)</f>
        <v>0</v>
      </c>
      <c r="AF256" s="109">
        <f t="shared" si="162"/>
        <v>0</v>
      </c>
      <c r="AG256" s="109">
        <f t="shared" si="163"/>
        <v>0</v>
      </c>
      <c r="AH256" s="109">
        <f t="shared" si="164"/>
        <v>0</v>
      </c>
      <c r="AI256" s="109">
        <f t="shared" si="165"/>
        <v>0</v>
      </c>
      <c r="AL256" s="109">
        <f>IF($BD256&gt;0,(((($BD256/Dashboard!$D$23)*(1+Precificação!$W$589)))+$AL$26)*(1+Dashboard!$D$35),0)</f>
        <v>0</v>
      </c>
      <c r="AM256" s="109">
        <f>IF($BD256&gt;0,(((($BD256/Dashboard!$D$23)*(1+Precificação!$W$589))*(1+AM$28))+$AA$26)*(1+Dashboard!$D$35),0)</f>
        <v>0</v>
      </c>
      <c r="AN256" s="109">
        <f>IF($BD256&gt;0,(((($BD256/Dashboard!$D$23)*(1+Precificação!$W$589))*(1+AN$28))+$AA$26)*(1+Dashboard!$D$35),0)</f>
        <v>0</v>
      </c>
      <c r="AO256" s="109">
        <f>IF($BD256&gt;0,(((($BD256/Dashboard!$D$23)*(1+Precificação!$W$589))*(1+AO$28))+$AA$26)*(1+Dashboard!$D$35),0)</f>
        <v>0</v>
      </c>
      <c r="AQ256" s="109">
        <f t="shared" si="166"/>
        <v>0</v>
      </c>
      <c r="AR256" s="109">
        <f t="shared" si="167"/>
        <v>0</v>
      </c>
      <c r="AS256" s="109">
        <f t="shared" si="168"/>
        <v>0</v>
      </c>
      <c r="AT256" s="109">
        <f t="shared" si="169"/>
        <v>0</v>
      </c>
      <c r="AW256" s="144">
        <f>VLOOKUP(B256,'Cronog. e Histog.'!$B$213:$BT$688,71,0)</f>
        <v>0</v>
      </c>
      <c r="AX256" s="144">
        <f>VLOOKUP(B256,'Cronog. e Histog.'!$B$213:$BU$688,72,0)</f>
        <v>0</v>
      </c>
      <c r="AY256" s="144">
        <f>$AW256*$AX256*Dashboard!$D$15</f>
        <v>0</v>
      </c>
      <c r="AZ256" s="144">
        <f>VLOOKUP(B256,Precificação!$B$96:$BM$533,54,0)</f>
        <v>0</v>
      </c>
      <c r="BA256" s="144">
        <f>VLOOKUP(B256,Precificação!$B$96:$BR$533,58,0)</f>
        <v>0</v>
      </c>
      <c r="BB256" s="144">
        <f>VLOOKUP(B256,Precificação!$B$96:$BW$533,62,0)</f>
        <v>0</v>
      </c>
      <c r="BC256" s="144">
        <f t="shared" si="170"/>
        <v>0</v>
      </c>
      <c r="BD256" s="109">
        <f>IFERROR(VLOOKUP(B256,Precificação!$B$96:$S$533,13,0),0)</f>
        <v>0</v>
      </c>
      <c r="BE256" s="109">
        <f>IFERROR(VLOOKUP(B256,Precificação!$B$96:$U$533,15,0)/(Precificação!$U$4+Precificação!$U$91),0)*Dashboard!$T$3</f>
        <v>0</v>
      </c>
    </row>
    <row r="257" spans="2:57" ht="12" customHeight="1" outlineLevel="1">
      <c r="B257" s="137" t="str">
        <f>Precificação!B241</f>
        <v>TEC II - Equipe_01</v>
      </c>
      <c r="D257" s="512"/>
      <c r="E257" s="143" t="str">
        <f>IF('Cronog. e Histog.'!G370&gt;0,'Cronog. e Histog.'!G370,"")</f>
        <v>TEC II</v>
      </c>
      <c r="G257" s="179">
        <f t="shared" si="157"/>
        <v>0</v>
      </c>
      <c r="H257" s="110">
        <f>IFERROR(INDEX('Base Salarial'!$D$5:$F$25,MATCH(E257,'Base Salarial'!$G$5:$G$25,0),MATCH(I257,'Base Salarial'!$D$4:$F$4,0)),"")</f>
        <v>4500</v>
      </c>
      <c r="I257" s="78" t="str">
        <f>IFERROR(INDEX(Tarefas!$BQ$29:$FK$29,MATCH(E257,Tarefas!$BQ$30:$FK$30,0)),"")</f>
        <v>Mensalista</v>
      </c>
      <c r="J257" s="81">
        <f>IF(I257="horista",H257*Dashboard!$D$15,IF(OR(I257="Mensalista",I257="PJ"),H257,))</f>
        <v>4500</v>
      </c>
      <c r="K257" s="81">
        <f>IF(I257="PJ",J257,ROUND(J257*(1+Dashboard!$D$22),2))</f>
        <v>4770</v>
      </c>
      <c r="L257" s="77"/>
      <c r="M257" s="180"/>
      <c r="P257" s="109">
        <f>IF($BD257&gt;0,(((($BD257/Dashboard!$D$15)*(1+Precificação!$W$589)))+$P$26)*(1+Dashboard!$D$35),0)</f>
        <v>0</v>
      </c>
      <c r="Q257" s="109">
        <f>IF($BD257&gt;0,(((($BD257/Dashboard!$D$23)+(1+Precificação!$W$589))*(1+Q$28))+$P$26)*(1+Dashboard!$D$35),0)</f>
        <v>0</v>
      </c>
      <c r="R257" s="109">
        <f>IF($BD257&gt;0,(((($BD257/Dashboard!$D$23)+(1+Precificação!$W$589))*(1+R$28))+$P$26)*(1+Dashboard!$D$35),0)</f>
        <v>0</v>
      </c>
      <c r="S257" s="109">
        <f>IF($BD257&gt;0,(((($BD257/Dashboard!$D$23)+(1+Precificação!$W$589))*(1+S$28))+$P$26)*(1+Dashboard!$D$35),0)</f>
        <v>0</v>
      </c>
      <c r="U257" s="109">
        <f t="shared" si="158"/>
        <v>0</v>
      </c>
      <c r="V257" s="109">
        <f t="shared" si="159"/>
        <v>0</v>
      </c>
      <c r="W257" s="109">
        <f t="shared" si="160"/>
        <v>0</v>
      </c>
      <c r="X257" s="109">
        <f t="shared" si="161"/>
        <v>0</v>
      </c>
      <c r="AA257" s="109">
        <f>IF($BD257&gt;0,(((($BD257/Dashboard!$D$23)*(1+Precificação!$W$589)))+$AA$26)*(1+Dashboard!$D$35),0)</f>
        <v>0</v>
      </c>
      <c r="AB257" s="109">
        <f>IF($BD257&gt;0,(((($BD257/Dashboard!$D$23)*(1+Precificação!$W$589))*(1+AB$28))+$AA$26)*(1+Dashboard!$D$35),0)</f>
        <v>0</v>
      </c>
      <c r="AC257" s="109">
        <f>IF($BD257&gt;0,(((($BD257/Dashboard!$D$23)*(1+Precificação!$W$589))*(1+AC$28))+$AA$26)*(1+Dashboard!$D$35),0)</f>
        <v>0</v>
      </c>
      <c r="AD257" s="109">
        <f>IF($BD257&gt;0,(((($BD257/Dashboard!$D$23)*(1+Precificação!$W$589))*(1+AD$28))+$AA$26)*(1+Dashboard!$D$35),0)</f>
        <v>0</v>
      </c>
      <c r="AF257" s="109">
        <f t="shared" si="162"/>
        <v>0</v>
      </c>
      <c r="AG257" s="109">
        <f t="shared" si="163"/>
        <v>0</v>
      </c>
      <c r="AH257" s="109">
        <f t="shared" si="164"/>
        <v>0</v>
      </c>
      <c r="AI257" s="109">
        <f t="shared" si="165"/>
        <v>0</v>
      </c>
      <c r="AL257" s="109">
        <f>IF($BD257&gt;0,(((($BD257/Dashboard!$D$23)*(1+Precificação!$W$589)))+$AL$26)*(1+Dashboard!$D$35),0)</f>
        <v>0</v>
      </c>
      <c r="AM257" s="109">
        <f>IF($BD257&gt;0,(((($BD257/Dashboard!$D$23)*(1+Precificação!$W$589))*(1+AM$28))+$AA$26)*(1+Dashboard!$D$35),0)</f>
        <v>0</v>
      </c>
      <c r="AN257" s="109">
        <f>IF($BD257&gt;0,(((($BD257/Dashboard!$D$23)*(1+Precificação!$W$589))*(1+AN$28))+$AA$26)*(1+Dashboard!$D$35),0)</f>
        <v>0</v>
      </c>
      <c r="AO257" s="109">
        <f>IF($BD257&gt;0,(((($BD257/Dashboard!$D$23)*(1+Precificação!$W$589))*(1+AO$28))+$AA$26)*(1+Dashboard!$D$35),0)</f>
        <v>0</v>
      </c>
      <c r="AQ257" s="109">
        <f t="shared" si="166"/>
        <v>0</v>
      </c>
      <c r="AR257" s="109">
        <f t="shared" si="167"/>
        <v>0</v>
      </c>
      <c r="AS257" s="109">
        <f t="shared" si="168"/>
        <v>0</v>
      </c>
      <c r="AT257" s="109">
        <f t="shared" si="169"/>
        <v>0</v>
      </c>
      <c r="AW257" s="144">
        <f>VLOOKUP(B257,'Cronog. e Histog.'!$B$213:$BT$688,71,0)</f>
        <v>0</v>
      </c>
      <c r="AX257" s="144">
        <f>VLOOKUP(B257,'Cronog. e Histog.'!$B$213:$BU$688,72,0)</f>
        <v>0</v>
      </c>
      <c r="AY257" s="144">
        <f>$AW257*$AX257*Dashboard!$D$15</f>
        <v>0</v>
      </c>
      <c r="AZ257" s="144">
        <f>VLOOKUP(B257,Precificação!$B$96:$BM$533,54,0)</f>
        <v>0</v>
      </c>
      <c r="BA257" s="144">
        <f>VLOOKUP(B257,Precificação!$B$96:$BR$533,58,0)</f>
        <v>0</v>
      </c>
      <c r="BB257" s="144">
        <f>VLOOKUP(B257,Precificação!$B$96:$BW$533,62,0)</f>
        <v>0</v>
      </c>
      <c r="BC257" s="144">
        <f t="shared" si="170"/>
        <v>0</v>
      </c>
      <c r="BD257" s="109">
        <f>IFERROR(VLOOKUP(B257,Precificação!$B$96:$S$533,13,0),0)</f>
        <v>0</v>
      </c>
      <c r="BE257" s="109">
        <f>IFERROR(VLOOKUP(B257,Precificação!$B$96:$U$533,15,0)/(Precificação!$U$4+Precificação!$U$91),0)*Dashboard!$T$3</f>
        <v>0</v>
      </c>
    </row>
    <row r="258" spans="2:57" ht="12" customHeight="1" outlineLevel="1">
      <c r="B258" s="137" t="str">
        <f>Precificação!B242</f>
        <v>TEC I - Equipe_01</v>
      </c>
      <c r="D258" s="512"/>
      <c r="E258" s="143" t="str">
        <f>IF('Cronog. e Histog.'!G371&gt;0,'Cronog. e Histog.'!G371,"")</f>
        <v>TEC I</v>
      </c>
      <c r="G258" s="179">
        <f t="shared" si="157"/>
        <v>0</v>
      </c>
      <c r="H258" s="110">
        <f>IFERROR(INDEX('Base Salarial'!$D$5:$F$25,MATCH(E258,'Base Salarial'!$G$5:$G$25,0),MATCH(I258,'Base Salarial'!$D$4:$F$4,0)),"")</f>
        <v>3000</v>
      </c>
      <c r="I258" s="78" t="str">
        <f>IFERROR(INDEX(Tarefas!$BQ$29:$FK$29,MATCH(E258,Tarefas!$BQ$30:$FK$30,0)),"")</f>
        <v>Mensalista</v>
      </c>
      <c r="J258" s="81">
        <f>IF(I258="horista",H258*Dashboard!$D$15,IF(OR(I258="Mensalista",I258="PJ"),H258,))</f>
        <v>3000</v>
      </c>
      <c r="K258" s="81">
        <f>IF(I258="PJ",J258,ROUND(J258*(1+Dashboard!$D$22),2))</f>
        <v>3180</v>
      </c>
      <c r="L258" s="77"/>
      <c r="M258" s="180"/>
      <c r="P258" s="109">
        <f>IF($BD258&gt;0,(((($BD258/Dashboard!$D$15)*(1+Precificação!$W$589)))+$P$26)*(1+Dashboard!$D$35),0)</f>
        <v>0</v>
      </c>
      <c r="Q258" s="109">
        <f>IF($BD258&gt;0,(((($BD258/Dashboard!$D$23)+(1+Precificação!$W$589))*(1+Q$28))+$P$26)*(1+Dashboard!$D$35),0)</f>
        <v>0</v>
      </c>
      <c r="R258" s="109">
        <f>IF($BD258&gt;0,(((($BD258/Dashboard!$D$23)+(1+Precificação!$W$589))*(1+R$28))+$P$26)*(1+Dashboard!$D$35),0)</f>
        <v>0</v>
      </c>
      <c r="S258" s="109">
        <f>IF($BD258&gt;0,(((($BD258/Dashboard!$D$23)+(1+Precificação!$W$589))*(1+S$28))+$P$26)*(1+Dashboard!$D$35),0)</f>
        <v>0</v>
      </c>
      <c r="U258" s="109">
        <f t="shared" si="158"/>
        <v>0</v>
      </c>
      <c r="V258" s="109">
        <f t="shared" si="159"/>
        <v>0</v>
      </c>
      <c r="W258" s="109">
        <f t="shared" si="160"/>
        <v>0</v>
      </c>
      <c r="X258" s="109">
        <f t="shared" si="161"/>
        <v>0</v>
      </c>
      <c r="AA258" s="109">
        <f>IF($BD258&gt;0,(((($BD258/Dashboard!$D$23)*(1+Precificação!$W$589)))+$AA$26)*(1+Dashboard!$D$35),0)</f>
        <v>0</v>
      </c>
      <c r="AB258" s="109">
        <f>IF($BD258&gt;0,(((($BD258/Dashboard!$D$23)*(1+Precificação!$W$589))*(1+AB$28))+$AA$26)*(1+Dashboard!$D$35),0)</f>
        <v>0</v>
      </c>
      <c r="AC258" s="109">
        <f>IF($BD258&gt;0,(((($BD258/Dashboard!$D$23)*(1+Precificação!$W$589))*(1+AC$28))+$AA$26)*(1+Dashboard!$D$35),0)</f>
        <v>0</v>
      </c>
      <c r="AD258" s="109">
        <f>IF($BD258&gt;0,(((($BD258/Dashboard!$D$23)*(1+Precificação!$W$589))*(1+AD$28))+$AA$26)*(1+Dashboard!$D$35),0)</f>
        <v>0</v>
      </c>
      <c r="AF258" s="109">
        <f t="shared" si="162"/>
        <v>0</v>
      </c>
      <c r="AG258" s="109">
        <f t="shared" si="163"/>
        <v>0</v>
      </c>
      <c r="AH258" s="109">
        <f t="shared" si="164"/>
        <v>0</v>
      </c>
      <c r="AI258" s="109">
        <f t="shared" si="165"/>
        <v>0</v>
      </c>
      <c r="AL258" s="109">
        <f>IF($BD258&gt;0,(((($BD258/Dashboard!$D$23)*(1+Precificação!$W$589)))+$AL$26)*(1+Dashboard!$D$35),0)</f>
        <v>0</v>
      </c>
      <c r="AM258" s="109">
        <f>IF($BD258&gt;0,(((($BD258/Dashboard!$D$23)*(1+Precificação!$W$589))*(1+AM$28))+$AA$26)*(1+Dashboard!$D$35),0)</f>
        <v>0</v>
      </c>
      <c r="AN258" s="109">
        <f>IF($BD258&gt;0,(((($BD258/Dashboard!$D$23)*(1+Precificação!$W$589))*(1+AN$28))+$AA$26)*(1+Dashboard!$D$35),0)</f>
        <v>0</v>
      </c>
      <c r="AO258" s="109">
        <f>IF($BD258&gt;0,(((($BD258/Dashboard!$D$23)*(1+Precificação!$W$589))*(1+AO$28))+$AA$26)*(1+Dashboard!$D$35),0)</f>
        <v>0</v>
      </c>
      <c r="AQ258" s="109">
        <f t="shared" si="166"/>
        <v>0</v>
      </c>
      <c r="AR258" s="109">
        <f t="shared" si="167"/>
        <v>0</v>
      </c>
      <c r="AS258" s="109">
        <f t="shared" si="168"/>
        <v>0</v>
      </c>
      <c r="AT258" s="109">
        <f t="shared" si="169"/>
        <v>0</v>
      </c>
      <c r="AW258" s="144">
        <f>VLOOKUP(B258,'Cronog. e Histog.'!$B$213:$BT$688,71,0)</f>
        <v>0</v>
      </c>
      <c r="AX258" s="144">
        <f>VLOOKUP(B258,'Cronog. e Histog.'!$B$213:$BU$688,72,0)</f>
        <v>0</v>
      </c>
      <c r="AY258" s="144">
        <f>$AW258*$AX258*Dashboard!$D$15</f>
        <v>0</v>
      </c>
      <c r="AZ258" s="144">
        <f>VLOOKUP(B258,Precificação!$B$96:$BM$533,54,0)</f>
        <v>0</v>
      </c>
      <c r="BA258" s="144">
        <f>VLOOKUP(B258,Precificação!$B$96:$BR$533,58,0)</f>
        <v>0</v>
      </c>
      <c r="BB258" s="144">
        <f>VLOOKUP(B258,Precificação!$B$96:$BW$533,62,0)</f>
        <v>0</v>
      </c>
      <c r="BC258" s="144">
        <f t="shared" si="170"/>
        <v>0</v>
      </c>
      <c r="BD258" s="109">
        <f>IFERROR(VLOOKUP(B258,Precificação!$B$96:$S$533,13,0),0)</f>
        <v>0</v>
      </c>
      <c r="BE258" s="109">
        <f>IFERROR(VLOOKUP(B258,Precificação!$B$96:$U$533,15,0)/(Precificação!$U$4+Precificação!$U$91),0)*Dashboard!$T$3</f>
        <v>0</v>
      </c>
    </row>
    <row r="259" spans="2:57" ht="12" customHeight="1" outlineLevel="1">
      <c r="B259" s="137" t="str">
        <f>Precificação!B243</f>
        <v>AUX TEC - Equipe_01</v>
      </c>
      <c r="D259" s="512"/>
      <c r="E259" s="143" t="str">
        <f>IF('Cronog. e Histog.'!G372&gt;0,'Cronog. e Histog.'!G372,"")</f>
        <v>AUX TEC</v>
      </c>
      <c r="G259" s="179">
        <f t="shared" si="157"/>
        <v>0</v>
      </c>
      <c r="H259" s="110">
        <f>IFERROR(INDEX('Base Salarial'!$D$5:$F$25,MATCH(E259,'Base Salarial'!$G$5:$G$25,0),MATCH(I259,'Base Salarial'!$D$4:$F$4,0)),"")</f>
        <v>3500</v>
      </c>
      <c r="I259" s="78" t="str">
        <f>IFERROR(INDEX(Tarefas!$BQ$29:$FK$29,MATCH(E259,Tarefas!$BQ$30:$FK$30,0)),"")</f>
        <v>Mensalista</v>
      </c>
      <c r="J259" s="81">
        <f>IF(I259="horista",H259*Dashboard!$D$15,IF(OR(I259="Mensalista",I259="PJ"),H259,))</f>
        <v>3500</v>
      </c>
      <c r="K259" s="81">
        <f>IF(I259="PJ",J259,ROUND(J259*(1+Dashboard!$D$22),2))</f>
        <v>3710</v>
      </c>
      <c r="L259" s="77"/>
      <c r="M259" s="180"/>
      <c r="P259" s="109">
        <f>IF($BD259&gt;0,(((($BD259/Dashboard!$D$15)*(1+Precificação!$W$589)))+$P$26)*(1+Dashboard!$D$35),0)</f>
        <v>0</v>
      </c>
      <c r="Q259" s="109">
        <f>IF($BD259&gt;0,(((($BD259/Dashboard!$D$23)+(1+Precificação!$W$589))*(1+Q$28))+$P$26)*(1+Dashboard!$D$35),0)</f>
        <v>0</v>
      </c>
      <c r="R259" s="109">
        <f>IF($BD259&gt;0,(((($BD259/Dashboard!$D$23)+(1+Precificação!$W$589))*(1+R$28))+$P$26)*(1+Dashboard!$D$35),0)</f>
        <v>0</v>
      </c>
      <c r="S259" s="109">
        <f>IF($BD259&gt;0,(((($BD259/Dashboard!$D$23)+(1+Precificação!$W$589))*(1+S$28))+$P$26)*(1+Dashboard!$D$35),0)</f>
        <v>0</v>
      </c>
      <c r="U259" s="109">
        <f t="shared" si="158"/>
        <v>0</v>
      </c>
      <c r="V259" s="109">
        <f t="shared" si="159"/>
        <v>0</v>
      </c>
      <c r="W259" s="109">
        <f t="shared" si="160"/>
        <v>0</v>
      </c>
      <c r="X259" s="109">
        <f t="shared" si="161"/>
        <v>0</v>
      </c>
      <c r="AA259" s="109">
        <f>IF($BD259&gt;0,(((($BD259/Dashboard!$D$23)*(1+Precificação!$W$589)))+$AA$26)*(1+Dashboard!$D$35),0)</f>
        <v>0</v>
      </c>
      <c r="AB259" s="109">
        <f>IF($BD259&gt;0,(((($BD259/Dashboard!$D$23)*(1+Precificação!$W$589))*(1+AB$28))+$AA$26)*(1+Dashboard!$D$35),0)</f>
        <v>0</v>
      </c>
      <c r="AC259" s="109">
        <f>IF($BD259&gt;0,(((($BD259/Dashboard!$D$23)*(1+Precificação!$W$589))*(1+AC$28))+$AA$26)*(1+Dashboard!$D$35),0)</f>
        <v>0</v>
      </c>
      <c r="AD259" s="109">
        <f>IF($BD259&gt;0,(((($BD259/Dashboard!$D$23)*(1+Precificação!$W$589))*(1+AD$28))+$AA$26)*(1+Dashboard!$D$35),0)</f>
        <v>0</v>
      </c>
      <c r="AF259" s="109">
        <f t="shared" si="162"/>
        <v>0</v>
      </c>
      <c r="AG259" s="109">
        <f t="shared" si="163"/>
        <v>0</v>
      </c>
      <c r="AH259" s="109">
        <f t="shared" si="164"/>
        <v>0</v>
      </c>
      <c r="AI259" s="109">
        <f t="shared" si="165"/>
        <v>0</v>
      </c>
      <c r="AL259" s="109">
        <f>IF($BD259&gt;0,(((($BD259/Dashboard!$D$23)*(1+Precificação!$W$589)))+$AL$26)*(1+Dashboard!$D$35),0)</f>
        <v>0</v>
      </c>
      <c r="AM259" s="109">
        <f>IF($BD259&gt;0,(((($BD259/Dashboard!$D$23)*(1+Precificação!$W$589))*(1+AM$28))+$AA$26)*(1+Dashboard!$D$35),0)</f>
        <v>0</v>
      </c>
      <c r="AN259" s="109">
        <f>IF($BD259&gt;0,(((($BD259/Dashboard!$D$23)*(1+Precificação!$W$589))*(1+AN$28))+$AA$26)*(1+Dashboard!$D$35),0)</f>
        <v>0</v>
      </c>
      <c r="AO259" s="109">
        <f>IF($BD259&gt;0,(((($BD259/Dashboard!$D$23)*(1+Precificação!$W$589))*(1+AO$28))+$AA$26)*(1+Dashboard!$D$35),0)</f>
        <v>0</v>
      </c>
      <c r="AQ259" s="109">
        <f t="shared" si="166"/>
        <v>0</v>
      </c>
      <c r="AR259" s="109">
        <f t="shared" si="167"/>
        <v>0</v>
      </c>
      <c r="AS259" s="109">
        <f t="shared" si="168"/>
        <v>0</v>
      </c>
      <c r="AT259" s="109">
        <f t="shared" si="169"/>
        <v>0</v>
      </c>
      <c r="AW259" s="144">
        <f>VLOOKUP(B259,'Cronog. e Histog.'!$B$213:$BT$688,71,0)</f>
        <v>0</v>
      </c>
      <c r="AX259" s="144">
        <f>VLOOKUP(B259,'Cronog. e Histog.'!$B$213:$BU$688,72,0)</f>
        <v>0</v>
      </c>
      <c r="AY259" s="144">
        <f>$AW259*$AX259*Dashboard!$D$15</f>
        <v>0</v>
      </c>
      <c r="AZ259" s="144">
        <f>VLOOKUP(B259,Precificação!$B$96:$BM$533,54,0)</f>
        <v>0</v>
      </c>
      <c r="BA259" s="144">
        <f>VLOOKUP(B259,Precificação!$B$96:$BR$533,58,0)</f>
        <v>0</v>
      </c>
      <c r="BB259" s="144">
        <f>VLOOKUP(B259,Precificação!$B$96:$BW$533,62,0)</f>
        <v>0</v>
      </c>
      <c r="BC259" s="144">
        <f t="shared" si="170"/>
        <v>0</v>
      </c>
      <c r="BD259" s="109">
        <f>IFERROR(VLOOKUP(B259,Precificação!$B$96:$S$533,13,0),0)</f>
        <v>0</v>
      </c>
      <c r="BE259" s="109">
        <f>IFERROR(VLOOKUP(B259,Precificação!$B$96:$U$533,15,0)/(Precificação!$U$4+Precificação!$U$91),0)*Dashboard!$T$3</f>
        <v>0</v>
      </c>
    </row>
    <row r="260" spans="2:57" ht="12" customHeight="1" outlineLevel="1">
      <c r="B260" s="137" t="str">
        <f>Precificação!B244</f>
        <v>AUX ADM - Equipe_01</v>
      </c>
      <c r="D260" s="512"/>
      <c r="E260" s="143" t="str">
        <f>IF('Cronog. e Histog.'!G373&gt;0,'Cronog. e Histog.'!G373,"")</f>
        <v>AUX ADM</v>
      </c>
      <c r="G260" s="179">
        <f t="shared" si="157"/>
        <v>0</v>
      </c>
      <c r="H260" s="110">
        <f>IFERROR(INDEX('Base Salarial'!$D$5:$F$25,MATCH(E260,'Base Salarial'!$G$5:$G$25,0),MATCH(I260,'Base Salarial'!$D$4:$F$4,0)),"")</f>
        <v>1804</v>
      </c>
      <c r="I260" s="78" t="str">
        <f>IFERROR(INDEX(Tarefas!$BQ$29:$FK$29,MATCH(E260,Tarefas!$BQ$30:$FK$30,0)),"")</f>
        <v>Mensalista</v>
      </c>
      <c r="J260" s="81">
        <f>IF(I260="horista",H260*Dashboard!$D$15,IF(OR(I260="Mensalista",I260="PJ"),H260,))</f>
        <v>1804</v>
      </c>
      <c r="K260" s="81">
        <f>IF(I260="PJ",J260,ROUND(J260*(1+Dashboard!$D$22),2))</f>
        <v>1912.24</v>
      </c>
      <c r="L260" s="77"/>
      <c r="M260" s="180"/>
      <c r="P260" s="109">
        <f>IF($BD260&gt;0,(((($BD260/Dashboard!$D$15)*(1+Precificação!$W$589)))+$P$26)*(1+Dashboard!$D$35),0)</f>
        <v>0</v>
      </c>
      <c r="Q260" s="109">
        <f>IF($BD260&gt;0,(((($BD260/Dashboard!$D$23)+(1+Precificação!$W$589))*(1+Q$28))+$P$26)*(1+Dashboard!$D$35),0)</f>
        <v>0</v>
      </c>
      <c r="R260" s="109">
        <f>IF($BD260&gt;0,(((($BD260/Dashboard!$D$23)+(1+Precificação!$W$589))*(1+R$28))+$P$26)*(1+Dashboard!$D$35),0)</f>
        <v>0</v>
      </c>
      <c r="S260" s="109">
        <f>IF($BD260&gt;0,(((($BD260/Dashboard!$D$23)+(1+Precificação!$W$589))*(1+S$28))+$P$26)*(1+Dashboard!$D$35),0)</f>
        <v>0</v>
      </c>
      <c r="U260" s="109">
        <f t="shared" si="158"/>
        <v>0</v>
      </c>
      <c r="V260" s="109">
        <f t="shared" si="159"/>
        <v>0</v>
      </c>
      <c r="W260" s="109">
        <f t="shared" si="160"/>
        <v>0</v>
      </c>
      <c r="X260" s="109">
        <f t="shared" si="161"/>
        <v>0</v>
      </c>
      <c r="AA260" s="109">
        <f>IF($BD260&gt;0,(((($BD260/Dashboard!$D$23)*(1+Precificação!$W$589)))+$AA$26)*(1+Dashboard!$D$35),0)</f>
        <v>0</v>
      </c>
      <c r="AB260" s="109">
        <f>IF($BD260&gt;0,(((($BD260/Dashboard!$D$23)*(1+Precificação!$W$589))*(1+AB$28))+$AA$26)*(1+Dashboard!$D$35),0)</f>
        <v>0</v>
      </c>
      <c r="AC260" s="109">
        <f>IF($BD260&gt;0,(((($BD260/Dashboard!$D$23)*(1+Precificação!$W$589))*(1+AC$28))+$AA$26)*(1+Dashboard!$D$35),0)</f>
        <v>0</v>
      </c>
      <c r="AD260" s="109">
        <f>IF($BD260&gt;0,(((($BD260/Dashboard!$D$23)*(1+Precificação!$W$589))*(1+AD$28))+$AA$26)*(1+Dashboard!$D$35),0)</f>
        <v>0</v>
      </c>
      <c r="AF260" s="109">
        <f t="shared" si="162"/>
        <v>0</v>
      </c>
      <c r="AG260" s="109">
        <f t="shared" si="163"/>
        <v>0</v>
      </c>
      <c r="AH260" s="109">
        <f t="shared" si="164"/>
        <v>0</v>
      </c>
      <c r="AI260" s="109">
        <f t="shared" si="165"/>
        <v>0</v>
      </c>
      <c r="AL260" s="109">
        <f>IF($BD260&gt;0,(((($BD260/Dashboard!$D$23)*(1+Precificação!$W$589)))+$AL$26)*(1+Dashboard!$D$35),0)</f>
        <v>0</v>
      </c>
      <c r="AM260" s="109">
        <f>IF($BD260&gt;0,(((($BD260/Dashboard!$D$23)*(1+Precificação!$W$589))*(1+AM$28))+$AA$26)*(1+Dashboard!$D$35),0)</f>
        <v>0</v>
      </c>
      <c r="AN260" s="109">
        <f>IF($BD260&gt;0,(((($BD260/Dashboard!$D$23)*(1+Precificação!$W$589))*(1+AN$28))+$AA$26)*(1+Dashboard!$D$35),0)</f>
        <v>0</v>
      </c>
      <c r="AO260" s="109">
        <f>IF($BD260&gt;0,(((($BD260/Dashboard!$D$23)*(1+Precificação!$W$589))*(1+AO$28))+$AA$26)*(1+Dashboard!$D$35),0)</f>
        <v>0</v>
      </c>
      <c r="AQ260" s="109">
        <f t="shared" si="166"/>
        <v>0</v>
      </c>
      <c r="AR260" s="109">
        <f t="shared" si="167"/>
        <v>0</v>
      </c>
      <c r="AS260" s="109">
        <f t="shared" si="168"/>
        <v>0</v>
      </c>
      <c r="AT260" s="109">
        <f t="shared" si="169"/>
        <v>0</v>
      </c>
      <c r="AW260" s="144">
        <f>VLOOKUP(B260,'Cronog. e Histog.'!$B$213:$BT$688,71,0)</f>
        <v>0</v>
      </c>
      <c r="AX260" s="144">
        <f>VLOOKUP(B260,'Cronog. e Histog.'!$B$213:$BU$688,72,0)</f>
        <v>0</v>
      </c>
      <c r="AY260" s="144">
        <f>$AW260*$AX260*Dashboard!$D$15</f>
        <v>0</v>
      </c>
      <c r="AZ260" s="144">
        <f>VLOOKUP(B260,Precificação!$B$96:$BM$533,54,0)</f>
        <v>0</v>
      </c>
      <c r="BA260" s="144">
        <f>VLOOKUP(B260,Precificação!$B$96:$BR$533,58,0)</f>
        <v>0</v>
      </c>
      <c r="BB260" s="144">
        <f>VLOOKUP(B260,Precificação!$B$96:$BW$533,62,0)</f>
        <v>0</v>
      </c>
      <c r="BC260" s="144">
        <f t="shared" si="170"/>
        <v>0</v>
      </c>
      <c r="BD260" s="109">
        <f>IFERROR(VLOOKUP(B260,Precificação!$B$96:$S$533,13,0),0)</f>
        <v>0</v>
      </c>
      <c r="BE260" s="109">
        <f>IFERROR(VLOOKUP(B260,Precificação!$B$96:$U$533,15,0)/(Precificação!$U$4+Precificação!$U$91),0)*Dashboard!$T$3</f>
        <v>0</v>
      </c>
    </row>
    <row r="261" spans="2:57" ht="12" customHeight="1" outlineLevel="1">
      <c r="B261" s="137" t="str">
        <f>Precificação!B245</f>
        <v>EST - Equipe_01</v>
      </c>
      <c r="D261" s="512"/>
      <c r="E261" s="143" t="str">
        <f>IF('Cronog. e Histog.'!G374&gt;0,'Cronog. e Histog.'!G374,"")</f>
        <v>EST</v>
      </c>
      <c r="G261" s="179">
        <f t="shared" si="157"/>
        <v>0</v>
      </c>
      <c r="H261" s="110">
        <f>IFERROR(INDEX('Base Salarial'!$D$5:$F$25,MATCH(E261,'Base Salarial'!$G$5:$G$25,0),MATCH(I261,'Base Salarial'!$D$4:$F$4,0)),"")</f>
        <v>1633</v>
      </c>
      <c r="I261" s="78" t="str">
        <f>IFERROR(INDEX(Tarefas!$BQ$29:$FK$29,MATCH(E261,Tarefas!$BQ$30:$FK$30,0)),"")</f>
        <v>PJ</v>
      </c>
      <c r="J261" s="81">
        <f>IF(I261="horista",H261*Dashboard!$D$15,IF(OR(I261="Mensalista",I261="PJ"),H261,))</f>
        <v>1633</v>
      </c>
      <c r="K261" s="81">
        <f>IF(I261="PJ",J261,ROUND(J261*(1+Dashboard!$D$22),2))</f>
        <v>1633</v>
      </c>
      <c r="L261" s="77"/>
      <c r="M261" s="180"/>
      <c r="P261" s="109">
        <f>IF($BD261&gt;0,(((($BD261/Dashboard!$D$15)*(1+Precificação!$W$589)))+$P$26)*(1+Dashboard!$D$35),0)</f>
        <v>0</v>
      </c>
      <c r="Q261" s="109">
        <f>IF($BD261&gt;0,(((($BD261/Dashboard!$D$23)+(1+Precificação!$W$589))*(1+Q$28))+$P$26)*(1+Dashboard!$D$35),0)</f>
        <v>0</v>
      </c>
      <c r="R261" s="109">
        <f>IF($BD261&gt;0,(((($BD261/Dashboard!$D$23)+(1+Precificação!$W$589))*(1+R$28))+$P$26)*(1+Dashboard!$D$35),0)</f>
        <v>0</v>
      </c>
      <c r="S261" s="109">
        <f>IF($BD261&gt;0,(((($BD261/Dashboard!$D$23)+(1+Precificação!$W$589))*(1+S$28))+$P$26)*(1+Dashboard!$D$35),0)</f>
        <v>0</v>
      </c>
      <c r="U261" s="109">
        <f t="shared" si="158"/>
        <v>0</v>
      </c>
      <c r="V261" s="109">
        <f t="shared" si="159"/>
        <v>0</v>
      </c>
      <c r="W261" s="109">
        <f t="shared" si="160"/>
        <v>0</v>
      </c>
      <c r="X261" s="109">
        <f t="shared" si="161"/>
        <v>0</v>
      </c>
      <c r="AA261" s="109">
        <f>IF($BD261&gt;0,(((($BD261/Dashboard!$D$23)*(1+Precificação!$W$589)))+$AA$26)*(1+Dashboard!$D$35),0)</f>
        <v>0</v>
      </c>
      <c r="AB261" s="109">
        <f>IF($BD261&gt;0,(((($BD261/Dashboard!$D$23)*(1+Precificação!$W$589))*(1+AB$28))+$AA$26)*(1+Dashboard!$D$35),0)</f>
        <v>0</v>
      </c>
      <c r="AC261" s="109">
        <f>IF($BD261&gt;0,(((($BD261/Dashboard!$D$23)*(1+Precificação!$W$589))*(1+AC$28))+$AA$26)*(1+Dashboard!$D$35),0)</f>
        <v>0</v>
      </c>
      <c r="AD261" s="109">
        <f>IF($BD261&gt;0,(((($BD261/Dashboard!$D$23)*(1+Precificação!$W$589))*(1+AD$28))+$AA$26)*(1+Dashboard!$D$35),0)</f>
        <v>0</v>
      </c>
      <c r="AF261" s="109">
        <f t="shared" si="162"/>
        <v>0</v>
      </c>
      <c r="AG261" s="109">
        <f t="shared" si="163"/>
        <v>0</v>
      </c>
      <c r="AH261" s="109">
        <f t="shared" si="164"/>
        <v>0</v>
      </c>
      <c r="AI261" s="109">
        <f t="shared" si="165"/>
        <v>0</v>
      </c>
      <c r="AL261" s="109">
        <f>IF($BD261&gt;0,(((($BD261/Dashboard!$D$23)*(1+Precificação!$W$589)))+$AL$26)*(1+Dashboard!$D$35),0)</f>
        <v>0</v>
      </c>
      <c r="AM261" s="109">
        <f>IF($BD261&gt;0,(((($BD261/Dashboard!$D$23)*(1+Precificação!$W$589))*(1+AM$28))+$AA$26)*(1+Dashboard!$D$35),0)</f>
        <v>0</v>
      </c>
      <c r="AN261" s="109">
        <f>IF($BD261&gt;0,(((($BD261/Dashboard!$D$23)*(1+Precificação!$W$589))*(1+AN$28))+$AA$26)*(1+Dashboard!$D$35),0)</f>
        <v>0</v>
      </c>
      <c r="AO261" s="109">
        <f>IF($BD261&gt;0,(((($BD261/Dashboard!$D$23)*(1+Precificação!$W$589))*(1+AO$28))+$AA$26)*(1+Dashboard!$D$35),0)</f>
        <v>0</v>
      </c>
      <c r="AQ261" s="109">
        <f t="shared" si="166"/>
        <v>0</v>
      </c>
      <c r="AR261" s="109">
        <f t="shared" si="167"/>
        <v>0</v>
      </c>
      <c r="AS261" s="109">
        <f t="shared" si="168"/>
        <v>0</v>
      </c>
      <c r="AT261" s="109">
        <f t="shared" si="169"/>
        <v>0</v>
      </c>
      <c r="AW261" s="144">
        <f>VLOOKUP(B261,'Cronog. e Histog.'!$B$213:$BT$688,71,0)</f>
        <v>0</v>
      </c>
      <c r="AX261" s="144">
        <f>VLOOKUP(B261,'Cronog. e Histog.'!$B$213:$BU$688,72,0)</f>
        <v>0</v>
      </c>
      <c r="AY261" s="144">
        <f>$AW261*$AX261*Dashboard!$D$15</f>
        <v>0</v>
      </c>
      <c r="AZ261" s="144">
        <f>VLOOKUP(B261,Precificação!$B$96:$BM$533,54,0)</f>
        <v>0</v>
      </c>
      <c r="BA261" s="144">
        <f>VLOOKUP(B261,Precificação!$B$96:$BR$533,58,0)</f>
        <v>0</v>
      </c>
      <c r="BB261" s="144">
        <f>VLOOKUP(B261,Precificação!$B$96:$BW$533,62,0)</f>
        <v>0</v>
      </c>
      <c r="BC261" s="144">
        <f t="shared" si="170"/>
        <v>0</v>
      </c>
      <c r="BD261" s="109">
        <f>IFERROR(VLOOKUP(B261,Precificação!$B$96:$S$533,13,0),0)</f>
        <v>0</v>
      </c>
      <c r="BE261" s="109">
        <f>IFERROR(VLOOKUP(B261,Precificação!$B$96:$U$533,15,0)/(Precificação!$U$4+Precificação!$U$91),0)*Dashboard!$T$3</f>
        <v>0</v>
      </c>
    </row>
    <row r="262" spans="2:57" ht="12" customHeight="1" outlineLevel="1">
      <c r="B262" s="137" t="str">
        <f>Precificação!B246</f>
        <v>EST_II - Equipe_01</v>
      </c>
      <c r="D262" s="512"/>
      <c r="E262" s="143" t="str">
        <f>IF('Cronog. e Histog.'!G375&gt;0,'Cronog. e Histog.'!G375,"")</f>
        <v>EST_II</v>
      </c>
      <c r="G262" s="179">
        <f t="shared" si="157"/>
        <v>0</v>
      </c>
      <c r="H262" s="110">
        <f>IFERROR(INDEX('Base Salarial'!$D$5:$F$25,MATCH(E262,'Base Salarial'!$G$5:$G$25,0),MATCH(I262,'Base Salarial'!$D$4:$F$4,0)),"")</f>
        <v>1633</v>
      </c>
      <c r="I262" s="78" t="str">
        <f>IFERROR(INDEX(Tarefas!$BQ$29:$FK$29,MATCH(E262,Tarefas!$BQ$30:$FK$30,0)),"")</f>
        <v>PJ</v>
      </c>
      <c r="J262" s="81">
        <f>IF(I262="horista",H262*Dashboard!$D$15,IF(OR(I262="Mensalista",I262="PJ"),H262,))</f>
        <v>1633</v>
      </c>
      <c r="K262" s="81">
        <f>IF(I262="PJ",J262,ROUND(J262*(1+Dashboard!$D$22),2))</f>
        <v>1633</v>
      </c>
      <c r="L262" s="77"/>
      <c r="M262" s="180"/>
      <c r="P262" s="109">
        <f>IF($BD262&gt;0,(((($BD262/Dashboard!$D$15)*(1+Precificação!$W$589)))+$P$26)*(1+Dashboard!$D$35),0)</f>
        <v>0</v>
      </c>
      <c r="Q262" s="109">
        <f>IF($BD262&gt;0,(((($BD262/Dashboard!$D$23)+(1+Precificação!$W$589))*(1+Q$28))+$P$26)*(1+Dashboard!$D$35),0)</f>
        <v>0</v>
      </c>
      <c r="R262" s="109">
        <f>IF($BD262&gt;0,(((($BD262/Dashboard!$D$23)+(1+Precificação!$W$589))*(1+R$28))+$P$26)*(1+Dashboard!$D$35),0)</f>
        <v>0</v>
      </c>
      <c r="S262" s="109">
        <f>IF($BD262&gt;0,(((($BD262/Dashboard!$D$23)+(1+Precificação!$W$589))*(1+S$28))+$P$26)*(1+Dashboard!$D$35),0)</f>
        <v>0</v>
      </c>
      <c r="U262" s="109">
        <f t="shared" si="158"/>
        <v>0</v>
      </c>
      <c r="V262" s="109">
        <f t="shared" si="159"/>
        <v>0</v>
      </c>
      <c r="W262" s="109">
        <f t="shared" si="160"/>
        <v>0</v>
      </c>
      <c r="X262" s="109">
        <f t="shared" si="161"/>
        <v>0</v>
      </c>
      <c r="AA262" s="109">
        <f>IF($BD262&gt;0,(((($BD262/Dashboard!$D$23)*(1+Precificação!$W$589)))+$AA$26)*(1+Dashboard!$D$35),0)</f>
        <v>0</v>
      </c>
      <c r="AB262" s="109">
        <f>IF($BD262&gt;0,(((($BD262/Dashboard!$D$23)*(1+Precificação!$W$589))*(1+AB$28))+$AA$26)*(1+Dashboard!$D$35),0)</f>
        <v>0</v>
      </c>
      <c r="AC262" s="109">
        <f>IF($BD262&gt;0,(((($BD262/Dashboard!$D$23)*(1+Precificação!$W$589))*(1+AC$28))+$AA$26)*(1+Dashboard!$D$35),0)</f>
        <v>0</v>
      </c>
      <c r="AD262" s="109">
        <f>IF($BD262&gt;0,(((($BD262/Dashboard!$D$23)*(1+Precificação!$W$589))*(1+AD$28))+$AA$26)*(1+Dashboard!$D$35),0)</f>
        <v>0</v>
      </c>
      <c r="AF262" s="109">
        <f t="shared" si="162"/>
        <v>0</v>
      </c>
      <c r="AG262" s="109">
        <f t="shared" si="163"/>
        <v>0</v>
      </c>
      <c r="AH262" s="109">
        <f t="shared" si="164"/>
        <v>0</v>
      </c>
      <c r="AI262" s="109">
        <f t="shared" si="165"/>
        <v>0</v>
      </c>
      <c r="AL262" s="109">
        <f>IF($BD262&gt;0,(((($BD262/Dashboard!$D$23)*(1+Precificação!$W$589)))+$AL$26)*(1+Dashboard!$D$35),0)</f>
        <v>0</v>
      </c>
      <c r="AM262" s="109">
        <f>IF($BD262&gt;0,(((($BD262/Dashboard!$D$23)*(1+Precificação!$W$589))*(1+AM$28))+$AA$26)*(1+Dashboard!$D$35),0)</f>
        <v>0</v>
      </c>
      <c r="AN262" s="109">
        <f>IF($BD262&gt;0,(((($BD262/Dashboard!$D$23)*(1+Precificação!$W$589))*(1+AN$28))+$AA$26)*(1+Dashboard!$D$35),0)</f>
        <v>0</v>
      </c>
      <c r="AO262" s="109">
        <f>IF($BD262&gt;0,(((($BD262/Dashboard!$D$23)*(1+Precificação!$W$589))*(1+AO$28))+$AA$26)*(1+Dashboard!$D$35),0)</f>
        <v>0</v>
      </c>
      <c r="AQ262" s="109">
        <f t="shared" si="166"/>
        <v>0</v>
      </c>
      <c r="AR262" s="109">
        <f t="shared" si="167"/>
        <v>0</v>
      </c>
      <c r="AS262" s="109">
        <f t="shared" si="168"/>
        <v>0</v>
      </c>
      <c r="AT262" s="109">
        <f t="shared" si="169"/>
        <v>0</v>
      </c>
      <c r="AW262" s="144">
        <f>VLOOKUP(B262,'Cronog. e Histog.'!$B$213:$BT$688,71,0)</f>
        <v>0</v>
      </c>
      <c r="AX262" s="144">
        <f>VLOOKUP(B262,'Cronog. e Histog.'!$B$213:$BU$688,72,0)</f>
        <v>0</v>
      </c>
      <c r="AY262" s="144">
        <f>$AW262*$AX262*Dashboard!$D$15</f>
        <v>0</v>
      </c>
      <c r="AZ262" s="144">
        <f>VLOOKUP(B262,Precificação!$B$96:$BM$533,54,0)</f>
        <v>0</v>
      </c>
      <c r="BA262" s="144">
        <f>VLOOKUP(B262,Precificação!$B$96:$BR$533,58,0)</f>
        <v>0</v>
      </c>
      <c r="BB262" s="144">
        <f>VLOOKUP(B262,Precificação!$B$96:$BW$533,62,0)</f>
        <v>0</v>
      </c>
      <c r="BC262" s="144">
        <f t="shared" si="170"/>
        <v>0</v>
      </c>
      <c r="BD262" s="109">
        <f>IFERROR(VLOOKUP(B262,Precificação!$B$96:$S$533,13,0),0)</f>
        <v>0</v>
      </c>
      <c r="BE262" s="109">
        <f>IFERROR(VLOOKUP(B262,Precificação!$B$96:$U$533,15,0)/(Precificação!$U$4+Precificação!$U$91),0)*Dashboard!$T$3</f>
        <v>0</v>
      </c>
    </row>
    <row r="263" spans="2:57" ht="12" customHeight="1" outlineLevel="1">
      <c r="B263" s="137" t="str">
        <f>Precificação!B247</f>
        <v>EST_III - Equipe_01</v>
      </c>
      <c r="D263" s="512"/>
      <c r="E263" s="143" t="str">
        <f>IF('Cronog. e Histog.'!G376&gt;0,'Cronog. e Histog.'!G376,"")</f>
        <v>EST_III</v>
      </c>
      <c r="G263" s="179">
        <f t="shared" si="157"/>
        <v>0</v>
      </c>
      <c r="H263" s="110">
        <f>IFERROR(INDEX('Base Salarial'!$D$5:$F$25,MATCH(E263,'Base Salarial'!$G$5:$G$25,0),MATCH(I263,'Base Salarial'!$D$4:$F$4,0)),"")</f>
        <v>1633</v>
      </c>
      <c r="I263" s="78" t="str">
        <f>IFERROR(INDEX(Tarefas!$BQ$29:$FK$29,MATCH(E263,Tarefas!$BQ$30:$FK$30,0)),"")</f>
        <v>PJ</v>
      </c>
      <c r="J263" s="81">
        <f>IF(I263="horista",H263*Dashboard!$D$15,IF(OR(I263="Mensalista",I263="PJ"),H263,))</f>
        <v>1633</v>
      </c>
      <c r="K263" s="81">
        <f>IF(I263="PJ",J263,ROUND(J263*(1+Dashboard!$D$22),2))</f>
        <v>1633</v>
      </c>
      <c r="L263" s="77"/>
      <c r="M263" s="180"/>
      <c r="P263" s="109">
        <f>IF($BD263&gt;0,(((($BD263/Dashboard!$D$15)*(1+Precificação!$W$589)))+$P$26)*(1+Dashboard!$D$35),0)</f>
        <v>0</v>
      </c>
      <c r="Q263" s="109">
        <f>IF($BD263&gt;0,(((($BD263/Dashboard!$D$23)+(1+Precificação!$W$589))*(1+Q$28))+$P$26)*(1+Dashboard!$D$35),0)</f>
        <v>0</v>
      </c>
      <c r="R263" s="109">
        <f>IF($BD263&gt;0,(((($BD263/Dashboard!$D$23)+(1+Precificação!$W$589))*(1+R$28))+$P$26)*(1+Dashboard!$D$35),0)</f>
        <v>0</v>
      </c>
      <c r="S263" s="109">
        <f>IF($BD263&gt;0,(((($BD263/Dashboard!$D$23)+(1+Precificação!$W$589))*(1+S$28))+$P$26)*(1+Dashboard!$D$35),0)</f>
        <v>0</v>
      </c>
      <c r="U263" s="109">
        <f t="shared" si="158"/>
        <v>0</v>
      </c>
      <c r="V263" s="109">
        <f t="shared" si="159"/>
        <v>0</v>
      </c>
      <c r="W263" s="109">
        <f t="shared" si="160"/>
        <v>0</v>
      </c>
      <c r="X263" s="109">
        <f t="shared" si="161"/>
        <v>0</v>
      </c>
      <c r="AA263" s="109">
        <f>IF($BD263&gt;0,(((($BD263/Dashboard!$D$23)*(1+Precificação!$W$589)))+$AA$26)*(1+Dashboard!$D$35),0)</f>
        <v>0</v>
      </c>
      <c r="AB263" s="109">
        <f>IF($BD263&gt;0,(((($BD263/Dashboard!$D$23)*(1+Precificação!$W$589))*(1+AB$28))+$AA$26)*(1+Dashboard!$D$35),0)</f>
        <v>0</v>
      </c>
      <c r="AC263" s="109">
        <f>IF($BD263&gt;0,(((($BD263/Dashboard!$D$23)*(1+Precificação!$W$589))*(1+AC$28))+$AA$26)*(1+Dashboard!$D$35),0)</f>
        <v>0</v>
      </c>
      <c r="AD263" s="109">
        <f>IF($BD263&gt;0,(((($BD263/Dashboard!$D$23)*(1+Precificação!$W$589))*(1+AD$28))+$AA$26)*(1+Dashboard!$D$35),0)</f>
        <v>0</v>
      </c>
      <c r="AF263" s="109">
        <f t="shared" si="162"/>
        <v>0</v>
      </c>
      <c r="AG263" s="109">
        <f t="shared" si="163"/>
        <v>0</v>
      </c>
      <c r="AH263" s="109">
        <f t="shared" si="164"/>
        <v>0</v>
      </c>
      <c r="AI263" s="109">
        <f t="shared" si="165"/>
        <v>0</v>
      </c>
      <c r="AL263" s="109">
        <f>IF($BD263&gt;0,(((($BD263/Dashboard!$D$23)*(1+Precificação!$W$589)))+$AL$26)*(1+Dashboard!$D$35),0)</f>
        <v>0</v>
      </c>
      <c r="AM263" s="109">
        <f>IF($BD263&gt;0,(((($BD263/Dashboard!$D$23)*(1+Precificação!$W$589))*(1+AM$28))+$AA$26)*(1+Dashboard!$D$35),0)</f>
        <v>0</v>
      </c>
      <c r="AN263" s="109">
        <f>IF($BD263&gt;0,(((($BD263/Dashboard!$D$23)*(1+Precificação!$W$589))*(1+AN$28))+$AA$26)*(1+Dashboard!$D$35),0)</f>
        <v>0</v>
      </c>
      <c r="AO263" s="109">
        <f>IF($BD263&gt;0,(((($BD263/Dashboard!$D$23)*(1+Precificação!$W$589))*(1+AO$28))+$AA$26)*(1+Dashboard!$D$35),0)</f>
        <v>0</v>
      </c>
      <c r="AQ263" s="109">
        <f t="shared" si="166"/>
        <v>0</v>
      </c>
      <c r="AR263" s="109">
        <f t="shared" si="167"/>
        <v>0</v>
      </c>
      <c r="AS263" s="109">
        <f t="shared" si="168"/>
        <v>0</v>
      </c>
      <c r="AT263" s="109">
        <f t="shared" si="169"/>
        <v>0</v>
      </c>
      <c r="AW263" s="144">
        <f>VLOOKUP(B263,'Cronog. e Histog.'!$B$213:$BT$688,71,0)</f>
        <v>0</v>
      </c>
      <c r="AX263" s="144">
        <f>VLOOKUP(B263,'Cronog. e Histog.'!$B$213:$BU$688,72,0)</f>
        <v>0</v>
      </c>
      <c r="AY263" s="144">
        <f>$AW263*$AX263*Dashboard!$D$15</f>
        <v>0</v>
      </c>
      <c r="AZ263" s="144">
        <f>VLOOKUP(B263,Precificação!$B$96:$BM$533,54,0)</f>
        <v>0</v>
      </c>
      <c r="BA263" s="144">
        <f>VLOOKUP(B263,Precificação!$B$96:$BR$533,58,0)</f>
        <v>0</v>
      </c>
      <c r="BB263" s="144">
        <f>VLOOKUP(B263,Precificação!$B$96:$BW$533,62,0)</f>
        <v>0</v>
      </c>
      <c r="BC263" s="144">
        <f t="shared" si="170"/>
        <v>0</v>
      </c>
      <c r="BD263" s="109">
        <f>IFERROR(VLOOKUP(B263,Precificação!$B$96:$S$533,13,0),0)</f>
        <v>0</v>
      </c>
      <c r="BE263" s="109">
        <f>IFERROR(VLOOKUP(B263,Precificação!$B$96:$U$533,15,0)/(Precificação!$U$4+Precificação!$U$91),0)*Dashboard!$T$3</f>
        <v>0</v>
      </c>
    </row>
    <row r="264" spans="2:57" ht="12" customHeight="1" outlineLevel="1"/>
    <row r="265" spans="2:57" ht="12" customHeight="1" outlineLevel="1">
      <c r="B265" s="137" t="str">
        <f>Precificação!B250</f>
        <v>GER. (OBRA/PROJ) - Equipe_01</v>
      </c>
      <c r="D265" s="512" t="str">
        <f>'Cronog. e Histog.'!F379</f>
        <v>Equipe08</v>
      </c>
      <c r="E265" s="143" t="str">
        <f>IF('Cronog. e Histog.'!G381&gt;0,'Cronog. e Histog.'!G381,"")</f>
        <v>GER. (OBRA/PROJ)</v>
      </c>
      <c r="G265" s="179">
        <f t="shared" ref="G265" si="171">IF(AND((AW265*AX265)&gt;0,K265=0),1,0)</f>
        <v>0</v>
      </c>
      <c r="H265" s="110">
        <f>IFERROR(INDEX('Base Salarial'!$D$5:$F$25,MATCH(E265,'Base Salarial'!$G$5:$G$25,0),MATCH(I265,'Base Salarial'!$D$4:$F$4,0)),"")</f>
        <v>21000</v>
      </c>
      <c r="I265" s="78" t="str">
        <f>IFERROR(INDEX(Tarefas!$BQ$29:$FK$29,MATCH(E265,Tarefas!$BQ$30:$FK$30,0)),"")</f>
        <v>PJ</v>
      </c>
      <c r="J265" s="81">
        <f>IF(I265="horista",H265*Dashboard!$D$15,IF(OR(I265="Mensalista",I265="PJ"),H265,))</f>
        <v>21000</v>
      </c>
      <c r="K265" s="81">
        <f>IF(I265="PJ",J265,ROUND(J265*(1+Dashboard!$D$22),2))</f>
        <v>21000</v>
      </c>
      <c r="L265" s="77"/>
      <c r="M265" s="180"/>
      <c r="P265" s="109">
        <f>IF($BD265&gt;0,(((($BD265/Dashboard!$D$15)*(1+Precificação!$W$589)))+$P$26)*(1+Dashboard!$D$35),0)</f>
        <v>0</v>
      </c>
      <c r="Q265" s="109">
        <f>IF($BD265&gt;0,(((($BD265/Dashboard!$D$23)+(1+Precificação!$W$589))*(1+Q$28))+$P$26)*(1+Dashboard!$D$35),0)</f>
        <v>0</v>
      </c>
      <c r="R265" s="109">
        <f>IF($BD265&gt;0,(((($BD265/Dashboard!$D$23)+(1+Precificação!$W$589))*(1+R$28))+$P$26)*(1+Dashboard!$D$35),0)</f>
        <v>0</v>
      </c>
      <c r="S265" s="109">
        <f>IF($BD265&gt;0,(((($BD265/Dashboard!$D$23)+(1+Precificação!$W$589))*(1+S$28))+$P$26)*(1+Dashboard!$D$35),0)</f>
        <v>0</v>
      </c>
      <c r="U265" s="109">
        <f>IF(P265&gt;0,P265+U$32,0)</f>
        <v>0</v>
      </c>
      <c r="V265" s="109">
        <f t="shared" ref="V265:X265" si="172">IF(Q265&gt;0,Q265+V$32,0)</f>
        <v>0</v>
      </c>
      <c r="W265" s="109">
        <f t="shared" si="172"/>
        <v>0</v>
      </c>
      <c r="X265" s="109">
        <f t="shared" si="172"/>
        <v>0</v>
      </c>
      <c r="AA265" s="109">
        <f>IF($BD265&gt;0,(((($BD265/Dashboard!$D$23)*(1+Precificação!$W$589)))+$AA$26)*(1+Dashboard!$D$35),0)</f>
        <v>0</v>
      </c>
      <c r="AB265" s="109">
        <f>IF($BD265&gt;0,(((($BD265/Dashboard!$D$23)*(1+Precificação!$W$589))*(1+AB$28))+$AA$26)*(1+Dashboard!$D$35),0)</f>
        <v>0</v>
      </c>
      <c r="AC265" s="109">
        <f>IF($BD265&gt;0,(((($BD265/Dashboard!$D$23)*(1+Precificação!$W$589))*(1+AC$28))+$AA$26)*(1+Dashboard!$D$35),0)</f>
        <v>0</v>
      </c>
      <c r="AD265" s="109">
        <f>IF($BD265&gt;0,(((($BD265/Dashboard!$D$23)*(1+Precificação!$W$589))*(1+AD$28))+$AA$26)*(1+Dashboard!$D$35),0)</f>
        <v>0</v>
      </c>
      <c r="AF265" s="109">
        <f>IF(AA265&gt;0,AA265+AF$32,0)</f>
        <v>0</v>
      </c>
      <c r="AG265" s="109">
        <f t="shared" ref="AG265" si="173">IF(AB265&gt;0,AB265+AG$32,0)</f>
        <v>0</v>
      </c>
      <c r="AH265" s="109">
        <f t="shared" ref="AH265" si="174">IF(AC265&gt;0,AC265+AH$32,0)</f>
        <v>0</v>
      </c>
      <c r="AI265" s="109">
        <f t="shared" ref="AI265" si="175">IF(AD265&gt;0,AD265+AI$32,0)</f>
        <v>0</v>
      </c>
      <c r="AL265" s="109">
        <f>IF($BD265&gt;0,(((($BD265/Dashboard!$D$23)*(1+Precificação!$W$589)))+$AL$26)*(1+Dashboard!$D$35),0)</f>
        <v>0</v>
      </c>
      <c r="AM265" s="109">
        <f>IF($BD265&gt;0,(((($BD265/Dashboard!$D$23)*(1+Precificação!$W$589))*(1+AM$28))+$AA$26)*(1+Dashboard!$D$35),0)</f>
        <v>0</v>
      </c>
      <c r="AN265" s="109">
        <f>IF($BD265&gt;0,(((($BD265/Dashboard!$D$23)*(1+Precificação!$W$589))*(1+AN$28))+$AA$26)*(1+Dashboard!$D$35),0)</f>
        <v>0</v>
      </c>
      <c r="AO265" s="109">
        <f>IF($BD265&gt;0,(((($BD265/Dashboard!$D$23)*(1+Precificação!$W$589))*(1+AO$28))+$AA$26)*(1+Dashboard!$D$35),0)</f>
        <v>0</v>
      </c>
      <c r="AQ265" s="109">
        <f>IF(AL265&gt;0,AL265+AQ$32,0)</f>
        <v>0</v>
      </c>
      <c r="AR265" s="109">
        <f t="shared" ref="AR265" si="176">IF(AM265&gt;0,AM265+AR$32,0)</f>
        <v>0</v>
      </c>
      <c r="AS265" s="109">
        <f t="shared" ref="AS265" si="177">IF(AN265&gt;0,AN265+AS$32,0)</f>
        <v>0</v>
      </c>
      <c r="AT265" s="109">
        <f t="shared" ref="AT265" si="178">IF(AO265&gt;0,AO265+AT$32,0)</f>
        <v>0</v>
      </c>
      <c r="AW265" s="144">
        <f>VLOOKUP(B265,'Cronog. e Histog.'!$B$213:$BT$688,71,0)</f>
        <v>1.9999999999999997E-2</v>
      </c>
      <c r="AX265" s="144">
        <f>VLOOKUP(B265,'Cronog. e Histog.'!$B$213:$BU$688,72,0)</f>
        <v>10</v>
      </c>
      <c r="AY265" s="144">
        <f>$AW265*$AX265*Dashboard!$D$15</f>
        <v>38.72</v>
      </c>
      <c r="AZ265" s="144">
        <f>VLOOKUP(B265,Precificação!$B$96:$BM$533,54,0)</f>
        <v>0</v>
      </c>
      <c r="BA265" s="144">
        <f>VLOOKUP(B265,Precificação!$B$96:$BR$533,58,0)</f>
        <v>0</v>
      </c>
      <c r="BB265" s="144">
        <f>VLOOKUP(B265,Precificação!$B$96:$BW$533,62,0)</f>
        <v>0</v>
      </c>
      <c r="BC265" s="144">
        <f t="shared" ref="BC265" si="179">SUM(AY265:BB265)</f>
        <v>38.72</v>
      </c>
      <c r="BD265" s="109">
        <f>IFERROR(VLOOKUP(B265,Precificação!$B$96:$S$533,13,0),0)</f>
        <v>0</v>
      </c>
      <c r="BE265" s="109">
        <f>IFERROR(VLOOKUP(B265,Precificação!$B$96:$U$533,15,0)/(Precificação!$U$4+Precificação!$U$91),0)*Dashboard!$T$3</f>
        <v>0</v>
      </c>
    </row>
    <row r="266" spans="2:57" ht="12" customHeight="1" outlineLevel="1">
      <c r="B266" s="137" t="str">
        <f>Precificação!B251</f>
        <v>COORD. - Equipe_01</v>
      </c>
      <c r="D266" s="512"/>
      <c r="E266" s="143" t="str">
        <f>IF('Cronog. e Histog.'!G382&gt;0,'Cronog. e Histog.'!G382,"")</f>
        <v>COORD.</v>
      </c>
      <c r="G266" s="179">
        <f t="shared" ref="G266:G284" si="180">IF(AND((AW266*AX266)&gt;0,K266=0),1,0)</f>
        <v>0</v>
      </c>
      <c r="H266" s="110">
        <f>IFERROR(INDEX('Base Salarial'!$D$5:$F$25,MATCH(E266,'Base Salarial'!$G$5:$G$25,0),MATCH(I266,'Base Salarial'!$D$4:$F$4,0)),"")</f>
        <v>19000</v>
      </c>
      <c r="I266" s="78" t="str">
        <f>IFERROR(INDEX(Tarefas!$BQ$29:$FK$29,MATCH(E266,Tarefas!$BQ$30:$FK$30,0)),"")</f>
        <v>PJ</v>
      </c>
      <c r="J266" s="81">
        <f>IF(I266="horista",H266*Dashboard!$D$15,IF(OR(I266="Mensalista",I266="PJ"),H266,))</f>
        <v>19000</v>
      </c>
      <c r="K266" s="81">
        <f>IF(I266="PJ",J266,ROUND(J266*(1+Dashboard!$D$22),2))</f>
        <v>19000</v>
      </c>
      <c r="L266" s="77"/>
      <c r="M266" s="180"/>
      <c r="P266" s="109">
        <f>IF($BD266&gt;0,(((($BD266/Dashboard!$D$15)*(1+Precificação!$W$589)))+$P$26)*(1+Dashboard!$D$35),0)</f>
        <v>0</v>
      </c>
      <c r="Q266" s="109">
        <f>IF($BD266&gt;0,(((($BD266/Dashboard!$D$23)+(1+Precificação!$W$589))*(1+Q$28))+$P$26)*(1+Dashboard!$D$35),0)</f>
        <v>0</v>
      </c>
      <c r="R266" s="109">
        <f>IF($BD266&gt;0,(((($BD266/Dashboard!$D$23)+(1+Precificação!$W$589))*(1+R$28))+$P$26)*(1+Dashboard!$D$35),0)</f>
        <v>0</v>
      </c>
      <c r="S266" s="109">
        <f>IF($BD266&gt;0,(((($BD266/Dashboard!$D$23)+(1+Precificação!$W$589))*(1+S$28))+$P$26)*(1+Dashboard!$D$35),0)</f>
        <v>0</v>
      </c>
      <c r="U266" s="109">
        <f t="shared" ref="U266:U284" si="181">IF(P266&gt;0,P266+U$32,0)</f>
        <v>0</v>
      </c>
      <c r="V266" s="109">
        <f t="shared" ref="V266:V284" si="182">IF(Q266&gt;0,Q266+V$32,0)</f>
        <v>0</v>
      </c>
      <c r="W266" s="109">
        <f t="shared" ref="W266:W284" si="183">IF(R266&gt;0,R266+W$32,0)</f>
        <v>0</v>
      </c>
      <c r="X266" s="109">
        <f t="shared" ref="X266:X284" si="184">IF(S266&gt;0,S266+X$32,0)</f>
        <v>0</v>
      </c>
      <c r="AA266" s="109">
        <f>IF($BD266&gt;0,(((($BD266/Dashboard!$D$23)*(1+Precificação!$W$589)))+$AA$26)*(1+Dashboard!$D$35),0)</f>
        <v>0</v>
      </c>
      <c r="AB266" s="109">
        <f>IF($BD266&gt;0,(((($BD266/Dashboard!$D$23)*(1+Precificação!$W$589))*(1+AB$28))+$AA$26)*(1+Dashboard!$D$35),0)</f>
        <v>0</v>
      </c>
      <c r="AC266" s="109">
        <f>IF($BD266&gt;0,(((($BD266/Dashboard!$D$23)*(1+Precificação!$W$589))*(1+AC$28))+$AA$26)*(1+Dashboard!$D$35),0)</f>
        <v>0</v>
      </c>
      <c r="AD266" s="109">
        <f>IF($BD266&gt;0,(((($BD266/Dashboard!$D$23)*(1+Precificação!$W$589))*(1+AD$28))+$AA$26)*(1+Dashboard!$D$35),0)</f>
        <v>0</v>
      </c>
      <c r="AF266" s="109">
        <f t="shared" ref="AF266:AF284" si="185">IF(AA266&gt;0,AA266+AF$32,0)</f>
        <v>0</v>
      </c>
      <c r="AG266" s="109">
        <f t="shared" ref="AG266:AG284" si="186">IF(AB266&gt;0,AB266+AG$32,0)</f>
        <v>0</v>
      </c>
      <c r="AH266" s="109">
        <f t="shared" ref="AH266:AH284" si="187">IF(AC266&gt;0,AC266+AH$32,0)</f>
        <v>0</v>
      </c>
      <c r="AI266" s="109">
        <f t="shared" ref="AI266:AI284" si="188">IF(AD266&gt;0,AD266+AI$32,0)</f>
        <v>0</v>
      </c>
      <c r="AL266" s="109">
        <f>IF($BD266&gt;0,(((($BD266/Dashboard!$D$23)*(1+Precificação!$W$589)))+$AL$26)*(1+Dashboard!$D$35),0)</f>
        <v>0</v>
      </c>
      <c r="AM266" s="109">
        <f>IF($BD266&gt;0,(((($BD266/Dashboard!$D$23)*(1+Precificação!$W$589))*(1+AM$28))+$AA$26)*(1+Dashboard!$D$35),0)</f>
        <v>0</v>
      </c>
      <c r="AN266" s="109">
        <f>IF($BD266&gt;0,(((($BD266/Dashboard!$D$23)*(1+Precificação!$W$589))*(1+AN$28))+$AA$26)*(1+Dashboard!$D$35),0)</f>
        <v>0</v>
      </c>
      <c r="AO266" s="109">
        <f>IF($BD266&gt;0,(((($BD266/Dashboard!$D$23)*(1+Precificação!$W$589))*(1+AO$28))+$AA$26)*(1+Dashboard!$D$35),0)</f>
        <v>0</v>
      </c>
      <c r="AQ266" s="109">
        <f t="shared" ref="AQ266:AQ284" si="189">IF(AL266&gt;0,AL266+AQ$32,0)</f>
        <v>0</v>
      </c>
      <c r="AR266" s="109">
        <f t="shared" ref="AR266:AR284" si="190">IF(AM266&gt;0,AM266+AR$32,0)</f>
        <v>0</v>
      </c>
      <c r="AS266" s="109">
        <f t="shared" ref="AS266:AS284" si="191">IF(AN266&gt;0,AN266+AS$32,0)</f>
        <v>0</v>
      </c>
      <c r="AT266" s="109">
        <f t="shared" ref="AT266:AT284" si="192">IF(AO266&gt;0,AO266+AT$32,0)</f>
        <v>0</v>
      </c>
      <c r="AW266" s="144">
        <f>VLOOKUP(B266,'Cronog. e Histog.'!$B$213:$BT$688,71,0)</f>
        <v>1</v>
      </c>
      <c r="AX266" s="144">
        <f>VLOOKUP(B266,'Cronog. e Histog.'!$B$213:$BU$688,72,0)</f>
        <v>10</v>
      </c>
      <c r="AY266" s="144">
        <f>$AW266*$AX266*Dashboard!$D$15</f>
        <v>1936.0000000000002</v>
      </c>
      <c r="AZ266" s="144">
        <f>VLOOKUP(B266,Precificação!$B$96:$BM$533,54,0)</f>
        <v>0</v>
      </c>
      <c r="BA266" s="144">
        <f>VLOOKUP(B266,Precificação!$B$96:$BR$533,58,0)</f>
        <v>0</v>
      </c>
      <c r="BB266" s="144">
        <f>VLOOKUP(B266,Precificação!$B$96:$BW$533,62,0)</f>
        <v>0</v>
      </c>
      <c r="BC266" s="144">
        <f t="shared" ref="BC266:BC284" si="193">SUM(AY266:BB266)</f>
        <v>1936.0000000000002</v>
      </c>
      <c r="BD266" s="109">
        <f>IFERROR(VLOOKUP(B266,Precificação!$B$96:$S$533,13,0),0)</f>
        <v>0</v>
      </c>
      <c r="BE266" s="109">
        <f>IFERROR(VLOOKUP(B266,Precificação!$B$96:$U$533,15,0)/(Precificação!$U$4+Precificação!$U$91),0)*Dashboard!$T$3</f>
        <v>0</v>
      </c>
    </row>
    <row r="267" spans="2:57" ht="12" customHeight="1" outlineLevel="1">
      <c r="B267" s="137" t="str">
        <f>Precificação!B252</f>
        <v>SUP.-ESP - Equipe_01</v>
      </c>
      <c r="D267" s="512"/>
      <c r="E267" s="143" t="str">
        <f>IF('Cronog. e Histog.'!G383&gt;0,'Cronog. e Histog.'!G383,"")</f>
        <v>SUP.-ESP</v>
      </c>
      <c r="G267" s="179">
        <f t="shared" si="180"/>
        <v>0</v>
      </c>
      <c r="H267" s="110">
        <f>IFERROR(INDEX('Base Salarial'!$D$5:$F$25,MATCH(E267,'Base Salarial'!$G$5:$G$25,0),MATCH(I267,'Base Salarial'!$D$4:$F$4,0)),"")</f>
        <v>9166.6666666666679</v>
      </c>
      <c r="I267" s="78" t="str">
        <f>IFERROR(INDEX(Tarefas!$BQ$29:$FK$29,MATCH(E267,Tarefas!$BQ$30:$FK$30,0)),"")</f>
        <v>Mensalista</v>
      </c>
      <c r="J267" s="81">
        <f>IF(I267="horista",H267*Dashboard!$D$15,IF(OR(I267="Mensalista",I267="PJ"),H267,))</f>
        <v>9166.6666666666679</v>
      </c>
      <c r="K267" s="81">
        <f>IF(I267="PJ",J267,ROUND(J267*(1+Dashboard!$D$22),2))</f>
        <v>9716.67</v>
      </c>
      <c r="L267" s="77"/>
      <c r="M267" s="180"/>
      <c r="P267" s="109">
        <f>IF($BD267&gt;0,(((($BD267/Dashboard!$D$15)*(1+Precificação!$W$589)))+$P$26)*(1+Dashboard!$D$35),0)</f>
        <v>0</v>
      </c>
      <c r="Q267" s="109">
        <f>IF($BD267&gt;0,(((($BD267/Dashboard!$D$23)+(1+Precificação!$W$589))*(1+Q$28))+$P$26)*(1+Dashboard!$D$35),0)</f>
        <v>0</v>
      </c>
      <c r="R267" s="109">
        <f>IF($BD267&gt;0,(((($BD267/Dashboard!$D$23)+(1+Precificação!$W$589))*(1+R$28))+$P$26)*(1+Dashboard!$D$35),0)</f>
        <v>0</v>
      </c>
      <c r="S267" s="109">
        <f>IF($BD267&gt;0,(((($BD267/Dashboard!$D$23)+(1+Precificação!$W$589))*(1+S$28))+$P$26)*(1+Dashboard!$D$35),0)</f>
        <v>0</v>
      </c>
      <c r="U267" s="109">
        <f t="shared" si="181"/>
        <v>0</v>
      </c>
      <c r="V267" s="109">
        <f t="shared" si="182"/>
        <v>0</v>
      </c>
      <c r="W267" s="109">
        <f t="shared" si="183"/>
        <v>0</v>
      </c>
      <c r="X267" s="109">
        <f t="shared" si="184"/>
        <v>0</v>
      </c>
      <c r="AA267" s="109">
        <f>IF($BD267&gt;0,(((($BD267/Dashboard!$D$23)*(1+Precificação!$W$589)))+$AA$26)*(1+Dashboard!$D$35),0)</f>
        <v>0</v>
      </c>
      <c r="AB267" s="109">
        <f>IF($BD267&gt;0,(((($BD267/Dashboard!$D$23)*(1+Precificação!$W$589))*(1+AB$28))+$AA$26)*(1+Dashboard!$D$35),0)</f>
        <v>0</v>
      </c>
      <c r="AC267" s="109">
        <f>IF($BD267&gt;0,(((($BD267/Dashboard!$D$23)*(1+Precificação!$W$589))*(1+AC$28))+$AA$26)*(1+Dashboard!$D$35),0)</f>
        <v>0</v>
      </c>
      <c r="AD267" s="109">
        <f>IF($BD267&gt;0,(((($BD267/Dashboard!$D$23)*(1+Precificação!$W$589))*(1+AD$28))+$AA$26)*(1+Dashboard!$D$35),0)</f>
        <v>0</v>
      </c>
      <c r="AF267" s="109">
        <f t="shared" si="185"/>
        <v>0</v>
      </c>
      <c r="AG267" s="109">
        <f t="shared" si="186"/>
        <v>0</v>
      </c>
      <c r="AH267" s="109">
        <f t="shared" si="187"/>
        <v>0</v>
      </c>
      <c r="AI267" s="109">
        <f t="shared" si="188"/>
        <v>0</v>
      </c>
      <c r="AL267" s="109">
        <f>IF($BD267&gt;0,(((($BD267/Dashboard!$D$23)*(1+Precificação!$W$589)))+$AL$26)*(1+Dashboard!$D$35),0)</f>
        <v>0</v>
      </c>
      <c r="AM267" s="109">
        <f>IF($BD267&gt;0,(((($BD267/Dashboard!$D$23)*(1+Precificação!$W$589))*(1+AM$28))+$AA$26)*(1+Dashboard!$D$35),0)</f>
        <v>0</v>
      </c>
      <c r="AN267" s="109">
        <f>IF($BD267&gt;0,(((($BD267/Dashboard!$D$23)*(1+Precificação!$W$589))*(1+AN$28))+$AA$26)*(1+Dashboard!$D$35),0)</f>
        <v>0</v>
      </c>
      <c r="AO267" s="109">
        <f>IF($BD267&gt;0,(((($BD267/Dashboard!$D$23)*(1+Precificação!$W$589))*(1+AO$28))+$AA$26)*(1+Dashboard!$D$35),0)</f>
        <v>0</v>
      </c>
      <c r="AQ267" s="109">
        <f t="shared" si="189"/>
        <v>0</v>
      </c>
      <c r="AR267" s="109">
        <f t="shared" si="190"/>
        <v>0</v>
      </c>
      <c r="AS267" s="109">
        <f t="shared" si="191"/>
        <v>0</v>
      </c>
      <c r="AT267" s="109">
        <f t="shared" si="192"/>
        <v>0</v>
      </c>
      <c r="AW267" s="144">
        <f>VLOOKUP(B267,'Cronog. e Histog.'!$B$213:$BT$688,71,0)</f>
        <v>0</v>
      </c>
      <c r="AX267" s="144">
        <f>VLOOKUP(B267,'Cronog. e Histog.'!$B$213:$BU$688,72,0)</f>
        <v>0</v>
      </c>
      <c r="AY267" s="144">
        <f>$AW267*$AX267*Dashboard!$D$15</f>
        <v>0</v>
      </c>
      <c r="AZ267" s="144">
        <f>VLOOKUP(B267,Precificação!$B$96:$BM$533,54,0)</f>
        <v>0</v>
      </c>
      <c r="BA267" s="144">
        <f>VLOOKUP(B267,Precificação!$B$96:$BR$533,58,0)</f>
        <v>0</v>
      </c>
      <c r="BB267" s="144">
        <f>VLOOKUP(B267,Precificação!$B$96:$BW$533,62,0)</f>
        <v>0</v>
      </c>
      <c r="BC267" s="144">
        <f t="shared" si="193"/>
        <v>0</v>
      </c>
      <c r="BD267" s="109">
        <f>IFERROR(VLOOKUP(B267,Precificação!$B$96:$S$533,13,0),0)</f>
        <v>0</v>
      </c>
      <c r="BE267" s="109">
        <f>IFERROR(VLOOKUP(B267,Precificação!$B$96:$U$533,15,0)/(Precificação!$U$4+Precificação!$U$91),0)*Dashboard!$T$3</f>
        <v>0</v>
      </c>
    </row>
    <row r="268" spans="2:57" ht="12" customHeight="1" outlineLevel="1">
      <c r="B268" s="137" t="str">
        <f>Precificação!B253</f>
        <v>ENG/ARQ SR. - Equipe_01</v>
      </c>
      <c r="D268" s="512"/>
      <c r="E268" s="143" t="str">
        <f>IF('Cronog. e Histog.'!G384&gt;0,'Cronog. e Histog.'!G384,"")</f>
        <v>ENG/ARQ SR.</v>
      </c>
      <c r="G268" s="179">
        <f t="shared" si="180"/>
        <v>0</v>
      </c>
      <c r="H268" s="110">
        <f>IFERROR(INDEX('Base Salarial'!$D$5:$F$25,MATCH(E268,'Base Salarial'!$G$5:$G$25,0),MATCH(I268,'Base Salarial'!$D$4:$F$4,0)),"")</f>
        <v>16000</v>
      </c>
      <c r="I268" s="78" t="str">
        <f>IFERROR(INDEX(Tarefas!$BQ$29:$FK$29,MATCH(E268,Tarefas!$BQ$30:$FK$30,0)),"")</f>
        <v>PJ</v>
      </c>
      <c r="J268" s="81">
        <f>IF(I268="horista",H268*Dashboard!$D$15,IF(OR(I268="Mensalista",I268="PJ"),H268,))</f>
        <v>16000</v>
      </c>
      <c r="K268" s="81">
        <f>IF(I268="PJ",J268,ROUND(J268*(1+Dashboard!$D$22),2))</f>
        <v>16000</v>
      </c>
      <c r="L268" s="77"/>
      <c r="M268" s="180"/>
      <c r="P268" s="109">
        <f>IF($BD268&gt;0,(((($BD268/Dashboard!$D$15)*(1+Precificação!$W$589)))+$P$26)*(1+Dashboard!$D$35),0)</f>
        <v>0</v>
      </c>
      <c r="Q268" s="109">
        <f>IF($BD268&gt;0,(((($BD268/Dashboard!$D$23)+(1+Precificação!$W$589))*(1+Q$28))+$P$26)*(1+Dashboard!$D$35),0)</f>
        <v>0</v>
      </c>
      <c r="R268" s="109">
        <f>IF($BD268&gt;0,(((($BD268/Dashboard!$D$23)+(1+Precificação!$W$589))*(1+R$28))+$P$26)*(1+Dashboard!$D$35),0)</f>
        <v>0</v>
      </c>
      <c r="S268" s="109">
        <f>IF($BD268&gt;0,(((($BD268/Dashboard!$D$23)+(1+Precificação!$W$589))*(1+S$28))+$P$26)*(1+Dashboard!$D$35),0)</f>
        <v>0</v>
      </c>
      <c r="U268" s="109">
        <f t="shared" si="181"/>
        <v>0</v>
      </c>
      <c r="V268" s="109">
        <f t="shared" si="182"/>
        <v>0</v>
      </c>
      <c r="W268" s="109">
        <f t="shared" si="183"/>
        <v>0</v>
      </c>
      <c r="X268" s="109">
        <f t="shared" si="184"/>
        <v>0</v>
      </c>
      <c r="AA268" s="109">
        <f>IF($BD268&gt;0,(((($BD268/Dashboard!$D$23)*(1+Precificação!$W$589)))+$AA$26)*(1+Dashboard!$D$35),0)</f>
        <v>0</v>
      </c>
      <c r="AB268" s="109">
        <f>IF($BD268&gt;0,(((($BD268/Dashboard!$D$23)*(1+Precificação!$W$589))*(1+AB$28))+$AA$26)*(1+Dashboard!$D$35),0)</f>
        <v>0</v>
      </c>
      <c r="AC268" s="109">
        <f>IF($BD268&gt;0,(((($BD268/Dashboard!$D$23)*(1+Precificação!$W$589))*(1+AC$28))+$AA$26)*(1+Dashboard!$D$35),0)</f>
        <v>0</v>
      </c>
      <c r="AD268" s="109">
        <f>IF($BD268&gt;0,(((($BD268/Dashboard!$D$23)*(1+Precificação!$W$589))*(1+AD$28))+$AA$26)*(1+Dashboard!$D$35),0)</f>
        <v>0</v>
      </c>
      <c r="AF268" s="109">
        <f t="shared" si="185"/>
        <v>0</v>
      </c>
      <c r="AG268" s="109">
        <f t="shared" si="186"/>
        <v>0</v>
      </c>
      <c r="AH268" s="109">
        <f t="shared" si="187"/>
        <v>0</v>
      </c>
      <c r="AI268" s="109">
        <f t="shared" si="188"/>
        <v>0</v>
      </c>
      <c r="AL268" s="109">
        <f>IF($BD268&gt;0,(((($BD268/Dashboard!$D$23)*(1+Precificação!$W$589)))+$AL$26)*(1+Dashboard!$D$35),0)</f>
        <v>0</v>
      </c>
      <c r="AM268" s="109">
        <f>IF($BD268&gt;0,(((($BD268/Dashboard!$D$23)*(1+Precificação!$W$589))*(1+AM$28))+$AA$26)*(1+Dashboard!$D$35),0)</f>
        <v>0</v>
      </c>
      <c r="AN268" s="109">
        <f>IF($BD268&gt;0,(((($BD268/Dashboard!$D$23)*(1+Precificação!$W$589))*(1+AN$28))+$AA$26)*(1+Dashboard!$D$35),0)</f>
        <v>0</v>
      </c>
      <c r="AO268" s="109">
        <f>IF($BD268&gt;0,(((($BD268/Dashboard!$D$23)*(1+Precificação!$W$589))*(1+AO$28))+$AA$26)*(1+Dashboard!$D$35),0)</f>
        <v>0</v>
      </c>
      <c r="AQ268" s="109">
        <f t="shared" si="189"/>
        <v>0</v>
      </c>
      <c r="AR268" s="109">
        <f t="shared" si="190"/>
        <v>0</v>
      </c>
      <c r="AS268" s="109">
        <f t="shared" si="191"/>
        <v>0</v>
      </c>
      <c r="AT268" s="109">
        <f t="shared" si="192"/>
        <v>0</v>
      </c>
      <c r="AW268" s="144">
        <f>VLOOKUP(B268,'Cronog. e Histog.'!$B$213:$BT$688,71,0)</f>
        <v>9.9999999999999985E-3</v>
      </c>
      <c r="AX268" s="144">
        <f>VLOOKUP(B268,'Cronog. e Histog.'!$B$213:$BU$688,72,0)</f>
        <v>10</v>
      </c>
      <c r="AY268" s="144">
        <f>$AW268*$AX268*Dashboard!$D$15</f>
        <v>19.36</v>
      </c>
      <c r="AZ268" s="144">
        <f>VLOOKUP(B268,Precificação!$B$96:$BM$533,54,0)</f>
        <v>0</v>
      </c>
      <c r="BA268" s="144">
        <f>VLOOKUP(B268,Precificação!$B$96:$BR$533,58,0)</f>
        <v>0</v>
      </c>
      <c r="BB268" s="144">
        <f>VLOOKUP(B268,Precificação!$B$96:$BW$533,62,0)</f>
        <v>0</v>
      </c>
      <c r="BC268" s="144">
        <f t="shared" si="193"/>
        <v>19.36</v>
      </c>
      <c r="BD268" s="109">
        <f>IFERROR(VLOOKUP(B268,Precificação!$B$96:$S$533,13,0),0)</f>
        <v>0</v>
      </c>
      <c r="BE268" s="109">
        <f>IFERROR(VLOOKUP(B268,Precificação!$B$96:$U$533,15,0)/(Precificação!$U$4+Precificação!$U$91),0)*Dashboard!$T$3</f>
        <v>0</v>
      </c>
    </row>
    <row r="269" spans="2:57" ht="12" customHeight="1" outlineLevel="1">
      <c r="B269" s="137" t="str">
        <f>Precificação!B254</f>
        <v>ENG/ARQ PL. - Equipe_01</v>
      </c>
      <c r="D269" s="512"/>
      <c r="E269" s="143" t="str">
        <f>IF('Cronog. e Histog.'!G385&gt;0,'Cronog. e Histog.'!G385,"")</f>
        <v>ENG/ARQ PL.</v>
      </c>
      <c r="G269" s="179">
        <f t="shared" si="180"/>
        <v>0</v>
      </c>
      <c r="H269" s="110">
        <f>IFERROR(INDEX('Base Salarial'!$D$5:$F$25,MATCH(E269,'Base Salarial'!$G$5:$G$25,0),MATCH(I269,'Base Salarial'!$D$4:$F$4,0)),"")</f>
        <v>14000</v>
      </c>
      <c r="I269" s="78" t="str">
        <f>IFERROR(INDEX(Tarefas!$BQ$29:$FK$29,MATCH(E269,Tarefas!$BQ$30:$FK$30,0)),"")</f>
        <v>PJ</v>
      </c>
      <c r="J269" s="81">
        <f>IF(I269="horista",H269*Dashboard!$D$15,IF(OR(I269="Mensalista",I269="PJ"),H269,))</f>
        <v>14000</v>
      </c>
      <c r="K269" s="81">
        <f>IF(I269="PJ",J269,ROUND(J269*(1+Dashboard!$D$22),2))</f>
        <v>14000</v>
      </c>
      <c r="L269" s="77"/>
      <c r="M269" s="180"/>
      <c r="P269" s="109">
        <f>IF($BD269&gt;0,(((($BD269/Dashboard!$D$15)*(1+Precificação!$W$589)))+$P$26)*(1+Dashboard!$D$35),0)</f>
        <v>0</v>
      </c>
      <c r="Q269" s="109">
        <f>IF($BD269&gt;0,(((($BD269/Dashboard!$D$23)+(1+Precificação!$W$589))*(1+Q$28))+$P$26)*(1+Dashboard!$D$35),0)</f>
        <v>0</v>
      </c>
      <c r="R269" s="109">
        <f>IF($BD269&gt;0,(((($BD269/Dashboard!$D$23)+(1+Precificação!$W$589))*(1+R$28))+$P$26)*(1+Dashboard!$D$35),0)</f>
        <v>0</v>
      </c>
      <c r="S269" s="109">
        <f>IF($BD269&gt;0,(((($BD269/Dashboard!$D$23)+(1+Precificação!$W$589))*(1+S$28))+$P$26)*(1+Dashboard!$D$35),0)</f>
        <v>0</v>
      </c>
      <c r="U269" s="109">
        <f t="shared" si="181"/>
        <v>0</v>
      </c>
      <c r="V269" s="109">
        <f t="shared" si="182"/>
        <v>0</v>
      </c>
      <c r="W269" s="109">
        <f t="shared" si="183"/>
        <v>0</v>
      </c>
      <c r="X269" s="109">
        <f t="shared" si="184"/>
        <v>0</v>
      </c>
      <c r="AA269" s="109">
        <f>IF($BD269&gt;0,(((($BD269/Dashboard!$D$23)*(1+Precificação!$W$589)))+$AA$26)*(1+Dashboard!$D$35),0)</f>
        <v>0</v>
      </c>
      <c r="AB269" s="109">
        <f>IF($BD269&gt;0,(((($BD269/Dashboard!$D$23)*(1+Precificação!$W$589))*(1+AB$28))+$AA$26)*(1+Dashboard!$D$35),0)</f>
        <v>0</v>
      </c>
      <c r="AC269" s="109">
        <f>IF($BD269&gt;0,(((($BD269/Dashboard!$D$23)*(1+Precificação!$W$589))*(1+AC$28))+$AA$26)*(1+Dashboard!$D$35),0)</f>
        <v>0</v>
      </c>
      <c r="AD269" s="109">
        <f>IF($BD269&gt;0,(((($BD269/Dashboard!$D$23)*(1+Precificação!$W$589))*(1+AD$28))+$AA$26)*(1+Dashboard!$D$35),0)</f>
        <v>0</v>
      </c>
      <c r="AF269" s="109">
        <f t="shared" si="185"/>
        <v>0</v>
      </c>
      <c r="AG269" s="109">
        <f t="shared" si="186"/>
        <v>0</v>
      </c>
      <c r="AH269" s="109">
        <f t="shared" si="187"/>
        <v>0</v>
      </c>
      <c r="AI269" s="109">
        <f t="shared" si="188"/>
        <v>0</v>
      </c>
      <c r="AL269" s="109">
        <f>IF($BD269&gt;0,(((($BD269/Dashboard!$D$23)*(1+Precificação!$W$589)))+$AL$26)*(1+Dashboard!$D$35),0)</f>
        <v>0</v>
      </c>
      <c r="AM269" s="109">
        <f>IF($BD269&gt;0,(((($BD269/Dashboard!$D$23)*(1+Precificação!$W$589))*(1+AM$28))+$AA$26)*(1+Dashboard!$D$35),0)</f>
        <v>0</v>
      </c>
      <c r="AN269" s="109">
        <f>IF($BD269&gt;0,(((($BD269/Dashboard!$D$23)*(1+Precificação!$W$589))*(1+AN$28))+$AA$26)*(1+Dashboard!$D$35),0)</f>
        <v>0</v>
      </c>
      <c r="AO269" s="109">
        <f>IF($BD269&gt;0,(((($BD269/Dashboard!$D$23)*(1+Precificação!$W$589))*(1+AO$28))+$AA$26)*(1+Dashboard!$D$35),0)</f>
        <v>0</v>
      </c>
      <c r="AQ269" s="109">
        <f t="shared" si="189"/>
        <v>0</v>
      </c>
      <c r="AR269" s="109">
        <f t="shared" si="190"/>
        <v>0</v>
      </c>
      <c r="AS269" s="109">
        <f t="shared" si="191"/>
        <v>0</v>
      </c>
      <c r="AT269" s="109">
        <f t="shared" si="192"/>
        <v>0</v>
      </c>
      <c r="AW269" s="144">
        <f>VLOOKUP(B269,'Cronog. e Histog.'!$B$213:$BT$688,71,0)</f>
        <v>0</v>
      </c>
      <c r="AX269" s="144">
        <f>VLOOKUP(B269,'Cronog. e Histog.'!$B$213:$BU$688,72,0)</f>
        <v>0</v>
      </c>
      <c r="AY269" s="144">
        <f>$AW269*$AX269*Dashboard!$D$15</f>
        <v>0</v>
      </c>
      <c r="AZ269" s="144">
        <f>VLOOKUP(B269,Precificação!$B$96:$BM$533,54,0)</f>
        <v>0</v>
      </c>
      <c r="BA269" s="144">
        <f>VLOOKUP(B269,Precificação!$B$96:$BR$533,58,0)</f>
        <v>0</v>
      </c>
      <c r="BB269" s="144">
        <f>VLOOKUP(B269,Precificação!$B$96:$BW$533,62,0)</f>
        <v>0</v>
      </c>
      <c r="BC269" s="144">
        <f t="shared" si="193"/>
        <v>0</v>
      </c>
      <c r="BD269" s="109">
        <f>IFERROR(VLOOKUP(B269,Precificação!$B$96:$S$533,13,0),0)</f>
        <v>0</v>
      </c>
      <c r="BE269" s="109">
        <f>IFERROR(VLOOKUP(B269,Precificação!$B$96:$U$533,15,0)/(Precificação!$U$4+Precificação!$U$91),0)*Dashboard!$T$3</f>
        <v>0</v>
      </c>
    </row>
    <row r="270" spans="2:57" ht="12" customHeight="1" outlineLevel="1">
      <c r="B270" s="137" t="str">
        <f>Precificação!B255</f>
        <v>ENG/ARQ JR. - Equipe_01</v>
      </c>
      <c r="D270" s="512"/>
      <c r="E270" s="143" t="str">
        <f>IF('Cronog. e Histog.'!G386&gt;0,'Cronog. e Histog.'!G386,"")</f>
        <v>ENG/ARQ JR.</v>
      </c>
      <c r="G270" s="179">
        <f t="shared" si="180"/>
        <v>0</v>
      </c>
      <c r="H270" s="110">
        <f>IFERROR(INDEX('Base Salarial'!$D$5:$F$25,MATCH(E270,'Base Salarial'!$G$5:$G$25,0),MATCH(I270,'Base Salarial'!$D$4:$F$4,0)),"")</f>
        <v>14000</v>
      </c>
      <c r="I270" s="78" t="str">
        <f>IFERROR(INDEX(Tarefas!$BQ$29:$FK$29,MATCH(E270,Tarefas!$BQ$30:$FK$30,0)),"")</f>
        <v>PJ</v>
      </c>
      <c r="J270" s="81">
        <f>IF(I270="horista",H270*Dashboard!$D$15,IF(OR(I270="Mensalista",I270="PJ"),H270,))</f>
        <v>14000</v>
      </c>
      <c r="K270" s="81">
        <f>IF(I270="PJ",J270,ROUND(J270*(1+Dashboard!$D$22),2))</f>
        <v>14000</v>
      </c>
      <c r="L270" s="77"/>
      <c r="M270" s="180"/>
      <c r="P270" s="109">
        <f>IF($BD270&gt;0,(((($BD270/Dashboard!$D$15)*(1+Precificação!$W$589)))+$P$26)*(1+Dashboard!$D$35),0)</f>
        <v>0</v>
      </c>
      <c r="Q270" s="109">
        <f>IF($BD270&gt;0,(((($BD270/Dashboard!$D$23)+(1+Precificação!$W$589))*(1+Q$28))+$P$26)*(1+Dashboard!$D$35),0)</f>
        <v>0</v>
      </c>
      <c r="R270" s="109">
        <f>IF($BD270&gt;0,(((($BD270/Dashboard!$D$23)+(1+Precificação!$W$589))*(1+R$28))+$P$26)*(1+Dashboard!$D$35),0)</f>
        <v>0</v>
      </c>
      <c r="S270" s="109">
        <f>IF($BD270&gt;0,(((($BD270/Dashboard!$D$23)+(1+Precificação!$W$589))*(1+S$28))+$P$26)*(1+Dashboard!$D$35),0)</f>
        <v>0</v>
      </c>
      <c r="U270" s="109">
        <f t="shared" si="181"/>
        <v>0</v>
      </c>
      <c r="V270" s="109">
        <f t="shared" si="182"/>
        <v>0</v>
      </c>
      <c r="W270" s="109">
        <f t="shared" si="183"/>
        <v>0</v>
      </c>
      <c r="X270" s="109">
        <f t="shared" si="184"/>
        <v>0</v>
      </c>
      <c r="AA270" s="109">
        <f>IF($BD270&gt;0,(((($BD270/Dashboard!$D$23)*(1+Precificação!$W$589)))+$AA$26)*(1+Dashboard!$D$35),0)</f>
        <v>0</v>
      </c>
      <c r="AB270" s="109">
        <f>IF($BD270&gt;0,(((($BD270/Dashboard!$D$23)*(1+Precificação!$W$589))*(1+AB$28))+$AA$26)*(1+Dashboard!$D$35),0)</f>
        <v>0</v>
      </c>
      <c r="AC270" s="109">
        <f>IF($BD270&gt;0,(((($BD270/Dashboard!$D$23)*(1+Precificação!$W$589))*(1+AC$28))+$AA$26)*(1+Dashboard!$D$35),0)</f>
        <v>0</v>
      </c>
      <c r="AD270" s="109">
        <f>IF($BD270&gt;0,(((($BD270/Dashboard!$D$23)*(1+Precificação!$W$589))*(1+AD$28))+$AA$26)*(1+Dashboard!$D$35),0)</f>
        <v>0</v>
      </c>
      <c r="AF270" s="109">
        <f t="shared" si="185"/>
        <v>0</v>
      </c>
      <c r="AG270" s="109">
        <f t="shared" si="186"/>
        <v>0</v>
      </c>
      <c r="AH270" s="109">
        <f t="shared" si="187"/>
        <v>0</v>
      </c>
      <c r="AI270" s="109">
        <f t="shared" si="188"/>
        <v>0</v>
      </c>
      <c r="AL270" s="109">
        <f>IF($BD270&gt;0,(((($BD270/Dashboard!$D$23)*(1+Precificação!$W$589)))+$AL$26)*(1+Dashboard!$D$35),0)</f>
        <v>0</v>
      </c>
      <c r="AM270" s="109">
        <f>IF($BD270&gt;0,(((($BD270/Dashboard!$D$23)*(1+Precificação!$W$589))*(1+AM$28))+$AA$26)*(1+Dashboard!$D$35),0)</f>
        <v>0</v>
      </c>
      <c r="AN270" s="109">
        <f>IF($BD270&gt;0,(((($BD270/Dashboard!$D$23)*(1+Precificação!$W$589))*(1+AN$28))+$AA$26)*(1+Dashboard!$D$35),0)</f>
        <v>0</v>
      </c>
      <c r="AO270" s="109">
        <f>IF($BD270&gt;0,(((($BD270/Dashboard!$D$23)*(1+Precificação!$W$589))*(1+AO$28))+$AA$26)*(1+Dashboard!$D$35),0)</f>
        <v>0</v>
      </c>
      <c r="AQ270" s="109">
        <f t="shared" si="189"/>
        <v>0</v>
      </c>
      <c r="AR270" s="109">
        <f t="shared" si="190"/>
        <v>0</v>
      </c>
      <c r="AS270" s="109">
        <f t="shared" si="191"/>
        <v>0</v>
      </c>
      <c r="AT270" s="109">
        <f t="shared" si="192"/>
        <v>0</v>
      </c>
      <c r="AW270" s="144">
        <f>VLOOKUP(B270,'Cronog. e Histog.'!$B$213:$BT$688,71,0)</f>
        <v>0</v>
      </c>
      <c r="AX270" s="144">
        <f>VLOOKUP(B270,'Cronog. e Histog.'!$B$213:$BU$688,72,0)</f>
        <v>0</v>
      </c>
      <c r="AY270" s="144">
        <f>$AW270*$AX270*Dashboard!$D$15</f>
        <v>0</v>
      </c>
      <c r="AZ270" s="144">
        <f>VLOOKUP(B270,Precificação!$B$96:$BM$533,54,0)</f>
        <v>0</v>
      </c>
      <c r="BA270" s="144">
        <f>VLOOKUP(B270,Precificação!$B$96:$BR$533,58,0)</f>
        <v>0</v>
      </c>
      <c r="BB270" s="144">
        <f>VLOOKUP(B270,Precificação!$B$96:$BW$533,62,0)</f>
        <v>0</v>
      </c>
      <c r="BC270" s="144">
        <f t="shared" si="193"/>
        <v>0</v>
      </c>
      <c r="BD270" s="109">
        <f>IFERROR(VLOOKUP(B270,Precificação!$B$96:$S$533,13,0),0)</f>
        <v>0</v>
      </c>
      <c r="BE270" s="109">
        <f>IFERROR(VLOOKUP(B270,Precificação!$B$96:$U$533,15,0)/(Precificação!$U$4+Precificação!$U$91),0)*Dashboard!$T$3</f>
        <v>0</v>
      </c>
    </row>
    <row r="271" spans="2:57" ht="12" customHeight="1" outlineLevel="1">
      <c r="B271" s="137" t="str">
        <f>Precificação!B256</f>
        <v>AN SR. ENG/ARQ - Equipe_01</v>
      </c>
      <c r="D271" s="512"/>
      <c r="E271" s="143" t="str">
        <f>IF('Cronog. e Histog.'!G387&gt;0,'Cronog. e Histog.'!G387,"")</f>
        <v>AN SR. ENG/ARQ</v>
      </c>
      <c r="G271" s="179">
        <f t="shared" si="180"/>
        <v>0</v>
      </c>
      <c r="H271" s="110">
        <f>IFERROR(INDEX('Base Salarial'!$D$5:$F$25,MATCH(E271,'Base Salarial'!$G$5:$G$25,0),MATCH(I271,'Base Salarial'!$D$4:$F$4,0)),"")</f>
        <v>7500</v>
      </c>
      <c r="I271" s="78" t="str">
        <f>IFERROR(INDEX(Tarefas!$BQ$29:$FK$29,MATCH(E271,Tarefas!$BQ$30:$FK$30,0)),"")</f>
        <v>Mensalista</v>
      </c>
      <c r="J271" s="81">
        <f>IF(I271="horista",H271*Dashboard!$D$15,IF(OR(I271="Mensalista",I271="PJ"),H271,))</f>
        <v>7500</v>
      </c>
      <c r="K271" s="81">
        <f>IF(I271="PJ",J271,ROUND(J271*(1+Dashboard!$D$22),2))</f>
        <v>7950</v>
      </c>
      <c r="L271" s="77"/>
      <c r="M271" s="180"/>
      <c r="P271" s="109">
        <f>IF($BD271&gt;0,(((($BD271/Dashboard!$D$15)*(1+Precificação!$W$589)))+$P$26)*(1+Dashboard!$D$35),0)</f>
        <v>0</v>
      </c>
      <c r="Q271" s="109">
        <f>IF($BD271&gt;0,(((($BD271/Dashboard!$D$23)+(1+Precificação!$W$589))*(1+Q$28))+$P$26)*(1+Dashboard!$D$35),0)</f>
        <v>0</v>
      </c>
      <c r="R271" s="109">
        <f>IF($BD271&gt;0,(((($BD271/Dashboard!$D$23)+(1+Precificação!$W$589))*(1+R$28))+$P$26)*(1+Dashboard!$D$35),0)</f>
        <v>0</v>
      </c>
      <c r="S271" s="109">
        <f>IF($BD271&gt;0,(((($BD271/Dashboard!$D$23)+(1+Precificação!$W$589))*(1+S$28))+$P$26)*(1+Dashboard!$D$35),0)</f>
        <v>0</v>
      </c>
      <c r="U271" s="109">
        <f t="shared" si="181"/>
        <v>0</v>
      </c>
      <c r="V271" s="109">
        <f t="shared" si="182"/>
        <v>0</v>
      </c>
      <c r="W271" s="109">
        <f t="shared" si="183"/>
        <v>0</v>
      </c>
      <c r="X271" s="109">
        <f t="shared" si="184"/>
        <v>0</v>
      </c>
      <c r="AA271" s="109">
        <f>IF($BD271&gt;0,(((($BD271/Dashboard!$D$23)*(1+Precificação!$W$589)))+$AA$26)*(1+Dashboard!$D$35),0)</f>
        <v>0</v>
      </c>
      <c r="AB271" s="109">
        <f>IF($BD271&gt;0,(((($BD271/Dashboard!$D$23)*(1+Precificação!$W$589))*(1+AB$28))+$AA$26)*(1+Dashboard!$D$35),0)</f>
        <v>0</v>
      </c>
      <c r="AC271" s="109">
        <f>IF($BD271&gt;0,(((($BD271/Dashboard!$D$23)*(1+Precificação!$W$589))*(1+AC$28))+$AA$26)*(1+Dashboard!$D$35),0)</f>
        <v>0</v>
      </c>
      <c r="AD271" s="109">
        <f>IF($BD271&gt;0,(((($BD271/Dashboard!$D$23)*(1+Precificação!$W$589))*(1+AD$28))+$AA$26)*(1+Dashboard!$D$35),0)</f>
        <v>0</v>
      </c>
      <c r="AF271" s="109">
        <f t="shared" si="185"/>
        <v>0</v>
      </c>
      <c r="AG271" s="109">
        <f t="shared" si="186"/>
        <v>0</v>
      </c>
      <c r="AH271" s="109">
        <f t="shared" si="187"/>
        <v>0</v>
      </c>
      <c r="AI271" s="109">
        <f t="shared" si="188"/>
        <v>0</v>
      </c>
      <c r="AL271" s="109">
        <f>IF($BD271&gt;0,(((($BD271/Dashboard!$D$23)*(1+Precificação!$W$589)))+$AL$26)*(1+Dashboard!$D$35),0)</f>
        <v>0</v>
      </c>
      <c r="AM271" s="109">
        <f>IF($BD271&gt;0,(((($BD271/Dashboard!$D$23)*(1+Precificação!$W$589))*(1+AM$28))+$AA$26)*(1+Dashboard!$D$35),0)</f>
        <v>0</v>
      </c>
      <c r="AN271" s="109">
        <f>IF($BD271&gt;0,(((($BD271/Dashboard!$D$23)*(1+Precificação!$W$589))*(1+AN$28))+$AA$26)*(1+Dashboard!$D$35),0)</f>
        <v>0</v>
      </c>
      <c r="AO271" s="109">
        <f>IF($BD271&gt;0,(((($BD271/Dashboard!$D$23)*(1+Precificação!$W$589))*(1+AO$28))+$AA$26)*(1+Dashboard!$D$35),0)</f>
        <v>0</v>
      </c>
      <c r="AQ271" s="109">
        <f t="shared" si="189"/>
        <v>0</v>
      </c>
      <c r="AR271" s="109">
        <f t="shared" si="190"/>
        <v>0</v>
      </c>
      <c r="AS271" s="109">
        <f t="shared" si="191"/>
        <v>0</v>
      </c>
      <c r="AT271" s="109">
        <f t="shared" si="192"/>
        <v>0</v>
      </c>
      <c r="AW271" s="144">
        <f>VLOOKUP(B271,'Cronog. e Histog.'!$B$213:$BT$688,71,0)</f>
        <v>0</v>
      </c>
      <c r="AX271" s="144">
        <f>VLOOKUP(B271,'Cronog. e Histog.'!$B$213:$BU$688,72,0)</f>
        <v>0</v>
      </c>
      <c r="AY271" s="144">
        <f>$AW271*$AX271*Dashboard!$D$15</f>
        <v>0</v>
      </c>
      <c r="AZ271" s="144">
        <f>VLOOKUP(B271,Precificação!$B$96:$BM$533,54,0)</f>
        <v>0</v>
      </c>
      <c r="BA271" s="144">
        <f>VLOOKUP(B271,Precificação!$B$96:$BR$533,58,0)</f>
        <v>0</v>
      </c>
      <c r="BB271" s="144">
        <f>VLOOKUP(B271,Precificação!$B$96:$BW$533,62,0)</f>
        <v>0</v>
      </c>
      <c r="BC271" s="144">
        <f t="shared" si="193"/>
        <v>0</v>
      </c>
      <c r="BD271" s="109">
        <f>IFERROR(VLOOKUP(B271,Precificação!$B$96:$S$533,13,0),0)</f>
        <v>0</v>
      </c>
      <c r="BE271" s="109">
        <f>IFERROR(VLOOKUP(B271,Precificação!$B$96:$U$533,15,0)/(Precificação!$U$4+Precificação!$U$91),0)*Dashboard!$T$3</f>
        <v>0</v>
      </c>
    </row>
    <row r="272" spans="2:57" ht="12" customHeight="1" outlineLevel="1">
      <c r="B272" s="137" t="str">
        <f>Precificação!B257</f>
        <v>AN PL. ENG/ARQ - Equipe_01</v>
      </c>
      <c r="D272" s="512"/>
      <c r="E272" s="143" t="str">
        <f>IF('Cronog. e Histog.'!G388&gt;0,'Cronog. e Histog.'!G388,"")</f>
        <v>AN PL. ENG/ARQ</v>
      </c>
      <c r="G272" s="179">
        <f t="shared" si="180"/>
        <v>0</v>
      </c>
      <c r="H272" s="110">
        <f>IFERROR(INDEX('Base Salarial'!$D$5:$F$25,MATCH(E272,'Base Salarial'!$G$5:$G$25,0),MATCH(I272,'Base Salarial'!$D$4:$F$4,0)),"")</f>
        <v>6000</v>
      </c>
      <c r="I272" s="78" t="str">
        <f>IFERROR(INDEX(Tarefas!$BQ$29:$FK$29,MATCH(E272,Tarefas!$BQ$30:$FK$30,0)),"")</f>
        <v>Mensalista</v>
      </c>
      <c r="J272" s="81">
        <f>IF(I272="horista",H272*Dashboard!$D$15,IF(OR(I272="Mensalista",I272="PJ"),H272,))</f>
        <v>6000</v>
      </c>
      <c r="K272" s="81">
        <f>IF(I272="PJ",J272,ROUND(J272*(1+Dashboard!$D$22),2))</f>
        <v>6360</v>
      </c>
      <c r="L272" s="77"/>
      <c r="M272" s="180"/>
      <c r="P272" s="109">
        <f>IF($BD272&gt;0,(((($BD272/Dashboard!$D$15)*(1+Precificação!$W$589)))+$P$26)*(1+Dashboard!$D$35),0)</f>
        <v>0</v>
      </c>
      <c r="Q272" s="109">
        <f>IF($BD272&gt;0,(((($BD272/Dashboard!$D$23)+(1+Precificação!$W$589))*(1+Q$28))+$P$26)*(1+Dashboard!$D$35),0)</f>
        <v>0</v>
      </c>
      <c r="R272" s="109">
        <f>IF($BD272&gt;0,(((($BD272/Dashboard!$D$23)+(1+Precificação!$W$589))*(1+R$28))+$P$26)*(1+Dashboard!$D$35),0)</f>
        <v>0</v>
      </c>
      <c r="S272" s="109">
        <f>IF($BD272&gt;0,(((($BD272/Dashboard!$D$23)+(1+Precificação!$W$589))*(1+S$28))+$P$26)*(1+Dashboard!$D$35),0)</f>
        <v>0</v>
      </c>
      <c r="U272" s="109">
        <f t="shared" si="181"/>
        <v>0</v>
      </c>
      <c r="V272" s="109">
        <f t="shared" si="182"/>
        <v>0</v>
      </c>
      <c r="W272" s="109">
        <f t="shared" si="183"/>
        <v>0</v>
      </c>
      <c r="X272" s="109">
        <f t="shared" si="184"/>
        <v>0</v>
      </c>
      <c r="AA272" s="109">
        <f>IF($BD272&gt;0,(((($BD272/Dashboard!$D$23)*(1+Precificação!$W$589)))+$AA$26)*(1+Dashboard!$D$35),0)</f>
        <v>0</v>
      </c>
      <c r="AB272" s="109">
        <f>IF($BD272&gt;0,(((($BD272/Dashboard!$D$23)*(1+Precificação!$W$589))*(1+AB$28))+$AA$26)*(1+Dashboard!$D$35),0)</f>
        <v>0</v>
      </c>
      <c r="AC272" s="109">
        <f>IF($BD272&gt;0,(((($BD272/Dashboard!$D$23)*(1+Precificação!$W$589))*(1+AC$28))+$AA$26)*(1+Dashboard!$D$35),0)</f>
        <v>0</v>
      </c>
      <c r="AD272" s="109">
        <f>IF($BD272&gt;0,(((($BD272/Dashboard!$D$23)*(1+Precificação!$W$589))*(1+AD$28))+$AA$26)*(1+Dashboard!$D$35),0)</f>
        <v>0</v>
      </c>
      <c r="AF272" s="109">
        <f t="shared" si="185"/>
        <v>0</v>
      </c>
      <c r="AG272" s="109">
        <f t="shared" si="186"/>
        <v>0</v>
      </c>
      <c r="AH272" s="109">
        <f t="shared" si="187"/>
        <v>0</v>
      </c>
      <c r="AI272" s="109">
        <f t="shared" si="188"/>
        <v>0</v>
      </c>
      <c r="AL272" s="109">
        <f>IF($BD272&gt;0,(((($BD272/Dashboard!$D$23)*(1+Precificação!$W$589)))+$AL$26)*(1+Dashboard!$D$35),0)</f>
        <v>0</v>
      </c>
      <c r="AM272" s="109">
        <f>IF($BD272&gt;0,(((($BD272/Dashboard!$D$23)*(1+Precificação!$W$589))*(1+AM$28))+$AA$26)*(1+Dashboard!$D$35),0)</f>
        <v>0</v>
      </c>
      <c r="AN272" s="109">
        <f>IF($BD272&gt;0,(((($BD272/Dashboard!$D$23)*(1+Precificação!$W$589))*(1+AN$28))+$AA$26)*(1+Dashboard!$D$35),0)</f>
        <v>0</v>
      </c>
      <c r="AO272" s="109">
        <f>IF($BD272&gt;0,(((($BD272/Dashboard!$D$23)*(1+Precificação!$W$589))*(1+AO$28))+$AA$26)*(1+Dashboard!$D$35),0)</f>
        <v>0</v>
      </c>
      <c r="AQ272" s="109">
        <f t="shared" si="189"/>
        <v>0</v>
      </c>
      <c r="AR272" s="109">
        <f t="shared" si="190"/>
        <v>0</v>
      </c>
      <c r="AS272" s="109">
        <f t="shared" si="191"/>
        <v>0</v>
      </c>
      <c r="AT272" s="109">
        <f t="shared" si="192"/>
        <v>0</v>
      </c>
      <c r="AW272" s="144">
        <f>VLOOKUP(B272,'Cronog. e Histog.'!$B$213:$BT$688,71,0)</f>
        <v>0</v>
      </c>
      <c r="AX272" s="144">
        <f>VLOOKUP(B272,'Cronog. e Histog.'!$B$213:$BU$688,72,0)</f>
        <v>0</v>
      </c>
      <c r="AY272" s="144">
        <f>$AW272*$AX272*Dashboard!$D$15</f>
        <v>0</v>
      </c>
      <c r="AZ272" s="144">
        <f>VLOOKUP(B272,Precificação!$B$96:$BM$533,54,0)</f>
        <v>0</v>
      </c>
      <c r="BA272" s="144">
        <f>VLOOKUP(B272,Precificação!$B$96:$BR$533,58,0)</f>
        <v>0</v>
      </c>
      <c r="BB272" s="144">
        <f>VLOOKUP(B272,Precificação!$B$96:$BW$533,62,0)</f>
        <v>0</v>
      </c>
      <c r="BC272" s="144">
        <f t="shared" si="193"/>
        <v>0</v>
      </c>
      <c r="BD272" s="109">
        <f>IFERROR(VLOOKUP(B272,Precificação!$B$96:$S$533,13,0),0)</f>
        <v>0</v>
      </c>
      <c r="BE272" s="109">
        <f>IFERROR(VLOOKUP(B272,Precificação!$B$96:$U$533,15,0)/(Precificação!$U$4+Precificação!$U$91),0)*Dashboard!$T$3</f>
        <v>0</v>
      </c>
    </row>
    <row r="273" spans="2:57" ht="12" customHeight="1" outlineLevel="1">
      <c r="B273" s="137" t="str">
        <f>Precificação!B258</f>
        <v>AN JR. ENG/ARQ - Equipe_01</v>
      </c>
      <c r="D273" s="512"/>
      <c r="E273" s="143" t="str">
        <f>IF('Cronog. e Histog.'!G389&gt;0,'Cronog. e Histog.'!G389,"")</f>
        <v>AN JR. ENG/ARQ</v>
      </c>
      <c r="G273" s="179">
        <f t="shared" si="180"/>
        <v>0</v>
      </c>
      <c r="H273" s="110">
        <f>IFERROR(INDEX('Base Salarial'!$D$5:$F$25,MATCH(E273,'Base Salarial'!$G$5:$G$25,0),MATCH(I273,'Base Salarial'!$D$4:$F$4,0)),"")</f>
        <v>4500</v>
      </c>
      <c r="I273" s="78" t="str">
        <f>IFERROR(INDEX(Tarefas!$BQ$29:$FK$29,MATCH(E273,Tarefas!$BQ$30:$FK$30,0)),"")</f>
        <v>Mensalista</v>
      </c>
      <c r="J273" s="81">
        <f>IF(I273="horista",H273*Dashboard!$D$15,IF(OR(I273="Mensalista",I273="PJ"),H273,))</f>
        <v>4500</v>
      </c>
      <c r="K273" s="81">
        <f>IF(I273="PJ",J273,ROUND(J273*(1+Dashboard!$D$22),2))</f>
        <v>4770</v>
      </c>
      <c r="L273" s="77"/>
      <c r="M273" s="180"/>
      <c r="P273" s="109">
        <f>IF($BD273&gt;0,(((($BD273/Dashboard!$D$15)*(1+Precificação!$W$589)))+$P$26)*(1+Dashboard!$D$35),0)</f>
        <v>0</v>
      </c>
      <c r="Q273" s="109">
        <f>IF($BD273&gt;0,(((($BD273/Dashboard!$D$23)+(1+Precificação!$W$589))*(1+Q$28))+$P$26)*(1+Dashboard!$D$35),0)</f>
        <v>0</v>
      </c>
      <c r="R273" s="109">
        <f>IF($BD273&gt;0,(((($BD273/Dashboard!$D$23)+(1+Precificação!$W$589))*(1+R$28))+$P$26)*(1+Dashboard!$D$35),0)</f>
        <v>0</v>
      </c>
      <c r="S273" s="109">
        <f>IF($BD273&gt;0,(((($BD273/Dashboard!$D$23)+(1+Precificação!$W$589))*(1+S$28))+$P$26)*(1+Dashboard!$D$35),0)</f>
        <v>0</v>
      </c>
      <c r="U273" s="109">
        <f t="shared" si="181"/>
        <v>0</v>
      </c>
      <c r="V273" s="109">
        <f t="shared" si="182"/>
        <v>0</v>
      </c>
      <c r="W273" s="109">
        <f t="shared" si="183"/>
        <v>0</v>
      </c>
      <c r="X273" s="109">
        <f t="shared" si="184"/>
        <v>0</v>
      </c>
      <c r="AA273" s="109">
        <f>IF($BD273&gt;0,(((($BD273/Dashboard!$D$23)*(1+Precificação!$W$589)))+$AA$26)*(1+Dashboard!$D$35),0)</f>
        <v>0</v>
      </c>
      <c r="AB273" s="109">
        <f>IF($BD273&gt;0,(((($BD273/Dashboard!$D$23)*(1+Precificação!$W$589))*(1+AB$28))+$AA$26)*(1+Dashboard!$D$35),0)</f>
        <v>0</v>
      </c>
      <c r="AC273" s="109">
        <f>IF($BD273&gt;0,(((($BD273/Dashboard!$D$23)*(1+Precificação!$W$589))*(1+AC$28))+$AA$26)*(1+Dashboard!$D$35),0)</f>
        <v>0</v>
      </c>
      <c r="AD273" s="109">
        <f>IF($BD273&gt;0,(((($BD273/Dashboard!$D$23)*(1+Precificação!$W$589))*(1+AD$28))+$AA$26)*(1+Dashboard!$D$35),0)</f>
        <v>0</v>
      </c>
      <c r="AF273" s="109">
        <f t="shared" si="185"/>
        <v>0</v>
      </c>
      <c r="AG273" s="109">
        <f t="shared" si="186"/>
        <v>0</v>
      </c>
      <c r="AH273" s="109">
        <f t="shared" si="187"/>
        <v>0</v>
      </c>
      <c r="AI273" s="109">
        <f t="shared" si="188"/>
        <v>0</v>
      </c>
      <c r="AL273" s="109">
        <f>IF($BD273&gt;0,(((($BD273/Dashboard!$D$23)*(1+Precificação!$W$589)))+$AL$26)*(1+Dashboard!$D$35),0)</f>
        <v>0</v>
      </c>
      <c r="AM273" s="109">
        <f>IF($BD273&gt;0,(((($BD273/Dashboard!$D$23)*(1+Precificação!$W$589))*(1+AM$28))+$AA$26)*(1+Dashboard!$D$35),0)</f>
        <v>0</v>
      </c>
      <c r="AN273" s="109">
        <f>IF($BD273&gt;0,(((($BD273/Dashboard!$D$23)*(1+Precificação!$W$589))*(1+AN$28))+$AA$26)*(1+Dashboard!$D$35),0)</f>
        <v>0</v>
      </c>
      <c r="AO273" s="109">
        <f>IF($BD273&gt;0,(((($BD273/Dashboard!$D$23)*(1+Precificação!$W$589))*(1+AO$28))+$AA$26)*(1+Dashboard!$D$35),0)</f>
        <v>0</v>
      </c>
      <c r="AQ273" s="109">
        <f t="shared" si="189"/>
        <v>0</v>
      </c>
      <c r="AR273" s="109">
        <f t="shared" si="190"/>
        <v>0</v>
      </c>
      <c r="AS273" s="109">
        <f t="shared" si="191"/>
        <v>0</v>
      </c>
      <c r="AT273" s="109">
        <f t="shared" si="192"/>
        <v>0</v>
      </c>
      <c r="AW273" s="144">
        <f>VLOOKUP(B273,'Cronog. e Histog.'!$B$213:$BT$688,71,0)</f>
        <v>0</v>
      </c>
      <c r="AX273" s="144">
        <f>VLOOKUP(B273,'Cronog. e Histog.'!$B$213:$BU$688,72,0)</f>
        <v>0</v>
      </c>
      <c r="AY273" s="144">
        <f>$AW273*$AX273*Dashboard!$D$15</f>
        <v>0</v>
      </c>
      <c r="AZ273" s="144">
        <f>VLOOKUP(B273,Precificação!$B$96:$BM$533,54,0)</f>
        <v>0</v>
      </c>
      <c r="BA273" s="144">
        <f>VLOOKUP(B273,Precificação!$B$96:$BR$533,58,0)</f>
        <v>0</v>
      </c>
      <c r="BB273" s="144">
        <f>VLOOKUP(B273,Precificação!$B$96:$BW$533,62,0)</f>
        <v>0</v>
      </c>
      <c r="BC273" s="144">
        <f t="shared" si="193"/>
        <v>0</v>
      </c>
      <c r="BD273" s="109">
        <f>IFERROR(VLOOKUP(B273,Precificação!$B$96:$S$533,13,0),0)</f>
        <v>0</v>
      </c>
      <c r="BE273" s="109">
        <f>IFERROR(VLOOKUP(B273,Precificação!$B$96:$U$533,15,0)/(Precificação!$U$4+Precificação!$U$91),0)*Dashboard!$T$3</f>
        <v>0</v>
      </c>
    </row>
    <row r="274" spans="2:57" ht="12" customHeight="1" outlineLevel="1">
      <c r="B274" s="137" t="str">
        <f>Precificação!B259</f>
        <v>AN SR. ADM/CRP - Equipe_01</v>
      </c>
      <c r="D274" s="512"/>
      <c r="E274" s="143" t="str">
        <f>IF('Cronog. e Histog.'!G390&gt;0,'Cronog. e Histog.'!G390,"")</f>
        <v>AN SR. ADM/CRP</v>
      </c>
      <c r="G274" s="179">
        <f t="shared" si="180"/>
        <v>0</v>
      </c>
      <c r="H274" s="110">
        <f>IFERROR(INDEX('Base Salarial'!$D$5:$F$25,MATCH(E274,'Base Salarial'!$G$5:$G$25,0),MATCH(I274,'Base Salarial'!$D$4:$F$4,0)),"")</f>
        <v>7000</v>
      </c>
      <c r="I274" s="78" t="str">
        <f>IFERROR(INDEX(Tarefas!$BQ$29:$FK$29,MATCH(E274,Tarefas!$BQ$30:$FK$30,0)),"")</f>
        <v>Mensalista</v>
      </c>
      <c r="J274" s="81">
        <f>IF(I274="horista",H274*Dashboard!$D$15,IF(OR(I274="Mensalista",I274="PJ"),H274,))</f>
        <v>7000</v>
      </c>
      <c r="K274" s="81">
        <f>IF(I274="PJ",J274,ROUND(J274*(1+Dashboard!$D$22),2))</f>
        <v>7420</v>
      </c>
      <c r="L274" s="77"/>
      <c r="M274" s="180"/>
      <c r="P274" s="109">
        <f>IF($BD274&gt;0,(((($BD274/Dashboard!$D$15)*(1+Precificação!$W$589)))+$P$26)*(1+Dashboard!$D$35),0)</f>
        <v>0</v>
      </c>
      <c r="Q274" s="109">
        <f>IF($BD274&gt;0,(((($BD274/Dashboard!$D$23)+(1+Precificação!$W$589))*(1+Q$28))+$P$26)*(1+Dashboard!$D$35),0)</f>
        <v>0</v>
      </c>
      <c r="R274" s="109">
        <f>IF($BD274&gt;0,(((($BD274/Dashboard!$D$23)+(1+Precificação!$W$589))*(1+R$28))+$P$26)*(1+Dashboard!$D$35),0)</f>
        <v>0</v>
      </c>
      <c r="S274" s="109">
        <f>IF($BD274&gt;0,(((($BD274/Dashboard!$D$23)+(1+Precificação!$W$589))*(1+S$28))+$P$26)*(1+Dashboard!$D$35),0)</f>
        <v>0</v>
      </c>
      <c r="U274" s="109">
        <f t="shared" si="181"/>
        <v>0</v>
      </c>
      <c r="V274" s="109">
        <f t="shared" si="182"/>
        <v>0</v>
      </c>
      <c r="W274" s="109">
        <f t="shared" si="183"/>
        <v>0</v>
      </c>
      <c r="X274" s="109">
        <f t="shared" si="184"/>
        <v>0</v>
      </c>
      <c r="AA274" s="109">
        <f>IF($BD274&gt;0,(((($BD274/Dashboard!$D$23)*(1+Precificação!$W$589)))+$AA$26)*(1+Dashboard!$D$35),0)</f>
        <v>0</v>
      </c>
      <c r="AB274" s="109">
        <f>IF($BD274&gt;0,(((($BD274/Dashboard!$D$23)*(1+Precificação!$W$589))*(1+AB$28))+$AA$26)*(1+Dashboard!$D$35),0)</f>
        <v>0</v>
      </c>
      <c r="AC274" s="109">
        <f>IF($BD274&gt;0,(((($BD274/Dashboard!$D$23)*(1+Precificação!$W$589))*(1+AC$28))+$AA$26)*(1+Dashboard!$D$35),0)</f>
        <v>0</v>
      </c>
      <c r="AD274" s="109">
        <f>IF($BD274&gt;0,(((($BD274/Dashboard!$D$23)*(1+Precificação!$W$589))*(1+AD$28))+$AA$26)*(1+Dashboard!$D$35),0)</f>
        <v>0</v>
      </c>
      <c r="AF274" s="109">
        <f t="shared" si="185"/>
        <v>0</v>
      </c>
      <c r="AG274" s="109">
        <f t="shared" si="186"/>
        <v>0</v>
      </c>
      <c r="AH274" s="109">
        <f t="shared" si="187"/>
        <v>0</v>
      </c>
      <c r="AI274" s="109">
        <f t="shared" si="188"/>
        <v>0</v>
      </c>
      <c r="AL274" s="109">
        <f>IF($BD274&gt;0,(((($BD274/Dashboard!$D$23)*(1+Precificação!$W$589)))+$AL$26)*(1+Dashboard!$D$35),0)</f>
        <v>0</v>
      </c>
      <c r="AM274" s="109">
        <f>IF($BD274&gt;0,(((($BD274/Dashboard!$D$23)*(1+Precificação!$W$589))*(1+AM$28))+$AA$26)*(1+Dashboard!$D$35),0)</f>
        <v>0</v>
      </c>
      <c r="AN274" s="109">
        <f>IF($BD274&gt;0,(((($BD274/Dashboard!$D$23)*(1+Precificação!$W$589))*(1+AN$28))+$AA$26)*(1+Dashboard!$D$35),0)</f>
        <v>0</v>
      </c>
      <c r="AO274" s="109">
        <f>IF($BD274&gt;0,(((($BD274/Dashboard!$D$23)*(1+Precificação!$W$589))*(1+AO$28))+$AA$26)*(1+Dashboard!$D$35),0)</f>
        <v>0</v>
      </c>
      <c r="AQ274" s="109">
        <f t="shared" si="189"/>
        <v>0</v>
      </c>
      <c r="AR274" s="109">
        <f t="shared" si="190"/>
        <v>0</v>
      </c>
      <c r="AS274" s="109">
        <f t="shared" si="191"/>
        <v>0</v>
      </c>
      <c r="AT274" s="109">
        <f t="shared" si="192"/>
        <v>0</v>
      </c>
      <c r="AW274" s="144">
        <f>VLOOKUP(B274,'Cronog. e Histog.'!$B$213:$BT$688,71,0)</f>
        <v>0</v>
      </c>
      <c r="AX274" s="144">
        <f>VLOOKUP(B274,'Cronog. e Histog.'!$B$213:$BU$688,72,0)</f>
        <v>0</v>
      </c>
      <c r="AY274" s="144">
        <f>$AW274*$AX274*Dashboard!$D$15</f>
        <v>0</v>
      </c>
      <c r="AZ274" s="144">
        <f>VLOOKUP(B274,Precificação!$B$96:$BM$533,54,0)</f>
        <v>0</v>
      </c>
      <c r="BA274" s="144">
        <f>VLOOKUP(B274,Precificação!$B$96:$BR$533,58,0)</f>
        <v>0</v>
      </c>
      <c r="BB274" s="144">
        <f>VLOOKUP(B274,Precificação!$B$96:$BW$533,62,0)</f>
        <v>0</v>
      </c>
      <c r="BC274" s="144">
        <f t="shared" si="193"/>
        <v>0</v>
      </c>
      <c r="BD274" s="109">
        <f>IFERROR(VLOOKUP(B274,Precificação!$B$96:$S$533,13,0),0)</f>
        <v>0</v>
      </c>
      <c r="BE274" s="109">
        <f>IFERROR(VLOOKUP(B274,Precificação!$B$96:$U$533,15,0)/(Precificação!$U$4+Precificação!$U$91),0)*Dashboard!$T$3</f>
        <v>0</v>
      </c>
    </row>
    <row r="275" spans="2:57" ht="12" customHeight="1" outlineLevel="1">
      <c r="B275" s="137" t="str">
        <f>Precificação!B260</f>
        <v>AN PL. ADM/CRP - Equipe_01</v>
      </c>
      <c r="D275" s="512"/>
      <c r="E275" s="143" t="str">
        <f>IF('Cronog. e Histog.'!G391&gt;0,'Cronog. e Histog.'!G391,"")</f>
        <v>AN PL. ADM/CRP</v>
      </c>
      <c r="G275" s="179">
        <f t="shared" si="180"/>
        <v>0</v>
      </c>
      <c r="H275" s="110">
        <f>IFERROR(INDEX('Base Salarial'!$D$5:$F$25,MATCH(E275,'Base Salarial'!$G$5:$G$25,0),MATCH(I275,'Base Salarial'!$D$4:$F$4,0)),"")</f>
        <v>5000</v>
      </c>
      <c r="I275" s="78" t="str">
        <f>IFERROR(INDEX(Tarefas!$BQ$29:$FK$29,MATCH(E275,Tarefas!$BQ$30:$FK$30,0)),"")</f>
        <v>Mensalista</v>
      </c>
      <c r="J275" s="81">
        <f>IF(I275="horista",H275*Dashboard!$D$15,IF(OR(I275="Mensalista",I275="PJ"),H275,))</f>
        <v>5000</v>
      </c>
      <c r="K275" s="81">
        <f>IF(I275="PJ",J275,ROUND(J275*(1+Dashboard!$D$22),2))</f>
        <v>5300</v>
      </c>
      <c r="L275" s="77"/>
      <c r="M275" s="180"/>
      <c r="P275" s="109">
        <f>IF($BD275&gt;0,(((($BD275/Dashboard!$D$15)*(1+Precificação!$W$589)))+$P$26)*(1+Dashboard!$D$35),0)</f>
        <v>0</v>
      </c>
      <c r="Q275" s="109">
        <f>IF($BD275&gt;0,(((($BD275/Dashboard!$D$23)+(1+Precificação!$W$589))*(1+Q$28))+$P$26)*(1+Dashboard!$D$35),0)</f>
        <v>0</v>
      </c>
      <c r="R275" s="109">
        <f>IF($BD275&gt;0,(((($BD275/Dashboard!$D$23)+(1+Precificação!$W$589))*(1+R$28))+$P$26)*(1+Dashboard!$D$35),0)</f>
        <v>0</v>
      </c>
      <c r="S275" s="109">
        <f>IF($BD275&gt;0,(((($BD275/Dashboard!$D$23)+(1+Precificação!$W$589))*(1+S$28))+$P$26)*(1+Dashboard!$D$35),0)</f>
        <v>0</v>
      </c>
      <c r="U275" s="109">
        <f t="shared" si="181"/>
        <v>0</v>
      </c>
      <c r="V275" s="109">
        <f t="shared" si="182"/>
        <v>0</v>
      </c>
      <c r="W275" s="109">
        <f t="shared" si="183"/>
        <v>0</v>
      </c>
      <c r="X275" s="109">
        <f t="shared" si="184"/>
        <v>0</v>
      </c>
      <c r="AA275" s="109">
        <f>IF($BD275&gt;0,(((($BD275/Dashboard!$D$23)*(1+Precificação!$W$589)))+$AA$26)*(1+Dashboard!$D$35),0)</f>
        <v>0</v>
      </c>
      <c r="AB275" s="109">
        <f>IF($BD275&gt;0,(((($BD275/Dashboard!$D$23)*(1+Precificação!$W$589))*(1+AB$28))+$AA$26)*(1+Dashboard!$D$35),0)</f>
        <v>0</v>
      </c>
      <c r="AC275" s="109">
        <f>IF($BD275&gt;0,(((($BD275/Dashboard!$D$23)*(1+Precificação!$W$589))*(1+AC$28))+$AA$26)*(1+Dashboard!$D$35),0)</f>
        <v>0</v>
      </c>
      <c r="AD275" s="109">
        <f>IF($BD275&gt;0,(((($BD275/Dashboard!$D$23)*(1+Precificação!$W$589))*(1+AD$28))+$AA$26)*(1+Dashboard!$D$35),0)</f>
        <v>0</v>
      </c>
      <c r="AF275" s="109">
        <f t="shared" si="185"/>
        <v>0</v>
      </c>
      <c r="AG275" s="109">
        <f t="shared" si="186"/>
        <v>0</v>
      </c>
      <c r="AH275" s="109">
        <f t="shared" si="187"/>
        <v>0</v>
      </c>
      <c r="AI275" s="109">
        <f t="shared" si="188"/>
        <v>0</v>
      </c>
      <c r="AL275" s="109">
        <f>IF($BD275&gt;0,(((($BD275/Dashboard!$D$23)*(1+Precificação!$W$589)))+$AL$26)*(1+Dashboard!$D$35),0)</f>
        <v>0</v>
      </c>
      <c r="AM275" s="109">
        <f>IF($BD275&gt;0,(((($BD275/Dashboard!$D$23)*(1+Precificação!$W$589))*(1+AM$28))+$AA$26)*(1+Dashboard!$D$35),0)</f>
        <v>0</v>
      </c>
      <c r="AN275" s="109">
        <f>IF($BD275&gt;0,(((($BD275/Dashboard!$D$23)*(1+Precificação!$W$589))*(1+AN$28))+$AA$26)*(1+Dashboard!$D$35),0)</f>
        <v>0</v>
      </c>
      <c r="AO275" s="109">
        <f>IF($BD275&gt;0,(((($BD275/Dashboard!$D$23)*(1+Precificação!$W$589))*(1+AO$28))+$AA$26)*(1+Dashboard!$D$35),0)</f>
        <v>0</v>
      </c>
      <c r="AQ275" s="109">
        <f t="shared" si="189"/>
        <v>0</v>
      </c>
      <c r="AR275" s="109">
        <f t="shared" si="190"/>
        <v>0</v>
      </c>
      <c r="AS275" s="109">
        <f t="shared" si="191"/>
        <v>0</v>
      </c>
      <c r="AT275" s="109">
        <f t="shared" si="192"/>
        <v>0</v>
      </c>
      <c r="AW275" s="144">
        <f>VLOOKUP(B275,'Cronog. e Histog.'!$B$213:$BT$688,71,0)</f>
        <v>0</v>
      </c>
      <c r="AX275" s="144">
        <f>VLOOKUP(B275,'Cronog. e Histog.'!$B$213:$BU$688,72,0)</f>
        <v>0</v>
      </c>
      <c r="AY275" s="144">
        <f>$AW275*$AX275*Dashboard!$D$15</f>
        <v>0</v>
      </c>
      <c r="AZ275" s="144">
        <f>VLOOKUP(B275,Precificação!$B$96:$BM$533,54,0)</f>
        <v>0</v>
      </c>
      <c r="BA275" s="144">
        <f>VLOOKUP(B275,Precificação!$B$96:$BR$533,58,0)</f>
        <v>0</v>
      </c>
      <c r="BB275" s="144">
        <f>VLOOKUP(B275,Precificação!$B$96:$BW$533,62,0)</f>
        <v>0</v>
      </c>
      <c r="BC275" s="144">
        <f t="shared" si="193"/>
        <v>0</v>
      </c>
      <c r="BD275" s="109">
        <f>IFERROR(VLOOKUP(B275,Precificação!$B$96:$S$533,13,0),0)</f>
        <v>0</v>
      </c>
      <c r="BE275" s="109">
        <f>IFERROR(VLOOKUP(B275,Precificação!$B$96:$U$533,15,0)/(Precificação!$U$4+Precificação!$U$91),0)*Dashboard!$T$3</f>
        <v>0</v>
      </c>
    </row>
    <row r="276" spans="2:57" ht="12" customHeight="1" outlineLevel="1">
      <c r="B276" s="137" t="str">
        <f>Precificação!B261</f>
        <v>AN JR. ADM/CRP - Equipe_01</v>
      </c>
      <c r="D276" s="512"/>
      <c r="E276" s="143" t="str">
        <f>IF('Cronog. e Histog.'!G392&gt;0,'Cronog. e Histog.'!G392,"")</f>
        <v>AN JR. ADM/CRP</v>
      </c>
      <c r="G276" s="179">
        <f t="shared" si="180"/>
        <v>0</v>
      </c>
      <c r="H276" s="110">
        <f>IFERROR(INDEX('Base Salarial'!$D$5:$F$25,MATCH(E276,'Base Salarial'!$G$5:$G$25,0),MATCH(I276,'Base Salarial'!$D$4:$F$4,0)),"")</f>
        <v>3500</v>
      </c>
      <c r="I276" s="78" t="str">
        <f>IFERROR(INDEX(Tarefas!$BQ$29:$FK$29,MATCH(E276,Tarefas!$BQ$30:$FK$30,0)),"")</f>
        <v>Mensalista</v>
      </c>
      <c r="J276" s="81">
        <f>IF(I276="horista",H276*Dashboard!$D$15,IF(OR(I276="Mensalista",I276="PJ"),H276,))</f>
        <v>3500</v>
      </c>
      <c r="K276" s="81">
        <f>IF(I276="PJ",J276,ROUND(J276*(1+Dashboard!$D$22),2))</f>
        <v>3710</v>
      </c>
      <c r="L276" s="77"/>
      <c r="M276" s="180"/>
      <c r="P276" s="109">
        <f>IF($BD276&gt;0,(((($BD276/Dashboard!$D$15)*(1+Precificação!$W$589)))+$P$26)*(1+Dashboard!$D$35),0)</f>
        <v>0</v>
      </c>
      <c r="Q276" s="109">
        <f>IF($BD276&gt;0,(((($BD276/Dashboard!$D$23)+(1+Precificação!$W$589))*(1+Q$28))+$P$26)*(1+Dashboard!$D$35),0)</f>
        <v>0</v>
      </c>
      <c r="R276" s="109">
        <f>IF($BD276&gt;0,(((($BD276/Dashboard!$D$23)+(1+Precificação!$W$589))*(1+R$28))+$P$26)*(1+Dashboard!$D$35),0)</f>
        <v>0</v>
      </c>
      <c r="S276" s="109">
        <f>IF($BD276&gt;0,(((($BD276/Dashboard!$D$23)+(1+Precificação!$W$589))*(1+S$28))+$P$26)*(1+Dashboard!$D$35),0)</f>
        <v>0</v>
      </c>
      <c r="U276" s="109">
        <f t="shared" si="181"/>
        <v>0</v>
      </c>
      <c r="V276" s="109">
        <f t="shared" si="182"/>
        <v>0</v>
      </c>
      <c r="W276" s="109">
        <f t="shared" si="183"/>
        <v>0</v>
      </c>
      <c r="X276" s="109">
        <f t="shared" si="184"/>
        <v>0</v>
      </c>
      <c r="AA276" s="109">
        <f>IF($BD276&gt;0,(((($BD276/Dashboard!$D$23)*(1+Precificação!$W$589)))+$AA$26)*(1+Dashboard!$D$35),0)</f>
        <v>0</v>
      </c>
      <c r="AB276" s="109">
        <f>IF($BD276&gt;0,(((($BD276/Dashboard!$D$23)*(1+Precificação!$W$589))*(1+AB$28))+$AA$26)*(1+Dashboard!$D$35),0)</f>
        <v>0</v>
      </c>
      <c r="AC276" s="109">
        <f>IF($BD276&gt;0,(((($BD276/Dashboard!$D$23)*(1+Precificação!$W$589))*(1+AC$28))+$AA$26)*(1+Dashboard!$D$35),0)</f>
        <v>0</v>
      </c>
      <c r="AD276" s="109">
        <f>IF($BD276&gt;0,(((($BD276/Dashboard!$D$23)*(1+Precificação!$W$589))*(1+AD$28))+$AA$26)*(1+Dashboard!$D$35),0)</f>
        <v>0</v>
      </c>
      <c r="AF276" s="109">
        <f t="shared" si="185"/>
        <v>0</v>
      </c>
      <c r="AG276" s="109">
        <f t="shared" si="186"/>
        <v>0</v>
      </c>
      <c r="AH276" s="109">
        <f t="shared" si="187"/>
        <v>0</v>
      </c>
      <c r="AI276" s="109">
        <f t="shared" si="188"/>
        <v>0</v>
      </c>
      <c r="AL276" s="109">
        <f>IF($BD276&gt;0,(((($BD276/Dashboard!$D$23)*(1+Precificação!$W$589)))+$AL$26)*(1+Dashboard!$D$35),0)</f>
        <v>0</v>
      </c>
      <c r="AM276" s="109">
        <f>IF($BD276&gt;0,(((($BD276/Dashboard!$D$23)*(1+Precificação!$W$589))*(1+AM$28))+$AA$26)*(1+Dashboard!$D$35),0)</f>
        <v>0</v>
      </c>
      <c r="AN276" s="109">
        <f>IF($BD276&gt;0,(((($BD276/Dashboard!$D$23)*(1+Precificação!$W$589))*(1+AN$28))+$AA$26)*(1+Dashboard!$D$35),0)</f>
        <v>0</v>
      </c>
      <c r="AO276" s="109">
        <f>IF($BD276&gt;0,(((($BD276/Dashboard!$D$23)*(1+Precificação!$W$589))*(1+AO$28))+$AA$26)*(1+Dashboard!$D$35),0)</f>
        <v>0</v>
      </c>
      <c r="AQ276" s="109">
        <f t="shared" si="189"/>
        <v>0</v>
      </c>
      <c r="AR276" s="109">
        <f t="shared" si="190"/>
        <v>0</v>
      </c>
      <c r="AS276" s="109">
        <f t="shared" si="191"/>
        <v>0</v>
      </c>
      <c r="AT276" s="109">
        <f t="shared" si="192"/>
        <v>0</v>
      </c>
      <c r="AW276" s="144">
        <f>VLOOKUP(B276,'Cronog. e Histog.'!$B$213:$BT$688,71,0)</f>
        <v>0</v>
      </c>
      <c r="AX276" s="144">
        <f>VLOOKUP(B276,'Cronog. e Histog.'!$B$213:$BU$688,72,0)</f>
        <v>0</v>
      </c>
      <c r="AY276" s="144">
        <f>$AW276*$AX276*Dashboard!$D$15</f>
        <v>0</v>
      </c>
      <c r="AZ276" s="144">
        <f>VLOOKUP(B276,Precificação!$B$96:$BM$533,54,0)</f>
        <v>0</v>
      </c>
      <c r="BA276" s="144">
        <f>VLOOKUP(B276,Precificação!$B$96:$BR$533,58,0)</f>
        <v>0</v>
      </c>
      <c r="BB276" s="144">
        <f>VLOOKUP(B276,Precificação!$B$96:$BW$533,62,0)</f>
        <v>0</v>
      </c>
      <c r="BC276" s="144">
        <f t="shared" si="193"/>
        <v>0</v>
      </c>
      <c r="BD276" s="109">
        <f>IFERROR(VLOOKUP(B276,Precificação!$B$96:$S$533,13,0),0)</f>
        <v>0</v>
      </c>
      <c r="BE276" s="109">
        <f>IFERROR(VLOOKUP(B276,Precificação!$B$96:$U$533,15,0)/(Precificação!$U$4+Precificação!$U$91),0)*Dashboard!$T$3</f>
        <v>0</v>
      </c>
    </row>
    <row r="277" spans="2:57" ht="12" customHeight="1" outlineLevel="1">
      <c r="B277" s="137" t="str">
        <f>Precificação!B262</f>
        <v>TEC III - Equipe_01</v>
      </c>
      <c r="D277" s="512"/>
      <c r="E277" s="143" t="str">
        <f>IF('Cronog. e Histog.'!G393&gt;0,'Cronog. e Histog.'!G393,"")</f>
        <v>TEC III</v>
      </c>
      <c r="G277" s="179">
        <f t="shared" si="180"/>
        <v>0</v>
      </c>
      <c r="H277" s="110">
        <f>IFERROR(INDEX('Base Salarial'!$D$5:$F$25,MATCH(E277,'Base Salarial'!$G$5:$G$25,0),MATCH(I277,'Base Salarial'!$D$4:$F$4,0)),"")</f>
        <v>6000</v>
      </c>
      <c r="I277" s="78" t="str">
        <f>IFERROR(INDEX(Tarefas!$BQ$29:$FK$29,MATCH(E277,Tarefas!$BQ$30:$FK$30,0)),"")</f>
        <v>Mensalista</v>
      </c>
      <c r="J277" s="81">
        <f>IF(I277="horista",H277*Dashboard!$D$15,IF(OR(I277="Mensalista",I277="PJ"),H277,))</f>
        <v>6000</v>
      </c>
      <c r="K277" s="81">
        <f>IF(I277="PJ",J277,ROUND(J277*(1+Dashboard!$D$22),2))</f>
        <v>6360</v>
      </c>
      <c r="L277" s="77"/>
      <c r="M277" s="180"/>
      <c r="P277" s="109">
        <f>IF($BD277&gt;0,(((($BD277/Dashboard!$D$15)*(1+Precificação!$W$589)))+$P$26)*(1+Dashboard!$D$35),0)</f>
        <v>0</v>
      </c>
      <c r="Q277" s="109">
        <f>IF($BD277&gt;0,(((($BD277/Dashboard!$D$23)+(1+Precificação!$W$589))*(1+Q$28))+$P$26)*(1+Dashboard!$D$35),0)</f>
        <v>0</v>
      </c>
      <c r="R277" s="109">
        <f>IF($BD277&gt;0,(((($BD277/Dashboard!$D$23)+(1+Precificação!$W$589))*(1+R$28))+$P$26)*(1+Dashboard!$D$35),0)</f>
        <v>0</v>
      </c>
      <c r="S277" s="109">
        <f>IF($BD277&gt;0,(((($BD277/Dashboard!$D$23)+(1+Precificação!$W$589))*(1+S$28))+$P$26)*(1+Dashboard!$D$35),0)</f>
        <v>0</v>
      </c>
      <c r="U277" s="109">
        <f t="shared" si="181"/>
        <v>0</v>
      </c>
      <c r="V277" s="109">
        <f t="shared" si="182"/>
        <v>0</v>
      </c>
      <c r="W277" s="109">
        <f t="shared" si="183"/>
        <v>0</v>
      </c>
      <c r="X277" s="109">
        <f t="shared" si="184"/>
        <v>0</v>
      </c>
      <c r="AA277" s="109">
        <f>IF($BD277&gt;0,(((($BD277/Dashboard!$D$23)*(1+Precificação!$W$589)))+$AA$26)*(1+Dashboard!$D$35),0)</f>
        <v>0</v>
      </c>
      <c r="AB277" s="109">
        <f>IF($BD277&gt;0,(((($BD277/Dashboard!$D$23)*(1+Precificação!$W$589))*(1+AB$28))+$AA$26)*(1+Dashboard!$D$35),0)</f>
        <v>0</v>
      </c>
      <c r="AC277" s="109">
        <f>IF($BD277&gt;0,(((($BD277/Dashboard!$D$23)*(1+Precificação!$W$589))*(1+AC$28))+$AA$26)*(1+Dashboard!$D$35),0)</f>
        <v>0</v>
      </c>
      <c r="AD277" s="109">
        <f>IF($BD277&gt;0,(((($BD277/Dashboard!$D$23)*(1+Precificação!$W$589))*(1+AD$28))+$AA$26)*(1+Dashboard!$D$35),0)</f>
        <v>0</v>
      </c>
      <c r="AF277" s="109">
        <f t="shared" si="185"/>
        <v>0</v>
      </c>
      <c r="AG277" s="109">
        <f t="shared" si="186"/>
        <v>0</v>
      </c>
      <c r="AH277" s="109">
        <f t="shared" si="187"/>
        <v>0</v>
      </c>
      <c r="AI277" s="109">
        <f t="shared" si="188"/>
        <v>0</v>
      </c>
      <c r="AL277" s="109">
        <f>IF($BD277&gt;0,(((($BD277/Dashboard!$D$23)*(1+Precificação!$W$589)))+$AL$26)*(1+Dashboard!$D$35),0)</f>
        <v>0</v>
      </c>
      <c r="AM277" s="109">
        <f>IF($BD277&gt;0,(((($BD277/Dashboard!$D$23)*(1+Precificação!$W$589))*(1+AM$28))+$AA$26)*(1+Dashboard!$D$35),0)</f>
        <v>0</v>
      </c>
      <c r="AN277" s="109">
        <f>IF($BD277&gt;0,(((($BD277/Dashboard!$D$23)*(1+Precificação!$W$589))*(1+AN$28))+$AA$26)*(1+Dashboard!$D$35),0)</f>
        <v>0</v>
      </c>
      <c r="AO277" s="109">
        <f>IF($BD277&gt;0,(((($BD277/Dashboard!$D$23)*(1+Precificação!$W$589))*(1+AO$28))+$AA$26)*(1+Dashboard!$D$35),0)</f>
        <v>0</v>
      </c>
      <c r="AQ277" s="109">
        <f t="shared" si="189"/>
        <v>0</v>
      </c>
      <c r="AR277" s="109">
        <f t="shared" si="190"/>
        <v>0</v>
      </c>
      <c r="AS277" s="109">
        <f t="shared" si="191"/>
        <v>0</v>
      </c>
      <c r="AT277" s="109">
        <f t="shared" si="192"/>
        <v>0</v>
      </c>
      <c r="AW277" s="144">
        <f>VLOOKUP(B277,'Cronog. e Histog.'!$B$213:$BT$688,71,0)</f>
        <v>0</v>
      </c>
      <c r="AX277" s="144">
        <f>VLOOKUP(B277,'Cronog. e Histog.'!$B$213:$BU$688,72,0)</f>
        <v>0</v>
      </c>
      <c r="AY277" s="144">
        <f>$AW277*$AX277*Dashboard!$D$15</f>
        <v>0</v>
      </c>
      <c r="AZ277" s="144">
        <f>VLOOKUP(B277,Precificação!$B$96:$BM$533,54,0)</f>
        <v>0</v>
      </c>
      <c r="BA277" s="144">
        <f>VLOOKUP(B277,Precificação!$B$96:$BR$533,58,0)</f>
        <v>0</v>
      </c>
      <c r="BB277" s="144">
        <f>VLOOKUP(B277,Precificação!$B$96:$BW$533,62,0)</f>
        <v>0</v>
      </c>
      <c r="BC277" s="144">
        <f t="shared" si="193"/>
        <v>0</v>
      </c>
      <c r="BD277" s="109">
        <f>IFERROR(VLOOKUP(B277,Precificação!$B$96:$S$533,13,0),0)</f>
        <v>0</v>
      </c>
      <c r="BE277" s="109">
        <f>IFERROR(VLOOKUP(B277,Precificação!$B$96:$U$533,15,0)/(Precificação!$U$4+Precificação!$U$91),0)*Dashboard!$T$3</f>
        <v>0</v>
      </c>
    </row>
    <row r="278" spans="2:57" ht="12" customHeight="1" outlineLevel="1">
      <c r="B278" s="137" t="str">
        <f>Precificação!B263</f>
        <v>TEC II - Equipe_01</v>
      </c>
      <c r="D278" s="512"/>
      <c r="E278" s="143" t="str">
        <f>IF('Cronog. e Histog.'!G394&gt;0,'Cronog. e Histog.'!G394,"")</f>
        <v>TEC II</v>
      </c>
      <c r="G278" s="179">
        <f t="shared" si="180"/>
        <v>0</v>
      </c>
      <c r="H278" s="110">
        <f>IFERROR(INDEX('Base Salarial'!$D$5:$F$25,MATCH(E278,'Base Salarial'!$G$5:$G$25,0),MATCH(I278,'Base Salarial'!$D$4:$F$4,0)),"")</f>
        <v>4500</v>
      </c>
      <c r="I278" s="78" t="str">
        <f>IFERROR(INDEX(Tarefas!$BQ$29:$FK$29,MATCH(E278,Tarefas!$BQ$30:$FK$30,0)),"")</f>
        <v>Mensalista</v>
      </c>
      <c r="J278" s="81">
        <f>IF(I278="horista",H278*Dashboard!$D$15,IF(OR(I278="Mensalista",I278="PJ"),H278,))</f>
        <v>4500</v>
      </c>
      <c r="K278" s="81">
        <f>IF(I278="PJ",J278,ROUND(J278*(1+Dashboard!$D$22),2))</f>
        <v>4770</v>
      </c>
      <c r="L278" s="77"/>
      <c r="M278" s="180"/>
      <c r="P278" s="109">
        <f>IF($BD278&gt;0,(((($BD278/Dashboard!$D$15)*(1+Precificação!$W$589)))+$P$26)*(1+Dashboard!$D$35),0)</f>
        <v>0</v>
      </c>
      <c r="Q278" s="109">
        <f>IF($BD278&gt;0,(((($BD278/Dashboard!$D$23)+(1+Precificação!$W$589))*(1+Q$28))+$P$26)*(1+Dashboard!$D$35),0)</f>
        <v>0</v>
      </c>
      <c r="R278" s="109">
        <f>IF($BD278&gt;0,(((($BD278/Dashboard!$D$23)+(1+Precificação!$W$589))*(1+R$28))+$P$26)*(1+Dashboard!$D$35),0)</f>
        <v>0</v>
      </c>
      <c r="S278" s="109">
        <f>IF($BD278&gt;0,(((($BD278/Dashboard!$D$23)+(1+Precificação!$W$589))*(1+S$28))+$P$26)*(1+Dashboard!$D$35),0)</f>
        <v>0</v>
      </c>
      <c r="U278" s="109">
        <f t="shared" si="181"/>
        <v>0</v>
      </c>
      <c r="V278" s="109">
        <f t="shared" si="182"/>
        <v>0</v>
      </c>
      <c r="W278" s="109">
        <f t="shared" si="183"/>
        <v>0</v>
      </c>
      <c r="X278" s="109">
        <f t="shared" si="184"/>
        <v>0</v>
      </c>
      <c r="AA278" s="109">
        <f>IF($BD278&gt;0,(((($BD278/Dashboard!$D$23)*(1+Precificação!$W$589)))+$AA$26)*(1+Dashboard!$D$35),0)</f>
        <v>0</v>
      </c>
      <c r="AB278" s="109">
        <f>IF($BD278&gt;0,(((($BD278/Dashboard!$D$23)*(1+Precificação!$W$589))*(1+AB$28))+$AA$26)*(1+Dashboard!$D$35),0)</f>
        <v>0</v>
      </c>
      <c r="AC278" s="109">
        <f>IF($BD278&gt;0,(((($BD278/Dashboard!$D$23)*(1+Precificação!$W$589))*(1+AC$28))+$AA$26)*(1+Dashboard!$D$35),0)</f>
        <v>0</v>
      </c>
      <c r="AD278" s="109">
        <f>IF($BD278&gt;0,(((($BD278/Dashboard!$D$23)*(1+Precificação!$W$589))*(1+AD$28))+$AA$26)*(1+Dashboard!$D$35),0)</f>
        <v>0</v>
      </c>
      <c r="AF278" s="109">
        <f t="shared" si="185"/>
        <v>0</v>
      </c>
      <c r="AG278" s="109">
        <f t="shared" si="186"/>
        <v>0</v>
      </c>
      <c r="AH278" s="109">
        <f t="shared" si="187"/>
        <v>0</v>
      </c>
      <c r="AI278" s="109">
        <f t="shared" si="188"/>
        <v>0</v>
      </c>
      <c r="AL278" s="109">
        <f>IF($BD278&gt;0,(((($BD278/Dashboard!$D$23)*(1+Precificação!$W$589)))+$AL$26)*(1+Dashboard!$D$35),0)</f>
        <v>0</v>
      </c>
      <c r="AM278" s="109">
        <f>IF($BD278&gt;0,(((($BD278/Dashboard!$D$23)*(1+Precificação!$W$589))*(1+AM$28))+$AA$26)*(1+Dashboard!$D$35),0)</f>
        <v>0</v>
      </c>
      <c r="AN278" s="109">
        <f>IF($BD278&gt;0,(((($BD278/Dashboard!$D$23)*(1+Precificação!$W$589))*(1+AN$28))+$AA$26)*(1+Dashboard!$D$35),0)</f>
        <v>0</v>
      </c>
      <c r="AO278" s="109">
        <f>IF($BD278&gt;0,(((($BD278/Dashboard!$D$23)*(1+Precificação!$W$589))*(1+AO$28))+$AA$26)*(1+Dashboard!$D$35),0)</f>
        <v>0</v>
      </c>
      <c r="AQ278" s="109">
        <f t="shared" si="189"/>
        <v>0</v>
      </c>
      <c r="AR278" s="109">
        <f t="shared" si="190"/>
        <v>0</v>
      </c>
      <c r="AS278" s="109">
        <f t="shared" si="191"/>
        <v>0</v>
      </c>
      <c r="AT278" s="109">
        <f t="shared" si="192"/>
        <v>0</v>
      </c>
      <c r="AW278" s="144">
        <f>VLOOKUP(B278,'Cronog. e Histog.'!$B$213:$BT$688,71,0)</f>
        <v>0</v>
      </c>
      <c r="AX278" s="144">
        <f>VLOOKUP(B278,'Cronog. e Histog.'!$B$213:$BU$688,72,0)</f>
        <v>0</v>
      </c>
      <c r="AY278" s="144">
        <f>$AW278*$AX278*Dashboard!$D$15</f>
        <v>0</v>
      </c>
      <c r="AZ278" s="144">
        <f>VLOOKUP(B278,Precificação!$B$96:$BM$533,54,0)</f>
        <v>0</v>
      </c>
      <c r="BA278" s="144">
        <f>VLOOKUP(B278,Precificação!$B$96:$BR$533,58,0)</f>
        <v>0</v>
      </c>
      <c r="BB278" s="144">
        <f>VLOOKUP(B278,Precificação!$B$96:$BW$533,62,0)</f>
        <v>0</v>
      </c>
      <c r="BC278" s="144">
        <f t="shared" si="193"/>
        <v>0</v>
      </c>
      <c r="BD278" s="109">
        <f>IFERROR(VLOOKUP(B278,Precificação!$B$96:$S$533,13,0),0)</f>
        <v>0</v>
      </c>
      <c r="BE278" s="109">
        <f>IFERROR(VLOOKUP(B278,Precificação!$B$96:$U$533,15,0)/(Precificação!$U$4+Precificação!$U$91),0)*Dashboard!$T$3</f>
        <v>0</v>
      </c>
    </row>
    <row r="279" spans="2:57" ht="12" customHeight="1" outlineLevel="1">
      <c r="B279" s="137" t="str">
        <f>Precificação!B264</f>
        <v>TEC I - Equipe_01</v>
      </c>
      <c r="D279" s="512"/>
      <c r="E279" s="143" t="str">
        <f>IF('Cronog. e Histog.'!G395&gt;0,'Cronog. e Histog.'!G395,"")</f>
        <v>TEC I</v>
      </c>
      <c r="G279" s="179">
        <f t="shared" si="180"/>
        <v>0</v>
      </c>
      <c r="H279" s="110">
        <f>IFERROR(INDEX('Base Salarial'!$D$5:$F$25,MATCH(E279,'Base Salarial'!$G$5:$G$25,0),MATCH(I279,'Base Salarial'!$D$4:$F$4,0)),"")</f>
        <v>3000</v>
      </c>
      <c r="I279" s="78" t="str">
        <f>IFERROR(INDEX(Tarefas!$BQ$29:$FK$29,MATCH(E279,Tarefas!$BQ$30:$FK$30,0)),"")</f>
        <v>Mensalista</v>
      </c>
      <c r="J279" s="81">
        <f>IF(I279="horista",H279*Dashboard!$D$15,IF(OR(I279="Mensalista",I279="PJ"),H279,))</f>
        <v>3000</v>
      </c>
      <c r="K279" s="81">
        <f>IF(I279="PJ",J279,ROUND(J279*(1+Dashboard!$D$22),2))</f>
        <v>3180</v>
      </c>
      <c r="L279" s="77"/>
      <c r="M279" s="180"/>
      <c r="P279" s="109">
        <f>IF($BD279&gt;0,(((($BD279/Dashboard!$D$15)*(1+Precificação!$W$589)))+$P$26)*(1+Dashboard!$D$35),0)</f>
        <v>0</v>
      </c>
      <c r="Q279" s="109">
        <f>IF($BD279&gt;0,(((($BD279/Dashboard!$D$23)+(1+Precificação!$W$589))*(1+Q$28))+$P$26)*(1+Dashboard!$D$35),0)</f>
        <v>0</v>
      </c>
      <c r="R279" s="109">
        <f>IF($BD279&gt;0,(((($BD279/Dashboard!$D$23)+(1+Precificação!$W$589))*(1+R$28))+$P$26)*(1+Dashboard!$D$35),0)</f>
        <v>0</v>
      </c>
      <c r="S279" s="109">
        <f>IF($BD279&gt;0,(((($BD279/Dashboard!$D$23)+(1+Precificação!$W$589))*(1+S$28))+$P$26)*(1+Dashboard!$D$35),0)</f>
        <v>0</v>
      </c>
      <c r="U279" s="109">
        <f t="shared" si="181"/>
        <v>0</v>
      </c>
      <c r="V279" s="109">
        <f t="shared" si="182"/>
        <v>0</v>
      </c>
      <c r="W279" s="109">
        <f t="shared" si="183"/>
        <v>0</v>
      </c>
      <c r="X279" s="109">
        <f t="shared" si="184"/>
        <v>0</v>
      </c>
      <c r="AA279" s="109">
        <f>IF($BD279&gt;0,(((($BD279/Dashboard!$D$23)*(1+Precificação!$W$589)))+$AA$26)*(1+Dashboard!$D$35),0)</f>
        <v>0</v>
      </c>
      <c r="AB279" s="109">
        <f>IF($BD279&gt;0,(((($BD279/Dashboard!$D$23)*(1+Precificação!$W$589))*(1+AB$28))+$AA$26)*(1+Dashboard!$D$35),0)</f>
        <v>0</v>
      </c>
      <c r="AC279" s="109">
        <f>IF($BD279&gt;0,(((($BD279/Dashboard!$D$23)*(1+Precificação!$W$589))*(1+AC$28))+$AA$26)*(1+Dashboard!$D$35),0)</f>
        <v>0</v>
      </c>
      <c r="AD279" s="109">
        <f>IF($BD279&gt;0,(((($BD279/Dashboard!$D$23)*(1+Precificação!$W$589))*(1+AD$28))+$AA$26)*(1+Dashboard!$D$35),0)</f>
        <v>0</v>
      </c>
      <c r="AF279" s="109">
        <f t="shared" si="185"/>
        <v>0</v>
      </c>
      <c r="AG279" s="109">
        <f t="shared" si="186"/>
        <v>0</v>
      </c>
      <c r="AH279" s="109">
        <f t="shared" si="187"/>
        <v>0</v>
      </c>
      <c r="AI279" s="109">
        <f t="shared" si="188"/>
        <v>0</v>
      </c>
      <c r="AL279" s="109">
        <f>IF($BD279&gt;0,(((($BD279/Dashboard!$D$23)*(1+Precificação!$W$589)))+$AL$26)*(1+Dashboard!$D$35),0)</f>
        <v>0</v>
      </c>
      <c r="AM279" s="109">
        <f>IF($BD279&gt;0,(((($BD279/Dashboard!$D$23)*(1+Precificação!$W$589))*(1+AM$28))+$AA$26)*(1+Dashboard!$D$35),0)</f>
        <v>0</v>
      </c>
      <c r="AN279" s="109">
        <f>IF($BD279&gt;0,(((($BD279/Dashboard!$D$23)*(1+Precificação!$W$589))*(1+AN$28))+$AA$26)*(1+Dashboard!$D$35),0)</f>
        <v>0</v>
      </c>
      <c r="AO279" s="109">
        <f>IF($BD279&gt;0,(((($BD279/Dashboard!$D$23)*(1+Precificação!$W$589))*(1+AO$28))+$AA$26)*(1+Dashboard!$D$35),0)</f>
        <v>0</v>
      </c>
      <c r="AQ279" s="109">
        <f t="shared" si="189"/>
        <v>0</v>
      </c>
      <c r="AR279" s="109">
        <f t="shared" si="190"/>
        <v>0</v>
      </c>
      <c r="AS279" s="109">
        <f t="shared" si="191"/>
        <v>0</v>
      </c>
      <c r="AT279" s="109">
        <f t="shared" si="192"/>
        <v>0</v>
      </c>
      <c r="AW279" s="144">
        <f>VLOOKUP(B279,'Cronog. e Histog.'!$B$213:$BT$688,71,0)</f>
        <v>0</v>
      </c>
      <c r="AX279" s="144">
        <f>VLOOKUP(B279,'Cronog. e Histog.'!$B$213:$BU$688,72,0)</f>
        <v>0</v>
      </c>
      <c r="AY279" s="144">
        <f>$AW279*$AX279*Dashboard!$D$15</f>
        <v>0</v>
      </c>
      <c r="AZ279" s="144">
        <f>VLOOKUP(B279,Precificação!$B$96:$BM$533,54,0)</f>
        <v>0</v>
      </c>
      <c r="BA279" s="144">
        <f>VLOOKUP(B279,Precificação!$B$96:$BR$533,58,0)</f>
        <v>0</v>
      </c>
      <c r="BB279" s="144">
        <f>VLOOKUP(B279,Precificação!$B$96:$BW$533,62,0)</f>
        <v>0</v>
      </c>
      <c r="BC279" s="144">
        <f t="shared" si="193"/>
        <v>0</v>
      </c>
      <c r="BD279" s="109">
        <f>IFERROR(VLOOKUP(B279,Precificação!$B$96:$S$533,13,0),0)</f>
        <v>0</v>
      </c>
      <c r="BE279" s="109">
        <f>IFERROR(VLOOKUP(B279,Precificação!$B$96:$U$533,15,0)/(Precificação!$U$4+Precificação!$U$91),0)*Dashboard!$T$3</f>
        <v>0</v>
      </c>
    </row>
    <row r="280" spans="2:57" ht="12" customHeight="1" outlineLevel="1">
      <c r="B280" s="137" t="str">
        <f>Precificação!B265</f>
        <v>AUX TEC - Equipe_01</v>
      </c>
      <c r="D280" s="512"/>
      <c r="E280" s="143" t="str">
        <f>IF('Cronog. e Histog.'!G396&gt;0,'Cronog. e Histog.'!G396,"")</f>
        <v>AUX TEC</v>
      </c>
      <c r="G280" s="179">
        <f t="shared" si="180"/>
        <v>0</v>
      </c>
      <c r="H280" s="110">
        <f>IFERROR(INDEX('Base Salarial'!$D$5:$F$25,MATCH(E280,'Base Salarial'!$G$5:$G$25,0),MATCH(I280,'Base Salarial'!$D$4:$F$4,0)),"")</f>
        <v>3500</v>
      </c>
      <c r="I280" s="78" t="str">
        <f>IFERROR(INDEX(Tarefas!$BQ$29:$FK$29,MATCH(E280,Tarefas!$BQ$30:$FK$30,0)),"")</f>
        <v>Mensalista</v>
      </c>
      <c r="J280" s="81">
        <f>IF(I280="horista",H280*Dashboard!$D$15,IF(OR(I280="Mensalista",I280="PJ"),H280,))</f>
        <v>3500</v>
      </c>
      <c r="K280" s="81">
        <f>IF(I280="PJ",J280,ROUND(J280*(1+Dashboard!$D$22),2))</f>
        <v>3710</v>
      </c>
      <c r="L280" s="77"/>
      <c r="M280" s="180"/>
      <c r="P280" s="109">
        <f>IF($BD280&gt;0,(((($BD280/Dashboard!$D$15)*(1+Precificação!$W$589)))+$P$26)*(1+Dashboard!$D$35),0)</f>
        <v>0</v>
      </c>
      <c r="Q280" s="109">
        <f>IF($BD280&gt;0,(((($BD280/Dashboard!$D$23)+(1+Precificação!$W$589))*(1+Q$28))+$P$26)*(1+Dashboard!$D$35),0)</f>
        <v>0</v>
      </c>
      <c r="R280" s="109">
        <f>IF($BD280&gt;0,(((($BD280/Dashboard!$D$23)+(1+Precificação!$W$589))*(1+R$28))+$P$26)*(1+Dashboard!$D$35),0)</f>
        <v>0</v>
      </c>
      <c r="S280" s="109">
        <f>IF($BD280&gt;0,(((($BD280/Dashboard!$D$23)+(1+Precificação!$W$589))*(1+S$28))+$P$26)*(1+Dashboard!$D$35),0)</f>
        <v>0</v>
      </c>
      <c r="U280" s="109">
        <f t="shared" si="181"/>
        <v>0</v>
      </c>
      <c r="V280" s="109">
        <f t="shared" si="182"/>
        <v>0</v>
      </c>
      <c r="W280" s="109">
        <f t="shared" si="183"/>
        <v>0</v>
      </c>
      <c r="X280" s="109">
        <f t="shared" si="184"/>
        <v>0</v>
      </c>
      <c r="AA280" s="109">
        <f>IF($BD280&gt;0,(((($BD280/Dashboard!$D$23)*(1+Precificação!$W$589)))+$AA$26)*(1+Dashboard!$D$35),0)</f>
        <v>0</v>
      </c>
      <c r="AB280" s="109">
        <f>IF($BD280&gt;0,(((($BD280/Dashboard!$D$23)*(1+Precificação!$W$589))*(1+AB$28))+$AA$26)*(1+Dashboard!$D$35),0)</f>
        <v>0</v>
      </c>
      <c r="AC280" s="109">
        <f>IF($BD280&gt;0,(((($BD280/Dashboard!$D$23)*(1+Precificação!$W$589))*(1+AC$28))+$AA$26)*(1+Dashboard!$D$35),0)</f>
        <v>0</v>
      </c>
      <c r="AD280" s="109">
        <f>IF($BD280&gt;0,(((($BD280/Dashboard!$D$23)*(1+Precificação!$W$589))*(1+AD$28))+$AA$26)*(1+Dashboard!$D$35),0)</f>
        <v>0</v>
      </c>
      <c r="AF280" s="109">
        <f t="shared" si="185"/>
        <v>0</v>
      </c>
      <c r="AG280" s="109">
        <f t="shared" si="186"/>
        <v>0</v>
      </c>
      <c r="AH280" s="109">
        <f t="shared" si="187"/>
        <v>0</v>
      </c>
      <c r="AI280" s="109">
        <f t="shared" si="188"/>
        <v>0</v>
      </c>
      <c r="AL280" s="109">
        <f>IF($BD280&gt;0,(((($BD280/Dashboard!$D$23)*(1+Precificação!$W$589)))+$AL$26)*(1+Dashboard!$D$35),0)</f>
        <v>0</v>
      </c>
      <c r="AM280" s="109">
        <f>IF($BD280&gt;0,(((($BD280/Dashboard!$D$23)*(1+Precificação!$W$589))*(1+AM$28))+$AA$26)*(1+Dashboard!$D$35),0)</f>
        <v>0</v>
      </c>
      <c r="AN280" s="109">
        <f>IF($BD280&gt;0,(((($BD280/Dashboard!$D$23)*(1+Precificação!$W$589))*(1+AN$28))+$AA$26)*(1+Dashboard!$D$35),0)</f>
        <v>0</v>
      </c>
      <c r="AO280" s="109">
        <f>IF($BD280&gt;0,(((($BD280/Dashboard!$D$23)*(1+Precificação!$W$589))*(1+AO$28))+$AA$26)*(1+Dashboard!$D$35),0)</f>
        <v>0</v>
      </c>
      <c r="AQ280" s="109">
        <f t="shared" si="189"/>
        <v>0</v>
      </c>
      <c r="AR280" s="109">
        <f t="shared" si="190"/>
        <v>0</v>
      </c>
      <c r="AS280" s="109">
        <f t="shared" si="191"/>
        <v>0</v>
      </c>
      <c r="AT280" s="109">
        <f t="shared" si="192"/>
        <v>0</v>
      </c>
      <c r="AW280" s="144">
        <f>VLOOKUP(B280,'Cronog. e Histog.'!$B$213:$BT$688,71,0)</f>
        <v>0</v>
      </c>
      <c r="AX280" s="144">
        <f>VLOOKUP(B280,'Cronog. e Histog.'!$B$213:$BU$688,72,0)</f>
        <v>0</v>
      </c>
      <c r="AY280" s="144">
        <f>$AW280*$AX280*Dashboard!$D$15</f>
        <v>0</v>
      </c>
      <c r="AZ280" s="144">
        <f>VLOOKUP(B280,Precificação!$B$96:$BM$533,54,0)</f>
        <v>0</v>
      </c>
      <c r="BA280" s="144">
        <f>VLOOKUP(B280,Precificação!$B$96:$BR$533,58,0)</f>
        <v>0</v>
      </c>
      <c r="BB280" s="144">
        <f>VLOOKUP(B280,Precificação!$B$96:$BW$533,62,0)</f>
        <v>0</v>
      </c>
      <c r="BC280" s="144">
        <f t="shared" si="193"/>
        <v>0</v>
      </c>
      <c r="BD280" s="109">
        <f>IFERROR(VLOOKUP(B280,Precificação!$B$96:$S$533,13,0),0)</f>
        <v>0</v>
      </c>
      <c r="BE280" s="109">
        <f>IFERROR(VLOOKUP(B280,Precificação!$B$96:$U$533,15,0)/(Precificação!$U$4+Precificação!$U$91),0)*Dashboard!$T$3</f>
        <v>0</v>
      </c>
    </row>
    <row r="281" spans="2:57" ht="12" customHeight="1" outlineLevel="1">
      <c r="B281" s="137" t="str">
        <f>Precificação!B266</f>
        <v>AUX ADM - Equipe_01</v>
      </c>
      <c r="D281" s="512"/>
      <c r="E281" s="143" t="str">
        <f>IF('Cronog. e Histog.'!G397&gt;0,'Cronog. e Histog.'!G397,"")</f>
        <v>AUX ADM</v>
      </c>
      <c r="G281" s="179">
        <f t="shared" si="180"/>
        <v>0</v>
      </c>
      <c r="H281" s="110">
        <f>IFERROR(INDEX('Base Salarial'!$D$5:$F$25,MATCH(E281,'Base Salarial'!$G$5:$G$25,0),MATCH(I281,'Base Salarial'!$D$4:$F$4,0)),"")</f>
        <v>1804</v>
      </c>
      <c r="I281" s="78" t="str">
        <f>IFERROR(INDEX(Tarefas!$BQ$29:$FK$29,MATCH(E281,Tarefas!$BQ$30:$FK$30,0)),"")</f>
        <v>Mensalista</v>
      </c>
      <c r="J281" s="81">
        <f>IF(I281="horista",H281*Dashboard!$D$15,IF(OR(I281="Mensalista",I281="PJ"),H281,))</f>
        <v>1804</v>
      </c>
      <c r="K281" s="81">
        <f>IF(I281="PJ",J281,ROUND(J281*(1+Dashboard!$D$22),2))</f>
        <v>1912.24</v>
      </c>
      <c r="L281" s="77"/>
      <c r="M281" s="180"/>
      <c r="P281" s="109">
        <f>IF($BD281&gt;0,(((($BD281/Dashboard!$D$15)*(1+Precificação!$W$589)))+$P$26)*(1+Dashboard!$D$35),0)</f>
        <v>0</v>
      </c>
      <c r="Q281" s="109">
        <f>IF($BD281&gt;0,(((($BD281/Dashboard!$D$23)+(1+Precificação!$W$589))*(1+Q$28))+$P$26)*(1+Dashboard!$D$35),0)</f>
        <v>0</v>
      </c>
      <c r="R281" s="109">
        <f>IF($BD281&gt;0,(((($BD281/Dashboard!$D$23)+(1+Precificação!$W$589))*(1+R$28))+$P$26)*(1+Dashboard!$D$35),0)</f>
        <v>0</v>
      </c>
      <c r="S281" s="109">
        <f>IF($BD281&gt;0,(((($BD281/Dashboard!$D$23)+(1+Precificação!$W$589))*(1+S$28))+$P$26)*(1+Dashboard!$D$35),0)</f>
        <v>0</v>
      </c>
      <c r="U281" s="109">
        <f t="shared" si="181"/>
        <v>0</v>
      </c>
      <c r="V281" s="109">
        <f t="shared" si="182"/>
        <v>0</v>
      </c>
      <c r="W281" s="109">
        <f t="shared" si="183"/>
        <v>0</v>
      </c>
      <c r="X281" s="109">
        <f t="shared" si="184"/>
        <v>0</v>
      </c>
      <c r="AA281" s="109">
        <f>IF($BD281&gt;0,(((($BD281/Dashboard!$D$23)*(1+Precificação!$W$589)))+$AA$26)*(1+Dashboard!$D$35),0)</f>
        <v>0</v>
      </c>
      <c r="AB281" s="109">
        <f>IF($BD281&gt;0,(((($BD281/Dashboard!$D$23)*(1+Precificação!$W$589))*(1+AB$28))+$AA$26)*(1+Dashboard!$D$35),0)</f>
        <v>0</v>
      </c>
      <c r="AC281" s="109">
        <f>IF($BD281&gt;0,(((($BD281/Dashboard!$D$23)*(1+Precificação!$W$589))*(1+AC$28))+$AA$26)*(1+Dashboard!$D$35),0)</f>
        <v>0</v>
      </c>
      <c r="AD281" s="109">
        <f>IF($BD281&gt;0,(((($BD281/Dashboard!$D$23)*(1+Precificação!$W$589))*(1+AD$28))+$AA$26)*(1+Dashboard!$D$35),0)</f>
        <v>0</v>
      </c>
      <c r="AF281" s="109">
        <f t="shared" si="185"/>
        <v>0</v>
      </c>
      <c r="AG281" s="109">
        <f t="shared" si="186"/>
        <v>0</v>
      </c>
      <c r="AH281" s="109">
        <f t="shared" si="187"/>
        <v>0</v>
      </c>
      <c r="AI281" s="109">
        <f t="shared" si="188"/>
        <v>0</v>
      </c>
      <c r="AL281" s="109">
        <f>IF($BD281&gt;0,(((($BD281/Dashboard!$D$23)*(1+Precificação!$W$589)))+$AL$26)*(1+Dashboard!$D$35),0)</f>
        <v>0</v>
      </c>
      <c r="AM281" s="109">
        <f>IF($BD281&gt;0,(((($BD281/Dashboard!$D$23)*(1+Precificação!$W$589))*(1+AM$28))+$AA$26)*(1+Dashboard!$D$35),0)</f>
        <v>0</v>
      </c>
      <c r="AN281" s="109">
        <f>IF($BD281&gt;0,(((($BD281/Dashboard!$D$23)*(1+Precificação!$W$589))*(1+AN$28))+$AA$26)*(1+Dashboard!$D$35),0)</f>
        <v>0</v>
      </c>
      <c r="AO281" s="109">
        <f>IF($BD281&gt;0,(((($BD281/Dashboard!$D$23)*(1+Precificação!$W$589))*(1+AO$28))+$AA$26)*(1+Dashboard!$D$35),0)</f>
        <v>0</v>
      </c>
      <c r="AQ281" s="109">
        <f t="shared" si="189"/>
        <v>0</v>
      </c>
      <c r="AR281" s="109">
        <f t="shared" si="190"/>
        <v>0</v>
      </c>
      <c r="AS281" s="109">
        <f t="shared" si="191"/>
        <v>0</v>
      </c>
      <c r="AT281" s="109">
        <f t="shared" si="192"/>
        <v>0</v>
      </c>
      <c r="AW281" s="144">
        <f>VLOOKUP(B281,'Cronog. e Histog.'!$B$213:$BT$688,71,0)</f>
        <v>0</v>
      </c>
      <c r="AX281" s="144">
        <f>VLOOKUP(B281,'Cronog. e Histog.'!$B$213:$BU$688,72,0)</f>
        <v>0</v>
      </c>
      <c r="AY281" s="144">
        <f>$AW281*$AX281*Dashboard!$D$15</f>
        <v>0</v>
      </c>
      <c r="AZ281" s="144">
        <f>VLOOKUP(B281,Precificação!$B$96:$BM$533,54,0)</f>
        <v>0</v>
      </c>
      <c r="BA281" s="144">
        <f>VLOOKUP(B281,Precificação!$B$96:$BR$533,58,0)</f>
        <v>0</v>
      </c>
      <c r="BB281" s="144">
        <f>VLOOKUP(B281,Precificação!$B$96:$BW$533,62,0)</f>
        <v>0</v>
      </c>
      <c r="BC281" s="144">
        <f t="shared" si="193"/>
        <v>0</v>
      </c>
      <c r="BD281" s="109">
        <f>IFERROR(VLOOKUP(B281,Precificação!$B$96:$S$533,13,0),0)</f>
        <v>0</v>
      </c>
      <c r="BE281" s="109">
        <f>IFERROR(VLOOKUP(B281,Precificação!$B$96:$U$533,15,0)/(Precificação!$U$4+Precificação!$U$91),0)*Dashboard!$T$3</f>
        <v>0</v>
      </c>
    </row>
    <row r="282" spans="2:57" ht="12" customHeight="1" outlineLevel="1">
      <c r="B282" s="137" t="str">
        <f>Precificação!B267</f>
        <v>EST - Equipe_01</v>
      </c>
      <c r="D282" s="512"/>
      <c r="E282" s="143" t="str">
        <f>IF('Cronog. e Histog.'!G398&gt;0,'Cronog. e Histog.'!G398,"")</f>
        <v>EST</v>
      </c>
      <c r="G282" s="179">
        <f t="shared" si="180"/>
        <v>0</v>
      </c>
      <c r="H282" s="110">
        <f>IFERROR(INDEX('Base Salarial'!$D$5:$F$25,MATCH(E282,'Base Salarial'!$G$5:$G$25,0),MATCH(I282,'Base Salarial'!$D$4:$F$4,0)),"")</f>
        <v>1633</v>
      </c>
      <c r="I282" s="78" t="str">
        <f>IFERROR(INDEX(Tarefas!$BQ$29:$FK$29,MATCH(E282,Tarefas!$BQ$30:$FK$30,0)),"")</f>
        <v>PJ</v>
      </c>
      <c r="J282" s="81">
        <f>IF(I282="horista",H282*Dashboard!$D$15,IF(OR(I282="Mensalista",I282="PJ"),H282,))</f>
        <v>1633</v>
      </c>
      <c r="K282" s="81">
        <f>IF(I282="PJ",J282,ROUND(J282*(1+Dashboard!$D$22),2))</f>
        <v>1633</v>
      </c>
      <c r="L282" s="77"/>
      <c r="M282" s="180"/>
      <c r="P282" s="109">
        <f>IF($BD282&gt;0,(((($BD282/Dashboard!$D$15)*(1+Precificação!$W$589)))+$P$26)*(1+Dashboard!$D$35),0)</f>
        <v>0</v>
      </c>
      <c r="Q282" s="109">
        <f>IF($BD282&gt;0,(((($BD282/Dashboard!$D$23)+(1+Precificação!$W$589))*(1+Q$28))+$P$26)*(1+Dashboard!$D$35),0)</f>
        <v>0</v>
      </c>
      <c r="R282" s="109">
        <f>IF($BD282&gt;0,(((($BD282/Dashboard!$D$23)+(1+Precificação!$W$589))*(1+R$28))+$P$26)*(1+Dashboard!$D$35),0)</f>
        <v>0</v>
      </c>
      <c r="S282" s="109">
        <f>IF($BD282&gt;0,(((($BD282/Dashboard!$D$23)+(1+Precificação!$W$589))*(1+S$28))+$P$26)*(1+Dashboard!$D$35),0)</f>
        <v>0</v>
      </c>
      <c r="U282" s="109">
        <f t="shared" si="181"/>
        <v>0</v>
      </c>
      <c r="V282" s="109">
        <f t="shared" si="182"/>
        <v>0</v>
      </c>
      <c r="W282" s="109">
        <f t="shared" si="183"/>
        <v>0</v>
      </c>
      <c r="X282" s="109">
        <f t="shared" si="184"/>
        <v>0</v>
      </c>
      <c r="AA282" s="109">
        <f>IF($BD282&gt;0,(((($BD282/Dashboard!$D$23)*(1+Precificação!$W$589)))+$AA$26)*(1+Dashboard!$D$35),0)</f>
        <v>0</v>
      </c>
      <c r="AB282" s="109">
        <f>IF($BD282&gt;0,(((($BD282/Dashboard!$D$23)*(1+Precificação!$W$589))*(1+AB$28))+$AA$26)*(1+Dashboard!$D$35),0)</f>
        <v>0</v>
      </c>
      <c r="AC282" s="109">
        <f>IF($BD282&gt;0,(((($BD282/Dashboard!$D$23)*(1+Precificação!$W$589))*(1+AC$28))+$AA$26)*(1+Dashboard!$D$35),0)</f>
        <v>0</v>
      </c>
      <c r="AD282" s="109">
        <f>IF($BD282&gt;0,(((($BD282/Dashboard!$D$23)*(1+Precificação!$W$589))*(1+AD$28))+$AA$26)*(1+Dashboard!$D$35),0)</f>
        <v>0</v>
      </c>
      <c r="AF282" s="109">
        <f t="shared" si="185"/>
        <v>0</v>
      </c>
      <c r="AG282" s="109">
        <f t="shared" si="186"/>
        <v>0</v>
      </c>
      <c r="AH282" s="109">
        <f t="shared" si="187"/>
        <v>0</v>
      </c>
      <c r="AI282" s="109">
        <f t="shared" si="188"/>
        <v>0</v>
      </c>
      <c r="AL282" s="109">
        <f>IF($BD282&gt;0,(((($BD282/Dashboard!$D$23)*(1+Precificação!$W$589)))+$AL$26)*(1+Dashboard!$D$35),0)</f>
        <v>0</v>
      </c>
      <c r="AM282" s="109">
        <f>IF($BD282&gt;0,(((($BD282/Dashboard!$D$23)*(1+Precificação!$W$589))*(1+AM$28))+$AA$26)*(1+Dashboard!$D$35),0)</f>
        <v>0</v>
      </c>
      <c r="AN282" s="109">
        <f>IF($BD282&gt;0,(((($BD282/Dashboard!$D$23)*(1+Precificação!$W$589))*(1+AN$28))+$AA$26)*(1+Dashboard!$D$35),0)</f>
        <v>0</v>
      </c>
      <c r="AO282" s="109">
        <f>IF($BD282&gt;0,(((($BD282/Dashboard!$D$23)*(1+Precificação!$W$589))*(1+AO$28))+$AA$26)*(1+Dashboard!$D$35),0)</f>
        <v>0</v>
      </c>
      <c r="AQ282" s="109">
        <f t="shared" si="189"/>
        <v>0</v>
      </c>
      <c r="AR282" s="109">
        <f t="shared" si="190"/>
        <v>0</v>
      </c>
      <c r="AS282" s="109">
        <f t="shared" si="191"/>
        <v>0</v>
      </c>
      <c r="AT282" s="109">
        <f t="shared" si="192"/>
        <v>0</v>
      </c>
      <c r="AW282" s="144">
        <f>VLOOKUP(B282,'Cronog. e Histog.'!$B$213:$BT$688,71,0)</f>
        <v>0</v>
      </c>
      <c r="AX282" s="144">
        <f>VLOOKUP(B282,'Cronog. e Histog.'!$B$213:$BU$688,72,0)</f>
        <v>0</v>
      </c>
      <c r="AY282" s="144">
        <f>$AW282*$AX282*Dashboard!$D$15</f>
        <v>0</v>
      </c>
      <c r="AZ282" s="144">
        <f>VLOOKUP(B282,Precificação!$B$96:$BM$533,54,0)</f>
        <v>0</v>
      </c>
      <c r="BA282" s="144">
        <f>VLOOKUP(B282,Precificação!$B$96:$BR$533,58,0)</f>
        <v>0</v>
      </c>
      <c r="BB282" s="144">
        <f>VLOOKUP(B282,Precificação!$B$96:$BW$533,62,0)</f>
        <v>0</v>
      </c>
      <c r="BC282" s="144">
        <f t="shared" si="193"/>
        <v>0</v>
      </c>
      <c r="BD282" s="109">
        <f>IFERROR(VLOOKUP(B282,Precificação!$B$96:$S$533,13,0),0)</f>
        <v>0</v>
      </c>
      <c r="BE282" s="109">
        <f>IFERROR(VLOOKUP(B282,Precificação!$B$96:$U$533,15,0)/(Precificação!$U$4+Precificação!$U$91),0)*Dashboard!$T$3</f>
        <v>0</v>
      </c>
    </row>
    <row r="283" spans="2:57" ht="12" customHeight="1" outlineLevel="1">
      <c r="B283" s="137" t="str">
        <f>Precificação!B268</f>
        <v>EST_II - Equipe_01</v>
      </c>
      <c r="D283" s="512"/>
      <c r="E283" s="143" t="str">
        <f>IF('Cronog. e Histog.'!G399&gt;0,'Cronog. e Histog.'!G399,"")</f>
        <v>EST_II</v>
      </c>
      <c r="G283" s="179">
        <f t="shared" si="180"/>
        <v>0</v>
      </c>
      <c r="H283" s="110">
        <f>IFERROR(INDEX('Base Salarial'!$D$5:$F$25,MATCH(E283,'Base Salarial'!$G$5:$G$25,0),MATCH(I283,'Base Salarial'!$D$4:$F$4,0)),"")</f>
        <v>1633</v>
      </c>
      <c r="I283" s="78" t="str">
        <f>IFERROR(INDEX(Tarefas!$BQ$29:$FK$29,MATCH(E283,Tarefas!$BQ$30:$FK$30,0)),"")</f>
        <v>PJ</v>
      </c>
      <c r="J283" s="81">
        <f>IF(I283="horista",H283*Dashboard!$D$15,IF(OR(I283="Mensalista",I283="PJ"),H283,))</f>
        <v>1633</v>
      </c>
      <c r="K283" s="81">
        <f>IF(I283="PJ",J283,ROUND(J283*(1+Dashboard!$D$22),2))</f>
        <v>1633</v>
      </c>
      <c r="L283" s="77"/>
      <c r="M283" s="180"/>
      <c r="P283" s="109">
        <f>IF($BD283&gt;0,(((($BD283/Dashboard!$D$15)*(1+Precificação!$W$589)))+$P$26)*(1+Dashboard!$D$35),0)</f>
        <v>0</v>
      </c>
      <c r="Q283" s="109">
        <f>IF($BD283&gt;0,(((($BD283/Dashboard!$D$23)+(1+Precificação!$W$589))*(1+Q$28))+$P$26)*(1+Dashboard!$D$35),0)</f>
        <v>0</v>
      </c>
      <c r="R283" s="109">
        <f>IF($BD283&gt;0,(((($BD283/Dashboard!$D$23)+(1+Precificação!$W$589))*(1+R$28))+$P$26)*(1+Dashboard!$D$35),0)</f>
        <v>0</v>
      </c>
      <c r="S283" s="109">
        <f>IF($BD283&gt;0,(((($BD283/Dashboard!$D$23)+(1+Precificação!$W$589))*(1+S$28))+$P$26)*(1+Dashboard!$D$35),0)</f>
        <v>0</v>
      </c>
      <c r="U283" s="109">
        <f t="shared" si="181"/>
        <v>0</v>
      </c>
      <c r="V283" s="109">
        <f t="shared" si="182"/>
        <v>0</v>
      </c>
      <c r="W283" s="109">
        <f t="shared" si="183"/>
        <v>0</v>
      </c>
      <c r="X283" s="109">
        <f t="shared" si="184"/>
        <v>0</v>
      </c>
      <c r="AA283" s="109">
        <f>IF($BD283&gt;0,(((($BD283/Dashboard!$D$23)*(1+Precificação!$W$589)))+$AA$26)*(1+Dashboard!$D$35),0)</f>
        <v>0</v>
      </c>
      <c r="AB283" s="109">
        <f>IF($BD283&gt;0,(((($BD283/Dashboard!$D$23)*(1+Precificação!$W$589))*(1+AB$28))+$AA$26)*(1+Dashboard!$D$35),0)</f>
        <v>0</v>
      </c>
      <c r="AC283" s="109">
        <f>IF($BD283&gt;0,(((($BD283/Dashboard!$D$23)*(1+Precificação!$W$589))*(1+AC$28))+$AA$26)*(1+Dashboard!$D$35),0)</f>
        <v>0</v>
      </c>
      <c r="AD283" s="109">
        <f>IF($BD283&gt;0,(((($BD283/Dashboard!$D$23)*(1+Precificação!$W$589))*(1+AD$28))+$AA$26)*(1+Dashboard!$D$35),0)</f>
        <v>0</v>
      </c>
      <c r="AF283" s="109">
        <f t="shared" si="185"/>
        <v>0</v>
      </c>
      <c r="AG283" s="109">
        <f t="shared" si="186"/>
        <v>0</v>
      </c>
      <c r="AH283" s="109">
        <f t="shared" si="187"/>
        <v>0</v>
      </c>
      <c r="AI283" s="109">
        <f t="shared" si="188"/>
        <v>0</v>
      </c>
      <c r="AL283" s="109">
        <f>IF($BD283&gt;0,(((($BD283/Dashboard!$D$23)*(1+Precificação!$W$589)))+$AL$26)*(1+Dashboard!$D$35),0)</f>
        <v>0</v>
      </c>
      <c r="AM283" s="109">
        <f>IF($BD283&gt;0,(((($BD283/Dashboard!$D$23)*(1+Precificação!$W$589))*(1+AM$28))+$AA$26)*(1+Dashboard!$D$35),0)</f>
        <v>0</v>
      </c>
      <c r="AN283" s="109">
        <f>IF($BD283&gt;0,(((($BD283/Dashboard!$D$23)*(1+Precificação!$W$589))*(1+AN$28))+$AA$26)*(1+Dashboard!$D$35),0)</f>
        <v>0</v>
      </c>
      <c r="AO283" s="109">
        <f>IF($BD283&gt;0,(((($BD283/Dashboard!$D$23)*(1+Precificação!$W$589))*(1+AO$28))+$AA$26)*(1+Dashboard!$D$35),0)</f>
        <v>0</v>
      </c>
      <c r="AQ283" s="109">
        <f t="shared" si="189"/>
        <v>0</v>
      </c>
      <c r="AR283" s="109">
        <f t="shared" si="190"/>
        <v>0</v>
      </c>
      <c r="AS283" s="109">
        <f t="shared" si="191"/>
        <v>0</v>
      </c>
      <c r="AT283" s="109">
        <f t="shared" si="192"/>
        <v>0</v>
      </c>
      <c r="AW283" s="144">
        <f>VLOOKUP(B283,'Cronog. e Histog.'!$B$213:$BT$688,71,0)</f>
        <v>0</v>
      </c>
      <c r="AX283" s="144">
        <f>VLOOKUP(B283,'Cronog. e Histog.'!$B$213:$BU$688,72,0)</f>
        <v>0</v>
      </c>
      <c r="AY283" s="144">
        <f>$AW283*$AX283*Dashboard!$D$15</f>
        <v>0</v>
      </c>
      <c r="AZ283" s="144">
        <f>VLOOKUP(B283,Precificação!$B$96:$BM$533,54,0)</f>
        <v>0</v>
      </c>
      <c r="BA283" s="144">
        <f>VLOOKUP(B283,Precificação!$B$96:$BR$533,58,0)</f>
        <v>0</v>
      </c>
      <c r="BB283" s="144">
        <f>VLOOKUP(B283,Precificação!$B$96:$BW$533,62,0)</f>
        <v>0</v>
      </c>
      <c r="BC283" s="144">
        <f t="shared" si="193"/>
        <v>0</v>
      </c>
      <c r="BD283" s="109">
        <f>IFERROR(VLOOKUP(B283,Precificação!$B$96:$S$533,13,0),0)</f>
        <v>0</v>
      </c>
      <c r="BE283" s="109">
        <f>IFERROR(VLOOKUP(B283,Precificação!$B$96:$U$533,15,0)/(Precificação!$U$4+Precificação!$U$91),0)*Dashboard!$T$3</f>
        <v>0</v>
      </c>
    </row>
    <row r="284" spans="2:57" ht="12" customHeight="1" outlineLevel="1">
      <c r="B284" s="137" t="str">
        <f>Precificação!B269</f>
        <v>EST_III - Equipe_01</v>
      </c>
      <c r="D284" s="512"/>
      <c r="E284" s="143" t="str">
        <f>IF('Cronog. e Histog.'!G400&gt;0,'Cronog. e Histog.'!G400,"")</f>
        <v>EST_III</v>
      </c>
      <c r="G284" s="179">
        <f t="shared" si="180"/>
        <v>0</v>
      </c>
      <c r="H284" s="110">
        <f>IFERROR(INDEX('Base Salarial'!$D$5:$F$25,MATCH(E284,'Base Salarial'!$G$5:$G$25,0),MATCH(I284,'Base Salarial'!$D$4:$F$4,0)),"")</f>
        <v>1633</v>
      </c>
      <c r="I284" s="78" t="str">
        <f>IFERROR(INDEX(Tarefas!$BQ$29:$FK$29,MATCH(E284,Tarefas!$BQ$30:$FK$30,0)),"")</f>
        <v>PJ</v>
      </c>
      <c r="J284" s="81">
        <f>IF(I284="horista",H284*Dashboard!$D$15,IF(OR(I284="Mensalista",I284="PJ"),H284,))</f>
        <v>1633</v>
      </c>
      <c r="K284" s="81">
        <f>IF(I284="PJ",J284,ROUND(J284*(1+Dashboard!$D$22),2))</f>
        <v>1633</v>
      </c>
      <c r="L284" s="77"/>
      <c r="M284" s="180"/>
      <c r="P284" s="109">
        <f>IF($BD284&gt;0,(((($BD284/Dashboard!$D$15)*(1+Precificação!$W$589)))+$P$26)*(1+Dashboard!$D$35),0)</f>
        <v>0</v>
      </c>
      <c r="Q284" s="109">
        <f>IF($BD284&gt;0,(((($BD284/Dashboard!$D$23)+(1+Precificação!$W$589))*(1+Q$28))+$P$26)*(1+Dashboard!$D$35),0)</f>
        <v>0</v>
      </c>
      <c r="R284" s="109">
        <f>IF($BD284&gt;0,(((($BD284/Dashboard!$D$23)+(1+Precificação!$W$589))*(1+R$28))+$P$26)*(1+Dashboard!$D$35),0)</f>
        <v>0</v>
      </c>
      <c r="S284" s="109">
        <f>IF($BD284&gt;0,(((($BD284/Dashboard!$D$23)+(1+Precificação!$W$589))*(1+S$28))+$P$26)*(1+Dashboard!$D$35),0)</f>
        <v>0</v>
      </c>
      <c r="U284" s="109">
        <f t="shared" si="181"/>
        <v>0</v>
      </c>
      <c r="V284" s="109">
        <f t="shared" si="182"/>
        <v>0</v>
      </c>
      <c r="W284" s="109">
        <f t="shared" si="183"/>
        <v>0</v>
      </c>
      <c r="X284" s="109">
        <f t="shared" si="184"/>
        <v>0</v>
      </c>
      <c r="AA284" s="109">
        <f>IF($BD284&gt;0,(((($BD284/Dashboard!$D$23)*(1+Precificação!$W$589)))+$AA$26)*(1+Dashboard!$D$35),0)</f>
        <v>0</v>
      </c>
      <c r="AB284" s="109">
        <f>IF($BD284&gt;0,(((($BD284/Dashboard!$D$23)*(1+Precificação!$W$589))*(1+AB$28))+$AA$26)*(1+Dashboard!$D$35),0)</f>
        <v>0</v>
      </c>
      <c r="AC284" s="109">
        <f>IF($BD284&gt;0,(((($BD284/Dashboard!$D$23)*(1+Precificação!$W$589))*(1+AC$28))+$AA$26)*(1+Dashboard!$D$35),0)</f>
        <v>0</v>
      </c>
      <c r="AD284" s="109">
        <f>IF($BD284&gt;0,(((($BD284/Dashboard!$D$23)*(1+Precificação!$W$589))*(1+AD$28))+$AA$26)*(1+Dashboard!$D$35),0)</f>
        <v>0</v>
      </c>
      <c r="AF284" s="109">
        <f t="shared" si="185"/>
        <v>0</v>
      </c>
      <c r="AG284" s="109">
        <f t="shared" si="186"/>
        <v>0</v>
      </c>
      <c r="AH284" s="109">
        <f t="shared" si="187"/>
        <v>0</v>
      </c>
      <c r="AI284" s="109">
        <f t="shared" si="188"/>
        <v>0</v>
      </c>
      <c r="AL284" s="109">
        <f>IF($BD284&gt;0,(((($BD284/Dashboard!$D$23)*(1+Precificação!$W$589)))+$AL$26)*(1+Dashboard!$D$35),0)</f>
        <v>0</v>
      </c>
      <c r="AM284" s="109">
        <f>IF($BD284&gt;0,(((($BD284/Dashboard!$D$23)*(1+Precificação!$W$589))*(1+AM$28))+$AA$26)*(1+Dashboard!$D$35),0)</f>
        <v>0</v>
      </c>
      <c r="AN284" s="109">
        <f>IF($BD284&gt;0,(((($BD284/Dashboard!$D$23)*(1+Precificação!$W$589))*(1+AN$28))+$AA$26)*(1+Dashboard!$D$35),0)</f>
        <v>0</v>
      </c>
      <c r="AO284" s="109">
        <f>IF($BD284&gt;0,(((($BD284/Dashboard!$D$23)*(1+Precificação!$W$589))*(1+AO$28))+$AA$26)*(1+Dashboard!$D$35),0)</f>
        <v>0</v>
      </c>
      <c r="AQ284" s="109">
        <f t="shared" si="189"/>
        <v>0</v>
      </c>
      <c r="AR284" s="109">
        <f t="shared" si="190"/>
        <v>0</v>
      </c>
      <c r="AS284" s="109">
        <f t="shared" si="191"/>
        <v>0</v>
      </c>
      <c r="AT284" s="109">
        <f t="shared" si="192"/>
        <v>0</v>
      </c>
      <c r="AW284" s="144">
        <f>VLOOKUP(B284,'Cronog. e Histog.'!$B$213:$BT$688,71,0)</f>
        <v>0</v>
      </c>
      <c r="AX284" s="144">
        <f>VLOOKUP(B284,'Cronog. e Histog.'!$B$213:$BU$688,72,0)</f>
        <v>0</v>
      </c>
      <c r="AY284" s="144">
        <f>$AW284*$AX284*Dashboard!$D$15</f>
        <v>0</v>
      </c>
      <c r="AZ284" s="144">
        <f>VLOOKUP(B284,Precificação!$B$96:$BM$533,54,0)</f>
        <v>0</v>
      </c>
      <c r="BA284" s="144">
        <f>VLOOKUP(B284,Precificação!$B$96:$BR$533,58,0)</f>
        <v>0</v>
      </c>
      <c r="BB284" s="144">
        <f>VLOOKUP(B284,Precificação!$B$96:$BW$533,62,0)</f>
        <v>0</v>
      </c>
      <c r="BC284" s="144">
        <f t="shared" si="193"/>
        <v>0</v>
      </c>
      <c r="BD284" s="109">
        <f>IFERROR(VLOOKUP(B284,Precificação!$B$96:$S$533,13,0),0)</f>
        <v>0</v>
      </c>
      <c r="BE284" s="109">
        <f>IFERROR(VLOOKUP(B284,Precificação!$B$96:$U$533,15,0)/(Precificação!$U$4+Precificação!$U$91),0)*Dashboard!$T$3</f>
        <v>0</v>
      </c>
    </row>
    <row r="285" spans="2:57" ht="12" customHeight="1" outlineLevel="1"/>
    <row r="286" spans="2:57" ht="12" customHeight="1" outlineLevel="1">
      <c r="B286" s="137" t="str">
        <f>Precificação!B272</f>
        <v>GER. (OBRA/PROJ) - Equipe_01</v>
      </c>
      <c r="D286" s="512" t="str">
        <f>'Cronog. e Histog.'!F403</f>
        <v>Equipe09</v>
      </c>
      <c r="E286" s="143" t="str">
        <f>IF('Cronog. e Histog.'!G405&gt;0,'Cronog. e Histog.'!G405,"")</f>
        <v>GER. (OBRA/PROJ)</v>
      </c>
      <c r="G286" s="179">
        <f t="shared" ref="G286" si="194">IF(AND((AW286*AX286)&gt;0,K286=0),1,0)</f>
        <v>0</v>
      </c>
      <c r="H286" s="110">
        <f>IFERROR(INDEX('Base Salarial'!$D$5:$F$25,MATCH(E286,'Base Salarial'!$G$5:$G$25,0),MATCH(I286,'Base Salarial'!$D$4:$F$4,0)),"")</f>
        <v>21000</v>
      </c>
      <c r="I286" s="78" t="str">
        <f>IFERROR(INDEX(Tarefas!$BQ$29:$FK$29,MATCH(E286,Tarefas!$BQ$30:$FK$30,0)),"")</f>
        <v>PJ</v>
      </c>
      <c r="J286" s="81">
        <f>IF(I286="horista",H286*Dashboard!$D$15,IF(OR(I286="Mensalista",I286="PJ"),H286,))</f>
        <v>21000</v>
      </c>
      <c r="K286" s="81">
        <f>IF(I286="PJ",J286,ROUND(J286*(1+Dashboard!$D$22),2))</f>
        <v>21000</v>
      </c>
      <c r="L286" s="77"/>
      <c r="M286" s="180"/>
      <c r="P286" s="109">
        <f>IF($BD286&gt;0,(((($BD286/Dashboard!$D$15)*(1+Precificação!$W$589)))+$P$26)*(1+Dashboard!$D$35),0)</f>
        <v>0</v>
      </c>
      <c r="Q286" s="109">
        <f>IF($BD286&gt;0,(((($BD286/Dashboard!$D$23)+(1+Precificação!$W$589))*(1+Q$28))+$P$26)*(1+Dashboard!$D$35),0)</f>
        <v>0</v>
      </c>
      <c r="R286" s="109">
        <f>IF($BD286&gt;0,(((($BD286/Dashboard!$D$23)+(1+Precificação!$W$589))*(1+R$28))+$P$26)*(1+Dashboard!$D$35),0)</f>
        <v>0</v>
      </c>
      <c r="S286" s="109">
        <f>IF($BD286&gt;0,(((($BD286/Dashboard!$D$23)+(1+Precificação!$W$589))*(1+S$28))+$P$26)*(1+Dashboard!$D$35),0)</f>
        <v>0</v>
      </c>
      <c r="U286" s="109">
        <f>IF(P286&gt;0,P286+U$32,0)</f>
        <v>0</v>
      </c>
      <c r="V286" s="109">
        <f t="shared" ref="V286:X286" si="195">IF(Q286&gt;0,Q286+V$32,0)</f>
        <v>0</v>
      </c>
      <c r="W286" s="109">
        <f t="shared" si="195"/>
        <v>0</v>
      </c>
      <c r="X286" s="109">
        <f t="shared" si="195"/>
        <v>0</v>
      </c>
      <c r="AA286" s="109">
        <f>IF($BD286&gt;0,(((($BD286/Dashboard!$D$23)*(1+Precificação!$W$589)))+$AA$26)*(1+Dashboard!$D$35),0)</f>
        <v>0</v>
      </c>
      <c r="AB286" s="109">
        <f>IF($BD286&gt;0,(((($BD286/Dashboard!$D$23)*(1+Precificação!$W$589))*(1+AB$28))+$AA$26)*(1+Dashboard!$D$35),0)</f>
        <v>0</v>
      </c>
      <c r="AC286" s="109">
        <f>IF($BD286&gt;0,(((($BD286/Dashboard!$D$23)*(1+Precificação!$W$589))*(1+AC$28))+$AA$26)*(1+Dashboard!$D$35),0)</f>
        <v>0</v>
      </c>
      <c r="AD286" s="109">
        <f>IF($BD286&gt;0,(((($BD286/Dashboard!$D$23)*(1+Precificação!$W$589))*(1+AD$28))+$AA$26)*(1+Dashboard!$D$35),0)</f>
        <v>0</v>
      </c>
      <c r="AF286" s="109">
        <f>IF(AA286&gt;0,AA286+AF$32,0)</f>
        <v>0</v>
      </c>
      <c r="AG286" s="109">
        <f t="shared" ref="AG286" si="196">IF(AB286&gt;0,AB286+AG$32,0)</f>
        <v>0</v>
      </c>
      <c r="AH286" s="109">
        <f t="shared" ref="AH286" si="197">IF(AC286&gt;0,AC286+AH$32,0)</f>
        <v>0</v>
      </c>
      <c r="AI286" s="109">
        <f t="shared" ref="AI286" si="198">IF(AD286&gt;0,AD286+AI$32,0)</f>
        <v>0</v>
      </c>
      <c r="AL286" s="109">
        <f>IF($BD286&gt;0,(((($BD286/Dashboard!$D$23)*(1+Precificação!$W$589)))+$AL$26)*(1+Dashboard!$D$35),0)</f>
        <v>0</v>
      </c>
      <c r="AM286" s="109">
        <f>IF($BD286&gt;0,(((($BD286/Dashboard!$D$23)*(1+Precificação!$W$589))*(1+AM$28))+$AA$26)*(1+Dashboard!$D$35),0)</f>
        <v>0</v>
      </c>
      <c r="AN286" s="109">
        <f>IF($BD286&gt;0,(((($BD286/Dashboard!$D$23)*(1+Precificação!$W$589))*(1+AN$28))+$AA$26)*(1+Dashboard!$D$35),0)</f>
        <v>0</v>
      </c>
      <c r="AO286" s="109">
        <f>IF($BD286&gt;0,(((($BD286/Dashboard!$D$23)*(1+Precificação!$W$589))*(1+AO$28))+$AA$26)*(1+Dashboard!$D$35),0)</f>
        <v>0</v>
      </c>
      <c r="AQ286" s="109">
        <f>IF(AL286&gt;0,AL286+AQ$32,0)</f>
        <v>0</v>
      </c>
      <c r="AR286" s="109">
        <f t="shared" ref="AR286" si="199">IF(AM286&gt;0,AM286+AR$32,0)</f>
        <v>0</v>
      </c>
      <c r="AS286" s="109">
        <f t="shared" ref="AS286" si="200">IF(AN286&gt;0,AN286+AS$32,0)</f>
        <v>0</v>
      </c>
      <c r="AT286" s="109">
        <f t="shared" ref="AT286" si="201">IF(AO286&gt;0,AO286+AT$32,0)</f>
        <v>0</v>
      </c>
      <c r="AW286" s="144">
        <f>VLOOKUP(B286,'Cronog. e Histog.'!$B$213:$BT$688,71,0)</f>
        <v>1.9999999999999997E-2</v>
      </c>
      <c r="AX286" s="144">
        <f>VLOOKUP(B286,'Cronog. e Histog.'!$B$213:$BU$688,72,0)</f>
        <v>10</v>
      </c>
      <c r="AY286" s="144">
        <f>$AW286*$AX286*Dashboard!$D$15</f>
        <v>38.72</v>
      </c>
      <c r="AZ286" s="144">
        <f>VLOOKUP(B286,Precificação!$B$96:$BM$533,54,0)</f>
        <v>0</v>
      </c>
      <c r="BA286" s="144">
        <f>VLOOKUP(B286,Precificação!$B$96:$BR$533,58,0)</f>
        <v>0</v>
      </c>
      <c r="BB286" s="144">
        <f>VLOOKUP(B286,Precificação!$B$96:$BW$533,62,0)</f>
        <v>0</v>
      </c>
      <c r="BC286" s="144">
        <f t="shared" ref="BC286" si="202">SUM(AY286:BB286)</f>
        <v>38.72</v>
      </c>
      <c r="BD286" s="109">
        <f>IFERROR(VLOOKUP(B286,Precificação!$B$96:$S$533,13,0),0)</f>
        <v>0</v>
      </c>
      <c r="BE286" s="109">
        <f>IFERROR(VLOOKUP(B286,Precificação!$B$96:$U$533,15,0)/(Precificação!$U$4+Precificação!$U$91),0)*Dashboard!$T$3</f>
        <v>0</v>
      </c>
    </row>
    <row r="287" spans="2:57" ht="12" customHeight="1" outlineLevel="1">
      <c r="B287" s="137" t="str">
        <f>Precificação!B273</f>
        <v>COORD. - Equipe_01</v>
      </c>
      <c r="D287" s="512"/>
      <c r="E287" s="143" t="str">
        <f>IF('Cronog. e Histog.'!G406&gt;0,'Cronog. e Histog.'!G406,"")</f>
        <v>COORD.</v>
      </c>
      <c r="G287" s="179">
        <f t="shared" ref="G287:G305" si="203">IF(AND((AW287*AX287)&gt;0,K287=0),1,0)</f>
        <v>0</v>
      </c>
      <c r="H287" s="110">
        <f>IFERROR(INDEX('Base Salarial'!$D$5:$F$25,MATCH(E287,'Base Salarial'!$G$5:$G$25,0),MATCH(I287,'Base Salarial'!$D$4:$F$4,0)),"")</f>
        <v>19000</v>
      </c>
      <c r="I287" s="78" t="str">
        <f>IFERROR(INDEX(Tarefas!$BQ$29:$FK$29,MATCH(E287,Tarefas!$BQ$30:$FK$30,0)),"")</f>
        <v>PJ</v>
      </c>
      <c r="J287" s="81">
        <f>IF(I287="horista",H287*Dashboard!$D$15,IF(OR(I287="Mensalista",I287="PJ"),H287,))</f>
        <v>19000</v>
      </c>
      <c r="K287" s="81">
        <f>IF(I287="PJ",J287,ROUND(J287*(1+Dashboard!$D$22),2))</f>
        <v>19000</v>
      </c>
      <c r="L287" s="77"/>
      <c r="M287" s="180"/>
      <c r="P287" s="109">
        <f>IF($BD287&gt;0,(((($BD287/Dashboard!$D$15)*(1+Precificação!$W$589)))+$P$26)*(1+Dashboard!$D$35),0)</f>
        <v>0</v>
      </c>
      <c r="Q287" s="109">
        <f>IF($BD287&gt;0,(((($BD287/Dashboard!$D$23)+(1+Precificação!$W$589))*(1+Q$28))+$P$26)*(1+Dashboard!$D$35),0)</f>
        <v>0</v>
      </c>
      <c r="R287" s="109">
        <f>IF($BD287&gt;0,(((($BD287/Dashboard!$D$23)+(1+Precificação!$W$589))*(1+R$28))+$P$26)*(1+Dashboard!$D$35),0)</f>
        <v>0</v>
      </c>
      <c r="S287" s="109">
        <f>IF($BD287&gt;0,(((($BD287/Dashboard!$D$23)+(1+Precificação!$W$589))*(1+S$28))+$P$26)*(1+Dashboard!$D$35),0)</f>
        <v>0</v>
      </c>
      <c r="U287" s="109">
        <f t="shared" ref="U287:U305" si="204">IF(P287&gt;0,P287+U$32,0)</f>
        <v>0</v>
      </c>
      <c r="V287" s="109">
        <f t="shared" ref="V287:V305" si="205">IF(Q287&gt;0,Q287+V$32,0)</f>
        <v>0</v>
      </c>
      <c r="W287" s="109">
        <f t="shared" ref="W287:W305" si="206">IF(R287&gt;0,R287+W$32,0)</f>
        <v>0</v>
      </c>
      <c r="X287" s="109">
        <f t="shared" ref="X287:X305" si="207">IF(S287&gt;0,S287+X$32,0)</f>
        <v>0</v>
      </c>
      <c r="AA287" s="109">
        <f>IF($BD287&gt;0,(((($BD287/Dashboard!$D$23)*(1+Precificação!$W$589)))+$AA$26)*(1+Dashboard!$D$35),0)</f>
        <v>0</v>
      </c>
      <c r="AB287" s="109">
        <f>IF($BD287&gt;0,(((($BD287/Dashboard!$D$23)*(1+Precificação!$W$589))*(1+AB$28))+$AA$26)*(1+Dashboard!$D$35),0)</f>
        <v>0</v>
      </c>
      <c r="AC287" s="109">
        <f>IF($BD287&gt;0,(((($BD287/Dashboard!$D$23)*(1+Precificação!$W$589))*(1+AC$28))+$AA$26)*(1+Dashboard!$D$35),0)</f>
        <v>0</v>
      </c>
      <c r="AD287" s="109">
        <f>IF($BD287&gt;0,(((($BD287/Dashboard!$D$23)*(1+Precificação!$W$589))*(1+AD$28))+$AA$26)*(1+Dashboard!$D$35),0)</f>
        <v>0</v>
      </c>
      <c r="AF287" s="109">
        <f t="shared" ref="AF287:AF305" si="208">IF(AA287&gt;0,AA287+AF$32,0)</f>
        <v>0</v>
      </c>
      <c r="AG287" s="109">
        <f t="shared" ref="AG287:AG305" si="209">IF(AB287&gt;0,AB287+AG$32,0)</f>
        <v>0</v>
      </c>
      <c r="AH287" s="109">
        <f t="shared" ref="AH287:AH305" si="210">IF(AC287&gt;0,AC287+AH$32,0)</f>
        <v>0</v>
      </c>
      <c r="AI287" s="109">
        <f t="shared" ref="AI287:AI305" si="211">IF(AD287&gt;0,AD287+AI$32,0)</f>
        <v>0</v>
      </c>
      <c r="AL287" s="109">
        <f>IF($BD287&gt;0,(((($BD287/Dashboard!$D$23)*(1+Precificação!$W$589)))+$AL$26)*(1+Dashboard!$D$35),0)</f>
        <v>0</v>
      </c>
      <c r="AM287" s="109">
        <f>IF($BD287&gt;0,(((($BD287/Dashboard!$D$23)*(1+Precificação!$W$589))*(1+AM$28))+$AA$26)*(1+Dashboard!$D$35),0)</f>
        <v>0</v>
      </c>
      <c r="AN287" s="109">
        <f>IF($BD287&gt;0,(((($BD287/Dashboard!$D$23)*(1+Precificação!$W$589))*(1+AN$28))+$AA$26)*(1+Dashboard!$D$35),0)</f>
        <v>0</v>
      </c>
      <c r="AO287" s="109">
        <f>IF($BD287&gt;0,(((($BD287/Dashboard!$D$23)*(1+Precificação!$W$589))*(1+AO$28))+$AA$26)*(1+Dashboard!$D$35),0)</f>
        <v>0</v>
      </c>
      <c r="AQ287" s="109">
        <f t="shared" ref="AQ287:AQ305" si="212">IF(AL287&gt;0,AL287+AQ$32,0)</f>
        <v>0</v>
      </c>
      <c r="AR287" s="109">
        <f t="shared" ref="AR287:AR305" si="213">IF(AM287&gt;0,AM287+AR$32,0)</f>
        <v>0</v>
      </c>
      <c r="AS287" s="109">
        <f t="shared" ref="AS287:AS305" si="214">IF(AN287&gt;0,AN287+AS$32,0)</f>
        <v>0</v>
      </c>
      <c r="AT287" s="109">
        <f t="shared" ref="AT287:AT305" si="215">IF(AO287&gt;0,AO287+AT$32,0)</f>
        <v>0</v>
      </c>
      <c r="AW287" s="144">
        <f>VLOOKUP(B287,'Cronog. e Histog.'!$B$213:$BT$688,71,0)</f>
        <v>1</v>
      </c>
      <c r="AX287" s="144">
        <f>VLOOKUP(B287,'Cronog. e Histog.'!$B$213:$BU$688,72,0)</f>
        <v>10</v>
      </c>
      <c r="AY287" s="144">
        <f>$AW287*$AX287*Dashboard!$D$15</f>
        <v>1936.0000000000002</v>
      </c>
      <c r="AZ287" s="144">
        <f>VLOOKUP(B287,Precificação!$B$96:$BM$533,54,0)</f>
        <v>0</v>
      </c>
      <c r="BA287" s="144">
        <f>VLOOKUP(B287,Precificação!$B$96:$BR$533,58,0)</f>
        <v>0</v>
      </c>
      <c r="BB287" s="144">
        <f>VLOOKUP(B287,Precificação!$B$96:$BW$533,62,0)</f>
        <v>0</v>
      </c>
      <c r="BC287" s="144">
        <f t="shared" ref="BC287:BC305" si="216">SUM(AY287:BB287)</f>
        <v>1936.0000000000002</v>
      </c>
      <c r="BD287" s="109">
        <f>IFERROR(VLOOKUP(B287,Precificação!$B$96:$S$533,13,0),0)</f>
        <v>0</v>
      </c>
      <c r="BE287" s="109">
        <f>IFERROR(VLOOKUP(B287,Precificação!$B$96:$U$533,15,0)/(Precificação!$U$4+Precificação!$U$91),0)*Dashboard!$T$3</f>
        <v>0</v>
      </c>
    </row>
    <row r="288" spans="2:57" ht="12" customHeight="1" outlineLevel="1">
      <c r="B288" s="137" t="str">
        <f>Precificação!B274</f>
        <v>SUP.-ESP - Equipe_01</v>
      </c>
      <c r="D288" s="512"/>
      <c r="E288" s="143" t="str">
        <f>IF('Cronog. e Histog.'!G407&gt;0,'Cronog. e Histog.'!G407,"")</f>
        <v>SUP.-ESP</v>
      </c>
      <c r="G288" s="179">
        <f t="shared" si="203"/>
        <v>0</v>
      </c>
      <c r="H288" s="110">
        <f>IFERROR(INDEX('Base Salarial'!$D$5:$F$25,MATCH(E288,'Base Salarial'!$G$5:$G$25,0),MATCH(I288,'Base Salarial'!$D$4:$F$4,0)),"")</f>
        <v>9166.6666666666679</v>
      </c>
      <c r="I288" s="78" t="str">
        <f>IFERROR(INDEX(Tarefas!$BQ$29:$FK$29,MATCH(E288,Tarefas!$BQ$30:$FK$30,0)),"")</f>
        <v>Mensalista</v>
      </c>
      <c r="J288" s="81">
        <f>IF(I288="horista",H288*Dashboard!$D$15,IF(OR(I288="Mensalista",I288="PJ"),H288,))</f>
        <v>9166.6666666666679</v>
      </c>
      <c r="K288" s="81">
        <f>IF(I288="PJ",J288,ROUND(J288*(1+Dashboard!$D$22),2))</f>
        <v>9716.67</v>
      </c>
      <c r="L288" s="77"/>
      <c r="M288" s="180"/>
      <c r="P288" s="109">
        <f>IF($BD288&gt;0,(((($BD288/Dashboard!$D$15)*(1+Precificação!$W$589)))+$P$26)*(1+Dashboard!$D$35),0)</f>
        <v>0</v>
      </c>
      <c r="Q288" s="109">
        <f>IF($BD288&gt;0,(((($BD288/Dashboard!$D$23)+(1+Precificação!$W$589))*(1+Q$28))+$P$26)*(1+Dashboard!$D$35),0)</f>
        <v>0</v>
      </c>
      <c r="R288" s="109">
        <f>IF($BD288&gt;0,(((($BD288/Dashboard!$D$23)+(1+Precificação!$W$589))*(1+R$28))+$P$26)*(1+Dashboard!$D$35),0)</f>
        <v>0</v>
      </c>
      <c r="S288" s="109">
        <f>IF($BD288&gt;0,(((($BD288/Dashboard!$D$23)+(1+Precificação!$W$589))*(1+S$28))+$P$26)*(1+Dashboard!$D$35),0)</f>
        <v>0</v>
      </c>
      <c r="U288" s="109">
        <f t="shared" si="204"/>
        <v>0</v>
      </c>
      <c r="V288" s="109">
        <f t="shared" si="205"/>
        <v>0</v>
      </c>
      <c r="W288" s="109">
        <f t="shared" si="206"/>
        <v>0</v>
      </c>
      <c r="X288" s="109">
        <f t="shared" si="207"/>
        <v>0</v>
      </c>
      <c r="AA288" s="109">
        <f>IF($BD288&gt;0,(((($BD288/Dashboard!$D$23)*(1+Precificação!$W$589)))+$AA$26)*(1+Dashboard!$D$35),0)</f>
        <v>0</v>
      </c>
      <c r="AB288" s="109">
        <f>IF($BD288&gt;0,(((($BD288/Dashboard!$D$23)*(1+Precificação!$W$589))*(1+AB$28))+$AA$26)*(1+Dashboard!$D$35),0)</f>
        <v>0</v>
      </c>
      <c r="AC288" s="109">
        <f>IF($BD288&gt;0,(((($BD288/Dashboard!$D$23)*(1+Precificação!$W$589))*(1+AC$28))+$AA$26)*(1+Dashboard!$D$35),0)</f>
        <v>0</v>
      </c>
      <c r="AD288" s="109">
        <f>IF($BD288&gt;0,(((($BD288/Dashboard!$D$23)*(1+Precificação!$W$589))*(1+AD$28))+$AA$26)*(1+Dashboard!$D$35),0)</f>
        <v>0</v>
      </c>
      <c r="AF288" s="109">
        <f t="shared" si="208"/>
        <v>0</v>
      </c>
      <c r="AG288" s="109">
        <f t="shared" si="209"/>
        <v>0</v>
      </c>
      <c r="AH288" s="109">
        <f t="shared" si="210"/>
        <v>0</v>
      </c>
      <c r="AI288" s="109">
        <f t="shared" si="211"/>
        <v>0</v>
      </c>
      <c r="AL288" s="109">
        <f>IF($BD288&gt;0,(((($BD288/Dashboard!$D$23)*(1+Precificação!$W$589)))+$AL$26)*(1+Dashboard!$D$35),0)</f>
        <v>0</v>
      </c>
      <c r="AM288" s="109">
        <f>IF($BD288&gt;0,(((($BD288/Dashboard!$D$23)*(1+Precificação!$W$589))*(1+AM$28))+$AA$26)*(1+Dashboard!$D$35),0)</f>
        <v>0</v>
      </c>
      <c r="AN288" s="109">
        <f>IF($BD288&gt;0,(((($BD288/Dashboard!$D$23)*(1+Precificação!$W$589))*(1+AN$28))+$AA$26)*(1+Dashboard!$D$35),0)</f>
        <v>0</v>
      </c>
      <c r="AO288" s="109">
        <f>IF($BD288&gt;0,(((($BD288/Dashboard!$D$23)*(1+Precificação!$W$589))*(1+AO$28))+$AA$26)*(1+Dashboard!$D$35),0)</f>
        <v>0</v>
      </c>
      <c r="AQ288" s="109">
        <f t="shared" si="212"/>
        <v>0</v>
      </c>
      <c r="AR288" s="109">
        <f t="shared" si="213"/>
        <v>0</v>
      </c>
      <c r="AS288" s="109">
        <f t="shared" si="214"/>
        <v>0</v>
      </c>
      <c r="AT288" s="109">
        <f t="shared" si="215"/>
        <v>0</v>
      </c>
      <c r="AW288" s="144">
        <f>VLOOKUP(B288,'Cronog. e Histog.'!$B$213:$BT$688,71,0)</f>
        <v>0</v>
      </c>
      <c r="AX288" s="144">
        <f>VLOOKUP(B288,'Cronog. e Histog.'!$B$213:$BU$688,72,0)</f>
        <v>0</v>
      </c>
      <c r="AY288" s="144">
        <f>$AW288*$AX288*Dashboard!$D$15</f>
        <v>0</v>
      </c>
      <c r="AZ288" s="144">
        <f>VLOOKUP(B288,Precificação!$B$96:$BM$533,54,0)</f>
        <v>0</v>
      </c>
      <c r="BA288" s="144">
        <f>VLOOKUP(B288,Precificação!$B$96:$BR$533,58,0)</f>
        <v>0</v>
      </c>
      <c r="BB288" s="144">
        <f>VLOOKUP(B288,Precificação!$B$96:$BW$533,62,0)</f>
        <v>0</v>
      </c>
      <c r="BC288" s="144">
        <f t="shared" si="216"/>
        <v>0</v>
      </c>
      <c r="BD288" s="109">
        <f>IFERROR(VLOOKUP(B288,Precificação!$B$96:$S$533,13,0),0)</f>
        <v>0</v>
      </c>
      <c r="BE288" s="109">
        <f>IFERROR(VLOOKUP(B288,Precificação!$B$96:$U$533,15,0)/(Precificação!$U$4+Precificação!$U$91),0)*Dashboard!$T$3</f>
        <v>0</v>
      </c>
    </row>
    <row r="289" spans="2:57" ht="12" customHeight="1" outlineLevel="1">
      <c r="B289" s="137" t="str">
        <f>Precificação!B275</f>
        <v>ENG/ARQ SR. - Equipe_01</v>
      </c>
      <c r="D289" s="512"/>
      <c r="E289" s="143" t="str">
        <f>IF('Cronog. e Histog.'!G408&gt;0,'Cronog. e Histog.'!G408,"")</f>
        <v>ENG/ARQ SR.</v>
      </c>
      <c r="G289" s="179">
        <f t="shared" si="203"/>
        <v>0</v>
      </c>
      <c r="H289" s="110">
        <f>IFERROR(INDEX('Base Salarial'!$D$5:$F$25,MATCH(E289,'Base Salarial'!$G$5:$G$25,0),MATCH(I289,'Base Salarial'!$D$4:$F$4,0)),"")</f>
        <v>16000</v>
      </c>
      <c r="I289" s="78" t="str">
        <f>IFERROR(INDEX(Tarefas!$BQ$29:$FK$29,MATCH(E289,Tarefas!$BQ$30:$FK$30,0)),"")</f>
        <v>PJ</v>
      </c>
      <c r="J289" s="81">
        <f>IF(I289="horista",H289*Dashboard!$D$15,IF(OR(I289="Mensalista",I289="PJ"),H289,))</f>
        <v>16000</v>
      </c>
      <c r="K289" s="81">
        <f>IF(I289="PJ",J289,ROUND(J289*(1+Dashboard!$D$22),2))</f>
        <v>16000</v>
      </c>
      <c r="L289" s="77"/>
      <c r="M289" s="180"/>
      <c r="P289" s="109">
        <f>IF($BD289&gt;0,(((($BD289/Dashboard!$D$15)*(1+Precificação!$W$589)))+$P$26)*(1+Dashboard!$D$35),0)</f>
        <v>0</v>
      </c>
      <c r="Q289" s="109">
        <f>IF($BD289&gt;0,(((($BD289/Dashboard!$D$23)+(1+Precificação!$W$589))*(1+Q$28))+$P$26)*(1+Dashboard!$D$35),0)</f>
        <v>0</v>
      </c>
      <c r="R289" s="109">
        <f>IF($BD289&gt;0,(((($BD289/Dashboard!$D$23)+(1+Precificação!$W$589))*(1+R$28))+$P$26)*(1+Dashboard!$D$35),0)</f>
        <v>0</v>
      </c>
      <c r="S289" s="109">
        <f>IF($BD289&gt;0,(((($BD289/Dashboard!$D$23)+(1+Precificação!$W$589))*(1+S$28))+$P$26)*(1+Dashboard!$D$35),0)</f>
        <v>0</v>
      </c>
      <c r="U289" s="109">
        <f t="shared" si="204"/>
        <v>0</v>
      </c>
      <c r="V289" s="109">
        <f t="shared" si="205"/>
        <v>0</v>
      </c>
      <c r="W289" s="109">
        <f t="shared" si="206"/>
        <v>0</v>
      </c>
      <c r="X289" s="109">
        <f t="shared" si="207"/>
        <v>0</v>
      </c>
      <c r="AA289" s="109">
        <f>IF($BD289&gt;0,(((($BD289/Dashboard!$D$23)*(1+Precificação!$W$589)))+$AA$26)*(1+Dashboard!$D$35),0)</f>
        <v>0</v>
      </c>
      <c r="AB289" s="109">
        <f>IF($BD289&gt;0,(((($BD289/Dashboard!$D$23)*(1+Precificação!$W$589))*(1+AB$28))+$AA$26)*(1+Dashboard!$D$35),0)</f>
        <v>0</v>
      </c>
      <c r="AC289" s="109">
        <f>IF($BD289&gt;0,(((($BD289/Dashboard!$D$23)*(1+Precificação!$W$589))*(1+AC$28))+$AA$26)*(1+Dashboard!$D$35),0)</f>
        <v>0</v>
      </c>
      <c r="AD289" s="109">
        <f>IF($BD289&gt;0,(((($BD289/Dashboard!$D$23)*(1+Precificação!$W$589))*(1+AD$28))+$AA$26)*(1+Dashboard!$D$35),0)</f>
        <v>0</v>
      </c>
      <c r="AF289" s="109">
        <f t="shared" si="208"/>
        <v>0</v>
      </c>
      <c r="AG289" s="109">
        <f t="shared" si="209"/>
        <v>0</v>
      </c>
      <c r="AH289" s="109">
        <f t="shared" si="210"/>
        <v>0</v>
      </c>
      <c r="AI289" s="109">
        <f t="shared" si="211"/>
        <v>0</v>
      </c>
      <c r="AL289" s="109">
        <f>IF($BD289&gt;0,(((($BD289/Dashboard!$D$23)*(1+Precificação!$W$589)))+$AL$26)*(1+Dashboard!$D$35),0)</f>
        <v>0</v>
      </c>
      <c r="AM289" s="109">
        <f>IF($BD289&gt;0,(((($BD289/Dashboard!$D$23)*(1+Precificação!$W$589))*(1+AM$28))+$AA$26)*(1+Dashboard!$D$35),0)</f>
        <v>0</v>
      </c>
      <c r="AN289" s="109">
        <f>IF($BD289&gt;0,(((($BD289/Dashboard!$D$23)*(1+Precificação!$W$589))*(1+AN$28))+$AA$26)*(1+Dashboard!$D$35),0)</f>
        <v>0</v>
      </c>
      <c r="AO289" s="109">
        <f>IF($BD289&gt;0,(((($BD289/Dashboard!$D$23)*(1+Precificação!$W$589))*(1+AO$28))+$AA$26)*(1+Dashboard!$D$35),0)</f>
        <v>0</v>
      </c>
      <c r="AQ289" s="109">
        <f t="shared" si="212"/>
        <v>0</v>
      </c>
      <c r="AR289" s="109">
        <f t="shared" si="213"/>
        <v>0</v>
      </c>
      <c r="AS289" s="109">
        <f t="shared" si="214"/>
        <v>0</v>
      </c>
      <c r="AT289" s="109">
        <f t="shared" si="215"/>
        <v>0</v>
      </c>
      <c r="AW289" s="144">
        <f>VLOOKUP(B289,'Cronog. e Histog.'!$B$213:$BT$688,71,0)</f>
        <v>9.9999999999999985E-3</v>
      </c>
      <c r="AX289" s="144">
        <f>VLOOKUP(B289,'Cronog. e Histog.'!$B$213:$BU$688,72,0)</f>
        <v>10</v>
      </c>
      <c r="AY289" s="144">
        <f>$AW289*$AX289*Dashboard!$D$15</f>
        <v>19.36</v>
      </c>
      <c r="AZ289" s="144">
        <f>VLOOKUP(B289,Precificação!$B$96:$BM$533,54,0)</f>
        <v>0</v>
      </c>
      <c r="BA289" s="144">
        <f>VLOOKUP(B289,Precificação!$B$96:$BR$533,58,0)</f>
        <v>0</v>
      </c>
      <c r="BB289" s="144">
        <f>VLOOKUP(B289,Precificação!$B$96:$BW$533,62,0)</f>
        <v>0</v>
      </c>
      <c r="BC289" s="144">
        <f t="shared" si="216"/>
        <v>19.36</v>
      </c>
      <c r="BD289" s="109">
        <f>IFERROR(VLOOKUP(B289,Precificação!$B$96:$S$533,13,0),0)</f>
        <v>0</v>
      </c>
      <c r="BE289" s="109">
        <f>IFERROR(VLOOKUP(B289,Precificação!$B$96:$U$533,15,0)/(Precificação!$U$4+Precificação!$U$91),0)*Dashboard!$T$3</f>
        <v>0</v>
      </c>
    </row>
    <row r="290" spans="2:57" ht="12" customHeight="1" outlineLevel="1">
      <c r="B290" s="137" t="str">
        <f>Precificação!B276</f>
        <v>ENG/ARQ PL. - Equipe_01</v>
      </c>
      <c r="D290" s="512"/>
      <c r="E290" s="143" t="str">
        <f>IF('Cronog. e Histog.'!G409&gt;0,'Cronog. e Histog.'!G409,"")</f>
        <v>ENG/ARQ PL.</v>
      </c>
      <c r="G290" s="179">
        <f t="shared" si="203"/>
        <v>0</v>
      </c>
      <c r="H290" s="110">
        <f>IFERROR(INDEX('Base Salarial'!$D$5:$F$25,MATCH(E290,'Base Salarial'!$G$5:$G$25,0),MATCH(I290,'Base Salarial'!$D$4:$F$4,0)),"")</f>
        <v>14000</v>
      </c>
      <c r="I290" s="78" t="str">
        <f>IFERROR(INDEX(Tarefas!$BQ$29:$FK$29,MATCH(E290,Tarefas!$BQ$30:$FK$30,0)),"")</f>
        <v>PJ</v>
      </c>
      <c r="J290" s="81">
        <f>IF(I290="horista",H290*Dashboard!$D$15,IF(OR(I290="Mensalista",I290="PJ"),H290,))</f>
        <v>14000</v>
      </c>
      <c r="K290" s="81">
        <f>IF(I290="PJ",J290,ROUND(J290*(1+Dashboard!$D$22),2))</f>
        <v>14000</v>
      </c>
      <c r="L290" s="77"/>
      <c r="M290" s="180"/>
      <c r="P290" s="109">
        <f>IF($BD290&gt;0,(((($BD290/Dashboard!$D$15)*(1+Precificação!$W$589)))+$P$26)*(1+Dashboard!$D$35),0)</f>
        <v>0</v>
      </c>
      <c r="Q290" s="109">
        <f>IF($BD290&gt;0,(((($BD290/Dashboard!$D$23)+(1+Precificação!$W$589))*(1+Q$28))+$P$26)*(1+Dashboard!$D$35),0)</f>
        <v>0</v>
      </c>
      <c r="R290" s="109">
        <f>IF($BD290&gt;0,(((($BD290/Dashboard!$D$23)+(1+Precificação!$W$589))*(1+R$28))+$P$26)*(1+Dashboard!$D$35),0)</f>
        <v>0</v>
      </c>
      <c r="S290" s="109">
        <f>IF($BD290&gt;0,(((($BD290/Dashboard!$D$23)+(1+Precificação!$W$589))*(1+S$28))+$P$26)*(1+Dashboard!$D$35),0)</f>
        <v>0</v>
      </c>
      <c r="U290" s="109">
        <f t="shared" si="204"/>
        <v>0</v>
      </c>
      <c r="V290" s="109">
        <f t="shared" si="205"/>
        <v>0</v>
      </c>
      <c r="W290" s="109">
        <f t="shared" si="206"/>
        <v>0</v>
      </c>
      <c r="X290" s="109">
        <f t="shared" si="207"/>
        <v>0</v>
      </c>
      <c r="AA290" s="109">
        <f>IF($BD290&gt;0,(((($BD290/Dashboard!$D$23)*(1+Precificação!$W$589)))+$AA$26)*(1+Dashboard!$D$35),0)</f>
        <v>0</v>
      </c>
      <c r="AB290" s="109">
        <f>IF($BD290&gt;0,(((($BD290/Dashboard!$D$23)*(1+Precificação!$W$589))*(1+AB$28))+$AA$26)*(1+Dashboard!$D$35),0)</f>
        <v>0</v>
      </c>
      <c r="AC290" s="109">
        <f>IF($BD290&gt;0,(((($BD290/Dashboard!$D$23)*(1+Precificação!$W$589))*(1+AC$28))+$AA$26)*(1+Dashboard!$D$35),0)</f>
        <v>0</v>
      </c>
      <c r="AD290" s="109">
        <f>IF($BD290&gt;0,(((($BD290/Dashboard!$D$23)*(1+Precificação!$W$589))*(1+AD$28))+$AA$26)*(1+Dashboard!$D$35),0)</f>
        <v>0</v>
      </c>
      <c r="AF290" s="109">
        <f t="shared" si="208"/>
        <v>0</v>
      </c>
      <c r="AG290" s="109">
        <f t="shared" si="209"/>
        <v>0</v>
      </c>
      <c r="AH290" s="109">
        <f t="shared" si="210"/>
        <v>0</v>
      </c>
      <c r="AI290" s="109">
        <f t="shared" si="211"/>
        <v>0</v>
      </c>
      <c r="AL290" s="109">
        <f>IF($BD290&gt;0,(((($BD290/Dashboard!$D$23)*(1+Precificação!$W$589)))+$AL$26)*(1+Dashboard!$D$35),0)</f>
        <v>0</v>
      </c>
      <c r="AM290" s="109">
        <f>IF($BD290&gt;0,(((($BD290/Dashboard!$D$23)*(1+Precificação!$W$589))*(1+AM$28))+$AA$26)*(1+Dashboard!$D$35),0)</f>
        <v>0</v>
      </c>
      <c r="AN290" s="109">
        <f>IF($BD290&gt;0,(((($BD290/Dashboard!$D$23)*(1+Precificação!$W$589))*(1+AN$28))+$AA$26)*(1+Dashboard!$D$35),0)</f>
        <v>0</v>
      </c>
      <c r="AO290" s="109">
        <f>IF($BD290&gt;0,(((($BD290/Dashboard!$D$23)*(1+Precificação!$W$589))*(1+AO$28))+$AA$26)*(1+Dashboard!$D$35),0)</f>
        <v>0</v>
      </c>
      <c r="AQ290" s="109">
        <f t="shared" si="212"/>
        <v>0</v>
      </c>
      <c r="AR290" s="109">
        <f t="shared" si="213"/>
        <v>0</v>
      </c>
      <c r="AS290" s="109">
        <f t="shared" si="214"/>
        <v>0</v>
      </c>
      <c r="AT290" s="109">
        <f t="shared" si="215"/>
        <v>0</v>
      </c>
      <c r="AW290" s="144">
        <f>VLOOKUP(B290,'Cronog. e Histog.'!$B$213:$BT$688,71,0)</f>
        <v>0</v>
      </c>
      <c r="AX290" s="144">
        <f>VLOOKUP(B290,'Cronog. e Histog.'!$B$213:$BU$688,72,0)</f>
        <v>0</v>
      </c>
      <c r="AY290" s="144">
        <f>$AW290*$AX290*Dashboard!$D$15</f>
        <v>0</v>
      </c>
      <c r="AZ290" s="144">
        <f>VLOOKUP(B290,Precificação!$B$96:$BM$533,54,0)</f>
        <v>0</v>
      </c>
      <c r="BA290" s="144">
        <f>VLOOKUP(B290,Precificação!$B$96:$BR$533,58,0)</f>
        <v>0</v>
      </c>
      <c r="BB290" s="144">
        <f>VLOOKUP(B290,Precificação!$B$96:$BW$533,62,0)</f>
        <v>0</v>
      </c>
      <c r="BC290" s="144">
        <f t="shared" si="216"/>
        <v>0</v>
      </c>
      <c r="BD290" s="109">
        <f>IFERROR(VLOOKUP(B290,Precificação!$B$96:$S$533,13,0),0)</f>
        <v>0</v>
      </c>
      <c r="BE290" s="109">
        <f>IFERROR(VLOOKUP(B290,Precificação!$B$96:$U$533,15,0)/(Precificação!$U$4+Precificação!$U$91),0)*Dashboard!$T$3</f>
        <v>0</v>
      </c>
    </row>
    <row r="291" spans="2:57" ht="12" customHeight="1" outlineLevel="1">
      <c r="B291" s="137" t="str">
        <f>Precificação!B277</f>
        <v>ENG/ARQ JR. - Equipe_01</v>
      </c>
      <c r="D291" s="512"/>
      <c r="E291" s="143" t="str">
        <f>IF('Cronog. e Histog.'!G410&gt;0,'Cronog. e Histog.'!G410,"")</f>
        <v>ENG/ARQ JR.</v>
      </c>
      <c r="G291" s="179">
        <f t="shared" si="203"/>
        <v>0</v>
      </c>
      <c r="H291" s="110">
        <f>IFERROR(INDEX('Base Salarial'!$D$5:$F$25,MATCH(E291,'Base Salarial'!$G$5:$G$25,0),MATCH(I291,'Base Salarial'!$D$4:$F$4,0)),"")</f>
        <v>14000</v>
      </c>
      <c r="I291" s="78" t="str">
        <f>IFERROR(INDEX(Tarefas!$BQ$29:$FK$29,MATCH(E291,Tarefas!$BQ$30:$FK$30,0)),"")</f>
        <v>PJ</v>
      </c>
      <c r="J291" s="81">
        <f>IF(I291="horista",H291*Dashboard!$D$15,IF(OR(I291="Mensalista",I291="PJ"),H291,))</f>
        <v>14000</v>
      </c>
      <c r="K291" s="81">
        <f>IF(I291="PJ",J291,ROUND(J291*(1+Dashboard!$D$22),2))</f>
        <v>14000</v>
      </c>
      <c r="L291" s="77"/>
      <c r="M291" s="180"/>
      <c r="P291" s="109">
        <f>IF($BD291&gt;0,(((($BD291/Dashboard!$D$15)*(1+Precificação!$W$589)))+$P$26)*(1+Dashboard!$D$35),0)</f>
        <v>0</v>
      </c>
      <c r="Q291" s="109">
        <f>IF($BD291&gt;0,(((($BD291/Dashboard!$D$23)+(1+Precificação!$W$589))*(1+Q$28))+$P$26)*(1+Dashboard!$D$35),0)</f>
        <v>0</v>
      </c>
      <c r="R291" s="109">
        <f>IF($BD291&gt;0,(((($BD291/Dashboard!$D$23)+(1+Precificação!$W$589))*(1+R$28))+$P$26)*(1+Dashboard!$D$35),0)</f>
        <v>0</v>
      </c>
      <c r="S291" s="109">
        <f>IF($BD291&gt;0,(((($BD291/Dashboard!$D$23)+(1+Precificação!$W$589))*(1+S$28))+$P$26)*(1+Dashboard!$D$35),0)</f>
        <v>0</v>
      </c>
      <c r="U291" s="109">
        <f t="shared" si="204"/>
        <v>0</v>
      </c>
      <c r="V291" s="109">
        <f t="shared" si="205"/>
        <v>0</v>
      </c>
      <c r="W291" s="109">
        <f t="shared" si="206"/>
        <v>0</v>
      </c>
      <c r="X291" s="109">
        <f t="shared" si="207"/>
        <v>0</v>
      </c>
      <c r="AA291" s="109">
        <f>IF($BD291&gt;0,(((($BD291/Dashboard!$D$23)*(1+Precificação!$W$589)))+$AA$26)*(1+Dashboard!$D$35),0)</f>
        <v>0</v>
      </c>
      <c r="AB291" s="109">
        <f>IF($BD291&gt;0,(((($BD291/Dashboard!$D$23)*(1+Precificação!$W$589))*(1+AB$28))+$AA$26)*(1+Dashboard!$D$35),0)</f>
        <v>0</v>
      </c>
      <c r="AC291" s="109">
        <f>IF($BD291&gt;0,(((($BD291/Dashboard!$D$23)*(1+Precificação!$W$589))*(1+AC$28))+$AA$26)*(1+Dashboard!$D$35),0)</f>
        <v>0</v>
      </c>
      <c r="AD291" s="109">
        <f>IF($BD291&gt;0,(((($BD291/Dashboard!$D$23)*(1+Precificação!$W$589))*(1+AD$28))+$AA$26)*(1+Dashboard!$D$35),0)</f>
        <v>0</v>
      </c>
      <c r="AF291" s="109">
        <f t="shared" si="208"/>
        <v>0</v>
      </c>
      <c r="AG291" s="109">
        <f t="shared" si="209"/>
        <v>0</v>
      </c>
      <c r="AH291" s="109">
        <f t="shared" si="210"/>
        <v>0</v>
      </c>
      <c r="AI291" s="109">
        <f t="shared" si="211"/>
        <v>0</v>
      </c>
      <c r="AL291" s="109">
        <f>IF($BD291&gt;0,(((($BD291/Dashboard!$D$23)*(1+Precificação!$W$589)))+$AL$26)*(1+Dashboard!$D$35),0)</f>
        <v>0</v>
      </c>
      <c r="AM291" s="109">
        <f>IF($BD291&gt;0,(((($BD291/Dashboard!$D$23)*(1+Precificação!$W$589))*(1+AM$28))+$AA$26)*(1+Dashboard!$D$35),0)</f>
        <v>0</v>
      </c>
      <c r="AN291" s="109">
        <f>IF($BD291&gt;0,(((($BD291/Dashboard!$D$23)*(1+Precificação!$W$589))*(1+AN$28))+$AA$26)*(1+Dashboard!$D$35),0)</f>
        <v>0</v>
      </c>
      <c r="AO291" s="109">
        <f>IF($BD291&gt;0,(((($BD291/Dashboard!$D$23)*(1+Precificação!$W$589))*(1+AO$28))+$AA$26)*(1+Dashboard!$D$35),0)</f>
        <v>0</v>
      </c>
      <c r="AQ291" s="109">
        <f t="shared" si="212"/>
        <v>0</v>
      </c>
      <c r="AR291" s="109">
        <f t="shared" si="213"/>
        <v>0</v>
      </c>
      <c r="AS291" s="109">
        <f t="shared" si="214"/>
        <v>0</v>
      </c>
      <c r="AT291" s="109">
        <f t="shared" si="215"/>
        <v>0</v>
      </c>
      <c r="AW291" s="144">
        <f>VLOOKUP(B291,'Cronog. e Histog.'!$B$213:$BT$688,71,0)</f>
        <v>0</v>
      </c>
      <c r="AX291" s="144">
        <f>VLOOKUP(B291,'Cronog. e Histog.'!$B$213:$BU$688,72,0)</f>
        <v>0</v>
      </c>
      <c r="AY291" s="144">
        <f>$AW291*$AX291*Dashboard!$D$15</f>
        <v>0</v>
      </c>
      <c r="AZ291" s="144">
        <f>VLOOKUP(B291,Precificação!$B$96:$BM$533,54,0)</f>
        <v>0</v>
      </c>
      <c r="BA291" s="144">
        <f>VLOOKUP(B291,Precificação!$B$96:$BR$533,58,0)</f>
        <v>0</v>
      </c>
      <c r="BB291" s="144">
        <f>VLOOKUP(B291,Precificação!$B$96:$BW$533,62,0)</f>
        <v>0</v>
      </c>
      <c r="BC291" s="144">
        <f t="shared" si="216"/>
        <v>0</v>
      </c>
      <c r="BD291" s="109">
        <f>IFERROR(VLOOKUP(B291,Precificação!$B$96:$S$533,13,0),0)</f>
        <v>0</v>
      </c>
      <c r="BE291" s="109">
        <f>IFERROR(VLOOKUP(B291,Precificação!$B$96:$U$533,15,0)/(Precificação!$U$4+Precificação!$U$91),0)*Dashboard!$T$3</f>
        <v>0</v>
      </c>
    </row>
    <row r="292" spans="2:57" ht="12" customHeight="1" outlineLevel="1">
      <c r="B292" s="137" t="str">
        <f>Precificação!B278</f>
        <v>AN SR. ENG/ARQ - Equipe_01</v>
      </c>
      <c r="D292" s="512"/>
      <c r="E292" s="143" t="str">
        <f>IF('Cronog. e Histog.'!G411&gt;0,'Cronog. e Histog.'!G411,"")</f>
        <v>AN SR. ENG/ARQ</v>
      </c>
      <c r="G292" s="179">
        <f t="shared" si="203"/>
        <v>0</v>
      </c>
      <c r="H292" s="110">
        <f>IFERROR(INDEX('Base Salarial'!$D$5:$F$25,MATCH(E292,'Base Salarial'!$G$5:$G$25,0),MATCH(I292,'Base Salarial'!$D$4:$F$4,0)),"")</f>
        <v>7500</v>
      </c>
      <c r="I292" s="78" t="str">
        <f>IFERROR(INDEX(Tarefas!$BQ$29:$FK$29,MATCH(E292,Tarefas!$BQ$30:$FK$30,0)),"")</f>
        <v>Mensalista</v>
      </c>
      <c r="J292" s="81">
        <f>IF(I292="horista",H292*Dashboard!$D$15,IF(OR(I292="Mensalista",I292="PJ"),H292,))</f>
        <v>7500</v>
      </c>
      <c r="K292" s="81">
        <f>IF(I292="PJ",J292,ROUND(J292*(1+Dashboard!$D$22),2))</f>
        <v>7950</v>
      </c>
      <c r="L292" s="77"/>
      <c r="M292" s="180"/>
      <c r="P292" s="109">
        <f>IF($BD292&gt;0,(((($BD292/Dashboard!$D$15)*(1+Precificação!$W$589)))+$P$26)*(1+Dashboard!$D$35),0)</f>
        <v>0</v>
      </c>
      <c r="Q292" s="109">
        <f>IF($BD292&gt;0,(((($BD292/Dashboard!$D$23)+(1+Precificação!$W$589))*(1+Q$28))+$P$26)*(1+Dashboard!$D$35),0)</f>
        <v>0</v>
      </c>
      <c r="R292" s="109">
        <f>IF($BD292&gt;0,(((($BD292/Dashboard!$D$23)+(1+Precificação!$W$589))*(1+R$28))+$P$26)*(1+Dashboard!$D$35),0)</f>
        <v>0</v>
      </c>
      <c r="S292" s="109">
        <f>IF($BD292&gt;0,(((($BD292/Dashboard!$D$23)+(1+Precificação!$W$589))*(1+S$28))+$P$26)*(1+Dashboard!$D$35),0)</f>
        <v>0</v>
      </c>
      <c r="U292" s="109">
        <f t="shared" si="204"/>
        <v>0</v>
      </c>
      <c r="V292" s="109">
        <f t="shared" si="205"/>
        <v>0</v>
      </c>
      <c r="W292" s="109">
        <f t="shared" si="206"/>
        <v>0</v>
      </c>
      <c r="X292" s="109">
        <f t="shared" si="207"/>
        <v>0</v>
      </c>
      <c r="AA292" s="109">
        <f>IF($BD292&gt;0,(((($BD292/Dashboard!$D$23)*(1+Precificação!$W$589)))+$AA$26)*(1+Dashboard!$D$35),0)</f>
        <v>0</v>
      </c>
      <c r="AB292" s="109">
        <f>IF($BD292&gt;0,(((($BD292/Dashboard!$D$23)*(1+Precificação!$W$589))*(1+AB$28))+$AA$26)*(1+Dashboard!$D$35),0)</f>
        <v>0</v>
      </c>
      <c r="AC292" s="109">
        <f>IF($BD292&gt;0,(((($BD292/Dashboard!$D$23)*(1+Precificação!$W$589))*(1+AC$28))+$AA$26)*(1+Dashboard!$D$35),0)</f>
        <v>0</v>
      </c>
      <c r="AD292" s="109">
        <f>IF($BD292&gt;0,(((($BD292/Dashboard!$D$23)*(1+Precificação!$W$589))*(1+AD$28))+$AA$26)*(1+Dashboard!$D$35),0)</f>
        <v>0</v>
      </c>
      <c r="AF292" s="109">
        <f t="shared" si="208"/>
        <v>0</v>
      </c>
      <c r="AG292" s="109">
        <f t="shared" si="209"/>
        <v>0</v>
      </c>
      <c r="AH292" s="109">
        <f t="shared" si="210"/>
        <v>0</v>
      </c>
      <c r="AI292" s="109">
        <f t="shared" si="211"/>
        <v>0</v>
      </c>
      <c r="AL292" s="109">
        <f>IF($BD292&gt;0,(((($BD292/Dashboard!$D$23)*(1+Precificação!$W$589)))+$AL$26)*(1+Dashboard!$D$35),0)</f>
        <v>0</v>
      </c>
      <c r="AM292" s="109">
        <f>IF($BD292&gt;0,(((($BD292/Dashboard!$D$23)*(1+Precificação!$W$589))*(1+AM$28))+$AA$26)*(1+Dashboard!$D$35),0)</f>
        <v>0</v>
      </c>
      <c r="AN292" s="109">
        <f>IF($BD292&gt;0,(((($BD292/Dashboard!$D$23)*(1+Precificação!$W$589))*(1+AN$28))+$AA$26)*(1+Dashboard!$D$35),0)</f>
        <v>0</v>
      </c>
      <c r="AO292" s="109">
        <f>IF($BD292&gt;0,(((($BD292/Dashboard!$D$23)*(1+Precificação!$W$589))*(1+AO$28))+$AA$26)*(1+Dashboard!$D$35),0)</f>
        <v>0</v>
      </c>
      <c r="AQ292" s="109">
        <f t="shared" si="212"/>
        <v>0</v>
      </c>
      <c r="AR292" s="109">
        <f t="shared" si="213"/>
        <v>0</v>
      </c>
      <c r="AS292" s="109">
        <f t="shared" si="214"/>
        <v>0</v>
      </c>
      <c r="AT292" s="109">
        <f t="shared" si="215"/>
        <v>0</v>
      </c>
      <c r="AW292" s="144">
        <f>VLOOKUP(B292,'Cronog. e Histog.'!$B$213:$BT$688,71,0)</f>
        <v>0</v>
      </c>
      <c r="AX292" s="144">
        <f>VLOOKUP(B292,'Cronog. e Histog.'!$B$213:$BU$688,72,0)</f>
        <v>0</v>
      </c>
      <c r="AY292" s="144">
        <f>$AW292*$AX292*Dashboard!$D$15</f>
        <v>0</v>
      </c>
      <c r="AZ292" s="144">
        <f>VLOOKUP(B292,Precificação!$B$96:$BM$533,54,0)</f>
        <v>0</v>
      </c>
      <c r="BA292" s="144">
        <f>VLOOKUP(B292,Precificação!$B$96:$BR$533,58,0)</f>
        <v>0</v>
      </c>
      <c r="BB292" s="144">
        <f>VLOOKUP(B292,Precificação!$B$96:$BW$533,62,0)</f>
        <v>0</v>
      </c>
      <c r="BC292" s="144">
        <f t="shared" si="216"/>
        <v>0</v>
      </c>
      <c r="BD292" s="109">
        <f>IFERROR(VLOOKUP(B292,Precificação!$B$96:$S$533,13,0),0)</f>
        <v>0</v>
      </c>
      <c r="BE292" s="109">
        <f>IFERROR(VLOOKUP(B292,Precificação!$B$96:$U$533,15,0)/(Precificação!$U$4+Precificação!$U$91),0)*Dashboard!$T$3</f>
        <v>0</v>
      </c>
    </row>
    <row r="293" spans="2:57" ht="12" customHeight="1" outlineLevel="1">
      <c r="B293" s="137" t="str">
        <f>Precificação!B279</f>
        <v>AN PL. ENG/ARQ - Equipe_01</v>
      </c>
      <c r="D293" s="512"/>
      <c r="E293" s="143" t="str">
        <f>IF('Cronog. e Histog.'!G412&gt;0,'Cronog. e Histog.'!G412,"")</f>
        <v>AN PL. ENG/ARQ</v>
      </c>
      <c r="G293" s="179">
        <f t="shared" si="203"/>
        <v>0</v>
      </c>
      <c r="H293" s="110">
        <f>IFERROR(INDEX('Base Salarial'!$D$5:$F$25,MATCH(E293,'Base Salarial'!$G$5:$G$25,0),MATCH(I293,'Base Salarial'!$D$4:$F$4,0)),"")</f>
        <v>6000</v>
      </c>
      <c r="I293" s="78" t="str">
        <f>IFERROR(INDEX(Tarefas!$BQ$29:$FK$29,MATCH(E293,Tarefas!$BQ$30:$FK$30,0)),"")</f>
        <v>Mensalista</v>
      </c>
      <c r="J293" s="81">
        <f>IF(I293="horista",H293*Dashboard!$D$15,IF(OR(I293="Mensalista",I293="PJ"),H293,))</f>
        <v>6000</v>
      </c>
      <c r="K293" s="81">
        <f>IF(I293="PJ",J293,ROUND(J293*(1+Dashboard!$D$22),2))</f>
        <v>6360</v>
      </c>
      <c r="L293" s="77"/>
      <c r="M293" s="180"/>
      <c r="P293" s="109">
        <f>IF($BD293&gt;0,(((($BD293/Dashboard!$D$15)*(1+Precificação!$W$589)))+$P$26)*(1+Dashboard!$D$35),0)</f>
        <v>0</v>
      </c>
      <c r="Q293" s="109">
        <f>IF($BD293&gt;0,(((($BD293/Dashboard!$D$23)+(1+Precificação!$W$589))*(1+Q$28))+$P$26)*(1+Dashboard!$D$35),0)</f>
        <v>0</v>
      </c>
      <c r="R293" s="109">
        <f>IF($BD293&gt;0,(((($BD293/Dashboard!$D$23)+(1+Precificação!$W$589))*(1+R$28))+$P$26)*(1+Dashboard!$D$35),0)</f>
        <v>0</v>
      </c>
      <c r="S293" s="109">
        <f>IF($BD293&gt;0,(((($BD293/Dashboard!$D$23)+(1+Precificação!$W$589))*(1+S$28))+$P$26)*(1+Dashboard!$D$35),0)</f>
        <v>0</v>
      </c>
      <c r="U293" s="109">
        <f t="shared" si="204"/>
        <v>0</v>
      </c>
      <c r="V293" s="109">
        <f t="shared" si="205"/>
        <v>0</v>
      </c>
      <c r="W293" s="109">
        <f t="shared" si="206"/>
        <v>0</v>
      </c>
      <c r="X293" s="109">
        <f t="shared" si="207"/>
        <v>0</v>
      </c>
      <c r="AA293" s="109">
        <f>IF($BD293&gt;0,(((($BD293/Dashboard!$D$23)*(1+Precificação!$W$589)))+$AA$26)*(1+Dashboard!$D$35),0)</f>
        <v>0</v>
      </c>
      <c r="AB293" s="109">
        <f>IF($BD293&gt;0,(((($BD293/Dashboard!$D$23)*(1+Precificação!$W$589))*(1+AB$28))+$AA$26)*(1+Dashboard!$D$35),0)</f>
        <v>0</v>
      </c>
      <c r="AC293" s="109">
        <f>IF($BD293&gt;0,(((($BD293/Dashboard!$D$23)*(1+Precificação!$W$589))*(1+AC$28))+$AA$26)*(1+Dashboard!$D$35),0)</f>
        <v>0</v>
      </c>
      <c r="AD293" s="109">
        <f>IF($BD293&gt;0,(((($BD293/Dashboard!$D$23)*(1+Precificação!$W$589))*(1+AD$28))+$AA$26)*(1+Dashboard!$D$35),0)</f>
        <v>0</v>
      </c>
      <c r="AF293" s="109">
        <f t="shared" si="208"/>
        <v>0</v>
      </c>
      <c r="AG293" s="109">
        <f t="shared" si="209"/>
        <v>0</v>
      </c>
      <c r="AH293" s="109">
        <f t="shared" si="210"/>
        <v>0</v>
      </c>
      <c r="AI293" s="109">
        <f t="shared" si="211"/>
        <v>0</v>
      </c>
      <c r="AL293" s="109">
        <f>IF($BD293&gt;0,(((($BD293/Dashboard!$D$23)*(1+Precificação!$W$589)))+$AL$26)*(1+Dashboard!$D$35),0)</f>
        <v>0</v>
      </c>
      <c r="AM293" s="109">
        <f>IF($BD293&gt;0,(((($BD293/Dashboard!$D$23)*(1+Precificação!$W$589))*(1+AM$28))+$AA$26)*(1+Dashboard!$D$35),0)</f>
        <v>0</v>
      </c>
      <c r="AN293" s="109">
        <f>IF($BD293&gt;0,(((($BD293/Dashboard!$D$23)*(1+Precificação!$W$589))*(1+AN$28))+$AA$26)*(1+Dashboard!$D$35),0)</f>
        <v>0</v>
      </c>
      <c r="AO293" s="109">
        <f>IF($BD293&gt;0,(((($BD293/Dashboard!$D$23)*(1+Precificação!$W$589))*(1+AO$28))+$AA$26)*(1+Dashboard!$D$35),0)</f>
        <v>0</v>
      </c>
      <c r="AQ293" s="109">
        <f t="shared" si="212"/>
        <v>0</v>
      </c>
      <c r="AR293" s="109">
        <f t="shared" si="213"/>
        <v>0</v>
      </c>
      <c r="AS293" s="109">
        <f t="shared" si="214"/>
        <v>0</v>
      </c>
      <c r="AT293" s="109">
        <f t="shared" si="215"/>
        <v>0</v>
      </c>
      <c r="AW293" s="144">
        <f>VLOOKUP(B293,'Cronog. e Histog.'!$B$213:$BT$688,71,0)</f>
        <v>0</v>
      </c>
      <c r="AX293" s="144">
        <f>VLOOKUP(B293,'Cronog. e Histog.'!$B$213:$BU$688,72,0)</f>
        <v>0</v>
      </c>
      <c r="AY293" s="144">
        <f>$AW293*$AX293*Dashboard!$D$15</f>
        <v>0</v>
      </c>
      <c r="AZ293" s="144">
        <f>VLOOKUP(B293,Precificação!$B$96:$BM$533,54,0)</f>
        <v>0</v>
      </c>
      <c r="BA293" s="144">
        <f>VLOOKUP(B293,Precificação!$B$96:$BR$533,58,0)</f>
        <v>0</v>
      </c>
      <c r="BB293" s="144">
        <f>VLOOKUP(B293,Precificação!$B$96:$BW$533,62,0)</f>
        <v>0</v>
      </c>
      <c r="BC293" s="144">
        <f t="shared" si="216"/>
        <v>0</v>
      </c>
      <c r="BD293" s="109">
        <f>IFERROR(VLOOKUP(B293,Precificação!$B$96:$S$533,13,0),0)</f>
        <v>0</v>
      </c>
      <c r="BE293" s="109">
        <f>IFERROR(VLOOKUP(B293,Precificação!$B$96:$U$533,15,0)/(Precificação!$U$4+Precificação!$U$91),0)*Dashboard!$T$3</f>
        <v>0</v>
      </c>
    </row>
    <row r="294" spans="2:57" ht="12" customHeight="1" outlineLevel="1">
      <c r="B294" s="137" t="str">
        <f>Precificação!B280</f>
        <v>AN JR. ENG/ARQ - Equipe_01</v>
      </c>
      <c r="D294" s="512"/>
      <c r="E294" s="143" t="str">
        <f>IF('Cronog. e Histog.'!G413&gt;0,'Cronog. e Histog.'!G413,"")</f>
        <v>AN JR. ENG/ARQ</v>
      </c>
      <c r="G294" s="179">
        <f t="shared" si="203"/>
        <v>0</v>
      </c>
      <c r="H294" s="110">
        <f>IFERROR(INDEX('Base Salarial'!$D$5:$F$25,MATCH(E294,'Base Salarial'!$G$5:$G$25,0),MATCH(I294,'Base Salarial'!$D$4:$F$4,0)),"")</f>
        <v>4500</v>
      </c>
      <c r="I294" s="78" t="str">
        <f>IFERROR(INDEX(Tarefas!$BQ$29:$FK$29,MATCH(E294,Tarefas!$BQ$30:$FK$30,0)),"")</f>
        <v>Mensalista</v>
      </c>
      <c r="J294" s="81">
        <f>IF(I294="horista",H294*Dashboard!$D$15,IF(OR(I294="Mensalista",I294="PJ"),H294,))</f>
        <v>4500</v>
      </c>
      <c r="K294" s="81">
        <f>IF(I294="PJ",J294,ROUND(J294*(1+Dashboard!$D$22),2))</f>
        <v>4770</v>
      </c>
      <c r="L294" s="77"/>
      <c r="M294" s="180"/>
      <c r="P294" s="109">
        <f>IF($BD294&gt;0,(((($BD294/Dashboard!$D$15)*(1+Precificação!$W$589)))+$P$26)*(1+Dashboard!$D$35),0)</f>
        <v>0</v>
      </c>
      <c r="Q294" s="109">
        <f>IF($BD294&gt;0,(((($BD294/Dashboard!$D$23)+(1+Precificação!$W$589))*(1+Q$28))+$P$26)*(1+Dashboard!$D$35),0)</f>
        <v>0</v>
      </c>
      <c r="R294" s="109">
        <f>IF($BD294&gt;0,(((($BD294/Dashboard!$D$23)+(1+Precificação!$W$589))*(1+R$28))+$P$26)*(1+Dashboard!$D$35),0)</f>
        <v>0</v>
      </c>
      <c r="S294" s="109">
        <f>IF($BD294&gt;0,(((($BD294/Dashboard!$D$23)+(1+Precificação!$W$589))*(1+S$28))+$P$26)*(1+Dashboard!$D$35),0)</f>
        <v>0</v>
      </c>
      <c r="U294" s="109">
        <f t="shared" si="204"/>
        <v>0</v>
      </c>
      <c r="V294" s="109">
        <f t="shared" si="205"/>
        <v>0</v>
      </c>
      <c r="W294" s="109">
        <f t="shared" si="206"/>
        <v>0</v>
      </c>
      <c r="X294" s="109">
        <f t="shared" si="207"/>
        <v>0</v>
      </c>
      <c r="AA294" s="109">
        <f>IF($BD294&gt;0,(((($BD294/Dashboard!$D$23)*(1+Precificação!$W$589)))+$AA$26)*(1+Dashboard!$D$35),0)</f>
        <v>0</v>
      </c>
      <c r="AB294" s="109">
        <f>IF($BD294&gt;0,(((($BD294/Dashboard!$D$23)*(1+Precificação!$W$589))*(1+AB$28))+$AA$26)*(1+Dashboard!$D$35),0)</f>
        <v>0</v>
      </c>
      <c r="AC294" s="109">
        <f>IF($BD294&gt;0,(((($BD294/Dashboard!$D$23)*(1+Precificação!$W$589))*(1+AC$28))+$AA$26)*(1+Dashboard!$D$35),0)</f>
        <v>0</v>
      </c>
      <c r="AD294" s="109">
        <f>IF($BD294&gt;0,(((($BD294/Dashboard!$D$23)*(1+Precificação!$W$589))*(1+AD$28))+$AA$26)*(1+Dashboard!$D$35),0)</f>
        <v>0</v>
      </c>
      <c r="AF294" s="109">
        <f t="shared" si="208"/>
        <v>0</v>
      </c>
      <c r="AG294" s="109">
        <f t="shared" si="209"/>
        <v>0</v>
      </c>
      <c r="AH294" s="109">
        <f t="shared" si="210"/>
        <v>0</v>
      </c>
      <c r="AI294" s="109">
        <f t="shared" si="211"/>
        <v>0</v>
      </c>
      <c r="AL294" s="109">
        <f>IF($BD294&gt;0,(((($BD294/Dashboard!$D$23)*(1+Precificação!$W$589)))+$AL$26)*(1+Dashboard!$D$35),0)</f>
        <v>0</v>
      </c>
      <c r="AM294" s="109">
        <f>IF($BD294&gt;0,(((($BD294/Dashboard!$D$23)*(1+Precificação!$W$589))*(1+AM$28))+$AA$26)*(1+Dashboard!$D$35),0)</f>
        <v>0</v>
      </c>
      <c r="AN294" s="109">
        <f>IF($BD294&gt;0,(((($BD294/Dashboard!$D$23)*(1+Precificação!$W$589))*(1+AN$28))+$AA$26)*(1+Dashboard!$D$35),0)</f>
        <v>0</v>
      </c>
      <c r="AO294" s="109">
        <f>IF($BD294&gt;0,(((($BD294/Dashboard!$D$23)*(1+Precificação!$W$589))*(1+AO$28))+$AA$26)*(1+Dashboard!$D$35),0)</f>
        <v>0</v>
      </c>
      <c r="AQ294" s="109">
        <f t="shared" si="212"/>
        <v>0</v>
      </c>
      <c r="AR294" s="109">
        <f t="shared" si="213"/>
        <v>0</v>
      </c>
      <c r="AS294" s="109">
        <f t="shared" si="214"/>
        <v>0</v>
      </c>
      <c r="AT294" s="109">
        <f t="shared" si="215"/>
        <v>0</v>
      </c>
      <c r="AW294" s="144">
        <f>VLOOKUP(B294,'Cronog. e Histog.'!$B$213:$BT$688,71,0)</f>
        <v>0</v>
      </c>
      <c r="AX294" s="144">
        <f>VLOOKUP(B294,'Cronog. e Histog.'!$B$213:$BU$688,72,0)</f>
        <v>0</v>
      </c>
      <c r="AY294" s="144">
        <f>$AW294*$AX294*Dashboard!$D$15</f>
        <v>0</v>
      </c>
      <c r="AZ294" s="144">
        <f>VLOOKUP(B294,Precificação!$B$96:$BM$533,54,0)</f>
        <v>0</v>
      </c>
      <c r="BA294" s="144">
        <f>VLOOKUP(B294,Precificação!$B$96:$BR$533,58,0)</f>
        <v>0</v>
      </c>
      <c r="BB294" s="144">
        <f>VLOOKUP(B294,Precificação!$B$96:$BW$533,62,0)</f>
        <v>0</v>
      </c>
      <c r="BC294" s="144">
        <f t="shared" si="216"/>
        <v>0</v>
      </c>
      <c r="BD294" s="109">
        <f>IFERROR(VLOOKUP(B294,Precificação!$B$96:$S$533,13,0),0)</f>
        <v>0</v>
      </c>
      <c r="BE294" s="109">
        <f>IFERROR(VLOOKUP(B294,Precificação!$B$96:$U$533,15,0)/(Precificação!$U$4+Precificação!$U$91),0)*Dashboard!$T$3</f>
        <v>0</v>
      </c>
    </row>
    <row r="295" spans="2:57" ht="12" customHeight="1" outlineLevel="1">
      <c r="B295" s="137" t="str">
        <f>Precificação!B281</f>
        <v>AN SR. ADM/CRP - Equipe_01</v>
      </c>
      <c r="D295" s="512"/>
      <c r="E295" s="143" t="str">
        <f>IF('Cronog. e Histog.'!G414&gt;0,'Cronog. e Histog.'!G414,"")</f>
        <v>AN SR. ADM/CRP</v>
      </c>
      <c r="G295" s="179">
        <f t="shared" si="203"/>
        <v>0</v>
      </c>
      <c r="H295" s="110">
        <f>IFERROR(INDEX('Base Salarial'!$D$5:$F$25,MATCH(E295,'Base Salarial'!$G$5:$G$25,0),MATCH(I295,'Base Salarial'!$D$4:$F$4,0)),"")</f>
        <v>7000</v>
      </c>
      <c r="I295" s="78" t="str">
        <f>IFERROR(INDEX(Tarefas!$BQ$29:$FK$29,MATCH(E295,Tarefas!$BQ$30:$FK$30,0)),"")</f>
        <v>Mensalista</v>
      </c>
      <c r="J295" s="81">
        <f>IF(I295="horista",H295*Dashboard!$D$15,IF(OR(I295="Mensalista",I295="PJ"),H295,))</f>
        <v>7000</v>
      </c>
      <c r="K295" s="81">
        <f>IF(I295="PJ",J295,ROUND(J295*(1+Dashboard!$D$22),2))</f>
        <v>7420</v>
      </c>
      <c r="L295" s="77"/>
      <c r="M295" s="180"/>
      <c r="P295" s="109">
        <f>IF($BD295&gt;0,(((($BD295/Dashboard!$D$15)*(1+Precificação!$W$589)))+$P$26)*(1+Dashboard!$D$35),0)</f>
        <v>0</v>
      </c>
      <c r="Q295" s="109">
        <f>IF($BD295&gt;0,(((($BD295/Dashboard!$D$23)+(1+Precificação!$W$589))*(1+Q$28))+$P$26)*(1+Dashboard!$D$35),0)</f>
        <v>0</v>
      </c>
      <c r="R295" s="109">
        <f>IF($BD295&gt;0,(((($BD295/Dashboard!$D$23)+(1+Precificação!$W$589))*(1+R$28))+$P$26)*(1+Dashboard!$D$35),0)</f>
        <v>0</v>
      </c>
      <c r="S295" s="109">
        <f>IF($BD295&gt;0,(((($BD295/Dashboard!$D$23)+(1+Precificação!$W$589))*(1+S$28))+$P$26)*(1+Dashboard!$D$35),0)</f>
        <v>0</v>
      </c>
      <c r="U295" s="109">
        <f t="shared" si="204"/>
        <v>0</v>
      </c>
      <c r="V295" s="109">
        <f t="shared" si="205"/>
        <v>0</v>
      </c>
      <c r="W295" s="109">
        <f t="shared" si="206"/>
        <v>0</v>
      </c>
      <c r="X295" s="109">
        <f t="shared" si="207"/>
        <v>0</v>
      </c>
      <c r="AA295" s="109">
        <f>IF($BD295&gt;0,(((($BD295/Dashboard!$D$23)*(1+Precificação!$W$589)))+$AA$26)*(1+Dashboard!$D$35),0)</f>
        <v>0</v>
      </c>
      <c r="AB295" s="109">
        <f>IF($BD295&gt;0,(((($BD295/Dashboard!$D$23)*(1+Precificação!$W$589))*(1+AB$28))+$AA$26)*(1+Dashboard!$D$35),0)</f>
        <v>0</v>
      </c>
      <c r="AC295" s="109">
        <f>IF($BD295&gt;0,(((($BD295/Dashboard!$D$23)*(1+Precificação!$W$589))*(1+AC$28))+$AA$26)*(1+Dashboard!$D$35),0)</f>
        <v>0</v>
      </c>
      <c r="AD295" s="109">
        <f>IF($BD295&gt;0,(((($BD295/Dashboard!$D$23)*(1+Precificação!$W$589))*(1+AD$28))+$AA$26)*(1+Dashboard!$D$35),0)</f>
        <v>0</v>
      </c>
      <c r="AF295" s="109">
        <f t="shared" si="208"/>
        <v>0</v>
      </c>
      <c r="AG295" s="109">
        <f t="shared" si="209"/>
        <v>0</v>
      </c>
      <c r="AH295" s="109">
        <f t="shared" si="210"/>
        <v>0</v>
      </c>
      <c r="AI295" s="109">
        <f t="shared" si="211"/>
        <v>0</v>
      </c>
      <c r="AL295" s="109">
        <f>IF($BD295&gt;0,(((($BD295/Dashboard!$D$23)*(1+Precificação!$W$589)))+$AL$26)*(1+Dashboard!$D$35),0)</f>
        <v>0</v>
      </c>
      <c r="AM295" s="109">
        <f>IF($BD295&gt;0,(((($BD295/Dashboard!$D$23)*(1+Precificação!$W$589))*(1+AM$28))+$AA$26)*(1+Dashboard!$D$35),0)</f>
        <v>0</v>
      </c>
      <c r="AN295" s="109">
        <f>IF($BD295&gt;0,(((($BD295/Dashboard!$D$23)*(1+Precificação!$W$589))*(1+AN$28))+$AA$26)*(1+Dashboard!$D$35),0)</f>
        <v>0</v>
      </c>
      <c r="AO295" s="109">
        <f>IF($BD295&gt;0,(((($BD295/Dashboard!$D$23)*(1+Precificação!$W$589))*(1+AO$28))+$AA$26)*(1+Dashboard!$D$35),0)</f>
        <v>0</v>
      </c>
      <c r="AQ295" s="109">
        <f t="shared" si="212"/>
        <v>0</v>
      </c>
      <c r="AR295" s="109">
        <f t="shared" si="213"/>
        <v>0</v>
      </c>
      <c r="AS295" s="109">
        <f t="shared" si="214"/>
        <v>0</v>
      </c>
      <c r="AT295" s="109">
        <f t="shared" si="215"/>
        <v>0</v>
      </c>
      <c r="AW295" s="144">
        <f>VLOOKUP(B295,'Cronog. e Histog.'!$B$213:$BT$688,71,0)</f>
        <v>0</v>
      </c>
      <c r="AX295" s="144">
        <f>VLOOKUP(B295,'Cronog. e Histog.'!$B$213:$BU$688,72,0)</f>
        <v>0</v>
      </c>
      <c r="AY295" s="144">
        <f>$AW295*$AX295*Dashboard!$D$15</f>
        <v>0</v>
      </c>
      <c r="AZ295" s="144">
        <f>VLOOKUP(B295,Precificação!$B$96:$BM$533,54,0)</f>
        <v>0</v>
      </c>
      <c r="BA295" s="144">
        <f>VLOOKUP(B295,Precificação!$B$96:$BR$533,58,0)</f>
        <v>0</v>
      </c>
      <c r="BB295" s="144">
        <f>VLOOKUP(B295,Precificação!$B$96:$BW$533,62,0)</f>
        <v>0</v>
      </c>
      <c r="BC295" s="144">
        <f t="shared" si="216"/>
        <v>0</v>
      </c>
      <c r="BD295" s="109">
        <f>IFERROR(VLOOKUP(B295,Precificação!$B$96:$S$533,13,0),0)</f>
        <v>0</v>
      </c>
      <c r="BE295" s="109">
        <f>IFERROR(VLOOKUP(B295,Precificação!$B$96:$U$533,15,0)/(Precificação!$U$4+Precificação!$U$91),0)*Dashboard!$T$3</f>
        <v>0</v>
      </c>
    </row>
    <row r="296" spans="2:57" ht="12" customHeight="1" outlineLevel="1">
      <c r="B296" s="137" t="str">
        <f>Precificação!B282</f>
        <v>AN PL. ADM/CRP - Equipe_01</v>
      </c>
      <c r="D296" s="512"/>
      <c r="E296" s="143" t="str">
        <f>IF('Cronog. e Histog.'!G415&gt;0,'Cronog. e Histog.'!G415,"")</f>
        <v>AN PL. ADM/CRP</v>
      </c>
      <c r="G296" s="179">
        <f t="shared" si="203"/>
        <v>0</v>
      </c>
      <c r="H296" s="110">
        <f>IFERROR(INDEX('Base Salarial'!$D$5:$F$25,MATCH(E296,'Base Salarial'!$G$5:$G$25,0),MATCH(I296,'Base Salarial'!$D$4:$F$4,0)),"")</f>
        <v>5000</v>
      </c>
      <c r="I296" s="78" t="str">
        <f>IFERROR(INDEX(Tarefas!$BQ$29:$FK$29,MATCH(E296,Tarefas!$BQ$30:$FK$30,0)),"")</f>
        <v>Mensalista</v>
      </c>
      <c r="J296" s="81">
        <f>IF(I296="horista",H296*Dashboard!$D$15,IF(OR(I296="Mensalista",I296="PJ"),H296,))</f>
        <v>5000</v>
      </c>
      <c r="K296" s="81">
        <f>IF(I296="PJ",J296,ROUND(J296*(1+Dashboard!$D$22),2))</f>
        <v>5300</v>
      </c>
      <c r="L296" s="77"/>
      <c r="M296" s="180"/>
      <c r="P296" s="109">
        <f>IF($BD296&gt;0,(((($BD296/Dashboard!$D$15)*(1+Precificação!$W$589)))+$P$26)*(1+Dashboard!$D$35),0)</f>
        <v>0</v>
      </c>
      <c r="Q296" s="109">
        <f>IF($BD296&gt;0,(((($BD296/Dashboard!$D$23)+(1+Precificação!$W$589))*(1+Q$28))+$P$26)*(1+Dashboard!$D$35),0)</f>
        <v>0</v>
      </c>
      <c r="R296" s="109">
        <f>IF($BD296&gt;0,(((($BD296/Dashboard!$D$23)+(1+Precificação!$W$589))*(1+R$28))+$P$26)*(1+Dashboard!$D$35),0)</f>
        <v>0</v>
      </c>
      <c r="S296" s="109">
        <f>IF($BD296&gt;0,(((($BD296/Dashboard!$D$23)+(1+Precificação!$W$589))*(1+S$28))+$P$26)*(1+Dashboard!$D$35),0)</f>
        <v>0</v>
      </c>
      <c r="U296" s="109">
        <f t="shared" si="204"/>
        <v>0</v>
      </c>
      <c r="V296" s="109">
        <f t="shared" si="205"/>
        <v>0</v>
      </c>
      <c r="W296" s="109">
        <f t="shared" si="206"/>
        <v>0</v>
      </c>
      <c r="X296" s="109">
        <f t="shared" si="207"/>
        <v>0</v>
      </c>
      <c r="AA296" s="109">
        <f>IF($BD296&gt;0,(((($BD296/Dashboard!$D$23)*(1+Precificação!$W$589)))+$AA$26)*(1+Dashboard!$D$35),0)</f>
        <v>0</v>
      </c>
      <c r="AB296" s="109">
        <f>IF($BD296&gt;0,(((($BD296/Dashboard!$D$23)*(1+Precificação!$W$589))*(1+AB$28))+$AA$26)*(1+Dashboard!$D$35),0)</f>
        <v>0</v>
      </c>
      <c r="AC296" s="109">
        <f>IF($BD296&gt;0,(((($BD296/Dashboard!$D$23)*(1+Precificação!$W$589))*(1+AC$28))+$AA$26)*(1+Dashboard!$D$35),0)</f>
        <v>0</v>
      </c>
      <c r="AD296" s="109">
        <f>IF($BD296&gt;0,(((($BD296/Dashboard!$D$23)*(1+Precificação!$W$589))*(1+AD$28))+$AA$26)*(1+Dashboard!$D$35),0)</f>
        <v>0</v>
      </c>
      <c r="AF296" s="109">
        <f t="shared" si="208"/>
        <v>0</v>
      </c>
      <c r="AG296" s="109">
        <f t="shared" si="209"/>
        <v>0</v>
      </c>
      <c r="AH296" s="109">
        <f t="shared" si="210"/>
        <v>0</v>
      </c>
      <c r="AI296" s="109">
        <f t="shared" si="211"/>
        <v>0</v>
      </c>
      <c r="AL296" s="109">
        <f>IF($BD296&gt;0,(((($BD296/Dashboard!$D$23)*(1+Precificação!$W$589)))+$AL$26)*(1+Dashboard!$D$35),0)</f>
        <v>0</v>
      </c>
      <c r="AM296" s="109">
        <f>IF($BD296&gt;0,(((($BD296/Dashboard!$D$23)*(1+Precificação!$W$589))*(1+AM$28))+$AA$26)*(1+Dashboard!$D$35),0)</f>
        <v>0</v>
      </c>
      <c r="AN296" s="109">
        <f>IF($BD296&gt;0,(((($BD296/Dashboard!$D$23)*(1+Precificação!$W$589))*(1+AN$28))+$AA$26)*(1+Dashboard!$D$35),0)</f>
        <v>0</v>
      </c>
      <c r="AO296" s="109">
        <f>IF($BD296&gt;0,(((($BD296/Dashboard!$D$23)*(1+Precificação!$W$589))*(1+AO$28))+$AA$26)*(1+Dashboard!$D$35),0)</f>
        <v>0</v>
      </c>
      <c r="AQ296" s="109">
        <f t="shared" si="212"/>
        <v>0</v>
      </c>
      <c r="AR296" s="109">
        <f t="shared" si="213"/>
        <v>0</v>
      </c>
      <c r="AS296" s="109">
        <f t="shared" si="214"/>
        <v>0</v>
      </c>
      <c r="AT296" s="109">
        <f t="shared" si="215"/>
        <v>0</v>
      </c>
      <c r="AW296" s="144">
        <f>VLOOKUP(B296,'Cronog. e Histog.'!$B$213:$BT$688,71,0)</f>
        <v>0</v>
      </c>
      <c r="AX296" s="144">
        <f>VLOOKUP(B296,'Cronog. e Histog.'!$B$213:$BU$688,72,0)</f>
        <v>0</v>
      </c>
      <c r="AY296" s="144">
        <f>$AW296*$AX296*Dashboard!$D$15</f>
        <v>0</v>
      </c>
      <c r="AZ296" s="144">
        <f>VLOOKUP(B296,Precificação!$B$96:$BM$533,54,0)</f>
        <v>0</v>
      </c>
      <c r="BA296" s="144">
        <f>VLOOKUP(B296,Precificação!$B$96:$BR$533,58,0)</f>
        <v>0</v>
      </c>
      <c r="BB296" s="144">
        <f>VLOOKUP(B296,Precificação!$B$96:$BW$533,62,0)</f>
        <v>0</v>
      </c>
      <c r="BC296" s="144">
        <f t="shared" si="216"/>
        <v>0</v>
      </c>
      <c r="BD296" s="109">
        <f>IFERROR(VLOOKUP(B296,Precificação!$B$96:$S$533,13,0),0)</f>
        <v>0</v>
      </c>
      <c r="BE296" s="109">
        <f>IFERROR(VLOOKUP(B296,Precificação!$B$96:$U$533,15,0)/(Precificação!$U$4+Precificação!$U$91),0)*Dashboard!$T$3</f>
        <v>0</v>
      </c>
    </row>
    <row r="297" spans="2:57" ht="12" customHeight="1" outlineLevel="1">
      <c r="B297" s="137" t="str">
        <f>Precificação!B283</f>
        <v>AN JR. ADM/CRP - Equipe_01</v>
      </c>
      <c r="D297" s="512"/>
      <c r="E297" s="143" t="str">
        <f>IF('Cronog. e Histog.'!G416&gt;0,'Cronog. e Histog.'!G416,"")</f>
        <v>AN JR. ADM/CRP</v>
      </c>
      <c r="G297" s="179">
        <f t="shared" si="203"/>
        <v>0</v>
      </c>
      <c r="H297" s="110">
        <f>IFERROR(INDEX('Base Salarial'!$D$5:$F$25,MATCH(E297,'Base Salarial'!$G$5:$G$25,0),MATCH(I297,'Base Salarial'!$D$4:$F$4,0)),"")</f>
        <v>3500</v>
      </c>
      <c r="I297" s="78" t="str">
        <f>IFERROR(INDEX(Tarefas!$BQ$29:$FK$29,MATCH(E297,Tarefas!$BQ$30:$FK$30,0)),"")</f>
        <v>Mensalista</v>
      </c>
      <c r="J297" s="81">
        <f>IF(I297="horista",H297*Dashboard!$D$15,IF(OR(I297="Mensalista",I297="PJ"),H297,))</f>
        <v>3500</v>
      </c>
      <c r="K297" s="81">
        <f>IF(I297="PJ",J297,ROUND(J297*(1+Dashboard!$D$22),2))</f>
        <v>3710</v>
      </c>
      <c r="L297" s="77"/>
      <c r="M297" s="180"/>
      <c r="P297" s="109">
        <f>IF($BD297&gt;0,(((($BD297/Dashboard!$D$15)*(1+Precificação!$W$589)))+$P$26)*(1+Dashboard!$D$35),0)</f>
        <v>0</v>
      </c>
      <c r="Q297" s="109">
        <f>IF($BD297&gt;0,(((($BD297/Dashboard!$D$23)+(1+Precificação!$W$589))*(1+Q$28))+$P$26)*(1+Dashboard!$D$35),0)</f>
        <v>0</v>
      </c>
      <c r="R297" s="109">
        <f>IF($BD297&gt;0,(((($BD297/Dashboard!$D$23)+(1+Precificação!$W$589))*(1+R$28))+$P$26)*(1+Dashboard!$D$35),0)</f>
        <v>0</v>
      </c>
      <c r="S297" s="109">
        <f>IF($BD297&gt;0,(((($BD297/Dashboard!$D$23)+(1+Precificação!$W$589))*(1+S$28))+$P$26)*(1+Dashboard!$D$35),0)</f>
        <v>0</v>
      </c>
      <c r="U297" s="109">
        <f t="shared" si="204"/>
        <v>0</v>
      </c>
      <c r="V297" s="109">
        <f t="shared" si="205"/>
        <v>0</v>
      </c>
      <c r="W297" s="109">
        <f t="shared" si="206"/>
        <v>0</v>
      </c>
      <c r="X297" s="109">
        <f t="shared" si="207"/>
        <v>0</v>
      </c>
      <c r="AA297" s="109">
        <f>IF($BD297&gt;0,(((($BD297/Dashboard!$D$23)*(1+Precificação!$W$589)))+$AA$26)*(1+Dashboard!$D$35),0)</f>
        <v>0</v>
      </c>
      <c r="AB297" s="109">
        <f>IF($BD297&gt;0,(((($BD297/Dashboard!$D$23)*(1+Precificação!$W$589))*(1+AB$28))+$AA$26)*(1+Dashboard!$D$35),0)</f>
        <v>0</v>
      </c>
      <c r="AC297" s="109">
        <f>IF($BD297&gt;0,(((($BD297/Dashboard!$D$23)*(1+Precificação!$W$589))*(1+AC$28))+$AA$26)*(1+Dashboard!$D$35),0)</f>
        <v>0</v>
      </c>
      <c r="AD297" s="109">
        <f>IF($BD297&gt;0,(((($BD297/Dashboard!$D$23)*(1+Precificação!$W$589))*(1+AD$28))+$AA$26)*(1+Dashboard!$D$35),0)</f>
        <v>0</v>
      </c>
      <c r="AF297" s="109">
        <f t="shared" si="208"/>
        <v>0</v>
      </c>
      <c r="AG297" s="109">
        <f t="shared" si="209"/>
        <v>0</v>
      </c>
      <c r="AH297" s="109">
        <f t="shared" si="210"/>
        <v>0</v>
      </c>
      <c r="AI297" s="109">
        <f t="shared" si="211"/>
        <v>0</v>
      </c>
      <c r="AL297" s="109">
        <f>IF($BD297&gt;0,(((($BD297/Dashboard!$D$23)*(1+Precificação!$W$589)))+$AL$26)*(1+Dashboard!$D$35),0)</f>
        <v>0</v>
      </c>
      <c r="AM297" s="109">
        <f>IF($BD297&gt;0,(((($BD297/Dashboard!$D$23)*(1+Precificação!$W$589))*(1+AM$28))+$AA$26)*(1+Dashboard!$D$35),0)</f>
        <v>0</v>
      </c>
      <c r="AN297" s="109">
        <f>IF($BD297&gt;0,(((($BD297/Dashboard!$D$23)*(1+Precificação!$W$589))*(1+AN$28))+$AA$26)*(1+Dashboard!$D$35),0)</f>
        <v>0</v>
      </c>
      <c r="AO297" s="109">
        <f>IF($BD297&gt;0,(((($BD297/Dashboard!$D$23)*(1+Precificação!$W$589))*(1+AO$28))+$AA$26)*(1+Dashboard!$D$35),0)</f>
        <v>0</v>
      </c>
      <c r="AQ297" s="109">
        <f t="shared" si="212"/>
        <v>0</v>
      </c>
      <c r="AR297" s="109">
        <f t="shared" si="213"/>
        <v>0</v>
      </c>
      <c r="AS297" s="109">
        <f t="shared" si="214"/>
        <v>0</v>
      </c>
      <c r="AT297" s="109">
        <f t="shared" si="215"/>
        <v>0</v>
      </c>
      <c r="AW297" s="144">
        <f>VLOOKUP(B297,'Cronog. e Histog.'!$B$213:$BT$688,71,0)</f>
        <v>0</v>
      </c>
      <c r="AX297" s="144">
        <f>VLOOKUP(B297,'Cronog. e Histog.'!$B$213:$BU$688,72,0)</f>
        <v>0</v>
      </c>
      <c r="AY297" s="144">
        <f>$AW297*$AX297*Dashboard!$D$15</f>
        <v>0</v>
      </c>
      <c r="AZ297" s="144">
        <f>VLOOKUP(B297,Precificação!$B$96:$BM$533,54,0)</f>
        <v>0</v>
      </c>
      <c r="BA297" s="144">
        <f>VLOOKUP(B297,Precificação!$B$96:$BR$533,58,0)</f>
        <v>0</v>
      </c>
      <c r="BB297" s="144">
        <f>VLOOKUP(B297,Precificação!$B$96:$BW$533,62,0)</f>
        <v>0</v>
      </c>
      <c r="BC297" s="144">
        <f t="shared" si="216"/>
        <v>0</v>
      </c>
      <c r="BD297" s="109">
        <f>IFERROR(VLOOKUP(B297,Precificação!$B$96:$S$533,13,0),0)</f>
        <v>0</v>
      </c>
      <c r="BE297" s="109">
        <f>IFERROR(VLOOKUP(B297,Precificação!$B$96:$U$533,15,0)/(Precificação!$U$4+Precificação!$U$91),0)*Dashboard!$T$3</f>
        <v>0</v>
      </c>
    </row>
    <row r="298" spans="2:57" ht="12" customHeight="1" outlineLevel="1">
      <c r="B298" s="137" t="str">
        <f>Precificação!B284</f>
        <v>TEC III - Equipe_01</v>
      </c>
      <c r="D298" s="512"/>
      <c r="E298" s="143" t="str">
        <f>IF('Cronog. e Histog.'!G417&gt;0,'Cronog. e Histog.'!G417,"")</f>
        <v>TEC III</v>
      </c>
      <c r="G298" s="179">
        <f t="shared" si="203"/>
        <v>0</v>
      </c>
      <c r="H298" s="110">
        <f>IFERROR(INDEX('Base Salarial'!$D$5:$F$25,MATCH(E298,'Base Salarial'!$G$5:$G$25,0),MATCH(I298,'Base Salarial'!$D$4:$F$4,0)),"")</f>
        <v>6000</v>
      </c>
      <c r="I298" s="78" t="str">
        <f>IFERROR(INDEX(Tarefas!$BQ$29:$FK$29,MATCH(E298,Tarefas!$BQ$30:$FK$30,0)),"")</f>
        <v>Mensalista</v>
      </c>
      <c r="J298" s="81">
        <f>IF(I298="horista",H298*Dashboard!$D$15,IF(OR(I298="Mensalista",I298="PJ"),H298,))</f>
        <v>6000</v>
      </c>
      <c r="K298" s="81">
        <f>IF(I298="PJ",J298,ROUND(J298*(1+Dashboard!$D$22),2))</f>
        <v>6360</v>
      </c>
      <c r="L298" s="77"/>
      <c r="M298" s="180"/>
      <c r="P298" s="109">
        <f>IF($BD298&gt;0,(((($BD298/Dashboard!$D$15)*(1+Precificação!$W$589)))+$P$26)*(1+Dashboard!$D$35),0)</f>
        <v>0</v>
      </c>
      <c r="Q298" s="109">
        <f>IF($BD298&gt;0,(((($BD298/Dashboard!$D$23)+(1+Precificação!$W$589))*(1+Q$28))+$P$26)*(1+Dashboard!$D$35),0)</f>
        <v>0</v>
      </c>
      <c r="R298" s="109">
        <f>IF($BD298&gt;0,(((($BD298/Dashboard!$D$23)+(1+Precificação!$W$589))*(1+R$28))+$P$26)*(1+Dashboard!$D$35),0)</f>
        <v>0</v>
      </c>
      <c r="S298" s="109">
        <f>IF($BD298&gt;0,(((($BD298/Dashboard!$D$23)+(1+Precificação!$W$589))*(1+S$28))+$P$26)*(1+Dashboard!$D$35),0)</f>
        <v>0</v>
      </c>
      <c r="U298" s="109">
        <f t="shared" si="204"/>
        <v>0</v>
      </c>
      <c r="V298" s="109">
        <f t="shared" si="205"/>
        <v>0</v>
      </c>
      <c r="W298" s="109">
        <f t="shared" si="206"/>
        <v>0</v>
      </c>
      <c r="X298" s="109">
        <f t="shared" si="207"/>
        <v>0</v>
      </c>
      <c r="AA298" s="109">
        <f>IF($BD298&gt;0,(((($BD298/Dashboard!$D$23)*(1+Precificação!$W$589)))+$AA$26)*(1+Dashboard!$D$35),0)</f>
        <v>0</v>
      </c>
      <c r="AB298" s="109">
        <f>IF($BD298&gt;0,(((($BD298/Dashboard!$D$23)*(1+Precificação!$W$589))*(1+AB$28))+$AA$26)*(1+Dashboard!$D$35),0)</f>
        <v>0</v>
      </c>
      <c r="AC298" s="109">
        <f>IF($BD298&gt;0,(((($BD298/Dashboard!$D$23)*(1+Precificação!$W$589))*(1+AC$28))+$AA$26)*(1+Dashboard!$D$35),0)</f>
        <v>0</v>
      </c>
      <c r="AD298" s="109">
        <f>IF($BD298&gt;0,(((($BD298/Dashboard!$D$23)*(1+Precificação!$W$589))*(1+AD$28))+$AA$26)*(1+Dashboard!$D$35),0)</f>
        <v>0</v>
      </c>
      <c r="AF298" s="109">
        <f t="shared" si="208"/>
        <v>0</v>
      </c>
      <c r="AG298" s="109">
        <f t="shared" si="209"/>
        <v>0</v>
      </c>
      <c r="AH298" s="109">
        <f t="shared" si="210"/>
        <v>0</v>
      </c>
      <c r="AI298" s="109">
        <f t="shared" si="211"/>
        <v>0</v>
      </c>
      <c r="AL298" s="109">
        <f>IF($BD298&gt;0,(((($BD298/Dashboard!$D$23)*(1+Precificação!$W$589)))+$AL$26)*(1+Dashboard!$D$35),0)</f>
        <v>0</v>
      </c>
      <c r="AM298" s="109">
        <f>IF($BD298&gt;0,(((($BD298/Dashboard!$D$23)*(1+Precificação!$W$589))*(1+AM$28))+$AA$26)*(1+Dashboard!$D$35),0)</f>
        <v>0</v>
      </c>
      <c r="AN298" s="109">
        <f>IF($BD298&gt;0,(((($BD298/Dashboard!$D$23)*(1+Precificação!$W$589))*(1+AN$28))+$AA$26)*(1+Dashboard!$D$35),0)</f>
        <v>0</v>
      </c>
      <c r="AO298" s="109">
        <f>IF($BD298&gt;0,(((($BD298/Dashboard!$D$23)*(1+Precificação!$W$589))*(1+AO$28))+$AA$26)*(1+Dashboard!$D$35),0)</f>
        <v>0</v>
      </c>
      <c r="AQ298" s="109">
        <f t="shared" si="212"/>
        <v>0</v>
      </c>
      <c r="AR298" s="109">
        <f t="shared" si="213"/>
        <v>0</v>
      </c>
      <c r="AS298" s="109">
        <f t="shared" si="214"/>
        <v>0</v>
      </c>
      <c r="AT298" s="109">
        <f t="shared" si="215"/>
        <v>0</v>
      </c>
      <c r="AW298" s="144">
        <f>VLOOKUP(B298,'Cronog. e Histog.'!$B$213:$BT$688,71,0)</f>
        <v>0</v>
      </c>
      <c r="AX298" s="144">
        <f>VLOOKUP(B298,'Cronog. e Histog.'!$B$213:$BU$688,72,0)</f>
        <v>0</v>
      </c>
      <c r="AY298" s="144">
        <f>$AW298*$AX298*Dashboard!$D$15</f>
        <v>0</v>
      </c>
      <c r="AZ298" s="144">
        <f>VLOOKUP(B298,Precificação!$B$96:$BM$533,54,0)</f>
        <v>0</v>
      </c>
      <c r="BA298" s="144">
        <f>VLOOKUP(B298,Precificação!$B$96:$BR$533,58,0)</f>
        <v>0</v>
      </c>
      <c r="BB298" s="144">
        <f>VLOOKUP(B298,Precificação!$B$96:$BW$533,62,0)</f>
        <v>0</v>
      </c>
      <c r="BC298" s="144">
        <f t="shared" si="216"/>
        <v>0</v>
      </c>
      <c r="BD298" s="109">
        <f>IFERROR(VLOOKUP(B298,Precificação!$B$96:$S$533,13,0),0)</f>
        <v>0</v>
      </c>
      <c r="BE298" s="109">
        <f>IFERROR(VLOOKUP(B298,Precificação!$B$96:$U$533,15,0)/(Precificação!$U$4+Precificação!$U$91),0)*Dashboard!$T$3</f>
        <v>0</v>
      </c>
    </row>
    <row r="299" spans="2:57" ht="12" customHeight="1" outlineLevel="1">
      <c r="B299" s="137" t="str">
        <f>Precificação!B285</f>
        <v>TEC II - Equipe_01</v>
      </c>
      <c r="D299" s="512"/>
      <c r="E299" s="143" t="str">
        <f>IF('Cronog. e Histog.'!G418&gt;0,'Cronog. e Histog.'!G418,"")</f>
        <v>TEC II</v>
      </c>
      <c r="G299" s="179">
        <f t="shared" si="203"/>
        <v>0</v>
      </c>
      <c r="H299" s="110">
        <f>IFERROR(INDEX('Base Salarial'!$D$5:$F$25,MATCH(E299,'Base Salarial'!$G$5:$G$25,0),MATCH(I299,'Base Salarial'!$D$4:$F$4,0)),"")</f>
        <v>4500</v>
      </c>
      <c r="I299" s="78" t="str">
        <f>IFERROR(INDEX(Tarefas!$BQ$29:$FK$29,MATCH(E299,Tarefas!$BQ$30:$FK$30,0)),"")</f>
        <v>Mensalista</v>
      </c>
      <c r="J299" s="81">
        <f>IF(I299="horista",H299*Dashboard!$D$15,IF(OR(I299="Mensalista",I299="PJ"),H299,))</f>
        <v>4500</v>
      </c>
      <c r="K299" s="81">
        <f>IF(I299="PJ",J299,ROUND(J299*(1+Dashboard!$D$22),2))</f>
        <v>4770</v>
      </c>
      <c r="L299" s="77"/>
      <c r="M299" s="180"/>
      <c r="P299" s="109">
        <f>IF($BD299&gt;0,(((($BD299/Dashboard!$D$15)*(1+Precificação!$W$589)))+$P$26)*(1+Dashboard!$D$35),0)</f>
        <v>0</v>
      </c>
      <c r="Q299" s="109">
        <f>IF($BD299&gt;0,(((($BD299/Dashboard!$D$23)+(1+Precificação!$W$589))*(1+Q$28))+$P$26)*(1+Dashboard!$D$35),0)</f>
        <v>0</v>
      </c>
      <c r="R299" s="109">
        <f>IF($BD299&gt;0,(((($BD299/Dashboard!$D$23)+(1+Precificação!$W$589))*(1+R$28))+$P$26)*(1+Dashboard!$D$35),0)</f>
        <v>0</v>
      </c>
      <c r="S299" s="109">
        <f>IF($BD299&gt;0,(((($BD299/Dashboard!$D$23)+(1+Precificação!$W$589))*(1+S$28))+$P$26)*(1+Dashboard!$D$35),0)</f>
        <v>0</v>
      </c>
      <c r="U299" s="109">
        <f t="shared" si="204"/>
        <v>0</v>
      </c>
      <c r="V299" s="109">
        <f t="shared" si="205"/>
        <v>0</v>
      </c>
      <c r="W299" s="109">
        <f t="shared" si="206"/>
        <v>0</v>
      </c>
      <c r="X299" s="109">
        <f t="shared" si="207"/>
        <v>0</v>
      </c>
      <c r="AA299" s="109">
        <f>IF($BD299&gt;0,(((($BD299/Dashboard!$D$23)*(1+Precificação!$W$589)))+$AA$26)*(1+Dashboard!$D$35),0)</f>
        <v>0</v>
      </c>
      <c r="AB299" s="109">
        <f>IF($BD299&gt;0,(((($BD299/Dashboard!$D$23)*(1+Precificação!$W$589))*(1+AB$28))+$AA$26)*(1+Dashboard!$D$35),0)</f>
        <v>0</v>
      </c>
      <c r="AC299" s="109">
        <f>IF($BD299&gt;0,(((($BD299/Dashboard!$D$23)*(1+Precificação!$W$589))*(1+AC$28))+$AA$26)*(1+Dashboard!$D$35),0)</f>
        <v>0</v>
      </c>
      <c r="AD299" s="109">
        <f>IF($BD299&gt;0,(((($BD299/Dashboard!$D$23)*(1+Precificação!$W$589))*(1+AD$28))+$AA$26)*(1+Dashboard!$D$35),0)</f>
        <v>0</v>
      </c>
      <c r="AF299" s="109">
        <f t="shared" si="208"/>
        <v>0</v>
      </c>
      <c r="AG299" s="109">
        <f t="shared" si="209"/>
        <v>0</v>
      </c>
      <c r="AH299" s="109">
        <f t="shared" si="210"/>
        <v>0</v>
      </c>
      <c r="AI299" s="109">
        <f t="shared" si="211"/>
        <v>0</v>
      </c>
      <c r="AL299" s="109">
        <f>IF($BD299&gt;0,(((($BD299/Dashboard!$D$23)*(1+Precificação!$W$589)))+$AL$26)*(1+Dashboard!$D$35),0)</f>
        <v>0</v>
      </c>
      <c r="AM299" s="109">
        <f>IF($BD299&gt;0,(((($BD299/Dashboard!$D$23)*(1+Precificação!$W$589))*(1+AM$28))+$AA$26)*(1+Dashboard!$D$35),0)</f>
        <v>0</v>
      </c>
      <c r="AN299" s="109">
        <f>IF($BD299&gt;0,(((($BD299/Dashboard!$D$23)*(1+Precificação!$W$589))*(1+AN$28))+$AA$26)*(1+Dashboard!$D$35),0)</f>
        <v>0</v>
      </c>
      <c r="AO299" s="109">
        <f>IF($BD299&gt;0,(((($BD299/Dashboard!$D$23)*(1+Precificação!$W$589))*(1+AO$28))+$AA$26)*(1+Dashboard!$D$35),0)</f>
        <v>0</v>
      </c>
      <c r="AQ299" s="109">
        <f t="shared" si="212"/>
        <v>0</v>
      </c>
      <c r="AR299" s="109">
        <f t="shared" si="213"/>
        <v>0</v>
      </c>
      <c r="AS299" s="109">
        <f t="shared" si="214"/>
        <v>0</v>
      </c>
      <c r="AT299" s="109">
        <f t="shared" si="215"/>
        <v>0</v>
      </c>
      <c r="AW299" s="144">
        <f>VLOOKUP(B299,'Cronog. e Histog.'!$B$213:$BT$688,71,0)</f>
        <v>0</v>
      </c>
      <c r="AX299" s="144">
        <f>VLOOKUP(B299,'Cronog. e Histog.'!$B$213:$BU$688,72,0)</f>
        <v>0</v>
      </c>
      <c r="AY299" s="144">
        <f>$AW299*$AX299*Dashboard!$D$15</f>
        <v>0</v>
      </c>
      <c r="AZ299" s="144">
        <f>VLOOKUP(B299,Precificação!$B$96:$BM$533,54,0)</f>
        <v>0</v>
      </c>
      <c r="BA299" s="144">
        <f>VLOOKUP(B299,Precificação!$B$96:$BR$533,58,0)</f>
        <v>0</v>
      </c>
      <c r="BB299" s="144">
        <f>VLOOKUP(B299,Precificação!$B$96:$BW$533,62,0)</f>
        <v>0</v>
      </c>
      <c r="BC299" s="144">
        <f t="shared" si="216"/>
        <v>0</v>
      </c>
      <c r="BD299" s="109">
        <f>IFERROR(VLOOKUP(B299,Precificação!$B$96:$S$533,13,0),0)</f>
        <v>0</v>
      </c>
      <c r="BE299" s="109">
        <f>IFERROR(VLOOKUP(B299,Precificação!$B$96:$U$533,15,0)/(Precificação!$U$4+Precificação!$U$91),0)*Dashboard!$T$3</f>
        <v>0</v>
      </c>
    </row>
    <row r="300" spans="2:57" ht="12" customHeight="1" outlineLevel="1">
      <c r="B300" s="137" t="str">
        <f>Precificação!B286</f>
        <v>TEC I - Equipe_01</v>
      </c>
      <c r="D300" s="512"/>
      <c r="E300" s="143" t="str">
        <f>IF('Cronog. e Histog.'!G419&gt;0,'Cronog. e Histog.'!G419,"")</f>
        <v>TEC I</v>
      </c>
      <c r="G300" s="179">
        <f t="shared" si="203"/>
        <v>0</v>
      </c>
      <c r="H300" s="110">
        <f>IFERROR(INDEX('Base Salarial'!$D$5:$F$25,MATCH(E300,'Base Salarial'!$G$5:$G$25,0),MATCH(I300,'Base Salarial'!$D$4:$F$4,0)),"")</f>
        <v>3000</v>
      </c>
      <c r="I300" s="78" t="str">
        <f>IFERROR(INDEX(Tarefas!$BQ$29:$FK$29,MATCH(E300,Tarefas!$BQ$30:$FK$30,0)),"")</f>
        <v>Mensalista</v>
      </c>
      <c r="J300" s="81">
        <f>IF(I300="horista",H300*Dashboard!$D$15,IF(OR(I300="Mensalista",I300="PJ"),H300,))</f>
        <v>3000</v>
      </c>
      <c r="K300" s="81">
        <f>IF(I300="PJ",J300,ROUND(J300*(1+Dashboard!$D$22),2))</f>
        <v>3180</v>
      </c>
      <c r="L300" s="77"/>
      <c r="M300" s="180"/>
      <c r="P300" s="109">
        <f>IF($BD300&gt;0,(((($BD300/Dashboard!$D$15)*(1+Precificação!$W$589)))+$P$26)*(1+Dashboard!$D$35),0)</f>
        <v>0</v>
      </c>
      <c r="Q300" s="109">
        <f>IF($BD300&gt;0,(((($BD300/Dashboard!$D$23)+(1+Precificação!$W$589))*(1+Q$28))+$P$26)*(1+Dashboard!$D$35),0)</f>
        <v>0</v>
      </c>
      <c r="R300" s="109">
        <f>IF($BD300&gt;0,(((($BD300/Dashboard!$D$23)+(1+Precificação!$W$589))*(1+R$28))+$P$26)*(1+Dashboard!$D$35),0)</f>
        <v>0</v>
      </c>
      <c r="S300" s="109">
        <f>IF($BD300&gt;0,(((($BD300/Dashboard!$D$23)+(1+Precificação!$W$589))*(1+S$28))+$P$26)*(1+Dashboard!$D$35),0)</f>
        <v>0</v>
      </c>
      <c r="U300" s="109">
        <f t="shared" si="204"/>
        <v>0</v>
      </c>
      <c r="V300" s="109">
        <f t="shared" si="205"/>
        <v>0</v>
      </c>
      <c r="W300" s="109">
        <f t="shared" si="206"/>
        <v>0</v>
      </c>
      <c r="X300" s="109">
        <f t="shared" si="207"/>
        <v>0</v>
      </c>
      <c r="AA300" s="109">
        <f>IF($BD300&gt;0,(((($BD300/Dashboard!$D$23)*(1+Precificação!$W$589)))+$AA$26)*(1+Dashboard!$D$35),0)</f>
        <v>0</v>
      </c>
      <c r="AB300" s="109">
        <f>IF($BD300&gt;0,(((($BD300/Dashboard!$D$23)*(1+Precificação!$W$589))*(1+AB$28))+$AA$26)*(1+Dashboard!$D$35),0)</f>
        <v>0</v>
      </c>
      <c r="AC300" s="109">
        <f>IF($BD300&gt;0,(((($BD300/Dashboard!$D$23)*(1+Precificação!$W$589))*(1+AC$28))+$AA$26)*(1+Dashboard!$D$35),0)</f>
        <v>0</v>
      </c>
      <c r="AD300" s="109">
        <f>IF($BD300&gt;0,(((($BD300/Dashboard!$D$23)*(1+Precificação!$W$589))*(1+AD$28))+$AA$26)*(1+Dashboard!$D$35),0)</f>
        <v>0</v>
      </c>
      <c r="AF300" s="109">
        <f t="shared" si="208"/>
        <v>0</v>
      </c>
      <c r="AG300" s="109">
        <f t="shared" si="209"/>
        <v>0</v>
      </c>
      <c r="AH300" s="109">
        <f t="shared" si="210"/>
        <v>0</v>
      </c>
      <c r="AI300" s="109">
        <f t="shared" si="211"/>
        <v>0</v>
      </c>
      <c r="AL300" s="109">
        <f>IF($BD300&gt;0,(((($BD300/Dashboard!$D$23)*(1+Precificação!$W$589)))+$AL$26)*(1+Dashboard!$D$35),0)</f>
        <v>0</v>
      </c>
      <c r="AM300" s="109">
        <f>IF($BD300&gt;0,(((($BD300/Dashboard!$D$23)*(1+Precificação!$W$589))*(1+AM$28))+$AA$26)*(1+Dashboard!$D$35),0)</f>
        <v>0</v>
      </c>
      <c r="AN300" s="109">
        <f>IF($BD300&gt;0,(((($BD300/Dashboard!$D$23)*(1+Precificação!$W$589))*(1+AN$28))+$AA$26)*(1+Dashboard!$D$35),0)</f>
        <v>0</v>
      </c>
      <c r="AO300" s="109">
        <f>IF($BD300&gt;0,(((($BD300/Dashboard!$D$23)*(1+Precificação!$W$589))*(1+AO$28))+$AA$26)*(1+Dashboard!$D$35),0)</f>
        <v>0</v>
      </c>
      <c r="AQ300" s="109">
        <f t="shared" si="212"/>
        <v>0</v>
      </c>
      <c r="AR300" s="109">
        <f t="shared" si="213"/>
        <v>0</v>
      </c>
      <c r="AS300" s="109">
        <f t="shared" si="214"/>
        <v>0</v>
      </c>
      <c r="AT300" s="109">
        <f t="shared" si="215"/>
        <v>0</v>
      </c>
      <c r="AW300" s="144">
        <f>VLOOKUP(B300,'Cronog. e Histog.'!$B$213:$BT$688,71,0)</f>
        <v>0</v>
      </c>
      <c r="AX300" s="144">
        <f>VLOOKUP(B300,'Cronog. e Histog.'!$B$213:$BU$688,72,0)</f>
        <v>0</v>
      </c>
      <c r="AY300" s="144">
        <f>$AW300*$AX300*Dashboard!$D$15</f>
        <v>0</v>
      </c>
      <c r="AZ300" s="144">
        <f>VLOOKUP(B300,Precificação!$B$96:$BM$533,54,0)</f>
        <v>0</v>
      </c>
      <c r="BA300" s="144">
        <f>VLOOKUP(B300,Precificação!$B$96:$BR$533,58,0)</f>
        <v>0</v>
      </c>
      <c r="BB300" s="144">
        <f>VLOOKUP(B300,Precificação!$B$96:$BW$533,62,0)</f>
        <v>0</v>
      </c>
      <c r="BC300" s="144">
        <f t="shared" si="216"/>
        <v>0</v>
      </c>
      <c r="BD300" s="109">
        <f>IFERROR(VLOOKUP(B300,Precificação!$B$96:$S$533,13,0),0)</f>
        <v>0</v>
      </c>
      <c r="BE300" s="109">
        <f>IFERROR(VLOOKUP(B300,Precificação!$B$96:$U$533,15,0)/(Precificação!$U$4+Precificação!$U$91),0)*Dashboard!$T$3</f>
        <v>0</v>
      </c>
    </row>
    <row r="301" spans="2:57" ht="12" customHeight="1" outlineLevel="1">
      <c r="B301" s="137" t="str">
        <f>Precificação!B287</f>
        <v>AUX TEC - Equipe_01</v>
      </c>
      <c r="D301" s="512"/>
      <c r="E301" s="143" t="str">
        <f>IF('Cronog. e Histog.'!G420&gt;0,'Cronog. e Histog.'!G420,"")</f>
        <v>AUX TEC</v>
      </c>
      <c r="G301" s="179">
        <f t="shared" si="203"/>
        <v>0</v>
      </c>
      <c r="H301" s="110">
        <f>IFERROR(INDEX('Base Salarial'!$D$5:$F$25,MATCH(E301,'Base Salarial'!$G$5:$G$25,0),MATCH(I301,'Base Salarial'!$D$4:$F$4,0)),"")</f>
        <v>3500</v>
      </c>
      <c r="I301" s="78" t="str">
        <f>IFERROR(INDEX(Tarefas!$BQ$29:$FK$29,MATCH(E301,Tarefas!$BQ$30:$FK$30,0)),"")</f>
        <v>Mensalista</v>
      </c>
      <c r="J301" s="81">
        <f>IF(I301="horista",H301*Dashboard!$D$15,IF(OR(I301="Mensalista",I301="PJ"),H301,))</f>
        <v>3500</v>
      </c>
      <c r="K301" s="81">
        <f>IF(I301="PJ",J301,ROUND(J301*(1+Dashboard!$D$22),2))</f>
        <v>3710</v>
      </c>
      <c r="L301" s="77"/>
      <c r="M301" s="180"/>
      <c r="P301" s="109">
        <f>IF($BD301&gt;0,(((($BD301/Dashboard!$D$15)*(1+Precificação!$W$589)))+$P$26)*(1+Dashboard!$D$35),0)</f>
        <v>0</v>
      </c>
      <c r="Q301" s="109">
        <f>IF($BD301&gt;0,(((($BD301/Dashboard!$D$23)+(1+Precificação!$W$589))*(1+Q$28))+$P$26)*(1+Dashboard!$D$35),0)</f>
        <v>0</v>
      </c>
      <c r="R301" s="109">
        <f>IF($BD301&gt;0,(((($BD301/Dashboard!$D$23)+(1+Precificação!$W$589))*(1+R$28))+$P$26)*(1+Dashboard!$D$35),0)</f>
        <v>0</v>
      </c>
      <c r="S301" s="109">
        <f>IF($BD301&gt;0,(((($BD301/Dashboard!$D$23)+(1+Precificação!$W$589))*(1+S$28))+$P$26)*(1+Dashboard!$D$35),0)</f>
        <v>0</v>
      </c>
      <c r="U301" s="109">
        <f t="shared" si="204"/>
        <v>0</v>
      </c>
      <c r="V301" s="109">
        <f t="shared" si="205"/>
        <v>0</v>
      </c>
      <c r="W301" s="109">
        <f t="shared" si="206"/>
        <v>0</v>
      </c>
      <c r="X301" s="109">
        <f t="shared" si="207"/>
        <v>0</v>
      </c>
      <c r="AA301" s="109">
        <f>IF($BD301&gt;0,(((($BD301/Dashboard!$D$23)*(1+Precificação!$W$589)))+$AA$26)*(1+Dashboard!$D$35),0)</f>
        <v>0</v>
      </c>
      <c r="AB301" s="109">
        <f>IF($BD301&gt;0,(((($BD301/Dashboard!$D$23)*(1+Precificação!$W$589))*(1+AB$28))+$AA$26)*(1+Dashboard!$D$35),0)</f>
        <v>0</v>
      </c>
      <c r="AC301" s="109">
        <f>IF($BD301&gt;0,(((($BD301/Dashboard!$D$23)*(1+Precificação!$W$589))*(1+AC$28))+$AA$26)*(1+Dashboard!$D$35),0)</f>
        <v>0</v>
      </c>
      <c r="AD301" s="109">
        <f>IF($BD301&gt;0,(((($BD301/Dashboard!$D$23)*(1+Precificação!$W$589))*(1+AD$28))+$AA$26)*(1+Dashboard!$D$35),0)</f>
        <v>0</v>
      </c>
      <c r="AF301" s="109">
        <f t="shared" si="208"/>
        <v>0</v>
      </c>
      <c r="AG301" s="109">
        <f t="shared" si="209"/>
        <v>0</v>
      </c>
      <c r="AH301" s="109">
        <f t="shared" si="210"/>
        <v>0</v>
      </c>
      <c r="AI301" s="109">
        <f t="shared" si="211"/>
        <v>0</v>
      </c>
      <c r="AL301" s="109">
        <f>IF($BD301&gt;0,(((($BD301/Dashboard!$D$23)*(1+Precificação!$W$589)))+$AL$26)*(1+Dashboard!$D$35),0)</f>
        <v>0</v>
      </c>
      <c r="AM301" s="109">
        <f>IF($BD301&gt;0,(((($BD301/Dashboard!$D$23)*(1+Precificação!$W$589))*(1+AM$28))+$AA$26)*(1+Dashboard!$D$35),0)</f>
        <v>0</v>
      </c>
      <c r="AN301" s="109">
        <f>IF($BD301&gt;0,(((($BD301/Dashboard!$D$23)*(1+Precificação!$W$589))*(1+AN$28))+$AA$26)*(1+Dashboard!$D$35),0)</f>
        <v>0</v>
      </c>
      <c r="AO301" s="109">
        <f>IF($BD301&gt;0,(((($BD301/Dashboard!$D$23)*(1+Precificação!$W$589))*(1+AO$28))+$AA$26)*(1+Dashboard!$D$35),0)</f>
        <v>0</v>
      </c>
      <c r="AQ301" s="109">
        <f t="shared" si="212"/>
        <v>0</v>
      </c>
      <c r="AR301" s="109">
        <f t="shared" si="213"/>
        <v>0</v>
      </c>
      <c r="AS301" s="109">
        <f t="shared" si="214"/>
        <v>0</v>
      </c>
      <c r="AT301" s="109">
        <f t="shared" si="215"/>
        <v>0</v>
      </c>
      <c r="AW301" s="144">
        <f>VLOOKUP(B301,'Cronog. e Histog.'!$B$213:$BT$688,71,0)</f>
        <v>0</v>
      </c>
      <c r="AX301" s="144">
        <f>VLOOKUP(B301,'Cronog. e Histog.'!$B$213:$BU$688,72,0)</f>
        <v>0</v>
      </c>
      <c r="AY301" s="144">
        <f>$AW301*$AX301*Dashboard!$D$15</f>
        <v>0</v>
      </c>
      <c r="AZ301" s="144">
        <f>VLOOKUP(B301,Precificação!$B$96:$BM$533,54,0)</f>
        <v>0</v>
      </c>
      <c r="BA301" s="144">
        <f>VLOOKUP(B301,Precificação!$B$96:$BR$533,58,0)</f>
        <v>0</v>
      </c>
      <c r="BB301" s="144">
        <f>VLOOKUP(B301,Precificação!$B$96:$BW$533,62,0)</f>
        <v>0</v>
      </c>
      <c r="BC301" s="144">
        <f t="shared" si="216"/>
        <v>0</v>
      </c>
      <c r="BD301" s="109">
        <f>IFERROR(VLOOKUP(B301,Precificação!$B$96:$S$533,13,0),0)</f>
        <v>0</v>
      </c>
      <c r="BE301" s="109">
        <f>IFERROR(VLOOKUP(B301,Precificação!$B$96:$U$533,15,0)/(Precificação!$U$4+Precificação!$U$91),0)*Dashboard!$T$3</f>
        <v>0</v>
      </c>
    </row>
    <row r="302" spans="2:57" ht="12" customHeight="1" outlineLevel="1">
      <c r="B302" s="137" t="str">
        <f>Precificação!B288</f>
        <v>AUX ADM - Equipe_01</v>
      </c>
      <c r="D302" s="512"/>
      <c r="E302" s="143" t="str">
        <f>IF('Cronog. e Histog.'!G421&gt;0,'Cronog. e Histog.'!G421,"")</f>
        <v>AUX ADM</v>
      </c>
      <c r="G302" s="179">
        <f t="shared" si="203"/>
        <v>0</v>
      </c>
      <c r="H302" s="110">
        <f>IFERROR(INDEX('Base Salarial'!$D$5:$F$25,MATCH(E302,'Base Salarial'!$G$5:$G$25,0),MATCH(I302,'Base Salarial'!$D$4:$F$4,0)),"")</f>
        <v>1804</v>
      </c>
      <c r="I302" s="78" t="str">
        <f>IFERROR(INDEX(Tarefas!$BQ$29:$FK$29,MATCH(E302,Tarefas!$BQ$30:$FK$30,0)),"")</f>
        <v>Mensalista</v>
      </c>
      <c r="J302" s="81">
        <f>IF(I302="horista",H302*Dashboard!$D$15,IF(OR(I302="Mensalista",I302="PJ"),H302,))</f>
        <v>1804</v>
      </c>
      <c r="K302" s="81">
        <f>IF(I302="PJ",J302,ROUND(J302*(1+Dashboard!$D$22),2))</f>
        <v>1912.24</v>
      </c>
      <c r="L302" s="77"/>
      <c r="M302" s="180"/>
      <c r="P302" s="109">
        <f>IF($BD302&gt;0,(((($BD302/Dashboard!$D$15)*(1+Precificação!$W$589)))+$P$26)*(1+Dashboard!$D$35),0)</f>
        <v>0</v>
      </c>
      <c r="Q302" s="109">
        <f>IF($BD302&gt;0,(((($BD302/Dashboard!$D$23)+(1+Precificação!$W$589))*(1+Q$28))+$P$26)*(1+Dashboard!$D$35),0)</f>
        <v>0</v>
      </c>
      <c r="R302" s="109">
        <f>IF($BD302&gt;0,(((($BD302/Dashboard!$D$23)+(1+Precificação!$W$589))*(1+R$28))+$P$26)*(1+Dashboard!$D$35),0)</f>
        <v>0</v>
      </c>
      <c r="S302" s="109">
        <f>IF($BD302&gt;0,(((($BD302/Dashboard!$D$23)+(1+Precificação!$W$589))*(1+S$28))+$P$26)*(1+Dashboard!$D$35),0)</f>
        <v>0</v>
      </c>
      <c r="U302" s="109">
        <f t="shared" si="204"/>
        <v>0</v>
      </c>
      <c r="V302" s="109">
        <f t="shared" si="205"/>
        <v>0</v>
      </c>
      <c r="W302" s="109">
        <f t="shared" si="206"/>
        <v>0</v>
      </c>
      <c r="X302" s="109">
        <f t="shared" si="207"/>
        <v>0</v>
      </c>
      <c r="AA302" s="109">
        <f>IF($BD302&gt;0,(((($BD302/Dashboard!$D$23)*(1+Precificação!$W$589)))+$AA$26)*(1+Dashboard!$D$35),0)</f>
        <v>0</v>
      </c>
      <c r="AB302" s="109">
        <f>IF($BD302&gt;0,(((($BD302/Dashboard!$D$23)*(1+Precificação!$W$589))*(1+AB$28))+$AA$26)*(1+Dashboard!$D$35),0)</f>
        <v>0</v>
      </c>
      <c r="AC302" s="109">
        <f>IF($BD302&gt;0,(((($BD302/Dashboard!$D$23)*(1+Precificação!$W$589))*(1+AC$28))+$AA$26)*(1+Dashboard!$D$35),0)</f>
        <v>0</v>
      </c>
      <c r="AD302" s="109">
        <f>IF($BD302&gt;0,(((($BD302/Dashboard!$D$23)*(1+Precificação!$W$589))*(1+AD$28))+$AA$26)*(1+Dashboard!$D$35),0)</f>
        <v>0</v>
      </c>
      <c r="AF302" s="109">
        <f t="shared" si="208"/>
        <v>0</v>
      </c>
      <c r="AG302" s="109">
        <f t="shared" si="209"/>
        <v>0</v>
      </c>
      <c r="AH302" s="109">
        <f t="shared" si="210"/>
        <v>0</v>
      </c>
      <c r="AI302" s="109">
        <f t="shared" si="211"/>
        <v>0</v>
      </c>
      <c r="AL302" s="109">
        <f>IF($BD302&gt;0,(((($BD302/Dashboard!$D$23)*(1+Precificação!$W$589)))+$AL$26)*(1+Dashboard!$D$35),0)</f>
        <v>0</v>
      </c>
      <c r="AM302" s="109">
        <f>IF($BD302&gt;0,(((($BD302/Dashboard!$D$23)*(1+Precificação!$W$589))*(1+AM$28))+$AA$26)*(1+Dashboard!$D$35),0)</f>
        <v>0</v>
      </c>
      <c r="AN302" s="109">
        <f>IF($BD302&gt;0,(((($BD302/Dashboard!$D$23)*(1+Precificação!$W$589))*(1+AN$28))+$AA$26)*(1+Dashboard!$D$35),0)</f>
        <v>0</v>
      </c>
      <c r="AO302" s="109">
        <f>IF($BD302&gt;0,(((($BD302/Dashboard!$D$23)*(1+Precificação!$W$589))*(1+AO$28))+$AA$26)*(1+Dashboard!$D$35),0)</f>
        <v>0</v>
      </c>
      <c r="AQ302" s="109">
        <f t="shared" si="212"/>
        <v>0</v>
      </c>
      <c r="AR302" s="109">
        <f t="shared" si="213"/>
        <v>0</v>
      </c>
      <c r="AS302" s="109">
        <f t="shared" si="214"/>
        <v>0</v>
      </c>
      <c r="AT302" s="109">
        <f t="shared" si="215"/>
        <v>0</v>
      </c>
      <c r="AW302" s="144">
        <f>VLOOKUP(B302,'Cronog. e Histog.'!$B$213:$BT$688,71,0)</f>
        <v>0</v>
      </c>
      <c r="AX302" s="144">
        <f>VLOOKUP(B302,'Cronog. e Histog.'!$B$213:$BU$688,72,0)</f>
        <v>0</v>
      </c>
      <c r="AY302" s="144">
        <f>$AW302*$AX302*Dashboard!$D$15</f>
        <v>0</v>
      </c>
      <c r="AZ302" s="144">
        <f>VLOOKUP(B302,Precificação!$B$96:$BM$533,54,0)</f>
        <v>0</v>
      </c>
      <c r="BA302" s="144">
        <f>VLOOKUP(B302,Precificação!$B$96:$BR$533,58,0)</f>
        <v>0</v>
      </c>
      <c r="BB302" s="144">
        <f>VLOOKUP(B302,Precificação!$B$96:$BW$533,62,0)</f>
        <v>0</v>
      </c>
      <c r="BC302" s="144">
        <f t="shared" si="216"/>
        <v>0</v>
      </c>
      <c r="BD302" s="109">
        <f>IFERROR(VLOOKUP(B302,Precificação!$B$96:$S$533,13,0),0)</f>
        <v>0</v>
      </c>
      <c r="BE302" s="109">
        <f>IFERROR(VLOOKUP(B302,Precificação!$B$96:$U$533,15,0)/(Precificação!$U$4+Precificação!$U$91),0)*Dashboard!$T$3</f>
        <v>0</v>
      </c>
    </row>
    <row r="303" spans="2:57" ht="12" customHeight="1" outlineLevel="1">
      <c r="B303" s="137" t="str">
        <f>Precificação!B289</f>
        <v>EST - Equipe_01</v>
      </c>
      <c r="D303" s="512"/>
      <c r="E303" s="143" t="str">
        <f>IF('Cronog. e Histog.'!G422&gt;0,'Cronog. e Histog.'!G422,"")</f>
        <v>EST</v>
      </c>
      <c r="G303" s="179">
        <f t="shared" si="203"/>
        <v>0</v>
      </c>
      <c r="H303" s="110">
        <f>IFERROR(INDEX('Base Salarial'!$D$5:$F$25,MATCH(E303,'Base Salarial'!$G$5:$G$25,0),MATCH(I303,'Base Salarial'!$D$4:$F$4,0)),"")</f>
        <v>1633</v>
      </c>
      <c r="I303" s="78" t="str">
        <f>IFERROR(INDEX(Tarefas!$BQ$29:$FK$29,MATCH(E303,Tarefas!$BQ$30:$FK$30,0)),"")</f>
        <v>PJ</v>
      </c>
      <c r="J303" s="81">
        <f>IF(I303="horista",H303*Dashboard!$D$15,IF(OR(I303="Mensalista",I303="PJ"),H303,))</f>
        <v>1633</v>
      </c>
      <c r="K303" s="81">
        <f>IF(I303="PJ",J303,ROUND(J303*(1+Dashboard!$D$22),2))</f>
        <v>1633</v>
      </c>
      <c r="L303" s="77"/>
      <c r="M303" s="180"/>
      <c r="P303" s="109">
        <f>IF($BD303&gt;0,(((($BD303/Dashboard!$D$15)*(1+Precificação!$W$589)))+$P$26)*(1+Dashboard!$D$35),0)</f>
        <v>0</v>
      </c>
      <c r="Q303" s="109">
        <f>IF($BD303&gt;0,(((($BD303/Dashboard!$D$23)+(1+Precificação!$W$589))*(1+Q$28))+$P$26)*(1+Dashboard!$D$35),0)</f>
        <v>0</v>
      </c>
      <c r="R303" s="109">
        <f>IF($BD303&gt;0,(((($BD303/Dashboard!$D$23)+(1+Precificação!$W$589))*(1+R$28))+$P$26)*(1+Dashboard!$D$35),0)</f>
        <v>0</v>
      </c>
      <c r="S303" s="109">
        <f>IF($BD303&gt;0,(((($BD303/Dashboard!$D$23)+(1+Precificação!$W$589))*(1+S$28))+$P$26)*(1+Dashboard!$D$35),0)</f>
        <v>0</v>
      </c>
      <c r="U303" s="109">
        <f t="shared" si="204"/>
        <v>0</v>
      </c>
      <c r="V303" s="109">
        <f t="shared" si="205"/>
        <v>0</v>
      </c>
      <c r="W303" s="109">
        <f t="shared" si="206"/>
        <v>0</v>
      </c>
      <c r="X303" s="109">
        <f t="shared" si="207"/>
        <v>0</v>
      </c>
      <c r="AA303" s="109">
        <f>IF($BD303&gt;0,(((($BD303/Dashboard!$D$23)*(1+Precificação!$W$589)))+$AA$26)*(1+Dashboard!$D$35),0)</f>
        <v>0</v>
      </c>
      <c r="AB303" s="109">
        <f>IF($BD303&gt;0,(((($BD303/Dashboard!$D$23)*(1+Precificação!$W$589))*(1+AB$28))+$AA$26)*(1+Dashboard!$D$35),0)</f>
        <v>0</v>
      </c>
      <c r="AC303" s="109">
        <f>IF($BD303&gt;0,(((($BD303/Dashboard!$D$23)*(1+Precificação!$W$589))*(1+AC$28))+$AA$26)*(1+Dashboard!$D$35),0)</f>
        <v>0</v>
      </c>
      <c r="AD303" s="109">
        <f>IF($BD303&gt;0,(((($BD303/Dashboard!$D$23)*(1+Precificação!$W$589))*(1+AD$28))+$AA$26)*(1+Dashboard!$D$35),0)</f>
        <v>0</v>
      </c>
      <c r="AF303" s="109">
        <f t="shared" si="208"/>
        <v>0</v>
      </c>
      <c r="AG303" s="109">
        <f t="shared" si="209"/>
        <v>0</v>
      </c>
      <c r="AH303" s="109">
        <f t="shared" si="210"/>
        <v>0</v>
      </c>
      <c r="AI303" s="109">
        <f t="shared" si="211"/>
        <v>0</v>
      </c>
      <c r="AL303" s="109">
        <f>IF($BD303&gt;0,(((($BD303/Dashboard!$D$23)*(1+Precificação!$W$589)))+$AL$26)*(1+Dashboard!$D$35),0)</f>
        <v>0</v>
      </c>
      <c r="AM303" s="109">
        <f>IF($BD303&gt;0,(((($BD303/Dashboard!$D$23)*(1+Precificação!$W$589))*(1+AM$28))+$AA$26)*(1+Dashboard!$D$35),0)</f>
        <v>0</v>
      </c>
      <c r="AN303" s="109">
        <f>IF($BD303&gt;0,(((($BD303/Dashboard!$D$23)*(1+Precificação!$W$589))*(1+AN$28))+$AA$26)*(1+Dashboard!$D$35),0)</f>
        <v>0</v>
      </c>
      <c r="AO303" s="109">
        <f>IF($BD303&gt;0,(((($BD303/Dashboard!$D$23)*(1+Precificação!$W$589))*(1+AO$28))+$AA$26)*(1+Dashboard!$D$35),0)</f>
        <v>0</v>
      </c>
      <c r="AQ303" s="109">
        <f t="shared" si="212"/>
        <v>0</v>
      </c>
      <c r="AR303" s="109">
        <f t="shared" si="213"/>
        <v>0</v>
      </c>
      <c r="AS303" s="109">
        <f t="shared" si="214"/>
        <v>0</v>
      </c>
      <c r="AT303" s="109">
        <f t="shared" si="215"/>
        <v>0</v>
      </c>
      <c r="AW303" s="144">
        <f>VLOOKUP(B303,'Cronog. e Histog.'!$B$213:$BT$688,71,0)</f>
        <v>0</v>
      </c>
      <c r="AX303" s="144">
        <f>VLOOKUP(B303,'Cronog. e Histog.'!$B$213:$BU$688,72,0)</f>
        <v>0</v>
      </c>
      <c r="AY303" s="144">
        <f>$AW303*$AX303*Dashboard!$D$15</f>
        <v>0</v>
      </c>
      <c r="AZ303" s="144">
        <f>VLOOKUP(B303,Precificação!$B$96:$BM$533,54,0)</f>
        <v>0</v>
      </c>
      <c r="BA303" s="144">
        <f>VLOOKUP(B303,Precificação!$B$96:$BR$533,58,0)</f>
        <v>0</v>
      </c>
      <c r="BB303" s="144">
        <f>VLOOKUP(B303,Precificação!$B$96:$BW$533,62,0)</f>
        <v>0</v>
      </c>
      <c r="BC303" s="144">
        <f t="shared" si="216"/>
        <v>0</v>
      </c>
      <c r="BD303" s="109">
        <f>IFERROR(VLOOKUP(B303,Precificação!$B$96:$S$533,13,0),0)</f>
        <v>0</v>
      </c>
      <c r="BE303" s="109">
        <f>IFERROR(VLOOKUP(B303,Precificação!$B$96:$U$533,15,0)/(Precificação!$U$4+Precificação!$U$91),0)*Dashboard!$T$3</f>
        <v>0</v>
      </c>
    </row>
    <row r="304" spans="2:57" ht="12" customHeight="1" outlineLevel="1">
      <c r="B304" s="137" t="str">
        <f>Precificação!B290</f>
        <v>EST_II - Equipe_01</v>
      </c>
      <c r="D304" s="512"/>
      <c r="E304" s="143" t="str">
        <f>IF('Cronog. e Histog.'!G423&gt;0,'Cronog. e Histog.'!G423,"")</f>
        <v>EST_II</v>
      </c>
      <c r="G304" s="179">
        <f t="shared" si="203"/>
        <v>0</v>
      </c>
      <c r="H304" s="110">
        <f>IFERROR(INDEX('Base Salarial'!$D$5:$F$25,MATCH(E304,'Base Salarial'!$G$5:$G$25,0),MATCH(I304,'Base Salarial'!$D$4:$F$4,0)),"")</f>
        <v>1633</v>
      </c>
      <c r="I304" s="78" t="str">
        <f>IFERROR(INDEX(Tarefas!$BQ$29:$FK$29,MATCH(E304,Tarefas!$BQ$30:$FK$30,0)),"")</f>
        <v>PJ</v>
      </c>
      <c r="J304" s="81">
        <f>IF(I304="horista",H304*Dashboard!$D$15,IF(OR(I304="Mensalista",I304="PJ"),H304,))</f>
        <v>1633</v>
      </c>
      <c r="K304" s="81">
        <f>IF(I304="PJ",J304,ROUND(J304*(1+Dashboard!$D$22),2))</f>
        <v>1633</v>
      </c>
      <c r="L304" s="77"/>
      <c r="M304" s="180"/>
      <c r="P304" s="109">
        <f>IF($BD304&gt;0,(((($BD304/Dashboard!$D$15)*(1+Precificação!$W$589)))+$P$26)*(1+Dashboard!$D$35),0)</f>
        <v>0</v>
      </c>
      <c r="Q304" s="109">
        <f>IF($BD304&gt;0,(((($BD304/Dashboard!$D$23)+(1+Precificação!$W$589))*(1+Q$28))+$P$26)*(1+Dashboard!$D$35),0)</f>
        <v>0</v>
      </c>
      <c r="R304" s="109">
        <f>IF($BD304&gt;0,(((($BD304/Dashboard!$D$23)+(1+Precificação!$W$589))*(1+R$28))+$P$26)*(1+Dashboard!$D$35),0)</f>
        <v>0</v>
      </c>
      <c r="S304" s="109">
        <f>IF($BD304&gt;0,(((($BD304/Dashboard!$D$23)+(1+Precificação!$W$589))*(1+S$28))+$P$26)*(1+Dashboard!$D$35),0)</f>
        <v>0</v>
      </c>
      <c r="U304" s="109">
        <f t="shared" si="204"/>
        <v>0</v>
      </c>
      <c r="V304" s="109">
        <f t="shared" si="205"/>
        <v>0</v>
      </c>
      <c r="W304" s="109">
        <f t="shared" si="206"/>
        <v>0</v>
      </c>
      <c r="X304" s="109">
        <f t="shared" si="207"/>
        <v>0</v>
      </c>
      <c r="AA304" s="109">
        <f>IF($BD304&gt;0,(((($BD304/Dashboard!$D$23)*(1+Precificação!$W$589)))+$AA$26)*(1+Dashboard!$D$35),0)</f>
        <v>0</v>
      </c>
      <c r="AB304" s="109">
        <f>IF($BD304&gt;0,(((($BD304/Dashboard!$D$23)*(1+Precificação!$W$589))*(1+AB$28))+$AA$26)*(1+Dashboard!$D$35),0)</f>
        <v>0</v>
      </c>
      <c r="AC304" s="109">
        <f>IF($BD304&gt;0,(((($BD304/Dashboard!$D$23)*(1+Precificação!$W$589))*(1+AC$28))+$AA$26)*(1+Dashboard!$D$35),0)</f>
        <v>0</v>
      </c>
      <c r="AD304" s="109">
        <f>IF($BD304&gt;0,(((($BD304/Dashboard!$D$23)*(1+Precificação!$W$589))*(1+AD$28))+$AA$26)*(1+Dashboard!$D$35),0)</f>
        <v>0</v>
      </c>
      <c r="AF304" s="109">
        <f t="shared" si="208"/>
        <v>0</v>
      </c>
      <c r="AG304" s="109">
        <f t="shared" si="209"/>
        <v>0</v>
      </c>
      <c r="AH304" s="109">
        <f t="shared" si="210"/>
        <v>0</v>
      </c>
      <c r="AI304" s="109">
        <f t="shared" si="211"/>
        <v>0</v>
      </c>
      <c r="AL304" s="109">
        <f>IF($BD304&gt;0,(((($BD304/Dashboard!$D$23)*(1+Precificação!$W$589)))+$AL$26)*(1+Dashboard!$D$35),0)</f>
        <v>0</v>
      </c>
      <c r="AM304" s="109">
        <f>IF($BD304&gt;0,(((($BD304/Dashboard!$D$23)*(1+Precificação!$W$589))*(1+AM$28))+$AA$26)*(1+Dashboard!$D$35),0)</f>
        <v>0</v>
      </c>
      <c r="AN304" s="109">
        <f>IF($BD304&gt;0,(((($BD304/Dashboard!$D$23)*(1+Precificação!$W$589))*(1+AN$28))+$AA$26)*(1+Dashboard!$D$35),0)</f>
        <v>0</v>
      </c>
      <c r="AO304" s="109">
        <f>IF($BD304&gt;0,(((($BD304/Dashboard!$D$23)*(1+Precificação!$W$589))*(1+AO$28))+$AA$26)*(1+Dashboard!$D$35),0)</f>
        <v>0</v>
      </c>
      <c r="AQ304" s="109">
        <f t="shared" si="212"/>
        <v>0</v>
      </c>
      <c r="AR304" s="109">
        <f t="shared" si="213"/>
        <v>0</v>
      </c>
      <c r="AS304" s="109">
        <f t="shared" si="214"/>
        <v>0</v>
      </c>
      <c r="AT304" s="109">
        <f t="shared" si="215"/>
        <v>0</v>
      </c>
      <c r="AW304" s="144">
        <f>VLOOKUP(B304,'Cronog. e Histog.'!$B$213:$BT$688,71,0)</f>
        <v>0</v>
      </c>
      <c r="AX304" s="144">
        <f>VLOOKUP(B304,'Cronog. e Histog.'!$B$213:$BU$688,72,0)</f>
        <v>0</v>
      </c>
      <c r="AY304" s="144">
        <f>$AW304*$AX304*Dashboard!$D$15</f>
        <v>0</v>
      </c>
      <c r="AZ304" s="144">
        <f>VLOOKUP(B304,Precificação!$B$96:$BM$533,54,0)</f>
        <v>0</v>
      </c>
      <c r="BA304" s="144">
        <f>VLOOKUP(B304,Precificação!$B$96:$BR$533,58,0)</f>
        <v>0</v>
      </c>
      <c r="BB304" s="144">
        <f>VLOOKUP(B304,Precificação!$B$96:$BW$533,62,0)</f>
        <v>0</v>
      </c>
      <c r="BC304" s="144">
        <f t="shared" si="216"/>
        <v>0</v>
      </c>
      <c r="BD304" s="109">
        <f>IFERROR(VLOOKUP(B304,Precificação!$B$96:$S$533,13,0),0)</f>
        <v>0</v>
      </c>
      <c r="BE304" s="109">
        <f>IFERROR(VLOOKUP(B304,Precificação!$B$96:$U$533,15,0)/(Precificação!$U$4+Precificação!$U$91),0)*Dashboard!$T$3</f>
        <v>0</v>
      </c>
    </row>
    <row r="305" spans="2:57" ht="12" customHeight="1" outlineLevel="1">
      <c r="B305" s="137" t="str">
        <f>Precificação!B291</f>
        <v>EST_III - Equipe_01</v>
      </c>
      <c r="D305" s="512"/>
      <c r="E305" s="143" t="str">
        <f>IF('Cronog. e Histog.'!G424&gt;0,'Cronog. e Histog.'!G424,"")</f>
        <v>EST_III</v>
      </c>
      <c r="G305" s="179">
        <f t="shared" si="203"/>
        <v>0</v>
      </c>
      <c r="H305" s="110">
        <f>IFERROR(INDEX('Base Salarial'!$D$5:$F$25,MATCH(E305,'Base Salarial'!$G$5:$G$25,0),MATCH(I305,'Base Salarial'!$D$4:$F$4,0)),"")</f>
        <v>1633</v>
      </c>
      <c r="I305" s="78" t="str">
        <f>IFERROR(INDEX(Tarefas!$BQ$29:$FK$29,MATCH(E305,Tarefas!$BQ$30:$FK$30,0)),"")</f>
        <v>PJ</v>
      </c>
      <c r="J305" s="81">
        <f>IF(I305="horista",H305*Dashboard!$D$15,IF(OR(I305="Mensalista",I305="PJ"),H305,))</f>
        <v>1633</v>
      </c>
      <c r="K305" s="81">
        <f>IF(I305="PJ",J305,ROUND(J305*(1+Dashboard!$D$22),2))</f>
        <v>1633</v>
      </c>
      <c r="L305" s="77"/>
      <c r="M305" s="180"/>
      <c r="P305" s="109">
        <f>IF($BD305&gt;0,(((($BD305/Dashboard!$D$15)*(1+Precificação!$W$589)))+$P$26)*(1+Dashboard!$D$35),0)</f>
        <v>0</v>
      </c>
      <c r="Q305" s="109">
        <f>IF($BD305&gt;0,(((($BD305/Dashboard!$D$23)+(1+Precificação!$W$589))*(1+Q$28))+$P$26)*(1+Dashboard!$D$35),0)</f>
        <v>0</v>
      </c>
      <c r="R305" s="109">
        <f>IF($BD305&gt;0,(((($BD305/Dashboard!$D$23)+(1+Precificação!$W$589))*(1+R$28))+$P$26)*(1+Dashboard!$D$35),0)</f>
        <v>0</v>
      </c>
      <c r="S305" s="109">
        <f>IF($BD305&gt;0,(((($BD305/Dashboard!$D$23)+(1+Precificação!$W$589))*(1+S$28))+$P$26)*(1+Dashboard!$D$35),0)</f>
        <v>0</v>
      </c>
      <c r="U305" s="109">
        <f t="shared" si="204"/>
        <v>0</v>
      </c>
      <c r="V305" s="109">
        <f t="shared" si="205"/>
        <v>0</v>
      </c>
      <c r="W305" s="109">
        <f t="shared" si="206"/>
        <v>0</v>
      </c>
      <c r="X305" s="109">
        <f t="shared" si="207"/>
        <v>0</v>
      </c>
      <c r="AA305" s="109">
        <f>IF($BD305&gt;0,(((($BD305/Dashboard!$D$23)*(1+Precificação!$W$589)))+$AA$26)*(1+Dashboard!$D$35),0)</f>
        <v>0</v>
      </c>
      <c r="AB305" s="109">
        <f>IF($BD305&gt;0,(((($BD305/Dashboard!$D$23)*(1+Precificação!$W$589))*(1+AB$28))+$AA$26)*(1+Dashboard!$D$35),0)</f>
        <v>0</v>
      </c>
      <c r="AC305" s="109">
        <f>IF($BD305&gt;0,(((($BD305/Dashboard!$D$23)*(1+Precificação!$W$589))*(1+AC$28))+$AA$26)*(1+Dashboard!$D$35),0)</f>
        <v>0</v>
      </c>
      <c r="AD305" s="109">
        <f>IF($BD305&gt;0,(((($BD305/Dashboard!$D$23)*(1+Precificação!$W$589))*(1+AD$28))+$AA$26)*(1+Dashboard!$D$35),0)</f>
        <v>0</v>
      </c>
      <c r="AF305" s="109">
        <f t="shared" si="208"/>
        <v>0</v>
      </c>
      <c r="AG305" s="109">
        <f t="shared" si="209"/>
        <v>0</v>
      </c>
      <c r="AH305" s="109">
        <f t="shared" si="210"/>
        <v>0</v>
      </c>
      <c r="AI305" s="109">
        <f t="shared" si="211"/>
        <v>0</v>
      </c>
      <c r="AL305" s="109">
        <f>IF($BD305&gt;0,(((($BD305/Dashboard!$D$23)*(1+Precificação!$W$589)))+$AL$26)*(1+Dashboard!$D$35),0)</f>
        <v>0</v>
      </c>
      <c r="AM305" s="109">
        <f>IF($BD305&gt;0,(((($BD305/Dashboard!$D$23)*(1+Precificação!$W$589))*(1+AM$28))+$AA$26)*(1+Dashboard!$D$35),0)</f>
        <v>0</v>
      </c>
      <c r="AN305" s="109">
        <f>IF($BD305&gt;0,(((($BD305/Dashboard!$D$23)*(1+Precificação!$W$589))*(1+AN$28))+$AA$26)*(1+Dashboard!$D$35),0)</f>
        <v>0</v>
      </c>
      <c r="AO305" s="109">
        <f>IF($BD305&gt;0,(((($BD305/Dashboard!$D$23)*(1+Precificação!$W$589))*(1+AO$28))+$AA$26)*(1+Dashboard!$D$35),0)</f>
        <v>0</v>
      </c>
      <c r="AQ305" s="109">
        <f t="shared" si="212"/>
        <v>0</v>
      </c>
      <c r="AR305" s="109">
        <f t="shared" si="213"/>
        <v>0</v>
      </c>
      <c r="AS305" s="109">
        <f t="shared" si="214"/>
        <v>0</v>
      </c>
      <c r="AT305" s="109">
        <f t="shared" si="215"/>
        <v>0</v>
      </c>
      <c r="AW305" s="144">
        <f>VLOOKUP(B305,'Cronog. e Histog.'!$B$213:$BT$688,71,0)</f>
        <v>0</v>
      </c>
      <c r="AX305" s="144">
        <f>VLOOKUP(B305,'Cronog. e Histog.'!$B$213:$BU$688,72,0)</f>
        <v>0</v>
      </c>
      <c r="AY305" s="144">
        <f>$AW305*$AX305*Dashboard!$D$15</f>
        <v>0</v>
      </c>
      <c r="AZ305" s="144">
        <f>VLOOKUP(B305,Precificação!$B$96:$BM$533,54,0)</f>
        <v>0</v>
      </c>
      <c r="BA305" s="144">
        <f>VLOOKUP(B305,Precificação!$B$96:$BR$533,58,0)</f>
        <v>0</v>
      </c>
      <c r="BB305" s="144">
        <f>VLOOKUP(B305,Precificação!$B$96:$BW$533,62,0)</f>
        <v>0</v>
      </c>
      <c r="BC305" s="144">
        <f t="shared" si="216"/>
        <v>0</v>
      </c>
      <c r="BD305" s="109">
        <f>IFERROR(VLOOKUP(B305,Precificação!$B$96:$S$533,13,0),0)</f>
        <v>0</v>
      </c>
      <c r="BE305" s="109">
        <f>IFERROR(VLOOKUP(B305,Precificação!$B$96:$U$533,15,0)/(Precificação!$U$4+Precificação!$U$91),0)*Dashboard!$T$3</f>
        <v>0</v>
      </c>
    </row>
    <row r="306" spans="2:57" ht="12" customHeight="1" outlineLevel="1"/>
    <row r="307" spans="2:57" ht="12" customHeight="1" outlineLevel="1">
      <c r="B307" s="137" t="str">
        <f>Precificação!B294</f>
        <v>GER. (OBRA/PROJ) - Equipe_01</v>
      </c>
      <c r="D307" s="512" t="str">
        <f>'Cronog. e Histog.'!F427</f>
        <v>Equipe10</v>
      </c>
      <c r="E307" s="143" t="str">
        <f>IF('Cronog. e Histog.'!G429&gt;0,'Cronog. e Histog.'!G429,"")</f>
        <v>GER. (OBRA/PROJ)</v>
      </c>
      <c r="G307" s="179">
        <f t="shared" ref="G307" si="217">IF(AND((AW307*AX307)&gt;0,K307=0),1,0)</f>
        <v>0</v>
      </c>
      <c r="H307" s="110">
        <f>IFERROR(INDEX('Base Salarial'!$D$5:$F$25,MATCH(E307,'Base Salarial'!$G$5:$G$25,0),MATCH(I307,'Base Salarial'!$D$4:$F$4,0)),"")</f>
        <v>21000</v>
      </c>
      <c r="I307" s="78" t="str">
        <f>IFERROR(INDEX(Tarefas!$BQ$29:$FK$29,MATCH(E307,Tarefas!$BQ$30:$FK$30,0)),"")</f>
        <v>PJ</v>
      </c>
      <c r="J307" s="81">
        <f>IF(I307="horista",H307*Dashboard!$D$15,IF(OR(I307="Mensalista",I307="PJ"),H307,))</f>
        <v>21000</v>
      </c>
      <c r="K307" s="81">
        <f>IF(I307="PJ",J307,ROUND(J307*(1+Dashboard!$D$22),2))</f>
        <v>21000</v>
      </c>
      <c r="L307" s="77"/>
      <c r="M307" s="180"/>
      <c r="P307" s="109">
        <f>IF($BD307&gt;0,(((($BD307/Dashboard!$D$15)*(1+Precificação!$W$589)))+$P$26)*(1+Dashboard!$D$35),0)</f>
        <v>0</v>
      </c>
      <c r="Q307" s="109">
        <f>IF($BD307&gt;0,(((($BD307/Dashboard!$D$23)+(1+Precificação!$W$589))*(1+Q$28))+$P$26)*(1+Dashboard!$D$35),0)</f>
        <v>0</v>
      </c>
      <c r="R307" s="109">
        <f>IF($BD307&gt;0,(((($BD307/Dashboard!$D$23)+(1+Precificação!$W$589))*(1+R$28))+$P$26)*(1+Dashboard!$D$35),0)</f>
        <v>0</v>
      </c>
      <c r="S307" s="109">
        <f>IF($BD307&gt;0,(((($BD307/Dashboard!$D$23)+(1+Precificação!$W$589))*(1+S$28))+$P$26)*(1+Dashboard!$D$35),0)</f>
        <v>0</v>
      </c>
      <c r="U307" s="109">
        <f>IF(P307&gt;0,P307+U$32,0)</f>
        <v>0</v>
      </c>
      <c r="V307" s="109">
        <f t="shared" ref="V307:X307" si="218">IF(Q307&gt;0,Q307+V$32,0)</f>
        <v>0</v>
      </c>
      <c r="W307" s="109">
        <f t="shared" si="218"/>
        <v>0</v>
      </c>
      <c r="X307" s="109">
        <f t="shared" si="218"/>
        <v>0</v>
      </c>
      <c r="AA307" s="109">
        <f>IF($BD307&gt;0,(((($BD307/Dashboard!$D$23)*(1+Precificação!$W$589)))+$AA$26)*(1+Dashboard!$D$35),0)</f>
        <v>0</v>
      </c>
      <c r="AB307" s="109">
        <f>IF($BD307&gt;0,(((($BD307/Dashboard!$D$23)*(1+Precificação!$W$589))*(1+AB$28))+$AA$26)*(1+Dashboard!$D$35),0)</f>
        <v>0</v>
      </c>
      <c r="AC307" s="109">
        <f>IF($BD307&gt;0,(((($BD307/Dashboard!$D$23)*(1+Precificação!$W$589))*(1+AC$28))+$AA$26)*(1+Dashboard!$D$35),0)</f>
        <v>0</v>
      </c>
      <c r="AD307" s="109">
        <f>IF($BD307&gt;0,(((($BD307/Dashboard!$D$23)*(1+Precificação!$W$589))*(1+AD$28))+$AA$26)*(1+Dashboard!$D$35),0)</f>
        <v>0</v>
      </c>
      <c r="AF307" s="109">
        <f>IF(AA307&gt;0,AA307+AF$32,0)</f>
        <v>0</v>
      </c>
      <c r="AG307" s="109">
        <f t="shared" ref="AG307" si="219">IF(AB307&gt;0,AB307+AG$32,0)</f>
        <v>0</v>
      </c>
      <c r="AH307" s="109">
        <f t="shared" ref="AH307" si="220">IF(AC307&gt;0,AC307+AH$32,0)</f>
        <v>0</v>
      </c>
      <c r="AI307" s="109">
        <f t="shared" ref="AI307" si="221">IF(AD307&gt;0,AD307+AI$32,0)</f>
        <v>0</v>
      </c>
      <c r="AL307" s="109">
        <f>IF($BD307&gt;0,(((($BD307/Dashboard!$D$23)*(1+Precificação!$W$589)))+$AL$26)*(1+Dashboard!$D$35),0)</f>
        <v>0</v>
      </c>
      <c r="AM307" s="109">
        <f>IF($BD307&gt;0,(((($BD307/Dashboard!$D$23)*(1+Precificação!$W$589))*(1+AM$28))+$AA$26)*(1+Dashboard!$D$35),0)</f>
        <v>0</v>
      </c>
      <c r="AN307" s="109">
        <f>IF($BD307&gt;0,(((($BD307/Dashboard!$D$23)*(1+Precificação!$W$589))*(1+AN$28))+$AA$26)*(1+Dashboard!$D$35),0)</f>
        <v>0</v>
      </c>
      <c r="AO307" s="109">
        <f>IF($BD307&gt;0,(((($BD307/Dashboard!$D$23)*(1+Precificação!$W$589))*(1+AO$28))+$AA$26)*(1+Dashboard!$D$35),0)</f>
        <v>0</v>
      </c>
      <c r="AQ307" s="109">
        <f>IF(AL307&gt;0,AL307+AQ$32,0)</f>
        <v>0</v>
      </c>
      <c r="AR307" s="109">
        <f t="shared" ref="AR307" si="222">IF(AM307&gt;0,AM307+AR$32,0)</f>
        <v>0</v>
      </c>
      <c r="AS307" s="109">
        <f t="shared" ref="AS307" si="223">IF(AN307&gt;0,AN307+AS$32,0)</f>
        <v>0</v>
      </c>
      <c r="AT307" s="109">
        <f t="shared" ref="AT307" si="224">IF(AO307&gt;0,AO307+AT$32,0)</f>
        <v>0</v>
      </c>
      <c r="AW307" s="144">
        <f>VLOOKUP(B307,'Cronog. e Histog.'!$B$213:$BT$688,71,0)</f>
        <v>1.9999999999999997E-2</v>
      </c>
      <c r="AX307" s="144">
        <f>VLOOKUP(B307,'Cronog. e Histog.'!$B$213:$BU$688,72,0)</f>
        <v>10</v>
      </c>
      <c r="AY307" s="144">
        <f>$AW307*$AX307*Dashboard!$D$15</f>
        <v>38.72</v>
      </c>
      <c r="AZ307" s="144">
        <f>VLOOKUP(B307,Precificação!$B$96:$BM$533,54,0)</f>
        <v>0</v>
      </c>
      <c r="BA307" s="144">
        <f>VLOOKUP(B307,Precificação!$B$96:$BR$533,58,0)</f>
        <v>0</v>
      </c>
      <c r="BB307" s="144">
        <f>VLOOKUP(B307,Precificação!$B$96:$BW$533,62,0)</f>
        <v>0</v>
      </c>
      <c r="BC307" s="144">
        <f t="shared" ref="BC307" si="225">SUM(AY307:BB307)</f>
        <v>38.72</v>
      </c>
      <c r="BD307" s="109">
        <f>IFERROR(VLOOKUP(B307,Precificação!$B$96:$S$533,13,0),0)</f>
        <v>0</v>
      </c>
      <c r="BE307" s="109">
        <f>IFERROR(VLOOKUP(B307,Precificação!$B$96:$U$533,15,0)/(Precificação!$U$4+Precificação!$U$91),0)*Dashboard!$T$3</f>
        <v>0</v>
      </c>
    </row>
    <row r="308" spans="2:57" ht="12" customHeight="1" outlineLevel="1">
      <c r="B308" s="137" t="str">
        <f>Precificação!B295</f>
        <v>COORD. - Equipe_01</v>
      </c>
      <c r="D308" s="512"/>
      <c r="E308" s="143" t="str">
        <f>IF('Cronog. e Histog.'!G430&gt;0,'Cronog. e Histog.'!G430,"")</f>
        <v>COORD.</v>
      </c>
      <c r="G308" s="179">
        <f t="shared" ref="G308:G326" si="226">IF(AND((AW308*AX308)&gt;0,K308=0),1,0)</f>
        <v>0</v>
      </c>
      <c r="H308" s="110">
        <f>IFERROR(INDEX('Base Salarial'!$D$5:$F$25,MATCH(E308,'Base Salarial'!$G$5:$G$25,0),MATCH(I308,'Base Salarial'!$D$4:$F$4,0)),"")</f>
        <v>19000</v>
      </c>
      <c r="I308" s="78" t="str">
        <f>IFERROR(INDEX(Tarefas!$BQ$29:$FK$29,MATCH(E308,Tarefas!$BQ$30:$FK$30,0)),"")</f>
        <v>PJ</v>
      </c>
      <c r="J308" s="81">
        <f>IF(I308="horista",H308*Dashboard!$D$15,IF(OR(I308="Mensalista",I308="PJ"),H308,))</f>
        <v>19000</v>
      </c>
      <c r="K308" s="81">
        <f>IF(I308="PJ",J308,ROUND(J308*(1+Dashboard!$D$22),2))</f>
        <v>19000</v>
      </c>
      <c r="L308" s="77"/>
      <c r="M308" s="180"/>
      <c r="P308" s="109">
        <f>IF($BD308&gt;0,(((($BD308/Dashboard!$D$15)*(1+Precificação!$W$589)))+$P$26)*(1+Dashboard!$D$35),0)</f>
        <v>0</v>
      </c>
      <c r="Q308" s="109">
        <f>IF($BD308&gt;0,(((($BD308/Dashboard!$D$23)+(1+Precificação!$W$589))*(1+Q$28))+$P$26)*(1+Dashboard!$D$35),0)</f>
        <v>0</v>
      </c>
      <c r="R308" s="109">
        <f>IF($BD308&gt;0,(((($BD308/Dashboard!$D$23)+(1+Precificação!$W$589))*(1+R$28))+$P$26)*(1+Dashboard!$D$35),0)</f>
        <v>0</v>
      </c>
      <c r="S308" s="109">
        <f>IF($BD308&gt;0,(((($BD308/Dashboard!$D$23)+(1+Precificação!$W$589))*(1+S$28))+$P$26)*(1+Dashboard!$D$35),0)</f>
        <v>0</v>
      </c>
      <c r="U308" s="109">
        <f t="shared" ref="U308:U326" si="227">IF(P308&gt;0,P308+U$32,0)</f>
        <v>0</v>
      </c>
      <c r="V308" s="109">
        <f t="shared" ref="V308:V326" si="228">IF(Q308&gt;0,Q308+V$32,0)</f>
        <v>0</v>
      </c>
      <c r="W308" s="109">
        <f t="shared" ref="W308:W326" si="229">IF(R308&gt;0,R308+W$32,0)</f>
        <v>0</v>
      </c>
      <c r="X308" s="109">
        <f t="shared" ref="X308:X326" si="230">IF(S308&gt;0,S308+X$32,0)</f>
        <v>0</v>
      </c>
      <c r="AA308" s="109">
        <f>IF($BD308&gt;0,(((($BD308/Dashboard!$D$23)*(1+Precificação!$W$589)))+$AA$26)*(1+Dashboard!$D$35),0)</f>
        <v>0</v>
      </c>
      <c r="AB308" s="109">
        <f>IF($BD308&gt;0,(((($BD308/Dashboard!$D$23)*(1+Precificação!$W$589))*(1+AB$28))+$AA$26)*(1+Dashboard!$D$35),0)</f>
        <v>0</v>
      </c>
      <c r="AC308" s="109">
        <f>IF($BD308&gt;0,(((($BD308/Dashboard!$D$23)*(1+Precificação!$W$589))*(1+AC$28))+$AA$26)*(1+Dashboard!$D$35),0)</f>
        <v>0</v>
      </c>
      <c r="AD308" s="109">
        <f>IF($BD308&gt;0,(((($BD308/Dashboard!$D$23)*(1+Precificação!$W$589))*(1+AD$28))+$AA$26)*(1+Dashboard!$D$35),0)</f>
        <v>0</v>
      </c>
      <c r="AF308" s="109">
        <f t="shared" ref="AF308:AF326" si="231">IF(AA308&gt;0,AA308+AF$32,0)</f>
        <v>0</v>
      </c>
      <c r="AG308" s="109">
        <f t="shared" ref="AG308:AG326" si="232">IF(AB308&gt;0,AB308+AG$32,0)</f>
        <v>0</v>
      </c>
      <c r="AH308" s="109">
        <f t="shared" ref="AH308:AH326" si="233">IF(AC308&gt;0,AC308+AH$32,0)</f>
        <v>0</v>
      </c>
      <c r="AI308" s="109">
        <f t="shared" ref="AI308:AI326" si="234">IF(AD308&gt;0,AD308+AI$32,0)</f>
        <v>0</v>
      </c>
      <c r="AL308" s="109">
        <f>IF($BD308&gt;0,(((($BD308/Dashboard!$D$23)*(1+Precificação!$W$589)))+$AL$26)*(1+Dashboard!$D$35),0)</f>
        <v>0</v>
      </c>
      <c r="AM308" s="109">
        <f>IF($BD308&gt;0,(((($BD308/Dashboard!$D$23)*(1+Precificação!$W$589))*(1+AM$28))+$AA$26)*(1+Dashboard!$D$35),0)</f>
        <v>0</v>
      </c>
      <c r="AN308" s="109">
        <f>IF($BD308&gt;0,(((($BD308/Dashboard!$D$23)*(1+Precificação!$W$589))*(1+AN$28))+$AA$26)*(1+Dashboard!$D$35),0)</f>
        <v>0</v>
      </c>
      <c r="AO308" s="109">
        <f>IF($BD308&gt;0,(((($BD308/Dashboard!$D$23)*(1+Precificação!$W$589))*(1+AO$28))+$AA$26)*(1+Dashboard!$D$35),0)</f>
        <v>0</v>
      </c>
      <c r="AQ308" s="109">
        <f t="shared" ref="AQ308:AQ326" si="235">IF(AL308&gt;0,AL308+AQ$32,0)</f>
        <v>0</v>
      </c>
      <c r="AR308" s="109">
        <f t="shared" ref="AR308:AR326" si="236">IF(AM308&gt;0,AM308+AR$32,0)</f>
        <v>0</v>
      </c>
      <c r="AS308" s="109">
        <f t="shared" ref="AS308:AS326" si="237">IF(AN308&gt;0,AN308+AS$32,0)</f>
        <v>0</v>
      </c>
      <c r="AT308" s="109">
        <f t="shared" ref="AT308:AT326" si="238">IF(AO308&gt;0,AO308+AT$32,0)</f>
        <v>0</v>
      </c>
      <c r="AW308" s="144">
        <f>VLOOKUP(B308,'Cronog. e Histog.'!$B$213:$BT$688,71,0)</f>
        <v>1</v>
      </c>
      <c r="AX308" s="144">
        <f>VLOOKUP(B308,'Cronog. e Histog.'!$B$213:$BU$688,72,0)</f>
        <v>10</v>
      </c>
      <c r="AY308" s="144">
        <f>$AW308*$AX308*Dashboard!$D$15</f>
        <v>1936.0000000000002</v>
      </c>
      <c r="AZ308" s="144">
        <f>VLOOKUP(B308,Precificação!$B$96:$BM$533,54,0)</f>
        <v>0</v>
      </c>
      <c r="BA308" s="144">
        <f>VLOOKUP(B308,Precificação!$B$96:$BR$533,58,0)</f>
        <v>0</v>
      </c>
      <c r="BB308" s="144">
        <f>VLOOKUP(B308,Precificação!$B$96:$BW$533,62,0)</f>
        <v>0</v>
      </c>
      <c r="BC308" s="144">
        <f t="shared" ref="BC308:BC326" si="239">SUM(AY308:BB308)</f>
        <v>1936.0000000000002</v>
      </c>
      <c r="BD308" s="109">
        <f>IFERROR(VLOOKUP(B308,Precificação!$B$96:$S$533,13,0),0)</f>
        <v>0</v>
      </c>
      <c r="BE308" s="109">
        <f>IFERROR(VLOOKUP(B308,Precificação!$B$96:$U$533,15,0)/(Precificação!$U$4+Precificação!$U$91),0)*Dashboard!$T$3</f>
        <v>0</v>
      </c>
    </row>
    <row r="309" spans="2:57" ht="12" customHeight="1" outlineLevel="1">
      <c r="B309" s="137" t="str">
        <f>Precificação!B296</f>
        <v>SUP.-ESP - Equipe_01</v>
      </c>
      <c r="D309" s="512"/>
      <c r="E309" s="143" t="str">
        <f>IF('Cronog. e Histog.'!G431&gt;0,'Cronog. e Histog.'!G431,"")</f>
        <v>SUP.-ESP</v>
      </c>
      <c r="G309" s="179">
        <f t="shared" si="226"/>
        <v>0</v>
      </c>
      <c r="H309" s="110">
        <f>IFERROR(INDEX('Base Salarial'!$D$5:$F$25,MATCH(E309,'Base Salarial'!$G$5:$G$25,0),MATCH(I309,'Base Salarial'!$D$4:$F$4,0)),"")</f>
        <v>9166.6666666666679</v>
      </c>
      <c r="I309" s="78" t="str">
        <f>IFERROR(INDEX(Tarefas!$BQ$29:$FK$29,MATCH(E309,Tarefas!$BQ$30:$FK$30,0)),"")</f>
        <v>Mensalista</v>
      </c>
      <c r="J309" s="81">
        <f>IF(I309="horista",H309*Dashboard!$D$15,IF(OR(I309="Mensalista",I309="PJ"),H309,))</f>
        <v>9166.6666666666679</v>
      </c>
      <c r="K309" s="81">
        <f>IF(I309="PJ",J309,ROUND(J309*(1+Dashboard!$D$22),2))</f>
        <v>9716.67</v>
      </c>
      <c r="L309" s="77"/>
      <c r="M309" s="180"/>
      <c r="P309" s="109">
        <f>IF($BD309&gt;0,(((($BD309/Dashboard!$D$15)*(1+Precificação!$W$589)))+$P$26)*(1+Dashboard!$D$35),0)</f>
        <v>0</v>
      </c>
      <c r="Q309" s="109">
        <f>IF($BD309&gt;0,(((($BD309/Dashboard!$D$23)+(1+Precificação!$W$589))*(1+Q$28))+$P$26)*(1+Dashboard!$D$35),0)</f>
        <v>0</v>
      </c>
      <c r="R309" s="109">
        <f>IF($BD309&gt;0,(((($BD309/Dashboard!$D$23)+(1+Precificação!$W$589))*(1+R$28))+$P$26)*(1+Dashboard!$D$35),0)</f>
        <v>0</v>
      </c>
      <c r="S309" s="109">
        <f>IF($BD309&gt;0,(((($BD309/Dashboard!$D$23)+(1+Precificação!$W$589))*(1+S$28))+$P$26)*(1+Dashboard!$D$35),0)</f>
        <v>0</v>
      </c>
      <c r="U309" s="109">
        <f t="shared" si="227"/>
        <v>0</v>
      </c>
      <c r="V309" s="109">
        <f t="shared" si="228"/>
        <v>0</v>
      </c>
      <c r="W309" s="109">
        <f t="shared" si="229"/>
        <v>0</v>
      </c>
      <c r="X309" s="109">
        <f t="shared" si="230"/>
        <v>0</v>
      </c>
      <c r="AA309" s="109">
        <f>IF($BD309&gt;0,(((($BD309/Dashboard!$D$23)*(1+Precificação!$W$589)))+$AA$26)*(1+Dashboard!$D$35),0)</f>
        <v>0</v>
      </c>
      <c r="AB309" s="109">
        <f>IF($BD309&gt;0,(((($BD309/Dashboard!$D$23)*(1+Precificação!$W$589))*(1+AB$28))+$AA$26)*(1+Dashboard!$D$35),0)</f>
        <v>0</v>
      </c>
      <c r="AC309" s="109">
        <f>IF($BD309&gt;0,(((($BD309/Dashboard!$D$23)*(1+Precificação!$W$589))*(1+AC$28))+$AA$26)*(1+Dashboard!$D$35),0)</f>
        <v>0</v>
      </c>
      <c r="AD309" s="109">
        <f>IF($BD309&gt;0,(((($BD309/Dashboard!$D$23)*(1+Precificação!$W$589))*(1+AD$28))+$AA$26)*(1+Dashboard!$D$35),0)</f>
        <v>0</v>
      </c>
      <c r="AF309" s="109">
        <f t="shared" si="231"/>
        <v>0</v>
      </c>
      <c r="AG309" s="109">
        <f t="shared" si="232"/>
        <v>0</v>
      </c>
      <c r="AH309" s="109">
        <f t="shared" si="233"/>
        <v>0</v>
      </c>
      <c r="AI309" s="109">
        <f t="shared" si="234"/>
        <v>0</v>
      </c>
      <c r="AL309" s="109">
        <f>IF($BD309&gt;0,(((($BD309/Dashboard!$D$23)*(1+Precificação!$W$589)))+$AL$26)*(1+Dashboard!$D$35),0)</f>
        <v>0</v>
      </c>
      <c r="AM309" s="109">
        <f>IF($BD309&gt;0,(((($BD309/Dashboard!$D$23)*(1+Precificação!$W$589))*(1+AM$28))+$AA$26)*(1+Dashboard!$D$35),0)</f>
        <v>0</v>
      </c>
      <c r="AN309" s="109">
        <f>IF($BD309&gt;0,(((($BD309/Dashboard!$D$23)*(1+Precificação!$W$589))*(1+AN$28))+$AA$26)*(1+Dashboard!$D$35),0)</f>
        <v>0</v>
      </c>
      <c r="AO309" s="109">
        <f>IF($BD309&gt;0,(((($BD309/Dashboard!$D$23)*(1+Precificação!$W$589))*(1+AO$28))+$AA$26)*(1+Dashboard!$D$35),0)</f>
        <v>0</v>
      </c>
      <c r="AQ309" s="109">
        <f t="shared" si="235"/>
        <v>0</v>
      </c>
      <c r="AR309" s="109">
        <f t="shared" si="236"/>
        <v>0</v>
      </c>
      <c r="AS309" s="109">
        <f t="shared" si="237"/>
        <v>0</v>
      </c>
      <c r="AT309" s="109">
        <f t="shared" si="238"/>
        <v>0</v>
      </c>
      <c r="AW309" s="144">
        <f>VLOOKUP(B309,'Cronog. e Histog.'!$B$213:$BT$688,71,0)</f>
        <v>0</v>
      </c>
      <c r="AX309" s="144">
        <f>VLOOKUP(B309,'Cronog. e Histog.'!$B$213:$BU$688,72,0)</f>
        <v>0</v>
      </c>
      <c r="AY309" s="144">
        <f>$AW309*$AX309*Dashboard!$D$15</f>
        <v>0</v>
      </c>
      <c r="AZ309" s="144">
        <f>VLOOKUP(B309,Precificação!$B$96:$BM$533,54,0)</f>
        <v>0</v>
      </c>
      <c r="BA309" s="144">
        <f>VLOOKUP(B309,Precificação!$B$96:$BR$533,58,0)</f>
        <v>0</v>
      </c>
      <c r="BB309" s="144">
        <f>VLOOKUP(B309,Precificação!$B$96:$BW$533,62,0)</f>
        <v>0</v>
      </c>
      <c r="BC309" s="144">
        <f t="shared" si="239"/>
        <v>0</v>
      </c>
      <c r="BD309" s="109">
        <f>IFERROR(VLOOKUP(B309,Precificação!$B$96:$S$533,13,0),0)</f>
        <v>0</v>
      </c>
      <c r="BE309" s="109">
        <f>IFERROR(VLOOKUP(B309,Precificação!$B$96:$U$533,15,0)/(Precificação!$U$4+Precificação!$U$91),0)*Dashboard!$T$3</f>
        <v>0</v>
      </c>
    </row>
    <row r="310" spans="2:57" ht="12" customHeight="1" outlineLevel="1">
      <c r="B310" s="137" t="str">
        <f>Precificação!B297</f>
        <v>ENG/ARQ SR. - Equipe_01</v>
      </c>
      <c r="D310" s="512"/>
      <c r="E310" s="143" t="str">
        <f>IF('Cronog. e Histog.'!G432&gt;0,'Cronog. e Histog.'!G432,"")</f>
        <v>ENG/ARQ SR.</v>
      </c>
      <c r="G310" s="179">
        <f t="shared" si="226"/>
        <v>0</v>
      </c>
      <c r="H310" s="110">
        <f>IFERROR(INDEX('Base Salarial'!$D$5:$F$25,MATCH(E310,'Base Salarial'!$G$5:$G$25,0),MATCH(I310,'Base Salarial'!$D$4:$F$4,0)),"")</f>
        <v>16000</v>
      </c>
      <c r="I310" s="78" t="str">
        <f>IFERROR(INDEX(Tarefas!$BQ$29:$FK$29,MATCH(E310,Tarefas!$BQ$30:$FK$30,0)),"")</f>
        <v>PJ</v>
      </c>
      <c r="J310" s="81">
        <f>IF(I310="horista",H310*Dashboard!$D$15,IF(OR(I310="Mensalista",I310="PJ"),H310,))</f>
        <v>16000</v>
      </c>
      <c r="K310" s="81">
        <f>IF(I310="PJ",J310,ROUND(J310*(1+Dashboard!$D$22),2))</f>
        <v>16000</v>
      </c>
      <c r="L310" s="77"/>
      <c r="M310" s="180"/>
      <c r="P310" s="109">
        <f>IF($BD310&gt;0,(((($BD310/Dashboard!$D$15)*(1+Precificação!$W$589)))+$P$26)*(1+Dashboard!$D$35),0)</f>
        <v>0</v>
      </c>
      <c r="Q310" s="109">
        <f>IF($BD310&gt;0,(((($BD310/Dashboard!$D$23)+(1+Precificação!$W$589))*(1+Q$28))+$P$26)*(1+Dashboard!$D$35),0)</f>
        <v>0</v>
      </c>
      <c r="R310" s="109">
        <f>IF($BD310&gt;0,(((($BD310/Dashboard!$D$23)+(1+Precificação!$W$589))*(1+R$28))+$P$26)*(1+Dashboard!$D$35),0)</f>
        <v>0</v>
      </c>
      <c r="S310" s="109">
        <f>IF($BD310&gt;0,(((($BD310/Dashboard!$D$23)+(1+Precificação!$W$589))*(1+S$28))+$P$26)*(1+Dashboard!$D$35),0)</f>
        <v>0</v>
      </c>
      <c r="U310" s="109">
        <f t="shared" si="227"/>
        <v>0</v>
      </c>
      <c r="V310" s="109">
        <f t="shared" si="228"/>
        <v>0</v>
      </c>
      <c r="W310" s="109">
        <f t="shared" si="229"/>
        <v>0</v>
      </c>
      <c r="X310" s="109">
        <f t="shared" si="230"/>
        <v>0</v>
      </c>
      <c r="AA310" s="109">
        <f>IF($BD310&gt;0,(((($BD310/Dashboard!$D$23)*(1+Precificação!$W$589)))+$AA$26)*(1+Dashboard!$D$35),0)</f>
        <v>0</v>
      </c>
      <c r="AB310" s="109">
        <f>IF($BD310&gt;0,(((($BD310/Dashboard!$D$23)*(1+Precificação!$W$589))*(1+AB$28))+$AA$26)*(1+Dashboard!$D$35),0)</f>
        <v>0</v>
      </c>
      <c r="AC310" s="109">
        <f>IF($BD310&gt;0,(((($BD310/Dashboard!$D$23)*(1+Precificação!$W$589))*(1+AC$28))+$AA$26)*(1+Dashboard!$D$35),0)</f>
        <v>0</v>
      </c>
      <c r="AD310" s="109">
        <f>IF($BD310&gt;0,(((($BD310/Dashboard!$D$23)*(1+Precificação!$W$589))*(1+AD$28))+$AA$26)*(1+Dashboard!$D$35),0)</f>
        <v>0</v>
      </c>
      <c r="AF310" s="109">
        <f t="shared" si="231"/>
        <v>0</v>
      </c>
      <c r="AG310" s="109">
        <f t="shared" si="232"/>
        <v>0</v>
      </c>
      <c r="AH310" s="109">
        <f t="shared" si="233"/>
        <v>0</v>
      </c>
      <c r="AI310" s="109">
        <f t="shared" si="234"/>
        <v>0</v>
      </c>
      <c r="AL310" s="109">
        <f>IF($BD310&gt;0,(((($BD310/Dashboard!$D$23)*(1+Precificação!$W$589)))+$AL$26)*(1+Dashboard!$D$35),0)</f>
        <v>0</v>
      </c>
      <c r="AM310" s="109">
        <f>IF($BD310&gt;0,(((($BD310/Dashboard!$D$23)*(1+Precificação!$W$589))*(1+AM$28))+$AA$26)*(1+Dashboard!$D$35),0)</f>
        <v>0</v>
      </c>
      <c r="AN310" s="109">
        <f>IF($BD310&gt;0,(((($BD310/Dashboard!$D$23)*(1+Precificação!$W$589))*(1+AN$28))+$AA$26)*(1+Dashboard!$D$35),0)</f>
        <v>0</v>
      </c>
      <c r="AO310" s="109">
        <f>IF($BD310&gt;0,(((($BD310/Dashboard!$D$23)*(1+Precificação!$W$589))*(1+AO$28))+$AA$26)*(1+Dashboard!$D$35),0)</f>
        <v>0</v>
      </c>
      <c r="AQ310" s="109">
        <f t="shared" si="235"/>
        <v>0</v>
      </c>
      <c r="AR310" s="109">
        <f t="shared" si="236"/>
        <v>0</v>
      </c>
      <c r="AS310" s="109">
        <f t="shared" si="237"/>
        <v>0</v>
      </c>
      <c r="AT310" s="109">
        <f t="shared" si="238"/>
        <v>0</v>
      </c>
      <c r="AW310" s="144">
        <f>VLOOKUP(B310,'Cronog. e Histog.'!$B$213:$BT$688,71,0)</f>
        <v>9.9999999999999985E-3</v>
      </c>
      <c r="AX310" s="144">
        <f>VLOOKUP(B310,'Cronog. e Histog.'!$B$213:$BU$688,72,0)</f>
        <v>10</v>
      </c>
      <c r="AY310" s="144">
        <f>$AW310*$AX310*Dashboard!$D$15</f>
        <v>19.36</v>
      </c>
      <c r="AZ310" s="144">
        <f>VLOOKUP(B310,Precificação!$B$96:$BM$533,54,0)</f>
        <v>0</v>
      </c>
      <c r="BA310" s="144">
        <f>VLOOKUP(B310,Precificação!$B$96:$BR$533,58,0)</f>
        <v>0</v>
      </c>
      <c r="BB310" s="144">
        <f>VLOOKUP(B310,Precificação!$B$96:$BW$533,62,0)</f>
        <v>0</v>
      </c>
      <c r="BC310" s="144">
        <f t="shared" si="239"/>
        <v>19.36</v>
      </c>
      <c r="BD310" s="109">
        <f>IFERROR(VLOOKUP(B310,Precificação!$B$96:$S$533,13,0),0)</f>
        <v>0</v>
      </c>
      <c r="BE310" s="109">
        <f>IFERROR(VLOOKUP(B310,Precificação!$B$96:$U$533,15,0)/(Precificação!$U$4+Precificação!$U$91),0)*Dashboard!$T$3</f>
        <v>0</v>
      </c>
    </row>
    <row r="311" spans="2:57" ht="12" customHeight="1" outlineLevel="1">
      <c r="B311" s="137" t="str">
        <f>Precificação!B298</f>
        <v>ENG/ARQ PL. - Equipe_01</v>
      </c>
      <c r="D311" s="512"/>
      <c r="E311" s="143" t="str">
        <f>IF('Cronog. e Histog.'!G433&gt;0,'Cronog. e Histog.'!G433,"")</f>
        <v>ENG/ARQ PL.</v>
      </c>
      <c r="G311" s="179">
        <f t="shared" si="226"/>
        <v>0</v>
      </c>
      <c r="H311" s="110">
        <f>IFERROR(INDEX('Base Salarial'!$D$5:$F$25,MATCH(E311,'Base Salarial'!$G$5:$G$25,0),MATCH(I311,'Base Salarial'!$D$4:$F$4,0)),"")</f>
        <v>14000</v>
      </c>
      <c r="I311" s="78" t="str">
        <f>IFERROR(INDEX(Tarefas!$BQ$29:$FK$29,MATCH(E311,Tarefas!$BQ$30:$FK$30,0)),"")</f>
        <v>PJ</v>
      </c>
      <c r="J311" s="81">
        <f>IF(I311="horista",H311*Dashboard!$D$15,IF(OR(I311="Mensalista",I311="PJ"),H311,))</f>
        <v>14000</v>
      </c>
      <c r="K311" s="81">
        <f>IF(I311="PJ",J311,ROUND(J311*(1+Dashboard!$D$22),2))</f>
        <v>14000</v>
      </c>
      <c r="L311" s="77"/>
      <c r="M311" s="180"/>
      <c r="P311" s="109">
        <f>IF($BD311&gt;0,(((($BD311/Dashboard!$D$15)*(1+Precificação!$W$589)))+$P$26)*(1+Dashboard!$D$35),0)</f>
        <v>0</v>
      </c>
      <c r="Q311" s="109">
        <f>IF($BD311&gt;0,(((($BD311/Dashboard!$D$23)+(1+Precificação!$W$589))*(1+Q$28))+$P$26)*(1+Dashboard!$D$35),0)</f>
        <v>0</v>
      </c>
      <c r="R311" s="109">
        <f>IF($BD311&gt;0,(((($BD311/Dashboard!$D$23)+(1+Precificação!$W$589))*(1+R$28))+$P$26)*(1+Dashboard!$D$35),0)</f>
        <v>0</v>
      </c>
      <c r="S311" s="109">
        <f>IF($BD311&gt;0,(((($BD311/Dashboard!$D$23)+(1+Precificação!$W$589))*(1+S$28))+$P$26)*(1+Dashboard!$D$35),0)</f>
        <v>0</v>
      </c>
      <c r="U311" s="109">
        <f t="shared" si="227"/>
        <v>0</v>
      </c>
      <c r="V311" s="109">
        <f t="shared" si="228"/>
        <v>0</v>
      </c>
      <c r="W311" s="109">
        <f t="shared" si="229"/>
        <v>0</v>
      </c>
      <c r="X311" s="109">
        <f t="shared" si="230"/>
        <v>0</v>
      </c>
      <c r="AA311" s="109">
        <f>IF($BD311&gt;0,(((($BD311/Dashboard!$D$23)*(1+Precificação!$W$589)))+$AA$26)*(1+Dashboard!$D$35),0)</f>
        <v>0</v>
      </c>
      <c r="AB311" s="109">
        <f>IF($BD311&gt;0,(((($BD311/Dashboard!$D$23)*(1+Precificação!$W$589))*(1+AB$28))+$AA$26)*(1+Dashboard!$D$35),0)</f>
        <v>0</v>
      </c>
      <c r="AC311" s="109">
        <f>IF($BD311&gt;0,(((($BD311/Dashboard!$D$23)*(1+Precificação!$W$589))*(1+AC$28))+$AA$26)*(1+Dashboard!$D$35),0)</f>
        <v>0</v>
      </c>
      <c r="AD311" s="109">
        <f>IF($BD311&gt;0,(((($BD311/Dashboard!$D$23)*(1+Precificação!$W$589))*(1+AD$28))+$AA$26)*(1+Dashboard!$D$35),0)</f>
        <v>0</v>
      </c>
      <c r="AF311" s="109">
        <f t="shared" si="231"/>
        <v>0</v>
      </c>
      <c r="AG311" s="109">
        <f t="shared" si="232"/>
        <v>0</v>
      </c>
      <c r="AH311" s="109">
        <f t="shared" si="233"/>
        <v>0</v>
      </c>
      <c r="AI311" s="109">
        <f t="shared" si="234"/>
        <v>0</v>
      </c>
      <c r="AL311" s="109">
        <f>IF($BD311&gt;0,(((($BD311/Dashboard!$D$23)*(1+Precificação!$W$589)))+$AL$26)*(1+Dashboard!$D$35),0)</f>
        <v>0</v>
      </c>
      <c r="AM311" s="109">
        <f>IF($BD311&gt;0,(((($BD311/Dashboard!$D$23)*(1+Precificação!$W$589))*(1+AM$28))+$AA$26)*(1+Dashboard!$D$35),0)</f>
        <v>0</v>
      </c>
      <c r="AN311" s="109">
        <f>IF($BD311&gt;0,(((($BD311/Dashboard!$D$23)*(1+Precificação!$W$589))*(1+AN$28))+$AA$26)*(1+Dashboard!$D$35),0)</f>
        <v>0</v>
      </c>
      <c r="AO311" s="109">
        <f>IF($BD311&gt;0,(((($BD311/Dashboard!$D$23)*(1+Precificação!$W$589))*(1+AO$28))+$AA$26)*(1+Dashboard!$D$35),0)</f>
        <v>0</v>
      </c>
      <c r="AQ311" s="109">
        <f t="shared" si="235"/>
        <v>0</v>
      </c>
      <c r="AR311" s="109">
        <f t="shared" si="236"/>
        <v>0</v>
      </c>
      <c r="AS311" s="109">
        <f t="shared" si="237"/>
        <v>0</v>
      </c>
      <c r="AT311" s="109">
        <f t="shared" si="238"/>
        <v>0</v>
      </c>
      <c r="AW311" s="144">
        <f>VLOOKUP(B311,'Cronog. e Histog.'!$B$213:$BT$688,71,0)</f>
        <v>0</v>
      </c>
      <c r="AX311" s="144">
        <f>VLOOKUP(B311,'Cronog. e Histog.'!$B$213:$BU$688,72,0)</f>
        <v>0</v>
      </c>
      <c r="AY311" s="144">
        <f>$AW311*$AX311*Dashboard!$D$15</f>
        <v>0</v>
      </c>
      <c r="AZ311" s="144">
        <f>VLOOKUP(B311,Precificação!$B$96:$BM$533,54,0)</f>
        <v>0</v>
      </c>
      <c r="BA311" s="144">
        <f>VLOOKUP(B311,Precificação!$B$96:$BR$533,58,0)</f>
        <v>0</v>
      </c>
      <c r="BB311" s="144">
        <f>VLOOKUP(B311,Precificação!$B$96:$BW$533,62,0)</f>
        <v>0</v>
      </c>
      <c r="BC311" s="144">
        <f t="shared" si="239"/>
        <v>0</v>
      </c>
      <c r="BD311" s="109">
        <f>IFERROR(VLOOKUP(B311,Precificação!$B$96:$S$533,13,0),0)</f>
        <v>0</v>
      </c>
      <c r="BE311" s="109">
        <f>IFERROR(VLOOKUP(B311,Precificação!$B$96:$U$533,15,0)/(Precificação!$U$4+Precificação!$U$91),0)*Dashboard!$T$3</f>
        <v>0</v>
      </c>
    </row>
    <row r="312" spans="2:57" ht="12" customHeight="1" outlineLevel="1">
      <c r="B312" s="137" t="str">
        <f>Precificação!B299</f>
        <v>ENG/ARQ JR. - Equipe_01</v>
      </c>
      <c r="D312" s="512"/>
      <c r="E312" s="143" t="str">
        <f>IF('Cronog. e Histog.'!G434&gt;0,'Cronog. e Histog.'!G434,"")</f>
        <v>ENG/ARQ JR.</v>
      </c>
      <c r="G312" s="179">
        <f t="shared" si="226"/>
        <v>0</v>
      </c>
      <c r="H312" s="110">
        <f>IFERROR(INDEX('Base Salarial'!$D$5:$F$25,MATCH(E312,'Base Salarial'!$G$5:$G$25,0),MATCH(I312,'Base Salarial'!$D$4:$F$4,0)),"")</f>
        <v>14000</v>
      </c>
      <c r="I312" s="78" t="str">
        <f>IFERROR(INDEX(Tarefas!$BQ$29:$FK$29,MATCH(E312,Tarefas!$BQ$30:$FK$30,0)),"")</f>
        <v>PJ</v>
      </c>
      <c r="J312" s="81">
        <f>IF(I312="horista",H312*Dashboard!$D$15,IF(OR(I312="Mensalista",I312="PJ"),H312,))</f>
        <v>14000</v>
      </c>
      <c r="K312" s="81">
        <f>IF(I312="PJ",J312,ROUND(J312*(1+Dashboard!$D$22),2))</f>
        <v>14000</v>
      </c>
      <c r="L312" s="77"/>
      <c r="M312" s="180"/>
      <c r="P312" s="109">
        <f>IF($BD312&gt;0,(((($BD312/Dashboard!$D$15)*(1+Precificação!$W$589)))+$P$26)*(1+Dashboard!$D$35),0)</f>
        <v>0</v>
      </c>
      <c r="Q312" s="109">
        <f>IF($BD312&gt;0,(((($BD312/Dashboard!$D$23)+(1+Precificação!$W$589))*(1+Q$28))+$P$26)*(1+Dashboard!$D$35),0)</f>
        <v>0</v>
      </c>
      <c r="R312" s="109">
        <f>IF($BD312&gt;0,(((($BD312/Dashboard!$D$23)+(1+Precificação!$W$589))*(1+R$28))+$P$26)*(1+Dashboard!$D$35),0)</f>
        <v>0</v>
      </c>
      <c r="S312" s="109">
        <f>IF($BD312&gt;0,(((($BD312/Dashboard!$D$23)+(1+Precificação!$W$589))*(1+S$28))+$P$26)*(1+Dashboard!$D$35),0)</f>
        <v>0</v>
      </c>
      <c r="U312" s="109">
        <f t="shared" si="227"/>
        <v>0</v>
      </c>
      <c r="V312" s="109">
        <f t="shared" si="228"/>
        <v>0</v>
      </c>
      <c r="W312" s="109">
        <f t="shared" si="229"/>
        <v>0</v>
      </c>
      <c r="X312" s="109">
        <f t="shared" si="230"/>
        <v>0</v>
      </c>
      <c r="AA312" s="109">
        <f>IF($BD312&gt;0,(((($BD312/Dashboard!$D$23)*(1+Precificação!$W$589)))+$AA$26)*(1+Dashboard!$D$35),0)</f>
        <v>0</v>
      </c>
      <c r="AB312" s="109">
        <f>IF($BD312&gt;0,(((($BD312/Dashboard!$D$23)*(1+Precificação!$W$589))*(1+AB$28))+$AA$26)*(1+Dashboard!$D$35),0)</f>
        <v>0</v>
      </c>
      <c r="AC312" s="109">
        <f>IF($BD312&gt;0,(((($BD312/Dashboard!$D$23)*(1+Precificação!$W$589))*(1+AC$28))+$AA$26)*(1+Dashboard!$D$35),0)</f>
        <v>0</v>
      </c>
      <c r="AD312" s="109">
        <f>IF($BD312&gt;0,(((($BD312/Dashboard!$D$23)*(1+Precificação!$W$589))*(1+AD$28))+$AA$26)*(1+Dashboard!$D$35),0)</f>
        <v>0</v>
      </c>
      <c r="AF312" s="109">
        <f t="shared" si="231"/>
        <v>0</v>
      </c>
      <c r="AG312" s="109">
        <f t="shared" si="232"/>
        <v>0</v>
      </c>
      <c r="AH312" s="109">
        <f t="shared" si="233"/>
        <v>0</v>
      </c>
      <c r="AI312" s="109">
        <f t="shared" si="234"/>
        <v>0</v>
      </c>
      <c r="AL312" s="109">
        <f>IF($BD312&gt;0,(((($BD312/Dashboard!$D$23)*(1+Precificação!$W$589)))+$AL$26)*(1+Dashboard!$D$35),0)</f>
        <v>0</v>
      </c>
      <c r="AM312" s="109">
        <f>IF($BD312&gt;0,(((($BD312/Dashboard!$D$23)*(1+Precificação!$W$589))*(1+AM$28))+$AA$26)*(1+Dashboard!$D$35),0)</f>
        <v>0</v>
      </c>
      <c r="AN312" s="109">
        <f>IF($BD312&gt;0,(((($BD312/Dashboard!$D$23)*(1+Precificação!$W$589))*(1+AN$28))+$AA$26)*(1+Dashboard!$D$35),0)</f>
        <v>0</v>
      </c>
      <c r="AO312" s="109">
        <f>IF($BD312&gt;0,(((($BD312/Dashboard!$D$23)*(1+Precificação!$W$589))*(1+AO$28))+$AA$26)*(1+Dashboard!$D$35),0)</f>
        <v>0</v>
      </c>
      <c r="AQ312" s="109">
        <f t="shared" si="235"/>
        <v>0</v>
      </c>
      <c r="AR312" s="109">
        <f t="shared" si="236"/>
        <v>0</v>
      </c>
      <c r="AS312" s="109">
        <f t="shared" si="237"/>
        <v>0</v>
      </c>
      <c r="AT312" s="109">
        <f t="shared" si="238"/>
        <v>0</v>
      </c>
      <c r="AW312" s="144">
        <f>VLOOKUP(B312,'Cronog. e Histog.'!$B$213:$BT$688,71,0)</f>
        <v>0</v>
      </c>
      <c r="AX312" s="144">
        <f>VLOOKUP(B312,'Cronog. e Histog.'!$B$213:$BU$688,72,0)</f>
        <v>0</v>
      </c>
      <c r="AY312" s="144">
        <f>$AW312*$AX312*Dashboard!$D$15</f>
        <v>0</v>
      </c>
      <c r="AZ312" s="144">
        <f>VLOOKUP(B312,Precificação!$B$96:$BM$533,54,0)</f>
        <v>0</v>
      </c>
      <c r="BA312" s="144">
        <f>VLOOKUP(B312,Precificação!$B$96:$BR$533,58,0)</f>
        <v>0</v>
      </c>
      <c r="BB312" s="144">
        <f>VLOOKUP(B312,Precificação!$B$96:$BW$533,62,0)</f>
        <v>0</v>
      </c>
      <c r="BC312" s="144">
        <f t="shared" si="239"/>
        <v>0</v>
      </c>
      <c r="BD312" s="109">
        <f>IFERROR(VLOOKUP(B312,Precificação!$B$96:$S$533,13,0),0)</f>
        <v>0</v>
      </c>
      <c r="BE312" s="109">
        <f>IFERROR(VLOOKUP(B312,Precificação!$B$96:$U$533,15,0)/(Precificação!$U$4+Precificação!$U$91),0)*Dashboard!$T$3</f>
        <v>0</v>
      </c>
    </row>
    <row r="313" spans="2:57" ht="12" customHeight="1" outlineLevel="1">
      <c r="B313" s="137" t="str">
        <f>Precificação!B300</f>
        <v>AN SR. ENG/ARQ - Equipe_01</v>
      </c>
      <c r="D313" s="512"/>
      <c r="E313" s="143" t="str">
        <f>IF('Cronog. e Histog.'!G435&gt;0,'Cronog. e Histog.'!G435,"")</f>
        <v>AN SR. ENG/ARQ</v>
      </c>
      <c r="G313" s="179">
        <f t="shared" si="226"/>
        <v>0</v>
      </c>
      <c r="H313" s="110">
        <f>IFERROR(INDEX('Base Salarial'!$D$5:$F$25,MATCH(E313,'Base Salarial'!$G$5:$G$25,0),MATCH(I313,'Base Salarial'!$D$4:$F$4,0)),"")</f>
        <v>7500</v>
      </c>
      <c r="I313" s="78" t="str">
        <f>IFERROR(INDEX(Tarefas!$BQ$29:$FK$29,MATCH(E313,Tarefas!$BQ$30:$FK$30,0)),"")</f>
        <v>Mensalista</v>
      </c>
      <c r="J313" s="81">
        <f>IF(I313="horista",H313*Dashboard!$D$15,IF(OR(I313="Mensalista",I313="PJ"),H313,))</f>
        <v>7500</v>
      </c>
      <c r="K313" s="81">
        <f>IF(I313="PJ",J313,ROUND(J313*(1+Dashboard!$D$22),2))</f>
        <v>7950</v>
      </c>
      <c r="L313" s="77"/>
      <c r="M313" s="180"/>
      <c r="P313" s="109">
        <f>IF($BD313&gt;0,(((($BD313/Dashboard!$D$15)*(1+Precificação!$W$589)))+$P$26)*(1+Dashboard!$D$35),0)</f>
        <v>0</v>
      </c>
      <c r="Q313" s="109">
        <f>IF($BD313&gt;0,(((($BD313/Dashboard!$D$23)+(1+Precificação!$W$589))*(1+Q$28))+$P$26)*(1+Dashboard!$D$35),0)</f>
        <v>0</v>
      </c>
      <c r="R313" s="109">
        <f>IF($BD313&gt;0,(((($BD313/Dashboard!$D$23)+(1+Precificação!$W$589))*(1+R$28))+$P$26)*(1+Dashboard!$D$35),0)</f>
        <v>0</v>
      </c>
      <c r="S313" s="109">
        <f>IF($BD313&gt;0,(((($BD313/Dashboard!$D$23)+(1+Precificação!$W$589))*(1+S$28))+$P$26)*(1+Dashboard!$D$35),0)</f>
        <v>0</v>
      </c>
      <c r="U313" s="109">
        <f t="shared" si="227"/>
        <v>0</v>
      </c>
      <c r="V313" s="109">
        <f t="shared" si="228"/>
        <v>0</v>
      </c>
      <c r="W313" s="109">
        <f t="shared" si="229"/>
        <v>0</v>
      </c>
      <c r="X313" s="109">
        <f t="shared" si="230"/>
        <v>0</v>
      </c>
      <c r="AA313" s="109">
        <f>IF($BD313&gt;0,(((($BD313/Dashboard!$D$23)*(1+Precificação!$W$589)))+$AA$26)*(1+Dashboard!$D$35),0)</f>
        <v>0</v>
      </c>
      <c r="AB313" s="109">
        <f>IF($BD313&gt;0,(((($BD313/Dashboard!$D$23)*(1+Precificação!$W$589))*(1+AB$28))+$AA$26)*(1+Dashboard!$D$35),0)</f>
        <v>0</v>
      </c>
      <c r="AC313" s="109">
        <f>IF($BD313&gt;0,(((($BD313/Dashboard!$D$23)*(1+Precificação!$W$589))*(1+AC$28))+$AA$26)*(1+Dashboard!$D$35),0)</f>
        <v>0</v>
      </c>
      <c r="AD313" s="109">
        <f>IF($BD313&gt;0,(((($BD313/Dashboard!$D$23)*(1+Precificação!$W$589))*(1+AD$28))+$AA$26)*(1+Dashboard!$D$35),0)</f>
        <v>0</v>
      </c>
      <c r="AF313" s="109">
        <f t="shared" si="231"/>
        <v>0</v>
      </c>
      <c r="AG313" s="109">
        <f t="shared" si="232"/>
        <v>0</v>
      </c>
      <c r="AH313" s="109">
        <f t="shared" si="233"/>
        <v>0</v>
      </c>
      <c r="AI313" s="109">
        <f t="shared" si="234"/>
        <v>0</v>
      </c>
      <c r="AL313" s="109">
        <f>IF($BD313&gt;0,(((($BD313/Dashboard!$D$23)*(1+Precificação!$W$589)))+$AL$26)*(1+Dashboard!$D$35),0)</f>
        <v>0</v>
      </c>
      <c r="AM313" s="109">
        <f>IF($BD313&gt;0,(((($BD313/Dashboard!$D$23)*(1+Precificação!$W$589))*(1+AM$28))+$AA$26)*(1+Dashboard!$D$35),0)</f>
        <v>0</v>
      </c>
      <c r="AN313" s="109">
        <f>IF($BD313&gt;0,(((($BD313/Dashboard!$D$23)*(1+Precificação!$W$589))*(1+AN$28))+$AA$26)*(1+Dashboard!$D$35),0)</f>
        <v>0</v>
      </c>
      <c r="AO313" s="109">
        <f>IF($BD313&gt;0,(((($BD313/Dashboard!$D$23)*(1+Precificação!$W$589))*(1+AO$28))+$AA$26)*(1+Dashboard!$D$35),0)</f>
        <v>0</v>
      </c>
      <c r="AQ313" s="109">
        <f t="shared" si="235"/>
        <v>0</v>
      </c>
      <c r="AR313" s="109">
        <f t="shared" si="236"/>
        <v>0</v>
      </c>
      <c r="AS313" s="109">
        <f t="shared" si="237"/>
        <v>0</v>
      </c>
      <c r="AT313" s="109">
        <f t="shared" si="238"/>
        <v>0</v>
      </c>
      <c r="AW313" s="144">
        <f>VLOOKUP(B313,'Cronog. e Histog.'!$B$213:$BT$688,71,0)</f>
        <v>0</v>
      </c>
      <c r="AX313" s="144">
        <f>VLOOKUP(B313,'Cronog. e Histog.'!$B$213:$BU$688,72,0)</f>
        <v>0</v>
      </c>
      <c r="AY313" s="144">
        <f>$AW313*$AX313*Dashboard!$D$15</f>
        <v>0</v>
      </c>
      <c r="AZ313" s="144">
        <f>VLOOKUP(B313,Precificação!$B$96:$BM$533,54,0)</f>
        <v>0</v>
      </c>
      <c r="BA313" s="144">
        <f>VLOOKUP(B313,Precificação!$B$96:$BR$533,58,0)</f>
        <v>0</v>
      </c>
      <c r="BB313" s="144">
        <f>VLOOKUP(B313,Precificação!$B$96:$BW$533,62,0)</f>
        <v>0</v>
      </c>
      <c r="BC313" s="144">
        <f t="shared" si="239"/>
        <v>0</v>
      </c>
      <c r="BD313" s="109">
        <f>IFERROR(VLOOKUP(B313,Precificação!$B$96:$S$533,13,0),0)</f>
        <v>0</v>
      </c>
      <c r="BE313" s="109">
        <f>IFERROR(VLOOKUP(B313,Precificação!$B$96:$U$533,15,0)/(Precificação!$U$4+Precificação!$U$91),0)*Dashboard!$T$3</f>
        <v>0</v>
      </c>
    </row>
    <row r="314" spans="2:57" ht="12" customHeight="1" outlineLevel="1">
      <c r="B314" s="137" t="str">
        <f>Precificação!B301</f>
        <v>AN PL. ENG/ARQ - Equipe_01</v>
      </c>
      <c r="D314" s="512"/>
      <c r="E314" s="143" t="str">
        <f>IF('Cronog. e Histog.'!G436&gt;0,'Cronog. e Histog.'!G436,"")</f>
        <v>AN PL. ENG/ARQ</v>
      </c>
      <c r="G314" s="179">
        <f t="shared" si="226"/>
        <v>0</v>
      </c>
      <c r="H314" s="110">
        <f>IFERROR(INDEX('Base Salarial'!$D$5:$F$25,MATCH(E314,'Base Salarial'!$G$5:$G$25,0),MATCH(I314,'Base Salarial'!$D$4:$F$4,0)),"")</f>
        <v>6000</v>
      </c>
      <c r="I314" s="78" t="str">
        <f>IFERROR(INDEX(Tarefas!$BQ$29:$FK$29,MATCH(E314,Tarefas!$BQ$30:$FK$30,0)),"")</f>
        <v>Mensalista</v>
      </c>
      <c r="J314" s="81">
        <f>IF(I314="horista",H314*Dashboard!$D$15,IF(OR(I314="Mensalista",I314="PJ"),H314,))</f>
        <v>6000</v>
      </c>
      <c r="K314" s="81">
        <f>IF(I314="PJ",J314,ROUND(J314*(1+Dashboard!$D$22),2))</f>
        <v>6360</v>
      </c>
      <c r="L314" s="77"/>
      <c r="M314" s="180"/>
      <c r="P314" s="109">
        <f>IF($BD314&gt;0,(((($BD314/Dashboard!$D$15)*(1+Precificação!$W$589)))+$P$26)*(1+Dashboard!$D$35),0)</f>
        <v>0</v>
      </c>
      <c r="Q314" s="109">
        <f>IF($BD314&gt;0,(((($BD314/Dashboard!$D$23)+(1+Precificação!$W$589))*(1+Q$28))+$P$26)*(1+Dashboard!$D$35),0)</f>
        <v>0</v>
      </c>
      <c r="R314" s="109">
        <f>IF($BD314&gt;0,(((($BD314/Dashboard!$D$23)+(1+Precificação!$W$589))*(1+R$28))+$P$26)*(1+Dashboard!$D$35),0)</f>
        <v>0</v>
      </c>
      <c r="S314" s="109">
        <f>IF($BD314&gt;0,(((($BD314/Dashboard!$D$23)+(1+Precificação!$W$589))*(1+S$28))+$P$26)*(1+Dashboard!$D$35),0)</f>
        <v>0</v>
      </c>
      <c r="U314" s="109">
        <f t="shared" si="227"/>
        <v>0</v>
      </c>
      <c r="V314" s="109">
        <f t="shared" si="228"/>
        <v>0</v>
      </c>
      <c r="W314" s="109">
        <f t="shared" si="229"/>
        <v>0</v>
      </c>
      <c r="X314" s="109">
        <f t="shared" si="230"/>
        <v>0</v>
      </c>
      <c r="AA314" s="109">
        <f>IF($BD314&gt;0,(((($BD314/Dashboard!$D$23)*(1+Precificação!$W$589)))+$AA$26)*(1+Dashboard!$D$35),0)</f>
        <v>0</v>
      </c>
      <c r="AB314" s="109">
        <f>IF($BD314&gt;0,(((($BD314/Dashboard!$D$23)*(1+Precificação!$W$589))*(1+AB$28))+$AA$26)*(1+Dashboard!$D$35),0)</f>
        <v>0</v>
      </c>
      <c r="AC314" s="109">
        <f>IF($BD314&gt;0,(((($BD314/Dashboard!$D$23)*(1+Precificação!$W$589))*(1+AC$28))+$AA$26)*(1+Dashboard!$D$35),0)</f>
        <v>0</v>
      </c>
      <c r="AD314" s="109">
        <f>IF($BD314&gt;0,(((($BD314/Dashboard!$D$23)*(1+Precificação!$W$589))*(1+AD$28))+$AA$26)*(1+Dashboard!$D$35),0)</f>
        <v>0</v>
      </c>
      <c r="AF314" s="109">
        <f t="shared" si="231"/>
        <v>0</v>
      </c>
      <c r="AG314" s="109">
        <f t="shared" si="232"/>
        <v>0</v>
      </c>
      <c r="AH314" s="109">
        <f t="shared" si="233"/>
        <v>0</v>
      </c>
      <c r="AI314" s="109">
        <f t="shared" si="234"/>
        <v>0</v>
      </c>
      <c r="AL314" s="109">
        <f>IF($BD314&gt;0,(((($BD314/Dashboard!$D$23)*(1+Precificação!$W$589)))+$AL$26)*(1+Dashboard!$D$35),0)</f>
        <v>0</v>
      </c>
      <c r="AM314" s="109">
        <f>IF($BD314&gt;0,(((($BD314/Dashboard!$D$23)*(1+Precificação!$W$589))*(1+AM$28))+$AA$26)*(1+Dashboard!$D$35),0)</f>
        <v>0</v>
      </c>
      <c r="AN314" s="109">
        <f>IF($BD314&gt;0,(((($BD314/Dashboard!$D$23)*(1+Precificação!$W$589))*(1+AN$28))+$AA$26)*(1+Dashboard!$D$35),0)</f>
        <v>0</v>
      </c>
      <c r="AO314" s="109">
        <f>IF($BD314&gt;0,(((($BD314/Dashboard!$D$23)*(1+Precificação!$W$589))*(1+AO$28))+$AA$26)*(1+Dashboard!$D$35),0)</f>
        <v>0</v>
      </c>
      <c r="AQ314" s="109">
        <f t="shared" si="235"/>
        <v>0</v>
      </c>
      <c r="AR314" s="109">
        <f t="shared" si="236"/>
        <v>0</v>
      </c>
      <c r="AS314" s="109">
        <f t="shared" si="237"/>
        <v>0</v>
      </c>
      <c r="AT314" s="109">
        <f t="shared" si="238"/>
        <v>0</v>
      </c>
      <c r="AW314" s="144">
        <f>VLOOKUP(B314,'Cronog. e Histog.'!$B$213:$BT$688,71,0)</f>
        <v>0</v>
      </c>
      <c r="AX314" s="144">
        <f>VLOOKUP(B314,'Cronog. e Histog.'!$B$213:$BU$688,72,0)</f>
        <v>0</v>
      </c>
      <c r="AY314" s="144">
        <f>$AW314*$AX314*Dashboard!$D$15</f>
        <v>0</v>
      </c>
      <c r="AZ314" s="144">
        <f>VLOOKUP(B314,Precificação!$B$96:$BM$533,54,0)</f>
        <v>0</v>
      </c>
      <c r="BA314" s="144">
        <f>VLOOKUP(B314,Precificação!$B$96:$BR$533,58,0)</f>
        <v>0</v>
      </c>
      <c r="BB314" s="144">
        <f>VLOOKUP(B314,Precificação!$B$96:$BW$533,62,0)</f>
        <v>0</v>
      </c>
      <c r="BC314" s="144">
        <f t="shared" si="239"/>
        <v>0</v>
      </c>
      <c r="BD314" s="109">
        <f>IFERROR(VLOOKUP(B314,Precificação!$B$96:$S$533,13,0),0)</f>
        <v>0</v>
      </c>
      <c r="BE314" s="109">
        <f>IFERROR(VLOOKUP(B314,Precificação!$B$96:$U$533,15,0)/(Precificação!$U$4+Precificação!$U$91),0)*Dashboard!$T$3</f>
        <v>0</v>
      </c>
    </row>
    <row r="315" spans="2:57" ht="12" customHeight="1" outlineLevel="1">
      <c r="B315" s="137" t="str">
        <f>Precificação!B302</f>
        <v>AN JR. ENG/ARQ - Equipe_01</v>
      </c>
      <c r="D315" s="512"/>
      <c r="E315" s="143" t="str">
        <f>IF('Cronog. e Histog.'!G437&gt;0,'Cronog. e Histog.'!G437,"")</f>
        <v>AN JR. ENG/ARQ</v>
      </c>
      <c r="G315" s="179">
        <f t="shared" si="226"/>
        <v>0</v>
      </c>
      <c r="H315" s="110">
        <f>IFERROR(INDEX('Base Salarial'!$D$5:$F$25,MATCH(E315,'Base Salarial'!$G$5:$G$25,0),MATCH(I315,'Base Salarial'!$D$4:$F$4,0)),"")</f>
        <v>4500</v>
      </c>
      <c r="I315" s="78" t="str">
        <f>IFERROR(INDEX(Tarefas!$BQ$29:$FK$29,MATCH(E315,Tarefas!$BQ$30:$FK$30,0)),"")</f>
        <v>Mensalista</v>
      </c>
      <c r="J315" s="81">
        <f>IF(I315="horista",H315*Dashboard!$D$15,IF(OR(I315="Mensalista",I315="PJ"),H315,))</f>
        <v>4500</v>
      </c>
      <c r="K315" s="81">
        <f>IF(I315="PJ",J315,ROUND(J315*(1+Dashboard!$D$22),2))</f>
        <v>4770</v>
      </c>
      <c r="L315" s="77"/>
      <c r="M315" s="180"/>
      <c r="P315" s="109">
        <f>IF($BD315&gt;0,(((($BD315/Dashboard!$D$15)*(1+Precificação!$W$589)))+$P$26)*(1+Dashboard!$D$35),0)</f>
        <v>0</v>
      </c>
      <c r="Q315" s="109">
        <f>IF($BD315&gt;0,(((($BD315/Dashboard!$D$23)+(1+Precificação!$W$589))*(1+Q$28))+$P$26)*(1+Dashboard!$D$35),0)</f>
        <v>0</v>
      </c>
      <c r="R315" s="109">
        <f>IF($BD315&gt;0,(((($BD315/Dashboard!$D$23)+(1+Precificação!$W$589))*(1+R$28))+$P$26)*(1+Dashboard!$D$35),0)</f>
        <v>0</v>
      </c>
      <c r="S315" s="109">
        <f>IF($BD315&gt;0,(((($BD315/Dashboard!$D$23)+(1+Precificação!$W$589))*(1+S$28))+$P$26)*(1+Dashboard!$D$35),0)</f>
        <v>0</v>
      </c>
      <c r="U315" s="109">
        <f t="shared" si="227"/>
        <v>0</v>
      </c>
      <c r="V315" s="109">
        <f t="shared" si="228"/>
        <v>0</v>
      </c>
      <c r="W315" s="109">
        <f t="shared" si="229"/>
        <v>0</v>
      </c>
      <c r="X315" s="109">
        <f t="shared" si="230"/>
        <v>0</v>
      </c>
      <c r="AA315" s="109">
        <f>IF($BD315&gt;0,(((($BD315/Dashboard!$D$23)*(1+Precificação!$W$589)))+$AA$26)*(1+Dashboard!$D$35),0)</f>
        <v>0</v>
      </c>
      <c r="AB315" s="109">
        <f>IF($BD315&gt;0,(((($BD315/Dashboard!$D$23)*(1+Precificação!$W$589))*(1+AB$28))+$AA$26)*(1+Dashboard!$D$35),0)</f>
        <v>0</v>
      </c>
      <c r="AC315" s="109">
        <f>IF($BD315&gt;0,(((($BD315/Dashboard!$D$23)*(1+Precificação!$W$589))*(1+AC$28))+$AA$26)*(1+Dashboard!$D$35),0)</f>
        <v>0</v>
      </c>
      <c r="AD315" s="109">
        <f>IF($BD315&gt;0,(((($BD315/Dashboard!$D$23)*(1+Precificação!$W$589))*(1+AD$28))+$AA$26)*(1+Dashboard!$D$35),0)</f>
        <v>0</v>
      </c>
      <c r="AF315" s="109">
        <f t="shared" si="231"/>
        <v>0</v>
      </c>
      <c r="AG315" s="109">
        <f t="shared" si="232"/>
        <v>0</v>
      </c>
      <c r="AH315" s="109">
        <f t="shared" si="233"/>
        <v>0</v>
      </c>
      <c r="AI315" s="109">
        <f t="shared" si="234"/>
        <v>0</v>
      </c>
      <c r="AL315" s="109">
        <f>IF($BD315&gt;0,(((($BD315/Dashboard!$D$23)*(1+Precificação!$W$589)))+$AL$26)*(1+Dashboard!$D$35),0)</f>
        <v>0</v>
      </c>
      <c r="AM315" s="109">
        <f>IF($BD315&gt;0,(((($BD315/Dashboard!$D$23)*(1+Precificação!$W$589))*(1+AM$28))+$AA$26)*(1+Dashboard!$D$35),0)</f>
        <v>0</v>
      </c>
      <c r="AN315" s="109">
        <f>IF($BD315&gt;0,(((($BD315/Dashboard!$D$23)*(1+Precificação!$W$589))*(1+AN$28))+$AA$26)*(1+Dashboard!$D$35),0)</f>
        <v>0</v>
      </c>
      <c r="AO315" s="109">
        <f>IF($BD315&gt;0,(((($BD315/Dashboard!$D$23)*(1+Precificação!$W$589))*(1+AO$28))+$AA$26)*(1+Dashboard!$D$35),0)</f>
        <v>0</v>
      </c>
      <c r="AQ315" s="109">
        <f t="shared" si="235"/>
        <v>0</v>
      </c>
      <c r="AR315" s="109">
        <f t="shared" si="236"/>
        <v>0</v>
      </c>
      <c r="AS315" s="109">
        <f t="shared" si="237"/>
        <v>0</v>
      </c>
      <c r="AT315" s="109">
        <f t="shared" si="238"/>
        <v>0</v>
      </c>
      <c r="AW315" s="144">
        <f>VLOOKUP(B315,'Cronog. e Histog.'!$B$213:$BT$688,71,0)</f>
        <v>0</v>
      </c>
      <c r="AX315" s="144">
        <f>VLOOKUP(B315,'Cronog. e Histog.'!$B$213:$BU$688,72,0)</f>
        <v>0</v>
      </c>
      <c r="AY315" s="144">
        <f>$AW315*$AX315*Dashboard!$D$15</f>
        <v>0</v>
      </c>
      <c r="AZ315" s="144">
        <f>VLOOKUP(B315,Precificação!$B$96:$BM$533,54,0)</f>
        <v>0</v>
      </c>
      <c r="BA315" s="144">
        <f>VLOOKUP(B315,Precificação!$B$96:$BR$533,58,0)</f>
        <v>0</v>
      </c>
      <c r="BB315" s="144">
        <f>VLOOKUP(B315,Precificação!$B$96:$BW$533,62,0)</f>
        <v>0</v>
      </c>
      <c r="BC315" s="144">
        <f t="shared" si="239"/>
        <v>0</v>
      </c>
      <c r="BD315" s="109">
        <f>IFERROR(VLOOKUP(B315,Precificação!$B$96:$S$533,13,0),0)</f>
        <v>0</v>
      </c>
      <c r="BE315" s="109">
        <f>IFERROR(VLOOKUP(B315,Precificação!$B$96:$U$533,15,0)/(Precificação!$U$4+Precificação!$U$91),0)*Dashboard!$T$3</f>
        <v>0</v>
      </c>
    </row>
    <row r="316" spans="2:57" ht="12" customHeight="1" outlineLevel="1">
      <c r="B316" s="137" t="str">
        <f>Precificação!B303</f>
        <v>AN SR. ADM/CRP - Equipe_01</v>
      </c>
      <c r="D316" s="512"/>
      <c r="E316" s="143" t="str">
        <f>IF('Cronog. e Histog.'!G438&gt;0,'Cronog. e Histog.'!G438,"")</f>
        <v>AN SR. ADM/CRP</v>
      </c>
      <c r="G316" s="179">
        <f t="shared" si="226"/>
        <v>0</v>
      </c>
      <c r="H316" s="110">
        <f>IFERROR(INDEX('Base Salarial'!$D$5:$F$25,MATCH(E316,'Base Salarial'!$G$5:$G$25,0),MATCH(I316,'Base Salarial'!$D$4:$F$4,0)),"")</f>
        <v>7000</v>
      </c>
      <c r="I316" s="78" t="str">
        <f>IFERROR(INDEX(Tarefas!$BQ$29:$FK$29,MATCH(E316,Tarefas!$BQ$30:$FK$30,0)),"")</f>
        <v>Mensalista</v>
      </c>
      <c r="J316" s="81">
        <f>IF(I316="horista",H316*Dashboard!$D$15,IF(OR(I316="Mensalista",I316="PJ"),H316,))</f>
        <v>7000</v>
      </c>
      <c r="K316" s="81">
        <f>IF(I316="PJ",J316,ROUND(J316*(1+Dashboard!$D$22),2))</f>
        <v>7420</v>
      </c>
      <c r="L316" s="77"/>
      <c r="M316" s="180"/>
      <c r="P316" s="109">
        <f>IF($BD316&gt;0,(((($BD316/Dashboard!$D$15)*(1+Precificação!$W$589)))+$P$26)*(1+Dashboard!$D$35),0)</f>
        <v>0</v>
      </c>
      <c r="Q316" s="109">
        <f>IF($BD316&gt;0,(((($BD316/Dashboard!$D$23)+(1+Precificação!$W$589))*(1+Q$28))+$P$26)*(1+Dashboard!$D$35),0)</f>
        <v>0</v>
      </c>
      <c r="R316" s="109">
        <f>IF($BD316&gt;0,(((($BD316/Dashboard!$D$23)+(1+Precificação!$W$589))*(1+R$28))+$P$26)*(1+Dashboard!$D$35),0)</f>
        <v>0</v>
      </c>
      <c r="S316" s="109">
        <f>IF($BD316&gt;0,(((($BD316/Dashboard!$D$23)+(1+Precificação!$W$589))*(1+S$28))+$P$26)*(1+Dashboard!$D$35),0)</f>
        <v>0</v>
      </c>
      <c r="U316" s="109">
        <f t="shared" si="227"/>
        <v>0</v>
      </c>
      <c r="V316" s="109">
        <f t="shared" si="228"/>
        <v>0</v>
      </c>
      <c r="W316" s="109">
        <f t="shared" si="229"/>
        <v>0</v>
      </c>
      <c r="X316" s="109">
        <f t="shared" si="230"/>
        <v>0</v>
      </c>
      <c r="AA316" s="109">
        <f>IF($BD316&gt;0,(((($BD316/Dashboard!$D$23)*(1+Precificação!$W$589)))+$AA$26)*(1+Dashboard!$D$35),0)</f>
        <v>0</v>
      </c>
      <c r="AB316" s="109">
        <f>IF($BD316&gt;0,(((($BD316/Dashboard!$D$23)*(1+Precificação!$W$589))*(1+AB$28))+$AA$26)*(1+Dashboard!$D$35),0)</f>
        <v>0</v>
      </c>
      <c r="AC316" s="109">
        <f>IF($BD316&gt;0,(((($BD316/Dashboard!$D$23)*(1+Precificação!$W$589))*(1+AC$28))+$AA$26)*(1+Dashboard!$D$35),0)</f>
        <v>0</v>
      </c>
      <c r="AD316" s="109">
        <f>IF($BD316&gt;0,(((($BD316/Dashboard!$D$23)*(1+Precificação!$W$589))*(1+AD$28))+$AA$26)*(1+Dashboard!$D$35),0)</f>
        <v>0</v>
      </c>
      <c r="AF316" s="109">
        <f t="shared" si="231"/>
        <v>0</v>
      </c>
      <c r="AG316" s="109">
        <f t="shared" si="232"/>
        <v>0</v>
      </c>
      <c r="AH316" s="109">
        <f t="shared" si="233"/>
        <v>0</v>
      </c>
      <c r="AI316" s="109">
        <f t="shared" si="234"/>
        <v>0</v>
      </c>
      <c r="AL316" s="109">
        <f>IF($BD316&gt;0,(((($BD316/Dashboard!$D$23)*(1+Precificação!$W$589)))+$AL$26)*(1+Dashboard!$D$35),0)</f>
        <v>0</v>
      </c>
      <c r="AM316" s="109">
        <f>IF($BD316&gt;0,(((($BD316/Dashboard!$D$23)*(1+Precificação!$W$589))*(1+AM$28))+$AA$26)*(1+Dashboard!$D$35),0)</f>
        <v>0</v>
      </c>
      <c r="AN316" s="109">
        <f>IF($BD316&gt;0,(((($BD316/Dashboard!$D$23)*(1+Precificação!$W$589))*(1+AN$28))+$AA$26)*(1+Dashboard!$D$35),0)</f>
        <v>0</v>
      </c>
      <c r="AO316" s="109">
        <f>IF($BD316&gt;0,(((($BD316/Dashboard!$D$23)*(1+Precificação!$W$589))*(1+AO$28))+$AA$26)*(1+Dashboard!$D$35),0)</f>
        <v>0</v>
      </c>
      <c r="AQ316" s="109">
        <f t="shared" si="235"/>
        <v>0</v>
      </c>
      <c r="AR316" s="109">
        <f t="shared" si="236"/>
        <v>0</v>
      </c>
      <c r="AS316" s="109">
        <f t="shared" si="237"/>
        <v>0</v>
      </c>
      <c r="AT316" s="109">
        <f t="shared" si="238"/>
        <v>0</v>
      </c>
      <c r="AW316" s="144">
        <f>VLOOKUP(B316,'Cronog. e Histog.'!$B$213:$BT$688,71,0)</f>
        <v>0</v>
      </c>
      <c r="AX316" s="144">
        <f>VLOOKUP(B316,'Cronog. e Histog.'!$B$213:$BU$688,72,0)</f>
        <v>0</v>
      </c>
      <c r="AY316" s="144">
        <f>$AW316*$AX316*Dashboard!$D$15</f>
        <v>0</v>
      </c>
      <c r="AZ316" s="144">
        <f>VLOOKUP(B316,Precificação!$B$96:$BM$533,54,0)</f>
        <v>0</v>
      </c>
      <c r="BA316" s="144">
        <f>VLOOKUP(B316,Precificação!$B$96:$BR$533,58,0)</f>
        <v>0</v>
      </c>
      <c r="BB316" s="144">
        <f>VLOOKUP(B316,Precificação!$B$96:$BW$533,62,0)</f>
        <v>0</v>
      </c>
      <c r="BC316" s="144">
        <f t="shared" si="239"/>
        <v>0</v>
      </c>
      <c r="BD316" s="109">
        <f>IFERROR(VLOOKUP(B316,Precificação!$B$96:$S$533,13,0),0)</f>
        <v>0</v>
      </c>
      <c r="BE316" s="109">
        <f>IFERROR(VLOOKUP(B316,Precificação!$B$96:$U$533,15,0)/(Precificação!$U$4+Precificação!$U$91),0)*Dashboard!$T$3</f>
        <v>0</v>
      </c>
    </row>
    <row r="317" spans="2:57" ht="12" customHeight="1" outlineLevel="1">
      <c r="B317" s="137" t="str">
        <f>Precificação!B304</f>
        <v>AN PL. ADM/CRP - Equipe_01</v>
      </c>
      <c r="D317" s="512"/>
      <c r="E317" s="143" t="str">
        <f>IF('Cronog. e Histog.'!G439&gt;0,'Cronog. e Histog.'!G439,"")</f>
        <v>AN PL. ADM/CRP</v>
      </c>
      <c r="G317" s="179">
        <f t="shared" si="226"/>
        <v>0</v>
      </c>
      <c r="H317" s="110">
        <f>IFERROR(INDEX('Base Salarial'!$D$5:$F$25,MATCH(E317,'Base Salarial'!$G$5:$G$25,0),MATCH(I317,'Base Salarial'!$D$4:$F$4,0)),"")</f>
        <v>5000</v>
      </c>
      <c r="I317" s="78" t="str">
        <f>IFERROR(INDEX(Tarefas!$BQ$29:$FK$29,MATCH(E317,Tarefas!$BQ$30:$FK$30,0)),"")</f>
        <v>Mensalista</v>
      </c>
      <c r="J317" s="81">
        <f>IF(I317="horista",H317*Dashboard!$D$15,IF(OR(I317="Mensalista",I317="PJ"),H317,))</f>
        <v>5000</v>
      </c>
      <c r="K317" s="81">
        <f>IF(I317="PJ",J317,ROUND(J317*(1+Dashboard!$D$22),2))</f>
        <v>5300</v>
      </c>
      <c r="L317" s="77"/>
      <c r="M317" s="180"/>
      <c r="P317" s="109">
        <f>IF($BD317&gt;0,(((($BD317/Dashboard!$D$15)*(1+Precificação!$W$589)))+$P$26)*(1+Dashboard!$D$35),0)</f>
        <v>0</v>
      </c>
      <c r="Q317" s="109">
        <f>IF($BD317&gt;0,(((($BD317/Dashboard!$D$23)+(1+Precificação!$W$589))*(1+Q$28))+$P$26)*(1+Dashboard!$D$35),0)</f>
        <v>0</v>
      </c>
      <c r="R317" s="109">
        <f>IF($BD317&gt;0,(((($BD317/Dashboard!$D$23)+(1+Precificação!$W$589))*(1+R$28))+$P$26)*(1+Dashboard!$D$35),0)</f>
        <v>0</v>
      </c>
      <c r="S317" s="109">
        <f>IF($BD317&gt;0,(((($BD317/Dashboard!$D$23)+(1+Precificação!$W$589))*(1+S$28))+$P$26)*(1+Dashboard!$D$35),0)</f>
        <v>0</v>
      </c>
      <c r="U317" s="109">
        <f t="shared" si="227"/>
        <v>0</v>
      </c>
      <c r="V317" s="109">
        <f t="shared" si="228"/>
        <v>0</v>
      </c>
      <c r="W317" s="109">
        <f t="shared" si="229"/>
        <v>0</v>
      </c>
      <c r="X317" s="109">
        <f t="shared" si="230"/>
        <v>0</v>
      </c>
      <c r="AA317" s="109">
        <f>IF($BD317&gt;0,(((($BD317/Dashboard!$D$23)*(1+Precificação!$W$589)))+$AA$26)*(1+Dashboard!$D$35),0)</f>
        <v>0</v>
      </c>
      <c r="AB317" s="109">
        <f>IF($BD317&gt;0,(((($BD317/Dashboard!$D$23)*(1+Precificação!$W$589))*(1+AB$28))+$AA$26)*(1+Dashboard!$D$35),0)</f>
        <v>0</v>
      </c>
      <c r="AC317" s="109">
        <f>IF($BD317&gt;0,(((($BD317/Dashboard!$D$23)*(1+Precificação!$W$589))*(1+AC$28))+$AA$26)*(1+Dashboard!$D$35),0)</f>
        <v>0</v>
      </c>
      <c r="AD317" s="109">
        <f>IF($BD317&gt;0,(((($BD317/Dashboard!$D$23)*(1+Precificação!$W$589))*(1+AD$28))+$AA$26)*(1+Dashboard!$D$35),0)</f>
        <v>0</v>
      </c>
      <c r="AF317" s="109">
        <f t="shared" si="231"/>
        <v>0</v>
      </c>
      <c r="AG317" s="109">
        <f t="shared" si="232"/>
        <v>0</v>
      </c>
      <c r="AH317" s="109">
        <f t="shared" si="233"/>
        <v>0</v>
      </c>
      <c r="AI317" s="109">
        <f t="shared" si="234"/>
        <v>0</v>
      </c>
      <c r="AL317" s="109">
        <f>IF($BD317&gt;0,(((($BD317/Dashboard!$D$23)*(1+Precificação!$W$589)))+$AL$26)*(1+Dashboard!$D$35),0)</f>
        <v>0</v>
      </c>
      <c r="AM317" s="109">
        <f>IF($BD317&gt;0,(((($BD317/Dashboard!$D$23)*(1+Precificação!$W$589))*(1+AM$28))+$AA$26)*(1+Dashboard!$D$35),0)</f>
        <v>0</v>
      </c>
      <c r="AN317" s="109">
        <f>IF($BD317&gt;0,(((($BD317/Dashboard!$D$23)*(1+Precificação!$W$589))*(1+AN$28))+$AA$26)*(1+Dashboard!$D$35),0)</f>
        <v>0</v>
      </c>
      <c r="AO317" s="109">
        <f>IF($BD317&gt;0,(((($BD317/Dashboard!$D$23)*(1+Precificação!$W$589))*(1+AO$28))+$AA$26)*(1+Dashboard!$D$35),0)</f>
        <v>0</v>
      </c>
      <c r="AQ317" s="109">
        <f t="shared" si="235"/>
        <v>0</v>
      </c>
      <c r="AR317" s="109">
        <f t="shared" si="236"/>
        <v>0</v>
      </c>
      <c r="AS317" s="109">
        <f t="shared" si="237"/>
        <v>0</v>
      </c>
      <c r="AT317" s="109">
        <f t="shared" si="238"/>
        <v>0</v>
      </c>
      <c r="AW317" s="144">
        <f>VLOOKUP(B317,'Cronog. e Histog.'!$B$213:$BT$688,71,0)</f>
        <v>0</v>
      </c>
      <c r="AX317" s="144">
        <f>VLOOKUP(B317,'Cronog. e Histog.'!$B$213:$BU$688,72,0)</f>
        <v>0</v>
      </c>
      <c r="AY317" s="144">
        <f>$AW317*$AX317*Dashboard!$D$15</f>
        <v>0</v>
      </c>
      <c r="AZ317" s="144">
        <f>VLOOKUP(B317,Precificação!$B$96:$BM$533,54,0)</f>
        <v>0</v>
      </c>
      <c r="BA317" s="144">
        <f>VLOOKUP(B317,Precificação!$B$96:$BR$533,58,0)</f>
        <v>0</v>
      </c>
      <c r="BB317" s="144">
        <f>VLOOKUP(B317,Precificação!$B$96:$BW$533,62,0)</f>
        <v>0</v>
      </c>
      <c r="BC317" s="144">
        <f t="shared" si="239"/>
        <v>0</v>
      </c>
      <c r="BD317" s="109">
        <f>IFERROR(VLOOKUP(B317,Precificação!$B$96:$S$533,13,0),0)</f>
        <v>0</v>
      </c>
      <c r="BE317" s="109">
        <f>IFERROR(VLOOKUP(B317,Precificação!$B$96:$U$533,15,0)/(Precificação!$U$4+Precificação!$U$91),0)*Dashboard!$T$3</f>
        <v>0</v>
      </c>
    </row>
    <row r="318" spans="2:57" ht="12" customHeight="1" outlineLevel="1">
      <c r="B318" s="137" t="str">
        <f>Precificação!B305</f>
        <v>AN JR. ADM/CRP - Equipe_01</v>
      </c>
      <c r="D318" s="512"/>
      <c r="E318" s="143" t="str">
        <f>IF('Cronog. e Histog.'!G440&gt;0,'Cronog. e Histog.'!G440,"")</f>
        <v>AN JR. ADM/CRP</v>
      </c>
      <c r="G318" s="179">
        <f t="shared" si="226"/>
        <v>0</v>
      </c>
      <c r="H318" s="110">
        <f>IFERROR(INDEX('Base Salarial'!$D$5:$F$25,MATCH(E318,'Base Salarial'!$G$5:$G$25,0),MATCH(I318,'Base Salarial'!$D$4:$F$4,0)),"")</f>
        <v>3500</v>
      </c>
      <c r="I318" s="78" t="str">
        <f>IFERROR(INDEX(Tarefas!$BQ$29:$FK$29,MATCH(E318,Tarefas!$BQ$30:$FK$30,0)),"")</f>
        <v>Mensalista</v>
      </c>
      <c r="J318" s="81">
        <f>IF(I318="horista",H318*Dashboard!$D$15,IF(OR(I318="Mensalista",I318="PJ"),H318,))</f>
        <v>3500</v>
      </c>
      <c r="K318" s="81">
        <f>IF(I318="PJ",J318,ROUND(J318*(1+Dashboard!$D$22),2))</f>
        <v>3710</v>
      </c>
      <c r="L318" s="77"/>
      <c r="M318" s="180"/>
      <c r="P318" s="109">
        <f>IF($BD318&gt;0,(((($BD318/Dashboard!$D$15)*(1+Precificação!$W$589)))+$P$26)*(1+Dashboard!$D$35),0)</f>
        <v>0</v>
      </c>
      <c r="Q318" s="109">
        <f>IF($BD318&gt;0,(((($BD318/Dashboard!$D$23)+(1+Precificação!$W$589))*(1+Q$28))+$P$26)*(1+Dashboard!$D$35),0)</f>
        <v>0</v>
      </c>
      <c r="R318" s="109">
        <f>IF($BD318&gt;0,(((($BD318/Dashboard!$D$23)+(1+Precificação!$W$589))*(1+R$28))+$P$26)*(1+Dashboard!$D$35),0)</f>
        <v>0</v>
      </c>
      <c r="S318" s="109">
        <f>IF($BD318&gt;0,(((($BD318/Dashboard!$D$23)+(1+Precificação!$W$589))*(1+S$28))+$P$26)*(1+Dashboard!$D$35),0)</f>
        <v>0</v>
      </c>
      <c r="U318" s="109">
        <f t="shared" si="227"/>
        <v>0</v>
      </c>
      <c r="V318" s="109">
        <f t="shared" si="228"/>
        <v>0</v>
      </c>
      <c r="W318" s="109">
        <f t="shared" si="229"/>
        <v>0</v>
      </c>
      <c r="X318" s="109">
        <f t="shared" si="230"/>
        <v>0</v>
      </c>
      <c r="AA318" s="109">
        <f>IF($BD318&gt;0,(((($BD318/Dashboard!$D$23)*(1+Precificação!$W$589)))+$AA$26)*(1+Dashboard!$D$35),0)</f>
        <v>0</v>
      </c>
      <c r="AB318" s="109">
        <f>IF($BD318&gt;0,(((($BD318/Dashboard!$D$23)*(1+Precificação!$W$589))*(1+AB$28))+$AA$26)*(1+Dashboard!$D$35),0)</f>
        <v>0</v>
      </c>
      <c r="AC318" s="109">
        <f>IF($BD318&gt;0,(((($BD318/Dashboard!$D$23)*(1+Precificação!$W$589))*(1+AC$28))+$AA$26)*(1+Dashboard!$D$35),0)</f>
        <v>0</v>
      </c>
      <c r="AD318" s="109">
        <f>IF($BD318&gt;0,(((($BD318/Dashboard!$D$23)*(1+Precificação!$W$589))*(1+AD$28))+$AA$26)*(1+Dashboard!$D$35),0)</f>
        <v>0</v>
      </c>
      <c r="AF318" s="109">
        <f t="shared" si="231"/>
        <v>0</v>
      </c>
      <c r="AG318" s="109">
        <f t="shared" si="232"/>
        <v>0</v>
      </c>
      <c r="AH318" s="109">
        <f t="shared" si="233"/>
        <v>0</v>
      </c>
      <c r="AI318" s="109">
        <f t="shared" si="234"/>
        <v>0</v>
      </c>
      <c r="AL318" s="109">
        <f>IF($BD318&gt;0,(((($BD318/Dashboard!$D$23)*(1+Precificação!$W$589)))+$AL$26)*(1+Dashboard!$D$35),0)</f>
        <v>0</v>
      </c>
      <c r="AM318" s="109">
        <f>IF($BD318&gt;0,(((($BD318/Dashboard!$D$23)*(1+Precificação!$W$589))*(1+AM$28))+$AA$26)*(1+Dashboard!$D$35),0)</f>
        <v>0</v>
      </c>
      <c r="AN318" s="109">
        <f>IF($BD318&gt;0,(((($BD318/Dashboard!$D$23)*(1+Precificação!$W$589))*(1+AN$28))+$AA$26)*(1+Dashboard!$D$35),0)</f>
        <v>0</v>
      </c>
      <c r="AO318" s="109">
        <f>IF($BD318&gt;0,(((($BD318/Dashboard!$D$23)*(1+Precificação!$W$589))*(1+AO$28))+$AA$26)*(1+Dashboard!$D$35),0)</f>
        <v>0</v>
      </c>
      <c r="AQ318" s="109">
        <f t="shared" si="235"/>
        <v>0</v>
      </c>
      <c r="AR318" s="109">
        <f t="shared" si="236"/>
        <v>0</v>
      </c>
      <c r="AS318" s="109">
        <f t="shared" si="237"/>
        <v>0</v>
      </c>
      <c r="AT318" s="109">
        <f t="shared" si="238"/>
        <v>0</v>
      </c>
      <c r="AW318" s="144">
        <f>VLOOKUP(B318,'Cronog. e Histog.'!$B$213:$BT$688,71,0)</f>
        <v>0</v>
      </c>
      <c r="AX318" s="144">
        <f>VLOOKUP(B318,'Cronog. e Histog.'!$B$213:$BU$688,72,0)</f>
        <v>0</v>
      </c>
      <c r="AY318" s="144">
        <f>$AW318*$AX318*Dashboard!$D$15</f>
        <v>0</v>
      </c>
      <c r="AZ318" s="144">
        <f>VLOOKUP(B318,Precificação!$B$96:$BM$533,54,0)</f>
        <v>0</v>
      </c>
      <c r="BA318" s="144">
        <f>VLOOKUP(B318,Precificação!$B$96:$BR$533,58,0)</f>
        <v>0</v>
      </c>
      <c r="BB318" s="144">
        <f>VLOOKUP(B318,Precificação!$B$96:$BW$533,62,0)</f>
        <v>0</v>
      </c>
      <c r="BC318" s="144">
        <f t="shared" si="239"/>
        <v>0</v>
      </c>
      <c r="BD318" s="109">
        <f>IFERROR(VLOOKUP(B318,Precificação!$B$96:$S$533,13,0),0)</f>
        <v>0</v>
      </c>
      <c r="BE318" s="109">
        <f>IFERROR(VLOOKUP(B318,Precificação!$B$96:$U$533,15,0)/(Precificação!$U$4+Precificação!$U$91),0)*Dashboard!$T$3</f>
        <v>0</v>
      </c>
    </row>
    <row r="319" spans="2:57" ht="12" customHeight="1" outlineLevel="1">
      <c r="B319" s="137" t="str">
        <f>Precificação!B306</f>
        <v>TEC III - Equipe_01</v>
      </c>
      <c r="D319" s="512"/>
      <c r="E319" s="143" t="str">
        <f>IF('Cronog. e Histog.'!G441&gt;0,'Cronog. e Histog.'!G441,"")</f>
        <v>TEC III</v>
      </c>
      <c r="G319" s="179">
        <f t="shared" si="226"/>
        <v>0</v>
      </c>
      <c r="H319" s="110">
        <f>IFERROR(INDEX('Base Salarial'!$D$5:$F$25,MATCH(E319,'Base Salarial'!$G$5:$G$25,0),MATCH(I319,'Base Salarial'!$D$4:$F$4,0)),"")</f>
        <v>6000</v>
      </c>
      <c r="I319" s="78" t="str">
        <f>IFERROR(INDEX(Tarefas!$BQ$29:$FK$29,MATCH(E319,Tarefas!$BQ$30:$FK$30,0)),"")</f>
        <v>Mensalista</v>
      </c>
      <c r="J319" s="81">
        <f>IF(I319="horista",H319*Dashboard!$D$15,IF(OR(I319="Mensalista",I319="PJ"),H319,))</f>
        <v>6000</v>
      </c>
      <c r="K319" s="81">
        <f>IF(I319="PJ",J319,ROUND(J319*(1+Dashboard!$D$22),2))</f>
        <v>6360</v>
      </c>
      <c r="L319" s="77"/>
      <c r="M319" s="180"/>
      <c r="P319" s="109">
        <f>IF($BD319&gt;0,(((($BD319/Dashboard!$D$15)*(1+Precificação!$W$589)))+$P$26)*(1+Dashboard!$D$35),0)</f>
        <v>0</v>
      </c>
      <c r="Q319" s="109">
        <f>IF($BD319&gt;0,(((($BD319/Dashboard!$D$23)+(1+Precificação!$W$589))*(1+Q$28))+$P$26)*(1+Dashboard!$D$35),0)</f>
        <v>0</v>
      </c>
      <c r="R319" s="109">
        <f>IF($BD319&gt;0,(((($BD319/Dashboard!$D$23)+(1+Precificação!$W$589))*(1+R$28))+$P$26)*(1+Dashboard!$D$35),0)</f>
        <v>0</v>
      </c>
      <c r="S319" s="109">
        <f>IF($BD319&gt;0,(((($BD319/Dashboard!$D$23)+(1+Precificação!$W$589))*(1+S$28))+$P$26)*(1+Dashboard!$D$35),0)</f>
        <v>0</v>
      </c>
      <c r="U319" s="109">
        <f t="shared" si="227"/>
        <v>0</v>
      </c>
      <c r="V319" s="109">
        <f t="shared" si="228"/>
        <v>0</v>
      </c>
      <c r="W319" s="109">
        <f t="shared" si="229"/>
        <v>0</v>
      </c>
      <c r="X319" s="109">
        <f t="shared" si="230"/>
        <v>0</v>
      </c>
      <c r="AA319" s="109">
        <f>IF($BD319&gt;0,(((($BD319/Dashboard!$D$23)*(1+Precificação!$W$589)))+$AA$26)*(1+Dashboard!$D$35),0)</f>
        <v>0</v>
      </c>
      <c r="AB319" s="109">
        <f>IF($BD319&gt;0,(((($BD319/Dashboard!$D$23)*(1+Precificação!$W$589))*(1+AB$28))+$AA$26)*(1+Dashboard!$D$35),0)</f>
        <v>0</v>
      </c>
      <c r="AC319" s="109">
        <f>IF($BD319&gt;0,(((($BD319/Dashboard!$D$23)*(1+Precificação!$W$589))*(1+AC$28))+$AA$26)*(1+Dashboard!$D$35),0)</f>
        <v>0</v>
      </c>
      <c r="AD319" s="109">
        <f>IF($BD319&gt;0,(((($BD319/Dashboard!$D$23)*(1+Precificação!$W$589))*(1+AD$28))+$AA$26)*(1+Dashboard!$D$35),0)</f>
        <v>0</v>
      </c>
      <c r="AF319" s="109">
        <f t="shared" si="231"/>
        <v>0</v>
      </c>
      <c r="AG319" s="109">
        <f t="shared" si="232"/>
        <v>0</v>
      </c>
      <c r="AH319" s="109">
        <f t="shared" si="233"/>
        <v>0</v>
      </c>
      <c r="AI319" s="109">
        <f t="shared" si="234"/>
        <v>0</v>
      </c>
      <c r="AL319" s="109">
        <f>IF($BD319&gt;0,(((($BD319/Dashboard!$D$23)*(1+Precificação!$W$589)))+$AL$26)*(1+Dashboard!$D$35),0)</f>
        <v>0</v>
      </c>
      <c r="AM319" s="109">
        <f>IF($BD319&gt;0,(((($BD319/Dashboard!$D$23)*(1+Precificação!$W$589))*(1+AM$28))+$AA$26)*(1+Dashboard!$D$35),0)</f>
        <v>0</v>
      </c>
      <c r="AN319" s="109">
        <f>IF($BD319&gt;0,(((($BD319/Dashboard!$D$23)*(1+Precificação!$W$589))*(1+AN$28))+$AA$26)*(1+Dashboard!$D$35),0)</f>
        <v>0</v>
      </c>
      <c r="AO319" s="109">
        <f>IF($BD319&gt;0,(((($BD319/Dashboard!$D$23)*(1+Precificação!$W$589))*(1+AO$28))+$AA$26)*(1+Dashboard!$D$35),0)</f>
        <v>0</v>
      </c>
      <c r="AQ319" s="109">
        <f t="shared" si="235"/>
        <v>0</v>
      </c>
      <c r="AR319" s="109">
        <f t="shared" si="236"/>
        <v>0</v>
      </c>
      <c r="AS319" s="109">
        <f t="shared" si="237"/>
        <v>0</v>
      </c>
      <c r="AT319" s="109">
        <f t="shared" si="238"/>
        <v>0</v>
      </c>
      <c r="AW319" s="144">
        <f>VLOOKUP(B319,'Cronog. e Histog.'!$B$213:$BT$688,71,0)</f>
        <v>0</v>
      </c>
      <c r="AX319" s="144">
        <f>VLOOKUP(B319,'Cronog. e Histog.'!$B$213:$BU$688,72,0)</f>
        <v>0</v>
      </c>
      <c r="AY319" s="144">
        <f>$AW319*$AX319*Dashboard!$D$15</f>
        <v>0</v>
      </c>
      <c r="AZ319" s="144">
        <f>VLOOKUP(B319,Precificação!$B$96:$BM$533,54,0)</f>
        <v>0</v>
      </c>
      <c r="BA319" s="144">
        <f>VLOOKUP(B319,Precificação!$B$96:$BR$533,58,0)</f>
        <v>0</v>
      </c>
      <c r="BB319" s="144">
        <f>VLOOKUP(B319,Precificação!$B$96:$BW$533,62,0)</f>
        <v>0</v>
      </c>
      <c r="BC319" s="144">
        <f t="shared" si="239"/>
        <v>0</v>
      </c>
      <c r="BD319" s="109">
        <f>IFERROR(VLOOKUP(B319,Precificação!$B$96:$S$533,13,0),0)</f>
        <v>0</v>
      </c>
      <c r="BE319" s="109">
        <f>IFERROR(VLOOKUP(B319,Precificação!$B$96:$U$533,15,0)/(Precificação!$U$4+Precificação!$U$91),0)*Dashboard!$T$3</f>
        <v>0</v>
      </c>
    </row>
    <row r="320" spans="2:57" ht="12" customHeight="1" outlineLevel="1">
      <c r="B320" s="137" t="str">
        <f>Precificação!B307</f>
        <v>TEC II - Equipe_01</v>
      </c>
      <c r="D320" s="512"/>
      <c r="E320" s="143" t="str">
        <f>IF('Cronog. e Histog.'!G442&gt;0,'Cronog. e Histog.'!G442,"")</f>
        <v>TEC II</v>
      </c>
      <c r="G320" s="179">
        <f t="shared" si="226"/>
        <v>0</v>
      </c>
      <c r="H320" s="110">
        <f>IFERROR(INDEX('Base Salarial'!$D$5:$F$25,MATCH(E320,'Base Salarial'!$G$5:$G$25,0),MATCH(I320,'Base Salarial'!$D$4:$F$4,0)),"")</f>
        <v>4500</v>
      </c>
      <c r="I320" s="78" t="str">
        <f>IFERROR(INDEX(Tarefas!$BQ$29:$FK$29,MATCH(E320,Tarefas!$BQ$30:$FK$30,0)),"")</f>
        <v>Mensalista</v>
      </c>
      <c r="J320" s="81">
        <f>IF(I320="horista",H320*Dashboard!$D$15,IF(OR(I320="Mensalista",I320="PJ"),H320,))</f>
        <v>4500</v>
      </c>
      <c r="K320" s="81">
        <f>IF(I320="PJ",J320,ROUND(J320*(1+Dashboard!$D$22),2))</f>
        <v>4770</v>
      </c>
      <c r="L320" s="77"/>
      <c r="M320" s="180"/>
      <c r="P320" s="109">
        <f>IF($BD320&gt;0,(((($BD320/Dashboard!$D$15)*(1+Precificação!$W$589)))+$P$26)*(1+Dashboard!$D$35),0)</f>
        <v>0</v>
      </c>
      <c r="Q320" s="109">
        <f>IF($BD320&gt;0,(((($BD320/Dashboard!$D$23)+(1+Precificação!$W$589))*(1+Q$28))+$P$26)*(1+Dashboard!$D$35),0)</f>
        <v>0</v>
      </c>
      <c r="R320" s="109">
        <f>IF($BD320&gt;0,(((($BD320/Dashboard!$D$23)+(1+Precificação!$W$589))*(1+R$28))+$P$26)*(1+Dashboard!$D$35),0)</f>
        <v>0</v>
      </c>
      <c r="S320" s="109">
        <f>IF($BD320&gt;0,(((($BD320/Dashboard!$D$23)+(1+Precificação!$W$589))*(1+S$28))+$P$26)*(1+Dashboard!$D$35),0)</f>
        <v>0</v>
      </c>
      <c r="U320" s="109">
        <f t="shared" si="227"/>
        <v>0</v>
      </c>
      <c r="V320" s="109">
        <f t="shared" si="228"/>
        <v>0</v>
      </c>
      <c r="W320" s="109">
        <f t="shared" si="229"/>
        <v>0</v>
      </c>
      <c r="X320" s="109">
        <f t="shared" si="230"/>
        <v>0</v>
      </c>
      <c r="AA320" s="109">
        <f>IF($BD320&gt;0,(((($BD320/Dashboard!$D$23)*(1+Precificação!$W$589)))+$AA$26)*(1+Dashboard!$D$35),0)</f>
        <v>0</v>
      </c>
      <c r="AB320" s="109">
        <f>IF($BD320&gt;0,(((($BD320/Dashboard!$D$23)*(1+Precificação!$W$589))*(1+AB$28))+$AA$26)*(1+Dashboard!$D$35),0)</f>
        <v>0</v>
      </c>
      <c r="AC320" s="109">
        <f>IF($BD320&gt;0,(((($BD320/Dashboard!$D$23)*(1+Precificação!$W$589))*(1+AC$28))+$AA$26)*(1+Dashboard!$D$35),0)</f>
        <v>0</v>
      </c>
      <c r="AD320" s="109">
        <f>IF($BD320&gt;0,(((($BD320/Dashboard!$D$23)*(1+Precificação!$W$589))*(1+AD$28))+$AA$26)*(1+Dashboard!$D$35),0)</f>
        <v>0</v>
      </c>
      <c r="AF320" s="109">
        <f t="shared" si="231"/>
        <v>0</v>
      </c>
      <c r="AG320" s="109">
        <f t="shared" si="232"/>
        <v>0</v>
      </c>
      <c r="AH320" s="109">
        <f t="shared" si="233"/>
        <v>0</v>
      </c>
      <c r="AI320" s="109">
        <f t="shared" si="234"/>
        <v>0</v>
      </c>
      <c r="AL320" s="109">
        <f>IF($BD320&gt;0,(((($BD320/Dashboard!$D$23)*(1+Precificação!$W$589)))+$AL$26)*(1+Dashboard!$D$35),0)</f>
        <v>0</v>
      </c>
      <c r="AM320" s="109">
        <f>IF($BD320&gt;0,(((($BD320/Dashboard!$D$23)*(1+Precificação!$W$589))*(1+AM$28))+$AA$26)*(1+Dashboard!$D$35),0)</f>
        <v>0</v>
      </c>
      <c r="AN320" s="109">
        <f>IF($BD320&gt;0,(((($BD320/Dashboard!$D$23)*(1+Precificação!$W$589))*(1+AN$28))+$AA$26)*(1+Dashboard!$D$35),0)</f>
        <v>0</v>
      </c>
      <c r="AO320" s="109">
        <f>IF($BD320&gt;0,(((($BD320/Dashboard!$D$23)*(1+Precificação!$W$589))*(1+AO$28))+$AA$26)*(1+Dashboard!$D$35),0)</f>
        <v>0</v>
      </c>
      <c r="AQ320" s="109">
        <f t="shared" si="235"/>
        <v>0</v>
      </c>
      <c r="AR320" s="109">
        <f t="shared" si="236"/>
        <v>0</v>
      </c>
      <c r="AS320" s="109">
        <f t="shared" si="237"/>
        <v>0</v>
      </c>
      <c r="AT320" s="109">
        <f t="shared" si="238"/>
        <v>0</v>
      </c>
      <c r="AW320" s="144">
        <f>VLOOKUP(B320,'Cronog. e Histog.'!$B$213:$BT$688,71,0)</f>
        <v>0</v>
      </c>
      <c r="AX320" s="144">
        <f>VLOOKUP(B320,'Cronog. e Histog.'!$B$213:$BU$688,72,0)</f>
        <v>0</v>
      </c>
      <c r="AY320" s="144">
        <f>$AW320*$AX320*Dashboard!$D$15</f>
        <v>0</v>
      </c>
      <c r="AZ320" s="144">
        <f>VLOOKUP(B320,Precificação!$B$96:$BM$533,54,0)</f>
        <v>0</v>
      </c>
      <c r="BA320" s="144">
        <f>VLOOKUP(B320,Precificação!$B$96:$BR$533,58,0)</f>
        <v>0</v>
      </c>
      <c r="BB320" s="144">
        <f>VLOOKUP(B320,Precificação!$B$96:$BW$533,62,0)</f>
        <v>0</v>
      </c>
      <c r="BC320" s="144">
        <f t="shared" si="239"/>
        <v>0</v>
      </c>
      <c r="BD320" s="109">
        <f>IFERROR(VLOOKUP(B320,Precificação!$B$96:$S$533,13,0),0)</f>
        <v>0</v>
      </c>
      <c r="BE320" s="109">
        <f>IFERROR(VLOOKUP(B320,Precificação!$B$96:$U$533,15,0)/(Precificação!$U$4+Precificação!$U$91),0)*Dashboard!$T$3</f>
        <v>0</v>
      </c>
    </row>
    <row r="321" spans="2:57" ht="12" customHeight="1" outlineLevel="1">
      <c r="B321" s="137" t="str">
        <f>Precificação!B308</f>
        <v>TEC I - Equipe_01</v>
      </c>
      <c r="D321" s="512"/>
      <c r="E321" s="143" t="str">
        <f>IF('Cronog. e Histog.'!G443&gt;0,'Cronog. e Histog.'!G443,"")</f>
        <v>TEC I</v>
      </c>
      <c r="G321" s="179">
        <f t="shared" si="226"/>
        <v>0</v>
      </c>
      <c r="H321" s="110">
        <f>IFERROR(INDEX('Base Salarial'!$D$5:$F$25,MATCH(E321,'Base Salarial'!$G$5:$G$25,0),MATCH(I321,'Base Salarial'!$D$4:$F$4,0)),"")</f>
        <v>3000</v>
      </c>
      <c r="I321" s="78" t="str">
        <f>IFERROR(INDEX(Tarefas!$BQ$29:$FK$29,MATCH(E321,Tarefas!$BQ$30:$FK$30,0)),"")</f>
        <v>Mensalista</v>
      </c>
      <c r="J321" s="81">
        <f>IF(I321="horista",H321*Dashboard!$D$15,IF(OR(I321="Mensalista",I321="PJ"),H321,))</f>
        <v>3000</v>
      </c>
      <c r="K321" s="81">
        <f>IF(I321="PJ",J321,ROUND(J321*(1+Dashboard!$D$22),2))</f>
        <v>3180</v>
      </c>
      <c r="L321" s="77"/>
      <c r="M321" s="180"/>
      <c r="P321" s="109">
        <f>IF($BD321&gt;0,(((($BD321/Dashboard!$D$15)*(1+Precificação!$W$589)))+$P$26)*(1+Dashboard!$D$35),0)</f>
        <v>0</v>
      </c>
      <c r="Q321" s="109">
        <f>IF($BD321&gt;0,(((($BD321/Dashboard!$D$23)+(1+Precificação!$W$589))*(1+Q$28))+$P$26)*(1+Dashboard!$D$35),0)</f>
        <v>0</v>
      </c>
      <c r="R321" s="109">
        <f>IF($BD321&gt;0,(((($BD321/Dashboard!$D$23)+(1+Precificação!$W$589))*(1+R$28))+$P$26)*(1+Dashboard!$D$35),0)</f>
        <v>0</v>
      </c>
      <c r="S321" s="109">
        <f>IF($BD321&gt;0,(((($BD321/Dashboard!$D$23)+(1+Precificação!$W$589))*(1+S$28))+$P$26)*(1+Dashboard!$D$35),0)</f>
        <v>0</v>
      </c>
      <c r="U321" s="109">
        <f t="shared" si="227"/>
        <v>0</v>
      </c>
      <c r="V321" s="109">
        <f t="shared" si="228"/>
        <v>0</v>
      </c>
      <c r="W321" s="109">
        <f t="shared" si="229"/>
        <v>0</v>
      </c>
      <c r="X321" s="109">
        <f t="shared" si="230"/>
        <v>0</v>
      </c>
      <c r="AA321" s="109">
        <f>IF($BD321&gt;0,(((($BD321/Dashboard!$D$23)*(1+Precificação!$W$589)))+$AA$26)*(1+Dashboard!$D$35),0)</f>
        <v>0</v>
      </c>
      <c r="AB321" s="109">
        <f>IF($BD321&gt;0,(((($BD321/Dashboard!$D$23)*(1+Precificação!$W$589))*(1+AB$28))+$AA$26)*(1+Dashboard!$D$35),0)</f>
        <v>0</v>
      </c>
      <c r="AC321" s="109">
        <f>IF($BD321&gt;0,(((($BD321/Dashboard!$D$23)*(1+Precificação!$W$589))*(1+AC$28))+$AA$26)*(1+Dashboard!$D$35),0)</f>
        <v>0</v>
      </c>
      <c r="AD321" s="109">
        <f>IF($BD321&gt;0,(((($BD321/Dashboard!$D$23)*(1+Precificação!$W$589))*(1+AD$28))+$AA$26)*(1+Dashboard!$D$35),0)</f>
        <v>0</v>
      </c>
      <c r="AF321" s="109">
        <f t="shared" si="231"/>
        <v>0</v>
      </c>
      <c r="AG321" s="109">
        <f t="shared" si="232"/>
        <v>0</v>
      </c>
      <c r="AH321" s="109">
        <f t="shared" si="233"/>
        <v>0</v>
      </c>
      <c r="AI321" s="109">
        <f t="shared" si="234"/>
        <v>0</v>
      </c>
      <c r="AL321" s="109">
        <f>IF($BD321&gt;0,(((($BD321/Dashboard!$D$23)*(1+Precificação!$W$589)))+$AL$26)*(1+Dashboard!$D$35),0)</f>
        <v>0</v>
      </c>
      <c r="AM321" s="109">
        <f>IF($BD321&gt;0,(((($BD321/Dashboard!$D$23)*(1+Precificação!$W$589))*(1+AM$28))+$AA$26)*(1+Dashboard!$D$35),0)</f>
        <v>0</v>
      </c>
      <c r="AN321" s="109">
        <f>IF($BD321&gt;0,(((($BD321/Dashboard!$D$23)*(1+Precificação!$W$589))*(1+AN$28))+$AA$26)*(1+Dashboard!$D$35),0)</f>
        <v>0</v>
      </c>
      <c r="AO321" s="109">
        <f>IF($BD321&gt;0,(((($BD321/Dashboard!$D$23)*(1+Precificação!$W$589))*(1+AO$28))+$AA$26)*(1+Dashboard!$D$35),0)</f>
        <v>0</v>
      </c>
      <c r="AQ321" s="109">
        <f t="shared" si="235"/>
        <v>0</v>
      </c>
      <c r="AR321" s="109">
        <f t="shared" si="236"/>
        <v>0</v>
      </c>
      <c r="AS321" s="109">
        <f t="shared" si="237"/>
        <v>0</v>
      </c>
      <c r="AT321" s="109">
        <f t="shared" si="238"/>
        <v>0</v>
      </c>
      <c r="AW321" s="144">
        <f>VLOOKUP(B321,'Cronog. e Histog.'!$B$213:$BT$688,71,0)</f>
        <v>0</v>
      </c>
      <c r="AX321" s="144">
        <f>VLOOKUP(B321,'Cronog. e Histog.'!$B$213:$BU$688,72,0)</f>
        <v>0</v>
      </c>
      <c r="AY321" s="144">
        <f>$AW321*$AX321*Dashboard!$D$15</f>
        <v>0</v>
      </c>
      <c r="AZ321" s="144">
        <f>VLOOKUP(B321,Precificação!$B$96:$BM$533,54,0)</f>
        <v>0</v>
      </c>
      <c r="BA321" s="144">
        <f>VLOOKUP(B321,Precificação!$B$96:$BR$533,58,0)</f>
        <v>0</v>
      </c>
      <c r="BB321" s="144">
        <f>VLOOKUP(B321,Precificação!$B$96:$BW$533,62,0)</f>
        <v>0</v>
      </c>
      <c r="BC321" s="144">
        <f t="shared" si="239"/>
        <v>0</v>
      </c>
      <c r="BD321" s="109">
        <f>IFERROR(VLOOKUP(B321,Precificação!$B$96:$S$533,13,0),0)</f>
        <v>0</v>
      </c>
      <c r="BE321" s="109">
        <f>IFERROR(VLOOKUP(B321,Precificação!$B$96:$U$533,15,0)/(Precificação!$U$4+Precificação!$U$91),0)*Dashboard!$T$3</f>
        <v>0</v>
      </c>
    </row>
    <row r="322" spans="2:57" ht="12" customHeight="1" outlineLevel="1">
      <c r="B322" s="137" t="str">
        <f>Precificação!B309</f>
        <v>AUX TEC - Equipe_01</v>
      </c>
      <c r="D322" s="512"/>
      <c r="E322" s="143" t="str">
        <f>IF('Cronog. e Histog.'!G444&gt;0,'Cronog. e Histog.'!G444,"")</f>
        <v>AUX TEC</v>
      </c>
      <c r="G322" s="179">
        <f t="shared" si="226"/>
        <v>0</v>
      </c>
      <c r="H322" s="110">
        <f>IFERROR(INDEX('Base Salarial'!$D$5:$F$25,MATCH(E322,'Base Salarial'!$G$5:$G$25,0),MATCH(I322,'Base Salarial'!$D$4:$F$4,0)),"")</f>
        <v>3500</v>
      </c>
      <c r="I322" s="78" t="str">
        <f>IFERROR(INDEX(Tarefas!$BQ$29:$FK$29,MATCH(E322,Tarefas!$BQ$30:$FK$30,0)),"")</f>
        <v>Mensalista</v>
      </c>
      <c r="J322" s="81">
        <f>IF(I322="horista",H322*Dashboard!$D$15,IF(OR(I322="Mensalista",I322="PJ"),H322,))</f>
        <v>3500</v>
      </c>
      <c r="K322" s="81">
        <f>IF(I322="PJ",J322,ROUND(J322*(1+Dashboard!$D$22),2))</f>
        <v>3710</v>
      </c>
      <c r="L322" s="77"/>
      <c r="M322" s="180"/>
      <c r="P322" s="109">
        <f>IF($BD322&gt;0,(((($BD322/Dashboard!$D$15)*(1+Precificação!$W$589)))+$P$26)*(1+Dashboard!$D$35),0)</f>
        <v>0</v>
      </c>
      <c r="Q322" s="109">
        <f>IF($BD322&gt;0,(((($BD322/Dashboard!$D$23)+(1+Precificação!$W$589))*(1+Q$28))+$P$26)*(1+Dashboard!$D$35),0)</f>
        <v>0</v>
      </c>
      <c r="R322" s="109">
        <f>IF($BD322&gt;0,(((($BD322/Dashboard!$D$23)+(1+Precificação!$W$589))*(1+R$28))+$P$26)*(1+Dashboard!$D$35),0)</f>
        <v>0</v>
      </c>
      <c r="S322" s="109">
        <f>IF($BD322&gt;0,(((($BD322/Dashboard!$D$23)+(1+Precificação!$W$589))*(1+S$28))+$P$26)*(1+Dashboard!$D$35),0)</f>
        <v>0</v>
      </c>
      <c r="U322" s="109">
        <f t="shared" si="227"/>
        <v>0</v>
      </c>
      <c r="V322" s="109">
        <f t="shared" si="228"/>
        <v>0</v>
      </c>
      <c r="W322" s="109">
        <f t="shared" si="229"/>
        <v>0</v>
      </c>
      <c r="X322" s="109">
        <f t="shared" si="230"/>
        <v>0</v>
      </c>
      <c r="AA322" s="109">
        <f>IF($BD322&gt;0,(((($BD322/Dashboard!$D$23)*(1+Precificação!$W$589)))+$AA$26)*(1+Dashboard!$D$35),0)</f>
        <v>0</v>
      </c>
      <c r="AB322" s="109">
        <f>IF($BD322&gt;0,(((($BD322/Dashboard!$D$23)*(1+Precificação!$W$589))*(1+AB$28))+$AA$26)*(1+Dashboard!$D$35),0)</f>
        <v>0</v>
      </c>
      <c r="AC322" s="109">
        <f>IF($BD322&gt;0,(((($BD322/Dashboard!$D$23)*(1+Precificação!$W$589))*(1+AC$28))+$AA$26)*(1+Dashboard!$D$35),0)</f>
        <v>0</v>
      </c>
      <c r="AD322" s="109">
        <f>IF($BD322&gt;0,(((($BD322/Dashboard!$D$23)*(1+Precificação!$W$589))*(1+AD$28))+$AA$26)*(1+Dashboard!$D$35),0)</f>
        <v>0</v>
      </c>
      <c r="AF322" s="109">
        <f t="shared" si="231"/>
        <v>0</v>
      </c>
      <c r="AG322" s="109">
        <f t="shared" si="232"/>
        <v>0</v>
      </c>
      <c r="AH322" s="109">
        <f t="shared" si="233"/>
        <v>0</v>
      </c>
      <c r="AI322" s="109">
        <f t="shared" si="234"/>
        <v>0</v>
      </c>
      <c r="AL322" s="109">
        <f>IF($BD322&gt;0,(((($BD322/Dashboard!$D$23)*(1+Precificação!$W$589)))+$AL$26)*(1+Dashboard!$D$35),0)</f>
        <v>0</v>
      </c>
      <c r="AM322" s="109">
        <f>IF($BD322&gt;0,(((($BD322/Dashboard!$D$23)*(1+Precificação!$W$589))*(1+AM$28))+$AA$26)*(1+Dashboard!$D$35),0)</f>
        <v>0</v>
      </c>
      <c r="AN322" s="109">
        <f>IF($BD322&gt;0,(((($BD322/Dashboard!$D$23)*(1+Precificação!$W$589))*(1+AN$28))+$AA$26)*(1+Dashboard!$D$35),0)</f>
        <v>0</v>
      </c>
      <c r="AO322" s="109">
        <f>IF($BD322&gt;0,(((($BD322/Dashboard!$D$23)*(1+Precificação!$W$589))*(1+AO$28))+$AA$26)*(1+Dashboard!$D$35),0)</f>
        <v>0</v>
      </c>
      <c r="AQ322" s="109">
        <f t="shared" si="235"/>
        <v>0</v>
      </c>
      <c r="AR322" s="109">
        <f t="shared" si="236"/>
        <v>0</v>
      </c>
      <c r="AS322" s="109">
        <f t="shared" si="237"/>
        <v>0</v>
      </c>
      <c r="AT322" s="109">
        <f t="shared" si="238"/>
        <v>0</v>
      </c>
      <c r="AW322" s="144">
        <f>VLOOKUP(B322,'Cronog. e Histog.'!$B$213:$BT$688,71,0)</f>
        <v>0</v>
      </c>
      <c r="AX322" s="144">
        <f>VLOOKUP(B322,'Cronog. e Histog.'!$B$213:$BU$688,72,0)</f>
        <v>0</v>
      </c>
      <c r="AY322" s="144">
        <f>$AW322*$AX322*Dashboard!$D$15</f>
        <v>0</v>
      </c>
      <c r="AZ322" s="144">
        <f>VLOOKUP(B322,Precificação!$B$96:$BM$533,54,0)</f>
        <v>0</v>
      </c>
      <c r="BA322" s="144">
        <f>VLOOKUP(B322,Precificação!$B$96:$BR$533,58,0)</f>
        <v>0</v>
      </c>
      <c r="BB322" s="144">
        <f>VLOOKUP(B322,Precificação!$B$96:$BW$533,62,0)</f>
        <v>0</v>
      </c>
      <c r="BC322" s="144">
        <f t="shared" si="239"/>
        <v>0</v>
      </c>
      <c r="BD322" s="109">
        <f>IFERROR(VLOOKUP(B322,Precificação!$B$96:$S$533,13,0),0)</f>
        <v>0</v>
      </c>
      <c r="BE322" s="109">
        <f>IFERROR(VLOOKUP(B322,Precificação!$B$96:$U$533,15,0)/(Precificação!$U$4+Precificação!$U$91),0)*Dashboard!$T$3</f>
        <v>0</v>
      </c>
    </row>
    <row r="323" spans="2:57" ht="12" customHeight="1" outlineLevel="1">
      <c r="B323" s="137" t="str">
        <f>Precificação!B310</f>
        <v>AUX ADM - Equipe_01</v>
      </c>
      <c r="D323" s="512"/>
      <c r="E323" s="143" t="str">
        <f>IF('Cronog. e Histog.'!G445&gt;0,'Cronog. e Histog.'!G445,"")</f>
        <v>AUX ADM</v>
      </c>
      <c r="G323" s="179">
        <f t="shared" si="226"/>
        <v>0</v>
      </c>
      <c r="H323" s="110">
        <f>IFERROR(INDEX('Base Salarial'!$D$5:$F$25,MATCH(E323,'Base Salarial'!$G$5:$G$25,0),MATCH(I323,'Base Salarial'!$D$4:$F$4,0)),"")</f>
        <v>1804</v>
      </c>
      <c r="I323" s="78" t="str">
        <f>IFERROR(INDEX(Tarefas!$BQ$29:$FK$29,MATCH(E323,Tarefas!$BQ$30:$FK$30,0)),"")</f>
        <v>Mensalista</v>
      </c>
      <c r="J323" s="81">
        <f>IF(I323="horista",H323*Dashboard!$D$15,IF(OR(I323="Mensalista",I323="PJ"),H323,))</f>
        <v>1804</v>
      </c>
      <c r="K323" s="81">
        <f>IF(I323="PJ",J323,ROUND(J323*(1+Dashboard!$D$22),2))</f>
        <v>1912.24</v>
      </c>
      <c r="L323" s="77"/>
      <c r="M323" s="180"/>
      <c r="P323" s="109">
        <f>IF($BD323&gt;0,(((($BD323/Dashboard!$D$15)*(1+Precificação!$W$589)))+$P$26)*(1+Dashboard!$D$35),0)</f>
        <v>0</v>
      </c>
      <c r="Q323" s="109">
        <f>IF($BD323&gt;0,(((($BD323/Dashboard!$D$23)+(1+Precificação!$W$589))*(1+Q$28))+$P$26)*(1+Dashboard!$D$35),0)</f>
        <v>0</v>
      </c>
      <c r="R323" s="109">
        <f>IF($BD323&gt;0,(((($BD323/Dashboard!$D$23)+(1+Precificação!$W$589))*(1+R$28))+$P$26)*(1+Dashboard!$D$35),0)</f>
        <v>0</v>
      </c>
      <c r="S323" s="109">
        <f>IF($BD323&gt;0,(((($BD323/Dashboard!$D$23)+(1+Precificação!$W$589))*(1+S$28))+$P$26)*(1+Dashboard!$D$35),0)</f>
        <v>0</v>
      </c>
      <c r="U323" s="109">
        <f t="shared" si="227"/>
        <v>0</v>
      </c>
      <c r="V323" s="109">
        <f t="shared" si="228"/>
        <v>0</v>
      </c>
      <c r="W323" s="109">
        <f t="shared" si="229"/>
        <v>0</v>
      </c>
      <c r="X323" s="109">
        <f t="shared" si="230"/>
        <v>0</v>
      </c>
      <c r="AA323" s="109">
        <f>IF($BD323&gt;0,(((($BD323/Dashboard!$D$23)*(1+Precificação!$W$589)))+$AA$26)*(1+Dashboard!$D$35),0)</f>
        <v>0</v>
      </c>
      <c r="AB323" s="109">
        <f>IF($BD323&gt;0,(((($BD323/Dashboard!$D$23)*(1+Precificação!$W$589))*(1+AB$28))+$AA$26)*(1+Dashboard!$D$35),0)</f>
        <v>0</v>
      </c>
      <c r="AC323" s="109">
        <f>IF($BD323&gt;0,(((($BD323/Dashboard!$D$23)*(1+Precificação!$W$589))*(1+AC$28))+$AA$26)*(1+Dashboard!$D$35),0)</f>
        <v>0</v>
      </c>
      <c r="AD323" s="109">
        <f>IF($BD323&gt;0,(((($BD323/Dashboard!$D$23)*(1+Precificação!$W$589))*(1+AD$28))+$AA$26)*(1+Dashboard!$D$35),0)</f>
        <v>0</v>
      </c>
      <c r="AF323" s="109">
        <f t="shared" si="231"/>
        <v>0</v>
      </c>
      <c r="AG323" s="109">
        <f t="shared" si="232"/>
        <v>0</v>
      </c>
      <c r="AH323" s="109">
        <f t="shared" si="233"/>
        <v>0</v>
      </c>
      <c r="AI323" s="109">
        <f t="shared" si="234"/>
        <v>0</v>
      </c>
      <c r="AL323" s="109">
        <f>IF($BD323&gt;0,(((($BD323/Dashboard!$D$23)*(1+Precificação!$W$589)))+$AL$26)*(1+Dashboard!$D$35),0)</f>
        <v>0</v>
      </c>
      <c r="AM323" s="109">
        <f>IF($BD323&gt;0,(((($BD323/Dashboard!$D$23)*(1+Precificação!$W$589))*(1+AM$28))+$AA$26)*(1+Dashboard!$D$35),0)</f>
        <v>0</v>
      </c>
      <c r="AN323" s="109">
        <f>IF($BD323&gt;0,(((($BD323/Dashboard!$D$23)*(1+Precificação!$W$589))*(1+AN$28))+$AA$26)*(1+Dashboard!$D$35),0)</f>
        <v>0</v>
      </c>
      <c r="AO323" s="109">
        <f>IF($BD323&gt;0,(((($BD323/Dashboard!$D$23)*(1+Precificação!$W$589))*(1+AO$28))+$AA$26)*(1+Dashboard!$D$35),0)</f>
        <v>0</v>
      </c>
      <c r="AQ323" s="109">
        <f t="shared" si="235"/>
        <v>0</v>
      </c>
      <c r="AR323" s="109">
        <f t="shared" si="236"/>
        <v>0</v>
      </c>
      <c r="AS323" s="109">
        <f t="shared" si="237"/>
        <v>0</v>
      </c>
      <c r="AT323" s="109">
        <f t="shared" si="238"/>
        <v>0</v>
      </c>
      <c r="AW323" s="144">
        <f>VLOOKUP(B323,'Cronog. e Histog.'!$B$213:$BT$688,71,0)</f>
        <v>0</v>
      </c>
      <c r="AX323" s="144">
        <f>VLOOKUP(B323,'Cronog. e Histog.'!$B$213:$BU$688,72,0)</f>
        <v>0</v>
      </c>
      <c r="AY323" s="144">
        <f>$AW323*$AX323*Dashboard!$D$15</f>
        <v>0</v>
      </c>
      <c r="AZ323" s="144">
        <f>VLOOKUP(B323,Precificação!$B$96:$BM$533,54,0)</f>
        <v>0</v>
      </c>
      <c r="BA323" s="144">
        <f>VLOOKUP(B323,Precificação!$B$96:$BR$533,58,0)</f>
        <v>0</v>
      </c>
      <c r="BB323" s="144">
        <f>VLOOKUP(B323,Precificação!$B$96:$BW$533,62,0)</f>
        <v>0</v>
      </c>
      <c r="BC323" s="144">
        <f t="shared" si="239"/>
        <v>0</v>
      </c>
      <c r="BD323" s="109">
        <f>IFERROR(VLOOKUP(B323,Precificação!$B$96:$S$533,13,0),0)</f>
        <v>0</v>
      </c>
      <c r="BE323" s="109">
        <f>IFERROR(VLOOKUP(B323,Precificação!$B$96:$U$533,15,0)/(Precificação!$U$4+Precificação!$U$91),0)*Dashboard!$T$3</f>
        <v>0</v>
      </c>
    </row>
    <row r="324" spans="2:57" ht="12" customHeight="1" outlineLevel="1">
      <c r="B324" s="137" t="str">
        <f>Precificação!B311</f>
        <v>EST - Equipe_01</v>
      </c>
      <c r="D324" s="512"/>
      <c r="E324" s="143" t="str">
        <f>IF('Cronog. e Histog.'!G446&gt;0,'Cronog. e Histog.'!G446,"")</f>
        <v>EST</v>
      </c>
      <c r="G324" s="179">
        <f t="shared" si="226"/>
        <v>0</v>
      </c>
      <c r="H324" s="110">
        <f>IFERROR(INDEX('Base Salarial'!$D$5:$F$25,MATCH(E324,'Base Salarial'!$G$5:$G$25,0),MATCH(I324,'Base Salarial'!$D$4:$F$4,0)),"")</f>
        <v>1633</v>
      </c>
      <c r="I324" s="78" t="str">
        <f>IFERROR(INDEX(Tarefas!$BQ$29:$FK$29,MATCH(E324,Tarefas!$BQ$30:$FK$30,0)),"")</f>
        <v>PJ</v>
      </c>
      <c r="J324" s="81">
        <f>IF(I324="horista",H324*Dashboard!$D$15,IF(OR(I324="Mensalista",I324="PJ"),H324,))</f>
        <v>1633</v>
      </c>
      <c r="K324" s="81">
        <f>IF(I324="PJ",J324,ROUND(J324*(1+Dashboard!$D$22),2))</f>
        <v>1633</v>
      </c>
      <c r="L324" s="77"/>
      <c r="M324" s="180"/>
      <c r="P324" s="109">
        <f>IF($BD324&gt;0,(((($BD324/Dashboard!$D$15)*(1+Precificação!$W$589)))+$P$26)*(1+Dashboard!$D$35),0)</f>
        <v>0</v>
      </c>
      <c r="Q324" s="109">
        <f>IF($BD324&gt;0,(((($BD324/Dashboard!$D$23)+(1+Precificação!$W$589))*(1+Q$28))+$P$26)*(1+Dashboard!$D$35),0)</f>
        <v>0</v>
      </c>
      <c r="R324" s="109">
        <f>IF($BD324&gt;0,(((($BD324/Dashboard!$D$23)+(1+Precificação!$W$589))*(1+R$28))+$P$26)*(1+Dashboard!$D$35),0)</f>
        <v>0</v>
      </c>
      <c r="S324" s="109">
        <f>IF($BD324&gt;0,(((($BD324/Dashboard!$D$23)+(1+Precificação!$W$589))*(1+S$28))+$P$26)*(1+Dashboard!$D$35),0)</f>
        <v>0</v>
      </c>
      <c r="U324" s="109">
        <f t="shared" si="227"/>
        <v>0</v>
      </c>
      <c r="V324" s="109">
        <f t="shared" si="228"/>
        <v>0</v>
      </c>
      <c r="W324" s="109">
        <f t="shared" si="229"/>
        <v>0</v>
      </c>
      <c r="X324" s="109">
        <f t="shared" si="230"/>
        <v>0</v>
      </c>
      <c r="AA324" s="109">
        <f>IF($BD324&gt;0,(((($BD324/Dashboard!$D$23)*(1+Precificação!$W$589)))+$AA$26)*(1+Dashboard!$D$35),0)</f>
        <v>0</v>
      </c>
      <c r="AB324" s="109">
        <f>IF($BD324&gt;0,(((($BD324/Dashboard!$D$23)*(1+Precificação!$W$589))*(1+AB$28))+$AA$26)*(1+Dashboard!$D$35),0)</f>
        <v>0</v>
      </c>
      <c r="AC324" s="109">
        <f>IF($BD324&gt;0,(((($BD324/Dashboard!$D$23)*(1+Precificação!$W$589))*(1+AC$28))+$AA$26)*(1+Dashboard!$D$35),0)</f>
        <v>0</v>
      </c>
      <c r="AD324" s="109">
        <f>IF($BD324&gt;0,(((($BD324/Dashboard!$D$23)*(1+Precificação!$W$589))*(1+AD$28))+$AA$26)*(1+Dashboard!$D$35),0)</f>
        <v>0</v>
      </c>
      <c r="AF324" s="109">
        <f t="shared" si="231"/>
        <v>0</v>
      </c>
      <c r="AG324" s="109">
        <f t="shared" si="232"/>
        <v>0</v>
      </c>
      <c r="AH324" s="109">
        <f t="shared" si="233"/>
        <v>0</v>
      </c>
      <c r="AI324" s="109">
        <f t="shared" si="234"/>
        <v>0</v>
      </c>
      <c r="AL324" s="109">
        <f>IF($BD324&gt;0,(((($BD324/Dashboard!$D$23)*(1+Precificação!$W$589)))+$AL$26)*(1+Dashboard!$D$35),0)</f>
        <v>0</v>
      </c>
      <c r="AM324" s="109">
        <f>IF($BD324&gt;0,(((($BD324/Dashboard!$D$23)*(1+Precificação!$W$589))*(1+AM$28))+$AA$26)*(1+Dashboard!$D$35),0)</f>
        <v>0</v>
      </c>
      <c r="AN324" s="109">
        <f>IF($BD324&gt;0,(((($BD324/Dashboard!$D$23)*(1+Precificação!$W$589))*(1+AN$28))+$AA$26)*(1+Dashboard!$D$35),0)</f>
        <v>0</v>
      </c>
      <c r="AO324" s="109">
        <f>IF($BD324&gt;0,(((($BD324/Dashboard!$D$23)*(1+Precificação!$W$589))*(1+AO$28))+$AA$26)*(1+Dashboard!$D$35),0)</f>
        <v>0</v>
      </c>
      <c r="AQ324" s="109">
        <f t="shared" si="235"/>
        <v>0</v>
      </c>
      <c r="AR324" s="109">
        <f t="shared" si="236"/>
        <v>0</v>
      </c>
      <c r="AS324" s="109">
        <f t="shared" si="237"/>
        <v>0</v>
      </c>
      <c r="AT324" s="109">
        <f t="shared" si="238"/>
        <v>0</v>
      </c>
      <c r="AW324" s="144">
        <f>VLOOKUP(B324,'Cronog. e Histog.'!$B$213:$BT$688,71,0)</f>
        <v>0</v>
      </c>
      <c r="AX324" s="144">
        <f>VLOOKUP(B324,'Cronog. e Histog.'!$B$213:$BU$688,72,0)</f>
        <v>0</v>
      </c>
      <c r="AY324" s="144">
        <f>$AW324*$AX324*Dashboard!$D$15</f>
        <v>0</v>
      </c>
      <c r="AZ324" s="144">
        <f>VLOOKUP(B324,Precificação!$B$96:$BM$533,54,0)</f>
        <v>0</v>
      </c>
      <c r="BA324" s="144">
        <f>VLOOKUP(B324,Precificação!$B$96:$BR$533,58,0)</f>
        <v>0</v>
      </c>
      <c r="BB324" s="144">
        <f>VLOOKUP(B324,Precificação!$B$96:$BW$533,62,0)</f>
        <v>0</v>
      </c>
      <c r="BC324" s="144">
        <f t="shared" si="239"/>
        <v>0</v>
      </c>
      <c r="BD324" s="109">
        <f>IFERROR(VLOOKUP(B324,Precificação!$B$96:$S$533,13,0),0)</f>
        <v>0</v>
      </c>
      <c r="BE324" s="109">
        <f>IFERROR(VLOOKUP(B324,Precificação!$B$96:$U$533,15,0)/(Precificação!$U$4+Precificação!$U$91),0)*Dashboard!$T$3</f>
        <v>0</v>
      </c>
    </row>
    <row r="325" spans="2:57" ht="12" customHeight="1" outlineLevel="1">
      <c r="B325" s="137" t="str">
        <f>Precificação!B312</f>
        <v>EST_II - Equipe_01</v>
      </c>
      <c r="D325" s="512"/>
      <c r="E325" s="143" t="str">
        <f>IF('Cronog. e Histog.'!G447&gt;0,'Cronog. e Histog.'!G447,"")</f>
        <v>EST_II</v>
      </c>
      <c r="G325" s="179">
        <f t="shared" si="226"/>
        <v>0</v>
      </c>
      <c r="H325" s="110">
        <f>IFERROR(INDEX('Base Salarial'!$D$5:$F$25,MATCH(E325,'Base Salarial'!$G$5:$G$25,0),MATCH(I325,'Base Salarial'!$D$4:$F$4,0)),"")</f>
        <v>1633</v>
      </c>
      <c r="I325" s="78" t="str">
        <f>IFERROR(INDEX(Tarefas!$BQ$29:$FK$29,MATCH(E325,Tarefas!$BQ$30:$FK$30,0)),"")</f>
        <v>PJ</v>
      </c>
      <c r="J325" s="81">
        <f>IF(I325="horista",H325*Dashboard!$D$15,IF(OR(I325="Mensalista",I325="PJ"),H325,))</f>
        <v>1633</v>
      </c>
      <c r="K325" s="81">
        <f>IF(I325="PJ",J325,ROUND(J325*(1+Dashboard!$D$22),2))</f>
        <v>1633</v>
      </c>
      <c r="L325" s="77"/>
      <c r="M325" s="180"/>
      <c r="P325" s="109">
        <f>IF($BD325&gt;0,(((($BD325/Dashboard!$D$15)*(1+Precificação!$W$589)))+$P$26)*(1+Dashboard!$D$35),0)</f>
        <v>0</v>
      </c>
      <c r="Q325" s="109">
        <f>IF($BD325&gt;0,(((($BD325/Dashboard!$D$23)+(1+Precificação!$W$589))*(1+Q$28))+$P$26)*(1+Dashboard!$D$35),0)</f>
        <v>0</v>
      </c>
      <c r="R325" s="109">
        <f>IF($BD325&gt;0,(((($BD325/Dashboard!$D$23)+(1+Precificação!$W$589))*(1+R$28))+$P$26)*(1+Dashboard!$D$35),0)</f>
        <v>0</v>
      </c>
      <c r="S325" s="109">
        <f>IF($BD325&gt;0,(((($BD325/Dashboard!$D$23)+(1+Precificação!$W$589))*(1+S$28))+$P$26)*(1+Dashboard!$D$35),0)</f>
        <v>0</v>
      </c>
      <c r="U325" s="109">
        <f t="shared" si="227"/>
        <v>0</v>
      </c>
      <c r="V325" s="109">
        <f t="shared" si="228"/>
        <v>0</v>
      </c>
      <c r="W325" s="109">
        <f t="shared" si="229"/>
        <v>0</v>
      </c>
      <c r="X325" s="109">
        <f t="shared" si="230"/>
        <v>0</v>
      </c>
      <c r="AA325" s="109">
        <f>IF($BD325&gt;0,(((($BD325/Dashboard!$D$23)*(1+Precificação!$W$589)))+$AA$26)*(1+Dashboard!$D$35),0)</f>
        <v>0</v>
      </c>
      <c r="AB325" s="109">
        <f>IF($BD325&gt;0,(((($BD325/Dashboard!$D$23)*(1+Precificação!$W$589))*(1+AB$28))+$AA$26)*(1+Dashboard!$D$35),0)</f>
        <v>0</v>
      </c>
      <c r="AC325" s="109">
        <f>IF($BD325&gt;0,(((($BD325/Dashboard!$D$23)*(1+Precificação!$W$589))*(1+AC$28))+$AA$26)*(1+Dashboard!$D$35),0)</f>
        <v>0</v>
      </c>
      <c r="AD325" s="109">
        <f>IF($BD325&gt;0,(((($BD325/Dashboard!$D$23)*(1+Precificação!$W$589))*(1+AD$28))+$AA$26)*(1+Dashboard!$D$35),0)</f>
        <v>0</v>
      </c>
      <c r="AF325" s="109">
        <f t="shared" si="231"/>
        <v>0</v>
      </c>
      <c r="AG325" s="109">
        <f t="shared" si="232"/>
        <v>0</v>
      </c>
      <c r="AH325" s="109">
        <f t="shared" si="233"/>
        <v>0</v>
      </c>
      <c r="AI325" s="109">
        <f t="shared" si="234"/>
        <v>0</v>
      </c>
      <c r="AL325" s="109">
        <f>IF($BD325&gt;0,(((($BD325/Dashboard!$D$23)*(1+Precificação!$W$589)))+$AL$26)*(1+Dashboard!$D$35),0)</f>
        <v>0</v>
      </c>
      <c r="AM325" s="109">
        <f>IF($BD325&gt;0,(((($BD325/Dashboard!$D$23)*(1+Precificação!$W$589))*(1+AM$28))+$AA$26)*(1+Dashboard!$D$35),0)</f>
        <v>0</v>
      </c>
      <c r="AN325" s="109">
        <f>IF($BD325&gt;0,(((($BD325/Dashboard!$D$23)*(1+Precificação!$W$589))*(1+AN$28))+$AA$26)*(1+Dashboard!$D$35),0)</f>
        <v>0</v>
      </c>
      <c r="AO325" s="109">
        <f>IF($BD325&gt;0,(((($BD325/Dashboard!$D$23)*(1+Precificação!$W$589))*(1+AO$28))+$AA$26)*(1+Dashboard!$D$35),0)</f>
        <v>0</v>
      </c>
      <c r="AQ325" s="109">
        <f t="shared" si="235"/>
        <v>0</v>
      </c>
      <c r="AR325" s="109">
        <f t="shared" si="236"/>
        <v>0</v>
      </c>
      <c r="AS325" s="109">
        <f t="shared" si="237"/>
        <v>0</v>
      </c>
      <c r="AT325" s="109">
        <f t="shared" si="238"/>
        <v>0</v>
      </c>
      <c r="AW325" s="144">
        <f>VLOOKUP(B325,'Cronog. e Histog.'!$B$213:$BT$688,71,0)</f>
        <v>0</v>
      </c>
      <c r="AX325" s="144">
        <f>VLOOKUP(B325,'Cronog. e Histog.'!$B$213:$BU$688,72,0)</f>
        <v>0</v>
      </c>
      <c r="AY325" s="144">
        <f>$AW325*$AX325*Dashboard!$D$15</f>
        <v>0</v>
      </c>
      <c r="AZ325" s="144">
        <f>VLOOKUP(B325,Precificação!$B$96:$BM$533,54,0)</f>
        <v>0</v>
      </c>
      <c r="BA325" s="144">
        <f>VLOOKUP(B325,Precificação!$B$96:$BR$533,58,0)</f>
        <v>0</v>
      </c>
      <c r="BB325" s="144">
        <f>VLOOKUP(B325,Precificação!$B$96:$BW$533,62,0)</f>
        <v>0</v>
      </c>
      <c r="BC325" s="144">
        <f t="shared" si="239"/>
        <v>0</v>
      </c>
      <c r="BD325" s="109">
        <f>IFERROR(VLOOKUP(B325,Precificação!$B$96:$S$533,13,0),0)</f>
        <v>0</v>
      </c>
      <c r="BE325" s="109">
        <f>IFERROR(VLOOKUP(B325,Precificação!$B$96:$U$533,15,0)/(Precificação!$U$4+Precificação!$U$91),0)*Dashboard!$T$3</f>
        <v>0</v>
      </c>
    </row>
    <row r="326" spans="2:57" ht="12" customHeight="1" outlineLevel="1">
      <c r="B326" s="137" t="str">
        <f>Precificação!B313</f>
        <v>EST_III - Equipe_01</v>
      </c>
      <c r="D326" s="512"/>
      <c r="E326" s="143" t="str">
        <f>IF('Cronog. e Histog.'!G448&gt;0,'Cronog. e Histog.'!G448,"")</f>
        <v>EST_III</v>
      </c>
      <c r="G326" s="179">
        <f t="shared" si="226"/>
        <v>0</v>
      </c>
      <c r="H326" s="110">
        <f>IFERROR(INDEX('Base Salarial'!$D$5:$F$25,MATCH(E326,'Base Salarial'!$G$5:$G$25,0),MATCH(I326,'Base Salarial'!$D$4:$F$4,0)),"")</f>
        <v>1633</v>
      </c>
      <c r="I326" s="78" t="str">
        <f>IFERROR(INDEX(Tarefas!$BQ$29:$FK$29,MATCH(E326,Tarefas!$BQ$30:$FK$30,0)),"")</f>
        <v>PJ</v>
      </c>
      <c r="J326" s="81">
        <f>IF(I326="horista",H326*Dashboard!$D$15,IF(OR(I326="Mensalista",I326="PJ"),H326,))</f>
        <v>1633</v>
      </c>
      <c r="K326" s="81">
        <f>IF(I326="PJ",J326,ROUND(J326*(1+Dashboard!$D$22),2))</f>
        <v>1633</v>
      </c>
      <c r="L326" s="77"/>
      <c r="M326" s="180"/>
      <c r="P326" s="109">
        <f>IF($BD326&gt;0,(((($BD326/Dashboard!$D$15)*(1+Precificação!$W$589)))+$P$26)*(1+Dashboard!$D$35),0)</f>
        <v>0</v>
      </c>
      <c r="Q326" s="109">
        <f>IF($BD326&gt;0,(((($BD326/Dashboard!$D$23)+(1+Precificação!$W$589))*(1+Q$28))+$P$26)*(1+Dashboard!$D$35),0)</f>
        <v>0</v>
      </c>
      <c r="R326" s="109">
        <f>IF($BD326&gt;0,(((($BD326/Dashboard!$D$23)+(1+Precificação!$W$589))*(1+R$28))+$P$26)*(1+Dashboard!$D$35),0)</f>
        <v>0</v>
      </c>
      <c r="S326" s="109">
        <f>IF($BD326&gt;0,(((($BD326/Dashboard!$D$23)+(1+Precificação!$W$589))*(1+S$28))+$P$26)*(1+Dashboard!$D$35),0)</f>
        <v>0</v>
      </c>
      <c r="U326" s="109">
        <f t="shared" si="227"/>
        <v>0</v>
      </c>
      <c r="V326" s="109">
        <f t="shared" si="228"/>
        <v>0</v>
      </c>
      <c r="W326" s="109">
        <f t="shared" si="229"/>
        <v>0</v>
      </c>
      <c r="X326" s="109">
        <f t="shared" si="230"/>
        <v>0</v>
      </c>
      <c r="AA326" s="109">
        <f>IF($BD326&gt;0,(((($BD326/Dashboard!$D$23)*(1+Precificação!$W$589)))+$AA$26)*(1+Dashboard!$D$35),0)</f>
        <v>0</v>
      </c>
      <c r="AB326" s="109">
        <f>IF($BD326&gt;0,(((($BD326/Dashboard!$D$23)*(1+Precificação!$W$589))*(1+AB$28))+$AA$26)*(1+Dashboard!$D$35),0)</f>
        <v>0</v>
      </c>
      <c r="AC326" s="109">
        <f>IF($BD326&gt;0,(((($BD326/Dashboard!$D$23)*(1+Precificação!$W$589))*(1+AC$28))+$AA$26)*(1+Dashboard!$D$35),0)</f>
        <v>0</v>
      </c>
      <c r="AD326" s="109">
        <f>IF($BD326&gt;0,(((($BD326/Dashboard!$D$23)*(1+Precificação!$W$589))*(1+AD$28))+$AA$26)*(1+Dashboard!$D$35),0)</f>
        <v>0</v>
      </c>
      <c r="AF326" s="109">
        <f t="shared" si="231"/>
        <v>0</v>
      </c>
      <c r="AG326" s="109">
        <f t="shared" si="232"/>
        <v>0</v>
      </c>
      <c r="AH326" s="109">
        <f t="shared" si="233"/>
        <v>0</v>
      </c>
      <c r="AI326" s="109">
        <f t="shared" si="234"/>
        <v>0</v>
      </c>
      <c r="AL326" s="109">
        <f>IF($BD326&gt;0,(((($BD326/Dashboard!$D$23)*(1+Precificação!$W$589)))+$AL$26)*(1+Dashboard!$D$35),0)</f>
        <v>0</v>
      </c>
      <c r="AM326" s="109">
        <f>IF($BD326&gt;0,(((($BD326/Dashboard!$D$23)*(1+Precificação!$W$589))*(1+AM$28))+$AA$26)*(1+Dashboard!$D$35),0)</f>
        <v>0</v>
      </c>
      <c r="AN326" s="109">
        <f>IF($BD326&gt;0,(((($BD326/Dashboard!$D$23)*(1+Precificação!$W$589))*(1+AN$28))+$AA$26)*(1+Dashboard!$D$35),0)</f>
        <v>0</v>
      </c>
      <c r="AO326" s="109">
        <f>IF($BD326&gt;0,(((($BD326/Dashboard!$D$23)*(1+Precificação!$W$589))*(1+AO$28))+$AA$26)*(1+Dashboard!$D$35),0)</f>
        <v>0</v>
      </c>
      <c r="AQ326" s="109">
        <f t="shared" si="235"/>
        <v>0</v>
      </c>
      <c r="AR326" s="109">
        <f t="shared" si="236"/>
        <v>0</v>
      </c>
      <c r="AS326" s="109">
        <f t="shared" si="237"/>
        <v>0</v>
      </c>
      <c r="AT326" s="109">
        <f t="shared" si="238"/>
        <v>0</v>
      </c>
      <c r="AW326" s="144">
        <f>VLOOKUP(B326,'Cronog. e Histog.'!$B$213:$BT$688,71,0)</f>
        <v>0</v>
      </c>
      <c r="AX326" s="144">
        <f>VLOOKUP(B326,'Cronog. e Histog.'!$B$213:$BU$688,72,0)</f>
        <v>0</v>
      </c>
      <c r="AY326" s="144">
        <f>$AW326*$AX326*Dashboard!$D$15</f>
        <v>0</v>
      </c>
      <c r="AZ326" s="144">
        <f>VLOOKUP(B326,Precificação!$B$96:$BM$533,54,0)</f>
        <v>0</v>
      </c>
      <c r="BA326" s="144">
        <f>VLOOKUP(B326,Precificação!$B$96:$BR$533,58,0)</f>
        <v>0</v>
      </c>
      <c r="BB326" s="144">
        <f>VLOOKUP(B326,Precificação!$B$96:$BW$533,62,0)</f>
        <v>0</v>
      </c>
      <c r="BC326" s="144">
        <f t="shared" si="239"/>
        <v>0</v>
      </c>
      <c r="BD326" s="109">
        <f>IFERROR(VLOOKUP(B326,Precificação!$B$96:$S$533,13,0),0)</f>
        <v>0</v>
      </c>
      <c r="BE326" s="109">
        <f>IFERROR(VLOOKUP(B326,Precificação!$B$96:$U$533,15,0)/(Precificação!$U$4+Precificação!$U$91),0)*Dashboard!$T$3</f>
        <v>0</v>
      </c>
    </row>
    <row r="327" spans="2:57" ht="12" customHeight="1" outlineLevel="1"/>
    <row r="328" spans="2:57" ht="12" customHeight="1" outlineLevel="1">
      <c r="B328" s="137" t="str">
        <f>Precificação!B316</f>
        <v>GER. (OBRA/PROJ) - Equipe_01</v>
      </c>
      <c r="D328" s="512" t="str">
        <f>'Cronog. e Histog.'!F451</f>
        <v>Equipe11</v>
      </c>
      <c r="E328" s="143" t="str">
        <f>IF('Cronog. e Histog.'!G453&gt;0,'Cronog. e Histog.'!G453,"")</f>
        <v>GER. (OBRA/PROJ)</v>
      </c>
      <c r="G328" s="179">
        <f t="shared" ref="G328" si="240">IF(AND((AW328*AX328)&gt;0,K328=0),1,0)</f>
        <v>0</v>
      </c>
      <c r="H328" s="110">
        <f>IFERROR(INDEX('Base Salarial'!$D$5:$F$25,MATCH(E328,'Base Salarial'!$G$5:$G$25,0),MATCH(I328,'Base Salarial'!$D$4:$F$4,0)),"")</f>
        <v>21000</v>
      </c>
      <c r="I328" s="78" t="str">
        <f>IFERROR(INDEX(Tarefas!$BQ$29:$FK$29,MATCH(E328,Tarefas!$BQ$30:$FK$30,0)),"")</f>
        <v>PJ</v>
      </c>
      <c r="J328" s="81">
        <f>IF(I328="horista",H328*Dashboard!$D$15,IF(OR(I328="Mensalista",I328="PJ"),H328,))</f>
        <v>21000</v>
      </c>
      <c r="K328" s="81">
        <f>IF(I328="PJ",J328,ROUND(J328*(1+Dashboard!$D$22),2))</f>
        <v>21000</v>
      </c>
      <c r="L328" s="77"/>
      <c r="M328" s="180"/>
      <c r="P328" s="109">
        <f>IF($BD328&gt;0,(((($BD328/Dashboard!$D$15)*(1+Precificação!$W$589)))+$P$26)*(1+Dashboard!$D$35),0)</f>
        <v>0</v>
      </c>
      <c r="Q328" s="109">
        <f>IF($BD328&gt;0,(((($BD328/Dashboard!$D$23)+(1+Precificação!$W$589))*(1+Q$28))+$P$26)*(1+Dashboard!$D$35),0)</f>
        <v>0</v>
      </c>
      <c r="R328" s="109">
        <f>IF($BD328&gt;0,(((($BD328/Dashboard!$D$23)+(1+Precificação!$W$589))*(1+R$28))+$P$26)*(1+Dashboard!$D$35),0)</f>
        <v>0</v>
      </c>
      <c r="S328" s="109">
        <f>IF($BD328&gt;0,(((($BD328/Dashboard!$D$23)+(1+Precificação!$W$589))*(1+S$28))+$P$26)*(1+Dashboard!$D$35),0)</f>
        <v>0</v>
      </c>
      <c r="U328" s="109">
        <f>IF(P328&gt;0,P328+U$32,0)</f>
        <v>0</v>
      </c>
      <c r="V328" s="109">
        <f t="shared" ref="V328:X328" si="241">IF(Q328&gt;0,Q328+V$32,0)</f>
        <v>0</v>
      </c>
      <c r="W328" s="109">
        <f t="shared" si="241"/>
        <v>0</v>
      </c>
      <c r="X328" s="109">
        <f t="shared" si="241"/>
        <v>0</v>
      </c>
      <c r="AA328" s="109">
        <f>IF($BD328&gt;0,(((($BD328/Dashboard!$D$23)*(1+Precificação!$W$589)))+$AA$26)*(1+Dashboard!$D$35),0)</f>
        <v>0</v>
      </c>
      <c r="AB328" s="109">
        <f>IF($BD328&gt;0,(((($BD328/Dashboard!$D$23)*(1+Precificação!$W$589))*(1+AB$28))+$AA$26)*(1+Dashboard!$D$35),0)</f>
        <v>0</v>
      </c>
      <c r="AC328" s="109">
        <f>IF($BD328&gt;0,(((($BD328/Dashboard!$D$23)*(1+Precificação!$W$589))*(1+AC$28))+$AA$26)*(1+Dashboard!$D$35),0)</f>
        <v>0</v>
      </c>
      <c r="AD328" s="109">
        <f>IF($BD328&gt;0,(((($BD328/Dashboard!$D$23)*(1+Precificação!$W$589))*(1+AD$28))+$AA$26)*(1+Dashboard!$D$35),0)</f>
        <v>0</v>
      </c>
      <c r="AF328" s="109">
        <f>IF(AA328&gt;0,AA328+AF$32,0)</f>
        <v>0</v>
      </c>
      <c r="AG328" s="109">
        <f t="shared" ref="AG328" si="242">IF(AB328&gt;0,AB328+AG$32,0)</f>
        <v>0</v>
      </c>
      <c r="AH328" s="109">
        <f t="shared" ref="AH328" si="243">IF(AC328&gt;0,AC328+AH$32,0)</f>
        <v>0</v>
      </c>
      <c r="AI328" s="109">
        <f t="shared" ref="AI328" si="244">IF(AD328&gt;0,AD328+AI$32,0)</f>
        <v>0</v>
      </c>
      <c r="AL328" s="109">
        <f>IF($BD328&gt;0,(((($BD328/Dashboard!$D$23)*(1+Precificação!$W$589)))+$AL$26)*(1+Dashboard!$D$35),0)</f>
        <v>0</v>
      </c>
      <c r="AM328" s="109">
        <f>IF($BD328&gt;0,(((($BD328/Dashboard!$D$23)*(1+Precificação!$W$589))*(1+AM$28))+$AA$26)*(1+Dashboard!$D$35),0)</f>
        <v>0</v>
      </c>
      <c r="AN328" s="109">
        <f>IF($BD328&gt;0,(((($BD328/Dashboard!$D$23)*(1+Precificação!$W$589))*(1+AN$28))+$AA$26)*(1+Dashboard!$D$35),0)</f>
        <v>0</v>
      </c>
      <c r="AO328" s="109">
        <f>IF($BD328&gt;0,(((($BD328/Dashboard!$D$23)*(1+Precificação!$W$589))*(1+AO$28))+$AA$26)*(1+Dashboard!$D$35),0)</f>
        <v>0</v>
      </c>
      <c r="AQ328" s="109">
        <f>IF(AL328&gt;0,AL328+AQ$32,0)</f>
        <v>0</v>
      </c>
      <c r="AR328" s="109">
        <f t="shared" ref="AR328" si="245">IF(AM328&gt;0,AM328+AR$32,0)</f>
        <v>0</v>
      </c>
      <c r="AS328" s="109">
        <f t="shared" ref="AS328" si="246">IF(AN328&gt;0,AN328+AS$32,0)</f>
        <v>0</v>
      </c>
      <c r="AT328" s="109">
        <f t="shared" ref="AT328" si="247">IF(AO328&gt;0,AO328+AT$32,0)</f>
        <v>0</v>
      </c>
      <c r="AW328" s="144">
        <f>VLOOKUP(B328,'Cronog. e Histog.'!$B$213:$BT$688,71,0)</f>
        <v>1.9999999999999997E-2</v>
      </c>
      <c r="AX328" s="144">
        <f>VLOOKUP(B328,'Cronog. e Histog.'!$B$213:$BU$688,72,0)</f>
        <v>10</v>
      </c>
      <c r="AY328" s="144">
        <f>$AW328*$AX328*Dashboard!$D$15</f>
        <v>38.72</v>
      </c>
      <c r="AZ328" s="144">
        <f>VLOOKUP(B328,Precificação!$B$96:$BM$533,54,0)</f>
        <v>0</v>
      </c>
      <c r="BA328" s="144">
        <f>VLOOKUP(B328,Precificação!$B$96:$BR$533,58,0)</f>
        <v>0</v>
      </c>
      <c r="BB328" s="144">
        <f>VLOOKUP(B328,Precificação!$B$96:$BW$533,62,0)</f>
        <v>0</v>
      </c>
      <c r="BC328" s="144">
        <f t="shared" ref="BC328" si="248">SUM(AY328:BB328)</f>
        <v>38.72</v>
      </c>
      <c r="BD328" s="109">
        <f>IFERROR(VLOOKUP(B328,Precificação!$B$96:$S$533,13,0),0)</f>
        <v>0</v>
      </c>
      <c r="BE328" s="109">
        <f>IFERROR(VLOOKUP(B328,Precificação!$B$96:$U$533,15,0)/(Precificação!$U$4+Precificação!$U$91),0)*Dashboard!$T$3</f>
        <v>0</v>
      </c>
    </row>
    <row r="329" spans="2:57" ht="12" customHeight="1" outlineLevel="1">
      <c r="B329" s="137" t="str">
        <f>Precificação!B317</f>
        <v>COORD. - Equipe_01</v>
      </c>
      <c r="D329" s="512"/>
      <c r="E329" s="143" t="str">
        <f>IF('Cronog. e Histog.'!G454&gt;0,'Cronog. e Histog.'!G454,"")</f>
        <v>COORD.</v>
      </c>
      <c r="G329" s="179">
        <f t="shared" ref="G329:G347" si="249">IF(AND((AW329*AX329)&gt;0,K329=0),1,0)</f>
        <v>0</v>
      </c>
      <c r="H329" s="110">
        <f>IFERROR(INDEX('Base Salarial'!$D$5:$F$25,MATCH(E329,'Base Salarial'!$G$5:$G$25,0),MATCH(I329,'Base Salarial'!$D$4:$F$4,0)),"")</f>
        <v>19000</v>
      </c>
      <c r="I329" s="78" t="str">
        <f>IFERROR(INDEX(Tarefas!$BQ$29:$FK$29,MATCH(E329,Tarefas!$BQ$30:$FK$30,0)),"")</f>
        <v>PJ</v>
      </c>
      <c r="J329" s="81">
        <f>IF(I329="horista",H329*Dashboard!$D$15,IF(OR(I329="Mensalista",I329="PJ"),H329,))</f>
        <v>19000</v>
      </c>
      <c r="K329" s="81">
        <f>IF(I329="PJ",J329,ROUND(J329*(1+Dashboard!$D$22),2))</f>
        <v>19000</v>
      </c>
      <c r="L329" s="77"/>
      <c r="M329" s="180"/>
      <c r="P329" s="109">
        <f>IF($BD329&gt;0,(((($BD329/Dashboard!$D$15)*(1+Precificação!$W$589)))+$P$26)*(1+Dashboard!$D$35),0)</f>
        <v>0</v>
      </c>
      <c r="Q329" s="109">
        <f>IF($BD329&gt;0,(((($BD329/Dashboard!$D$23)+(1+Precificação!$W$589))*(1+Q$28))+$P$26)*(1+Dashboard!$D$35),0)</f>
        <v>0</v>
      </c>
      <c r="R329" s="109">
        <f>IF($BD329&gt;0,(((($BD329/Dashboard!$D$23)+(1+Precificação!$W$589))*(1+R$28))+$P$26)*(1+Dashboard!$D$35),0)</f>
        <v>0</v>
      </c>
      <c r="S329" s="109">
        <f>IF($BD329&gt;0,(((($BD329/Dashboard!$D$23)+(1+Precificação!$W$589))*(1+S$28))+$P$26)*(1+Dashboard!$D$35),0)</f>
        <v>0</v>
      </c>
      <c r="U329" s="109">
        <f t="shared" ref="U329:U347" si="250">IF(P329&gt;0,P329+U$32,0)</f>
        <v>0</v>
      </c>
      <c r="V329" s="109">
        <f t="shared" ref="V329:V347" si="251">IF(Q329&gt;0,Q329+V$32,0)</f>
        <v>0</v>
      </c>
      <c r="W329" s="109">
        <f t="shared" ref="W329:W347" si="252">IF(R329&gt;0,R329+W$32,0)</f>
        <v>0</v>
      </c>
      <c r="X329" s="109">
        <f t="shared" ref="X329:X347" si="253">IF(S329&gt;0,S329+X$32,0)</f>
        <v>0</v>
      </c>
      <c r="AA329" s="109">
        <f>IF($BD329&gt;0,(((($BD329/Dashboard!$D$23)*(1+Precificação!$W$589)))+$AA$26)*(1+Dashboard!$D$35),0)</f>
        <v>0</v>
      </c>
      <c r="AB329" s="109">
        <f>IF($BD329&gt;0,(((($BD329/Dashboard!$D$23)*(1+Precificação!$W$589))*(1+AB$28))+$AA$26)*(1+Dashboard!$D$35),0)</f>
        <v>0</v>
      </c>
      <c r="AC329" s="109">
        <f>IF($BD329&gt;0,(((($BD329/Dashboard!$D$23)*(1+Precificação!$W$589))*(1+AC$28))+$AA$26)*(1+Dashboard!$D$35),0)</f>
        <v>0</v>
      </c>
      <c r="AD329" s="109">
        <f>IF($BD329&gt;0,(((($BD329/Dashboard!$D$23)*(1+Precificação!$W$589))*(1+AD$28))+$AA$26)*(1+Dashboard!$D$35),0)</f>
        <v>0</v>
      </c>
      <c r="AF329" s="109">
        <f t="shared" ref="AF329:AF347" si="254">IF(AA329&gt;0,AA329+AF$32,0)</f>
        <v>0</v>
      </c>
      <c r="AG329" s="109">
        <f t="shared" ref="AG329:AG347" si="255">IF(AB329&gt;0,AB329+AG$32,0)</f>
        <v>0</v>
      </c>
      <c r="AH329" s="109">
        <f t="shared" ref="AH329:AH347" si="256">IF(AC329&gt;0,AC329+AH$32,0)</f>
        <v>0</v>
      </c>
      <c r="AI329" s="109">
        <f t="shared" ref="AI329:AI347" si="257">IF(AD329&gt;0,AD329+AI$32,0)</f>
        <v>0</v>
      </c>
      <c r="AL329" s="109">
        <f>IF($BD329&gt;0,(((($BD329/Dashboard!$D$23)*(1+Precificação!$W$589)))+$AL$26)*(1+Dashboard!$D$35),0)</f>
        <v>0</v>
      </c>
      <c r="AM329" s="109">
        <f>IF($BD329&gt;0,(((($BD329/Dashboard!$D$23)*(1+Precificação!$W$589))*(1+AM$28))+$AA$26)*(1+Dashboard!$D$35),0)</f>
        <v>0</v>
      </c>
      <c r="AN329" s="109">
        <f>IF($BD329&gt;0,(((($BD329/Dashboard!$D$23)*(1+Precificação!$W$589))*(1+AN$28))+$AA$26)*(1+Dashboard!$D$35),0)</f>
        <v>0</v>
      </c>
      <c r="AO329" s="109">
        <f>IF($BD329&gt;0,(((($BD329/Dashboard!$D$23)*(1+Precificação!$W$589))*(1+AO$28))+$AA$26)*(1+Dashboard!$D$35),0)</f>
        <v>0</v>
      </c>
      <c r="AQ329" s="109">
        <f t="shared" ref="AQ329:AQ347" si="258">IF(AL329&gt;0,AL329+AQ$32,0)</f>
        <v>0</v>
      </c>
      <c r="AR329" s="109">
        <f t="shared" ref="AR329:AR347" si="259">IF(AM329&gt;0,AM329+AR$32,0)</f>
        <v>0</v>
      </c>
      <c r="AS329" s="109">
        <f t="shared" ref="AS329:AS347" si="260">IF(AN329&gt;0,AN329+AS$32,0)</f>
        <v>0</v>
      </c>
      <c r="AT329" s="109">
        <f t="shared" ref="AT329:AT347" si="261">IF(AO329&gt;0,AO329+AT$32,0)</f>
        <v>0</v>
      </c>
      <c r="AW329" s="144">
        <f>VLOOKUP(B329,'Cronog. e Histog.'!$B$213:$BT$688,71,0)</f>
        <v>1</v>
      </c>
      <c r="AX329" s="144">
        <f>VLOOKUP(B329,'Cronog. e Histog.'!$B$213:$BU$688,72,0)</f>
        <v>10</v>
      </c>
      <c r="AY329" s="144">
        <f>$AW329*$AX329*Dashboard!$D$15</f>
        <v>1936.0000000000002</v>
      </c>
      <c r="AZ329" s="144">
        <f>VLOOKUP(B329,Precificação!$B$96:$BM$533,54,0)</f>
        <v>0</v>
      </c>
      <c r="BA329" s="144">
        <f>VLOOKUP(B329,Precificação!$B$96:$BR$533,58,0)</f>
        <v>0</v>
      </c>
      <c r="BB329" s="144">
        <f>VLOOKUP(B329,Precificação!$B$96:$BW$533,62,0)</f>
        <v>0</v>
      </c>
      <c r="BC329" s="144">
        <f t="shared" ref="BC329:BC347" si="262">SUM(AY329:BB329)</f>
        <v>1936.0000000000002</v>
      </c>
      <c r="BD329" s="109">
        <f>IFERROR(VLOOKUP(B329,Precificação!$B$96:$S$533,13,0),0)</f>
        <v>0</v>
      </c>
      <c r="BE329" s="109">
        <f>IFERROR(VLOOKUP(B329,Precificação!$B$96:$U$533,15,0)/(Precificação!$U$4+Precificação!$U$91),0)*Dashboard!$T$3</f>
        <v>0</v>
      </c>
    </row>
    <row r="330" spans="2:57" ht="12" customHeight="1" outlineLevel="1">
      <c r="B330" s="137" t="str">
        <f>Precificação!B318</f>
        <v>SUP.-ESP - Equipe_01</v>
      </c>
      <c r="D330" s="512"/>
      <c r="E330" s="143" t="str">
        <f>IF('Cronog. e Histog.'!G455&gt;0,'Cronog. e Histog.'!G455,"")</f>
        <v>SUP.-ESP</v>
      </c>
      <c r="G330" s="179">
        <f t="shared" si="249"/>
        <v>0</v>
      </c>
      <c r="H330" s="110">
        <f>IFERROR(INDEX('Base Salarial'!$D$5:$F$25,MATCH(E330,'Base Salarial'!$G$5:$G$25,0),MATCH(I330,'Base Salarial'!$D$4:$F$4,0)),"")</f>
        <v>9166.6666666666679</v>
      </c>
      <c r="I330" s="78" t="str">
        <f>IFERROR(INDEX(Tarefas!$BQ$29:$FK$29,MATCH(E330,Tarefas!$BQ$30:$FK$30,0)),"")</f>
        <v>Mensalista</v>
      </c>
      <c r="J330" s="81">
        <f>IF(I330="horista",H330*Dashboard!$D$15,IF(OR(I330="Mensalista",I330="PJ"),H330,))</f>
        <v>9166.6666666666679</v>
      </c>
      <c r="K330" s="81">
        <f>IF(I330="PJ",J330,ROUND(J330*(1+Dashboard!$D$22),2))</f>
        <v>9716.67</v>
      </c>
      <c r="L330" s="77"/>
      <c r="M330" s="180"/>
      <c r="P330" s="109">
        <f>IF($BD330&gt;0,(((($BD330/Dashboard!$D$15)*(1+Precificação!$W$589)))+$P$26)*(1+Dashboard!$D$35),0)</f>
        <v>0</v>
      </c>
      <c r="Q330" s="109">
        <f>IF($BD330&gt;0,(((($BD330/Dashboard!$D$23)+(1+Precificação!$W$589))*(1+Q$28))+$P$26)*(1+Dashboard!$D$35),0)</f>
        <v>0</v>
      </c>
      <c r="R330" s="109">
        <f>IF($BD330&gt;0,(((($BD330/Dashboard!$D$23)+(1+Precificação!$W$589))*(1+R$28))+$P$26)*(1+Dashboard!$D$35),0)</f>
        <v>0</v>
      </c>
      <c r="S330" s="109">
        <f>IF($BD330&gt;0,(((($BD330/Dashboard!$D$23)+(1+Precificação!$W$589))*(1+S$28))+$P$26)*(1+Dashboard!$D$35),0)</f>
        <v>0</v>
      </c>
      <c r="U330" s="109">
        <f t="shared" si="250"/>
        <v>0</v>
      </c>
      <c r="V330" s="109">
        <f t="shared" si="251"/>
        <v>0</v>
      </c>
      <c r="W330" s="109">
        <f t="shared" si="252"/>
        <v>0</v>
      </c>
      <c r="X330" s="109">
        <f t="shared" si="253"/>
        <v>0</v>
      </c>
      <c r="AA330" s="109">
        <f>IF($BD330&gt;0,(((($BD330/Dashboard!$D$23)*(1+Precificação!$W$589)))+$AA$26)*(1+Dashboard!$D$35),0)</f>
        <v>0</v>
      </c>
      <c r="AB330" s="109">
        <f>IF($BD330&gt;0,(((($BD330/Dashboard!$D$23)*(1+Precificação!$W$589))*(1+AB$28))+$AA$26)*(1+Dashboard!$D$35),0)</f>
        <v>0</v>
      </c>
      <c r="AC330" s="109">
        <f>IF($BD330&gt;0,(((($BD330/Dashboard!$D$23)*(1+Precificação!$W$589))*(1+AC$28))+$AA$26)*(1+Dashboard!$D$35),0)</f>
        <v>0</v>
      </c>
      <c r="AD330" s="109">
        <f>IF($BD330&gt;0,(((($BD330/Dashboard!$D$23)*(1+Precificação!$W$589))*(1+AD$28))+$AA$26)*(1+Dashboard!$D$35),0)</f>
        <v>0</v>
      </c>
      <c r="AF330" s="109">
        <f t="shared" si="254"/>
        <v>0</v>
      </c>
      <c r="AG330" s="109">
        <f t="shared" si="255"/>
        <v>0</v>
      </c>
      <c r="AH330" s="109">
        <f t="shared" si="256"/>
        <v>0</v>
      </c>
      <c r="AI330" s="109">
        <f t="shared" si="257"/>
        <v>0</v>
      </c>
      <c r="AL330" s="109">
        <f>IF($BD330&gt;0,(((($BD330/Dashboard!$D$23)*(1+Precificação!$W$589)))+$AL$26)*(1+Dashboard!$D$35),0)</f>
        <v>0</v>
      </c>
      <c r="AM330" s="109">
        <f>IF($BD330&gt;0,(((($BD330/Dashboard!$D$23)*(1+Precificação!$W$589))*(1+AM$28))+$AA$26)*(1+Dashboard!$D$35),0)</f>
        <v>0</v>
      </c>
      <c r="AN330" s="109">
        <f>IF($BD330&gt;0,(((($BD330/Dashboard!$D$23)*(1+Precificação!$W$589))*(1+AN$28))+$AA$26)*(1+Dashboard!$D$35),0)</f>
        <v>0</v>
      </c>
      <c r="AO330" s="109">
        <f>IF($BD330&gt;0,(((($BD330/Dashboard!$D$23)*(1+Precificação!$W$589))*(1+AO$28))+$AA$26)*(1+Dashboard!$D$35),0)</f>
        <v>0</v>
      </c>
      <c r="AQ330" s="109">
        <f t="shared" si="258"/>
        <v>0</v>
      </c>
      <c r="AR330" s="109">
        <f t="shared" si="259"/>
        <v>0</v>
      </c>
      <c r="AS330" s="109">
        <f t="shared" si="260"/>
        <v>0</v>
      </c>
      <c r="AT330" s="109">
        <f t="shared" si="261"/>
        <v>0</v>
      </c>
      <c r="AW330" s="144">
        <f>VLOOKUP(B330,'Cronog. e Histog.'!$B$213:$BT$688,71,0)</f>
        <v>0</v>
      </c>
      <c r="AX330" s="144">
        <f>VLOOKUP(B330,'Cronog. e Histog.'!$B$213:$BU$688,72,0)</f>
        <v>0</v>
      </c>
      <c r="AY330" s="144">
        <f>$AW330*$AX330*Dashboard!$D$15</f>
        <v>0</v>
      </c>
      <c r="AZ330" s="144">
        <f>VLOOKUP(B330,Precificação!$B$96:$BM$533,54,0)</f>
        <v>0</v>
      </c>
      <c r="BA330" s="144">
        <f>VLOOKUP(B330,Precificação!$B$96:$BR$533,58,0)</f>
        <v>0</v>
      </c>
      <c r="BB330" s="144">
        <f>VLOOKUP(B330,Precificação!$B$96:$BW$533,62,0)</f>
        <v>0</v>
      </c>
      <c r="BC330" s="144">
        <f t="shared" si="262"/>
        <v>0</v>
      </c>
      <c r="BD330" s="109">
        <f>IFERROR(VLOOKUP(B330,Precificação!$B$96:$S$533,13,0),0)</f>
        <v>0</v>
      </c>
      <c r="BE330" s="109">
        <f>IFERROR(VLOOKUP(B330,Precificação!$B$96:$U$533,15,0)/(Precificação!$U$4+Precificação!$U$91),0)*Dashboard!$T$3</f>
        <v>0</v>
      </c>
    </row>
    <row r="331" spans="2:57" ht="12" customHeight="1" outlineLevel="1">
      <c r="B331" s="137" t="str">
        <f>Precificação!B319</f>
        <v>ENG/ARQ SR. - Equipe_01</v>
      </c>
      <c r="D331" s="512"/>
      <c r="E331" s="143" t="str">
        <f>IF('Cronog. e Histog.'!G456&gt;0,'Cronog. e Histog.'!G456,"")</f>
        <v>ENG/ARQ SR.</v>
      </c>
      <c r="G331" s="179">
        <f t="shared" si="249"/>
        <v>0</v>
      </c>
      <c r="H331" s="110">
        <f>IFERROR(INDEX('Base Salarial'!$D$5:$F$25,MATCH(E331,'Base Salarial'!$G$5:$G$25,0),MATCH(I331,'Base Salarial'!$D$4:$F$4,0)),"")</f>
        <v>16000</v>
      </c>
      <c r="I331" s="78" t="str">
        <f>IFERROR(INDEX(Tarefas!$BQ$29:$FK$29,MATCH(E331,Tarefas!$BQ$30:$FK$30,0)),"")</f>
        <v>PJ</v>
      </c>
      <c r="J331" s="81">
        <f>IF(I331="horista",H331*Dashboard!$D$15,IF(OR(I331="Mensalista",I331="PJ"),H331,))</f>
        <v>16000</v>
      </c>
      <c r="K331" s="81">
        <f>IF(I331="PJ",J331,ROUND(J331*(1+Dashboard!$D$22),2))</f>
        <v>16000</v>
      </c>
      <c r="L331" s="77"/>
      <c r="M331" s="180"/>
      <c r="P331" s="109">
        <f>IF($BD331&gt;0,(((($BD331/Dashboard!$D$15)*(1+Precificação!$W$589)))+$P$26)*(1+Dashboard!$D$35),0)</f>
        <v>0</v>
      </c>
      <c r="Q331" s="109">
        <f>IF($BD331&gt;0,(((($BD331/Dashboard!$D$23)+(1+Precificação!$W$589))*(1+Q$28))+$P$26)*(1+Dashboard!$D$35),0)</f>
        <v>0</v>
      </c>
      <c r="R331" s="109">
        <f>IF($BD331&gt;0,(((($BD331/Dashboard!$D$23)+(1+Precificação!$W$589))*(1+R$28))+$P$26)*(1+Dashboard!$D$35),0)</f>
        <v>0</v>
      </c>
      <c r="S331" s="109">
        <f>IF($BD331&gt;0,(((($BD331/Dashboard!$D$23)+(1+Precificação!$W$589))*(1+S$28))+$P$26)*(1+Dashboard!$D$35),0)</f>
        <v>0</v>
      </c>
      <c r="U331" s="109">
        <f t="shared" si="250"/>
        <v>0</v>
      </c>
      <c r="V331" s="109">
        <f t="shared" si="251"/>
        <v>0</v>
      </c>
      <c r="W331" s="109">
        <f t="shared" si="252"/>
        <v>0</v>
      </c>
      <c r="X331" s="109">
        <f t="shared" si="253"/>
        <v>0</v>
      </c>
      <c r="AA331" s="109">
        <f>IF($BD331&gt;0,(((($BD331/Dashboard!$D$23)*(1+Precificação!$W$589)))+$AA$26)*(1+Dashboard!$D$35),0)</f>
        <v>0</v>
      </c>
      <c r="AB331" s="109">
        <f>IF($BD331&gt;0,(((($BD331/Dashboard!$D$23)*(1+Precificação!$W$589))*(1+AB$28))+$AA$26)*(1+Dashboard!$D$35),0)</f>
        <v>0</v>
      </c>
      <c r="AC331" s="109">
        <f>IF($BD331&gt;0,(((($BD331/Dashboard!$D$23)*(1+Precificação!$W$589))*(1+AC$28))+$AA$26)*(1+Dashboard!$D$35),0)</f>
        <v>0</v>
      </c>
      <c r="AD331" s="109">
        <f>IF($BD331&gt;0,(((($BD331/Dashboard!$D$23)*(1+Precificação!$W$589))*(1+AD$28))+$AA$26)*(1+Dashboard!$D$35),0)</f>
        <v>0</v>
      </c>
      <c r="AF331" s="109">
        <f t="shared" si="254"/>
        <v>0</v>
      </c>
      <c r="AG331" s="109">
        <f t="shared" si="255"/>
        <v>0</v>
      </c>
      <c r="AH331" s="109">
        <f t="shared" si="256"/>
        <v>0</v>
      </c>
      <c r="AI331" s="109">
        <f t="shared" si="257"/>
        <v>0</v>
      </c>
      <c r="AL331" s="109">
        <f>IF($BD331&gt;0,(((($BD331/Dashboard!$D$23)*(1+Precificação!$W$589)))+$AL$26)*(1+Dashboard!$D$35),0)</f>
        <v>0</v>
      </c>
      <c r="AM331" s="109">
        <f>IF($BD331&gt;0,(((($BD331/Dashboard!$D$23)*(1+Precificação!$W$589))*(1+AM$28))+$AA$26)*(1+Dashboard!$D$35),0)</f>
        <v>0</v>
      </c>
      <c r="AN331" s="109">
        <f>IF($BD331&gt;0,(((($BD331/Dashboard!$D$23)*(1+Precificação!$W$589))*(1+AN$28))+$AA$26)*(1+Dashboard!$D$35),0)</f>
        <v>0</v>
      </c>
      <c r="AO331" s="109">
        <f>IF($BD331&gt;0,(((($BD331/Dashboard!$D$23)*(1+Precificação!$W$589))*(1+AO$28))+$AA$26)*(1+Dashboard!$D$35),0)</f>
        <v>0</v>
      </c>
      <c r="AQ331" s="109">
        <f t="shared" si="258"/>
        <v>0</v>
      </c>
      <c r="AR331" s="109">
        <f t="shared" si="259"/>
        <v>0</v>
      </c>
      <c r="AS331" s="109">
        <f t="shared" si="260"/>
        <v>0</v>
      </c>
      <c r="AT331" s="109">
        <f t="shared" si="261"/>
        <v>0</v>
      </c>
      <c r="AW331" s="144">
        <f>VLOOKUP(B331,'Cronog. e Histog.'!$B$213:$BT$688,71,0)</f>
        <v>9.9999999999999985E-3</v>
      </c>
      <c r="AX331" s="144">
        <f>VLOOKUP(B331,'Cronog. e Histog.'!$B$213:$BU$688,72,0)</f>
        <v>10</v>
      </c>
      <c r="AY331" s="144">
        <f>$AW331*$AX331*Dashboard!$D$15</f>
        <v>19.36</v>
      </c>
      <c r="AZ331" s="144">
        <f>VLOOKUP(B331,Precificação!$B$96:$BM$533,54,0)</f>
        <v>0</v>
      </c>
      <c r="BA331" s="144">
        <f>VLOOKUP(B331,Precificação!$B$96:$BR$533,58,0)</f>
        <v>0</v>
      </c>
      <c r="BB331" s="144">
        <f>VLOOKUP(B331,Precificação!$B$96:$BW$533,62,0)</f>
        <v>0</v>
      </c>
      <c r="BC331" s="144">
        <f t="shared" si="262"/>
        <v>19.36</v>
      </c>
      <c r="BD331" s="109">
        <f>IFERROR(VLOOKUP(B331,Precificação!$B$96:$S$533,13,0),0)</f>
        <v>0</v>
      </c>
      <c r="BE331" s="109">
        <f>IFERROR(VLOOKUP(B331,Precificação!$B$96:$U$533,15,0)/(Precificação!$U$4+Precificação!$U$91),0)*Dashboard!$T$3</f>
        <v>0</v>
      </c>
    </row>
    <row r="332" spans="2:57" ht="12" customHeight="1" outlineLevel="1">
      <c r="B332" s="137" t="str">
        <f>Precificação!B320</f>
        <v>ENG/ARQ PL. - Equipe_01</v>
      </c>
      <c r="D332" s="512"/>
      <c r="E332" s="143" t="str">
        <f>IF('Cronog. e Histog.'!G457&gt;0,'Cronog. e Histog.'!G457,"")</f>
        <v>ENG/ARQ PL.</v>
      </c>
      <c r="G332" s="179">
        <f t="shared" si="249"/>
        <v>0</v>
      </c>
      <c r="H332" s="110">
        <f>IFERROR(INDEX('Base Salarial'!$D$5:$F$25,MATCH(E332,'Base Salarial'!$G$5:$G$25,0),MATCH(I332,'Base Salarial'!$D$4:$F$4,0)),"")</f>
        <v>14000</v>
      </c>
      <c r="I332" s="78" t="str">
        <f>IFERROR(INDEX(Tarefas!$BQ$29:$FK$29,MATCH(E332,Tarefas!$BQ$30:$FK$30,0)),"")</f>
        <v>PJ</v>
      </c>
      <c r="J332" s="81">
        <f>IF(I332="horista",H332*Dashboard!$D$15,IF(OR(I332="Mensalista",I332="PJ"),H332,))</f>
        <v>14000</v>
      </c>
      <c r="K332" s="81">
        <f>IF(I332="PJ",J332,ROUND(J332*(1+Dashboard!$D$22),2))</f>
        <v>14000</v>
      </c>
      <c r="L332" s="77"/>
      <c r="M332" s="180"/>
      <c r="P332" s="109">
        <f>IF($BD332&gt;0,(((($BD332/Dashboard!$D$15)*(1+Precificação!$W$589)))+$P$26)*(1+Dashboard!$D$35),0)</f>
        <v>0</v>
      </c>
      <c r="Q332" s="109">
        <f>IF($BD332&gt;0,(((($BD332/Dashboard!$D$23)+(1+Precificação!$W$589))*(1+Q$28))+$P$26)*(1+Dashboard!$D$35),0)</f>
        <v>0</v>
      </c>
      <c r="R332" s="109">
        <f>IF($BD332&gt;0,(((($BD332/Dashboard!$D$23)+(1+Precificação!$W$589))*(1+R$28))+$P$26)*(1+Dashboard!$D$35),0)</f>
        <v>0</v>
      </c>
      <c r="S332" s="109">
        <f>IF($BD332&gt;0,(((($BD332/Dashboard!$D$23)+(1+Precificação!$W$589))*(1+S$28))+$P$26)*(1+Dashboard!$D$35),0)</f>
        <v>0</v>
      </c>
      <c r="U332" s="109">
        <f t="shared" si="250"/>
        <v>0</v>
      </c>
      <c r="V332" s="109">
        <f t="shared" si="251"/>
        <v>0</v>
      </c>
      <c r="W332" s="109">
        <f t="shared" si="252"/>
        <v>0</v>
      </c>
      <c r="X332" s="109">
        <f t="shared" si="253"/>
        <v>0</v>
      </c>
      <c r="AA332" s="109">
        <f>IF($BD332&gt;0,(((($BD332/Dashboard!$D$23)*(1+Precificação!$W$589)))+$AA$26)*(1+Dashboard!$D$35),0)</f>
        <v>0</v>
      </c>
      <c r="AB332" s="109">
        <f>IF($BD332&gt;0,(((($BD332/Dashboard!$D$23)*(1+Precificação!$W$589))*(1+AB$28))+$AA$26)*(1+Dashboard!$D$35),0)</f>
        <v>0</v>
      </c>
      <c r="AC332" s="109">
        <f>IF($BD332&gt;0,(((($BD332/Dashboard!$D$23)*(1+Precificação!$W$589))*(1+AC$28))+$AA$26)*(1+Dashboard!$D$35),0)</f>
        <v>0</v>
      </c>
      <c r="AD332" s="109">
        <f>IF($BD332&gt;0,(((($BD332/Dashboard!$D$23)*(1+Precificação!$W$589))*(1+AD$28))+$AA$26)*(1+Dashboard!$D$35),0)</f>
        <v>0</v>
      </c>
      <c r="AF332" s="109">
        <f t="shared" si="254"/>
        <v>0</v>
      </c>
      <c r="AG332" s="109">
        <f t="shared" si="255"/>
        <v>0</v>
      </c>
      <c r="AH332" s="109">
        <f t="shared" si="256"/>
        <v>0</v>
      </c>
      <c r="AI332" s="109">
        <f t="shared" si="257"/>
        <v>0</v>
      </c>
      <c r="AL332" s="109">
        <f>IF($BD332&gt;0,(((($BD332/Dashboard!$D$23)*(1+Precificação!$W$589)))+$AL$26)*(1+Dashboard!$D$35),0)</f>
        <v>0</v>
      </c>
      <c r="AM332" s="109">
        <f>IF($BD332&gt;0,(((($BD332/Dashboard!$D$23)*(1+Precificação!$W$589))*(1+AM$28))+$AA$26)*(1+Dashboard!$D$35),0)</f>
        <v>0</v>
      </c>
      <c r="AN332" s="109">
        <f>IF($BD332&gt;0,(((($BD332/Dashboard!$D$23)*(1+Precificação!$W$589))*(1+AN$28))+$AA$26)*(1+Dashboard!$D$35),0)</f>
        <v>0</v>
      </c>
      <c r="AO332" s="109">
        <f>IF($BD332&gt;0,(((($BD332/Dashboard!$D$23)*(1+Precificação!$W$589))*(1+AO$28))+$AA$26)*(1+Dashboard!$D$35),0)</f>
        <v>0</v>
      </c>
      <c r="AQ332" s="109">
        <f t="shared" si="258"/>
        <v>0</v>
      </c>
      <c r="AR332" s="109">
        <f t="shared" si="259"/>
        <v>0</v>
      </c>
      <c r="AS332" s="109">
        <f t="shared" si="260"/>
        <v>0</v>
      </c>
      <c r="AT332" s="109">
        <f t="shared" si="261"/>
        <v>0</v>
      </c>
      <c r="AW332" s="144">
        <f>VLOOKUP(B332,'Cronog. e Histog.'!$B$213:$BT$688,71,0)</f>
        <v>0</v>
      </c>
      <c r="AX332" s="144">
        <f>VLOOKUP(B332,'Cronog. e Histog.'!$B$213:$BU$688,72,0)</f>
        <v>0</v>
      </c>
      <c r="AY332" s="144">
        <f>$AW332*$AX332*Dashboard!$D$15</f>
        <v>0</v>
      </c>
      <c r="AZ332" s="144">
        <f>VLOOKUP(B332,Precificação!$B$96:$BM$533,54,0)</f>
        <v>0</v>
      </c>
      <c r="BA332" s="144">
        <f>VLOOKUP(B332,Precificação!$B$96:$BR$533,58,0)</f>
        <v>0</v>
      </c>
      <c r="BB332" s="144">
        <f>VLOOKUP(B332,Precificação!$B$96:$BW$533,62,0)</f>
        <v>0</v>
      </c>
      <c r="BC332" s="144">
        <f t="shared" si="262"/>
        <v>0</v>
      </c>
      <c r="BD332" s="109">
        <f>IFERROR(VLOOKUP(B332,Precificação!$B$96:$S$533,13,0),0)</f>
        <v>0</v>
      </c>
      <c r="BE332" s="109">
        <f>IFERROR(VLOOKUP(B332,Precificação!$B$96:$U$533,15,0)/(Precificação!$U$4+Precificação!$U$91),0)*Dashboard!$T$3</f>
        <v>0</v>
      </c>
    </row>
    <row r="333" spans="2:57" ht="12" customHeight="1" outlineLevel="1">
      <c r="B333" s="137" t="str">
        <f>Precificação!B321</f>
        <v>ENG/ARQ JR. - Equipe_01</v>
      </c>
      <c r="D333" s="512"/>
      <c r="E333" s="143" t="str">
        <f>IF('Cronog. e Histog.'!G458&gt;0,'Cronog. e Histog.'!G458,"")</f>
        <v>ENG/ARQ JR.</v>
      </c>
      <c r="G333" s="179">
        <f t="shared" si="249"/>
        <v>0</v>
      </c>
      <c r="H333" s="110">
        <f>IFERROR(INDEX('Base Salarial'!$D$5:$F$25,MATCH(E333,'Base Salarial'!$G$5:$G$25,0),MATCH(I333,'Base Salarial'!$D$4:$F$4,0)),"")</f>
        <v>14000</v>
      </c>
      <c r="I333" s="78" t="str">
        <f>IFERROR(INDEX(Tarefas!$BQ$29:$FK$29,MATCH(E333,Tarefas!$BQ$30:$FK$30,0)),"")</f>
        <v>PJ</v>
      </c>
      <c r="J333" s="81">
        <f>IF(I333="horista",H333*Dashboard!$D$15,IF(OR(I333="Mensalista",I333="PJ"),H333,))</f>
        <v>14000</v>
      </c>
      <c r="K333" s="81">
        <f>IF(I333="PJ",J333,ROUND(J333*(1+Dashboard!$D$22),2))</f>
        <v>14000</v>
      </c>
      <c r="L333" s="77"/>
      <c r="M333" s="180"/>
      <c r="P333" s="109">
        <f>IF($BD333&gt;0,(((($BD333/Dashboard!$D$15)*(1+Precificação!$W$589)))+$P$26)*(1+Dashboard!$D$35),0)</f>
        <v>0</v>
      </c>
      <c r="Q333" s="109">
        <f>IF($BD333&gt;0,(((($BD333/Dashboard!$D$23)+(1+Precificação!$W$589))*(1+Q$28))+$P$26)*(1+Dashboard!$D$35),0)</f>
        <v>0</v>
      </c>
      <c r="R333" s="109">
        <f>IF($BD333&gt;0,(((($BD333/Dashboard!$D$23)+(1+Precificação!$W$589))*(1+R$28))+$P$26)*(1+Dashboard!$D$35),0)</f>
        <v>0</v>
      </c>
      <c r="S333" s="109">
        <f>IF($BD333&gt;0,(((($BD333/Dashboard!$D$23)+(1+Precificação!$W$589))*(1+S$28))+$P$26)*(1+Dashboard!$D$35),0)</f>
        <v>0</v>
      </c>
      <c r="U333" s="109">
        <f t="shared" si="250"/>
        <v>0</v>
      </c>
      <c r="V333" s="109">
        <f t="shared" si="251"/>
        <v>0</v>
      </c>
      <c r="W333" s="109">
        <f t="shared" si="252"/>
        <v>0</v>
      </c>
      <c r="X333" s="109">
        <f t="shared" si="253"/>
        <v>0</v>
      </c>
      <c r="AA333" s="109">
        <f>IF($BD333&gt;0,(((($BD333/Dashboard!$D$23)*(1+Precificação!$W$589)))+$AA$26)*(1+Dashboard!$D$35),0)</f>
        <v>0</v>
      </c>
      <c r="AB333" s="109">
        <f>IF($BD333&gt;0,(((($BD333/Dashboard!$D$23)*(1+Precificação!$W$589))*(1+AB$28))+$AA$26)*(1+Dashboard!$D$35),0)</f>
        <v>0</v>
      </c>
      <c r="AC333" s="109">
        <f>IF($BD333&gt;0,(((($BD333/Dashboard!$D$23)*(1+Precificação!$W$589))*(1+AC$28))+$AA$26)*(1+Dashboard!$D$35),0)</f>
        <v>0</v>
      </c>
      <c r="AD333" s="109">
        <f>IF($BD333&gt;0,(((($BD333/Dashboard!$D$23)*(1+Precificação!$W$589))*(1+AD$28))+$AA$26)*(1+Dashboard!$D$35),0)</f>
        <v>0</v>
      </c>
      <c r="AF333" s="109">
        <f t="shared" si="254"/>
        <v>0</v>
      </c>
      <c r="AG333" s="109">
        <f t="shared" si="255"/>
        <v>0</v>
      </c>
      <c r="AH333" s="109">
        <f t="shared" si="256"/>
        <v>0</v>
      </c>
      <c r="AI333" s="109">
        <f t="shared" si="257"/>
        <v>0</v>
      </c>
      <c r="AL333" s="109">
        <f>IF($BD333&gt;0,(((($BD333/Dashboard!$D$23)*(1+Precificação!$W$589)))+$AL$26)*(1+Dashboard!$D$35),0)</f>
        <v>0</v>
      </c>
      <c r="AM333" s="109">
        <f>IF($BD333&gt;0,(((($BD333/Dashboard!$D$23)*(1+Precificação!$W$589))*(1+AM$28))+$AA$26)*(1+Dashboard!$D$35),0)</f>
        <v>0</v>
      </c>
      <c r="AN333" s="109">
        <f>IF($BD333&gt;0,(((($BD333/Dashboard!$D$23)*(1+Precificação!$W$589))*(1+AN$28))+$AA$26)*(1+Dashboard!$D$35),0)</f>
        <v>0</v>
      </c>
      <c r="AO333" s="109">
        <f>IF($BD333&gt;0,(((($BD333/Dashboard!$D$23)*(1+Precificação!$W$589))*(1+AO$28))+$AA$26)*(1+Dashboard!$D$35),0)</f>
        <v>0</v>
      </c>
      <c r="AQ333" s="109">
        <f t="shared" si="258"/>
        <v>0</v>
      </c>
      <c r="AR333" s="109">
        <f t="shared" si="259"/>
        <v>0</v>
      </c>
      <c r="AS333" s="109">
        <f t="shared" si="260"/>
        <v>0</v>
      </c>
      <c r="AT333" s="109">
        <f t="shared" si="261"/>
        <v>0</v>
      </c>
      <c r="AW333" s="144">
        <f>VLOOKUP(B333,'Cronog. e Histog.'!$B$213:$BT$688,71,0)</f>
        <v>0</v>
      </c>
      <c r="AX333" s="144">
        <f>VLOOKUP(B333,'Cronog. e Histog.'!$B$213:$BU$688,72,0)</f>
        <v>0</v>
      </c>
      <c r="AY333" s="144">
        <f>$AW333*$AX333*Dashboard!$D$15</f>
        <v>0</v>
      </c>
      <c r="AZ333" s="144">
        <f>VLOOKUP(B333,Precificação!$B$96:$BM$533,54,0)</f>
        <v>0</v>
      </c>
      <c r="BA333" s="144">
        <f>VLOOKUP(B333,Precificação!$B$96:$BR$533,58,0)</f>
        <v>0</v>
      </c>
      <c r="BB333" s="144">
        <f>VLOOKUP(B333,Precificação!$B$96:$BW$533,62,0)</f>
        <v>0</v>
      </c>
      <c r="BC333" s="144">
        <f t="shared" si="262"/>
        <v>0</v>
      </c>
      <c r="BD333" s="109">
        <f>IFERROR(VLOOKUP(B333,Precificação!$B$96:$S$533,13,0),0)</f>
        <v>0</v>
      </c>
      <c r="BE333" s="109">
        <f>IFERROR(VLOOKUP(B333,Precificação!$B$96:$U$533,15,0)/(Precificação!$U$4+Precificação!$U$91),0)*Dashboard!$T$3</f>
        <v>0</v>
      </c>
    </row>
    <row r="334" spans="2:57" ht="12" customHeight="1" outlineLevel="1">
      <c r="B334" s="137" t="str">
        <f>Precificação!B322</f>
        <v>AN SR. ENG/ARQ - Equipe_01</v>
      </c>
      <c r="D334" s="512"/>
      <c r="E334" s="143" t="str">
        <f>IF('Cronog. e Histog.'!G459&gt;0,'Cronog. e Histog.'!G459,"")</f>
        <v>AN SR. ENG/ARQ</v>
      </c>
      <c r="G334" s="179">
        <f t="shared" si="249"/>
        <v>0</v>
      </c>
      <c r="H334" s="110">
        <f>IFERROR(INDEX('Base Salarial'!$D$5:$F$25,MATCH(E334,'Base Salarial'!$G$5:$G$25,0),MATCH(I334,'Base Salarial'!$D$4:$F$4,0)),"")</f>
        <v>7500</v>
      </c>
      <c r="I334" s="78" t="str">
        <f>IFERROR(INDEX(Tarefas!$BQ$29:$FK$29,MATCH(E334,Tarefas!$BQ$30:$FK$30,0)),"")</f>
        <v>Mensalista</v>
      </c>
      <c r="J334" s="81">
        <f>IF(I334="horista",H334*Dashboard!$D$15,IF(OR(I334="Mensalista",I334="PJ"),H334,))</f>
        <v>7500</v>
      </c>
      <c r="K334" s="81">
        <f>IF(I334="PJ",J334,ROUND(J334*(1+Dashboard!$D$22),2))</f>
        <v>7950</v>
      </c>
      <c r="L334" s="77"/>
      <c r="M334" s="180"/>
      <c r="P334" s="109">
        <f>IF($BD334&gt;0,(((($BD334/Dashboard!$D$15)*(1+Precificação!$W$589)))+$P$26)*(1+Dashboard!$D$35),0)</f>
        <v>0</v>
      </c>
      <c r="Q334" s="109">
        <f>IF($BD334&gt;0,(((($BD334/Dashboard!$D$23)+(1+Precificação!$W$589))*(1+Q$28))+$P$26)*(1+Dashboard!$D$35),0)</f>
        <v>0</v>
      </c>
      <c r="R334" s="109">
        <f>IF($BD334&gt;0,(((($BD334/Dashboard!$D$23)+(1+Precificação!$W$589))*(1+R$28))+$P$26)*(1+Dashboard!$D$35),0)</f>
        <v>0</v>
      </c>
      <c r="S334" s="109">
        <f>IF($BD334&gt;0,(((($BD334/Dashboard!$D$23)+(1+Precificação!$W$589))*(1+S$28))+$P$26)*(1+Dashboard!$D$35),0)</f>
        <v>0</v>
      </c>
      <c r="U334" s="109">
        <f t="shared" si="250"/>
        <v>0</v>
      </c>
      <c r="V334" s="109">
        <f t="shared" si="251"/>
        <v>0</v>
      </c>
      <c r="W334" s="109">
        <f t="shared" si="252"/>
        <v>0</v>
      </c>
      <c r="X334" s="109">
        <f t="shared" si="253"/>
        <v>0</v>
      </c>
      <c r="AA334" s="109">
        <f>IF($BD334&gt;0,(((($BD334/Dashboard!$D$23)*(1+Precificação!$W$589)))+$AA$26)*(1+Dashboard!$D$35),0)</f>
        <v>0</v>
      </c>
      <c r="AB334" s="109">
        <f>IF($BD334&gt;0,(((($BD334/Dashboard!$D$23)*(1+Precificação!$W$589))*(1+AB$28))+$AA$26)*(1+Dashboard!$D$35),0)</f>
        <v>0</v>
      </c>
      <c r="AC334" s="109">
        <f>IF($BD334&gt;0,(((($BD334/Dashboard!$D$23)*(1+Precificação!$W$589))*(1+AC$28))+$AA$26)*(1+Dashboard!$D$35),0)</f>
        <v>0</v>
      </c>
      <c r="AD334" s="109">
        <f>IF($BD334&gt;0,(((($BD334/Dashboard!$D$23)*(1+Precificação!$W$589))*(1+AD$28))+$AA$26)*(1+Dashboard!$D$35),0)</f>
        <v>0</v>
      </c>
      <c r="AF334" s="109">
        <f t="shared" si="254"/>
        <v>0</v>
      </c>
      <c r="AG334" s="109">
        <f t="shared" si="255"/>
        <v>0</v>
      </c>
      <c r="AH334" s="109">
        <f t="shared" si="256"/>
        <v>0</v>
      </c>
      <c r="AI334" s="109">
        <f t="shared" si="257"/>
        <v>0</v>
      </c>
      <c r="AL334" s="109">
        <f>IF($BD334&gt;0,(((($BD334/Dashboard!$D$23)*(1+Precificação!$W$589)))+$AL$26)*(1+Dashboard!$D$35),0)</f>
        <v>0</v>
      </c>
      <c r="AM334" s="109">
        <f>IF($BD334&gt;0,(((($BD334/Dashboard!$D$23)*(1+Precificação!$W$589))*(1+AM$28))+$AA$26)*(1+Dashboard!$D$35),0)</f>
        <v>0</v>
      </c>
      <c r="AN334" s="109">
        <f>IF($BD334&gt;0,(((($BD334/Dashboard!$D$23)*(1+Precificação!$W$589))*(1+AN$28))+$AA$26)*(1+Dashboard!$D$35),0)</f>
        <v>0</v>
      </c>
      <c r="AO334" s="109">
        <f>IF($BD334&gt;0,(((($BD334/Dashboard!$D$23)*(1+Precificação!$W$589))*(1+AO$28))+$AA$26)*(1+Dashboard!$D$35),0)</f>
        <v>0</v>
      </c>
      <c r="AQ334" s="109">
        <f t="shared" si="258"/>
        <v>0</v>
      </c>
      <c r="AR334" s="109">
        <f t="shared" si="259"/>
        <v>0</v>
      </c>
      <c r="AS334" s="109">
        <f t="shared" si="260"/>
        <v>0</v>
      </c>
      <c r="AT334" s="109">
        <f t="shared" si="261"/>
        <v>0</v>
      </c>
      <c r="AW334" s="144">
        <f>VLOOKUP(B334,'Cronog. e Histog.'!$B$213:$BT$688,71,0)</f>
        <v>0</v>
      </c>
      <c r="AX334" s="144">
        <f>VLOOKUP(B334,'Cronog. e Histog.'!$B$213:$BU$688,72,0)</f>
        <v>0</v>
      </c>
      <c r="AY334" s="144">
        <f>$AW334*$AX334*Dashboard!$D$15</f>
        <v>0</v>
      </c>
      <c r="AZ334" s="144">
        <f>VLOOKUP(B334,Precificação!$B$96:$BM$533,54,0)</f>
        <v>0</v>
      </c>
      <c r="BA334" s="144">
        <f>VLOOKUP(B334,Precificação!$B$96:$BR$533,58,0)</f>
        <v>0</v>
      </c>
      <c r="BB334" s="144">
        <f>VLOOKUP(B334,Precificação!$B$96:$BW$533,62,0)</f>
        <v>0</v>
      </c>
      <c r="BC334" s="144">
        <f t="shared" si="262"/>
        <v>0</v>
      </c>
      <c r="BD334" s="109">
        <f>IFERROR(VLOOKUP(B334,Precificação!$B$96:$S$533,13,0),0)</f>
        <v>0</v>
      </c>
      <c r="BE334" s="109">
        <f>IFERROR(VLOOKUP(B334,Precificação!$B$96:$U$533,15,0)/(Precificação!$U$4+Precificação!$U$91),0)*Dashboard!$T$3</f>
        <v>0</v>
      </c>
    </row>
    <row r="335" spans="2:57" ht="12" customHeight="1" outlineLevel="1">
      <c r="B335" s="137" t="str">
        <f>Precificação!B323</f>
        <v>AN PL. ENG/ARQ - Equipe_01</v>
      </c>
      <c r="D335" s="512"/>
      <c r="E335" s="143" t="str">
        <f>IF('Cronog. e Histog.'!G460&gt;0,'Cronog. e Histog.'!G460,"")</f>
        <v>AN PL. ENG/ARQ</v>
      </c>
      <c r="G335" s="179">
        <f t="shared" si="249"/>
        <v>0</v>
      </c>
      <c r="H335" s="110">
        <f>IFERROR(INDEX('Base Salarial'!$D$5:$F$25,MATCH(E335,'Base Salarial'!$G$5:$G$25,0),MATCH(I335,'Base Salarial'!$D$4:$F$4,0)),"")</f>
        <v>6000</v>
      </c>
      <c r="I335" s="78" t="str">
        <f>IFERROR(INDEX(Tarefas!$BQ$29:$FK$29,MATCH(E335,Tarefas!$BQ$30:$FK$30,0)),"")</f>
        <v>Mensalista</v>
      </c>
      <c r="J335" s="81">
        <f>IF(I335="horista",H335*Dashboard!$D$15,IF(OR(I335="Mensalista",I335="PJ"),H335,))</f>
        <v>6000</v>
      </c>
      <c r="K335" s="81">
        <f>IF(I335="PJ",J335,ROUND(J335*(1+Dashboard!$D$22),2))</f>
        <v>6360</v>
      </c>
      <c r="L335" s="77"/>
      <c r="M335" s="180"/>
      <c r="P335" s="109">
        <f>IF($BD335&gt;0,(((($BD335/Dashboard!$D$15)*(1+Precificação!$W$589)))+$P$26)*(1+Dashboard!$D$35),0)</f>
        <v>0</v>
      </c>
      <c r="Q335" s="109">
        <f>IF($BD335&gt;0,(((($BD335/Dashboard!$D$23)+(1+Precificação!$W$589))*(1+Q$28))+$P$26)*(1+Dashboard!$D$35),0)</f>
        <v>0</v>
      </c>
      <c r="R335" s="109">
        <f>IF($BD335&gt;0,(((($BD335/Dashboard!$D$23)+(1+Precificação!$W$589))*(1+R$28))+$P$26)*(1+Dashboard!$D$35),0)</f>
        <v>0</v>
      </c>
      <c r="S335" s="109">
        <f>IF($BD335&gt;0,(((($BD335/Dashboard!$D$23)+(1+Precificação!$W$589))*(1+S$28))+$P$26)*(1+Dashboard!$D$35),0)</f>
        <v>0</v>
      </c>
      <c r="U335" s="109">
        <f t="shared" si="250"/>
        <v>0</v>
      </c>
      <c r="V335" s="109">
        <f t="shared" si="251"/>
        <v>0</v>
      </c>
      <c r="W335" s="109">
        <f t="shared" si="252"/>
        <v>0</v>
      </c>
      <c r="X335" s="109">
        <f t="shared" si="253"/>
        <v>0</v>
      </c>
      <c r="AA335" s="109">
        <f>IF($BD335&gt;0,(((($BD335/Dashboard!$D$23)*(1+Precificação!$W$589)))+$AA$26)*(1+Dashboard!$D$35),0)</f>
        <v>0</v>
      </c>
      <c r="AB335" s="109">
        <f>IF($BD335&gt;0,(((($BD335/Dashboard!$D$23)*(1+Precificação!$W$589))*(1+AB$28))+$AA$26)*(1+Dashboard!$D$35),0)</f>
        <v>0</v>
      </c>
      <c r="AC335" s="109">
        <f>IF($BD335&gt;0,(((($BD335/Dashboard!$D$23)*(1+Precificação!$W$589))*(1+AC$28))+$AA$26)*(1+Dashboard!$D$35),0)</f>
        <v>0</v>
      </c>
      <c r="AD335" s="109">
        <f>IF($BD335&gt;0,(((($BD335/Dashboard!$D$23)*(1+Precificação!$W$589))*(1+AD$28))+$AA$26)*(1+Dashboard!$D$35),0)</f>
        <v>0</v>
      </c>
      <c r="AF335" s="109">
        <f t="shared" si="254"/>
        <v>0</v>
      </c>
      <c r="AG335" s="109">
        <f t="shared" si="255"/>
        <v>0</v>
      </c>
      <c r="AH335" s="109">
        <f t="shared" si="256"/>
        <v>0</v>
      </c>
      <c r="AI335" s="109">
        <f t="shared" si="257"/>
        <v>0</v>
      </c>
      <c r="AL335" s="109">
        <f>IF($BD335&gt;0,(((($BD335/Dashboard!$D$23)*(1+Precificação!$W$589)))+$AL$26)*(1+Dashboard!$D$35),0)</f>
        <v>0</v>
      </c>
      <c r="AM335" s="109">
        <f>IF($BD335&gt;0,(((($BD335/Dashboard!$D$23)*(1+Precificação!$W$589))*(1+AM$28))+$AA$26)*(1+Dashboard!$D$35),0)</f>
        <v>0</v>
      </c>
      <c r="AN335" s="109">
        <f>IF($BD335&gt;0,(((($BD335/Dashboard!$D$23)*(1+Precificação!$W$589))*(1+AN$28))+$AA$26)*(1+Dashboard!$D$35),0)</f>
        <v>0</v>
      </c>
      <c r="AO335" s="109">
        <f>IF($BD335&gt;0,(((($BD335/Dashboard!$D$23)*(1+Precificação!$W$589))*(1+AO$28))+$AA$26)*(1+Dashboard!$D$35),0)</f>
        <v>0</v>
      </c>
      <c r="AQ335" s="109">
        <f t="shared" si="258"/>
        <v>0</v>
      </c>
      <c r="AR335" s="109">
        <f t="shared" si="259"/>
        <v>0</v>
      </c>
      <c r="AS335" s="109">
        <f t="shared" si="260"/>
        <v>0</v>
      </c>
      <c r="AT335" s="109">
        <f t="shared" si="261"/>
        <v>0</v>
      </c>
      <c r="AW335" s="144">
        <f>VLOOKUP(B335,'Cronog. e Histog.'!$B$213:$BT$688,71,0)</f>
        <v>0</v>
      </c>
      <c r="AX335" s="144">
        <f>VLOOKUP(B335,'Cronog. e Histog.'!$B$213:$BU$688,72,0)</f>
        <v>0</v>
      </c>
      <c r="AY335" s="144">
        <f>$AW335*$AX335*Dashboard!$D$15</f>
        <v>0</v>
      </c>
      <c r="AZ335" s="144">
        <f>VLOOKUP(B335,Precificação!$B$96:$BM$533,54,0)</f>
        <v>0</v>
      </c>
      <c r="BA335" s="144">
        <f>VLOOKUP(B335,Precificação!$B$96:$BR$533,58,0)</f>
        <v>0</v>
      </c>
      <c r="BB335" s="144">
        <f>VLOOKUP(B335,Precificação!$B$96:$BW$533,62,0)</f>
        <v>0</v>
      </c>
      <c r="BC335" s="144">
        <f t="shared" si="262"/>
        <v>0</v>
      </c>
      <c r="BD335" s="109">
        <f>IFERROR(VLOOKUP(B335,Precificação!$B$96:$S$533,13,0),0)</f>
        <v>0</v>
      </c>
      <c r="BE335" s="109">
        <f>IFERROR(VLOOKUP(B335,Precificação!$B$96:$U$533,15,0)/(Precificação!$U$4+Precificação!$U$91),0)*Dashboard!$T$3</f>
        <v>0</v>
      </c>
    </row>
    <row r="336" spans="2:57" ht="12" customHeight="1" outlineLevel="1">
      <c r="B336" s="137" t="str">
        <f>Precificação!B324</f>
        <v>AN JR. ENG/ARQ - Equipe_01</v>
      </c>
      <c r="D336" s="512"/>
      <c r="E336" s="143" t="str">
        <f>IF('Cronog. e Histog.'!G461&gt;0,'Cronog. e Histog.'!G461,"")</f>
        <v>AN JR. ENG/ARQ</v>
      </c>
      <c r="G336" s="179">
        <f t="shared" si="249"/>
        <v>0</v>
      </c>
      <c r="H336" s="110">
        <f>IFERROR(INDEX('Base Salarial'!$D$5:$F$25,MATCH(E336,'Base Salarial'!$G$5:$G$25,0),MATCH(I336,'Base Salarial'!$D$4:$F$4,0)),"")</f>
        <v>4500</v>
      </c>
      <c r="I336" s="78" t="str">
        <f>IFERROR(INDEX(Tarefas!$BQ$29:$FK$29,MATCH(E336,Tarefas!$BQ$30:$FK$30,0)),"")</f>
        <v>Mensalista</v>
      </c>
      <c r="J336" s="81">
        <f>IF(I336="horista",H336*Dashboard!$D$15,IF(OR(I336="Mensalista",I336="PJ"),H336,))</f>
        <v>4500</v>
      </c>
      <c r="K336" s="81">
        <f>IF(I336="PJ",J336,ROUND(J336*(1+Dashboard!$D$22),2))</f>
        <v>4770</v>
      </c>
      <c r="L336" s="77"/>
      <c r="M336" s="180"/>
      <c r="P336" s="109">
        <f>IF($BD336&gt;0,(((($BD336/Dashboard!$D$15)*(1+Precificação!$W$589)))+$P$26)*(1+Dashboard!$D$35),0)</f>
        <v>0</v>
      </c>
      <c r="Q336" s="109">
        <f>IF($BD336&gt;0,(((($BD336/Dashboard!$D$23)+(1+Precificação!$W$589))*(1+Q$28))+$P$26)*(1+Dashboard!$D$35),0)</f>
        <v>0</v>
      </c>
      <c r="R336" s="109">
        <f>IF($BD336&gt;0,(((($BD336/Dashboard!$D$23)+(1+Precificação!$W$589))*(1+R$28))+$P$26)*(1+Dashboard!$D$35),0)</f>
        <v>0</v>
      </c>
      <c r="S336" s="109">
        <f>IF($BD336&gt;0,(((($BD336/Dashboard!$D$23)+(1+Precificação!$W$589))*(1+S$28))+$P$26)*(1+Dashboard!$D$35),0)</f>
        <v>0</v>
      </c>
      <c r="U336" s="109">
        <f t="shared" si="250"/>
        <v>0</v>
      </c>
      <c r="V336" s="109">
        <f t="shared" si="251"/>
        <v>0</v>
      </c>
      <c r="W336" s="109">
        <f t="shared" si="252"/>
        <v>0</v>
      </c>
      <c r="X336" s="109">
        <f t="shared" si="253"/>
        <v>0</v>
      </c>
      <c r="AA336" s="109">
        <f>IF($BD336&gt;0,(((($BD336/Dashboard!$D$23)*(1+Precificação!$W$589)))+$AA$26)*(1+Dashboard!$D$35),0)</f>
        <v>0</v>
      </c>
      <c r="AB336" s="109">
        <f>IF($BD336&gt;0,(((($BD336/Dashboard!$D$23)*(1+Precificação!$W$589))*(1+AB$28))+$AA$26)*(1+Dashboard!$D$35),0)</f>
        <v>0</v>
      </c>
      <c r="AC336" s="109">
        <f>IF($BD336&gt;0,(((($BD336/Dashboard!$D$23)*(1+Precificação!$W$589))*(1+AC$28))+$AA$26)*(1+Dashboard!$D$35),0)</f>
        <v>0</v>
      </c>
      <c r="AD336" s="109">
        <f>IF($BD336&gt;0,(((($BD336/Dashboard!$D$23)*(1+Precificação!$W$589))*(1+AD$28))+$AA$26)*(1+Dashboard!$D$35),0)</f>
        <v>0</v>
      </c>
      <c r="AF336" s="109">
        <f t="shared" si="254"/>
        <v>0</v>
      </c>
      <c r="AG336" s="109">
        <f t="shared" si="255"/>
        <v>0</v>
      </c>
      <c r="AH336" s="109">
        <f t="shared" si="256"/>
        <v>0</v>
      </c>
      <c r="AI336" s="109">
        <f t="shared" si="257"/>
        <v>0</v>
      </c>
      <c r="AL336" s="109">
        <f>IF($BD336&gt;0,(((($BD336/Dashboard!$D$23)*(1+Precificação!$W$589)))+$AL$26)*(1+Dashboard!$D$35),0)</f>
        <v>0</v>
      </c>
      <c r="AM336" s="109">
        <f>IF($BD336&gt;0,(((($BD336/Dashboard!$D$23)*(1+Precificação!$W$589))*(1+AM$28))+$AA$26)*(1+Dashboard!$D$35),0)</f>
        <v>0</v>
      </c>
      <c r="AN336" s="109">
        <f>IF($BD336&gt;0,(((($BD336/Dashboard!$D$23)*(1+Precificação!$W$589))*(1+AN$28))+$AA$26)*(1+Dashboard!$D$35),0)</f>
        <v>0</v>
      </c>
      <c r="AO336" s="109">
        <f>IF($BD336&gt;0,(((($BD336/Dashboard!$D$23)*(1+Precificação!$W$589))*(1+AO$28))+$AA$26)*(1+Dashboard!$D$35),0)</f>
        <v>0</v>
      </c>
      <c r="AQ336" s="109">
        <f t="shared" si="258"/>
        <v>0</v>
      </c>
      <c r="AR336" s="109">
        <f t="shared" si="259"/>
        <v>0</v>
      </c>
      <c r="AS336" s="109">
        <f t="shared" si="260"/>
        <v>0</v>
      </c>
      <c r="AT336" s="109">
        <f t="shared" si="261"/>
        <v>0</v>
      </c>
      <c r="AW336" s="144">
        <f>VLOOKUP(B336,'Cronog. e Histog.'!$B$213:$BT$688,71,0)</f>
        <v>0</v>
      </c>
      <c r="AX336" s="144">
        <f>VLOOKUP(B336,'Cronog. e Histog.'!$B$213:$BU$688,72,0)</f>
        <v>0</v>
      </c>
      <c r="AY336" s="144">
        <f>$AW336*$AX336*Dashboard!$D$15</f>
        <v>0</v>
      </c>
      <c r="AZ336" s="144">
        <f>VLOOKUP(B336,Precificação!$B$96:$BM$533,54,0)</f>
        <v>0</v>
      </c>
      <c r="BA336" s="144">
        <f>VLOOKUP(B336,Precificação!$B$96:$BR$533,58,0)</f>
        <v>0</v>
      </c>
      <c r="BB336" s="144">
        <f>VLOOKUP(B336,Precificação!$B$96:$BW$533,62,0)</f>
        <v>0</v>
      </c>
      <c r="BC336" s="144">
        <f t="shared" si="262"/>
        <v>0</v>
      </c>
      <c r="BD336" s="109">
        <f>IFERROR(VLOOKUP(B336,Precificação!$B$96:$S$533,13,0),0)</f>
        <v>0</v>
      </c>
      <c r="BE336" s="109">
        <f>IFERROR(VLOOKUP(B336,Precificação!$B$96:$U$533,15,0)/(Precificação!$U$4+Precificação!$U$91),0)*Dashboard!$T$3</f>
        <v>0</v>
      </c>
    </row>
    <row r="337" spans="2:57" ht="12" customHeight="1" outlineLevel="1">
      <c r="B337" s="137" t="str">
        <f>Precificação!B325</f>
        <v>AN SR. ADM/CRP - Equipe_01</v>
      </c>
      <c r="D337" s="512"/>
      <c r="E337" s="143" t="str">
        <f>IF('Cronog. e Histog.'!G462&gt;0,'Cronog. e Histog.'!G462,"")</f>
        <v>AN SR. ADM/CRP</v>
      </c>
      <c r="G337" s="179">
        <f t="shared" si="249"/>
        <v>0</v>
      </c>
      <c r="H337" s="110">
        <f>IFERROR(INDEX('Base Salarial'!$D$5:$F$25,MATCH(E337,'Base Salarial'!$G$5:$G$25,0),MATCH(I337,'Base Salarial'!$D$4:$F$4,0)),"")</f>
        <v>7000</v>
      </c>
      <c r="I337" s="78" t="str">
        <f>IFERROR(INDEX(Tarefas!$BQ$29:$FK$29,MATCH(E337,Tarefas!$BQ$30:$FK$30,0)),"")</f>
        <v>Mensalista</v>
      </c>
      <c r="J337" s="81">
        <f>IF(I337="horista",H337*Dashboard!$D$15,IF(OR(I337="Mensalista",I337="PJ"),H337,))</f>
        <v>7000</v>
      </c>
      <c r="K337" s="81">
        <f>IF(I337="PJ",J337,ROUND(J337*(1+Dashboard!$D$22),2))</f>
        <v>7420</v>
      </c>
      <c r="L337" s="77"/>
      <c r="M337" s="180"/>
      <c r="P337" s="109">
        <f>IF($BD337&gt;0,(((($BD337/Dashboard!$D$15)*(1+Precificação!$W$589)))+$P$26)*(1+Dashboard!$D$35),0)</f>
        <v>0</v>
      </c>
      <c r="Q337" s="109">
        <f>IF($BD337&gt;0,(((($BD337/Dashboard!$D$23)+(1+Precificação!$W$589))*(1+Q$28))+$P$26)*(1+Dashboard!$D$35),0)</f>
        <v>0</v>
      </c>
      <c r="R337" s="109">
        <f>IF($BD337&gt;0,(((($BD337/Dashboard!$D$23)+(1+Precificação!$W$589))*(1+R$28))+$P$26)*(1+Dashboard!$D$35),0)</f>
        <v>0</v>
      </c>
      <c r="S337" s="109">
        <f>IF($BD337&gt;0,(((($BD337/Dashboard!$D$23)+(1+Precificação!$W$589))*(1+S$28))+$P$26)*(1+Dashboard!$D$35),0)</f>
        <v>0</v>
      </c>
      <c r="U337" s="109">
        <f t="shared" si="250"/>
        <v>0</v>
      </c>
      <c r="V337" s="109">
        <f t="shared" si="251"/>
        <v>0</v>
      </c>
      <c r="W337" s="109">
        <f t="shared" si="252"/>
        <v>0</v>
      </c>
      <c r="X337" s="109">
        <f t="shared" si="253"/>
        <v>0</v>
      </c>
      <c r="AA337" s="109">
        <f>IF($BD337&gt;0,(((($BD337/Dashboard!$D$23)*(1+Precificação!$W$589)))+$AA$26)*(1+Dashboard!$D$35),0)</f>
        <v>0</v>
      </c>
      <c r="AB337" s="109">
        <f>IF($BD337&gt;0,(((($BD337/Dashboard!$D$23)*(1+Precificação!$W$589))*(1+AB$28))+$AA$26)*(1+Dashboard!$D$35),0)</f>
        <v>0</v>
      </c>
      <c r="AC337" s="109">
        <f>IF($BD337&gt;0,(((($BD337/Dashboard!$D$23)*(1+Precificação!$W$589))*(1+AC$28))+$AA$26)*(1+Dashboard!$D$35),0)</f>
        <v>0</v>
      </c>
      <c r="AD337" s="109">
        <f>IF($BD337&gt;0,(((($BD337/Dashboard!$D$23)*(1+Precificação!$W$589))*(1+AD$28))+$AA$26)*(1+Dashboard!$D$35),0)</f>
        <v>0</v>
      </c>
      <c r="AF337" s="109">
        <f t="shared" si="254"/>
        <v>0</v>
      </c>
      <c r="AG337" s="109">
        <f t="shared" si="255"/>
        <v>0</v>
      </c>
      <c r="AH337" s="109">
        <f t="shared" si="256"/>
        <v>0</v>
      </c>
      <c r="AI337" s="109">
        <f t="shared" si="257"/>
        <v>0</v>
      </c>
      <c r="AL337" s="109">
        <f>IF($BD337&gt;0,(((($BD337/Dashboard!$D$23)*(1+Precificação!$W$589)))+$AL$26)*(1+Dashboard!$D$35),0)</f>
        <v>0</v>
      </c>
      <c r="AM337" s="109">
        <f>IF($BD337&gt;0,(((($BD337/Dashboard!$D$23)*(1+Precificação!$W$589))*(1+AM$28))+$AA$26)*(1+Dashboard!$D$35),0)</f>
        <v>0</v>
      </c>
      <c r="AN337" s="109">
        <f>IF($BD337&gt;0,(((($BD337/Dashboard!$D$23)*(1+Precificação!$W$589))*(1+AN$28))+$AA$26)*(1+Dashboard!$D$35),0)</f>
        <v>0</v>
      </c>
      <c r="AO337" s="109">
        <f>IF($BD337&gt;0,(((($BD337/Dashboard!$D$23)*(1+Precificação!$W$589))*(1+AO$28))+$AA$26)*(1+Dashboard!$D$35),0)</f>
        <v>0</v>
      </c>
      <c r="AQ337" s="109">
        <f t="shared" si="258"/>
        <v>0</v>
      </c>
      <c r="AR337" s="109">
        <f t="shared" si="259"/>
        <v>0</v>
      </c>
      <c r="AS337" s="109">
        <f t="shared" si="260"/>
        <v>0</v>
      </c>
      <c r="AT337" s="109">
        <f t="shared" si="261"/>
        <v>0</v>
      </c>
      <c r="AW337" s="144">
        <f>VLOOKUP(B337,'Cronog. e Histog.'!$B$213:$BT$688,71,0)</f>
        <v>0</v>
      </c>
      <c r="AX337" s="144">
        <f>VLOOKUP(B337,'Cronog. e Histog.'!$B$213:$BU$688,72,0)</f>
        <v>0</v>
      </c>
      <c r="AY337" s="144">
        <f>$AW337*$AX337*Dashboard!$D$15</f>
        <v>0</v>
      </c>
      <c r="AZ337" s="144">
        <f>VLOOKUP(B337,Precificação!$B$96:$BM$533,54,0)</f>
        <v>0</v>
      </c>
      <c r="BA337" s="144">
        <f>VLOOKUP(B337,Precificação!$B$96:$BR$533,58,0)</f>
        <v>0</v>
      </c>
      <c r="BB337" s="144">
        <f>VLOOKUP(B337,Precificação!$B$96:$BW$533,62,0)</f>
        <v>0</v>
      </c>
      <c r="BC337" s="144">
        <f t="shared" si="262"/>
        <v>0</v>
      </c>
      <c r="BD337" s="109">
        <f>IFERROR(VLOOKUP(B337,Precificação!$B$96:$S$533,13,0),0)</f>
        <v>0</v>
      </c>
      <c r="BE337" s="109">
        <f>IFERROR(VLOOKUP(B337,Precificação!$B$96:$U$533,15,0)/(Precificação!$U$4+Precificação!$U$91),0)*Dashboard!$T$3</f>
        <v>0</v>
      </c>
    </row>
    <row r="338" spans="2:57" ht="12" customHeight="1" outlineLevel="1">
      <c r="B338" s="137" t="str">
        <f>Precificação!B326</f>
        <v>AN PL. ADM/CRP - Equipe_01</v>
      </c>
      <c r="D338" s="512"/>
      <c r="E338" s="143" t="str">
        <f>IF('Cronog. e Histog.'!G463&gt;0,'Cronog. e Histog.'!G463,"")</f>
        <v>AN PL. ADM/CRP</v>
      </c>
      <c r="G338" s="179">
        <f t="shared" si="249"/>
        <v>0</v>
      </c>
      <c r="H338" s="110">
        <f>IFERROR(INDEX('Base Salarial'!$D$5:$F$25,MATCH(E338,'Base Salarial'!$G$5:$G$25,0),MATCH(I338,'Base Salarial'!$D$4:$F$4,0)),"")</f>
        <v>5000</v>
      </c>
      <c r="I338" s="78" t="str">
        <f>IFERROR(INDEX(Tarefas!$BQ$29:$FK$29,MATCH(E338,Tarefas!$BQ$30:$FK$30,0)),"")</f>
        <v>Mensalista</v>
      </c>
      <c r="J338" s="81">
        <f>IF(I338="horista",H338*Dashboard!$D$15,IF(OR(I338="Mensalista",I338="PJ"),H338,))</f>
        <v>5000</v>
      </c>
      <c r="K338" s="81">
        <f>IF(I338="PJ",J338,ROUND(J338*(1+Dashboard!$D$22),2))</f>
        <v>5300</v>
      </c>
      <c r="L338" s="77"/>
      <c r="M338" s="180"/>
      <c r="P338" s="109">
        <f>IF($BD338&gt;0,(((($BD338/Dashboard!$D$15)*(1+Precificação!$W$589)))+$P$26)*(1+Dashboard!$D$35),0)</f>
        <v>0</v>
      </c>
      <c r="Q338" s="109">
        <f>IF($BD338&gt;0,(((($BD338/Dashboard!$D$23)+(1+Precificação!$W$589))*(1+Q$28))+$P$26)*(1+Dashboard!$D$35),0)</f>
        <v>0</v>
      </c>
      <c r="R338" s="109">
        <f>IF($BD338&gt;0,(((($BD338/Dashboard!$D$23)+(1+Precificação!$W$589))*(1+R$28))+$P$26)*(1+Dashboard!$D$35),0)</f>
        <v>0</v>
      </c>
      <c r="S338" s="109">
        <f>IF($BD338&gt;0,(((($BD338/Dashboard!$D$23)+(1+Precificação!$W$589))*(1+S$28))+$P$26)*(1+Dashboard!$D$35),0)</f>
        <v>0</v>
      </c>
      <c r="U338" s="109">
        <f t="shared" si="250"/>
        <v>0</v>
      </c>
      <c r="V338" s="109">
        <f t="shared" si="251"/>
        <v>0</v>
      </c>
      <c r="W338" s="109">
        <f t="shared" si="252"/>
        <v>0</v>
      </c>
      <c r="X338" s="109">
        <f t="shared" si="253"/>
        <v>0</v>
      </c>
      <c r="AA338" s="109">
        <f>IF($BD338&gt;0,(((($BD338/Dashboard!$D$23)*(1+Precificação!$W$589)))+$AA$26)*(1+Dashboard!$D$35),0)</f>
        <v>0</v>
      </c>
      <c r="AB338" s="109">
        <f>IF($BD338&gt;0,(((($BD338/Dashboard!$D$23)*(1+Precificação!$W$589))*(1+AB$28))+$AA$26)*(1+Dashboard!$D$35),0)</f>
        <v>0</v>
      </c>
      <c r="AC338" s="109">
        <f>IF($BD338&gt;0,(((($BD338/Dashboard!$D$23)*(1+Precificação!$W$589))*(1+AC$28))+$AA$26)*(1+Dashboard!$D$35),0)</f>
        <v>0</v>
      </c>
      <c r="AD338" s="109">
        <f>IF($BD338&gt;0,(((($BD338/Dashboard!$D$23)*(1+Precificação!$W$589))*(1+AD$28))+$AA$26)*(1+Dashboard!$D$35),0)</f>
        <v>0</v>
      </c>
      <c r="AF338" s="109">
        <f t="shared" si="254"/>
        <v>0</v>
      </c>
      <c r="AG338" s="109">
        <f t="shared" si="255"/>
        <v>0</v>
      </c>
      <c r="AH338" s="109">
        <f t="shared" si="256"/>
        <v>0</v>
      </c>
      <c r="AI338" s="109">
        <f t="shared" si="257"/>
        <v>0</v>
      </c>
      <c r="AL338" s="109">
        <f>IF($BD338&gt;0,(((($BD338/Dashboard!$D$23)*(1+Precificação!$W$589)))+$AL$26)*(1+Dashboard!$D$35),0)</f>
        <v>0</v>
      </c>
      <c r="AM338" s="109">
        <f>IF($BD338&gt;0,(((($BD338/Dashboard!$D$23)*(1+Precificação!$W$589))*(1+AM$28))+$AA$26)*(1+Dashboard!$D$35),0)</f>
        <v>0</v>
      </c>
      <c r="AN338" s="109">
        <f>IF($BD338&gt;0,(((($BD338/Dashboard!$D$23)*(1+Precificação!$W$589))*(1+AN$28))+$AA$26)*(1+Dashboard!$D$35),0)</f>
        <v>0</v>
      </c>
      <c r="AO338" s="109">
        <f>IF($BD338&gt;0,(((($BD338/Dashboard!$D$23)*(1+Precificação!$W$589))*(1+AO$28))+$AA$26)*(1+Dashboard!$D$35),0)</f>
        <v>0</v>
      </c>
      <c r="AQ338" s="109">
        <f t="shared" si="258"/>
        <v>0</v>
      </c>
      <c r="AR338" s="109">
        <f t="shared" si="259"/>
        <v>0</v>
      </c>
      <c r="AS338" s="109">
        <f t="shared" si="260"/>
        <v>0</v>
      </c>
      <c r="AT338" s="109">
        <f t="shared" si="261"/>
        <v>0</v>
      </c>
      <c r="AW338" s="144">
        <f>VLOOKUP(B338,'Cronog. e Histog.'!$B$213:$BT$688,71,0)</f>
        <v>0</v>
      </c>
      <c r="AX338" s="144">
        <f>VLOOKUP(B338,'Cronog. e Histog.'!$B$213:$BU$688,72,0)</f>
        <v>0</v>
      </c>
      <c r="AY338" s="144">
        <f>$AW338*$AX338*Dashboard!$D$15</f>
        <v>0</v>
      </c>
      <c r="AZ338" s="144">
        <f>VLOOKUP(B338,Precificação!$B$96:$BM$533,54,0)</f>
        <v>0</v>
      </c>
      <c r="BA338" s="144">
        <f>VLOOKUP(B338,Precificação!$B$96:$BR$533,58,0)</f>
        <v>0</v>
      </c>
      <c r="BB338" s="144">
        <f>VLOOKUP(B338,Precificação!$B$96:$BW$533,62,0)</f>
        <v>0</v>
      </c>
      <c r="BC338" s="144">
        <f t="shared" si="262"/>
        <v>0</v>
      </c>
      <c r="BD338" s="109">
        <f>IFERROR(VLOOKUP(B338,Precificação!$B$96:$S$533,13,0),0)</f>
        <v>0</v>
      </c>
      <c r="BE338" s="109">
        <f>IFERROR(VLOOKUP(B338,Precificação!$B$96:$U$533,15,0)/(Precificação!$U$4+Precificação!$U$91),0)*Dashboard!$T$3</f>
        <v>0</v>
      </c>
    </row>
    <row r="339" spans="2:57" ht="12" customHeight="1" outlineLevel="1">
      <c r="B339" s="137" t="str">
        <f>Precificação!B327</f>
        <v>AN JR. ADM/CRP - Equipe_01</v>
      </c>
      <c r="D339" s="512"/>
      <c r="E339" s="143" t="str">
        <f>IF('Cronog. e Histog.'!G464&gt;0,'Cronog. e Histog.'!G464,"")</f>
        <v>AN JR. ADM/CRP</v>
      </c>
      <c r="G339" s="179">
        <f t="shared" si="249"/>
        <v>0</v>
      </c>
      <c r="H339" s="110">
        <f>IFERROR(INDEX('Base Salarial'!$D$5:$F$25,MATCH(E339,'Base Salarial'!$G$5:$G$25,0),MATCH(I339,'Base Salarial'!$D$4:$F$4,0)),"")</f>
        <v>3500</v>
      </c>
      <c r="I339" s="78" t="str">
        <f>IFERROR(INDEX(Tarefas!$BQ$29:$FK$29,MATCH(E339,Tarefas!$BQ$30:$FK$30,0)),"")</f>
        <v>Mensalista</v>
      </c>
      <c r="J339" s="81">
        <f>IF(I339="horista",H339*Dashboard!$D$15,IF(OR(I339="Mensalista",I339="PJ"),H339,))</f>
        <v>3500</v>
      </c>
      <c r="K339" s="81">
        <f>IF(I339="PJ",J339,ROUND(J339*(1+Dashboard!$D$22),2))</f>
        <v>3710</v>
      </c>
      <c r="L339" s="77"/>
      <c r="M339" s="180"/>
      <c r="P339" s="109">
        <f>IF($BD339&gt;0,(((($BD339/Dashboard!$D$15)*(1+Precificação!$W$589)))+$P$26)*(1+Dashboard!$D$35),0)</f>
        <v>0</v>
      </c>
      <c r="Q339" s="109">
        <f>IF($BD339&gt;0,(((($BD339/Dashboard!$D$23)+(1+Precificação!$W$589))*(1+Q$28))+$P$26)*(1+Dashboard!$D$35),0)</f>
        <v>0</v>
      </c>
      <c r="R339" s="109">
        <f>IF($BD339&gt;0,(((($BD339/Dashboard!$D$23)+(1+Precificação!$W$589))*(1+R$28))+$P$26)*(1+Dashboard!$D$35),0)</f>
        <v>0</v>
      </c>
      <c r="S339" s="109">
        <f>IF($BD339&gt;0,(((($BD339/Dashboard!$D$23)+(1+Precificação!$W$589))*(1+S$28))+$P$26)*(1+Dashboard!$D$35),0)</f>
        <v>0</v>
      </c>
      <c r="U339" s="109">
        <f t="shared" si="250"/>
        <v>0</v>
      </c>
      <c r="V339" s="109">
        <f t="shared" si="251"/>
        <v>0</v>
      </c>
      <c r="W339" s="109">
        <f t="shared" si="252"/>
        <v>0</v>
      </c>
      <c r="X339" s="109">
        <f t="shared" si="253"/>
        <v>0</v>
      </c>
      <c r="AA339" s="109">
        <f>IF($BD339&gt;0,(((($BD339/Dashboard!$D$23)*(1+Precificação!$W$589)))+$AA$26)*(1+Dashboard!$D$35),0)</f>
        <v>0</v>
      </c>
      <c r="AB339" s="109">
        <f>IF($BD339&gt;0,(((($BD339/Dashboard!$D$23)*(1+Precificação!$W$589))*(1+AB$28))+$AA$26)*(1+Dashboard!$D$35),0)</f>
        <v>0</v>
      </c>
      <c r="AC339" s="109">
        <f>IF($BD339&gt;0,(((($BD339/Dashboard!$D$23)*(1+Precificação!$W$589))*(1+AC$28))+$AA$26)*(1+Dashboard!$D$35),0)</f>
        <v>0</v>
      </c>
      <c r="AD339" s="109">
        <f>IF($BD339&gt;0,(((($BD339/Dashboard!$D$23)*(1+Precificação!$W$589))*(1+AD$28))+$AA$26)*(1+Dashboard!$D$35),0)</f>
        <v>0</v>
      </c>
      <c r="AF339" s="109">
        <f t="shared" si="254"/>
        <v>0</v>
      </c>
      <c r="AG339" s="109">
        <f t="shared" si="255"/>
        <v>0</v>
      </c>
      <c r="AH339" s="109">
        <f t="shared" si="256"/>
        <v>0</v>
      </c>
      <c r="AI339" s="109">
        <f t="shared" si="257"/>
        <v>0</v>
      </c>
      <c r="AL339" s="109">
        <f>IF($BD339&gt;0,(((($BD339/Dashboard!$D$23)*(1+Precificação!$W$589)))+$AL$26)*(1+Dashboard!$D$35),0)</f>
        <v>0</v>
      </c>
      <c r="AM339" s="109">
        <f>IF($BD339&gt;0,(((($BD339/Dashboard!$D$23)*(1+Precificação!$W$589))*(1+AM$28))+$AA$26)*(1+Dashboard!$D$35),0)</f>
        <v>0</v>
      </c>
      <c r="AN339" s="109">
        <f>IF($BD339&gt;0,(((($BD339/Dashboard!$D$23)*(1+Precificação!$W$589))*(1+AN$28))+$AA$26)*(1+Dashboard!$D$35),0)</f>
        <v>0</v>
      </c>
      <c r="AO339" s="109">
        <f>IF($BD339&gt;0,(((($BD339/Dashboard!$D$23)*(1+Precificação!$W$589))*(1+AO$28))+$AA$26)*(1+Dashboard!$D$35),0)</f>
        <v>0</v>
      </c>
      <c r="AQ339" s="109">
        <f t="shared" si="258"/>
        <v>0</v>
      </c>
      <c r="AR339" s="109">
        <f t="shared" si="259"/>
        <v>0</v>
      </c>
      <c r="AS339" s="109">
        <f t="shared" si="260"/>
        <v>0</v>
      </c>
      <c r="AT339" s="109">
        <f t="shared" si="261"/>
        <v>0</v>
      </c>
      <c r="AW339" s="144">
        <f>VLOOKUP(B339,'Cronog. e Histog.'!$B$213:$BT$688,71,0)</f>
        <v>0</v>
      </c>
      <c r="AX339" s="144">
        <f>VLOOKUP(B339,'Cronog. e Histog.'!$B$213:$BU$688,72,0)</f>
        <v>0</v>
      </c>
      <c r="AY339" s="144">
        <f>$AW339*$AX339*Dashboard!$D$15</f>
        <v>0</v>
      </c>
      <c r="AZ339" s="144">
        <f>VLOOKUP(B339,Precificação!$B$96:$BM$533,54,0)</f>
        <v>0</v>
      </c>
      <c r="BA339" s="144">
        <f>VLOOKUP(B339,Precificação!$B$96:$BR$533,58,0)</f>
        <v>0</v>
      </c>
      <c r="BB339" s="144">
        <f>VLOOKUP(B339,Precificação!$B$96:$BW$533,62,0)</f>
        <v>0</v>
      </c>
      <c r="BC339" s="144">
        <f t="shared" si="262"/>
        <v>0</v>
      </c>
      <c r="BD339" s="109">
        <f>IFERROR(VLOOKUP(B339,Precificação!$B$96:$S$533,13,0),0)</f>
        <v>0</v>
      </c>
      <c r="BE339" s="109">
        <f>IFERROR(VLOOKUP(B339,Precificação!$B$96:$U$533,15,0)/(Precificação!$U$4+Precificação!$U$91),0)*Dashboard!$T$3</f>
        <v>0</v>
      </c>
    </row>
    <row r="340" spans="2:57" ht="12" customHeight="1" outlineLevel="1">
      <c r="B340" s="137" t="str">
        <f>Precificação!B328</f>
        <v>TEC III - Equipe_01</v>
      </c>
      <c r="D340" s="512"/>
      <c r="E340" s="143" t="str">
        <f>IF('Cronog. e Histog.'!G465&gt;0,'Cronog. e Histog.'!G465,"")</f>
        <v>TEC III</v>
      </c>
      <c r="G340" s="179">
        <f t="shared" si="249"/>
        <v>0</v>
      </c>
      <c r="H340" s="110">
        <f>IFERROR(INDEX('Base Salarial'!$D$5:$F$25,MATCH(E340,'Base Salarial'!$G$5:$G$25,0),MATCH(I340,'Base Salarial'!$D$4:$F$4,0)),"")</f>
        <v>6000</v>
      </c>
      <c r="I340" s="78" t="str">
        <f>IFERROR(INDEX(Tarefas!$BQ$29:$FK$29,MATCH(E340,Tarefas!$BQ$30:$FK$30,0)),"")</f>
        <v>Mensalista</v>
      </c>
      <c r="J340" s="81">
        <f>IF(I340="horista",H340*Dashboard!$D$15,IF(OR(I340="Mensalista",I340="PJ"),H340,))</f>
        <v>6000</v>
      </c>
      <c r="K340" s="81">
        <f>IF(I340="PJ",J340,ROUND(J340*(1+Dashboard!$D$22),2))</f>
        <v>6360</v>
      </c>
      <c r="L340" s="77"/>
      <c r="M340" s="180"/>
      <c r="P340" s="109">
        <f>IF($BD340&gt;0,(((($BD340/Dashboard!$D$15)*(1+Precificação!$W$589)))+$P$26)*(1+Dashboard!$D$35),0)</f>
        <v>0</v>
      </c>
      <c r="Q340" s="109">
        <f>IF($BD340&gt;0,(((($BD340/Dashboard!$D$23)+(1+Precificação!$W$589))*(1+Q$28))+$P$26)*(1+Dashboard!$D$35),0)</f>
        <v>0</v>
      </c>
      <c r="R340" s="109">
        <f>IF($BD340&gt;0,(((($BD340/Dashboard!$D$23)+(1+Precificação!$W$589))*(1+R$28))+$P$26)*(1+Dashboard!$D$35),0)</f>
        <v>0</v>
      </c>
      <c r="S340" s="109">
        <f>IF($BD340&gt;0,(((($BD340/Dashboard!$D$23)+(1+Precificação!$W$589))*(1+S$28))+$P$26)*(1+Dashboard!$D$35),0)</f>
        <v>0</v>
      </c>
      <c r="U340" s="109">
        <f t="shared" si="250"/>
        <v>0</v>
      </c>
      <c r="V340" s="109">
        <f t="shared" si="251"/>
        <v>0</v>
      </c>
      <c r="W340" s="109">
        <f t="shared" si="252"/>
        <v>0</v>
      </c>
      <c r="X340" s="109">
        <f t="shared" si="253"/>
        <v>0</v>
      </c>
      <c r="AA340" s="109">
        <f>IF($BD340&gt;0,(((($BD340/Dashboard!$D$23)*(1+Precificação!$W$589)))+$AA$26)*(1+Dashboard!$D$35),0)</f>
        <v>0</v>
      </c>
      <c r="AB340" s="109">
        <f>IF($BD340&gt;0,(((($BD340/Dashboard!$D$23)*(1+Precificação!$W$589))*(1+AB$28))+$AA$26)*(1+Dashboard!$D$35),0)</f>
        <v>0</v>
      </c>
      <c r="AC340" s="109">
        <f>IF($BD340&gt;0,(((($BD340/Dashboard!$D$23)*(1+Precificação!$W$589))*(1+AC$28))+$AA$26)*(1+Dashboard!$D$35),0)</f>
        <v>0</v>
      </c>
      <c r="AD340" s="109">
        <f>IF($BD340&gt;0,(((($BD340/Dashboard!$D$23)*(1+Precificação!$W$589))*(1+AD$28))+$AA$26)*(1+Dashboard!$D$35),0)</f>
        <v>0</v>
      </c>
      <c r="AF340" s="109">
        <f t="shared" si="254"/>
        <v>0</v>
      </c>
      <c r="AG340" s="109">
        <f t="shared" si="255"/>
        <v>0</v>
      </c>
      <c r="AH340" s="109">
        <f t="shared" si="256"/>
        <v>0</v>
      </c>
      <c r="AI340" s="109">
        <f t="shared" si="257"/>
        <v>0</v>
      </c>
      <c r="AL340" s="109">
        <f>IF($BD340&gt;0,(((($BD340/Dashboard!$D$23)*(1+Precificação!$W$589)))+$AL$26)*(1+Dashboard!$D$35),0)</f>
        <v>0</v>
      </c>
      <c r="AM340" s="109">
        <f>IF($BD340&gt;0,(((($BD340/Dashboard!$D$23)*(1+Precificação!$W$589))*(1+AM$28))+$AA$26)*(1+Dashboard!$D$35),0)</f>
        <v>0</v>
      </c>
      <c r="AN340" s="109">
        <f>IF($BD340&gt;0,(((($BD340/Dashboard!$D$23)*(1+Precificação!$W$589))*(1+AN$28))+$AA$26)*(1+Dashboard!$D$35),0)</f>
        <v>0</v>
      </c>
      <c r="AO340" s="109">
        <f>IF($BD340&gt;0,(((($BD340/Dashboard!$D$23)*(1+Precificação!$W$589))*(1+AO$28))+$AA$26)*(1+Dashboard!$D$35),0)</f>
        <v>0</v>
      </c>
      <c r="AQ340" s="109">
        <f t="shared" si="258"/>
        <v>0</v>
      </c>
      <c r="AR340" s="109">
        <f t="shared" si="259"/>
        <v>0</v>
      </c>
      <c r="AS340" s="109">
        <f t="shared" si="260"/>
        <v>0</v>
      </c>
      <c r="AT340" s="109">
        <f t="shared" si="261"/>
        <v>0</v>
      </c>
      <c r="AW340" s="144">
        <f>VLOOKUP(B340,'Cronog. e Histog.'!$B$213:$BT$688,71,0)</f>
        <v>0</v>
      </c>
      <c r="AX340" s="144">
        <f>VLOOKUP(B340,'Cronog. e Histog.'!$B$213:$BU$688,72,0)</f>
        <v>0</v>
      </c>
      <c r="AY340" s="144">
        <f>$AW340*$AX340*Dashboard!$D$15</f>
        <v>0</v>
      </c>
      <c r="AZ340" s="144">
        <f>VLOOKUP(B340,Precificação!$B$96:$BM$533,54,0)</f>
        <v>0</v>
      </c>
      <c r="BA340" s="144">
        <f>VLOOKUP(B340,Precificação!$B$96:$BR$533,58,0)</f>
        <v>0</v>
      </c>
      <c r="BB340" s="144">
        <f>VLOOKUP(B340,Precificação!$B$96:$BW$533,62,0)</f>
        <v>0</v>
      </c>
      <c r="BC340" s="144">
        <f t="shared" si="262"/>
        <v>0</v>
      </c>
      <c r="BD340" s="109">
        <f>IFERROR(VLOOKUP(B340,Precificação!$B$96:$S$533,13,0),0)</f>
        <v>0</v>
      </c>
      <c r="BE340" s="109">
        <f>IFERROR(VLOOKUP(B340,Precificação!$B$96:$U$533,15,0)/(Precificação!$U$4+Precificação!$U$91),0)*Dashboard!$T$3</f>
        <v>0</v>
      </c>
    </row>
    <row r="341" spans="2:57" ht="12" customHeight="1" outlineLevel="1">
      <c r="B341" s="137" t="str">
        <f>Precificação!B329</f>
        <v>TEC II - Equipe_01</v>
      </c>
      <c r="D341" s="512"/>
      <c r="E341" s="143" t="str">
        <f>IF('Cronog. e Histog.'!G466&gt;0,'Cronog. e Histog.'!G466,"")</f>
        <v>TEC II</v>
      </c>
      <c r="G341" s="179">
        <f t="shared" si="249"/>
        <v>0</v>
      </c>
      <c r="H341" s="110">
        <f>IFERROR(INDEX('Base Salarial'!$D$5:$F$25,MATCH(E341,'Base Salarial'!$G$5:$G$25,0),MATCH(I341,'Base Salarial'!$D$4:$F$4,0)),"")</f>
        <v>4500</v>
      </c>
      <c r="I341" s="78" t="str">
        <f>IFERROR(INDEX(Tarefas!$BQ$29:$FK$29,MATCH(E341,Tarefas!$BQ$30:$FK$30,0)),"")</f>
        <v>Mensalista</v>
      </c>
      <c r="J341" s="81">
        <f>IF(I341="horista",H341*Dashboard!$D$15,IF(OR(I341="Mensalista",I341="PJ"),H341,))</f>
        <v>4500</v>
      </c>
      <c r="K341" s="81">
        <f>IF(I341="PJ",J341,ROUND(J341*(1+Dashboard!$D$22),2))</f>
        <v>4770</v>
      </c>
      <c r="L341" s="77"/>
      <c r="M341" s="180"/>
      <c r="P341" s="109">
        <f>IF($BD341&gt;0,(((($BD341/Dashboard!$D$15)*(1+Precificação!$W$589)))+$P$26)*(1+Dashboard!$D$35),0)</f>
        <v>0</v>
      </c>
      <c r="Q341" s="109">
        <f>IF($BD341&gt;0,(((($BD341/Dashboard!$D$23)+(1+Precificação!$W$589))*(1+Q$28))+$P$26)*(1+Dashboard!$D$35),0)</f>
        <v>0</v>
      </c>
      <c r="R341" s="109">
        <f>IF($BD341&gt;0,(((($BD341/Dashboard!$D$23)+(1+Precificação!$W$589))*(1+R$28))+$P$26)*(1+Dashboard!$D$35),0)</f>
        <v>0</v>
      </c>
      <c r="S341" s="109">
        <f>IF($BD341&gt;0,(((($BD341/Dashboard!$D$23)+(1+Precificação!$W$589))*(1+S$28))+$P$26)*(1+Dashboard!$D$35),0)</f>
        <v>0</v>
      </c>
      <c r="U341" s="109">
        <f t="shared" si="250"/>
        <v>0</v>
      </c>
      <c r="V341" s="109">
        <f t="shared" si="251"/>
        <v>0</v>
      </c>
      <c r="W341" s="109">
        <f t="shared" si="252"/>
        <v>0</v>
      </c>
      <c r="X341" s="109">
        <f t="shared" si="253"/>
        <v>0</v>
      </c>
      <c r="AA341" s="109">
        <f>IF($BD341&gt;0,(((($BD341/Dashboard!$D$23)*(1+Precificação!$W$589)))+$AA$26)*(1+Dashboard!$D$35),0)</f>
        <v>0</v>
      </c>
      <c r="AB341" s="109">
        <f>IF($BD341&gt;0,(((($BD341/Dashboard!$D$23)*(1+Precificação!$W$589))*(1+AB$28))+$AA$26)*(1+Dashboard!$D$35),0)</f>
        <v>0</v>
      </c>
      <c r="AC341" s="109">
        <f>IF($BD341&gt;0,(((($BD341/Dashboard!$D$23)*(1+Precificação!$W$589))*(1+AC$28))+$AA$26)*(1+Dashboard!$D$35),0)</f>
        <v>0</v>
      </c>
      <c r="AD341" s="109">
        <f>IF($BD341&gt;0,(((($BD341/Dashboard!$D$23)*(1+Precificação!$W$589))*(1+AD$28))+$AA$26)*(1+Dashboard!$D$35),0)</f>
        <v>0</v>
      </c>
      <c r="AF341" s="109">
        <f t="shared" si="254"/>
        <v>0</v>
      </c>
      <c r="AG341" s="109">
        <f t="shared" si="255"/>
        <v>0</v>
      </c>
      <c r="AH341" s="109">
        <f t="shared" si="256"/>
        <v>0</v>
      </c>
      <c r="AI341" s="109">
        <f t="shared" si="257"/>
        <v>0</v>
      </c>
      <c r="AL341" s="109">
        <f>IF($BD341&gt;0,(((($BD341/Dashboard!$D$23)*(1+Precificação!$W$589)))+$AL$26)*(1+Dashboard!$D$35),0)</f>
        <v>0</v>
      </c>
      <c r="AM341" s="109">
        <f>IF($BD341&gt;0,(((($BD341/Dashboard!$D$23)*(1+Precificação!$W$589))*(1+AM$28))+$AA$26)*(1+Dashboard!$D$35),0)</f>
        <v>0</v>
      </c>
      <c r="AN341" s="109">
        <f>IF($BD341&gt;0,(((($BD341/Dashboard!$D$23)*(1+Precificação!$W$589))*(1+AN$28))+$AA$26)*(1+Dashboard!$D$35),0)</f>
        <v>0</v>
      </c>
      <c r="AO341" s="109">
        <f>IF($BD341&gt;0,(((($BD341/Dashboard!$D$23)*(1+Precificação!$W$589))*(1+AO$28))+$AA$26)*(1+Dashboard!$D$35),0)</f>
        <v>0</v>
      </c>
      <c r="AQ341" s="109">
        <f t="shared" si="258"/>
        <v>0</v>
      </c>
      <c r="AR341" s="109">
        <f t="shared" si="259"/>
        <v>0</v>
      </c>
      <c r="AS341" s="109">
        <f t="shared" si="260"/>
        <v>0</v>
      </c>
      <c r="AT341" s="109">
        <f t="shared" si="261"/>
        <v>0</v>
      </c>
      <c r="AW341" s="144">
        <f>VLOOKUP(B341,'Cronog. e Histog.'!$B$213:$BT$688,71,0)</f>
        <v>0</v>
      </c>
      <c r="AX341" s="144">
        <f>VLOOKUP(B341,'Cronog. e Histog.'!$B$213:$BU$688,72,0)</f>
        <v>0</v>
      </c>
      <c r="AY341" s="144">
        <f>$AW341*$AX341*Dashboard!$D$15</f>
        <v>0</v>
      </c>
      <c r="AZ341" s="144">
        <f>VLOOKUP(B341,Precificação!$B$96:$BM$533,54,0)</f>
        <v>0</v>
      </c>
      <c r="BA341" s="144">
        <f>VLOOKUP(B341,Precificação!$B$96:$BR$533,58,0)</f>
        <v>0</v>
      </c>
      <c r="BB341" s="144">
        <f>VLOOKUP(B341,Precificação!$B$96:$BW$533,62,0)</f>
        <v>0</v>
      </c>
      <c r="BC341" s="144">
        <f t="shared" si="262"/>
        <v>0</v>
      </c>
      <c r="BD341" s="109">
        <f>IFERROR(VLOOKUP(B341,Precificação!$B$96:$S$533,13,0),0)</f>
        <v>0</v>
      </c>
      <c r="BE341" s="109">
        <f>IFERROR(VLOOKUP(B341,Precificação!$B$96:$U$533,15,0)/(Precificação!$U$4+Precificação!$U$91),0)*Dashboard!$T$3</f>
        <v>0</v>
      </c>
    </row>
    <row r="342" spans="2:57" ht="12" customHeight="1" outlineLevel="1">
      <c r="B342" s="137" t="str">
        <f>Precificação!B330</f>
        <v>TEC I - Equipe_01</v>
      </c>
      <c r="D342" s="512"/>
      <c r="E342" s="143" t="str">
        <f>IF('Cronog. e Histog.'!G467&gt;0,'Cronog. e Histog.'!G467,"")</f>
        <v>TEC I</v>
      </c>
      <c r="G342" s="179">
        <f t="shared" si="249"/>
        <v>0</v>
      </c>
      <c r="H342" s="110">
        <f>IFERROR(INDEX('Base Salarial'!$D$5:$F$25,MATCH(E342,'Base Salarial'!$G$5:$G$25,0),MATCH(I342,'Base Salarial'!$D$4:$F$4,0)),"")</f>
        <v>3000</v>
      </c>
      <c r="I342" s="78" t="str">
        <f>IFERROR(INDEX(Tarefas!$BQ$29:$FK$29,MATCH(E342,Tarefas!$BQ$30:$FK$30,0)),"")</f>
        <v>Mensalista</v>
      </c>
      <c r="J342" s="81">
        <f>IF(I342="horista",H342*Dashboard!$D$15,IF(OR(I342="Mensalista",I342="PJ"),H342,))</f>
        <v>3000</v>
      </c>
      <c r="K342" s="81">
        <f>IF(I342="PJ",J342,ROUND(J342*(1+Dashboard!$D$22),2))</f>
        <v>3180</v>
      </c>
      <c r="L342" s="77"/>
      <c r="M342" s="180"/>
      <c r="P342" s="109">
        <f>IF($BD342&gt;0,(((($BD342/Dashboard!$D$15)*(1+Precificação!$W$589)))+$P$26)*(1+Dashboard!$D$35),0)</f>
        <v>0</v>
      </c>
      <c r="Q342" s="109">
        <f>IF($BD342&gt;0,(((($BD342/Dashboard!$D$23)+(1+Precificação!$W$589))*(1+Q$28))+$P$26)*(1+Dashboard!$D$35),0)</f>
        <v>0</v>
      </c>
      <c r="R342" s="109">
        <f>IF($BD342&gt;0,(((($BD342/Dashboard!$D$23)+(1+Precificação!$W$589))*(1+R$28))+$P$26)*(1+Dashboard!$D$35),0)</f>
        <v>0</v>
      </c>
      <c r="S342" s="109">
        <f>IF($BD342&gt;0,(((($BD342/Dashboard!$D$23)+(1+Precificação!$W$589))*(1+S$28))+$P$26)*(1+Dashboard!$D$35),0)</f>
        <v>0</v>
      </c>
      <c r="U342" s="109">
        <f t="shared" si="250"/>
        <v>0</v>
      </c>
      <c r="V342" s="109">
        <f t="shared" si="251"/>
        <v>0</v>
      </c>
      <c r="W342" s="109">
        <f t="shared" si="252"/>
        <v>0</v>
      </c>
      <c r="X342" s="109">
        <f t="shared" si="253"/>
        <v>0</v>
      </c>
      <c r="AA342" s="109">
        <f>IF($BD342&gt;0,(((($BD342/Dashboard!$D$23)*(1+Precificação!$W$589)))+$AA$26)*(1+Dashboard!$D$35),0)</f>
        <v>0</v>
      </c>
      <c r="AB342" s="109">
        <f>IF($BD342&gt;0,(((($BD342/Dashboard!$D$23)*(1+Precificação!$W$589))*(1+AB$28))+$AA$26)*(1+Dashboard!$D$35),0)</f>
        <v>0</v>
      </c>
      <c r="AC342" s="109">
        <f>IF($BD342&gt;0,(((($BD342/Dashboard!$D$23)*(1+Precificação!$W$589))*(1+AC$28))+$AA$26)*(1+Dashboard!$D$35),0)</f>
        <v>0</v>
      </c>
      <c r="AD342" s="109">
        <f>IF($BD342&gt;0,(((($BD342/Dashboard!$D$23)*(1+Precificação!$W$589))*(1+AD$28))+$AA$26)*(1+Dashboard!$D$35),0)</f>
        <v>0</v>
      </c>
      <c r="AF342" s="109">
        <f t="shared" si="254"/>
        <v>0</v>
      </c>
      <c r="AG342" s="109">
        <f t="shared" si="255"/>
        <v>0</v>
      </c>
      <c r="AH342" s="109">
        <f t="shared" si="256"/>
        <v>0</v>
      </c>
      <c r="AI342" s="109">
        <f t="shared" si="257"/>
        <v>0</v>
      </c>
      <c r="AL342" s="109">
        <f>IF($BD342&gt;0,(((($BD342/Dashboard!$D$23)*(1+Precificação!$W$589)))+$AL$26)*(1+Dashboard!$D$35),0)</f>
        <v>0</v>
      </c>
      <c r="AM342" s="109">
        <f>IF($BD342&gt;0,(((($BD342/Dashboard!$D$23)*(1+Precificação!$W$589))*(1+AM$28))+$AA$26)*(1+Dashboard!$D$35),0)</f>
        <v>0</v>
      </c>
      <c r="AN342" s="109">
        <f>IF($BD342&gt;0,(((($BD342/Dashboard!$D$23)*(1+Precificação!$W$589))*(1+AN$28))+$AA$26)*(1+Dashboard!$D$35),0)</f>
        <v>0</v>
      </c>
      <c r="AO342" s="109">
        <f>IF($BD342&gt;0,(((($BD342/Dashboard!$D$23)*(1+Precificação!$W$589))*(1+AO$28))+$AA$26)*(1+Dashboard!$D$35),0)</f>
        <v>0</v>
      </c>
      <c r="AQ342" s="109">
        <f t="shared" si="258"/>
        <v>0</v>
      </c>
      <c r="AR342" s="109">
        <f t="shared" si="259"/>
        <v>0</v>
      </c>
      <c r="AS342" s="109">
        <f t="shared" si="260"/>
        <v>0</v>
      </c>
      <c r="AT342" s="109">
        <f t="shared" si="261"/>
        <v>0</v>
      </c>
      <c r="AW342" s="144">
        <f>VLOOKUP(B342,'Cronog. e Histog.'!$B$213:$BT$688,71,0)</f>
        <v>0</v>
      </c>
      <c r="AX342" s="144">
        <f>VLOOKUP(B342,'Cronog. e Histog.'!$B$213:$BU$688,72,0)</f>
        <v>0</v>
      </c>
      <c r="AY342" s="144">
        <f>$AW342*$AX342*Dashboard!$D$15</f>
        <v>0</v>
      </c>
      <c r="AZ342" s="144">
        <f>VLOOKUP(B342,Precificação!$B$96:$BM$533,54,0)</f>
        <v>0</v>
      </c>
      <c r="BA342" s="144">
        <f>VLOOKUP(B342,Precificação!$B$96:$BR$533,58,0)</f>
        <v>0</v>
      </c>
      <c r="BB342" s="144">
        <f>VLOOKUP(B342,Precificação!$B$96:$BW$533,62,0)</f>
        <v>0</v>
      </c>
      <c r="BC342" s="144">
        <f t="shared" si="262"/>
        <v>0</v>
      </c>
      <c r="BD342" s="109">
        <f>IFERROR(VLOOKUP(B342,Precificação!$B$96:$S$533,13,0),0)</f>
        <v>0</v>
      </c>
      <c r="BE342" s="109">
        <f>IFERROR(VLOOKUP(B342,Precificação!$B$96:$U$533,15,0)/(Precificação!$U$4+Precificação!$U$91),0)*Dashboard!$T$3</f>
        <v>0</v>
      </c>
    </row>
    <row r="343" spans="2:57" ht="12" customHeight="1" outlineLevel="1">
      <c r="B343" s="137" t="str">
        <f>Precificação!B331</f>
        <v>AUX TEC - Equipe_01</v>
      </c>
      <c r="D343" s="512"/>
      <c r="E343" s="143" t="str">
        <f>IF('Cronog. e Histog.'!G468&gt;0,'Cronog. e Histog.'!G468,"")</f>
        <v>AUX TEC</v>
      </c>
      <c r="G343" s="179">
        <f t="shared" si="249"/>
        <v>0</v>
      </c>
      <c r="H343" s="110">
        <f>IFERROR(INDEX('Base Salarial'!$D$5:$F$25,MATCH(E343,'Base Salarial'!$G$5:$G$25,0),MATCH(I343,'Base Salarial'!$D$4:$F$4,0)),"")</f>
        <v>3500</v>
      </c>
      <c r="I343" s="78" t="str">
        <f>IFERROR(INDEX(Tarefas!$BQ$29:$FK$29,MATCH(E343,Tarefas!$BQ$30:$FK$30,0)),"")</f>
        <v>Mensalista</v>
      </c>
      <c r="J343" s="81">
        <f>IF(I343="horista",H343*Dashboard!$D$15,IF(OR(I343="Mensalista",I343="PJ"),H343,))</f>
        <v>3500</v>
      </c>
      <c r="K343" s="81">
        <f>IF(I343="PJ",J343,ROUND(J343*(1+Dashboard!$D$22),2))</f>
        <v>3710</v>
      </c>
      <c r="L343" s="77"/>
      <c r="M343" s="180"/>
      <c r="P343" s="109">
        <f>IF($BD343&gt;0,(((($BD343/Dashboard!$D$15)*(1+Precificação!$W$589)))+$P$26)*(1+Dashboard!$D$35),0)</f>
        <v>0</v>
      </c>
      <c r="Q343" s="109">
        <f>IF($BD343&gt;0,(((($BD343/Dashboard!$D$23)+(1+Precificação!$W$589))*(1+Q$28))+$P$26)*(1+Dashboard!$D$35),0)</f>
        <v>0</v>
      </c>
      <c r="R343" s="109">
        <f>IF($BD343&gt;0,(((($BD343/Dashboard!$D$23)+(1+Precificação!$W$589))*(1+R$28))+$P$26)*(1+Dashboard!$D$35),0)</f>
        <v>0</v>
      </c>
      <c r="S343" s="109">
        <f>IF($BD343&gt;0,(((($BD343/Dashboard!$D$23)+(1+Precificação!$W$589))*(1+S$28))+$P$26)*(1+Dashboard!$D$35),0)</f>
        <v>0</v>
      </c>
      <c r="U343" s="109">
        <f t="shared" si="250"/>
        <v>0</v>
      </c>
      <c r="V343" s="109">
        <f t="shared" si="251"/>
        <v>0</v>
      </c>
      <c r="W343" s="109">
        <f t="shared" si="252"/>
        <v>0</v>
      </c>
      <c r="X343" s="109">
        <f t="shared" si="253"/>
        <v>0</v>
      </c>
      <c r="AA343" s="109">
        <f>IF($BD343&gt;0,(((($BD343/Dashboard!$D$23)*(1+Precificação!$W$589)))+$AA$26)*(1+Dashboard!$D$35),0)</f>
        <v>0</v>
      </c>
      <c r="AB343" s="109">
        <f>IF($BD343&gt;0,(((($BD343/Dashboard!$D$23)*(1+Precificação!$W$589))*(1+AB$28))+$AA$26)*(1+Dashboard!$D$35),0)</f>
        <v>0</v>
      </c>
      <c r="AC343" s="109">
        <f>IF($BD343&gt;0,(((($BD343/Dashboard!$D$23)*(1+Precificação!$W$589))*(1+AC$28))+$AA$26)*(1+Dashboard!$D$35),0)</f>
        <v>0</v>
      </c>
      <c r="AD343" s="109">
        <f>IF($BD343&gt;0,(((($BD343/Dashboard!$D$23)*(1+Precificação!$W$589))*(1+AD$28))+$AA$26)*(1+Dashboard!$D$35),0)</f>
        <v>0</v>
      </c>
      <c r="AF343" s="109">
        <f t="shared" si="254"/>
        <v>0</v>
      </c>
      <c r="AG343" s="109">
        <f t="shared" si="255"/>
        <v>0</v>
      </c>
      <c r="AH343" s="109">
        <f t="shared" si="256"/>
        <v>0</v>
      </c>
      <c r="AI343" s="109">
        <f t="shared" si="257"/>
        <v>0</v>
      </c>
      <c r="AL343" s="109">
        <f>IF($BD343&gt;0,(((($BD343/Dashboard!$D$23)*(1+Precificação!$W$589)))+$AL$26)*(1+Dashboard!$D$35),0)</f>
        <v>0</v>
      </c>
      <c r="AM343" s="109">
        <f>IF($BD343&gt;0,(((($BD343/Dashboard!$D$23)*(1+Precificação!$W$589))*(1+AM$28))+$AA$26)*(1+Dashboard!$D$35),0)</f>
        <v>0</v>
      </c>
      <c r="AN343" s="109">
        <f>IF($BD343&gt;0,(((($BD343/Dashboard!$D$23)*(1+Precificação!$W$589))*(1+AN$28))+$AA$26)*(1+Dashboard!$D$35),0)</f>
        <v>0</v>
      </c>
      <c r="AO343" s="109">
        <f>IF($BD343&gt;0,(((($BD343/Dashboard!$D$23)*(1+Precificação!$W$589))*(1+AO$28))+$AA$26)*(1+Dashboard!$D$35),0)</f>
        <v>0</v>
      </c>
      <c r="AQ343" s="109">
        <f t="shared" si="258"/>
        <v>0</v>
      </c>
      <c r="AR343" s="109">
        <f t="shared" si="259"/>
        <v>0</v>
      </c>
      <c r="AS343" s="109">
        <f t="shared" si="260"/>
        <v>0</v>
      </c>
      <c r="AT343" s="109">
        <f t="shared" si="261"/>
        <v>0</v>
      </c>
      <c r="AW343" s="144">
        <f>VLOOKUP(B343,'Cronog. e Histog.'!$B$213:$BT$688,71,0)</f>
        <v>0</v>
      </c>
      <c r="AX343" s="144">
        <f>VLOOKUP(B343,'Cronog. e Histog.'!$B$213:$BU$688,72,0)</f>
        <v>0</v>
      </c>
      <c r="AY343" s="144">
        <f>$AW343*$AX343*Dashboard!$D$15</f>
        <v>0</v>
      </c>
      <c r="AZ343" s="144">
        <f>VLOOKUP(B343,Precificação!$B$96:$BM$533,54,0)</f>
        <v>0</v>
      </c>
      <c r="BA343" s="144">
        <f>VLOOKUP(B343,Precificação!$B$96:$BR$533,58,0)</f>
        <v>0</v>
      </c>
      <c r="BB343" s="144">
        <f>VLOOKUP(B343,Precificação!$B$96:$BW$533,62,0)</f>
        <v>0</v>
      </c>
      <c r="BC343" s="144">
        <f t="shared" si="262"/>
        <v>0</v>
      </c>
      <c r="BD343" s="109">
        <f>IFERROR(VLOOKUP(B343,Precificação!$B$96:$S$533,13,0),0)</f>
        <v>0</v>
      </c>
      <c r="BE343" s="109">
        <f>IFERROR(VLOOKUP(B343,Precificação!$B$96:$U$533,15,0)/(Precificação!$U$4+Precificação!$U$91),0)*Dashboard!$T$3</f>
        <v>0</v>
      </c>
    </row>
    <row r="344" spans="2:57" ht="12" customHeight="1" outlineLevel="1">
      <c r="B344" s="137" t="str">
        <f>Precificação!B332</f>
        <v>AUX ADM - Equipe_01</v>
      </c>
      <c r="D344" s="512"/>
      <c r="E344" s="143" t="str">
        <f>IF('Cronog. e Histog.'!G469&gt;0,'Cronog. e Histog.'!G469,"")</f>
        <v>AUX ADM</v>
      </c>
      <c r="G344" s="179">
        <f t="shared" si="249"/>
        <v>0</v>
      </c>
      <c r="H344" s="110">
        <f>IFERROR(INDEX('Base Salarial'!$D$5:$F$25,MATCH(E344,'Base Salarial'!$G$5:$G$25,0),MATCH(I344,'Base Salarial'!$D$4:$F$4,0)),"")</f>
        <v>1804</v>
      </c>
      <c r="I344" s="78" t="str">
        <f>IFERROR(INDEX(Tarefas!$BQ$29:$FK$29,MATCH(E344,Tarefas!$BQ$30:$FK$30,0)),"")</f>
        <v>Mensalista</v>
      </c>
      <c r="J344" s="81">
        <f>IF(I344="horista",H344*Dashboard!$D$15,IF(OR(I344="Mensalista",I344="PJ"),H344,))</f>
        <v>1804</v>
      </c>
      <c r="K344" s="81">
        <f>IF(I344="PJ",J344,ROUND(J344*(1+Dashboard!$D$22),2))</f>
        <v>1912.24</v>
      </c>
      <c r="L344" s="77"/>
      <c r="M344" s="180"/>
      <c r="P344" s="109">
        <f>IF($BD344&gt;0,(((($BD344/Dashboard!$D$15)*(1+Precificação!$W$589)))+$P$26)*(1+Dashboard!$D$35),0)</f>
        <v>0</v>
      </c>
      <c r="Q344" s="109">
        <f>IF($BD344&gt;0,(((($BD344/Dashboard!$D$23)+(1+Precificação!$W$589))*(1+Q$28))+$P$26)*(1+Dashboard!$D$35),0)</f>
        <v>0</v>
      </c>
      <c r="R344" s="109">
        <f>IF($BD344&gt;0,(((($BD344/Dashboard!$D$23)+(1+Precificação!$W$589))*(1+R$28))+$P$26)*(1+Dashboard!$D$35),0)</f>
        <v>0</v>
      </c>
      <c r="S344" s="109">
        <f>IF($BD344&gt;0,(((($BD344/Dashboard!$D$23)+(1+Precificação!$W$589))*(1+S$28))+$P$26)*(1+Dashboard!$D$35),0)</f>
        <v>0</v>
      </c>
      <c r="U344" s="109">
        <f t="shared" si="250"/>
        <v>0</v>
      </c>
      <c r="V344" s="109">
        <f t="shared" si="251"/>
        <v>0</v>
      </c>
      <c r="W344" s="109">
        <f t="shared" si="252"/>
        <v>0</v>
      </c>
      <c r="X344" s="109">
        <f t="shared" si="253"/>
        <v>0</v>
      </c>
      <c r="AA344" s="109">
        <f>IF($BD344&gt;0,(((($BD344/Dashboard!$D$23)*(1+Precificação!$W$589)))+$AA$26)*(1+Dashboard!$D$35),0)</f>
        <v>0</v>
      </c>
      <c r="AB344" s="109">
        <f>IF($BD344&gt;0,(((($BD344/Dashboard!$D$23)*(1+Precificação!$W$589))*(1+AB$28))+$AA$26)*(1+Dashboard!$D$35),0)</f>
        <v>0</v>
      </c>
      <c r="AC344" s="109">
        <f>IF($BD344&gt;0,(((($BD344/Dashboard!$D$23)*(1+Precificação!$W$589))*(1+AC$28))+$AA$26)*(1+Dashboard!$D$35),0)</f>
        <v>0</v>
      </c>
      <c r="AD344" s="109">
        <f>IF($BD344&gt;0,(((($BD344/Dashboard!$D$23)*(1+Precificação!$W$589))*(1+AD$28))+$AA$26)*(1+Dashboard!$D$35),0)</f>
        <v>0</v>
      </c>
      <c r="AF344" s="109">
        <f t="shared" si="254"/>
        <v>0</v>
      </c>
      <c r="AG344" s="109">
        <f t="shared" si="255"/>
        <v>0</v>
      </c>
      <c r="AH344" s="109">
        <f t="shared" si="256"/>
        <v>0</v>
      </c>
      <c r="AI344" s="109">
        <f t="shared" si="257"/>
        <v>0</v>
      </c>
      <c r="AL344" s="109">
        <f>IF($BD344&gt;0,(((($BD344/Dashboard!$D$23)*(1+Precificação!$W$589)))+$AL$26)*(1+Dashboard!$D$35),0)</f>
        <v>0</v>
      </c>
      <c r="AM344" s="109">
        <f>IF($BD344&gt;0,(((($BD344/Dashboard!$D$23)*(1+Precificação!$W$589))*(1+AM$28))+$AA$26)*(1+Dashboard!$D$35),0)</f>
        <v>0</v>
      </c>
      <c r="AN344" s="109">
        <f>IF($BD344&gt;0,(((($BD344/Dashboard!$D$23)*(1+Precificação!$W$589))*(1+AN$28))+$AA$26)*(1+Dashboard!$D$35),0)</f>
        <v>0</v>
      </c>
      <c r="AO344" s="109">
        <f>IF($BD344&gt;0,(((($BD344/Dashboard!$D$23)*(1+Precificação!$W$589))*(1+AO$28))+$AA$26)*(1+Dashboard!$D$35),0)</f>
        <v>0</v>
      </c>
      <c r="AQ344" s="109">
        <f t="shared" si="258"/>
        <v>0</v>
      </c>
      <c r="AR344" s="109">
        <f t="shared" si="259"/>
        <v>0</v>
      </c>
      <c r="AS344" s="109">
        <f t="shared" si="260"/>
        <v>0</v>
      </c>
      <c r="AT344" s="109">
        <f t="shared" si="261"/>
        <v>0</v>
      </c>
      <c r="AW344" s="144">
        <f>VLOOKUP(B344,'Cronog. e Histog.'!$B$213:$BT$688,71,0)</f>
        <v>0</v>
      </c>
      <c r="AX344" s="144">
        <f>VLOOKUP(B344,'Cronog. e Histog.'!$B$213:$BU$688,72,0)</f>
        <v>0</v>
      </c>
      <c r="AY344" s="144">
        <f>$AW344*$AX344*Dashboard!$D$15</f>
        <v>0</v>
      </c>
      <c r="AZ344" s="144">
        <f>VLOOKUP(B344,Precificação!$B$96:$BM$533,54,0)</f>
        <v>0</v>
      </c>
      <c r="BA344" s="144">
        <f>VLOOKUP(B344,Precificação!$B$96:$BR$533,58,0)</f>
        <v>0</v>
      </c>
      <c r="BB344" s="144">
        <f>VLOOKUP(B344,Precificação!$B$96:$BW$533,62,0)</f>
        <v>0</v>
      </c>
      <c r="BC344" s="144">
        <f t="shared" si="262"/>
        <v>0</v>
      </c>
      <c r="BD344" s="109">
        <f>IFERROR(VLOOKUP(B344,Precificação!$B$96:$S$533,13,0),0)</f>
        <v>0</v>
      </c>
      <c r="BE344" s="109">
        <f>IFERROR(VLOOKUP(B344,Precificação!$B$96:$U$533,15,0)/(Precificação!$U$4+Precificação!$U$91),0)*Dashboard!$T$3</f>
        <v>0</v>
      </c>
    </row>
    <row r="345" spans="2:57" ht="12" customHeight="1" outlineLevel="1">
      <c r="B345" s="137" t="str">
        <f>Precificação!B333</f>
        <v>EST - Equipe_01</v>
      </c>
      <c r="D345" s="512"/>
      <c r="E345" s="143" t="str">
        <f>IF('Cronog. e Histog.'!G470&gt;0,'Cronog. e Histog.'!G470,"")</f>
        <v>EST</v>
      </c>
      <c r="G345" s="179">
        <f t="shared" si="249"/>
        <v>0</v>
      </c>
      <c r="H345" s="110">
        <f>IFERROR(INDEX('Base Salarial'!$D$5:$F$25,MATCH(E345,'Base Salarial'!$G$5:$G$25,0),MATCH(I345,'Base Salarial'!$D$4:$F$4,0)),"")</f>
        <v>1633</v>
      </c>
      <c r="I345" s="78" t="str">
        <f>IFERROR(INDEX(Tarefas!$BQ$29:$FK$29,MATCH(E345,Tarefas!$BQ$30:$FK$30,0)),"")</f>
        <v>PJ</v>
      </c>
      <c r="J345" s="81">
        <f>IF(I345="horista",H345*Dashboard!$D$15,IF(OR(I345="Mensalista",I345="PJ"),H345,))</f>
        <v>1633</v>
      </c>
      <c r="K345" s="81">
        <f>IF(I345="PJ",J345,ROUND(J345*(1+Dashboard!$D$22),2))</f>
        <v>1633</v>
      </c>
      <c r="L345" s="77"/>
      <c r="M345" s="180"/>
      <c r="P345" s="109">
        <f>IF($BD345&gt;0,(((($BD345/Dashboard!$D$15)*(1+Precificação!$W$589)))+$P$26)*(1+Dashboard!$D$35),0)</f>
        <v>0</v>
      </c>
      <c r="Q345" s="109">
        <f>IF($BD345&gt;0,(((($BD345/Dashboard!$D$23)+(1+Precificação!$W$589))*(1+Q$28))+$P$26)*(1+Dashboard!$D$35),0)</f>
        <v>0</v>
      </c>
      <c r="R345" s="109">
        <f>IF($BD345&gt;0,(((($BD345/Dashboard!$D$23)+(1+Precificação!$W$589))*(1+R$28))+$P$26)*(1+Dashboard!$D$35),0)</f>
        <v>0</v>
      </c>
      <c r="S345" s="109">
        <f>IF($BD345&gt;0,(((($BD345/Dashboard!$D$23)+(1+Precificação!$W$589))*(1+S$28))+$P$26)*(1+Dashboard!$D$35),0)</f>
        <v>0</v>
      </c>
      <c r="U345" s="109">
        <f t="shared" si="250"/>
        <v>0</v>
      </c>
      <c r="V345" s="109">
        <f t="shared" si="251"/>
        <v>0</v>
      </c>
      <c r="W345" s="109">
        <f t="shared" si="252"/>
        <v>0</v>
      </c>
      <c r="X345" s="109">
        <f t="shared" si="253"/>
        <v>0</v>
      </c>
      <c r="AA345" s="109">
        <f>IF($BD345&gt;0,(((($BD345/Dashboard!$D$23)*(1+Precificação!$W$589)))+$AA$26)*(1+Dashboard!$D$35),0)</f>
        <v>0</v>
      </c>
      <c r="AB345" s="109">
        <f>IF($BD345&gt;0,(((($BD345/Dashboard!$D$23)*(1+Precificação!$W$589))*(1+AB$28))+$AA$26)*(1+Dashboard!$D$35),0)</f>
        <v>0</v>
      </c>
      <c r="AC345" s="109">
        <f>IF($BD345&gt;0,(((($BD345/Dashboard!$D$23)*(1+Precificação!$W$589))*(1+AC$28))+$AA$26)*(1+Dashboard!$D$35),0)</f>
        <v>0</v>
      </c>
      <c r="AD345" s="109">
        <f>IF($BD345&gt;0,(((($BD345/Dashboard!$D$23)*(1+Precificação!$W$589))*(1+AD$28))+$AA$26)*(1+Dashboard!$D$35),0)</f>
        <v>0</v>
      </c>
      <c r="AF345" s="109">
        <f t="shared" si="254"/>
        <v>0</v>
      </c>
      <c r="AG345" s="109">
        <f t="shared" si="255"/>
        <v>0</v>
      </c>
      <c r="AH345" s="109">
        <f t="shared" si="256"/>
        <v>0</v>
      </c>
      <c r="AI345" s="109">
        <f t="shared" si="257"/>
        <v>0</v>
      </c>
      <c r="AL345" s="109">
        <f>IF($BD345&gt;0,(((($BD345/Dashboard!$D$23)*(1+Precificação!$W$589)))+$AL$26)*(1+Dashboard!$D$35),0)</f>
        <v>0</v>
      </c>
      <c r="AM345" s="109">
        <f>IF($BD345&gt;0,(((($BD345/Dashboard!$D$23)*(1+Precificação!$W$589))*(1+AM$28))+$AA$26)*(1+Dashboard!$D$35),0)</f>
        <v>0</v>
      </c>
      <c r="AN345" s="109">
        <f>IF($BD345&gt;0,(((($BD345/Dashboard!$D$23)*(1+Precificação!$W$589))*(1+AN$28))+$AA$26)*(1+Dashboard!$D$35),0)</f>
        <v>0</v>
      </c>
      <c r="AO345" s="109">
        <f>IF($BD345&gt;0,(((($BD345/Dashboard!$D$23)*(1+Precificação!$W$589))*(1+AO$28))+$AA$26)*(1+Dashboard!$D$35),0)</f>
        <v>0</v>
      </c>
      <c r="AQ345" s="109">
        <f t="shared" si="258"/>
        <v>0</v>
      </c>
      <c r="AR345" s="109">
        <f t="shared" si="259"/>
        <v>0</v>
      </c>
      <c r="AS345" s="109">
        <f t="shared" si="260"/>
        <v>0</v>
      </c>
      <c r="AT345" s="109">
        <f t="shared" si="261"/>
        <v>0</v>
      </c>
      <c r="AW345" s="144">
        <f>VLOOKUP(B345,'Cronog. e Histog.'!$B$213:$BT$688,71,0)</f>
        <v>0</v>
      </c>
      <c r="AX345" s="144">
        <f>VLOOKUP(B345,'Cronog. e Histog.'!$B$213:$BU$688,72,0)</f>
        <v>0</v>
      </c>
      <c r="AY345" s="144">
        <f>$AW345*$AX345*Dashboard!$D$15</f>
        <v>0</v>
      </c>
      <c r="AZ345" s="144">
        <f>VLOOKUP(B345,Precificação!$B$96:$BM$533,54,0)</f>
        <v>0</v>
      </c>
      <c r="BA345" s="144">
        <f>VLOOKUP(B345,Precificação!$B$96:$BR$533,58,0)</f>
        <v>0</v>
      </c>
      <c r="BB345" s="144">
        <f>VLOOKUP(B345,Precificação!$B$96:$BW$533,62,0)</f>
        <v>0</v>
      </c>
      <c r="BC345" s="144">
        <f t="shared" si="262"/>
        <v>0</v>
      </c>
      <c r="BD345" s="109">
        <f>IFERROR(VLOOKUP(B345,Precificação!$B$96:$S$533,13,0),0)</f>
        <v>0</v>
      </c>
      <c r="BE345" s="109">
        <f>IFERROR(VLOOKUP(B345,Precificação!$B$96:$U$533,15,0)/(Precificação!$U$4+Precificação!$U$91),0)*Dashboard!$T$3</f>
        <v>0</v>
      </c>
    </row>
    <row r="346" spans="2:57" ht="12" customHeight="1" outlineLevel="1">
      <c r="B346" s="137" t="str">
        <f>Precificação!B334</f>
        <v>EST_II - Equipe_01</v>
      </c>
      <c r="D346" s="512"/>
      <c r="E346" s="143" t="str">
        <f>IF('Cronog. e Histog.'!G471&gt;0,'Cronog. e Histog.'!G471,"")</f>
        <v>EST_II</v>
      </c>
      <c r="G346" s="179">
        <f t="shared" si="249"/>
        <v>0</v>
      </c>
      <c r="H346" s="110">
        <f>IFERROR(INDEX('Base Salarial'!$D$5:$F$25,MATCH(E346,'Base Salarial'!$G$5:$G$25,0),MATCH(I346,'Base Salarial'!$D$4:$F$4,0)),"")</f>
        <v>1633</v>
      </c>
      <c r="I346" s="78" t="str">
        <f>IFERROR(INDEX(Tarefas!$BQ$29:$FK$29,MATCH(E346,Tarefas!$BQ$30:$FK$30,0)),"")</f>
        <v>PJ</v>
      </c>
      <c r="J346" s="81">
        <f>IF(I346="horista",H346*Dashboard!$D$15,IF(OR(I346="Mensalista",I346="PJ"),H346,))</f>
        <v>1633</v>
      </c>
      <c r="K346" s="81">
        <f>IF(I346="PJ",J346,ROUND(J346*(1+Dashboard!$D$22),2))</f>
        <v>1633</v>
      </c>
      <c r="L346" s="77"/>
      <c r="M346" s="180"/>
      <c r="P346" s="109">
        <f>IF($BD346&gt;0,(((($BD346/Dashboard!$D$15)*(1+Precificação!$W$589)))+$P$26)*(1+Dashboard!$D$35),0)</f>
        <v>0</v>
      </c>
      <c r="Q346" s="109">
        <f>IF($BD346&gt;0,(((($BD346/Dashboard!$D$23)+(1+Precificação!$W$589))*(1+Q$28))+$P$26)*(1+Dashboard!$D$35),0)</f>
        <v>0</v>
      </c>
      <c r="R346" s="109">
        <f>IF($BD346&gt;0,(((($BD346/Dashboard!$D$23)+(1+Precificação!$W$589))*(1+R$28))+$P$26)*(1+Dashboard!$D$35),0)</f>
        <v>0</v>
      </c>
      <c r="S346" s="109">
        <f>IF($BD346&gt;0,(((($BD346/Dashboard!$D$23)+(1+Precificação!$W$589))*(1+S$28))+$P$26)*(1+Dashboard!$D$35),0)</f>
        <v>0</v>
      </c>
      <c r="U346" s="109">
        <f t="shared" si="250"/>
        <v>0</v>
      </c>
      <c r="V346" s="109">
        <f t="shared" si="251"/>
        <v>0</v>
      </c>
      <c r="W346" s="109">
        <f t="shared" si="252"/>
        <v>0</v>
      </c>
      <c r="X346" s="109">
        <f t="shared" si="253"/>
        <v>0</v>
      </c>
      <c r="AA346" s="109">
        <f>IF($BD346&gt;0,(((($BD346/Dashboard!$D$23)*(1+Precificação!$W$589)))+$AA$26)*(1+Dashboard!$D$35),0)</f>
        <v>0</v>
      </c>
      <c r="AB346" s="109">
        <f>IF($BD346&gt;0,(((($BD346/Dashboard!$D$23)*(1+Precificação!$W$589))*(1+AB$28))+$AA$26)*(1+Dashboard!$D$35),0)</f>
        <v>0</v>
      </c>
      <c r="AC346" s="109">
        <f>IF($BD346&gt;0,(((($BD346/Dashboard!$D$23)*(1+Precificação!$W$589))*(1+AC$28))+$AA$26)*(1+Dashboard!$D$35),0)</f>
        <v>0</v>
      </c>
      <c r="AD346" s="109">
        <f>IF($BD346&gt;0,(((($BD346/Dashboard!$D$23)*(1+Precificação!$W$589))*(1+AD$28))+$AA$26)*(1+Dashboard!$D$35),0)</f>
        <v>0</v>
      </c>
      <c r="AF346" s="109">
        <f t="shared" si="254"/>
        <v>0</v>
      </c>
      <c r="AG346" s="109">
        <f t="shared" si="255"/>
        <v>0</v>
      </c>
      <c r="AH346" s="109">
        <f t="shared" si="256"/>
        <v>0</v>
      </c>
      <c r="AI346" s="109">
        <f t="shared" si="257"/>
        <v>0</v>
      </c>
      <c r="AL346" s="109">
        <f>IF($BD346&gt;0,(((($BD346/Dashboard!$D$23)*(1+Precificação!$W$589)))+$AL$26)*(1+Dashboard!$D$35),0)</f>
        <v>0</v>
      </c>
      <c r="AM346" s="109">
        <f>IF($BD346&gt;0,(((($BD346/Dashboard!$D$23)*(1+Precificação!$W$589))*(1+AM$28))+$AA$26)*(1+Dashboard!$D$35),0)</f>
        <v>0</v>
      </c>
      <c r="AN346" s="109">
        <f>IF($BD346&gt;0,(((($BD346/Dashboard!$D$23)*(1+Precificação!$W$589))*(1+AN$28))+$AA$26)*(1+Dashboard!$D$35),0)</f>
        <v>0</v>
      </c>
      <c r="AO346" s="109">
        <f>IF($BD346&gt;0,(((($BD346/Dashboard!$D$23)*(1+Precificação!$W$589))*(1+AO$28))+$AA$26)*(1+Dashboard!$D$35),0)</f>
        <v>0</v>
      </c>
      <c r="AQ346" s="109">
        <f t="shared" si="258"/>
        <v>0</v>
      </c>
      <c r="AR346" s="109">
        <f t="shared" si="259"/>
        <v>0</v>
      </c>
      <c r="AS346" s="109">
        <f t="shared" si="260"/>
        <v>0</v>
      </c>
      <c r="AT346" s="109">
        <f t="shared" si="261"/>
        <v>0</v>
      </c>
      <c r="AW346" s="144">
        <f>VLOOKUP(B346,'Cronog. e Histog.'!$B$213:$BT$688,71,0)</f>
        <v>0</v>
      </c>
      <c r="AX346" s="144">
        <f>VLOOKUP(B346,'Cronog. e Histog.'!$B$213:$BU$688,72,0)</f>
        <v>0</v>
      </c>
      <c r="AY346" s="144">
        <f>$AW346*$AX346*Dashboard!$D$15</f>
        <v>0</v>
      </c>
      <c r="AZ346" s="144">
        <f>VLOOKUP(B346,Precificação!$B$96:$BM$533,54,0)</f>
        <v>0</v>
      </c>
      <c r="BA346" s="144">
        <f>VLOOKUP(B346,Precificação!$B$96:$BR$533,58,0)</f>
        <v>0</v>
      </c>
      <c r="BB346" s="144">
        <f>VLOOKUP(B346,Precificação!$B$96:$BW$533,62,0)</f>
        <v>0</v>
      </c>
      <c r="BC346" s="144">
        <f t="shared" si="262"/>
        <v>0</v>
      </c>
      <c r="BD346" s="109">
        <f>IFERROR(VLOOKUP(B346,Precificação!$B$96:$S$533,13,0),0)</f>
        <v>0</v>
      </c>
      <c r="BE346" s="109">
        <f>IFERROR(VLOOKUP(B346,Precificação!$B$96:$U$533,15,0)/(Precificação!$U$4+Precificação!$U$91),0)*Dashboard!$T$3</f>
        <v>0</v>
      </c>
    </row>
    <row r="347" spans="2:57" ht="12" customHeight="1" outlineLevel="1">
      <c r="B347" s="137" t="str">
        <f>Precificação!B335</f>
        <v>EST_III - Equipe_01</v>
      </c>
      <c r="D347" s="512"/>
      <c r="E347" s="143" t="str">
        <f>IF('Cronog. e Histog.'!G472&gt;0,'Cronog. e Histog.'!G472,"")</f>
        <v>EST_III</v>
      </c>
      <c r="G347" s="179">
        <f t="shared" si="249"/>
        <v>0</v>
      </c>
      <c r="H347" s="110">
        <f>IFERROR(INDEX('Base Salarial'!$D$5:$F$25,MATCH(E347,'Base Salarial'!$G$5:$G$25,0),MATCH(I347,'Base Salarial'!$D$4:$F$4,0)),"")</f>
        <v>1633</v>
      </c>
      <c r="I347" s="78" t="str">
        <f>IFERROR(INDEX(Tarefas!$BQ$29:$FK$29,MATCH(E347,Tarefas!$BQ$30:$FK$30,0)),"")</f>
        <v>PJ</v>
      </c>
      <c r="J347" s="81">
        <f>IF(I347="horista",H347*Dashboard!$D$15,IF(OR(I347="Mensalista",I347="PJ"),H347,))</f>
        <v>1633</v>
      </c>
      <c r="K347" s="81">
        <f>IF(I347="PJ",J347,ROUND(J347*(1+Dashboard!$D$22),2))</f>
        <v>1633</v>
      </c>
      <c r="L347" s="77"/>
      <c r="M347" s="180"/>
      <c r="P347" s="109">
        <f>IF($BD347&gt;0,(((($BD347/Dashboard!$D$15)*(1+Precificação!$W$589)))+$P$26)*(1+Dashboard!$D$35),0)</f>
        <v>0</v>
      </c>
      <c r="Q347" s="109">
        <f>IF($BD347&gt;0,(((($BD347/Dashboard!$D$23)+(1+Precificação!$W$589))*(1+Q$28))+$P$26)*(1+Dashboard!$D$35),0)</f>
        <v>0</v>
      </c>
      <c r="R347" s="109">
        <f>IF($BD347&gt;0,(((($BD347/Dashboard!$D$23)+(1+Precificação!$W$589))*(1+R$28))+$P$26)*(1+Dashboard!$D$35),0)</f>
        <v>0</v>
      </c>
      <c r="S347" s="109">
        <f>IF($BD347&gt;0,(((($BD347/Dashboard!$D$23)+(1+Precificação!$W$589))*(1+S$28))+$P$26)*(1+Dashboard!$D$35),0)</f>
        <v>0</v>
      </c>
      <c r="U347" s="109">
        <f t="shared" si="250"/>
        <v>0</v>
      </c>
      <c r="V347" s="109">
        <f t="shared" si="251"/>
        <v>0</v>
      </c>
      <c r="W347" s="109">
        <f t="shared" si="252"/>
        <v>0</v>
      </c>
      <c r="X347" s="109">
        <f t="shared" si="253"/>
        <v>0</v>
      </c>
      <c r="AA347" s="109">
        <f>IF($BD347&gt;0,(((($BD347/Dashboard!$D$23)*(1+Precificação!$W$589)))+$AA$26)*(1+Dashboard!$D$35),0)</f>
        <v>0</v>
      </c>
      <c r="AB347" s="109">
        <f>IF($BD347&gt;0,(((($BD347/Dashboard!$D$23)*(1+Precificação!$W$589))*(1+AB$28))+$AA$26)*(1+Dashboard!$D$35),0)</f>
        <v>0</v>
      </c>
      <c r="AC347" s="109">
        <f>IF($BD347&gt;0,(((($BD347/Dashboard!$D$23)*(1+Precificação!$W$589))*(1+AC$28))+$AA$26)*(1+Dashboard!$D$35),0)</f>
        <v>0</v>
      </c>
      <c r="AD347" s="109">
        <f>IF($BD347&gt;0,(((($BD347/Dashboard!$D$23)*(1+Precificação!$W$589))*(1+AD$28))+$AA$26)*(1+Dashboard!$D$35),0)</f>
        <v>0</v>
      </c>
      <c r="AF347" s="109">
        <f t="shared" si="254"/>
        <v>0</v>
      </c>
      <c r="AG347" s="109">
        <f t="shared" si="255"/>
        <v>0</v>
      </c>
      <c r="AH347" s="109">
        <f t="shared" si="256"/>
        <v>0</v>
      </c>
      <c r="AI347" s="109">
        <f t="shared" si="257"/>
        <v>0</v>
      </c>
      <c r="AL347" s="109">
        <f>IF($BD347&gt;0,(((($BD347/Dashboard!$D$23)*(1+Precificação!$W$589)))+$AL$26)*(1+Dashboard!$D$35),0)</f>
        <v>0</v>
      </c>
      <c r="AM347" s="109">
        <f>IF($BD347&gt;0,(((($BD347/Dashboard!$D$23)*(1+Precificação!$W$589))*(1+AM$28))+$AA$26)*(1+Dashboard!$D$35),0)</f>
        <v>0</v>
      </c>
      <c r="AN347" s="109">
        <f>IF($BD347&gt;0,(((($BD347/Dashboard!$D$23)*(1+Precificação!$W$589))*(1+AN$28))+$AA$26)*(1+Dashboard!$D$35),0)</f>
        <v>0</v>
      </c>
      <c r="AO347" s="109">
        <f>IF($BD347&gt;0,(((($BD347/Dashboard!$D$23)*(1+Precificação!$W$589))*(1+AO$28))+$AA$26)*(1+Dashboard!$D$35),0)</f>
        <v>0</v>
      </c>
      <c r="AQ347" s="109">
        <f t="shared" si="258"/>
        <v>0</v>
      </c>
      <c r="AR347" s="109">
        <f t="shared" si="259"/>
        <v>0</v>
      </c>
      <c r="AS347" s="109">
        <f t="shared" si="260"/>
        <v>0</v>
      </c>
      <c r="AT347" s="109">
        <f t="shared" si="261"/>
        <v>0</v>
      </c>
      <c r="AW347" s="144">
        <f>VLOOKUP(B347,'Cronog. e Histog.'!$B$213:$BT$688,71,0)</f>
        <v>0</v>
      </c>
      <c r="AX347" s="144">
        <f>VLOOKUP(B347,'Cronog. e Histog.'!$B$213:$BU$688,72,0)</f>
        <v>0</v>
      </c>
      <c r="AY347" s="144">
        <f>$AW347*$AX347*Dashboard!$D$15</f>
        <v>0</v>
      </c>
      <c r="AZ347" s="144">
        <f>VLOOKUP(B347,Precificação!$B$96:$BM$533,54,0)</f>
        <v>0</v>
      </c>
      <c r="BA347" s="144">
        <f>VLOOKUP(B347,Precificação!$B$96:$BR$533,58,0)</f>
        <v>0</v>
      </c>
      <c r="BB347" s="144">
        <f>VLOOKUP(B347,Precificação!$B$96:$BW$533,62,0)</f>
        <v>0</v>
      </c>
      <c r="BC347" s="144">
        <f t="shared" si="262"/>
        <v>0</v>
      </c>
      <c r="BD347" s="109">
        <f>IFERROR(VLOOKUP(B347,Precificação!$B$96:$S$533,13,0),0)</f>
        <v>0</v>
      </c>
      <c r="BE347" s="109">
        <f>IFERROR(VLOOKUP(B347,Precificação!$B$96:$U$533,15,0)/(Precificação!$U$4+Precificação!$U$91),0)*Dashboard!$T$3</f>
        <v>0</v>
      </c>
    </row>
    <row r="348" spans="2:57" ht="12" customHeight="1" outlineLevel="1"/>
    <row r="349" spans="2:57" ht="12" customHeight="1" outlineLevel="1">
      <c r="B349" s="137" t="str">
        <f>Precificação!B338</f>
        <v>GER. (OBRA/PROJ) - Equipe_01</v>
      </c>
      <c r="D349" s="512" t="str">
        <f>'Cronog. e Histog.'!F475</f>
        <v>Equipe12</v>
      </c>
      <c r="E349" s="143" t="str">
        <f>IF('Cronog. e Histog.'!G477&gt;0,'Cronog. e Histog.'!G477,"")</f>
        <v>GER. (OBRA/PROJ)</v>
      </c>
      <c r="G349" s="179">
        <f t="shared" ref="G349" si="263">IF(AND((AW349*AX349)&gt;0,K349=0),1,0)</f>
        <v>0</v>
      </c>
      <c r="H349" s="110">
        <f>IFERROR(INDEX('Base Salarial'!$D$5:$F$25,MATCH(E349,'Base Salarial'!$G$5:$G$25,0),MATCH(I349,'Base Salarial'!$D$4:$F$4,0)),"")</f>
        <v>21000</v>
      </c>
      <c r="I349" s="78" t="str">
        <f>IFERROR(INDEX(Tarefas!$BQ$29:$FK$29,MATCH(E349,Tarefas!$BQ$30:$FK$30,0)),"")</f>
        <v>PJ</v>
      </c>
      <c r="J349" s="81">
        <f>IF(I349="horista",H349*Dashboard!$D$15,IF(OR(I349="Mensalista",I349="PJ"),H349,))</f>
        <v>21000</v>
      </c>
      <c r="K349" s="81">
        <f>IF(I349="PJ",J349,ROUND(J349*(1+Dashboard!$D$22),2))</f>
        <v>21000</v>
      </c>
      <c r="L349" s="77"/>
      <c r="M349" s="180"/>
      <c r="P349" s="109">
        <f>IF($BD349&gt;0,(((($BD349/Dashboard!$D$15)*(1+Precificação!$W$589)))+$P$26)*(1+Dashboard!$D$35),0)</f>
        <v>0</v>
      </c>
      <c r="Q349" s="109">
        <f>IF($BD349&gt;0,(((($BD349/Dashboard!$D$23)+(1+Precificação!$W$589))*(1+Q$28))+$P$26)*(1+Dashboard!$D$35),0)</f>
        <v>0</v>
      </c>
      <c r="R349" s="109">
        <f>IF($BD349&gt;0,(((($BD349/Dashboard!$D$23)+(1+Precificação!$W$589))*(1+R$28))+$P$26)*(1+Dashboard!$D$35),0)</f>
        <v>0</v>
      </c>
      <c r="S349" s="109">
        <f>IF($BD349&gt;0,(((($BD349/Dashboard!$D$23)+(1+Precificação!$W$589))*(1+S$28))+$P$26)*(1+Dashboard!$D$35),0)</f>
        <v>0</v>
      </c>
      <c r="U349" s="109">
        <f>IF(P349&gt;0,P349+U$32,0)</f>
        <v>0</v>
      </c>
      <c r="V349" s="109">
        <f t="shared" ref="V349:X349" si="264">IF(Q349&gt;0,Q349+V$32,0)</f>
        <v>0</v>
      </c>
      <c r="W349" s="109">
        <f t="shared" si="264"/>
        <v>0</v>
      </c>
      <c r="X349" s="109">
        <f t="shared" si="264"/>
        <v>0</v>
      </c>
      <c r="AA349" s="109">
        <f>IF($BD349&gt;0,(((($BD349/Dashboard!$D$23)*(1+Precificação!$W$589)))+$AA$26)*(1+Dashboard!$D$35),0)</f>
        <v>0</v>
      </c>
      <c r="AB349" s="109">
        <f>IF($BD349&gt;0,(((($BD349/Dashboard!$D$23)*(1+Precificação!$W$589))*(1+AB$28))+$AA$26)*(1+Dashboard!$D$35),0)</f>
        <v>0</v>
      </c>
      <c r="AC349" s="109">
        <f>IF($BD349&gt;0,(((($BD349/Dashboard!$D$23)*(1+Precificação!$W$589))*(1+AC$28))+$AA$26)*(1+Dashboard!$D$35),0)</f>
        <v>0</v>
      </c>
      <c r="AD349" s="109">
        <f>IF($BD349&gt;0,(((($BD349/Dashboard!$D$23)*(1+Precificação!$W$589))*(1+AD$28))+$AA$26)*(1+Dashboard!$D$35),0)</f>
        <v>0</v>
      </c>
      <c r="AF349" s="109">
        <f>IF(AA349&gt;0,AA349+AF$32,0)</f>
        <v>0</v>
      </c>
      <c r="AG349" s="109">
        <f t="shared" ref="AG349" si="265">IF(AB349&gt;0,AB349+AG$32,0)</f>
        <v>0</v>
      </c>
      <c r="AH349" s="109">
        <f t="shared" ref="AH349" si="266">IF(AC349&gt;0,AC349+AH$32,0)</f>
        <v>0</v>
      </c>
      <c r="AI349" s="109">
        <f t="shared" ref="AI349" si="267">IF(AD349&gt;0,AD349+AI$32,0)</f>
        <v>0</v>
      </c>
      <c r="AL349" s="109">
        <f>IF($BD349&gt;0,(((($BD349/Dashboard!$D$23)*(1+Precificação!$W$589)))+$AL$26)*(1+Dashboard!$D$35),0)</f>
        <v>0</v>
      </c>
      <c r="AM349" s="109">
        <f>IF($BD349&gt;0,(((($BD349/Dashboard!$D$23)*(1+Precificação!$W$589))*(1+AM$28))+$AA$26)*(1+Dashboard!$D$35),0)</f>
        <v>0</v>
      </c>
      <c r="AN349" s="109">
        <f>IF($BD349&gt;0,(((($BD349/Dashboard!$D$23)*(1+Precificação!$W$589))*(1+AN$28))+$AA$26)*(1+Dashboard!$D$35),0)</f>
        <v>0</v>
      </c>
      <c r="AO349" s="109">
        <f>IF($BD349&gt;0,(((($BD349/Dashboard!$D$23)*(1+Precificação!$W$589))*(1+AO$28))+$AA$26)*(1+Dashboard!$D$35),0)</f>
        <v>0</v>
      </c>
      <c r="AQ349" s="109">
        <f>IF(AL349&gt;0,AL349+AQ$32,0)</f>
        <v>0</v>
      </c>
      <c r="AR349" s="109">
        <f t="shared" ref="AR349" si="268">IF(AM349&gt;0,AM349+AR$32,0)</f>
        <v>0</v>
      </c>
      <c r="AS349" s="109">
        <f t="shared" ref="AS349" si="269">IF(AN349&gt;0,AN349+AS$32,0)</f>
        <v>0</v>
      </c>
      <c r="AT349" s="109">
        <f t="shared" ref="AT349" si="270">IF(AO349&gt;0,AO349+AT$32,0)</f>
        <v>0</v>
      </c>
      <c r="AW349" s="144">
        <f>VLOOKUP(B349,'Cronog. e Histog.'!$B$213:$BT$688,71,0)</f>
        <v>1.9999999999999997E-2</v>
      </c>
      <c r="AX349" s="144">
        <f>VLOOKUP(B349,'Cronog. e Histog.'!$B$213:$BU$688,72,0)</f>
        <v>10</v>
      </c>
      <c r="AY349" s="144">
        <f>$AW349*$AX349*Dashboard!$D$15</f>
        <v>38.72</v>
      </c>
      <c r="AZ349" s="144">
        <f>VLOOKUP(B349,Precificação!$B$96:$BM$533,54,0)</f>
        <v>0</v>
      </c>
      <c r="BA349" s="144">
        <f>VLOOKUP(B349,Precificação!$B$96:$BR$533,58,0)</f>
        <v>0</v>
      </c>
      <c r="BB349" s="144">
        <f>VLOOKUP(B349,Precificação!$B$96:$BW$533,62,0)</f>
        <v>0</v>
      </c>
      <c r="BC349" s="144">
        <f t="shared" ref="BC349" si="271">SUM(AY349:BB349)</f>
        <v>38.72</v>
      </c>
      <c r="BD349" s="109">
        <f>IFERROR(VLOOKUP(B349,Precificação!$B$96:$S$533,13,0),0)</f>
        <v>0</v>
      </c>
      <c r="BE349" s="109">
        <f>IFERROR(VLOOKUP(B349,Precificação!$B$96:$U$533,15,0)/(Precificação!$U$4+Precificação!$U$91),0)*Dashboard!$T$3</f>
        <v>0</v>
      </c>
    </row>
    <row r="350" spans="2:57" ht="12" customHeight="1" outlineLevel="1">
      <c r="B350" s="137" t="str">
        <f>Precificação!B339</f>
        <v>COORD. - Equipe_01</v>
      </c>
      <c r="D350" s="512"/>
      <c r="E350" s="143" t="str">
        <f>IF('Cronog. e Histog.'!G478&gt;0,'Cronog. e Histog.'!G478,"")</f>
        <v>COORD.</v>
      </c>
      <c r="G350" s="179">
        <f t="shared" ref="G350:G368" si="272">IF(AND((AW350*AX350)&gt;0,K350=0),1,0)</f>
        <v>0</v>
      </c>
      <c r="H350" s="110">
        <f>IFERROR(INDEX('Base Salarial'!$D$5:$F$25,MATCH(E350,'Base Salarial'!$G$5:$G$25,0),MATCH(I350,'Base Salarial'!$D$4:$F$4,0)),"")</f>
        <v>19000</v>
      </c>
      <c r="I350" s="78" t="str">
        <f>IFERROR(INDEX(Tarefas!$BQ$29:$FK$29,MATCH(E350,Tarefas!$BQ$30:$FK$30,0)),"")</f>
        <v>PJ</v>
      </c>
      <c r="J350" s="81">
        <f>IF(I350="horista",H350*Dashboard!$D$15,IF(OR(I350="Mensalista",I350="PJ"),H350,))</f>
        <v>19000</v>
      </c>
      <c r="K350" s="81">
        <f>IF(I350="PJ",J350,ROUND(J350*(1+Dashboard!$D$22),2))</f>
        <v>19000</v>
      </c>
      <c r="L350" s="77"/>
      <c r="M350" s="180"/>
      <c r="P350" s="109">
        <f>IF($BD350&gt;0,(((($BD350/Dashboard!$D$15)*(1+Precificação!$W$589)))+$P$26)*(1+Dashboard!$D$35),0)</f>
        <v>0</v>
      </c>
      <c r="Q350" s="109">
        <f>IF($BD350&gt;0,(((($BD350/Dashboard!$D$23)+(1+Precificação!$W$589))*(1+Q$28))+$P$26)*(1+Dashboard!$D$35),0)</f>
        <v>0</v>
      </c>
      <c r="R350" s="109">
        <f>IF($BD350&gt;0,(((($BD350/Dashboard!$D$23)+(1+Precificação!$W$589))*(1+R$28))+$P$26)*(1+Dashboard!$D$35),0)</f>
        <v>0</v>
      </c>
      <c r="S350" s="109">
        <f>IF($BD350&gt;0,(((($BD350/Dashboard!$D$23)+(1+Precificação!$W$589))*(1+S$28))+$P$26)*(1+Dashboard!$D$35),0)</f>
        <v>0</v>
      </c>
      <c r="U350" s="109">
        <f t="shared" ref="U350:U368" si="273">IF(P350&gt;0,P350+U$32,0)</f>
        <v>0</v>
      </c>
      <c r="V350" s="109">
        <f t="shared" ref="V350:V368" si="274">IF(Q350&gt;0,Q350+V$32,0)</f>
        <v>0</v>
      </c>
      <c r="W350" s="109">
        <f t="shared" ref="W350:W368" si="275">IF(R350&gt;0,R350+W$32,0)</f>
        <v>0</v>
      </c>
      <c r="X350" s="109">
        <f t="shared" ref="X350:X368" si="276">IF(S350&gt;0,S350+X$32,0)</f>
        <v>0</v>
      </c>
      <c r="AA350" s="109">
        <f>IF($BD350&gt;0,(((($BD350/Dashboard!$D$23)*(1+Precificação!$W$589)))+$AA$26)*(1+Dashboard!$D$35),0)</f>
        <v>0</v>
      </c>
      <c r="AB350" s="109">
        <f>IF($BD350&gt;0,(((($BD350/Dashboard!$D$23)*(1+Precificação!$W$589))*(1+AB$28))+$AA$26)*(1+Dashboard!$D$35),0)</f>
        <v>0</v>
      </c>
      <c r="AC350" s="109">
        <f>IF($BD350&gt;0,(((($BD350/Dashboard!$D$23)*(1+Precificação!$W$589))*(1+AC$28))+$AA$26)*(1+Dashboard!$D$35),0)</f>
        <v>0</v>
      </c>
      <c r="AD350" s="109">
        <f>IF($BD350&gt;0,(((($BD350/Dashboard!$D$23)*(1+Precificação!$W$589))*(1+AD$28))+$AA$26)*(1+Dashboard!$D$35),0)</f>
        <v>0</v>
      </c>
      <c r="AF350" s="109">
        <f t="shared" ref="AF350:AF368" si="277">IF(AA350&gt;0,AA350+AF$32,0)</f>
        <v>0</v>
      </c>
      <c r="AG350" s="109">
        <f t="shared" ref="AG350:AG368" si="278">IF(AB350&gt;0,AB350+AG$32,0)</f>
        <v>0</v>
      </c>
      <c r="AH350" s="109">
        <f t="shared" ref="AH350:AH368" si="279">IF(AC350&gt;0,AC350+AH$32,0)</f>
        <v>0</v>
      </c>
      <c r="AI350" s="109">
        <f t="shared" ref="AI350:AI368" si="280">IF(AD350&gt;0,AD350+AI$32,0)</f>
        <v>0</v>
      </c>
      <c r="AL350" s="109">
        <f>IF($BD350&gt;0,(((($BD350/Dashboard!$D$23)*(1+Precificação!$W$589)))+$AL$26)*(1+Dashboard!$D$35),0)</f>
        <v>0</v>
      </c>
      <c r="AM350" s="109">
        <f>IF($BD350&gt;0,(((($BD350/Dashboard!$D$23)*(1+Precificação!$W$589))*(1+AM$28))+$AA$26)*(1+Dashboard!$D$35),0)</f>
        <v>0</v>
      </c>
      <c r="AN350" s="109">
        <f>IF($BD350&gt;0,(((($BD350/Dashboard!$D$23)*(1+Precificação!$W$589))*(1+AN$28))+$AA$26)*(1+Dashboard!$D$35),0)</f>
        <v>0</v>
      </c>
      <c r="AO350" s="109">
        <f>IF($BD350&gt;0,(((($BD350/Dashboard!$D$23)*(1+Precificação!$W$589))*(1+AO$28))+$AA$26)*(1+Dashboard!$D$35),0)</f>
        <v>0</v>
      </c>
      <c r="AQ350" s="109">
        <f t="shared" ref="AQ350:AQ368" si="281">IF(AL350&gt;0,AL350+AQ$32,0)</f>
        <v>0</v>
      </c>
      <c r="AR350" s="109">
        <f t="shared" ref="AR350:AR368" si="282">IF(AM350&gt;0,AM350+AR$32,0)</f>
        <v>0</v>
      </c>
      <c r="AS350" s="109">
        <f t="shared" ref="AS350:AS368" si="283">IF(AN350&gt;0,AN350+AS$32,0)</f>
        <v>0</v>
      </c>
      <c r="AT350" s="109">
        <f t="shared" ref="AT350:AT368" si="284">IF(AO350&gt;0,AO350+AT$32,0)</f>
        <v>0</v>
      </c>
      <c r="AW350" s="144">
        <f>VLOOKUP(B350,'Cronog. e Histog.'!$B$213:$BT$688,71,0)</f>
        <v>1</v>
      </c>
      <c r="AX350" s="144">
        <f>VLOOKUP(B350,'Cronog. e Histog.'!$B$213:$BU$688,72,0)</f>
        <v>10</v>
      </c>
      <c r="AY350" s="144">
        <f>$AW350*$AX350*Dashboard!$D$15</f>
        <v>1936.0000000000002</v>
      </c>
      <c r="AZ350" s="144">
        <f>VLOOKUP(B350,Precificação!$B$96:$BM$533,54,0)</f>
        <v>0</v>
      </c>
      <c r="BA350" s="144">
        <f>VLOOKUP(B350,Precificação!$B$96:$BR$533,58,0)</f>
        <v>0</v>
      </c>
      <c r="BB350" s="144">
        <f>VLOOKUP(B350,Precificação!$B$96:$BW$533,62,0)</f>
        <v>0</v>
      </c>
      <c r="BC350" s="144">
        <f t="shared" ref="BC350:BC368" si="285">SUM(AY350:BB350)</f>
        <v>1936.0000000000002</v>
      </c>
      <c r="BD350" s="109">
        <f>IFERROR(VLOOKUP(B350,Precificação!$B$96:$S$533,13,0),0)</f>
        <v>0</v>
      </c>
      <c r="BE350" s="109">
        <f>IFERROR(VLOOKUP(B350,Precificação!$B$96:$U$533,15,0)/(Precificação!$U$4+Precificação!$U$91),0)*Dashboard!$T$3</f>
        <v>0</v>
      </c>
    </row>
    <row r="351" spans="2:57" ht="12" customHeight="1" outlineLevel="1">
      <c r="B351" s="137" t="str">
        <f>Precificação!B340</f>
        <v>SUP.-ESP - Equipe_01</v>
      </c>
      <c r="D351" s="512"/>
      <c r="E351" s="143" t="str">
        <f>IF('Cronog. e Histog.'!G479&gt;0,'Cronog. e Histog.'!G479,"")</f>
        <v>SUP.-ESP</v>
      </c>
      <c r="G351" s="179">
        <f t="shared" si="272"/>
        <v>0</v>
      </c>
      <c r="H351" s="110">
        <f>IFERROR(INDEX('Base Salarial'!$D$5:$F$25,MATCH(E351,'Base Salarial'!$G$5:$G$25,0),MATCH(I351,'Base Salarial'!$D$4:$F$4,0)),"")</f>
        <v>9166.6666666666679</v>
      </c>
      <c r="I351" s="78" t="str">
        <f>IFERROR(INDEX(Tarefas!$BQ$29:$FK$29,MATCH(E351,Tarefas!$BQ$30:$FK$30,0)),"")</f>
        <v>Mensalista</v>
      </c>
      <c r="J351" s="81">
        <f>IF(I351="horista",H351*Dashboard!$D$15,IF(OR(I351="Mensalista",I351="PJ"),H351,))</f>
        <v>9166.6666666666679</v>
      </c>
      <c r="K351" s="81">
        <f>IF(I351="PJ",J351,ROUND(J351*(1+Dashboard!$D$22),2))</f>
        <v>9716.67</v>
      </c>
      <c r="L351" s="77"/>
      <c r="M351" s="180"/>
      <c r="P351" s="109">
        <f>IF($BD351&gt;0,(((($BD351/Dashboard!$D$15)*(1+Precificação!$W$589)))+$P$26)*(1+Dashboard!$D$35),0)</f>
        <v>0</v>
      </c>
      <c r="Q351" s="109">
        <f>IF($BD351&gt;0,(((($BD351/Dashboard!$D$23)+(1+Precificação!$W$589))*(1+Q$28))+$P$26)*(1+Dashboard!$D$35),0)</f>
        <v>0</v>
      </c>
      <c r="R351" s="109">
        <f>IF($BD351&gt;0,(((($BD351/Dashboard!$D$23)+(1+Precificação!$W$589))*(1+R$28))+$P$26)*(1+Dashboard!$D$35),0)</f>
        <v>0</v>
      </c>
      <c r="S351" s="109">
        <f>IF($BD351&gt;0,(((($BD351/Dashboard!$D$23)+(1+Precificação!$W$589))*(1+S$28))+$P$26)*(1+Dashboard!$D$35),0)</f>
        <v>0</v>
      </c>
      <c r="U351" s="109">
        <f t="shared" si="273"/>
        <v>0</v>
      </c>
      <c r="V351" s="109">
        <f t="shared" si="274"/>
        <v>0</v>
      </c>
      <c r="W351" s="109">
        <f t="shared" si="275"/>
        <v>0</v>
      </c>
      <c r="X351" s="109">
        <f t="shared" si="276"/>
        <v>0</v>
      </c>
      <c r="AA351" s="109">
        <f>IF($BD351&gt;0,(((($BD351/Dashboard!$D$23)*(1+Precificação!$W$589)))+$AA$26)*(1+Dashboard!$D$35),0)</f>
        <v>0</v>
      </c>
      <c r="AB351" s="109">
        <f>IF($BD351&gt;0,(((($BD351/Dashboard!$D$23)*(1+Precificação!$W$589))*(1+AB$28))+$AA$26)*(1+Dashboard!$D$35),0)</f>
        <v>0</v>
      </c>
      <c r="AC351" s="109">
        <f>IF($BD351&gt;0,(((($BD351/Dashboard!$D$23)*(1+Precificação!$W$589))*(1+AC$28))+$AA$26)*(1+Dashboard!$D$35),0)</f>
        <v>0</v>
      </c>
      <c r="AD351" s="109">
        <f>IF($BD351&gt;0,(((($BD351/Dashboard!$D$23)*(1+Precificação!$W$589))*(1+AD$28))+$AA$26)*(1+Dashboard!$D$35),0)</f>
        <v>0</v>
      </c>
      <c r="AF351" s="109">
        <f t="shared" si="277"/>
        <v>0</v>
      </c>
      <c r="AG351" s="109">
        <f t="shared" si="278"/>
        <v>0</v>
      </c>
      <c r="AH351" s="109">
        <f t="shared" si="279"/>
        <v>0</v>
      </c>
      <c r="AI351" s="109">
        <f t="shared" si="280"/>
        <v>0</v>
      </c>
      <c r="AL351" s="109">
        <f>IF($BD351&gt;0,(((($BD351/Dashboard!$D$23)*(1+Precificação!$W$589)))+$AL$26)*(1+Dashboard!$D$35),0)</f>
        <v>0</v>
      </c>
      <c r="AM351" s="109">
        <f>IF($BD351&gt;0,(((($BD351/Dashboard!$D$23)*(1+Precificação!$W$589))*(1+AM$28))+$AA$26)*(1+Dashboard!$D$35),0)</f>
        <v>0</v>
      </c>
      <c r="AN351" s="109">
        <f>IF($BD351&gt;0,(((($BD351/Dashboard!$D$23)*(1+Precificação!$W$589))*(1+AN$28))+$AA$26)*(1+Dashboard!$D$35),0)</f>
        <v>0</v>
      </c>
      <c r="AO351" s="109">
        <f>IF($BD351&gt;0,(((($BD351/Dashboard!$D$23)*(1+Precificação!$W$589))*(1+AO$28))+$AA$26)*(1+Dashboard!$D$35),0)</f>
        <v>0</v>
      </c>
      <c r="AQ351" s="109">
        <f t="shared" si="281"/>
        <v>0</v>
      </c>
      <c r="AR351" s="109">
        <f t="shared" si="282"/>
        <v>0</v>
      </c>
      <c r="AS351" s="109">
        <f t="shared" si="283"/>
        <v>0</v>
      </c>
      <c r="AT351" s="109">
        <f t="shared" si="284"/>
        <v>0</v>
      </c>
      <c r="AW351" s="144">
        <f>VLOOKUP(B351,'Cronog. e Histog.'!$B$213:$BT$688,71,0)</f>
        <v>0</v>
      </c>
      <c r="AX351" s="144">
        <f>VLOOKUP(B351,'Cronog. e Histog.'!$B$213:$BU$688,72,0)</f>
        <v>0</v>
      </c>
      <c r="AY351" s="144">
        <f>$AW351*$AX351*Dashboard!$D$15</f>
        <v>0</v>
      </c>
      <c r="AZ351" s="144">
        <f>VLOOKUP(B351,Precificação!$B$96:$BM$533,54,0)</f>
        <v>0</v>
      </c>
      <c r="BA351" s="144">
        <f>VLOOKUP(B351,Precificação!$B$96:$BR$533,58,0)</f>
        <v>0</v>
      </c>
      <c r="BB351" s="144">
        <f>VLOOKUP(B351,Precificação!$B$96:$BW$533,62,0)</f>
        <v>0</v>
      </c>
      <c r="BC351" s="144">
        <f t="shared" si="285"/>
        <v>0</v>
      </c>
      <c r="BD351" s="109">
        <f>IFERROR(VLOOKUP(B351,Precificação!$B$96:$S$533,13,0),0)</f>
        <v>0</v>
      </c>
      <c r="BE351" s="109">
        <f>IFERROR(VLOOKUP(B351,Precificação!$B$96:$U$533,15,0)/(Precificação!$U$4+Precificação!$U$91),0)*Dashboard!$T$3</f>
        <v>0</v>
      </c>
    </row>
    <row r="352" spans="2:57" ht="12" customHeight="1" outlineLevel="1">
      <c r="B352" s="137" t="str">
        <f>Precificação!B341</f>
        <v>ENG/ARQ SR. - Equipe_01</v>
      </c>
      <c r="D352" s="512"/>
      <c r="E352" s="143" t="str">
        <f>IF('Cronog. e Histog.'!G480&gt;0,'Cronog. e Histog.'!G480,"")</f>
        <v>ENG/ARQ SR.</v>
      </c>
      <c r="G352" s="179">
        <f t="shared" si="272"/>
        <v>0</v>
      </c>
      <c r="H352" s="110">
        <f>IFERROR(INDEX('Base Salarial'!$D$5:$F$25,MATCH(E352,'Base Salarial'!$G$5:$G$25,0),MATCH(I352,'Base Salarial'!$D$4:$F$4,0)),"")</f>
        <v>16000</v>
      </c>
      <c r="I352" s="78" t="str">
        <f>IFERROR(INDEX(Tarefas!$BQ$29:$FK$29,MATCH(E352,Tarefas!$BQ$30:$FK$30,0)),"")</f>
        <v>PJ</v>
      </c>
      <c r="J352" s="81">
        <f>IF(I352="horista",H352*Dashboard!$D$15,IF(OR(I352="Mensalista",I352="PJ"),H352,))</f>
        <v>16000</v>
      </c>
      <c r="K352" s="81">
        <f>IF(I352="PJ",J352,ROUND(J352*(1+Dashboard!$D$22),2))</f>
        <v>16000</v>
      </c>
      <c r="L352" s="77"/>
      <c r="M352" s="180"/>
      <c r="P352" s="109">
        <f>IF($BD352&gt;0,(((($BD352/Dashboard!$D$15)*(1+Precificação!$W$589)))+$P$26)*(1+Dashboard!$D$35),0)</f>
        <v>0</v>
      </c>
      <c r="Q352" s="109">
        <f>IF($BD352&gt;0,(((($BD352/Dashboard!$D$23)+(1+Precificação!$W$589))*(1+Q$28))+$P$26)*(1+Dashboard!$D$35),0)</f>
        <v>0</v>
      </c>
      <c r="R352" s="109">
        <f>IF($BD352&gt;0,(((($BD352/Dashboard!$D$23)+(1+Precificação!$W$589))*(1+R$28))+$P$26)*(1+Dashboard!$D$35),0)</f>
        <v>0</v>
      </c>
      <c r="S352" s="109">
        <f>IF($BD352&gt;0,(((($BD352/Dashboard!$D$23)+(1+Precificação!$W$589))*(1+S$28))+$P$26)*(1+Dashboard!$D$35),0)</f>
        <v>0</v>
      </c>
      <c r="U352" s="109">
        <f t="shared" si="273"/>
        <v>0</v>
      </c>
      <c r="V352" s="109">
        <f t="shared" si="274"/>
        <v>0</v>
      </c>
      <c r="W352" s="109">
        <f t="shared" si="275"/>
        <v>0</v>
      </c>
      <c r="X352" s="109">
        <f t="shared" si="276"/>
        <v>0</v>
      </c>
      <c r="AA352" s="109">
        <f>IF($BD352&gt;0,(((($BD352/Dashboard!$D$23)*(1+Precificação!$W$589)))+$AA$26)*(1+Dashboard!$D$35),0)</f>
        <v>0</v>
      </c>
      <c r="AB352" s="109">
        <f>IF($BD352&gt;0,(((($BD352/Dashboard!$D$23)*(1+Precificação!$W$589))*(1+AB$28))+$AA$26)*(1+Dashboard!$D$35),0)</f>
        <v>0</v>
      </c>
      <c r="AC352" s="109">
        <f>IF($BD352&gt;0,(((($BD352/Dashboard!$D$23)*(1+Precificação!$W$589))*(1+AC$28))+$AA$26)*(1+Dashboard!$D$35),0)</f>
        <v>0</v>
      </c>
      <c r="AD352" s="109">
        <f>IF($BD352&gt;0,(((($BD352/Dashboard!$D$23)*(1+Precificação!$W$589))*(1+AD$28))+$AA$26)*(1+Dashboard!$D$35),0)</f>
        <v>0</v>
      </c>
      <c r="AF352" s="109">
        <f t="shared" si="277"/>
        <v>0</v>
      </c>
      <c r="AG352" s="109">
        <f t="shared" si="278"/>
        <v>0</v>
      </c>
      <c r="AH352" s="109">
        <f t="shared" si="279"/>
        <v>0</v>
      </c>
      <c r="AI352" s="109">
        <f t="shared" si="280"/>
        <v>0</v>
      </c>
      <c r="AL352" s="109">
        <f>IF($BD352&gt;0,(((($BD352/Dashboard!$D$23)*(1+Precificação!$W$589)))+$AL$26)*(1+Dashboard!$D$35),0)</f>
        <v>0</v>
      </c>
      <c r="AM352" s="109">
        <f>IF($BD352&gt;0,(((($BD352/Dashboard!$D$23)*(1+Precificação!$W$589))*(1+AM$28))+$AA$26)*(1+Dashboard!$D$35),0)</f>
        <v>0</v>
      </c>
      <c r="AN352" s="109">
        <f>IF($BD352&gt;0,(((($BD352/Dashboard!$D$23)*(1+Precificação!$W$589))*(1+AN$28))+$AA$26)*(1+Dashboard!$D$35),0)</f>
        <v>0</v>
      </c>
      <c r="AO352" s="109">
        <f>IF($BD352&gt;0,(((($BD352/Dashboard!$D$23)*(1+Precificação!$W$589))*(1+AO$28))+$AA$26)*(1+Dashboard!$D$35),0)</f>
        <v>0</v>
      </c>
      <c r="AQ352" s="109">
        <f t="shared" si="281"/>
        <v>0</v>
      </c>
      <c r="AR352" s="109">
        <f t="shared" si="282"/>
        <v>0</v>
      </c>
      <c r="AS352" s="109">
        <f t="shared" si="283"/>
        <v>0</v>
      </c>
      <c r="AT352" s="109">
        <f t="shared" si="284"/>
        <v>0</v>
      </c>
      <c r="AW352" s="144">
        <f>VLOOKUP(B352,'Cronog. e Histog.'!$B$213:$BT$688,71,0)</f>
        <v>9.9999999999999985E-3</v>
      </c>
      <c r="AX352" s="144">
        <f>VLOOKUP(B352,'Cronog. e Histog.'!$B$213:$BU$688,72,0)</f>
        <v>10</v>
      </c>
      <c r="AY352" s="144">
        <f>$AW352*$AX352*Dashboard!$D$15</f>
        <v>19.36</v>
      </c>
      <c r="AZ352" s="144">
        <f>VLOOKUP(B352,Precificação!$B$96:$BM$533,54,0)</f>
        <v>0</v>
      </c>
      <c r="BA352" s="144">
        <f>VLOOKUP(B352,Precificação!$B$96:$BR$533,58,0)</f>
        <v>0</v>
      </c>
      <c r="BB352" s="144">
        <f>VLOOKUP(B352,Precificação!$B$96:$BW$533,62,0)</f>
        <v>0</v>
      </c>
      <c r="BC352" s="144">
        <f t="shared" si="285"/>
        <v>19.36</v>
      </c>
      <c r="BD352" s="109">
        <f>IFERROR(VLOOKUP(B352,Precificação!$B$96:$S$533,13,0),0)</f>
        <v>0</v>
      </c>
      <c r="BE352" s="109">
        <f>IFERROR(VLOOKUP(B352,Precificação!$B$96:$U$533,15,0)/(Precificação!$U$4+Precificação!$U$91),0)*Dashboard!$T$3</f>
        <v>0</v>
      </c>
    </row>
    <row r="353" spans="2:57" ht="12" customHeight="1" outlineLevel="1">
      <c r="B353" s="137" t="str">
        <f>Precificação!B342</f>
        <v>ENG/ARQ PL. - Equipe_01</v>
      </c>
      <c r="D353" s="512"/>
      <c r="E353" s="143" t="str">
        <f>IF('Cronog. e Histog.'!G481&gt;0,'Cronog. e Histog.'!G481,"")</f>
        <v>ENG/ARQ PL.</v>
      </c>
      <c r="G353" s="179">
        <f t="shared" si="272"/>
        <v>0</v>
      </c>
      <c r="H353" s="110">
        <f>IFERROR(INDEX('Base Salarial'!$D$5:$F$25,MATCH(E353,'Base Salarial'!$G$5:$G$25,0),MATCH(I353,'Base Salarial'!$D$4:$F$4,0)),"")</f>
        <v>14000</v>
      </c>
      <c r="I353" s="78" t="str">
        <f>IFERROR(INDEX(Tarefas!$BQ$29:$FK$29,MATCH(E353,Tarefas!$BQ$30:$FK$30,0)),"")</f>
        <v>PJ</v>
      </c>
      <c r="J353" s="81">
        <f>IF(I353="horista",H353*Dashboard!$D$15,IF(OR(I353="Mensalista",I353="PJ"),H353,))</f>
        <v>14000</v>
      </c>
      <c r="K353" s="81">
        <f>IF(I353="PJ",J353,ROUND(J353*(1+Dashboard!$D$22),2))</f>
        <v>14000</v>
      </c>
      <c r="L353" s="77"/>
      <c r="M353" s="180"/>
      <c r="P353" s="109">
        <f>IF($BD353&gt;0,(((($BD353/Dashboard!$D$15)*(1+Precificação!$W$589)))+$P$26)*(1+Dashboard!$D$35),0)</f>
        <v>0</v>
      </c>
      <c r="Q353" s="109">
        <f>IF($BD353&gt;0,(((($BD353/Dashboard!$D$23)+(1+Precificação!$W$589))*(1+Q$28))+$P$26)*(1+Dashboard!$D$35),0)</f>
        <v>0</v>
      </c>
      <c r="R353" s="109">
        <f>IF($BD353&gt;0,(((($BD353/Dashboard!$D$23)+(1+Precificação!$W$589))*(1+R$28))+$P$26)*(1+Dashboard!$D$35),0)</f>
        <v>0</v>
      </c>
      <c r="S353" s="109">
        <f>IF($BD353&gt;0,(((($BD353/Dashboard!$D$23)+(1+Precificação!$W$589))*(1+S$28))+$P$26)*(1+Dashboard!$D$35),0)</f>
        <v>0</v>
      </c>
      <c r="U353" s="109">
        <f t="shared" si="273"/>
        <v>0</v>
      </c>
      <c r="V353" s="109">
        <f t="shared" si="274"/>
        <v>0</v>
      </c>
      <c r="W353" s="109">
        <f t="shared" si="275"/>
        <v>0</v>
      </c>
      <c r="X353" s="109">
        <f t="shared" si="276"/>
        <v>0</v>
      </c>
      <c r="AA353" s="109">
        <f>IF($BD353&gt;0,(((($BD353/Dashboard!$D$23)*(1+Precificação!$W$589)))+$AA$26)*(1+Dashboard!$D$35),0)</f>
        <v>0</v>
      </c>
      <c r="AB353" s="109">
        <f>IF($BD353&gt;0,(((($BD353/Dashboard!$D$23)*(1+Precificação!$W$589))*(1+AB$28))+$AA$26)*(1+Dashboard!$D$35),0)</f>
        <v>0</v>
      </c>
      <c r="AC353" s="109">
        <f>IF($BD353&gt;0,(((($BD353/Dashboard!$D$23)*(1+Precificação!$W$589))*(1+AC$28))+$AA$26)*(1+Dashboard!$D$35),0)</f>
        <v>0</v>
      </c>
      <c r="AD353" s="109">
        <f>IF($BD353&gt;0,(((($BD353/Dashboard!$D$23)*(1+Precificação!$W$589))*(1+AD$28))+$AA$26)*(1+Dashboard!$D$35),0)</f>
        <v>0</v>
      </c>
      <c r="AF353" s="109">
        <f t="shared" si="277"/>
        <v>0</v>
      </c>
      <c r="AG353" s="109">
        <f t="shared" si="278"/>
        <v>0</v>
      </c>
      <c r="AH353" s="109">
        <f t="shared" si="279"/>
        <v>0</v>
      </c>
      <c r="AI353" s="109">
        <f t="shared" si="280"/>
        <v>0</v>
      </c>
      <c r="AL353" s="109">
        <f>IF($BD353&gt;0,(((($BD353/Dashboard!$D$23)*(1+Precificação!$W$589)))+$AL$26)*(1+Dashboard!$D$35),0)</f>
        <v>0</v>
      </c>
      <c r="AM353" s="109">
        <f>IF($BD353&gt;0,(((($BD353/Dashboard!$D$23)*(1+Precificação!$W$589))*(1+AM$28))+$AA$26)*(1+Dashboard!$D$35),0)</f>
        <v>0</v>
      </c>
      <c r="AN353" s="109">
        <f>IF($BD353&gt;0,(((($BD353/Dashboard!$D$23)*(1+Precificação!$W$589))*(1+AN$28))+$AA$26)*(1+Dashboard!$D$35),0)</f>
        <v>0</v>
      </c>
      <c r="AO353" s="109">
        <f>IF($BD353&gt;0,(((($BD353/Dashboard!$D$23)*(1+Precificação!$W$589))*(1+AO$28))+$AA$26)*(1+Dashboard!$D$35),0)</f>
        <v>0</v>
      </c>
      <c r="AQ353" s="109">
        <f t="shared" si="281"/>
        <v>0</v>
      </c>
      <c r="AR353" s="109">
        <f t="shared" si="282"/>
        <v>0</v>
      </c>
      <c r="AS353" s="109">
        <f t="shared" si="283"/>
        <v>0</v>
      </c>
      <c r="AT353" s="109">
        <f t="shared" si="284"/>
        <v>0</v>
      </c>
      <c r="AW353" s="144">
        <f>VLOOKUP(B353,'Cronog. e Histog.'!$B$213:$BT$688,71,0)</f>
        <v>0</v>
      </c>
      <c r="AX353" s="144">
        <f>VLOOKUP(B353,'Cronog. e Histog.'!$B$213:$BU$688,72,0)</f>
        <v>0</v>
      </c>
      <c r="AY353" s="144">
        <f>$AW353*$AX353*Dashboard!$D$15</f>
        <v>0</v>
      </c>
      <c r="AZ353" s="144">
        <f>VLOOKUP(B353,Precificação!$B$96:$BM$533,54,0)</f>
        <v>0</v>
      </c>
      <c r="BA353" s="144">
        <f>VLOOKUP(B353,Precificação!$B$96:$BR$533,58,0)</f>
        <v>0</v>
      </c>
      <c r="BB353" s="144">
        <f>VLOOKUP(B353,Precificação!$B$96:$BW$533,62,0)</f>
        <v>0</v>
      </c>
      <c r="BC353" s="144">
        <f t="shared" si="285"/>
        <v>0</v>
      </c>
      <c r="BD353" s="109">
        <f>IFERROR(VLOOKUP(B353,Precificação!$B$96:$S$533,13,0),0)</f>
        <v>0</v>
      </c>
      <c r="BE353" s="109">
        <f>IFERROR(VLOOKUP(B353,Precificação!$B$96:$U$533,15,0)/(Precificação!$U$4+Precificação!$U$91),0)*Dashboard!$T$3</f>
        <v>0</v>
      </c>
    </row>
    <row r="354" spans="2:57" ht="12" customHeight="1" outlineLevel="1">
      <c r="B354" s="137" t="str">
        <f>Precificação!B343</f>
        <v>ENG/ARQ JR. - Equipe_01</v>
      </c>
      <c r="D354" s="512"/>
      <c r="E354" s="143" t="str">
        <f>IF('Cronog. e Histog.'!G482&gt;0,'Cronog. e Histog.'!G482,"")</f>
        <v>ENG/ARQ JR.</v>
      </c>
      <c r="G354" s="179">
        <f t="shared" si="272"/>
        <v>0</v>
      </c>
      <c r="H354" s="110">
        <f>IFERROR(INDEX('Base Salarial'!$D$5:$F$25,MATCH(E354,'Base Salarial'!$G$5:$G$25,0),MATCH(I354,'Base Salarial'!$D$4:$F$4,0)),"")</f>
        <v>14000</v>
      </c>
      <c r="I354" s="78" t="str">
        <f>IFERROR(INDEX(Tarefas!$BQ$29:$FK$29,MATCH(E354,Tarefas!$BQ$30:$FK$30,0)),"")</f>
        <v>PJ</v>
      </c>
      <c r="J354" s="81">
        <f>IF(I354="horista",H354*Dashboard!$D$15,IF(OR(I354="Mensalista",I354="PJ"),H354,))</f>
        <v>14000</v>
      </c>
      <c r="K354" s="81">
        <f>IF(I354="PJ",J354,ROUND(J354*(1+Dashboard!$D$22),2))</f>
        <v>14000</v>
      </c>
      <c r="L354" s="77"/>
      <c r="M354" s="180"/>
      <c r="P354" s="109">
        <f>IF($BD354&gt;0,(((($BD354/Dashboard!$D$15)*(1+Precificação!$W$589)))+$P$26)*(1+Dashboard!$D$35),0)</f>
        <v>0</v>
      </c>
      <c r="Q354" s="109">
        <f>IF($BD354&gt;0,(((($BD354/Dashboard!$D$23)+(1+Precificação!$W$589))*(1+Q$28))+$P$26)*(1+Dashboard!$D$35),0)</f>
        <v>0</v>
      </c>
      <c r="R354" s="109">
        <f>IF($BD354&gt;0,(((($BD354/Dashboard!$D$23)+(1+Precificação!$W$589))*(1+R$28))+$P$26)*(1+Dashboard!$D$35),0)</f>
        <v>0</v>
      </c>
      <c r="S354" s="109">
        <f>IF($BD354&gt;0,(((($BD354/Dashboard!$D$23)+(1+Precificação!$W$589))*(1+S$28))+$P$26)*(1+Dashboard!$D$35),0)</f>
        <v>0</v>
      </c>
      <c r="U354" s="109">
        <f t="shared" si="273"/>
        <v>0</v>
      </c>
      <c r="V354" s="109">
        <f t="shared" si="274"/>
        <v>0</v>
      </c>
      <c r="W354" s="109">
        <f t="shared" si="275"/>
        <v>0</v>
      </c>
      <c r="X354" s="109">
        <f t="shared" si="276"/>
        <v>0</v>
      </c>
      <c r="AA354" s="109">
        <f>IF($BD354&gt;0,(((($BD354/Dashboard!$D$23)*(1+Precificação!$W$589)))+$AA$26)*(1+Dashboard!$D$35),0)</f>
        <v>0</v>
      </c>
      <c r="AB354" s="109">
        <f>IF($BD354&gt;0,(((($BD354/Dashboard!$D$23)*(1+Precificação!$W$589))*(1+AB$28))+$AA$26)*(1+Dashboard!$D$35),0)</f>
        <v>0</v>
      </c>
      <c r="AC354" s="109">
        <f>IF($BD354&gt;0,(((($BD354/Dashboard!$D$23)*(1+Precificação!$W$589))*(1+AC$28))+$AA$26)*(1+Dashboard!$D$35),0)</f>
        <v>0</v>
      </c>
      <c r="AD354" s="109">
        <f>IF($BD354&gt;0,(((($BD354/Dashboard!$D$23)*(1+Precificação!$W$589))*(1+AD$28))+$AA$26)*(1+Dashboard!$D$35),0)</f>
        <v>0</v>
      </c>
      <c r="AF354" s="109">
        <f t="shared" si="277"/>
        <v>0</v>
      </c>
      <c r="AG354" s="109">
        <f t="shared" si="278"/>
        <v>0</v>
      </c>
      <c r="AH354" s="109">
        <f t="shared" si="279"/>
        <v>0</v>
      </c>
      <c r="AI354" s="109">
        <f t="shared" si="280"/>
        <v>0</v>
      </c>
      <c r="AL354" s="109">
        <f>IF($BD354&gt;0,(((($BD354/Dashboard!$D$23)*(1+Precificação!$W$589)))+$AL$26)*(1+Dashboard!$D$35),0)</f>
        <v>0</v>
      </c>
      <c r="AM354" s="109">
        <f>IF($BD354&gt;0,(((($BD354/Dashboard!$D$23)*(1+Precificação!$W$589))*(1+AM$28))+$AA$26)*(1+Dashboard!$D$35),0)</f>
        <v>0</v>
      </c>
      <c r="AN354" s="109">
        <f>IF($BD354&gt;0,(((($BD354/Dashboard!$D$23)*(1+Precificação!$W$589))*(1+AN$28))+$AA$26)*(1+Dashboard!$D$35),0)</f>
        <v>0</v>
      </c>
      <c r="AO354" s="109">
        <f>IF($BD354&gt;0,(((($BD354/Dashboard!$D$23)*(1+Precificação!$W$589))*(1+AO$28))+$AA$26)*(1+Dashboard!$D$35),0)</f>
        <v>0</v>
      </c>
      <c r="AQ354" s="109">
        <f t="shared" si="281"/>
        <v>0</v>
      </c>
      <c r="AR354" s="109">
        <f t="shared" si="282"/>
        <v>0</v>
      </c>
      <c r="AS354" s="109">
        <f t="shared" si="283"/>
        <v>0</v>
      </c>
      <c r="AT354" s="109">
        <f t="shared" si="284"/>
        <v>0</v>
      </c>
      <c r="AW354" s="144">
        <f>VLOOKUP(B354,'Cronog. e Histog.'!$B$213:$BT$688,71,0)</f>
        <v>0</v>
      </c>
      <c r="AX354" s="144">
        <f>VLOOKUP(B354,'Cronog. e Histog.'!$B$213:$BU$688,72,0)</f>
        <v>0</v>
      </c>
      <c r="AY354" s="144">
        <f>$AW354*$AX354*Dashboard!$D$15</f>
        <v>0</v>
      </c>
      <c r="AZ354" s="144">
        <f>VLOOKUP(B354,Precificação!$B$96:$BM$533,54,0)</f>
        <v>0</v>
      </c>
      <c r="BA354" s="144">
        <f>VLOOKUP(B354,Precificação!$B$96:$BR$533,58,0)</f>
        <v>0</v>
      </c>
      <c r="BB354" s="144">
        <f>VLOOKUP(B354,Precificação!$B$96:$BW$533,62,0)</f>
        <v>0</v>
      </c>
      <c r="BC354" s="144">
        <f t="shared" si="285"/>
        <v>0</v>
      </c>
      <c r="BD354" s="109">
        <f>IFERROR(VLOOKUP(B354,Precificação!$B$96:$S$533,13,0),0)</f>
        <v>0</v>
      </c>
      <c r="BE354" s="109">
        <f>IFERROR(VLOOKUP(B354,Precificação!$B$96:$U$533,15,0)/(Precificação!$U$4+Precificação!$U$91),0)*Dashboard!$T$3</f>
        <v>0</v>
      </c>
    </row>
    <row r="355" spans="2:57" ht="12" customHeight="1" outlineLevel="1">
      <c r="B355" s="137" t="str">
        <f>Precificação!B344</f>
        <v>AN SR. ENG/ARQ - Equipe_01</v>
      </c>
      <c r="D355" s="512"/>
      <c r="E355" s="143" t="str">
        <f>IF('Cronog. e Histog.'!G483&gt;0,'Cronog. e Histog.'!G483,"")</f>
        <v>AN SR. ENG/ARQ</v>
      </c>
      <c r="G355" s="179">
        <f t="shared" si="272"/>
        <v>0</v>
      </c>
      <c r="H355" s="110">
        <f>IFERROR(INDEX('Base Salarial'!$D$5:$F$25,MATCH(E355,'Base Salarial'!$G$5:$G$25,0),MATCH(I355,'Base Salarial'!$D$4:$F$4,0)),"")</f>
        <v>7500</v>
      </c>
      <c r="I355" s="78" t="str">
        <f>IFERROR(INDEX(Tarefas!$BQ$29:$FK$29,MATCH(E355,Tarefas!$BQ$30:$FK$30,0)),"")</f>
        <v>Mensalista</v>
      </c>
      <c r="J355" s="81">
        <f>IF(I355="horista",H355*Dashboard!$D$15,IF(OR(I355="Mensalista",I355="PJ"),H355,))</f>
        <v>7500</v>
      </c>
      <c r="K355" s="81">
        <f>IF(I355="PJ",J355,ROUND(J355*(1+Dashboard!$D$22),2))</f>
        <v>7950</v>
      </c>
      <c r="L355" s="77"/>
      <c r="M355" s="180"/>
      <c r="P355" s="109">
        <f>IF($BD355&gt;0,(((($BD355/Dashboard!$D$15)*(1+Precificação!$W$589)))+$P$26)*(1+Dashboard!$D$35),0)</f>
        <v>0</v>
      </c>
      <c r="Q355" s="109">
        <f>IF($BD355&gt;0,(((($BD355/Dashboard!$D$23)+(1+Precificação!$W$589))*(1+Q$28))+$P$26)*(1+Dashboard!$D$35),0)</f>
        <v>0</v>
      </c>
      <c r="R355" s="109">
        <f>IF($BD355&gt;0,(((($BD355/Dashboard!$D$23)+(1+Precificação!$W$589))*(1+R$28))+$P$26)*(1+Dashboard!$D$35),0)</f>
        <v>0</v>
      </c>
      <c r="S355" s="109">
        <f>IF($BD355&gt;0,(((($BD355/Dashboard!$D$23)+(1+Precificação!$W$589))*(1+S$28))+$P$26)*(1+Dashboard!$D$35),0)</f>
        <v>0</v>
      </c>
      <c r="U355" s="109">
        <f t="shared" si="273"/>
        <v>0</v>
      </c>
      <c r="V355" s="109">
        <f t="shared" si="274"/>
        <v>0</v>
      </c>
      <c r="W355" s="109">
        <f t="shared" si="275"/>
        <v>0</v>
      </c>
      <c r="X355" s="109">
        <f t="shared" si="276"/>
        <v>0</v>
      </c>
      <c r="AA355" s="109">
        <f>IF($BD355&gt;0,(((($BD355/Dashboard!$D$23)*(1+Precificação!$W$589)))+$AA$26)*(1+Dashboard!$D$35),0)</f>
        <v>0</v>
      </c>
      <c r="AB355" s="109">
        <f>IF($BD355&gt;0,(((($BD355/Dashboard!$D$23)*(1+Precificação!$W$589))*(1+AB$28))+$AA$26)*(1+Dashboard!$D$35),0)</f>
        <v>0</v>
      </c>
      <c r="AC355" s="109">
        <f>IF($BD355&gt;0,(((($BD355/Dashboard!$D$23)*(1+Precificação!$W$589))*(1+AC$28))+$AA$26)*(1+Dashboard!$D$35),0)</f>
        <v>0</v>
      </c>
      <c r="AD355" s="109">
        <f>IF($BD355&gt;0,(((($BD355/Dashboard!$D$23)*(1+Precificação!$W$589))*(1+AD$28))+$AA$26)*(1+Dashboard!$D$35),0)</f>
        <v>0</v>
      </c>
      <c r="AF355" s="109">
        <f t="shared" si="277"/>
        <v>0</v>
      </c>
      <c r="AG355" s="109">
        <f t="shared" si="278"/>
        <v>0</v>
      </c>
      <c r="AH355" s="109">
        <f t="shared" si="279"/>
        <v>0</v>
      </c>
      <c r="AI355" s="109">
        <f t="shared" si="280"/>
        <v>0</v>
      </c>
      <c r="AL355" s="109">
        <f>IF($BD355&gt;0,(((($BD355/Dashboard!$D$23)*(1+Precificação!$W$589)))+$AL$26)*(1+Dashboard!$D$35),0)</f>
        <v>0</v>
      </c>
      <c r="AM355" s="109">
        <f>IF($BD355&gt;0,(((($BD355/Dashboard!$D$23)*(1+Precificação!$W$589))*(1+AM$28))+$AA$26)*(1+Dashboard!$D$35),0)</f>
        <v>0</v>
      </c>
      <c r="AN355" s="109">
        <f>IF($BD355&gt;0,(((($BD355/Dashboard!$D$23)*(1+Precificação!$W$589))*(1+AN$28))+$AA$26)*(1+Dashboard!$D$35),0)</f>
        <v>0</v>
      </c>
      <c r="AO355" s="109">
        <f>IF($BD355&gt;0,(((($BD355/Dashboard!$D$23)*(1+Precificação!$W$589))*(1+AO$28))+$AA$26)*(1+Dashboard!$D$35),0)</f>
        <v>0</v>
      </c>
      <c r="AQ355" s="109">
        <f t="shared" si="281"/>
        <v>0</v>
      </c>
      <c r="AR355" s="109">
        <f t="shared" si="282"/>
        <v>0</v>
      </c>
      <c r="AS355" s="109">
        <f t="shared" si="283"/>
        <v>0</v>
      </c>
      <c r="AT355" s="109">
        <f t="shared" si="284"/>
        <v>0</v>
      </c>
      <c r="AW355" s="144">
        <f>VLOOKUP(B355,'Cronog. e Histog.'!$B$213:$BT$688,71,0)</f>
        <v>0</v>
      </c>
      <c r="AX355" s="144">
        <f>VLOOKUP(B355,'Cronog. e Histog.'!$B$213:$BU$688,72,0)</f>
        <v>0</v>
      </c>
      <c r="AY355" s="144">
        <f>$AW355*$AX355*Dashboard!$D$15</f>
        <v>0</v>
      </c>
      <c r="AZ355" s="144">
        <f>VLOOKUP(B355,Precificação!$B$96:$BM$533,54,0)</f>
        <v>0</v>
      </c>
      <c r="BA355" s="144">
        <f>VLOOKUP(B355,Precificação!$B$96:$BR$533,58,0)</f>
        <v>0</v>
      </c>
      <c r="BB355" s="144">
        <f>VLOOKUP(B355,Precificação!$B$96:$BW$533,62,0)</f>
        <v>0</v>
      </c>
      <c r="BC355" s="144">
        <f t="shared" si="285"/>
        <v>0</v>
      </c>
      <c r="BD355" s="109">
        <f>IFERROR(VLOOKUP(B355,Precificação!$B$96:$S$533,13,0),0)</f>
        <v>0</v>
      </c>
      <c r="BE355" s="109">
        <f>IFERROR(VLOOKUP(B355,Precificação!$B$96:$U$533,15,0)/(Precificação!$U$4+Precificação!$U$91),0)*Dashboard!$T$3</f>
        <v>0</v>
      </c>
    </row>
    <row r="356" spans="2:57" ht="12" customHeight="1" outlineLevel="1">
      <c r="B356" s="137" t="str">
        <f>Precificação!B345</f>
        <v>AN PL. ENG/ARQ - Equipe_01</v>
      </c>
      <c r="D356" s="512"/>
      <c r="E356" s="143" t="str">
        <f>IF('Cronog. e Histog.'!G484&gt;0,'Cronog. e Histog.'!G484,"")</f>
        <v>AN PL. ENG/ARQ</v>
      </c>
      <c r="G356" s="179">
        <f t="shared" si="272"/>
        <v>0</v>
      </c>
      <c r="H356" s="110">
        <f>IFERROR(INDEX('Base Salarial'!$D$5:$F$25,MATCH(E356,'Base Salarial'!$G$5:$G$25,0),MATCH(I356,'Base Salarial'!$D$4:$F$4,0)),"")</f>
        <v>6000</v>
      </c>
      <c r="I356" s="78" t="str">
        <f>IFERROR(INDEX(Tarefas!$BQ$29:$FK$29,MATCH(E356,Tarefas!$BQ$30:$FK$30,0)),"")</f>
        <v>Mensalista</v>
      </c>
      <c r="J356" s="81">
        <f>IF(I356="horista",H356*Dashboard!$D$15,IF(OR(I356="Mensalista",I356="PJ"),H356,))</f>
        <v>6000</v>
      </c>
      <c r="K356" s="81">
        <f>IF(I356="PJ",J356,ROUND(J356*(1+Dashboard!$D$22),2))</f>
        <v>6360</v>
      </c>
      <c r="L356" s="77"/>
      <c r="M356" s="180"/>
      <c r="P356" s="109">
        <f>IF($BD356&gt;0,(((($BD356/Dashboard!$D$15)*(1+Precificação!$W$589)))+$P$26)*(1+Dashboard!$D$35),0)</f>
        <v>0</v>
      </c>
      <c r="Q356" s="109">
        <f>IF($BD356&gt;0,(((($BD356/Dashboard!$D$23)+(1+Precificação!$W$589))*(1+Q$28))+$P$26)*(1+Dashboard!$D$35),0)</f>
        <v>0</v>
      </c>
      <c r="R356" s="109">
        <f>IF($BD356&gt;0,(((($BD356/Dashboard!$D$23)+(1+Precificação!$W$589))*(1+R$28))+$P$26)*(1+Dashboard!$D$35),0)</f>
        <v>0</v>
      </c>
      <c r="S356" s="109">
        <f>IF($BD356&gt;0,(((($BD356/Dashboard!$D$23)+(1+Precificação!$W$589))*(1+S$28))+$P$26)*(1+Dashboard!$D$35),0)</f>
        <v>0</v>
      </c>
      <c r="U356" s="109">
        <f t="shared" si="273"/>
        <v>0</v>
      </c>
      <c r="V356" s="109">
        <f t="shared" si="274"/>
        <v>0</v>
      </c>
      <c r="W356" s="109">
        <f t="shared" si="275"/>
        <v>0</v>
      </c>
      <c r="X356" s="109">
        <f t="shared" si="276"/>
        <v>0</v>
      </c>
      <c r="AA356" s="109">
        <f>IF($BD356&gt;0,(((($BD356/Dashboard!$D$23)*(1+Precificação!$W$589)))+$AA$26)*(1+Dashboard!$D$35),0)</f>
        <v>0</v>
      </c>
      <c r="AB356" s="109">
        <f>IF($BD356&gt;0,(((($BD356/Dashboard!$D$23)*(1+Precificação!$W$589))*(1+AB$28))+$AA$26)*(1+Dashboard!$D$35),0)</f>
        <v>0</v>
      </c>
      <c r="AC356" s="109">
        <f>IF($BD356&gt;0,(((($BD356/Dashboard!$D$23)*(1+Precificação!$W$589))*(1+AC$28))+$AA$26)*(1+Dashboard!$D$35),0)</f>
        <v>0</v>
      </c>
      <c r="AD356" s="109">
        <f>IF($BD356&gt;0,(((($BD356/Dashboard!$D$23)*(1+Precificação!$W$589))*(1+AD$28))+$AA$26)*(1+Dashboard!$D$35),0)</f>
        <v>0</v>
      </c>
      <c r="AF356" s="109">
        <f t="shared" si="277"/>
        <v>0</v>
      </c>
      <c r="AG356" s="109">
        <f t="shared" si="278"/>
        <v>0</v>
      </c>
      <c r="AH356" s="109">
        <f t="shared" si="279"/>
        <v>0</v>
      </c>
      <c r="AI356" s="109">
        <f t="shared" si="280"/>
        <v>0</v>
      </c>
      <c r="AL356" s="109">
        <f>IF($BD356&gt;0,(((($BD356/Dashboard!$D$23)*(1+Precificação!$W$589)))+$AL$26)*(1+Dashboard!$D$35),0)</f>
        <v>0</v>
      </c>
      <c r="AM356" s="109">
        <f>IF($BD356&gt;0,(((($BD356/Dashboard!$D$23)*(1+Precificação!$W$589))*(1+AM$28))+$AA$26)*(1+Dashboard!$D$35),0)</f>
        <v>0</v>
      </c>
      <c r="AN356" s="109">
        <f>IF($BD356&gt;0,(((($BD356/Dashboard!$D$23)*(1+Precificação!$W$589))*(1+AN$28))+$AA$26)*(1+Dashboard!$D$35),0)</f>
        <v>0</v>
      </c>
      <c r="AO356" s="109">
        <f>IF($BD356&gt;0,(((($BD356/Dashboard!$D$23)*(1+Precificação!$W$589))*(1+AO$28))+$AA$26)*(1+Dashboard!$D$35),0)</f>
        <v>0</v>
      </c>
      <c r="AQ356" s="109">
        <f t="shared" si="281"/>
        <v>0</v>
      </c>
      <c r="AR356" s="109">
        <f t="shared" si="282"/>
        <v>0</v>
      </c>
      <c r="AS356" s="109">
        <f t="shared" si="283"/>
        <v>0</v>
      </c>
      <c r="AT356" s="109">
        <f t="shared" si="284"/>
        <v>0</v>
      </c>
      <c r="AW356" s="144">
        <f>VLOOKUP(B356,'Cronog. e Histog.'!$B$213:$BT$688,71,0)</f>
        <v>0</v>
      </c>
      <c r="AX356" s="144">
        <f>VLOOKUP(B356,'Cronog. e Histog.'!$B$213:$BU$688,72,0)</f>
        <v>0</v>
      </c>
      <c r="AY356" s="144">
        <f>$AW356*$AX356*Dashboard!$D$15</f>
        <v>0</v>
      </c>
      <c r="AZ356" s="144">
        <f>VLOOKUP(B356,Precificação!$B$96:$BM$533,54,0)</f>
        <v>0</v>
      </c>
      <c r="BA356" s="144">
        <f>VLOOKUP(B356,Precificação!$B$96:$BR$533,58,0)</f>
        <v>0</v>
      </c>
      <c r="BB356" s="144">
        <f>VLOOKUP(B356,Precificação!$B$96:$BW$533,62,0)</f>
        <v>0</v>
      </c>
      <c r="BC356" s="144">
        <f t="shared" si="285"/>
        <v>0</v>
      </c>
      <c r="BD356" s="109">
        <f>IFERROR(VLOOKUP(B356,Precificação!$B$96:$S$533,13,0),0)</f>
        <v>0</v>
      </c>
      <c r="BE356" s="109">
        <f>IFERROR(VLOOKUP(B356,Precificação!$B$96:$U$533,15,0)/(Precificação!$U$4+Precificação!$U$91),0)*Dashboard!$T$3</f>
        <v>0</v>
      </c>
    </row>
    <row r="357" spans="2:57" ht="12" customHeight="1" outlineLevel="1">
      <c r="B357" s="137" t="str">
        <f>Precificação!B346</f>
        <v>AN JR. ENG/ARQ - Equipe_01</v>
      </c>
      <c r="D357" s="512"/>
      <c r="E357" s="143" t="str">
        <f>IF('Cronog. e Histog.'!G485&gt;0,'Cronog. e Histog.'!G485,"")</f>
        <v>AN JR. ENG/ARQ</v>
      </c>
      <c r="G357" s="179">
        <f t="shared" si="272"/>
        <v>0</v>
      </c>
      <c r="H357" s="110">
        <f>IFERROR(INDEX('Base Salarial'!$D$5:$F$25,MATCH(E357,'Base Salarial'!$G$5:$G$25,0),MATCH(I357,'Base Salarial'!$D$4:$F$4,0)),"")</f>
        <v>4500</v>
      </c>
      <c r="I357" s="78" t="str">
        <f>IFERROR(INDEX(Tarefas!$BQ$29:$FK$29,MATCH(E357,Tarefas!$BQ$30:$FK$30,0)),"")</f>
        <v>Mensalista</v>
      </c>
      <c r="J357" s="81">
        <f>IF(I357="horista",H357*Dashboard!$D$15,IF(OR(I357="Mensalista",I357="PJ"),H357,))</f>
        <v>4500</v>
      </c>
      <c r="K357" s="81">
        <f>IF(I357="PJ",J357,ROUND(J357*(1+Dashboard!$D$22),2))</f>
        <v>4770</v>
      </c>
      <c r="L357" s="77"/>
      <c r="M357" s="180"/>
      <c r="P357" s="109">
        <f>IF($BD357&gt;0,(((($BD357/Dashboard!$D$15)*(1+Precificação!$W$589)))+$P$26)*(1+Dashboard!$D$35),0)</f>
        <v>0</v>
      </c>
      <c r="Q357" s="109">
        <f>IF($BD357&gt;0,(((($BD357/Dashboard!$D$23)+(1+Precificação!$W$589))*(1+Q$28))+$P$26)*(1+Dashboard!$D$35),0)</f>
        <v>0</v>
      </c>
      <c r="R357" s="109">
        <f>IF($BD357&gt;0,(((($BD357/Dashboard!$D$23)+(1+Precificação!$W$589))*(1+R$28))+$P$26)*(1+Dashboard!$D$35),0)</f>
        <v>0</v>
      </c>
      <c r="S357" s="109">
        <f>IF($BD357&gt;0,(((($BD357/Dashboard!$D$23)+(1+Precificação!$W$589))*(1+S$28))+$P$26)*(1+Dashboard!$D$35),0)</f>
        <v>0</v>
      </c>
      <c r="U357" s="109">
        <f t="shared" si="273"/>
        <v>0</v>
      </c>
      <c r="V357" s="109">
        <f t="shared" si="274"/>
        <v>0</v>
      </c>
      <c r="W357" s="109">
        <f t="shared" si="275"/>
        <v>0</v>
      </c>
      <c r="X357" s="109">
        <f t="shared" si="276"/>
        <v>0</v>
      </c>
      <c r="AA357" s="109">
        <f>IF($BD357&gt;0,(((($BD357/Dashboard!$D$23)*(1+Precificação!$W$589)))+$AA$26)*(1+Dashboard!$D$35),0)</f>
        <v>0</v>
      </c>
      <c r="AB357" s="109">
        <f>IF($BD357&gt;0,(((($BD357/Dashboard!$D$23)*(1+Precificação!$W$589))*(1+AB$28))+$AA$26)*(1+Dashboard!$D$35),0)</f>
        <v>0</v>
      </c>
      <c r="AC357" s="109">
        <f>IF($BD357&gt;0,(((($BD357/Dashboard!$D$23)*(1+Precificação!$W$589))*(1+AC$28))+$AA$26)*(1+Dashboard!$D$35),0)</f>
        <v>0</v>
      </c>
      <c r="AD357" s="109">
        <f>IF($BD357&gt;0,(((($BD357/Dashboard!$D$23)*(1+Precificação!$W$589))*(1+AD$28))+$AA$26)*(1+Dashboard!$D$35),0)</f>
        <v>0</v>
      </c>
      <c r="AF357" s="109">
        <f t="shared" si="277"/>
        <v>0</v>
      </c>
      <c r="AG357" s="109">
        <f t="shared" si="278"/>
        <v>0</v>
      </c>
      <c r="AH357" s="109">
        <f t="shared" si="279"/>
        <v>0</v>
      </c>
      <c r="AI357" s="109">
        <f t="shared" si="280"/>
        <v>0</v>
      </c>
      <c r="AL357" s="109">
        <f>IF($BD357&gt;0,(((($BD357/Dashboard!$D$23)*(1+Precificação!$W$589)))+$AL$26)*(1+Dashboard!$D$35),0)</f>
        <v>0</v>
      </c>
      <c r="AM357" s="109">
        <f>IF($BD357&gt;0,(((($BD357/Dashboard!$D$23)*(1+Precificação!$W$589))*(1+AM$28))+$AA$26)*(1+Dashboard!$D$35),0)</f>
        <v>0</v>
      </c>
      <c r="AN357" s="109">
        <f>IF($BD357&gt;0,(((($BD357/Dashboard!$D$23)*(1+Precificação!$W$589))*(1+AN$28))+$AA$26)*(1+Dashboard!$D$35),0)</f>
        <v>0</v>
      </c>
      <c r="AO357" s="109">
        <f>IF($BD357&gt;0,(((($BD357/Dashboard!$D$23)*(1+Precificação!$W$589))*(1+AO$28))+$AA$26)*(1+Dashboard!$D$35),0)</f>
        <v>0</v>
      </c>
      <c r="AQ357" s="109">
        <f t="shared" si="281"/>
        <v>0</v>
      </c>
      <c r="AR357" s="109">
        <f t="shared" si="282"/>
        <v>0</v>
      </c>
      <c r="AS357" s="109">
        <f t="shared" si="283"/>
        <v>0</v>
      </c>
      <c r="AT357" s="109">
        <f t="shared" si="284"/>
        <v>0</v>
      </c>
      <c r="AW357" s="144">
        <f>VLOOKUP(B357,'Cronog. e Histog.'!$B$213:$BT$688,71,0)</f>
        <v>0</v>
      </c>
      <c r="AX357" s="144">
        <f>VLOOKUP(B357,'Cronog. e Histog.'!$B$213:$BU$688,72,0)</f>
        <v>0</v>
      </c>
      <c r="AY357" s="144">
        <f>$AW357*$AX357*Dashboard!$D$15</f>
        <v>0</v>
      </c>
      <c r="AZ357" s="144">
        <f>VLOOKUP(B357,Precificação!$B$96:$BM$533,54,0)</f>
        <v>0</v>
      </c>
      <c r="BA357" s="144">
        <f>VLOOKUP(B357,Precificação!$B$96:$BR$533,58,0)</f>
        <v>0</v>
      </c>
      <c r="BB357" s="144">
        <f>VLOOKUP(B357,Precificação!$B$96:$BW$533,62,0)</f>
        <v>0</v>
      </c>
      <c r="BC357" s="144">
        <f t="shared" si="285"/>
        <v>0</v>
      </c>
      <c r="BD357" s="109">
        <f>IFERROR(VLOOKUP(B357,Precificação!$B$96:$S$533,13,0),0)</f>
        <v>0</v>
      </c>
      <c r="BE357" s="109">
        <f>IFERROR(VLOOKUP(B357,Precificação!$B$96:$U$533,15,0)/(Precificação!$U$4+Precificação!$U$91),0)*Dashboard!$T$3</f>
        <v>0</v>
      </c>
    </row>
    <row r="358" spans="2:57" ht="12" customHeight="1" outlineLevel="1">
      <c r="B358" s="137" t="str">
        <f>Precificação!B347</f>
        <v>AN SR. ADM/CRP - Equipe_01</v>
      </c>
      <c r="D358" s="512"/>
      <c r="E358" s="143" t="str">
        <f>IF('Cronog. e Histog.'!G486&gt;0,'Cronog. e Histog.'!G486,"")</f>
        <v>AN SR. ADM/CRP</v>
      </c>
      <c r="G358" s="179">
        <f t="shared" si="272"/>
        <v>0</v>
      </c>
      <c r="H358" s="110">
        <f>IFERROR(INDEX('Base Salarial'!$D$5:$F$25,MATCH(E358,'Base Salarial'!$G$5:$G$25,0),MATCH(I358,'Base Salarial'!$D$4:$F$4,0)),"")</f>
        <v>7000</v>
      </c>
      <c r="I358" s="78" t="str">
        <f>IFERROR(INDEX(Tarefas!$BQ$29:$FK$29,MATCH(E358,Tarefas!$BQ$30:$FK$30,0)),"")</f>
        <v>Mensalista</v>
      </c>
      <c r="J358" s="81">
        <f>IF(I358="horista",H358*Dashboard!$D$15,IF(OR(I358="Mensalista",I358="PJ"),H358,))</f>
        <v>7000</v>
      </c>
      <c r="K358" s="81">
        <f>IF(I358="PJ",J358,ROUND(J358*(1+Dashboard!$D$22),2))</f>
        <v>7420</v>
      </c>
      <c r="L358" s="77"/>
      <c r="M358" s="180"/>
      <c r="P358" s="109">
        <f>IF($BD358&gt;0,(((($BD358/Dashboard!$D$15)*(1+Precificação!$W$589)))+$P$26)*(1+Dashboard!$D$35),0)</f>
        <v>0</v>
      </c>
      <c r="Q358" s="109">
        <f>IF($BD358&gt;0,(((($BD358/Dashboard!$D$23)+(1+Precificação!$W$589))*(1+Q$28))+$P$26)*(1+Dashboard!$D$35),0)</f>
        <v>0</v>
      </c>
      <c r="R358" s="109">
        <f>IF($BD358&gt;0,(((($BD358/Dashboard!$D$23)+(1+Precificação!$W$589))*(1+R$28))+$P$26)*(1+Dashboard!$D$35),0)</f>
        <v>0</v>
      </c>
      <c r="S358" s="109">
        <f>IF($BD358&gt;0,(((($BD358/Dashboard!$D$23)+(1+Precificação!$W$589))*(1+S$28))+$P$26)*(1+Dashboard!$D$35),0)</f>
        <v>0</v>
      </c>
      <c r="U358" s="109">
        <f t="shared" si="273"/>
        <v>0</v>
      </c>
      <c r="V358" s="109">
        <f t="shared" si="274"/>
        <v>0</v>
      </c>
      <c r="W358" s="109">
        <f t="shared" si="275"/>
        <v>0</v>
      </c>
      <c r="X358" s="109">
        <f t="shared" si="276"/>
        <v>0</v>
      </c>
      <c r="AA358" s="109">
        <f>IF($BD358&gt;0,(((($BD358/Dashboard!$D$23)*(1+Precificação!$W$589)))+$AA$26)*(1+Dashboard!$D$35),0)</f>
        <v>0</v>
      </c>
      <c r="AB358" s="109">
        <f>IF($BD358&gt;0,(((($BD358/Dashboard!$D$23)*(1+Precificação!$W$589))*(1+AB$28))+$AA$26)*(1+Dashboard!$D$35),0)</f>
        <v>0</v>
      </c>
      <c r="AC358" s="109">
        <f>IF($BD358&gt;0,(((($BD358/Dashboard!$D$23)*(1+Precificação!$W$589))*(1+AC$28))+$AA$26)*(1+Dashboard!$D$35),0)</f>
        <v>0</v>
      </c>
      <c r="AD358" s="109">
        <f>IF($BD358&gt;0,(((($BD358/Dashboard!$D$23)*(1+Precificação!$W$589))*(1+AD$28))+$AA$26)*(1+Dashboard!$D$35),0)</f>
        <v>0</v>
      </c>
      <c r="AF358" s="109">
        <f t="shared" si="277"/>
        <v>0</v>
      </c>
      <c r="AG358" s="109">
        <f t="shared" si="278"/>
        <v>0</v>
      </c>
      <c r="AH358" s="109">
        <f t="shared" si="279"/>
        <v>0</v>
      </c>
      <c r="AI358" s="109">
        <f t="shared" si="280"/>
        <v>0</v>
      </c>
      <c r="AL358" s="109">
        <f>IF($BD358&gt;0,(((($BD358/Dashboard!$D$23)*(1+Precificação!$W$589)))+$AL$26)*(1+Dashboard!$D$35),0)</f>
        <v>0</v>
      </c>
      <c r="AM358" s="109">
        <f>IF($BD358&gt;0,(((($BD358/Dashboard!$D$23)*(1+Precificação!$W$589))*(1+AM$28))+$AA$26)*(1+Dashboard!$D$35),0)</f>
        <v>0</v>
      </c>
      <c r="AN358" s="109">
        <f>IF($BD358&gt;0,(((($BD358/Dashboard!$D$23)*(1+Precificação!$W$589))*(1+AN$28))+$AA$26)*(1+Dashboard!$D$35),0)</f>
        <v>0</v>
      </c>
      <c r="AO358" s="109">
        <f>IF($BD358&gt;0,(((($BD358/Dashboard!$D$23)*(1+Precificação!$W$589))*(1+AO$28))+$AA$26)*(1+Dashboard!$D$35),0)</f>
        <v>0</v>
      </c>
      <c r="AQ358" s="109">
        <f t="shared" si="281"/>
        <v>0</v>
      </c>
      <c r="AR358" s="109">
        <f t="shared" si="282"/>
        <v>0</v>
      </c>
      <c r="AS358" s="109">
        <f t="shared" si="283"/>
        <v>0</v>
      </c>
      <c r="AT358" s="109">
        <f t="shared" si="284"/>
        <v>0</v>
      </c>
      <c r="AW358" s="144">
        <f>VLOOKUP(B358,'Cronog. e Histog.'!$B$213:$BT$688,71,0)</f>
        <v>0</v>
      </c>
      <c r="AX358" s="144">
        <f>VLOOKUP(B358,'Cronog. e Histog.'!$B$213:$BU$688,72,0)</f>
        <v>0</v>
      </c>
      <c r="AY358" s="144">
        <f>$AW358*$AX358*Dashboard!$D$15</f>
        <v>0</v>
      </c>
      <c r="AZ358" s="144">
        <f>VLOOKUP(B358,Precificação!$B$96:$BM$533,54,0)</f>
        <v>0</v>
      </c>
      <c r="BA358" s="144">
        <f>VLOOKUP(B358,Precificação!$B$96:$BR$533,58,0)</f>
        <v>0</v>
      </c>
      <c r="BB358" s="144">
        <f>VLOOKUP(B358,Precificação!$B$96:$BW$533,62,0)</f>
        <v>0</v>
      </c>
      <c r="BC358" s="144">
        <f t="shared" si="285"/>
        <v>0</v>
      </c>
      <c r="BD358" s="109">
        <f>IFERROR(VLOOKUP(B358,Precificação!$B$96:$S$533,13,0),0)</f>
        <v>0</v>
      </c>
      <c r="BE358" s="109">
        <f>IFERROR(VLOOKUP(B358,Precificação!$B$96:$U$533,15,0)/(Precificação!$U$4+Precificação!$U$91),0)*Dashboard!$T$3</f>
        <v>0</v>
      </c>
    </row>
    <row r="359" spans="2:57" ht="12" customHeight="1" outlineLevel="1">
      <c r="B359" s="137" t="str">
        <f>Precificação!B348</f>
        <v>AN PL. ADM/CRP - Equipe_01</v>
      </c>
      <c r="D359" s="512"/>
      <c r="E359" s="143" t="str">
        <f>IF('Cronog. e Histog.'!G487&gt;0,'Cronog. e Histog.'!G487,"")</f>
        <v>AN PL. ADM/CRP</v>
      </c>
      <c r="G359" s="179">
        <f t="shared" si="272"/>
        <v>0</v>
      </c>
      <c r="H359" s="110">
        <f>IFERROR(INDEX('Base Salarial'!$D$5:$F$25,MATCH(E359,'Base Salarial'!$G$5:$G$25,0),MATCH(I359,'Base Salarial'!$D$4:$F$4,0)),"")</f>
        <v>5000</v>
      </c>
      <c r="I359" s="78" t="str">
        <f>IFERROR(INDEX(Tarefas!$BQ$29:$FK$29,MATCH(E359,Tarefas!$BQ$30:$FK$30,0)),"")</f>
        <v>Mensalista</v>
      </c>
      <c r="J359" s="81">
        <f>IF(I359="horista",H359*Dashboard!$D$15,IF(OR(I359="Mensalista",I359="PJ"),H359,))</f>
        <v>5000</v>
      </c>
      <c r="K359" s="81">
        <f>IF(I359="PJ",J359,ROUND(J359*(1+Dashboard!$D$22),2))</f>
        <v>5300</v>
      </c>
      <c r="L359" s="77"/>
      <c r="M359" s="180"/>
      <c r="P359" s="109">
        <f>IF($BD359&gt;0,(((($BD359/Dashboard!$D$15)*(1+Precificação!$W$589)))+$P$26)*(1+Dashboard!$D$35),0)</f>
        <v>0</v>
      </c>
      <c r="Q359" s="109">
        <f>IF($BD359&gt;0,(((($BD359/Dashboard!$D$23)+(1+Precificação!$W$589))*(1+Q$28))+$P$26)*(1+Dashboard!$D$35),0)</f>
        <v>0</v>
      </c>
      <c r="R359" s="109">
        <f>IF($BD359&gt;0,(((($BD359/Dashboard!$D$23)+(1+Precificação!$W$589))*(1+R$28))+$P$26)*(1+Dashboard!$D$35),0)</f>
        <v>0</v>
      </c>
      <c r="S359" s="109">
        <f>IF($BD359&gt;0,(((($BD359/Dashboard!$D$23)+(1+Precificação!$W$589))*(1+S$28))+$P$26)*(1+Dashboard!$D$35),0)</f>
        <v>0</v>
      </c>
      <c r="U359" s="109">
        <f t="shared" si="273"/>
        <v>0</v>
      </c>
      <c r="V359" s="109">
        <f t="shared" si="274"/>
        <v>0</v>
      </c>
      <c r="W359" s="109">
        <f t="shared" si="275"/>
        <v>0</v>
      </c>
      <c r="X359" s="109">
        <f t="shared" si="276"/>
        <v>0</v>
      </c>
      <c r="AA359" s="109">
        <f>IF($BD359&gt;0,(((($BD359/Dashboard!$D$23)*(1+Precificação!$W$589)))+$AA$26)*(1+Dashboard!$D$35),0)</f>
        <v>0</v>
      </c>
      <c r="AB359" s="109">
        <f>IF($BD359&gt;0,(((($BD359/Dashboard!$D$23)*(1+Precificação!$W$589))*(1+AB$28))+$AA$26)*(1+Dashboard!$D$35),0)</f>
        <v>0</v>
      </c>
      <c r="AC359" s="109">
        <f>IF($BD359&gt;0,(((($BD359/Dashboard!$D$23)*(1+Precificação!$W$589))*(1+AC$28))+$AA$26)*(1+Dashboard!$D$35),0)</f>
        <v>0</v>
      </c>
      <c r="AD359" s="109">
        <f>IF($BD359&gt;0,(((($BD359/Dashboard!$D$23)*(1+Precificação!$W$589))*(1+AD$28))+$AA$26)*(1+Dashboard!$D$35),0)</f>
        <v>0</v>
      </c>
      <c r="AF359" s="109">
        <f t="shared" si="277"/>
        <v>0</v>
      </c>
      <c r="AG359" s="109">
        <f t="shared" si="278"/>
        <v>0</v>
      </c>
      <c r="AH359" s="109">
        <f t="shared" si="279"/>
        <v>0</v>
      </c>
      <c r="AI359" s="109">
        <f t="shared" si="280"/>
        <v>0</v>
      </c>
      <c r="AL359" s="109">
        <f>IF($BD359&gt;0,(((($BD359/Dashboard!$D$23)*(1+Precificação!$W$589)))+$AL$26)*(1+Dashboard!$D$35),0)</f>
        <v>0</v>
      </c>
      <c r="AM359" s="109">
        <f>IF($BD359&gt;0,(((($BD359/Dashboard!$D$23)*(1+Precificação!$W$589))*(1+AM$28))+$AA$26)*(1+Dashboard!$D$35),0)</f>
        <v>0</v>
      </c>
      <c r="AN359" s="109">
        <f>IF($BD359&gt;0,(((($BD359/Dashboard!$D$23)*(1+Precificação!$W$589))*(1+AN$28))+$AA$26)*(1+Dashboard!$D$35),0)</f>
        <v>0</v>
      </c>
      <c r="AO359" s="109">
        <f>IF($BD359&gt;0,(((($BD359/Dashboard!$D$23)*(1+Precificação!$W$589))*(1+AO$28))+$AA$26)*(1+Dashboard!$D$35),0)</f>
        <v>0</v>
      </c>
      <c r="AQ359" s="109">
        <f t="shared" si="281"/>
        <v>0</v>
      </c>
      <c r="AR359" s="109">
        <f t="shared" si="282"/>
        <v>0</v>
      </c>
      <c r="AS359" s="109">
        <f t="shared" si="283"/>
        <v>0</v>
      </c>
      <c r="AT359" s="109">
        <f t="shared" si="284"/>
        <v>0</v>
      </c>
      <c r="AW359" s="144">
        <f>VLOOKUP(B359,'Cronog. e Histog.'!$B$213:$BT$688,71,0)</f>
        <v>0</v>
      </c>
      <c r="AX359" s="144">
        <f>VLOOKUP(B359,'Cronog. e Histog.'!$B$213:$BU$688,72,0)</f>
        <v>0</v>
      </c>
      <c r="AY359" s="144">
        <f>$AW359*$AX359*Dashboard!$D$15</f>
        <v>0</v>
      </c>
      <c r="AZ359" s="144">
        <f>VLOOKUP(B359,Precificação!$B$96:$BM$533,54,0)</f>
        <v>0</v>
      </c>
      <c r="BA359" s="144">
        <f>VLOOKUP(B359,Precificação!$B$96:$BR$533,58,0)</f>
        <v>0</v>
      </c>
      <c r="BB359" s="144">
        <f>VLOOKUP(B359,Precificação!$B$96:$BW$533,62,0)</f>
        <v>0</v>
      </c>
      <c r="BC359" s="144">
        <f t="shared" si="285"/>
        <v>0</v>
      </c>
      <c r="BD359" s="109">
        <f>IFERROR(VLOOKUP(B359,Precificação!$B$96:$S$533,13,0),0)</f>
        <v>0</v>
      </c>
      <c r="BE359" s="109">
        <f>IFERROR(VLOOKUP(B359,Precificação!$B$96:$U$533,15,0)/(Precificação!$U$4+Precificação!$U$91),0)*Dashboard!$T$3</f>
        <v>0</v>
      </c>
    </row>
    <row r="360" spans="2:57" ht="12" customHeight="1" outlineLevel="1">
      <c r="B360" s="137" t="str">
        <f>Precificação!B349</f>
        <v>AN JR. ADM/CRP - Equipe_01</v>
      </c>
      <c r="D360" s="512"/>
      <c r="E360" s="143" t="str">
        <f>IF('Cronog. e Histog.'!G488&gt;0,'Cronog. e Histog.'!G488,"")</f>
        <v>AN JR. ADM/CRP</v>
      </c>
      <c r="G360" s="179">
        <f t="shared" si="272"/>
        <v>0</v>
      </c>
      <c r="H360" s="110">
        <f>IFERROR(INDEX('Base Salarial'!$D$5:$F$25,MATCH(E360,'Base Salarial'!$G$5:$G$25,0),MATCH(I360,'Base Salarial'!$D$4:$F$4,0)),"")</f>
        <v>3500</v>
      </c>
      <c r="I360" s="78" t="str">
        <f>IFERROR(INDEX(Tarefas!$BQ$29:$FK$29,MATCH(E360,Tarefas!$BQ$30:$FK$30,0)),"")</f>
        <v>Mensalista</v>
      </c>
      <c r="J360" s="81">
        <f>IF(I360="horista",H360*Dashboard!$D$15,IF(OR(I360="Mensalista",I360="PJ"),H360,))</f>
        <v>3500</v>
      </c>
      <c r="K360" s="81">
        <f>IF(I360="PJ",J360,ROUND(J360*(1+Dashboard!$D$22),2))</f>
        <v>3710</v>
      </c>
      <c r="L360" s="77"/>
      <c r="M360" s="180"/>
      <c r="P360" s="109">
        <f>IF($BD360&gt;0,(((($BD360/Dashboard!$D$15)*(1+Precificação!$W$589)))+$P$26)*(1+Dashboard!$D$35),0)</f>
        <v>0</v>
      </c>
      <c r="Q360" s="109">
        <f>IF($BD360&gt;0,(((($BD360/Dashboard!$D$23)+(1+Precificação!$W$589))*(1+Q$28))+$P$26)*(1+Dashboard!$D$35),0)</f>
        <v>0</v>
      </c>
      <c r="R360" s="109">
        <f>IF($BD360&gt;0,(((($BD360/Dashboard!$D$23)+(1+Precificação!$W$589))*(1+R$28))+$P$26)*(1+Dashboard!$D$35),0)</f>
        <v>0</v>
      </c>
      <c r="S360" s="109">
        <f>IF($BD360&gt;0,(((($BD360/Dashboard!$D$23)+(1+Precificação!$W$589))*(1+S$28))+$P$26)*(1+Dashboard!$D$35),0)</f>
        <v>0</v>
      </c>
      <c r="U360" s="109">
        <f t="shared" si="273"/>
        <v>0</v>
      </c>
      <c r="V360" s="109">
        <f t="shared" si="274"/>
        <v>0</v>
      </c>
      <c r="W360" s="109">
        <f t="shared" si="275"/>
        <v>0</v>
      </c>
      <c r="X360" s="109">
        <f t="shared" si="276"/>
        <v>0</v>
      </c>
      <c r="AA360" s="109">
        <f>IF($BD360&gt;0,(((($BD360/Dashboard!$D$23)*(1+Precificação!$W$589)))+$AA$26)*(1+Dashboard!$D$35),0)</f>
        <v>0</v>
      </c>
      <c r="AB360" s="109">
        <f>IF($BD360&gt;0,(((($BD360/Dashboard!$D$23)*(1+Precificação!$W$589))*(1+AB$28))+$AA$26)*(1+Dashboard!$D$35),0)</f>
        <v>0</v>
      </c>
      <c r="AC360" s="109">
        <f>IF($BD360&gt;0,(((($BD360/Dashboard!$D$23)*(1+Precificação!$W$589))*(1+AC$28))+$AA$26)*(1+Dashboard!$D$35),0)</f>
        <v>0</v>
      </c>
      <c r="AD360" s="109">
        <f>IF($BD360&gt;0,(((($BD360/Dashboard!$D$23)*(1+Precificação!$W$589))*(1+AD$28))+$AA$26)*(1+Dashboard!$D$35),0)</f>
        <v>0</v>
      </c>
      <c r="AF360" s="109">
        <f t="shared" si="277"/>
        <v>0</v>
      </c>
      <c r="AG360" s="109">
        <f t="shared" si="278"/>
        <v>0</v>
      </c>
      <c r="AH360" s="109">
        <f t="shared" si="279"/>
        <v>0</v>
      </c>
      <c r="AI360" s="109">
        <f t="shared" si="280"/>
        <v>0</v>
      </c>
      <c r="AL360" s="109">
        <f>IF($BD360&gt;0,(((($BD360/Dashboard!$D$23)*(1+Precificação!$W$589)))+$AL$26)*(1+Dashboard!$D$35),0)</f>
        <v>0</v>
      </c>
      <c r="AM360" s="109">
        <f>IF($BD360&gt;0,(((($BD360/Dashboard!$D$23)*(1+Precificação!$W$589))*(1+AM$28))+$AA$26)*(1+Dashboard!$D$35),0)</f>
        <v>0</v>
      </c>
      <c r="AN360" s="109">
        <f>IF($BD360&gt;0,(((($BD360/Dashboard!$D$23)*(1+Precificação!$W$589))*(1+AN$28))+$AA$26)*(1+Dashboard!$D$35),0)</f>
        <v>0</v>
      </c>
      <c r="AO360" s="109">
        <f>IF($BD360&gt;0,(((($BD360/Dashboard!$D$23)*(1+Precificação!$W$589))*(1+AO$28))+$AA$26)*(1+Dashboard!$D$35),0)</f>
        <v>0</v>
      </c>
      <c r="AQ360" s="109">
        <f t="shared" si="281"/>
        <v>0</v>
      </c>
      <c r="AR360" s="109">
        <f t="shared" si="282"/>
        <v>0</v>
      </c>
      <c r="AS360" s="109">
        <f t="shared" si="283"/>
        <v>0</v>
      </c>
      <c r="AT360" s="109">
        <f t="shared" si="284"/>
        <v>0</v>
      </c>
      <c r="AW360" s="144">
        <f>VLOOKUP(B360,'Cronog. e Histog.'!$B$213:$BT$688,71,0)</f>
        <v>0</v>
      </c>
      <c r="AX360" s="144">
        <f>VLOOKUP(B360,'Cronog. e Histog.'!$B$213:$BU$688,72,0)</f>
        <v>0</v>
      </c>
      <c r="AY360" s="144">
        <f>$AW360*$AX360*Dashboard!$D$15</f>
        <v>0</v>
      </c>
      <c r="AZ360" s="144">
        <f>VLOOKUP(B360,Precificação!$B$96:$BM$533,54,0)</f>
        <v>0</v>
      </c>
      <c r="BA360" s="144">
        <f>VLOOKUP(B360,Precificação!$B$96:$BR$533,58,0)</f>
        <v>0</v>
      </c>
      <c r="BB360" s="144">
        <f>VLOOKUP(B360,Precificação!$B$96:$BW$533,62,0)</f>
        <v>0</v>
      </c>
      <c r="BC360" s="144">
        <f t="shared" si="285"/>
        <v>0</v>
      </c>
      <c r="BD360" s="109">
        <f>IFERROR(VLOOKUP(B360,Precificação!$B$96:$S$533,13,0),0)</f>
        <v>0</v>
      </c>
      <c r="BE360" s="109">
        <f>IFERROR(VLOOKUP(B360,Precificação!$B$96:$U$533,15,0)/(Precificação!$U$4+Precificação!$U$91),0)*Dashboard!$T$3</f>
        <v>0</v>
      </c>
    </row>
    <row r="361" spans="2:57" ht="12" customHeight="1" outlineLevel="1">
      <c r="B361" s="137" t="str">
        <f>Precificação!B350</f>
        <v>TEC III - Equipe_01</v>
      </c>
      <c r="D361" s="512"/>
      <c r="E361" s="143" t="str">
        <f>IF('Cronog. e Histog.'!G489&gt;0,'Cronog. e Histog.'!G489,"")</f>
        <v>TEC III</v>
      </c>
      <c r="G361" s="179">
        <f t="shared" si="272"/>
        <v>0</v>
      </c>
      <c r="H361" s="110">
        <f>IFERROR(INDEX('Base Salarial'!$D$5:$F$25,MATCH(E361,'Base Salarial'!$G$5:$G$25,0),MATCH(I361,'Base Salarial'!$D$4:$F$4,0)),"")</f>
        <v>6000</v>
      </c>
      <c r="I361" s="78" t="str">
        <f>IFERROR(INDEX(Tarefas!$BQ$29:$FK$29,MATCH(E361,Tarefas!$BQ$30:$FK$30,0)),"")</f>
        <v>Mensalista</v>
      </c>
      <c r="J361" s="81">
        <f>IF(I361="horista",H361*Dashboard!$D$15,IF(OR(I361="Mensalista",I361="PJ"),H361,))</f>
        <v>6000</v>
      </c>
      <c r="K361" s="81">
        <f>IF(I361="PJ",J361,ROUND(J361*(1+Dashboard!$D$22),2))</f>
        <v>6360</v>
      </c>
      <c r="L361" s="77"/>
      <c r="M361" s="180"/>
      <c r="P361" s="109">
        <f>IF($BD361&gt;0,(((($BD361/Dashboard!$D$15)*(1+Precificação!$W$589)))+$P$26)*(1+Dashboard!$D$35),0)</f>
        <v>0</v>
      </c>
      <c r="Q361" s="109">
        <f>IF($BD361&gt;0,(((($BD361/Dashboard!$D$23)+(1+Precificação!$W$589))*(1+Q$28))+$P$26)*(1+Dashboard!$D$35),0)</f>
        <v>0</v>
      </c>
      <c r="R361" s="109">
        <f>IF($BD361&gt;0,(((($BD361/Dashboard!$D$23)+(1+Precificação!$W$589))*(1+R$28))+$P$26)*(1+Dashboard!$D$35),0)</f>
        <v>0</v>
      </c>
      <c r="S361" s="109">
        <f>IF($BD361&gt;0,(((($BD361/Dashboard!$D$23)+(1+Precificação!$W$589))*(1+S$28))+$P$26)*(1+Dashboard!$D$35),0)</f>
        <v>0</v>
      </c>
      <c r="U361" s="109">
        <f t="shared" si="273"/>
        <v>0</v>
      </c>
      <c r="V361" s="109">
        <f t="shared" si="274"/>
        <v>0</v>
      </c>
      <c r="W361" s="109">
        <f t="shared" si="275"/>
        <v>0</v>
      </c>
      <c r="X361" s="109">
        <f t="shared" si="276"/>
        <v>0</v>
      </c>
      <c r="AA361" s="109">
        <f>IF($BD361&gt;0,(((($BD361/Dashboard!$D$23)*(1+Precificação!$W$589)))+$AA$26)*(1+Dashboard!$D$35),0)</f>
        <v>0</v>
      </c>
      <c r="AB361" s="109">
        <f>IF($BD361&gt;0,(((($BD361/Dashboard!$D$23)*(1+Precificação!$W$589))*(1+AB$28))+$AA$26)*(1+Dashboard!$D$35),0)</f>
        <v>0</v>
      </c>
      <c r="AC361" s="109">
        <f>IF($BD361&gt;0,(((($BD361/Dashboard!$D$23)*(1+Precificação!$W$589))*(1+AC$28))+$AA$26)*(1+Dashboard!$D$35),0)</f>
        <v>0</v>
      </c>
      <c r="AD361" s="109">
        <f>IF($BD361&gt;0,(((($BD361/Dashboard!$D$23)*(1+Precificação!$W$589))*(1+AD$28))+$AA$26)*(1+Dashboard!$D$35),0)</f>
        <v>0</v>
      </c>
      <c r="AF361" s="109">
        <f t="shared" si="277"/>
        <v>0</v>
      </c>
      <c r="AG361" s="109">
        <f t="shared" si="278"/>
        <v>0</v>
      </c>
      <c r="AH361" s="109">
        <f t="shared" si="279"/>
        <v>0</v>
      </c>
      <c r="AI361" s="109">
        <f t="shared" si="280"/>
        <v>0</v>
      </c>
      <c r="AL361" s="109">
        <f>IF($BD361&gt;0,(((($BD361/Dashboard!$D$23)*(1+Precificação!$W$589)))+$AL$26)*(1+Dashboard!$D$35),0)</f>
        <v>0</v>
      </c>
      <c r="AM361" s="109">
        <f>IF($BD361&gt;0,(((($BD361/Dashboard!$D$23)*(1+Precificação!$W$589))*(1+AM$28))+$AA$26)*(1+Dashboard!$D$35),0)</f>
        <v>0</v>
      </c>
      <c r="AN361" s="109">
        <f>IF($BD361&gt;0,(((($BD361/Dashboard!$D$23)*(1+Precificação!$W$589))*(1+AN$28))+$AA$26)*(1+Dashboard!$D$35),0)</f>
        <v>0</v>
      </c>
      <c r="AO361" s="109">
        <f>IF($BD361&gt;0,(((($BD361/Dashboard!$D$23)*(1+Precificação!$W$589))*(1+AO$28))+$AA$26)*(1+Dashboard!$D$35),0)</f>
        <v>0</v>
      </c>
      <c r="AQ361" s="109">
        <f t="shared" si="281"/>
        <v>0</v>
      </c>
      <c r="AR361" s="109">
        <f t="shared" si="282"/>
        <v>0</v>
      </c>
      <c r="AS361" s="109">
        <f t="shared" si="283"/>
        <v>0</v>
      </c>
      <c r="AT361" s="109">
        <f t="shared" si="284"/>
        <v>0</v>
      </c>
      <c r="AW361" s="144">
        <f>VLOOKUP(B361,'Cronog. e Histog.'!$B$213:$BT$688,71,0)</f>
        <v>0</v>
      </c>
      <c r="AX361" s="144">
        <f>VLOOKUP(B361,'Cronog. e Histog.'!$B$213:$BU$688,72,0)</f>
        <v>0</v>
      </c>
      <c r="AY361" s="144">
        <f>$AW361*$AX361*Dashboard!$D$15</f>
        <v>0</v>
      </c>
      <c r="AZ361" s="144">
        <f>VLOOKUP(B361,Precificação!$B$96:$BM$533,54,0)</f>
        <v>0</v>
      </c>
      <c r="BA361" s="144">
        <f>VLOOKUP(B361,Precificação!$B$96:$BR$533,58,0)</f>
        <v>0</v>
      </c>
      <c r="BB361" s="144">
        <f>VLOOKUP(B361,Precificação!$B$96:$BW$533,62,0)</f>
        <v>0</v>
      </c>
      <c r="BC361" s="144">
        <f t="shared" si="285"/>
        <v>0</v>
      </c>
      <c r="BD361" s="109">
        <f>IFERROR(VLOOKUP(B361,Precificação!$B$96:$S$533,13,0),0)</f>
        <v>0</v>
      </c>
      <c r="BE361" s="109">
        <f>IFERROR(VLOOKUP(B361,Precificação!$B$96:$U$533,15,0)/(Precificação!$U$4+Precificação!$U$91),0)*Dashboard!$T$3</f>
        <v>0</v>
      </c>
    </row>
    <row r="362" spans="2:57" ht="12" customHeight="1" outlineLevel="1">
      <c r="B362" s="137" t="str">
        <f>Precificação!B351</f>
        <v>TEC II - Equipe_01</v>
      </c>
      <c r="D362" s="512"/>
      <c r="E362" s="143" t="str">
        <f>IF('Cronog. e Histog.'!G490&gt;0,'Cronog. e Histog.'!G490,"")</f>
        <v>TEC II</v>
      </c>
      <c r="G362" s="179">
        <f t="shared" si="272"/>
        <v>0</v>
      </c>
      <c r="H362" s="110">
        <f>IFERROR(INDEX('Base Salarial'!$D$5:$F$25,MATCH(E362,'Base Salarial'!$G$5:$G$25,0),MATCH(I362,'Base Salarial'!$D$4:$F$4,0)),"")</f>
        <v>4500</v>
      </c>
      <c r="I362" s="78" t="str">
        <f>IFERROR(INDEX(Tarefas!$BQ$29:$FK$29,MATCH(E362,Tarefas!$BQ$30:$FK$30,0)),"")</f>
        <v>Mensalista</v>
      </c>
      <c r="J362" s="81">
        <f>IF(I362="horista",H362*Dashboard!$D$15,IF(OR(I362="Mensalista",I362="PJ"),H362,))</f>
        <v>4500</v>
      </c>
      <c r="K362" s="81">
        <f>IF(I362="PJ",J362,ROUND(J362*(1+Dashboard!$D$22),2))</f>
        <v>4770</v>
      </c>
      <c r="L362" s="77"/>
      <c r="M362" s="180"/>
      <c r="P362" s="109">
        <f>IF($BD362&gt;0,(((($BD362/Dashboard!$D$15)*(1+Precificação!$W$589)))+$P$26)*(1+Dashboard!$D$35),0)</f>
        <v>0</v>
      </c>
      <c r="Q362" s="109">
        <f>IF($BD362&gt;0,(((($BD362/Dashboard!$D$23)+(1+Precificação!$W$589))*(1+Q$28))+$P$26)*(1+Dashboard!$D$35),0)</f>
        <v>0</v>
      </c>
      <c r="R362" s="109">
        <f>IF($BD362&gt;0,(((($BD362/Dashboard!$D$23)+(1+Precificação!$W$589))*(1+R$28))+$P$26)*(1+Dashboard!$D$35),0)</f>
        <v>0</v>
      </c>
      <c r="S362" s="109">
        <f>IF($BD362&gt;0,(((($BD362/Dashboard!$D$23)+(1+Precificação!$W$589))*(1+S$28))+$P$26)*(1+Dashboard!$D$35),0)</f>
        <v>0</v>
      </c>
      <c r="U362" s="109">
        <f t="shared" si="273"/>
        <v>0</v>
      </c>
      <c r="V362" s="109">
        <f t="shared" si="274"/>
        <v>0</v>
      </c>
      <c r="W362" s="109">
        <f t="shared" si="275"/>
        <v>0</v>
      </c>
      <c r="X362" s="109">
        <f t="shared" si="276"/>
        <v>0</v>
      </c>
      <c r="AA362" s="109">
        <f>IF($BD362&gt;0,(((($BD362/Dashboard!$D$23)*(1+Precificação!$W$589)))+$AA$26)*(1+Dashboard!$D$35),0)</f>
        <v>0</v>
      </c>
      <c r="AB362" s="109">
        <f>IF($BD362&gt;0,(((($BD362/Dashboard!$D$23)*(1+Precificação!$W$589))*(1+AB$28))+$AA$26)*(1+Dashboard!$D$35),0)</f>
        <v>0</v>
      </c>
      <c r="AC362" s="109">
        <f>IF($BD362&gt;0,(((($BD362/Dashboard!$D$23)*(1+Precificação!$W$589))*(1+AC$28))+$AA$26)*(1+Dashboard!$D$35),0)</f>
        <v>0</v>
      </c>
      <c r="AD362" s="109">
        <f>IF($BD362&gt;0,(((($BD362/Dashboard!$D$23)*(1+Precificação!$W$589))*(1+AD$28))+$AA$26)*(1+Dashboard!$D$35),0)</f>
        <v>0</v>
      </c>
      <c r="AF362" s="109">
        <f t="shared" si="277"/>
        <v>0</v>
      </c>
      <c r="AG362" s="109">
        <f t="shared" si="278"/>
        <v>0</v>
      </c>
      <c r="AH362" s="109">
        <f t="shared" si="279"/>
        <v>0</v>
      </c>
      <c r="AI362" s="109">
        <f t="shared" si="280"/>
        <v>0</v>
      </c>
      <c r="AL362" s="109">
        <f>IF($BD362&gt;0,(((($BD362/Dashboard!$D$23)*(1+Precificação!$W$589)))+$AL$26)*(1+Dashboard!$D$35),0)</f>
        <v>0</v>
      </c>
      <c r="AM362" s="109">
        <f>IF($BD362&gt;0,(((($BD362/Dashboard!$D$23)*(1+Precificação!$W$589))*(1+AM$28))+$AA$26)*(1+Dashboard!$D$35),0)</f>
        <v>0</v>
      </c>
      <c r="AN362" s="109">
        <f>IF($BD362&gt;0,(((($BD362/Dashboard!$D$23)*(1+Precificação!$W$589))*(1+AN$28))+$AA$26)*(1+Dashboard!$D$35),0)</f>
        <v>0</v>
      </c>
      <c r="AO362" s="109">
        <f>IF($BD362&gt;0,(((($BD362/Dashboard!$D$23)*(1+Precificação!$W$589))*(1+AO$28))+$AA$26)*(1+Dashboard!$D$35),0)</f>
        <v>0</v>
      </c>
      <c r="AQ362" s="109">
        <f t="shared" si="281"/>
        <v>0</v>
      </c>
      <c r="AR362" s="109">
        <f t="shared" si="282"/>
        <v>0</v>
      </c>
      <c r="AS362" s="109">
        <f t="shared" si="283"/>
        <v>0</v>
      </c>
      <c r="AT362" s="109">
        <f t="shared" si="284"/>
        <v>0</v>
      </c>
      <c r="AW362" s="144">
        <f>VLOOKUP(B362,'Cronog. e Histog.'!$B$213:$BT$688,71,0)</f>
        <v>0</v>
      </c>
      <c r="AX362" s="144">
        <f>VLOOKUP(B362,'Cronog. e Histog.'!$B$213:$BU$688,72,0)</f>
        <v>0</v>
      </c>
      <c r="AY362" s="144">
        <f>$AW362*$AX362*Dashboard!$D$15</f>
        <v>0</v>
      </c>
      <c r="AZ362" s="144">
        <f>VLOOKUP(B362,Precificação!$B$96:$BM$533,54,0)</f>
        <v>0</v>
      </c>
      <c r="BA362" s="144">
        <f>VLOOKUP(B362,Precificação!$B$96:$BR$533,58,0)</f>
        <v>0</v>
      </c>
      <c r="BB362" s="144">
        <f>VLOOKUP(B362,Precificação!$B$96:$BW$533,62,0)</f>
        <v>0</v>
      </c>
      <c r="BC362" s="144">
        <f t="shared" si="285"/>
        <v>0</v>
      </c>
      <c r="BD362" s="109">
        <f>IFERROR(VLOOKUP(B362,Precificação!$B$96:$S$533,13,0),0)</f>
        <v>0</v>
      </c>
      <c r="BE362" s="109">
        <f>IFERROR(VLOOKUP(B362,Precificação!$B$96:$U$533,15,0)/(Precificação!$U$4+Precificação!$U$91),0)*Dashboard!$T$3</f>
        <v>0</v>
      </c>
    </row>
    <row r="363" spans="2:57" ht="12" customHeight="1" outlineLevel="1">
      <c r="B363" s="137" t="str">
        <f>Precificação!B352</f>
        <v>TEC I - Equipe_01</v>
      </c>
      <c r="D363" s="512"/>
      <c r="E363" s="143" t="str">
        <f>IF('Cronog. e Histog.'!G491&gt;0,'Cronog. e Histog.'!G491,"")</f>
        <v>TEC I</v>
      </c>
      <c r="G363" s="179">
        <f t="shared" si="272"/>
        <v>0</v>
      </c>
      <c r="H363" s="110">
        <f>IFERROR(INDEX('Base Salarial'!$D$5:$F$25,MATCH(E363,'Base Salarial'!$G$5:$G$25,0),MATCH(I363,'Base Salarial'!$D$4:$F$4,0)),"")</f>
        <v>3000</v>
      </c>
      <c r="I363" s="78" t="str">
        <f>IFERROR(INDEX(Tarefas!$BQ$29:$FK$29,MATCH(E363,Tarefas!$BQ$30:$FK$30,0)),"")</f>
        <v>Mensalista</v>
      </c>
      <c r="J363" s="81">
        <f>IF(I363="horista",H363*Dashboard!$D$15,IF(OR(I363="Mensalista",I363="PJ"),H363,))</f>
        <v>3000</v>
      </c>
      <c r="K363" s="81">
        <f>IF(I363="PJ",J363,ROUND(J363*(1+Dashboard!$D$22),2))</f>
        <v>3180</v>
      </c>
      <c r="L363" s="77"/>
      <c r="M363" s="180"/>
      <c r="P363" s="109">
        <f>IF($BD363&gt;0,(((($BD363/Dashboard!$D$15)*(1+Precificação!$W$589)))+$P$26)*(1+Dashboard!$D$35),0)</f>
        <v>0</v>
      </c>
      <c r="Q363" s="109">
        <f>IF($BD363&gt;0,(((($BD363/Dashboard!$D$23)+(1+Precificação!$W$589))*(1+Q$28))+$P$26)*(1+Dashboard!$D$35),0)</f>
        <v>0</v>
      </c>
      <c r="R363" s="109">
        <f>IF($BD363&gt;0,(((($BD363/Dashboard!$D$23)+(1+Precificação!$W$589))*(1+R$28))+$P$26)*(1+Dashboard!$D$35),0)</f>
        <v>0</v>
      </c>
      <c r="S363" s="109">
        <f>IF($BD363&gt;0,(((($BD363/Dashboard!$D$23)+(1+Precificação!$W$589))*(1+S$28))+$P$26)*(1+Dashboard!$D$35),0)</f>
        <v>0</v>
      </c>
      <c r="U363" s="109">
        <f t="shared" si="273"/>
        <v>0</v>
      </c>
      <c r="V363" s="109">
        <f t="shared" si="274"/>
        <v>0</v>
      </c>
      <c r="W363" s="109">
        <f t="shared" si="275"/>
        <v>0</v>
      </c>
      <c r="X363" s="109">
        <f t="shared" si="276"/>
        <v>0</v>
      </c>
      <c r="AA363" s="109">
        <f>IF($BD363&gt;0,(((($BD363/Dashboard!$D$23)*(1+Precificação!$W$589)))+$AA$26)*(1+Dashboard!$D$35),0)</f>
        <v>0</v>
      </c>
      <c r="AB363" s="109">
        <f>IF($BD363&gt;0,(((($BD363/Dashboard!$D$23)*(1+Precificação!$W$589))*(1+AB$28))+$AA$26)*(1+Dashboard!$D$35),0)</f>
        <v>0</v>
      </c>
      <c r="AC363" s="109">
        <f>IF($BD363&gt;0,(((($BD363/Dashboard!$D$23)*(1+Precificação!$W$589))*(1+AC$28))+$AA$26)*(1+Dashboard!$D$35),0)</f>
        <v>0</v>
      </c>
      <c r="AD363" s="109">
        <f>IF($BD363&gt;0,(((($BD363/Dashboard!$D$23)*(1+Precificação!$W$589))*(1+AD$28))+$AA$26)*(1+Dashboard!$D$35),0)</f>
        <v>0</v>
      </c>
      <c r="AF363" s="109">
        <f t="shared" si="277"/>
        <v>0</v>
      </c>
      <c r="AG363" s="109">
        <f t="shared" si="278"/>
        <v>0</v>
      </c>
      <c r="AH363" s="109">
        <f t="shared" si="279"/>
        <v>0</v>
      </c>
      <c r="AI363" s="109">
        <f t="shared" si="280"/>
        <v>0</v>
      </c>
      <c r="AL363" s="109">
        <f>IF($BD363&gt;0,(((($BD363/Dashboard!$D$23)*(1+Precificação!$W$589)))+$AL$26)*(1+Dashboard!$D$35),0)</f>
        <v>0</v>
      </c>
      <c r="AM363" s="109">
        <f>IF($BD363&gt;0,(((($BD363/Dashboard!$D$23)*(1+Precificação!$W$589))*(1+AM$28))+$AA$26)*(1+Dashboard!$D$35),0)</f>
        <v>0</v>
      </c>
      <c r="AN363" s="109">
        <f>IF($BD363&gt;0,(((($BD363/Dashboard!$D$23)*(1+Precificação!$W$589))*(1+AN$28))+$AA$26)*(1+Dashboard!$D$35),0)</f>
        <v>0</v>
      </c>
      <c r="AO363" s="109">
        <f>IF($BD363&gt;0,(((($BD363/Dashboard!$D$23)*(1+Precificação!$W$589))*(1+AO$28))+$AA$26)*(1+Dashboard!$D$35),0)</f>
        <v>0</v>
      </c>
      <c r="AQ363" s="109">
        <f t="shared" si="281"/>
        <v>0</v>
      </c>
      <c r="AR363" s="109">
        <f t="shared" si="282"/>
        <v>0</v>
      </c>
      <c r="AS363" s="109">
        <f t="shared" si="283"/>
        <v>0</v>
      </c>
      <c r="AT363" s="109">
        <f t="shared" si="284"/>
        <v>0</v>
      </c>
      <c r="AW363" s="144">
        <f>VLOOKUP(B363,'Cronog. e Histog.'!$B$213:$BT$688,71,0)</f>
        <v>0</v>
      </c>
      <c r="AX363" s="144">
        <f>VLOOKUP(B363,'Cronog. e Histog.'!$B$213:$BU$688,72,0)</f>
        <v>0</v>
      </c>
      <c r="AY363" s="144">
        <f>$AW363*$AX363*Dashboard!$D$15</f>
        <v>0</v>
      </c>
      <c r="AZ363" s="144">
        <f>VLOOKUP(B363,Precificação!$B$96:$BM$533,54,0)</f>
        <v>0</v>
      </c>
      <c r="BA363" s="144">
        <f>VLOOKUP(B363,Precificação!$B$96:$BR$533,58,0)</f>
        <v>0</v>
      </c>
      <c r="BB363" s="144">
        <f>VLOOKUP(B363,Precificação!$B$96:$BW$533,62,0)</f>
        <v>0</v>
      </c>
      <c r="BC363" s="144">
        <f t="shared" si="285"/>
        <v>0</v>
      </c>
      <c r="BD363" s="109">
        <f>IFERROR(VLOOKUP(B363,Precificação!$B$96:$S$533,13,0),0)</f>
        <v>0</v>
      </c>
      <c r="BE363" s="109">
        <f>IFERROR(VLOOKUP(B363,Precificação!$B$96:$U$533,15,0)/(Precificação!$U$4+Precificação!$U$91),0)*Dashboard!$T$3</f>
        <v>0</v>
      </c>
    </row>
    <row r="364" spans="2:57" ht="12" customHeight="1" outlineLevel="1">
      <c r="B364" s="137" t="str">
        <f>Precificação!B353</f>
        <v>AUX TEC - Equipe_01</v>
      </c>
      <c r="D364" s="512"/>
      <c r="E364" s="143" t="str">
        <f>IF('Cronog. e Histog.'!G492&gt;0,'Cronog. e Histog.'!G492,"")</f>
        <v>AUX TEC</v>
      </c>
      <c r="G364" s="179">
        <f t="shared" si="272"/>
        <v>0</v>
      </c>
      <c r="H364" s="110">
        <f>IFERROR(INDEX('Base Salarial'!$D$5:$F$25,MATCH(E364,'Base Salarial'!$G$5:$G$25,0),MATCH(I364,'Base Salarial'!$D$4:$F$4,0)),"")</f>
        <v>3500</v>
      </c>
      <c r="I364" s="78" t="str">
        <f>IFERROR(INDEX(Tarefas!$BQ$29:$FK$29,MATCH(E364,Tarefas!$BQ$30:$FK$30,0)),"")</f>
        <v>Mensalista</v>
      </c>
      <c r="J364" s="81">
        <f>IF(I364="horista",H364*Dashboard!$D$15,IF(OR(I364="Mensalista",I364="PJ"),H364,))</f>
        <v>3500</v>
      </c>
      <c r="K364" s="81">
        <f>IF(I364="PJ",J364,ROUND(J364*(1+Dashboard!$D$22),2))</f>
        <v>3710</v>
      </c>
      <c r="L364" s="77"/>
      <c r="M364" s="180"/>
      <c r="P364" s="109">
        <f>IF($BD364&gt;0,(((($BD364/Dashboard!$D$15)*(1+Precificação!$W$589)))+$P$26)*(1+Dashboard!$D$35),0)</f>
        <v>0</v>
      </c>
      <c r="Q364" s="109">
        <f>IF($BD364&gt;0,(((($BD364/Dashboard!$D$23)+(1+Precificação!$W$589))*(1+Q$28))+$P$26)*(1+Dashboard!$D$35),0)</f>
        <v>0</v>
      </c>
      <c r="R364" s="109">
        <f>IF($BD364&gt;0,(((($BD364/Dashboard!$D$23)+(1+Precificação!$W$589))*(1+R$28))+$P$26)*(1+Dashboard!$D$35),0)</f>
        <v>0</v>
      </c>
      <c r="S364" s="109">
        <f>IF($BD364&gt;0,(((($BD364/Dashboard!$D$23)+(1+Precificação!$W$589))*(1+S$28))+$P$26)*(1+Dashboard!$D$35),0)</f>
        <v>0</v>
      </c>
      <c r="U364" s="109">
        <f t="shared" si="273"/>
        <v>0</v>
      </c>
      <c r="V364" s="109">
        <f t="shared" si="274"/>
        <v>0</v>
      </c>
      <c r="W364" s="109">
        <f t="shared" si="275"/>
        <v>0</v>
      </c>
      <c r="X364" s="109">
        <f t="shared" si="276"/>
        <v>0</v>
      </c>
      <c r="AA364" s="109">
        <f>IF($BD364&gt;0,(((($BD364/Dashboard!$D$23)*(1+Precificação!$W$589)))+$AA$26)*(1+Dashboard!$D$35),0)</f>
        <v>0</v>
      </c>
      <c r="AB364" s="109">
        <f>IF($BD364&gt;0,(((($BD364/Dashboard!$D$23)*(1+Precificação!$W$589))*(1+AB$28))+$AA$26)*(1+Dashboard!$D$35),0)</f>
        <v>0</v>
      </c>
      <c r="AC364" s="109">
        <f>IF($BD364&gt;0,(((($BD364/Dashboard!$D$23)*(1+Precificação!$W$589))*(1+AC$28))+$AA$26)*(1+Dashboard!$D$35),0)</f>
        <v>0</v>
      </c>
      <c r="AD364" s="109">
        <f>IF($BD364&gt;0,(((($BD364/Dashboard!$D$23)*(1+Precificação!$W$589))*(1+AD$28))+$AA$26)*(1+Dashboard!$D$35),0)</f>
        <v>0</v>
      </c>
      <c r="AF364" s="109">
        <f t="shared" si="277"/>
        <v>0</v>
      </c>
      <c r="AG364" s="109">
        <f t="shared" si="278"/>
        <v>0</v>
      </c>
      <c r="AH364" s="109">
        <f t="shared" si="279"/>
        <v>0</v>
      </c>
      <c r="AI364" s="109">
        <f t="shared" si="280"/>
        <v>0</v>
      </c>
      <c r="AL364" s="109">
        <f>IF($BD364&gt;0,(((($BD364/Dashboard!$D$23)*(1+Precificação!$W$589)))+$AL$26)*(1+Dashboard!$D$35),0)</f>
        <v>0</v>
      </c>
      <c r="AM364" s="109">
        <f>IF($BD364&gt;0,(((($BD364/Dashboard!$D$23)*(1+Precificação!$W$589))*(1+AM$28))+$AA$26)*(1+Dashboard!$D$35),0)</f>
        <v>0</v>
      </c>
      <c r="AN364" s="109">
        <f>IF($BD364&gt;0,(((($BD364/Dashboard!$D$23)*(1+Precificação!$W$589))*(1+AN$28))+$AA$26)*(1+Dashboard!$D$35),0)</f>
        <v>0</v>
      </c>
      <c r="AO364" s="109">
        <f>IF($BD364&gt;0,(((($BD364/Dashboard!$D$23)*(1+Precificação!$W$589))*(1+AO$28))+$AA$26)*(1+Dashboard!$D$35),0)</f>
        <v>0</v>
      </c>
      <c r="AQ364" s="109">
        <f t="shared" si="281"/>
        <v>0</v>
      </c>
      <c r="AR364" s="109">
        <f t="shared" si="282"/>
        <v>0</v>
      </c>
      <c r="AS364" s="109">
        <f t="shared" si="283"/>
        <v>0</v>
      </c>
      <c r="AT364" s="109">
        <f t="shared" si="284"/>
        <v>0</v>
      </c>
      <c r="AW364" s="144">
        <f>VLOOKUP(B364,'Cronog. e Histog.'!$B$213:$BT$688,71,0)</f>
        <v>0</v>
      </c>
      <c r="AX364" s="144">
        <f>VLOOKUP(B364,'Cronog. e Histog.'!$B$213:$BU$688,72,0)</f>
        <v>0</v>
      </c>
      <c r="AY364" s="144">
        <f>$AW364*$AX364*Dashboard!$D$15</f>
        <v>0</v>
      </c>
      <c r="AZ364" s="144">
        <f>VLOOKUP(B364,Precificação!$B$96:$BM$533,54,0)</f>
        <v>0</v>
      </c>
      <c r="BA364" s="144">
        <f>VLOOKUP(B364,Precificação!$B$96:$BR$533,58,0)</f>
        <v>0</v>
      </c>
      <c r="BB364" s="144">
        <f>VLOOKUP(B364,Precificação!$B$96:$BW$533,62,0)</f>
        <v>0</v>
      </c>
      <c r="BC364" s="144">
        <f t="shared" si="285"/>
        <v>0</v>
      </c>
      <c r="BD364" s="109">
        <f>IFERROR(VLOOKUP(B364,Precificação!$B$96:$S$533,13,0),0)</f>
        <v>0</v>
      </c>
      <c r="BE364" s="109">
        <f>IFERROR(VLOOKUP(B364,Precificação!$B$96:$U$533,15,0)/(Precificação!$U$4+Precificação!$U$91),0)*Dashboard!$T$3</f>
        <v>0</v>
      </c>
    </row>
    <row r="365" spans="2:57" ht="12" customHeight="1" outlineLevel="1">
      <c r="B365" s="137" t="str">
        <f>Precificação!B354</f>
        <v>AUX ADM - Equipe_01</v>
      </c>
      <c r="D365" s="512"/>
      <c r="E365" s="143" t="str">
        <f>IF('Cronog. e Histog.'!G493&gt;0,'Cronog. e Histog.'!G493,"")</f>
        <v>AUX ADM</v>
      </c>
      <c r="G365" s="179">
        <f t="shared" si="272"/>
        <v>0</v>
      </c>
      <c r="H365" s="110">
        <f>IFERROR(INDEX('Base Salarial'!$D$5:$F$25,MATCH(E365,'Base Salarial'!$G$5:$G$25,0),MATCH(I365,'Base Salarial'!$D$4:$F$4,0)),"")</f>
        <v>1804</v>
      </c>
      <c r="I365" s="78" t="str">
        <f>IFERROR(INDEX(Tarefas!$BQ$29:$FK$29,MATCH(E365,Tarefas!$BQ$30:$FK$30,0)),"")</f>
        <v>Mensalista</v>
      </c>
      <c r="J365" s="81">
        <f>IF(I365="horista",H365*Dashboard!$D$15,IF(OR(I365="Mensalista",I365="PJ"),H365,))</f>
        <v>1804</v>
      </c>
      <c r="K365" s="81">
        <f>IF(I365="PJ",J365,ROUND(J365*(1+Dashboard!$D$22),2))</f>
        <v>1912.24</v>
      </c>
      <c r="L365" s="77"/>
      <c r="M365" s="180"/>
      <c r="P365" s="109">
        <f>IF($BD365&gt;0,(((($BD365/Dashboard!$D$15)*(1+Precificação!$W$589)))+$P$26)*(1+Dashboard!$D$35),0)</f>
        <v>0</v>
      </c>
      <c r="Q365" s="109">
        <f>IF($BD365&gt;0,(((($BD365/Dashboard!$D$23)+(1+Precificação!$W$589))*(1+Q$28))+$P$26)*(1+Dashboard!$D$35),0)</f>
        <v>0</v>
      </c>
      <c r="R365" s="109">
        <f>IF($BD365&gt;0,(((($BD365/Dashboard!$D$23)+(1+Precificação!$W$589))*(1+R$28))+$P$26)*(1+Dashboard!$D$35),0)</f>
        <v>0</v>
      </c>
      <c r="S365" s="109">
        <f>IF($BD365&gt;0,(((($BD365/Dashboard!$D$23)+(1+Precificação!$W$589))*(1+S$28))+$P$26)*(1+Dashboard!$D$35),0)</f>
        <v>0</v>
      </c>
      <c r="U365" s="109">
        <f t="shared" si="273"/>
        <v>0</v>
      </c>
      <c r="V365" s="109">
        <f t="shared" si="274"/>
        <v>0</v>
      </c>
      <c r="W365" s="109">
        <f t="shared" si="275"/>
        <v>0</v>
      </c>
      <c r="X365" s="109">
        <f t="shared" si="276"/>
        <v>0</v>
      </c>
      <c r="AA365" s="109">
        <f>IF($BD365&gt;0,(((($BD365/Dashboard!$D$23)*(1+Precificação!$W$589)))+$AA$26)*(1+Dashboard!$D$35),0)</f>
        <v>0</v>
      </c>
      <c r="AB365" s="109">
        <f>IF($BD365&gt;0,(((($BD365/Dashboard!$D$23)*(1+Precificação!$W$589))*(1+AB$28))+$AA$26)*(1+Dashboard!$D$35),0)</f>
        <v>0</v>
      </c>
      <c r="AC365" s="109">
        <f>IF($BD365&gt;0,(((($BD365/Dashboard!$D$23)*(1+Precificação!$W$589))*(1+AC$28))+$AA$26)*(1+Dashboard!$D$35),0)</f>
        <v>0</v>
      </c>
      <c r="AD365" s="109">
        <f>IF($BD365&gt;0,(((($BD365/Dashboard!$D$23)*(1+Precificação!$W$589))*(1+AD$28))+$AA$26)*(1+Dashboard!$D$35),0)</f>
        <v>0</v>
      </c>
      <c r="AF365" s="109">
        <f t="shared" si="277"/>
        <v>0</v>
      </c>
      <c r="AG365" s="109">
        <f t="shared" si="278"/>
        <v>0</v>
      </c>
      <c r="AH365" s="109">
        <f t="shared" si="279"/>
        <v>0</v>
      </c>
      <c r="AI365" s="109">
        <f t="shared" si="280"/>
        <v>0</v>
      </c>
      <c r="AL365" s="109">
        <f>IF($BD365&gt;0,(((($BD365/Dashboard!$D$23)*(1+Precificação!$W$589)))+$AL$26)*(1+Dashboard!$D$35),0)</f>
        <v>0</v>
      </c>
      <c r="AM365" s="109">
        <f>IF($BD365&gt;0,(((($BD365/Dashboard!$D$23)*(1+Precificação!$W$589))*(1+AM$28))+$AA$26)*(1+Dashboard!$D$35),0)</f>
        <v>0</v>
      </c>
      <c r="AN365" s="109">
        <f>IF($BD365&gt;0,(((($BD365/Dashboard!$D$23)*(1+Precificação!$W$589))*(1+AN$28))+$AA$26)*(1+Dashboard!$D$35),0)</f>
        <v>0</v>
      </c>
      <c r="AO365" s="109">
        <f>IF($BD365&gt;0,(((($BD365/Dashboard!$D$23)*(1+Precificação!$W$589))*(1+AO$28))+$AA$26)*(1+Dashboard!$D$35),0)</f>
        <v>0</v>
      </c>
      <c r="AQ365" s="109">
        <f t="shared" si="281"/>
        <v>0</v>
      </c>
      <c r="AR365" s="109">
        <f t="shared" si="282"/>
        <v>0</v>
      </c>
      <c r="AS365" s="109">
        <f t="shared" si="283"/>
        <v>0</v>
      </c>
      <c r="AT365" s="109">
        <f t="shared" si="284"/>
        <v>0</v>
      </c>
      <c r="AW365" s="144">
        <f>VLOOKUP(B365,'Cronog. e Histog.'!$B$213:$BT$688,71,0)</f>
        <v>0</v>
      </c>
      <c r="AX365" s="144">
        <f>VLOOKUP(B365,'Cronog. e Histog.'!$B$213:$BU$688,72,0)</f>
        <v>0</v>
      </c>
      <c r="AY365" s="144">
        <f>$AW365*$AX365*Dashboard!$D$15</f>
        <v>0</v>
      </c>
      <c r="AZ365" s="144">
        <f>VLOOKUP(B365,Precificação!$B$96:$BM$533,54,0)</f>
        <v>0</v>
      </c>
      <c r="BA365" s="144">
        <f>VLOOKUP(B365,Precificação!$B$96:$BR$533,58,0)</f>
        <v>0</v>
      </c>
      <c r="BB365" s="144">
        <f>VLOOKUP(B365,Precificação!$B$96:$BW$533,62,0)</f>
        <v>0</v>
      </c>
      <c r="BC365" s="144">
        <f t="shared" si="285"/>
        <v>0</v>
      </c>
      <c r="BD365" s="109">
        <f>IFERROR(VLOOKUP(B365,Precificação!$B$96:$S$533,13,0),0)</f>
        <v>0</v>
      </c>
      <c r="BE365" s="109">
        <f>IFERROR(VLOOKUP(B365,Precificação!$B$96:$U$533,15,0)/(Precificação!$U$4+Precificação!$U$91),0)*Dashboard!$T$3</f>
        <v>0</v>
      </c>
    </row>
    <row r="366" spans="2:57" ht="12" customHeight="1" outlineLevel="1">
      <c r="B366" s="137" t="str">
        <f>Precificação!B355</f>
        <v>EST - Equipe_01</v>
      </c>
      <c r="D366" s="512"/>
      <c r="E366" s="143" t="str">
        <f>IF('Cronog. e Histog.'!G494&gt;0,'Cronog. e Histog.'!G494,"")</f>
        <v>EST</v>
      </c>
      <c r="G366" s="179">
        <f t="shared" si="272"/>
        <v>0</v>
      </c>
      <c r="H366" s="110">
        <f>IFERROR(INDEX('Base Salarial'!$D$5:$F$25,MATCH(E366,'Base Salarial'!$G$5:$G$25,0),MATCH(I366,'Base Salarial'!$D$4:$F$4,0)),"")</f>
        <v>1633</v>
      </c>
      <c r="I366" s="78" t="str">
        <f>IFERROR(INDEX(Tarefas!$BQ$29:$FK$29,MATCH(E366,Tarefas!$BQ$30:$FK$30,0)),"")</f>
        <v>PJ</v>
      </c>
      <c r="J366" s="81">
        <f>IF(I366="horista",H366*Dashboard!$D$15,IF(OR(I366="Mensalista",I366="PJ"),H366,))</f>
        <v>1633</v>
      </c>
      <c r="K366" s="81">
        <f>IF(I366="PJ",J366,ROUND(J366*(1+Dashboard!$D$22),2))</f>
        <v>1633</v>
      </c>
      <c r="L366" s="77"/>
      <c r="M366" s="180"/>
      <c r="P366" s="109">
        <f>IF($BD366&gt;0,(((($BD366/Dashboard!$D$15)*(1+Precificação!$W$589)))+$P$26)*(1+Dashboard!$D$35),0)</f>
        <v>0</v>
      </c>
      <c r="Q366" s="109">
        <f>IF($BD366&gt;0,(((($BD366/Dashboard!$D$23)+(1+Precificação!$W$589))*(1+Q$28))+$P$26)*(1+Dashboard!$D$35),0)</f>
        <v>0</v>
      </c>
      <c r="R366" s="109">
        <f>IF($BD366&gt;0,(((($BD366/Dashboard!$D$23)+(1+Precificação!$W$589))*(1+R$28))+$P$26)*(1+Dashboard!$D$35),0)</f>
        <v>0</v>
      </c>
      <c r="S366" s="109">
        <f>IF($BD366&gt;0,(((($BD366/Dashboard!$D$23)+(1+Precificação!$W$589))*(1+S$28))+$P$26)*(1+Dashboard!$D$35),0)</f>
        <v>0</v>
      </c>
      <c r="U366" s="109">
        <f t="shared" si="273"/>
        <v>0</v>
      </c>
      <c r="V366" s="109">
        <f t="shared" si="274"/>
        <v>0</v>
      </c>
      <c r="W366" s="109">
        <f t="shared" si="275"/>
        <v>0</v>
      </c>
      <c r="X366" s="109">
        <f t="shared" si="276"/>
        <v>0</v>
      </c>
      <c r="AA366" s="109">
        <f>IF($BD366&gt;0,(((($BD366/Dashboard!$D$23)*(1+Precificação!$W$589)))+$AA$26)*(1+Dashboard!$D$35),0)</f>
        <v>0</v>
      </c>
      <c r="AB366" s="109">
        <f>IF($BD366&gt;0,(((($BD366/Dashboard!$D$23)*(1+Precificação!$W$589))*(1+AB$28))+$AA$26)*(1+Dashboard!$D$35),0)</f>
        <v>0</v>
      </c>
      <c r="AC366" s="109">
        <f>IF($BD366&gt;0,(((($BD366/Dashboard!$D$23)*(1+Precificação!$W$589))*(1+AC$28))+$AA$26)*(1+Dashboard!$D$35),0)</f>
        <v>0</v>
      </c>
      <c r="AD366" s="109">
        <f>IF($BD366&gt;0,(((($BD366/Dashboard!$D$23)*(1+Precificação!$W$589))*(1+AD$28))+$AA$26)*(1+Dashboard!$D$35),0)</f>
        <v>0</v>
      </c>
      <c r="AF366" s="109">
        <f t="shared" si="277"/>
        <v>0</v>
      </c>
      <c r="AG366" s="109">
        <f t="shared" si="278"/>
        <v>0</v>
      </c>
      <c r="AH366" s="109">
        <f t="shared" si="279"/>
        <v>0</v>
      </c>
      <c r="AI366" s="109">
        <f t="shared" si="280"/>
        <v>0</v>
      </c>
      <c r="AL366" s="109">
        <f>IF($BD366&gt;0,(((($BD366/Dashboard!$D$23)*(1+Precificação!$W$589)))+$AL$26)*(1+Dashboard!$D$35),0)</f>
        <v>0</v>
      </c>
      <c r="AM366" s="109">
        <f>IF($BD366&gt;0,(((($BD366/Dashboard!$D$23)*(1+Precificação!$W$589))*(1+AM$28))+$AA$26)*(1+Dashboard!$D$35),0)</f>
        <v>0</v>
      </c>
      <c r="AN366" s="109">
        <f>IF($BD366&gt;0,(((($BD366/Dashboard!$D$23)*(1+Precificação!$W$589))*(1+AN$28))+$AA$26)*(1+Dashboard!$D$35),0)</f>
        <v>0</v>
      </c>
      <c r="AO366" s="109">
        <f>IF($BD366&gt;0,(((($BD366/Dashboard!$D$23)*(1+Precificação!$W$589))*(1+AO$28))+$AA$26)*(1+Dashboard!$D$35),0)</f>
        <v>0</v>
      </c>
      <c r="AQ366" s="109">
        <f t="shared" si="281"/>
        <v>0</v>
      </c>
      <c r="AR366" s="109">
        <f t="shared" si="282"/>
        <v>0</v>
      </c>
      <c r="AS366" s="109">
        <f t="shared" si="283"/>
        <v>0</v>
      </c>
      <c r="AT366" s="109">
        <f t="shared" si="284"/>
        <v>0</v>
      </c>
      <c r="AW366" s="144">
        <f>VLOOKUP(B366,'Cronog. e Histog.'!$B$213:$BT$688,71,0)</f>
        <v>0</v>
      </c>
      <c r="AX366" s="144">
        <f>VLOOKUP(B366,'Cronog. e Histog.'!$B$213:$BU$688,72,0)</f>
        <v>0</v>
      </c>
      <c r="AY366" s="144">
        <f>$AW366*$AX366*Dashboard!$D$15</f>
        <v>0</v>
      </c>
      <c r="AZ366" s="144">
        <f>VLOOKUP(B366,Precificação!$B$96:$BM$533,54,0)</f>
        <v>0</v>
      </c>
      <c r="BA366" s="144">
        <f>VLOOKUP(B366,Precificação!$B$96:$BR$533,58,0)</f>
        <v>0</v>
      </c>
      <c r="BB366" s="144">
        <f>VLOOKUP(B366,Precificação!$B$96:$BW$533,62,0)</f>
        <v>0</v>
      </c>
      <c r="BC366" s="144">
        <f t="shared" si="285"/>
        <v>0</v>
      </c>
      <c r="BD366" s="109">
        <f>IFERROR(VLOOKUP(B366,Precificação!$B$96:$S$533,13,0),0)</f>
        <v>0</v>
      </c>
      <c r="BE366" s="109">
        <f>IFERROR(VLOOKUP(B366,Precificação!$B$96:$U$533,15,0)/(Precificação!$U$4+Precificação!$U$91),0)*Dashboard!$T$3</f>
        <v>0</v>
      </c>
    </row>
    <row r="367" spans="2:57" ht="12" customHeight="1" outlineLevel="1">
      <c r="B367" s="137" t="str">
        <f>Precificação!B356</f>
        <v>EST_II - Equipe_01</v>
      </c>
      <c r="D367" s="512"/>
      <c r="E367" s="143" t="str">
        <f>IF('Cronog. e Histog.'!G495&gt;0,'Cronog. e Histog.'!G495,"")</f>
        <v>EST_II</v>
      </c>
      <c r="G367" s="179">
        <f t="shared" si="272"/>
        <v>0</v>
      </c>
      <c r="H367" s="110">
        <f>IFERROR(INDEX('Base Salarial'!$D$5:$F$25,MATCH(E367,'Base Salarial'!$G$5:$G$25,0),MATCH(I367,'Base Salarial'!$D$4:$F$4,0)),"")</f>
        <v>1633</v>
      </c>
      <c r="I367" s="78" t="str">
        <f>IFERROR(INDEX(Tarefas!$BQ$29:$FK$29,MATCH(E367,Tarefas!$BQ$30:$FK$30,0)),"")</f>
        <v>PJ</v>
      </c>
      <c r="J367" s="81">
        <f>IF(I367="horista",H367*Dashboard!$D$15,IF(OR(I367="Mensalista",I367="PJ"),H367,))</f>
        <v>1633</v>
      </c>
      <c r="K367" s="81">
        <f>IF(I367="PJ",J367,ROUND(J367*(1+Dashboard!$D$22),2))</f>
        <v>1633</v>
      </c>
      <c r="L367" s="77"/>
      <c r="M367" s="180"/>
      <c r="P367" s="109">
        <f>IF($BD367&gt;0,(((($BD367/Dashboard!$D$15)*(1+Precificação!$W$589)))+$P$26)*(1+Dashboard!$D$35),0)</f>
        <v>0</v>
      </c>
      <c r="Q367" s="109">
        <f>IF($BD367&gt;0,(((($BD367/Dashboard!$D$23)+(1+Precificação!$W$589))*(1+Q$28))+$P$26)*(1+Dashboard!$D$35),0)</f>
        <v>0</v>
      </c>
      <c r="R367" s="109">
        <f>IF($BD367&gt;0,(((($BD367/Dashboard!$D$23)+(1+Precificação!$W$589))*(1+R$28))+$P$26)*(1+Dashboard!$D$35),0)</f>
        <v>0</v>
      </c>
      <c r="S367" s="109">
        <f>IF($BD367&gt;0,(((($BD367/Dashboard!$D$23)+(1+Precificação!$W$589))*(1+S$28))+$P$26)*(1+Dashboard!$D$35),0)</f>
        <v>0</v>
      </c>
      <c r="U367" s="109">
        <f t="shared" si="273"/>
        <v>0</v>
      </c>
      <c r="V367" s="109">
        <f t="shared" si="274"/>
        <v>0</v>
      </c>
      <c r="W367" s="109">
        <f t="shared" si="275"/>
        <v>0</v>
      </c>
      <c r="X367" s="109">
        <f t="shared" si="276"/>
        <v>0</v>
      </c>
      <c r="AA367" s="109">
        <f>IF($BD367&gt;0,(((($BD367/Dashboard!$D$23)*(1+Precificação!$W$589)))+$AA$26)*(1+Dashboard!$D$35),0)</f>
        <v>0</v>
      </c>
      <c r="AB367" s="109">
        <f>IF($BD367&gt;0,(((($BD367/Dashboard!$D$23)*(1+Precificação!$W$589))*(1+AB$28))+$AA$26)*(1+Dashboard!$D$35),0)</f>
        <v>0</v>
      </c>
      <c r="AC367" s="109">
        <f>IF($BD367&gt;0,(((($BD367/Dashboard!$D$23)*(1+Precificação!$W$589))*(1+AC$28))+$AA$26)*(1+Dashboard!$D$35),0)</f>
        <v>0</v>
      </c>
      <c r="AD367" s="109">
        <f>IF($BD367&gt;0,(((($BD367/Dashboard!$D$23)*(1+Precificação!$W$589))*(1+AD$28))+$AA$26)*(1+Dashboard!$D$35),0)</f>
        <v>0</v>
      </c>
      <c r="AF367" s="109">
        <f t="shared" si="277"/>
        <v>0</v>
      </c>
      <c r="AG367" s="109">
        <f t="shared" si="278"/>
        <v>0</v>
      </c>
      <c r="AH367" s="109">
        <f t="shared" si="279"/>
        <v>0</v>
      </c>
      <c r="AI367" s="109">
        <f t="shared" si="280"/>
        <v>0</v>
      </c>
      <c r="AL367" s="109">
        <f>IF($BD367&gt;0,(((($BD367/Dashboard!$D$23)*(1+Precificação!$W$589)))+$AL$26)*(1+Dashboard!$D$35),0)</f>
        <v>0</v>
      </c>
      <c r="AM367" s="109">
        <f>IF($BD367&gt;0,(((($BD367/Dashboard!$D$23)*(1+Precificação!$W$589))*(1+AM$28))+$AA$26)*(1+Dashboard!$D$35),0)</f>
        <v>0</v>
      </c>
      <c r="AN367" s="109">
        <f>IF($BD367&gt;0,(((($BD367/Dashboard!$D$23)*(1+Precificação!$W$589))*(1+AN$28))+$AA$26)*(1+Dashboard!$D$35),0)</f>
        <v>0</v>
      </c>
      <c r="AO367" s="109">
        <f>IF($BD367&gt;0,(((($BD367/Dashboard!$D$23)*(1+Precificação!$W$589))*(1+AO$28))+$AA$26)*(1+Dashboard!$D$35),0)</f>
        <v>0</v>
      </c>
      <c r="AQ367" s="109">
        <f t="shared" si="281"/>
        <v>0</v>
      </c>
      <c r="AR367" s="109">
        <f t="shared" si="282"/>
        <v>0</v>
      </c>
      <c r="AS367" s="109">
        <f t="shared" si="283"/>
        <v>0</v>
      </c>
      <c r="AT367" s="109">
        <f t="shared" si="284"/>
        <v>0</v>
      </c>
      <c r="AW367" s="144">
        <f>VLOOKUP(B367,'Cronog. e Histog.'!$B$213:$BT$688,71,0)</f>
        <v>0</v>
      </c>
      <c r="AX367" s="144">
        <f>VLOOKUP(B367,'Cronog. e Histog.'!$B$213:$BU$688,72,0)</f>
        <v>0</v>
      </c>
      <c r="AY367" s="144">
        <f>$AW367*$AX367*Dashboard!$D$15</f>
        <v>0</v>
      </c>
      <c r="AZ367" s="144">
        <f>VLOOKUP(B367,Precificação!$B$96:$BM$533,54,0)</f>
        <v>0</v>
      </c>
      <c r="BA367" s="144">
        <f>VLOOKUP(B367,Precificação!$B$96:$BR$533,58,0)</f>
        <v>0</v>
      </c>
      <c r="BB367" s="144">
        <f>VLOOKUP(B367,Precificação!$B$96:$BW$533,62,0)</f>
        <v>0</v>
      </c>
      <c r="BC367" s="144">
        <f t="shared" si="285"/>
        <v>0</v>
      </c>
      <c r="BD367" s="109">
        <f>IFERROR(VLOOKUP(B367,Precificação!$B$96:$S$533,13,0),0)</f>
        <v>0</v>
      </c>
      <c r="BE367" s="109">
        <f>IFERROR(VLOOKUP(B367,Precificação!$B$96:$U$533,15,0)/(Precificação!$U$4+Precificação!$U$91),0)*Dashboard!$T$3</f>
        <v>0</v>
      </c>
    </row>
    <row r="368" spans="2:57" ht="12" customHeight="1" outlineLevel="1">
      <c r="B368" s="137" t="str">
        <f>Precificação!B357</f>
        <v>EST_III - Equipe_01</v>
      </c>
      <c r="D368" s="512"/>
      <c r="E368" s="143" t="str">
        <f>IF('Cronog. e Histog.'!G496&gt;0,'Cronog. e Histog.'!G496,"")</f>
        <v>EST_III</v>
      </c>
      <c r="G368" s="179">
        <f t="shared" si="272"/>
        <v>0</v>
      </c>
      <c r="H368" s="110">
        <f>IFERROR(INDEX('Base Salarial'!$D$5:$F$25,MATCH(E368,'Base Salarial'!$G$5:$G$25,0),MATCH(I368,'Base Salarial'!$D$4:$F$4,0)),"")</f>
        <v>1633</v>
      </c>
      <c r="I368" s="78" t="str">
        <f>IFERROR(INDEX(Tarefas!$BQ$29:$FK$29,MATCH(E368,Tarefas!$BQ$30:$FK$30,0)),"")</f>
        <v>PJ</v>
      </c>
      <c r="J368" s="81">
        <f>IF(I368="horista",H368*Dashboard!$D$15,IF(OR(I368="Mensalista",I368="PJ"),H368,))</f>
        <v>1633</v>
      </c>
      <c r="K368" s="81">
        <f>IF(I368="PJ",J368,ROUND(J368*(1+Dashboard!$D$22),2))</f>
        <v>1633</v>
      </c>
      <c r="L368" s="77"/>
      <c r="M368" s="180"/>
      <c r="P368" s="109">
        <f>IF($BD368&gt;0,(((($BD368/Dashboard!$D$15)*(1+Precificação!$W$589)))+$P$26)*(1+Dashboard!$D$35),0)</f>
        <v>0</v>
      </c>
      <c r="Q368" s="109">
        <f>IF($BD368&gt;0,(((($BD368/Dashboard!$D$23)+(1+Precificação!$W$589))*(1+Q$28))+$P$26)*(1+Dashboard!$D$35),0)</f>
        <v>0</v>
      </c>
      <c r="R368" s="109">
        <f>IF($BD368&gt;0,(((($BD368/Dashboard!$D$23)+(1+Precificação!$W$589))*(1+R$28))+$P$26)*(1+Dashboard!$D$35),0)</f>
        <v>0</v>
      </c>
      <c r="S368" s="109">
        <f>IF($BD368&gt;0,(((($BD368/Dashboard!$D$23)+(1+Precificação!$W$589))*(1+S$28))+$P$26)*(1+Dashboard!$D$35),0)</f>
        <v>0</v>
      </c>
      <c r="U368" s="109">
        <f t="shared" si="273"/>
        <v>0</v>
      </c>
      <c r="V368" s="109">
        <f t="shared" si="274"/>
        <v>0</v>
      </c>
      <c r="W368" s="109">
        <f t="shared" si="275"/>
        <v>0</v>
      </c>
      <c r="X368" s="109">
        <f t="shared" si="276"/>
        <v>0</v>
      </c>
      <c r="AA368" s="109">
        <f>IF($BD368&gt;0,(((($BD368/Dashboard!$D$23)*(1+Precificação!$W$589)))+$AA$26)*(1+Dashboard!$D$35),0)</f>
        <v>0</v>
      </c>
      <c r="AB368" s="109">
        <f>IF($BD368&gt;0,(((($BD368/Dashboard!$D$23)*(1+Precificação!$W$589))*(1+AB$28))+$AA$26)*(1+Dashboard!$D$35),0)</f>
        <v>0</v>
      </c>
      <c r="AC368" s="109">
        <f>IF($BD368&gt;0,(((($BD368/Dashboard!$D$23)*(1+Precificação!$W$589))*(1+AC$28))+$AA$26)*(1+Dashboard!$D$35),0)</f>
        <v>0</v>
      </c>
      <c r="AD368" s="109">
        <f>IF($BD368&gt;0,(((($BD368/Dashboard!$D$23)*(1+Precificação!$W$589))*(1+AD$28))+$AA$26)*(1+Dashboard!$D$35),0)</f>
        <v>0</v>
      </c>
      <c r="AF368" s="109">
        <f t="shared" si="277"/>
        <v>0</v>
      </c>
      <c r="AG368" s="109">
        <f t="shared" si="278"/>
        <v>0</v>
      </c>
      <c r="AH368" s="109">
        <f t="shared" si="279"/>
        <v>0</v>
      </c>
      <c r="AI368" s="109">
        <f t="shared" si="280"/>
        <v>0</v>
      </c>
      <c r="AL368" s="109">
        <f>IF($BD368&gt;0,(((($BD368/Dashboard!$D$23)*(1+Precificação!$W$589)))+$AL$26)*(1+Dashboard!$D$35),0)</f>
        <v>0</v>
      </c>
      <c r="AM368" s="109">
        <f>IF($BD368&gt;0,(((($BD368/Dashboard!$D$23)*(1+Precificação!$W$589))*(1+AM$28))+$AA$26)*(1+Dashboard!$D$35),0)</f>
        <v>0</v>
      </c>
      <c r="AN368" s="109">
        <f>IF($BD368&gt;0,(((($BD368/Dashboard!$D$23)*(1+Precificação!$W$589))*(1+AN$28))+$AA$26)*(1+Dashboard!$D$35),0)</f>
        <v>0</v>
      </c>
      <c r="AO368" s="109">
        <f>IF($BD368&gt;0,(((($BD368/Dashboard!$D$23)*(1+Precificação!$W$589))*(1+AO$28))+$AA$26)*(1+Dashboard!$D$35),0)</f>
        <v>0</v>
      </c>
      <c r="AQ368" s="109">
        <f t="shared" si="281"/>
        <v>0</v>
      </c>
      <c r="AR368" s="109">
        <f t="shared" si="282"/>
        <v>0</v>
      </c>
      <c r="AS368" s="109">
        <f t="shared" si="283"/>
        <v>0</v>
      </c>
      <c r="AT368" s="109">
        <f t="shared" si="284"/>
        <v>0</v>
      </c>
      <c r="AW368" s="144">
        <f>VLOOKUP(B368,'Cronog. e Histog.'!$B$213:$BT$688,71,0)</f>
        <v>0</v>
      </c>
      <c r="AX368" s="144">
        <f>VLOOKUP(B368,'Cronog. e Histog.'!$B$213:$BU$688,72,0)</f>
        <v>0</v>
      </c>
      <c r="AY368" s="144">
        <f>$AW368*$AX368*Dashboard!$D$15</f>
        <v>0</v>
      </c>
      <c r="AZ368" s="144">
        <f>VLOOKUP(B368,Precificação!$B$96:$BM$533,54,0)</f>
        <v>0</v>
      </c>
      <c r="BA368" s="144">
        <f>VLOOKUP(B368,Precificação!$B$96:$BR$533,58,0)</f>
        <v>0</v>
      </c>
      <c r="BB368" s="144">
        <f>VLOOKUP(B368,Precificação!$B$96:$BW$533,62,0)</f>
        <v>0</v>
      </c>
      <c r="BC368" s="144">
        <f t="shared" si="285"/>
        <v>0</v>
      </c>
      <c r="BD368" s="109">
        <f>IFERROR(VLOOKUP(B368,Precificação!$B$96:$S$533,13,0),0)</f>
        <v>0</v>
      </c>
      <c r="BE368" s="109">
        <f>IFERROR(VLOOKUP(B368,Precificação!$B$96:$U$533,15,0)/(Precificação!$U$4+Precificação!$U$91),0)*Dashboard!$T$3</f>
        <v>0</v>
      </c>
    </row>
    <row r="369" spans="2:57" ht="12" customHeight="1" outlineLevel="1"/>
    <row r="370" spans="2:57" ht="12" customHeight="1" outlineLevel="1">
      <c r="B370" s="137" t="str">
        <f>Precificação!B360</f>
        <v>GER. (OBRA/PROJ) - Equipe_01</v>
      </c>
      <c r="D370" s="512" t="str">
        <f>'Cronog. e Histog.'!F499</f>
        <v>Equipe13</v>
      </c>
      <c r="E370" s="143" t="str">
        <f>IF('Cronog. e Histog.'!G501&gt;0,'Cronog. e Histog.'!G501,"")</f>
        <v>GER. (OBRA/PROJ)</v>
      </c>
      <c r="G370" s="179">
        <f t="shared" ref="G370" si="286">IF(AND((AW370*AX370)&gt;0,K370=0),1,0)</f>
        <v>0</v>
      </c>
      <c r="H370" s="110">
        <f>IFERROR(INDEX('Base Salarial'!$D$5:$F$25,MATCH(E370,'Base Salarial'!$G$5:$G$25,0),MATCH(I370,'Base Salarial'!$D$4:$F$4,0)),"")</f>
        <v>21000</v>
      </c>
      <c r="I370" s="78" t="str">
        <f>IFERROR(INDEX(Tarefas!$BQ$29:$FK$29,MATCH(E370,Tarefas!$BQ$30:$FK$30,0)),"")</f>
        <v>PJ</v>
      </c>
      <c r="J370" s="81">
        <f>IF(I370="horista",H370*Dashboard!$D$15,IF(OR(I370="Mensalista",I370="PJ"),H370,))</f>
        <v>21000</v>
      </c>
      <c r="K370" s="81">
        <f>IF(I370="PJ",J370,ROUND(J370*(1+Dashboard!$D$22),2))</f>
        <v>21000</v>
      </c>
      <c r="L370" s="77"/>
      <c r="M370" s="180"/>
      <c r="P370" s="109">
        <f>IF($BD370&gt;0,(((($BD370/Dashboard!$D$15)*(1+Precificação!$W$589)))+$P$26)*(1+Dashboard!$D$35),0)</f>
        <v>0</v>
      </c>
      <c r="Q370" s="109">
        <f>IF($BD370&gt;0,(((($BD370/Dashboard!$D$23)+(1+Precificação!$W$589))*(1+Q$28))+$P$26)*(1+Dashboard!$D$35),0)</f>
        <v>0</v>
      </c>
      <c r="R370" s="109">
        <f>IF($BD370&gt;0,(((($BD370/Dashboard!$D$23)+(1+Precificação!$W$589))*(1+R$28))+$P$26)*(1+Dashboard!$D$35),0)</f>
        <v>0</v>
      </c>
      <c r="S370" s="109">
        <f>IF($BD370&gt;0,(((($BD370/Dashboard!$D$23)+(1+Precificação!$W$589))*(1+S$28))+$P$26)*(1+Dashboard!$D$35),0)</f>
        <v>0</v>
      </c>
      <c r="U370" s="109">
        <f>IF(P370&gt;0,P370+U$32,0)</f>
        <v>0</v>
      </c>
      <c r="V370" s="109">
        <f t="shared" ref="V370:X370" si="287">IF(Q370&gt;0,Q370+V$32,0)</f>
        <v>0</v>
      </c>
      <c r="W370" s="109">
        <f t="shared" si="287"/>
        <v>0</v>
      </c>
      <c r="X370" s="109">
        <f t="shared" si="287"/>
        <v>0</v>
      </c>
      <c r="AA370" s="109">
        <f>IF($BD370&gt;0,(((($BD370/Dashboard!$D$23)*(1+Precificação!$W$589)))+$AA$26)*(1+Dashboard!$D$35),0)</f>
        <v>0</v>
      </c>
      <c r="AB370" s="109">
        <f>IF($BD370&gt;0,(((($BD370/Dashboard!$D$23)*(1+Precificação!$W$589))*(1+AB$28))+$AA$26)*(1+Dashboard!$D$35),0)</f>
        <v>0</v>
      </c>
      <c r="AC370" s="109">
        <f>IF($BD370&gt;0,(((($BD370/Dashboard!$D$23)*(1+Precificação!$W$589))*(1+AC$28))+$AA$26)*(1+Dashboard!$D$35),0)</f>
        <v>0</v>
      </c>
      <c r="AD370" s="109">
        <f>IF($BD370&gt;0,(((($BD370/Dashboard!$D$23)*(1+Precificação!$W$589))*(1+AD$28))+$AA$26)*(1+Dashboard!$D$35),0)</f>
        <v>0</v>
      </c>
      <c r="AF370" s="109">
        <f>IF(AA370&gt;0,AA370+AF$32,0)</f>
        <v>0</v>
      </c>
      <c r="AG370" s="109">
        <f t="shared" ref="AG370" si="288">IF(AB370&gt;0,AB370+AG$32,0)</f>
        <v>0</v>
      </c>
      <c r="AH370" s="109">
        <f t="shared" ref="AH370" si="289">IF(AC370&gt;0,AC370+AH$32,0)</f>
        <v>0</v>
      </c>
      <c r="AI370" s="109">
        <f t="shared" ref="AI370" si="290">IF(AD370&gt;0,AD370+AI$32,0)</f>
        <v>0</v>
      </c>
      <c r="AL370" s="109">
        <f>IF($BD370&gt;0,(((($BD370/Dashboard!$D$23)*(1+Precificação!$W$589)))+$AL$26)*(1+Dashboard!$D$35),0)</f>
        <v>0</v>
      </c>
      <c r="AM370" s="109">
        <f>IF($BD370&gt;0,(((($BD370/Dashboard!$D$23)*(1+Precificação!$W$589))*(1+AM$28))+$AA$26)*(1+Dashboard!$D$35),0)</f>
        <v>0</v>
      </c>
      <c r="AN370" s="109">
        <f>IF($BD370&gt;0,(((($BD370/Dashboard!$D$23)*(1+Precificação!$W$589))*(1+AN$28))+$AA$26)*(1+Dashboard!$D$35),0)</f>
        <v>0</v>
      </c>
      <c r="AO370" s="109">
        <f>IF($BD370&gt;0,(((($BD370/Dashboard!$D$23)*(1+Precificação!$W$589))*(1+AO$28))+$AA$26)*(1+Dashboard!$D$35),0)</f>
        <v>0</v>
      </c>
      <c r="AQ370" s="109">
        <f>IF(AL370&gt;0,AL370+AQ$32,0)</f>
        <v>0</v>
      </c>
      <c r="AR370" s="109">
        <f t="shared" ref="AR370" si="291">IF(AM370&gt;0,AM370+AR$32,0)</f>
        <v>0</v>
      </c>
      <c r="AS370" s="109">
        <f t="shared" ref="AS370" si="292">IF(AN370&gt;0,AN370+AS$32,0)</f>
        <v>0</v>
      </c>
      <c r="AT370" s="109">
        <f t="shared" ref="AT370" si="293">IF(AO370&gt;0,AO370+AT$32,0)</f>
        <v>0</v>
      </c>
      <c r="AW370" s="144">
        <f>VLOOKUP(B370,'Cronog. e Histog.'!$B$213:$BT$688,71,0)</f>
        <v>1.9999999999999997E-2</v>
      </c>
      <c r="AX370" s="144">
        <f>VLOOKUP(B370,'Cronog. e Histog.'!$B$213:$BU$688,72,0)</f>
        <v>10</v>
      </c>
      <c r="AY370" s="144">
        <f>$AW370*$AX370*Dashboard!$D$15</f>
        <v>38.72</v>
      </c>
      <c r="AZ370" s="144">
        <f>VLOOKUP(B370,Precificação!$B$96:$BM$533,54,0)</f>
        <v>0</v>
      </c>
      <c r="BA370" s="144">
        <f>VLOOKUP(B370,Precificação!$B$96:$BR$533,58,0)</f>
        <v>0</v>
      </c>
      <c r="BB370" s="144">
        <f>VLOOKUP(B370,Precificação!$B$96:$BW$533,62,0)</f>
        <v>0</v>
      </c>
      <c r="BC370" s="144">
        <f t="shared" ref="BC370" si="294">SUM(AY370:BB370)</f>
        <v>38.72</v>
      </c>
      <c r="BD370" s="109">
        <f>IFERROR(VLOOKUP(B370,Precificação!$B$96:$S$533,13,0),0)</f>
        <v>0</v>
      </c>
      <c r="BE370" s="109">
        <f>IFERROR(VLOOKUP(B370,Precificação!$B$96:$U$533,15,0)/(Precificação!$U$4+Precificação!$U$91),0)*Dashboard!$T$3</f>
        <v>0</v>
      </c>
    </row>
    <row r="371" spans="2:57" ht="12" customHeight="1" outlineLevel="1">
      <c r="B371" s="137" t="str">
        <f>Precificação!B361</f>
        <v>COORD. - Equipe_01</v>
      </c>
      <c r="D371" s="512"/>
      <c r="E371" s="143" t="str">
        <f>IF('Cronog. e Histog.'!G502&gt;0,'Cronog. e Histog.'!G502,"")</f>
        <v>COORD.</v>
      </c>
      <c r="G371" s="179">
        <f t="shared" ref="G371:G389" si="295">IF(AND((AW371*AX371)&gt;0,K371=0),1,0)</f>
        <v>0</v>
      </c>
      <c r="H371" s="110">
        <f>IFERROR(INDEX('Base Salarial'!$D$5:$F$25,MATCH(E371,'Base Salarial'!$G$5:$G$25,0),MATCH(I371,'Base Salarial'!$D$4:$F$4,0)),"")</f>
        <v>19000</v>
      </c>
      <c r="I371" s="78" t="str">
        <f>IFERROR(INDEX(Tarefas!$BQ$29:$FK$29,MATCH(E371,Tarefas!$BQ$30:$FK$30,0)),"")</f>
        <v>PJ</v>
      </c>
      <c r="J371" s="81">
        <f>IF(I371="horista",H371*Dashboard!$D$15,IF(OR(I371="Mensalista",I371="PJ"),H371,))</f>
        <v>19000</v>
      </c>
      <c r="K371" s="81">
        <f>IF(I371="PJ",J371,ROUND(J371*(1+Dashboard!$D$22),2))</f>
        <v>19000</v>
      </c>
      <c r="L371" s="77"/>
      <c r="M371" s="180"/>
      <c r="P371" s="109">
        <f>IF($BD371&gt;0,(((($BD371/Dashboard!$D$15)*(1+Precificação!$W$589)))+$P$26)*(1+Dashboard!$D$35),0)</f>
        <v>0</v>
      </c>
      <c r="Q371" s="109">
        <f>IF($BD371&gt;0,(((($BD371/Dashboard!$D$23)+(1+Precificação!$W$589))*(1+Q$28))+$P$26)*(1+Dashboard!$D$35),0)</f>
        <v>0</v>
      </c>
      <c r="R371" s="109">
        <f>IF($BD371&gt;0,(((($BD371/Dashboard!$D$23)+(1+Precificação!$W$589))*(1+R$28))+$P$26)*(1+Dashboard!$D$35),0)</f>
        <v>0</v>
      </c>
      <c r="S371" s="109">
        <f>IF($BD371&gt;0,(((($BD371/Dashboard!$D$23)+(1+Precificação!$W$589))*(1+S$28))+$P$26)*(1+Dashboard!$D$35),0)</f>
        <v>0</v>
      </c>
      <c r="U371" s="109">
        <f t="shared" ref="U371:U389" si="296">IF(P371&gt;0,P371+U$32,0)</f>
        <v>0</v>
      </c>
      <c r="V371" s="109">
        <f t="shared" ref="V371:V389" si="297">IF(Q371&gt;0,Q371+V$32,0)</f>
        <v>0</v>
      </c>
      <c r="W371" s="109">
        <f t="shared" ref="W371:W389" si="298">IF(R371&gt;0,R371+W$32,0)</f>
        <v>0</v>
      </c>
      <c r="X371" s="109">
        <f t="shared" ref="X371:X389" si="299">IF(S371&gt;0,S371+X$32,0)</f>
        <v>0</v>
      </c>
      <c r="AA371" s="109">
        <f>IF($BD371&gt;0,(((($BD371/Dashboard!$D$23)*(1+Precificação!$W$589)))+$AA$26)*(1+Dashboard!$D$35),0)</f>
        <v>0</v>
      </c>
      <c r="AB371" s="109">
        <f>IF($BD371&gt;0,(((($BD371/Dashboard!$D$23)*(1+Precificação!$W$589))*(1+AB$28))+$AA$26)*(1+Dashboard!$D$35),0)</f>
        <v>0</v>
      </c>
      <c r="AC371" s="109">
        <f>IF($BD371&gt;0,(((($BD371/Dashboard!$D$23)*(1+Precificação!$W$589))*(1+AC$28))+$AA$26)*(1+Dashboard!$D$35),0)</f>
        <v>0</v>
      </c>
      <c r="AD371" s="109">
        <f>IF($BD371&gt;0,(((($BD371/Dashboard!$D$23)*(1+Precificação!$W$589))*(1+AD$28))+$AA$26)*(1+Dashboard!$D$35),0)</f>
        <v>0</v>
      </c>
      <c r="AF371" s="109">
        <f t="shared" ref="AF371:AF389" si="300">IF(AA371&gt;0,AA371+AF$32,0)</f>
        <v>0</v>
      </c>
      <c r="AG371" s="109">
        <f t="shared" ref="AG371:AG389" si="301">IF(AB371&gt;0,AB371+AG$32,0)</f>
        <v>0</v>
      </c>
      <c r="AH371" s="109">
        <f t="shared" ref="AH371:AH389" si="302">IF(AC371&gt;0,AC371+AH$32,0)</f>
        <v>0</v>
      </c>
      <c r="AI371" s="109">
        <f t="shared" ref="AI371:AI389" si="303">IF(AD371&gt;0,AD371+AI$32,0)</f>
        <v>0</v>
      </c>
      <c r="AL371" s="109">
        <f>IF($BD371&gt;0,(((($BD371/Dashboard!$D$23)*(1+Precificação!$W$589)))+$AL$26)*(1+Dashboard!$D$35),0)</f>
        <v>0</v>
      </c>
      <c r="AM371" s="109">
        <f>IF($BD371&gt;0,(((($BD371/Dashboard!$D$23)*(1+Precificação!$W$589))*(1+AM$28))+$AA$26)*(1+Dashboard!$D$35),0)</f>
        <v>0</v>
      </c>
      <c r="AN371" s="109">
        <f>IF($BD371&gt;0,(((($BD371/Dashboard!$D$23)*(1+Precificação!$W$589))*(1+AN$28))+$AA$26)*(1+Dashboard!$D$35),0)</f>
        <v>0</v>
      </c>
      <c r="AO371" s="109">
        <f>IF($BD371&gt;0,(((($BD371/Dashboard!$D$23)*(1+Precificação!$W$589))*(1+AO$28))+$AA$26)*(1+Dashboard!$D$35),0)</f>
        <v>0</v>
      </c>
      <c r="AQ371" s="109">
        <f t="shared" ref="AQ371:AQ389" si="304">IF(AL371&gt;0,AL371+AQ$32,0)</f>
        <v>0</v>
      </c>
      <c r="AR371" s="109">
        <f t="shared" ref="AR371:AR389" si="305">IF(AM371&gt;0,AM371+AR$32,0)</f>
        <v>0</v>
      </c>
      <c r="AS371" s="109">
        <f t="shared" ref="AS371:AS389" si="306">IF(AN371&gt;0,AN371+AS$32,0)</f>
        <v>0</v>
      </c>
      <c r="AT371" s="109">
        <f t="shared" ref="AT371:AT389" si="307">IF(AO371&gt;0,AO371+AT$32,0)</f>
        <v>0</v>
      </c>
      <c r="AW371" s="144">
        <f>VLOOKUP(B371,'Cronog. e Histog.'!$B$213:$BT$688,71,0)</f>
        <v>1</v>
      </c>
      <c r="AX371" s="144">
        <f>VLOOKUP(B371,'Cronog. e Histog.'!$B$213:$BU$688,72,0)</f>
        <v>10</v>
      </c>
      <c r="AY371" s="144">
        <f>$AW371*$AX371*Dashboard!$D$15</f>
        <v>1936.0000000000002</v>
      </c>
      <c r="AZ371" s="144">
        <f>VLOOKUP(B371,Precificação!$B$96:$BM$533,54,0)</f>
        <v>0</v>
      </c>
      <c r="BA371" s="144">
        <f>VLOOKUP(B371,Precificação!$B$96:$BR$533,58,0)</f>
        <v>0</v>
      </c>
      <c r="BB371" s="144">
        <f>VLOOKUP(B371,Precificação!$B$96:$BW$533,62,0)</f>
        <v>0</v>
      </c>
      <c r="BC371" s="144">
        <f t="shared" ref="BC371:BC389" si="308">SUM(AY371:BB371)</f>
        <v>1936.0000000000002</v>
      </c>
      <c r="BD371" s="109">
        <f>IFERROR(VLOOKUP(B371,Precificação!$B$96:$S$533,13,0),0)</f>
        <v>0</v>
      </c>
      <c r="BE371" s="109">
        <f>IFERROR(VLOOKUP(B371,Precificação!$B$96:$U$533,15,0)/(Precificação!$U$4+Precificação!$U$91),0)*Dashboard!$T$3</f>
        <v>0</v>
      </c>
    </row>
    <row r="372" spans="2:57" ht="12" customHeight="1" outlineLevel="1">
      <c r="B372" s="137" t="str">
        <f>Precificação!B362</f>
        <v>SUP.-ESP - Equipe_01</v>
      </c>
      <c r="D372" s="512"/>
      <c r="E372" s="143" t="str">
        <f>IF('Cronog. e Histog.'!G503&gt;0,'Cronog. e Histog.'!G503,"")</f>
        <v>SUP.-ESP</v>
      </c>
      <c r="G372" s="179">
        <f t="shared" si="295"/>
        <v>0</v>
      </c>
      <c r="H372" s="110">
        <f>IFERROR(INDEX('Base Salarial'!$D$5:$F$25,MATCH(E372,'Base Salarial'!$G$5:$G$25,0),MATCH(I372,'Base Salarial'!$D$4:$F$4,0)),"")</f>
        <v>9166.6666666666679</v>
      </c>
      <c r="I372" s="78" t="str">
        <f>IFERROR(INDEX(Tarefas!$BQ$29:$FK$29,MATCH(E372,Tarefas!$BQ$30:$FK$30,0)),"")</f>
        <v>Mensalista</v>
      </c>
      <c r="J372" s="81">
        <f>IF(I372="horista",H372*Dashboard!$D$15,IF(OR(I372="Mensalista",I372="PJ"),H372,))</f>
        <v>9166.6666666666679</v>
      </c>
      <c r="K372" s="81">
        <f>IF(I372="PJ",J372,ROUND(J372*(1+Dashboard!$D$22),2))</f>
        <v>9716.67</v>
      </c>
      <c r="L372" s="77"/>
      <c r="M372" s="180"/>
      <c r="P372" s="109">
        <f>IF($BD372&gt;0,(((($BD372/Dashboard!$D$15)*(1+Precificação!$W$589)))+$P$26)*(1+Dashboard!$D$35),0)</f>
        <v>0</v>
      </c>
      <c r="Q372" s="109">
        <f>IF($BD372&gt;0,(((($BD372/Dashboard!$D$23)+(1+Precificação!$W$589))*(1+Q$28))+$P$26)*(1+Dashboard!$D$35),0)</f>
        <v>0</v>
      </c>
      <c r="R372" s="109">
        <f>IF($BD372&gt;0,(((($BD372/Dashboard!$D$23)+(1+Precificação!$W$589))*(1+R$28))+$P$26)*(1+Dashboard!$D$35),0)</f>
        <v>0</v>
      </c>
      <c r="S372" s="109">
        <f>IF($BD372&gt;0,(((($BD372/Dashboard!$D$23)+(1+Precificação!$W$589))*(1+S$28))+$P$26)*(1+Dashboard!$D$35),0)</f>
        <v>0</v>
      </c>
      <c r="U372" s="109">
        <f t="shared" si="296"/>
        <v>0</v>
      </c>
      <c r="V372" s="109">
        <f t="shared" si="297"/>
        <v>0</v>
      </c>
      <c r="W372" s="109">
        <f t="shared" si="298"/>
        <v>0</v>
      </c>
      <c r="X372" s="109">
        <f t="shared" si="299"/>
        <v>0</v>
      </c>
      <c r="AA372" s="109">
        <f>IF($BD372&gt;0,(((($BD372/Dashboard!$D$23)*(1+Precificação!$W$589)))+$AA$26)*(1+Dashboard!$D$35),0)</f>
        <v>0</v>
      </c>
      <c r="AB372" s="109">
        <f>IF($BD372&gt;0,(((($BD372/Dashboard!$D$23)*(1+Precificação!$W$589))*(1+AB$28))+$AA$26)*(1+Dashboard!$D$35),0)</f>
        <v>0</v>
      </c>
      <c r="AC372" s="109">
        <f>IF($BD372&gt;0,(((($BD372/Dashboard!$D$23)*(1+Precificação!$W$589))*(1+AC$28))+$AA$26)*(1+Dashboard!$D$35),0)</f>
        <v>0</v>
      </c>
      <c r="AD372" s="109">
        <f>IF($BD372&gt;0,(((($BD372/Dashboard!$D$23)*(1+Precificação!$W$589))*(1+AD$28))+$AA$26)*(1+Dashboard!$D$35),0)</f>
        <v>0</v>
      </c>
      <c r="AF372" s="109">
        <f t="shared" si="300"/>
        <v>0</v>
      </c>
      <c r="AG372" s="109">
        <f t="shared" si="301"/>
        <v>0</v>
      </c>
      <c r="AH372" s="109">
        <f t="shared" si="302"/>
        <v>0</v>
      </c>
      <c r="AI372" s="109">
        <f t="shared" si="303"/>
        <v>0</v>
      </c>
      <c r="AL372" s="109">
        <f>IF($BD372&gt;0,(((($BD372/Dashboard!$D$23)*(1+Precificação!$W$589)))+$AL$26)*(1+Dashboard!$D$35),0)</f>
        <v>0</v>
      </c>
      <c r="AM372" s="109">
        <f>IF($BD372&gt;0,(((($BD372/Dashboard!$D$23)*(1+Precificação!$W$589))*(1+AM$28))+$AA$26)*(1+Dashboard!$D$35),0)</f>
        <v>0</v>
      </c>
      <c r="AN372" s="109">
        <f>IF($BD372&gt;0,(((($BD372/Dashboard!$D$23)*(1+Precificação!$W$589))*(1+AN$28))+$AA$26)*(1+Dashboard!$D$35),0)</f>
        <v>0</v>
      </c>
      <c r="AO372" s="109">
        <f>IF($BD372&gt;0,(((($BD372/Dashboard!$D$23)*(1+Precificação!$W$589))*(1+AO$28))+$AA$26)*(1+Dashboard!$D$35),0)</f>
        <v>0</v>
      </c>
      <c r="AQ372" s="109">
        <f t="shared" si="304"/>
        <v>0</v>
      </c>
      <c r="AR372" s="109">
        <f t="shared" si="305"/>
        <v>0</v>
      </c>
      <c r="AS372" s="109">
        <f t="shared" si="306"/>
        <v>0</v>
      </c>
      <c r="AT372" s="109">
        <f t="shared" si="307"/>
        <v>0</v>
      </c>
      <c r="AW372" s="144">
        <f>VLOOKUP(B372,'Cronog. e Histog.'!$B$213:$BT$688,71,0)</f>
        <v>0</v>
      </c>
      <c r="AX372" s="144">
        <f>VLOOKUP(B372,'Cronog. e Histog.'!$B$213:$BU$688,72,0)</f>
        <v>0</v>
      </c>
      <c r="AY372" s="144">
        <f>$AW372*$AX372*Dashboard!$D$15</f>
        <v>0</v>
      </c>
      <c r="AZ372" s="144">
        <f>VLOOKUP(B372,Precificação!$B$96:$BM$533,54,0)</f>
        <v>0</v>
      </c>
      <c r="BA372" s="144">
        <f>VLOOKUP(B372,Precificação!$B$96:$BR$533,58,0)</f>
        <v>0</v>
      </c>
      <c r="BB372" s="144">
        <f>VLOOKUP(B372,Precificação!$B$96:$BW$533,62,0)</f>
        <v>0</v>
      </c>
      <c r="BC372" s="144">
        <f t="shared" si="308"/>
        <v>0</v>
      </c>
      <c r="BD372" s="109">
        <f>IFERROR(VLOOKUP(B372,Precificação!$B$96:$S$533,13,0),0)</f>
        <v>0</v>
      </c>
      <c r="BE372" s="109">
        <f>IFERROR(VLOOKUP(B372,Precificação!$B$96:$U$533,15,0)/(Precificação!$U$4+Precificação!$U$91),0)*Dashboard!$T$3</f>
        <v>0</v>
      </c>
    </row>
    <row r="373" spans="2:57" ht="12" customHeight="1" outlineLevel="1">
      <c r="B373" s="137" t="str">
        <f>Precificação!B363</f>
        <v>ENG/ARQ SR. - Equipe_01</v>
      </c>
      <c r="D373" s="512"/>
      <c r="E373" s="143" t="str">
        <f>IF('Cronog. e Histog.'!G504&gt;0,'Cronog. e Histog.'!G504,"")</f>
        <v>ENG/ARQ SR.</v>
      </c>
      <c r="G373" s="179">
        <f t="shared" si="295"/>
        <v>0</v>
      </c>
      <c r="H373" s="110">
        <f>IFERROR(INDEX('Base Salarial'!$D$5:$F$25,MATCH(E373,'Base Salarial'!$G$5:$G$25,0),MATCH(I373,'Base Salarial'!$D$4:$F$4,0)),"")</f>
        <v>16000</v>
      </c>
      <c r="I373" s="78" t="str">
        <f>IFERROR(INDEX(Tarefas!$BQ$29:$FK$29,MATCH(E373,Tarefas!$BQ$30:$FK$30,0)),"")</f>
        <v>PJ</v>
      </c>
      <c r="J373" s="81">
        <f>IF(I373="horista",H373*Dashboard!$D$15,IF(OR(I373="Mensalista",I373="PJ"),H373,))</f>
        <v>16000</v>
      </c>
      <c r="K373" s="81">
        <f>IF(I373="PJ",J373,ROUND(J373*(1+Dashboard!$D$22),2))</f>
        <v>16000</v>
      </c>
      <c r="L373" s="77"/>
      <c r="M373" s="180"/>
      <c r="P373" s="109">
        <f>IF($BD373&gt;0,(((($BD373/Dashboard!$D$15)*(1+Precificação!$W$589)))+$P$26)*(1+Dashboard!$D$35),0)</f>
        <v>0</v>
      </c>
      <c r="Q373" s="109">
        <f>IF($BD373&gt;0,(((($BD373/Dashboard!$D$23)+(1+Precificação!$W$589))*(1+Q$28))+$P$26)*(1+Dashboard!$D$35),0)</f>
        <v>0</v>
      </c>
      <c r="R373" s="109">
        <f>IF($BD373&gt;0,(((($BD373/Dashboard!$D$23)+(1+Precificação!$W$589))*(1+R$28))+$P$26)*(1+Dashboard!$D$35),0)</f>
        <v>0</v>
      </c>
      <c r="S373" s="109">
        <f>IF($BD373&gt;0,(((($BD373/Dashboard!$D$23)+(1+Precificação!$W$589))*(1+S$28))+$P$26)*(1+Dashboard!$D$35),0)</f>
        <v>0</v>
      </c>
      <c r="U373" s="109">
        <f t="shared" si="296"/>
        <v>0</v>
      </c>
      <c r="V373" s="109">
        <f t="shared" si="297"/>
        <v>0</v>
      </c>
      <c r="W373" s="109">
        <f t="shared" si="298"/>
        <v>0</v>
      </c>
      <c r="X373" s="109">
        <f t="shared" si="299"/>
        <v>0</v>
      </c>
      <c r="AA373" s="109">
        <f>IF($BD373&gt;0,(((($BD373/Dashboard!$D$23)*(1+Precificação!$W$589)))+$AA$26)*(1+Dashboard!$D$35),0)</f>
        <v>0</v>
      </c>
      <c r="AB373" s="109">
        <f>IF($BD373&gt;0,(((($BD373/Dashboard!$D$23)*(1+Precificação!$W$589))*(1+AB$28))+$AA$26)*(1+Dashboard!$D$35),0)</f>
        <v>0</v>
      </c>
      <c r="AC373" s="109">
        <f>IF($BD373&gt;0,(((($BD373/Dashboard!$D$23)*(1+Precificação!$W$589))*(1+AC$28))+$AA$26)*(1+Dashboard!$D$35),0)</f>
        <v>0</v>
      </c>
      <c r="AD373" s="109">
        <f>IF($BD373&gt;0,(((($BD373/Dashboard!$D$23)*(1+Precificação!$W$589))*(1+AD$28))+$AA$26)*(1+Dashboard!$D$35),0)</f>
        <v>0</v>
      </c>
      <c r="AF373" s="109">
        <f t="shared" si="300"/>
        <v>0</v>
      </c>
      <c r="AG373" s="109">
        <f t="shared" si="301"/>
        <v>0</v>
      </c>
      <c r="AH373" s="109">
        <f t="shared" si="302"/>
        <v>0</v>
      </c>
      <c r="AI373" s="109">
        <f t="shared" si="303"/>
        <v>0</v>
      </c>
      <c r="AL373" s="109">
        <f>IF($BD373&gt;0,(((($BD373/Dashboard!$D$23)*(1+Precificação!$W$589)))+$AL$26)*(1+Dashboard!$D$35),0)</f>
        <v>0</v>
      </c>
      <c r="AM373" s="109">
        <f>IF($BD373&gt;0,(((($BD373/Dashboard!$D$23)*(1+Precificação!$W$589))*(1+AM$28))+$AA$26)*(1+Dashboard!$D$35),0)</f>
        <v>0</v>
      </c>
      <c r="AN373" s="109">
        <f>IF($BD373&gt;0,(((($BD373/Dashboard!$D$23)*(1+Precificação!$W$589))*(1+AN$28))+$AA$26)*(1+Dashboard!$D$35),0)</f>
        <v>0</v>
      </c>
      <c r="AO373" s="109">
        <f>IF($BD373&gt;0,(((($BD373/Dashboard!$D$23)*(1+Precificação!$W$589))*(1+AO$28))+$AA$26)*(1+Dashboard!$D$35),0)</f>
        <v>0</v>
      </c>
      <c r="AQ373" s="109">
        <f t="shared" si="304"/>
        <v>0</v>
      </c>
      <c r="AR373" s="109">
        <f t="shared" si="305"/>
        <v>0</v>
      </c>
      <c r="AS373" s="109">
        <f t="shared" si="306"/>
        <v>0</v>
      </c>
      <c r="AT373" s="109">
        <f t="shared" si="307"/>
        <v>0</v>
      </c>
      <c r="AW373" s="144">
        <f>VLOOKUP(B373,'Cronog. e Histog.'!$B$213:$BT$688,71,0)</f>
        <v>9.9999999999999985E-3</v>
      </c>
      <c r="AX373" s="144">
        <f>VLOOKUP(B373,'Cronog. e Histog.'!$B$213:$BU$688,72,0)</f>
        <v>10</v>
      </c>
      <c r="AY373" s="144">
        <f>$AW373*$AX373*Dashboard!$D$15</f>
        <v>19.36</v>
      </c>
      <c r="AZ373" s="144">
        <f>VLOOKUP(B373,Precificação!$B$96:$BM$533,54,0)</f>
        <v>0</v>
      </c>
      <c r="BA373" s="144">
        <f>VLOOKUP(B373,Precificação!$B$96:$BR$533,58,0)</f>
        <v>0</v>
      </c>
      <c r="BB373" s="144">
        <f>VLOOKUP(B373,Precificação!$B$96:$BW$533,62,0)</f>
        <v>0</v>
      </c>
      <c r="BC373" s="144">
        <f t="shared" si="308"/>
        <v>19.36</v>
      </c>
      <c r="BD373" s="109">
        <f>IFERROR(VLOOKUP(B373,Precificação!$B$96:$S$533,13,0),0)</f>
        <v>0</v>
      </c>
      <c r="BE373" s="109">
        <f>IFERROR(VLOOKUP(B373,Precificação!$B$96:$U$533,15,0)/(Precificação!$U$4+Precificação!$U$91),0)*Dashboard!$T$3</f>
        <v>0</v>
      </c>
    </row>
    <row r="374" spans="2:57" ht="12" customHeight="1" outlineLevel="1">
      <c r="B374" s="137" t="str">
        <f>Precificação!B364</f>
        <v>ENG/ARQ PL. - Equipe_01</v>
      </c>
      <c r="D374" s="512"/>
      <c r="E374" s="143" t="str">
        <f>IF('Cronog. e Histog.'!G505&gt;0,'Cronog. e Histog.'!G505,"")</f>
        <v>ENG/ARQ PL.</v>
      </c>
      <c r="G374" s="179">
        <f t="shared" si="295"/>
        <v>0</v>
      </c>
      <c r="H374" s="110">
        <f>IFERROR(INDEX('Base Salarial'!$D$5:$F$25,MATCH(E374,'Base Salarial'!$G$5:$G$25,0),MATCH(I374,'Base Salarial'!$D$4:$F$4,0)),"")</f>
        <v>14000</v>
      </c>
      <c r="I374" s="78" t="str">
        <f>IFERROR(INDEX(Tarefas!$BQ$29:$FK$29,MATCH(E374,Tarefas!$BQ$30:$FK$30,0)),"")</f>
        <v>PJ</v>
      </c>
      <c r="J374" s="81">
        <f>IF(I374="horista",H374*Dashboard!$D$15,IF(OR(I374="Mensalista",I374="PJ"),H374,))</f>
        <v>14000</v>
      </c>
      <c r="K374" s="81">
        <f>IF(I374="PJ",J374,ROUND(J374*(1+Dashboard!$D$22),2))</f>
        <v>14000</v>
      </c>
      <c r="L374" s="77"/>
      <c r="M374" s="180"/>
      <c r="P374" s="109">
        <f>IF($BD374&gt;0,(((($BD374/Dashboard!$D$15)*(1+Precificação!$W$589)))+$P$26)*(1+Dashboard!$D$35),0)</f>
        <v>0</v>
      </c>
      <c r="Q374" s="109">
        <f>IF($BD374&gt;0,(((($BD374/Dashboard!$D$23)+(1+Precificação!$W$589))*(1+Q$28))+$P$26)*(1+Dashboard!$D$35),0)</f>
        <v>0</v>
      </c>
      <c r="R374" s="109">
        <f>IF($BD374&gt;0,(((($BD374/Dashboard!$D$23)+(1+Precificação!$W$589))*(1+R$28))+$P$26)*(1+Dashboard!$D$35),0)</f>
        <v>0</v>
      </c>
      <c r="S374" s="109">
        <f>IF($BD374&gt;0,(((($BD374/Dashboard!$D$23)+(1+Precificação!$W$589))*(1+S$28))+$P$26)*(1+Dashboard!$D$35),0)</f>
        <v>0</v>
      </c>
      <c r="U374" s="109">
        <f t="shared" si="296"/>
        <v>0</v>
      </c>
      <c r="V374" s="109">
        <f t="shared" si="297"/>
        <v>0</v>
      </c>
      <c r="W374" s="109">
        <f t="shared" si="298"/>
        <v>0</v>
      </c>
      <c r="X374" s="109">
        <f t="shared" si="299"/>
        <v>0</v>
      </c>
      <c r="AA374" s="109">
        <f>IF($BD374&gt;0,(((($BD374/Dashboard!$D$23)*(1+Precificação!$W$589)))+$AA$26)*(1+Dashboard!$D$35),0)</f>
        <v>0</v>
      </c>
      <c r="AB374" s="109">
        <f>IF($BD374&gt;0,(((($BD374/Dashboard!$D$23)*(1+Precificação!$W$589))*(1+AB$28))+$AA$26)*(1+Dashboard!$D$35),0)</f>
        <v>0</v>
      </c>
      <c r="AC374" s="109">
        <f>IF($BD374&gt;0,(((($BD374/Dashboard!$D$23)*(1+Precificação!$W$589))*(1+AC$28))+$AA$26)*(1+Dashboard!$D$35),0)</f>
        <v>0</v>
      </c>
      <c r="AD374" s="109">
        <f>IF($BD374&gt;0,(((($BD374/Dashboard!$D$23)*(1+Precificação!$W$589))*(1+AD$28))+$AA$26)*(1+Dashboard!$D$35),0)</f>
        <v>0</v>
      </c>
      <c r="AF374" s="109">
        <f t="shared" si="300"/>
        <v>0</v>
      </c>
      <c r="AG374" s="109">
        <f t="shared" si="301"/>
        <v>0</v>
      </c>
      <c r="AH374" s="109">
        <f t="shared" si="302"/>
        <v>0</v>
      </c>
      <c r="AI374" s="109">
        <f t="shared" si="303"/>
        <v>0</v>
      </c>
      <c r="AL374" s="109">
        <f>IF($BD374&gt;0,(((($BD374/Dashboard!$D$23)*(1+Precificação!$W$589)))+$AL$26)*(1+Dashboard!$D$35),0)</f>
        <v>0</v>
      </c>
      <c r="AM374" s="109">
        <f>IF($BD374&gt;0,(((($BD374/Dashboard!$D$23)*(1+Precificação!$W$589))*(1+AM$28))+$AA$26)*(1+Dashboard!$D$35),0)</f>
        <v>0</v>
      </c>
      <c r="AN374" s="109">
        <f>IF($BD374&gt;0,(((($BD374/Dashboard!$D$23)*(1+Precificação!$W$589))*(1+AN$28))+$AA$26)*(1+Dashboard!$D$35),0)</f>
        <v>0</v>
      </c>
      <c r="AO374" s="109">
        <f>IF($BD374&gt;0,(((($BD374/Dashboard!$D$23)*(1+Precificação!$W$589))*(1+AO$28))+$AA$26)*(1+Dashboard!$D$35),0)</f>
        <v>0</v>
      </c>
      <c r="AQ374" s="109">
        <f t="shared" si="304"/>
        <v>0</v>
      </c>
      <c r="AR374" s="109">
        <f t="shared" si="305"/>
        <v>0</v>
      </c>
      <c r="AS374" s="109">
        <f t="shared" si="306"/>
        <v>0</v>
      </c>
      <c r="AT374" s="109">
        <f t="shared" si="307"/>
        <v>0</v>
      </c>
      <c r="AW374" s="144">
        <f>VLOOKUP(B374,'Cronog. e Histog.'!$B$213:$BT$688,71,0)</f>
        <v>0</v>
      </c>
      <c r="AX374" s="144">
        <f>VLOOKUP(B374,'Cronog. e Histog.'!$B$213:$BU$688,72,0)</f>
        <v>0</v>
      </c>
      <c r="AY374" s="144">
        <f>$AW374*$AX374*Dashboard!$D$15</f>
        <v>0</v>
      </c>
      <c r="AZ374" s="144">
        <f>VLOOKUP(B374,Precificação!$B$96:$BM$533,54,0)</f>
        <v>0</v>
      </c>
      <c r="BA374" s="144">
        <f>VLOOKUP(B374,Precificação!$B$96:$BR$533,58,0)</f>
        <v>0</v>
      </c>
      <c r="BB374" s="144">
        <f>VLOOKUP(B374,Precificação!$B$96:$BW$533,62,0)</f>
        <v>0</v>
      </c>
      <c r="BC374" s="144">
        <f t="shared" si="308"/>
        <v>0</v>
      </c>
      <c r="BD374" s="109">
        <f>IFERROR(VLOOKUP(B374,Precificação!$B$96:$S$533,13,0),0)</f>
        <v>0</v>
      </c>
      <c r="BE374" s="109">
        <f>IFERROR(VLOOKUP(B374,Precificação!$B$96:$U$533,15,0)/(Precificação!$U$4+Precificação!$U$91),0)*Dashboard!$T$3</f>
        <v>0</v>
      </c>
    </row>
    <row r="375" spans="2:57" ht="12" customHeight="1" outlineLevel="1">
      <c r="B375" s="137" t="str">
        <f>Precificação!B365</f>
        <v>ENG/ARQ JR. - Equipe_01</v>
      </c>
      <c r="D375" s="512"/>
      <c r="E375" s="143" t="str">
        <f>IF('Cronog. e Histog.'!G506&gt;0,'Cronog. e Histog.'!G506,"")</f>
        <v>ENG/ARQ JR.</v>
      </c>
      <c r="G375" s="179">
        <f t="shared" si="295"/>
        <v>0</v>
      </c>
      <c r="H375" s="110">
        <f>IFERROR(INDEX('Base Salarial'!$D$5:$F$25,MATCH(E375,'Base Salarial'!$G$5:$G$25,0),MATCH(I375,'Base Salarial'!$D$4:$F$4,0)),"")</f>
        <v>14000</v>
      </c>
      <c r="I375" s="78" t="str">
        <f>IFERROR(INDEX(Tarefas!$BQ$29:$FK$29,MATCH(E375,Tarefas!$BQ$30:$FK$30,0)),"")</f>
        <v>PJ</v>
      </c>
      <c r="J375" s="81">
        <f>IF(I375="horista",H375*Dashboard!$D$15,IF(OR(I375="Mensalista",I375="PJ"),H375,))</f>
        <v>14000</v>
      </c>
      <c r="K375" s="81">
        <f>IF(I375="PJ",J375,ROUND(J375*(1+Dashboard!$D$22),2))</f>
        <v>14000</v>
      </c>
      <c r="L375" s="77"/>
      <c r="M375" s="180"/>
      <c r="P375" s="109">
        <f>IF($BD375&gt;0,(((($BD375/Dashboard!$D$15)*(1+Precificação!$W$589)))+$P$26)*(1+Dashboard!$D$35),0)</f>
        <v>0</v>
      </c>
      <c r="Q375" s="109">
        <f>IF($BD375&gt;0,(((($BD375/Dashboard!$D$23)+(1+Precificação!$W$589))*(1+Q$28))+$P$26)*(1+Dashboard!$D$35),0)</f>
        <v>0</v>
      </c>
      <c r="R375" s="109">
        <f>IF($BD375&gt;0,(((($BD375/Dashboard!$D$23)+(1+Precificação!$W$589))*(1+R$28))+$P$26)*(1+Dashboard!$D$35),0)</f>
        <v>0</v>
      </c>
      <c r="S375" s="109">
        <f>IF($BD375&gt;0,(((($BD375/Dashboard!$D$23)+(1+Precificação!$W$589))*(1+S$28))+$P$26)*(1+Dashboard!$D$35),0)</f>
        <v>0</v>
      </c>
      <c r="U375" s="109">
        <f t="shared" si="296"/>
        <v>0</v>
      </c>
      <c r="V375" s="109">
        <f t="shared" si="297"/>
        <v>0</v>
      </c>
      <c r="W375" s="109">
        <f t="shared" si="298"/>
        <v>0</v>
      </c>
      <c r="X375" s="109">
        <f t="shared" si="299"/>
        <v>0</v>
      </c>
      <c r="AA375" s="109">
        <f>IF($BD375&gt;0,(((($BD375/Dashboard!$D$23)*(1+Precificação!$W$589)))+$AA$26)*(1+Dashboard!$D$35),0)</f>
        <v>0</v>
      </c>
      <c r="AB375" s="109">
        <f>IF($BD375&gt;0,(((($BD375/Dashboard!$D$23)*(1+Precificação!$W$589))*(1+AB$28))+$AA$26)*(1+Dashboard!$D$35),0)</f>
        <v>0</v>
      </c>
      <c r="AC375" s="109">
        <f>IF($BD375&gt;0,(((($BD375/Dashboard!$D$23)*(1+Precificação!$W$589))*(1+AC$28))+$AA$26)*(1+Dashboard!$D$35),0)</f>
        <v>0</v>
      </c>
      <c r="AD375" s="109">
        <f>IF($BD375&gt;0,(((($BD375/Dashboard!$D$23)*(1+Precificação!$W$589))*(1+AD$28))+$AA$26)*(1+Dashboard!$D$35),0)</f>
        <v>0</v>
      </c>
      <c r="AF375" s="109">
        <f t="shared" si="300"/>
        <v>0</v>
      </c>
      <c r="AG375" s="109">
        <f t="shared" si="301"/>
        <v>0</v>
      </c>
      <c r="AH375" s="109">
        <f t="shared" si="302"/>
        <v>0</v>
      </c>
      <c r="AI375" s="109">
        <f t="shared" si="303"/>
        <v>0</v>
      </c>
      <c r="AL375" s="109">
        <f>IF($BD375&gt;0,(((($BD375/Dashboard!$D$23)*(1+Precificação!$W$589)))+$AL$26)*(1+Dashboard!$D$35),0)</f>
        <v>0</v>
      </c>
      <c r="AM375" s="109">
        <f>IF($BD375&gt;0,(((($BD375/Dashboard!$D$23)*(1+Precificação!$W$589))*(1+AM$28))+$AA$26)*(1+Dashboard!$D$35),0)</f>
        <v>0</v>
      </c>
      <c r="AN375" s="109">
        <f>IF($BD375&gt;0,(((($BD375/Dashboard!$D$23)*(1+Precificação!$W$589))*(1+AN$28))+$AA$26)*(1+Dashboard!$D$35),0)</f>
        <v>0</v>
      </c>
      <c r="AO375" s="109">
        <f>IF($BD375&gt;0,(((($BD375/Dashboard!$D$23)*(1+Precificação!$W$589))*(1+AO$28))+$AA$26)*(1+Dashboard!$D$35),0)</f>
        <v>0</v>
      </c>
      <c r="AQ375" s="109">
        <f t="shared" si="304"/>
        <v>0</v>
      </c>
      <c r="AR375" s="109">
        <f t="shared" si="305"/>
        <v>0</v>
      </c>
      <c r="AS375" s="109">
        <f t="shared" si="306"/>
        <v>0</v>
      </c>
      <c r="AT375" s="109">
        <f t="shared" si="307"/>
        <v>0</v>
      </c>
      <c r="AW375" s="144">
        <f>VLOOKUP(B375,'Cronog. e Histog.'!$B$213:$BT$688,71,0)</f>
        <v>0</v>
      </c>
      <c r="AX375" s="144">
        <f>VLOOKUP(B375,'Cronog. e Histog.'!$B$213:$BU$688,72,0)</f>
        <v>0</v>
      </c>
      <c r="AY375" s="144">
        <f>$AW375*$AX375*Dashboard!$D$15</f>
        <v>0</v>
      </c>
      <c r="AZ375" s="144">
        <f>VLOOKUP(B375,Precificação!$B$96:$BM$533,54,0)</f>
        <v>0</v>
      </c>
      <c r="BA375" s="144">
        <f>VLOOKUP(B375,Precificação!$B$96:$BR$533,58,0)</f>
        <v>0</v>
      </c>
      <c r="BB375" s="144">
        <f>VLOOKUP(B375,Precificação!$B$96:$BW$533,62,0)</f>
        <v>0</v>
      </c>
      <c r="BC375" s="144">
        <f t="shared" si="308"/>
        <v>0</v>
      </c>
      <c r="BD375" s="109">
        <f>IFERROR(VLOOKUP(B375,Precificação!$B$96:$S$533,13,0),0)</f>
        <v>0</v>
      </c>
      <c r="BE375" s="109">
        <f>IFERROR(VLOOKUP(B375,Precificação!$B$96:$U$533,15,0)/(Precificação!$U$4+Precificação!$U$91),0)*Dashboard!$T$3</f>
        <v>0</v>
      </c>
    </row>
    <row r="376" spans="2:57" ht="12" customHeight="1" outlineLevel="1">
      <c r="B376" s="137" t="str">
        <f>Precificação!B366</f>
        <v>AN SR. ENG/ARQ - Equipe_01</v>
      </c>
      <c r="D376" s="512"/>
      <c r="E376" s="143" t="str">
        <f>IF('Cronog. e Histog.'!G507&gt;0,'Cronog. e Histog.'!G507,"")</f>
        <v>AN SR. ENG/ARQ</v>
      </c>
      <c r="G376" s="179">
        <f t="shared" si="295"/>
        <v>0</v>
      </c>
      <c r="H376" s="110">
        <f>IFERROR(INDEX('Base Salarial'!$D$5:$F$25,MATCH(E376,'Base Salarial'!$G$5:$G$25,0),MATCH(I376,'Base Salarial'!$D$4:$F$4,0)),"")</f>
        <v>7500</v>
      </c>
      <c r="I376" s="78" t="str">
        <f>IFERROR(INDEX(Tarefas!$BQ$29:$FK$29,MATCH(E376,Tarefas!$BQ$30:$FK$30,0)),"")</f>
        <v>Mensalista</v>
      </c>
      <c r="J376" s="81">
        <f>IF(I376="horista",H376*Dashboard!$D$15,IF(OR(I376="Mensalista",I376="PJ"),H376,))</f>
        <v>7500</v>
      </c>
      <c r="K376" s="81">
        <f>IF(I376="PJ",J376,ROUND(J376*(1+Dashboard!$D$22),2))</f>
        <v>7950</v>
      </c>
      <c r="L376" s="77"/>
      <c r="M376" s="180"/>
      <c r="P376" s="109">
        <f>IF($BD376&gt;0,(((($BD376/Dashboard!$D$15)*(1+Precificação!$W$589)))+$P$26)*(1+Dashboard!$D$35),0)</f>
        <v>0</v>
      </c>
      <c r="Q376" s="109">
        <f>IF($BD376&gt;0,(((($BD376/Dashboard!$D$23)+(1+Precificação!$W$589))*(1+Q$28))+$P$26)*(1+Dashboard!$D$35),0)</f>
        <v>0</v>
      </c>
      <c r="R376" s="109">
        <f>IF($BD376&gt;0,(((($BD376/Dashboard!$D$23)+(1+Precificação!$W$589))*(1+R$28))+$P$26)*(1+Dashboard!$D$35),0)</f>
        <v>0</v>
      </c>
      <c r="S376" s="109">
        <f>IF($BD376&gt;0,(((($BD376/Dashboard!$D$23)+(1+Precificação!$W$589))*(1+S$28))+$P$26)*(1+Dashboard!$D$35),0)</f>
        <v>0</v>
      </c>
      <c r="U376" s="109">
        <f t="shared" si="296"/>
        <v>0</v>
      </c>
      <c r="V376" s="109">
        <f t="shared" si="297"/>
        <v>0</v>
      </c>
      <c r="W376" s="109">
        <f t="shared" si="298"/>
        <v>0</v>
      </c>
      <c r="X376" s="109">
        <f t="shared" si="299"/>
        <v>0</v>
      </c>
      <c r="AA376" s="109">
        <f>IF($BD376&gt;0,(((($BD376/Dashboard!$D$23)*(1+Precificação!$W$589)))+$AA$26)*(1+Dashboard!$D$35),0)</f>
        <v>0</v>
      </c>
      <c r="AB376" s="109">
        <f>IF($BD376&gt;0,(((($BD376/Dashboard!$D$23)*(1+Precificação!$W$589))*(1+AB$28))+$AA$26)*(1+Dashboard!$D$35),0)</f>
        <v>0</v>
      </c>
      <c r="AC376" s="109">
        <f>IF($BD376&gt;0,(((($BD376/Dashboard!$D$23)*(1+Precificação!$W$589))*(1+AC$28))+$AA$26)*(1+Dashboard!$D$35),0)</f>
        <v>0</v>
      </c>
      <c r="AD376" s="109">
        <f>IF($BD376&gt;0,(((($BD376/Dashboard!$D$23)*(1+Precificação!$W$589))*(1+AD$28))+$AA$26)*(1+Dashboard!$D$35),0)</f>
        <v>0</v>
      </c>
      <c r="AF376" s="109">
        <f t="shared" si="300"/>
        <v>0</v>
      </c>
      <c r="AG376" s="109">
        <f t="shared" si="301"/>
        <v>0</v>
      </c>
      <c r="AH376" s="109">
        <f t="shared" si="302"/>
        <v>0</v>
      </c>
      <c r="AI376" s="109">
        <f t="shared" si="303"/>
        <v>0</v>
      </c>
      <c r="AL376" s="109">
        <f>IF($BD376&gt;0,(((($BD376/Dashboard!$D$23)*(1+Precificação!$W$589)))+$AL$26)*(1+Dashboard!$D$35),0)</f>
        <v>0</v>
      </c>
      <c r="AM376" s="109">
        <f>IF($BD376&gt;0,(((($BD376/Dashboard!$D$23)*(1+Precificação!$W$589))*(1+AM$28))+$AA$26)*(1+Dashboard!$D$35),0)</f>
        <v>0</v>
      </c>
      <c r="AN376" s="109">
        <f>IF($BD376&gt;0,(((($BD376/Dashboard!$D$23)*(1+Precificação!$W$589))*(1+AN$28))+$AA$26)*(1+Dashboard!$D$35),0)</f>
        <v>0</v>
      </c>
      <c r="AO376" s="109">
        <f>IF($BD376&gt;0,(((($BD376/Dashboard!$D$23)*(1+Precificação!$W$589))*(1+AO$28))+$AA$26)*(1+Dashboard!$D$35),0)</f>
        <v>0</v>
      </c>
      <c r="AQ376" s="109">
        <f t="shared" si="304"/>
        <v>0</v>
      </c>
      <c r="AR376" s="109">
        <f t="shared" si="305"/>
        <v>0</v>
      </c>
      <c r="AS376" s="109">
        <f t="shared" si="306"/>
        <v>0</v>
      </c>
      <c r="AT376" s="109">
        <f t="shared" si="307"/>
        <v>0</v>
      </c>
      <c r="AW376" s="144">
        <f>VLOOKUP(B376,'Cronog. e Histog.'!$B$213:$BT$688,71,0)</f>
        <v>0</v>
      </c>
      <c r="AX376" s="144">
        <f>VLOOKUP(B376,'Cronog. e Histog.'!$B$213:$BU$688,72,0)</f>
        <v>0</v>
      </c>
      <c r="AY376" s="144">
        <f>$AW376*$AX376*Dashboard!$D$15</f>
        <v>0</v>
      </c>
      <c r="AZ376" s="144">
        <f>VLOOKUP(B376,Precificação!$B$96:$BM$533,54,0)</f>
        <v>0</v>
      </c>
      <c r="BA376" s="144">
        <f>VLOOKUP(B376,Precificação!$B$96:$BR$533,58,0)</f>
        <v>0</v>
      </c>
      <c r="BB376" s="144">
        <f>VLOOKUP(B376,Precificação!$B$96:$BW$533,62,0)</f>
        <v>0</v>
      </c>
      <c r="BC376" s="144">
        <f t="shared" si="308"/>
        <v>0</v>
      </c>
      <c r="BD376" s="109">
        <f>IFERROR(VLOOKUP(B376,Precificação!$B$96:$S$533,13,0),0)</f>
        <v>0</v>
      </c>
      <c r="BE376" s="109">
        <f>IFERROR(VLOOKUP(B376,Precificação!$B$96:$U$533,15,0)/(Precificação!$U$4+Precificação!$U$91),0)*Dashboard!$T$3</f>
        <v>0</v>
      </c>
    </row>
    <row r="377" spans="2:57" ht="12" customHeight="1" outlineLevel="1">
      <c r="B377" s="137" t="str">
        <f>Precificação!B367</f>
        <v>AN PL. ENG/ARQ - Equipe_01</v>
      </c>
      <c r="D377" s="512"/>
      <c r="E377" s="143" t="str">
        <f>IF('Cronog. e Histog.'!G508&gt;0,'Cronog. e Histog.'!G508,"")</f>
        <v>AN PL. ENG/ARQ</v>
      </c>
      <c r="G377" s="179">
        <f t="shared" si="295"/>
        <v>0</v>
      </c>
      <c r="H377" s="110">
        <f>IFERROR(INDEX('Base Salarial'!$D$5:$F$25,MATCH(E377,'Base Salarial'!$G$5:$G$25,0),MATCH(I377,'Base Salarial'!$D$4:$F$4,0)),"")</f>
        <v>6000</v>
      </c>
      <c r="I377" s="78" t="str">
        <f>IFERROR(INDEX(Tarefas!$BQ$29:$FK$29,MATCH(E377,Tarefas!$BQ$30:$FK$30,0)),"")</f>
        <v>Mensalista</v>
      </c>
      <c r="J377" s="81">
        <f>IF(I377="horista",H377*Dashboard!$D$15,IF(OR(I377="Mensalista",I377="PJ"),H377,))</f>
        <v>6000</v>
      </c>
      <c r="K377" s="81">
        <f>IF(I377="PJ",J377,ROUND(J377*(1+Dashboard!$D$22),2))</f>
        <v>6360</v>
      </c>
      <c r="L377" s="77"/>
      <c r="M377" s="180"/>
      <c r="P377" s="109">
        <f>IF($BD377&gt;0,(((($BD377/Dashboard!$D$15)*(1+Precificação!$W$589)))+$P$26)*(1+Dashboard!$D$35),0)</f>
        <v>0</v>
      </c>
      <c r="Q377" s="109">
        <f>IF($BD377&gt;0,(((($BD377/Dashboard!$D$23)+(1+Precificação!$W$589))*(1+Q$28))+$P$26)*(1+Dashboard!$D$35),0)</f>
        <v>0</v>
      </c>
      <c r="R377" s="109">
        <f>IF($BD377&gt;0,(((($BD377/Dashboard!$D$23)+(1+Precificação!$W$589))*(1+R$28))+$P$26)*(1+Dashboard!$D$35),0)</f>
        <v>0</v>
      </c>
      <c r="S377" s="109">
        <f>IF($BD377&gt;0,(((($BD377/Dashboard!$D$23)+(1+Precificação!$W$589))*(1+S$28))+$P$26)*(1+Dashboard!$D$35),0)</f>
        <v>0</v>
      </c>
      <c r="U377" s="109">
        <f t="shared" si="296"/>
        <v>0</v>
      </c>
      <c r="V377" s="109">
        <f t="shared" si="297"/>
        <v>0</v>
      </c>
      <c r="W377" s="109">
        <f t="shared" si="298"/>
        <v>0</v>
      </c>
      <c r="X377" s="109">
        <f t="shared" si="299"/>
        <v>0</v>
      </c>
      <c r="AA377" s="109">
        <f>IF($BD377&gt;0,(((($BD377/Dashboard!$D$23)*(1+Precificação!$W$589)))+$AA$26)*(1+Dashboard!$D$35),0)</f>
        <v>0</v>
      </c>
      <c r="AB377" s="109">
        <f>IF($BD377&gt;0,(((($BD377/Dashboard!$D$23)*(1+Precificação!$W$589))*(1+AB$28))+$AA$26)*(1+Dashboard!$D$35),0)</f>
        <v>0</v>
      </c>
      <c r="AC377" s="109">
        <f>IF($BD377&gt;0,(((($BD377/Dashboard!$D$23)*(1+Precificação!$W$589))*(1+AC$28))+$AA$26)*(1+Dashboard!$D$35),0)</f>
        <v>0</v>
      </c>
      <c r="AD377" s="109">
        <f>IF($BD377&gt;0,(((($BD377/Dashboard!$D$23)*(1+Precificação!$W$589))*(1+AD$28))+$AA$26)*(1+Dashboard!$D$35),0)</f>
        <v>0</v>
      </c>
      <c r="AF377" s="109">
        <f t="shared" si="300"/>
        <v>0</v>
      </c>
      <c r="AG377" s="109">
        <f t="shared" si="301"/>
        <v>0</v>
      </c>
      <c r="AH377" s="109">
        <f t="shared" si="302"/>
        <v>0</v>
      </c>
      <c r="AI377" s="109">
        <f t="shared" si="303"/>
        <v>0</v>
      </c>
      <c r="AL377" s="109">
        <f>IF($BD377&gt;0,(((($BD377/Dashboard!$D$23)*(1+Precificação!$W$589)))+$AL$26)*(1+Dashboard!$D$35),0)</f>
        <v>0</v>
      </c>
      <c r="AM377" s="109">
        <f>IF($BD377&gt;0,(((($BD377/Dashboard!$D$23)*(1+Precificação!$W$589))*(1+AM$28))+$AA$26)*(1+Dashboard!$D$35),0)</f>
        <v>0</v>
      </c>
      <c r="AN377" s="109">
        <f>IF($BD377&gt;0,(((($BD377/Dashboard!$D$23)*(1+Precificação!$W$589))*(1+AN$28))+$AA$26)*(1+Dashboard!$D$35),0)</f>
        <v>0</v>
      </c>
      <c r="AO377" s="109">
        <f>IF($BD377&gt;0,(((($BD377/Dashboard!$D$23)*(1+Precificação!$W$589))*(1+AO$28))+$AA$26)*(1+Dashboard!$D$35),0)</f>
        <v>0</v>
      </c>
      <c r="AQ377" s="109">
        <f t="shared" si="304"/>
        <v>0</v>
      </c>
      <c r="AR377" s="109">
        <f t="shared" si="305"/>
        <v>0</v>
      </c>
      <c r="AS377" s="109">
        <f t="shared" si="306"/>
        <v>0</v>
      </c>
      <c r="AT377" s="109">
        <f t="shared" si="307"/>
        <v>0</v>
      </c>
      <c r="AW377" s="144">
        <f>VLOOKUP(B377,'Cronog. e Histog.'!$B$213:$BT$688,71,0)</f>
        <v>0</v>
      </c>
      <c r="AX377" s="144">
        <f>VLOOKUP(B377,'Cronog. e Histog.'!$B$213:$BU$688,72,0)</f>
        <v>0</v>
      </c>
      <c r="AY377" s="144">
        <f>$AW377*$AX377*Dashboard!$D$15</f>
        <v>0</v>
      </c>
      <c r="AZ377" s="144">
        <f>VLOOKUP(B377,Precificação!$B$96:$BM$533,54,0)</f>
        <v>0</v>
      </c>
      <c r="BA377" s="144">
        <f>VLOOKUP(B377,Precificação!$B$96:$BR$533,58,0)</f>
        <v>0</v>
      </c>
      <c r="BB377" s="144">
        <f>VLOOKUP(B377,Precificação!$B$96:$BW$533,62,0)</f>
        <v>0</v>
      </c>
      <c r="BC377" s="144">
        <f t="shared" si="308"/>
        <v>0</v>
      </c>
      <c r="BD377" s="109">
        <f>IFERROR(VLOOKUP(B377,Precificação!$B$96:$S$533,13,0),0)</f>
        <v>0</v>
      </c>
      <c r="BE377" s="109">
        <f>IFERROR(VLOOKUP(B377,Precificação!$B$96:$U$533,15,0)/(Precificação!$U$4+Precificação!$U$91),0)*Dashboard!$T$3</f>
        <v>0</v>
      </c>
    </row>
    <row r="378" spans="2:57" ht="12" customHeight="1" outlineLevel="1">
      <c r="B378" s="137" t="str">
        <f>Precificação!B368</f>
        <v>AN JR. ENG/ARQ - Equipe_01</v>
      </c>
      <c r="D378" s="512"/>
      <c r="E378" s="143" t="str">
        <f>IF('Cronog. e Histog.'!G509&gt;0,'Cronog. e Histog.'!G509,"")</f>
        <v>AN JR. ENG/ARQ</v>
      </c>
      <c r="G378" s="179">
        <f t="shared" si="295"/>
        <v>0</v>
      </c>
      <c r="H378" s="110">
        <f>IFERROR(INDEX('Base Salarial'!$D$5:$F$25,MATCH(E378,'Base Salarial'!$G$5:$G$25,0),MATCH(I378,'Base Salarial'!$D$4:$F$4,0)),"")</f>
        <v>4500</v>
      </c>
      <c r="I378" s="78" t="str">
        <f>IFERROR(INDEX(Tarefas!$BQ$29:$FK$29,MATCH(E378,Tarefas!$BQ$30:$FK$30,0)),"")</f>
        <v>Mensalista</v>
      </c>
      <c r="J378" s="81">
        <f>IF(I378="horista",H378*Dashboard!$D$15,IF(OR(I378="Mensalista",I378="PJ"),H378,))</f>
        <v>4500</v>
      </c>
      <c r="K378" s="81">
        <f>IF(I378="PJ",J378,ROUND(J378*(1+Dashboard!$D$22),2))</f>
        <v>4770</v>
      </c>
      <c r="L378" s="77"/>
      <c r="M378" s="180"/>
      <c r="P378" s="109">
        <f>IF($BD378&gt;0,(((($BD378/Dashboard!$D$15)*(1+Precificação!$W$589)))+$P$26)*(1+Dashboard!$D$35),0)</f>
        <v>0</v>
      </c>
      <c r="Q378" s="109">
        <f>IF($BD378&gt;0,(((($BD378/Dashboard!$D$23)+(1+Precificação!$W$589))*(1+Q$28))+$P$26)*(1+Dashboard!$D$35),0)</f>
        <v>0</v>
      </c>
      <c r="R378" s="109">
        <f>IF($BD378&gt;0,(((($BD378/Dashboard!$D$23)+(1+Precificação!$W$589))*(1+R$28))+$P$26)*(1+Dashboard!$D$35),0)</f>
        <v>0</v>
      </c>
      <c r="S378" s="109">
        <f>IF($BD378&gt;0,(((($BD378/Dashboard!$D$23)+(1+Precificação!$W$589))*(1+S$28))+$P$26)*(1+Dashboard!$D$35),0)</f>
        <v>0</v>
      </c>
      <c r="U378" s="109">
        <f t="shared" si="296"/>
        <v>0</v>
      </c>
      <c r="V378" s="109">
        <f t="shared" si="297"/>
        <v>0</v>
      </c>
      <c r="W378" s="109">
        <f t="shared" si="298"/>
        <v>0</v>
      </c>
      <c r="X378" s="109">
        <f t="shared" si="299"/>
        <v>0</v>
      </c>
      <c r="AA378" s="109">
        <f>IF($BD378&gt;0,(((($BD378/Dashboard!$D$23)*(1+Precificação!$W$589)))+$AA$26)*(1+Dashboard!$D$35),0)</f>
        <v>0</v>
      </c>
      <c r="AB378" s="109">
        <f>IF($BD378&gt;0,(((($BD378/Dashboard!$D$23)*(1+Precificação!$W$589))*(1+AB$28))+$AA$26)*(1+Dashboard!$D$35),0)</f>
        <v>0</v>
      </c>
      <c r="AC378" s="109">
        <f>IF($BD378&gt;0,(((($BD378/Dashboard!$D$23)*(1+Precificação!$W$589))*(1+AC$28))+$AA$26)*(1+Dashboard!$D$35),0)</f>
        <v>0</v>
      </c>
      <c r="AD378" s="109">
        <f>IF($BD378&gt;0,(((($BD378/Dashboard!$D$23)*(1+Precificação!$W$589))*(1+AD$28))+$AA$26)*(1+Dashboard!$D$35),0)</f>
        <v>0</v>
      </c>
      <c r="AF378" s="109">
        <f t="shared" si="300"/>
        <v>0</v>
      </c>
      <c r="AG378" s="109">
        <f t="shared" si="301"/>
        <v>0</v>
      </c>
      <c r="AH378" s="109">
        <f t="shared" si="302"/>
        <v>0</v>
      </c>
      <c r="AI378" s="109">
        <f t="shared" si="303"/>
        <v>0</v>
      </c>
      <c r="AL378" s="109">
        <f>IF($BD378&gt;0,(((($BD378/Dashboard!$D$23)*(1+Precificação!$W$589)))+$AL$26)*(1+Dashboard!$D$35),0)</f>
        <v>0</v>
      </c>
      <c r="AM378" s="109">
        <f>IF($BD378&gt;0,(((($BD378/Dashboard!$D$23)*(1+Precificação!$W$589))*(1+AM$28))+$AA$26)*(1+Dashboard!$D$35),0)</f>
        <v>0</v>
      </c>
      <c r="AN378" s="109">
        <f>IF($BD378&gt;0,(((($BD378/Dashboard!$D$23)*(1+Precificação!$W$589))*(1+AN$28))+$AA$26)*(1+Dashboard!$D$35),0)</f>
        <v>0</v>
      </c>
      <c r="AO378" s="109">
        <f>IF($BD378&gt;0,(((($BD378/Dashboard!$D$23)*(1+Precificação!$W$589))*(1+AO$28))+$AA$26)*(1+Dashboard!$D$35),0)</f>
        <v>0</v>
      </c>
      <c r="AQ378" s="109">
        <f t="shared" si="304"/>
        <v>0</v>
      </c>
      <c r="AR378" s="109">
        <f t="shared" si="305"/>
        <v>0</v>
      </c>
      <c r="AS378" s="109">
        <f t="shared" si="306"/>
        <v>0</v>
      </c>
      <c r="AT378" s="109">
        <f t="shared" si="307"/>
        <v>0</v>
      </c>
      <c r="AW378" s="144">
        <f>VLOOKUP(B378,'Cronog. e Histog.'!$B$213:$BT$688,71,0)</f>
        <v>0</v>
      </c>
      <c r="AX378" s="144">
        <f>VLOOKUP(B378,'Cronog. e Histog.'!$B$213:$BU$688,72,0)</f>
        <v>0</v>
      </c>
      <c r="AY378" s="144">
        <f>$AW378*$AX378*Dashboard!$D$15</f>
        <v>0</v>
      </c>
      <c r="AZ378" s="144">
        <f>VLOOKUP(B378,Precificação!$B$96:$BM$533,54,0)</f>
        <v>0</v>
      </c>
      <c r="BA378" s="144">
        <f>VLOOKUP(B378,Precificação!$B$96:$BR$533,58,0)</f>
        <v>0</v>
      </c>
      <c r="BB378" s="144">
        <f>VLOOKUP(B378,Precificação!$B$96:$BW$533,62,0)</f>
        <v>0</v>
      </c>
      <c r="BC378" s="144">
        <f t="shared" si="308"/>
        <v>0</v>
      </c>
      <c r="BD378" s="109">
        <f>IFERROR(VLOOKUP(B378,Precificação!$B$96:$S$533,13,0),0)</f>
        <v>0</v>
      </c>
      <c r="BE378" s="109">
        <f>IFERROR(VLOOKUP(B378,Precificação!$B$96:$U$533,15,0)/(Precificação!$U$4+Precificação!$U$91),0)*Dashboard!$T$3</f>
        <v>0</v>
      </c>
    </row>
    <row r="379" spans="2:57" ht="12" customHeight="1" outlineLevel="1">
      <c r="B379" s="137" t="str">
        <f>Precificação!B369</f>
        <v>AN SR. ADM/CRP - Equipe_01</v>
      </c>
      <c r="D379" s="512"/>
      <c r="E379" s="143" t="str">
        <f>IF('Cronog. e Histog.'!G510&gt;0,'Cronog. e Histog.'!G510,"")</f>
        <v>AN SR. ADM/CRP</v>
      </c>
      <c r="G379" s="179">
        <f t="shared" si="295"/>
        <v>0</v>
      </c>
      <c r="H379" s="110">
        <f>IFERROR(INDEX('Base Salarial'!$D$5:$F$25,MATCH(E379,'Base Salarial'!$G$5:$G$25,0),MATCH(I379,'Base Salarial'!$D$4:$F$4,0)),"")</f>
        <v>7000</v>
      </c>
      <c r="I379" s="78" t="str">
        <f>IFERROR(INDEX(Tarefas!$BQ$29:$FK$29,MATCH(E379,Tarefas!$BQ$30:$FK$30,0)),"")</f>
        <v>Mensalista</v>
      </c>
      <c r="J379" s="81">
        <f>IF(I379="horista",H379*Dashboard!$D$15,IF(OR(I379="Mensalista",I379="PJ"),H379,))</f>
        <v>7000</v>
      </c>
      <c r="K379" s="81">
        <f>IF(I379="PJ",J379,ROUND(J379*(1+Dashboard!$D$22),2))</f>
        <v>7420</v>
      </c>
      <c r="L379" s="77"/>
      <c r="M379" s="180"/>
      <c r="P379" s="109">
        <f>IF($BD379&gt;0,(((($BD379/Dashboard!$D$15)*(1+Precificação!$W$589)))+$P$26)*(1+Dashboard!$D$35),0)</f>
        <v>0</v>
      </c>
      <c r="Q379" s="109">
        <f>IF($BD379&gt;0,(((($BD379/Dashboard!$D$23)+(1+Precificação!$W$589))*(1+Q$28))+$P$26)*(1+Dashboard!$D$35),0)</f>
        <v>0</v>
      </c>
      <c r="R379" s="109">
        <f>IF($BD379&gt;0,(((($BD379/Dashboard!$D$23)+(1+Precificação!$W$589))*(1+R$28))+$P$26)*(1+Dashboard!$D$35),0)</f>
        <v>0</v>
      </c>
      <c r="S379" s="109">
        <f>IF($BD379&gt;0,(((($BD379/Dashboard!$D$23)+(1+Precificação!$W$589))*(1+S$28))+$P$26)*(1+Dashboard!$D$35),0)</f>
        <v>0</v>
      </c>
      <c r="U379" s="109">
        <f t="shared" si="296"/>
        <v>0</v>
      </c>
      <c r="V379" s="109">
        <f t="shared" si="297"/>
        <v>0</v>
      </c>
      <c r="W379" s="109">
        <f t="shared" si="298"/>
        <v>0</v>
      </c>
      <c r="X379" s="109">
        <f t="shared" si="299"/>
        <v>0</v>
      </c>
      <c r="AA379" s="109">
        <f>IF($BD379&gt;0,(((($BD379/Dashboard!$D$23)*(1+Precificação!$W$589)))+$AA$26)*(1+Dashboard!$D$35),0)</f>
        <v>0</v>
      </c>
      <c r="AB379" s="109">
        <f>IF($BD379&gt;0,(((($BD379/Dashboard!$D$23)*(1+Precificação!$W$589))*(1+AB$28))+$AA$26)*(1+Dashboard!$D$35),0)</f>
        <v>0</v>
      </c>
      <c r="AC379" s="109">
        <f>IF($BD379&gt;0,(((($BD379/Dashboard!$D$23)*(1+Precificação!$W$589))*(1+AC$28))+$AA$26)*(1+Dashboard!$D$35),0)</f>
        <v>0</v>
      </c>
      <c r="AD379" s="109">
        <f>IF($BD379&gt;0,(((($BD379/Dashboard!$D$23)*(1+Precificação!$W$589))*(1+AD$28))+$AA$26)*(1+Dashboard!$D$35),0)</f>
        <v>0</v>
      </c>
      <c r="AF379" s="109">
        <f t="shared" si="300"/>
        <v>0</v>
      </c>
      <c r="AG379" s="109">
        <f t="shared" si="301"/>
        <v>0</v>
      </c>
      <c r="AH379" s="109">
        <f t="shared" si="302"/>
        <v>0</v>
      </c>
      <c r="AI379" s="109">
        <f t="shared" si="303"/>
        <v>0</v>
      </c>
      <c r="AL379" s="109">
        <f>IF($BD379&gt;0,(((($BD379/Dashboard!$D$23)*(1+Precificação!$W$589)))+$AL$26)*(1+Dashboard!$D$35),0)</f>
        <v>0</v>
      </c>
      <c r="AM379" s="109">
        <f>IF($BD379&gt;0,(((($BD379/Dashboard!$D$23)*(1+Precificação!$W$589))*(1+AM$28))+$AA$26)*(1+Dashboard!$D$35),0)</f>
        <v>0</v>
      </c>
      <c r="AN379" s="109">
        <f>IF($BD379&gt;0,(((($BD379/Dashboard!$D$23)*(1+Precificação!$W$589))*(1+AN$28))+$AA$26)*(1+Dashboard!$D$35),0)</f>
        <v>0</v>
      </c>
      <c r="AO379" s="109">
        <f>IF($BD379&gt;0,(((($BD379/Dashboard!$D$23)*(1+Precificação!$W$589))*(1+AO$28))+$AA$26)*(1+Dashboard!$D$35),0)</f>
        <v>0</v>
      </c>
      <c r="AQ379" s="109">
        <f t="shared" si="304"/>
        <v>0</v>
      </c>
      <c r="AR379" s="109">
        <f t="shared" si="305"/>
        <v>0</v>
      </c>
      <c r="AS379" s="109">
        <f t="shared" si="306"/>
        <v>0</v>
      </c>
      <c r="AT379" s="109">
        <f t="shared" si="307"/>
        <v>0</v>
      </c>
      <c r="AW379" s="144">
        <f>VLOOKUP(B379,'Cronog. e Histog.'!$B$213:$BT$688,71,0)</f>
        <v>0</v>
      </c>
      <c r="AX379" s="144">
        <f>VLOOKUP(B379,'Cronog. e Histog.'!$B$213:$BU$688,72,0)</f>
        <v>0</v>
      </c>
      <c r="AY379" s="144">
        <f>$AW379*$AX379*Dashboard!$D$15</f>
        <v>0</v>
      </c>
      <c r="AZ379" s="144">
        <f>VLOOKUP(B379,Precificação!$B$96:$BM$533,54,0)</f>
        <v>0</v>
      </c>
      <c r="BA379" s="144">
        <f>VLOOKUP(B379,Precificação!$B$96:$BR$533,58,0)</f>
        <v>0</v>
      </c>
      <c r="BB379" s="144">
        <f>VLOOKUP(B379,Precificação!$B$96:$BW$533,62,0)</f>
        <v>0</v>
      </c>
      <c r="BC379" s="144">
        <f t="shared" si="308"/>
        <v>0</v>
      </c>
      <c r="BD379" s="109">
        <f>IFERROR(VLOOKUP(B379,Precificação!$B$96:$S$533,13,0),0)</f>
        <v>0</v>
      </c>
      <c r="BE379" s="109">
        <f>IFERROR(VLOOKUP(B379,Precificação!$B$96:$U$533,15,0)/(Precificação!$U$4+Precificação!$U$91),0)*Dashboard!$T$3</f>
        <v>0</v>
      </c>
    </row>
    <row r="380" spans="2:57" ht="12" customHeight="1" outlineLevel="1">
      <c r="B380" s="137" t="str">
        <f>Precificação!B370</f>
        <v>AN PL. ADM/CRP - Equipe_01</v>
      </c>
      <c r="D380" s="512"/>
      <c r="E380" s="143" t="str">
        <f>IF('Cronog. e Histog.'!G511&gt;0,'Cronog. e Histog.'!G511,"")</f>
        <v>AN PL. ADM/CRP</v>
      </c>
      <c r="G380" s="179">
        <f t="shared" si="295"/>
        <v>0</v>
      </c>
      <c r="H380" s="110">
        <f>IFERROR(INDEX('Base Salarial'!$D$5:$F$25,MATCH(E380,'Base Salarial'!$G$5:$G$25,0),MATCH(I380,'Base Salarial'!$D$4:$F$4,0)),"")</f>
        <v>5000</v>
      </c>
      <c r="I380" s="78" t="str">
        <f>IFERROR(INDEX(Tarefas!$BQ$29:$FK$29,MATCH(E380,Tarefas!$BQ$30:$FK$30,0)),"")</f>
        <v>Mensalista</v>
      </c>
      <c r="J380" s="81">
        <f>IF(I380="horista",H380*Dashboard!$D$15,IF(OR(I380="Mensalista",I380="PJ"),H380,))</f>
        <v>5000</v>
      </c>
      <c r="K380" s="81">
        <f>IF(I380="PJ",J380,ROUND(J380*(1+Dashboard!$D$22),2))</f>
        <v>5300</v>
      </c>
      <c r="L380" s="77"/>
      <c r="M380" s="180"/>
      <c r="P380" s="109">
        <f>IF($BD380&gt;0,(((($BD380/Dashboard!$D$15)*(1+Precificação!$W$589)))+$P$26)*(1+Dashboard!$D$35),0)</f>
        <v>0</v>
      </c>
      <c r="Q380" s="109">
        <f>IF($BD380&gt;0,(((($BD380/Dashboard!$D$23)+(1+Precificação!$W$589))*(1+Q$28))+$P$26)*(1+Dashboard!$D$35),0)</f>
        <v>0</v>
      </c>
      <c r="R380" s="109">
        <f>IF($BD380&gt;0,(((($BD380/Dashboard!$D$23)+(1+Precificação!$W$589))*(1+R$28))+$P$26)*(1+Dashboard!$D$35),0)</f>
        <v>0</v>
      </c>
      <c r="S380" s="109">
        <f>IF($BD380&gt;0,(((($BD380/Dashboard!$D$23)+(1+Precificação!$W$589))*(1+S$28))+$P$26)*(1+Dashboard!$D$35),0)</f>
        <v>0</v>
      </c>
      <c r="U380" s="109">
        <f t="shared" si="296"/>
        <v>0</v>
      </c>
      <c r="V380" s="109">
        <f t="shared" si="297"/>
        <v>0</v>
      </c>
      <c r="W380" s="109">
        <f t="shared" si="298"/>
        <v>0</v>
      </c>
      <c r="X380" s="109">
        <f t="shared" si="299"/>
        <v>0</v>
      </c>
      <c r="AA380" s="109">
        <f>IF($BD380&gt;0,(((($BD380/Dashboard!$D$23)*(1+Precificação!$W$589)))+$AA$26)*(1+Dashboard!$D$35),0)</f>
        <v>0</v>
      </c>
      <c r="AB380" s="109">
        <f>IF($BD380&gt;0,(((($BD380/Dashboard!$D$23)*(1+Precificação!$W$589))*(1+AB$28))+$AA$26)*(1+Dashboard!$D$35),0)</f>
        <v>0</v>
      </c>
      <c r="AC380" s="109">
        <f>IF($BD380&gt;0,(((($BD380/Dashboard!$D$23)*(1+Precificação!$W$589))*(1+AC$28))+$AA$26)*(1+Dashboard!$D$35),0)</f>
        <v>0</v>
      </c>
      <c r="AD380" s="109">
        <f>IF($BD380&gt;0,(((($BD380/Dashboard!$D$23)*(1+Precificação!$W$589))*(1+AD$28))+$AA$26)*(1+Dashboard!$D$35),0)</f>
        <v>0</v>
      </c>
      <c r="AF380" s="109">
        <f t="shared" si="300"/>
        <v>0</v>
      </c>
      <c r="AG380" s="109">
        <f t="shared" si="301"/>
        <v>0</v>
      </c>
      <c r="AH380" s="109">
        <f t="shared" si="302"/>
        <v>0</v>
      </c>
      <c r="AI380" s="109">
        <f t="shared" si="303"/>
        <v>0</v>
      </c>
      <c r="AL380" s="109">
        <f>IF($BD380&gt;0,(((($BD380/Dashboard!$D$23)*(1+Precificação!$W$589)))+$AL$26)*(1+Dashboard!$D$35),0)</f>
        <v>0</v>
      </c>
      <c r="AM380" s="109">
        <f>IF($BD380&gt;0,(((($BD380/Dashboard!$D$23)*(1+Precificação!$W$589))*(1+AM$28))+$AA$26)*(1+Dashboard!$D$35),0)</f>
        <v>0</v>
      </c>
      <c r="AN380" s="109">
        <f>IF($BD380&gt;0,(((($BD380/Dashboard!$D$23)*(1+Precificação!$W$589))*(1+AN$28))+$AA$26)*(1+Dashboard!$D$35),0)</f>
        <v>0</v>
      </c>
      <c r="AO380" s="109">
        <f>IF($BD380&gt;0,(((($BD380/Dashboard!$D$23)*(1+Precificação!$W$589))*(1+AO$28))+$AA$26)*(1+Dashboard!$D$35),0)</f>
        <v>0</v>
      </c>
      <c r="AQ380" s="109">
        <f t="shared" si="304"/>
        <v>0</v>
      </c>
      <c r="AR380" s="109">
        <f t="shared" si="305"/>
        <v>0</v>
      </c>
      <c r="AS380" s="109">
        <f t="shared" si="306"/>
        <v>0</v>
      </c>
      <c r="AT380" s="109">
        <f t="shared" si="307"/>
        <v>0</v>
      </c>
      <c r="AW380" s="144">
        <f>VLOOKUP(B380,'Cronog. e Histog.'!$B$213:$BT$688,71,0)</f>
        <v>0</v>
      </c>
      <c r="AX380" s="144">
        <f>VLOOKUP(B380,'Cronog. e Histog.'!$B$213:$BU$688,72,0)</f>
        <v>0</v>
      </c>
      <c r="AY380" s="144">
        <f>$AW380*$AX380*Dashboard!$D$15</f>
        <v>0</v>
      </c>
      <c r="AZ380" s="144">
        <f>VLOOKUP(B380,Precificação!$B$96:$BM$533,54,0)</f>
        <v>0</v>
      </c>
      <c r="BA380" s="144">
        <f>VLOOKUP(B380,Precificação!$B$96:$BR$533,58,0)</f>
        <v>0</v>
      </c>
      <c r="BB380" s="144">
        <f>VLOOKUP(B380,Precificação!$B$96:$BW$533,62,0)</f>
        <v>0</v>
      </c>
      <c r="BC380" s="144">
        <f t="shared" si="308"/>
        <v>0</v>
      </c>
      <c r="BD380" s="109">
        <f>IFERROR(VLOOKUP(B380,Precificação!$B$96:$S$533,13,0),0)</f>
        <v>0</v>
      </c>
      <c r="BE380" s="109">
        <f>IFERROR(VLOOKUP(B380,Precificação!$B$96:$U$533,15,0)/(Precificação!$U$4+Precificação!$U$91),0)*Dashboard!$T$3</f>
        <v>0</v>
      </c>
    </row>
    <row r="381" spans="2:57" ht="12" customHeight="1" outlineLevel="1">
      <c r="B381" s="137" t="str">
        <f>Precificação!B371</f>
        <v>AN JR. ADM/CRP - Equipe_01</v>
      </c>
      <c r="D381" s="512"/>
      <c r="E381" s="143" t="str">
        <f>IF('Cronog. e Histog.'!G512&gt;0,'Cronog. e Histog.'!G512,"")</f>
        <v>AN JR. ADM/CRP</v>
      </c>
      <c r="G381" s="179">
        <f t="shared" si="295"/>
        <v>0</v>
      </c>
      <c r="H381" s="110">
        <f>IFERROR(INDEX('Base Salarial'!$D$5:$F$25,MATCH(E381,'Base Salarial'!$G$5:$G$25,0),MATCH(I381,'Base Salarial'!$D$4:$F$4,0)),"")</f>
        <v>3500</v>
      </c>
      <c r="I381" s="78" t="str">
        <f>IFERROR(INDEX(Tarefas!$BQ$29:$FK$29,MATCH(E381,Tarefas!$BQ$30:$FK$30,0)),"")</f>
        <v>Mensalista</v>
      </c>
      <c r="J381" s="81">
        <f>IF(I381="horista",H381*Dashboard!$D$15,IF(OR(I381="Mensalista",I381="PJ"),H381,))</f>
        <v>3500</v>
      </c>
      <c r="K381" s="81">
        <f>IF(I381="PJ",J381,ROUND(J381*(1+Dashboard!$D$22),2))</f>
        <v>3710</v>
      </c>
      <c r="L381" s="77"/>
      <c r="M381" s="180"/>
      <c r="P381" s="109">
        <f>IF($BD381&gt;0,(((($BD381/Dashboard!$D$15)*(1+Precificação!$W$589)))+$P$26)*(1+Dashboard!$D$35),0)</f>
        <v>0</v>
      </c>
      <c r="Q381" s="109">
        <f>IF($BD381&gt;0,(((($BD381/Dashboard!$D$23)+(1+Precificação!$W$589))*(1+Q$28))+$P$26)*(1+Dashboard!$D$35),0)</f>
        <v>0</v>
      </c>
      <c r="R381" s="109">
        <f>IF($BD381&gt;0,(((($BD381/Dashboard!$D$23)+(1+Precificação!$W$589))*(1+R$28))+$P$26)*(1+Dashboard!$D$35),0)</f>
        <v>0</v>
      </c>
      <c r="S381" s="109">
        <f>IF($BD381&gt;0,(((($BD381/Dashboard!$D$23)+(1+Precificação!$W$589))*(1+S$28))+$P$26)*(1+Dashboard!$D$35),0)</f>
        <v>0</v>
      </c>
      <c r="U381" s="109">
        <f t="shared" si="296"/>
        <v>0</v>
      </c>
      <c r="V381" s="109">
        <f t="shared" si="297"/>
        <v>0</v>
      </c>
      <c r="W381" s="109">
        <f t="shared" si="298"/>
        <v>0</v>
      </c>
      <c r="X381" s="109">
        <f t="shared" si="299"/>
        <v>0</v>
      </c>
      <c r="AA381" s="109">
        <f>IF($BD381&gt;0,(((($BD381/Dashboard!$D$23)*(1+Precificação!$W$589)))+$AA$26)*(1+Dashboard!$D$35),0)</f>
        <v>0</v>
      </c>
      <c r="AB381" s="109">
        <f>IF($BD381&gt;0,(((($BD381/Dashboard!$D$23)*(1+Precificação!$W$589))*(1+AB$28))+$AA$26)*(1+Dashboard!$D$35),0)</f>
        <v>0</v>
      </c>
      <c r="AC381" s="109">
        <f>IF($BD381&gt;0,(((($BD381/Dashboard!$D$23)*(1+Precificação!$W$589))*(1+AC$28))+$AA$26)*(1+Dashboard!$D$35),0)</f>
        <v>0</v>
      </c>
      <c r="AD381" s="109">
        <f>IF($BD381&gt;0,(((($BD381/Dashboard!$D$23)*(1+Precificação!$W$589))*(1+AD$28))+$AA$26)*(1+Dashboard!$D$35),0)</f>
        <v>0</v>
      </c>
      <c r="AF381" s="109">
        <f t="shared" si="300"/>
        <v>0</v>
      </c>
      <c r="AG381" s="109">
        <f t="shared" si="301"/>
        <v>0</v>
      </c>
      <c r="AH381" s="109">
        <f t="shared" si="302"/>
        <v>0</v>
      </c>
      <c r="AI381" s="109">
        <f t="shared" si="303"/>
        <v>0</v>
      </c>
      <c r="AL381" s="109">
        <f>IF($BD381&gt;0,(((($BD381/Dashboard!$D$23)*(1+Precificação!$W$589)))+$AL$26)*(1+Dashboard!$D$35),0)</f>
        <v>0</v>
      </c>
      <c r="AM381" s="109">
        <f>IF($BD381&gt;0,(((($BD381/Dashboard!$D$23)*(1+Precificação!$W$589))*(1+AM$28))+$AA$26)*(1+Dashboard!$D$35),0)</f>
        <v>0</v>
      </c>
      <c r="AN381" s="109">
        <f>IF($BD381&gt;0,(((($BD381/Dashboard!$D$23)*(1+Precificação!$W$589))*(1+AN$28))+$AA$26)*(1+Dashboard!$D$35),0)</f>
        <v>0</v>
      </c>
      <c r="AO381" s="109">
        <f>IF($BD381&gt;0,(((($BD381/Dashboard!$D$23)*(1+Precificação!$W$589))*(1+AO$28))+$AA$26)*(1+Dashboard!$D$35),0)</f>
        <v>0</v>
      </c>
      <c r="AQ381" s="109">
        <f t="shared" si="304"/>
        <v>0</v>
      </c>
      <c r="AR381" s="109">
        <f t="shared" si="305"/>
        <v>0</v>
      </c>
      <c r="AS381" s="109">
        <f t="shared" si="306"/>
        <v>0</v>
      </c>
      <c r="AT381" s="109">
        <f t="shared" si="307"/>
        <v>0</v>
      </c>
      <c r="AW381" s="144">
        <f>VLOOKUP(B381,'Cronog. e Histog.'!$B$213:$BT$688,71,0)</f>
        <v>0</v>
      </c>
      <c r="AX381" s="144">
        <f>VLOOKUP(B381,'Cronog. e Histog.'!$B$213:$BU$688,72,0)</f>
        <v>0</v>
      </c>
      <c r="AY381" s="144">
        <f>$AW381*$AX381*Dashboard!$D$15</f>
        <v>0</v>
      </c>
      <c r="AZ381" s="144">
        <f>VLOOKUP(B381,Precificação!$B$96:$BM$533,54,0)</f>
        <v>0</v>
      </c>
      <c r="BA381" s="144">
        <f>VLOOKUP(B381,Precificação!$B$96:$BR$533,58,0)</f>
        <v>0</v>
      </c>
      <c r="BB381" s="144">
        <f>VLOOKUP(B381,Precificação!$B$96:$BW$533,62,0)</f>
        <v>0</v>
      </c>
      <c r="BC381" s="144">
        <f t="shared" si="308"/>
        <v>0</v>
      </c>
      <c r="BD381" s="109">
        <f>IFERROR(VLOOKUP(B381,Precificação!$B$96:$S$533,13,0),0)</f>
        <v>0</v>
      </c>
      <c r="BE381" s="109">
        <f>IFERROR(VLOOKUP(B381,Precificação!$B$96:$U$533,15,0)/(Precificação!$U$4+Precificação!$U$91),0)*Dashboard!$T$3</f>
        <v>0</v>
      </c>
    </row>
    <row r="382" spans="2:57" ht="12" customHeight="1" outlineLevel="1">
      <c r="B382" s="137" t="str">
        <f>Precificação!B372</f>
        <v>TEC III - Equipe_01</v>
      </c>
      <c r="D382" s="512"/>
      <c r="E382" s="143" t="str">
        <f>IF('Cronog. e Histog.'!G513&gt;0,'Cronog. e Histog.'!G513,"")</f>
        <v>TEC III</v>
      </c>
      <c r="G382" s="179">
        <f t="shared" si="295"/>
        <v>0</v>
      </c>
      <c r="H382" s="110">
        <f>IFERROR(INDEX('Base Salarial'!$D$5:$F$25,MATCH(E382,'Base Salarial'!$G$5:$G$25,0),MATCH(I382,'Base Salarial'!$D$4:$F$4,0)),"")</f>
        <v>6000</v>
      </c>
      <c r="I382" s="78" t="str">
        <f>IFERROR(INDEX(Tarefas!$BQ$29:$FK$29,MATCH(E382,Tarefas!$BQ$30:$FK$30,0)),"")</f>
        <v>Mensalista</v>
      </c>
      <c r="J382" s="81">
        <f>IF(I382="horista",H382*Dashboard!$D$15,IF(OR(I382="Mensalista",I382="PJ"),H382,))</f>
        <v>6000</v>
      </c>
      <c r="K382" s="81">
        <f>IF(I382="PJ",J382,ROUND(J382*(1+Dashboard!$D$22),2))</f>
        <v>6360</v>
      </c>
      <c r="L382" s="77"/>
      <c r="M382" s="180"/>
      <c r="P382" s="109">
        <f>IF($BD382&gt;0,(((($BD382/Dashboard!$D$15)*(1+Precificação!$W$589)))+$P$26)*(1+Dashboard!$D$35),0)</f>
        <v>0</v>
      </c>
      <c r="Q382" s="109">
        <f>IF($BD382&gt;0,(((($BD382/Dashboard!$D$23)+(1+Precificação!$W$589))*(1+Q$28))+$P$26)*(1+Dashboard!$D$35),0)</f>
        <v>0</v>
      </c>
      <c r="R382" s="109">
        <f>IF($BD382&gt;0,(((($BD382/Dashboard!$D$23)+(1+Precificação!$W$589))*(1+R$28))+$P$26)*(1+Dashboard!$D$35),0)</f>
        <v>0</v>
      </c>
      <c r="S382" s="109">
        <f>IF($BD382&gt;0,(((($BD382/Dashboard!$D$23)+(1+Precificação!$W$589))*(1+S$28))+$P$26)*(1+Dashboard!$D$35),0)</f>
        <v>0</v>
      </c>
      <c r="U382" s="109">
        <f t="shared" si="296"/>
        <v>0</v>
      </c>
      <c r="V382" s="109">
        <f t="shared" si="297"/>
        <v>0</v>
      </c>
      <c r="W382" s="109">
        <f t="shared" si="298"/>
        <v>0</v>
      </c>
      <c r="X382" s="109">
        <f t="shared" si="299"/>
        <v>0</v>
      </c>
      <c r="AA382" s="109">
        <f>IF($BD382&gt;0,(((($BD382/Dashboard!$D$23)*(1+Precificação!$W$589)))+$AA$26)*(1+Dashboard!$D$35),0)</f>
        <v>0</v>
      </c>
      <c r="AB382" s="109">
        <f>IF($BD382&gt;0,(((($BD382/Dashboard!$D$23)*(1+Precificação!$W$589))*(1+AB$28))+$AA$26)*(1+Dashboard!$D$35),0)</f>
        <v>0</v>
      </c>
      <c r="AC382" s="109">
        <f>IF($BD382&gt;0,(((($BD382/Dashboard!$D$23)*(1+Precificação!$W$589))*(1+AC$28))+$AA$26)*(1+Dashboard!$D$35),0)</f>
        <v>0</v>
      </c>
      <c r="AD382" s="109">
        <f>IF($BD382&gt;0,(((($BD382/Dashboard!$D$23)*(1+Precificação!$W$589))*(1+AD$28))+$AA$26)*(1+Dashboard!$D$35),0)</f>
        <v>0</v>
      </c>
      <c r="AF382" s="109">
        <f t="shared" si="300"/>
        <v>0</v>
      </c>
      <c r="AG382" s="109">
        <f t="shared" si="301"/>
        <v>0</v>
      </c>
      <c r="AH382" s="109">
        <f t="shared" si="302"/>
        <v>0</v>
      </c>
      <c r="AI382" s="109">
        <f t="shared" si="303"/>
        <v>0</v>
      </c>
      <c r="AL382" s="109">
        <f>IF($BD382&gt;0,(((($BD382/Dashboard!$D$23)*(1+Precificação!$W$589)))+$AL$26)*(1+Dashboard!$D$35),0)</f>
        <v>0</v>
      </c>
      <c r="AM382" s="109">
        <f>IF($BD382&gt;0,(((($BD382/Dashboard!$D$23)*(1+Precificação!$W$589))*(1+AM$28))+$AA$26)*(1+Dashboard!$D$35),0)</f>
        <v>0</v>
      </c>
      <c r="AN382" s="109">
        <f>IF($BD382&gt;0,(((($BD382/Dashboard!$D$23)*(1+Precificação!$W$589))*(1+AN$28))+$AA$26)*(1+Dashboard!$D$35),0)</f>
        <v>0</v>
      </c>
      <c r="AO382" s="109">
        <f>IF($BD382&gt;0,(((($BD382/Dashboard!$D$23)*(1+Precificação!$W$589))*(1+AO$28))+$AA$26)*(1+Dashboard!$D$35),0)</f>
        <v>0</v>
      </c>
      <c r="AQ382" s="109">
        <f t="shared" si="304"/>
        <v>0</v>
      </c>
      <c r="AR382" s="109">
        <f t="shared" si="305"/>
        <v>0</v>
      </c>
      <c r="AS382" s="109">
        <f t="shared" si="306"/>
        <v>0</v>
      </c>
      <c r="AT382" s="109">
        <f t="shared" si="307"/>
        <v>0</v>
      </c>
      <c r="AW382" s="144">
        <f>VLOOKUP(B382,'Cronog. e Histog.'!$B$213:$BT$688,71,0)</f>
        <v>0</v>
      </c>
      <c r="AX382" s="144">
        <f>VLOOKUP(B382,'Cronog. e Histog.'!$B$213:$BU$688,72,0)</f>
        <v>0</v>
      </c>
      <c r="AY382" s="144">
        <f>$AW382*$AX382*Dashboard!$D$15</f>
        <v>0</v>
      </c>
      <c r="AZ382" s="144">
        <f>VLOOKUP(B382,Precificação!$B$96:$BM$533,54,0)</f>
        <v>0</v>
      </c>
      <c r="BA382" s="144">
        <f>VLOOKUP(B382,Precificação!$B$96:$BR$533,58,0)</f>
        <v>0</v>
      </c>
      <c r="BB382" s="144">
        <f>VLOOKUP(B382,Precificação!$B$96:$BW$533,62,0)</f>
        <v>0</v>
      </c>
      <c r="BC382" s="144">
        <f t="shared" si="308"/>
        <v>0</v>
      </c>
      <c r="BD382" s="109">
        <f>IFERROR(VLOOKUP(B382,Precificação!$B$96:$S$533,13,0),0)</f>
        <v>0</v>
      </c>
      <c r="BE382" s="109">
        <f>IFERROR(VLOOKUP(B382,Precificação!$B$96:$U$533,15,0)/(Precificação!$U$4+Precificação!$U$91),0)*Dashboard!$T$3</f>
        <v>0</v>
      </c>
    </row>
    <row r="383" spans="2:57" ht="12" customHeight="1" outlineLevel="1">
      <c r="B383" s="137" t="str">
        <f>Precificação!B373</f>
        <v>TEC II - Equipe_01</v>
      </c>
      <c r="D383" s="512"/>
      <c r="E383" s="143" t="str">
        <f>IF('Cronog. e Histog.'!G514&gt;0,'Cronog. e Histog.'!G514,"")</f>
        <v>TEC II</v>
      </c>
      <c r="G383" s="179">
        <f t="shared" si="295"/>
        <v>0</v>
      </c>
      <c r="H383" s="110">
        <f>IFERROR(INDEX('Base Salarial'!$D$5:$F$25,MATCH(E383,'Base Salarial'!$G$5:$G$25,0),MATCH(I383,'Base Salarial'!$D$4:$F$4,0)),"")</f>
        <v>4500</v>
      </c>
      <c r="I383" s="78" t="str">
        <f>IFERROR(INDEX(Tarefas!$BQ$29:$FK$29,MATCH(E383,Tarefas!$BQ$30:$FK$30,0)),"")</f>
        <v>Mensalista</v>
      </c>
      <c r="J383" s="81">
        <f>IF(I383="horista",H383*Dashboard!$D$15,IF(OR(I383="Mensalista",I383="PJ"),H383,))</f>
        <v>4500</v>
      </c>
      <c r="K383" s="81">
        <f>IF(I383="PJ",J383,ROUND(J383*(1+Dashboard!$D$22),2))</f>
        <v>4770</v>
      </c>
      <c r="L383" s="77"/>
      <c r="M383" s="180"/>
      <c r="P383" s="109">
        <f>IF($BD383&gt;0,(((($BD383/Dashboard!$D$15)*(1+Precificação!$W$589)))+$P$26)*(1+Dashboard!$D$35),0)</f>
        <v>0</v>
      </c>
      <c r="Q383" s="109">
        <f>IF($BD383&gt;0,(((($BD383/Dashboard!$D$23)+(1+Precificação!$W$589))*(1+Q$28))+$P$26)*(1+Dashboard!$D$35),0)</f>
        <v>0</v>
      </c>
      <c r="R383" s="109">
        <f>IF($BD383&gt;0,(((($BD383/Dashboard!$D$23)+(1+Precificação!$W$589))*(1+R$28))+$P$26)*(1+Dashboard!$D$35),0)</f>
        <v>0</v>
      </c>
      <c r="S383" s="109">
        <f>IF($BD383&gt;0,(((($BD383/Dashboard!$D$23)+(1+Precificação!$W$589))*(1+S$28))+$P$26)*(1+Dashboard!$D$35),0)</f>
        <v>0</v>
      </c>
      <c r="U383" s="109">
        <f t="shared" si="296"/>
        <v>0</v>
      </c>
      <c r="V383" s="109">
        <f t="shared" si="297"/>
        <v>0</v>
      </c>
      <c r="W383" s="109">
        <f t="shared" si="298"/>
        <v>0</v>
      </c>
      <c r="X383" s="109">
        <f t="shared" si="299"/>
        <v>0</v>
      </c>
      <c r="AA383" s="109">
        <f>IF($BD383&gt;0,(((($BD383/Dashboard!$D$23)*(1+Precificação!$W$589)))+$AA$26)*(1+Dashboard!$D$35),0)</f>
        <v>0</v>
      </c>
      <c r="AB383" s="109">
        <f>IF($BD383&gt;0,(((($BD383/Dashboard!$D$23)*(1+Precificação!$W$589))*(1+AB$28))+$AA$26)*(1+Dashboard!$D$35),0)</f>
        <v>0</v>
      </c>
      <c r="AC383" s="109">
        <f>IF($BD383&gt;0,(((($BD383/Dashboard!$D$23)*(1+Precificação!$W$589))*(1+AC$28))+$AA$26)*(1+Dashboard!$D$35),0)</f>
        <v>0</v>
      </c>
      <c r="AD383" s="109">
        <f>IF($BD383&gt;0,(((($BD383/Dashboard!$D$23)*(1+Precificação!$W$589))*(1+AD$28))+$AA$26)*(1+Dashboard!$D$35),0)</f>
        <v>0</v>
      </c>
      <c r="AF383" s="109">
        <f t="shared" si="300"/>
        <v>0</v>
      </c>
      <c r="AG383" s="109">
        <f t="shared" si="301"/>
        <v>0</v>
      </c>
      <c r="AH383" s="109">
        <f t="shared" si="302"/>
        <v>0</v>
      </c>
      <c r="AI383" s="109">
        <f t="shared" si="303"/>
        <v>0</v>
      </c>
      <c r="AL383" s="109">
        <f>IF($BD383&gt;0,(((($BD383/Dashboard!$D$23)*(1+Precificação!$W$589)))+$AL$26)*(1+Dashboard!$D$35),0)</f>
        <v>0</v>
      </c>
      <c r="AM383" s="109">
        <f>IF($BD383&gt;0,(((($BD383/Dashboard!$D$23)*(1+Precificação!$W$589))*(1+AM$28))+$AA$26)*(1+Dashboard!$D$35),0)</f>
        <v>0</v>
      </c>
      <c r="AN383" s="109">
        <f>IF($BD383&gt;0,(((($BD383/Dashboard!$D$23)*(1+Precificação!$W$589))*(1+AN$28))+$AA$26)*(1+Dashboard!$D$35),0)</f>
        <v>0</v>
      </c>
      <c r="AO383" s="109">
        <f>IF($BD383&gt;0,(((($BD383/Dashboard!$D$23)*(1+Precificação!$W$589))*(1+AO$28))+$AA$26)*(1+Dashboard!$D$35),0)</f>
        <v>0</v>
      </c>
      <c r="AQ383" s="109">
        <f t="shared" si="304"/>
        <v>0</v>
      </c>
      <c r="AR383" s="109">
        <f t="shared" si="305"/>
        <v>0</v>
      </c>
      <c r="AS383" s="109">
        <f t="shared" si="306"/>
        <v>0</v>
      </c>
      <c r="AT383" s="109">
        <f t="shared" si="307"/>
        <v>0</v>
      </c>
      <c r="AW383" s="144">
        <f>VLOOKUP(B383,'Cronog. e Histog.'!$B$213:$BT$688,71,0)</f>
        <v>0</v>
      </c>
      <c r="AX383" s="144">
        <f>VLOOKUP(B383,'Cronog. e Histog.'!$B$213:$BU$688,72,0)</f>
        <v>0</v>
      </c>
      <c r="AY383" s="144">
        <f>$AW383*$AX383*Dashboard!$D$15</f>
        <v>0</v>
      </c>
      <c r="AZ383" s="144">
        <f>VLOOKUP(B383,Precificação!$B$96:$BM$533,54,0)</f>
        <v>0</v>
      </c>
      <c r="BA383" s="144">
        <f>VLOOKUP(B383,Precificação!$B$96:$BR$533,58,0)</f>
        <v>0</v>
      </c>
      <c r="BB383" s="144">
        <f>VLOOKUP(B383,Precificação!$B$96:$BW$533,62,0)</f>
        <v>0</v>
      </c>
      <c r="BC383" s="144">
        <f t="shared" si="308"/>
        <v>0</v>
      </c>
      <c r="BD383" s="109">
        <f>IFERROR(VLOOKUP(B383,Precificação!$B$96:$S$533,13,0),0)</f>
        <v>0</v>
      </c>
      <c r="BE383" s="109">
        <f>IFERROR(VLOOKUP(B383,Precificação!$B$96:$U$533,15,0)/(Precificação!$U$4+Precificação!$U$91),0)*Dashboard!$T$3</f>
        <v>0</v>
      </c>
    </row>
    <row r="384" spans="2:57" ht="12" customHeight="1" outlineLevel="1">
      <c r="B384" s="137" t="str">
        <f>Precificação!B374</f>
        <v>TEC I - Equipe_01</v>
      </c>
      <c r="D384" s="512"/>
      <c r="E384" s="143" t="str">
        <f>IF('Cronog. e Histog.'!G515&gt;0,'Cronog. e Histog.'!G515,"")</f>
        <v>TEC I</v>
      </c>
      <c r="G384" s="179">
        <f t="shared" si="295"/>
        <v>0</v>
      </c>
      <c r="H384" s="110">
        <f>IFERROR(INDEX('Base Salarial'!$D$5:$F$25,MATCH(E384,'Base Salarial'!$G$5:$G$25,0),MATCH(I384,'Base Salarial'!$D$4:$F$4,0)),"")</f>
        <v>3000</v>
      </c>
      <c r="I384" s="78" t="str">
        <f>IFERROR(INDEX(Tarefas!$BQ$29:$FK$29,MATCH(E384,Tarefas!$BQ$30:$FK$30,0)),"")</f>
        <v>Mensalista</v>
      </c>
      <c r="J384" s="81">
        <f>IF(I384="horista",H384*Dashboard!$D$15,IF(OR(I384="Mensalista",I384="PJ"),H384,))</f>
        <v>3000</v>
      </c>
      <c r="K384" s="81">
        <f>IF(I384="PJ",J384,ROUND(J384*(1+Dashboard!$D$22),2))</f>
        <v>3180</v>
      </c>
      <c r="L384" s="77"/>
      <c r="M384" s="180"/>
      <c r="P384" s="109">
        <f>IF($BD384&gt;0,(((($BD384/Dashboard!$D$15)*(1+Precificação!$W$589)))+$P$26)*(1+Dashboard!$D$35),0)</f>
        <v>0</v>
      </c>
      <c r="Q384" s="109">
        <f>IF($BD384&gt;0,(((($BD384/Dashboard!$D$23)+(1+Precificação!$W$589))*(1+Q$28))+$P$26)*(1+Dashboard!$D$35),0)</f>
        <v>0</v>
      </c>
      <c r="R384" s="109">
        <f>IF($BD384&gt;0,(((($BD384/Dashboard!$D$23)+(1+Precificação!$W$589))*(1+R$28))+$P$26)*(1+Dashboard!$D$35),0)</f>
        <v>0</v>
      </c>
      <c r="S384" s="109">
        <f>IF($BD384&gt;0,(((($BD384/Dashboard!$D$23)+(1+Precificação!$W$589))*(1+S$28))+$P$26)*(1+Dashboard!$D$35),0)</f>
        <v>0</v>
      </c>
      <c r="U384" s="109">
        <f t="shared" si="296"/>
        <v>0</v>
      </c>
      <c r="V384" s="109">
        <f t="shared" si="297"/>
        <v>0</v>
      </c>
      <c r="W384" s="109">
        <f t="shared" si="298"/>
        <v>0</v>
      </c>
      <c r="X384" s="109">
        <f t="shared" si="299"/>
        <v>0</v>
      </c>
      <c r="AA384" s="109">
        <f>IF($BD384&gt;0,(((($BD384/Dashboard!$D$23)*(1+Precificação!$W$589)))+$AA$26)*(1+Dashboard!$D$35),0)</f>
        <v>0</v>
      </c>
      <c r="AB384" s="109">
        <f>IF($BD384&gt;0,(((($BD384/Dashboard!$D$23)*(1+Precificação!$W$589))*(1+AB$28))+$AA$26)*(1+Dashboard!$D$35),0)</f>
        <v>0</v>
      </c>
      <c r="AC384" s="109">
        <f>IF($BD384&gt;0,(((($BD384/Dashboard!$D$23)*(1+Precificação!$W$589))*(1+AC$28))+$AA$26)*(1+Dashboard!$D$35),0)</f>
        <v>0</v>
      </c>
      <c r="AD384" s="109">
        <f>IF($BD384&gt;0,(((($BD384/Dashboard!$D$23)*(1+Precificação!$W$589))*(1+AD$28))+$AA$26)*(1+Dashboard!$D$35),0)</f>
        <v>0</v>
      </c>
      <c r="AF384" s="109">
        <f t="shared" si="300"/>
        <v>0</v>
      </c>
      <c r="AG384" s="109">
        <f t="shared" si="301"/>
        <v>0</v>
      </c>
      <c r="AH384" s="109">
        <f t="shared" si="302"/>
        <v>0</v>
      </c>
      <c r="AI384" s="109">
        <f t="shared" si="303"/>
        <v>0</v>
      </c>
      <c r="AL384" s="109">
        <f>IF($BD384&gt;0,(((($BD384/Dashboard!$D$23)*(1+Precificação!$W$589)))+$AL$26)*(1+Dashboard!$D$35),0)</f>
        <v>0</v>
      </c>
      <c r="AM384" s="109">
        <f>IF($BD384&gt;0,(((($BD384/Dashboard!$D$23)*(1+Precificação!$W$589))*(1+AM$28))+$AA$26)*(1+Dashboard!$D$35),0)</f>
        <v>0</v>
      </c>
      <c r="AN384" s="109">
        <f>IF($BD384&gt;0,(((($BD384/Dashboard!$D$23)*(1+Precificação!$W$589))*(1+AN$28))+$AA$26)*(1+Dashboard!$D$35),0)</f>
        <v>0</v>
      </c>
      <c r="AO384" s="109">
        <f>IF($BD384&gt;0,(((($BD384/Dashboard!$D$23)*(1+Precificação!$W$589))*(1+AO$28))+$AA$26)*(1+Dashboard!$D$35),0)</f>
        <v>0</v>
      </c>
      <c r="AQ384" s="109">
        <f t="shared" si="304"/>
        <v>0</v>
      </c>
      <c r="AR384" s="109">
        <f t="shared" si="305"/>
        <v>0</v>
      </c>
      <c r="AS384" s="109">
        <f t="shared" si="306"/>
        <v>0</v>
      </c>
      <c r="AT384" s="109">
        <f t="shared" si="307"/>
        <v>0</v>
      </c>
      <c r="AW384" s="144">
        <f>VLOOKUP(B384,'Cronog. e Histog.'!$B$213:$BT$688,71,0)</f>
        <v>0</v>
      </c>
      <c r="AX384" s="144">
        <f>VLOOKUP(B384,'Cronog. e Histog.'!$B$213:$BU$688,72,0)</f>
        <v>0</v>
      </c>
      <c r="AY384" s="144">
        <f>$AW384*$AX384*Dashboard!$D$15</f>
        <v>0</v>
      </c>
      <c r="AZ384" s="144">
        <f>VLOOKUP(B384,Precificação!$B$96:$BM$533,54,0)</f>
        <v>0</v>
      </c>
      <c r="BA384" s="144">
        <f>VLOOKUP(B384,Precificação!$B$96:$BR$533,58,0)</f>
        <v>0</v>
      </c>
      <c r="BB384" s="144">
        <f>VLOOKUP(B384,Precificação!$B$96:$BW$533,62,0)</f>
        <v>0</v>
      </c>
      <c r="BC384" s="144">
        <f t="shared" si="308"/>
        <v>0</v>
      </c>
      <c r="BD384" s="109">
        <f>IFERROR(VLOOKUP(B384,Precificação!$B$96:$S$533,13,0),0)</f>
        <v>0</v>
      </c>
      <c r="BE384" s="109">
        <f>IFERROR(VLOOKUP(B384,Precificação!$B$96:$U$533,15,0)/(Precificação!$U$4+Precificação!$U$91),0)*Dashboard!$T$3</f>
        <v>0</v>
      </c>
    </row>
    <row r="385" spans="2:57" ht="12" customHeight="1" outlineLevel="1">
      <c r="B385" s="137" t="str">
        <f>Precificação!B375</f>
        <v>AUX TEC - Equipe_01</v>
      </c>
      <c r="D385" s="512"/>
      <c r="E385" s="143" t="str">
        <f>IF('Cronog. e Histog.'!G516&gt;0,'Cronog. e Histog.'!G516,"")</f>
        <v>AUX TEC</v>
      </c>
      <c r="G385" s="179">
        <f t="shared" si="295"/>
        <v>0</v>
      </c>
      <c r="H385" s="110">
        <f>IFERROR(INDEX('Base Salarial'!$D$5:$F$25,MATCH(E385,'Base Salarial'!$G$5:$G$25,0),MATCH(I385,'Base Salarial'!$D$4:$F$4,0)),"")</f>
        <v>3500</v>
      </c>
      <c r="I385" s="78" t="str">
        <f>IFERROR(INDEX(Tarefas!$BQ$29:$FK$29,MATCH(E385,Tarefas!$BQ$30:$FK$30,0)),"")</f>
        <v>Mensalista</v>
      </c>
      <c r="J385" s="81">
        <f>IF(I385="horista",H385*Dashboard!$D$15,IF(OR(I385="Mensalista",I385="PJ"),H385,))</f>
        <v>3500</v>
      </c>
      <c r="K385" s="81">
        <f>IF(I385="PJ",J385,ROUND(J385*(1+Dashboard!$D$22),2))</f>
        <v>3710</v>
      </c>
      <c r="L385" s="77"/>
      <c r="M385" s="180"/>
      <c r="P385" s="109">
        <f>IF($BD385&gt;0,(((($BD385/Dashboard!$D$15)*(1+Precificação!$W$589)))+$P$26)*(1+Dashboard!$D$35),0)</f>
        <v>0</v>
      </c>
      <c r="Q385" s="109">
        <f>IF($BD385&gt;0,(((($BD385/Dashboard!$D$23)+(1+Precificação!$W$589))*(1+Q$28))+$P$26)*(1+Dashboard!$D$35),0)</f>
        <v>0</v>
      </c>
      <c r="R385" s="109">
        <f>IF($BD385&gt;0,(((($BD385/Dashboard!$D$23)+(1+Precificação!$W$589))*(1+R$28))+$P$26)*(1+Dashboard!$D$35),0)</f>
        <v>0</v>
      </c>
      <c r="S385" s="109">
        <f>IF($BD385&gt;0,(((($BD385/Dashboard!$D$23)+(1+Precificação!$W$589))*(1+S$28))+$P$26)*(1+Dashboard!$D$35),0)</f>
        <v>0</v>
      </c>
      <c r="U385" s="109">
        <f t="shared" si="296"/>
        <v>0</v>
      </c>
      <c r="V385" s="109">
        <f t="shared" si="297"/>
        <v>0</v>
      </c>
      <c r="W385" s="109">
        <f t="shared" si="298"/>
        <v>0</v>
      </c>
      <c r="X385" s="109">
        <f t="shared" si="299"/>
        <v>0</v>
      </c>
      <c r="AA385" s="109">
        <f>IF($BD385&gt;0,(((($BD385/Dashboard!$D$23)*(1+Precificação!$W$589)))+$AA$26)*(1+Dashboard!$D$35),0)</f>
        <v>0</v>
      </c>
      <c r="AB385" s="109">
        <f>IF($BD385&gt;0,(((($BD385/Dashboard!$D$23)*(1+Precificação!$W$589))*(1+AB$28))+$AA$26)*(1+Dashboard!$D$35),0)</f>
        <v>0</v>
      </c>
      <c r="AC385" s="109">
        <f>IF($BD385&gt;0,(((($BD385/Dashboard!$D$23)*(1+Precificação!$W$589))*(1+AC$28))+$AA$26)*(1+Dashboard!$D$35),0)</f>
        <v>0</v>
      </c>
      <c r="AD385" s="109">
        <f>IF($BD385&gt;0,(((($BD385/Dashboard!$D$23)*(1+Precificação!$W$589))*(1+AD$28))+$AA$26)*(1+Dashboard!$D$35),0)</f>
        <v>0</v>
      </c>
      <c r="AF385" s="109">
        <f t="shared" si="300"/>
        <v>0</v>
      </c>
      <c r="AG385" s="109">
        <f t="shared" si="301"/>
        <v>0</v>
      </c>
      <c r="AH385" s="109">
        <f t="shared" si="302"/>
        <v>0</v>
      </c>
      <c r="AI385" s="109">
        <f t="shared" si="303"/>
        <v>0</v>
      </c>
      <c r="AL385" s="109">
        <f>IF($BD385&gt;0,(((($BD385/Dashboard!$D$23)*(1+Precificação!$W$589)))+$AL$26)*(1+Dashboard!$D$35),0)</f>
        <v>0</v>
      </c>
      <c r="AM385" s="109">
        <f>IF($BD385&gt;0,(((($BD385/Dashboard!$D$23)*(1+Precificação!$W$589))*(1+AM$28))+$AA$26)*(1+Dashboard!$D$35),0)</f>
        <v>0</v>
      </c>
      <c r="AN385" s="109">
        <f>IF($BD385&gt;0,(((($BD385/Dashboard!$D$23)*(1+Precificação!$W$589))*(1+AN$28))+$AA$26)*(1+Dashboard!$D$35),0)</f>
        <v>0</v>
      </c>
      <c r="AO385" s="109">
        <f>IF($BD385&gt;0,(((($BD385/Dashboard!$D$23)*(1+Precificação!$W$589))*(1+AO$28))+$AA$26)*(1+Dashboard!$D$35),0)</f>
        <v>0</v>
      </c>
      <c r="AQ385" s="109">
        <f t="shared" si="304"/>
        <v>0</v>
      </c>
      <c r="AR385" s="109">
        <f t="shared" si="305"/>
        <v>0</v>
      </c>
      <c r="AS385" s="109">
        <f t="shared" si="306"/>
        <v>0</v>
      </c>
      <c r="AT385" s="109">
        <f t="shared" si="307"/>
        <v>0</v>
      </c>
      <c r="AW385" s="144">
        <f>VLOOKUP(B385,'Cronog. e Histog.'!$B$213:$BT$688,71,0)</f>
        <v>0</v>
      </c>
      <c r="AX385" s="144">
        <f>VLOOKUP(B385,'Cronog. e Histog.'!$B$213:$BU$688,72,0)</f>
        <v>0</v>
      </c>
      <c r="AY385" s="144">
        <f>$AW385*$AX385*Dashboard!$D$15</f>
        <v>0</v>
      </c>
      <c r="AZ385" s="144">
        <f>VLOOKUP(B385,Precificação!$B$96:$BM$533,54,0)</f>
        <v>0</v>
      </c>
      <c r="BA385" s="144">
        <f>VLOOKUP(B385,Precificação!$B$96:$BR$533,58,0)</f>
        <v>0</v>
      </c>
      <c r="BB385" s="144">
        <f>VLOOKUP(B385,Precificação!$B$96:$BW$533,62,0)</f>
        <v>0</v>
      </c>
      <c r="BC385" s="144">
        <f t="shared" si="308"/>
        <v>0</v>
      </c>
      <c r="BD385" s="109">
        <f>IFERROR(VLOOKUP(B385,Precificação!$B$96:$S$533,13,0),0)</f>
        <v>0</v>
      </c>
      <c r="BE385" s="109">
        <f>IFERROR(VLOOKUP(B385,Precificação!$B$96:$U$533,15,0)/(Precificação!$U$4+Precificação!$U$91),0)*Dashboard!$T$3</f>
        <v>0</v>
      </c>
    </row>
    <row r="386" spans="2:57" ht="12" customHeight="1" outlineLevel="1">
      <c r="B386" s="137" t="str">
        <f>Precificação!B376</f>
        <v>AUX ADM - Equipe_01</v>
      </c>
      <c r="D386" s="512"/>
      <c r="E386" s="143" t="str">
        <f>IF('Cronog. e Histog.'!G517&gt;0,'Cronog. e Histog.'!G517,"")</f>
        <v>AUX ADM</v>
      </c>
      <c r="G386" s="179">
        <f t="shared" si="295"/>
        <v>0</v>
      </c>
      <c r="H386" s="110">
        <f>IFERROR(INDEX('Base Salarial'!$D$5:$F$25,MATCH(E386,'Base Salarial'!$G$5:$G$25,0),MATCH(I386,'Base Salarial'!$D$4:$F$4,0)),"")</f>
        <v>1804</v>
      </c>
      <c r="I386" s="78" t="str">
        <f>IFERROR(INDEX(Tarefas!$BQ$29:$FK$29,MATCH(E386,Tarefas!$BQ$30:$FK$30,0)),"")</f>
        <v>Mensalista</v>
      </c>
      <c r="J386" s="81">
        <f>IF(I386="horista",H386*Dashboard!$D$15,IF(OR(I386="Mensalista",I386="PJ"),H386,))</f>
        <v>1804</v>
      </c>
      <c r="K386" s="81">
        <f>IF(I386="PJ",J386,ROUND(J386*(1+Dashboard!$D$22),2))</f>
        <v>1912.24</v>
      </c>
      <c r="L386" s="77"/>
      <c r="M386" s="180"/>
      <c r="P386" s="109">
        <f>IF($BD386&gt;0,(((($BD386/Dashboard!$D$15)*(1+Precificação!$W$589)))+$P$26)*(1+Dashboard!$D$35),0)</f>
        <v>0</v>
      </c>
      <c r="Q386" s="109">
        <f>IF($BD386&gt;0,(((($BD386/Dashboard!$D$23)+(1+Precificação!$W$589))*(1+Q$28))+$P$26)*(1+Dashboard!$D$35),0)</f>
        <v>0</v>
      </c>
      <c r="R386" s="109">
        <f>IF($BD386&gt;0,(((($BD386/Dashboard!$D$23)+(1+Precificação!$W$589))*(1+R$28))+$P$26)*(1+Dashboard!$D$35),0)</f>
        <v>0</v>
      </c>
      <c r="S386" s="109">
        <f>IF($BD386&gt;0,(((($BD386/Dashboard!$D$23)+(1+Precificação!$W$589))*(1+S$28))+$P$26)*(1+Dashboard!$D$35),0)</f>
        <v>0</v>
      </c>
      <c r="U386" s="109">
        <f t="shared" si="296"/>
        <v>0</v>
      </c>
      <c r="V386" s="109">
        <f t="shared" si="297"/>
        <v>0</v>
      </c>
      <c r="W386" s="109">
        <f t="shared" si="298"/>
        <v>0</v>
      </c>
      <c r="X386" s="109">
        <f t="shared" si="299"/>
        <v>0</v>
      </c>
      <c r="AA386" s="109">
        <f>IF($BD386&gt;0,(((($BD386/Dashboard!$D$23)*(1+Precificação!$W$589)))+$AA$26)*(1+Dashboard!$D$35),0)</f>
        <v>0</v>
      </c>
      <c r="AB386" s="109">
        <f>IF($BD386&gt;0,(((($BD386/Dashboard!$D$23)*(1+Precificação!$W$589))*(1+AB$28))+$AA$26)*(1+Dashboard!$D$35),0)</f>
        <v>0</v>
      </c>
      <c r="AC386" s="109">
        <f>IF($BD386&gt;0,(((($BD386/Dashboard!$D$23)*(1+Precificação!$W$589))*(1+AC$28))+$AA$26)*(1+Dashboard!$D$35),0)</f>
        <v>0</v>
      </c>
      <c r="AD386" s="109">
        <f>IF($BD386&gt;0,(((($BD386/Dashboard!$D$23)*(1+Precificação!$W$589))*(1+AD$28))+$AA$26)*(1+Dashboard!$D$35),0)</f>
        <v>0</v>
      </c>
      <c r="AF386" s="109">
        <f t="shared" si="300"/>
        <v>0</v>
      </c>
      <c r="AG386" s="109">
        <f t="shared" si="301"/>
        <v>0</v>
      </c>
      <c r="AH386" s="109">
        <f t="shared" si="302"/>
        <v>0</v>
      </c>
      <c r="AI386" s="109">
        <f t="shared" si="303"/>
        <v>0</v>
      </c>
      <c r="AL386" s="109">
        <f>IF($BD386&gt;0,(((($BD386/Dashboard!$D$23)*(1+Precificação!$W$589)))+$AL$26)*(1+Dashboard!$D$35),0)</f>
        <v>0</v>
      </c>
      <c r="AM386" s="109">
        <f>IF($BD386&gt;0,(((($BD386/Dashboard!$D$23)*(1+Precificação!$W$589))*(1+AM$28))+$AA$26)*(1+Dashboard!$D$35),0)</f>
        <v>0</v>
      </c>
      <c r="AN386" s="109">
        <f>IF($BD386&gt;0,(((($BD386/Dashboard!$D$23)*(1+Precificação!$W$589))*(1+AN$28))+$AA$26)*(1+Dashboard!$D$35),0)</f>
        <v>0</v>
      </c>
      <c r="AO386" s="109">
        <f>IF($BD386&gt;0,(((($BD386/Dashboard!$D$23)*(1+Precificação!$W$589))*(1+AO$28))+$AA$26)*(1+Dashboard!$D$35),0)</f>
        <v>0</v>
      </c>
      <c r="AQ386" s="109">
        <f t="shared" si="304"/>
        <v>0</v>
      </c>
      <c r="AR386" s="109">
        <f t="shared" si="305"/>
        <v>0</v>
      </c>
      <c r="AS386" s="109">
        <f t="shared" si="306"/>
        <v>0</v>
      </c>
      <c r="AT386" s="109">
        <f t="shared" si="307"/>
        <v>0</v>
      </c>
      <c r="AW386" s="144">
        <f>VLOOKUP(B386,'Cronog. e Histog.'!$B$213:$BT$688,71,0)</f>
        <v>0</v>
      </c>
      <c r="AX386" s="144">
        <f>VLOOKUP(B386,'Cronog. e Histog.'!$B$213:$BU$688,72,0)</f>
        <v>0</v>
      </c>
      <c r="AY386" s="144">
        <f>$AW386*$AX386*Dashboard!$D$15</f>
        <v>0</v>
      </c>
      <c r="AZ386" s="144">
        <f>VLOOKUP(B386,Precificação!$B$96:$BM$533,54,0)</f>
        <v>0</v>
      </c>
      <c r="BA386" s="144">
        <f>VLOOKUP(B386,Precificação!$B$96:$BR$533,58,0)</f>
        <v>0</v>
      </c>
      <c r="BB386" s="144">
        <f>VLOOKUP(B386,Precificação!$B$96:$BW$533,62,0)</f>
        <v>0</v>
      </c>
      <c r="BC386" s="144">
        <f t="shared" si="308"/>
        <v>0</v>
      </c>
      <c r="BD386" s="109">
        <f>IFERROR(VLOOKUP(B386,Precificação!$B$96:$S$533,13,0),0)</f>
        <v>0</v>
      </c>
      <c r="BE386" s="109">
        <f>IFERROR(VLOOKUP(B386,Precificação!$B$96:$U$533,15,0)/(Precificação!$U$4+Precificação!$U$91),0)*Dashboard!$T$3</f>
        <v>0</v>
      </c>
    </row>
    <row r="387" spans="2:57" ht="12" customHeight="1" outlineLevel="1">
      <c r="B387" s="137" t="str">
        <f>Precificação!B377</f>
        <v>EST - Equipe_01</v>
      </c>
      <c r="D387" s="512"/>
      <c r="E387" s="143" t="str">
        <f>IF('Cronog. e Histog.'!G518&gt;0,'Cronog. e Histog.'!G518,"")</f>
        <v>EST</v>
      </c>
      <c r="G387" s="179">
        <f t="shared" si="295"/>
        <v>0</v>
      </c>
      <c r="H387" s="110">
        <f>IFERROR(INDEX('Base Salarial'!$D$5:$F$25,MATCH(E387,'Base Salarial'!$G$5:$G$25,0),MATCH(I387,'Base Salarial'!$D$4:$F$4,0)),"")</f>
        <v>1633</v>
      </c>
      <c r="I387" s="78" t="str">
        <f>IFERROR(INDEX(Tarefas!$BQ$29:$FK$29,MATCH(E387,Tarefas!$BQ$30:$FK$30,0)),"")</f>
        <v>PJ</v>
      </c>
      <c r="J387" s="81">
        <f>IF(I387="horista",H387*Dashboard!$D$15,IF(OR(I387="Mensalista",I387="PJ"),H387,))</f>
        <v>1633</v>
      </c>
      <c r="K387" s="81">
        <f>IF(I387="PJ",J387,ROUND(J387*(1+Dashboard!$D$22),2))</f>
        <v>1633</v>
      </c>
      <c r="L387" s="77"/>
      <c r="M387" s="180"/>
      <c r="P387" s="109">
        <f>IF($BD387&gt;0,(((($BD387/Dashboard!$D$15)*(1+Precificação!$W$589)))+$P$26)*(1+Dashboard!$D$35),0)</f>
        <v>0</v>
      </c>
      <c r="Q387" s="109">
        <f>IF($BD387&gt;0,(((($BD387/Dashboard!$D$23)+(1+Precificação!$W$589))*(1+Q$28))+$P$26)*(1+Dashboard!$D$35),0)</f>
        <v>0</v>
      </c>
      <c r="R387" s="109">
        <f>IF($BD387&gt;0,(((($BD387/Dashboard!$D$23)+(1+Precificação!$W$589))*(1+R$28))+$P$26)*(1+Dashboard!$D$35),0)</f>
        <v>0</v>
      </c>
      <c r="S387" s="109">
        <f>IF($BD387&gt;0,(((($BD387/Dashboard!$D$23)+(1+Precificação!$W$589))*(1+S$28))+$P$26)*(1+Dashboard!$D$35),0)</f>
        <v>0</v>
      </c>
      <c r="U387" s="109">
        <f t="shared" si="296"/>
        <v>0</v>
      </c>
      <c r="V387" s="109">
        <f t="shared" si="297"/>
        <v>0</v>
      </c>
      <c r="W387" s="109">
        <f t="shared" si="298"/>
        <v>0</v>
      </c>
      <c r="X387" s="109">
        <f t="shared" si="299"/>
        <v>0</v>
      </c>
      <c r="AA387" s="109">
        <f>IF($BD387&gt;0,(((($BD387/Dashboard!$D$23)*(1+Precificação!$W$589)))+$AA$26)*(1+Dashboard!$D$35),0)</f>
        <v>0</v>
      </c>
      <c r="AB387" s="109">
        <f>IF($BD387&gt;0,(((($BD387/Dashboard!$D$23)*(1+Precificação!$W$589))*(1+AB$28))+$AA$26)*(1+Dashboard!$D$35),0)</f>
        <v>0</v>
      </c>
      <c r="AC387" s="109">
        <f>IF($BD387&gt;0,(((($BD387/Dashboard!$D$23)*(1+Precificação!$W$589))*(1+AC$28))+$AA$26)*(1+Dashboard!$D$35),0)</f>
        <v>0</v>
      </c>
      <c r="AD387" s="109">
        <f>IF($BD387&gt;0,(((($BD387/Dashboard!$D$23)*(1+Precificação!$W$589))*(1+AD$28))+$AA$26)*(1+Dashboard!$D$35),0)</f>
        <v>0</v>
      </c>
      <c r="AF387" s="109">
        <f t="shared" si="300"/>
        <v>0</v>
      </c>
      <c r="AG387" s="109">
        <f t="shared" si="301"/>
        <v>0</v>
      </c>
      <c r="AH387" s="109">
        <f t="shared" si="302"/>
        <v>0</v>
      </c>
      <c r="AI387" s="109">
        <f t="shared" si="303"/>
        <v>0</v>
      </c>
      <c r="AL387" s="109">
        <f>IF($BD387&gt;0,(((($BD387/Dashboard!$D$23)*(1+Precificação!$W$589)))+$AL$26)*(1+Dashboard!$D$35),0)</f>
        <v>0</v>
      </c>
      <c r="AM387" s="109">
        <f>IF($BD387&gt;0,(((($BD387/Dashboard!$D$23)*(1+Precificação!$W$589))*(1+AM$28))+$AA$26)*(1+Dashboard!$D$35),0)</f>
        <v>0</v>
      </c>
      <c r="AN387" s="109">
        <f>IF($BD387&gt;0,(((($BD387/Dashboard!$D$23)*(1+Precificação!$W$589))*(1+AN$28))+$AA$26)*(1+Dashboard!$D$35),0)</f>
        <v>0</v>
      </c>
      <c r="AO387" s="109">
        <f>IF($BD387&gt;0,(((($BD387/Dashboard!$D$23)*(1+Precificação!$W$589))*(1+AO$28))+$AA$26)*(1+Dashboard!$D$35),0)</f>
        <v>0</v>
      </c>
      <c r="AQ387" s="109">
        <f t="shared" si="304"/>
        <v>0</v>
      </c>
      <c r="AR387" s="109">
        <f t="shared" si="305"/>
        <v>0</v>
      </c>
      <c r="AS387" s="109">
        <f t="shared" si="306"/>
        <v>0</v>
      </c>
      <c r="AT387" s="109">
        <f t="shared" si="307"/>
        <v>0</v>
      </c>
      <c r="AW387" s="144">
        <f>VLOOKUP(B387,'Cronog. e Histog.'!$B$213:$BT$688,71,0)</f>
        <v>0</v>
      </c>
      <c r="AX387" s="144">
        <f>VLOOKUP(B387,'Cronog. e Histog.'!$B$213:$BU$688,72,0)</f>
        <v>0</v>
      </c>
      <c r="AY387" s="144">
        <f>$AW387*$AX387*Dashboard!$D$15</f>
        <v>0</v>
      </c>
      <c r="AZ387" s="144">
        <f>VLOOKUP(B387,Precificação!$B$96:$BM$533,54,0)</f>
        <v>0</v>
      </c>
      <c r="BA387" s="144">
        <f>VLOOKUP(B387,Precificação!$B$96:$BR$533,58,0)</f>
        <v>0</v>
      </c>
      <c r="BB387" s="144">
        <f>VLOOKUP(B387,Precificação!$B$96:$BW$533,62,0)</f>
        <v>0</v>
      </c>
      <c r="BC387" s="144">
        <f t="shared" si="308"/>
        <v>0</v>
      </c>
      <c r="BD387" s="109">
        <f>IFERROR(VLOOKUP(B387,Precificação!$B$96:$S$533,13,0),0)</f>
        <v>0</v>
      </c>
      <c r="BE387" s="109">
        <f>IFERROR(VLOOKUP(B387,Precificação!$B$96:$U$533,15,0)/(Precificação!$U$4+Precificação!$U$91),0)*Dashboard!$T$3</f>
        <v>0</v>
      </c>
    </row>
    <row r="388" spans="2:57" ht="12" customHeight="1" outlineLevel="1">
      <c r="B388" s="137" t="str">
        <f>Precificação!B378</f>
        <v>EST_II - Equipe_01</v>
      </c>
      <c r="D388" s="512"/>
      <c r="E388" s="143" t="str">
        <f>IF('Cronog. e Histog.'!G519&gt;0,'Cronog. e Histog.'!G519,"")</f>
        <v>EST_II</v>
      </c>
      <c r="G388" s="179">
        <f t="shared" si="295"/>
        <v>0</v>
      </c>
      <c r="H388" s="110">
        <f>IFERROR(INDEX('Base Salarial'!$D$5:$F$25,MATCH(E388,'Base Salarial'!$G$5:$G$25,0),MATCH(I388,'Base Salarial'!$D$4:$F$4,0)),"")</f>
        <v>1633</v>
      </c>
      <c r="I388" s="78" t="str">
        <f>IFERROR(INDEX(Tarefas!$BQ$29:$FK$29,MATCH(E388,Tarefas!$BQ$30:$FK$30,0)),"")</f>
        <v>PJ</v>
      </c>
      <c r="J388" s="81">
        <f>IF(I388="horista",H388*Dashboard!$D$15,IF(OR(I388="Mensalista",I388="PJ"),H388,))</f>
        <v>1633</v>
      </c>
      <c r="K388" s="81">
        <f>IF(I388="PJ",J388,ROUND(J388*(1+Dashboard!$D$22),2))</f>
        <v>1633</v>
      </c>
      <c r="L388" s="77"/>
      <c r="M388" s="180"/>
      <c r="P388" s="109">
        <f>IF($BD388&gt;0,(((($BD388/Dashboard!$D$15)*(1+Precificação!$W$589)))+$P$26)*(1+Dashboard!$D$35),0)</f>
        <v>0</v>
      </c>
      <c r="Q388" s="109">
        <f>IF($BD388&gt;0,(((($BD388/Dashboard!$D$23)+(1+Precificação!$W$589))*(1+Q$28))+$P$26)*(1+Dashboard!$D$35),0)</f>
        <v>0</v>
      </c>
      <c r="R388" s="109">
        <f>IF($BD388&gt;0,(((($BD388/Dashboard!$D$23)+(1+Precificação!$W$589))*(1+R$28))+$P$26)*(1+Dashboard!$D$35),0)</f>
        <v>0</v>
      </c>
      <c r="S388" s="109">
        <f>IF($BD388&gt;0,(((($BD388/Dashboard!$D$23)+(1+Precificação!$W$589))*(1+S$28))+$P$26)*(1+Dashboard!$D$35),0)</f>
        <v>0</v>
      </c>
      <c r="U388" s="109">
        <f t="shared" si="296"/>
        <v>0</v>
      </c>
      <c r="V388" s="109">
        <f t="shared" si="297"/>
        <v>0</v>
      </c>
      <c r="W388" s="109">
        <f t="shared" si="298"/>
        <v>0</v>
      </c>
      <c r="X388" s="109">
        <f t="shared" si="299"/>
        <v>0</v>
      </c>
      <c r="AA388" s="109">
        <f>IF($BD388&gt;0,(((($BD388/Dashboard!$D$23)*(1+Precificação!$W$589)))+$AA$26)*(1+Dashboard!$D$35),0)</f>
        <v>0</v>
      </c>
      <c r="AB388" s="109">
        <f>IF($BD388&gt;0,(((($BD388/Dashboard!$D$23)*(1+Precificação!$W$589))*(1+AB$28))+$AA$26)*(1+Dashboard!$D$35),0)</f>
        <v>0</v>
      </c>
      <c r="AC388" s="109">
        <f>IF($BD388&gt;0,(((($BD388/Dashboard!$D$23)*(1+Precificação!$W$589))*(1+AC$28))+$AA$26)*(1+Dashboard!$D$35),0)</f>
        <v>0</v>
      </c>
      <c r="AD388" s="109">
        <f>IF($BD388&gt;0,(((($BD388/Dashboard!$D$23)*(1+Precificação!$W$589))*(1+AD$28))+$AA$26)*(1+Dashboard!$D$35),0)</f>
        <v>0</v>
      </c>
      <c r="AF388" s="109">
        <f t="shared" si="300"/>
        <v>0</v>
      </c>
      <c r="AG388" s="109">
        <f t="shared" si="301"/>
        <v>0</v>
      </c>
      <c r="AH388" s="109">
        <f t="shared" si="302"/>
        <v>0</v>
      </c>
      <c r="AI388" s="109">
        <f t="shared" si="303"/>
        <v>0</v>
      </c>
      <c r="AL388" s="109">
        <f>IF($BD388&gt;0,(((($BD388/Dashboard!$D$23)*(1+Precificação!$W$589)))+$AL$26)*(1+Dashboard!$D$35),0)</f>
        <v>0</v>
      </c>
      <c r="AM388" s="109">
        <f>IF($BD388&gt;0,(((($BD388/Dashboard!$D$23)*(1+Precificação!$W$589))*(1+AM$28))+$AA$26)*(1+Dashboard!$D$35),0)</f>
        <v>0</v>
      </c>
      <c r="AN388" s="109">
        <f>IF($BD388&gt;0,(((($BD388/Dashboard!$D$23)*(1+Precificação!$W$589))*(1+AN$28))+$AA$26)*(1+Dashboard!$D$35),0)</f>
        <v>0</v>
      </c>
      <c r="AO388" s="109">
        <f>IF($BD388&gt;0,(((($BD388/Dashboard!$D$23)*(1+Precificação!$W$589))*(1+AO$28))+$AA$26)*(1+Dashboard!$D$35),0)</f>
        <v>0</v>
      </c>
      <c r="AQ388" s="109">
        <f t="shared" si="304"/>
        <v>0</v>
      </c>
      <c r="AR388" s="109">
        <f t="shared" si="305"/>
        <v>0</v>
      </c>
      <c r="AS388" s="109">
        <f t="shared" si="306"/>
        <v>0</v>
      </c>
      <c r="AT388" s="109">
        <f t="shared" si="307"/>
        <v>0</v>
      </c>
      <c r="AW388" s="144">
        <f>VLOOKUP(B388,'Cronog. e Histog.'!$B$213:$BT$688,71,0)</f>
        <v>0</v>
      </c>
      <c r="AX388" s="144">
        <f>VLOOKUP(B388,'Cronog. e Histog.'!$B$213:$BU$688,72,0)</f>
        <v>0</v>
      </c>
      <c r="AY388" s="144">
        <f>$AW388*$AX388*Dashboard!$D$15</f>
        <v>0</v>
      </c>
      <c r="AZ388" s="144">
        <f>VLOOKUP(B388,Precificação!$B$96:$BM$533,54,0)</f>
        <v>0</v>
      </c>
      <c r="BA388" s="144">
        <f>VLOOKUP(B388,Precificação!$B$96:$BR$533,58,0)</f>
        <v>0</v>
      </c>
      <c r="BB388" s="144">
        <f>VLOOKUP(B388,Precificação!$B$96:$BW$533,62,0)</f>
        <v>0</v>
      </c>
      <c r="BC388" s="144">
        <f t="shared" si="308"/>
        <v>0</v>
      </c>
      <c r="BD388" s="109">
        <f>IFERROR(VLOOKUP(B388,Precificação!$B$96:$S$533,13,0),0)</f>
        <v>0</v>
      </c>
      <c r="BE388" s="109">
        <f>IFERROR(VLOOKUP(B388,Precificação!$B$96:$U$533,15,0)/(Precificação!$U$4+Precificação!$U$91),0)*Dashboard!$T$3</f>
        <v>0</v>
      </c>
    </row>
    <row r="389" spans="2:57" ht="12" customHeight="1" outlineLevel="1">
      <c r="B389" s="137" t="str">
        <f>Precificação!B379</f>
        <v>EST_III - Equipe_01</v>
      </c>
      <c r="D389" s="512"/>
      <c r="E389" s="143" t="str">
        <f>IF('Cronog. e Histog.'!G520&gt;0,'Cronog. e Histog.'!G520,"")</f>
        <v>EST_III</v>
      </c>
      <c r="G389" s="179">
        <f t="shared" si="295"/>
        <v>0</v>
      </c>
      <c r="H389" s="110">
        <f>IFERROR(INDEX('Base Salarial'!$D$5:$F$25,MATCH(E389,'Base Salarial'!$G$5:$G$25,0),MATCH(I389,'Base Salarial'!$D$4:$F$4,0)),"")</f>
        <v>1633</v>
      </c>
      <c r="I389" s="78" t="str">
        <f>IFERROR(INDEX(Tarefas!$BQ$29:$FK$29,MATCH(E389,Tarefas!$BQ$30:$FK$30,0)),"")</f>
        <v>PJ</v>
      </c>
      <c r="J389" s="81">
        <f>IF(I389="horista",H389*Dashboard!$D$15,IF(OR(I389="Mensalista",I389="PJ"),H389,))</f>
        <v>1633</v>
      </c>
      <c r="K389" s="81">
        <f>IF(I389="PJ",J389,ROUND(J389*(1+Dashboard!$D$22),2))</f>
        <v>1633</v>
      </c>
      <c r="L389" s="77"/>
      <c r="M389" s="180"/>
      <c r="P389" s="109">
        <f>IF($BD389&gt;0,(((($BD389/Dashboard!$D$15)*(1+Precificação!$W$589)))+$P$26)*(1+Dashboard!$D$35),0)</f>
        <v>0</v>
      </c>
      <c r="Q389" s="109">
        <f>IF($BD389&gt;0,(((($BD389/Dashboard!$D$23)+(1+Precificação!$W$589))*(1+Q$28))+$P$26)*(1+Dashboard!$D$35),0)</f>
        <v>0</v>
      </c>
      <c r="R389" s="109">
        <f>IF($BD389&gt;0,(((($BD389/Dashboard!$D$23)+(1+Precificação!$W$589))*(1+R$28))+$P$26)*(1+Dashboard!$D$35),0)</f>
        <v>0</v>
      </c>
      <c r="S389" s="109">
        <f>IF($BD389&gt;0,(((($BD389/Dashboard!$D$23)+(1+Precificação!$W$589))*(1+S$28))+$P$26)*(1+Dashboard!$D$35),0)</f>
        <v>0</v>
      </c>
      <c r="U389" s="109">
        <f t="shared" si="296"/>
        <v>0</v>
      </c>
      <c r="V389" s="109">
        <f t="shared" si="297"/>
        <v>0</v>
      </c>
      <c r="W389" s="109">
        <f t="shared" si="298"/>
        <v>0</v>
      </c>
      <c r="X389" s="109">
        <f t="shared" si="299"/>
        <v>0</v>
      </c>
      <c r="AA389" s="109">
        <f>IF($BD389&gt;0,(((($BD389/Dashboard!$D$23)*(1+Precificação!$W$589)))+$AA$26)*(1+Dashboard!$D$35),0)</f>
        <v>0</v>
      </c>
      <c r="AB389" s="109">
        <f>IF($BD389&gt;0,(((($BD389/Dashboard!$D$23)*(1+Precificação!$W$589))*(1+AB$28))+$AA$26)*(1+Dashboard!$D$35),0)</f>
        <v>0</v>
      </c>
      <c r="AC389" s="109">
        <f>IF($BD389&gt;0,(((($BD389/Dashboard!$D$23)*(1+Precificação!$W$589))*(1+AC$28))+$AA$26)*(1+Dashboard!$D$35),0)</f>
        <v>0</v>
      </c>
      <c r="AD389" s="109">
        <f>IF($BD389&gt;0,(((($BD389/Dashboard!$D$23)*(1+Precificação!$W$589))*(1+AD$28))+$AA$26)*(1+Dashboard!$D$35),0)</f>
        <v>0</v>
      </c>
      <c r="AF389" s="109">
        <f t="shared" si="300"/>
        <v>0</v>
      </c>
      <c r="AG389" s="109">
        <f t="shared" si="301"/>
        <v>0</v>
      </c>
      <c r="AH389" s="109">
        <f t="shared" si="302"/>
        <v>0</v>
      </c>
      <c r="AI389" s="109">
        <f t="shared" si="303"/>
        <v>0</v>
      </c>
      <c r="AL389" s="109">
        <f>IF($BD389&gt;0,(((($BD389/Dashboard!$D$23)*(1+Precificação!$W$589)))+$AL$26)*(1+Dashboard!$D$35),0)</f>
        <v>0</v>
      </c>
      <c r="AM389" s="109">
        <f>IF($BD389&gt;0,(((($BD389/Dashboard!$D$23)*(1+Precificação!$W$589))*(1+AM$28))+$AA$26)*(1+Dashboard!$D$35),0)</f>
        <v>0</v>
      </c>
      <c r="AN389" s="109">
        <f>IF($BD389&gt;0,(((($BD389/Dashboard!$D$23)*(1+Precificação!$W$589))*(1+AN$28))+$AA$26)*(1+Dashboard!$D$35),0)</f>
        <v>0</v>
      </c>
      <c r="AO389" s="109">
        <f>IF($BD389&gt;0,(((($BD389/Dashboard!$D$23)*(1+Precificação!$W$589))*(1+AO$28))+$AA$26)*(1+Dashboard!$D$35),0)</f>
        <v>0</v>
      </c>
      <c r="AQ389" s="109">
        <f t="shared" si="304"/>
        <v>0</v>
      </c>
      <c r="AR389" s="109">
        <f t="shared" si="305"/>
        <v>0</v>
      </c>
      <c r="AS389" s="109">
        <f t="shared" si="306"/>
        <v>0</v>
      </c>
      <c r="AT389" s="109">
        <f t="shared" si="307"/>
        <v>0</v>
      </c>
      <c r="AW389" s="144">
        <f>VLOOKUP(B389,'Cronog. e Histog.'!$B$213:$BT$688,71,0)</f>
        <v>0</v>
      </c>
      <c r="AX389" s="144">
        <f>VLOOKUP(B389,'Cronog. e Histog.'!$B$213:$BU$688,72,0)</f>
        <v>0</v>
      </c>
      <c r="AY389" s="144">
        <f>$AW389*$AX389*Dashboard!$D$15</f>
        <v>0</v>
      </c>
      <c r="AZ389" s="144">
        <f>VLOOKUP(B389,Precificação!$B$96:$BM$533,54,0)</f>
        <v>0</v>
      </c>
      <c r="BA389" s="144">
        <f>VLOOKUP(B389,Precificação!$B$96:$BR$533,58,0)</f>
        <v>0</v>
      </c>
      <c r="BB389" s="144">
        <f>VLOOKUP(B389,Precificação!$B$96:$BW$533,62,0)</f>
        <v>0</v>
      </c>
      <c r="BC389" s="144">
        <f t="shared" si="308"/>
        <v>0</v>
      </c>
      <c r="BD389" s="109">
        <f>IFERROR(VLOOKUP(B389,Precificação!$B$96:$S$533,13,0),0)</f>
        <v>0</v>
      </c>
      <c r="BE389" s="109">
        <f>IFERROR(VLOOKUP(B389,Precificação!$B$96:$U$533,15,0)/(Precificação!$U$4+Precificação!$U$91),0)*Dashboard!$T$3</f>
        <v>0</v>
      </c>
    </row>
    <row r="390" spans="2:57" ht="12" customHeight="1" outlineLevel="1"/>
    <row r="391" spans="2:57" ht="12" customHeight="1" outlineLevel="1">
      <c r="B391" s="137" t="str">
        <f>Precificação!B382</f>
        <v>GER. (OBRA/PROJ) - Equipe_01</v>
      </c>
      <c r="D391" s="512" t="str">
        <f>'Cronog. e Histog.'!F523</f>
        <v>Equipe14</v>
      </c>
      <c r="E391" s="143" t="str">
        <f>IF('Cronog. e Histog.'!G525&gt;0,'Cronog. e Histog.'!G525,"")</f>
        <v>GER. (OBRA/PROJ)</v>
      </c>
      <c r="G391" s="179">
        <f t="shared" ref="G391" si="309">IF(AND((AW391*AX391)&gt;0,K391=0),1,0)</f>
        <v>0</v>
      </c>
      <c r="H391" s="110">
        <f>IFERROR(INDEX('Base Salarial'!$D$5:$F$25,MATCH(E391,'Base Salarial'!$G$5:$G$25,0),MATCH(I391,'Base Salarial'!$D$4:$F$4,0)),"")</f>
        <v>21000</v>
      </c>
      <c r="I391" s="78" t="str">
        <f>IFERROR(INDEX(Tarefas!$BQ$29:$FK$29,MATCH(E391,Tarefas!$BQ$30:$FK$30,0)),"")</f>
        <v>PJ</v>
      </c>
      <c r="J391" s="81">
        <f>IF(I391="horista",H391*Dashboard!$D$15,IF(OR(I391="Mensalista",I391="PJ"),H391,))</f>
        <v>21000</v>
      </c>
      <c r="K391" s="81">
        <f>IF(I391="PJ",J391,ROUND(J391*(1+Dashboard!$D$22),2))</f>
        <v>21000</v>
      </c>
      <c r="L391" s="77"/>
      <c r="M391" s="180"/>
      <c r="P391" s="109">
        <f>IF($BD391&gt;0,(((($BD391/Dashboard!$D$15)*(1+Precificação!$W$589)))+$P$26)*(1+Dashboard!$D$35),0)</f>
        <v>0</v>
      </c>
      <c r="Q391" s="109">
        <f>IF($BD391&gt;0,(((($BD391/Dashboard!$D$23)+(1+Precificação!$W$589))*(1+Q$28))+$P$26)*(1+Dashboard!$D$35),0)</f>
        <v>0</v>
      </c>
      <c r="R391" s="109">
        <f>IF($BD391&gt;0,(((($BD391/Dashboard!$D$23)+(1+Precificação!$W$589))*(1+R$28))+$P$26)*(1+Dashboard!$D$35),0)</f>
        <v>0</v>
      </c>
      <c r="S391" s="109">
        <f>IF($BD391&gt;0,(((($BD391/Dashboard!$D$23)+(1+Precificação!$W$589))*(1+S$28))+$P$26)*(1+Dashboard!$D$35),0)</f>
        <v>0</v>
      </c>
      <c r="U391" s="109">
        <f>IF(P391&gt;0,P391+U$32,0)</f>
        <v>0</v>
      </c>
      <c r="V391" s="109">
        <f t="shared" ref="V391:X391" si="310">IF(Q391&gt;0,Q391+V$32,0)</f>
        <v>0</v>
      </c>
      <c r="W391" s="109">
        <f t="shared" si="310"/>
        <v>0</v>
      </c>
      <c r="X391" s="109">
        <f t="shared" si="310"/>
        <v>0</v>
      </c>
      <c r="AA391" s="109">
        <f>IF($BD391&gt;0,(((($BD391/Dashboard!$D$23)*(1+Precificação!$W$589)))+$AA$26)*(1+Dashboard!$D$35),0)</f>
        <v>0</v>
      </c>
      <c r="AB391" s="109">
        <f>IF($BD391&gt;0,(((($BD391/Dashboard!$D$23)*(1+Precificação!$W$589))*(1+AB$28))+$AA$26)*(1+Dashboard!$D$35),0)</f>
        <v>0</v>
      </c>
      <c r="AC391" s="109">
        <f>IF($BD391&gt;0,(((($BD391/Dashboard!$D$23)*(1+Precificação!$W$589))*(1+AC$28))+$AA$26)*(1+Dashboard!$D$35),0)</f>
        <v>0</v>
      </c>
      <c r="AD391" s="109">
        <f>IF($BD391&gt;0,(((($BD391/Dashboard!$D$23)*(1+Precificação!$W$589))*(1+AD$28))+$AA$26)*(1+Dashboard!$D$35),0)</f>
        <v>0</v>
      </c>
      <c r="AF391" s="109">
        <f>IF(AA391&gt;0,AA391+AF$32,0)</f>
        <v>0</v>
      </c>
      <c r="AG391" s="109">
        <f t="shared" ref="AG391" si="311">IF(AB391&gt;0,AB391+AG$32,0)</f>
        <v>0</v>
      </c>
      <c r="AH391" s="109">
        <f t="shared" ref="AH391" si="312">IF(AC391&gt;0,AC391+AH$32,0)</f>
        <v>0</v>
      </c>
      <c r="AI391" s="109">
        <f t="shared" ref="AI391" si="313">IF(AD391&gt;0,AD391+AI$32,0)</f>
        <v>0</v>
      </c>
      <c r="AL391" s="109">
        <f>IF($BD391&gt;0,(((($BD391/Dashboard!$D$23)*(1+Precificação!$W$589)))+$AL$26)*(1+Dashboard!$D$35),0)</f>
        <v>0</v>
      </c>
      <c r="AM391" s="109">
        <f>IF($BD391&gt;0,(((($BD391/Dashboard!$D$23)*(1+Precificação!$W$589))*(1+AM$28))+$AA$26)*(1+Dashboard!$D$35),0)</f>
        <v>0</v>
      </c>
      <c r="AN391" s="109">
        <f>IF($BD391&gt;0,(((($BD391/Dashboard!$D$23)*(1+Precificação!$W$589))*(1+AN$28))+$AA$26)*(1+Dashboard!$D$35),0)</f>
        <v>0</v>
      </c>
      <c r="AO391" s="109">
        <f>IF($BD391&gt;0,(((($BD391/Dashboard!$D$23)*(1+Precificação!$W$589))*(1+AO$28))+$AA$26)*(1+Dashboard!$D$35),0)</f>
        <v>0</v>
      </c>
      <c r="AQ391" s="109">
        <f>IF(AL391&gt;0,AL391+AQ$32,0)</f>
        <v>0</v>
      </c>
      <c r="AR391" s="109">
        <f t="shared" ref="AR391" si="314">IF(AM391&gt;0,AM391+AR$32,0)</f>
        <v>0</v>
      </c>
      <c r="AS391" s="109">
        <f t="shared" ref="AS391" si="315">IF(AN391&gt;0,AN391+AS$32,0)</f>
        <v>0</v>
      </c>
      <c r="AT391" s="109">
        <f t="shared" ref="AT391" si="316">IF(AO391&gt;0,AO391+AT$32,0)</f>
        <v>0</v>
      </c>
      <c r="AW391" s="144">
        <f>VLOOKUP(B391,'Cronog. e Histog.'!$B$213:$BT$688,71,0)</f>
        <v>1.9999999999999997E-2</v>
      </c>
      <c r="AX391" s="144">
        <f>VLOOKUP(B391,'Cronog. e Histog.'!$B$213:$BU$688,72,0)</f>
        <v>10</v>
      </c>
      <c r="AY391" s="144">
        <f>$AW391*$AX391*Dashboard!$D$15</f>
        <v>38.72</v>
      </c>
      <c r="AZ391" s="144">
        <f>VLOOKUP(B391,Precificação!$B$96:$BM$533,54,0)</f>
        <v>0</v>
      </c>
      <c r="BA391" s="144">
        <f>VLOOKUP(B391,Precificação!$B$96:$BR$533,58,0)</f>
        <v>0</v>
      </c>
      <c r="BB391" s="144">
        <f>VLOOKUP(B391,Precificação!$B$96:$BW$533,62,0)</f>
        <v>0</v>
      </c>
      <c r="BC391" s="144">
        <f t="shared" ref="BC391" si="317">SUM(AY391:BB391)</f>
        <v>38.72</v>
      </c>
      <c r="BD391" s="109">
        <f>IFERROR(VLOOKUP(B391,Precificação!$B$96:$S$533,13,0),0)</f>
        <v>0</v>
      </c>
      <c r="BE391" s="109">
        <f>IFERROR(VLOOKUP(B391,Precificação!$B$96:$U$533,15,0)/(Precificação!$U$4+Precificação!$U$91),0)*Dashboard!$T$3</f>
        <v>0</v>
      </c>
    </row>
    <row r="392" spans="2:57" ht="12" customHeight="1" outlineLevel="1">
      <c r="B392" s="137" t="str">
        <f>Precificação!B383</f>
        <v>COORD. - Equipe_01</v>
      </c>
      <c r="D392" s="512"/>
      <c r="E392" s="143" t="str">
        <f>IF('Cronog. e Histog.'!G526&gt;0,'Cronog. e Histog.'!G526,"")</f>
        <v>COORD.</v>
      </c>
      <c r="G392" s="179">
        <f t="shared" ref="G392:G410" si="318">IF(AND((AW392*AX392)&gt;0,K392=0),1,0)</f>
        <v>0</v>
      </c>
      <c r="H392" s="110">
        <f>IFERROR(INDEX('Base Salarial'!$D$5:$F$25,MATCH(E392,'Base Salarial'!$G$5:$G$25,0),MATCH(I392,'Base Salarial'!$D$4:$F$4,0)),"")</f>
        <v>19000</v>
      </c>
      <c r="I392" s="78" t="str">
        <f>IFERROR(INDEX(Tarefas!$BQ$29:$FK$29,MATCH(E392,Tarefas!$BQ$30:$FK$30,0)),"")</f>
        <v>PJ</v>
      </c>
      <c r="J392" s="81">
        <f>IF(I392="horista",H392*Dashboard!$D$15,IF(OR(I392="Mensalista",I392="PJ"),H392,))</f>
        <v>19000</v>
      </c>
      <c r="K392" s="81">
        <f>IF(I392="PJ",J392,ROUND(J392*(1+Dashboard!$D$22),2))</f>
        <v>19000</v>
      </c>
      <c r="L392" s="77"/>
      <c r="M392" s="180"/>
      <c r="P392" s="109">
        <f>IF($BD392&gt;0,(((($BD392/Dashboard!$D$15)*(1+Precificação!$W$589)))+$P$26)*(1+Dashboard!$D$35),0)</f>
        <v>0</v>
      </c>
      <c r="Q392" s="109">
        <f>IF($BD392&gt;0,(((($BD392/Dashboard!$D$23)+(1+Precificação!$W$589))*(1+Q$28))+$P$26)*(1+Dashboard!$D$35),0)</f>
        <v>0</v>
      </c>
      <c r="R392" s="109">
        <f>IF($BD392&gt;0,(((($BD392/Dashboard!$D$23)+(1+Precificação!$W$589))*(1+R$28))+$P$26)*(1+Dashboard!$D$35),0)</f>
        <v>0</v>
      </c>
      <c r="S392" s="109">
        <f>IF($BD392&gt;0,(((($BD392/Dashboard!$D$23)+(1+Precificação!$W$589))*(1+S$28))+$P$26)*(1+Dashboard!$D$35),0)</f>
        <v>0</v>
      </c>
      <c r="U392" s="109">
        <f t="shared" ref="U392:U410" si="319">IF(P392&gt;0,P392+U$32,0)</f>
        <v>0</v>
      </c>
      <c r="V392" s="109">
        <f t="shared" ref="V392:V410" si="320">IF(Q392&gt;0,Q392+V$32,0)</f>
        <v>0</v>
      </c>
      <c r="W392" s="109">
        <f t="shared" ref="W392:W410" si="321">IF(R392&gt;0,R392+W$32,0)</f>
        <v>0</v>
      </c>
      <c r="X392" s="109">
        <f t="shared" ref="X392:X410" si="322">IF(S392&gt;0,S392+X$32,0)</f>
        <v>0</v>
      </c>
      <c r="AA392" s="109">
        <f>IF($BD392&gt;0,(((($BD392/Dashboard!$D$23)*(1+Precificação!$W$589)))+$AA$26)*(1+Dashboard!$D$35),0)</f>
        <v>0</v>
      </c>
      <c r="AB392" s="109">
        <f>IF($BD392&gt;0,(((($BD392/Dashboard!$D$23)*(1+Precificação!$W$589))*(1+AB$28))+$AA$26)*(1+Dashboard!$D$35),0)</f>
        <v>0</v>
      </c>
      <c r="AC392" s="109">
        <f>IF($BD392&gt;0,(((($BD392/Dashboard!$D$23)*(1+Precificação!$W$589))*(1+AC$28))+$AA$26)*(1+Dashboard!$D$35),0)</f>
        <v>0</v>
      </c>
      <c r="AD392" s="109">
        <f>IF($BD392&gt;0,(((($BD392/Dashboard!$D$23)*(1+Precificação!$W$589))*(1+AD$28))+$AA$26)*(1+Dashboard!$D$35),0)</f>
        <v>0</v>
      </c>
      <c r="AF392" s="109">
        <f t="shared" ref="AF392:AF410" si="323">IF(AA392&gt;0,AA392+AF$32,0)</f>
        <v>0</v>
      </c>
      <c r="AG392" s="109">
        <f t="shared" ref="AG392:AG410" si="324">IF(AB392&gt;0,AB392+AG$32,0)</f>
        <v>0</v>
      </c>
      <c r="AH392" s="109">
        <f t="shared" ref="AH392:AH410" si="325">IF(AC392&gt;0,AC392+AH$32,0)</f>
        <v>0</v>
      </c>
      <c r="AI392" s="109">
        <f t="shared" ref="AI392:AI410" si="326">IF(AD392&gt;0,AD392+AI$32,0)</f>
        <v>0</v>
      </c>
      <c r="AL392" s="109">
        <f>IF($BD392&gt;0,(((($BD392/Dashboard!$D$23)*(1+Precificação!$W$589)))+$AL$26)*(1+Dashboard!$D$35),0)</f>
        <v>0</v>
      </c>
      <c r="AM392" s="109">
        <f>IF($BD392&gt;0,(((($BD392/Dashboard!$D$23)*(1+Precificação!$W$589))*(1+AM$28))+$AA$26)*(1+Dashboard!$D$35),0)</f>
        <v>0</v>
      </c>
      <c r="AN392" s="109">
        <f>IF($BD392&gt;0,(((($BD392/Dashboard!$D$23)*(1+Precificação!$W$589))*(1+AN$28))+$AA$26)*(1+Dashboard!$D$35),0)</f>
        <v>0</v>
      </c>
      <c r="AO392" s="109">
        <f>IF($BD392&gt;0,(((($BD392/Dashboard!$D$23)*(1+Precificação!$W$589))*(1+AO$28))+$AA$26)*(1+Dashboard!$D$35),0)</f>
        <v>0</v>
      </c>
      <c r="AQ392" s="109">
        <f t="shared" ref="AQ392:AQ410" si="327">IF(AL392&gt;0,AL392+AQ$32,0)</f>
        <v>0</v>
      </c>
      <c r="AR392" s="109">
        <f t="shared" ref="AR392:AR410" si="328">IF(AM392&gt;0,AM392+AR$32,0)</f>
        <v>0</v>
      </c>
      <c r="AS392" s="109">
        <f t="shared" ref="AS392:AS410" si="329">IF(AN392&gt;0,AN392+AS$32,0)</f>
        <v>0</v>
      </c>
      <c r="AT392" s="109">
        <f t="shared" ref="AT392:AT410" si="330">IF(AO392&gt;0,AO392+AT$32,0)</f>
        <v>0</v>
      </c>
      <c r="AW392" s="144">
        <f>VLOOKUP(B392,'Cronog. e Histog.'!$B$213:$BT$688,71,0)</f>
        <v>1</v>
      </c>
      <c r="AX392" s="144">
        <f>VLOOKUP(B392,'Cronog. e Histog.'!$B$213:$BU$688,72,0)</f>
        <v>10</v>
      </c>
      <c r="AY392" s="144">
        <f>$AW392*$AX392*Dashboard!$D$15</f>
        <v>1936.0000000000002</v>
      </c>
      <c r="AZ392" s="144">
        <f>VLOOKUP(B392,Precificação!$B$96:$BM$533,54,0)</f>
        <v>0</v>
      </c>
      <c r="BA392" s="144">
        <f>VLOOKUP(B392,Precificação!$B$96:$BR$533,58,0)</f>
        <v>0</v>
      </c>
      <c r="BB392" s="144">
        <f>VLOOKUP(B392,Precificação!$B$96:$BW$533,62,0)</f>
        <v>0</v>
      </c>
      <c r="BC392" s="144">
        <f t="shared" ref="BC392:BC410" si="331">SUM(AY392:BB392)</f>
        <v>1936.0000000000002</v>
      </c>
      <c r="BD392" s="109">
        <f>IFERROR(VLOOKUP(B392,Precificação!$B$96:$S$533,13,0),0)</f>
        <v>0</v>
      </c>
      <c r="BE392" s="109">
        <f>IFERROR(VLOOKUP(B392,Precificação!$B$96:$U$533,15,0)/(Precificação!$U$4+Precificação!$U$91),0)*Dashboard!$T$3</f>
        <v>0</v>
      </c>
    </row>
    <row r="393" spans="2:57" ht="12" customHeight="1" outlineLevel="1">
      <c r="B393" s="137" t="str">
        <f>Precificação!B384</f>
        <v>SUP.-ESP - Equipe_01</v>
      </c>
      <c r="D393" s="512"/>
      <c r="E393" s="143" t="str">
        <f>IF('Cronog. e Histog.'!G527&gt;0,'Cronog. e Histog.'!G527,"")</f>
        <v>SUP.-ESP</v>
      </c>
      <c r="G393" s="179">
        <f t="shared" si="318"/>
        <v>0</v>
      </c>
      <c r="H393" s="110">
        <f>IFERROR(INDEX('Base Salarial'!$D$5:$F$25,MATCH(E393,'Base Salarial'!$G$5:$G$25,0),MATCH(I393,'Base Salarial'!$D$4:$F$4,0)),"")</f>
        <v>9166.6666666666679</v>
      </c>
      <c r="I393" s="78" t="str">
        <f>IFERROR(INDEX(Tarefas!$BQ$29:$FK$29,MATCH(E393,Tarefas!$BQ$30:$FK$30,0)),"")</f>
        <v>Mensalista</v>
      </c>
      <c r="J393" s="81">
        <f>IF(I393="horista",H393*Dashboard!$D$15,IF(OR(I393="Mensalista",I393="PJ"),H393,))</f>
        <v>9166.6666666666679</v>
      </c>
      <c r="K393" s="81">
        <f>IF(I393="PJ",J393,ROUND(J393*(1+Dashboard!$D$22),2))</f>
        <v>9716.67</v>
      </c>
      <c r="L393" s="77"/>
      <c r="M393" s="180"/>
      <c r="P393" s="109">
        <f>IF($BD393&gt;0,(((($BD393/Dashboard!$D$15)*(1+Precificação!$W$589)))+$P$26)*(1+Dashboard!$D$35),0)</f>
        <v>0</v>
      </c>
      <c r="Q393" s="109">
        <f>IF($BD393&gt;0,(((($BD393/Dashboard!$D$23)+(1+Precificação!$W$589))*(1+Q$28))+$P$26)*(1+Dashboard!$D$35),0)</f>
        <v>0</v>
      </c>
      <c r="R393" s="109">
        <f>IF($BD393&gt;0,(((($BD393/Dashboard!$D$23)+(1+Precificação!$W$589))*(1+R$28))+$P$26)*(1+Dashboard!$D$35),0)</f>
        <v>0</v>
      </c>
      <c r="S393" s="109">
        <f>IF($BD393&gt;0,(((($BD393/Dashboard!$D$23)+(1+Precificação!$W$589))*(1+S$28))+$P$26)*(1+Dashboard!$D$35),0)</f>
        <v>0</v>
      </c>
      <c r="U393" s="109">
        <f t="shared" si="319"/>
        <v>0</v>
      </c>
      <c r="V393" s="109">
        <f t="shared" si="320"/>
        <v>0</v>
      </c>
      <c r="W393" s="109">
        <f t="shared" si="321"/>
        <v>0</v>
      </c>
      <c r="X393" s="109">
        <f t="shared" si="322"/>
        <v>0</v>
      </c>
      <c r="AA393" s="109">
        <f>IF($BD393&gt;0,(((($BD393/Dashboard!$D$23)*(1+Precificação!$W$589)))+$AA$26)*(1+Dashboard!$D$35),0)</f>
        <v>0</v>
      </c>
      <c r="AB393" s="109">
        <f>IF($BD393&gt;0,(((($BD393/Dashboard!$D$23)*(1+Precificação!$W$589))*(1+AB$28))+$AA$26)*(1+Dashboard!$D$35),0)</f>
        <v>0</v>
      </c>
      <c r="AC393" s="109">
        <f>IF($BD393&gt;0,(((($BD393/Dashboard!$D$23)*(1+Precificação!$W$589))*(1+AC$28))+$AA$26)*(1+Dashboard!$D$35),0)</f>
        <v>0</v>
      </c>
      <c r="AD393" s="109">
        <f>IF($BD393&gt;0,(((($BD393/Dashboard!$D$23)*(1+Precificação!$W$589))*(1+AD$28))+$AA$26)*(1+Dashboard!$D$35),0)</f>
        <v>0</v>
      </c>
      <c r="AF393" s="109">
        <f t="shared" si="323"/>
        <v>0</v>
      </c>
      <c r="AG393" s="109">
        <f t="shared" si="324"/>
        <v>0</v>
      </c>
      <c r="AH393" s="109">
        <f t="shared" si="325"/>
        <v>0</v>
      </c>
      <c r="AI393" s="109">
        <f t="shared" si="326"/>
        <v>0</v>
      </c>
      <c r="AL393" s="109">
        <f>IF($BD393&gt;0,(((($BD393/Dashboard!$D$23)*(1+Precificação!$W$589)))+$AL$26)*(1+Dashboard!$D$35),0)</f>
        <v>0</v>
      </c>
      <c r="AM393" s="109">
        <f>IF($BD393&gt;0,(((($BD393/Dashboard!$D$23)*(1+Precificação!$W$589))*(1+AM$28))+$AA$26)*(1+Dashboard!$D$35),0)</f>
        <v>0</v>
      </c>
      <c r="AN393" s="109">
        <f>IF($BD393&gt;0,(((($BD393/Dashboard!$D$23)*(1+Precificação!$W$589))*(1+AN$28))+$AA$26)*(1+Dashboard!$D$35),0)</f>
        <v>0</v>
      </c>
      <c r="AO393" s="109">
        <f>IF($BD393&gt;0,(((($BD393/Dashboard!$D$23)*(1+Precificação!$W$589))*(1+AO$28))+$AA$26)*(1+Dashboard!$D$35),0)</f>
        <v>0</v>
      </c>
      <c r="AQ393" s="109">
        <f t="shared" si="327"/>
        <v>0</v>
      </c>
      <c r="AR393" s="109">
        <f t="shared" si="328"/>
        <v>0</v>
      </c>
      <c r="AS393" s="109">
        <f t="shared" si="329"/>
        <v>0</v>
      </c>
      <c r="AT393" s="109">
        <f t="shared" si="330"/>
        <v>0</v>
      </c>
      <c r="AW393" s="144">
        <f>VLOOKUP(B393,'Cronog. e Histog.'!$B$213:$BT$688,71,0)</f>
        <v>0</v>
      </c>
      <c r="AX393" s="144">
        <f>VLOOKUP(B393,'Cronog. e Histog.'!$B$213:$BU$688,72,0)</f>
        <v>0</v>
      </c>
      <c r="AY393" s="144">
        <f>$AW393*$AX393*Dashboard!$D$15</f>
        <v>0</v>
      </c>
      <c r="AZ393" s="144">
        <f>VLOOKUP(B393,Precificação!$B$96:$BM$533,54,0)</f>
        <v>0</v>
      </c>
      <c r="BA393" s="144">
        <f>VLOOKUP(B393,Precificação!$B$96:$BR$533,58,0)</f>
        <v>0</v>
      </c>
      <c r="BB393" s="144">
        <f>VLOOKUP(B393,Precificação!$B$96:$BW$533,62,0)</f>
        <v>0</v>
      </c>
      <c r="BC393" s="144">
        <f t="shared" si="331"/>
        <v>0</v>
      </c>
      <c r="BD393" s="109">
        <f>IFERROR(VLOOKUP(B393,Precificação!$B$96:$S$533,13,0),0)</f>
        <v>0</v>
      </c>
      <c r="BE393" s="109">
        <f>IFERROR(VLOOKUP(B393,Precificação!$B$96:$U$533,15,0)/(Precificação!$U$4+Precificação!$U$91),0)*Dashboard!$T$3</f>
        <v>0</v>
      </c>
    </row>
    <row r="394" spans="2:57" ht="12" customHeight="1" outlineLevel="1">
      <c r="B394" s="137" t="str">
        <f>Precificação!B385</f>
        <v>ENG/ARQ SR. - Equipe_01</v>
      </c>
      <c r="D394" s="512"/>
      <c r="E394" s="143" t="str">
        <f>IF('Cronog. e Histog.'!G528&gt;0,'Cronog. e Histog.'!G528,"")</f>
        <v>ENG/ARQ SR.</v>
      </c>
      <c r="G394" s="179">
        <f t="shared" si="318"/>
        <v>0</v>
      </c>
      <c r="H394" s="110">
        <f>IFERROR(INDEX('Base Salarial'!$D$5:$F$25,MATCH(E394,'Base Salarial'!$G$5:$G$25,0),MATCH(I394,'Base Salarial'!$D$4:$F$4,0)),"")</f>
        <v>16000</v>
      </c>
      <c r="I394" s="78" t="str">
        <f>IFERROR(INDEX(Tarefas!$BQ$29:$FK$29,MATCH(E394,Tarefas!$BQ$30:$FK$30,0)),"")</f>
        <v>PJ</v>
      </c>
      <c r="J394" s="81">
        <f>IF(I394="horista",H394*Dashboard!$D$15,IF(OR(I394="Mensalista",I394="PJ"),H394,))</f>
        <v>16000</v>
      </c>
      <c r="K394" s="81">
        <f>IF(I394="PJ",J394,ROUND(J394*(1+Dashboard!$D$22),2))</f>
        <v>16000</v>
      </c>
      <c r="L394" s="77"/>
      <c r="M394" s="180"/>
      <c r="P394" s="109">
        <f>IF($BD394&gt;0,(((($BD394/Dashboard!$D$15)*(1+Precificação!$W$589)))+$P$26)*(1+Dashboard!$D$35),0)</f>
        <v>0</v>
      </c>
      <c r="Q394" s="109">
        <f>IF($BD394&gt;0,(((($BD394/Dashboard!$D$23)+(1+Precificação!$W$589))*(1+Q$28))+$P$26)*(1+Dashboard!$D$35),0)</f>
        <v>0</v>
      </c>
      <c r="R394" s="109">
        <f>IF($BD394&gt;0,(((($BD394/Dashboard!$D$23)+(1+Precificação!$W$589))*(1+R$28))+$P$26)*(1+Dashboard!$D$35),0)</f>
        <v>0</v>
      </c>
      <c r="S394" s="109">
        <f>IF($BD394&gt;0,(((($BD394/Dashboard!$D$23)+(1+Precificação!$W$589))*(1+S$28))+$P$26)*(1+Dashboard!$D$35),0)</f>
        <v>0</v>
      </c>
      <c r="U394" s="109">
        <f t="shared" si="319"/>
        <v>0</v>
      </c>
      <c r="V394" s="109">
        <f t="shared" si="320"/>
        <v>0</v>
      </c>
      <c r="W394" s="109">
        <f t="shared" si="321"/>
        <v>0</v>
      </c>
      <c r="X394" s="109">
        <f t="shared" si="322"/>
        <v>0</v>
      </c>
      <c r="AA394" s="109">
        <f>IF($BD394&gt;0,(((($BD394/Dashboard!$D$23)*(1+Precificação!$W$589)))+$AA$26)*(1+Dashboard!$D$35),0)</f>
        <v>0</v>
      </c>
      <c r="AB394" s="109">
        <f>IF($BD394&gt;0,(((($BD394/Dashboard!$D$23)*(1+Precificação!$W$589))*(1+AB$28))+$AA$26)*(1+Dashboard!$D$35),0)</f>
        <v>0</v>
      </c>
      <c r="AC394" s="109">
        <f>IF($BD394&gt;0,(((($BD394/Dashboard!$D$23)*(1+Precificação!$W$589))*(1+AC$28))+$AA$26)*(1+Dashboard!$D$35),0)</f>
        <v>0</v>
      </c>
      <c r="AD394" s="109">
        <f>IF($BD394&gt;0,(((($BD394/Dashboard!$D$23)*(1+Precificação!$W$589))*(1+AD$28))+$AA$26)*(1+Dashboard!$D$35),0)</f>
        <v>0</v>
      </c>
      <c r="AF394" s="109">
        <f t="shared" si="323"/>
        <v>0</v>
      </c>
      <c r="AG394" s="109">
        <f t="shared" si="324"/>
        <v>0</v>
      </c>
      <c r="AH394" s="109">
        <f t="shared" si="325"/>
        <v>0</v>
      </c>
      <c r="AI394" s="109">
        <f t="shared" si="326"/>
        <v>0</v>
      </c>
      <c r="AL394" s="109">
        <f>IF($BD394&gt;0,(((($BD394/Dashboard!$D$23)*(1+Precificação!$W$589)))+$AL$26)*(1+Dashboard!$D$35),0)</f>
        <v>0</v>
      </c>
      <c r="AM394" s="109">
        <f>IF($BD394&gt;0,(((($BD394/Dashboard!$D$23)*(1+Precificação!$W$589))*(1+AM$28))+$AA$26)*(1+Dashboard!$D$35),0)</f>
        <v>0</v>
      </c>
      <c r="AN394" s="109">
        <f>IF($BD394&gt;0,(((($BD394/Dashboard!$D$23)*(1+Precificação!$W$589))*(1+AN$28))+$AA$26)*(1+Dashboard!$D$35),0)</f>
        <v>0</v>
      </c>
      <c r="AO394" s="109">
        <f>IF($BD394&gt;0,(((($BD394/Dashboard!$D$23)*(1+Precificação!$W$589))*(1+AO$28))+$AA$26)*(1+Dashboard!$D$35),0)</f>
        <v>0</v>
      </c>
      <c r="AQ394" s="109">
        <f t="shared" si="327"/>
        <v>0</v>
      </c>
      <c r="AR394" s="109">
        <f t="shared" si="328"/>
        <v>0</v>
      </c>
      <c r="AS394" s="109">
        <f t="shared" si="329"/>
        <v>0</v>
      </c>
      <c r="AT394" s="109">
        <f t="shared" si="330"/>
        <v>0</v>
      </c>
      <c r="AW394" s="144">
        <f>VLOOKUP(B394,'Cronog. e Histog.'!$B$213:$BT$688,71,0)</f>
        <v>9.9999999999999985E-3</v>
      </c>
      <c r="AX394" s="144">
        <f>VLOOKUP(B394,'Cronog. e Histog.'!$B$213:$BU$688,72,0)</f>
        <v>10</v>
      </c>
      <c r="AY394" s="144">
        <f>$AW394*$AX394*Dashboard!$D$15</f>
        <v>19.36</v>
      </c>
      <c r="AZ394" s="144">
        <f>VLOOKUP(B394,Precificação!$B$96:$BM$533,54,0)</f>
        <v>0</v>
      </c>
      <c r="BA394" s="144">
        <f>VLOOKUP(B394,Precificação!$B$96:$BR$533,58,0)</f>
        <v>0</v>
      </c>
      <c r="BB394" s="144">
        <f>VLOOKUP(B394,Precificação!$B$96:$BW$533,62,0)</f>
        <v>0</v>
      </c>
      <c r="BC394" s="144">
        <f t="shared" si="331"/>
        <v>19.36</v>
      </c>
      <c r="BD394" s="109">
        <f>IFERROR(VLOOKUP(B394,Precificação!$B$96:$S$533,13,0),0)</f>
        <v>0</v>
      </c>
      <c r="BE394" s="109">
        <f>IFERROR(VLOOKUP(B394,Precificação!$B$96:$U$533,15,0)/(Precificação!$U$4+Precificação!$U$91),0)*Dashboard!$T$3</f>
        <v>0</v>
      </c>
    </row>
    <row r="395" spans="2:57" ht="12" customHeight="1" outlineLevel="1">
      <c r="B395" s="137" t="str">
        <f>Precificação!B386</f>
        <v>ENG/ARQ PL. - Equipe_01</v>
      </c>
      <c r="D395" s="512"/>
      <c r="E395" s="143" t="str">
        <f>IF('Cronog. e Histog.'!G529&gt;0,'Cronog. e Histog.'!G529,"")</f>
        <v>ENG/ARQ PL.</v>
      </c>
      <c r="G395" s="179">
        <f t="shared" si="318"/>
        <v>0</v>
      </c>
      <c r="H395" s="110">
        <f>IFERROR(INDEX('Base Salarial'!$D$5:$F$25,MATCH(E395,'Base Salarial'!$G$5:$G$25,0),MATCH(I395,'Base Salarial'!$D$4:$F$4,0)),"")</f>
        <v>14000</v>
      </c>
      <c r="I395" s="78" t="str">
        <f>IFERROR(INDEX(Tarefas!$BQ$29:$FK$29,MATCH(E395,Tarefas!$BQ$30:$FK$30,0)),"")</f>
        <v>PJ</v>
      </c>
      <c r="J395" s="81">
        <f>IF(I395="horista",H395*Dashboard!$D$15,IF(OR(I395="Mensalista",I395="PJ"),H395,))</f>
        <v>14000</v>
      </c>
      <c r="K395" s="81">
        <f>IF(I395="PJ",J395,ROUND(J395*(1+Dashboard!$D$22),2))</f>
        <v>14000</v>
      </c>
      <c r="L395" s="77"/>
      <c r="M395" s="180"/>
      <c r="P395" s="109">
        <f>IF($BD395&gt;0,(((($BD395/Dashboard!$D$15)*(1+Precificação!$W$589)))+$P$26)*(1+Dashboard!$D$35),0)</f>
        <v>0</v>
      </c>
      <c r="Q395" s="109">
        <f>IF($BD395&gt;0,(((($BD395/Dashboard!$D$23)+(1+Precificação!$W$589))*(1+Q$28))+$P$26)*(1+Dashboard!$D$35),0)</f>
        <v>0</v>
      </c>
      <c r="R395" s="109">
        <f>IF($BD395&gt;0,(((($BD395/Dashboard!$D$23)+(1+Precificação!$W$589))*(1+R$28))+$P$26)*(1+Dashboard!$D$35),0)</f>
        <v>0</v>
      </c>
      <c r="S395" s="109">
        <f>IF($BD395&gt;0,(((($BD395/Dashboard!$D$23)+(1+Precificação!$W$589))*(1+S$28))+$P$26)*(1+Dashboard!$D$35),0)</f>
        <v>0</v>
      </c>
      <c r="U395" s="109">
        <f t="shared" si="319"/>
        <v>0</v>
      </c>
      <c r="V395" s="109">
        <f t="shared" si="320"/>
        <v>0</v>
      </c>
      <c r="W395" s="109">
        <f t="shared" si="321"/>
        <v>0</v>
      </c>
      <c r="X395" s="109">
        <f t="shared" si="322"/>
        <v>0</v>
      </c>
      <c r="AA395" s="109">
        <f>IF($BD395&gt;0,(((($BD395/Dashboard!$D$23)*(1+Precificação!$W$589)))+$AA$26)*(1+Dashboard!$D$35),0)</f>
        <v>0</v>
      </c>
      <c r="AB395" s="109">
        <f>IF($BD395&gt;0,(((($BD395/Dashboard!$D$23)*(1+Precificação!$W$589))*(1+AB$28))+$AA$26)*(1+Dashboard!$D$35),0)</f>
        <v>0</v>
      </c>
      <c r="AC395" s="109">
        <f>IF($BD395&gt;0,(((($BD395/Dashboard!$D$23)*(1+Precificação!$W$589))*(1+AC$28))+$AA$26)*(1+Dashboard!$D$35),0)</f>
        <v>0</v>
      </c>
      <c r="AD395" s="109">
        <f>IF($BD395&gt;0,(((($BD395/Dashboard!$D$23)*(1+Precificação!$W$589))*(1+AD$28))+$AA$26)*(1+Dashboard!$D$35),0)</f>
        <v>0</v>
      </c>
      <c r="AF395" s="109">
        <f t="shared" si="323"/>
        <v>0</v>
      </c>
      <c r="AG395" s="109">
        <f t="shared" si="324"/>
        <v>0</v>
      </c>
      <c r="AH395" s="109">
        <f t="shared" si="325"/>
        <v>0</v>
      </c>
      <c r="AI395" s="109">
        <f t="shared" si="326"/>
        <v>0</v>
      </c>
      <c r="AL395" s="109">
        <f>IF($BD395&gt;0,(((($BD395/Dashboard!$D$23)*(1+Precificação!$W$589)))+$AL$26)*(1+Dashboard!$D$35),0)</f>
        <v>0</v>
      </c>
      <c r="AM395" s="109">
        <f>IF($BD395&gt;0,(((($BD395/Dashboard!$D$23)*(1+Precificação!$W$589))*(1+AM$28))+$AA$26)*(1+Dashboard!$D$35),0)</f>
        <v>0</v>
      </c>
      <c r="AN395" s="109">
        <f>IF($BD395&gt;0,(((($BD395/Dashboard!$D$23)*(1+Precificação!$W$589))*(1+AN$28))+$AA$26)*(1+Dashboard!$D$35),0)</f>
        <v>0</v>
      </c>
      <c r="AO395" s="109">
        <f>IF($BD395&gt;0,(((($BD395/Dashboard!$D$23)*(1+Precificação!$W$589))*(1+AO$28))+$AA$26)*(1+Dashboard!$D$35),0)</f>
        <v>0</v>
      </c>
      <c r="AQ395" s="109">
        <f t="shared" si="327"/>
        <v>0</v>
      </c>
      <c r="AR395" s="109">
        <f t="shared" si="328"/>
        <v>0</v>
      </c>
      <c r="AS395" s="109">
        <f t="shared" si="329"/>
        <v>0</v>
      </c>
      <c r="AT395" s="109">
        <f t="shared" si="330"/>
        <v>0</v>
      </c>
      <c r="AW395" s="144">
        <f>VLOOKUP(B395,'Cronog. e Histog.'!$B$213:$BT$688,71,0)</f>
        <v>0</v>
      </c>
      <c r="AX395" s="144">
        <f>VLOOKUP(B395,'Cronog. e Histog.'!$B$213:$BU$688,72,0)</f>
        <v>0</v>
      </c>
      <c r="AY395" s="144">
        <f>$AW395*$AX395*Dashboard!$D$15</f>
        <v>0</v>
      </c>
      <c r="AZ395" s="144">
        <f>VLOOKUP(B395,Precificação!$B$96:$BM$533,54,0)</f>
        <v>0</v>
      </c>
      <c r="BA395" s="144">
        <f>VLOOKUP(B395,Precificação!$B$96:$BR$533,58,0)</f>
        <v>0</v>
      </c>
      <c r="BB395" s="144">
        <f>VLOOKUP(B395,Precificação!$B$96:$BW$533,62,0)</f>
        <v>0</v>
      </c>
      <c r="BC395" s="144">
        <f t="shared" si="331"/>
        <v>0</v>
      </c>
      <c r="BD395" s="109">
        <f>IFERROR(VLOOKUP(B395,Precificação!$B$96:$S$533,13,0),0)</f>
        <v>0</v>
      </c>
      <c r="BE395" s="109">
        <f>IFERROR(VLOOKUP(B395,Precificação!$B$96:$U$533,15,0)/(Precificação!$U$4+Precificação!$U$91),0)*Dashboard!$T$3</f>
        <v>0</v>
      </c>
    </row>
    <row r="396" spans="2:57" ht="12" customHeight="1" outlineLevel="1">
      <c r="B396" s="137" t="str">
        <f>Precificação!B387</f>
        <v>ENG/ARQ JR. - Equipe_01</v>
      </c>
      <c r="D396" s="512"/>
      <c r="E396" s="143" t="str">
        <f>IF('Cronog. e Histog.'!G530&gt;0,'Cronog. e Histog.'!G530,"")</f>
        <v>ENG/ARQ JR.</v>
      </c>
      <c r="G396" s="179">
        <f t="shared" si="318"/>
        <v>0</v>
      </c>
      <c r="H396" s="110">
        <f>IFERROR(INDEX('Base Salarial'!$D$5:$F$25,MATCH(E396,'Base Salarial'!$G$5:$G$25,0),MATCH(I396,'Base Salarial'!$D$4:$F$4,0)),"")</f>
        <v>14000</v>
      </c>
      <c r="I396" s="78" t="str">
        <f>IFERROR(INDEX(Tarefas!$BQ$29:$FK$29,MATCH(E396,Tarefas!$BQ$30:$FK$30,0)),"")</f>
        <v>PJ</v>
      </c>
      <c r="J396" s="81">
        <f>IF(I396="horista",H396*Dashboard!$D$15,IF(OR(I396="Mensalista",I396="PJ"),H396,))</f>
        <v>14000</v>
      </c>
      <c r="K396" s="81">
        <f>IF(I396="PJ",J396,ROUND(J396*(1+Dashboard!$D$22),2))</f>
        <v>14000</v>
      </c>
      <c r="L396" s="77"/>
      <c r="M396" s="180"/>
      <c r="P396" s="109">
        <f>IF($BD396&gt;0,(((($BD396/Dashboard!$D$15)*(1+Precificação!$W$589)))+$P$26)*(1+Dashboard!$D$35),0)</f>
        <v>0</v>
      </c>
      <c r="Q396" s="109">
        <f>IF($BD396&gt;0,(((($BD396/Dashboard!$D$23)+(1+Precificação!$W$589))*(1+Q$28))+$P$26)*(1+Dashboard!$D$35),0)</f>
        <v>0</v>
      </c>
      <c r="R396" s="109">
        <f>IF($BD396&gt;0,(((($BD396/Dashboard!$D$23)+(1+Precificação!$W$589))*(1+R$28))+$P$26)*(1+Dashboard!$D$35),0)</f>
        <v>0</v>
      </c>
      <c r="S396" s="109">
        <f>IF($BD396&gt;0,(((($BD396/Dashboard!$D$23)+(1+Precificação!$W$589))*(1+S$28))+$P$26)*(1+Dashboard!$D$35),0)</f>
        <v>0</v>
      </c>
      <c r="U396" s="109">
        <f t="shared" si="319"/>
        <v>0</v>
      </c>
      <c r="V396" s="109">
        <f t="shared" si="320"/>
        <v>0</v>
      </c>
      <c r="W396" s="109">
        <f t="shared" si="321"/>
        <v>0</v>
      </c>
      <c r="X396" s="109">
        <f t="shared" si="322"/>
        <v>0</v>
      </c>
      <c r="AA396" s="109">
        <f>IF($BD396&gt;0,(((($BD396/Dashboard!$D$23)*(1+Precificação!$W$589)))+$AA$26)*(1+Dashboard!$D$35),0)</f>
        <v>0</v>
      </c>
      <c r="AB396" s="109">
        <f>IF($BD396&gt;0,(((($BD396/Dashboard!$D$23)*(1+Precificação!$W$589))*(1+AB$28))+$AA$26)*(1+Dashboard!$D$35),0)</f>
        <v>0</v>
      </c>
      <c r="AC396" s="109">
        <f>IF($BD396&gt;0,(((($BD396/Dashboard!$D$23)*(1+Precificação!$W$589))*(1+AC$28))+$AA$26)*(1+Dashboard!$D$35),0)</f>
        <v>0</v>
      </c>
      <c r="AD396" s="109">
        <f>IF($BD396&gt;0,(((($BD396/Dashboard!$D$23)*(1+Precificação!$W$589))*(1+AD$28))+$AA$26)*(1+Dashboard!$D$35),0)</f>
        <v>0</v>
      </c>
      <c r="AF396" s="109">
        <f t="shared" si="323"/>
        <v>0</v>
      </c>
      <c r="AG396" s="109">
        <f t="shared" si="324"/>
        <v>0</v>
      </c>
      <c r="AH396" s="109">
        <f t="shared" si="325"/>
        <v>0</v>
      </c>
      <c r="AI396" s="109">
        <f t="shared" si="326"/>
        <v>0</v>
      </c>
      <c r="AL396" s="109">
        <f>IF($BD396&gt;0,(((($BD396/Dashboard!$D$23)*(1+Precificação!$W$589)))+$AL$26)*(1+Dashboard!$D$35),0)</f>
        <v>0</v>
      </c>
      <c r="AM396" s="109">
        <f>IF($BD396&gt;0,(((($BD396/Dashboard!$D$23)*(1+Precificação!$W$589))*(1+AM$28))+$AA$26)*(1+Dashboard!$D$35),0)</f>
        <v>0</v>
      </c>
      <c r="AN396" s="109">
        <f>IF($BD396&gt;0,(((($BD396/Dashboard!$D$23)*(1+Precificação!$W$589))*(1+AN$28))+$AA$26)*(1+Dashboard!$D$35),0)</f>
        <v>0</v>
      </c>
      <c r="AO396" s="109">
        <f>IF($BD396&gt;0,(((($BD396/Dashboard!$D$23)*(1+Precificação!$W$589))*(1+AO$28))+$AA$26)*(1+Dashboard!$D$35),0)</f>
        <v>0</v>
      </c>
      <c r="AQ396" s="109">
        <f t="shared" si="327"/>
        <v>0</v>
      </c>
      <c r="AR396" s="109">
        <f t="shared" si="328"/>
        <v>0</v>
      </c>
      <c r="AS396" s="109">
        <f t="shared" si="329"/>
        <v>0</v>
      </c>
      <c r="AT396" s="109">
        <f t="shared" si="330"/>
        <v>0</v>
      </c>
      <c r="AW396" s="144">
        <f>VLOOKUP(B396,'Cronog. e Histog.'!$B$213:$BT$688,71,0)</f>
        <v>0</v>
      </c>
      <c r="AX396" s="144">
        <f>VLOOKUP(B396,'Cronog. e Histog.'!$B$213:$BU$688,72,0)</f>
        <v>0</v>
      </c>
      <c r="AY396" s="144">
        <f>$AW396*$AX396*Dashboard!$D$15</f>
        <v>0</v>
      </c>
      <c r="AZ396" s="144">
        <f>VLOOKUP(B396,Precificação!$B$96:$BM$533,54,0)</f>
        <v>0</v>
      </c>
      <c r="BA396" s="144">
        <f>VLOOKUP(B396,Precificação!$B$96:$BR$533,58,0)</f>
        <v>0</v>
      </c>
      <c r="BB396" s="144">
        <f>VLOOKUP(B396,Precificação!$B$96:$BW$533,62,0)</f>
        <v>0</v>
      </c>
      <c r="BC396" s="144">
        <f t="shared" si="331"/>
        <v>0</v>
      </c>
      <c r="BD396" s="109">
        <f>IFERROR(VLOOKUP(B396,Precificação!$B$96:$S$533,13,0),0)</f>
        <v>0</v>
      </c>
      <c r="BE396" s="109">
        <f>IFERROR(VLOOKUP(B396,Precificação!$B$96:$U$533,15,0)/(Precificação!$U$4+Precificação!$U$91),0)*Dashboard!$T$3</f>
        <v>0</v>
      </c>
    </row>
    <row r="397" spans="2:57" ht="12" customHeight="1" outlineLevel="1">
      <c r="B397" s="137" t="str">
        <f>Precificação!B388</f>
        <v>AN SR. ENG/ARQ - Equipe_01</v>
      </c>
      <c r="D397" s="512"/>
      <c r="E397" s="143" t="str">
        <f>IF('Cronog. e Histog.'!G531&gt;0,'Cronog. e Histog.'!G531,"")</f>
        <v>AN SR. ENG/ARQ</v>
      </c>
      <c r="G397" s="179">
        <f t="shared" si="318"/>
        <v>0</v>
      </c>
      <c r="H397" s="110">
        <f>IFERROR(INDEX('Base Salarial'!$D$5:$F$25,MATCH(E397,'Base Salarial'!$G$5:$G$25,0),MATCH(I397,'Base Salarial'!$D$4:$F$4,0)),"")</f>
        <v>7500</v>
      </c>
      <c r="I397" s="78" t="str">
        <f>IFERROR(INDEX(Tarefas!$BQ$29:$FK$29,MATCH(E397,Tarefas!$BQ$30:$FK$30,0)),"")</f>
        <v>Mensalista</v>
      </c>
      <c r="J397" s="81">
        <f>IF(I397="horista",H397*Dashboard!$D$15,IF(OR(I397="Mensalista",I397="PJ"),H397,))</f>
        <v>7500</v>
      </c>
      <c r="K397" s="81">
        <f>IF(I397="PJ",J397,ROUND(J397*(1+Dashboard!$D$22),2))</f>
        <v>7950</v>
      </c>
      <c r="L397" s="77"/>
      <c r="M397" s="180"/>
      <c r="P397" s="109">
        <f>IF($BD397&gt;0,(((($BD397/Dashboard!$D$15)*(1+Precificação!$W$589)))+$P$26)*(1+Dashboard!$D$35),0)</f>
        <v>0</v>
      </c>
      <c r="Q397" s="109">
        <f>IF($BD397&gt;0,(((($BD397/Dashboard!$D$23)+(1+Precificação!$W$589))*(1+Q$28))+$P$26)*(1+Dashboard!$D$35),0)</f>
        <v>0</v>
      </c>
      <c r="R397" s="109">
        <f>IF($BD397&gt;0,(((($BD397/Dashboard!$D$23)+(1+Precificação!$W$589))*(1+R$28))+$P$26)*(1+Dashboard!$D$35),0)</f>
        <v>0</v>
      </c>
      <c r="S397" s="109">
        <f>IF($BD397&gt;0,(((($BD397/Dashboard!$D$23)+(1+Precificação!$W$589))*(1+S$28))+$P$26)*(1+Dashboard!$D$35),0)</f>
        <v>0</v>
      </c>
      <c r="U397" s="109">
        <f t="shared" si="319"/>
        <v>0</v>
      </c>
      <c r="V397" s="109">
        <f t="shared" si="320"/>
        <v>0</v>
      </c>
      <c r="W397" s="109">
        <f t="shared" si="321"/>
        <v>0</v>
      </c>
      <c r="X397" s="109">
        <f t="shared" si="322"/>
        <v>0</v>
      </c>
      <c r="AA397" s="109">
        <f>IF($BD397&gt;0,(((($BD397/Dashboard!$D$23)*(1+Precificação!$W$589)))+$AA$26)*(1+Dashboard!$D$35),0)</f>
        <v>0</v>
      </c>
      <c r="AB397" s="109">
        <f>IF($BD397&gt;0,(((($BD397/Dashboard!$D$23)*(1+Precificação!$W$589))*(1+AB$28))+$AA$26)*(1+Dashboard!$D$35),0)</f>
        <v>0</v>
      </c>
      <c r="AC397" s="109">
        <f>IF($BD397&gt;0,(((($BD397/Dashboard!$D$23)*(1+Precificação!$W$589))*(1+AC$28))+$AA$26)*(1+Dashboard!$D$35),0)</f>
        <v>0</v>
      </c>
      <c r="AD397" s="109">
        <f>IF($BD397&gt;0,(((($BD397/Dashboard!$D$23)*(1+Precificação!$W$589))*(1+AD$28))+$AA$26)*(1+Dashboard!$D$35),0)</f>
        <v>0</v>
      </c>
      <c r="AF397" s="109">
        <f t="shared" si="323"/>
        <v>0</v>
      </c>
      <c r="AG397" s="109">
        <f t="shared" si="324"/>
        <v>0</v>
      </c>
      <c r="AH397" s="109">
        <f t="shared" si="325"/>
        <v>0</v>
      </c>
      <c r="AI397" s="109">
        <f t="shared" si="326"/>
        <v>0</v>
      </c>
      <c r="AL397" s="109">
        <f>IF($BD397&gt;0,(((($BD397/Dashboard!$D$23)*(1+Precificação!$W$589)))+$AL$26)*(1+Dashboard!$D$35),0)</f>
        <v>0</v>
      </c>
      <c r="AM397" s="109">
        <f>IF($BD397&gt;0,(((($BD397/Dashboard!$D$23)*(1+Precificação!$W$589))*(1+AM$28))+$AA$26)*(1+Dashboard!$D$35),0)</f>
        <v>0</v>
      </c>
      <c r="AN397" s="109">
        <f>IF($BD397&gt;0,(((($BD397/Dashboard!$D$23)*(1+Precificação!$W$589))*(1+AN$28))+$AA$26)*(1+Dashboard!$D$35),0)</f>
        <v>0</v>
      </c>
      <c r="AO397" s="109">
        <f>IF($BD397&gt;0,(((($BD397/Dashboard!$D$23)*(1+Precificação!$W$589))*(1+AO$28))+$AA$26)*(1+Dashboard!$D$35),0)</f>
        <v>0</v>
      </c>
      <c r="AQ397" s="109">
        <f t="shared" si="327"/>
        <v>0</v>
      </c>
      <c r="AR397" s="109">
        <f t="shared" si="328"/>
        <v>0</v>
      </c>
      <c r="AS397" s="109">
        <f t="shared" si="329"/>
        <v>0</v>
      </c>
      <c r="AT397" s="109">
        <f t="shared" si="330"/>
        <v>0</v>
      </c>
      <c r="AW397" s="144">
        <f>VLOOKUP(B397,'Cronog. e Histog.'!$B$213:$BT$688,71,0)</f>
        <v>0</v>
      </c>
      <c r="AX397" s="144">
        <f>VLOOKUP(B397,'Cronog. e Histog.'!$B$213:$BU$688,72,0)</f>
        <v>0</v>
      </c>
      <c r="AY397" s="144">
        <f>$AW397*$AX397*Dashboard!$D$15</f>
        <v>0</v>
      </c>
      <c r="AZ397" s="144">
        <f>VLOOKUP(B397,Precificação!$B$96:$BM$533,54,0)</f>
        <v>0</v>
      </c>
      <c r="BA397" s="144">
        <f>VLOOKUP(B397,Precificação!$B$96:$BR$533,58,0)</f>
        <v>0</v>
      </c>
      <c r="BB397" s="144">
        <f>VLOOKUP(B397,Precificação!$B$96:$BW$533,62,0)</f>
        <v>0</v>
      </c>
      <c r="BC397" s="144">
        <f t="shared" si="331"/>
        <v>0</v>
      </c>
      <c r="BD397" s="109">
        <f>IFERROR(VLOOKUP(B397,Precificação!$B$96:$S$533,13,0),0)</f>
        <v>0</v>
      </c>
      <c r="BE397" s="109">
        <f>IFERROR(VLOOKUP(B397,Precificação!$B$96:$U$533,15,0)/(Precificação!$U$4+Precificação!$U$91),0)*Dashboard!$T$3</f>
        <v>0</v>
      </c>
    </row>
    <row r="398" spans="2:57" ht="12" customHeight="1" outlineLevel="1">
      <c r="B398" s="137" t="str">
        <f>Precificação!B389</f>
        <v>AN PL. ENG/ARQ - Equipe_01</v>
      </c>
      <c r="D398" s="512"/>
      <c r="E398" s="143" t="str">
        <f>IF('Cronog. e Histog.'!G532&gt;0,'Cronog. e Histog.'!G532,"")</f>
        <v>AN PL. ENG/ARQ</v>
      </c>
      <c r="G398" s="179">
        <f t="shared" si="318"/>
        <v>0</v>
      </c>
      <c r="H398" s="110">
        <f>IFERROR(INDEX('Base Salarial'!$D$5:$F$25,MATCH(E398,'Base Salarial'!$G$5:$G$25,0),MATCH(I398,'Base Salarial'!$D$4:$F$4,0)),"")</f>
        <v>6000</v>
      </c>
      <c r="I398" s="78" t="str">
        <f>IFERROR(INDEX(Tarefas!$BQ$29:$FK$29,MATCH(E398,Tarefas!$BQ$30:$FK$30,0)),"")</f>
        <v>Mensalista</v>
      </c>
      <c r="J398" s="81">
        <f>IF(I398="horista",H398*Dashboard!$D$15,IF(OR(I398="Mensalista",I398="PJ"),H398,))</f>
        <v>6000</v>
      </c>
      <c r="K398" s="81">
        <f>IF(I398="PJ",J398,ROUND(J398*(1+Dashboard!$D$22),2))</f>
        <v>6360</v>
      </c>
      <c r="L398" s="77"/>
      <c r="M398" s="180"/>
      <c r="P398" s="109">
        <f>IF($BD398&gt;0,(((($BD398/Dashboard!$D$15)*(1+Precificação!$W$589)))+$P$26)*(1+Dashboard!$D$35),0)</f>
        <v>0</v>
      </c>
      <c r="Q398" s="109">
        <f>IF($BD398&gt;0,(((($BD398/Dashboard!$D$23)+(1+Precificação!$W$589))*(1+Q$28))+$P$26)*(1+Dashboard!$D$35),0)</f>
        <v>0</v>
      </c>
      <c r="R398" s="109">
        <f>IF($BD398&gt;0,(((($BD398/Dashboard!$D$23)+(1+Precificação!$W$589))*(1+R$28))+$P$26)*(1+Dashboard!$D$35),0)</f>
        <v>0</v>
      </c>
      <c r="S398" s="109">
        <f>IF($BD398&gt;0,(((($BD398/Dashboard!$D$23)+(1+Precificação!$W$589))*(1+S$28))+$P$26)*(1+Dashboard!$D$35),0)</f>
        <v>0</v>
      </c>
      <c r="U398" s="109">
        <f t="shared" si="319"/>
        <v>0</v>
      </c>
      <c r="V398" s="109">
        <f t="shared" si="320"/>
        <v>0</v>
      </c>
      <c r="W398" s="109">
        <f t="shared" si="321"/>
        <v>0</v>
      </c>
      <c r="X398" s="109">
        <f t="shared" si="322"/>
        <v>0</v>
      </c>
      <c r="AA398" s="109">
        <f>IF($BD398&gt;0,(((($BD398/Dashboard!$D$23)*(1+Precificação!$W$589)))+$AA$26)*(1+Dashboard!$D$35),0)</f>
        <v>0</v>
      </c>
      <c r="AB398" s="109">
        <f>IF($BD398&gt;0,(((($BD398/Dashboard!$D$23)*(1+Precificação!$W$589))*(1+AB$28))+$AA$26)*(1+Dashboard!$D$35),0)</f>
        <v>0</v>
      </c>
      <c r="AC398" s="109">
        <f>IF($BD398&gt;0,(((($BD398/Dashboard!$D$23)*(1+Precificação!$W$589))*(1+AC$28))+$AA$26)*(1+Dashboard!$D$35),0)</f>
        <v>0</v>
      </c>
      <c r="AD398" s="109">
        <f>IF($BD398&gt;0,(((($BD398/Dashboard!$D$23)*(1+Precificação!$W$589))*(1+AD$28))+$AA$26)*(1+Dashboard!$D$35),0)</f>
        <v>0</v>
      </c>
      <c r="AF398" s="109">
        <f t="shared" si="323"/>
        <v>0</v>
      </c>
      <c r="AG398" s="109">
        <f t="shared" si="324"/>
        <v>0</v>
      </c>
      <c r="AH398" s="109">
        <f t="shared" si="325"/>
        <v>0</v>
      </c>
      <c r="AI398" s="109">
        <f t="shared" si="326"/>
        <v>0</v>
      </c>
      <c r="AL398" s="109">
        <f>IF($BD398&gt;0,(((($BD398/Dashboard!$D$23)*(1+Precificação!$W$589)))+$AL$26)*(1+Dashboard!$D$35),0)</f>
        <v>0</v>
      </c>
      <c r="AM398" s="109">
        <f>IF($BD398&gt;0,(((($BD398/Dashboard!$D$23)*(1+Precificação!$W$589))*(1+AM$28))+$AA$26)*(1+Dashboard!$D$35),0)</f>
        <v>0</v>
      </c>
      <c r="AN398" s="109">
        <f>IF($BD398&gt;0,(((($BD398/Dashboard!$D$23)*(1+Precificação!$W$589))*(1+AN$28))+$AA$26)*(1+Dashboard!$D$35),0)</f>
        <v>0</v>
      </c>
      <c r="AO398" s="109">
        <f>IF($BD398&gt;0,(((($BD398/Dashboard!$D$23)*(1+Precificação!$W$589))*(1+AO$28))+$AA$26)*(1+Dashboard!$D$35),0)</f>
        <v>0</v>
      </c>
      <c r="AQ398" s="109">
        <f t="shared" si="327"/>
        <v>0</v>
      </c>
      <c r="AR398" s="109">
        <f t="shared" si="328"/>
        <v>0</v>
      </c>
      <c r="AS398" s="109">
        <f t="shared" si="329"/>
        <v>0</v>
      </c>
      <c r="AT398" s="109">
        <f t="shared" si="330"/>
        <v>0</v>
      </c>
      <c r="AW398" s="144">
        <f>VLOOKUP(B398,'Cronog. e Histog.'!$B$213:$BT$688,71,0)</f>
        <v>0</v>
      </c>
      <c r="AX398" s="144">
        <f>VLOOKUP(B398,'Cronog. e Histog.'!$B$213:$BU$688,72,0)</f>
        <v>0</v>
      </c>
      <c r="AY398" s="144">
        <f>$AW398*$AX398*Dashboard!$D$15</f>
        <v>0</v>
      </c>
      <c r="AZ398" s="144">
        <f>VLOOKUP(B398,Precificação!$B$96:$BM$533,54,0)</f>
        <v>0</v>
      </c>
      <c r="BA398" s="144">
        <f>VLOOKUP(B398,Precificação!$B$96:$BR$533,58,0)</f>
        <v>0</v>
      </c>
      <c r="BB398" s="144">
        <f>VLOOKUP(B398,Precificação!$B$96:$BW$533,62,0)</f>
        <v>0</v>
      </c>
      <c r="BC398" s="144">
        <f t="shared" si="331"/>
        <v>0</v>
      </c>
      <c r="BD398" s="109">
        <f>IFERROR(VLOOKUP(B398,Precificação!$B$96:$S$533,13,0),0)</f>
        <v>0</v>
      </c>
      <c r="BE398" s="109">
        <f>IFERROR(VLOOKUP(B398,Precificação!$B$96:$U$533,15,0)/(Precificação!$U$4+Precificação!$U$91),0)*Dashboard!$T$3</f>
        <v>0</v>
      </c>
    </row>
    <row r="399" spans="2:57" ht="12" customHeight="1" outlineLevel="1">
      <c r="B399" s="137" t="str">
        <f>Precificação!B390</f>
        <v>AN JR. ENG/ARQ - Equipe_01</v>
      </c>
      <c r="D399" s="512"/>
      <c r="E399" s="143" t="str">
        <f>IF('Cronog. e Histog.'!G533&gt;0,'Cronog. e Histog.'!G533,"")</f>
        <v>AN JR. ENG/ARQ</v>
      </c>
      <c r="G399" s="179">
        <f t="shared" si="318"/>
        <v>0</v>
      </c>
      <c r="H399" s="110">
        <f>IFERROR(INDEX('Base Salarial'!$D$5:$F$25,MATCH(E399,'Base Salarial'!$G$5:$G$25,0),MATCH(I399,'Base Salarial'!$D$4:$F$4,0)),"")</f>
        <v>4500</v>
      </c>
      <c r="I399" s="78" t="str">
        <f>IFERROR(INDEX(Tarefas!$BQ$29:$FK$29,MATCH(E399,Tarefas!$BQ$30:$FK$30,0)),"")</f>
        <v>Mensalista</v>
      </c>
      <c r="J399" s="81">
        <f>IF(I399="horista",H399*Dashboard!$D$15,IF(OR(I399="Mensalista",I399="PJ"),H399,))</f>
        <v>4500</v>
      </c>
      <c r="K399" s="81">
        <f>IF(I399="PJ",J399,ROUND(J399*(1+Dashboard!$D$22),2))</f>
        <v>4770</v>
      </c>
      <c r="L399" s="77"/>
      <c r="M399" s="180"/>
      <c r="P399" s="109">
        <f>IF($BD399&gt;0,(((($BD399/Dashboard!$D$15)*(1+Precificação!$W$589)))+$P$26)*(1+Dashboard!$D$35),0)</f>
        <v>0</v>
      </c>
      <c r="Q399" s="109">
        <f>IF($BD399&gt;0,(((($BD399/Dashboard!$D$23)+(1+Precificação!$W$589))*(1+Q$28))+$P$26)*(1+Dashboard!$D$35),0)</f>
        <v>0</v>
      </c>
      <c r="R399" s="109">
        <f>IF($BD399&gt;0,(((($BD399/Dashboard!$D$23)+(1+Precificação!$W$589))*(1+R$28))+$P$26)*(1+Dashboard!$D$35),0)</f>
        <v>0</v>
      </c>
      <c r="S399" s="109">
        <f>IF($BD399&gt;0,(((($BD399/Dashboard!$D$23)+(1+Precificação!$W$589))*(1+S$28))+$P$26)*(1+Dashboard!$D$35),0)</f>
        <v>0</v>
      </c>
      <c r="U399" s="109">
        <f t="shared" si="319"/>
        <v>0</v>
      </c>
      <c r="V399" s="109">
        <f t="shared" si="320"/>
        <v>0</v>
      </c>
      <c r="W399" s="109">
        <f t="shared" si="321"/>
        <v>0</v>
      </c>
      <c r="X399" s="109">
        <f t="shared" si="322"/>
        <v>0</v>
      </c>
      <c r="AA399" s="109">
        <f>IF($BD399&gt;0,(((($BD399/Dashboard!$D$23)*(1+Precificação!$W$589)))+$AA$26)*(1+Dashboard!$D$35),0)</f>
        <v>0</v>
      </c>
      <c r="AB399" s="109">
        <f>IF($BD399&gt;0,(((($BD399/Dashboard!$D$23)*(1+Precificação!$W$589))*(1+AB$28))+$AA$26)*(1+Dashboard!$D$35),0)</f>
        <v>0</v>
      </c>
      <c r="AC399" s="109">
        <f>IF($BD399&gt;0,(((($BD399/Dashboard!$D$23)*(1+Precificação!$W$589))*(1+AC$28))+$AA$26)*(1+Dashboard!$D$35),0)</f>
        <v>0</v>
      </c>
      <c r="AD399" s="109">
        <f>IF($BD399&gt;0,(((($BD399/Dashboard!$D$23)*(1+Precificação!$W$589))*(1+AD$28))+$AA$26)*(1+Dashboard!$D$35),0)</f>
        <v>0</v>
      </c>
      <c r="AF399" s="109">
        <f t="shared" si="323"/>
        <v>0</v>
      </c>
      <c r="AG399" s="109">
        <f t="shared" si="324"/>
        <v>0</v>
      </c>
      <c r="AH399" s="109">
        <f t="shared" si="325"/>
        <v>0</v>
      </c>
      <c r="AI399" s="109">
        <f t="shared" si="326"/>
        <v>0</v>
      </c>
      <c r="AL399" s="109">
        <f>IF($BD399&gt;0,(((($BD399/Dashboard!$D$23)*(1+Precificação!$W$589)))+$AL$26)*(1+Dashboard!$D$35),0)</f>
        <v>0</v>
      </c>
      <c r="AM399" s="109">
        <f>IF($BD399&gt;0,(((($BD399/Dashboard!$D$23)*(1+Precificação!$W$589))*(1+AM$28))+$AA$26)*(1+Dashboard!$D$35),0)</f>
        <v>0</v>
      </c>
      <c r="AN399" s="109">
        <f>IF($BD399&gt;0,(((($BD399/Dashboard!$D$23)*(1+Precificação!$W$589))*(1+AN$28))+$AA$26)*(1+Dashboard!$D$35),0)</f>
        <v>0</v>
      </c>
      <c r="AO399" s="109">
        <f>IF($BD399&gt;0,(((($BD399/Dashboard!$D$23)*(1+Precificação!$W$589))*(1+AO$28))+$AA$26)*(1+Dashboard!$D$35),0)</f>
        <v>0</v>
      </c>
      <c r="AQ399" s="109">
        <f t="shared" si="327"/>
        <v>0</v>
      </c>
      <c r="AR399" s="109">
        <f t="shared" si="328"/>
        <v>0</v>
      </c>
      <c r="AS399" s="109">
        <f t="shared" si="329"/>
        <v>0</v>
      </c>
      <c r="AT399" s="109">
        <f t="shared" si="330"/>
        <v>0</v>
      </c>
      <c r="AW399" s="144">
        <f>VLOOKUP(B399,'Cronog. e Histog.'!$B$213:$BT$688,71,0)</f>
        <v>0</v>
      </c>
      <c r="AX399" s="144">
        <f>VLOOKUP(B399,'Cronog. e Histog.'!$B$213:$BU$688,72,0)</f>
        <v>0</v>
      </c>
      <c r="AY399" s="144">
        <f>$AW399*$AX399*Dashboard!$D$15</f>
        <v>0</v>
      </c>
      <c r="AZ399" s="144">
        <f>VLOOKUP(B399,Precificação!$B$96:$BM$533,54,0)</f>
        <v>0</v>
      </c>
      <c r="BA399" s="144">
        <f>VLOOKUP(B399,Precificação!$B$96:$BR$533,58,0)</f>
        <v>0</v>
      </c>
      <c r="BB399" s="144">
        <f>VLOOKUP(B399,Precificação!$B$96:$BW$533,62,0)</f>
        <v>0</v>
      </c>
      <c r="BC399" s="144">
        <f t="shared" si="331"/>
        <v>0</v>
      </c>
      <c r="BD399" s="109">
        <f>IFERROR(VLOOKUP(B399,Precificação!$B$96:$S$533,13,0),0)</f>
        <v>0</v>
      </c>
      <c r="BE399" s="109">
        <f>IFERROR(VLOOKUP(B399,Precificação!$B$96:$U$533,15,0)/(Precificação!$U$4+Precificação!$U$91),0)*Dashboard!$T$3</f>
        <v>0</v>
      </c>
    </row>
    <row r="400" spans="2:57" ht="12" customHeight="1" outlineLevel="1">
      <c r="B400" s="137" t="str">
        <f>Precificação!B391</f>
        <v>AN SR. ADM/CRP - Equipe_01</v>
      </c>
      <c r="D400" s="512"/>
      <c r="E400" s="143" t="str">
        <f>IF('Cronog. e Histog.'!G534&gt;0,'Cronog. e Histog.'!G534,"")</f>
        <v>AN SR. ADM/CRP</v>
      </c>
      <c r="G400" s="179">
        <f t="shared" si="318"/>
        <v>0</v>
      </c>
      <c r="H400" s="110">
        <f>IFERROR(INDEX('Base Salarial'!$D$5:$F$25,MATCH(E400,'Base Salarial'!$G$5:$G$25,0),MATCH(I400,'Base Salarial'!$D$4:$F$4,0)),"")</f>
        <v>7000</v>
      </c>
      <c r="I400" s="78" t="str">
        <f>IFERROR(INDEX(Tarefas!$BQ$29:$FK$29,MATCH(E400,Tarefas!$BQ$30:$FK$30,0)),"")</f>
        <v>Mensalista</v>
      </c>
      <c r="J400" s="81">
        <f>IF(I400="horista",H400*Dashboard!$D$15,IF(OR(I400="Mensalista",I400="PJ"),H400,))</f>
        <v>7000</v>
      </c>
      <c r="K400" s="81">
        <f>IF(I400="PJ",J400,ROUND(J400*(1+Dashboard!$D$22),2))</f>
        <v>7420</v>
      </c>
      <c r="L400" s="77"/>
      <c r="M400" s="180"/>
      <c r="P400" s="109">
        <f>IF($BD400&gt;0,(((($BD400/Dashboard!$D$15)*(1+Precificação!$W$589)))+$P$26)*(1+Dashboard!$D$35),0)</f>
        <v>0</v>
      </c>
      <c r="Q400" s="109">
        <f>IF($BD400&gt;0,(((($BD400/Dashboard!$D$23)+(1+Precificação!$W$589))*(1+Q$28))+$P$26)*(1+Dashboard!$D$35),0)</f>
        <v>0</v>
      </c>
      <c r="R400" s="109">
        <f>IF($BD400&gt;0,(((($BD400/Dashboard!$D$23)+(1+Precificação!$W$589))*(1+R$28))+$P$26)*(1+Dashboard!$D$35),0)</f>
        <v>0</v>
      </c>
      <c r="S400" s="109">
        <f>IF($BD400&gt;0,(((($BD400/Dashboard!$D$23)+(1+Precificação!$W$589))*(1+S$28))+$P$26)*(1+Dashboard!$D$35),0)</f>
        <v>0</v>
      </c>
      <c r="U400" s="109">
        <f t="shared" si="319"/>
        <v>0</v>
      </c>
      <c r="V400" s="109">
        <f t="shared" si="320"/>
        <v>0</v>
      </c>
      <c r="W400" s="109">
        <f t="shared" si="321"/>
        <v>0</v>
      </c>
      <c r="X400" s="109">
        <f t="shared" si="322"/>
        <v>0</v>
      </c>
      <c r="AA400" s="109">
        <f>IF($BD400&gt;0,(((($BD400/Dashboard!$D$23)*(1+Precificação!$W$589)))+$AA$26)*(1+Dashboard!$D$35),0)</f>
        <v>0</v>
      </c>
      <c r="AB400" s="109">
        <f>IF($BD400&gt;0,(((($BD400/Dashboard!$D$23)*(1+Precificação!$W$589))*(1+AB$28))+$AA$26)*(1+Dashboard!$D$35),0)</f>
        <v>0</v>
      </c>
      <c r="AC400" s="109">
        <f>IF($BD400&gt;0,(((($BD400/Dashboard!$D$23)*(1+Precificação!$W$589))*(1+AC$28))+$AA$26)*(1+Dashboard!$D$35),0)</f>
        <v>0</v>
      </c>
      <c r="AD400" s="109">
        <f>IF($BD400&gt;0,(((($BD400/Dashboard!$D$23)*(1+Precificação!$W$589))*(1+AD$28))+$AA$26)*(1+Dashboard!$D$35),0)</f>
        <v>0</v>
      </c>
      <c r="AF400" s="109">
        <f t="shared" si="323"/>
        <v>0</v>
      </c>
      <c r="AG400" s="109">
        <f t="shared" si="324"/>
        <v>0</v>
      </c>
      <c r="AH400" s="109">
        <f t="shared" si="325"/>
        <v>0</v>
      </c>
      <c r="AI400" s="109">
        <f t="shared" si="326"/>
        <v>0</v>
      </c>
      <c r="AL400" s="109">
        <f>IF($BD400&gt;0,(((($BD400/Dashboard!$D$23)*(1+Precificação!$W$589)))+$AL$26)*(1+Dashboard!$D$35),0)</f>
        <v>0</v>
      </c>
      <c r="AM400" s="109">
        <f>IF($BD400&gt;0,(((($BD400/Dashboard!$D$23)*(1+Precificação!$W$589))*(1+AM$28))+$AA$26)*(1+Dashboard!$D$35),0)</f>
        <v>0</v>
      </c>
      <c r="AN400" s="109">
        <f>IF($BD400&gt;0,(((($BD400/Dashboard!$D$23)*(1+Precificação!$W$589))*(1+AN$28))+$AA$26)*(1+Dashboard!$D$35),0)</f>
        <v>0</v>
      </c>
      <c r="AO400" s="109">
        <f>IF($BD400&gt;0,(((($BD400/Dashboard!$D$23)*(1+Precificação!$W$589))*(1+AO$28))+$AA$26)*(1+Dashboard!$D$35),0)</f>
        <v>0</v>
      </c>
      <c r="AQ400" s="109">
        <f t="shared" si="327"/>
        <v>0</v>
      </c>
      <c r="AR400" s="109">
        <f t="shared" si="328"/>
        <v>0</v>
      </c>
      <c r="AS400" s="109">
        <f t="shared" si="329"/>
        <v>0</v>
      </c>
      <c r="AT400" s="109">
        <f t="shared" si="330"/>
        <v>0</v>
      </c>
      <c r="AW400" s="144">
        <f>VLOOKUP(B400,'Cronog. e Histog.'!$B$213:$BT$688,71,0)</f>
        <v>0</v>
      </c>
      <c r="AX400" s="144">
        <f>VLOOKUP(B400,'Cronog. e Histog.'!$B$213:$BU$688,72,0)</f>
        <v>0</v>
      </c>
      <c r="AY400" s="144">
        <f>$AW400*$AX400*Dashboard!$D$15</f>
        <v>0</v>
      </c>
      <c r="AZ400" s="144">
        <f>VLOOKUP(B400,Precificação!$B$96:$BM$533,54,0)</f>
        <v>0</v>
      </c>
      <c r="BA400" s="144">
        <f>VLOOKUP(B400,Precificação!$B$96:$BR$533,58,0)</f>
        <v>0</v>
      </c>
      <c r="BB400" s="144">
        <f>VLOOKUP(B400,Precificação!$B$96:$BW$533,62,0)</f>
        <v>0</v>
      </c>
      <c r="BC400" s="144">
        <f t="shared" si="331"/>
        <v>0</v>
      </c>
      <c r="BD400" s="109">
        <f>IFERROR(VLOOKUP(B400,Precificação!$B$96:$S$533,13,0),0)</f>
        <v>0</v>
      </c>
      <c r="BE400" s="109">
        <f>IFERROR(VLOOKUP(B400,Precificação!$B$96:$U$533,15,0)/(Precificação!$U$4+Precificação!$U$91),0)*Dashboard!$T$3</f>
        <v>0</v>
      </c>
    </row>
    <row r="401" spans="2:57" ht="12" customHeight="1" outlineLevel="1">
      <c r="B401" s="137" t="str">
        <f>Precificação!B392</f>
        <v>AN PL. ADM/CRP - Equipe_01</v>
      </c>
      <c r="D401" s="512"/>
      <c r="E401" s="143" t="str">
        <f>IF('Cronog. e Histog.'!G535&gt;0,'Cronog. e Histog.'!G535,"")</f>
        <v>AN PL. ADM/CRP</v>
      </c>
      <c r="G401" s="179">
        <f t="shared" si="318"/>
        <v>0</v>
      </c>
      <c r="H401" s="110">
        <f>IFERROR(INDEX('Base Salarial'!$D$5:$F$25,MATCH(E401,'Base Salarial'!$G$5:$G$25,0),MATCH(I401,'Base Salarial'!$D$4:$F$4,0)),"")</f>
        <v>5000</v>
      </c>
      <c r="I401" s="78" t="str">
        <f>IFERROR(INDEX(Tarefas!$BQ$29:$FK$29,MATCH(E401,Tarefas!$BQ$30:$FK$30,0)),"")</f>
        <v>Mensalista</v>
      </c>
      <c r="J401" s="81">
        <f>IF(I401="horista",H401*Dashboard!$D$15,IF(OR(I401="Mensalista",I401="PJ"),H401,))</f>
        <v>5000</v>
      </c>
      <c r="K401" s="81">
        <f>IF(I401="PJ",J401,ROUND(J401*(1+Dashboard!$D$22),2))</f>
        <v>5300</v>
      </c>
      <c r="L401" s="77"/>
      <c r="M401" s="180"/>
      <c r="P401" s="109">
        <f>IF($BD401&gt;0,(((($BD401/Dashboard!$D$15)*(1+Precificação!$W$589)))+$P$26)*(1+Dashboard!$D$35),0)</f>
        <v>0</v>
      </c>
      <c r="Q401" s="109">
        <f>IF($BD401&gt;0,(((($BD401/Dashboard!$D$23)+(1+Precificação!$W$589))*(1+Q$28))+$P$26)*(1+Dashboard!$D$35),0)</f>
        <v>0</v>
      </c>
      <c r="R401" s="109">
        <f>IF($BD401&gt;0,(((($BD401/Dashboard!$D$23)+(1+Precificação!$W$589))*(1+R$28))+$P$26)*(1+Dashboard!$D$35),0)</f>
        <v>0</v>
      </c>
      <c r="S401" s="109">
        <f>IF($BD401&gt;0,(((($BD401/Dashboard!$D$23)+(1+Precificação!$W$589))*(1+S$28))+$P$26)*(1+Dashboard!$D$35),0)</f>
        <v>0</v>
      </c>
      <c r="U401" s="109">
        <f t="shared" si="319"/>
        <v>0</v>
      </c>
      <c r="V401" s="109">
        <f t="shared" si="320"/>
        <v>0</v>
      </c>
      <c r="W401" s="109">
        <f t="shared" si="321"/>
        <v>0</v>
      </c>
      <c r="X401" s="109">
        <f t="shared" si="322"/>
        <v>0</v>
      </c>
      <c r="AA401" s="109">
        <f>IF($BD401&gt;0,(((($BD401/Dashboard!$D$23)*(1+Precificação!$W$589)))+$AA$26)*(1+Dashboard!$D$35),0)</f>
        <v>0</v>
      </c>
      <c r="AB401" s="109">
        <f>IF($BD401&gt;0,(((($BD401/Dashboard!$D$23)*(1+Precificação!$W$589))*(1+AB$28))+$AA$26)*(1+Dashboard!$D$35),0)</f>
        <v>0</v>
      </c>
      <c r="AC401" s="109">
        <f>IF($BD401&gt;0,(((($BD401/Dashboard!$D$23)*(1+Precificação!$W$589))*(1+AC$28))+$AA$26)*(1+Dashboard!$D$35),0)</f>
        <v>0</v>
      </c>
      <c r="AD401" s="109">
        <f>IF($BD401&gt;0,(((($BD401/Dashboard!$D$23)*(1+Precificação!$W$589))*(1+AD$28))+$AA$26)*(1+Dashboard!$D$35),0)</f>
        <v>0</v>
      </c>
      <c r="AF401" s="109">
        <f t="shared" si="323"/>
        <v>0</v>
      </c>
      <c r="AG401" s="109">
        <f t="shared" si="324"/>
        <v>0</v>
      </c>
      <c r="AH401" s="109">
        <f t="shared" si="325"/>
        <v>0</v>
      </c>
      <c r="AI401" s="109">
        <f t="shared" si="326"/>
        <v>0</v>
      </c>
      <c r="AL401" s="109">
        <f>IF($BD401&gt;0,(((($BD401/Dashboard!$D$23)*(1+Precificação!$W$589)))+$AL$26)*(1+Dashboard!$D$35),0)</f>
        <v>0</v>
      </c>
      <c r="AM401" s="109">
        <f>IF($BD401&gt;0,(((($BD401/Dashboard!$D$23)*(1+Precificação!$W$589))*(1+AM$28))+$AA$26)*(1+Dashboard!$D$35),0)</f>
        <v>0</v>
      </c>
      <c r="AN401" s="109">
        <f>IF($BD401&gt;0,(((($BD401/Dashboard!$D$23)*(1+Precificação!$W$589))*(1+AN$28))+$AA$26)*(1+Dashboard!$D$35),0)</f>
        <v>0</v>
      </c>
      <c r="AO401" s="109">
        <f>IF($BD401&gt;0,(((($BD401/Dashboard!$D$23)*(1+Precificação!$W$589))*(1+AO$28))+$AA$26)*(1+Dashboard!$D$35),0)</f>
        <v>0</v>
      </c>
      <c r="AQ401" s="109">
        <f t="shared" si="327"/>
        <v>0</v>
      </c>
      <c r="AR401" s="109">
        <f t="shared" si="328"/>
        <v>0</v>
      </c>
      <c r="AS401" s="109">
        <f t="shared" si="329"/>
        <v>0</v>
      </c>
      <c r="AT401" s="109">
        <f t="shared" si="330"/>
        <v>0</v>
      </c>
      <c r="AW401" s="144">
        <f>VLOOKUP(B401,'Cronog. e Histog.'!$B$213:$BT$688,71,0)</f>
        <v>0</v>
      </c>
      <c r="AX401" s="144">
        <f>VLOOKUP(B401,'Cronog. e Histog.'!$B$213:$BU$688,72,0)</f>
        <v>0</v>
      </c>
      <c r="AY401" s="144">
        <f>$AW401*$AX401*Dashboard!$D$15</f>
        <v>0</v>
      </c>
      <c r="AZ401" s="144">
        <f>VLOOKUP(B401,Precificação!$B$96:$BM$533,54,0)</f>
        <v>0</v>
      </c>
      <c r="BA401" s="144">
        <f>VLOOKUP(B401,Precificação!$B$96:$BR$533,58,0)</f>
        <v>0</v>
      </c>
      <c r="BB401" s="144">
        <f>VLOOKUP(B401,Precificação!$B$96:$BW$533,62,0)</f>
        <v>0</v>
      </c>
      <c r="BC401" s="144">
        <f t="shared" si="331"/>
        <v>0</v>
      </c>
      <c r="BD401" s="109">
        <f>IFERROR(VLOOKUP(B401,Precificação!$B$96:$S$533,13,0),0)</f>
        <v>0</v>
      </c>
      <c r="BE401" s="109">
        <f>IFERROR(VLOOKUP(B401,Precificação!$B$96:$U$533,15,0)/(Precificação!$U$4+Precificação!$U$91),0)*Dashboard!$T$3</f>
        <v>0</v>
      </c>
    </row>
    <row r="402" spans="2:57" ht="12" customHeight="1" outlineLevel="1">
      <c r="B402" s="137" t="str">
        <f>Precificação!B393</f>
        <v>AN JR. ADM/CRP - Equipe_01</v>
      </c>
      <c r="D402" s="512"/>
      <c r="E402" s="143" t="str">
        <f>IF('Cronog. e Histog.'!G536&gt;0,'Cronog. e Histog.'!G536,"")</f>
        <v>AN JR. ADM/CRP</v>
      </c>
      <c r="G402" s="179">
        <f t="shared" si="318"/>
        <v>0</v>
      </c>
      <c r="H402" s="110">
        <f>IFERROR(INDEX('Base Salarial'!$D$5:$F$25,MATCH(E402,'Base Salarial'!$G$5:$G$25,0),MATCH(I402,'Base Salarial'!$D$4:$F$4,0)),"")</f>
        <v>3500</v>
      </c>
      <c r="I402" s="78" t="str">
        <f>IFERROR(INDEX(Tarefas!$BQ$29:$FK$29,MATCH(E402,Tarefas!$BQ$30:$FK$30,0)),"")</f>
        <v>Mensalista</v>
      </c>
      <c r="J402" s="81">
        <f>IF(I402="horista",H402*Dashboard!$D$15,IF(OR(I402="Mensalista",I402="PJ"),H402,))</f>
        <v>3500</v>
      </c>
      <c r="K402" s="81">
        <f>IF(I402="PJ",J402,ROUND(J402*(1+Dashboard!$D$22),2))</f>
        <v>3710</v>
      </c>
      <c r="L402" s="77"/>
      <c r="M402" s="180"/>
      <c r="P402" s="109">
        <f>IF($BD402&gt;0,(((($BD402/Dashboard!$D$15)*(1+Precificação!$W$589)))+$P$26)*(1+Dashboard!$D$35),0)</f>
        <v>0</v>
      </c>
      <c r="Q402" s="109">
        <f>IF($BD402&gt;0,(((($BD402/Dashboard!$D$23)+(1+Precificação!$W$589))*(1+Q$28))+$P$26)*(1+Dashboard!$D$35),0)</f>
        <v>0</v>
      </c>
      <c r="R402" s="109">
        <f>IF($BD402&gt;0,(((($BD402/Dashboard!$D$23)+(1+Precificação!$W$589))*(1+R$28))+$P$26)*(1+Dashboard!$D$35),0)</f>
        <v>0</v>
      </c>
      <c r="S402" s="109">
        <f>IF($BD402&gt;0,(((($BD402/Dashboard!$D$23)+(1+Precificação!$W$589))*(1+S$28))+$P$26)*(1+Dashboard!$D$35),0)</f>
        <v>0</v>
      </c>
      <c r="U402" s="109">
        <f t="shared" si="319"/>
        <v>0</v>
      </c>
      <c r="V402" s="109">
        <f t="shared" si="320"/>
        <v>0</v>
      </c>
      <c r="W402" s="109">
        <f t="shared" si="321"/>
        <v>0</v>
      </c>
      <c r="X402" s="109">
        <f t="shared" si="322"/>
        <v>0</v>
      </c>
      <c r="AA402" s="109">
        <f>IF($BD402&gt;0,(((($BD402/Dashboard!$D$23)*(1+Precificação!$W$589)))+$AA$26)*(1+Dashboard!$D$35),0)</f>
        <v>0</v>
      </c>
      <c r="AB402" s="109">
        <f>IF($BD402&gt;0,(((($BD402/Dashboard!$D$23)*(1+Precificação!$W$589))*(1+AB$28))+$AA$26)*(1+Dashboard!$D$35),0)</f>
        <v>0</v>
      </c>
      <c r="AC402" s="109">
        <f>IF($BD402&gt;0,(((($BD402/Dashboard!$D$23)*(1+Precificação!$W$589))*(1+AC$28))+$AA$26)*(1+Dashboard!$D$35),0)</f>
        <v>0</v>
      </c>
      <c r="AD402" s="109">
        <f>IF($BD402&gt;0,(((($BD402/Dashboard!$D$23)*(1+Precificação!$W$589))*(1+AD$28))+$AA$26)*(1+Dashboard!$D$35),0)</f>
        <v>0</v>
      </c>
      <c r="AF402" s="109">
        <f t="shared" si="323"/>
        <v>0</v>
      </c>
      <c r="AG402" s="109">
        <f t="shared" si="324"/>
        <v>0</v>
      </c>
      <c r="AH402" s="109">
        <f t="shared" si="325"/>
        <v>0</v>
      </c>
      <c r="AI402" s="109">
        <f t="shared" si="326"/>
        <v>0</v>
      </c>
      <c r="AL402" s="109">
        <f>IF($BD402&gt;0,(((($BD402/Dashboard!$D$23)*(1+Precificação!$W$589)))+$AL$26)*(1+Dashboard!$D$35),0)</f>
        <v>0</v>
      </c>
      <c r="AM402" s="109">
        <f>IF($BD402&gt;0,(((($BD402/Dashboard!$D$23)*(1+Precificação!$W$589))*(1+AM$28))+$AA$26)*(1+Dashboard!$D$35),0)</f>
        <v>0</v>
      </c>
      <c r="AN402" s="109">
        <f>IF($BD402&gt;0,(((($BD402/Dashboard!$D$23)*(1+Precificação!$W$589))*(1+AN$28))+$AA$26)*(1+Dashboard!$D$35),0)</f>
        <v>0</v>
      </c>
      <c r="AO402" s="109">
        <f>IF($BD402&gt;0,(((($BD402/Dashboard!$D$23)*(1+Precificação!$W$589))*(1+AO$28))+$AA$26)*(1+Dashboard!$D$35),0)</f>
        <v>0</v>
      </c>
      <c r="AQ402" s="109">
        <f t="shared" si="327"/>
        <v>0</v>
      </c>
      <c r="AR402" s="109">
        <f t="shared" si="328"/>
        <v>0</v>
      </c>
      <c r="AS402" s="109">
        <f t="shared" si="329"/>
        <v>0</v>
      </c>
      <c r="AT402" s="109">
        <f t="shared" si="330"/>
        <v>0</v>
      </c>
      <c r="AW402" s="144">
        <f>VLOOKUP(B402,'Cronog. e Histog.'!$B$213:$BT$688,71,0)</f>
        <v>0</v>
      </c>
      <c r="AX402" s="144">
        <f>VLOOKUP(B402,'Cronog. e Histog.'!$B$213:$BU$688,72,0)</f>
        <v>0</v>
      </c>
      <c r="AY402" s="144">
        <f>$AW402*$AX402*Dashboard!$D$15</f>
        <v>0</v>
      </c>
      <c r="AZ402" s="144">
        <f>VLOOKUP(B402,Precificação!$B$96:$BM$533,54,0)</f>
        <v>0</v>
      </c>
      <c r="BA402" s="144">
        <f>VLOOKUP(B402,Precificação!$B$96:$BR$533,58,0)</f>
        <v>0</v>
      </c>
      <c r="BB402" s="144">
        <f>VLOOKUP(B402,Precificação!$B$96:$BW$533,62,0)</f>
        <v>0</v>
      </c>
      <c r="BC402" s="144">
        <f t="shared" si="331"/>
        <v>0</v>
      </c>
      <c r="BD402" s="109">
        <f>IFERROR(VLOOKUP(B402,Precificação!$B$96:$S$533,13,0),0)</f>
        <v>0</v>
      </c>
      <c r="BE402" s="109">
        <f>IFERROR(VLOOKUP(B402,Precificação!$B$96:$U$533,15,0)/(Precificação!$U$4+Precificação!$U$91),0)*Dashboard!$T$3</f>
        <v>0</v>
      </c>
    </row>
    <row r="403" spans="2:57" ht="12" customHeight="1" outlineLevel="1">
      <c r="B403" s="137" t="str">
        <f>Precificação!B394</f>
        <v>TEC III - Equipe_01</v>
      </c>
      <c r="D403" s="512"/>
      <c r="E403" s="143" t="str">
        <f>IF('Cronog. e Histog.'!G537&gt;0,'Cronog. e Histog.'!G537,"")</f>
        <v>TEC III</v>
      </c>
      <c r="G403" s="179">
        <f t="shared" si="318"/>
        <v>0</v>
      </c>
      <c r="H403" s="110">
        <f>IFERROR(INDEX('Base Salarial'!$D$5:$F$25,MATCH(E403,'Base Salarial'!$G$5:$G$25,0),MATCH(I403,'Base Salarial'!$D$4:$F$4,0)),"")</f>
        <v>6000</v>
      </c>
      <c r="I403" s="78" t="str">
        <f>IFERROR(INDEX(Tarefas!$BQ$29:$FK$29,MATCH(E403,Tarefas!$BQ$30:$FK$30,0)),"")</f>
        <v>Mensalista</v>
      </c>
      <c r="J403" s="81">
        <f>IF(I403="horista",H403*Dashboard!$D$15,IF(OR(I403="Mensalista",I403="PJ"),H403,))</f>
        <v>6000</v>
      </c>
      <c r="K403" s="81">
        <f>IF(I403="PJ",J403,ROUND(J403*(1+Dashboard!$D$22),2))</f>
        <v>6360</v>
      </c>
      <c r="L403" s="77"/>
      <c r="M403" s="180"/>
      <c r="P403" s="109">
        <f>IF($BD403&gt;0,(((($BD403/Dashboard!$D$15)*(1+Precificação!$W$589)))+$P$26)*(1+Dashboard!$D$35),0)</f>
        <v>0</v>
      </c>
      <c r="Q403" s="109">
        <f>IF($BD403&gt;0,(((($BD403/Dashboard!$D$23)+(1+Precificação!$W$589))*(1+Q$28))+$P$26)*(1+Dashboard!$D$35),0)</f>
        <v>0</v>
      </c>
      <c r="R403" s="109">
        <f>IF($BD403&gt;0,(((($BD403/Dashboard!$D$23)+(1+Precificação!$W$589))*(1+R$28))+$P$26)*(1+Dashboard!$D$35),0)</f>
        <v>0</v>
      </c>
      <c r="S403" s="109">
        <f>IF($BD403&gt;0,(((($BD403/Dashboard!$D$23)+(1+Precificação!$W$589))*(1+S$28))+$P$26)*(1+Dashboard!$D$35),0)</f>
        <v>0</v>
      </c>
      <c r="U403" s="109">
        <f t="shared" si="319"/>
        <v>0</v>
      </c>
      <c r="V403" s="109">
        <f t="shared" si="320"/>
        <v>0</v>
      </c>
      <c r="W403" s="109">
        <f t="shared" si="321"/>
        <v>0</v>
      </c>
      <c r="X403" s="109">
        <f t="shared" si="322"/>
        <v>0</v>
      </c>
      <c r="AA403" s="109">
        <f>IF($BD403&gt;0,(((($BD403/Dashboard!$D$23)*(1+Precificação!$W$589)))+$AA$26)*(1+Dashboard!$D$35),0)</f>
        <v>0</v>
      </c>
      <c r="AB403" s="109">
        <f>IF($BD403&gt;0,(((($BD403/Dashboard!$D$23)*(1+Precificação!$W$589))*(1+AB$28))+$AA$26)*(1+Dashboard!$D$35),0)</f>
        <v>0</v>
      </c>
      <c r="AC403" s="109">
        <f>IF($BD403&gt;0,(((($BD403/Dashboard!$D$23)*(1+Precificação!$W$589))*(1+AC$28))+$AA$26)*(1+Dashboard!$D$35),0)</f>
        <v>0</v>
      </c>
      <c r="AD403" s="109">
        <f>IF($BD403&gt;0,(((($BD403/Dashboard!$D$23)*(1+Precificação!$W$589))*(1+AD$28))+$AA$26)*(1+Dashboard!$D$35),0)</f>
        <v>0</v>
      </c>
      <c r="AF403" s="109">
        <f t="shared" si="323"/>
        <v>0</v>
      </c>
      <c r="AG403" s="109">
        <f t="shared" si="324"/>
        <v>0</v>
      </c>
      <c r="AH403" s="109">
        <f t="shared" si="325"/>
        <v>0</v>
      </c>
      <c r="AI403" s="109">
        <f t="shared" si="326"/>
        <v>0</v>
      </c>
      <c r="AL403" s="109">
        <f>IF($BD403&gt;0,(((($BD403/Dashboard!$D$23)*(1+Precificação!$W$589)))+$AL$26)*(1+Dashboard!$D$35),0)</f>
        <v>0</v>
      </c>
      <c r="AM403" s="109">
        <f>IF($BD403&gt;0,(((($BD403/Dashboard!$D$23)*(1+Precificação!$W$589))*(1+AM$28))+$AA$26)*(1+Dashboard!$D$35),0)</f>
        <v>0</v>
      </c>
      <c r="AN403" s="109">
        <f>IF($BD403&gt;0,(((($BD403/Dashboard!$D$23)*(1+Precificação!$W$589))*(1+AN$28))+$AA$26)*(1+Dashboard!$D$35),0)</f>
        <v>0</v>
      </c>
      <c r="AO403" s="109">
        <f>IF($BD403&gt;0,(((($BD403/Dashboard!$D$23)*(1+Precificação!$W$589))*(1+AO$28))+$AA$26)*(1+Dashboard!$D$35),0)</f>
        <v>0</v>
      </c>
      <c r="AQ403" s="109">
        <f t="shared" si="327"/>
        <v>0</v>
      </c>
      <c r="AR403" s="109">
        <f t="shared" si="328"/>
        <v>0</v>
      </c>
      <c r="AS403" s="109">
        <f t="shared" si="329"/>
        <v>0</v>
      </c>
      <c r="AT403" s="109">
        <f t="shared" si="330"/>
        <v>0</v>
      </c>
      <c r="AW403" s="144">
        <f>VLOOKUP(B403,'Cronog. e Histog.'!$B$213:$BT$688,71,0)</f>
        <v>0</v>
      </c>
      <c r="AX403" s="144">
        <f>VLOOKUP(B403,'Cronog. e Histog.'!$B$213:$BU$688,72,0)</f>
        <v>0</v>
      </c>
      <c r="AY403" s="144">
        <f>$AW403*$AX403*Dashboard!$D$15</f>
        <v>0</v>
      </c>
      <c r="AZ403" s="144">
        <f>VLOOKUP(B403,Precificação!$B$96:$BM$533,54,0)</f>
        <v>0</v>
      </c>
      <c r="BA403" s="144">
        <f>VLOOKUP(B403,Precificação!$B$96:$BR$533,58,0)</f>
        <v>0</v>
      </c>
      <c r="BB403" s="144">
        <f>VLOOKUP(B403,Precificação!$B$96:$BW$533,62,0)</f>
        <v>0</v>
      </c>
      <c r="BC403" s="144">
        <f t="shared" si="331"/>
        <v>0</v>
      </c>
      <c r="BD403" s="109">
        <f>IFERROR(VLOOKUP(B403,Precificação!$B$96:$S$533,13,0),0)</f>
        <v>0</v>
      </c>
      <c r="BE403" s="109">
        <f>IFERROR(VLOOKUP(B403,Precificação!$B$96:$U$533,15,0)/(Precificação!$U$4+Precificação!$U$91),0)*Dashboard!$T$3</f>
        <v>0</v>
      </c>
    </row>
    <row r="404" spans="2:57" ht="12" customHeight="1" outlineLevel="1">
      <c r="B404" s="137" t="str">
        <f>Precificação!B395</f>
        <v>TEC II - Equipe_01</v>
      </c>
      <c r="D404" s="512"/>
      <c r="E404" s="143" t="str">
        <f>IF('Cronog. e Histog.'!G538&gt;0,'Cronog. e Histog.'!G538,"")</f>
        <v>TEC II</v>
      </c>
      <c r="G404" s="179">
        <f t="shared" si="318"/>
        <v>0</v>
      </c>
      <c r="H404" s="110">
        <f>IFERROR(INDEX('Base Salarial'!$D$5:$F$25,MATCH(E404,'Base Salarial'!$G$5:$G$25,0),MATCH(I404,'Base Salarial'!$D$4:$F$4,0)),"")</f>
        <v>4500</v>
      </c>
      <c r="I404" s="78" t="str">
        <f>IFERROR(INDEX(Tarefas!$BQ$29:$FK$29,MATCH(E404,Tarefas!$BQ$30:$FK$30,0)),"")</f>
        <v>Mensalista</v>
      </c>
      <c r="J404" s="81">
        <f>IF(I404="horista",H404*Dashboard!$D$15,IF(OR(I404="Mensalista",I404="PJ"),H404,))</f>
        <v>4500</v>
      </c>
      <c r="K404" s="81">
        <f>IF(I404="PJ",J404,ROUND(J404*(1+Dashboard!$D$22),2))</f>
        <v>4770</v>
      </c>
      <c r="L404" s="77"/>
      <c r="M404" s="180"/>
      <c r="P404" s="109">
        <f>IF($BD404&gt;0,(((($BD404/Dashboard!$D$15)*(1+Precificação!$W$589)))+$P$26)*(1+Dashboard!$D$35),0)</f>
        <v>0</v>
      </c>
      <c r="Q404" s="109">
        <f>IF($BD404&gt;0,(((($BD404/Dashboard!$D$23)+(1+Precificação!$W$589))*(1+Q$28))+$P$26)*(1+Dashboard!$D$35),0)</f>
        <v>0</v>
      </c>
      <c r="R404" s="109">
        <f>IF($BD404&gt;0,(((($BD404/Dashboard!$D$23)+(1+Precificação!$W$589))*(1+R$28))+$P$26)*(1+Dashboard!$D$35),0)</f>
        <v>0</v>
      </c>
      <c r="S404" s="109">
        <f>IF($BD404&gt;0,(((($BD404/Dashboard!$D$23)+(1+Precificação!$W$589))*(1+S$28))+$P$26)*(1+Dashboard!$D$35),0)</f>
        <v>0</v>
      </c>
      <c r="U404" s="109">
        <f t="shared" si="319"/>
        <v>0</v>
      </c>
      <c r="V404" s="109">
        <f t="shared" si="320"/>
        <v>0</v>
      </c>
      <c r="W404" s="109">
        <f t="shared" si="321"/>
        <v>0</v>
      </c>
      <c r="X404" s="109">
        <f t="shared" si="322"/>
        <v>0</v>
      </c>
      <c r="AA404" s="109">
        <f>IF($BD404&gt;0,(((($BD404/Dashboard!$D$23)*(1+Precificação!$W$589)))+$AA$26)*(1+Dashboard!$D$35),0)</f>
        <v>0</v>
      </c>
      <c r="AB404" s="109">
        <f>IF($BD404&gt;0,(((($BD404/Dashboard!$D$23)*(1+Precificação!$W$589))*(1+AB$28))+$AA$26)*(1+Dashboard!$D$35),0)</f>
        <v>0</v>
      </c>
      <c r="AC404" s="109">
        <f>IF($BD404&gt;0,(((($BD404/Dashboard!$D$23)*(1+Precificação!$W$589))*(1+AC$28))+$AA$26)*(1+Dashboard!$D$35),0)</f>
        <v>0</v>
      </c>
      <c r="AD404" s="109">
        <f>IF($BD404&gt;0,(((($BD404/Dashboard!$D$23)*(1+Precificação!$W$589))*(1+AD$28))+$AA$26)*(1+Dashboard!$D$35),0)</f>
        <v>0</v>
      </c>
      <c r="AF404" s="109">
        <f t="shared" si="323"/>
        <v>0</v>
      </c>
      <c r="AG404" s="109">
        <f t="shared" si="324"/>
        <v>0</v>
      </c>
      <c r="AH404" s="109">
        <f t="shared" si="325"/>
        <v>0</v>
      </c>
      <c r="AI404" s="109">
        <f t="shared" si="326"/>
        <v>0</v>
      </c>
      <c r="AL404" s="109">
        <f>IF($BD404&gt;0,(((($BD404/Dashboard!$D$23)*(1+Precificação!$W$589)))+$AL$26)*(1+Dashboard!$D$35),0)</f>
        <v>0</v>
      </c>
      <c r="AM404" s="109">
        <f>IF($BD404&gt;0,(((($BD404/Dashboard!$D$23)*(1+Precificação!$W$589))*(1+AM$28))+$AA$26)*(1+Dashboard!$D$35),0)</f>
        <v>0</v>
      </c>
      <c r="AN404" s="109">
        <f>IF($BD404&gt;0,(((($BD404/Dashboard!$D$23)*(1+Precificação!$W$589))*(1+AN$28))+$AA$26)*(1+Dashboard!$D$35),0)</f>
        <v>0</v>
      </c>
      <c r="AO404" s="109">
        <f>IF($BD404&gt;0,(((($BD404/Dashboard!$D$23)*(1+Precificação!$W$589))*(1+AO$28))+$AA$26)*(1+Dashboard!$D$35),0)</f>
        <v>0</v>
      </c>
      <c r="AQ404" s="109">
        <f t="shared" si="327"/>
        <v>0</v>
      </c>
      <c r="AR404" s="109">
        <f t="shared" si="328"/>
        <v>0</v>
      </c>
      <c r="AS404" s="109">
        <f t="shared" si="329"/>
        <v>0</v>
      </c>
      <c r="AT404" s="109">
        <f t="shared" si="330"/>
        <v>0</v>
      </c>
      <c r="AW404" s="144">
        <f>VLOOKUP(B404,'Cronog. e Histog.'!$B$213:$BT$688,71,0)</f>
        <v>0</v>
      </c>
      <c r="AX404" s="144">
        <f>VLOOKUP(B404,'Cronog. e Histog.'!$B$213:$BU$688,72,0)</f>
        <v>0</v>
      </c>
      <c r="AY404" s="144">
        <f>$AW404*$AX404*Dashboard!$D$15</f>
        <v>0</v>
      </c>
      <c r="AZ404" s="144">
        <f>VLOOKUP(B404,Precificação!$B$96:$BM$533,54,0)</f>
        <v>0</v>
      </c>
      <c r="BA404" s="144">
        <f>VLOOKUP(B404,Precificação!$B$96:$BR$533,58,0)</f>
        <v>0</v>
      </c>
      <c r="BB404" s="144">
        <f>VLOOKUP(B404,Precificação!$B$96:$BW$533,62,0)</f>
        <v>0</v>
      </c>
      <c r="BC404" s="144">
        <f t="shared" si="331"/>
        <v>0</v>
      </c>
      <c r="BD404" s="109">
        <f>IFERROR(VLOOKUP(B404,Precificação!$B$96:$S$533,13,0),0)</f>
        <v>0</v>
      </c>
      <c r="BE404" s="109">
        <f>IFERROR(VLOOKUP(B404,Precificação!$B$96:$U$533,15,0)/(Precificação!$U$4+Precificação!$U$91),0)*Dashboard!$T$3</f>
        <v>0</v>
      </c>
    </row>
    <row r="405" spans="2:57" ht="12" customHeight="1" outlineLevel="1">
      <c r="B405" s="137" t="str">
        <f>Precificação!B396</f>
        <v>TEC I - Equipe_01</v>
      </c>
      <c r="D405" s="512"/>
      <c r="E405" s="143" t="str">
        <f>IF('Cronog. e Histog.'!G539&gt;0,'Cronog. e Histog.'!G539,"")</f>
        <v>TEC I</v>
      </c>
      <c r="G405" s="179">
        <f t="shared" si="318"/>
        <v>0</v>
      </c>
      <c r="H405" s="110">
        <f>IFERROR(INDEX('Base Salarial'!$D$5:$F$25,MATCH(E405,'Base Salarial'!$G$5:$G$25,0),MATCH(I405,'Base Salarial'!$D$4:$F$4,0)),"")</f>
        <v>3000</v>
      </c>
      <c r="I405" s="78" t="str">
        <f>IFERROR(INDEX(Tarefas!$BQ$29:$FK$29,MATCH(E405,Tarefas!$BQ$30:$FK$30,0)),"")</f>
        <v>Mensalista</v>
      </c>
      <c r="J405" s="81">
        <f>IF(I405="horista",H405*Dashboard!$D$15,IF(OR(I405="Mensalista",I405="PJ"),H405,))</f>
        <v>3000</v>
      </c>
      <c r="K405" s="81">
        <f>IF(I405="PJ",J405,ROUND(J405*(1+Dashboard!$D$22),2))</f>
        <v>3180</v>
      </c>
      <c r="L405" s="77"/>
      <c r="M405" s="180"/>
      <c r="P405" s="109">
        <f>IF($BD405&gt;0,(((($BD405/Dashboard!$D$15)*(1+Precificação!$W$589)))+$P$26)*(1+Dashboard!$D$35),0)</f>
        <v>0</v>
      </c>
      <c r="Q405" s="109">
        <f>IF($BD405&gt;0,(((($BD405/Dashboard!$D$23)+(1+Precificação!$W$589))*(1+Q$28))+$P$26)*(1+Dashboard!$D$35),0)</f>
        <v>0</v>
      </c>
      <c r="R405" s="109">
        <f>IF($BD405&gt;0,(((($BD405/Dashboard!$D$23)+(1+Precificação!$W$589))*(1+R$28))+$P$26)*(1+Dashboard!$D$35),0)</f>
        <v>0</v>
      </c>
      <c r="S405" s="109">
        <f>IF($BD405&gt;0,(((($BD405/Dashboard!$D$23)+(1+Precificação!$W$589))*(1+S$28))+$P$26)*(1+Dashboard!$D$35),0)</f>
        <v>0</v>
      </c>
      <c r="U405" s="109">
        <f t="shared" si="319"/>
        <v>0</v>
      </c>
      <c r="V405" s="109">
        <f t="shared" si="320"/>
        <v>0</v>
      </c>
      <c r="W405" s="109">
        <f t="shared" si="321"/>
        <v>0</v>
      </c>
      <c r="X405" s="109">
        <f t="shared" si="322"/>
        <v>0</v>
      </c>
      <c r="AA405" s="109">
        <f>IF($BD405&gt;0,(((($BD405/Dashboard!$D$23)*(1+Precificação!$W$589)))+$AA$26)*(1+Dashboard!$D$35),0)</f>
        <v>0</v>
      </c>
      <c r="AB405" s="109">
        <f>IF($BD405&gt;0,(((($BD405/Dashboard!$D$23)*(1+Precificação!$W$589))*(1+AB$28))+$AA$26)*(1+Dashboard!$D$35),0)</f>
        <v>0</v>
      </c>
      <c r="AC405" s="109">
        <f>IF($BD405&gt;0,(((($BD405/Dashboard!$D$23)*(1+Precificação!$W$589))*(1+AC$28))+$AA$26)*(1+Dashboard!$D$35),0)</f>
        <v>0</v>
      </c>
      <c r="AD405" s="109">
        <f>IF($BD405&gt;0,(((($BD405/Dashboard!$D$23)*(1+Precificação!$W$589))*(1+AD$28))+$AA$26)*(1+Dashboard!$D$35),0)</f>
        <v>0</v>
      </c>
      <c r="AF405" s="109">
        <f t="shared" si="323"/>
        <v>0</v>
      </c>
      <c r="AG405" s="109">
        <f t="shared" si="324"/>
        <v>0</v>
      </c>
      <c r="AH405" s="109">
        <f t="shared" si="325"/>
        <v>0</v>
      </c>
      <c r="AI405" s="109">
        <f t="shared" si="326"/>
        <v>0</v>
      </c>
      <c r="AL405" s="109">
        <f>IF($BD405&gt;0,(((($BD405/Dashboard!$D$23)*(1+Precificação!$W$589)))+$AL$26)*(1+Dashboard!$D$35),0)</f>
        <v>0</v>
      </c>
      <c r="AM405" s="109">
        <f>IF($BD405&gt;0,(((($BD405/Dashboard!$D$23)*(1+Precificação!$W$589))*(1+AM$28))+$AA$26)*(1+Dashboard!$D$35),0)</f>
        <v>0</v>
      </c>
      <c r="AN405" s="109">
        <f>IF($BD405&gt;0,(((($BD405/Dashboard!$D$23)*(1+Precificação!$W$589))*(1+AN$28))+$AA$26)*(1+Dashboard!$D$35),0)</f>
        <v>0</v>
      </c>
      <c r="AO405" s="109">
        <f>IF($BD405&gt;0,(((($BD405/Dashboard!$D$23)*(1+Precificação!$W$589))*(1+AO$28))+$AA$26)*(1+Dashboard!$D$35),0)</f>
        <v>0</v>
      </c>
      <c r="AQ405" s="109">
        <f t="shared" si="327"/>
        <v>0</v>
      </c>
      <c r="AR405" s="109">
        <f t="shared" si="328"/>
        <v>0</v>
      </c>
      <c r="AS405" s="109">
        <f t="shared" si="329"/>
        <v>0</v>
      </c>
      <c r="AT405" s="109">
        <f t="shared" si="330"/>
        <v>0</v>
      </c>
      <c r="AW405" s="144">
        <f>VLOOKUP(B405,'Cronog. e Histog.'!$B$213:$BT$688,71,0)</f>
        <v>0</v>
      </c>
      <c r="AX405" s="144">
        <f>VLOOKUP(B405,'Cronog. e Histog.'!$B$213:$BU$688,72,0)</f>
        <v>0</v>
      </c>
      <c r="AY405" s="144">
        <f>$AW405*$AX405*Dashboard!$D$15</f>
        <v>0</v>
      </c>
      <c r="AZ405" s="144">
        <f>VLOOKUP(B405,Precificação!$B$96:$BM$533,54,0)</f>
        <v>0</v>
      </c>
      <c r="BA405" s="144">
        <f>VLOOKUP(B405,Precificação!$B$96:$BR$533,58,0)</f>
        <v>0</v>
      </c>
      <c r="BB405" s="144">
        <f>VLOOKUP(B405,Precificação!$B$96:$BW$533,62,0)</f>
        <v>0</v>
      </c>
      <c r="BC405" s="144">
        <f t="shared" si="331"/>
        <v>0</v>
      </c>
      <c r="BD405" s="109">
        <f>IFERROR(VLOOKUP(B405,Precificação!$B$96:$S$533,13,0),0)</f>
        <v>0</v>
      </c>
      <c r="BE405" s="109">
        <f>IFERROR(VLOOKUP(B405,Precificação!$B$96:$U$533,15,0)/(Precificação!$U$4+Precificação!$U$91),0)*Dashboard!$T$3</f>
        <v>0</v>
      </c>
    </row>
    <row r="406" spans="2:57" ht="12" customHeight="1" outlineLevel="1">
      <c r="B406" s="137" t="str">
        <f>Precificação!B397</f>
        <v>AUX TEC - Equipe_01</v>
      </c>
      <c r="D406" s="512"/>
      <c r="E406" s="143" t="str">
        <f>IF('Cronog. e Histog.'!G540&gt;0,'Cronog. e Histog.'!G540,"")</f>
        <v>AUX TEC</v>
      </c>
      <c r="G406" s="179">
        <f t="shared" si="318"/>
        <v>0</v>
      </c>
      <c r="H406" s="110">
        <f>IFERROR(INDEX('Base Salarial'!$D$5:$F$25,MATCH(E406,'Base Salarial'!$G$5:$G$25,0),MATCH(I406,'Base Salarial'!$D$4:$F$4,0)),"")</f>
        <v>3500</v>
      </c>
      <c r="I406" s="78" t="str">
        <f>IFERROR(INDEX(Tarefas!$BQ$29:$FK$29,MATCH(E406,Tarefas!$BQ$30:$FK$30,0)),"")</f>
        <v>Mensalista</v>
      </c>
      <c r="J406" s="81">
        <f>IF(I406="horista",H406*Dashboard!$D$15,IF(OR(I406="Mensalista",I406="PJ"),H406,))</f>
        <v>3500</v>
      </c>
      <c r="K406" s="81">
        <f>IF(I406="PJ",J406,ROUND(J406*(1+Dashboard!$D$22),2))</f>
        <v>3710</v>
      </c>
      <c r="L406" s="77"/>
      <c r="M406" s="180"/>
      <c r="P406" s="109">
        <f>IF($BD406&gt;0,(((($BD406/Dashboard!$D$15)*(1+Precificação!$W$589)))+$P$26)*(1+Dashboard!$D$35),0)</f>
        <v>0</v>
      </c>
      <c r="Q406" s="109">
        <f>IF($BD406&gt;0,(((($BD406/Dashboard!$D$23)+(1+Precificação!$W$589))*(1+Q$28))+$P$26)*(1+Dashboard!$D$35),0)</f>
        <v>0</v>
      </c>
      <c r="R406" s="109">
        <f>IF($BD406&gt;0,(((($BD406/Dashboard!$D$23)+(1+Precificação!$W$589))*(1+R$28))+$P$26)*(1+Dashboard!$D$35),0)</f>
        <v>0</v>
      </c>
      <c r="S406" s="109">
        <f>IF($BD406&gt;0,(((($BD406/Dashboard!$D$23)+(1+Precificação!$W$589))*(1+S$28))+$P$26)*(1+Dashboard!$D$35),0)</f>
        <v>0</v>
      </c>
      <c r="U406" s="109">
        <f t="shared" si="319"/>
        <v>0</v>
      </c>
      <c r="V406" s="109">
        <f t="shared" si="320"/>
        <v>0</v>
      </c>
      <c r="W406" s="109">
        <f t="shared" si="321"/>
        <v>0</v>
      </c>
      <c r="X406" s="109">
        <f t="shared" si="322"/>
        <v>0</v>
      </c>
      <c r="AA406" s="109">
        <f>IF($BD406&gt;0,(((($BD406/Dashboard!$D$23)*(1+Precificação!$W$589)))+$AA$26)*(1+Dashboard!$D$35),0)</f>
        <v>0</v>
      </c>
      <c r="AB406" s="109">
        <f>IF($BD406&gt;0,(((($BD406/Dashboard!$D$23)*(1+Precificação!$W$589))*(1+AB$28))+$AA$26)*(1+Dashboard!$D$35),0)</f>
        <v>0</v>
      </c>
      <c r="AC406" s="109">
        <f>IF($BD406&gt;0,(((($BD406/Dashboard!$D$23)*(1+Precificação!$W$589))*(1+AC$28))+$AA$26)*(1+Dashboard!$D$35),0)</f>
        <v>0</v>
      </c>
      <c r="AD406" s="109">
        <f>IF($BD406&gt;0,(((($BD406/Dashboard!$D$23)*(1+Precificação!$W$589))*(1+AD$28))+$AA$26)*(1+Dashboard!$D$35),0)</f>
        <v>0</v>
      </c>
      <c r="AF406" s="109">
        <f t="shared" si="323"/>
        <v>0</v>
      </c>
      <c r="AG406" s="109">
        <f t="shared" si="324"/>
        <v>0</v>
      </c>
      <c r="AH406" s="109">
        <f t="shared" si="325"/>
        <v>0</v>
      </c>
      <c r="AI406" s="109">
        <f t="shared" si="326"/>
        <v>0</v>
      </c>
      <c r="AL406" s="109">
        <f>IF($BD406&gt;0,(((($BD406/Dashboard!$D$23)*(1+Precificação!$W$589)))+$AL$26)*(1+Dashboard!$D$35),0)</f>
        <v>0</v>
      </c>
      <c r="AM406" s="109">
        <f>IF($BD406&gt;0,(((($BD406/Dashboard!$D$23)*(1+Precificação!$W$589))*(1+AM$28))+$AA$26)*(1+Dashboard!$D$35),0)</f>
        <v>0</v>
      </c>
      <c r="AN406" s="109">
        <f>IF($BD406&gt;0,(((($BD406/Dashboard!$D$23)*(1+Precificação!$W$589))*(1+AN$28))+$AA$26)*(1+Dashboard!$D$35),0)</f>
        <v>0</v>
      </c>
      <c r="AO406" s="109">
        <f>IF($BD406&gt;0,(((($BD406/Dashboard!$D$23)*(1+Precificação!$W$589))*(1+AO$28))+$AA$26)*(1+Dashboard!$D$35),0)</f>
        <v>0</v>
      </c>
      <c r="AQ406" s="109">
        <f t="shared" si="327"/>
        <v>0</v>
      </c>
      <c r="AR406" s="109">
        <f t="shared" si="328"/>
        <v>0</v>
      </c>
      <c r="AS406" s="109">
        <f t="shared" si="329"/>
        <v>0</v>
      </c>
      <c r="AT406" s="109">
        <f t="shared" si="330"/>
        <v>0</v>
      </c>
      <c r="AW406" s="144">
        <f>VLOOKUP(B406,'Cronog. e Histog.'!$B$213:$BT$688,71,0)</f>
        <v>0</v>
      </c>
      <c r="AX406" s="144">
        <f>VLOOKUP(B406,'Cronog. e Histog.'!$B$213:$BU$688,72,0)</f>
        <v>0</v>
      </c>
      <c r="AY406" s="144">
        <f>$AW406*$AX406*Dashboard!$D$15</f>
        <v>0</v>
      </c>
      <c r="AZ406" s="144">
        <f>VLOOKUP(B406,Precificação!$B$96:$BM$533,54,0)</f>
        <v>0</v>
      </c>
      <c r="BA406" s="144">
        <f>VLOOKUP(B406,Precificação!$B$96:$BR$533,58,0)</f>
        <v>0</v>
      </c>
      <c r="BB406" s="144">
        <f>VLOOKUP(B406,Precificação!$B$96:$BW$533,62,0)</f>
        <v>0</v>
      </c>
      <c r="BC406" s="144">
        <f t="shared" si="331"/>
        <v>0</v>
      </c>
      <c r="BD406" s="109">
        <f>IFERROR(VLOOKUP(B406,Precificação!$B$96:$S$533,13,0),0)</f>
        <v>0</v>
      </c>
      <c r="BE406" s="109">
        <f>IFERROR(VLOOKUP(B406,Precificação!$B$96:$U$533,15,0)/(Precificação!$U$4+Precificação!$U$91),0)*Dashboard!$T$3</f>
        <v>0</v>
      </c>
    </row>
    <row r="407" spans="2:57" ht="12" customHeight="1" outlineLevel="1">
      <c r="B407" s="137" t="str">
        <f>Precificação!B398</f>
        <v>AUX ADM - Equipe_01</v>
      </c>
      <c r="D407" s="512"/>
      <c r="E407" s="143" t="str">
        <f>IF('Cronog. e Histog.'!G541&gt;0,'Cronog. e Histog.'!G541,"")</f>
        <v>AUX ADM</v>
      </c>
      <c r="G407" s="179">
        <f t="shared" si="318"/>
        <v>0</v>
      </c>
      <c r="H407" s="110">
        <f>IFERROR(INDEX('Base Salarial'!$D$5:$F$25,MATCH(E407,'Base Salarial'!$G$5:$G$25,0),MATCH(I407,'Base Salarial'!$D$4:$F$4,0)),"")</f>
        <v>1804</v>
      </c>
      <c r="I407" s="78" t="str">
        <f>IFERROR(INDEX(Tarefas!$BQ$29:$FK$29,MATCH(E407,Tarefas!$BQ$30:$FK$30,0)),"")</f>
        <v>Mensalista</v>
      </c>
      <c r="J407" s="81">
        <f>IF(I407="horista",H407*Dashboard!$D$15,IF(OR(I407="Mensalista",I407="PJ"),H407,))</f>
        <v>1804</v>
      </c>
      <c r="K407" s="81">
        <f>IF(I407="PJ",J407,ROUND(J407*(1+Dashboard!$D$22),2))</f>
        <v>1912.24</v>
      </c>
      <c r="L407" s="77"/>
      <c r="M407" s="180"/>
      <c r="P407" s="109">
        <f>IF($BD407&gt;0,(((($BD407/Dashboard!$D$15)*(1+Precificação!$W$589)))+$P$26)*(1+Dashboard!$D$35),0)</f>
        <v>0</v>
      </c>
      <c r="Q407" s="109">
        <f>IF($BD407&gt;0,(((($BD407/Dashboard!$D$23)+(1+Precificação!$W$589))*(1+Q$28))+$P$26)*(1+Dashboard!$D$35),0)</f>
        <v>0</v>
      </c>
      <c r="R407" s="109">
        <f>IF($BD407&gt;0,(((($BD407/Dashboard!$D$23)+(1+Precificação!$W$589))*(1+R$28))+$P$26)*(1+Dashboard!$D$35),0)</f>
        <v>0</v>
      </c>
      <c r="S407" s="109">
        <f>IF($BD407&gt;0,(((($BD407/Dashboard!$D$23)+(1+Precificação!$W$589))*(1+S$28))+$P$26)*(1+Dashboard!$D$35),0)</f>
        <v>0</v>
      </c>
      <c r="U407" s="109">
        <f t="shared" si="319"/>
        <v>0</v>
      </c>
      <c r="V407" s="109">
        <f t="shared" si="320"/>
        <v>0</v>
      </c>
      <c r="W407" s="109">
        <f t="shared" si="321"/>
        <v>0</v>
      </c>
      <c r="X407" s="109">
        <f t="shared" si="322"/>
        <v>0</v>
      </c>
      <c r="AA407" s="109">
        <f>IF($BD407&gt;0,(((($BD407/Dashboard!$D$23)*(1+Precificação!$W$589)))+$AA$26)*(1+Dashboard!$D$35),0)</f>
        <v>0</v>
      </c>
      <c r="AB407" s="109">
        <f>IF($BD407&gt;0,(((($BD407/Dashboard!$D$23)*(1+Precificação!$W$589))*(1+AB$28))+$AA$26)*(1+Dashboard!$D$35),0)</f>
        <v>0</v>
      </c>
      <c r="AC407" s="109">
        <f>IF($BD407&gt;0,(((($BD407/Dashboard!$D$23)*(1+Precificação!$W$589))*(1+AC$28))+$AA$26)*(1+Dashboard!$D$35),0)</f>
        <v>0</v>
      </c>
      <c r="AD407" s="109">
        <f>IF($BD407&gt;0,(((($BD407/Dashboard!$D$23)*(1+Precificação!$W$589))*(1+AD$28))+$AA$26)*(1+Dashboard!$D$35),0)</f>
        <v>0</v>
      </c>
      <c r="AF407" s="109">
        <f t="shared" si="323"/>
        <v>0</v>
      </c>
      <c r="AG407" s="109">
        <f t="shared" si="324"/>
        <v>0</v>
      </c>
      <c r="AH407" s="109">
        <f t="shared" si="325"/>
        <v>0</v>
      </c>
      <c r="AI407" s="109">
        <f t="shared" si="326"/>
        <v>0</v>
      </c>
      <c r="AL407" s="109">
        <f>IF($BD407&gt;0,(((($BD407/Dashboard!$D$23)*(1+Precificação!$W$589)))+$AL$26)*(1+Dashboard!$D$35),0)</f>
        <v>0</v>
      </c>
      <c r="AM407" s="109">
        <f>IF($BD407&gt;0,(((($BD407/Dashboard!$D$23)*(1+Precificação!$W$589))*(1+AM$28))+$AA$26)*(1+Dashboard!$D$35),0)</f>
        <v>0</v>
      </c>
      <c r="AN407" s="109">
        <f>IF($BD407&gt;0,(((($BD407/Dashboard!$D$23)*(1+Precificação!$W$589))*(1+AN$28))+$AA$26)*(1+Dashboard!$D$35),0)</f>
        <v>0</v>
      </c>
      <c r="AO407" s="109">
        <f>IF($BD407&gt;0,(((($BD407/Dashboard!$D$23)*(1+Precificação!$W$589))*(1+AO$28))+$AA$26)*(1+Dashboard!$D$35),0)</f>
        <v>0</v>
      </c>
      <c r="AQ407" s="109">
        <f t="shared" si="327"/>
        <v>0</v>
      </c>
      <c r="AR407" s="109">
        <f t="shared" si="328"/>
        <v>0</v>
      </c>
      <c r="AS407" s="109">
        <f t="shared" si="329"/>
        <v>0</v>
      </c>
      <c r="AT407" s="109">
        <f t="shared" si="330"/>
        <v>0</v>
      </c>
      <c r="AW407" s="144">
        <f>VLOOKUP(B407,'Cronog. e Histog.'!$B$213:$BT$688,71,0)</f>
        <v>0</v>
      </c>
      <c r="AX407" s="144">
        <f>VLOOKUP(B407,'Cronog. e Histog.'!$B$213:$BU$688,72,0)</f>
        <v>0</v>
      </c>
      <c r="AY407" s="144">
        <f>$AW407*$AX407*Dashboard!$D$15</f>
        <v>0</v>
      </c>
      <c r="AZ407" s="144">
        <f>VLOOKUP(B407,Precificação!$B$96:$BM$533,54,0)</f>
        <v>0</v>
      </c>
      <c r="BA407" s="144">
        <f>VLOOKUP(B407,Precificação!$B$96:$BR$533,58,0)</f>
        <v>0</v>
      </c>
      <c r="BB407" s="144">
        <f>VLOOKUP(B407,Precificação!$B$96:$BW$533,62,0)</f>
        <v>0</v>
      </c>
      <c r="BC407" s="144">
        <f t="shared" si="331"/>
        <v>0</v>
      </c>
      <c r="BD407" s="109">
        <f>IFERROR(VLOOKUP(B407,Precificação!$B$96:$S$533,13,0),0)</f>
        <v>0</v>
      </c>
      <c r="BE407" s="109">
        <f>IFERROR(VLOOKUP(B407,Precificação!$B$96:$U$533,15,0)/(Precificação!$U$4+Precificação!$U$91),0)*Dashboard!$T$3</f>
        <v>0</v>
      </c>
    </row>
    <row r="408" spans="2:57" ht="12" customHeight="1" outlineLevel="1">
      <c r="B408" s="137" t="str">
        <f>Precificação!B399</f>
        <v>EST - Equipe_01</v>
      </c>
      <c r="D408" s="512"/>
      <c r="E408" s="143" t="str">
        <f>IF('Cronog. e Histog.'!G542&gt;0,'Cronog. e Histog.'!G542,"")</f>
        <v>EST</v>
      </c>
      <c r="G408" s="179">
        <f t="shared" si="318"/>
        <v>0</v>
      </c>
      <c r="H408" s="110">
        <f>IFERROR(INDEX('Base Salarial'!$D$5:$F$25,MATCH(E408,'Base Salarial'!$G$5:$G$25,0),MATCH(I408,'Base Salarial'!$D$4:$F$4,0)),"")</f>
        <v>1633</v>
      </c>
      <c r="I408" s="78" t="str">
        <f>IFERROR(INDEX(Tarefas!$BQ$29:$FK$29,MATCH(E408,Tarefas!$BQ$30:$FK$30,0)),"")</f>
        <v>PJ</v>
      </c>
      <c r="J408" s="81">
        <f>IF(I408="horista",H408*Dashboard!$D$15,IF(OR(I408="Mensalista",I408="PJ"),H408,))</f>
        <v>1633</v>
      </c>
      <c r="K408" s="81">
        <f>IF(I408="PJ",J408,ROUND(J408*(1+Dashboard!$D$22),2))</f>
        <v>1633</v>
      </c>
      <c r="L408" s="77"/>
      <c r="M408" s="180"/>
      <c r="P408" s="109">
        <f>IF($BD408&gt;0,(((($BD408/Dashboard!$D$15)*(1+Precificação!$W$589)))+$P$26)*(1+Dashboard!$D$35),0)</f>
        <v>0</v>
      </c>
      <c r="Q408" s="109">
        <f>IF($BD408&gt;0,(((($BD408/Dashboard!$D$23)+(1+Precificação!$W$589))*(1+Q$28))+$P$26)*(1+Dashboard!$D$35),0)</f>
        <v>0</v>
      </c>
      <c r="R408" s="109">
        <f>IF($BD408&gt;0,(((($BD408/Dashboard!$D$23)+(1+Precificação!$W$589))*(1+R$28))+$P$26)*(1+Dashboard!$D$35),0)</f>
        <v>0</v>
      </c>
      <c r="S408" s="109">
        <f>IF($BD408&gt;0,(((($BD408/Dashboard!$D$23)+(1+Precificação!$W$589))*(1+S$28))+$P$26)*(1+Dashboard!$D$35),0)</f>
        <v>0</v>
      </c>
      <c r="U408" s="109">
        <f t="shared" si="319"/>
        <v>0</v>
      </c>
      <c r="V408" s="109">
        <f t="shared" si="320"/>
        <v>0</v>
      </c>
      <c r="W408" s="109">
        <f t="shared" si="321"/>
        <v>0</v>
      </c>
      <c r="X408" s="109">
        <f t="shared" si="322"/>
        <v>0</v>
      </c>
      <c r="AA408" s="109">
        <f>IF($BD408&gt;0,(((($BD408/Dashboard!$D$23)*(1+Precificação!$W$589)))+$AA$26)*(1+Dashboard!$D$35),0)</f>
        <v>0</v>
      </c>
      <c r="AB408" s="109">
        <f>IF($BD408&gt;0,(((($BD408/Dashboard!$D$23)*(1+Precificação!$W$589))*(1+AB$28))+$AA$26)*(1+Dashboard!$D$35),0)</f>
        <v>0</v>
      </c>
      <c r="AC408" s="109">
        <f>IF($BD408&gt;0,(((($BD408/Dashboard!$D$23)*(1+Precificação!$W$589))*(1+AC$28))+$AA$26)*(1+Dashboard!$D$35),0)</f>
        <v>0</v>
      </c>
      <c r="AD408" s="109">
        <f>IF($BD408&gt;0,(((($BD408/Dashboard!$D$23)*(1+Precificação!$W$589))*(1+AD$28))+$AA$26)*(1+Dashboard!$D$35),0)</f>
        <v>0</v>
      </c>
      <c r="AF408" s="109">
        <f t="shared" si="323"/>
        <v>0</v>
      </c>
      <c r="AG408" s="109">
        <f t="shared" si="324"/>
        <v>0</v>
      </c>
      <c r="AH408" s="109">
        <f t="shared" si="325"/>
        <v>0</v>
      </c>
      <c r="AI408" s="109">
        <f t="shared" si="326"/>
        <v>0</v>
      </c>
      <c r="AL408" s="109">
        <f>IF($BD408&gt;0,(((($BD408/Dashboard!$D$23)*(1+Precificação!$W$589)))+$AL$26)*(1+Dashboard!$D$35),0)</f>
        <v>0</v>
      </c>
      <c r="AM408" s="109">
        <f>IF($BD408&gt;0,(((($BD408/Dashboard!$D$23)*(1+Precificação!$W$589))*(1+AM$28))+$AA$26)*(1+Dashboard!$D$35),0)</f>
        <v>0</v>
      </c>
      <c r="AN408" s="109">
        <f>IF($BD408&gt;0,(((($BD408/Dashboard!$D$23)*(1+Precificação!$W$589))*(1+AN$28))+$AA$26)*(1+Dashboard!$D$35),0)</f>
        <v>0</v>
      </c>
      <c r="AO408" s="109">
        <f>IF($BD408&gt;0,(((($BD408/Dashboard!$D$23)*(1+Precificação!$W$589))*(1+AO$28))+$AA$26)*(1+Dashboard!$D$35),0)</f>
        <v>0</v>
      </c>
      <c r="AQ408" s="109">
        <f t="shared" si="327"/>
        <v>0</v>
      </c>
      <c r="AR408" s="109">
        <f t="shared" si="328"/>
        <v>0</v>
      </c>
      <c r="AS408" s="109">
        <f t="shared" si="329"/>
        <v>0</v>
      </c>
      <c r="AT408" s="109">
        <f t="shared" si="330"/>
        <v>0</v>
      </c>
      <c r="AW408" s="144">
        <f>VLOOKUP(B408,'Cronog. e Histog.'!$B$213:$BT$688,71,0)</f>
        <v>0</v>
      </c>
      <c r="AX408" s="144">
        <f>VLOOKUP(B408,'Cronog. e Histog.'!$B$213:$BU$688,72,0)</f>
        <v>0</v>
      </c>
      <c r="AY408" s="144">
        <f>$AW408*$AX408*Dashboard!$D$15</f>
        <v>0</v>
      </c>
      <c r="AZ408" s="144">
        <f>VLOOKUP(B408,Precificação!$B$96:$BM$533,54,0)</f>
        <v>0</v>
      </c>
      <c r="BA408" s="144">
        <f>VLOOKUP(B408,Precificação!$B$96:$BR$533,58,0)</f>
        <v>0</v>
      </c>
      <c r="BB408" s="144">
        <f>VLOOKUP(B408,Precificação!$B$96:$BW$533,62,0)</f>
        <v>0</v>
      </c>
      <c r="BC408" s="144">
        <f t="shared" si="331"/>
        <v>0</v>
      </c>
      <c r="BD408" s="109">
        <f>IFERROR(VLOOKUP(B408,Precificação!$B$96:$S$533,13,0),0)</f>
        <v>0</v>
      </c>
      <c r="BE408" s="109">
        <f>IFERROR(VLOOKUP(B408,Precificação!$B$96:$U$533,15,0)/(Precificação!$U$4+Precificação!$U$91),0)*Dashboard!$T$3</f>
        <v>0</v>
      </c>
    </row>
    <row r="409" spans="2:57" ht="12" customHeight="1" outlineLevel="1">
      <c r="B409" s="137" t="str">
        <f>Precificação!B400</f>
        <v>EST_II - Equipe_01</v>
      </c>
      <c r="D409" s="512"/>
      <c r="E409" s="143" t="str">
        <f>IF('Cronog. e Histog.'!G543&gt;0,'Cronog. e Histog.'!G543,"")</f>
        <v>EST_II</v>
      </c>
      <c r="G409" s="179">
        <f t="shared" si="318"/>
        <v>0</v>
      </c>
      <c r="H409" s="110">
        <f>IFERROR(INDEX('Base Salarial'!$D$5:$F$25,MATCH(E409,'Base Salarial'!$G$5:$G$25,0),MATCH(I409,'Base Salarial'!$D$4:$F$4,0)),"")</f>
        <v>1633</v>
      </c>
      <c r="I409" s="78" t="str">
        <f>IFERROR(INDEX(Tarefas!$BQ$29:$FK$29,MATCH(E409,Tarefas!$BQ$30:$FK$30,0)),"")</f>
        <v>PJ</v>
      </c>
      <c r="J409" s="81">
        <f>IF(I409="horista",H409*Dashboard!$D$15,IF(OR(I409="Mensalista",I409="PJ"),H409,))</f>
        <v>1633</v>
      </c>
      <c r="K409" s="81">
        <f>IF(I409="PJ",J409,ROUND(J409*(1+Dashboard!$D$22),2))</f>
        <v>1633</v>
      </c>
      <c r="L409" s="77"/>
      <c r="M409" s="180"/>
      <c r="P409" s="109">
        <f>IF($BD409&gt;0,(((($BD409/Dashboard!$D$15)*(1+Precificação!$W$589)))+$P$26)*(1+Dashboard!$D$35),0)</f>
        <v>0</v>
      </c>
      <c r="Q409" s="109">
        <f>IF($BD409&gt;0,(((($BD409/Dashboard!$D$23)+(1+Precificação!$W$589))*(1+Q$28))+$P$26)*(1+Dashboard!$D$35),0)</f>
        <v>0</v>
      </c>
      <c r="R409" s="109">
        <f>IF($BD409&gt;0,(((($BD409/Dashboard!$D$23)+(1+Precificação!$W$589))*(1+R$28))+$P$26)*(1+Dashboard!$D$35),0)</f>
        <v>0</v>
      </c>
      <c r="S409" s="109">
        <f>IF($BD409&gt;0,(((($BD409/Dashboard!$D$23)+(1+Precificação!$W$589))*(1+S$28))+$P$26)*(1+Dashboard!$D$35),0)</f>
        <v>0</v>
      </c>
      <c r="U409" s="109">
        <f t="shared" si="319"/>
        <v>0</v>
      </c>
      <c r="V409" s="109">
        <f t="shared" si="320"/>
        <v>0</v>
      </c>
      <c r="W409" s="109">
        <f t="shared" si="321"/>
        <v>0</v>
      </c>
      <c r="X409" s="109">
        <f t="shared" si="322"/>
        <v>0</v>
      </c>
      <c r="AA409" s="109">
        <f>IF($BD409&gt;0,(((($BD409/Dashboard!$D$23)*(1+Precificação!$W$589)))+$AA$26)*(1+Dashboard!$D$35),0)</f>
        <v>0</v>
      </c>
      <c r="AB409" s="109">
        <f>IF($BD409&gt;0,(((($BD409/Dashboard!$D$23)*(1+Precificação!$W$589))*(1+AB$28))+$AA$26)*(1+Dashboard!$D$35),0)</f>
        <v>0</v>
      </c>
      <c r="AC409" s="109">
        <f>IF($BD409&gt;0,(((($BD409/Dashboard!$D$23)*(1+Precificação!$W$589))*(1+AC$28))+$AA$26)*(1+Dashboard!$D$35),0)</f>
        <v>0</v>
      </c>
      <c r="AD409" s="109">
        <f>IF($BD409&gt;0,(((($BD409/Dashboard!$D$23)*(1+Precificação!$W$589))*(1+AD$28))+$AA$26)*(1+Dashboard!$D$35),0)</f>
        <v>0</v>
      </c>
      <c r="AF409" s="109">
        <f t="shared" si="323"/>
        <v>0</v>
      </c>
      <c r="AG409" s="109">
        <f t="shared" si="324"/>
        <v>0</v>
      </c>
      <c r="AH409" s="109">
        <f t="shared" si="325"/>
        <v>0</v>
      </c>
      <c r="AI409" s="109">
        <f t="shared" si="326"/>
        <v>0</v>
      </c>
      <c r="AL409" s="109">
        <f>IF($BD409&gt;0,(((($BD409/Dashboard!$D$23)*(1+Precificação!$W$589)))+$AL$26)*(1+Dashboard!$D$35),0)</f>
        <v>0</v>
      </c>
      <c r="AM409" s="109">
        <f>IF($BD409&gt;0,(((($BD409/Dashboard!$D$23)*(1+Precificação!$W$589))*(1+AM$28))+$AA$26)*(1+Dashboard!$D$35),0)</f>
        <v>0</v>
      </c>
      <c r="AN409" s="109">
        <f>IF($BD409&gt;0,(((($BD409/Dashboard!$D$23)*(1+Precificação!$W$589))*(1+AN$28))+$AA$26)*(1+Dashboard!$D$35),0)</f>
        <v>0</v>
      </c>
      <c r="AO409" s="109">
        <f>IF($BD409&gt;0,(((($BD409/Dashboard!$D$23)*(1+Precificação!$W$589))*(1+AO$28))+$AA$26)*(1+Dashboard!$D$35),0)</f>
        <v>0</v>
      </c>
      <c r="AQ409" s="109">
        <f t="shared" si="327"/>
        <v>0</v>
      </c>
      <c r="AR409" s="109">
        <f t="shared" si="328"/>
        <v>0</v>
      </c>
      <c r="AS409" s="109">
        <f t="shared" si="329"/>
        <v>0</v>
      </c>
      <c r="AT409" s="109">
        <f t="shared" si="330"/>
        <v>0</v>
      </c>
      <c r="AW409" s="144">
        <f>VLOOKUP(B409,'Cronog. e Histog.'!$B$213:$BT$688,71,0)</f>
        <v>0</v>
      </c>
      <c r="AX409" s="144">
        <f>VLOOKUP(B409,'Cronog. e Histog.'!$B$213:$BU$688,72,0)</f>
        <v>0</v>
      </c>
      <c r="AY409" s="144">
        <f>$AW409*$AX409*Dashboard!$D$15</f>
        <v>0</v>
      </c>
      <c r="AZ409" s="144">
        <f>VLOOKUP(B409,Precificação!$B$96:$BM$533,54,0)</f>
        <v>0</v>
      </c>
      <c r="BA409" s="144">
        <f>VLOOKUP(B409,Precificação!$B$96:$BR$533,58,0)</f>
        <v>0</v>
      </c>
      <c r="BB409" s="144">
        <f>VLOOKUP(B409,Precificação!$B$96:$BW$533,62,0)</f>
        <v>0</v>
      </c>
      <c r="BC409" s="144">
        <f t="shared" si="331"/>
        <v>0</v>
      </c>
      <c r="BD409" s="109">
        <f>IFERROR(VLOOKUP(B409,Precificação!$B$96:$S$533,13,0),0)</f>
        <v>0</v>
      </c>
      <c r="BE409" s="109">
        <f>IFERROR(VLOOKUP(B409,Precificação!$B$96:$U$533,15,0)/(Precificação!$U$4+Precificação!$U$91),0)*Dashboard!$T$3</f>
        <v>0</v>
      </c>
    </row>
    <row r="410" spans="2:57" ht="12" customHeight="1" outlineLevel="1">
      <c r="B410" s="137" t="str">
        <f>Precificação!B401</f>
        <v>EST_III - Equipe_01</v>
      </c>
      <c r="D410" s="512"/>
      <c r="E410" s="143" t="str">
        <f>IF('Cronog. e Histog.'!G544&gt;0,'Cronog. e Histog.'!G544,"")</f>
        <v>EST_III</v>
      </c>
      <c r="G410" s="179">
        <f t="shared" si="318"/>
        <v>0</v>
      </c>
      <c r="H410" s="110">
        <f>IFERROR(INDEX('Base Salarial'!$D$5:$F$25,MATCH(E410,'Base Salarial'!$G$5:$G$25,0),MATCH(I410,'Base Salarial'!$D$4:$F$4,0)),"")</f>
        <v>1633</v>
      </c>
      <c r="I410" s="78" t="str">
        <f>IFERROR(INDEX(Tarefas!$BQ$29:$FK$29,MATCH(E410,Tarefas!$BQ$30:$FK$30,0)),"")</f>
        <v>PJ</v>
      </c>
      <c r="J410" s="81">
        <f>IF(I410="horista",H410*Dashboard!$D$15,IF(OR(I410="Mensalista",I410="PJ"),H410,))</f>
        <v>1633</v>
      </c>
      <c r="K410" s="81">
        <f>IF(I410="PJ",J410,ROUND(J410*(1+Dashboard!$D$22),2))</f>
        <v>1633</v>
      </c>
      <c r="L410" s="77"/>
      <c r="M410" s="180"/>
      <c r="P410" s="109">
        <f>IF($BD410&gt;0,(((($BD410/Dashboard!$D$15)*(1+Precificação!$W$589)))+$P$26)*(1+Dashboard!$D$35),0)</f>
        <v>0</v>
      </c>
      <c r="Q410" s="109">
        <f>IF($BD410&gt;0,(((($BD410/Dashboard!$D$23)+(1+Precificação!$W$589))*(1+Q$28))+$P$26)*(1+Dashboard!$D$35),0)</f>
        <v>0</v>
      </c>
      <c r="R410" s="109">
        <f>IF($BD410&gt;0,(((($BD410/Dashboard!$D$23)+(1+Precificação!$W$589))*(1+R$28))+$P$26)*(1+Dashboard!$D$35),0)</f>
        <v>0</v>
      </c>
      <c r="S410" s="109">
        <f>IF($BD410&gt;0,(((($BD410/Dashboard!$D$23)+(1+Precificação!$W$589))*(1+S$28))+$P$26)*(1+Dashboard!$D$35),0)</f>
        <v>0</v>
      </c>
      <c r="U410" s="109">
        <f t="shared" si="319"/>
        <v>0</v>
      </c>
      <c r="V410" s="109">
        <f t="shared" si="320"/>
        <v>0</v>
      </c>
      <c r="W410" s="109">
        <f t="shared" si="321"/>
        <v>0</v>
      </c>
      <c r="X410" s="109">
        <f t="shared" si="322"/>
        <v>0</v>
      </c>
      <c r="AA410" s="109">
        <f>IF($BD410&gt;0,(((($BD410/Dashboard!$D$23)*(1+Precificação!$W$589)))+$AA$26)*(1+Dashboard!$D$35),0)</f>
        <v>0</v>
      </c>
      <c r="AB410" s="109">
        <f>IF($BD410&gt;0,(((($BD410/Dashboard!$D$23)*(1+Precificação!$W$589))*(1+AB$28))+$AA$26)*(1+Dashboard!$D$35),0)</f>
        <v>0</v>
      </c>
      <c r="AC410" s="109">
        <f>IF($BD410&gt;0,(((($BD410/Dashboard!$D$23)*(1+Precificação!$W$589))*(1+AC$28))+$AA$26)*(1+Dashboard!$D$35),0)</f>
        <v>0</v>
      </c>
      <c r="AD410" s="109">
        <f>IF($BD410&gt;0,(((($BD410/Dashboard!$D$23)*(1+Precificação!$W$589))*(1+AD$28))+$AA$26)*(1+Dashboard!$D$35),0)</f>
        <v>0</v>
      </c>
      <c r="AF410" s="109">
        <f t="shared" si="323"/>
        <v>0</v>
      </c>
      <c r="AG410" s="109">
        <f t="shared" si="324"/>
        <v>0</v>
      </c>
      <c r="AH410" s="109">
        <f t="shared" si="325"/>
        <v>0</v>
      </c>
      <c r="AI410" s="109">
        <f t="shared" si="326"/>
        <v>0</v>
      </c>
      <c r="AL410" s="109">
        <f>IF($BD410&gt;0,(((($BD410/Dashboard!$D$23)*(1+Precificação!$W$589)))+$AL$26)*(1+Dashboard!$D$35),0)</f>
        <v>0</v>
      </c>
      <c r="AM410" s="109">
        <f>IF($BD410&gt;0,(((($BD410/Dashboard!$D$23)*(1+Precificação!$W$589))*(1+AM$28))+$AA$26)*(1+Dashboard!$D$35),0)</f>
        <v>0</v>
      </c>
      <c r="AN410" s="109">
        <f>IF($BD410&gt;0,(((($BD410/Dashboard!$D$23)*(1+Precificação!$W$589))*(1+AN$28))+$AA$26)*(1+Dashboard!$D$35),0)</f>
        <v>0</v>
      </c>
      <c r="AO410" s="109">
        <f>IF($BD410&gt;0,(((($BD410/Dashboard!$D$23)*(1+Precificação!$W$589))*(1+AO$28))+$AA$26)*(1+Dashboard!$D$35),0)</f>
        <v>0</v>
      </c>
      <c r="AQ410" s="109">
        <f t="shared" si="327"/>
        <v>0</v>
      </c>
      <c r="AR410" s="109">
        <f t="shared" si="328"/>
        <v>0</v>
      </c>
      <c r="AS410" s="109">
        <f t="shared" si="329"/>
        <v>0</v>
      </c>
      <c r="AT410" s="109">
        <f t="shared" si="330"/>
        <v>0</v>
      </c>
      <c r="AW410" s="144">
        <f>VLOOKUP(B410,'Cronog. e Histog.'!$B$213:$BT$688,71,0)</f>
        <v>0</v>
      </c>
      <c r="AX410" s="144">
        <f>VLOOKUP(B410,'Cronog. e Histog.'!$B$213:$BU$688,72,0)</f>
        <v>0</v>
      </c>
      <c r="AY410" s="144">
        <f>$AW410*$AX410*Dashboard!$D$15</f>
        <v>0</v>
      </c>
      <c r="AZ410" s="144">
        <f>VLOOKUP(B410,Precificação!$B$96:$BM$533,54,0)</f>
        <v>0</v>
      </c>
      <c r="BA410" s="144">
        <f>VLOOKUP(B410,Precificação!$B$96:$BR$533,58,0)</f>
        <v>0</v>
      </c>
      <c r="BB410" s="144">
        <f>VLOOKUP(B410,Precificação!$B$96:$BW$533,62,0)</f>
        <v>0</v>
      </c>
      <c r="BC410" s="144">
        <f t="shared" si="331"/>
        <v>0</v>
      </c>
      <c r="BD410" s="109">
        <f>IFERROR(VLOOKUP(B410,Precificação!$B$96:$S$533,13,0),0)</f>
        <v>0</v>
      </c>
      <c r="BE410" s="109">
        <f>IFERROR(VLOOKUP(B410,Precificação!$B$96:$U$533,15,0)/(Precificação!$U$4+Precificação!$U$91),0)*Dashboard!$T$3</f>
        <v>0</v>
      </c>
    </row>
    <row r="411" spans="2:57" ht="12" customHeight="1" outlineLevel="1"/>
    <row r="412" spans="2:57" ht="12" customHeight="1" outlineLevel="1">
      <c r="B412" s="137" t="str">
        <f>Precificação!B404</f>
        <v>GER. (OBRA/PROJ) - Equipe_01</v>
      </c>
      <c r="D412" s="512" t="str">
        <f>'Cronog. e Histog.'!F547</f>
        <v>Equipe15</v>
      </c>
      <c r="E412" s="143" t="str">
        <f>IF('Cronog. e Histog.'!G549&gt;0,'Cronog. e Histog.'!G549,"")</f>
        <v>GER. (OBRA/PROJ)</v>
      </c>
      <c r="G412" s="179">
        <f t="shared" ref="G412" si="332">IF(AND((AW412*AX412)&gt;0,K412=0),1,0)</f>
        <v>0</v>
      </c>
      <c r="H412" s="110">
        <f>IFERROR(INDEX('Base Salarial'!$D$5:$F$25,MATCH(E412,'Base Salarial'!$G$5:$G$25,0),MATCH(I412,'Base Salarial'!$D$4:$F$4,0)),"")</f>
        <v>21000</v>
      </c>
      <c r="I412" s="78" t="str">
        <f>IFERROR(INDEX(Tarefas!$BQ$29:$FK$29,MATCH(E412,Tarefas!$BQ$30:$FK$30,0)),"")</f>
        <v>PJ</v>
      </c>
      <c r="J412" s="81">
        <f>IF(I412="horista",H412*Dashboard!$D$15,IF(OR(I412="Mensalista",I412="PJ"),H412,))</f>
        <v>21000</v>
      </c>
      <c r="K412" s="81">
        <f>IF(I412="PJ",J412,ROUND(J412*(1+Dashboard!$D$22),2))</f>
        <v>21000</v>
      </c>
      <c r="L412" s="77"/>
      <c r="M412" s="180"/>
      <c r="P412" s="109">
        <f>IF($BD412&gt;0,(((($BD412/Dashboard!$D$15)*(1+Precificação!$W$589)))+$P$26)*(1+Dashboard!$D$35),0)</f>
        <v>0</v>
      </c>
      <c r="Q412" s="109">
        <f>IF($BD412&gt;0,(((($BD412/Dashboard!$D$23)+(1+Precificação!$W$589))*(1+Q$28))+$P$26)*(1+Dashboard!$D$35),0)</f>
        <v>0</v>
      </c>
      <c r="R412" s="109">
        <f>IF($BD412&gt;0,(((($BD412/Dashboard!$D$23)+(1+Precificação!$W$589))*(1+R$28))+$P$26)*(1+Dashboard!$D$35),0)</f>
        <v>0</v>
      </c>
      <c r="S412" s="109">
        <f>IF($BD412&gt;0,(((($BD412/Dashboard!$D$23)+(1+Precificação!$W$589))*(1+S$28))+$P$26)*(1+Dashboard!$D$35),0)</f>
        <v>0</v>
      </c>
      <c r="U412" s="109">
        <f>IF(P412&gt;0,P412+U$32,0)</f>
        <v>0</v>
      </c>
      <c r="V412" s="109">
        <f t="shared" ref="V412:X412" si="333">IF(Q412&gt;0,Q412+V$32,0)</f>
        <v>0</v>
      </c>
      <c r="W412" s="109">
        <f t="shared" si="333"/>
        <v>0</v>
      </c>
      <c r="X412" s="109">
        <f t="shared" si="333"/>
        <v>0</v>
      </c>
      <c r="AA412" s="109">
        <f>IF($BD412&gt;0,(((($BD412/Dashboard!$D$23)*(1+Precificação!$W$589)))+$AA$26)*(1+Dashboard!$D$35),0)</f>
        <v>0</v>
      </c>
      <c r="AB412" s="109">
        <f>IF($BD412&gt;0,(((($BD412/Dashboard!$D$23)*(1+Precificação!$W$589))*(1+AB$28))+$AA$26)*(1+Dashboard!$D$35),0)</f>
        <v>0</v>
      </c>
      <c r="AC412" s="109">
        <f>IF($BD412&gt;0,(((($BD412/Dashboard!$D$23)*(1+Precificação!$W$589))*(1+AC$28))+$AA$26)*(1+Dashboard!$D$35),0)</f>
        <v>0</v>
      </c>
      <c r="AD412" s="109">
        <f>IF($BD412&gt;0,(((($BD412/Dashboard!$D$23)*(1+Precificação!$W$589))*(1+AD$28))+$AA$26)*(1+Dashboard!$D$35),0)</f>
        <v>0</v>
      </c>
      <c r="AF412" s="109">
        <f>IF(AA412&gt;0,AA412+AF$32,0)</f>
        <v>0</v>
      </c>
      <c r="AG412" s="109">
        <f t="shared" ref="AG412" si="334">IF(AB412&gt;0,AB412+AG$32,0)</f>
        <v>0</v>
      </c>
      <c r="AH412" s="109">
        <f t="shared" ref="AH412" si="335">IF(AC412&gt;0,AC412+AH$32,0)</f>
        <v>0</v>
      </c>
      <c r="AI412" s="109">
        <f t="shared" ref="AI412" si="336">IF(AD412&gt;0,AD412+AI$32,0)</f>
        <v>0</v>
      </c>
      <c r="AL412" s="109">
        <f>IF($BD412&gt;0,(((($BD412/Dashboard!$D$23)*(1+Precificação!$W$589)))+$AL$26)*(1+Dashboard!$D$35),0)</f>
        <v>0</v>
      </c>
      <c r="AM412" s="109">
        <f>IF($BD412&gt;0,(((($BD412/Dashboard!$D$23)*(1+Precificação!$W$589))*(1+AM$28))+$AA$26)*(1+Dashboard!$D$35),0)</f>
        <v>0</v>
      </c>
      <c r="AN412" s="109">
        <f>IF($BD412&gt;0,(((($BD412/Dashboard!$D$23)*(1+Precificação!$W$589))*(1+AN$28))+$AA$26)*(1+Dashboard!$D$35),0)</f>
        <v>0</v>
      </c>
      <c r="AO412" s="109">
        <f>IF($BD412&gt;0,(((($BD412/Dashboard!$D$23)*(1+Precificação!$W$589))*(1+AO$28))+$AA$26)*(1+Dashboard!$D$35),0)</f>
        <v>0</v>
      </c>
      <c r="AQ412" s="109">
        <f>IF(AL412&gt;0,AL412+AQ$32,0)</f>
        <v>0</v>
      </c>
      <c r="AR412" s="109">
        <f t="shared" ref="AR412" si="337">IF(AM412&gt;0,AM412+AR$32,0)</f>
        <v>0</v>
      </c>
      <c r="AS412" s="109">
        <f t="shared" ref="AS412" si="338">IF(AN412&gt;0,AN412+AS$32,0)</f>
        <v>0</v>
      </c>
      <c r="AT412" s="109">
        <f t="shared" ref="AT412" si="339">IF(AO412&gt;0,AO412+AT$32,0)</f>
        <v>0</v>
      </c>
      <c r="AW412" s="144">
        <f>VLOOKUP(B412,'Cronog. e Histog.'!$B$213:$BT$688,71,0)</f>
        <v>1.9999999999999997E-2</v>
      </c>
      <c r="AX412" s="144">
        <f>VLOOKUP(B412,'Cronog. e Histog.'!$B$213:$BU$688,72,0)</f>
        <v>10</v>
      </c>
      <c r="AY412" s="144">
        <f>$AW412*$AX412*Dashboard!$D$15</f>
        <v>38.72</v>
      </c>
      <c r="AZ412" s="144">
        <f>VLOOKUP(B412,Precificação!$B$96:$BM$533,54,0)</f>
        <v>0</v>
      </c>
      <c r="BA412" s="144">
        <f>VLOOKUP(B412,Precificação!$B$96:$BR$533,58,0)</f>
        <v>0</v>
      </c>
      <c r="BB412" s="144">
        <f>VLOOKUP(B412,Precificação!$B$96:$BW$533,62,0)</f>
        <v>0</v>
      </c>
      <c r="BC412" s="144">
        <f t="shared" ref="BC412" si="340">SUM(AY412:BB412)</f>
        <v>38.72</v>
      </c>
      <c r="BD412" s="109">
        <f>IFERROR(VLOOKUP(B412,Precificação!$B$96:$S$533,13,0),0)</f>
        <v>0</v>
      </c>
      <c r="BE412" s="109">
        <f>IFERROR(VLOOKUP(B412,Precificação!$B$96:$U$533,15,0)/(Precificação!$U$4+Precificação!$U$91),0)*Dashboard!$T$3</f>
        <v>0</v>
      </c>
    </row>
    <row r="413" spans="2:57" ht="12" customHeight="1" outlineLevel="1">
      <c r="B413" s="137" t="str">
        <f>Precificação!B405</f>
        <v>COORD. - Equipe_01</v>
      </c>
      <c r="D413" s="512"/>
      <c r="E413" s="143" t="str">
        <f>IF('Cronog. e Histog.'!G550&gt;0,'Cronog. e Histog.'!G550,"")</f>
        <v>COORD.</v>
      </c>
      <c r="G413" s="179">
        <f t="shared" ref="G413:G431" si="341">IF(AND((AW413*AX413)&gt;0,K413=0),1,0)</f>
        <v>0</v>
      </c>
      <c r="H413" s="110">
        <f>IFERROR(INDEX('Base Salarial'!$D$5:$F$25,MATCH(E413,'Base Salarial'!$G$5:$G$25,0),MATCH(I413,'Base Salarial'!$D$4:$F$4,0)),"")</f>
        <v>19000</v>
      </c>
      <c r="I413" s="78" t="str">
        <f>IFERROR(INDEX(Tarefas!$BQ$29:$FK$29,MATCH(E413,Tarefas!$BQ$30:$FK$30,0)),"")</f>
        <v>PJ</v>
      </c>
      <c r="J413" s="81">
        <f>IF(I413="horista",H413*Dashboard!$D$15,IF(OR(I413="Mensalista",I413="PJ"),H413,))</f>
        <v>19000</v>
      </c>
      <c r="K413" s="81">
        <f>IF(I413="PJ",J413,ROUND(J413*(1+Dashboard!$D$22),2))</f>
        <v>19000</v>
      </c>
      <c r="L413" s="77"/>
      <c r="M413" s="180"/>
      <c r="P413" s="109">
        <f>IF($BD413&gt;0,(((($BD413/Dashboard!$D$15)*(1+Precificação!$W$589)))+$P$26)*(1+Dashboard!$D$35),0)</f>
        <v>0</v>
      </c>
      <c r="Q413" s="109">
        <f>IF($BD413&gt;0,(((($BD413/Dashboard!$D$23)+(1+Precificação!$W$589))*(1+Q$28))+$P$26)*(1+Dashboard!$D$35),0)</f>
        <v>0</v>
      </c>
      <c r="R413" s="109">
        <f>IF($BD413&gt;0,(((($BD413/Dashboard!$D$23)+(1+Precificação!$W$589))*(1+R$28))+$P$26)*(1+Dashboard!$D$35),0)</f>
        <v>0</v>
      </c>
      <c r="S413" s="109">
        <f>IF($BD413&gt;0,(((($BD413/Dashboard!$D$23)+(1+Precificação!$W$589))*(1+S$28))+$P$26)*(1+Dashboard!$D$35),0)</f>
        <v>0</v>
      </c>
      <c r="U413" s="109">
        <f t="shared" ref="U413:U431" si="342">IF(P413&gt;0,P413+U$32,0)</f>
        <v>0</v>
      </c>
      <c r="V413" s="109">
        <f t="shared" ref="V413:V431" si="343">IF(Q413&gt;0,Q413+V$32,0)</f>
        <v>0</v>
      </c>
      <c r="W413" s="109">
        <f t="shared" ref="W413:W431" si="344">IF(R413&gt;0,R413+W$32,0)</f>
        <v>0</v>
      </c>
      <c r="X413" s="109">
        <f t="shared" ref="X413:X431" si="345">IF(S413&gt;0,S413+X$32,0)</f>
        <v>0</v>
      </c>
      <c r="AA413" s="109">
        <f>IF($BD413&gt;0,(((($BD413/Dashboard!$D$23)*(1+Precificação!$W$589)))+$AA$26)*(1+Dashboard!$D$35),0)</f>
        <v>0</v>
      </c>
      <c r="AB413" s="109">
        <f>IF($BD413&gt;0,(((($BD413/Dashboard!$D$23)*(1+Precificação!$W$589))*(1+AB$28))+$AA$26)*(1+Dashboard!$D$35),0)</f>
        <v>0</v>
      </c>
      <c r="AC413" s="109">
        <f>IF($BD413&gt;0,(((($BD413/Dashboard!$D$23)*(1+Precificação!$W$589))*(1+AC$28))+$AA$26)*(1+Dashboard!$D$35),0)</f>
        <v>0</v>
      </c>
      <c r="AD413" s="109">
        <f>IF($BD413&gt;0,(((($BD413/Dashboard!$D$23)*(1+Precificação!$W$589))*(1+AD$28))+$AA$26)*(1+Dashboard!$D$35),0)</f>
        <v>0</v>
      </c>
      <c r="AF413" s="109">
        <f t="shared" ref="AF413:AF431" si="346">IF(AA413&gt;0,AA413+AF$32,0)</f>
        <v>0</v>
      </c>
      <c r="AG413" s="109">
        <f t="shared" ref="AG413:AG431" si="347">IF(AB413&gt;0,AB413+AG$32,0)</f>
        <v>0</v>
      </c>
      <c r="AH413" s="109">
        <f t="shared" ref="AH413:AH431" si="348">IF(AC413&gt;0,AC413+AH$32,0)</f>
        <v>0</v>
      </c>
      <c r="AI413" s="109">
        <f t="shared" ref="AI413:AI431" si="349">IF(AD413&gt;0,AD413+AI$32,0)</f>
        <v>0</v>
      </c>
      <c r="AL413" s="109">
        <f>IF($BD413&gt;0,(((($BD413/Dashboard!$D$23)*(1+Precificação!$W$589)))+$AL$26)*(1+Dashboard!$D$35),0)</f>
        <v>0</v>
      </c>
      <c r="AM413" s="109">
        <f>IF($BD413&gt;0,(((($BD413/Dashboard!$D$23)*(1+Precificação!$W$589))*(1+AM$28))+$AA$26)*(1+Dashboard!$D$35),0)</f>
        <v>0</v>
      </c>
      <c r="AN413" s="109">
        <f>IF($BD413&gt;0,(((($BD413/Dashboard!$D$23)*(1+Precificação!$W$589))*(1+AN$28))+$AA$26)*(1+Dashboard!$D$35),0)</f>
        <v>0</v>
      </c>
      <c r="AO413" s="109">
        <f>IF($BD413&gt;0,(((($BD413/Dashboard!$D$23)*(1+Precificação!$W$589))*(1+AO$28))+$AA$26)*(1+Dashboard!$D$35),0)</f>
        <v>0</v>
      </c>
      <c r="AQ413" s="109">
        <f t="shared" ref="AQ413:AQ431" si="350">IF(AL413&gt;0,AL413+AQ$32,0)</f>
        <v>0</v>
      </c>
      <c r="AR413" s="109">
        <f t="shared" ref="AR413:AR431" si="351">IF(AM413&gt;0,AM413+AR$32,0)</f>
        <v>0</v>
      </c>
      <c r="AS413" s="109">
        <f t="shared" ref="AS413:AS431" si="352">IF(AN413&gt;0,AN413+AS$32,0)</f>
        <v>0</v>
      </c>
      <c r="AT413" s="109">
        <f t="shared" ref="AT413:AT431" si="353">IF(AO413&gt;0,AO413+AT$32,0)</f>
        <v>0</v>
      </c>
      <c r="AW413" s="144">
        <f>VLOOKUP(B413,'Cronog. e Histog.'!$B$213:$BT$688,71,0)</f>
        <v>1</v>
      </c>
      <c r="AX413" s="144">
        <f>VLOOKUP(B413,'Cronog. e Histog.'!$B$213:$BU$688,72,0)</f>
        <v>10</v>
      </c>
      <c r="AY413" s="144">
        <f>$AW413*$AX413*Dashboard!$D$15</f>
        <v>1936.0000000000002</v>
      </c>
      <c r="AZ413" s="144">
        <f>VLOOKUP(B413,Precificação!$B$96:$BM$533,54,0)</f>
        <v>0</v>
      </c>
      <c r="BA413" s="144">
        <f>VLOOKUP(B413,Precificação!$B$96:$BR$533,58,0)</f>
        <v>0</v>
      </c>
      <c r="BB413" s="144">
        <f>VLOOKUP(B413,Precificação!$B$96:$BW$533,62,0)</f>
        <v>0</v>
      </c>
      <c r="BC413" s="144">
        <f t="shared" ref="BC413:BC431" si="354">SUM(AY413:BB413)</f>
        <v>1936.0000000000002</v>
      </c>
      <c r="BD413" s="109">
        <f>IFERROR(VLOOKUP(B413,Precificação!$B$96:$S$533,13,0),0)</f>
        <v>0</v>
      </c>
      <c r="BE413" s="109">
        <f>IFERROR(VLOOKUP(B413,Precificação!$B$96:$U$533,15,0)/(Precificação!$U$4+Precificação!$U$91),0)*Dashboard!$T$3</f>
        <v>0</v>
      </c>
    </row>
    <row r="414" spans="2:57" ht="12" customHeight="1" outlineLevel="1">
      <c r="B414" s="137" t="str">
        <f>Precificação!B406</f>
        <v>SUP.-ESP - Equipe_01</v>
      </c>
      <c r="D414" s="512"/>
      <c r="E414" s="143" t="str">
        <f>IF('Cronog. e Histog.'!G551&gt;0,'Cronog. e Histog.'!G551,"")</f>
        <v>SUP.-ESP</v>
      </c>
      <c r="G414" s="179">
        <f t="shared" si="341"/>
        <v>0</v>
      </c>
      <c r="H414" s="110">
        <f>IFERROR(INDEX('Base Salarial'!$D$5:$F$25,MATCH(E414,'Base Salarial'!$G$5:$G$25,0),MATCH(I414,'Base Salarial'!$D$4:$F$4,0)),"")</f>
        <v>9166.6666666666679</v>
      </c>
      <c r="I414" s="78" t="str">
        <f>IFERROR(INDEX(Tarefas!$BQ$29:$FK$29,MATCH(E414,Tarefas!$BQ$30:$FK$30,0)),"")</f>
        <v>Mensalista</v>
      </c>
      <c r="J414" s="81">
        <f>IF(I414="horista",H414*Dashboard!$D$15,IF(OR(I414="Mensalista",I414="PJ"),H414,))</f>
        <v>9166.6666666666679</v>
      </c>
      <c r="K414" s="81">
        <f>IF(I414="PJ",J414,ROUND(J414*(1+Dashboard!$D$22),2))</f>
        <v>9716.67</v>
      </c>
      <c r="L414" s="77"/>
      <c r="M414" s="180"/>
      <c r="P414" s="109">
        <f>IF($BD414&gt;0,(((($BD414/Dashboard!$D$15)*(1+Precificação!$W$589)))+$P$26)*(1+Dashboard!$D$35),0)</f>
        <v>0</v>
      </c>
      <c r="Q414" s="109">
        <f>IF($BD414&gt;0,(((($BD414/Dashboard!$D$23)+(1+Precificação!$W$589))*(1+Q$28))+$P$26)*(1+Dashboard!$D$35),0)</f>
        <v>0</v>
      </c>
      <c r="R414" s="109">
        <f>IF($BD414&gt;0,(((($BD414/Dashboard!$D$23)+(1+Precificação!$W$589))*(1+R$28))+$P$26)*(1+Dashboard!$D$35),0)</f>
        <v>0</v>
      </c>
      <c r="S414" s="109">
        <f>IF($BD414&gt;0,(((($BD414/Dashboard!$D$23)+(1+Precificação!$W$589))*(1+S$28))+$P$26)*(1+Dashboard!$D$35),0)</f>
        <v>0</v>
      </c>
      <c r="U414" s="109">
        <f t="shared" si="342"/>
        <v>0</v>
      </c>
      <c r="V414" s="109">
        <f t="shared" si="343"/>
        <v>0</v>
      </c>
      <c r="W414" s="109">
        <f t="shared" si="344"/>
        <v>0</v>
      </c>
      <c r="X414" s="109">
        <f t="shared" si="345"/>
        <v>0</v>
      </c>
      <c r="AA414" s="109">
        <f>IF($BD414&gt;0,(((($BD414/Dashboard!$D$23)*(1+Precificação!$W$589)))+$AA$26)*(1+Dashboard!$D$35),0)</f>
        <v>0</v>
      </c>
      <c r="AB414" s="109">
        <f>IF($BD414&gt;0,(((($BD414/Dashboard!$D$23)*(1+Precificação!$W$589))*(1+AB$28))+$AA$26)*(1+Dashboard!$D$35),0)</f>
        <v>0</v>
      </c>
      <c r="AC414" s="109">
        <f>IF($BD414&gt;0,(((($BD414/Dashboard!$D$23)*(1+Precificação!$W$589))*(1+AC$28))+$AA$26)*(1+Dashboard!$D$35),0)</f>
        <v>0</v>
      </c>
      <c r="AD414" s="109">
        <f>IF($BD414&gt;0,(((($BD414/Dashboard!$D$23)*(1+Precificação!$W$589))*(1+AD$28))+$AA$26)*(1+Dashboard!$D$35),0)</f>
        <v>0</v>
      </c>
      <c r="AF414" s="109">
        <f t="shared" si="346"/>
        <v>0</v>
      </c>
      <c r="AG414" s="109">
        <f t="shared" si="347"/>
        <v>0</v>
      </c>
      <c r="AH414" s="109">
        <f t="shared" si="348"/>
        <v>0</v>
      </c>
      <c r="AI414" s="109">
        <f t="shared" si="349"/>
        <v>0</v>
      </c>
      <c r="AL414" s="109">
        <f>IF($BD414&gt;0,(((($BD414/Dashboard!$D$23)*(1+Precificação!$W$589)))+$AL$26)*(1+Dashboard!$D$35),0)</f>
        <v>0</v>
      </c>
      <c r="AM414" s="109">
        <f>IF($BD414&gt;0,(((($BD414/Dashboard!$D$23)*(1+Precificação!$W$589))*(1+AM$28))+$AA$26)*(1+Dashboard!$D$35),0)</f>
        <v>0</v>
      </c>
      <c r="AN414" s="109">
        <f>IF($BD414&gt;0,(((($BD414/Dashboard!$D$23)*(1+Precificação!$W$589))*(1+AN$28))+$AA$26)*(1+Dashboard!$D$35),0)</f>
        <v>0</v>
      </c>
      <c r="AO414" s="109">
        <f>IF($BD414&gt;0,(((($BD414/Dashboard!$D$23)*(1+Precificação!$W$589))*(1+AO$28))+$AA$26)*(1+Dashboard!$D$35),0)</f>
        <v>0</v>
      </c>
      <c r="AQ414" s="109">
        <f t="shared" si="350"/>
        <v>0</v>
      </c>
      <c r="AR414" s="109">
        <f t="shared" si="351"/>
        <v>0</v>
      </c>
      <c r="AS414" s="109">
        <f t="shared" si="352"/>
        <v>0</v>
      </c>
      <c r="AT414" s="109">
        <f t="shared" si="353"/>
        <v>0</v>
      </c>
      <c r="AW414" s="144">
        <f>VLOOKUP(B414,'Cronog. e Histog.'!$B$213:$BT$688,71,0)</f>
        <v>0</v>
      </c>
      <c r="AX414" s="144">
        <f>VLOOKUP(B414,'Cronog. e Histog.'!$B$213:$BU$688,72,0)</f>
        <v>0</v>
      </c>
      <c r="AY414" s="144">
        <f>$AW414*$AX414*Dashboard!$D$15</f>
        <v>0</v>
      </c>
      <c r="AZ414" s="144">
        <f>VLOOKUP(B414,Precificação!$B$96:$BM$533,54,0)</f>
        <v>0</v>
      </c>
      <c r="BA414" s="144">
        <f>VLOOKUP(B414,Precificação!$B$96:$BR$533,58,0)</f>
        <v>0</v>
      </c>
      <c r="BB414" s="144">
        <f>VLOOKUP(B414,Precificação!$B$96:$BW$533,62,0)</f>
        <v>0</v>
      </c>
      <c r="BC414" s="144">
        <f t="shared" si="354"/>
        <v>0</v>
      </c>
      <c r="BD414" s="109">
        <f>IFERROR(VLOOKUP(B414,Precificação!$B$96:$S$533,13,0),0)</f>
        <v>0</v>
      </c>
      <c r="BE414" s="109">
        <f>IFERROR(VLOOKUP(B414,Precificação!$B$96:$U$533,15,0)/(Precificação!$U$4+Precificação!$U$91),0)*Dashboard!$T$3</f>
        <v>0</v>
      </c>
    </row>
    <row r="415" spans="2:57" ht="12" customHeight="1" outlineLevel="1">
      <c r="B415" s="137" t="str">
        <f>Precificação!B407</f>
        <v>ENG/ARQ SR. - Equipe_01</v>
      </c>
      <c r="D415" s="512"/>
      <c r="E415" s="143" t="str">
        <f>IF('Cronog. e Histog.'!G552&gt;0,'Cronog. e Histog.'!G552,"")</f>
        <v>ENG/ARQ SR.</v>
      </c>
      <c r="G415" s="179">
        <f t="shared" si="341"/>
        <v>0</v>
      </c>
      <c r="H415" s="110">
        <f>IFERROR(INDEX('Base Salarial'!$D$5:$F$25,MATCH(E415,'Base Salarial'!$G$5:$G$25,0),MATCH(I415,'Base Salarial'!$D$4:$F$4,0)),"")</f>
        <v>16000</v>
      </c>
      <c r="I415" s="78" t="str">
        <f>IFERROR(INDEX(Tarefas!$BQ$29:$FK$29,MATCH(E415,Tarefas!$BQ$30:$FK$30,0)),"")</f>
        <v>PJ</v>
      </c>
      <c r="J415" s="81">
        <f>IF(I415="horista",H415*Dashboard!$D$15,IF(OR(I415="Mensalista",I415="PJ"),H415,))</f>
        <v>16000</v>
      </c>
      <c r="K415" s="81">
        <f>IF(I415="PJ",J415,ROUND(J415*(1+Dashboard!$D$22),2))</f>
        <v>16000</v>
      </c>
      <c r="L415" s="77"/>
      <c r="M415" s="180"/>
      <c r="P415" s="109">
        <f>IF($BD415&gt;0,(((($BD415/Dashboard!$D$15)*(1+Precificação!$W$589)))+$P$26)*(1+Dashboard!$D$35),0)</f>
        <v>0</v>
      </c>
      <c r="Q415" s="109">
        <f>IF($BD415&gt;0,(((($BD415/Dashboard!$D$23)+(1+Precificação!$W$589))*(1+Q$28))+$P$26)*(1+Dashboard!$D$35),0)</f>
        <v>0</v>
      </c>
      <c r="R415" s="109">
        <f>IF($BD415&gt;0,(((($BD415/Dashboard!$D$23)+(1+Precificação!$W$589))*(1+R$28))+$P$26)*(1+Dashboard!$D$35),0)</f>
        <v>0</v>
      </c>
      <c r="S415" s="109">
        <f>IF($BD415&gt;0,(((($BD415/Dashboard!$D$23)+(1+Precificação!$W$589))*(1+S$28))+$P$26)*(1+Dashboard!$D$35),0)</f>
        <v>0</v>
      </c>
      <c r="U415" s="109">
        <f t="shared" si="342"/>
        <v>0</v>
      </c>
      <c r="V415" s="109">
        <f t="shared" si="343"/>
        <v>0</v>
      </c>
      <c r="W415" s="109">
        <f t="shared" si="344"/>
        <v>0</v>
      </c>
      <c r="X415" s="109">
        <f t="shared" si="345"/>
        <v>0</v>
      </c>
      <c r="AA415" s="109">
        <f>IF($BD415&gt;0,(((($BD415/Dashboard!$D$23)*(1+Precificação!$W$589)))+$AA$26)*(1+Dashboard!$D$35),0)</f>
        <v>0</v>
      </c>
      <c r="AB415" s="109">
        <f>IF($BD415&gt;0,(((($BD415/Dashboard!$D$23)*(1+Precificação!$W$589))*(1+AB$28))+$AA$26)*(1+Dashboard!$D$35),0)</f>
        <v>0</v>
      </c>
      <c r="AC415" s="109">
        <f>IF($BD415&gt;0,(((($BD415/Dashboard!$D$23)*(1+Precificação!$W$589))*(1+AC$28))+$AA$26)*(1+Dashboard!$D$35),0)</f>
        <v>0</v>
      </c>
      <c r="AD415" s="109">
        <f>IF($BD415&gt;0,(((($BD415/Dashboard!$D$23)*(1+Precificação!$W$589))*(1+AD$28))+$AA$26)*(1+Dashboard!$D$35),0)</f>
        <v>0</v>
      </c>
      <c r="AF415" s="109">
        <f t="shared" si="346"/>
        <v>0</v>
      </c>
      <c r="AG415" s="109">
        <f t="shared" si="347"/>
        <v>0</v>
      </c>
      <c r="AH415" s="109">
        <f t="shared" si="348"/>
        <v>0</v>
      </c>
      <c r="AI415" s="109">
        <f t="shared" si="349"/>
        <v>0</v>
      </c>
      <c r="AL415" s="109">
        <f>IF($BD415&gt;0,(((($BD415/Dashboard!$D$23)*(1+Precificação!$W$589)))+$AL$26)*(1+Dashboard!$D$35),0)</f>
        <v>0</v>
      </c>
      <c r="AM415" s="109">
        <f>IF($BD415&gt;0,(((($BD415/Dashboard!$D$23)*(1+Precificação!$W$589))*(1+AM$28))+$AA$26)*(1+Dashboard!$D$35),0)</f>
        <v>0</v>
      </c>
      <c r="AN415" s="109">
        <f>IF($BD415&gt;0,(((($BD415/Dashboard!$D$23)*(1+Precificação!$W$589))*(1+AN$28))+$AA$26)*(1+Dashboard!$D$35),0)</f>
        <v>0</v>
      </c>
      <c r="AO415" s="109">
        <f>IF($BD415&gt;0,(((($BD415/Dashboard!$D$23)*(1+Precificação!$W$589))*(1+AO$28))+$AA$26)*(1+Dashboard!$D$35),0)</f>
        <v>0</v>
      </c>
      <c r="AQ415" s="109">
        <f t="shared" si="350"/>
        <v>0</v>
      </c>
      <c r="AR415" s="109">
        <f t="shared" si="351"/>
        <v>0</v>
      </c>
      <c r="AS415" s="109">
        <f t="shared" si="352"/>
        <v>0</v>
      </c>
      <c r="AT415" s="109">
        <f t="shared" si="353"/>
        <v>0</v>
      </c>
      <c r="AW415" s="144">
        <f>VLOOKUP(B415,'Cronog. e Histog.'!$B$213:$BT$688,71,0)</f>
        <v>9.9999999999999985E-3</v>
      </c>
      <c r="AX415" s="144">
        <f>VLOOKUP(B415,'Cronog. e Histog.'!$B$213:$BU$688,72,0)</f>
        <v>10</v>
      </c>
      <c r="AY415" s="144">
        <f>$AW415*$AX415*Dashboard!$D$15</f>
        <v>19.36</v>
      </c>
      <c r="AZ415" s="144">
        <f>VLOOKUP(B415,Precificação!$B$96:$BM$533,54,0)</f>
        <v>0</v>
      </c>
      <c r="BA415" s="144">
        <f>VLOOKUP(B415,Precificação!$B$96:$BR$533,58,0)</f>
        <v>0</v>
      </c>
      <c r="BB415" s="144">
        <f>VLOOKUP(B415,Precificação!$B$96:$BW$533,62,0)</f>
        <v>0</v>
      </c>
      <c r="BC415" s="144">
        <f t="shared" si="354"/>
        <v>19.36</v>
      </c>
      <c r="BD415" s="109">
        <f>IFERROR(VLOOKUP(B415,Precificação!$B$96:$S$533,13,0),0)</f>
        <v>0</v>
      </c>
      <c r="BE415" s="109">
        <f>IFERROR(VLOOKUP(B415,Precificação!$B$96:$U$533,15,0)/(Precificação!$U$4+Precificação!$U$91),0)*Dashboard!$T$3</f>
        <v>0</v>
      </c>
    </row>
    <row r="416" spans="2:57" ht="12" customHeight="1" outlineLevel="1">
      <c r="B416" s="137" t="str">
        <f>Precificação!B408</f>
        <v>ENG/ARQ PL. - Equipe_01</v>
      </c>
      <c r="D416" s="512"/>
      <c r="E416" s="143" t="str">
        <f>IF('Cronog. e Histog.'!G553&gt;0,'Cronog. e Histog.'!G553,"")</f>
        <v>ENG/ARQ PL.</v>
      </c>
      <c r="G416" s="179">
        <f t="shared" si="341"/>
        <v>0</v>
      </c>
      <c r="H416" s="110">
        <f>IFERROR(INDEX('Base Salarial'!$D$5:$F$25,MATCH(E416,'Base Salarial'!$G$5:$G$25,0),MATCH(I416,'Base Salarial'!$D$4:$F$4,0)),"")</f>
        <v>14000</v>
      </c>
      <c r="I416" s="78" t="str">
        <f>IFERROR(INDEX(Tarefas!$BQ$29:$FK$29,MATCH(E416,Tarefas!$BQ$30:$FK$30,0)),"")</f>
        <v>PJ</v>
      </c>
      <c r="J416" s="81">
        <f>IF(I416="horista",H416*Dashboard!$D$15,IF(OR(I416="Mensalista",I416="PJ"),H416,))</f>
        <v>14000</v>
      </c>
      <c r="K416" s="81">
        <f>IF(I416="PJ",J416,ROUND(J416*(1+Dashboard!$D$22),2))</f>
        <v>14000</v>
      </c>
      <c r="L416" s="77"/>
      <c r="M416" s="180"/>
      <c r="P416" s="109">
        <f>IF($BD416&gt;0,(((($BD416/Dashboard!$D$15)*(1+Precificação!$W$589)))+$P$26)*(1+Dashboard!$D$35),0)</f>
        <v>0</v>
      </c>
      <c r="Q416" s="109">
        <f>IF($BD416&gt;0,(((($BD416/Dashboard!$D$23)+(1+Precificação!$W$589))*(1+Q$28))+$P$26)*(1+Dashboard!$D$35),0)</f>
        <v>0</v>
      </c>
      <c r="R416" s="109">
        <f>IF($BD416&gt;0,(((($BD416/Dashboard!$D$23)+(1+Precificação!$W$589))*(1+R$28))+$P$26)*(1+Dashboard!$D$35),0)</f>
        <v>0</v>
      </c>
      <c r="S416" s="109">
        <f>IF($BD416&gt;0,(((($BD416/Dashboard!$D$23)+(1+Precificação!$W$589))*(1+S$28))+$P$26)*(1+Dashboard!$D$35),0)</f>
        <v>0</v>
      </c>
      <c r="U416" s="109">
        <f t="shared" si="342"/>
        <v>0</v>
      </c>
      <c r="V416" s="109">
        <f t="shared" si="343"/>
        <v>0</v>
      </c>
      <c r="W416" s="109">
        <f t="shared" si="344"/>
        <v>0</v>
      </c>
      <c r="X416" s="109">
        <f t="shared" si="345"/>
        <v>0</v>
      </c>
      <c r="AA416" s="109">
        <f>IF($BD416&gt;0,(((($BD416/Dashboard!$D$23)*(1+Precificação!$W$589)))+$AA$26)*(1+Dashboard!$D$35),0)</f>
        <v>0</v>
      </c>
      <c r="AB416" s="109">
        <f>IF($BD416&gt;0,(((($BD416/Dashboard!$D$23)*(1+Precificação!$W$589))*(1+AB$28))+$AA$26)*(1+Dashboard!$D$35),0)</f>
        <v>0</v>
      </c>
      <c r="AC416" s="109">
        <f>IF($BD416&gt;0,(((($BD416/Dashboard!$D$23)*(1+Precificação!$W$589))*(1+AC$28))+$AA$26)*(1+Dashboard!$D$35),0)</f>
        <v>0</v>
      </c>
      <c r="AD416" s="109">
        <f>IF($BD416&gt;0,(((($BD416/Dashboard!$D$23)*(1+Precificação!$W$589))*(1+AD$28))+$AA$26)*(1+Dashboard!$D$35),0)</f>
        <v>0</v>
      </c>
      <c r="AF416" s="109">
        <f t="shared" si="346"/>
        <v>0</v>
      </c>
      <c r="AG416" s="109">
        <f t="shared" si="347"/>
        <v>0</v>
      </c>
      <c r="AH416" s="109">
        <f t="shared" si="348"/>
        <v>0</v>
      </c>
      <c r="AI416" s="109">
        <f t="shared" si="349"/>
        <v>0</v>
      </c>
      <c r="AL416" s="109">
        <f>IF($BD416&gt;0,(((($BD416/Dashboard!$D$23)*(1+Precificação!$W$589)))+$AL$26)*(1+Dashboard!$D$35),0)</f>
        <v>0</v>
      </c>
      <c r="AM416" s="109">
        <f>IF($BD416&gt;0,(((($BD416/Dashboard!$D$23)*(1+Precificação!$W$589))*(1+AM$28))+$AA$26)*(1+Dashboard!$D$35),0)</f>
        <v>0</v>
      </c>
      <c r="AN416" s="109">
        <f>IF($BD416&gt;0,(((($BD416/Dashboard!$D$23)*(1+Precificação!$W$589))*(1+AN$28))+$AA$26)*(1+Dashboard!$D$35),0)</f>
        <v>0</v>
      </c>
      <c r="AO416" s="109">
        <f>IF($BD416&gt;0,(((($BD416/Dashboard!$D$23)*(1+Precificação!$W$589))*(1+AO$28))+$AA$26)*(1+Dashboard!$D$35),0)</f>
        <v>0</v>
      </c>
      <c r="AQ416" s="109">
        <f t="shared" si="350"/>
        <v>0</v>
      </c>
      <c r="AR416" s="109">
        <f t="shared" si="351"/>
        <v>0</v>
      </c>
      <c r="AS416" s="109">
        <f t="shared" si="352"/>
        <v>0</v>
      </c>
      <c r="AT416" s="109">
        <f t="shared" si="353"/>
        <v>0</v>
      </c>
      <c r="AW416" s="144">
        <f>VLOOKUP(B416,'Cronog. e Histog.'!$B$213:$BT$688,71,0)</f>
        <v>0</v>
      </c>
      <c r="AX416" s="144">
        <f>VLOOKUP(B416,'Cronog. e Histog.'!$B$213:$BU$688,72,0)</f>
        <v>0</v>
      </c>
      <c r="AY416" s="144">
        <f>$AW416*$AX416*Dashboard!$D$15</f>
        <v>0</v>
      </c>
      <c r="AZ416" s="144">
        <f>VLOOKUP(B416,Precificação!$B$96:$BM$533,54,0)</f>
        <v>0</v>
      </c>
      <c r="BA416" s="144">
        <f>VLOOKUP(B416,Precificação!$B$96:$BR$533,58,0)</f>
        <v>0</v>
      </c>
      <c r="BB416" s="144">
        <f>VLOOKUP(B416,Precificação!$B$96:$BW$533,62,0)</f>
        <v>0</v>
      </c>
      <c r="BC416" s="144">
        <f t="shared" si="354"/>
        <v>0</v>
      </c>
      <c r="BD416" s="109">
        <f>IFERROR(VLOOKUP(B416,Precificação!$B$96:$S$533,13,0),0)</f>
        <v>0</v>
      </c>
      <c r="BE416" s="109">
        <f>IFERROR(VLOOKUP(B416,Precificação!$B$96:$U$533,15,0)/(Precificação!$U$4+Precificação!$U$91),0)*Dashboard!$T$3</f>
        <v>0</v>
      </c>
    </row>
    <row r="417" spans="2:57" ht="12" customHeight="1" outlineLevel="1">
      <c r="B417" s="137" t="str">
        <f>Precificação!B409</f>
        <v>ENG/ARQ JR. - Equipe_01</v>
      </c>
      <c r="D417" s="512"/>
      <c r="E417" s="143" t="str">
        <f>IF('Cronog. e Histog.'!G554&gt;0,'Cronog. e Histog.'!G554,"")</f>
        <v>ENG/ARQ JR.</v>
      </c>
      <c r="G417" s="179">
        <f t="shared" si="341"/>
        <v>0</v>
      </c>
      <c r="H417" s="110">
        <f>IFERROR(INDEX('Base Salarial'!$D$5:$F$25,MATCH(E417,'Base Salarial'!$G$5:$G$25,0),MATCH(I417,'Base Salarial'!$D$4:$F$4,0)),"")</f>
        <v>14000</v>
      </c>
      <c r="I417" s="78" t="str">
        <f>IFERROR(INDEX(Tarefas!$BQ$29:$FK$29,MATCH(E417,Tarefas!$BQ$30:$FK$30,0)),"")</f>
        <v>PJ</v>
      </c>
      <c r="J417" s="81">
        <f>IF(I417="horista",H417*Dashboard!$D$15,IF(OR(I417="Mensalista",I417="PJ"),H417,))</f>
        <v>14000</v>
      </c>
      <c r="K417" s="81">
        <f>IF(I417="PJ",J417,ROUND(J417*(1+Dashboard!$D$22),2))</f>
        <v>14000</v>
      </c>
      <c r="L417" s="77"/>
      <c r="M417" s="180"/>
      <c r="P417" s="109">
        <f>IF($BD417&gt;0,(((($BD417/Dashboard!$D$15)*(1+Precificação!$W$589)))+$P$26)*(1+Dashboard!$D$35),0)</f>
        <v>0</v>
      </c>
      <c r="Q417" s="109">
        <f>IF($BD417&gt;0,(((($BD417/Dashboard!$D$23)+(1+Precificação!$W$589))*(1+Q$28))+$P$26)*(1+Dashboard!$D$35),0)</f>
        <v>0</v>
      </c>
      <c r="R417" s="109">
        <f>IF($BD417&gt;0,(((($BD417/Dashboard!$D$23)+(1+Precificação!$W$589))*(1+R$28))+$P$26)*(1+Dashboard!$D$35),0)</f>
        <v>0</v>
      </c>
      <c r="S417" s="109">
        <f>IF($BD417&gt;0,(((($BD417/Dashboard!$D$23)+(1+Precificação!$W$589))*(1+S$28))+$P$26)*(1+Dashboard!$D$35),0)</f>
        <v>0</v>
      </c>
      <c r="U417" s="109">
        <f t="shared" si="342"/>
        <v>0</v>
      </c>
      <c r="V417" s="109">
        <f t="shared" si="343"/>
        <v>0</v>
      </c>
      <c r="W417" s="109">
        <f t="shared" si="344"/>
        <v>0</v>
      </c>
      <c r="X417" s="109">
        <f t="shared" si="345"/>
        <v>0</v>
      </c>
      <c r="AA417" s="109">
        <f>IF($BD417&gt;0,(((($BD417/Dashboard!$D$23)*(1+Precificação!$W$589)))+$AA$26)*(1+Dashboard!$D$35),0)</f>
        <v>0</v>
      </c>
      <c r="AB417" s="109">
        <f>IF($BD417&gt;0,(((($BD417/Dashboard!$D$23)*(1+Precificação!$W$589))*(1+AB$28))+$AA$26)*(1+Dashboard!$D$35),0)</f>
        <v>0</v>
      </c>
      <c r="AC417" s="109">
        <f>IF($BD417&gt;0,(((($BD417/Dashboard!$D$23)*(1+Precificação!$W$589))*(1+AC$28))+$AA$26)*(1+Dashboard!$D$35),0)</f>
        <v>0</v>
      </c>
      <c r="AD417" s="109">
        <f>IF($BD417&gt;0,(((($BD417/Dashboard!$D$23)*(1+Precificação!$W$589))*(1+AD$28))+$AA$26)*(1+Dashboard!$D$35),0)</f>
        <v>0</v>
      </c>
      <c r="AF417" s="109">
        <f t="shared" si="346"/>
        <v>0</v>
      </c>
      <c r="AG417" s="109">
        <f t="shared" si="347"/>
        <v>0</v>
      </c>
      <c r="AH417" s="109">
        <f t="shared" si="348"/>
        <v>0</v>
      </c>
      <c r="AI417" s="109">
        <f t="shared" si="349"/>
        <v>0</v>
      </c>
      <c r="AL417" s="109">
        <f>IF($BD417&gt;0,(((($BD417/Dashboard!$D$23)*(1+Precificação!$W$589)))+$AL$26)*(1+Dashboard!$D$35),0)</f>
        <v>0</v>
      </c>
      <c r="AM417" s="109">
        <f>IF($BD417&gt;0,(((($BD417/Dashboard!$D$23)*(1+Precificação!$W$589))*(1+AM$28))+$AA$26)*(1+Dashboard!$D$35),0)</f>
        <v>0</v>
      </c>
      <c r="AN417" s="109">
        <f>IF($BD417&gt;0,(((($BD417/Dashboard!$D$23)*(1+Precificação!$W$589))*(1+AN$28))+$AA$26)*(1+Dashboard!$D$35),0)</f>
        <v>0</v>
      </c>
      <c r="AO417" s="109">
        <f>IF($BD417&gt;0,(((($BD417/Dashboard!$D$23)*(1+Precificação!$W$589))*(1+AO$28))+$AA$26)*(1+Dashboard!$D$35),0)</f>
        <v>0</v>
      </c>
      <c r="AQ417" s="109">
        <f t="shared" si="350"/>
        <v>0</v>
      </c>
      <c r="AR417" s="109">
        <f t="shared" si="351"/>
        <v>0</v>
      </c>
      <c r="AS417" s="109">
        <f t="shared" si="352"/>
        <v>0</v>
      </c>
      <c r="AT417" s="109">
        <f t="shared" si="353"/>
        <v>0</v>
      </c>
      <c r="AW417" s="144">
        <f>VLOOKUP(B417,'Cronog. e Histog.'!$B$213:$BT$688,71,0)</f>
        <v>0</v>
      </c>
      <c r="AX417" s="144">
        <f>VLOOKUP(B417,'Cronog. e Histog.'!$B$213:$BU$688,72,0)</f>
        <v>0</v>
      </c>
      <c r="AY417" s="144">
        <f>$AW417*$AX417*Dashboard!$D$15</f>
        <v>0</v>
      </c>
      <c r="AZ417" s="144">
        <f>VLOOKUP(B417,Precificação!$B$96:$BM$533,54,0)</f>
        <v>0</v>
      </c>
      <c r="BA417" s="144">
        <f>VLOOKUP(B417,Precificação!$B$96:$BR$533,58,0)</f>
        <v>0</v>
      </c>
      <c r="BB417" s="144">
        <f>VLOOKUP(B417,Precificação!$B$96:$BW$533,62,0)</f>
        <v>0</v>
      </c>
      <c r="BC417" s="144">
        <f t="shared" si="354"/>
        <v>0</v>
      </c>
      <c r="BD417" s="109">
        <f>IFERROR(VLOOKUP(B417,Precificação!$B$96:$S$533,13,0),0)</f>
        <v>0</v>
      </c>
      <c r="BE417" s="109">
        <f>IFERROR(VLOOKUP(B417,Precificação!$B$96:$U$533,15,0)/(Precificação!$U$4+Precificação!$U$91),0)*Dashboard!$T$3</f>
        <v>0</v>
      </c>
    </row>
    <row r="418" spans="2:57" ht="12" customHeight="1" outlineLevel="1">
      <c r="B418" s="137" t="str">
        <f>Precificação!B410</f>
        <v>AN SR. ENG/ARQ - Equipe_01</v>
      </c>
      <c r="D418" s="512"/>
      <c r="E418" s="143" t="str">
        <f>IF('Cronog. e Histog.'!G555&gt;0,'Cronog. e Histog.'!G555,"")</f>
        <v>AN SR. ENG/ARQ</v>
      </c>
      <c r="G418" s="179">
        <f t="shared" si="341"/>
        <v>0</v>
      </c>
      <c r="H418" s="110">
        <f>IFERROR(INDEX('Base Salarial'!$D$5:$F$25,MATCH(E418,'Base Salarial'!$G$5:$G$25,0),MATCH(I418,'Base Salarial'!$D$4:$F$4,0)),"")</f>
        <v>7500</v>
      </c>
      <c r="I418" s="78" t="str">
        <f>IFERROR(INDEX(Tarefas!$BQ$29:$FK$29,MATCH(E418,Tarefas!$BQ$30:$FK$30,0)),"")</f>
        <v>Mensalista</v>
      </c>
      <c r="J418" s="81">
        <f>IF(I418="horista",H418*Dashboard!$D$15,IF(OR(I418="Mensalista",I418="PJ"),H418,))</f>
        <v>7500</v>
      </c>
      <c r="K418" s="81">
        <f>IF(I418="PJ",J418,ROUND(J418*(1+Dashboard!$D$22),2))</f>
        <v>7950</v>
      </c>
      <c r="L418" s="77"/>
      <c r="M418" s="180"/>
      <c r="P418" s="109">
        <f>IF($BD418&gt;0,(((($BD418/Dashboard!$D$15)*(1+Precificação!$W$589)))+$P$26)*(1+Dashboard!$D$35),0)</f>
        <v>0</v>
      </c>
      <c r="Q418" s="109">
        <f>IF($BD418&gt;0,(((($BD418/Dashboard!$D$23)+(1+Precificação!$W$589))*(1+Q$28))+$P$26)*(1+Dashboard!$D$35),0)</f>
        <v>0</v>
      </c>
      <c r="R418" s="109">
        <f>IF($BD418&gt;0,(((($BD418/Dashboard!$D$23)+(1+Precificação!$W$589))*(1+R$28))+$P$26)*(1+Dashboard!$D$35),0)</f>
        <v>0</v>
      </c>
      <c r="S418" s="109">
        <f>IF($BD418&gt;0,(((($BD418/Dashboard!$D$23)+(1+Precificação!$W$589))*(1+S$28))+$P$26)*(1+Dashboard!$D$35),0)</f>
        <v>0</v>
      </c>
      <c r="U418" s="109">
        <f t="shared" si="342"/>
        <v>0</v>
      </c>
      <c r="V418" s="109">
        <f t="shared" si="343"/>
        <v>0</v>
      </c>
      <c r="W418" s="109">
        <f t="shared" si="344"/>
        <v>0</v>
      </c>
      <c r="X418" s="109">
        <f t="shared" si="345"/>
        <v>0</v>
      </c>
      <c r="AA418" s="109">
        <f>IF($BD418&gt;0,(((($BD418/Dashboard!$D$23)*(1+Precificação!$W$589)))+$AA$26)*(1+Dashboard!$D$35),0)</f>
        <v>0</v>
      </c>
      <c r="AB418" s="109">
        <f>IF($BD418&gt;0,(((($BD418/Dashboard!$D$23)*(1+Precificação!$W$589))*(1+AB$28))+$AA$26)*(1+Dashboard!$D$35),0)</f>
        <v>0</v>
      </c>
      <c r="AC418" s="109">
        <f>IF($BD418&gt;0,(((($BD418/Dashboard!$D$23)*(1+Precificação!$W$589))*(1+AC$28))+$AA$26)*(1+Dashboard!$D$35),0)</f>
        <v>0</v>
      </c>
      <c r="AD418" s="109">
        <f>IF($BD418&gt;0,(((($BD418/Dashboard!$D$23)*(1+Precificação!$W$589))*(1+AD$28))+$AA$26)*(1+Dashboard!$D$35),0)</f>
        <v>0</v>
      </c>
      <c r="AF418" s="109">
        <f t="shared" si="346"/>
        <v>0</v>
      </c>
      <c r="AG418" s="109">
        <f t="shared" si="347"/>
        <v>0</v>
      </c>
      <c r="AH418" s="109">
        <f t="shared" si="348"/>
        <v>0</v>
      </c>
      <c r="AI418" s="109">
        <f t="shared" si="349"/>
        <v>0</v>
      </c>
      <c r="AL418" s="109">
        <f>IF($BD418&gt;0,(((($BD418/Dashboard!$D$23)*(1+Precificação!$W$589)))+$AL$26)*(1+Dashboard!$D$35),0)</f>
        <v>0</v>
      </c>
      <c r="AM418" s="109">
        <f>IF($BD418&gt;0,(((($BD418/Dashboard!$D$23)*(1+Precificação!$W$589))*(1+AM$28))+$AA$26)*(1+Dashboard!$D$35),0)</f>
        <v>0</v>
      </c>
      <c r="AN418" s="109">
        <f>IF($BD418&gt;0,(((($BD418/Dashboard!$D$23)*(1+Precificação!$W$589))*(1+AN$28))+$AA$26)*(1+Dashboard!$D$35),0)</f>
        <v>0</v>
      </c>
      <c r="AO418" s="109">
        <f>IF($BD418&gt;0,(((($BD418/Dashboard!$D$23)*(1+Precificação!$W$589))*(1+AO$28))+$AA$26)*(1+Dashboard!$D$35),0)</f>
        <v>0</v>
      </c>
      <c r="AQ418" s="109">
        <f t="shared" si="350"/>
        <v>0</v>
      </c>
      <c r="AR418" s="109">
        <f t="shared" si="351"/>
        <v>0</v>
      </c>
      <c r="AS418" s="109">
        <f t="shared" si="352"/>
        <v>0</v>
      </c>
      <c r="AT418" s="109">
        <f t="shared" si="353"/>
        <v>0</v>
      </c>
      <c r="AW418" s="144">
        <f>VLOOKUP(B418,'Cronog. e Histog.'!$B$213:$BT$688,71,0)</f>
        <v>0</v>
      </c>
      <c r="AX418" s="144">
        <f>VLOOKUP(B418,'Cronog. e Histog.'!$B$213:$BU$688,72,0)</f>
        <v>0</v>
      </c>
      <c r="AY418" s="144">
        <f>$AW418*$AX418*Dashboard!$D$15</f>
        <v>0</v>
      </c>
      <c r="AZ418" s="144">
        <f>VLOOKUP(B418,Precificação!$B$96:$BM$533,54,0)</f>
        <v>0</v>
      </c>
      <c r="BA418" s="144">
        <f>VLOOKUP(B418,Precificação!$B$96:$BR$533,58,0)</f>
        <v>0</v>
      </c>
      <c r="BB418" s="144">
        <f>VLOOKUP(B418,Precificação!$B$96:$BW$533,62,0)</f>
        <v>0</v>
      </c>
      <c r="BC418" s="144">
        <f t="shared" si="354"/>
        <v>0</v>
      </c>
      <c r="BD418" s="109">
        <f>IFERROR(VLOOKUP(B418,Precificação!$B$96:$S$533,13,0),0)</f>
        <v>0</v>
      </c>
      <c r="BE418" s="109">
        <f>IFERROR(VLOOKUP(B418,Precificação!$B$96:$U$533,15,0)/(Precificação!$U$4+Precificação!$U$91),0)*Dashboard!$T$3</f>
        <v>0</v>
      </c>
    </row>
    <row r="419" spans="2:57" ht="12" customHeight="1" outlineLevel="1">
      <c r="B419" s="137" t="str">
        <f>Precificação!B411</f>
        <v>AN PL. ENG/ARQ - Equipe_01</v>
      </c>
      <c r="D419" s="512"/>
      <c r="E419" s="143" t="str">
        <f>IF('Cronog. e Histog.'!G556&gt;0,'Cronog. e Histog.'!G556,"")</f>
        <v>AN PL. ENG/ARQ</v>
      </c>
      <c r="G419" s="179">
        <f t="shared" si="341"/>
        <v>0</v>
      </c>
      <c r="H419" s="110">
        <f>IFERROR(INDEX('Base Salarial'!$D$5:$F$25,MATCH(E419,'Base Salarial'!$G$5:$G$25,0),MATCH(I419,'Base Salarial'!$D$4:$F$4,0)),"")</f>
        <v>6000</v>
      </c>
      <c r="I419" s="78" t="str">
        <f>IFERROR(INDEX(Tarefas!$BQ$29:$FK$29,MATCH(E419,Tarefas!$BQ$30:$FK$30,0)),"")</f>
        <v>Mensalista</v>
      </c>
      <c r="J419" s="81">
        <f>IF(I419="horista",H419*Dashboard!$D$15,IF(OR(I419="Mensalista",I419="PJ"),H419,))</f>
        <v>6000</v>
      </c>
      <c r="K419" s="81">
        <f>IF(I419="PJ",J419,ROUND(J419*(1+Dashboard!$D$22),2))</f>
        <v>6360</v>
      </c>
      <c r="L419" s="77"/>
      <c r="M419" s="180"/>
      <c r="P419" s="109">
        <f>IF($BD419&gt;0,(((($BD419/Dashboard!$D$15)*(1+Precificação!$W$589)))+$P$26)*(1+Dashboard!$D$35),0)</f>
        <v>0</v>
      </c>
      <c r="Q419" s="109">
        <f>IF($BD419&gt;0,(((($BD419/Dashboard!$D$23)+(1+Precificação!$W$589))*(1+Q$28))+$P$26)*(1+Dashboard!$D$35),0)</f>
        <v>0</v>
      </c>
      <c r="R419" s="109">
        <f>IF($BD419&gt;0,(((($BD419/Dashboard!$D$23)+(1+Precificação!$W$589))*(1+R$28))+$P$26)*(1+Dashboard!$D$35),0)</f>
        <v>0</v>
      </c>
      <c r="S419" s="109">
        <f>IF($BD419&gt;0,(((($BD419/Dashboard!$D$23)+(1+Precificação!$W$589))*(1+S$28))+$P$26)*(1+Dashboard!$D$35),0)</f>
        <v>0</v>
      </c>
      <c r="U419" s="109">
        <f t="shared" si="342"/>
        <v>0</v>
      </c>
      <c r="V419" s="109">
        <f t="shared" si="343"/>
        <v>0</v>
      </c>
      <c r="W419" s="109">
        <f t="shared" si="344"/>
        <v>0</v>
      </c>
      <c r="X419" s="109">
        <f t="shared" si="345"/>
        <v>0</v>
      </c>
      <c r="AA419" s="109">
        <f>IF($BD419&gt;0,(((($BD419/Dashboard!$D$23)*(1+Precificação!$W$589)))+$AA$26)*(1+Dashboard!$D$35),0)</f>
        <v>0</v>
      </c>
      <c r="AB419" s="109">
        <f>IF($BD419&gt;0,(((($BD419/Dashboard!$D$23)*(1+Precificação!$W$589))*(1+AB$28))+$AA$26)*(1+Dashboard!$D$35),0)</f>
        <v>0</v>
      </c>
      <c r="AC419" s="109">
        <f>IF($BD419&gt;0,(((($BD419/Dashboard!$D$23)*(1+Precificação!$W$589))*(1+AC$28))+$AA$26)*(1+Dashboard!$D$35),0)</f>
        <v>0</v>
      </c>
      <c r="AD419" s="109">
        <f>IF($BD419&gt;0,(((($BD419/Dashboard!$D$23)*(1+Precificação!$W$589))*(1+AD$28))+$AA$26)*(1+Dashboard!$D$35),0)</f>
        <v>0</v>
      </c>
      <c r="AF419" s="109">
        <f t="shared" si="346"/>
        <v>0</v>
      </c>
      <c r="AG419" s="109">
        <f t="shared" si="347"/>
        <v>0</v>
      </c>
      <c r="AH419" s="109">
        <f t="shared" si="348"/>
        <v>0</v>
      </c>
      <c r="AI419" s="109">
        <f t="shared" si="349"/>
        <v>0</v>
      </c>
      <c r="AL419" s="109">
        <f>IF($BD419&gt;0,(((($BD419/Dashboard!$D$23)*(1+Precificação!$W$589)))+$AL$26)*(1+Dashboard!$D$35),0)</f>
        <v>0</v>
      </c>
      <c r="AM419" s="109">
        <f>IF($BD419&gt;0,(((($BD419/Dashboard!$D$23)*(1+Precificação!$W$589))*(1+AM$28))+$AA$26)*(1+Dashboard!$D$35),0)</f>
        <v>0</v>
      </c>
      <c r="AN419" s="109">
        <f>IF($BD419&gt;0,(((($BD419/Dashboard!$D$23)*(1+Precificação!$W$589))*(1+AN$28))+$AA$26)*(1+Dashboard!$D$35),0)</f>
        <v>0</v>
      </c>
      <c r="AO419" s="109">
        <f>IF($BD419&gt;0,(((($BD419/Dashboard!$D$23)*(1+Precificação!$W$589))*(1+AO$28))+$AA$26)*(1+Dashboard!$D$35),0)</f>
        <v>0</v>
      </c>
      <c r="AQ419" s="109">
        <f t="shared" si="350"/>
        <v>0</v>
      </c>
      <c r="AR419" s="109">
        <f t="shared" si="351"/>
        <v>0</v>
      </c>
      <c r="AS419" s="109">
        <f t="shared" si="352"/>
        <v>0</v>
      </c>
      <c r="AT419" s="109">
        <f t="shared" si="353"/>
        <v>0</v>
      </c>
      <c r="AW419" s="144">
        <f>VLOOKUP(B419,'Cronog. e Histog.'!$B$213:$BT$688,71,0)</f>
        <v>0</v>
      </c>
      <c r="AX419" s="144">
        <f>VLOOKUP(B419,'Cronog. e Histog.'!$B$213:$BU$688,72,0)</f>
        <v>0</v>
      </c>
      <c r="AY419" s="144">
        <f>$AW419*$AX419*Dashboard!$D$15</f>
        <v>0</v>
      </c>
      <c r="AZ419" s="144">
        <f>VLOOKUP(B419,Precificação!$B$96:$BM$533,54,0)</f>
        <v>0</v>
      </c>
      <c r="BA419" s="144">
        <f>VLOOKUP(B419,Precificação!$B$96:$BR$533,58,0)</f>
        <v>0</v>
      </c>
      <c r="BB419" s="144">
        <f>VLOOKUP(B419,Precificação!$B$96:$BW$533,62,0)</f>
        <v>0</v>
      </c>
      <c r="BC419" s="144">
        <f t="shared" si="354"/>
        <v>0</v>
      </c>
      <c r="BD419" s="109">
        <f>IFERROR(VLOOKUP(B419,Precificação!$B$96:$S$533,13,0),0)</f>
        <v>0</v>
      </c>
      <c r="BE419" s="109">
        <f>IFERROR(VLOOKUP(B419,Precificação!$B$96:$U$533,15,0)/(Precificação!$U$4+Precificação!$U$91),0)*Dashboard!$T$3</f>
        <v>0</v>
      </c>
    </row>
    <row r="420" spans="2:57" ht="12" customHeight="1" outlineLevel="1">
      <c r="B420" s="137" t="str">
        <f>Precificação!B412</f>
        <v>AN JR. ENG/ARQ - Equipe_01</v>
      </c>
      <c r="D420" s="512"/>
      <c r="E420" s="143" t="str">
        <f>IF('Cronog. e Histog.'!G557&gt;0,'Cronog. e Histog.'!G557,"")</f>
        <v>AN JR. ENG/ARQ</v>
      </c>
      <c r="G420" s="179">
        <f t="shared" si="341"/>
        <v>0</v>
      </c>
      <c r="H420" s="110">
        <f>IFERROR(INDEX('Base Salarial'!$D$5:$F$25,MATCH(E420,'Base Salarial'!$G$5:$G$25,0),MATCH(I420,'Base Salarial'!$D$4:$F$4,0)),"")</f>
        <v>4500</v>
      </c>
      <c r="I420" s="78" t="str">
        <f>IFERROR(INDEX(Tarefas!$BQ$29:$FK$29,MATCH(E420,Tarefas!$BQ$30:$FK$30,0)),"")</f>
        <v>Mensalista</v>
      </c>
      <c r="J420" s="81">
        <f>IF(I420="horista",H420*Dashboard!$D$15,IF(OR(I420="Mensalista",I420="PJ"),H420,))</f>
        <v>4500</v>
      </c>
      <c r="K420" s="81">
        <f>IF(I420="PJ",J420,ROUND(J420*(1+Dashboard!$D$22),2))</f>
        <v>4770</v>
      </c>
      <c r="L420" s="77"/>
      <c r="M420" s="180"/>
      <c r="P420" s="109">
        <f>IF($BD420&gt;0,(((($BD420/Dashboard!$D$15)*(1+Precificação!$W$589)))+$P$26)*(1+Dashboard!$D$35),0)</f>
        <v>0</v>
      </c>
      <c r="Q420" s="109">
        <f>IF($BD420&gt;0,(((($BD420/Dashboard!$D$23)+(1+Precificação!$W$589))*(1+Q$28))+$P$26)*(1+Dashboard!$D$35),0)</f>
        <v>0</v>
      </c>
      <c r="R420" s="109">
        <f>IF($BD420&gt;0,(((($BD420/Dashboard!$D$23)+(1+Precificação!$W$589))*(1+R$28))+$P$26)*(1+Dashboard!$D$35),0)</f>
        <v>0</v>
      </c>
      <c r="S420" s="109">
        <f>IF($BD420&gt;0,(((($BD420/Dashboard!$D$23)+(1+Precificação!$W$589))*(1+S$28))+$P$26)*(1+Dashboard!$D$35),0)</f>
        <v>0</v>
      </c>
      <c r="U420" s="109">
        <f t="shared" si="342"/>
        <v>0</v>
      </c>
      <c r="V420" s="109">
        <f t="shared" si="343"/>
        <v>0</v>
      </c>
      <c r="W420" s="109">
        <f t="shared" si="344"/>
        <v>0</v>
      </c>
      <c r="X420" s="109">
        <f t="shared" si="345"/>
        <v>0</v>
      </c>
      <c r="AA420" s="109">
        <f>IF($BD420&gt;0,(((($BD420/Dashboard!$D$23)*(1+Precificação!$W$589)))+$AA$26)*(1+Dashboard!$D$35),0)</f>
        <v>0</v>
      </c>
      <c r="AB420" s="109">
        <f>IF($BD420&gt;0,(((($BD420/Dashboard!$D$23)*(1+Precificação!$W$589))*(1+AB$28))+$AA$26)*(1+Dashboard!$D$35),0)</f>
        <v>0</v>
      </c>
      <c r="AC420" s="109">
        <f>IF($BD420&gt;0,(((($BD420/Dashboard!$D$23)*(1+Precificação!$W$589))*(1+AC$28))+$AA$26)*(1+Dashboard!$D$35),0)</f>
        <v>0</v>
      </c>
      <c r="AD420" s="109">
        <f>IF($BD420&gt;0,(((($BD420/Dashboard!$D$23)*(1+Precificação!$W$589))*(1+AD$28))+$AA$26)*(1+Dashboard!$D$35),0)</f>
        <v>0</v>
      </c>
      <c r="AF420" s="109">
        <f t="shared" si="346"/>
        <v>0</v>
      </c>
      <c r="AG420" s="109">
        <f t="shared" si="347"/>
        <v>0</v>
      </c>
      <c r="AH420" s="109">
        <f t="shared" si="348"/>
        <v>0</v>
      </c>
      <c r="AI420" s="109">
        <f t="shared" si="349"/>
        <v>0</v>
      </c>
      <c r="AL420" s="109">
        <f>IF($BD420&gt;0,(((($BD420/Dashboard!$D$23)*(1+Precificação!$W$589)))+$AL$26)*(1+Dashboard!$D$35),0)</f>
        <v>0</v>
      </c>
      <c r="AM420" s="109">
        <f>IF($BD420&gt;0,(((($BD420/Dashboard!$D$23)*(1+Precificação!$W$589))*(1+AM$28))+$AA$26)*(1+Dashboard!$D$35),0)</f>
        <v>0</v>
      </c>
      <c r="AN420" s="109">
        <f>IF($BD420&gt;0,(((($BD420/Dashboard!$D$23)*(1+Precificação!$W$589))*(1+AN$28))+$AA$26)*(1+Dashboard!$D$35),0)</f>
        <v>0</v>
      </c>
      <c r="AO420" s="109">
        <f>IF($BD420&gt;0,(((($BD420/Dashboard!$D$23)*(1+Precificação!$W$589))*(1+AO$28))+$AA$26)*(1+Dashboard!$D$35),0)</f>
        <v>0</v>
      </c>
      <c r="AQ420" s="109">
        <f t="shared" si="350"/>
        <v>0</v>
      </c>
      <c r="AR420" s="109">
        <f t="shared" si="351"/>
        <v>0</v>
      </c>
      <c r="AS420" s="109">
        <f t="shared" si="352"/>
        <v>0</v>
      </c>
      <c r="AT420" s="109">
        <f t="shared" si="353"/>
        <v>0</v>
      </c>
      <c r="AW420" s="144">
        <f>VLOOKUP(B420,'Cronog. e Histog.'!$B$213:$BT$688,71,0)</f>
        <v>0</v>
      </c>
      <c r="AX420" s="144">
        <f>VLOOKUP(B420,'Cronog. e Histog.'!$B$213:$BU$688,72,0)</f>
        <v>0</v>
      </c>
      <c r="AY420" s="144">
        <f>$AW420*$AX420*Dashboard!$D$15</f>
        <v>0</v>
      </c>
      <c r="AZ420" s="144">
        <f>VLOOKUP(B420,Precificação!$B$96:$BM$533,54,0)</f>
        <v>0</v>
      </c>
      <c r="BA420" s="144">
        <f>VLOOKUP(B420,Precificação!$B$96:$BR$533,58,0)</f>
        <v>0</v>
      </c>
      <c r="BB420" s="144">
        <f>VLOOKUP(B420,Precificação!$B$96:$BW$533,62,0)</f>
        <v>0</v>
      </c>
      <c r="BC420" s="144">
        <f t="shared" si="354"/>
        <v>0</v>
      </c>
      <c r="BD420" s="109">
        <f>IFERROR(VLOOKUP(B420,Precificação!$B$96:$S$533,13,0),0)</f>
        <v>0</v>
      </c>
      <c r="BE420" s="109">
        <f>IFERROR(VLOOKUP(B420,Precificação!$B$96:$U$533,15,0)/(Precificação!$U$4+Precificação!$U$91),0)*Dashboard!$T$3</f>
        <v>0</v>
      </c>
    </row>
    <row r="421" spans="2:57" ht="12" customHeight="1" outlineLevel="1">
      <c r="B421" s="137" t="str">
        <f>Precificação!B413</f>
        <v>AN SR. ADM/CRP - Equipe_01</v>
      </c>
      <c r="D421" s="512"/>
      <c r="E421" s="143" t="str">
        <f>IF('Cronog. e Histog.'!G558&gt;0,'Cronog. e Histog.'!G558,"")</f>
        <v>AN SR. ADM/CRP</v>
      </c>
      <c r="G421" s="179">
        <f t="shared" si="341"/>
        <v>0</v>
      </c>
      <c r="H421" s="110">
        <f>IFERROR(INDEX('Base Salarial'!$D$5:$F$25,MATCH(E421,'Base Salarial'!$G$5:$G$25,0),MATCH(I421,'Base Salarial'!$D$4:$F$4,0)),"")</f>
        <v>7000</v>
      </c>
      <c r="I421" s="78" t="str">
        <f>IFERROR(INDEX(Tarefas!$BQ$29:$FK$29,MATCH(E421,Tarefas!$BQ$30:$FK$30,0)),"")</f>
        <v>Mensalista</v>
      </c>
      <c r="J421" s="81">
        <f>IF(I421="horista",H421*Dashboard!$D$15,IF(OR(I421="Mensalista",I421="PJ"),H421,))</f>
        <v>7000</v>
      </c>
      <c r="K421" s="81">
        <f>IF(I421="PJ",J421,ROUND(J421*(1+Dashboard!$D$22),2))</f>
        <v>7420</v>
      </c>
      <c r="L421" s="77"/>
      <c r="M421" s="180"/>
      <c r="P421" s="109">
        <f>IF($BD421&gt;0,(((($BD421/Dashboard!$D$15)*(1+Precificação!$W$589)))+$P$26)*(1+Dashboard!$D$35),0)</f>
        <v>0</v>
      </c>
      <c r="Q421" s="109">
        <f>IF($BD421&gt;0,(((($BD421/Dashboard!$D$23)+(1+Precificação!$W$589))*(1+Q$28))+$P$26)*(1+Dashboard!$D$35),0)</f>
        <v>0</v>
      </c>
      <c r="R421" s="109">
        <f>IF($BD421&gt;0,(((($BD421/Dashboard!$D$23)+(1+Precificação!$W$589))*(1+R$28))+$P$26)*(1+Dashboard!$D$35),0)</f>
        <v>0</v>
      </c>
      <c r="S421" s="109">
        <f>IF($BD421&gt;0,(((($BD421/Dashboard!$D$23)+(1+Precificação!$W$589))*(1+S$28))+$P$26)*(1+Dashboard!$D$35),0)</f>
        <v>0</v>
      </c>
      <c r="U421" s="109">
        <f t="shared" si="342"/>
        <v>0</v>
      </c>
      <c r="V421" s="109">
        <f t="shared" si="343"/>
        <v>0</v>
      </c>
      <c r="W421" s="109">
        <f t="shared" si="344"/>
        <v>0</v>
      </c>
      <c r="X421" s="109">
        <f t="shared" si="345"/>
        <v>0</v>
      </c>
      <c r="AA421" s="109">
        <f>IF($BD421&gt;0,(((($BD421/Dashboard!$D$23)*(1+Precificação!$W$589)))+$AA$26)*(1+Dashboard!$D$35),0)</f>
        <v>0</v>
      </c>
      <c r="AB421" s="109">
        <f>IF($BD421&gt;0,(((($BD421/Dashboard!$D$23)*(1+Precificação!$W$589))*(1+AB$28))+$AA$26)*(1+Dashboard!$D$35),0)</f>
        <v>0</v>
      </c>
      <c r="AC421" s="109">
        <f>IF($BD421&gt;0,(((($BD421/Dashboard!$D$23)*(1+Precificação!$W$589))*(1+AC$28))+$AA$26)*(1+Dashboard!$D$35),0)</f>
        <v>0</v>
      </c>
      <c r="AD421" s="109">
        <f>IF($BD421&gt;0,(((($BD421/Dashboard!$D$23)*(1+Precificação!$W$589))*(1+AD$28))+$AA$26)*(1+Dashboard!$D$35),0)</f>
        <v>0</v>
      </c>
      <c r="AF421" s="109">
        <f t="shared" si="346"/>
        <v>0</v>
      </c>
      <c r="AG421" s="109">
        <f t="shared" si="347"/>
        <v>0</v>
      </c>
      <c r="AH421" s="109">
        <f t="shared" si="348"/>
        <v>0</v>
      </c>
      <c r="AI421" s="109">
        <f t="shared" si="349"/>
        <v>0</v>
      </c>
      <c r="AL421" s="109">
        <f>IF($BD421&gt;0,(((($BD421/Dashboard!$D$23)*(1+Precificação!$W$589)))+$AL$26)*(1+Dashboard!$D$35),0)</f>
        <v>0</v>
      </c>
      <c r="AM421" s="109">
        <f>IF($BD421&gt;0,(((($BD421/Dashboard!$D$23)*(1+Precificação!$W$589))*(1+AM$28))+$AA$26)*(1+Dashboard!$D$35),0)</f>
        <v>0</v>
      </c>
      <c r="AN421" s="109">
        <f>IF($BD421&gt;0,(((($BD421/Dashboard!$D$23)*(1+Precificação!$W$589))*(1+AN$28))+$AA$26)*(1+Dashboard!$D$35),0)</f>
        <v>0</v>
      </c>
      <c r="AO421" s="109">
        <f>IF($BD421&gt;0,(((($BD421/Dashboard!$D$23)*(1+Precificação!$W$589))*(1+AO$28))+$AA$26)*(1+Dashboard!$D$35),0)</f>
        <v>0</v>
      </c>
      <c r="AQ421" s="109">
        <f t="shared" si="350"/>
        <v>0</v>
      </c>
      <c r="AR421" s="109">
        <f t="shared" si="351"/>
        <v>0</v>
      </c>
      <c r="AS421" s="109">
        <f t="shared" si="352"/>
        <v>0</v>
      </c>
      <c r="AT421" s="109">
        <f t="shared" si="353"/>
        <v>0</v>
      </c>
      <c r="AW421" s="144">
        <f>VLOOKUP(B421,'Cronog. e Histog.'!$B$213:$BT$688,71,0)</f>
        <v>0</v>
      </c>
      <c r="AX421" s="144">
        <f>VLOOKUP(B421,'Cronog. e Histog.'!$B$213:$BU$688,72,0)</f>
        <v>0</v>
      </c>
      <c r="AY421" s="144">
        <f>$AW421*$AX421*Dashboard!$D$15</f>
        <v>0</v>
      </c>
      <c r="AZ421" s="144">
        <f>VLOOKUP(B421,Precificação!$B$96:$BM$533,54,0)</f>
        <v>0</v>
      </c>
      <c r="BA421" s="144">
        <f>VLOOKUP(B421,Precificação!$B$96:$BR$533,58,0)</f>
        <v>0</v>
      </c>
      <c r="BB421" s="144">
        <f>VLOOKUP(B421,Precificação!$B$96:$BW$533,62,0)</f>
        <v>0</v>
      </c>
      <c r="BC421" s="144">
        <f t="shared" si="354"/>
        <v>0</v>
      </c>
      <c r="BD421" s="109">
        <f>IFERROR(VLOOKUP(B421,Precificação!$B$96:$S$533,13,0),0)</f>
        <v>0</v>
      </c>
      <c r="BE421" s="109">
        <f>IFERROR(VLOOKUP(B421,Precificação!$B$96:$U$533,15,0)/(Precificação!$U$4+Precificação!$U$91),0)*Dashboard!$T$3</f>
        <v>0</v>
      </c>
    </row>
    <row r="422" spans="2:57" ht="12" customHeight="1" outlineLevel="1">
      <c r="B422" s="137" t="str">
        <f>Precificação!B414</f>
        <v>AN PL. ADM/CRP - Equipe_01</v>
      </c>
      <c r="D422" s="512"/>
      <c r="E422" s="143" t="str">
        <f>IF('Cronog. e Histog.'!G559&gt;0,'Cronog. e Histog.'!G559,"")</f>
        <v>AN PL. ADM/CRP</v>
      </c>
      <c r="G422" s="179">
        <f t="shared" si="341"/>
        <v>0</v>
      </c>
      <c r="H422" s="110">
        <f>IFERROR(INDEX('Base Salarial'!$D$5:$F$25,MATCH(E422,'Base Salarial'!$G$5:$G$25,0),MATCH(I422,'Base Salarial'!$D$4:$F$4,0)),"")</f>
        <v>5000</v>
      </c>
      <c r="I422" s="78" t="str">
        <f>IFERROR(INDEX(Tarefas!$BQ$29:$FK$29,MATCH(E422,Tarefas!$BQ$30:$FK$30,0)),"")</f>
        <v>Mensalista</v>
      </c>
      <c r="J422" s="81">
        <f>IF(I422="horista",H422*Dashboard!$D$15,IF(OR(I422="Mensalista",I422="PJ"),H422,))</f>
        <v>5000</v>
      </c>
      <c r="K422" s="81">
        <f>IF(I422="PJ",J422,ROUND(J422*(1+Dashboard!$D$22),2))</f>
        <v>5300</v>
      </c>
      <c r="L422" s="77"/>
      <c r="M422" s="180"/>
      <c r="P422" s="109">
        <f>IF($BD422&gt;0,(((($BD422/Dashboard!$D$15)*(1+Precificação!$W$589)))+$P$26)*(1+Dashboard!$D$35),0)</f>
        <v>0</v>
      </c>
      <c r="Q422" s="109">
        <f>IF($BD422&gt;0,(((($BD422/Dashboard!$D$23)+(1+Precificação!$W$589))*(1+Q$28))+$P$26)*(1+Dashboard!$D$35),0)</f>
        <v>0</v>
      </c>
      <c r="R422" s="109">
        <f>IF($BD422&gt;0,(((($BD422/Dashboard!$D$23)+(1+Precificação!$W$589))*(1+R$28))+$P$26)*(1+Dashboard!$D$35),0)</f>
        <v>0</v>
      </c>
      <c r="S422" s="109">
        <f>IF($BD422&gt;0,(((($BD422/Dashboard!$D$23)+(1+Precificação!$W$589))*(1+S$28))+$P$26)*(1+Dashboard!$D$35),0)</f>
        <v>0</v>
      </c>
      <c r="U422" s="109">
        <f t="shared" si="342"/>
        <v>0</v>
      </c>
      <c r="V422" s="109">
        <f t="shared" si="343"/>
        <v>0</v>
      </c>
      <c r="W422" s="109">
        <f t="shared" si="344"/>
        <v>0</v>
      </c>
      <c r="X422" s="109">
        <f t="shared" si="345"/>
        <v>0</v>
      </c>
      <c r="AA422" s="109">
        <f>IF($BD422&gt;0,(((($BD422/Dashboard!$D$23)*(1+Precificação!$W$589)))+$AA$26)*(1+Dashboard!$D$35),0)</f>
        <v>0</v>
      </c>
      <c r="AB422" s="109">
        <f>IF($BD422&gt;0,(((($BD422/Dashboard!$D$23)*(1+Precificação!$W$589))*(1+AB$28))+$AA$26)*(1+Dashboard!$D$35),0)</f>
        <v>0</v>
      </c>
      <c r="AC422" s="109">
        <f>IF($BD422&gt;0,(((($BD422/Dashboard!$D$23)*(1+Precificação!$W$589))*(1+AC$28))+$AA$26)*(1+Dashboard!$D$35),0)</f>
        <v>0</v>
      </c>
      <c r="AD422" s="109">
        <f>IF($BD422&gt;0,(((($BD422/Dashboard!$D$23)*(1+Precificação!$W$589))*(1+AD$28))+$AA$26)*(1+Dashboard!$D$35),0)</f>
        <v>0</v>
      </c>
      <c r="AF422" s="109">
        <f t="shared" si="346"/>
        <v>0</v>
      </c>
      <c r="AG422" s="109">
        <f t="shared" si="347"/>
        <v>0</v>
      </c>
      <c r="AH422" s="109">
        <f t="shared" si="348"/>
        <v>0</v>
      </c>
      <c r="AI422" s="109">
        <f t="shared" si="349"/>
        <v>0</v>
      </c>
      <c r="AL422" s="109">
        <f>IF($BD422&gt;0,(((($BD422/Dashboard!$D$23)*(1+Precificação!$W$589)))+$AL$26)*(1+Dashboard!$D$35),0)</f>
        <v>0</v>
      </c>
      <c r="AM422" s="109">
        <f>IF($BD422&gt;0,(((($BD422/Dashboard!$D$23)*(1+Precificação!$W$589))*(1+AM$28))+$AA$26)*(1+Dashboard!$D$35),0)</f>
        <v>0</v>
      </c>
      <c r="AN422" s="109">
        <f>IF($BD422&gt;0,(((($BD422/Dashboard!$D$23)*(1+Precificação!$W$589))*(1+AN$28))+$AA$26)*(1+Dashboard!$D$35),0)</f>
        <v>0</v>
      </c>
      <c r="AO422" s="109">
        <f>IF($BD422&gt;0,(((($BD422/Dashboard!$D$23)*(1+Precificação!$W$589))*(1+AO$28))+$AA$26)*(1+Dashboard!$D$35),0)</f>
        <v>0</v>
      </c>
      <c r="AQ422" s="109">
        <f t="shared" si="350"/>
        <v>0</v>
      </c>
      <c r="AR422" s="109">
        <f t="shared" si="351"/>
        <v>0</v>
      </c>
      <c r="AS422" s="109">
        <f t="shared" si="352"/>
        <v>0</v>
      </c>
      <c r="AT422" s="109">
        <f t="shared" si="353"/>
        <v>0</v>
      </c>
      <c r="AW422" s="144">
        <f>VLOOKUP(B422,'Cronog. e Histog.'!$B$213:$BT$688,71,0)</f>
        <v>0</v>
      </c>
      <c r="AX422" s="144">
        <f>VLOOKUP(B422,'Cronog. e Histog.'!$B$213:$BU$688,72,0)</f>
        <v>0</v>
      </c>
      <c r="AY422" s="144">
        <f>$AW422*$AX422*Dashboard!$D$15</f>
        <v>0</v>
      </c>
      <c r="AZ422" s="144">
        <f>VLOOKUP(B422,Precificação!$B$96:$BM$533,54,0)</f>
        <v>0</v>
      </c>
      <c r="BA422" s="144">
        <f>VLOOKUP(B422,Precificação!$B$96:$BR$533,58,0)</f>
        <v>0</v>
      </c>
      <c r="BB422" s="144">
        <f>VLOOKUP(B422,Precificação!$B$96:$BW$533,62,0)</f>
        <v>0</v>
      </c>
      <c r="BC422" s="144">
        <f t="shared" si="354"/>
        <v>0</v>
      </c>
      <c r="BD422" s="109">
        <f>IFERROR(VLOOKUP(B422,Precificação!$B$96:$S$533,13,0),0)</f>
        <v>0</v>
      </c>
      <c r="BE422" s="109">
        <f>IFERROR(VLOOKUP(B422,Precificação!$B$96:$U$533,15,0)/(Precificação!$U$4+Precificação!$U$91),0)*Dashboard!$T$3</f>
        <v>0</v>
      </c>
    </row>
    <row r="423" spans="2:57" ht="12" customHeight="1" outlineLevel="1">
      <c r="B423" s="137" t="str">
        <f>Precificação!B415</f>
        <v>AN JR. ADM/CRP - Equipe_01</v>
      </c>
      <c r="D423" s="512"/>
      <c r="E423" s="143" t="str">
        <f>IF('Cronog. e Histog.'!G560&gt;0,'Cronog. e Histog.'!G560,"")</f>
        <v>AN JR. ADM/CRP</v>
      </c>
      <c r="G423" s="179">
        <f t="shared" si="341"/>
        <v>0</v>
      </c>
      <c r="H423" s="110">
        <f>IFERROR(INDEX('Base Salarial'!$D$5:$F$25,MATCH(E423,'Base Salarial'!$G$5:$G$25,0),MATCH(I423,'Base Salarial'!$D$4:$F$4,0)),"")</f>
        <v>3500</v>
      </c>
      <c r="I423" s="78" t="str">
        <f>IFERROR(INDEX(Tarefas!$BQ$29:$FK$29,MATCH(E423,Tarefas!$BQ$30:$FK$30,0)),"")</f>
        <v>Mensalista</v>
      </c>
      <c r="J423" s="81">
        <f>IF(I423="horista",H423*Dashboard!$D$15,IF(OR(I423="Mensalista",I423="PJ"),H423,))</f>
        <v>3500</v>
      </c>
      <c r="K423" s="81">
        <f>IF(I423="PJ",J423,ROUND(J423*(1+Dashboard!$D$22),2))</f>
        <v>3710</v>
      </c>
      <c r="L423" s="77"/>
      <c r="M423" s="180"/>
      <c r="P423" s="109">
        <f>IF($BD423&gt;0,(((($BD423/Dashboard!$D$15)*(1+Precificação!$W$589)))+$P$26)*(1+Dashboard!$D$35),0)</f>
        <v>0</v>
      </c>
      <c r="Q423" s="109">
        <f>IF($BD423&gt;0,(((($BD423/Dashboard!$D$23)+(1+Precificação!$W$589))*(1+Q$28))+$P$26)*(1+Dashboard!$D$35),0)</f>
        <v>0</v>
      </c>
      <c r="R423" s="109">
        <f>IF($BD423&gt;0,(((($BD423/Dashboard!$D$23)+(1+Precificação!$W$589))*(1+R$28))+$P$26)*(1+Dashboard!$D$35),0)</f>
        <v>0</v>
      </c>
      <c r="S423" s="109">
        <f>IF($BD423&gt;0,(((($BD423/Dashboard!$D$23)+(1+Precificação!$W$589))*(1+S$28))+$P$26)*(1+Dashboard!$D$35),0)</f>
        <v>0</v>
      </c>
      <c r="U423" s="109">
        <f t="shared" si="342"/>
        <v>0</v>
      </c>
      <c r="V423" s="109">
        <f t="shared" si="343"/>
        <v>0</v>
      </c>
      <c r="W423" s="109">
        <f t="shared" si="344"/>
        <v>0</v>
      </c>
      <c r="X423" s="109">
        <f t="shared" si="345"/>
        <v>0</v>
      </c>
      <c r="AA423" s="109">
        <f>IF($BD423&gt;0,(((($BD423/Dashboard!$D$23)*(1+Precificação!$W$589)))+$AA$26)*(1+Dashboard!$D$35),0)</f>
        <v>0</v>
      </c>
      <c r="AB423" s="109">
        <f>IF($BD423&gt;0,(((($BD423/Dashboard!$D$23)*(1+Precificação!$W$589))*(1+AB$28))+$AA$26)*(1+Dashboard!$D$35),0)</f>
        <v>0</v>
      </c>
      <c r="AC423" s="109">
        <f>IF($BD423&gt;0,(((($BD423/Dashboard!$D$23)*(1+Precificação!$W$589))*(1+AC$28))+$AA$26)*(1+Dashboard!$D$35),0)</f>
        <v>0</v>
      </c>
      <c r="AD423" s="109">
        <f>IF($BD423&gt;0,(((($BD423/Dashboard!$D$23)*(1+Precificação!$W$589))*(1+AD$28))+$AA$26)*(1+Dashboard!$D$35),0)</f>
        <v>0</v>
      </c>
      <c r="AF423" s="109">
        <f t="shared" si="346"/>
        <v>0</v>
      </c>
      <c r="AG423" s="109">
        <f t="shared" si="347"/>
        <v>0</v>
      </c>
      <c r="AH423" s="109">
        <f t="shared" si="348"/>
        <v>0</v>
      </c>
      <c r="AI423" s="109">
        <f t="shared" si="349"/>
        <v>0</v>
      </c>
      <c r="AL423" s="109">
        <f>IF($BD423&gt;0,(((($BD423/Dashboard!$D$23)*(1+Precificação!$W$589)))+$AL$26)*(1+Dashboard!$D$35),0)</f>
        <v>0</v>
      </c>
      <c r="AM423" s="109">
        <f>IF($BD423&gt;0,(((($BD423/Dashboard!$D$23)*(1+Precificação!$W$589))*(1+AM$28))+$AA$26)*(1+Dashboard!$D$35),0)</f>
        <v>0</v>
      </c>
      <c r="AN423" s="109">
        <f>IF($BD423&gt;0,(((($BD423/Dashboard!$D$23)*(1+Precificação!$W$589))*(1+AN$28))+$AA$26)*(1+Dashboard!$D$35),0)</f>
        <v>0</v>
      </c>
      <c r="AO423" s="109">
        <f>IF($BD423&gt;0,(((($BD423/Dashboard!$D$23)*(1+Precificação!$W$589))*(1+AO$28))+$AA$26)*(1+Dashboard!$D$35),0)</f>
        <v>0</v>
      </c>
      <c r="AQ423" s="109">
        <f t="shared" si="350"/>
        <v>0</v>
      </c>
      <c r="AR423" s="109">
        <f t="shared" si="351"/>
        <v>0</v>
      </c>
      <c r="AS423" s="109">
        <f t="shared" si="352"/>
        <v>0</v>
      </c>
      <c r="AT423" s="109">
        <f t="shared" si="353"/>
        <v>0</v>
      </c>
      <c r="AW423" s="144">
        <f>VLOOKUP(B423,'Cronog. e Histog.'!$B$213:$BT$688,71,0)</f>
        <v>0</v>
      </c>
      <c r="AX423" s="144">
        <f>VLOOKUP(B423,'Cronog. e Histog.'!$B$213:$BU$688,72,0)</f>
        <v>0</v>
      </c>
      <c r="AY423" s="144">
        <f>$AW423*$AX423*Dashboard!$D$15</f>
        <v>0</v>
      </c>
      <c r="AZ423" s="144">
        <f>VLOOKUP(B423,Precificação!$B$96:$BM$533,54,0)</f>
        <v>0</v>
      </c>
      <c r="BA423" s="144">
        <f>VLOOKUP(B423,Precificação!$B$96:$BR$533,58,0)</f>
        <v>0</v>
      </c>
      <c r="BB423" s="144">
        <f>VLOOKUP(B423,Precificação!$B$96:$BW$533,62,0)</f>
        <v>0</v>
      </c>
      <c r="BC423" s="144">
        <f t="shared" si="354"/>
        <v>0</v>
      </c>
      <c r="BD423" s="109">
        <f>IFERROR(VLOOKUP(B423,Precificação!$B$96:$S$533,13,0),0)</f>
        <v>0</v>
      </c>
      <c r="BE423" s="109">
        <f>IFERROR(VLOOKUP(B423,Precificação!$B$96:$U$533,15,0)/(Precificação!$U$4+Precificação!$U$91),0)*Dashboard!$T$3</f>
        <v>0</v>
      </c>
    </row>
    <row r="424" spans="2:57" ht="12" customHeight="1" outlineLevel="1">
      <c r="B424" s="137" t="str">
        <f>Precificação!B416</f>
        <v>TEC III - Equipe_01</v>
      </c>
      <c r="D424" s="512"/>
      <c r="E424" s="143" t="str">
        <f>IF('Cronog. e Histog.'!G561&gt;0,'Cronog. e Histog.'!G561,"")</f>
        <v>TEC III</v>
      </c>
      <c r="G424" s="179">
        <f t="shared" si="341"/>
        <v>0</v>
      </c>
      <c r="H424" s="110">
        <f>IFERROR(INDEX('Base Salarial'!$D$5:$F$25,MATCH(E424,'Base Salarial'!$G$5:$G$25,0),MATCH(I424,'Base Salarial'!$D$4:$F$4,0)),"")</f>
        <v>6000</v>
      </c>
      <c r="I424" s="78" t="str">
        <f>IFERROR(INDEX(Tarefas!$BQ$29:$FK$29,MATCH(E424,Tarefas!$BQ$30:$FK$30,0)),"")</f>
        <v>Mensalista</v>
      </c>
      <c r="J424" s="81">
        <f>IF(I424="horista",H424*Dashboard!$D$15,IF(OR(I424="Mensalista",I424="PJ"),H424,))</f>
        <v>6000</v>
      </c>
      <c r="K424" s="81">
        <f>IF(I424="PJ",J424,ROUND(J424*(1+Dashboard!$D$22),2))</f>
        <v>6360</v>
      </c>
      <c r="L424" s="77"/>
      <c r="M424" s="180"/>
      <c r="P424" s="109">
        <f>IF($BD424&gt;0,(((($BD424/Dashboard!$D$15)*(1+Precificação!$W$589)))+$P$26)*(1+Dashboard!$D$35),0)</f>
        <v>0</v>
      </c>
      <c r="Q424" s="109">
        <f>IF($BD424&gt;0,(((($BD424/Dashboard!$D$23)+(1+Precificação!$W$589))*(1+Q$28))+$P$26)*(1+Dashboard!$D$35),0)</f>
        <v>0</v>
      </c>
      <c r="R424" s="109">
        <f>IF($BD424&gt;0,(((($BD424/Dashboard!$D$23)+(1+Precificação!$W$589))*(1+R$28))+$P$26)*(1+Dashboard!$D$35),0)</f>
        <v>0</v>
      </c>
      <c r="S424" s="109">
        <f>IF($BD424&gt;0,(((($BD424/Dashboard!$D$23)+(1+Precificação!$W$589))*(1+S$28))+$P$26)*(1+Dashboard!$D$35),0)</f>
        <v>0</v>
      </c>
      <c r="U424" s="109">
        <f t="shared" si="342"/>
        <v>0</v>
      </c>
      <c r="V424" s="109">
        <f t="shared" si="343"/>
        <v>0</v>
      </c>
      <c r="W424" s="109">
        <f t="shared" si="344"/>
        <v>0</v>
      </c>
      <c r="X424" s="109">
        <f t="shared" si="345"/>
        <v>0</v>
      </c>
      <c r="AA424" s="109">
        <f>IF($BD424&gt;0,(((($BD424/Dashboard!$D$23)*(1+Precificação!$W$589)))+$AA$26)*(1+Dashboard!$D$35),0)</f>
        <v>0</v>
      </c>
      <c r="AB424" s="109">
        <f>IF($BD424&gt;0,(((($BD424/Dashboard!$D$23)*(1+Precificação!$W$589))*(1+AB$28))+$AA$26)*(1+Dashboard!$D$35),0)</f>
        <v>0</v>
      </c>
      <c r="AC424" s="109">
        <f>IF($BD424&gt;0,(((($BD424/Dashboard!$D$23)*(1+Precificação!$W$589))*(1+AC$28))+$AA$26)*(1+Dashboard!$D$35),0)</f>
        <v>0</v>
      </c>
      <c r="AD424" s="109">
        <f>IF($BD424&gt;0,(((($BD424/Dashboard!$D$23)*(1+Precificação!$W$589))*(1+AD$28))+$AA$26)*(1+Dashboard!$D$35),0)</f>
        <v>0</v>
      </c>
      <c r="AF424" s="109">
        <f t="shared" si="346"/>
        <v>0</v>
      </c>
      <c r="AG424" s="109">
        <f t="shared" si="347"/>
        <v>0</v>
      </c>
      <c r="AH424" s="109">
        <f t="shared" si="348"/>
        <v>0</v>
      </c>
      <c r="AI424" s="109">
        <f t="shared" si="349"/>
        <v>0</v>
      </c>
      <c r="AL424" s="109">
        <f>IF($BD424&gt;0,(((($BD424/Dashboard!$D$23)*(1+Precificação!$W$589)))+$AL$26)*(1+Dashboard!$D$35),0)</f>
        <v>0</v>
      </c>
      <c r="AM424" s="109">
        <f>IF($BD424&gt;0,(((($BD424/Dashboard!$D$23)*(1+Precificação!$W$589))*(1+AM$28))+$AA$26)*(1+Dashboard!$D$35),0)</f>
        <v>0</v>
      </c>
      <c r="AN424" s="109">
        <f>IF($BD424&gt;0,(((($BD424/Dashboard!$D$23)*(1+Precificação!$W$589))*(1+AN$28))+$AA$26)*(1+Dashboard!$D$35),0)</f>
        <v>0</v>
      </c>
      <c r="AO424" s="109">
        <f>IF($BD424&gt;0,(((($BD424/Dashboard!$D$23)*(1+Precificação!$W$589))*(1+AO$28))+$AA$26)*(1+Dashboard!$D$35),0)</f>
        <v>0</v>
      </c>
      <c r="AQ424" s="109">
        <f t="shared" si="350"/>
        <v>0</v>
      </c>
      <c r="AR424" s="109">
        <f t="shared" si="351"/>
        <v>0</v>
      </c>
      <c r="AS424" s="109">
        <f t="shared" si="352"/>
        <v>0</v>
      </c>
      <c r="AT424" s="109">
        <f t="shared" si="353"/>
        <v>0</v>
      </c>
      <c r="AW424" s="144">
        <f>VLOOKUP(B424,'Cronog. e Histog.'!$B$213:$BT$688,71,0)</f>
        <v>0</v>
      </c>
      <c r="AX424" s="144">
        <f>VLOOKUP(B424,'Cronog. e Histog.'!$B$213:$BU$688,72,0)</f>
        <v>0</v>
      </c>
      <c r="AY424" s="144">
        <f>$AW424*$AX424*Dashboard!$D$15</f>
        <v>0</v>
      </c>
      <c r="AZ424" s="144">
        <f>VLOOKUP(B424,Precificação!$B$96:$BM$533,54,0)</f>
        <v>0</v>
      </c>
      <c r="BA424" s="144">
        <f>VLOOKUP(B424,Precificação!$B$96:$BR$533,58,0)</f>
        <v>0</v>
      </c>
      <c r="BB424" s="144">
        <f>VLOOKUP(B424,Precificação!$B$96:$BW$533,62,0)</f>
        <v>0</v>
      </c>
      <c r="BC424" s="144">
        <f t="shared" si="354"/>
        <v>0</v>
      </c>
      <c r="BD424" s="109">
        <f>IFERROR(VLOOKUP(B424,Precificação!$B$96:$S$533,13,0),0)</f>
        <v>0</v>
      </c>
      <c r="BE424" s="109">
        <f>IFERROR(VLOOKUP(B424,Precificação!$B$96:$U$533,15,0)/(Precificação!$U$4+Precificação!$U$91),0)*Dashboard!$T$3</f>
        <v>0</v>
      </c>
    </row>
    <row r="425" spans="2:57" ht="12" customHeight="1" outlineLevel="1">
      <c r="B425" s="137" t="str">
        <f>Precificação!B417</f>
        <v>TEC II - Equipe_01</v>
      </c>
      <c r="D425" s="512"/>
      <c r="E425" s="143" t="str">
        <f>IF('Cronog. e Histog.'!G562&gt;0,'Cronog. e Histog.'!G562,"")</f>
        <v>TEC II</v>
      </c>
      <c r="G425" s="179">
        <f t="shared" si="341"/>
        <v>0</v>
      </c>
      <c r="H425" s="110">
        <f>IFERROR(INDEX('Base Salarial'!$D$5:$F$25,MATCH(E425,'Base Salarial'!$G$5:$G$25,0),MATCH(I425,'Base Salarial'!$D$4:$F$4,0)),"")</f>
        <v>4500</v>
      </c>
      <c r="I425" s="78" t="str">
        <f>IFERROR(INDEX(Tarefas!$BQ$29:$FK$29,MATCH(E425,Tarefas!$BQ$30:$FK$30,0)),"")</f>
        <v>Mensalista</v>
      </c>
      <c r="J425" s="81">
        <f>IF(I425="horista",H425*Dashboard!$D$15,IF(OR(I425="Mensalista",I425="PJ"),H425,))</f>
        <v>4500</v>
      </c>
      <c r="K425" s="81">
        <f>IF(I425="PJ",J425,ROUND(J425*(1+Dashboard!$D$22),2))</f>
        <v>4770</v>
      </c>
      <c r="L425" s="77"/>
      <c r="M425" s="180"/>
      <c r="P425" s="109">
        <f>IF($BD425&gt;0,(((($BD425/Dashboard!$D$15)*(1+Precificação!$W$589)))+$P$26)*(1+Dashboard!$D$35),0)</f>
        <v>0</v>
      </c>
      <c r="Q425" s="109">
        <f>IF($BD425&gt;0,(((($BD425/Dashboard!$D$23)+(1+Precificação!$W$589))*(1+Q$28))+$P$26)*(1+Dashboard!$D$35),0)</f>
        <v>0</v>
      </c>
      <c r="R425" s="109">
        <f>IF($BD425&gt;0,(((($BD425/Dashboard!$D$23)+(1+Precificação!$W$589))*(1+R$28))+$P$26)*(1+Dashboard!$D$35),0)</f>
        <v>0</v>
      </c>
      <c r="S425" s="109">
        <f>IF($BD425&gt;0,(((($BD425/Dashboard!$D$23)+(1+Precificação!$W$589))*(1+S$28))+$P$26)*(1+Dashboard!$D$35),0)</f>
        <v>0</v>
      </c>
      <c r="U425" s="109">
        <f t="shared" si="342"/>
        <v>0</v>
      </c>
      <c r="V425" s="109">
        <f t="shared" si="343"/>
        <v>0</v>
      </c>
      <c r="W425" s="109">
        <f t="shared" si="344"/>
        <v>0</v>
      </c>
      <c r="X425" s="109">
        <f t="shared" si="345"/>
        <v>0</v>
      </c>
      <c r="AA425" s="109">
        <f>IF($BD425&gt;0,(((($BD425/Dashboard!$D$23)*(1+Precificação!$W$589)))+$AA$26)*(1+Dashboard!$D$35),0)</f>
        <v>0</v>
      </c>
      <c r="AB425" s="109">
        <f>IF($BD425&gt;0,(((($BD425/Dashboard!$D$23)*(1+Precificação!$W$589))*(1+AB$28))+$AA$26)*(1+Dashboard!$D$35),0)</f>
        <v>0</v>
      </c>
      <c r="AC425" s="109">
        <f>IF($BD425&gt;0,(((($BD425/Dashboard!$D$23)*(1+Precificação!$W$589))*(1+AC$28))+$AA$26)*(1+Dashboard!$D$35),0)</f>
        <v>0</v>
      </c>
      <c r="AD425" s="109">
        <f>IF($BD425&gt;0,(((($BD425/Dashboard!$D$23)*(1+Precificação!$W$589))*(1+AD$28))+$AA$26)*(1+Dashboard!$D$35),0)</f>
        <v>0</v>
      </c>
      <c r="AF425" s="109">
        <f t="shared" si="346"/>
        <v>0</v>
      </c>
      <c r="AG425" s="109">
        <f t="shared" si="347"/>
        <v>0</v>
      </c>
      <c r="AH425" s="109">
        <f t="shared" si="348"/>
        <v>0</v>
      </c>
      <c r="AI425" s="109">
        <f t="shared" si="349"/>
        <v>0</v>
      </c>
      <c r="AL425" s="109">
        <f>IF($BD425&gt;0,(((($BD425/Dashboard!$D$23)*(1+Precificação!$W$589)))+$AL$26)*(1+Dashboard!$D$35),0)</f>
        <v>0</v>
      </c>
      <c r="AM425" s="109">
        <f>IF($BD425&gt;0,(((($BD425/Dashboard!$D$23)*(1+Precificação!$W$589))*(1+AM$28))+$AA$26)*(1+Dashboard!$D$35),0)</f>
        <v>0</v>
      </c>
      <c r="AN425" s="109">
        <f>IF($BD425&gt;0,(((($BD425/Dashboard!$D$23)*(1+Precificação!$W$589))*(1+AN$28))+$AA$26)*(1+Dashboard!$D$35),0)</f>
        <v>0</v>
      </c>
      <c r="AO425" s="109">
        <f>IF($BD425&gt;0,(((($BD425/Dashboard!$D$23)*(1+Precificação!$W$589))*(1+AO$28))+$AA$26)*(1+Dashboard!$D$35),0)</f>
        <v>0</v>
      </c>
      <c r="AQ425" s="109">
        <f t="shared" si="350"/>
        <v>0</v>
      </c>
      <c r="AR425" s="109">
        <f t="shared" si="351"/>
        <v>0</v>
      </c>
      <c r="AS425" s="109">
        <f t="shared" si="352"/>
        <v>0</v>
      </c>
      <c r="AT425" s="109">
        <f t="shared" si="353"/>
        <v>0</v>
      </c>
      <c r="AW425" s="144">
        <f>VLOOKUP(B425,'Cronog. e Histog.'!$B$213:$BT$688,71,0)</f>
        <v>0</v>
      </c>
      <c r="AX425" s="144">
        <f>VLOOKUP(B425,'Cronog. e Histog.'!$B$213:$BU$688,72,0)</f>
        <v>0</v>
      </c>
      <c r="AY425" s="144">
        <f>$AW425*$AX425*Dashboard!$D$15</f>
        <v>0</v>
      </c>
      <c r="AZ425" s="144">
        <f>VLOOKUP(B425,Precificação!$B$96:$BM$533,54,0)</f>
        <v>0</v>
      </c>
      <c r="BA425" s="144">
        <f>VLOOKUP(B425,Precificação!$B$96:$BR$533,58,0)</f>
        <v>0</v>
      </c>
      <c r="BB425" s="144">
        <f>VLOOKUP(B425,Precificação!$B$96:$BW$533,62,0)</f>
        <v>0</v>
      </c>
      <c r="BC425" s="144">
        <f t="shared" si="354"/>
        <v>0</v>
      </c>
      <c r="BD425" s="109">
        <f>IFERROR(VLOOKUP(B425,Precificação!$B$96:$S$533,13,0),0)</f>
        <v>0</v>
      </c>
      <c r="BE425" s="109">
        <f>IFERROR(VLOOKUP(B425,Precificação!$B$96:$U$533,15,0)/(Precificação!$U$4+Precificação!$U$91),0)*Dashboard!$T$3</f>
        <v>0</v>
      </c>
    </row>
    <row r="426" spans="2:57" ht="12" customHeight="1" outlineLevel="1">
      <c r="B426" s="137" t="str">
        <f>Precificação!B418</f>
        <v>TEC I - Equipe_01</v>
      </c>
      <c r="D426" s="512"/>
      <c r="E426" s="143" t="str">
        <f>IF('Cronog. e Histog.'!G563&gt;0,'Cronog. e Histog.'!G563,"")</f>
        <v>TEC I</v>
      </c>
      <c r="G426" s="179">
        <f t="shared" si="341"/>
        <v>0</v>
      </c>
      <c r="H426" s="110">
        <f>IFERROR(INDEX('Base Salarial'!$D$5:$F$25,MATCH(E426,'Base Salarial'!$G$5:$G$25,0),MATCH(I426,'Base Salarial'!$D$4:$F$4,0)),"")</f>
        <v>3000</v>
      </c>
      <c r="I426" s="78" t="str">
        <f>IFERROR(INDEX(Tarefas!$BQ$29:$FK$29,MATCH(E426,Tarefas!$BQ$30:$FK$30,0)),"")</f>
        <v>Mensalista</v>
      </c>
      <c r="J426" s="81">
        <f>IF(I426="horista",H426*Dashboard!$D$15,IF(OR(I426="Mensalista",I426="PJ"),H426,))</f>
        <v>3000</v>
      </c>
      <c r="K426" s="81">
        <f>IF(I426="PJ",J426,ROUND(J426*(1+Dashboard!$D$22),2))</f>
        <v>3180</v>
      </c>
      <c r="L426" s="77"/>
      <c r="M426" s="180"/>
      <c r="P426" s="109">
        <f>IF($BD426&gt;0,(((($BD426/Dashboard!$D$15)*(1+Precificação!$W$589)))+$P$26)*(1+Dashboard!$D$35),0)</f>
        <v>0</v>
      </c>
      <c r="Q426" s="109">
        <f>IF($BD426&gt;0,(((($BD426/Dashboard!$D$23)+(1+Precificação!$W$589))*(1+Q$28))+$P$26)*(1+Dashboard!$D$35),0)</f>
        <v>0</v>
      </c>
      <c r="R426" s="109">
        <f>IF($BD426&gt;0,(((($BD426/Dashboard!$D$23)+(1+Precificação!$W$589))*(1+R$28))+$P$26)*(1+Dashboard!$D$35),0)</f>
        <v>0</v>
      </c>
      <c r="S426" s="109">
        <f>IF($BD426&gt;0,(((($BD426/Dashboard!$D$23)+(1+Precificação!$W$589))*(1+S$28))+$P$26)*(1+Dashboard!$D$35),0)</f>
        <v>0</v>
      </c>
      <c r="U426" s="109">
        <f t="shared" si="342"/>
        <v>0</v>
      </c>
      <c r="V426" s="109">
        <f t="shared" si="343"/>
        <v>0</v>
      </c>
      <c r="W426" s="109">
        <f t="shared" si="344"/>
        <v>0</v>
      </c>
      <c r="X426" s="109">
        <f t="shared" si="345"/>
        <v>0</v>
      </c>
      <c r="AA426" s="109">
        <f>IF($BD426&gt;0,(((($BD426/Dashboard!$D$23)*(1+Precificação!$W$589)))+$AA$26)*(1+Dashboard!$D$35),0)</f>
        <v>0</v>
      </c>
      <c r="AB426" s="109">
        <f>IF($BD426&gt;0,(((($BD426/Dashboard!$D$23)*(1+Precificação!$W$589))*(1+AB$28))+$AA$26)*(1+Dashboard!$D$35),0)</f>
        <v>0</v>
      </c>
      <c r="AC426" s="109">
        <f>IF($BD426&gt;0,(((($BD426/Dashboard!$D$23)*(1+Precificação!$W$589))*(1+AC$28))+$AA$26)*(1+Dashboard!$D$35),0)</f>
        <v>0</v>
      </c>
      <c r="AD426" s="109">
        <f>IF($BD426&gt;0,(((($BD426/Dashboard!$D$23)*(1+Precificação!$W$589))*(1+AD$28))+$AA$26)*(1+Dashboard!$D$35),0)</f>
        <v>0</v>
      </c>
      <c r="AF426" s="109">
        <f t="shared" si="346"/>
        <v>0</v>
      </c>
      <c r="AG426" s="109">
        <f t="shared" si="347"/>
        <v>0</v>
      </c>
      <c r="AH426" s="109">
        <f t="shared" si="348"/>
        <v>0</v>
      </c>
      <c r="AI426" s="109">
        <f t="shared" si="349"/>
        <v>0</v>
      </c>
      <c r="AL426" s="109">
        <f>IF($BD426&gt;0,(((($BD426/Dashboard!$D$23)*(1+Precificação!$W$589)))+$AL$26)*(1+Dashboard!$D$35),0)</f>
        <v>0</v>
      </c>
      <c r="AM426" s="109">
        <f>IF($BD426&gt;0,(((($BD426/Dashboard!$D$23)*(1+Precificação!$W$589))*(1+AM$28))+$AA$26)*(1+Dashboard!$D$35),0)</f>
        <v>0</v>
      </c>
      <c r="AN426" s="109">
        <f>IF($BD426&gt;0,(((($BD426/Dashboard!$D$23)*(1+Precificação!$W$589))*(1+AN$28))+$AA$26)*(1+Dashboard!$D$35),0)</f>
        <v>0</v>
      </c>
      <c r="AO426" s="109">
        <f>IF($BD426&gt;0,(((($BD426/Dashboard!$D$23)*(1+Precificação!$W$589))*(1+AO$28))+$AA$26)*(1+Dashboard!$D$35),0)</f>
        <v>0</v>
      </c>
      <c r="AQ426" s="109">
        <f t="shared" si="350"/>
        <v>0</v>
      </c>
      <c r="AR426" s="109">
        <f t="shared" si="351"/>
        <v>0</v>
      </c>
      <c r="AS426" s="109">
        <f t="shared" si="352"/>
        <v>0</v>
      </c>
      <c r="AT426" s="109">
        <f t="shared" si="353"/>
        <v>0</v>
      </c>
      <c r="AW426" s="144">
        <f>VLOOKUP(B426,'Cronog. e Histog.'!$B$213:$BT$688,71,0)</f>
        <v>0</v>
      </c>
      <c r="AX426" s="144">
        <f>VLOOKUP(B426,'Cronog. e Histog.'!$B$213:$BU$688,72,0)</f>
        <v>0</v>
      </c>
      <c r="AY426" s="144">
        <f>$AW426*$AX426*Dashboard!$D$15</f>
        <v>0</v>
      </c>
      <c r="AZ426" s="144">
        <f>VLOOKUP(B426,Precificação!$B$96:$BM$533,54,0)</f>
        <v>0</v>
      </c>
      <c r="BA426" s="144">
        <f>VLOOKUP(B426,Precificação!$B$96:$BR$533,58,0)</f>
        <v>0</v>
      </c>
      <c r="BB426" s="144">
        <f>VLOOKUP(B426,Precificação!$B$96:$BW$533,62,0)</f>
        <v>0</v>
      </c>
      <c r="BC426" s="144">
        <f t="shared" si="354"/>
        <v>0</v>
      </c>
      <c r="BD426" s="109">
        <f>IFERROR(VLOOKUP(B426,Precificação!$B$96:$S$533,13,0),0)</f>
        <v>0</v>
      </c>
      <c r="BE426" s="109">
        <f>IFERROR(VLOOKUP(B426,Precificação!$B$96:$U$533,15,0)/(Precificação!$U$4+Precificação!$U$91),0)*Dashboard!$T$3</f>
        <v>0</v>
      </c>
    </row>
    <row r="427" spans="2:57" ht="12" customHeight="1" outlineLevel="1">
      <c r="B427" s="137" t="str">
        <f>Precificação!B419</f>
        <v>AUX TEC - Equipe_01</v>
      </c>
      <c r="D427" s="512"/>
      <c r="E427" s="143" t="str">
        <f>IF('Cronog. e Histog.'!G564&gt;0,'Cronog. e Histog.'!G564,"")</f>
        <v>AUX TEC</v>
      </c>
      <c r="G427" s="179">
        <f t="shared" si="341"/>
        <v>0</v>
      </c>
      <c r="H427" s="110">
        <f>IFERROR(INDEX('Base Salarial'!$D$5:$F$25,MATCH(E427,'Base Salarial'!$G$5:$G$25,0),MATCH(I427,'Base Salarial'!$D$4:$F$4,0)),"")</f>
        <v>3500</v>
      </c>
      <c r="I427" s="78" t="str">
        <f>IFERROR(INDEX(Tarefas!$BQ$29:$FK$29,MATCH(E427,Tarefas!$BQ$30:$FK$30,0)),"")</f>
        <v>Mensalista</v>
      </c>
      <c r="J427" s="81">
        <f>IF(I427="horista",H427*Dashboard!$D$15,IF(OR(I427="Mensalista",I427="PJ"),H427,))</f>
        <v>3500</v>
      </c>
      <c r="K427" s="81">
        <f>IF(I427="PJ",J427,ROUND(J427*(1+Dashboard!$D$22),2))</f>
        <v>3710</v>
      </c>
      <c r="L427" s="77"/>
      <c r="M427" s="180"/>
      <c r="P427" s="109">
        <f>IF($BD427&gt;0,(((($BD427/Dashboard!$D$15)*(1+Precificação!$W$589)))+$P$26)*(1+Dashboard!$D$35),0)</f>
        <v>0</v>
      </c>
      <c r="Q427" s="109">
        <f>IF($BD427&gt;0,(((($BD427/Dashboard!$D$23)+(1+Precificação!$W$589))*(1+Q$28))+$P$26)*(1+Dashboard!$D$35),0)</f>
        <v>0</v>
      </c>
      <c r="R427" s="109">
        <f>IF($BD427&gt;0,(((($BD427/Dashboard!$D$23)+(1+Precificação!$W$589))*(1+R$28))+$P$26)*(1+Dashboard!$D$35),0)</f>
        <v>0</v>
      </c>
      <c r="S427" s="109">
        <f>IF($BD427&gt;0,(((($BD427/Dashboard!$D$23)+(1+Precificação!$W$589))*(1+S$28))+$P$26)*(1+Dashboard!$D$35),0)</f>
        <v>0</v>
      </c>
      <c r="U427" s="109">
        <f t="shared" si="342"/>
        <v>0</v>
      </c>
      <c r="V427" s="109">
        <f t="shared" si="343"/>
        <v>0</v>
      </c>
      <c r="W427" s="109">
        <f t="shared" si="344"/>
        <v>0</v>
      </c>
      <c r="X427" s="109">
        <f t="shared" si="345"/>
        <v>0</v>
      </c>
      <c r="AA427" s="109">
        <f>IF($BD427&gt;0,(((($BD427/Dashboard!$D$23)*(1+Precificação!$W$589)))+$AA$26)*(1+Dashboard!$D$35),0)</f>
        <v>0</v>
      </c>
      <c r="AB427" s="109">
        <f>IF($BD427&gt;0,(((($BD427/Dashboard!$D$23)*(1+Precificação!$W$589))*(1+AB$28))+$AA$26)*(1+Dashboard!$D$35),0)</f>
        <v>0</v>
      </c>
      <c r="AC427" s="109">
        <f>IF($BD427&gt;0,(((($BD427/Dashboard!$D$23)*(1+Precificação!$W$589))*(1+AC$28))+$AA$26)*(1+Dashboard!$D$35),0)</f>
        <v>0</v>
      </c>
      <c r="AD427" s="109">
        <f>IF($BD427&gt;0,(((($BD427/Dashboard!$D$23)*(1+Precificação!$W$589))*(1+AD$28))+$AA$26)*(1+Dashboard!$D$35),0)</f>
        <v>0</v>
      </c>
      <c r="AF427" s="109">
        <f t="shared" si="346"/>
        <v>0</v>
      </c>
      <c r="AG427" s="109">
        <f t="shared" si="347"/>
        <v>0</v>
      </c>
      <c r="AH427" s="109">
        <f t="shared" si="348"/>
        <v>0</v>
      </c>
      <c r="AI427" s="109">
        <f t="shared" si="349"/>
        <v>0</v>
      </c>
      <c r="AL427" s="109">
        <f>IF($BD427&gt;0,(((($BD427/Dashboard!$D$23)*(1+Precificação!$W$589)))+$AL$26)*(1+Dashboard!$D$35),0)</f>
        <v>0</v>
      </c>
      <c r="AM427" s="109">
        <f>IF($BD427&gt;0,(((($BD427/Dashboard!$D$23)*(1+Precificação!$W$589))*(1+AM$28))+$AA$26)*(1+Dashboard!$D$35),0)</f>
        <v>0</v>
      </c>
      <c r="AN427" s="109">
        <f>IF($BD427&gt;0,(((($BD427/Dashboard!$D$23)*(1+Precificação!$W$589))*(1+AN$28))+$AA$26)*(1+Dashboard!$D$35),0)</f>
        <v>0</v>
      </c>
      <c r="AO427" s="109">
        <f>IF($BD427&gt;0,(((($BD427/Dashboard!$D$23)*(1+Precificação!$W$589))*(1+AO$28))+$AA$26)*(1+Dashboard!$D$35),0)</f>
        <v>0</v>
      </c>
      <c r="AQ427" s="109">
        <f t="shared" si="350"/>
        <v>0</v>
      </c>
      <c r="AR427" s="109">
        <f t="shared" si="351"/>
        <v>0</v>
      </c>
      <c r="AS427" s="109">
        <f t="shared" si="352"/>
        <v>0</v>
      </c>
      <c r="AT427" s="109">
        <f t="shared" si="353"/>
        <v>0</v>
      </c>
      <c r="AW427" s="144">
        <f>VLOOKUP(B427,'Cronog. e Histog.'!$B$213:$BT$688,71,0)</f>
        <v>0</v>
      </c>
      <c r="AX427" s="144">
        <f>VLOOKUP(B427,'Cronog. e Histog.'!$B$213:$BU$688,72,0)</f>
        <v>0</v>
      </c>
      <c r="AY427" s="144">
        <f>$AW427*$AX427*Dashboard!$D$15</f>
        <v>0</v>
      </c>
      <c r="AZ427" s="144">
        <f>VLOOKUP(B427,Precificação!$B$96:$BM$533,54,0)</f>
        <v>0</v>
      </c>
      <c r="BA427" s="144">
        <f>VLOOKUP(B427,Precificação!$B$96:$BR$533,58,0)</f>
        <v>0</v>
      </c>
      <c r="BB427" s="144">
        <f>VLOOKUP(B427,Precificação!$B$96:$BW$533,62,0)</f>
        <v>0</v>
      </c>
      <c r="BC427" s="144">
        <f t="shared" si="354"/>
        <v>0</v>
      </c>
      <c r="BD427" s="109">
        <f>IFERROR(VLOOKUP(B427,Precificação!$B$96:$S$533,13,0),0)</f>
        <v>0</v>
      </c>
      <c r="BE427" s="109">
        <f>IFERROR(VLOOKUP(B427,Precificação!$B$96:$U$533,15,0)/(Precificação!$U$4+Precificação!$U$91),0)*Dashboard!$T$3</f>
        <v>0</v>
      </c>
    </row>
    <row r="428" spans="2:57" ht="12" customHeight="1" outlineLevel="1">
      <c r="B428" s="137" t="str">
        <f>Precificação!B420</f>
        <v>AUX ADM - Equipe_01</v>
      </c>
      <c r="D428" s="512"/>
      <c r="E428" s="143" t="str">
        <f>IF('Cronog. e Histog.'!G565&gt;0,'Cronog. e Histog.'!G565,"")</f>
        <v>AUX ADM</v>
      </c>
      <c r="G428" s="179">
        <f t="shared" si="341"/>
        <v>0</v>
      </c>
      <c r="H428" s="110">
        <f>IFERROR(INDEX('Base Salarial'!$D$5:$F$25,MATCH(E428,'Base Salarial'!$G$5:$G$25,0),MATCH(I428,'Base Salarial'!$D$4:$F$4,0)),"")</f>
        <v>1804</v>
      </c>
      <c r="I428" s="78" t="str">
        <f>IFERROR(INDEX(Tarefas!$BQ$29:$FK$29,MATCH(E428,Tarefas!$BQ$30:$FK$30,0)),"")</f>
        <v>Mensalista</v>
      </c>
      <c r="J428" s="81">
        <f>IF(I428="horista",H428*Dashboard!$D$15,IF(OR(I428="Mensalista",I428="PJ"),H428,))</f>
        <v>1804</v>
      </c>
      <c r="K428" s="81">
        <f>IF(I428="PJ",J428,ROUND(J428*(1+Dashboard!$D$22),2))</f>
        <v>1912.24</v>
      </c>
      <c r="L428" s="77"/>
      <c r="M428" s="180"/>
      <c r="P428" s="109">
        <f>IF($BD428&gt;0,(((($BD428/Dashboard!$D$15)*(1+Precificação!$W$589)))+$P$26)*(1+Dashboard!$D$35),0)</f>
        <v>0</v>
      </c>
      <c r="Q428" s="109">
        <f>IF($BD428&gt;0,(((($BD428/Dashboard!$D$23)+(1+Precificação!$W$589))*(1+Q$28))+$P$26)*(1+Dashboard!$D$35),0)</f>
        <v>0</v>
      </c>
      <c r="R428" s="109">
        <f>IF($BD428&gt;0,(((($BD428/Dashboard!$D$23)+(1+Precificação!$W$589))*(1+R$28))+$P$26)*(1+Dashboard!$D$35),0)</f>
        <v>0</v>
      </c>
      <c r="S428" s="109">
        <f>IF($BD428&gt;0,(((($BD428/Dashboard!$D$23)+(1+Precificação!$W$589))*(1+S$28))+$P$26)*(1+Dashboard!$D$35),0)</f>
        <v>0</v>
      </c>
      <c r="U428" s="109">
        <f t="shared" si="342"/>
        <v>0</v>
      </c>
      <c r="V428" s="109">
        <f t="shared" si="343"/>
        <v>0</v>
      </c>
      <c r="W428" s="109">
        <f t="shared" si="344"/>
        <v>0</v>
      </c>
      <c r="X428" s="109">
        <f t="shared" si="345"/>
        <v>0</v>
      </c>
      <c r="AA428" s="109">
        <f>IF($BD428&gt;0,(((($BD428/Dashboard!$D$23)*(1+Precificação!$W$589)))+$AA$26)*(1+Dashboard!$D$35),0)</f>
        <v>0</v>
      </c>
      <c r="AB428" s="109">
        <f>IF($BD428&gt;0,(((($BD428/Dashboard!$D$23)*(1+Precificação!$W$589))*(1+AB$28))+$AA$26)*(1+Dashboard!$D$35),0)</f>
        <v>0</v>
      </c>
      <c r="AC428" s="109">
        <f>IF($BD428&gt;0,(((($BD428/Dashboard!$D$23)*(1+Precificação!$W$589))*(1+AC$28))+$AA$26)*(1+Dashboard!$D$35),0)</f>
        <v>0</v>
      </c>
      <c r="AD428" s="109">
        <f>IF($BD428&gt;0,(((($BD428/Dashboard!$D$23)*(1+Precificação!$W$589))*(1+AD$28))+$AA$26)*(1+Dashboard!$D$35),0)</f>
        <v>0</v>
      </c>
      <c r="AF428" s="109">
        <f t="shared" si="346"/>
        <v>0</v>
      </c>
      <c r="AG428" s="109">
        <f t="shared" si="347"/>
        <v>0</v>
      </c>
      <c r="AH428" s="109">
        <f t="shared" si="348"/>
        <v>0</v>
      </c>
      <c r="AI428" s="109">
        <f t="shared" si="349"/>
        <v>0</v>
      </c>
      <c r="AL428" s="109">
        <f>IF($BD428&gt;0,(((($BD428/Dashboard!$D$23)*(1+Precificação!$W$589)))+$AL$26)*(1+Dashboard!$D$35),0)</f>
        <v>0</v>
      </c>
      <c r="AM428" s="109">
        <f>IF($BD428&gt;0,(((($BD428/Dashboard!$D$23)*(1+Precificação!$W$589))*(1+AM$28))+$AA$26)*(1+Dashboard!$D$35),0)</f>
        <v>0</v>
      </c>
      <c r="AN428" s="109">
        <f>IF($BD428&gt;0,(((($BD428/Dashboard!$D$23)*(1+Precificação!$W$589))*(1+AN$28))+$AA$26)*(1+Dashboard!$D$35),0)</f>
        <v>0</v>
      </c>
      <c r="AO428" s="109">
        <f>IF($BD428&gt;0,(((($BD428/Dashboard!$D$23)*(1+Precificação!$W$589))*(1+AO$28))+$AA$26)*(1+Dashboard!$D$35),0)</f>
        <v>0</v>
      </c>
      <c r="AQ428" s="109">
        <f t="shared" si="350"/>
        <v>0</v>
      </c>
      <c r="AR428" s="109">
        <f t="shared" si="351"/>
        <v>0</v>
      </c>
      <c r="AS428" s="109">
        <f t="shared" si="352"/>
        <v>0</v>
      </c>
      <c r="AT428" s="109">
        <f t="shared" si="353"/>
        <v>0</v>
      </c>
      <c r="AW428" s="144">
        <f>VLOOKUP(B428,'Cronog. e Histog.'!$B$213:$BT$688,71,0)</f>
        <v>0</v>
      </c>
      <c r="AX428" s="144">
        <f>VLOOKUP(B428,'Cronog. e Histog.'!$B$213:$BU$688,72,0)</f>
        <v>0</v>
      </c>
      <c r="AY428" s="144">
        <f>$AW428*$AX428*Dashboard!$D$15</f>
        <v>0</v>
      </c>
      <c r="AZ428" s="144">
        <f>VLOOKUP(B428,Precificação!$B$96:$BM$533,54,0)</f>
        <v>0</v>
      </c>
      <c r="BA428" s="144">
        <f>VLOOKUP(B428,Precificação!$B$96:$BR$533,58,0)</f>
        <v>0</v>
      </c>
      <c r="BB428" s="144">
        <f>VLOOKUP(B428,Precificação!$B$96:$BW$533,62,0)</f>
        <v>0</v>
      </c>
      <c r="BC428" s="144">
        <f t="shared" si="354"/>
        <v>0</v>
      </c>
      <c r="BD428" s="109">
        <f>IFERROR(VLOOKUP(B428,Precificação!$B$96:$S$533,13,0),0)</f>
        <v>0</v>
      </c>
      <c r="BE428" s="109">
        <f>IFERROR(VLOOKUP(B428,Precificação!$B$96:$U$533,15,0)/(Precificação!$U$4+Precificação!$U$91),0)*Dashboard!$T$3</f>
        <v>0</v>
      </c>
    </row>
    <row r="429" spans="2:57" ht="12" customHeight="1" outlineLevel="1">
      <c r="B429" s="137" t="str">
        <f>Precificação!B421</f>
        <v>EST - Equipe_01</v>
      </c>
      <c r="D429" s="512"/>
      <c r="E429" s="143" t="str">
        <f>IF('Cronog. e Histog.'!G566&gt;0,'Cronog. e Histog.'!G566,"")</f>
        <v>EST</v>
      </c>
      <c r="G429" s="179">
        <f t="shared" si="341"/>
        <v>0</v>
      </c>
      <c r="H429" s="110">
        <f>IFERROR(INDEX('Base Salarial'!$D$5:$F$25,MATCH(E429,'Base Salarial'!$G$5:$G$25,0),MATCH(I429,'Base Salarial'!$D$4:$F$4,0)),"")</f>
        <v>1633</v>
      </c>
      <c r="I429" s="78" t="str">
        <f>IFERROR(INDEX(Tarefas!$BQ$29:$FK$29,MATCH(E429,Tarefas!$BQ$30:$FK$30,0)),"")</f>
        <v>PJ</v>
      </c>
      <c r="J429" s="81">
        <f>IF(I429="horista",H429*Dashboard!$D$15,IF(OR(I429="Mensalista",I429="PJ"),H429,))</f>
        <v>1633</v>
      </c>
      <c r="K429" s="81">
        <f>IF(I429="PJ",J429,ROUND(J429*(1+Dashboard!$D$22),2))</f>
        <v>1633</v>
      </c>
      <c r="L429" s="77"/>
      <c r="M429" s="180"/>
      <c r="P429" s="109">
        <f>IF($BD429&gt;0,(((($BD429/Dashboard!$D$15)*(1+Precificação!$W$589)))+$P$26)*(1+Dashboard!$D$35),0)</f>
        <v>0</v>
      </c>
      <c r="Q429" s="109">
        <f>IF($BD429&gt;0,(((($BD429/Dashboard!$D$23)+(1+Precificação!$W$589))*(1+Q$28))+$P$26)*(1+Dashboard!$D$35),0)</f>
        <v>0</v>
      </c>
      <c r="R429" s="109">
        <f>IF($BD429&gt;0,(((($BD429/Dashboard!$D$23)+(1+Precificação!$W$589))*(1+R$28))+$P$26)*(1+Dashboard!$D$35),0)</f>
        <v>0</v>
      </c>
      <c r="S429" s="109">
        <f>IF($BD429&gt;0,(((($BD429/Dashboard!$D$23)+(1+Precificação!$W$589))*(1+S$28))+$P$26)*(1+Dashboard!$D$35),0)</f>
        <v>0</v>
      </c>
      <c r="U429" s="109">
        <f t="shared" si="342"/>
        <v>0</v>
      </c>
      <c r="V429" s="109">
        <f t="shared" si="343"/>
        <v>0</v>
      </c>
      <c r="W429" s="109">
        <f t="shared" si="344"/>
        <v>0</v>
      </c>
      <c r="X429" s="109">
        <f t="shared" si="345"/>
        <v>0</v>
      </c>
      <c r="AA429" s="109">
        <f>IF($BD429&gt;0,(((($BD429/Dashboard!$D$23)*(1+Precificação!$W$589)))+$AA$26)*(1+Dashboard!$D$35),0)</f>
        <v>0</v>
      </c>
      <c r="AB429" s="109">
        <f>IF($BD429&gt;0,(((($BD429/Dashboard!$D$23)*(1+Precificação!$W$589))*(1+AB$28))+$AA$26)*(1+Dashboard!$D$35),0)</f>
        <v>0</v>
      </c>
      <c r="AC429" s="109">
        <f>IF($BD429&gt;0,(((($BD429/Dashboard!$D$23)*(1+Precificação!$W$589))*(1+AC$28))+$AA$26)*(1+Dashboard!$D$35),0)</f>
        <v>0</v>
      </c>
      <c r="AD429" s="109">
        <f>IF($BD429&gt;0,(((($BD429/Dashboard!$D$23)*(1+Precificação!$W$589))*(1+AD$28))+$AA$26)*(1+Dashboard!$D$35),0)</f>
        <v>0</v>
      </c>
      <c r="AF429" s="109">
        <f t="shared" si="346"/>
        <v>0</v>
      </c>
      <c r="AG429" s="109">
        <f t="shared" si="347"/>
        <v>0</v>
      </c>
      <c r="AH429" s="109">
        <f t="shared" si="348"/>
        <v>0</v>
      </c>
      <c r="AI429" s="109">
        <f t="shared" si="349"/>
        <v>0</v>
      </c>
      <c r="AL429" s="109">
        <f>IF($BD429&gt;0,(((($BD429/Dashboard!$D$23)*(1+Precificação!$W$589)))+$AL$26)*(1+Dashboard!$D$35),0)</f>
        <v>0</v>
      </c>
      <c r="AM429" s="109">
        <f>IF($BD429&gt;0,(((($BD429/Dashboard!$D$23)*(1+Precificação!$W$589))*(1+AM$28))+$AA$26)*(1+Dashboard!$D$35),0)</f>
        <v>0</v>
      </c>
      <c r="AN429" s="109">
        <f>IF($BD429&gt;0,(((($BD429/Dashboard!$D$23)*(1+Precificação!$W$589))*(1+AN$28))+$AA$26)*(1+Dashboard!$D$35),0)</f>
        <v>0</v>
      </c>
      <c r="AO429" s="109">
        <f>IF($BD429&gt;0,(((($BD429/Dashboard!$D$23)*(1+Precificação!$W$589))*(1+AO$28))+$AA$26)*(1+Dashboard!$D$35),0)</f>
        <v>0</v>
      </c>
      <c r="AQ429" s="109">
        <f t="shared" si="350"/>
        <v>0</v>
      </c>
      <c r="AR429" s="109">
        <f t="shared" si="351"/>
        <v>0</v>
      </c>
      <c r="AS429" s="109">
        <f t="shared" si="352"/>
        <v>0</v>
      </c>
      <c r="AT429" s="109">
        <f t="shared" si="353"/>
        <v>0</v>
      </c>
      <c r="AW429" s="144">
        <f>VLOOKUP(B429,'Cronog. e Histog.'!$B$213:$BT$688,71,0)</f>
        <v>0</v>
      </c>
      <c r="AX429" s="144">
        <f>VLOOKUP(B429,'Cronog. e Histog.'!$B$213:$BU$688,72,0)</f>
        <v>0</v>
      </c>
      <c r="AY429" s="144">
        <f>$AW429*$AX429*Dashboard!$D$15</f>
        <v>0</v>
      </c>
      <c r="AZ429" s="144">
        <f>VLOOKUP(B429,Precificação!$B$96:$BM$533,54,0)</f>
        <v>0</v>
      </c>
      <c r="BA429" s="144">
        <f>VLOOKUP(B429,Precificação!$B$96:$BR$533,58,0)</f>
        <v>0</v>
      </c>
      <c r="BB429" s="144">
        <f>VLOOKUP(B429,Precificação!$B$96:$BW$533,62,0)</f>
        <v>0</v>
      </c>
      <c r="BC429" s="144">
        <f t="shared" si="354"/>
        <v>0</v>
      </c>
      <c r="BD429" s="109">
        <f>IFERROR(VLOOKUP(B429,Precificação!$B$96:$S$533,13,0),0)</f>
        <v>0</v>
      </c>
      <c r="BE429" s="109">
        <f>IFERROR(VLOOKUP(B429,Precificação!$B$96:$U$533,15,0)/(Precificação!$U$4+Precificação!$U$91),0)*Dashboard!$T$3</f>
        <v>0</v>
      </c>
    </row>
    <row r="430" spans="2:57" ht="12" customHeight="1" outlineLevel="1">
      <c r="B430" s="137" t="str">
        <f>Precificação!B422</f>
        <v>EST_II - Equipe_01</v>
      </c>
      <c r="D430" s="512"/>
      <c r="E430" s="143" t="str">
        <f>IF('Cronog. e Histog.'!G567&gt;0,'Cronog. e Histog.'!G567,"")</f>
        <v>EST_II</v>
      </c>
      <c r="G430" s="179">
        <f t="shared" si="341"/>
        <v>0</v>
      </c>
      <c r="H430" s="110">
        <f>IFERROR(INDEX('Base Salarial'!$D$5:$F$25,MATCH(E430,'Base Salarial'!$G$5:$G$25,0),MATCH(I430,'Base Salarial'!$D$4:$F$4,0)),"")</f>
        <v>1633</v>
      </c>
      <c r="I430" s="78" t="str">
        <f>IFERROR(INDEX(Tarefas!$BQ$29:$FK$29,MATCH(E430,Tarefas!$BQ$30:$FK$30,0)),"")</f>
        <v>PJ</v>
      </c>
      <c r="J430" s="81">
        <f>IF(I430="horista",H430*Dashboard!$D$15,IF(OR(I430="Mensalista",I430="PJ"),H430,))</f>
        <v>1633</v>
      </c>
      <c r="K430" s="81">
        <f>IF(I430="PJ",J430,ROUND(J430*(1+Dashboard!$D$22),2))</f>
        <v>1633</v>
      </c>
      <c r="L430" s="77"/>
      <c r="M430" s="180"/>
      <c r="P430" s="109">
        <f>IF($BD430&gt;0,(((($BD430/Dashboard!$D$15)*(1+Precificação!$W$589)))+$P$26)*(1+Dashboard!$D$35),0)</f>
        <v>0</v>
      </c>
      <c r="Q430" s="109">
        <f>IF($BD430&gt;0,(((($BD430/Dashboard!$D$23)+(1+Precificação!$W$589))*(1+Q$28))+$P$26)*(1+Dashboard!$D$35),0)</f>
        <v>0</v>
      </c>
      <c r="R430" s="109">
        <f>IF($BD430&gt;0,(((($BD430/Dashboard!$D$23)+(1+Precificação!$W$589))*(1+R$28))+$P$26)*(1+Dashboard!$D$35),0)</f>
        <v>0</v>
      </c>
      <c r="S430" s="109">
        <f>IF($BD430&gt;0,(((($BD430/Dashboard!$D$23)+(1+Precificação!$W$589))*(1+S$28))+$P$26)*(1+Dashboard!$D$35),0)</f>
        <v>0</v>
      </c>
      <c r="U430" s="109">
        <f t="shared" si="342"/>
        <v>0</v>
      </c>
      <c r="V430" s="109">
        <f t="shared" si="343"/>
        <v>0</v>
      </c>
      <c r="W430" s="109">
        <f t="shared" si="344"/>
        <v>0</v>
      </c>
      <c r="X430" s="109">
        <f t="shared" si="345"/>
        <v>0</v>
      </c>
      <c r="AA430" s="109">
        <f>IF($BD430&gt;0,(((($BD430/Dashboard!$D$23)*(1+Precificação!$W$589)))+$AA$26)*(1+Dashboard!$D$35),0)</f>
        <v>0</v>
      </c>
      <c r="AB430" s="109">
        <f>IF($BD430&gt;0,(((($BD430/Dashboard!$D$23)*(1+Precificação!$W$589))*(1+AB$28))+$AA$26)*(1+Dashboard!$D$35),0)</f>
        <v>0</v>
      </c>
      <c r="AC430" s="109">
        <f>IF($BD430&gt;0,(((($BD430/Dashboard!$D$23)*(1+Precificação!$W$589))*(1+AC$28))+$AA$26)*(1+Dashboard!$D$35),0)</f>
        <v>0</v>
      </c>
      <c r="AD430" s="109">
        <f>IF($BD430&gt;0,(((($BD430/Dashboard!$D$23)*(1+Precificação!$W$589))*(1+AD$28))+$AA$26)*(1+Dashboard!$D$35),0)</f>
        <v>0</v>
      </c>
      <c r="AF430" s="109">
        <f t="shared" si="346"/>
        <v>0</v>
      </c>
      <c r="AG430" s="109">
        <f t="shared" si="347"/>
        <v>0</v>
      </c>
      <c r="AH430" s="109">
        <f t="shared" si="348"/>
        <v>0</v>
      </c>
      <c r="AI430" s="109">
        <f t="shared" si="349"/>
        <v>0</v>
      </c>
      <c r="AL430" s="109">
        <f>IF($BD430&gt;0,(((($BD430/Dashboard!$D$23)*(1+Precificação!$W$589)))+$AL$26)*(1+Dashboard!$D$35),0)</f>
        <v>0</v>
      </c>
      <c r="AM430" s="109">
        <f>IF($BD430&gt;0,(((($BD430/Dashboard!$D$23)*(1+Precificação!$W$589))*(1+AM$28))+$AA$26)*(1+Dashboard!$D$35),0)</f>
        <v>0</v>
      </c>
      <c r="AN430" s="109">
        <f>IF($BD430&gt;0,(((($BD430/Dashboard!$D$23)*(1+Precificação!$W$589))*(1+AN$28))+$AA$26)*(1+Dashboard!$D$35),0)</f>
        <v>0</v>
      </c>
      <c r="AO430" s="109">
        <f>IF($BD430&gt;0,(((($BD430/Dashboard!$D$23)*(1+Precificação!$W$589))*(1+AO$28))+$AA$26)*(1+Dashboard!$D$35),0)</f>
        <v>0</v>
      </c>
      <c r="AQ430" s="109">
        <f t="shared" si="350"/>
        <v>0</v>
      </c>
      <c r="AR430" s="109">
        <f t="shared" si="351"/>
        <v>0</v>
      </c>
      <c r="AS430" s="109">
        <f t="shared" si="352"/>
        <v>0</v>
      </c>
      <c r="AT430" s="109">
        <f t="shared" si="353"/>
        <v>0</v>
      </c>
      <c r="AW430" s="144">
        <f>VLOOKUP(B430,'Cronog. e Histog.'!$B$213:$BT$688,71,0)</f>
        <v>0</v>
      </c>
      <c r="AX430" s="144">
        <f>VLOOKUP(B430,'Cronog. e Histog.'!$B$213:$BU$688,72,0)</f>
        <v>0</v>
      </c>
      <c r="AY430" s="144">
        <f>$AW430*$AX430*Dashboard!$D$15</f>
        <v>0</v>
      </c>
      <c r="AZ430" s="144">
        <f>VLOOKUP(B430,Precificação!$B$96:$BM$533,54,0)</f>
        <v>0</v>
      </c>
      <c r="BA430" s="144">
        <f>VLOOKUP(B430,Precificação!$B$96:$BR$533,58,0)</f>
        <v>0</v>
      </c>
      <c r="BB430" s="144">
        <f>VLOOKUP(B430,Precificação!$B$96:$BW$533,62,0)</f>
        <v>0</v>
      </c>
      <c r="BC430" s="144">
        <f t="shared" si="354"/>
        <v>0</v>
      </c>
      <c r="BD430" s="109">
        <f>IFERROR(VLOOKUP(B430,Precificação!$B$96:$S$533,13,0),0)</f>
        <v>0</v>
      </c>
      <c r="BE430" s="109">
        <f>IFERROR(VLOOKUP(B430,Precificação!$B$96:$U$533,15,0)/(Precificação!$U$4+Precificação!$U$91),0)*Dashboard!$T$3</f>
        <v>0</v>
      </c>
    </row>
    <row r="431" spans="2:57" ht="12" customHeight="1" outlineLevel="1">
      <c r="B431" s="137" t="str">
        <f>Precificação!B423</f>
        <v>EST_III - Equipe_01</v>
      </c>
      <c r="D431" s="512"/>
      <c r="E431" s="143" t="str">
        <f>IF('Cronog. e Histog.'!G568&gt;0,'Cronog. e Histog.'!G568,"")</f>
        <v>EST_III</v>
      </c>
      <c r="G431" s="179">
        <f t="shared" si="341"/>
        <v>0</v>
      </c>
      <c r="H431" s="110">
        <f>IFERROR(INDEX('Base Salarial'!$D$5:$F$25,MATCH(E431,'Base Salarial'!$G$5:$G$25,0),MATCH(I431,'Base Salarial'!$D$4:$F$4,0)),"")</f>
        <v>1633</v>
      </c>
      <c r="I431" s="78" t="str">
        <f>IFERROR(INDEX(Tarefas!$BQ$29:$FK$29,MATCH(E431,Tarefas!$BQ$30:$FK$30,0)),"")</f>
        <v>PJ</v>
      </c>
      <c r="J431" s="81">
        <f>IF(I431="horista",H431*Dashboard!$D$15,IF(OR(I431="Mensalista",I431="PJ"),H431,))</f>
        <v>1633</v>
      </c>
      <c r="K431" s="81">
        <f>IF(I431="PJ",J431,ROUND(J431*(1+Dashboard!$D$22),2))</f>
        <v>1633</v>
      </c>
      <c r="L431" s="77"/>
      <c r="M431" s="180"/>
      <c r="P431" s="109">
        <f>IF($BD431&gt;0,(((($BD431/Dashboard!$D$15)*(1+Precificação!$W$589)))+$P$26)*(1+Dashboard!$D$35),0)</f>
        <v>0</v>
      </c>
      <c r="Q431" s="109">
        <f>IF($BD431&gt;0,(((($BD431/Dashboard!$D$23)+(1+Precificação!$W$589))*(1+Q$28))+$P$26)*(1+Dashboard!$D$35),0)</f>
        <v>0</v>
      </c>
      <c r="R431" s="109">
        <f>IF($BD431&gt;0,(((($BD431/Dashboard!$D$23)+(1+Precificação!$W$589))*(1+R$28))+$P$26)*(1+Dashboard!$D$35),0)</f>
        <v>0</v>
      </c>
      <c r="S431" s="109">
        <f>IF($BD431&gt;0,(((($BD431/Dashboard!$D$23)+(1+Precificação!$W$589))*(1+S$28))+$P$26)*(1+Dashboard!$D$35),0)</f>
        <v>0</v>
      </c>
      <c r="U431" s="109">
        <f t="shared" si="342"/>
        <v>0</v>
      </c>
      <c r="V431" s="109">
        <f t="shared" si="343"/>
        <v>0</v>
      </c>
      <c r="W431" s="109">
        <f t="shared" si="344"/>
        <v>0</v>
      </c>
      <c r="X431" s="109">
        <f t="shared" si="345"/>
        <v>0</v>
      </c>
      <c r="AA431" s="109">
        <f>IF($BD431&gt;0,(((($BD431/Dashboard!$D$23)*(1+Precificação!$W$589)))+$AA$26)*(1+Dashboard!$D$35),0)</f>
        <v>0</v>
      </c>
      <c r="AB431" s="109">
        <f>IF($BD431&gt;0,(((($BD431/Dashboard!$D$23)*(1+Precificação!$W$589))*(1+AB$28))+$AA$26)*(1+Dashboard!$D$35),0)</f>
        <v>0</v>
      </c>
      <c r="AC431" s="109">
        <f>IF($BD431&gt;0,(((($BD431/Dashboard!$D$23)*(1+Precificação!$W$589))*(1+AC$28))+$AA$26)*(1+Dashboard!$D$35),0)</f>
        <v>0</v>
      </c>
      <c r="AD431" s="109">
        <f>IF($BD431&gt;0,(((($BD431/Dashboard!$D$23)*(1+Precificação!$W$589))*(1+AD$28))+$AA$26)*(1+Dashboard!$D$35),0)</f>
        <v>0</v>
      </c>
      <c r="AF431" s="109">
        <f t="shared" si="346"/>
        <v>0</v>
      </c>
      <c r="AG431" s="109">
        <f t="shared" si="347"/>
        <v>0</v>
      </c>
      <c r="AH431" s="109">
        <f t="shared" si="348"/>
        <v>0</v>
      </c>
      <c r="AI431" s="109">
        <f t="shared" si="349"/>
        <v>0</v>
      </c>
      <c r="AL431" s="109">
        <f>IF($BD431&gt;0,(((($BD431/Dashboard!$D$23)*(1+Precificação!$W$589)))+$AL$26)*(1+Dashboard!$D$35),0)</f>
        <v>0</v>
      </c>
      <c r="AM431" s="109">
        <f>IF($BD431&gt;0,(((($BD431/Dashboard!$D$23)*(1+Precificação!$W$589))*(1+AM$28))+$AA$26)*(1+Dashboard!$D$35),0)</f>
        <v>0</v>
      </c>
      <c r="AN431" s="109">
        <f>IF($BD431&gt;0,(((($BD431/Dashboard!$D$23)*(1+Precificação!$W$589))*(1+AN$28))+$AA$26)*(1+Dashboard!$D$35),0)</f>
        <v>0</v>
      </c>
      <c r="AO431" s="109">
        <f>IF($BD431&gt;0,(((($BD431/Dashboard!$D$23)*(1+Precificação!$W$589))*(1+AO$28))+$AA$26)*(1+Dashboard!$D$35),0)</f>
        <v>0</v>
      </c>
      <c r="AQ431" s="109">
        <f t="shared" si="350"/>
        <v>0</v>
      </c>
      <c r="AR431" s="109">
        <f t="shared" si="351"/>
        <v>0</v>
      </c>
      <c r="AS431" s="109">
        <f t="shared" si="352"/>
        <v>0</v>
      </c>
      <c r="AT431" s="109">
        <f t="shared" si="353"/>
        <v>0</v>
      </c>
      <c r="AW431" s="144">
        <f>VLOOKUP(B431,'Cronog. e Histog.'!$B$213:$BT$688,71,0)</f>
        <v>0</v>
      </c>
      <c r="AX431" s="144">
        <f>VLOOKUP(B431,'Cronog. e Histog.'!$B$213:$BU$688,72,0)</f>
        <v>0</v>
      </c>
      <c r="AY431" s="144">
        <f>$AW431*$AX431*Dashboard!$D$15</f>
        <v>0</v>
      </c>
      <c r="AZ431" s="144">
        <f>VLOOKUP(B431,Precificação!$B$96:$BM$533,54,0)</f>
        <v>0</v>
      </c>
      <c r="BA431" s="144">
        <f>VLOOKUP(B431,Precificação!$B$96:$BR$533,58,0)</f>
        <v>0</v>
      </c>
      <c r="BB431" s="144">
        <f>VLOOKUP(B431,Precificação!$B$96:$BW$533,62,0)</f>
        <v>0</v>
      </c>
      <c r="BC431" s="144">
        <f t="shared" si="354"/>
        <v>0</v>
      </c>
      <c r="BD431" s="109">
        <f>IFERROR(VLOOKUP(B431,Precificação!$B$96:$S$533,13,0),0)</f>
        <v>0</v>
      </c>
      <c r="BE431" s="109">
        <f>IFERROR(VLOOKUP(B431,Precificação!$B$96:$U$533,15,0)/(Precificação!$U$4+Precificação!$U$91),0)*Dashboard!$T$3</f>
        <v>0</v>
      </c>
    </row>
    <row r="432" spans="2:57" ht="12" customHeight="1" outlineLevel="1"/>
    <row r="433" spans="2:57" ht="12" customHeight="1" outlineLevel="1">
      <c r="B433" s="137" t="str">
        <f>Precificação!B426</f>
        <v>GER. (OBRA/PROJ) - Equipe_01</v>
      </c>
      <c r="D433" s="512" t="str">
        <f>'Cronog. e Histog.'!F571</f>
        <v>Equipe16</v>
      </c>
      <c r="E433" s="143" t="str">
        <f>IF('Cronog. e Histog.'!G573&gt;0,'Cronog. e Histog.'!G573,"")</f>
        <v>GER. (OBRA/PROJ)</v>
      </c>
      <c r="G433" s="179">
        <f t="shared" ref="G433" si="355">IF(AND((AW433*AX433)&gt;0,K433=0),1,0)</f>
        <v>0</v>
      </c>
      <c r="H433" s="110">
        <f>IFERROR(INDEX('Base Salarial'!$D$5:$F$25,MATCH(E433,'Base Salarial'!$G$5:$G$25,0),MATCH(I433,'Base Salarial'!$D$4:$F$4,0)),"")</f>
        <v>21000</v>
      </c>
      <c r="I433" s="78" t="str">
        <f>IFERROR(INDEX(Tarefas!$BQ$29:$FK$29,MATCH(E433,Tarefas!$BQ$30:$FK$30,0)),"")</f>
        <v>PJ</v>
      </c>
      <c r="J433" s="81">
        <f>IF(I433="horista",H433*Dashboard!$D$15,IF(OR(I433="Mensalista",I433="PJ"),H433,))</f>
        <v>21000</v>
      </c>
      <c r="K433" s="81">
        <f>IF(I433="PJ",J433,ROUND(J433*(1+Dashboard!$D$22),2))</f>
        <v>21000</v>
      </c>
      <c r="L433" s="77"/>
      <c r="M433" s="180"/>
      <c r="P433" s="109">
        <f>IF($BD433&gt;0,(((($BD433/Dashboard!$D$15)*(1+Precificação!$W$589)))+$P$26)*(1+Dashboard!$D$35),0)</f>
        <v>0</v>
      </c>
      <c r="Q433" s="109">
        <f>IF($BD433&gt;0,(((($BD433/Dashboard!$D$23)+(1+Precificação!$W$589))*(1+Q$28))+$P$26)*(1+Dashboard!$D$35),0)</f>
        <v>0</v>
      </c>
      <c r="R433" s="109">
        <f>IF($BD433&gt;0,(((($BD433/Dashboard!$D$23)+(1+Precificação!$W$589))*(1+R$28))+$P$26)*(1+Dashboard!$D$35),0)</f>
        <v>0</v>
      </c>
      <c r="S433" s="109">
        <f>IF($BD433&gt;0,(((($BD433/Dashboard!$D$23)+(1+Precificação!$W$589))*(1+S$28))+$P$26)*(1+Dashboard!$D$35),0)</f>
        <v>0</v>
      </c>
      <c r="U433" s="109">
        <f>IF(P433&gt;0,P433+U$32,0)</f>
        <v>0</v>
      </c>
      <c r="V433" s="109">
        <f t="shared" ref="V433:X433" si="356">IF(Q433&gt;0,Q433+V$32,0)</f>
        <v>0</v>
      </c>
      <c r="W433" s="109">
        <f t="shared" si="356"/>
        <v>0</v>
      </c>
      <c r="X433" s="109">
        <f t="shared" si="356"/>
        <v>0</v>
      </c>
      <c r="AA433" s="109">
        <f>IF($BD433&gt;0,(((($BD433/Dashboard!$D$23)*(1+Precificação!$W$589)))+$AA$26)*(1+Dashboard!$D$35),0)</f>
        <v>0</v>
      </c>
      <c r="AB433" s="109">
        <f>IF($BD433&gt;0,(((($BD433/Dashboard!$D$23)*(1+Precificação!$W$589))*(1+AB$28))+$AA$26)*(1+Dashboard!$D$35),0)</f>
        <v>0</v>
      </c>
      <c r="AC433" s="109">
        <f>IF($BD433&gt;0,(((($BD433/Dashboard!$D$23)*(1+Precificação!$W$589))*(1+AC$28))+$AA$26)*(1+Dashboard!$D$35),0)</f>
        <v>0</v>
      </c>
      <c r="AD433" s="109">
        <f>IF($BD433&gt;0,(((($BD433/Dashboard!$D$23)*(1+Precificação!$W$589))*(1+AD$28))+$AA$26)*(1+Dashboard!$D$35),0)</f>
        <v>0</v>
      </c>
      <c r="AF433" s="109">
        <f>IF(AA433&gt;0,AA433+AF$32,0)</f>
        <v>0</v>
      </c>
      <c r="AG433" s="109">
        <f t="shared" ref="AG433" si="357">IF(AB433&gt;0,AB433+AG$32,0)</f>
        <v>0</v>
      </c>
      <c r="AH433" s="109">
        <f t="shared" ref="AH433" si="358">IF(AC433&gt;0,AC433+AH$32,0)</f>
        <v>0</v>
      </c>
      <c r="AI433" s="109">
        <f t="shared" ref="AI433" si="359">IF(AD433&gt;0,AD433+AI$32,0)</f>
        <v>0</v>
      </c>
      <c r="AL433" s="109">
        <f>IF($BD433&gt;0,(((($BD433/Dashboard!$D$23)*(1+Precificação!$W$589)))+$AL$26)*(1+Dashboard!$D$35),0)</f>
        <v>0</v>
      </c>
      <c r="AM433" s="109">
        <f>IF($BD433&gt;0,(((($BD433/Dashboard!$D$23)*(1+Precificação!$W$589))*(1+AM$28))+$AA$26)*(1+Dashboard!$D$35),0)</f>
        <v>0</v>
      </c>
      <c r="AN433" s="109">
        <f>IF($BD433&gt;0,(((($BD433/Dashboard!$D$23)*(1+Precificação!$W$589))*(1+AN$28))+$AA$26)*(1+Dashboard!$D$35),0)</f>
        <v>0</v>
      </c>
      <c r="AO433" s="109">
        <f>IF($BD433&gt;0,(((($BD433/Dashboard!$D$23)*(1+Precificação!$W$589))*(1+AO$28))+$AA$26)*(1+Dashboard!$D$35),0)</f>
        <v>0</v>
      </c>
      <c r="AQ433" s="109">
        <f>IF(AL433&gt;0,AL433+AQ$32,0)</f>
        <v>0</v>
      </c>
      <c r="AR433" s="109">
        <f t="shared" ref="AR433" si="360">IF(AM433&gt;0,AM433+AR$32,0)</f>
        <v>0</v>
      </c>
      <c r="AS433" s="109">
        <f t="shared" ref="AS433" si="361">IF(AN433&gt;0,AN433+AS$32,0)</f>
        <v>0</v>
      </c>
      <c r="AT433" s="109">
        <f t="shared" ref="AT433" si="362">IF(AO433&gt;0,AO433+AT$32,0)</f>
        <v>0</v>
      </c>
      <c r="AW433" s="144">
        <f>VLOOKUP(B433,'Cronog. e Histog.'!$B$213:$BT$688,71,0)</f>
        <v>1.9999999999999997E-2</v>
      </c>
      <c r="AX433" s="144">
        <f>VLOOKUP(B433,'Cronog. e Histog.'!$B$213:$BU$688,72,0)</f>
        <v>10</v>
      </c>
      <c r="AY433" s="144">
        <f>$AW433*$AX433*Dashboard!$D$15</f>
        <v>38.72</v>
      </c>
      <c r="AZ433" s="144">
        <f>VLOOKUP(B433,Precificação!$B$96:$BM$533,54,0)</f>
        <v>0</v>
      </c>
      <c r="BA433" s="144">
        <f>VLOOKUP(B433,Precificação!$B$96:$BR$533,58,0)</f>
        <v>0</v>
      </c>
      <c r="BB433" s="144">
        <f>VLOOKUP(B433,Precificação!$B$96:$BW$533,62,0)</f>
        <v>0</v>
      </c>
      <c r="BC433" s="144">
        <f t="shared" ref="BC433" si="363">SUM(AY433:BB433)</f>
        <v>38.72</v>
      </c>
      <c r="BD433" s="109">
        <f>IFERROR(VLOOKUP(B433,Precificação!$B$96:$S$533,13,0),0)</f>
        <v>0</v>
      </c>
      <c r="BE433" s="109">
        <f>IFERROR(VLOOKUP(B433,Precificação!$B$96:$U$533,15,0)/(Precificação!$U$4+Precificação!$U$91),0)*Dashboard!$T$3</f>
        <v>0</v>
      </c>
    </row>
    <row r="434" spans="2:57" ht="12" customHeight="1" outlineLevel="1">
      <c r="B434" s="137" t="str">
        <f>Precificação!B427</f>
        <v>COORD. - Equipe_01</v>
      </c>
      <c r="D434" s="512"/>
      <c r="E434" s="143" t="str">
        <f>IF('Cronog. e Histog.'!G574&gt;0,'Cronog. e Histog.'!G574,"")</f>
        <v>COORD.</v>
      </c>
      <c r="G434" s="179">
        <f t="shared" ref="G434:G452" si="364">IF(AND((AW434*AX434)&gt;0,K434=0),1,0)</f>
        <v>0</v>
      </c>
      <c r="H434" s="110">
        <f>IFERROR(INDEX('Base Salarial'!$D$5:$F$25,MATCH(E434,'Base Salarial'!$G$5:$G$25,0),MATCH(I434,'Base Salarial'!$D$4:$F$4,0)),"")</f>
        <v>19000</v>
      </c>
      <c r="I434" s="78" t="str">
        <f>IFERROR(INDEX(Tarefas!$BQ$29:$FK$29,MATCH(E434,Tarefas!$BQ$30:$FK$30,0)),"")</f>
        <v>PJ</v>
      </c>
      <c r="J434" s="81">
        <f>IF(I434="horista",H434*Dashboard!$D$15,IF(OR(I434="Mensalista",I434="PJ"),H434,))</f>
        <v>19000</v>
      </c>
      <c r="K434" s="81">
        <f>IF(I434="PJ",J434,ROUND(J434*(1+Dashboard!$D$22),2))</f>
        <v>19000</v>
      </c>
      <c r="L434" s="77"/>
      <c r="M434" s="180"/>
      <c r="P434" s="109">
        <f>IF($BD434&gt;0,(((($BD434/Dashboard!$D$15)*(1+Precificação!$W$589)))+$P$26)*(1+Dashboard!$D$35),0)</f>
        <v>0</v>
      </c>
      <c r="Q434" s="109">
        <f>IF($BD434&gt;0,(((($BD434/Dashboard!$D$23)+(1+Precificação!$W$589))*(1+Q$28))+$P$26)*(1+Dashboard!$D$35),0)</f>
        <v>0</v>
      </c>
      <c r="R434" s="109">
        <f>IF($BD434&gt;0,(((($BD434/Dashboard!$D$23)+(1+Precificação!$W$589))*(1+R$28))+$P$26)*(1+Dashboard!$D$35),0)</f>
        <v>0</v>
      </c>
      <c r="S434" s="109">
        <f>IF($BD434&gt;0,(((($BD434/Dashboard!$D$23)+(1+Precificação!$W$589))*(1+S$28))+$P$26)*(1+Dashboard!$D$35),0)</f>
        <v>0</v>
      </c>
      <c r="U434" s="109">
        <f t="shared" ref="U434:U452" si="365">IF(P434&gt;0,P434+U$32,0)</f>
        <v>0</v>
      </c>
      <c r="V434" s="109">
        <f t="shared" ref="V434:V452" si="366">IF(Q434&gt;0,Q434+V$32,0)</f>
        <v>0</v>
      </c>
      <c r="W434" s="109">
        <f t="shared" ref="W434:W452" si="367">IF(R434&gt;0,R434+W$32,0)</f>
        <v>0</v>
      </c>
      <c r="X434" s="109">
        <f t="shared" ref="X434:X452" si="368">IF(S434&gt;0,S434+X$32,0)</f>
        <v>0</v>
      </c>
      <c r="AA434" s="109">
        <f>IF($BD434&gt;0,(((($BD434/Dashboard!$D$23)*(1+Precificação!$W$589)))+$AA$26)*(1+Dashboard!$D$35),0)</f>
        <v>0</v>
      </c>
      <c r="AB434" s="109">
        <f>IF($BD434&gt;0,(((($BD434/Dashboard!$D$23)*(1+Precificação!$W$589))*(1+AB$28))+$AA$26)*(1+Dashboard!$D$35),0)</f>
        <v>0</v>
      </c>
      <c r="AC434" s="109">
        <f>IF($BD434&gt;0,(((($BD434/Dashboard!$D$23)*(1+Precificação!$W$589))*(1+AC$28))+$AA$26)*(1+Dashboard!$D$35),0)</f>
        <v>0</v>
      </c>
      <c r="AD434" s="109">
        <f>IF($BD434&gt;0,(((($BD434/Dashboard!$D$23)*(1+Precificação!$W$589))*(1+AD$28))+$AA$26)*(1+Dashboard!$D$35),0)</f>
        <v>0</v>
      </c>
      <c r="AF434" s="109">
        <f t="shared" ref="AF434:AF452" si="369">IF(AA434&gt;0,AA434+AF$32,0)</f>
        <v>0</v>
      </c>
      <c r="AG434" s="109">
        <f t="shared" ref="AG434:AG452" si="370">IF(AB434&gt;0,AB434+AG$32,0)</f>
        <v>0</v>
      </c>
      <c r="AH434" s="109">
        <f t="shared" ref="AH434:AH452" si="371">IF(AC434&gt;0,AC434+AH$32,0)</f>
        <v>0</v>
      </c>
      <c r="AI434" s="109">
        <f t="shared" ref="AI434:AI452" si="372">IF(AD434&gt;0,AD434+AI$32,0)</f>
        <v>0</v>
      </c>
      <c r="AL434" s="109">
        <f>IF($BD434&gt;0,(((($BD434/Dashboard!$D$23)*(1+Precificação!$W$589)))+$AL$26)*(1+Dashboard!$D$35),0)</f>
        <v>0</v>
      </c>
      <c r="AM434" s="109">
        <f>IF($BD434&gt;0,(((($BD434/Dashboard!$D$23)*(1+Precificação!$W$589))*(1+AM$28))+$AA$26)*(1+Dashboard!$D$35),0)</f>
        <v>0</v>
      </c>
      <c r="AN434" s="109">
        <f>IF($BD434&gt;0,(((($BD434/Dashboard!$D$23)*(1+Precificação!$W$589))*(1+AN$28))+$AA$26)*(1+Dashboard!$D$35),0)</f>
        <v>0</v>
      </c>
      <c r="AO434" s="109">
        <f>IF($BD434&gt;0,(((($BD434/Dashboard!$D$23)*(1+Precificação!$W$589))*(1+AO$28))+$AA$26)*(1+Dashboard!$D$35),0)</f>
        <v>0</v>
      </c>
      <c r="AQ434" s="109">
        <f t="shared" ref="AQ434:AQ452" si="373">IF(AL434&gt;0,AL434+AQ$32,0)</f>
        <v>0</v>
      </c>
      <c r="AR434" s="109">
        <f t="shared" ref="AR434:AR452" si="374">IF(AM434&gt;0,AM434+AR$32,0)</f>
        <v>0</v>
      </c>
      <c r="AS434" s="109">
        <f t="shared" ref="AS434:AS452" si="375">IF(AN434&gt;0,AN434+AS$32,0)</f>
        <v>0</v>
      </c>
      <c r="AT434" s="109">
        <f t="shared" ref="AT434:AT452" si="376">IF(AO434&gt;0,AO434+AT$32,0)</f>
        <v>0</v>
      </c>
      <c r="AW434" s="144">
        <f>VLOOKUP(B434,'Cronog. e Histog.'!$B$213:$BT$688,71,0)</f>
        <v>1</v>
      </c>
      <c r="AX434" s="144">
        <f>VLOOKUP(B434,'Cronog. e Histog.'!$B$213:$BU$688,72,0)</f>
        <v>10</v>
      </c>
      <c r="AY434" s="144">
        <f>$AW434*$AX434*Dashboard!$D$15</f>
        <v>1936.0000000000002</v>
      </c>
      <c r="AZ434" s="144">
        <f>VLOOKUP(B434,Precificação!$B$96:$BM$533,54,0)</f>
        <v>0</v>
      </c>
      <c r="BA434" s="144">
        <f>VLOOKUP(B434,Precificação!$B$96:$BR$533,58,0)</f>
        <v>0</v>
      </c>
      <c r="BB434" s="144">
        <f>VLOOKUP(B434,Precificação!$B$96:$BW$533,62,0)</f>
        <v>0</v>
      </c>
      <c r="BC434" s="144">
        <f t="shared" ref="BC434:BC452" si="377">SUM(AY434:BB434)</f>
        <v>1936.0000000000002</v>
      </c>
      <c r="BD434" s="109">
        <f>IFERROR(VLOOKUP(B434,Precificação!$B$96:$S$533,13,0),0)</f>
        <v>0</v>
      </c>
      <c r="BE434" s="109">
        <f>IFERROR(VLOOKUP(B434,Precificação!$B$96:$U$533,15,0)/(Precificação!$U$4+Precificação!$U$91),0)*Dashboard!$T$3</f>
        <v>0</v>
      </c>
    </row>
    <row r="435" spans="2:57" ht="12" customHeight="1" outlineLevel="1">
      <c r="B435" s="137" t="str">
        <f>Precificação!B428</f>
        <v>SUP.-ESP - Equipe_01</v>
      </c>
      <c r="D435" s="512"/>
      <c r="E435" s="143" t="str">
        <f>IF('Cronog. e Histog.'!G575&gt;0,'Cronog. e Histog.'!G575,"")</f>
        <v>SUP.-ESP</v>
      </c>
      <c r="G435" s="179">
        <f t="shared" si="364"/>
        <v>0</v>
      </c>
      <c r="H435" s="110">
        <f>IFERROR(INDEX('Base Salarial'!$D$5:$F$25,MATCH(E435,'Base Salarial'!$G$5:$G$25,0),MATCH(I435,'Base Salarial'!$D$4:$F$4,0)),"")</f>
        <v>9166.6666666666679</v>
      </c>
      <c r="I435" s="78" t="str">
        <f>IFERROR(INDEX(Tarefas!$BQ$29:$FK$29,MATCH(E435,Tarefas!$BQ$30:$FK$30,0)),"")</f>
        <v>Mensalista</v>
      </c>
      <c r="J435" s="81">
        <f>IF(I435="horista",H435*Dashboard!$D$15,IF(OR(I435="Mensalista",I435="PJ"),H435,))</f>
        <v>9166.6666666666679</v>
      </c>
      <c r="K435" s="81">
        <f>IF(I435="PJ",J435,ROUND(J435*(1+Dashboard!$D$22),2))</f>
        <v>9716.67</v>
      </c>
      <c r="L435" s="77"/>
      <c r="M435" s="180"/>
      <c r="P435" s="109">
        <f>IF($BD435&gt;0,(((($BD435/Dashboard!$D$15)*(1+Precificação!$W$589)))+$P$26)*(1+Dashboard!$D$35),0)</f>
        <v>0</v>
      </c>
      <c r="Q435" s="109">
        <f>IF($BD435&gt;0,(((($BD435/Dashboard!$D$23)+(1+Precificação!$W$589))*(1+Q$28))+$P$26)*(1+Dashboard!$D$35),0)</f>
        <v>0</v>
      </c>
      <c r="R435" s="109">
        <f>IF($BD435&gt;0,(((($BD435/Dashboard!$D$23)+(1+Precificação!$W$589))*(1+R$28))+$P$26)*(1+Dashboard!$D$35),0)</f>
        <v>0</v>
      </c>
      <c r="S435" s="109">
        <f>IF($BD435&gt;0,(((($BD435/Dashboard!$D$23)+(1+Precificação!$W$589))*(1+S$28))+$P$26)*(1+Dashboard!$D$35),0)</f>
        <v>0</v>
      </c>
      <c r="U435" s="109">
        <f t="shared" si="365"/>
        <v>0</v>
      </c>
      <c r="V435" s="109">
        <f t="shared" si="366"/>
        <v>0</v>
      </c>
      <c r="W435" s="109">
        <f t="shared" si="367"/>
        <v>0</v>
      </c>
      <c r="X435" s="109">
        <f t="shared" si="368"/>
        <v>0</v>
      </c>
      <c r="AA435" s="109">
        <f>IF($BD435&gt;0,(((($BD435/Dashboard!$D$23)*(1+Precificação!$W$589)))+$AA$26)*(1+Dashboard!$D$35),0)</f>
        <v>0</v>
      </c>
      <c r="AB435" s="109">
        <f>IF($BD435&gt;0,(((($BD435/Dashboard!$D$23)*(1+Precificação!$W$589))*(1+AB$28))+$AA$26)*(1+Dashboard!$D$35),0)</f>
        <v>0</v>
      </c>
      <c r="AC435" s="109">
        <f>IF($BD435&gt;0,(((($BD435/Dashboard!$D$23)*(1+Precificação!$W$589))*(1+AC$28))+$AA$26)*(1+Dashboard!$D$35),0)</f>
        <v>0</v>
      </c>
      <c r="AD435" s="109">
        <f>IF($BD435&gt;0,(((($BD435/Dashboard!$D$23)*(1+Precificação!$W$589))*(1+AD$28))+$AA$26)*(1+Dashboard!$D$35),0)</f>
        <v>0</v>
      </c>
      <c r="AF435" s="109">
        <f t="shared" si="369"/>
        <v>0</v>
      </c>
      <c r="AG435" s="109">
        <f t="shared" si="370"/>
        <v>0</v>
      </c>
      <c r="AH435" s="109">
        <f t="shared" si="371"/>
        <v>0</v>
      </c>
      <c r="AI435" s="109">
        <f t="shared" si="372"/>
        <v>0</v>
      </c>
      <c r="AL435" s="109">
        <f>IF($BD435&gt;0,(((($BD435/Dashboard!$D$23)*(1+Precificação!$W$589)))+$AL$26)*(1+Dashboard!$D$35),0)</f>
        <v>0</v>
      </c>
      <c r="AM435" s="109">
        <f>IF($BD435&gt;0,(((($BD435/Dashboard!$D$23)*(1+Precificação!$W$589))*(1+AM$28))+$AA$26)*(1+Dashboard!$D$35),0)</f>
        <v>0</v>
      </c>
      <c r="AN435" s="109">
        <f>IF($BD435&gt;0,(((($BD435/Dashboard!$D$23)*(1+Precificação!$W$589))*(1+AN$28))+$AA$26)*(1+Dashboard!$D$35),0)</f>
        <v>0</v>
      </c>
      <c r="AO435" s="109">
        <f>IF($BD435&gt;0,(((($BD435/Dashboard!$D$23)*(1+Precificação!$W$589))*(1+AO$28))+$AA$26)*(1+Dashboard!$D$35),0)</f>
        <v>0</v>
      </c>
      <c r="AQ435" s="109">
        <f t="shared" si="373"/>
        <v>0</v>
      </c>
      <c r="AR435" s="109">
        <f t="shared" si="374"/>
        <v>0</v>
      </c>
      <c r="AS435" s="109">
        <f t="shared" si="375"/>
        <v>0</v>
      </c>
      <c r="AT435" s="109">
        <f t="shared" si="376"/>
        <v>0</v>
      </c>
      <c r="AW435" s="144">
        <f>VLOOKUP(B435,'Cronog. e Histog.'!$B$213:$BT$688,71,0)</f>
        <v>0</v>
      </c>
      <c r="AX435" s="144">
        <f>VLOOKUP(B435,'Cronog. e Histog.'!$B$213:$BU$688,72,0)</f>
        <v>0</v>
      </c>
      <c r="AY435" s="144">
        <f>$AW435*$AX435*Dashboard!$D$15</f>
        <v>0</v>
      </c>
      <c r="AZ435" s="144">
        <f>VLOOKUP(B435,Precificação!$B$96:$BM$533,54,0)</f>
        <v>0</v>
      </c>
      <c r="BA435" s="144">
        <f>VLOOKUP(B435,Precificação!$B$96:$BR$533,58,0)</f>
        <v>0</v>
      </c>
      <c r="BB435" s="144">
        <f>VLOOKUP(B435,Precificação!$B$96:$BW$533,62,0)</f>
        <v>0</v>
      </c>
      <c r="BC435" s="144">
        <f t="shared" si="377"/>
        <v>0</v>
      </c>
      <c r="BD435" s="109">
        <f>IFERROR(VLOOKUP(B435,Precificação!$B$96:$S$533,13,0),0)</f>
        <v>0</v>
      </c>
      <c r="BE435" s="109">
        <f>IFERROR(VLOOKUP(B435,Precificação!$B$96:$U$533,15,0)/(Precificação!$U$4+Precificação!$U$91),0)*Dashboard!$T$3</f>
        <v>0</v>
      </c>
    </row>
    <row r="436" spans="2:57" ht="12" customHeight="1" outlineLevel="1">
      <c r="B436" s="137" t="str">
        <f>Precificação!B429</f>
        <v>ENG/ARQ SR. - Equipe_01</v>
      </c>
      <c r="D436" s="512"/>
      <c r="E436" s="143" t="str">
        <f>IF('Cronog. e Histog.'!G576&gt;0,'Cronog. e Histog.'!G576,"")</f>
        <v>ENG/ARQ SR.</v>
      </c>
      <c r="G436" s="179">
        <f t="shared" si="364"/>
        <v>0</v>
      </c>
      <c r="H436" s="110">
        <f>IFERROR(INDEX('Base Salarial'!$D$5:$F$25,MATCH(E436,'Base Salarial'!$G$5:$G$25,0),MATCH(I436,'Base Salarial'!$D$4:$F$4,0)),"")</f>
        <v>16000</v>
      </c>
      <c r="I436" s="78" t="str">
        <f>IFERROR(INDEX(Tarefas!$BQ$29:$FK$29,MATCH(E436,Tarefas!$BQ$30:$FK$30,0)),"")</f>
        <v>PJ</v>
      </c>
      <c r="J436" s="81">
        <f>IF(I436="horista",H436*Dashboard!$D$15,IF(OR(I436="Mensalista",I436="PJ"),H436,))</f>
        <v>16000</v>
      </c>
      <c r="K436" s="81">
        <f>IF(I436="PJ",J436,ROUND(J436*(1+Dashboard!$D$22),2))</f>
        <v>16000</v>
      </c>
      <c r="L436" s="77"/>
      <c r="M436" s="180"/>
      <c r="P436" s="109">
        <f>IF($BD436&gt;0,(((($BD436/Dashboard!$D$15)*(1+Precificação!$W$589)))+$P$26)*(1+Dashboard!$D$35),0)</f>
        <v>0</v>
      </c>
      <c r="Q436" s="109">
        <f>IF($BD436&gt;0,(((($BD436/Dashboard!$D$23)+(1+Precificação!$W$589))*(1+Q$28))+$P$26)*(1+Dashboard!$D$35),0)</f>
        <v>0</v>
      </c>
      <c r="R436" s="109">
        <f>IF($BD436&gt;0,(((($BD436/Dashboard!$D$23)+(1+Precificação!$W$589))*(1+R$28))+$P$26)*(1+Dashboard!$D$35),0)</f>
        <v>0</v>
      </c>
      <c r="S436" s="109">
        <f>IF($BD436&gt;0,(((($BD436/Dashboard!$D$23)+(1+Precificação!$W$589))*(1+S$28))+$P$26)*(1+Dashboard!$D$35),0)</f>
        <v>0</v>
      </c>
      <c r="U436" s="109">
        <f t="shared" si="365"/>
        <v>0</v>
      </c>
      <c r="V436" s="109">
        <f t="shared" si="366"/>
        <v>0</v>
      </c>
      <c r="W436" s="109">
        <f t="shared" si="367"/>
        <v>0</v>
      </c>
      <c r="X436" s="109">
        <f t="shared" si="368"/>
        <v>0</v>
      </c>
      <c r="AA436" s="109">
        <f>IF($BD436&gt;0,(((($BD436/Dashboard!$D$23)*(1+Precificação!$W$589)))+$AA$26)*(1+Dashboard!$D$35),0)</f>
        <v>0</v>
      </c>
      <c r="AB436" s="109">
        <f>IF($BD436&gt;0,(((($BD436/Dashboard!$D$23)*(1+Precificação!$W$589))*(1+AB$28))+$AA$26)*(1+Dashboard!$D$35),0)</f>
        <v>0</v>
      </c>
      <c r="AC436" s="109">
        <f>IF($BD436&gt;0,(((($BD436/Dashboard!$D$23)*(1+Precificação!$W$589))*(1+AC$28))+$AA$26)*(1+Dashboard!$D$35),0)</f>
        <v>0</v>
      </c>
      <c r="AD436" s="109">
        <f>IF($BD436&gt;0,(((($BD436/Dashboard!$D$23)*(1+Precificação!$W$589))*(1+AD$28))+$AA$26)*(1+Dashboard!$D$35),0)</f>
        <v>0</v>
      </c>
      <c r="AF436" s="109">
        <f t="shared" si="369"/>
        <v>0</v>
      </c>
      <c r="AG436" s="109">
        <f t="shared" si="370"/>
        <v>0</v>
      </c>
      <c r="AH436" s="109">
        <f t="shared" si="371"/>
        <v>0</v>
      </c>
      <c r="AI436" s="109">
        <f t="shared" si="372"/>
        <v>0</v>
      </c>
      <c r="AL436" s="109">
        <f>IF($BD436&gt;0,(((($BD436/Dashboard!$D$23)*(1+Precificação!$W$589)))+$AL$26)*(1+Dashboard!$D$35),0)</f>
        <v>0</v>
      </c>
      <c r="AM436" s="109">
        <f>IF($BD436&gt;0,(((($BD436/Dashboard!$D$23)*(1+Precificação!$W$589))*(1+AM$28))+$AA$26)*(1+Dashboard!$D$35),0)</f>
        <v>0</v>
      </c>
      <c r="AN436" s="109">
        <f>IF($BD436&gt;0,(((($BD436/Dashboard!$D$23)*(1+Precificação!$W$589))*(1+AN$28))+$AA$26)*(1+Dashboard!$D$35),0)</f>
        <v>0</v>
      </c>
      <c r="AO436" s="109">
        <f>IF($BD436&gt;0,(((($BD436/Dashboard!$D$23)*(1+Precificação!$W$589))*(1+AO$28))+$AA$26)*(1+Dashboard!$D$35),0)</f>
        <v>0</v>
      </c>
      <c r="AQ436" s="109">
        <f t="shared" si="373"/>
        <v>0</v>
      </c>
      <c r="AR436" s="109">
        <f t="shared" si="374"/>
        <v>0</v>
      </c>
      <c r="AS436" s="109">
        <f t="shared" si="375"/>
        <v>0</v>
      </c>
      <c r="AT436" s="109">
        <f t="shared" si="376"/>
        <v>0</v>
      </c>
      <c r="AW436" s="144">
        <f>VLOOKUP(B436,'Cronog. e Histog.'!$B$213:$BT$688,71,0)</f>
        <v>9.9999999999999985E-3</v>
      </c>
      <c r="AX436" s="144">
        <f>VLOOKUP(B436,'Cronog. e Histog.'!$B$213:$BU$688,72,0)</f>
        <v>10</v>
      </c>
      <c r="AY436" s="144">
        <f>$AW436*$AX436*Dashboard!$D$15</f>
        <v>19.36</v>
      </c>
      <c r="AZ436" s="144">
        <f>VLOOKUP(B436,Precificação!$B$96:$BM$533,54,0)</f>
        <v>0</v>
      </c>
      <c r="BA436" s="144">
        <f>VLOOKUP(B436,Precificação!$B$96:$BR$533,58,0)</f>
        <v>0</v>
      </c>
      <c r="BB436" s="144">
        <f>VLOOKUP(B436,Precificação!$B$96:$BW$533,62,0)</f>
        <v>0</v>
      </c>
      <c r="BC436" s="144">
        <f t="shared" si="377"/>
        <v>19.36</v>
      </c>
      <c r="BD436" s="109">
        <f>IFERROR(VLOOKUP(B436,Precificação!$B$96:$S$533,13,0),0)</f>
        <v>0</v>
      </c>
      <c r="BE436" s="109">
        <f>IFERROR(VLOOKUP(B436,Precificação!$B$96:$U$533,15,0)/(Precificação!$U$4+Precificação!$U$91),0)*Dashboard!$T$3</f>
        <v>0</v>
      </c>
    </row>
    <row r="437" spans="2:57" ht="12" customHeight="1" outlineLevel="1">
      <c r="B437" s="137" t="str">
        <f>Precificação!B430</f>
        <v>ENG/ARQ PL. - Equipe_01</v>
      </c>
      <c r="D437" s="512"/>
      <c r="E437" s="143" t="str">
        <f>IF('Cronog. e Histog.'!G577&gt;0,'Cronog. e Histog.'!G577,"")</f>
        <v>ENG/ARQ PL.</v>
      </c>
      <c r="G437" s="179">
        <f t="shared" si="364"/>
        <v>0</v>
      </c>
      <c r="H437" s="110">
        <f>IFERROR(INDEX('Base Salarial'!$D$5:$F$25,MATCH(E437,'Base Salarial'!$G$5:$G$25,0),MATCH(I437,'Base Salarial'!$D$4:$F$4,0)),"")</f>
        <v>14000</v>
      </c>
      <c r="I437" s="78" t="str">
        <f>IFERROR(INDEX(Tarefas!$BQ$29:$FK$29,MATCH(E437,Tarefas!$BQ$30:$FK$30,0)),"")</f>
        <v>PJ</v>
      </c>
      <c r="J437" s="81">
        <f>IF(I437="horista",H437*Dashboard!$D$15,IF(OR(I437="Mensalista",I437="PJ"),H437,))</f>
        <v>14000</v>
      </c>
      <c r="K437" s="81">
        <f>IF(I437="PJ",J437,ROUND(J437*(1+Dashboard!$D$22),2))</f>
        <v>14000</v>
      </c>
      <c r="L437" s="77"/>
      <c r="M437" s="180"/>
      <c r="P437" s="109">
        <f>IF($BD437&gt;0,(((($BD437/Dashboard!$D$15)*(1+Precificação!$W$589)))+$P$26)*(1+Dashboard!$D$35),0)</f>
        <v>0</v>
      </c>
      <c r="Q437" s="109">
        <f>IF($BD437&gt;0,(((($BD437/Dashboard!$D$23)+(1+Precificação!$W$589))*(1+Q$28))+$P$26)*(1+Dashboard!$D$35),0)</f>
        <v>0</v>
      </c>
      <c r="R437" s="109">
        <f>IF($BD437&gt;0,(((($BD437/Dashboard!$D$23)+(1+Precificação!$W$589))*(1+R$28))+$P$26)*(1+Dashboard!$D$35),0)</f>
        <v>0</v>
      </c>
      <c r="S437" s="109">
        <f>IF($BD437&gt;0,(((($BD437/Dashboard!$D$23)+(1+Precificação!$W$589))*(1+S$28))+$P$26)*(1+Dashboard!$D$35),0)</f>
        <v>0</v>
      </c>
      <c r="U437" s="109">
        <f t="shared" si="365"/>
        <v>0</v>
      </c>
      <c r="V437" s="109">
        <f t="shared" si="366"/>
        <v>0</v>
      </c>
      <c r="W437" s="109">
        <f t="shared" si="367"/>
        <v>0</v>
      </c>
      <c r="X437" s="109">
        <f t="shared" si="368"/>
        <v>0</v>
      </c>
      <c r="AA437" s="109">
        <f>IF($BD437&gt;0,(((($BD437/Dashboard!$D$23)*(1+Precificação!$W$589)))+$AA$26)*(1+Dashboard!$D$35),0)</f>
        <v>0</v>
      </c>
      <c r="AB437" s="109">
        <f>IF($BD437&gt;0,(((($BD437/Dashboard!$D$23)*(1+Precificação!$W$589))*(1+AB$28))+$AA$26)*(1+Dashboard!$D$35),0)</f>
        <v>0</v>
      </c>
      <c r="AC437" s="109">
        <f>IF($BD437&gt;0,(((($BD437/Dashboard!$D$23)*(1+Precificação!$W$589))*(1+AC$28))+$AA$26)*(1+Dashboard!$D$35),0)</f>
        <v>0</v>
      </c>
      <c r="AD437" s="109">
        <f>IF($BD437&gt;0,(((($BD437/Dashboard!$D$23)*(1+Precificação!$W$589))*(1+AD$28))+$AA$26)*(1+Dashboard!$D$35),0)</f>
        <v>0</v>
      </c>
      <c r="AF437" s="109">
        <f t="shared" si="369"/>
        <v>0</v>
      </c>
      <c r="AG437" s="109">
        <f t="shared" si="370"/>
        <v>0</v>
      </c>
      <c r="AH437" s="109">
        <f t="shared" si="371"/>
        <v>0</v>
      </c>
      <c r="AI437" s="109">
        <f t="shared" si="372"/>
        <v>0</v>
      </c>
      <c r="AL437" s="109">
        <f>IF($BD437&gt;0,(((($BD437/Dashboard!$D$23)*(1+Precificação!$W$589)))+$AL$26)*(1+Dashboard!$D$35),0)</f>
        <v>0</v>
      </c>
      <c r="AM437" s="109">
        <f>IF($BD437&gt;0,(((($BD437/Dashboard!$D$23)*(1+Precificação!$W$589))*(1+AM$28))+$AA$26)*(1+Dashboard!$D$35),0)</f>
        <v>0</v>
      </c>
      <c r="AN437" s="109">
        <f>IF($BD437&gt;0,(((($BD437/Dashboard!$D$23)*(1+Precificação!$W$589))*(1+AN$28))+$AA$26)*(1+Dashboard!$D$35),0)</f>
        <v>0</v>
      </c>
      <c r="AO437" s="109">
        <f>IF($BD437&gt;0,(((($BD437/Dashboard!$D$23)*(1+Precificação!$W$589))*(1+AO$28))+$AA$26)*(1+Dashboard!$D$35),0)</f>
        <v>0</v>
      </c>
      <c r="AQ437" s="109">
        <f t="shared" si="373"/>
        <v>0</v>
      </c>
      <c r="AR437" s="109">
        <f t="shared" si="374"/>
        <v>0</v>
      </c>
      <c r="AS437" s="109">
        <f t="shared" si="375"/>
        <v>0</v>
      </c>
      <c r="AT437" s="109">
        <f t="shared" si="376"/>
        <v>0</v>
      </c>
      <c r="AW437" s="144">
        <f>VLOOKUP(B437,'Cronog. e Histog.'!$B$213:$BT$688,71,0)</f>
        <v>0</v>
      </c>
      <c r="AX437" s="144">
        <f>VLOOKUP(B437,'Cronog. e Histog.'!$B$213:$BU$688,72,0)</f>
        <v>0</v>
      </c>
      <c r="AY437" s="144">
        <f>$AW437*$AX437*Dashboard!$D$15</f>
        <v>0</v>
      </c>
      <c r="AZ437" s="144">
        <f>VLOOKUP(B437,Precificação!$B$96:$BM$533,54,0)</f>
        <v>0</v>
      </c>
      <c r="BA437" s="144">
        <f>VLOOKUP(B437,Precificação!$B$96:$BR$533,58,0)</f>
        <v>0</v>
      </c>
      <c r="BB437" s="144">
        <f>VLOOKUP(B437,Precificação!$B$96:$BW$533,62,0)</f>
        <v>0</v>
      </c>
      <c r="BC437" s="144">
        <f t="shared" si="377"/>
        <v>0</v>
      </c>
      <c r="BD437" s="109">
        <f>IFERROR(VLOOKUP(B437,Precificação!$B$96:$S$533,13,0),0)</f>
        <v>0</v>
      </c>
      <c r="BE437" s="109">
        <f>IFERROR(VLOOKUP(B437,Precificação!$B$96:$U$533,15,0)/(Precificação!$U$4+Precificação!$U$91),0)*Dashboard!$T$3</f>
        <v>0</v>
      </c>
    </row>
    <row r="438" spans="2:57" ht="12" customHeight="1" outlineLevel="1">
      <c r="B438" s="137" t="str">
        <f>Precificação!B431</f>
        <v>ENG/ARQ JR. - Equipe_01</v>
      </c>
      <c r="D438" s="512"/>
      <c r="E438" s="143" t="str">
        <f>IF('Cronog. e Histog.'!G578&gt;0,'Cronog. e Histog.'!G578,"")</f>
        <v>ENG/ARQ JR.</v>
      </c>
      <c r="G438" s="179">
        <f t="shared" si="364"/>
        <v>0</v>
      </c>
      <c r="H438" s="110">
        <f>IFERROR(INDEX('Base Salarial'!$D$5:$F$25,MATCH(E438,'Base Salarial'!$G$5:$G$25,0),MATCH(I438,'Base Salarial'!$D$4:$F$4,0)),"")</f>
        <v>14000</v>
      </c>
      <c r="I438" s="78" t="str">
        <f>IFERROR(INDEX(Tarefas!$BQ$29:$FK$29,MATCH(E438,Tarefas!$BQ$30:$FK$30,0)),"")</f>
        <v>PJ</v>
      </c>
      <c r="J438" s="81">
        <f>IF(I438="horista",H438*Dashboard!$D$15,IF(OR(I438="Mensalista",I438="PJ"),H438,))</f>
        <v>14000</v>
      </c>
      <c r="K438" s="81">
        <f>IF(I438="PJ",J438,ROUND(J438*(1+Dashboard!$D$22),2))</f>
        <v>14000</v>
      </c>
      <c r="L438" s="77"/>
      <c r="M438" s="180"/>
      <c r="P438" s="109">
        <f>IF($BD438&gt;0,(((($BD438/Dashboard!$D$15)*(1+Precificação!$W$589)))+$P$26)*(1+Dashboard!$D$35),0)</f>
        <v>0</v>
      </c>
      <c r="Q438" s="109">
        <f>IF($BD438&gt;0,(((($BD438/Dashboard!$D$23)+(1+Precificação!$W$589))*(1+Q$28))+$P$26)*(1+Dashboard!$D$35),0)</f>
        <v>0</v>
      </c>
      <c r="R438" s="109">
        <f>IF($BD438&gt;0,(((($BD438/Dashboard!$D$23)+(1+Precificação!$W$589))*(1+R$28))+$P$26)*(1+Dashboard!$D$35),0)</f>
        <v>0</v>
      </c>
      <c r="S438" s="109">
        <f>IF($BD438&gt;0,(((($BD438/Dashboard!$D$23)+(1+Precificação!$W$589))*(1+S$28))+$P$26)*(1+Dashboard!$D$35),0)</f>
        <v>0</v>
      </c>
      <c r="U438" s="109">
        <f t="shared" si="365"/>
        <v>0</v>
      </c>
      <c r="V438" s="109">
        <f t="shared" si="366"/>
        <v>0</v>
      </c>
      <c r="W438" s="109">
        <f t="shared" si="367"/>
        <v>0</v>
      </c>
      <c r="X438" s="109">
        <f t="shared" si="368"/>
        <v>0</v>
      </c>
      <c r="AA438" s="109">
        <f>IF($BD438&gt;0,(((($BD438/Dashboard!$D$23)*(1+Precificação!$W$589)))+$AA$26)*(1+Dashboard!$D$35),0)</f>
        <v>0</v>
      </c>
      <c r="AB438" s="109">
        <f>IF($BD438&gt;0,(((($BD438/Dashboard!$D$23)*(1+Precificação!$W$589))*(1+AB$28))+$AA$26)*(1+Dashboard!$D$35),0)</f>
        <v>0</v>
      </c>
      <c r="AC438" s="109">
        <f>IF($BD438&gt;0,(((($BD438/Dashboard!$D$23)*(1+Precificação!$W$589))*(1+AC$28))+$AA$26)*(1+Dashboard!$D$35),0)</f>
        <v>0</v>
      </c>
      <c r="AD438" s="109">
        <f>IF($BD438&gt;0,(((($BD438/Dashboard!$D$23)*(1+Precificação!$W$589))*(1+AD$28))+$AA$26)*(1+Dashboard!$D$35),0)</f>
        <v>0</v>
      </c>
      <c r="AF438" s="109">
        <f t="shared" si="369"/>
        <v>0</v>
      </c>
      <c r="AG438" s="109">
        <f t="shared" si="370"/>
        <v>0</v>
      </c>
      <c r="AH438" s="109">
        <f t="shared" si="371"/>
        <v>0</v>
      </c>
      <c r="AI438" s="109">
        <f t="shared" si="372"/>
        <v>0</v>
      </c>
      <c r="AL438" s="109">
        <f>IF($BD438&gt;0,(((($BD438/Dashboard!$D$23)*(1+Precificação!$W$589)))+$AL$26)*(1+Dashboard!$D$35),0)</f>
        <v>0</v>
      </c>
      <c r="AM438" s="109">
        <f>IF($BD438&gt;0,(((($BD438/Dashboard!$D$23)*(1+Precificação!$W$589))*(1+AM$28))+$AA$26)*(1+Dashboard!$D$35),0)</f>
        <v>0</v>
      </c>
      <c r="AN438" s="109">
        <f>IF($BD438&gt;0,(((($BD438/Dashboard!$D$23)*(1+Precificação!$W$589))*(1+AN$28))+$AA$26)*(1+Dashboard!$D$35),0)</f>
        <v>0</v>
      </c>
      <c r="AO438" s="109">
        <f>IF($BD438&gt;0,(((($BD438/Dashboard!$D$23)*(1+Precificação!$W$589))*(1+AO$28))+$AA$26)*(1+Dashboard!$D$35),0)</f>
        <v>0</v>
      </c>
      <c r="AQ438" s="109">
        <f t="shared" si="373"/>
        <v>0</v>
      </c>
      <c r="AR438" s="109">
        <f t="shared" si="374"/>
        <v>0</v>
      </c>
      <c r="AS438" s="109">
        <f t="shared" si="375"/>
        <v>0</v>
      </c>
      <c r="AT438" s="109">
        <f t="shared" si="376"/>
        <v>0</v>
      </c>
      <c r="AW438" s="144">
        <f>VLOOKUP(B438,'Cronog. e Histog.'!$B$213:$BT$688,71,0)</f>
        <v>0</v>
      </c>
      <c r="AX438" s="144">
        <f>VLOOKUP(B438,'Cronog. e Histog.'!$B$213:$BU$688,72,0)</f>
        <v>0</v>
      </c>
      <c r="AY438" s="144">
        <f>$AW438*$AX438*Dashboard!$D$15</f>
        <v>0</v>
      </c>
      <c r="AZ438" s="144">
        <f>VLOOKUP(B438,Precificação!$B$96:$BM$533,54,0)</f>
        <v>0</v>
      </c>
      <c r="BA438" s="144">
        <f>VLOOKUP(B438,Precificação!$B$96:$BR$533,58,0)</f>
        <v>0</v>
      </c>
      <c r="BB438" s="144">
        <f>VLOOKUP(B438,Precificação!$B$96:$BW$533,62,0)</f>
        <v>0</v>
      </c>
      <c r="BC438" s="144">
        <f t="shared" si="377"/>
        <v>0</v>
      </c>
      <c r="BD438" s="109">
        <f>IFERROR(VLOOKUP(B438,Precificação!$B$96:$S$533,13,0),0)</f>
        <v>0</v>
      </c>
      <c r="BE438" s="109">
        <f>IFERROR(VLOOKUP(B438,Precificação!$B$96:$U$533,15,0)/(Precificação!$U$4+Precificação!$U$91),0)*Dashboard!$T$3</f>
        <v>0</v>
      </c>
    </row>
    <row r="439" spans="2:57" ht="12" customHeight="1" outlineLevel="1">
      <c r="B439" s="137" t="str">
        <f>Precificação!B432</f>
        <v>AN SR. ENG/ARQ - Equipe_01</v>
      </c>
      <c r="D439" s="512"/>
      <c r="E439" s="143" t="str">
        <f>IF('Cronog. e Histog.'!G579&gt;0,'Cronog. e Histog.'!G579,"")</f>
        <v>AN SR. ENG/ARQ</v>
      </c>
      <c r="G439" s="179">
        <f t="shared" si="364"/>
        <v>0</v>
      </c>
      <c r="H439" s="110">
        <f>IFERROR(INDEX('Base Salarial'!$D$5:$F$25,MATCH(E439,'Base Salarial'!$G$5:$G$25,0),MATCH(I439,'Base Salarial'!$D$4:$F$4,0)),"")</f>
        <v>7500</v>
      </c>
      <c r="I439" s="78" t="str">
        <f>IFERROR(INDEX(Tarefas!$BQ$29:$FK$29,MATCH(E439,Tarefas!$BQ$30:$FK$30,0)),"")</f>
        <v>Mensalista</v>
      </c>
      <c r="J439" s="81">
        <f>IF(I439="horista",H439*Dashboard!$D$15,IF(OR(I439="Mensalista",I439="PJ"),H439,))</f>
        <v>7500</v>
      </c>
      <c r="K439" s="81">
        <f>IF(I439="PJ",J439,ROUND(J439*(1+Dashboard!$D$22),2))</f>
        <v>7950</v>
      </c>
      <c r="L439" s="77"/>
      <c r="M439" s="180"/>
      <c r="P439" s="109">
        <f>IF($BD439&gt;0,(((($BD439/Dashboard!$D$15)*(1+Precificação!$W$589)))+$P$26)*(1+Dashboard!$D$35),0)</f>
        <v>0</v>
      </c>
      <c r="Q439" s="109">
        <f>IF($BD439&gt;0,(((($BD439/Dashboard!$D$23)+(1+Precificação!$W$589))*(1+Q$28))+$P$26)*(1+Dashboard!$D$35),0)</f>
        <v>0</v>
      </c>
      <c r="R439" s="109">
        <f>IF($BD439&gt;0,(((($BD439/Dashboard!$D$23)+(1+Precificação!$W$589))*(1+R$28))+$P$26)*(1+Dashboard!$D$35),0)</f>
        <v>0</v>
      </c>
      <c r="S439" s="109">
        <f>IF($BD439&gt;0,(((($BD439/Dashboard!$D$23)+(1+Precificação!$W$589))*(1+S$28))+$P$26)*(1+Dashboard!$D$35),0)</f>
        <v>0</v>
      </c>
      <c r="U439" s="109">
        <f t="shared" si="365"/>
        <v>0</v>
      </c>
      <c r="V439" s="109">
        <f t="shared" si="366"/>
        <v>0</v>
      </c>
      <c r="W439" s="109">
        <f t="shared" si="367"/>
        <v>0</v>
      </c>
      <c r="X439" s="109">
        <f t="shared" si="368"/>
        <v>0</v>
      </c>
      <c r="AA439" s="109">
        <f>IF($BD439&gt;0,(((($BD439/Dashboard!$D$23)*(1+Precificação!$W$589)))+$AA$26)*(1+Dashboard!$D$35),0)</f>
        <v>0</v>
      </c>
      <c r="AB439" s="109">
        <f>IF($BD439&gt;0,(((($BD439/Dashboard!$D$23)*(1+Precificação!$W$589))*(1+AB$28))+$AA$26)*(1+Dashboard!$D$35),0)</f>
        <v>0</v>
      </c>
      <c r="AC439" s="109">
        <f>IF($BD439&gt;0,(((($BD439/Dashboard!$D$23)*(1+Precificação!$W$589))*(1+AC$28))+$AA$26)*(1+Dashboard!$D$35),0)</f>
        <v>0</v>
      </c>
      <c r="AD439" s="109">
        <f>IF($BD439&gt;0,(((($BD439/Dashboard!$D$23)*(1+Precificação!$W$589))*(1+AD$28))+$AA$26)*(1+Dashboard!$D$35),0)</f>
        <v>0</v>
      </c>
      <c r="AF439" s="109">
        <f t="shared" si="369"/>
        <v>0</v>
      </c>
      <c r="AG439" s="109">
        <f t="shared" si="370"/>
        <v>0</v>
      </c>
      <c r="AH439" s="109">
        <f t="shared" si="371"/>
        <v>0</v>
      </c>
      <c r="AI439" s="109">
        <f t="shared" si="372"/>
        <v>0</v>
      </c>
      <c r="AL439" s="109">
        <f>IF($BD439&gt;0,(((($BD439/Dashboard!$D$23)*(1+Precificação!$W$589)))+$AL$26)*(1+Dashboard!$D$35),0)</f>
        <v>0</v>
      </c>
      <c r="AM439" s="109">
        <f>IF($BD439&gt;0,(((($BD439/Dashboard!$D$23)*(1+Precificação!$W$589))*(1+AM$28))+$AA$26)*(1+Dashboard!$D$35),0)</f>
        <v>0</v>
      </c>
      <c r="AN439" s="109">
        <f>IF($BD439&gt;0,(((($BD439/Dashboard!$D$23)*(1+Precificação!$W$589))*(1+AN$28))+$AA$26)*(1+Dashboard!$D$35),0)</f>
        <v>0</v>
      </c>
      <c r="AO439" s="109">
        <f>IF($BD439&gt;0,(((($BD439/Dashboard!$D$23)*(1+Precificação!$W$589))*(1+AO$28))+$AA$26)*(1+Dashboard!$D$35),0)</f>
        <v>0</v>
      </c>
      <c r="AQ439" s="109">
        <f t="shared" si="373"/>
        <v>0</v>
      </c>
      <c r="AR439" s="109">
        <f t="shared" si="374"/>
        <v>0</v>
      </c>
      <c r="AS439" s="109">
        <f t="shared" si="375"/>
        <v>0</v>
      </c>
      <c r="AT439" s="109">
        <f t="shared" si="376"/>
        <v>0</v>
      </c>
      <c r="AW439" s="144">
        <f>VLOOKUP(B439,'Cronog. e Histog.'!$B$213:$BT$688,71,0)</f>
        <v>0</v>
      </c>
      <c r="AX439" s="144">
        <f>VLOOKUP(B439,'Cronog. e Histog.'!$B$213:$BU$688,72,0)</f>
        <v>0</v>
      </c>
      <c r="AY439" s="144">
        <f>$AW439*$AX439*Dashboard!$D$15</f>
        <v>0</v>
      </c>
      <c r="AZ439" s="144">
        <f>VLOOKUP(B439,Precificação!$B$96:$BM$533,54,0)</f>
        <v>0</v>
      </c>
      <c r="BA439" s="144">
        <f>VLOOKUP(B439,Precificação!$B$96:$BR$533,58,0)</f>
        <v>0</v>
      </c>
      <c r="BB439" s="144">
        <f>VLOOKUP(B439,Precificação!$B$96:$BW$533,62,0)</f>
        <v>0</v>
      </c>
      <c r="BC439" s="144">
        <f t="shared" si="377"/>
        <v>0</v>
      </c>
      <c r="BD439" s="109">
        <f>IFERROR(VLOOKUP(B439,Precificação!$B$96:$S$533,13,0),0)</f>
        <v>0</v>
      </c>
      <c r="BE439" s="109">
        <f>IFERROR(VLOOKUP(B439,Precificação!$B$96:$U$533,15,0)/(Precificação!$U$4+Precificação!$U$91),0)*Dashboard!$T$3</f>
        <v>0</v>
      </c>
    </row>
    <row r="440" spans="2:57" ht="12" customHeight="1" outlineLevel="1">
      <c r="B440" s="137" t="str">
        <f>Precificação!B433</f>
        <v>AN PL. ENG/ARQ - Equipe_01</v>
      </c>
      <c r="D440" s="512"/>
      <c r="E440" s="143" t="str">
        <f>IF('Cronog. e Histog.'!G580&gt;0,'Cronog. e Histog.'!G580,"")</f>
        <v>AN PL. ENG/ARQ</v>
      </c>
      <c r="G440" s="179">
        <f t="shared" si="364"/>
        <v>0</v>
      </c>
      <c r="H440" s="110">
        <f>IFERROR(INDEX('Base Salarial'!$D$5:$F$25,MATCH(E440,'Base Salarial'!$G$5:$G$25,0),MATCH(I440,'Base Salarial'!$D$4:$F$4,0)),"")</f>
        <v>6000</v>
      </c>
      <c r="I440" s="78" t="str">
        <f>IFERROR(INDEX(Tarefas!$BQ$29:$FK$29,MATCH(E440,Tarefas!$BQ$30:$FK$30,0)),"")</f>
        <v>Mensalista</v>
      </c>
      <c r="J440" s="81">
        <f>IF(I440="horista",H440*Dashboard!$D$15,IF(OR(I440="Mensalista",I440="PJ"),H440,))</f>
        <v>6000</v>
      </c>
      <c r="K440" s="81">
        <f>IF(I440="PJ",J440,ROUND(J440*(1+Dashboard!$D$22),2))</f>
        <v>6360</v>
      </c>
      <c r="L440" s="77"/>
      <c r="M440" s="180"/>
      <c r="P440" s="109">
        <f>IF($BD440&gt;0,(((($BD440/Dashboard!$D$15)*(1+Precificação!$W$589)))+$P$26)*(1+Dashboard!$D$35),0)</f>
        <v>0</v>
      </c>
      <c r="Q440" s="109">
        <f>IF($BD440&gt;0,(((($BD440/Dashboard!$D$23)+(1+Precificação!$W$589))*(1+Q$28))+$P$26)*(1+Dashboard!$D$35),0)</f>
        <v>0</v>
      </c>
      <c r="R440" s="109">
        <f>IF($BD440&gt;0,(((($BD440/Dashboard!$D$23)+(1+Precificação!$W$589))*(1+R$28))+$P$26)*(1+Dashboard!$D$35),0)</f>
        <v>0</v>
      </c>
      <c r="S440" s="109">
        <f>IF($BD440&gt;0,(((($BD440/Dashboard!$D$23)+(1+Precificação!$W$589))*(1+S$28))+$P$26)*(1+Dashboard!$D$35),0)</f>
        <v>0</v>
      </c>
      <c r="U440" s="109">
        <f t="shared" si="365"/>
        <v>0</v>
      </c>
      <c r="V440" s="109">
        <f t="shared" si="366"/>
        <v>0</v>
      </c>
      <c r="W440" s="109">
        <f t="shared" si="367"/>
        <v>0</v>
      </c>
      <c r="X440" s="109">
        <f t="shared" si="368"/>
        <v>0</v>
      </c>
      <c r="AA440" s="109">
        <f>IF($BD440&gt;0,(((($BD440/Dashboard!$D$23)*(1+Precificação!$W$589)))+$AA$26)*(1+Dashboard!$D$35),0)</f>
        <v>0</v>
      </c>
      <c r="AB440" s="109">
        <f>IF($BD440&gt;0,(((($BD440/Dashboard!$D$23)*(1+Precificação!$W$589))*(1+AB$28))+$AA$26)*(1+Dashboard!$D$35),0)</f>
        <v>0</v>
      </c>
      <c r="AC440" s="109">
        <f>IF($BD440&gt;0,(((($BD440/Dashboard!$D$23)*(1+Precificação!$W$589))*(1+AC$28))+$AA$26)*(1+Dashboard!$D$35),0)</f>
        <v>0</v>
      </c>
      <c r="AD440" s="109">
        <f>IF($BD440&gt;0,(((($BD440/Dashboard!$D$23)*(1+Precificação!$W$589))*(1+AD$28))+$AA$26)*(1+Dashboard!$D$35),0)</f>
        <v>0</v>
      </c>
      <c r="AF440" s="109">
        <f t="shared" si="369"/>
        <v>0</v>
      </c>
      <c r="AG440" s="109">
        <f t="shared" si="370"/>
        <v>0</v>
      </c>
      <c r="AH440" s="109">
        <f t="shared" si="371"/>
        <v>0</v>
      </c>
      <c r="AI440" s="109">
        <f t="shared" si="372"/>
        <v>0</v>
      </c>
      <c r="AL440" s="109">
        <f>IF($BD440&gt;0,(((($BD440/Dashboard!$D$23)*(1+Precificação!$W$589)))+$AL$26)*(1+Dashboard!$D$35),0)</f>
        <v>0</v>
      </c>
      <c r="AM440" s="109">
        <f>IF($BD440&gt;0,(((($BD440/Dashboard!$D$23)*(1+Precificação!$W$589))*(1+AM$28))+$AA$26)*(1+Dashboard!$D$35),0)</f>
        <v>0</v>
      </c>
      <c r="AN440" s="109">
        <f>IF($BD440&gt;0,(((($BD440/Dashboard!$D$23)*(1+Precificação!$W$589))*(1+AN$28))+$AA$26)*(1+Dashboard!$D$35),0)</f>
        <v>0</v>
      </c>
      <c r="AO440" s="109">
        <f>IF($BD440&gt;0,(((($BD440/Dashboard!$D$23)*(1+Precificação!$W$589))*(1+AO$28))+$AA$26)*(1+Dashboard!$D$35),0)</f>
        <v>0</v>
      </c>
      <c r="AQ440" s="109">
        <f t="shared" si="373"/>
        <v>0</v>
      </c>
      <c r="AR440" s="109">
        <f t="shared" si="374"/>
        <v>0</v>
      </c>
      <c r="AS440" s="109">
        <f t="shared" si="375"/>
        <v>0</v>
      </c>
      <c r="AT440" s="109">
        <f t="shared" si="376"/>
        <v>0</v>
      </c>
      <c r="AW440" s="144">
        <f>VLOOKUP(B440,'Cronog. e Histog.'!$B$213:$BT$688,71,0)</f>
        <v>0</v>
      </c>
      <c r="AX440" s="144">
        <f>VLOOKUP(B440,'Cronog. e Histog.'!$B$213:$BU$688,72,0)</f>
        <v>0</v>
      </c>
      <c r="AY440" s="144">
        <f>$AW440*$AX440*Dashboard!$D$15</f>
        <v>0</v>
      </c>
      <c r="AZ440" s="144">
        <f>VLOOKUP(B440,Precificação!$B$96:$BM$533,54,0)</f>
        <v>0</v>
      </c>
      <c r="BA440" s="144">
        <f>VLOOKUP(B440,Precificação!$B$96:$BR$533,58,0)</f>
        <v>0</v>
      </c>
      <c r="BB440" s="144">
        <f>VLOOKUP(B440,Precificação!$B$96:$BW$533,62,0)</f>
        <v>0</v>
      </c>
      <c r="BC440" s="144">
        <f t="shared" si="377"/>
        <v>0</v>
      </c>
      <c r="BD440" s="109">
        <f>IFERROR(VLOOKUP(B440,Precificação!$B$96:$S$533,13,0),0)</f>
        <v>0</v>
      </c>
      <c r="BE440" s="109">
        <f>IFERROR(VLOOKUP(B440,Precificação!$B$96:$U$533,15,0)/(Precificação!$U$4+Precificação!$U$91),0)*Dashboard!$T$3</f>
        <v>0</v>
      </c>
    </row>
    <row r="441" spans="2:57" ht="12" customHeight="1" outlineLevel="1">
      <c r="B441" s="137" t="str">
        <f>Precificação!B434</f>
        <v>AN JR. ENG/ARQ - Equipe_01</v>
      </c>
      <c r="D441" s="512"/>
      <c r="E441" s="143" t="str">
        <f>IF('Cronog. e Histog.'!G581&gt;0,'Cronog. e Histog.'!G581,"")</f>
        <v>AN JR. ENG/ARQ</v>
      </c>
      <c r="G441" s="179">
        <f t="shared" si="364"/>
        <v>0</v>
      </c>
      <c r="H441" s="110">
        <f>IFERROR(INDEX('Base Salarial'!$D$5:$F$25,MATCH(E441,'Base Salarial'!$G$5:$G$25,0),MATCH(I441,'Base Salarial'!$D$4:$F$4,0)),"")</f>
        <v>4500</v>
      </c>
      <c r="I441" s="78" t="str">
        <f>IFERROR(INDEX(Tarefas!$BQ$29:$FK$29,MATCH(E441,Tarefas!$BQ$30:$FK$30,0)),"")</f>
        <v>Mensalista</v>
      </c>
      <c r="J441" s="81">
        <f>IF(I441="horista",H441*Dashboard!$D$15,IF(OR(I441="Mensalista",I441="PJ"),H441,))</f>
        <v>4500</v>
      </c>
      <c r="K441" s="81">
        <f>IF(I441="PJ",J441,ROUND(J441*(1+Dashboard!$D$22),2))</f>
        <v>4770</v>
      </c>
      <c r="L441" s="77"/>
      <c r="M441" s="180"/>
      <c r="P441" s="109">
        <f>IF($BD441&gt;0,(((($BD441/Dashboard!$D$15)*(1+Precificação!$W$589)))+$P$26)*(1+Dashboard!$D$35),0)</f>
        <v>0</v>
      </c>
      <c r="Q441" s="109">
        <f>IF($BD441&gt;0,(((($BD441/Dashboard!$D$23)+(1+Precificação!$W$589))*(1+Q$28))+$P$26)*(1+Dashboard!$D$35),0)</f>
        <v>0</v>
      </c>
      <c r="R441" s="109">
        <f>IF($BD441&gt;0,(((($BD441/Dashboard!$D$23)+(1+Precificação!$W$589))*(1+R$28))+$P$26)*(1+Dashboard!$D$35),0)</f>
        <v>0</v>
      </c>
      <c r="S441" s="109">
        <f>IF($BD441&gt;0,(((($BD441/Dashboard!$D$23)+(1+Precificação!$W$589))*(1+S$28))+$P$26)*(1+Dashboard!$D$35),0)</f>
        <v>0</v>
      </c>
      <c r="U441" s="109">
        <f t="shared" si="365"/>
        <v>0</v>
      </c>
      <c r="V441" s="109">
        <f t="shared" si="366"/>
        <v>0</v>
      </c>
      <c r="W441" s="109">
        <f t="shared" si="367"/>
        <v>0</v>
      </c>
      <c r="X441" s="109">
        <f t="shared" si="368"/>
        <v>0</v>
      </c>
      <c r="AA441" s="109">
        <f>IF($BD441&gt;0,(((($BD441/Dashboard!$D$23)*(1+Precificação!$W$589)))+$AA$26)*(1+Dashboard!$D$35),0)</f>
        <v>0</v>
      </c>
      <c r="AB441" s="109">
        <f>IF($BD441&gt;0,(((($BD441/Dashboard!$D$23)*(1+Precificação!$W$589))*(1+AB$28))+$AA$26)*(1+Dashboard!$D$35),0)</f>
        <v>0</v>
      </c>
      <c r="AC441" s="109">
        <f>IF($BD441&gt;0,(((($BD441/Dashboard!$D$23)*(1+Precificação!$W$589))*(1+AC$28))+$AA$26)*(1+Dashboard!$D$35),0)</f>
        <v>0</v>
      </c>
      <c r="AD441" s="109">
        <f>IF($BD441&gt;0,(((($BD441/Dashboard!$D$23)*(1+Precificação!$W$589))*(1+AD$28))+$AA$26)*(1+Dashboard!$D$35),0)</f>
        <v>0</v>
      </c>
      <c r="AF441" s="109">
        <f t="shared" si="369"/>
        <v>0</v>
      </c>
      <c r="AG441" s="109">
        <f t="shared" si="370"/>
        <v>0</v>
      </c>
      <c r="AH441" s="109">
        <f t="shared" si="371"/>
        <v>0</v>
      </c>
      <c r="AI441" s="109">
        <f t="shared" si="372"/>
        <v>0</v>
      </c>
      <c r="AL441" s="109">
        <f>IF($BD441&gt;0,(((($BD441/Dashboard!$D$23)*(1+Precificação!$W$589)))+$AL$26)*(1+Dashboard!$D$35),0)</f>
        <v>0</v>
      </c>
      <c r="AM441" s="109">
        <f>IF($BD441&gt;0,(((($BD441/Dashboard!$D$23)*(1+Precificação!$W$589))*(1+AM$28))+$AA$26)*(1+Dashboard!$D$35),0)</f>
        <v>0</v>
      </c>
      <c r="AN441" s="109">
        <f>IF($BD441&gt;0,(((($BD441/Dashboard!$D$23)*(1+Precificação!$W$589))*(1+AN$28))+$AA$26)*(1+Dashboard!$D$35),0)</f>
        <v>0</v>
      </c>
      <c r="AO441" s="109">
        <f>IF($BD441&gt;0,(((($BD441/Dashboard!$D$23)*(1+Precificação!$W$589))*(1+AO$28))+$AA$26)*(1+Dashboard!$D$35),0)</f>
        <v>0</v>
      </c>
      <c r="AQ441" s="109">
        <f t="shared" si="373"/>
        <v>0</v>
      </c>
      <c r="AR441" s="109">
        <f t="shared" si="374"/>
        <v>0</v>
      </c>
      <c r="AS441" s="109">
        <f t="shared" si="375"/>
        <v>0</v>
      </c>
      <c r="AT441" s="109">
        <f t="shared" si="376"/>
        <v>0</v>
      </c>
      <c r="AW441" s="144">
        <f>VLOOKUP(B441,'Cronog. e Histog.'!$B$213:$BT$688,71,0)</f>
        <v>0</v>
      </c>
      <c r="AX441" s="144">
        <f>VLOOKUP(B441,'Cronog. e Histog.'!$B$213:$BU$688,72,0)</f>
        <v>0</v>
      </c>
      <c r="AY441" s="144">
        <f>$AW441*$AX441*Dashboard!$D$15</f>
        <v>0</v>
      </c>
      <c r="AZ441" s="144">
        <f>VLOOKUP(B441,Precificação!$B$96:$BM$533,54,0)</f>
        <v>0</v>
      </c>
      <c r="BA441" s="144">
        <f>VLOOKUP(B441,Precificação!$B$96:$BR$533,58,0)</f>
        <v>0</v>
      </c>
      <c r="BB441" s="144">
        <f>VLOOKUP(B441,Precificação!$B$96:$BW$533,62,0)</f>
        <v>0</v>
      </c>
      <c r="BC441" s="144">
        <f t="shared" si="377"/>
        <v>0</v>
      </c>
      <c r="BD441" s="109">
        <f>IFERROR(VLOOKUP(B441,Precificação!$B$96:$S$533,13,0),0)</f>
        <v>0</v>
      </c>
      <c r="BE441" s="109">
        <f>IFERROR(VLOOKUP(B441,Precificação!$B$96:$U$533,15,0)/(Precificação!$U$4+Precificação!$U$91),0)*Dashboard!$T$3</f>
        <v>0</v>
      </c>
    </row>
    <row r="442" spans="2:57" ht="12" customHeight="1" outlineLevel="1">
      <c r="B442" s="137" t="str">
        <f>Precificação!B435</f>
        <v>AN SR. ADM/CRP - Equipe_01</v>
      </c>
      <c r="D442" s="512"/>
      <c r="E442" s="143" t="str">
        <f>IF('Cronog. e Histog.'!G582&gt;0,'Cronog. e Histog.'!G582,"")</f>
        <v>AN SR. ADM/CRP</v>
      </c>
      <c r="G442" s="179">
        <f t="shared" si="364"/>
        <v>0</v>
      </c>
      <c r="H442" s="110">
        <f>IFERROR(INDEX('Base Salarial'!$D$5:$F$25,MATCH(E442,'Base Salarial'!$G$5:$G$25,0),MATCH(I442,'Base Salarial'!$D$4:$F$4,0)),"")</f>
        <v>7000</v>
      </c>
      <c r="I442" s="78" t="str">
        <f>IFERROR(INDEX(Tarefas!$BQ$29:$FK$29,MATCH(E442,Tarefas!$BQ$30:$FK$30,0)),"")</f>
        <v>Mensalista</v>
      </c>
      <c r="J442" s="81">
        <f>IF(I442="horista",H442*Dashboard!$D$15,IF(OR(I442="Mensalista",I442="PJ"),H442,))</f>
        <v>7000</v>
      </c>
      <c r="K442" s="81">
        <f>IF(I442="PJ",J442,ROUND(J442*(1+Dashboard!$D$22),2))</f>
        <v>7420</v>
      </c>
      <c r="L442" s="77"/>
      <c r="M442" s="180"/>
      <c r="P442" s="109">
        <f>IF($BD442&gt;0,(((($BD442/Dashboard!$D$15)*(1+Precificação!$W$589)))+$P$26)*(1+Dashboard!$D$35),0)</f>
        <v>0</v>
      </c>
      <c r="Q442" s="109">
        <f>IF($BD442&gt;0,(((($BD442/Dashboard!$D$23)+(1+Precificação!$W$589))*(1+Q$28))+$P$26)*(1+Dashboard!$D$35),0)</f>
        <v>0</v>
      </c>
      <c r="R442" s="109">
        <f>IF($BD442&gt;0,(((($BD442/Dashboard!$D$23)+(1+Precificação!$W$589))*(1+R$28))+$P$26)*(1+Dashboard!$D$35),0)</f>
        <v>0</v>
      </c>
      <c r="S442" s="109">
        <f>IF($BD442&gt;0,(((($BD442/Dashboard!$D$23)+(1+Precificação!$W$589))*(1+S$28))+$P$26)*(1+Dashboard!$D$35),0)</f>
        <v>0</v>
      </c>
      <c r="U442" s="109">
        <f t="shared" si="365"/>
        <v>0</v>
      </c>
      <c r="V442" s="109">
        <f t="shared" si="366"/>
        <v>0</v>
      </c>
      <c r="W442" s="109">
        <f t="shared" si="367"/>
        <v>0</v>
      </c>
      <c r="X442" s="109">
        <f t="shared" si="368"/>
        <v>0</v>
      </c>
      <c r="AA442" s="109">
        <f>IF($BD442&gt;0,(((($BD442/Dashboard!$D$23)*(1+Precificação!$W$589)))+$AA$26)*(1+Dashboard!$D$35),0)</f>
        <v>0</v>
      </c>
      <c r="AB442" s="109">
        <f>IF($BD442&gt;0,(((($BD442/Dashboard!$D$23)*(1+Precificação!$W$589))*(1+AB$28))+$AA$26)*(1+Dashboard!$D$35),0)</f>
        <v>0</v>
      </c>
      <c r="AC442" s="109">
        <f>IF($BD442&gt;0,(((($BD442/Dashboard!$D$23)*(1+Precificação!$W$589))*(1+AC$28))+$AA$26)*(1+Dashboard!$D$35),0)</f>
        <v>0</v>
      </c>
      <c r="AD442" s="109">
        <f>IF($BD442&gt;0,(((($BD442/Dashboard!$D$23)*(1+Precificação!$W$589))*(1+AD$28))+$AA$26)*(1+Dashboard!$D$35),0)</f>
        <v>0</v>
      </c>
      <c r="AF442" s="109">
        <f t="shared" si="369"/>
        <v>0</v>
      </c>
      <c r="AG442" s="109">
        <f t="shared" si="370"/>
        <v>0</v>
      </c>
      <c r="AH442" s="109">
        <f t="shared" si="371"/>
        <v>0</v>
      </c>
      <c r="AI442" s="109">
        <f t="shared" si="372"/>
        <v>0</v>
      </c>
      <c r="AL442" s="109">
        <f>IF($BD442&gt;0,(((($BD442/Dashboard!$D$23)*(1+Precificação!$W$589)))+$AL$26)*(1+Dashboard!$D$35),0)</f>
        <v>0</v>
      </c>
      <c r="AM442" s="109">
        <f>IF($BD442&gt;0,(((($BD442/Dashboard!$D$23)*(1+Precificação!$W$589))*(1+AM$28))+$AA$26)*(1+Dashboard!$D$35),0)</f>
        <v>0</v>
      </c>
      <c r="AN442" s="109">
        <f>IF($BD442&gt;0,(((($BD442/Dashboard!$D$23)*(1+Precificação!$W$589))*(1+AN$28))+$AA$26)*(1+Dashboard!$D$35),0)</f>
        <v>0</v>
      </c>
      <c r="AO442" s="109">
        <f>IF($BD442&gt;0,(((($BD442/Dashboard!$D$23)*(1+Precificação!$W$589))*(1+AO$28))+$AA$26)*(1+Dashboard!$D$35),0)</f>
        <v>0</v>
      </c>
      <c r="AQ442" s="109">
        <f t="shared" si="373"/>
        <v>0</v>
      </c>
      <c r="AR442" s="109">
        <f t="shared" si="374"/>
        <v>0</v>
      </c>
      <c r="AS442" s="109">
        <f t="shared" si="375"/>
        <v>0</v>
      </c>
      <c r="AT442" s="109">
        <f t="shared" si="376"/>
        <v>0</v>
      </c>
      <c r="AW442" s="144">
        <f>VLOOKUP(B442,'Cronog. e Histog.'!$B$213:$BT$688,71,0)</f>
        <v>0</v>
      </c>
      <c r="AX442" s="144">
        <f>VLOOKUP(B442,'Cronog. e Histog.'!$B$213:$BU$688,72,0)</f>
        <v>0</v>
      </c>
      <c r="AY442" s="144">
        <f>$AW442*$AX442*Dashboard!$D$15</f>
        <v>0</v>
      </c>
      <c r="AZ442" s="144">
        <f>VLOOKUP(B442,Precificação!$B$96:$BM$533,54,0)</f>
        <v>0</v>
      </c>
      <c r="BA442" s="144">
        <f>VLOOKUP(B442,Precificação!$B$96:$BR$533,58,0)</f>
        <v>0</v>
      </c>
      <c r="BB442" s="144">
        <f>VLOOKUP(B442,Precificação!$B$96:$BW$533,62,0)</f>
        <v>0</v>
      </c>
      <c r="BC442" s="144">
        <f t="shared" si="377"/>
        <v>0</v>
      </c>
      <c r="BD442" s="109">
        <f>IFERROR(VLOOKUP(B442,Precificação!$B$96:$S$533,13,0),0)</f>
        <v>0</v>
      </c>
      <c r="BE442" s="109">
        <f>IFERROR(VLOOKUP(B442,Precificação!$B$96:$U$533,15,0)/(Precificação!$U$4+Precificação!$U$91),0)*Dashboard!$T$3</f>
        <v>0</v>
      </c>
    </row>
    <row r="443" spans="2:57" ht="12" customHeight="1" outlineLevel="1">
      <c r="B443" s="137" t="str">
        <f>Precificação!B436</f>
        <v>AN PL. ADM/CRP - Equipe_01</v>
      </c>
      <c r="D443" s="512"/>
      <c r="E443" s="143" t="str">
        <f>IF('Cronog. e Histog.'!G583&gt;0,'Cronog. e Histog.'!G583,"")</f>
        <v>AN PL. ADM/CRP</v>
      </c>
      <c r="G443" s="179">
        <f t="shared" si="364"/>
        <v>0</v>
      </c>
      <c r="H443" s="110">
        <f>IFERROR(INDEX('Base Salarial'!$D$5:$F$25,MATCH(E443,'Base Salarial'!$G$5:$G$25,0),MATCH(I443,'Base Salarial'!$D$4:$F$4,0)),"")</f>
        <v>5000</v>
      </c>
      <c r="I443" s="78" t="str">
        <f>IFERROR(INDEX(Tarefas!$BQ$29:$FK$29,MATCH(E443,Tarefas!$BQ$30:$FK$30,0)),"")</f>
        <v>Mensalista</v>
      </c>
      <c r="J443" s="81">
        <f>IF(I443="horista",H443*Dashboard!$D$15,IF(OR(I443="Mensalista",I443="PJ"),H443,))</f>
        <v>5000</v>
      </c>
      <c r="K443" s="81">
        <f>IF(I443="PJ",J443,ROUND(J443*(1+Dashboard!$D$22),2))</f>
        <v>5300</v>
      </c>
      <c r="L443" s="77"/>
      <c r="M443" s="180"/>
      <c r="P443" s="109">
        <f>IF($BD443&gt;0,(((($BD443/Dashboard!$D$15)*(1+Precificação!$W$589)))+$P$26)*(1+Dashboard!$D$35),0)</f>
        <v>0</v>
      </c>
      <c r="Q443" s="109">
        <f>IF($BD443&gt;0,(((($BD443/Dashboard!$D$23)+(1+Precificação!$W$589))*(1+Q$28))+$P$26)*(1+Dashboard!$D$35),0)</f>
        <v>0</v>
      </c>
      <c r="R443" s="109">
        <f>IF($BD443&gt;0,(((($BD443/Dashboard!$D$23)+(1+Precificação!$W$589))*(1+R$28))+$P$26)*(1+Dashboard!$D$35),0)</f>
        <v>0</v>
      </c>
      <c r="S443" s="109">
        <f>IF($BD443&gt;0,(((($BD443/Dashboard!$D$23)+(1+Precificação!$W$589))*(1+S$28))+$P$26)*(1+Dashboard!$D$35),0)</f>
        <v>0</v>
      </c>
      <c r="U443" s="109">
        <f t="shared" si="365"/>
        <v>0</v>
      </c>
      <c r="V443" s="109">
        <f t="shared" si="366"/>
        <v>0</v>
      </c>
      <c r="W443" s="109">
        <f t="shared" si="367"/>
        <v>0</v>
      </c>
      <c r="X443" s="109">
        <f t="shared" si="368"/>
        <v>0</v>
      </c>
      <c r="AA443" s="109">
        <f>IF($BD443&gt;0,(((($BD443/Dashboard!$D$23)*(1+Precificação!$W$589)))+$AA$26)*(1+Dashboard!$D$35),0)</f>
        <v>0</v>
      </c>
      <c r="AB443" s="109">
        <f>IF($BD443&gt;0,(((($BD443/Dashboard!$D$23)*(1+Precificação!$W$589))*(1+AB$28))+$AA$26)*(1+Dashboard!$D$35),0)</f>
        <v>0</v>
      </c>
      <c r="AC443" s="109">
        <f>IF($BD443&gt;0,(((($BD443/Dashboard!$D$23)*(1+Precificação!$W$589))*(1+AC$28))+$AA$26)*(1+Dashboard!$D$35),0)</f>
        <v>0</v>
      </c>
      <c r="AD443" s="109">
        <f>IF($BD443&gt;0,(((($BD443/Dashboard!$D$23)*(1+Precificação!$W$589))*(1+AD$28))+$AA$26)*(1+Dashboard!$D$35),0)</f>
        <v>0</v>
      </c>
      <c r="AF443" s="109">
        <f t="shared" si="369"/>
        <v>0</v>
      </c>
      <c r="AG443" s="109">
        <f t="shared" si="370"/>
        <v>0</v>
      </c>
      <c r="AH443" s="109">
        <f t="shared" si="371"/>
        <v>0</v>
      </c>
      <c r="AI443" s="109">
        <f t="shared" si="372"/>
        <v>0</v>
      </c>
      <c r="AL443" s="109">
        <f>IF($BD443&gt;0,(((($BD443/Dashboard!$D$23)*(1+Precificação!$W$589)))+$AL$26)*(1+Dashboard!$D$35),0)</f>
        <v>0</v>
      </c>
      <c r="AM443" s="109">
        <f>IF($BD443&gt;0,(((($BD443/Dashboard!$D$23)*(1+Precificação!$W$589))*(1+AM$28))+$AA$26)*(1+Dashboard!$D$35),0)</f>
        <v>0</v>
      </c>
      <c r="AN443" s="109">
        <f>IF($BD443&gt;0,(((($BD443/Dashboard!$D$23)*(1+Precificação!$W$589))*(1+AN$28))+$AA$26)*(1+Dashboard!$D$35),0)</f>
        <v>0</v>
      </c>
      <c r="AO443" s="109">
        <f>IF($BD443&gt;0,(((($BD443/Dashboard!$D$23)*(1+Precificação!$W$589))*(1+AO$28))+$AA$26)*(1+Dashboard!$D$35),0)</f>
        <v>0</v>
      </c>
      <c r="AQ443" s="109">
        <f t="shared" si="373"/>
        <v>0</v>
      </c>
      <c r="AR443" s="109">
        <f t="shared" si="374"/>
        <v>0</v>
      </c>
      <c r="AS443" s="109">
        <f t="shared" si="375"/>
        <v>0</v>
      </c>
      <c r="AT443" s="109">
        <f t="shared" si="376"/>
        <v>0</v>
      </c>
      <c r="AW443" s="144">
        <f>VLOOKUP(B443,'Cronog. e Histog.'!$B$213:$BT$688,71,0)</f>
        <v>0</v>
      </c>
      <c r="AX443" s="144">
        <f>VLOOKUP(B443,'Cronog. e Histog.'!$B$213:$BU$688,72,0)</f>
        <v>0</v>
      </c>
      <c r="AY443" s="144">
        <f>$AW443*$AX443*Dashboard!$D$15</f>
        <v>0</v>
      </c>
      <c r="AZ443" s="144">
        <f>VLOOKUP(B443,Precificação!$B$96:$BM$533,54,0)</f>
        <v>0</v>
      </c>
      <c r="BA443" s="144">
        <f>VLOOKUP(B443,Precificação!$B$96:$BR$533,58,0)</f>
        <v>0</v>
      </c>
      <c r="BB443" s="144">
        <f>VLOOKUP(B443,Precificação!$B$96:$BW$533,62,0)</f>
        <v>0</v>
      </c>
      <c r="BC443" s="144">
        <f t="shared" si="377"/>
        <v>0</v>
      </c>
      <c r="BD443" s="109">
        <f>IFERROR(VLOOKUP(B443,Precificação!$B$96:$S$533,13,0),0)</f>
        <v>0</v>
      </c>
      <c r="BE443" s="109">
        <f>IFERROR(VLOOKUP(B443,Precificação!$B$96:$U$533,15,0)/(Precificação!$U$4+Precificação!$U$91),0)*Dashboard!$T$3</f>
        <v>0</v>
      </c>
    </row>
    <row r="444" spans="2:57" ht="12" customHeight="1" outlineLevel="1">
      <c r="B444" s="137" t="str">
        <f>Precificação!B437</f>
        <v>AN JR. ADM/CRP - Equipe_01</v>
      </c>
      <c r="D444" s="512"/>
      <c r="E444" s="143" t="str">
        <f>IF('Cronog. e Histog.'!G584&gt;0,'Cronog. e Histog.'!G584,"")</f>
        <v>AN JR. ADM/CRP</v>
      </c>
      <c r="G444" s="179">
        <f t="shared" si="364"/>
        <v>0</v>
      </c>
      <c r="H444" s="110">
        <f>IFERROR(INDEX('Base Salarial'!$D$5:$F$25,MATCH(E444,'Base Salarial'!$G$5:$G$25,0),MATCH(I444,'Base Salarial'!$D$4:$F$4,0)),"")</f>
        <v>3500</v>
      </c>
      <c r="I444" s="78" t="str">
        <f>IFERROR(INDEX(Tarefas!$BQ$29:$FK$29,MATCH(E444,Tarefas!$BQ$30:$FK$30,0)),"")</f>
        <v>Mensalista</v>
      </c>
      <c r="J444" s="81">
        <f>IF(I444="horista",H444*Dashboard!$D$15,IF(OR(I444="Mensalista",I444="PJ"),H444,))</f>
        <v>3500</v>
      </c>
      <c r="K444" s="81">
        <f>IF(I444="PJ",J444,ROUND(J444*(1+Dashboard!$D$22),2))</f>
        <v>3710</v>
      </c>
      <c r="L444" s="77"/>
      <c r="M444" s="180"/>
      <c r="P444" s="109">
        <f>IF($BD444&gt;0,(((($BD444/Dashboard!$D$15)*(1+Precificação!$W$589)))+$P$26)*(1+Dashboard!$D$35),0)</f>
        <v>0</v>
      </c>
      <c r="Q444" s="109">
        <f>IF($BD444&gt;0,(((($BD444/Dashboard!$D$23)+(1+Precificação!$W$589))*(1+Q$28))+$P$26)*(1+Dashboard!$D$35),0)</f>
        <v>0</v>
      </c>
      <c r="R444" s="109">
        <f>IF($BD444&gt;0,(((($BD444/Dashboard!$D$23)+(1+Precificação!$W$589))*(1+R$28))+$P$26)*(1+Dashboard!$D$35),0)</f>
        <v>0</v>
      </c>
      <c r="S444" s="109">
        <f>IF($BD444&gt;0,(((($BD444/Dashboard!$D$23)+(1+Precificação!$W$589))*(1+S$28))+$P$26)*(1+Dashboard!$D$35),0)</f>
        <v>0</v>
      </c>
      <c r="U444" s="109">
        <f t="shared" si="365"/>
        <v>0</v>
      </c>
      <c r="V444" s="109">
        <f t="shared" si="366"/>
        <v>0</v>
      </c>
      <c r="W444" s="109">
        <f t="shared" si="367"/>
        <v>0</v>
      </c>
      <c r="X444" s="109">
        <f t="shared" si="368"/>
        <v>0</v>
      </c>
      <c r="AA444" s="109">
        <f>IF($BD444&gt;0,(((($BD444/Dashboard!$D$23)*(1+Precificação!$W$589)))+$AA$26)*(1+Dashboard!$D$35),0)</f>
        <v>0</v>
      </c>
      <c r="AB444" s="109">
        <f>IF($BD444&gt;0,(((($BD444/Dashboard!$D$23)*(1+Precificação!$W$589))*(1+AB$28))+$AA$26)*(1+Dashboard!$D$35),0)</f>
        <v>0</v>
      </c>
      <c r="AC444" s="109">
        <f>IF($BD444&gt;0,(((($BD444/Dashboard!$D$23)*(1+Precificação!$W$589))*(1+AC$28))+$AA$26)*(1+Dashboard!$D$35),0)</f>
        <v>0</v>
      </c>
      <c r="AD444" s="109">
        <f>IF($BD444&gt;0,(((($BD444/Dashboard!$D$23)*(1+Precificação!$W$589))*(1+AD$28))+$AA$26)*(1+Dashboard!$D$35),0)</f>
        <v>0</v>
      </c>
      <c r="AF444" s="109">
        <f t="shared" si="369"/>
        <v>0</v>
      </c>
      <c r="AG444" s="109">
        <f t="shared" si="370"/>
        <v>0</v>
      </c>
      <c r="AH444" s="109">
        <f t="shared" si="371"/>
        <v>0</v>
      </c>
      <c r="AI444" s="109">
        <f t="shared" si="372"/>
        <v>0</v>
      </c>
      <c r="AL444" s="109">
        <f>IF($BD444&gt;0,(((($BD444/Dashboard!$D$23)*(1+Precificação!$W$589)))+$AL$26)*(1+Dashboard!$D$35),0)</f>
        <v>0</v>
      </c>
      <c r="AM444" s="109">
        <f>IF($BD444&gt;0,(((($BD444/Dashboard!$D$23)*(1+Precificação!$W$589))*(1+AM$28))+$AA$26)*(1+Dashboard!$D$35),0)</f>
        <v>0</v>
      </c>
      <c r="AN444" s="109">
        <f>IF($BD444&gt;0,(((($BD444/Dashboard!$D$23)*(1+Precificação!$W$589))*(1+AN$28))+$AA$26)*(1+Dashboard!$D$35),0)</f>
        <v>0</v>
      </c>
      <c r="AO444" s="109">
        <f>IF($BD444&gt;0,(((($BD444/Dashboard!$D$23)*(1+Precificação!$W$589))*(1+AO$28))+$AA$26)*(1+Dashboard!$D$35),0)</f>
        <v>0</v>
      </c>
      <c r="AQ444" s="109">
        <f t="shared" si="373"/>
        <v>0</v>
      </c>
      <c r="AR444" s="109">
        <f t="shared" si="374"/>
        <v>0</v>
      </c>
      <c r="AS444" s="109">
        <f t="shared" si="375"/>
        <v>0</v>
      </c>
      <c r="AT444" s="109">
        <f t="shared" si="376"/>
        <v>0</v>
      </c>
      <c r="AW444" s="144">
        <f>VLOOKUP(B444,'Cronog. e Histog.'!$B$213:$BT$688,71,0)</f>
        <v>0</v>
      </c>
      <c r="AX444" s="144">
        <f>VLOOKUP(B444,'Cronog. e Histog.'!$B$213:$BU$688,72,0)</f>
        <v>0</v>
      </c>
      <c r="AY444" s="144">
        <f>$AW444*$AX444*Dashboard!$D$15</f>
        <v>0</v>
      </c>
      <c r="AZ444" s="144">
        <f>VLOOKUP(B444,Precificação!$B$96:$BM$533,54,0)</f>
        <v>0</v>
      </c>
      <c r="BA444" s="144">
        <f>VLOOKUP(B444,Precificação!$B$96:$BR$533,58,0)</f>
        <v>0</v>
      </c>
      <c r="BB444" s="144">
        <f>VLOOKUP(B444,Precificação!$B$96:$BW$533,62,0)</f>
        <v>0</v>
      </c>
      <c r="BC444" s="144">
        <f t="shared" si="377"/>
        <v>0</v>
      </c>
      <c r="BD444" s="109">
        <f>IFERROR(VLOOKUP(B444,Precificação!$B$96:$S$533,13,0),0)</f>
        <v>0</v>
      </c>
      <c r="BE444" s="109">
        <f>IFERROR(VLOOKUP(B444,Precificação!$B$96:$U$533,15,0)/(Precificação!$U$4+Precificação!$U$91),0)*Dashboard!$T$3</f>
        <v>0</v>
      </c>
    </row>
    <row r="445" spans="2:57" ht="12" customHeight="1" outlineLevel="1">
      <c r="B445" s="137" t="str">
        <f>Precificação!B438</f>
        <v>TEC III - Equipe_01</v>
      </c>
      <c r="D445" s="512"/>
      <c r="E445" s="143" t="str">
        <f>IF('Cronog. e Histog.'!G585&gt;0,'Cronog. e Histog.'!G585,"")</f>
        <v>TEC III</v>
      </c>
      <c r="G445" s="179">
        <f t="shared" si="364"/>
        <v>0</v>
      </c>
      <c r="H445" s="110">
        <f>IFERROR(INDEX('Base Salarial'!$D$5:$F$25,MATCH(E445,'Base Salarial'!$G$5:$G$25,0),MATCH(I445,'Base Salarial'!$D$4:$F$4,0)),"")</f>
        <v>6000</v>
      </c>
      <c r="I445" s="78" t="str">
        <f>IFERROR(INDEX(Tarefas!$BQ$29:$FK$29,MATCH(E445,Tarefas!$BQ$30:$FK$30,0)),"")</f>
        <v>Mensalista</v>
      </c>
      <c r="J445" s="81">
        <f>IF(I445="horista",H445*Dashboard!$D$15,IF(OR(I445="Mensalista",I445="PJ"),H445,))</f>
        <v>6000</v>
      </c>
      <c r="K445" s="81">
        <f>IF(I445="PJ",J445,ROUND(J445*(1+Dashboard!$D$22),2))</f>
        <v>6360</v>
      </c>
      <c r="L445" s="77"/>
      <c r="M445" s="180"/>
      <c r="P445" s="109">
        <f>IF($BD445&gt;0,(((($BD445/Dashboard!$D$15)*(1+Precificação!$W$589)))+$P$26)*(1+Dashboard!$D$35),0)</f>
        <v>0</v>
      </c>
      <c r="Q445" s="109">
        <f>IF($BD445&gt;0,(((($BD445/Dashboard!$D$23)+(1+Precificação!$W$589))*(1+Q$28))+$P$26)*(1+Dashboard!$D$35),0)</f>
        <v>0</v>
      </c>
      <c r="R445" s="109">
        <f>IF($BD445&gt;0,(((($BD445/Dashboard!$D$23)+(1+Precificação!$W$589))*(1+R$28))+$P$26)*(1+Dashboard!$D$35),0)</f>
        <v>0</v>
      </c>
      <c r="S445" s="109">
        <f>IF($BD445&gt;0,(((($BD445/Dashboard!$D$23)+(1+Precificação!$W$589))*(1+S$28))+$P$26)*(1+Dashboard!$D$35),0)</f>
        <v>0</v>
      </c>
      <c r="U445" s="109">
        <f t="shared" si="365"/>
        <v>0</v>
      </c>
      <c r="V445" s="109">
        <f t="shared" si="366"/>
        <v>0</v>
      </c>
      <c r="W445" s="109">
        <f t="shared" si="367"/>
        <v>0</v>
      </c>
      <c r="X445" s="109">
        <f t="shared" si="368"/>
        <v>0</v>
      </c>
      <c r="AA445" s="109">
        <f>IF($BD445&gt;0,(((($BD445/Dashboard!$D$23)*(1+Precificação!$W$589)))+$AA$26)*(1+Dashboard!$D$35),0)</f>
        <v>0</v>
      </c>
      <c r="AB445" s="109">
        <f>IF($BD445&gt;0,(((($BD445/Dashboard!$D$23)*(1+Precificação!$W$589))*(1+AB$28))+$AA$26)*(1+Dashboard!$D$35),0)</f>
        <v>0</v>
      </c>
      <c r="AC445" s="109">
        <f>IF($BD445&gt;0,(((($BD445/Dashboard!$D$23)*(1+Precificação!$W$589))*(1+AC$28))+$AA$26)*(1+Dashboard!$D$35),0)</f>
        <v>0</v>
      </c>
      <c r="AD445" s="109">
        <f>IF($BD445&gt;0,(((($BD445/Dashboard!$D$23)*(1+Precificação!$W$589))*(1+AD$28))+$AA$26)*(1+Dashboard!$D$35),0)</f>
        <v>0</v>
      </c>
      <c r="AF445" s="109">
        <f t="shared" si="369"/>
        <v>0</v>
      </c>
      <c r="AG445" s="109">
        <f t="shared" si="370"/>
        <v>0</v>
      </c>
      <c r="AH445" s="109">
        <f t="shared" si="371"/>
        <v>0</v>
      </c>
      <c r="AI445" s="109">
        <f t="shared" si="372"/>
        <v>0</v>
      </c>
      <c r="AL445" s="109">
        <f>IF($BD445&gt;0,(((($BD445/Dashboard!$D$23)*(1+Precificação!$W$589)))+$AL$26)*(1+Dashboard!$D$35),0)</f>
        <v>0</v>
      </c>
      <c r="AM445" s="109">
        <f>IF($BD445&gt;0,(((($BD445/Dashboard!$D$23)*(1+Precificação!$W$589))*(1+AM$28))+$AA$26)*(1+Dashboard!$D$35),0)</f>
        <v>0</v>
      </c>
      <c r="AN445" s="109">
        <f>IF($BD445&gt;0,(((($BD445/Dashboard!$D$23)*(1+Precificação!$W$589))*(1+AN$28))+$AA$26)*(1+Dashboard!$D$35),0)</f>
        <v>0</v>
      </c>
      <c r="AO445" s="109">
        <f>IF($BD445&gt;0,(((($BD445/Dashboard!$D$23)*(1+Precificação!$W$589))*(1+AO$28))+$AA$26)*(1+Dashboard!$D$35),0)</f>
        <v>0</v>
      </c>
      <c r="AQ445" s="109">
        <f t="shared" si="373"/>
        <v>0</v>
      </c>
      <c r="AR445" s="109">
        <f t="shared" si="374"/>
        <v>0</v>
      </c>
      <c r="AS445" s="109">
        <f t="shared" si="375"/>
        <v>0</v>
      </c>
      <c r="AT445" s="109">
        <f t="shared" si="376"/>
        <v>0</v>
      </c>
      <c r="AW445" s="144">
        <f>VLOOKUP(B445,'Cronog. e Histog.'!$B$213:$BT$688,71,0)</f>
        <v>0</v>
      </c>
      <c r="AX445" s="144">
        <f>VLOOKUP(B445,'Cronog. e Histog.'!$B$213:$BU$688,72,0)</f>
        <v>0</v>
      </c>
      <c r="AY445" s="144">
        <f>$AW445*$AX445*Dashboard!$D$15</f>
        <v>0</v>
      </c>
      <c r="AZ445" s="144">
        <f>VLOOKUP(B445,Precificação!$B$96:$BM$533,54,0)</f>
        <v>0</v>
      </c>
      <c r="BA445" s="144">
        <f>VLOOKUP(B445,Precificação!$B$96:$BR$533,58,0)</f>
        <v>0</v>
      </c>
      <c r="BB445" s="144">
        <f>VLOOKUP(B445,Precificação!$B$96:$BW$533,62,0)</f>
        <v>0</v>
      </c>
      <c r="BC445" s="144">
        <f t="shared" si="377"/>
        <v>0</v>
      </c>
      <c r="BD445" s="109">
        <f>IFERROR(VLOOKUP(B445,Precificação!$B$96:$S$533,13,0),0)</f>
        <v>0</v>
      </c>
      <c r="BE445" s="109">
        <f>IFERROR(VLOOKUP(B445,Precificação!$B$96:$U$533,15,0)/(Precificação!$U$4+Precificação!$U$91),0)*Dashboard!$T$3</f>
        <v>0</v>
      </c>
    </row>
    <row r="446" spans="2:57" ht="12" customHeight="1" outlineLevel="1">
      <c r="B446" s="137" t="str">
        <f>Precificação!B439</f>
        <v>TEC II - Equipe_01</v>
      </c>
      <c r="D446" s="512"/>
      <c r="E446" s="143" t="str">
        <f>IF('Cronog. e Histog.'!G586&gt;0,'Cronog. e Histog.'!G586,"")</f>
        <v>TEC II</v>
      </c>
      <c r="G446" s="179">
        <f t="shared" si="364"/>
        <v>0</v>
      </c>
      <c r="H446" s="110">
        <f>IFERROR(INDEX('Base Salarial'!$D$5:$F$25,MATCH(E446,'Base Salarial'!$G$5:$G$25,0),MATCH(I446,'Base Salarial'!$D$4:$F$4,0)),"")</f>
        <v>4500</v>
      </c>
      <c r="I446" s="78" t="str">
        <f>IFERROR(INDEX(Tarefas!$BQ$29:$FK$29,MATCH(E446,Tarefas!$BQ$30:$FK$30,0)),"")</f>
        <v>Mensalista</v>
      </c>
      <c r="J446" s="81">
        <f>IF(I446="horista",H446*Dashboard!$D$15,IF(OR(I446="Mensalista",I446="PJ"),H446,))</f>
        <v>4500</v>
      </c>
      <c r="K446" s="81">
        <f>IF(I446="PJ",J446,ROUND(J446*(1+Dashboard!$D$22),2))</f>
        <v>4770</v>
      </c>
      <c r="L446" s="77"/>
      <c r="M446" s="180"/>
      <c r="P446" s="109">
        <f>IF($BD446&gt;0,(((($BD446/Dashboard!$D$15)*(1+Precificação!$W$589)))+$P$26)*(1+Dashboard!$D$35),0)</f>
        <v>0</v>
      </c>
      <c r="Q446" s="109">
        <f>IF($BD446&gt;0,(((($BD446/Dashboard!$D$23)+(1+Precificação!$W$589))*(1+Q$28))+$P$26)*(1+Dashboard!$D$35),0)</f>
        <v>0</v>
      </c>
      <c r="R446" s="109">
        <f>IF($BD446&gt;0,(((($BD446/Dashboard!$D$23)+(1+Precificação!$W$589))*(1+R$28))+$P$26)*(1+Dashboard!$D$35),0)</f>
        <v>0</v>
      </c>
      <c r="S446" s="109">
        <f>IF($BD446&gt;0,(((($BD446/Dashboard!$D$23)+(1+Precificação!$W$589))*(1+S$28))+$P$26)*(1+Dashboard!$D$35),0)</f>
        <v>0</v>
      </c>
      <c r="U446" s="109">
        <f t="shared" si="365"/>
        <v>0</v>
      </c>
      <c r="V446" s="109">
        <f t="shared" si="366"/>
        <v>0</v>
      </c>
      <c r="W446" s="109">
        <f t="shared" si="367"/>
        <v>0</v>
      </c>
      <c r="X446" s="109">
        <f t="shared" si="368"/>
        <v>0</v>
      </c>
      <c r="AA446" s="109">
        <f>IF($BD446&gt;0,(((($BD446/Dashboard!$D$23)*(1+Precificação!$W$589)))+$AA$26)*(1+Dashboard!$D$35),0)</f>
        <v>0</v>
      </c>
      <c r="AB446" s="109">
        <f>IF($BD446&gt;0,(((($BD446/Dashboard!$D$23)*(1+Precificação!$W$589))*(1+AB$28))+$AA$26)*(1+Dashboard!$D$35),0)</f>
        <v>0</v>
      </c>
      <c r="AC446" s="109">
        <f>IF($BD446&gt;0,(((($BD446/Dashboard!$D$23)*(1+Precificação!$W$589))*(1+AC$28))+$AA$26)*(1+Dashboard!$D$35),0)</f>
        <v>0</v>
      </c>
      <c r="AD446" s="109">
        <f>IF($BD446&gt;0,(((($BD446/Dashboard!$D$23)*(1+Precificação!$W$589))*(1+AD$28))+$AA$26)*(1+Dashboard!$D$35),0)</f>
        <v>0</v>
      </c>
      <c r="AF446" s="109">
        <f t="shared" si="369"/>
        <v>0</v>
      </c>
      <c r="AG446" s="109">
        <f t="shared" si="370"/>
        <v>0</v>
      </c>
      <c r="AH446" s="109">
        <f t="shared" si="371"/>
        <v>0</v>
      </c>
      <c r="AI446" s="109">
        <f t="shared" si="372"/>
        <v>0</v>
      </c>
      <c r="AL446" s="109">
        <f>IF($BD446&gt;0,(((($BD446/Dashboard!$D$23)*(1+Precificação!$W$589)))+$AL$26)*(1+Dashboard!$D$35),0)</f>
        <v>0</v>
      </c>
      <c r="AM446" s="109">
        <f>IF($BD446&gt;0,(((($BD446/Dashboard!$D$23)*(1+Precificação!$W$589))*(1+AM$28))+$AA$26)*(1+Dashboard!$D$35),0)</f>
        <v>0</v>
      </c>
      <c r="AN446" s="109">
        <f>IF($BD446&gt;0,(((($BD446/Dashboard!$D$23)*(1+Precificação!$W$589))*(1+AN$28))+$AA$26)*(1+Dashboard!$D$35),0)</f>
        <v>0</v>
      </c>
      <c r="AO446" s="109">
        <f>IF($BD446&gt;0,(((($BD446/Dashboard!$D$23)*(1+Precificação!$W$589))*(1+AO$28))+$AA$26)*(1+Dashboard!$D$35),0)</f>
        <v>0</v>
      </c>
      <c r="AQ446" s="109">
        <f t="shared" si="373"/>
        <v>0</v>
      </c>
      <c r="AR446" s="109">
        <f t="shared" si="374"/>
        <v>0</v>
      </c>
      <c r="AS446" s="109">
        <f t="shared" si="375"/>
        <v>0</v>
      </c>
      <c r="AT446" s="109">
        <f t="shared" si="376"/>
        <v>0</v>
      </c>
      <c r="AW446" s="144">
        <f>VLOOKUP(B446,'Cronog. e Histog.'!$B$213:$BT$688,71,0)</f>
        <v>0</v>
      </c>
      <c r="AX446" s="144">
        <f>VLOOKUP(B446,'Cronog. e Histog.'!$B$213:$BU$688,72,0)</f>
        <v>0</v>
      </c>
      <c r="AY446" s="144">
        <f>$AW446*$AX446*Dashboard!$D$15</f>
        <v>0</v>
      </c>
      <c r="AZ446" s="144">
        <f>VLOOKUP(B446,Precificação!$B$96:$BM$533,54,0)</f>
        <v>0</v>
      </c>
      <c r="BA446" s="144">
        <f>VLOOKUP(B446,Precificação!$B$96:$BR$533,58,0)</f>
        <v>0</v>
      </c>
      <c r="BB446" s="144">
        <f>VLOOKUP(B446,Precificação!$B$96:$BW$533,62,0)</f>
        <v>0</v>
      </c>
      <c r="BC446" s="144">
        <f t="shared" si="377"/>
        <v>0</v>
      </c>
      <c r="BD446" s="109">
        <f>IFERROR(VLOOKUP(B446,Precificação!$B$96:$S$533,13,0),0)</f>
        <v>0</v>
      </c>
      <c r="BE446" s="109">
        <f>IFERROR(VLOOKUP(B446,Precificação!$B$96:$U$533,15,0)/(Precificação!$U$4+Precificação!$U$91),0)*Dashboard!$T$3</f>
        <v>0</v>
      </c>
    </row>
    <row r="447" spans="2:57" ht="12" customHeight="1" outlineLevel="1">
      <c r="B447" s="137" t="str">
        <f>Precificação!B440</f>
        <v>TEC I - Equipe_01</v>
      </c>
      <c r="D447" s="512"/>
      <c r="E447" s="143" t="str">
        <f>IF('Cronog. e Histog.'!G587&gt;0,'Cronog. e Histog.'!G587,"")</f>
        <v>TEC I</v>
      </c>
      <c r="G447" s="179">
        <f t="shared" si="364"/>
        <v>0</v>
      </c>
      <c r="H447" s="110">
        <f>IFERROR(INDEX('Base Salarial'!$D$5:$F$25,MATCH(E447,'Base Salarial'!$G$5:$G$25,0),MATCH(I447,'Base Salarial'!$D$4:$F$4,0)),"")</f>
        <v>3000</v>
      </c>
      <c r="I447" s="78" t="str">
        <f>IFERROR(INDEX(Tarefas!$BQ$29:$FK$29,MATCH(E447,Tarefas!$BQ$30:$FK$30,0)),"")</f>
        <v>Mensalista</v>
      </c>
      <c r="J447" s="81">
        <f>IF(I447="horista",H447*Dashboard!$D$15,IF(OR(I447="Mensalista",I447="PJ"),H447,))</f>
        <v>3000</v>
      </c>
      <c r="K447" s="81">
        <f>IF(I447="PJ",J447,ROUND(J447*(1+Dashboard!$D$22),2))</f>
        <v>3180</v>
      </c>
      <c r="L447" s="77"/>
      <c r="M447" s="180"/>
      <c r="P447" s="109">
        <f>IF($BD447&gt;0,(((($BD447/Dashboard!$D$15)*(1+Precificação!$W$589)))+$P$26)*(1+Dashboard!$D$35),0)</f>
        <v>0</v>
      </c>
      <c r="Q447" s="109">
        <f>IF($BD447&gt;0,(((($BD447/Dashboard!$D$23)+(1+Precificação!$W$589))*(1+Q$28))+$P$26)*(1+Dashboard!$D$35),0)</f>
        <v>0</v>
      </c>
      <c r="R447" s="109">
        <f>IF($BD447&gt;0,(((($BD447/Dashboard!$D$23)+(1+Precificação!$W$589))*(1+R$28))+$P$26)*(1+Dashboard!$D$35),0)</f>
        <v>0</v>
      </c>
      <c r="S447" s="109">
        <f>IF($BD447&gt;0,(((($BD447/Dashboard!$D$23)+(1+Precificação!$W$589))*(1+S$28))+$P$26)*(1+Dashboard!$D$35),0)</f>
        <v>0</v>
      </c>
      <c r="U447" s="109">
        <f t="shared" si="365"/>
        <v>0</v>
      </c>
      <c r="V447" s="109">
        <f t="shared" si="366"/>
        <v>0</v>
      </c>
      <c r="W447" s="109">
        <f t="shared" si="367"/>
        <v>0</v>
      </c>
      <c r="X447" s="109">
        <f t="shared" si="368"/>
        <v>0</v>
      </c>
      <c r="AA447" s="109">
        <f>IF($BD447&gt;0,(((($BD447/Dashboard!$D$23)*(1+Precificação!$W$589)))+$AA$26)*(1+Dashboard!$D$35),0)</f>
        <v>0</v>
      </c>
      <c r="AB447" s="109">
        <f>IF($BD447&gt;0,(((($BD447/Dashboard!$D$23)*(1+Precificação!$W$589))*(1+AB$28))+$AA$26)*(1+Dashboard!$D$35),0)</f>
        <v>0</v>
      </c>
      <c r="AC447" s="109">
        <f>IF($BD447&gt;0,(((($BD447/Dashboard!$D$23)*(1+Precificação!$W$589))*(1+AC$28))+$AA$26)*(1+Dashboard!$D$35),0)</f>
        <v>0</v>
      </c>
      <c r="AD447" s="109">
        <f>IF($BD447&gt;0,(((($BD447/Dashboard!$D$23)*(1+Precificação!$W$589))*(1+AD$28))+$AA$26)*(1+Dashboard!$D$35),0)</f>
        <v>0</v>
      </c>
      <c r="AF447" s="109">
        <f t="shared" si="369"/>
        <v>0</v>
      </c>
      <c r="AG447" s="109">
        <f t="shared" si="370"/>
        <v>0</v>
      </c>
      <c r="AH447" s="109">
        <f t="shared" si="371"/>
        <v>0</v>
      </c>
      <c r="AI447" s="109">
        <f t="shared" si="372"/>
        <v>0</v>
      </c>
      <c r="AL447" s="109">
        <f>IF($BD447&gt;0,(((($BD447/Dashboard!$D$23)*(1+Precificação!$W$589)))+$AL$26)*(1+Dashboard!$D$35),0)</f>
        <v>0</v>
      </c>
      <c r="AM447" s="109">
        <f>IF($BD447&gt;0,(((($BD447/Dashboard!$D$23)*(1+Precificação!$W$589))*(1+AM$28))+$AA$26)*(1+Dashboard!$D$35),0)</f>
        <v>0</v>
      </c>
      <c r="AN447" s="109">
        <f>IF($BD447&gt;0,(((($BD447/Dashboard!$D$23)*(1+Precificação!$W$589))*(1+AN$28))+$AA$26)*(1+Dashboard!$D$35),0)</f>
        <v>0</v>
      </c>
      <c r="AO447" s="109">
        <f>IF($BD447&gt;0,(((($BD447/Dashboard!$D$23)*(1+Precificação!$W$589))*(1+AO$28))+$AA$26)*(1+Dashboard!$D$35),0)</f>
        <v>0</v>
      </c>
      <c r="AQ447" s="109">
        <f t="shared" si="373"/>
        <v>0</v>
      </c>
      <c r="AR447" s="109">
        <f t="shared" si="374"/>
        <v>0</v>
      </c>
      <c r="AS447" s="109">
        <f t="shared" si="375"/>
        <v>0</v>
      </c>
      <c r="AT447" s="109">
        <f t="shared" si="376"/>
        <v>0</v>
      </c>
      <c r="AW447" s="144">
        <f>VLOOKUP(B447,'Cronog. e Histog.'!$B$213:$BT$688,71,0)</f>
        <v>0</v>
      </c>
      <c r="AX447" s="144">
        <f>VLOOKUP(B447,'Cronog. e Histog.'!$B$213:$BU$688,72,0)</f>
        <v>0</v>
      </c>
      <c r="AY447" s="144">
        <f>$AW447*$AX447*Dashboard!$D$15</f>
        <v>0</v>
      </c>
      <c r="AZ447" s="144">
        <f>VLOOKUP(B447,Precificação!$B$96:$BM$533,54,0)</f>
        <v>0</v>
      </c>
      <c r="BA447" s="144">
        <f>VLOOKUP(B447,Precificação!$B$96:$BR$533,58,0)</f>
        <v>0</v>
      </c>
      <c r="BB447" s="144">
        <f>VLOOKUP(B447,Precificação!$B$96:$BW$533,62,0)</f>
        <v>0</v>
      </c>
      <c r="BC447" s="144">
        <f t="shared" si="377"/>
        <v>0</v>
      </c>
      <c r="BD447" s="109">
        <f>IFERROR(VLOOKUP(B447,Precificação!$B$96:$S$533,13,0),0)</f>
        <v>0</v>
      </c>
      <c r="BE447" s="109">
        <f>IFERROR(VLOOKUP(B447,Precificação!$B$96:$U$533,15,0)/(Precificação!$U$4+Precificação!$U$91),0)*Dashboard!$T$3</f>
        <v>0</v>
      </c>
    </row>
    <row r="448" spans="2:57" ht="12" customHeight="1" outlineLevel="1">
      <c r="B448" s="137" t="str">
        <f>Precificação!B441</f>
        <v>AUX TEC - Equipe_01</v>
      </c>
      <c r="D448" s="512"/>
      <c r="E448" s="143" t="str">
        <f>IF('Cronog. e Histog.'!G588&gt;0,'Cronog. e Histog.'!G588,"")</f>
        <v>AUX TEC</v>
      </c>
      <c r="G448" s="179">
        <f t="shared" si="364"/>
        <v>0</v>
      </c>
      <c r="H448" s="110">
        <f>IFERROR(INDEX('Base Salarial'!$D$5:$F$25,MATCH(E448,'Base Salarial'!$G$5:$G$25,0),MATCH(I448,'Base Salarial'!$D$4:$F$4,0)),"")</f>
        <v>3500</v>
      </c>
      <c r="I448" s="78" t="str">
        <f>IFERROR(INDEX(Tarefas!$BQ$29:$FK$29,MATCH(E448,Tarefas!$BQ$30:$FK$30,0)),"")</f>
        <v>Mensalista</v>
      </c>
      <c r="J448" s="81">
        <f>IF(I448="horista",H448*Dashboard!$D$15,IF(OR(I448="Mensalista",I448="PJ"),H448,))</f>
        <v>3500</v>
      </c>
      <c r="K448" s="81">
        <f>IF(I448="PJ",J448,ROUND(J448*(1+Dashboard!$D$22),2))</f>
        <v>3710</v>
      </c>
      <c r="L448" s="77"/>
      <c r="M448" s="180"/>
      <c r="P448" s="109">
        <f>IF($BD448&gt;0,(((($BD448/Dashboard!$D$15)*(1+Precificação!$W$589)))+$P$26)*(1+Dashboard!$D$35),0)</f>
        <v>0</v>
      </c>
      <c r="Q448" s="109">
        <f>IF($BD448&gt;0,(((($BD448/Dashboard!$D$23)+(1+Precificação!$W$589))*(1+Q$28))+$P$26)*(1+Dashboard!$D$35),0)</f>
        <v>0</v>
      </c>
      <c r="R448" s="109">
        <f>IF($BD448&gt;0,(((($BD448/Dashboard!$D$23)+(1+Precificação!$W$589))*(1+R$28))+$P$26)*(1+Dashboard!$D$35),0)</f>
        <v>0</v>
      </c>
      <c r="S448" s="109">
        <f>IF($BD448&gt;0,(((($BD448/Dashboard!$D$23)+(1+Precificação!$W$589))*(1+S$28))+$P$26)*(1+Dashboard!$D$35),0)</f>
        <v>0</v>
      </c>
      <c r="U448" s="109">
        <f t="shared" si="365"/>
        <v>0</v>
      </c>
      <c r="V448" s="109">
        <f t="shared" si="366"/>
        <v>0</v>
      </c>
      <c r="W448" s="109">
        <f t="shared" si="367"/>
        <v>0</v>
      </c>
      <c r="X448" s="109">
        <f t="shared" si="368"/>
        <v>0</v>
      </c>
      <c r="AA448" s="109">
        <f>IF($BD448&gt;0,(((($BD448/Dashboard!$D$23)*(1+Precificação!$W$589)))+$AA$26)*(1+Dashboard!$D$35),0)</f>
        <v>0</v>
      </c>
      <c r="AB448" s="109">
        <f>IF($BD448&gt;0,(((($BD448/Dashboard!$D$23)*(1+Precificação!$W$589))*(1+AB$28))+$AA$26)*(1+Dashboard!$D$35),0)</f>
        <v>0</v>
      </c>
      <c r="AC448" s="109">
        <f>IF($BD448&gt;0,(((($BD448/Dashboard!$D$23)*(1+Precificação!$W$589))*(1+AC$28))+$AA$26)*(1+Dashboard!$D$35),0)</f>
        <v>0</v>
      </c>
      <c r="AD448" s="109">
        <f>IF($BD448&gt;0,(((($BD448/Dashboard!$D$23)*(1+Precificação!$W$589))*(1+AD$28))+$AA$26)*(1+Dashboard!$D$35),0)</f>
        <v>0</v>
      </c>
      <c r="AF448" s="109">
        <f t="shared" si="369"/>
        <v>0</v>
      </c>
      <c r="AG448" s="109">
        <f t="shared" si="370"/>
        <v>0</v>
      </c>
      <c r="AH448" s="109">
        <f t="shared" si="371"/>
        <v>0</v>
      </c>
      <c r="AI448" s="109">
        <f t="shared" si="372"/>
        <v>0</v>
      </c>
      <c r="AL448" s="109">
        <f>IF($BD448&gt;0,(((($BD448/Dashboard!$D$23)*(1+Precificação!$W$589)))+$AL$26)*(1+Dashboard!$D$35),0)</f>
        <v>0</v>
      </c>
      <c r="AM448" s="109">
        <f>IF($BD448&gt;0,(((($BD448/Dashboard!$D$23)*(1+Precificação!$W$589))*(1+AM$28))+$AA$26)*(1+Dashboard!$D$35),0)</f>
        <v>0</v>
      </c>
      <c r="AN448" s="109">
        <f>IF($BD448&gt;0,(((($BD448/Dashboard!$D$23)*(1+Precificação!$W$589))*(1+AN$28))+$AA$26)*(1+Dashboard!$D$35),0)</f>
        <v>0</v>
      </c>
      <c r="AO448" s="109">
        <f>IF($BD448&gt;0,(((($BD448/Dashboard!$D$23)*(1+Precificação!$W$589))*(1+AO$28))+$AA$26)*(1+Dashboard!$D$35),0)</f>
        <v>0</v>
      </c>
      <c r="AQ448" s="109">
        <f t="shared" si="373"/>
        <v>0</v>
      </c>
      <c r="AR448" s="109">
        <f t="shared" si="374"/>
        <v>0</v>
      </c>
      <c r="AS448" s="109">
        <f t="shared" si="375"/>
        <v>0</v>
      </c>
      <c r="AT448" s="109">
        <f t="shared" si="376"/>
        <v>0</v>
      </c>
      <c r="AW448" s="144">
        <f>VLOOKUP(B448,'Cronog. e Histog.'!$B$213:$BT$688,71,0)</f>
        <v>0</v>
      </c>
      <c r="AX448" s="144">
        <f>VLOOKUP(B448,'Cronog. e Histog.'!$B$213:$BU$688,72,0)</f>
        <v>0</v>
      </c>
      <c r="AY448" s="144">
        <f>$AW448*$AX448*Dashboard!$D$15</f>
        <v>0</v>
      </c>
      <c r="AZ448" s="144">
        <f>VLOOKUP(B448,Precificação!$B$96:$BM$533,54,0)</f>
        <v>0</v>
      </c>
      <c r="BA448" s="144">
        <f>VLOOKUP(B448,Precificação!$B$96:$BR$533,58,0)</f>
        <v>0</v>
      </c>
      <c r="BB448" s="144">
        <f>VLOOKUP(B448,Precificação!$B$96:$BW$533,62,0)</f>
        <v>0</v>
      </c>
      <c r="BC448" s="144">
        <f t="shared" si="377"/>
        <v>0</v>
      </c>
      <c r="BD448" s="109">
        <f>IFERROR(VLOOKUP(B448,Precificação!$B$96:$S$533,13,0),0)</f>
        <v>0</v>
      </c>
      <c r="BE448" s="109">
        <f>IFERROR(VLOOKUP(B448,Precificação!$B$96:$U$533,15,0)/(Precificação!$U$4+Precificação!$U$91),0)*Dashboard!$T$3</f>
        <v>0</v>
      </c>
    </row>
    <row r="449" spans="2:57" ht="12" customHeight="1" outlineLevel="1">
      <c r="B449" s="137" t="str">
        <f>Precificação!B442</f>
        <v>AUX ADM - Equipe_01</v>
      </c>
      <c r="D449" s="512"/>
      <c r="E449" s="143" t="str">
        <f>IF('Cronog. e Histog.'!G589&gt;0,'Cronog. e Histog.'!G589,"")</f>
        <v>AUX ADM</v>
      </c>
      <c r="G449" s="179">
        <f t="shared" si="364"/>
        <v>0</v>
      </c>
      <c r="H449" s="110">
        <f>IFERROR(INDEX('Base Salarial'!$D$5:$F$25,MATCH(E449,'Base Salarial'!$G$5:$G$25,0),MATCH(I449,'Base Salarial'!$D$4:$F$4,0)),"")</f>
        <v>1804</v>
      </c>
      <c r="I449" s="78" t="str">
        <f>IFERROR(INDEX(Tarefas!$BQ$29:$FK$29,MATCH(E449,Tarefas!$BQ$30:$FK$30,0)),"")</f>
        <v>Mensalista</v>
      </c>
      <c r="J449" s="81">
        <f>IF(I449="horista",H449*Dashboard!$D$15,IF(OR(I449="Mensalista",I449="PJ"),H449,))</f>
        <v>1804</v>
      </c>
      <c r="K449" s="81">
        <f>IF(I449="PJ",J449,ROUND(J449*(1+Dashboard!$D$22),2))</f>
        <v>1912.24</v>
      </c>
      <c r="L449" s="77"/>
      <c r="M449" s="180"/>
      <c r="P449" s="109">
        <f>IF($BD449&gt;0,(((($BD449/Dashboard!$D$15)*(1+Precificação!$W$589)))+$P$26)*(1+Dashboard!$D$35),0)</f>
        <v>0</v>
      </c>
      <c r="Q449" s="109">
        <f>IF($BD449&gt;0,(((($BD449/Dashboard!$D$23)+(1+Precificação!$W$589))*(1+Q$28))+$P$26)*(1+Dashboard!$D$35),0)</f>
        <v>0</v>
      </c>
      <c r="R449" s="109">
        <f>IF($BD449&gt;0,(((($BD449/Dashboard!$D$23)+(1+Precificação!$W$589))*(1+R$28))+$P$26)*(1+Dashboard!$D$35),0)</f>
        <v>0</v>
      </c>
      <c r="S449" s="109">
        <f>IF($BD449&gt;0,(((($BD449/Dashboard!$D$23)+(1+Precificação!$W$589))*(1+S$28))+$P$26)*(1+Dashboard!$D$35),0)</f>
        <v>0</v>
      </c>
      <c r="U449" s="109">
        <f t="shared" si="365"/>
        <v>0</v>
      </c>
      <c r="V449" s="109">
        <f t="shared" si="366"/>
        <v>0</v>
      </c>
      <c r="W449" s="109">
        <f t="shared" si="367"/>
        <v>0</v>
      </c>
      <c r="X449" s="109">
        <f t="shared" si="368"/>
        <v>0</v>
      </c>
      <c r="AA449" s="109">
        <f>IF($BD449&gt;0,(((($BD449/Dashboard!$D$23)*(1+Precificação!$W$589)))+$AA$26)*(1+Dashboard!$D$35),0)</f>
        <v>0</v>
      </c>
      <c r="AB449" s="109">
        <f>IF($BD449&gt;0,(((($BD449/Dashboard!$D$23)*(1+Precificação!$W$589))*(1+AB$28))+$AA$26)*(1+Dashboard!$D$35),0)</f>
        <v>0</v>
      </c>
      <c r="AC449" s="109">
        <f>IF($BD449&gt;0,(((($BD449/Dashboard!$D$23)*(1+Precificação!$W$589))*(1+AC$28))+$AA$26)*(1+Dashboard!$D$35),0)</f>
        <v>0</v>
      </c>
      <c r="AD449" s="109">
        <f>IF($BD449&gt;0,(((($BD449/Dashboard!$D$23)*(1+Precificação!$W$589))*(1+AD$28))+$AA$26)*(1+Dashboard!$D$35),0)</f>
        <v>0</v>
      </c>
      <c r="AF449" s="109">
        <f t="shared" si="369"/>
        <v>0</v>
      </c>
      <c r="AG449" s="109">
        <f t="shared" si="370"/>
        <v>0</v>
      </c>
      <c r="AH449" s="109">
        <f t="shared" si="371"/>
        <v>0</v>
      </c>
      <c r="AI449" s="109">
        <f t="shared" si="372"/>
        <v>0</v>
      </c>
      <c r="AL449" s="109">
        <f>IF($BD449&gt;0,(((($BD449/Dashboard!$D$23)*(1+Precificação!$W$589)))+$AL$26)*(1+Dashboard!$D$35),0)</f>
        <v>0</v>
      </c>
      <c r="AM449" s="109">
        <f>IF($BD449&gt;0,(((($BD449/Dashboard!$D$23)*(1+Precificação!$W$589))*(1+AM$28))+$AA$26)*(1+Dashboard!$D$35),0)</f>
        <v>0</v>
      </c>
      <c r="AN449" s="109">
        <f>IF($BD449&gt;0,(((($BD449/Dashboard!$D$23)*(1+Precificação!$W$589))*(1+AN$28))+$AA$26)*(1+Dashboard!$D$35),0)</f>
        <v>0</v>
      </c>
      <c r="AO449" s="109">
        <f>IF($BD449&gt;0,(((($BD449/Dashboard!$D$23)*(1+Precificação!$W$589))*(1+AO$28))+$AA$26)*(1+Dashboard!$D$35),0)</f>
        <v>0</v>
      </c>
      <c r="AQ449" s="109">
        <f t="shared" si="373"/>
        <v>0</v>
      </c>
      <c r="AR449" s="109">
        <f t="shared" si="374"/>
        <v>0</v>
      </c>
      <c r="AS449" s="109">
        <f t="shared" si="375"/>
        <v>0</v>
      </c>
      <c r="AT449" s="109">
        <f t="shared" si="376"/>
        <v>0</v>
      </c>
      <c r="AW449" s="144">
        <f>VLOOKUP(B449,'Cronog. e Histog.'!$B$213:$BT$688,71,0)</f>
        <v>0</v>
      </c>
      <c r="AX449" s="144">
        <f>VLOOKUP(B449,'Cronog. e Histog.'!$B$213:$BU$688,72,0)</f>
        <v>0</v>
      </c>
      <c r="AY449" s="144">
        <f>$AW449*$AX449*Dashboard!$D$15</f>
        <v>0</v>
      </c>
      <c r="AZ449" s="144">
        <f>VLOOKUP(B449,Precificação!$B$96:$BM$533,54,0)</f>
        <v>0</v>
      </c>
      <c r="BA449" s="144">
        <f>VLOOKUP(B449,Precificação!$B$96:$BR$533,58,0)</f>
        <v>0</v>
      </c>
      <c r="BB449" s="144">
        <f>VLOOKUP(B449,Precificação!$B$96:$BW$533,62,0)</f>
        <v>0</v>
      </c>
      <c r="BC449" s="144">
        <f t="shared" si="377"/>
        <v>0</v>
      </c>
      <c r="BD449" s="109">
        <f>IFERROR(VLOOKUP(B449,Precificação!$B$96:$S$533,13,0),0)</f>
        <v>0</v>
      </c>
      <c r="BE449" s="109">
        <f>IFERROR(VLOOKUP(B449,Precificação!$B$96:$U$533,15,0)/(Precificação!$U$4+Precificação!$U$91),0)*Dashboard!$T$3</f>
        <v>0</v>
      </c>
    </row>
    <row r="450" spans="2:57" ht="12" customHeight="1" outlineLevel="1">
      <c r="B450" s="137" t="str">
        <f>Precificação!B443</f>
        <v>EST - Equipe_01</v>
      </c>
      <c r="D450" s="512"/>
      <c r="E450" s="143" t="str">
        <f>IF('Cronog. e Histog.'!G590&gt;0,'Cronog. e Histog.'!G590,"")</f>
        <v>EST</v>
      </c>
      <c r="G450" s="179">
        <f t="shared" si="364"/>
        <v>0</v>
      </c>
      <c r="H450" s="110">
        <f>IFERROR(INDEX('Base Salarial'!$D$5:$F$25,MATCH(E450,'Base Salarial'!$G$5:$G$25,0),MATCH(I450,'Base Salarial'!$D$4:$F$4,0)),"")</f>
        <v>1633</v>
      </c>
      <c r="I450" s="78" t="str">
        <f>IFERROR(INDEX(Tarefas!$BQ$29:$FK$29,MATCH(E450,Tarefas!$BQ$30:$FK$30,0)),"")</f>
        <v>PJ</v>
      </c>
      <c r="J450" s="81">
        <f>IF(I450="horista",H450*Dashboard!$D$15,IF(OR(I450="Mensalista",I450="PJ"),H450,))</f>
        <v>1633</v>
      </c>
      <c r="K450" s="81">
        <f>IF(I450="PJ",J450,ROUND(J450*(1+Dashboard!$D$22),2))</f>
        <v>1633</v>
      </c>
      <c r="L450" s="77"/>
      <c r="M450" s="180"/>
      <c r="P450" s="109">
        <f>IF($BD450&gt;0,(((($BD450/Dashboard!$D$15)*(1+Precificação!$W$589)))+$P$26)*(1+Dashboard!$D$35),0)</f>
        <v>0</v>
      </c>
      <c r="Q450" s="109">
        <f>IF($BD450&gt;0,(((($BD450/Dashboard!$D$23)+(1+Precificação!$W$589))*(1+Q$28))+$P$26)*(1+Dashboard!$D$35),0)</f>
        <v>0</v>
      </c>
      <c r="R450" s="109">
        <f>IF($BD450&gt;0,(((($BD450/Dashboard!$D$23)+(1+Precificação!$W$589))*(1+R$28))+$P$26)*(1+Dashboard!$D$35),0)</f>
        <v>0</v>
      </c>
      <c r="S450" s="109">
        <f>IF($BD450&gt;0,(((($BD450/Dashboard!$D$23)+(1+Precificação!$W$589))*(1+S$28))+$P$26)*(1+Dashboard!$D$35),0)</f>
        <v>0</v>
      </c>
      <c r="U450" s="109">
        <f t="shared" si="365"/>
        <v>0</v>
      </c>
      <c r="V450" s="109">
        <f t="shared" si="366"/>
        <v>0</v>
      </c>
      <c r="W450" s="109">
        <f t="shared" si="367"/>
        <v>0</v>
      </c>
      <c r="X450" s="109">
        <f t="shared" si="368"/>
        <v>0</v>
      </c>
      <c r="AA450" s="109">
        <f>IF($BD450&gt;0,(((($BD450/Dashboard!$D$23)*(1+Precificação!$W$589)))+$AA$26)*(1+Dashboard!$D$35),0)</f>
        <v>0</v>
      </c>
      <c r="AB450" s="109">
        <f>IF($BD450&gt;0,(((($BD450/Dashboard!$D$23)*(1+Precificação!$W$589))*(1+AB$28))+$AA$26)*(1+Dashboard!$D$35),0)</f>
        <v>0</v>
      </c>
      <c r="AC450" s="109">
        <f>IF($BD450&gt;0,(((($BD450/Dashboard!$D$23)*(1+Precificação!$W$589))*(1+AC$28))+$AA$26)*(1+Dashboard!$D$35),0)</f>
        <v>0</v>
      </c>
      <c r="AD450" s="109">
        <f>IF($BD450&gt;0,(((($BD450/Dashboard!$D$23)*(1+Precificação!$W$589))*(1+AD$28))+$AA$26)*(1+Dashboard!$D$35),0)</f>
        <v>0</v>
      </c>
      <c r="AF450" s="109">
        <f t="shared" si="369"/>
        <v>0</v>
      </c>
      <c r="AG450" s="109">
        <f t="shared" si="370"/>
        <v>0</v>
      </c>
      <c r="AH450" s="109">
        <f t="shared" si="371"/>
        <v>0</v>
      </c>
      <c r="AI450" s="109">
        <f t="shared" si="372"/>
        <v>0</v>
      </c>
      <c r="AL450" s="109">
        <f>IF($BD450&gt;0,(((($BD450/Dashboard!$D$23)*(1+Precificação!$W$589)))+$AL$26)*(1+Dashboard!$D$35),0)</f>
        <v>0</v>
      </c>
      <c r="AM450" s="109">
        <f>IF($BD450&gt;0,(((($BD450/Dashboard!$D$23)*(1+Precificação!$W$589))*(1+AM$28))+$AA$26)*(1+Dashboard!$D$35),0)</f>
        <v>0</v>
      </c>
      <c r="AN450" s="109">
        <f>IF($BD450&gt;0,(((($BD450/Dashboard!$D$23)*(1+Precificação!$W$589))*(1+AN$28))+$AA$26)*(1+Dashboard!$D$35),0)</f>
        <v>0</v>
      </c>
      <c r="AO450" s="109">
        <f>IF($BD450&gt;0,(((($BD450/Dashboard!$D$23)*(1+Precificação!$W$589))*(1+AO$28))+$AA$26)*(1+Dashboard!$D$35),0)</f>
        <v>0</v>
      </c>
      <c r="AQ450" s="109">
        <f t="shared" si="373"/>
        <v>0</v>
      </c>
      <c r="AR450" s="109">
        <f t="shared" si="374"/>
        <v>0</v>
      </c>
      <c r="AS450" s="109">
        <f t="shared" si="375"/>
        <v>0</v>
      </c>
      <c r="AT450" s="109">
        <f t="shared" si="376"/>
        <v>0</v>
      </c>
      <c r="AW450" s="144">
        <f>VLOOKUP(B450,'Cronog. e Histog.'!$B$213:$BT$688,71,0)</f>
        <v>0</v>
      </c>
      <c r="AX450" s="144">
        <f>VLOOKUP(B450,'Cronog. e Histog.'!$B$213:$BU$688,72,0)</f>
        <v>0</v>
      </c>
      <c r="AY450" s="144">
        <f>$AW450*$AX450*Dashboard!$D$15</f>
        <v>0</v>
      </c>
      <c r="AZ450" s="144">
        <f>VLOOKUP(B450,Precificação!$B$96:$BM$533,54,0)</f>
        <v>0</v>
      </c>
      <c r="BA450" s="144">
        <f>VLOOKUP(B450,Precificação!$B$96:$BR$533,58,0)</f>
        <v>0</v>
      </c>
      <c r="BB450" s="144">
        <f>VLOOKUP(B450,Precificação!$B$96:$BW$533,62,0)</f>
        <v>0</v>
      </c>
      <c r="BC450" s="144">
        <f t="shared" si="377"/>
        <v>0</v>
      </c>
      <c r="BD450" s="109">
        <f>IFERROR(VLOOKUP(B450,Precificação!$B$96:$S$533,13,0),0)</f>
        <v>0</v>
      </c>
      <c r="BE450" s="109">
        <f>IFERROR(VLOOKUP(B450,Precificação!$B$96:$U$533,15,0)/(Precificação!$U$4+Precificação!$U$91),0)*Dashboard!$T$3</f>
        <v>0</v>
      </c>
    </row>
    <row r="451" spans="2:57" ht="12" customHeight="1" outlineLevel="1">
      <c r="B451" s="137" t="str">
        <f>Precificação!B444</f>
        <v>EST_II - Equipe_01</v>
      </c>
      <c r="D451" s="512"/>
      <c r="E451" s="143" t="str">
        <f>IF('Cronog. e Histog.'!G591&gt;0,'Cronog. e Histog.'!G591,"")</f>
        <v>EST_II</v>
      </c>
      <c r="G451" s="179">
        <f t="shared" si="364"/>
        <v>0</v>
      </c>
      <c r="H451" s="110">
        <f>IFERROR(INDEX('Base Salarial'!$D$5:$F$25,MATCH(E451,'Base Salarial'!$G$5:$G$25,0),MATCH(I451,'Base Salarial'!$D$4:$F$4,0)),"")</f>
        <v>1633</v>
      </c>
      <c r="I451" s="78" t="str">
        <f>IFERROR(INDEX(Tarefas!$BQ$29:$FK$29,MATCH(E451,Tarefas!$BQ$30:$FK$30,0)),"")</f>
        <v>PJ</v>
      </c>
      <c r="J451" s="81">
        <f>IF(I451="horista",H451*Dashboard!$D$15,IF(OR(I451="Mensalista",I451="PJ"),H451,))</f>
        <v>1633</v>
      </c>
      <c r="K451" s="81">
        <f>IF(I451="PJ",J451,ROUND(J451*(1+Dashboard!$D$22),2))</f>
        <v>1633</v>
      </c>
      <c r="L451" s="77"/>
      <c r="M451" s="180"/>
      <c r="P451" s="109">
        <f>IF($BD451&gt;0,(((($BD451/Dashboard!$D$15)*(1+Precificação!$W$589)))+$P$26)*(1+Dashboard!$D$35),0)</f>
        <v>0</v>
      </c>
      <c r="Q451" s="109">
        <f>IF($BD451&gt;0,(((($BD451/Dashboard!$D$23)+(1+Precificação!$W$589))*(1+Q$28))+$P$26)*(1+Dashboard!$D$35),0)</f>
        <v>0</v>
      </c>
      <c r="R451" s="109">
        <f>IF($BD451&gt;0,(((($BD451/Dashboard!$D$23)+(1+Precificação!$W$589))*(1+R$28))+$P$26)*(1+Dashboard!$D$35),0)</f>
        <v>0</v>
      </c>
      <c r="S451" s="109">
        <f>IF($BD451&gt;0,(((($BD451/Dashboard!$D$23)+(1+Precificação!$W$589))*(1+S$28))+$P$26)*(1+Dashboard!$D$35),0)</f>
        <v>0</v>
      </c>
      <c r="U451" s="109">
        <f t="shared" si="365"/>
        <v>0</v>
      </c>
      <c r="V451" s="109">
        <f t="shared" si="366"/>
        <v>0</v>
      </c>
      <c r="W451" s="109">
        <f t="shared" si="367"/>
        <v>0</v>
      </c>
      <c r="X451" s="109">
        <f t="shared" si="368"/>
        <v>0</v>
      </c>
      <c r="AA451" s="109">
        <f>IF($BD451&gt;0,(((($BD451/Dashboard!$D$23)*(1+Precificação!$W$589)))+$AA$26)*(1+Dashboard!$D$35),0)</f>
        <v>0</v>
      </c>
      <c r="AB451" s="109">
        <f>IF($BD451&gt;0,(((($BD451/Dashboard!$D$23)*(1+Precificação!$W$589))*(1+AB$28))+$AA$26)*(1+Dashboard!$D$35),0)</f>
        <v>0</v>
      </c>
      <c r="AC451" s="109">
        <f>IF($BD451&gt;0,(((($BD451/Dashboard!$D$23)*(1+Precificação!$W$589))*(1+AC$28))+$AA$26)*(1+Dashboard!$D$35),0)</f>
        <v>0</v>
      </c>
      <c r="AD451" s="109">
        <f>IF($BD451&gt;0,(((($BD451/Dashboard!$D$23)*(1+Precificação!$W$589))*(1+AD$28))+$AA$26)*(1+Dashboard!$D$35),0)</f>
        <v>0</v>
      </c>
      <c r="AF451" s="109">
        <f t="shared" si="369"/>
        <v>0</v>
      </c>
      <c r="AG451" s="109">
        <f t="shared" si="370"/>
        <v>0</v>
      </c>
      <c r="AH451" s="109">
        <f t="shared" si="371"/>
        <v>0</v>
      </c>
      <c r="AI451" s="109">
        <f t="shared" si="372"/>
        <v>0</v>
      </c>
      <c r="AL451" s="109">
        <f>IF($BD451&gt;0,(((($BD451/Dashboard!$D$23)*(1+Precificação!$W$589)))+$AL$26)*(1+Dashboard!$D$35),0)</f>
        <v>0</v>
      </c>
      <c r="AM451" s="109">
        <f>IF($BD451&gt;0,(((($BD451/Dashboard!$D$23)*(1+Precificação!$W$589))*(1+AM$28))+$AA$26)*(1+Dashboard!$D$35),0)</f>
        <v>0</v>
      </c>
      <c r="AN451" s="109">
        <f>IF($BD451&gt;0,(((($BD451/Dashboard!$D$23)*(1+Precificação!$W$589))*(1+AN$28))+$AA$26)*(1+Dashboard!$D$35),0)</f>
        <v>0</v>
      </c>
      <c r="AO451" s="109">
        <f>IF($BD451&gt;0,(((($BD451/Dashboard!$D$23)*(1+Precificação!$W$589))*(1+AO$28))+$AA$26)*(1+Dashboard!$D$35),0)</f>
        <v>0</v>
      </c>
      <c r="AQ451" s="109">
        <f t="shared" si="373"/>
        <v>0</v>
      </c>
      <c r="AR451" s="109">
        <f t="shared" si="374"/>
        <v>0</v>
      </c>
      <c r="AS451" s="109">
        <f t="shared" si="375"/>
        <v>0</v>
      </c>
      <c r="AT451" s="109">
        <f t="shared" si="376"/>
        <v>0</v>
      </c>
      <c r="AW451" s="144">
        <f>VLOOKUP(B451,'Cronog. e Histog.'!$B$213:$BT$688,71,0)</f>
        <v>0</v>
      </c>
      <c r="AX451" s="144">
        <f>VLOOKUP(B451,'Cronog. e Histog.'!$B$213:$BU$688,72,0)</f>
        <v>0</v>
      </c>
      <c r="AY451" s="144">
        <f>$AW451*$AX451*Dashboard!$D$15</f>
        <v>0</v>
      </c>
      <c r="AZ451" s="144">
        <f>VLOOKUP(B451,Precificação!$B$96:$BM$533,54,0)</f>
        <v>0</v>
      </c>
      <c r="BA451" s="144">
        <f>VLOOKUP(B451,Precificação!$B$96:$BR$533,58,0)</f>
        <v>0</v>
      </c>
      <c r="BB451" s="144">
        <f>VLOOKUP(B451,Precificação!$B$96:$BW$533,62,0)</f>
        <v>0</v>
      </c>
      <c r="BC451" s="144">
        <f t="shared" si="377"/>
        <v>0</v>
      </c>
      <c r="BD451" s="109">
        <f>IFERROR(VLOOKUP(B451,Precificação!$B$96:$S$533,13,0),0)</f>
        <v>0</v>
      </c>
      <c r="BE451" s="109">
        <f>IFERROR(VLOOKUP(B451,Precificação!$B$96:$U$533,15,0)/(Precificação!$U$4+Precificação!$U$91),0)*Dashboard!$T$3</f>
        <v>0</v>
      </c>
    </row>
    <row r="452" spans="2:57" ht="12" customHeight="1" outlineLevel="1">
      <c r="B452" s="137" t="str">
        <f>Precificação!B445</f>
        <v>EST_III - Equipe_01</v>
      </c>
      <c r="D452" s="512"/>
      <c r="E452" s="143" t="str">
        <f>IF('Cronog. e Histog.'!G592&gt;0,'Cronog. e Histog.'!G592,"")</f>
        <v>EST_III</v>
      </c>
      <c r="G452" s="179">
        <f t="shared" si="364"/>
        <v>0</v>
      </c>
      <c r="H452" s="110">
        <f>IFERROR(INDEX('Base Salarial'!$D$5:$F$25,MATCH(E452,'Base Salarial'!$G$5:$G$25,0),MATCH(I452,'Base Salarial'!$D$4:$F$4,0)),"")</f>
        <v>1633</v>
      </c>
      <c r="I452" s="78" t="str">
        <f>IFERROR(INDEX(Tarefas!$BQ$29:$FK$29,MATCH(E452,Tarefas!$BQ$30:$FK$30,0)),"")</f>
        <v>PJ</v>
      </c>
      <c r="J452" s="81">
        <f>IF(I452="horista",H452*Dashboard!$D$15,IF(OR(I452="Mensalista",I452="PJ"),H452,))</f>
        <v>1633</v>
      </c>
      <c r="K452" s="81">
        <f>IF(I452="PJ",J452,ROUND(J452*(1+Dashboard!$D$22),2))</f>
        <v>1633</v>
      </c>
      <c r="L452" s="77"/>
      <c r="M452" s="180"/>
      <c r="P452" s="109">
        <f>IF($BD452&gt;0,(((($BD452/Dashboard!$D$15)*(1+Precificação!$W$589)))+$P$26)*(1+Dashboard!$D$35),0)</f>
        <v>0</v>
      </c>
      <c r="Q452" s="109">
        <f>IF($BD452&gt;0,(((($BD452/Dashboard!$D$23)+(1+Precificação!$W$589))*(1+Q$28))+$P$26)*(1+Dashboard!$D$35),0)</f>
        <v>0</v>
      </c>
      <c r="R452" s="109">
        <f>IF($BD452&gt;0,(((($BD452/Dashboard!$D$23)+(1+Precificação!$W$589))*(1+R$28))+$P$26)*(1+Dashboard!$D$35),0)</f>
        <v>0</v>
      </c>
      <c r="S452" s="109">
        <f>IF($BD452&gt;0,(((($BD452/Dashboard!$D$23)+(1+Precificação!$W$589))*(1+S$28))+$P$26)*(1+Dashboard!$D$35),0)</f>
        <v>0</v>
      </c>
      <c r="U452" s="109">
        <f t="shared" si="365"/>
        <v>0</v>
      </c>
      <c r="V452" s="109">
        <f t="shared" si="366"/>
        <v>0</v>
      </c>
      <c r="W452" s="109">
        <f t="shared" si="367"/>
        <v>0</v>
      </c>
      <c r="X452" s="109">
        <f t="shared" si="368"/>
        <v>0</v>
      </c>
      <c r="AA452" s="109">
        <f>IF($BD452&gt;0,(((($BD452/Dashboard!$D$23)*(1+Precificação!$W$589)))+$AA$26)*(1+Dashboard!$D$35),0)</f>
        <v>0</v>
      </c>
      <c r="AB452" s="109">
        <f>IF($BD452&gt;0,(((($BD452/Dashboard!$D$23)*(1+Precificação!$W$589))*(1+AB$28))+$AA$26)*(1+Dashboard!$D$35),0)</f>
        <v>0</v>
      </c>
      <c r="AC452" s="109">
        <f>IF($BD452&gt;0,(((($BD452/Dashboard!$D$23)*(1+Precificação!$W$589))*(1+AC$28))+$AA$26)*(1+Dashboard!$D$35),0)</f>
        <v>0</v>
      </c>
      <c r="AD452" s="109">
        <f>IF($BD452&gt;0,(((($BD452/Dashboard!$D$23)*(1+Precificação!$W$589))*(1+AD$28))+$AA$26)*(1+Dashboard!$D$35),0)</f>
        <v>0</v>
      </c>
      <c r="AF452" s="109">
        <f t="shared" si="369"/>
        <v>0</v>
      </c>
      <c r="AG452" s="109">
        <f t="shared" si="370"/>
        <v>0</v>
      </c>
      <c r="AH452" s="109">
        <f t="shared" si="371"/>
        <v>0</v>
      </c>
      <c r="AI452" s="109">
        <f t="shared" si="372"/>
        <v>0</v>
      </c>
      <c r="AL452" s="109">
        <f>IF($BD452&gt;0,(((($BD452/Dashboard!$D$23)*(1+Precificação!$W$589)))+$AL$26)*(1+Dashboard!$D$35),0)</f>
        <v>0</v>
      </c>
      <c r="AM452" s="109">
        <f>IF($BD452&gt;0,(((($BD452/Dashboard!$D$23)*(1+Precificação!$W$589))*(1+AM$28))+$AA$26)*(1+Dashboard!$D$35),0)</f>
        <v>0</v>
      </c>
      <c r="AN452" s="109">
        <f>IF($BD452&gt;0,(((($BD452/Dashboard!$D$23)*(1+Precificação!$W$589))*(1+AN$28))+$AA$26)*(1+Dashboard!$D$35),0)</f>
        <v>0</v>
      </c>
      <c r="AO452" s="109">
        <f>IF($BD452&gt;0,(((($BD452/Dashboard!$D$23)*(1+Precificação!$W$589))*(1+AO$28))+$AA$26)*(1+Dashboard!$D$35),0)</f>
        <v>0</v>
      </c>
      <c r="AQ452" s="109">
        <f t="shared" si="373"/>
        <v>0</v>
      </c>
      <c r="AR452" s="109">
        <f t="shared" si="374"/>
        <v>0</v>
      </c>
      <c r="AS452" s="109">
        <f t="shared" si="375"/>
        <v>0</v>
      </c>
      <c r="AT452" s="109">
        <f t="shared" si="376"/>
        <v>0</v>
      </c>
      <c r="AW452" s="144">
        <f>VLOOKUP(B452,'Cronog. e Histog.'!$B$213:$BT$688,71,0)</f>
        <v>0</v>
      </c>
      <c r="AX452" s="144">
        <f>VLOOKUP(B452,'Cronog. e Histog.'!$B$213:$BU$688,72,0)</f>
        <v>0</v>
      </c>
      <c r="AY452" s="144">
        <f>$AW452*$AX452*Dashboard!$D$15</f>
        <v>0</v>
      </c>
      <c r="AZ452" s="144">
        <f>VLOOKUP(B452,Precificação!$B$96:$BM$533,54,0)</f>
        <v>0</v>
      </c>
      <c r="BA452" s="144">
        <f>VLOOKUP(B452,Precificação!$B$96:$BR$533,58,0)</f>
        <v>0</v>
      </c>
      <c r="BB452" s="144">
        <f>VLOOKUP(B452,Precificação!$B$96:$BW$533,62,0)</f>
        <v>0</v>
      </c>
      <c r="BC452" s="144">
        <f t="shared" si="377"/>
        <v>0</v>
      </c>
      <c r="BD452" s="109">
        <f>IFERROR(VLOOKUP(B452,Precificação!$B$96:$S$533,13,0),0)</f>
        <v>0</v>
      </c>
      <c r="BE452" s="109">
        <f>IFERROR(VLOOKUP(B452,Precificação!$B$96:$U$533,15,0)/(Precificação!$U$4+Precificação!$U$91),0)*Dashboard!$T$3</f>
        <v>0</v>
      </c>
    </row>
    <row r="453" spans="2:57" ht="12" customHeight="1" outlineLevel="1"/>
    <row r="454" spans="2:57" ht="12" customHeight="1" outlineLevel="1">
      <c r="B454" s="137" t="str">
        <f>Precificação!B448</f>
        <v>GER. (OBRA/PROJ) - Equipe_01</v>
      </c>
      <c r="D454" s="512" t="str">
        <f>'Cronog. e Histog.'!F595</f>
        <v>Equipe17</v>
      </c>
      <c r="E454" s="143" t="str">
        <f>IF('Cronog. e Histog.'!G597&gt;0,'Cronog. e Histog.'!G597,"")</f>
        <v>GER. (OBRA/PROJ)</v>
      </c>
      <c r="G454" s="179">
        <f t="shared" ref="G454" si="378">IF(AND((AW454*AX454)&gt;0,K454=0),1,0)</f>
        <v>0</v>
      </c>
      <c r="H454" s="110">
        <f>IFERROR(INDEX('Base Salarial'!$D$5:$F$25,MATCH(E454,'Base Salarial'!$G$5:$G$25,0),MATCH(I454,'Base Salarial'!$D$4:$F$4,0)),"")</f>
        <v>21000</v>
      </c>
      <c r="I454" s="78" t="str">
        <f>IFERROR(INDEX(Tarefas!$BQ$29:$FK$29,MATCH(E454,Tarefas!$BQ$30:$FK$30,0)),"")</f>
        <v>PJ</v>
      </c>
      <c r="J454" s="81">
        <f>IF(I454="horista",H454*Dashboard!$D$15,IF(OR(I454="Mensalista",I454="PJ"),H454,))</f>
        <v>21000</v>
      </c>
      <c r="K454" s="81">
        <f>IF(I454="PJ",J454,ROUND(J454*(1+Dashboard!$D$22),2))</f>
        <v>21000</v>
      </c>
      <c r="L454" s="77"/>
      <c r="M454" s="180"/>
      <c r="P454" s="109">
        <f>IF($BD454&gt;0,(((($BD454/Dashboard!$D$15)*(1+Precificação!$W$589)))+$P$26)*(1+Dashboard!$D$35),0)</f>
        <v>0</v>
      </c>
      <c r="Q454" s="109">
        <f>IF($BD454&gt;0,(((($BD454/Dashboard!$D$23)+(1+Precificação!$W$589))*(1+Q$28))+$P$26)*(1+Dashboard!$D$35),0)</f>
        <v>0</v>
      </c>
      <c r="R454" s="109">
        <f>IF($BD454&gt;0,(((($BD454/Dashboard!$D$23)+(1+Precificação!$W$589))*(1+R$28))+$P$26)*(1+Dashboard!$D$35),0)</f>
        <v>0</v>
      </c>
      <c r="S454" s="109">
        <f>IF($BD454&gt;0,(((($BD454/Dashboard!$D$23)+(1+Precificação!$W$589))*(1+S$28))+$P$26)*(1+Dashboard!$D$35),0)</f>
        <v>0</v>
      </c>
      <c r="U454" s="109">
        <f>IF(P454&gt;0,P454+U$32,0)</f>
        <v>0</v>
      </c>
      <c r="V454" s="109">
        <f t="shared" ref="V454:X454" si="379">IF(Q454&gt;0,Q454+V$32,0)</f>
        <v>0</v>
      </c>
      <c r="W454" s="109">
        <f t="shared" si="379"/>
        <v>0</v>
      </c>
      <c r="X454" s="109">
        <f t="shared" si="379"/>
        <v>0</v>
      </c>
      <c r="AA454" s="109">
        <f>IF($BD454&gt;0,(((($BD454/Dashboard!$D$23)*(1+Precificação!$W$589)))+$AA$26)*(1+Dashboard!$D$35),0)</f>
        <v>0</v>
      </c>
      <c r="AB454" s="109">
        <f>IF($BD454&gt;0,(((($BD454/Dashboard!$D$23)*(1+Precificação!$W$589))*(1+AB$28))+$AA$26)*(1+Dashboard!$D$35),0)</f>
        <v>0</v>
      </c>
      <c r="AC454" s="109">
        <f>IF($BD454&gt;0,(((($BD454/Dashboard!$D$23)*(1+Precificação!$W$589))*(1+AC$28))+$AA$26)*(1+Dashboard!$D$35),0)</f>
        <v>0</v>
      </c>
      <c r="AD454" s="109">
        <f>IF($BD454&gt;0,(((($BD454/Dashboard!$D$23)*(1+Precificação!$W$589))*(1+AD$28))+$AA$26)*(1+Dashboard!$D$35),0)</f>
        <v>0</v>
      </c>
      <c r="AF454" s="109">
        <f>IF(AA454&gt;0,AA454+AF$32,0)</f>
        <v>0</v>
      </c>
      <c r="AG454" s="109">
        <f t="shared" ref="AG454" si="380">IF(AB454&gt;0,AB454+AG$32,0)</f>
        <v>0</v>
      </c>
      <c r="AH454" s="109">
        <f t="shared" ref="AH454" si="381">IF(AC454&gt;0,AC454+AH$32,0)</f>
        <v>0</v>
      </c>
      <c r="AI454" s="109">
        <f t="shared" ref="AI454" si="382">IF(AD454&gt;0,AD454+AI$32,0)</f>
        <v>0</v>
      </c>
      <c r="AL454" s="109">
        <f>IF($BD454&gt;0,(((($BD454/Dashboard!$D$23)*(1+Precificação!$W$589)))+$AL$26)*(1+Dashboard!$D$35),0)</f>
        <v>0</v>
      </c>
      <c r="AM454" s="109">
        <f>IF($BD454&gt;0,(((($BD454/Dashboard!$D$23)*(1+Precificação!$W$589))*(1+AM$28))+$AA$26)*(1+Dashboard!$D$35),0)</f>
        <v>0</v>
      </c>
      <c r="AN454" s="109">
        <f>IF($BD454&gt;0,(((($BD454/Dashboard!$D$23)*(1+Precificação!$W$589))*(1+AN$28))+$AA$26)*(1+Dashboard!$D$35),0)</f>
        <v>0</v>
      </c>
      <c r="AO454" s="109">
        <f>IF($BD454&gt;0,(((($BD454/Dashboard!$D$23)*(1+Precificação!$W$589))*(1+AO$28))+$AA$26)*(1+Dashboard!$D$35),0)</f>
        <v>0</v>
      </c>
      <c r="AQ454" s="109">
        <f>IF(AL454&gt;0,AL454+AQ$32,0)</f>
        <v>0</v>
      </c>
      <c r="AR454" s="109">
        <f t="shared" ref="AR454" si="383">IF(AM454&gt;0,AM454+AR$32,0)</f>
        <v>0</v>
      </c>
      <c r="AS454" s="109">
        <f t="shared" ref="AS454" si="384">IF(AN454&gt;0,AN454+AS$32,0)</f>
        <v>0</v>
      </c>
      <c r="AT454" s="109">
        <f t="shared" ref="AT454" si="385">IF(AO454&gt;0,AO454+AT$32,0)</f>
        <v>0</v>
      </c>
      <c r="AW454" s="144">
        <f>VLOOKUP(B454,'Cronog. e Histog.'!$B$213:$BT$688,71,0)</f>
        <v>1.9999999999999997E-2</v>
      </c>
      <c r="AX454" s="144">
        <f>VLOOKUP(B454,'Cronog. e Histog.'!$B$213:$BU$688,72,0)</f>
        <v>10</v>
      </c>
      <c r="AY454" s="144">
        <f>$AW454*$AX454*Dashboard!$D$15</f>
        <v>38.72</v>
      </c>
      <c r="AZ454" s="144">
        <f>VLOOKUP(B454,Precificação!$B$96:$BM$533,54,0)</f>
        <v>0</v>
      </c>
      <c r="BA454" s="144">
        <f>VLOOKUP(B454,Precificação!$B$96:$BR$533,58,0)</f>
        <v>0</v>
      </c>
      <c r="BB454" s="144">
        <f>VLOOKUP(B454,Precificação!$B$96:$BW$533,62,0)</f>
        <v>0</v>
      </c>
      <c r="BC454" s="144">
        <f t="shared" ref="BC454" si="386">SUM(AY454:BB454)</f>
        <v>38.72</v>
      </c>
      <c r="BD454" s="109">
        <f>IFERROR(VLOOKUP(B454,Precificação!$B$96:$S$533,13,0),0)</f>
        <v>0</v>
      </c>
      <c r="BE454" s="109">
        <f>IFERROR(VLOOKUP(B454,Precificação!$B$96:$U$533,15,0)/(Precificação!$U$4+Precificação!$U$91),0)*Dashboard!$T$3</f>
        <v>0</v>
      </c>
    </row>
    <row r="455" spans="2:57" ht="12" customHeight="1" outlineLevel="1">
      <c r="B455" s="137" t="str">
        <f>Precificação!B449</f>
        <v>COORD. - Equipe_01</v>
      </c>
      <c r="D455" s="512"/>
      <c r="E455" s="143" t="str">
        <f>IF('Cronog. e Histog.'!G598&gt;0,'Cronog. e Histog.'!G598,"")</f>
        <v>COORD.</v>
      </c>
      <c r="G455" s="179">
        <f t="shared" ref="G455:G473" si="387">IF(AND((AW455*AX455)&gt;0,K455=0),1,0)</f>
        <v>0</v>
      </c>
      <c r="H455" s="110">
        <f>IFERROR(INDEX('Base Salarial'!$D$5:$F$25,MATCH(E455,'Base Salarial'!$G$5:$G$25,0),MATCH(I455,'Base Salarial'!$D$4:$F$4,0)),"")</f>
        <v>19000</v>
      </c>
      <c r="I455" s="78" t="str">
        <f>IFERROR(INDEX(Tarefas!$BQ$29:$FK$29,MATCH(E455,Tarefas!$BQ$30:$FK$30,0)),"")</f>
        <v>PJ</v>
      </c>
      <c r="J455" s="81">
        <f>IF(I455="horista",H455*Dashboard!$D$15,IF(OR(I455="Mensalista",I455="PJ"),H455,))</f>
        <v>19000</v>
      </c>
      <c r="K455" s="81">
        <f>IF(I455="PJ",J455,ROUND(J455*(1+Dashboard!$D$22),2))</f>
        <v>19000</v>
      </c>
      <c r="L455" s="77"/>
      <c r="M455" s="180"/>
      <c r="P455" s="109">
        <f>IF($BD455&gt;0,(((($BD455/Dashboard!$D$15)*(1+Precificação!$W$589)))+$P$26)*(1+Dashboard!$D$35),0)</f>
        <v>0</v>
      </c>
      <c r="Q455" s="109">
        <f>IF($BD455&gt;0,(((($BD455/Dashboard!$D$23)+(1+Precificação!$W$589))*(1+Q$28))+$P$26)*(1+Dashboard!$D$35),0)</f>
        <v>0</v>
      </c>
      <c r="R455" s="109">
        <f>IF($BD455&gt;0,(((($BD455/Dashboard!$D$23)+(1+Precificação!$W$589))*(1+R$28))+$P$26)*(1+Dashboard!$D$35),0)</f>
        <v>0</v>
      </c>
      <c r="S455" s="109">
        <f>IF($BD455&gt;0,(((($BD455/Dashboard!$D$23)+(1+Precificação!$W$589))*(1+S$28))+$P$26)*(1+Dashboard!$D$35),0)</f>
        <v>0</v>
      </c>
      <c r="U455" s="109">
        <f t="shared" ref="U455:U473" si="388">IF(P455&gt;0,P455+U$32,0)</f>
        <v>0</v>
      </c>
      <c r="V455" s="109">
        <f t="shared" ref="V455:V473" si="389">IF(Q455&gt;0,Q455+V$32,0)</f>
        <v>0</v>
      </c>
      <c r="W455" s="109">
        <f t="shared" ref="W455:W473" si="390">IF(R455&gt;0,R455+W$32,0)</f>
        <v>0</v>
      </c>
      <c r="X455" s="109">
        <f t="shared" ref="X455:X473" si="391">IF(S455&gt;0,S455+X$32,0)</f>
        <v>0</v>
      </c>
      <c r="AA455" s="109">
        <f>IF($BD455&gt;0,(((($BD455/Dashboard!$D$23)*(1+Precificação!$W$589)))+$AA$26)*(1+Dashboard!$D$35),0)</f>
        <v>0</v>
      </c>
      <c r="AB455" s="109">
        <f>IF($BD455&gt;0,(((($BD455/Dashboard!$D$23)*(1+Precificação!$W$589))*(1+AB$28))+$AA$26)*(1+Dashboard!$D$35),0)</f>
        <v>0</v>
      </c>
      <c r="AC455" s="109">
        <f>IF($BD455&gt;0,(((($BD455/Dashboard!$D$23)*(1+Precificação!$W$589))*(1+AC$28))+$AA$26)*(1+Dashboard!$D$35),0)</f>
        <v>0</v>
      </c>
      <c r="AD455" s="109">
        <f>IF($BD455&gt;0,(((($BD455/Dashboard!$D$23)*(1+Precificação!$W$589))*(1+AD$28))+$AA$26)*(1+Dashboard!$D$35),0)</f>
        <v>0</v>
      </c>
      <c r="AF455" s="109">
        <f t="shared" ref="AF455:AF473" si="392">IF(AA455&gt;0,AA455+AF$32,0)</f>
        <v>0</v>
      </c>
      <c r="AG455" s="109">
        <f t="shared" ref="AG455:AG473" si="393">IF(AB455&gt;0,AB455+AG$32,0)</f>
        <v>0</v>
      </c>
      <c r="AH455" s="109">
        <f t="shared" ref="AH455:AH473" si="394">IF(AC455&gt;0,AC455+AH$32,0)</f>
        <v>0</v>
      </c>
      <c r="AI455" s="109">
        <f t="shared" ref="AI455:AI473" si="395">IF(AD455&gt;0,AD455+AI$32,0)</f>
        <v>0</v>
      </c>
      <c r="AL455" s="109">
        <f>IF($BD455&gt;0,(((($BD455/Dashboard!$D$23)*(1+Precificação!$W$589)))+$AL$26)*(1+Dashboard!$D$35),0)</f>
        <v>0</v>
      </c>
      <c r="AM455" s="109">
        <f>IF($BD455&gt;0,(((($BD455/Dashboard!$D$23)*(1+Precificação!$W$589))*(1+AM$28))+$AA$26)*(1+Dashboard!$D$35),0)</f>
        <v>0</v>
      </c>
      <c r="AN455" s="109">
        <f>IF($BD455&gt;0,(((($BD455/Dashboard!$D$23)*(1+Precificação!$W$589))*(1+AN$28))+$AA$26)*(1+Dashboard!$D$35),0)</f>
        <v>0</v>
      </c>
      <c r="AO455" s="109">
        <f>IF($BD455&gt;0,(((($BD455/Dashboard!$D$23)*(1+Precificação!$W$589))*(1+AO$28))+$AA$26)*(1+Dashboard!$D$35),0)</f>
        <v>0</v>
      </c>
      <c r="AQ455" s="109">
        <f t="shared" ref="AQ455:AQ473" si="396">IF(AL455&gt;0,AL455+AQ$32,0)</f>
        <v>0</v>
      </c>
      <c r="AR455" s="109">
        <f t="shared" ref="AR455:AR473" si="397">IF(AM455&gt;0,AM455+AR$32,0)</f>
        <v>0</v>
      </c>
      <c r="AS455" s="109">
        <f t="shared" ref="AS455:AS473" si="398">IF(AN455&gt;0,AN455+AS$32,0)</f>
        <v>0</v>
      </c>
      <c r="AT455" s="109">
        <f t="shared" ref="AT455:AT473" si="399">IF(AO455&gt;0,AO455+AT$32,0)</f>
        <v>0</v>
      </c>
      <c r="AW455" s="144">
        <f>VLOOKUP(B455,'Cronog. e Histog.'!$B$213:$BT$688,71,0)</f>
        <v>1</v>
      </c>
      <c r="AX455" s="144">
        <f>VLOOKUP(B455,'Cronog. e Histog.'!$B$213:$BU$688,72,0)</f>
        <v>10</v>
      </c>
      <c r="AY455" s="144">
        <f>$AW455*$AX455*Dashboard!$D$15</f>
        <v>1936.0000000000002</v>
      </c>
      <c r="AZ455" s="144">
        <f>VLOOKUP(B455,Precificação!$B$96:$BM$533,54,0)</f>
        <v>0</v>
      </c>
      <c r="BA455" s="144">
        <f>VLOOKUP(B455,Precificação!$B$96:$BR$533,58,0)</f>
        <v>0</v>
      </c>
      <c r="BB455" s="144">
        <f>VLOOKUP(B455,Precificação!$B$96:$BW$533,62,0)</f>
        <v>0</v>
      </c>
      <c r="BC455" s="144">
        <f t="shared" ref="BC455:BC473" si="400">SUM(AY455:BB455)</f>
        <v>1936.0000000000002</v>
      </c>
      <c r="BD455" s="109">
        <f>IFERROR(VLOOKUP(B455,Precificação!$B$96:$S$533,13,0),0)</f>
        <v>0</v>
      </c>
      <c r="BE455" s="109">
        <f>IFERROR(VLOOKUP(B455,Precificação!$B$96:$U$533,15,0)/(Precificação!$U$4+Precificação!$U$91),0)*Dashboard!$T$3</f>
        <v>0</v>
      </c>
    </row>
    <row r="456" spans="2:57" ht="12" customHeight="1" outlineLevel="1">
      <c r="B456" s="137" t="str">
        <f>Precificação!B450</f>
        <v>SUP.-ESP - Equipe_01</v>
      </c>
      <c r="D456" s="512"/>
      <c r="E456" s="143" t="str">
        <f>IF('Cronog. e Histog.'!G599&gt;0,'Cronog. e Histog.'!G599,"")</f>
        <v>SUP.-ESP</v>
      </c>
      <c r="G456" s="179">
        <f t="shared" si="387"/>
        <v>0</v>
      </c>
      <c r="H456" s="110">
        <f>IFERROR(INDEX('Base Salarial'!$D$5:$F$25,MATCH(E456,'Base Salarial'!$G$5:$G$25,0),MATCH(I456,'Base Salarial'!$D$4:$F$4,0)),"")</f>
        <v>9166.6666666666679</v>
      </c>
      <c r="I456" s="78" t="str">
        <f>IFERROR(INDEX(Tarefas!$BQ$29:$FK$29,MATCH(E456,Tarefas!$BQ$30:$FK$30,0)),"")</f>
        <v>Mensalista</v>
      </c>
      <c r="J456" s="81">
        <f>IF(I456="horista",H456*Dashboard!$D$15,IF(OR(I456="Mensalista",I456="PJ"),H456,))</f>
        <v>9166.6666666666679</v>
      </c>
      <c r="K456" s="81">
        <f>IF(I456="PJ",J456,ROUND(J456*(1+Dashboard!$D$22),2))</f>
        <v>9716.67</v>
      </c>
      <c r="L456" s="77"/>
      <c r="M456" s="180"/>
      <c r="P456" s="109">
        <f>IF($BD456&gt;0,(((($BD456/Dashboard!$D$15)*(1+Precificação!$W$589)))+$P$26)*(1+Dashboard!$D$35),0)</f>
        <v>0</v>
      </c>
      <c r="Q456" s="109">
        <f>IF($BD456&gt;0,(((($BD456/Dashboard!$D$23)+(1+Precificação!$W$589))*(1+Q$28))+$P$26)*(1+Dashboard!$D$35),0)</f>
        <v>0</v>
      </c>
      <c r="R456" s="109">
        <f>IF($BD456&gt;0,(((($BD456/Dashboard!$D$23)+(1+Precificação!$W$589))*(1+R$28))+$P$26)*(1+Dashboard!$D$35),0)</f>
        <v>0</v>
      </c>
      <c r="S456" s="109">
        <f>IF($BD456&gt;0,(((($BD456/Dashboard!$D$23)+(1+Precificação!$W$589))*(1+S$28))+$P$26)*(1+Dashboard!$D$35),0)</f>
        <v>0</v>
      </c>
      <c r="U456" s="109">
        <f t="shared" si="388"/>
        <v>0</v>
      </c>
      <c r="V456" s="109">
        <f t="shared" si="389"/>
        <v>0</v>
      </c>
      <c r="W456" s="109">
        <f t="shared" si="390"/>
        <v>0</v>
      </c>
      <c r="X456" s="109">
        <f t="shared" si="391"/>
        <v>0</v>
      </c>
      <c r="AA456" s="109">
        <f>IF($BD456&gt;0,(((($BD456/Dashboard!$D$23)*(1+Precificação!$W$589)))+$AA$26)*(1+Dashboard!$D$35),0)</f>
        <v>0</v>
      </c>
      <c r="AB456" s="109">
        <f>IF($BD456&gt;0,(((($BD456/Dashboard!$D$23)*(1+Precificação!$W$589))*(1+AB$28))+$AA$26)*(1+Dashboard!$D$35),0)</f>
        <v>0</v>
      </c>
      <c r="AC456" s="109">
        <f>IF($BD456&gt;0,(((($BD456/Dashboard!$D$23)*(1+Precificação!$W$589))*(1+AC$28))+$AA$26)*(1+Dashboard!$D$35),0)</f>
        <v>0</v>
      </c>
      <c r="AD456" s="109">
        <f>IF($BD456&gt;0,(((($BD456/Dashboard!$D$23)*(1+Precificação!$W$589))*(1+AD$28))+$AA$26)*(1+Dashboard!$D$35),0)</f>
        <v>0</v>
      </c>
      <c r="AF456" s="109">
        <f t="shared" si="392"/>
        <v>0</v>
      </c>
      <c r="AG456" s="109">
        <f t="shared" si="393"/>
        <v>0</v>
      </c>
      <c r="AH456" s="109">
        <f t="shared" si="394"/>
        <v>0</v>
      </c>
      <c r="AI456" s="109">
        <f t="shared" si="395"/>
        <v>0</v>
      </c>
      <c r="AL456" s="109">
        <f>IF($BD456&gt;0,(((($BD456/Dashboard!$D$23)*(1+Precificação!$W$589)))+$AL$26)*(1+Dashboard!$D$35),0)</f>
        <v>0</v>
      </c>
      <c r="AM456" s="109">
        <f>IF($BD456&gt;0,(((($BD456/Dashboard!$D$23)*(1+Precificação!$W$589))*(1+AM$28))+$AA$26)*(1+Dashboard!$D$35),0)</f>
        <v>0</v>
      </c>
      <c r="AN456" s="109">
        <f>IF($BD456&gt;0,(((($BD456/Dashboard!$D$23)*(1+Precificação!$W$589))*(1+AN$28))+$AA$26)*(1+Dashboard!$D$35),0)</f>
        <v>0</v>
      </c>
      <c r="AO456" s="109">
        <f>IF($BD456&gt;0,(((($BD456/Dashboard!$D$23)*(1+Precificação!$W$589))*(1+AO$28))+$AA$26)*(1+Dashboard!$D$35),0)</f>
        <v>0</v>
      </c>
      <c r="AQ456" s="109">
        <f t="shared" si="396"/>
        <v>0</v>
      </c>
      <c r="AR456" s="109">
        <f t="shared" si="397"/>
        <v>0</v>
      </c>
      <c r="AS456" s="109">
        <f t="shared" si="398"/>
        <v>0</v>
      </c>
      <c r="AT456" s="109">
        <f t="shared" si="399"/>
        <v>0</v>
      </c>
      <c r="AW456" s="144">
        <f>VLOOKUP(B456,'Cronog. e Histog.'!$B$213:$BT$688,71,0)</f>
        <v>0</v>
      </c>
      <c r="AX456" s="144">
        <f>VLOOKUP(B456,'Cronog. e Histog.'!$B$213:$BU$688,72,0)</f>
        <v>0</v>
      </c>
      <c r="AY456" s="144">
        <f>$AW456*$AX456*Dashboard!$D$15</f>
        <v>0</v>
      </c>
      <c r="AZ456" s="144">
        <f>VLOOKUP(B456,Precificação!$B$96:$BM$533,54,0)</f>
        <v>0</v>
      </c>
      <c r="BA456" s="144">
        <f>VLOOKUP(B456,Precificação!$B$96:$BR$533,58,0)</f>
        <v>0</v>
      </c>
      <c r="BB456" s="144">
        <f>VLOOKUP(B456,Precificação!$B$96:$BW$533,62,0)</f>
        <v>0</v>
      </c>
      <c r="BC456" s="144">
        <f t="shared" si="400"/>
        <v>0</v>
      </c>
      <c r="BD456" s="109">
        <f>IFERROR(VLOOKUP(B456,Precificação!$B$96:$S$533,13,0),0)</f>
        <v>0</v>
      </c>
      <c r="BE456" s="109">
        <f>IFERROR(VLOOKUP(B456,Precificação!$B$96:$U$533,15,0)/(Precificação!$U$4+Precificação!$U$91),0)*Dashboard!$T$3</f>
        <v>0</v>
      </c>
    </row>
    <row r="457" spans="2:57" ht="12" customHeight="1" outlineLevel="1">
      <c r="B457" s="137" t="str">
        <f>Precificação!B451</f>
        <v>ENG/ARQ SR. - Equipe_01</v>
      </c>
      <c r="D457" s="512"/>
      <c r="E457" s="143" t="str">
        <f>IF('Cronog. e Histog.'!G600&gt;0,'Cronog. e Histog.'!G600,"")</f>
        <v>ENG/ARQ SR.</v>
      </c>
      <c r="G457" s="179">
        <f t="shared" si="387"/>
        <v>0</v>
      </c>
      <c r="H457" s="110">
        <f>IFERROR(INDEX('Base Salarial'!$D$5:$F$25,MATCH(E457,'Base Salarial'!$G$5:$G$25,0),MATCH(I457,'Base Salarial'!$D$4:$F$4,0)),"")</f>
        <v>16000</v>
      </c>
      <c r="I457" s="78" t="str">
        <f>IFERROR(INDEX(Tarefas!$BQ$29:$FK$29,MATCH(E457,Tarefas!$BQ$30:$FK$30,0)),"")</f>
        <v>PJ</v>
      </c>
      <c r="J457" s="81">
        <f>IF(I457="horista",H457*Dashboard!$D$15,IF(OR(I457="Mensalista",I457="PJ"),H457,))</f>
        <v>16000</v>
      </c>
      <c r="K457" s="81">
        <f>IF(I457="PJ",J457,ROUND(J457*(1+Dashboard!$D$22),2))</f>
        <v>16000</v>
      </c>
      <c r="L457" s="77"/>
      <c r="M457" s="180"/>
      <c r="P457" s="109">
        <f>IF($BD457&gt;0,(((($BD457/Dashboard!$D$15)*(1+Precificação!$W$589)))+$P$26)*(1+Dashboard!$D$35),0)</f>
        <v>0</v>
      </c>
      <c r="Q457" s="109">
        <f>IF($BD457&gt;0,(((($BD457/Dashboard!$D$23)+(1+Precificação!$W$589))*(1+Q$28))+$P$26)*(1+Dashboard!$D$35),0)</f>
        <v>0</v>
      </c>
      <c r="R457" s="109">
        <f>IF($BD457&gt;0,(((($BD457/Dashboard!$D$23)+(1+Precificação!$W$589))*(1+R$28))+$P$26)*(1+Dashboard!$D$35),0)</f>
        <v>0</v>
      </c>
      <c r="S457" s="109">
        <f>IF($BD457&gt;0,(((($BD457/Dashboard!$D$23)+(1+Precificação!$W$589))*(1+S$28))+$P$26)*(1+Dashboard!$D$35),0)</f>
        <v>0</v>
      </c>
      <c r="U457" s="109">
        <f t="shared" si="388"/>
        <v>0</v>
      </c>
      <c r="V457" s="109">
        <f t="shared" si="389"/>
        <v>0</v>
      </c>
      <c r="W457" s="109">
        <f t="shared" si="390"/>
        <v>0</v>
      </c>
      <c r="X457" s="109">
        <f t="shared" si="391"/>
        <v>0</v>
      </c>
      <c r="AA457" s="109">
        <f>IF($BD457&gt;0,(((($BD457/Dashboard!$D$23)*(1+Precificação!$W$589)))+$AA$26)*(1+Dashboard!$D$35),0)</f>
        <v>0</v>
      </c>
      <c r="AB457" s="109">
        <f>IF($BD457&gt;0,(((($BD457/Dashboard!$D$23)*(1+Precificação!$W$589))*(1+AB$28))+$AA$26)*(1+Dashboard!$D$35),0)</f>
        <v>0</v>
      </c>
      <c r="AC457" s="109">
        <f>IF($BD457&gt;0,(((($BD457/Dashboard!$D$23)*(1+Precificação!$W$589))*(1+AC$28))+$AA$26)*(1+Dashboard!$D$35),0)</f>
        <v>0</v>
      </c>
      <c r="AD457" s="109">
        <f>IF($BD457&gt;0,(((($BD457/Dashboard!$D$23)*(1+Precificação!$W$589))*(1+AD$28))+$AA$26)*(1+Dashboard!$D$35),0)</f>
        <v>0</v>
      </c>
      <c r="AF457" s="109">
        <f t="shared" si="392"/>
        <v>0</v>
      </c>
      <c r="AG457" s="109">
        <f t="shared" si="393"/>
        <v>0</v>
      </c>
      <c r="AH457" s="109">
        <f t="shared" si="394"/>
        <v>0</v>
      </c>
      <c r="AI457" s="109">
        <f t="shared" si="395"/>
        <v>0</v>
      </c>
      <c r="AL457" s="109">
        <f>IF($BD457&gt;0,(((($BD457/Dashboard!$D$23)*(1+Precificação!$W$589)))+$AL$26)*(1+Dashboard!$D$35),0)</f>
        <v>0</v>
      </c>
      <c r="AM457" s="109">
        <f>IF($BD457&gt;0,(((($BD457/Dashboard!$D$23)*(1+Precificação!$W$589))*(1+AM$28))+$AA$26)*(1+Dashboard!$D$35),0)</f>
        <v>0</v>
      </c>
      <c r="AN457" s="109">
        <f>IF($BD457&gt;0,(((($BD457/Dashboard!$D$23)*(1+Precificação!$W$589))*(1+AN$28))+$AA$26)*(1+Dashboard!$D$35),0)</f>
        <v>0</v>
      </c>
      <c r="AO457" s="109">
        <f>IF($BD457&gt;0,(((($BD457/Dashboard!$D$23)*(1+Precificação!$W$589))*(1+AO$28))+$AA$26)*(1+Dashboard!$D$35),0)</f>
        <v>0</v>
      </c>
      <c r="AQ457" s="109">
        <f t="shared" si="396"/>
        <v>0</v>
      </c>
      <c r="AR457" s="109">
        <f t="shared" si="397"/>
        <v>0</v>
      </c>
      <c r="AS457" s="109">
        <f t="shared" si="398"/>
        <v>0</v>
      </c>
      <c r="AT457" s="109">
        <f t="shared" si="399"/>
        <v>0</v>
      </c>
      <c r="AW457" s="144">
        <f>VLOOKUP(B457,'Cronog. e Histog.'!$B$213:$BT$688,71,0)</f>
        <v>9.9999999999999985E-3</v>
      </c>
      <c r="AX457" s="144">
        <f>VLOOKUP(B457,'Cronog. e Histog.'!$B$213:$BU$688,72,0)</f>
        <v>10</v>
      </c>
      <c r="AY457" s="144">
        <f>$AW457*$AX457*Dashboard!$D$15</f>
        <v>19.36</v>
      </c>
      <c r="AZ457" s="144">
        <f>VLOOKUP(B457,Precificação!$B$96:$BM$533,54,0)</f>
        <v>0</v>
      </c>
      <c r="BA457" s="144">
        <f>VLOOKUP(B457,Precificação!$B$96:$BR$533,58,0)</f>
        <v>0</v>
      </c>
      <c r="BB457" s="144">
        <f>VLOOKUP(B457,Precificação!$B$96:$BW$533,62,0)</f>
        <v>0</v>
      </c>
      <c r="BC457" s="144">
        <f t="shared" si="400"/>
        <v>19.36</v>
      </c>
      <c r="BD457" s="109">
        <f>IFERROR(VLOOKUP(B457,Precificação!$B$96:$S$533,13,0),0)</f>
        <v>0</v>
      </c>
      <c r="BE457" s="109">
        <f>IFERROR(VLOOKUP(B457,Precificação!$B$96:$U$533,15,0)/(Precificação!$U$4+Precificação!$U$91),0)*Dashboard!$T$3</f>
        <v>0</v>
      </c>
    </row>
    <row r="458" spans="2:57" ht="12" customHeight="1" outlineLevel="1">
      <c r="B458" s="137" t="str">
        <f>Precificação!B452</f>
        <v>ENG/ARQ PL. - Equipe_01</v>
      </c>
      <c r="D458" s="512"/>
      <c r="E458" s="143" t="str">
        <f>IF('Cronog. e Histog.'!G601&gt;0,'Cronog. e Histog.'!G601,"")</f>
        <v>ENG/ARQ PL.</v>
      </c>
      <c r="G458" s="179">
        <f t="shared" si="387"/>
        <v>0</v>
      </c>
      <c r="H458" s="110">
        <f>IFERROR(INDEX('Base Salarial'!$D$5:$F$25,MATCH(E458,'Base Salarial'!$G$5:$G$25,0),MATCH(I458,'Base Salarial'!$D$4:$F$4,0)),"")</f>
        <v>14000</v>
      </c>
      <c r="I458" s="78" t="str">
        <f>IFERROR(INDEX(Tarefas!$BQ$29:$FK$29,MATCH(E458,Tarefas!$BQ$30:$FK$30,0)),"")</f>
        <v>PJ</v>
      </c>
      <c r="J458" s="81">
        <f>IF(I458="horista",H458*Dashboard!$D$15,IF(OR(I458="Mensalista",I458="PJ"),H458,))</f>
        <v>14000</v>
      </c>
      <c r="K458" s="81">
        <f>IF(I458="PJ",J458,ROUND(J458*(1+Dashboard!$D$22),2))</f>
        <v>14000</v>
      </c>
      <c r="L458" s="77"/>
      <c r="M458" s="180"/>
      <c r="P458" s="109">
        <f>IF($BD458&gt;0,(((($BD458/Dashboard!$D$15)*(1+Precificação!$W$589)))+$P$26)*(1+Dashboard!$D$35),0)</f>
        <v>0</v>
      </c>
      <c r="Q458" s="109">
        <f>IF($BD458&gt;0,(((($BD458/Dashboard!$D$23)+(1+Precificação!$W$589))*(1+Q$28))+$P$26)*(1+Dashboard!$D$35),0)</f>
        <v>0</v>
      </c>
      <c r="R458" s="109">
        <f>IF($BD458&gt;0,(((($BD458/Dashboard!$D$23)+(1+Precificação!$W$589))*(1+R$28))+$P$26)*(1+Dashboard!$D$35),0)</f>
        <v>0</v>
      </c>
      <c r="S458" s="109">
        <f>IF($BD458&gt;0,(((($BD458/Dashboard!$D$23)+(1+Precificação!$W$589))*(1+S$28))+$P$26)*(1+Dashboard!$D$35),0)</f>
        <v>0</v>
      </c>
      <c r="U458" s="109">
        <f t="shared" si="388"/>
        <v>0</v>
      </c>
      <c r="V458" s="109">
        <f t="shared" si="389"/>
        <v>0</v>
      </c>
      <c r="W458" s="109">
        <f t="shared" si="390"/>
        <v>0</v>
      </c>
      <c r="X458" s="109">
        <f t="shared" si="391"/>
        <v>0</v>
      </c>
      <c r="AA458" s="109">
        <f>IF($BD458&gt;0,(((($BD458/Dashboard!$D$23)*(1+Precificação!$W$589)))+$AA$26)*(1+Dashboard!$D$35),0)</f>
        <v>0</v>
      </c>
      <c r="AB458" s="109">
        <f>IF($BD458&gt;0,(((($BD458/Dashboard!$D$23)*(1+Precificação!$W$589))*(1+AB$28))+$AA$26)*(1+Dashboard!$D$35),0)</f>
        <v>0</v>
      </c>
      <c r="AC458" s="109">
        <f>IF($BD458&gt;0,(((($BD458/Dashboard!$D$23)*(1+Precificação!$W$589))*(1+AC$28))+$AA$26)*(1+Dashboard!$D$35),0)</f>
        <v>0</v>
      </c>
      <c r="AD458" s="109">
        <f>IF($BD458&gt;0,(((($BD458/Dashboard!$D$23)*(1+Precificação!$W$589))*(1+AD$28))+$AA$26)*(1+Dashboard!$D$35),0)</f>
        <v>0</v>
      </c>
      <c r="AF458" s="109">
        <f t="shared" si="392"/>
        <v>0</v>
      </c>
      <c r="AG458" s="109">
        <f t="shared" si="393"/>
        <v>0</v>
      </c>
      <c r="AH458" s="109">
        <f t="shared" si="394"/>
        <v>0</v>
      </c>
      <c r="AI458" s="109">
        <f t="shared" si="395"/>
        <v>0</v>
      </c>
      <c r="AL458" s="109">
        <f>IF($BD458&gt;0,(((($BD458/Dashboard!$D$23)*(1+Precificação!$W$589)))+$AL$26)*(1+Dashboard!$D$35),0)</f>
        <v>0</v>
      </c>
      <c r="AM458" s="109">
        <f>IF($BD458&gt;0,(((($BD458/Dashboard!$D$23)*(1+Precificação!$W$589))*(1+AM$28))+$AA$26)*(1+Dashboard!$D$35),0)</f>
        <v>0</v>
      </c>
      <c r="AN458" s="109">
        <f>IF($BD458&gt;0,(((($BD458/Dashboard!$D$23)*(1+Precificação!$W$589))*(1+AN$28))+$AA$26)*(1+Dashboard!$D$35),0)</f>
        <v>0</v>
      </c>
      <c r="AO458" s="109">
        <f>IF($BD458&gt;0,(((($BD458/Dashboard!$D$23)*(1+Precificação!$W$589))*(1+AO$28))+$AA$26)*(1+Dashboard!$D$35),0)</f>
        <v>0</v>
      </c>
      <c r="AQ458" s="109">
        <f t="shared" si="396"/>
        <v>0</v>
      </c>
      <c r="AR458" s="109">
        <f t="shared" si="397"/>
        <v>0</v>
      </c>
      <c r="AS458" s="109">
        <f t="shared" si="398"/>
        <v>0</v>
      </c>
      <c r="AT458" s="109">
        <f t="shared" si="399"/>
        <v>0</v>
      </c>
      <c r="AW458" s="144">
        <f>VLOOKUP(B458,'Cronog. e Histog.'!$B$213:$BT$688,71,0)</f>
        <v>0</v>
      </c>
      <c r="AX458" s="144">
        <f>VLOOKUP(B458,'Cronog. e Histog.'!$B$213:$BU$688,72,0)</f>
        <v>0</v>
      </c>
      <c r="AY458" s="144">
        <f>$AW458*$AX458*Dashboard!$D$15</f>
        <v>0</v>
      </c>
      <c r="AZ458" s="144">
        <f>VLOOKUP(B458,Precificação!$B$96:$BM$533,54,0)</f>
        <v>0</v>
      </c>
      <c r="BA458" s="144">
        <f>VLOOKUP(B458,Precificação!$B$96:$BR$533,58,0)</f>
        <v>0</v>
      </c>
      <c r="BB458" s="144">
        <f>VLOOKUP(B458,Precificação!$B$96:$BW$533,62,0)</f>
        <v>0</v>
      </c>
      <c r="BC458" s="144">
        <f t="shared" si="400"/>
        <v>0</v>
      </c>
      <c r="BD458" s="109">
        <f>IFERROR(VLOOKUP(B458,Precificação!$B$96:$S$533,13,0),0)</f>
        <v>0</v>
      </c>
      <c r="BE458" s="109">
        <f>IFERROR(VLOOKUP(B458,Precificação!$B$96:$U$533,15,0)/(Precificação!$U$4+Precificação!$U$91),0)*Dashboard!$T$3</f>
        <v>0</v>
      </c>
    </row>
    <row r="459" spans="2:57" ht="12" customHeight="1" outlineLevel="1">
      <c r="B459" s="137" t="str">
        <f>Precificação!B453</f>
        <v>ENG/ARQ JR. - Equipe_01</v>
      </c>
      <c r="D459" s="512"/>
      <c r="E459" s="143" t="str">
        <f>IF('Cronog. e Histog.'!G602&gt;0,'Cronog. e Histog.'!G602,"")</f>
        <v>ENG/ARQ JR.</v>
      </c>
      <c r="G459" s="179">
        <f t="shared" si="387"/>
        <v>0</v>
      </c>
      <c r="H459" s="110">
        <f>IFERROR(INDEX('Base Salarial'!$D$5:$F$25,MATCH(E459,'Base Salarial'!$G$5:$G$25,0),MATCH(I459,'Base Salarial'!$D$4:$F$4,0)),"")</f>
        <v>14000</v>
      </c>
      <c r="I459" s="78" t="str">
        <f>IFERROR(INDEX(Tarefas!$BQ$29:$FK$29,MATCH(E459,Tarefas!$BQ$30:$FK$30,0)),"")</f>
        <v>PJ</v>
      </c>
      <c r="J459" s="81">
        <f>IF(I459="horista",H459*Dashboard!$D$15,IF(OR(I459="Mensalista",I459="PJ"),H459,))</f>
        <v>14000</v>
      </c>
      <c r="K459" s="81">
        <f>IF(I459="PJ",J459,ROUND(J459*(1+Dashboard!$D$22),2))</f>
        <v>14000</v>
      </c>
      <c r="L459" s="77"/>
      <c r="M459" s="180"/>
      <c r="P459" s="109">
        <f>IF($BD459&gt;0,(((($BD459/Dashboard!$D$15)*(1+Precificação!$W$589)))+$P$26)*(1+Dashboard!$D$35),0)</f>
        <v>0</v>
      </c>
      <c r="Q459" s="109">
        <f>IF($BD459&gt;0,(((($BD459/Dashboard!$D$23)+(1+Precificação!$W$589))*(1+Q$28))+$P$26)*(1+Dashboard!$D$35),0)</f>
        <v>0</v>
      </c>
      <c r="R459" s="109">
        <f>IF($BD459&gt;0,(((($BD459/Dashboard!$D$23)+(1+Precificação!$W$589))*(1+R$28))+$P$26)*(1+Dashboard!$D$35),0)</f>
        <v>0</v>
      </c>
      <c r="S459" s="109">
        <f>IF($BD459&gt;0,(((($BD459/Dashboard!$D$23)+(1+Precificação!$W$589))*(1+S$28))+$P$26)*(1+Dashboard!$D$35),0)</f>
        <v>0</v>
      </c>
      <c r="U459" s="109">
        <f t="shared" si="388"/>
        <v>0</v>
      </c>
      <c r="V459" s="109">
        <f t="shared" si="389"/>
        <v>0</v>
      </c>
      <c r="W459" s="109">
        <f t="shared" si="390"/>
        <v>0</v>
      </c>
      <c r="X459" s="109">
        <f t="shared" si="391"/>
        <v>0</v>
      </c>
      <c r="AA459" s="109">
        <f>IF($BD459&gt;0,(((($BD459/Dashboard!$D$23)*(1+Precificação!$W$589)))+$AA$26)*(1+Dashboard!$D$35),0)</f>
        <v>0</v>
      </c>
      <c r="AB459" s="109">
        <f>IF($BD459&gt;0,(((($BD459/Dashboard!$D$23)*(1+Precificação!$W$589))*(1+AB$28))+$AA$26)*(1+Dashboard!$D$35),0)</f>
        <v>0</v>
      </c>
      <c r="AC459" s="109">
        <f>IF($BD459&gt;0,(((($BD459/Dashboard!$D$23)*(1+Precificação!$W$589))*(1+AC$28))+$AA$26)*(1+Dashboard!$D$35),0)</f>
        <v>0</v>
      </c>
      <c r="AD459" s="109">
        <f>IF($BD459&gt;0,(((($BD459/Dashboard!$D$23)*(1+Precificação!$W$589))*(1+AD$28))+$AA$26)*(1+Dashboard!$D$35),0)</f>
        <v>0</v>
      </c>
      <c r="AF459" s="109">
        <f t="shared" si="392"/>
        <v>0</v>
      </c>
      <c r="AG459" s="109">
        <f t="shared" si="393"/>
        <v>0</v>
      </c>
      <c r="AH459" s="109">
        <f t="shared" si="394"/>
        <v>0</v>
      </c>
      <c r="AI459" s="109">
        <f t="shared" si="395"/>
        <v>0</v>
      </c>
      <c r="AL459" s="109">
        <f>IF($BD459&gt;0,(((($BD459/Dashboard!$D$23)*(1+Precificação!$W$589)))+$AL$26)*(1+Dashboard!$D$35),0)</f>
        <v>0</v>
      </c>
      <c r="AM459" s="109">
        <f>IF($BD459&gt;0,(((($BD459/Dashboard!$D$23)*(1+Precificação!$W$589))*(1+AM$28))+$AA$26)*(1+Dashboard!$D$35),0)</f>
        <v>0</v>
      </c>
      <c r="AN459" s="109">
        <f>IF($BD459&gt;0,(((($BD459/Dashboard!$D$23)*(1+Precificação!$W$589))*(1+AN$28))+$AA$26)*(1+Dashboard!$D$35),0)</f>
        <v>0</v>
      </c>
      <c r="AO459" s="109">
        <f>IF($BD459&gt;0,(((($BD459/Dashboard!$D$23)*(1+Precificação!$W$589))*(1+AO$28))+$AA$26)*(1+Dashboard!$D$35),0)</f>
        <v>0</v>
      </c>
      <c r="AQ459" s="109">
        <f t="shared" si="396"/>
        <v>0</v>
      </c>
      <c r="AR459" s="109">
        <f t="shared" si="397"/>
        <v>0</v>
      </c>
      <c r="AS459" s="109">
        <f t="shared" si="398"/>
        <v>0</v>
      </c>
      <c r="AT459" s="109">
        <f t="shared" si="399"/>
        <v>0</v>
      </c>
      <c r="AW459" s="144">
        <f>VLOOKUP(B459,'Cronog. e Histog.'!$B$213:$BT$688,71,0)</f>
        <v>0</v>
      </c>
      <c r="AX459" s="144">
        <f>VLOOKUP(B459,'Cronog. e Histog.'!$B$213:$BU$688,72,0)</f>
        <v>0</v>
      </c>
      <c r="AY459" s="144">
        <f>$AW459*$AX459*Dashboard!$D$15</f>
        <v>0</v>
      </c>
      <c r="AZ459" s="144">
        <f>VLOOKUP(B459,Precificação!$B$96:$BM$533,54,0)</f>
        <v>0</v>
      </c>
      <c r="BA459" s="144">
        <f>VLOOKUP(B459,Precificação!$B$96:$BR$533,58,0)</f>
        <v>0</v>
      </c>
      <c r="BB459" s="144">
        <f>VLOOKUP(B459,Precificação!$B$96:$BW$533,62,0)</f>
        <v>0</v>
      </c>
      <c r="BC459" s="144">
        <f t="shared" si="400"/>
        <v>0</v>
      </c>
      <c r="BD459" s="109">
        <f>IFERROR(VLOOKUP(B459,Precificação!$B$96:$S$533,13,0),0)</f>
        <v>0</v>
      </c>
      <c r="BE459" s="109">
        <f>IFERROR(VLOOKUP(B459,Precificação!$B$96:$U$533,15,0)/(Precificação!$U$4+Precificação!$U$91),0)*Dashboard!$T$3</f>
        <v>0</v>
      </c>
    </row>
    <row r="460" spans="2:57" ht="12" customHeight="1" outlineLevel="1">
      <c r="B460" s="137" t="str">
        <f>Precificação!B454</f>
        <v>AN SR. ENG/ARQ - Equipe_01</v>
      </c>
      <c r="D460" s="512"/>
      <c r="E460" s="143" t="str">
        <f>IF('Cronog. e Histog.'!G603&gt;0,'Cronog. e Histog.'!G603,"")</f>
        <v>AN SR. ENG/ARQ</v>
      </c>
      <c r="G460" s="179">
        <f t="shared" si="387"/>
        <v>0</v>
      </c>
      <c r="H460" s="110">
        <f>IFERROR(INDEX('Base Salarial'!$D$5:$F$25,MATCH(E460,'Base Salarial'!$G$5:$G$25,0),MATCH(I460,'Base Salarial'!$D$4:$F$4,0)),"")</f>
        <v>7500</v>
      </c>
      <c r="I460" s="78" t="str">
        <f>IFERROR(INDEX(Tarefas!$BQ$29:$FK$29,MATCH(E460,Tarefas!$BQ$30:$FK$30,0)),"")</f>
        <v>Mensalista</v>
      </c>
      <c r="J460" s="81">
        <f>IF(I460="horista",H460*Dashboard!$D$15,IF(OR(I460="Mensalista",I460="PJ"),H460,))</f>
        <v>7500</v>
      </c>
      <c r="K460" s="81">
        <f>IF(I460="PJ",J460,ROUND(J460*(1+Dashboard!$D$22),2))</f>
        <v>7950</v>
      </c>
      <c r="L460" s="77"/>
      <c r="M460" s="180"/>
      <c r="P460" s="109">
        <f>IF($BD460&gt;0,(((($BD460/Dashboard!$D$15)*(1+Precificação!$W$589)))+$P$26)*(1+Dashboard!$D$35),0)</f>
        <v>0</v>
      </c>
      <c r="Q460" s="109">
        <f>IF($BD460&gt;0,(((($BD460/Dashboard!$D$23)+(1+Precificação!$W$589))*(1+Q$28))+$P$26)*(1+Dashboard!$D$35),0)</f>
        <v>0</v>
      </c>
      <c r="R460" s="109">
        <f>IF($BD460&gt;0,(((($BD460/Dashboard!$D$23)+(1+Precificação!$W$589))*(1+R$28))+$P$26)*(1+Dashboard!$D$35),0)</f>
        <v>0</v>
      </c>
      <c r="S460" s="109">
        <f>IF($BD460&gt;0,(((($BD460/Dashboard!$D$23)+(1+Precificação!$W$589))*(1+S$28))+$P$26)*(1+Dashboard!$D$35),0)</f>
        <v>0</v>
      </c>
      <c r="U460" s="109">
        <f t="shared" si="388"/>
        <v>0</v>
      </c>
      <c r="V460" s="109">
        <f t="shared" si="389"/>
        <v>0</v>
      </c>
      <c r="W460" s="109">
        <f t="shared" si="390"/>
        <v>0</v>
      </c>
      <c r="X460" s="109">
        <f t="shared" si="391"/>
        <v>0</v>
      </c>
      <c r="AA460" s="109">
        <f>IF($BD460&gt;0,(((($BD460/Dashboard!$D$23)*(1+Precificação!$W$589)))+$AA$26)*(1+Dashboard!$D$35),0)</f>
        <v>0</v>
      </c>
      <c r="AB460" s="109">
        <f>IF($BD460&gt;0,(((($BD460/Dashboard!$D$23)*(1+Precificação!$W$589))*(1+AB$28))+$AA$26)*(1+Dashboard!$D$35),0)</f>
        <v>0</v>
      </c>
      <c r="AC460" s="109">
        <f>IF($BD460&gt;0,(((($BD460/Dashboard!$D$23)*(1+Precificação!$W$589))*(1+AC$28))+$AA$26)*(1+Dashboard!$D$35),0)</f>
        <v>0</v>
      </c>
      <c r="AD460" s="109">
        <f>IF($BD460&gt;0,(((($BD460/Dashboard!$D$23)*(1+Precificação!$W$589))*(1+AD$28))+$AA$26)*(1+Dashboard!$D$35),0)</f>
        <v>0</v>
      </c>
      <c r="AF460" s="109">
        <f t="shared" si="392"/>
        <v>0</v>
      </c>
      <c r="AG460" s="109">
        <f t="shared" si="393"/>
        <v>0</v>
      </c>
      <c r="AH460" s="109">
        <f t="shared" si="394"/>
        <v>0</v>
      </c>
      <c r="AI460" s="109">
        <f t="shared" si="395"/>
        <v>0</v>
      </c>
      <c r="AL460" s="109">
        <f>IF($BD460&gt;0,(((($BD460/Dashboard!$D$23)*(1+Precificação!$W$589)))+$AL$26)*(1+Dashboard!$D$35),0)</f>
        <v>0</v>
      </c>
      <c r="AM460" s="109">
        <f>IF($BD460&gt;0,(((($BD460/Dashboard!$D$23)*(1+Precificação!$W$589))*(1+AM$28))+$AA$26)*(1+Dashboard!$D$35),0)</f>
        <v>0</v>
      </c>
      <c r="AN460" s="109">
        <f>IF($BD460&gt;0,(((($BD460/Dashboard!$D$23)*(1+Precificação!$W$589))*(1+AN$28))+$AA$26)*(1+Dashboard!$D$35),0)</f>
        <v>0</v>
      </c>
      <c r="AO460" s="109">
        <f>IF($BD460&gt;0,(((($BD460/Dashboard!$D$23)*(1+Precificação!$W$589))*(1+AO$28))+$AA$26)*(1+Dashboard!$D$35),0)</f>
        <v>0</v>
      </c>
      <c r="AQ460" s="109">
        <f t="shared" si="396"/>
        <v>0</v>
      </c>
      <c r="AR460" s="109">
        <f t="shared" si="397"/>
        <v>0</v>
      </c>
      <c r="AS460" s="109">
        <f t="shared" si="398"/>
        <v>0</v>
      </c>
      <c r="AT460" s="109">
        <f t="shared" si="399"/>
        <v>0</v>
      </c>
      <c r="AW460" s="144">
        <f>VLOOKUP(B460,'Cronog. e Histog.'!$B$213:$BT$688,71,0)</f>
        <v>0</v>
      </c>
      <c r="AX460" s="144">
        <f>VLOOKUP(B460,'Cronog. e Histog.'!$B$213:$BU$688,72,0)</f>
        <v>0</v>
      </c>
      <c r="AY460" s="144">
        <f>$AW460*$AX460*Dashboard!$D$15</f>
        <v>0</v>
      </c>
      <c r="AZ460" s="144">
        <f>VLOOKUP(B460,Precificação!$B$96:$BM$533,54,0)</f>
        <v>0</v>
      </c>
      <c r="BA460" s="144">
        <f>VLOOKUP(B460,Precificação!$B$96:$BR$533,58,0)</f>
        <v>0</v>
      </c>
      <c r="BB460" s="144">
        <f>VLOOKUP(B460,Precificação!$B$96:$BW$533,62,0)</f>
        <v>0</v>
      </c>
      <c r="BC460" s="144">
        <f t="shared" si="400"/>
        <v>0</v>
      </c>
      <c r="BD460" s="109">
        <f>IFERROR(VLOOKUP(B460,Precificação!$B$96:$S$533,13,0),0)</f>
        <v>0</v>
      </c>
      <c r="BE460" s="109">
        <f>IFERROR(VLOOKUP(B460,Precificação!$B$96:$U$533,15,0)/(Precificação!$U$4+Precificação!$U$91),0)*Dashboard!$T$3</f>
        <v>0</v>
      </c>
    </row>
    <row r="461" spans="2:57" ht="12" customHeight="1" outlineLevel="1">
      <c r="B461" s="137" t="str">
        <f>Precificação!B455</f>
        <v>AN PL. ENG/ARQ - Equipe_01</v>
      </c>
      <c r="D461" s="512"/>
      <c r="E461" s="143" t="str">
        <f>IF('Cronog. e Histog.'!G604&gt;0,'Cronog. e Histog.'!G604,"")</f>
        <v>AN PL. ENG/ARQ</v>
      </c>
      <c r="G461" s="179">
        <f t="shared" si="387"/>
        <v>0</v>
      </c>
      <c r="H461" s="110">
        <f>IFERROR(INDEX('Base Salarial'!$D$5:$F$25,MATCH(E461,'Base Salarial'!$G$5:$G$25,0),MATCH(I461,'Base Salarial'!$D$4:$F$4,0)),"")</f>
        <v>6000</v>
      </c>
      <c r="I461" s="78" t="str">
        <f>IFERROR(INDEX(Tarefas!$BQ$29:$FK$29,MATCH(E461,Tarefas!$BQ$30:$FK$30,0)),"")</f>
        <v>Mensalista</v>
      </c>
      <c r="J461" s="81">
        <f>IF(I461="horista",H461*Dashboard!$D$15,IF(OR(I461="Mensalista",I461="PJ"),H461,))</f>
        <v>6000</v>
      </c>
      <c r="K461" s="81">
        <f>IF(I461="PJ",J461,ROUND(J461*(1+Dashboard!$D$22),2))</f>
        <v>6360</v>
      </c>
      <c r="L461" s="77"/>
      <c r="M461" s="180"/>
      <c r="P461" s="109">
        <f>IF($BD461&gt;0,(((($BD461/Dashboard!$D$15)*(1+Precificação!$W$589)))+$P$26)*(1+Dashboard!$D$35),0)</f>
        <v>0</v>
      </c>
      <c r="Q461" s="109">
        <f>IF($BD461&gt;0,(((($BD461/Dashboard!$D$23)+(1+Precificação!$W$589))*(1+Q$28))+$P$26)*(1+Dashboard!$D$35),0)</f>
        <v>0</v>
      </c>
      <c r="R461" s="109">
        <f>IF($BD461&gt;0,(((($BD461/Dashboard!$D$23)+(1+Precificação!$W$589))*(1+R$28))+$P$26)*(1+Dashboard!$D$35),0)</f>
        <v>0</v>
      </c>
      <c r="S461" s="109">
        <f>IF($BD461&gt;0,(((($BD461/Dashboard!$D$23)+(1+Precificação!$W$589))*(1+S$28))+$P$26)*(1+Dashboard!$D$35),0)</f>
        <v>0</v>
      </c>
      <c r="U461" s="109">
        <f t="shared" si="388"/>
        <v>0</v>
      </c>
      <c r="V461" s="109">
        <f t="shared" si="389"/>
        <v>0</v>
      </c>
      <c r="W461" s="109">
        <f t="shared" si="390"/>
        <v>0</v>
      </c>
      <c r="X461" s="109">
        <f t="shared" si="391"/>
        <v>0</v>
      </c>
      <c r="AA461" s="109">
        <f>IF($BD461&gt;0,(((($BD461/Dashboard!$D$23)*(1+Precificação!$W$589)))+$AA$26)*(1+Dashboard!$D$35),0)</f>
        <v>0</v>
      </c>
      <c r="AB461" s="109">
        <f>IF($BD461&gt;0,(((($BD461/Dashboard!$D$23)*(1+Precificação!$W$589))*(1+AB$28))+$AA$26)*(1+Dashboard!$D$35),0)</f>
        <v>0</v>
      </c>
      <c r="AC461" s="109">
        <f>IF($BD461&gt;0,(((($BD461/Dashboard!$D$23)*(1+Precificação!$W$589))*(1+AC$28))+$AA$26)*(1+Dashboard!$D$35),0)</f>
        <v>0</v>
      </c>
      <c r="AD461" s="109">
        <f>IF($BD461&gt;0,(((($BD461/Dashboard!$D$23)*(1+Precificação!$W$589))*(1+AD$28))+$AA$26)*(1+Dashboard!$D$35),0)</f>
        <v>0</v>
      </c>
      <c r="AF461" s="109">
        <f t="shared" si="392"/>
        <v>0</v>
      </c>
      <c r="AG461" s="109">
        <f t="shared" si="393"/>
        <v>0</v>
      </c>
      <c r="AH461" s="109">
        <f t="shared" si="394"/>
        <v>0</v>
      </c>
      <c r="AI461" s="109">
        <f t="shared" si="395"/>
        <v>0</v>
      </c>
      <c r="AL461" s="109">
        <f>IF($BD461&gt;0,(((($BD461/Dashboard!$D$23)*(1+Precificação!$W$589)))+$AL$26)*(1+Dashboard!$D$35),0)</f>
        <v>0</v>
      </c>
      <c r="AM461" s="109">
        <f>IF($BD461&gt;0,(((($BD461/Dashboard!$D$23)*(1+Precificação!$W$589))*(1+AM$28))+$AA$26)*(1+Dashboard!$D$35),0)</f>
        <v>0</v>
      </c>
      <c r="AN461" s="109">
        <f>IF($BD461&gt;0,(((($BD461/Dashboard!$D$23)*(1+Precificação!$W$589))*(1+AN$28))+$AA$26)*(1+Dashboard!$D$35),0)</f>
        <v>0</v>
      </c>
      <c r="AO461" s="109">
        <f>IF($BD461&gt;0,(((($BD461/Dashboard!$D$23)*(1+Precificação!$W$589))*(1+AO$28))+$AA$26)*(1+Dashboard!$D$35),0)</f>
        <v>0</v>
      </c>
      <c r="AQ461" s="109">
        <f t="shared" si="396"/>
        <v>0</v>
      </c>
      <c r="AR461" s="109">
        <f t="shared" si="397"/>
        <v>0</v>
      </c>
      <c r="AS461" s="109">
        <f t="shared" si="398"/>
        <v>0</v>
      </c>
      <c r="AT461" s="109">
        <f t="shared" si="399"/>
        <v>0</v>
      </c>
      <c r="AW461" s="144">
        <f>VLOOKUP(B461,'Cronog. e Histog.'!$B$213:$BT$688,71,0)</f>
        <v>0</v>
      </c>
      <c r="AX461" s="144">
        <f>VLOOKUP(B461,'Cronog. e Histog.'!$B$213:$BU$688,72,0)</f>
        <v>0</v>
      </c>
      <c r="AY461" s="144">
        <f>$AW461*$AX461*Dashboard!$D$15</f>
        <v>0</v>
      </c>
      <c r="AZ461" s="144">
        <f>VLOOKUP(B461,Precificação!$B$96:$BM$533,54,0)</f>
        <v>0</v>
      </c>
      <c r="BA461" s="144">
        <f>VLOOKUP(B461,Precificação!$B$96:$BR$533,58,0)</f>
        <v>0</v>
      </c>
      <c r="BB461" s="144">
        <f>VLOOKUP(B461,Precificação!$B$96:$BW$533,62,0)</f>
        <v>0</v>
      </c>
      <c r="BC461" s="144">
        <f t="shared" si="400"/>
        <v>0</v>
      </c>
      <c r="BD461" s="109">
        <f>IFERROR(VLOOKUP(B461,Precificação!$B$96:$S$533,13,0),0)</f>
        <v>0</v>
      </c>
      <c r="BE461" s="109">
        <f>IFERROR(VLOOKUP(B461,Precificação!$B$96:$U$533,15,0)/(Precificação!$U$4+Precificação!$U$91),0)*Dashboard!$T$3</f>
        <v>0</v>
      </c>
    </row>
    <row r="462" spans="2:57" ht="12" customHeight="1" outlineLevel="1">
      <c r="B462" s="137" t="str">
        <f>Precificação!B456</f>
        <v>AN JR. ENG/ARQ - Equipe_01</v>
      </c>
      <c r="D462" s="512"/>
      <c r="E462" s="143" t="str">
        <f>IF('Cronog. e Histog.'!G605&gt;0,'Cronog. e Histog.'!G605,"")</f>
        <v>AN JR. ENG/ARQ</v>
      </c>
      <c r="G462" s="179">
        <f t="shared" si="387"/>
        <v>0</v>
      </c>
      <c r="H462" s="110">
        <f>IFERROR(INDEX('Base Salarial'!$D$5:$F$25,MATCH(E462,'Base Salarial'!$G$5:$G$25,0),MATCH(I462,'Base Salarial'!$D$4:$F$4,0)),"")</f>
        <v>4500</v>
      </c>
      <c r="I462" s="78" t="str">
        <f>IFERROR(INDEX(Tarefas!$BQ$29:$FK$29,MATCH(E462,Tarefas!$BQ$30:$FK$30,0)),"")</f>
        <v>Mensalista</v>
      </c>
      <c r="J462" s="81">
        <f>IF(I462="horista",H462*Dashboard!$D$15,IF(OR(I462="Mensalista",I462="PJ"),H462,))</f>
        <v>4500</v>
      </c>
      <c r="K462" s="81">
        <f>IF(I462="PJ",J462,ROUND(J462*(1+Dashboard!$D$22),2))</f>
        <v>4770</v>
      </c>
      <c r="L462" s="77"/>
      <c r="M462" s="180"/>
      <c r="P462" s="109">
        <f>IF($BD462&gt;0,(((($BD462/Dashboard!$D$15)*(1+Precificação!$W$589)))+$P$26)*(1+Dashboard!$D$35),0)</f>
        <v>0</v>
      </c>
      <c r="Q462" s="109">
        <f>IF($BD462&gt;0,(((($BD462/Dashboard!$D$23)+(1+Precificação!$W$589))*(1+Q$28))+$P$26)*(1+Dashboard!$D$35),0)</f>
        <v>0</v>
      </c>
      <c r="R462" s="109">
        <f>IF($BD462&gt;0,(((($BD462/Dashboard!$D$23)+(1+Precificação!$W$589))*(1+R$28))+$P$26)*(1+Dashboard!$D$35),0)</f>
        <v>0</v>
      </c>
      <c r="S462" s="109">
        <f>IF($BD462&gt;0,(((($BD462/Dashboard!$D$23)+(1+Precificação!$W$589))*(1+S$28))+$P$26)*(1+Dashboard!$D$35),0)</f>
        <v>0</v>
      </c>
      <c r="U462" s="109">
        <f t="shared" si="388"/>
        <v>0</v>
      </c>
      <c r="V462" s="109">
        <f t="shared" si="389"/>
        <v>0</v>
      </c>
      <c r="W462" s="109">
        <f t="shared" si="390"/>
        <v>0</v>
      </c>
      <c r="X462" s="109">
        <f t="shared" si="391"/>
        <v>0</v>
      </c>
      <c r="AA462" s="109">
        <f>IF($BD462&gt;0,(((($BD462/Dashboard!$D$23)*(1+Precificação!$W$589)))+$AA$26)*(1+Dashboard!$D$35),0)</f>
        <v>0</v>
      </c>
      <c r="AB462" s="109">
        <f>IF($BD462&gt;0,(((($BD462/Dashboard!$D$23)*(1+Precificação!$W$589))*(1+AB$28))+$AA$26)*(1+Dashboard!$D$35),0)</f>
        <v>0</v>
      </c>
      <c r="AC462" s="109">
        <f>IF($BD462&gt;0,(((($BD462/Dashboard!$D$23)*(1+Precificação!$W$589))*(1+AC$28))+$AA$26)*(1+Dashboard!$D$35),0)</f>
        <v>0</v>
      </c>
      <c r="AD462" s="109">
        <f>IF($BD462&gt;0,(((($BD462/Dashboard!$D$23)*(1+Precificação!$W$589))*(1+AD$28))+$AA$26)*(1+Dashboard!$D$35),0)</f>
        <v>0</v>
      </c>
      <c r="AF462" s="109">
        <f t="shared" si="392"/>
        <v>0</v>
      </c>
      <c r="AG462" s="109">
        <f t="shared" si="393"/>
        <v>0</v>
      </c>
      <c r="AH462" s="109">
        <f t="shared" si="394"/>
        <v>0</v>
      </c>
      <c r="AI462" s="109">
        <f t="shared" si="395"/>
        <v>0</v>
      </c>
      <c r="AL462" s="109">
        <f>IF($BD462&gt;0,(((($BD462/Dashboard!$D$23)*(1+Precificação!$W$589)))+$AL$26)*(1+Dashboard!$D$35),0)</f>
        <v>0</v>
      </c>
      <c r="AM462" s="109">
        <f>IF($BD462&gt;0,(((($BD462/Dashboard!$D$23)*(1+Precificação!$W$589))*(1+AM$28))+$AA$26)*(1+Dashboard!$D$35),0)</f>
        <v>0</v>
      </c>
      <c r="AN462" s="109">
        <f>IF($BD462&gt;0,(((($BD462/Dashboard!$D$23)*(1+Precificação!$W$589))*(1+AN$28))+$AA$26)*(1+Dashboard!$D$35),0)</f>
        <v>0</v>
      </c>
      <c r="AO462" s="109">
        <f>IF($BD462&gt;0,(((($BD462/Dashboard!$D$23)*(1+Precificação!$W$589))*(1+AO$28))+$AA$26)*(1+Dashboard!$D$35),0)</f>
        <v>0</v>
      </c>
      <c r="AQ462" s="109">
        <f t="shared" si="396"/>
        <v>0</v>
      </c>
      <c r="AR462" s="109">
        <f t="shared" si="397"/>
        <v>0</v>
      </c>
      <c r="AS462" s="109">
        <f t="shared" si="398"/>
        <v>0</v>
      </c>
      <c r="AT462" s="109">
        <f t="shared" si="399"/>
        <v>0</v>
      </c>
      <c r="AW462" s="144">
        <f>VLOOKUP(B462,'Cronog. e Histog.'!$B$213:$BT$688,71,0)</f>
        <v>0</v>
      </c>
      <c r="AX462" s="144">
        <f>VLOOKUP(B462,'Cronog. e Histog.'!$B$213:$BU$688,72,0)</f>
        <v>0</v>
      </c>
      <c r="AY462" s="144">
        <f>$AW462*$AX462*Dashboard!$D$15</f>
        <v>0</v>
      </c>
      <c r="AZ462" s="144">
        <f>VLOOKUP(B462,Precificação!$B$96:$BM$533,54,0)</f>
        <v>0</v>
      </c>
      <c r="BA462" s="144">
        <f>VLOOKUP(B462,Precificação!$B$96:$BR$533,58,0)</f>
        <v>0</v>
      </c>
      <c r="BB462" s="144">
        <f>VLOOKUP(B462,Precificação!$B$96:$BW$533,62,0)</f>
        <v>0</v>
      </c>
      <c r="BC462" s="144">
        <f t="shared" si="400"/>
        <v>0</v>
      </c>
      <c r="BD462" s="109">
        <f>IFERROR(VLOOKUP(B462,Precificação!$B$96:$S$533,13,0),0)</f>
        <v>0</v>
      </c>
      <c r="BE462" s="109">
        <f>IFERROR(VLOOKUP(B462,Precificação!$B$96:$U$533,15,0)/(Precificação!$U$4+Precificação!$U$91),0)*Dashboard!$T$3</f>
        <v>0</v>
      </c>
    </row>
    <row r="463" spans="2:57" ht="12" customHeight="1" outlineLevel="1">
      <c r="B463" s="137" t="str">
        <f>Precificação!B457</f>
        <v>AN SR. ADM/CRP - Equipe_01</v>
      </c>
      <c r="D463" s="512"/>
      <c r="E463" s="143" t="str">
        <f>IF('Cronog. e Histog.'!G606&gt;0,'Cronog. e Histog.'!G606,"")</f>
        <v>AN SR. ADM/CRP</v>
      </c>
      <c r="G463" s="179">
        <f t="shared" si="387"/>
        <v>0</v>
      </c>
      <c r="H463" s="110">
        <f>IFERROR(INDEX('Base Salarial'!$D$5:$F$25,MATCH(E463,'Base Salarial'!$G$5:$G$25,0),MATCH(I463,'Base Salarial'!$D$4:$F$4,0)),"")</f>
        <v>7000</v>
      </c>
      <c r="I463" s="78" t="str">
        <f>IFERROR(INDEX(Tarefas!$BQ$29:$FK$29,MATCH(E463,Tarefas!$BQ$30:$FK$30,0)),"")</f>
        <v>Mensalista</v>
      </c>
      <c r="J463" s="81">
        <f>IF(I463="horista",H463*Dashboard!$D$15,IF(OR(I463="Mensalista",I463="PJ"),H463,))</f>
        <v>7000</v>
      </c>
      <c r="K463" s="81">
        <f>IF(I463="PJ",J463,ROUND(J463*(1+Dashboard!$D$22),2))</f>
        <v>7420</v>
      </c>
      <c r="L463" s="77"/>
      <c r="M463" s="180"/>
      <c r="P463" s="109">
        <f>IF($BD463&gt;0,(((($BD463/Dashboard!$D$15)*(1+Precificação!$W$589)))+$P$26)*(1+Dashboard!$D$35),0)</f>
        <v>0</v>
      </c>
      <c r="Q463" s="109">
        <f>IF($BD463&gt;0,(((($BD463/Dashboard!$D$23)+(1+Precificação!$W$589))*(1+Q$28))+$P$26)*(1+Dashboard!$D$35),0)</f>
        <v>0</v>
      </c>
      <c r="R463" s="109">
        <f>IF($BD463&gt;0,(((($BD463/Dashboard!$D$23)+(1+Precificação!$W$589))*(1+R$28))+$P$26)*(1+Dashboard!$D$35),0)</f>
        <v>0</v>
      </c>
      <c r="S463" s="109">
        <f>IF($BD463&gt;0,(((($BD463/Dashboard!$D$23)+(1+Precificação!$W$589))*(1+S$28))+$P$26)*(1+Dashboard!$D$35),0)</f>
        <v>0</v>
      </c>
      <c r="U463" s="109">
        <f t="shared" si="388"/>
        <v>0</v>
      </c>
      <c r="V463" s="109">
        <f t="shared" si="389"/>
        <v>0</v>
      </c>
      <c r="W463" s="109">
        <f t="shared" si="390"/>
        <v>0</v>
      </c>
      <c r="X463" s="109">
        <f t="shared" si="391"/>
        <v>0</v>
      </c>
      <c r="AA463" s="109">
        <f>IF($BD463&gt;0,(((($BD463/Dashboard!$D$23)*(1+Precificação!$W$589)))+$AA$26)*(1+Dashboard!$D$35),0)</f>
        <v>0</v>
      </c>
      <c r="AB463" s="109">
        <f>IF($BD463&gt;0,(((($BD463/Dashboard!$D$23)*(1+Precificação!$W$589))*(1+AB$28))+$AA$26)*(1+Dashboard!$D$35),0)</f>
        <v>0</v>
      </c>
      <c r="AC463" s="109">
        <f>IF($BD463&gt;0,(((($BD463/Dashboard!$D$23)*(1+Precificação!$W$589))*(1+AC$28))+$AA$26)*(1+Dashboard!$D$35),0)</f>
        <v>0</v>
      </c>
      <c r="AD463" s="109">
        <f>IF($BD463&gt;0,(((($BD463/Dashboard!$D$23)*(1+Precificação!$W$589))*(1+AD$28))+$AA$26)*(1+Dashboard!$D$35),0)</f>
        <v>0</v>
      </c>
      <c r="AF463" s="109">
        <f t="shared" si="392"/>
        <v>0</v>
      </c>
      <c r="AG463" s="109">
        <f t="shared" si="393"/>
        <v>0</v>
      </c>
      <c r="AH463" s="109">
        <f t="shared" si="394"/>
        <v>0</v>
      </c>
      <c r="AI463" s="109">
        <f t="shared" si="395"/>
        <v>0</v>
      </c>
      <c r="AL463" s="109">
        <f>IF($BD463&gt;0,(((($BD463/Dashboard!$D$23)*(1+Precificação!$W$589)))+$AL$26)*(1+Dashboard!$D$35),0)</f>
        <v>0</v>
      </c>
      <c r="AM463" s="109">
        <f>IF($BD463&gt;0,(((($BD463/Dashboard!$D$23)*(1+Precificação!$W$589))*(1+AM$28))+$AA$26)*(1+Dashboard!$D$35),0)</f>
        <v>0</v>
      </c>
      <c r="AN463" s="109">
        <f>IF($BD463&gt;0,(((($BD463/Dashboard!$D$23)*(1+Precificação!$W$589))*(1+AN$28))+$AA$26)*(1+Dashboard!$D$35),0)</f>
        <v>0</v>
      </c>
      <c r="AO463" s="109">
        <f>IF($BD463&gt;0,(((($BD463/Dashboard!$D$23)*(1+Precificação!$W$589))*(1+AO$28))+$AA$26)*(1+Dashboard!$D$35),0)</f>
        <v>0</v>
      </c>
      <c r="AQ463" s="109">
        <f t="shared" si="396"/>
        <v>0</v>
      </c>
      <c r="AR463" s="109">
        <f t="shared" si="397"/>
        <v>0</v>
      </c>
      <c r="AS463" s="109">
        <f t="shared" si="398"/>
        <v>0</v>
      </c>
      <c r="AT463" s="109">
        <f t="shared" si="399"/>
        <v>0</v>
      </c>
      <c r="AW463" s="144">
        <f>VLOOKUP(B463,'Cronog. e Histog.'!$B$213:$BT$688,71,0)</f>
        <v>0</v>
      </c>
      <c r="AX463" s="144">
        <f>VLOOKUP(B463,'Cronog. e Histog.'!$B$213:$BU$688,72,0)</f>
        <v>0</v>
      </c>
      <c r="AY463" s="144">
        <f>$AW463*$AX463*Dashboard!$D$15</f>
        <v>0</v>
      </c>
      <c r="AZ463" s="144">
        <f>VLOOKUP(B463,Precificação!$B$96:$BM$533,54,0)</f>
        <v>0</v>
      </c>
      <c r="BA463" s="144">
        <f>VLOOKUP(B463,Precificação!$B$96:$BR$533,58,0)</f>
        <v>0</v>
      </c>
      <c r="BB463" s="144">
        <f>VLOOKUP(B463,Precificação!$B$96:$BW$533,62,0)</f>
        <v>0</v>
      </c>
      <c r="BC463" s="144">
        <f t="shared" si="400"/>
        <v>0</v>
      </c>
      <c r="BD463" s="109">
        <f>IFERROR(VLOOKUP(B463,Precificação!$B$96:$S$533,13,0),0)</f>
        <v>0</v>
      </c>
      <c r="BE463" s="109">
        <f>IFERROR(VLOOKUP(B463,Precificação!$B$96:$U$533,15,0)/(Precificação!$U$4+Precificação!$U$91),0)*Dashboard!$T$3</f>
        <v>0</v>
      </c>
    </row>
    <row r="464" spans="2:57" ht="12" customHeight="1" outlineLevel="1">
      <c r="B464" s="137" t="str">
        <f>Precificação!B458</f>
        <v>AN PL. ADM/CRP - Equipe_01</v>
      </c>
      <c r="D464" s="512"/>
      <c r="E464" s="143" t="str">
        <f>IF('Cronog. e Histog.'!G607&gt;0,'Cronog. e Histog.'!G607,"")</f>
        <v>AN PL. ADM/CRP</v>
      </c>
      <c r="G464" s="179">
        <f t="shared" si="387"/>
        <v>0</v>
      </c>
      <c r="H464" s="110">
        <f>IFERROR(INDEX('Base Salarial'!$D$5:$F$25,MATCH(E464,'Base Salarial'!$G$5:$G$25,0),MATCH(I464,'Base Salarial'!$D$4:$F$4,0)),"")</f>
        <v>5000</v>
      </c>
      <c r="I464" s="78" t="str">
        <f>IFERROR(INDEX(Tarefas!$BQ$29:$FK$29,MATCH(E464,Tarefas!$BQ$30:$FK$30,0)),"")</f>
        <v>Mensalista</v>
      </c>
      <c r="J464" s="81">
        <f>IF(I464="horista",H464*Dashboard!$D$15,IF(OR(I464="Mensalista",I464="PJ"),H464,))</f>
        <v>5000</v>
      </c>
      <c r="K464" s="81">
        <f>IF(I464="PJ",J464,ROUND(J464*(1+Dashboard!$D$22),2))</f>
        <v>5300</v>
      </c>
      <c r="L464" s="77"/>
      <c r="M464" s="180"/>
      <c r="P464" s="109">
        <f>IF($BD464&gt;0,(((($BD464/Dashboard!$D$15)*(1+Precificação!$W$589)))+$P$26)*(1+Dashboard!$D$35),0)</f>
        <v>0</v>
      </c>
      <c r="Q464" s="109">
        <f>IF($BD464&gt;0,(((($BD464/Dashboard!$D$23)+(1+Precificação!$W$589))*(1+Q$28))+$P$26)*(1+Dashboard!$D$35),0)</f>
        <v>0</v>
      </c>
      <c r="R464" s="109">
        <f>IF($BD464&gt;0,(((($BD464/Dashboard!$D$23)+(1+Precificação!$W$589))*(1+R$28))+$P$26)*(1+Dashboard!$D$35),0)</f>
        <v>0</v>
      </c>
      <c r="S464" s="109">
        <f>IF($BD464&gt;0,(((($BD464/Dashboard!$D$23)+(1+Precificação!$W$589))*(1+S$28))+$P$26)*(1+Dashboard!$D$35),0)</f>
        <v>0</v>
      </c>
      <c r="U464" s="109">
        <f t="shared" si="388"/>
        <v>0</v>
      </c>
      <c r="V464" s="109">
        <f t="shared" si="389"/>
        <v>0</v>
      </c>
      <c r="W464" s="109">
        <f t="shared" si="390"/>
        <v>0</v>
      </c>
      <c r="X464" s="109">
        <f t="shared" si="391"/>
        <v>0</v>
      </c>
      <c r="AA464" s="109">
        <f>IF($BD464&gt;0,(((($BD464/Dashboard!$D$23)*(1+Precificação!$W$589)))+$AA$26)*(1+Dashboard!$D$35),0)</f>
        <v>0</v>
      </c>
      <c r="AB464" s="109">
        <f>IF($BD464&gt;0,(((($BD464/Dashboard!$D$23)*(1+Precificação!$W$589))*(1+AB$28))+$AA$26)*(1+Dashboard!$D$35),0)</f>
        <v>0</v>
      </c>
      <c r="AC464" s="109">
        <f>IF($BD464&gt;0,(((($BD464/Dashboard!$D$23)*(1+Precificação!$W$589))*(1+AC$28))+$AA$26)*(1+Dashboard!$D$35),0)</f>
        <v>0</v>
      </c>
      <c r="AD464" s="109">
        <f>IF($BD464&gt;0,(((($BD464/Dashboard!$D$23)*(1+Precificação!$W$589))*(1+AD$28))+$AA$26)*(1+Dashboard!$D$35),0)</f>
        <v>0</v>
      </c>
      <c r="AF464" s="109">
        <f t="shared" si="392"/>
        <v>0</v>
      </c>
      <c r="AG464" s="109">
        <f t="shared" si="393"/>
        <v>0</v>
      </c>
      <c r="AH464" s="109">
        <f t="shared" si="394"/>
        <v>0</v>
      </c>
      <c r="AI464" s="109">
        <f t="shared" si="395"/>
        <v>0</v>
      </c>
      <c r="AL464" s="109">
        <f>IF($BD464&gt;0,(((($BD464/Dashboard!$D$23)*(1+Precificação!$W$589)))+$AL$26)*(1+Dashboard!$D$35),0)</f>
        <v>0</v>
      </c>
      <c r="AM464" s="109">
        <f>IF($BD464&gt;0,(((($BD464/Dashboard!$D$23)*(1+Precificação!$W$589))*(1+AM$28))+$AA$26)*(1+Dashboard!$D$35),0)</f>
        <v>0</v>
      </c>
      <c r="AN464" s="109">
        <f>IF($BD464&gt;0,(((($BD464/Dashboard!$D$23)*(1+Precificação!$W$589))*(1+AN$28))+$AA$26)*(1+Dashboard!$D$35),0)</f>
        <v>0</v>
      </c>
      <c r="AO464" s="109">
        <f>IF($BD464&gt;0,(((($BD464/Dashboard!$D$23)*(1+Precificação!$W$589))*(1+AO$28))+$AA$26)*(1+Dashboard!$D$35),0)</f>
        <v>0</v>
      </c>
      <c r="AQ464" s="109">
        <f t="shared" si="396"/>
        <v>0</v>
      </c>
      <c r="AR464" s="109">
        <f t="shared" si="397"/>
        <v>0</v>
      </c>
      <c r="AS464" s="109">
        <f t="shared" si="398"/>
        <v>0</v>
      </c>
      <c r="AT464" s="109">
        <f t="shared" si="399"/>
        <v>0</v>
      </c>
      <c r="AW464" s="144">
        <f>VLOOKUP(B464,'Cronog. e Histog.'!$B$213:$BT$688,71,0)</f>
        <v>0</v>
      </c>
      <c r="AX464" s="144">
        <f>VLOOKUP(B464,'Cronog. e Histog.'!$B$213:$BU$688,72,0)</f>
        <v>0</v>
      </c>
      <c r="AY464" s="144">
        <f>$AW464*$AX464*Dashboard!$D$15</f>
        <v>0</v>
      </c>
      <c r="AZ464" s="144">
        <f>VLOOKUP(B464,Precificação!$B$96:$BM$533,54,0)</f>
        <v>0</v>
      </c>
      <c r="BA464" s="144">
        <f>VLOOKUP(B464,Precificação!$B$96:$BR$533,58,0)</f>
        <v>0</v>
      </c>
      <c r="BB464" s="144">
        <f>VLOOKUP(B464,Precificação!$B$96:$BW$533,62,0)</f>
        <v>0</v>
      </c>
      <c r="BC464" s="144">
        <f t="shared" si="400"/>
        <v>0</v>
      </c>
      <c r="BD464" s="109">
        <f>IFERROR(VLOOKUP(B464,Precificação!$B$96:$S$533,13,0),0)</f>
        <v>0</v>
      </c>
      <c r="BE464" s="109">
        <f>IFERROR(VLOOKUP(B464,Precificação!$B$96:$U$533,15,0)/(Precificação!$U$4+Precificação!$U$91),0)*Dashboard!$T$3</f>
        <v>0</v>
      </c>
    </row>
    <row r="465" spans="2:57" ht="12" customHeight="1" outlineLevel="1">
      <c r="B465" s="137" t="str">
        <f>Precificação!B459</f>
        <v>AN JR. ADM/CRP - Equipe_01</v>
      </c>
      <c r="D465" s="512"/>
      <c r="E465" s="143" t="str">
        <f>IF('Cronog. e Histog.'!G608&gt;0,'Cronog. e Histog.'!G608,"")</f>
        <v>AN JR. ADM/CRP</v>
      </c>
      <c r="G465" s="179">
        <f t="shared" si="387"/>
        <v>0</v>
      </c>
      <c r="H465" s="110">
        <f>IFERROR(INDEX('Base Salarial'!$D$5:$F$25,MATCH(E465,'Base Salarial'!$G$5:$G$25,0),MATCH(I465,'Base Salarial'!$D$4:$F$4,0)),"")</f>
        <v>3500</v>
      </c>
      <c r="I465" s="78" t="str">
        <f>IFERROR(INDEX(Tarefas!$BQ$29:$FK$29,MATCH(E465,Tarefas!$BQ$30:$FK$30,0)),"")</f>
        <v>Mensalista</v>
      </c>
      <c r="J465" s="81">
        <f>IF(I465="horista",H465*Dashboard!$D$15,IF(OR(I465="Mensalista",I465="PJ"),H465,))</f>
        <v>3500</v>
      </c>
      <c r="K465" s="81">
        <f>IF(I465="PJ",J465,ROUND(J465*(1+Dashboard!$D$22),2))</f>
        <v>3710</v>
      </c>
      <c r="L465" s="77"/>
      <c r="M465" s="180"/>
      <c r="P465" s="109">
        <f>IF($BD465&gt;0,(((($BD465/Dashboard!$D$15)*(1+Precificação!$W$589)))+$P$26)*(1+Dashboard!$D$35),0)</f>
        <v>0</v>
      </c>
      <c r="Q465" s="109">
        <f>IF($BD465&gt;0,(((($BD465/Dashboard!$D$23)+(1+Precificação!$W$589))*(1+Q$28))+$P$26)*(1+Dashboard!$D$35),0)</f>
        <v>0</v>
      </c>
      <c r="R465" s="109">
        <f>IF($BD465&gt;0,(((($BD465/Dashboard!$D$23)+(1+Precificação!$W$589))*(1+R$28))+$P$26)*(1+Dashboard!$D$35),0)</f>
        <v>0</v>
      </c>
      <c r="S465" s="109">
        <f>IF($BD465&gt;0,(((($BD465/Dashboard!$D$23)+(1+Precificação!$W$589))*(1+S$28))+$P$26)*(1+Dashboard!$D$35),0)</f>
        <v>0</v>
      </c>
      <c r="U465" s="109">
        <f t="shared" si="388"/>
        <v>0</v>
      </c>
      <c r="V465" s="109">
        <f t="shared" si="389"/>
        <v>0</v>
      </c>
      <c r="W465" s="109">
        <f t="shared" si="390"/>
        <v>0</v>
      </c>
      <c r="X465" s="109">
        <f t="shared" si="391"/>
        <v>0</v>
      </c>
      <c r="AA465" s="109">
        <f>IF($BD465&gt;0,(((($BD465/Dashboard!$D$23)*(1+Precificação!$W$589)))+$AA$26)*(1+Dashboard!$D$35),0)</f>
        <v>0</v>
      </c>
      <c r="AB465" s="109">
        <f>IF($BD465&gt;0,(((($BD465/Dashboard!$D$23)*(1+Precificação!$W$589))*(1+AB$28))+$AA$26)*(1+Dashboard!$D$35),0)</f>
        <v>0</v>
      </c>
      <c r="AC465" s="109">
        <f>IF($BD465&gt;0,(((($BD465/Dashboard!$D$23)*(1+Precificação!$W$589))*(1+AC$28))+$AA$26)*(1+Dashboard!$D$35),0)</f>
        <v>0</v>
      </c>
      <c r="AD465" s="109">
        <f>IF($BD465&gt;0,(((($BD465/Dashboard!$D$23)*(1+Precificação!$W$589))*(1+AD$28))+$AA$26)*(1+Dashboard!$D$35),0)</f>
        <v>0</v>
      </c>
      <c r="AF465" s="109">
        <f t="shared" si="392"/>
        <v>0</v>
      </c>
      <c r="AG465" s="109">
        <f t="shared" si="393"/>
        <v>0</v>
      </c>
      <c r="AH465" s="109">
        <f t="shared" si="394"/>
        <v>0</v>
      </c>
      <c r="AI465" s="109">
        <f t="shared" si="395"/>
        <v>0</v>
      </c>
      <c r="AL465" s="109">
        <f>IF($BD465&gt;0,(((($BD465/Dashboard!$D$23)*(1+Precificação!$W$589)))+$AL$26)*(1+Dashboard!$D$35),0)</f>
        <v>0</v>
      </c>
      <c r="AM465" s="109">
        <f>IF($BD465&gt;0,(((($BD465/Dashboard!$D$23)*(1+Precificação!$W$589))*(1+AM$28))+$AA$26)*(1+Dashboard!$D$35),0)</f>
        <v>0</v>
      </c>
      <c r="AN465" s="109">
        <f>IF($BD465&gt;0,(((($BD465/Dashboard!$D$23)*(1+Precificação!$W$589))*(1+AN$28))+$AA$26)*(1+Dashboard!$D$35),0)</f>
        <v>0</v>
      </c>
      <c r="AO465" s="109">
        <f>IF($BD465&gt;0,(((($BD465/Dashboard!$D$23)*(1+Precificação!$W$589))*(1+AO$28))+$AA$26)*(1+Dashboard!$D$35),0)</f>
        <v>0</v>
      </c>
      <c r="AQ465" s="109">
        <f t="shared" si="396"/>
        <v>0</v>
      </c>
      <c r="AR465" s="109">
        <f t="shared" si="397"/>
        <v>0</v>
      </c>
      <c r="AS465" s="109">
        <f t="shared" si="398"/>
        <v>0</v>
      </c>
      <c r="AT465" s="109">
        <f t="shared" si="399"/>
        <v>0</v>
      </c>
      <c r="AW465" s="144">
        <f>VLOOKUP(B465,'Cronog. e Histog.'!$B$213:$BT$688,71,0)</f>
        <v>0</v>
      </c>
      <c r="AX465" s="144">
        <f>VLOOKUP(B465,'Cronog. e Histog.'!$B$213:$BU$688,72,0)</f>
        <v>0</v>
      </c>
      <c r="AY465" s="144">
        <f>$AW465*$AX465*Dashboard!$D$15</f>
        <v>0</v>
      </c>
      <c r="AZ465" s="144">
        <f>VLOOKUP(B465,Precificação!$B$96:$BM$533,54,0)</f>
        <v>0</v>
      </c>
      <c r="BA465" s="144">
        <f>VLOOKUP(B465,Precificação!$B$96:$BR$533,58,0)</f>
        <v>0</v>
      </c>
      <c r="BB465" s="144">
        <f>VLOOKUP(B465,Precificação!$B$96:$BW$533,62,0)</f>
        <v>0</v>
      </c>
      <c r="BC465" s="144">
        <f t="shared" si="400"/>
        <v>0</v>
      </c>
      <c r="BD465" s="109">
        <f>IFERROR(VLOOKUP(B465,Precificação!$B$96:$S$533,13,0),0)</f>
        <v>0</v>
      </c>
      <c r="BE465" s="109">
        <f>IFERROR(VLOOKUP(B465,Precificação!$B$96:$U$533,15,0)/(Precificação!$U$4+Precificação!$U$91),0)*Dashboard!$T$3</f>
        <v>0</v>
      </c>
    </row>
    <row r="466" spans="2:57" ht="12" customHeight="1" outlineLevel="1">
      <c r="B466" s="137" t="str">
        <f>Precificação!B460</f>
        <v>TEC III - Equipe_01</v>
      </c>
      <c r="D466" s="512"/>
      <c r="E466" s="143" t="str">
        <f>IF('Cronog. e Histog.'!G609&gt;0,'Cronog. e Histog.'!G609,"")</f>
        <v>TEC III</v>
      </c>
      <c r="G466" s="179">
        <f t="shared" si="387"/>
        <v>0</v>
      </c>
      <c r="H466" s="110">
        <f>IFERROR(INDEX('Base Salarial'!$D$5:$F$25,MATCH(E466,'Base Salarial'!$G$5:$G$25,0),MATCH(I466,'Base Salarial'!$D$4:$F$4,0)),"")</f>
        <v>6000</v>
      </c>
      <c r="I466" s="78" t="str">
        <f>IFERROR(INDEX(Tarefas!$BQ$29:$FK$29,MATCH(E466,Tarefas!$BQ$30:$FK$30,0)),"")</f>
        <v>Mensalista</v>
      </c>
      <c r="J466" s="81">
        <f>IF(I466="horista",H466*Dashboard!$D$15,IF(OR(I466="Mensalista",I466="PJ"),H466,))</f>
        <v>6000</v>
      </c>
      <c r="K466" s="81">
        <f>IF(I466="PJ",J466,ROUND(J466*(1+Dashboard!$D$22),2))</f>
        <v>6360</v>
      </c>
      <c r="L466" s="77"/>
      <c r="M466" s="180"/>
      <c r="P466" s="109">
        <f>IF($BD466&gt;0,(((($BD466/Dashboard!$D$15)*(1+Precificação!$W$589)))+$P$26)*(1+Dashboard!$D$35),0)</f>
        <v>0</v>
      </c>
      <c r="Q466" s="109">
        <f>IF($BD466&gt;0,(((($BD466/Dashboard!$D$23)+(1+Precificação!$W$589))*(1+Q$28))+$P$26)*(1+Dashboard!$D$35),0)</f>
        <v>0</v>
      </c>
      <c r="R466" s="109">
        <f>IF($BD466&gt;0,(((($BD466/Dashboard!$D$23)+(1+Precificação!$W$589))*(1+R$28))+$P$26)*(1+Dashboard!$D$35),0)</f>
        <v>0</v>
      </c>
      <c r="S466" s="109">
        <f>IF($BD466&gt;0,(((($BD466/Dashboard!$D$23)+(1+Precificação!$W$589))*(1+S$28))+$P$26)*(1+Dashboard!$D$35),0)</f>
        <v>0</v>
      </c>
      <c r="U466" s="109">
        <f t="shared" si="388"/>
        <v>0</v>
      </c>
      <c r="V466" s="109">
        <f t="shared" si="389"/>
        <v>0</v>
      </c>
      <c r="W466" s="109">
        <f t="shared" si="390"/>
        <v>0</v>
      </c>
      <c r="X466" s="109">
        <f t="shared" si="391"/>
        <v>0</v>
      </c>
      <c r="AA466" s="109">
        <f>IF($BD466&gt;0,(((($BD466/Dashboard!$D$23)*(1+Precificação!$W$589)))+$AA$26)*(1+Dashboard!$D$35),0)</f>
        <v>0</v>
      </c>
      <c r="AB466" s="109">
        <f>IF($BD466&gt;0,(((($BD466/Dashboard!$D$23)*(1+Precificação!$W$589))*(1+AB$28))+$AA$26)*(1+Dashboard!$D$35),0)</f>
        <v>0</v>
      </c>
      <c r="AC466" s="109">
        <f>IF($BD466&gt;0,(((($BD466/Dashboard!$D$23)*(1+Precificação!$W$589))*(1+AC$28))+$AA$26)*(1+Dashboard!$D$35),0)</f>
        <v>0</v>
      </c>
      <c r="AD466" s="109">
        <f>IF($BD466&gt;0,(((($BD466/Dashboard!$D$23)*(1+Precificação!$W$589))*(1+AD$28))+$AA$26)*(1+Dashboard!$D$35),0)</f>
        <v>0</v>
      </c>
      <c r="AF466" s="109">
        <f t="shared" si="392"/>
        <v>0</v>
      </c>
      <c r="AG466" s="109">
        <f t="shared" si="393"/>
        <v>0</v>
      </c>
      <c r="AH466" s="109">
        <f t="shared" si="394"/>
        <v>0</v>
      </c>
      <c r="AI466" s="109">
        <f t="shared" si="395"/>
        <v>0</v>
      </c>
      <c r="AL466" s="109">
        <f>IF($BD466&gt;0,(((($BD466/Dashboard!$D$23)*(1+Precificação!$W$589)))+$AL$26)*(1+Dashboard!$D$35),0)</f>
        <v>0</v>
      </c>
      <c r="AM466" s="109">
        <f>IF($BD466&gt;0,(((($BD466/Dashboard!$D$23)*(1+Precificação!$W$589))*(1+AM$28))+$AA$26)*(1+Dashboard!$D$35),0)</f>
        <v>0</v>
      </c>
      <c r="AN466" s="109">
        <f>IF($BD466&gt;0,(((($BD466/Dashboard!$D$23)*(1+Precificação!$W$589))*(1+AN$28))+$AA$26)*(1+Dashboard!$D$35),0)</f>
        <v>0</v>
      </c>
      <c r="AO466" s="109">
        <f>IF($BD466&gt;0,(((($BD466/Dashboard!$D$23)*(1+Precificação!$W$589))*(1+AO$28))+$AA$26)*(1+Dashboard!$D$35),0)</f>
        <v>0</v>
      </c>
      <c r="AQ466" s="109">
        <f t="shared" si="396"/>
        <v>0</v>
      </c>
      <c r="AR466" s="109">
        <f t="shared" si="397"/>
        <v>0</v>
      </c>
      <c r="AS466" s="109">
        <f t="shared" si="398"/>
        <v>0</v>
      </c>
      <c r="AT466" s="109">
        <f t="shared" si="399"/>
        <v>0</v>
      </c>
      <c r="AW466" s="144">
        <f>VLOOKUP(B466,'Cronog. e Histog.'!$B$213:$BT$688,71,0)</f>
        <v>0</v>
      </c>
      <c r="AX466" s="144">
        <f>VLOOKUP(B466,'Cronog. e Histog.'!$B$213:$BU$688,72,0)</f>
        <v>0</v>
      </c>
      <c r="AY466" s="144">
        <f>$AW466*$AX466*Dashboard!$D$15</f>
        <v>0</v>
      </c>
      <c r="AZ466" s="144">
        <f>VLOOKUP(B466,Precificação!$B$96:$BM$533,54,0)</f>
        <v>0</v>
      </c>
      <c r="BA466" s="144">
        <f>VLOOKUP(B466,Precificação!$B$96:$BR$533,58,0)</f>
        <v>0</v>
      </c>
      <c r="BB466" s="144">
        <f>VLOOKUP(B466,Precificação!$B$96:$BW$533,62,0)</f>
        <v>0</v>
      </c>
      <c r="BC466" s="144">
        <f t="shared" si="400"/>
        <v>0</v>
      </c>
      <c r="BD466" s="109">
        <f>IFERROR(VLOOKUP(B466,Precificação!$B$96:$S$533,13,0),0)</f>
        <v>0</v>
      </c>
      <c r="BE466" s="109">
        <f>IFERROR(VLOOKUP(B466,Precificação!$B$96:$U$533,15,0)/(Precificação!$U$4+Precificação!$U$91),0)*Dashboard!$T$3</f>
        <v>0</v>
      </c>
    </row>
    <row r="467" spans="2:57" ht="12" customHeight="1" outlineLevel="1">
      <c r="B467" s="137" t="str">
        <f>Precificação!B461</f>
        <v>TEC II - Equipe_01</v>
      </c>
      <c r="D467" s="512"/>
      <c r="E467" s="143" t="str">
        <f>IF('Cronog. e Histog.'!G610&gt;0,'Cronog. e Histog.'!G610,"")</f>
        <v>TEC II</v>
      </c>
      <c r="G467" s="179">
        <f t="shared" si="387"/>
        <v>0</v>
      </c>
      <c r="H467" s="110">
        <f>IFERROR(INDEX('Base Salarial'!$D$5:$F$25,MATCH(E467,'Base Salarial'!$G$5:$G$25,0),MATCH(I467,'Base Salarial'!$D$4:$F$4,0)),"")</f>
        <v>4500</v>
      </c>
      <c r="I467" s="78" t="str">
        <f>IFERROR(INDEX(Tarefas!$BQ$29:$FK$29,MATCH(E467,Tarefas!$BQ$30:$FK$30,0)),"")</f>
        <v>Mensalista</v>
      </c>
      <c r="J467" s="81">
        <f>IF(I467="horista",H467*Dashboard!$D$15,IF(OR(I467="Mensalista",I467="PJ"),H467,))</f>
        <v>4500</v>
      </c>
      <c r="K467" s="81">
        <f>IF(I467="PJ",J467,ROUND(J467*(1+Dashboard!$D$22),2))</f>
        <v>4770</v>
      </c>
      <c r="L467" s="77"/>
      <c r="M467" s="180"/>
      <c r="P467" s="109">
        <f>IF($BD467&gt;0,(((($BD467/Dashboard!$D$15)*(1+Precificação!$W$589)))+$P$26)*(1+Dashboard!$D$35),0)</f>
        <v>0</v>
      </c>
      <c r="Q467" s="109">
        <f>IF($BD467&gt;0,(((($BD467/Dashboard!$D$23)+(1+Precificação!$W$589))*(1+Q$28))+$P$26)*(1+Dashboard!$D$35),0)</f>
        <v>0</v>
      </c>
      <c r="R467" s="109">
        <f>IF($BD467&gt;0,(((($BD467/Dashboard!$D$23)+(1+Precificação!$W$589))*(1+R$28))+$P$26)*(1+Dashboard!$D$35),0)</f>
        <v>0</v>
      </c>
      <c r="S467" s="109">
        <f>IF($BD467&gt;0,(((($BD467/Dashboard!$D$23)+(1+Precificação!$W$589))*(1+S$28))+$P$26)*(1+Dashboard!$D$35),0)</f>
        <v>0</v>
      </c>
      <c r="U467" s="109">
        <f t="shared" si="388"/>
        <v>0</v>
      </c>
      <c r="V467" s="109">
        <f t="shared" si="389"/>
        <v>0</v>
      </c>
      <c r="W467" s="109">
        <f t="shared" si="390"/>
        <v>0</v>
      </c>
      <c r="X467" s="109">
        <f t="shared" si="391"/>
        <v>0</v>
      </c>
      <c r="AA467" s="109">
        <f>IF($BD467&gt;0,(((($BD467/Dashboard!$D$23)*(1+Precificação!$W$589)))+$AA$26)*(1+Dashboard!$D$35),0)</f>
        <v>0</v>
      </c>
      <c r="AB467" s="109">
        <f>IF($BD467&gt;0,(((($BD467/Dashboard!$D$23)*(1+Precificação!$W$589))*(1+AB$28))+$AA$26)*(1+Dashboard!$D$35),0)</f>
        <v>0</v>
      </c>
      <c r="AC467" s="109">
        <f>IF($BD467&gt;0,(((($BD467/Dashboard!$D$23)*(1+Precificação!$W$589))*(1+AC$28))+$AA$26)*(1+Dashboard!$D$35),0)</f>
        <v>0</v>
      </c>
      <c r="AD467" s="109">
        <f>IF($BD467&gt;0,(((($BD467/Dashboard!$D$23)*(1+Precificação!$W$589))*(1+AD$28))+$AA$26)*(1+Dashboard!$D$35),0)</f>
        <v>0</v>
      </c>
      <c r="AF467" s="109">
        <f t="shared" si="392"/>
        <v>0</v>
      </c>
      <c r="AG467" s="109">
        <f t="shared" si="393"/>
        <v>0</v>
      </c>
      <c r="AH467" s="109">
        <f t="shared" si="394"/>
        <v>0</v>
      </c>
      <c r="AI467" s="109">
        <f t="shared" si="395"/>
        <v>0</v>
      </c>
      <c r="AL467" s="109">
        <f>IF($BD467&gt;0,(((($BD467/Dashboard!$D$23)*(1+Precificação!$W$589)))+$AL$26)*(1+Dashboard!$D$35),0)</f>
        <v>0</v>
      </c>
      <c r="AM467" s="109">
        <f>IF($BD467&gt;0,(((($BD467/Dashboard!$D$23)*(1+Precificação!$W$589))*(1+AM$28))+$AA$26)*(1+Dashboard!$D$35),0)</f>
        <v>0</v>
      </c>
      <c r="AN467" s="109">
        <f>IF($BD467&gt;0,(((($BD467/Dashboard!$D$23)*(1+Precificação!$W$589))*(1+AN$28))+$AA$26)*(1+Dashboard!$D$35),0)</f>
        <v>0</v>
      </c>
      <c r="AO467" s="109">
        <f>IF($BD467&gt;0,(((($BD467/Dashboard!$D$23)*(1+Precificação!$W$589))*(1+AO$28))+$AA$26)*(1+Dashboard!$D$35),0)</f>
        <v>0</v>
      </c>
      <c r="AQ467" s="109">
        <f t="shared" si="396"/>
        <v>0</v>
      </c>
      <c r="AR467" s="109">
        <f t="shared" si="397"/>
        <v>0</v>
      </c>
      <c r="AS467" s="109">
        <f t="shared" si="398"/>
        <v>0</v>
      </c>
      <c r="AT467" s="109">
        <f t="shared" si="399"/>
        <v>0</v>
      </c>
      <c r="AW467" s="144">
        <f>VLOOKUP(B467,'Cronog. e Histog.'!$B$213:$BT$688,71,0)</f>
        <v>0</v>
      </c>
      <c r="AX467" s="144">
        <f>VLOOKUP(B467,'Cronog. e Histog.'!$B$213:$BU$688,72,0)</f>
        <v>0</v>
      </c>
      <c r="AY467" s="144">
        <f>$AW467*$AX467*Dashboard!$D$15</f>
        <v>0</v>
      </c>
      <c r="AZ467" s="144">
        <f>VLOOKUP(B467,Precificação!$B$96:$BM$533,54,0)</f>
        <v>0</v>
      </c>
      <c r="BA467" s="144">
        <f>VLOOKUP(B467,Precificação!$B$96:$BR$533,58,0)</f>
        <v>0</v>
      </c>
      <c r="BB467" s="144">
        <f>VLOOKUP(B467,Precificação!$B$96:$BW$533,62,0)</f>
        <v>0</v>
      </c>
      <c r="BC467" s="144">
        <f t="shared" si="400"/>
        <v>0</v>
      </c>
      <c r="BD467" s="109">
        <f>IFERROR(VLOOKUP(B467,Precificação!$B$96:$S$533,13,0),0)</f>
        <v>0</v>
      </c>
      <c r="BE467" s="109">
        <f>IFERROR(VLOOKUP(B467,Precificação!$B$96:$U$533,15,0)/(Precificação!$U$4+Precificação!$U$91),0)*Dashboard!$T$3</f>
        <v>0</v>
      </c>
    </row>
    <row r="468" spans="2:57" ht="12" customHeight="1" outlineLevel="1">
      <c r="B468" s="137" t="str">
        <f>Precificação!B462</f>
        <v>TEC I - Equipe_01</v>
      </c>
      <c r="D468" s="512"/>
      <c r="E468" s="143" t="str">
        <f>IF('Cronog. e Histog.'!G611&gt;0,'Cronog. e Histog.'!G611,"")</f>
        <v>TEC I</v>
      </c>
      <c r="G468" s="179">
        <f t="shared" si="387"/>
        <v>0</v>
      </c>
      <c r="H468" s="110">
        <f>IFERROR(INDEX('Base Salarial'!$D$5:$F$25,MATCH(E468,'Base Salarial'!$G$5:$G$25,0),MATCH(I468,'Base Salarial'!$D$4:$F$4,0)),"")</f>
        <v>3000</v>
      </c>
      <c r="I468" s="78" t="str">
        <f>IFERROR(INDEX(Tarefas!$BQ$29:$FK$29,MATCH(E468,Tarefas!$BQ$30:$FK$30,0)),"")</f>
        <v>Mensalista</v>
      </c>
      <c r="J468" s="81">
        <f>IF(I468="horista",H468*Dashboard!$D$15,IF(OR(I468="Mensalista",I468="PJ"),H468,))</f>
        <v>3000</v>
      </c>
      <c r="K468" s="81">
        <f>IF(I468="PJ",J468,ROUND(J468*(1+Dashboard!$D$22),2))</f>
        <v>3180</v>
      </c>
      <c r="L468" s="77"/>
      <c r="M468" s="180"/>
      <c r="P468" s="109">
        <f>IF($BD468&gt;0,(((($BD468/Dashboard!$D$15)*(1+Precificação!$W$589)))+$P$26)*(1+Dashboard!$D$35),0)</f>
        <v>0</v>
      </c>
      <c r="Q468" s="109">
        <f>IF($BD468&gt;0,(((($BD468/Dashboard!$D$23)+(1+Precificação!$W$589))*(1+Q$28))+$P$26)*(1+Dashboard!$D$35),0)</f>
        <v>0</v>
      </c>
      <c r="R468" s="109">
        <f>IF($BD468&gt;0,(((($BD468/Dashboard!$D$23)+(1+Precificação!$W$589))*(1+R$28))+$P$26)*(1+Dashboard!$D$35),0)</f>
        <v>0</v>
      </c>
      <c r="S468" s="109">
        <f>IF($BD468&gt;0,(((($BD468/Dashboard!$D$23)+(1+Precificação!$W$589))*(1+S$28))+$P$26)*(1+Dashboard!$D$35),0)</f>
        <v>0</v>
      </c>
      <c r="U468" s="109">
        <f t="shared" si="388"/>
        <v>0</v>
      </c>
      <c r="V468" s="109">
        <f t="shared" si="389"/>
        <v>0</v>
      </c>
      <c r="W468" s="109">
        <f t="shared" si="390"/>
        <v>0</v>
      </c>
      <c r="X468" s="109">
        <f t="shared" si="391"/>
        <v>0</v>
      </c>
      <c r="AA468" s="109">
        <f>IF($BD468&gt;0,(((($BD468/Dashboard!$D$23)*(1+Precificação!$W$589)))+$AA$26)*(1+Dashboard!$D$35),0)</f>
        <v>0</v>
      </c>
      <c r="AB468" s="109">
        <f>IF($BD468&gt;0,(((($BD468/Dashboard!$D$23)*(1+Precificação!$W$589))*(1+AB$28))+$AA$26)*(1+Dashboard!$D$35),0)</f>
        <v>0</v>
      </c>
      <c r="AC468" s="109">
        <f>IF($BD468&gt;0,(((($BD468/Dashboard!$D$23)*(1+Precificação!$W$589))*(1+AC$28))+$AA$26)*(1+Dashboard!$D$35),0)</f>
        <v>0</v>
      </c>
      <c r="AD468" s="109">
        <f>IF($BD468&gt;0,(((($BD468/Dashboard!$D$23)*(1+Precificação!$W$589))*(1+AD$28))+$AA$26)*(1+Dashboard!$D$35),0)</f>
        <v>0</v>
      </c>
      <c r="AF468" s="109">
        <f t="shared" si="392"/>
        <v>0</v>
      </c>
      <c r="AG468" s="109">
        <f t="shared" si="393"/>
        <v>0</v>
      </c>
      <c r="AH468" s="109">
        <f t="shared" si="394"/>
        <v>0</v>
      </c>
      <c r="AI468" s="109">
        <f t="shared" si="395"/>
        <v>0</v>
      </c>
      <c r="AL468" s="109">
        <f>IF($BD468&gt;0,(((($BD468/Dashboard!$D$23)*(1+Precificação!$W$589)))+$AL$26)*(1+Dashboard!$D$35),0)</f>
        <v>0</v>
      </c>
      <c r="AM468" s="109">
        <f>IF($BD468&gt;0,(((($BD468/Dashboard!$D$23)*(1+Precificação!$W$589))*(1+AM$28))+$AA$26)*(1+Dashboard!$D$35),0)</f>
        <v>0</v>
      </c>
      <c r="AN468" s="109">
        <f>IF($BD468&gt;0,(((($BD468/Dashboard!$D$23)*(1+Precificação!$W$589))*(1+AN$28))+$AA$26)*(1+Dashboard!$D$35),0)</f>
        <v>0</v>
      </c>
      <c r="AO468" s="109">
        <f>IF($BD468&gt;0,(((($BD468/Dashboard!$D$23)*(1+Precificação!$W$589))*(1+AO$28))+$AA$26)*(1+Dashboard!$D$35),0)</f>
        <v>0</v>
      </c>
      <c r="AQ468" s="109">
        <f t="shared" si="396"/>
        <v>0</v>
      </c>
      <c r="AR468" s="109">
        <f t="shared" si="397"/>
        <v>0</v>
      </c>
      <c r="AS468" s="109">
        <f t="shared" si="398"/>
        <v>0</v>
      </c>
      <c r="AT468" s="109">
        <f t="shared" si="399"/>
        <v>0</v>
      </c>
      <c r="AW468" s="144">
        <f>VLOOKUP(B468,'Cronog. e Histog.'!$B$213:$BT$688,71,0)</f>
        <v>0</v>
      </c>
      <c r="AX468" s="144">
        <f>VLOOKUP(B468,'Cronog. e Histog.'!$B$213:$BU$688,72,0)</f>
        <v>0</v>
      </c>
      <c r="AY468" s="144">
        <f>$AW468*$AX468*Dashboard!$D$15</f>
        <v>0</v>
      </c>
      <c r="AZ468" s="144">
        <f>VLOOKUP(B468,Precificação!$B$96:$BM$533,54,0)</f>
        <v>0</v>
      </c>
      <c r="BA468" s="144">
        <f>VLOOKUP(B468,Precificação!$B$96:$BR$533,58,0)</f>
        <v>0</v>
      </c>
      <c r="BB468" s="144">
        <f>VLOOKUP(B468,Precificação!$B$96:$BW$533,62,0)</f>
        <v>0</v>
      </c>
      <c r="BC468" s="144">
        <f t="shared" si="400"/>
        <v>0</v>
      </c>
      <c r="BD468" s="109">
        <f>IFERROR(VLOOKUP(B468,Precificação!$B$96:$S$533,13,0),0)</f>
        <v>0</v>
      </c>
      <c r="BE468" s="109">
        <f>IFERROR(VLOOKUP(B468,Precificação!$B$96:$U$533,15,0)/(Precificação!$U$4+Precificação!$U$91),0)*Dashboard!$T$3</f>
        <v>0</v>
      </c>
    </row>
    <row r="469" spans="2:57" ht="12" customHeight="1" outlineLevel="1">
      <c r="B469" s="137" t="str">
        <f>Precificação!B463</f>
        <v>AUX TEC - Equipe_01</v>
      </c>
      <c r="D469" s="512"/>
      <c r="E469" s="143" t="str">
        <f>IF('Cronog. e Histog.'!G612&gt;0,'Cronog. e Histog.'!G612,"")</f>
        <v>AUX TEC</v>
      </c>
      <c r="G469" s="179">
        <f t="shared" si="387"/>
        <v>0</v>
      </c>
      <c r="H469" s="110">
        <f>IFERROR(INDEX('Base Salarial'!$D$5:$F$25,MATCH(E469,'Base Salarial'!$G$5:$G$25,0),MATCH(I469,'Base Salarial'!$D$4:$F$4,0)),"")</f>
        <v>3500</v>
      </c>
      <c r="I469" s="78" t="str">
        <f>IFERROR(INDEX(Tarefas!$BQ$29:$FK$29,MATCH(E469,Tarefas!$BQ$30:$FK$30,0)),"")</f>
        <v>Mensalista</v>
      </c>
      <c r="J469" s="81">
        <f>IF(I469="horista",H469*Dashboard!$D$15,IF(OR(I469="Mensalista",I469="PJ"),H469,))</f>
        <v>3500</v>
      </c>
      <c r="K469" s="81">
        <f>IF(I469="PJ",J469,ROUND(J469*(1+Dashboard!$D$22),2))</f>
        <v>3710</v>
      </c>
      <c r="L469" s="77"/>
      <c r="M469" s="180"/>
      <c r="P469" s="109">
        <f>IF($BD469&gt;0,(((($BD469/Dashboard!$D$15)*(1+Precificação!$W$589)))+$P$26)*(1+Dashboard!$D$35),0)</f>
        <v>0</v>
      </c>
      <c r="Q469" s="109">
        <f>IF($BD469&gt;0,(((($BD469/Dashboard!$D$23)+(1+Precificação!$W$589))*(1+Q$28))+$P$26)*(1+Dashboard!$D$35),0)</f>
        <v>0</v>
      </c>
      <c r="R469" s="109">
        <f>IF($BD469&gt;0,(((($BD469/Dashboard!$D$23)+(1+Precificação!$W$589))*(1+R$28))+$P$26)*(1+Dashboard!$D$35),0)</f>
        <v>0</v>
      </c>
      <c r="S469" s="109">
        <f>IF($BD469&gt;0,(((($BD469/Dashboard!$D$23)+(1+Precificação!$W$589))*(1+S$28))+$P$26)*(1+Dashboard!$D$35),0)</f>
        <v>0</v>
      </c>
      <c r="U469" s="109">
        <f t="shared" si="388"/>
        <v>0</v>
      </c>
      <c r="V469" s="109">
        <f t="shared" si="389"/>
        <v>0</v>
      </c>
      <c r="W469" s="109">
        <f t="shared" si="390"/>
        <v>0</v>
      </c>
      <c r="X469" s="109">
        <f t="shared" si="391"/>
        <v>0</v>
      </c>
      <c r="AA469" s="109">
        <f>IF($BD469&gt;0,(((($BD469/Dashboard!$D$23)*(1+Precificação!$W$589)))+$AA$26)*(1+Dashboard!$D$35),0)</f>
        <v>0</v>
      </c>
      <c r="AB469" s="109">
        <f>IF($BD469&gt;0,(((($BD469/Dashboard!$D$23)*(1+Precificação!$W$589))*(1+AB$28))+$AA$26)*(1+Dashboard!$D$35),0)</f>
        <v>0</v>
      </c>
      <c r="AC469" s="109">
        <f>IF($BD469&gt;0,(((($BD469/Dashboard!$D$23)*(1+Precificação!$W$589))*(1+AC$28))+$AA$26)*(1+Dashboard!$D$35),0)</f>
        <v>0</v>
      </c>
      <c r="AD469" s="109">
        <f>IF($BD469&gt;0,(((($BD469/Dashboard!$D$23)*(1+Precificação!$W$589))*(1+AD$28))+$AA$26)*(1+Dashboard!$D$35),0)</f>
        <v>0</v>
      </c>
      <c r="AF469" s="109">
        <f t="shared" si="392"/>
        <v>0</v>
      </c>
      <c r="AG469" s="109">
        <f t="shared" si="393"/>
        <v>0</v>
      </c>
      <c r="AH469" s="109">
        <f t="shared" si="394"/>
        <v>0</v>
      </c>
      <c r="AI469" s="109">
        <f t="shared" si="395"/>
        <v>0</v>
      </c>
      <c r="AL469" s="109">
        <f>IF($BD469&gt;0,(((($BD469/Dashboard!$D$23)*(1+Precificação!$W$589)))+$AL$26)*(1+Dashboard!$D$35),0)</f>
        <v>0</v>
      </c>
      <c r="AM469" s="109">
        <f>IF($BD469&gt;0,(((($BD469/Dashboard!$D$23)*(1+Precificação!$W$589))*(1+AM$28))+$AA$26)*(1+Dashboard!$D$35),0)</f>
        <v>0</v>
      </c>
      <c r="AN469" s="109">
        <f>IF($BD469&gt;0,(((($BD469/Dashboard!$D$23)*(1+Precificação!$W$589))*(1+AN$28))+$AA$26)*(1+Dashboard!$D$35),0)</f>
        <v>0</v>
      </c>
      <c r="AO469" s="109">
        <f>IF($BD469&gt;0,(((($BD469/Dashboard!$D$23)*(1+Precificação!$W$589))*(1+AO$28))+$AA$26)*(1+Dashboard!$D$35),0)</f>
        <v>0</v>
      </c>
      <c r="AQ469" s="109">
        <f t="shared" si="396"/>
        <v>0</v>
      </c>
      <c r="AR469" s="109">
        <f t="shared" si="397"/>
        <v>0</v>
      </c>
      <c r="AS469" s="109">
        <f t="shared" si="398"/>
        <v>0</v>
      </c>
      <c r="AT469" s="109">
        <f t="shared" si="399"/>
        <v>0</v>
      </c>
      <c r="AW469" s="144">
        <f>VLOOKUP(B469,'Cronog. e Histog.'!$B$213:$BT$688,71,0)</f>
        <v>0</v>
      </c>
      <c r="AX469" s="144">
        <f>VLOOKUP(B469,'Cronog. e Histog.'!$B$213:$BU$688,72,0)</f>
        <v>0</v>
      </c>
      <c r="AY469" s="144">
        <f>$AW469*$AX469*Dashboard!$D$15</f>
        <v>0</v>
      </c>
      <c r="AZ469" s="144">
        <f>VLOOKUP(B469,Precificação!$B$96:$BM$533,54,0)</f>
        <v>0</v>
      </c>
      <c r="BA469" s="144">
        <f>VLOOKUP(B469,Precificação!$B$96:$BR$533,58,0)</f>
        <v>0</v>
      </c>
      <c r="BB469" s="144">
        <f>VLOOKUP(B469,Precificação!$B$96:$BW$533,62,0)</f>
        <v>0</v>
      </c>
      <c r="BC469" s="144">
        <f t="shared" si="400"/>
        <v>0</v>
      </c>
      <c r="BD469" s="109">
        <f>IFERROR(VLOOKUP(B469,Precificação!$B$96:$S$533,13,0),0)</f>
        <v>0</v>
      </c>
      <c r="BE469" s="109">
        <f>IFERROR(VLOOKUP(B469,Precificação!$B$96:$U$533,15,0)/(Precificação!$U$4+Precificação!$U$91),0)*Dashboard!$T$3</f>
        <v>0</v>
      </c>
    </row>
    <row r="470" spans="2:57" ht="12" customHeight="1" outlineLevel="1">
      <c r="B470" s="137" t="str">
        <f>Precificação!B464</f>
        <v>AUX ADM - Equipe_01</v>
      </c>
      <c r="D470" s="512"/>
      <c r="E470" s="143" t="str">
        <f>IF('Cronog. e Histog.'!G613&gt;0,'Cronog. e Histog.'!G613,"")</f>
        <v>AUX ADM</v>
      </c>
      <c r="G470" s="179">
        <f t="shared" si="387"/>
        <v>0</v>
      </c>
      <c r="H470" s="110">
        <f>IFERROR(INDEX('Base Salarial'!$D$5:$F$25,MATCH(E470,'Base Salarial'!$G$5:$G$25,0),MATCH(I470,'Base Salarial'!$D$4:$F$4,0)),"")</f>
        <v>1804</v>
      </c>
      <c r="I470" s="78" t="str">
        <f>IFERROR(INDEX(Tarefas!$BQ$29:$FK$29,MATCH(E470,Tarefas!$BQ$30:$FK$30,0)),"")</f>
        <v>Mensalista</v>
      </c>
      <c r="J470" s="81">
        <f>IF(I470="horista",H470*Dashboard!$D$15,IF(OR(I470="Mensalista",I470="PJ"),H470,))</f>
        <v>1804</v>
      </c>
      <c r="K470" s="81">
        <f>IF(I470="PJ",J470,ROUND(J470*(1+Dashboard!$D$22),2))</f>
        <v>1912.24</v>
      </c>
      <c r="L470" s="77"/>
      <c r="M470" s="180"/>
      <c r="P470" s="109">
        <f>IF($BD470&gt;0,(((($BD470/Dashboard!$D$15)*(1+Precificação!$W$589)))+$P$26)*(1+Dashboard!$D$35),0)</f>
        <v>0</v>
      </c>
      <c r="Q470" s="109">
        <f>IF($BD470&gt;0,(((($BD470/Dashboard!$D$23)+(1+Precificação!$W$589))*(1+Q$28))+$P$26)*(1+Dashboard!$D$35),0)</f>
        <v>0</v>
      </c>
      <c r="R470" s="109">
        <f>IF($BD470&gt;0,(((($BD470/Dashboard!$D$23)+(1+Precificação!$W$589))*(1+R$28))+$P$26)*(1+Dashboard!$D$35),0)</f>
        <v>0</v>
      </c>
      <c r="S470" s="109">
        <f>IF($BD470&gt;0,(((($BD470/Dashboard!$D$23)+(1+Precificação!$W$589))*(1+S$28))+$P$26)*(1+Dashboard!$D$35),0)</f>
        <v>0</v>
      </c>
      <c r="U470" s="109">
        <f t="shared" si="388"/>
        <v>0</v>
      </c>
      <c r="V470" s="109">
        <f t="shared" si="389"/>
        <v>0</v>
      </c>
      <c r="W470" s="109">
        <f t="shared" si="390"/>
        <v>0</v>
      </c>
      <c r="X470" s="109">
        <f t="shared" si="391"/>
        <v>0</v>
      </c>
      <c r="AA470" s="109">
        <f>IF($BD470&gt;0,(((($BD470/Dashboard!$D$23)*(1+Precificação!$W$589)))+$AA$26)*(1+Dashboard!$D$35),0)</f>
        <v>0</v>
      </c>
      <c r="AB470" s="109">
        <f>IF($BD470&gt;0,(((($BD470/Dashboard!$D$23)*(1+Precificação!$W$589))*(1+AB$28))+$AA$26)*(1+Dashboard!$D$35),0)</f>
        <v>0</v>
      </c>
      <c r="AC470" s="109">
        <f>IF($BD470&gt;0,(((($BD470/Dashboard!$D$23)*(1+Precificação!$W$589))*(1+AC$28))+$AA$26)*(1+Dashboard!$D$35),0)</f>
        <v>0</v>
      </c>
      <c r="AD470" s="109">
        <f>IF($BD470&gt;0,(((($BD470/Dashboard!$D$23)*(1+Precificação!$W$589))*(1+AD$28))+$AA$26)*(1+Dashboard!$D$35),0)</f>
        <v>0</v>
      </c>
      <c r="AF470" s="109">
        <f t="shared" si="392"/>
        <v>0</v>
      </c>
      <c r="AG470" s="109">
        <f t="shared" si="393"/>
        <v>0</v>
      </c>
      <c r="AH470" s="109">
        <f t="shared" si="394"/>
        <v>0</v>
      </c>
      <c r="AI470" s="109">
        <f t="shared" si="395"/>
        <v>0</v>
      </c>
      <c r="AL470" s="109">
        <f>IF($BD470&gt;0,(((($BD470/Dashboard!$D$23)*(1+Precificação!$W$589)))+$AL$26)*(1+Dashboard!$D$35),0)</f>
        <v>0</v>
      </c>
      <c r="AM470" s="109">
        <f>IF($BD470&gt;0,(((($BD470/Dashboard!$D$23)*(1+Precificação!$W$589))*(1+AM$28))+$AA$26)*(1+Dashboard!$D$35),0)</f>
        <v>0</v>
      </c>
      <c r="AN470" s="109">
        <f>IF($BD470&gt;0,(((($BD470/Dashboard!$D$23)*(1+Precificação!$W$589))*(1+AN$28))+$AA$26)*(1+Dashboard!$D$35),0)</f>
        <v>0</v>
      </c>
      <c r="AO470" s="109">
        <f>IF($BD470&gt;0,(((($BD470/Dashboard!$D$23)*(1+Precificação!$W$589))*(1+AO$28))+$AA$26)*(1+Dashboard!$D$35),0)</f>
        <v>0</v>
      </c>
      <c r="AQ470" s="109">
        <f t="shared" si="396"/>
        <v>0</v>
      </c>
      <c r="AR470" s="109">
        <f t="shared" si="397"/>
        <v>0</v>
      </c>
      <c r="AS470" s="109">
        <f t="shared" si="398"/>
        <v>0</v>
      </c>
      <c r="AT470" s="109">
        <f t="shared" si="399"/>
        <v>0</v>
      </c>
      <c r="AW470" s="144">
        <f>VLOOKUP(B470,'Cronog. e Histog.'!$B$213:$BT$688,71,0)</f>
        <v>0</v>
      </c>
      <c r="AX470" s="144">
        <f>VLOOKUP(B470,'Cronog. e Histog.'!$B$213:$BU$688,72,0)</f>
        <v>0</v>
      </c>
      <c r="AY470" s="144">
        <f>$AW470*$AX470*Dashboard!$D$15</f>
        <v>0</v>
      </c>
      <c r="AZ470" s="144">
        <f>VLOOKUP(B470,Precificação!$B$96:$BM$533,54,0)</f>
        <v>0</v>
      </c>
      <c r="BA470" s="144">
        <f>VLOOKUP(B470,Precificação!$B$96:$BR$533,58,0)</f>
        <v>0</v>
      </c>
      <c r="BB470" s="144">
        <f>VLOOKUP(B470,Precificação!$B$96:$BW$533,62,0)</f>
        <v>0</v>
      </c>
      <c r="BC470" s="144">
        <f t="shared" si="400"/>
        <v>0</v>
      </c>
      <c r="BD470" s="109">
        <f>IFERROR(VLOOKUP(B470,Precificação!$B$96:$S$533,13,0),0)</f>
        <v>0</v>
      </c>
      <c r="BE470" s="109">
        <f>IFERROR(VLOOKUP(B470,Precificação!$B$96:$U$533,15,0)/(Precificação!$U$4+Precificação!$U$91),0)*Dashboard!$T$3</f>
        <v>0</v>
      </c>
    </row>
    <row r="471" spans="2:57" ht="12" customHeight="1" outlineLevel="1">
      <c r="B471" s="137" t="str">
        <f>Precificação!B465</f>
        <v>EST - Equipe_01</v>
      </c>
      <c r="D471" s="512"/>
      <c r="E471" s="143" t="str">
        <f>IF('Cronog. e Histog.'!G614&gt;0,'Cronog. e Histog.'!G614,"")</f>
        <v>EST</v>
      </c>
      <c r="G471" s="179">
        <f t="shared" si="387"/>
        <v>0</v>
      </c>
      <c r="H471" s="110">
        <f>IFERROR(INDEX('Base Salarial'!$D$5:$F$25,MATCH(E471,'Base Salarial'!$G$5:$G$25,0),MATCH(I471,'Base Salarial'!$D$4:$F$4,0)),"")</f>
        <v>1633</v>
      </c>
      <c r="I471" s="78" t="str">
        <f>IFERROR(INDEX(Tarefas!$BQ$29:$FK$29,MATCH(E471,Tarefas!$BQ$30:$FK$30,0)),"")</f>
        <v>PJ</v>
      </c>
      <c r="J471" s="81">
        <f>IF(I471="horista",H471*Dashboard!$D$15,IF(OR(I471="Mensalista",I471="PJ"),H471,))</f>
        <v>1633</v>
      </c>
      <c r="K471" s="81">
        <f>IF(I471="PJ",J471,ROUND(J471*(1+Dashboard!$D$22),2))</f>
        <v>1633</v>
      </c>
      <c r="L471" s="77"/>
      <c r="M471" s="180"/>
      <c r="P471" s="109">
        <f>IF($BD471&gt;0,(((($BD471/Dashboard!$D$15)*(1+Precificação!$W$589)))+$P$26)*(1+Dashboard!$D$35),0)</f>
        <v>0</v>
      </c>
      <c r="Q471" s="109">
        <f>IF($BD471&gt;0,(((($BD471/Dashboard!$D$23)+(1+Precificação!$W$589))*(1+Q$28))+$P$26)*(1+Dashboard!$D$35),0)</f>
        <v>0</v>
      </c>
      <c r="R471" s="109">
        <f>IF($BD471&gt;0,(((($BD471/Dashboard!$D$23)+(1+Precificação!$W$589))*(1+R$28))+$P$26)*(1+Dashboard!$D$35),0)</f>
        <v>0</v>
      </c>
      <c r="S471" s="109">
        <f>IF($BD471&gt;0,(((($BD471/Dashboard!$D$23)+(1+Precificação!$W$589))*(1+S$28))+$P$26)*(1+Dashboard!$D$35),0)</f>
        <v>0</v>
      </c>
      <c r="U471" s="109">
        <f t="shared" si="388"/>
        <v>0</v>
      </c>
      <c r="V471" s="109">
        <f t="shared" si="389"/>
        <v>0</v>
      </c>
      <c r="W471" s="109">
        <f t="shared" si="390"/>
        <v>0</v>
      </c>
      <c r="X471" s="109">
        <f t="shared" si="391"/>
        <v>0</v>
      </c>
      <c r="AA471" s="109">
        <f>IF($BD471&gt;0,(((($BD471/Dashboard!$D$23)*(1+Precificação!$W$589)))+$AA$26)*(1+Dashboard!$D$35),0)</f>
        <v>0</v>
      </c>
      <c r="AB471" s="109">
        <f>IF($BD471&gt;0,(((($BD471/Dashboard!$D$23)*(1+Precificação!$W$589))*(1+AB$28))+$AA$26)*(1+Dashboard!$D$35),0)</f>
        <v>0</v>
      </c>
      <c r="AC471" s="109">
        <f>IF($BD471&gt;0,(((($BD471/Dashboard!$D$23)*(1+Precificação!$W$589))*(1+AC$28))+$AA$26)*(1+Dashboard!$D$35),0)</f>
        <v>0</v>
      </c>
      <c r="AD471" s="109">
        <f>IF($BD471&gt;0,(((($BD471/Dashboard!$D$23)*(1+Precificação!$W$589))*(1+AD$28))+$AA$26)*(1+Dashboard!$D$35),0)</f>
        <v>0</v>
      </c>
      <c r="AF471" s="109">
        <f t="shared" si="392"/>
        <v>0</v>
      </c>
      <c r="AG471" s="109">
        <f t="shared" si="393"/>
        <v>0</v>
      </c>
      <c r="AH471" s="109">
        <f t="shared" si="394"/>
        <v>0</v>
      </c>
      <c r="AI471" s="109">
        <f t="shared" si="395"/>
        <v>0</v>
      </c>
      <c r="AL471" s="109">
        <f>IF($BD471&gt;0,(((($BD471/Dashboard!$D$23)*(1+Precificação!$W$589)))+$AL$26)*(1+Dashboard!$D$35),0)</f>
        <v>0</v>
      </c>
      <c r="AM471" s="109">
        <f>IF($BD471&gt;0,(((($BD471/Dashboard!$D$23)*(1+Precificação!$W$589))*(1+AM$28))+$AA$26)*(1+Dashboard!$D$35),0)</f>
        <v>0</v>
      </c>
      <c r="AN471" s="109">
        <f>IF($BD471&gt;0,(((($BD471/Dashboard!$D$23)*(1+Precificação!$W$589))*(1+AN$28))+$AA$26)*(1+Dashboard!$D$35),0)</f>
        <v>0</v>
      </c>
      <c r="AO471" s="109">
        <f>IF($BD471&gt;0,(((($BD471/Dashboard!$D$23)*(1+Precificação!$W$589))*(1+AO$28))+$AA$26)*(1+Dashboard!$D$35),0)</f>
        <v>0</v>
      </c>
      <c r="AQ471" s="109">
        <f t="shared" si="396"/>
        <v>0</v>
      </c>
      <c r="AR471" s="109">
        <f t="shared" si="397"/>
        <v>0</v>
      </c>
      <c r="AS471" s="109">
        <f t="shared" si="398"/>
        <v>0</v>
      </c>
      <c r="AT471" s="109">
        <f t="shared" si="399"/>
        <v>0</v>
      </c>
      <c r="AW471" s="144">
        <f>VLOOKUP(B471,'Cronog. e Histog.'!$B$213:$BT$688,71,0)</f>
        <v>0</v>
      </c>
      <c r="AX471" s="144">
        <f>VLOOKUP(B471,'Cronog. e Histog.'!$B$213:$BU$688,72,0)</f>
        <v>0</v>
      </c>
      <c r="AY471" s="144">
        <f>$AW471*$AX471*Dashboard!$D$15</f>
        <v>0</v>
      </c>
      <c r="AZ471" s="144">
        <f>VLOOKUP(B471,Precificação!$B$96:$BM$533,54,0)</f>
        <v>0</v>
      </c>
      <c r="BA471" s="144">
        <f>VLOOKUP(B471,Precificação!$B$96:$BR$533,58,0)</f>
        <v>0</v>
      </c>
      <c r="BB471" s="144">
        <f>VLOOKUP(B471,Precificação!$B$96:$BW$533,62,0)</f>
        <v>0</v>
      </c>
      <c r="BC471" s="144">
        <f t="shared" si="400"/>
        <v>0</v>
      </c>
      <c r="BD471" s="109">
        <f>IFERROR(VLOOKUP(B471,Precificação!$B$96:$S$533,13,0),0)</f>
        <v>0</v>
      </c>
      <c r="BE471" s="109">
        <f>IFERROR(VLOOKUP(B471,Precificação!$B$96:$U$533,15,0)/(Precificação!$U$4+Precificação!$U$91),0)*Dashboard!$T$3</f>
        <v>0</v>
      </c>
    </row>
    <row r="472" spans="2:57" ht="12" customHeight="1" outlineLevel="1">
      <c r="B472" s="137" t="str">
        <f>Precificação!B466</f>
        <v>EST_II - Equipe_01</v>
      </c>
      <c r="D472" s="512"/>
      <c r="E472" s="143" t="str">
        <f>IF('Cronog. e Histog.'!G615&gt;0,'Cronog. e Histog.'!G615,"")</f>
        <v>EST_II</v>
      </c>
      <c r="G472" s="179">
        <f t="shared" si="387"/>
        <v>0</v>
      </c>
      <c r="H472" s="110">
        <f>IFERROR(INDEX('Base Salarial'!$D$5:$F$25,MATCH(E472,'Base Salarial'!$G$5:$G$25,0),MATCH(I472,'Base Salarial'!$D$4:$F$4,0)),"")</f>
        <v>1633</v>
      </c>
      <c r="I472" s="78" t="str">
        <f>IFERROR(INDEX(Tarefas!$BQ$29:$FK$29,MATCH(E472,Tarefas!$BQ$30:$FK$30,0)),"")</f>
        <v>PJ</v>
      </c>
      <c r="J472" s="81">
        <f>IF(I472="horista",H472*Dashboard!$D$15,IF(OR(I472="Mensalista",I472="PJ"),H472,))</f>
        <v>1633</v>
      </c>
      <c r="K472" s="81">
        <f>IF(I472="PJ",J472,ROUND(J472*(1+Dashboard!$D$22),2))</f>
        <v>1633</v>
      </c>
      <c r="L472" s="77"/>
      <c r="M472" s="180"/>
      <c r="P472" s="109">
        <f>IF($BD472&gt;0,(((($BD472/Dashboard!$D$15)*(1+Precificação!$W$589)))+$P$26)*(1+Dashboard!$D$35),0)</f>
        <v>0</v>
      </c>
      <c r="Q472" s="109">
        <f>IF($BD472&gt;0,(((($BD472/Dashboard!$D$23)+(1+Precificação!$W$589))*(1+Q$28))+$P$26)*(1+Dashboard!$D$35),0)</f>
        <v>0</v>
      </c>
      <c r="R472" s="109">
        <f>IF($BD472&gt;0,(((($BD472/Dashboard!$D$23)+(1+Precificação!$W$589))*(1+R$28))+$P$26)*(1+Dashboard!$D$35),0)</f>
        <v>0</v>
      </c>
      <c r="S472" s="109">
        <f>IF($BD472&gt;0,(((($BD472/Dashboard!$D$23)+(1+Precificação!$W$589))*(1+S$28))+$P$26)*(1+Dashboard!$D$35),0)</f>
        <v>0</v>
      </c>
      <c r="U472" s="109">
        <f t="shared" si="388"/>
        <v>0</v>
      </c>
      <c r="V472" s="109">
        <f t="shared" si="389"/>
        <v>0</v>
      </c>
      <c r="W472" s="109">
        <f t="shared" si="390"/>
        <v>0</v>
      </c>
      <c r="X472" s="109">
        <f t="shared" si="391"/>
        <v>0</v>
      </c>
      <c r="AA472" s="109">
        <f>IF($BD472&gt;0,(((($BD472/Dashboard!$D$23)*(1+Precificação!$W$589)))+$AA$26)*(1+Dashboard!$D$35),0)</f>
        <v>0</v>
      </c>
      <c r="AB472" s="109">
        <f>IF($BD472&gt;0,(((($BD472/Dashboard!$D$23)*(1+Precificação!$W$589))*(1+AB$28))+$AA$26)*(1+Dashboard!$D$35),0)</f>
        <v>0</v>
      </c>
      <c r="AC472" s="109">
        <f>IF($BD472&gt;0,(((($BD472/Dashboard!$D$23)*(1+Precificação!$W$589))*(1+AC$28))+$AA$26)*(1+Dashboard!$D$35),0)</f>
        <v>0</v>
      </c>
      <c r="AD472" s="109">
        <f>IF($BD472&gt;0,(((($BD472/Dashboard!$D$23)*(1+Precificação!$W$589))*(1+AD$28))+$AA$26)*(1+Dashboard!$D$35),0)</f>
        <v>0</v>
      </c>
      <c r="AF472" s="109">
        <f t="shared" si="392"/>
        <v>0</v>
      </c>
      <c r="AG472" s="109">
        <f t="shared" si="393"/>
        <v>0</v>
      </c>
      <c r="AH472" s="109">
        <f t="shared" si="394"/>
        <v>0</v>
      </c>
      <c r="AI472" s="109">
        <f t="shared" si="395"/>
        <v>0</v>
      </c>
      <c r="AL472" s="109">
        <f>IF($BD472&gt;0,(((($BD472/Dashboard!$D$23)*(1+Precificação!$W$589)))+$AL$26)*(1+Dashboard!$D$35),0)</f>
        <v>0</v>
      </c>
      <c r="AM472" s="109">
        <f>IF($BD472&gt;0,(((($BD472/Dashboard!$D$23)*(1+Precificação!$W$589))*(1+AM$28))+$AA$26)*(1+Dashboard!$D$35),0)</f>
        <v>0</v>
      </c>
      <c r="AN472" s="109">
        <f>IF($BD472&gt;0,(((($BD472/Dashboard!$D$23)*(1+Precificação!$W$589))*(1+AN$28))+$AA$26)*(1+Dashboard!$D$35),0)</f>
        <v>0</v>
      </c>
      <c r="AO472" s="109">
        <f>IF($BD472&gt;0,(((($BD472/Dashboard!$D$23)*(1+Precificação!$W$589))*(1+AO$28))+$AA$26)*(1+Dashboard!$D$35),0)</f>
        <v>0</v>
      </c>
      <c r="AQ472" s="109">
        <f t="shared" si="396"/>
        <v>0</v>
      </c>
      <c r="AR472" s="109">
        <f t="shared" si="397"/>
        <v>0</v>
      </c>
      <c r="AS472" s="109">
        <f t="shared" si="398"/>
        <v>0</v>
      </c>
      <c r="AT472" s="109">
        <f t="shared" si="399"/>
        <v>0</v>
      </c>
      <c r="AW472" s="144">
        <f>VLOOKUP(B472,'Cronog. e Histog.'!$B$213:$BT$688,71,0)</f>
        <v>0</v>
      </c>
      <c r="AX472" s="144">
        <f>VLOOKUP(B472,'Cronog. e Histog.'!$B$213:$BU$688,72,0)</f>
        <v>0</v>
      </c>
      <c r="AY472" s="144">
        <f>$AW472*$AX472*Dashboard!$D$15</f>
        <v>0</v>
      </c>
      <c r="AZ472" s="144">
        <f>VLOOKUP(B472,Precificação!$B$96:$BM$533,54,0)</f>
        <v>0</v>
      </c>
      <c r="BA472" s="144">
        <f>VLOOKUP(B472,Precificação!$B$96:$BR$533,58,0)</f>
        <v>0</v>
      </c>
      <c r="BB472" s="144">
        <f>VLOOKUP(B472,Precificação!$B$96:$BW$533,62,0)</f>
        <v>0</v>
      </c>
      <c r="BC472" s="144">
        <f t="shared" si="400"/>
        <v>0</v>
      </c>
      <c r="BD472" s="109">
        <f>IFERROR(VLOOKUP(B472,Precificação!$B$96:$S$533,13,0),0)</f>
        <v>0</v>
      </c>
      <c r="BE472" s="109">
        <f>IFERROR(VLOOKUP(B472,Precificação!$B$96:$U$533,15,0)/(Precificação!$U$4+Precificação!$U$91),0)*Dashboard!$T$3</f>
        <v>0</v>
      </c>
    </row>
    <row r="473" spans="2:57" ht="12" customHeight="1" outlineLevel="1">
      <c r="B473" s="137" t="str">
        <f>Precificação!B467</f>
        <v>EST_III - Equipe_01</v>
      </c>
      <c r="D473" s="512"/>
      <c r="E473" s="143" t="str">
        <f>IF('Cronog. e Histog.'!G616&gt;0,'Cronog. e Histog.'!G616,"")</f>
        <v>EST_III</v>
      </c>
      <c r="G473" s="179">
        <f t="shared" si="387"/>
        <v>0</v>
      </c>
      <c r="H473" s="110">
        <f>IFERROR(INDEX('Base Salarial'!$D$5:$F$25,MATCH(E473,'Base Salarial'!$G$5:$G$25,0),MATCH(I473,'Base Salarial'!$D$4:$F$4,0)),"")</f>
        <v>1633</v>
      </c>
      <c r="I473" s="78" t="str">
        <f>IFERROR(INDEX(Tarefas!$BQ$29:$FK$29,MATCH(E473,Tarefas!$BQ$30:$FK$30,0)),"")</f>
        <v>PJ</v>
      </c>
      <c r="J473" s="81">
        <f>IF(I473="horista",H473*Dashboard!$D$15,IF(OR(I473="Mensalista",I473="PJ"),H473,))</f>
        <v>1633</v>
      </c>
      <c r="K473" s="81">
        <f>IF(I473="PJ",J473,ROUND(J473*(1+Dashboard!$D$22),2))</f>
        <v>1633</v>
      </c>
      <c r="L473" s="77"/>
      <c r="M473" s="180"/>
      <c r="P473" s="109">
        <f>IF($BD473&gt;0,(((($BD473/Dashboard!$D$15)*(1+Precificação!$W$589)))+$P$26)*(1+Dashboard!$D$35),0)</f>
        <v>0</v>
      </c>
      <c r="Q473" s="109">
        <f>IF($BD473&gt;0,(((($BD473/Dashboard!$D$23)+(1+Precificação!$W$589))*(1+Q$28))+$P$26)*(1+Dashboard!$D$35),0)</f>
        <v>0</v>
      </c>
      <c r="R473" s="109">
        <f>IF($BD473&gt;0,(((($BD473/Dashboard!$D$23)+(1+Precificação!$W$589))*(1+R$28))+$P$26)*(1+Dashboard!$D$35),0)</f>
        <v>0</v>
      </c>
      <c r="S473" s="109">
        <f>IF($BD473&gt;0,(((($BD473/Dashboard!$D$23)+(1+Precificação!$W$589))*(1+S$28))+$P$26)*(1+Dashboard!$D$35),0)</f>
        <v>0</v>
      </c>
      <c r="U473" s="109">
        <f t="shared" si="388"/>
        <v>0</v>
      </c>
      <c r="V473" s="109">
        <f t="shared" si="389"/>
        <v>0</v>
      </c>
      <c r="W473" s="109">
        <f t="shared" si="390"/>
        <v>0</v>
      </c>
      <c r="X473" s="109">
        <f t="shared" si="391"/>
        <v>0</v>
      </c>
      <c r="AA473" s="109">
        <f>IF($BD473&gt;0,(((($BD473/Dashboard!$D$23)*(1+Precificação!$W$589)))+$AA$26)*(1+Dashboard!$D$35),0)</f>
        <v>0</v>
      </c>
      <c r="AB473" s="109">
        <f>IF($BD473&gt;0,(((($BD473/Dashboard!$D$23)*(1+Precificação!$W$589))*(1+AB$28))+$AA$26)*(1+Dashboard!$D$35),0)</f>
        <v>0</v>
      </c>
      <c r="AC473" s="109">
        <f>IF($BD473&gt;0,(((($BD473/Dashboard!$D$23)*(1+Precificação!$W$589))*(1+AC$28))+$AA$26)*(1+Dashboard!$D$35),0)</f>
        <v>0</v>
      </c>
      <c r="AD473" s="109">
        <f>IF($BD473&gt;0,(((($BD473/Dashboard!$D$23)*(1+Precificação!$W$589))*(1+AD$28))+$AA$26)*(1+Dashboard!$D$35),0)</f>
        <v>0</v>
      </c>
      <c r="AF473" s="109">
        <f t="shared" si="392"/>
        <v>0</v>
      </c>
      <c r="AG473" s="109">
        <f t="shared" si="393"/>
        <v>0</v>
      </c>
      <c r="AH473" s="109">
        <f t="shared" si="394"/>
        <v>0</v>
      </c>
      <c r="AI473" s="109">
        <f t="shared" si="395"/>
        <v>0</v>
      </c>
      <c r="AL473" s="109">
        <f>IF($BD473&gt;0,(((($BD473/Dashboard!$D$23)*(1+Precificação!$W$589)))+$AL$26)*(1+Dashboard!$D$35),0)</f>
        <v>0</v>
      </c>
      <c r="AM473" s="109">
        <f>IF($BD473&gt;0,(((($BD473/Dashboard!$D$23)*(1+Precificação!$W$589))*(1+AM$28))+$AA$26)*(1+Dashboard!$D$35),0)</f>
        <v>0</v>
      </c>
      <c r="AN473" s="109">
        <f>IF($BD473&gt;0,(((($BD473/Dashboard!$D$23)*(1+Precificação!$W$589))*(1+AN$28))+$AA$26)*(1+Dashboard!$D$35),0)</f>
        <v>0</v>
      </c>
      <c r="AO473" s="109">
        <f>IF($BD473&gt;0,(((($BD473/Dashboard!$D$23)*(1+Precificação!$W$589))*(1+AO$28))+$AA$26)*(1+Dashboard!$D$35),0)</f>
        <v>0</v>
      </c>
      <c r="AQ473" s="109">
        <f t="shared" si="396"/>
        <v>0</v>
      </c>
      <c r="AR473" s="109">
        <f t="shared" si="397"/>
        <v>0</v>
      </c>
      <c r="AS473" s="109">
        <f t="shared" si="398"/>
        <v>0</v>
      </c>
      <c r="AT473" s="109">
        <f t="shared" si="399"/>
        <v>0</v>
      </c>
      <c r="AW473" s="144">
        <f>VLOOKUP(B473,'Cronog. e Histog.'!$B$213:$BT$688,71,0)</f>
        <v>0</v>
      </c>
      <c r="AX473" s="144">
        <f>VLOOKUP(B473,'Cronog. e Histog.'!$B$213:$BU$688,72,0)</f>
        <v>0</v>
      </c>
      <c r="AY473" s="144">
        <f>$AW473*$AX473*Dashboard!$D$15</f>
        <v>0</v>
      </c>
      <c r="AZ473" s="144">
        <f>VLOOKUP(B473,Precificação!$B$96:$BM$533,54,0)</f>
        <v>0</v>
      </c>
      <c r="BA473" s="144">
        <f>VLOOKUP(B473,Precificação!$B$96:$BR$533,58,0)</f>
        <v>0</v>
      </c>
      <c r="BB473" s="144">
        <f>VLOOKUP(B473,Precificação!$B$96:$BW$533,62,0)</f>
        <v>0</v>
      </c>
      <c r="BC473" s="144">
        <f t="shared" si="400"/>
        <v>0</v>
      </c>
      <c r="BD473" s="109">
        <f>IFERROR(VLOOKUP(B473,Precificação!$B$96:$S$533,13,0),0)</f>
        <v>0</v>
      </c>
      <c r="BE473" s="109">
        <f>IFERROR(VLOOKUP(B473,Precificação!$B$96:$U$533,15,0)/(Precificação!$U$4+Precificação!$U$91),0)*Dashboard!$T$3</f>
        <v>0</v>
      </c>
    </row>
    <row r="474" spans="2:57" ht="12" customHeight="1" outlineLevel="1"/>
    <row r="475" spans="2:57" ht="12" customHeight="1" outlineLevel="1">
      <c r="B475" s="137" t="str">
        <f>Precificação!B470</f>
        <v>GER. (OBRA/PROJ) - Equipe_01</v>
      </c>
      <c r="D475" s="512" t="str">
        <f>'Cronog. e Histog.'!F619</f>
        <v>Equipe18</v>
      </c>
      <c r="E475" s="143" t="str">
        <f>IF('Cronog. e Histog.'!G621&gt;0,'Cronog. e Histog.'!G621,"")</f>
        <v>GER. (OBRA/PROJ)</v>
      </c>
      <c r="G475" s="179">
        <f t="shared" ref="G475" si="401">IF(AND((AW475*AX475)&gt;0,K475=0),1,0)</f>
        <v>0</v>
      </c>
      <c r="H475" s="110">
        <f>IFERROR(INDEX('Base Salarial'!$D$5:$F$25,MATCH(E475,'Base Salarial'!$G$5:$G$25,0),MATCH(I475,'Base Salarial'!$D$4:$F$4,0)),"")</f>
        <v>21000</v>
      </c>
      <c r="I475" s="78" t="str">
        <f>IFERROR(INDEX(Tarefas!$BQ$29:$FK$29,MATCH(E475,Tarefas!$BQ$30:$FK$30,0)),"")</f>
        <v>PJ</v>
      </c>
      <c r="J475" s="81">
        <f>IF(I475="horista",H475*Dashboard!$D$15,IF(OR(I475="Mensalista",I475="PJ"),H475,))</f>
        <v>21000</v>
      </c>
      <c r="K475" s="81">
        <f>IF(I475="PJ",J475,ROUND(J475*(1+Dashboard!$D$22),2))</f>
        <v>21000</v>
      </c>
      <c r="L475" s="77"/>
      <c r="M475" s="180"/>
      <c r="P475" s="109">
        <f>IF($BD475&gt;0,(((($BD475/Dashboard!$D$15)*(1+Precificação!$W$589)))+$P$26)*(1+Dashboard!$D$35),0)</f>
        <v>0</v>
      </c>
      <c r="Q475" s="109">
        <f>IF($BD475&gt;0,(((($BD475/Dashboard!$D$23)+(1+Precificação!$W$589))*(1+Q$28))+$P$26)*(1+Dashboard!$D$35),0)</f>
        <v>0</v>
      </c>
      <c r="R475" s="109">
        <f>IF($BD475&gt;0,(((($BD475/Dashboard!$D$23)+(1+Precificação!$W$589))*(1+R$28))+$P$26)*(1+Dashboard!$D$35),0)</f>
        <v>0</v>
      </c>
      <c r="S475" s="109">
        <f>IF($BD475&gt;0,(((($BD475/Dashboard!$D$23)+(1+Precificação!$W$589))*(1+S$28))+$P$26)*(1+Dashboard!$D$35),0)</f>
        <v>0</v>
      </c>
      <c r="U475" s="109">
        <f>IF(P475&gt;0,P475+U$32,0)</f>
        <v>0</v>
      </c>
      <c r="V475" s="109">
        <f t="shared" ref="V475:X475" si="402">IF(Q475&gt;0,Q475+V$32,0)</f>
        <v>0</v>
      </c>
      <c r="W475" s="109">
        <f t="shared" si="402"/>
        <v>0</v>
      </c>
      <c r="X475" s="109">
        <f t="shared" si="402"/>
        <v>0</v>
      </c>
      <c r="AA475" s="109">
        <f>IF($BD475&gt;0,(((($BD475/Dashboard!$D$23)*(1+Precificação!$W$589)))+$AA$26)*(1+Dashboard!$D$35),0)</f>
        <v>0</v>
      </c>
      <c r="AB475" s="109">
        <f>IF($BD475&gt;0,(((($BD475/Dashboard!$D$23)*(1+Precificação!$W$589))*(1+AB$28))+$AA$26)*(1+Dashboard!$D$35),0)</f>
        <v>0</v>
      </c>
      <c r="AC475" s="109">
        <f>IF($BD475&gt;0,(((($BD475/Dashboard!$D$23)*(1+Precificação!$W$589))*(1+AC$28))+$AA$26)*(1+Dashboard!$D$35),0)</f>
        <v>0</v>
      </c>
      <c r="AD475" s="109">
        <f>IF($BD475&gt;0,(((($BD475/Dashboard!$D$23)*(1+Precificação!$W$589))*(1+AD$28))+$AA$26)*(1+Dashboard!$D$35),0)</f>
        <v>0</v>
      </c>
      <c r="AF475" s="109">
        <f>IF(AA475&gt;0,AA475+AF$32,0)</f>
        <v>0</v>
      </c>
      <c r="AG475" s="109">
        <f t="shared" ref="AG475" si="403">IF(AB475&gt;0,AB475+AG$32,0)</f>
        <v>0</v>
      </c>
      <c r="AH475" s="109">
        <f t="shared" ref="AH475" si="404">IF(AC475&gt;0,AC475+AH$32,0)</f>
        <v>0</v>
      </c>
      <c r="AI475" s="109">
        <f t="shared" ref="AI475" si="405">IF(AD475&gt;0,AD475+AI$32,0)</f>
        <v>0</v>
      </c>
      <c r="AL475" s="109">
        <f>IF($BD475&gt;0,(((($BD475/Dashboard!$D$23)*(1+Precificação!$W$589)))+$AL$26)*(1+Dashboard!$D$35),0)</f>
        <v>0</v>
      </c>
      <c r="AM475" s="109">
        <f>IF($BD475&gt;0,(((($BD475/Dashboard!$D$23)*(1+Precificação!$W$589))*(1+AM$28))+$AA$26)*(1+Dashboard!$D$35),0)</f>
        <v>0</v>
      </c>
      <c r="AN475" s="109">
        <f>IF($BD475&gt;0,(((($BD475/Dashboard!$D$23)*(1+Precificação!$W$589))*(1+AN$28))+$AA$26)*(1+Dashboard!$D$35),0)</f>
        <v>0</v>
      </c>
      <c r="AO475" s="109">
        <f>IF($BD475&gt;0,(((($BD475/Dashboard!$D$23)*(1+Precificação!$W$589))*(1+AO$28))+$AA$26)*(1+Dashboard!$D$35),0)</f>
        <v>0</v>
      </c>
      <c r="AQ475" s="109">
        <f>IF(AL475&gt;0,AL475+AQ$32,0)</f>
        <v>0</v>
      </c>
      <c r="AR475" s="109">
        <f t="shared" ref="AR475" si="406">IF(AM475&gt;0,AM475+AR$32,0)</f>
        <v>0</v>
      </c>
      <c r="AS475" s="109">
        <f t="shared" ref="AS475" si="407">IF(AN475&gt;0,AN475+AS$32,0)</f>
        <v>0</v>
      </c>
      <c r="AT475" s="109">
        <f t="shared" ref="AT475" si="408">IF(AO475&gt;0,AO475+AT$32,0)</f>
        <v>0</v>
      </c>
      <c r="AW475" s="144">
        <f>VLOOKUP(B475,'Cronog. e Histog.'!$B$213:$BT$688,71,0)</f>
        <v>1.9999999999999997E-2</v>
      </c>
      <c r="AX475" s="144">
        <f>VLOOKUP(B475,'Cronog. e Histog.'!$B$213:$BU$688,72,0)</f>
        <v>10</v>
      </c>
      <c r="AY475" s="144">
        <f>$AW475*$AX475*Dashboard!$D$15</f>
        <v>38.72</v>
      </c>
      <c r="AZ475" s="144">
        <f>VLOOKUP(B475,Precificação!$B$96:$BM$533,54,0)</f>
        <v>0</v>
      </c>
      <c r="BA475" s="144">
        <f>VLOOKUP(B475,Precificação!$B$96:$BR$533,58,0)</f>
        <v>0</v>
      </c>
      <c r="BB475" s="144">
        <f>VLOOKUP(B475,Precificação!$B$96:$BW$533,62,0)</f>
        <v>0</v>
      </c>
      <c r="BC475" s="144">
        <f t="shared" ref="BC475" si="409">SUM(AY475:BB475)</f>
        <v>38.72</v>
      </c>
      <c r="BD475" s="109">
        <f>IFERROR(VLOOKUP(B475,Precificação!$B$96:$S$533,13,0),0)</f>
        <v>0</v>
      </c>
      <c r="BE475" s="109">
        <f>IFERROR(VLOOKUP(B475,Precificação!$B$96:$U$533,15,0)/(Precificação!$U$4+Precificação!$U$91),0)*Dashboard!$T$3</f>
        <v>0</v>
      </c>
    </row>
    <row r="476" spans="2:57" ht="12" customHeight="1" outlineLevel="1">
      <c r="B476" s="137" t="str">
        <f>Precificação!B471</f>
        <v>COORD. - Equipe_01</v>
      </c>
      <c r="D476" s="512"/>
      <c r="E476" s="143" t="str">
        <f>IF('Cronog. e Histog.'!G622&gt;0,'Cronog. e Histog.'!G622,"")</f>
        <v>COORD.</v>
      </c>
      <c r="G476" s="179">
        <f t="shared" ref="G476:G494" si="410">IF(AND((AW476*AX476)&gt;0,K476=0),1,0)</f>
        <v>0</v>
      </c>
      <c r="H476" s="110">
        <f>IFERROR(INDEX('Base Salarial'!$D$5:$F$25,MATCH(E476,'Base Salarial'!$G$5:$G$25,0),MATCH(I476,'Base Salarial'!$D$4:$F$4,0)),"")</f>
        <v>19000</v>
      </c>
      <c r="I476" s="78" t="str">
        <f>IFERROR(INDEX(Tarefas!$BQ$29:$FK$29,MATCH(E476,Tarefas!$BQ$30:$FK$30,0)),"")</f>
        <v>PJ</v>
      </c>
      <c r="J476" s="81">
        <f>IF(I476="horista",H476*Dashboard!$D$15,IF(OR(I476="Mensalista",I476="PJ"),H476,))</f>
        <v>19000</v>
      </c>
      <c r="K476" s="81">
        <f>IF(I476="PJ",J476,ROUND(J476*(1+Dashboard!$D$22),2))</f>
        <v>19000</v>
      </c>
      <c r="L476" s="77"/>
      <c r="M476" s="180"/>
      <c r="P476" s="109">
        <f>IF($BD476&gt;0,(((($BD476/Dashboard!$D$15)*(1+Precificação!$W$589)))+$P$26)*(1+Dashboard!$D$35),0)</f>
        <v>0</v>
      </c>
      <c r="Q476" s="109">
        <f>IF($BD476&gt;0,(((($BD476/Dashboard!$D$23)+(1+Precificação!$W$589))*(1+Q$28))+$P$26)*(1+Dashboard!$D$35),0)</f>
        <v>0</v>
      </c>
      <c r="R476" s="109">
        <f>IF($BD476&gt;0,(((($BD476/Dashboard!$D$23)+(1+Precificação!$W$589))*(1+R$28))+$P$26)*(1+Dashboard!$D$35),0)</f>
        <v>0</v>
      </c>
      <c r="S476" s="109">
        <f>IF($BD476&gt;0,(((($BD476/Dashboard!$D$23)+(1+Precificação!$W$589))*(1+S$28))+$P$26)*(1+Dashboard!$D$35),0)</f>
        <v>0</v>
      </c>
      <c r="U476" s="109">
        <f t="shared" ref="U476:U494" si="411">IF(P476&gt;0,P476+U$32,0)</f>
        <v>0</v>
      </c>
      <c r="V476" s="109">
        <f t="shared" ref="V476:V494" si="412">IF(Q476&gt;0,Q476+V$32,0)</f>
        <v>0</v>
      </c>
      <c r="W476" s="109">
        <f t="shared" ref="W476:W494" si="413">IF(R476&gt;0,R476+W$32,0)</f>
        <v>0</v>
      </c>
      <c r="X476" s="109">
        <f t="shared" ref="X476:X494" si="414">IF(S476&gt;0,S476+X$32,0)</f>
        <v>0</v>
      </c>
      <c r="AA476" s="109">
        <f>IF($BD476&gt;0,(((($BD476/Dashboard!$D$23)*(1+Precificação!$W$589)))+$AA$26)*(1+Dashboard!$D$35),0)</f>
        <v>0</v>
      </c>
      <c r="AB476" s="109">
        <f>IF($BD476&gt;0,(((($BD476/Dashboard!$D$23)*(1+Precificação!$W$589))*(1+AB$28))+$AA$26)*(1+Dashboard!$D$35),0)</f>
        <v>0</v>
      </c>
      <c r="AC476" s="109">
        <f>IF($BD476&gt;0,(((($BD476/Dashboard!$D$23)*(1+Precificação!$W$589))*(1+AC$28))+$AA$26)*(1+Dashboard!$D$35),0)</f>
        <v>0</v>
      </c>
      <c r="AD476" s="109">
        <f>IF($BD476&gt;0,(((($BD476/Dashboard!$D$23)*(1+Precificação!$W$589))*(1+AD$28))+$AA$26)*(1+Dashboard!$D$35),0)</f>
        <v>0</v>
      </c>
      <c r="AF476" s="109">
        <f t="shared" ref="AF476:AF494" si="415">IF(AA476&gt;0,AA476+AF$32,0)</f>
        <v>0</v>
      </c>
      <c r="AG476" s="109">
        <f t="shared" ref="AG476:AG494" si="416">IF(AB476&gt;0,AB476+AG$32,0)</f>
        <v>0</v>
      </c>
      <c r="AH476" s="109">
        <f t="shared" ref="AH476:AH494" si="417">IF(AC476&gt;0,AC476+AH$32,0)</f>
        <v>0</v>
      </c>
      <c r="AI476" s="109">
        <f t="shared" ref="AI476:AI494" si="418">IF(AD476&gt;0,AD476+AI$32,0)</f>
        <v>0</v>
      </c>
      <c r="AL476" s="109">
        <f>IF($BD476&gt;0,(((($BD476/Dashboard!$D$23)*(1+Precificação!$W$589)))+$AL$26)*(1+Dashboard!$D$35),0)</f>
        <v>0</v>
      </c>
      <c r="AM476" s="109">
        <f>IF($BD476&gt;0,(((($BD476/Dashboard!$D$23)*(1+Precificação!$W$589))*(1+AM$28))+$AA$26)*(1+Dashboard!$D$35),0)</f>
        <v>0</v>
      </c>
      <c r="AN476" s="109">
        <f>IF($BD476&gt;0,(((($BD476/Dashboard!$D$23)*(1+Precificação!$W$589))*(1+AN$28))+$AA$26)*(1+Dashboard!$D$35),0)</f>
        <v>0</v>
      </c>
      <c r="AO476" s="109">
        <f>IF($BD476&gt;0,(((($BD476/Dashboard!$D$23)*(1+Precificação!$W$589))*(1+AO$28))+$AA$26)*(1+Dashboard!$D$35),0)</f>
        <v>0</v>
      </c>
      <c r="AQ476" s="109">
        <f t="shared" ref="AQ476:AQ494" si="419">IF(AL476&gt;0,AL476+AQ$32,0)</f>
        <v>0</v>
      </c>
      <c r="AR476" s="109">
        <f t="shared" ref="AR476:AR494" si="420">IF(AM476&gt;0,AM476+AR$32,0)</f>
        <v>0</v>
      </c>
      <c r="AS476" s="109">
        <f t="shared" ref="AS476:AS494" si="421">IF(AN476&gt;0,AN476+AS$32,0)</f>
        <v>0</v>
      </c>
      <c r="AT476" s="109">
        <f t="shared" ref="AT476:AT494" si="422">IF(AO476&gt;0,AO476+AT$32,0)</f>
        <v>0</v>
      </c>
      <c r="AW476" s="144">
        <f>VLOOKUP(B476,'Cronog. e Histog.'!$B$213:$BT$688,71,0)</f>
        <v>1</v>
      </c>
      <c r="AX476" s="144">
        <f>VLOOKUP(B476,'Cronog. e Histog.'!$B$213:$BU$688,72,0)</f>
        <v>10</v>
      </c>
      <c r="AY476" s="144">
        <f>$AW476*$AX476*Dashboard!$D$15</f>
        <v>1936.0000000000002</v>
      </c>
      <c r="AZ476" s="144">
        <f>VLOOKUP(B476,Precificação!$B$96:$BM$533,54,0)</f>
        <v>0</v>
      </c>
      <c r="BA476" s="144">
        <f>VLOOKUP(B476,Precificação!$B$96:$BR$533,58,0)</f>
        <v>0</v>
      </c>
      <c r="BB476" s="144">
        <f>VLOOKUP(B476,Precificação!$B$96:$BW$533,62,0)</f>
        <v>0</v>
      </c>
      <c r="BC476" s="144">
        <f t="shared" ref="BC476:BC494" si="423">SUM(AY476:BB476)</f>
        <v>1936.0000000000002</v>
      </c>
      <c r="BD476" s="109">
        <f>IFERROR(VLOOKUP(B476,Precificação!$B$96:$S$533,13,0),0)</f>
        <v>0</v>
      </c>
      <c r="BE476" s="109">
        <f>IFERROR(VLOOKUP(B476,Precificação!$B$96:$U$533,15,0)/(Precificação!$U$4+Precificação!$U$91),0)*Dashboard!$T$3</f>
        <v>0</v>
      </c>
    </row>
    <row r="477" spans="2:57" ht="12" customHeight="1" outlineLevel="1">
      <c r="B477" s="137" t="str">
        <f>Precificação!B472</f>
        <v>SUP.-ESP - Equipe_01</v>
      </c>
      <c r="D477" s="512"/>
      <c r="E477" s="143" t="str">
        <f>IF('Cronog. e Histog.'!G623&gt;0,'Cronog. e Histog.'!G623,"")</f>
        <v>SUP.-ESP</v>
      </c>
      <c r="G477" s="179">
        <f t="shared" si="410"/>
        <v>0</v>
      </c>
      <c r="H477" s="110">
        <f>IFERROR(INDEX('Base Salarial'!$D$5:$F$25,MATCH(E477,'Base Salarial'!$G$5:$G$25,0),MATCH(I477,'Base Salarial'!$D$4:$F$4,0)),"")</f>
        <v>9166.6666666666679</v>
      </c>
      <c r="I477" s="78" t="str">
        <f>IFERROR(INDEX(Tarefas!$BQ$29:$FK$29,MATCH(E477,Tarefas!$BQ$30:$FK$30,0)),"")</f>
        <v>Mensalista</v>
      </c>
      <c r="J477" s="81">
        <f>IF(I477="horista",H477*Dashboard!$D$15,IF(OR(I477="Mensalista",I477="PJ"),H477,))</f>
        <v>9166.6666666666679</v>
      </c>
      <c r="K477" s="81">
        <f>IF(I477="PJ",J477,ROUND(J477*(1+Dashboard!$D$22),2))</f>
        <v>9716.67</v>
      </c>
      <c r="L477" s="77"/>
      <c r="M477" s="180"/>
      <c r="P477" s="109">
        <f>IF($BD477&gt;0,(((($BD477/Dashboard!$D$15)*(1+Precificação!$W$589)))+$P$26)*(1+Dashboard!$D$35),0)</f>
        <v>0</v>
      </c>
      <c r="Q477" s="109">
        <f>IF($BD477&gt;0,(((($BD477/Dashboard!$D$23)+(1+Precificação!$W$589))*(1+Q$28))+$P$26)*(1+Dashboard!$D$35),0)</f>
        <v>0</v>
      </c>
      <c r="R477" s="109">
        <f>IF($BD477&gt;0,(((($BD477/Dashboard!$D$23)+(1+Precificação!$W$589))*(1+R$28))+$P$26)*(1+Dashboard!$D$35),0)</f>
        <v>0</v>
      </c>
      <c r="S477" s="109">
        <f>IF($BD477&gt;0,(((($BD477/Dashboard!$D$23)+(1+Precificação!$W$589))*(1+S$28))+$P$26)*(1+Dashboard!$D$35),0)</f>
        <v>0</v>
      </c>
      <c r="U477" s="109">
        <f t="shared" si="411"/>
        <v>0</v>
      </c>
      <c r="V477" s="109">
        <f t="shared" si="412"/>
        <v>0</v>
      </c>
      <c r="W477" s="109">
        <f t="shared" si="413"/>
        <v>0</v>
      </c>
      <c r="X477" s="109">
        <f t="shared" si="414"/>
        <v>0</v>
      </c>
      <c r="AA477" s="109">
        <f>IF($BD477&gt;0,(((($BD477/Dashboard!$D$23)*(1+Precificação!$W$589)))+$AA$26)*(1+Dashboard!$D$35),0)</f>
        <v>0</v>
      </c>
      <c r="AB477" s="109">
        <f>IF($BD477&gt;0,(((($BD477/Dashboard!$D$23)*(1+Precificação!$W$589))*(1+AB$28))+$AA$26)*(1+Dashboard!$D$35),0)</f>
        <v>0</v>
      </c>
      <c r="AC477" s="109">
        <f>IF($BD477&gt;0,(((($BD477/Dashboard!$D$23)*(1+Precificação!$W$589))*(1+AC$28))+$AA$26)*(1+Dashboard!$D$35),0)</f>
        <v>0</v>
      </c>
      <c r="AD477" s="109">
        <f>IF($BD477&gt;0,(((($BD477/Dashboard!$D$23)*(1+Precificação!$W$589))*(1+AD$28))+$AA$26)*(1+Dashboard!$D$35),0)</f>
        <v>0</v>
      </c>
      <c r="AF477" s="109">
        <f t="shared" si="415"/>
        <v>0</v>
      </c>
      <c r="AG477" s="109">
        <f t="shared" si="416"/>
        <v>0</v>
      </c>
      <c r="AH477" s="109">
        <f t="shared" si="417"/>
        <v>0</v>
      </c>
      <c r="AI477" s="109">
        <f t="shared" si="418"/>
        <v>0</v>
      </c>
      <c r="AL477" s="109">
        <f>IF($BD477&gt;0,(((($BD477/Dashboard!$D$23)*(1+Precificação!$W$589)))+$AL$26)*(1+Dashboard!$D$35),0)</f>
        <v>0</v>
      </c>
      <c r="AM477" s="109">
        <f>IF($BD477&gt;0,(((($BD477/Dashboard!$D$23)*(1+Precificação!$W$589))*(1+AM$28))+$AA$26)*(1+Dashboard!$D$35),0)</f>
        <v>0</v>
      </c>
      <c r="AN477" s="109">
        <f>IF($BD477&gt;0,(((($BD477/Dashboard!$D$23)*(1+Precificação!$W$589))*(1+AN$28))+$AA$26)*(1+Dashboard!$D$35),0)</f>
        <v>0</v>
      </c>
      <c r="AO477" s="109">
        <f>IF($BD477&gt;0,(((($BD477/Dashboard!$D$23)*(1+Precificação!$W$589))*(1+AO$28))+$AA$26)*(1+Dashboard!$D$35),0)</f>
        <v>0</v>
      </c>
      <c r="AQ477" s="109">
        <f t="shared" si="419"/>
        <v>0</v>
      </c>
      <c r="AR477" s="109">
        <f t="shared" si="420"/>
        <v>0</v>
      </c>
      <c r="AS477" s="109">
        <f t="shared" si="421"/>
        <v>0</v>
      </c>
      <c r="AT477" s="109">
        <f t="shared" si="422"/>
        <v>0</v>
      </c>
      <c r="AW477" s="144">
        <f>VLOOKUP(B477,'Cronog. e Histog.'!$B$213:$BT$688,71,0)</f>
        <v>0</v>
      </c>
      <c r="AX477" s="144">
        <f>VLOOKUP(B477,'Cronog. e Histog.'!$B$213:$BU$688,72,0)</f>
        <v>0</v>
      </c>
      <c r="AY477" s="144">
        <f>$AW477*$AX477*Dashboard!$D$15</f>
        <v>0</v>
      </c>
      <c r="AZ477" s="144">
        <f>VLOOKUP(B477,Precificação!$B$96:$BM$533,54,0)</f>
        <v>0</v>
      </c>
      <c r="BA477" s="144">
        <f>VLOOKUP(B477,Precificação!$B$96:$BR$533,58,0)</f>
        <v>0</v>
      </c>
      <c r="BB477" s="144">
        <f>VLOOKUP(B477,Precificação!$B$96:$BW$533,62,0)</f>
        <v>0</v>
      </c>
      <c r="BC477" s="144">
        <f t="shared" si="423"/>
        <v>0</v>
      </c>
      <c r="BD477" s="109">
        <f>IFERROR(VLOOKUP(B477,Precificação!$B$96:$S$533,13,0),0)</f>
        <v>0</v>
      </c>
      <c r="BE477" s="109">
        <f>IFERROR(VLOOKUP(B477,Precificação!$B$96:$U$533,15,0)/(Precificação!$U$4+Precificação!$U$91),0)*Dashboard!$T$3</f>
        <v>0</v>
      </c>
    </row>
    <row r="478" spans="2:57" ht="12" customHeight="1" outlineLevel="1">
      <c r="B478" s="137" t="str">
        <f>Precificação!B473</f>
        <v>ENG/ARQ SR. - Equipe_01</v>
      </c>
      <c r="D478" s="512"/>
      <c r="E478" s="143" t="str">
        <f>IF('Cronog. e Histog.'!G624&gt;0,'Cronog. e Histog.'!G624,"")</f>
        <v>ENG/ARQ SR.</v>
      </c>
      <c r="G478" s="179">
        <f t="shared" si="410"/>
        <v>0</v>
      </c>
      <c r="H478" s="110">
        <f>IFERROR(INDEX('Base Salarial'!$D$5:$F$25,MATCH(E478,'Base Salarial'!$G$5:$G$25,0),MATCH(I478,'Base Salarial'!$D$4:$F$4,0)),"")</f>
        <v>16000</v>
      </c>
      <c r="I478" s="78" t="str">
        <f>IFERROR(INDEX(Tarefas!$BQ$29:$FK$29,MATCH(E478,Tarefas!$BQ$30:$FK$30,0)),"")</f>
        <v>PJ</v>
      </c>
      <c r="J478" s="81">
        <f>IF(I478="horista",H478*Dashboard!$D$15,IF(OR(I478="Mensalista",I478="PJ"),H478,))</f>
        <v>16000</v>
      </c>
      <c r="K478" s="81">
        <f>IF(I478="PJ",J478,ROUND(J478*(1+Dashboard!$D$22),2))</f>
        <v>16000</v>
      </c>
      <c r="L478" s="77"/>
      <c r="M478" s="180"/>
      <c r="P478" s="109">
        <f>IF($BD478&gt;0,(((($BD478/Dashboard!$D$15)*(1+Precificação!$W$589)))+$P$26)*(1+Dashboard!$D$35),0)</f>
        <v>0</v>
      </c>
      <c r="Q478" s="109">
        <f>IF($BD478&gt;0,(((($BD478/Dashboard!$D$23)+(1+Precificação!$W$589))*(1+Q$28))+$P$26)*(1+Dashboard!$D$35),0)</f>
        <v>0</v>
      </c>
      <c r="R478" s="109">
        <f>IF($BD478&gt;0,(((($BD478/Dashboard!$D$23)+(1+Precificação!$W$589))*(1+R$28))+$P$26)*(1+Dashboard!$D$35),0)</f>
        <v>0</v>
      </c>
      <c r="S478" s="109">
        <f>IF($BD478&gt;0,(((($BD478/Dashboard!$D$23)+(1+Precificação!$W$589))*(1+S$28))+$P$26)*(1+Dashboard!$D$35),0)</f>
        <v>0</v>
      </c>
      <c r="U478" s="109">
        <f t="shared" si="411"/>
        <v>0</v>
      </c>
      <c r="V478" s="109">
        <f t="shared" si="412"/>
        <v>0</v>
      </c>
      <c r="W478" s="109">
        <f t="shared" si="413"/>
        <v>0</v>
      </c>
      <c r="X478" s="109">
        <f t="shared" si="414"/>
        <v>0</v>
      </c>
      <c r="AA478" s="109">
        <f>IF($BD478&gt;0,(((($BD478/Dashboard!$D$23)*(1+Precificação!$W$589)))+$AA$26)*(1+Dashboard!$D$35),0)</f>
        <v>0</v>
      </c>
      <c r="AB478" s="109">
        <f>IF($BD478&gt;0,(((($BD478/Dashboard!$D$23)*(1+Precificação!$W$589))*(1+AB$28))+$AA$26)*(1+Dashboard!$D$35),0)</f>
        <v>0</v>
      </c>
      <c r="AC478" s="109">
        <f>IF($BD478&gt;0,(((($BD478/Dashboard!$D$23)*(1+Precificação!$W$589))*(1+AC$28))+$AA$26)*(1+Dashboard!$D$35),0)</f>
        <v>0</v>
      </c>
      <c r="AD478" s="109">
        <f>IF($BD478&gt;0,(((($BD478/Dashboard!$D$23)*(1+Precificação!$W$589))*(1+AD$28))+$AA$26)*(1+Dashboard!$D$35),0)</f>
        <v>0</v>
      </c>
      <c r="AF478" s="109">
        <f t="shared" si="415"/>
        <v>0</v>
      </c>
      <c r="AG478" s="109">
        <f t="shared" si="416"/>
        <v>0</v>
      </c>
      <c r="AH478" s="109">
        <f t="shared" si="417"/>
        <v>0</v>
      </c>
      <c r="AI478" s="109">
        <f t="shared" si="418"/>
        <v>0</v>
      </c>
      <c r="AL478" s="109">
        <f>IF($BD478&gt;0,(((($BD478/Dashboard!$D$23)*(1+Precificação!$W$589)))+$AL$26)*(1+Dashboard!$D$35),0)</f>
        <v>0</v>
      </c>
      <c r="AM478" s="109">
        <f>IF($BD478&gt;0,(((($BD478/Dashboard!$D$23)*(1+Precificação!$W$589))*(1+AM$28))+$AA$26)*(1+Dashboard!$D$35),0)</f>
        <v>0</v>
      </c>
      <c r="AN478" s="109">
        <f>IF($BD478&gt;0,(((($BD478/Dashboard!$D$23)*(1+Precificação!$W$589))*(1+AN$28))+$AA$26)*(1+Dashboard!$D$35),0)</f>
        <v>0</v>
      </c>
      <c r="AO478" s="109">
        <f>IF($BD478&gt;0,(((($BD478/Dashboard!$D$23)*(1+Precificação!$W$589))*(1+AO$28))+$AA$26)*(1+Dashboard!$D$35),0)</f>
        <v>0</v>
      </c>
      <c r="AQ478" s="109">
        <f t="shared" si="419"/>
        <v>0</v>
      </c>
      <c r="AR478" s="109">
        <f t="shared" si="420"/>
        <v>0</v>
      </c>
      <c r="AS478" s="109">
        <f t="shared" si="421"/>
        <v>0</v>
      </c>
      <c r="AT478" s="109">
        <f t="shared" si="422"/>
        <v>0</v>
      </c>
      <c r="AW478" s="144">
        <f>VLOOKUP(B478,'Cronog. e Histog.'!$B$213:$BT$688,71,0)</f>
        <v>9.9999999999999985E-3</v>
      </c>
      <c r="AX478" s="144">
        <f>VLOOKUP(B478,'Cronog. e Histog.'!$B$213:$BU$688,72,0)</f>
        <v>10</v>
      </c>
      <c r="AY478" s="144">
        <f>$AW478*$AX478*Dashboard!$D$15</f>
        <v>19.36</v>
      </c>
      <c r="AZ478" s="144">
        <f>VLOOKUP(B478,Precificação!$B$96:$BM$533,54,0)</f>
        <v>0</v>
      </c>
      <c r="BA478" s="144">
        <f>VLOOKUP(B478,Precificação!$B$96:$BR$533,58,0)</f>
        <v>0</v>
      </c>
      <c r="BB478" s="144">
        <f>VLOOKUP(B478,Precificação!$B$96:$BW$533,62,0)</f>
        <v>0</v>
      </c>
      <c r="BC478" s="144">
        <f t="shared" si="423"/>
        <v>19.36</v>
      </c>
      <c r="BD478" s="109">
        <f>IFERROR(VLOOKUP(B478,Precificação!$B$96:$S$533,13,0),0)</f>
        <v>0</v>
      </c>
      <c r="BE478" s="109">
        <f>IFERROR(VLOOKUP(B478,Precificação!$B$96:$U$533,15,0)/(Precificação!$U$4+Precificação!$U$91),0)*Dashboard!$T$3</f>
        <v>0</v>
      </c>
    </row>
    <row r="479" spans="2:57" ht="12" customHeight="1" outlineLevel="1">
      <c r="B479" s="137" t="str">
        <f>Precificação!B474</f>
        <v>ENG/ARQ PL. - Equipe_01</v>
      </c>
      <c r="D479" s="512"/>
      <c r="E479" s="143" t="str">
        <f>IF('Cronog. e Histog.'!G625&gt;0,'Cronog. e Histog.'!G625,"")</f>
        <v>ENG/ARQ PL.</v>
      </c>
      <c r="G479" s="179">
        <f t="shared" si="410"/>
        <v>0</v>
      </c>
      <c r="H479" s="110">
        <f>IFERROR(INDEX('Base Salarial'!$D$5:$F$25,MATCH(E479,'Base Salarial'!$G$5:$G$25,0),MATCH(I479,'Base Salarial'!$D$4:$F$4,0)),"")</f>
        <v>14000</v>
      </c>
      <c r="I479" s="78" t="str">
        <f>IFERROR(INDEX(Tarefas!$BQ$29:$FK$29,MATCH(E479,Tarefas!$BQ$30:$FK$30,0)),"")</f>
        <v>PJ</v>
      </c>
      <c r="J479" s="81">
        <f>IF(I479="horista",H479*Dashboard!$D$15,IF(OR(I479="Mensalista",I479="PJ"),H479,))</f>
        <v>14000</v>
      </c>
      <c r="K479" s="81">
        <f>IF(I479="PJ",J479,ROUND(J479*(1+Dashboard!$D$22),2))</f>
        <v>14000</v>
      </c>
      <c r="L479" s="77"/>
      <c r="M479" s="180"/>
      <c r="P479" s="109">
        <f>IF($BD479&gt;0,(((($BD479/Dashboard!$D$15)*(1+Precificação!$W$589)))+$P$26)*(1+Dashboard!$D$35),0)</f>
        <v>0</v>
      </c>
      <c r="Q479" s="109">
        <f>IF($BD479&gt;0,(((($BD479/Dashboard!$D$23)+(1+Precificação!$W$589))*(1+Q$28))+$P$26)*(1+Dashboard!$D$35),0)</f>
        <v>0</v>
      </c>
      <c r="R479" s="109">
        <f>IF($BD479&gt;0,(((($BD479/Dashboard!$D$23)+(1+Precificação!$W$589))*(1+R$28))+$P$26)*(1+Dashboard!$D$35),0)</f>
        <v>0</v>
      </c>
      <c r="S479" s="109">
        <f>IF($BD479&gt;0,(((($BD479/Dashboard!$D$23)+(1+Precificação!$W$589))*(1+S$28))+$P$26)*(1+Dashboard!$D$35),0)</f>
        <v>0</v>
      </c>
      <c r="U479" s="109">
        <f t="shared" si="411"/>
        <v>0</v>
      </c>
      <c r="V479" s="109">
        <f t="shared" si="412"/>
        <v>0</v>
      </c>
      <c r="W479" s="109">
        <f t="shared" si="413"/>
        <v>0</v>
      </c>
      <c r="X479" s="109">
        <f t="shared" si="414"/>
        <v>0</v>
      </c>
      <c r="AA479" s="109">
        <f>IF($BD479&gt;0,(((($BD479/Dashboard!$D$23)*(1+Precificação!$W$589)))+$AA$26)*(1+Dashboard!$D$35),0)</f>
        <v>0</v>
      </c>
      <c r="AB479" s="109">
        <f>IF($BD479&gt;0,(((($BD479/Dashboard!$D$23)*(1+Precificação!$W$589))*(1+AB$28))+$AA$26)*(1+Dashboard!$D$35),0)</f>
        <v>0</v>
      </c>
      <c r="AC479" s="109">
        <f>IF($BD479&gt;0,(((($BD479/Dashboard!$D$23)*(1+Precificação!$W$589))*(1+AC$28))+$AA$26)*(1+Dashboard!$D$35),0)</f>
        <v>0</v>
      </c>
      <c r="AD479" s="109">
        <f>IF($BD479&gt;0,(((($BD479/Dashboard!$D$23)*(1+Precificação!$W$589))*(1+AD$28))+$AA$26)*(1+Dashboard!$D$35),0)</f>
        <v>0</v>
      </c>
      <c r="AF479" s="109">
        <f t="shared" si="415"/>
        <v>0</v>
      </c>
      <c r="AG479" s="109">
        <f t="shared" si="416"/>
        <v>0</v>
      </c>
      <c r="AH479" s="109">
        <f t="shared" si="417"/>
        <v>0</v>
      </c>
      <c r="AI479" s="109">
        <f t="shared" si="418"/>
        <v>0</v>
      </c>
      <c r="AL479" s="109">
        <f>IF($BD479&gt;0,(((($BD479/Dashboard!$D$23)*(1+Precificação!$W$589)))+$AL$26)*(1+Dashboard!$D$35),0)</f>
        <v>0</v>
      </c>
      <c r="AM479" s="109">
        <f>IF($BD479&gt;0,(((($BD479/Dashboard!$D$23)*(1+Precificação!$W$589))*(1+AM$28))+$AA$26)*(1+Dashboard!$D$35),0)</f>
        <v>0</v>
      </c>
      <c r="AN479" s="109">
        <f>IF($BD479&gt;0,(((($BD479/Dashboard!$D$23)*(1+Precificação!$W$589))*(1+AN$28))+$AA$26)*(1+Dashboard!$D$35),0)</f>
        <v>0</v>
      </c>
      <c r="AO479" s="109">
        <f>IF($BD479&gt;0,(((($BD479/Dashboard!$D$23)*(1+Precificação!$W$589))*(1+AO$28))+$AA$26)*(1+Dashboard!$D$35),0)</f>
        <v>0</v>
      </c>
      <c r="AQ479" s="109">
        <f t="shared" si="419"/>
        <v>0</v>
      </c>
      <c r="AR479" s="109">
        <f t="shared" si="420"/>
        <v>0</v>
      </c>
      <c r="AS479" s="109">
        <f t="shared" si="421"/>
        <v>0</v>
      </c>
      <c r="AT479" s="109">
        <f t="shared" si="422"/>
        <v>0</v>
      </c>
      <c r="AW479" s="144">
        <f>VLOOKUP(B479,'Cronog. e Histog.'!$B$213:$BT$688,71,0)</f>
        <v>0</v>
      </c>
      <c r="AX479" s="144">
        <f>VLOOKUP(B479,'Cronog. e Histog.'!$B$213:$BU$688,72,0)</f>
        <v>0</v>
      </c>
      <c r="AY479" s="144">
        <f>$AW479*$AX479*Dashboard!$D$15</f>
        <v>0</v>
      </c>
      <c r="AZ479" s="144">
        <f>VLOOKUP(B479,Precificação!$B$96:$BM$533,54,0)</f>
        <v>0</v>
      </c>
      <c r="BA479" s="144">
        <f>VLOOKUP(B479,Precificação!$B$96:$BR$533,58,0)</f>
        <v>0</v>
      </c>
      <c r="BB479" s="144">
        <f>VLOOKUP(B479,Precificação!$B$96:$BW$533,62,0)</f>
        <v>0</v>
      </c>
      <c r="BC479" s="144">
        <f t="shared" si="423"/>
        <v>0</v>
      </c>
      <c r="BD479" s="109">
        <f>IFERROR(VLOOKUP(B479,Precificação!$B$96:$S$533,13,0),0)</f>
        <v>0</v>
      </c>
      <c r="BE479" s="109">
        <f>IFERROR(VLOOKUP(B479,Precificação!$B$96:$U$533,15,0)/(Precificação!$U$4+Precificação!$U$91),0)*Dashboard!$T$3</f>
        <v>0</v>
      </c>
    </row>
    <row r="480" spans="2:57" ht="12" customHeight="1" outlineLevel="1">
      <c r="B480" s="137" t="str">
        <f>Precificação!B475</f>
        <v>ENG/ARQ JR. - Equipe_01</v>
      </c>
      <c r="D480" s="512"/>
      <c r="E480" s="143" t="str">
        <f>IF('Cronog. e Histog.'!G626&gt;0,'Cronog. e Histog.'!G626,"")</f>
        <v>ENG/ARQ JR.</v>
      </c>
      <c r="G480" s="179">
        <f t="shared" si="410"/>
        <v>0</v>
      </c>
      <c r="H480" s="110">
        <f>IFERROR(INDEX('Base Salarial'!$D$5:$F$25,MATCH(E480,'Base Salarial'!$G$5:$G$25,0),MATCH(I480,'Base Salarial'!$D$4:$F$4,0)),"")</f>
        <v>14000</v>
      </c>
      <c r="I480" s="78" t="str">
        <f>IFERROR(INDEX(Tarefas!$BQ$29:$FK$29,MATCH(E480,Tarefas!$BQ$30:$FK$30,0)),"")</f>
        <v>PJ</v>
      </c>
      <c r="J480" s="81">
        <f>IF(I480="horista",H480*Dashboard!$D$15,IF(OR(I480="Mensalista",I480="PJ"),H480,))</f>
        <v>14000</v>
      </c>
      <c r="K480" s="81">
        <f>IF(I480="PJ",J480,ROUND(J480*(1+Dashboard!$D$22),2))</f>
        <v>14000</v>
      </c>
      <c r="L480" s="77"/>
      <c r="M480" s="180"/>
      <c r="P480" s="109">
        <f>IF($BD480&gt;0,(((($BD480/Dashboard!$D$15)*(1+Precificação!$W$589)))+$P$26)*(1+Dashboard!$D$35),0)</f>
        <v>0</v>
      </c>
      <c r="Q480" s="109">
        <f>IF($BD480&gt;0,(((($BD480/Dashboard!$D$23)+(1+Precificação!$W$589))*(1+Q$28))+$P$26)*(1+Dashboard!$D$35),0)</f>
        <v>0</v>
      </c>
      <c r="R480" s="109">
        <f>IF($BD480&gt;0,(((($BD480/Dashboard!$D$23)+(1+Precificação!$W$589))*(1+R$28))+$P$26)*(1+Dashboard!$D$35),0)</f>
        <v>0</v>
      </c>
      <c r="S480" s="109">
        <f>IF($BD480&gt;0,(((($BD480/Dashboard!$D$23)+(1+Precificação!$W$589))*(1+S$28))+$P$26)*(1+Dashboard!$D$35),0)</f>
        <v>0</v>
      </c>
      <c r="U480" s="109">
        <f t="shared" si="411"/>
        <v>0</v>
      </c>
      <c r="V480" s="109">
        <f t="shared" si="412"/>
        <v>0</v>
      </c>
      <c r="W480" s="109">
        <f t="shared" si="413"/>
        <v>0</v>
      </c>
      <c r="X480" s="109">
        <f t="shared" si="414"/>
        <v>0</v>
      </c>
      <c r="AA480" s="109">
        <f>IF($BD480&gt;0,(((($BD480/Dashboard!$D$23)*(1+Precificação!$W$589)))+$AA$26)*(1+Dashboard!$D$35),0)</f>
        <v>0</v>
      </c>
      <c r="AB480" s="109">
        <f>IF($BD480&gt;0,(((($BD480/Dashboard!$D$23)*(1+Precificação!$W$589))*(1+AB$28))+$AA$26)*(1+Dashboard!$D$35),0)</f>
        <v>0</v>
      </c>
      <c r="AC480" s="109">
        <f>IF($BD480&gt;0,(((($BD480/Dashboard!$D$23)*(1+Precificação!$W$589))*(1+AC$28))+$AA$26)*(1+Dashboard!$D$35),0)</f>
        <v>0</v>
      </c>
      <c r="AD480" s="109">
        <f>IF($BD480&gt;0,(((($BD480/Dashboard!$D$23)*(1+Precificação!$W$589))*(1+AD$28))+$AA$26)*(1+Dashboard!$D$35),0)</f>
        <v>0</v>
      </c>
      <c r="AF480" s="109">
        <f t="shared" si="415"/>
        <v>0</v>
      </c>
      <c r="AG480" s="109">
        <f t="shared" si="416"/>
        <v>0</v>
      </c>
      <c r="AH480" s="109">
        <f t="shared" si="417"/>
        <v>0</v>
      </c>
      <c r="AI480" s="109">
        <f t="shared" si="418"/>
        <v>0</v>
      </c>
      <c r="AL480" s="109">
        <f>IF($BD480&gt;0,(((($BD480/Dashboard!$D$23)*(1+Precificação!$W$589)))+$AL$26)*(1+Dashboard!$D$35),0)</f>
        <v>0</v>
      </c>
      <c r="AM480" s="109">
        <f>IF($BD480&gt;0,(((($BD480/Dashboard!$D$23)*(1+Precificação!$W$589))*(1+AM$28))+$AA$26)*(1+Dashboard!$D$35),0)</f>
        <v>0</v>
      </c>
      <c r="AN480" s="109">
        <f>IF($BD480&gt;0,(((($BD480/Dashboard!$D$23)*(1+Precificação!$W$589))*(1+AN$28))+$AA$26)*(1+Dashboard!$D$35),0)</f>
        <v>0</v>
      </c>
      <c r="AO480" s="109">
        <f>IF($BD480&gt;0,(((($BD480/Dashboard!$D$23)*(1+Precificação!$W$589))*(1+AO$28))+$AA$26)*(1+Dashboard!$D$35),0)</f>
        <v>0</v>
      </c>
      <c r="AQ480" s="109">
        <f t="shared" si="419"/>
        <v>0</v>
      </c>
      <c r="AR480" s="109">
        <f t="shared" si="420"/>
        <v>0</v>
      </c>
      <c r="AS480" s="109">
        <f t="shared" si="421"/>
        <v>0</v>
      </c>
      <c r="AT480" s="109">
        <f t="shared" si="422"/>
        <v>0</v>
      </c>
      <c r="AW480" s="144">
        <f>VLOOKUP(B480,'Cronog. e Histog.'!$B$213:$BT$688,71,0)</f>
        <v>0</v>
      </c>
      <c r="AX480" s="144">
        <f>VLOOKUP(B480,'Cronog. e Histog.'!$B$213:$BU$688,72,0)</f>
        <v>0</v>
      </c>
      <c r="AY480" s="144">
        <f>$AW480*$AX480*Dashboard!$D$15</f>
        <v>0</v>
      </c>
      <c r="AZ480" s="144">
        <f>VLOOKUP(B480,Precificação!$B$96:$BM$533,54,0)</f>
        <v>0</v>
      </c>
      <c r="BA480" s="144">
        <f>VLOOKUP(B480,Precificação!$B$96:$BR$533,58,0)</f>
        <v>0</v>
      </c>
      <c r="BB480" s="144">
        <f>VLOOKUP(B480,Precificação!$B$96:$BW$533,62,0)</f>
        <v>0</v>
      </c>
      <c r="BC480" s="144">
        <f t="shared" si="423"/>
        <v>0</v>
      </c>
      <c r="BD480" s="109">
        <f>IFERROR(VLOOKUP(B480,Precificação!$B$96:$S$533,13,0),0)</f>
        <v>0</v>
      </c>
      <c r="BE480" s="109">
        <f>IFERROR(VLOOKUP(B480,Precificação!$B$96:$U$533,15,0)/(Precificação!$U$4+Precificação!$U$91),0)*Dashboard!$T$3</f>
        <v>0</v>
      </c>
    </row>
    <row r="481" spans="2:57" ht="12" customHeight="1" outlineLevel="1">
      <c r="B481" s="137" t="str">
        <f>Precificação!B476</f>
        <v>AN SR. ENG/ARQ - Equipe_01</v>
      </c>
      <c r="D481" s="512"/>
      <c r="E481" s="143" t="str">
        <f>IF('Cronog. e Histog.'!G627&gt;0,'Cronog. e Histog.'!G627,"")</f>
        <v>AN SR. ENG/ARQ</v>
      </c>
      <c r="G481" s="179">
        <f t="shared" si="410"/>
        <v>0</v>
      </c>
      <c r="H481" s="110">
        <f>IFERROR(INDEX('Base Salarial'!$D$5:$F$25,MATCH(E481,'Base Salarial'!$G$5:$G$25,0),MATCH(I481,'Base Salarial'!$D$4:$F$4,0)),"")</f>
        <v>7500</v>
      </c>
      <c r="I481" s="78" t="str">
        <f>IFERROR(INDEX(Tarefas!$BQ$29:$FK$29,MATCH(E481,Tarefas!$BQ$30:$FK$30,0)),"")</f>
        <v>Mensalista</v>
      </c>
      <c r="J481" s="81">
        <f>IF(I481="horista",H481*Dashboard!$D$15,IF(OR(I481="Mensalista",I481="PJ"),H481,))</f>
        <v>7500</v>
      </c>
      <c r="K481" s="81">
        <f>IF(I481="PJ",J481,ROUND(J481*(1+Dashboard!$D$22),2))</f>
        <v>7950</v>
      </c>
      <c r="L481" s="77"/>
      <c r="M481" s="180"/>
      <c r="P481" s="109">
        <f>IF($BD481&gt;0,(((($BD481/Dashboard!$D$15)*(1+Precificação!$W$589)))+$P$26)*(1+Dashboard!$D$35),0)</f>
        <v>0</v>
      </c>
      <c r="Q481" s="109">
        <f>IF($BD481&gt;0,(((($BD481/Dashboard!$D$23)+(1+Precificação!$W$589))*(1+Q$28))+$P$26)*(1+Dashboard!$D$35),0)</f>
        <v>0</v>
      </c>
      <c r="R481" s="109">
        <f>IF($BD481&gt;0,(((($BD481/Dashboard!$D$23)+(1+Precificação!$W$589))*(1+R$28))+$P$26)*(1+Dashboard!$D$35),0)</f>
        <v>0</v>
      </c>
      <c r="S481" s="109">
        <f>IF($BD481&gt;0,(((($BD481/Dashboard!$D$23)+(1+Precificação!$W$589))*(1+S$28))+$P$26)*(1+Dashboard!$D$35),0)</f>
        <v>0</v>
      </c>
      <c r="U481" s="109">
        <f t="shared" si="411"/>
        <v>0</v>
      </c>
      <c r="V481" s="109">
        <f t="shared" si="412"/>
        <v>0</v>
      </c>
      <c r="W481" s="109">
        <f t="shared" si="413"/>
        <v>0</v>
      </c>
      <c r="X481" s="109">
        <f t="shared" si="414"/>
        <v>0</v>
      </c>
      <c r="AA481" s="109">
        <f>IF($BD481&gt;0,(((($BD481/Dashboard!$D$23)*(1+Precificação!$W$589)))+$AA$26)*(1+Dashboard!$D$35),0)</f>
        <v>0</v>
      </c>
      <c r="AB481" s="109">
        <f>IF($BD481&gt;0,(((($BD481/Dashboard!$D$23)*(1+Precificação!$W$589))*(1+AB$28))+$AA$26)*(1+Dashboard!$D$35),0)</f>
        <v>0</v>
      </c>
      <c r="AC481" s="109">
        <f>IF($BD481&gt;0,(((($BD481/Dashboard!$D$23)*(1+Precificação!$W$589))*(1+AC$28))+$AA$26)*(1+Dashboard!$D$35),0)</f>
        <v>0</v>
      </c>
      <c r="AD481" s="109">
        <f>IF($BD481&gt;0,(((($BD481/Dashboard!$D$23)*(1+Precificação!$W$589))*(1+AD$28))+$AA$26)*(1+Dashboard!$D$35),0)</f>
        <v>0</v>
      </c>
      <c r="AF481" s="109">
        <f t="shared" si="415"/>
        <v>0</v>
      </c>
      <c r="AG481" s="109">
        <f t="shared" si="416"/>
        <v>0</v>
      </c>
      <c r="AH481" s="109">
        <f t="shared" si="417"/>
        <v>0</v>
      </c>
      <c r="AI481" s="109">
        <f t="shared" si="418"/>
        <v>0</v>
      </c>
      <c r="AL481" s="109">
        <f>IF($BD481&gt;0,(((($BD481/Dashboard!$D$23)*(1+Precificação!$W$589)))+$AL$26)*(1+Dashboard!$D$35),0)</f>
        <v>0</v>
      </c>
      <c r="AM481" s="109">
        <f>IF($BD481&gt;0,(((($BD481/Dashboard!$D$23)*(1+Precificação!$W$589))*(1+AM$28))+$AA$26)*(1+Dashboard!$D$35),0)</f>
        <v>0</v>
      </c>
      <c r="AN481" s="109">
        <f>IF($BD481&gt;0,(((($BD481/Dashboard!$D$23)*(1+Precificação!$W$589))*(1+AN$28))+$AA$26)*(1+Dashboard!$D$35),0)</f>
        <v>0</v>
      </c>
      <c r="AO481" s="109">
        <f>IF($BD481&gt;0,(((($BD481/Dashboard!$D$23)*(1+Precificação!$W$589))*(1+AO$28))+$AA$26)*(1+Dashboard!$D$35),0)</f>
        <v>0</v>
      </c>
      <c r="AQ481" s="109">
        <f t="shared" si="419"/>
        <v>0</v>
      </c>
      <c r="AR481" s="109">
        <f t="shared" si="420"/>
        <v>0</v>
      </c>
      <c r="AS481" s="109">
        <f t="shared" si="421"/>
        <v>0</v>
      </c>
      <c r="AT481" s="109">
        <f t="shared" si="422"/>
        <v>0</v>
      </c>
      <c r="AW481" s="144">
        <f>VLOOKUP(B481,'Cronog. e Histog.'!$B$213:$BT$688,71,0)</f>
        <v>0</v>
      </c>
      <c r="AX481" s="144">
        <f>VLOOKUP(B481,'Cronog. e Histog.'!$B$213:$BU$688,72,0)</f>
        <v>0</v>
      </c>
      <c r="AY481" s="144">
        <f>$AW481*$AX481*Dashboard!$D$15</f>
        <v>0</v>
      </c>
      <c r="AZ481" s="144">
        <f>VLOOKUP(B481,Precificação!$B$96:$BM$533,54,0)</f>
        <v>0</v>
      </c>
      <c r="BA481" s="144">
        <f>VLOOKUP(B481,Precificação!$B$96:$BR$533,58,0)</f>
        <v>0</v>
      </c>
      <c r="BB481" s="144">
        <f>VLOOKUP(B481,Precificação!$B$96:$BW$533,62,0)</f>
        <v>0</v>
      </c>
      <c r="BC481" s="144">
        <f t="shared" si="423"/>
        <v>0</v>
      </c>
      <c r="BD481" s="109">
        <f>IFERROR(VLOOKUP(B481,Precificação!$B$96:$S$533,13,0),0)</f>
        <v>0</v>
      </c>
      <c r="BE481" s="109">
        <f>IFERROR(VLOOKUP(B481,Precificação!$B$96:$U$533,15,0)/(Precificação!$U$4+Precificação!$U$91),0)*Dashboard!$T$3</f>
        <v>0</v>
      </c>
    </row>
    <row r="482" spans="2:57" ht="12" customHeight="1" outlineLevel="1">
      <c r="B482" s="137" t="str">
        <f>Precificação!B477</f>
        <v>AN PL. ENG/ARQ - Equipe_01</v>
      </c>
      <c r="D482" s="512"/>
      <c r="E482" s="143" t="str">
        <f>IF('Cronog. e Histog.'!G628&gt;0,'Cronog. e Histog.'!G628,"")</f>
        <v>AN PL. ENG/ARQ</v>
      </c>
      <c r="G482" s="179">
        <f t="shared" si="410"/>
        <v>0</v>
      </c>
      <c r="H482" s="110">
        <f>IFERROR(INDEX('Base Salarial'!$D$5:$F$25,MATCH(E482,'Base Salarial'!$G$5:$G$25,0),MATCH(I482,'Base Salarial'!$D$4:$F$4,0)),"")</f>
        <v>6000</v>
      </c>
      <c r="I482" s="78" t="str">
        <f>IFERROR(INDEX(Tarefas!$BQ$29:$FK$29,MATCH(E482,Tarefas!$BQ$30:$FK$30,0)),"")</f>
        <v>Mensalista</v>
      </c>
      <c r="J482" s="81">
        <f>IF(I482="horista",H482*Dashboard!$D$15,IF(OR(I482="Mensalista",I482="PJ"),H482,))</f>
        <v>6000</v>
      </c>
      <c r="K482" s="81">
        <f>IF(I482="PJ",J482,ROUND(J482*(1+Dashboard!$D$22),2))</f>
        <v>6360</v>
      </c>
      <c r="L482" s="77"/>
      <c r="M482" s="180"/>
      <c r="P482" s="109">
        <f>IF($BD482&gt;0,(((($BD482/Dashboard!$D$15)*(1+Precificação!$W$589)))+$P$26)*(1+Dashboard!$D$35),0)</f>
        <v>0</v>
      </c>
      <c r="Q482" s="109">
        <f>IF($BD482&gt;0,(((($BD482/Dashboard!$D$23)+(1+Precificação!$W$589))*(1+Q$28))+$P$26)*(1+Dashboard!$D$35),0)</f>
        <v>0</v>
      </c>
      <c r="R482" s="109">
        <f>IF($BD482&gt;0,(((($BD482/Dashboard!$D$23)+(1+Precificação!$W$589))*(1+R$28))+$P$26)*(1+Dashboard!$D$35),0)</f>
        <v>0</v>
      </c>
      <c r="S482" s="109">
        <f>IF($BD482&gt;0,(((($BD482/Dashboard!$D$23)+(1+Precificação!$W$589))*(1+S$28))+$P$26)*(1+Dashboard!$D$35),0)</f>
        <v>0</v>
      </c>
      <c r="U482" s="109">
        <f t="shared" si="411"/>
        <v>0</v>
      </c>
      <c r="V482" s="109">
        <f t="shared" si="412"/>
        <v>0</v>
      </c>
      <c r="W482" s="109">
        <f t="shared" si="413"/>
        <v>0</v>
      </c>
      <c r="X482" s="109">
        <f t="shared" si="414"/>
        <v>0</v>
      </c>
      <c r="AA482" s="109">
        <f>IF($BD482&gt;0,(((($BD482/Dashboard!$D$23)*(1+Precificação!$W$589)))+$AA$26)*(1+Dashboard!$D$35),0)</f>
        <v>0</v>
      </c>
      <c r="AB482" s="109">
        <f>IF($BD482&gt;0,(((($BD482/Dashboard!$D$23)*(1+Precificação!$W$589))*(1+AB$28))+$AA$26)*(1+Dashboard!$D$35),0)</f>
        <v>0</v>
      </c>
      <c r="AC482" s="109">
        <f>IF($BD482&gt;0,(((($BD482/Dashboard!$D$23)*(1+Precificação!$W$589))*(1+AC$28))+$AA$26)*(1+Dashboard!$D$35),0)</f>
        <v>0</v>
      </c>
      <c r="AD482" s="109">
        <f>IF($BD482&gt;0,(((($BD482/Dashboard!$D$23)*(1+Precificação!$W$589))*(1+AD$28))+$AA$26)*(1+Dashboard!$D$35),0)</f>
        <v>0</v>
      </c>
      <c r="AF482" s="109">
        <f t="shared" si="415"/>
        <v>0</v>
      </c>
      <c r="AG482" s="109">
        <f t="shared" si="416"/>
        <v>0</v>
      </c>
      <c r="AH482" s="109">
        <f t="shared" si="417"/>
        <v>0</v>
      </c>
      <c r="AI482" s="109">
        <f t="shared" si="418"/>
        <v>0</v>
      </c>
      <c r="AL482" s="109">
        <f>IF($BD482&gt;0,(((($BD482/Dashboard!$D$23)*(1+Precificação!$W$589)))+$AL$26)*(1+Dashboard!$D$35),0)</f>
        <v>0</v>
      </c>
      <c r="AM482" s="109">
        <f>IF($BD482&gt;0,(((($BD482/Dashboard!$D$23)*(1+Precificação!$W$589))*(1+AM$28))+$AA$26)*(1+Dashboard!$D$35),0)</f>
        <v>0</v>
      </c>
      <c r="AN482" s="109">
        <f>IF($BD482&gt;0,(((($BD482/Dashboard!$D$23)*(1+Precificação!$W$589))*(1+AN$28))+$AA$26)*(1+Dashboard!$D$35),0)</f>
        <v>0</v>
      </c>
      <c r="AO482" s="109">
        <f>IF($BD482&gt;0,(((($BD482/Dashboard!$D$23)*(1+Precificação!$W$589))*(1+AO$28))+$AA$26)*(1+Dashboard!$D$35),0)</f>
        <v>0</v>
      </c>
      <c r="AQ482" s="109">
        <f t="shared" si="419"/>
        <v>0</v>
      </c>
      <c r="AR482" s="109">
        <f t="shared" si="420"/>
        <v>0</v>
      </c>
      <c r="AS482" s="109">
        <f t="shared" si="421"/>
        <v>0</v>
      </c>
      <c r="AT482" s="109">
        <f t="shared" si="422"/>
        <v>0</v>
      </c>
      <c r="AW482" s="144">
        <f>VLOOKUP(B482,'Cronog. e Histog.'!$B$213:$BT$688,71,0)</f>
        <v>0</v>
      </c>
      <c r="AX482" s="144">
        <f>VLOOKUP(B482,'Cronog. e Histog.'!$B$213:$BU$688,72,0)</f>
        <v>0</v>
      </c>
      <c r="AY482" s="144">
        <f>$AW482*$AX482*Dashboard!$D$15</f>
        <v>0</v>
      </c>
      <c r="AZ482" s="144">
        <f>VLOOKUP(B482,Precificação!$B$96:$BM$533,54,0)</f>
        <v>0</v>
      </c>
      <c r="BA482" s="144">
        <f>VLOOKUP(B482,Precificação!$B$96:$BR$533,58,0)</f>
        <v>0</v>
      </c>
      <c r="BB482" s="144">
        <f>VLOOKUP(B482,Precificação!$B$96:$BW$533,62,0)</f>
        <v>0</v>
      </c>
      <c r="BC482" s="144">
        <f t="shared" si="423"/>
        <v>0</v>
      </c>
      <c r="BD482" s="109">
        <f>IFERROR(VLOOKUP(B482,Precificação!$B$96:$S$533,13,0),0)</f>
        <v>0</v>
      </c>
      <c r="BE482" s="109">
        <f>IFERROR(VLOOKUP(B482,Precificação!$B$96:$U$533,15,0)/(Precificação!$U$4+Precificação!$U$91),0)*Dashboard!$T$3</f>
        <v>0</v>
      </c>
    </row>
    <row r="483" spans="2:57" ht="12" customHeight="1" outlineLevel="1">
      <c r="B483" s="137" t="str">
        <f>Precificação!B478</f>
        <v>AN JR. ENG/ARQ - Equipe_01</v>
      </c>
      <c r="D483" s="512"/>
      <c r="E483" s="143" t="str">
        <f>IF('Cronog. e Histog.'!G629&gt;0,'Cronog. e Histog.'!G629,"")</f>
        <v>AN JR. ENG/ARQ</v>
      </c>
      <c r="G483" s="179">
        <f t="shared" si="410"/>
        <v>0</v>
      </c>
      <c r="H483" s="110">
        <f>IFERROR(INDEX('Base Salarial'!$D$5:$F$25,MATCH(E483,'Base Salarial'!$G$5:$G$25,0),MATCH(I483,'Base Salarial'!$D$4:$F$4,0)),"")</f>
        <v>4500</v>
      </c>
      <c r="I483" s="78" t="str">
        <f>IFERROR(INDEX(Tarefas!$BQ$29:$FK$29,MATCH(E483,Tarefas!$BQ$30:$FK$30,0)),"")</f>
        <v>Mensalista</v>
      </c>
      <c r="J483" s="81">
        <f>IF(I483="horista",H483*Dashboard!$D$15,IF(OR(I483="Mensalista",I483="PJ"),H483,))</f>
        <v>4500</v>
      </c>
      <c r="K483" s="81">
        <f>IF(I483="PJ",J483,ROUND(J483*(1+Dashboard!$D$22),2))</f>
        <v>4770</v>
      </c>
      <c r="L483" s="77"/>
      <c r="M483" s="180"/>
      <c r="P483" s="109">
        <f>IF($BD483&gt;0,(((($BD483/Dashboard!$D$15)*(1+Precificação!$W$589)))+$P$26)*(1+Dashboard!$D$35),0)</f>
        <v>0</v>
      </c>
      <c r="Q483" s="109">
        <f>IF($BD483&gt;0,(((($BD483/Dashboard!$D$23)+(1+Precificação!$W$589))*(1+Q$28))+$P$26)*(1+Dashboard!$D$35),0)</f>
        <v>0</v>
      </c>
      <c r="R483" s="109">
        <f>IF($BD483&gt;0,(((($BD483/Dashboard!$D$23)+(1+Precificação!$W$589))*(1+R$28))+$P$26)*(1+Dashboard!$D$35),0)</f>
        <v>0</v>
      </c>
      <c r="S483" s="109">
        <f>IF($BD483&gt;0,(((($BD483/Dashboard!$D$23)+(1+Precificação!$W$589))*(1+S$28))+$P$26)*(1+Dashboard!$D$35),0)</f>
        <v>0</v>
      </c>
      <c r="U483" s="109">
        <f t="shared" si="411"/>
        <v>0</v>
      </c>
      <c r="V483" s="109">
        <f t="shared" si="412"/>
        <v>0</v>
      </c>
      <c r="W483" s="109">
        <f t="shared" si="413"/>
        <v>0</v>
      </c>
      <c r="X483" s="109">
        <f t="shared" si="414"/>
        <v>0</v>
      </c>
      <c r="AA483" s="109">
        <f>IF($BD483&gt;0,(((($BD483/Dashboard!$D$23)*(1+Precificação!$W$589)))+$AA$26)*(1+Dashboard!$D$35),0)</f>
        <v>0</v>
      </c>
      <c r="AB483" s="109">
        <f>IF($BD483&gt;0,(((($BD483/Dashboard!$D$23)*(1+Precificação!$W$589))*(1+AB$28))+$AA$26)*(1+Dashboard!$D$35),0)</f>
        <v>0</v>
      </c>
      <c r="AC483" s="109">
        <f>IF($BD483&gt;0,(((($BD483/Dashboard!$D$23)*(1+Precificação!$W$589))*(1+AC$28))+$AA$26)*(1+Dashboard!$D$35),0)</f>
        <v>0</v>
      </c>
      <c r="AD483" s="109">
        <f>IF($BD483&gt;0,(((($BD483/Dashboard!$D$23)*(1+Precificação!$W$589))*(1+AD$28))+$AA$26)*(1+Dashboard!$D$35),0)</f>
        <v>0</v>
      </c>
      <c r="AF483" s="109">
        <f t="shared" si="415"/>
        <v>0</v>
      </c>
      <c r="AG483" s="109">
        <f t="shared" si="416"/>
        <v>0</v>
      </c>
      <c r="AH483" s="109">
        <f t="shared" si="417"/>
        <v>0</v>
      </c>
      <c r="AI483" s="109">
        <f t="shared" si="418"/>
        <v>0</v>
      </c>
      <c r="AL483" s="109">
        <f>IF($BD483&gt;0,(((($BD483/Dashboard!$D$23)*(1+Precificação!$W$589)))+$AL$26)*(1+Dashboard!$D$35),0)</f>
        <v>0</v>
      </c>
      <c r="AM483" s="109">
        <f>IF($BD483&gt;0,(((($BD483/Dashboard!$D$23)*(1+Precificação!$W$589))*(1+AM$28))+$AA$26)*(1+Dashboard!$D$35),0)</f>
        <v>0</v>
      </c>
      <c r="AN483" s="109">
        <f>IF($BD483&gt;0,(((($BD483/Dashboard!$D$23)*(1+Precificação!$W$589))*(1+AN$28))+$AA$26)*(1+Dashboard!$D$35),0)</f>
        <v>0</v>
      </c>
      <c r="AO483" s="109">
        <f>IF($BD483&gt;0,(((($BD483/Dashboard!$D$23)*(1+Precificação!$W$589))*(1+AO$28))+$AA$26)*(1+Dashboard!$D$35),0)</f>
        <v>0</v>
      </c>
      <c r="AQ483" s="109">
        <f t="shared" si="419"/>
        <v>0</v>
      </c>
      <c r="AR483" s="109">
        <f t="shared" si="420"/>
        <v>0</v>
      </c>
      <c r="AS483" s="109">
        <f t="shared" si="421"/>
        <v>0</v>
      </c>
      <c r="AT483" s="109">
        <f t="shared" si="422"/>
        <v>0</v>
      </c>
      <c r="AW483" s="144">
        <f>VLOOKUP(B483,'Cronog. e Histog.'!$B$213:$BT$688,71,0)</f>
        <v>0</v>
      </c>
      <c r="AX483" s="144">
        <f>VLOOKUP(B483,'Cronog. e Histog.'!$B$213:$BU$688,72,0)</f>
        <v>0</v>
      </c>
      <c r="AY483" s="144">
        <f>$AW483*$AX483*Dashboard!$D$15</f>
        <v>0</v>
      </c>
      <c r="AZ483" s="144">
        <f>VLOOKUP(B483,Precificação!$B$96:$BM$533,54,0)</f>
        <v>0</v>
      </c>
      <c r="BA483" s="144">
        <f>VLOOKUP(B483,Precificação!$B$96:$BR$533,58,0)</f>
        <v>0</v>
      </c>
      <c r="BB483" s="144">
        <f>VLOOKUP(B483,Precificação!$B$96:$BW$533,62,0)</f>
        <v>0</v>
      </c>
      <c r="BC483" s="144">
        <f t="shared" si="423"/>
        <v>0</v>
      </c>
      <c r="BD483" s="109">
        <f>IFERROR(VLOOKUP(B483,Precificação!$B$96:$S$533,13,0),0)</f>
        <v>0</v>
      </c>
      <c r="BE483" s="109">
        <f>IFERROR(VLOOKUP(B483,Precificação!$B$96:$U$533,15,0)/(Precificação!$U$4+Precificação!$U$91),0)*Dashboard!$T$3</f>
        <v>0</v>
      </c>
    </row>
    <row r="484" spans="2:57" ht="12" customHeight="1" outlineLevel="1">
      <c r="B484" s="137" t="str">
        <f>Precificação!B479</f>
        <v>AN SR. ADM/CRP - Equipe_01</v>
      </c>
      <c r="D484" s="512"/>
      <c r="E484" s="143" t="str">
        <f>IF('Cronog. e Histog.'!G630&gt;0,'Cronog. e Histog.'!G630,"")</f>
        <v>AN SR. ADM/CRP</v>
      </c>
      <c r="G484" s="179">
        <f t="shared" si="410"/>
        <v>0</v>
      </c>
      <c r="H484" s="110">
        <f>IFERROR(INDEX('Base Salarial'!$D$5:$F$25,MATCH(E484,'Base Salarial'!$G$5:$G$25,0),MATCH(I484,'Base Salarial'!$D$4:$F$4,0)),"")</f>
        <v>7000</v>
      </c>
      <c r="I484" s="78" t="str">
        <f>IFERROR(INDEX(Tarefas!$BQ$29:$FK$29,MATCH(E484,Tarefas!$BQ$30:$FK$30,0)),"")</f>
        <v>Mensalista</v>
      </c>
      <c r="J484" s="81">
        <f>IF(I484="horista",H484*Dashboard!$D$15,IF(OR(I484="Mensalista",I484="PJ"),H484,))</f>
        <v>7000</v>
      </c>
      <c r="K484" s="81">
        <f>IF(I484="PJ",J484,ROUND(J484*(1+Dashboard!$D$22),2))</f>
        <v>7420</v>
      </c>
      <c r="L484" s="77"/>
      <c r="M484" s="180"/>
      <c r="P484" s="109">
        <f>IF($BD484&gt;0,(((($BD484/Dashboard!$D$15)*(1+Precificação!$W$589)))+$P$26)*(1+Dashboard!$D$35),0)</f>
        <v>0</v>
      </c>
      <c r="Q484" s="109">
        <f>IF($BD484&gt;0,(((($BD484/Dashboard!$D$23)+(1+Precificação!$W$589))*(1+Q$28))+$P$26)*(1+Dashboard!$D$35),0)</f>
        <v>0</v>
      </c>
      <c r="R484" s="109">
        <f>IF($BD484&gt;0,(((($BD484/Dashboard!$D$23)+(1+Precificação!$W$589))*(1+R$28))+$P$26)*(1+Dashboard!$D$35),0)</f>
        <v>0</v>
      </c>
      <c r="S484" s="109">
        <f>IF($BD484&gt;0,(((($BD484/Dashboard!$D$23)+(1+Precificação!$W$589))*(1+S$28))+$P$26)*(1+Dashboard!$D$35),0)</f>
        <v>0</v>
      </c>
      <c r="U484" s="109">
        <f t="shared" si="411"/>
        <v>0</v>
      </c>
      <c r="V484" s="109">
        <f t="shared" si="412"/>
        <v>0</v>
      </c>
      <c r="W484" s="109">
        <f t="shared" si="413"/>
        <v>0</v>
      </c>
      <c r="X484" s="109">
        <f t="shared" si="414"/>
        <v>0</v>
      </c>
      <c r="AA484" s="109">
        <f>IF($BD484&gt;0,(((($BD484/Dashboard!$D$23)*(1+Precificação!$W$589)))+$AA$26)*(1+Dashboard!$D$35),0)</f>
        <v>0</v>
      </c>
      <c r="AB484" s="109">
        <f>IF($BD484&gt;0,(((($BD484/Dashboard!$D$23)*(1+Precificação!$W$589))*(1+AB$28))+$AA$26)*(1+Dashboard!$D$35),0)</f>
        <v>0</v>
      </c>
      <c r="AC484" s="109">
        <f>IF($BD484&gt;0,(((($BD484/Dashboard!$D$23)*(1+Precificação!$W$589))*(1+AC$28))+$AA$26)*(1+Dashboard!$D$35),0)</f>
        <v>0</v>
      </c>
      <c r="AD484" s="109">
        <f>IF($BD484&gt;0,(((($BD484/Dashboard!$D$23)*(1+Precificação!$W$589))*(1+AD$28))+$AA$26)*(1+Dashboard!$D$35),0)</f>
        <v>0</v>
      </c>
      <c r="AF484" s="109">
        <f t="shared" si="415"/>
        <v>0</v>
      </c>
      <c r="AG484" s="109">
        <f t="shared" si="416"/>
        <v>0</v>
      </c>
      <c r="AH484" s="109">
        <f t="shared" si="417"/>
        <v>0</v>
      </c>
      <c r="AI484" s="109">
        <f t="shared" si="418"/>
        <v>0</v>
      </c>
      <c r="AL484" s="109">
        <f>IF($BD484&gt;0,(((($BD484/Dashboard!$D$23)*(1+Precificação!$W$589)))+$AL$26)*(1+Dashboard!$D$35),0)</f>
        <v>0</v>
      </c>
      <c r="AM484" s="109">
        <f>IF($BD484&gt;0,(((($BD484/Dashboard!$D$23)*(1+Precificação!$W$589))*(1+AM$28))+$AA$26)*(1+Dashboard!$D$35),0)</f>
        <v>0</v>
      </c>
      <c r="AN484" s="109">
        <f>IF($BD484&gt;0,(((($BD484/Dashboard!$D$23)*(1+Precificação!$W$589))*(1+AN$28))+$AA$26)*(1+Dashboard!$D$35),0)</f>
        <v>0</v>
      </c>
      <c r="AO484" s="109">
        <f>IF($BD484&gt;0,(((($BD484/Dashboard!$D$23)*(1+Precificação!$W$589))*(1+AO$28))+$AA$26)*(1+Dashboard!$D$35),0)</f>
        <v>0</v>
      </c>
      <c r="AQ484" s="109">
        <f t="shared" si="419"/>
        <v>0</v>
      </c>
      <c r="AR484" s="109">
        <f t="shared" si="420"/>
        <v>0</v>
      </c>
      <c r="AS484" s="109">
        <f t="shared" si="421"/>
        <v>0</v>
      </c>
      <c r="AT484" s="109">
        <f t="shared" si="422"/>
        <v>0</v>
      </c>
      <c r="AW484" s="144">
        <f>VLOOKUP(B484,'Cronog. e Histog.'!$B$213:$BT$688,71,0)</f>
        <v>0</v>
      </c>
      <c r="AX484" s="144">
        <f>VLOOKUP(B484,'Cronog. e Histog.'!$B$213:$BU$688,72,0)</f>
        <v>0</v>
      </c>
      <c r="AY484" s="144">
        <f>$AW484*$AX484*Dashboard!$D$15</f>
        <v>0</v>
      </c>
      <c r="AZ484" s="144">
        <f>VLOOKUP(B484,Precificação!$B$96:$BM$533,54,0)</f>
        <v>0</v>
      </c>
      <c r="BA484" s="144">
        <f>VLOOKUP(B484,Precificação!$B$96:$BR$533,58,0)</f>
        <v>0</v>
      </c>
      <c r="BB484" s="144">
        <f>VLOOKUP(B484,Precificação!$B$96:$BW$533,62,0)</f>
        <v>0</v>
      </c>
      <c r="BC484" s="144">
        <f t="shared" si="423"/>
        <v>0</v>
      </c>
      <c r="BD484" s="109">
        <f>IFERROR(VLOOKUP(B484,Precificação!$B$96:$S$533,13,0),0)</f>
        <v>0</v>
      </c>
      <c r="BE484" s="109">
        <f>IFERROR(VLOOKUP(B484,Precificação!$B$96:$U$533,15,0)/(Precificação!$U$4+Precificação!$U$91),0)*Dashboard!$T$3</f>
        <v>0</v>
      </c>
    </row>
    <row r="485" spans="2:57" ht="12" customHeight="1" outlineLevel="1">
      <c r="B485" s="137" t="str">
        <f>Precificação!B480</f>
        <v>AN PL. ADM/CRP - Equipe_01</v>
      </c>
      <c r="D485" s="512"/>
      <c r="E485" s="143" t="str">
        <f>IF('Cronog. e Histog.'!G631&gt;0,'Cronog. e Histog.'!G631,"")</f>
        <v>AN PL. ADM/CRP</v>
      </c>
      <c r="G485" s="179">
        <f t="shared" si="410"/>
        <v>0</v>
      </c>
      <c r="H485" s="110">
        <f>IFERROR(INDEX('Base Salarial'!$D$5:$F$25,MATCH(E485,'Base Salarial'!$G$5:$G$25,0),MATCH(I485,'Base Salarial'!$D$4:$F$4,0)),"")</f>
        <v>5000</v>
      </c>
      <c r="I485" s="78" t="str">
        <f>IFERROR(INDEX(Tarefas!$BQ$29:$FK$29,MATCH(E485,Tarefas!$BQ$30:$FK$30,0)),"")</f>
        <v>Mensalista</v>
      </c>
      <c r="J485" s="81">
        <f>IF(I485="horista",H485*Dashboard!$D$15,IF(OR(I485="Mensalista",I485="PJ"),H485,))</f>
        <v>5000</v>
      </c>
      <c r="K485" s="81">
        <f>IF(I485="PJ",J485,ROUND(J485*(1+Dashboard!$D$22),2))</f>
        <v>5300</v>
      </c>
      <c r="L485" s="77"/>
      <c r="M485" s="180"/>
      <c r="P485" s="109">
        <f>IF($BD485&gt;0,(((($BD485/Dashboard!$D$15)*(1+Precificação!$W$589)))+$P$26)*(1+Dashboard!$D$35),0)</f>
        <v>0</v>
      </c>
      <c r="Q485" s="109">
        <f>IF($BD485&gt;0,(((($BD485/Dashboard!$D$23)+(1+Precificação!$W$589))*(1+Q$28))+$P$26)*(1+Dashboard!$D$35),0)</f>
        <v>0</v>
      </c>
      <c r="R485" s="109">
        <f>IF($BD485&gt;0,(((($BD485/Dashboard!$D$23)+(1+Precificação!$W$589))*(1+R$28))+$P$26)*(1+Dashboard!$D$35),0)</f>
        <v>0</v>
      </c>
      <c r="S485" s="109">
        <f>IF($BD485&gt;0,(((($BD485/Dashboard!$D$23)+(1+Precificação!$W$589))*(1+S$28))+$P$26)*(1+Dashboard!$D$35),0)</f>
        <v>0</v>
      </c>
      <c r="U485" s="109">
        <f t="shared" si="411"/>
        <v>0</v>
      </c>
      <c r="V485" s="109">
        <f t="shared" si="412"/>
        <v>0</v>
      </c>
      <c r="W485" s="109">
        <f t="shared" si="413"/>
        <v>0</v>
      </c>
      <c r="X485" s="109">
        <f t="shared" si="414"/>
        <v>0</v>
      </c>
      <c r="AA485" s="109">
        <f>IF($BD485&gt;0,(((($BD485/Dashboard!$D$23)*(1+Precificação!$W$589)))+$AA$26)*(1+Dashboard!$D$35),0)</f>
        <v>0</v>
      </c>
      <c r="AB485" s="109">
        <f>IF($BD485&gt;0,(((($BD485/Dashboard!$D$23)*(1+Precificação!$W$589))*(1+AB$28))+$AA$26)*(1+Dashboard!$D$35),0)</f>
        <v>0</v>
      </c>
      <c r="AC485" s="109">
        <f>IF($BD485&gt;0,(((($BD485/Dashboard!$D$23)*(1+Precificação!$W$589))*(1+AC$28))+$AA$26)*(1+Dashboard!$D$35),0)</f>
        <v>0</v>
      </c>
      <c r="AD485" s="109">
        <f>IF($BD485&gt;0,(((($BD485/Dashboard!$D$23)*(1+Precificação!$W$589))*(1+AD$28))+$AA$26)*(1+Dashboard!$D$35),0)</f>
        <v>0</v>
      </c>
      <c r="AF485" s="109">
        <f t="shared" si="415"/>
        <v>0</v>
      </c>
      <c r="AG485" s="109">
        <f t="shared" si="416"/>
        <v>0</v>
      </c>
      <c r="AH485" s="109">
        <f t="shared" si="417"/>
        <v>0</v>
      </c>
      <c r="AI485" s="109">
        <f t="shared" si="418"/>
        <v>0</v>
      </c>
      <c r="AL485" s="109">
        <f>IF($BD485&gt;0,(((($BD485/Dashboard!$D$23)*(1+Precificação!$W$589)))+$AL$26)*(1+Dashboard!$D$35),0)</f>
        <v>0</v>
      </c>
      <c r="AM485" s="109">
        <f>IF($BD485&gt;0,(((($BD485/Dashboard!$D$23)*(1+Precificação!$W$589))*(1+AM$28))+$AA$26)*(1+Dashboard!$D$35),0)</f>
        <v>0</v>
      </c>
      <c r="AN485" s="109">
        <f>IF($BD485&gt;0,(((($BD485/Dashboard!$D$23)*(1+Precificação!$W$589))*(1+AN$28))+$AA$26)*(1+Dashboard!$D$35),0)</f>
        <v>0</v>
      </c>
      <c r="AO485" s="109">
        <f>IF($BD485&gt;0,(((($BD485/Dashboard!$D$23)*(1+Precificação!$W$589))*(1+AO$28))+$AA$26)*(1+Dashboard!$D$35),0)</f>
        <v>0</v>
      </c>
      <c r="AQ485" s="109">
        <f t="shared" si="419"/>
        <v>0</v>
      </c>
      <c r="AR485" s="109">
        <f t="shared" si="420"/>
        <v>0</v>
      </c>
      <c r="AS485" s="109">
        <f t="shared" si="421"/>
        <v>0</v>
      </c>
      <c r="AT485" s="109">
        <f t="shared" si="422"/>
        <v>0</v>
      </c>
      <c r="AW485" s="144">
        <f>VLOOKUP(B485,'Cronog. e Histog.'!$B$213:$BT$688,71,0)</f>
        <v>0</v>
      </c>
      <c r="AX485" s="144">
        <f>VLOOKUP(B485,'Cronog. e Histog.'!$B$213:$BU$688,72,0)</f>
        <v>0</v>
      </c>
      <c r="AY485" s="144">
        <f>$AW485*$AX485*Dashboard!$D$15</f>
        <v>0</v>
      </c>
      <c r="AZ485" s="144">
        <f>VLOOKUP(B485,Precificação!$B$96:$BM$533,54,0)</f>
        <v>0</v>
      </c>
      <c r="BA485" s="144">
        <f>VLOOKUP(B485,Precificação!$B$96:$BR$533,58,0)</f>
        <v>0</v>
      </c>
      <c r="BB485" s="144">
        <f>VLOOKUP(B485,Precificação!$B$96:$BW$533,62,0)</f>
        <v>0</v>
      </c>
      <c r="BC485" s="144">
        <f t="shared" si="423"/>
        <v>0</v>
      </c>
      <c r="BD485" s="109">
        <f>IFERROR(VLOOKUP(B485,Precificação!$B$96:$S$533,13,0),0)</f>
        <v>0</v>
      </c>
      <c r="BE485" s="109">
        <f>IFERROR(VLOOKUP(B485,Precificação!$B$96:$U$533,15,0)/(Precificação!$U$4+Precificação!$U$91),0)*Dashboard!$T$3</f>
        <v>0</v>
      </c>
    </row>
    <row r="486" spans="2:57" ht="12" customHeight="1" outlineLevel="1">
      <c r="B486" s="137" t="str">
        <f>Precificação!B481</f>
        <v>AN JR. ADM/CRP - Equipe_01</v>
      </c>
      <c r="D486" s="512"/>
      <c r="E486" s="143" t="str">
        <f>IF('Cronog. e Histog.'!G632&gt;0,'Cronog. e Histog.'!G632,"")</f>
        <v>AN JR. ADM/CRP</v>
      </c>
      <c r="G486" s="179">
        <f t="shared" si="410"/>
        <v>0</v>
      </c>
      <c r="H486" s="110">
        <f>IFERROR(INDEX('Base Salarial'!$D$5:$F$25,MATCH(E486,'Base Salarial'!$G$5:$G$25,0),MATCH(I486,'Base Salarial'!$D$4:$F$4,0)),"")</f>
        <v>3500</v>
      </c>
      <c r="I486" s="78" t="str">
        <f>IFERROR(INDEX(Tarefas!$BQ$29:$FK$29,MATCH(E486,Tarefas!$BQ$30:$FK$30,0)),"")</f>
        <v>Mensalista</v>
      </c>
      <c r="J486" s="81">
        <f>IF(I486="horista",H486*Dashboard!$D$15,IF(OR(I486="Mensalista",I486="PJ"),H486,))</f>
        <v>3500</v>
      </c>
      <c r="K486" s="81">
        <f>IF(I486="PJ",J486,ROUND(J486*(1+Dashboard!$D$22),2))</f>
        <v>3710</v>
      </c>
      <c r="L486" s="77"/>
      <c r="M486" s="180"/>
      <c r="P486" s="109">
        <f>IF($BD486&gt;0,(((($BD486/Dashboard!$D$15)*(1+Precificação!$W$589)))+$P$26)*(1+Dashboard!$D$35),0)</f>
        <v>0</v>
      </c>
      <c r="Q486" s="109">
        <f>IF($BD486&gt;0,(((($BD486/Dashboard!$D$23)+(1+Precificação!$W$589))*(1+Q$28))+$P$26)*(1+Dashboard!$D$35),0)</f>
        <v>0</v>
      </c>
      <c r="R486" s="109">
        <f>IF($BD486&gt;0,(((($BD486/Dashboard!$D$23)+(1+Precificação!$W$589))*(1+R$28))+$P$26)*(1+Dashboard!$D$35),0)</f>
        <v>0</v>
      </c>
      <c r="S486" s="109">
        <f>IF($BD486&gt;0,(((($BD486/Dashboard!$D$23)+(1+Precificação!$W$589))*(1+S$28))+$P$26)*(1+Dashboard!$D$35),0)</f>
        <v>0</v>
      </c>
      <c r="U486" s="109">
        <f t="shared" si="411"/>
        <v>0</v>
      </c>
      <c r="V486" s="109">
        <f t="shared" si="412"/>
        <v>0</v>
      </c>
      <c r="W486" s="109">
        <f t="shared" si="413"/>
        <v>0</v>
      </c>
      <c r="X486" s="109">
        <f t="shared" si="414"/>
        <v>0</v>
      </c>
      <c r="AA486" s="109">
        <f>IF($BD486&gt;0,(((($BD486/Dashboard!$D$23)*(1+Precificação!$W$589)))+$AA$26)*(1+Dashboard!$D$35),0)</f>
        <v>0</v>
      </c>
      <c r="AB486" s="109">
        <f>IF($BD486&gt;0,(((($BD486/Dashboard!$D$23)*(1+Precificação!$W$589))*(1+AB$28))+$AA$26)*(1+Dashboard!$D$35),0)</f>
        <v>0</v>
      </c>
      <c r="AC486" s="109">
        <f>IF($BD486&gt;0,(((($BD486/Dashboard!$D$23)*(1+Precificação!$W$589))*(1+AC$28))+$AA$26)*(1+Dashboard!$D$35),0)</f>
        <v>0</v>
      </c>
      <c r="AD486" s="109">
        <f>IF($BD486&gt;0,(((($BD486/Dashboard!$D$23)*(1+Precificação!$W$589))*(1+AD$28))+$AA$26)*(1+Dashboard!$D$35),0)</f>
        <v>0</v>
      </c>
      <c r="AF486" s="109">
        <f t="shared" si="415"/>
        <v>0</v>
      </c>
      <c r="AG486" s="109">
        <f t="shared" si="416"/>
        <v>0</v>
      </c>
      <c r="AH486" s="109">
        <f t="shared" si="417"/>
        <v>0</v>
      </c>
      <c r="AI486" s="109">
        <f t="shared" si="418"/>
        <v>0</v>
      </c>
      <c r="AL486" s="109">
        <f>IF($BD486&gt;0,(((($BD486/Dashboard!$D$23)*(1+Precificação!$W$589)))+$AL$26)*(1+Dashboard!$D$35),0)</f>
        <v>0</v>
      </c>
      <c r="AM486" s="109">
        <f>IF($BD486&gt;0,(((($BD486/Dashboard!$D$23)*(1+Precificação!$W$589))*(1+AM$28))+$AA$26)*(1+Dashboard!$D$35),0)</f>
        <v>0</v>
      </c>
      <c r="AN486" s="109">
        <f>IF($BD486&gt;0,(((($BD486/Dashboard!$D$23)*(1+Precificação!$W$589))*(1+AN$28))+$AA$26)*(1+Dashboard!$D$35),0)</f>
        <v>0</v>
      </c>
      <c r="AO486" s="109">
        <f>IF($BD486&gt;0,(((($BD486/Dashboard!$D$23)*(1+Precificação!$W$589))*(1+AO$28))+$AA$26)*(1+Dashboard!$D$35),0)</f>
        <v>0</v>
      </c>
      <c r="AQ486" s="109">
        <f t="shared" si="419"/>
        <v>0</v>
      </c>
      <c r="AR486" s="109">
        <f t="shared" si="420"/>
        <v>0</v>
      </c>
      <c r="AS486" s="109">
        <f t="shared" si="421"/>
        <v>0</v>
      </c>
      <c r="AT486" s="109">
        <f t="shared" si="422"/>
        <v>0</v>
      </c>
      <c r="AW486" s="144">
        <f>VLOOKUP(B486,'Cronog. e Histog.'!$B$213:$BT$688,71,0)</f>
        <v>0</v>
      </c>
      <c r="AX486" s="144">
        <f>VLOOKUP(B486,'Cronog. e Histog.'!$B$213:$BU$688,72,0)</f>
        <v>0</v>
      </c>
      <c r="AY486" s="144">
        <f>$AW486*$AX486*Dashboard!$D$15</f>
        <v>0</v>
      </c>
      <c r="AZ486" s="144">
        <f>VLOOKUP(B486,Precificação!$B$96:$BM$533,54,0)</f>
        <v>0</v>
      </c>
      <c r="BA486" s="144">
        <f>VLOOKUP(B486,Precificação!$B$96:$BR$533,58,0)</f>
        <v>0</v>
      </c>
      <c r="BB486" s="144">
        <f>VLOOKUP(B486,Precificação!$B$96:$BW$533,62,0)</f>
        <v>0</v>
      </c>
      <c r="BC486" s="144">
        <f t="shared" si="423"/>
        <v>0</v>
      </c>
      <c r="BD486" s="109">
        <f>IFERROR(VLOOKUP(B486,Precificação!$B$96:$S$533,13,0),0)</f>
        <v>0</v>
      </c>
      <c r="BE486" s="109">
        <f>IFERROR(VLOOKUP(B486,Precificação!$B$96:$U$533,15,0)/(Precificação!$U$4+Precificação!$U$91),0)*Dashboard!$T$3</f>
        <v>0</v>
      </c>
    </row>
    <row r="487" spans="2:57" ht="12" customHeight="1" outlineLevel="1">
      <c r="B487" s="137" t="str">
        <f>Precificação!B482</f>
        <v>TEC III - Equipe_01</v>
      </c>
      <c r="D487" s="512"/>
      <c r="E487" s="143" t="str">
        <f>IF('Cronog. e Histog.'!G633&gt;0,'Cronog. e Histog.'!G633,"")</f>
        <v>TEC III</v>
      </c>
      <c r="G487" s="179">
        <f t="shared" si="410"/>
        <v>0</v>
      </c>
      <c r="H487" s="110">
        <f>IFERROR(INDEX('Base Salarial'!$D$5:$F$25,MATCH(E487,'Base Salarial'!$G$5:$G$25,0),MATCH(I487,'Base Salarial'!$D$4:$F$4,0)),"")</f>
        <v>6000</v>
      </c>
      <c r="I487" s="78" t="str">
        <f>IFERROR(INDEX(Tarefas!$BQ$29:$FK$29,MATCH(E487,Tarefas!$BQ$30:$FK$30,0)),"")</f>
        <v>Mensalista</v>
      </c>
      <c r="J487" s="81">
        <f>IF(I487="horista",H487*Dashboard!$D$15,IF(OR(I487="Mensalista",I487="PJ"),H487,))</f>
        <v>6000</v>
      </c>
      <c r="K487" s="81">
        <f>IF(I487="PJ",J487,ROUND(J487*(1+Dashboard!$D$22),2))</f>
        <v>6360</v>
      </c>
      <c r="L487" s="77"/>
      <c r="M487" s="180"/>
      <c r="P487" s="109">
        <f>IF($BD487&gt;0,(((($BD487/Dashboard!$D$15)*(1+Precificação!$W$589)))+$P$26)*(1+Dashboard!$D$35),0)</f>
        <v>0</v>
      </c>
      <c r="Q487" s="109">
        <f>IF($BD487&gt;0,(((($BD487/Dashboard!$D$23)+(1+Precificação!$W$589))*(1+Q$28))+$P$26)*(1+Dashboard!$D$35),0)</f>
        <v>0</v>
      </c>
      <c r="R487" s="109">
        <f>IF($BD487&gt;0,(((($BD487/Dashboard!$D$23)+(1+Precificação!$W$589))*(1+R$28))+$P$26)*(1+Dashboard!$D$35),0)</f>
        <v>0</v>
      </c>
      <c r="S487" s="109">
        <f>IF($BD487&gt;0,(((($BD487/Dashboard!$D$23)+(1+Precificação!$W$589))*(1+S$28))+$P$26)*(1+Dashboard!$D$35),0)</f>
        <v>0</v>
      </c>
      <c r="U487" s="109">
        <f t="shared" si="411"/>
        <v>0</v>
      </c>
      <c r="V487" s="109">
        <f t="shared" si="412"/>
        <v>0</v>
      </c>
      <c r="W487" s="109">
        <f t="shared" si="413"/>
        <v>0</v>
      </c>
      <c r="X487" s="109">
        <f t="shared" si="414"/>
        <v>0</v>
      </c>
      <c r="AA487" s="109">
        <f>IF($BD487&gt;0,(((($BD487/Dashboard!$D$23)*(1+Precificação!$W$589)))+$AA$26)*(1+Dashboard!$D$35),0)</f>
        <v>0</v>
      </c>
      <c r="AB487" s="109">
        <f>IF($BD487&gt;0,(((($BD487/Dashboard!$D$23)*(1+Precificação!$W$589))*(1+AB$28))+$AA$26)*(1+Dashboard!$D$35),0)</f>
        <v>0</v>
      </c>
      <c r="AC487" s="109">
        <f>IF($BD487&gt;0,(((($BD487/Dashboard!$D$23)*(1+Precificação!$W$589))*(1+AC$28))+$AA$26)*(1+Dashboard!$D$35),0)</f>
        <v>0</v>
      </c>
      <c r="AD487" s="109">
        <f>IF($BD487&gt;0,(((($BD487/Dashboard!$D$23)*(1+Precificação!$W$589))*(1+AD$28))+$AA$26)*(1+Dashboard!$D$35),0)</f>
        <v>0</v>
      </c>
      <c r="AF487" s="109">
        <f t="shared" si="415"/>
        <v>0</v>
      </c>
      <c r="AG487" s="109">
        <f t="shared" si="416"/>
        <v>0</v>
      </c>
      <c r="AH487" s="109">
        <f t="shared" si="417"/>
        <v>0</v>
      </c>
      <c r="AI487" s="109">
        <f t="shared" si="418"/>
        <v>0</v>
      </c>
      <c r="AL487" s="109">
        <f>IF($BD487&gt;0,(((($BD487/Dashboard!$D$23)*(1+Precificação!$W$589)))+$AL$26)*(1+Dashboard!$D$35),0)</f>
        <v>0</v>
      </c>
      <c r="AM487" s="109">
        <f>IF($BD487&gt;0,(((($BD487/Dashboard!$D$23)*(1+Precificação!$W$589))*(1+AM$28))+$AA$26)*(1+Dashboard!$D$35),0)</f>
        <v>0</v>
      </c>
      <c r="AN487" s="109">
        <f>IF($BD487&gt;0,(((($BD487/Dashboard!$D$23)*(1+Precificação!$W$589))*(1+AN$28))+$AA$26)*(1+Dashboard!$D$35),0)</f>
        <v>0</v>
      </c>
      <c r="AO487" s="109">
        <f>IF($BD487&gt;0,(((($BD487/Dashboard!$D$23)*(1+Precificação!$W$589))*(1+AO$28))+$AA$26)*(1+Dashboard!$D$35),0)</f>
        <v>0</v>
      </c>
      <c r="AQ487" s="109">
        <f t="shared" si="419"/>
        <v>0</v>
      </c>
      <c r="AR487" s="109">
        <f t="shared" si="420"/>
        <v>0</v>
      </c>
      <c r="AS487" s="109">
        <f t="shared" si="421"/>
        <v>0</v>
      </c>
      <c r="AT487" s="109">
        <f t="shared" si="422"/>
        <v>0</v>
      </c>
      <c r="AW487" s="144">
        <f>VLOOKUP(B487,'Cronog. e Histog.'!$B$213:$BT$688,71,0)</f>
        <v>0</v>
      </c>
      <c r="AX487" s="144">
        <f>VLOOKUP(B487,'Cronog. e Histog.'!$B$213:$BU$688,72,0)</f>
        <v>0</v>
      </c>
      <c r="AY487" s="144">
        <f>$AW487*$AX487*Dashboard!$D$15</f>
        <v>0</v>
      </c>
      <c r="AZ487" s="144">
        <f>VLOOKUP(B487,Precificação!$B$96:$BM$533,54,0)</f>
        <v>0</v>
      </c>
      <c r="BA487" s="144">
        <f>VLOOKUP(B487,Precificação!$B$96:$BR$533,58,0)</f>
        <v>0</v>
      </c>
      <c r="BB487" s="144">
        <f>VLOOKUP(B487,Precificação!$B$96:$BW$533,62,0)</f>
        <v>0</v>
      </c>
      <c r="BC487" s="144">
        <f t="shared" si="423"/>
        <v>0</v>
      </c>
      <c r="BD487" s="109">
        <f>IFERROR(VLOOKUP(B487,Precificação!$B$96:$S$533,13,0),0)</f>
        <v>0</v>
      </c>
      <c r="BE487" s="109">
        <f>IFERROR(VLOOKUP(B487,Precificação!$B$96:$U$533,15,0)/(Precificação!$U$4+Precificação!$U$91),0)*Dashboard!$T$3</f>
        <v>0</v>
      </c>
    </row>
    <row r="488" spans="2:57" ht="12" customHeight="1" outlineLevel="1">
      <c r="B488" s="137" t="str">
        <f>Precificação!B483</f>
        <v>TEC II - Equipe_01</v>
      </c>
      <c r="D488" s="512"/>
      <c r="E488" s="143" t="str">
        <f>IF('Cronog. e Histog.'!G634&gt;0,'Cronog. e Histog.'!G634,"")</f>
        <v>TEC II</v>
      </c>
      <c r="G488" s="179">
        <f t="shared" si="410"/>
        <v>0</v>
      </c>
      <c r="H488" s="110">
        <f>IFERROR(INDEX('Base Salarial'!$D$5:$F$25,MATCH(E488,'Base Salarial'!$G$5:$G$25,0),MATCH(I488,'Base Salarial'!$D$4:$F$4,0)),"")</f>
        <v>4500</v>
      </c>
      <c r="I488" s="78" t="str">
        <f>IFERROR(INDEX(Tarefas!$BQ$29:$FK$29,MATCH(E488,Tarefas!$BQ$30:$FK$30,0)),"")</f>
        <v>Mensalista</v>
      </c>
      <c r="J488" s="81">
        <f>IF(I488="horista",H488*Dashboard!$D$15,IF(OR(I488="Mensalista",I488="PJ"),H488,))</f>
        <v>4500</v>
      </c>
      <c r="K488" s="81">
        <f>IF(I488="PJ",J488,ROUND(J488*(1+Dashboard!$D$22),2))</f>
        <v>4770</v>
      </c>
      <c r="L488" s="77"/>
      <c r="M488" s="180"/>
      <c r="P488" s="109">
        <f>IF($BD488&gt;0,(((($BD488/Dashboard!$D$15)*(1+Precificação!$W$589)))+$P$26)*(1+Dashboard!$D$35),0)</f>
        <v>0</v>
      </c>
      <c r="Q488" s="109">
        <f>IF($BD488&gt;0,(((($BD488/Dashboard!$D$23)+(1+Precificação!$W$589))*(1+Q$28))+$P$26)*(1+Dashboard!$D$35),0)</f>
        <v>0</v>
      </c>
      <c r="R488" s="109">
        <f>IF($BD488&gt;0,(((($BD488/Dashboard!$D$23)+(1+Precificação!$W$589))*(1+R$28))+$P$26)*(1+Dashboard!$D$35),0)</f>
        <v>0</v>
      </c>
      <c r="S488" s="109">
        <f>IF($BD488&gt;0,(((($BD488/Dashboard!$D$23)+(1+Precificação!$W$589))*(1+S$28))+$P$26)*(1+Dashboard!$D$35),0)</f>
        <v>0</v>
      </c>
      <c r="U488" s="109">
        <f t="shared" si="411"/>
        <v>0</v>
      </c>
      <c r="V488" s="109">
        <f t="shared" si="412"/>
        <v>0</v>
      </c>
      <c r="W488" s="109">
        <f t="shared" si="413"/>
        <v>0</v>
      </c>
      <c r="X488" s="109">
        <f t="shared" si="414"/>
        <v>0</v>
      </c>
      <c r="AA488" s="109">
        <f>IF($BD488&gt;0,(((($BD488/Dashboard!$D$23)*(1+Precificação!$W$589)))+$AA$26)*(1+Dashboard!$D$35),0)</f>
        <v>0</v>
      </c>
      <c r="AB488" s="109">
        <f>IF($BD488&gt;0,(((($BD488/Dashboard!$D$23)*(1+Precificação!$W$589))*(1+AB$28))+$AA$26)*(1+Dashboard!$D$35),0)</f>
        <v>0</v>
      </c>
      <c r="AC488" s="109">
        <f>IF($BD488&gt;0,(((($BD488/Dashboard!$D$23)*(1+Precificação!$W$589))*(1+AC$28))+$AA$26)*(1+Dashboard!$D$35),0)</f>
        <v>0</v>
      </c>
      <c r="AD488" s="109">
        <f>IF($BD488&gt;0,(((($BD488/Dashboard!$D$23)*(1+Precificação!$W$589))*(1+AD$28))+$AA$26)*(1+Dashboard!$D$35),0)</f>
        <v>0</v>
      </c>
      <c r="AF488" s="109">
        <f t="shared" si="415"/>
        <v>0</v>
      </c>
      <c r="AG488" s="109">
        <f t="shared" si="416"/>
        <v>0</v>
      </c>
      <c r="AH488" s="109">
        <f t="shared" si="417"/>
        <v>0</v>
      </c>
      <c r="AI488" s="109">
        <f t="shared" si="418"/>
        <v>0</v>
      </c>
      <c r="AL488" s="109">
        <f>IF($BD488&gt;0,(((($BD488/Dashboard!$D$23)*(1+Precificação!$W$589)))+$AL$26)*(1+Dashboard!$D$35),0)</f>
        <v>0</v>
      </c>
      <c r="AM488" s="109">
        <f>IF($BD488&gt;0,(((($BD488/Dashboard!$D$23)*(1+Precificação!$W$589))*(1+AM$28))+$AA$26)*(1+Dashboard!$D$35),0)</f>
        <v>0</v>
      </c>
      <c r="AN488" s="109">
        <f>IF($BD488&gt;0,(((($BD488/Dashboard!$D$23)*(1+Precificação!$W$589))*(1+AN$28))+$AA$26)*(1+Dashboard!$D$35),0)</f>
        <v>0</v>
      </c>
      <c r="AO488" s="109">
        <f>IF($BD488&gt;0,(((($BD488/Dashboard!$D$23)*(1+Precificação!$W$589))*(1+AO$28))+$AA$26)*(1+Dashboard!$D$35),0)</f>
        <v>0</v>
      </c>
      <c r="AQ488" s="109">
        <f t="shared" si="419"/>
        <v>0</v>
      </c>
      <c r="AR488" s="109">
        <f t="shared" si="420"/>
        <v>0</v>
      </c>
      <c r="AS488" s="109">
        <f t="shared" si="421"/>
        <v>0</v>
      </c>
      <c r="AT488" s="109">
        <f t="shared" si="422"/>
        <v>0</v>
      </c>
      <c r="AW488" s="144">
        <f>VLOOKUP(B488,'Cronog. e Histog.'!$B$213:$BT$688,71,0)</f>
        <v>0</v>
      </c>
      <c r="AX488" s="144">
        <f>VLOOKUP(B488,'Cronog. e Histog.'!$B$213:$BU$688,72,0)</f>
        <v>0</v>
      </c>
      <c r="AY488" s="144">
        <f>$AW488*$AX488*Dashboard!$D$15</f>
        <v>0</v>
      </c>
      <c r="AZ488" s="144">
        <f>VLOOKUP(B488,Precificação!$B$96:$BM$533,54,0)</f>
        <v>0</v>
      </c>
      <c r="BA488" s="144">
        <f>VLOOKUP(B488,Precificação!$B$96:$BR$533,58,0)</f>
        <v>0</v>
      </c>
      <c r="BB488" s="144">
        <f>VLOOKUP(B488,Precificação!$B$96:$BW$533,62,0)</f>
        <v>0</v>
      </c>
      <c r="BC488" s="144">
        <f t="shared" si="423"/>
        <v>0</v>
      </c>
      <c r="BD488" s="109">
        <f>IFERROR(VLOOKUP(B488,Precificação!$B$96:$S$533,13,0),0)</f>
        <v>0</v>
      </c>
      <c r="BE488" s="109">
        <f>IFERROR(VLOOKUP(B488,Precificação!$B$96:$U$533,15,0)/(Precificação!$U$4+Precificação!$U$91),0)*Dashboard!$T$3</f>
        <v>0</v>
      </c>
    </row>
    <row r="489" spans="2:57" ht="12" customHeight="1" outlineLevel="1">
      <c r="B489" s="137" t="str">
        <f>Precificação!B484</f>
        <v>TEC I - Equipe_01</v>
      </c>
      <c r="D489" s="512"/>
      <c r="E489" s="143" t="str">
        <f>IF('Cronog. e Histog.'!G635&gt;0,'Cronog. e Histog.'!G635,"")</f>
        <v>TEC I</v>
      </c>
      <c r="G489" s="179">
        <f t="shared" si="410"/>
        <v>0</v>
      </c>
      <c r="H489" s="110">
        <f>IFERROR(INDEX('Base Salarial'!$D$5:$F$25,MATCH(E489,'Base Salarial'!$G$5:$G$25,0),MATCH(I489,'Base Salarial'!$D$4:$F$4,0)),"")</f>
        <v>3000</v>
      </c>
      <c r="I489" s="78" t="str">
        <f>IFERROR(INDEX(Tarefas!$BQ$29:$FK$29,MATCH(E489,Tarefas!$BQ$30:$FK$30,0)),"")</f>
        <v>Mensalista</v>
      </c>
      <c r="J489" s="81">
        <f>IF(I489="horista",H489*Dashboard!$D$15,IF(OR(I489="Mensalista",I489="PJ"),H489,))</f>
        <v>3000</v>
      </c>
      <c r="K489" s="81">
        <f>IF(I489="PJ",J489,ROUND(J489*(1+Dashboard!$D$22),2))</f>
        <v>3180</v>
      </c>
      <c r="L489" s="77"/>
      <c r="M489" s="180"/>
      <c r="P489" s="109">
        <f>IF($BD489&gt;0,(((($BD489/Dashboard!$D$15)*(1+Precificação!$W$589)))+$P$26)*(1+Dashboard!$D$35),0)</f>
        <v>0</v>
      </c>
      <c r="Q489" s="109">
        <f>IF($BD489&gt;0,(((($BD489/Dashboard!$D$23)+(1+Precificação!$W$589))*(1+Q$28))+$P$26)*(1+Dashboard!$D$35),0)</f>
        <v>0</v>
      </c>
      <c r="R489" s="109">
        <f>IF($BD489&gt;0,(((($BD489/Dashboard!$D$23)+(1+Precificação!$W$589))*(1+R$28))+$P$26)*(1+Dashboard!$D$35),0)</f>
        <v>0</v>
      </c>
      <c r="S489" s="109">
        <f>IF($BD489&gt;0,(((($BD489/Dashboard!$D$23)+(1+Precificação!$W$589))*(1+S$28))+$P$26)*(1+Dashboard!$D$35),0)</f>
        <v>0</v>
      </c>
      <c r="U489" s="109">
        <f t="shared" si="411"/>
        <v>0</v>
      </c>
      <c r="V489" s="109">
        <f t="shared" si="412"/>
        <v>0</v>
      </c>
      <c r="W489" s="109">
        <f t="shared" si="413"/>
        <v>0</v>
      </c>
      <c r="X489" s="109">
        <f t="shared" si="414"/>
        <v>0</v>
      </c>
      <c r="AA489" s="109">
        <f>IF($BD489&gt;0,(((($BD489/Dashboard!$D$23)*(1+Precificação!$W$589)))+$AA$26)*(1+Dashboard!$D$35),0)</f>
        <v>0</v>
      </c>
      <c r="AB489" s="109">
        <f>IF($BD489&gt;0,(((($BD489/Dashboard!$D$23)*(1+Precificação!$W$589))*(1+AB$28))+$AA$26)*(1+Dashboard!$D$35),0)</f>
        <v>0</v>
      </c>
      <c r="AC489" s="109">
        <f>IF($BD489&gt;0,(((($BD489/Dashboard!$D$23)*(1+Precificação!$W$589))*(1+AC$28))+$AA$26)*(1+Dashboard!$D$35),0)</f>
        <v>0</v>
      </c>
      <c r="AD489" s="109">
        <f>IF($BD489&gt;0,(((($BD489/Dashboard!$D$23)*(1+Precificação!$W$589))*(1+AD$28))+$AA$26)*(1+Dashboard!$D$35),0)</f>
        <v>0</v>
      </c>
      <c r="AF489" s="109">
        <f t="shared" si="415"/>
        <v>0</v>
      </c>
      <c r="AG489" s="109">
        <f t="shared" si="416"/>
        <v>0</v>
      </c>
      <c r="AH489" s="109">
        <f t="shared" si="417"/>
        <v>0</v>
      </c>
      <c r="AI489" s="109">
        <f t="shared" si="418"/>
        <v>0</v>
      </c>
      <c r="AL489" s="109">
        <f>IF($BD489&gt;0,(((($BD489/Dashboard!$D$23)*(1+Precificação!$W$589)))+$AL$26)*(1+Dashboard!$D$35),0)</f>
        <v>0</v>
      </c>
      <c r="AM489" s="109">
        <f>IF($BD489&gt;0,(((($BD489/Dashboard!$D$23)*(1+Precificação!$W$589))*(1+AM$28))+$AA$26)*(1+Dashboard!$D$35),0)</f>
        <v>0</v>
      </c>
      <c r="AN489" s="109">
        <f>IF($BD489&gt;0,(((($BD489/Dashboard!$D$23)*(1+Precificação!$W$589))*(1+AN$28))+$AA$26)*(1+Dashboard!$D$35),0)</f>
        <v>0</v>
      </c>
      <c r="AO489" s="109">
        <f>IF($BD489&gt;0,(((($BD489/Dashboard!$D$23)*(1+Precificação!$W$589))*(1+AO$28))+$AA$26)*(1+Dashboard!$D$35),0)</f>
        <v>0</v>
      </c>
      <c r="AQ489" s="109">
        <f t="shared" si="419"/>
        <v>0</v>
      </c>
      <c r="AR489" s="109">
        <f t="shared" si="420"/>
        <v>0</v>
      </c>
      <c r="AS489" s="109">
        <f t="shared" si="421"/>
        <v>0</v>
      </c>
      <c r="AT489" s="109">
        <f t="shared" si="422"/>
        <v>0</v>
      </c>
      <c r="AW489" s="144">
        <f>VLOOKUP(B489,'Cronog. e Histog.'!$B$213:$BT$688,71,0)</f>
        <v>0</v>
      </c>
      <c r="AX489" s="144">
        <f>VLOOKUP(B489,'Cronog. e Histog.'!$B$213:$BU$688,72,0)</f>
        <v>0</v>
      </c>
      <c r="AY489" s="144">
        <f>$AW489*$AX489*Dashboard!$D$15</f>
        <v>0</v>
      </c>
      <c r="AZ489" s="144">
        <f>VLOOKUP(B489,Precificação!$B$96:$BM$533,54,0)</f>
        <v>0</v>
      </c>
      <c r="BA489" s="144">
        <f>VLOOKUP(B489,Precificação!$B$96:$BR$533,58,0)</f>
        <v>0</v>
      </c>
      <c r="BB489" s="144">
        <f>VLOOKUP(B489,Precificação!$B$96:$BW$533,62,0)</f>
        <v>0</v>
      </c>
      <c r="BC489" s="144">
        <f t="shared" si="423"/>
        <v>0</v>
      </c>
      <c r="BD489" s="109">
        <f>IFERROR(VLOOKUP(B489,Precificação!$B$96:$S$533,13,0),0)</f>
        <v>0</v>
      </c>
      <c r="BE489" s="109">
        <f>IFERROR(VLOOKUP(B489,Precificação!$B$96:$U$533,15,0)/(Precificação!$U$4+Precificação!$U$91),0)*Dashboard!$T$3</f>
        <v>0</v>
      </c>
    </row>
    <row r="490" spans="2:57" ht="12" customHeight="1" outlineLevel="1">
      <c r="B490" s="137" t="str">
        <f>Precificação!B485</f>
        <v>AUX TEC - Equipe_01</v>
      </c>
      <c r="D490" s="512"/>
      <c r="E490" s="143" t="str">
        <f>IF('Cronog. e Histog.'!G636&gt;0,'Cronog. e Histog.'!G636,"")</f>
        <v>AUX TEC</v>
      </c>
      <c r="G490" s="179">
        <f t="shared" si="410"/>
        <v>0</v>
      </c>
      <c r="H490" s="110">
        <f>IFERROR(INDEX('Base Salarial'!$D$5:$F$25,MATCH(E490,'Base Salarial'!$G$5:$G$25,0),MATCH(I490,'Base Salarial'!$D$4:$F$4,0)),"")</f>
        <v>3500</v>
      </c>
      <c r="I490" s="78" t="str">
        <f>IFERROR(INDEX(Tarefas!$BQ$29:$FK$29,MATCH(E490,Tarefas!$BQ$30:$FK$30,0)),"")</f>
        <v>Mensalista</v>
      </c>
      <c r="J490" s="81">
        <f>IF(I490="horista",H490*Dashboard!$D$15,IF(OR(I490="Mensalista",I490="PJ"),H490,))</f>
        <v>3500</v>
      </c>
      <c r="K490" s="81">
        <f>IF(I490="PJ",J490,ROUND(J490*(1+Dashboard!$D$22),2))</f>
        <v>3710</v>
      </c>
      <c r="L490" s="77"/>
      <c r="M490" s="180"/>
      <c r="P490" s="109">
        <f>IF($BD490&gt;0,(((($BD490/Dashboard!$D$15)*(1+Precificação!$W$589)))+$P$26)*(1+Dashboard!$D$35),0)</f>
        <v>0</v>
      </c>
      <c r="Q490" s="109">
        <f>IF($BD490&gt;0,(((($BD490/Dashboard!$D$23)+(1+Precificação!$W$589))*(1+Q$28))+$P$26)*(1+Dashboard!$D$35),0)</f>
        <v>0</v>
      </c>
      <c r="R490" s="109">
        <f>IF($BD490&gt;0,(((($BD490/Dashboard!$D$23)+(1+Precificação!$W$589))*(1+R$28))+$P$26)*(1+Dashboard!$D$35),0)</f>
        <v>0</v>
      </c>
      <c r="S490" s="109">
        <f>IF($BD490&gt;0,(((($BD490/Dashboard!$D$23)+(1+Precificação!$W$589))*(1+S$28))+$P$26)*(1+Dashboard!$D$35),0)</f>
        <v>0</v>
      </c>
      <c r="U490" s="109">
        <f t="shared" si="411"/>
        <v>0</v>
      </c>
      <c r="V490" s="109">
        <f t="shared" si="412"/>
        <v>0</v>
      </c>
      <c r="W490" s="109">
        <f t="shared" si="413"/>
        <v>0</v>
      </c>
      <c r="X490" s="109">
        <f t="shared" si="414"/>
        <v>0</v>
      </c>
      <c r="AA490" s="109">
        <f>IF($BD490&gt;0,(((($BD490/Dashboard!$D$23)*(1+Precificação!$W$589)))+$AA$26)*(1+Dashboard!$D$35),0)</f>
        <v>0</v>
      </c>
      <c r="AB490" s="109">
        <f>IF($BD490&gt;0,(((($BD490/Dashboard!$D$23)*(1+Precificação!$W$589))*(1+AB$28))+$AA$26)*(1+Dashboard!$D$35),0)</f>
        <v>0</v>
      </c>
      <c r="AC490" s="109">
        <f>IF($BD490&gt;0,(((($BD490/Dashboard!$D$23)*(1+Precificação!$W$589))*(1+AC$28))+$AA$26)*(1+Dashboard!$D$35),0)</f>
        <v>0</v>
      </c>
      <c r="AD490" s="109">
        <f>IF($BD490&gt;0,(((($BD490/Dashboard!$D$23)*(1+Precificação!$W$589))*(1+AD$28))+$AA$26)*(1+Dashboard!$D$35),0)</f>
        <v>0</v>
      </c>
      <c r="AF490" s="109">
        <f t="shared" si="415"/>
        <v>0</v>
      </c>
      <c r="AG490" s="109">
        <f t="shared" si="416"/>
        <v>0</v>
      </c>
      <c r="AH490" s="109">
        <f t="shared" si="417"/>
        <v>0</v>
      </c>
      <c r="AI490" s="109">
        <f t="shared" si="418"/>
        <v>0</v>
      </c>
      <c r="AL490" s="109">
        <f>IF($BD490&gt;0,(((($BD490/Dashboard!$D$23)*(1+Precificação!$W$589)))+$AL$26)*(1+Dashboard!$D$35),0)</f>
        <v>0</v>
      </c>
      <c r="AM490" s="109">
        <f>IF($BD490&gt;0,(((($BD490/Dashboard!$D$23)*(1+Precificação!$W$589))*(1+AM$28))+$AA$26)*(1+Dashboard!$D$35),0)</f>
        <v>0</v>
      </c>
      <c r="AN490" s="109">
        <f>IF($BD490&gt;0,(((($BD490/Dashboard!$D$23)*(1+Precificação!$W$589))*(1+AN$28))+$AA$26)*(1+Dashboard!$D$35),0)</f>
        <v>0</v>
      </c>
      <c r="AO490" s="109">
        <f>IF($BD490&gt;0,(((($BD490/Dashboard!$D$23)*(1+Precificação!$W$589))*(1+AO$28))+$AA$26)*(1+Dashboard!$D$35),0)</f>
        <v>0</v>
      </c>
      <c r="AQ490" s="109">
        <f t="shared" si="419"/>
        <v>0</v>
      </c>
      <c r="AR490" s="109">
        <f t="shared" si="420"/>
        <v>0</v>
      </c>
      <c r="AS490" s="109">
        <f t="shared" si="421"/>
        <v>0</v>
      </c>
      <c r="AT490" s="109">
        <f t="shared" si="422"/>
        <v>0</v>
      </c>
      <c r="AW490" s="144">
        <f>VLOOKUP(B490,'Cronog. e Histog.'!$B$213:$BT$688,71,0)</f>
        <v>0</v>
      </c>
      <c r="AX490" s="144">
        <f>VLOOKUP(B490,'Cronog. e Histog.'!$B$213:$BU$688,72,0)</f>
        <v>0</v>
      </c>
      <c r="AY490" s="144">
        <f>$AW490*$AX490*Dashboard!$D$15</f>
        <v>0</v>
      </c>
      <c r="AZ490" s="144">
        <f>VLOOKUP(B490,Precificação!$B$96:$BM$533,54,0)</f>
        <v>0</v>
      </c>
      <c r="BA490" s="144">
        <f>VLOOKUP(B490,Precificação!$B$96:$BR$533,58,0)</f>
        <v>0</v>
      </c>
      <c r="BB490" s="144">
        <f>VLOOKUP(B490,Precificação!$B$96:$BW$533,62,0)</f>
        <v>0</v>
      </c>
      <c r="BC490" s="144">
        <f t="shared" si="423"/>
        <v>0</v>
      </c>
      <c r="BD490" s="109">
        <f>IFERROR(VLOOKUP(B490,Precificação!$B$96:$S$533,13,0),0)</f>
        <v>0</v>
      </c>
      <c r="BE490" s="109">
        <f>IFERROR(VLOOKUP(B490,Precificação!$B$96:$U$533,15,0)/(Precificação!$U$4+Precificação!$U$91),0)*Dashboard!$T$3</f>
        <v>0</v>
      </c>
    </row>
    <row r="491" spans="2:57" ht="12" customHeight="1" outlineLevel="1">
      <c r="B491" s="137" t="str">
        <f>Precificação!B486</f>
        <v>AUX ADM - Equipe_01</v>
      </c>
      <c r="D491" s="512"/>
      <c r="E491" s="143" t="str">
        <f>IF('Cronog. e Histog.'!G637&gt;0,'Cronog. e Histog.'!G637,"")</f>
        <v>AUX ADM</v>
      </c>
      <c r="G491" s="179">
        <f t="shared" si="410"/>
        <v>0</v>
      </c>
      <c r="H491" s="110">
        <f>IFERROR(INDEX('Base Salarial'!$D$5:$F$25,MATCH(E491,'Base Salarial'!$G$5:$G$25,0),MATCH(I491,'Base Salarial'!$D$4:$F$4,0)),"")</f>
        <v>1804</v>
      </c>
      <c r="I491" s="78" t="str">
        <f>IFERROR(INDEX(Tarefas!$BQ$29:$FK$29,MATCH(E491,Tarefas!$BQ$30:$FK$30,0)),"")</f>
        <v>Mensalista</v>
      </c>
      <c r="J491" s="81">
        <f>IF(I491="horista",H491*Dashboard!$D$15,IF(OR(I491="Mensalista",I491="PJ"),H491,))</f>
        <v>1804</v>
      </c>
      <c r="K491" s="81">
        <f>IF(I491="PJ",J491,ROUND(J491*(1+Dashboard!$D$22),2))</f>
        <v>1912.24</v>
      </c>
      <c r="L491" s="77"/>
      <c r="M491" s="180"/>
      <c r="P491" s="109">
        <f>IF($BD491&gt;0,(((($BD491/Dashboard!$D$15)*(1+Precificação!$W$589)))+$P$26)*(1+Dashboard!$D$35),0)</f>
        <v>0</v>
      </c>
      <c r="Q491" s="109">
        <f>IF($BD491&gt;0,(((($BD491/Dashboard!$D$23)+(1+Precificação!$W$589))*(1+Q$28))+$P$26)*(1+Dashboard!$D$35),0)</f>
        <v>0</v>
      </c>
      <c r="R491" s="109">
        <f>IF($BD491&gt;0,(((($BD491/Dashboard!$D$23)+(1+Precificação!$W$589))*(1+R$28))+$P$26)*(1+Dashboard!$D$35),0)</f>
        <v>0</v>
      </c>
      <c r="S491" s="109">
        <f>IF($BD491&gt;0,(((($BD491/Dashboard!$D$23)+(1+Precificação!$W$589))*(1+S$28))+$P$26)*(1+Dashboard!$D$35),0)</f>
        <v>0</v>
      </c>
      <c r="U491" s="109">
        <f t="shared" si="411"/>
        <v>0</v>
      </c>
      <c r="V491" s="109">
        <f t="shared" si="412"/>
        <v>0</v>
      </c>
      <c r="W491" s="109">
        <f t="shared" si="413"/>
        <v>0</v>
      </c>
      <c r="X491" s="109">
        <f t="shared" si="414"/>
        <v>0</v>
      </c>
      <c r="AA491" s="109">
        <f>IF($BD491&gt;0,(((($BD491/Dashboard!$D$23)*(1+Precificação!$W$589)))+$AA$26)*(1+Dashboard!$D$35),0)</f>
        <v>0</v>
      </c>
      <c r="AB491" s="109">
        <f>IF($BD491&gt;0,(((($BD491/Dashboard!$D$23)*(1+Precificação!$W$589))*(1+AB$28))+$AA$26)*(1+Dashboard!$D$35),0)</f>
        <v>0</v>
      </c>
      <c r="AC491" s="109">
        <f>IF($BD491&gt;0,(((($BD491/Dashboard!$D$23)*(1+Precificação!$W$589))*(1+AC$28))+$AA$26)*(1+Dashboard!$D$35),0)</f>
        <v>0</v>
      </c>
      <c r="AD491" s="109">
        <f>IF($BD491&gt;0,(((($BD491/Dashboard!$D$23)*(1+Precificação!$W$589))*(1+AD$28))+$AA$26)*(1+Dashboard!$D$35),0)</f>
        <v>0</v>
      </c>
      <c r="AF491" s="109">
        <f t="shared" si="415"/>
        <v>0</v>
      </c>
      <c r="AG491" s="109">
        <f t="shared" si="416"/>
        <v>0</v>
      </c>
      <c r="AH491" s="109">
        <f t="shared" si="417"/>
        <v>0</v>
      </c>
      <c r="AI491" s="109">
        <f t="shared" si="418"/>
        <v>0</v>
      </c>
      <c r="AL491" s="109">
        <f>IF($BD491&gt;0,(((($BD491/Dashboard!$D$23)*(1+Precificação!$W$589)))+$AL$26)*(1+Dashboard!$D$35),0)</f>
        <v>0</v>
      </c>
      <c r="AM491" s="109">
        <f>IF($BD491&gt;0,(((($BD491/Dashboard!$D$23)*(1+Precificação!$W$589))*(1+AM$28))+$AA$26)*(1+Dashboard!$D$35),0)</f>
        <v>0</v>
      </c>
      <c r="AN491" s="109">
        <f>IF($BD491&gt;0,(((($BD491/Dashboard!$D$23)*(1+Precificação!$W$589))*(1+AN$28))+$AA$26)*(1+Dashboard!$D$35),0)</f>
        <v>0</v>
      </c>
      <c r="AO491" s="109">
        <f>IF($BD491&gt;0,(((($BD491/Dashboard!$D$23)*(1+Precificação!$W$589))*(1+AO$28))+$AA$26)*(1+Dashboard!$D$35),0)</f>
        <v>0</v>
      </c>
      <c r="AQ491" s="109">
        <f t="shared" si="419"/>
        <v>0</v>
      </c>
      <c r="AR491" s="109">
        <f t="shared" si="420"/>
        <v>0</v>
      </c>
      <c r="AS491" s="109">
        <f t="shared" si="421"/>
        <v>0</v>
      </c>
      <c r="AT491" s="109">
        <f t="shared" si="422"/>
        <v>0</v>
      </c>
      <c r="AW491" s="144">
        <f>VLOOKUP(B491,'Cronog. e Histog.'!$B$213:$BT$688,71,0)</f>
        <v>0</v>
      </c>
      <c r="AX491" s="144">
        <f>VLOOKUP(B491,'Cronog. e Histog.'!$B$213:$BU$688,72,0)</f>
        <v>0</v>
      </c>
      <c r="AY491" s="144">
        <f>$AW491*$AX491*Dashboard!$D$15</f>
        <v>0</v>
      </c>
      <c r="AZ491" s="144">
        <f>VLOOKUP(B491,Precificação!$B$96:$BM$533,54,0)</f>
        <v>0</v>
      </c>
      <c r="BA491" s="144">
        <f>VLOOKUP(B491,Precificação!$B$96:$BR$533,58,0)</f>
        <v>0</v>
      </c>
      <c r="BB491" s="144">
        <f>VLOOKUP(B491,Precificação!$B$96:$BW$533,62,0)</f>
        <v>0</v>
      </c>
      <c r="BC491" s="144">
        <f t="shared" si="423"/>
        <v>0</v>
      </c>
      <c r="BD491" s="109">
        <f>IFERROR(VLOOKUP(B491,Precificação!$B$96:$S$533,13,0),0)</f>
        <v>0</v>
      </c>
      <c r="BE491" s="109">
        <f>IFERROR(VLOOKUP(B491,Precificação!$B$96:$U$533,15,0)/(Precificação!$U$4+Precificação!$U$91),0)*Dashboard!$T$3</f>
        <v>0</v>
      </c>
    </row>
    <row r="492" spans="2:57" ht="12" customHeight="1" outlineLevel="1">
      <c r="B492" s="137" t="str">
        <f>Precificação!B487</f>
        <v>EST - Equipe_01</v>
      </c>
      <c r="D492" s="512"/>
      <c r="E492" s="143" t="str">
        <f>IF('Cronog. e Histog.'!G638&gt;0,'Cronog. e Histog.'!G638,"")</f>
        <v>EST</v>
      </c>
      <c r="G492" s="179">
        <f t="shared" si="410"/>
        <v>0</v>
      </c>
      <c r="H492" s="110">
        <f>IFERROR(INDEX('Base Salarial'!$D$5:$F$25,MATCH(E492,'Base Salarial'!$G$5:$G$25,0),MATCH(I492,'Base Salarial'!$D$4:$F$4,0)),"")</f>
        <v>1633</v>
      </c>
      <c r="I492" s="78" t="str">
        <f>IFERROR(INDEX(Tarefas!$BQ$29:$FK$29,MATCH(E492,Tarefas!$BQ$30:$FK$30,0)),"")</f>
        <v>PJ</v>
      </c>
      <c r="J492" s="81">
        <f>IF(I492="horista",H492*Dashboard!$D$15,IF(OR(I492="Mensalista",I492="PJ"),H492,))</f>
        <v>1633</v>
      </c>
      <c r="K492" s="81">
        <f>IF(I492="PJ",J492,ROUND(J492*(1+Dashboard!$D$22),2))</f>
        <v>1633</v>
      </c>
      <c r="L492" s="77"/>
      <c r="M492" s="180"/>
      <c r="P492" s="109">
        <f>IF($BD492&gt;0,(((($BD492/Dashboard!$D$15)*(1+Precificação!$W$589)))+$P$26)*(1+Dashboard!$D$35),0)</f>
        <v>0</v>
      </c>
      <c r="Q492" s="109">
        <f>IF($BD492&gt;0,(((($BD492/Dashboard!$D$23)+(1+Precificação!$W$589))*(1+Q$28))+$P$26)*(1+Dashboard!$D$35),0)</f>
        <v>0</v>
      </c>
      <c r="R492" s="109">
        <f>IF($BD492&gt;0,(((($BD492/Dashboard!$D$23)+(1+Precificação!$W$589))*(1+R$28))+$P$26)*(1+Dashboard!$D$35),0)</f>
        <v>0</v>
      </c>
      <c r="S492" s="109">
        <f>IF($BD492&gt;0,(((($BD492/Dashboard!$D$23)+(1+Precificação!$W$589))*(1+S$28))+$P$26)*(1+Dashboard!$D$35),0)</f>
        <v>0</v>
      </c>
      <c r="U492" s="109">
        <f t="shared" si="411"/>
        <v>0</v>
      </c>
      <c r="V492" s="109">
        <f t="shared" si="412"/>
        <v>0</v>
      </c>
      <c r="W492" s="109">
        <f t="shared" si="413"/>
        <v>0</v>
      </c>
      <c r="X492" s="109">
        <f t="shared" si="414"/>
        <v>0</v>
      </c>
      <c r="AA492" s="109">
        <f>IF($BD492&gt;0,(((($BD492/Dashboard!$D$23)*(1+Precificação!$W$589)))+$AA$26)*(1+Dashboard!$D$35),0)</f>
        <v>0</v>
      </c>
      <c r="AB492" s="109">
        <f>IF($BD492&gt;0,(((($BD492/Dashboard!$D$23)*(1+Precificação!$W$589))*(1+AB$28))+$AA$26)*(1+Dashboard!$D$35),0)</f>
        <v>0</v>
      </c>
      <c r="AC492" s="109">
        <f>IF($BD492&gt;0,(((($BD492/Dashboard!$D$23)*(1+Precificação!$W$589))*(1+AC$28))+$AA$26)*(1+Dashboard!$D$35),0)</f>
        <v>0</v>
      </c>
      <c r="AD492" s="109">
        <f>IF($BD492&gt;0,(((($BD492/Dashboard!$D$23)*(1+Precificação!$W$589))*(1+AD$28))+$AA$26)*(1+Dashboard!$D$35),0)</f>
        <v>0</v>
      </c>
      <c r="AF492" s="109">
        <f t="shared" si="415"/>
        <v>0</v>
      </c>
      <c r="AG492" s="109">
        <f t="shared" si="416"/>
        <v>0</v>
      </c>
      <c r="AH492" s="109">
        <f t="shared" si="417"/>
        <v>0</v>
      </c>
      <c r="AI492" s="109">
        <f t="shared" si="418"/>
        <v>0</v>
      </c>
      <c r="AL492" s="109">
        <f>IF($BD492&gt;0,(((($BD492/Dashboard!$D$23)*(1+Precificação!$W$589)))+$AL$26)*(1+Dashboard!$D$35),0)</f>
        <v>0</v>
      </c>
      <c r="AM492" s="109">
        <f>IF($BD492&gt;0,(((($BD492/Dashboard!$D$23)*(1+Precificação!$W$589))*(1+AM$28))+$AA$26)*(1+Dashboard!$D$35),0)</f>
        <v>0</v>
      </c>
      <c r="AN492" s="109">
        <f>IF($BD492&gt;0,(((($BD492/Dashboard!$D$23)*(1+Precificação!$W$589))*(1+AN$28))+$AA$26)*(1+Dashboard!$D$35),0)</f>
        <v>0</v>
      </c>
      <c r="AO492" s="109">
        <f>IF($BD492&gt;0,(((($BD492/Dashboard!$D$23)*(1+Precificação!$W$589))*(1+AO$28))+$AA$26)*(1+Dashboard!$D$35),0)</f>
        <v>0</v>
      </c>
      <c r="AQ492" s="109">
        <f t="shared" si="419"/>
        <v>0</v>
      </c>
      <c r="AR492" s="109">
        <f t="shared" si="420"/>
        <v>0</v>
      </c>
      <c r="AS492" s="109">
        <f t="shared" si="421"/>
        <v>0</v>
      </c>
      <c r="AT492" s="109">
        <f t="shared" si="422"/>
        <v>0</v>
      </c>
      <c r="AW492" s="144">
        <f>VLOOKUP(B492,'Cronog. e Histog.'!$B$213:$BT$688,71,0)</f>
        <v>0</v>
      </c>
      <c r="AX492" s="144">
        <f>VLOOKUP(B492,'Cronog. e Histog.'!$B$213:$BU$688,72,0)</f>
        <v>0</v>
      </c>
      <c r="AY492" s="144">
        <f>$AW492*$AX492*Dashboard!$D$15</f>
        <v>0</v>
      </c>
      <c r="AZ492" s="144">
        <f>VLOOKUP(B492,Precificação!$B$96:$BM$533,54,0)</f>
        <v>0</v>
      </c>
      <c r="BA492" s="144">
        <f>VLOOKUP(B492,Precificação!$B$96:$BR$533,58,0)</f>
        <v>0</v>
      </c>
      <c r="BB492" s="144">
        <f>VLOOKUP(B492,Precificação!$B$96:$BW$533,62,0)</f>
        <v>0</v>
      </c>
      <c r="BC492" s="144">
        <f t="shared" si="423"/>
        <v>0</v>
      </c>
      <c r="BD492" s="109">
        <f>IFERROR(VLOOKUP(B492,Precificação!$B$96:$S$533,13,0),0)</f>
        <v>0</v>
      </c>
      <c r="BE492" s="109">
        <f>IFERROR(VLOOKUP(B492,Precificação!$B$96:$U$533,15,0)/(Precificação!$U$4+Precificação!$U$91),0)*Dashboard!$T$3</f>
        <v>0</v>
      </c>
    </row>
    <row r="493" spans="2:57" ht="12" customHeight="1" outlineLevel="1">
      <c r="B493" s="137" t="str">
        <f>Precificação!B488</f>
        <v>EST_II - Equipe_01</v>
      </c>
      <c r="D493" s="512"/>
      <c r="E493" s="143" t="str">
        <f>IF('Cronog. e Histog.'!G639&gt;0,'Cronog. e Histog.'!G639,"")</f>
        <v>EST_II</v>
      </c>
      <c r="G493" s="179">
        <f t="shared" si="410"/>
        <v>0</v>
      </c>
      <c r="H493" s="110">
        <f>IFERROR(INDEX('Base Salarial'!$D$5:$F$25,MATCH(E493,'Base Salarial'!$G$5:$G$25,0),MATCH(I493,'Base Salarial'!$D$4:$F$4,0)),"")</f>
        <v>1633</v>
      </c>
      <c r="I493" s="78" t="str">
        <f>IFERROR(INDEX(Tarefas!$BQ$29:$FK$29,MATCH(E493,Tarefas!$BQ$30:$FK$30,0)),"")</f>
        <v>PJ</v>
      </c>
      <c r="J493" s="81">
        <f>IF(I493="horista",H493*Dashboard!$D$15,IF(OR(I493="Mensalista",I493="PJ"),H493,))</f>
        <v>1633</v>
      </c>
      <c r="K493" s="81">
        <f>IF(I493="PJ",J493,ROUND(J493*(1+Dashboard!$D$22),2))</f>
        <v>1633</v>
      </c>
      <c r="L493" s="77"/>
      <c r="M493" s="180"/>
      <c r="P493" s="109">
        <f>IF($BD493&gt;0,(((($BD493/Dashboard!$D$15)*(1+Precificação!$W$589)))+$P$26)*(1+Dashboard!$D$35),0)</f>
        <v>0</v>
      </c>
      <c r="Q493" s="109">
        <f>IF($BD493&gt;0,(((($BD493/Dashboard!$D$23)+(1+Precificação!$W$589))*(1+Q$28))+$P$26)*(1+Dashboard!$D$35),0)</f>
        <v>0</v>
      </c>
      <c r="R493" s="109">
        <f>IF($BD493&gt;0,(((($BD493/Dashboard!$D$23)+(1+Precificação!$W$589))*(1+R$28))+$P$26)*(1+Dashboard!$D$35),0)</f>
        <v>0</v>
      </c>
      <c r="S493" s="109">
        <f>IF($BD493&gt;0,(((($BD493/Dashboard!$D$23)+(1+Precificação!$W$589))*(1+S$28))+$P$26)*(1+Dashboard!$D$35),0)</f>
        <v>0</v>
      </c>
      <c r="U493" s="109">
        <f t="shared" si="411"/>
        <v>0</v>
      </c>
      <c r="V493" s="109">
        <f t="shared" si="412"/>
        <v>0</v>
      </c>
      <c r="W493" s="109">
        <f t="shared" si="413"/>
        <v>0</v>
      </c>
      <c r="X493" s="109">
        <f t="shared" si="414"/>
        <v>0</v>
      </c>
      <c r="AA493" s="109">
        <f>IF($BD493&gt;0,(((($BD493/Dashboard!$D$23)*(1+Precificação!$W$589)))+$AA$26)*(1+Dashboard!$D$35),0)</f>
        <v>0</v>
      </c>
      <c r="AB493" s="109">
        <f>IF($BD493&gt;0,(((($BD493/Dashboard!$D$23)*(1+Precificação!$W$589))*(1+AB$28))+$AA$26)*(1+Dashboard!$D$35),0)</f>
        <v>0</v>
      </c>
      <c r="AC493" s="109">
        <f>IF($BD493&gt;0,(((($BD493/Dashboard!$D$23)*(1+Precificação!$W$589))*(1+AC$28))+$AA$26)*(1+Dashboard!$D$35),0)</f>
        <v>0</v>
      </c>
      <c r="AD493" s="109">
        <f>IF($BD493&gt;0,(((($BD493/Dashboard!$D$23)*(1+Precificação!$W$589))*(1+AD$28))+$AA$26)*(1+Dashboard!$D$35),0)</f>
        <v>0</v>
      </c>
      <c r="AF493" s="109">
        <f t="shared" si="415"/>
        <v>0</v>
      </c>
      <c r="AG493" s="109">
        <f t="shared" si="416"/>
        <v>0</v>
      </c>
      <c r="AH493" s="109">
        <f t="shared" si="417"/>
        <v>0</v>
      </c>
      <c r="AI493" s="109">
        <f t="shared" si="418"/>
        <v>0</v>
      </c>
      <c r="AL493" s="109">
        <f>IF($BD493&gt;0,(((($BD493/Dashboard!$D$23)*(1+Precificação!$W$589)))+$AL$26)*(1+Dashboard!$D$35),0)</f>
        <v>0</v>
      </c>
      <c r="AM493" s="109">
        <f>IF($BD493&gt;0,(((($BD493/Dashboard!$D$23)*(1+Precificação!$W$589))*(1+AM$28))+$AA$26)*(1+Dashboard!$D$35),0)</f>
        <v>0</v>
      </c>
      <c r="AN493" s="109">
        <f>IF($BD493&gt;0,(((($BD493/Dashboard!$D$23)*(1+Precificação!$W$589))*(1+AN$28))+$AA$26)*(1+Dashboard!$D$35),0)</f>
        <v>0</v>
      </c>
      <c r="AO493" s="109">
        <f>IF($BD493&gt;0,(((($BD493/Dashboard!$D$23)*(1+Precificação!$W$589))*(1+AO$28))+$AA$26)*(1+Dashboard!$D$35),0)</f>
        <v>0</v>
      </c>
      <c r="AQ493" s="109">
        <f t="shared" si="419"/>
        <v>0</v>
      </c>
      <c r="AR493" s="109">
        <f t="shared" si="420"/>
        <v>0</v>
      </c>
      <c r="AS493" s="109">
        <f t="shared" si="421"/>
        <v>0</v>
      </c>
      <c r="AT493" s="109">
        <f t="shared" si="422"/>
        <v>0</v>
      </c>
      <c r="AW493" s="144">
        <f>VLOOKUP(B493,'Cronog. e Histog.'!$B$213:$BT$688,71,0)</f>
        <v>0</v>
      </c>
      <c r="AX493" s="144">
        <f>VLOOKUP(B493,'Cronog. e Histog.'!$B$213:$BU$688,72,0)</f>
        <v>0</v>
      </c>
      <c r="AY493" s="144">
        <f>$AW493*$AX493*Dashboard!$D$15</f>
        <v>0</v>
      </c>
      <c r="AZ493" s="144">
        <f>VLOOKUP(B493,Precificação!$B$96:$BM$533,54,0)</f>
        <v>0</v>
      </c>
      <c r="BA493" s="144">
        <f>VLOOKUP(B493,Precificação!$B$96:$BR$533,58,0)</f>
        <v>0</v>
      </c>
      <c r="BB493" s="144">
        <f>VLOOKUP(B493,Precificação!$B$96:$BW$533,62,0)</f>
        <v>0</v>
      </c>
      <c r="BC493" s="144">
        <f t="shared" si="423"/>
        <v>0</v>
      </c>
      <c r="BD493" s="109">
        <f>IFERROR(VLOOKUP(B493,Precificação!$B$96:$S$533,13,0),0)</f>
        <v>0</v>
      </c>
      <c r="BE493" s="109">
        <f>IFERROR(VLOOKUP(B493,Precificação!$B$96:$U$533,15,0)/(Precificação!$U$4+Precificação!$U$91),0)*Dashboard!$T$3</f>
        <v>0</v>
      </c>
    </row>
    <row r="494" spans="2:57" ht="12" customHeight="1" outlineLevel="1">
      <c r="B494" s="137" t="str">
        <f>Precificação!B489</f>
        <v>EST_III - Equipe_01</v>
      </c>
      <c r="D494" s="512"/>
      <c r="E494" s="143" t="str">
        <f>IF('Cronog. e Histog.'!G640&gt;0,'Cronog. e Histog.'!G640,"")</f>
        <v>EST_III</v>
      </c>
      <c r="G494" s="179">
        <f t="shared" si="410"/>
        <v>0</v>
      </c>
      <c r="H494" s="110">
        <f>IFERROR(INDEX('Base Salarial'!$D$5:$F$25,MATCH(E494,'Base Salarial'!$G$5:$G$25,0),MATCH(I494,'Base Salarial'!$D$4:$F$4,0)),"")</f>
        <v>1633</v>
      </c>
      <c r="I494" s="78" t="str">
        <f>IFERROR(INDEX(Tarefas!$BQ$29:$FK$29,MATCH(E494,Tarefas!$BQ$30:$FK$30,0)),"")</f>
        <v>PJ</v>
      </c>
      <c r="J494" s="81">
        <f>IF(I494="horista",H494*Dashboard!$D$15,IF(OR(I494="Mensalista",I494="PJ"),H494,))</f>
        <v>1633</v>
      </c>
      <c r="K494" s="81">
        <f>IF(I494="PJ",J494,ROUND(J494*(1+Dashboard!$D$22),2))</f>
        <v>1633</v>
      </c>
      <c r="L494" s="77"/>
      <c r="M494" s="180"/>
      <c r="P494" s="109">
        <f>IF($BD494&gt;0,(((($BD494/Dashboard!$D$15)*(1+Precificação!$W$589)))+$P$26)*(1+Dashboard!$D$35),0)</f>
        <v>0</v>
      </c>
      <c r="Q494" s="109">
        <f>IF($BD494&gt;0,(((($BD494/Dashboard!$D$23)+(1+Precificação!$W$589))*(1+Q$28))+$P$26)*(1+Dashboard!$D$35),0)</f>
        <v>0</v>
      </c>
      <c r="R494" s="109">
        <f>IF($BD494&gt;0,(((($BD494/Dashboard!$D$23)+(1+Precificação!$W$589))*(1+R$28))+$P$26)*(1+Dashboard!$D$35),0)</f>
        <v>0</v>
      </c>
      <c r="S494" s="109">
        <f>IF($BD494&gt;0,(((($BD494/Dashboard!$D$23)+(1+Precificação!$W$589))*(1+S$28))+$P$26)*(1+Dashboard!$D$35),0)</f>
        <v>0</v>
      </c>
      <c r="U494" s="109">
        <f t="shared" si="411"/>
        <v>0</v>
      </c>
      <c r="V494" s="109">
        <f t="shared" si="412"/>
        <v>0</v>
      </c>
      <c r="W494" s="109">
        <f t="shared" si="413"/>
        <v>0</v>
      </c>
      <c r="X494" s="109">
        <f t="shared" si="414"/>
        <v>0</v>
      </c>
      <c r="AA494" s="109">
        <f>IF($BD494&gt;0,(((($BD494/Dashboard!$D$23)*(1+Precificação!$W$589)))+$AA$26)*(1+Dashboard!$D$35),0)</f>
        <v>0</v>
      </c>
      <c r="AB494" s="109">
        <f>IF($BD494&gt;0,(((($BD494/Dashboard!$D$23)*(1+Precificação!$W$589))*(1+AB$28))+$AA$26)*(1+Dashboard!$D$35),0)</f>
        <v>0</v>
      </c>
      <c r="AC494" s="109">
        <f>IF($BD494&gt;0,(((($BD494/Dashboard!$D$23)*(1+Precificação!$W$589))*(1+AC$28))+$AA$26)*(1+Dashboard!$D$35),0)</f>
        <v>0</v>
      </c>
      <c r="AD494" s="109">
        <f>IF($BD494&gt;0,(((($BD494/Dashboard!$D$23)*(1+Precificação!$W$589))*(1+AD$28))+$AA$26)*(1+Dashboard!$D$35),0)</f>
        <v>0</v>
      </c>
      <c r="AF494" s="109">
        <f t="shared" si="415"/>
        <v>0</v>
      </c>
      <c r="AG494" s="109">
        <f t="shared" si="416"/>
        <v>0</v>
      </c>
      <c r="AH494" s="109">
        <f t="shared" si="417"/>
        <v>0</v>
      </c>
      <c r="AI494" s="109">
        <f t="shared" si="418"/>
        <v>0</v>
      </c>
      <c r="AL494" s="109">
        <f>IF($BD494&gt;0,(((($BD494/Dashboard!$D$23)*(1+Precificação!$W$589)))+$AL$26)*(1+Dashboard!$D$35),0)</f>
        <v>0</v>
      </c>
      <c r="AM494" s="109">
        <f>IF($BD494&gt;0,(((($BD494/Dashboard!$D$23)*(1+Precificação!$W$589))*(1+AM$28))+$AA$26)*(1+Dashboard!$D$35),0)</f>
        <v>0</v>
      </c>
      <c r="AN494" s="109">
        <f>IF($BD494&gt;0,(((($BD494/Dashboard!$D$23)*(1+Precificação!$W$589))*(1+AN$28))+$AA$26)*(1+Dashboard!$D$35),0)</f>
        <v>0</v>
      </c>
      <c r="AO494" s="109">
        <f>IF($BD494&gt;0,(((($BD494/Dashboard!$D$23)*(1+Precificação!$W$589))*(1+AO$28))+$AA$26)*(1+Dashboard!$D$35),0)</f>
        <v>0</v>
      </c>
      <c r="AQ494" s="109">
        <f t="shared" si="419"/>
        <v>0</v>
      </c>
      <c r="AR494" s="109">
        <f t="shared" si="420"/>
        <v>0</v>
      </c>
      <c r="AS494" s="109">
        <f t="shared" si="421"/>
        <v>0</v>
      </c>
      <c r="AT494" s="109">
        <f t="shared" si="422"/>
        <v>0</v>
      </c>
      <c r="AW494" s="144">
        <f>VLOOKUP(B494,'Cronog. e Histog.'!$B$213:$BT$688,71,0)</f>
        <v>0</v>
      </c>
      <c r="AX494" s="144">
        <f>VLOOKUP(B494,'Cronog. e Histog.'!$B$213:$BU$688,72,0)</f>
        <v>0</v>
      </c>
      <c r="AY494" s="144">
        <f>$AW494*$AX494*Dashboard!$D$15</f>
        <v>0</v>
      </c>
      <c r="AZ494" s="144">
        <f>VLOOKUP(B494,Precificação!$B$96:$BM$533,54,0)</f>
        <v>0</v>
      </c>
      <c r="BA494" s="144">
        <f>VLOOKUP(B494,Precificação!$B$96:$BR$533,58,0)</f>
        <v>0</v>
      </c>
      <c r="BB494" s="144">
        <f>VLOOKUP(B494,Precificação!$B$96:$BW$533,62,0)</f>
        <v>0</v>
      </c>
      <c r="BC494" s="144">
        <f t="shared" si="423"/>
        <v>0</v>
      </c>
      <c r="BD494" s="109">
        <f>IFERROR(VLOOKUP(B494,Precificação!$B$96:$S$533,13,0),0)</f>
        <v>0</v>
      </c>
      <c r="BE494" s="109">
        <f>IFERROR(VLOOKUP(B494,Precificação!$B$96:$U$533,15,0)/(Precificação!$U$4+Precificação!$U$91),0)*Dashboard!$T$3</f>
        <v>0</v>
      </c>
    </row>
    <row r="495" spans="2:57" ht="12" customHeight="1" outlineLevel="1"/>
    <row r="496" spans="2:57" ht="12" customHeight="1" outlineLevel="1">
      <c r="B496" s="137" t="str">
        <f>Precificação!B492</f>
        <v>GER. (OBRA/PROJ) - Equipe_01</v>
      </c>
      <c r="D496" s="512" t="str">
        <f>'Cronog. e Histog.'!F643</f>
        <v>Equipe19</v>
      </c>
      <c r="E496" s="143" t="str">
        <f>IF('Cronog. e Histog.'!G645&gt;0,'Cronog. e Histog.'!G645,"")</f>
        <v>GER. (OBRA/PROJ)</v>
      </c>
      <c r="G496" s="179">
        <f t="shared" ref="G496" si="424">IF(AND((AW496*AX496)&gt;0,K496=0),1,0)</f>
        <v>0</v>
      </c>
      <c r="H496" s="110">
        <f>IFERROR(INDEX('Base Salarial'!$D$5:$F$25,MATCH(E496,'Base Salarial'!$G$5:$G$25,0),MATCH(I496,'Base Salarial'!$D$4:$F$4,0)),"")</f>
        <v>21000</v>
      </c>
      <c r="I496" s="78" t="str">
        <f>IFERROR(INDEX(Tarefas!$BQ$29:$FK$29,MATCH(E496,Tarefas!$BQ$30:$FK$30,0)),"")</f>
        <v>PJ</v>
      </c>
      <c r="J496" s="81">
        <f>IF(I496="horista",H496*Dashboard!$D$15,IF(OR(I496="Mensalista",I496="PJ"),H496,))</f>
        <v>21000</v>
      </c>
      <c r="K496" s="81">
        <f>IF(I496="PJ",J496,ROUND(J496*(1+Dashboard!$D$22),2))</f>
        <v>21000</v>
      </c>
      <c r="L496" s="77"/>
      <c r="M496" s="180"/>
      <c r="P496" s="109">
        <f>IF($BD496&gt;0,(((($BD496/Dashboard!$D$15)*(1+Precificação!$W$589)))+$P$26)*(1+Dashboard!$D$35),0)</f>
        <v>0</v>
      </c>
      <c r="Q496" s="109">
        <f>IF($BD496&gt;0,(((($BD496/Dashboard!$D$23)+(1+Precificação!$W$589))*(1+Q$28))+$P$26)*(1+Dashboard!$D$35),0)</f>
        <v>0</v>
      </c>
      <c r="R496" s="109">
        <f>IF($BD496&gt;0,(((($BD496/Dashboard!$D$23)+(1+Precificação!$W$589))*(1+R$28))+$P$26)*(1+Dashboard!$D$35),0)</f>
        <v>0</v>
      </c>
      <c r="S496" s="109">
        <f>IF($BD496&gt;0,(((($BD496/Dashboard!$D$23)+(1+Precificação!$W$589))*(1+S$28))+$P$26)*(1+Dashboard!$D$35),0)</f>
        <v>0</v>
      </c>
      <c r="U496" s="109">
        <f>IF(P496&gt;0,P496+U$32,0)</f>
        <v>0</v>
      </c>
      <c r="V496" s="109">
        <f t="shared" ref="V496:X496" si="425">IF(Q496&gt;0,Q496+V$32,0)</f>
        <v>0</v>
      </c>
      <c r="W496" s="109">
        <f t="shared" si="425"/>
        <v>0</v>
      </c>
      <c r="X496" s="109">
        <f t="shared" si="425"/>
        <v>0</v>
      </c>
      <c r="AA496" s="109">
        <f>IF($BD496&gt;0,(((($BD496/Dashboard!$D$23)*(1+Precificação!$W$589)))+$AA$26)*(1+Dashboard!$D$35),0)</f>
        <v>0</v>
      </c>
      <c r="AB496" s="109">
        <f>IF($BD496&gt;0,(((($BD496/Dashboard!$D$23)*(1+Precificação!$W$589))*(1+AB$28))+$AA$26)*(1+Dashboard!$D$35),0)</f>
        <v>0</v>
      </c>
      <c r="AC496" s="109">
        <f>IF($BD496&gt;0,(((($BD496/Dashboard!$D$23)*(1+Precificação!$W$589))*(1+AC$28))+$AA$26)*(1+Dashboard!$D$35),0)</f>
        <v>0</v>
      </c>
      <c r="AD496" s="109">
        <f>IF($BD496&gt;0,(((($BD496/Dashboard!$D$23)*(1+Precificação!$W$589))*(1+AD$28))+$AA$26)*(1+Dashboard!$D$35),0)</f>
        <v>0</v>
      </c>
      <c r="AF496" s="109">
        <f>IF(AA496&gt;0,AA496+AF$32,0)</f>
        <v>0</v>
      </c>
      <c r="AG496" s="109">
        <f t="shared" ref="AG496" si="426">IF(AB496&gt;0,AB496+AG$32,0)</f>
        <v>0</v>
      </c>
      <c r="AH496" s="109">
        <f t="shared" ref="AH496" si="427">IF(AC496&gt;0,AC496+AH$32,0)</f>
        <v>0</v>
      </c>
      <c r="AI496" s="109">
        <f t="shared" ref="AI496" si="428">IF(AD496&gt;0,AD496+AI$32,0)</f>
        <v>0</v>
      </c>
      <c r="AL496" s="109">
        <f>IF($BD496&gt;0,(((($BD496/Dashboard!$D$23)*(1+Precificação!$W$589)))+$AL$26)*(1+Dashboard!$D$35),0)</f>
        <v>0</v>
      </c>
      <c r="AM496" s="109">
        <f>IF($BD496&gt;0,(((($BD496/Dashboard!$D$23)*(1+Precificação!$W$589))*(1+AM$28))+$AA$26)*(1+Dashboard!$D$35),0)</f>
        <v>0</v>
      </c>
      <c r="AN496" s="109">
        <f>IF($BD496&gt;0,(((($BD496/Dashboard!$D$23)*(1+Precificação!$W$589))*(1+AN$28))+$AA$26)*(1+Dashboard!$D$35),0)</f>
        <v>0</v>
      </c>
      <c r="AO496" s="109">
        <f>IF($BD496&gt;0,(((($BD496/Dashboard!$D$23)*(1+Precificação!$W$589))*(1+AO$28))+$AA$26)*(1+Dashboard!$D$35),0)</f>
        <v>0</v>
      </c>
      <c r="AQ496" s="109">
        <f>IF(AL496&gt;0,AL496+AQ$32,0)</f>
        <v>0</v>
      </c>
      <c r="AR496" s="109">
        <f t="shared" ref="AR496" si="429">IF(AM496&gt;0,AM496+AR$32,0)</f>
        <v>0</v>
      </c>
      <c r="AS496" s="109">
        <f t="shared" ref="AS496" si="430">IF(AN496&gt;0,AN496+AS$32,0)</f>
        <v>0</v>
      </c>
      <c r="AT496" s="109">
        <f t="shared" ref="AT496" si="431">IF(AO496&gt;0,AO496+AT$32,0)</f>
        <v>0</v>
      </c>
      <c r="AW496" s="144">
        <f>VLOOKUP(B496,'Cronog. e Histog.'!$B$213:$BT$688,71,0)</f>
        <v>1.9999999999999997E-2</v>
      </c>
      <c r="AX496" s="144">
        <f>VLOOKUP(B496,'Cronog. e Histog.'!$B$213:$BU$688,72,0)</f>
        <v>10</v>
      </c>
      <c r="AY496" s="144">
        <f>$AW496*$AX496*Dashboard!$D$15</f>
        <v>38.72</v>
      </c>
      <c r="AZ496" s="144">
        <f>VLOOKUP(B496,Precificação!$B$96:$BM$533,54,0)</f>
        <v>0</v>
      </c>
      <c r="BA496" s="144">
        <f>VLOOKUP(B496,Precificação!$B$96:$BR$533,58,0)</f>
        <v>0</v>
      </c>
      <c r="BB496" s="144">
        <f>VLOOKUP(B496,Precificação!$B$96:$BW$533,62,0)</f>
        <v>0</v>
      </c>
      <c r="BC496" s="144">
        <f t="shared" ref="BC496" si="432">SUM(AY496:BB496)</f>
        <v>38.72</v>
      </c>
      <c r="BD496" s="109">
        <f>IFERROR(VLOOKUP(B496,Precificação!$B$96:$S$533,13,0),0)</f>
        <v>0</v>
      </c>
      <c r="BE496" s="109">
        <f>IFERROR(VLOOKUP(B496,Precificação!$B$96:$U$533,15,0)/(Precificação!$U$4+Precificação!$U$91),0)*Dashboard!$T$3</f>
        <v>0</v>
      </c>
    </row>
    <row r="497" spans="2:57" ht="12" customHeight="1" outlineLevel="1">
      <c r="B497" s="137" t="str">
        <f>Precificação!B493</f>
        <v>COORD. - Equipe_01</v>
      </c>
      <c r="D497" s="512"/>
      <c r="E497" s="143" t="str">
        <f>IF('Cronog. e Histog.'!G646&gt;0,'Cronog. e Histog.'!G646,"")</f>
        <v>COORD.</v>
      </c>
      <c r="G497" s="179">
        <f t="shared" ref="G497:G515" si="433">IF(AND((AW497*AX497)&gt;0,K497=0),1,0)</f>
        <v>0</v>
      </c>
      <c r="H497" s="110">
        <f>IFERROR(INDEX('Base Salarial'!$D$5:$F$25,MATCH(E497,'Base Salarial'!$G$5:$G$25,0),MATCH(I497,'Base Salarial'!$D$4:$F$4,0)),"")</f>
        <v>19000</v>
      </c>
      <c r="I497" s="78" t="str">
        <f>IFERROR(INDEX(Tarefas!$BQ$29:$FK$29,MATCH(E497,Tarefas!$BQ$30:$FK$30,0)),"")</f>
        <v>PJ</v>
      </c>
      <c r="J497" s="81">
        <f>IF(I497="horista",H497*Dashboard!$D$15,IF(OR(I497="Mensalista",I497="PJ"),H497,))</f>
        <v>19000</v>
      </c>
      <c r="K497" s="81">
        <f>IF(I497="PJ",J497,ROUND(J497*(1+Dashboard!$D$22),2))</f>
        <v>19000</v>
      </c>
      <c r="L497" s="77"/>
      <c r="M497" s="180"/>
      <c r="P497" s="109">
        <f>IF($BD497&gt;0,(((($BD497/Dashboard!$D$15)*(1+Precificação!$W$589)))+$P$26)*(1+Dashboard!$D$35),0)</f>
        <v>0</v>
      </c>
      <c r="Q497" s="109">
        <f>IF($BD497&gt;0,(((($BD497/Dashboard!$D$23)+(1+Precificação!$W$589))*(1+Q$28))+$P$26)*(1+Dashboard!$D$35),0)</f>
        <v>0</v>
      </c>
      <c r="R497" s="109">
        <f>IF($BD497&gt;0,(((($BD497/Dashboard!$D$23)+(1+Precificação!$W$589))*(1+R$28))+$P$26)*(1+Dashboard!$D$35),0)</f>
        <v>0</v>
      </c>
      <c r="S497" s="109">
        <f>IF($BD497&gt;0,(((($BD497/Dashboard!$D$23)+(1+Precificação!$W$589))*(1+S$28))+$P$26)*(1+Dashboard!$D$35),0)</f>
        <v>0</v>
      </c>
      <c r="U497" s="109">
        <f t="shared" ref="U497:U515" si="434">IF(P497&gt;0,P497+U$32,0)</f>
        <v>0</v>
      </c>
      <c r="V497" s="109">
        <f t="shared" ref="V497:V515" si="435">IF(Q497&gt;0,Q497+V$32,0)</f>
        <v>0</v>
      </c>
      <c r="W497" s="109">
        <f t="shared" ref="W497:W515" si="436">IF(R497&gt;0,R497+W$32,0)</f>
        <v>0</v>
      </c>
      <c r="X497" s="109">
        <f t="shared" ref="X497:X515" si="437">IF(S497&gt;0,S497+X$32,0)</f>
        <v>0</v>
      </c>
      <c r="AA497" s="109">
        <f>IF($BD497&gt;0,(((($BD497/Dashboard!$D$23)*(1+Precificação!$W$589)))+$AA$26)*(1+Dashboard!$D$35),0)</f>
        <v>0</v>
      </c>
      <c r="AB497" s="109">
        <f>IF($BD497&gt;0,(((($BD497/Dashboard!$D$23)*(1+Precificação!$W$589))*(1+AB$28))+$AA$26)*(1+Dashboard!$D$35),0)</f>
        <v>0</v>
      </c>
      <c r="AC497" s="109">
        <f>IF($BD497&gt;0,(((($BD497/Dashboard!$D$23)*(1+Precificação!$W$589))*(1+AC$28))+$AA$26)*(1+Dashboard!$D$35),0)</f>
        <v>0</v>
      </c>
      <c r="AD497" s="109">
        <f>IF($BD497&gt;0,(((($BD497/Dashboard!$D$23)*(1+Precificação!$W$589))*(1+AD$28))+$AA$26)*(1+Dashboard!$D$35),0)</f>
        <v>0</v>
      </c>
      <c r="AF497" s="109">
        <f t="shared" ref="AF497:AF515" si="438">IF(AA497&gt;0,AA497+AF$32,0)</f>
        <v>0</v>
      </c>
      <c r="AG497" s="109">
        <f t="shared" ref="AG497:AG515" si="439">IF(AB497&gt;0,AB497+AG$32,0)</f>
        <v>0</v>
      </c>
      <c r="AH497" s="109">
        <f t="shared" ref="AH497:AH515" si="440">IF(AC497&gt;0,AC497+AH$32,0)</f>
        <v>0</v>
      </c>
      <c r="AI497" s="109">
        <f t="shared" ref="AI497:AI515" si="441">IF(AD497&gt;0,AD497+AI$32,0)</f>
        <v>0</v>
      </c>
      <c r="AL497" s="109">
        <f>IF($BD497&gt;0,(((($BD497/Dashboard!$D$23)*(1+Precificação!$W$589)))+$AL$26)*(1+Dashboard!$D$35),0)</f>
        <v>0</v>
      </c>
      <c r="AM497" s="109">
        <f>IF($BD497&gt;0,(((($BD497/Dashboard!$D$23)*(1+Precificação!$W$589))*(1+AM$28))+$AA$26)*(1+Dashboard!$D$35),0)</f>
        <v>0</v>
      </c>
      <c r="AN497" s="109">
        <f>IF($BD497&gt;0,(((($BD497/Dashboard!$D$23)*(1+Precificação!$W$589))*(1+AN$28))+$AA$26)*(1+Dashboard!$D$35),0)</f>
        <v>0</v>
      </c>
      <c r="AO497" s="109">
        <f>IF($BD497&gt;0,(((($BD497/Dashboard!$D$23)*(1+Precificação!$W$589))*(1+AO$28))+$AA$26)*(1+Dashboard!$D$35),0)</f>
        <v>0</v>
      </c>
      <c r="AQ497" s="109">
        <f t="shared" ref="AQ497:AQ515" si="442">IF(AL497&gt;0,AL497+AQ$32,0)</f>
        <v>0</v>
      </c>
      <c r="AR497" s="109">
        <f t="shared" ref="AR497:AR515" si="443">IF(AM497&gt;0,AM497+AR$32,0)</f>
        <v>0</v>
      </c>
      <c r="AS497" s="109">
        <f t="shared" ref="AS497:AS515" si="444">IF(AN497&gt;0,AN497+AS$32,0)</f>
        <v>0</v>
      </c>
      <c r="AT497" s="109">
        <f t="shared" ref="AT497:AT515" si="445">IF(AO497&gt;0,AO497+AT$32,0)</f>
        <v>0</v>
      </c>
      <c r="AW497" s="144">
        <f>VLOOKUP(B497,'Cronog. e Histog.'!$B$213:$BT$688,71,0)</f>
        <v>1</v>
      </c>
      <c r="AX497" s="144">
        <f>VLOOKUP(B497,'Cronog. e Histog.'!$B$213:$BU$688,72,0)</f>
        <v>10</v>
      </c>
      <c r="AY497" s="144">
        <f>$AW497*$AX497*Dashboard!$D$15</f>
        <v>1936.0000000000002</v>
      </c>
      <c r="AZ497" s="144">
        <f>VLOOKUP(B497,Precificação!$B$96:$BM$533,54,0)</f>
        <v>0</v>
      </c>
      <c r="BA497" s="144">
        <f>VLOOKUP(B497,Precificação!$B$96:$BR$533,58,0)</f>
        <v>0</v>
      </c>
      <c r="BB497" s="144">
        <f>VLOOKUP(B497,Precificação!$B$96:$BW$533,62,0)</f>
        <v>0</v>
      </c>
      <c r="BC497" s="144">
        <f t="shared" ref="BC497:BC515" si="446">SUM(AY497:BB497)</f>
        <v>1936.0000000000002</v>
      </c>
      <c r="BD497" s="109">
        <f>IFERROR(VLOOKUP(B497,Precificação!$B$96:$S$533,13,0),0)</f>
        <v>0</v>
      </c>
      <c r="BE497" s="109">
        <f>IFERROR(VLOOKUP(B497,Precificação!$B$96:$U$533,15,0)/(Precificação!$U$4+Precificação!$U$91),0)*Dashboard!$T$3</f>
        <v>0</v>
      </c>
    </row>
    <row r="498" spans="2:57" ht="12" customHeight="1" outlineLevel="1">
      <c r="B498" s="137" t="str">
        <f>Precificação!B494</f>
        <v>SUP.-ESP - Equipe_01</v>
      </c>
      <c r="D498" s="512"/>
      <c r="E498" s="143" t="str">
        <f>IF('Cronog. e Histog.'!G647&gt;0,'Cronog. e Histog.'!G647,"")</f>
        <v>SUP.-ESP</v>
      </c>
      <c r="G498" s="179">
        <f t="shared" si="433"/>
        <v>0</v>
      </c>
      <c r="H498" s="110">
        <f>IFERROR(INDEX('Base Salarial'!$D$5:$F$25,MATCH(E498,'Base Salarial'!$G$5:$G$25,0),MATCH(I498,'Base Salarial'!$D$4:$F$4,0)),"")</f>
        <v>9166.6666666666679</v>
      </c>
      <c r="I498" s="78" t="str">
        <f>IFERROR(INDEX(Tarefas!$BQ$29:$FK$29,MATCH(E498,Tarefas!$BQ$30:$FK$30,0)),"")</f>
        <v>Mensalista</v>
      </c>
      <c r="J498" s="81">
        <f>IF(I498="horista",H498*Dashboard!$D$15,IF(OR(I498="Mensalista",I498="PJ"),H498,))</f>
        <v>9166.6666666666679</v>
      </c>
      <c r="K498" s="81">
        <f>IF(I498="PJ",J498,ROUND(J498*(1+Dashboard!$D$22),2))</f>
        <v>9716.67</v>
      </c>
      <c r="L498" s="77"/>
      <c r="M498" s="180"/>
      <c r="P498" s="109">
        <f>IF($BD498&gt;0,(((($BD498/Dashboard!$D$15)*(1+Precificação!$W$589)))+$P$26)*(1+Dashboard!$D$35),0)</f>
        <v>0</v>
      </c>
      <c r="Q498" s="109">
        <f>IF($BD498&gt;0,(((($BD498/Dashboard!$D$23)+(1+Precificação!$W$589))*(1+Q$28))+$P$26)*(1+Dashboard!$D$35),0)</f>
        <v>0</v>
      </c>
      <c r="R498" s="109">
        <f>IF($BD498&gt;0,(((($BD498/Dashboard!$D$23)+(1+Precificação!$W$589))*(1+R$28))+$P$26)*(1+Dashboard!$D$35),0)</f>
        <v>0</v>
      </c>
      <c r="S498" s="109">
        <f>IF($BD498&gt;0,(((($BD498/Dashboard!$D$23)+(1+Precificação!$W$589))*(1+S$28))+$P$26)*(1+Dashboard!$D$35),0)</f>
        <v>0</v>
      </c>
      <c r="U498" s="109">
        <f t="shared" si="434"/>
        <v>0</v>
      </c>
      <c r="V498" s="109">
        <f t="shared" si="435"/>
        <v>0</v>
      </c>
      <c r="W498" s="109">
        <f t="shared" si="436"/>
        <v>0</v>
      </c>
      <c r="X498" s="109">
        <f t="shared" si="437"/>
        <v>0</v>
      </c>
      <c r="AA498" s="109">
        <f>IF($BD498&gt;0,(((($BD498/Dashboard!$D$23)*(1+Precificação!$W$589)))+$AA$26)*(1+Dashboard!$D$35),0)</f>
        <v>0</v>
      </c>
      <c r="AB498" s="109">
        <f>IF($BD498&gt;0,(((($BD498/Dashboard!$D$23)*(1+Precificação!$W$589))*(1+AB$28))+$AA$26)*(1+Dashboard!$D$35),0)</f>
        <v>0</v>
      </c>
      <c r="AC498" s="109">
        <f>IF($BD498&gt;0,(((($BD498/Dashboard!$D$23)*(1+Precificação!$W$589))*(1+AC$28))+$AA$26)*(1+Dashboard!$D$35),0)</f>
        <v>0</v>
      </c>
      <c r="AD498" s="109">
        <f>IF($BD498&gt;0,(((($BD498/Dashboard!$D$23)*(1+Precificação!$W$589))*(1+AD$28))+$AA$26)*(1+Dashboard!$D$35),0)</f>
        <v>0</v>
      </c>
      <c r="AF498" s="109">
        <f t="shared" si="438"/>
        <v>0</v>
      </c>
      <c r="AG498" s="109">
        <f t="shared" si="439"/>
        <v>0</v>
      </c>
      <c r="AH498" s="109">
        <f t="shared" si="440"/>
        <v>0</v>
      </c>
      <c r="AI498" s="109">
        <f t="shared" si="441"/>
        <v>0</v>
      </c>
      <c r="AL498" s="109">
        <f>IF($BD498&gt;0,(((($BD498/Dashboard!$D$23)*(1+Precificação!$W$589)))+$AL$26)*(1+Dashboard!$D$35),0)</f>
        <v>0</v>
      </c>
      <c r="AM498" s="109">
        <f>IF($BD498&gt;0,(((($BD498/Dashboard!$D$23)*(1+Precificação!$W$589))*(1+AM$28))+$AA$26)*(1+Dashboard!$D$35),0)</f>
        <v>0</v>
      </c>
      <c r="AN498" s="109">
        <f>IF($BD498&gt;0,(((($BD498/Dashboard!$D$23)*(1+Precificação!$W$589))*(1+AN$28))+$AA$26)*(1+Dashboard!$D$35),0)</f>
        <v>0</v>
      </c>
      <c r="AO498" s="109">
        <f>IF($BD498&gt;0,(((($BD498/Dashboard!$D$23)*(1+Precificação!$W$589))*(1+AO$28))+$AA$26)*(1+Dashboard!$D$35),0)</f>
        <v>0</v>
      </c>
      <c r="AQ498" s="109">
        <f t="shared" si="442"/>
        <v>0</v>
      </c>
      <c r="AR498" s="109">
        <f t="shared" si="443"/>
        <v>0</v>
      </c>
      <c r="AS498" s="109">
        <f t="shared" si="444"/>
        <v>0</v>
      </c>
      <c r="AT498" s="109">
        <f t="shared" si="445"/>
        <v>0</v>
      </c>
      <c r="AW498" s="144">
        <f>VLOOKUP(B498,'Cronog. e Histog.'!$B$213:$BT$688,71,0)</f>
        <v>0</v>
      </c>
      <c r="AX498" s="144">
        <f>VLOOKUP(B498,'Cronog. e Histog.'!$B$213:$BU$688,72,0)</f>
        <v>0</v>
      </c>
      <c r="AY498" s="144">
        <f>$AW498*$AX498*Dashboard!$D$15</f>
        <v>0</v>
      </c>
      <c r="AZ498" s="144">
        <f>VLOOKUP(B498,Precificação!$B$96:$BM$533,54,0)</f>
        <v>0</v>
      </c>
      <c r="BA498" s="144">
        <f>VLOOKUP(B498,Precificação!$B$96:$BR$533,58,0)</f>
        <v>0</v>
      </c>
      <c r="BB498" s="144">
        <f>VLOOKUP(B498,Precificação!$B$96:$BW$533,62,0)</f>
        <v>0</v>
      </c>
      <c r="BC498" s="144">
        <f t="shared" si="446"/>
        <v>0</v>
      </c>
      <c r="BD498" s="109">
        <f>IFERROR(VLOOKUP(B498,Precificação!$B$96:$S$533,13,0),0)</f>
        <v>0</v>
      </c>
      <c r="BE498" s="109">
        <f>IFERROR(VLOOKUP(B498,Precificação!$B$96:$U$533,15,0)/(Precificação!$U$4+Precificação!$U$91),0)*Dashboard!$T$3</f>
        <v>0</v>
      </c>
    </row>
    <row r="499" spans="2:57" ht="12" customHeight="1" outlineLevel="1">
      <c r="B499" s="137" t="str">
        <f>Precificação!B495</f>
        <v>ENG/ARQ SR. - Equipe_01</v>
      </c>
      <c r="D499" s="512"/>
      <c r="E499" s="143" t="str">
        <f>IF('Cronog. e Histog.'!G648&gt;0,'Cronog. e Histog.'!G648,"")</f>
        <v>ENG/ARQ SR.</v>
      </c>
      <c r="G499" s="179">
        <f t="shared" si="433"/>
        <v>0</v>
      </c>
      <c r="H499" s="110">
        <f>IFERROR(INDEX('Base Salarial'!$D$5:$F$25,MATCH(E499,'Base Salarial'!$G$5:$G$25,0),MATCH(I499,'Base Salarial'!$D$4:$F$4,0)),"")</f>
        <v>16000</v>
      </c>
      <c r="I499" s="78" t="str">
        <f>IFERROR(INDEX(Tarefas!$BQ$29:$FK$29,MATCH(E499,Tarefas!$BQ$30:$FK$30,0)),"")</f>
        <v>PJ</v>
      </c>
      <c r="J499" s="81">
        <f>IF(I499="horista",H499*Dashboard!$D$15,IF(OR(I499="Mensalista",I499="PJ"),H499,))</f>
        <v>16000</v>
      </c>
      <c r="K499" s="81">
        <f>IF(I499="PJ",J499,ROUND(J499*(1+Dashboard!$D$22),2))</f>
        <v>16000</v>
      </c>
      <c r="L499" s="77"/>
      <c r="M499" s="180"/>
      <c r="P499" s="109">
        <f>IF($BD499&gt;0,(((($BD499/Dashboard!$D$15)*(1+Precificação!$W$589)))+$P$26)*(1+Dashboard!$D$35),0)</f>
        <v>0</v>
      </c>
      <c r="Q499" s="109">
        <f>IF($BD499&gt;0,(((($BD499/Dashboard!$D$23)+(1+Precificação!$W$589))*(1+Q$28))+$P$26)*(1+Dashboard!$D$35),0)</f>
        <v>0</v>
      </c>
      <c r="R499" s="109">
        <f>IF($BD499&gt;0,(((($BD499/Dashboard!$D$23)+(1+Precificação!$W$589))*(1+R$28))+$P$26)*(1+Dashboard!$D$35),0)</f>
        <v>0</v>
      </c>
      <c r="S499" s="109">
        <f>IF($BD499&gt;0,(((($BD499/Dashboard!$D$23)+(1+Precificação!$W$589))*(1+S$28))+$P$26)*(1+Dashboard!$D$35),0)</f>
        <v>0</v>
      </c>
      <c r="U499" s="109">
        <f t="shared" si="434"/>
        <v>0</v>
      </c>
      <c r="V499" s="109">
        <f t="shared" si="435"/>
        <v>0</v>
      </c>
      <c r="W499" s="109">
        <f t="shared" si="436"/>
        <v>0</v>
      </c>
      <c r="X499" s="109">
        <f t="shared" si="437"/>
        <v>0</v>
      </c>
      <c r="AA499" s="109">
        <f>IF($BD499&gt;0,(((($BD499/Dashboard!$D$23)*(1+Precificação!$W$589)))+$AA$26)*(1+Dashboard!$D$35),0)</f>
        <v>0</v>
      </c>
      <c r="AB499" s="109">
        <f>IF($BD499&gt;0,(((($BD499/Dashboard!$D$23)*(1+Precificação!$W$589))*(1+AB$28))+$AA$26)*(1+Dashboard!$D$35),0)</f>
        <v>0</v>
      </c>
      <c r="AC499" s="109">
        <f>IF($BD499&gt;0,(((($BD499/Dashboard!$D$23)*(1+Precificação!$W$589))*(1+AC$28))+$AA$26)*(1+Dashboard!$D$35),0)</f>
        <v>0</v>
      </c>
      <c r="AD499" s="109">
        <f>IF($BD499&gt;0,(((($BD499/Dashboard!$D$23)*(1+Precificação!$W$589))*(1+AD$28))+$AA$26)*(1+Dashboard!$D$35),0)</f>
        <v>0</v>
      </c>
      <c r="AF499" s="109">
        <f t="shared" si="438"/>
        <v>0</v>
      </c>
      <c r="AG499" s="109">
        <f t="shared" si="439"/>
        <v>0</v>
      </c>
      <c r="AH499" s="109">
        <f t="shared" si="440"/>
        <v>0</v>
      </c>
      <c r="AI499" s="109">
        <f t="shared" si="441"/>
        <v>0</v>
      </c>
      <c r="AL499" s="109">
        <f>IF($BD499&gt;0,(((($BD499/Dashboard!$D$23)*(1+Precificação!$W$589)))+$AL$26)*(1+Dashboard!$D$35),0)</f>
        <v>0</v>
      </c>
      <c r="AM499" s="109">
        <f>IF($BD499&gt;0,(((($BD499/Dashboard!$D$23)*(1+Precificação!$W$589))*(1+AM$28))+$AA$26)*(1+Dashboard!$D$35),0)</f>
        <v>0</v>
      </c>
      <c r="AN499" s="109">
        <f>IF($BD499&gt;0,(((($BD499/Dashboard!$D$23)*(1+Precificação!$W$589))*(1+AN$28))+$AA$26)*(1+Dashboard!$D$35),0)</f>
        <v>0</v>
      </c>
      <c r="AO499" s="109">
        <f>IF($BD499&gt;0,(((($BD499/Dashboard!$D$23)*(1+Precificação!$W$589))*(1+AO$28))+$AA$26)*(1+Dashboard!$D$35),0)</f>
        <v>0</v>
      </c>
      <c r="AQ499" s="109">
        <f t="shared" si="442"/>
        <v>0</v>
      </c>
      <c r="AR499" s="109">
        <f t="shared" si="443"/>
        <v>0</v>
      </c>
      <c r="AS499" s="109">
        <f t="shared" si="444"/>
        <v>0</v>
      </c>
      <c r="AT499" s="109">
        <f t="shared" si="445"/>
        <v>0</v>
      </c>
      <c r="AW499" s="144">
        <f>VLOOKUP(B499,'Cronog. e Histog.'!$B$213:$BT$688,71,0)</f>
        <v>9.9999999999999985E-3</v>
      </c>
      <c r="AX499" s="144">
        <f>VLOOKUP(B499,'Cronog. e Histog.'!$B$213:$BU$688,72,0)</f>
        <v>10</v>
      </c>
      <c r="AY499" s="144">
        <f>$AW499*$AX499*Dashboard!$D$15</f>
        <v>19.36</v>
      </c>
      <c r="AZ499" s="144">
        <f>VLOOKUP(B499,Precificação!$B$96:$BM$533,54,0)</f>
        <v>0</v>
      </c>
      <c r="BA499" s="144">
        <f>VLOOKUP(B499,Precificação!$B$96:$BR$533,58,0)</f>
        <v>0</v>
      </c>
      <c r="BB499" s="144">
        <f>VLOOKUP(B499,Precificação!$B$96:$BW$533,62,0)</f>
        <v>0</v>
      </c>
      <c r="BC499" s="144">
        <f t="shared" si="446"/>
        <v>19.36</v>
      </c>
      <c r="BD499" s="109">
        <f>IFERROR(VLOOKUP(B499,Precificação!$B$96:$S$533,13,0),0)</f>
        <v>0</v>
      </c>
      <c r="BE499" s="109">
        <f>IFERROR(VLOOKUP(B499,Precificação!$B$96:$U$533,15,0)/(Precificação!$U$4+Precificação!$U$91),0)*Dashboard!$T$3</f>
        <v>0</v>
      </c>
    </row>
    <row r="500" spans="2:57" ht="12" customHeight="1" outlineLevel="1">
      <c r="B500" s="137" t="str">
        <f>Precificação!B496</f>
        <v>ENG/ARQ PL. - Equipe_01</v>
      </c>
      <c r="D500" s="512"/>
      <c r="E500" s="143" t="str">
        <f>IF('Cronog. e Histog.'!G649&gt;0,'Cronog. e Histog.'!G649,"")</f>
        <v>ENG/ARQ PL.</v>
      </c>
      <c r="G500" s="179">
        <f t="shared" si="433"/>
        <v>0</v>
      </c>
      <c r="H500" s="110">
        <f>IFERROR(INDEX('Base Salarial'!$D$5:$F$25,MATCH(E500,'Base Salarial'!$G$5:$G$25,0),MATCH(I500,'Base Salarial'!$D$4:$F$4,0)),"")</f>
        <v>14000</v>
      </c>
      <c r="I500" s="78" t="str">
        <f>IFERROR(INDEX(Tarefas!$BQ$29:$FK$29,MATCH(E500,Tarefas!$BQ$30:$FK$30,0)),"")</f>
        <v>PJ</v>
      </c>
      <c r="J500" s="81">
        <f>IF(I500="horista",H500*Dashboard!$D$15,IF(OR(I500="Mensalista",I500="PJ"),H500,))</f>
        <v>14000</v>
      </c>
      <c r="K500" s="81">
        <f>IF(I500="PJ",J500,ROUND(J500*(1+Dashboard!$D$22),2))</f>
        <v>14000</v>
      </c>
      <c r="L500" s="77"/>
      <c r="M500" s="180"/>
      <c r="P500" s="109">
        <f>IF($BD500&gt;0,(((($BD500/Dashboard!$D$15)*(1+Precificação!$W$589)))+$P$26)*(1+Dashboard!$D$35),0)</f>
        <v>0</v>
      </c>
      <c r="Q500" s="109">
        <f>IF($BD500&gt;0,(((($BD500/Dashboard!$D$23)+(1+Precificação!$W$589))*(1+Q$28))+$P$26)*(1+Dashboard!$D$35),0)</f>
        <v>0</v>
      </c>
      <c r="R500" s="109">
        <f>IF($BD500&gt;0,(((($BD500/Dashboard!$D$23)+(1+Precificação!$W$589))*(1+R$28))+$P$26)*(1+Dashboard!$D$35),0)</f>
        <v>0</v>
      </c>
      <c r="S500" s="109">
        <f>IF($BD500&gt;0,(((($BD500/Dashboard!$D$23)+(1+Precificação!$W$589))*(1+S$28))+$P$26)*(1+Dashboard!$D$35),0)</f>
        <v>0</v>
      </c>
      <c r="U500" s="109">
        <f t="shared" si="434"/>
        <v>0</v>
      </c>
      <c r="V500" s="109">
        <f t="shared" si="435"/>
        <v>0</v>
      </c>
      <c r="W500" s="109">
        <f t="shared" si="436"/>
        <v>0</v>
      </c>
      <c r="X500" s="109">
        <f t="shared" si="437"/>
        <v>0</v>
      </c>
      <c r="AA500" s="109">
        <f>IF($BD500&gt;0,(((($BD500/Dashboard!$D$23)*(1+Precificação!$W$589)))+$AA$26)*(1+Dashboard!$D$35),0)</f>
        <v>0</v>
      </c>
      <c r="AB500" s="109">
        <f>IF($BD500&gt;0,(((($BD500/Dashboard!$D$23)*(1+Precificação!$W$589))*(1+AB$28))+$AA$26)*(1+Dashboard!$D$35),0)</f>
        <v>0</v>
      </c>
      <c r="AC500" s="109">
        <f>IF($BD500&gt;0,(((($BD500/Dashboard!$D$23)*(1+Precificação!$W$589))*(1+AC$28))+$AA$26)*(1+Dashboard!$D$35),0)</f>
        <v>0</v>
      </c>
      <c r="AD500" s="109">
        <f>IF($BD500&gt;0,(((($BD500/Dashboard!$D$23)*(1+Precificação!$W$589))*(1+AD$28))+$AA$26)*(1+Dashboard!$D$35),0)</f>
        <v>0</v>
      </c>
      <c r="AF500" s="109">
        <f t="shared" si="438"/>
        <v>0</v>
      </c>
      <c r="AG500" s="109">
        <f t="shared" si="439"/>
        <v>0</v>
      </c>
      <c r="AH500" s="109">
        <f t="shared" si="440"/>
        <v>0</v>
      </c>
      <c r="AI500" s="109">
        <f t="shared" si="441"/>
        <v>0</v>
      </c>
      <c r="AL500" s="109">
        <f>IF($BD500&gt;0,(((($BD500/Dashboard!$D$23)*(1+Precificação!$W$589)))+$AL$26)*(1+Dashboard!$D$35),0)</f>
        <v>0</v>
      </c>
      <c r="AM500" s="109">
        <f>IF($BD500&gt;0,(((($BD500/Dashboard!$D$23)*(1+Precificação!$W$589))*(1+AM$28))+$AA$26)*(1+Dashboard!$D$35),0)</f>
        <v>0</v>
      </c>
      <c r="AN500" s="109">
        <f>IF($BD500&gt;0,(((($BD500/Dashboard!$D$23)*(1+Precificação!$W$589))*(1+AN$28))+$AA$26)*(1+Dashboard!$D$35),0)</f>
        <v>0</v>
      </c>
      <c r="AO500" s="109">
        <f>IF($BD500&gt;0,(((($BD500/Dashboard!$D$23)*(1+Precificação!$W$589))*(1+AO$28))+$AA$26)*(1+Dashboard!$D$35),0)</f>
        <v>0</v>
      </c>
      <c r="AQ500" s="109">
        <f t="shared" si="442"/>
        <v>0</v>
      </c>
      <c r="AR500" s="109">
        <f t="shared" si="443"/>
        <v>0</v>
      </c>
      <c r="AS500" s="109">
        <f t="shared" si="444"/>
        <v>0</v>
      </c>
      <c r="AT500" s="109">
        <f t="shared" si="445"/>
        <v>0</v>
      </c>
      <c r="AW500" s="144">
        <f>VLOOKUP(B500,'Cronog. e Histog.'!$B$213:$BT$688,71,0)</f>
        <v>0</v>
      </c>
      <c r="AX500" s="144">
        <f>VLOOKUP(B500,'Cronog. e Histog.'!$B$213:$BU$688,72,0)</f>
        <v>0</v>
      </c>
      <c r="AY500" s="144">
        <f>$AW500*$AX500*Dashboard!$D$15</f>
        <v>0</v>
      </c>
      <c r="AZ500" s="144">
        <f>VLOOKUP(B500,Precificação!$B$96:$BM$533,54,0)</f>
        <v>0</v>
      </c>
      <c r="BA500" s="144">
        <f>VLOOKUP(B500,Precificação!$B$96:$BR$533,58,0)</f>
        <v>0</v>
      </c>
      <c r="BB500" s="144">
        <f>VLOOKUP(B500,Precificação!$B$96:$BW$533,62,0)</f>
        <v>0</v>
      </c>
      <c r="BC500" s="144">
        <f t="shared" si="446"/>
        <v>0</v>
      </c>
      <c r="BD500" s="109">
        <f>IFERROR(VLOOKUP(B500,Precificação!$B$96:$S$533,13,0),0)</f>
        <v>0</v>
      </c>
      <c r="BE500" s="109">
        <f>IFERROR(VLOOKUP(B500,Precificação!$B$96:$U$533,15,0)/(Precificação!$U$4+Precificação!$U$91),0)*Dashboard!$T$3</f>
        <v>0</v>
      </c>
    </row>
    <row r="501" spans="2:57" ht="12" customHeight="1" outlineLevel="1">
      <c r="B501" s="137" t="str">
        <f>Precificação!B497</f>
        <v>ENG/ARQ JR. - Equipe_01</v>
      </c>
      <c r="D501" s="512"/>
      <c r="E501" s="143" t="str">
        <f>IF('Cronog. e Histog.'!G650&gt;0,'Cronog. e Histog.'!G650,"")</f>
        <v>ENG/ARQ JR.</v>
      </c>
      <c r="G501" s="179">
        <f t="shared" si="433"/>
        <v>0</v>
      </c>
      <c r="H501" s="110">
        <f>IFERROR(INDEX('Base Salarial'!$D$5:$F$25,MATCH(E501,'Base Salarial'!$G$5:$G$25,0),MATCH(I501,'Base Salarial'!$D$4:$F$4,0)),"")</f>
        <v>14000</v>
      </c>
      <c r="I501" s="78" t="str">
        <f>IFERROR(INDEX(Tarefas!$BQ$29:$FK$29,MATCH(E501,Tarefas!$BQ$30:$FK$30,0)),"")</f>
        <v>PJ</v>
      </c>
      <c r="J501" s="81">
        <f>IF(I501="horista",H501*Dashboard!$D$15,IF(OR(I501="Mensalista",I501="PJ"),H501,))</f>
        <v>14000</v>
      </c>
      <c r="K501" s="81">
        <f>IF(I501="PJ",J501,ROUND(J501*(1+Dashboard!$D$22),2))</f>
        <v>14000</v>
      </c>
      <c r="L501" s="77"/>
      <c r="M501" s="180"/>
      <c r="P501" s="109">
        <f>IF($BD501&gt;0,(((($BD501/Dashboard!$D$15)*(1+Precificação!$W$589)))+$P$26)*(1+Dashboard!$D$35),0)</f>
        <v>0</v>
      </c>
      <c r="Q501" s="109">
        <f>IF($BD501&gt;0,(((($BD501/Dashboard!$D$23)+(1+Precificação!$W$589))*(1+Q$28))+$P$26)*(1+Dashboard!$D$35),0)</f>
        <v>0</v>
      </c>
      <c r="R501" s="109">
        <f>IF($BD501&gt;0,(((($BD501/Dashboard!$D$23)+(1+Precificação!$W$589))*(1+R$28))+$P$26)*(1+Dashboard!$D$35),0)</f>
        <v>0</v>
      </c>
      <c r="S501" s="109">
        <f>IF($BD501&gt;0,(((($BD501/Dashboard!$D$23)+(1+Precificação!$W$589))*(1+S$28))+$P$26)*(1+Dashboard!$D$35),0)</f>
        <v>0</v>
      </c>
      <c r="U501" s="109">
        <f t="shared" si="434"/>
        <v>0</v>
      </c>
      <c r="V501" s="109">
        <f t="shared" si="435"/>
        <v>0</v>
      </c>
      <c r="W501" s="109">
        <f t="shared" si="436"/>
        <v>0</v>
      </c>
      <c r="X501" s="109">
        <f t="shared" si="437"/>
        <v>0</v>
      </c>
      <c r="AA501" s="109">
        <f>IF($BD501&gt;0,(((($BD501/Dashboard!$D$23)*(1+Precificação!$W$589)))+$AA$26)*(1+Dashboard!$D$35),0)</f>
        <v>0</v>
      </c>
      <c r="AB501" s="109">
        <f>IF($BD501&gt;0,(((($BD501/Dashboard!$D$23)*(1+Precificação!$W$589))*(1+AB$28))+$AA$26)*(1+Dashboard!$D$35),0)</f>
        <v>0</v>
      </c>
      <c r="AC501" s="109">
        <f>IF($BD501&gt;0,(((($BD501/Dashboard!$D$23)*(1+Precificação!$W$589))*(1+AC$28))+$AA$26)*(1+Dashboard!$D$35),0)</f>
        <v>0</v>
      </c>
      <c r="AD501" s="109">
        <f>IF($BD501&gt;0,(((($BD501/Dashboard!$D$23)*(1+Precificação!$W$589))*(1+AD$28))+$AA$26)*(1+Dashboard!$D$35),0)</f>
        <v>0</v>
      </c>
      <c r="AF501" s="109">
        <f t="shared" si="438"/>
        <v>0</v>
      </c>
      <c r="AG501" s="109">
        <f t="shared" si="439"/>
        <v>0</v>
      </c>
      <c r="AH501" s="109">
        <f t="shared" si="440"/>
        <v>0</v>
      </c>
      <c r="AI501" s="109">
        <f t="shared" si="441"/>
        <v>0</v>
      </c>
      <c r="AL501" s="109">
        <f>IF($BD501&gt;0,(((($BD501/Dashboard!$D$23)*(1+Precificação!$W$589)))+$AL$26)*(1+Dashboard!$D$35),0)</f>
        <v>0</v>
      </c>
      <c r="AM501" s="109">
        <f>IF($BD501&gt;0,(((($BD501/Dashboard!$D$23)*(1+Precificação!$W$589))*(1+AM$28))+$AA$26)*(1+Dashboard!$D$35),0)</f>
        <v>0</v>
      </c>
      <c r="AN501" s="109">
        <f>IF($BD501&gt;0,(((($BD501/Dashboard!$D$23)*(1+Precificação!$W$589))*(1+AN$28))+$AA$26)*(1+Dashboard!$D$35),0)</f>
        <v>0</v>
      </c>
      <c r="AO501" s="109">
        <f>IF($BD501&gt;0,(((($BD501/Dashboard!$D$23)*(1+Precificação!$W$589))*(1+AO$28))+$AA$26)*(1+Dashboard!$D$35),0)</f>
        <v>0</v>
      </c>
      <c r="AQ501" s="109">
        <f t="shared" si="442"/>
        <v>0</v>
      </c>
      <c r="AR501" s="109">
        <f t="shared" si="443"/>
        <v>0</v>
      </c>
      <c r="AS501" s="109">
        <f t="shared" si="444"/>
        <v>0</v>
      </c>
      <c r="AT501" s="109">
        <f t="shared" si="445"/>
        <v>0</v>
      </c>
      <c r="AW501" s="144">
        <f>VLOOKUP(B501,'Cronog. e Histog.'!$B$213:$BT$688,71,0)</f>
        <v>0</v>
      </c>
      <c r="AX501" s="144">
        <f>VLOOKUP(B501,'Cronog. e Histog.'!$B$213:$BU$688,72,0)</f>
        <v>0</v>
      </c>
      <c r="AY501" s="144">
        <f>$AW501*$AX501*Dashboard!$D$15</f>
        <v>0</v>
      </c>
      <c r="AZ501" s="144">
        <f>VLOOKUP(B501,Precificação!$B$96:$BM$533,54,0)</f>
        <v>0</v>
      </c>
      <c r="BA501" s="144">
        <f>VLOOKUP(B501,Precificação!$B$96:$BR$533,58,0)</f>
        <v>0</v>
      </c>
      <c r="BB501" s="144">
        <f>VLOOKUP(B501,Precificação!$B$96:$BW$533,62,0)</f>
        <v>0</v>
      </c>
      <c r="BC501" s="144">
        <f t="shared" si="446"/>
        <v>0</v>
      </c>
      <c r="BD501" s="109">
        <f>IFERROR(VLOOKUP(B501,Precificação!$B$96:$S$533,13,0),0)</f>
        <v>0</v>
      </c>
      <c r="BE501" s="109">
        <f>IFERROR(VLOOKUP(B501,Precificação!$B$96:$U$533,15,0)/(Precificação!$U$4+Precificação!$U$91),0)*Dashboard!$T$3</f>
        <v>0</v>
      </c>
    </row>
    <row r="502" spans="2:57" ht="12" customHeight="1" outlineLevel="1">
      <c r="B502" s="137" t="str">
        <f>Precificação!B498</f>
        <v>AN SR. ENG/ARQ - Equipe_01</v>
      </c>
      <c r="D502" s="512"/>
      <c r="E502" s="143" t="str">
        <f>IF('Cronog. e Histog.'!G651&gt;0,'Cronog. e Histog.'!G651,"")</f>
        <v>AN SR. ENG/ARQ</v>
      </c>
      <c r="G502" s="179">
        <f t="shared" si="433"/>
        <v>0</v>
      </c>
      <c r="H502" s="110">
        <f>IFERROR(INDEX('Base Salarial'!$D$5:$F$25,MATCH(E502,'Base Salarial'!$G$5:$G$25,0),MATCH(I502,'Base Salarial'!$D$4:$F$4,0)),"")</f>
        <v>7500</v>
      </c>
      <c r="I502" s="78" t="str">
        <f>IFERROR(INDEX(Tarefas!$BQ$29:$FK$29,MATCH(E502,Tarefas!$BQ$30:$FK$30,0)),"")</f>
        <v>Mensalista</v>
      </c>
      <c r="J502" s="81">
        <f>IF(I502="horista",H502*Dashboard!$D$15,IF(OR(I502="Mensalista",I502="PJ"),H502,))</f>
        <v>7500</v>
      </c>
      <c r="K502" s="81">
        <f>IF(I502="PJ",J502,ROUND(J502*(1+Dashboard!$D$22),2))</f>
        <v>7950</v>
      </c>
      <c r="L502" s="77"/>
      <c r="M502" s="180"/>
      <c r="P502" s="109">
        <f>IF($BD502&gt;0,(((($BD502/Dashboard!$D$15)*(1+Precificação!$W$589)))+$P$26)*(1+Dashboard!$D$35),0)</f>
        <v>0</v>
      </c>
      <c r="Q502" s="109">
        <f>IF($BD502&gt;0,(((($BD502/Dashboard!$D$23)+(1+Precificação!$W$589))*(1+Q$28))+$P$26)*(1+Dashboard!$D$35),0)</f>
        <v>0</v>
      </c>
      <c r="R502" s="109">
        <f>IF($BD502&gt;0,(((($BD502/Dashboard!$D$23)+(1+Precificação!$W$589))*(1+R$28))+$P$26)*(1+Dashboard!$D$35),0)</f>
        <v>0</v>
      </c>
      <c r="S502" s="109">
        <f>IF($BD502&gt;0,(((($BD502/Dashboard!$D$23)+(1+Precificação!$W$589))*(1+S$28))+$P$26)*(1+Dashboard!$D$35),0)</f>
        <v>0</v>
      </c>
      <c r="U502" s="109">
        <f t="shared" si="434"/>
        <v>0</v>
      </c>
      <c r="V502" s="109">
        <f t="shared" si="435"/>
        <v>0</v>
      </c>
      <c r="W502" s="109">
        <f t="shared" si="436"/>
        <v>0</v>
      </c>
      <c r="X502" s="109">
        <f t="shared" si="437"/>
        <v>0</v>
      </c>
      <c r="AA502" s="109">
        <f>IF($BD502&gt;0,(((($BD502/Dashboard!$D$23)*(1+Precificação!$W$589)))+$AA$26)*(1+Dashboard!$D$35),0)</f>
        <v>0</v>
      </c>
      <c r="AB502" s="109">
        <f>IF($BD502&gt;0,(((($BD502/Dashboard!$D$23)*(1+Precificação!$W$589))*(1+AB$28))+$AA$26)*(1+Dashboard!$D$35),0)</f>
        <v>0</v>
      </c>
      <c r="AC502" s="109">
        <f>IF($BD502&gt;0,(((($BD502/Dashboard!$D$23)*(1+Precificação!$W$589))*(1+AC$28))+$AA$26)*(1+Dashboard!$D$35),0)</f>
        <v>0</v>
      </c>
      <c r="AD502" s="109">
        <f>IF($BD502&gt;0,(((($BD502/Dashboard!$D$23)*(1+Precificação!$W$589))*(1+AD$28))+$AA$26)*(1+Dashboard!$D$35),0)</f>
        <v>0</v>
      </c>
      <c r="AF502" s="109">
        <f t="shared" si="438"/>
        <v>0</v>
      </c>
      <c r="AG502" s="109">
        <f t="shared" si="439"/>
        <v>0</v>
      </c>
      <c r="AH502" s="109">
        <f t="shared" si="440"/>
        <v>0</v>
      </c>
      <c r="AI502" s="109">
        <f t="shared" si="441"/>
        <v>0</v>
      </c>
      <c r="AL502" s="109">
        <f>IF($BD502&gt;0,(((($BD502/Dashboard!$D$23)*(1+Precificação!$W$589)))+$AL$26)*(1+Dashboard!$D$35),0)</f>
        <v>0</v>
      </c>
      <c r="AM502" s="109">
        <f>IF($BD502&gt;0,(((($BD502/Dashboard!$D$23)*(1+Precificação!$W$589))*(1+AM$28))+$AA$26)*(1+Dashboard!$D$35),0)</f>
        <v>0</v>
      </c>
      <c r="AN502" s="109">
        <f>IF($BD502&gt;0,(((($BD502/Dashboard!$D$23)*(1+Precificação!$W$589))*(1+AN$28))+$AA$26)*(1+Dashboard!$D$35),0)</f>
        <v>0</v>
      </c>
      <c r="AO502" s="109">
        <f>IF($BD502&gt;0,(((($BD502/Dashboard!$D$23)*(1+Precificação!$W$589))*(1+AO$28))+$AA$26)*(1+Dashboard!$D$35),0)</f>
        <v>0</v>
      </c>
      <c r="AQ502" s="109">
        <f t="shared" si="442"/>
        <v>0</v>
      </c>
      <c r="AR502" s="109">
        <f t="shared" si="443"/>
        <v>0</v>
      </c>
      <c r="AS502" s="109">
        <f t="shared" si="444"/>
        <v>0</v>
      </c>
      <c r="AT502" s="109">
        <f t="shared" si="445"/>
        <v>0</v>
      </c>
      <c r="AW502" s="144">
        <f>VLOOKUP(B502,'Cronog. e Histog.'!$B$213:$BT$688,71,0)</f>
        <v>0</v>
      </c>
      <c r="AX502" s="144">
        <f>VLOOKUP(B502,'Cronog. e Histog.'!$B$213:$BU$688,72,0)</f>
        <v>0</v>
      </c>
      <c r="AY502" s="144">
        <f>$AW502*$AX502*Dashboard!$D$15</f>
        <v>0</v>
      </c>
      <c r="AZ502" s="144">
        <f>VLOOKUP(B502,Precificação!$B$96:$BM$533,54,0)</f>
        <v>0</v>
      </c>
      <c r="BA502" s="144">
        <f>VLOOKUP(B502,Precificação!$B$96:$BR$533,58,0)</f>
        <v>0</v>
      </c>
      <c r="BB502" s="144">
        <f>VLOOKUP(B502,Precificação!$B$96:$BW$533,62,0)</f>
        <v>0</v>
      </c>
      <c r="BC502" s="144">
        <f t="shared" si="446"/>
        <v>0</v>
      </c>
      <c r="BD502" s="109">
        <f>IFERROR(VLOOKUP(B502,Precificação!$B$96:$S$533,13,0),0)</f>
        <v>0</v>
      </c>
      <c r="BE502" s="109">
        <f>IFERROR(VLOOKUP(B502,Precificação!$B$96:$U$533,15,0)/(Precificação!$U$4+Precificação!$U$91),0)*Dashboard!$T$3</f>
        <v>0</v>
      </c>
    </row>
    <row r="503" spans="2:57" ht="12" customHeight="1" outlineLevel="1">
      <c r="B503" s="137" t="str">
        <f>Precificação!B499</f>
        <v>AN PL. ENG/ARQ - Equipe_01</v>
      </c>
      <c r="D503" s="512"/>
      <c r="E503" s="143" t="str">
        <f>IF('Cronog. e Histog.'!G652&gt;0,'Cronog. e Histog.'!G652,"")</f>
        <v>AN PL. ENG/ARQ</v>
      </c>
      <c r="G503" s="179">
        <f t="shared" si="433"/>
        <v>0</v>
      </c>
      <c r="H503" s="110">
        <f>IFERROR(INDEX('Base Salarial'!$D$5:$F$25,MATCH(E503,'Base Salarial'!$G$5:$G$25,0),MATCH(I503,'Base Salarial'!$D$4:$F$4,0)),"")</f>
        <v>6000</v>
      </c>
      <c r="I503" s="78" t="str">
        <f>IFERROR(INDEX(Tarefas!$BQ$29:$FK$29,MATCH(E503,Tarefas!$BQ$30:$FK$30,0)),"")</f>
        <v>Mensalista</v>
      </c>
      <c r="J503" s="81">
        <f>IF(I503="horista",H503*Dashboard!$D$15,IF(OR(I503="Mensalista",I503="PJ"),H503,))</f>
        <v>6000</v>
      </c>
      <c r="K503" s="81">
        <f>IF(I503="PJ",J503,ROUND(J503*(1+Dashboard!$D$22),2))</f>
        <v>6360</v>
      </c>
      <c r="L503" s="77"/>
      <c r="M503" s="180"/>
      <c r="P503" s="109">
        <f>IF($BD503&gt;0,(((($BD503/Dashboard!$D$15)*(1+Precificação!$W$589)))+$P$26)*(1+Dashboard!$D$35),0)</f>
        <v>0</v>
      </c>
      <c r="Q503" s="109">
        <f>IF($BD503&gt;0,(((($BD503/Dashboard!$D$23)+(1+Precificação!$W$589))*(1+Q$28))+$P$26)*(1+Dashboard!$D$35),0)</f>
        <v>0</v>
      </c>
      <c r="R503" s="109">
        <f>IF($BD503&gt;0,(((($BD503/Dashboard!$D$23)+(1+Precificação!$W$589))*(1+R$28))+$P$26)*(1+Dashboard!$D$35),0)</f>
        <v>0</v>
      </c>
      <c r="S503" s="109">
        <f>IF($BD503&gt;0,(((($BD503/Dashboard!$D$23)+(1+Precificação!$W$589))*(1+S$28))+$P$26)*(1+Dashboard!$D$35),0)</f>
        <v>0</v>
      </c>
      <c r="U503" s="109">
        <f t="shared" si="434"/>
        <v>0</v>
      </c>
      <c r="V503" s="109">
        <f t="shared" si="435"/>
        <v>0</v>
      </c>
      <c r="W503" s="109">
        <f t="shared" si="436"/>
        <v>0</v>
      </c>
      <c r="X503" s="109">
        <f t="shared" si="437"/>
        <v>0</v>
      </c>
      <c r="AA503" s="109">
        <f>IF($BD503&gt;0,(((($BD503/Dashboard!$D$23)*(1+Precificação!$W$589)))+$AA$26)*(1+Dashboard!$D$35),0)</f>
        <v>0</v>
      </c>
      <c r="AB503" s="109">
        <f>IF($BD503&gt;0,(((($BD503/Dashboard!$D$23)*(1+Precificação!$W$589))*(1+AB$28))+$AA$26)*(1+Dashboard!$D$35),0)</f>
        <v>0</v>
      </c>
      <c r="AC503" s="109">
        <f>IF($BD503&gt;0,(((($BD503/Dashboard!$D$23)*(1+Precificação!$W$589))*(1+AC$28))+$AA$26)*(1+Dashboard!$D$35),0)</f>
        <v>0</v>
      </c>
      <c r="AD503" s="109">
        <f>IF($BD503&gt;0,(((($BD503/Dashboard!$D$23)*(1+Precificação!$W$589))*(1+AD$28))+$AA$26)*(1+Dashboard!$D$35),0)</f>
        <v>0</v>
      </c>
      <c r="AF503" s="109">
        <f t="shared" si="438"/>
        <v>0</v>
      </c>
      <c r="AG503" s="109">
        <f t="shared" si="439"/>
        <v>0</v>
      </c>
      <c r="AH503" s="109">
        <f t="shared" si="440"/>
        <v>0</v>
      </c>
      <c r="AI503" s="109">
        <f t="shared" si="441"/>
        <v>0</v>
      </c>
      <c r="AL503" s="109">
        <f>IF($BD503&gt;0,(((($BD503/Dashboard!$D$23)*(1+Precificação!$W$589)))+$AL$26)*(1+Dashboard!$D$35),0)</f>
        <v>0</v>
      </c>
      <c r="AM503" s="109">
        <f>IF($BD503&gt;0,(((($BD503/Dashboard!$D$23)*(1+Precificação!$W$589))*(1+AM$28))+$AA$26)*(1+Dashboard!$D$35),0)</f>
        <v>0</v>
      </c>
      <c r="AN503" s="109">
        <f>IF($BD503&gt;0,(((($BD503/Dashboard!$D$23)*(1+Precificação!$W$589))*(1+AN$28))+$AA$26)*(1+Dashboard!$D$35),0)</f>
        <v>0</v>
      </c>
      <c r="AO503" s="109">
        <f>IF($BD503&gt;0,(((($BD503/Dashboard!$D$23)*(1+Precificação!$W$589))*(1+AO$28))+$AA$26)*(1+Dashboard!$D$35),0)</f>
        <v>0</v>
      </c>
      <c r="AQ503" s="109">
        <f t="shared" si="442"/>
        <v>0</v>
      </c>
      <c r="AR503" s="109">
        <f t="shared" si="443"/>
        <v>0</v>
      </c>
      <c r="AS503" s="109">
        <f t="shared" si="444"/>
        <v>0</v>
      </c>
      <c r="AT503" s="109">
        <f t="shared" si="445"/>
        <v>0</v>
      </c>
      <c r="AW503" s="144">
        <f>VLOOKUP(B503,'Cronog. e Histog.'!$B$213:$BT$688,71,0)</f>
        <v>0</v>
      </c>
      <c r="AX503" s="144">
        <f>VLOOKUP(B503,'Cronog. e Histog.'!$B$213:$BU$688,72,0)</f>
        <v>0</v>
      </c>
      <c r="AY503" s="144">
        <f>$AW503*$AX503*Dashboard!$D$15</f>
        <v>0</v>
      </c>
      <c r="AZ503" s="144">
        <f>VLOOKUP(B503,Precificação!$B$96:$BM$533,54,0)</f>
        <v>0</v>
      </c>
      <c r="BA503" s="144">
        <f>VLOOKUP(B503,Precificação!$B$96:$BR$533,58,0)</f>
        <v>0</v>
      </c>
      <c r="BB503" s="144">
        <f>VLOOKUP(B503,Precificação!$B$96:$BW$533,62,0)</f>
        <v>0</v>
      </c>
      <c r="BC503" s="144">
        <f t="shared" si="446"/>
        <v>0</v>
      </c>
      <c r="BD503" s="109">
        <f>IFERROR(VLOOKUP(B503,Precificação!$B$96:$S$533,13,0),0)</f>
        <v>0</v>
      </c>
      <c r="BE503" s="109">
        <f>IFERROR(VLOOKUP(B503,Precificação!$B$96:$U$533,15,0)/(Precificação!$U$4+Precificação!$U$91),0)*Dashboard!$T$3</f>
        <v>0</v>
      </c>
    </row>
    <row r="504" spans="2:57" ht="12" customHeight="1" outlineLevel="1">
      <c r="B504" s="137" t="str">
        <f>Precificação!B500</f>
        <v>AN JR. ENG/ARQ - Equipe_01</v>
      </c>
      <c r="D504" s="512"/>
      <c r="E504" s="143" t="str">
        <f>IF('Cronog. e Histog.'!G653&gt;0,'Cronog. e Histog.'!G653,"")</f>
        <v>AN JR. ENG/ARQ</v>
      </c>
      <c r="G504" s="179">
        <f t="shared" si="433"/>
        <v>0</v>
      </c>
      <c r="H504" s="110">
        <f>IFERROR(INDEX('Base Salarial'!$D$5:$F$25,MATCH(E504,'Base Salarial'!$G$5:$G$25,0),MATCH(I504,'Base Salarial'!$D$4:$F$4,0)),"")</f>
        <v>4500</v>
      </c>
      <c r="I504" s="78" t="str">
        <f>IFERROR(INDEX(Tarefas!$BQ$29:$FK$29,MATCH(E504,Tarefas!$BQ$30:$FK$30,0)),"")</f>
        <v>Mensalista</v>
      </c>
      <c r="J504" s="81">
        <f>IF(I504="horista",H504*Dashboard!$D$15,IF(OR(I504="Mensalista",I504="PJ"),H504,))</f>
        <v>4500</v>
      </c>
      <c r="K504" s="81">
        <f>IF(I504="PJ",J504,ROUND(J504*(1+Dashboard!$D$22),2))</f>
        <v>4770</v>
      </c>
      <c r="L504" s="77"/>
      <c r="M504" s="180"/>
      <c r="P504" s="109">
        <f>IF($BD504&gt;0,(((($BD504/Dashboard!$D$15)*(1+Precificação!$W$589)))+$P$26)*(1+Dashboard!$D$35),0)</f>
        <v>0</v>
      </c>
      <c r="Q504" s="109">
        <f>IF($BD504&gt;0,(((($BD504/Dashboard!$D$23)+(1+Precificação!$W$589))*(1+Q$28))+$P$26)*(1+Dashboard!$D$35),0)</f>
        <v>0</v>
      </c>
      <c r="R504" s="109">
        <f>IF($BD504&gt;0,(((($BD504/Dashboard!$D$23)+(1+Precificação!$W$589))*(1+R$28))+$P$26)*(1+Dashboard!$D$35),0)</f>
        <v>0</v>
      </c>
      <c r="S504" s="109">
        <f>IF($BD504&gt;0,(((($BD504/Dashboard!$D$23)+(1+Precificação!$W$589))*(1+S$28))+$P$26)*(1+Dashboard!$D$35),0)</f>
        <v>0</v>
      </c>
      <c r="U504" s="109">
        <f t="shared" si="434"/>
        <v>0</v>
      </c>
      <c r="V504" s="109">
        <f t="shared" si="435"/>
        <v>0</v>
      </c>
      <c r="W504" s="109">
        <f t="shared" si="436"/>
        <v>0</v>
      </c>
      <c r="X504" s="109">
        <f t="shared" si="437"/>
        <v>0</v>
      </c>
      <c r="AA504" s="109">
        <f>IF($BD504&gt;0,(((($BD504/Dashboard!$D$23)*(1+Precificação!$W$589)))+$AA$26)*(1+Dashboard!$D$35),0)</f>
        <v>0</v>
      </c>
      <c r="AB504" s="109">
        <f>IF($BD504&gt;0,(((($BD504/Dashboard!$D$23)*(1+Precificação!$W$589))*(1+AB$28))+$AA$26)*(1+Dashboard!$D$35),0)</f>
        <v>0</v>
      </c>
      <c r="AC504" s="109">
        <f>IF($BD504&gt;0,(((($BD504/Dashboard!$D$23)*(1+Precificação!$W$589))*(1+AC$28))+$AA$26)*(1+Dashboard!$D$35),0)</f>
        <v>0</v>
      </c>
      <c r="AD504" s="109">
        <f>IF($BD504&gt;0,(((($BD504/Dashboard!$D$23)*(1+Precificação!$W$589))*(1+AD$28))+$AA$26)*(1+Dashboard!$D$35),0)</f>
        <v>0</v>
      </c>
      <c r="AF504" s="109">
        <f t="shared" si="438"/>
        <v>0</v>
      </c>
      <c r="AG504" s="109">
        <f t="shared" si="439"/>
        <v>0</v>
      </c>
      <c r="AH504" s="109">
        <f t="shared" si="440"/>
        <v>0</v>
      </c>
      <c r="AI504" s="109">
        <f t="shared" si="441"/>
        <v>0</v>
      </c>
      <c r="AL504" s="109">
        <f>IF($BD504&gt;0,(((($BD504/Dashboard!$D$23)*(1+Precificação!$W$589)))+$AL$26)*(1+Dashboard!$D$35),0)</f>
        <v>0</v>
      </c>
      <c r="AM504" s="109">
        <f>IF($BD504&gt;0,(((($BD504/Dashboard!$D$23)*(1+Precificação!$W$589))*(1+AM$28))+$AA$26)*(1+Dashboard!$D$35),0)</f>
        <v>0</v>
      </c>
      <c r="AN504" s="109">
        <f>IF($BD504&gt;0,(((($BD504/Dashboard!$D$23)*(1+Precificação!$W$589))*(1+AN$28))+$AA$26)*(1+Dashboard!$D$35),0)</f>
        <v>0</v>
      </c>
      <c r="AO504" s="109">
        <f>IF($BD504&gt;0,(((($BD504/Dashboard!$D$23)*(1+Precificação!$W$589))*(1+AO$28))+$AA$26)*(1+Dashboard!$D$35),0)</f>
        <v>0</v>
      </c>
      <c r="AQ504" s="109">
        <f t="shared" si="442"/>
        <v>0</v>
      </c>
      <c r="AR504" s="109">
        <f t="shared" si="443"/>
        <v>0</v>
      </c>
      <c r="AS504" s="109">
        <f t="shared" si="444"/>
        <v>0</v>
      </c>
      <c r="AT504" s="109">
        <f t="shared" si="445"/>
        <v>0</v>
      </c>
      <c r="AW504" s="144">
        <f>VLOOKUP(B504,'Cronog. e Histog.'!$B$213:$BT$688,71,0)</f>
        <v>0</v>
      </c>
      <c r="AX504" s="144">
        <f>VLOOKUP(B504,'Cronog. e Histog.'!$B$213:$BU$688,72,0)</f>
        <v>0</v>
      </c>
      <c r="AY504" s="144">
        <f>$AW504*$AX504*Dashboard!$D$15</f>
        <v>0</v>
      </c>
      <c r="AZ504" s="144">
        <f>VLOOKUP(B504,Precificação!$B$96:$BM$533,54,0)</f>
        <v>0</v>
      </c>
      <c r="BA504" s="144">
        <f>VLOOKUP(B504,Precificação!$B$96:$BR$533,58,0)</f>
        <v>0</v>
      </c>
      <c r="BB504" s="144">
        <f>VLOOKUP(B504,Precificação!$B$96:$BW$533,62,0)</f>
        <v>0</v>
      </c>
      <c r="BC504" s="144">
        <f t="shared" si="446"/>
        <v>0</v>
      </c>
      <c r="BD504" s="109">
        <f>IFERROR(VLOOKUP(B504,Precificação!$B$96:$S$533,13,0),0)</f>
        <v>0</v>
      </c>
      <c r="BE504" s="109">
        <f>IFERROR(VLOOKUP(B504,Precificação!$B$96:$U$533,15,0)/(Precificação!$U$4+Precificação!$U$91),0)*Dashboard!$T$3</f>
        <v>0</v>
      </c>
    </row>
    <row r="505" spans="2:57" ht="12" customHeight="1" outlineLevel="1">
      <c r="B505" s="137" t="str">
        <f>Precificação!B501</f>
        <v>AN SR. ADM/CRP - Equipe_01</v>
      </c>
      <c r="D505" s="512"/>
      <c r="E505" s="143" t="str">
        <f>IF('Cronog. e Histog.'!G654&gt;0,'Cronog. e Histog.'!G654,"")</f>
        <v>AN SR. ADM/CRP</v>
      </c>
      <c r="G505" s="179">
        <f t="shared" si="433"/>
        <v>0</v>
      </c>
      <c r="H505" s="110">
        <f>IFERROR(INDEX('Base Salarial'!$D$5:$F$25,MATCH(E505,'Base Salarial'!$G$5:$G$25,0),MATCH(I505,'Base Salarial'!$D$4:$F$4,0)),"")</f>
        <v>7000</v>
      </c>
      <c r="I505" s="78" t="str">
        <f>IFERROR(INDEX(Tarefas!$BQ$29:$FK$29,MATCH(E505,Tarefas!$BQ$30:$FK$30,0)),"")</f>
        <v>Mensalista</v>
      </c>
      <c r="J505" s="81">
        <f>IF(I505="horista",H505*Dashboard!$D$15,IF(OR(I505="Mensalista",I505="PJ"),H505,))</f>
        <v>7000</v>
      </c>
      <c r="K505" s="81">
        <f>IF(I505="PJ",J505,ROUND(J505*(1+Dashboard!$D$22),2))</f>
        <v>7420</v>
      </c>
      <c r="L505" s="77"/>
      <c r="M505" s="180"/>
      <c r="P505" s="109">
        <f>IF($BD505&gt;0,(((($BD505/Dashboard!$D$15)*(1+Precificação!$W$589)))+$P$26)*(1+Dashboard!$D$35),0)</f>
        <v>0</v>
      </c>
      <c r="Q505" s="109">
        <f>IF($BD505&gt;0,(((($BD505/Dashboard!$D$23)+(1+Precificação!$W$589))*(1+Q$28))+$P$26)*(1+Dashboard!$D$35),0)</f>
        <v>0</v>
      </c>
      <c r="R505" s="109">
        <f>IF($BD505&gt;0,(((($BD505/Dashboard!$D$23)+(1+Precificação!$W$589))*(1+R$28))+$P$26)*(1+Dashboard!$D$35),0)</f>
        <v>0</v>
      </c>
      <c r="S505" s="109">
        <f>IF($BD505&gt;0,(((($BD505/Dashboard!$D$23)+(1+Precificação!$W$589))*(1+S$28))+$P$26)*(1+Dashboard!$D$35),0)</f>
        <v>0</v>
      </c>
      <c r="U505" s="109">
        <f t="shared" si="434"/>
        <v>0</v>
      </c>
      <c r="V505" s="109">
        <f t="shared" si="435"/>
        <v>0</v>
      </c>
      <c r="W505" s="109">
        <f t="shared" si="436"/>
        <v>0</v>
      </c>
      <c r="X505" s="109">
        <f t="shared" si="437"/>
        <v>0</v>
      </c>
      <c r="AA505" s="109">
        <f>IF($BD505&gt;0,(((($BD505/Dashboard!$D$23)*(1+Precificação!$W$589)))+$AA$26)*(1+Dashboard!$D$35),0)</f>
        <v>0</v>
      </c>
      <c r="AB505" s="109">
        <f>IF($BD505&gt;0,(((($BD505/Dashboard!$D$23)*(1+Precificação!$W$589))*(1+AB$28))+$AA$26)*(1+Dashboard!$D$35),0)</f>
        <v>0</v>
      </c>
      <c r="AC505" s="109">
        <f>IF($BD505&gt;0,(((($BD505/Dashboard!$D$23)*(1+Precificação!$W$589))*(1+AC$28))+$AA$26)*(1+Dashboard!$D$35),0)</f>
        <v>0</v>
      </c>
      <c r="AD505" s="109">
        <f>IF($BD505&gt;0,(((($BD505/Dashboard!$D$23)*(1+Precificação!$W$589))*(1+AD$28))+$AA$26)*(1+Dashboard!$D$35),0)</f>
        <v>0</v>
      </c>
      <c r="AF505" s="109">
        <f t="shared" si="438"/>
        <v>0</v>
      </c>
      <c r="AG505" s="109">
        <f t="shared" si="439"/>
        <v>0</v>
      </c>
      <c r="AH505" s="109">
        <f t="shared" si="440"/>
        <v>0</v>
      </c>
      <c r="AI505" s="109">
        <f t="shared" si="441"/>
        <v>0</v>
      </c>
      <c r="AL505" s="109">
        <f>IF($BD505&gt;0,(((($BD505/Dashboard!$D$23)*(1+Precificação!$W$589)))+$AL$26)*(1+Dashboard!$D$35),0)</f>
        <v>0</v>
      </c>
      <c r="AM505" s="109">
        <f>IF($BD505&gt;0,(((($BD505/Dashboard!$D$23)*(1+Precificação!$W$589))*(1+AM$28))+$AA$26)*(1+Dashboard!$D$35),0)</f>
        <v>0</v>
      </c>
      <c r="AN505" s="109">
        <f>IF($BD505&gt;0,(((($BD505/Dashboard!$D$23)*(1+Precificação!$W$589))*(1+AN$28))+$AA$26)*(1+Dashboard!$D$35),0)</f>
        <v>0</v>
      </c>
      <c r="AO505" s="109">
        <f>IF($BD505&gt;0,(((($BD505/Dashboard!$D$23)*(1+Precificação!$W$589))*(1+AO$28))+$AA$26)*(1+Dashboard!$D$35),0)</f>
        <v>0</v>
      </c>
      <c r="AQ505" s="109">
        <f t="shared" si="442"/>
        <v>0</v>
      </c>
      <c r="AR505" s="109">
        <f t="shared" si="443"/>
        <v>0</v>
      </c>
      <c r="AS505" s="109">
        <f t="shared" si="444"/>
        <v>0</v>
      </c>
      <c r="AT505" s="109">
        <f t="shared" si="445"/>
        <v>0</v>
      </c>
      <c r="AW505" s="144">
        <f>VLOOKUP(B505,'Cronog. e Histog.'!$B$213:$BT$688,71,0)</f>
        <v>0</v>
      </c>
      <c r="AX505" s="144">
        <f>VLOOKUP(B505,'Cronog. e Histog.'!$B$213:$BU$688,72,0)</f>
        <v>0</v>
      </c>
      <c r="AY505" s="144">
        <f>$AW505*$AX505*Dashboard!$D$15</f>
        <v>0</v>
      </c>
      <c r="AZ505" s="144">
        <f>VLOOKUP(B505,Precificação!$B$96:$BM$533,54,0)</f>
        <v>0</v>
      </c>
      <c r="BA505" s="144">
        <f>VLOOKUP(B505,Precificação!$B$96:$BR$533,58,0)</f>
        <v>0</v>
      </c>
      <c r="BB505" s="144">
        <f>VLOOKUP(B505,Precificação!$B$96:$BW$533,62,0)</f>
        <v>0</v>
      </c>
      <c r="BC505" s="144">
        <f t="shared" si="446"/>
        <v>0</v>
      </c>
      <c r="BD505" s="109">
        <f>IFERROR(VLOOKUP(B505,Precificação!$B$96:$S$533,13,0),0)</f>
        <v>0</v>
      </c>
      <c r="BE505" s="109">
        <f>IFERROR(VLOOKUP(B505,Precificação!$B$96:$U$533,15,0)/(Precificação!$U$4+Precificação!$U$91),0)*Dashboard!$T$3</f>
        <v>0</v>
      </c>
    </row>
    <row r="506" spans="2:57" ht="12" customHeight="1" outlineLevel="1">
      <c r="B506" s="137" t="str">
        <f>Precificação!B502</f>
        <v>AN PL. ADM/CRP - Equipe_01</v>
      </c>
      <c r="D506" s="512"/>
      <c r="E506" s="143" t="str">
        <f>IF('Cronog. e Histog.'!G655&gt;0,'Cronog. e Histog.'!G655,"")</f>
        <v>AN PL. ADM/CRP</v>
      </c>
      <c r="G506" s="179">
        <f t="shared" si="433"/>
        <v>0</v>
      </c>
      <c r="H506" s="110">
        <f>IFERROR(INDEX('Base Salarial'!$D$5:$F$25,MATCH(E506,'Base Salarial'!$G$5:$G$25,0),MATCH(I506,'Base Salarial'!$D$4:$F$4,0)),"")</f>
        <v>5000</v>
      </c>
      <c r="I506" s="78" t="str">
        <f>IFERROR(INDEX(Tarefas!$BQ$29:$FK$29,MATCH(E506,Tarefas!$BQ$30:$FK$30,0)),"")</f>
        <v>Mensalista</v>
      </c>
      <c r="J506" s="81">
        <f>IF(I506="horista",H506*Dashboard!$D$15,IF(OR(I506="Mensalista",I506="PJ"),H506,))</f>
        <v>5000</v>
      </c>
      <c r="K506" s="81">
        <f>IF(I506="PJ",J506,ROUND(J506*(1+Dashboard!$D$22),2))</f>
        <v>5300</v>
      </c>
      <c r="L506" s="77"/>
      <c r="M506" s="180"/>
      <c r="P506" s="109">
        <f>IF($BD506&gt;0,(((($BD506/Dashboard!$D$15)*(1+Precificação!$W$589)))+$P$26)*(1+Dashboard!$D$35),0)</f>
        <v>0</v>
      </c>
      <c r="Q506" s="109">
        <f>IF($BD506&gt;0,(((($BD506/Dashboard!$D$23)+(1+Precificação!$W$589))*(1+Q$28))+$P$26)*(1+Dashboard!$D$35),0)</f>
        <v>0</v>
      </c>
      <c r="R506" s="109">
        <f>IF($BD506&gt;0,(((($BD506/Dashboard!$D$23)+(1+Precificação!$W$589))*(1+R$28))+$P$26)*(1+Dashboard!$D$35),0)</f>
        <v>0</v>
      </c>
      <c r="S506" s="109">
        <f>IF($BD506&gt;0,(((($BD506/Dashboard!$D$23)+(1+Precificação!$W$589))*(1+S$28))+$P$26)*(1+Dashboard!$D$35),0)</f>
        <v>0</v>
      </c>
      <c r="U506" s="109">
        <f t="shared" si="434"/>
        <v>0</v>
      </c>
      <c r="V506" s="109">
        <f t="shared" si="435"/>
        <v>0</v>
      </c>
      <c r="W506" s="109">
        <f t="shared" si="436"/>
        <v>0</v>
      </c>
      <c r="X506" s="109">
        <f t="shared" si="437"/>
        <v>0</v>
      </c>
      <c r="AA506" s="109">
        <f>IF($BD506&gt;0,(((($BD506/Dashboard!$D$23)*(1+Precificação!$W$589)))+$AA$26)*(1+Dashboard!$D$35),0)</f>
        <v>0</v>
      </c>
      <c r="AB506" s="109">
        <f>IF($BD506&gt;0,(((($BD506/Dashboard!$D$23)*(1+Precificação!$W$589))*(1+AB$28))+$AA$26)*(1+Dashboard!$D$35),0)</f>
        <v>0</v>
      </c>
      <c r="AC506" s="109">
        <f>IF($BD506&gt;0,(((($BD506/Dashboard!$D$23)*(1+Precificação!$W$589))*(1+AC$28))+$AA$26)*(1+Dashboard!$D$35),0)</f>
        <v>0</v>
      </c>
      <c r="AD506" s="109">
        <f>IF($BD506&gt;0,(((($BD506/Dashboard!$D$23)*(1+Precificação!$W$589))*(1+AD$28))+$AA$26)*(1+Dashboard!$D$35),0)</f>
        <v>0</v>
      </c>
      <c r="AF506" s="109">
        <f t="shared" si="438"/>
        <v>0</v>
      </c>
      <c r="AG506" s="109">
        <f t="shared" si="439"/>
        <v>0</v>
      </c>
      <c r="AH506" s="109">
        <f t="shared" si="440"/>
        <v>0</v>
      </c>
      <c r="AI506" s="109">
        <f t="shared" si="441"/>
        <v>0</v>
      </c>
      <c r="AL506" s="109">
        <f>IF($BD506&gt;0,(((($BD506/Dashboard!$D$23)*(1+Precificação!$W$589)))+$AL$26)*(1+Dashboard!$D$35),0)</f>
        <v>0</v>
      </c>
      <c r="AM506" s="109">
        <f>IF($BD506&gt;0,(((($BD506/Dashboard!$D$23)*(1+Precificação!$W$589))*(1+AM$28))+$AA$26)*(1+Dashboard!$D$35),0)</f>
        <v>0</v>
      </c>
      <c r="AN506" s="109">
        <f>IF($BD506&gt;0,(((($BD506/Dashboard!$D$23)*(1+Precificação!$W$589))*(1+AN$28))+$AA$26)*(1+Dashboard!$D$35),0)</f>
        <v>0</v>
      </c>
      <c r="AO506" s="109">
        <f>IF($BD506&gt;0,(((($BD506/Dashboard!$D$23)*(1+Precificação!$W$589))*(1+AO$28))+$AA$26)*(1+Dashboard!$D$35),0)</f>
        <v>0</v>
      </c>
      <c r="AQ506" s="109">
        <f t="shared" si="442"/>
        <v>0</v>
      </c>
      <c r="AR506" s="109">
        <f t="shared" si="443"/>
        <v>0</v>
      </c>
      <c r="AS506" s="109">
        <f t="shared" si="444"/>
        <v>0</v>
      </c>
      <c r="AT506" s="109">
        <f t="shared" si="445"/>
        <v>0</v>
      </c>
      <c r="AW506" s="144">
        <f>VLOOKUP(B506,'Cronog. e Histog.'!$B$213:$BT$688,71,0)</f>
        <v>0</v>
      </c>
      <c r="AX506" s="144">
        <f>VLOOKUP(B506,'Cronog. e Histog.'!$B$213:$BU$688,72,0)</f>
        <v>0</v>
      </c>
      <c r="AY506" s="144">
        <f>$AW506*$AX506*Dashboard!$D$15</f>
        <v>0</v>
      </c>
      <c r="AZ506" s="144">
        <f>VLOOKUP(B506,Precificação!$B$96:$BM$533,54,0)</f>
        <v>0</v>
      </c>
      <c r="BA506" s="144">
        <f>VLOOKUP(B506,Precificação!$B$96:$BR$533,58,0)</f>
        <v>0</v>
      </c>
      <c r="BB506" s="144">
        <f>VLOOKUP(B506,Precificação!$B$96:$BW$533,62,0)</f>
        <v>0</v>
      </c>
      <c r="BC506" s="144">
        <f t="shared" si="446"/>
        <v>0</v>
      </c>
      <c r="BD506" s="109">
        <f>IFERROR(VLOOKUP(B506,Precificação!$B$96:$S$533,13,0),0)</f>
        <v>0</v>
      </c>
      <c r="BE506" s="109">
        <f>IFERROR(VLOOKUP(B506,Precificação!$B$96:$U$533,15,0)/(Precificação!$U$4+Precificação!$U$91),0)*Dashboard!$T$3</f>
        <v>0</v>
      </c>
    </row>
    <row r="507" spans="2:57" ht="12" customHeight="1" outlineLevel="1">
      <c r="B507" s="137" t="str">
        <f>Precificação!B503</f>
        <v>AN JR. ADM/CRP - Equipe_01</v>
      </c>
      <c r="D507" s="512"/>
      <c r="E507" s="143" t="str">
        <f>IF('Cronog. e Histog.'!G656&gt;0,'Cronog. e Histog.'!G656,"")</f>
        <v>AN JR. ADM/CRP</v>
      </c>
      <c r="G507" s="179">
        <f t="shared" si="433"/>
        <v>0</v>
      </c>
      <c r="H507" s="110">
        <f>IFERROR(INDEX('Base Salarial'!$D$5:$F$25,MATCH(E507,'Base Salarial'!$G$5:$G$25,0),MATCH(I507,'Base Salarial'!$D$4:$F$4,0)),"")</f>
        <v>3500</v>
      </c>
      <c r="I507" s="78" t="str">
        <f>IFERROR(INDEX(Tarefas!$BQ$29:$FK$29,MATCH(E507,Tarefas!$BQ$30:$FK$30,0)),"")</f>
        <v>Mensalista</v>
      </c>
      <c r="J507" s="81">
        <f>IF(I507="horista",H507*Dashboard!$D$15,IF(OR(I507="Mensalista",I507="PJ"),H507,))</f>
        <v>3500</v>
      </c>
      <c r="K507" s="81">
        <f>IF(I507="PJ",J507,ROUND(J507*(1+Dashboard!$D$22),2))</f>
        <v>3710</v>
      </c>
      <c r="L507" s="77"/>
      <c r="M507" s="180"/>
      <c r="P507" s="109">
        <f>IF($BD507&gt;0,(((($BD507/Dashboard!$D$15)*(1+Precificação!$W$589)))+$P$26)*(1+Dashboard!$D$35),0)</f>
        <v>0</v>
      </c>
      <c r="Q507" s="109">
        <f>IF($BD507&gt;0,(((($BD507/Dashboard!$D$23)+(1+Precificação!$W$589))*(1+Q$28))+$P$26)*(1+Dashboard!$D$35),0)</f>
        <v>0</v>
      </c>
      <c r="R507" s="109">
        <f>IF($BD507&gt;0,(((($BD507/Dashboard!$D$23)+(1+Precificação!$W$589))*(1+R$28))+$P$26)*(1+Dashboard!$D$35),0)</f>
        <v>0</v>
      </c>
      <c r="S507" s="109">
        <f>IF($BD507&gt;0,(((($BD507/Dashboard!$D$23)+(1+Precificação!$W$589))*(1+S$28))+$P$26)*(1+Dashboard!$D$35),0)</f>
        <v>0</v>
      </c>
      <c r="U507" s="109">
        <f t="shared" si="434"/>
        <v>0</v>
      </c>
      <c r="V507" s="109">
        <f t="shared" si="435"/>
        <v>0</v>
      </c>
      <c r="W507" s="109">
        <f t="shared" si="436"/>
        <v>0</v>
      </c>
      <c r="X507" s="109">
        <f t="shared" si="437"/>
        <v>0</v>
      </c>
      <c r="AA507" s="109">
        <f>IF($BD507&gt;0,(((($BD507/Dashboard!$D$23)*(1+Precificação!$W$589)))+$AA$26)*(1+Dashboard!$D$35),0)</f>
        <v>0</v>
      </c>
      <c r="AB507" s="109">
        <f>IF($BD507&gt;0,(((($BD507/Dashboard!$D$23)*(1+Precificação!$W$589))*(1+AB$28))+$AA$26)*(1+Dashboard!$D$35),0)</f>
        <v>0</v>
      </c>
      <c r="AC507" s="109">
        <f>IF($BD507&gt;0,(((($BD507/Dashboard!$D$23)*(1+Precificação!$W$589))*(1+AC$28))+$AA$26)*(1+Dashboard!$D$35),0)</f>
        <v>0</v>
      </c>
      <c r="AD507" s="109">
        <f>IF($BD507&gt;0,(((($BD507/Dashboard!$D$23)*(1+Precificação!$W$589))*(1+AD$28))+$AA$26)*(1+Dashboard!$D$35),0)</f>
        <v>0</v>
      </c>
      <c r="AF507" s="109">
        <f t="shared" si="438"/>
        <v>0</v>
      </c>
      <c r="AG507" s="109">
        <f t="shared" si="439"/>
        <v>0</v>
      </c>
      <c r="AH507" s="109">
        <f t="shared" si="440"/>
        <v>0</v>
      </c>
      <c r="AI507" s="109">
        <f t="shared" si="441"/>
        <v>0</v>
      </c>
      <c r="AL507" s="109">
        <f>IF($BD507&gt;0,(((($BD507/Dashboard!$D$23)*(1+Precificação!$W$589)))+$AL$26)*(1+Dashboard!$D$35),0)</f>
        <v>0</v>
      </c>
      <c r="AM507" s="109">
        <f>IF($BD507&gt;0,(((($BD507/Dashboard!$D$23)*(1+Precificação!$W$589))*(1+AM$28))+$AA$26)*(1+Dashboard!$D$35),0)</f>
        <v>0</v>
      </c>
      <c r="AN507" s="109">
        <f>IF($BD507&gt;0,(((($BD507/Dashboard!$D$23)*(1+Precificação!$W$589))*(1+AN$28))+$AA$26)*(1+Dashboard!$D$35),0)</f>
        <v>0</v>
      </c>
      <c r="AO507" s="109">
        <f>IF($BD507&gt;0,(((($BD507/Dashboard!$D$23)*(1+Precificação!$W$589))*(1+AO$28))+$AA$26)*(1+Dashboard!$D$35),0)</f>
        <v>0</v>
      </c>
      <c r="AQ507" s="109">
        <f t="shared" si="442"/>
        <v>0</v>
      </c>
      <c r="AR507" s="109">
        <f t="shared" si="443"/>
        <v>0</v>
      </c>
      <c r="AS507" s="109">
        <f t="shared" si="444"/>
        <v>0</v>
      </c>
      <c r="AT507" s="109">
        <f t="shared" si="445"/>
        <v>0</v>
      </c>
      <c r="AW507" s="144">
        <f>VLOOKUP(B507,'Cronog. e Histog.'!$B$213:$BT$688,71,0)</f>
        <v>0</v>
      </c>
      <c r="AX507" s="144">
        <f>VLOOKUP(B507,'Cronog. e Histog.'!$B$213:$BU$688,72,0)</f>
        <v>0</v>
      </c>
      <c r="AY507" s="144">
        <f>$AW507*$AX507*Dashboard!$D$15</f>
        <v>0</v>
      </c>
      <c r="AZ507" s="144">
        <f>VLOOKUP(B507,Precificação!$B$96:$BM$533,54,0)</f>
        <v>0</v>
      </c>
      <c r="BA507" s="144">
        <f>VLOOKUP(B507,Precificação!$B$96:$BR$533,58,0)</f>
        <v>0</v>
      </c>
      <c r="BB507" s="144">
        <f>VLOOKUP(B507,Precificação!$B$96:$BW$533,62,0)</f>
        <v>0</v>
      </c>
      <c r="BC507" s="144">
        <f t="shared" si="446"/>
        <v>0</v>
      </c>
      <c r="BD507" s="109">
        <f>IFERROR(VLOOKUP(B507,Precificação!$B$96:$S$533,13,0),0)</f>
        <v>0</v>
      </c>
      <c r="BE507" s="109">
        <f>IFERROR(VLOOKUP(B507,Precificação!$B$96:$U$533,15,0)/(Precificação!$U$4+Precificação!$U$91),0)*Dashboard!$T$3</f>
        <v>0</v>
      </c>
    </row>
    <row r="508" spans="2:57" ht="12" customHeight="1" outlineLevel="1">
      <c r="B508" s="137" t="str">
        <f>Precificação!B504</f>
        <v>TEC III - Equipe_01</v>
      </c>
      <c r="D508" s="512"/>
      <c r="E508" s="143" t="str">
        <f>IF('Cronog. e Histog.'!G657&gt;0,'Cronog. e Histog.'!G657,"")</f>
        <v>TEC III</v>
      </c>
      <c r="G508" s="179">
        <f t="shared" si="433"/>
        <v>0</v>
      </c>
      <c r="H508" s="110">
        <f>IFERROR(INDEX('Base Salarial'!$D$5:$F$25,MATCH(E508,'Base Salarial'!$G$5:$G$25,0),MATCH(I508,'Base Salarial'!$D$4:$F$4,0)),"")</f>
        <v>6000</v>
      </c>
      <c r="I508" s="78" t="str">
        <f>IFERROR(INDEX(Tarefas!$BQ$29:$FK$29,MATCH(E508,Tarefas!$BQ$30:$FK$30,0)),"")</f>
        <v>Mensalista</v>
      </c>
      <c r="J508" s="81">
        <f>IF(I508="horista",H508*Dashboard!$D$15,IF(OR(I508="Mensalista",I508="PJ"),H508,))</f>
        <v>6000</v>
      </c>
      <c r="K508" s="81">
        <f>IF(I508="PJ",J508,ROUND(J508*(1+Dashboard!$D$22),2))</f>
        <v>6360</v>
      </c>
      <c r="L508" s="77"/>
      <c r="M508" s="180"/>
      <c r="P508" s="109">
        <f>IF($BD508&gt;0,(((($BD508/Dashboard!$D$15)*(1+Precificação!$W$589)))+$P$26)*(1+Dashboard!$D$35),0)</f>
        <v>0</v>
      </c>
      <c r="Q508" s="109">
        <f>IF($BD508&gt;0,(((($BD508/Dashboard!$D$23)+(1+Precificação!$W$589))*(1+Q$28))+$P$26)*(1+Dashboard!$D$35),0)</f>
        <v>0</v>
      </c>
      <c r="R508" s="109">
        <f>IF($BD508&gt;0,(((($BD508/Dashboard!$D$23)+(1+Precificação!$W$589))*(1+R$28))+$P$26)*(1+Dashboard!$D$35),0)</f>
        <v>0</v>
      </c>
      <c r="S508" s="109">
        <f>IF($BD508&gt;0,(((($BD508/Dashboard!$D$23)+(1+Precificação!$W$589))*(1+S$28))+$P$26)*(1+Dashboard!$D$35),0)</f>
        <v>0</v>
      </c>
      <c r="U508" s="109">
        <f t="shared" si="434"/>
        <v>0</v>
      </c>
      <c r="V508" s="109">
        <f t="shared" si="435"/>
        <v>0</v>
      </c>
      <c r="W508" s="109">
        <f t="shared" si="436"/>
        <v>0</v>
      </c>
      <c r="X508" s="109">
        <f t="shared" si="437"/>
        <v>0</v>
      </c>
      <c r="AA508" s="109">
        <f>IF($BD508&gt;0,(((($BD508/Dashboard!$D$23)*(1+Precificação!$W$589)))+$AA$26)*(1+Dashboard!$D$35),0)</f>
        <v>0</v>
      </c>
      <c r="AB508" s="109">
        <f>IF($BD508&gt;0,(((($BD508/Dashboard!$D$23)*(1+Precificação!$W$589))*(1+AB$28))+$AA$26)*(1+Dashboard!$D$35),0)</f>
        <v>0</v>
      </c>
      <c r="AC508" s="109">
        <f>IF($BD508&gt;0,(((($BD508/Dashboard!$D$23)*(1+Precificação!$W$589))*(1+AC$28))+$AA$26)*(1+Dashboard!$D$35),0)</f>
        <v>0</v>
      </c>
      <c r="AD508" s="109">
        <f>IF($BD508&gt;0,(((($BD508/Dashboard!$D$23)*(1+Precificação!$W$589))*(1+AD$28))+$AA$26)*(1+Dashboard!$D$35),0)</f>
        <v>0</v>
      </c>
      <c r="AF508" s="109">
        <f t="shared" si="438"/>
        <v>0</v>
      </c>
      <c r="AG508" s="109">
        <f t="shared" si="439"/>
        <v>0</v>
      </c>
      <c r="AH508" s="109">
        <f t="shared" si="440"/>
        <v>0</v>
      </c>
      <c r="AI508" s="109">
        <f t="shared" si="441"/>
        <v>0</v>
      </c>
      <c r="AL508" s="109">
        <f>IF($BD508&gt;0,(((($BD508/Dashboard!$D$23)*(1+Precificação!$W$589)))+$AL$26)*(1+Dashboard!$D$35),0)</f>
        <v>0</v>
      </c>
      <c r="AM508" s="109">
        <f>IF($BD508&gt;0,(((($BD508/Dashboard!$D$23)*(1+Precificação!$W$589))*(1+AM$28))+$AA$26)*(1+Dashboard!$D$35),0)</f>
        <v>0</v>
      </c>
      <c r="AN508" s="109">
        <f>IF($BD508&gt;0,(((($BD508/Dashboard!$D$23)*(1+Precificação!$W$589))*(1+AN$28))+$AA$26)*(1+Dashboard!$D$35),0)</f>
        <v>0</v>
      </c>
      <c r="AO508" s="109">
        <f>IF($BD508&gt;0,(((($BD508/Dashboard!$D$23)*(1+Precificação!$W$589))*(1+AO$28))+$AA$26)*(1+Dashboard!$D$35),0)</f>
        <v>0</v>
      </c>
      <c r="AQ508" s="109">
        <f t="shared" si="442"/>
        <v>0</v>
      </c>
      <c r="AR508" s="109">
        <f t="shared" si="443"/>
        <v>0</v>
      </c>
      <c r="AS508" s="109">
        <f t="shared" si="444"/>
        <v>0</v>
      </c>
      <c r="AT508" s="109">
        <f t="shared" si="445"/>
        <v>0</v>
      </c>
      <c r="AW508" s="144">
        <f>VLOOKUP(B508,'Cronog. e Histog.'!$B$213:$BT$688,71,0)</f>
        <v>0</v>
      </c>
      <c r="AX508" s="144">
        <f>VLOOKUP(B508,'Cronog. e Histog.'!$B$213:$BU$688,72,0)</f>
        <v>0</v>
      </c>
      <c r="AY508" s="144">
        <f>$AW508*$AX508*Dashboard!$D$15</f>
        <v>0</v>
      </c>
      <c r="AZ508" s="144">
        <f>VLOOKUP(B508,Precificação!$B$96:$BM$533,54,0)</f>
        <v>0</v>
      </c>
      <c r="BA508" s="144">
        <f>VLOOKUP(B508,Precificação!$B$96:$BR$533,58,0)</f>
        <v>0</v>
      </c>
      <c r="BB508" s="144">
        <f>VLOOKUP(B508,Precificação!$B$96:$BW$533,62,0)</f>
        <v>0</v>
      </c>
      <c r="BC508" s="144">
        <f t="shared" si="446"/>
        <v>0</v>
      </c>
      <c r="BD508" s="109">
        <f>IFERROR(VLOOKUP(B508,Precificação!$B$96:$S$533,13,0),0)</f>
        <v>0</v>
      </c>
      <c r="BE508" s="109">
        <f>IFERROR(VLOOKUP(B508,Precificação!$B$96:$U$533,15,0)/(Precificação!$U$4+Precificação!$U$91),0)*Dashboard!$T$3</f>
        <v>0</v>
      </c>
    </row>
    <row r="509" spans="2:57" ht="12" customHeight="1" outlineLevel="1">
      <c r="B509" s="137" t="str">
        <f>Precificação!B505</f>
        <v>TEC II - Equipe_01</v>
      </c>
      <c r="D509" s="512"/>
      <c r="E509" s="143" t="str">
        <f>IF('Cronog. e Histog.'!G658&gt;0,'Cronog. e Histog.'!G658,"")</f>
        <v>TEC II</v>
      </c>
      <c r="G509" s="179">
        <f t="shared" si="433"/>
        <v>0</v>
      </c>
      <c r="H509" s="110">
        <f>IFERROR(INDEX('Base Salarial'!$D$5:$F$25,MATCH(E509,'Base Salarial'!$G$5:$G$25,0),MATCH(I509,'Base Salarial'!$D$4:$F$4,0)),"")</f>
        <v>4500</v>
      </c>
      <c r="I509" s="78" t="str">
        <f>IFERROR(INDEX(Tarefas!$BQ$29:$FK$29,MATCH(E509,Tarefas!$BQ$30:$FK$30,0)),"")</f>
        <v>Mensalista</v>
      </c>
      <c r="J509" s="81">
        <f>IF(I509="horista",H509*Dashboard!$D$15,IF(OR(I509="Mensalista",I509="PJ"),H509,))</f>
        <v>4500</v>
      </c>
      <c r="K509" s="81">
        <f>IF(I509="PJ",J509,ROUND(J509*(1+Dashboard!$D$22),2))</f>
        <v>4770</v>
      </c>
      <c r="L509" s="77"/>
      <c r="M509" s="180"/>
      <c r="P509" s="109">
        <f>IF($BD509&gt;0,(((($BD509/Dashboard!$D$15)*(1+Precificação!$W$589)))+$P$26)*(1+Dashboard!$D$35),0)</f>
        <v>0</v>
      </c>
      <c r="Q509" s="109">
        <f>IF($BD509&gt;0,(((($BD509/Dashboard!$D$23)+(1+Precificação!$W$589))*(1+Q$28))+$P$26)*(1+Dashboard!$D$35),0)</f>
        <v>0</v>
      </c>
      <c r="R509" s="109">
        <f>IF($BD509&gt;0,(((($BD509/Dashboard!$D$23)+(1+Precificação!$W$589))*(1+R$28))+$P$26)*(1+Dashboard!$D$35),0)</f>
        <v>0</v>
      </c>
      <c r="S509" s="109">
        <f>IF($BD509&gt;0,(((($BD509/Dashboard!$D$23)+(1+Precificação!$W$589))*(1+S$28))+$P$26)*(1+Dashboard!$D$35),0)</f>
        <v>0</v>
      </c>
      <c r="U509" s="109">
        <f t="shared" si="434"/>
        <v>0</v>
      </c>
      <c r="V509" s="109">
        <f t="shared" si="435"/>
        <v>0</v>
      </c>
      <c r="W509" s="109">
        <f t="shared" si="436"/>
        <v>0</v>
      </c>
      <c r="X509" s="109">
        <f t="shared" si="437"/>
        <v>0</v>
      </c>
      <c r="AA509" s="109">
        <f>IF($BD509&gt;0,(((($BD509/Dashboard!$D$23)*(1+Precificação!$W$589)))+$AA$26)*(1+Dashboard!$D$35),0)</f>
        <v>0</v>
      </c>
      <c r="AB509" s="109">
        <f>IF($BD509&gt;0,(((($BD509/Dashboard!$D$23)*(1+Precificação!$W$589))*(1+AB$28))+$AA$26)*(1+Dashboard!$D$35),0)</f>
        <v>0</v>
      </c>
      <c r="AC509" s="109">
        <f>IF($BD509&gt;0,(((($BD509/Dashboard!$D$23)*(1+Precificação!$W$589))*(1+AC$28))+$AA$26)*(1+Dashboard!$D$35),0)</f>
        <v>0</v>
      </c>
      <c r="AD509" s="109">
        <f>IF($BD509&gt;0,(((($BD509/Dashboard!$D$23)*(1+Precificação!$W$589))*(1+AD$28))+$AA$26)*(1+Dashboard!$D$35),0)</f>
        <v>0</v>
      </c>
      <c r="AF509" s="109">
        <f t="shared" si="438"/>
        <v>0</v>
      </c>
      <c r="AG509" s="109">
        <f t="shared" si="439"/>
        <v>0</v>
      </c>
      <c r="AH509" s="109">
        <f t="shared" si="440"/>
        <v>0</v>
      </c>
      <c r="AI509" s="109">
        <f t="shared" si="441"/>
        <v>0</v>
      </c>
      <c r="AL509" s="109">
        <f>IF($BD509&gt;0,(((($BD509/Dashboard!$D$23)*(1+Precificação!$W$589)))+$AL$26)*(1+Dashboard!$D$35),0)</f>
        <v>0</v>
      </c>
      <c r="AM509" s="109">
        <f>IF($BD509&gt;0,(((($BD509/Dashboard!$D$23)*(1+Precificação!$W$589))*(1+AM$28))+$AA$26)*(1+Dashboard!$D$35),0)</f>
        <v>0</v>
      </c>
      <c r="AN509" s="109">
        <f>IF($BD509&gt;0,(((($BD509/Dashboard!$D$23)*(1+Precificação!$W$589))*(1+AN$28))+$AA$26)*(1+Dashboard!$D$35),0)</f>
        <v>0</v>
      </c>
      <c r="AO509" s="109">
        <f>IF($BD509&gt;0,(((($BD509/Dashboard!$D$23)*(1+Precificação!$W$589))*(1+AO$28))+$AA$26)*(1+Dashboard!$D$35),0)</f>
        <v>0</v>
      </c>
      <c r="AQ509" s="109">
        <f t="shared" si="442"/>
        <v>0</v>
      </c>
      <c r="AR509" s="109">
        <f t="shared" si="443"/>
        <v>0</v>
      </c>
      <c r="AS509" s="109">
        <f t="shared" si="444"/>
        <v>0</v>
      </c>
      <c r="AT509" s="109">
        <f t="shared" si="445"/>
        <v>0</v>
      </c>
      <c r="AW509" s="144">
        <f>VLOOKUP(B509,'Cronog. e Histog.'!$B$213:$BT$688,71,0)</f>
        <v>0</v>
      </c>
      <c r="AX509" s="144">
        <f>VLOOKUP(B509,'Cronog. e Histog.'!$B$213:$BU$688,72,0)</f>
        <v>0</v>
      </c>
      <c r="AY509" s="144">
        <f>$AW509*$AX509*Dashboard!$D$15</f>
        <v>0</v>
      </c>
      <c r="AZ509" s="144">
        <f>VLOOKUP(B509,Precificação!$B$96:$BM$533,54,0)</f>
        <v>0</v>
      </c>
      <c r="BA509" s="144">
        <f>VLOOKUP(B509,Precificação!$B$96:$BR$533,58,0)</f>
        <v>0</v>
      </c>
      <c r="BB509" s="144">
        <f>VLOOKUP(B509,Precificação!$B$96:$BW$533,62,0)</f>
        <v>0</v>
      </c>
      <c r="BC509" s="144">
        <f t="shared" si="446"/>
        <v>0</v>
      </c>
      <c r="BD509" s="109">
        <f>IFERROR(VLOOKUP(B509,Precificação!$B$96:$S$533,13,0),0)</f>
        <v>0</v>
      </c>
      <c r="BE509" s="109">
        <f>IFERROR(VLOOKUP(B509,Precificação!$B$96:$U$533,15,0)/(Precificação!$U$4+Precificação!$U$91),0)*Dashboard!$T$3</f>
        <v>0</v>
      </c>
    </row>
    <row r="510" spans="2:57" ht="12" customHeight="1" outlineLevel="1">
      <c r="B510" s="137" t="str">
        <f>Precificação!B506</f>
        <v>TEC I - Equipe_01</v>
      </c>
      <c r="D510" s="512"/>
      <c r="E510" s="143" t="str">
        <f>IF('Cronog. e Histog.'!G659&gt;0,'Cronog. e Histog.'!G659,"")</f>
        <v>TEC I</v>
      </c>
      <c r="G510" s="179">
        <f t="shared" si="433"/>
        <v>0</v>
      </c>
      <c r="H510" s="110">
        <f>IFERROR(INDEX('Base Salarial'!$D$5:$F$25,MATCH(E510,'Base Salarial'!$G$5:$G$25,0),MATCH(I510,'Base Salarial'!$D$4:$F$4,0)),"")</f>
        <v>3000</v>
      </c>
      <c r="I510" s="78" t="str">
        <f>IFERROR(INDEX(Tarefas!$BQ$29:$FK$29,MATCH(E510,Tarefas!$BQ$30:$FK$30,0)),"")</f>
        <v>Mensalista</v>
      </c>
      <c r="J510" s="81">
        <f>IF(I510="horista",H510*Dashboard!$D$15,IF(OR(I510="Mensalista",I510="PJ"),H510,))</f>
        <v>3000</v>
      </c>
      <c r="K510" s="81">
        <f>IF(I510="PJ",J510,ROUND(J510*(1+Dashboard!$D$22),2))</f>
        <v>3180</v>
      </c>
      <c r="L510" s="77"/>
      <c r="M510" s="180"/>
      <c r="P510" s="109">
        <f>IF($BD510&gt;0,(((($BD510/Dashboard!$D$15)*(1+Precificação!$W$589)))+$P$26)*(1+Dashboard!$D$35),0)</f>
        <v>0</v>
      </c>
      <c r="Q510" s="109">
        <f>IF($BD510&gt;0,(((($BD510/Dashboard!$D$23)+(1+Precificação!$W$589))*(1+Q$28))+$P$26)*(1+Dashboard!$D$35),0)</f>
        <v>0</v>
      </c>
      <c r="R510" s="109">
        <f>IF($BD510&gt;0,(((($BD510/Dashboard!$D$23)+(1+Precificação!$W$589))*(1+R$28))+$P$26)*(1+Dashboard!$D$35),0)</f>
        <v>0</v>
      </c>
      <c r="S510" s="109">
        <f>IF($BD510&gt;0,(((($BD510/Dashboard!$D$23)+(1+Precificação!$W$589))*(1+S$28))+$P$26)*(1+Dashboard!$D$35),0)</f>
        <v>0</v>
      </c>
      <c r="U510" s="109">
        <f t="shared" si="434"/>
        <v>0</v>
      </c>
      <c r="V510" s="109">
        <f t="shared" si="435"/>
        <v>0</v>
      </c>
      <c r="W510" s="109">
        <f t="shared" si="436"/>
        <v>0</v>
      </c>
      <c r="X510" s="109">
        <f t="shared" si="437"/>
        <v>0</v>
      </c>
      <c r="AA510" s="109">
        <f>IF($BD510&gt;0,(((($BD510/Dashboard!$D$23)*(1+Precificação!$W$589)))+$AA$26)*(1+Dashboard!$D$35),0)</f>
        <v>0</v>
      </c>
      <c r="AB510" s="109">
        <f>IF($BD510&gt;0,(((($BD510/Dashboard!$D$23)*(1+Precificação!$W$589))*(1+AB$28))+$AA$26)*(1+Dashboard!$D$35),0)</f>
        <v>0</v>
      </c>
      <c r="AC510" s="109">
        <f>IF($BD510&gt;0,(((($BD510/Dashboard!$D$23)*(1+Precificação!$W$589))*(1+AC$28))+$AA$26)*(1+Dashboard!$D$35),0)</f>
        <v>0</v>
      </c>
      <c r="AD510" s="109">
        <f>IF($BD510&gt;0,(((($BD510/Dashboard!$D$23)*(1+Precificação!$W$589))*(1+AD$28))+$AA$26)*(1+Dashboard!$D$35),0)</f>
        <v>0</v>
      </c>
      <c r="AF510" s="109">
        <f t="shared" si="438"/>
        <v>0</v>
      </c>
      <c r="AG510" s="109">
        <f t="shared" si="439"/>
        <v>0</v>
      </c>
      <c r="AH510" s="109">
        <f t="shared" si="440"/>
        <v>0</v>
      </c>
      <c r="AI510" s="109">
        <f t="shared" si="441"/>
        <v>0</v>
      </c>
      <c r="AL510" s="109">
        <f>IF($BD510&gt;0,(((($BD510/Dashboard!$D$23)*(1+Precificação!$W$589)))+$AL$26)*(1+Dashboard!$D$35),0)</f>
        <v>0</v>
      </c>
      <c r="AM510" s="109">
        <f>IF($BD510&gt;0,(((($BD510/Dashboard!$D$23)*(1+Precificação!$W$589))*(1+AM$28))+$AA$26)*(1+Dashboard!$D$35),0)</f>
        <v>0</v>
      </c>
      <c r="AN510" s="109">
        <f>IF($BD510&gt;0,(((($BD510/Dashboard!$D$23)*(1+Precificação!$W$589))*(1+AN$28))+$AA$26)*(1+Dashboard!$D$35),0)</f>
        <v>0</v>
      </c>
      <c r="AO510" s="109">
        <f>IF($BD510&gt;0,(((($BD510/Dashboard!$D$23)*(1+Precificação!$W$589))*(1+AO$28))+$AA$26)*(1+Dashboard!$D$35),0)</f>
        <v>0</v>
      </c>
      <c r="AQ510" s="109">
        <f t="shared" si="442"/>
        <v>0</v>
      </c>
      <c r="AR510" s="109">
        <f t="shared" si="443"/>
        <v>0</v>
      </c>
      <c r="AS510" s="109">
        <f t="shared" si="444"/>
        <v>0</v>
      </c>
      <c r="AT510" s="109">
        <f t="shared" si="445"/>
        <v>0</v>
      </c>
      <c r="AW510" s="144">
        <f>VLOOKUP(B510,'Cronog. e Histog.'!$B$213:$BT$688,71,0)</f>
        <v>0</v>
      </c>
      <c r="AX510" s="144">
        <f>VLOOKUP(B510,'Cronog. e Histog.'!$B$213:$BU$688,72,0)</f>
        <v>0</v>
      </c>
      <c r="AY510" s="144">
        <f>$AW510*$AX510*Dashboard!$D$15</f>
        <v>0</v>
      </c>
      <c r="AZ510" s="144">
        <f>VLOOKUP(B510,Precificação!$B$96:$BM$533,54,0)</f>
        <v>0</v>
      </c>
      <c r="BA510" s="144">
        <f>VLOOKUP(B510,Precificação!$B$96:$BR$533,58,0)</f>
        <v>0</v>
      </c>
      <c r="BB510" s="144">
        <f>VLOOKUP(B510,Precificação!$B$96:$BW$533,62,0)</f>
        <v>0</v>
      </c>
      <c r="BC510" s="144">
        <f t="shared" si="446"/>
        <v>0</v>
      </c>
      <c r="BD510" s="109">
        <f>IFERROR(VLOOKUP(B510,Precificação!$B$96:$S$533,13,0),0)</f>
        <v>0</v>
      </c>
      <c r="BE510" s="109">
        <f>IFERROR(VLOOKUP(B510,Precificação!$B$96:$U$533,15,0)/(Precificação!$U$4+Precificação!$U$91),0)*Dashboard!$T$3</f>
        <v>0</v>
      </c>
    </row>
    <row r="511" spans="2:57" ht="12" customHeight="1" outlineLevel="1">
      <c r="B511" s="137" t="str">
        <f>Precificação!B507</f>
        <v>AUX TEC - Equipe_01</v>
      </c>
      <c r="D511" s="512"/>
      <c r="E511" s="143" t="str">
        <f>IF('Cronog. e Histog.'!G660&gt;0,'Cronog. e Histog.'!G660,"")</f>
        <v>AUX TEC</v>
      </c>
      <c r="G511" s="179">
        <f t="shared" si="433"/>
        <v>0</v>
      </c>
      <c r="H511" s="110">
        <f>IFERROR(INDEX('Base Salarial'!$D$5:$F$25,MATCH(E511,'Base Salarial'!$G$5:$G$25,0),MATCH(I511,'Base Salarial'!$D$4:$F$4,0)),"")</f>
        <v>3500</v>
      </c>
      <c r="I511" s="78" t="str">
        <f>IFERROR(INDEX(Tarefas!$BQ$29:$FK$29,MATCH(E511,Tarefas!$BQ$30:$FK$30,0)),"")</f>
        <v>Mensalista</v>
      </c>
      <c r="J511" s="81">
        <f>IF(I511="horista",H511*Dashboard!$D$15,IF(OR(I511="Mensalista",I511="PJ"),H511,))</f>
        <v>3500</v>
      </c>
      <c r="K511" s="81">
        <f>IF(I511="PJ",J511,ROUND(J511*(1+Dashboard!$D$22),2))</f>
        <v>3710</v>
      </c>
      <c r="L511" s="77"/>
      <c r="M511" s="180"/>
      <c r="P511" s="109">
        <f>IF($BD511&gt;0,(((($BD511/Dashboard!$D$15)*(1+Precificação!$W$589)))+$P$26)*(1+Dashboard!$D$35),0)</f>
        <v>0</v>
      </c>
      <c r="Q511" s="109">
        <f>IF($BD511&gt;0,(((($BD511/Dashboard!$D$23)+(1+Precificação!$W$589))*(1+Q$28))+$P$26)*(1+Dashboard!$D$35),0)</f>
        <v>0</v>
      </c>
      <c r="R511" s="109">
        <f>IF($BD511&gt;0,(((($BD511/Dashboard!$D$23)+(1+Precificação!$W$589))*(1+R$28))+$P$26)*(1+Dashboard!$D$35),0)</f>
        <v>0</v>
      </c>
      <c r="S511" s="109">
        <f>IF($BD511&gt;0,(((($BD511/Dashboard!$D$23)+(1+Precificação!$W$589))*(1+S$28))+$P$26)*(1+Dashboard!$D$35),0)</f>
        <v>0</v>
      </c>
      <c r="U511" s="109">
        <f t="shared" si="434"/>
        <v>0</v>
      </c>
      <c r="V511" s="109">
        <f t="shared" si="435"/>
        <v>0</v>
      </c>
      <c r="W511" s="109">
        <f t="shared" si="436"/>
        <v>0</v>
      </c>
      <c r="X511" s="109">
        <f t="shared" si="437"/>
        <v>0</v>
      </c>
      <c r="AA511" s="109">
        <f>IF($BD511&gt;0,(((($BD511/Dashboard!$D$23)*(1+Precificação!$W$589)))+$AA$26)*(1+Dashboard!$D$35),0)</f>
        <v>0</v>
      </c>
      <c r="AB511" s="109">
        <f>IF($BD511&gt;0,(((($BD511/Dashboard!$D$23)*(1+Precificação!$W$589))*(1+AB$28))+$AA$26)*(1+Dashboard!$D$35),0)</f>
        <v>0</v>
      </c>
      <c r="AC511" s="109">
        <f>IF($BD511&gt;0,(((($BD511/Dashboard!$D$23)*(1+Precificação!$W$589))*(1+AC$28))+$AA$26)*(1+Dashboard!$D$35),0)</f>
        <v>0</v>
      </c>
      <c r="AD511" s="109">
        <f>IF($BD511&gt;0,(((($BD511/Dashboard!$D$23)*(1+Precificação!$W$589))*(1+AD$28))+$AA$26)*(1+Dashboard!$D$35),0)</f>
        <v>0</v>
      </c>
      <c r="AF511" s="109">
        <f t="shared" si="438"/>
        <v>0</v>
      </c>
      <c r="AG511" s="109">
        <f t="shared" si="439"/>
        <v>0</v>
      </c>
      <c r="AH511" s="109">
        <f t="shared" si="440"/>
        <v>0</v>
      </c>
      <c r="AI511" s="109">
        <f t="shared" si="441"/>
        <v>0</v>
      </c>
      <c r="AL511" s="109">
        <f>IF($BD511&gt;0,(((($BD511/Dashboard!$D$23)*(1+Precificação!$W$589)))+$AL$26)*(1+Dashboard!$D$35),0)</f>
        <v>0</v>
      </c>
      <c r="AM511" s="109">
        <f>IF($BD511&gt;0,(((($BD511/Dashboard!$D$23)*(1+Precificação!$W$589))*(1+AM$28))+$AA$26)*(1+Dashboard!$D$35),0)</f>
        <v>0</v>
      </c>
      <c r="AN511" s="109">
        <f>IF($BD511&gt;0,(((($BD511/Dashboard!$D$23)*(1+Precificação!$W$589))*(1+AN$28))+$AA$26)*(1+Dashboard!$D$35),0)</f>
        <v>0</v>
      </c>
      <c r="AO511" s="109">
        <f>IF($BD511&gt;0,(((($BD511/Dashboard!$D$23)*(1+Precificação!$W$589))*(1+AO$28))+$AA$26)*(1+Dashboard!$D$35),0)</f>
        <v>0</v>
      </c>
      <c r="AQ511" s="109">
        <f t="shared" si="442"/>
        <v>0</v>
      </c>
      <c r="AR511" s="109">
        <f t="shared" si="443"/>
        <v>0</v>
      </c>
      <c r="AS511" s="109">
        <f t="shared" si="444"/>
        <v>0</v>
      </c>
      <c r="AT511" s="109">
        <f t="shared" si="445"/>
        <v>0</v>
      </c>
      <c r="AW511" s="144">
        <f>VLOOKUP(B511,'Cronog. e Histog.'!$B$213:$BT$688,71,0)</f>
        <v>0</v>
      </c>
      <c r="AX511" s="144">
        <f>VLOOKUP(B511,'Cronog. e Histog.'!$B$213:$BU$688,72,0)</f>
        <v>0</v>
      </c>
      <c r="AY511" s="144">
        <f>$AW511*$AX511*Dashboard!$D$15</f>
        <v>0</v>
      </c>
      <c r="AZ511" s="144">
        <f>VLOOKUP(B511,Precificação!$B$96:$BM$533,54,0)</f>
        <v>0</v>
      </c>
      <c r="BA511" s="144">
        <f>VLOOKUP(B511,Precificação!$B$96:$BR$533,58,0)</f>
        <v>0</v>
      </c>
      <c r="BB511" s="144">
        <f>VLOOKUP(B511,Precificação!$B$96:$BW$533,62,0)</f>
        <v>0</v>
      </c>
      <c r="BC511" s="144">
        <f t="shared" si="446"/>
        <v>0</v>
      </c>
      <c r="BD511" s="109">
        <f>IFERROR(VLOOKUP(B511,Precificação!$B$96:$S$533,13,0),0)</f>
        <v>0</v>
      </c>
      <c r="BE511" s="109">
        <f>IFERROR(VLOOKUP(B511,Precificação!$B$96:$U$533,15,0)/(Precificação!$U$4+Precificação!$U$91),0)*Dashboard!$T$3</f>
        <v>0</v>
      </c>
    </row>
    <row r="512" spans="2:57" ht="12" customHeight="1" outlineLevel="1">
      <c r="B512" s="137" t="str">
        <f>Precificação!B508</f>
        <v>AUX ADM - Equipe_01</v>
      </c>
      <c r="D512" s="512"/>
      <c r="E512" s="143" t="str">
        <f>IF('Cronog. e Histog.'!G661&gt;0,'Cronog. e Histog.'!G661,"")</f>
        <v>AUX ADM</v>
      </c>
      <c r="G512" s="179">
        <f t="shared" si="433"/>
        <v>0</v>
      </c>
      <c r="H512" s="110">
        <f>IFERROR(INDEX('Base Salarial'!$D$5:$F$25,MATCH(E512,'Base Salarial'!$G$5:$G$25,0),MATCH(I512,'Base Salarial'!$D$4:$F$4,0)),"")</f>
        <v>1804</v>
      </c>
      <c r="I512" s="78" t="str">
        <f>IFERROR(INDEX(Tarefas!$BQ$29:$FK$29,MATCH(E512,Tarefas!$BQ$30:$FK$30,0)),"")</f>
        <v>Mensalista</v>
      </c>
      <c r="J512" s="81">
        <f>IF(I512="horista",H512*Dashboard!$D$15,IF(OR(I512="Mensalista",I512="PJ"),H512,))</f>
        <v>1804</v>
      </c>
      <c r="K512" s="81">
        <f>IF(I512="PJ",J512,ROUND(J512*(1+Dashboard!$D$22),2))</f>
        <v>1912.24</v>
      </c>
      <c r="L512" s="77"/>
      <c r="M512" s="180"/>
      <c r="P512" s="109">
        <f>IF($BD512&gt;0,(((($BD512/Dashboard!$D$15)*(1+Precificação!$W$589)))+$P$26)*(1+Dashboard!$D$35),0)</f>
        <v>0</v>
      </c>
      <c r="Q512" s="109">
        <f>IF($BD512&gt;0,(((($BD512/Dashboard!$D$23)+(1+Precificação!$W$589))*(1+Q$28))+$P$26)*(1+Dashboard!$D$35),0)</f>
        <v>0</v>
      </c>
      <c r="R512" s="109">
        <f>IF($BD512&gt;0,(((($BD512/Dashboard!$D$23)+(1+Precificação!$W$589))*(1+R$28))+$P$26)*(1+Dashboard!$D$35),0)</f>
        <v>0</v>
      </c>
      <c r="S512" s="109">
        <f>IF($BD512&gt;0,(((($BD512/Dashboard!$D$23)+(1+Precificação!$W$589))*(1+S$28))+$P$26)*(1+Dashboard!$D$35),0)</f>
        <v>0</v>
      </c>
      <c r="U512" s="109">
        <f t="shared" si="434"/>
        <v>0</v>
      </c>
      <c r="V512" s="109">
        <f t="shared" si="435"/>
        <v>0</v>
      </c>
      <c r="W512" s="109">
        <f t="shared" si="436"/>
        <v>0</v>
      </c>
      <c r="X512" s="109">
        <f t="shared" si="437"/>
        <v>0</v>
      </c>
      <c r="AA512" s="109">
        <f>IF($BD512&gt;0,(((($BD512/Dashboard!$D$23)*(1+Precificação!$W$589)))+$AA$26)*(1+Dashboard!$D$35),0)</f>
        <v>0</v>
      </c>
      <c r="AB512" s="109">
        <f>IF($BD512&gt;0,(((($BD512/Dashboard!$D$23)*(1+Precificação!$W$589))*(1+AB$28))+$AA$26)*(1+Dashboard!$D$35),0)</f>
        <v>0</v>
      </c>
      <c r="AC512" s="109">
        <f>IF($BD512&gt;0,(((($BD512/Dashboard!$D$23)*(1+Precificação!$W$589))*(1+AC$28))+$AA$26)*(1+Dashboard!$D$35),0)</f>
        <v>0</v>
      </c>
      <c r="AD512" s="109">
        <f>IF($BD512&gt;0,(((($BD512/Dashboard!$D$23)*(1+Precificação!$W$589))*(1+AD$28))+$AA$26)*(1+Dashboard!$D$35),0)</f>
        <v>0</v>
      </c>
      <c r="AF512" s="109">
        <f t="shared" si="438"/>
        <v>0</v>
      </c>
      <c r="AG512" s="109">
        <f t="shared" si="439"/>
        <v>0</v>
      </c>
      <c r="AH512" s="109">
        <f t="shared" si="440"/>
        <v>0</v>
      </c>
      <c r="AI512" s="109">
        <f t="shared" si="441"/>
        <v>0</v>
      </c>
      <c r="AL512" s="109">
        <f>IF($BD512&gt;0,(((($BD512/Dashboard!$D$23)*(1+Precificação!$W$589)))+$AL$26)*(1+Dashboard!$D$35),0)</f>
        <v>0</v>
      </c>
      <c r="AM512" s="109">
        <f>IF($BD512&gt;0,(((($BD512/Dashboard!$D$23)*(1+Precificação!$W$589))*(1+AM$28))+$AA$26)*(1+Dashboard!$D$35),0)</f>
        <v>0</v>
      </c>
      <c r="AN512" s="109">
        <f>IF($BD512&gt;0,(((($BD512/Dashboard!$D$23)*(1+Precificação!$W$589))*(1+AN$28))+$AA$26)*(1+Dashboard!$D$35),0)</f>
        <v>0</v>
      </c>
      <c r="AO512" s="109">
        <f>IF($BD512&gt;0,(((($BD512/Dashboard!$D$23)*(1+Precificação!$W$589))*(1+AO$28))+$AA$26)*(1+Dashboard!$D$35),0)</f>
        <v>0</v>
      </c>
      <c r="AQ512" s="109">
        <f t="shared" si="442"/>
        <v>0</v>
      </c>
      <c r="AR512" s="109">
        <f t="shared" si="443"/>
        <v>0</v>
      </c>
      <c r="AS512" s="109">
        <f t="shared" si="444"/>
        <v>0</v>
      </c>
      <c r="AT512" s="109">
        <f t="shared" si="445"/>
        <v>0</v>
      </c>
      <c r="AW512" s="144">
        <f>VLOOKUP(B512,'Cronog. e Histog.'!$B$213:$BT$688,71,0)</f>
        <v>0</v>
      </c>
      <c r="AX512" s="144">
        <f>VLOOKUP(B512,'Cronog. e Histog.'!$B$213:$BU$688,72,0)</f>
        <v>0</v>
      </c>
      <c r="AY512" s="144">
        <f>$AW512*$AX512*Dashboard!$D$15</f>
        <v>0</v>
      </c>
      <c r="AZ512" s="144">
        <f>VLOOKUP(B512,Precificação!$B$96:$BM$533,54,0)</f>
        <v>0</v>
      </c>
      <c r="BA512" s="144">
        <f>VLOOKUP(B512,Precificação!$B$96:$BR$533,58,0)</f>
        <v>0</v>
      </c>
      <c r="BB512" s="144">
        <f>VLOOKUP(B512,Precificação!$B$96:$BW$533,62,0)</f>
        <v>0</v>
      </c>
      <c r="BC512" s="144">
        <f t="shared" si="446"/>
        <v>0</v>
      </c>
      <c r="BD512" s="109">
        <f>IFERROR(VLOOKUP(B512,Precificação!$B$96:$S$533,13,0),0)</f>
        <v>0</v>
      </c>
      <c r="BE512" s="109">
        <f>IFERROR(VLOOKUP(B512,Precificação!$B$96:$U$533,15,0)/(Precificação!$U$4+Precificação!$U$91),0)*Dashboard!$T$3</f>
        <v>0</v>
      </c>
    </row>
    <row r="513" spans="2:57" ht="12" customHeight="1" outlineLevel="1">
      <c r="B513" s="137" t="str">
        <f>Precificação!B509</f>
        <v>EST - Equipe_01</v>
      </c>
      <c r="D513" s="512"/>
      <c r="E513" s="143" t="str">
        <f>IF('Cronog. e Histog.'!G662&gt;0,'Cronog. e Histog.'!G662,"")</f>
        <v>EST</v>
      </c>
      <c r="G513" s="179">
        <f t="shared" si="433"/>
        <v>0</v>
      </c>
      <c r="H513" s="110">
        <f>IFERROR(INDEX('Base Salarial'!$D$5:$F$25,MATCH(E513,'Base Salarial'!$G$5:$G$25,0),MATCH(I513,'Base Salarial'!$D$4:$F$4,0)),"")</f>
        <v>1633</v>
      </c>
      <c r="I513" s="78" t="str">
        <f>IFERROR(INDEX(Tarefas!$BQ$29:$FK$29,MATCH(E513,Tarefas!$BQ$30:$FK$30,0)),"")</f>
        <v>PJ</v>
      </c>
      <c r="J513" s="81">
        <f>IF(I513="horista",H513*Dashboard!$D$15,IF(OR(I513="Mensalista",I513="PJ"),H513,))</f>
        <v>1633</v>
      </c>
      <c r="K513" s="81">
        <f>IF(I513="PJ",J513,ROUND(J513*(1+Dashboard!$D$22),2))</f>
        <v>1633</v>
      </c>
      <c r="L513" s="77"/>
      <c r="M513" s="180"/>
      <c r="P513" s="109">
        <f>IF($BD513&gt;0,(((($BD513/Dashboard!$D$15)*(1+Precificação!$W$589)))+$P$26)*(1+Dashboard!$D$35),0)</f>
        <v>0</v>
      </c>
      <c r="Q513" s="109">
        <f>IF($BD513&gt;0,(((($BD513/Dashboard!$D$23)+(1+Precificação!$W$589))*(1+Q$28))+$P$26)*(1+Dashboard!$D$35),0)</f>
        <v>0</v>
      </c>
      <c r="R513" s="109">
        <f>IF($BD513&gt;0,(((($BD513/Dashboard!$D$23)+(1+Precificação!$W$589))*(1+R$28))+$P$26)*(1+Dashboard!$D$35),0)</f>
        <v>0</v>
      </c>
      <c r="S513" s="109">
        <f>IF($BD513&gt;0,(((($BD513/Dashboard!$D$23)+(1+Precificação!$W$589))*(1+S$28))+$P$26)*(1+Dashboard!$D$35),0)</f>
        <v>0</v>
      </c>
      <c r="U513" s="109">
        <f t="shared" si="434"/>
        <v>0</v>
      </c>
      <c r="V513" s="109">
        <f t="shared" si="435"/>
        <v>0</v>
      </c>
      <c r="W513" s="109">
        <f t="shared" si="436"/>
        <v>0</v>
      </c>
      <c r="X513" s="109">
        <f t="shared" si="437"/>
        <v>0</v>
      </c>
      <c r="AA513" s="109">
        <f>IF($BD513&gt;0,(((($BD513/Dashboard!$D$23)*(1+Precificação!$W$589)))+$AA$26)*(1+Dashboard!$D$35),0)</f>
        <v>0</v>
      </c>
      <c r="AB513" s="109">
        <f>IF($BD513&gt;0,(((($BD513/Dashboard!$D$23)*(1+Precificação!$W$589))*(1+AB$28))+$AA$26)*(1+Dashboard!$D$35),0)</f>
        <v>0</v>
      </c>
      <c r="AC513" s="109">
        <f>IF($BD513&gt;0,(((($BD513/Dashboard!$D$23)*(1+Precificação!$W$589))*(1+AC$28))+$AA$26)*(1+Dashboard!$D$35),0)</f>
        <v>0</v>
      </c>
      <c r="AD513" s="109">
        <f>IF($BD513&gt;0,(((($BD513/Dashboard!$D$23)*(1+Precificação!$W$589))*(1+AD$28))+$AA$26)*(1+Dashboard!$D$35),0)</f>
        <v>0</v>
      </c>
      <c r="AF513" s="109">
        <f t="shared" si="438"/>
        <v>0</v>
      </c>
      <c r="AG513" s="109">
        <f t="shared" si="439"/>
        <v>0</v>
      </c>
      <c r="AH513" s="109">
        <f t="shared" si="440"/>
        <v>0</v>
      </c>
      <c r="AI513" s="109">
        <f t="shared" si="441"/>
        <v>0</v>
      </c>
      <c r="AL513" s="109">
        <f>IF($BD513&gt;0,(((($BD513/Dashboard!$D$23)*(1+Precificação!$W$589)))+$AL$26)*(1+Dashboard!$D$35),0)</f>
        <v>0</v>
      </c>
      <c r="AM513" s="109">
        <f>IF($BD513&gt;0,(((($BD513/Dashboard!$D$23)*(1+Precificação!$W$589))*(1+AM$28))+$AA$26)*(1+Dashboard!$D$35),0)</f>
        <v>0</v>
      </c>
      <c r="AN513" s="109">
        <f>IF($BD513&gt;0,(((($BD513/Dashboard!$D$23)*(1+Precificação!$W$589))*(1+AN$28))+$AA$26)*(1+Dashboard!$D$35),0)</f>
        <v>0</v>
      </c>
      <c r="AO513" s="109">
        <f>IF($BD513&gt;0,(((($BD513/Dashboard!$D$23)*(1+Precificação!$W$589))*(1+AO$28))+$AA$26)*(1+Dashboard!$D$35),0)</f>
        <v>0</v>
      </c>
      <c r="AQ513" s="109">
        <f t="shared" si="442"/>
        <v>0</v>
      </c>
      <c r="AR513" s="109">
        <f t="shared" si="443"/>
        <v>0</v>
      </c>
      <c r="AS513" s="109">
        <f t="shared" si="444"/>
        <v>0</v>
      </c>
      <c r="AT513" s="109">
        <f t="shared" si="445"/>
        <v>0</v>
      </c>
      <c r="AW513" s="144">
        <f>VLOOKUP(B513,'Cronog. e Histog.'!$B$213:$BT$688,71,0)</f>
        <v>0</v>
      </c>
      <c r="AX513" s="144">
        <f>VLOOKUP(B513,'Cronog. e Histog.'!$B$213:$BU$688,72,0)</f>
        <v>0</v>
      </c>
      <c r="AY513" s="144">
        <f>$AW513*$AX513*Dashboard!$D$15</f>
        <v>0</v>
      </c>
      <c r="AZ513" s="144">
        <f>VLOOKUP(B513,Precificação!$B$96:$BM$533,54,0)</f>
        <v>0</v>
      </c>
      <c r="BA513" s="144">
        <f>VLOOKUP(B513,Precificação!$B$96:$BR$533,58,0)</f>
        <v>0</v>
      </c>
      <c r="BB513" s="144">
        <f>VLOOKUP(B513,Precificação!$B$96:$BW$533,62,0)</f>
        <v>0</v>
      </c>
      <c r="BC513" s="144">
        <f t="shared" si="446"/>
        <v>0</v>
      </c>
      <c r="BD513" s="109">
        <f>IFERROR(VLOOKUP(B513,Precificação!$B$96:$S$533,13,0),0)</f>
        <v>0</v>
      </c>
      <c r="BE513" s="109">
        <f>IFERROR(VLOOKUP(B513,Precificação!$B$96:$U$533,15,0)/(Precificação!$U$4+Precificação!$U$91),0)*Dashboard!$T$3</f>
        <v>0</v>
      </c>
    </row>
    <row r="514" spans="2:57" ht="12" customHeight="1" outlineLevel="1">
      <c r="B514" s="137" t="str">
        <f>Precificação!B510</f>
        <v>EST_II - Equipe_01</v>
      </c>
      <c r="D514" s="512"/>
      <c r="E514" s="143" t="str">
        <f>IF('Cronog. e Histog.'!G663&gt;0,'Cronog. e Histog.'!G663,"")</f>
        <v>EST_II</v>
      </c>
      <c r="G514" s="179">
        <f t="shared" si="433"/>
        <v>0</v>
      </c>
      <c r="H514" s="110">
        <f>IFERROR(INDEX('Base Salarial'!$D$5:$F$25,MATCH(E514,'Base Salarial'!$G$5:$G$25,0),MATCH(I514,'Base Salarial'!$D$4:$F$4,0)),"")</f>
        <v>1633</v>
      </c>
      <c r="I514" s="78" t="str">
        <f>IFERROR(INDEX(Tarefas!$BQ$29:$FK$29,MATCH(E514,Tarefas!$BQ$30:$FK$30,0)),"")</f>
        <v>PJ</v>
      </c>
      <c r="J514" s="81">
        <f>IF(I514="horista",H514*Dashboard!$D$15,IF(OR(I514="Mensalista",I514="PJ"),H514,))</f>
        <v>1633</v>
      </c>
      <c r="K514" s="81">
        <f>IF(I514="PJ",J514,ROUND(J514*(1+Dashboard!$D$22),2))</f>
        <v>1633</v>
      </c>
      <c r="L514" s="77"/>
      <c r="M514" s="180"/>
      <c r="P514" s="109">
        <f>IF($BD514&gt;0,(((($BD514/Dashboard!$D$15)*(1+Precificação!$W$589)))+$P$26)*(1+Dashboard!$D$35),0)</f>
        <v>0</v>
      </c>
      <c r="Q514" s="109">
        <f>IF($BD514&gt;0,(((($BD514/Dashboard!$D$23)+(1+Precificação!$W$589))*(1+Q$28))+$P$26)*(1+Dashboard!$D$35),0)</f>
        <v>0</v>
      </c>
      <c r="R514" s="109">
        <f>IF($BD514&gt;0,(((($BD514/Dashboard!$D$23)+(1+Precificação!$W$589))*(1+R$28))+$P$26)*(1+Dashboard!$D$35),0)</f>
        <v>0</v>
      </c>
      <c r="S514" s="109">
        <f>IF($BD514&gt;0,(((($BD514/Dashboard!$D$23)+(1+Precificação!$W$589))*(1+S$28))+$P$26)*(1+Dashboard!$D$35),0)</f>
        <v>0</v>
      </c>
      <c r="U514" s="109">
        <f t="shared" si="434"/>
        <v>0</v>
      </c>
      <c r="V514" s="109">
        <f t="shared" si="435"/>
        <v>0</v>
      </c>
      <c r="W514" s="109">
        <f t="shared" si="436"/>
        <v>0</v>
      </c>
      <c r="X514" s="109">
        <f t="shared" si="437"/>
        <v>0</v>
      </c>
      <c r="AA514" s="109">
        <f>IF($BD514&gt;0,(((($BD514/Dashboard!$D$23)*(1+Precificação!$W$589)))+$AA$26)*(1+Dashboard!$D$35),0)</f>
        <v>0</v>
      </c>
      <c r="AB514" s="109">
        <f>IF($BD514&gt;0,(((($BD514/Dashboard!$D$23)*(1+Precificação!$W$589))*(1+AB$28))+$AA$26)*(1+Dashboard!$D$35),0)</f>
        <v>0</v>
      </c>
      <c r="AC514" s="109">
        <f>IF($BD514&gt;0,(((($BD514/Dashboard!$D$23)*(1+Precificação!$W$589))*(1+AC$28))+$AA$26)*(1+Dashboard!$D$35),0)</f>
        <v>0</v>
      </c>
      <c r="AD514" s="109">
        <f>IF($BD514&gt;0,(((($BD514/Dashboard!$D$23)*(1+Precificação!$W$589))*(1+AD$28))+$AA$26)*(1+Dashboard!$D$35),0)</f>
        <v>0</v>
      </c>
      <c r="AF514" s="109">
        <f t="shared" si="438"/>
        <v>0</v>
      </c>
      <c r="AG514" s="109">
        <f t="shared" si="439"/>
        <v>0</v>
      </c>
      <c r="AH514" s="109">
        <f t="shared" si="440"/>
        <v>0</v>
      </c>
      <c r="AI514" s="109">
        <f t="shared" si="441"/>
        <v>0</v>
      </c>
      <c r="AL514" s="109">
        <f>IF($BD514&gt;0,(((($BD514/Dashboard!$D$23)*(1+Precificação!$W$589)))+$AL$26)*(1+Dashboard!$D$35),0)</f>
        <v>0</v>
      </c>
      <c r="AM514" s="109">
        <f>IF($BD514&gt;0,(((($BD514/Dashboard!$D$23)*(1+Precificação!$W$589))*(1+AM$28))+$AA$26)*(1+Dashboard!$D$35),0)</f>
        <v>0</v>
      </c>
      <c r="AN514" s="109">
        <f>IF($BD514&gt;0,(((($BD514/Dashboard!$D$23)*(1+Precificação!$W$589))*(1+AN$28))+$AA$26)*(1+Dashboard!$D$35),0)</f>
        <v>0</v>
      </c>
      <c r="AO514" s="109">
        <f>IF($BD514&gt;0,(((($BD514/Dashboard!$D$23)*(1+Precificação!$W$589))*(1+AO$28))+$AA$26)*(1+Dashboard!$D$35),0)</f>
        <v>0</v>
      </c>
      <c r="AQ514" s="109">
        <f t="shared" si="442"/>
        <v>0</v>
      </c>
      <c r="AR514" s="109">
        <f t="shared" si="443"/>
        <v>0</v>
      </c>
      <c r="AS514" s="109">
        <f t="shared" si="444"/>
        <v>0</v>
      </c>
      <c r="AT514" s="109">
        <f t="shared" si="445"/>
        <v>0</v>
      </c>
      <c r="AW514" s="144">
        <f>VLOOKUP(B514,'Cronog. e Histog.'!$B$213:$BT$688,71,0)</f>
        <v>0</v>
      </c>
      <c r="AX514" s="144">
        <f>VLOOKUP(B514,'Cronog. e Histog.'!$B$213:$BU$688,72,0)</f>
        <v>0</v>
      </c>
      <c r="AY514" s="144">
        <f>$AW514*$AX514*Dashboard!$D$15</f>
        <v>0</v>
      </c>
      <c r="AZ514" s="144">
        <f>VLOOKUP(B514,Precificação!$B$96:$BM$533,54,0)</f>
        <v>0</v>
      </c>
      <c r="BA514" s="144">
        <f>VLOOKUP(B514,Precificação!$B$96:$BR$533,58,0)</f>
        <v>0</v>
      </c>
      <c r="BB514" s="144">
        <f>VLOOKUP(B514,Precificação!$B$96:$BW$533,62,0)</f>
        <v>0</v>
      </c>
      <c r="BC514" s="144">
        <f t="shared" si="446"/>
        <v>0</v>
      </c>
      <c r="BD514" s="109">
        <f>IFERROR(VLOOKUP(B514,Precificação!$B$96:$S$533,13,0),0)</f>
        <v>0</v>
      </c>
      <c r="BE514" s="109">
        <f>IFERROR(VLOOKUP(B514,Precificação!$B$96:$U$533,15,0)/(Precificação!$U$4+Precificação!$U$91),0)*Dashboard!$T$3</f>
        <v>0</v>
      </c>
    </row>
    <row r="515" spans="2:57" ht="12" customHeight="1" outlineLevel="1">
      <c r="B515" s="137" t="str">
        <f>Precificação!B511</f>
        <v>EST_III - Equipe_01</v>
      </c>
      <c r="D515" s="512"/>
      <c r="E515" s="143" t="str">
        <f>IF('Cronog. e Histog.'!G664&gt;0,'Cronog. e Histog.'!G664,"")</f>
        <v>EST_III</v>
      </c>
      <c r="G515" s="179">
        <f t="shared" si="433"/>
        <v>0</v>
      </c>
      <c r="H515" s="110">
        <f>IFERROR(INDEX('Base Salarial'!$D$5:$F$25,MATCH(E515,'Base Salarial'!$G$5:$G$25,0),MATCH(I515,'Base Salarial'!$D$4:$F$4,0)),"")</f>
        <v>1633</v>
      </c>
      <c r="I515" s="78" t="str">
        <f>IFERROR(INDEX(Tarefas!$BQ$29:$FK$29,MATCH(E515,Tarefas!$BQ$30:$FK$30,0)),"")</f>
        <v>PJ</v>
      </c>
      <c r="J515" s="81">
        <f>IF(I515="horista",H515*Dashboard!$D$15,IF(OR(I515="Mensalista",I515="PJ"),H515,))</f>
        <v>1633</v>
      </c>
      <c r="K515" s="81">
        <f>IF(I515="PJ",J515,ROUND(J515*(1+Dashboard!$D$22),2))</f>
        <v>1633</v>
      </c>
      <c r="L515" s="77"/>
      <c r="M515" s="180"/>
      <c r="P515" s="109">
        <f>IF($BD515&gt;0,(((($BD515/Dashboard!$D$15)*(1+Precificação!$W$589)))+$P$26)*(1+Dashboard!$D$35),0)</f>
        <v>0</v>
      </c>
      <c r="Q515" s="109">
        <f>IF($BD515&gt;0,(((($BD515/Dashboard!$D$23)+(1+Precificação!$W$589))*(1+Q$28))+$P$26)*(1+Dashboard!$D$35),0)</f>
        <v>0</v>
      </c>
      <c r="R515" s="109">
        <f>IF($BD515&gt;0,(((($BD515/Dashboard!$D$23)+(1+Precificação!$W$589))*(1+R$28))+$P$26)*(1+Dashboard!$D$35),0)</f>
        <v>0</v>
      </c>
      <c r="S515" s="109">
        <f>IF($BD515&gt;0,(((($BD515/Dashboard!$D$23)+(1+Precificação!$W$589))*(1+S$28))+$P$26)*(1+Dashboard!$D$35),0)</f>
        <v>0</v>
      </c>
      <c r="U515" s="109">
        <f t="shared" si="434"/>
        <v>0</v>
      </c>
      <c r="V515" s="109">
        <f t="shared" si="435"/>
        <v>0</v>
      </c>
      <c r="W515" s="109">
        <f t="shared" si="436"/>
        <v>0</v>
      </c>
      <c r="X515" s="109">
        <f t="shared" si="437"/>
        <v>0</v>
      </c>
      <c r="AA515" s="109">
        <f>IF($BD515&gt;0,(((($BD515/Dashboard!$D$23)*(1+Precificação!$W$589)))+$AA$26)*(1+Dashboard!$D$35),0)</f>
        <v>0</v>
      </c>
      <c r="AB515" s="109">
        <f>IF($BD515&gt;0,(((($BD515/Dashboard!$D$23)*(1+Precificação!$W$589))*(1+AB$28))+$AA$26)*(1+Dashboard!$D$35),0)</f>
        <v>0</v>
      </c>
      <c r="AC515" s="109">
        <f>IF($BD515&gt;0,(((($BD515/Dashboard!$D$23)*(1+Precificação!$W$589))*(1+AC$28))+$AA$26)*(1+Dashboard!$D$35),0)</f>
        <v>0</v>
      </c>
      <c r="AD515" s="109">
        <f>IF($BD515&gt;0,(((($BD515/Dashboard!$D$23)*(1+Precificação!$W$589))*(1+AD$28))+$AA$26)*(1+Dashboard!$D$35),0)</f>
        <v>0</v>
      </c>
      <c r="AF515" s="109">
        <f t="shared" si="438"/>
        <v>0</v>
      </c>
      <c r="AG515" s="109">
        <f t="shared" si="439"/>
        <v>0</v>
      </c>
      <c r="AH515" s="109">
        <f t="shared" si="440"/>
        <v>0</v>
      </c>
      <c r="AI515" s="109">
        <f t="shared" si="441"/>
        <v>0</v>
      </c>
      <c r="AL515" s="109">
        <f>IF($BD515&gt;0,(((($BD515/Dashboard!$D$23)*(1+Precificação!$W$589)))+$AL$26)*(1+Dashboard!$D$35),0)</f>
        <v>0</v>
      </c>
      <c r="AM515" s="109">
        <f>IF($BD515&gt;0,(((($BD515/Dashboard!$D$23)*(1+Precificação!$W$589))*(1+AM$28))+$AA$26)*(1+Dashboard!$D$35),0)</f>
        <v>0</v>
      </c>
      <c r="AN515" s="109">
        <f>IF($BD515&gt;0,(((($BD515/Dashboard!$D$23)*(1+Precificação!$W$589))*(1+AN$28))+$AA$26)*(1+Dashboard!$D$35),0)</f>
        <v>0</v>
      </c>
      <c r="AO515" s="109">
        <f>IF($BD515&gt;0,(((($BD515/Dashboard!$D$23)*(1+Precificação!$W$589))*(1+AO$28))+$AA$26)*(1+Dashboard!$D$35),0)</f>
        <v>0</v>
      </c>
      <c r="AQ515" s="109">
        <f t="shared" si="442"/>
        <v>0</v>
      </c>
      <c r="AR515" s="109">
        <f t="shared" si="443"/>
        <v>0</v>
      </c>
      <c r="AS515" s="109">
        <f t="shared" si="444"/>
        <v>0</v>
      </c>
      <c r="AT515" s="109">
        <f t="shared" si="445"/>
        <v>0</v>
      </c>
      <c r="AW515" s="144">
        <f>VLOOKUP(B515,'Cronog. e Histog.'!$B$213:$BT$688,71,0)</f>
        <v>0</v>
      </c>
      <c r="AX515" s="144">
        <f>VLOOKUP(B515,'Cronog. e Histog.'!$B$213:$BU$688,72,0)</f>
        <v>0</v>
      </c>
      <c r="AY515" s="144">
        <f>$AW515*$AX515*Dashboard!$D$15</f>
        <v>0</v>
      </c>
      <c r="AZ515" s="144">
        <f>VLOOKUP(B515,Precificação!$B$96:$BM$533,54,0)</f>
        <v>0</v>
      </c>
      <c r="BA515" s="144">
        <f>VLOOKUP(B515,Precificação!$B$96:$BR$533,58,0)</f>
        <v>0</v>
      </c>
      <c r="BB515" s="144">
        <f>VLOOKUP(B515,Precificação!$B$96:$BW$533,62,0)</f>
        <v>0</v>
      </c>
      <c r="BC515" s="144">
        <f t="shared" si="446"/>
        <v>0</v>
      </c>
      <c r="BD515" s="109">
        <f>IFERROR(VLOOKUP(B515,Precificação!$B$96:$S$533,13,0),0)</f>
        <v>0</v>
      </c>
      <c r="BE515" s="109">
        <f>IFERROR(VLOOKUP(B515,Precificação!$B$96:$U$533,15,0)/(Precificação!$U$4+Precificação!$U$91),0)*Dashboard!$T$3</f>
        <v>0</v>
      </c>
    </row>
    <row r="516" spans="2:57" ht="12" customHeight="1" outlineLevel="1"/>
    <row r="517" spans="2:57" ht="12" customHeight="1" outlineLevel="1">
      <c r="B517" s="137" t="str">
        <f>Precificação!B514</f>
        <v>GER. (OBRA/PROJ) - Equipe_01</v>
      </c>
      <c r="D517" s="512" t="str">
        <f>'Cronog. e Histog.'!F667</f>
        <v>Equipe20</v>
      </c>
      <c r="E517" s="143" t="str">
        <f>IF('Cronog. e Histog.'!G669&gt;0,'Cronog. e Histog.'!G669,"")</f>
        <v>GER. (OBRA/PROJ)</v>
      </c>
      <c r="G517" s="179">
        <f t="shared" ref="G517" si="447">IF(AND((AW517*AX517)&gt;0,K517=0),1,0)</f>
        <v>0</v>
      </c>
      <c r="H517" s="110">
        <f>IFERROR(INDEX('Base Salarial'!$D$5:$F$25,MATCH(E517,'Base Salarial'!$G$5:$G$25,0),MATCH(I517,'Base Salarial'!$D$4:$F$4,0)),"")</f>
        <v>21000</v>
      </c>
      <c r="I517" s="78" t="str">
        <f>IFERROR(INDEX(Tarefas!$BQ$29:$FK$29,MATCH(E517,Tarefas!$BQ$30:$FK$30,0)),"")</f>
        <v>PJ</v>
      </c>
      <c r="J517" s="81">
        <f>IF(I517="horista",H517*Dashboard!$D$15,IF(OR(I517="Mensalista",I517="PJ"),H517,))</f>
        <v>21000</v>
      </c>
      <c r="K517" s="81">
        <f>IF(I517="PJ",J517,ROUND(J517*(1+Dashboard!$D$22),2))</f>
        <v>21000</v>
      </c>
      <c r="L517" s="77"/>
      <c r="M517" s="180"/>
      <c r="P517" s="109">
        <f>IF($BD517&gt;0,(((($BD517/Dashboard!$D$15)*(1+Precificação!$W$589)))+$P$26)*(1+Dashboard!$D$35),0)</f>
        <v>0</v>
      </c>
      <c r="Q517" s="109">
        <f>IF($BD517&gt;0,(((($BD517/Dashboard!$D$23)+(1+Precificação!$W$589))*(1+Q$28))+$P$26)*(1+Dashboard!$D$35),0)</f>
        <v>0</v>
      </c>
      <c r="R517" s="109">
        <f>IF($BD517&gt;0,(((($BD517/Dashboard!$D$23)+(1+Precificação!$W$589))*(1+R$28))+$P$26)*(1+Dashboard!$D$35),0)</f>
        <v>0</v>
      </c>
      <c r="S517" s="109">
        <f>IF($BD517&gt;0,(((($BD517/Dashboard!$D$23)+(1+Precificação!$W$589))*(1+S$28))+$P$26)*(1+Dashboard!$D$35),0)</f>
        <v>0</v>
      </c>
      <c r="U517" s="109">
        <f>IF(P517&gt;0,P517+U$32,0)</f>
        <v>0</v>
      </c>
      <c r="V517" s="109">
        <f t="shared" ref="V517:X517" si="448">IF(Q517&gt;0,Q517+V$32,0)</f>
        <v>0</v>
      </c>
      <c r="W517" s="109">
        <f t="shared" si="448"/>
        <v>0</v>
      </c>
      <c r="X517" s="109">
        <f t="shared" si="448"/>
        <v>0</v>
      </c>
      <c r="AA517" s="109">
        <f>IF($BD517&gt;0,(((($BD517/Dashboard!$D$23)*(1+Precificação!$W$589)))+$AA$26)*(1+Dashboard!$D$35),0)</f>
        <v>0</v>
      </c>
      <c r="AB517" s="109">
        <f>IF($BD517&gt;0,(((($BD517/Dashboard!$D$23)*(1+Precificação!$W$589))*(1+AB$28))+$AA$26)*(1+Dashboard!$D$35),0)</f>
        <v>0</v>
      </c>
      <c r="AC517" s="109">
        <f>IF($BD517&gt;0,(((($BD517/Dashboard!$D$23)*(1+Precificação!$W$589))*(1+AC$28))+$AA$26)*(1+Dashboard!$D$35),0)</f>
        <v>0</v>
      </c>
      <c r="AD517" s="109">
        <f>IF($BD517&gt;0,(((($BD517/Dashboard!$D$23)*(1+Precificação!$W$589))*(1+AD$28))+$AA$26)*(1+Dashboard!$D$35),0)</f>
        <v>0</v>
      </c>
      <c r="AF517" s="109">
        <f>IF(AA517&gt;0,AA517+AF$32,0)</f>
        <v>0</v>
      </c>
      <c r="AG517" s="109">
        <f t="shared" ref="AG517" si="449">IF(AB517&gt;0,AB517+AG$32,0)</f>
        <v>0</v>
      </c>
      <c r="AH517" s="109">
        <f t="shared" ref="AH517" si="450">IF(AC517&gt;0,AC517+AH$32,0)</f>
        <v>0</v>
      </c>
      <c r="AI517" s="109">
        <f t="shared" ref="AI517" si="451">IF(AD517&gt;0,AD517+AI$32,0)</f>
        <v>0</v>
      </c>
      <c r="AL517" s="109">
        <f>IF($BD517&gt;0,(((($BD517/Dashboard!$D$23)*(1+Precificação!$W$589)))+$AL$26)*(1+Dashboard!$D$35),0)</f>
        <v>0</v>
      </c>
      <c r="AM517" s="109">
        <f>IF($BD517&gt;0,(((($BD517/Dashboard!$D$23)*(1+Precificação!$W$589))*(1+AM$28))+$AA$26)*(1+Dashboard!$D$35),0)</f>
        <v>0</v>
      </c>
      <c r="AN517" s="109">
        <f>IF($BD517&gt;0,(((($BD517/Dashboard!$D$23)*(1+Precificação!$W$589))*(1+AN$28))+$AA$26)*(1+Dashboard!$D$35),0)</f>
        <v>0</v>
      </c>
      <c r="AO517" s="109">
        <f>IF($BD517&gt;0,(((($BD517/Dashboard!$D$23)*(1+Precificação!$W$589))*(1+AO$28))+$AA$26)*(1+Dashboard!$D$35),0)</f>
        <v>0</v>
      </c>
      <c r="AQ517" s="109">
        <f>IF(AL517&gt;0,AL517+AQ$32,0)</f>
        <v>0</v>
      </c>
      <c r="AR517" s="109">
        <f t="shared" ref="AR517" si="452">IF(AM517&gt;0,AM517+AR$32,0)</f>
        <v>0</v>
      </c>
      <c r="AS517" s="109">
        <f t="shared" ref="AS517" si="453">IF(AN517&gt;0,AN517+AS$32,0)</f>
        <v>0</v>
      </c>
      <c r="AT517" s="109">
        <f t="shared" ref="AT517" si="454">IF(AO517&gt;0,AO517+AT$32,0)</f>
        <v>0</v>
      </c>
      <c r="AW517" s="144">
        <f>VLOOKUP(B517,'Cronog. e Histog.'!$B$213:$BT$688,71,0)</f>
        <v>1.9999999999999997E-2</v>
      </c>
      <c r="AX517" s="144">
        <f>VLOOKUP(B517,'Cronog. e Histog.'!$B$213:$BU$688,72,0)</f>
        <v>10</v>
      </c>
      <c r="AY517" s="144">
        <f>$AW517*$AX517*Dashboard!$D$15</f>
        <v>38.72</v>
      </c>
      <c r="AZ517" s="144">
        <f>VLOOKUP(B517,Precificação!$B$96:$BM$533,54,0)</f>
        <v>0</v>
      </c>
      <c r="BA517" s="144">
        <f>VLOOKUP(B517,Precificação!$B$96:$BR$533,58,0)</f>
        <v>0</v>
      </c>
      <c r="BB517" s="144">
        <f>VLOOKUP(B517,Precificação!$B$96:$BW$533,62,0)</f>
        <v>0</v>
      </c>
      <c r="BC517" s="144">
        <f t="shared" ref="BC517" si="455">SUM(AY517:BB517)</f>
        <v>38.72</v>
      </c>
      <c r="BD517" s="109">
        <f>IFERROR(VLOOKUP(B517,Precificação!$B$96:$S$533,13,0),0)</f>
        <v>0</v>
      </c>
      <c r="BE517" s="109">
        <f>IFERROR(VLOOKUP(B517,Precificação!$B$96:$U$533,15,0)/(Precificação!$U$4+Precificação!$U$91),0)*Dashboard!$T$3</f>
        <v>0</v>
      </c>
    </row>
    <row r="518" spans="2:57" ht="12" customHeight="1" outlineLevel="1">
      <c r="B518" s="137" t="str">
        <f>Precificação!B515</f>
        <v>COORD. - Equipe_01</v>
      </c>
      <c r="D518" s="512"/>
      <c r="E518" s="143" t="str">
        <f>IF('Cronog. e Histog.'!G670&gt;0,'Cronog. e Histog.'!G670,"")</f>
        <v>COORD.</v>
      </c>
      <c r="G518" s="179">
        <f t="shared" ref="G518:G536" si="456">IF(AND((AW518*AX518)&gt;0,K518=0),1,0)</f>
        <v>0</v>
      </c>
      <c r="H518" s="110">
        <f>IFERROR(INDEX('Base Salarial'!$D$5:$F$25,MATCH(E518,'Base Salarial'!$G$5:$G$25,0),MATCH(I518,'Base Salarial'!$D$4:$F$4,0)),"")</f>
        <v>19000</v>
      </c>
      <c r="I518" s="78" t="str">
        <f>IFERROR(INDEX(Tarefas!$BQ$29:$FK$29,MATCH(E518,Tarefas!$BQ$30:$FK$30,0)),"")</f>
        <v>PJ</v>
      </c>
      <c r="J518" s="81">
        <f>IF(I518="horista",H518*Dashboard!$D$15,IF(OR(I518="Mensalista",I518="PJ"),H518,))</f>
        <v>19000</v>
      </c>
      <c r="K518" s="81">
        <f>IF(I518="PJ",J518,ROUND(J518*(1+Dashboard!$D$22),2))</f>
        <v>19000</v>
      </c>
      <c r="L518" s="77"/>
      <c r="M518" s="180"/>
      <c r="P518" s="109">
        <f>IF($BD518&gt;0,(((($BD518/Dashboard!$D$15)*(1+Precificação!$W$589)))+$P$26)*(1+Dashboard!$D$35),0)</f>
        <v>0</v>
      </c>
      <c r="Q518" s="109">
        <f>IF($BD518&gt;0,(((($BD518/Dashboard!$D$23)+(1+Precificação!$W$589))*(1+Q$28))+$P$26)*(1+Dashboard!$D$35),0)</f>
        <v>0</v>
      </c>
      <c r="R518" s="109">
        <f>IF($BD518&gt;0,(((($BD518/Dashboard!$D$23)+(1+Precificação!$W$589))*(1+R$28))+$P$26)*(1+Dashboard!$D$35),0)</f>
        <v>0</v>
      </c>
      <c r="S518" s="109">
        <f>IF($BD518&gt;0,(((($BD518/Dashboard!$D$23)+(1+Precificação!$W$589))*(1+S$28))+$P$26)*(1+Dashboard!$D$35),0)</f>
        <v>0</v>
      </c>
      <c r="U518" s="109">
        <f t="shared" ref="U518:U536" si="457">IF(P518&gt;0,P518+U$32,0)</f>
        <v>0</v>
      </c>
      <c r="V518" s="109">
        <f t="shared" ref="V518:V536" si="458">IF(Q518&gt;0,Q518+V$32,0)</f>
        <v>0</v>
      </c>
      <c r="W518" s="109">
        <f t="shared" ref="W518:W536" si="459">IF(R518&gt;0,R518+W$32,0)</f>
        <v>0</v>
      </c>
      <c r="X518" s="109">
        <f t="shared" ref="X518:X536" si="460">IF(S518&gt;0,S518+X$32,0)</f>
        <v>0</v>
      </c>
      <c r="AA518" s="109">
        <f>IF($BD518&gt;0,(((($BD518/Dashboard!$D$23)*(1+Precificação!$W$589)))+$AA$26)*(1+Dashboard!$D$35),0)</f>
        <v>0</v>
      </c>
      <c r="AB518" s="109">
        <f>IF($BD518&gt;0,(((($BD518/Dashboard!$D$23)*(1+Precificação!$W$589))*(1+AB$28))+$AA$26)*(1+Dashboard!$D$35),0)</f>
        <v>0</v>
      </c>
      <c r="AC518" s="109">
        <f>IF($BD518&gt;0,(((($BD518/Dashboard!$D$23)*(1+Precificação!$W$589))*(1+AC$28))+$AA$26)*(1+Dashboard!$D$35),0)</f>
        <v>0</v>
      </c>
      <c r="AD518" s="109">
        <f>IF($BD518&gt;0,(((($BD518/Dashboard!$D$23)*(1+Precificação!$W$589))*(1+AD$28))+$AA$26)*(1+Dashboard!$D$35),0)</f>
        <v>0</v>
      </c>
      <c r="AF518" s="109">
        <f t="shared" ref="AF518:AF536" si="461">IF(AA518&gt;0,AA518+AF$32,0)</f>
        <v>0</v>
      </c>
      <c r="AG518" s="109">
        <f t="shared" ref="AG518:AG536" si="462">IF(AB518&gt;0,AB518+AG$32,0)</f>
        <v>0</v>
      </c>
      <c r="AH518" s="109">
        <f t="shared" ref="AH518:AH536" si="463">IF(AC518&gt;0,AC518+AH$32,0)</f>
        <v>0</v>
      </c>
      <c r="AI518" s="109">
        <f t="shared" ref="AI518:AI536" si="464">IF(AD518&gt;0,AD518+AI$32,0)</f>
        <v>0</v>
      </c>
      <c r="AL518" s="109">
        <f>IF($BD518&gt;0,(((($BD518/Dashboard!$D$23)*(1+Precificação!$W$589)))+$AL$26)*(1+Dashboard!$D$35),0)</f>
        <v>0</v>
      </c>
      <c r="AM518" s="109">
        <f>IF($BD518&gt;0,(((($BD518/Dashboard!$D$23)*(1+Precificação!$W$589))*(1+AM$28))+$AA$26)*(1+Dashboard!$D$35),0)</f>
        <v>0</v>
      </c>
      <c r="AN518" s="109">
        <f>IF($BD518&gt;0,(((($BD518/Dashboard!$D$23)*(1+Precificação!$W$589))*(1+AN$28))+$AA$26)*(1+Dashboard!$D$35),0)</f>
        <v>0</v>
      </c>
      <c r="AO518" s="109">
        <f>IF($BD518&gt;0,(((($BD518/Dashboard!$D$23)*(1+Precificação!$W$589))*(1+AO$28))+$AA$26)*(1+Dashboard!$D$35),0)</f>
        <v>0</v>
      </c>
      <c r="AQ518" s="109">
        <f t="shared" ref="AQ518:AQ536" si="465">IF(AL518&gt;0,AL518+AQ$32,0)</f>
        <v>0</v>
      </c>
      <c r="AR518" s="109">
        <f t="shared" ref="AR518:AR536" si="466">IF(AM518&gt;0,AM518+AR$32,0)</f>
        <v>0</v>
      </c>
      <c r="AS518" s="109">
        <f t="shared" ref="AS518:AS536" si="467">IF(AN518&gt;0,AN518+AS$32,0)</f>
        <v>0</v>
      </c>
      <c r="AT518" s="109">
        <f t="shared" ref="AT518:AT536" si="468">IF(AO518&gt;0,AO518+AT$32,0)</f>
        <v>0</v>
      </c>
      <c r="AW518" s="144">
        <f>VLOOKUP(B518,'Cronog. e Histog.'!$B$213:$BT$688,71,0)</f>
        <v>1</v>
      </c>
      <c r="AX518" s="144">
        <f>VLOOKUP(B518,'Cronog. e Histog.'!$B$213:$BU$688,72,0)</f>
        <v>10</v>
      </c>
      <c r="AY518" s="144">
        <f>$AW518*$AX518*Dashboard!$D$15</f>
        <v>1936.0000000000002</v>
      </c>
      <c r="AZ518" s="144">
        <f>VLOOKUP(B518,Precificação!$B$96:$BM$533,54,0)</f>
        <v>0</v>
      </c>
      <c r="BA518" s="144">
        <f>VLOOKUP(B518,Precificação!$B$96:$BR$533,58,0)</f>
        <v>0</v>
      </c>
      <c r="BB518" s="144">
        <f>VLOOKUP(B518,Precificação!$B$96:$BW$533,62,0)</f>
        <v>0</v>
      </c>
      <c r="BC518" s="144">
        <f t="shared" ref="BC518:BC536" si="469">SUM(AY518:BB518)</f>
        <v>1936.0000000000002</v>
      </c>
      <c r="BD518" s="109">
        <f>IFERROR(VLOOKUP(B518,Precificação!$B$96:$S$533,13,0),0)</f>
        <v>0</v>
      </c>
      <c r="BE518" s="109">
        <f>IFERROR(VLOOKUP(B518,Precificação!$B$96:$U$533,15,0)/(Precificação!$U$4+Precificação!$U$91),0)*Dashboard!$T$3</f>
        <v>0</v>
      </c>
    </row>
    <row r="519" spans="2:57" ht="12" customHeight="1" outlineLevel="1">
      <c r="B519" s="137" t="str">
        <f>Precificação!B516</f>
        <v>SUP.-ESP - Equipe_01</v>
      </c>
      <c r="D519" s="512"/>
      <c r="E519" s="143" t="str">
        <f>IF('Cronog. e Histog.'!G671&gt;0,'Cronog. e Histog.'!G671,"")</f>
        <v>SUP.-ESP</v>
      </c>
      <c r="G519" s="179">
        <f t="shared" si="456"/>
        <v>0</v>
      </c>
      <c r="H519" s="110">
        <f>IFERROR(INDEX('Base Salarial'!$D$5:$F$25,MATCH(E519,'Base Salarial'!$G$5:$G$25,0),MATCH(I519,'Base Salarial'!$D$4:$F$4,0)),"")</f>
        <v>9166.6666666666679</v>
      </c>
      <c r="I519" s="78" t="str">
        <f>IFERROR(INDEX(Tarefas!$BQ$29:$FK$29,MATCH(E519,Tarefas!$BQ$30:$FK$30,0)),"")</f>
        <v>Mensalista</v>
      </c>
      <c r="J519" s="81">
        <f>IF(I519="horista",H519*Dashboard!$D$15,IF(OR(I519="Mensalista",I519="PJ"),H519,))</f>
        <v>9166.6666666666679</v>
      </c>
      <c r="K519" s="81">
        <f>IF(I519="PJ",J519,ROUND(J519*(1+Dashboard!$D$22),2))</f>
        <v>9716.67</v>
      </c>
      <c r="L519" s="77"/>
      <c r="M519" s="180"/>
      <c r="P519" s="109">
        <f>IF($BD519&gt;0,(((($BD519/Dashboard!$D$15)*(1+Precificação!$W$589)))+$P$26)*(1+Dashboard!$D$35),0)</f>
        <v>0</v>
      </c>
      <c r="Q519" s="109">
        <f>IF($BD519&gt;0,(((($BD519/Dashboard!$D$23)+(1+Precificação!$W$589))*(1+Q$28))+$P$26)*(1+Dashboard!$D$35),0)</f>
        <v>0</v>
      </c>
      <c r="R519" s="109">
        <f>IF($BD519&gt;0,(((($BD519/Dashboard!$D$23)+(1+Precificação!$W$589))*(1+R$28))+$P$26)*(1+Dashboard!$D$35),0)</f>
        <v>0</v>
      </c>
      <c r="S519" s="109">
        <f>IF($BD519&gt;0,(((($BD519/Dashboard!$D$23)+(1+Precificação!$W$589))*(1+S$28))+$P$26)*(1+Dashboard!$D$35),0)</f>
        <v>0</v>
      </c>
      <c r="U519" s="109">
        <f t="shared" si="457"/>
        <v>0</v>
      </c>
      <c r="V519" s="109">
        <f t="shared" si="458"/>
        <v>0</v>
      </c>
      <c r="W519" s="109">
        <f t="shared" si="459"/>
        <v>0</v>
      </c>
      <c r="X519" s="109">
        <f t="shared" si="460"/>
        <v>0</v>
      </c>
      <c r="AA519" s="109">
        <f>IF($BD519&gt;0,(((($BD519/Dashboard!$D$23)*(1+Precificação!$W$589)))+$AA$26)*(1+Dashboard!$D$35),0)</f>
        <v>0</v>
      </c>
      <c r="AB519" s="109">
        <f>IF($BD519&gt;0,(((($BD519/Dashboard!$D$23)*(1+Precificação!$W$589))*(1+AB$28))+$AA$26)*(1+Dashboard!$D$35),0)</f>
        <v>0</v>
      </c>
      <c r="AC519" s="109">
        <f>IF($BD519&gt;0,(((($BD519/Dashboard!$D$23)*(1+Precificação!$W$589))*(1+AC$28))+$AA$26)*(1+Dashboard!$D$35),0)</f>
        <v>0</v>
      </c>
      <c r="AD519" s="109">
        <f>IF($BD519&gt;0,(((($BD519/Dashboard!$D$23)*(1+Precificação!$W$589))*(1+AD$28))+$AA$26)*(1+Dashboard!$D$35),0)</f>
        <v>0</v>
      </c>
      <c r="AF519" s="109">
        <f t="shared" si="461"/>
        <v>0</v>
      </c>
      <c r="AG519" s="109">
        <f t="shared" si="462"/>
        <v>0</v>
      </c>
      <c r="AH519" s="109">
        <f t="shared" si="463"/>
        <v>0</v>
      </c>
      <c r="AI519" s="109">
        <f t="shared" si="464"/>
        <v>0</v>
      </c>
      <c r="AL519" s="109">
        <f>IF($BD519&gt;0,(((($BD519/Dashboard!$D$23)*(1+Precificação!$W$589)))+$AL$26)*(1+Dashboard!$D$35),0)</f>
        <v>0</v>
      </c>
      <c r="AM519" s="109">
        <f>IF($BD519&gt;0,(((($BD519/Dashboard!$D$23)*(1+Precificação!$W$589))*(1+AM$28))+$AA$26)*(1+Dashboard!$D$35),0)</f>
        <v>0</v>
      </c>
      <c r="AN519" s="109">
        <f>IF($BD519&gt;0,(((($BD519/Dashboard!$D$23)*(1+Precificação!$W$589))*(1+AN$28))+$AA$26)*(1+Dashboard!$D$35),0)</f>
        <v>0</v>
      </c>
      <c r="AO519" s="109">
        <f>IF($BD519&gt;0,(((($BD519/Dashboard!$D$23)*(1+Precificação!$W$589))*(1+AO$28))+$AA$26)*(1+Dashboard!$D$35),0)</f>
        <v>0</v>
      </c>
      <c r="AQ519" s="109">
        <f t="shared" si="465"/>
        <v>0</v>
      </c>
      <c r="AR519" s="109">
        <f t="shared" si="466"/>
        <v>0</v>
      </c>
      <c r="AS519" s="109">
        <f t="shared" si="467"/>
        <v>0</v>
      </c>
      <c r="AT519" s="109">
        <f t="shared" si="468"/>
        <v>0</v>
      </c>
      <c r="AW519" s="144">
        <f>VLOOKUP(B519,'Cronog. e Histog.'!$B$213:$BT$688,71,0)</f>
        <v>0</v>
      </c>
      <c r="AX519" s="144">
        <f>VLOOKUP(B519,'Cronog. e Histog.'!$B$213:$BU$688,72,0)</f>
        <v>0</v>
      </c>
      <c r="AY519" s="144">
        <f>$AW519*$AX519*Dashboard!$D$15</f>
        <v>0</v>
      </c>
      <c r="AZ519" s="144">
        <f>VLOOKUP(B519,Precificação!$B$96:$BM$533,54,0)</f>
        <v>0</v>
      </c>
      <c r="BA519" s="144">
        <f>VLOOKUP(B519,Precificação!$B$96:$BR$533,58,0)</f>
        <v>0</v>
      </c>
      <c r="BB519" s="144">
        <f>VLOOKUP(B519,Precificação!$B$96:$BW$533,62,0)</f>
        <v>0</v>
      </c>
      <c r="BC519" s="144">
        <f t="shared" si="469"/>
        <v>0</v>
      </c>
      <c r="BD519" s="109">
        <f>IFERROR(VLOOKUP(B519,Precificação!$B$96:$S$533,13,0),0)</f>
        <v>0</v>
      </c>
      <c r="BE519" s="109">
        <f>IFERROR(VLOOKUP(B519,Precificação!$B$96:$U$533,15,0)/(Precificação!$U$4+Precificação!$U$91),0)*Dashboard!$T$3</f>
        <v>0</v>
      </c>
    </row>
    <row r="520" spans="2:57" ht="12" customHeight="1" outlineLevel="1">
      <c r="B520" s="137" t="str">
        <f>Precificação!B517</f>
        <v>ENG/ARQ SR. - Equipe_01</v>
      </c>
      <c r="D520" s="512"/>
      <c r="E520" s="143" t="str">
        <f>IF('Cronog. e Histog.'!G672&gt;0,'Cronog. e Histog.'!G672,"")</f>
        <v>ENG/ARQ SR.</v>
      </c>
      <c r="G520" s="179">
        <f t="shared" si="456"/>
        <v>0</v>
      </c>
      <c r="H520" s="110">
        <f>IFERROR(INDEX('Base Salarial'!$D$5:$F$25,MATCH(E520,'Base Salarial'!$G$5:$G$25,0),MATCH(I520,'Base Salarial'!$D$4:$F$4,0)),"")</f>
        <v>16000</v>
      </c>
      <c r="I520" s="78" t="str">
        <f>IFERROR(INDEX(Tarefas!$BQ$29:$FK$29,MATCH(E520,Tarefas!$BQ$30:$FK$30,0)),"")</f>
        <v>PJ</v>
      </c>
      <c r="J520" s="81">
        <f>IF(I520="horista",H520*Dashboard!$D$15,IF(OR(I520="Mensalista",I520="PJ"),H520,))</f>
        <v>16000</v>
      </c>
      <c r="K520" s="81">
        <f>IF(I520="PJ",J520,ROUND(J520*(1+Dashboard!$D$22),2))</f>
        <v>16000</v>
      </c>
      <c r="L520" s="77"/>
      <c r="M520" s="180"/>
      <c r="P520" s="109">
        <f>IF($BD520&gt;0,(((($BD520/Dashboard!$D$15)*(1+Precificação!$W$589)))+$P$26)*(1+Dashboard!$D$35),0)</f>
        <v>0</v>
      </c>
      <c r="Q520" s="109">
        <f>IF($BD520&gt;0,(((($BD520/Dashboard!$D$23)+(1+Precificação!$W$589))*(1+Q$28))+$P$26)*(1+Dashboard!$D$35),0)</f>
        <v>0</v>
      </c>
      <c r="R520" s="109">
        <f>IF($BD520&gt;0,(((($BD520/Dashboard!$D$23)+(1+Precificação!$W$589))*(1+R$28))+$P$26)*(1+Dashboard!$D$35),0)</f>
        <v>0</v>
      </c>
      <c r="S520" s="109">
        <f>IF($BD520&gt;0,(((($BD520/Dashboard!$D$23)+(1+Precificação!$W$589))*(1+S$28))+$P$26)*(1+Dashboard!$D$35),0)</f>
        <v>0</v>
      </c>
      <c r="U520" s="109">
        <f t="shared" si="457"/>
        <v>0</v>
      </c>
      <c r="V520" s="109">
        <f t="shared" si="458"/>
        <v>0</v>
      </c>
      <c r="W520" s="109">
        <f t="shared" si="459"/>
        <v>0</v>
      </c>
      <c r="X520" s="109">
        <f t="shared" si="460"/>
        <v>0</v>
      </c>
      <c r="AA520" s="109">
        <f>IF($BD520&gt;0,(((($BD520/Dashboard!$D$23)*(1+Precificação!$W$589)))+$AA$26)*(1+Dashboard!$D$35),0)</f>
        <v>0</v>
      </c>
      <c r="AB520" s="109">
        <f>IF($BD520&gt;0,(((($BD520/Dashboard!$D$23)*(1+Precificação!$W$589))*(1+AB$28))+$AA$26)*(1+Dashboard!$D$35),0)</f>
        <v>0</v>
      </c>
      <c r="AC520" s="109">
        <f>IF($BD520&gt;0,(((($BD520/Dashboard!$D$23)*(1+Precificação!$W$589))*(1+AC$28))+$AA$26)*(1+Dashboard!$D$35),0)</f>
        <v>0</v>
      </c>
      <c r="AD520" s="109">
        <f>IF($BD520&gt;0,(((($BD520/Dashboard!$D$23)*(1+Precificação!$W$589))*(1+AD$28))+$AA$26)*(1+Dashboard!$D$35),0)</f>
        <v>0</v>
      </c>
      <c r="AF520" s="109">
        <f t="shared" si="461"/>
        <v>0</v>
      </c>
      <c r="AG520" s="109">
        <f t="shared" si="462"/>
        <v>0</v>
      </c>
      <c r="AH520" s="109">
        <f t="shared" si="463"/>
        <v>0</v>
      </c>
      <c r="AI520" s="109">
        <f t="shared" si="464"/>
        <v>0</v>
      </c>
      <c r="AL520" s="109">
        <f>IF($BD520&gt;0,(((($BD520/Dashboard!$D$23)*(1+Precificação!$W$589)))+$AL$26)*(1+Dashboard!$D$35),0)</f>
        <v>0</v>
      </c>
      <c r="AM520" s="109">
        <f>IF($BD520&gt;0,(((($BD520/Dashboard!$D$23)*(1+Precificação!$W$589))*(1+AM$28))+$AA$26)*(1+Dashboard!$D$35),0)</f>
        <v>0</v>
      </c>
      <c r="AN520" s="109">
        <f>IF($BD520&gt;0,(((($BD520/Dashboard!$D$23)*(1+Precificação!$W$589))*(1+AN$28))+$AA$26)*(1+Dashboard!$D$35),0)</f>
        <v>0</v>
      </c>
      <c r="AO520" s="109">
        <f>IF($BD520&gt;0,(((($BD520/Dashboard!$D$23)*(1+Precificação!$W$589))*(1+AO$28))+$AA$26)*(1+Dashboard!$D$35),0)</f>
        <v>0</v>
      </c>
      <c r="AQ520" s="109">
        <f t="shared" si="465"/>
        <v>0</v>
      </c>
      <c r="AR520" s="109">
        <f t="shared" si="466"/>
        <v>0</v>
      </c>
      <c r="AS520" s="109">
        <f t="shared" si="467"/>
        <v>0</v>
      </c>
      <c r="AT520" s="109">
        <f t="shared" si="468"/>
        <v>0</v>
      </c>
      <c r="AW520" s="144">
        <f>VLOOKUP(B520,'Cronog. e Histog.'!$B$213:$BT$688,71,0)</f>
        <v>9.9999999999999985E-3</v>
      </c>
      <c r="AX520" s="144">
        <f>VLOOKUP(B520,'Cronog. e Histog.'!$B$213:$BU$688,72,0)</f>
        <v>10</v>
      </c>
      <c r="AY520" s="144">
        <f>$AW520*$AX520*Dashboard!$D$15</f>
        <v>19.36</v>
      </c>
      <c r="AZ520" s="144">
        <f>VLOOKUP(B520,Precificação!$B$96:$BM$533,54,0)</f>
        <v>0</v>
      </c>
      <c r="BA520" s="144">
        <f>VLOOKUP(B520,Precificação!$B$96:$BR$533,58,0)</f>
        <v>0</v>
      </c>
      <c r="BB520" s="144">
        <f>VLOOKUP(B520,Precificação!$B$96:$BW$533,62,0)</f>
        <v>0</v>
      </c>
      <c r="BC520" s="144">
        <f t="shared" si="469"/>
        <v>19.36</v>
      </c>
      <c r="BD520" s="109">
        <f>IFERROR(VLOOKUP(B520,Precificação!$B$96:$S$533,13,0),0)</f>
        <v>0</v>
      </c>
      <c r="BE520" s="109">
        <f>IFERROR(VLOOKUP(B520,Precificação!$B$96:$U$533,15,0)/(Precificação!$U$4+Precificação!$U$91),0)*Dashboard!$T$3</f>
        <v>0</v>
      </c>
    </row>
    <row r="521" spans="2:57" ht="12" customHeight="1" outlineLevel="1">
      <c r="B521" s="137" t="str">
        <f>Precificação!B518</f>
        <v>ENG/ARQ PL. - Equipe_01</v>
      </c>
      <c r="D521" s="512"/>
      <c r="E521" s="143" t="str">
        <f>IF('Cronog. e Histog.'!G673&gt;0,'Cronog. e Histog.'!G673,"")</f>
        <v>ENG/ARQ PL.</v>
      </c>
      <c r="G521" s="179">
        <f t="shared" si="456"/>
        <v>0</v>
      </c>
      <c r="H521" s="110">
        <f>IFERROR(INDEX('Base Salarial'!$D$5:$F$25,MATCH(E521,'Base Salarial'!$G$5:$G$25,0),MATCH(I521,'Base Salarial'!$D$4:$F$4,0)),"")</f>
        <v>14000</v>
      </c>
      <c r="I521" s="78" t="str">
        <f>IFERROR(INDEX(Tarefas!$BQ$29:$FK$29,MATCH(E521,Tarefas!$BQ$30:$FK$30,0)),"")</f>
        <v>PJ</v>
      </c>
      <c r="J521" s="81">
        <f>IF(I521="horista",H521*Dashboard!$D$15,IF(OR(I521="Mensalista",I521="PJ"),H521,))</f>
        <v>14000</v>
      </c>
      <c r="K521" s="81">
        <f>IF(I521="PJ",J521,ROUND(J521*(1+Dashboard!$D$22),2))</f>
        <v>14000</v>
      </c>
      <c r="L521" s="77"/>
      <c r="M521" s="180"/>
      <c r="P521" s="109">
        <f>IF($BD521&gt;0,(((($BD521/Dashboard!$D$15)*(1+Precificação!$W$589)))+$P$26)*(1+Dashboard!$D$35),0)</f>
        <v>0</v>
      </c>
      <c r="Q521" s="109">
        <f>IF($BD521&gt;0,(((($BD521/Dashboard!$D$23)+(1+Precificação!$W$589))*(1+Q$28))+$P$26)*(1+Dashboard!$D$35),0)</f>
        <v>0</v>
      </c>
      <c r="R521" s="109">
        <f>IF($BD521&gt;0,(((($BD521/Dashboard!$D$23)+(1+Precificação!$W$589))*(1+R$28))+$P$26)*(1+Dashboard!$D$35),0)</f>
        <v>0</v>
      </c>
      <c r="S521" s="109">
        <f>IF($BD521&gt;0,(((($BD521/Dashboard!$D$23)+(1+Precificação!$W$589))*(1+S$28))+$P$26)*(1+Dashboard!$D$35),0)</f>
        <v>0</v>
      </c>
      <c r="U521" s="109">
        <f t="shared" si="457"/>
        <v>0</v>
      </c>
      <c r="V521" s="109">
        <f t="shared" si="458"/>
        <v>0</v>
      </c>
      <c r="W521" s="109">
        <f t="shared" si="459"/>
        <v>0</v>
      </c>
      <c r="X521" s="109">
        <f t="shared" si="460"/>
        <v>0</v>
      </c>
      <c r="AA521" s="109">
        <f>IF($BD521&gt;0,(((($BD521/Dashboard!$D$23)*(1+Precificação!$W$589)))+$AA$26)*(1+Dashboard!$D$35),0)</f>
        <v>0</v>
      </c>
      <c r="AB521" s="109">
        <f>IF($BD521&gt;0,(((($BD521/Dashboard!$D$23)*(1+Precificação!$W$589))*(1+AB$28))+$AA$26)*(1+Dashboard!$D$35),0)</f>
        <v>0</v>
      </c>
      <c r="AC521" s="109">
        <f>IF($BD521&gt;0,(((($BD521/Dashboard!$D$23)*(1+Precificação!$W$589))*(1+AC$28))+$AA$26)*(1+Dashboard!$D$35),0)</f>
        <v>0</v>
      </c>
      <c r="AD521" s="109">
        <f>IF($BD521&gt;0,(((($BD521/Dashboard!$D$23)*(1+Precificação!$W$589))*(1+AD$28))+$AA$26)*(1+Dashboard!$D$35),0)</f>
        <v>0</v>
      </c>
      <c r="AF521" s="109">
        <f t="shared" si="461"/>
        <v>0</v>
      </c>
      <c r="AG521" s="109">
        <f t="shared" si="462"/>
        <v>0</v>
      </c>
      <c r="AH521" s="109">
        <f t="shared" si="463"/>
        <v>0</v>
      </c>
      <c r="AI521" s="109">
        <f t="shared" si="464"/>
        <v>0</v>
      </c>
      <c r="AL521" s="109">
        <f>IF($BD521&gt;0,(((($BD521/Dashboard!$D$23)*(1+Precificação!$W$589)))+$AL$26)*(1+Dashboard!$D$35),0)</f>
        <v>0</v>
      </c>
      <c r="AM521" s="109">
        <f>IF($BD521&gt;0,(((($BD521/Dashboard!$D$23)*(1+Precificação!$W$589))*(1+AM$28))+$AA$26)*(1+Dashboard!$D$35),0)</f>
        <v>0</v>
      </c>
      <c r="AN521" s="109">
        <f>IF($BD521&gt;0,(((($BD521/Dashboard!$D$23)*(1+Precificação!$W$589))*(1+AN$28))+$AA$26)*(1+Dashboard!$D$35),0)</f>
        <v>0</v>
      </c>
      <c r="AO521" s="109">
        <f>IF($BD521&gt;0,(((($BD521/Dashboard!$D$23)*(1+Precificação!$W$589))*(1+AO$28))+$AA$26)*(1+Dashboard!$D$35),0)</f>
        <v>0</v>
      </c>
      <c r="AQ521" s="109">
        <f t="shared" si="465"/>
        <v>0</v>
      </c>
      <c r="AR521" s="109">
        <f t="shared" si="466"/>
        <v>0</v>
      </c>
      <c r="AS521" s="109">
        <f t="shared" si="467"/>
        <v>0</v>
      </c>
      <c r="AT521" s="109">
        <f t="shared" si="468"/>
        <v>0</v>
      </c>
      <c r="AW521" s="144">
        <f>VLOOKUP(B521,'Cronog. e Histog.'!$B$213:$BT$688,71,0)</f>
        <v>0</v>
      </c>
      <c r="AX521" s="144">
        <f>VLOOKUP(B521,'Cronog. e Histog.'!$B$213:$BU$688,72,0)</f>
        <v>0</v>
      </c>
      <c r="AY521" s="144">
        <f>$AW521*$AX521*Dashboard!$D$15</f>
        <v>0</v>
      </c>
      <c r="AZ521" s="144">
        <f>VLOOKUP(B521,Precificação!$B$96:$BM$533,54,0)</f>
        <v>0</v>
      </c>
      <c r="BA521" s="144">
        <f>VLOOKUP(B521,Precificação!$B$96:$BR$533,58,0)</f>
        <v>0</v>
      </c>
      <c r="BB521" s="144">
        <f>VLOOKUP(B521,Precificação!$B$96:$BW$533,62,0)</f>
        <v>0</v>
      </c>
      <c r="BC521" s="144">
        <f t="shared" si="469"/>
        <v>0</v>
      </c>
      <c r="BD521" s="109">
        <f>IFERROR(VLOOKUP(B521,Precificação!$B$96:$S$533,13,0),0)</f>
        <v>0</v>
      </c>
      <c r="BE521" s="109">
        <f>IFERROR(VLOOKUP(B521,Precificação!$B$96:$U$533,15,0)/(Precificação!$U$4+Precificação!$U$91),0)*Dashboard!$T$3</f>
        <v>0</v>
      </c>
    </row>
    <row r="522" spans="2:57" ht="12" customHeight="1" outlineLevel="1">
      <c r="B522" s="137" t="str">
        <f>Precificação!B519</f>
        <v>ENG/ARQ JR. - Equipe_01</v>
      </c>
      <c r="D522" s="512"/>
      <c r="E522" s="143" t="str">
        <f>IF('Cronog. e Histog.'!G674&gt;0,'Cronog. e Histog.'!G674,"")</f>
        <v>ENG/ARQ JR.</v>
      </c>
      <c r="G522" s="179">
        <f t="shared" si="456"/>
        <v>0</v>
      </c>
      <c r="H522" s="110">
        <f>IFERROR(INDEX('Base Salarial'!$D$5:$F$25,MATCH(E522,'Base Salarial'!$G$5:$G$25,0),MATCH(I522,'Base Salarial'!$D$4:$F$4,0)),"")</f>
        <v>14000</v>
      </c>
      <c r="I522" s="78" t="str">
        <f>IFERROR(INDEX(Tarefas!$BQ$29:$FK$29,MATCH(E522,Tarefas!$BQ$30:$FK$30,0)),"")</f>
        <v>PJ</v>
      </c>
      <c r="J522" s="81">
        <f>IF(I522="horista",H522*Dashboard!$D$15,IF(OR(I522="Mensalista",I522="PJ"),H522,))</f>
        <v>14000</v>
      </c>
      <c r="K522" s="81">
        <f>IF(I522="PJ",J522,ROUND(J522*(1+Dashboard!$D$22),2))</f>
        <v>14000</v>
      </c>
      <c r="L522" s="77"/>
      <c r="M522" s="180"/>
      <c r="P522" s="109">
        <f>IF($BD522&gt;0,(((($BD522/Dashboard!$D$15)*(1+Precificação!$W$589)))+$P$26)*(1+Dashboard!$D$35),0)</f>
        <v>0</v>
      </c>
      <c r="Q522" s="109">
        <f>IF($BD522&gt;0,(((($BD522/Dashboard!$D$23)+(1+Precificação!$W$589))*(1+Q$28))+$P$26)*(1+Dashboard!$D$35),0)</f>
        <v>0</v>
      </c>
      <c r="R522" s="109">
        <f>IF($BD522&gt;0,(((($BD522/Dashboard!$D$23)+(1+Precificação!$W$589))*(1+R$28))+$P$26)*(1+Dashboard!$D$35),0)</f>
        <v>0</v>
      </c>
      <c r="S522" s="109">
        <f>IF($BD522&gt;0,(((($BD522/Dashboard!$D$23)+(1+Precificação!$W$589))*(1+S$28))+$P$26)*(1+Dashboard!$D$35),0)</f>
        <v>0</v>
      </c>
      <c r="U522" s="109">
        <f t="shared" si="457"/>
        <v>0</v>
      </c>
      <c r="V522" s="109">
        <f t="shared" si="458"/>
        <v>0</v>
      </c>
      <c r="W522" s="109">
        <f t="shared" si="459"/>
        <v>0</v>
      </c>
      <c r="X522" s="109">
        <f t="shared" si="460"/>
        <v>0</v>
      </c>
      <c r="AA522" s="109">
        <f>IF($BD522&gt;0,(((($BD522/Dashboard!$D$23)*(1+Precificação!$W$589)))+$AA$26)*(1+Dashboard!$D$35),0)</f>
        <v>0</v>
      </c>
      <c r="AB522" s="109">
        <f>IF($BD522&gt;0,(((($BD522/Dashboard!$D$23)*(1+Precificação!$W$589))*(1+AB$28))+$AA$26)*(1+Dashboard!$D$35),0)</f>
        <v>0</v>
      </c>
      <c r="AC522" s="109">
        <f>IF($BD522&gt;0,(((($BD522/Dashboard!$D$23)*(1+Precificação!$W$589))*(1+AC$28))+$AA$26)*(1+Dashboard!$D$35),0)</f>
        <v>0</v>
      </c>
      <c r="AD522" s="109">
        <f>IF($BD522&gt;0,(((($BD522/Dashboard!$D$23)*(1+Precificação!$W$589))*(1+AD$28))+$AA$26)*(1+Dashboard!$D$35),0)</f>
        <v>0</v>
      </c>
      <c r="AF522" s="109">
        <f t="shared" si="461"/>
        <v>0</v>
      </c>
      <c r="AG522" s="109">
        <f t="shared" si="462"/>
        <v>0</v>
      </c>
      <c r="AH522" s="109">
        <f t="shared" si="463"/>
        <v>0</v>
      </c>
      <c r="AI522" s="109">
        <f t="shared" si="464"/>
        <v>0</v>
      </c>
      <c r="AL522" s="109">
        <f>IF($BD522&gt;0,(((($BD522/Dashboard!$D$23)*(1+Precificação!$W$589)))+$AL$26)*(1+Dashboard!$D$35),0)</f>
        <v>0</v>
      </c>
      <c r="AM522" s="109">
        <f>IF($BD522&gt;0,(((($BD522/Dashboard!$D$23)*(1+Precificação!$W$589))*(1+AM$28))+$AA$26)*(1+Dashboard!$D$35),0)</f>
        <v>0</v>
      </c>
      <c r="AN522" s="109">
        <f>IF($BD522&gt;0,(((($BD522/Dashboard!$D$23)*(1+Precificação!$W$589))*(1+AN$28))+$AA$26)*(1+Dashboard!$D$35),0)</f>
        <v>0</v>
      </c>
      <c r="AO522" s="109">
        <f>IF($BD522&gt;0,(((($BD522/Dashboard!$D$23)*(1+Precificação!$W$589))*(1+AO$28))+$AA$26)*(1+Dashboard!$D$35),0)</f>
        <v>0</v>
      </c>
      <c r="AQ522" s="109">
        <f t="shared" si="465"/>
        <v>0</v>
      </c>
      <c r="AR522" s="109">
        <f t="shared" si="466"/>
        <v>0</v>
      </c>
      <c r="AS522" s="109">
        <f t="shared" si="467"/>
        <v>0</v>
      </c>
      <c r="AT522" s="109">
        <f t="shared" si="468"/>
        <v>0</v>
      </c>
      <c r="AW522" s="144">
        <f>VLOOKUP(B522,'Cronog. e Histog.'!$B$213:$BT$688,71,0)</f>
        <v>0</v>
      </c>
      <c r="AX522" s="144">
        <f>VLOOKUP(B522,'Cronog. e Histog.'!$B$213:$BU$688,72,0)</f>
        <v>0</v>
      </c>
      <c r="AY522" s="144">
        <f>$AW522*$AX522*Dashboard!$D$15</f>
        <v>0</v>
      </c>
      <c r="AZ522" s="144">
        <f>VLOOKUP(B522,Precificação!$B$96:$BM$533,54,0)</f>
        <v>0</v>
      </c>
      <c r="BA522" s="144">
        <f>VLOOKUP(B522,Precificação!$B$96:$BR$533,58,0)</f>
        <v>0</v>
      </c>
      <c r="BB522" s="144">
        <f>VLOOKUP(B522,Precificação!$B$96:$BW$533,62,0)</f>
        <v>0</v>
      </c>
      <c r="BC522" s="144">
        <f t="shared" si="469"/>
        <v>0</v>
      </c>
      <c r="BD522" s="109">
        <f>IFERROR(VLOOKUP(B522,Precificação!$B$96:$S$533,13,0),0)</f>
        <v>0</v>
      </c>
      <c r="BE522" s="109">
        <f>IFERROR(VLOOKUP(B522,Precificação!$B$96:$U$533,15,0)/(Precificação!$U$4+Precificação!$U$91),0)*Dashboard!$T$3</f>
        <v>0</v>
      </c>
    </row>
    <row r="523" spans="2:57" ht="12" customHeight="1" outlineLevel="1">
      <c r="B523" s="137" t="str">
        <f>Precificação!B520</f>
        <v>AN SR. ENG/ARQ - Equipe_01</v>
      </c>
      <c r="D523" s="512"/>
      <c r="E523" s="143" t="str">
        <f>IF('Cronog. e Histog.'!G675&gt;0,'Cronog. e Histog.'!G675,"")</f>
        <v>AN SR. ENG/ARQ</v>
      </c>
      <c r="G523" s="179">
        <f t="shared" si="456"/>
        <v>0</v>
      </c>
      <c r="H523" s="110">
        <f>IFERROR(INDEX('Base Salarial'!$D$5:$F$25,MATCH(E523,'Base Salarial'!$G$5:$G$25,0),MATCH(I523,'Base Salarial'!$D$4:$F$4,0)),"")</f>
        <v>7500</v>
      </c>
      <c r="I523" s="78" t="str">
        <f>IFERROR(INDEX(Tarefas!$BQ$29:$FK$29,MATCH(E523,Tarefas!$BQ$30:$FK$30,0)),"")</f>
        <v>Mensalista</v>
      </c>
      <c r="J523" s="81">
        <f>IF(I523="horista",H523*Dashboard!$D$15,IF(OR(I523="Mensalista",I523="PJ"),H523,))</f>
        <v>7500</v>
      </c>
      <c r="K523" s="81">
        <f>IF(I523="PJ",J523,ROUND(J523*(1+Dashboard!$D$22),2))</f>
        <v>7950</v>
      </c>
      <c r="L523" s="77"/>
      <c r="M523" s="180"/>
      <c r="P523" s="109">
        <f>IF($BD523&gt;0,(((($BD523/Dashboard!$D$15)*(1+Precificação!$W$589)))+$P$26)*(1+Dashboard!$D$35),0)</f>
        <v>0</v>
      </c>
      <c r="Q523" s="109">
        <f>IF($BD523&gt;0,(((($BD523/Dashboard!$D$23)+(1+Precificação!$W$589))*(1+Q$28))+$P$26)*(1+Dashboard!$D$35),0)</f>
        <v>0</v>
      </c>
      <c r="R523" s="109">
        <f>IF($BD523&gt;0,(((($BD523/Dashboard!$D$23)+(1+Precificação!$W$589))*(1+R$28))+$P$26)*(1+Dashboard!$D$35),0)</f>
        <v>0</v>
      </c>
      <c r="S523" s="109">
        <f>IF($BD523&gt;0,(((($BD523/Dashboard!$D$23)+(1+Precificação!$W$589))*(1+S$28))+$P$26)*(1+Dashboard!$D$35),0)</f>
        <v>0</v>
      </c>
      <c r="U523" s="109">
        <f t="shared" si="457"/>
        <v>0</v>
      </c>
      <c r="V523" s="109">
        <f t="shared" si="458"/>
        <v>0</v>
      </c>
      <c r="W523" s="109">
        <f t="shared" si="459"/>
        <v>0</v>
      </c>
      <c r="X523" s="109">
        <f t="shared" si="460"/>
        <v>0</v>
      </c>
      <c r="AA523" s="109">
        <f>IF($BD523&gt;0,(((($BD523/Dashboard!$D$23)*(1+Precificação!$W$589)))+$AA$26)*(1+Dashboard!$D$35),0)</f>
        <v>0</v>
      </c>
      <c r="AB523" s="109">
        <f>IF($BD523&gt;0,(((($BD523/Dashboard!$D$23)*(1+Precificação!$W$589))*(1+AB$28))+$AA$26)*(1+Dashboard!$D$35),0)</f>
        <v>0</v>
      </c>
      <c r="AC523" s="109">
        <f>IF($BD523&gt;0,(((($BD523/Dashboard!$D$23)*(1+Precificação!$W$589))*(1+AC$28))+$AA$26)*(1+Dashboard!$D$35),0)</f>
        <v>0</v>
      </c>
      <c r="AD523" s="109">
        <f>IF($BD523&gt;0,(((($BD523/Dashboard!$D$23)*(1+Precificação!$W$589))*(1+AD$28))+$AA$26)*(1+Dashboard!$D$35),0)</f>
        <v>0</v>
      </c>
      <c r="AF523" s="109">
        <f t="shared" si="461"/>
        <v>0</v>
      </c>
      <c r="AG523" s="109">
        <f t="shared" si="462"/>
        <v>0</v>
      </c>
      <c r="AH523" s="109">
        <f t="shared" si="463"/>
        <v>0</v>
      </c>
      <c r="AI523" s="109">
        <f t="shared" si="464"/>
        <v>0</v>
      </c>
      <c r="AL523" s="109">
        <f>IF($BD523&gt;0,(((($BD523/Dashboard!$D$23)*(1+Precificação!$W$589)))+$AL$26)*(1+Dashboard!$D$35),0)</f>
        <v>0</v>
      </c>
      <c r="AM523" s="109">
        <f>IF($BD523&gt;0,(((($BD523/Dashboard!$D$23)*(1+Precificação!$W$589))*(1+AM$28))+$AA$26)*(1+Dashboard!$D$35),0)</f>
        <v>0</v>
      </c>
      <c r="AN523" s="109">
        <f>IF($BD523&gt;0,(((($BD523/Dashboard!$D$23)*(1+Precificação!$W$589))*(1+AN$28))+$AA$26)*(1+Dashboard!$D$35),0)</f>
        <v>0</v>
      </c>
      <c r="AO523" s="109">
        <f>IF($BD523&gt;0,(((($BD523/Dashboard!$D$23)*(1+Precificação!$W$589))*(1+AO$28))+$AA$26)*(1+Dashboard!$D$35),0)</f>
        <v>0</v>
      </c>
      <c r="AQ523" s="109">
        <f t="shared" si="465"/>
        <v>0</v>
      </c>
      <c r="AR523" s="109">
        <f t="shared" si="466"/>
        <v>0</v>
      </c>
      <c r="AS523" s="109">
        <f t="shared" si="467"/>
        <v>0</v>
      </c>
      <c r="AT523" s="109">
        <f t="shared" si="468"/>
        <v>0</v>
      </c>
      <c r="AW523" s="144">
        <f>VLOOKUP(B523,'Cronog. e Histog.'!$B$213:$BT$688,71,0)</f>
        <v>0</v>
      </c>
      <c r="AX523" s="144">
        <f>VLOOKUP(B523,'Cronog. e Histog.'!$B$213:$BU$688,72,0)</f>
        <v>0</v>
      </c>
      <c r="AY523" s="144">
        <f>$AW523*$AX523*Dashboard!$D$15</f>
        <v>0</v>
      </c>
      <c r="AZ523" s="144">
        <f>VLOOKUP(B523,Precificação!$B$96:$BM$533,54,0)</f>
        <v>0</v>
      </c>
      <c r="BA523" s="144">
        <f>VLOOKUP(B523,Precificação!$B$96:$BR$533,58,0)</f>
        <v>0</v>
      </c>
      <c r="BB523" s="144">
        <f>VLOOKUP(B523,Precificação!$B$96:$BW$533,62,0)</f>
        <v>0</v>
      </c>
      <c r="BC523" s="144">
        <f t="shared" si="469"/>
        <v>0</v>
      </c>
      <c r="BD523" s="109">
        <f>IFERROR(VLOOKUP(B523,Precificação!$B$96:$S$533,13,0),0)</f>
        <v>0</v>
      </c>
      <c r="BE523" s="109">
        <f>IFERROR(VLOOKUP(B523,Precificação!$B$96:$U$533,15,0)/(Precificação!$U$4+Precificação!$U$91),0)*Dashboard!$T$3</f>
        <v>0</v>
      </c>
    </row>
    <row r="524" spans="2:57" ht="12" customHeight="1" outlineLevel="1">
      <c r="B524" s="137" t="str">
        <f>Precificação!B521</f>
        <v>AN PL. ENG/ARQ - Equipe_01</v>
      </c>
      <c r="D524" s="512"/>
      <c r="E524" s="143" t="str">
        <f>IF('Cronog. e Histog.'!G676&gt;0,'Cronog. e Histog.'!G676,"")</f>
        <v>AN PL. ENG/ARQ</v>
      </c>
      <c r="G524" s="179">
        <f t="shared" si="456"/>
        <v>0</v>
      </c>
      <c r="H524" s="110">
        <f>IFERROR(INDEX('Base Salarial'!$D$5:$F$25,MATCH(E524,'Base Salarial'!$G$5:$G$25,0),MATCH(I524,'Base Salarial'!$D$4:$F$4,0)),"")</f>
        <v>6000</v>
      </c>
      <c r="I524" s="78" t="str">
        <f>IFERROR(INDEX(Tarefas!$BQ$29:$FK$29,MATCH(E524,Tarefas!$BQ$30:$FK$30,0)),"")</f>
        <v>Mensalista</v>
      </c>
      <c r="J524" s="81">
        <f>IF(I524="horista",H524*Dashboard!$D$15,IF(OR(I524="Mensalista",I524="PJ"),H524,))</f>
        <v>6000</v>
      </c>
      <c r="K524" s="81">
        <f>IF(I524="PJ",J524,ROUND(J524*(1+Dashboard!$D$22),2))</f>
        <v>6360</v>
      </c>
      <c r="L524" s="77"/>
      <c r="M524" s="180"/>
      <c r="P524" s="109">
        <f>IF($BD524&gt;0,(((($BD524/Dashboard!$D$15)*(1+Precificação!$W$589)))+$P$26)*(1+Dashboard!$D$35),0)</f>
        <v>0</v>
      </c>
      <c r="Q524" s="109">
        <f>IF($BD524&gt;0,(((($BD524/Dashboard!$D$23)+(1+Precificação!$W$589))*(1+Q$28))+$P$26)*(1+Dashboard!$D$35),0)</f>
        <v>0</v>
      </c>
      <c r="R524" s="109">
        <f>IF($BD524&gt;0,(((($BD524/Dashboard!$D$23)+(1+Precificação!$W$589))*(1+R$28))+$P$26)*(1+Dashboard!$D$35),0)</f>
        <v>0</v>
      </c>
      <c r="S524" s="109">
        <f>IF($BD524&gt;0,(((($BD524/Dashboard!$D$23)+(1+Precificação!$W$589))*(1+S$28))+$P$26)*(1+Dashboard!$D$35),0)</f>
        <v>0</v>
      </c>
      <c r="U524" s="109">
        <f t="shared" si="457"/>
        <v>0</v>
      </c>
      <c r="V524" s="109">
        <f t="shared" si="458"/>
        <v>0</v>
      </c>
      <c r="W524" s="109">
        <f t="shared" si="459"/>
        <v>0</v>
      </c>
      <c r="X524" s="109">
        <f t="shared" si="460"/>
        <v>0</v>
      </c>
      <c r="AA524" s="109">
        <f>IF($BD524&gt;0,(((($BD524/Dashboard!$D$23)*(1+Precificação!$W$589)))+$AA$26)*(1+Dashboard!$D$35),0)</f>
        <v>0</v>
      </c>
      <c r="AB524" s="109">
        <f>IF($BD524&gt;0,(((($BD524/Dashboard!$D$23)*(1+Precificação!$W$589))*(1+AB$28))+$AA$26)*(1+Dashboard!$D$35),0)</f>
        <v>0</v>
      </c>
      <c r="AC524" s="109">
        <f>IF($BD524&gt;0,(((($BD524/Dashboard!$D$23)*(1+Precificação!$W$589))*(1+AC$28))+$AA$26)*(1+Dashboard!$D$35),0)</f>
        <v>0</v>
      </c>
      <c r="AD524" s="109">
        <f>IF($BD524&gt;0,(((($BD524/Dashboard!$D$23)*(1+Precificação!$W$589))*(1+AD$28))+$AA$26)*(1+Dashboard!$D$35),0)</f>
        <v>0</v>
      </c>
      <c r="AF524" s="109">
        <f t="shared" si="461"/>
        <v>0</v>
      </c>
      <c r="AG524" s="109">
        <f t="shared" si="462"/>
        <v>0</v>
      </c>
      <c r="AH524" s="109">
        <f t="shared" si="463"/>
        <v>0</v>
      </c>
      <c r="AI524" s="109">
        <f t="shared" si="464"/>
        <v>0</v>
      </c>
      <c r="AL524" s="109">
        <f>IF($BD524&gt;0,(((($BD524/Dashboard!$D$23)*(1+Precificação!$W$589)))+$AL$26)*(1+Dashboard!$D$35),0)</f>
        <v>0</v>
      </c>
      <c r="AM524" s="109">
        <f>IF($BD524&gt;0,(((($BD524/Dashboard!$D$23)*(1+Precificação!$W$589))*(1+AM$28))+$AA$26)*(1+Dashboard!$D$35),0)</f>
        <v>0</v>
      </c>
      <c r="AN524" s="109">
        <f>IF($BD524&gt;0,(((($BD524/Dashboard!$D$23)*(1+Precificação!$W$589))*(1+AN$28))+$AA$26)*(1+Dashboard!$D$35),0)</f>
        <v>0</v>
      </c>
      <c r="AO524" s="109">
        <f>IF($BD524&gt;0,(((($BD524/Dashboard!$D$23)*(1+Precificação!$W$589))*(1+AO$28))+$AA$26)*(1+Dashboard!$D$35),0)</f>
        <v>0</v>
      </c>
      <c r="AQ524" s="109">
        <f t="shared" si="465"/>
        <v>0</v>
      </c>
      <c r="AR524" s="109">
        <f t="shared" si="466"/>
        <v>0</v>
      </c>
      <c r="AS524" s="109">
        <f t="shared" si="467"/>
        <v>0</v>
      </c>
      <c r="AT524" s="109">
        <f t="shared" si="468"/>
        <v>0</v>
      </c>
      <c r="AW524" s="144">
        <f>VLOOKUP(B524,'Cronog. e Histog.'!$B$213:$BT$688,71,0)</f>
        <v>0</v>
      </c>
      <c r="AX524" s="144">
        <f>VLOOKUP(B524,'Cronog. e Histog.'!$B$213:$BU$688,72,0)</f>
        <v>0</v>
      </c>
      <c r="AY524" s="144">
        <f>$AW524*$AX524*Dashboard!$D$15</f>
        <v>0</v>
      </c>
      <c r="AZ524" s="144">
        <f>VLOOKUP(B524,Precificação!$B$96:$BM$533,54,0)</f>
        <v>0</v>
      </c>
      <c r="BA524" s="144">
        <f>VLOOKUP(B524,Precificação!$B$96:$BR$533,58,0)</f>
        <v>0</v>
      </c>
      <c r="BB524" s="144">
        <f>VLOOKUP(B524,Precificação!$B$96:$BW$533,62,0)</f>
        <v>0</v>
      </c>
      <c r="BC524" s="144">
        <f t="shared" si="469"/>
        <v>0</v>
      </c>
      <c r="BD524" s="109">
        <f>IFERROR(VLOOKUP(B524,Precificação!$B$96:$S$533,13,0),0)</f>
        <v>0</v>
      </c>
      <c r="BE524" s="109">
        <f>IFERROR(VLOOKUP(B524,Precificação!$B$96:$U$533,15,0)/(Precificação!$U$4+Precificação!$U$91),0)*Dashboard!$T$3</f>
        <v>0</v>
      </c>
    </row>
    <row r="525" spans="2:57" ht="12" customHeight="1" outlineLevel="1">
      <c r="B525" s="137" t="str">
        <f>Precificação!B522</f>
        <v>AN JR. ENG/ARQ - Equipe_01</v>
      </c>
      <c r="D525" s="512"/>
      <c r="E525" s="143" t="str">
        <f>IF('Cronog. e Histog.'!G677&gt;0,'Cronog. e Histog.'!G677,"")</f>
        <v>AN JR. ENG/ARQ</v>
      </c>
      <c r="G525" s="179">
        <f t="shared" si="456"/>
        <v>0</v>
      </c>
      <c r="H525" s="110">
        <f>IFERROR(INDEX('Base Salarial'!$D$5:$F$25,MATCH(E525,'Base Salarial'!$G$5:$G$25,0),MATCH(I525,'Base Salarial'!$D$4:$F$4,0)),"")</f>
        <v>4500</v>
      </c>
      <c r="I525" s="78" t="str">
        <f>IFERROR(INDEX(Tarefas!$BQ$29:$FK$29,MATCH(E525,Tarefas!$BQ$30:$FK$30,0)),"")</f>
        <v>Mensalista</v>
      </c>
      <c r="J525" s="81">
        <f>IF(I525="horista",H525*Dashboard!$D$15,IF(OR(I525="Mensalista",I525="PJ"),H525,))</f>
        <v>4500</v>
      </c>
      <c r="K525" s="81">
        <f>IF(I525="PJ",J525,ROUND(J525*(1+Dashboard!$D$22),2))</f>
        <v>4770</v>
      </c>
      <c r="L525" s="77"/>
      <c r="M525" s="180"/>
      <c r="P525" s="109">
        <f>IF($BD525&gt;0,(((($BD525/Dashboard!$D$15)*(1+Precificação!$W$589)))+$P$26)*(1+Dashboard!$D$35),0)</f>
        <v>0</v>
      </c>
      <c r="Q525" s="109">
        <f>IF($BD525&gt;0,(((($BD525/Dashboard!$D$23)+(1+Precificação!$W$589))*(1+Q$28))+$P$26)*(1+Dashboard!$D$35),0)</f>
        <v>0</v>
      </c>
      <c r="R525" s="109">
        <f>IF($BD525&gt;0,(((($BD525/Dashboard!$D$23)+(1+Precificação!$W$589))*(1+R$28))+$P$26)*(1+Dashboard!$D$35),0)</f>
        <v>0</v>
      </c>
      <c r="S525" s="109">
        <f>IF($BD525&gt;0,(((($BD525/Dashboard!$D$23)+(1+Precificação!$W$589))*(1+S$28))+$P$26)*(1+Dashboard!$D$35),0)</f>
        <v>0</v>
      </c>
      <c r="U525" s="109">
        <f t="shared" si="457"/>
        <v>0</v>
      </c>
      <c r="V525" s="109">
        <f t="shared" si="458"/>
        <v>0</v>
      </c>
      <c r="W525" s="109">
        <f t="shared" si="459"/>
        <v>0</v>
      </c>
      <c r="X525" s="109">
        <f t="shared" si="460"/>
        <v>0</v>
      </c>
      <c r="AA525" s="109">
        <f>IF($BD525&gt;0,(((($BD525/Dashboard!$D$23)*(1+Precificação!$W$589)))+$AA$26)*(1+Dashboard!$D$35),0)</f>
        <v>0</v>
      </c>
      <c r="AB525" s="109">
        <f>IF($BD525&gt;0,(((($BD525/Dashboard!$D$23)*(1+Precificação!$W$589))*(1+AB$28))+$AA$26)*(1+Dashboard!$D$35),0)</f>
        <v>0</v>
      </c>
      <c r="AC525" s="109">
        <f>IF($BD525&gt;0,(((($BD525/Dashboard!$D$23)*(1+Precificação!$W$589))*(1+AC$28))+$AA$26)*(1+Dashboard!$D$35),0)</f>
        <v>0</v>
      </c>
      <c r="AD525" s="109">
        <f>IF($BD525&gt;0,(((($BD525/Dashboard!$D$23)*(1+Precificação!$W$589))*(1+AD$28))+$AA$26)*(1+Dashboard!$D$35),0)</f>
        <v>0</v>
      </c>
      <c r="AF525" s="109">
        <f t="shared" si="461"/>
        <v>0</v>
      </c>
      <c r="AG525" s="109">
        <f t="shared" si="462"/>
        <v>0</v>
      </c>
      <c r="AH525" s="109">
        <f t="shared" si="463"/>
        <v>0</v>
      </c>
      <c r="AI525" s="109">
        <f t="shared" si="464"/>
        <v>0</v>
      </c>
      <c r="AL525" s="109">
        <f>IF($BD525&gt;0,(((($BD525/Dashboard!$D$23)*(1+Precificação!$W$589)))+$AL$26)*(1+Dashboard!$D$35),0)</f>
        <v>0</v>
      </c>
      <c r="AM525" s="109">
        <f>IF($BD525&gt;0,(((($BD525/Dashboard!$D$23)*(1+Precificação!$W$589))*(1+AM$28))+$AA$26)*(1+Dashboard!$D$35),0)</f>
        <v>0</v>
      </c>
      <c r="AN525" s="109">
        <f>IF($BD525&gt;0,(((($BD525/Dashboard!$D$23)*(1+Precificação!$W$589))*(1+AN$28))+$AA$26)*(1+Dashboard!$D$35),0)</f>
        <v>0</v>
      </c>
      <c r="AO525" s="109">
        <f>IF($BD525&gt;0,(((($BD525/Dashboard!$D$23)*(1+Precificação!$W$589))*(1+AO$28))+$AA$26)*(1+Dashboard!$D$35),0)</f>
        <v>0</v>
      </c>
      <c r="AQ525" s="109">
        <f t="shared" si="465"/>
        <v>0</v>
      </c>
      <c r="AR525" s="109">
        <f t="shared" si="466"/>
        <v>0</v>
      </c>
      <c r="AS525" s="109">
        <f t="shared" si="467"/>
        <v>0</v>
      </c>
      <c r="AT525" s="109">
        <f t="shared" si="468"/>
        <v>0</v>
      </c>
      <c r="AW525" s="144">
        <f>VLOOKUP(B525,'Cronog. e Histog.'!$B$213:$BT$688,71,0)</f>
        <v>0</v>
      </c>
      <c r="AX525" s="144">
        <f>VLOOKUP(B525,'Cronog. e Histog.'!$B$213:$BU$688,72,0)</f>
        <v>0</v>
      </c>
      <c r="AY525" s="144">
        <f>$AW525*$AX525*Dashboard!$D$15</f>
        <v>0</v>
      </c>
      <c r="AZ525" s="144">
        <f>VLOOKUP(B525,Precificação!$B$96:$BM$533,54,0)</f>
        <v>0</v>
      </c>
      <c r="BA525" s="144">
        <f>VLOOKUP(B525,Precificação!$B$96:$BR$533,58,0)</f>
        <v>0</v>
      </c>
      <c r="BB525" s="144">
        <f>VLOOKUP(B525,Precificação!$B$96:$BW$533,62,0)</f>
        <v>0</v>
      </c>
      <c r="BC525" s="144">
        <f t="shared" si="469"/>
        <v>0</v>
      </c>
      <c r="BD525" s="109">
        <f>IFERROR(VLOOKUP(B525,Precificação!$B$96:$S$533,13,0),0)</f>
        <v>0</v>
      </c>
      <c r="BE525" s="109">
        <f>IFERROR(VLOOKUP(B525,Precificação!$B$96:$U$533,15,0)/(Precificação!$U$4+Precificação!$U$91),0)*Dashboard!$T$3</f>
        <v>0</v>
      </c>
    </row>
    <row r="526" spans="2:57" ht="12" customHeight="1" outlineLevel="1">
      <c r="B526" s="137" t="str">
        <f>Precificação!B523</f>
        <v>AN SR. ADM/CRP - Equipe_01</v>
      </c>
      <c r="D526" s="512"/>
      <c r="E526" s="143" t="str">
        <f>IF('Cronog. e Histog.'!G678&gt;0,'Cronog. e Histog.'!G678,"")</f>
        <v>AN SR. ADM/CRP</v>
      </c>
      <c r="G526" s="179">
        <f t="shared" si="456"/>
        <v>0</v>
      </c>
      <c r="H526" s="110">
        <f>IFERROR(INDEX('Base Salarial'!$D$5:$F$25,MATCH(E526,'Base Salarial'!$G$5:$G$25,0),MATCH(I526,'Base Salarial'!$D$4:$F$4,0)),"")</f>
        <v>7000</v>
      </c>
      <c r="I526" s="78" t="str">
        <f>IFERROR(INDEX(Tarefas!$BQ$29:$FK$29,MATCH(E526,Tarefas!$BQ$30:$FK$30,0)),"")</f>
        <v>Mensalista</v>
      </c>
      <c r="J526" s="81">
        <f>IF(I526="horista",H526*Dashboard!$D$15,IF(OR(I526="Mensalista",I526="PJ"),H526,))</f>
        <v>7000</v>
      </c>
      <c r="K526" s="81">
        <f>IF(I526="PJ",J526,ROUND(J526*(1+Dashboard!$D$22),2))</f>
        <v>7420</v>
      </c>
      <c r="L526" s="77"/>
      <c r="M526" s="180"/>
      <c r="P526" s="109">
        <f>IF($BD526&gt;0,(((($BD526/Dashboard!$D$15)*(1+Precificação!$W$589)))+$P$26)*(1+Dashboard!$D$35),0)</f>
        <v>0</v>
      </c>
      <c r="Q526" s="109">
        <f>IF($BD526&gt;0,(((($BD526/Dashboard!$D$23)+(1+Precificação!$W$589))*(1+Q$28))+$P$26)*(1+Dashboard!$D$35),0)</f>
        <v>0</v>
      </c>
      <c r="R526" s="109">
        <f>IF($BD526&gt;0,(((($BD526/Dashboard!$D$23)+(1+Precificação!$W$589))*(1+R$28))+$P$26)*(1+Dashboard!$D$35),0)</f>
        <v>0</v>
      </c>
      <c r="S526" s="109">
        <f>IF($BD526&gt;0,(((($BD526/Dashboard!$D$23)+(1+Precificação!$W$589))*(1+S$28))+$P$26)*(1+Dashboard!$D$35),0)</f>
        <v>0</v>
      </c>
      <c r="U526" s="109">
        <f t="shared" si="457"/>
        <v>0</v>
      </c>
      <c r="V526" s="109">
        <f t="shared" si="458"/>
        <v>0</v>
      </c>
      <c r="W526" s="109">
        <f t="shared" si="459"/>
        <v>0</v>
      </c>
      <c r="X526" s="109">
        <f t="shared" si="460"/>
        <v>0</v>
      </c>
      <c r="AA526" s="109">
        <f>IF($BD526&gt;0,(((($BD526/Dashboard!$D$23)*(1+Precificação!$W$589)))+$AA$26)*(1+Dashboard!$D$35),0)</f>
        <v>0</v>
      </c>
      <c r="AB526" s="109">
        <f>IF($BD526&gt;0,(((($BD526/Dashboard!$D$23)*(1+Precificação!$W$589))*(1+AB$28))+$AA$26)*(1+Dashboard!$D$35),0)</f>
        <v>0</v>
      </c>
      <c r="AC526" s="109">
        <f>IF($BD526&gt;0,(((($BD526/Dashboard!$D$23)*(1+Precificação!$W$589))*(1+AC$28))+$AA$26)*(1+Dashboard!$D$35),0)</f>
        <v>0</v>
      </c>
      <c r="AD526" s="109">
        <f>IF($BD526&gt;0,(((($BD526/Dashboard!$D$23)*(1+Precificação!$W$589))*(1+AD$28))+$AA$26)*(1+Dashboard!$D$35),0)</f>
        <v>0</v>
      </c>
      <c r="AF526" s="109">
        <f t="shared" si="461"/>
        <v>0</v>
      </c>
      <c r="AG526" s="109">
        <f t="shared" si="462"/>
        <v>0</v>
      </c>
      <c r="AH526" s="109">
        <f t="shared" si="463"/>
        <v>0</v>
      </c>
      <c r="AI526" s="109">
        <f t="shared" si="464"/>
        <v>0</v>
      </c>
      <c r="AL526" s="109">
        <f>IF($BD526&gt;0,(((($BD526/Dashboard!$D$23)*(1+Precificação!$W$589)))+$AL$26)*(1+Dashboard!$D$35),0)</f>
        <v>0</v>
      </c>
      <c r="AM526" s="109">
        <f>IF($BD526&gt;0,(((($BD526/Dashboard!$D$23)*(1+Precificação!$W$589))*(1+AM$28))+$AA$26)*(1+Dashboard!$D$35),0)</f>
        <v>0</v>
      </c>
      <c r="AN526" s="109">
        <f>IF($BD526&gt;0,(((($BD526/Dashboard!$D$23)*(1+Precificação!$W$589))*(1+AN$28))+$AA$26)*(1+Dashboard!$D$35),0)</f>
        <v>0</v>
      </c>
      <c r="AO526" s="109">
        <f>IF($BD526&gt;0,(((($BD526/Dashboard!$D$23)*(1+Precificação!$W$589))*(1+AO$28))+$AA$26)*(1+Dashboard!$D$35),0)</f>
        <v>0</v>
      </c>
      <c r="AQ526" s="109">
        <f t="shared" si="465"/>
        <v>0</v>
      </c>
      <c r="AR526" s="109">
        <f t="shared" si="466"/>
        <v>0</v>
      </c>
      <c r="AS526" s="109">
        <f t="shared" si="467"/>
        <v>0</v>
      </c>
      <c r="AT526" s="109">
        <f t="shared" si="468"/>
        <v>0</v>
      </c>
      <c r="AW526" s="144">
        <f>VLOOKUP(B526,'Cronog. e Histog.'!$B$213:$BT$688,71,0)</f>
        <v>0</v>
      </c>
      <c r="AX526" s="144">
        <f>VLOOKUP(B526,'Cronog. e Histog.'!$B$213:$BU$688,72,0)</f>
        <v>0</v>
      </c>
      <c r="AY526" s="144">
        <f>$AW526*$AX526*Dashboard!$D$15</f>
        <v>0</v>
      </c>
      <c r="AZ526" s="144">
        <f>VLOOKUP(B526,Precificação!$B$96:$BM$533,54,0)</f>
        <v>0</v>
      </c>
      <c r="BA526" s="144">
        <f>VLOOKUP(B526,Precificação!$B$96:$BR$533,58,0)</f>
        <v>0</v>
      </c>
      <c r="BB526" s="144">
        <f>VLOOKUP(B526,Precificação!$B$96:$BW$533,62,0)</f>
        <v>0</v>
      </c>
      <c r="BC526" s="144">
        <f t="shared" si="469"/>
        <v>0</v>
      </c>
      <c r="BD526" s="109">
        <f>IFERROR(VLOOKUP(B526,Precificação!$B$96:$S$533,13,0),0)</f>
        <v>0</v>
      </c>
      <c r="BE526" s="109">
        <f>IFERROR(VLOOKUP(B526,Precificação!$B$96:$U$533,15,0)/(Precificação!$U$4+Precificação!$U$91),0)*Dashboard!$T$3</f>
        <v>0</v>
      </c>
    </row>
    <row r="527" spans="2:57" ht="12" customHeight="1" outlineLevel="1">
      <c r="B527" s="137" t="str">
        <f>Precificação!B524</f>
        <v>AN PL. ADM/CRP - Equipe_01</v>
      </c>
      <c r="D527" s="512"/>
      <c r="E527" s="143" t="str">
        <f>IF('Cronog. e Histog.'!G679&gt;0,'Cronog. e Histog.'!G679,"")</f>
        <v>AN PL. ADM/CRP</v>
      </c>
      <c r="G527" s="179">
        <f t="shared" si="456"/>
        <v>0</v>
      </c>
      <c r="H527" s="110">
        <f>IFERROR(INDEX('Base Salarial'!$D$5:$F$25,MATCH(E527,'Base Salarial'!$G$5:$G$25,0),MATCH(I527,'Base Salarial'!$D$4:$F$4,0)),"")</f>
        <v>5000</v>
      </c>
      <c r="I527" s="78" t="str">
        <f>IFERROR(INDEX(Tarefas!$BQ$29:$FK$29,MATCH(E527,Tarefas!$BQ$30:$FK$30,0)),"")</f>
        <v>Mensalista</v>
      </c>
      <c r="J527" s="81">
        <f>IF(I527="horista",H527*Dashboard!$D$15,IF(OR(I527="Mensalista",I527="PJ"),H527,))</f>
        <v>5000</v>
      </c>
      <c r="K527" s="81">
        <f>IF(I527="PJ",J527,ROUND(J527*(1+Dashboard!$D$22),2))</f>
        <v>5300</v>
      </c>
      <c r="L527" s="77"/>
      <c r="M527" s="180"/>
      <c r="P527" s="109">
        <f>IF($BD527&gt;0,(((($BD527/Dashboard!$D$15)*(1+Precificação!$W$589)))+$P$26)*(1+Dashboard!$D$35),0)</f>
        <v>0</v>
      </c>
      <c r="Q527" s="109">
        <f>IF($BD527&gt;0,(((($BD527/Dashboard!$D$23)+(1+Precificação!$W$589))*(1+Q$28))+$P$26)*(1+Dashboard!$D$35),0)</f>
        <v>0</v>
      </c>
      <c r="R527" s="109">
        <f>IF($BD527&gt;0,(((($BD527/Dashboard!$D$23)+(1+Precificação!$W$589))*(1+R$28))+$P$26)*(1+Dashboard!$D$35),0)</f>
        <v>0</v>
      </c>
      <c r="S527" s="109">
        <f>IF($BD527&gt;0,(((($BD527/Dashboard!$D$23)+(1+Precificação!$W$589))*(1+S$28))+$P$26)*(1+Dashboard!$D$35),0)</f>
        <v>0</v>
      </c>
      <c r="U527" s="109">
        <f t="shared" si="457"/>
        <v>0</v>
      </c>
      <c r="V527" s="109">
        <f t="shared" si="458"/>
        <v>0</v>
      </c>
      <c r="W527" s="109">
        <f t="shared" si="459"/>
        <v>0</v>
      </c>
      <c r="X527" s="109">
        <f t="shared" si="460"/>
        <v>0</v>
      </c>
      <c r="AA527" s="109">
        <f>IF($BD527&gt;0,(((($BD527/Dashboard!$D$23)*(1+Precificação!$W$589)))+$AA$26)*(1+Dashboard!$D$35),0)</f>
        <v>0</v>
      </c>
      <c r="AB527" s="109">
        <f>IF($BD527&gt;0,(((($BD527/Dashboard!$D$23)*(1+Precificação!$W$589))*(1+AB$28))+$AA$26)*(1+Dashboard!$D$35),0)</f>
        <v>0</v>
      </c>
      <c r="AC527" s="109">
        <f>IF($BD527&gt;0,(((($BD527/Dashboard!$D$23)*(1+Precificação!$W$589))*(1+AC$28))+$AA$26)*(1+Dashboard!$D$35),0)</f>
        <v>0</v>
      </c>
      <c r="AD527" s="109">
        <f>IF($BD527&gt;0,(((($BD527/Dashboard!$D$23)*(1+Precificação!$W$589))*(1+AD$28))+$AA$26)*(1+Dashboard!$D$35),0)</f>
        <v>0</v>
      </c>
      <c r="AF527" s="109">
        <f t="shared" si="461"/>
        <v>0</v>
      </c>
      <c r="AG527" s="109">
        <f t="shared" si="462"/>
        <v>0</v>
      </c>
      <c r="AH527" s="109">
        <f t="shared" si="463"/>
        <v>0</v>
      </c>
      <c r="AI527" s="109">
        <f t="shared" si="464"/>
        <v>0</v>
      </c>
      <c r="AL527" s="109">
        <f>IF($BD527&gt;0,(((($BD527/Dashboard!$D$23)*(1+Precificação!$W$589)))+$AL$26)*(1+Dashboard!$D$35),0)</f>
        <v>0</v>
      </c>
      <c r="AM527" s="109">
        <f>IF($BD527&gt;0,(((($BD527/Dashboard!$D$23)*(1+Precificação!$W$589))*(1+AM$28))+$AA$26)*(1+Dashboard!$D$35),0)</f>
        <v>0</v>
      </c>
      <c r="AN527" s="109">
        <f>IF($BD527&gt;0,(((($BD527/Dashboard!$D$23)*(1+Precificação!$W$589))*(1+AN$28))+$AA$26)*(1+Dashboard!$D$35),0)</f>
        <v>0</v>
      </c>
      <c r="AO527" s="109">
        <f>IF($BD527&gt;0,(((($BD527/Dashboard!$D$23)*(1+Precificação!$W$589))*(1+AO$28))+$AA$26)*(1+Dashboard!$D$35),0)</f>
        <v>0</v>
      </c>
      <c r="AQ527" s="109">
        <f t="shared" si="465"/>
        <v>0</v>
      </c>
      <c r="AR527" s="109">
        <f t="shared" si="466"/>
        <v>0</v>
      </c>
      <c r="AS527" s="109">
        <f t="shared" si="467"/>
        <v>0</v>
      </c>
      <c r="AT527" s="109">
        <f t="shared" si="468"/>
        <v>0</v>
      </c>
      <c r="AW527" s="144">
        <f>VLOOKUP(B527,'Cronog. e Histog.'!$B$213:$BT$688,71,0)</f>
        <v>0</v>
      </c>
      <c r="AX527" s="144">
        <f>VLOOKUP(B527,'Cronog. e Histog.'!$B$213:$BU$688,72,0)</f>
        <v>0</v>
      </c>
      <c r="AY527" s="144">
        <f>$AW527*$AX527*Dashboard!$D$15</f>
        <v>0</v>
      </c>
      <c r="AZ527" s="144">
        <f>VLOOKUP(B527,Precificação!$B$96:$BM$533,54,0)</f>
        <v>0</v>
      </c>
      <c r="BA527" s="144">
        <f>VLOOKUP(B527,Precificação!$B$96:$BR$533,58,0)</f>
        <v>0</v>
      </c>
      <c r="BB527" s="144">
        <f>VLOOKUP(B527,Precificação!$B$96:$BW$533,62,0)</f>
        <v>0</v>
      </c>
      <c r="BC527" s="144">
        <f t="shared" si="469"/>
        <v>0</v>
      </c>
      <c r="BD527" s="109">
        <f>IFERROR(VLOOKUP(B527,Precificação!$B$96:$S$533,13,0),0)</f>
        <v>0</v>
      </c>
      <c r="BE527" s="109">
        <f>IFERROR(VLOOKUP(B527,Precificação!$B$96:$U$533,15,0)/(Precificação!$U$4+Precificação!$U$91),0)*Dashboard!$T$3</f>
        <v>0</v>
      </c>
    </row>
    <row r="528" spans="2:57" ht="12" customHeight="1" outlineLevel="1">
      <c r="B528" s="137" t="str">
        <f>Precificação!B525</f>
        <v>AN JR. ADM/CRP - Equipe_01</v>
      </c>
      <c r="D528" s="512"/>
      <c r="E528" s="143" t="str">
        <f>IF('Cronog. e Histog.'!G680&gt;0,'Cronog. e Histog.'!G680,"")</f>
        <v>AN JR. ADM/CRP</v>
      </c>
      <c r="G528" s="179">
        <f t="shared" si="456"/>
        <v>0</v>
      </c>
      <c r="H528" s="110">
        <f>IFERROR(INDEX('Base Salarial'!$D$5:$F$25,MATCH(E528,'Base Salarial'!$G$5:$G$25,0),MATCH(I528,'Base Salarial'!$D$4:$F$4,0)),"")</f>
        <v>3500</v>
      </c>
      <c r="I528" s="78" t="str">
        <f>IFERROR(INDEX(Tarefas!$BQ$29:$FK$29,MATCH(E528,Tarefas!$BQ$30:$FK$30,0)),"")</f>
        <v>Mensalista</v>
      </c>
      <c r="J528" s="81">
        <f>IF(I528="horista",H528*Dashboard!$D$15,IF(OR(I528="Mensalista",I528="PJ"),H528,))</f>
        <v>3500</v>
      </c>
      <c r="K528" s="81">
        <f>IF(I528="PJ",J528,ROUND(J528*(1+Dashboard!$D$22),2))</f>
        <v>3710</v>
      </c>
      <c r="L528" s="77"/>
      <c r="M528" s="180"/>
      <c r="P528" s="109">
        <f>IF($BD528&gt;0,(((($BD528/Dashboard!$D$15)*(1+Precificação!$W$589)))+$P$26)*(1+Dashboard!$D$35),0)</f>
        <v>0</v>
      </c>
      <c r="Q528" s="109">
        <f>IF($BD528&gt;0,(((($BD528/Dashboard!$D$23)+(1+Precificação!$W$589))*(1+Q$28))+$P$26)*(1+Dashboard!$D$35),0)</f>
        <v>0</v>
      </c>
      <c r="R528" s="109">
        <f>IF($BD528&gt;0,(((($BD528/Dashboard!$D$23)+(1+Precificação!$W$589))*(1+R$28))+$P$26)*(1+Dashboard!$D$35),0)</f>
        <v>0</v>
      </c>
      <c r="S528" s="109">
        <f>IF($BD528&gt;0,(((($BD528/Dashboard!$D$23)+(1+Precificação!$W$589))*(1+S$28))+$P$26)*(1+Dashboard!$D$35),0)</f>
        <v>0</v>
      </c>
      <c r="U528" s="109">
        <f t="shared" si="457"/>
        <v>0</v>
      </c>
      <c r="V528" s="109">
        <f t="shared" si="458"/>
        <v>0</v>
      </c>
      <c r="W528" s="109">
        <f t="shared" si="459"/>
        <v>0</v>
      </c>
      <c r="X528" s="109">
        <f t="shared" si="460"/>
        <v>0</v>
      </c>
      <c r="AA528" s="109">
        <f>IF($BD528&gt;0,(((($BD528/Dashboard!$D$23)*(1+Precificação!$W$589)))+$AA$26)*(1+Dashboard!$D$35),0)</f>
        <v>0</v>
      </c>
      <c r="AB528" s="109">
        <f>IF($BD528&gt;0,(((($BD528/Dashboard!$D$23)*(1+Precificação!$W$589))*(1+AB$28))+$AA$26)*(1+Dashboard!$D$35),0)</f>
        <v>0</v>
      </c>
      <c r="AC528" s="109">
        <f>IF($BD528&gt;0,(((($BD528/Dashboard!$D$23)*(1+Precificação!$W$589))*(1+AC$28))+$AA$26)*(1+Dashboard!$D$35),0)</f>
        <v>0</v>
      </c>
      <c r="AD528" s="109">
        <f>IF($BD528&gt;0,(((($BD528/Dashboard!$D$23)*(1+Precificação!$W$589))*(1+AD$28))+$AA$26)*(1+Dashboard!$D$35),0)</f>
        <v>0</v>
      </c>
      <c r="AF528" s="109">
        <f t="shared" si="461"/>
        <v>0</v>
      </c>
      <c r="AG528" s="109">
        <f t="shared" si="462"/>
        <v>0</v>
      </c>
      <c r="AH528" s="109">
        <f t="shared" si="463"/>
        <v>0</v>
      </c>
      <c r="AI528" s="109">
        <f t="shared" si="464"/>
        <v>0</v>
      </c>
      <c r="AL528" s="109">
        <f>IF($BD528&gt;0,(((($BD528/Dashboard!$D$23)*(1+Precificação!$W$589)))+$AL$26)*(1+Dashboard!$D$35),0)</f>
        <v>0</v>
      </c>
      <c r="AM528" s="109">
        <f>IF($BD528&gt;0,(((($BD528/Dashboard!$D$23)*(1+Precificação!$W$589))*(1+AM$28))+$AA$26)*(1+Dashboard!$D$35),0)</f>
        <v>0</v>
      </c>
      <c r="AN528" s="109">
        <f>IF($BD528&gt;0,(((($BD528/Dashboard!$D$23)*(1+Precificação!$W$589))*(1+AN$28))+$AA$26)*(1+Dashboard!$D$35),0)</f>
        <v>0</v>
      </c>
      <c r="AO528" s="109">
        <f>IF($BD528&gt;0,(((($BD528/Dashboard!$D$23)*(1+Precificação!$W$589))*(1+AO$28))+$AA$26)*(1+Dashboard!$D$35),0)</f>
        <v>0</v>
      </c>
      <c r="AQ528" s="109">
        <f t="shared" si="465"/>
        <v>0</v>
      </c>
      <c r="AR528" s="109">
        <f t="shared" si="466"/>
        <v>0</v>
      </c>
      <c r="AS528" s="109">
        <f t="shared" si="467"/>
        <v>0</v>
      </c>
      <c r="AT528" s="109">
        <f t="shared" si="468"/>
        <v>0</v>
      </c>
      <c r="AW528" s="144">
        <f>VLOOKUP(B528,'Cronog. e Histog.'!$B$213:$BT$688,71,0)</f>
        <v>0</v>
      </c>
      <c r="AX528" s="144">
        <f>VLOOKUP(B528,'Cronog. e Histog.'!$B$213:$BU$688,72,0)</f>
        <v>0</v>
      </c>
      <c r="AY528" s="144">
        <f>$AW528*$AX528*Dashboard!$D$15</f>
        <v>0</v>
      </c>
      <c r="AZ528" s="144">
        <f>VLOOKUP(B528,Precificação!$B$96:$BM$533,54,0)</f>
        <v>0</v>
      </c>
      <c r="BA528" s="144">
        <f>VLOOKUP(B528,Precificação!$B$96:$BR$533,58,0)</f>
        <v>0</v>
      </c>
      <c r="BB528" s="144">
        <f>VLOOKUP(B528,Precificação!$B$96:$BW$533,62,0)</f>
        <v>0</v>
      </c>
      <c r="BC528" s="144">
        <f t="shared" si="469"/>
        <v>0</v>
      </c>
      <c r="BD528" s="109">
        <f>IFERROR(VLOOKUP(B528,Precificação!$B$96:$S$533,13,0),0)</f>
        <v>0</v>
      </c>
      <c r="BE528" s="109">
        <f>IFERROR(VLOOKUP(B528,Precificação!$B$96:$U$533,15,0)/(Precificação!$U$4+Precificação!$U$91),0)*Dashboard!$T$3</f>
        <v>0</v>
      </c>
    </row>
    <row r="529" spans="2:57" ht="12" customHeight="1" outlineLevel="1">
      <c r="B529" s="137" t="str">
        <f>Precificação!B526</f>
        <v>TEC III - Equipe_01</v>
      </c>
      <c r="D529" s="512"/>
      <c r="E529" s="143" t="str">
        <f>IF('Cronog. e Histog.'!G681&gt;0,'Cronog. e Histog.'!G681,"")</f>
        <v>TEC III</v>
      </c>
      <c r="G529" s="179">
        <f t="shared" si="456"/>
        <v>0</v>
      </c>
      <c r="H529" s="110">
        <f>IFERROR(INDEX('Base Salarial'!$D$5:$F$25,MATCH(E529,'Base Salarial'!$G$5:$G$25,0),MATCH(I529,'Base Salarial'!$D$4:$F$4,0)),"")</f>
        <v>6000</v>
      </c>
      <c r="I529" s="78" t="str">
        <f>IFERROR(INDEX(Tarefas!$BQ$29:$FK$29,MATCH(E529,Tarefas!$BQ$30:$FK$30,0)),"")</f>
        <v>Mensalista</v>
      </c>
      <c r="J529" s="81">
        <f>IF(I529="horista",H529*Dashboard!$D$15,IF(OR(I529="Mensalista",I529="PJ"),H529,))</f>
        <v>6000</v>
      </c>
      <c r="K529" s="81">
        <f>IF(I529="PJ",J529,ROUND(J529*(1+Dashboard!$D$22),2))</f>
        <v>6360</v>
      </c>
      <c r="L529" s="77"/>
      <c r="M529" s="180"/>
      <c r="P529" s="109">
        <f>IF($BD529&gt;0,(((($BD529/Dashboard!$D$15)*(1+Precificação!$W$589)))+$P$26)*(1+Dashboard!$D$35),0)</f>
        <v>0</v>
      </c>
      <c r="Q529" s="109">
        <f>IF($BD529&gt;0,(((($BD529/Dashboard!$D$23)+(1+Precificação!$W$589))*(1+Q$28))+$P$26)*(1+Dashboard!$D$35),0)</f>
        <v>0</v>
      </c>
      <c r="R529" s="109">
        <f>IF($BD529&gt;0,(((($BD529/Dashboard!$D$23)+(1+Precificação!$W$589))*(1+R$28))+$P$26)*(1+Dashboard!$D$35),0)</f>
        <v>0</v>
      </c>
      <c r="S529" s="109">
        <f>IF($BD529&gt;0,(((($BD529/Dashboard!$D$23)+(1+Precificação!$W$589))*(1+S$28))+$P$26)*(1+Dashboard!$D$35),0)</f>
        <v>0</v>
      </c>
      <c r="U529" s="109">
        <f t="shared" si="457"/>
        <v>0</v>
      </c>
      <c r="V529" s="109">
        <f t="shared" si="458"/>
        <v>0</v>
      </c>
      <c r="W529" s="109">
        <f t="shared" si="459"/>
        <v>0</v>
      </c>
      <c r="X529" s="109">
        <f t="shared" si="460"/>
        <v>0</v>
      </c>
      <c r="AA529" s="109">
        <f>IF($BD529&gt;0,(((($BD529/Dashboard!$D$23)*(1+Precificação!$W$589)))+$AA$26)*(1+Dashboard!$D$35),0)</f>
        <v>0</v>
      </c>
      <c r="AB529" s="109">
        <f>IF($BD529&gt;0,(((($BD529/Dashboard!$D$23)*(1+Precificação!$W$589))*(1+AB$28))+$AA$26)*(1+Dashboard!$D$35),0)</f>
        <v>0</v>
      </c>
      <c r="AC529" s="109">
        <f>IF($BD529&gt;0,(((($BD529/Dashboard!$D$23)*(1+Precificação!$W$589))*(1+AC$28))+$AA$26)*(1+Dashboard!$D$35),0)</f>
        <v>0</v>
      </c>
      <c r="AD529" s="109">
        <f>IF($BD529&gt;0,(((($BD529/Dashboard!$D$23)*(1+Precificação!$W$589))*(1+AD$28))+$AA$26)*(1+Dashboard!$D$35),0)</f>
        <v>0</v>
      </c>
      <c r="AF529" s="109">
        <f t="shared" si="461"/>
        <v>0</v>
      </c>
      <c r="AG529" s="109">
        <f t="shared" si="462"/>
        <v>0</v>
      </c>
      <c r="AH529" s="109">
        <f t="shared" si="463"/>
        <v>0</v>
      </c>
      <c r="AI529" s="109">
        <f t="shared" si="464"/>
        <v>0</v>
      </c>
      <c r="AL529" s="109">
        <f>IF($BD529&gt;0,(((($BD529/Dashboard!$D$23)*(1+Precificação!$W$589)))+$AL$26)*(1+Dashboard!$D$35),0)</f>
        <v>0</v>
      </c>
      <c r="AM529" s="109">
        <f>IF($BD529&gt;0,(((($BD529/Dashboard!$D$23)*(1+Precificação!$W$589))*(1+AM$28))+$AA$26)*(1+Dashboard!$D$35),0)</f>
        <v>0</v>
      </c>
      <c r="AN529" s="109">
        <f>IF($BD529&gt;0,(((($BD529/Dashboard!$D$23)*(1+Precificação!$W$589))*(1+AN$28))+$AA$26)*(1+Dashboard!$D$35),0)</f>
        <v>0</v>
      </c>
      <c r="AO529" s="109">
        <f>IF($BD529&gt;0,(((($BD529/Dashboard!$D$23)*(1+Precificação!$W$589))*(1+AO$28))+$AA$26)*(1+Dashboard!$D$35),0)</f>
        <v>0</v>
      </c>
      <c r="AQ529" s="109">
        <f t="shared" si="465"/>
        <v>0</v>
      </c>
      <c r="AR529" s="109">
        <f t="shared" si="466"/>
        <v>0</v>
      </c>
      <c r="AS529" s="109">
        <f t="shared" si="467"/>
        <v>0</v>
      </c>
      <c r="AT529" s="109">
        <f t="shared" si="468"/>
        <v>0</v>
      </c>
      <c r="AW529" s="144">
        <f>VLOOKUP(B529,'Cronog. e Histog.'!$B$213:$BT$688,71,0)</f>
        <v>0</v>
      </c>
      <c r="AX529" s="144">
        <f>VLOOKUP(B529,'Cronog. e Histog.'!$B$213:$BU$688,72,0)</f>
        <v>0</v>
      </c>
      <c r="AY529" s="144">
        <f>$AW529*$AX529*Dashboard!$D$15</f>
        <v>0</v>
      </c>
      <c r="AZ529" s="144">
        <f>VLOOKUP(B529,Precificação!$B$96:$BM$533,54,0)</f>
        <v>0</v>
      </c>
      <c r="BA529" s="144">
        <f>VLOOKUP(B529,Precificação!$B$96:$BR$533,58,0)</f>
        <v>0</v>
      </c>
      <c r="BB529" s="144">
        <f>VLOOKUP(B529,Precificação!$B$96:$BW$533,62,0)</f>
        <v>0</v>
      </c>
      <c r="BC529" s="144">
        <f t="shared" si="469"/>
        <v>0</v>
      </c>
      <c r="BD529" s="109">
        <f>IFERROR(VLOOKUP(B529,Precificação!$B$96:$S$533,13,0),0)</f>
        <v>0</v>
      </c>
      <c r="BE529" s="109">
        <f>IFERROR(VLOOKUP(B529,Precificação!$B$96:$U$533,15,0)/(Precificação!$U$4+Precificação!$U$91),0)*Dashboard!$T$3</f>
        <v>0</v>
      </c>
    </row>
    <row r="530" spans="2:57" ht="12" customHeight="1" outlineLevel="1">
      <c r="B530" s="137" t="str">
        <f>Precificação!B527</f>
        <v>TEC II - Equipe_01</v>
      </c>
      <c r="D530" s="512"/>
      <c r="E530" s="143" t="str">
        <f>IF('Cronog. e Histog.'!G682&gt;0,'Cronog. e Histog.'!G682,"")</f>
        <v>TEC II</v>
      </c>
      <c r="G530" s="179">
        <f t="shared" si="456"/>
        <v>0</v>
      </c>
      <c r="H530" s="110">
        <f>IFERROR(INDEX('Base Salarial'!$D$5:$F$25,MATCH(E530,'Base Salarial'!$G$5:$G$25,0),MATCH(I530,'Base Salarial'!$D$4:$F$4,0)),"")</f>
        <v>4500</v>
      </c>
      <c r="I530" s="78" t="str">
        <f>IFERROR(INDEX(Tarefas!$BQ$29:$FK$29,MATCH(E530,Tarefas!$BQ$30:$FK$30,0)),"")</f>
        <v>Mensalista</v>
      </c>
      <c r="J530" s="81">
        <f>IF(I530="horista",H530*Dashboard!$D$15,IF(OR(I530="Mensalista",I530="PJ"),H530,))</f>
        <v>4500</v>
      </c>
      <c r="K530" s="81">
        <f>IF(I530="PJ",J530,ROUND(J530*(1+Dashboard!$D$22),2))</f>
        <v>4770</v>
      </c>
      <c r="L530" s="77"/>
      <c r="M530" s="180"/>
      <c r="P530" s="109">
        <f>IF($BD530&gt;0,(((($BD530/Dashboard!$D$15)*(1+Precificação!$W$589)))+$P$26)*(1+Dashboard!$D$35),0)</f>
        <v>0</v>
      </c>
      <c r="Q530" s="109">
        <f>IF($BD530&gt;0,(((($BD530/Dashboard!$D$23)+(1+Precificação!$W$589))*(1+Q$28))+$P$26)*(1+Dashboard!$D$35),0)</f>
        <v>0</v>
      </c>
      <c r="R530" s="109">
        <f>IF($BD530&gt;0,(((($BD530/Dashboard!$D$23)+(1+Precificação!$W$589))*(1+R$28))+$P$26)*(1+Dashboard!$D$35),0)</f>
        <v>0</v>
      </c>
      <c r="S530" s="109">
        <f>IF($BD530&gt;0,(((($BD530/Dashboard!$D$23)+(1+Precificação!$W$589))*(1+S$28))+$P$26)*(1+Dashboard!$D$35),0)</f>
        <v>0</v>
      </c>
      <c r="U530" s="109">
        <f t="shared" si="457"/>
        <v>0</v>
      </c>
      <c r="V530" s="109">
        <f t="shared" si="458"/>
        <v>0</v>
      </c>
      <c r="W530" s="109">
        <f t="shared" si="459"/>
        <v>0</v>
      </c>
      <c r="X530" s="109">
        <f t="shared" si="460"/>
        <v>0</v>
      </c>
      <c r="AA530" s="109">
        <f>IF($BD530&gt;0,(((($BD530/Dashboard!$D$23)*(1+Precificação!$W$589)))+$AA$26)*(1+Dashboard!$D$35),0)</f>
        <v>0</v>
      </c>
      <c r="AB530" s="109">
        <f>IF($BD530&gt;0,(((($BD530/Dashboard!$D$23)*(1+Precificação!$W$589))*(1+AB$28))+$AA$26)*(1+Dashboard!$D$35),0)</f>
        <v>0</v>
      </c>
      <c r="AC530" s="109">
        <f>IF($BD530&gt;0,(((($BD530/Dashboard!$D$23)*(1+Precificação!$W$589))*(1+AC$28))+$AA$26)*(1+Dashboard!$D$35),0)</f>
        <v>0</v>
      </c>
      <c r="AD530" s="109">
        <f>IF($BD530&gt;0,(((($BD530/Dashboard!$D$23)*(1+Precificação!$W$589))*(1+AD$28))+$AA$26)*(1+Dashboard!$D$35),0)</f>
        <v>0</v>
      </c>
      <c r="AF530" s="109">
        <f t="shared" si="461"/>
        <v>0</v>
      </c>
      <c r="AG530" s="109">
        <f t="shared" si="462"/>
        <v>0</v>
      </c>
      <c r="AH530" s="109">
        <f t="shared" si="463"/>
        <v>0</v>
      </c>
      <c r="AI530" s="109">
        <f t="shared" si="464"/>
        <v>0</v>
      </c>
      <c r="AL530" s="109">
        <f>IF($BD530&gt;0,(((($BD530/Dashboard!$D$23)*(1+Precificação!$W$589)))+$AL$26)*(1+Dashboard!$D$35),0)</f>
        <v>0</v>
      </c>
      <c r="AM530" s="109">
        <f>IF($BD530&gt;0,(((($BD530/Dashboard!$D$23)*(1+Precificação!$W$589))*(1+AM$28))+$AA$26)*(1+Dashboard!$D$35),0)</f>
        <v>0</v>
      </c>
      <c r="AN530" s="109">
        <f>IF($BD530&gt;0,(((($BD530/Dashboard!$D$23)*(1+Precificação!$W$589))*(1+AN$28))+$AA$26)*(1+Dashboard!$D$35),0)</f>
        <v>0</v>
      </c>
      <c r="AO530" s="109">
        <f>IF($BD530&gt;0,(((($BD530/Dashboard!$D$23)*(1+Precificação!$W$589))*(1+AO$28))+$AA$26)*(1+Dashboard!$D$35),0)</f>
        <v>0</v>
      </c>
      <c r="AQ530" s="109">
        <f t="shared" si="465"/>
        <v>0</v>
      </c>
      <c r="AR530" s="109">
        <f t="shared" si="466"/>
        <v>0</v>
      </c>
      <c r="AS530" s="109">
        <f t="shared" si="467"/>
        <v>0</v>
      </c>
      <c r="AT530" s="109">
        <f t="shared" si="468"/>
        <v>0</v>
      </c>
      <c r="AW530" s="144">
        <f>VLOOKUP(B530,'Cronog. e Histog.'!$B$213:$BT$688,71,0)</f>
        <v>0</v>
      </c>
      <c r="AX530" s="144">
        <f>VLOOKUP(B530,'Cronog. e Histog.'!$B$213:$BU$688,72,0)</f>
        <v>0</v>
      </c>
      <c r="AY530" s="144">
        <f>$AW530*$AX530*Dashboard!$D$15</f>
        <v>0</v>
      </c>
      <c r="AZ530" s="144">
        <f>VLOOKUP(B530,Precificação!$B$96:$BM$533,54,0)</f>
        <v>0</v>
      </c>
      <c r="BA530" s="144">
        <f>VLOOKUP(B530,Precificação!$B$96:$BR$533,58,0)</f>
        <v>0</v>
      </c>
      <c r="BB530" s="144">
        <f>VLOOKUP(B530,Precificação!$B$96:$BW$533,62,0)</f>
        <v>0</v>
      </c>
      <c r="BC530" s="144">
        <f t="shared" si="469"/>
        <v>0</v>
      </c>
      <c r="BD530" s="109">
        <f>IFERROR(VLOOKUP(B530,Precificação!$B$96:$S$533,13,0),0)</f>
        <v>0</v>
      </c>
      <c r="BE530" s="109">
        <f>IFERROR(VLOOKUP(B530,Precificação!$B$96:$U$533,15,0)/(Precificação!$U$4+Precificação!$U$91),0)*Dashboard!$T$3</f>
        <v>0</v>
      </c>
    </row>
    <row r="531" spans="2:57" ht="12" customHeight="1" outlineLevel="1">
      <c r="B531" s="137" t="str">
        <f>Precificação!B528</f>
        <v>TEC I - Equipe_01</v>
      </c>
      <c r="D531" s="512"/>
      <c r="E531" s="143" t="str">
        <f>IF('Cronog. e Histog.'!G683&gt;0,'Cronog. e Histog.'!G683,"")</f>
        <v>TEC I</v>
      </c>
      <c r="G531" s="179">
        <f t="shared" si="456"/>
        <v>0</v>
      </c>
      <c r="H531" s="110">
        <f>IFERROR(INDEX('Base Salarial'!$D$5:$F$25,MATCH(E531,'Base Salarial'!$G$5:$G$25,0),MATCH(I531,'Base Salarial'!$D$4:$F$4,0)),"")</f>
        <v>3000</v>
      </c>
      <c r="I531" s="78" t="str">
        <f>IFERROR(INDEX(Tarefas!$BQ$29:$FK$29,MATCH(E531,Tarefas!$BQ$30:$FK$30,0)),"")</f>
        <v>Mensalista</v>
      </c>
      <c r="J531" s="81">
        <f>IF(I531="horista",H531*Dashboard!$D$15,IF(OR(I531="Mensalista",I531="PJ"),H531,))</f>
        <v>3000</v>
      </c>
      <c r="K531" s="81">
        <f>IF(I531="PJ",J531,ROUND(J531*(1+Dashboard!$D$22),2))</f>
        <v>3180</v>
      </c>
      <c r="L531" s="77"/>
      <c r="M531" s="180"/>
      <c r="P531" s="109">
        <f>IF($BD531&gt;0,(((($BD531/Dashboard!$D$15)*(1+Precificação!$W$589)))+$P$26)*(1+Dashboard!$D$35),0)</f>
        <v>0</v>
      </c>
      <c r="Q531" s="109">
        <f>IF($BD531&gt;0,(((($BD531/Dashboard!$D$23)+(1+Precificação!$W$589))*(1+Q$28))+$P$26)*(1+Dashboard!$D$35),0)</f>
        <v>0</v>
      </c>
      <c r="R531" s="109">
        <f>IF($BD531&gt;0,(((($BD531/Dashboard!$D$23)+(1+Precificação!$W$589))*(1+R$28))+$P$26)*(1+Dashboard!$D$35),0)</f>
        <v>0</v>
      </c>
      <c r="S531" s="109">
        <f>IF($BD531&gt;0,(((($BD531/Dashboard!$D$23)+(1+Precificação!$W$589))*(1+S$28))+$P$26)*(1+Dashboard!$D$35),0)</f>
        <v>0</v>
      </c>
      <c r="U531" s="109">
        <f t="shared" si="457"/>
        <v>0</v>
      </c>
      <c r="V531" s="109">
        <f t="shared" si="458"/>
        <v>0</v>
      </c>
      <c r="W531" s="109">
        <f t="shared" si="459"/>
        <v>0</v>
      </c>
      <c r="X531" s="109">
        <f t="shared" si="460"/>
        <v>0</v>
      </c>
      <c r="AA531" s="109">
        <f>IF($BD531&gt;0,(((($BD531/Dashboard!$D$23)*(1+Precificação!$W$589)))+$AA$26)*(1+Dashboard!$D$35),0)</f>
        <v>0</v>
      </c>
      <c r="AB531" s="109">
        <f>IF($BD531&gt;0,(((($BD531/Dashboard!$D$23)*(1+Precificação!$W$589))*(1+AB$28))+$AA$26)*(1+Dashboard!$D$35),0)</f>
        <v>0</v>
      </c>
      <c r="AC531" s="109">
        <f>IF($BD531&gt;0,(((($BD531/Dashboard!$D$23)*(1+Precificação!$W$589))*(1+AC$28))+$AA$26)*(1+Dashboard!$D$35),0)</f>
        <v>0</v>
      </c>
      <c r="AD531" s="109">
        <f>IF($BD531&gt;0,(((($BD531/Dashboard!$D$23)*(1+Precificação!$W$589))*(1+AD$28))+$AA$26)*(1+Dashboard!$D$35),0)</f>
        <v>0</v>
      </c>
      <c r="AF531" s="109">
        <f t="shared" si="461"/>
        <v>0</v>
      </c>
      <c r="AG531" s="109">
        <f t="shared" si="462"/>
        <v>0</v>
      </c>
      <c r="AH531" s="109">
        <f t="shared" si="463"/>
        <v>0</v>
      </c>
      <c r="AI531" s="109">
        <f t="shared" si="464"/>
        <v>0</v>
      </c>
      <c r="AL531" s="109">
        <f>IF($BD531&gt;0,(((($BD531/Dashboard!$D$23)*(1+Precificação!$W$589)))+$AL$26)*(1+Dashboard!$D$35),0)</f>
        <v>0</v>
      </c>
      <c r="AM531" s="109">
        <f>IF($BD531&gt;0,(((($BD531/Dashboard!$D$23)*(1+Precificação!$W$589))*(1+AM$28))+$AA$26)*(1+Dashboard!$D$35),0)</f>
        <v>0</v>
      </c>
      <c r="AN531" s="109">
        <f>IF($BD531&gt;0,(((($BD531/Dashboard!$D$23)*(1+Precificação!$W$589))*(1+AN$28))+$AA$26)*(1+Dashboard!$D$35),0)</f>
        <v>0</v>
      </c>
      <c r="AO531" s="109">
        <f>IF($BD531&gt;0,(((($BD531/Dashboard!$D$23)*(1+Precificação!$W$589))*(1+AO$28))+$AA$26)*(1+Dashboard!$D$35),0)</f>
        <v>0</v>
      </c>
      <c r="AQ531" s="109">
        <f t="shared" si="465"/>
        <v>0</v>
      </c>
      <c r="AR531" s="109">
        <f t="shared" si="466"/>
        <v>0</v>
      </c>
      <c r="AS531" s="109">
        <f t="shared" si="467"/>
        <v>0</v>
      </c>
      <c r="AT531" s="109">
        <f t="shared" si="468"/>
        <v>0</v>
      </c>
      <c r="AW531" s="144">
        <f>VLOOKUP(B531,'Cronog. e Histog.'!$B$213:$BT$688,71,0)</f>
        <v>0</v>
      </c>
      <c r="AX531" s="144">
        <f>VLOOKUP(B531,'Cronog. e Histog.'!$B$213:$BU$688,72,0)</f>
        <v>0</v>
      </c>
      <c r="AY531" s="144">
        <f>$AW531*$AX531*Dashboard!$D$15</f>
        <v>0</v>
      </c>
      <c r="AZ531" s="144">
        <f>VLOOKUP(B531,Precificação!$B$96:$BM$533,54,0)</f>
        <v>0</v>
      </c>
      <c r="BA531" s="144">
        <f>VLOOKUP(B531,Precificação!$B$96:$BR$533,58,0)</f>
        <v>0</v>
      </c>
      <c r="BB531" s="144">
        <f>VLOOKUP(B531,Precificação!$B$96:$BW$533,62,0)</f>
        <v>0</v>
      </c>
      <c r="BC531" s="144">
        <f t="shared" si="469"/>
        <v>0</v>
      </c>
      <c r="BD531" s="109">
        <f>IFERROR(VLOOKUP(B531,Precificação!$B$96:$S$533,13,0),0)</f>
        <v>0</v>
      </c>
      <c r="BE531" s="109">
        <f>IFERROR(VLOOKUP(B531,Precificação!$B$96:$U$533,15,0)/(Precificação!$U$4+Precificação!$U$91),0)*Dashboard!$T$3</f>
        <v>0</v>
      </c>
    </row>
    <row r="532" spans="2:57" ht="12" customHeight="1" outlineLevel="1">
      <c r="B532" s="137" t="str">
        <f>Precificação!B529</f>
        <v>AUX TEC - Equipe_01</v>
      </c>
      <c r="D532" s="512"/>
      <c r="E532" s="143" t="str">
        <f>IF('Cronog. e Histog.'!G684&gt;0,'Cronog. e Histog.'!G684,"")</f>
        <v>AUX TEC</v>
      </c>
      <c r="G532" s="179">
        <f t="shared" si="456"/>
        <v>0</v>
      </c>
      <c r="H532" s="110">
        <f>IFERROR(INDEX('Base Salarial'!$D$5:$F$25,MATCH(E532,'Base Salarial'!$G$5:$G$25,0),MATCH(I532,'Base Salarial'!$D$4:$F$4,0)),"")</f>
        <v>3500</v>
      </c>
      <c r="I532" s="78" t="str">
        <f>IFERROR(INDEX(Tarefas!$BQ$29:$FK$29,MATCH(E532,Tarefas!$BQ$30:$FK$30,0)),"")</f>
        <v>Mensalista</v>
      </c>
      <c r="J532" s="81">
        <f>IF(I532="horista",H532*Dashboard!$D$15,IF(OR(I532="Mensalista",I532="PJ"),H532,))</f>
        <v>3500</v>
      </c>
      <c r="K532" s="81">
        <f>IF(I532="PJ",J532,ROUND(J532*(1+Dashboard!$D$22),2))</f>
        <v>3710</v>
      </c>
      <c r="L532" s="77"/>
      <c r="M532" s="180"/>
      <c r="P532" s="109">
        <f>IF($BD532&gt;0,(((($BD532/Dashboard!$D$15)*(1+Precificação!$W$589)))+$P$26)*(1+Dashboard!$D$35),0)</f>
        <v>0</v>
      </c>
      <c r="Q532" s="109">
        <f>IF($BD532&gt;0,(((($BD532/Dashboard!$D$23)+(1+Precificação!$W$589))*(1+Q$28))+$P$26)*(1+Dashboard!$D$35),0)</f>
        <v>0</v>
      </c>
      <c r="R532" s="109">
        <f>IF($BD532&gt;0,(((($BD532/Dashboard!$D$23)+(1+Precificação!$W$589))*(1+R$28))+$P$26)*(1+Dashboard!$D$35),0)</f>
        <v>0</v>
      </c>
      <c r="S532" s="109">
        <f>IF($BD532&gt;0,(((($BD532/Dashboard!$D$23)+(1+Precificação!$W$589))*(1+S$28))+$P$26)*(1+Dashboard!$D$35),0)</f>
        <v>0</v>
      </c>
      <c r="U532" s="109">
        <f t="shared" si="457"/>
        <v>0</v>
      </c>
      <c r="V532" s="109">
        <f t="shared" si="458"/>
        <v>0</v>
      </c>
      <c r="W532" s="109">
        <f t="shared" si="459"/>
        <v>0</v>
      </c>
      <c r="X532" s="109">
        <f t="shared" si="460"/>
        <v>0</v>
      </c>
      <c r="AA532" s="109">
        <f>IF($BD532&gt;0,(((($BD532/Dashboard!$D$23)*(1+Precificação!$W$589)))+$AA$26)*(1+Dashboard!$D$35),0)</f>
        <v>0</v>
      </c>
      <c r="AB532" s="109">
        <f>IF($BD532&gt;0,(((($BD532/Dashboard!$D$23)*(1+Precificação!$W$589))*(1+AB$28))+$AA$26)*(1+Dashboard!$D$35),0)</f>
        <v>0</v>
      </c>
      <c r="AC532" s="109">
        <f>IF($BD532&gt;0,(((($BD532/Dashboard!$D$23)*(1+Precificação!$W$589))*(1+AC$28))+$AA$26)*(1+Dashboard!$D$35),0)</f>
        <v>0</v>
      </c>
      <c r="AD532" s="109">
        <f>IF($BD532&gt;0,(((($BD532/Dashboard!$D$23)*(1+Precificação!$W$589))*(1+AD$28))+$AA$26)*(1+Dashboard!$D$35),0)</f>
        <v>0</v>
      </c>
      <c r="AF532" s="109">
        <f t="shared" si="461"/>
        <v>0</v>
      </c>
      <c r="AG532" s="109">
        <f t="shared" si="462"/>
        <v>0</v>
      </c>
      <c r="AH532" s="109">
        <f t="shared" si="463"/>
        <v>0</v>
      </c>
      <c r="AI532" s="109">
        <f t="shared" si="464"/>
        <v>0</v>
      </c>
      <c r="AL532" s="109">
        <f>IF($BD532&gt;0,(((($BD532/Dashboard!$D$23)*(1+Precificação!$W$589)))+$AL$26)*(1+Dashboard!$D$35),0)</f>
        <v>0</v>
      </c>
      <c r="AM532" s="109">
        <f>IF($BD532&gt;0,(((($BD532/Dashboard!$D$23)*(1+Precificação!$W$589))*(1+AM$28))+$AA$26)*(1+Dashboard!$D$35),0)</f>
        <v>0</v>
      </c>
      <c r="AN532" s="109">
        <f>IF($BD532&gt;0,(((($BD532/Dashboard!$D$23)*(1+Precificação!$W$589))*(1+AN$28))+$AA$26)*(1+Dashboard!$D$35),0)</f>
        <v>0</v>
      </c>
      <c r="AO532" s="109">
        <f>IF($BD532&gt;0,(((($BD532/Dashboard!$D$23)*(1+Precificação!$W$589))*(1+AO$28))+$AA$26)*(1+Dashboard!$D$35),0)</f>
        <v>0</v>
      </c>
      <c r="AQ532" s="109">
        <f t="shared" si="465"/>
        <v>0</v>
      </c>
      <c r="AR532" s="109">
        <f t="shared" si="466"/>
        <v>0</v>
      </c>
      <c r="AS532" s="109">
        <f t="shared" si="467"/>
        <v>0</v>
      </c>
      <c r="AT532" s="109">
        <f t="shared" si="468"/>
        <v>0</v>
      </c>
      <c r="AW532" s="144">
        <f>VLOOKUP(B532,'Cronog. e Histog.'!$B$213:$BT$688,71,0)</f>
        <v>0</v>
      </c>
      <c r="AX532" s="144">
        <f>VLOOKUP(B532,'Cronog. e Histog.'!$B$213:$BU$688,72,0)</f>
        <v>0</v>
      </c>
      <c r="AY532" s="144">
        <f>$AW532*$AX532*Dashboard!$D$15</f>
        <v>0</v>
      </c>
      <c r="AZ532" s="144">
        <f>VLOOKUP(B532,Precificação!$B$96:$BM$533,54,0)</f>
        <v>0</v>
      </c>
      <c r="BA532" s="144">
        <f>VLOOKUP(B532,Precificação!$B$96:$BR$533,58,0)</f>
        <v>0</v>
      </c>
      <c r="BB532" s="144">
        <f>VLOOKUP(B532,Precificação!$B$96:$BW$533,62,0)</f>
        <v>0</v>
      </c>
      <c r="BC532" s="144">
        <f t="shared" si="469"/>
        <v>0</v>
      </c>
      <c r="BD532" s="109">
        <f>IFERROR(VLOOKUP(B532,Precificação!$B$96:$S$533,13,0),0)</f>
        <v>0</v>
      </c>
      <c r="BE532" s="109">
        <f>IFERROR(VLOOKUP(B532,Precificação!$B$96:$U$533,15,0)/(Precificação!$U$4+Precificação!$U$91),0)*Dashboard!$T$3</f>
        <v>0</v>
      </c>
    </row>
    <row r="533" spans="2:57" ht="12" customHeight="1" outlineLevel="1">
      <c r="B533" s="137" t="str">
        <f>Precificação!B530</f>
        <v>AUX ADM - Equipe_01</v>
      </c>
      <c r="D533" s="512"/>
      <c r="E533" s="143" t="str">
        <f>IF('Cronog. e Histog.'!G685&gt;0,'Cronog. e Histog.'!G685,"")</f>
        <v>AUX ADM</v>
      </c>
      <c r="G533" s="179">
        <f t="shared" si="456"/>
        <v>0</v>
      </c>
      <c r="H533" s="110">
        <f>IFERROR(INDEX('Base Salarial'!$D$5:$F$25,MATCH(E533,'Base Salarial'!$G$5:$G$25,0),MATCH(I533,'Base Salarial'!$D$4:$F$4,0)),"")</f>
        <v>1804</v>
      </c>
      <c r="I533" s="78" t="str">
        <f>IFERROR(INDEX(Tarefas!$BQ$29:$FK$29,MATCH(E533,Tarefas!$BQ$30:$FK$30,0)),"")</f>
        <v>Mensalista</v>
      </c>
      <c r="J533" s="81">
        <f>IF(I533="horista",H533*Dashboard!$D$15,IF(OR(I533="Mensalista",I533="PJ"),H533,))</f>
        <v>1804</v>
      </c>
      <c r="K533" s="81">
        <f>IF(I533="PJ",J533,ROUND(J533*(1+Dashboard!$D$22),2))</f>
        <v>1912.24</v>
      </c>
      <c r="L533" s="77"/>
      <c r="M533" s="180"/>
      <c r="P533" s="109">
        <f>IF($BD533&gt;0,(((($BD533/Dashboard!$D$15)*(1+Precificação!$W$589)))+$P$26)*(1+Dashboard!$D$35),0)</f>
        <v>0</v>
      </c>
      <c r="Q533" s="109">
        <f>IF($BD533&gt;0,(((($BD533/Dashboard!$D$23)+(1+Precificação!$W$589))*(1+Q$28))+$P$26)*(1+Dashboard!$D$35),0)</f>
        <v>0</v>
      </c>
      <c r="R533" s="109">
        <f>IF($BD533&gt;0,(((($BD533/Dashboard!$D$23)+(1+Precificação!$W$589))*(1+R$28))+$P$26)*(1+Dashboard!$D$35),0)</f>
        <v>0</v>
      </c>
      <c r="S533" s="109">
        <f>IF($BD533&gt;0,(((($BD533/Dashboard!$D$23)+(1+Precificação!$W$589))*(1+S$28))+$P$26)*(1+Dashboard!$D$35),0)</f>
        <v>0</v>
      </c>
      <c r="U533" s="109">
        <f t="shared" si="457"/>
        <v>0</v>
      </c>
      <c r="V533" s="109">
        <f t="shared" si="458"/>
        <v>0</v>
      </c>
      <c r="W533" s="109">
        <f t="shared" si="459"/>
        <v>0</v>
      </c>
      <c r="X533" s="109">
        <f t="shared" si="460"/>
        <v>0</v>
      </c>
      <c r="AA533" s="109">
        <f>IF($BD533&gt;0,(((($BD533/Dashboard!$D$23)*(1+Precificação!$W$589)))+$AA$26)*(1+Dashboard!$D$35),0)</f>
        <v>0</v>
      </c>
      <c r="AB533" s="109">
        <f>IF($BD533&gt;0,(((($BD533/Dashboard!$D$23)*(1+Precificação!$W$589))*(1+AB$28))+$AA$26)*(1+Dashboard!$D$35),0)</f>
        <v>0</v>
      </c>
      <c r="AC533" s="109">
        <f>IF($BD533&gt;0,(((($BD533/Dashboard!$D$23)*(1+Precificação!$W$589))*(1+AC$28))+$AA$26)*(1+Dashboard!$D$35),0)</f>
        <v>0</v>
      </c>
      <c r="AD533" s="109">
        <f>IF($BD533&gt;0,(((($BD533/Dashboard!$D$23)*(1+Precificação!$W$589))*(1+AD$28))+$AA$26)*(1+Dashboard!$D$35),0)</f>
        <v>0</v>
      </c>
      <c r="AF533" s="109">
        <f t="shared" si="461"/>
        <v>0</v>
      </c>
      <c r="AG533" s="109">
        <f t="shared" si="462"/>
        <v>0</v>
      </c>
      <c r="AH533" s="109">
        <f t="shared" si="463"/>
        <v>0</v>
      </c>
      <c r="AI533" s="109">
        <f t="shared" si="464"/>
        <v>0</v>
      </c>
      <c r="AL533" s="109">
        <f>IF($BD533&gt;0,(((($BD533/Dashboard!$D$23)*(1+Precificação!$W$589)))+$AL$26)*(1+Dashboard!$D$35),0)</f>
        <v>0</v>
      </c>
      <c r="AM533" s="109">
        <f>IF($BD533&gt;0,(((($BD533/Dashboard!$D$23)*(1+Precificação!$W$589))*(1+AM$28))+$AA$26)*(1+Dashboard!$D$35),0)</f>
        <v>0</v>
      </c>
      <c r="AN533" s="109">
        <f>IF($BD533&gt;0,(((($BD533/Dashboard!$D$23)*(1+Precificação!$W$589))*(1+AN$28))+$AA$26)*(1+Dashboard!$D$35),0)</f>
        <v>0</v>
      </c>
      <c r="AO533" s="109">
        <f>IF($BD533&gt;0,(((($BD533/Dashboard!$D$23)*(1+Precificação!$W$589))*(1+AO$28))+$AA$26)*(1+Dashboard!$D$35),0)</f>
        <v>0</v>
      </c>
      <c r="AQ533" s="109">
        <f t="shared" si="465"/>
        <v>0</v>
      </c>
      <c r="AR533" s="109">
        <f t="shared" si="466"/>
        <v>0</v>
      </c>
      <c r="AS533" s="109">
        <f t="shared" si="467"/>
        <v>0</v>
      </c>
      <c r="AT533" s="109">
        <f t="shared" si="468"/>
        <v>0</v>
      </c>
      <c r="AW533" s="144">
        <f>VLOOKUP(B533,'Cronog. e Histog.'!$B$213:$BT$688,71,0)</f>
        <v>0</v>
      </c>
      <c r="AX533" s="144">
        <f>VLOOKUP(B533,'Cronog. e Histog.'!$B$213:$BU$688,72,0)</f>
        <v>0</v>
      </c>
      <c r="AY533" s="144">
        <f>$AW533*$AX533*Dashboard!$D$15</f>
        <v>0</v>
      </c>
      <c r="AZ533" s="144">
        <f>VLOOKUP(B533,Precificação!$B$96:$BM$533,54,0)</f>
        <v>0</v>
      </c>
      <c r="BA533" s="144">
        <f>VLOOKUP(B533,Precificação!$B$96:$BR$533,58,0)</f>
        <v>0</v>
      </c>
      <c r="BB533" s="144">
        <f>VLOOKUP(B533,Precificação!$B$96:$BW$533,62,0)</f>
        <v>0</v>
      </c>
      <c r="BC533" s="144">
        <f t="shared" si="469"/>
        <v>0</v>
      </c>
      <c r="BD533" s="109">
        <f>IFERROR(VLOOKUP(B533,Precificação!$B$96:$S$533,13,0),0)</f>
        <v>0</v>
      </c>
      <c r="BE533" s="109">
        <f>IFERROR(VLOOKUP(B533,Precificação!$B$96:$U$533,15,0)/(Precificação!$U$4+Precificação!$U$91),0)*Dashboard!$T$3</f>
        <v>0</v>
      </c>
    </row>
    <row r="534" spans="2:57" ht="12" customHeight="1" outlineLevel="1">
      <c r="B534" s="137" t="str">
        <f>Precificação!B531</f>
        <v>EST - Equipe_01</v>
      </c>
      <c r="D534" s="512"/>
      <c r="E534" s="143" t="str">
        <f>IF('Cronog. e Histog.'!G686&gt;0,'Cronog. e Histog.'!G686,"")</f>
        <v>EST</v>
      </c>
      <c r="G534" s="179">
        <f t="shared" si="456"/>
        <v>0</v>
      </c>
      <c r="H534" s="110">
        <f>IFERROR(INDEX('Base Salarial'!$D$5:$F$25,MATCH(E534,'Base Salarial'!$G$5:$G$25,0),MATCH(I534,'Base Salarial'!$D$4:$F$4,0)),"")</f>
        <v>1633</v>
      </c>
      <c r="I534" s="78" t="str">
        <f>IFERROR(INDEX(Tarefas!$BQ$29:$FK$29,MATCH(E534,Tarefas!$BQ$30:$FK$30,0)),"")</f>
        <v>PJ</v>
      </c>
      <c r="J534" s="81">
        <f>IF(I534="horista",H534*Dashboard!$D$15,IF(OR(I534="Mensalista",I534="PJ"),H534,))</f>
        <v>1633</v>
      </c>
      <c r="K534" s="81">
        <f>IF(I534="PJ",J534,ROUND(J534*(1+Dashboard!$D$22),2))</f>
        <v>1633</v>
      </c>
      <c r="L534" s="77"/>
      <c r="M534" s="180"/>
      <c r="P534" s="109">
        <f>IF($BD534&gt;0,(((($BD534/Dashboard!$D$15)*(1+Precificação!$W$589)))+$P$26)*(1+Dashboard!$D$35),0)</f>
        <v>0</v>
      </c>
      <c r="Q534" s="109">
        <f>IF($BD534&gt;0,(((($BD534/Dashboard!$D$23)+(1+Precificação!$W$589))*(1+Q$28))+$P$26)*(1+Dashboard!$D$35),0)</f>
        <v>0</v>
      </c>
      <c r="R534" s="109">
        <f>IF($BD534&gt;0,(((($BD534/Dashboard!$D$23)+(1+Precificação!$W$589))*(1+R$28))+$P$26)*(1+Dashboard!$D$35),0)</f>
        <v>0</v>
      </c>
      <c r="S534" s="109">
        <f>IF($BD534&gt;0,(((($BD534/Dashboard!$D$23)+(1+Precificação!$W$589))*(1+S$28))+$P$26)*(1+Dashboard!$D$35),0)</f>
        <v>0</v>
      </c>
      <c r="U534" s="109">
        <f t="shared" si="457"/>
        <v>0</v>
      </c>
      <c r="V534" s="109">
        <f t="shared" si="458"/>
        <v>0</v>
      </c>
      <c r="W534" s="109">
        <f t="shared" si="459"/>
        <v>0</v>
      </c>
      <c r="X534" s="109">
        <f t="shared" si="460"/>
        <v>0</v>
      </c>
      <c r="AA534" s="109">
        <f>IF($BD534&gt;0,(((($BD534/Dashboard!$D$23)*(1+Precificação!$W$589)))+$AA$26)*(1+Dashboard!$D$35),0)</f>
        <v>0</v>
      </c>
      <c r="AB534" s="109">
        <f>IF($BD534&gt;0,(((($BD534/Dashboard!$D$23)*(1+Precificação!$W$589))*(1+AB$28))+$AA$26)*(1+Dashboard!$D$35),0)</f>
        <v>0</v>
      </c>
      <c r="AC534" s="109">
        <f>IF($BD534&gt;0,(((($BD534/Dashboard!$D$23)*(1+Precificação!$W$589))*(1+AC$28))+$AA$26)*(1+Dashboard!$D$35),0)</f>
        <v>0</v>
      </c>
      <c r="AD534" s="109">
        <f>IF($BD534&gt;0,(((($BD534/Dashboard!$D$23)*(1+Precificação!$W$589))*(1+AD$28))+$AA$26)*(1+Dashboard!$D$35),0)</f>
        <v>0</v>
      </c>
      <c r="AF534" s="109">
        <f t="shared" si="461"/>
        <v>0</v>
      </c>
      <c r="AG534" s="109">
        <f t="shared" si="462"/>
        <v>0</v>
      </c>
      <c r="AH534" s="109">
        <f t="shared" si="463"/>
        <v>0</v>
      </c>
      <c r="AI534" s="109">
        <f t="shared" si="464"/>
        <v>0</v>
      </c>
      <c r="AL534" s="109">
        <f>IF($BD534&gt;0,(((($BD534/Dashboard!$D$23)*(1+Precificação!$W$589)))+$AL$26)*(1+Dashboard!$D$35),0)</f>
        <v>0</v>
      </c>
      <c r="AM534" s="109">
        <f>IF($BD534&gt;0,(((($BD534/Dashboard!$D$23)*(1+Precificação!$W$589))*(1+AM$28))+$AA$26)*(1+Dashboard!$D$35),0)</f>
        <v>0</v>
      </c>
      <c r="AN534" s="109">
        <f>IF($BD534&gt;0,(((($BD534/Dashboard!$D$23)*(1+Precificação!$W$589))*(1+AN$28))+$AA$26)*(1+Dashboard!$D$35),0)</f>
        <v>0</v>
      </c>
      <c r="AO534" s="109">
        <f>IF($BD534&gt;0,(((($BD534/Dashboard!$D$23)*(1+Precificação!$W$589))*(1+AO$28))+$AA$26)*(1+Dashboard!$D$35),0)</f>
        <v>0</v>
      </c>
      <c r="AQ534" s="109">
        <f t="shared" si="465"/>
        <v>0</v>
      </c>
      <c r="AR534" s="109">
        <f t="shared" si="466"/>
        <v>0</v>
      </c>
      <c r="AS534" s="109">
        <f t="shared" si="467"/>
        <v>0</v>
      </c>
      <c r="AT534" s="109">
        <f t="shared" si="468"/>
        <v>0</v>
      </c>
      <c r="AW534" s="144">
        <f>VLOOKUP(B534,'Cronog. e Histog.'!$B$213:$BT$688,71,0)</f>
        <v>0</v>
      </c>
      <c r="AX534" s="144">
        <f>VLOOKUP(B534,'Cronog. e Histog.'!$B$213:$BU$688,72,0)</f>
        <v>0</v>
      </c>
      <c r="AY534" s="144">
        <f>$AW534*$AX534*Dashboard!$D$15</f>
        <v>0</v>
      </c>
      <c r="AZ534" s="144">
        <f>VLOOKUP(B534,Precificação!$B$96:$BM$533,54,0)</f>
        <v>0</v>
      </c>
      <c r="BA534" s="144">
        <f>VLOOKUP(B534,Precificação!$B$96:$BR$533,58,0)</f>
        <v>0</v>
      </c>
      <c r="BB534" s="144">
        <f>VLOOKUP(B534,Precificação!$B$96:$BW$533,62,0)</f>
        <v>0</v>
      </c>
      <c r="BC534" s="144">
        <f t="shared" si="469"/>
        <v>0</v>
      </c>
      <c r="BD534" s="109">
        <f>IFERROR(VLOOKUP(B534,Precificação!$B$96:$S$533,13,0),0)</f>
        <v>0</v>
      </c>
      <c r="BE534" s="109">
        <f>IFERROR(VLOOKUP(B534,Precificação!$B$96:$U$533,15,0)/(Precificação!$U$4+Precificação!$U$91),0)*Dashboard!$T$3</f>
        <v>0</v>
      </c>
    </row>
    <row r="535" spans="2:57" ht="12" customHeight="1" outlineLevel="1">
      <c r="B535" s="137" t="str">
        <f>Precificação!B532</f>
        <v>EST_II - Equipe_01</v>
      </c>
      <c r="D535" s="512"/>
      <c r="E535" s="143" t="str">
        <f>IF('Cronog. e Histog.'!G687&gt;0,'Cronog. e Histog.'!G687,"")</f>
        <v>EST_II</v>
      </c>
      <c r="G535" s="179">
        <f t="shared" si="456"/>
        <v>0</v>
      </c>
      <c r="H535" s="110">
        <f>IFERROR(INDEX('Base Salarial'!$D$5:$F$25,MATCH(E535,'Base Salarial'!$G$5:$G$25,0),MATCH(I535,'Base Salarial'!$D$4:$F$4,0)),"")</f>
        <v>1633</v>
      </c>
      <c r="I535" s="78" t="str">
        <f>IFERROR(INDEX(Tarefas!$BQ$29:$FK$29,MATCH(E535,Tarefas!$BQ$30:$FK$30,0)),"")</f>
        <v>PJ</v>
      </c>
      <c r="J535" s="81">
        <f>IF(I535="horista",H535*Dashboard!$D$15,IF(OR(I535="Mensalista",I535="PJ"),H535,))</f>
        <v>1633</v>
      </c>
      <c r="K535" s="81">
        <f>IF(I535="PJ",J535,ROUND(J535*(1+Dashboard!$D$22),2))</f>
        <v>1633</v>
      </c>
      <c r="L535" s="77"/>
      <c r="M535" s="180"/>
      <c r="P535" s="109">
        <f>IF($BD535&gt;0,(((($BD535/Dashboard!$D$15)*(1+Precificação!$W$589)))+$P$26)*(1+Dashboard!$D$35),0)</f>
        <v>0</v>
      </c>
      <c r="Q535" s="109">
        <f>IF($BD535&gt;0,(((($BD535/Dashboard!$D$23)+(1+Precificação!$W$589))*(1+Q$28))+$P$26)*(1+Dashboard!$D$35),0)</f>
        <v>0</v>
      </c>
      <c r="R535" s="109">
        <f>IF($BD535&gt;0,(((($BD535/Dashboard!$D$23)+(1+Precificação!$W$589))*(1+R$28))+$P$26)*(1+Dashboard!$D$35),0)</f>
        <v>0</v>
      </c>
      <c r="S535" s="109">
        <f>IF($BD535&gt;0,(((($BD535/Dashboard!$D$23)+(1+Precificação!$W$589))*(1+S$28))+$P$26)*(1+Dashboard!$D$35),0)</f>
        <v>0</v>
      </c>
      <c r="U535" s="109">
        <f t="shared" si="457"/>
        <v>0</v>
      </c>
      <c r="V535" s="109">
        <f t="shared" si="458"/>
        <v>0</v>
      </c>
      <c r="W535" s="109">
        <f t="shared" si="459"/>
        <v>0</v>
      </c>
      <c r="X535" s="109">
        <f t="shared" si="460"/>
        <v>0</v>
      </c>
      <c r="AA535" s="109">
        <f>IF($BD535&gt;0,(((($BD535/Dashboard!$D$23)*(1+Precificação!$W$589)))+$AA$26)*(1+Dashboard!$D$35),0)</f>
        <v>0</v>
      </c>
      <c r="AB535" s="109">
        <f>IF($BD535&gt;0,(((($BD535/Dashboard!$D$23)*(1+Precificação!$W$589))*(1+AB$28))+$AA$26)*(1+Dashboard!$D$35),0)</f>
        <v>0</v>
      </c>
      <c r="AC535" s="109">
        <f>IF($BD535&gt;0,(((($BD535/Dashboard!$D$23)*(1+Precificação!$W$589))*(1+AC$28))+$AA$26)*(1+Dashboard!$D$35),0)</f>
        <v>0</v>
      </c>
      <c r="AD535" s="109">
        <f>IF($BD535&gt;0,(((($BD535/Dashboard!$D$23)*(1+Precificação!$W$589))*(1+AD$28))+$AA$26)*(1+Dashboard!$D$35),0)</f>
        <v>0</v>
      </c>
      <c r="AF535" s="109">
        <f t="shared" si="461"/>
        <v>0</v>
      </c>
      <c r="AG535" s="109">
        <f t="shared" si="462"/>
        <v>0</v>
      </c>
      <c r="AH535" s="109">
        <f t="shared" si="463"/>
        <v>0</v>
      </c>
      <c r="AI535" s="109">
        <f t="shared" si="464"/>
        <v>0</v>
      </c>
      <c r="AL535" s="109">
        <f>IF($BD535&gt;0,(((($BD535/Dashboard!$D$23)*(1+Precificação!$W$589)))+$AL$26)*(1+Dashboard!$D$35),0)</f>
        <v>0</v>
      </c>
      <c r="AM535" s="109">
        <f>IF($BD535&gt;0,(((($BD535/Dashboard!$D$23)*(1+Precificação!$W$589))*(1+AM$28))+$AA$26)*(1+Dashboard!$D$35),0)</f>
        <v>0</v>
      </c>
      <c r="AN535" s="109">
        <f>IF($BD535&gt;0,(((($BD535/Dashboard!$D$23)*(1+Precificação!$W$589))*(1+AN$28))+$AA$26)*(1+Dashboard!$D$35),0)</f>
        <v>0</v>
      </c>
      <c r="AO535" s="109">
        <f>IF($BD535&gt;0,(((($BD535/Dashboard!$D$23)*(1+Precificação!$W$589))*(1+AO$28))+$AA$26)*(1+Dashboard!$D$35),0)</f>
        <v>0</v>
      </c>
      <c r="AQ535" s="109">
        <f t="shared" si="465"/>
        <v>0</v>
      </c>
      <c r="AR535" s="109">
        <f t="shared" si="466"/>
        <v>0</v>
      </c>
      <c r="AS535" s="109">
        <f t="shared" si="467"/>
        <v>0</v>
      </c>
      <c r="AT535" s="109">
        <f t="shared" si="468"/>
        <v>0</v>
      </c>
      <c r="AW535" s="144">
        <f>VLOOKUP(B535,'Cronog. e Histog.'!$B$213:$BT$688,71,0)</f>
        <v>0</v>
      </c>
      <c r="AX535" s="144">
        <f>VLOOKUP(B535,'Cronog. e Histog.'!$B$213:$BU$688,72,0)</f>
        <v>0</v>
      </c>
      <c r="AY535" s="144">
        <f>$AW535*$AX535*Dashboard!$D$15</f>
        <v>0</v>
      </c>
      <c r="AZ535" s="144">
        <f>VLOOKUP(B535,Precificação!$B$96:$BM$533,54,0)</f>
        <v>0</v>
      </c>
      <c r="BA535" s="144">
        <f>VLOOKUP(B535,Precificação!$B$96:$BR$533,58,0)</f>
        <v>0</v>
      </c>
      <c r="BB535" s="144">
        <f>VLOOKUP(B535,Precificação!$B$96:$BW$533,62,0)</f>
        <v>0</v>
      </c>
      <c r="BC535" s="144">
        <f t="shared" si="469"/>
        <v>0</v>
      </c>
      <c r="BD535" s="109">
        <f>IFERROR(VLOOKUP(B535,Precificação!$B$96:$S$533,13,0),0)</f>
        <v>0</v>
      </c>
      <c r="BE535" s="109">
        <f>IFERROR(VLOOKUP(B535,Precificação!$B$96:$U$533,15,0)/(Precificação!$U$4+Precificação!$U$91),0)*Dashboard!$T$3</f>
        <v>0</v>
      </c>
    </row>
    <row r="536" spans="2:57" ht="12" customHeight="1" outlineLevel="1">
      <c r="B536" s="137" t="str">
        <f>Precificação!B533</f>
        <v>EST_III - Equipe_01</v>
      </c>
      <c r="D536" s="512"/>
      <c r="E536" s="143" t="str">
        <f>IF('Cronog. e Histog.'!G688&gt;0,'Cronog. e Histog.'!G688,"")</f>
        <v>EST_III</v>
      </c>
      <c r="G536" s="179">
        <f t="shared" si="456"/>
        <v>0</v>
      </c>
      <c r="H536" s="110">
        <f>IFERROR(INDEX('Base Salarial'!$D$5:$F$25,MATCH(E536,'Base Salarial'!$G$5:$G$25,0),MATCH(I536,'Base Salarial'!$D$4:$F$4,0)),"")</f>
        <v>1633</v>
      </c>
      <c r="I536" s="78" t="str">
        <f>IFERROR(INDEX(Tarefas!$BQ$29:$FK$29,MATCH(E536,Tarefas!$BQ$30:$FK$30,0)),"")</f>
        <v>PJ</v>
      </c>
      <c r="J536" s="81">
        <f>IF(I536="horista",H536*Dashboard!$D$15,IF(OR(I536="Mensalista",I536="PJ"),H536,))</f>
        <v>1633</v>
      </c>
      <c r="K536" s="81">
        <f>IF(I536="PJ",J536,ROUND(J536*(1+Dashboard!$D$22),2))</f>
        <v>1633</v>
      </c>
      <c r="L536" s="77"/>
      <c r="M536" s="180"/>
      <c r="P536" s="109">
        <f>IF($BD536&gt;0,(((($BD536/Dashboard!$D$15)*(1+Precificação!$W$589)))+$P$26)*(1+Dashboard!$D$35),0)</f>
        <v>0</v>
      </c>
      <c r="Q536" s="109">
        <f>IF($BD536&gt;0,(((($BD536/Dashboard!$D$23)+(1+Precificação!$W$589))*(1+Q$28))+$P$26)*(1+Dashboard!$D$35),0)</f>
        <v>0</v>
      </c>
      <c r="R536" s="109">
        <f>IF($BD536&gt;0,(((($BD536/Dashboard!$D$23)+(1+Precificação!$W$589))*(1+R$28))+$P$26)*(1+Dashboard!$D$35),0)</f>
        <v>0</v>
      </c>
      <c r="S536" s="109">
        <f>IF($BD536&gt;0,(((($BD536/Dashboard!$D$23)+(1+Precificação!$W$589))*(1+S$28))+$P$26)*(1+Dashboard!$D$35),0)</f>
        <v>0</v>
      </c>
      <c r="U536" s="109">
        <f t="shared" si="457"/>
        <v>0</v>
      </c>
      <c r="V536" s="109">
        <f t="shared" si="458"/>
        <v>0</v>
      </c>
      <c r="W536" s="109">
        <f t="shared" si="459"/>
        <v>0</v>
      </c>
      <c r="X536" s="109">
        <f t="shared" si="460"/>
        <v>0</v>
      </c>
      <c r="AA536" s="109">
        <f>IF($BD536&gt;0,(((($BD536/Dashboard!$D$23)*(1+Precificação!$W$589)))+$AA$26)*(1+Dashboard!$D$35),0)</f>
        <v>0</v>
      </c>
      <c r="AB536" s="109">
        <f>IF($BD536&gt;0,(((($BD536/Dashboard!$D$23)*(1+Precificação!$W$589))*(1+AB$28))+$AA$26)*(1+Dashboard!$D$35),0)</f>
        <v>0</v>
      </c>
      <c r="AC536" s="109">
        <f>IF($BD536&gt;0,(((($BD536/Dashboard!$D$23)*(1+Precificação!$W$589))*(1+AC$28))+$AA$26)*(1+Dashboard!$D$35),0)</f>
        <v>0</v>
      </c>
      <c r="AD536" s="109">
        <f>IF($BD536&gt;0,(((($BD536/Dashboard!$D$23)*(1+Precificação!$W$589))*(1+AD$28))+$AA$26)*(1+Dashboard!$D$35),0)</f>
        <v>0</v>
      </c>
      <c r="AF536" s="109">
        <f t="shared" si="461"/>
        <v>0</v>
      </c>
      <c r="AG536" s="109">
        <f t="shared" si="462"/>
        <v>0</v>
      </c>
      <c r="AH536" s="109">
        <f t="shared" si="463"/>
        <v>0</v>
      </c>
      <c r="AI536" s="109">
        <f t="shared" si="464"/>
        <v>0</v>
      </c>
      <c r="AL536" s="109">
        <f>IF($BD536&gt;0,(((($BD536/Dashboard!$D$23)*(1+Precificação!$W$589)))+$AL$26)*(1+Dashboard!$D$35),0)</f>
        <v>0</v>
      </c>
      <c r="AM536" s="109">
        <f>IF($BD536&gt;0,(((($BD536/Dashboard!$D$23)*(1+Precificação!$W$589))*(1+AM$28))+$AA$26)*(1+Dashboard!$D$35),0)</f>
        <v>0</v>
      </c>
      <c r="AN536" s="109">
        <f>IF($BD536&gt;0,(((($BD536/Dashboard!$D$23)*(1+Precificação!$W$589))*(1+AN$28))+$AA$26)*(1+Dashboard!$D$35),0)</f>
        <v>0</v>
      </c>
      <c r="AO536" s="109">
        <f>IF($BD536&gt;0,(((($BD536/Dashboard!$D$23)*(1+Precificação!$W$589))*(1+AO$28))+$AA$26)*(1+Dashboard!$D$35),0)</f>
        <v>0</v>
      </c>
      <c r="AQ536" s="109">
        <f t="shared" si="465"/>
        <v>0</v>
      </c>
      <c r="AR536" s="109">
        <f t="shared" si="466"/>
        <v>0</v>
      </c>
      <c r="AS536" s="109">
        <f t="shared" si="467"/>
        <v>0</v>
      </c>
      <c r="AT536" s="109">
        <f t="shared" si="468"/>
        <v>0</v>
      </c>
      <c r="AW536" s="144">
        <f>VLOOKUP(B536,'Cronog. e Histog.'!$B$213:$BT$688,71,0)</f>
        <v>0</v>
      </c>
      <c r="AX536" s="144">
        <f>VLOOKUP(B536,'Cronog. e Histog.'!$B$213:$BU$688,72,0)</f>
        <v>0</v>
      </c>
      <c r="AY536" s="144">
        <f>$AW536*$AX536*Dashboard!$D$15</f>
        <v>0</v>
      </c>
      <c r="AZ536" s="144">
        <f>VLOOKUP(B536,Precificação!$B$96:$BM$533,54,0)</f>
        <v>0</v>
      </c>
      <c r="BA536" s="144">
        <f>VLOOKUP(B536,Precificação!$B$96:$BR$533,58,0)</f>
        <v>0</v>
      </c>
      <c r="BB536" s="144">
        <f>VLOOKUP(B536,Precificação!$B$96:$BW$533,62,0)</f>
        <v>0</v>
      </c>
      <c r="BC536" s="144">
        <f t="shared" si="469"/>
        <v>0</v>
      </c>
      <c r="BD536" s="109">
        <f>IFERROR(VLOOKUP(B536,Precificação!$B$96:$S$533,13,0),0)</f>
        <v>0</v>
      </c>
      <c r="BE536" s="109">
        <f>IFERROR(VLOOKUP(B536,Precificação!$B$96:$U$533,15,0)/(Precificação!$U$4+Precificação!$U$91),0)*Dashboard!$T$3</f>
        <v>0</v>
      </c>
    </row>
    <row r="538" spans="2:57" ht="24" customHeight="1" collapsed="1">
      <c r="B538" s="157" t="s">
        <v>395</v>
      </c>
      <c r="D538" s="73" t="s">
        <v>1122</v>
      </c>
      <c r="E538" s="72" t="s">
        <v>462</v>
      </c>
      <c r="H538" s="73" t="s">
        <v>1106</v>
      </c>
      <c r="I538" s="73" t="s">
        <v>1107</v>
      </c>
      <c r="J538" s="73" t="s">
        <v>1108</v>
      </c>
      <c r="K538" s="73" t="s">
        <v>1109</v>
      </c>
      <c r="L538" s="73" t="s">
        <v>1110</v>
      </c>
      <c r="M538" s="73" t="s">
        <v>1111</v>
      </c>
      <c r="P538" s="176" t="s">
        <v>1112</v>
      </c>
      <c r="Q538" s="176" t="s">
        <v>376</v>
      </c>
      <c r="R538" s="176" t="s">
        <v>1113</v>
      </c>
      <c r="S538" s="176" t="s">
        <v>1114</v>
      </c>
      <c r="U538" s="176" t="s">
        <v>1112</v>
      </c>
      <c r="V538" s="176" t="s">
        <v>376</v>
      </c>
      <c r="W538" s="176" t="s">
        <v>1113</v>
      </c>
      <c r="X538" s="176" t="s">
        <v>1114</v>
      </c>
      <c r="AA538" s="176" t="s">
        <v>1112</v>
      </c>
      <c r="AB538" s="176" t="s">
        <v>376</v>
      </c>
      <c r="AC538" s="176" t="s">
        <v>1113</v>
      </c>
      <c r="AD538" s="176" t="s">
        <v>1114</v>
      </c>
      <c r="AF538" s="176" t="s">
        <v>1112</v>
      </c>
      <c r="AG538" s="176" t="s">
        <v>376</v>
      </c>
      <c r="AH538" s="176" t="s">
        <v>1113</v>
      </c>
      <c r="AI538" s="176" t="s">
        <v>1114</v>
      </c>
      <c r="AL538" s="176" t="s">
        <v>1112</v>
      </c>
      <c r="AM538" s="176" t="s">
        <v>376</v>
      </c>
      <c r="AN538" s="176" t="s">
        <v>1113</v>
      </c>
      <c r="AO538" s="176" t="s">
        <v>1114</v>
      </c>
      <c r="AQ538" s="176" t="s">
        <v>1112</v>
      </c>
      <c r="AR538" s="176" t="s">
        <v>376</v>
      </c>
      <c r="AS538" s="176" t="s">
        <v>1113</v>
      </c>
      <c r="AT538" s="176" t="s">
        <v>1114</v>
      </c>
      <c r="AW538" s="73" t="s">
        <v>255</v>
      </c>
      <c r="AX538" s="73" t="s">
        <v>850</v>
      </c>
      <c r="AY538" s="73" t="s">
        <v>1115</v>
      </c>
      <c r="AZ538" s="73" t="s">
        <v>1116</v>
      </c>
      <c r="BA538" s="73" t="s">
        <v>1117</v>
      </c>
      <c r="BB538" s="73" t="s">
        <v>1118</v>
      </c>
      <c r="BC538" s="73" t="s">
        <v>1119</v>
      </c>
      <c r="BD538" s="73" t="s">
        <v>1120</v>
      </c>
      <c r="BE538" s="73" t="s">
        <v>1121</v>
      </c>
    </row>
    <row r="539" spans="2:57" ht="12" hidden="1" customHeight="1" outlineLevel="1"/>
    <row r="540" spans="2:57" ht="12" hidden="1" customHeight="1" outlineLevel="1">
      <c r="B540" s="137" t="str">
        <f>Precificação!B538</f>
        <v/>
      </c>
      <c r="E540" s="143" t="str">
        <f>IF('Cronog. e Histog.'!F698&gt;0,'Cronog. e Histog.'!F698,"")</f>
        <v/>
      </c>
      <c r="G540" s="179">
        <f t="shared" ref="G540:G571" si="470">IF(AND((AW540*AX540)&gt;0,K540=0),1,0)</f>
        <v>0</v>
      </c>
      <c r="H540" s="110"/>
      <c r="I540" s="78"/>
      <c r="J540" s="81">
        <f>IF(I540="horista",H540*Dashboard!$D$15,IF(OR(I540="Mensalista",I540="PJ"),H540,))</f>
        <v>0</v>
      </c>
      <c r="K540" s="81">
        <f>IF(I540="PJ",J540,ROUND(J540*(1+Dashboard!$D$22),2))</f>
        <v>0</v>
      </c>
      <c r="L540" s="77"/>
      <c r="M540" s="180"/>
      <c r="P540" s="109">
        <f>IF($BD540&gt;0,(((($BD540/Dashboard!$D$15)*(1+Precificação!$W$589)))+$P$26)*(1+Dashboard!$D$35),0)</f>
        <v>0</v>
      </c>
      <c r="Q540" s="109">
        <f>IF($BD540&gt;0,(((($BD540/Dashboard!$D$23)+(1+Precificação!$W$589))*(1+Q$28))+$P$26)*(1+Dashboard!$D$35),0)</f>
        <v>0</v>
      </c>
      <c r="R540" s="109">
        <f>IF($BD540&gt;0,(((($BD540/Dashboard!$D$23)+(1+Precificação!$W$589))*(1+R$28))+$P$26)*(1+Dashboard!$D$35),0)</f>
        <v>0</v>
      </c>
      <c r="S540" s="109">
        <f>IF($BD540&gt;0,(((($BD540/Dashboard!$D$23)+(1+Precificação!$W$589))*(1+S$28))+$P$26)*(1+Dashboard!$D$35),0)</f>
        <v>0</v>
      </c>
      <c r="U540" s="109">
        <f>IF(P540&gt;0,P540+U$32,0)</f>
        <v>0</v>
      </c>
      <c r="V540" s="109">
        <f t="shared" ref="V540" si="471">IF(Q540&gt;0,Q540+V$32,0)</f>
        <v>0</v>
      </c>
      <c r="W540" s="109">
        <f t="shared" ref="W540" si="472">IF(R540&gt;0,R540+W$32,0)</f>
        <v>0</v>
      </c>
      <c r="X540" s="109">
        <f t="shared" ref="X540" si="473">IF(S540&gt;0,S540+X$32,0)</f>
        <v>0</v>
      </c>
      <c r="AA540" s="109">
        <f>IF($BD540&gt;0,(((($BD540/Dashboard!$D$23)*(1+Precificação!$W$589)))+$AA$26)*(1+Dashboard!$D$35),0)</f>
        <v>0</v>
      </c>
      <c r="AB540" s="109">
        <f>IF($BD540&gt;0,(((($BD540/Dashboard!$D$23)*(1+Precificação!$W$589))*(1+AB$28))+$AA$26)*(1+Dashboard!$D$35),0)</f>
        <v>0</v>
      </c>
      <c r="AC540" s="109">
        <f>IF($BD540&gt;0,(((($BD540/Dashboard!$D$23)*(1+Precificação!$W$589))*(1+AC$28))+$AA$26)*(1+Dashboard!$D$35),0)</f>
        <v>0</v>
      </c>
      <c r="AD540" s="109">
        <f>IF($BD540&gt;0,(((($BD540/Dashboard!$D$23)*(1+Precificação!$W$589))*(1+AD$28))+$AA$26)*(1+Dashboard!$D$35),0)</f>
        <v>0</v>
      </c>
      <c r="AF540" s="109">
        <f>IF(AA540&gt;0,AA540+AF$32,0)</f>
        <v>0</v>
      </c>
      <c r="AG540" s="109">
        <f t="shared" ref="AG540" si="474">IF(AB540&gt;0,AB540+AG$32,0)</f>
        <v>0</v>
      </c>
      <c r="AH540" s="109">
        <f t="shared" ref="AH540" si="475">IF(AC540&gt;0,AC540+AH$32,0)</f>
        <v>0</v>
      </c>
      <c r="AI540" s="109">
        <f t="shared" ref="AI540" si="476">IF(AD540&gt;0,AD540+AI$32,0)</f>
        <v>0</v>
      </c>
      <c r="AL540" s="109">
        <f>IF($BD540&gt;0,(((($BD540/Dashboard!$D$23)*(1+Precificação!$W$589)))+$AL$26)*(1+Dashboard!$D$35),0)</f>
        <v>0</v>
      </c>
      <c r="AM540" s="109">
        <f>IF($BD540&gt;0,(((($BD540/Dashboard!$D$23)*(1+Precificação!$W$589))*(1+AM$28))+$AA$26)*(1+Dashboard!$D$35),0)</f>
        <v>0</v>
      </c>
      <c r="AN540" s="109">
        <f>IF($BD540&gt;0,(((($BD540/Dashboard!$D$23)*(1+Precificação!$W$589))*(1+AN$28))+$AA$26)*(1+Dashboard!$D$35),0)</f>
        <v>0</v>
      </c>
      <c r="AO540" s="109">
        <f>IF($BD540&gt;0,(((($BD540/Dashboard!$D$23)*(1+Precificação!$W$589))*(1+AO$28))+$AA$26)*(1+Dashboard!$D$35),0)</f>
        <v>0</v>
      </c>
      <c r="AQ540" s="109">
        <f>IF(AL540&gt;0,AL540+AQ$32,0)</f>
        <v>0</v>
      </c>
      <c r="AR540" s="109">
        <f t="shared" ref="AR540" si="477">IF(AM540&gt;0,AM540+AR$32,0)</f>
        <v>0</v>
      </c>
      <c r="AS540" s="109">
        <f t="shared" ref="AS540" si="478">IF(AN540&gt;0,AN540+AS$32,0)</f>
        <v>0</v>
      </c>
      <c r="AT540" s="109">
        <f t="shared" ref="AT540" si="479">IF(AO540&gt;0,AO540+AT$32,0)</f>
        <v>0</v>
      </c>
      <c r="AW540" s="144">
        <f>VLOOKUP(B540,'Cronog. e Histog.'!$B$698:$BT$747,71,0)</f>
        <v>0</v>
      </c>
      <c r="AX540" s="144">
        <f>VLOOKUP(B540,'Cronog. e Histog.'!$B$698:$BU$747,72,0)</f>
        <v>0</v>
      </c>
      <c r="AY540" s="144">
        <f>$AW540*$AX540*Dashboard!$D$15</f>
        <v>0</v>
      </c>
      <c r="AZ540" s="144">
        <f>VLOOKUP(B540,Precificação!$B$96:$BM$587,54,0)</f>
        <v>0</v>
      </c>
      <c r="BA540" s="144">
        <f>VLOOKUP(B540,Precificação!$B$96:$BR$587,58,0)</f>
        <v>0</v>
      </c>
      <c r="BB540" s="144">
        <f>VLOOKUP(B540,Precificação!$B$96:$BW$587,62,0)</f>
        <v>0</v>
      </c>
      <c r="BC540" s="144">
        <f t="shared" ref="BC540" si="480">SUM(AY540:BB540)</f>
        <v>0</v>
      </c>
      <c r="BD540" s="109">
        <f>IFERROR(VLOOKUP(B540,Precificação!$B$96:$S$587,13,0),0)</f>
        <v>0</v>
      </c>
      <c r="BE540" s="109">
        <f>IFERROR(VLOOKUP(B540,Precificação!$B$96:$U$587,15,0)/(Precificação!$U$4+Precificação!$U$91+Precificação!$U$535),0)*Dashboard!$T$3</f>
        <v>0</v>
      </c>
    </row>
    <row r="541" spans="2:57" ht="12" hidden="1" customHeight="1" outlineLevel="1">
      <c r="B541" s="137" t="str">
        <f>Precificação!B539</f>
        <v/>
      </c>
      <c r="E541" s="143" t="str">
        <f>IF('Cronog. e Histog.'!F699&gt;0,'Cronog. e Histog.'!F699,"")</f>
        <v/>
      </c>
      <c r="G541" s="179">
        <f t="shared" si="470"/>
        <v>0</v>
      </c>
      <c r="H541" s="110"/>
      <c r="I541" s="78"/>
      <c r="J541" s="81">
        <f>IF(I541="horista",H541*Dashboard!$D$15,IF(OR(I541="Mensalista",I541="PJ"),H541,))</f>
        <v>0</v>
      </c>
      <c r="K541" s="81">
        <f>IF(I541="PJ",J541,ROUND(J541*(1+Dashboard!$D$22),2))</f>
        <v>0</v>
      </c>
      <c r="L541" s="77"/>
      <c r="M541" s="180"/>
      <c r="P541" s="109">
        <f>IF($BD541&gt;0,(((($BD541/Dashboard!$D$15)*(1+Precificação!$W$589)))+$P$26)*(1+Dashboard!$D$35),0)</f>
        <v>0</v>
      </c>
      <c r="Q541" s="109">
        <f>IF($BD541&gt;0,(((($BD541/Dashboard!$D$23)+(1+Precificação!$W$589))*(1+Q$28))+$P$26)*(1+Dashboard!$D$35),0)</f>
        <v>0</v>
      </c>
      <c r="R541" s="109">
        <f>IF($BD541&gt;0,(((($BD541/Dashboard!$D$23)+(1+Precificação!$W$589))*(1+R$28))+$P$26)*(1+Dashboard!$D$35),0)</f>
        <v>0</v>
      </c>
      <c r="S541" s="109">
        <f>IF($BD541&gt;0,(((($BD541/Dashboard!$D$23)+(1+Precificação!$W$589))*(1+S$28))+$P$26)*(1+Dashboard!$D$35),0)</f>
        <v>0</v>
      </c>
      <c r="U541" s="109">
        <f t="shared" ref="U541:U589" si="481">IF(P541&gt;0,P541+U$32,0)</f>
        <v>0</v>
      </c>
      <c r="V541" s="109">
        <f t="shared" ref="V541:V589" si="482">IF(Q541&gt;0,Q541+V$32,0)</f>
        <v>0</v>
      </c>
      <c r="W541" s="109">
        <f t="shared" ref="W541:W589" si="483">IF(R541&gt;0,R541+W$32,0)</f>
        <v>0</v>
      </c>
      <c r="X541" s="109">
        <f t="shared" ref="X541:X589" si="484">IF(S541&gt;0,S541+X$32,0)</f>
        <v>0</v>
      </c>
      <c r="AA541" s="109">
        <f>IF($BD541&gt;0,(((($BD541/Dashboard!$D$23)*(1+Precificação!$W$589)))+$AA$26)*(1+Dashboard!$D$35),0)</f>
        <v>0</v>
      </c>
      <c r="AB541" s="109">
        <f>IF($BD541&gt;0,(((($BD541/Dashboard!$D$23)*(1+Precificação!$W$589))*(1+AB$28))+$AA$26)*(1+Dashboard!$D$35),0)</f>
        <v>0</v>
      </c>
      <c r="AC541" s="109">
        <f>IF($BD541&gt;0,(((($BD541/Dashboard!$D$23)*(1+Precificação!$W$589))*(1+AC$28))+$AA$26)*(1+Dashboard!$D$35),0)</f>
        <v>0</v>
      </c>
      <c r="AD541" s="109">
        <f>IF($BD541&gt;0,(((($BD541/Dashboard!$D$23)*(1+Precificação!$W$589))*(1+AD$28))+$AA$26)*(1+Dashboard!$D$35),0)</f>
        <v>0</v>
      </c>
      <c r="AF541" s="109">
        <f t="shared" ref="AF541:AF589" si="485">IF(AA541&gt;0,AA541+AF$32,0)</f>
        <v>0</v>
      </c>
      <c r="AG541" s="109">
        <f t="shared" ref="AG541:AG589" si="486">IF(AB541&gt;0,AB541+AG$32,0)</f>
        <v>0</v>
      </c>
      <c r="AH541" s="109">
        <f t="shared" ref="AH541:AH589" si="487">IF(AC541&gt;0,AC541+AH$32,0)</f>
        <v>0</v>
      </c>
      <c r="AI541" s="109">
        <f t="shared" ref="AI541:AI589" si="488">IF(AD541&gt;0,AD541+AI$32,0)</f>
        <v>0</v>
      </c>
      <c r="AL541" s="109">
        <f>IF($BD541&gt;0,(((($BD541/Dashboard!$D$23)*(1+Precificação!$W$589)))+$AL$26)*(1+Dashboard!$D$35),0)</f>
        <v>0</v>
      </c>
      <c r="AM541" s="109">
        <f>IF($BD541&gt;0,(((($BD541/Dashboard!$D$23)*(1+Precificação!$W$589))*(1+AM$28))+$AA$26)*(1+Dashboard!$D$35),0)</f>
        <v>0</v>
      </c>
      <c r="AN541" s="109">
        <f>IF($BD541&gt;0,(((($BD541/Dashboard!$D$23)*(1+Precificação!$W$589))*(1+AN$28))+$AA$26)*(1+Dashboard!$D$35),0)</f>
        <v>0</v>
      </c>
      <c r="AO541" s="109">
        <f>IF($BD541&gt;0,(((($BD541/Dashboard!$D$23)*(1+Precificação!$W$589))*(1+AO$28))+$AA$26)*(1+Dashboard!$D$35),0)</f>
        <v>0</v>
      </c>
      <c r="AQ541" s="109">
        <f t="shared" ref="AQ541:AQ589" si="489">IF(AL541&gt;0,AL541+AQ$32,0)</f>
        <v>0</v>
      </c>
      <c r="AR541" s="109">
        <f t="shared" ref="AR541:AR589" si="490">IF(AM541&gt;0,AM541+AR$32,0)</f>
        <v>0</v>
      </c>
      <c r="AS541" s="109">
        <f t="shared" ref="AS541:AS589" si="491">IF(AN541&gt;0,AN541+AS$32,0)</f>
        <v>0</v>
      </c>
      <c r="AT541" s="109">
        <f t="shared" ref="AT541:AT589" si="492">IF(AO541&gt;0,AO541+AT$32,0)</f>
        <v>0</v>
      </c>
      <c r="AW541" s="144">
        <f>VLOOKUP(B541,'Cronog. e Histog.'!$B$698:$BT$747,71,0)</f>
        <v>0</v>
      </c>
      <c r="AX541" s="144">
        <f>VLOOKUP(B541,'Cronog. e Histog.'!$B$698:$BU$747,72,0)</f>
        <v>0</v>
      </c>
      <c r="AY541" s="144">
        <f>$AW541*$AX541*Dashboard!$D$15</f>
        <v>0</v>
      </c>
      <c r="AZ541" s="144">
        <f>VLOOKUP(B541,Precificação!$B$96:$BM$587,54,0)</f>
        <v>0</v>
      </c>
      <c r="BA541" s="144">
        <f>VLOOKUP(B541,Precificação!$B$96:$BR$587,58,0)</f>
        <v>0</v>
      </c>
      <c r="BB541" s="144">
        <f>VLOOKUP(B541,Precificação!$B$96:$BW$587,62,0)</f>
        <v>0</v>
      </c>
      <c r="BC541" s="144">
        <f t="shared" ref="BC541:BC589" si="493">SUM(AY541:BB541)</f>
        <v>0</v>
      </c>
      <c r="BD541" s="109">
        <f>IFERROR(VLOOKUP(B541,Precificação!$B$96:$S$587,13,0),0)</f>
        <v>0</v>
      </c>
      <c r="BE541" s="109">
        <f>IFERROR(VLOOKUP(B541,Precificação!$B$96:$U$587,15,0)/(Precificação!$U$4+Precificação!$U$91+Precificação!$U$535),0)*Dashboard!$T$3</f>
        <v>0</v>
      </c>
    </row>
    <row r="542" spans="2:57" ht="12" hidden="1" customHeight="1" outlineLevel="1">
      <c r="B542" s="137" t="str">
        <f>Precificação!B540</f>
        <v/>
      </c>
      <c r="E542" s="143" t="str">
        <f>IF('Cronog. e Histog.'!F700&gt;0,'Cronog. e Histog.'!F700,"")</f>
        <v/>
      </c>
      <c r="G542" s="179">
        <f t="shared" si="470"/>
        <v>0</v>
      </c>
      <c r="H542" s="110"/>
      <c r="I542" s="78"/>
      <c r="J542" s="81">
        <f>IF(I542="horista",H542*Dashboard!$D$15,IF(OR(I542="Mensalista",I542="PJ"),H542,))</f>
        <v>0</v>
      </c>
      <c r="K542" s="81">
        <f>IF(I542="PJ",J542,ROUND(J542*(1+Dashboard!$D$22),2))</f>
        <v>0</v>
      </c>
      <c r="L542" s="77"/>
      <c r="M542" s="180"/>
      <c r="P542" s="109">
        <f>IF($BD542&gt;0,(((($BD542/Dashboard!$D$15)*(1+Precificação!$W$589)))+$P$26)*(1+Dashboard!$D$35),0)</f>
        <v>0</v>
      </c>
      <c r="Q542" s="109">
        <f>IF($BD542&gt;0,(((($BD542/Dashboard!$D$23)+(1+Precificação!$W$589))*(1+Q$28))+$P$26)*(1+Dashboard!$D$35),0)</f>
        <v>0</v>
      </c>
      <c r="R542" s="109">
        <f>IF($BD542&gt;0,(((($BD542/Dashboard!$D$23)+(1+Precificação!$W$589))*(1+R$28))+$P$26)*(1+Dashboard!$D$35),0)</f>
        <v>0</v>
      </c>
      <c r="S542" s="109">
        <f>IF($BD542&gt;0,(((($BD542/Dashboard!$D$23)+(1+Precificação!$W$589))*(1+S$28))+$P$26)*(1+Dashboard!$D$35),0)</f>
        <v>0</v>
      </c>
      <c r="U542" s="109">
        <f t="shared" si="481"/>
        <v>0</v>
      </c>
      <c r="V542" s="109">
        <f t="shared" si="482"/>
        <v>0</v>
      </c>
      <c r="W542" s="109">
        <f t="shared" si="483"/>
        <v>0</v>
      </c>
      <c r="X542" s="109">
        <f t="shared" si="484"/>
        <v>0</v>
      </c>
      <c r="AA542" s="109">
        <f>IF($BD542&gt;0,(((($BD542/Dashboard!$D$23)*(1+Precificação!$W$589)))+$AA$26)*(1+Dashboard!$D$35),0)</f>
        <v>0</v>
      </c>
      <c r="AB542" s="109">
        <f>IF($BD542&gt;0,(((($BD542/Dashboard!$D$23)*(1+Precificação!$W$589))*(1+AB$28))+$AA$26)*(1+Dashboard!$D$35),0)</f>
        <v>0</v>
      </c>
      <c r="AC542" s="109">
        <f>IF($BD542&gt;0,(((($BD542/Dashboard!$D$23)*(1+Precificação!$W$589))*(1+AC$28))+$AA$26)*(1+Dashboard!$D$35),0)</f>
        <v>0</v>
      </c>
      <c r="AD542" s="109">
        <f>IF($BD542&gt;0,(((($BD542/Dashboard!$D$23)*(1+Precificação!$W$589))*(1+AD$28))+$AA$26)*(1+Dashboard!$D$35),0)</f>
        <v>0</v>
      </c>
      <c r="AF542" s="109">
        <f t="shared" si="485"/>
        <v>0</v>
      </c>
      <c r="AG542" s="109">
        <f t="shared" si="486"/>
        <v>0</v>
      </c>
      <c r="AH542" s="109">
        <f t="shared" si="487"/>
        <v>0</v>
      </c>
      <c r="AI542" s="109">
        <f t="shared" si="488"/>
        <v>0</v>
      </c>
      <c r="AL542" s="109">
        <f>IF($BD542&gt;0,(((($BD542/Dashboard!$D$23)*(1+Precificação!$W$589)))+$AL$26)*(1+Dashboard!$D$35),0)</f>
        <v>0</v>
      </c>
      <c r="AM542" s="109">
        <f>IF($BD542&gt;0,(((($BD542/Dashboard!$D$23)*(1+Precificação!$W$589))*(1+AM$28))+$AA$26)*(1+Dashboard!$D$35),0)</f>
        <v>0</v>
      </c>
      <c r="AN542" s="109">
        <f>IF($BD542&gt;0,(((($BD542/Dashboard!$D$23)*(1+Precificação!$W$589))*(1+AN$28))+$AA$26)*(1+Dashboard!$D$35),0)</f>
        <v>0</v>
      </c>
      <c r="AO542" s="109">
        <f>IF($BD542&gt;0,(((($BD542/Dashboard!$D$23)*(1+Precificação!$W$589))*(1+AO$28))+$AA$26)*(1+Dashboard!$D$35),0)</f>
        <v>0</v>
      </c>
      <c r="AQ542" s="109">
        <f t="shared" si="489"/>
        <v>0</v>
      </c>
      <c r="AR542" s="109">
        <f t="shared" si="490"/>
        <v>0</v>
      </c>
      <c r="AS542" s="109">
        <f t="shared" si="491"/>
        <v>0</v>
      </c>
      <c r="AT542" s="109">
        <f t="shared" si="492"/>
        <v>0</v>
      </c>
      <c r="AW542" s="144">
        <f>VLOOKUP(B542,'Cronog. e Histog.'!$B$698:$BT$747,71,0)</f>
        <v>0</v>
      </c>
      <c r="AX542" s="144">
        <f>VLOOKUP(B542,'Cronog. e Histog.'!$B$698:$BU$747,72,0)</f>
        <v>0</v>
      </c>
      <c r="AY542" s="144">
        <f>$AW542*$AX542*Dashboard!$D$15</f>
        <v>0</v>
      </c>
      <c r="AZ542" s="144">
        <f>VLOOKUP(B542,Precificação!$B$96:$BM$587,54,0)</f>
        <v>0</v>
      </c>
      <c r="BA542" s="144">
        <f>VLOOKUP(B542,Precificação!$B$96:$BR$587,58,0)</f>
        <v>0</v>
      </c>
      <c r="BB542" s="144">
        <f>VLOOKUP(B542,Precificação!$B$96:$BW$587,62,0)</f>
        <v>0</v>
      </c>
      <c r="BC542" s="144">
        <f t="shared" si="493"/>
        <v>0</v>
      </c>
      <c r="BD542" s="109">
        <f>IFERROR(VLOOKUP(B542,Precificação!$B$96:$S$587,13,0),0)</f>
        <v>0</v>
      </c>
      <c r="BE542" s="109">
        <f>IFERROR(VLOOKUP(B542,Precificação!$B$96:$U$587,15,0)/(Precificação!$U$4+Precificação!$U$91+Precificação!$U$535),0)*Dashboard!$T$3</f>
        <v>0</v>
      </c>
    </row>
    <row r="543" spans="2:57" ht="12" hidden="1" customHeight="1" outlineLevel="1">
      <c r="B543" s="137" t="str">
        <f>Precificação!B541</f>
        <v/>
      </c>
      <c r="E543" s="143" t="str">
        <f>IF('Cronog. e Histog.'!F701&gt;0,'Cronog. e Histog.'!F701,"")</f>
        <v/>
      </c>
      <c r="G543" s="179">
        <f t="shared" si="470"/>
        <v>0</v>
      </c>
      <c r="H543" s="110"/>
      <c r="I543" s="78"/>
      <c r="J543" s="81">
        <f>IF(I543="horista",H543*Dashboard!$D$15,IF(OR(I543="Mensalista",I543="PJ"),H543,))</f>
        <v>0</v>
      </c>
      <c r="K543" s="81">
        <f>IF(I543="PJ",J543,ROUND(J543*(1+Dashboard!$D$22),2))</f>
        <v>0</v>
      </c>
      <c r="L543" s="77"/>
      <c r="M543" s="180"/>
      <c r="P543" s="109">
        <f>IF($BD543&gt;0,(((($BD543/Dashboard!$D$15)*(1+Precificação!$W$589)))+$P$26)*(1+Dashboard!$D$35),0)</f>
        <v>0</v>
      </c>
      <c r="Q543" s="109">
        <f>IF($BD543&gt;0,(((($BD543/Dashboard!$D$23)+(1+Precificação!$W$589))*(1+Q$28))+$P$26)*(1+Dashboard!$D$35),0)</f>
        <v>0</v>
      </c>
      <c r="R543" s="109">
        <f>IF($BD543&gt;0,(((($BD543/Dashboard!$D$23)+(1+Precificação!$W$589))*(1+R$28))+$P$26)*(1+Dashboard!$D$35),0)</f>
        <v>0</v>
      </c>
      <c r="S543" s="109">
        <f>IF($BD543&gt;0,(((($BD543/Dashboard!$D$23)+(1+Precificação!$W$589))*(1+S$28))+$P$26)*(1+Dashboard!$D$35),0)</f>
        <v>0</v>
      </c>
      <c r="U543" s="109">
        <f t="shared" si="481"/>
        <v>0</v>
      </c>
      <c r="V543" s="109">
        <f t="shared" si="482"/>
        <v>0</v>
      </c>
      <c r="W543" s="109">
        <f t="shared" si="483"/>
        <v>0</v>
      </c>
      <c r="X543" s="109">
        <f t="shared" si="484"/>
        <v>0</v>
      </c>
      <c r="AA543" s="109">
        <f>IF($BD543&gt;0,(((($BD543/Dashboard!$D$23)*(1+Precificação!$W$589)))+$AA$26)*(1+Dashboard!$D$35),0)</f>
        <v>0</v>
      </c>
      <c r="AB543" s="109">
        <f>IF($BD543&gt;0,(((($BD543/Dashboard!$D$23)*(1+Precificação!$W$589))*(1+AB$28))+$AA$26)*(1+Dashboard!$D$35),0)</f>
        <v>0</v>
      </c>
      <c r="AC543" s="109">
        <f>IF($BD543&gt;0,(((($BD543/Dashboard!$D$23)*(1+Precificação!$W$589))*(1+AC$28))+$AA$26)*(1+Dashboard!$D$35),0)</f>
        <v>0</v>
      </c>
      <c r="AD543" s="109">
        <f>IF($BD543&gt;0,(((($BD543/Dashboard!$D$23)*(1+Precificação!$W$589))*(1+AD$28))+$AA$26)*(1+Dashboard!$D$35),0)</f>
        <v>0</v>
      </c>
      <c r="AF543" s="109">
        <f t="shared" si="485"/>
        <v>0</v>
      </c>
      <c r="AG543" s="109">
        <f t="shared" si="486"/>
        <v>0</v>
      </c>
      <c r="AH543" s="109">
        <f t="shared" si="487"/>
        <v>0</v>
      </c>
      <c r="AI543" s="109">
        <f t="shared" si="488"/>
        <v>0</v>
      </c>
      <c r="AL543" s="109">
        <f>IF($BD543&gt;0,(((($BD543/Dashboard!$D$23)*(1+Precificação!$W$589)))+$AL$26)*(1+Dashboard!$D$35),0)</f>
        <v>0</v>
      </c>
      <c r="AM543" s="109">
        <f>IF($BD543&gt;0,(((($BD543/Dashboard!$D$23)*(1+Precificação!$W$589))*(1+AM$28))+$AA$26)*(1+Dashboard!$D$35),0)</f>
        <v>0</v>
      </c>
      <c r="AN543" s="109">
        <f>IF($BD543&gt;0,(((($BD543/Dashboard!$D$23)*(1+Precificação!$W$589))*(1+AN$28))+$AA$26)*(1+Dashboard!$D$35),0)</f>
        <v>0</v>
      </c>
      <c r="AO543" s="109">
        <f>IF($BD543&gt;0,(((($BD543/Dashboard!$D$23)*(1+Precificação!$W$589))*(1+AO$28))+$AA$26)*(1+Dashboard!$D$35),0)</f>
        <v>0</v>
      </c>
      <c r="AQ543" s="109">
        <f t="shared" si="489"/>
        <v>0</v>
      </c>
      <c r="AR543" s="109">
        <f t="shared" si="490"/>
        <v>0</v>
      </c>
      <c r="AS543" s="109">
        <f t="shared" si="491"/>
        <v>0</v>
      </c>
      <c r="AT543" s="109">
        <f t="shared" si="492"/>
        <v>0</v>
      </c>
      <c r="AW543" s="144">
        <f>VLOOKUP(B543,'Cronog. e Histog.'!$B$698:$BT$747,71,0)</f>
        <v>0</v>
      </c>
      <c r="AX543" s="144">
        <f>VLOOKUP(B543,'Cronog. e Histog.'!$B$698:$BU$747,72,0)</f>
        <v>0</v>
      </c>
      <c r="AY543" s="144">
        <f>$AW543*$AX543*Dashboard!$D$15</f>
        <v>0</v>
      </c>
      <c r="AZ543" s="144">
        <f>VLOOKUP(B543,Precificação!$B$96:$BM$587,54,0)</f>
        <v>0</v>
      </c>
      <c r="BA543" s="144">
        <f>VLOOKUP(B543,Precificação!$B$96:$BR$587,58,0)</f>
        <v>0</v>
      </c>
      <c r="BB543" s="144">
        <f>VLOOKUP(B543,Precificação!$B$96:$BW$587,62,0)</f>
        <v>0</v>
      </c>
      <c r="BC543" s="144">
        <f t="shared" si="493"/>
        <v>0</v>
      </c>
      <c r="BD543" s="109">
        <f>IFERROR(VLOOKUP(B543,Precificação!$B$96:$S$587,13,0),0)</f>
        <v>0</v>
      </c>
      <c r="BE543" s="109">
        <f>IFERROR(VLOOKUP(B543,Precificação!$B$96:$U$587,15,0)/(Precificação!$U$4+Precificação!$U$91+Precificação!$U$535),0)*Dashboard!$T$3</f>
        <v>0</v>
      </c>
    </row>
    <row r="544" spans="2:57" ht="12" hidden="1" customHeight="1" outlineLevel="1">
      <c r="B544" s="137" t="str">
        <f>Precificação!B542</f>
        <v/>
      </c>
      <c r="E544" s="143" t="str">
        <f>IF('Cronog. e Histog.'!F702&gt;0,'Cronog. e Histog.'!F702,"")</f>
        <v/>
      </c>
      <c r="G544" s="179">
        <f t="shared" si="470"/>
        <v>0</v>
      </c>
      <c r="H544" s="110"/>
      <c r="I544" s="78"/>
      <c r="J544" s="81">
        <f>IF(I544="horista",H544*Dashboard!$D$15,IF(OR(I544="Mensalista",I544="PJ"),H544,))</f>
        <v>0</v>
      </c>
      <c r="K544" s="81">
        <f>IF(I544="PJ",J544,ROUND(J544*(1+Dashboard!$D$22),2))</f>
        <v>0</v>
      </c>
      <c r="L544" s="77"/>
      <c r="M544" s="180"/>
      <c r="P544" s="109">
        <f>IF($BD544&gt;0,(((($BD544/Dashboard!$D$15)*(1+Precificação!$W$589)))+$P$26)*(1+Dashboard!$D$35),0)</f>
        <v>0</v>
      </c>
      <c r="Q544" s="109">
        <f>IF($BD544&gt;0,(((($BD544/Dashboard!$D$23)+(1+Precificação!$W$589))*(1+Q$28))+$P$26)*(1+Dashboard!$D$35),0)</f>
        <v>0</v>
      </c>
      <c r="R544" s="109">
        <f>IF($BD544&gt;0,(((($BD544/Dashboard!$D$23)+(1+Precificação!$W$589))*(1+R$28))+$P$26)*(1+Dashboard!$D$35),0)</f>
        <v>0</v>
      </c>
      <c r="S544" s="109">
        <f>IF($BD544&gt;0,(((($BD544/Dashboard!$D$23)+(1+Precificação!$W$589))*(1+S$28))+$P$26)*(1+Dashboard!$D$35),0)</f>
        <v>0</v>
      </c>
      <c r="U544" s="109">
        <f t="shared" si="481"/>
        <v>0</v>
      </c>
      <c r="V544" s="109">
        <f t="shared" si="482"/>
        <v>0</v>
      </c>
      <c r="W544" s="109">
        <f t="shared" si="483"/>
        <v>0</v>
      </c>
      <c r="X544" s="109">
        <f t="shared" si="484"/>
        <v>0</v>
      </c>
      <c r="AA544" s="109">
        <f>IF($BD544&gt;0,(((($BD544/Dashboard!$D$23)*(1+Precificação!$W$589)))+$AA$26)*(1+Dashboard!$D$35),0)</f>
        <v>0</v>
      </c>
      <c r="AB544" s="109">
        <f>IF($BD544&gt;0,(((($BD544/Dashboard!$D$23)*(1+Precificação!$W$589))*(1+AB$28))+$AA$26)*(1+Dashboard!$D$35),0)</f>
        <v>0</v>
      </c>
      <c r="AC544" s="109">
        <f>IF($BD544&gt;0,(((($BD544/Dashboard!$D$23)*(1+Precificação!$W$589))*(1+AC$28))+$AA$26)*(1+Dashboard!$D$35),0)</f>
        <v>0</v>
      </c>
      <c r="AD544" s="109">
        <f>IF($BD544&gt;0,(((($BD544/Dashboard!$D$23)*(1+Precificação!$W$589))*(1+AD$28))+$AA$26)*(1+Dashboard!$D$35),0)</f>
        <v>0</v>
      </c>
      <c r="AF544" s="109">
        <f t="shared" si="485"/>
        <v>0</v>
      </c>
      <c r="AG544" s="109">
        <f t="shared" si="486"/>
        <v>0</v>
      </c>
      <c r="AH544" s="109">
        <f t="shared" si="487"/>
        <v>0</v>
      </c>
      <c r="AI544" s="109">
        <f t="shared" si="488"/>
        <v>0</v>
      </c>
      <c r="AL544" s="109">
        <f>IF($BD544&gt;0,(((($BD544/Dashboard!$D$23)*(1+Precificação!$W$589)))+$AL$26)*(1+Dashboard!$D$35),0)</f>
        <v>0</v>
      </c>
      <c r="AM544" s="109">
        <f>IF($BD544&gt;0,(((($BD544/Dashboard!$D$23)*(1+Precificação!$W$589))*(1+AM$28))+$AA$26)*(1+Dashboard!$D$35),0)</f>
        <v>0</v>
      </c>
      <c r="AN544" s="109">
        <f>IF($BD544&gt;0,(((($BD544/Dashboard!$D$23)*(1+Precificação!$W$589))*(1+AN$28))+$AA$26)*(1+Dashboard!$D$35),0)</f>
        <v>0</v>
      </c>
      <c r="AO544" s="109">
        <f>IF($BD544&gt;0,(((($BD544/Dashboard!$D$23)*(1+Precificação!$W$589))*(1+AO$28))+$AA$26)*(1+Dashboard!$D$35),0)</f>
        <v>0</v>
      </c>
      <c r="AQ544" s="109">
        <f t="shared" si="489"/>
        <v>0</v>
      </c>
      <c r="AR544" s="109">
        <f t="shared" si="490"/>
        <v>0</v>
      </c>
      <c r="AS544" s="109">
        <f t="shared" si="491"/>
        <v>0</v>
      </c>
      <c r="AT544" s="109">
        <f t="shared" si="492"/>
        <v>0</v>
      </c>
      <c r="AW544" s="144">
        <f>VLOOKUP(B544,'Cronog. e Histog.'!$B$698:$BT$747,71,0)</f>
        <v>0</v>
      </c>
      <c r="AX544" s="144">
        <f>VLOOKUP(B544,'Cronog. e Histog.'!$B$698:$BU$747,72,0)</f>
        <v>0</v>
      </c>
      <c r="AY544" s="144">
        <f>$AW544*$AX544*Dashboard!$D$15</f>
        <v>0</v>
      </c>
      <c r="AZ544" s="144">
        <f>VLOOKUP(B544,Precificação!$B$96:$BM$587,54,0)</f>
        <v>0</v>
      </c>
      <c r="BA544" s="144">
        <f>VLOOKUP(B544,Precificação!$B$96:$BR$587,58,0)</f>
        <v>0</v>
      </c>
      <c r="BB544" s="144">
        <f>VLOOKUP(B544,Precificação!$B$96:$BW$587,62,0)</f>
        <v>0</v>
      </c>
      <c r="BC544" s="144">
        <f t="shared" si="493"/>
        <v>0</v>
      </c>
      <c r="BD544" s="109">
        <f>IFERROR(VLOOKUP(B544,Precificação!$B$96:$S$587,13,0),0)</f>
        <v>0</v>
      </c>
      <c r="BE544" s="109">
        <f>IFERROR(VLOOKUP(B544,Precificação!$B$96:$U$587,15,0)/(Precificação!$U$4+Precificação!$U$91+Precificação!$U$535),0)*Dashboard!$T$3</f>
        <v>0</v>
      </c>
    </row>
    <row r="545" spans="2:57" ht="12" hidden="1" customHeight="1" outlineLevel="1">
      <c r="B545" s="137" t="str">
        <f>Precificação!B543</f>
        <v/>
      </c>
      <c r="E545" s="143" t="str">
        <f>IF('Cronog. e Histog.'!F703&gt;0,'Cronog. e Histog.'!F703,"")</f>
        <v/>
      </c>
      <c r="G545" s="179">
        <f t="shared" si="470"/>
        <v>0</v>
      </c>
      <c r="H545" s="110"/>
      <c r="I545" s="78"/>
      <c r="J545" s="81">
        <f>IF(I545="horista",H545*Dashboard!$D$15,IF(OR(I545="Mensalista",I545="PJ"),H545,))</f>
        <v>0</v>
      </c>
      <c r="K545" s="81">
        <f>IF(I545="PJ",J545,ROUND(J545*(1+Dashboard!$D$22),2))</f>
        <v>0</v>
      </c>
      <c r="L545" s="77"/>
      <c r="M545" s="180"/>
      <c r="P545" s="109">
        <f>IF($BD545&gt;0,(((($BD545/Dashboard!$D$15)*(1+Precificação!$W$589)))+$P$26)*(1+Dashboard!$D$35),0)</f>
        <v>0</v>
      </c>
      <c r="Q545" s="109">
        <f>IF($BD545&gt;0,(((($BD545/Dashboard!$D$23)+(1+Precificação!$W$589))*(1+Q$28))+$P$26)*(1+Dashboard!$D$35),0)</f>
        <v>0</v>
      </c>
      <c r="R545" s="109">
        <f>IF($BD545&gt;0,(((($BD545/Dashboard!$D$23)+(1+Precificação!$W$589))*(1+R$28))+$P$26)*(1+Dashboard!$D$35),0)</f>
        <v>0</v>
      </c>
      <c r="S545" s="109">
        <f>IF($BD545&gt;0,(((($BD545/Dashboard!$D$23)+(1+Precificação!$W$589))*(1+S$28))+$P$26)*(1+Dashboard!$D$35),0)</f>
        <v>0</v>
      </c>
      <c r="U545" s="109">
        <f t="shared" si="481"/>
        <v>0</v>
      </c>
      <c r="V545" s="109">
        <f t="shared" si="482"/>
        <v>0</v>
      </c>
      <c r="W545" s="109">
        <f t="shared" si="483"/>
        <v>0</v>
      </c>
      <c r="X545" s="109">
        <f t="shared" si="484"/>
        <v>0</v>
      </c>
      <c r="AA545" s="109">
        <f>IF($BD545&gt;0,(((($BD545/Dashboard!$D$23)*(1+Precificação!$W$589)))+$AA$26)*(1+Dashboard!$D$35),0)</f>
        <v>0</v>
      </c>
      <c r="AB545" s="109">
        <f>IF($BD545&gt;0,(((($BD545/Dashboard!$D$23)*(1+Precificação!$W$589))*(1+AB$28))+$AA$26)*(1+Dashboard!$D$35),0)</f>
        <v>0</v>
      </c>
      <c r="AC545" s="109">
        <f>IF($BD545&gt;0,(((($BD545/Dashboard!$D$23)*(1+Precificação!$W$589))*(1+AC$28))+$AA$26)*(1+Dashboard!$D$35),0)</f>
        <v>0</v>
      </c>
      <c r="AD545" s="109">
        <f>IF($BD545&gt;0,(((($BD545/Dashboard!$D$23)*(1+Precificação!$W$589))*(1+AD$28))+$AA$26)*(1+Dashboard!$D$35),0)</f>
        <v>0</v>
      </c>
      <c r="AF545" s="109">
        <f t="shared" si="485"/>
        <v>0</v>
      </c>
      <c r="AG545" s="109">
        <f t="shared" si="486"/>
        <v>0</v>
      </c>
      <c r="AH545" s="109">
        <f t="shared" si="487"/>
        <v>0</v>
      </c>
      <c r="AI545" s="109">
        <f t="shared" si="488"/>
        <v>0</v>
      </c>
      <c r="AL545" s="109">
        <f>IF($BD545&gt;0,(((($BD545/Dashboard!$D$23)*(1+Precificação!$W$589)))+$AL$26)*(1+Dashboard!$D$35),0)</f>
        <v>0</v>
      </c>
      <c r="AM545" s="109">
        <f>IF($BD545&gt;0,(((($BD545/Dashboard!$D$23)*(1+Precificação!$W$589))*(1+AM$28))+$AA$26)*(1+Dashboard!$D$35),0)</f>
        <v>0</v>
      </c>
      <c r="AN545" s="109">
        <f>IF($BD545&gt;0,(((($BD545/Dashboard!$D$23)*(1+Precificação!$W$589))*(1+AN$28))+$AA$26)*(1+Dashboard!$D$35),0)</f>
        <v>0</v>
      </c>
      <c r="AO545" s="109">
        <f>IF($BD545&gt;0,(((($BD545/Dashboard!$D$23)*(1+Precificação!$W$589))*(1+AO$28))+$AA$26)*(1+Dashboard!$D$35),0)</f>
        <v>0</v>
      </c>
      <c r="AQ545" s="109">
        <f t="shared" si="489"/>
        <v>0</v>
      </c>
      <c r="AR545" s="109">
        <f t="shared" si="490"/>
        <v>0</v>
      </c>
      <c r="AS545" s="109">
        <f t="shared" si="491"/>
        <v>0</v>
      </c>
      <c r="AT545" s="109">
        <f t="shared" si="492"/>
        <v>0</v>
      </c>
      <c r="AW545" s="144">
        <f>VLOOKUP(B545,'Cronog. e Histog.'!$B$698:$BT$747,71,0)</f>
        <v>0</v>
      </c>
      <c r="AX545" s="144">
        <f>VLOOKUP(B545,'Cronog. e Histog.'!$B$698:$BU$747,72,0)</f>
        <v>0</v>
      </c>
      <c r="AY545" s="144">
        <f>$AW545*$AX545*Dashboard!$D$15</f>
        <v>0</v>
      </c>
      <c r="AZ545" s="144">
        <f>VLOOKUP(B545,Precificação!$B$96:$BM$587,54,0)</f>
        <v>0</v>
      </c>
      <c r="BA545" s="144">
        <f>VLOOKUP(B545,Precificação!$B$96:$BR$587,58,0)</f>
        <v>0</v>
      </c>
      <c r="BB545" s="144">
        <f>VLOOKUP(B545,Precificação!$B$96:$BW$587,62,0)</f>
        <v>0</v>
      </c>
      <c r="BC545" s="144">
        <f t="shared" si="493"/>
        <v>0</v>
      </c>
      <c r="BD545" s="109">
        <f>IFERROR(VLOOKUP(B545,Precificação!$B$96:$S$587,13,0),0)</f>
        <v>0</v>
      </c>
      <c r="BE545" s="109">
        <f>IFERROR(VLOOKUP(B545,Precificação!$B$96:$U$587,15,0)/(Precificação!$U$4+Precificação!$U$91+Precificação!$U$535),0)*Dashboard!$T$3</f>
        <v>0</v>
      </c>
    </row>
    <row r="546" spans="2:57" ht="12" hidden="1" customHeight="1" outlineLevel="1">
      <c r="B546" s="137" t="str">
        <f>Precificação!B544</f>
        <v/>
      </c>
      <c r="E546" s="143" t="str">
        <f>IF('Cronog. e Histog.'!F704&gt;0,'Cronog. e Histog.'!F704,"")</f>
        <v/>
      </c>
      <c r="G546" s="179">
        <f t="shared" si="470"/>
        <v>0</v>
      </c>
      <c r="H546" s="110"/>
      <c r="I546" s="78"/>
      <c r="J546" s="81">
        <f>IF(I546="horista",H546*Dashboard!$D$15,IF(OR(I546="Mensalista",I546="PJ"),H546,))</f>
        <v>0</v>
      </c>
      <c r="K546" s="81">
        <f>IF(I546="PJ",J546,ROUND(J546*(1+Dashboard!$D$22),2))</f>
        <v>0</v>
      </c>
      <c r="L546" s="77"/>
      <c r="M546" s="180"/>
      <c r="P546" s="109">
        <f>IF($BD546&gt;0,(((($BD546/Dashboard!$D$15)*(1+Precificação!$W$589)))+$P$26)*(1+Dashboard!$D$35),0)</f>
        <v>0</v>
      </c>
      <c r="Q546" s="109">
        <f>IF($BD546&gt;0,(((($BD546/Dashboard!$D$23)+(1+Precificação!$W$589))*(1+Q$28))+$P$26)*(1+Dashboard!$D$35),0)</f>
        <v>0</v>
      </c>
      <c r="R546" s="109">
        <f>IF($BD546&gt;0,(((($BD546/Dashboard!$D$23)+(1+Precificação!$W$589))*(1+R$28))+$P$26)*(1+Dashboard!$D$35),0)</f>
        <v>0</v>
      </c>
      <c r="S546" s="109">
        <f>IF($BD546&gt;0,(((($BD546/Dashboard!$D$23)+(1+Precificação!$W$589))*(1+S$28))+$P$26)*(1+Dashboard!$D$35),0)</f>
        <v>0</v>
      </c>
      <c r="U546" s="109">
        <f t="shared" si="481"/>
        <v>0</v>
      </c>
      <c r="V546" s="109">
        <f t="shared" si="482"/>
        <v>0</v>
      </c>
      <c r="W546" s="109">
        <f t="shared" si="483"/>
        <v>0</v>
      </c>
      <c r="X546" s="109">
        <f t="shared" si="484"/>
        <v>0</v>
      </c>
      <c r="AA546" s="109">
        <f>IF($BD546&gt;0,(((($BD546/Dashboard!$D$23)*(1+Precificação!$W$589)))+$AA$26)*(1+Dashboard!$D$35),0)</f>
        <v>0</v>
      </c>
      <c r="AB546" s="109">
        <f>IF($BD546&gt;0,(((($BD546/Dashboard!$D$23)*(1+Precificação!$W$589))*(1+AB$28))+$AA$26)*(1+Dashboard!$D$35),0)</f>
        <v>0</v>
      </c>
      <c r="AC546" s="109">
        <f>IF($BD546&gt;0,(((($BD546/Dashboard!$D$23)*(1+Precificação!$W$589))*(1+AC$28))+$AA$26)*(1+Dashboard!$D$35),0)</f>
        <v>0</v>
      </c>
      <c r="AD546" s="109">
        <f>IF($BD546&gt;0,(((($BD546/Dashboard!$D$23)*(1+Precificação!$W$589))*(1+AD$28))+$AA$26)*(1+Dashboard!$D$35),0)</f>
        <v>0</v>
      </c>
      <c r="AF546" s="109">
        <f t="shared" si="485"/>
        <v>0</v>
      </c>
      <c r="AG546" s="109">
        <f t="shared" si="486"/>
        <v>0</v>
      </c>
      <c r="AH546" s="109">
        <f t="shared" si="487"/>
        <v>0</v>
      </c>
      <c r="AI546" s="109">
        <f t="shared" si="488"/>
        <v>0</v>
      </c>
      <c r="AL546" s="109">
        <f>IF($BD546&gt;0,(((($BD546/Dashboard!$D$23)*(1+Precificação!$W$589)))+$AL$26)*(1+Dashboard!$D$35),0)</f>
        <v>0</v>
      </c>
      <c r="AM546" s="109">
        <f>IF($BD546&gt;0,(((($BD546/Dashboard!$D$23)*(1+Precificação!$W$589))*(1+AM$28))+$AA$26)*(1+Dashboard!$D$35),0)</f>
        <v>0</v>
      </c>
      <c r="AN546" s="109">
        <f>IF($BD546&gt;0,(((($BD546/Dashboard!$D$23)*(1+Precificação!$W$589))*(1+AN$28))+$AA$26)*(1+Dashboard!$D$35),0)</f>
        <v>0</v>
      </c>
      <c r="AO546" s="109">
        <f>IF($BD546&gt;0,(((($BD546/Dashboard!$D$23)*(1+Precificação!$W$589))*(1+AO$28))+$AA$26)*(1+Dashboard!$D$35),0)</f>
        <v>0</v>
      </c>
      <c r="AQ546" s="109">
        <f t="shared" si="489"/>
        <v>0</v>
      </c>
      <c r="AR546" s="109">
        <f t="shared" si="490"/>
        <v>0</v>
      </c>
      <c r="AS546" s="109">
        <f t="shared" si="491"/>
        <v>0</v>
      </c>
      <c r="AT546" s="109">
        <f t="shared" si="492"/>
        <v>0</v>
      </c>
      <c r="AW546" s="144">
        <f>VLOOKUP(B546,'Cronog. e Histog.'!$B$698:$BT$747,71,0)</f>
        <v>0</v>
      </c>
      <c r="AX546" s="144">
        <f>VLOOKUP(B546,'Cronog. e Histog.'!$B$698:$BU$747,72,0)</f>
        <v>0</v>
      </c>
      <c r="AY546" s="144">
        <f>$AW546*$AX546*Dashboard!$D$15</f>
        <v>0</v>
      </c>
      <c r="AZ546" s="144">
        <f>VLOOKUP(B546,Precificação!$B$96:$BM$587,54,0)</f>
        <v>0</v>
      </c>
      <c r="BA546" s="144">
        <f>VLOOKUP(B546,Precificação!$B$96:$BR$587,58,0)</f>
        <v>0</v>
      </c>
      <c r="BB546" s="144">
        <f>VLOOKUP(B546,Precificação!$B$96:$BW$587,62,0)</f>
        <v>0</v>
      </c>
      <c r="BC546" s="144">
        <f t="shared" si="493"/>
        <v>0</v>
      </c>
      <c r="BD546" s="109">
        <f>IFERROR(VLOOKUP(B546,Precificação!$B$96:$S$587,13,0),0)</f>
        <v>0</v>
      </c>
      <c r="BE546" s="109">
        <f>IFERROR(VLOOKUP(B546,Precificação!$B$96:$U$587,15,0)/(Precificação!$U$4+Precificação!$U$91+Precificação!$U$535),0)*Dashboard!$T$3</f>
        <v>0</v>
      </c>
    </row>
    <row r="547" spans="2:57" ht="12" hidden="1" customHeight="1" outlineLevel="1">
      <c r="B547" s="137" t="str">
        <f>Precificação!B545</f>
        <v/>
      </c>
      <c r="E547" s="143" t="str">
        <f>IF('Cronog. e Histog.'!F705&gt;0,'Cronog. e Histog.'!F705,"")</f>
        <v/>
      </c>
      <c r="G547" s="179">
        <f t="shared" si="470"/>
        <v>0</v>
      </c>
      <c r="H547" s="110"/>
      <c r="I547" s="78"/>
      <c r="J547" s="81">
        <f>IF(I547="horista",H547*Dashboard!$D$15,IF(OR(I547="Mensalista",I547="PJ"),H547,))</f>
        <v>0</v>
      </c>
      <c r="K547" s="81">
        <f>IF(I547="PJ",J547,ROUND(J547*(1+Dashboard!$D$22),2))</f>
        <v>0</v>
      </c>
      <c r="L547" s="77"/>
      <c r="M547" s="180"/>
      <c r="P547" s="109">
        <f>IF($BD547&gt;0,(((($BD547/Dashboard!$D$15)*(1+Precificação!$W$589)))+$P$26)*(1+Dashboard!$D$35),0)</f>
        <v>0</v>
      </c>
      <c r="Q547" s="109">
        <f>IF($BD547&gt;0,(((($BD547/Dashboard!$D$23)+(1+Precificação!$W$589))*(1+Q$28))+$P$26)*(1+Dashboard!$D$35),0)</f>
        <v>0</v>
      </c>
      <c r="R547" s="109">
        <f>IF($BD547&gt;0,(((($BD547/Dashboard!$D$23)+(1+Precificação!$W$589))*(1+R$28))+$P$26)*(1+Dashboard!$D$35),0)</f>
        <v>0</v>
      </c>
      <c r="S547" s="109">
        <f>IF($BD547&gt;0,(((($BD547/Dashboard!$D$23)+(1+Precificação!$W$589))*(1+S$28))+$P$26)*(1+Dashboard!$D$35),0)</f>
        <v>0</v>
      </c>
      <c r="U547" s="109">
        <f t="shared" si="481"/>
        <v>0</v>
      </c>
      <c r="V547" s="109">
        <f t="shared" si="482"/>
        <v>0</v>
      </c>
      <c r="W547" s="109">
        <f t="shared" si="483"/>
        <v>0</v>
      </c>
      <c r="X547" s="109">
        <f t="shared" si="484"/>
        <v>0</v>
      </c>
      <c r="AA547" s="109">
        <f>IF($BD547&gt;0,(((($BD547/Dashboard!$D$23)*(1+Precificação!$W$589)))+$AA$26)*(1+Dashboard!$D$35),0)</f>
        <v>0</v>
      </c>
      <c r="AB547" s="109">
        <f>IF($BD547&gt;0,(((($BD547/Dashboard!$D$23)*(1+Precificação!$W$589))*(1+AB$28))+$AA$26)*(1+Dashboard!$D$35),0)</f>
        <v>0</v>
      </c>
      <c r="AC547" s="109">
        <f>IF($BD547&gt;0,(((($BD547/Dashboard!$D$23)*(1+Precificação!$W$589))*(1+AC$28))+$AA$26)*(1+Dashboard!$D$35),0)</f>
        <v>0</v>
      </c>
      <c r="AD547" s="109">
        <f>IF($BD547&gt;0,(((($BD547/Dashboard!$D$23)*(1+Precificação!$W$589))*(1+AD$28))+$AA$26)*(1+Dashboard!$D$35),0)</f>
        <v>0</v>
      </c>
      <c r="AF547" s="109">
        <f t="shared" si="485"/>
        <v>0</v>
      </c>
      <c r="AG547" s="109">
        <f t="shared" si="486"/>
        <v>0</v>
      </c>
      <c r="AH547" s="109">
        <f t="shared" si="487"/>
        <v>0</v>
      </c>
      <c r="AI547" s="109">
        <f t="shared" si="488"/>
        <v>0</v>
      </c>
      <c r="AL547" s="109">
        <f>IF($BD547&gt;0,(((($BD547/Dashboard!$D$23)*(1+Precificação!$W$589)))+$AL$26)*(1+Dashboard!$D$35),0)</f>
        <v>0</v>
      </c>
      <c r="AM547" s="109">
        <f>IF($BD547&gt;0,(((($BD547/Dashboard!$D$23)*(1+Precificação!$W$589))*(1+AM$28))+$AA$26)*(1+Dashboard!$D$35),0)</f>
        <v>0</v>
      </c>
      <c r="AN547" s="109">
        <f>IF($BD547&gt;0,(((($BD547/Dashboard!$D$23)*(1+Precificação!$W$589))*(1+AN$28))+$AA$26)*(1+Dashboard!$D$35),0)</f>
        <v>0</v>
      </c>
      <c r="AO547" s="109">
        <f>IF($BD547&gt;0,(((($BD547/Dashboard!$D$23)*(1+Precificação!$W$589))*(1+AO$28))+$AA$26)*(1+Dashboard!$D$35),0)</f>
        <v>0</v>
      </c>
      <c r="AQ547" s="109">
        <f t="shared" si="489"/>
        <v>0</v>
      </c>
      <c r="AR547" s="109">
        <f t="shared" si="490"/>
        <v>0</v>
      </c>
      <c r="AS547" s="109">
        <f t="shared" si="491"/>
        <v>0</v>
      </c>
      <c r="AT547" s="109">
        <f t="shared" si="492"/>
        <v>0</v>
      </c>
      <c r="AW547" s="144">
        <f>VLOOKUP(B547,'Cronog. e Histog.'!$B$698:$BT$747,71,0)</f>
        <v>0</v>
      </c>
      <c r="AX547" s="144">
        <f>VLOOKUP(B547,'Cronog. e Histog.'!$B$698:$BU$747,72,0)</f>
        <v>0</v>
      </c>
      <c r="AY547" s="144">
        <f>$AW547*$AX547*Dashboard!$D$15</f>
        <v>0</v>
      </c>
      <c r="AZ547" s="144">
        <f>VLOOKUP(B547,Precificação!$B$96:$BM$587,54,0)</f>
        <v>0</v>
      </c>
      <c r="BA547" s="144">
        <f>VLOOKUP(B547,Precificação!$B$96:$BR$587,58,0)</f>
        <v>0</v>
      </c>
      <c r="BB547" s="144">
        <f>VLOOKUP(B547,Precificação!$B$96:$BW$587,62,0)</f>
        <v>0</v>
      </c>
      <c r="BC547" s="144">
        <f t="shared" si="493"/>
        <v>0</v>
      </c>
      <c r="BD547" s="109">
        <f>IFERROR(VLOOKUP(B547,Precificação!$B$96:$S$587,13,0),0)</f>
        <v>0</v>
      </c>
      <c r="BE547" s="109">
        <f>IFERROR(VLOOKUP(B547,Precificação!$B$96:$U$587,15,0)/(Precificação!$U$4+Precificação!$U$91+Precificação!$U$535),0)*Dashboard!$T$3</f>
        <v>0</v>
      </c>
    </row>
    <row r="548" spans="2:57" ht="12" hidden="1" customHeight="1" outlineLevel="1">
      <c r="B548" s="137" t="str">
        <f>Precificação!B546</f>
        <v/>
      </c>
      <c r="E548" s="143" t="str">
        <f>IF('Cronog. e Histog.'!F706&gt;0,'Cronog. e Histog.'!F706,"")</f>
        <v/>
      </c>
      <c r="G548" s="179">
        <f t="shared" si="470"/>
        <v>0</v>
      </c>
      <c r="H548" s="110"/>
      <c r="I548" s="78"/>
      <c r="J548" s="81">
        <f>IF(I548="horista",H548*Dashboard!$D$15,IF(OR(I548="Mensalista",I548="PJ"),H548,))</f>
        <v>0</v>
      </c>
      <c r="K548" s="81">
        <f>IF(I548="PJ",J548,ROUND(J548*(1+Dashboard!$D$22),2))</f>
        <v>0</v>
      </c>
      <c r="L548" s="77"/>
      <c r="M548" s="180"/>
      <c r="P548" s="109">
        <f>IF($BD548&gt;0,(((($BD548/Dashboard!$D$15)*(1+Precificação!$W$589)))+$P$26)*(1+Dashboard!$D$35),0)</f>
        <v>0</v>
      </c>
      <c r="Q548" s="109">
        <f>IF($BD548&gt;0,(((($BD548/Dashboard!$D$23)+(1+Precificação!$W$589))*(1+Q$28))+$P$26)*(1+Dashboard!$D$35),0)</f>
        <v>0</v>
      </c>
      <c r="R548" s="109">
        <f>IF($BD548&gt;0,(((($BD548/Dashboard!$D$23)+(1+Precificação!$W$589))*(1+R$28))+$P$26)*(1+Dashboard!$D$35),0)</f>
        <v>0</v>
      </c>
      <c r="S548" s="109">
        <f>IF($BD548&gt;0,(((($BD548/Dashboard!$D$23)+(1+Precificação!$W$589))*(1+S$28))+$P$26)*(1+Dashboard!$D$35),0)</f>
        <v>0</v>
      </c>
      <c r="U548" s="109">
        <f t="shared" si="481"/>
        <v>0</v>
      </c>
      <c r="V548" s="109">
        <f t="shared" si="482"/>
        <v>0</v>
      </c>
      <c r="W548" s="109">
        <f t="shared" si="483"/>
        <v>0</v>
      </c>
      <c r="X548" s="109">
        <f t="shared" si="484"/>
        <v>0</v>
      </c>
      <c r="AA548" s="109">
        <f>IF($BD548&gt;0,(((($BD548/Dashboard!$D$23)*(1+Precificação!$W$589)))+$AA$26)*(1+Dashboard!$D$35),0)</f>
        <v>0</v>
      </c>
      <c r="AB548" s="109">
        <f>IF($BD548&gt;0,(((($BD548/Dashboard!$D$23)*(1+Precificação!$W$589))*(1+AB$28))+$AA$26)*(1+Dashboard!$D$35),0)</f>
        <v>0</v>
      </c>
      <c r="AC548" s="109">
        <f>IF($BD548&gt;0,(((($BD548/Dashboard!$D$23)*(1+Precificação!$W$589))*(1+AC$28))+$AA$26)*(1+Dashboard!$D$35),0)</f>
        <v>0</v>
      </c>
      <c r="AD548" s="109">
        <f>IF($BD548&gt;0,(((($BD548/Dashboard!$D$23)*(1+Precificação!$W$589))*(1+AD$28))+$AA$26)*(1+Dashboard!$D$35),0)</f>
        <v>0</v>
      </c>
      <c r="AF548" s="109">
        <f t="shared" si="485"/>
        <v>0</v>
      </c>
      <c r="AG548" s="109">
        <f t="shared" si="486"/>
        <v>0</v>
      </c>
      <c r="AH548" s="109">
        <f t="shared" si="487"/>
        <v>0</v>
      </c>
      <c r="AI548" s="109">
        <f t="shared" si="488"/>
        <v>0</v>
      </c>
      <c r="AL548" s="109">
        <f>IF($BD548&gt;0,(((($BD548/Dashboard!$D$23)*(1+Precificação!$W$589)))+$AL$26)*(1+Dashboard!$D$35),0)</f>
        <v>0</v>
      </c>
      <c r="AM548" s="109">
        <f>IF($BD548&gt;0,(((($BD548/Dashboard!$D$23)*(1+Precificação!$W$589))*(1+AM$28))+$AA$26)*(1+Dashboard!$D$35),0)</f>
        <v>0</v>
      </c>
      <c r="AN548" s="109">
        <f>IF($BD548&gt;0,(((($BD548/Dashboard!$D$23)*(1+Precificação!$W$589))*(1+AN$28))+$AA$26)*(1+Dashboard!$D$35),0)</f>
        <v>0</v>
      </c>
      <c r="AO548" s="109">
        <f>IF($BD548&gt;0,(((($BD548/Dashboard!$D$23)*(1+Precificação!$W$589))*(1+AO$28))+$AA$26)*(1+Dashboard!$D$35),0)</f>
        <v>0</v>
      </c>
      <c r="AQ548" s="109">
        <f t="shared" si="489"/>
        <v>0</v>
      </c>
      <c r="AR548" s="109">
        <f t="shared" si="490"/>
        <v>0</v>
      </c>
      <c r="AS548" s="109">
        <f t="shared" si="491"/>
        <v>0</v>
      </c>
      <c r="AT548" s="109">
        <f t="shared" si="492"/>
        <v>0</v>
      </c>
      <c r="AW548" s="144">
        <f>VLOOKUP(B548,'Cronog. e Histog.'!$B$698:$BT$747,71,0)</f>
        <v>0</v>
      </c>
      <c r="AX548" s="144">
        <f>VLOOKUP(B548,'Cronog. e Histog.'!$B$698:$BU$747,72,0)</f>
        <v>0</v>
      </c>
      <c r="AY548" s="144">
        <f>$AW548*$AX548*Dashboard!$D$15</f>
        <v>0</v>
      </c>
      <c r="AZ548" s="144">
        <f>VLOOKUP(B548,Precificação!$B$96:$BM$587,54,0)</f>
        <v>0</v>
      </c>
      <c r="BA548" s="144">
        <f>VLOOKUP(B548,Precificação!$B$96:$BR$587,58,0)</f>
        <v>0</v>
      </c>
      <c r="BB548" s="144">
        <f>VLOOKUP(B548,Precificação!$B$96:$BW$587,62,0)</f>
        <v>0</v>
      </c>
      <c r="BC548" s="144">
        <f t="shared" si="493"/>
        <v>0</v>
      </c>
      <c r="BD548" s="109">
        <f>IFERROR(VLOOKUP(B548,Precificação!$B$96:$S$587,13,0),0)</f>
        <v>0</v>
      </c>
      <c r="BE548" s="109">
        <f>IFERROR(VLOOKUP(B548,Precificação!$B$96:$U$587,15,0)/(Precificação!$U$4+Precificação!$U$91+Precificação!$U$535),0)*Dashboard!$T$3</f>
        <v>0</v>
      </c>
    </row>
    <row r="549" spans="2:57" ht="12" hidden="1" customHeight="1" outlineLevel="1">
      <c r="B549" s="137" t="str">
        <f>Precificação!B547</f>
        <v/>
      </c>
      <c r="E549" s="143" t="str">
        <f>IF('Cronog. e Histog.'!F707&gt;0,'Cronog. e Histog.'!F707,"")</f>
        <v/>
      </c>
      <c r="G549" s="179">
        <f t="shared" si="470"/>
        <v>0</v>
      </c>
      <c r="H549" s="110"/>
      <c r="I549" s="78"/>
      <c r="J549" s="81">
        <f>IF(I549="horista",H549*Dashboard!$D$15,IF(OR(I549="Mensalista",I549="PJ"),H549,))</f>
        <v>0</v>
      </c>
      <c r="K549" s="81">
        <f>IF(I549="PJ",J549,ROUND(J549*(1+Dashboard!$D$22),2))</f>
        <v>0</v>
      </c>
      <c r="L549" s="77"/>
      <c r="M549" s="180"/>
      <c r="P549" s="109">
        <f>IF($BD549&gt;0,(((($BD549/Dashboard!$D$15)*(1+Precificação!$W$589)))+$P$26)*(1+Dashboard!$D$35),0)</f>
        <v>0</v>
      </c>
      <c r="Q549" s="109">
        <f>IF($BD549&gt;0,(((($BD549/Dashboard!$D$23)+(1+Precificação!$W$589))*(1+Q$28))+$P$26)*(1+Dashboard!$D$35),0)</f>
        <v>0</v>
      </c>
      <c r="R549" s="109">
        <f>IF($BD549&gt;0,(((($BD549/Dashboard!$D$23)+(1+Precificação!$W$589))*(1+R$28))+$P$26)*(1+Dashboard!$D$35),0)</f>
        <v>0</v>
      </c>
      <c r="S549" s="109">
        <f>IF($BD549&gt;0,(((($BD549/Dashboard!$D$23)+(1+Precificação!$W$589))*(1+S$28))+$P$26)*(1+Dashboard!$D$35),0)</f>
        <v>0</v>
      </c>
      <c r="U549" s="109">
        <f t="shared" si="481"/>
        <v>0</v>
      </c>
      <c r="V549" s="109">
        <f t="shared" si="482"/>
        <v>0</v>
      </c>
      <c r="W549" s="109">
        <f t="shared" si="483"/>
        <v>0</v>
      </c>
      <c r="X549" s="109">
        <f t="shared" si="484"/>
        <v>0</v>
      </c>
      <c r="AA549" s="109">
        <f>IF($BD549&gt;0,(((($BD549/Dashboard!$D$23)*(1+Precificação!$W$589)))+$AA$26)*(1+Dashboard!$D$35),0)</f>
        <v>0</v>
      </c>
      <c r="AB549" s="109">
        <f>IF($BD549&gt;0,(((($BD549/Dashboard!$D$23)*(1+Precificação!$W$589))*(1+AB$28))+$AA$26)*(1+Dashboard!$D$35),0)</f>
        <v>0</v>
      </c>
      <c r="AC549" s="109">
        <f>IF($BD549&gt;0,(((($BD549/Dashboard!$D$23)*(1+Precificação!$W$589))*(1+AC$28))+$AA$26)*(1+Dashboard!$D$35),0)</f>
        <v>0</v>
      </c>
      <c r="AD549" s="109">
        <f>IF($BD549&gt;0,(((($BD549/Dashboard!$D$23)*(1+Precificação!$W$589))*(1+AD$28))+$AA$26)*(1+Dashboard!$D$35),0)</f>
        <v>0</v>
      </c>
      <c r="AF549" s="109">
        <f t="shared" si="485"/>
        <v>0</v>
      </c>
      <c r="AG549" s="109">
        <f t="shared" si="486"/>
        <v>0</v>
      </c>
      <c r="AH549" s="109">
        <f t="shared" si="487"/>
        <v>0</v>
      </c>
      <c r="AI549" s="109">
        <f t="shared" si="488"/>
        <v>0</v>
      </c>
      <c r="AL549" s="109">
        <f>IF($BD549&gt;0,(((($BD549/Dashboard!$D$23)*(1+Precificação!$W$589)))+$AL$26)*(1+Dashboard!$D$35),0)</f>
        <v>0</v>
      </c>
      <c r="AM549" s="109">
        <f>IF($BD549&gt;0,(((($BD549/Dashboard!$D$23)*(1+Precificação!$W$589))*(1+AM$28))+$AA$26)*(1+Dashboard!$D$35),0)</f>
        <v>0</v>
      </c>
      <c r="AN549" s="109">
        <f>IF($BD549&gt;0,(((($BD549/Dashboard!$D$23)*(1+Precificação!$W$589))*(1+AN$28))+$AA$26)*(1+Dashboard!$D$35),0)</f>
        <v>0</v>
      </c>
      <c r="AO549" s="109">
        <f>IF($BD549&gt;0,(((($BD549/Dashboard!$D$23)*(1+Precificação!$W$589))*(1+AO$28))+$AA$26)*(1+Dashboard!$D$35),0)</f>
        <v>0</v>
      </c>
      <c r="AQ549" s="109">
        <f t="shared" si="489"/>
        <v>0</v>
      </c>
      <c r="AR549" s="109">
        <f t="shared" si="490"/>
        <v>0</v>
      </c>
      <c r="AS549" s="109">
        <f t="shared" si="491"/>
        <v>0</v>
      </c>
      <c r="AT549" s="109">
        <f t="shared" si="492"/>
        <v>0</v>
      </c>
      <c r="AW549" s="144">
        <f>VLOOKUP(B549,'Cronog. e Histog.'!$B$698:$BT$747,71,0)</f>
        <v>0</v>
      </c>
      <c r="AX549" s="144">
        <f>VLOOKUP(B549,'Cronog. e Histog.'!$B$698:$BU$747,72,0)</f>
        <v>0</v>
      </c>
      <c r="AY549" s="144">
        <f>$AW549*$AX549*Dashboard!$D$15</f>
        <v>0</v>
      </c>
      <c r="AZ549" s="144">
        <f>VLOOKUP(B549,Precificação!$B$96:$BM$587,54,0)</f>
        <v>0</v>
      </c>
      <c r="BA549" s="144">
        <f>VLOOKUP(B549,Precificação!$B$96:$BR$587,58,0)</f>
        <v>0</v>
      </c>
      <c r="BB549" s="144">
        <f>VLOOKUP(B549,Precificação!$B$96:$BW$587,62,0)</f>
        <v>0</v>
      </c>
      <c r="BC549" s="144">
        <f t="shared" si="493"/>
        <v>0</v>
      </c>
      <c r="BD549" s="109">
        <f>IFERROR(VLOOKUP(B549,Precificação!$B$96:$S$587,13,0),0)</f>
        <v>0</v>
      </c>
      <c r="BE549" s="109">
        <f>IFERROR(VLOOKUP(B549,Precificação!$B$96:$U$587,15,0)/(Precificação!$U$4+Precificação!$U$91+Precificação!$U$535),0)*Dashboard!$T$3</f>
        <v>0</v>
      </c>
    </row>
    <row r="550" spans="2:57" ht="12" hidden="1" customHeight="1" outlineLevel="1">
      <c r="B550" s="137" t="str">
        <f>Precificação!B548</f>
        <v/>
      </c>
      <c r="E550" s="143" t="str">
        <f>IF('Cronog. e Histog.'!F708&gt;0,'Cronog. e Histog.'!F708,"")</f>
        <v/>
      </c>
      <c r="G550" s="179">
        <f t="shared" si="470"/>
        <v>0</v>
      </c>
      <c r="H550" s="110"/>
      <c r="I550" s="78"/>
      <c r="J550" s="81">
        <f>IF(I550="horista",H550*Dashboard!$D$15,IF(OR(I550="Mensalista",I550="PJ"),H550,))</f>
        <v>0</v>
      </c>
      <c r="K550" s="81">
        <f>IF(I550="PJ",J550,ROUND(J550*(1+Dashboard!$D$22),2))</f>
        <v>0</v>
      </c>
      <c r="L550" s="77"/>
      <c r="M550" s="180"/>
      <c r="P550" s="109">
        <f>IF($BD550&gt;0,(((($BD550/Dashboard!$D$15)*(1+Precificação!$W$589)))+$P$26)*(1+Dashboard!$D$35),0)</f>
        <v>0</v>
      </c>
      <c r="Q550" s="109">
        <f>IF($BD550&gt;0,(((($BD550/Dashboard!$D$23)+(1+Precificação!$W$589))*(1+Q$28))+$P$26)*(1+Dashboard!$D$35),0)</f>
        <v>0</v>
      </c>
      <c r="R550" s="109">
        <f>IF($BD550&gt;0,(((($BD550/Dashboard!$D$23)+(1+Precificação!$W$589))*(1+R$28))+$P$26)*(1+Dashboard!$D$35),0)</f>
        <v>0</v>
      </c>
      <c r="S550" s="109">
        <f>IF($BD550&gt;0,(((($BD550/Dashboard!$D$23)+(1+Precificação!$W$589))*(1+S$28))+$P$26)*(1+Dashboard!$D$35),0)</f>
        <v>0</v>
      </c>
      <c r="U550" s="109">
        <f t="shared" si="481"/>
        <v>0</v>
      </c>
      <c r="V550" s="109">
        <f t="shared" si="482"/>
        <v>0</v>
      </c>
      <c r="W550" s="109">
        <f t="shared" si="483"/>
        <v>0</v>
      </c>
      <c r="X550" s="109">
        <f t="shared" si="484"/>
        <v>0</v>
      </c>
      <c r="AA550" s="109">
        <f>IF($BD550&gt;0,(((($BD550/Dashboard!$D$23)*(1+Precificação!$W$589)))+$AA$26)*(1+Dashboard!$D$35),0)</f>
        <v>0</v>
      </c>
      <c r="AB550" s="109">
        <f>IF($BD550&gt;0,(((($BD550/Dashboard!$D$23)*(1+Precificação!$W$589))*(1+AB$28))+$AA$26)*(1+Dashboard!$D$35),0)</f>
        <v>0</v>
      </c>
      <c r="AC550" s="109">
        <f>IF($BD550&gt;0,(((($BD550/Dashboard!$D$23)*(1+Precificação!$W$589))*(1+AC$28))+$AA$26)*(1+Dashboard!$D$35),0)</f>
        <v>0</v>
      </c>
      <c r="AD550" s="109">
        <f>IF($BD550&gt;0,(((($BD550/Dashboard!$D$23)*(1+Precificação!$W$589))*(1+AD$28))+$AA$26)*(1+Dashboard!$D$35),0)</f>
        <v>0</v>
      </c>
      <c r="AF550" s="109">
        <f t="shared" si="485"/>
        <v>0</v>
      </c>
      <c r="AG550" s="109">
        <f t="shared" si="486"/>
        <v>0</v>
      </c>
      <c r="AH550" s="109">
        <f t="shared" si="487"/>
        <v>0</v>
      </c>
      <c r="AI550" s="109">
        <f t="shared" si="488"/>
        <v>0</v>
      </c>
      <c r="AL550" s="109">
        <f>IF($BD550&gt;0,(((($BD550/Dashboard!$D$23)*(1+Precificação!$W$589)))+$AL$26)*(1+Dashboard!$D$35),0)</f>
        <v>0</v>
      </c>
      <c r="AM550" s="109">
        <f>IF($BD550&gt;0,(((($BD550/Dashboard!$D$23)*(1+Precificação!$W$589))*(1+AM$28))+$AA$26)*(1+Dashboard!$D$35),0)</f>
        <v>0</v>
      </c>
      <c r="AN550" s="109">
        <f>IF($BD550&gt;0,(((($BD550/Dashboard!$D$23)*(1+Precificação!$W$589))*(1+AN$28))+$AA$26)*(1+Dashboard!$D$35),0)</f>
        <v>0</v>
      </c>
      <c r="AO550" s="109">
        <f>IF($BD550&gt;0,(((($BD550/Dashboard!$D$23)*(1+Precificação!$W$589))*(1+AO$28))+$AA$26)*(1+Dashboard!$D$35),0)</f>
        <v>0</v>
      </c>
      <c r="AQ550" s="109">
        <f t="shared" si="489"/>
        <v>0</v>
      </c>
      <c r="AR550" s="109">
        <f t="shared" si="490"/>
        <v>0</v>
      </c>
      <c r="AS550" s="109">
        <f t="shared" si="491"/>
        <v>0</v>
      </c>
      <c r="AT550" s="109">
        <f t="shared" si="492"/>
        <v>0</v>
      </c>
      <c r="AW550" s="144">
        <f>VLOOKUP(B550,'Cronog. e Histog.'!$B$698:$BT$747,71,0)</f>
        <v>0</v>
      </c>
      <c r="AX550" s="144">
        <f>VLOOKUP(B550,'Cronog. e Histog.'!$B$698:$BU$747,72,0)</f>
        <v>0</v>
      </c>
      <c r="AY550" s="144">
        <f>$AW550*$AX550*Dashboard!$D$15</f>
        <v>0</v>
      </c>
      <c r="AZ550" s="144">
        <f>VLOOKUP(B550,Precificação!$B$96:$BM$587,54,0)</f>
        <v>0</v>
      </c>
      <c r="BA550" s="144">
        <f>VLOOKUP(B550,Precificação!$B$96:$BR$587,58,0)</f>
        <v>0</v>
      </c>
      <c r="BB550" s="144">
        <f>VLOOKUP(B550,Precificação!$B$96:$BW$587,62,0)</f>
        <v>0</v>
      </c>
      <c r="BC550" s="144">
        <f t="shared" si="493"/>
        <v>0</v>
      </c>
      <c r="BD550" s="109">
        <f>IFERROR(VLOOKUP(B550,Precificação!$B$96:$S$587,13,0),0)</f>
        <v>0</v>
      </c>
      <c r="BE550" s="109">
        <f>IFERROR(VLOOKUP(B550,Precificação!$B$96:$U$587,15,0)/(Precificação!$U$4+Precificação!$U$91+Precificação!$U$535),0)*Dashboard!$T$3</f>
        <v>0</v>
      </c>
    </row>
    <row r="551" spans="2:57" ht="12" hidden="1" customHeight="1" outlineLevel="1">
      <c r="B551" s="137" t="str">
        <f>Precificação!B549</f>
        <v/>
      </c>
      <c r="E551" s="143" t="str">
        <f>IF('Cronog. e Histog.'!F709&gt;0,'Cronog. e Histog.'!F709,"")</f>
        <v/>
      </c>
      <c r="G551" s="179">
        <f t="shared" si="470"/>
        <v>0</v>
      </c>
      <c r="H551" s="110"/>
      <c r="I551" s="78"/>
      <c r="J551" s="81">
        <f>IF(I551="horista",H551*Dashboard!$D$15,IF(OR(I551="Mensalista",I551="PJ"),H551,))</f>
        <v>0</v>
      </c>
      <c r="K551" s="81">
        <f>IF(I551="PJ",J551,ROUND(J551*(1+Dashboard!$D$22),2))</f>
        <v>0</v>
      </c>
      <c r="L551" s="77"/>
      <c r="M551" s="180"/>
      <c r="P551" s="109">
        <f>IF($BD551&gt;0,(((($BD551/Dashboard!$D$15)*(1+Precificação!$W$589)))+$P$26)*(1+Dashboard!$D$35),0)</f>
        <v>0</v>
      </c>
      <c r="Q551" s="109">
        <f>IF($BD551&gt;0,(((($BD551/Dashboard!$D$23)+(1+Precificação!$W$589))*(1+Q$28))+$P$26)*(1+Dashboard!$D$35),0)</f>
        <v>0</v>
      </c>
      <c r="R551" s="109">
        <f>IF($BD551&gt;0,(((($BD551/Dashboard!$D$23)+(1+Precificação!$W$589))*(1+R$28))+$P$26)*(1+Dashboard!$D$35),0)</f>
        <v>0</v>
      </c>
      <c r="S551" s="109">
        <f>IF($BD551&gt;0,(((($BD551/Dashboard!$D$23)+(1+Precificação!$W$589))*(1+S$28))+$P$26)*(1+Dashboard!$D$35),0)</f>
        <v>0</v>
      </c>
      <c r="U551" s="109">
        <f t="shared" si="481"/>
        <v>0</v>
      </c>
      <c r="V551" s="109">
        <f t="shared" si="482"/>
        <v>0</v>
      </c>
      <c r="W551" s="109">
        <f t="shared" si="483"/>
        <v>0</v>
      </c>
      <c r="X551" s="109">
        <f t="shared" si="484"/>
        <v>0</v>
      </c>
      <c r="AA551" s="109">
        <f>IF($BD551&gt;0,(((($BD551/Dashboard!$D$23)*(1+Precificação!$W$589)))+$AA$26)*(1+Dashboard!$D$35),0)</f>
        <v>0</v>
      </c>
      <c r="AB551" s="109">
        <f>IF($BD551&gt;0,(((($BD551/Dashboard!$D$23)*(1+Precificação!$W$589))*(1+AB$28))+$AA$26)*(1+Dashboard!$D$35),0)</f>
        <v>0</v>
      </c>
      <c r="AC551" s="109">
        <f>IF($BD551&gt;0,(((($BD551/Dashboard!$D$23)*(1+Precificação!$W$589))*(1+AC$28))+$AA$26)*(1+Dashboard!$D$35),0)</f>
        <v>0</v>
      </c>
      <c r="AD551" s="109">
        <f>IF($BD551&gt;0,(((($BD551/Dashboard!$D$23)*(1+Precificação!$W$589))*(1+AD$28))+$AA$26)*(1+Dashboard!$D$35),0)</f>
        <v>0</v>
      </c>
      <c r="AF551" s="109">
        <f t="shared" si="485"/>
        <v>0</v>
      </c>
      <c r="AG551" s="109">
        <f t="shared" si="486"/>
        <v>0</v>
      </c>
      <c r="AH551" s="109">
        <f t="shared" si="487"/>
        <v>0</v>
      </c>
      <c r="AI551" s="109">
        <f t="shared" si="488"/>
        <v>0</v>
      </c>
      <c r="AL551" s="109">
        <f>IF($BD551&gt;0,(((($BD551/Dashboard!$D$23)*(1+Precificação!$W$589)))+$AL$26)*(1+Dashboard!$D$35),0)</f>
        <v>0</v>
      </c>
      <c r="AM551" s="109">
        <f>IF($BD551&gt;0,(((($BD551/Dashboard!$D$23)*(1+Precificação!$W$589))*(1+AM$28))+$AA$26)*(1+Dashboard!$D$35),0)</f>
        <v>0</v>
      </c>
      <c r="AN551" s="109">
        <f>IF($BD551&gt;0,(((($BD551/Dashboard!$D$23)*(1+Precificação!$W$589))*(1+AN$28))+$AA$26)*(1+Dashboard!$D$35),0)</f>
        <v>0</v>
      </c>
      <c r="AO551" s="109">
        <f>IF($BD551&gt;0,(((($BD551/Dashboard!$D$23)*(1+Precificação!$W$589))*(1+AO$28))+$AA$26)*(1+Dashboard!$D$35),0)</f>
        <v>0</v>
      </c>
      <c r="AQ551" s="109">
        <f t="shared" si="489"/>
        <v>0</v>
      </c>
      <c r="AR551" s="109">
        <f t="shared" si="490"/>
        <v>0</v>
      </c>
      <c r="AS551" s="109">
        <f t="shared" si="491"/>
        <v>0</v>
      </c>
      <c r="AT551" s="109">
        <f t="shared" si="492"/>
        <v>0</v>
      </c>
      <c r="AW551" s="144">
        <f>VLOOKUP(B551,'Cronog. e Histog.'!$B$698:$BT$747,71,0)</f>
        <v>0</v>
      </c>
      <c r="AX551" s="144">
        <f>VLOOKUP(B551,'Cronog. e Histog.'!$B$698:$BU$747,72,0)</f>
        <v>0</v>
      </c>
      <c r="AY551" s="144">
        <f>$AW551*$AX551*Dashboard!$D$15</f>
        <v>0</v>
      </c>
      <c r="AZ551" s="144">
        <f>VLOOKUP(B551,Precificação!$B$96:$BM$587,54,0)</f>
        <v>0</v>
      </c>
      <c r="BA551" s="144">
        <f>VLOOKUP(B551,Precificação!$B$96:$BR$587,58,0)</f>
        <v>0</v>
      </c>
      <c r="BB551" s="144">
        <f>VLOOKUP(B551,Precificação!$B$96:$BW$587,62,0)</f>
        <v>0</v>
      </c>
      <c r="BC551" s="144">
        <f t="shared" si="493"/>
        <v>0</v>
      </c>
      <c r="BD551" s="109">
        <f>IFERROR(VLOOKUP(B551,Precificação!$B$96:$S$587,13,0),0)</f>
        <v>0</v>
      </c>
      <c r="BE551" s="109">
        <f>IFERROR(VLOOKUP(B551,Precificação!$B$96:$U$587,15,0)/(Precificação!$U$4+Precificação!$U$91+Precificação!$U$535),0)*Dashboard!$T$3</f>
        <v>0</v>
      </c>
    </row>
    <row r="552" spans="2:57" ht="12" hidden="1" customHeight="1" outlineLevel="1">
      <c r="B552" s="137" t="str">
        <f>Precificação!B550</f>
        <v/>
      </c>
      <c r="E552" s="143" t="str">
        <f>IF('Cronog. e Histog.'!F710&gt;0,'Cronog. e Histog.'!F710,"")</f>
        <v/>
      </c>
      <c r="G552" s="179">
        <f t="shared" si="470"/>
        <v>0</v>
      </c>
      <c r="H552" s="110"/>
      <c r="I552" s="78"/>
      <c r="J552" s="81">
        <f>IF(I552="horista",H552*Dashboard!$D$15,IF(OR(I552="Mensalista",I552="PJ"),H552,))</f>
        <v>0</v>
      </c>
      <c r="K552" s="81">
        <f>IF(I552="PJ",J552,ROUND(J552*(1+Dashboard!$D$22),2))</f>
        <v>0</v>
      </c>
      <c r="L552" s="77"/>
      <c r="M552" s="180"/>
      <c r="P552" s="109">
        <f>IF($BD552&gt;0,(((($BD552/Dashboard!$D$15)*(1+Precificação!$W$589)))+$P$26)*(1+Dashboard!$D$35),0)</f>
        <v>0</v>
      </c>
      <c r="Q552" s="109">
        <f>IF($BD552&gt;0,(((($BD552/Dashboard!$D$23)+(1+Precificação!$W$589))*(1+Q$28))+$P$26)*(1+Dashboard!$D$35),0)</f>
        <v>0</v>
      </c>
      <c r="R552" s="109">
        <f>IF($BD552&gt;0,(((($BD552/Dashboard!$D$23)+(1+Precificação!$W$589))*(1+R$28))+$P$26)*(1+Dashboard!$D$35),0)</f>
        <v>0</v>
      </c>
      <c r="S552" s="109">
        <f>IF($BD552&gt;0,(((($BD552/Dashboard!$D$23)+(1+Precificação!$W$589))*(1+S$28))+$P$26)*(1+Dashboard!$D$35),0)</f>
        <v>0</v>
      </c>
      <c r="U552" s="109">
        <f t="shared" si="481"/>
        <v>0</v>
      </c>
      <c r="V552" s="109">
        <f t="shared" si="482"/>
        <v>0</v>
      </c>
      <c r="W552" s="109">
        <f t="shared" si="483"/>
        <v>0</v>
      </c>
      <c r="X552" s="109">
        <f t="shared" si="484"/>
        <v>0</v>
      </c>
      <c r="AA552" s="109">
        <f>IF($BD552&gt;0,(((($BD552/Dashboard!$D$23)*(1+Precificação!$W$589)))+$AA$26)*(1+Dashboard!$D$35),0)</f>
        <v>0</v>
      </c>
      <c r="AB552" s="109">
        <f>IF($BD552&gt;0,(((($BD552/Dashboard!$D$23)*(1+Precificação!$W$589))*(1+AB$28))+$AA$26)*(1+Dashboard!$D$35),0)</f>
        <v>0</v>
      </c>
      <c r="AC552" s="109">
        <f>IF($BD552&gt;0,(((($BD552/Dashboard!$D$23)*(1+Precificação!$W$589))*(1+AC$28))+$AA$26)*(1+Dashboard!$D$35),0)</f>
        <v>0</v>
      </c>
      <c r="AD552" s="109">
        <f>IF($BD552&gt;0,(((($BD552/Dashboard!$D$23)*(1+Precificação!$W$589))*(1+AD$28))+$AA$26)*(1+Dashboard!$D$35),0)</f>
        <v>0</v>
      </c>
      <c r="AF552" s="109">
        <f t="shared" si="485"/>
        <v>0</v>
      </c>
      <c r="AG552" s="109">
        <f t="shared" si="486"/>
        <v>0</v>
      </c>
      <c r="AH552" s="109">
        <f t="shared" si="487"/>
        <v>0</v>
      </c>
      <c r="AI552" s="109">
        <f t="shared" si="488"/>
        <v>0</v>
      </c>
      <c r="AL552" s="109">
        <f>IF($BD552&gt;0,(((($BD552/Dashboard!$D$23)*(1+Precificação!$W$589)))+$AL$26)*(1+Dashboard!$D$35),0)</f>
        <v>0</v>
      </c>
      <c r="AM552" s="109">
        <f>IF($BD552&gt;0,(((($BD552/Dashboard!$D$23)*(1+Precificação!$W$589))*(1+AM$28))+$AA$26)*(1+Dashboard!$D$35),0)</f>
        <v>0</v>
      </c>
      <c r="AN552" s="109">
        <f>IF($BD552&gt;0,(((($BD552/Dashboard!$D$23)*(1+Precificação!$W$589))*(1+AN$28))+$AA$26)*(1+Dashboard!$D$35),0)</f>
        <v>0</v>
      </c>
      <c r="AO552" s="109">
        <f>IF($BD552&gt;0,(((($BD552/Dashboard!$D$23)*(1+Precificação!$W$589))*(1+AO$28))+$AA$26)*(1+Dashboard!$D$35),0)</f>
        <v>0</v>
      </c>
      <c r="AQ552" s="109">
        <f t="shared" si="489"/>
        <v>0</v>
      </c>
      <c r="AR552" s="109">
        <f t="shared" si="490"/>
        <v>0</v>
      </c>
      <c r="AS552" s="109">
        <f t="shared" si="491"/>
        <v>0</v>
      </c>
      <c r="AT552" s="109">
        <f t="shared" si="492"/>
        <v>0</v>
      </c>
      <c r="AW552" s="144">
        <f>VLOOKUP(B552,'Cronog. e Histog.'!$B$698:$BT$747,71,0)</f>
        <v>0</v>
      </c>
      <c r="AX552" s="144">
        <f>VLOOKUP(B552,'Cronog. e Histog.'!$B$698:$BU$747,72,0)</f>
        <v>0</v>
      </c>
      <c r="AY552" s="144">
        <f>$AW552*$AX552*Dashboard!$D$15</f>
        <v>0</v>
      </c>
      <c r="AZ552" s="144">
        <f>VLOOKUP(B552,Precificação!$B$96:$BM$587,54,0)</f>
        <v>0</v>
      </c>
      <c r="BA552" s="144">
        <f>VLOOKUP(B552,Precificação!$B$96:$BR$587,58,0)</f>
        <v>0</v>
      </c>
      <c r="BB552" s="144">
        <f>VLOOKUP(B552,Precificação!$B$96:$BW$587,62,0)</f>
        <v>0</v>
      </c>
      <c r="BC552" s="144">
        <f t="shared" si="493"/>
        <v>0</v>
      </c>
      <c r="BD552" s="109">
        <f>IFERROR(VLOOKUP(B552,Precificação!$B$96:$S$587,13,0),0)</f>
        <v>0</v>
      </c>
      <c r="BE552" s="109">
        <f>IFERROR(VLOOKUP(B552,Precificação!$B$96:$U$587,15,0)/(Precificação!$U$4+Precificação!$U$91+Precificação!$U$535),0)*Dashboard!$T$3</f>
        <v>0</v>
      </c>
    </row>
    <row r="553" spans="2:57" ht="12" hidden="1" customHeight="1" outlineLevel="1">
      <c r="B553" s="137" t="str">
        <f>Precificação!B551</f>
        <v/>
      </c>
      <c r="E553" s="143" t="str">
        <f>IF('Cronog. e Histog.'!F711&gt;0,'Cronog. e Histog.'!F711,"")</f>
        <v/>
      </c>
      <c r="G553" s="179">
        <f t="shared" si="470"/>
        <v>0</v>
      </c>
      <c r="H553" s="110"/>
      <c r="I553" s="78"/>
      <c r="J553" s="81">
        <f>IF(I553="horista",H553*Dashboard!$D$15,IF(OR(I553="Mensalista",I553="PJ"),H553,))</f>
        <v>0</v>
      </c>
      <c r="K553" s="81">
        <f>IF(I553="PJ",J553,ROUND(J553*(1+Dashboard!$D$22),2))</f>
        <v>0</v>
      </c>
      <c r="L553" s="77"/>
      <c r="M553" s="180"/>
      <c r="P553" s="109">
        <f>IF($BD553&gt;0,(((($BD553/Dashboard!$D$15)*(1+Precificação!$W$589)))+$P$26)*(1+Dashboard!$D$35),0)</f>
        <v>0</v>
      </c>
      <c r="Q553" s="109">
        <f>IF($BD553&gt;0,(((($BD553/Dashboard!$D$23)+(1+Precificação!$W$589))*(1+Q$28))+$P$26)*(1+Dashboard!$D$35),0)</f>
        <v>0</v>
      </c>
      <c r="R553" s="109">
        <f>IF($BD553&gt;0,(((($BD553/Dashboard!$D$23)+(1+Precificação!$W$589))*(1+R$28))+$P$26)*(1+Dashboard!$D$35),0)</f>
        <v>0</v>
      </c>
      <c r="S553" s="109">
        <f>IF($BD553&gt;0,(((($BD553/Dashboard!$D$23)+(1+Precificação!$W$589))*(1+S$28))+$P$26)*(1+Dashboard!$D$35),0)</f>
        <v>0</v>
      </c>
      <c r="U553" s="109">
        <f t="shared" si="481"/>
        <v>0</v>
      </c>
      <c r="V553" s="109">
        <f t="shared" si="482"/>
        <v>0</v>
      </c>
      <c r="W553" s="109">
        <f t="shared" si="483"/>
        <v>0</v>
      </c>
      <c r="X553" s="109">
        <f t="shared" si="484"/>
        <v>0</v>
      </c>
      <c r="AA553" s="109">
        <f>IF($BD553&gt;0,(((($BD553/Dashboard!$D$23)*(1+Precificação!$W$589)))+$AA$26)*(1+Dashboard!$D$35),0)</f>
        <v>0</v>
      </c>
      <c r="AB553" s="109">
        <f>IF($BD553&gt;0,(((($BD553/Dashboard!$D$23)*(1+Precificação!$W$589))*(1+AB$28))+$AA$26)*(1+Dashboard!$D$35),0)</f>
        <v>0</v>
      </c>
      <c r="AC553" s="109">
        <f>IF($BD553&gt;0,(((($BD553/Dashboard!$D$23)*(1+Precificação!$W$589))*(1+AC$28))+$AA$26)*(1+Dashboard!$D$35),0)</f>
        <v>0</v>
      </c>
      <c r="AD553" s="109">
        <f>IF($BD553&gt;0,(((($BD553/Dashboard!$D$23)*(1+Precificação!$W$589))*(1+AD$28))+$AA$26)*(1+Dashboard!$D$35),0)</f>
        <v>0</v>
      </c>
      <c r="AF553" s="109">
        <f t="shared" si="485"/>
        <v>0</v>
      </c>
      <c r="AG553" s="109">
        <f t="shared" si="486"/>
        <v>0</v>
      </c>
      <c r="AH553" s="109">
        <f t="shared" si="487"/>
        <v>0</v>
      </c>
      <c r="AI553" s="109">
        <f t="shared" si="488"/>
        <v>0</v>
      </c>
      <c r="AL553" s="109">
        <f>IF($BD553&gt;0,(((($BD553/Dashboard!$D$23)*(1+Precificação!$W$589)))+$AL$26)*(1+Dashboard!$D$35),0)</f>
        <v>0</v>
      </c>
      <c r="AM553" s="109">
        <f>IF($BD553&gt;0,(((($BD553/Dashboard!$D$23)*(1+Precificação!$W$589))*(1+AM$28))+$AA$26)*(1+Dashboard!$D$35),0)</f>
        <v>0</v>
      </c>
      <c r="AN553" s="109">
        <f>IF($BD553&gt;0,(((($BD553/Dashboard!$D$23)*(1+Precificação!$W$589))*(1+AN$28))+$AA$26)*(1+Dashboard!$D$35),0)</f>
        <v>0</v>
      </c>
      <c r="AO553" s="109">
        <f>IF($BD553&gt;0,(((($BD553/Dashboard!$D$23)*(1+Precificação!$W$589))*(1+AO$28))+$AA$26)*(1+Dashboard!$D$35),0)</f>
        <v>0</v>
      </c>
      <c r="AQ553" s="109">
        <f t="shared" si="489"/>
        <v>0</v>
      </c>
      <c r="AR553" s="109">
        <f t="shared" si="490"/>
        <v>0</v>
      </c>
      <c r="AS553" s="109">
        <f t="shared" si="491"/>
        <v>0</v>
      </c>
      <c r="AT553" s="109">
        <f t="shared" si="492"/>
        <v>0</v>
      </c>
      <c r="AW553" s="144">
        <f>VLOOKUP(B553,'Cronog. e Histog.'!$B$698:$BT$747,71,0)</f>
        <v>0</v>
      </c>
      <c r="AX553" s="144">
        <f>VLOOKUP(B553,'Cronog. e Histog.'!$B$698:$BU$747,72,0)</f>
        <v>0</v>
      </c>
      <c r="AY553" s="144">
        <f>$AW553*$AX553*Dashboard!$D$15</f>
        <v>0</v>
      </c>
      <c r="AZ553" s="144">
        <f>VLOOKUP(B553,Precificação!$B$96:$BM$587,54,0)</f>
        <v>0</v>
      </c>
      <c r="BA553" s="144">
        <f>VLOOKUP(B553,Precificação!$B$96:$BR$587,58,0)</f>
        <v>0</v>
      </c>
      <c r="BB553" s="144">
        <f>VLOOKUP(B553,Precificação!$B$96:$BW$587,62,0)</f>
        <v>0</v>
      </c>
      <c r="BC553" s="144">
        <f t="shared" si="493"/>
        <v>0</v>
      </c>
      <c r="BD553" s="109">
        <f>IFERROR(VLOOKUP(B553,Precificação!$B$96:$S$587,13,0),0)</f>
        <v>0</v>
      </c>
      <c r="BE553" s="109">
        <f>IFERROR(VLOOKUP(B553,Precificação!$B$96:$U$587,15,0)/(Precificação!$U$4+Precificação!$U$91+Precificação!$U$535),0)*Dashboard!$T$3</f>
        <v>0</v>
      </c>
    </row>
    <row r="554" spans="2:57" ht="12" hidden="1" customHeight="1" outlineLevel="1">
      <c r="B554" s="137" t="str">
        <f>Precificação!B552</f>
        <v/>
      </c>
      <c r="E554" s="143" t="str">
        <f>IF('Cronog. e Histog.'!F712&gt;0,'Cronog. e Histog.'!F712,"")</f>
        <v/>
      </c>
      <c r="G554" s="179">
        <f t="shared" si="470"/>
        <v>0</v>
      </c>
      <c r="H554" s="110"/>
      <c r="I554" s="78"/>
      <c r="J554" s="81">
        <f>IF(I554="horista",H554*Dashboard!$D$15,IF(OR(I554="Mensalista",I554="PJ"),H554,))</f>
        <v>0</v>
      </c>
      <c r="K554" s="81">
        <f>IF(I554="PJ",J554,ROUND(J554*(1+Dashboard!$D$22),2))</f>
        <v>0</v>
      </c>
      <c r="L554" s="77"/>
      <c r="M554" s="180"/>
      <c r="P554" s="109">
        <f>IF($BD554&gt;0,(((($BD554/Dashboard!$D$15)*(1+Precificação!$W$589)))+$P$26)*(1+Dashboard!$D$35),0)</f>
        <v>0</v>
      </c>
      <c r="Q554" s="109">
        <f>IF($BD554&gt;0,(((($BD554/Dashboard!$D$23)+(1+Precificação!$W$589))*(1+Q$28))+$P$26)*(1+Dashboard!$D$35),0)</f>
        <v>0</v>
      </c>
      <c r="R554" s="109">
        <f>IF($BD554&gt;0,(((($BD554/Dashboard!$D$23)+(1+Precificação!$W$589))*(1+R$28))+$P$26)*(1+Dashboard!$D$35),0)</f>
        <v>0</v>
      </c>
      <c r="S554" s="109">
        <f>IF($BD554&gt;0,(((($BD554/Dashboard!$D$23)+(1+Precificação!$W$589))*(1+S$28))+$P$26)*(1+Dashboard!$D$35),0)</f>
        <v>0</v>
      </c>
      <c r="U554" s="109">
        <f t="shared" si="481"/>
        <v>0</v>
      </c>
      <c r="V554" s="109">
        <f t="shared" si="482"/>
        <v>0</v>
      </c>
      <c r="W554" s="109">
        <f t="shared" si="483"/>
        <v>0</v>
      </c>
      <c r="X554" s="109">
        <f t="shared" si="484"/>
        <v>0</v>
      </c>
      <c r="AA554" s="109">
        <f>IF($BD554&gt;0,(((($BD554/Dashboard!$D$23)*(1+Precificação!$W$589)))+$AA$26)*(1+Dashboard!$D$35),0)</f>
        <v>0</v>
      </c>
      <c r="AB554" s="109">
        <f>IF($BD554&gt;0,(((($BD554/Dashboard!$D$23)*(1+Precificação!$W$589))*(1+AB$28))+$AA$26)*(1+Dashboard!$D$35),0)</f>
        <v>0</v>
      </c>
      <c r="AC554" s="109">
        <f>IF($BD554&gt;0,(((($BD554/Dashboard!$D$23)*(1+Precificação!$W$589))*(1+AC$28))+$AA$26)*(1+Dashboard!$D$35),0)</f>
        <v>0</v>
      </c>
      <c r="AD554" s="109">
        <f>IF($BD554&gt;0,(((($BD554/Dashboard!$D$23)*(1+Precificação!$W$589))*(1+AD$28))+$AA$26)*(1+Dashboard!$D$35),0)</f>
        <v>0</v>
      </c>
      <c r="AF554" s="109">
        <f t="shared" si="485"/>
        <v>0</v>
      </c>
      <c r="AG554" s="109">
        <f t="shared" si="486"/>
        <v>0</v>
      </c>
      <c r="AH554" s="109">
        <f t="shared" si="487"/>
        <v>0</v>
      </c>
      <c r="AI554" s="109">
        <f t="shared" si="488"/>
        <v>0</v>
      </c>
      <c r="AL554" s="109">
        <f>IF($BD554&gt;0,(((($BD554/Dashboard!$D$23)*(1+Precificação!$W$589)))+$AL$26)*(1+Dashboard!$D$35),0)</f>
        <v>0</v>
      </c>
      <c r="AM554" s="109">
        <f>IF($BD554&gt;0,(((($BD554/Dashboard!$D$23)*(1+Precificação!$W$589))*(1+AM$28))+$AA$26)*(1+Dashboard!$D$35),0)</f>
        <v>0</v>
      </c>
      <c r="AN554" s="109">
        <f>IF($BD554&gt;0,(((($BD554/Dashboard!$D$23)*(1+Precificação!$W$589))*(1+AN$28))+$AA$26)*(1+Dashboard!$D$35),0)</f>
        <v>0</v>
      </c>
      <c r="AO554" s="109">
        <f>IF($BD554&gt;0,(((($BD554/Dashboard!$D$23)*(1+Precificação!$W$589))*(1+AO$28))+$AA$26)*(1+Dashboard!$D$35),0)</f>
        <v>0</v>
      </c>
      <c r="AQ554" s="109">
        <f t="shared" si="489"/>
        <v>0</v>
      </c>
      <c r="AR554" s="109">
        <f t="shared" si="490"/>
        <v>0</v>
      </c>
      <c r="AS554" s="109">
        <f t="shared" si="491"/>
        <v>0</v>
      </c>
      <c r="AT554" s="109">
        <f t="shared" si="492"/>
        <v>0</v>
      </c>
      <c r="AW554" s="144">
        <f>VLOOKUP(B554,'Cronog. e Histog.'!$B$698:$BT$747,71,0)</f>
        <v>0</v>
      </c>
      <c r="AX554" s="144">
        <f>VLOOKUP(B554,'Cronog. e Histog.'!$B$698:$BU$747,72,0)</f>
        <v>0</v>
      </c>
      <c r="AY554" s="144">
        <f>$AW554*$AX554*Dashboard!$D$15</f>
        <v>0</v>
      </c>
      <c r="AZ554" s="144">
        <f>VLOOKUP(B554,Precificação!$B$96:$BM$587,54,0)</f>
        <v>0</v>
      </c>
      <c r="BA554" s="144">
        <f>VLOOKUP(B554,Precificação!$B$96:$BR$587,58,0)</f>
        <v>0</v>
      </c>
      <c r="BB554" s="144">
        <f>VLOOKUP(B554,Precificação!$B$96:$BW$587,62,0)</f>
        <v>0</v>
      </c>
      <c r="BC554" s="144">
        <f t="shared" si="493"/>
        <v>0</v>
      </c>
      <c r="BD554" s="109">
        <f>IFERROR(VLOOKUP(B554,Precificação!$B$96:$S$587,13,0),0)</f>
        <v>0</v>
      </c>
      <c r="BE554" s="109">
        <f>IFERROR(VLOOKUP(B554,Precificação!$B$96:$U$587,15,0)/(Precificação!$U$4+Precificação!$U$91+Precificação!$U$535),0)*Dashboard!$T$3</f>
        <v>0</v>
      </c>
    </row>
    <row r="555" spans="2:57" ht="12" hidden="1" customHeight="1" outlineLevel="1">
      <c r="B555" s="137" t="str">
        <f>Precificação!B553</f>
        <v/>
      </c>
      <c r="E555" s="143" t="str">
        <f>IF('Cronog. e Histog.'!F713&gt;0,'Cronog. e Histog.'!F713,"")</f>
        <v/>
      </c>
      <c r="G555" s="179">
        <f t="shared" si="470"/>
        <v>0</v>
      </c>
      <c r="H555" s="110"/>
      <c r="I555" s="78"/>
      <c r="J555" s="81">
        <f>IF(I555="horista",H555*Dashboard!$D$15,IF(OR(I555="Mensalista",I555="PJ"),H555,))</f>
        <v>0</v>
      </c>
      <c r="K555" s="81">
        <f>IF(I555="PJ",J555,ROUND(J555*(1+Dashboard!$D$22),2))</f>
        <v>0</v>
      </c>
      <c r="L555" s="77"/>
      <c r="M555" s="180"/>
      <c r="P555" s="109">
        <f>IF($BD555&gt;0,(((($BD555/Dashboard!$D$15)*(1+Precificação!$W$589)))+$P$26)*(1+Dashboard!$D$35),0)</f>
        <v>0</v>
      </c>
      <c r="Q555" s="109">
        <f>IF($BD555&gt;0,(((($BD555/Dashboard!$D$23)+(1+Precificação!$W$589))*(1+Q$28))+$P$26)*(1+Dashboard!$D$35),0)</f>
        <v>0</v>
      </c>
      <c r="R555" s="109">
        <f>IF($BD555&gt;0,(((($BD555/Dashboard!$D$23)+(1+Precificação!$W$589))*(1+R$28))+$P$26)*(1+Dashboard!$D$35),0)</f>
        <v>0</v>
      </c>
      <c r="S555" s="109">
        <f>IF($BD555&gt;0,(((($BD555/Dashboard!$D$23)+(1+Precificação!$W$589))*(1+S$28))+$P$26)*(1+Dashboard!$D$35),0)</f>
        <v>0</v>
      </c>
      <c r="U555" s="109">
        <f t="shared" si="481"/>
        <v>0</v>
      </c>
      <c r="V555" s="109">
        <f t="shared" si="482"/>
        <v>0</v>
      </c>
      <c r="W555" s="109">
        <f t="shared" si="483"/>
        <v>0</v>
      </c>
      <c r="X555" s="109">
        <f t="shared" si="484"/>
        <v>0</v>
      </c>
      <c r="AA555" s="109">
        <f>IF($BD555&gt;0,(((($BD555/Dashboard!$D$23)*(1+Precificação!$W$589)))+$AA$26)*(1+Dashboard!$D$35),0)</f>
        <v>0</v>
      </c>
      <c r="AB555" s="109">
        <f>IF($BD555&gt;0,(((($BD555/Dashboard!$D$23)*(1+Precificação!$W$589))*(1+AB$28))+$AA$26)*(1+Dashboard!$D$35),0)</f>
        <v>0</v>
      </c>
      <c r="AC555" s="109">
        <f>IF($BD555&gt;0,(((($BD555/Dashboard!$D$23)*(1+Precificação!$W$589))*(1+AC$28))+$AA$26)*(1+Dashboard!$D$35),0)</f>
        <v>0</v>
      </c>
      <c r="AD555" s="109">
        <f>IF($BD555&gt;0,(((($BD555/Dashboard!$D$23)*(1+Precificação!$W$589))*(1+AD$28))+$AA$26)*(1+Dashboard!$D$35),0)</f>
        <v>0</v>
      </c>
      <c r="AF555" s="109">
        <f t="shared" si="485"/>
        <v>0</v>
      </c>
      <c r="AG555" s="109">
        <f t="shared" si="486"/>
        <v>0</v>
      </c>
      <c r="AH555" s="109">
        <f t="shared" si="487"/>
        <v>0</v>
      </c>
      <c r="AI555" s="109">
        <f t="shared" si="488"/>
        <v>0</v>
      </c>
      <c r="AL555" s="109">
        <f>IF($BD555&gt;0,(((($BD555/Dashboard!$D$23)*(1+Precificação!$W$589)))+$AL$26)*(1+Dashboard!$D$35),0)</f>
        <v>0</v>
      </c>
      <c r="AM555" s="109">
        <f>IF($BD555&gt;0,(((($BD555/Dashboard!$D$23)*(1+Precificação!$W$589))*(1+AM$28))+$AA$26)*(1+Dashboard!$D$35),0)</f>
        <v>0</v>
      </c>
      <c r="AN555" s="109">
        <f>IF($BD555&gt;0,(((($BD555/Dashboard!$D$23)*(1+Precificação!$W$589))*(1+AN$28))+$AA$26)*(1+Dashboard!$D$35),0)</f>
        <v>0</v>
      </c>
      <c r="AO555" s="109">
        <f>IF($BD555&gt;0,(((($BD555/Dashboard!$D$23)*(1+Precificação!$W$589))*(1+AO$28))+$AA$26)*(1+Dashboard!$D$35),0)</f>
        <v>0</v>
      </c>
      <c r="AQ555" s="109">
        <f t="shared" si="489"/>
        <v>0</v>
      </c>
      <c r="AR555" s="109">
        <f t="shared" si="490"/>
        <v>0</v>
      </c>
      <c r="AS555" s="109">
        <f t="shared" si="491"/>
        <v>0</v>
      </c>
      <c r="AT555" s="109">
        <f t="shared" si="492"/>
        <v>0</v>
      </c>
      <c r="AW555" s="144">
        <f>VLOOKUP(B555,'Cronog. e Histog.'!$B$698:$BT$747,71,0)</f>
        <v>0</v>
      </c>
      <c r="AX555" s="144">
        <f>VLOOKUP(B555,'Cronog. e Histog.'!$B$698:$BU$747,72,0)</f>
        <v>0</v>
      </c>
      <c r="AY555" s="144">
        <f>$AW555*$AX555*Dashboard!$D$15</f>
        <v>0</v>
      </c>
      <c r="AZ555" s="144">
        <f>VLOOKUP(B555,Precificação!$B$96:$BM$587,54,0)</f>
        <v>0</v>
      </c>
      <c r="BA555" s="144">
        <f>VLOOKUP(B555,Precificação!$B$96:$BR$587,58,0)</f>
        <v>0</v>
      </c>
      <c r="BB555" s="144">
        <f>VLOOKUP(B555,Precificação!$B$96:$BW$587,62,0)</f>
        <v>0</v>
      </c>
      <c r="BC555" s="144">
        <f t="shared" si="493"/>
        <v>0</v>
      </c>
      <c r="BD555" s="109">
        <f>IFERROR(VLOOKUP(B555,Precificação!$B$96:$S$587,13,0),0)</f>
        <v>0</v>
      </c>
      <c r="BE555" s="109">
        <f>IFERROR(VLOOKUP(B555,Precificação!$B$96:$U$587,15,0)/(Precificação!$U$4+Precificação!$U$91+Precificação!$U$535),0)*Dashboard!$T$3</f>
        <v>0</v>
      </c>
    </row>
    <row r="556" spans="2:57" ht="12" hidden="1" customHeight="1" outlineLevel="1">
      <c r="B556" s="137" t="str">
        <f>Precificação!B554</f>
        <v/>
      </c>
      <c r="E556" s="143" t="str">
        <f>IF('Cronog. e Histog.'!F714&gt;0,'Cronog. e Histog.'!F714,"")</f>
        <v/>
      </c>
      <c r="G556" s="179">
        <f t="shared" si="470"/>
        <v>0</v>
      </c>
      <c r="H556" s="110"/>
      <c r="I556" s="78"/>
      <c r="J556" s="81">
        <f>IF(I556="horista",H556*Dashboard!$D$15,IF(OR(I556="Mensalista",I556="PJ"),H556,))</f>
        <v>0</v>
      </c>
      <c r="K556" s="81">
        <f>IF(I556="PJ",J556,ROUND(J556*(1+Dashboard!$D$22),2))</f>
        <v>0</v>
      </c>
      <c r="L556" s="77"/>
      <c r="M556" s="180"/>
      <c r="P556" s="109">
        <f>IF($BD556&gt;0,(((($BD556/Dashboard!$D$15)*(1+Precificação!$W$589)))+$P$26)*(1+Dashboard!$D$35),0)</f>
        <v>0</v>
      </c>
      <c r="Q556" s="109">
        <f>IF($BD556&gt;0,(((($BD556/Dashboard!$D$23)+(1+Precificação!$W$589))*(1+Q$28))+$P$26)*(1+Dashboard!$D$35),0)</f>
        <v>0</v>
      </c>
      <c r="R556" s="109">
        <f>IF($BD556&gt;0,(((($BD556/Dashboard!$D$23)+(1+Precificação!$W$589))*(1+R$28))+$P$26)*(1+Dashboard!$D$35),0)</f>
        <v>0</v>
      </c>
      <c r="S556" s="109">
        <f>IF($BD556&gt;0,(((($BD556/Dashboard!$D$23)+(1+Precificação!$W$589))*(1+S$28))+$P$26)*(1+Dashboard!$D$35),0)</f>
        <v>0</v>
      </c>
      <c r="U556" s="109">
        <f t="shared" si="481"/>
        <v>0</v>
      </c>
      <c r="V556" s="109">
        <f t="shared" si="482"/>
        <v>0</v>
      </c>
      <c r="W556" s="109">
        <f t="shared" si="483"/>
        <v>0</v>
      </c>
      <c r="X556" s="109">
        <f t="shared" si="484"/>
        <v>0</v>
      </c>
      <c r="AA556" s="109">
        <f>IF($BD556&gt;0,(((($BD556/Dashboard!$D$23)*(1+Precificação!$W$589)))+$AA$26)*(1+Dashboard!$D$35),0)</f>
        <v>0</v>
      </c>
      <c r="AB556" s="109">
        <f>IF($BD556&gt;0,(((($BD556/Dashboard!$D$23)*(1+Precificação!$W$589))*(1+AB$28))+$AA$26)*(1+Dashboard!$D$35),0)</f>
        <v>0</v>
      </c>
      <c r="AC556" s="109">
        <f>IF($BD556&gt;0,(((($BD556/Dashboard!$D$23)*(1+Precificação!$W$589))*(1+AC$28))+$AA$26)*(1+Dashboard!$D$35),0)</f>
        <v>0</v>
      </c>
      <c r="AD556" s="109">
        <f>IF($BD556&gt;0,(((($BD556/Dashboard!$D$23)*(1+Precificação!$W$589))*(1+AD$28))+$AA$26)*(1+Dashboard!$D$35),0)</f>
        <v>0</v>
      </c>
      <c r="AF556" s="109">
        <f t="shared" si="485"/>
        <v>0</v>
      </c>
      <c r="AG556" s="109">
        <f t="shared" si="486"/>
        <v>0</v>
      </c>
      <c r="AH556" s="109">
        <f t="shared" si="487"/>
        <v>0</v>
      </c>
      <c r="AI556" s="109">
        <f t="shared" si="488"/>
        <v>0</v>
      </c>
      <c r="AL556" s="109">
        <f>IF($BD556&gt;0,(((($BD556/Dashboard!$D$23)*(1+Precificação!$W$589)))+$AL$26)*(1+Dashboard!$D$35),0)</f>
        <v>0</v>
      </c>
      <c r="AM556" s="109">
        <f>IF($BD556&gt;0,(((($BD556/Dashboard!$D$23)*(1+Precificação!$W$589))*(1+AM$28))+$AA$26)*(1+Dashboard!$D$35),0)</f>
        <v>0</v>
      </c>
      <c r="AN556" s="109">
        <f>IF($BD556&gt;0,(((($BD556/Dashboard!$D$23)*(1+Precificação!$W$589))*(1+AN$28))+$AA$26)*(1+Dashboard!$D$35),0)</f>
        <v>0</v>
      </c>
      <c r="AO556" s="109">
        <f>IF($BD556&gt;0,(((($BD556/Dashboard!$D$23)*(1+Precificação!$W$589))*(1+AO$28))+$AA$26)*(1+Dashboard!$D$35),0)</f>
        <v>0</v>
      </c>
      <c r="AQ556" s="109">
        <f t="shared" si="489"/>
        <v>0</v>
      </c>
      <c r="AR556" s="109">
        <f t="shared" si="490"/>
        <v>0</v>
      </c>
      <c r="AS556" s="109">
        <f t="shared" si="491"/>
        <v>0</v>
      </c>
      <c r="AT556" s="109">
        <f t="shared" si="492"/>
        <v>0</v>
      </c>
      <c r="AW556" s="144">
        <f>VLOOKUP(B556,'Cronog. e Histog.'!$B$698:$BT$747,71,0)</f>
        <v>0</v>
      </c>
      <c r="AX556" s="144">
        <f>VLOOKUP(B556,'Cronog. e Histog.'!$B$698:$BU$747,72,0)</f>
        <v>0</v>
      </c>
      <c r="AY556" s="144">
        <f>$AW556*$AX556*Dashboard!$D$15</f>
        <v>0</v>
      </c>
      <c r="AZ556" s="144">
        <f>VLOOKUP(B556,Precificação!$B$96:$BM$587,54,0)</f>
        <v>0</v>
      </c>
      <c r="BA556" s="144">
        <f>VLOOKUP(B556,Precificação!$B$96:$BR$587,58,0)</f>
        <v>0</v>
      </c>
      <c r="BB556" s="144">
        <f>VLOOKUP(B556,Precificação!$B$96:$BW$587,62,0)</f>
        <v>0</v>
      </c>
      <c r="BC556" s="144">
        <f t="shared" si="493"/>
        <v>0</v>
      </c>
      <c r="BD556" s="109">
        <f>IFERROR(VLOOKUP(B556,Precificação!$B$96:$S$587,13,0),0)</f>
        <v>0</v>
      </c>
      <c r="BE556" s="109">
        <f>IFERROR(VLOOKUP(B556,Precificação!$B$96:$U$587,15,0)/(Precificação!$U$4+Precificação!$U$91+Precificação!$U$535),0)*Dashboard!$T$3</f>
        <v>0</v>
      </c>
    </row>
    <row r="557" spans="2:57" ht="12" hidden="1" customHeight="1" outlineLevel="1">
      <c r="B557" s="137" t="str">
        <f>Precificação!B555</f>
        <v/>
      </c>
      <c r="E557" s="143" t="str">
        <f>IF('Cronog. e Histog.'!F715&gt;0,'Cronog. e Histog.'!F715,"")</f>
        <v/>
      </c>
      <c r="G557" s="179">
        <f t="shared" si="470"/>
        <v>0</v>
      </c>
      <c r="H557" s="110"/>
      <c r="I557" s="78"/>
      <c r="J557" s="81">
        <f>IF(I557="horista",H557*Dashboard!$D$15,IF(OR(I557="Mensalista",I557="PJ"),H557,))</f>
        <v>0</v>
      </c>
      <c r="K557" s="81">
        <f>IF(I557="PJ",J557,ROUND(J557*(1+Dashboard!$D$22),2))</f>
        <v>0</v>
      </c>
      <c r="L557" s="77"/>
      <c r="M557" s="180"/>
      <c r="P557" s="109">
        <f>IF($BD557&gt;0,(((($BD557/Dashboard!$D$15)*(1+Precificação!$W$589)))+$P$26)*(1+Dashboard!$D$35),0)</f>
        <v>0</v>
      </c>
      <c r="Q557" s="109">
        <f>IF($BD557&gt;0,(((($BD557/Dashboard!$D$23)+(1+Precificação!$W$589))*(1+Q$28))+$P$26)*(1+Dashboard!$D$35),0)</f>
        <v>0</v>
      </c>
      <c r="R557" s="109">
        <f>IF($BD557&gt;0,(((($BD557/Dashboard!$D$23)+(1+Precificação!$W$589))*(1+R$28))+$P$26)*(1+Dashboard!$D$35),0)</f>
        <v>0</v>
      </c>
      <c r="S557" s="109">
        <f>IF($BD557&gt;0,(((($BD557/Dashboard!$D$23)+(1+Precificação!$W$589))*(1+S$28))+$P$26)*(1+Dashboard!$D$35),0)</f>
        <v>0</v>
      </c>
      <c r="U557" s="109">
        <f t="shared" si="481"/>
        <v>0</v>
      </c>
      <c r="V557" s="109">
        <f t="shared" si="482"/>
        <v>0</v>
      </c>
      <c r="W557" s="109">
        <f t="shared" si="483"/>
        <v>0</v>
      </c>
      <c r="X557" s="109">
        <f t="shared" si="484"/>
        <v>0</v>
      </c>
      <c r="AA557" s="109">
        <f>IF($BD557&gt;0,(((($BD557/Dashboard!$D$23)*(1+Precificação!$W$589)))+$AA$26)*(1+Dashboard!$D$35),0)</f>
        <v>0</v>
      </c>
      <c r="AB557" s="109">
        <f>IF($BD557&gt;0,(((($BD557/Dashboard!$D$23)*(1+Precificação!$W$589))*(1+AB$28))+$AA$26)*(1+Dashboard!$D$35),0)</f>
        <v>0</v>
      </c>
      <c r="AC557" s="109">
        <f>IF($BD557&gt;0,(((($BD557/Dashboard!$D$23)*(1+Precificação!$W$589))*(1+AC$28))+$AA$26)*(1+Dashboard!$D$35),0)</f>
        <v>0</v>
      </c>
      <c r="AD557" s="109">
        <f>IF($BD557&gt;0,(((($BD557/Dashboard!$D$23)*(1+Precificação!$W$589))*(1+AD$28))+$AA$26)*(1+Dashboard!$D$35),0)</f>
        <v>0</v>
      </c>
      <c r="AF557" s="109">
        <f t="shared" si="485"/>
        <v>0</v>
      </c>
      <c r="AG557" s="109">
        <f t="shared" si="486"/>
        <v>0</v>
      </c>
      <c r="AH557" s="109">
        <f t="shared" si="487"/>
        <v>0</v>
      </c>
      <c r="AI557" s="109">
        <f t="shared" si="488"/>
        <v>0</v>
      </c>
      <c r="AL557" s="109">
        <f>IF($BD557&gt;0,(((($BD557/Dashboard!$D$23)*(1+Precificação!$W$589)))+$AL$26)*(1+Dashboard!$D$35),0)</f>
        <v>0</v>
      </c>
      <c r="AM557" s="109">
        <f>IF($BD557&gt;0,(((($BD557/Dashboard!$D$23)*(1+Precificação!$W$589))*(1+AM$28))+$AA$26)*(1+Dashboard!$D$35),0)</f>
        <v>0</v>
      </c>
      <c r="AN557" s="109">
        <f>IF($BD557&gt;0,(((($BD557/Dashboard!$D$23)*(1+Precificação!$W$589))*(1+AN$28))+$AA$26)*(1+Dashboard!$D$35),0)</f>
        <v>0</v>
      </c>
      <c r="AO557" s="109">
        <f>IF($BD557&gt;0,(((($BD557/Dashboard!$D$23)*(1+Precificação!$W$589))*(1+AO$28))+$AA$26)*(1+Dashboard!$D$35),0)</f>
        <v>0</v>
      </c>
      <c r="AQ557" s="109">
        <f t="shared" si="489"/>
        <v>0</v>
      </c>
      <c r="AR557" s="109">
        <f t="shared" si="490"/>
        <v>0</v>
      </c>
      <c r="AS557" s="109">
        <f t="shared" si="491"/>
        <v>0</v>
      </c>
      <c r="AT557" s="109">
        <f t="shared" si="492"/>
        <v>0</v>
      </c>
      <c r="AW557" s="144">
        <f>VLOOKUP(B557,'Cronog. e Histog.'!$B$698:$BT$747,71,0)</f>
        <v>0</v>
      </c>
      <c r="AX557" s="144">
        <f>VLOOKUP(B557,'Cronog. e Histog.'!$B$698:$BU$747,72,0)</f>
        <v>0</v>
      </c>
      <c r="AY557" s="144">
        <f>$AW557*$AX557*Dashboard!$D$15</f>
        <v>0</v>
      </c>
      <c r="AZ557" s="144">
        <f>VLOOKUP(B557,Precificação!$B$96:$BM$587,54,0)</f>
        <v>0</v>
      </c>
      <c r="BA557" s="144">
        <f>VLOOKUP(B557,Precificação!$B$96:$BR$587,58,0)</f>
        <v>0</v>
      </c>
      <c r="BB557" s="144">
        <f>VLOOKUP(B557,Precificação!$B$96:$BW$587,62,0)</f>
        <v>0</v>
      </c>
      <c r="BC557" s="144">
        <f t="shared" si="493"/>
        <v>0</v>
      </c>
      <c r="BD557" s="109">
        <f>IFERROR(VLOOKUP(B557,Precificação!$B$96:$S$587,13,0),0)</f>
        <v>0</v>
      </c>
      <c r="BE557" s="109">
        <f>IFERROR(VLOOKUP(B557,Precificação!$B$96:$U$587,15,0)/(Precificação!$U$4+Precificação!$U$91+Precificação!$U$535),0)*Dashboard!$T$3</f>
        <v>0</v>
      </c>
    </row>
    <row r="558" spans="2:57" ht="12" hidden="1" customHeight="1" outlineLevel="1">
      <c r="B558" s="137" t="str">
        <f>Precificação!B556</f>
        <v/>
      </c>
      <c r="E558" s="143" t="str">
        <f>IF('Cronog. e Histog.'!F716&gt;0,'Cronog. e Histog.'!F716,"")</f>
        <v/>
      </c>
      <c r="G558" s="179">
        <f t="shared" si="470"/>
        <v>0</v>
      </c>
      <c r="H558" s="110"/>
      <c r="I558" s="78"/>
      <c r="J558" s="81">
        <f>IF(I558="horista",H558*Dashboard!$D$15,IF(OR(I558="Mensalista",I558="PJ"),H558,))</f>
        <v>0</v>
      </c>
      <c r="K558" s="81">
        <f>IF(I558="PJ",J558,ROUND(J558*(1+Dashboard!$D$22),2))</f>
        <v>0</v>
      </c>
      <c r="L558" s="77"/>
      <c r="M558" s="180"/>
      <c r="P558" s="109">
        <f>IF($BD558&gt;0,(((($BD558/Dashboard!$D$15)*(1+Precificação!$W$589)))+$P$26)*(1+Dashboard!$D$35),0)</f>
        <v>0</v>
      </c>
      <c r="Q558" s="109">
        <f>IF($BD558&gt;0,(((($BD558/Dashboard!$D$23)+(1+Precificação!$W$589))*(1+Q$28))+$P$26)*(1+Dashboard!$D$35),0)</f>
        <v>0</v>
      </c>
      <c r="R558" s="109">
        <f>IF($BD558&gt;0,(((($BD558/Dashboard!$D$23)+(1+Precificação!$W$589))*(1+R$28))+$P$26)*(1+Dashboard!$D$35),0)</f>
        <v>0</v>
      </c>
      <c r="S558" s="109">
        <f>IF($BD558&gt;0,(((($BD558/Dashboard!$D$23)+(1+Precificação!$W$589))*(1+S$28))+$P$26)*(1+Dashboard!$D$35),0)</f>
        <v>0</v>
      </c>
      <c r="U558" s="109">
        <f t="shared" si="481"/>
        <v>0</v>
      </c>
      <c r="V558" s="109">
        <f t="shared" si="482"/>
        <v>0</v>
      </c>
      <c r="W558" s="109">
        <f t="shared" si="483"/>
        <v>0</v>
      </c>
      <c r="X558" s="109">
        <f t="shared" si="484"/>
        <v>0</v>
      </c>
      <c r="AA558" s="109">
        <f>IF($BD558&gt;0,(((($BD558/Dashboard!$D$23)*(1+Precificação!$W$589)))+$AA$26)*(1+Dashboard!$D$35),0)</f>
        <v>0</v>
      </c>
      <c r="AB558" s="109">
        <f>IF($BD558&gt;0,(((($BD558/Dashboard!$D$23)*(1+Precificação!$W$589))*(1+AB$28))+$AA$26)*(1+Dashboard!$D$35),0)</f>
        <v>0</v>
      </c>
      <c r="AC558" s="109">
        <f>IF($BD558&gt;0,(((($BD558/Dashboard!$D$23)*(1+Precificação!$W$589))*(1+AC$28))+$AA$26)*(1+Dashboard!$D$35),0)</f>
        <v>0</v>
      </c>
      <c r="AD558" s="109">
        <f>IF($BD558&gt;0,(((($BD558/Dashboard!$D$23)*(1+Precificação!$W$589))*(1+AD$28))+$AA$26)*(1+Dashboard!$D$35),0)</f>
        <v>0</v>
      </c>
      <c r="AF558" s="109">
        <f t="shared" si="485"/>
        <v>0</v>
      </c>
      <c r="AG558" s="109">
        <f t="shared" si="486"/>
        <v>0</v>
      </c>
      <c r="AH558" s="109">
        <f t="shared" si="487"/>
        <v>0</v>
      </c>
      <c r="AI558" s="109">
        <f t="shared" si="488"/>
        <v>0</v>
      </c>
      <c r="AL558" s="109">
        <f>IF($BD558&gt;0,(((($BD558/Dashboard!$D$23)*(1+Precificação!$W$589)))+$AL$26)*(1+Dashboard!$D$35),0)</f>
        <v>0</v>
      </c>
      <c r="AM558" s="109">
        <f>IF($BD558&gt;0,(((($BD558/Dashboard!$D$23)*(1+Precificação!$W$589))*(1+AM$28))+$AA$26)*(1+Dashboard!$D$35),0)</f>
        <v>0</v>
      </c>
      <c r="AN558" s="109">
        <f>IF($BD558&gt;0,(((($BD558/Dashboard!$D$23)*(1+Precificação!$W$589))*(1+AN$28))+$AA$26)*(1+Dashboard!$D$35),0)</f>
        <v>0</v>
      </c>
      <c r="AO558" s="109">
        <f>IF($BD558&gt;0,(((($BD558/Dashboard!$D$23)*(1+Precificação!$W$589))*(1+AO$28))+$AA$26)*(1+Dashboard!$D$35),0)</f>
        <v>0</v>
      </c>
      <c r="AQ558" s="109">
        <f t="shared" si="489"/>
        <v>0</v>
      </c>
      <c r="AR558" s="109">
        <f t="shared" si="490"/>
        <v>0</v>
      </c>
      <c r="AS558" s="109">
        <f t="shared" si="491"/>
        <v>0</v>
      </c>
      <c r="AT558" s="109">
        <f t="shared" si="492"/>
        <v>0</v>
      </c>
      <c r="AW558" s="144">
        <f>VLOOKUP(B558,'Cronog. e Histog.'!$B$698:$BT$747,71,0)</f>
        <v>0</v>
      </c>
      <c r="AX558" s="144">
        <f>VLOOKUP(B558,'Cronog. e Histog.'!$B$698:$BU$747,72,0)</f>
        <v>0</v>
      </c>
      <c r="AY558" s="144">
        <f>$AW558*$AX558*Dashboard!$D$15</f>
        <v>0</v>
      </c>
      <c r="AZ558" s="144">
        <f>VLOOKUP(B558,Precificação!$B$96:$BM$587,54,0)</f>
        <v>0</v>
      </c>
      <c r="BA558" s="144">
        <f>VLOOKUP(B558,Precificação!$B$96:$BR$587,58,0)</f>
        <v>0</v>
      </c>
      <c r="BB558" s="144">
        <f>VLOOKUP(B558,Precificação!$B$96:$BW$587,62,0)</f>
        <v>0</v>
      </c>
      <c r="BC558" s="144">
        <f t="shared" si="493"/>
        <v>0</v>
      </c>
      <c r="BD558" s="109">
        <f>IFERROR(VLOOKUP(B558,Precificação!$B$96:$S$587,13,0),0)</f>
        <v>0</v>
      </c>
      <c r="BE558" s="109">
        <f>IFERROR(VLOOKUP(B558,Precificação!$B$96:$U$587,15,0)/(Precificação!$U$4+Precificação!$U$91+Precificação!$U$535),0)*Dashboard!$T$3</f>
        <v>0</v>
      </c>
    </row>
    <row r="559" spans="2:57" ht="12" hidden="1" customHeight="1" outlineLevel="1">
      <c r="B559" s="137" t="str">
        <f>Precificação!B557</f>
        <v/>
      </c>
      <c r="E559" s="143" t="str">
        <f>IF('Cronog. e Histog.'!F717&gt;0,'Cronog. e Histog.'!F717,"")</f>
        <v/>
      </c>
      <c r="G559" s="179">
        <f t="shared" si="470"/>
        <v>0</v>
      </c>
      <c r="H559" s="110"/>
      <c r="I559" s="78"/>
      <c r="J559" s="81">
        <f>IF(I559="horista",H559*Dashboard!$D$15,IF(OR(I559="Mensalista",I559="PJ"),H559,))</f>
        <v>0</v>
      </c>
      <c r="K559" s="81">
        <f>IF(I559="PJ",J559,ROUND(J559*(1+Dashboard!$D$22),2))</f>
        <v>0</v>
      </c>
      <c r="L559" s="77"/>
      <c r="M559" s="180"/>
      <c r="P559" s="109">
        <f>IF($BD559&gt;0,(((($BD559/Dashboard!$D$15)*(1+Precificação!$W$589)))+$P$26)*(1+Dashboard!$D$35),0)</f>
        <v>0</v>
      </c>
      <c r="Q559" s="109">
        <f>IF($BD559&gt;0,(((($BD559/Dashboard!$D$23)+(1+Precificação!$W$589))*(1+Q$28))+$P$26)*(1+Dashboard!$D$35),0)</f>
        <v>0</v>
      </c>
      <c r="R559" s="109">
        <f>IF($BD559&gt;0,(((($BD559/Dashboard!$D$23)+(1+Precificação!$W$589))*(1+R$28))+$P$26)*(1+Dashboard!$D$35),0)</f>
        <v>0</v>
      </c>
      <c r="S559" s="109">
        <f>IF($BD559&gt;0,(((($BD559/Dashboard!$D$23)+(1+Precificação!$W$589))*(1+S$28))+$P$26)*(1+Dashboard!$D$35),0)</f>
        <v>0</v>
      </c>
      <c r="U559" s="109">
        <f t="shared" si="481"/>
        <v>0</v>
      </c>
      <c r="V559" s="109">
        <f t="shared" si="482"/>
        <v>0</v>
      </c>
      <c r="W559" s="109">
        <f t="shared" si="483"/>
        <v>0</v>
      </c>
      <c r="X559" s="109">
        <f t="shared" si="484"/>
        <v>0</v>
      </c>
      <c r="AA559" s="109">
        <f>IF($BD559&gt;0,(((($BD559/Dashboard!$D$23)*(1+Precificação!$W$589)))+$AA$26)*(1+Dashboard!$D$35),0)</f>
        <v>0</v>
      </c>
      <c r="AB559" s="109">
        <f>IF($BD559&gt;0,(((($BD559/Dashboard!$D$23)*(1+Precificação!$W$589))*(1+AB$28))+$AA$26)*(1+Dashboard!$D$35),0)</f>
        <v>0</v>
      </c>
      <c r="AC559" s="109">
        <f>IF($BD559&gt;0,(((($BD559/Dashboard!$D$23)*(1+Precificação!$W$589))*(1+AC$28))+$AA$26)*(1+Dashboard!$D$35),0)</f>
        <v>0</v>
      </c>
      <c r="AD559" s="109">
        <f>IF($BD559&gt;0,(((($BD559/Dashboard!$D$23)*(1+Precificação!$W$589))*(1+AD$28))+$AA$26)*(1+Dashboard!$D$35),0)</f>
        <v>0</v>
      </c>
      <c r="AF559" s="109">
        <f t="shared" si="485"/>
        <v>0</v>
      </c>
      <c r="AG559" s="109">
        <f t="shared" si="486"/>
        <v>0</v>
      </c>
      <c r="AH559" s="109">
        <f t="shared" si="487"/>
        <v>0</v>
      </c>
      <c r="AI559" s="109">
        <f t="shared" si="488"/>
        <v>0</v>
      </c>
      <c r="AL559" s="109">
        <f>IF($BD559&gt;0,(((($BD559/Dashboard!$D$23)*(1+Precificação!$W$589)))+$AL$26)*(1+Dashboard!$D$35),0)</f>
        <v>0</v>
      </c>
      <c r="AM559" s="109">
        <f>IF($BD559&gt;0,(((($BD559/Dashboard!$D$23)*(1+Precificação!$W$589))*(1+AM$28))+$AA$26)*(1+Dashboard!$D$35),0)</f>
        <v>0</v>
      </c>
      <c r="AN559" s="109">
        <f>IF($BD559&gt;0,(((($BD559/Dashboard!$D$23)*(1+Precificação!$W$589))*(1+AN$28))+$AA$26)*(1+Dashboard!$D$35),0)</f>
        <v>0</v>
      </c>
      <c r="AO559" s="109">
        <f>IF($BD559&gt;0,(((($BD559/Dashboard!$D$23)*(1+Precificação!$W$589))*(1+AO$28))+$AA$26)*(1+Dashboard!$D$35),0)</f>
        <v>0</v>
      </c>
      <c r="AQ559" s="109">
        <f t="shared" si="489"/>
        <v>0</v>
      </c>
      <c r="AR559" s="109">
        <f t="shared" si="490"/>
        <v>0</v>
      </c>
      <c r="AS559" s="109">
        <f t="shared" si="491"/>
        <v>0</v>
      </c>
      <c r="AT559" s="109">
        <f t="shared" si="492"/>
        <v>0</v>
      </c>
      <c r="AW559" s="144">
        <f>VLOOKUP(B559,'Cronog. e Histog.'!$B$698:$BT$747,71,0)</f>
        <v>0</v>
      </c>
      <c r="AX559" s="144">
        <f>VLOOKUP(B559,'Cronog. e Histog.'!$B$698:$BU$747,72,0)</f>
        <v>0</v>
      </c>
      <c r="AY559" s="144">
        <f>$AW559*$AX559*Dashboard!$D$15</f>
        <v>0</v>
      </c>
      <c r="AZ559" s="144">
        <f>VLOOKUP(B559,Precificação!$B$96:$BM$587,54,0)</f>
        <v>0</v>
      </c>
      <c r="BA559" s="144">
        <f>VLOOKUP(B559,Precificação!$B$96:$BR$587,58,0)</f>
        <v>0</v>
      </c>
      <c r="BB559" s="144">
        <f>VLOOKUP(B559,Precificação!$B$96:$BW$587,62,0)</f>
        <v>0</v>
      </c>
      <c r="BC559" s="144">
        <f t="shared" si="493"/>
        <v>0</v>
      </c>
      <c r="BD559" s="109">
        <f>IFERROR(VLOOKUP(B559,Precificação!$B$96:$S$587,13,0),0)</f>
        <v>0</v>
      </c>
      <c r="BE559" s="109">
        <f>IFERROR(VLOOKUP(B559,Precificação!$B$96:$U$587,15,0)/(Precificação!$U$4+Precificação!$U$91+Precificação!$U$535),0)*Dashboard!$T$3</f>
        <v>0</v>
      </c>
    </row>
    <row r="560" spans="2:57" ht="12" hidden="1" customHeight="1" outlineLevel="1">
      <c r="B560" s="137" t="str">
        <f>Precificação!B558</f>
        <v/>
      </c>
      <c r="E560" s="143" t="str">
        <f>IF('Cronog. e Histog.'!F718&gt;0,'Cronog. e Histog.'!F718,"")</f>
        <v/>
      </c>
      <c r="G560" s="179">
        <f t="shared" si="470"/>
        <v>0</v>
      </c>
      <c r="H560" s="110"/>
      <c r="I560" s="78"/>
      <c r="J560" s="81">
        <f>IF(I560="horista",H560*Dashboard!$D$15,IF(OR(I560="Mensalista",I560="PJ"),H560,))</f>
        <v>0</v>
      </c>
      <c r="K560" s="81">
        <f>IF(I560="PJ",J560,ROUND(J560*(1+Dashboard!$D$22),2))</f>
        <v>0</v>
      </c>
      <c r="L560" s="77"/>
      <c r="M560" s="180"/>
      <c r="P560" s="109">
        <f>IF($BD560&gt;0,(((($BD560/Dashboard!$D$15)*(1+Precificação!$W$589)))+$P$26)*(1+Dashboard!$D$35),0)</f>
        <v>0</v>
      </c>
      <c r="Q560" s="109">
        <f>IF($BD560&gt;0,(((($BD560/Dashboard!$D$23)+(1+Precificação!$W$589))*(1+Q$28))+$P$26)*(1+Dashboard!$D$35),0)</f>
        <v>0</v>
      </c>
      <c r="R560" s="109">
        <f>IF($BD560&gt;0,(((($BD560/Dashboard!$D$23)+(1+Precificação!$W$589))*(1+R$28))+$P$26)*(1+Dashboard!$D$35),0)</f>
        <v>0</v>
      </c>
      <c r="S560" s="109">
        <f>IF($BD560&gt;0,(((($BD560/Dashboard!$D$23)+(1+Precificação!$W$589))*(1+S$28))+$P$26)*(1+Dashboard!$D$35),0)</f>
        <v>0</v>
      </c>
      <c r="U560" s="109">
        <f t="shared" si="481"/>
        <v>0</v>
      </c>
      <c r="V560" s="109">
        <f t="shared" si="482"/>
        <v>0</v>
      </c>
      <c r="W560" s="109">
        <f t="shared" si="483"/>
        <v>0</v>
      </c>
      <c r="X560" s="109">
        <f t="shared" si="484"/>
        <v>0</v>
      </c>
      <c r="AA560" s="109">
        <f>IF($BD560&gt;0,(((($BD560/Dashboard!$D$23)*(1+Precificação!$W$589)))+$AA$26)*(1+Dashboard!$D$35),0)</f>
        <v>0</v>
      </c>
      <c r="AB560" s="109">
        <f>IF($BD560&gt;0,(((($BD560/Dashboard!$D$23)*(1+Precificação!$W$589))*(1+AB$28))+$AA$26)*(1+Dashboard!$D$35),0)</f>
        <v>0</v>
      </c>
      <c r="AC560" s="109">
        <f>IF($BD560&gt;0,(((($BD560/Dashboard!$D$23)*(1+Precificação!$W$589))*(1+AC$28))+$AA$26)*(1+Dashboard!$D$35),0)</f>
        <v>0</v>
      </c>
      <c r="AD560" s="109">
        <f>IF($BD560&gt;0,(((($BD560/Dashboard!$D$23)*(1+Precificação!$W$589))*(1+AD$28))+$AA$26)*(1+Dashboard!$D$35),0)</f>
        <v>0</v>
      </c>
      <c r="AF560" s="109">
        <f t="shared" si="485"/>
        <v>0</v>
      </c>
      <c r="AG560" s="109">
        <f t="shared" si="486"/>
        <v>0</v>
      </c>
      <c r="AH560" s="109">
        <f t="shared" si="487"/>
        <v>0</v>
      </c>
      <c r="AI560" s="109">
        <f t="shared" si="488"/>
        <v>0</v>
      </c>
      <c r="AL560" s="109">
        <f>IF($BD560&gt;0,(((($BD560/Dashboard!$D$23)*(1+Precificação!$W$589)))+$AL$26)*(1+Dashboard!$D$35),0)</f>
        <v>0</v>
      </c>
      <c r="AM560" s="109">
        <f>IF($BD560&gt;0,(((($BD560/Dashboard!$D$23)*(1+Precificação!$W$589))*(1+AM$28))+$AA$26)*(1+Dashboard!$D$35),0)</f>
        <v>0</v>
      </c>
      <c r="AN560" s="109">
        <f>IF($BD560&gt;0,(((($BD560/Dashboard!$D$23)*(1+Precificação!$W$589))*(1+AN$28))+$AA$26)*(1+Dashboard!$D$35),0)</f>
        <v>0</v>
      </c>
      <c r="AO560" s="109">
        <f>IF($BD560&gt;0,(((($BD560/Dashboard!$D$23)*(1+Precificação!$W$589))*(1+AO$28))+$AA$26)*(1+Dashboard!$D$35),0)</f>
        <v>0</v>
      </c>
      <c r="AQ560" s="109">
        <f t="shared" si="489"/>
        <v>0</v>
      </c>
      <c r="AR560" s="109">
        <f t="shared" si="490"/>
        <v>0</v>
      </c>
      <c r="AS560" s="109">
        <f t="shared" si="491"/>
        <v>0</v>
      </c>
      <c r="AT560" s="109">
        <f t="shared" si="492"/>
        <v>0</v>
      </c>
      <c r="AW560" s="144">
        <f>VLOOKUP(B560,'Cronog. e Histog.'!$B$698:$BT$747,71,0)</f>
        <v>0</v>
      </c>
      <c r="AX560" s="144">
        <f>VLOOKUP(B560,'Cronog. e Histog.'!$B$698:$BU$747,72,0)</f>
        <v>0</v>
      </c>
      <c r="AY560" s="144">
        <f>$AW560*$AX560*Dashboard!$D$15</f>
        <v>0</v>
      </c>
      <c r="AZ560" s="144">
        <f>VLOOKUP(B560,Precificação!$B$96:$BM$587,54,0)</f>
        <v>0</v>
      </c>
      <c r="BA560" s="144">
        <f>VLOOKUP(B560,Precificação!$B$96:$BR$587,58,0)</f>
        <v>0</v>
      </c>
      <c r="BB560" s="144">
        <f>VLOOKUP(B560,Precificação!$B$96:$BW$587,62,0)</f>
        <v>0</v>
      </c>
      <c r="BC560" s="144">
        <f t="shared" si="493"/>
        <v>0</v>
      </c>
      <c r="BD560" s="109">
        <f>IFERROR(VLOOKUP(B560,Precificação!$B$96:$S$587,13,0),0)</f>
        <v>0</v>
      </c>
      <c r="BE560" s="109">
        <f>IFERROR(VLOOKUP(B560,Precificação!$B$96:$U$587,15,0)/(Precificação!$U$4+Precificação!$U$91+Precificação!$U$535),0)*Dashboard!$T$3</f>
        <v>0</v>
      </c>
    </row>
    <row r="561" spans="2:57" ht="12" hidden="1" customHeight="1" outlineLevel="1">
      <c r="B561" s="137" t="str">
        <f>Precificação!B559</f>
        <v/>
      </c>
      <c r="E561" s="143" t="str">
        <f>IF('Cronog. e Histog.'!F719&gt;0,'Cronog. e Histog.'!F719,"")</f>
        <v/>
      </c>
      <c r="G561" s="179">
        <f t="shared" si="470"/>
        <v>0</v>
      </c>
      <c r="H561" s="110"/>
      <c r="I561" s="78"/>
      <c r="J561" s="81">
        <f>IF(I561="horista",H561*Dashboard!$D$15,IF(OR(I561="Mensalista",I561="PJ"),H561,))</f>
        <v>0</v>
      </c>
      <c r="K561" s="81">
        <f>IF(I561="PJ",J561,ROUND(J561*(1+Dashboard!$D$22),2))</f>
        <v>0</v>
      </c>
      <c r="L561" s="77"/>
      <c r="M561" s="180"/>
      <c r="P561" s="109">
        <f>IF($BD561&gt;0,(((($BD561/Dashboard!$D$15)*(1+Precificação!$W$589)))+$P$26)*(1+Dashboard!$D$35),0)</f>
        <v>0</v>
      </c>
      <c r="Q561" s="109">
        <f>IF($BD561&gt;0,(((($BD561/Dashboard!$D$23)+(1+Precificação!$W$589))*(1+Q$28))+$P$26)*(1+Dashboard!$D$35),0)</f>
        <v>0</v>
      </c>
      <c r="R561" s="109">
        <f>IF($BD561&gt;0,(((($BD561/Dashboard!$D$23)+(1+Precificação!$W$589))*(1+R$28))+$P$26)*(1+Dashboard!$D$35),0)</f>
        <v>0</v>
      </c>
      <c r="S561" s="109">
        <f>IF($BD561&gt;0,(((($BD561/Dashboard!$D$23)+(1+Precificação!$W$589))*(1+S$28))+$P$26)*(1+Dashboard!$D$35),0)</f>
        <v>0</v>
      </c>
      <c r="U561" s="109">
        <f t="shared" si="481"/>
        <v>0</v>
      </c>
      <c r="V561" s="109">
        <f t="shared" si="482"/>
        <v>0</v>
      </c>
      <c r="W561" s="109">
        <f t="shared" si="483"/>
        <v>0</v>
      </c>
      <c r="X561" s="109">
        <f t="shared" si="484"/>
        <v>0</v>
      </c>
      <c r="AA561" s="109">
        <f>IF($BD561&gt;0,(((($BD561/Dashboard!$D$23)*(1+Precificação!$W$589)))+$AA$26)*(1+Dashboard!$D$35),0)</f>
        <v>0</v>
      </c>
      <c r="AB561" s="109">
        <f>IF($BD561&gt;0,(((($BD561/Dashboard!$D$23)*(1+Precificação!$W$589))*(1+AB$28))+$AA$26)*(1+Dashboard!$D$35),0)</f>
        <v>0</v>
      </c>
      <c r="AC561" s="109">
        <f>IF($BD561&gt;0,(((($BD561/Dashboard!$D$23)*(1+Precificação!$W$589))*(1+AC$28))+$AA$26)*(1+Dashboard!$D$35),0)</f>
        <v>0</v>
      </c>
      <c r="AD561" s="109">
        <f>IF($BD561&gt;0,(((($BD561/Dashboard!$D$23)*(1+Precificação!$W$589))*(1+AD$28))+$AA$26)*(1+Dashboard!$D$35),0)</f>
        <v>0</v>
      </c>
      <c r="AF561" s="109">
        <f t="shared" si="485"/>
        <v>0</v>
      </c>
      <c r="AG561" s="109">
        <f t="shared" si="486"/>
        <v>0</v>
      </c>
      <c r="AH561" s="109">
        <f t="shared" si="487"/>
        <v>0</v>
      </c>
      <c r="AI561" s="109">
        <f t="shared" si="488"/>
        <v>0</v>
      </c>
      <c r="AL561" s="109">
        <f>IF($BD561&gt;0,(((($BD561/Dashboard!$D$23)*(1+Precificação!$W$589)))+$AL$26)*(1+Dashboard!$D$35),0)</f>
        <v>0</v>
      </c>
      <c r="AM561" s="109">
        <f>IF($BD561&gt;0,(((($BD561/Dashboard!$D$23)*(1+Precificação!$W$589))*(1+AM$28))+$AA$26)*(1+Dashboard!$D$35),0)</f>
        <v>0</v>
      </c>
      <c r="AN561" s="109">
        <f>IF($BD561&gt;0,(((($BD561/Dashboard!$D$23)*(1+Precificação!$W$589))*(1+AN$28))+$AA$26)*(1+Dashboard!$D$35),0)</f>
        <v>0</v>
      </c>
      <c r="AO561" s="109">
        <f>IF($BD561&gt;0,(((($BD561/Dashboard!$D$23)*(1+Precificação!$W$589))*(1+AO$28))+$AA$26)*(1+Dashboard!$D$35),0)</f>
        <v>0</v>
      </c>
      <c r="AQ561" s="109">
        <f t="shared" si="489"/>
        <v>0</v>
      </c>
      <c r="AR561" s="109">
        <f t="shared" si="490"/>
        <v>0</v>
      </c>
      <c r="AS561" s="109">
        <f t="shared" si="491"/>
        <v>0</v>
      </c>
      <c r="AT561" s="109">
        <f t="shared" si="492"/>
        <v>0</v>
      </c>
      <c r="AW561" s="144">
        <f>VLOOKUP(B561,'Cronog. e Histog.'!$B$698:$BT$747,71,0)</f>
        <v>0</v>
      </c>
      <c r="AX561" s="144">
        <f>VLOOKUP(B561,'Cronog. e Histog.'!$B$698:$BU$747,72,0)</f>
        <v>0</v>
      </c>
      <c r="AY561" s="144">
        <f>$AW561*$AX561*Dashboard!$D$15</f>
        <v>0</v>
      </c>
      <c r="AZ561" s="144">
        <f>VLOOKUP(B561,Precificação!$B$96:$BM$587,54,0)</f>
        <v>0</v>
      </c>
      <c r="BA561" s="144">
        <f>VLOOKUP(B561,Precificação!$B$96:$BR$587,58,0)</f>
        <v>0</v>
      </c>
      <c r="BB561" s="144">
        <f>VLOOKUP(B561,Precificação!$B$96:$BW$587,62,0)</f>
        <v>0</v>
      </c>
      <c r="BC561" s="144">
        <f t="shared" si="493"/>
        <v>0</v>
      </c>
      <c r="BD561" s="109">
        <f>IFERROR(VLOOKUP(B561,Precificação!$B$96:$S$587,13,0),0)</f>
        <v>0</v>
      </c>
      <c r="BE561" s="109">
        <f>IFERROR(VLOOKUP(B561,Precificação!$B$96:$U$587,15,0)/(Precificação!$U$4+Precificação!$U$91+Precificação!$U$535),0)*Dashboard!$T$3</f>
        <v>0</v>
      </c>
    </row>
    <row r="562" spans="2:57" ht="12" hidden="1" customHeight="1" outlineLevel="1">
      <c r="B562" s="137" t="str">
        <f>Precificação!B560</f>
        <v/>
      </c>
      <c r="E562" s="143" t="str">
        <f>IF('Cronog. e Histog.'!F720&gt;0,'Cronog. e Histog.'!F720,"")</f>
        <v/>
      </c>
      <c r="G562" s="179">
        <f t="shared" si="470"/>
        <v>0</v>
      </c>
      <c r="H562" s="110"/>
      <c r="I562" s="78"/>
      <c r="J562" s="81">
        <f>IF(I562="horista",H562*Dashboard!$D$15,IF(OR(I562="Mensalista",I562="PJ"),H562,))</f>
        <v>0</v>
      </c>
      <c r="K562" s="81">
        <f>IF(I562="PJ",J562,ROUND(J562*(1+Dashboard!$D$22),2))</f>
        <v>0</v>
      </c>
      <c r="L562" s="77"/>
      <c r="M562" s="180"/>
      <c r="P562" s="109">
        <f>IF($BD562&gt;0,(((($BD562/Dashboard!$D$15)*(1+Precificação!$W$589)))+$P$26)*(1+Dashboard!$D$35),0)</f>
        <v>0</v>
      </c>
      <c r="Q562" s="109">
        <f>IF($BD562&gt;0,(((($BD562/Dashboard!$D$23)+(1+Precificação!$W$589))*(1+Q$28))+$P$26)*(1+Dashboard!$D$35),0)</f>
        <v>0</v>
      </c>
      <c r="R562" s="109">
        <f>IF($BD562&gt;0,(((($BD562/Dashboard!$D$23)+(1+Precificação!$W$589))*(1+R$28))+$P$26)*(1+Dashboard!$D$35),0)</f>
        <v>0</v>
      </c>
      <c r="S562" s="109">
        <f>IF($BD562&gt;0,(((($BD562/Dashboard!$D$23)+(1+Precificação!$W$589))*(1+S$28))+$P$26)*(1+Dashboard!$D$35),0)</f>
        <v>0</v>
      </c>
      <c r="U562" s="109">
        <f t="shared" si="481"/>
        <v>0</v>
      </c>
      <c r="V562" s="109">
        <f t="shared" si="482"/>
        <v>0</v>
      </c>
      <c r="W562" s="109">
        <f t="shared" si="483"/>
        <v>0</v>
      </c>
      <c r="X562" s="109">
        <f t="shared" si="484"/>
        <v>0</v>
      </c>
      <c r="AA562" s="109">
        <f>IF($BD562&gt;0,(((($BD562/Dashboard!$D$23)*(1+Precificação!$W$589)))+$AA$26)*(1+Dashboard!$D$35),0)</f>
        <v>0</v>
      </c>
      <c r="AB562" s="109">
        <f>IF($BD562&gt;0,(((($BD562/Dashboard!$D$23)*(1+Precificação!$W$589))*(1+AB$28))+$AA$26)*(1+Dashboard!$D$35),0)</f>
        <v>0</v>
      </c>
      <c r="AC562" s="109">
        <f>IF($BD562&gt;0,(((($BD562/Dashboard!$D$23)*(1+Precificação!$W$589))*(1+AC$28))+$AA$26)*(1+Dashboard!$D$35),0)</f>
        <v>0</v>
      </c>
      <c r="AD562" s="109">
        <f>IF($BD562&gt;0,(((($BD562/Dashboard!$D$23)*(1+Precificação!$W$589))*(1+AD$28))+$AA$26)*(1+Dashboard!$D$35),0)</f>
        <v>0</v>
      </c>
      <c r="AF562" s="109">
        <f t="shared" si="485"/>
        <v>0</v>
      </c>
      <c r="AG562" s="109">
        <f t="shared" si="486"/>
        <v>0</v>
      </c>
      <c r="AH562" s="109">
        <f t="shared" si="487"/>
        <v>0</v>
      </c>
      <c r="AI562" s="109">
        <f t="shared" si="488"/>
        <v>0</v>
      </c>
      <c r="AL562" s="109">
        <f>IF($BD562&gt;0,(((($BD562/Dashboard!$D$23)*(1+Precificação!$W$589)))+$AL$26)*(1+Dashboard!$D$35),0)</f>
        <v>0</v>
      </c>
      <c r="AM562" s="109">
        <f>IF($BD562&gt;0,(((($BD562/Dashboard!$D$23)*(1+Precificação!$W$589))*(1+AM$28))+$AA$26)*(1+Dashboard!$D$35),0)</f>
        <v>0</v>
      </c>
      <c r="AN562" s="109">
        <f>IF($BD562&gt;0,(((($BD562/Dashboard!$D$23)*(1+Precificação!$W$589))*(1+AN$28))+$AA$26)*(1+Dashboard!$D$35),0)</f>
        <v>0</v>
      </c>
      <c r="AO562" s="109">
        <f>IF($BD562&gt;0,(((($BD562/Dashboard!$D$23)*(1+Precificação!$W$589))*(1+AO$28))+$AA$26)*(1+Dashboard!$D$35),0)</f>
        <v>0</v>
      </c>
      <c r="AQ562" s="109">
        <f t="shared" si="489"/>
        <v>0</v>
      </c>
      <c r="AR562" s="109">
        <f t="shared" si="490"/>
        <v>0</v>
      </c>
      <c r="AS562" s="109">
        <f t="shared" si="491"/>
        <v>0</v>
      </c>
      <c r="AT562" s="109">
        <f t="shared" si="492"/>
        <v>0</v>
      </c>
      <c r="AW562" s="144">
        <f>VLOOKUP(B562,'Cronog. e Histog.'!$B$698:$BT$747,71,0)</f>
        <v>0</v>
      </c>
      <c r="AX562" s="144">
        <f>VLOOKUP(B562,'Cronog. e Histog.'!$B$698:$BU$747,72,0)</f>
        <v>0</v>
      </c>
      <c r="AY562" s="144">
        <f>$AW562*$AX562*Dashboard!$D$15</f>
        <v>0</v>
      </c>
      <c r="AZ562" s="144">
        <f>VLOOKUP(B562,Precificação!$B$96:$BM$587,54,0)</f>
        <v>0</v>
      </c>
      <c r="BA562" s="144">
        <f>VLOOKUP(B562,Precificação!$B$96:$BR$587,58,0)</f>
        <v>0</v>
      </c>
      <c r="BB562" s="144">
        <f>VLOOKUP(B562,Precificação!$B$96:$BW$587,62,0)</f>
        <v>0</v>
      </c>
      <c r="BC562" s="144">
        <f t="shared" si="493"/>
        <v>0</v>
      </c>
      <c r="BD562" s="109">
        <f>IFERROR(VLOOKUP(B562,Precificação!$B$96:$S$587,13,0),0)</f>
        <v>0</v>
      </c>
      <c r="BE562" s="109">
        <f>IFERROR(VLOOKUP(B562,Precificação!$B$96:$U$587,15,0)/(Precificação!$U$4+Precificação!$U$91+Precificação!$U$535),0)*Dashboard!$T$3</f>
        <v>0</v>
      </c>
    </row>
    <row r="563" spans="2:57" ht="12" hidden="1" customHeight="1" outlineLevel="1">
      <c r="B563" s="137" t="str">
        <f>Precificação!B561</f>
        <v/>
      </c>
      <c r="E563" s="143" t="str">
        <f>IF('Cronog. e Histog.'!F721&gt;0,'Cronog. e Histog.'!F721,"")</f>
        <v/>
      </c>
      <c r="G563" s="179">
        <f t="shared" si="470"/>
        <v>0</v>
      </c>
      <c r="H563" s="110"/>
      <c r="I563" s="78"/>
      <c r="J563" s="81">
        <f>IF(I563="horista",H563*Dashboard!$D$15,IF(OR(I563="Mensalista",I563="PJ"),H563,))</f>
        <v>0</v>
      </c>
      <c r="K563" s="81">
        <f>IF(I563="PJ",J563,ROUND(J563*(1+Dashboard!$D$22),2))</f>
        <v>0</v>
      </c>
      <c r="L563" s="77"/>
      <c r="M563" s="180"/>
      <c r="P563" s="109">
        <f>IF($BD563&gt;0,(((($BD563/Dashboard!$D$15)*(1+Precificação!$W$589)))+$P$26)*(1+Dashboard!$D$35),0)</f>
        <v>0</v>
      </c>
      <c r="Q563" s="109">
        <f>IF($BD563&gt;0,(((($BD563/Dashboard!$D$23)+(1+Precificação!$W$589))*(1+Q$28))+$P$26)*(1+Dashboard!$D$35),0)</f>
        <v>0</v>
      </c>
      <c r="R563" s="109">
        <f>IF($BD563&gt;0,(((($BD563/Dashboard!$D$23)+(1+Precificação!$W$589))*(1+R$28))+$P$26)*(1+Dashboard!$D$35),0)</f>
        <v>0</v>
      </c>
      <c r="S563" s="109">
        <f>IF($BD563&gt;0,(((($BD563/Dashboard!$D$23)+(1+Precificação!$W$589))*(1+S$28))+$P$26)*(1+Dashboard!$D$35),0)</f>
        <v>0</v>
      </c>
      <c r="U563" s="109">
        <f t="shared" si="481"/>
        <v>0</v>
      </c>
      <c r="V563" s="109">
        <f t="shared" si="482"/>
        <v>0</v>
      </c>
      <c r="W563" s="109">
        <f t="shared" si="483"/>
        <v>0</v>
      </c>
      <c r="X563" s="109">
        <f t="shared" si="484"/>
        <v>0</v>
      </c>
      <c r="AA563" s="109">
        <f>IF($BD563&gt;0,(((($BD563/Dashboard!$D$23)*(1+Precificação!$W$589)))+$AA$26)*(1+Dashboard!$D$35),0)</f>
        <v>0</v>
      </c>
      <c r="AB563" s="109">
        <f>IF($BD563&gt;0,(((($BD563/Dashboard!$D$23)*(1+Precificação!$W$589))*(1+AB$28))+$AA$26)*(1+Dashboard!$D$35),0)</f>
        <v>0</v>
      </c>
      <c r="AC563" s="109">
        <f>IF($BD563&gt;0,(((($BD563/Dashboard!$D$23)*(1+Precificação!$W$589))*(1+AC$28))+$AA$26)*(1+Dashboard!$D$35),0)</f>
        <v>0</v>
      </c>
      <c r="AD563" s="109">
        <f>IF($BD563&gt;0,(((($BD563/Dashboard!$D$23)*(1+Precificação!$W$589))*(1+AD$28))+$AA$26)*(1+Dashboard!$D$35),0)</f>
        <v>0</v>
      </c>
      <c r="AF563" s="109">
        <f t="shared" si="485"/>
        <v>0</v>
      </c>
      <c r="AG563" s="109">
        <f t="shared" si="486"/>
        <v>0</v>
      </c>
      <c r="AH563" s="109">
        <f t="shared" si="487"/>
        <v>0</v>
      </c>
      <c r="AI563" s="109">
        <f t="shared" si="488"/>
        <v>0</v>
      </c>
      <c r="AL563" s="109">
        <f>IF($BD563&gt;0,(((($BD563/Dashboard!$D$23)*(1+Precificação!$W$589)))+$AL$26)*(1+Dashboard!$D$35),0)</f>
        <v>0</v>
      </c>
      <c r="AM563" s="109">
        <f>IF($BD563&gt;0,(((($BD563/Dashboard!$D$23)*(1+Precificação!$W$589))*(1+AM$28))+$AA$26)*(1+Dashboard!$D$35),0)</f>
        <v>0</v>
      </c>
      <c r="AN563" s="109">
        <f>IF($BD563&gt;0,(((($BD563/Dashboard!$D$23)*(1+Precificação!$W$589))*(1+AN$28))+$AA$26)*(1+Dashboard!$D$35),0)</f>
        <v>0</v>
      </c>
      <c r="AO563" s="109">
        <f>IF($BD563&gt;0,(((($BD563/Dashboard!$D$23)*(1+Precificação!$W$589))*(1+AO$28))+$AA$26)*(1+Dashboard!$D$35),0)</f>
        <v>0</v>
      </c>
      <c r="AQ563" s="109">
        <f t="shared" si="489"/>
        <v>0</v>
      </c>
      <c r="AR563" s="109">
        <f t="shared" si="490"/>
        <v>0</v>
      </c>
      <c r="AS563" s="109">
        <f t="shared" si="491"/>
        <v>0</v>
      </c>
      <c r="AT563" s="109">
        <f t="shared" si="492"/>
        <v>0</v>
      </c>
      <c r="AW563" s="144">
        <f>VLOOKUP(B563,'Cronog. e Histog.'!$B$698:$BT$747,71,0)</f>
        <v>0</v>
      </c>
      <c r="AX563" s="144">
        <f>VLOOKUP(B563,'Cronog. e Histog.'!$B$698:$BU$747,72,0)</f>
        <v>0</v>
      </c>
      <c r="AY563" s="144">
        <f>$AW563*$AX563*Dashboard!$D$15</f>
        <v>0</v>
      </c>
      <c r="AZ563" s="144">
        <f>VLOOKUP(B563,Precificação!$B$96:$BM$587,54,0)</f>
        <v>0</v>
      </c>
      <c r="BA563" s="144">
        <f>VLOOKUP(B563,Precificação!$B$96:$BR$587,58,0)</f>
        <v>0</v>
      </c>
      <c r="BB563" s="144">
        <f>VLOOKUP(B563,Precificação!$B$96:$BW$587,62,0)</f>
        <v>0</v>
      </c>
      <c r="BC563" s="144">
        <f t="shared" si="493"/>
        <v>0</v>
      </c>
      <c r="BD563" s="109">
        <f>IFERROR(VLOOKUP(B563,Precificação!$B$96:$S$587,13,0),0)</f>
        <v>0</v>
      </c>
      <c r="BE563" s="109">
        <f>IFERROR(VLOOKUP(B563,Precificação!$B$96:$U$587,15,0)/(Precificação!$U$4+Precificação!$U$91+Precificação!$U$535),0)*Dashboard!$T$3</f>
        <v>0</v>
      </c>
    </row>
    <row r="564" spans="2:57" ht="12" hidden="1" customHeight="1" outlineLevel="1">
      <c r="B564" s="137" t="str">
        <f>Precificação!B562</f>
        <v/>
      </c>
      <c r="E564" s="143" t="str">
        <f>IF('Cronog. e Histog.'!F722&gt;0,'Cronog. e Histog.'!F722,"")</f>
        <v/>
      </c>
      <c r="G564" s="179">
        <f t="shared" si="470"/>
        <v>0</v>
      </c>
      <c r="H564" s="110"/>
      <c r="I564" s="78"/>
      <c r="J564" s="81">
        <f>IF(I564="horista",H564*Dashboard!$D$15,IF(OR(I564="Mensalista",I564="PJ"),H564,))</f>
        <v>0</v>
      </c>
      <c r="K564" s="81">
        <f>IF(I564="PJ",J564,ROUND(J564*(1+Dashboard!$D$22),2))</f>
        <v>0</v>
      </c>
      <c r="L564" s="77"/>
      <c r="M564" s="180"/>
      <c r="P564" s="109">
        <f>IF($BD564&gt;0,(((($BD564/Dashboard!$D$15)*(1+Precificação!$W$589)))+$P$26)*(1+Dashboard!$D$35),0)</f>
        <v>0</v>
      </c>
      <c r="Q564" s="109">
        <f>IF($BD564&gt;0,(((($BD564/Dashboard!$D$23)+(1+Precificação!$W$589))*(1+Q$28))+$P$26)*(1+Dashboard!$D$35),0)</f>
        <v>0</v>
      </c>
      <c r="R564" s="109">
        <f>IF($BD564&gt;0,(((($BD564/Dashboard!$D$23)+(1+Precificação!$W$589))*(1+R$28))+$P$26)*(1+Dashboard!$D$35),0)</f>
        <v>0</v>
      </c>
      <c r="S564" s="109">
        <f>IF($BD564&gt;0,(((($BD564/Dashboard!$D$23)+(1+Precificação!$W$589))*(1+S$28))+$P$26)*(1+Dashboard!$D$35),0)</f>
        <v>0</v>
      </c>
      <c r="U564" s="109">
        <f t="shared" si="481"/>
        <v>0</v>
      </c>
      <c r="V564" s="109">
        <f t="shared" si="482"/>
        <v>0</v>
      </c>
      <c r="W564" s="109">
        <f t="shared" si="483"/>
        <v>0</v>
      </c>
      <c r="X564" s="109">
        <f t="shared" si="484"/>
        <v>0</v>
      </c>
      <c r="AA564" s="109">
        <f>IF($BD564&gt;0,(((($BD564/Dashboard!$D$23)*(1+Precificação!$W$589)))+$AA$26)*(1+Dashboard!$D$35),0)</f>
        <v>0</v>
      </c>
      <c r="AB564" s="109">
        <f>IF($BD564&gt;0,(((($BD564/Dashboard!$D$23)*(1+Precificação!$W$589))*(1+AB$28))+$AA$26)*(1+Dashboard!$D$35),0)</f>
        <v>0</v>
      </c>
      <c r="AC564" s="109">
        <f>IF($BD564&gt;0,(((($BD564/Dashboard!$D$23)*(1+Precificação!$W$589))*(1+AC$28))+$AA$26)*(1+Dashboard!$D$35),0)</f>
        <v>0</v>
      </c>
      <c r="AD564" s="109">
        <f>IF($BD564&gt;0,(((($BD564/Dashboard!$D$23)*(1+Precificação!$W$589))*(1+AD$28))+$AA$26)*(1+Dashboard!$D$35),0)</f>
        <v>0</v>
      </c>
      <c r="AF564" s="109">
        <f t="shared" si="485"/>
        <v>0</v>
      </c>
      <c r="AG564" s="109">
        <f t="shared" si="486"/>
        <v>0</v>
      </c>
      <c r="AH564" s="109">
        <f t="shared" si="487"/>
        <v>0</v>
      </c>
      <c r="AI564" s="109">
        <f t="shared" si="488"/>
        <v>0</v>
      </c>
      <c r="AL564" s="109">
        <f>IF($BD564&gt;0,(((($BD564/Dashboard!$D$23)*(1+Precificação!$W$589)))+$AL$26)*(1+Dashboard!$D$35),0)</f>
        <v>0</v>
      </c>
      <c r="AM564" s="109">
        <f>IF($BD564&gt;0,(((($BD564/Dashboard!$D$23)*(1+Precificação!$W$589))*(1+AM$28))+$AA$26)*(1+Dashboard!$D$35),0)</f>
        <v>0</v>
      </c>
      <c r="AN564" s="109">
        <f>IF($BD564&gt;0,(((($BD564/Dashboard!$D$23)*(1+Precificação!$W$589))*(1+AN$28))+$AA$26)*(1+Dashboard!$D$35),0)</f>
        <v>0</v>
      </c>
      <c r="AO564" s="109">
        <f>IF($BD564&gt;0,(((($BD564/Dashboard!$D$23)*(1+Precificação!$W$589))*(1+AO$28))+$AA$26)*(1+Dashboard!$D$35),0)</f>
        <v>0</v>
      </c>
      <c r="AQ564" s="109">
        <f t="shared" si="489"/>
        <v>0</v>
      </c>
      <c r="AR564" s="109">
        <f t="shared" si="490"/>
        <v>0</v>
      </c>
      <c r="AS564" s="109">
        <f t="shared" si="491"/>
        <v>0</v>
      </c>
      <c r="AT564" s="109">
        <f t="shared" si="492"/>
        <v>0</v>
      </c>
      <c r="AW564" s="144">
        <f>VLOOKUP(B564,'Cronog. e Histog.'!$B$698:$BT$747,71,0)</f>
        <v>0</v>
      </c>
      <c r="AX564" s="144">
        <f>VLOOKUP(B564,'Cronog. e Histog.'!$B$698:$BU$747,72,0)</f>
        <v>0</v>
      </c>
      <c r="AY564" s="144">
        <f>$AW564*$AX564*Dashboard!$D$15</f>
        <v>0</v>
      </c>
      <c r="AZ564" s="144">
        <f>VLOOKUP(B564,Precificação!$B$96:$BM$587,54,0)</f>
        <v>0</v>
      </c>
      <c r="BA564" s="144">
        <f>VLOOKUP(B564,Precificação!$B$96:$BR$587,58,0)</f>
        <v>0</v>
      </c>
      <c r="BB564" s="144">
        <f>VLOOKUP(B564,Precificação!$B$96:$BW$587,62,0)</f>
        <v>0</v>
      </c>
      <c r="BC564" s="144">
        <f t="shared" si="493"/>
        <v>0</v>
      </c>
      <c r="BD564" s="109">
        <f>IFERROR(VLOOKUP(B564,Precificação!$B$96:$S$587,13,0),0)</f>
        <v>0</v>
      </c>
      <c r="BE564" s="109">
        <f>IFERROR(VLOOKUP(B564,Precificação!$B$96:$U$587,15,0)/(Precificação!$U$4+Precificação!$U$91+Precificação!$U$535),0)*Dashboard!$T$3</f>
        <v>0</v>
      </c>
    </row>
    <row r="565" spans="2:57" ht="12" hidden="1" customHeight="1" outlineLevel="1">
      <c r="B565" s="137" t="str">
        <f>Precificação!B563</f>
        <v/>
      </c>
      <c r="E565" s="143" t="str">
        <f>IF('Cronog. e Histog.'!F723&gt;0,'Cronog. e Histog.'!F723,"")</f>
        <v/>
      </c>
      <c r="G565" s="179">
        <f t="shared" si="470"/>
        <v>0</v>
      </c>
      <c r="H565" s="110"/>
      <c r="I565" s="78"/>
      <c r="J565" s="81">
        <f>IF(I565="horista",H565*Dashboard!$D$15,IF(OR(I565="Mensalista",I565="PJ"),H565,))</f>
        <v>0</v>
      </c>
      <c r="K565" s="81">
        <f>IF(I565="PJ",J565,ROUND(J565*(1+Dashboard!$D$22),2))</f>
        <v>0</v>
      </c>
      <c r="L565" s="77"/>
      <c r="M565" s="180"/>
      <c r="P565" s="109">
        <f>IF($BD565&gt;0,(((($BD565/Dashboard!$D$15)*(1+Precificação!$W$589)))+$P$26)*(1+Dashboard!$D$35),0)</f>
        <v>0</v>
      </c>
      <c r="Q565" s="109">
        <f>IF($BD565&gt;0,(((($BD565/Dashboard!$D$23)+(1+Precificação!$W$589))*(1+Q$28))+$P$26)*(1+Dashboard!$D$35),0)</f>
        <v>0</v>
      </c>
      <c r="R565" s="109">
        <f>IF($BD565&gt;0,(((($BD565/Dashboard!$D$23)+(1+Precificação!$W$589))*(1+R$28))+$P$26)*(1+Dashboard!$D$35),0)</f>
        <v>0</v>
      </c>
      <c r="S565" s="109">
        <f>IF($BD565&gt;0,(((($BD565/Dashboard!$D$23)+(1+Precificação!$W$589))*(1+S$28))+$P$26)*(1+Dashboard!$D$35),0)</f>
        <v>0</v>
      </c>
      <c r="U565" s="109">
        <f t="shared" si="481"/>
        <v>0</v>
      </c>
      <c r="V565" s="109">
        <f t="shared" si="482"/>
        <v>0</v>
      </c>
      <c r="W565" s="109">
        <f t="shared" si="483"/>
        <v>0</v>
      </c>
      <c r="X565" s="109">
        <f t="shared" si="484"/>
        <v>0</v>
      </c>
      <c r="AA565" s="109">
        <f>IF($BD565&gt;0,(((($BD565/Dashboard!$D$23)*(1+Precificação!$W$589)))+$AA$26)*(1+Dashboard!$D$35),0)</f>
        <v>0</v>
      </c>
      <c r="AB565" s="109">
        <f>IF($BD565&gt;0,(((($BD565/Dashboard!$D$23)*(1+Precificação!$W$589))*(1+AB$28))+$AA$26)*(1+Dashboard!$D$35),0)</f>
        <v>0</v>
      </c>
      <c r="AC565" s="109">
        <f>IF($BD565&gt;0,(((($BD565/Dashboard!$D$23)*(1+Precificação!$W$589))*(1+AC$28))+$AA$26)*(1+Dashboard!$D$35),0)</f>
        <v>0</v>
      </c>
      <c r="AD565" s="109">
        <f>IF($BD565&gt;0,(((($BD565/Dashboard!$D$23)*(1+Precificação!$W$589))*(1+AD$28))+$AA$26)*(1+Dashboard!$D$35),0)</f>
        <v>0</v>
      </c>
      <c r="AF565" s="109">
        <f t="shared" si="485"/>
        <v>0</v>
      </c>
      <c r="AG565" s="109">
        <f t="shared" si="486"/>
        <v>0</v>
      </c>
      <c r="AH565" s="109">
        <f t="shared" si="487"/>
        <v>0</v>
      </c>
      <c r="AI565" s="109">
        <f t="shared" si="488"/>
        <v>0</v>
      </c>
      <c r="AL565" s="109">
        <f>IF($BD565&gt;0,(((($BD565/Dashboard!$D$23)*(1+Precificação!$W$589)))+$AL$26)*(1+Dashboard!$D$35),0)</f>
        <v>0</v>
      </c>
      <c r="AM565" s="109">
        <f>IF($BD565&gt;0,(((($BD565/Dashboard!$D$23)*(1+Precificação!$W$589))*(1+AM$28))+$AA$26)*(1+Dashboard!$D$35),0)</f>
        <v>0</v>
      </c>
      <c r="AN565" s="109">
        <f>IF($BD565&gt;0,(((($BD565/Dashboard!$D$23)*(1+Precificação!$W$589))*(1+AN$28))+$AA$26)*(1+Dashboard!$D$35),0)</f>
        <v>0</v>
      </c>
      <c r="AO565" s="109">
        <f>IF($BD565&gt;0,(((($BD565/Dashboard!$D$23)*(1+Precificação!$W$589))*(1+AO$28))+$AA$26)*(1+Dashboard!$D$35),0)</f>
        <v>0</v>
      </c>
      <c r="AQ565" s="109">
        <f t="shared" si="489"/>
        <v>0</v>
      </c>
      <c r="AR565" s="109">
        <f t="shared" si="490"/>
        <v>0</v>
      </c>
      <c r="AS565" s="109">
        <f t="shared" si="491"/>
        <v>0</v>
      </c>
      <c r="AT565" s="109">
        <f t="shared" si="492"/>
        <v>0</v>
      </c>
      <c r="AW565" s="144">
        <f>VLOOKUP(B565,'Cronog. e Histog.'!$B$698:$BT$747,71,0)</f>
        <v>0</v>
      </c>
      <c r="AX565" s="144">
        <f>VLOOKUP(B565,'Cronog. e Histog.'!$B$698:$BU$747,72,0)</f>
        <v>0</v>
      </c>
      <c r="AY565" s="144">
        <f>$AW565*$AX565*Dashboard!$D$15</f>
        <v>0</v>
      </c>
      <c r="AZ565" s="144">
        <f>VLOOKUP(B565,Precificação!$B$96:$BM$587,54,0)</f>
        <v>0</v>
      </c>
      <c r="BA565" s="144">
        <f>VLOOKUP(B565,Precificação!$B$96:$BR$587,58,0)</f>
        <v>0</v>
      </c>
      <c r="BB565" s="144">
        <f>VLOOKUP(B565,Precificação!$B$96:$BW$587,62,0)</f>
        <v>0</v>
      </c>
      <c r="BC565" s="144">
        <f t="shared" si="493"/>
        <v>0</v>
      </c>
      <c r="BD565" s="109">
        <f>IFERROR(VLOOKUP(B565,Precificação!$B$96:$S$587,13,0),0)</f>
        <v>0</v>
      </c>
      <c r="BE565" s="109">
        <f>IFERROR(VLOOKUP(B565,Precificação!$B$96:$U$587,15,0)/(Precificação!$U$4+Precificação!$U$91+Precificação!$U$535),0)*Dashboard!$T$3</f>
        <v>0</v>
      </c>
    </row>
    <row r="566" spans="2:57" ht="12" hidden="1" customHeight="1" outlineLevel="1">
      <c r="B566" s="137" t="str">
        <f>Precificação!B564</f>
        <v/>
      </c>
      <c r="E566" s="143" t="str">
        <f>IF('Cronog. e Histog.'!F724&gt;0,'Cronog. e Histog.'!F724,"")</f>
        <v/>
      </c>
      <c r="G566" s="179">
        <f t="shared" si="470"/>
        <v>0</v>
      </c>
      <c r="H566" s="110"/>
      <c r="I566" s="78"/>
      <c r="J566" s="81">
        <f>IF(I566="horista",H566*Dashboard!$D$15,IF(OR(I566="Mensalista",I566="PJ"),H566,))</f>
        <v>0</v>
      </c>
      <c r="K566" s="81">
        <f>IF(I566="PJ",J566,ROUND(J566*(1+Dashboard!$D$22),2))</f>
        <v>0</v>
      </c>
      <c r="L566" s="77"/>
      <c r="M566" s="180"/>
      <c r="P566" s="109">
        <f>IF($BD566&gt;0,(((($BD566/Dashboard!$D$15)*(1+Precificação!$W$589)))+$P$26)*(1+Dashboard!$D$35),0)</f>
        <v>0</v>
      </c>
      <c r="Q566" s="109">
        <f>IF($BD566&gt;0,(((($BD566/Dashboard!$D$23)+(1+Precificação!$W$589))*(1+Q$28))+$P$26)*(1+Dashboard!$D$35),0)</f>
        <v>0</v>
      </c>
      <c r="R566" s="109">
        <f>IF($BD566&gt;0,(((($BD566/Dashboard!$D$23)+(1+Precificação!$W$589))*(1+R$28))+$P$26)*(1+Dashboard!$D$35),0)</f>
        <v>0</v>
      </c>
      <c r="S566" s="109">
        <f>IF($BD566&gt;0,(((($BD566/Dashboard!$D$23)+(1+Precificação!$W$589))*(1+S$28))+$P$26)*(1+Dashboard!$D$35),0)</f>
        <v>0</v>
      </c>
      <c r="U566" s="109">
        <f t="shared" si="481"/>
        <v>0</v>
      </c>
      <c r="V566" s="109">
        <f t="shared" si="482"/>
        <v>0</v>
      </c>
      <c r="W566" s="109">
        <f t="shared" si="483"/>
        <v>0</v>
      </c>
      <c r="X566" s="109">
        <f t="shared" si="484"/>
        <v>0</v>
      </c>
      <c r="AA566" s="109">
        <f>IF($BD566&gt;0,(((($BD566/Dashboard!$D$23)*(1+Precificação!$W$589)))+$AA$26)*(1+Dashboard!$D$35),0)</f>
        <v>0</v>
      </c>
      <c r="AB566" s="109">
        <f>IF($BD566&gt;0,(((($BD566/Dashboard!$D$23)*(1+Precificação!$W$589))*(1+AB$28))+$AA$26)*(1+Dashboard!$D$35),0)</f>
        <v>0</v>
      </c>
      <c r="AC566" s="109">
        <f>IF($BD566&gt;0,(((($BD566/Dashboard!$D$23)*(1+Precificação!$W$589))*(1+AC$28))+$AA$26)*(1+Dashboard!$D$35),0)</f>
        <v>0</v>
      </c>
      <c r="AD566" s="109">
        <f>IF($BD566&gt;0,(((($BD566/Dashboard!$D$23)*(1+Precificação!$W$589))*(1+AD$28))+$AA$26)*(1+Dashboard!$D$35),0)</f>
        <v>0</v>
      </c>
      <c r="AF566" s="109">
        <f t="shared" si="485"/>
        <v>0</v>
      </c>
      <c r="AG566" s="109">
        <f t="shared" si="486"/>
        <v>0</v>
      </c>
      <c r="AH566" s="109">
        <f t="shared" si="487"/>
        <v>0</v>
      </c>
      <c r="AI566" s="109">
        <f t="shared" si="488"/>
        <v>0</v>
      </c>
      <c r="AL566" s="109">
        <f>IF($BD566&gt;0,(((($BD566/Dashboard!$D$23)*(1+Precificação!$W$589)))+$AL$26)*(1+Dashboard!$D$35),0)</f>
        <v>0</v>
      </c>
      <c r="AM566" s="109">
        <f>IF($BD566&gt;0,(((($BD566/Dashboard!$D$23)*(1+Precificação!$W$589))*(1+AM$28))+$AA$26)*(1+Dashboard!$D$35),0)</f>
        <v>0</v>
      </c>
      <c r="AN566" s="109">
        <f>IF($BD566&gt;0,(((($BD566/Dashboard!$D$23)*(1+Precificação!$W$589))*(1+AN$28))+$AA$26)*(1+Dashboard!$D$35),0)</f>
        <v>0</v>
      </c>
      <c r="AO566" s="109">
        <f>IF($BD566&gt;0,(((($BD566/Dashboard!$D$23)*(1+Precificação!$W$589))*(1+AO$28))+$AA$26)*(1+Dashboard!$D$35),0)</f>
        <v>0</v>
      </c>
      <c r="AQ566" s="109">
        <f t="shared" si="489"/>
        <v>0</v>
      </c>
      <c r="AR566" s="109">
        <f t="shared" si="490"/>
        <v>0</v>
      </c>
      <c r="AS566" s="109">
        <f t="shared" si="491"/>
        <v>0</v>
      </c>
      <c r="AT566" s="109">
        <f t="shared" si="492"/>
        <v>0</v>
      </c>
      <c r="AW566" s="144">
        <f>VLOOKUP(B566,'Cronog. e Histog.'!$B$698:$BT$747,71,0)</f>
        <v>0</v>
      </c>
      <c r="AX566" s="144">
        <f>VLOOKUP(B566,'Cronog. e Histog.'!$B$698:$BU$747,72,0)</f>
        <v>0</v>
      </c>
      <c r="AY566" s="144">
        <f>$AW566*$AX566*Dashboard!$D$15</f>
        <v>0</v>
      </c>
      <c r="AZ566" s="144">
        <f>VLOOKUP(B566,Precificação!$B$96:$BM$587,54,0)</f>
        <v>0</v>
      </c>
      <c r="BA566" s="144">
        <f>VLOOKUP(B566,Precificação!$B$96:$BR$587,58,0)</f>
        <v>0</v>
      </c>
      <c r="BB566" s="144">
        <f>VLOOKUP(B566,Precificação!$B$96:$BW$587,62,0)</f>
        <v>0</v>
      </c>
      <c r="BC566" s="144">
        <f t="shared" si="493"/>
        <v>0</v>
      </c>
      <c r="BD566" s="109">
        <f>IFERROR(VLOOKUP(B566,Precificação!$B$96:$S$587,13,0),0)</f>
        <v>0</v>
      </c>
      <c r="BE566" s="109">
        <f>IFERROR(VLOOKUP(B566,Precificação!$B$96:$U$587,15,0)/(Precificação!$U$4+Precificação!$U$91+Precificação!$U$535),0)*Dashboard!$T$3</f>
        <v>0</v>
      </c>
    </row>
    <row r="567" spans="2:57" ht="12" hidden="1" customHeight="1" outlineLevel="1">
      <c r="B567" s="137" t="str">
        <f>Precificação!B565</f>
        <v/>
      </c>
      <c r="E567" s="143" t="str">
        <f>IF('Cronog. e Histog.'!F725&gt;0,'Cronog. e Histog.'!F725,"")</f>
        <v/>
      </c>
      <c r="G567" s="179">
        <f t="shared" si="470"/>
        <v>0</v>
      </c>
      <c r="H567" s="110"/>
      <c r="I567" s="78"/>
      <c r="J567" s="81">
        <f>IF(I567="horista",H567*Dashboard!$D$15,IF(OR(I567="Mensalista",I567="PJ"),H567,))</f>
        <v>0</v>
      </c>
      <c r="K567" s="81">
        <f>IF(I567="PJ",J567,ROUND(J567*(1+Dashboard!$D$22),2))</f>
        <v>0</v>
      </c>
      <c r="L567" s="77"/>
      <c r="M567" s="180"/>
      <c r="P567" s="109">
        <f>IF($BD567&gt;0,(((($BD567/Dashboard!$D$15)*(1+Precificação!$W$589)))+$P$26)*(1+Dashboard!$D$35),0)</f>
        <v>0</v>
      </c>
      <c r="Q567" s="109">
        <f>IF($BD567&gt;0,(((($BD567/Dashboard!$D$23)+(1+Precificação!$W$589))*(1+Q$28))+$P$26)*(1+Dashboard!$D$35),0)</f>
        <v>0</v>
      </c>
      <c r="R567" s="109">
        <f>IF($BD567&gt;0,(((($BD567/Dashboard!$D$23)+(1+Precificação!$W$589))*(1+R$28))+$P$26)*(1+Dashboard!$D$35),0)</f>
        <v>0</v>
      </c>
      <c r="S567" s="109">
        <f>IF($BD567&gt;0,(((($BD567/Dashboard!$D$23)+(1+Precificação!$W$589))*(1+S$28))+$P$26)*(1+Dashboard!$D$35),0)</f>
        <v>0</v>
      </c>
      <c r="U567" s="109">
        <f t="shared" si="481"/>
        <v>0</v>
      </c>
      <c r="V567" s="109">
        <f t="shared" si="482"/>
        <v>0</v>
      </c>
      <c r="W567" s="109">
        <f t="shared" si="483"/>
        <v>0</v>
      </c>
      <c r="X567" s="109">
        <f t="shared" si="484"/>
        <v>0</v>
      </c>
      <c r="AA567" s="109">
        <f>IF($BD567&gt;0,(((($BD567/Dashboard!$D$23)*(1+Precificação!$W$589)))+$AA$26)*(1+Dashboard!$D$35),0)</f>
        <v>0</v>
      </c>
      <c r="AB567" s="109">
        <f>IF($BD567&gt;0,(((($BD567/Dashboard!$D$23)*(1+Precificação!$W$589))*(1+AB$28))+$AA$26)*(1+Dashboard!$D$35),0)</f>
        <v>0</v>
      </c>
      <c r="AC567" s="109">
        <f>IF($BD567&gt;0,(((($BD567/Dashboard!$D$23)*(1+Precificação!$W$589))*(1+AC$28))+$AA$26)*(1+Dashboard!$D$35),0)</f>
        <v>0</v>
      </c>
      <c r="AD567" s="109">
        <f>IF($BD567&gt;0,(((($BD567/Dashboard!$D$23)*(1+Precificação!$W$589))*(1+AD$28))+$AA$26)*(1+Dashboard!$D$35),0)</f>
        <v>0</v>
      </c>
      <c r="AF567" s="109">
        <f t="shared" si="485"/>
        <v>0</v>
      </c>
      <c r="AG567" s="109">
        <f t="shared" si="486"/>
        <v>0</v>
      </c>
      <c r="AH567" s="109">
        <f t="shared" si="487"/>
        <v>0</v>
      </c>
      <c r="AI567" s="109">
        <f t="shared" si="488"/>
        <v>0</v>
      </c>
      <c r="AL567" s="109">
        <f>IF($BD567&gt;0,(((($BD567/Dashboard!$D$23)*(1+Precificação!$W$589)))+$AL$26)*(1+Dashboard!$D$35),0)</f>
        <v>0</v>
      </c>
      <c r="AM567" s="109">
        <f>IF($BD567&gt;0,(((($BD567/Dashboard!$D$23)*(1+Precificação!$W$589))*(1+AM$28))+$AA$26)*(1+Dashboard!$D$35),0)</f>
        <v>0</v>
      </c>
      <c r="AN567" s="109">
        <f>IF($BD567&gt;0,(((($BD567/Dashboard!$D$23)*(1+Precificação!$W$589))*(1+AN$28))+$AA$26)*(1+Dashboard!$D$35),0)</f>
        <v>0</v>
      </c>
      <c r="AO567" s="109">
        <f>IF($BD567&gt;0,(((($BD567/Dashboard!$D$23)*(1+Precificação!$W$589))*(1+AO$28))+$AA$26)*(1+Dashboard!$D$35),0)</f>
        <v>0</v>
      </c>
      <c r="AQ567" s="109">
        <f t="shared" si="489"/>
        <v>0</v>
      </c>
      <c r="AR567" s="109">
        <f t="shared" si="490"/>
        <v>0</v>
      </c>
      <c r="AS567" s="109">
        <f t="shared" si="491"/>
        <v>0</v>
      </c>
      <c r="AT567" s="109">
        <f t="shared" si="492"/>
        <v>0</v>
      </c>
      <c r="AW567" s="144">
        <f>VLOOKUP(B567,'Cronog. e Histog.'!$B$698:$BT$747,71,0)</f>
        <v>0</v>
      </c>
      <c r="AX567" s="144">
        <f>VLOOKUP(B567,'Cronog. e Histog.'!$B$698:$BU$747,72,0)</f>
        <v>0</v>
      </c>
      <c r="AY567" s="144">
        <f>$AW567*$AX567*Dashboard!$D$15</f>
        <v>0</v>
      </c>
      <c r="AZ567" s="144">
        <f>VLOOKUP(B567,Precificação!$B$96:$BM$587,54,0)</f>
        <v>0</v>
      </c>
      <c r="BA567" s="144">
        <f>VLOOKUP(B567,Precificação!$B$96:$BR$587,58,0)</f>
        <v>0</v>
      </c>
      <c r="BB567" s="144">
        <f>VLOOKUP(B567,Precificação!$B$96:$BW$587,62,0)</f>
        <v>0</v>
      </c>
      <c r="BC567" s="144">
        <f t="shared" si="493"/>
        <v>0</v>
      </c>
      <c r="BD567" s="109">
        <f>IFERROR(VLOOKUP(B567,Precificação!$B$96:$S$587,13,0),0)</f>
        <v>0</v>
      </c>
      <c r="BE567" s="109">
        <f>IFERROR(VLOOKUP(B567,Precificação!$B$96:$U$587,15,0)/(Precificação!$U$4+Precificação!$U$91+Precificação!$U$535),0)*Dashboard!$T$3</f>
        <v>0</v>
      </c>
    </row>
    <row r="568" spans="2:57" ht="12" hidden="1" customHeight="1" outlineLevel="1">
      <c r="B568" s="137" t="str">
        <f>Precificação!B566</f>
        <v/>
      </c>
      <c r="E568" s="143" t="str">
        <f>IF('Cronog. e Histog.'!F726&gt;0,'Cronog. e Histog.'!F726,"")</f>
        <v/>
      </c>
      <c r="G568" s="179">
        <f t="shared" si="470"/>
        <v>0</v>
      </c>
      <c r="H568" s="110"/>
      <c r="I568" s="78"/>
      <c r="J568" s="81">
        <f>IF(I568="horista",H568*Dashboard!$D$15,IF(OR(I568="Mensalista",I568="PJ"),H568,))</f>
        <v>0</v>
      </c>
      <c r="K568" s="81">
        <f>IF(I568="PJ",J568,ROUND(J568*(1+Dashboard!$D$22),2))</f>
        <v>0</v>
      </c>
      <c r="L568" s="77"/>
      <c r="M568" s="180"/>
      <c r="P568" s="109">
        <f>IF($BD568&gt;0,(((($BD568/Dashboard!$D$15)*(1+Precificação!$W$589)))+$P$26)*(1+Dashboard!$D$35),0)</f>
        <v>0</v>
      </c>
      <c r="Q568" s="109">
        <f>IF($BD568&gt;0,(((($BD568/Dashboard!$D$23)+(1+Precificação!$W$589))*(1+Q$28))+$P$26)*(1+Dashboard!$D$35),0)</f>
        <v>0</v>
      </c>
      <c r="R568" s="109">
        <f>IF($BD568&gt;0,(((($BD568/Dashboard!$D$23)+(1+Precificação!$W$589))*(1+R$28))+$P$26)*(1+Dashboard!$D$35),0)</f>
        <v>0</v>
      </c>
      <c r="S568" s="109">
        <f>IF($BD568&gt;0,(((($BD568/Dashboard!$D$23)+(1+Precificação!$W$589))*(1+S$28))+$P$26)*(1+Dashboard!$D$35),0)</f>
        <v>0</v>
      </c>
      <c r="U568" s="109">
        <f t="shared" si="481"/>
        <v>0</v>
      </c>
      <c r="V568" s="109">
        <f t="shared" si="482"/>
        <v>0</v>
      </c>
      <c r="W568" s="109">
        <f t="shared" si="483"/>
        <v>0</v>
      </c>
      <c r="X568" s="109">
        <f t="shared" si="484"/>
        <v>0</v>
      </c>
      <c r="AA568" s="109">
        <f>IF($BD568&gt;0,(((($BD568/Dashboard!$D$23)*(1+Precificação!$W$589)))+$AA$26)*(1+Dashboard!$D$35),0)</f>
        <v>0</v>
      </c>
      <c r="AB568" s="109">
        <f>IF($BD568&gt;0,(((($BD568/Dashboard!$D$23)*(1+Precificação!$W$589))*(1+AB$28))+$AA$26)*(1+Dashboard!$D$35),0)</f>
        <v>0</v>
      </c>
      <c r="AC568" s="109">
        <f>IF($BD568&gt;0,(((($BD568/Dashboard!$D$23)*(1+Precificação!$W$589))*(1+AC$28))+$AA$26)*(1+Dashboard!$D$35),0)</f>
        <v>0</v>
      </c>
      <c r="AD568" s="109">
        <f>IF($BD568&gt;0,(((($BD568/Dashboard!$D$23)*(1+Precificação!$W$589))*(1+AD$28))+$AA$26)*(1+Dashboard!$D$35),0)</f>
        <v>0</v>
      </c>
      <c r="AF568" s="109">
        <f t="shared" si="485"/>
        <v>0</v>
      </c>
      <c r="AG568" s="109">
        <f t="shared" si="486"/>
        <v>0</v>
      </c>
      <c r="AH568" s="109">
        <f t="shared" si="487"/>
        <v>0</v>
      </c>
      <c r="AI568" s="109">
        <f t="shared" si="488"/>
        <v>0</v>
      </c>
      <c r="AL568" s="109">
        <f>IF($BD568&gt;0,(((($BD568/Dashboard!$D$23)*(1+Precificação!$W$589)))+$AL$26)*(1+Dashboard!$D$35),0)</f>
        <v>0</v>
      </c>
      <c r="AM568" s="109">
        <f>IF($BD568&gt;0,(((($BD568/Dashboard!$D$23)*(1+Precificação!$W$589))*(1+AM$28))+$AA$26)*(1+Dashboard!$D$35),0)</f>
        <v>0</v>
      </c>
      <c r="AN568" s="109">
        <f>IF($BD568&gt;0,(((($BD568/Dashboard!$D$23)*(1+Precificação!$W$589))*(1+AN$28))+$AA$26)*(1+Dashboard!$D$35),0)</f>
        <v>0</v>
      </c>
      <c r="AO568" s="109">
        <f>IF($BD568&gt;0,(((($BD568/Dashboard!$D$23)*(1+Precificação!$W$589))*(1+AO$28))+$AA$26)*(1+Dashboard!$D$35),0)</f>
        <v>0</v>
      </c>
      <c r="AQ568" s="109">
        <f t="shared" si="489"/>
        <v>0</v>
      </c>
      <c r="AR568" s="109">
        <f t="shared" si="490"/>
        <v>0</v>
      </c>
      <c r="AS568" s="109">
        <f t="shared" si="491"/>
        <v>0</v>
      </c>
      <c r="AT568" s="109">
        <f t="shared" si="492"/>
        <v>0</v>
      </c>
      <c r="AW568" s="144">
        <f>VLOOKUP(B568,'Cronog. e Histog.'!$B$698:$BT$747,71,0)</f>
        <v>0</v>
      </c>
      <c r="AX568" s="144">
        <f>VLOOKUP(B568,'Cronog. e Histog.'!$B$698:$BU$747,72,0)</f>
        <v>0</v>
      </c>
      <c r="AY568" s="144">
        <f>$AW568*$AX568*Dashboard!$D$15</f>
        <v>0</v>
      </c>
      <c r="AZ568" s="144">
        <f>VLOOKUP(B568,Precificação!$B$96:$BM$587,54,0)</f>
        <v>0</v>
      </c>
      <c r="BA568" s="144">
        <f>VLOOKUP(B568,Precificação!$B$96:$BR$587,58,0)</f>
        <v>0</v>
      </c>
      <c r="BB568" s="144">
        <f>VLOOKUP(B568,Precificação!$B$96:$BW$587,62,0)</f>
        <v>0</v>
      </c>
      <c r="BC568" s="144">
        <f t="shared" si="493"/>
        <v>0</v>
      </c>
      <c r="BD568" s="109">
        <f>IFERROR(VLOOKUP(B568,Precificação!$B$96:$S$587,13,0),0)</f>
        <v>0</v>
      </c>
      <c r="BE568" s="109">
        <f>IFERROR(VLOOKUP(B568,Precificação!$B$96:$U$587,15,0)/(Precificação!$U$4+Precificação!$U$91+Precificação!$U$535),0)*Dashboard!$T$3</f>
        <v>0</v>
      </c>
    </row>
    <row r="569" spans="2:57" ht="12" hidden="1" customHeight="1" outlineLevel="1">
      <c r="B569" s="137" t="str">
        <f>Precificação!B567</f>
        <v/>
      </c>
      <c r="E569" s="143" t="str">
        <f>IF('Cronog. e Histog.'!F727&gt;0,'Cronog. e Histog.'!F727,"")</f>
        <v/>
      </c>
      <c r="G569" s="179">
        <f t="shared" si="470"/>
        <v>0</v>
      </c>
      <c r="H569" s="110"/>
      <c r="I569" s="78"/>
      <c r="J569" s="81">
        <f>IF(I569="horista",H569*Dashboard!$D$15,IF(OR(I569="Mensalista",I569="PJ"),H569,))</f>
        <v>0</v>
      </c>
      <c r="K569" s="81">
        <f>IF(I569="PJ",J569,ROUND(J569*(1+Dashboard!$D$22),2))</f>
        <v>0</v>
      </c>
      <c r="L569" s="77"/>
      <c r="M569" s="180"/>
      <c r="P569" s="109">
        <f>IF($BD569&gt;0,(((($BD569/Dashboard!$D$15)*(1+Precificação!$W$589)))+$P$26)*(1+Dashboard!$D$35),0)</f>
        <v>0</v>
      </c>
      <c r="Q569" s="109">
        <f>IF($BD569&gt;0,(((($BD569/Dashboard!$D$23)+(1+Precificação!$W$589))*(1+Q$28))+$P$26)*(1+Dashboard!$D$35),0)</f>
        <v>0</v>
      </c>
      <c r="R569" s="109">
        <f>IF($BD569&gt;0,(((($BD569/Dashboard!$D$23)+(1+Precificação!$W$589))*(1+R$28))+$P$26)*(1+Dashboard!$D$35),0)</f>
        <v>0</v>
      </c>
      <c r="S569" s="109">
        <f>IF($BD569&gt;0,(((($BD569/Dashboard!$D$23)+(1+Precificação!$W$589))*(1+S$28))+$P$26)*(1+Dashboard!$D$35),0)</f>
        <v>0</v>
      </c>
      <c r="U569" s="109">
        <f t="shared" si="481"/>
        <v>0</v>
      </c>
      <c r="V569" s="109">
        <f t="shared" si="482"/>
        <v>0</v>
      </c>
      <c r="W569" s="109">
        <f t="shared" si="483"/>
        <v>0</v>
      </c>
      <c r="X569" s="109">
        <f t="shared" si="484"/>
        <v>0</v>
      </c>
      <c r="AA569" s="109">
        <f>IF($BD569&gt;0,(((($BD569/Dashboard!$D$23)*(1+Precificação!$W$589)))+$AA$26)*(1+Dashboard!$D$35),0)</f>
        <v>0</v>
      </c>
      <c r="AB569" s="109">
        <f>IF($BD569&gt;0,(((($BD569/Dashboard!$D$23)*(1+Precificação!$W$589))*(1+AB$28))+$AA$26)*(1+Dashboard!$D$35),0)</f>
        <v>0</v>
      </c>
      <c r="AC569" s="109">
        <f>IF($BD569&gt;0,(((($BD569/Dashboard!$D$23)*(1+Precificação!$W$589))*(1+AC$28))+$AA$26)*(1+Dashboard!$D$35),0)</f>
        <v>0</v>
      </c>
      <c r="AD569" s="109">
        <f>IF($BD569&gt;0,(((($BD569/Dashboard!$D$23)*(1+Precificação!$W$589))*(1+AD$28))+$AA$26)*(1+Dashboard!$D$35),0)</f>
        <v>0</v>
      </c>
      <c r="AF569" s="109">
        <f t="shared" si="485"/>
        <v>0</v>
      </c>
      <c r="AG569" s="109">
        <f t="shared" si="486"/>
        <v>0</v>
      </c>
      <c r="AH569" s="109">
        <f t="shared" si="487"/>
        <v>0</v>
      </c>
      <c r="AI569" s="109">
        <f t="shared" si="488"/>
        <v>0</v>
      </c>
      <c r="AL569" s="109">
        <f>IF($BD569&gt;0,(((($BD569/Dashboard!$D$23)*(1+Precificação!$W$589)))+$AL$26)*(1+Dashboard!$D$35),0)</f>
        <v>0</v>
      </c>
      <c r="AM569" s="109">
        <f>IF($BD569&gt;0,(((($BD569/Dashboard!$D$23)*(1+Precificação!$W$589))*(1+AM$28))+$AA$26)*(1+Dashboard!$D$35),0)</f>
        <v>0</v>
      </c>
      <c r="AN569" s="109">
        <f>IF($BD569&gt;0,(((($BD569/Dashboard!$D$23)*(1+Precificação!$W$589))*(1+AN$28))+$AA$26)*(1+Dashboard!$D$35),0)</f>
        <v>0</v>
      </c>
      <c r="AO569" s="109">
        <f>IF($BD569&gt;0,(((($BD569/Dashboard!$D$23)*(1+Precificação!$W$589))*(1+AO$28))+$AA$26)*(1+Dashboard!$D$35),0)</f>
        <v>0</v>
      </c>
      <c r="AQ569" s="109">
        <f t="shared" si="489"/>
        <v>0</v>
      </c>
      <c r="AR569" s="109">
        <f t="shared" si="490"/>
        <v>0</v>
      </c>
      <c r="AS569" s="109">
        <f t="shared" si="491"/>
        <v>0</v>
      </c>
      <c r="AT569" s="109">
        <f t="shared" si="492"/>
        <v>0</v>
      </c>
      <c r="AW569" s="144">
        <f>VLOOKUP(B569,'Cronog. e Histog.'!$B$698:$BT$747,71,0)</f>
        <v>0</v>
      </c>
      <c r="AX569" s="144">
        <f>VLOOKUP(B569,'Cronog. e Histog.'!$B$698:$BU$747,72,0)</f>
        <v>0</v>
      </c>
      <c r="AY569" s="144">
        <f>$AW569*$AX569*Dashboard!$D$15</f>
        <v>0</v>
      </c>
      <c r="AZ569" s="144">
        <f>VLOOKUP(B569,Precificação!$B$96:$BM$587,54,0)</f>
        <v>0</v>
      </c>
      <c r="BA569" s="144">
        <f>VLOOKUP(B569,Precificação!$B$96:$BR$587,58,0)</f>
        <v>0</v>
      </c>
      <c r="BB569" s="144">
        <f>VLOOKUP(B569,Precificação!$B$96:$BW$587,62,0)</f>
        <v>0</v>
      </c>
      <c r="BC569" s="144">
        <f t="shared" si="493"/>
        <v>0</v>
      </c>
      <c r="BD569" s="109">
        <f>IFERROR(VLOOKUP(B569,Precificação!$B$96:$S$587,13,0),0)</f>
        <v>0</v>
      </c>
      <c r="BE569" s="109">
        <f>IFERROR(VLOOKUP(B569,Precificação!$B$96:$U$587,15,0)/(Precificação!$U$4+Precificação!$U$91+Precificação!$U$535),0)*Dashboard!$T$3</f>
        <v>0</v>
      </c>
    </row>
    <row r="570" spans="2:57" ht="12" hidden="1" customHeight="1" outlineLevel="1">
      <c r="B570" s="137" t="str">
        <f>Precificação!B568</f>
        <v/>
      </c>
      <c r="E570" s="143" t="str">
        <f>IF('Cronog. e Histog.'!F728&gt;0,'Cronog. e Histog.'!F728,"")</f>
        <v/>
      </c>
      <c r="G570" s="179">
        <f t="shared" si="470"/>
        <v>0</v>
      </c>
      <c r="H570" s="110"/>
      <c r="I570" s="78"/>
      <c r="J570" s="81">
        <f>IF(I570="horista",H570*Dashboard!$D$15,IF(OR(I570="Mensalista",I570="PJ"),H570,))</f>
        <v>0</v>
      </c>
      <c r="K570" s="81">
        <f>IF(I570="PJ",J570,ROUND(J570*(1+Dashboard!$D$22),2))</f>
        <v>0</v>
      </c>
      <c r="L570" s="77"/>
      <c r="M570" s="180"/>
      <c r="P570" s="109">
        <f>IF($BD570&gt;0,(((($BD570/Dashboard!$D$15)*(1+Precificação!$W$589)))+$P$26)*(1+Dashboard!$D$35),0)</f>
        <v>0</v>
      </c>
      <c r="Q570" s="109">
        <f>IF($BD570&gt;0,(((($BD570/Dashboard!$D$23)+(1+Precificação!$W$589))*(1+Q$28))+$P$26)*(1+Dashboard!$D$35),0)</f>
        <v>0</v>
      </c>
      <c r="R570" s="109">
        <f>IF($BD570&gt;0,(((($BD570/Dashboard!$D$23)+(1+Precificação!$W$589))*(1+R$28))+$P$26)*(1+Dashboard!$D$35),0)</f>
        <v>0</v>
      </c>
      <c r="S570" s="109">
        <f>IF($BD570&gt;0,(((($BD570/Dashboard!$D$23)+(1+Precificação!$W$589))*(1+S$28))+$P$26)*(1+Dashboard!$D$35),0)</f>
        <v>0</v>
      </c>
      <c r="U570" s="109">
        <f t="shared" si="481"/>
        <v>0</v>
      </c>
      <c r="V570" s="109">
        <f t="shared" si="482"/>
        <v>0</v>
      </c>
      <c r="W570" s="109">
        <f t="shared" si="483"/>
        <v>0</v>
      </c>
      <c r="X570" s="109">
        <f t="shared" si="484"/>
        <v>0</v>
      </c>
      <c r="AA570" s="109">
        <f>IF($BD570&gt;0,(((($BD570/Dashboard!$D$23)*(1+Precificação!$W$589)))+$AA$26)*(1+Dashboard!$D$35),0)</f>
        <v>0</v>
      </c>
      <c r="AB570" s="109">
        <f>IF($BD570&gt;0,(((($BD570/Dashboard!$D$23)*(1+Precificação!$W$589))*(1+AB$28))+$AA$26)*(1+Dashboard!$D$35),0)</f>
        <v>0</v>
      </c>
      <c r="AC570" s="109">
        <f>IF($BD570&gt;0,(((($BD570/Dashboard!$D$23)*(1+Precificação!$W$589))*(1+AC$28))+$AA$26)*(1+Dashboard!$D$35),0)</f>
        <v>0</v>
      </c>
      <c r="AD570" s="109">
        <f>IF($BD570&gt;0,(((($BD570/Dashboard!$D$23)*(1+Precificação!$W$589))*(1+AD$28))+$AA$26)*(1+Dashboard!$D$35),0)</f>
        <v>0</v>
      </c>
      <c r="AF570" s="109">
        <f t="shared" si="485"/>
        <v>0</v>
      </c>
      <c r="AG570" s="109">
        <f t="shared" si="486"/>
        <v>0</v>
      </c>
      <c r="AH570" s="109">
        <f t="shared" si="487"/>
        <v>0</v>
      </c>
      <c r="AI570" s="109">
        <f t="shared" si="488"/>
        <v>0</v>
      </c>
      <c r="AL570" s="109">
        <f>IF($BD570&gt;0,(((($BD570/Dashboard!$D$23)*(1+Precificação!$W$589)))+$AL$26)*(1+Dashboard!$D$35),0)</f>
        <v>0</v>
      </c>
      <c r="AM570" s="109">
        <f>IF($BD570&gt;0,(((($BD570/Dashboard!$D$23)*(1+Precificação!$W$589))*(1+AM$28))+$AA$26)*(1+Dashboard!$D$35),0)</f>
        <v>0</v>
      </c>
      <c r="AN570" s="109">
        <f>IF($BD570&gt;0,(((($BD570/Dashboard!$D$23)*(1+Precificação!$W$589))*(1+AN$28))+$AA$26)*(1+Dashboard!$D$35),0)</f>
        <v>0</v>
      </c>
      <c r="AO570" s="109">
        <f>IF($BD570&gt;0,(((($BD570/Dashboard!$D$23)*(1+Precificação!$W$589))*(1+AO$28))+$AA$26)*(1+Dashboard!$D$35),0)</f>
        <v>0</v>
      </c>
      <c r="AQ570" s="109">
        <f t="shared" si="489"/>
        <v>0</v>
      </c>
      <c r="AR570" s="109">
        <f t="shared" si="490"/>
        <v>0</v>
      </c>
      <c r="AS570" s="109">
        <f t="shared" si="491"/>
        <v>0</v>
      </c>
      <c r="AT570" s="109">
        <f t="shared" si="492"/>
        <v>0</v>
      </c>
      <c r="AW570" s="144">
        <f>VLOOKUP(B570,'Cronog. e Histog.'!$B$698:$BT$747,71,0)</f>
        <v>0</v>
      </c>
      <c r="AX570" s="144">
        <f>VLOOKUP(B570,'Cronog. e Histog.'!$B$698:$BU$747,72,0)</f>
        <v>0</v>
      </c>
      <c r="AY570" s="144">
        <f>$AW570*$AX570*Dashboard!$D$15</f>
        <v>0</v>
      </c>
      <c r="AZ570" s="144">
        <f>VLOOKUP(B570,Precificação!$B$96:$BM$587,54,0)</f>
        <v>0</v>
      </c>
      <c r="BA570" s="144">
        <f>VLOOKUP(B570,Precificação!$B$96:$BR$587,58,0)</f>
        <v>0</v>
      </c>
      <c r="BB570" s="144">
        <f>VLOOKUP(B570,Precificação!$B$96:$BW$587,62,0)</f>
        <v>0</v>
      </c>
      <c r="BC570" s="144">
        <f t="shared" si="493"/>
        <v>0</v>
      </c>
      <c r="BD570" s="109">
        <f>IFERROR(VLOOKUP(B570,Precificação!$B$96:$S$587,13,0),0)</f>
        <v>0</v>
      </c>
      <c r="BE570" s="109">
        <f>IFERROR(VLOOKUP(B570,Precificação!$B$96:$U$587,15,0)/(Precificação!$U$4+Precificação!$U$91+Precificação!$U$535),0)*Dashboard!$T$3</f>
        <v>0</v>
      </c>
    </row>
    <row r="571" spans="2:57" ht="12" hidden="1" customHeight="1" outlineLevel="1">
      <c r="B571" s="137" t="str">
        <f>Precificação!B569</f>
        <v/>
      </c>
      <c r="E571" s="143" t="str">
        <f>IF('Cronog. e Histog.'!F729&gt;0,'Cronog. e Histog.'!F729,"")</f>
        <v/>
      </c>
      <c r="G571" s="179">
        <f t="shared" si="470"/>
        <v>0</v>
      </c>
      <c r="H571" s="110"/>
      <c r="I571" s="78"/>
      <c r="J571" s="81">
        <f>IF(I571="horista",H571*Dashboard!$D$15,IF(OR(I571="Mensalista",I571="PJ"),H571,))</f>
        <v>0</v>
      </c>
      <c r="K571" s="81">
        <f>IF(I571="PJ",J571,ROUND(J571*(1+Dashboard!$D$22),2))</f>
        <v>0</v>
      </c>
      <c r="L571" s="77"/>
      <c r="M571" s="180"/>
      <c r="P571" s="109">
        <f>IF($BD571&gt;0,(((($BD571/Dashboard!$D$15)*(1+Precificação!$W$589)))+$P$26)*(1+Dashboard!$D$35),0)</f>
        <v>0</v>
      </c>
      <c r="Q571" s="109">
        <f>IF($BD571&gt;0,(((($BD571/Dashboard!$D$23)+(1+Precificação!$W$589))*(1+Q$28))+$P$26)*(1+Dashboard!$D$35),0)</f>
        <v>0</v>
      </c>
      <c r="R571" s="109">
        <f>IF($BD571&gt;0,(((($BD571/Dashboard!$D$23)+(1+Precificação!$W$589))*(1+R$28))+$P$26)*(1+Dashboard!$D$35),0)</f>
        <v>0</v>
      </c>
      <c r="S571" s="109">
        <f>IF($BD571&gt;0,(((($BD571/Dashboard!$D$23)+(1+Precificação!$W$589))*(1+S$28))+$P$26)*(1+Dashboard!$D$35),0)</f>
        <v>0</v>
      </c>
      <c r="U571" s="109">
        <f t="shared" si="481"/>
        <v>0</v>
      </c>
      <c r="V571" s="109">
        <f t="shared" si="482"/>
        <v>0</v>
      </c>
      <c r="W571" s="109">
        <f t="shared" si="483"/>
        <v>0</v>
      </c>
      <c r="X571" s="109">
        <f t="shared" si="484"/>
        <v>0</v>
      </c>
      <c r="AA571" s="109">
        <f>IF($BD571&gt;0,(((($BD571/Dashboard!$D$23)*(1+Precificação!$W$589)))+$AA$26)*(1+Dashboard!$D$35),0)</f>
        <v>0</v>
      </c>
      <c r="AB571" s="109">
        <f>IF($BD571&gt;0,(((($BD571/Dashboard!$D$23)*(1+Precificação!$W$589))*(1+AB$28))+$AA$26)*(1+Dashboard!$D$35),0)</f>
        <v>0</v>
      </c>
      <c r="AC571" s="109">
        <f>IF($BD571&gt;0,(((($BD571/Dashboard!$D$23)*(1+Precificação!$W$589))*(1+AC$28))+$AA$26)*(1+Dashboard!$D$35),0)</f>
        <v>0</v>
      </c>
      <c r="AD571" s="109">
        <f>IF($BD571&gt;0,(((($BD571/Dashboard!$D$23)*(1+Precificação!$W$589))*(1+AD$28))+$AA$26)*(1+Dashboard!$D$35),0)</f>
        <v>0</v>
      </c>
      <c r="AF571" s="109">
        <f t="shared" si="485"/>
        <v>0</v>
      </c>
      <c r="AG571" s="109">
        <f t="shared" si="486"/>
        <v>0</v>
      </c>
      <c r="AH571" s="109">
        <f t="shared" si="487"/>
        <v>0</v>
      </c>
      <c r="AI571" s="109">
        <f t="shared" si="488"/>
        <v>0</v>
      </c>
      <c r="AL571" s="109">
        <f>IF($BD571&gt;0,(((($BD571/Dashboard!$D$23)*(1+Precificação!$W$589)))+$AL$26)*(1+Dashboard!$D$35),0)</f>
        <v>0</v>
      </c>
      <c r="AM571" s="109">
        <f>IF($BD571&gt;0,(((($BD571/Dashboard!$D$23)*(1+Precificação!$W$589))*(1+AM$28))+$AA$26)*(1+Dashboard!$D$35),0)</f>
        <v>0</v>
      </c>
      <c r="AN571" s="109">
        <f>IF($BD571&gt;0,(((($BD571/Dashboard!$D$23)*(1+Precificação!$W$589))*(1+AN$28))+$AA$26)*(1+Dashboard!$D$35),0)</f>
        <v>0</v>
      </c>
      <c r="AO571" s="109">
        <f>IF($BD571&gt;0,(((($BD571/Dashboard!$D$23)*(1+Precificação!$W$589))*(1+AO$28))+$AA$26)*(1+Dashboard!$D$35),0)</f>
        <v>0</v>
      </c>
      <c r="AQ571" s="109">
        <f t="shared" si="489"/>
        <v>0</v>
      </c>
      <c r="AR571" s="109">
        <f t="shared" si="490"/>
        <v>0</v>
      </c>
      <c r="AS571" s="109">
        <f t="shared" si="491"/>
        <v>0</v>
      </c>
      <c r="AT571" s="109">
        <f t="shared" si="492"/>
        <v>0</v>
      </c>
      <c r="AW571" s="144">
        <f>VLOOKUP(B571,'Cronog. e Histog.'!$B$698:$BT$747,71,0)</f>
        <v>0</v>
      </c>
      <c r="AX571" s="144">
        <f>VLOOKUP(B571,'Cronog. e Histog.'!$B$698:$BU$747,72,0)</f>
        <v>0</v>
      </c>
      <c r="AY571" s="144">
        <f>$AW571*$AX571*Dashboard!$D$15</f>
        <v>0</v>
      </c>
      <c r="AZ571" s="144">
        <f>VLOOKUP(B571,Precificação!$B$96:$BM$587,54,0)</f>
        <v>0</v>
      </c>
      <c r="BA571" s="144">
        <f>VLOOKUP(B571,Precificação!$B$96:$BR$587,58,0)</f>
        <v>0</v>
      </c>
      <c r="BB571" s="144">
        <f>VLOOKUP(B571,Precificação!$B$96:$BW$587,62,0)</f>
        <v>0</v>
      </c>
      <c r="BC571" s="144">
        <f t="shared" si="493"/>
        <v>0</v>
      </c>
      <c r="BD571" s="109">
        <f>IFERROR(VLOOKUP(B571,Precificação!$B$96:$S$587,13,0),0)</f>
        <v>0</v>
      </c>
      <c r="BE571" s="109">
        <f>IFERROR(VLOOKUP(B571,Precificação!$B$96:$U$587,15,0)/(Precificação!$U$4+Precificação!$U$91+Precificação!$U$535),0)*Dashboard!$T$3</f>
        <v>0</v>
      </c>
    </row>
    <row r="572" spans="2:57" ht="12" hidden="1" customHeight="1" outlineLevel="1">
      <c r="B572" s="137" t="str">
        <f>Precificação!B570</f>
        <v/>
      </c>
      <c r="E572" s="143" t="str">
        <f>IF('Cronog. e Histog.'!F730&gt;0,'Cronog. e Histog.'!F730,"")</f>
        <v/>
      </c>
      <c r="G572" s="179">
        <f t="shared" ref="G572:G589" si="494">IF(AND((AW572*AX572)&gt;0,K572=0),1,0)</f>
        <v>0</v>
      </c>
      <c r="H572" s="110"/>
      <c r="I572" s="78"/>
      <c r="J572" s="81">
        <f>IF(I572="horista",H572*Dashboard!$D$15,IF(OR(I572="Mensalista",I572="PJ"),H572,))</f>
        <v>0</v>
      </c>
      <c r="K572" s="81">
        <f>IF(I572="PJ",J572,ROUND(J572*(1+Dashboard!$D$22),2))</f>
        <v>0</v>
      </c>
      <c r="L572" s="77"/>
      <c r="M572" s="180"/>
      <c r="P572" s="109">
        <f>IF($BD572&gt;0,(((($BD572/Dashboard!$D$15)*(1+Precificação!$W$589)))+$P$26)*(1+Dashboard!$D$35),0)</f>
        <v>0</v>
      </c>
      <c r="Q572" s="109">
        <f>IF($BD572&gt;0,(((($BD572/Dashboard!$D$23)+(1+Precificação!$W$589))*(1+Q$28))+$P$26)*(1+Dashboard!$D$35),0)</f>
        <v>0</v>
      </c>
      <c r="R572" s="109">
        <f>IF($BD572&gt;0,(((($BD572/Dashboard!$D$23)+(1+Precificação!$W$589))*(1+R$28))+$P$26)*(1+Dashboard!$D$35),0)</f>
        <v>0</v>
      </c>
      <c r="S572" s="109">
        <f>IF($BD572&gt;0,(((($BD572/Dashboard!$D$23)+(1+Precificação!$W$589))*(1+S$28))+$P$26)*(1+Dashboard!$D$35),0)</f>
        <v>0</v>
      </c>
      <c r="U572" s="109">
        <f t="shared" si="481"/>
        <v>0</v>
      </c>
      <c r="V572" s="109">
        <f t="shared" si="482"/>
        <v>0</v>
      </c>
      <c r="W572" s="109">
        <f t="shared" si="483"/>
        <v>0</v>
      </c>
      <c r="X572" s="109">
        <f t="shared" si="484"/>
        <v>0</v>
      </c>
      <c r="AA572" s="109">
        <f>IF($BD572&gt;0,(((($BD572/Dashboard!$D$23)*(1+Precificação!$W$589)))+$AA$26)*(1+Dashboard!$D$35),0)</f>
        <v>0</v>
      </c>
      <c r="AB572" s="109">
        <f>IF($BD572&gt;0,(((($BD572/Dashboard!$D$23)*(1+Precificação!$W$589))*(1+AB$28))+$AA$26)*(1+Dashboard!$D$35),0)</f>
        <v>0</v>
      </c>
      <c r="AC572" s="109">
        <f>IF($BD572&gt;0,(((($BD572/Dashboard!$D$23)*(1+Precificação!$W$589))*(1+AC$28))+$AA$26)*(1+Dashboard!$D$35),0)</f>
        <v>0</v>
      </c>
      <c r="AD572" s="109">
        <f>IF($BD572&gt;0,(((($BD572/Dashboard!$D$23)*(1+Precificação!$W$589))*(1+AD$28))+$AA$26)*(1+Dashboard!$D$35),0)</f>
        <v>0</v>
      </c>
      <c r="AF572" s="109">
        <f t="shared" si="485"/>
        <v>0</v>
      </c>
      <c r="AG572" s="109">
        <f t="shared" si="486"/>
        <v>0</v>
      </c>
      <c r="AH572" s="109">
        <f t="shared" si="487"/>
        <v>0</v>
      </c>
      <c r="AI572" s="109">
        <f t="shared" si="488"/>
        <v>0</v>
      </c>
      <c r="AL572" s="109">
        <f>IF($BD572&gt;0,(((($BD572/Dashboard!$D$23)*(1+Precificação!$W$589)))+$AL$26)*(1+Dashboard!$D$35),0)</f>
        <v>0</v>
      </c>
      <c r="AM572" s="109">
        <f>IF($BD572&gt;0,(((($BD572/Dashboard!$D$23)*(1+Precificação!$W$589))*(1+AM$28))+$AA$26)*(1+Dashboard!$D$35),0)</f>
        <v>0</v>
      </c>
      <c r="AN572" s="109">
        <f>IF($BD572&gt;0,(((($BD572/Dashboard!$D$23)*(1+Precificação!$W$589))*(1+AN$28))+$AA$26)*(1+Dashboard!$D$35),0)</f>
        <v>0</v>
      </c>
      <c r="AO572" s="109">
        <f>IF($BD572&gt;0,(((($BD572/Dashboard!$D$23)*(1+Precificação!$W$589))*(1+AO$28))+$AA$26)*(1+Dashboard!$D$35),0)</f>
        <v>0</v>
      </c>
      <c r="AQ572" s="109">
        <f t="shared" si="489"/>
        <v>0</v>
      </c>
      <c r="AR572" s="109">
        <f t="shared" si="490"/>
        <v>0</v>
      </c>
      <c r="AS572" s="109">
        <f t="shared" si="491"/>
        <v>0</v>
      </c>
      <c r="AT572" s="109">
        <f t="shared" si="492"/>
        <v>0</v>
      </c>
      <c r="AW572" s="144">
        <f>VLOOKUP(B572,'Cronog. e Histog.'!$B$698:$BT$747,71,0)</f>
        <v>0</v>
      </c>
      <c r="AX572" s="144">
        <f>VLOOKUP(B572,'Cronog. e Histog.'!$B$698:$BU$747,72,0)</f>
        <v>0</v>
      </c>
      <c r="AY572" s="144">
        <f>$AW572*$AX572*Dashboard!$D$15</f>
        <v>0</v>
      </c>
      <c r="AZ572" s="144">
        <f>VLOOKUP(B572,Precificação!$B$96:$BM$587,54,0)</f>
        <v>0</v>
      </c>
      <c r="BA572" s="144">
        <f>VLOOKUP(B572,Precificação!$B$96:$BR$587,58,0)</f>
        <v>0</v>
      </c>
      <c r="BB572" s="144">
        <f>VLOOKUP(B572,Precificação!$B$96:$BW$587,62,0)</f>
        <v>0</v>
      </c>
      <c r="BC572" s="144">
        <f t="shared" si="493"/>
        <v>0</v>
      </c>
      <c r="BD572" s="109">
        <f>IFERROR(VLOOKUP(B572,Precificação!$B$96:$S$587,13,0),0)</f>
        <v>0</v>
      </c>
      <c r="BE572" s="109">
        <f>IFERROR(VLOOKUP(B572,Precificação!$B$96:$U$587,15,0)/(Precificação!$U$4+Precificação!$U$91+Precificação!$U$535),0)*Dashboard!$T$3</f>
        <v>0</v>
      </c>
    </row>
    <row r="573" spans="2:57" ht="12" hidden="1" customHeight="1" outlineLevel="1">
      <c r="B573" s="137" t="str">
        <f>Precificação!B571</f>
        <v/>
      </c>
      <c r="E573" s="143" t="str">
        <f>IF('Cronog. e Histog.'!F731&gt;0,'Cronog. e Histog.'!F731,"")</f>
        <v/>
      </c>
      <c r="G573" s="179">
        <f t="shared" si="494"/>
        <v>0</v>
      </c>
      <c r="H573" s="110"/>
      <c r="I573" s="78"/>
      <c r="J573" s="81">
        <f>IF(I573="horista",H573*Dashboard!$D$15,IF(OR(I573="Mensalista",I573="PJ"),H573,))</f>
        <v>0</v>
      </c>
      <c r="K573" s="81">
        <f>IF(I573="PJ",J573,ROUND(J573*(1+Dashboard!$D$22),2))</f>
        <v>0</v>
      </c>
      <c r="L573" s="77"/>
      <c r="M573" s="180"/>
      <c r="P573" s="109">
        <f>IF($BD573&gt;0,(((($BD573/Dashboard!$D$15)*(1+Precificação!$W$589)))+$P$26)*(1+Dashboard!$D$35),0)</f>
        <v>0</v>
      </c>
      <c r="Q573" s="109">
        <f>IF($BD573&gt;0,(((($BD573/Dashboard!$D$23)+(1+Precificação!$W$589))*(1+Q$28))+$P$26)*(1+Dashboard!$D$35),0)</f>
        <v>0</v>
      </c>
      <c r="R573" s="109">
        <f>IF($BD573&gt;0,(((($BD573/Dashboard!$D$23)+(1+Precificação!$W$589))*(1+R$28))+$P$26)*(1+Dashboard!$D$35),0)</f>
        <v>0</v>
      </c>
      <c r="S573" s="109">
        <f>IF($BD573&gt;0,(((($BD573/Dashboard!$D$23)+(1+Precificação!$W$589))*(1+S$28))+$P$26)*(1+Dashboard!$D$35),0)</f>
        <v>0</v>
      </c>
      <c r="U573" s="109">
        <f t="shared" si="481"/>
        <v>0</v>
      </c>
      <c r="V573" s="109">
        <f t="shared" si="482"/>
        <v>0</v>
      </c>
      <c r="W573" s="109">
        <f t="shared" si="483"/>
        <v>0</v>
      </c>
      <c r="X573" s="109">
        <f t="shared" si="484"/>
        <v>0</v>
      </c>
      <c r="AA573" s="109">
        <f>IF($BD573&gt;0,(((($BD573/Dashboard!$D$23)*(1+Precificação!$W$589)))+$AA$26)*(1+Dashboard!$D$35),0)</f>
        <v>0</v>
      </c>
      <c r="AB573" s="109">
        <f>IF($BD573&gt;0,(((($BD573/Dashboard!$D$23)*(1+Precificação!$W$589))*(1+AB$28))+$AA$26)*(1+Dashboard!$D$35),0)</f>
        <v>0</v>
      </c>
      <c r="AC573" s="109">
        <f>IF($BD573&gt;0,(((($BD573/Dashboard!$D$23)*(1+Precificação!$W$589))*(1+AC$28))+$AA$26)*(1+Dashboard!$D$35),0)</f>
        <v>0</v>
      </c>
      <c r="AD573" s="109">
        <f>IF($BD573&gt;0,(((($BD573/Dashboard!$D$23)*(1+Precificação!$W$589))*(1+AD$28))+$AA$26)*(1+Dashboard!$D$35),0)</f>
        <v>0</v>
      </c>
      <c r="AF573" s="109">
        <f t="shared" si="485"/>
        <v>0</v>
      </c>
      <c r="AG573" s="109">
        <f t="shared" si="486"/>
        <v>0</v>
      </c>
      <c r="AH573" s="109">
        <f t="shared" si="487"/>
        <v>0</v>
      </c>
      <c r="AI573" s="109">
        <f t="shared" si="488"/>
        <v>0</v>
      </c>
      <c r="AL573" s="109">
        <f>IF($BD573&gt;0,(((($BD573/Dashboard!$D$23)*(1+Precificação!$W$589)))+$AL$26)*(1+Dashboard!$D$35),0)</f>
        <v>0</v>
      </c>
      <c r="AM573" s="109">
        <f>IF($BD573&gt;0,(((($BD573/Dashboard!$D$23)*(1+Precificação!$W$589))*(1+AM$28))+$AA$26)*(1+Dashboard!$D$35),0)</f>
        <v>0</v>
      </c>
      <c r="AN573" s="109">
        <f>IF($BD573&gt;0,(((($BD573/Dashboard!$D$23)*(1+Precificação!$W$589))*(1+AN$28))+$AA$26)*(1+Dashboard!$D$35),0)</f>
        <v>0</v>
      </c>
      <c r="AO573" s="109">
        <f>IF($BD573&gt;0,(((($BD573/Dashboard!$D$23)*(1+Precificação!$W$589))*(1+AO$28))+$AA$26)*(1+Dashboard!$D$35),0)</f>
        <v>0</v>
      </c>
      <c r="AQ573" s="109">
        <f t="shared" si="489"/>
        <v>0</v>
      </c>
      <c r="AR573" s="109">
        <f t="shared" si="490"/>
        <v>0</v>
      </c>
      <c r="AS573" s="109">
        <f t="shared" si="491"/>
        <v>0</v>
      </c>
      <c r="AT573" s="109">
        <f t="shared" si="492"/>
        <v>0</v>
      </c>
      <c r="AW573" s="144">
        <f>VLOOKUP(B573,'Cronog. e Histog.'!$B$698:$BT$747,71,0)</f>
        <v>0</v>
      </c>
      <c r="AX573" s="144">
        <f>VLOOKUP(B573,'Cronog. e Histog.'!$B$698:$BU$747,72,0)</f>
        <v>0</v>
      </c>
      <c r="AY573" s="144">
        <f>$AW573*$AX573*Dashboard!$D$15</f>
        <v>0</v>
      </c>
      <c r="AZ573" s="144">
        <f>VLOOKUP(B573,Precificação!$B$96:$BM$587,54,0)</f>
        <v>0</v>
      </c>
      <c r="BA573" s="144">
        <f>VLOOKUP(B573,Precificação!$B$96:$BR$587,58,0)</f>
        <v>0</v>
      </c>
      <c r="BB573" s="144">
        <f>VLOOKUP(B573,Precificação!$B$96:$BW$587,62,0)</f>
        <v>0</v>
      </c>
      <c r="BC573" s="144">
        <f t="shared" si="493"/>
        <v>0</v>
      </c>
      <c r="BD573" s="109">
        <f>IFERROR(VLOOKUP(B573,Precificação!$B$96:$S$587,13,0),0)</f>
        <v>0</v>
      </c>
      <c r="BE573" s="109">
        <f>IFERROR(VLOOKUP(B573,Precificação!$B$96:$U$587,15,0)/(Precificação!$U$4+Precificação!$U$91+Precificação!$U$535),0)*Dashboard!$T$3</f>
        <v>0</v>
      </c>
    </row>
    <row r="574" spans="2:57" ht="12" hidden="1" customHeight="1" outlineLevel="1">
      <c r="B574" s="137" t="str">
        <f>Precificação!B572</f>
        <v/>
      </c>
      <c r="E574" s="143" t="str">
        <f>IF('Cronog. e Histog.'!F732&gt;0,'Cronog. e Histog.'!F732,"")</f>
        <v/>
      </c>
      <c r="G574" s="179">
        <f t="shared" si="494"/>
        <v>0</v>
      </c>
      <c r="H574" s="110"/>
      <c r="I574" s="78"/>
      <c r="J574" s="81">
        <f>IF(I574="horista",H574*Dashboard!$D$15,IF(OR(I574="Mensalista",I574="PJ"),H574,))</f>
        <v>0</v>
      </c>
      <c r="K574" s="81">
        <f>IF(I574="PJ",J574,ROUND(J574*(1+Dashboard!$D$22),2))</f>
        <v>0</v>
      </c>
      <c r="L574" s="77"/>
      <c r="M574" s="180"/>
      <c r="P574" s="109">
        <f>IF($BD574&gt;0,(((($BD574/Dashboard!$D$15)*(1+Precificação!$W$589)))+$P$26)*(1+Dashboard!$D$35),0)</f>
        <v>0</v>
      </c>
      <c r="Q574" s="109">
        <f>IF($BD574&gt;0,(((($BD574/Dashboard!$D$23)+(1+Precificação!$W$589))*(1+Q$28))+$P$26)*(1+Dashboard!$D$35),0)</f>
        <v>0</v>
      </c>
      <c r="R574" s="109">
        <f>IF($BD574&gt;0,(((($BD574/Dashboard!$D$23)+(1+Precificação!$W$589))*(1+R$28))+$P$26)*(1+Dashboard!$D$35),0)</f>
        <v>0</v>
      </c>
      <c r="S574" s="109">
        <f>IF($BD574&gt;0,(((($BD574/Dashboard!$D$23)+(1+Precificação!$W$589))*(1+S$28))+$P$26)*(1+Dashboard!$D$35),0)</f>
        <v>0</v>
      </c>
      <c r="U574" s="109">
        <f t="shared" si="481"/>
        <v>0</v>
      </c>
      <c r="V574" s="109">
        <f t="shared" si="482"/>
        <v>0</v>
      </c>
      <c r="W574" s="109">
        <f t="shared" si="483"/>
        <v>0</v>
      </c>
      <c r="X574" s="109">
        <f t="shared" si="484"/>
        <v>0</v>
      </c>
      <c r="AA574" s="109">
        <f>IF($BD574&gt;0,(((($BD574/Dashboard!$D$23)*(1+Precificação!$W$589)))+$AA$26)*(1+Dashboard!$D$35),0)</f>
        <v>0</v>
      </c>
      <c r="AB574" s="109">
        <f>IF($BD574&gt;0,(((($BD574/Dashboard!$D$23)*(1+Precificação!$W$589))*(1+AB$28))+$AA$26)*(1+Dashboard!$D$35),0)</f>
        <v>0</v>
      </c>
      <c r="AC574" s="109">
        <f>IF($BD574&gt;0,(((($BD574/Dashboard!$D$23)*(1+Precificação!$W$589))*(1+AC$28))+$AA$26)*(1+Dashboard!$D$35),0)</f>
        <v>0</v>
      </c>
      <c r="AD574" s="109">
        <f>IF($BD574&gt;0,(((($BD574/Dashboard!$D$23)*(1+Precificação!$W$589))*(1+AD$28))+$AA$26)*(1+Dashboard!$D$35),0)</f>
        <v>0</v>
      </c>
      <c r="AF574" s="109">
        <f t="shared" si="485"/>
        <v>0</v>
      </c>
      <c r="AG574" s="109">
        <f t="shared" si="486"/>
        <v>0</v>
      </c>
      <c r="AH574" s="109">
        <f t="shared" si="487"/>
        <v>0</v>
      </c>
      <c r="AI574" s="109">
        <f t="shared" si="488"/>
        <v>0</v>
      </c>
      <c r="AL574" s="109">
        <f>IF($BD574&gt;0,(((($BD574/Dashboard!$D$23)*(1+Precificação!$W$589)))+$AL$26)*(1+Dashboard!$D$35),0)</f>
        <v>0</v>
      </c>
      <c r="AM574" s="109">
        <f>IF($BD574&gt;0,(((($BD574/Dashboard!$D$23)*(1+Precificação!$W$589))*(1+AM$28))+$AA$26)*(1+Dashboard!$D$35),0)</f>
        <v>0</v>
      </c>
      <c r="AN574" s="109">
        <f>IF($BD574&gt;0,(((($BD574/Dashboard!$D$23)*(1+Precificação!$W$589))*(1+AN$28))+$AA$26)*(1+Dashboard!$D$35),0)</f>
        <v>0</v>
      </c>
      <c r="AO574" s="109">
        <f>IF($BD574&gt;0,(((($BD574/Dashboard!$D$23)*(1+Precificação!$W$589))*(1+AO$28))+$AA$26)*(1+Dashboard!$D$35),0)</f>
        <v>0</v>
      </c>
      <c r="AQ574" s="109">
        <f t="shared" si="489"/>
        <v>0</v>
      </c>
      <c r="AR574" s="109">
        <f t="shared" si="490"/>
        <v>0</v>
      </c>
      <c r="AS574" s="109">
        <f t="shared" si="491"/>
        <v>0</v>
      </c>
      <c r="AT574" s="109">
        <f t="shared" si="492"/>
        <v>0</v>
      </c>
      <c r="AW574" s="144">
        <f>VLOOKUP(B574,'Cronog. e Histog.'!$B$698:$BT$747,71,0)</f>
        <v>0</v>
      </c>
      <c r="AX574" s="144">
        <f>VLOOKUP(B574,'Cronog. e Histog.'!$B$698:$BU$747,72,0)</f>
        <v>0</v>
      </c>
      <c r="AY574" s="144">
        <f>$AW574*$AX574*Dashboard!$D$15</f>
        <v>0</v>
      </c>
      <c r="AZ574" s="144">
        <f>VLOOKUP(B574,Precificação!$B$96:$BM$587,54,0)</f>
        <v>0</v>
      </c>
      <c r="BA574" s="144">
        <f>VLOOKUP(B574,Precificação!$B$96:$BR$587,58,0)</f>
        <v>0</v>
      </c>
      <c r="BB574" s="144">
        <f>VLOOKUP(B574,Precificação!$B$96:$BW$587,62,0)</f>
        <v>0</v>
      </c>
      <c r="BC574" s="144">
        <f t="shared" si="493"/>
        <v>0</v>
      </c>
      <c r="BD574" s="109">
        <f>IFERROR(VLOOKUP(B574,Precificação!$B$96:$S$587,13,0),0)</f>
        <v>0</v>
      </c>
      <c r="BE574" s="109">
        <f>IFERROR(VLOOKUP(B574,Precificação!$B$96:$U$587,15,0)/(Precificação!$U$4+Precificação!$U$91+Precificação!$U$535),0)*Dashboard!$T$3</f>
        <v>0</v>
      </c>
    </row>
    <row r="575" spans="2:57" ht="12" hidden="1" customHeight="1" outlineLevel="1">
      <c r="B575" s="137" t="str">
        <f>Precificação!B573</f>
        <v/>
      </c>
      <c r="E575" s="143" t="str">
        <f>IF('Cronog. e Histog.'!F733&gt;0,'Cronog. e Histog.'!F733,"")</f>
        <v/>
      </c>
      <c r="G575" s="179">
        <f t="shared" si="494"/>
        <v>0</v>
      </c>
      <c r="H575" s="110"/>
      <c r="I575" s="78"/>
      <c r="J575" s="81">
        <f>IF(I575="horista",H575*Dashboard!$D$15,IF(OR(I575="Mensalista",I575="PJ"),H575,))</f>
        <v>0</v>
      </c>
      <c r="K575" s="81">
        <f>IF(I575="PJ",J575,ROUND(J575*(1+Dashboard!$D$22),2))</f>
        <v>0</v>
      </c>
      <c r="L575" s="77"/>
      <c r="M575" s="180"/>
      <c r="P575" s="109">
        <f>IF($BD575&gt;0,(((($BD575/Dashboard!$D$15)*(1+Precificação!$W$589)))+$P$26)*(1+Dashboard!$D$35),0)</f>
        <v>0</v>
      </c>
      <c r="Q575" s="109">
        <f>IF($BD575&gt;0,(((($BD575/Dashboard!$D$23)+(1+Precificação!$W$589))*(1+Q$28))+$P$26)*(1+Dashboard!$D$35),0)</f>
        <v>0</v>
      </c>
      <c r="R575" s="109">
        <f>IF($BD575&gt;0,(((($BD575/Dashboard!$D$23)+(1+Precificação!$W$589))*(1+R$28))+$P$26)*(1+Dashboard!$D$35),0)</f>
        <v>0</v>
      </c>
      <c r="S575" s="109">
        <f>IF($BD575&gt;0,(((($BD575/Dashboard!$D$23)+(1+Precificação!$W$589))*(1+S$28))+$P$26)*(1+Dashboard!$D$35),0)</f>
        <v>0</v>
      </c>
      <c r="U575" s="109">
        <f t="shared" si="481"/>
        <v>0</v>
      </c>
      <c r="V575" s="109">
        <f t="shared" si="482"/>
        <v>0</v>
      </c>
      <c r="W575" s="109">
        <f t="shared" si="483"/>
        <v>0</v>
      </c>
      <c r="X575" s="109">
        <f t="shared" si="484"/>
        <v>0</v>
      </c>
      <c r="AA575" s="109">
        <f>IF($BD575&gt;0,(((($BD575/Dashboard!$D$23)*(1+Precificação!$W$589)))+$AA$26)*(1+Dashboard!$D$35),0)</f>
        <v>0</v>
      </c>
      <c r="AB575" s="109">
        <f>IF($BD575&gt;0,(((($BD575/Dashboard!$D$23)*(1+Precificação!$W$589))*(1+AB$28))+$AA$26)*(1+Dashboard!$D$35),0)</f>
        <v>0</v>
      </c>
      <c r="AC575" s="109">
        <f>IF($BD575&gt;0,(((($BD575/Dashboard!$D$23)*(1+Precificação!$W$589))*(1+AC$28))+$AA$26)*(1+Dashboard!$D$35),0)</f>
        <v>0</v>
      </c>
      <c r="AD575" s="109">
        <f>IF($BD575&gt;0,(((($BD575/Dashboard!$D$23)*(1+Precificação!$W$589))*(1+AD$28))+$AA$26)*(1+Dashboard!$D$35),0)</f>
        <v>0</v>
      </c>
      <c r="AF575" s="109">
        <f t="shared" si="485"/>
        <v>0</v>
      </c>
      <c r="AG575" s="109">
        <f t="shared" si="486"/>
        <v>0</v>
      </c>
      <c r="AH575" s="109">
        <f t="shared" si="487"/>
        <v>0</v>
      </c>
      <c r="AI575" s="109">
        <f t="shared" si="488"/>
        <v>0</v>
      </c>
      <c r="AL575" s="109">
        <f>IF($BD575&gt;0,(((($BD575/Dashboard!$D$23)*(1+Precificação!$W$589)))+$AL$26)*(1+Dashboard!$D$35),0)</f>
        <v>0</v>
      </c>
      <c r="AM575" s="109">
        <f>IF($BD575&gt;0,(((($BD575/Dashboard!$D$23)*(1+Precificação!$W$589))*(1+AM$28))+$AA$26)*(1+Dashboard!$D$35),0)</f>
        <v>0</v>
      </c>
      <c r="AN575" s="109">
        <f>IF($BD575&gt;0,(((($BD575/Dashboard!$D$23)*(1+Precificação!$W$589))*(1+AN$28))+$AA$26)*(1+Dashboard!$D$35),0)</f>
        <v>0</v>
      </c>
      <c r="AO575" s="109">
        <f>IF($BD575&gt;0,(((($BD575/Dashboard!$D$23)*(1+Precificação!$W$589))*(1+AO$28))+$AA$26)*(1+Dashboard!$D$35),0)</f>
        <v>0</v>
      </c>
      <c r="AQ575" s="109">
        <f t="shared" si="489"/>
        <v>0</v>
      </c>
      <c r="AR575" s="109">
        <f t="shared" si="490"/>
        <v>0</v>
      </c>
      <c r="AS575" s="109">
        <f t="shared" si="491"/>
        <v>0</v>
      </c>
      <c r="AT575" s="109">
        <f t="shared" si="492"/>
        <v>0</v>
      </c>
      <c r="AW575" s="144">
        <f>VLOOKUP(B575,'Cronog. e Histog.'!$B$698:$BT$747,71,0)</f>
        <v>0</v>
      </c>
      <c r="AX575" s="144">
        <f>VLOOKUP(B575,'Cronog. e Histog.'!$B$698:$BU$747,72,0)</f>
        <v>0</v>
      </c>
      <c r="AY575" s="144">
        <f>$AW575*$AX575*Dashboard!$D$15</f>
        <v>0</v>
      </c>
      <c r="AZ575" s="144">
        <f>VLOOKUP(B575,Precificação!$B$96:$BM$587,54,0)</f>
        <v>0</v>
      </c>
      <c r="BA575" s="144">
        <f>VLOOKUP(B575,Precificação!$B$96:$BR$587,58,0)</f>
        <v>0</v>
      </c>
      <c r="BB575" s="144">
        <f>VLOOKUP(B575,Precificação!$B$96:$BW$587,62,0)</f>
        <v>0</v>
      </c>
      <c r="BC575" s="144">
        <f t="shared" si="493"/>
        <v>0</v>
      </c>
      <c r="BD575" s="109">
        <f>IFERROR(VLOOKUP(B575,Precificação!$B$96:$S$587,13,0),0)</f>
        <v>0</v>
      </c>
      <c r="BE575" s="109">
        <f>IFERROR(VLOOKUP(B575,Precificação!$B$96:$U$587,15,0)/(Precificação!$U$4+Precificação!$U$91+Precificação!$U$535),0)*Dashboard!$T$3</f>
        <v>0</v>
      </c>
    </row>
    <row r="576" spans="2:57" ht="12" hidden="1" customHeight="1" outlineLevel="1">
      <c r="B576" s="137" t="str">
        <f>Precificação!B574</f>
        <v/>
      </c>
      <c r="E576" s="143" t="str">
        <f>IF('Cronog. e Histog.'!F734&gt;0,'Cronog. e Histog.'!F734,"")</f>
        <v/>
      </c>
      <c r="G576" s="179">
        <f t="shared" si="494"/>
        <v>0</v>
      </c>
      <c r="H576" s="110"/>
      <c r="I576" s="78"/>
      <c r="J576" s="81">
        <f>IF(I576="horista",H576*Dashboard!$D$15,IF(OR(I576="Mensalista",I576="PJ"),H576,))</f>
        <v>0</v>
      </c>
      <c r="K576" s="81">
        <f>IF(I576="PJ",J576,ROUND(J576*(1+Dashboard!$D$22),2))</f>
        <v>0</v>
      </c>
      <c r="L576" s="77"/>
      <c r="M576" s="180"/>
      <c r="P576" s="109">
        <f>IF($BD576&gt;0,(((($BD576/Dashboard!$D$15)*(1+Precificação!$W$589)))+$P$26)*(1+Dashboard!$D$35),0)</f>
        <v>0</v>
      </c>
      <c r="Q576" s="109">
        <f>IF($BD576&gt;0,(((($BD576/Dashboard!$D$23)+(1+Precificação!$W$589))*(1+Q$28))+$P$26)*(1+Dashboard!$D$35),0)</f>
        <v>0</v>
      </c>
      <c r="R576" s="109">
        <f>IF($BD576&gt;0,(((($BD576/Dashboard!$D$23)+(1+Precificação!$W$589))*(1+R$28))+$P$26)*(1+Dashboard!$D$35),0)</f>
        <v>0</v>
      </c>
      <c r="S576" s="109">
        <f>IF($BD576&gt;0,(((($BD576/Dashboard!$D$23)+(1+Precificação!$W$589))*(1+S$28))+$P$26)*(1+Dashboard!$D$35),0)</f>
        <v>0</v>
      </c>
      <c r="U576" s="109">
        <f t="shared" si="481"/>
        <v>0</v>
      </c>
      <c r="V576" s="109">
        <f t="shared" si="482"/>
        <v>0</v>
      </c>
      <c r="W576" s="109">
        <f t="shared" si="483"/>
        <v>0</v>
      </c>
      <c r="X576" s="109">
        <f t="shared" si="484"/>
        <v>0</v>
      </c>
      <c r="AA576" s="109">
        <f>IF($BD576&gt;0,(((($BD576/Dashboard!$D$23)*(1+Precificação!$W$589)))+$AA$26)*(1+Dashboard!$D$35),0)</f>
        <v>0</v>
      </c>
      <c r="AB576" s="109">
        <f>IF($BD576&gt;0,(((($BD576/Dashboard!$D$23)*(1+Precificação!$W$589))*(1+AB$28))+$AA$26)*(1+Dashboard!$D$35),0)</f>
        <v>0</v>
      </c>
      <c r="AC576" s="109">
        <f>IF($BD576&gt;0,(((($BD576/Dashboard!$D$23)*(1+Precificação!$W$589))*(1+AC$28))+$AA$26)*(1+Dashboard!$D$35),0)</f>
        <v>0</v>
      </c>
      <c r="AD576" s="109">
        <f>IF($BD576&gt;0,(((($BD576/Dashboard!$D$23)*(1+Precificação!$W$589))*(1+AD$28))+$AA$26)*(1+Dashboard!$D$35),0)</f>
        <v>0</v>
      </c>
      <c r="AF576" s="109">
        <f t="shared" si="485"/>
        <v>0</v>
      </c>
      <c r="AG576" s="109">
        <f t="shared" si="486"/>
        <v>0</v>
      </c>
      <c r="AH576" s="109">
        <f t="shared" si="487"/>
        <v>0</v>
      </c>
      <c r="AI576" s="109">
        <f t="shared" si="488"/>
        <v>0</v>
      </c>
      <c r="AL576" s="109">
        <f>IF($BD576&gt;0,(((($BD576/Dashboard!$D$23)*(1+Precificação!$W$589)))+$AL$26)*(1+Dashboard!$D$35),0)</f>
        <v>0</v>
      </c>
      <c r="AM576" s="109">
        <f>IF($BD576&gt;0,(((($BD576/Dashboard!$D$23)*(1+Precificação!$W$589))*(1+AM$28))+$AA$26)*(1+Dashboard!$D$35),0)</f>
        <v>0</v>
      </c>
      <c r="AN576" s="109">
        <f>IF($BD576&gt;0,(((($BD576/Dashboard!$D$23)*(1+Precificação!$W$589))*(1+AN$28))+$AA$26)*(1+Dashboard!$D$35),0)</f>
        <v>0</v>
      </c>
      <c r="AO576" s="109">
        <f>IF($BD576&gt;0,(((($BD576/Dashboard!$D$23)*(1+Precificação!$W$589))*(1+AO$28))+$AA$26)*(1+Dashboard!$D$35),0)</f>
        <v>0</v>
      </c>
      <c r="AQ576" s="109">
        <f t="shared" si="489"/>
        <v>0</v>
      </c>
      <c r="AR576" s="109">
        <f t="shared" si="490"/>
        <v>0</v>
      </c>
      <c r="AS576" s="109">
        <f t="shared" si="491"/>
        <v>0</v>
      </c>
      <c r="AT576" s="109">
        <f t="shared" si="492"/>
        <v>0</v>
      </c>
      <c r="AW576" s="144">
        <f>VLOOKUP(B576,'Cronog. e Histog.'!$B$698:$BT$747,71,0)</f>
        <v>0</v>
      </c>
      <c r="AX576" s="144">
        <f>VLOOKUP(B576,'Cronog. e Histog.'!$B$698:$BU$747,72,0)</f>
        <v>0</v>
      </c>
      <c r="AY576" s="144">
        <f>$AW576*$AX576*Dashboard!$D$15</f>
        <v>0</v>
      </c>
      <c r="AZ576" s="144">
        <f>VLOOKUP(B576,Precificação!$B$96:$BM$587,54,0)</f>
        <v>0</v>
      </c>
      <c r="BA576" s="144">
        <f>VLOOKUP(B576,Precificação!$B$96:$BR$587,58,0)</f>
        <v>0</v>
      </c>
      <c r="BB576" s="144">
        <f>VLOOKUP(B576,Precificação!$B$96:$BW$587,62,0)</f>
        <v>0</v>
      </c>
      <c r="BC576" s="144">
        <f t="shared" si="493"/>
        <v>0</v>
      </c>
      <c r="BD576" s="109">
        <f>IFERROR(VLOOKUP(B576,Precificação!$B$96:$S$587,13,0),0)</f>
        <v>0</v>
      </c>
      <c r="BE576" s="109">
        <f>IFERROR(VLOOKUP(B576,Precificação!$B$96:$U$587,15,0)/(Precificação!$U$4+Precificação!$U$91+Precificação!$U$535),0)*Dashboard!$T$3</f>
        <v>0</v>
      </c>
    </row>
    <row r="577" spans="2:57" ht="12" hidden="1" customHeight="1" outlineLevel="1">
      <c r="B577" s="137" t="str">
        <f>Precificação!B575</f>
        <v/>
      </c>
      <c r="E577" s="143" t="str">
        <f>IF('Cronog. e Histog.'!F735&gt;0,'Cronog. e Histog.'!F735,"")</f>
        <v/>
      </c>
      <c r="G577" s="179">
        <f t="shared" si="494"/>
        <v>0</v>
      </c>
      <c r="H577" s="110"/>
      <c r="I577" s="78"/>
      <c r="J577" s="81">
        <f>IF(I577="horista",H577*Dashboard!$D$15,IF(OR(I577="Mensalista",I577="PJ"),H577,))</f>
        <v>0</v>
      </c>
      <c r="K577" s="81">
        <f>IF(I577="PJ",J577,ROUND(J577*(1+Dashboard!$D$22),2))</f>
        <v>0</v>
      </c>
      <c r="L577" s="77"/>
      <c r="M577" s="180"/>
      <c r="P577" s="109">
        <f>IF($BD577&gt;0,(((($BD577/Dashboard!$D$15)*(1+Precificação!$W$589)))+$P$26)*(1+Dashboard!$D$35),0)</f>
        <v>0</v>
      </c>
      <c r="Q577" s="109">
        <f>IF($BD577&gt;0,(((($BD577/Dashboard!$D$23)+(1+Precificação!$W$589))*(1+Q$28))+$P$26)*(1+Dashboard!$D$35),0)</f>
        <v>0</v>
      </c>
      <c r="R577" s="109">
        <f>IF($BD577&gt;0,(((($BD577/Dashboard!$D$23)+(1+Precificação!$W$589))*(1+R$28))+$P$26)*(1+Dashboard!$D$35),0)</f>
        <v>0</v>
      </c>
      <c r="S577" s="109">
        <f>IF($BD577&gt;0,(((($BD577/Dashboard!$D$23)+(1+Precificação!$W$589))*(1+S$28))+$P$26)*(1+Dashboard!$D$35),0)</f>
        <v>0</v>
      </c>
      <c r="U577" s="109">
        <f t="shared" si="481"/>
        <v>0</v>
      </c>
      <c r="V577" s="109">
        <f t="shared" si="482"/>
        <v>0</v>
      </c>
      <c r="W577" s="109">
        <f t="shared" si="483"/>
        <v>0</v>
      </c>
      <c r="X577" s="109">
        <f t="shared" si="484"/>
        <v>0</v>
      </c>
      <c r="AA577" s="109">
        <f>IF($BD577&gt;0,(((($BD577/Dashboard!$D$23)*(1+Precificação!$W$589)))+$AA$26)*(1+Dashboard!$D$35),0)</f>
        <v>0</v>
      </c>
      <c r="AB577" s="109">
        <f>IF($BD577&gt;0,(((($BD577/Dashboard!$D$23)*(1+Precificação!$W$589))*(1+AB$28))+$AA$26)*(1+Dashboard!$D$35),0)</f>
        <v>0</v>
      </c>
      <c r="AC577" s="109">
        <f>IF($BD577&gt;0,(((($BD577/Dashboard!$D$23)*(1+Precificação!$W$589))*(1+AC$28))+$AA$26)*(1+Dashboard!$D$35),0)</f>
        <v>0</v>
      </c>
      <c r="AD577" s="109">
        <f>IF($BD577&gt;0,(((($BD577/Dashboard!$D$23)*(1+Precificação!$W$589))*(1+AD$28))+$AA$26)*(1+Dashboard!$D$35),0)</f>
        <v>0</v>
      </c>
      <c r="AF577" s="109">
        <f t="shared" si="485"/>
        <v>0</v>
      </c>
      <c r="AG577" s="109">
        <f t="shared" si="486"/>
        <v>0</v>
      </c>
      <c r="AH577" s="109">
        <f t="shared" si="487"/>
        <v>0</v>
      </c>
      <c r="AI577" s="109">
        <f t="shared" si="488"/>
        <v>0</v>
      </c>
      <c r="AL577" s="109">
        <f>IF($BD577&gt;0,(((($BD577/Dashboard!$D$23)*(1+Precificação!$W$589)))+$AL$26)*(1+Dashboard!$D$35),0)</f>
        <v>0</v>
      </c>
      <c r="AM577" s="109">
        <f>IF($BD577&gt;0,(((($BD577/Dashboard!$D$23)*(1+Precificação!$W$589))*(1+AM$28))+$AA$26)*(1+Dashboard!$D$35),0)</f>
        <v>0</v>
      </c>
      <c r="AN577" s="109">
        <f>IF($BD577&gt;0,(((($BD577/Dashboard!$D$23)*(1+Precificação!$W$589))*(1+AN$28))+$AA$26)*(1+Dashboard!$D$35),0)</f>
        <v>0</v>
      </c>
      <c r="AO577" s="109">
        <f>IF($BD577&gt;0,(((($BD577/Dashboard!$D$23)*(1+Precificação!$W$589))*(1+AO$28))+$AA$26)*(1+Dashboard!$D$35),0)</f>
        <v>0</v>
      </c>
      <c r="AQ577" s="109">
        <f t="shared" si="489"/>
        <v>0</v>
      </c>
      <c r="AR577" s="109">
        <f t="shared" si="490"/>
        <v>0</v>
      </c>
      <c r="AS577" s="109">
        <f t="shared" si="491"/>
        <v>0</v>
      </c>
      <c r="AT577" s="109">
        <f t="shared" si="492"/>
        <v>0</v>
      </c>
      <c r="AW577" s="144">
        <f>VLOOKUP(B577,'Cronog. e Histog.'!$B$698:$BT$747,71,0)</f>
        <v>0</v>
      </c>
      <c r="AX577" s="144">
        <f>VLOOKUP(B577,'Cronog. e Histog.'!$B$698:$BU$747,72,0)</f>
        <v>0</v>
      </c>
      <c r="AY577" s="144">
        <f>$AW577*$AX577*Dashboard!$D$15</f>
        <v>0</v>
      </c>
      <c r="AZ577" s="144">
        <f>VLOOKUP(B577,Precificação!$B$96:$BM$587,54,0)</f>
        <v>0</v>
      </c>
      <c r="BA577" s="144">
        <f>VLOOKUP(B577,Precificação!$B$96:$BR$587,58,0)</f>
        <v>0</v>
      </c>
      <c r="BB577" s="144">
        <f>VLOOKUP(B577,Precificação!$B$96:$BW$587,62,0)</f>
        <v>0</v>
      </c>
      <c r="BC577" s="144">
        <f t="shared" si="493"/>
        <v>0</v>
      </c>
      <c r="BD577" s="109">
        <f>IFERROR(VLOOKUP(B577,Precificação!$B$96:$S$587,13,0),0)</f>
        <v>0</v>
      </c>
      <c r="BE577" s="109">
        <f>IFERROR(VLOOKUP(B577,Precificação!$B$96:$U$587,15,0)/(Precificação!$U$4+Precificação!$U$91+Precificação!$U$535),0)*Dashboard!$T$3</f>
        <v>0</v>
      </c>
    </row>
    <row r="578" spans="2:57" ht="12" hidden="1" customHeight="1" outlineLevel="1">
      <c r="B578" s="137" t="str">
        <f>Precificação!B576</f>
        <v/>
      </c>
      <c r="E578" s="143" t="str">
        <f>IF('Cronog. e Histog.'!F736&gt;0,'Cronog. e Histog.'!F736,"")</f>
        <v/>
      </c>
      <c r="G578" s="179">
        <f t="shared" si="494"/>
        <v>0</v>
      </c>
      <c r="H578" s="110"/>
      <c r="I578" s="78"/>
      <c r="J578" s="81">
        <f>IF(I578="horista",H578*Dashboard!$D$15,IF(OR(I578="Mensalista",I578="PJ"),H578,))</f>
        <v>0</v>
      </c>
      <c r="K578" s="81">
        <f>IF(I578="PJ",J578,ROUND(J578*(1+Dashboard!$D$22),2))</f>
        <v>0</v>
      </c>
      <c r="L578" s="77"/>
      <c r="M578" s="180"/>
      <c r="P578" s="109">
        <f>IF($BD578&gt;0,(((($BD578/Dashboard!$D$15)*(1+Precificação!$W$589)))+$P$26)*(1+Dashboard!$D$35),0)</f>
        <v>0</v>
      </c>
      <c r="Q578" s="109">
        <f>IF($BD578&gt;0,(((($BD578/Dashboard!$D$23)+(1+Precificação!$W$589))*(1+Q$28))+$P$26)*(1+Dashboard!$D$35),0)</f>
        <v>0</v>
      </c>
      <c r="R578" s="109">
        <f>IF($BD578&gt;0,(((($BD578/Dashboard!$D$23)+(1+Precificação!$W$589))*(1+R$28))+$P$26)*(1+Dashboard!$D$35),0)</f>
        <v>0</v>
      </c>
      <c r="S578" s="109">
        <f>IF($BD578&gt;0,(((($BD578/Dashboard!$D$23)+(1+Precificação!$W$589))*(1+S$28))+$P$26)*(1+Dashboard!$D$35),0)</f>
        <v>0</v>
      </c>
      <c r="U578" s="109">
        <f t="shared" si="481"/>
        <v>0</v>
      </c>
      <c r="V578" s="109">
        <f t="shared" si="482"/>
        <v>0</v>
      </c>
      <c r="W578" s="109">
        <f t="shared" si="483"/>
        <v>0</v>
      </c>
      <c r="X578" s="109">
        <f t="shared" si="484"/>
        <v>0</v>
      </c>
      <c r="AA578" s="109">
        <f>IF($BD578&gt;0,(((($BD578/Dashboard!$D$23)*(1+Precificação!$W$589)))+$AA$26)*(1+Dashboard!$D$35),0)</f>
        <v>0</v>
      </c>
      <c r="AB578" s="109">
        <f>IF($BD578&gt;0,(((($BD578/Dashboard!$D$23)*(1+Precificação!$W$589))*(1+AB$28))+$AA$26)*(1+Dashboard!$D$35),0)</f>
        <v>0</v>
      </c>
      <c r="AC578" s="109">
        <f>IF($BD578&gt;0,(((($BD578/Dashboard!$D$23)*(1+Precificação!$W$589))*(1+AC$28))+$AA$26)*(1+Dashboard!$D$35),0)</f>
        <v>0</v>
      </c>
      <c r="AD578" s="109">
        <f>IF($BD578&gt;0,(((($BD578/Dashboard!$D$23)*(1+Precificação!$W$589))*(1+AD$28))+$AA$26)*(1+Dashboard!$D$35),0)</f>
        <v>0</v>
      </c>
      <c r="AF578" s="109">
        <f t="shared" si="485"/>
        <v>0</v>
      </c>
      <c r="AG578" s="109">
        <f t="shared" si="486"/>
        <v>0</v>
      </c>
      <c r="AH578" s="109">
        <f t="shared" si="487"/>
        <v>0</v>
      </c>
      <c r="AI578" s="109">
        <f t="shared" si="488"/>
        <v>0</v>
      </c>
      <c r="AL578" s="109">
        <f>IF($BD578&gt;0,(((($BD578/Dashboard!$D$23)*(1+Precificação!$W$589)))+$AL$26)*(1+Dashboard!$D$35),0)</f>
        <v>0</v>
      </c>
      <c r="AM578" s="109">
        <f>IF($BD578&gt;0,(((($BD578/Dashboard!$D$23)*(1+Precificação!$W$589))*(1+AM$28))+$AA$26)*(1+Dashboard!$D$35),0)</f>
        <v>0</v>
      </c>
      <c r="AN578" s="109">
        <f>IF($BD578&gt;0,(((($BD578/Dashboard!$D$23)*(1+Precificação!$W$589))*(1+AN$28))+$AA$26)*(1+Dashboard!$D$35),0)</f>
        <v>0</v>
      </c>
      <c r="AO578" s="109">
        <f>IF($BD578&gt;0,(((($BD578/Dashboard!$D$23)*(1+Precificação!$W$589))*(1+AO$28))+$AA$26)*(1+Dashboard!$D$35),0)</f>
        <v>0</v>
      </c>
      <c r="AQ578" s="109">
        <f t="shared" si="489"/>
        <v>0</v>
      </c>
      <c r="AR578" s="109">
        <f t="shared" si="490"/>
        <v>0</v>
      </c>
      <c r="AS578" s="109">
        <f t="shared" si="491"/>
        <v>0</v>
      </c>
      <c r="AT578" s="109">
        <f t="shared" si="492"/>
        <v>0</v>
      </c>
      <c r="AW578" s="144">
        <f>VLOOKUP(B578,'Cronog. e Histog.'!$B$698:$BT$747,71,0)</f>
        <v>0</v>
      </c>
      <c r="AX578" s="144">
        <f>VLOOKUP(B578,'Cronog. e Histog.'!$B$698:$BU$747,72,0)</f>
        <v>0</v>
      </c>
      <c r="AY578" s="144">
        <f>$AW578*$AX578*Dashboard!$D$15</f>
        <v>0</v>
      </c>
      <c r="AZ578" s="144">
        <f>VLOOKUP(B578,Precificação!$B$96:$BM$587,54,0)</f>
        <v>0</v>
      </c>
      <c r="BA578" s="144">
        <f>VLOOKUP(B578,Precificação!$B$96:$BR$587,58,0)</f>
        <v>0</v>
      </c>
      <c r="BB578" s="144">
        <f>VLOOKUP(B578,Precificação!$B$96:$BW$587,62,0)</f>
        <v>0</v>
      </c>
      <c r="BC578" s="144">
        <f t="shared" si="493"/>
        <v>0</v>
      </c>
      <c r="BD578" s="109">
        <f>IFERROR(VLOOKUP(B578,Precificação!$B$96:$S$587,13,0),0)</f>
        <v>0</v>
      </c>
      <c r="BE578" s="109">
        <f>IFERROR(VLOOKUP(B578,Precificação!$B$96:$U$587,15,0)/(Precificação!$U$4+Precificação!$U$91+Precificação!$U$535),0)*Dashboard!$T$3</f>
        <v>0</v>
      </c>
    </row>
    <row r="579" spans="2:57" ht="12" hidden="1" customHeight="1" outlineLevel="1">
      <c r="B579" s="137" t="str">
        <f>Precificação!B577</f>
        <v/>
      </c>
      <c r="E579" s="143" t="str">
        <f>IF('Cronog. e Histog.'!F737&gt;0,'Cronog. e Histog.'!F737,"")</f>
        <v/>
      </c>
      <c r="G579" s="179">
        <f t="shared" si="494"/>
        <v>0</v>
      </c>
      <c r="H579" s="110"/>
      <c r="I579" s="78"/>
      <c r="J579" s="81">
        <f>IF(I579="horista",H579*Dashboard!$D$15,IF(OR(I579="Mensalista",I579="PJ"),H579,))</f>
        <v>0</v>
      </c>
      <c r="K579" s="81">
        <f>IF(I579="PJ",J579,ROUND(J579*(1+Dashboard!$D$22),2))</f>
        <v>0</v>
      </c>
      <c r="L579" s="77"/>
      <c r="M579" s="180"/>
      <c r="P579" s="109">
        <f>IF($BD579&gt;0,(((($BD579/Dashboard!$D$15)*(1+Precificação!$W$589)))+$P$26)*(1+Dashboard!$D$35),0)</f>
        <v>0</v>
      </c>
      <c r="Q579" s="109">
        <f>IF($BD579&gt;0,(((($BD579/Dashboard!$D$23)+(1+Precificação!$W$589))*(1+Q$28))+$P$26)*(1+Dashboard!$D$35),0)</f>
        <v>0</v>
      </c>
      <c r="R579" s="109">
        <f>IF($BD579&gt;0,(((($BD579/Dashboard!$D$23)+(1+Precificação!$W$589))*(1+R$28))+$P$26)*(1+Dashboard!$D$35),0)</f>
        <v>0</v>
      </c>
      <c r="S579" s="109">
        <f>IF($BD579&gt;0,(((($BD579/Dashboard!$D$23)+(1+Precificação!$W$589))*(1+S$28))+$P$26)*(1+Dashboard!$D$35),0)</f>
        <v>0</v>
      </c>
      <c r="U579" s="109">
        <f t="shared" si="481"/>
        <v>0</v>
      </c>
      <c r="V579" s="109">
        <f t="shared" si="482"/>
        <v>0</v>
      </c>
      <c r="W579" s="109">
        <f t="shared" si="483"/>
        <v>0</v>
      </c>
      <c r="X579" s="109">
        <f t="shared" si="484"/>
        <v>0</v>
      </c>
      <c r="AA579" s="109">
        <f>IF($BD579&gt;0,(((($BD579/Dashboard!$D$23)*(1+Precificação!$W$589)))+$AA$26)*(1+Dashboard!$D$35),0)</f>
        <v>0</v>
      </c>
      <c r="AB579" s="109">
        <f>IF($BD579&gt;0,(((($BD579/Dashboard!$D$23)*(1+Precificação!$W$589))*(1+AB$28))+$AA$26)*(1+Dashboard!$D$35),0)</f>
        <v>0</v>
      </c>
      <c r="AC579" s="109">
        <f>IF($BD579&gt;0,(((($BD579/Dashboard!$D$23)*(1+Precificação!$W$589))*(1+AC$28))+$AA$26)*(1+Dashboard!$D$35),0)</f>
        <v>0</v>
      </c>
      <c r="AD579" s="109">
        <f>IF($BD579&gt;0,(((($BD579/Dashboard!$D$23)*(1+Precificação!$W$589))*(1+AD$28))+$AA$26)*(1+Dashboard!$D$35),0)</f>
        <v>0</v>
      </c>
      <c r="AF579" s="109">
        <f t="shared" si="485"/>
        <v>0</v>
      </c>
      <c r="AG579" s="109">
        <f t="shared" si="486"/>
        <v>0</v>
      </c>
      <c r="AH579" s="109">
        <f t="shared" si="487"/>
        <v>0</v>
      </c>
      <c r="AI579" s="109">
        <f t="shared" si="488"/>
        <v>0</v>
      </c>
      <c r="AL579" s="109">
        <f>IF($BD579&gt;0,(((($BD579/Dashboard!$D$23)*(1+Precificação!$W$589)))+$AL$26)*(1+Dashboard!$D$35),0)</f>
        <v>0</v>
      </c>
      <c r="AM579" s="109">
        <f>IF($BD579&gt;0,(((($BD579/Dashboard!$D$23)*(1+Precificação!$W$589))*(1+AM$28))+$AA$26)*(1+Dashboard!$D$35),0)</f>
        <v>0</v>
      </c>
      <c r="AN579" s="109">
        <f>IF($BD579&gt;0,(((($BD579/Dashboard!$D$23)*(1+Precificação!$W$589))*(1+AN$28))+$AA$26)*(1+Dashboard!$D$35),0)</f>
        <v>0</v>
      </c>
      <c r="AO579" s="109">
        <f>IF($BD579&gt;0,(((($BD579/Dashboard!$D$23)*(1+Precificação!$W$589))*(1+AO$28))+$AA$26)*(1+Dashboard!$D$35),0)</f>
        <v>0</v>
      </c>
      <c r="AQ579" s="109">
        <f t="shared" si="489"/>
        <v>0</v>
      </c>
      <c r="AR579" s="109">
        <f t="shared" si="490"/>
        <v>0</v>
      </c>
      <c r="AS579" s="109">
        <f t="shared" si="491"/>
        <v>0</v>
      </c>
      <c r="AT579" s="109">
        <f t="shared" si="492"/>
        <v>0</v>
      </c>
      <c r="AW579" s="144">
        <f>VLOOKUP(B579,'Cronog. e Histog.'!$B$698:$BT$747,71,0)</f>
        <v>0</v>
      </c>
      <c r="AX579" s="144">
        <f>VLOOKUP(B579,'Cronog. e Histog.'!$B$698:$BU$747,72,0)</f>
        <v>0</v>
      </c>
      <c r="AY579" s="144">
        <f>$AW579*$AX579*Dashboard!$D$15</f>
        <v>0</v>
      </c>
      <c r="AZ579" s="144">
        <f>VLOOKUP(B579,Precificação!$B$96:$BM$587,54,0)</f>
        <v>0</v>
      </c>
      <c r="BA579" s="144">
        <f>VLOOKUP(B579,Precificação!$B$96:$BR$587,58,0)</f>
        <v>0</v>
      </c>
      <c r="BB579" s="144">
        <f>VLOOKUP(B579,Precificação!$B$96:$BW$587,62,0)</f>
        <v>0</v>
      </c>
      <c r="BC579" s="144">
        <f t="shared" si="493"/>
        <v>0</v>
      </c>
      <c r="BD579" s="109">
        <f>IFERROR(VLOOKUP(B579,Precificação!$B$96:$S$587,13,0),0)</f>
        <v>0</v>
      </c>
      <c r="BE579" s="109">
        <f>IFERROR(VLOOKUP(B579,Precificação!$B$96:$U$587,15,0)/(Precificação!$U$4+Precificação!$U$91+Precificação!$U$535),0)*Dashboard!$T$3</f>
        <v>0</v>
      </c>
    </row>
    <row r="580" spans="2:57" ht="12" hidden="1" customHeight="1" outlineLevel="1">
      <c r="B580" s="137" t="str">
        <f>Precificação!B578</f>
        <v/>
      </c>
      <c r="E580" s="143" t="str">
        <f>IF('Cronog. e Histog.'!F738&gt;0,'Cronog. e Histog.'!F738,"")</f>
        <v/>
      </c>
      <c r="G580" s="179">
        <f t="shared" si="494"/>
        <v>0</v>
      </c>
      <c r="H580" s="110"/>
      <c r="I580" s="78"/>
      <c r="J580" s="81">
        <f>IF(I580="horista",H580*Dashboard!$D$15,IF(OR(I580="Mensalista",I580="PJ"),H580,))</f>
        <v>0</v>
      </c>
      <c r="K580" s="81">
        <f>IF(I580="PJ",J580,ROUND(J580*(1+Dashboard!$D$22),2))</f>
        <v>0</v>
      </c>
      <c r="L580" s="77"/>
      <c r="M580" s="180"/>
      <c r="P580" s="109">
        <f>IF($BD580&gt;0,(((($BD580/Dashboard!$D$15)*(1+Precificação!$W$589)))+$P$26)*(1+Dashboard!$D$35),0)</f>
        <v>0</v>
      </c>
      <c r="Q580" s="109">
        <f>IF($BD580&gt;0,(((($BD580/Dashboard!$D$23)+(1+Precificação!$W$589))*(1+Q$28))+$P$26)*(1+Dashboard!$D$35),0)</f>
        <v>0</v>
      </c>
      <c r="R580" s="109">
        <f>IF($BD580&gt;0,(((($BD580/Dashboard!$D$23)+(1+Precificação!$W$589))*(1+R$28))+$P$26)*(1+Dashboard!$D$35),0)</f>
        <v>0</v>
      </c>
      <c r="S580" s="109">
        <f>IF($BD580&gt;0,(((($BD580/Dashboard!$D$23)+(1+Precificação!$W$589))*(1+S$28))+$P$26)*(1+Dashboard!$D$35),0)</f>
        <v>0</v>
      </c>
      <c r="U580" s="109">
        <f t="shared" si="481"/>
        <v>0</v>
      </c>
      <c r="V580" s="109">
        <f t="shared" si="482"/>
        <v>0</v>
      </c>
      <c r="W580" s="109">
        <f t="shared" si="483"/>
        <v>0</v>
      </c>
      <c r="X580" s="109">
        <f t="shared" si="484"/>
        <v>0</v>
      </c>
      <c r="AA580" s="109">
        <f>IF($BD580&gt;0,(((($BD580/Dashboard!$D$23)*(1+Precificação!$W$589)))+$AA$26)*(1+Dashboard!$D$35),0)</f>
        <v>0</v>
      </c>
      <c r="AB580" s="109">
        <f>IF($BD580&gt;0,(((($BD580/Dashboard!$D$23)*(1+Precificação!$W$589))*(1+AB$28))+$AA$26)*(1+Dashboard!$D$35),0)</f>
        <v>0</v>
      </c>
      <c r="AC580" s="109">
        <f>IF($BD580&gt;0,(((($BD580/Dashboard!$D$23)*(1+Precificação!$W$589))*(1+AC$28))+$AA$26)*(1+Dashboard!$D$35),0)</f>
        <v>0</v>
      </c>
      <c r="AD580" s="109">
        <f>IF($BD580&gt;0,(((($BD580/Dashboard!$D$23)*(1+Precificação!$W$589))*(1+AD$28))+$AA$26)*(1+Dashboard!$D$35),0)</f>
        <v>0</v>
      </c>
      <c r="AF580" s="109">
        <f t="shared" si="485"/>
        <v>0</v>
      </c>
      <c r="AG580" s="109">
        <f t="shared" si="486"/>
        <v>0</v>
      </c>
      <c r="AH580" s="109">
        <f t="shared" si="487"/>
        <v>0</v>
      </c>
      <c r="AI580" s="109">
        <f t="shared" si="488"/>
        <v>0</v>
      </c>
      <c r="AL580" s="109">
        <f>IF($BD580&gt;0,(((($BD580/Dashboard!$D$23)*(1+Precificação!$W$589)))+$AL$26)*(1+Dashboard!$D$35),0)</f>
        <v>0</v>
      </c>
      <c r="AM580" s="109">
        <f>IF($BD580&gt;0,(((($BD580/Dashboard!$D$23)*(1+Precificação!$W$589))*(1+AM$28))+$AA$26)*(1+Dashboard!$D$35),0)</f>
        <v>0</v>
      </c>
      <c r="AN580" s="109">
        <f>IF($BD580&gt;0,(((($BD580/Dashboard!$D$23)*(1+Precificação!$W$589))*(1+AN$28))+$AA$26)*(1+Dashboard!$D$35),0)</f>
        <v>0</v>
      </c>
      <c r="AO580" s="109">
        <f>IF($BD580&gt;0,(((($BD580/Dashboard!$D$23)*(1+Precificação!$W$589))*(1+AO$28))+$AA$26)*(1+Dashboard!$D$35),0)</f>
        <v>0</v>
      </c>
      <c r="AQ580" s="109">
        <f t="shared" si="489"/>
        <v>0</v>
      </c>
      <c r="AR580" s="109">
        <f t="shared" si="490"/>
        <v>0</v>
      </c>
      <c r="AS580" s="109">
        <f t="shared" si="491"/>
        <v>0</v>
      </c>
      <c r="AT580" s="109">
        <f t="shared" si="492"/>
        <v>0</v>
      </c>
      <c r="AW580" s="144">
        <f>VLOOKUP(B580,'Cronog. e Histog.'!$B$698:$BT$747,71,0)</f>
        <v>0</v>
      </c>
      <c r="AX580" s="144">
        <f>VLOOKUP(B580,'Cronog. e Histog.'!$B$698:$BU$747,72,0)</f>
        <v>0</v>
      </c>
      <c r="AY580" s="144">
        <f>$AW580*$AX580*Dashboard!$D$15</f>
        <v>0</v>
      </c>
      <c r="AZ580" s="144">
        <f>VLOOKUP(B580,Precificação!$B$96:$BM$587,54,0)</f>
        <v>0</v>
      </c>
      <c r="BA580" s="144">
        <f>VLOOKUP(B580,Precificação!$B$96:$BR$587,58,0)</f>
        <v>0</v>
      </c>
      <c r="BB580" s="144">
        <f>VLOOKUP(B580,Precificação!$B$96:$BW$587,62,0)</f>
        <v>0</v>
      </c>
      <c r="BC580" s="144">
        <f t="shared" si="493"/>
        <v>0</v>
      </c>
      <c r="BD580" s="109">
        <f>IFERROR(VLOOKUP(B580,Precificação!$B$96:$S$587,13,0),0)</f>
        <v>0</v>
      </c>
      <c r="BE580" s="109">
        <f>IFERROR(VLOOKUP(B580,Precificação!$B$96:$U$587,15,0)/(Precificação!$U$4+Precificação!$U$91+Precificação!$U$535),0)*Dashboard!$T$3</f>
        <v>0</v>
      </c>
    </row>
    <row r="581" spans="2:57" ht="12" hidden="1" customHeight="1" outlineLevel="1">
      <c r="B581" s="137" t="str">
        <f>Precificação!B579</f>
        <v/>
      </c>
      <c r="E581" s="143" t="str">
        <f>IF('Cronog. e Histog.'!F739&gt;0,'Cronog. e Histog.'!F739,"")</f>
        <v/>
      </c>
      <c r="G581" s="179">
        <f t="shared" si="494"/>
        <v>0</v>
      </c>
      <c r="H581" s="110"/>
      <c r="I581" s="78"/>
      <c r="J581" s="81">
        <f>IF(I581="horista",H581*Dashboard!$D$15,IF(OR(I581="Mensalista",I581="PJ"),H581,))</f>
        <v>0</v>
      </c>
      <c r="K581" s="81">
        <f>IF(I581="PJ",J581,ROUND(J581*(1+Dashboard!$D$22),2))</f>
        <v>0</v>
      </c>
      <c r="L581" s="77"/>
      <c r="M581" s="180"/>
      <c r="P581" s="109">
        <f>IF($BD581&gt;0,(((($BD581/Dashboard!$D$15)*(1+Precificação!$W$589)))+$P$26)*(1+Dashboard!$D$35),0)</f>
        <v>0</v>
      </c>
      <c r="Q581" s="109">
        <f>IF($BD581&gt;0,(((($BD581/Dashboard!$D$23)+(1+Precificação!$W$589))*(1+Q$28))+$P$26)*(1+Dashboard!$D$35),0)</f>
        <v>0</v>
      </c>
      <c r="R581" s="109">
        <f>IF($BD581&gt;0,(((($BD581/Dashboard!$D$23)+(1+Precificação!$W$589))*(1+R$28))+$P$26)*(1+Dashboard!$D$35),0)</f>
        <v>0</v>
      </c>
      <c r="S581" s="109">
        <f>IF($BD581&gt;0,(((($BD581/Dashboard!$D$23)+(1+Precificação!$W$589))*(1+S$28))+$P$26)*(1+Dashboard!$D$35),0)</f>
        <v>0</v>
      </c>
      <c r="U581" s="109">
        <f t="shared" si="481"/>
        <v>0</v>
      </c>
      <c r="V581" s="109">
        <f t="shared" si="482"/>
        <v>0</v>
      </c>
      <c r="W581" s="109">
        <f t="shared" si="483"/>
        <v>0</v>
      </c>
      <c r="X581" s="109">
        <f t="shared" si="484"/>
        <v>0</v>
      </c>
      <c r="AA581" s="109">
        <f>IF($BD581&gt;0,(((($BD581/Dashboard!$D$23)*(1+Precificação!$W$589)))+$AA$26)*(1+Dashboard!$D$35),0)</f>
        <v>0</v>
      </c>
      <c r="AB581" s="109">
        <f>IF($BD581&gt;0,(((($BD581/Dashboard!$D$23)*(1+Precificação!$W$589))*(1+AB$28))+$AA$26)*(1+Dashboard!$D$35),0)</f>
        <v>0</v>
      </c>
      <c r="AC581" s="109">
        <f>IF($BD581&gt;0,(((($BD581/Dashboard!$D$23)*(1+Precificação!$W$589))*(1+AC$28))+$AA$26)*(1+Dashboard!$D$35),0)</f>
        <v>0</v>
      </c>
      <c r="AD581" s="109">
        <f>IF($BD581&gt;0,(((($BD581/Dashboard!$D$23)*(1+Precificação!$W$589))*(1+AD$28))+$AA$26)*(1+Dashboard!$D$35),0)</f>
        <v>0</v>
      </c>
      <c r="AF581" s="109">
        <f t="shared" si="485"/>
        <v>0</v>
      </c>
      <c r="AG581" s="109">
        <f t="shared" si="486"/>
        <v>0</v>
      </c>
      <c r="AH581" s="109">
        <f t="shared" si="487"/>
        <v>0</v>
      </c>
      <c r="AI581" s="109">
        <f t="shared" si="488"/>
        <v>0</v>
      </c>
      <c r="AL581" s="109">
        <f>IF($BD581&gt;0,(((($BD581/Dashboard!$D$23)*(1+Precificação!$W$589)))+$AL$26)*(1+Dashboard!$D$35),0)</f>
        <v>0</v>
      </c>
      <c r="AM581" s="109">
        <f>IF($BD581&gt;0,(((($BD581/Dashboard!$D$23)*(1+Precificação!$W$589))*(1+AM$28))+$AA$26)*(1+Dashboard!$D$35),0)</f>
        <v>0</v>
      </c>
      <c r="AN581" s="109">
        <f>IF($BD581&gt;0,(((($BD581/Dashboard!$D$23)*(1+Precificação!$W$589))*(1+AN$28))+$AA$26)*(1+Dashboard!$D$35),0)</f>
        <v>0</v>
      </c>
      <c r="AO581" s="109">
        <f>IF($BD581&gt;0,(((($BD581/Dashboard!$D$23)*(1+Precificação!$W$589))*(1+AO$28))+$AA$26)*(1+Dashboard!$D$35),0)</f>
        <v>0</v>
      </c>
      <c r="AQ581" s="109">
        <f t="shared" si="489"/>
        <v>0</v>
      </c>
      <c r="AR581" s="109">
        <f t="shared" si="490"/>
        <v>0</v>
      </c>
      <c r="AS581" s="109">
        <f t="shared" si="491"/>
        <v>0</v>
      </c>
      <c r="AT581" s="109">
        <f t="shared" si="492"/>
        <v>0</v>
      </c>
      <c r="AW581" s="144">
        <f>VLOOKUP(B581,'Cronog. e Histog.'!$B$698:$BT$747,71,0)</f>
        <v>0</v>
      </c>
      <c r="AX581" s="144">
        <f>VLOOKUP(B581,'Cronog. e Histog.'!$B$698:$BU$747,72,0)</f>
        <v>0</v>
      </c>
      <c r="AY581" s="144">
        <f>$AW581*$AX581*Dashboard!$D$15</f>
        <v>0</v>
      </c>
      <c r="AZ581" s="144">
        <f>VLOOKUP(B581,Precificação!$B$96:$BM$587,54,0)</f>
        <v>0</v>
      </c>
      <c r="BA581" s="144">
        <f>VLOOKUP(B581,Precificação!$B$96:$BR$587,58,0)</f>
        <v>0</v>
      </c>
      <c r="BB581" s="144">
        <f>VLOOKUP(B581,Precificação!$B$96:$BW$587,62,0)</f>
        <v>0</v>
      </c>
      <c r="BC581" s="144">
        <f t="shared" si="493"/>
        <v>0</v>
      </c>
      <c r="BD581" s="109">
        <f>IFERROR(VLOOKUP(B581,Precificação!$B$96:$S$587,13,0),0)</f>
        <v>0</v>
      </c>
      <c r="BE581" s="109">
        <f>IFERROR(VLOOKUP(B581,Precificação!$B$96:$U$587,15,0)/(Precificação!$U$4+Precificação!$U$91+Precificação!$U$535),0)*Dashboard!$T$3</f>
        <v>0</v>
      </c>
    </row>
    <row r="582" spans="2:57" ht="12" hidden="1" customHeight="1" outlineLevel="1">
      <c r="B582" s="137" t="str">
        <f>Precificação!B580</f>
        <v/>
      </c>
      <c r="E582" s="143" t="str">
        <f>IF('Cronog. e Histog.'!F740&gt;0,'Cronog. e Histog.'!F740,"")</f>
        <v/>
      </c>
      <c r="G582" s="179">
        <f t="shared" si="494"/>
        <v>0</v>
      </c>
      <c r="H582" s="110"/>
      <c r="I582" s="78"/>
      <c r="J582" s="81">
        <f>IF(I582="horista",H582*Dashboard!$D$15,IF(OR(I582="Mensalista",I582="PJ"),H582,))</f>
        <v>0</v>
      </c>
      <c r="K582" s="81">
        <f>IF(I582="PJ",J582,ROUND(J582*(1+Dashboard!$D$22),2))</f>
        <v>0</v>
      </c>
      <c r="L582" s="77"/>
      <c r="M582" s="180"/>
      <c r="P582" s="109">
        <f>IF($BD582&gt;0,(((($BD582/Dashboard!$D$15)*(1+Precificação!$W$589)))+$P$26)*(1+Dashboard!$D$35),0)</f>
        <v>0</v>
      </c>
      <c r="Q582" s="109">
        <f>IF($BD582&gt;0,(((($BD582/Dashboard!$D$23)+(1+Precificação!$W$589))*(1+Q$28))+$P$26)*(1+Dashboard!$D$35),0)</f>
        <v>0</v>
      </c>
      <c r="R582" s="109">
        <f>IF($BD582&gt;0,(((($BD582/Dashboard!$D$23)+(1+Precificação!$W$589))*(1+R$28))+$P$26)*(1+Dashboard!$D$35),0)</f>
        <v>0</v>
      </c>
      <c r="S582" s="109">
        <f>IF($BD582&gt;0,(((($BD582/Dashboard!$D$23)+(1+Precificação!$W$589))*(1+S$28))+$P$26)*(1+Dashboard!$D$35),0)</f>
        <v>0</v>
      </c>
      <c r="U582" s="109">
        <f t="shared" si="481"/>
        <v>0</v>
      </c>
      <c r="V582" s="109">
        <f t="shared" si="482"/>
        <v>0</v>
      </c>
      <c r="W582" s="109">
        <f t="shared" si="483"/>
        <v>0</v>
      </c>
      <c r="X582" s="109">
        <f t="shared" si="484"/>
        <v>0</v>
      </c>
      <c r="AA582" s="109">
        <f>IF($BD582&gt;0,(((($BD582/Dashboard!$D$23)*(1+Precificação!$W$589)))+$AA$26)*(1+Dashboard!$D$35),0)</f>
        <v>0</v>
      </c>
      <c r="AB582" s="109">
        <f>IF($BD582&gt;0,(((($BD582/Dashboard!$D$23)*(1+Precificação!$W$589))*(1+AB$28))+$AA$26)*(1+Dashboard!$D$35),0)</f>
        <v>0</v>
      </c>
      <c r="AC582" s="109">
        <f>IF($BD582&gt;0,(((($BD582/Dashboard!$D$23)*(1+Precificação!$W$589))*(1+AC$28))+$AA$26)*(1+Dashboard!$D$35),0)</f>
        <v>0</v>
      </c>
      <c r="AD582" s="109">
        <f>IF($BD582&gt;0,(((($BD582/Dashboard!$D$23)*(1+Precificação!$W$589))*(1+AD$28))+$AA$26)*(1+Dashboard!$D$35),0)</f>
        <v>0</v>
      </c>
      <c r="AF582" s="109">
        <f t="shared" si="485"/>
        <v>0</v>
      </c>
      <c r="AG582" s="109">
        <f t="shared" si="486"/>
        <v>0</v>
      </c>
      <c r="AH582" s="109">
        <f t="shared" si="487"/>
        <v>0</v>
      </c>
      <c r="AI582" s="109">
        <f t="shared" si="488"/>
        <v>0</v>
      </c>
      <c r="AL582" s="109">
        <f>IF($BD582&gt;0,(((($BD582/Dashboard!$D$23)*(1+Precificação!$W$589)))+$AL$26)*(1+Dashboard!$D$35),0)</f>
        <v>0</v>
      </c>
      <c r="AM582" s="109">
        <f>IF($BD582&gt;0,(((($BD582/Dashboard!$D$23)*(1+Precificação!$W$589))*(1+AM$28))+$AA$26)*(1+Dashboard!$D$35),0)</f>
        <v>0</v>
      </c>
      <c r="AN582" s="109">
        <f>IF($BD582&gt;0,(((($BD582/Dashboard!$D$23)*(1+Precificação!$W$589))*(1+AN$28))+$AA$26)*(1+Dashboard!$D$35),0)</f>
        <v>0</v>
      </c>
      <c r="AO582" s="109">
        <f>IF($BD582&gt;0,(((($BD582/Dashboard!$D$23)*(1+Precificação!$W$589))*(1+AO$28))+$AA$26)*(1+Dashboard!$D$35),0)</f>
        <v>0</v>
      </c>
      <c r="AQ582" s="109">
        <f t="shared" si="489"/>
        <v>0</v>
      </c>
      <c r="AR582" s="109">
        <f t="shared" si="490"/>
        <v>0</v>
      </c>
      <c r="AS582" s="109">
        <f t="shared" si="491"/>
        <v>0</v>
      </c>
      <c r="AT582" s="109">
        <f t="shared" si="492"/>
        <v>0</v>
      </c>
      <c r="AW582" s="144">
        <f>VLOOKUP(B582,'Cronog. e Histog.'!$B$698:$BT$747,71,0)</f>
        <v>0</v>
      </c>
      <c r="AX582" s="144">
        <f>VLOOKUP(B582,'Cronog. e Histog.'!$B$698:$BU$747,72,0)</f>
        <v>0</v>
      </c>
      <c r="AY582" s="144">
        <f>$AW582*$AX582*Dashboard!$D$15</f>
        <v>0</v>
      </c>
      <c r="AZ582" s="144">
        <f>VLOOKUP(B582,Precificação!$B$96:$BM$587,54,0)</f>
        <v>0</v>
      </c>
      <c r="BA582" s="144">
        <f>VLOOKUP(B582,Precificação!$B$96:$BR$587,58,0)</f>
        <v>0</v>
      </c>
      <c r="BB582" s="144">
        <f>VLOOKUP(B582,Precificação!$B$96:$BW$587,62,0)</f>
        <v>0</v>
      </c>
      <c r="BC582" s="144">
        <f t="shared" si="493"/>
        <v>0</v>
      </c>
      <c r="BD582" s="109">
        <f>IFERROR(VLOOKUP(B582,Precificação!$B$96:$S$587,13,0),0)</f>
        <v>0</v>
      </c>
      <c r="BE582" s="109">
        <f>IFERROR(VLOOKUP(B582,Precificação!$B$96:$U$587,15,0)/(Precificação!$U$4+Precificação!$U$91+Precificação!$U$535),0)*Dashboard!$T$3</f>
        <v>0</v>
      </c>
    </row>
    <row r="583" spans="2:57" ht="12" hidden="1" customHeight="1" outlineLevel="1">
      <c r="B583" s="137" t="str">
        <f>Precificação!B581</f>
        <v/>
      </c>
      <c r="E583" s="143" t="str">
        <f>IF('Cronog. e Histog.'!F741&gt;0,'Cronog. e Histog.'!F741,"")</f>
        <v/>
      </c>
      <c r="G583" s="179">
        <f t="shared" si="494"/>
        <v>0</v>
      </c>
      <c r="H583" s="110"/>
      <c r="I583" s="78"/>
      <c r="J583" s="81">
        <f>IF(I583="horista",H583*Dashboard!$D$15,IF(OR(I583="Mensalista",I583="PJ"),H583,))</f>
        <v>0</v>
      </c>
      <c r="K583" s="81">
        <f>IF(I583="PJ",J583,ROUND(J583*(1+Dashboard!$D$22),2))</f>
        <v>0</v>
      </c>
      <c r="L583" s="77"/>
      <c r="M583" s="180"/>
      <c r="P583" s="109">
        <f>IF($BD583&gt;0,(((($BD583/Dashboard!$D$15)*(1+Precificação!$W$589)))+$P$26)*(1+Dashboard!$D$35),0)</f>
        <v>0</v>
      </c>
      <c r="Q583" s="109">
        <f>IF($BD583&gt;0,(((($BD583/Dashboard!$D$23)+(1+Precificação!$W$589))*(1+Q$28))+$P$26)*(1+Dashboard!$D$35),0)</f>
        <v>0</v>
      </c>
      <c r="R583" s="109">
        <f>IF($BD583&gt;0,(((($BD583/Dashboard!$D$23)+(1+Precificação!$W$589))*(1+R$28))+$P$26)*(1+Dashboard!$D$35),0)</f>
        <v>0</v>
      </c>
      <c r="S583" s="109">
        <f>IF($BD583&gt;0,(((($BD583/Dashboard!$D$23)+(1+Precificação!$W$589))*(1+S$28))+$P$26)*(1+Dashboard!$D$35),0)</f>
        <v>0</v>
      </c>
      <c r="U583" s="109">
        <f t="shared" si="481"/>
        <v>0</v>
      </c>
      <c r="V583" s="109">
        <f t="shared" si="482"/>
        <v>0</v>
      </c>
      <c r="W583" s="109">
        <f t="shared" si="483"/>
        <v>0</v>
      </c>
      <c r="X583" s="109">
        <f t="shared" si="484"/>
        <v>0</v>
      </c>
      <c r="AA583" s="109">
        <f>IF($BD583&gt;0,(((($BD583/Dashboard!$D$23)*(1+Precificação!$W$589)))+$AA$26)*(1+Dashboard!$D$35),0)</f>
        <v>0</v>
      </c>
      <c r="AB583" s="109">
        <f>IF($BD583&gt;0,(((($BD583/Dashboard!$D$23)*(1+Precificação!$W$589))*(1+AB$28))+$AA$26)*(1+Dashboard!$D$35),0)</f>
        <v>0</v>
      </c>
      <c r="AC583" s="109">
        <f>IF($BD583&gt;0,(((($BD583/Dashboard!$D$23)*(1+Precificação!$W$589))*(1+AC$28))+$AA$26)*(1+Dashboard!$D$35),0)</f>
        <v>0</v>
      </c>
      <c r="AD583" s="109">
        <f>IF($BD583&gt;0,(((($BD583/Dashboard!$D$23)*(1+Precificação!$W$589))*(1+AD$28))+$AA$26)*(1+Dashboard!$D$35),0)</f>
        <v>0</v>
      </c>
      <c r="AF583" s="109">
        <f t="shared" si="485"/>
        <v>0</v>
      </c>
      <c r="AG583" s="109">
        <f t="shared" si="486"/>
        <v>0</v>
      </c>
      <c r="AH583" s="109">
        <f t="shared" si="487"/>
        <v>0</v>
      </c>
      <c r="AI583" s="109">
        <f t="shared" si="488"/>
        <v>0</v>
      </c>
      <c r="AL583" s="109">
        <f>IF($BD583&gt;0,(((($BD583/Dashboard!$D$23)*(1+Precificação!$W$589)))+$AL$26)*(1+Dashboard!$D$35),0)</f>
        <v>0</v>
      </c>
      <c r="AM583" s="109">
        <f>IF($BD583&gt;0,(((($BD583/Dashboard!$D$23)*(1+Precificação!$W$589))*(1+AM$28))+$AA$26)*(1+Dashboard!$D$35),0)</f>
        <v>0</v>
      </c>
      <c r="AN583" s="109">
        <f>IF($BD583&gt;0,(((($BD583/Dashboard!$D$23)*(1+Precificação!$W$589))*(1+AN$28))+$AA$26)*(1+Dashboard!$D$35),0)</f>
        <v>0</v>
      </c>
      <c r="AO583" s="109">
        <f>IF($BD583&gt;0,(((($BD583/Dashboard!$D$23)*(1+Precificação!$W$589))*(1+AO$28))+$AA$26)*(1+Dashboard!$D$35),0)</f>
        <v>0</v>
      </c>
      <c r="AQ583" s="109">
        <f t="shared" si="489"/>
        <v>0</v>
      </c>
      <c r="AR583" s="109">
        <f t="shared" si="490"/>
        <v>0</v>
      </c>
      <c r="AS583" s="109">
        <f t="shared" si="491"/>
        <v>0</v>
      </c>
      <c r="AT583" s="109">
        <f t="shared" si="492"/>
        <v>0</v>
      </c>
      <c r="AW583" s="144">
        <f>VLOOKUP(B583,'Cronog. e Histog.'!$B$698:$BT$747,71,0)</f>
        <v>0</v>
      </c>
      <c r="AX583" s="144">
        <f>VLOOKUP(B583,'Cronog. e Histog.'!$B$698:$BU$747,72,0)</f>
        <v>0</v>
      </c>
      <c r="AY583" s="144">
        <f>$AW583*$AX583*Dashboard!$D$15</f>
        <v>0</v>
      </c>
      <c r="AZ583" s="144">
        <f>VLOOKUP(B583,Precificação!$B$96:$BM$587,54,0)</f>
        <v>0</v>
      </c>
      <c r="BA583" s="144">
        <f>VLOOKUP(B583,Precificação!$B$96:$BR$587,58,0)</f>
        <v>0</v>
      </c>
      <c r="BB583" s="144">
        <f>VLOOKUP(B583,Precificação!$B$96:$BW$587,62,0)</f>
        <v>0</v>
      </c>
      <c r="BC583" s="144">
        <f t="shared" si="493"/>
        <v>0</v>
      </c>
      <c r="BD583" s="109">
        <f>IFERROR(VLOOKUP(B583,Precificação!$B$96:$S$587,13,0),0)</f>
        <v>0</v>
      </c>
      <c r="BE583" s="109">
        <f>IFERROR(VLOOKUP(B583,Precificação!$B$96:$U$587,15,0)/(Precificação!$U$4+Precificação!$U$91+Precificação!$U$535),0)*Dashboard!$T$3</f>
        <v>0</v>
      </c>
    </row>
    <row r="584" spans="2:57" ht="12" hidden="1" customHeight="1" outlineLevel="1">
      <c r="B584" s="137" t="str">
        <f>Precificação!B582</f>
        <v/>
      </c>
      <c r="E584" s="143" t="str">
        <f>IF('Cronog. e Histog.'!F742&gt;0,'Cronog. e Histog.'!F742,"")</f>
        <v/>
      </c>
      <c r="G584" s="179">
        <f t="shared" si="494"/>
        <v>0</v>
      </c>
      <c r="H584" s="110"/>
      <c r="I584" s="78"/>
      <c r="J584" s="81">
        <f>IF(I584="horista",H584*Dashboard!$D$15,IF(OR(I584="Mensalista",I584="PJ"),H584,))</f>
        <v>0</v>
      </c>
      <c r="K584" s="81">
        <f>IF(I584="PJ",J584,ROUND(J584*(1+Dashboard!$D$22),2))</f>
        <v>0</v>
      </c>
      <c r="L584" s="77"/>
      <c r="M584" s="180"/>
      <c r="P584" s="109">
        <f>IF($BD584&gt;0,(((($BD584/Dashboard!$D$15)*(1+Precificação!$W$589)))+$P$26)*(1+Dashboard!$D$35),0)</f>
        <v>0</v>
      </c>
      <c r="Q584" s="109">
        <f>IF($BD584&gt;0,(((($BD584/Dashboard!$D$23)+(1+Precificação!$W$589))*(1+Q$28))+$P$26)*(1+Dashboard!$D$35),0)</f>
        <v>0</v>
      </c>
      <c r="R584" s="109">
        <f>IF($BD584&gt;0,(((($BD584/Dashboard!$D$23)+(1+Precificação!$W$589))*(1+R$28))+$P$26)*(1+Dashboard!$D$35),0)</f>
        <v>0</v>
      </c>
      <c r="S584" s="109">
        <f>IF($BD584&gt;0,(((($BD584/Dashboard!$D$23)+(1+Precificação!$W$589))*(1+S$28))+$P$26)*(1+Dashboard!$D$35),0)</f>
        <v>0</v>
      </c>
      <c r="U584" s="109">
        <f t="shared" si="481"/>
        <v>0</v>
      </c>
      <c r="V584" s="109">
        <f t="shared" si="482"/>
        <v>0</v>
      </c>
      <c r="W584" s="109">
        <f t="shared" si="483"/>
        <v>0</v>
      </c>
      <c r="X584" s="109">
        <f t="shared" si="484"/>
        <v>0</v>
      </c>
      <c r="AA584" s="109">
        <f>IF($BD584&gt;0,(((($BD584/Dashboard!$D$23)*(1+Precificação!$W$589)))+$AA$26)*(1+Dashboard!$D$35),0)</f>
        <v>0</v>
      </c>
      <c r="AB584" s="109">
        <f>IF($BD584&gt;0,(((($BD584/Dashboard!$D$23)*(1+Precificação!$W$589))*(1+AB$28))+$AA$26)*(1+Dashboard!$D$35),0)</f>
        <v>0</v>
      </c>
      <c r="AC584" s="109">
        <f>IF($BD584&gt;0,(((($BD584/Dashboard!$D$23)*(1+Precificação!$W$589))*(1+AC$28))+$AA$26)*(1+Dashboard!$D$35),0)</f>
        <v>0</v>
      </c>
      <c r="AD584" s="109">
        <f>IF($BD584&gt;0,(((($BD584/Dashboard!$D$23)*(1+Precificação!$W$589))*(1+AD$28))+$AA$26)*(1+Dashboard!$D$35),0)</f>
        <v>0</v>
      </c>
      <c r="AF584" s="109">
        <f t="shared" si="485"/>
        <v>0</v>
      </c>
      <c r="AG584" s="109">
        <f t="shared" si="486"/>
        <v>0</v>
      </c>
      <c r="AH584" s="109">
        <f t="shared" si="487"/>
        <v>0</v>
      </c>
      <c r="AI584" s="109">
        <f t="shared" si="488"/>
        <v>0</v>
      </c>
      <c r="AL584" s="109">
        <f>IF($BD584&gt;0,(((($BD584/Dashboard!$D$23)*(1+Precificação!$W$589)))+$AL$26)*(1+Dashboard!$D$35),0)</f>
        <v>0</v>
      </c>
      <c r="AM584" s="109">
        <f>IF($BD584&gt;0,(((($BD584/Dashboard!$D$23)*(1+Precificação!$W$589))*(1+AM$28))+$AA$26)*(1+Dashboard!$D$35),0)</f>
        <v>0</v>
      </c>
      <c r="AN584" s="109">
        <f>IF($BD584&gt;0,(((($BD584/Dashboard!$D$23)*(1+Precificação!$W$589))*(1+AN$28))+$AA$26)*(1+Dashboard!$D$35),0)</f>
        <v>0</v>
      </c>
      <c r="AO584" s="109">
        <f>IF($BD584&gt;0,(((($BD584/Dashboard!$D$23)*(1+Precificação!$W$589))*(1+AO$28))+$AA$26)*(1+Dashboard!$D$35),0)</f>
        <v>0</v>
      </c>
      <c r="AQ584" s="109">
        <f t="shared" si="489"/>
        <v>0</v>
      </c>
      <c r="AR584" s="109">
        <f t="shared" si="490"/>
        <v>0</v>
      </c>
      <c r="AS584" s="109">
        <f t="shared" si="491"/>
        <v>0</v>
      </c>
      <c r="AT584" s="109">
        <f t="shared" si="492"/>
        <v>0</v>
      </c>
      <c r="AW584" s="144">
        <f>VLOOKUP(B584,'Cronog. e Histog.'!$B$698:$BT$747,71,0)</f>
        <v>0</v>
      </c>
      <c r="AX584" s="144">
        <f>VLOOKUP(B584,'Cronog. e Histog.'!$B$698:$BU$747,72,0)</f>
        <v>0</v>
      </c>
      <c r="AY584" s="144">
        <f>$AW584*$AX584*Dashboard!$D$15</f>
        <v>0</v>
      </c>
      <c r="AZ584" s="144">
        <f>VLOOKUP(B584,Precificação!$B$96:$BM$587,54,0)</f>
        <v>0</v>
      </c>
      <c r="BA584" s="144">
        <f>VLOOKUP(B584,Precificação!$B$96:$BR$587,58,0)</f>
        <v>0</v>
      </c>
      <c r="BB584" s="144">
        <f>VLOOKUP(B584,Precificação!$B$96:$BW$587,62,0)</f>
        <v>0</v>
      </c>
      <c r="BC584" s="144">
        <f t="shared" si="493"/>
        <v>0</v>
      </c>
      <c r="BD584" s="109">
        <f>IFERROR(VLOOKUP(B584,Precificação!$B$96:$S$587,13,0),0)</f>
        <v>0</v>
      </c>
      <c r="BE584" s="109">
        <f>IFERROR(VLOOKUP(B584,Precificação!$B$96:$U$587,15,0)/(Precificação!$U$4+Precificação!$U$91+Precificação!$U$535),0)*Dashboard!$T$3</f>
        <v>0</v>
      </c>
    </row>
    <row r="585" spans="2:57" ht="12" hidden="1" customHeight="1" outlineLevel="1">
      <c r="B585" s="137" t="str">
        <f>Precificação!B583</f>
        <v/>
      </c>
      <c r="E585" s="143" t="str">
        <f>IF('Cronog. e Histog.'!F743&gt;0,'Cronog. e Histog.'!F743,"")</f>
        <v/>
      </c>
      <c r="G585" s="179">
        <f t="shared" si="494"/>
        <v>0</v>
      </c>
      <c r="H585" s="110"/>
      <c r="I585" s="78"/>
      <c r="J585" s="81">
        <f>IF(I585="horista",H585*Dashboard!$D$15,IF(OR(I585="Mensalista",I585="PJ"),H585,))</f>
        <v>0</v>
      </c>
      <c r="K585" s="81">
        <f>IF(I585="PJ",J585,ROUND(J585*(1+Dashboard!$D$22),2))</f>
        <v>0</v>
      </c>
      <c r="L585" s="77"/>
      <c r="M585" s="180"/>
      <c r="P585" s="109">
        <f>IF($BD585&gt;0,(((($BD585/Dashboard!$D$15)*(1+Precificação!$W$589)))+$P$26)*(1+Dashboard!$D$35),0)</f>
        <v>0</v>
      </c>
      <c r="Q585" s="109">
        <f>IF($BD585&gt;0,(((($BD585/Dashboard!$D$23)+(1+Precificação!$W$589))*(1+Q$28))+$P$26)*(1+Dashboard!$D$35),0)</f>
        <v>0</v>
      </c>
      <c r="R585" s="109">
        <f>IF($BD585&gt;0,(((($BD585/Dashboard!$D$23)+(1+Precificação!$W$589))*(1+R$28))+$P$26)*(1+Dashboard!$D$35),0)</f>
        <v>0</v>
      </c>
      <c r="S585" s="109">
        <f>IF($BD585&gt;0,(((($BD585/Dashboard!$D$23)+(1+Precificação!$W$589))*(1+S$28))+$P$26)*(1+Dashboard!$D$35),0)</f>
        <v>0</v>
      </c>
      <c r="U585" s="109">
        <f t="shared" si="481"/>
        <v>0</v>
      </c>
      <c r="V585" s="109">
        <f t="shared" si="482"/>
        <v>0</v>
      </c>
      <c r="W585" s="109">
        <f t="shared" si="483"/>
        <v>0</v>
      </c>
      <c r="X585" s="109">
        <f t="shared" si="484"/>
        <v>0</v>
      </c>
      <c r="AA585" s="109">
        <f>IF($BD585&gt;0,(((($BD585/Dashboard!$D$23)*(1+Precificação!$W$589)))+$AA$26)*(1+Dashboard!$D$35),0)</f>
        <v>0</v>
      </c>
      <c r="AB585" s="109">
        <f>IF($BD585&gt;0,(((($BD585/Dashboard!$D$23)*(1+Precificação!$W$589))*(1+AB$28))+$AA$26)*(1+Dashboard!$D$35),0)</f>
        <v>0</v>
      </c>
      <c r="AC585" s="109">
        <f>IF($BD585&gt;0,(((($BD585/Dashboard!$D$23)*(1+Precificação!$W$589))*(1+AC$28))+$AA$26)*(1+Dashboard!$D$35),0)</f>
        <v>0</v>
      </c>
      <c r="AD585" s="109">
        <f>IF($BD585&gt;0,(((($BD585/Dashboard!$D$23)*(1+Precificação!$W$589))*(1+AD$28))+$AA$26)*(1+Dashboard!$D$35),0)</f>
        <v>0</v>
      </c>
      <c r="AF585" s="109">
        <f t="shared" si="485"/>
        <v>0</v>
      </c>
      <c r="AG585" s="109">
        <f t="shared" si="486"/>
        <v>0</v>
      </c>
      <c r="AH585" s="109">
        <f t="shared" si="487"/>
        <v>0</v>
      </c>
      <c r="AI585" s="109">
        <f t="shared" si="488"/>
        <v>0</v>
      </c>
      <c r="AL585" s="109">
        <f>IF($BD585&gt;0,(((($BD585/Dashboard!$D$23)*(1+Precificação!$W$589)))+$AL$26)*(1+Dashboard!$D$35),0)</f>
        <v>0</v>
      </c>
      <c r="AM585" s="109">
        <f>IF($BD585&gt;0,(((($BD585/Dashboard!$D$23)*(1+Precificação!$W$589))*(1+AM$28))+$AA$26)*(1+Dashboard!$D$35),0)</f>
        <v>0</v>
      </c>
      <c r="AN585" s="109">
        <f>IF($BD585&gt;0,(((($BD585/Dashboard!$D$23)*(1+Precificação!$W$589))*(1+AN$28))+$AA$26)*(1+Dashboard!$D$35),0)</f>
        <v>0</v>
      </c>
      <c r="AO585" s="109">
        <f>IF($BD585&gt;0,(((($BD585/Dashboard!$D$23)*(1+Precificação!$W$589))*(1+AO$28))+$AA$26)*(1+Dashboard!$D$35),0)</f>
        <v>0</v>
      </c>
      <c r="AQ585" s="109">
        <f t="shared" si="489"/>
        <v>0</v>
      </c>
      <c r="AR585" s="109">
        <f t="shared" si="490"/>
        <v>0</v>
      </c>
      <c r="AS585" s="109">
        <f t="shared" si="491"/>
        <v>0</v>
      </c>
      <c r="AT585" s="109">
        <f t="shared" si="492"/>
        <v>0</v>
      </c>
      <c r="AW585" s="144">
        <f>VLOOKUP(B585,'Cronog. e Histog.'!$B$698:$BT$747,71,0)</f>
        <v>0</v>
      </c>
      <c r="AX585" s="144">
        <f>VLOOKUP(B585,'Cronog. e Histog.'!$B$698:$BU$747,72,0)</f>
        <v>0</v>
      </c>
      <c r="AY585" s="144">
        <f>$AW585*$AX585*Dashboard!$D$15</f>
        <v>0</v>
      </c>
      <c r="AZ585" s="144">
        <f>VLOOKUP(B585,Precificação!$B$96:$BM$587,54,0)</f>
        <v>0</v>
      </c>
      <c r="BA585" s="144">
        <f>VLOOKUP(B585,Precificação!$B$96:$BR$587,58,0)</f>
        <v>0</v>
      </c>
      <c r="BB585" s="144">
        <f>VLOOKUP(B585,Precificação!$B$96:$BW$587,62,0)</f>
        <v>0</v>
      </c>
      <c r="BC585" s="144">
        <f t="shared" si="493"/>
        <v>0</v>
      </c>
      <c r="BD585" s="109">
        <f>IFERROR(VLOOKUP(B585,Precificação!$B$96:$S$587,13,0),0)</f>
        <v>0</v>
      </c>
      <c r="BE585" s="109">
        <f>IFERROR(VLOOKUP(B585,Precificação!$B$96:$U$587,15,0)/(Precificação!$U$4+Precificação!$U$91+Precificação!$U$535),0)*Dashboard!$T$3</f>
        <v>0</v>
      </c>
    </row>
    <row r="586" spans="2:57" ht="12" hidden="1" customHeight="1" outlineLevel="1">
      <c r="B586" s="137" t="str">
        <f>Precificação!B584</f>
        <v/>
      </c>
      <c r="E586" s="143" t="str">
        <f>IF('Cronog. e Histog.'!F744&gt;0,'Cronog. e Histog.'!F744,"")</f>
        <v/>
      </c>
      <c r="G586" s="179">
        <f t="shared" si="494"/>
        <v>0</v>
      </c>
      <c r="H586" s="110"/>
      <c r="I586" s="78"/>
      <c r="J586" s="81">
        <f>IF(I586="horista",H586*Dashboard!$D$15,IF(OR(I586="Mensalista",I586="PJ"),H586,))</f>
        <v>0</v>
      </c>
      <c r="K586" s="81">
        <f>IF(I586="PJ",J586,ROUND(J586*(1+Dashboard!$D$22),2))</f>
        <v>0</v>
      </c>
      <c r="L586" s="77"/>
      <c r="M586" s="180"/>
      <c r="P586" s="109">
        <f>IF($BD586&gt;0,(((($BD586/Dashboard!$D$15)*(1+Precificação!$W$589)))+$P$26)*(1+Dashboard!$D$35),0)</f>
        <v>0</v>
      </c>
      <c r="Q586" s="109">
        <f>IF($BD586&gt;0,(((($BD586/Dashboard!$D$23)+(1+Precificação!$W$589))*(1+Q$28))+$P$26)*(1+Dashboard!$D$35),0)</f>
        <v>0</v>
      </c>
      <c r="R586" s="109">
        <f>IF($BD586&gt;0,(((($BD586/Dashboard!$D$23)+(1+Precificação!$W$589))*(1+R$28))+$P$26)*(1+Dashboard!$D$35),0)</f>
        <v>0</v>
      </c>
      <c r="S586" s="109">
        <f>IF($BD586&gt;0,(((($BD586/Dashboard!$D$23)+(1+Precificação!$W$589))*(1+S$28))+$P$26)*(1+Dashboard!$D$35),0)</f>
        <v>0</v>
      </c>
      <c r="U586" s="109">
        <f t="shared" si="481"/>
        <v>0</v>
      </c>
      <c r="V586" s="109">
        <f t="shared" si="482"/>
        <v>0</v>
      </c>
      <c r="W586" s="109">
        <f t="shared" si="483"/>
        <v>0</v>
      </c>
      <c r="X586" s="109">
        <f t="shared" si="484"/>
        <v>0</v>
      </c>
      <c r="AA586" s="109">
        <f>IF($BD586&gt;0,(((($BD586/Dashboard!$D$23)*(1+Precificação!$W$589)))+$AA$26)*(1+Dashboard!$D$35),0)</f>
        <v>0</v>
      </c>
      <c r="AB586" s="109">
        <f>IF($BD586&gt;0,(((($BD586/Dashboard!$D$23)*(1+Precificação!$W$589))*(1+AB$28))+$AA$26)*(1+Dashboard!$D$35),0)</f>
        <v>0</v>
      </c>
      <c r="AC586" s="109">
        <f>IF($BD586&gt;0,(((($BD586/Dashboard!$D$23)*(1+Precificação!$W$589))*(1+AC$28))+$AA$26)*(1+Dashboard!$D$35),0)</f>
        <v>0</v>
      </c>
      <c r="AD586" s="109">
        <f>IF($BD586&gt;0,(((($BD586/Dashboard!$D$23)*(1+Precificação!$W$589))*(1+AD$28))+$AA$26)*(1+Dashboard!$D$35),0)</f>
        <v>0</v>
      </c>
      <c r="AF586" s="109">
        <f t="shared" si="485"/>
        <v>0</v>
      </c>
      <c r="AG586" s="109">
        <f t="shared" si="486"/>
        <v>0</v>
      </c>
      <c r="AH586" s="109">
        <f t="shared" si="487"/>
        <v>0</v>
      </c>
      <c r="AI586" s="109">
        <f t="shared" si="488"/>
        <v>0</v>
      </c>
      <c r="AL586" s="109">
        <f>IF($BD586&gt;0,(((($BD586/Dashboard!$D$23)*(1+Precificação!$W$589)))+$AL$26)*(1+Dashboard!$D$35),0)</f>
        <v>0</v>
      </c>
      <c r="AM586" s="109">
        <f>IF($BD586&gt;0,(((($BD586/Dashboard!$D$23)*(1+Precificação!$W$589))*(1+AM$28))+$AA$26)*(1+Dashboard!$D$35),0)</f>
        <v>0</v>
      </c>
      <c r="AN586" s="109">
        <f>IF($BD586&gt;0,(((($BD586/Dashboard!$D$23)*(1+Precificação!$W$589))*(1+AN$28))+$AA$26)*(1+Dashboard!$D$35),0)</f>
        <v>0</v>
      </c>
      <c r="AO586" s="109">
        <f>IF($BD586&gt;0,(((($BD586/Dashboard!$D$23)*(1+Precificação!$W$589))*(1+AO$28))+$AA$26)*(1+Dashboard!$D$35),0)</f>
        <v>0</v>
      </c>
      <c r="AQ586" s="109">
        <f t="shared" si="489"/>
        <v>0</v>
      </c>
      <c r="AR586" s="109">
        <f t="shared" si="490"/>
        <v>0</v>
      </c>
      <c r="AS586" s="109">
        <f t="shared" si="491"/>
        <v>0</v>
      </c>
      <c r="AT586" s="109">
        <f t="shared" si="492"/>
        <v>0</v>
      </c>
      <c r="AW586" s="144">
        <f>VLOOKUP(B586,'Cronog. e Histog.'!$B$698:$BT$747,71,0)</f>
        <v>0</v>
      </c>
      <c r="AX586" s="144">
        <f>VLOOKUP(B586,'Cronog. e Histog.'!$B$698:$BU$747,72,0)</f>
        <v>0</v>
      </c>
      <c r="AY586" s="144">
        <f>$AW586*$AX586*Dashboard!$D$15</f>
        <v>0</v>
      </c>
      <c r="AZ586" s="144">
        <f>VLOOKUP(B586,Precificação!$B$96:$BM$587,54,0)</f>
        <v>0</v>
      </c>
      <c r="BA586" s="144">
        <f>VLOOKUP(B586,Precificação!$B$96:$BR$587,58,0)</f>
        <v>0</v>
      </c>
      <c r="BB586" s="144">
        <f>VLOOKUP(B586,Precificação!$B$96:$BW$587,62,0)</f>
        <v>0</v>
      </c>
      <c r="BC586" s="144">
        <f t="shared" si="493"/>
        <v>0</v>
      </c>
      <c r="BD586" s="109">
        <f>IFERROR(VLOOKUP(B586,Precificação!$B$96:$S$587,13,0),0)</f>
        <v>0</v>
      </c>
      <c r="BE586" s="109">
        <f>IFERROR(VLOOKUP(B586,Precificação!$B$96:$U$587,15,0)/(Precificação!$U$4+Precificação!$U$91+Precificação!$U$535),0)*Dashboard!$T$3</f>
        <v>0</v>
      </c>
    </row>
    <row r="587" spans="2:57" ht="12" hidden="1" customHeight="1" outlineLevel="1">
      <c r="B587" s="137" t="str">
        <f>Precificação!B585</f>
        <v/>
      </c>
      <c r="E587" s="143" t="str">
        <f>IF('Cronog. e Histog.'!F745&gt;0,'Cronog. e Histog.'!F745,"")</f>
        <v/>
      </c>
      <c r="G587" s="179">
        <f t="shared" si="494"/>
        <v>0</v>
      </c>
      <c r="H587" s="110"/>
      <c r="I587" s="78"/>
      <c r="J587" s="81">
        <f>IF(I587="horista",H587*Dashboard!$D$15,IF(OR(I587="Mensalista",I587="PJ"),H587,))</f>
        <v>0</v>
      </c>
      <c r="K587" s="81">
        <f>IF(I587="PJ",J587,ROUND(J587*(1+Dashboard!$D$22),2))</f>
        <v>0</v>
      </c>
      <c r="L587" s="77"/>
      <c r="M587" s="180"/>
      <c r="P587" s="109">
        <f>IF($BD587&gt;0,(((($BD587/Dashboard!$D$15)*(1+Precificação!$W$589)))+$P$26)*(1+Dashboard!$D$35),0)</f>
        <v>0</v>
      </c>
      <c r="Q587" s="109">
        <f>IF($BD587&gt;0,(((($BD587/Dashboard!$D$23)+(1+Precificação!$W$589))*(1+Q$28))+$P$26)*(1+Dashboard!$D$35),0)</f>
        <v>0</v>
      </c>
      <c r="R587" s="109">
        <f>IF($BD587&gt;0,(((($BD587/Dashboard!$D$23)+(1+Precificação!$W$589))*(1+R$28))+$P$26)*(1+Dashboard!$D$35),0)</f>
        <v>0</v>
      </c>
      <c r="S587" s="109">
        <f>IF($BD587&gt;0,(((($BD587/Dashboard!$D$23)+(1+Precificação!$W$589))*(1+S$28))+$P$26)*(1+Dashboard!$D$35),0)</f>
        <v>0</v>
      </c>
      <c r="U587" s="109">
        <f t="shared" si="481"/>
        <v>0</v>
      </c>
      <c r="V587" s="109">
        <f t="shared" si="482"/>
        <v>0</v>
      </c>
      <c r="W587" s="109">
        <f t="shared" si="483"/>
        <v>0</v>
      </c>
      <c r="X587" s="109">
        <f t="shared" si="484"/>
        <v>0</v>
      </c>
      <c r="AA587" s="109">
        <f>IF($BD587&gt;0,(((($BD587/Dashboard!$D$23)*(1+Precificação!$W$589)))+$AA$26)*(1+Dashboard!$D$35),0)</f>
        <v>0</v>
      </c>
      <c r="AB587" s="109">
        <f>IF($BD587&gt;0,(((($BD587/Dashboard!$D$23)*(1+Precificação!$W$589))*(1+AB$28))+$AA$26)*(1+Dashboard!$D$35),0)</f>
        <v>0</v>
      </c>
      <c r="AC587" s="109">
        <f>IF($BD587&gt;0,(((($BD587/Dashboard!$D$23)*(1+Precificação!$W$589))*(1+AC$28))+$AA$26)*(1+Dashboard!$D$35),0)</f>
        <v>0</v>
      </c>
      <c r="AD587" s="109">
        <f>IF($BD587&gt;0,(((($BD587/Dashboard!$D$23)*(1+Precificação!$W$589))*(1+AD$28))+$AA$26)*(1+Dashboard!$D$35),0)</f>
        <v>0</v>
      </c>
      <c r="AF587" s="109">
        <f t="shared" si="485"/>
        <v>0</v>
      </c>
      <c r="AG587" s="109">
        <f t="shared" si="486"/>
        <v>0</v>
      </c>
      <c r="AH587" s="109">
        <f t="shared" si="487"/>
        <v>0</v>
      </c>
      <c r="AI587" s="109">
        <f t="shared" si="488"/>
        <v>0</v>
      </c>
      <c r="AL587" s="109">
        <f>IF($BD587&gt;0,(((($BD587/Dashboard!$D$23)*(1+Precificação!$W$589)))+$AL$26)*(1+Dashboard!$D$35),0)</f>
        <v>0</v>
      </c>
      <c r="AM587" s="109">
        <f>IF($BD587&gt;0,(((($BD587/Dashboard!$D$23)*(1+Precificação!$W$589))*(1+AM$28))+$AA$26)*(1+Dashboard!$D$35),0)</f>
        <v>0</v>
      </c>
      <c r="AN587" s="109">
        <f>IF($BD587&gt;0,(((($BD587/Dashboard!$D$23)*(1+Precificação!$W$589))*(1+AN$28))+$AA$26)*(1+Dashboard!$D$35),0)</f>
        <v>0</v>
      </c>
      <c r="AO587" s="109">
        <f>IF($BD587&gt;0,(((($BD587/Dashboard!$D$23)*(1+Precificação!$W$589))*(1+AO$28))+$AA$26)*(1+Dashboard!$D$35),0)</f>
        <v>0</v>
      </c>
      <c r="AQ587" s="109">
        <f t="shared" si="489"/>
        <v>0</v>
      </c>
      <c r="AR587" s="109">
        <f t="shared" si="490"/>
        <v>0</v>
      </c>
      <c r="AS587" s="109">
        <f t="shared" si="491"/>
        <v>0</v>
      </c>
      <c r="AT587" s="109">
        <f t="shared" si="492"/>
        <v>0</v>
      </c>
      <c r="AW587" s="144">
        <f>VLOOKUP(B587,'Cronog. e Histog.'!$B$698:$BT$747,71,0)</f>
        <v>0</v>
      </c>
      <c r="AX587" s="144">
        <f>VLOOKUP(B587,'Cronog. e Histog.'!$B$698:$BU$747,72,0)</f>
        <v>0</v>
      </c>
      <c r="AY587" s="144">
        <f>$AW587*$AX587*Dashboard!$D$15</f>
        <v>0</v>
      </c>
      <c r="AZ587" s="144">
        <f>VLOOKUP(B587,Precificação!$B$96:$BM$587,54,0)</f>
        <v>0</v>
      </c>
      <c r="BA587" s="144">
        <f>VLOOKUP(B587,Precificação!$B$96:$BR$587,58,0)</f>
        <v>0</v>
      </c>
      <c r="BB587" s="144">
        <f>VLOOKUP(B587,Precificação!$B$96:$BW$587,62,0)</f>
        <v>0</v>
      </c>
      <c r="BC587" s="144">
        <f t="shared" si="493"/>
        <v>0</v>
      </c>
      <c r="BD587" s="109">
        <f>IFERROR(VLOOKUP(B587,Precificação!$B$96:$S$587,13,0),0)</f>
        <v>0</v>
      </c>
      <c r="BE587" s="109">
        <f>IFERROR(VLOOKUP(B587,Precificação!$B$96:$U$587,15,0)/(Precificação!$U$4+Precificação!$U$91+Precificação!$U$535),0)*Dashboard!$T$3</f>
        <v>0</v>
      </c>
    </row>
    <row r="588" spans="2:57" ht="12" hidden="1" customHeight="1" outlineLevel="1">
      <c r="B588" s="137" t="str">
        <f>Precificação!B586</f>
        <v/>
      </c>
      <c r="E588" s="143" t="str">
        <f>IF('Cronog. e Histog.'!F746&gt;0,'Cronog. e Histog.'!F746,"")</f>
        <v/>
      </c>
      <c r="G588" s="179">
        <f t="shared" si="494"/>
        <v>0</v>
      </c>
      <c r="H588" s="110"/>
      <c r="I588" s="78"/>
      <c r="J588" s="81">
        <f>IF(I588="horista",H588*Dashboard!$D$15,IF(OR(I588="Mensalista",I588="PJ"),H588,))</f>
        <v>0</v>
      </c>
      <c r="K588" s="81">
        <f>IF(I588="PJ",J588,ROUND(J588*(1+Dashboard!$D$22),2))</f>
        <v>0</v>
      </c>
      <c r="L588" s="77"/>
      <c r="M588" s="180"/>
      <c r="P588" s="109">
        <f>IF($BD588&gt;0,(((($BD588/Dashboard!$D$15)*(1+Precificação!$W$589)))+$P$26)*(1+Dashboard!$D$35),0)</f>
        <v>0</v>
      </c>
      <c r="Q588" s="109">
        <f>IF($BD588&gt;0,(((($BD588/Dashboard!$D$23)+(1+Precificação!$W$589))*(1+Q$28))+$P$26)*(1+Dashboard!$D$35),0)</f>
        <v>0</v>
      </c>
      <c r="R588" s="109">
        <f>IF($BD588&gt;0,(((($BD588/Dashboard!$D$23)+(1+Precificação!$W$589))*(1+R$28))+$P$26)*(1+Dashboard!$D$35),0)</f>
        <v>0</v>
      </c>
      <c r="S588" s="109">
        <f>IF($BD588&gt;0,(((($BD588/Dashboard!$D$23)+(1+Precificação!$W$589))*(1+S$28))+$P$26)*(1+Dashboard!$D$35),0)</f>
        <v>0</v>
      </c>
      <c r="U588" s="109">
        <f t="shared" si="481"/>
        <v>0</v>
      </c>
      <c r="V588" s="109">
        <f t="shared" si="482"/>
        <v>0</v>
      </c>
      <c r="W588" s="109">
        <f t="shared" si="483"/>
        <v>0</v>
      </c>
      <c r="X588" s="109">
        <f t="shared" si="484"/>
        <v>0</v>
      </c>
      <c r="AA588" s="109">
        <f>IF($BD588&gt;0,(((($BD588/Dashboard!$D$23)*(1+Precificação!$W$589)))+$AA$26)*(1+Dashboard!$D$35),0)</f>
        <v>0</v>
      </c>
      <c r="AB588" s="109">
        <f>IF($BD588&gt;0,(((($BD588/Dashboard!$D$23)*(1+Precificação!$W$589))*(1+AB$28))+$AA$26)*(1+Dashboard!$D$35),0)</f>
        <v>0</v>
      </c>
      <c r="AC588" s="109">
        <f>IF($BD588&gt;0,(((($BD588/Dashboard!$D$23)*(1+Precificação!$W$589))*(1+AC$28))+$AA$26)*(1+Dashboard!$D$35),0)</f>
        <v>0</v>
      </c>
      <c r="AD588" s="109">
        <f>IF($BD588&gt;0,(((($BD588/Dashboard!$D$23)*(1+Precificação!$W$589))*(1+AD$28))+$AA$26)*(1+Dashboard!$D$35),0)</f>
        <v>0</v>
      </c>
      <c r="AF588" s="109">
        <f t="shared" si="485"/>
        <v>0</v>
      </c>
      <c r="AG588" s="109">
        <f t="shared" si="486"/>
        <v>0</v>
      </c>
      <c r="AH588" s="109">
        <f t="shared" si="487"/>
        <v>0</v>
      </c>
      <c r="AI588" s="109">
        <f t="shared" si="488"/>
        <v>0</v>
      </c>
      <c r="AL588" s="109">
        <f>IF($BD588&gt;0,(((($BD588/Dashboard!$D$23)*(1+Precificação!$W$589)))+$AL$26)*(1+Dashboard!$D$35),0)</f>
        <v>0</v>
      </c>
      <c r="AM588" s="109">
        <f>IF($BD588&gt;0,(((($BD588/Dashboard!$D$23)*(1+Precificação!$W$589))*(1+AM$28))+$AA$26)*(1+Dashboard!$D$35),0)</f>
        <v>0</v>
      </c>
      <c r="AN588" s="109">
        <f>IF($BD588&gt;0,(((($BD588/Dashboard!$D$23)*(1+Precificação!$W$589))*(1+AN$28))+$AA$26)*(1+Dashboard!$D$35),0)</f>
        <v>0</v>
      </c>
      <c r="AO588" s="109">
        <f>IF($BD588&gt;0,(((($BD588/Dashboard!$D$23)*(1+Precificação!$W$589))*(1+AO$28))+$AA$26)*(1+Dashboard!$D$35),0)</f>
        <v>0</v>
      </c>
      <c r="AQ588" s="109">
        <f t="shared" si="489"/>
        <v>0</v>
      </c>
      <c r="AR588" s="109">
        <f t="shared" si="490"/>
        <v>0</v>
      </c>
      <c r="AS588" s="109">
        <f t="shared" si="491"/>
        <v>0</v>
      </c>
      <c r="AT588" s="109">
        <f t="shared" si="492"/>
        <v>0</v>
      </c>
      <c r="AW588" s="144">
        <f>VLOOKUP(B588,'Cronog. e Histog.'!$B$698:$BT$747,71,0)</f>
        <v>0</v>
      </c>
      <c r="AX588" s="144">
        <f>VLOOKUP(B588,'Cronog. e Histog.'!$B$698:$BU$747,72,0)</f>
        <v>0</v>
      </c>
      <c r="AY588" s="144">
        <f>$AW588*$AX588*Dashboard!$D$15</f>
        <v>0</v>
      </c>
      <c r="AZ588" s="144">
        <f>VLOOKUP(B588,Precificação!$B$96:$BM$587,54,0)</f>
        <v>0</v>
      </c>
      <c r="BA588" s="144">
        <f>VLOOKUP(B588,Precificação!$B$96:$BR$587,58,0)</f>
        <v>0</v>
      </c>
      <c r="BB588" s="144">
        <f>VLOOKUP(B588,Precificação!$B$96:$BW$587,62,0)</f>
        <v>0</v>
      </c>
      <c r="BC588" s="144">
        <f t="shared" si="493"/>
        <v>0</v>
      </c>
      <c r="BD588" s="109">
        <f>IFERROR(VLOOKUP(B588,Precificação!$B$96:$S$587,13,0),0)</f>
        <v>0</v>
      </c>
      <c r="BE588" s="109">
        <f>IFERROR(VLOOKUP(B588,Precificação!$B$96:$U$587,15,0)/(Precificação!$U$4+Precificação!$U$91+Precificação!$U$535),0)*Dashboard!$T$3</f>
        <v>0</v>
      </c>
    </row>
    <row r="589" spans="2:57" ht="12" hidden="1" customHeight="1" outlineLevel="1">
      <c r="B589" s="137" t="str">
        <f>Precificação!B587</f>
        <v/>
      </c>
      <c r="E589" s="143" t="str">
        <f>IF('Cronog. e Histog.'!F747&gt;0,'Cronog. e Histog.'!F747,"")</f>
        <v/>
      </c>
      <c r="G589" s="179">
        <f t="shared" si="494"/>
        <v>0</v>
      </c>
      <c r="H589" s="110"/>
      <c r="I589" s="78"/>
      <c r="J589" s="81">
        <f>IF(I589="horista",H589*Dashboard!$D$15,IF(OR(I589="Mensalista",I589="PJ"),H589,))</f>
        <v>0</v>
      </c>
      <c r="K589" s="81">
        <f>IF(I589="PJ",J589,ROUND(J589*(1+Dashboard!$D$22),2))</f>
        <v>0</v>
      </c>
      <c r="L589" s="77"/>
      <c r="M589" s="180"/>
      <c r="P589" s="109">
        <f>IF($BD589&gt;0,(((($BD589/Dashboard!$D$15)*(1+Precificação!$W$589)))+$P$26)*(1+Dashboard!$D$35),0)</f>
        <v>0</v>
      </c>
      <c r="Q589" s="109">
        <f>IF($BD589&gt;0,(((($BD589/Dashboard!$D$23)+(1+Precificação!$W$589))*(1+Q$28))+$P$26)*(1+Dashboard!$D$35),0)</f>
        <v>0</v>
      </c>
      <c r="R589" s="109">
        <f>IF($BD589&gt;0,(((($BD589/Dashboard!$D$23)+(1+Precificação!$W$589))*(1+R$28))+$P$26)*(1+Dashboard!$D$35),0)</f>
        <v>0</v>
      </c>
      <c r="S589" s="109">
        <f>IF($BD589&gt;0,(((($BD589/Dashboard!$D$23)+(1+Precificação!$W$589))*(1+S$28))+$P$26)*(1+Dashboard!$D$35),0)</f>
        <v>0</v>
      </c>
      <c r="U589" s="109">
        <f t="shared" si="481"/>
        <v>0</v>
      </c>
      <c r="V589" s="109">
        <f t="shared" si="482"/>
        <v>0</v>
      </c>
      <c r="W589" s="109">
        <f t="shared" si="483"/>
        <v>0</v>
      </c>
      <c r="X589" s="109">
        <f t="shared" si="484"/>
        <v>0</v>
      </c>
      <c r="AA589" s="109">
        <f>IF($BD589&gt;0,(((($BD589/Dashboard!$D$23)*(1+Precificação!$W$589)))+$AA$26)*(1+Dashboard!$D$35),0)</f>
        <v>0</v>
      </c>
      <c r="AB589" s="109">
        <f>IF($BD589&gt;0,(((($BD589/Dashboard!$D$23)*(1+Precificação!$W$589))*(1+AB$28))+$AA$26)*(1+Dashboard!$D$35),0)</f>
        <v>0</v>
      </c>
      <c r="AC589" s="109">
        <f>IF($BD589&gt;0,(((($BD589/Dashboard!$D$23)*(1+Precificação!$W$589))*(1+AC$28))+$AA$26)*(1+Dashboard!$D$35),0)</f>
        <v>0</v>
      </c>
      <c r="AD589" s="109">
        <f>IF($BD589&gt;0,(((($BD589/Dashboard!$D$23)*(1+Precificação!$W$589))*(1+AD$28))+$AA$26)*(1+Dashboard!$D$35),0)</f>
        <v>0</v>
      </c>
      <c r="AF589" s="109">
        <f t="shared" si="485"/>
        <v>0</v>
      </c>
      <c r="AG589" s="109">
        <f t="shared" si="486"/>
        <v>0</v>
      </c>
      <c r="AH589" s="109">
        <f t="shared" si="487"/>
        <v>0</v>
      </c>
      <c r="AI589" s="109">
        <f t="shared" si="488"/>
        <v>0</v>
      </c>
      <c r="AL589" s="109">
        <f>IF($BD589&gt;0,(((($BD589/Dashboard!$D$23)*(1+Precificação!$W$589)))+$AL$26)*(1+Dashboard!$D$35),0)</f>
        <v>0</v>
      </c>
      <c r="AM589" s="109">
        <f>IF($BD589&gt;0,(((($BD589/Dashboard!$D$23)*(1+Precificação!$W$589))*(1+AM$28))+$AA$26)*(1+Dashboard!$D$35),0)</f>
        <v>0</v>
      </c>
      <c r="AN589" s="109">
        <f>IF($BD589&gt;0,(((($BD589/Dashboard!$D$23)*(1+Precificação!$W$589))*(1+AN$28))+$AA$26)*(1+Dashboard!$D$35),0)</f>
        <v>0</v>
      </c>
      <c r="AO589" s="109">
        <f>IF($BD589&gt;0,(((($BD589/Dashboard!$D$23)*(1+Precificação!$W$589))*(1+AO$28))+$AA$26)*(1+Dashboard!$D$35),0)</f>
        <v>0</v>
      </c>
      <c r="AQ589" s="109">
        <f t="shared" si="489"/>
        <v>0</v>
      </c>
      <c r="AR589" s="109">
        <f t="shared" si="490"/>
        <v>0</v>
      </c>
      <c r="AS589" s="109">
        <f t="shared" si="491"/>
        <v>0</v>
      </c>
      <c r="AT589" s="109">
        <f t="shared" si="492"/>
        <v>0</v>
      </c>
      <c r="AW589" s="144">
        <f>VLOOKUP(B589,'Cronog. e Histog.'!$B$698:$BT$747,71,0)</f>
        <v>0</v>
      </c>
      <c r="AX589" s="144">
        <f>VLOOKUP(B589,'Cronog. e Histog.'!$B$698:$BU$747,72,0)</f>
        <v>0</v>
      </c>
      <c r="AY589" s="144">
        <f>$AW589*$AX589*Dashboard!$D$15</f>
        <v>0</v>
      </c>
      <c r="AZ589" s="144">
        <f>VLOOKUP(B589,Precificação!$B$96:$BM$587,54,0)</f>
        <v>0</v>
      </c>
      <c r="BA589" s="144">
        <f>VLOOKUP(B589,Precificação!$B$96:$BR$587,58,0)</f>
        <v>0</v>
      </c>
      <c r="BB589" s="144">
        <f>VLOOKUP(B589,Precificação!$B$96:$BW$587,62,0)</f>
        <v>0</v>
      </c>
      <c r="BC589" s="144">
        <f t="shared" si="493"/>
        <v>0</v>
      </c>
      <c r="BD589" s="109">
        <f>IFERROR(VLOOKUP(B589,Precificação!$B$96:$S$587,13,0),0)</f>
        <v>0</v>
      </c>
      <c r="BE589" s="109">
        <f>IFERROR(VLOOKUP(B589,Precificação!$B$96:$U$587,15,0)/(Precificação!$U$4+Precificação!$U$91+Precificação!$U$535),0)*Dashboard!$T$3</f>
        <v>0</v>
      </c>
    </row>
  </sheetData>
  <mergeCells count="50">
    <mergeCell ref="AL2:AL5"/>
    <mergeCell ref="AM2:AM5"/>
    <mergeCell ref="P2:P5"/>
    <mergeCell ref="AA2:AA5"/>
    <mergeCell ref="AB2:AB5"/>
    <mergeCell ref="D433:D452"/>
    <mergeCell ref="D454:D473"/>
    <mergeCell ref="D475:D494"/>
    <mergeCell ref="D496:D515"/>
    <mergeCell ref="D517:D536"/>
    <mergeCell ref="D328:D347"/>
    <mergeCell ref="D349:D368"/>
    <mergeCell ref="D370:D389"/>
    <mergeCell ref="D391:D410"/>
    <mergeCell ref="D412:D431"/>
    <mergeCell ref="D265:D284"/>
    <mergeCell ref="D286:D305"/>
    <mergeCell ref="D307:D326"/>
    <mergeCell ref="D223:D242"/>
    <mergeCell ref="D244:D263"/>
    <mergeCell ref="D160:D179"/>
    <mergeCell ref="D181:D200"/>
    <mergeCell ref="D202:D221"/>
    <mergeCell ref="D32:D38"/>
    <mergeCell ref="D39:D45"/>
    <mergeCell ref="D46:D52"/>
    <mergeCell ref="D53:D59"/>
    <mergeCell ref="D60:D66"/>
    <mergeCell ref="D67:D73"/>
    <mergeCell ref="D74:D80"/>
    <mergeCell ref="D81:D87"/>
    <mergeCell ref="D88:D94"/>
    <mergeCell ref="D95:D104"/>
    <mergeCell ref="D105:D114"/>
    <mergeCell ref="D118:D137"/>
    <mergeCell ref="D139:D158"/>
    <mergeCell ref="AW29:BE29"/>
    <mergeCell ref="D29:E29"/>
    <mergeCell ref="G29:G31"/>
    <mergeCell ref="AV29:AV31"/>
    <mergeCell ref="H29:M29"/>
    <mergeCell ref="AQ29:AT29"/>
    <mergeCell ref="P29:S29"/>
    <mergeCell ref="AA29:AD29"/>
    <mergeCell ref="AL29:AO29"/>
    <mergeCell ref="O29:O31"/>
    <mergeCell ref="U29:X29"/>
    <mergeCell ref="Z29:Z31"/>
    <mergeCell ref="AF29:AI29"/>
    <mergeCell ref="AK29:AK31"/>
  </mergeCells>
  <conditionalFormatting sqref="G32:G114">
    <cfRule type="cellIs" dxfId="38" priority="43" operator="equal">
      <formula>1</formula>
    </cfRule>
  </conditionalFormatting>
  <conditionalFormatting sqref="G118:G137">
    <cfRule type="cellIs" dxfId="37" priority="1" operator="equal">
      <formula>1</formula>
    </cfRule>
  </conditionalFormatting>
  <conditionalFormatting sqref="G139:G158">
    <cfRule type="cellIs" dxfId="36" priority="2" operator="equal">
      <formula>1</formula>
    </cfRule>
  </conditionalFormatting>
  <conditionalFormatting sqref="G160:G179">
    <cfRule type="cellIs" dxfId="35" priority="3" operator="equal">
      <formula>1</formula>
    </cfRule>
  </conditionalFormatting>
  <conditionalFormatting sqref="G181:G200">
    <cfRule type="cellIs" dxfId="34" priority="4" operator="equal">
      <formula>1</formula>
    </cfRule>
  </conditionalFormatting>
  <conditionalFormatting sqref="G202:G221">
    <cfRule type="cellIs" dxfId="33" priority="5" operator="equal">
      <formula>1</formula>
    </cfRule>
  </conditionalFormatting>
  <conditionalFormatting sqref="G223:G242">
    <cfRule type="cellIs" dxfId="32" priority="6" operator="equal">
      <formula>1</formula>
    </cfRule>
  </conditionalFormatting>
  <conditionalFormatting sqref="G244:G263">
    <cfRule type="cellIs" dxfId="31" priority="7" operator="equal">
      <formula>1</formula>
    </cfRule>
  </conditionalFormatting>
  <conditionalFormatting sqref="G265:G284">
    <cfRule type="cellIs" dxfId="30" priority="8" operator="equal">
      <formula>1</formula>
    </cfRule>
  </conditionalFormatting>
  <conditionalFormatting sqref="G286:G305">
    <cfRule type="cellIs" dxfId="29" priority="9" operator="equal">
      <formula>1</formula>
    </cfRule>
  </conditionalFormatting>
  <conditionalFormatting sqref="G307:G326">
    <cfRule type="cellIs" dxfId="28" priority="10" operator="equal">
      <formula>1</formula>
    </cfRule>
  </conditionalFormatting>
  <conditionalFormatting sqref="G328:G347">
    <cfRule type="cellIs" dxfId="27" priority="11" operator="equal">
      <formula>1</formula>
    </cfRule>
  </conditionalFormatting>
  <conditionalFormatting sqref="G349:G368">
    <cfRule type="cellIs" dxfId="26" priority="12" operator="equal">
      <formula>1</formula>
    </cfRule>
  </conditionalFormatting>
  <conditionalFormatting sqref="G370:G389">
    <cfRule type="cellIs" dxfId="25" priority="13" operator="equal">
      <formula>1</formula>
    </cfRule>
  </conditionalFormatting>
  <conditionalFormatting sqref="G391:G410">
    <cfRule type="cellIs" dxfId="24" priority="14" operator="equal">
      <formula>1</formula>
    </cfRule>
  </conditionalFormatting>
  <conditionalFormatting sqref="G412:G431">
    <cfRule type="cellIs" dxfId="23" priority="15" operator="equal">
      <formula>1</formula>
    </cfRule>
  </conditionalFormatting>
  <conditionalFormatting sqref="G433:G452">
    <cfRule type="cellIs" dxfId="22" priority="16" operator="equal">
      <formula>1</formula>
    </cfRule>
  </conditionalFormatting>
  <conditionalFormatting sqref="G454:G473">
    <cfRule type="cellIs" dxfId="21" priority="17" operator="equal">
      <formula>1</formula>
    </cfRule>
  </conditionalFormatting>
  <conditionalFormatting sqref="G475:G494">
    <cfRule type="cellIs" dxfId="20" priority="18" operator="equal">
      <formula>1</formula>
    </cfRule>
  </conditionalFormatting>
  <conditionalFormatting sqref="G496:G515">
    <cfRule type="cellIs" dxfId="19" priority="19" operator="equal">
      <formula>1</formula>
    </cfRule>
  </conditionalFormatting>
  <conditionalFormatting sqref="G517:G536">
    <cfRule type="cellIs" dxfId="18" priority="23" operator="equal">
      <formula>1</formula>
    </cfRule>
  </conditionalFormatting>
  <conditionalFormatting sqref="G540:G589">
    <cfRule type="cellIs" dxfId="17" priority="20" operator="equal">
      <formula>1</formula>
    </cfRule>
  </conditionalFormatting>
  <pageMargins left="0.511811024" right="0.511811024" top="0.78740157499999996" bottom="0.78740157499999996" header="0.31496062000000002" footer="0.31496062000000002"/>
  <pageSetup paperSize="9"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4A86B0B1-D18D-4D26-BE11-E22B4CCCC693}">
          <x14:formula1>
            <xm:f>'Listas de apoio'!$B$2:$B$3</xm:f>
          </x14:formula1>
          <xm:sqref>AB6:AB25 AM6:AM25</xm:sqref>
        </x14:dataValidation>
        <x14:dataValidation type="list" allowBlank="1" xr:uid="{9E320511-C51B-45EE-902B-E0442214371A}">
          <x14:formula1>
            <xm:f>'Listas de apoio'!$G$2:$G$4</xm:f>
          </x14:formula1>
          <xm:sqref>I32:I114 I540:I589 I118:I137 I139:I158 I160:I179 I181:I200 I202:I221 I223:I242 I244:I263 I265:I284 I286:I305 I307:I326 I328:I347 I349:I368 I370:I389 I391:I410 I412:I431 I433:I452 I454:I473 I475:I494 I496:I515 I517:I536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9526-D65B-4BEC-9987-C69B90B19593}">
  <dimension ref="A2:I25"/>
  <sheetViews>
    <sheetView topLeftCell="A8" zoomScale="115" zoomScaleNormal="115" workbookViewId="0">
      <selection activeCell="B15" sqref="B15"/>
    </sheetView>
  </sheetViews>
  <sheetFormatPr defaultColWidth="9.140625" defaultRowHeight="14.1"/>
  <cols>
    <col min="1" max="1" width="4.5703125" style="181" bestFit="1" customWidth="1"/>
    <col min="2" max="2" width="28.140625" style="181" bestFit="1" customWidth="1"/>
    <col min="3" max="3" width="14.85546875" style="181" hidden="1" customWidth="1"/>
    <col min="4" max="6" width="14.85546875" style="181" customWidth="1"/>
    <col min="7" max="7" width="17.85546875" style="181" customWidth="1"/>
    <col min="8" max="8" width="19" style="181" bestFit="1" customWidth="1"/>
    <col min="9" max="9" width="22.5703125" style="181" bestFit="1" customWidth="1"/>
    <col min="10" max="16384" width="9.140625" style="181"/>
  </cols>
  <sheetData>
    <row r="2" spans="1:9">
      <c r="C2" s="182" t="s">
        <v>1123</v>
      </c>
      <c r="D2" s="632" t="s">
        <v>1124</v>
      </c>
      <c r="E2" s="633"/>
      <c r="F2" s="634"/>
      <c r="H2" s="183" t="s">
        <v>1125</v>
      </c>
      <c r="I2" s="183" t="s">
        <v>1126</v>
      </c>
    </row>
    <row r="3" spans="1:9">
      <c r="C3" s="326"/>
      <c r="D3" s="327" t="s">
        <v>1127</v>
      </c>
      <c r="E3" s="327" t="s">
        <v>1127</v>
      </c>
      <c r="F3" s="328"/>
      <c r="H3" s="184">
        <f>Dashboard!D16</f>
        <v>22</v>
      </c>
      <c r="I3" s="184">
        <f>Dashboard!$D$15</f>
        <v>193.60000000000002</v>
      </c>
    </row>
    <row r="4" spans="1:9">
      <c r="A4" s="329" t="s">
        <v>1128</v>
      </c>
      <c r="B4" s="329" t="s">
        <v>1129</v>
      </c>
      <c r="C4" s="330" t="s">
        <v>1127</v>
      </c>
      <c r="D4" s="331" t="s">
        <v>250</v>
      </c>
      <c r="E4" s="331" t="s">
        <v>1130</v>
      </c>
      <c r="F4" s="331" t="s">
        <v>249</v>
      </c>
      <c r="G4" s="332" t="s">
        <v>198</v>
      </c>
    </row>
    <row r="5" spans="1:9" ht="27.95">
      <c r="A5" s="333">
        <v>1</v>
      </c>
      <c r="B5" s="334" t="s">
        <v>1131</v>
      </c>
      <c r="C5" s="335">
        <v>18129.080000000002</v>
      </c>
      <c r="D5" s="336">
        <v>17500</v>
      </c>
      <c r="E5" s="336">
        <f>D5/$I$3</f>
        <v>90.392561983471069</v>
      </c>
      <c r="F5" s="337">
        <v>21000</v>
      </c>
      <c r="G5" s="338" t="s">
        <v>281</v>
      </c>
    </row>
    <row r="6" spans="1:9" ht="27.95">
      <c r="A6" s="333">
        <v>1</v>
      </c>
      <c r="B6" s="334" t="s">
        <v>1132</v>
      </c>
      <c r="C6" s="335">
        <v>18129.080000000002</v>
      </c>
      <c r="D6" s="336">
        <v>17500</v>
      </c>
      <c r="E6" s="336">
        <f>D6/$I$3</f>
        <v>90.392561983471069</v>
      </c>
      <c r="F6" s="337">
        <v>18000</v>
      </c>
      <c r="G6" s="338" t="s">
        <v>1133</v>
      </c>
    </row>
    <row r="7" spans="1:9">
      <c r="A7" s="333">
        <v>2</v>
      </c>
      <c r="B7" s="339" t="s">
        <v>1134</v>
      </c>
      <c r="C7" s="340">
        <v>13209.25</v>
      </c>
      <c r="D7" s="336">
        <v>14000</v>
      </c>
      <c r="E7" s="336">
        <f t="shared" ref="E7:E25" si="0">D7/$I$3</f>
        <v>72.314049586776846</v>
      </c>
      <c r="F7" s="483">
        <f>16000*0+(18000+1000)</f>
        <v>19000</v>
      </c>
      <c r="G7" s="338" t="s">
        <v>1135</v>
      </c>
    </row>
    <row r="8" spans="1:9">
      <c r="A8" s="333">
        <v>3</v>
      </c>
      <c r="B8" s="339" t="s">
        <v>1136</v>
      </c>
      <c r="C8" s="340"/>
      <c r="D8" s="336">
        <f>F8/1.2</f>
        <v>9166.6666666666679</v>
      </c>
      <c r="E8" s="336">
        <f t="shared" si="0"/>
        <v>47.348484848484851</v>
      </c>
      <c r="F8" s="337">
        <v>11000</v>
      </c>
      <c r="G8" s="338" t="s">
        <v>1137</v>
      </c>
    </row>
    <row r="9" spans="1:9" ht="14.45">
      <c r="A9" s="333">
        <v>4</v>
      </c>
      <c r="B9" s="339" t="s">
        <v>1138</v>
      </c>
      <c r="C9" s="335">
        <v>12606.23</v>
      </c>
      <c r="D9" s="336">
        <v>13800</v>
      </c>
      <c r="E9" s="336">
        <f t="shared" si="0"/>
        <v>71.280991735537185</v>
      </c>
      <c r="F9" s="483">
        <v>16000</v>
      </c>
      <c r="G9" s="338" t="s">
        <v>283</v>
      </c>
      <c r="H9" s="479"/>
    </row>
    <row r="10" spans="1:9">
      <c r="A10" s="333">
        <v>5</v>
      </c>
      <c r="B10" s="339" t="s">
        <v>1139</v>
      </c>
      <c r="C10" s="340">
        <v>11262.92</v>
      </c>
      <c r="D10" s="336">
        <v>12000</v>
      </c>
      <c r="E10" s="336">
        <f t="shared" si="0"/>
        <v>61.983471074380155</v>
      </c>
      <c r="F10" s="483">
        <v>14000</v>
      </c>
      <c r="G10" s="338" t="s">
        <v>1140</v>
      </c>
    </row>
    <row r="11" spans="1:9">
      <c r="A11" s="333">
        <v>6</v>
      </c>
      <c r="B11" s="339" t="s">
        <v>1141</v>
      </c>
      <c r="C11" s="340">
        <v>10618.02</v>
      </c>
      <c r="D11" s="336">
        <v>10000</v>
      </c>
      <c r="E11" s="336">
        <f t="shared" si="0"/>
        <v>51.652892561983464</v>
      </c>
      <c r="F11" s="483">
        <v>14000</v>
      </c>
      <c r="G11" s="338" t="s">
        <v>1142</v>
      </c>
    </row>
    <row r="12" spans="1:9">
      <c r="A12" s="333">
        <v>7</v>
      </c>
      <c r="B12" s="339" t="s">
        <v>1143</v>
      </c>
      <c r="C12" s="340">
        <v>8286.07</v>
      </c>
      <c r="D12" s="336">
        <v>7500</v>
      </c>
      <c r="E12" s="336">
        <f t="shared" si="0"/>
        <v>38.739669421487598</v>
      </c>
      <c r="F12" s="337">
        <f t="shared" ref="F12:F22" si="1">D12*1.2</f>
        <v>9000</v>
      </c>
      <c r="G12" s="338" t="s">
        <v>1144</v>
      </c>
    </row>
    <row r="13" spans="1:9">
      <c r="A13" s="333">
        <v>8</v>
      </c>
      <c r="B13" s="339" t="s">
        <v>1145</v>
      </c>
      <c r="C13" s="340">
        <v>5887.99</v>
      </c>
      <c r="D13" s="336">
        <v>6000</v>
      </c>
      <c r="E13" s="336">
        <f t="shared" si="0"/>
        <v>30.991735537190078</v>
      </c>
      <c r="F13" s="337">
        <f t="shared" si="1"/>
        <v>7200</v>
      </c>
      <c r="G13" s="338" t="s">
        <v>1146</v>
      </c>
    </row>
    <row r="14" spans="1:9">
      <c r="A14" s="333">
        <v>9</v>
      </c>
      <c r="B14" s="339" t="s">
        <v>1147</v>
      </c>
      <c r="C14" s="340">
        <v>4894.28</v>
      </c>
      <c r="D14" s="336">
        <v>4500</v>
      </c>
      <c r="E14" s="336">
        <f t="shared" si="0"/>
        <v>23.243801652892561</v>
      </c>
      <c r="F14" s="337">
        <f t="shared" si="1"/>
        <v>5400</v>
      </c>
      <c r="G14" s="338" t="s">
        <v>1148</v>
      </c>
    </row>
    <row r="15" spans="1:9">
      <c r="A15" s="333">
        <v>10</v>
      </c>
      <c r="B15" s="339" t="s">
        <v>1149</v>
      </c>
      <c r="C15" s="340"/>
      <c r="D15" s="507">
        <v>7000</v>
      </c>
      <c r="E15" s="336">
        <f t="shared" si="0"/>
        <v>36.157024793388423</v>
      </c>
      <c r="F15" s="337">
        <f t="shared" si="1"/>
        <v>8400</v>
      </c>
      <c r="G15" s="338" t="s">
        <v>1150</v>
      </c>
    </row>
    <row r="16" spans="1:9">
      <c r="A16" s="333">
        <v>11</v>
      </c>
      <c r="B16" s="339" t="s">
        <v>1151</v>
      </c>
      <c r="C16" s="340"/>
      <c r="D16" s="336">
        <v>5000</v>
      </c>
      <c r="E16" s="336">
        <f t="shared" si="0"/>
        <v>25.826446280991732</v>
      </c>
      <c r="F16" s="337">
        <f t="shared" si="1"/>
        <v>6000</v>
      </c>
      <c r="G16" s="338" t="s">
        <v>1152</v>
      </c>
    </row>
    <row r="17" spans="1:7">
      <c r="A17" s="333">
        <v>12</v>
      </c>
      <c r="B17" s="339" t="s">
        <v>1153</v>
      </c>
      <c r="C17" s="340"/>
      <c r="D17" s="336">
        <v>3500</v>
      </c>
      <c r="E17" s="336">
        <f t="shared" si="0"/>
        <v>18.078512396694212</v>
      </c>
      <c r="F17" s="337">
        <f t="shared" si="1"/>
        <v>4200</v>
      </c>
      <c r="G17" s="338" t="s">
        <v>1154</v>
      </c>
    </row>
    <row r="18" spans="1:7">
      <c r="A18" s="333">
        <v>13</v>
      </c>
      <c r="B18" s="339" t="s">
        <v>1155</v>
      </c>
      <c r="C18" s="340">
        <v>6632.01</v>
      </c>
      <c r="D18" s="336">
        <v>6000</v>
      </c>
      <c r="E18" s="336">
        <f t="shared" si="0"/>
        <v>30.991735537190078</v>
      </c>
      <c r="F18" s="337">
        <f t="shared" si="1"/>
        <v>7200</v>
      </c>
      <c r="G18" s="338" t="s">
        <v>1156</v>
      </c>
    </row>
    <row r="19" spans="1:7">
      <c r="A19" s="333">
        <v>14</v>
      </c>
      <c r="B19" s="339" t="s">
        <v>1157</v>
      </c>
      <c r="C19" s="340">
        <v>5225</v>
      </c>
      <c r="D19" s="336">
        <v>4500</v>
      </c>
      <c r="E19" s="336">
        <f t="shared" si="0"/>
        <v>23.243801652892561</v>
      </c>
      <c r="F19" s="337">
        <f t="shared" si="1"/>
        <v>5400</v>
      </c>
      <c r="G19" s="338" t="s">
        <v>1158</v>
      </c>
    </row>
    <row r="20" spans="1:7">
      <c r="A20" s="333">
        <v>15</v>
      </c>
      <c r="B20" s="339" t="s">
        <v>1159</v>
      </c>
      <c r="C20" s="340">
        <v>4816.21</v>
      </c>
      <c r="D20" s="336">
        <v>3000</v>
      </c>
      <c r="E20" s="336">
        <f t="shared" si="0"/>
        <v>15.495867768595039</v>
      </c>
      <c r="F20" s="337">
        <f t="shared" si="1"/>
        <v>3600</v>
      </c>
      <c r="G20" s="338" t="s">
        <v>1160</v>
      </c>
    </row>
    <row r="21" spans="1:7">
      <c r="A21" s="333">
        <v>16</v>
      </c>
      <c r="B21" s="339" t="s">
        <v>1161</v>
      </c>
      <c r="C21" s="340">
        <v>2828.3</v>
      </c>
      <c r="D21" s="336">
        <v>3500</v>
      </c>
      <c r="E21" s="336">
        <f t="shared" si="0"/>
        <v>18.078512396694212</v>
      </c>
      <c r="F21" s="337">
        <f t="shared" si="1"/>
        <v>4200</v>
      </c>
      <c r="G21" s="338" t="s">
        <v>1162</v>
      </c>
    </row>
    <row r="22" spans="1:7">
      <c r="A22" s="333">
        <v>17</v>
      </c>
      <c r="B22" s="339" t="s">
        <v>476</v>
      </c>
      <c r="C22" s="340">
        <v>2482.86</v>
      </c>
      <c r="D22" s="336">
        <v>1804</v>
      </c>
      <c r="E22" s="336">
        <f t="shared" si="0"/>
        <v>9.3181818181818166</v>
      </c>
      <c r="F22" s="337">
        <f t="shared" si="1"/>
        <v>2164.7999999999997</v>
      </c>
      <c r="G22" s="338" t="s">
        <v>1163</v>
      </c>
    </row>
    <row r="23" spans="1:7">
      <c r="A23" s="333">
        <v>18</v>
      </c>
      <c r="B23" s="339" t="s">
        <v>1164</v>
      </c>
      <c r="C23" s="340">
        <v>1706.69</v>
      </c>
      <c r="D23" s="336">
        <v>1633</v>
      </c>
      <c r="E23" s="336">
        <f t="shared" si="0"/>
        <v>8.4349173553718995</v>
      </c>
      <c r="F23" s="337">
        <f>D23</f>
        <v>1633</v>
      </c>
      <c r="G23" s="338" t="s">
        <v>1165</v>
      </c>
    </row>
    <row r="24" spans="1:7">
      <c r="A24" s="333">
        <v>18</v>
      </c>
      <c r="B24" s="339" t="s">
        <v>1166</v>
      </c>
      <c r="C24" s="340">
        <v>1706.69</v>
      </c>
      <c r="D24" s="336">
        <v>1633</v>
      </c>
      <c r="E24" s="336">
        <f t="shared" ref="E24" si="2">D24/$I$3</f>
        <v>8.4349173553718995</v>
      </c>
      <c r="F24" s="337">
        <f>D24</f>
        <v>1633</v>
      </c>
      <c r="G24" s="338" t="s">
        <v>284</v>
      </c>
    </row>
    <row r="25" spans="1:7">
      <c r="A25" s="333">
        <v>18</v>
      </c>
      <c r="B25" s="339" t="s">
        <v>1167</v>
      </c>
      <c r="C25" s="340">
        <v>1706.69</v>
      </c>
      <c r="D25" s="336">
        <v>1633</v>
      </c>
      <c r="E25" s="336">
        <f t="shared" si="0"/>
        <v>8.4349173553718995</v>
      </c>
      <c r="F25" s="337">
        <f>D25</f>
        <v>1633</v>
      </c>
      <c r="G25" s="338" t="s">
        <v>285</v>
      </c>
    </row>
  </sheetData>
  <mergeCells count="1">
    <mergeCell ref="D2: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C7D7-652E-4585-9E39-42A3213A8862}">
  <sheetPr codeName="Planilha7">
    <tabColor rgb="FFFF6900"/>
    <outlinePr summaryBelow="0" summaryRight="0"/>
  </sheetPr>
  <dimension ref="B1:BZ1559"/>
  <sheetViews>
    <sheetView showGridLines="0" tabSelected="1" topLeftCell="A231" zoomScale="55" zoomScaleNormal="55" workbookViewId="0">
      <selection activeCell="W2" sqref="W2"/>
    </sheetView>
  </sheetViews>
  <sheetFormatPr defaultColWidth="8.85546875" defaultRowHeight="12" customHeight="1" outlineLevelRow="1" outlineLevelCol="1"/>
  <cols>
    <col min="1" max="1" width="0.85546875" style="71" customWidth="1"/>
    <col min="2" max="2" width="14.85546875" style="71" customWidth="1"/>
    <col min="3" max="3" width="0.85546875" style="71" customWidth="1"/>
    <col min="4" max="5" width="4.85546875" style="71" customWidth="1"/>
    <col min="6" max="6" width="0.85546875" style="71" customWidth="1"/>
    <col min="7" max="8" width="4.85546875" style="71" customWidth="1"/>
    <col min="9" max="9" width="0.85546875" style="71" customWidth="1"/>
    <col min="10" max="10" width="35.85546875" style="71" customWidth="1"/>
    <col min="11" max="11" width="2.85546875" style="71" customWidth="1"/>
    <col min="12" max="17" width="12.85546875" style="71" customWidth="1"/>
    <col min="18" max="18" width="0.85546875" style="71" customWidth="1"/>
    <col min="19" max="19" width="14.85546875" style="71" customWidth="1"/>
    <col min="20" max="20" width="8.85546875" style="71" customWidth="1"/>
    <col min="21" max="21" width="16.85546875" style="71" customWidth="1"/>
    <col min="22" max="22" width="0.85546875" style="71" customWidth="1"/>
    <col min="23" max="23" width="30.85546875" style="71" customWidth="1"/>
    <col min="24" max="26" width="0.85546875" style="71" customWidth="1"/>
    <col min="27" max="27" width="8.85546875" style="71" collapsed="1"/>
    <col min="28" max="28" width="0.85546875" style="71" hidden="1" customWidth="1" outlineLevel="1"/>
    <col min="29" max="29" width="12.85546875" style="71" hidden="1" customWidth="1" outlineLevel="1"/>
    <col min="30" max="30" width="0.85546875" style="71" hidden="1" customWidth="1" outlineLevel="1"/>
    <col min="31" max="32" width="8.85546875" style="71" hidden="1" customWidth="1" outlineLevel="1"/>
    <col min="33" max="34" width="10.85546875" style="71" hidden="1" customWidth="1" outlineLevel="1"/>
    <col min="35" max="35" width="0.85546875" style="71" hidden="1" customWidth="1" outlineLevel="1"/>
    <col min="36" max="37" width="8.85546875" style="71" hidden="1" customWidth="1" outlineLevel="1"/>
    <col min="38" max="39" width="10.85546875" style="71" hidden="1" customWidth="1" outlineLevel="1"/>
    <col min="40" max="40" width="0.85546875" style="71" hidden="1" customWidth="1" outlineLevel="1"/>
    <col min="41" max="42" width="8.85546875" style="71" hidden="1" customWidth="1" outlineLevel="1"/>
    <col min="43" max="44" width="10.85546875" style="71" hidden="1" customWidth="1" outlineLevel="1"/>
    <col min="45" max="45" width="0.85546875" style="71" hidden="1" customWidth="1" outlineLevel="1"/>
    <col min="46" max="47" width="8.85546875" style="71" hidden="1" customWidth="1" outlineLevel="1"/>
    <col min="48" max="49" width="10.85546875" style="71" hidden="1" customWidth="1" outlineLevel="1"/>
    <col min="50" max="50" width="0.85546875" style="71" hidden="1" customWidth="1" outlineLevel="1"/>
    <col min="51" max="52" width="8.85546875" style="71" hidden="1" customWidth="1" outlineLevel="1"/>
    <col min="53" max="54" width="10.85546875" style="71" hidden="1" customWidth="1" outlineLevel="1"/>
    <col min="55" max="55" width="0.85546875" style="71" hidden="1" customWidth="1" outlineLevel="1"/>
    <col min="56" max="57" width="8.85546875" style="71" hidden="1" customWidth="1" outlineLevel="1"/>
    <col min="58" max="59" width="10.85546875" style="71" hidden="1" customWidth="1" outlineLevel="1"/>
    <col min="60" max="60" width="0.85546875" style="71" customWidth="1"/>
    <col min="61" max="61" width="8.85546875" style="71"/>
    <col min="62" max="62" width="0.85546875" style="71" customWidth="1" outlineLevel="1"/>
    <col min="63" max="63" width="12.85546875" style="71" customWidth="1" outlineLevel="1"/>
    <col min="64" max="64" width="0.85546875" style="71" customWidth="1" outlineLevel="1"/>
    <col min="65" max="68" width="10.85546875" style="71" customWidth="1" outlineLevel="1"/>
    <col min="69" max="69" width="0.85546875" style="71" customWidth="1" outlineLevel="1"/>
    <col min="70" max="73" width="10.85546875" style="71" customWidth="1" outlineLevel="1"/>
    <col min="74" max="74" width="0.85546875" style="71" customWidth="1" outlineLevel="1"/>
    <col min="75" max="78" width="10.85546875" style="71" customWidth="1" outlineLevel="1"/>
    <col min="79" max="81" width="0.85546875" style="71" customWidth="1"/>
    <col min="82" max="88" width="10.140625" style="71" bestFit="1" customWidth="1"/>
    <col min="89" max="16384" width="8.85546875" style="71"/>
  </cols>
  <sheetData>
    <row r="1" spans="2:78" ht="12" customHeight="1"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9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</row>
    <row r="2" spans="2:78" ht="47.85" customHeight="1">
      <c r="B2" s="65"/>
      <c r="C2" s="65"/>
      <c r="D2" s="65"/>
      <c r="E2" s="65"/>
      <c r="F2" s="65"/>
      <c r="G2" s="65"/>
      <c r="H2" s="65"/>
      <c r="I2" s="65"/>
      <c r="J2" s="86" t="s">
        <v>1168</v>
      </c>
      <c r="K2" s="65"/>
      <c r="L2" s="65"/>
      <c r="M2" s="65"/>
      <c r="N2" s="65"/>
      <c r="O2" s="65"/>
      <c r="P2" s="65"/>
      <c r="Q2" s="185"/>
      <c r="R2" s="186"/>
      <c r="S2" s="186"/>
      <c r="T2" s="187" t="s">
        <v>1169</v>
      </c>
      <c r="U2" s="188">
        <f>U4+U91+U535+U589+U627+U665+U683+U701+U815+U845+U857+U922+U941+U967+U986+U1191+U1219+U1246+U1378+U1417+U1427+U1460+U1474+U1543+U1549</f>
        <v>874071.84488329897</v>
      </c>
      <c r="V2" s="65"/>
      <c r="W2" s="65"/>
      <c r="X2" s="65"/>
      <c r="Y2" s="69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</row>
    <row r="3" spans="2:78" ht="12" customHeight="1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9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</row>
    <row r="4" spans="2:78" s="196" customFormat="1" ht="24" customHeight="1" collapsed="1">
      <c r="B4" s="65"/>
      <c r="C4" s="189"/>
      <c r="D4" s="189"/>
      <c r="E4" s="189"/>
      <c r="F4" s="189"/>
      <c r="G4" s="189"/>
      <c r="H4" s="189"/>
      <c r="I4" s="189"/>
      <c r="J4" s="185" t="s">
        <v>11</v>
      </c>
      <c r="K4" s="190"/>
      <c r="L4" s="190"/>
      <c r="M4" s="190"/>
      <c r="N4" s="190"/>
      <c r="O4" s="190"/>
      <c r="P4" s="190"/>
      <c r="Q4" s="190"/>
      <c r="R4" s="190"/>
      <c r="S4" s="191"/>
      <c r="T4" s="192">
        <f>IFERROR(U4/$U$2,0)</f>
        <v>1.9632253458857381E-2</v>
      </c>
      <c r="U4" s="193">
        <f>SUM(U7:U89)</f>
        <v>17160</v>
      </c>
      <c r="V4" s="190"/>
      <c r="W4" s="194"/>
      <c r="X4" s="189"/>
      <c r="Y4" s="69"/>
      <c r="Z4" s="189"/>
      <c r="AA4" s="65"/>
      <c r="AB4" s="189"/>
      <c r="AC4" s="65"/>
      <c r="AD4" s="195"/>
      <c r="AE4" s="513" t="s">
        <v>1170</v>
      </c>
      <c r="AF4" s="514"/>
      <c r="AG4" s="514"/>
      <c r="AH4" s="515"/>
      <c r="AI4" s="195"/>
      <c r="AJ4" s="513" t="s">
        <v>1171</v>
      </c>
      <c r="AK4" s="514"/>
      <c r="AL4" s="514"/>
      <c r="AM4" s="515"/>
      <c r="AN4" s="195"/>
      <c r="AO4" s="513" t="s">
        <v>1172</v>
      </c>
      <c r="AP4" s="514"/>
      <c r="AQ4" s="514"/>
      <c r="AR4" s="515"/>
      <c r="AS4" s="195"/>
      <c r="AT4" s="513" t="s">
        <v>1173</v>
      </c>
      <c r="AU4" s="514"/>
      <c r="AV4" s="514"/>
      <c r="AW4" s="515"/>
      <c r="AX4" s="195"/>
      <c r="AY4" s="513" t="s">
        <v>1174</v>
      </c>
      <c r="AZ4" s="514"/>
      <c r="BA4" s="514"/>
      <c r="BB4" s="515"/>
      <c r="BC4" s="195"/>
      <c r="BD4" s="513" t="s">
        <v>1175</v>
      </c>
      <c r="BE4" s="514"/>
      <c r="BF4" s="514"/>
      <c r="BG4" s="515"/>
      <c r="BH4" s="65"/>
      <c r="BI4" s="65"/>
      <c r="BJ4" s="189"/>
      <c r="BK4" s="65"/>
      <c r="BL4" s="65"/>
      <c r="BM4" s="512" t="s">
        <v>1176</v>
      </c>
      <c r="BN4" s="512"/>
      <c r="BO4" s="512"/>
      <c r="BP4" s="512"/>
      <c r="BQ4" s="65"/>
      <c r="BR4" s="512" t="s">
        <v>1177</v>
      </c>
      <c r="BS4" s="512"/>
      <c r="BT4" s="512"/>
      <c r="BU4" s="512"/>
      <c r="BV4" s="65"/>
      <c r="BW4" s="512" t="s">
        <v>1178</v>
      </c>
      <c r="BX4" s="512"/>
      <c r="BY4" s="512"/>
      <c r="BZ4" s="512"/>
    </row>
    <row r="5" spans="2:78" ht="12" hidden="1" customHeight="1" outlineLevel="1"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189"/>
      <c r="S5" s="65"/>
      <c r="T5" s="65"/>
      <c r="U5" s="92"/>
      <c r="V5" s="65"/>
      <c r="W5" s="65"/>
      <c r="X5" s="65"/>
      <c r="Y5" s="69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197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</row>
    <row r="6" spans="2:78" ht="24" hidden="1" customHeight="1" outlineLevel="1">
      <c r="B6" s="157" t="s">
        <v>395</v>
      </c>
      <c r="C6" s="65"/>
      <c r="D6" s="198" t="s">
        <v>250</v>
      </c>
      <c r="E6" s="198"/>
      <c r="F6" s="65"/>
      <c r="G6" s="198" t="s">
        <v>1130</v>
      </c>
      <c r="H6" s="198"/>
      <c r="I6" s="65"/>
      <c r="J6" s="199" t="s">
        <v>462</v>
      </c>
      <c r="K6" s="65"/>
      <c r="L6" s="142" t="s">
        <v>1179</v>
      </c>
      <c r="M6" s="142" t="s">
        <v>850</v>
      </c>
      <c r="N6" s="65"/>
      <c r="O6" s="142" t="s">
        <v>1180</v>
      </c>
      <c r="P6" s="142" t="s">
        <v>1181</v>
      </c>
      <c r="Q6" s="142" t="s">
        <v>375</v>
      </c>
      <c r="R6" s="189"/>
      <c r="S6" s="142" t="s">
        <v>1120</v>
      </c>
      <c r="T6" s="65"/>
      <c r="U6" s="142" t="s">
        <v>106</v>
      </c>
      <c r="V6" s="65"/>
      <c r="W6" s="142" t="s">
        <v>1111</v>
      </c>
      <c r="X6" s="65"/>
      <c r="Y6" s="69"/>
      <c r="Z6" s="65"/>
      <c r="AA6" s="65"/>
      <c r="AB6" s="65"/>
      <c r="AC6" s="142" t="s">
        <v>1182</v>
      </c>
      <c r="AD6" s="65"/>
      <c r="AE6" s="142" t="s">
        <v>1183</v>
      </c>
      <c r="AF6" s="142" t="s">
        <v>1184</v>
      </c>
      <c r="AG6" s="142" t="s">
        <v>1185</v>
      </c>
      <c r="AH6" s="142" t="s">
        <v>106</v>
      </c>
      <c r="AI6" s="65"/>
      <c r="AJ6" s="142" t="s">
        <v>1183</v>
      </c>
      <c r="AK6" s="142" t="s">
        <v>1184</v>
      </c>
      <c r="AL6" s="142" t="s">
        <v>1185</v>
      </c>
      <c r="AM6" s="142" t="s">
        <v>106</v>
      </c>
      <c r="AN6" s="65"/>
      <c r="AO6" s="142" t="s">
        <v>1183</v>
      </c>
      <c r="AP6" s="142" t="s">
        <v>1186</v>
      </c>
      <c r="AQ6" s="142" t="s">
        <v>1185</v>
      </c>
      <c r="AR6" s="142" t="s">
        <v>106</v>
      </c>
      <c r="AS6" s="65"/>
      <c r="AT6" s="142" t="s">
        <v>1183</v>
      </c>
      <c r="AU6" s="142" t="s">
        <v>1184</v>
      </c>
      <c r="AV6" s="142" t="s">
        <v>1185</v>
      </c>
      <c r="AW6" s="142" t="s">
        <v>106</v>
      </c>
      <c r="AX6" s="65"/>
      <c r="AY6" s="142" t="s">
        <v>1183</v>
      </c>
      <c r="AZ6" s="142" t="s">
        <v>1184</v>
      </c>
      <c r="BA6" s="142" t="s">
        <v>1185</v>
      </c>
      <c r="BB6" s="142" t="s">
        <v>106</v>
      </c>
      <c r="BC6" s="65"/>
      <c r="BD6" s="142" t="s">
        <v>1183</v>
      </c>
      <c r="BE6" s="142" t="s">
        <v>1184</v>
      </c>
      <c r="BF6" s="142" t="s">
        <v>1185</v>
      </c>
      <c r="BG6" s="142" t="s">
        <v>106</v>
      </c>
      <c r="BH6" s="197"/>
      <c r="BI6" s="65"/>
      <c r="BJ6" s="65"/>
      <c r="BK6" s="142" t="s">
        <v>1187</v>
      </c>
      <c r="BL6" s="65"/>
      <c r="BM6" s="65"/>
      <c r="BN6" s="142" t="s">
        <v>1116</v>
      </c>
      <c r="BO6" s="142" t="s">
        <v>1188</v>
      </c>
      <c r="BP6" s="142" t="s">
        <v>1189</v>
      </c>
      <c r="BQ6" s="65"/>
      <c r="BR6" s="65"/>
      <c r="BS6" s="142" t="s">
        <v>1190</v>
      </c>
      <c r="BT6" s="142" t="s">
        <v>1191</v>
      </c>
      <c r="BU6" s="142" t="s">
        <v>1192</v>
      </c>
      <c r="BV6" s="65"/>
      <c r="BW6" s="65"/>
      <c r="BX6" s="142" t="s">
        <v>1193</v>
      </c>
      <c r="BY6" s="142" t="s">
        <v>1194</v>
      </c>
      <c r="BZ6" s="142" t="s">
        <v>1195</v>
      </c>
    </row>
    <row r="7" spans="2:78" ht="12" hidden="1" customHeight="1" outlineLevel="1">
      <c r="B7" s="137" t="str">
        <f>'Cronog. e Histog.'!B757</f>
        <v>Gerente de Contrato - Gerência do Contrato</v>
      </c>
      <c r="C7" s="65"/>
      <c r="D7" s="200">
        <f>IF(T7="mensalista",L7,0)</f>
        <v>0</v>
      </c>
      <c r="E7" s="200">
        <f>IF(T7="mensalista",M7,0)</f>
        <v>0</v>
      </c>
      <c r="F7" s="65"/>
      <c r="G7" s="200">
        <f>IF(T7="mensalista",L7,0)</f>
        <v>0</v>
      </c>
      <c r="H7" s="200">
        <f>IF(T7="mensalista",M7,0)</f>
        <v>0</v>
      </c>
      <c r="I7" s="65"/>
      <c r="J7" s="143" t="str">
        <f>IF('Cronog. e Histog.'!F757&gt;0,'Cronog. e Histog.'!F757,"")</f>
        <v>Gerente de Contrato</v>
      </c>
      <c r="K7" s="65"/>
      <c r="L7" s="144">
        <f>IF('Cronog. e Histog.'!H757&gt;0,'Cronog. e Histog.'!H757,0)</f>
        <v>3.0000000000000009E-2</v>
      </c>
      <c r="M7" s="144">
        <f>IF('Cronog. e Histog.'!I757&gt;0,'Cronog. e Histog.'!I757,0)</f>
        <v>12</v>
      </c>
      <c r="N7" s="65"/>
      <c r="O7" s="109">
        <f>_xlfn.XLOOKUP(B7,Salários!B:B,Salários!K:K)</f>
        <v>21000</v>
      </c>
      <c r="P7" s="109">
        <f>AC7</f>
        <v>0</v>
      </c>
      <c r="Q7" s="109">
        <f>BK7</f>
        <v>0</v>
      </c>
      <c r="R7" s="65"/>
      <c r="S7" s="109">
        <f t="shared" ref="S7:S9" si="0">SUM(O7:Q7)</f>
        <v>21000</v>
      </c>
      <c r="T7" s="201" t="str">
        <f>IF(_xlfn.XLOOKUP(B7,Salários!B:B,Salários!I:I)&gt;0,_xlfn.XLOOKUP(B7,Salários!B:B,Salários!I:I),"")</f>
        <v>PJ</v>
      </c>
      <c r="U7" s="117">
        <f t="shared" ref="U7:U70" si="1">L7*M7*S7</f>
        <v>7560.0000000000018</v>
      </c>
      <c r="V7" s="65"/>
      <c r="W7" s="202"/>
      <c r="X7" s="65"/>
      <c r="Y7" s="69"/>
      <c r="Z7" s="65"/>
      <c r="AA7" s="516" t="s">
        <v>1181</v>
      </c>
      <c r="AB7" s="65"/>
      <c r="AC7" s="81">
        <f>AH7+AM7+AR7+AW7+BB7+BG7</f>
        <v>0</v>
      </c>
      <c r="AD7" s="65"/>
      <c r="AE7" s="112"/>
      <c r="AF7" s="203">
        <v>0.3</v>
      </c>
      <c r="AG7" s="109">
        <f>$O7</f>
        <v>21000</v>
      </c>
      <c r="AH7" s="84">
        <f>IF(AE7="sim",AF7*AG7,0)</f>
        <v>0</v>
      </c>
      <c r="AI7" s="65"/>
      <c r="AJ7" s="112"/>
      <c r="AK7" s="122"/>
      <c r="AL7" s="109">
        <v>1212</v>
      </c>
      <c r="AM7" s="84">
        <f>IF(AJ7="sim",AK7*AL7,0)</f>
        <v>0</v>
      </c>
      <c r="AN7" s="65"/>
      <c r="AO7" s="112"/>
      <c r="AP7" s="204"/>
      <c r="AQ7" s="109">
        <f>IFERROR((O7+AH7+AM7)/Dashboard!$D$15,0)*0.2</f>
        <v>21.694214876033058</v>
      </c>
      <c r="AR7" s="84">
        <f>IF(AO7="sim",AP7*AQ7,0)</f>
        <v>0</v>
      </c>
      <c r="AS7" s="65"/>
      <c r="AT7" s="112"/>
      <c r="AU7" s="203">
        <v>0.33</v>
      </c>
      <c r="AV7" s="109">
        <f>$O7</f>
        <v>21000</v>
      </c>
      <c r="AW7" s="84">
        <f>IF(AT7="sim",AU7*AV7,0)</f>
        <v>0</v>
      </c>
      <c r="AX7" s="65"/>
      <c r="AY7" s="112"/>
      <c r="AZ7" s="203">
        <v>0.25</v>
      </c>
      <c r="BA7" s="109">
        <f>$O7</f>
        <v>21000</v>
      </c>
      <c r="BB7" s="84">
        <f>IF(AY7="sim",AZ7*BA7,0)</f>
        <v>0</v>
      </c>
      <c r="BC7" s="65"/>
      <c r="BD7" s="112"/>
      <c r="BE7" s="203">
        <v>0.26</v>
      </c>
      <c r="BF7" s="109">
        <f>$O7</f>
        <v>21000</v>
      </c>
      <c r="BG7" s="84">
        <f>IF(BD7="sim",BE7*BF7,0)</f>
        <v>0</v>
      </c>
      <c r="BH7" s="197"/>
      <c r="BI7" s="516" t="s">
        <v>375</v>
      </c>
      <c r="BJ7" s="65"/>
      <c r="BK7" s="81">
        <f>BP7+BU7+BZ7</f>
        <v>0</v>
      </c>
      <c r="BL7" s="65"/>
      <c r="BM7" s="65"/>
      <c r="BN7" s="204"/>
      <c r="BO7" s="109">
        <f>($O7/Dashboard!$D$15)*(1+Dashboard!$D$19)</f>
        <v>162.7066115702479</v>
      </c>
      <c r="BP7" s="84">
        <f>BN7*BO7</f>
        <v>0</v>
      </c>
      <c r="BQ7" s="65"/>
      <c r="BR7" s="65"/>
      <c r="BS7" s="204"/>
      <c r="BT7" s="109">
        <f>($O7/Dashboard!$D$15)*(1+Dashboard!$D$20)</f>
        <v>189.82438016528923</v>
      </c>
      <c r="BU7" s="84">
        <f>BS7*BT7</f>
        <v>0</v>
      </c>
      <c r="BV7" s="65"/>
      <c r="BW7" s="65"/>
      <c r="BX7" s="204"/>
      <c r="BY7" s="109">
        <f>($O7/Dashboard!$D$15)*(1+Dashboard!$D$21)</f>
        <v>216.94214876033055</v>
      </c>
      <c r="BZ7" s="84">
        <f>BX7*BY7</f>
        <v>0</v>
      </c>
    </row>
    <row r="8" spans="2:78" ht="12" hidden="1" customHeight="1" outlineLevel="1">
      <c r="B8" s="137" t="str">
        <f>'Cronog. e Histog.'!B758</f>
        <v>Coordenador de Contrato - Gerência do Contrato</v>
      </c>
      <c r="C8" s="65"/>
      <c r="D8" s="200">
        <f t="shared" ref="D8:D71" si="2">IF(T8="mensalista",L8,0)</f>
        <v>0</v>
      </c>
      <c r="E8" s="200">
        <f t="shared" ref="E8:E71" si="3">IF(T8="mensalista",M8,0)</f>
        <v>0</v>
      </c>
      <c r="F8" s="65"/>
      <c r="G8" s="200">
        <f t="shared" ref="G8:G71" si="4">IF(T8="mensalista",L8,0)</f>
        <v>0</v>
      </c>
      <c r="H8" s="200">
        <f t="shared" ref="H8:H71" si="5">IF(T8="mensalista",M8,0)</f>
        <v>0</v>
      </c>
      <c r="I8" s="65"/>
      <c r="J8" s="143" t="str">
        <f>IF('Cronog. e Histog.'!F758&gt;0,'Cronog. e Histog.'!F758,"")</f>
        <v>Coordenador de Contrato</v>
      </c>
      <c r="K8" s="65"/>
      <c r="L8" s="144">
        <f>IF('Cronog. e Histog.'!H758&gt;0,'Cronog. e Histog.'!H758,0)</f>
        <v>4.9999999999999996E-2</v>
      </c>
      <c r="M8" s="144">
        <f>IF('Cronog. e Histog.'!I758&gt;0,'Cronog. e Histog.'!I758,0)</f>
        <v>12</v>
      </c>
      <c r="N8" s="65"/>
      <c r="O8" s="109">
        <f>_xlfn.XLOOKUP(B8,Salários!B:B,Salários!K:K)</f>
        <v>16000</v>
      </c>
      <c r="P8" s="109">
        <f t="shared" ref="P8:P89" si="6">AC8</f>
        <v>0</v>
      </c>
      <c r="Q8" s="109">
        <f t="shared" ref="Q8:Q89" si="7">BK8</f>
        <v>0</v>
      </c>
      <c r="R8" s="65"/>
      <c r="S8" s="109">
        <f t="shared" si="0"/>
        <v>16000</v>
      </c>
      <c r="T8" s="201" t="str">
        <f>IF(_xlfn.XLOOKUP(B8,Salários!B:B,Salários!I:I)&gt;0,_xlfn.XLOOKUP(B8,Salários!B:B,Salários!I:I),"")</f>
        <v>PJ</v>
      </c>
      <c r="U8" s="117">
        <f t="shared" si="1"/>
        <v>9600</v>
      </c>
      <c r="V8" s="65"/>
      <c r="W8" s="202"/>
      <c r="X8" s="65"/>
      <c r="Y8" s="69"/>
      <c r="Z8" s="65"/>
      <c r="AA8" s="517"/>
      <c r="AB8" s="65"/>
      <c r="AC8" s="81">
        <f t="shared" ref="AC8:AC71" si="8">AH8+AM8+AR8+AW8+BB8+BG8</f>
        <v>0</v>
      </c>
      <c r="AD8" s="65"/>
      <c r="AE8" s="112"/>
      <c r="AF8" s="203">
        <v>0.3</v>
      </c>
      <c r="AG8" s="109">
        <f t="shared" ref="AG8:AG89" si="9">$O8</f>
        <v>16000</v>
      </c>
      <c r="AH8" s="84">
        <f t="shared" ref="AH8:AH89" si="10">IF(AE8="sim",AF8*AG8,0)</f>
        <v>0</v>
      </c>
      <c r="AI8" s="65"/>
      <c r="AJ8" s="112"/>
      <c r="AK8" s="122"/>
      <c r="AL8" s="109">
        <v>1212</v>
      </c>
      <c r="AM8" s="84">
        <f t="shared" ref="AM8:AM89" si="11">IF(AJ8="sim",AK8*AL8,0)</f>
        <v>0</v>
      </c>
      <c r="AN8" s="65"/>
      <c r="AO8" s="112"/>
      <c r="AP8" s="204"/>
      <c r="AQ8" s="109">
        <f>IFERROR((O8+AH8+AM8)/Dashboard!$D$15,0)*0.2</f>
        <v>16.528925619834709</v>
      </c>
      <c r="AR8" s="84">
        <f t="shared" ref="AR8:AR13" si="12">IF(AO8="sim",AP8*AQ8,0)</f>
        <v>0</v>
      </c>
      <c r="AS8" s="65"/>
      <c r="AT8" s="112"/>
      <c r="AU8" s="203">
        <v>0.33</v>
      </c>
      <c r="AV8" s="109">
        <f t="shared" ref="AV8:AV89" si="13">$O8</f>
        <v>16000</v>
      </c>
      <c r="AW8" s="84">
        <f t="shared" ref="AW8:AW89" si="14">IF(AT8="sim",AU8*AV8,0)</f>
        <v>0</v>
      </c>
      <c r="AX8" s="65"/>
      <c r="AY8" s="112"/>
      <c r="AZ8" s="203">
        <v>0.25</v>
      </c>
      <c r="BA8" s="109">
        <f t="shared" ref="BA8:BA89" si="15">$O8</f>
        <v>16000</v>
      </c>
      <c r="BB8" s="84">
        <f t="shared" ref="BB8:BB89" si="16">IF(AY8="sim",AZ8*BA8,0)</f>
        <v>0</v>
      </c>
      <c r="BC8" s="65"/>
      <c r="BD8" s="112"/>
      <c r="BE8" s="203">
        <v>0.26</v>
      </c>
      <c r="BF8" s="109">
        <f t="shared" ref="BF8:BF89" si="17">$O8</f>
        <v>16000</v>
      </c>
      <c r="BG8" s="84">
        <f t="shared" ref="BG8:BG89" si="18">IF(BD8="sim",BE8*BF8,0)</f>
        <v>0</v>
      </c>
      <c r="BH8" s="197"/>
      <c r="BI8" s="517"/>
      <c r="BJ8" s="65"/>
      <c r="BK8" s="81">
        <f t="shared" ref="BK8:BK89" si="19">BP8+BU8+BZ8</f>
        <v>0</v>
      </c>
      <c r="BL8" s="65"/>
      <c r="BM8" s="65"/>
      <c r="BN8" s="204"/>
      <c r="BO8" s="109">
        <f>($O8/Dashboard!$D$15)*(1+Dashboard!$D$19)</f>
        <v>123.96694214876032</v>
      </c>
      <c r="BP8" s="84">
        <f t="shared" ref="BP8:BP71" si="20">BN8*BO8</f>
        <v>0</v>
      </c>
      <c r="BQ8" s="65"/>
      <c r="BR8" s="65"/>
      <c r="BS8" s="204"/>
      <c r="BT8" s="109">
        <f>($O8/Dashboard!$D$15)*(1+Dashboard!$D$20)</f>
        <v>144.62809917355369</v>
      </c>
      <c r="BU8" s="84">
        <f t="shared" ref="BU8:BU71" si="21">BS8*BT8</f>
        <v>0</v>
      </c>
      <c r="BV8" s="65"/>
      <c r="BW8" s="65"/>
      <c r="BX8" s="204"/>
      <c r="BY8" s="109">
        <f>($O8/Dashboard!$D$15)*(1+Dashboard!$D$21)</f>
        <v>165.28925619834709</v>
      </c>
      <c r="BZ8" s="84">
        <f t="shared" ref="BZ8:BZ71" si="22">BX8*BY8</f>
        <v>0</v>
      </c>
    </row>
    <row r="9" spans="2:78" ht="12" hidden="1" customHeight="1" outlineLevel="1">
      <c r="B9" s="137" t="str">
        <f>'Cronog. e Histog.'!B759</f>
        <v>Engenheiro Preposto - Gerência do Contrato</v>
      </c>
      <c r="C9" s="65"/>
      <c r="D9" s="200">
        <f t="shared" si="2"/>
        <v>0</v>
      </c>
      <c r="E9" s="200">
        <f t="shared" si="3"/>
        <v>0</v>
      </c>
      <c r="F9" s="65"/>
      <c r="G9" s="200">
        <f t="shared" si="4"/>
        <v>0</v>
      </c>
      <c r="H9" s="200">
        <f t="shared" si="5"/>
        <v>0</v>
      </c>
      <c r="I9" s="65"/>
      <c r="J9" s="143" t="str">
        <f>IF('Cronog. e Histog.'!F759&gt;0,'Cronog. e Histog.'!F759,"")</f>
        <v>Engenheiro Preposto</v>
      </c>
      <c r="K9" s="65"/>
      <c r="L9" s="144">
        <f>IF('Cronog. e Histog.'!H759&gt;0,'Cronog. e Histog.'!H759,0)</f>
        <v>0</v>
      </c>
      <c r="M9" s="144">
        <f>IF('Cronog. e Histog.'!I759&gt;0,'Cronog. e Histog.'!I759,0)</f>
        <v>0</v>
      </c>
      <c r="N9" s="65"/>
      <c r="O9" s="109">
        <f>_xlfn.XLOOKUP(B9,Salários!B:B,Salários!K:K)</f>
        <v>0</v>
      </c>
      <c r="P9" s="109">
        <f t="shared" si="6"/>
        <v>0</v>
      </c>
      <c r="Q9" s="109">
        <f t="shared" si="7"/>
        <v>0</v>
      </c>
      <c r="R9" s="65"/>
      <c r="S9" s="109">
        <f t="shared" si="0"/>
        <v>0</v>
      </c>
      <c r="T9" s="201" t="str">
        <f>IF(_xlfn.XLOOKUP(B9,Salários!B:B,Salários!I:I)&gt;0,_xlfn.XLOOKUP(B9,Salários!B:B,Salários!I:I),"")</f>
        <v/>
      </c>
      <c r="U9" s="117">
        <f t="shared" si="1"/>
        <v>0</v>
      </c>
      <c r="V9" s="65"/>
      <c r="W9" s="202"/>
      <c r="X9" s="65"/>
      <c r="Y9" s="69"/>
      <c r="Z9" s="65"/>
      <c r="AA9" s="517"/>
      <c r="AB9" s="65"/>
      <c r="AC9" s="81">
        <f t="shared" si="8"/>
        <v>0</v>
      </c>
      <c r="AD9" s="65"/>
      <c r="AE9" s="112"/>
      <c r="AF9" s="203">
        <v>0.3</v>
      </c>
      <c r="AG9" s="109">
        <f t="shared" si="9"/>
        <v>0</v>
      </c>
      <c r="AH9" s="84">
        <f t="shared" si="10"/>
        <v>0</v>
      </c>
      <c r="AI9" s="65"/>
      <c r="AJ9" s="112"/>
      <c r="AK9" s="122"/>
      <c r="AL9" s="109">
        <v>1212</v>
      </c>
      <c r="AM9" s="84">
        <f t="shared" si="11"/>
        <v>0</v>
      </c>
      <c r="AN9" s="65"/>
      <c r="AO9" s="112"/>
      <c r="AP9" s="204"/>
      <c r="AQ9" s="109">
        <f>IFERROR((O9+AH9+AM9)/Dashboard!$D$15,0)*0.2</f>
        <v>0</v>
      </c>
      <c r="AR9" s="84">
        <f t="shared" si="12"/>
        <v>0</v>
      </c>
      <c r="AS9" s="65"/>
      <c r="AT9" s="112"/>
      <c r="AU9" s="203">
        <v>0.33</v>
      </c>
      <c r="AV9" s="109">
        <f t="shared" si="13"/>
        <v>0</v>
      </c>
      <c r="AW9" s="84">
        <f t="shared" si="14"/>
        <v>0</v>
      </c>
      <c r="AX9" s="65"/>
      <c r="AY9" s="112"/>
      <c r="AZ9" s="203">
        <v>0.25</v>
      </c>
      <c r="BA9" s="109">
        <f t="shared" si="15"/>
        <v>0</v>
      </c>
      <c r="BB9" s="84">
        <f t="shared" si="16"/>
        <v>0</v>
      </c>
      <c r="BC9" s="65"/>
      <c r="BD9" s="112"/>
      <c r="BE9" s="203">
        <v>0.26</v>
      </c>
      <c r="BF9" s="109">
        <f t="shared" si="17"/>
        <v>0</v>
      </c>
      <c r="BG9" s="84">
        <f t="shared" si="18"/>
        <v>0</v>
      </c>
      <c r="BH9" s="197"/>
      <c r="BI9" s="517"/>
      <c r="BJ9" s="65"/>
      <c r="BK9" s="81">
        <f t="shared" si="19"/>
        <v>0</v>
      </c>
      <c r="BL9" s="65"/>
      <c r="BM9" s="65"/>
      <c r="BN9" s="204"/>
      <c r="BO9" s="109">
        <f>($O9/Dashboard!$D$15)*(1+Dashboard!$D$19)</f>
        <v>0</v>
      </c>
      <c r="BP9" s="84">
        <f t="shared" si="20"/>
        <v>0</v>
      </c>
      <c r="BQ9" s="65"/>
      <c r="BR9" s="65"/>
      <c r="BS9" s="204"/>
      <c r="BT9" s="109">
        <f>($O9/Dashboard!$D$15)*(1+Dashboard!$D$20)</f>
        <v>0</v>
      </c>
      <c r="BU9" s="84">
        <f t="shared" si="21"/>
        <v>0</v>
      </c>
      <c r="BV9" s="65"/>
      <c r="BW9" s="65"/>
      <c r="BX9" s="204"/>
      <c r="BY9" s="109">
        <f>($O9/Dashboard!$D$15)*(1+Dashboard!$D$21)</f>
        <v>0</v>
      </c>
      <c r="BZ9" s="84">
        <f t="shared" si="22"/>
        <v>0</v>
      </c>
    </row>
    <row r="10" spans="2:78" ht="12" hidden="1" customHeight="1" outlineLevel="1">
      <c r="B10" s="137" t="str">
        <f>'Cronog. e Histog.'!B760</f>
        <v>Administrador Contratual - Gerência do Contrato</v>
      </c>
      <c r="C10" s="65"/>
      <c r="D10" s="200">
        <f t="shared" si="2"/>
        <v>0</v>
      </c>
      <c r="E10" s="200">
        <f t="shared" si="3"/>
        <v>0</v>
      </c>
      <c r="F10" s="65"/>
      <c r="G10" s="200">
        <f t="shared" si="4"/>
        <v>0</v>
      </c>
      <c r="H10" s="200">
        <f t="shared" si="5"/>
        <v>0</v>
      </c>
      <c r="I10" s="65"/>
      <c r="J10" s="143" t="str">
        <f>IF('Cronog. e Histog.'!F760&gt;0,'Cronog. e Histog.'!F760,"")</f>
        <v>Administrador Contratual</v>
      </c>
      <c r="K10" s="65"/>
      <c r="L10" s="144">
        <f>IF('Cronog. e Histog.'!H760&gt;0,'Cronog. e Histog.'!H760,0)</f>
        <v>0</v>
      </c>
      <c r="M10" s="144">
        <f>IF('Cronog. e Histog.'!I760&gt;0,'Cronog. e Histog.'!I760,0)</f>
        <v>0</v>
      </c>
      <c r="N10" s="65"/>
      <c r="O10" s="109">
        <f>_xlfn.XLOOKUP(B10,Salários!B:B,Salários!K:K)</f>
        <v>0</v>
      </c>
      <c r="P10" s="109">
        <f t="shared" si="6"/>
        <v>0</v>
      </c>
      <c r="Q10" s="109">
        <f t="shared" si="7"/>
        <v>0</v>
      </c>
      <c r="R10" s="65"/>
      <c r="S10" s="109">
        <f t="shared" ref="S10:S89" si="23">SUM(O10:Q10)</f>
        <v>0</v>
      </c>
      <c r="T10" s="201" t="str">
        <f>IF(_xlfn.XLOOKUP(B10,Salários!B:B,Salários!I:I)&gt;0,_xlfn.XLOOKUP(B10,Salários!B:B,Salários!I:I),"")</f>
        <v/>
      </c>
      <c r="U10" s="117">
        <f t="shared" si="1"/>
        <v>0</v>
      </c>
      <c r="V10" s="65"/>
      <c r="W10" s="202"/>
      <c r="X10" s="65"/>
      <c r="Y10" s="69"/>
      <c r="Z10" s="65"/>
      <c r="AA10" s="517"/>
      <c r="AB10" s="65"/>
      <c r="AC10" s="81">
        <f t="shared" si="8"/>
        <v>0</v>
      </c>
      <c r="AD10" s="65"/>
      <c r="AE10" s="112"/>
      <c r="AF10" s="203">
        <v>0.3</v>
      </c>
      <c r="AG10" s="109">
        <f t="shared" si="9"/>
        <v>0</v>
      </c>
      <c r="AH10" s="84">
        <f t="shared" si="10"/>
        <v>0</v>
      </c>
      <c r="AI10" s="65"/>
      <c r="AJ10" s="112"/>
      <c r="AK10" s="122"/>
      <c r="AL10" s="109">
        <v>1212</v>
      </c>
      <c r="AM10" s="84">
        <f t="shared" si="11"/>
        <v>0</v>
      </c>
      <c r="AN10" s="65"/>
      <c r="AO10" s="112"/>
      <c r="AP10" s="204"/>
      <c r="AQ10" s="109">
        <f>IFERROR((O10+AH10+AM10)/Dashboard!$D$15,0)*0.2</f>
        <v>0</v>
      </c>
      <c r="AR10" s="84">
        <f t="shared" si="12"/>
        <v>0</v>
      </c>
      <c r="AS10" s="65"/>
      <c r="AT10" s="112"/>
      <c r="AU10" s="203">
        <v>0.33</v>
      </c>
      <c r="AV10" s="109">
        <f t="shared" si="13"/>
        <v>0</v>
      </c>
      <c r="AW10" s="84">
        <f t="shared" si="14"/>
        <v>0</v>
      </c>
      <c r="AX10" s="65"/>
      <c r="AY10" s="112"/>
      <c r="AZ10" s="203">
        <v>0.25</v>
      </c>
      <c r="BA10" s="109">
        <f t="shared" si="15"/>
        <v>0</v>
      </c>
      <c r="BB10" s="84">
        <f t="shared" si="16"/>
        <v>0</v>
      </c>
      <c r="BC10" s="65"/>
      <c r="BD10" s="112"/>
      <c r="BE10" s="203">
        <v>0.26</v>
      </c>
      <c r="BF10" s="109">
        <f t="shared" si="17"/>
        <v>0</v>
      </c>
      <c r="BG10" s="84">
        <f t="shared" si="18"/>
        <v>0</v>
      </c>
      <c r="BH10" s="197"/>
      <c r="BI10" s="517"/>
      <c r="BJ10" s="65"/>
      <c r="BK10" s="81">
        <f t="shared" si="19"/>
        <v>0</v>
      </c>
      <c r="BL10" s="65"/>
      <c r="BM10" s="65"/>
      <c r="BN10" s="204"/>
      <c r="BO10" s="109">
        <f>($O10/Dashboard!$D$15)*(1+Dashboard!$D$19)</f>
        <v>0</v>
      </c>
      <c r="BP10" s="84">
        <f t="shared" si="20"/>
        <v>0</v>
      </c>
      <c r="BQ10" s="65"/>
      <c r="BR10" s="65"/>
      <c r="BS10" s="204"/>
      <c r="BT10" s="109">
        <f>($O10/Dashboard!$D$15)*(1+Dashboard!$D$20)</f>
        <v>0</v>
      </c>
      <c r="BU10" s="84">
        <f t="shared" si="21"/>
        <v>0</v>
      </c>
      <c r="BV10" s="65"/>
      <c r="BW10" s="65"/>
      <c r="BX10" s="204"/>
      <c r="BY10" s="109">
        <f>($O10/Dashboard!$D$15)*(1+Dashboard!$D$21)</f>
        <v>0</v>
      </c>
      <c r="BZ10" s="84">
        <f t="shared" si="22"/>
        <v>0</v>
      </c>
    </row>
    <row r="11" spans="2:78" ht="12" hidden="1" customHeight="1" outlineLevel="1">
      <c r="B11" s="137" t="str">
        <f>'Cronog. e Histog.'!B761</f>
        <v>Auxiliar de RH - Gerência do Contrato</v>
      </c>
      <c r="C11" s="65"/>
      <c r="D11" s="200">
        <f t="shared" si="2"/>
        <v>0</v>
      </c>
      <c r="E11" s="200">
        <f t="shared" si="3"/>
        <v>0</v>
      </c>
      <c r="F11" s="65"/>
      <c r="G11" s="200">
        <f t="shared" si="4"/>
        <v>0</v>
      </c>
      <c r="H11" s="200">
        <f t="shared" si="5"/>
        <v>0</v>
      </c>
      <c r="I11" s="65"/>
      <c r="J11" s="143" t="str">
        <f>IF('Cronog. e Histog.'!F761&gt;0,'Cronog. e Histog.'!F761,"")</f>
        <v>Auxiliar de RH</v>
      </c>
      <c r="K11" s="65"/>
      <c r="L11" s="144">
        <f>IF('Cronog. e Histog.'!H761&gt;0,'Cronog. e Histog.'!H761,0)</f>
        <v>0</v>
      </c>
      <c r="M11" s="144">
        <f>IF('Cronog. e Histog.'!I761&gt;0,'Cronog. e Histog.'!I761,0)</f>
        <v>0</v>
      </c>
      <c r="N11" s="65"/>
      <c r="O11" s="109">
        <f>_xlfn.XLOOKUP(B11,Salários!B:B,Salários!K:K)</f>
        <v>0</v>
      </c>
      <c r="P11" s="109">
        <f t="shared" si="6"/>
        <v>0</v>
      </c>
      <c r="Q11" s="109">
        <f t="shared" si="7"/>
        <v>0</v>
      </c>
      <c r="R11" s="65"/>
      <c r="S11" s="109">
        <f t="shared" si="23"/>
        <v>0</v>
      </c>
      <c r="T11" s="201" t="str">
        <f>IF(_xlfn.XLOOKUP(B11,Salários!B:B,Salários!I:I)&gt;0,_xlfn.XLOOKUP(B11,Salários!B:B,Salários!I:I),"")</f>
        <v/>
      </c>
      <c r="U11" s="117">
        <f t="shared" si="1"/>
        <v>0</v>
      </c>
      <c r="V11" s="65"/>
      <c r="W11" s="202"/>
      <c r="X11" s="65"/>
      <c r="Y11" s="69"/>
      <c r="Z11" s="65"/>
      <c r="AA11" s="517"/>
      <c r="AB11" s="65"/>
      <c r="AC11" s="81">
        <f t="shared" si="8"/>
        <v>0</v>
      </c>
      <c r="AD11" s="65"/>
      <c r="AE11" s="112"/>
      <c r="AF11" s="203">
        <v>0.3</v>
      </c>
      <c r="AG11" s="109">
        <f t="shared" si="9"/>
        <v>0</v>
      </c>
      <c r="AH11" s="84">
        <f t="shared" si="10"/>
        <v>0</v>
      </c>
      <c r="AI11" s="65"/>
      <c r="AJ11" s="112"/>
      <c r="AK11" s="122"/>
      <c r="AL11" s="109">
        <v>1212</v>
      </c>
      <c r="AM11" s="84">
        <f t="shared" si="11"/>
        <v>0</v>
      </c>
      <c r="AN11" s="65"/>
      <c r="AO11" s="112"/>
      <c r="AP11" s="204"/>
      <c r="AQ11" s="109">
        <f>IFERROR((O11+AH11+AM11)/Dashboard!$D$15,0)*0.2</f>
        <v>0</v>
      </c>
      <c r="AR11" s="84">
        <f t="shared" si="12"/>
        <v>0</v>
      </c>
      <c r="AS11" s="65"/>
      <c r="AT11" s="112"/>
      <c r="AU11" s="203">
        <v>0.33</v>
      </c>
      <c r="AV11" s="109">
        <f t="shared" si="13"/>
        <v>0</v>
      </c>
      <c r="AW11" s="84">
        <f t="shared" si="14"/>
        <v>0</v>
      </c>
      <c r="AX11" s="65"/>
      <c r="AY11" s="112"/>
      <c r="AZ11" s="203">
        <v>0.25</v>
      </c>
      <c r="BA11" s="109">
        <f t="shared" si="15"/>
        <v>0</v>
      </c>
      <c r="BB11" s="84">
        <f t="shared" si="16"/>
        <v>0</v>
      </c>
      <c r="BC11" s="65"/>
      <c r="BD11" s="112"/>
      <c r="BE11" s="203">
        <v>0.26</v>
      </c>
      <c r="BF11" s="109">
        <f t="shared" si="17"/>
        <v>0</v>
      </c>
      <c r="BG11" s="84">
        <f t="shared" si="18"/>
        <v>0</v>
      </c>
      <c r="BH11" s="197"/>
      <c r="BI11" s="517"/>
      <c r="BJ11" s="65"/>
      <c r="BK11" s="81">
        <f t="shared" si="19"/>
        <v>0</v>
      </c>
      <c r="BL11" s="65"/>
      <c r="BM11" s="65"/>
      <c r="BN11" s="204"/>
      <c r="BO11" s="109">
        <f>($O11/Dashboard!$D$15)*(1+Dashboard!$D$19)</f>
        <v>0</v>
      </c>
      <c r="BP11" s="84">
        <f t="shared" si="20"/>
        <v>0</v>
      </c>
      <c r="BQ11" s="65"/>
      <c r="BR11" s="65"/>
      <c r="BS11" s="204"/>
      <c r="BT11" s="109">
        <f>($O11/Dashboard!$D$15)*(1+Dashboard!$D$20)</f>
        <v>0</v>
      </c>
      <c r="BU11" s="84">
        <f t="shared" si="21"/>
        <v>0</v>
      </c>
      <c r="BV11" s="65"/>
      <c r="BW11" s="65"/>
      <c r="BX11" s="204"/>
      <c r="BY11" s="109">
        <f>($O11/Dashboard!$D$15)*(1+Dashboard!$D$21)</f>
        <v>0</v>
      </c>
      <c r="BZ11" s="84">
        <f t="shared" si="22"/>
        <v>0</v>
      </c>
    </row>
    <row r="12" spans="2:78" ht="12" hidden="1" customHeight="1" outlineLevel="1">
      <c r="B12" s="137" t="str">
        <f>'Cronog. e Histog.'!B762</f>
        <v>Auxiliar Administrativo - Gerência do Contrato</v>
      </c>
      <c r="C12" s="65"/>
      <c r="D12" s="200">
        <f t="shared" si="2"/>
        <v>0</v>
      </c>
      <c r="E12" s="200">
        <f t="shared" si="3"/>
        <v>0</v>
      </c>
      <c r="F12" s="65"/>
      <c r="G12" s="200">
        <f t="shared" si="4"/>
        <v>0</v>
      </c>
      <c r="H12" s="200">
        <f t="shared" si="5"/>
        <v>0</v>
      </c>
      <c r="I12" s="65"/>
      <c r="J12" s="143" t="str">
        <f>IF('Cronog. e Histog.'!F762&gt;0,'Cronog. e Histog.'!F762,"")</f>
        <v>Auxiliar Administrativo</v>
      </c>
      <c r="K12" s="65"/>
      <c r="L12" s="144">
        <f>IF('Cronog. e Histog.'!H762&gt;0,'Cronog. e Histog.'!H762,0)</f>
        <v>0</v>
      </c>
      <c r="M12" s="144">
        <f>IF('Cronog. e Histog.'!I762&gt;0,'Cronog. e Histog.'!I762,0)</f>
        <v>0</v>
      </c>
      <c r="N12" s="65"/>
      <c r="O12" s="109">
        <f>_xlfn.XLOOKUP(B12,Salários!B:B,Salários!K:K)</f>
        <v>0</v>
      </c>
      <c r="P12" s="109">
        <f t="shared" si="6"/>
        <v>0</v>
      </c>
      <c r="Q12" s="109">
        <f t="shared" si="7"/>
        <v>0</v>
      </c>
      <c r="R12" s="65"/>
      <c r="S12" s="109">
        <f t="shared" si="23"/>
        <v>0</v>
      </c>
      <c r="T12" s="201" t="str">
        <f>IF(_xlfn.XLOOKUP(B12,Salários!B:B,Salários!I:I)&gt;0,_xlfn.XLOOKUP(B12,Salários!B:B,Salários!I:I),"")</f>
        <v/>
      </c>
      <c r="U12" s="117">
        <f t="shared" si="1"/>
        <v>0</v>
      </c>
      <c r="V12" s="65"/>
      <c r="W12" s="202"/>
      <c r="X12" s="65"/>
      <c r="Y12" s="69"/>
      <c r="Z12" s="65"/>
      <c r="AA12" s="517"/>
      <c r="AB12" s="65"/>
      <c r="AC12" s="81">
        <f t="shared" si="8"/>
        <v>0</v>
      </c>
      <c r="AD12" s="65"/>
      <c r="AE12" s="112"/>
      <c r="AF12" s="203">
        <v>0.3</v>
      </c>
      <c r="AG12" s="109">
        <f t="shared" si="9"/>
        <v>0</v>
      </c>
      <c r="AH12" s="84">
        <f t="shared" si="10"/>
        <v>0</v>
      </c>
      <c r="AI12" s="65"/>
      <c r="AJ12" s="112"/>
      <c r="AK12" s="122"/>
      <c r="AL12" s="109">
        <v>1212</v>
      </c>
      <c r="AM12" s="84">
        <f t="shared" si="11"/>
        <v>0</v>
      </c>
      <c r="AN12" s="65"/>
      <c r="AO12" s="112"/>
      <c r="AP12" s="204"/>
      <c r="AQ12" s="109">
        <f>IFERROR((O12+AH12+AM12)/Dashboard!$D$15,0)*0.2</f>
        <v>0</v>
      </c>
      <c r="AR12" s="84">
        <f t="shared" si="12"/>
        <v>0</v>
      </c>
      <c r="AS12" s="65"/>
      <c r="AT12" s="112"/>
      <c r="AU12" s="203">
        <v>0.33</v>
      </c>
      <c r="AV12" s="109">
        <f t="shared" si="13"/>
        <v>0</v>
      </c>
      <c r="AW12" s="84">
        <f t="shared" si="14"/>
        <v>0</v>
      </c>
      <c r="AX12" s="65"/>
      <c r="AY12" s="112"/>
      <c r="AZ12" s="203">
        <v>0.25</v>
      </c>
      <c r="BA12" s="109">
        <f t="shared" si="15"/>
        <v>0</v>
      </c>
      <c r="BB12" s="84">
        <f t="shared" si="16"/>
        <v>0</v>
      </c>
      <c r="BC12" s="65"/>
      <c r="BD12" s="112"/>
      <c r="BE12" s="203">
        <v>0.26</v>
      </c>
      <c r="BF12" s="109">
        <f t="shared" si="17"/>
        <v>0</v>
      </c>
      <c r="BG12" s="84">
        <f t="shared" si="18"/>
        <v>0</v>
      </c>
      <c r="BH12" s="197"/>
      <c r="BI12" s="517"/>
      <c r="BJ12" s="65"/>
      <c r="BK12" s="81">
        <f t="shared" si="19"/>
        <v>0</v>
      </c>
      <c r="BL12" s="65"/>
      <c r="BM12" s="65"/>
      <c r="BN12" s="204"/>
      <c r="BO12" s="109">
        <f>($O12/Dashboard!$D$15)*(1+Dashboard!$D$19)</f>
        <v>0</v>
      </c>
      <c r="BP12" s="84">
        <f t="shared" si="20"/>
        <v>0</v>
      </c>
      <c r="BQ12" s="65"/>
      <c r="BR12" s="65"/>
      <c r="BS12" s="204"/>
      <c r="BT12" s="109">
        <f>($O12/Dashboard!$D$15)*(1+Dashboard!$D$20)</f>
        <v>0</v>
      </c>
      <c r="BU12" s="84">
        <f t="shared" si="21"/>
        <v>0</v>
      </c>
      <c r="BV12" s="65"/>
      <c r="BW12" s="65"/>
      <c r="BX12" s="204"/>
      <c r="BY12" s="109">
        <f>($O12/Dashboard!$D$15)*(1+Dashboard!$D$21)</f>
        <v>0</v>
      </c>
      <c r="BZ12" s="84">
        <f t="shared" si="22"/>
        <v>0</v>
      </c>
    </row>
    <row r="13" spans="2:78" ht="12" hidden="1" customHeight="1" outlineLevel="1">
      <c r="B13" s="137" t="str">
        <f>'Cronog. e Histog.'!B763</f>
        <v/>
      </c>
      <c r="C13" s="65"/>
      <c r="D13" s="200">
        <f t="shared" si="2"/>
        <v>0</v>
      </c>
      <c r="E13" s="200">
        <f t="shared" si="3"/>
        <v>0</v>
      </c>
      <c r="F13" s="65"/>
      <c r="G13" s="200">
        <f t="shared" si="4"/>
        <v>0</v>
      </c>
      <c r="H13" s="200">
        <f t="shared" si="5"/>
        <v>0</v>
      </c>
      <c r="I13" s="65"/>
      <c r="J13" s="143" t="str">
        <f>IF('Cronog. e Histog.'!F763&gt;0,'Cronog. e Histog.'!F763,"")</f>
        <v/>
      </c>
      <c r="K13" s="65"/>
      <c r="L13" s="144">
        <f>IF('Cronog. e Histog.'!H763&gt;0,'Cronog. e Histog.'!H763,0)</f>
        <v>0</v>
      </c>
      <c r="M13" s="144">
        <f>IF('Cronog. e Histog.'!I763&gt;0,'Cronog. e Histog.'!I763,0)</f>
        <v>0</v>
      </c>
      <c r="N13" s="65"/>
      <c r="O13" s="109">
        <f>_xlfn.XLOOKUP(B13,Salários!B:B,Salários!K:K)</f>
        <v>0</v>
      </c>
      <c r="P13" s="109">
        <f t="shared" si="6"/>
        <v>0</v>
      </c>
      <c r="Q13" s="109">
        <f t="shared" si="7"/>
        <v>0</v>
      </c>
      <c r="R13" s="65"/>
      <c r="S13" s="109">
        <f t="shared" si="23"/>
        <v>0</v>
      </c>
      <c r="T13" s="201" t="str">
        <f>IF(_xlfn.XLOOKUP(B13,Salários!B:B,Salários!I:I)&gt;0,_xlfn.XLOOKUP(B13,Salários!B:B,Salários!I:I),"")</f>
        <v/>
      </c>
      <c r="U13" s="117">
        <f t="shared" si="1"/>
        <v>0</v>
      </c>
      <c r="V13" s="65"/>
      <c r="W13" s="202"/>
      <c r="X13" s="65"/>
      <c r="Y13" s="69"/>
      <c r="Z13" s="65"/>
      <c r="AA13" s="517"/>
      <c r="AB13" s="65"/>
      <c r="AC13" s="81">
        <f t="shared" si="8"/>
        <v>0</v>
      </c>
      <c r="AD13" s="65"/>
      <c r="AE13" s="112"/>
      <c r="AF13" s="203">
        <v>0.3</v>
      </c>
      <c r="AG13" s="109">
        <f t="shared" si="9"/>
        <v>0</v>
      </c>
      <c r="AH13" s="84">
        <f t="shared" si="10"/>
        <v>0</v>
      </c>
      <c r="AI13" s="65"/>
      <c r="AJ13" s="112"/>
      <c r="AK13" s="122"/>
      <c r="AL13" s="109">
        <v>1212</v>
      </c>
      <c r="AM13" s="84">
        <f t="shared" si="11"/>
        <v>0</v>
      </c>
      <c r="AN13" s="65"/>
      <c r="AO13" s="112"/>
      <c r="AP13" s="204"/>
      <c r="AQ13" s="109">
        <f>IFERROR((O13+AH13+AM13)/Dashboard!$D$15,0)*0.2</f>
        <v>0</v>
      </c>
      <c r="AR13" s="84">
        <f t="shared" si="12"/>
        <v>0</v>
      </c>
      <c r="AS13" s="65"/>
      <c r="AT13" s="112"/>
      <c r="AU13" s="203">
        <v>0.33</v>
      </c>
      <c r="AV13" s="109">
        <f t="shared" si="13"/>
        <v>0</v>
      </c>
      <c r="AW13" s="84">
        <f t="shared" si="14"/>
        <v>0</v>
      </c>
      <c r="AX13" s="65"/>
      <c r="AY13" s="112"/>
      <c r="AZ13" s="203">
        <v>0.25</v>
      </c>
      <c r="BA13" s="109">
        <f t="shared" si="15"/>
        <v>0</v>
      </c>
      <c r="BB13" s="84">
        <f t="shared" si="16"/>
        <v>0</v>
      </c>
      <c r="BC13" s="65"/>
      <c r="BD13" s="112"/>
      <c r="BE13" s="203">
        <v>0.26</v>
      </c>
      <c r="BF13" s="109">
        <f t="shared" si="17"/>
        <v>0</v>
      </c>
      <c r="BG13" s="84">
        <f t="shared" si="18"/>
        <v>0</v>
      </c>
      <c r="BH13" s="197"/>
      <c r="BI13" s="517"/>
      <c r="BJ13" s="65"/>
      <c r="BK13" s="81">
        <f t="shared" si="19"/>
        <v>0</v>
      </c>
      <c r="BL13" s="65"/>
      <c r="BM13" s="65"/>
      <c r="BN13" s="204"/>
      <c r="BO13" s="109">
        <f>($O13/Dashboard!$D$15)*(1+Dashboard!$D$19)</f>
        <v>0</v>
      </c>
      <c r="BP13" s="84">
        <f t="shared" si="20"/>
        <v>0</v>
      </c>
      <c r="BQ13" s="65"/>
      <c r="BR13" s="65"/>
      <c r="BS13" s="204"/>
      <c r="BT13" s="109">
        <f>($O13/Dashboard!$D$15)*(1+Dashboard!$D$20)</f>
        <v>0</v>
      </c>
      <c r="BU13" s="84">
        <f t="shared" si="21"/>
        <v>0</v>
      </c>
      <c r="BV13" s="65"/>
      <c r="BW13" s="65"/>
      <c r="BX13" s="204"/>
      <c r="BY13" s="109">
        <f>($O13/Dashboard!$D$15)*(1+Dashboard!$D$21)</f>
        <v>0</v>
      </c>
      <c r="BZ13" s="84">
        <f t="shared" si="22"/>
        <v>0</v>
      </c>
    </row>
    <row r="14" spans="2:78" ht="12" hidden="1" customHeight="1" outlineLevel="1">
      <c r="B14" s="137" t="str">
        <f>'Cronog. e Histog.'!B765</f>
        <v>Engenheiro Mecânico - Supervisão de Obra</v>
      </c>
      <c r="C14" s="65"/>
      <c r="D14" s="200">
        <f t="shared" si="2"/>
        <v>0</v>
      </c>
      <c r="E14" s="200">
        <f t="shared" si="3"/>
        <v>0</v>
      </c>
      <c r="F14" s="65"/>
      <c r="G14" s="200">
        <f t="shared" si="4"/>
        <v>0</v>
      </c>
      <c r="H14" s="200">
        <f t="shared" si="5"/>
        <v>0</v>
      </c>
      <c r="I14" s="65"/>
      <c r="J14" s="143" t="str">
        <f>IF('Cronog. e Histog.'!F765&gt;0,'Cronog. e Histog.'!F765,"")</f>
        <v>Engenheiro Mecânico</v>
      </c>
      <c r="K14" s="65"/>
      <c r="L14" s="144">
        <f>IF('Cronog. e Histog.'!H765&gt;0,'Cronog. e Histog.'!H765,0)</f>
        <v>0</v>
      </c>
      <c r="M14" s="144">
        <f>IF('Cronog. e Histog.'!I765&gt;0,'Cronog. e Histog.'!I765,0)</f>
        <v>0</v>
      </c>
      <c r="N14" s="65"/>
      <c r="O14" s="109">
        <f>_xlfn.XLOOKUP(B14,Salários!B:B,Salários!K:K)</f>
        <v>0</v>
      </c>
      <c r="P14" s="109">
        <f t="shared" si="6"/>
        <v>0</v>
      </c>
      <c r="Q14" s="109">
        <f t="shared" si="7"/>
        <v>0</v>
      </c>
      <c r="R14" s="65"/>
      <c r="S14" s="109">
        <f t="shared" si="23"/>
        <v>0</v>
      </c>
      <c r="T14" s="201" t="str">
        <f>IF(_xlfn.XLOOKUP(B14,Salários!B:B,Salários!I:I)&gt;0,_xlfn.XLOOKUP(B14,Salários!B:B,Salários!I:I),"")</f>
        <v/>
      </c>
      <c r="U14" s="117">
        <f t="shared" si="1"/>
        <v>0</v>
      </c>
      <c r="V14" s="65"/>
      <c r="W14" s="202"/>
      <c r="X14" s="65"/>
      <c r="Y14" s="69"/>
      <c r="Z14" s="65"/>
      <c r="AA14" s="517"/>
      <c r="AB14" s="65"/>
      <c r="AC14" s="81">
        <f t="shared" si="8"/>
        <v>0</v>
      </c>
      <c r="AD14" s="65"/>
      <c r="AE14" s="112"/>
      <c r="AF14" s="203">
        <v>0.3</v>
      </c>
      <c r="AG14" s="109">
        <f t="shared" si="9"/>
        <v>0</v>
      </c>
      <c r="AH14" s="84">
        <f t="shared" si="10"/>
        <v>0</v>
      </c>
      <c r="AI14" s="65"/>
      <c r="AJ14" s="112"/>
      <c r="AK14" s="122"/>
      <c r="AL14" s="109">
        <v>1212</v>
      </c>
      <c r="AM14" s="84">
        <f t="shared" si="11"/>
        <v>0</v>
      </c>
      <c r="AN14" s="65"/>
      <c r="AO14" s="112"/>
      <c r="AP14" s="204"/>
      <c r="AQ14" s="109">
        <f>IFERROR((O14+AH14+AM14)/Dashboard!$D$15,0)*0.2</f>
        <v>0</v>
      </c>
      <c r="AR14" s="84">
        <f t="shared" ref="AR14:AR77" si="24">IF(AO14="sim",AP14*AQ14,0)</f>
        <v>0</v>
      </c>
      <c r="AS14" s="65"/>
      <c r="AT14" s="112"/>
      <c r="AU14" s="203">
        <v>0.33</v>
      </c>
      <c r="AV14" s="109">
        <f t="shared" si="13"/>
        <v>0</v>
      </c>
      <c r="AW14" s="84">
        <f t="shared" si="14"/>
        <v>0</v>
      </c>
      <c r="AX14" s="65"/>
      <c r="AY14" s="112"/>
      <c r="AZ14" s="203">
        <v>0.25</v>
      </c>
      <c r="BA14" s="109">
        <f t="shared" si="15"/>
        <v>0</v>
      </c>
      <c r="BB14" s="84">
        <f t="shared" si="16"/>
        <v>0</v>
      </c>
      <c r="BC14" s="65"/>
      <c r="BD14" s="112"/>
      <c r="BE14" s="203">
        <v>0.26</v>
      </c>
      <c r="BF14" s="109">
        <f t="shared" si="17"/>
        <v>0</v>
      </c>
      <c r="BG14" s="84">
        <f t="shared" si="18"/>
        <v>0</v>
      </c>
      <c r="BH14" s="197"/>
      <c r="BI14" s="517"/>
      <c r="BJ14" s="65"/>
      <c r="BK14" s="81">
        <f t="shared" si="19"/>
        <v>0</v>
      </c>
      <c r="BL14" s="65"/>
      <c r="BM14" s="65"/>
      <c r="BN14" s="204"/>
      <c r="BO14" s="109">
        <f>($O14/Dashboard!$D$15)*(1+Dashboard!$D$19)</f>
        <v>0</v>
      </c>
      <c r="BP14" s="84">
        <f t="shared" si="20"/>
        <v>0</v>
      </c>
      <c r="BQ14" s="65"/>
      <c r="BR14" s="65"/>
      <c r="BS14" s="204"/>
      <c r="BT14" s="109">
        <f>($O14/Dashboard!$D$15)*(1+Dashboard!$D$20)</f>
        <v>0</v>
      </c>
      <c r="BU14" s="84">
        <f t="shared" si="21"/>
        <v>0</v>
      </c>
      <c r="BV14" s="65"/>
      <c r="BW14" s="65"/>
      <c r="BX14" s="204"/>
      <c r="BY14" s="109">
        <f>($O14/Dashboard!$D$15)*(1+Dashboard!$D$21)</f>
        <v>0</v>
      </c>
      <c r="BZ14" s="84">
        <f t="shared" si="22"/>
        <v>0</v>
      </c>
    </row>
    <row r="15" spans="2:78" ht="12" hidden="1" customHeight="1" outlineLevel="1">
      <c r="B15" s="137" t="str">
        <f>'Cronog. e Histog.'!B766</f>
        <v>Engenheiro Elétrica &amp; Instrumentação - Supervisão de Obra</v>
      </c>
      <c r="C15" s="65"/>
      <c r="D15" s="200">
        <f t="shared" si="2"/>
        <v>0</v>
      </c>
      <c r="E15" s="200">
        <f t="shared" si="3"/>
        <v>0</v>
      </c>
      <c r="F15" s="65"/>
      <c r="G15" s="200">
        <f t="shared" si="4"/>
        <v>0</v>
      </c>
      <c r="H15" s="200">
        <f t="shared" si="5"/>
        <v>0</v>
      </c>
      <c r="I15" s="65"/>
      <c r="J15" s="143" t="str">
        <f>IF('Cronog. e Histog.'!F766&gt;0,'Cronog. e Histog.'!F766,"")</f>
        <v>Engenheiro Elétrica &amp; Instrumentação</v>
      </c>
      <c r="K15" s="65"/>
      <c r="L15" s="144">
        <f>IF('Cronog. e Histog.'!H766&gt;0,'Cronog. e Histog.'!H766,0)</f>
        <v>0</v>
      </c>
      <c r="M15" s="144">
        <f>IF('Cronog. e Histog.'!I766&gt;0,'Cronog. e Histog.'!I766,0)</f>
        <v>0</v>
      </c>
      <c r="N15" s="65"/>
      <c r="O15" s="109">
        <f>_xlfn.XLOOKUP(B15,Salários!B:B,Salários!K:K)</f>
        <v>0</v>
      </c>
      <c r="P15" s="109">
        <f t="shared" si="6"/>
        <v>0</v>
      </c>
      <c r="Q15" s="109">
        <f t="shared" si="7"/>
        <v>0</v>
      </c>
      <c r="R15" s="65"/>
      <c r="S15" s="109">
        <f t="shared" si="23"/>
        <v>0</v>
      </c>
      <c r="T15" s="201" t="str">
        <f>IF(_xlfn.XLOOKUP(B15,Salários!B:B,Salários!I:I)&gt;0,_xlfn.XLOOKUP(B15,Salários!B:B,Salários!I:I),"")</f>
        <v/>
      </c>
      <c r="U15" s="117">
        <f t="shared" si="1"/>
        <v>0</v>
      </c>
      <c r="V15" s="65"/>
      <c r="W15" s="202"/>
      <c r="X15" s="65"/>
      <c r="Y15" s="69"/>
      <c r="Z15" s="65"/>
      <c r="AA15" s="517"/>
      <c r="AB15" s="65"/>
      <c r="AC15" s="81">
        <f t="shared" si="8"/>
        <v>0</v>
      </c>
      <c r="AD15" s="65"/>
      <c r="AE15" s="112"/>
      <c r="AF15" s="203">
        <v>0.3</v>
      </c>
      <c r="AG15" s="109">
        <f t="shared" si="9"/>
        <v>0</v>
      </c>
      <c r="AH15" s="84">
        <f t="shared" si="10"/>
        <v>0</v>
      </c>
      <c r="AI15" s="65"/>
      <c r="AJ15" s="112"/>
      <c r="AK15" s="122"/>
      <c r="AL15" s="109">
        <v>1212</v>
      </c>
      <c r="AM15" s="84">
        <f t="shared" si="11"/>
        <v>0</v>
      </c>
      <c r="AN15" s="65"/>
      <c r="AO15" s="112"/>
      <c r="AP15" s="204"/>
      <c r="AQ15" s="109">
        <f>IFERROR((O15+AH15+AM15)/Dashboard!$D$15,0)*0.2</f>
        <v>0</v>
      </c>
      <c r="AR15" s="84">
        <f t="shared" si="24"/>
        <v>0</v>
      </c>
      <c r="AS15" s="65"/>
      <c r="AT15" s="112"/>
      <c r="AU15" s="203">
        <v>0.33</v>
      </c>
      <c r="AV15" s="109">
        <f t="shared" si="13"/>
        <v>0</v>
      </c>
      <c r="AW15" s="84">
        <f t="shared" si="14"/>
        <v>0</v>
      </c>
      <c r="AX15" s="65"/>
      <c r="AY15" s="112"/>
      <c r="AZ15" s="203">
        <v>0.25</v>
      </c>
      <c r="BA15" s="109">
        <f t="shared" si="15"/>
        <v>0</v>
      </c>
      <c r="BB15" s="84">
        <f t="shared" si="16"/>
        <v>0</v>
      </c>
      <c r="BC15" s="65"/>
      <c r="BD15" s="112"/>
      <c r="BE15" s="203">
        <v>0.26</v>
      </c>
      <c r="BF15" s="109">
        <f t="shared" si="17"/>
        <v>0</v>
      </c>
      <c r="BG15" s="84">
        <f t="shared" si="18"/>
        <v>0</v>
      </c>
      <c r="BH15" s="197"/>
      <c r="BI15" s="517"/>
      <c r="BJ15" s="65"/>
      <c r="BK15" s="81">
        <f t="shared" si="19"/>
        <v>0</v>
      </c>
      <c r="BL15" s="65"/>
      <c r="BM15" s="65"/>
      <c r="BN15" s="204"/>
      <c r="BO15" s="109">
        <f>($O15/Dashboard!$D$15)*(1+Dashboard!$D$19)</f>
        <v>0</v>
      </c>
      <c r="BP15" s="84">
        <f t="shared" si="20"/>
        <v>0</v>
      </c>
      <c r="BQ15" s="65"/>
      <c r="BR15" s="65"/>
      <c r="BS15" s="204"/>
      <c r="BT15" s="109">
        <f>($O15/Dashboard!$D$15)*(1+Dashboard!$D$20)</f>
        <v>0</v>
      </c>
      <c r="BU15" s="84">
        <f t="shared" si="21"/>
        <v>0</v>
      </c>
      <c r="BV15" s="65"/>
      <c r="BW15" s="65"/>
      <c r="BX15" s="204"/>
      <c r="BY15" s="109">
        <f>($O15/Dashboard!$D$15)*(1+Dashboard!$D$21)</f>
        <v>0</v>
      </c>
      <c r="BZ15" s="84">
        <f t="shared" si="22"/>
        <v>0</v>
      </c>
    </row>
    <row r="16" spans="2:78" ht="12" hidden="1" customHeight="1" outlineLevel="1">
      <c r="B16" s="137" t="str">
        <f>'Cronog. e Histog.'!B767</f>
        <v>Engenheiro Civil - Supervisão de Obra</v>
      </c>
      <c r="C16" s="65"/>
      <c r="D16" s="200">
        <f t="shared" si="2"/>
        <v>0</v>
      </c>
      <c r="E16" s="200">
        <f t="shared" si="3"/>
        <v>0</v>
      </c>
      <c r="F16" s="65"/>
      <c r="G16" s="200">
        <f t="shared" si="4"/>
        <v>0</v>
      </c>
      <c r="H16" s="200">
        <f t="shared" si="5"/>
        <v>0</v>
      </c>
      <c r="I16" s="65"/>
      <c r="J16" s="143" t="str">
        <f>IF('Cronog. e Histog.'!F767&gt;0,'Cronog. e Histog.'!F767,"")</f>
        <v>Engenheiro Civil</v>
      </c>
      <c r="K16" s="65"/>
      <c r="L16" s="144">
        <f>IF('Cronog. e Histog.'!H767&gt;0,'Cronog. e Histog.'!H767,0)</f>
        <v>0</v>
      </c>
      <c r="M16" s="144">
        <f>IF('Cronog. e Histog.'!I767&gt;0,'Cronog. e Histog.'!I767,0)</f>
        <v>0</v>
      </c>
      <c r="N16" s="65"/>
      <c r="O16" s="109">
        <f>_xlfn.XLOOKUP(B16,Salários!B:B,Salários!K:K)</f>
        <v>0</v>
      </c>
      <c r="P16" s="109">
        <f t="shared" si="6"/>
        <v>0</v>
      </c>
      <c r="Q16" s="109">
        <f t="shared" si="7"/>
        <v>0</v>
      </c>
      <c r="R16" s="65"/>
      <c r="S16" s="109">
        <f t="shared" si="23"/>
        <v>0</v>
      </c>
      <c r="T16" s="201" t="str">
        <f>IF(_xlfn.XLOOKUP(B16,Salários!B:B,Salários!I:I)&gt;0,_xlfn.XLOOKUP(B16,Salários!B:B,Salários!I:I),"")</f>
        <v/>
      </c>
      <c r="U16" s="117">
        <f t="shared" si="1"/>
        <v>0</v>
      </c>
      <c r="V16" s="65"/>
      <c r="W16" s="202"/>
      <c r="X16" s="65"/>
      <c r="Y16" s="69"/>
      <c r="Z16" s="65"/>
      <c r="AA16" s="517"/>
      <c r="AB16" s="65"/>
      <c r="AC16" s="81">
        <f t="shared" si="8"/>
        <v>0</v>
      </c>
      <c r="AD16" s="65"/>
      <c r="AE16" s="112"/>
      <c r="AF16" s="203">
        <v>0.3</v>
      </c>
      <c r="AG16" s="109">
        <f t="shared" si="9"/>
        <v>0</v>
      </c>
      <c r="AH16" s="84">
        <f t="shared" si="10"/>
        <v>0</v>
      </c>
      <c r="AI16" s="65"/>
      <c r="AJ16" s="112"/>
      <c r="AK16" s="122"/>
      <c r="AL16" s="109">
        <v>1212</v>
      </c>
      <c r="AM16" s="84">
        <f t="shared" si="11"/>
        <v>0</v>
      </c>
      <c r="AN16" s="65"/>
      <c r="AO16" s="112"/>
      <c r="AP16" s="204"/>
      <c r="AQ16" s="109">
        <f>IFERROR((O16+AH16+AM16)/Dashboard!$D$15,0)*0.2</f>
        <v>0</v>
      </c>
      <c r="AR16" s="84">
        <f t="shared" si="24"/>
        <v>0</v>
      </c>
      <c r="AS16" s="65"/>
      <c r="AT16" s="112"/>
      <c r="AU16" s="203">
        <v>0.33</v>
      </c>
      <c r="AV16" s="109">
        <f t="shared" si="13"/>
        <v>0</v>
      </c>
      <c r="AW16" s="84">
        <f t="shared" si="14"/>
        <v>0</v>
      </c>
      <c r="AX16" s="65"/>
      <c r="AY16" s="112"/>
      <c r="AZ16" s="203">
        <v>0.25</v>
      </c>
      <c r="BA16" s="109">
        <f t="shared" si="15"/>
        <v>0</v>
      </c>
      <c r="BB16" s="84">
        <f t="shared" si="16"/>
        <v>0</v>
      </c>
      <c r="BC16" s="65"/>
      <c r="BD16" s="112"/>
      <c r="BE16" s="203">
        <v>0.26</v>
      </c>
      <c r="BF16" s="109">
        <f t="shared" si="17"/>
        <v>0</v>
      </c>
      <c r="BG16" s="84">
        <f t="shared" si="18"/>
        <v>0</v>
      </c>
      <c r="BH16" s="197"/>
      <c r="BI16" s="517"/>
      <c r="BJ16" s="65"/>
      <c r="BK16" s="81">
        <f t="shared" si="19"/>
        <v>0</v>
      </c>
      <c r="BL16" s="65"/>
      <c r="BM16" s="65"/>
      <c r="BN16" s="204"/>
      <c r="BO16" s="109">
        <f>($O16/Dashboard!$D$15)*(1+Dashboard!$D$19)</f>
        <v>0</v>
      </c>
      <c r="BP16" s="84">
        <f t="shared" si="20"/>
        <v>0</v>
      </c>
      <c r="BQ16" s="65"/>
      <c r="BR16" s="65"/>
      <c r="BS16" s="204"/>
      <c r="BT16" s="109">
        <f>($O16/Dashboard!$D$15)*(1+Dashboard!$D$20)</f>
        <v>0</v>
      </c>
      <c r="BU16" s="84">
        <f t="shared" si="21"/>
        <v>0</v>
      </c>
      <c r="BV16" s="65"/>
      <c r="BW16" s="65"/>
      <c r="BX16" s="204"/>
      <c r="BY16" s="109">
        <f>($O16/Dashboard!$D$15)*(1+Dashboard!$D$21)</f>
        <v>0</v>
      </c>
      <c r="BZ16" s="84">
        <f t="shared" si="22"/>
        <v>0</v>
      </c>
    </row>
    <row r="17" spans="2:78" ht="12" hidden="1" customHeight="1" outlineLevel="1">
      <c r="B17" s="137" t="str">
        <f>'Cronog. e Histog.'!B768</f>
        <v>Engenheiro de Produção - Supervisão de Obra</v>
      </c>
      <c r="C17" s="65"/>
      <c r="D17" s="200">
        <f t="shared" si="2"/>
        <v>0</v>
      </c>
      <c r="E17" s="200">
        <f t="shared" si="3"/>
        <v>0</v>
      </c>
      <c r="F17" s="65"/>
      <c r="G17" s="200">
        <f t="shared" si="4"/>
        <v>0</v>
      </c>
      <c r="H17" s="200">
        <f t="shared" si="5"/>
        <v>0</v>
      </c>
      <c r="I17" s="65"/>
      <c r="J17" s="143" t="str">
        <f>IF('Cronog. e Histog.'!F768&gt;0,'Cronog. e Histog.'!F768,"")</f>
        <v>Engenheiro de Produção</v>
      </c>
      <c r="K17" s="65"/>
      <c r="L17" s="144">
        <f>IF('Cronog. e Histog.'!H768&gt;0,'Cronog. e Histog.'!H768,0)</f>
        <v>0</v>
      </c>
      <c r="M17" s="144">
        <f>IF('Cronog. e Histog.'!I768&gt;0,'Cronog. e Histog.'!I768,0)</f>
        <v>0</v>
      </c>
      <c r="N17" s="65"/>
      <c r="O17" s="109">
        <f>_xlfn.XLOOKUP(B17,Salários!B:B,Salários!K:K)</f>
        <v>0</v>
      </c>
      <c r="P17" s="109">
        <f t="shared" si="6"/>
        <v>0</v>
      </c>
      <c r="Q17" s="109">
        <f t="shared" si="7"/>
        <v>0</v>
      </c>
      <c r="R17" s="65"/>
      <c r="S17" s="109">
        <f t="shared" si="23"/>
        <v>0</v>
      </c>
      <c r="T17" s="201" t="str">
        <f>IF(_xlfn.XLOOKUP(B17,Salários!B:B,Salários!I:I)&gt;0,_xlfn.XLOOKUP(B17,Salários!B:B,Salários!I:I),"")</f>
        <v/>
      </c>
      <c r="U17" s="117">
        <f t="shared" si="1"/>
        <v>0</v>
      </c>
      <c r="V17" s="65"/>
      <c r="W17" s="202"/>
      <c r="X17" s="65"/>
      <c r="Y17" s="69"/>
      <c r="Z17" s="65"/>
      <c r="AA17" s="517"/>
      <c r="AB17" s="65"/>
      <c r="AC17" s="81">
        <f t="shared" si="8"/>
        <v>0</v>
      </c>
      <c r="AD17" s="65"/>
      <c r="AE17" s="112"/>
      <c r="AF17" s="203">
        <v>0.3</v>
      </c>
      <c r="AG17" s="109">
        <f t="shared" si="9"/>
        <v>0</v>
      </c>
      <c r="AH17" s="84">
        <f t="shared" si="10"/>
        <v>0</v>
      </c>
      <c r="AI17" s="65"/>
      <c r="AJ17" s="112"/>
      <c r="AK17" s="122"/>
      <c r="AL17" s="109">
        <v>1212</v>
      </c>
      <c r="AM17" s="84">
        <f t="shared" si="11"/>
        <v>0</v>
      </c>
      <c r="AN17" s="65"/>
      <c r="AO17" s="112"/>
      <c r="AP17" s="204"/>
      <c r="AQ17" s="109">
        <f>IFERROR((O17+AH17+AM17)/Dashboard!$D$15,0)*0.2</f>
        <v>0</v>
      </c>
      <c r="AR17" s="84">
        <f t="shared" si="24"/>
        <v>0</v>
      </c>
      <c r="AS17" s="65"/>
      <c r="AT17" s="112"/>
      <c r="AU17" s="203">
        <v>0.33</v>
      </c>
      <c r="AV17" s="109">
        <f t="shared" si="13"/>
        <v>0</v>
      </c>
      <c r="AW17" s="84">
        <f t="shared" si="14"/>
        <v>0</v>
      </c>
      <c r="AX17" s="65"/>
      <c r="AY17" s="112"/>
      <c r="AZ17" s="203">
        <v>0.25</v>
      </c>
      <c r="BA17" s="109">
        <f t="shared" si="15"/>
        <v>0</v>
      </c>
      <c r="BB17" s="84">
        <f t="shared" si="16"/>
        <v>0</v>
      </c>
      <c r="BC17" s="65"/>
      <c r="BD17" s="112"/>
      <c r="BE17" s="203">
        <v>0.26</v>
      </c>
      <c r="BF17" s="109">
        <f t="shared" si="17"/>
        <v>0</v>
      </c>
      <c r="BG17" s="84">
        <f t="shared" si="18"/>
        <v>0</v>
      </c>
      <c r="BH17" s="197"/>
      <c r="BI17" s="517"/>
      <c r="BJ17" s="65"/>
      <c r="BK17" s="81">
        <f t="shared" si="19"/>
        <v>0</v>
      </c>
      <c r="BL17" s="65"/>
      <c r="BM17" s="65"/>
      <c r="BN17" s="204"/>
      <c r="BO17" s="109">
        <f>($O17/Dashboard!$D$15)*(1+Dashboard!$D$19)</f>
        <v>0</v>
      </c>
      <c r="BP17" s="84">
        <f t="shared" si="20"/>
        <v>0</v>
      </c>
      <c r="BQ17" s="65"/>
      <c r="BR17" s="65"/>
      <c r="BS17" s="204"/>
      <c r="BT17" s="109">
        <f>($O17/Dashboard!$D$15)*(1+Dashboard!$D$20)</f>
        <v>0</v>
      </c>
      <c r="BU17" s="84">
        <f t="shared" si="21"/>
        <v>0</v>
      </c>
      <c r="BV17" s="65"/>
      <c r="BW17" s="65"/>
      <c r="BX17" s="204"/>
      <c r="BY17" s="109">
        <f>($O17/Dashboard!$D$15)*(1+Dashboard!$D$21)</f>
        <v>0</v>
      </c>
      <c r="BZ17" s="84">
        <f t="shared" si="22"/>
        <v>0</v>
      </c>
    </row>
    <row r="18" spans="2:78" ht="12" hidden="1" customHeight="1" outlineLevel="1">
      <c r="B18" s="137" t="str">
        <f>'Cronog. e Histog.'!B769</f>
        <v>Engenheiro de Campo - Supervisão de Obra</v>
      </c>
      <c r="C18" s="65"/>
      <c r="D18" s="200">
        <f t="shared" si="2"/>
        <v>0</v>
      </c>
      <c r="E18" s="200">
        <f t="shared" si="3"/>
        <v>0</v>
      </c>
      <c r="F18" s="65"/>
      <c r="G18" s="200">
        <f t="shared" si="4"/>
        <v>0</v>
      </c>
      <c r="H18" s="200">
        <f t="shared" si="5"/>
        <v>0</v>
      </c>
      <c r="I18" s="65"/>
      <c r="J18" s="143" t="str">
        <f>IF('Cronog. e Histog.'!F769&gt;0,'Cronog. e Histog.'!F769,"")</f>
        <v>Engenheiro de Campo</v>
      </c>
      <c r="K18" s="65"/>
      <c r="L18" s="144">
        <f>IF('Cronog. e Histog.'!H769&gt;0,'Cronog. e Histog.'!H769,0)</f>
        <v>0</v>
      </c>
      <c r="M18" s="144">
        <f>IF('Cronog. e Histog.'!I769&gt;0,'Cronog. e Histog.'!I769,0)</f>
        <v>0</v>
      </c>
      <c r="N18" s="65"/>
      <c r="O18" s="109">
        <f>_xlfn.XLOOKUP(B18,Salários!B:B,Salários!K:K)</f>
        <v>0</v>
      </c>
      <c r="P18" s="109">
        <f t="shared" si="6"/>
        <v>0</v>
      </c>
      <c r="Q18" s="109">
        <f t="shared" si="7"/>
        <v>0</v>
      </c>
      <c r="R18" s="65"/>
      <c r="S18" s="109">
        <f t="shared" si="23"/>
        <v>0</v>
      </c>
      <c r="T18" s="201" t="str">
        <f>IF(_xlfn.XLOOKUP(B18,Salários!B:B,Salários!I:I)&gt;0,_xlfn.XLOOKUP(B18,Salários!B:B,Salários!I:I),"")</f>
        <v/>
      </c>
      <c r="U18" s="117">
        <f t="shared" si="1"/>
        <v>0</v>
      </c>
      <c r="V18" s="65"/>
      <c r="W18" s="202"/>
      <c r="X18" s="65"/>
      <c r="Y18" s="69"/>
      <c r="Z18" s="65"/>
      <c r="AA18" s="517"/>
      <c r="AB18" s="65"/>
      <c r="AC18" s="81">
        <f t="shared" si="8"/>
        <v>0</v>
      </c>
      <c r="AD18" s="65"/>
      <c r="AE18" s="112"/>
      <c r="AF18" s="203">
        <v>0.3</v>
      </c>
      <c r="AG18" s="109">
        <f t="shared" si="9"/>
        <v>0</v>
      </c>
      <c r="AH18" s="84">
        <f t="shared" si="10"/>
        <v>0</v>
      </c>
      <c r="AI18" s="65"/>
      <c r="AJ18" s="112"/>
      <c r="AK18" s="122"/>
      <c r="AL18" s="109">
        <v>1212</v>
      </c>
      <c r="AM18" s="84">
        <f t="shared" si="11"/>
        <v>0</v>
      </c>
      <c r="AN18" s="65"/>
      <c r="AO18" s="112"/>
      <c r="AP18" s="204"/>
      <c r="AQ18" s="109">
        <f>IFERROR((O18+AH18+AM18)/Dashboard!$D$15,0)*0.2</f>
        <v>0</v>
      </c>
      <c r="AR18" s="84">
        <f t="shared" si="24"/>
        <v>0</v>
      </c>
      <c r="AS18" s="65"/>
      <c r="AT18" s="112"/>
      <c r="AU18" s="203">
        <v>0.33</v>
      </c>
      <c r="AV18" s="109">
        <f t="shared" si="13"/>
        <v>0</v>
      </c>
      <c r="AW18" s="84">
        <f t="shared" si="14"/>
        <v>0</v>
      </c>
      <c r="AX18" s="65"/>
      <c r="AY18" s="112"/>
      <c r="AZ18" s="203">
        <v>0.25</v>
      </c>
      <c r="BA18" s="109">
        <f t="shared" si="15"/>
        <v>0</v>
      </c>
      <c r="BB18" s="84">
        <f t="shared" si="16"/>
        <v>0</v>
      </c>
      <c r="BC18" s="65"/>
      <c r="BD18" s="112"/>
      <c r="BE18" s="203">
        <v>0.26</v>
      </c>
      <c r="BF18" s="109">
        <f t="shared" si="17"/>
        <v>0</v>
      </c>
      <c r="BG18" s="84">
        <f t="shared" si="18"/>
        <v>0</v>
      </c>
      <c r="BH18" s="197"/>
      <c r="BI18" s="517"/>
      <c r="BJ18" s="65"/>
      <c r="BK18" s="81">
        <f t="shared" si="19"/>
        <v>0</v>
      </c>
      <c r="BL18" s="65"/>
      <c r="BM18" s="65"/>
      <c r="BN18" s="204"/>
      <c r="BO18" s="109">
        <f>($O18/Dashboard!$D$15)*(1+Dashboard!$D$19)</f>
        <v>0</v>
      </c>
      <c r="BP18" s="84">
        <f t="shared" si="20"/>
        <v>0</v>
      </c>
      <c r="BQ18" s="65"/>
      <c r="BR18" s="65"/>
      <c r="BS18" s="204"/>
      <c r="BT18" s="109">
        <f>($O18/Dashboard!$D$15)*(1+Dashboard!$D$20)</f>
        <v>0</v>
      </c>
      <c r="BU18" s="84">
        <f t="shared" si="21"/>
        <v>0</v>
      </c>
      <c r="BV18" s="65"/>
      <c r="BW18" s="65"/>
      <c r="BX18" s="204"/>
      <c r="BY18" s="109">
        <f>($O18/Dashboard!$D$15)*(1+Dashboard!$D$21)</f>
        <v>0</v>
      </c>
      <c r="BZ18" s="84">
        <f t="shared" si="22"/>
        <v>0</v>
      </c>
    </row>
    <row r="19" spans="2:78" ht="12" hidden="1" customHeight="1" outlineLevel="1">
      <c r="B19" s="137" t="str">
        <f>'Cronog. e Histog.'!B770</f>
        <v>Supervisor de Campo - Supervisão de Obra</v>
      </c>
      <c r="C19" s="65"/>
      <c r="D19" s="200">
        <f t="shared" si="2"/>
        <v>0</v>
      </c>
      <c r="E19" s="200">
        <f t="shared" si="3"/>
        <v>0</v>
      </c>
      <c r="F19" s="65"/>
      <c r="G19" s="200">
        <f t="shared" si="4"/>
        <v>0</v>
      </c>
      <c r="H19" s="200">
        <f t="shared" si="5"/>
        <v>0</v>
      </c>
      <c r="I19" s="65"/>
      <c r="J19" s="143" t="str">
        <f>IF('Cronog. e Histog.'!F770&gt;0,'Cronog. e Histog.'!F770,"")</f>
        <v>Supervisor de Campo</v>
      </c>
      <c r="K19" s="65"/>
      <c r="L19" s="144">
        <f>IF('Cronog. e Histog.'!H770&gt;0,'Cronog. e Histog.'!H770,0)</f>
        <v>0</v>
      </c>
      <c r="M19" s="144">
        <f>IF('Cronog. e Histog.'!I770&gt;0,'Cronog. e Histog.'!I770,0)</f>
        <v>0</v>
      </c>
      <c r="N19" s="65"/>
      <c r="O19" s="109">
        <f>_xlfn.XLOOKUP(B19,Salários!B:B,Salários!K:K)</f>
        <v>0</v>
      </c>
      <c r="P19" s="109">
        <f t="shared" si="6"/>
        <v>0</v>
      </c>
      <c r="Q19" s="109">
        <f t="shared" si="7"/>
        <v>0</v>
      </c>
      <c r="R19" s="65"/>
      <c r="S19" s="109">
        <f t="shared" si="23"/>
        <v>0</v>
      </c>
      <c r="T19" s="201" t="str">
        <f>IF(_xlfn.XLOOKUP(B19,Salários!B:B,Salários!I:I)&gt;0,_xlfn.XLOOKUP(B19,Salários!B:B,Salários!I:I),"")</f>
        <v/>
      </c>
      <c r="U19" s="117">
        <f t="shared" si="1"/>
        <v>0</v>
      </c>
      <c r="V19" s="65"/>
      <c r="W19" s="202"/>
      <c r="X19" s="65"/>
      <c r="Y19" s="69"/>
      <c r="Z19" s="65"/>
      <c r="AA19" s="517"/>
      <c r="AB19" s="65"/>
      <c r="AC19" s="81">
        <f t="shared" si="8"/>
        <v>0</v>
      </c>
      <c r="AD19" s="65"/>
      <c r="AE19" s="112"/>
      <c r="AF19" s="203">
        <v>0.3</v>
      </c>
      <c r="AG19" s="109">
        <f t="shared" si="9"/>
        <v>0</v>
      </c>
      <c r="AH19" s="84">
        <f t="shared" si="10"/>
        <v>0</v>
      </c>
      <c r="AI19" s="65"/>
      <c r="AJ19" s="112"/>
      <c r="AK19" s="122"/>
      <c r="AL19" s="109">
        <v>1212</v>
      </c>
      <c r="AM19" s="84">
        <f t="shared" si="11"/>
        <v>0</v>
      </c>
      <c r="AN19" s="65"/>
      <c r="AO19" s="112"/>
      <c r="AP19" s="204"/>
      <c r="AQ19" s="109">
        <f>IFERROR((O19+AH19+AM19)/Dashboard!$D$15,0)*0.2</f>
        <v>0</v>
      </c>
      <c r="AR19" s="84">
        <f t="shared" si="24"/>
        <v>0</v>
      </c>
      <c r="AS19" s="65"/>
      <c r="AT19" s="112"/>
      <c r="AU19" s="203">
        <v>0.33</v>
      </c>
      <c r="AV19" s="109">
        <f t="shared" si="13"/>
        <v>0</v>
      </c>
      <c r="AW19" s="84">
        <f t="shared" si="14"/>
        <v>0</v>
      </c>
      <c r="AX19" s="65"/>
      <c r="AY19" s="112"/>
      <c r="AZ19" s="203">
        <v>0.25</v>
      </c>
      <c r="BA19" s="109">
        <f t="shared" si="15"/>
        <v>0</v>
      </c>
      <c r="BB19" s="84">
        <f t="shared" si="16"/>
        <v>0</v>
      </c>
      <c r="BC19" s="65"/>
      <c r="BD19" s="112"/>
      <c r="BE19" s="203">
        <v>0.26</v>
      </c>
      <c r="BF19" s="109">
        <f t="shared" si="17"/>
        <v>0</v>
      </c>
      <c r="BG19" s="84">
        <f t="shared" si="18"/>
        <v>0</v>
      </c>
      <c r="BH19" s="197"/>
      <c r="BI19" s="517"/>
      <c r="BJ19" s="65"/>
      <c r="BK19" s="81">
        <f t="shared" si="19"/>
        <v>0</v>
      </c>
      <c r="BL19" s="65"/>
      <c r="BM19" s="65"/>
      <c r="BN19" s="204"/>
      <c r="BO19" s="109">
        <f>($O19/Dashboard!$D$15)*(1+Dashboard!$D$19)</f>
        <v>0</v>
      </c>
      <c r="BP19" s="84">
        <f t="shared" si="20"/>
        <v>0</v>
      </c>
      <c r="BQ19" s="65"/>
      <c r="BR19" s="65"/>
      <c r="BS19" s="204"/>
      <c r="BT19" s="109">
        <f>($O19/Dashboard!$D$15)*(1+Dashboard!$D$20)</f>
        <v>0</v>
      </c>
      <c r="BU19" s="84">
        <f t="shared" si="21"/>
        <v>0</v>
      </c>
      <c r="BV19" s="65"/>
      <c r="BW19" s="65"/>
      <c r="BX19" s="204"/>
      <c r="BY19" s="109">
        <f>($O19/Dashboard!$D$15)*(1+Dashboard!$D$21)</f>
        <v>0</v>
      </c>
      <c r="BZ19" s="84">
        <f t="shared" si="22"/>
        <v>0</v>
      </c>
    </row>
    <row r="20" spans="2:78" ht="12" hidden="1" customHeight="1" outlineLevel="1">
      <c r="B20" s="137" t="str">
        <f>'Cronog. e Histog.'!B771</f>
        <v>Encarregado - Supervisão de Obra</v>
      </c>
      <c r="C20" s="65"/>
      <c r="D20" s="200">
        <f t="shared" si="2"/>
        <v>0</v>
      </c>
      <c r="E20" s="200">
        <f t="shared" si="3"/>
        <v>0</v>
      </c>
      <c r="F20" s="65"/>
      <c r="G20" s="200">
        <f t="shared" si="4"/>
        <v>0</v>
      </c>
      <c r="H20" s="200">
        <f t="shared" si="5"/>
        <v>0</v>
      </c>
      <c r="I20" s="65"/>
      <c r="J20" s="143" t="str">
        <f>IF('Cronog. e Histog.'!F771&gt;0,'Cronog. e Histog.'!F771,"")</f>
        <v>Encarregado</v>
      </c>
      <c r="K20" s="65"/>
      <c r="L20" s="144">
        <f>IF('Cronog. e Histog.'!H771&gt;0,'Cronog. e Histog.'!H771,0)</f>
        <v>0</v>
      </c>
      <c r="M20" s="144">
        <f>IF('Cronog. e Histog.'!I771&gt;0,'Cronog. e Histog.'!I771,0)</f>
        <v>0</v>
      </c>
      <c r="N20" s="65"/>
      <c r="O20" s="109">
        <f>_xlfn.XLOOKUP(B20,Salários!B:B,Salários!K:K)</f>
        <v>0</v>
      </c>
      <c r="P20" s="109">
        <f t="shared" si="6"/>
        <v>0</v>
      </c>
      <c r="Q20" s="109">
        <f t="shared" si="7"/>
        <v>0</v>
      </c>
      <c r="R20" s="65"/>
      <c r="S20" s="109">
        <f t="shared" si="23"/>
        <v>0</v>
      </c>
      <c r="T20" s="201" t="str">
        <f>IF(_xlfn.XLOOKUP(B20,Salários!B:B,Salários!I:I)&gt;0,_xlfn.XLOOKUP(B20,Salários!B:B,Salários!I:I),"")</f>
        <v/>
      </c>
      <c r="U20" s="117">
        <f t="shared" si="1"/>
        <v>0</v>
      </c>
      <c r="V20" s="65"/>
      <c r="W20" s="202"/>
      <c r="X20" s="65"/>
      <c r="Y20" s="69"/>
      <c r="Z20" s="65"/>
      <c r="AA20" s="517"/>
      <c r="AB20" s="65"/>
      <c r="AC20" s="81">
        <f t="shared" si="8"/>
        <v>0</v>
      </c>
      <c r="AD20" s="65"/>
      <c r="AE20" s="112"/>
      <c r="AF20" s="203">
        <v>0.3</v>
      </c>
      <c r="AG20" s="109">
        <f t="shared" si="9"/>
        <v>0</v>
      </c>
      <c r="AH20" s="84">
        <f t="shared" si="10"/>
        <v>0</v>
      </c>
      <c r="AI20" s="65"/>
      <c r="AJ20" s="112"/>
      <c r="AK20" s="122"/>
      <c r="AL20" s="109">
        <v>1212</v>
      </c>
      <c r="AM20" s="84">
        <f t="shared" si="11"/>
        <v>0</v>
      </c>
      <c r="AN20" s="65"/>
      <c r="AO20" s="112"/>
      <c r="AP20" s="204"/>
      <c r="AQ20" s="109">
        <f>IFERROR((O20+AH20+AM20)/Dashboard!$D$15,0)*0.2</f>
        <v>0</v>
      </c>
      <c r="AR20" s="84">
        <f t="shared" si="24"/>
        <v>0</v>
      </c>
      <c r="AS20" s="65"/>
      <c r="AT20" s="112"/>
      <c r="AU20" s="203">
        <v>0.33</v>
      </c>
      <c r="AV20" s="109">
        <f t="shared" si="13"/>
        <v>0</v>
      </c>
      <c r="AW20" s="84">
        <f t="shared" si="14"/>
        <v>0</v>
      </c>
      <c r="AX20" s="65"/>
      <c r="AY20" s="112"/>
      <c r="AZ20" s="203">
        <v>0.25</v>
      </c>
      <c r="BA20" s="109">
        <f t="shared" si="15"/>
        <v>0</v>
      </c>
      <c r="BB20" s="84">
        <f t="shared" si="16"/>
        <v>0</v>
      </c>
      <c r="BC20" s="65"/>
      <c r="BD20" s="112"/>
      <c r="BE20" s="203">
        <v>0.26</v>
      </c>
      <c r="BF20" s="109">
        <f t="shared" si="17"/>
        <v>0</v>
      </c>
      <c r="BG20" s="84">
        <f t="shared" si="18"/>
        <v>0</v>
      </c>
      <c r="BH20" s="197"/>
      <c r="BI20" s="517"/>
      <c r="BJ20" s="65"/>
      <c r="BK20" s="81">
        <f t="shared" si="19"/>
        <v>0</v>
      </c>
      <c r="BL20" s="65"/>
      <c r="BM20" s="65"/>
      <c r="BN20" s="204"/>
      <c r="BO20" s="109">
        <f>($O20/Dashboard!$D$15)*(1+Dashboard!$D$19)</f>
        <v>0</v>
      </c>
      <c r="BP20" s="84">
        <f t="shared" si="20"/>
        <v>0</v>
      </c>
      <c r="BQ20" s="65"/>
      <c r="BR20" s="65"/>
      <c r="BS20" s="204"/>
      <c r="BT20" s="109">
        <f>($O20/Dashboard!$D$15)*(1+Dashboard!$D$20)</f>
        <v>0</v>
      </c>
      <c r="BU20" s="84">
        <f t="shared" si="21"/>
        <v>0</v>
      </c>
      <c r="BV20" s="65"/>
      <c r="BW20" s="65"/>
      <c r="BX20" s="204"/>
      <c r="BY20" s="109">
        <f>($O20/Dashboard!$D$15)*(1+Dashboard!$D$21)</f>
        <v>0</v>
      </c>
      <c r="BZ20" s="84">
        <f t="shared" si="22"/>
        <v>0</v>
      </c>
    </row>
    <row r="21" spans="2:78" ht="12" hidden="1" customHeight="1" outlineLevel="1">
      <c r="B21" s="137" t="str">
        <f>'Cronog. e Histog.'!B773</f>
        <v>Supervisor Administrativo - Administração da Obra</v>
      </c>
      <c r="C21" s="65"/>
      <c r="D21" s="200">
        <f t="shared" si="2"/>
        <v>0</v>
      </c>
      <c r="E21" s="200">
        <f t="shared" si="3"/>
        <v>0</v>
      </c>
      <c r="F21" s="65"/>
      <c r="G21" s="200">
        <f t="shared" si="4"/>
        <v>0</v>
      </c>
      <c r="H21" s="200">
        <f t="shared" si="5"/>
        <v>0</v>
      </c>
      <c r="I21" s="65"/>
      <c r="J21" s="143" t="str">
        <f>IF('Cronog. e Histog.'!F773&gt;0,'Cronog. e Histog.'!F773,"")</f>
        <v>Supervisor Administrativo</v>
      </c>
      <c r="K21" s="65"/>
      <c r="L21" s="144">
        <f>IF('Cronog. e Histog.'!H773&gt;0,'Cronog. e Histog.'!H773,0)</f>
        <v>0</v>
      </c>
      <c r="M21" s="144">
        <f>IF('Cronog. e Histog.'!I773&gt;0,'Cronog. e Histog.'!I773,0)</f>
        <v>0</v>
      </c>
      <c r="N21" s="65"/>
      <c r="O21" s="109">
        <f>_xlfn.XLOOKUP(B21,Salários!B:B,Salários!K:K)</f>
        <v>0</v>
      </c>
      <c r="P21" s="109">
        <f t="shared" si="6"/>
        <v>0</v>
      </c>
      <c r="Q21" s="109">
        <f t="shared" si="7"/>
        <v>0</v>
      </c>
      <c r="R21" s="65"/>
      <c r="S21" s="109">
        <f t="shared" si="23"/>
        <v>0</v>
      </c>
      <c r="T21" s="201" t="str">
        <f>IF(_xlfn.XLOOKUP(B21,Salários!B:B,Salários!I:I)&gt;0,_xlfn.XLOOKUP(B21,Salários!B:B,Salários!I:I),"")</f>
        <v/>
      </c>
      <c r="U21" s="117">
        <f t="shared" si="1"/>
        <v>0</v>
      </c>
      <c r="V21" s="65"/>
      <c r="W21" s="202"/>
      <c r="X21" s="65"/>
      <c r="Y21" s="69"/>
      <c r="Z21" s="65"/>
      <c r="AA21" s="517"/>
      <c r="AB21" s="65"/>
      <c r="AC21" s="81">
        <f t="shared" si="8"/>
        <v>0</v>
      </c>
      <c r="AD21" s="65"/>
      <c r="AE21" s="112"/>
      <c r="AF21" s="203">
        <v>0.3</v>
      </c>
      <c r="AG21" s="109">
        <f t="shared" si="9"/>
        <v>0</v>
      </c>
      <c r="AH21" s="84">
        <f t="shared" si="10"/>
        <v>0</v>
      </c>
      <c r="AI21" s="65"/>
      <c r="AJ21" s="112"/>
      <c r="AK21" s="122"/>
      <c r="AL21" s="109">
        <v>1212</v>
      </c>
      <c r="AM21" s="84">
        <f t="shared" si="11"/>
        <v>0</v>
      </c>
      <c r="AN21" s="65"/>
      <c r="AO21" s="112"/>
      <c r="AP21" s="204"/>
      <c r="AQ21" s="109">
        <f>IFERROR((O21+AH21+AM21)/Dashboard!$D$15,0)*0.2</f>
        <v>0</v>
      </c>
      <c r="AR21" s="84">
        <f t="shared" si="24"/>
        <v>0</v>
      </c>
      <c r="AS21" s="65"/>
      <c r="AT21" s="112"/>
      <c r="AU21" s="203">
        <v>0.33</v>
      </c>
      <c r="AV21" s="109">
        <f t="shared" si="13"/>
        <v>0</v>
      </c>
      <c r="AW21" s="84">
        <f t="shared" si="14"/>
        <v>0</v>
      </c>
      <c r="AX21" s="65"/>
      <c r="AY21" s="112"/>
      <c r="AZ21" s="203">
        <v>0.25</v>
      </c>
      <c r="BA21" s="109">
        <f t="shared" si="15"/>
        <v>0</v>
      </c>
      <c r="BB21" s="84">
        <f t="shared" si="16"/>
        <v>0</v>
      </c>
      <c r="BC21" s="65"/>
      <c r="BD21" s="112"/>
      <c r="BE21" s="203">
        <v>0.26</v>
      </c>
      <c r="BF21" s="109">
        <f t="shared" si="17"/>
        <v>0</v>
      </c>
      <c r="BG21" s="84">
        <f t="shared" si="18"/>
        <v>0</v>
      </c>
      <c r="BH21" s="197"/>
      <c r="BI21" s="517"/>
      <c r="BJ21" s="65"/>
      <c r="BK21" s="81">
        <f t="shared" si="19"/>
        <v>0</v>
      </c>
      <c r="BL21" s="65"/>
      <c r="BM21" s="65"/>
      <c r="BN21" s="204"/>
      <c r="BO21" s="109">
        <f>($O21/Dashboard!$D$15)*(1+Dashboard!$D$19)</f>
        <v>0</v>
      </c>
      <c r="BP21" s="84">
        <f t="shared" si="20"/>
        <v>0</v>
      </c>
      <c r="BQ21" s="65"/>
      <c r="BR21" s="65"/>
      <c r="BS21" s="204"/>
      <c r="BT21" s="109">
        <f>($O21/Dashboard!$D$15)*(1+Dashboard!$D$20)</f>
        <v>0</v>
      </c>
      <c r="BU21" s="84">
        <f t="shared" si="21"/>
        <v>0</v>
      </c>
      <c r="BV21" s="65"/>
      <c r="BW21" s="65"/>
      <c r="BX21" s="204"/>
      <c r="BY21" s="109">
        <f>($O21/Dashboard!$D$15)*(1+Dashboard!$D$21)</f>
        <v>0</v>
      </c>
      <c r="BZ21" s="84">
        <f t="shared" si="22"/>
        <v>0</v>
      </c>
    </row>
    <row r="22" spans="2:78" ht="12" hidden="1" customHeight="1" outlineLevel="1">
      <c r="B22" s="137" t="str">
        <f>'Cronog. e Histog.'!B774</f>
        <v>Técnico Administrativo - Administração da Obra</v>
      </c>
      <c r="C22" s="65"/>
      <c r="D22" s="200">
        <f t="shared" si="2"/>
        <v>0</v>
      </c>
      <c r="E22" s="200">
        <f t="shared" si="3"/>
        <v>0</v>
      </c>
      <c r="F22" s="65"/>
      <c r="G22" s="200">
        <f t="shared" si="4"/>
        <v>0</v>
      </c>
      <c r="H22" s="200">
        <f t="shared" si="5"/>
        <v>0</v>
      </c>
      <c r="I22" s="65"/>
      <c r="J22" s="143" t="str">
        <f>IF('Cronog. e Histog.'!F774&gt;0,'Cronog. e Histog.'!F774,"")</f>
        <v>Técnico Administrativo</v>
      </c>
      <c r="K22" s="65"/>
      <c r="L22" s="144">
        <f>IF('Cronog. e Histog.'!H774&gt;0,'Cronog. e Histog.'!H774,0)</f>
        <v>0</v>
      </c>
      <c r="M22" s="144">
        <f>IF('Cronog. e Histog.'!I774&gt;0,'Cronog. e Histog.'!I774,0)</f>
        <v>0</v>
      </c>
      <c r="N22" s="65"/>
      <c r="O22" s="109">
        <f>_xlfn.XLOOKUP(B22,Salários!B:B,Salários!K:K)</f>
        <v>0</v>
      </c>
      <c r="P22" s="109">
        <f t="shared" si="6"/>
        <v>0</v>
      </c>
      <c r="Q22" s="109">
        <f t="shared" si="7"/>
        <v>0</v>
      </c>
      <c r="R22" s="65"/>
      <c r="S22" s="109">
        <f t="shared" si="23"/>
        <v>0</v>
      </c>
      <c r="T22" s="201" t="str">
        <f>IF(_xlfn.XLOOKUP(B22,Salários!B:B,Salários!I:I)&gt;0,_xlfn.XLOOKUP(B22,Salários!B:B,Salários!I:I),"")</f>
        <v/>
      </c>
      <c r="U22" s="117">
        <f t="shared" si="1"/>
        <v>0</v>
      </c>
      <c r="V22" s="65"/>
      <c r="W22" s="202"/>
      <c r="X22" s="65"/>
      <c r="Y22" s="69"/>
      <c r="Z22" s="65"/>
      <c r="AA22" s="517"/>
      <c r="AB22" s="65"/>
      <c r="AC22" s="81">
        <f t="shared" si="8"/>
        <v>0</v>
      </c>
      <c r="AD22" s="65"/>
      <c r="AE22" s="112"/>
      <c r="AF22" s="203">
        <v>0.3</v>
      </c>
      <c r="AG22" s="109">
        <f t="shared" si="9"/>
        <v>0</v>
      </c>
      <c r="AH22" s="84">
        <f t="shared" si="10"/>
        <v>0</v>
      </c>
      <c r="AI22" s="65"/>
      <c r="AJ22" s="112"/>
      <c r="AK22" s="122"/>
      <c r="AL22" s="109">
        <v>1212</v>
      </c>
      <c r="AM22" s="84">
        <f t="shared" si="11"/>
        <v>0</v>
      </c>
      <c r="AN22" s="65"/>
      <c r="AO22" s="112"/>
      <c r="AP22" s="204"/>
      <c r="AQ22" s="109">
        <f>IFERROR((O22+AH22+AM22)/Dashboard!$D$15,0)*0.2</f>
        <v>0</v>
      </c>
      <c r="AR22" s="84">
        <f t="shared" si="24"/>
        <v>0</v>
      </c>
      <c r="AS22" s="65"/>
      <c r="AT22" s="112"/>
      <c r="AU22" s="203">
        <v>0.33</v>
      </c>
      <c r="AV22" s="109">
        <f t="shared" si="13"/>
        <v>0</v>
      </c>
      <c r="AW22" s="84">
        <f t="shared" si="14"/>
        <v>0</v>
      </c>
      <c r="AX22" s="65"/>
      <c r="AY22" s="112"/>
      <c r="AZ22" s="203">
        <v>0.25</v>
      </c>
      <c r="BA22" s="109">
        <f t="shared" si="15"/>
        <v>0</v>
      </c>
      <c r="BB22" s="84">
        <f t="shared" si="16"/>
        <v>0</v>
      </c>
      <c r="BC22" s="65"/>
      <c r="BD22" s="112"/>
      <c r="BE22" s="203">
        <v>0.26</v>
      </c>
      <c r="BF22" s="109">
        <f t="shared" si="17"/>
        <v>0</v>
      </c>
      <c r="BG22" s="84">
        <f t="shared" si="18"/>
        <v>0</v>
      </c>
      <c r="BH22" s="197"/>
      <c r="BI22" s="517"/>
      <c r="BJ22" s="65"/>
      <c r="BK22" s="81">
        <f t="shared" si="19"/>
        <v>0</v>
      </c>
      <c r="BL22" s="65"/>
      <c r="BM22" s="65"/>
      <c r="BN22" s="204"/>
      <c r="BO22" s="109">
        <f>($O22/Dashboard!$D$15)*(1+Dashboard!$D$19)</f>
        <v>0</v>
      </c>
      <c r="BP22" s="84">
        <f t="shared" si="20"/>
        <v>0</v>
      </c>
      <c r="BQ22" s="65"/>
      <c r="BR22" s="65"/>
      <c r="BS22" s="204"/>
      <c r="BT22" s="109">
        <f>($O22/Dashboard!$D$15)*(1+Dashboard!$D$20)</f>
        <v>0</v>
      </c>
      <c r="BU22" s="84">
        <f t="shared" si="21"/>
        <v>0</v>
      </c>
      <c r="BV22" s="65"/>
      <c r="BW22" s="65"/>
      <c r="BX22" s="204"/>
      <c r="BY22" s="109">
        <f>($O22/Dashboard!$D$15)*(1+Dashboard!$D$21)</f>
        <v>0</v>
      </c>
      <c r="BZ22" s="84">
        <f t="shared" si="22"/>
        <v>0</v>
      </c>
    </row>
    <row r="23" spans="2:78" ht="12" hidden="1" customHeight="1" outlineLevel="1">
      <c r="B23" s="137" t="str">
        <f>'Cronog. e Histog.'!B775</f>
        <v>Auxiliar Administrativo - Administração da Obra</v>
      </c>
      <c r="C23" s="65"/>
      <c r="D23" s="200">
        <f t="shared" si="2"/>
        <v>0</v>
      </c>
      <c r="E23" s="200">
        <f t="shared" si="3"/>
        <v>0</v>
      </c>
      <c r="F23" s="65"/>
      <c r="G23" s="200">
        <f t="shared" si="4"/>
        <v>0</v>
      </c>
      <c r="H23" s="200">
        <f t="shared" si="5"/>
        <v>0</v>
      </c>
      <c r="I23" s="65"/>
      <c r="J23" s="143" t="str">
        <f>IF('Cronog. e Histog.'!F775&gt;0,'Cronog. e Histog.'!F775,"")</f>
        <v>Auxiliar Administrativo</v>
      </c>
      <c r="K23" s="65"/>
      <c r="L23" s="144">
        <f>IF('Cronog. e Histog.'!H775&gt;0,'Cronog. e Histog.'!H775,0)</f>
        <v>0</v>
      </c>
      <c r="M23" s="144">
        <f>IF('Cronog. e Histog.'!I775&gt;0,'Cronog. e Histog.'!I775,0)</f>
        <v>0</v>
      </c>
      <c r="N23" s="65"/>
      <c r="O23" s="109">
        <f>_xlfn.XLOOKUP(B23,Salários!B:B,Salários!K:K)</f>
        <v>0</v>
      </c>
      <c r="P23" s="109">
        <f t="shared" si="6"/>
        <v>0</v>
      </c>
      <c r="Q23" s="109">
        <f t="shared" si="7"/>
        <v>0</v>
      </c>
      <c r="R23" s="65"/>
      <c r="S23" s="109">
        <f t="shared" si="23"/>
        <v>0</v>
      </c>
      <c r="T23" s="201" t="str">
        <f>IF(_xlfn.XLOOKUP(B23,Salários!B:B,Salários!I:I)&gt;0,_xlfn.XLOOKUP(B23,Salários!B:B,Salários!I:I),"")</f>
        <v/>
      </c>
      <c r="U23" s="117">
        <f t="shared" si="1"/>
        <v>0</v>
      </c>
      <c r="V23" s="65"/>
      <c r="W23" s="202"/>
      <c r="X23" s="65"/>
      <c r="Y23" s="69"/>
      <c r="Z23" s="65"/>
      <c r="AA23" s="517"/>
      <c r="AB23" s="65"/>
      <c r="AC23" s="81">
        <f t="shared" si="8"/>
        <v>0</v>
      </c>
      <c r="AD23" s="65"/>
      <c r="AE23" s="112"/>
      <c r="AF23" s="203">
        <v>0.3</v>
      </c>
      <c r="AG23" s="109">
        <f t="shared" si="9"/>
        <v>0</v>
      </c>
      <c r="AH23" s="84">
        <f t="shared" si="10"/>
        <v>0</v>
      </c>
      <c r="AI23" s="65"/>
      <c r="AJ23" s="112"/>
      <c r="AK23" s="122"/>
      <c r="AL23" s="109">
        <v>1212</v>
      </c>
      <c r="AM23" s="84">
        <f t="shared" si="11"/>
        <v>0</v>
      </c>
      <c r="AN23" s="65"/>
      <c r="AO23" s="112"/>
      <c r="AP23" s="204"/>
      <c r="AQ23" s="109">
        <f>IFERROR((O23+AH23+AM23)/Dashboard!$D$15,0)*0.2</f>
        <v>0</v>
      </c>
      <c r="AR23" s="84">
        <f t="shared" si="24"/>
        <v>0</v>
      </c>
      <c r="AS23" s="65"/>
      <c r="AT23" s="112"/>
      <c r="AU23" s="203">
        <v>0.33</v>
      </c>
      <c r="AV23" s="109">
        <f t="shared" si="13"/>
        <v>0</v>
      </c>
      <c r="AW23" s="84">
        <f t="shared" si="14"/>
        <v>0</v>
      </c>
      <c r="AX23" s="65"/>
      <c r="AY23" s="112"/>
      <c r="AZ23" s="203">
        <v>0.25</v>
      </c>
      <c r="BA23" s="109">
        <f t="shared" si="15"/>
        <v>0</v>
      </c>
      <c r="BB23" s="84">
        <f t="shared" si="16"/>
        <v>0</v>
      </c>
      <c r="BC23" s="65"/>
      <c r="BD23" s="112"/>
      <c r="BE23" s="203">
        <v>0.26</v>
      </c>
      <c r="BF23" s="109">
        <f t="shared" si="17"/>
        <v>0</v>
      </c>
      <c r="BG23" s="84">
        <f t="shared" si="18"/>
        <v>0</v>
      </c>
      <c r="BH23" s="197"/>
      <c r="BI23" s="517"/>
      <c r="BJ23" s="65"/>
      <c r="BK23" s="81">
        <f t="shared" si="19"/>
        <v>0</v>
      </c>
      <c r="BL23" s="65"/>
      <c r="BM23" s="65"/>
      <c r="BN23" s="204"/>
      <c r="BO23" s="109">
        <f>($O23/Dashboard!$D$15)*(1+Dashboard!$D$19)</f>
        <v>0</v>
      </c>
      <c r="BP23" s="84">
        <f t="shared" si="20"/>
        <v>0</v>
      </c>
      <c r="BQ23" s="65"/>
      <c r="BR23" s="65"/>
      <c r="BS23" s="204"/>
      <c r="BT23" s="109">
        <f>($O23/Dashboard!$D$15)*(1+Dashboard!$D$20)</f>
        <v>0</v>
      </c>
      <c r="BU23" s="84">
        <f t="shared" si="21"/>
        <v>0</v>
      </c>
      <c r="BV23" s="65"/>
      <c r="BW23" s="65"/>
      <c r="BX23" s="204"/>
      <c r="BY23" s="109">
        <f>($O23/Dashboard!$D$15)*(1+Dashboard!$D$21)</f>
        <v>0</v>
      </c>
      <c r="BZ23" s="84">
        <f t="shared" si="22"/>
        <v>0</v>
      </c>
    </row>
    <row r="24" spans="2:78" ht="12" hidden="1" customHeight="1" outlineLevel="1">
      <c r="B24" s="137" t="str">
        <f>'Cronog. e Histog.'!B776</f>
        <v>Comprador Técnico - Administração da Obra</v>
      </c>
      <c r="C24" s="65"/>
      <c r="D24" s="200">
        <f t="shared" si="2"/>
        <v>0</v>
      </c>
      <c r="E24" s="200">
        <f t="shared" si="3"/>
        <v>0</v>
      </c>
      <c r="F24" s="65"/>
      <c r="G24" s="200">
        <f t="shared" si="4"/>
        <v>0</v>
      </c>
      <c r="H24" s="200">
        <f t="shared" si="5"/>
        <v>0</v>
      </c>
      <c r="I24" s="65"/>
      <c r="J24" s="143" t="str">
        <f>IF('Cronog. e Histog.'!F776&gt;0,'Cronog. e Histog.'!F776,"")</f>
        <v>Comprador Técnico</v>
      </c>
      <c r="K24" s="65"/>
      <c r="L24" s="144">
        <f>IF('Cronog. e Histog.'!H776&gt;0,'Cronog. e Histog.'!H776,0)</f>
        <v>0</v>
      </c>
      <c r="M24" s="144">
        <f>IF('Cronog. e Histog.'!I776&gt;0,'Cronog. e Histog.'!I776,0)</f>
        <v>0</v>
      </c>
      <c r="N24" s="65"/>
      <c r="O24" s="109">
        <f>_xlfn.XLOOKUP(B24,Salários!B:B,Salários!K:K)</f>
        <v>0</v>
      </c>
      <c r="P24" s="109">
        <f t="shared" si="6"/>
        <v>0</v>
      </c>
      <c r="Q24" s="109">
        <f t="shared" si="7"/>
        <v>0</v>
      </c>
      <c r="R24" s="65"/>
      <c r="S24" s="109">
        <f t="shared" si="23"/>
        <v>0</v>
      </c>
      <c r="T24" s="201" t="str">
        <f>IF(_xlfn.XLOOKUP(B24,Salários!B:B,Salários!I:I)&gt;0,_xlfn.XLOOKUP(B24,Salários!B:B,Salários!I:I),"")</f>
        <v/>
      </c>
      <c r="U24" s="117">
        <f t="shared" si="1"/>
        <v>0</v>
      </c>
      <c r="V24" s="65"/>
      <c r="W24" s="202"/>
      <c r="X24" s="65"/>
      <c r="Y24" s="69"/>
      <c r="Z24" s="65"/>
      <c r="AA24" s="517"/>
      <c r="AB24" s="65"/>
      <c r="AC24" s="81">
        <f t="shared" si="8"/>
        <v>0</v>
      </c>
      <c r="AD24" s="65"/>
      <c r="AE24" s="112"/>
      <c r="AF24" s="203">
        <v>0.3</v>
      </c>
      <c r="AG24" s="109">
        <f t="shared" si="9"/>
        <v>0</v>
      </c>
      <c r="AH24" s="84">
        <f t="shared" si="10"/>
        <v>0</v>
      </c>
      <c r="AI24" s="65"/>
      <c r="AJ24" s="112"/>
      <c r="AK24" s="122"/>
      <c r="AL24" s="109">
        <v>1212</v>
      </c>
      <c r="AM24" s="84">
        <f t="shared" si="11"/>
        <v>0</v>
      </c>
      <c r="AN24" s="65"/>
      <c r="AO24" s="112"/>
      <c r="AP24" s="204"/>
      <c r="AQ24" s="109">
        <f>IFERROR((O24+AH24+AM24)/Dashboard!$D$15,0)*0.2</f>
        <v>0</v>
      </c>
      <c r="AR24" s="84">
        <f t="shared" si="24"/>
        <v>0</v>
      </c>
      <c r="AS24" s="65"/>
      <c r="AT24" s="112"/>
      <c r="AU24" s="203">
        <v>0.33</v>
      </c>
      <c r="AV24" s="109">
        <f t="shared" si="13"/>
        <v>0</v>
      </c>
      <c r="AW24" s="84">
        <f t="shared" si="14"/>
        <v>0</v>
      </c>
      <c r="AX24" s="65"/>
      <c r="AY24" s="112"/>
      <c r="AZ24" s="203">
        <v>0.25</v>
      </c>
      <c r="BA24" s="109">
        <f t="shared" si="15"/>
        <v>0</v>
      </c>
      <c r="BB24" s="84">
        <f t="shared" si="16"/>
        <v>0</v>
      </c>
      <c r="BC24" s="65"/>
      <c r="BD24" s="112"/>
      <c r="BE24" s="203">
        <v>0.26</v>
      </c>
      <c r="BF24" s="109">
        <f t="shared" si="17"/>
        <v>0</v>
      </c>
      <c r="BG24" s="84">
        <f t="shared" si="18"/>
        <v>0</v>
      </c>
      <c r="BH24" s="197"/>
      <c r="BI24" s="517"/>
      <c r="BJ24" s="65"/>
      <c r="BK24" s="81">
        <f t="shared" si="19"/>
        <v>0</v>
      </c>
      <c r="BL24" s="65"/>
      <c r="BM24" s="65"/>
      <c r="BN24" s="204"/>
      <c r="BO24" s="109">
        <f>($O24/Dashboard!$D$15)*(1+Dashboard!$D$19)</f>
        <v>0</v>
      </c>
      <c r="BP24" s="84">
        <f t="shared" si="20"/>
        <v>0</v>
      </c>
      <c r="BQ24" s="65"/>
      <c r="BR24" s="65"/>
      <c r="BS24" s="204"/>
      <c r="BT24" s="109">
        <f>($O24/Dashboard!$D$15)*(1+Dashboard!$D$20)</f>
        <v>0</v>
      </c>
      <c r="BU24" s="84">
        <f t="shared" si="21"/>
        <v>0</v>
      </c>
      <c r="BV24" s="65"/>
      <c r="BW24" s="65"/>
      <c r="BX24" s="204"/>
      <c r="BY24" s="109">
        <f>($O24/Dashboard!$D$15)*(1+Dashboard!$D$21)</f>
        <v>0</v>
      </c>
      <c r="BZ24" s="84">
        <f t="shared" si="22"/>
        <v>0</v>
      </c>
    </row>
    <row r="25" spans="2:78" ht="12" hidden="1" customHeight="1" outlineLevel="1">
      <c r="B25" s="137" t="str">
        <f>'Cronog. e Histog.'!B777</f>
        <v>Auxiliar de Compras - Administração da Obra</v>
      </c>
      <c r="C25" s="65"/>
      <c r="D25" s="200">
        <f t="shared" si="2"/>
        <v>0</v>
      </c>
      <c r="E25" s="200">
        <f t="shared" si="3"/>
        <v>0</v>
      </c>
      <c r="F25" s="65"/>
      <c r="G25" s="200">
        <f t="shared" si="4"/>
        <v>0</v>
      </c>
      <c r="H25" s="200">
        <f t="shared" si="5"/>
        <v>0</v>
      </c>
      <c r="I25" s="65"/>
      <c r="J25" s="143" t="str">
        <f>IF('Cronog. e Histog.'!F777&gt;0,'Cronog. e Histog.'!F777,"")</f>
        <v>Auxiliar de Compras</v>
      </c>
      <c r="K25" s="65"/>
      <c r="L25" s="144">
        <f>IF('Cronog. e Histog.'!H777&gt;0,'Cronog. e Histog.'!H777,0)</f>
        <v>0</v>
      </c>
      <c r="M25" s="144">
        <f>IF('Cronog. e Histog.'!I777&gt;0,'Cronog. e Histog.'!I777,0)</f>
        <v>0</v>
      </c>
      <c r="N25" s="65"/>
      <c r="O25" s="109">
        <f>_xlfn.XLOOKUP(B25,Salários!B:B,Salários!K:K)</f>
        <v>0</v>
      </c>
      <c r="P25" s="109">
        <f t="shared" si="6"/>
        <v>0</v>
      </c>
      <c r="Q25" s="109">
        <f t="shared" si="7"/>
        <v>0</v>
      </c>
      <c r="R25" s="65"/>
      <c r="S25" s="109">
        <f t="shared" si="23"/>
        <v>0</v>
      </c>
      <c r="T25" s="201" t="str">
        <f>IF(_xlfn.XLOOKUP(B25,Salários!B:B,Salários!I:I)&gt;0,_xlfn.XLOOKUP(B25,Salários!B:B,Salários!I:I),"")</f>
        <v/>
      </c>
      <c r="U25" s="117">
        <f t="shared" si="1"/>
        <v>0</v>
      </c>
      <c r="V25" s="65"/>
      <c r="W25" s="202"/>
      <c r="X25" s="65"/>
      <c r="Y25" s="69"/>
      <c r="Z25" s="65"/>
      <c r="AA25" s="517"/>
      <c r="AB25" s="65"/>
      <c r="AC25" s="81">
        <f t="shared" si="8"/>
        <v>0</v>
      </c>
      <c r="AD25" s="65"/>
      <c r="AE25" s="112"/>
      <c r="AF25" s="203">
        <v>0.3</v>
      </c>
      <c r="AG25" s="109">
        <f t="shared" si="9"/>
        <v>0</v>
      </c>
      <c r="AH25" s="84">
        <f t="shared" si="10"/>
        <v>0</v>
      </c>
      <c r="AI25" s="65"/>
      <c r="AJ25" s="112"/>
      <c r="AK25" s="122"/>
      <c r="AL25" s="109">
        <v>1212</v>
      </c>
      <c r="AM25" s="84">
        <f t="shared" si="11"/>
        <v>0</v>
      </c>
      <c r="AN25" s="65"/>
      <c r="AO25" s="112"/>
      <c r="AP25" s="204"/>
      <c r="AQ25" s="109">
        <f>IFERROR((O25+AH25+AM25)/Dashboard!$D$15,0)*0.2</f>
        <v>0</v>
      </c>
      <c r="AR25" s="84">
        <f t="shared" si="24"/>
        <v>0</v>
      </c>
      <c r="AS25" s="65"/>
      <c r="AT25" s="112"/>
      <c r="AU25" s="203">
        <v>0.33</v>
      </c>
      <c r="AV25" s="109">
        <f t="shared" si="13"/>
        <v>0</v>
      </c>
      <c r="AW25" s="84">
        <f t="shared" si="14"/>
        <v>0</v>
      </c>
      <c r="AX25" s="65"/>
      <c r="AY25" s="112"/>
      <c r="AZ25" s="203">
        <v>0.25</v>
      </c>
      <c r="BA25" s="109">
        <f t="shared" si="15"/>
        <v>0</v>
      </c>
      <c r="BB25" s="84">
        <f t="shared" si="16"/>
        <v>0</v>
      </c>
      <c r="BC25" s="65"/>
      <c r="BD25" s="112"/>
      <c r="BE25" s="203">
        <v>0.26</v>
      </c>
      <c r="BF25" s="109">
        <f t="shared" si="17"/>
        <v>0</v>
      </c>
      <c r="BG25" s="84">
        <f t="shared" si="18"/>
        <v>0</v>
      </c>
      <c r="BH25" s="197"/>
      <c r="BI25" s="517"/>
      <c r="BJ25" s="65"/>
      <c r="BK25" s="81">
        <f t="shared" si="19"/>
        <v>0</v>
      </c>
      <c r="BL25" s="65"/>
      <c r="BM25" s="65"/>
      <c r="BN25" s="204"/>
      <c r="BO25" s="109">
        <f>($O25/Dashboard!$D$15)*(1+Dashboard!$D$19)</f>
        <v>0</v>
      </c>
      <c r="BP25" s="84">
        <f t="shared" si="20"/>
        <v>0</v>
      </c>
      <c r="BQ25" s="65"/>
      <c r="BR25" s="65"/>
      <c r="BS25" s="204"/>
      <c r="BT25" s="109">
        <f>($O25/Dashboard!$D$15)*(1+Dashboard!$D$20)</f>
        <v>0</v>
      </c>
      <c r="BU25" s="84">
        <f t="shared" si="21"/>
        <v>0</v>
      </c>
      <c r="BV25" s="65"/>
      <c r="BW25" s="65"/>
      <c r="BX25" s="204"/>
      <c r="BY25" s="109">
        <f>($O25/Dashboard!$D$15)*(1+Dashboard!$D$21)</f>
        <v>0</v>
      </c>
      <c r="BZ25" s="84">
        <f t="shared" si="22"/>
        <v>0</v>
      </c>
    </row>
    <row r="26" spans="2:78" ht="12" hidden="1" customHeight="1" outlineLevel="1">
      <c r="B26" s="137" t="str">
        <f>'Cronog. e Histog.'!B778</f>
        <v>Técnico de Documentação - Administração da Obra</v>
      </c>
      <c r="C26" s="65"/>
      <c r="D26" s="200">
        <f t="shared" si="2"/>
        <v>0</v>
      </c>
      <c r="E26" s="200">
        <f t="shared" si="3"/>
        <v>0</v>
      </c>
      <c r="F26" s="65"/>
      <c r="G26" s="200">
        <f t="shared" si="4"/>
        <v>0</v>
      </c>
      <c r="H26" s="200">
        <f t="shared" si="5"/>
        <v>0</v>
      </c>
      <c r="I26" s="65"/>
      <c r="J26" s="143" t="str">
        <f>IF('Cronog. e Histog.'!F778&gt;0,'Cronog. e Histog.'!F778,"")</f>
        <v>Técnico de Documentação</v>
      </c>
      <c r="K26" s="65"/>
      <c r="L26" s="144">
        <f>IF('Cronog. e Histog.'!H778&gt;0,'Cronog. e Histog.'!H778,0)</f>
        <v>0</v>
      </c>
      <c r="M26" s="144">
        <f>IF('Cronog. e Histog.'!I778&gt;0,'Cronog. e Histog.'!I778,0)</f>
        <v>0</v>
      </c>
      <c r="N26" s="65"/>
      <c r="O26" s="109">
        <f>_xlfn.XLOOKUP(B26,Salários!B:B,Salários!K:K)</f>
        <v>0</v>
      </c>
      <c r="P26" s="109">
        <f t="shared" si="6"/>
        <v>0</v>
      </c>
      <c r="Q26" s="109">
        <f t="shared" si="7"/>
        <v>0</v>
      </c>
      <c r="R26" s="65"/>
      <c r="S26" s="109">
        <f t="shared" si="23"/>
        <v>0</v>
      </c>
      <c r="T26" s="201" t="str">
        <f>IF(_xlfn.XLOOKUP(B26,Salários!B:B,Salários!I:I)&gt;0,_xlfn.XLOOKUP(B26,Salários!B:B,Salários!I:I),"")</f>
        <v/>
      </c>
      <c r="U26" s="117">
        <f t="shared" si="1"/>
        <v>0</v>
      </c>
      <c r="V26" s="65"/>
      <c r="W26" s="202"/>
      <c r="X26" s="65"/>
      <c r="Y26" s="69"/>
      <c r="Z26" s="65"/>
      <c r="AA26" s="517"/>
      <c r="AB26" s="65"/>
      <c r="AC26" s="81">
        <f t="shared" si="8"/>
        <v>0</v>
      </c>
      <c r="AD26" s="65"/>
      <c r="AE26" s="112"/>
      <c r="AF26" s="203">
        <v>0.3</v>
      </c>
      <c r="AG26" s="109">
        <f t="shared" si="9"/>
        <v>0</v>
      </c>
      <c r="AH26" s="84">
        <f t="shared" si="10"/>
        <v>0</v>
      </c>
      <c r="AI26" s="65"/>
      <c r="AJ26" s="112"/>
      <c r="AK26" s="122"/>
      <c r="AL26" s="109">
        <v>1212</v>
      </c>
      <c r="AM26" s="84">
        <f t="shared" si="11"/>
        <v>0</v>
      </c>
      <c r="AN26" s="65"/>
      <c r="AO26" s="112"/>
      <c r="AP26" s="204"/>
      <c r="AQ26" s="109">
        <f>IFERROR((O26+AH26+AM26)/Dashboard!$D$15,0)*0.2</f>
        <v>0</v>
      </c>
      <c r="AR26" s="84">
        <f t="shared" si="24"/>
        <v>0</v>
      </c>
      <c r="AS26" s="65"/>
      <c r="AT26" s="112"/>
      <c r="AU26" s="203">
        <v>0.33</v>
      </c>
      <c r="AV26" s="109">
        <f t="shared" si="13"/>
        <v>0</v>
      </c>
      <c r="AW26" s="84">
        <f t="shared" si="14"/>
        <v>0</v>
      </c>
      <c r="AX26" s="65"/>
      <c r="AY26" s="112"/>
      <c r="AZ26" s="203">
        <v>0.25</v>
      </c>
      <c r="BA26" s="109">
        <f t="shared" si="15"/>
        <v>0</v>
      </c>
      <c r="BB26" s="84">
        <f t="shared" si="16"/>
        <v>0</v>
      </c>
      <c r="BC26" s="65"/>
      <c r="BD26" s="112"/>
      <c r="BE26" s="203">
        <v>0.26</v>
      </c>
      <c r="BF26" s="109">
        <f t="shared" si="17"/>
        <v>0</v>
      </c>
      <c r="BG26" s="84">
        <f t="shared" si="18"/>
        <v>0</v>
      </c>
      <c r="BH26" s="197"/>
      <c r="BI26" s="517"/>
      <c r="BJ26" s="65"/>
      <c r="BK26" s="81">
        <f t="shared" si="19"/>
        <v>0</v>
      </c>
      <c r="BL26" s="65"/>
      <c r="BM26" s="65"/>
      <c r="BN26" s="204"/>
      <c r="BO26" s="109">
        <f>($O26/Dashboard!$D$15)*(1+Dashboard!$D$19)</f>
        <v>0</v>
      </c>
      <c r="BP26" s="84">
        <f t="shared" si="20"/>
        <v>0</v>
      </c>
      <c r="BQ26" s="65"/>
      <c r="BR26" s="65"/>
      <c r="BS26" s="204"/>
      <c r="BT26" s="109">
        <f>($O26/Dashboard!$D$15)*(1+Dashboard!$D$20)</f>
        <v>0</v>
      </c>
      <c r="BU26" s="84">
        <f t="shared" si="21"/>
        <v>0</v>
      </c>
      <c r="BV26" s="65"/>
      <c r="BW26" s="65"/>
      <c r="BX26" s="204"/>
      <c r="BY26" s="109">
        <f>($O26/Dashboard!$D$15)*(1+Dashboard!$D$21)</f>
        <v>0</v>
      </c>
      <c r="BZ26" s="84">
        <f t="shared" si="22"/>
        <v>0</v>
      </c>
    </row>
    <row r="27" spans="2:78" ht="12" hidden="1" customHeight="1" outlineLevel="1">
      <c r="B27" s="137" t="str">
        <f>'Cronog. e Histog.'!B779</f>
        <v/>
      </c>
      <c r="C27" s="65"/>
      <c r="D27" s="200">
        <f t="shared" si="2"/>
        <v>0</v>
      </c>
      <c r="E27" s="200">
        <f t="shared" si="3"/>
        <v>0</v>
      </c>
      <c r="F27" s="65"/>
      <c r="G27" s="200">
        <f t="shared" si="4"/>
        <v>0</v>
      </c>
      <c r="H27" s="200">
        <f t="shared" si="5"/>
        <v>0</v>
      </c>
      <c r="I27" s="65"/>
      <c r="J27" s="143" t="str">
        <f>IF('Cronog. e Histog.'!F779&gt;0,'Cronog. e Histog.'!F779,"")</f>
        <v/>
      </c>
      <c r="K27" s="65"/>
      <c r="L27" s="144">
        <f>IF('Cronog. e Histog.'!H779&gt;0,'Cronog. e Histog.'!H779,0)</f>
        <v>0</v>
      </c>
      <c r="M27" s="144">
        <f>IF('Cronog. e Histog.'!I779&gt;0,'Cronog. e Histog.'!I779,0)</f>
        <v>0</v>
      </c>
      <c r="N27" s="65"/>
      <c r="O27" s="109">
        <f>_xlfn.XLOOKUP(B27,Salários!B:B,Salários!K:K)</f>
        <v>0</v>
      </c>
      <c r="P27" s="109">
        <f t="shared" si="6"/>
        <v>0</v>
      </c>
      <c r="Q27" s="109">
        <f t="shared" si="7"/>
        <v>0</v>
      </c>
      <c r="R27" s="65"/>
      <c r="S27" s="109">
        <f t="shared" si="23"/>
        <v>0</v>
      </c>
      <c r="T27" s="201" t="str">
        <f>IF(_xlfn.XLOOKUP(B27,Salários!B:B,Salários!I:I)&gt;0,_xlfn.XLOOKUP(B27,Salários!B:B,Salários!I:I),"")</f>
        <v/>
      </c>
      <c r="U27" s="117">
        <f t="shared" si="1"/>
        <v>0</v>
      </c>
      <c r="V27" s="65"/>
      <c r="W27" s="202"/>
      <c r="X27" s="65"/>
      <c r="Y27" s="69"/>
      <c r="Z27" s="65"/>
      <c r="AA27" s="517"/>
      <c r="AB27" s="65"/>
      <c r="AC27" s="81">
        <f t="shared" si="8"/>
        <v>0</v>
      </c>
      <c r="AD27" s="65"/>
      <c r="AE27" s="112"/>
      <c r="AF27" s="203">
        <v>0.3</v>
      </c>
      <c r="AG27" s="109">
        <f t="shared" si="9"/>
        <v>0</v>
      </c>
      <c r="AH27" s="84">
        <f t="shared" si="10"/>
        <v>0</v>
      </c>
      <c r="AI27" s="65"/>
      <c r="AJ27" s="112"/>
      <c r="AK27" s="122"/>
      <c r="AL27" s="109">
        <v>1212</v>
      </c>
      <c r="AM27" s="84">
        <f t="shared" si="11"/>
        <v>0</v>
      </c>
      <c r="AN27" s="65"/>
      <c r="AO27" s="112"/>
      <c r="AP27" s="204"/>
      <c r="AQ27" s="109">
        <f>IFERROR((O27+AH27+AM27)/Dashboard!$D$15,0)*0.2</f>
        <v>0</v>
      </c>
      <c r="AR27" s="84">
        <f t="shared" si="24"/>
        <v>0</v>
      </c>
      <c r="AS27" s="65"/>
      <c r="AT27" s="112"/>
      <c r="AU27" s="203">
        <v>0.33</v>
      </c>
      <c r="AV27" s="109">
        <f t="shared" si="13"/>
        <v>0</v>
      </c>
      <c r="AW27" s="84">
        <f t="shared" si="14"/>
        <v>0</v>
      </c>
      <c r="AX27" s="65"/>
      <c r="AY27" s="112"/>
      <c r="AZ27" s="203">
        <v>0.25</v>
      </c>
      <c r="BA27" s="109">
        <f t="shared" si="15"/>
        <v>0</v>
      </c>
      <c r="BB27" s="84">
        <f t="shared" si="16"/>
        <v>0</v>
      </c>
      <c r="BC27" s="65"/>
      <c r="BD27" s="112"/>
      <c r="BE27" s="203">
        <v>0.26</v>
      </c>
      <c r="BF27" s="109">
        <f t="shared" si="17"/>
        <v>0</v>
      </c>
      <c r="BG27" s="84">
        <f t="shared" si="18"/>
        <v>0</v>
      </c>
      <c r="BH27" s="197"/>
      <c r="BI27" s="517"/>
      <c r="BJ27" s="65"/>
      <c r="BK27" s="81">
        <f t="shared" si="19"/>
        <v>0</v>
      </c>
      <c r="BL27" s="65"/>
      <c r="BM27" s="65"/>
      <c r="BN27" s="204"/>
      <c r="BO27" s="109">
        <f>($O27/Dashboard!$D$15)*(1+Dashboard!$D$19)</f>
        <v>0</v>
      </c>
      <c r="BP27" s="84">
        <f t="shared" si="20"/>
        <v>0</v>
      </c>
      <c r="BQ27" s="65"/>
      <c r="BR27" s="65"/>
      <c r="BS27" s="204"/>
      <c r="BT27" s="109">
        <f>($O27/Dashboard!$D$15)*(1+Dashboard!$D$20)</f>
        <v>0</v>
      </c>
      <c r="BU27" s="84">
        <f t="shared" si="21"/>
        <v>0</v>
      </c>
      <c r="BV27" s="65"/>
      <c r="BW27" s="65"/>
      <c r="BX27" s="204"/>
      <c r="BY27" s="109">
        <f>($O27/Dashboard!$D$15)*(1+Dashboard!$D$21)</f>
        <v>0</v>
      </c>
      <c r="BZ27" s="84">
        <f t="shared" si="22"/>
        <v>0</v>
      </c>
    </row>
    <row r="28" spans="2:78" ht="12" hidden="1" customHeight="1" outlineLevel="1">
      <c r="B28" s="137" t="str">
        <f>'Cronog. e Histog.'!B781</f>
        <v>Coordenador de Planejamento - Planejamento e Controle</v>
      </c>
      <c r="C28" s="65"/>
      <c r="D28" s="200">
        <f t="shared" si="2"/>
        <v>0</v>
      </c>
      <c r="E28" s="200">
        <f t="shared" si="3"/>
        <v>0</v>
      </c>
      <c r="F28" s="65"/>
      <c r="G28" s="200">
        <f t="shared" si="4"/>
        <v>0</v>
      </c>
      <c r="H28" s="200">
        <f t="shared" si="5"/>
        <v>0</v>
      </c>
      <c r="I28" s="65"/>
      <c r="J28" s="143" t="str">
        <f>IF('Cronog. e Histog.'!F781&gt;0,'Cronog. e Histog.'!F781,"")</f>
        <v>Coordenador de Planejamento</v>
      </c>
      <c r="K28" s="65"/>
      <c r="L28" s="144">
        <f>IF('Cronog. e Histog.'!H781&gt;0,'Cronog. e Histog.'!H781,0)</f>
        <v>0</v>
      </c>
      <c r="M28" s="144">
        <f>IF('Cronog. e Histog.'!I781&gt;0,'Cronog. e Histog.'!I781,0)</f>
        <v>0</v>
      </c>
      <c r="N28" s="65"/>
      <c r="O28" s="109">
        <f>_xlfn.XLOOKUP(B28,Salários!B:B,Salários!K:K)</f>
        <v>0</v>
      </c>
      <c r="P28" s="109">
        <f t="shared" si="6"/>
        <v>0</v>
      </c>
      <c r="Q28" s="109">
        <f t="shared" si="7"/>
        <v>0</v>
      </c>
      <c r="R28" s="65"/>
      <c r="S28" s="109">
        <f t="shared" si="23"/>
        <v>0</v>
      </c>
      <c r="T28" s="201" t="str">
        <f>IF(_xlfn.XLOOKUP(B28,Salários!B:B,Salários!I:I)&gt;0,_xlfn.XLOOKUP(B28,Salários!B:B,Salários!I:I),"")</f>
        <v/>
      </c>
      <c r="U28" s="117">
        <f t="shared" si="1"/>
        <v>0</v>
      </c>
      <c r="V28" s="65"/>
      <c r="W28" s="202"/>
      <c r="X28" s="65"/>
      <c r="Y28" s="69"/>
      <c r="Z28" s="65"/>
      <c r="AA28" s="517"/>
      <c r="AB28" s="65"/>
      <c r="AC28" s="81">
        <f t="shared" si="8"/>
        <v>0</v>
      </c>
      <c r="AD28" s="65"/>
      <c r="AE28" s="112"/>
      <c r="AF28" s="203">
        <v>0.3</v>
      </c>
      <c r="AG28" s="109">
        <f t="shared" si="9"/>
        <v>0</v>
      </c>
      <c r="AH28" s="84">
        <f t="shared" si="10"/>
        <v>0</v>
      </c>
      <c r="AI28" s="65"/>
      <c r="AJ28" s="112"/>
      <c r="AK28" s="122"/>
      <c r="AL28" s="109">
        <v>1212</v>
      </c>
      <c r="AM28" s="84">
        <f t="shared" si="11"/>
        <v>0</v>
      </c>
      <c r="AN28" s="65"/>
      <c r="AO28" s="112"/>
      <c r="AP28" s="204"/>
      <c r="AQ28" s="109">
        <f>IFERROR((O28+AH28+AM28)/Dashboard!$D$15,0)*0.2</f>
        <v>0</v>
      </c>
      <c r="AR28" s="84">
        <f t="shared" si="24"/>
        <v>0</v>
      </c>
      <c r="AS28" s="65"/>
      <c r="AT28" s="112"/>
      <c r="AU28" s="203">
        <v>0.33</v>
      </c>
      <c r="AV28" s="109">
        <f t="shared" si="13"/>
        <v>0</v>
      </c>
      <c r="AW28" s="84">
        <f t="shared" si="14"/>
        <v>0</v>
      </c>
      <c r="AX28" s="65"/>
      <c r="AY28" s="112"/>
      <c r="AZ28" s="203">
        <v>0.25</v>
      </c>
      <c r="BA28" s="109">
        <f t="shared" si="15"/>
        <v>0</v>
      </c>
      <c r="BB28" s="84">
        <f t="shared" si="16"/>
        <v>0</v>
      </c>
      <c r="BC28" s="65"/>
      <c r="BD28" s="112"/>
      <c r="BE28" s="203">
        <v>0.26</v>
      </c>
      <c r="BF28" s="109">
        <f t="shared" si="17"/>
        <v>0</v>
      </c>
      <c r="BG28" s="84">
        <f t="shared" si="18"/>
        <v>0</v>
      </c>
      <c r="BH28" s="197"/>
      <c r="BI28" s="517"/>
      <c r="BJ28" s="65"/>
      <c r="BK28" s="81">
        <f t="shared" si="19"/>
        <v>0</v>
      </c>
      <c r="BL28" s="65"/>
      <c r="BM28" s="65"/>
      <c r="BN28" s="204"/>
      <c r="BO28" s="109">
        <f>($O28/Dashboard!$D$15)*(1+Dashboard!$D$19)</f>
        <v>0</v>
      </c>
      <c r="BP28" s="84">
        <f t="shared" si="20"/>
        <v>0</v>
      </c>
      <c r="BQ28" s="65"/>
      <c r="BR28" s="65"/>
      <c r="BS28" s="204"/>
      <c r="BT28" s="109">
        <f>($O28/Dashboard!$D$15)*(1+Dashboard!$D$20)</f>
        <v>0</v>
      </c>
      <c r="BU28" s="84">
        <f t="shared" si="21"/>
        <v>0</v>
      </c>
      <c r="BV28" s="65"/>
      <c r="BW28" s="65"/>
      <c r="BX28" s="204"/>
      <c r="BY28" s="109">
        <f>($O28/Dashboard!$D$15)*(1+Dashboard!$D$21)</f>
        <v>0</v>
      </c>
      <c r="BZ28" s="84">
        <f t="shared" si="22"/>
        <v>0</v>
      </c>
    </row>
    <row r="29" spans="2:78" ht="12" hidden="1" customHeight="1" outlineLevel="1">
      <c r="B29" s="137" t="str">
        <f>'Cronog. e Histog.'!B782</f>
        <v>Técnico de Planejamento - Planejamento e Controle</v>
      </c>
      <c r="C29" s="65"/>
      <c r="D29" s="200">
        <f t="shared" si="2"/>
        <v>0</v>
      </c>
      <c r="E29" s="200">
        <f t="shared" si="3"/>
        <v>0</v>
      </c>
      <c r="F29" s="65"/>
      <c r="G29" s="200">
        <f t="shared" si="4"/>
        <v>0</v>
      </c>
      <c r="H29" s="200">
        <f t="shared" si="5"/>
        <v>0</v>
      </c>
      <c r="I29" s="65"/>
      <c r="J29" s="143" t="str">
        <f>IF('Cronog. e Histog.'!F782&gt;0,'Cronog. e Histog.'!F782,"")</f>
        <v>Técnico de Planejamento</v>
      </c>
      <c r="K29" s="65"/>
      <c r="L29" s="144">
        <f>IF('Cronog. e Histog.'!H782&gt;0,'Cronog. e Histog.'!H782,0)</f>
        <v>0</v>
      </c>
      <c r="M29" s="144">
        <f>IF('Cronog. e Histog.'!I782&gt;0,'Cronog. e Histog.'!I782,0)</f>
        <v>0</v>
      </c>
      <c r="N29" s="65"/>
      <c r="O29" s="109">
        <f>_xlfn.XLOOKUP(B29,Salários!B:B,Salários!K:K)</f>
        <v>0</v>
      </c>
      <c r="P29" s="109">
        <f t="shared" si="6"/>
        <v>0</v>
      </c>
      <c r="Q29" s="109">
        <f t="shared" si="7"/>
        <v>0</v>
      </c>
      <c r="R29" s="65"/>
      <c r="S29" s="109">
        <f t="shared" si="23"/>
        <v>0</v>
      </c>
      <c r="T29" s="201" t="str">
        <f>IF(_xlfn.XLOOKUP(B29,Salários!B:B,Salários!I:I)&gt;0,_xlfn.XLOOKUP(B29,Salários!B:B,Salários!I:I),"")</f>
        <v/>
      </c>
      <c r="U29" s="117">
        <f t="shared" si="1"/>
        <v>0</v>
      </c>
      <c r="V29" s="65"/>
      <c r="W29" s="202"/>
      <c r="X29" s="65"/>
      <c r="Y29" s="69"/>
      <c r="Z29" s="65"/>
      <c r="AA29" s="517"/>
      <c r="AB29" s="65"/>
      <c r="AC29" s="81">
        <f t="shared" si="8"/>
        <v>0</v>
      </c>
      <c r="AD29" s="65"/>
      <c r="AE29" s="112"/>
      <c r="AF29" s="203">
        <v>0.3</v>
      </c>
      <c r="AG29" s="109">
        <f t="shared" si="9"/>
        <v>0</v>
      </c>
      <c r="AH29" s="84">
        <f t="shared" si="10"/>
        <v>0</v>
      </c>
      <c r="AI29" s="65"/>
      <c r="AJ29" s="112"/>
      <c r="AK29" s="122"/>
      <c r="AL29" s="109">
        <v>1212</v>
      </c>
      <c r="AM29" s="84">
        <f t="shared" si="11"/>
        <v>0</v>
      </c>
      <c r="AN29" s="65"/>
      <c r="AO29" s="112"/>
      <c r="AP29" s="204"/>
      <c r="AQ29" s="109">
        <f>IFERROR((O29+AH29+AM29)/Dashboard!$D$15,0)*0.2</f>
        <v>0</v>
      </c>
      <c r="AR29" s="84">
        <f t="shared" si="24"/>
        <v>0</v>
      </c>
      <c r="AS29" s="65"/>
      <c r="AT29" s="112"/>
      <c r="AU29" s="203">
        <v>0.33</v>
      </c>
      <c r="AV29" s="109">
        <f t="shared" si="13"/>
        <v>0</v>
      </c>
      <c r="AW29" s="84">
        <f t="shared" si="14"/>
        <v>0</v>
      </c>
      <c r="AX29" s="65"/>
      <c r="AY29" s="112"/>
      <c r="AZ29" s="203">
        <v>0.25</v>
      </c>
      <c r="BA29" s="109">
        <f t="shared" si="15"/>
        <v>0</v>
      </c>
      <c r="BB29" s="84">
        <f t="shared" si="16"/>
        <v>0</v>
      </c>
      <c r="BC29" s="65"/>
      <c r="BD29" s="112"/>
      <c r="BE29" s="203">
        <v>0.26</v>
      </c>
      <c r="BF29" s="109">
        <f t="shared" si="17"/>
        <v>0</v>
      </c>
      <c r="BG29" s="84">
        <f t="shared" si="18"/>
        <v>0</v>
      </c>
      <c r="BH29" s="197"/>
      <c r="BI29" s="517"/>
      <c r="BJ29" s="65"/>
      <c r="BK29" s="81">
        <f t="shared" si="19"/>
        <v>0</v>
      </c>
      <c r="BL29" s="65"/>
      <c r="BM29" s="65"/>
      <c r="BN29" s="204"/>
      <c r="BO29" s="109">
        <f>($O29/Dashboard!$D$15)*(1+Dashboard!$D$19)</f>
        <v>0</v>
      </c>
      <c r="BP29" s="84">
        <f t="shared" si="20"/>
        <v>0</v>
      </c>
      <c r="BQ29" s="65"/>
      <c r="BR29" s="65"/>
      <c r="BS29" s="204"/>
      <c r="BT29" s="109">
        <f>($O29/Dashboard!$D$15)*(1+Dashboard!$D$20)</f>
        <v>0</v>
      </c>
      <c r="BU29" s="84">
        <f t="shared" si="21"/>
        <v>0</v>
      </c>
      <c r="BV29" s="65"/>
      <c r="BW29" s="65"/>
      <c r="BX29" s="204"/>
      <c r="BY29" s="109">
        <f>($O29/Dashboard!$D$15)*(1+Dashboard!$D$21)</f>
        <v>0</v>
      </c>
      <c r="BZ29" s="84">
        <f t="shared" si="22"/>
        <v>0</v>
      </c>
    </row>
    <row r="30" spans="2:78" ht="12" hidden="1" customHeight="1" outlineLevel="1">
      <c r="B30" s="137" t="str">
        <f>'Cronog. e Histog.'!B783</f>
        <v>Planejador - Planejamento e Controle</v>
      </c>
      <c r="C30" s="65"/>
      <c r="D30" s="200">
        <f t="shared" si="2"/>
        <v>0</v>
      </c>
      <c r="E30" s="200">
        <f t="shared" si="3"/>
        <v>0</v>
      </c>
      <c r="F30" s="65"/>
      <c r="G30" s="200">
        <f t="shared" si="4"/>
        <v>0</v>
      </c>
      <c r="H30" s="200">
        <f t="shared" si="5"/>
        <v>0</v>
      </c>
      <c r="I30" s="65"/>
      <c r="J30" s="143" t="str">
        <f>IF('Cronog. e Histog.'!F783&gt;0,'Cronog. e Histog.'!F783,"")</f>
        <v>Planejador</v>
      </c>
      <c r="K30" s="65"/>
      <c r="L30" s="144">
        <f>IF('Cronog. e Histog.'!H783&gt;0,'Cronog. e Histog.'!H783,0)</f>
        <v>0</v>
      </c>
      <c r="M30" s="144">
        <f>IF('Cronog. e Histog.'!I783&gt;0,'Cronog. e Histog.'!I783,0)</f>
        <v>0</v>
      </c>
      <c r="N30" s="65"/>
      <c r="O30" s="109">
        <f>_xlfn.XLOOKUP(B30,Salários!B:B,Salários!K:K)</f>
        <v>0</v>
      </c>
      <c r="P30" s="109">
        <f t="shared" si="6"/>
        <v>0</v>
      </c>
      <c r="Q30" s="109">
        <f t="shared" si="7"/>
        <v>0</v>
      </c>
      <c r="R30" s="65"/>
      <c r="S30" s="109">
        <f t="shared" si="23"/>
        <v>0</v>
      </c>
      <c r="T30" s="201" t="str">
        <f>IF(_xlfn.XLOOKUP(B30,Salários!B:B,Salários!I:I)&gt;0,_xlfn.XLOOKUP(B30,Salários!B:B,Salários!I:I),"")</f>
        <v/>
      </c>
      <c r="U30" s="117">
        <f t="shared" si="1"/>
        <v>0</v>
      </c>
      <c r="V30" s="65"/>
      <c r="W30" s="202"/>
      <c r="X30" s="65"/>
      <c r="Y30" s="69"/>
      <c r="Z30" s="65"/>
      <c r="AA30" s="517"/>
      <c r="AB30" s="65"/>
      <c r="AC30" s="81">
        <f t="shared" si="8"/>
        <v>0</v>
      </c>
      <c r="AD30" s="65"/>
      <c r="AE30" s="112"/>
      <c r="AF30" s="203">
        <v>0.3</v>
      </c>
      <c r="AG30" s="109">
        <f t="shared" si="9"/>
        <v>0</v>
      </c>
      <c r="AH30" s="84">
        <f t="shared" si="10"/>
        <v>0</v>
      </c>
      <c r="AI30" s="65"/>
      <c r="AJ30" s="112"/>
      <c r="AK30" s="122"/>
      <c r="AL30" s="109">
        <v>1212</v>
      </c>
      <c r="AM30" s="84">
        <f t="shared" si="11"/>
        <v>0</v>
      </c>
      <c r="AN30" s="65"/>
      <c r="AO30" s="112"/>
      <c r="AP30" s="204"/>
      <c r="AQ30" s="109">
        <f>IFERROR((O30+AH30+AM30)/Dashboard!$D$15,0)*0.2</f>
        <v>0</v>
      </c>
      <c r="AR30" s="84">
        <f t="shared" si="24"/>
        <v>0</v>
      </c>
      <c r="AS30" s="65"/>
      <c r="AT30" s="112"/>
      <c r="AU30" s="203">
        <v>0.33</v>
      </c>
      <c r="AV30" s="109">
        <f t="shared" si="13"/>
        <v>0</v>
      </c>
      <c r="AW30" s="84">
        <f t="shared" si="14"/>
        <v>0</v>
      </c>
      <c r="AX30" s="65"/>
      <c r="AY30" s="112"/>
      <c r="AZ30" s="203">
        <v>0.25</v>
      </c>
      <c r="BA30" s="109">
        <f t="shared" si="15"/>
        <v>0</v>
      </c>
      <c r="BB30" s="84">
        <f t="shared" si="16"/>
        <v>0</v>
      </c>
      <c r="BC30" s="65"/>
      <c r="BD30" s="112"/>
      <c r="BE30" s="203">
        <v>0.26</v>
      </c>
      <c r="BF30" s="109">
        <f t="shared" si="17"/>
        <v>0</v>
      </c>
      <c r="BG30" s="84">
        <f t="shared" si="18"/>
        <v>0</v>
      </c>
      <c r="BH30" s="197"/>
      <c r="BI30" s="517"/>
      <c r="BJ30" s="65"/>
      <c r="BK30" s="81">
        <f t="shared" si="19"/>
        <v>0</v>
      </c>
      <c r="BL30" s="65"/>
      <c r="BM30" s="65"/>
      <c r="BN30" s="204"/>
      <c r="BO30" s="109">
        <f>($O30/Dashboard!$D$15)*(1+Dashboard!$D$19)</f>
        <v>0</v>
      </c>
      <c r="BP30" s="84">
        <f t="shared" si="20"/>
        <v>0</v>
      </c>
      <c r="BQ30" s="65"/>
      <c r="BR30" s="65"/>
      <c r="BS30" s="204"/>
      <c r="BT30" s="109">
        <f>($O30/Dashboard!$D$15)*(1+Dashboard!$D$20)</f>
        <v>0</v>
      </c>
      <c r="BU30" s="84">
        <f t="shared" si="21"/>
        <v>0</v>
      </c>
      <c r="BV30" s="65"/>
      <c r="BW30" s="65"/>
      <c r="BX30" s="204"/>
      <c r="BY30" s="109">
        <f>($O30/Dashboard!$D$15)*(1+Dashboard!$D$21)</f>
        <v>0</v>
      </c>
      <c r="BZ30" s="84">
        <f t="shared" si="22"/>
        <v>0</v>
      </c>
    </row>
    <row r="31" spans="2:78" ht="12" hidden="1" customHeight="1" outlineLevel="1">
      <c r="B31" s="137" t="str">
        <f>'Cronog. e Histog.'!B784</f>
        <v>Controller - Planejamento e Controle</v>
      </c>
      <c r="C31" s="65"/>
      <c r="D31" s="200">
        <f t="shared" si="2"/>
        <v>0</v>
      </c>
      <c r="E31" s="200">
        <f t="shared" si="3"/>
        <v>0</v>
      </c>
      <c r="F31" s="65"/>
      <c r="G31" s="200">
        <f t="shared" si="4"/>
        <v>0</v>
      </c>
      <c r="H31" s="200">
        <f t="shared" si="5"/>
        <v>0</v>
      </c>
      <c r="I31" s="65"/>
      <c r="J31" s="143" t="str">
        <f>IF('Cronog. e Histog.'!F784&gt;0,'Cronog. e Histog.'!F784,"")</f>
        <v>Controller</v>
      </c>
      <c r="K31" s="65"/>
      <c r="L31" s="144">
        <f>IF('Cronog. e Histog.'!H784&gt;0,'Cronog. e Histog.'!H784,0)</f>
        <v>0</v>
      </c>
      <c r="M31" s="144">
        <f>IF('Cronog. e Histog.'!I784&gt;0,'Cronog. e Histog.'!I784,0)</f>
        <v>0</v>
      </c>
      <c r="N31" s="65"/>
      <c r="O31" s="109">
        <f>_xlfn.XLOOKUP(B31,Salários!B:B,Salários!K:K)</f>
        <v>0</v>
      </c>
      <c r="P31" s="109">
        <f t="shared" si="6"/>
        <v>0</v>
      </c>
      <c r="Q31" s="109">
        <f t="shared" si="7"/>
        <v>0</v>
      </c>
      <c r="R31" s="65"/>
      <c r="S31" s="109">
        <f t="shared" si="23"/>
        <v>0</v>
      </c>
      <c r="T31" s="201" t="str">
        <f>IF(_xlfn.XLOOKUP(B31,Salários!B:B,Salários!I:I)&gt;0,_xlfn.XLOOKUP(B31,Salários!B:B,Salários!I:I),"")</f>
        <v/>
      </c>
      <c r="U31" s="117">
        <f t="shared" si="1"/>
        <v>0</v>
      </c>
      <c r="V31" s="65"/>
      <c r="W31" s="202"/>
      <c r="X31" s="65"/>
      <c r="Y31" s="69"/>
      <c r="Z31" s="65"/>
      <c r="AA31" s="517"/>
      <c r="AB31" s="65"/>
      <c r="AC31" s="81">
        <f t="shared" si="8"/>
        <v>0</v>
      </c>
      <c r="AD31" s="65"/>
      <c r="AE31" s="112"/>
      <c r="AF31" s="203">
        <v>0.3</v>
      </c>
      <c r="AG31" s="109">
        <f t="shared" si="9"/>
        <v>0</v>
      </c>
      <c r="AH31" s="84">
        <f t="shared" si="10"/>
        <v>0</v>
      </c>
      <c r="AI31" s="65"/>
      <c r="AJ31" s="112"/>
      <c r="AK31" s="122"/>
      <c r="AL31" s="109">
        <v>1212</v>
      </c>
      <c r="AM31" s="84">
        <f t="shared" si="11"/>
        <v>0</v>
      </c>
      <c r="AN31" s="65"/>
      <c r="AO31" s="112"/>
      <c r="AP31" s="204"/>
      <c r="AQ31" s="109">
        <f>IFERROR((O31+AH31+AM31)/Dashboard!$D$15,0)*0.2</f>
        <v>0</v>
      </c>
      <c r="AR31" s="84">
        <f t="shared" si="24"/>
        <v>0</v>
      </c>
      <c r="AS31" s="65"/>
      <c r="AT31" s="112"/>
      <c r="AU31" s="203">
        <v>0.33</v>
      </c>
      <c r="AV31" s="109">
        <f t="shared" si="13"/>
        <v>0</v>
      </c>
      <c r="AW31" s="84">
        <f t="shared" si="14"/>
        <v>0</v>
      </c>
      <c r="AX31" s="65"/>
      <c r="AY31" s="112"/>
      <c r="AZ31" s="203">
        <v>0.25</v>
      </c>
      <c r="BA31" s="109">
        <f t="shared" si="15"/>
        <v>0</v>
      </c>
      <c r="BB31" s="84">
        <f t="shared" si="16"/>
        <v>0</v>
      </c>
      <c r="BC31" s="65"/>
      <c r="BD31" s="112"/>
      <c r="BE31" s="203">
        <v>0.26</v>
      </c>
      <c r="BF31" s="109">
        <f t="shared" si="17"/>
        <v>0</v>
      </c>
      <c r="BG31" s="84">
        <f t="shared" si="18"/>
        <v>0</v>
      </c>
      <c r="BH31" s="197"/>
      <c r="BI31" s="517"/>
      <c r="BJ31" s="65"/>
      <c r="BK31" s="81">
        <f t="shared" si="19"/>
        <v>0</v>
      </c>
      <c r="BL31" s="65"/>
      <c r="BM31" s="65"/>
      <c r="BN31" s="204"/>
      <c r="BO31" s="109">
        <f>($O31/Dashboard!$D$15)*(1+Dashboard!$D$19)</f>
        <v>0</v>
      </c>
      <c r="BP31" s="84">
        <f t="shared" si="20"/>
        <v>0</v>
      </c>
      <c r="BQ31" s="65"/>
      <c r="BR31" s="65"/>
      <c r="BS31" s="204"/>
      <c r="BT31" s="109">
        <f>($O31/Dashboard!$D$15)*(1+Dashboard!$D$20)</f>
        <v>0</v>
      </c>
      <c r="BU31" s="84">
        <f t="shared" si="21"/>
        <v>0</v>
      </c>
      <c r="BV31" s="65"/>
      <c r="BW31" s="65"/>
      <c r="BX31" s="204"/>
      <c r="BY31" s="109">
        <f>($O31/Dashboard!$D$15)*(1+Dashboard!$D$21)</f>
        <v>0</v>
      </c>
      <c r="BZ31" s="84">
        <f t="shared" si="22"/>
        <v>0</v>
      </c>
    </row>
    <row r="32" spans="2:78" ht="12" hidden="1" customHeight="1" outlineLevel="1">
      <c r="B32" s="137" t="str">
        <f>'Cronog. e Histog.'!B785</f>
        <v>Auxiliar de Planejamento - Planejamento e Controle</v>
      </c>
      <c r="C32" s="65"/>
      <c r="D32" s="200">
        <f t="shared" si="2"/>
        <v>0</v>
      </c>
      <c r="E32" s="200">
        <f t="shared" si="3"/>
        <v>0</v>
      </c>
      <c r="F32" s="65"/>
      <c r="G32" s="200">
        <f t="shared" si="4"/>
        <v>0</v>
      </c>
      <c r="H32" s="200">
        <f t="shared" si="5"/>
        <v>0</v>
      </c>
      <c r="I32" s="65"/>
      <c r="J32" s="143" t="str">
        <f>IF('Cronog. e Histog.'!F785&gt;0,'Cronog. e Histog.'!F785,"")</f>
        <v>Auxiliar de Planejamento</v>
      </c>
      <c r="K32" s="65"/>
      <c r="L32" s="144">
        <f>IF('Cronog. e Histog.'!H785&gt;0,'Cronog. e Histog.'!H785,0)</f>
        <v>0</v>
      </c>
      <c r="M32" s="144">
        <f>IF('Cronog. e Histog.'!I785&gt;0,'Cronog. e Histog.'!I785,0)</f>
        <v>0</v>
      </c>
      <c r="N32" s="65"/>
      <c r="O32" s="109">
        <f>_xlfn.XLOOKUP(B32,Salários!B:B,Salários!K:K)</f>
        <v>0</v>
      </c>
      <c r="P32" s="109">
        <f t="shared" si="6"/>
        <v>0</v>
      </c>
      <c r="Q32" s="109">
        <f t="shared" si="7"/>
        <v>0</v>
      </c>
      <c r="R32" s="65"/>
      <c r="S32" s="109">
        <f t="shared" si="23"/>
        <v>0</v>
      </c>
      <c r="T32" s="201" t="str">
        <f>IF(_xlfn.XLOOKUP(B32,Salários!B:B,Salários!I:I)&gt;0,_xlfn.XLOOKUP(B32,Salários!B:B,Salários!I:I),"")</f>
        <v/>
      </c>
      <c r="U32" s="117">
        <f t="shared" si="1"/>
        <v>0</v>
      </c>
      <c r="V32" s="65"/>
      <c r="W32" s="202"/>
      <c r="X32" s="65"/>
      <c r="Y32" s="69"/>
      <c r="Z32" s="65"/>
      <c r="AA32" s="517"/>
      <c r="AB32" s="65"/>
      <c r="AC32" s="81">
        <f t="shared" si="8"/>
        <v>0</v>
      </c>
      <c r="AD32" s="65"/>
      <c r="AE32" s="112"/>
      <c r="AF32" s="203">
        <v>0.3</v>
      </c>
      <c r="AG32" s="109">
        <f t="shared" si="9"/>
        <v>0</v>
      </c>
      <c r="AH32" s="84">
        <f t="shared" si="10"/>
        <v>0</v>
      </c>
      <c r="AI32" s="65"/>
      <c r="AJ32" s="112"/>
      <c r="AK32" s="122"/>
      <c r="AL32" s="109">
        <v>1212</v>
      </c>
      <c r="AM32" s="84">
        <f t="shared" si="11"/>
        <v>0</v>
      </c>
      <c r="AN32" s="65"/>
      <c r="AO32" s="112"/>
      <c r="AP32" s="204"/>
      <c r="AQ32" s="109">
        <f>IFERROR((O32+AH32+AM32)/Dashboard!$D$15,0)*0.2</f>
        <v>0</v>
      </c>
      <c r="AR32" s="84">
        <f t="shared" si="24"/>
        <v>0</v>
      </c>
      <c r="AS32" s="65"/>
      <c r="AT32" s="112"/>
      <c r="AU32" s="203">
        <v>0.33</v>
      </c>
      <c r="AV32" s="109">
        <f t="shared" si="13"/>
        <v>0</v>
      </c>
      <c r="AW32" s="84">
        <f t="shared" si="14"/>
        <v>0</v>
      </c>
      <c r="AX32" s="65"/>
      <c r="AY32" s="112"/>
      <c r="AZ32" s="203">
        <v>0.25</v>
      </c>
      <c r="BA32" s="109">
        <f t="shared" si="15"/>
        <v>0</v>
      </c>
      <c r="BB32" s="84">
        <f t="shared" si="16"/>
        <v>0</v>
      </c>
      <c r="BC32" s="65"/>
      <c r="BD32" s="112"/>
      <c r="BE32" s="203">
        <v>0.26</v>
      </c>
      <c r="BF32" s="109">
        <f t="shared" si="17"/>
        <v>0</v>
      </c>
      <c r="BG32" s="84">
        <f t="shared" si="18"/>
        <v>0</v>
      </c>
      <c r="BH32" s="197"/>
      <c r="BI32" s="517"/>
      <c r="BJ32" s="65"/>
      <c r="BK32" s="81">
        <f t="shared" si="19"/>
        <v>0</v>
      </c>
      <c r="BL32" s="65"/>
      <c r="BM32" s="65"/>
      <c r="BN32" s="204"/>
      <c r="BO32" s="109">
        <f>($O32/Dashboard!$D$15)*(1+Dashboard!$D$19)</f>
        <v>0</v>
      </c>
      <c r="BP32" s="84">
        <f t="shared" si="20"/>
        <v>0</v>
      </c>
      <c r="BQ32" s="65"/>
      <c r="BR32" s="65"/>
      <c r="BS32" s="204"/>
      <c r="BT32" s="109">
        <f>($O32/Dashboard!$D$15)*(1+Dashboard!$D$20)</f>
        <v>0</v>
      </c>
      <c r="BU32" s="84">
        <f t="shared" si="21"/>
        <v>0</v>
      </c>
      <c r="BV32" s="65"/>
      <c r="BW32" s="65"/>
      <c r="BX32" s="204"/>
      <c r="BY32" s="109">
        <f>($O32/Dashboard!$D$15)*(1+Dashboard!$D$21)</f>
        <v>0</v>
      </c>
      <c r="BZ32" s="84">
        <f t="shared" si="22"/>
        <v>0</v>
      </c>
    </row>
    <row r="33" spans="2:78" ht="12" hidden="1" customHeight="1" outlineLevel="1">
      <c r="B33" s="137" t="str">
        <f>'Cronog. e Histog.'!B786</f>
        <v/>
      </c>
      <c r="C33" s="65"/>
      <c r="D33" s="200">
        <f t="shared" si="2"/>
        <v>0</v>
      </c>
      <c r="E33" s="200">
        <f t="shared" si="3"/>
        <v>0</v>
      </c>
      <c r="F33" s="65"/>
      <c r="G33" s="200">
        <f t="shared" si="4"/>
        <v>0</v>
      </c>
      <c r="H33" s="200">
        <f t="shared" si="5"/>
        <v>0</v>
      </c>
      <c r="I33" s="65"/>
      <c r="J33" s="143" t="str">
        <f>IF('Cronog. e Histog.'!F786&gt;0,'Cronog. e Histog.'!F786,"")</f>
        <v/>
      </c>
      <c r="K33" s="65"/>
      <c r="L33" s="144">
        <f>IF('Cronog. e Histog.'!H786&gt;0,'Cronog. e Histog.'!H786,0)</f>
        <v>0</v>
      </c>
      <c r="M33" s="144">
        <f>IF('Cronog. e Histog.'!I786&gt;0,'Cronog. e Histog.'!I786,0)</f>
        <v>0</v>
      </c>
      <c r="N33" s="65"/>
      <c r="O33" s="109">
        <f>_xlfn.XLOOKUP(B33,Salários!B:B,Salários!K:K)</f>
        <v>0</v>
      </c>
      <c r="P33" s="109">
        <f t="shared" si="6"/>
        <v>0</v>
      </c>
      <c r="Q33" s="109">
        <f t="shared" si="7"/>
        <v>0</v>
      </c>
      <c r="R33" s="65"/>
      <c r="S33" s="109">
        <f t="shared" si="23"/>
        <v>0</v>
      </c>
      <c r="T33" s="201" t="str">
        <f>IF(_xlfn.XLOOKUP(B33,Salários!B:B,Salários!I:I)&gt;0,_xlfn.XLOOKUP(B33,Salários!B:B,Salários!I:I),"")</f>
        <v/>
      </c>
      <c r="U33" s="117">
        <f t="shared" si="1"/>
        <v>0</v>
      </c>
      <c r="V33" s="65"/>
      <c r="W33" s="202"/>
      <c r="X33" s="65"/>
      <c r="Y33" s="69"/>
      <c r="Z33" s="65"/>
      <c r="AA33" s="517"/>
      <c r="AB33" s="65"/>
      <c r="AC33" s="81">
        <f t="shared" si="8"/>
        <v>0</v>
      </c>
      <c r="AD33" s="65"/>
      <c r="AE33" s="112"/>
      <c r="AF33" s="203">
        <v>0.3</v>
      </c>
      <c r="AG33" s="109">
        <f t="shared" si="9"/>
        <v>0</v>
      </c>
      <c r="AH33" s="84">
        <f t="shared" si="10"/>
        <v>0</v>
      </c>
      <c r="AI33" s="65"/>
      <c r="AJ33" s="112"/>
      <c r="AK33" s="122"/>
      <c r="AL33" s="109">
        <v>1212</v>
      </c>
      <c r="AM33" s="84">
        <f t="shared" si="11"/>
        <v>0</v>
      </c>
      <c r="AN33" s="65"/>
      <c r="AO33" s="112"/>
      <c r="AP33" s="204"/>
      <c r="AQ33" s="109">
        <f>IFERROR((O33+AH33+AM33)/Dashboard!$D$15,0)*0.2</f>
        <v>0</v>
      </c>
      <c r="AR33" s="84">
        <f t="shared" si="24"/>
        <v>0</v>
      </c>
      <c r="AS33" s="65"/>
      <c r="AT33" s="112"/>
      <c r="AU33" s="203">
        <v>0.33</v>
      </c>
      <c r="AV33" s="109">
        <f t="shared" si="13"/>
        <v>0</v>
      </c>
      <c r="AW33" s="84">
        <f t="shared" si="14"/>
        <v>0</v>
      </c>
      <c r="AX33" s="65"/>
      <c r="AY33" s="112"/>
      <c r="AZ33" s="203">
        <v>0.25</v>
      </c>
      <c r="BA33" s="109">
        <f t="shared" si="15"/>
        <v>0</v>
      </c>
      <c r="BB33" s="84">
        <f t="shared" si="16"/>
        <v>0</v>
      </c>
      <c r="BC33" s="65"/>
      <c r="BD33" s="112"/>
      <c r="BE33" s="203">
        <v>0.26</v>
      </c>
      <c r="BF33" s="109">
        <f t="shared" si="17"/>
        <v>0</v>
      </c>
      <c r="BG33" s="84">
        <f t="shared" si="18"/>
        <v>0</v>
      </c>
      <c r="BH33" s="197"/>
      <c r="BI33" s="517"/>
      <c r="BJ33" s="65"/>
      <c r="BK33" s="81">
        <f t="shared" si="19"/>
        <v>0</v>
      </c>
      <c r="BL33" s="65"/>
      <c r="BM33" s="65"/>
      <c r="BN33" s="204"/>
      <c r="BO33" s="109">
        <f>($O33/Dashboard!$D$15)*(1+Dashboard!$D$19)</f>
        <v>0</v>
      </c>
      <c r="BP33" s="84">
        <f t="shared" si="20"/>
        <v>0</v>
      </c>
      <c r="BQ33" s="65"/>
      <c r="BR33" s="65"/>
      <c r="BS33" s="204"/>
      <c r="BT33" s="109">
        <f>($O33/Dashboard!$D$15)*(1+Dashboard!$D$20)</f>
        <v>0</v>
      </c>
      <c r="BU33" s="84">
        <f t="shared" si="21"/>
        <v>0</v>
      </c>
      <c r="BV33" s="65"/>
      <c r="BW33" s="65"/>
      <c r="BX33" s="204"/>
      <c r="BY33" s="109">
        <f>($O33/Dashboard!$D$15)*(1+Dashboard!$D$21)</f>
        <v>0</v>
      </c>
      <c r="BZ33" s="84">
        <f t="shared" si="22"/>
        <v>0</v>
      </c>
    </row>
    <row r="34" spans="2:78" ht="12" hidden="1" customHeight="1" outlineLevel="1">
      <c r="B34" s="137" t="str">
        <f>'Cronog. e Histog.'!B787</f>
        <v/>
      </c>
      <c r="C34" s="65"/>
      <c r="D34" s="200">
        <f t="shared" si="2"/>
        <v>0</v>
      </c>
      <c r="E34" s="200">
        <f t="shared" si="3"/>
        <v>0</v>
      </c>
      <c r="F34" s="65"/>
      <c r="G34" s="200">
        <f t="shared" si="4"/>
        <v>0</v>
      </c>
      <c r="H34" s="200">
        <f t="shared" si="5"/>
        <v>0</v>
      </c>
      <c r="I34" s="65"/>
      <c r="J34" s="143" t="str">
        <f>IF('Cronog. e Histog.'!F787&gt;0,'Cronog. e Histog.'!F787,"")</f>
        <v/>
      </c>
      <c r="K34" s="65"/>
      <c r="L34" s="144">
        <f>IF('Cronog. e Histog.'!H787&gt;0,'Cronog. e Histog.'!H787,0)</f>
        <v>0</v>
      </c>
      <c r="M34" s="144">
        <f>IF('Cronog. e Histog.'!I787&gt;0,'Cronog. e Histog.'!I787,0)</f>
        <v>0</v>
      </c>
      <c r="N34" s="65"/>
      <c r="O34" s="109">
        <f>_xlfn.XLOOKUP(B34,Salários!B:B,Salários!K:K)</f>
        <v>0</v>
      </c>
      <c r="P34" s="109">
        <f t="shared" si="6"/>
        <v>0</v>
      </c>
      <c r="Q34" s="109">
        <f t="shared" si="7"/>
        <v>0</v>
      </c>
      <c r="R34" s="65"/>
      <c r="S34" s="109">
        <f t="shared" si="23"/>
        <v>0</v>
      </c>
      <c r="T34" s="201" t="str">
        <f>IF(_xlfn.XLOOKUP(B34,Salários!B:B,Salários!I:I)&gt;0,_xlfn.XLOOKUP(B34,Salários!B:B,Salários!I:I),"")</f>
        <v/>
      </c>
      <c r="U34" s="117">
        <f t="shared" si="1"/>
        <v>0</v>
      </c>
      <c r="V34" s="65"/>
      <c r="W34" s="202"/>
      <c r="X34" s="65"/>
      <c r="Y34" s="69"/>
      <c r="Z34" s="65"/>
      <c r="AA34" s="517"/>
      <c r="AB34" s="65"/>
      <c r="AC34" s="81">
        <f t="shared" si="8"/>
        <v>0</v>
      </c>
      <c r="AD34" s="65"/>
      <c r="AE34" s="112"/>
      <c r="AF34" s="203">
        <v>0.3</v>
      </c>
      <c r="AG34" s="109">
        <f t="shared" si="9"/>
        <v>0</v>
      </c>
      <c r="AH34" s="84">
        <f t="shared" si="10"/>
        <v>0</v>
      </c>
      <c r="AI34" s="65"/>
      <c r="AJ34" s="112"/>
      <c r="AK34" s="122"/>
      <c r="AL34" s="109">
        <v>1212</v>
      </c>
      <c r="AM34" s="84">
        <f t="shared" si="11"/>
        <v>0</v>
      </c>
      <c r="AN34" s="65"/>
      <c r="AO34" s="112"/>
      <c r="AP34" s="204"/>
      <c r="AQ34" s="109">
        <f>IFERROR((O34+AH34+AM34)/Dashboard!$D$15,0)*0.2</f>
        <v>0</v>
      </c>
      <c r="AR34" s="84">
        <f t="shared" si="24"/>
        <v>0</v>
      </c>
      <c r="AS34" s="65"/>
      <c r="AT34" s="112"/>
      <c r="AU34" s="203">
        <v>0.33</v>
      </c>
      <c r="AV34" s="109">
        <f t="shared" si="13"/>
        <v>0</v>
      </c>
      <c r="AW34" s="84">
        <f t="shared" si="14"/>
        <v>0</v>
      </c>
      <c r="AX34" s="65"/>
      <c r="AY34" s="112"/>
      <c r="AZ34" s="203">
        <v>0.25</v>
      </c>
      <c r="BA34" s="109">
        <f t="shared" si="15"/>
        <v>0</v>
      </c>
      <c r="BB34" s="84">
        <f t="shared" si="16"/>
        <v>0</v>
      </c>
      <c r="BC34" s="65"/>
      <c r="BD34" s="112"/>
      <c r="BE34" s="203">
        <v>0.26</v>
      </c>
      <c r="BF34" s="109">
        <f t="shared" si="17"/>
        <v>0</v>
      </c>
      <c r="BG34" s="84">
        <f t="shared" si="18"/>
        <v>0</v>
      </c>
      <c r="BH34" s="197"/>
      <c r="BI34" s="517"/>
      <c r="BJ34" s="65"/>
      <c r="BK34" s="81">
        <f t="shared" si="19"/>
        <v>0</v>
      </c>
      <c r="BL34" s="65"/>
      <c r="BM34" s="65"/>
      <c r="BN34" s="204"/>
      <c r="BO34" s="109">
        <f>($O34/Dashboard!$D$15)*(1+Dashboard!$D$19)</f>
        <v>0</v>
      </c>
      <c r="BP34" s="84">
        <f t="shared" si="20"/>
        <v>0</v>
      </c>
      <c r="BQ34" s="65"/>
      <c r="BR34" s="65"/>
      <c r="BS34" s="204"/>
      <c r="BT34" s="109">
        <f>($O34/Dashboard!$D$15)*(1+Dashboard!$D$20)</f>
        <v>0</v>
      </c>
      <c r="BU34" s="84">
        <f t="shared" si="21"/>
        <v>0</v>
      </c>
      <c r="BV34" s="65"/>
      <c r="BW34" s="65"/>
      <c r="BX34" s="204"/>
      <c r="BY34" s="109">
        <f>($O34/Dashboard!$D$15)*(1+Dashboard!$D$21)</f>
        <v>0</v>
      </c>
      <c r="BZ34" s="84">
        <f t="shared" si="22"/>
        <v>0</v>
      </c>
    </row>
    <row r="35" spans="2:78" ht="12" hidden="1" customHeight="1" outlineLevel="1">
      <c r="B35" s="137" t="str">
        <f>'Cronog. e Histog.'!B789</f>
        <v>Coordenador de Qualidade - Controle de Qualidade</v>
      </c>
      <c r="C35" s="65"/>
      <c r="D35" s="200">
        <f t="shared" si="2"/>
        <v>0</v>
      </c>
      <c r="E35" s="200">
        <f t="shared" si="3"/>
        <v>0</v>
      </c>
      <c r="F35" s="65"/>
      <c r="G35" s="200">
        <f t="shared" si="4"/>
        <v>0</v>
      </c>
      <c r="H35" s="200">
        <f t="shared" si="5"/>
        <v>0</v>
      </c>
      <c r="I35" s="65"/>
      <c r="J35" s="143" t="str">
        <f>IF('Cronog. e Histog.'!F789&gt;0,'Cronog. e Histog.'!F789,"")</f>
        <v>Coordenador de Qualidade</v>
      </c>
      <c r="K35" s="65"/>
      <c r="L35" s="144">
        <f>IF('Cronog. e Histog.'!H789&gt;0,'Cronog. e Histog.'!H789,0)</f>
        <v>0</v>
      </c>
      <c r="M35" s="144">
        <f>IF('Cronog. e Histog.'!I789&gt;0,'Cronog. e Histog.'!I789,0)</f>
        <v>0</v>
      </c>
      <c r="N35" s="65"/>
      <c r="O35" s="109">
        <f>_xlfn.XLOOKUP(B35,Salários!B:B,Salários!K:K)</f>
        <v>0</v>
      </c>
      <c r="P35" s="109">
        <f t="shared" si="6"/>
        <v>0</v>
      </c>
      <c r="Q35" s="109">
        <f t="shared" si="7"/>
        <v>0</v>
      </c>
      <c r="R35" s="65"/>
      <c r="S35" s="109">
        <f t="shared" si="23"/>
        <v>0</v>
      </c>
      <c r="T35" s="201" t="str">
        <f>IF(_xlfn.XLOOKUP(B35,Salários!B:B,Salários!I:I)&gt;0,_xlfn.XLOOKUP(B35,Salários!B:B,Salários!I:I),"")</f>
        <v/>
      </c>
      <c r="U35" s="117">
        <f t="shared" si="1"/>
        <v>0</v>
      </c>
      <c r="V35" s="65"/>
      <c r="W35" s="202"/>
      <c r="X35" s="65"/>
      <c r="Y35" s="69"/>
      <c r="Z35" s="65"/>
      <c r="AA35" s="517"/>
      <c r="AB35" s="65"/>
      <c r="AC35" s="81">
        <f t="shared" si="8"/>
        <v>0</v>
      </c>
      <c r="AD35" s="65"/>
      <c r="AE35" s="112"/>
      <c r="AF35" s="203">
        <v>0.3</v>
      </c>
      <c r="AG35" s="109">
        <f t="shared" si="9"/>
        <v>0</v>
      </c>
      <c r="AH35" s="84">
        <f t="shared" si="10"/>
        <v>0</v>
      </c>
      <c r="AI35" s="65"/>
      <c r="AJ35" s="112"/>
      <c r="AK35" s="122"/>
      <c r="AL35" s="109">
        <v>1212</v>
      </c>
      <c r="AM35" s="84">
        <f t="shared" si="11"/>
        <v>0</v>
      </c>
      <c r="AN35" s="65"/>
      <c r="AO35" s="112"/>
      <c r="AP35" s="204"/>
      <c r="AQ35" s="109">
        <f>IFERROR((O35+AH35+AM35)/Dashboard!$D$15,0)*0.2</f>
        <v>0</v>
      </c>
      <c r="AR35" s="84">
        <f t="shared" si="24"/>
        <v>0</v>
      </c>
      <c r="AS35" s="65"/>
      <c r="AT35" s="112"/>
      <c r="AU35" s="203">
        <v>0.33</v>
      </c>
      <c r="AV35" s="109">
        <f t="shared" si="13"/>
        <v>0</v>
      </c>
      <c r="AW35" s="84">
        <f t="shared" si="14"/>
        <v>0</v>
      </c>
      <c r="AX35" s="65"/>
      <c r="AY35" s="112"/>
      <c r="AZ35" s="203">
        <v>0.25</v>
      </c>
      <c r="BA35" s="109">
        <f t="shared" si="15"/>
        <v>0</v>
      </c>
      <c r="BB35" s="84">
        <f t="shared" si="16"/>
        <v>0</v>
      </c>
      <c r="BC35" s="65"/>
      <c r="BD35" s="112"/>
      <c r="BE35" s="203">
        <v>0.26</v>
      </c>
      <c r="BF35" s="109">
        <f t="shared" si="17"/>
        <v>0</v>
      </c>
      <c r="BG35" s="84">
        <f t="shared" si="18"/>
        <v>0</v>
      </c>
      <c r="BH35" s="197"/>
      <c r="BI35" s="517"/>
      <c r="BJ35" s="65"/>
      <c r="BK35" s="81">
        <f t="shared" si="19"/>
        <v>0</v>
      </c>
      <c r="BL35" s="65"/>
      <c r="BM35" s="65"/>
      <c r="BN35" s="204"/>
      <c r="BO35" s="109">
        <f>($O35/Dashboard!$D$15)*(1+Dashboard!$D$19)</f>
        <v>0</v>
      </c>
      <c r="BP35" s="84">
        <f t="shared" si="20"/>
        <v>0</v>
      </c>
      <c r="BQ35" s="65"/>
      <c r="BR35" s="65"/>
      <c r="BS35" s="204"/>
      <c r="BT35" s="109">
        <f>($O35/Dashboard!$D$15)*(1+Dashboard!$D$20)</f>
        <v>0</v>
      </c>
      <c r="BU35" s="84">
        <f t="shared" si="21"/>
        <v>0</v>
      </c>
      <c r="BV35" s="65"/>
      <c r="BW35" s="65"/>
      <c r="BX35" s="204"/>
      <c r="BY35" s="109">
        <f>($O35/Dashboard!$D$15)*(1+Dashboard!$D$21)</f>
        <v>0</v>
      </c>
      <c r="BZ35" s="84">
        <f t="shared" si="22"/>
        <v>0</v>
      </c>
    </row>
    <row r="36" spans="2:78" ht="12" hidden="1" customHeight="1" outlineLevel="1">
      <c r="B36" s="137" t="str">
        <f>'Cronog. e Histog.'!B790</f>
        <v>Técnico de Qualidade - Controle de Qualidade</v>
      </c>
      <c r="C36" s="65"/>
      <c r="D36" s="200">
        <f t="shared" si="2"/>
        <v>0</v>
      </c>
      <c r="E36" s="200">
        <f t="shared" si="3"/>
        <v>0</v>
      </c>
      <c r="F36" s="65"/>
      <c r="G36" s="200">
        <f t="shared" si="4"/>
        <v>0</v>
      </c>
      <c r="H36" s="200">
        <f t="shared" si="5"/>
        <v>0</v>
      </c>
      <c r="I36" s="65"/>
      <c r="J36" s="143" t="str">
        <f>IF('Cronog. e Histog.'!F790&gt;0,'Cronog. e Histog.'!F790,"")</f>
        <v>Técnico de Qualidade</v>
      </c>
      <c r="K36" s="65"/>
      <c r="L36" s="144">
        <f>IF('Cronog. e Histog.'!H790&gt;0,'Cronog. e Histog.'!H790,0)</f>
        <v>0</v>
      </c>
      <c r="M36" s="144">
        <f>IF('Cronog. e Histog.'!I790&gt;0,'Cronog. e Histog.'!I790,0)</f>
        <v>0</v>
      </c>
      <c r="N36" s="65"/>
      <c r="O36" s="109">
        <f>_xlfn.XLOOKUP(B36,Salários!B:B,Salários!K:K)</f>
        <v>0</v>
      </c>
      <c r="P36" s="109">
        <f t="shared" si="6"/>
        <v>0</v>
      </c>
      <c r="Q36" s="109">
        <f t="shared" si="7"/>
        <v>0</v>
      </c>
      <c r="R36" s="65"/>
      <c r="S36" s="109">
        <f t="shared" si="23"/>
        <v>0</v>
      </c>
      <c r="T36" s="201" t="str">
        <f>IF(_xlfn.XLOOKUP(B36,Salários!B:B,Salários!I:I)&gt;0,_xlfn.XLOOKUP(B36,Salários!B:B,Salários!I:I),"")</f>
        <v/>
      </c>
      <c r="U36" s="117">
        <f t="shared" si="1"/>
        <v>0</v>
      </c>
      <c r="V36" s="65"/>
      <c r="W36" s="202"/>
      <c r="X36" s="65"/>
      <c r="Y36" s="69"/>
      <c r="Z36" s="65"/>
      <c r="AA36" s="517"/>
      <c r="AB36" s="65"/>
      <c r="AC36" s="81">
        <f t="shared" si="8"/>
        <v>0</v>
      </c>
      <c r="AD36" s="65"/>
      <c r="AE36" s="112"/>
      <c r="AF36" s="203">
        <v>0.3</v>
      </c>
      <c r="AG36" s="109">
        <f t="shared" si="9"/>
        <v>0</v>
      </c>
      <c r="AH36" s="84">
        <f t="shared" si="10"/>
        <v>0</v>
      </c>
      <c r="AI36" s="65"/>
      <c r="AJ36" s="112"/>
      <c r="AK36" s="122"/>
      <c r="AL36" s="109">
        <v>1212</v>
      </c>
      <c r="AM36" s="84">
        <f t="shared" si="11"/>
        <v>0</v>
      </c>
      <c r="AN36" s="65"/>
      <c r="AO36" s="112"/>
      <c r="AP36" s="204"/>
      <c r="AQ36" s="109">
        <f>IFERROR((O36+AH36+AM36)/Dashboard!$D$15,0)*0.2</f>
        <v>0</v>
      </c>
      <c r="AR36" s="84">
        <f t="shared" si="24"/>
        <v>0</v>
      </c>
      <c r="AS36" s="65"/>
      <c r="AT36" s="112"/>
      <c r="AU36" s="203">
        <v>0.33</v>
      </c>
      <c r="AV36" s="109">
        <f t="shared" si="13"/>
        <v>0</v>
      </c>
      <c r="AW36" s="84">
        <f t="shared" si="14"/>
        <v>0</v>
      </c>
      <c r="AX36" s="65"/>
      <c r="AY36" s="112"/>
      <c r="AZ36" s="203">
        <v>0.25</v>
      </c>
      <c r="BA36" s="109">
        <f t="shared" si="15"/>
        <v>0</v>
      </c>
      <c r="BB36" s="84">
        <f t="shared" si="16"/>
        <v>0</v>
      </c>
      <c r="BC36" s="65"/>
      <c r="BD36" s="112"/>
      <c r="BE36" s="203">
        <v>0.26</v>
      </c>
      <c r="BF36" s="109">
        <f t="shared" si="17"/>
        <v>0</v>
      </c>
      <c r="BG36" s="84">
        <f t="shared" si="18"/>
        <v>0</v>
      </c>
      <c r="BH36" s="197"/>
      <c r="BI36" s="517"/>
      <c r="BJ36" s="65"/>
      <c r="BK36" s="81">
        <f t="shared" si="19"/>
        <v>0</v>
      </c>
      <c r="BL36" s="65"/>
      <c r="BM36" s="65"/>
      <c r="BN36" s="204"/>
      <c r="BO36" s="109">
        <f>($O36/Dashboard!$D$15)*(1+Dashboard!$D$19)</f>
        <v>0</v>
      </c>
      <c r="BP36" s="84">
        <f t="shared" si="20"/>
        <v>0</v>
      </c>
      <c r="BQ36" s="65"/>
      <c r="BR36" s="65"/>
      <c r="BS36" s="204"/>
      <c r="BT36" s="109">
        <f>($O36/Dashboard!$D$15)*(1+Dashboard!$D$20)</f>
        <v>0</v>
      </c>
      <c r="BU36" s="84">
        <f t="shared" si="21"/>
        <v>0</v>
      </c>
      <c r="BV36" s="65"/>
      <c r="BW36" s="65"/>
      <c r="BX36" s="204"/>
      <c r="BY36" s="109">
        <f>($O36/Dashboard!$D$15)*(1+Dashboard!$D$21)</f>
        <v>0</v>
      </c>
      <c r="BZ36" s="84">
        <f t="shared" si="22"/>
        <v>0</v>
      </c>
    </row>
    <row r="37" spans="2:78" ht="12" hidden="1" customHeight="1" outlineLevel="1">
      <c r="B37" s="137" t="str">
        <f>'Cronog. e Histog.'!B791</f>
        <v>Inspetor (LP/PM/EVS) - Controle de Qualidade</v>
      </c>
      <c r="C37" s="65"/>
      <c r="D37" s="200">
        <f t="shared" si="2"/>
        <v>0</v>
      </c>
      <c r="E37" s="200">
        <f t="shared" si="3"/>
        <v>0</v>
      </c>
      <c r="F37" s="65"/>
      <c r="G37" s="200">
        <f t="shared" si="4"/>
        <v>0</v>
      </c>
      <c r="H37" s="200">
        <f t="shared" si="5"/>
        <v>0</v>
      </c>
      <c r="I37" s="65"/>
      <c r="J37" s="143" t="str">
        <f>IF('Cronog. e Histog.'!F791&gt;0,'Cronog. e Histog.'!F791,"")</f>
        <v>Inspetor (LP/PM/EVS)</v>
      </c>
      <c r="K37" s="65"/>
      <c r="L37" s="144">
        <f>IF('Cronog. e Histog.'!H791&gt;0,'Cronog. e Histog.'!H791,0)</f>
        <v>0</v>
      </c>
      <c r="M37" s="144">
        <f>IF('Cronog. e Histog.'!I791&gt;0,'Cronog. e Histog.'!I791,0)</f>
        <v>0</v>
      </c>
      <c r="N37" s="65"/>
      <c r="O37" s="109">
        <f>_xlfn.XLOOKUP(B37,Salários!B:B,Salários!K:K)</f>
        <v>0</v>
      </c>
      <c r="P37" s="109">
        <f t="shared" si="6"/>
        <v>0</v>
      </c>
      <c r="Q37" s="109">
        <f t="shared" si="7"/>
        <v>0</v>
      </c>
      <c r="R37" s="65"/>
      <c r="S37" s="109">
        <f t="shared" si="23"/>
        <v>0</v>
      </c>
      <c r="T37" s="201" t="str">
        <f>IF(_xlfn.XLOOKUP(B37,Salários!B:B,Salários!I:I)&gt;0,_xlfn.XLOOKUP(B37,Salários!B:B,Salários!I:I),"")</f>
        <v/>
      </c>
      <c r="U37" s="117">
        <f t="shared" si="1"/>
        <v>0</v>
      </c>
      <c r="V37" s="65"/>
      <c r="W37" s="202"/>
      <c r="X37" s="65"/>
      <c r="Y37" s="69"/>
      <c r="Z37" s="65"/>
      <c r="AA37" s="517"/>
      <c r="AB37" s="65"/>
      <c r="AC37" s="81">
        <f t="shared" si="8"/>
        <v>0</v>
      </c>
      <c r="AD37" s="65"/>
      <c r="AE37" s="112"/>
      <c r="AF37" s="203">
        <v>0.3</v>
      </c>
      <c r="AG37" s="109">
        <f t="shared" si="9"/>
        <v>0</v>
      </c>
      <c r="AH37" s="84">
        <f t="shared" si="10"/>
        <v>0</v>
      </c>
      <c r="AI37" s="65"/>
      <c r="AJ37" s="112"/>
      <c r="AK37" s="122"/>
      <c r="AL37" s="109">
        <v>1212</v>
      </c>
      <c r="AM37" s="84">
        <f t="shared" si="11"/>
        <v>0</v>
      </c>
      <c r="AN37" s="65"/>
      <c r="AO37" s="112"/>
      <c r="AP37" s="204"/>
      <c r="AQ37" s="109">
        <f>IFERROR((O37+AH37+AM37)/Dashboard!$D$15,0)*0.2</f>
        <v>0</v>
      </c>
      <c r="AR37" s="84">
        <f t="shared" si="24"/>
        <v>0</v>
      </c>
      <c r="AS37" s="65"/>
      <c r="AT37" s="112"/>
      <c r="AU37" s="203">
        <v>0.33</v>
      </c>
      <c r="AV37" s="109">
        <f t="shared" si="13"/>
        <v>0</v>
      </c>
      <c r="AW37" s="84">
        <f t="shared" si="14"/>
        <v>0</v>
      </c>
      <c r="AX37" s="65"/>
      <c r="AY37" s="112"/>
      <c r="AZ37" s="203">
        <v>0.25</v>
      </c>
      <c r="BA37" s="109">
        <f t="shared" si="15"/>
        <v>0</v>
      </c>
      <c r="BB37" s="84">
        <f t="shared" si="16"/>
        <v>0</v>
      </c>
      <c r="BC37" s="65"/>
      <c r="BD37" s="112"/>
      <c r="BE37" s="203">
        <v>0.26</v>
      </c>
      <c r="BF37" s="109">
        <f t="shared" si="17"/>
        <v>0</v>
      </c>
      <c r="BG37" s="84">
        <f t="shared" si="18"/>
        <v>0</v>
      </c>
      <c r="BH37" s="197"/>
      <c r="BI37" s="517"/>
      <c r="BJ37" s="65"/>
      <c r="BK37" s="81">
        <f t="shared" si="19"/>
        <v>0</v>
      </c>
      <c r="BL37" s="65"/>
      <c r="BM37" s="65"/>
      <c r="BN37" s="204"/>
      <c r="BO37" s="109">
        <f>($O37/Dashboard!$D$15)*(1+Dashboard!$D$19)</f>
        <v>0</v>
      </c>
      <c r="BP37" s="84">
        <f t="shared" si="20"/>
        <v>0</v>
      </c>
      <c r="BQ37" s="65"/>
      <c r="BR37" s="65"/>
      <c r="BS37" s="204"/>
      <c r="BT37" s="109">
        <f>($O37/Dashboard!$D$15)*(1+Dashboard!$D$20)</f>
        <v>0</v>
      </c>
      <c r="BU37" s="84">
        <f t="shared" si="21"/>
        <v>0</v>
      </c>
      <c r="BV37" s="65"/>
      <c r="BW37" s="65"/>
      <c r="BX37" s="204"/>
      <c r="BY37" s="109">
        <f>($O37/Dashboard!$D$15)*(1+Dashboard!$D$21)</f>
        <v>0</v>
      </c>
      <c r="BZ37" s="84">
        <f t="shared" si="22"/>
        <v>0</v>
      </c>
    </row>
    <row r="38" spans="2:78" ht="12" hidden="1" customHeight="1" outlineLevel="1">
      <c r="B38" s="137" t="str">
        <f>'Cronog. e Histog.'!B792</f>
        <v>Inspetor RX - Controle de Qualidade</v>
      </c>
      <c r="C38" s="65"/>
      <c r="D38" s="200">
        <f t="shared" si="2"/>
        <v>0</v>
      </c>
      <c r="E38" s="200">
        <f t="shared" si="3"/>
        <v>0</v>
      </c>
      <c r="F38" s="65"/>
      <c r="G38" s="200">
        <f t="shared" si="4"/>
        <v>0</v>
      </c>
      <c r="H38" s="200">
        <f t="shared" si="5"/>
        <v>0</v>
      </c>
      <c r="I38" s="65"/>
      <c r="J38" s="143" t="str">
        <f>IF('Cronog. e Histog.'!F792&gt;0,'Cronog. e Histog.'!F792,"")</f>
        <v>Inspetor RX</v>
      </c>
      <c r="K38" s="65"/>
      <c r="L38" s="144">
        <f>IF('Cronog. e Histog.'!H792&gt;0,'Cronog. e Histog.'!H792,0)</f>
        <v>0</v>
      </c>
      <c r="M38" s="144">
        <f>IF('Cronog. e Histog.'!I792&gt;0,'Cronog. e Histog.'!I792,0)</f>
        <v>0</v>
      </c>
      <c r="N38" s="65"/>
      <c r="O38" s="109">
        <f>_xlfn.XLOOKUP(B38,Salários!B:B,Salários!K:K)</f>
        <v>0</v>
      </c>
      <c r="P38" s="109">
        <f t="shared" si="6"/>
        <v>0</v>
      </c>
      <c r="Q38" s="109">
        <f t="shared" si="7"/>
        <v>0</v>
      </c>
      <c r="R38" s="65"/>
      <c r="S38" s="109">
        <f t="shared" si="23"/>
        <v>0</v>
      </c>
      <c r="T38" s="201" t="str">
        <f>IF(_xlfn.XLOOKUP(B38,Salários!B:B,Salários!I:I)&gt;0,_xlfn.XLOOKUP(B38,Salários!B:B,Salários!I:I),"")</f>
        <v/>
      </c>
      <c r="U38" s="117">
        <f t="shared" si="1"/>
        <v>0</v>
      </c>
      <c r="V38" s="65"/>
      <c r="W38" s="202"/>
      <c r="X38" s="65"/>
      <c r="Y38" s="69"/>
      <c r="Z38" s="65"/>
      <c r="AA38" s="517"/>
      <c r="AB38" s="65"/>
      <c r="AC38" s="81">
        <f t="shared" si="8"/>
        <v>0</v>
      </c>
      <c r="AD38" s="65"/>
      <c r="AE38" s="112"/>
      <c r="AF38" s="203">
        <v>0.3</v>
      </c>
      <c r="AG38" s="109">
        <f t="shared" si="9"/>
        <v>0</v>
      </c>
      <c r="AH38" s="84">
        <f t="shared" si="10"/>
        <v>0</v>
      </c>
      <c r="AI38" s="65"/>
      <c r="AJ38" s="112"/>
      <c r="AK38" s="122"/>
      <c r="AL38" s="109">
        <v>1212</v>
      </c>
      <c r="AM38" s="84">
        <f t="shared" si="11"/>
        <v>0</v>
      </c>
      <c r="AN38" s="65"/>
      <c r="AO38" s="112"/>
      <c r="AP38" s="204"/>
      <c r="AQ38" s="109">
        <f>IFERROR((O38+AH38+AM38)/Dashboard!$D$15,0)*0.2</f>
        <v>0</v>
      </c>
      <c r="AR38" s="84">
        <f t="shared" si="24"/>
        <v>0</v>
      </c>
      <c r="AS38" s="65"/>
      <c r="AT38" s="112"/>
      <c r="AU38" s="203">
        <v>0.33</v>
      </c>
      <c r="AV38" s="109">
        <f t="shared" si="13"/>
        <v>0</v>
      </c>
      <c r="AW38" s="84">
        <f t="shared" si="14"/>
        <v>0</v>
      </c>
      <c r="AX38" s="65"/>
      <c r="AY38" s="112"/>
      <c r="AZ38" s="203">
        <v>0.25</v>
      </c>
      <c r="BA38" s="109">
        <f t="shared" si="15"/>
        <v>0</v>
      </c>
      <c r="BB38" s="84">
        <f t="shared" si="16"/>
        <v>0</v>
      </c>
      <c r="BC38" s="65"/>
      <c r="BD38" s="112"/>
      <c r="BE38" s="203">
        <v>0.26</v>
      </c>
      <c r="BF38" s="109">
        <f t="shared" si="17"/>
        <v>0</v>
      </c>
      <c r="BG38" s="84">
        <f t="shared" si="18"/>
        <v>0</v>
      </c>
      <c r="BH38" s="197"/>
      <c r="BI38" s="517"/>
      <c r="BJ38" s="65"/>
      <c r="BK38" s="81">
        <f t="shared" si="19"/>
        <v>0</v>
      </c>
      <c r="BL38" s="65"/>
      <c r="BM38" s="65"/>
      <c r="BN38" s="204"/>
      <c r="BO38" s="109">
        <f>($O38/Dashboard!$D$15)*(1+Dashboard!$D$19)</f>
        <v>0</v>
      </c>
      <c r="BP38" s="84">
        <f t="shared" si="20"/>
        <v>0</v>
      </c>
      <c r="BQ38" s="65"/>
      <c r="BR38" s="65"/>
      <c r="BS38" s="204"/>
      <c r="BT38" s="109">
        <f>($O38/Dashboard!$D$15)*(1+Dashboard!$D$20)</f>
        <v>0</v>
      </c>
      <c r="BU38" s="84">
        <f t="shared" si="21"/>
        <v>0</v>
      </c>
      <c r="BV38" s="65"/>
      <c r="BW38" s="65"/>
      <c r="BX38" s="204"/>
      <c r="BY38" s="109">
        <f>($O38/Dashboard!$D$15)*(1+Dashboard!$D$21)</f>
        <v>0</v>
      </c>
      <c r="BZ38" s="84">
        <f t="shared" si="22"/>
        <v>0</v>
      </c>
    </row>
    <row r="39" spans="2:78" ht="12" hidden="1" customHeight="1" outlineLevel="1">
      <c r="B39" s="137" t="str">
        <f>'Cronog. e Histog.'!B793</f>
        <v>Inpestor de Equipamento - Controle de Qualidade</v>
      </c>
      <c r="C39" s="65"/>
      <c r="D39" s="200">
        <f t="shared" si="2"/>
        <v>0</v>
      </c>
      <c r="E39" s="200">
        <f t="shared" si="3"/>
        <v>0</v>
      </c>
      <c r="F39" s="65"/>
      <c r="G39" s="200">
        <f t="shared" si="4"/>
        <v>0</v>
      </c>
      <c r="H39" s="200">
        <f t="shared" si="5"/>
        <v>0</v>
      </c>
      <c r="I39" s="65"/>
      <c r="J39" s="143" t="str">
        <f>IF('Cronog. e Histog.'!F793&gt;0,'Cronog. e Histog.'!F793,"")</f>
        <v>Inpestor de Equipamento</v>
      </c>
      <c r="K39" s="65"/>
      <c r="L39" s="144">
        <f>IF('Cronog. e Histog.'!H793&gt;0,'Cronog. e Histog.'!H793,0)</f>
        <v>0</v>
      </c>
      <c r="M39" s="144">
        <f>IF('Cronog. e Histog.'!I793&gt;0,'Cronog. e Histog.'!I793,0)</f>
        <v>0</v>
      </c>
      <c r="N39" s="65"/>
      <c r="O39" s="109">
        <f>_xlfn.XLOOKUP(B39,Salários!B:B,Salários!K:K)</f>
        <v>0</v>
      </c>
      <c r="P39" s="109">
        <f t="shared" si="6"/>
        <v>0</v>
      </c>
      <c r="Q39" s="109">
        <f t="shared" si="7"/>
        <v>0</v>
      </c>
      <c r="R39" s="65"/>
      <c r="S39" s="109">
        <f t="shared" si="23"/>
        <v>0</v>
      </c>
      <c r="T39" s="201" t="str">
        <f>IF(_xlfn.XLOOKUP(B39,Salários!B:B,Salários!I:I)&gt;0,_xlfn.XLOOKUP(B39,Salários!B:B,Salários!I:I),"")</f>
        <v/>
      </c>
      <c r="U39" s="117">
        <f t="shared" si="1"/>
        <v>0</v>
      </c>
      <c r="V39" s="65"/>
      <c r="W39" s="202"/>
      <c r="X39" s="65"/>
      <c r="Y39" s="69"/>
      <c r="Z39" s="65"/>
      <c r="AA39" s="517"/>
      <c r="AB39" s="65"/>
      <c r="AC39" s="81">
        <f t="shared" si="8"/>
        <v>0</v>
      </c>
      <c r="AD39" s="65"/>
      <c r="AE39" s="112"/>
      <c r="AF39" s="203">
        <v>0.3</v>
      </c>
      <c r="AG39" s="109">
        <f t="shared" si="9"/>
        <v>0</v>
      </c>
      <c r="AH39" s="84">
        <f t="shared" si="10"/>
        <v>0</v>
      </c>
      <c r="AI39" s="65"/>
      <c r="AJ39" s="112"/>
      <c r="AK39" s="122"/>
      <c r="AL39" s="109">
        <v>1212</v>
      </c>
      <c r="AM39" s="84">
        <f t="shared" si="11"/>
        <v>0</v>
      </c>
      <c r="AN39" s="65"/>
      <c r="AO39" s="112"/>
      <c r="AP39" s="204"/>
      <c r="AQ39" s="109">
        <f>IFERROR((O39+AH39+AM39)/Dashboard!$D$15,0)*0.2</f>
        <v>0</v>
      </c>
      <c r="AR39" s="84">
        <f t="shared" si="24"/>
        <v>0</v>
      </c>
      <c r="AS39" s="65"/>
      <c r="AT39" s="112"/>
      <c r="AU39" s="203">
        <v>0.33</v>
      </c>
      <c r="AV39" s="109">
        <f t="shared" si="13"/>
        <v>0</v>
      </c>
      <c r="AW39" s="84">
        <f t="shared" si="14"/>
        <v>0</v>
      </c>
      <c r="AX39" s="65"/>
      <c r="AY39" s="112"/>
      <c r="AZ39" s="203">
        <v>0.25</v>
      </c>
      <c r="BA39" s="109">
        <f t="shared" si="15"/>
        <v>0</v>
      </c>
      <c r="BB39" s="84">
        <f t="shared" si="16"/>
        <v>0</v>
      </c>
      <c r="BC39" s="65"/>
      <c r="BD39" s="112"/>
      <c r="BE39" s="203">
        <v>0.26</v>
      </c>
      <c r="BF39" s="109">
        <f t="shared" si="17"/>
        <v>0</v>
      </c>
      <c r="BG39" s="84">
        <f t="shared" si="18"/>
        <v>0</v>
      </c>
      <c r="BH39" s="197"/>
      <c r="BI39" s="517"/>
      <c r="BJ39" s="65"/>
      <c r="BK39" s="81">
        <f t="shared" si="19"/>
        <v>0</v>
      </c>
      <c r="BL39" s="65"/>
      <c r="BM39" s="65"/>
      <c r="BN39" s="204"/>
      <c r="BO39" s="109">
        <f>($O39/Dashboard!$D$15)*(1+Dashboard!$D$19)</f>
        <v>0</v>
      </c>
      <c r="BP39" s="84">
        <f t="shared" si="20"/>
        <v>0</v>
      </c>
      <c r="BQ39" s="65"/>
      <c r="BR39" s="65"/>
      <c r="BS39" s="204"/>
      <c r="BT39" s="109">
        <f>($O39/Dashboard!$D$15)*(1+Dashboard!$D$20)</f>
        <v>0</v>
      </c>
      <c r="BU39" s="84">
        <f t="shared" si="21"/>
        <v>0</v>
      </c>
      <c r="BV39" s="65"/>
      <c r="BW39" s="65"/>
      <c r="BX39" s="204"/>
      <c r="BY39" s="109">
        <f>($O39/Dashboard!$D$15)*(1+Dashboard!$D$21)</f>
        <v>0</v>
      </c>
      <c r="BZ39" s="84">
        <f t="shared" si="22"/>
        <v>0</v>
      </c>
    </row>
    <row r="40" spans="2:78" ht="12" hidden="1" customHeight="1" outlineLevel="1">
      <c r="B40" s="137" t="str">
        <f>'Cronog. e Histog.'!B794</f>
        <v>Inspetor N1 - Controle de Qualidade</v>
      </c>
      <c r="C40" s="65"/>
      <c r="D40" s="200">
        <f t="shared" si="2"/>
        <v>0</v>
      </c>
      <c r="E40" s="200">
        <f t="shared" si="3"/>
        <v>0</v>
      </c>
      <c r="F40" s="65"/>
      <c r="G40" s="200">
        <f t="shared" si="4"/>
        <v>0</v>
      </c>
      <c r="H40" s="200">
        <f t="shared" si="5"/>
        <v>0</v>
      </c>
      <c r="I40" s="65"/>
      <c r="J40" s="143" t="str">
        <f>IF('Cronog. e Histog.'!F794&gt;0,'Cronog. e Histog.'!F794,"")</f>
        <v>Inspetor N1</v>
      </c>
      <c r="K40" s="65"/>
      <c r="L40" s="144">
        <f>IF('Cronog. e Histog.'!H794&gt;0,'Cronog. e Histog.'!H794,0)</f>
        <v>0</v>
      </c>
      <c r="M40" s="144">
        <f>IF('Cronog. e Histog.'!I794&gt;0,'Cronog. e Histog.'!I794,0)</f>
        <v>0</v>
      </c>
      <c r="N40" s="65"/>
      <c r="O40" s="109">
        <f>_xlfn.XLOOKUP(B40,Salários!B:B,Salários!K:K)</f>
        <v>0</v>
      </c>
      <c r="P40" s="109">
        <f t="shared" si="6"/>
        <v>0</v>
      </c>
      <c r="Q40" s="109">
        <f t="shared" si="7"/>
        <v>0</v>
      </c>
      <c r="R40" s="65"/>
      <c r="S40" s="109">
        <f t="shared" si="23"/>
        <v>0</v>
      </c>
      <c r="T40" s="201" t="str">
        <f>IF(_xlfn.XLOOKUP(B40,Salários!B:B,Salários!I:I)&gt;0,_xlfn.XLOOKUP(B40,Salários!B:B,Salários!I:I),"")</f>
        <v/>
      </c>
      <c r="U40" s="117">
        <f t="shared" si="1"/>
        <v>0</v>
      </c>
      <c r="V40" s="65"/>
      <c r="W40" s="202"/>
      <c r="X40" s="65"/>
      <c r="Y40" s="69"/>
      <c r="Z40" s="65"/>
      <c r="AA40" s="517"/>
      <c r="AB40" s="65"/>
      <c r="AC40" s="81">
        <f t="shared" si="8"/>
        <v>0</v>
      </c>
      <c r="AD40" s="65"/>
      <c r="AE40" s="112"/>
      <c r="AF40" s="203">
        <v>0.3</v>
      </c>
      <c r="AG40" s="109">
        <f t="shared" si="9"/>
        <v>0</v>
      </c>
      <c r="AH40" s="84">
        <f t="shared" si="10"/>
        <v>0</v>
      </c>
      <c r="AI40" s="65"/>
      <c r="AJ40" s="112"/>
      <c r="AK40" s="122"/>
      <c r="AL40" s="109">
        <v>1212</v>
      </c>
      <c r="AM40" s="84">
        <f t="shared" si="11"/>
        <v>0</v>
      </c>
      <c r="AN40" s="65"/>
      <c r="AO40" s="112"/>
      <c r="AP40" s="204"/>
      <c r="AQ40" s="109">
        <f>IFERROR((O40+AH40+AM40)/Dashboard!$D$15,0)*0.2</f>
        <v>0</v>
      </c>
      <c r="AR40" s="84">
        <f t="shared" si="24"/>
        <v>0</v>
      </c>
      <c r="AS40" s="65"/>
      <c r="AT40" s="112"/>
      <c r="AU40" s="203">
        <v>0.33</v>
      </c>
      <c r="AV40" s="109">
        <f t="shared" si="13"/>
        <v>0</v>
      </c>
      <c r="AW40" s="84">
        <f t="shared" si="14"/>
        <v>0</v>
      </c>
      <c r="AX40" s="65"/>
      <c r="AY40" s="112"/>
      <c r="AZ40" s="203">
        <v>0.25</v>
      </c>
      <c r="BA40" s="109">
        <f t="shared" si="15"/>
        <v>0</v>
      </c>
      <c r="BB40" s="84">
        <f t="shared" si="16"/>
        <v>0</v>
      </c>
      <c r="BC40" s="65"/>
      <c r="BD40" s="112"/>
      <c r="BE40" s="203">
        <v>0.26</v>
      </c>
      <c r="BF40" s="109">
        <f t="shared" si="17"/>
        <v>0</v>
      </c>
      <c r="BG40" s="84">
        <f t="shared" si="18"/>
        <v>0</v>
      </c>
      <c r="BH40" s="197"/>
      <c r="BI40" s="517"/>
      <c r="BJ40" s="65"/>
      <c r="BK40" s="81">
        <f t="shared" si="19"/>
        <v>0</v>
      </c>
      <c r="BL40" s="65"/>
      <c r="BM40" s="65"/>
      <c r="BN40" s="204"/>
      <c r="BO40" s="109">
        <f>($O40/Dashboard!$D$15)*(1+Dashboard!$D$19)</f>
        <v>0</v>
      </c>
      <c r="BP40" s="84">
        <f t="shared" si="20"/>
        <v>0</v>
      </c>
      <c r="BQ40" s="65"/>
      <c r="BR40" s="65"/>
      <c r="BS40" s="204"/>
      <c r="BT40" s="109">
        <f>($O40/Dashboard!$D$15)*(1+Dashboard!$D$20)</f>
        <v>0</v>
      </c>
      <c r="BU40" s="84">
        <f t="shared" si="21"/>
        <v>0</v>
      </c>
      <c r="BV40" s="65"/>
      <c r="BW40" s="65"/>
      <c r="BX40" s="204"/>
      <c r="BY40" s="109">
        <f>($O40/Dashboard!$D$15)*(1+Dashboard!$D$21)</f>
        <v>0</v>
      </c>
      <c r="BZ40" s="84">
        <f t="shared" si="22"/>
        <v>0</v>
      </c>
    </row>
    <row r="41" spans="2:78" ht="12" hidden="1" customHeight="1" outlineLevel="1">
      <c r="B41" s="137" t="str">
        <f>'Cronog. e Histog.'!B795</f>
        <v>Inspetor N2 - Controle de Qualidade</v>
      </c>
      <c r="C41" s="65"/>
      <c r="D41" s="200">
        <f t="shared" si="2"/>
        <v>0</v>
      </c>
      <c r="E41" s="200">
        <f t="shared" si="3"/>
        <v>0</v>
      </c>
      <c r="F41" s="65"/>
      <c r="G41" s="200">
        <f t="shared" si="4"/>
        <v>0</v>
      </c>
      <c r="H41" s="200">
        <f t="shared" si="5"/>
        <v>0</v>
      </c>
      <c r="I41" s="65"/>
      <c r="J41" s="143" t="str">
        <f>IF('Cronog. e Histog.'!F795&gt;0,'Cronog. e Histog.'!F795,"")</f>
        <v>Inspetor N2</v>
      </c>
      <c r="K41" s="65"/>
      <c r="L41" s="144">
        <f>IF('Cronog. e Histog.'!H795&gt;0,'Cronog. e Histog.'!H795,0)</f>
        <v>0</v>
      </c>
      <c r="M41" s="144">
        <f>IF('Cronog. e Histog.'!I795&gt;0,'Cronog. e Histog.'!I795,0)</f>
        <v>0</v>
      </c>
      <c r="N41" s="65"/>
      <c r="O41" s="109">
        <f>_xlfn.XLOOKUP(B41,Salários!B:B,Salários!K:K)</f>
        <v>0</v>
      </c>
      <c r="P41" s="109">
        <f t="shared" si="6"/>
        <v>0</v>
      </c>
      <c r="Q41" s="109">
        <f t="shared" si="7"/>
        <v>0</v>
      </c>
      <c r="R41" s="65"/>
      <c r="S41" s="109">
        <f t="shared" si="23"/>
        <v>0</v>
      </c>
      <c r="T41" s="201" t="str">
        <f>IF(_xlfn.XLOOKUP(B41,Salários!B:B,Salários!I:I)&gt;0,_xlfn.XLOOKUP(B41,Salários!B:B,Salários!I:I),"")</f>
        <v/>
      </c>
      <c r="U41" s="117">
        <f t="shared" si="1"/>
        <v>0</v>
      </c>
      <c r="V41" s="65"/>
      <c r="W41" s="202"/>
      <c r="X41" s="65"/>
      <c r="Y41" s="69"/>
      <c r="Z41" s="65"/>
      <c r="AA41" s="517"/>
      <c r="AB41" s="65"/>
      <c r="AC41" s="81">
        <f t="shared" si="8"/>
        <v>0</v>
      </c>
      <c r="AD41" s="65"/>
      <c r="AE41" s="112"/>
      <c r="AF41" s="203">
        <v>0.3</v>
      </c>
      <c r="AG41" s="109">
        <f t="shared" si="9"/>
        <v>0</v>
      </c>
      <c r="AH41" s="84">
        <f t="shared" si="10"/>
        <v>0</v>
      </c>
      <c r="AI41" s="65"/>
      <c r="AJ41" s="112"/>
      <c r="AK41" s="122"/>
      <c r="AL41" s="109">
        <v>1212</v>
      </c>
      <c r="AM41" s="84">
        <f t="shared" si="11"/>
        <v>0</v>
      </c>
      <c r="AN41" s="65"/>
      <c r="AO41" s="112"/>
      <c r="AP41" s="204"/>
      <c r="AQ41" s="109">
        <f>IFERROR((O41+AH41+AM41)/Dashboard!$D$15,0)*0.2</f>
        <v>0</v>
      </c>
      <c r="AR41" s="84">
        <f t="shared" si="24"/>
        <v>0</v>
      </c>
      <c r="AS41" s="65"/>
      <c r="AT41" s="112"/>
      <c r="AU41" s="203">
        <v>0.33</v>
      </c>
      <c r="AV41" s="109">
        <f t="shared" si="13"/>
        <v>0</v>
      </c>
      <c r="AW41" s="84">
        <f t="shared" si="14"/>
        <v>0</v>
      </c>
      <c r="AX41" s="65"/>
      <c r="AY41" s="112"/>
      <c r="AZ41" s="203">
        <v>0.25</v>
      </c>
      <c r="BA41" s="109">
        <f t="shared" si="15"/>
        <v>0</v>
      </c>
      <c r="BB41" s="84">
        <f t="shared" si="16"/>
        <v>0</v>
      </c>
      <c r="BC41" s="65"/>
      <c r="BD41" s="112"/>
      <c r="BE41" s="203">
        <v>0.26</v>
      </c>
      <c r="BF41" s="109">
        <f t="shared" si="17"/>
        <v>0</v>
      </c>
      <c r="BG41" s="84">
        <f t="shared" si="18"/>
        <v>0</v>
      </c>
      <c r="BH41" s="197"/>
      <c r="BI41" s="517"/>
      <c r="BJ41" s="65"/>
      <c r="BK41" s="81">
        <f t="shared" si="19"/>
        <v>0</v>
      </c>
      <c r="BL41" s="65"/>
      <c r="BM41" s="65"/>
      <c r="BN41" s="204"/>
      <c r="BO41" s="109">
        <f>($O41/Dashboard!$D$15)*(1+Dashboard!$D$19)</f>
        <v>0</v>
      </c>
      <c r="BP41" s="84">
        <f t="shared" si="20"/>
        <v>0</v>
      </c>
      <c r="BQ41" s="65"/>
      <c r="BR41" s="65"/>
      <c r="BS41" s="204"/>
      <c r="BT41" s="109">
        <f>($O41/Dashboard!$D$15)*(1+Dashboard!$D$20)</f>
        <v>0</v>
      </c>
      <c r="BU41" s="84">
        <f t="shared" si="21"/>
        <v>0</v>
      </c>
      <c r="BV41" s="65"/>
      <c r="BW41" s="65"/>
      <c r="BX41" s="204"/>
      <c r="BY41" s="109">
        <f>($O41/Dashboard!$D$15)*(1+Dashboard!$D$21)</f>
        <v>0</v>
      </c>
      <c r="BZ41" s="84">
        <f t="shared" si="22"/>
        <v>0</v>
      </c>
    </row>
    <row r="42" spans="2:78" ht="12" hidden="1" customHeight="1" outlineLevel="1">
      <c r="B42" s="137" t="str">
        <f>'Cronog. e Histog.'!B797</f>
        <v>Coordenador de SSMA - SSMA</v>
      </c>
      <c r="C42" s="65"/>
      <c r="D42" s="200">
        <f t="shared" si="2"/>
        <v>0</v>
      </c>
      <c r="E42" s="200">
        <f t="shared" si="3"/>
        <v>0</v>
      </c>
      <c r="F42" s="65"/>
      <c r="G42" s="200">
        <f t="shared" si="4"/>
        <v>0</v>
      </c>
      <c r="H42" s="200">
        <f t="shared" si="5"/>
        <v>0</v>
      </c>
      <c r="I42" s="65"/>
      <c r="J42" s="143" t="str">
        <f>IF('Cronog. e Histog.'!F797&gt;0,'Cronog. e Histog.'!F797,"")</f>
        <v>Coordenador de SSMA</v>
      </c>
      <c r="K42" s="65"/>
      <c r="L42" s="144">
        <f>IF('Cronog. e Histog.'!H797&gt;0,'Cronog. e Histog.'!H797,0)</f>
        <v>0</v>
      </c>
      <c r="M42" s="144">
        <f>IF('Cronog. e Histog.'!I797&gt;0,'Cronog. e Histog.'!I797,0)</f>
        <v>0</v>
      </c>
      <c r="N42" s="65"/>
      <c r="O42" s="109">
        <f>_xlfn.XLOOKUP(B42,Salários!B:B,Salários!K:K)</f>
        <v>0</v>
      </c>
      <c r="P42" s="109">
        <f t="shared" si="6"/>
        <v>0</v>
      </c>
      <c r="Q42" s="109">
        <f t="shared" si="7"/>
        <v>0</v>
      </c>
      <c r="R42" s="65"/>
      <c r="S42" s="109">
        <f t="shared" si="23"/>
        <v>0</v>
      </c>
      <c r="T42" s="201" t="str">
        <f>IF(_xlfn.XLOOKUP(B42,Salários!B:B,Salários!I:I)&gt;0,_xlfn.XLOOKUP(B42,Salários!B:B,Salários!I:I),"")</f>
        <v/>
      </c>
      <c r="U42" s="117">
        <f t="shared" si="1"/>
        <v>0</v>
      </c>
      <c r="V42" s="65"/>
      <c r="W42" s="202"/>
      <c r="X42" s="65"/>
      <c r="Y42" s="69"/>
      <c r="Z42" s="65"/>
      <c r="AA42" s="517"/>
      <c r="AB42" s="65"/>
      <c r="AC42" s="81">
        <f t="shared" si="8"/>
        <v>0</v>
      </c>
      <c r="AD42" s="65"/>
      <c r="AE42" s="112"/>
      <c r="AF42" s="203">
        <v>0.3</v>
      </c>
      <c r="AG42" s="109">
        <f t="shared" si="9"/>
        <v>0</v>
      </c>
      <c r="AH42" s="84">
        <f t="shared" si="10"/>
        <v>0</v>
      </c>
      <c r="AI42" s="65"/>
      <c r="AJ42" s="112"/>
      <c r="AK42" s="122"/>
      <c r="AL42" s="109">
        <v>1212</v>
      </c>
      <c r="AM42" s="84">
        <f t="shared" si="11"/>
        <v>0</v>
      </c>
      <c r="AN42" s="65"/>
      <c r="AO42" s="112"/>
      <c r="AP42" s="204"/>
      <c r="AQ42" s="109">
        <f>IFERROR((O42+AH42+AM42)/Dashboard!$D$15,0)*0.2</f>
        <v>0</v>
      </c>
      <c r="AR42" s="84">
        <f t="shared" si="24"/>
        <v>0</v>
      </c>
      <c r="AS42" s="65"/>
      <c r="AT42" s="112"/>
      <c r="AU42" s="203">
        <v>0.33</v>
      </c>
      <c r="AV42" s="109">
        <f t="shared" si="13"/>
        <v>0</v>
      </c>
      <c r="AW42" s="84">
        <f t="shared" si="14"/>
        <v>0</v>
      </c>
      <c r="AX42" s="65"/>
      <c r="AY42" s="112"/>
      <c r="AZ42" s="203">
        <v>0.25</v>
      </c>
      <c r="BA42" s="109">
        <f t="shared" si="15"/>
        <v>0</v>
      </c>
      <c r="BB42" s="84">
        <f t="shared" si="16"/>
        <v>0</v>
      </c>
      <c r="BC42" s="65"/>
      <c r="BD42" s="112"/>
      <c r="BE42" s="203">
        <v>0.26</v>
      </c>
      <c r="BF42" s="109">
        <f t="shared" si="17"/>
        <v>0</v>
      </c>
      <c r="BG42" s="84">
        <f t="shared" si="18"/>
        <v>0</v>
      </c>
      <c r="BH42" s="197"/>
      <c r="BI42" s="517"/>
      <c r="BJ42" s="65"/>
      <c r="BK42" s="81">
        <f t="shared" si="19"/>
        <v>0</v>
      </c>
      <c r="BL42" s="65"/>
      <c r="BM42" s="65"/>
      <c r="BN42" s="204"/>
      <c r="BO42" s="109">
        <f>($O42/Dashboard!$D$15)*(1+Dashboard!$D$19)</f>
        <v>0</v>
      </c>
      <c r="BP42" s="84">
        <f t="shared" si="20"/>
        <v>0</v>
      </c>
      <c r="BQ42" s="65"/>
      <c r="BR42" s="65"/>
      <c r="BS42" s="204"/>
      <c r="BT42" s="109">
        <f>($O42/Dashboard!$D$15)*(1+Dashboard!$D$20)</f>
        <v>0</v>
      </c>
      <c r="BU42" s="84">
        <f t="shared" si="21"/>
        <v>0</v>
      </c>
      <c r="BV42" s="65"/>
      <c r="BW42" s="65"/>
      <c r="BX42" s="204"/>
      <c r="BY42" s="109">
        <f>($O42/Dashboard!$D$15)*(1+Dashboard!$D$21)</f>
        <v>0</v>
      </c>
      <c r="BZ42" s="84">
        <f t="shared" si="22"/>
        <v>0</v>
      </c>
    </row>
    <row r="43" spans="2:78" ht="12" hidden="1" customHeight="1" outlineLevel="1">
      <c r="B43" s="137" t="str">
        <f>'Cronog. e Histog.'!B798</f>
        <v>Técnico de Segurança - SSMA</v>
      </c>
      <c r="C43" s="65"/>
      <c r="D43" s="200">
        <f t="shared" si="2"/>
        <v>0</v>
      </c>
      <c r="E43" s="200">
        <f t="shared" si="3"/>
        <v>0</v>
      </c>
      <c r="F43" s="65"/>
      <c r="G43" s="200">
        <f t="shared" si="4"/>
        <v>0</v>
      </c>
      <c r="H43" s="200">
        <f t="shared" si="5"/>
        <v>0</v>
      </c>
      <c r="I43" s="65"/>
      <c r="J43" s="143" t="str">
        <f>IF('Cronog. e Histog.'!F798&gt;0,'Cronog. e Histog.'!F798,"")</f>
        <v>Técnico de Segurança</v>
      </c>
      <c r="K43" s="65"/>
      <c r="L43" s="144">
        <f>IF('Cronog. e Histog.'!H798&gt;0,'Cronog. e Histog.'!H798,0)</f>
        <v>0</v>
      </c>
      <c r="M43" s="144">
        <f>IF('Cronog. e Histog.'!I798&gt;0,'Cronog. e Histog.'!I798,0)</f>
        <v>0</v>
      </c>
      <c r="N43" s="65"/>
      <c r="O43" s="109">
        <f>_xlfn.XLOOKUP(B43,Salários!B:B,Salários!K:K)</f>
        <v>0</v>
      </c>
      <c r="P43" s="109">
        <f t="shared" si="6"/>
        <v>0</v>
      </c>
      <c r="Q43" s="109">
        <f t="shared" si="7"/>
        <v>0</v>
      </c>
      <c r="R43" s="65"/>
      <c r="S43" s="109">
        <f t="shared" si="23"/>
        <v>0</v>
      </c>
      <c r="T43" s="201" t="str">
        <f>IF(_xlfn.XLOOKUP(B43,Salários!B:B,Salários!I:I)&gt;0,_xlfn.XLOOKUP(B43,Salários!B:B,Salários!I:I),"")</f>
        <v/>
      </c>
      <c r="U43" s="117">
        <f t="shared" si="1"/>
        <v>0</v>
      </c>
      <c r="V43" s="65"/>
      <c r="W43" s="202"/>
      <c r="X43" s="65"/>
      <c r="Y43" s="69"/>
      <c r="Z43" s="65"/>
      <c r="AA43" s="517"/>
      <c r="AB43" s="65"/>
      <c r="AC43" s="81">
        <f t="shared" si="8"/>
        <v>0</v>
      </c>
      <c r="AD43" s="65"/>
      <c r="AE43" s="112"/>
      <c r="AF43" s="203">
        <v>0.3</v>
      </c>
      <c r="AG43" s="109">
        <f t="shared" si="9"/>
        <v>0</v>
      </c>
      <c r="AH43" s="84">
        <f t="shared" si="10"/>
        <v>0</v>
      </c>
      <c r="AI43" s="65"/>
      <c r="AJ43" s="112"/>
      <c r="AK43" s="122"/>
      <c r="AL43" s="109">
        <v>1212</v>
      </c>
      <c r="AM43" s="84">
        <f t="shared" si="11"/>
        <v>0</v>
      </c>
      <c r="AN43" s="65"/>
      <c r="AO43" s="112"/>
      <c r="AP43" s="204"/>
      <c r="AQ43" s="109">
        <f>IFERROR((O43+AH43+AM43)/Dashboard!$D$15,0)*0.2</f>
        <v>0</v>
      </c>
      <c r="AR43" s="84">
        <f t="shared" si="24"/>
        <v>0</v>
      </c>
      <c r="AS43" s="65"/>
      <c r="AT43" s="112"/>
      <c r="AU43" s="203">
        <v>0.33</v>
      </c>
      <c r="AV43" s="109">
        <f t="shared" si="13"/>
        <v>0</v>
      </c>
      <c r="AW43" s="84">
        <f t="shared" si="14"/>
        <v>0</v>
      </c>
      <c r="AX43" s="65"/>
      <c r="AY43" s="112"/>
      <c r="AZ43" s="203">
        <v>0.25</v>
      </c>
      <c r="BA43" s="109">
        <f t="shared" si="15"/>
        <v>0</v>
      </c>
      <c r="BB43" s="84">
        <f t="shared" si="16"/>
        <v>0</v>
      </c>
      <c r="BC43" s="65"/>
      <c r="BD43" s="112"/>
      <c r="BE43" s="203">
        <v>0.26</v>
      </c>
      <c r="BF43" s="109">
        <f t="shared" si="17"/>
        <v>0</v>
      </c>
      <c r="BG43" s="84">
        <f t="shared" si="18"/>
        <v>0</v>
      </c>
      <c r="BH43" s="197"/>
      <c r="BI43" s="517"/>
      <c r="BJ43" s="65"/>
      <c r="BK43" s="81">
        <f t="shared" si="19"/>
        <v>0</v>
      </c>
      <c r="BL43" s="65"/>
      <c r="BM43" s="65"/>
      <c r="BN43" s="204"/>
      <c r="BO43" s="109">
        <f>($O43/Dashboard!$D$15)*(1+Dashboard!$D$19)</f>
        <v>0</v>
      </c>
      <c r="BP43" s="84">
        <f t="shared" si="20"/>
        <v>0</v>
      </c>
      <c r="BQ43" s="65"/>
      <c r="BR43" s="65"/>
      <c r="BS43" s="204"/>
      <c r="BT43" s="109">
        <f>($O43/Dashboard!$D$15)*(1+Dashboard!$D$20)</f>
        <v>0</v>
      </c>
      <c r="BU43" s="84">
        <f t="shared" si="21"/>
        <v>0</v>
      </c>
      <c r="BV43" s="65"/>
      <c r="BW43" s="65"/>
      <c r="BX43" s="204"/>
      <c r="BY43" s="109">
        <f>($O43/Dashboard!$D$15)*(1+Dashboard!$D$21)</f>
        <v>0</v>
      </c>
      <c r="BZ43" s="84">
        <f t="shared" si="22"/>
        <v>0</v>
      </c>
    </row>
    <row r="44" spans="2:78" ht="12" hidden="1" customHeight="1" outlineLevel="1">
      <c r="B44" s="137" t="str">
        <f>'Cronog. e Histog.'!B799</f>
        <v>Auxiliar de Segurança - SSMA</v>
      </c>
      <c r="C44" s="65"/>
      <c r="D44" s="200">
        <f t="shared" si="2"/>
        <v>0</v>
      </c>
      <c r="E44" s="200">
        <f t="shared" si="3"/>
        <v>0</v>
      </c>
      <c r="F44" s="65"/>
      <c r="G44" s="200">
        <f t="shared" si="4"/>
        <v>0</v>
      </c>
      <c r="H44" s="200">
        <f t="shared" si="5"/>
        <v>0</v>
      </c>
      <c r="I44" s="65"/>
      <c r="J44" s="143" t="str">
        <f>IF('Cronog. e Histog.'!F799&gt;0,'Cronog. e Histog.'!F799,"")</f>
        <v>Auxiliar de Segurança</v>
      </c>
      <c r="K44" s="65"/>
      <c r="L44" s="144">
        <f>IF('Cronog. e Histog.'!H799&gt;0,'Cronog. e Histog.'!H799,0)</f>
        <v>0</v>
      </c>
      <c r="M44" s="144">
        <f>IF('Cronog. e Histog.'!I799&gt;0,'Cronog. e Histog.'!I799,0)</f>
        <v>0</v>
      </c>
      <c r="N44" s="65"/>
      <c r="O44" s="109">
        <f>_xlfn.XLOOKUP(B44,Salários!B:B,Salários!K:K)</f>
        <v>0</v>
      </c>
      <c r="P44" s="109">
        <f t="shared" si="6"/>
        <v>0</v>
      </c>
      <c r="Q44" s="109">
        <f t="shared" si="7"/>
        <v>0</v>
      </c>
      <c r="R44" s="65"/>
      <c r="S44" s="109">
        <f t="shared" si="23"/>
        <v>0</v>
      </c>
      <c r="T44" s="201" t="str">
        <f>IF(_xlfn.XLOOKUP(B44,Salários!B:B,Salários!I:I)&gt;0,_xlfn.XLOOKUP(B44,Salários!B:B,Salários!I:I),"")</f>
        <v/>
      </c>
      <c r="U44" s="117">
        <f t="shared" si="1"/>
        <v>0</v>
      </c>
      <c r="V44" s="65"/>
      <c r="W44" s="202"/>
      <c r="X44" s="65"/>
      <c r="Y44" s="69"/>
      <c r="Z44" s="65"/>
      <c r="AA44" s="517"/>
      <c r="AB44" s="65"/>
      <c r="AC44" s="81">
        <f t="shared" si="8"/>
        <v>0</v>
      </c>
      <c r="AD44" s="65"/>
      <c r="AE44" s="112"/>
      <c r="AF44" s="203">
        <v>0.3</v>
      </c>
      <c r="AG44" s="109">
        <f t="shared" si="9"/>
        <v>0</v>
      </c>
      <c r="AH44" s="84">
        <f t="shared" si="10"/>
        <v>0</v>
      </c>
      <c r="AI44" s="65"/>
      <c r="AJ44" s="112"/>
      <c r="AK44" s="122"/>
      <c r="AL44" s="109">
        <v>1212</v>
      </c>
      <c r="AM44" s="84">
        <f t="shared" si="11"/>
        <v>0</v>
      </c>
      <c r="AN44" s="65"/>
      <c r="AO44" s="112"/>
      <c r="AP44" s="204"/>
      <c r="AQ44" s="109">
        <f>IFERROR((O44+AH44+AM44)/Dashboard!$D$15,0)*0.2</f>
        <v>0</v>
      </c>
      <c r="AR44" s="84">
        <f t="shared" si="24"/>
        <v>0</v>
      </c>
      <c r="AS44" s="65"/>
      <c r="AT44" s="112"/>
      <c r="AU44" s="203">
        <v>0.33</v>
      </c>
      <c r="AV44" s="109">
        <f t="shared" si="13"/>
        <v>0</v>
      </c>
      <c r="AW44" s="84">
        <f t="shared" si="14"/>
        <v>0</v>
      </c>
      <c r="AX44" s="65"/>
      <c r="AY44" s="112"/>
      <c r="AZ44" s="203">
        <v>0.25</v>
      </c>
      <c r="BA44" s="109">
        <f t="shared" si="15"/>
        <v>0</v>
      </c>
      <c r="BB44" s="84">
        <f t="shared" si="16"/>
        <v>0</v>
      </c>
      <c r="BC44" s="65"/>
      <c r="BD44" s="112"/>
      <c r="BE44" s="203">
        <v>0.26</v>
      </c>
      <c r="BF44" s="109">
        <f t="shared" si="17"/>
        <v>0</v>
      </c>
      <c r="BG44" s="84">
        <f t="shared" si="18"/>
        <v>0</v>
      </c>
      <c r="BH44" s="197"/>
      <c r="BI44" s="517"/>
      <c r="BJ44" s="65"/>
      <c r="BK44" s="81">
        <f t="shared" si="19"/>
        <v>0</v>
      </c>
      <c r="BL44" s="65"/>
      <c r="BM44" s="65"/>
      <c r="BN44" s="204"/>
      <c r="BO44" s="109">
        <f>($O44/Dashboard!$D$15)*(1+Dashboard!$D$19)</f>
        <v>0</v>
      </c>
      <c r="BP44" s="84">
        <f t="shared" si="20"/>
        <v>0</v>
      </c>
      <c r="BQ44" s="65"/>
      <c r="BR44" s="65"/>
      <c r="BS44" s="204"/>
      <c r="BT44" s="109">
        <f>($O44/Dashboard!$D$15)*(1+Dashboard!$D$20)</f>
        <v>0</v>
      </c>
      <c r="BU44" s="84">
        <f t="shared" si="21"/>
        <v>0</v>
      </c>
      <c r="BV44" s="65"/>
      <c r="BW44" s="65"/>
      <c r="BX44" s="204"/>
      <c r="BY44" s="109">
        <f>($O44/Dashboard!$D$15)*(1+Dashboard!$D$21)</f>
        <v>0</v>
      </c>
      <c r="BZ44" s="84">
        <f t="shared" si="22"/>
        <v>0</v>
      </c>
    </row>
    <row r="45" spans="2:78" ht="12" hidden="1" customHeight="1" outlineLevel="1">
      <c r="B45" s="137" t="str">
        <f>'Cronog. e Histog.'!B800</f>
        <v>Técnico de Meio Ambiente - SSMA</v>
      </c>
      <c r="C45" s="65"/>
      <c r="D45" s="200">
        <f t="shared" si="2"/>
        <v>0</v>
      </c>
      <c r="E45" s="200">
        <f t="shared" si="3"/>
        <v>0</v>
      </c>
      <c r="F45" s="65"/>
      <c r="G45" s="200">
        <f t="shared" si="4"/>
        <v>0</v>
      </c>
      <c r="H45" s="200">
        <f t="shared" si="5"/>
        <v>0</v>
      </c>
      <c r="I45" s="65"/>
      <c r="J45" s="143" t="str">
        <f>IF('Cronog. e Histog.'!F800&gt;0,'Cronog. e Histog.'!F800,"")</f>
        <v>Técnico de Meio Ambiente</v>
      </c>
      <c r="K45" s="65"/>
      <c r="L45" s="144">
        <f>IF('Cronog. e Histog.'!H800&gt;0,'Cronog. e Histog.'!H800,0)</f>
        <v>0</v>
      </c>
      <c r="M45" s="144">
        <f>IF('Cronog. e Histog.'!I800&gt;0,'Cronog. e Histog.'!I800,0)</f>
        <v>0</v>
      </c>
      <c r="N45" s="65"/>
      <c r="O45" s="109">
        <f>_xlfn.XLOOKUP(B45,Salários!B:B,Salários!K:K)</f>
        <v>0</v>
      </c>
      <c r="P45" s="109">
        <f t="shared" si="6"/>
        <v>0</v>
      </c>
      <c r="Q45" s="109">
        <f t="shared" si="7"/>
        <v>0</v>
      </c>
      <c r="R45" s="65"/>
      <c r="S45" s="109">
        <f t="shared" si="23"/>
        <v>0</v>
      </c>
      <c r="T45" s="201" t="str">
        <f>IF(_xlfn.XLOOKUP(B45,Salários!B:B,Salários!I:I)&gt;0,_xlfn.XLOOKUP(B45,Salários!B:B,Salários!I:I),"")</f>
        <v/>
      </c>
      <c r="U45" s="117">
        <f t="shared" si="1"/>
        <v>0</v>
      </c>
      <c r="V45" s="65"/>
      <c r="W45" s="202"/>
      <c r="X45" s="65"/>
      <c r="Y45" s="69"/>
      <c r="Z45" s="65"/>
      <c r="AA45" s="517"/>
      <c r="AB45" s="65"/>
      <c r="AC45" s="81">
        <f t="shared" si="8"/>
        <v>0</v>
      </c>
      <c r="AD45" s="65"/>
      <c r="AE45" s="112"/>
      <c r="AF45" s="203">
        <v>0.3</v>
      </c>
      <c r="AG45" s="109">
        <f t="shared" si="9"/>
        <v>0</v>
      </c>
      <c r="AH45" s="84">
        <f t="shared" si="10"/>
        <v>0</v>
      </c>
      <c r="AI45" s="65"/>
      <c r="AJ45" s="112"/>
      <c r="AK45" s="122"/>
      <c r="AL45" s="109">
        <v>1212</v>
      </c>
      <c r="AM45" s="84">
        <f t="shared" si="11"/>
        <v>0</v>
      </c>
      <c r="AN45" s="65"/>
      <c r="AO45" s="112"/>
      <c r="AP45" s="204"/>
      <c r="AQ45" s="109">
        <f>IFERROR((O45+AH45+AM45)/Dashboard!$D$15,0)*0.2</f>
        <v>0</v>
      </c>
      <c r="AR45" s="84">
        <f t="shared" si="24"/>
        <v>0</v>
      </c>
      <c r="AS45" s="65"/>
      <c r="AT45" s="112"/>
      <c r="AU45" s="203">
        <v>0.33</v>
      </c>
      <c r="AV45" s="109">
        <f t="shared" si="13"/>
        <v>0</v>
      </c>
      <c r="AW45" s="84">
        <f t="shared" si="14"/>
        <v>0</v>
      </c>
      <c r="AX45" s="65"/>
      <c r="AY45" s="112"/>
      <c r="AZ45" s="203">
        <v>0.25</v>
      </c>
      <c r="BA45" s="109">
        <f t="shared" si="15"/>
        <v>0</v>
      </c>
      <c r="BB45" s="84">
        <f t="shared" si="16"/>
        <v>0</v>
      </c>
      <c r="BC45" s="65"/>
      <c r="BD45" s="112"/>
      <c r="BE45" s="203">
        <v>0.26</v>
      </c>
      <c r="BF45" s="109">
        <f t="shared" si="17"/>
        <v>0</v>
      </c>
      <c r="BG45" s="84">
        <f t="shared" si="18"/>
        <v>0</v>
      </c>
      <c r="BH45" s="197"/>
      <c r="BI45" s="517"/>
      <c r="BJ45" s="65"/>
      <c r="BK45" s="81">
        <f t="shared" si="19"/>
        <v>0</v>
      </c>
      <c r="BL45" s="65"/>
      <c r="BM45" s="65"/>
      <c r="BN45" s="204"/>
      <c r="BO45" s="109">
        <f>($O45/Dashboard!$D$15)*(1+Dashboard!$D$19)</f>
        <v>0</v>
      </c>
      <c r="BP45" s="84">
        <f t="shared" si="20"/>
        <v>0</v>
      </c>
      <c r="BQ45" s="65"/>
      <c r="BR45" s="65"/>
      <c r="BS45" s="204"/>
      <c r="BT45" s="109">
        <f>($O45/Dashboard!$D$15)*(1+Dashboard!$D$20)</f>
        <v>0</v>
      </c>
      <c r="BU45" s="84">
        <f t="shared" si="21"/>
        <v>0</v>
      </c>
      <c r="BV45" s="65"/>
      <c r="BW45" s="65"/>
      <c r="BX45" s="204"/>
      <c r="BY45" s="109">
        <f>($O45/Dashboard!$D$15)*(1+Dashboard!$D$21)</f>
        <v>0</v>
      </c>
      <c r="BZ45" s="84">
        <f t="shared" si="22"/>
        <v>0</v>
      </c>
    </row>
    <row r="46" spans="2:78" ht="12" hidden="1" customHeight="1" outlineLevel="1">
      <c r="B46" s="137" t="str">
        <f>'Cronog. e Histog.'!B801</f>
        <v/>
      </c>
      <c r="C46" s="65"/>
      <c r="D46" s="200">
        <f t="shared" si="2"/>
        <v>0</v>
      </c>
      <c r="E46" s="200">
        <f t="shared" si="3"/>
        <v>0</v>
      </c>
      <c r="F46" s="65"/>
      <c r="G46" s="200">
        <f t="shared" si="4"/>
        <v>0</v>
      </c>
      <c r="H46" s="200">
        <f t="shared" si="5"/>
        <v>0</v>
      </c>
      <c r="I46" s="65"/>
      <c r="J46" s="143" t="str">
        <f>IF('Cronog. e Histog.'!F801&gt;0,'Cronog. e Histog.'!F801,"")</f>
        <v/>
      </c>
      <c r="K46" s="65"/>
      <c r="L46" s="144">
        <f>IF('Cronog. e Histog.'!H801&gt;0,'Cronog. e Histog.'!H801,0)</f>
        <v>0</v>
      </c>
      <c r="M46" s="144">
        <f>IF('Cronog. e Histog.'!I801&gt;0,'Cronog. e Histog.'!I801,0)</f>
        <v>0</v>
      </c>
      <c r="N46" s="65"/>
      <c r="O46" s="109">
        <f>_xlfn.XLOOKUP(B46,Salários!B:B,Salários!K:K)</f>
        <v>0</v>
      </c>
      <c r="P46" s="109">
        <f t="shared" si="6"/>
        <v>0</v>
      </c>
      <c r="Q46" s="109">
        <f t="shared" si="7"/>
        <v>0</v>
      </c>
      <c r="R46" s="65"/>
      <c r="S46" s="109">
        <f t="shared" si="23"/>
        <v>0</v>
      </c>
      <c r="T46" s="201" t="str">
        <f>IF(_xlfn.XLOOKUP(B46,Salários!B:B,Salários!I:I)&gt;0,_xlfn.XLOOKUP(B46,Salários!B:B,Salários!I:I),"")</f>
        <v/>
      </c>
      <c r="U46" s="117">
        <f t="shared" si="1"/>
        <v>0</v>
      </c>
      <c r="V46" s="65"/>
      <c r="W46" s="202"/>
      <c r="X46" s="65"/>
      <c r="Y46" s="69"/>
      <c r="Z46" s="65"/>
      <c r="AA46" s="517"/>
      <c r="AB46" s="65"/>
      <c r="AC46" s="81">
        <f t="shared" si="8"/>
        <v>0</v>
      </c>
      <c r="AD46" s="65"/>
      <c r="AE46" s="112"/>
      <c r="AF46" s="203">
        <v>0.3</v>
      </c>
      <c r="AG46" s="109">
        <f t="shared" si="9"/>
        <v>0</v>
      </c>
      <c r="AH46" s="84">
        <f t="shared" si="10"/>
        <v>0</v>
      </c>
      <c r="AI46" s="65"/>
      <c r="AJ46" s="112"/>
      <c r="AK46" s="122"/>
      <c r="AL46" s="109">
        <v>1212</v>
      </c>
      <c r="AM46" s="84">
        <f t="shared" si="11"/>
        <v>0</v>
      </c>
      <c r="AN46" s="65"/>
      <c r="AO46" s="112"/>
      <c r="AP46" s="204"/>
      <c r="AQ46" s="109">
        <f>IFERROR((O46+AH46+AM46)/Dashboard!$D$15,0)*0.2</f>
        <v>0</v>
      </c>
      <c r="AR46" s="84">
        <f t="shared" si="24"/>
        <v>0</v>
      </c>
      <c r="AS46" s="65"/>
      <c r="AT46" s="112"/>
      <c r="AU46" s="203">
        <v>0.33</v>
      </c>
      <c r="AV46" s="109">
        <f t="shared" si="13"/>
        <v>0</v>
      </c>
      <c r="AW46" s="84">
        <f t="shared" si="14"/>
        <v>0</v>
      </c>
      <c r="AX46" s="65"/>
      <c r="AY46" s="112"/>
      <c r="AZ46" s="203">
        <v>0.25</v>
      </c>
      <c r="BA46" s="109">
        <f t="shared" si="15"/>
        <v>0</v>
      </c>
      <c r="BB46" s="84">
        <f t="shared" si="16"/>
        <v>0</v>
      </c>
      <c r="BC46" s="65"/>
      <c r="BD46" s="112"/>
      <c r="BE46" s="203">
        <v>0.26</v>
      </c>
      <c r="BF46" s="109">
        <f t="shared" si="17"/>
        <v>0</v>
      </c>
      <c r="BG46" s="84">
        <f t="shared" si="18"/>
        <v>0</v>
      </c>
      <c r="BH46" s="197"/>
      <c r="BI46" s="517"/>
      <c r="BJ46" s="65"/>
      <c r="BK46" s="81">
        <f t="shared" si="19"/>
        <v>0</v>
      </c>
      <c r="BL46" s="65"/>
      <c r="BM46" s="65"/>
      <c r="BN46" s="204"/>
      <c r="BO46" s="109">
        <f>($O46/Dashboard!$D$15)*(1+Dashboard!$D$19)</f>
        <v>0</v>
      </c>
      <c r="BP46" s="84">
        <f t="shared" si="20"/>
        <v>0</v>
      </c>
      <c r="BQ46" s="65"/>
      <c r="BR46" s="65"/>
      <c r="BS46" s="204"/>
      <c r="BT46" s="109">
        <f>($O46/Dashboard!$D$15)*(1+Dashboard!$D$20)</f>
        <v>0</v>
      </c>
      <c r="BU46" s="84">
        <f t="shared" si="21"/>
        <v>0</v>
      </c>
      <c r="BV46" s="65"/>
      <c r="BW46" s="65"/>
      <c r="BX46" s="204"/>
      <c r="BY46" s="109">
        <f>($O46/Dashboard!$D$15)*(1+Dashboard!$D$21)</f>
        <v>0</v>
      </c>
      <c r="BZ46" s="84">
        <f t="shared" si="22"/>
        <v>0</v>
      </c>
    </row>
    <row r="47" spans="2:78" ht="12" hidden="1" customHeight="1" outlineLevel="1">
      <c r="B47" s="137" t="str">
        <f>'Cronog. e Histog.'!B802</f>
        <v/>
      </c>
      <c r="C47" s="65"/>
      <c r="D47" s="200">
        <f t="shared" si="2"/>
        <v>0</v>
      </c>
      <c r="E47" s="200">
        <f t="shared" si="3"/>
        <v>0</v>
      </c>
      <c r="F47" s="65"/>
      <c r="G47" s="200">
        <f t="shared" si="4"/>
        <v>0</v>
      </c>
      <c r="H47" s="200">
        <f t="shared" si="5"/>
        <v>0</v>
      </c>
      <c r="I47" s="65"/>
      <c r="J47" s="143" t="str">
        <f>IF('Cronog. e Histog.'!F802&gt;0,'Cronog. e Histog.'!F802,"")</f>
        <v/>
      </c>
      <c r="K47" s="65"/>
      <c r="L47" s="144">
        <f>IF('Cronog. e Histog.'!H802&gt;0,'Cronog. e Histog.'!H802,0)</f>
        <v>0</v>
      </c>
      <c r="M47" s="144">
        <f>IF('Cronog. e Histog.'!I802&gt;0,'Cronog. e Histog.'!I802,0)</f>
        <v>0</v>
      </c>
      <c r="N47" s="65"/>
      <c r="O47" s="109">
        <f>_xlfn.XLOOKUP(B47,Salários!B:B,Salários!K:K)</f>
        <v>0</v>
      </c>
      <c r="P47" s="109">
        <f t="shared" si="6"/>
        <v>0</v>
      </c>
      <c r="Q47" s="109">
        <f t="shared" si="7"/>
        <v>0</v>
      </c>
      <c r="R47" s="65"/>
      <c r="S47" s="109">
        <f t="shared" si="23"/>
        <v>0</v>
      </c>
      <c r="T47" s="201" t="str">
        <f>IF(_xlfn.XLOOKUP(B47,Salários!B:B,Salários!I:I)&gt;0,_xlfn.XLOOKUP(B47,Salários!B:B,Salários!I:I),"")</f>
        <v/>
      </c>
      <c r="U47" s="117">
        <f t="shared" si="1"/>
        <v>0</v>
      </c>
      <c r="V47" s="65"/>
      <c r="W47" s="202"/>
      <c r="X47" s="65"/>
      <c r="Y47" s="69"/>
      <c r="Z47" s="65"/>
      <c r="AA47" s="517"/>
      <c r="AB47" s="65"/>
      <c r="AC47" s="81">
        <f t="shared" si="8"/>
        <v>0</v>
      </c>
      <c r="AD47" s="65"/>
      <c r="AE47" s="112"/>
      <c r="AF47" s="203">
        <v>0.3</v>
      </c>
      <c r="AG47" s="109">
        <f t="shared" si="9"/>
        <v>0</v>
      </c>
      <c r="AH47" s="84">
        <f t="shared" si="10"/>
        <v>0</v>
      </c>
      <c r="AI47" s="65"/>
      <c r="AJ47" s="112"/>
      <c r="AK47" s="122"/>
      <c r="AL47" s="109">
        <v>1212</v>
      </c>
      <c r="AM47" s="84">
        <f t="shared" si="11"/>
        <v>0</v>
      </c>
      <c r="AN47" s="65"/>
      <c r="AO47" s="112"/>
      <c r="AP47" s="204"/>
      <c r="AQ47" s="109">
        <f>IFERROR((O47+AH47+AM47)/Dashboard!$D$15,0)*0.2</f>
        <v>0</v>
      </c>
      <c r="AR47" s="84">
        <f t="shared" si="24"/>
        <v>0</v>
      </c>
      <c r="AS47" s="65"/>
      <c r="AT47" s="112"/>
      <c r="AU47" s="203">
        <v>0.33</v>
      </c>
      <c r="AV47" s="109">
        <f t="shared" si="13"/>
        <v>0</v>
      </c>
      <c r="AW47" s="84">
        <f t="shared" si="14"/>
        <v>0</v>
      </c>
      <c r="AX47" s="65"/>
      <c r="AY47" s="112"/>
      <c r="AZ47" s="203">
        <v>0.25</v>
      </c>
      <c r="BA47" s="109">
        <f t="shared" si="15"/>
        <v>0</v>
      </c>
      <c r="BB47" s="84">
        <f t="shared" si="16"/>
        <v>0</v>
      </c>
      <c r="BC47" s="65"/>
      <c r="BD47" s="112"/>
      <c r="BE47" s="203">
        <v>0.26</v>
      </c>
      <c r="BF47" s="109">
        <f t="shared" si="17"/>
        <v>0</v>
      </c>
      <c r="BG47" s="84">
        <f t="shared" si="18"/>
        <v>0</v>
      </c>
      <c r="BH47" s="197"/>
      <c r="BI47" s="517"/>
      <c r="BJ47" s="65"/>
      <c r="BK47" s="81">
        <f t="shared" si="19"/>
        <v>0</v>
      </c>
      <c r="BL47" s="65"/>
      <c r="BM47" s="65"/>
      <c r="BN47" s="204"/>
      <c r="BO47" s="109">
        <f>($O47/Dashboard!$D$15)*(1+Dashboard!$D$19)</f>
        <v>0</v>
      </c>
      <c r="BP47" s="84">
        <f t="shared" si="20"/>
        <v>0</v>
      </c>
      <c r="BQ47" s="65"/>
      <c r="BR47" s="65"/>
      <c r="BS47" s="204"/>
      <c r="BT47" s="109">
        <f>($O47/Dashboard!$D$15)*(1+Dashboard!$D$20)</f>
        <v>0</v>
      </c>
      <c r="BU47" s="84">
        <f t="shared" si="21"/>
        <v>0</v>
      </c>
      <c r="BV47" s="65"/>
      <c r="BW47" s="65"/>
      <c r="BX47" s="204"/>
      <c r="BY47" s="109">
        <f>($O47/Dashboard!$D$15)*(1+Dashboard!$D$21)</f>
        <v>0</v>
      </c>
      <c r="BZ47" s="84">
        <f t="shared" si="22"/>
        <v>0</v>
      </c>
    </row>
    <row r="48" spans="2:78" ht="12" hidden="1" customHeight="1" outlineLevel="1">
      <c r="B48" s="137" t="str">
        <f>'Cronog. e Histog.'!B803</f>
        <v/>
      </c>
      <c r="C48" s="65"/>
      <c r="D48" s="200">
        <f t="shared" si="2"/>
        <v>0</v>
      </c>
      <c r="E48" s="200">
        <f t="shared" si="3"/>
        <v>0</v>
      </c>
      <c r="F48" s="65"/>
      <c r="G48" s="200">
        <f t="shared" si="4"/>
        <v>0</v>
      </c>
      <c r="H48" s="200">
        <f t="shared" si="5"/>
        <v>0</v>
      </c>
      <c r="I48" s="65"/>
      <c r="J48" s="143" t="str">
        <f>IF('Cronog. e Histog.'!F803&gt;0,'Cronog. e Histog.'!F803,"")</f>
        <v/>
      </c>
      <c r="K48" s="65"/>
      <c r="L48" s="144">
        <f>IF('Cronog. e Histog.'!H803&gt;0,'Cronog. e Histog.'!H803,0)</f>
        <v>0</v>
      </c>
      <c r="M48" s="144">
        <f>IF('Cronog. e Histog.'!I803&gt;0,'Cronog. e Histog.'!I803,0)</f>
        <v>0</v>
      </c>
      <c r="N48" s="65"/>
      <c r="O48" s="109">
        <f>_xlfn.XLOOKUP(B48,Salários!B:B,Salários!K:K)</f>
        <v>0</v>
      </c>
      <c r="P48" s="109">
        <f t="shared" si="6"/>
        <v>0</v>
      </c>
      <c r="Q48" s="109">
        <f t="shared" si="7"/>
        <v>0</v>
      </c>
      <c r="R48" s="65"/>
      <c r="S48" s="109">
        <f t="shared" si="23"/>
        <v>0</v>
      </c>
      <c r="T48" s="201" t="str">
        <f>IF(_xlfn.XLOOKUP(B48,Salários!B:B,Salários!I:I)&gt;0,_xlfn.XLOOKUP(B48,Salários!B:B,Salários!I:I),"")</f>
        <v/>
      </c>
      <c r="U48" s="117">
        <f t="shared" si="1"/>
        <v>0</v>
      </c>
      <c r="V48" s="65"/>
      <c r="W48" s="202"/>
      <c r="X48" s="65"/>
      <c r="Y48" s="69"/>
      <c r="Z48" s="65"/>
      <c r="AA48" s="517"/>
      <c r="AB48" s="65"/>
      <c r="AC48" s="81">
        <f t="shared" si="8"/>
        <v>0</v>
      </c>
      <c r="AD48" s="65"/>
      <c r="AE48" s="112"/>
      <c r="AF48" s="203">
        <v>0.3</v>
      </c>
      <c r="AG48" s="109">
        <f t="shared" si="9"/>
        <v>0</v>
      </c>
      <c r="AH48" s="84">
        <f t="shared" si="10"/>
        <v>0</v>
      </c>
      <c r="AI48" s="65"/>
      <c r="AJ48" s="112"/>
      <c r="AK48" s="122"/>
      <c r="AL48" s="109">
        <v>1212</v>
      </c>
      <c r="AM48" s="84">
        <f t="shared" si="11"/>
        <v>0</v>
      </c>
      <c r="AN48" s="65"/>
      <c r="AO48" s="112"/>
      <c r="AP48" s="204"/>
      <c r="AQ48" s="109">
        <f>IFERROR((O48+AH48+AM48)/Dashboard!$D$15,0)*0.2</f>
        <v>0</v>
      </c>
      <c r="AR48" s="84">
        <f t="shared" si="24"/>
        <v>0</v>
      </c>
      <c r="AS48" s="65"/>
      <c r="AT48" s="112"/>
      <c r="AU48" s="203">
        <v>0.33</v>
      </c>
      <c r="AV48" s="109">
        <f t="shared" si="13"/>
        <v>0</v>
      </c>
      <c r="AW48" s="84">
        <f t="shared" si="14"/>
        <v>0</v>
      </c>
      <c r="AX48" s="65"/>
      <c r="AY48" s="112"/>
      <c r="AZ48" s="203">
        <v>0.25</v>
      </c>
      <c r="BA48" s="109">
        <f t="shared" si="15"/>
        <v>0</v>
      </c>
      <c r="BB48" s="84">
        <f t="shared" si="16"/>
        <v>0</v>
      </c>
      <c r="BC48" s="65"/>
      <c r="BD48" s="112"/>
      <c r="BE48" s="203">
        <v>0.26</v>
      </c>
      <c r="BF48" s="109">
        <f t="shared" si="17"/>
        <v>0</v>
      </c>
      <c r="BG48" s="84">
        <f t="shared" si="18"/>
        <v>0</v>
      </c>
      <c r="BH48" s="197"/>
      <c r="BI48" s="517"/>
      <c r="BJ48" s="65"/>
      <c r="BK48" s="81">
        <f t="shared" si="19"/>
        <v>0</v>
      </c>
      <c r="BL48" s="65"/>
      <c r="BM48" s="65"/>
      <c r="BN48" s="204"/>
      <c r="BO48" s="109">
        <f>($O48/Dashboard!$D$15)*(1+Dashboard!$D$19)</f>
        <v>0</v>
      </c>
      <c r="BP48" s="84">
        <f t="shared" si="20"/>
        <v>0</v>
      </c>
      <c r="BQ48" s="65"/>
      <c r="BR48" s="65"/>
      <c r="BS48" s="204"/>
      <c r="BT48" s="109">
        <f>($O48/Dashboard!$D$15)*(1+Dashboard!$D$20)</f>
        <v>0</v>
      </c>
      <c r="BU48" s="84">
        <f t="shared" si="21"/>
        <v>0</v>
      </c>
      <c r="BV48" s="65"/>
      <c r="BW48" s="65"/>
      <c r="BX48" s="204"/>
      <c r="BY48" s="109">
        <f>($O48/Dashboard!$D$15)*(1+Dashboard!$D$21)</f>
        <v>0</v>
      </c>
      <c r="BZ48" s="84">
        <f t="shared" si="22"/>
        <v>0</v>
      </c>
    </row>
    <row r="49" spans="2:78" ht="12" hidden="1" customHeight="1" outlineLevel="1">
      <c r="B49" s="137" t="str">
        <f>'Cronog. e Histog.'!B805</f>
        <v>Médico do Trabalho - Medicina do Trabalho</v>
      </c>
      <c r="C49" s="65"/>
      <c r="D49" s="200">
        <f t="shared" si="2"/>
        <v>0</v>
      </c>
      <c r="E49" s="200">
        <f t="shared" si="3"/>
        <v>0</v>
      </c>
      <c r="F49" s="65"/>
      <c r="G49" s="200">
        <f t="shared" si="4"/>
        <v>0</v>
      </c>
      <c r="H49" s="200">
        <f t="shared" si="5"/>
        <v>0</v>
      </c>
      <c r="I49" s="65"/>
      <c r="J49" s="143" t="str">
        <f>IF('Cronog. e Histog.'!F805&gt;0,'Cronog. e Histog.'!F805,"")</f>
        <v>Médico do Trabalho</v>
      </c>
      <c r="K49" s="65"/>
      <c r="L49" s="144">
        <f>IF('Cronog. e Histog.'!H805&gt;0,'Cronog. e Histog.'!H805,0)</f>
        <v>0</v>
      </c>
      <c r="M49" s="144">
        <f>IF('Cronog. e Histog.'!I805&gt;0,'Cronog. e Histog.'!I805,0)</f>
        <v>0</v>
      </c>
      <c r="N49" s="65"/>
      <c r="O49" s="109">
        <f>_xlfn.XLOOKUP(B49,Salários!B:B,Salários!K:K)</f>
        <v>0</v>
      </c>
      <c r="P49" s="109">
        <f t="shared" si="6"/>
        <v>0</v>
      </c>
      <c r="Q49" s="109">
        <f t="shared" si="7"/>
        <v>0</v>
      </c>
      <c r="R49" s="65"/>
      <c r="S49" s="109">
        <f t="shared" si="23"/>
        <v>0</v>
      </c>
      <c r="T49" s="201" t="str">
        <f>IF(_xlfn.XLOOKUP(B49,Salários!B:B,Salários!I:I)&gt;0,_xlfn.XLOOKUP(B49,Salários!B:B,Salários!I:I),"")</f>
        <v/>
      </c>
      <c r="U49" s="117">
        <f t="shared" si="1"/>
        <v>0</v>
      </c>
      <c r="V49" s="65"/>
      <c r="W49" s="202"/>
      <c r="X49" s="65"/>
      <c r="Y49" s="69"/>
      <c r="Z49" s="65"/>
      <c r="AA49" s="517"/>
      <c r="AB49" s="65"/>
      <c r="AC49" s="81">
        <f t="shared" si="8"/>
        <v>0</v>
      </c>
      <c r="AD49" s="65"/>
      <c r="AE49" s="112"/>
      <c r="AF49" s="203">
        <v>0.3</v>
      </c>
      <c r="AG49" s="109">
        <f t="shared" si="9"/>
        <v>0</v>
      </c>
      <c r="AH49" s="84">
        <f t="shared" si="10"/>
        <v>0</v>
      </c>
      <c r="AI49" s="65"/>
      <c r="AJ49" s="112"/>
      <c r="AK49" s="122"/>
      <c r="AL49" s="109">
        <v>1212</v>
      </c>
      <c r="AM49" s="84">
        <f t="shared" si="11"/>
        <v>0</v>
      </c>
      <c r="AN49" s="65"/>
      <c r="AO49" s="112"/>
      <c r="AP49" s="204"/>
      <c r="AQ49" s="109">
        <f>IFERROR((O49+AH49+AM49)/Dashboard!$D$15,0)*0.2</f>
        <v>0</v>
      </c>
      <c r="AR49" s="84">
        <f t="shared" si="24"/>
        <v>0</v>
      </c>
      <c r="AS49" s="65"/>
      <c r="AT49" s="112"/>
      <c r="AU49" s="203">
        <v>0.33</v>
      </c>
      <c r="AV49" s="109">
        <f t="shared" si="13"/>
        <v>0</v>
      </c>
      <c r="AW49" s="84">
        <f t="shared" si="14"/>
        <v>0</v>
      </c>
      <c r="AX49" s="65"/>
      <c r="AY49" s="112"/>
      <c r="AZ49" s="203">
        <v>0.25</v>
      </c>
      <c r="BA49" s="109">
        <f t="shared" si="15"/>
        <v>0</v>
      </c>
      <c r="BB49" s="84">
        <f t="shared" si="16"/>
        <v>0</v>
      </c>
      <c r="BC49" s="65"/>
      <c r="BD49" s="112"/>
      <c r="BE49" s="203">
        <v>0.26</v>
      </c>
      <c r="BF49" s="109">
        <f t="shared" si="17"/>
        <v>0</v>
      </c>
      <c r="BG49" s="84">
        <f t="shared" si="18"/>
        <v>0</v>
      </c>
      <c r="BH49" s="197"/>
      <c r="BI49" s="517"/>
      <c r="BJ49" s="65"/>
      <c r="BK49" s="81">
        <f t="shared" si="19"/>
        <v>0</v>
      </c>
      <c r="BL49" s="65"/>
      <c r="BM49" s="65"/>
      <c r="BN49" s="204"/>
      <c r="BO49" s="109">
        <f>($O49/Dashboard!$D$15)*(1+Dashboard!$D$19)</f>
        <v>0</v>
      </c>
      <c r="BP49" s="84">
        <f t="shared" si="20"/>
        <v>0</v>
      </c>
      <c r="BQ49" s="65"/>
      <c r="BR49" s="65"/>
      <c r="BS49" s="204"/>
      <c r="BT49" s="109">
        <f>($O49/Dashboard!$D$15)*(1+Dashboard!$D$20)</f>
        <v>0</v>
      </c>
      <c r="BU49" s="84">
        <f t="shared" si="21"/>
        <v>0</v>
      </c>
      <c r="BV49" s="65"/>
      <c r="BW49" s="65"/>
      <c r="BX49" s="204"/>
      <c r="BY49" s="109">
        <f>($O49/Dashboard!$D$15)*(1+Dashboard!$D$21)</f>
        <v>0</v>
      </c>
      <c r="BZ49" s="84">
        <f t="shared" si="22"/>
        <v>0</v>
      </c>
    </row>
    <row r="50" spans="2:78" ht="12" hidden="1" customHeight="1" outlineLevel="1">
      <c r="B50" s="137" t="str">
        <f>'Cronog. e Histog.'!B806</f>
        <v>Técnico de Enfermagem do Trabalho - Medicina do Trabalho</v>
      </c>
      <c r="C50" s="65"/>
      <c r="D50" s="200">
        <f t="shared" si="2"/>
        <v>0</v>
      </c>
      <c r="E50" s="200">
        <f t="shared" si="3"/>
        <v>0</v>
      </c>
      <c r="F50" s="65"/>
      <c r="G50" s="200">
        <f t="shared" si="4"/>
        <v>0</v>
      </c>
      <c r="H50" s="200">
        <f t="shared" si="5"/>
        <v>0</v>
      </c>
      <c r="I50" s="65"/>
      <c r="J50" s="143" t="str">
        <f>IF('Cronog. e Histog.'!F806&gt;0,'Cronog. e Histog.'!F806,"")</f>
        <v>Técnico de Enfermagem do Trabalho</v>
      </c>
      <c r="K50" s="65"/>
      <c r="L50" s="144">
        <f>IF('Cronog. e Histog.'!H806&gt;0,'Cronog. e Histog.'!H806,0)</f>
        <v>0</v>
      </c>
      <c r="M50" s="144">
        <f>IF('Cronog. e Histog.'!I806&gt;0,'Cronog. e Histog.'!I806,0)</f>
        <v>0</v>
      </c>
      <c r="N50" s="65"/>
      <c r="O50" s="109">
        <f>_xlfn.XLOOKUP(B50,Salários!B:B,Salários!K:K)</f>
        <v>0</v>
      </c>
      <c r="P50" s="109">
        <f t="shared" si="6"/>
        <v>0</v>
      </c>
      <c r="Q50" s="109">
        <f t="shared" si="7"/>
        <v>0</v>
      </c>
      <c r="R50" s="65"/>
      <c r="S50" s="109">
        <f t="shared" si="23"/>
        <v>0</v>
      </c>
      <c r="T50" s="201" t="str">
        <f>IF(_xlfn.XLOOKUP(B50,Salários!B:B,Salários!I:I)&gt;0,_xlfn.XLOOKUP(B50,Salários!B:B,Salários!I:I),"")</f>
        <v/>
      </c>
      <c r="U50" s="117">
        <f t="shared" si="1"/>
        <v>0</v>
      </c>
      <c r="V50" s="65"/>
      <c r="W50" s="202"/>
      <c r="X50" s="65"/>
      <c r="Y50" s="69"/>
      <c r="Z50" s="65"/>
      <c r="AA50" s="517"/>
      <c r="AB50" s="65"/>
      <c r="AC50" s="81">
        <f t="shared" si="8"/>
        <v>0</v>
      </c>
      <c r="AD50" s="65"/>
      <c r="AE50" s="112"/>
      <c r="AF50" s="203">
        <v>0.3</v>
      </c>
      <c r="AG50" s="109">
        <f t="shared" si="9"/>
        <v>0</v>
      </c>
      <c r="AH50" s="84">
        <f t="shared" si="10"/>
        <v>0</v>
      </c>
      <c r="AI50" s="65"/>
      <c r="AJ50" s="112"/>
      <c r="AK50" s="122"/>
      <c r="AL50" s="109">
        <v>1212</v>
      </c>
      <c r="AM50" s="84">
        <f t="shared" si="11"/>
        <v>0</v>
      </c>
      <c r="AN50" s="65"/>
      <c r="AO50" s="112"/>
      <c r="AP50" s="204"/>
      <c r="AQ50" s="109">
        <f>IFERROR((O50+AH50+AM50)/Dashboard!$D$15,0)*0.2</f>
        <v>0</v>
      </c>
      <c r="AR50" s="84">
        <f t="shared" si="24"/>
        <v>0</v>
      </c>
      <c r="AS50" s="65"/>
      <c r="AT50" s="112"/>
      <c r="AU50" s="203">
        <v>0.33</v>
      </c>
      <c r="AV50" s="109">
        <f t="shared" si="13"/>
        <v>0</v>
      </c>
      <c r="AW50" s="84">
        <f t="shared" si="14"/>
        <v>0</v>
      </c>
      <c r="AX50" s="65"/>
      <c r="AY50" s="112"/>
      <c r="AZ50" s="203">
        <v>0.25</v>
      </c>
      <c r="BA50" s="109">
        <f t="shared" si="15"/>
        <v>0</v>
      </c>
      <c r="BB50" s="84">
        <f t="shared" si="16"/>
        <v>0</v>
      </c>
      <c r="BC50" s="65"/>
      <c r="BD50" s="112"/>
      <c r="BE50" s="203">
        <v>0.26</v>
      </c>
      <c r="BF50" s="109">
        <f t="shared" si="17"/>
        <v>0</v>
      </c>
      <c r="BG50" s="84">
        <f t="shared" si="18"/>
        <v>0</v>
      </c>
      <c r="BH50" s="197"/>
      <c r="BI50" s="517"/>
      <c r="BJ50" s="65"/>
      <c r="BK50" s="81">
        <f t="shared" si="19"/>
        <v>0</v>
      </c>
      <c r="BL50" s="65"/>
      <c r="BM50" s="65"/>
      <c r="BN50" s="204"/>
      <c r="BO50" s="109">
        <f>($O50/Dashboard!$D$15)*(1+Dashboard!$D$19)</f>
        <v>0</v>
      </c>
      <c r="BP50" s="84">
        <f t="shared" si="20"/>
        <v>0</v>
      </c>
      <c r="BQ50" s="65"/>
      <c r="BR50" s="65"/>
      <c r="BS50" s="204"/>
      <c r="BT50" s="109">
        <f>($O50/Dashboard!$D$15)*(1+Dashboard!$D$20)</f>
        <v>0</v>
      </c>
      <c r="BU50" s="84">
        <f t="shared" si="21"/>
        <v>0</v>
      </c>
      <c r="BV50" s="65"/>
      <c r="BW50" s="65"/>
      <c r="BX50" s="204"/>
      <c r="BY50" s="109">
        <f>($O50/Dashboard!$D$15)*(1+Dashboard!$D$21)</f>
        <v>0</v>
      </c>
      <c r="BZ50" s="84">
        <f t="shared" si="22"/>
        <v>0</v>
      </c>
    </row>
    <row r="51" spans="2:78" ht="12" hidden="1" customHeight="1" outlineLevel="1">
      <c r="B51" s="137" t="str">
        <f>'Cronog. e Histog.'!B807</f>
        <v>Enfermeiro do Trabalho - Medicina do Trabalho</v>
      </c>
      <c r="C51" s="65"/>
      <c r="D51" s="200">
        <f t="shared" si="2"/>
        <v>0</v>
      </c>
      <c r="E51" s="200">
        <f t="shared" si="3"/>
        <v>0</v>
      </c>
      <c r="F51" s="65"/>
      <c r="G51" s="200">
        <f t="shared" si="4"/>
        <v>0</v>
      </c>
      <c r="H51" s="200">
        <f t="shared" si="5"/>
        <v>0</v>
      </c>
      <c r="I51" s="65"/>
      <c r="J51" s="143" t="str">
        <f>IF('Cronog. e Histog.'!F807&gt;0,'Cronog. e Histog.'!F807,"")</f>
        <v>Enfermeiro do Trabalho</v>
      </c>
      <c r="K51" s="65"/>
      <c r="L51" s="144">
        <f>IF('Cronog. e Histog.'!H807&gt;0,'Cronog. e Histog.'!H807,0)</f>
        <v>0</v>
      </c>
      <c r="M51" s="144">
        <f>IF('Cronog. e Histog.'!I807&gt;0,'Cronog. e Histog.'!I807,0)</f>
        <v>0</v>
      </c>
      <c r="N51" s="65"/>
      <c r="O51" s="109">
        <f>_xlfn.XLOOKUP(B51,Salários!B:B,Salários!K:K)</f>
        <v>0</v>
      </c>
      <c r="P51" s="109">
        <f t="shared" si="6"/>
        <v>0</v>
      </c>
      <c r="Q51" s="109">
        <f t="shared" si="7"/>
        <v>0</v>
      </c>
      <c r="R51" s="65"/>
      <c r="S51" s="109">
        <f t="shared" si="23"/>
        <v>0</v>
      </c>
      <c r="T51" s="201" t="str">
        <f>IF(_xlfn.XLOOKUP(B51,Salários!B:B,Salários!I:I)&gt;0,_xlfn.XLOOKUP(B51,Salários!B:B,Salários!I:I),"")</f>
        <v/>
      </c>
      <c r="U51" s="117">
        <f t="shared" si="1"/>
        <v>0</v>
      </c>
      <c r="V51" s="65"/>
      <c r="W51" s="202"/>
      <c r="X51" s="65"/>
      <c r="Y51" s="69"/>
      <c r="Z51" s="65"/>
      <c r="AA51" s="517"/>
      <c r="AB51" s="65"/>
      <c r="AC51" s="81">
        <f t="shared" si="8"/>
        <v>0</v>
      </c>
      <c r="AD51" s="65"/>
      <c r="AE51" s="112"/>
      <c r="AF51" s="203">
        <v>0.3</v>
      </c>
      <c r="AG51" s="109">
        <f t="shared" si="9"/>
        <v>0</v>
      </c>
      <c r="AH51" s="84">
        <f t="shared" si="10"/>
        <v>0</v>
      </c>
      <c r="AI51" s="65"/>
      <c r="AJ51" s="112"/>
      <c r="AK51" s="122"/>
      <c r="AL51" s="109">
        <v>1212</v>
      </c>
      <c r="AM51" s="84">
        <f t="shared" si="11"/>
        <v>0</v>
      </c>
      <c r="AN51" s="65"/>
      <c r="AO51" s="112"/>
      <c r="AP51" s="204"/>
      <c r="AQ51" s="109">
        <f>IFERROR((O51+AH51+AM51)/Dashboard!$D$15,0)*0.2</f>
        <v>0</v>
      </c>
      <c r="AR51" s="84">
        <f t="shared" si="24"/>
        <v>0</v>
      </c>
      <c r="AS51" s="65"/>
      <c r="AT51" s="112"/>
      <c r="AU51" s="203">
        <v>0.33</v>
      </c>
      <c r="AV51" s="109">
        <f t="shared" si="13"/>
        <v>0</v>
      </c>
      <c r="AW51" s="84">
        <f t="shared" si="14"/>
        <v>0</v>
      </c>
      <c r="AX51" s="65"/>
      <c r="AY51" s="112"/>
      <c r="AZ51" s="203">
        <v>0.25</v>
      </c>
      <c r="BA51" s="109">
        <f t="shared" si="15"/>
        <v>0</v>
      </c>
      <c r="BB51" s="84">
        <f t="shared" si="16"/>
        <v>0</v>
      </c>
      <c r="BC51" s="65"/>
      <c r="BD51" s="112"/>
      <c r="BE51" s="203">
        <v>0.26</v>
      </c>
      <c r="BF51" s="109">
        <f t="shared" si="17"/>
        <v>0</v>
      </c>
      <c r="BG51" s="84">
        <f t="shared" si="18"/>
        <v>0</v>
      </c>
      <c r="BH51" s="197"/>
      <c r="BI51" s="517"/>
      <c r="BJ51" s="65"/>
      <c r="BK51" s="81">
        <f t="shared" si="19"/>
        <v>0</v>
      </c>
      <c r="BL51" s="65"/>
      <c r="BM51" s="65"/>
      <c r="BN51" s="204"/>
      <c r="BO51" s="109">
        <f>($O51/Dashboard!$D$15)*(1+Dashboard!$D$19)</f>
        <v>0</v>
      </c>
      <c r="BP51" s="84">
        <f t="shared" si="20"/>
        <v>0</v>
      </c>
      <c r="BQ51" s="65"/>
      <c r="BR51" s="65"/>
      <c r="BS51" s="204"/>
      <c r="BT51" s="109">
        <f>($O51/Dashboard!$D$15)*(1+Dashboard!$D$20)</f>
        <v>0</v>
      </c>
      <c r="BU51" s="84">
        <f t="shared" si="21"/>
        <v>0</v>
      </c>
      <c r="BV51" s="65"/>
      <c r="BW51" s="65"/>
      <c r="BX51" s="204"/>
      <c r="BY51" s="109">
        <f>($O51/Dashboard!$D$15)*(1+Dashboard!$D$21)</f>
        <v>0</v>
      </c>
      <c r="BZ51" s="84">
        <f t="shared" si="22"/>
        <v>0</v>
      </c>
    </row>
    <row r="52" spans="2:78" ht="12" hidden="1" customHeight="1" outlineLevel="1">
      <c r="B52" s="137" t="str">
        <f>'Cronog. e Histog.'!B808</f>
        <v>Motorista de Ambulância - Medicina do Trabalho</v>
      </c>
      <c r="C52" s="65"/>
      <c r="D52" s="200">
        <f t="shared" si="2"/>
        <v>0</v>
      </c>
      <c r="E52" s="200">
        <f t="shared" si="3"/>
        <v>0</v>
      </c>
      <c r="F52" s="65"/>
      <c r="G52" s="200">
        <f t="shared" si="4"/>
        <v>0</v>
      </c>
      <c r="H52" s="200">
        <f t="shared" si="5"/>
        <v>0</v>
      </c>
      <c r="I52" s="65"/>
      <c r="J52" s="143" t="str">
        <f>IF('Cronog. e Histog.'!F808&gt;0,'Cronog. e Histog.'!F808,"")</f>
        <v>Motorista de Ambulância</v>
      </c>
      <c r="K52" s="65"/>
      <c r="L52" s="144">
        <f>IF('Cronog. e Histog.'!H808&gt;0,'Cronog. e Histog.'!H808,0)</f>
        <v>0</v>
      </c>
      <c r="M52" s="144">
        <f>IF('Cronog. e Histog.'!I808&gt;0,'Cronog. e Histog.'!I808,0)</f>
        <v>0</v>
      </c>
      <c r="N52" s="65"/>
      <c r="O52" s="109">
        <f>_xlfn.XLOOKUP(B52,Salários!B:B,Salários!K:K)</f>
        <v>0</v>
      </c>
      <c r="P52" s="109">
        <f t="shared" si="6"/>
        <v>0</v>
      </c>
      <c r="Q52" s="109">
        <f t="shared" si="7"/>
        <v>0</v>
      </c>
      <c r="R52" s="65"/>
      <c r="S52" s="109">
        <f t="shared" si="23"/>
        <v>0</v>
      </c>
      <c r="T52" s="201" t="str">
        <f>IF(_xlfn.XLOOKUP(B52,Salários!B:B,Salários!I:I)&gt;0,_xlfn.XLOOKUP(B52,Salários!B:B,Salários!I:I),"")</f>
        <v/>
      </c>
      <c r="U52" s="117">
        <f t="shared" si="1"/>
        <v>0</v>
      </c>
      <c r="V52" s="65"/>
      <c r="W52" s="202"/>
      <c r="X52" s="65"/>
      <c r="Y52" s="69"/>
      <c r="Z52" s="65"/>
      <c r="AA52" s="517"/>
      <c r="AB52" s="65"/>
      <c r="AC52" s="81">
        <f t="shared" si="8"/>
        <v>0</v>
      </c>
      <c r="AD52" s="65"/>
      <c r="AE52" s="112"/>
      <c r="AF52" s="203">
        <v>0.3</v>
      </c>
      <c r="AG52" s="109">
        <f t="shared" si="9"/>
        <v>0</v>
      </c>
      <c r="AH52" s="84">
        <f t="shared" si="10"/>
        <v>0</v>
      </c>
      <c r="AI52" s="65"/>
      <c r="AJ52" s="112"/>
      <c r="AK52" s="122"/>
      <c r="AL52" s="109">
        <v>1212</v>
      </c>
      <c r="AM52" s="84">
        <f t="shared" si="11"/>
        <v>0</v>
      </c>
      <c r="AN52" s="65"/>
      <c r="AO52" s="112"/>
      <c r="AP52" s="204"/>
      <c r="AQ52" s="109">
        <f>IFERROR((O52+AH52+AM52)/Dashboard!$D$15,0)*0.2</f>
        <v>0</v>
      </c>
      <c r="AR52" s="84">
        <f t="shared" si="24"/>
        <v>0</v>
      </c>
      <c r="AS52" s="65"/>
      <c r="AT52" s="112"/>
      <c r="AU52" s="203">
        <v>0.33</v>
      </c>
      <c r="AV52" s="109">
        <f t="shared" si="13"/>
        <v>0</v>
      </c>
      <c r="AW52" s="84">
        <f t="shared" si="14"/>
        <v>0</v>
      </c>
      <c r="AX52" s="65"/>
      <c r="AY52" s="112"/>
      <c r="AZ52" s="203">
        <v>0.25</v>
      </c>
      <c r="BA52" s="109">
        <f t="shared" si="15"/>
        <v>0</v>
      </c>
      <c r="BB52" s="84">
        <f t="shared" si="16"/>
        <v>0</v>
      </c>
      <c r="BC52" s="65"/>
      <c r="BD52" s="112"/>
      <c r="BE52" s="203">
        <v>0.26</v>
      </c>
      <c r="BF52" s="109">
        <f t="shared" si="17"/>
        <v>0</v>
      </c>
      <c r="BG52" s="84">
        <f t="shared" si="18"/>
        <v>0</v>
      </c>
      <c r="BH52" s="197"/>
      <c r="BI52" s="517"/>
      <c r="BJ52" s="65"/>
      <c r="BK52" s="81">
        <f t="shared" si="19"/>
        <v>0</v>
      </c>
      <c r="BL52" s="65"/>
      <c r="BM52" s="65"/>
      <c r="BN52" s="204"/>
      <c r="BO52" s="109">
        <f>($O52/Dashboard!$D$15)*(1+Dashboard!$D$19)</f>
        <v>0</v>
      </c>
      <c r="BP52" s="84">
        <f t="shared" si="20"/>
        <v>0</v>
      </c>
      <c r="BQ52" s="65"/>
      <c r="BR52" s="65"/>
      <c r="BS52" s="204"/>
      <c r="BT52" s="109">
        <f>($O52/Dashboard!$D$15)*(1+Dashboard!$D$20)</f>
        <v>0</v>
      </c>
      <c r="BU52" s="84">
        <f t="shared" si="21"/>
        <v>0</v>
      </c>
      <c r="BV52" s="65"/>
      <c r="BW52" s="65"/>
      <c r="BX52" s="204"/>
      <c r="BY52" s="109">
        <f>($O52/Dashboard!$D$15)*(1+Dashboard!$D$21)</f>
        <v>0</v>
      </c>
      <c r="BZ52" s="84">
        <f t="shared" si="22"/>
        <v>0</v>
      </c>
    </row>
    <row r="53" spans="2:78" ht="12" hidden="1" customHeight="1" outlineLevel="1">
      <c r="B53" s="137" t="str">
        <f>'Cronog. e Histog.'!B809</f>
        <v>Bombeiro - Medicina do Trabalho</v>
      </c>
      <c r="C53" s="65"/>
      <c r="D53" s="200">
        <f t="shared" si="2"/>
        <v>0</v>
      </c>
      <c r="E53" s="200">
        <f t="shared" si="3"/>
        <v>0</v>
      </c>
      <c r="F53" s="65"/>
      <c r="G53" s="200">
        <f t="shared" si="4"/>
        <v>0</v>
      </c>
      <c r="H53" s="200">
        <f t="shared" si="5"/>
        <v>0</v>
      </c>
      <c r="I53" s="65"/>
      <c r="J53" s="143" t="str">
        <f>IF('Cronog. e Histog.'!F809&gt;0,'Cronog. e Histog.'!F809,"")</f>
        <v>Bombeiro</v>
      </c>
      <c r="K53" s="65"/>
      <c r="L53" s="144">
        <f>IF('Cronog. e Histog.'!H809&gt;0,'Cronog. e Histog.'!H809,0)</f>
        <v>0</v>
      </c>
      <c r="M53" s="144">
        <f>IF('Cronog. e Histog.'!I809&gt;0,'Cronog. e Histog.'!I809,0)</f>
        <v>0</v>
      </c>
      <c r="N53" s="65"/>
      <c r="O53" s="109">
        <f>_xlfn.XLOOKUP(B53,Salários!B:B,Salários!K:K)</f>
        <v>0</v>
      </c>
      <c r="P53" s="109">
        <f t="shared" si="6"/>
        <v>0</v>
      </c>
      <c r="Q53" s="109">
        <f t="shared" si="7"/>
        <v>0</v>
      </c>
      <c r="R53" s="65"/>
      <c r="S53" s="109">
        <f t="shared" si="23"/>
        <v>0</v>
      </c>
      <c r="T53" s="201" t="str">
        <f>IF(_xlfn.XLOOKUP(B53,Salários!B:B,Salários!I:I)&gt;0,_xlfn.XLOOKUP(B53,Salários!B:B,Salários!I:I),"")</f>
        <v/>
      </c>
      <c r="U53" s="117">
        <f t="shared" si="1"/>
        <v>0</v>
      </c>
      <c r="V53" s="65"/>
      <c r="W53" s="202"/>
      <c r="X53" s="65"/>
      <c r="Y53" s="69"/>
      <c r="Z53" s="65"/>
      <c r="AA53" s="517"/>
      <c r="AB53" s="65"/>
      <c r="AC53" s="81">
        <f t="shared" si="8"/>
        <v>0</v>
      </c>
      <c r="AD53" s="65"/>
      <c r="AE53" s="112"/>
      <c r="AF53" s="203">
        <v>0.3</v>
      </c>
      <c r="AG53" s="109">
        <f t="shared" si="9"/>
        <v>0</v>
      </c>
      <c r="AH53" s="84">
        <f t="shared" si="10"/>
        <v>0</v>
      </c>
      <c r="AI53" s="65"/>
      <c r="AJ53" s="112"/>
      <c r="AK53" s="122"/>
      <c r="AL53" s="109">
        <v>1212</v>
      </c>
      <c r="AM53" s="84">
        <f t="shared" si="11"/>
        <v>0</v>
      </c>
      <c r="AN53" s="65"/>
      <c r="AO53" s="112"/>
      <c r="AP53" s="204"/>
      <c r="AQ53" s="109">
        <f>IFERROR((O53+AH53+AM53)/Dashboard!$D$15,0)*0.2</f>
        <v>0</v>
      </c>
      <c r="AR53" s="84">
        <f t="shared" si="24"/>
        <v>0</v>
      </c>
      <c r="AS53" s="65"/>
      <c r="AT53" s="112"/>
      <c r="AU53" s="203">
        <v>0.33</v>
      </c>
      <c r="AV53" s="109">
        <f t="shared" si="13"/>
        <v>0</v>
      </c>
      <c r="AW53" s="84">
        <f t="shared" si="14"/>
        <v>0</v>
      </c>
      <c r="AX53" s="65"/>
      <c r="AY53" s="112"/>
      <c r="AZ53" s="203">
        <v>0.25</v>
      </c>
      <c r="BA53" s="109">
        <f t="shared" si="15"/>
        <v>0</v>
      </c>
      <c r="BB53" s="84">
        <f t="shared" si="16"/>
        <v>0</v>
      </c>
      <c r="BC53" s="65"/>
      <c r="BD53" s="112"/>
      <c r="BE53" s="203">
        <v>0.26</v>
      </c>
      <c r="BF53" s="109">
        <f t="shared" si="17"/>
        <v>0</v>
      </c>
      <c r="BG53" s="84">
        <f t="shared" si="18"/>
        <v>0</v>
      </c>
      <c r="BH53" s="197"/>
      <c r="BI53" s="517"/>
      <c r="BJ53" s="65"/>
      <c r="BK53" s="81">
        <f t="shared" si="19"/>
        <v>0</v>
      </c>
      <c r="BL53" s="65"/>
      <c r="BM53" s="65"/>
      <c r="BN53" s="204"/>
      <c r="BO53" s="109">
        <f>($O53/Dashboard!$D$15)*(1+Dashboard!$D$19)</f>
        <v>0</v>
      </c>
      <c r="BP53" s="84">
        <f t="shared" si="20"/>
        <v>0</v>
      </c>
      <c r="BQ53" s="65"/>
      <c r="BR53" s="65"/>
      <c r="BS53" s="204"/>
      <c r="BT53" s="109">
        <f>($O53/Dashboard!$D$15)*(1+Dashboard!$D$20)</f>
        <v>0</v>
      </c>
      <c r="BU53" s="84">
        <f t="shared" si="21"/>
        <v>0</v>
      </c>
      <c r="BV53" s="65"/>
      <c r="BW53" s="65"/>
      <c r="BX53" s="204"/>
      <c r="BY53" s="109">
        <f>($O53/Dashboard!$D$15)*(1+Dashboard!$D$21)</f>
        <v>0</v>
      </c>
      <c r="BZ53" s="84">
        <f t="shared" si="22"/>
        <v>0</v>
      </c>
    </row>
    <row r="54" spans="2:78" ht="12" hidden="1" customHeight="1" outlineLevel="1">
      <c r="B54" s="137" t="str">
        <f>'Cronog. e Histog.'!B810</f>
        <v/>
      </c>
      <c r="C54" s="65"/>
      <c r="D54" s="200">
        <f t="shared" si="2"/>
        <v>0</v>
      </c>
      <c r="E54" s="200">
        <f t="shared" si="3"/>
        <v>0</v>
      </c>
      <c r="F54" s="65"/>
      <c r="G54" s="200">
        <f t="shared" si="4"/>
        <v>0</v>
      </c>
      <c r="H54" s="200">
        <f t="shared" si="5"/>
        <v>0</v>
      </c>
      <c r="I54" s="65"/>
      <c r="J54" s="143" t="str">
        <f>IF('Cronog. e Histog.'!F810&gt;0,'Cronog. e Histog.'!F810,"")</f>
        <v/>
      </c>
      <c r="K54" s="65"/>
      <c r="L54" s="144">
        <f>IF('Cronog. e Histog.'!H810&gt;0,'Cronog. e Histog.'!H810,0)</f>
        <v>0</v>
      </c>
      <c r="M54" s="144">
        <f>IF('Cronog. e Histog.'!I810&gt;0,'Cronog. e Histog.'!I810,0)</f>
        <v>0</v>
      </c>
      <c r="N54" s="65"/>
      <c r="O54" s="109">
        <f>_xlfn.XLOOKUP(B54,Salários!B:B,Salários!K:K)</f>
        <v>0</v>
      </c>
      <c r="P54" s="109">
        <f t="shared" si="6"/>
        <v>0</v>
      </c>
      <c r="Q54" s="109">
        <f t="shared" si="7"/>
        <v>0</v>
      </c>
      <c r="R54" s="65"/>
      <c r="S54" s="109">
        <f t="shared" si="23"/>
        <v>0</v>
      </c>
      <c r="T54" s="201" t="str">
        <f>IF(_xlfn.XLOOKUP(B54,Salários!B:B,Salários!I:I)&gt;0,_xlfn.XLOOKUP(B54,Salários!B:B,Salários!I:I),"")</f>
        <v/>
      </c>
      <c r="U54" s="117">
        <f t="shared" si="1"/>
        <v>0</v>
      </c>
      <c r="V54" s="65"/>
      <c r="W54" s="202"/>
      <c r="X54" s="65"/>
      <c r="Y54" s="69"/>
      <c r="Z54" s="65"/>
      <c r="AA54" s="517"/>
      <c r="AB54" s="65"/>
      <c r="AC54" s="81">
        <f t="shared" si="8"/>
        <v>0</v>
      </c>
      <c r="AD54" s="65"/>
      <c r="AE54" s="112"/>
      <c r="AF54" s="203">
        <v>0.3</v>
      </c>
      <c r="AG54" s="109">
        <f t="shared" si="9"/>
        <v>0</v>
      </c>
      <c r="AH54" s="84">
        <f t="shared" si="10"/>
        <v>0</v>
      </c>
      <c r="AI54" s="65"/>
      <c r="AJ54" s="112"/>
      <c r="AK54" s="122"/>
      <c r="AL54" s="109">
        <v>1212</v>
      </c>
      <c r="AM54" s="84">
        <f t="shared" si="11"/>
        <v>0</v>
      </c>
      <c r="AN54" s="65"/>
      <c r="AO54" s="112"/>
      <c r="AP54" s="204"/>
      <c r="AQ54" s="109">
        <f>IFERROR((O54+AH54+AM54)/Dashboard!$D$15,0)*0.2</f>
        <v>0</v>
      </c>
      <c r="AR54" s="84">
        <f t="shared" si="24"/>
        <v>0</v>
      </c>
      <c r="AS54" s="65"/>
      <c r="AT54" s="112"/>
      <c r="AU54" s="203">
        <v>0.33</v>
      </c>
      <c r="AV54" s="109">
        <f t="shared" si="13"/>
        <v>0</v>
      </c>
      <c r="AW54" s="84">
        <f t="shared" si="14"/>
        <v>0</v>
      </c>
      <c r="AX54" s="65"/>
      <c r="AY54" s="112"/>
      <c r="AZ54" s="203">
        <v>0.25</v>
      </c>
      <c r="BA54" s="109">
        <f t="shared" si="15"/>
        <v>0</v>
      </c>
      <c r="BB54" s="84">
        <f t="shared" si="16"/>
        <v>0</v>
      </c>
      <c r="BC54" s="65"/>
      <c r="BD54" s="112"/>
      <c r="BE54" s="203">
        <v>0.26</v>
      </c>
      <c r="BF54" s="109">
        <f t="shared" si="17"/>
        <v>0</v>
      </c>
      <c r="BG54" s="84">
        <f t="shared" si="18"/>
        <v>0</v>
      </c>
      <c r="BH54" s="197"/>
      <c r="BI54" s="517"/>
      <c r="BJ54" s="65"/>
      <c r="BK54" s="81">
        <f t="shared" si="19"/>
        <v>0</v>
      </c>
      <c r="BL54" s="65"/>
      <c r="BM54" s="65"/>
      <c r="BN54" s="204"/>
      <c r="BO54" s="109">
        <f>($O54/Dashboard!$D$15)*(1+Dashboard!$D$19)</f>
        <v>0</v>
      </c>
      <c r="BP54" s="84">
        <f t="shared" si="20"/>
        <v>0</v>
      </c>
      <c r="BQ54" s="65"/>
      <c r="BR54" s="65"/>
      <c r="BS54" s="204"/>
      <c r="BT54" s="109">
        <f>($O54/Dashboard!$D$15)*(1+Dashboard!$D$20)</f>
        <v>0</v>
      </c>
      <c r="BU54" s="84">
        <f t="shared" si="21"/>
        <v>0</v>
      </c>
      <c r="BV54" s="65"/>
      <c r="BW54" s="65"/>
      <c r="BX54" s="204"/>
      <c r="BY54" s="109">
        <f>($O54/Dashboard!$D$15)*(1+Dashboard!$D$21)</f>
        <v>0</v>
      </c>
      <c r="BZ54" s="84">
        <f t="shared" si="22"/>
        <v>0</v>
      </c>
    </row>
    <row r="55" spans="2:78" ht="12" hidden="1" customHeight="1" outlineLevel="1">
      <c r="B55" s="137" t="str">
        <f>'Cronog. e Histog.'!B811</f>
        <v/>
      </c>
      <c r="C55" s="65"/>
      <c r="D55" s="200">
        <f t="shared" si="2"/>
        <v>0</v>
      </c>
      <c r="E55" s="200">
        <f t="shared" si="3"/>
        <v>0</v>
      </c>
      <c r="F55" s="65"/>
      <c r="G55" s="200">
        <f t="shared" si="4"/>
        <v>0</v>
      </c>
      <c r="H55" s="200">
        <f t="shared" si="5"/>
        <v>0</v>
      </c>
      <c r="I55" s="65"/>
      <c r="J55" s="143" t="str">
        <f>IF('Cronog. e Histog.'!F811&gt;0,'Cronog. e Histog.'!F811,"")</f>
        <v/>
      </c>
      <c r="K55" s="65"/>
      <c r="L55" s="144">
        <f>IF('Cronog. e Histog.'!H811&gt;0,'Cronog. e Histog.'!H811,0)</f>
        <v>0</v>
      </c>
      <c r="M55" s="144">
        <f>IF('Cronog. e Histog.'!I811&gt;0,'Cronog. e Histog.'!I811,0)</f>
        <v>0</v>
      </c>
      <c r="N55" s="65"/>
      <c r="O55" s="109">
        <f>_xlfn.XLOOKUP(B55,Salários!B:B,Salários!K:K)</f>
        <v>0</v>
      </c>
      <c r="P55" s="109">
        <f t="shared" si="6"/>
        <v>0</v>
      </c>
      <c r="Q55" s="109">
        <f t="shared" si="7"/>
        <v>0</v>
      </c>
      <c r="R55" s="65"/>
      <c r="S55" s="109">
        <f t="shared" si="23"/>
        <v>0</v>
      </c>
      <c r="T55" s="201" t="str">
        <f>IF(_xlfn.XLOOKUP(B55,Salários!B:B,Salários!I:I)&gt;0,_xlfn.XLOOKUP(B55,Salários!B:B,Salários!I:I),"")</f>
        <v/>
      </c>
      <c r="U55" s="117">
        <f t="shared" si="1"/>
        <v>0</v>
      </c>
      <c r="V55" s="65"/>
      <c r="W55" s="202"/>
      <c r="X55" s="65"/>
      <c r="Y55" s="69"/>
      <c r="Z55" s="65"/>
      <c r="AA55" s="517"/>
      <c r="AB55" s="65"/>
      <c r="AC55" s="81">
        <f t="shared" si="8"/>
        <v>0</v>
      </c>
      <c r="AD55" s="65"/>
      <c r="AE55" s="112"/>
      <c r="AF55" s="203">
        <v>0.3</v>
      </c>
      <c r="AG55" s="109">
        <f t="shared" si="9"/>
        <v>0</v>
      </c>
      <c r="AH55" s="84">
        <f t="shared" si="10"/>
        <v>0</v>
      </c>
      <c r="AI55" s="65"/>
      <c r="AJ55" s="112"/>
      <c r="AK55" s="122"/>
      <c r="AL55" s="109">
        <v>1212</v>
      </c>
      <c r="AM55" s="84">
        <f t="shared" si="11"/>
        <v>0</v>
      </c>
      <c r="AN55" s="65"/>
      <c r="AO55" s="112"/>
      <c r="AP55" s="204"/>
      <c r="AQ55" s="109">
        <f>IFERROR((O55+AH55+AM55)/Dashboard!$D$15,0)*0.2</f>
        <v>0</v>
      </c>
      <c r="AR55" s="84">
        <f t="shared" si="24"/>
        <v>0</v>
      </c>
      <c r="AS55" s="65"/>
      <c r="AT55" s="112"/>
      <c r="AU55" s="203">
        <v>0.33</v>
      </c>
      <c r="AV55" s="109">
        <f t="shared" si="13"/>
        <v>0</v>
      </c>
      <c r="AW55" s="84">
        <f t="shared" si="14"/>
        <v>0</v>
      </c>
      <c r="AX55" s="65"/>
      <c r="AY55" s="112"/>
      <c r="AZ55" s="203">
        <v>0.25</v>
      </c>
      <c r="BA55" s="109">
        <f t="shared" si="15"/>
        <v>0</v>
      </c>
      <c r="BB55" s="84">
        <f t="shared" si="16"/>
        <v>0</v>
      </c>
      <c r="BC55" s="65"/>
      <c r="BD55" s="112"/>
      <c r="BE55" s="203">
        <v>0.26</v>
      </c>
      <c r="BF55" s="109">
        <f t="shared" si="17"/>
        <v>0</v>
      </c>
      <c r="BG55" s="84">
        <f t="shared" si="18"/>
        <v>0</v>
      </c>
      <c r="BH55" s="197"/>
      <c r="BI55" s="517"/>
      <c r="BJ55" s="65"/>
      <c r="BK55" s="81">
        <f t="shared" si="19"/>
        <v>0</v>
      </c>
      <c r="BL55" s="65"/>
      <c r="BM55" s="65"/>
      <c r="BN55" s="204"/>
      <c r="BO55" s="109">
        <f>($O55/Dashboard!$D$15)*(1+Dashboard!$D$19)</f>
        <v>0</v>
      </c>
      <c r="BP55" s="84">
        <f t="shared" si="20"/>
        <v>0</v>
      </c>
      <c r="BQ55" s="65"/>
      <c r="BR55" s="65"/>
      <c r="BS55" s="204"/>
      <c r="BT55" s="109">
        <f>($O55/Dashboard!$D$15)*(1+Dashboard!$D$20)</f>
        <v>0</v>
      </c>
      <c r="BU55" s="84">
        <f t="shared" si="21"/>
        <v>0</v>
      </c>
      <c r="BV55" s="65"/>
      <c r="BW55" s="65"/>
      <c r="BX55" s="204"/>
      <c r="BY55" s="109">
        <f>($O55/Dashboard!$D$15)*(1+Dashboard!$D$21)</f>
        <v>0</v>
      </c>
      <c r="BZ55" s="84">
        <f t="shared" si="22"/>
        <v>0</v>
      </c>
    </row>
    <row r="56" spans="2:78" ht="12" hidden="1" customHeight="1" outlineLevel="1">
      <c r="B56" s="137" t="str">
        <f>'Cronog. e Histog.'!B813</f>
        <v>Coordenador de Projetos - Projeto</v>
      </c>
      <c r="C56" s="65"/>
      <c r="D56" s="200">
        <f t="shared" si="2"/>
        <v>0</v>
      </c>
      <c r="E56" s="200">
        <f t="shared" si="3"/>
        <v>0</v>
      </c>
      <c r="F56" s="65"/>
      <c r="G56" s="200">
        <f t="shared" si="4"/>
        <v>0</v>
      </c>
      <c r="H56" s="200">
        <f t="shared" si="5"/>
        <v>0</v>
      </c>
      <c r="I56" s="65"/>
      <c r="J56" s="143" t="str">
        <f>IF('Cronog. e Histog.'!F813&gt;0,'Cronog. e Histog.'!F813,"")</f>
        <v>Coordenador de Projetos</v>
      </c>
      <c r="K56" s="65"/>
      <c r="L56" s="144">
        <f>IF('Cronog. e Histog.'!H813&gt;0,'Cronog. e Histog.'!H813,0)</f>
        <v>0</v>
      </c>
      <c r="M56" s="144">
        <f>IF('Cronog. e Histog.'!I813&gt;0,'Cronog. e Histog.'!I813,0)</f>
        <v>0</v>
      </c>
      <c r="N56" s="65"/>
      <c r="O56" s="109">
        <f>_xlfn.XLOOKUP(B56,Salários!B:B,Salários!K:K)</f>
        <v>0</v>
      </c>
      <c r="P56" s="109">
        <f t="shared" si="6"/>
        <v>0</v>
      </c>
      <c r="Q56" s="109">
        <f t="shared" si="7"/>
        <v>0</v>
      </c>
      <c r="R56" s="65"/>
      <c r="S56" s="109">
        <f t="shared" si="23"/>
        <v>0</v>
      </c>
      <c r="T56" s="201" t="str">
        <f>IF(_xlfn.XLOOKUP(B56,Salários!B:B,Salários!I:I)&gt;0,_xlfn.XLOOKUP(B56,Salários!B:B,Salários!I:I),"")</f>
        <v/>
      </c>
      <c r="U56" s="117">
        <f t="shared" si="1"/>
        <v>0</v>
      </c>
      <c r="V56" s="65"/>
      <c r="W56" s="202"/>
      <c r="X56" s="65"/>
      <c r="Y56" s="69"/>
      <c r="Z56" s="65"/>
      <c r="AA56" s="517"/>
      <c r="AB56" s="65"/>
      <c r="AC56" s="81">
        <f t="shared" si="8"/>
        <v>0</v>
      </c>
      <c r="AD56" s="65"/>
      <c r="AE56" s="112"/>
      <c r="AF56" s="203">
        <v>0.3</v>
      </c>
      <c r="AG56" s="109">
        <f t="shared" si="9"/>
        <v>0</v>
      </c>
      <c r="AH56" s="84">
        <f t="shared" si="10"/>
        <v>0</v>
      </c>
      <c r="AI56" s="65"/>
      <c r="AJ56" s="112"/>
      <c r="AK56" s="122"/>
      <c r="AL56" s="109">
        <v>1212</v>
      </c>
      <c r="AM56" s="84">
        <f t="shared" si="11"/>
        <v>0</v>
      </c>
      <c r="AN56" s="65"/>
      <c r="AO56" s="112"/>
      <c r="AP56" s="204"/>
      <c r="AQ56" s="109">
        <f>IFERROR((O56+AH56+AM56)/Dashboard!$D$15,0)*0.2</f>
        <v>0</v>
      </c>
      <c r="AR56" s="84">
        <f t="shared" si="24"/>
        <v>0</v>
      </c>
      <c r="AS56" s="65"/>
      <c r="AT56" s="112"/>
      <c r="AU56" s="203">
        <v>0.33</v>
      </c>
      <c r="AV56" s="109">
        <f t="shared" si="13"/>
        <v>0</v>
      </c>
      <c r="AW56" s="84">
        <f t="shared" si="14"/>
        <v>0</v>
      </c>
      <c r="AX56" s="65"/>
      <c r="AY56" s="112"/>
      <c r="AZ56" s="203">
        <v>0.25</v>
      </c>
      <c r="BA56" s="109">
        <f t="shared" si="15"/>
        <v>0</v>
      </c>
      <c r="BB56" s="84">
        <f t="shared" si="16"/>
        <v>0</v>
      </c>
      <c r="BC56" s="65"/>
      <c r="BD56" s="112"/>
      <c r="BE56" s="203">
        <v>0.26</v>
      </c>
      <c r="BF56" s="109">
        <f t="shared" si="17"/>
        <v>0</v>
      </c>
      <c r="BG56" s="84">
        <f t="shared" si="18"/>
        <v>0</v>
      </c>
      <c r="BH56" s="197"/>
      <c r="BI56" s="517"/>
      <c r="BJ56" s="65"/>
      <c r="BK56" s="81">
        <f t="shared" si="19"/>
        <v>0</v>
      </c>
      <c r="BL56" s="65"/>
      <c r="BM56" s="65"/>
      <c r="BN56" s="204"/>
      <c r="BO56" s="109">
        <f>($O56/Dashboard!$D$15)*(1+Dashboard!$D$19)</f>
        <v>0</v>
      </c>
      <c r="BP56" s="84">
        <f t="shared" si="20"/>
        <v>0</v>
      </c>
      <c r="BQ56" s="65"/>
      <c r="BR56" s="65"/>
      <c r="BS56" s="204"/>
      <c r="BT56" s="109">
        <f>($O56/Dashboard!$D$15)*(1+Dashboard!$D$20)</f>
        <v>0</v>
      </c>
      <c r="BU56" s="84">
        <f t="shared" si="21"/>
        <v>0</v>
      </c>
      <c r="BV56" s="65"/>
      <c r="BW56" s="65"/>
      <c r="BX56" s="204"/>
      <c r="BY56" s="109">
        <f>($O56/Dashboard!$D$15)*(1+Dashboard!$D$21)</f>
        <v>0</v>
      </c>
      <c r="BZ56" s="84">
        <f t="shared" si="22"/>
        <v>0</v>
      </c>
    </row>
    <row r="57" spans="2:78" ht="12" hidden="1" customHeight="1" outlineLevel="1">
      <c r="B57" s="137" t="str">
        <f>'Cronog. e Histog.'!B814</f>
        <v>Projetista Sênior - Projeto</v>
      </c>
      <c r="C57" s="65"/>
      <c r="D57" s="200">
        <f t="shared" si="2"/>
        <v>0</v>
      </c>
      <c r="E57" s="200">
        <f t="shared" si="3"/>
        <v>0</v>
      </c>
      <c r="F57" s="65"/>
      <c r="G57" s="200">
        <f t="shared" si="4"/>
        <v>0</v>
      </c>
      <c r="H57" s="200">
        <f t="shared" si="5"/>
        <v>0</v>
      </c>
      <c r="I57" s="65"/>
      <c r="J57" s="143" t="str">
        <f>IF('Cronog. e Histog.'!F814&gt;0,'Cronog. e Histog.'!F814,"")</f>
        <v>Projetista Sênior</v>
      </c>
      <c r="K57" s="65"/>
      <c r="L57" s="144">
        <f>IF('Cronog. e Histog.'!H814&gt;0,'Cronog. e Histog.'!H814,0)</f>
        <v>0</v>
      </c>
      <c r="M57" s="144">
        <f>IF('Cronog. e Histog.'!I814&gt;0,'Cronog. e Histog.'!I814,0)</f>
        <v>0</v>
      </c>
      <c r="N57" s="65"/>
      <c r="O57" s="109">
        <f>_xlfn.XLOOKUP(B57,Salários!B:B,Salários!K:K)</f>
        <v>0</v>
      </c>
      <c r="P57" s="109">
        <f t="shared" si="6"/>
        <v>0</v>
      </c>
      <c r="Q57" s="109">
        <f t="shared" si="7"/>
        <v>0</v>
      </c>
      <c r="R57" s="65"/>
      <c r="S57" s="109">
        <f t="shared" si="23"/>
        <v>0</v>
      </c>
      <c r="T57" s="201" t="str">
        <f>IF(_xlfn.XLOOKUP(B57,Salários!B:B,Salários!I:I)&gt;0,_xlfn.XLOOKUP(B57,Salários!B:B,Salários!I:I),"")</f>
        <v/>
      </c>
      <c r="U57" s="117">
        <f t="shared" si="1"/>
        <v>0</v>
      </c>
      <c r="V57" s="65"/>
      <c r="W57" s="202"/>
      <c r="X57" s="65"/>
      <c r="Y57" s="69"/>
      <c r="Z57" s="65"/>
      <c r="AA57" s="517"/>
      <c r="AB57" s="65"/>
      <c r="AC57" s="81">
        <f t="shared" si="8"/>
        <v>0</v>
      </c>
      <c r="AD57" s="65"/>
      <c r="AE57" s="112"/>
      <c r="AF57" s="203">
        <v>0.3</v>
      </c>
      <c r="AG57" s="109">
        <f t="shared" si="9"/>
        <v>0</v>
      </c>
      <c r="AH57" s="84">
        <f t="shared" si="10"/>
        <v>0</v>
      </c>
      <c r="AI57" s="65"/>
      <c r="AJ57" s="112"/>
      <c r="AK57" s="122"/>
      <c r="AL57" s="109">
        <v>1212</v>
      </c>
      <c r="AM57" s="84">
        <f t="shared" si="11"/>
        <v>0</v>
      </c>
      <c r="AN57" s="65"/>
      <c r="AO57" s="112"/>
      <c r="AP57" s="204"/>
      <c r="AQ57" s="109">
        <f>IFERROR((O57+AH57+AM57)/Dashboard!$D$15,0)*0.2</f>
        <v>0</v>
      </c>
      <c r="AR57" s="84">
        <f t="shared" si="24"/>
        <v>0</v>
      </c>
      <c r="AS57" s="65"/>
      <c r="AT57" s="112"/>
      <c r="AU57" s="203">
        <v>0.33</v>
      </c>
      <c r="AV57" s="109">
        <f t="shared" si="13"/>
        <v>0</v>
      </c>
      <c r="AW57" s="84">
        <f t="shared" si="14"/>
        <v>0</v>
      </c>
      <c r="AX57" s="65"/>
      <c r="AY57" s="112"/>
      <c r="AZ57" s="203">
        <v>0.25</v>
      </c>
      <c r="BA57" s="109">
        <f t="shared" si="15"/>
        <v>0</v>
      </c>
      <c r="BB57" s="84">
        <f t="shared" si="16"/>
        <v>0</v>
      </c>
      <c r="BC57" s="65"/>
      <c r="BD57" s="112"/>
      <c r="BE57" s="203">
        <v>0.26</v>
      </c>
      <c r="BF57" s="109">
        <f t="shared" si="17"/>
        <v>0</v>
      </c>
      <c r="BG57" s="84">
        <f t="shared" si="18"/>
        <v>0</v>
      </c>
      <c r="BH57" s="197"/>
      <c r="BI57" s="517"/>
      <c r="BJ57" s="65"/>
      <c r="BK57" s="81">
        <f t="shared" si="19"/>
        <v>0</v>
      </c>
      <c r="BL57" s="65"/>
      <c r="BM57" s="65"/>
      <c r="BN57" s="204"/>
      <c r="BO57" s="109">
        <f>($O57/Dashboard!$D$15)*(1+Dashboard!$D$19)</f>
        <v>0</v>
      </c>
      <c r="BP57" s="84">
        <f t="shared" si="20"/>
        <v>0</v>
      </c>
      <c r="BQ57" s="65"/>
      <c r="BR57" s="65"/>
      <c r="BS57" s="204"/>
      <c r="BT57" s="109">
        <f>($O57/Dashboard!$D$15)*(1+Dashboard!$D$20)</f>
        <v>0</v>
      </c>
      <c r="BU57" s="84">
        <f t="shared" si="21"/>
        <v>0</v>
      </c>
      <c r="BV57" s="65"/>
      <c r="BW57" s="65"/>
      <c r="BX57" s="204"/>
      <c r="BY57" s="109">
        <f>($O57/Dashboard!$D$15)*(1+Dashboard!$D$21)</f>
        <v>0</v>
      </c>
      <c r="BZ57" s="84">
        <f t="shared" si="22"/>
        <v>0</v>
      </c>
    </row>
    <row r="58" spans="2:78" ht="12" hidden="1" customHeight="1" outlineLevel="1">
      <c r="B58" s="137" t="str">
        <f>'Cronog. e Histog.'!B815</f>
        <v>Projetista Pleno - Projeto</v>
      </c>
      <c r="C58" s="65"/>
      <c r="D58" s="200">
        <f t="shared" si="2"/>
        <v>0</v>
      </c>
      <c r="E58" s="200">
        <f t="shared" si="3"/>
        <v>0</v>
      </c>
      <c r="F58" s="65"/>
      <c r="G58" s="200">
        <f t="shared" si="4"/>
        <v>0</v>
      </c>
      <c r="H58" s="200">
        <f t="shared" si="5"/>
        <v>0</v>
      </c>
      <c r="I58" s="65"/>
      <c r="J58" s="143" t="str">
        <f>IF('Cronog. e Histog.'!F815&gt;0,'Cronog. e Histog.'!F815,"")</f>
        <v>Projetista Pleno</v>
      </c>
      <c r="K58" s="65"/>
      <c r="L58" s="144">
        <f>IF('Cronog. e Histog.'!H815&gt;0,'Cronog. e Histog.'!H815,0)</f>
        <v>0</v>
      </c>
      <c r="M58" s="144">
        <f>IF('Cronog. e Histog.'!I815&gt;0,'Cronog. e Histog.'!I815,0)</f>
        <v>0</v>
      </c>
      <c r="N58" s="65"/>
      <c r="O58" s="109">
        <f>_xlfn.XLOOKUP(B58,Salários!B:B,Salários!K:K)</f>
        <v>0</v>
      </c>
      <c r="P58" s="109">
        <f t="shared" si="6"/>
        <v>0</v>
      </c>
      <c r="Q58" s="109">
        <f t="shared" si="7"/>
        <v>0</v>
      </c>
      <c r="R58" s="65"/>
      <c r="S58" s="109">
        <f t="shared" si="23"/>
        <v>0</v>
      </c>
      <c r="T58" s="201" t="str">
        <f>IF(_xlfn.XLOOKUP(B58,Salários!B:B,Salários!I:I)&gt;0,_xlfn.XLOOKUP(B58,Salários!B:B,Salários!I:I),"")</f>
        <v/>
      </c>
      <c r="U58" s="117">
        <f t="shared" si="1"/>
        <v>0</v>
      </c>
      <c r="V58" s="65"/>
      <c r="W58" s="202"/>
      <c r="X58" s="65"/>
      <c r="Y58" s="69"/>
      <c r="Z58" s="65"/>
      <c r="AA58" s="517"/>
      <c r="AB58" s="65"/>
      <c r="AC58" s="81">
        <f t="shared" si="8"/>
        <v>0</v>
      </c>
      <c r="AD58" s="65"/>
      <c r="AE58" s="112"/>
      <c r="AF58" s="203">
        <v>0.3</v>
      </c>
      <c r="AG58" s="109">
        <f t="shared" si="9"/>
        <v>0</v>
      </c>
      <c r="AH58" s="84">
        <f t="shared" si="10"/>
        <v>0</v>
      </c>
      <c r="AI58" s="65"/>
      <c r="AJ58" s="112"/>
      <c r="AK58" s="122"/>
      <c r="AL58" s="109">
        <v>1212</v>
      </c>
      <c r="AM58" s="84">
        <f t="shared" si="11"/>
        <v>0</v>
      </c>
      <c r="AN58" s="65"/>
      <c r="AO58" s="112"/>
      <c r="AP58" s="204"/>
      <c r="AQ58" s="109">
        <f>IFERROR((O58+AH58+AM58)/Dashboard!$D$15,0)*0.2</f>
        <v>0</v>
      </c>
      <c r="AR58" s="84">
        <f t="shared" si="24"/>
        <v>0</v>
      </c>
      <c r="AS58" s="65"/>
      <c r="AT58" s="112"/>
      <c r="AU58" s="203">
        <v>0.33</v>
      </c>
      <c r="AV58" s="109">
        <f t="shared" si="13"/>
        <v>0</v>
      </c>
      <c r="AW58" s="84">
        <f t="shared" si="14"/>
        <v>0</v>
      </c>
      <c r="AX58" s="65"/>
      <c r="AY58" s="112"/>
      <c r="AZ58" s="203">
        <v>0.25</v>
      </c>
      <c r="BA58" s="109">
        <f t="shared" si="15"/>
        <v>0</v>
      </c>
      <c r="BB58" s="84">
        <f t="shared" si="16"/>
        <v>0</v>
      </c>
      <c r="BC58" s="65"/>
      <c r="BD58" s="112"/>
      <c r="BE58" s="203">
        <v>0.26</v>
      </c>
      <c r="BF58" s="109">
        <f t="shared" si="17"/>
        <v>0</v>
      </c>
      <c r="BG58" s="84">
        <f t="shared" si="18"/>
        <v>0</v>
      </c>
      <c r="BH58" s="197"/>
      <c r="BI58" s="517"/>
      <c r="BJ58" s="65"/>
      <c r="BK58" s="81">
        <f t="shared" si="19"/>
        <v>0</v>
      </c>
      <c r="BL58" s="65"/>
      <c r="BM58" s="65"/>
      <c r="BN58" s="204"/>
      <c r="BO58" s="109">
        <f>($O58/Dashboard!$D$15)*(1+Dashboard!$D$19)</f>
        <v>0</v>
      </c>
      <c r="BP58" s="84">
        <f t="shared" si="20"/>
        <v>0</v>
      </c>
      <c r="BQ58" s="65"/>
      <c r="BR58" s="65"/>
      <c r="BS58" s="204"/>
      <c r="BT58" s="109">
        <f>($O58/Dashboard!$D$15)*(1+Dashboard!$D$20)</f>
        <v>0</v>
      </c>
      <c r="BU58" s="84">
        <f t="shared" si="21"/>
        <v>0</v>
      </c>
      <c r="BV58" s="65"/>
      <c r="BW58" s="65"/>
      <c r="BX58" s="204"/>
      <c r="BY58" s="109">
        <f>($O58/Dashboard!$D$15)*(1+Dashboard!$D$21)</f>
        <v>0</v>
      </c>
      <c r="BZ58" s="84">
        <f t="shared" si="22"/>
        <v>0</v>
      </c>
    </row>
    <row r="59" spans="2:78" ht="12" hidden="1" customHeight="1" outlineLevel="1">
      <c r="B59" s="137" t="str">
        <f>'Cronog. e Histog.'!B816</f>
        <v>Projetista Junior - Projeto</v>
      </c>
      <c r="C59" s="65"/>
      <c r="D59" s="200">
        <f t="shared" si="2"/>
        <v>0</v>
      </c>
      <c r="E59" s="200">
        <f t="shared" si="3"/>
        <v>0</v>
      </c>
      <c r="F59" s="65"/>
      <c r="G59" s="200">
        <f t="shared" si="4"/>
        <v>0</v>
      </c>
      <c r="H59" s="200">
        <f t="shared" si="5"/>
        <v>0</v>
      </c>
      <c r="I59" s="65"/>
      <c r="J59" s="143" t="str">
        <f>IF('Cronog. e Histog.'!F816&gt;0,'Cronog. e Histog.'!F816,"")</f>
        <v>Projetista Junior</v>
      </c>
      <c r="K59" s="65"/>
      <c r="L59" s="144">
        <f>IF('Cronog. e Histog.'!H816&gt;0,'Cronog. e Histog.'!H816,0)</f>
        <v>0</v>
      </c>
      <c r="M59" s="144">
        <f>IF('Cronog. e Histog.'!I816&gt;0,'Cronog. e Histog.'!I816,0)</f>
        <v>0</v>
      </c>
      <c r="N59" s="65"/>
      <c r="O59" s="109">
        <f>_xlfn.XLOOKUP(B59,Salários!B:B,Salários!K:K)</f>
        <v>0</v>
      </c>
      <c r="P59" s="109">
        <f t="shared" si="6"/>
        <v>0</v>
      </c>
      <c r="Q59" s="109">
        <f t="shared" si="7"/>
        <v>0</v>
      </c>
      <c r="R59" s="65"/>
      <c r="S59" s="109">
        <f t="shared" si="23"/>
        <v>0</v>
      </c>
      <c r="T59" s="201" t="str">
        <f>IF(_xlfn.XLOOKUP(B59,Salários!B:B,Salários!I:I)&gt;0,_xlfn.XLOOKUP(B59,Salários!B:B,Salários!I:I),"")</f>
        <v/>
      </c>
      <c r="U59" s="117">
        <f t="shared" si="1"/>
        <v>0</v>
      </c>
      <c r="V59" s="65"/>
      <c r="W59" s="202"/>
      <c r="X59" s="65"/>
      <c r="Y59" s="69"/>
      <c r="Z59" s="65"/>
      <c r="AA59" s="517"/>
      <c r="AB59" s="65"/>
      <c r="AC59" s="81">
        <f t="shared" si="8"/>
        <v>0</v>
      </c>
      <c r="AD59" s="65"/>
      <c r="AE59" s="112"/>
      <c r="AF59" s="203">
        <v>0.3</v>
      </c>
      <c r="AG59" s="109">
        <f t="shared" si="9"/>
        <v>0</v>
      </c>
      <c r="AH59" s="84">
        <f t="shared" si="10"/>
        <v>0</v>
      </c>
      <c r="AI59" s="65"/>
      <c r="AJ59" s="112"/>
      <c r="AK59" s="122"/>
      <c r="AL59" s="109">
        <v>1212</v>
      </c>
      <c r="AM59" s="84">
        <f t="shared" si="11"/>
        <v>0</v>
      </c>
      <c r="AN59" s="65"/>
      <c r="AO59" s="112"/>
      <c r="AP59" s="204"/>
      <c r="AQ59" s="109">
        <f>IFERROR((O59+AH59+AM59)/Dashboard!$D$15,0)*0.2</f>
        <v>0</v>
      </c>
      <c r="AR59" s="84">
        <f t="shared" si="24"/>
        <v>0</v>
      </c>
      <c r="AS59" s="65"/>
      <c r="AT59" s="112"/>
      <c r="AU59" s="203">
        <v>0.33</v>
      </c>
      <c r="AV59" s="109">
        <f t="shared" si="13"/>
        <v>0</v>
      </c>
      <c r="AW59" s="84">
        <f t="shared" si="14"/>
        <v>0</v>
      </c>
      <c r="AX59" s="65"/>
      <c r="AY59" s="112"/>
      <c r="AZ59" s="203">
        <v>0.25</v>
      </c>
      <c r="BA59" s="109">
        <f t="shared" si="15"/>
        <v>0</v>
      </c>
      <c r="BB59" s="84">
        <f t="shared" si="16"/>
        <v>0</v>
      </c>
      <c r="BC59" s="65"/>
      <c r="BD59" s="112"/>
      <c r="BE59" s="203">
        <v>0.26</v>
      </c>
      <c r="BF59" s="109">
        <f t="shared" si="17"/>
        <v>0</v>
      </c>
      <c r="BG59" s="84">
        <f t="shared" si="18"/>
        <v>0</v>
      </c>
      <c r="BH59" s="197"/>
      <c r="BI59" s="517"/>
      <c r="BJ59" s="65"/>
      <c r="BK59" s="81">
        <f t="shared" si="19"/>
        <v>0</v>
      </c>
      <c r="BL59" s="65"/>
      <c r="BM59" s="65"/>
      <c r="BN59" s="204"/>
      <c r="BO59" s="109">
        <f>($O59/Dashboard!$D$15)*(1+Dashboard!$D$19)</f>
        <v>0</v>
      </c>
      <c r="BP59" s="84">
        <f t="shared" si="20"/>
        <v>0</v>
      </c>
      <c r="BQ59" s="65"/>
      <c r="BR59" s="65"/>
      <c r="BS59" s="204"/>
      <c r="BT59" s="109">
        <f>($O59/Dashboard!$D$15)*(1+Dashboard!$D$20)</f>
        <v>0</v>
      </c>
      <c r="BU59" s="84">
        <f t="shared" si="21"/>
        <v>0</v>
      </c>
      <c r="BV59" s="65"/>
      <c r="BW59" s="65"/>
      <c r="BX59" s="204"/>
      <c r="BY59" s="109">
        <f>($O59/Dashboard!$D$15)*(1+Dashboard!$D$21)</f>
        <v>0</v>
      </c>
      <c r="BZ59" s="84">
        <f t="shared" si="22"/>
        <v>0</v>
      </c>
    </row>
    <row r="60" spans="2:78" ht="12" hidden="1" customHeight="1" outlineLevel="1">
      <c r="B60" s="137" t="str">
        <f>'Cronog. e Histog.'!B817</f>
        <v>Desenhista Cadista - Projeto</v>
      </c>
      <c r="C60" s="65"/>
      <c r="D60" s="200">
        <f t="shared" si="2"/>
        <v>0</v>
      </c>
      <c r="E60" s="200">
        <f t="shared" si="3"/>
        <v>0</v>
      </c>
      <c r="F60" s="65"/>
      <c r="G60" s="200">
        <f t="shared" si="4"/>
        <v>0</v>
      </c>
      <c r="H60" s="200">
        <f t="shared" si="5"/>
        <v>0</v>
      </c>
      <c r="I60" s="65"/>
      <c r="J60" s="143" t="str">
        <f>IF('Cronog. e Histog.'!F817&gt;0,'Cronog. e Histog.'!F817,"")</f>
        <v>Desenhista Cadista</v>
      </c>
      <c r="K60" s="65"/>
      <c r="L60" s="144">
        <f>IF('Cronog. e Histog.'!H817&gt;0,'Cronog. e Histog.'!H817,0)</f>
        <v>0</v>
      </c>
      <c r="M60" s="144">
        <f>IF('Cronog. e Histog.'!I817&gt;0,'Cronog. e Histog.'!I817,0)</f>
        <v>0</v>
      </c>
      <c r="N60" s="65"/>
      <c r="O60" s="109">
        <f>_xlfn.XLOOKUP(B60,Salários!B:B,Salários!K:K)</f>
        <v>0</v>
      </c>
      <c r="P60" s="109">
        <f t="shared" si="6"/>
        <v>0</v>
      </c>
      <c r="Q60" s="109">
        <f t="shared" si="7"/>
        <v>0</v>
      </c>
      <c r="R60" s="65"/>
      <c r="S60" s="109">
        <f t="shared" si="23"/>
        <v>0</v>
      </c>
      <c r="T60" s="201" t="str">
        <f>IF(_xlfn.XLOOKUP(B60,Salários!B:B,Salários!I:I)&gt;0,_xlfn.XLOOKUP(B60,Salários!B:B,Salários!I:I),"")</f>
        <v/>
      </c>
      <c r="U60" s="117">
        <f t="shared" si="1"/>
        <v>0</v>
      </c>
      <c r="V60" s="65"/>
      <c r="W60" s="202"/>
      <c r="X60" s="65"/>
      <c r="Y60" s="69"/>
      <c r="Z60" s="65"/>
      <c r="AA60" s="517"/>
      <c r="AB60" s="65"/>
      <c r="AC60" s="81">
        <f t="shared" si="8"/>
        <v>0</v>
      </c>
      <c r="AD60" s="65"/>
      <c r="AE60" s="112"/>
      <c r="AF60" s="203">
        <v>0.3</v>
      </c>
      <c r="AG60" s="109">
        <f t="shared" si="9"/>
        <v>0</v>
      </c>
      <c r="AH60" s="84">
        <f t="shared" si="10"/>
        <v>0</v>
      </c>
      <c r="AI60" s="65"/>
      <c r="AJ60" s="112"/>
      <c r="AK60" s="122"/>
      <c r="AL60" s="109">
        <v>1212</v>
      </c>
      <c r="AM60" s="84">
        <f t="shared" si="11"/>
        <v>0</v>
      </c>
      <c r="AN60" s="65"/>
      <c r="AO60" s="112"/>
      <c r="AP60" s="204"/>
      <c r="AQ60" s="109">
        <f>IFERROR((O60+AH60+AM60)/Dashboard!$D$15,0)*0.2</f>
        <v>0</v>
      </c>
      <c r="AR60" s="84">
        <f t="shared" si="24"/>
        <v>0</v>
      </c>
      <c r="AS60" s="65"/>
      <c r="AT60" s="112"/>
      <c r="AU60" s="203">
        <v>0.33</v>
      </c>
      <c r="AV60" s="109">
        <f t="shared" si="13"/>
        <v>0</v>
      </c>
      <c r="AW60" s="84">
        <f t="shared" si="14"/>
        <v>0</v>
      </c>
      <c r="AX60" s="65"/>
      <c r="AY60" s="112"/>
      <c r="AZ60" s="203">
        <v>0.25</v>
      </c>
      <c r="BA60" s="109">
        <f t="shared" si="15"/>
        <v>0</v>
      </c>
      <c r="BB60" s="84">
        <f t="shared" si="16"/>
        <v>0</v>
      </c>
      <c r="BC60" s="65"/>
      <c r="BD60" s="112"/>
      <c r="BE60" s="203">
        <v>0.26</v>
      </c>
      <c r="BF60" s="109">
        <f t="shared" si="17"/>
        <v>0</v>
      </c>
      <c r="BG60" s="84">
        <f t="shared" si="18"/>
        <v>0</v>
      </c>
      <c r="BH60" s="197"/>
      <c r="BI60" s="517"/>
      <c r="BJ60" s="65"/>
      <c r="BK60" s="81">
        <f t="shared" si="19"/>
        <v>0</v>
      </c>
      <c r="BL60" s="65"/>
      <c r="BM60" s="65"/>
      <c r="BN60" s="204"/>
      <c r="BO60" s="109">
        <f>($O60/Dashboard!$D$15)*(1+Dashboard!$D$19)</f>
        <v>0</v>
      </c>
      <c r="BP60" s="84">
        <f t="shared" si="20"/>
        <v>0</v>
      </c>
      <c r="BQ60" s="65"/>
      <c r="BR60" s="65"/>
      <c r="BS60" s="204"/>
      <c r="BT60" s="109">
        <f>($O60/Dashboard!$D$15)*(1+Dashboard!$D$20)</f>
        <v>0</v>
      </c>
      <c r="BU60" s="84">
        <f t="shared" si="21"/>
        <v>0</v>
      </c>
      <c r="BV60" s="65"/>
      <c r="BW60" s="65"/>
      <c r="BX60" s="204"/>
      <c r="BY60" s="109">
        <f>($O60/Dashboard!$D$15)*(1+Dashboard!$D$21)</f>
        <v>0</v>
      </c>
      <c r="BZ60" s="84">
        <f t="shared" si="22"/>
        <v>0</v>
      </c>
    </row>
    <row r="61" spans="2:78" ht="12" hidden="1" customHeight="1" outlineLevel="1">
      <c r="B61" s="137" t="str">
        <f>'Cronog. e Histog.'!B818</f>
        <v/>
      </c>
      <c r="C61" s="65"/>
      <c r="D61" s="200">
        <f t="shared" si="2"/>
        <v>0</v>
      </c>
      <c r="E61" s="200">
        <f t="shared" si="3"/>
        <v>0</v>
      </c>
      <c r="F61" s="65"/>
      <c r="G61" s="200">
        <f t="shared" si="4"/>
        <v>0</v>
      </c>
      <c r="H61" s="200">
        <f t="shared" si="5"/>
        <v>0</v>
      </c>
      <c r="I61" s="65"/>
      <c r="J61" s="143" t="str">
        <f>IF('Cronog. e Histog.'!F818&gt;0,'Cronog. e Histog.'!F818,"")</f>
        <v/>
      </c>
      <c r="K61" s="65"/>
      <c r="L61" s="144">
        <f>IF('Cronog. e Histog.'!H818&gt;0,'Cronog. e Histog.'!H818,0)</f>
        <v>0</v>
      </c>
      <c r="M61" s="144">
        <f>IF('Cronog. e Histog.'!I818&gt;0,'Cronog. e Histog.'!I818,0)</f>
        <v>0</v>
      </c>
      <c r="N61" s="65"/>
      <c r="O61" s="109">
        <f>_xlfn.XLOOKUP(B61,Salários!B:B,Salários!K:K)</f>
        <v>0</v>
      </c>
      <c r="P61" s="109">
        <f t="shared" si="6"/>
        <v>0</v>
      </c>
      <c r="Q61" s="109">
        <f t="shared" si="7"/>
        <v>0</v>
      </c>
      <c r="R61" s="65"/>
      <c r="S61" s="109">
        <f t="shared" si="23"/>
        <v>0</v>
      </c>
      <c r="T61" s="201" t="str">
        <f>IF(_xlfn.XLOOKUP(B61,Salários!B:B,Salários!I:I)&gt;0,_xlfn.XLOOKUP(B61,Salários!B:B,Salários!I:I),"")</f>
        <v/>
      </c>
      <c r="U61" s="117">
        <f t="shared" si="1"/>
        <v>0</v>
      </c>
      <c r="V61" s="65"/>
      <c r="W61" s="202"/>
      <c r="X61" s="65"/>
      <c r="Y61" s="69"/>
      <c r="Z61" s="65"/>
      <c r="AA61" s="517"/>
      <c r="AB61" s="65"/>
      <c r="AC61" s="81">
        <f t="shared" si="8"/>
        <v>0</v>
      </c>
      <c r="AD61" s="65"/>
      <c r="AE61" s="112"/>
      <c r="AF61" s="203">
        <v>0.3</v>
      </c>
      <c r="AG61" s="109">
        <f t="shared" si="9"/>
        <v>0</v>
      </c>
      <c r="AH61" s="84">
        <f t="shared" si="10"/>
        <v>0</v>
      </c>
      <c r="AI61" s="65"/>
      <c r="AJ61" s="112"/>
      <c r="AK61" s="122"/>
      <c r="AL61" s="109">
        <v>1212</v>
      </c>
      <c r="AM61" s="84">
        <f t="shared" si="11"/>
        <v>0</v>
      </c>
      <c r="AN61" s="65"/>
      <c r="AO61" s="112"/>
      <c r="AP61" s="204"/>
      <c r="AQ61" s="109">
        <f>IFERROR((O61+AH61+AM61)/Dashboard!$D$15,0)*0.2</f>
        <v>0</v>
      </c>
      <c r="AR61" s="84">
        <f t="shared" si="24"/>
        <v>0</v>
      </c>
      <c r="AS61" s="65"/>
      <c r="AT61" s="112"/>
      <c r="AU61" s="203">
        <v>0.33</v>
      </c>
      <c r="AV61" s="109">
        <f t="shared" si="13"/>
        <v>0</v>
      </c>
      <c r="AW61" s="84">
        <f t="shared" si="14"/>
        <v>0</v>
      </c>
      <c r="AX61" s="65"/>
      <c r="AY61" s="112"/>
      <c r="AZ61" s="203">
        <v>0.25</v>
      </c>
      <c r="BA61" s="109">
        <f t="shared" si="15"/>
        <v>0</v>
      </c>
      <c r="BB61" s="84">
        <f t="shared" si="16"/>
        <v>0</v>
      </c>
      <c r="BC61" s="65"/>
      <c r="BD61" s="112"/>
      <c r="BE61" s="203">
        <v>0.26</v>
      </c>
      <c r="BF61" s="109">
        <f t="shared" si="17"/>
        <v>0</v>
      </c>
      <c r="BG61" s="84">
        <f t="shared" si="18"/>
        <v>0</v>
      </c>
      <c r="BH61" s="197"/>
      <c r="BI61" s="517"/>
      <c r="BJ61" s="65"/>
      <c r="BK61" s="81">
        <f t="shared" si="19"/>
        <v>0</v>
      </c>
      <c r="BL61" s="65"/>
      <c r="BM61" s="65"/>
      <c r="BN61" s="204"/>
      <c r="BO61" s="109">
        <f>($O61/Dashboard!$D$15)*(1+Dashboard!$D$19)</f>
        <v>0</v>
      </c>
      <c r="BP61" s="84">
        <f t="shared" si="20"/>
        <v>0</v>
      </c>
      <c r="BQ61" s="65"/>
      <c r="BR61" s="65"/>
      <c r="BS61" s="204"/>
      <c r="BT61" s="109">
        <f>($O61/Dashboard!$D$15)*(1+Dashboard!$D$20)</f>
        <v>0</v>
      </c>
      <c r="BU61" s="84">
        <f t="shared" si="21"/>
        <v>0</v>
      </c>
      <c r="BV61" s="65"/>
      <c r="BW61" s="65"/>
      <c r="BX61" s="204"/>
      <c r="BY61" s="109">
        <f>($O61/Dashboard!$D$15)*(1+Dashboard!$D$21)</f>
        <v>0</v>
      </c>
      <c r="BZ61" s="84">
        <f t="shared" si="22"/>
        <v>0</v>
      </c>
    </row>
    <row r="62" spans="2:78" ht="12" hidden="1" customHeight="1" outlineLevel="1">
      <c r="B62" s="137" t="str">
        <f>'Cronog. e Histog.'!B819</f>
        <v/>
      </c>
      <c r="C62" s="65"/>
      <c r="D62" s="200">
        <f t="shared" si="2"/>
        <v>0</v>
      </c>
      <c r="E62" s="200">
        <f t="shared" si="3"/>
        <v>0</v>
      </c>
      <c r="F62" s="65"/>
      <c r="G62" s="200">
        <f t="shared" si="4"/>
        <v>0</v>
      </c>
      <c r="H62" s="200">
        <f t="shared" si="5"/>
        <v>0</v>
      </c>
      <c r="I62" s="65"/>
      <c r="J62" s="143" t="str">
        <f>IF('Cronog. e Histog.'!F819&gt;0,'Cronog. e Histog.'!F819,"")</f>
        <v/>
      </c>
      <c r="K62" s="65"/>
      <c r="L62" s="144">
        <f>IF('Cronog. e Histog.'!H819&gt;0,'Cronog. e Histog.'!H819,0)</f>
        <v>0</v>
      </c>
      <c r="M62" s="144">
        <f>IF('Cronog. e Histog.'!I819&gt;0,'Cronog. e Histog.'!I819,0)</f>
        <v>0</v>
      </c>
      <c r="N62" s="65"/>
      <c r="O62" s="109">
        <f>_xlfn.XLOOKUP(B62,Salários!B:B,Salários!K:K)</f>
        <v>0</v>
      </c>
      <c r="P62" s="109">
        <f t="shared" si="6"/>
        <v>0</v>
      </c>
      <c r="Q62" s="109">
        <f t="shared" si="7"/>
        <v>0</v>
      </c>
      <c r="R62" s="65"/>
      <c r="S62" s="109">
        <f t="shared" si="23"/>
        <v>0</v>
      </c>
      <c r="T62" s="201" t="str">
        <f>IF(_xlfn.XLOOKUP(B62,Salários!B:B,Salários!I:I)&gt;0,_xlfn.XLOOKUP(B62,Salários!B:B,Salários!I:I),"")</f>
        <v/>
      </c>
      <c r="U62" s="117">
        <f t="shared" si="1"/>
        <v>0</v>
      </c>
      <c r="V62" s="65"/>
      <c r="W62" s="202"/>
      <c r="X62" s="65"/>
      <c r="Y62" s="69"/>
      <c r="Z62" s="65"/>
      <c r="AA62" s="517"/>
      <c r="AB62" s="65"/>
      <c r="AC62" s="81">
        <f t="shared" si="8"/>
        <v>0</v>
      </c>
      <c r="AD62" s="65"/>
      <c r="AE62" s="112"/>
      <c r="AF62" s="203">
        <v>0.3</v>
      </c>
      <c r="AG62" s="109">
        <f t="shared" si="9"/>
        <v>0</v>
      </c>
      <c r="AH62" s="84">
        <f t="shared" si="10"/>
        <v>0</v>
      </c>
      <c r="AI62" s="65"/>
      <c r="AJ62" s="112"/>
      <c r="AK62" s="122"/>
      <c r="AL62" s="109">
        <v>1212</v>
      </c>
      <c r="AM62" s="84">
        <f t="shared" si="11"/>
        <v>0</v>
      </c>
      <c r="AN62" s="65"/>
      <c r="AO62" s="112"/>
      <c r="AP62" s="204"/>
      <c r="AQ62" s="109">
        <f>IFERROR((O62+AH62+AM62)/Dashboard!$D$15,0)*0.2</f>
        <v>0</v>
      </c>
      <c r="AR62" s="84">
        <f t="shared" si="24"/>
        <v>0</v>
      </c>
      <c r="AS62" s="65"/>
      <c r="AT62" s="112"/>
      <c r="AU62" s="203">
        <v>0.33</v>
      </c>
      <c r="AV62" s="109">
        <f t="shared" si="13"/>
        <v>0</v>
      </c>
      <c r="AW62" s="84">
        <f t="shared" si="14"/>
        <v>0</v>
      </c>
      <c r="AX62" s="65"/>
      <c r="AY62" s="112"/>
      <c r="AZ62" s="203">
        <v>0.25</v>
      </c>
      <c r="BA62" s="109">
        <f t="shared" si="15"/>
        <v>0</v>
      </c>
      <c r="BB62" s="84">
        <f t="shared" si="16"/>
        <v>0</v>
      </c>
      <c r="BC62" s="65"/>
      <c r="BD62" s="112"/>
      <c r="BE62" s="203">
        <v>0.26</v>
      </c>
      <c r="BF62" s="109">
        <f t="shared" si="17"/>
        <v>0</v>
      </c>
      <c r="BG62" s="84">
        <f t="shared" si="18"/>
        <v>0</v>
      </c>
      <c r="BH62" s="197"/>
      <c r="BI62" s="517"/>
      <c r="BJ62" s="65"/>
      <c r="BK62" s="81">
        <f t="shared" si="19"/>
        <v>0</v>
      </c>
      <c r="BL62" s="65"/>
      <c r="BM62" s="65"/>
      <c r="BN62" s="204"/>
      <c r="BO62" s="109">
        <f>($O62/Dashboard!$D$15)*(1+Dashboard!$D$19)</f>
        <v>0</v>
      </c>
      <c r="BP62" s="84">
        <f t="shared" si="20"/>
        <v>0</v>
      </c>
      <c r="BQ62" s="65"/>
      <c r="BR62" s="65"/>
      <c r="BS62" s="204"/>
      <c r="BT62" s="109">
        <f>($O62/Dashboard!$D$15)*(1+Dashboard!$D$20)</f>
        <v>0</v>
      </c>
      <c r="BU62" s="84">
        <f t="shared" si="21"/>
        <v>0</v>
      </c>
      <c r="BV62" s="65"/>
      <c r="BW62" s="65"/>
      <c r="BX62" s="204"/>
      <c r="BY62" s="109">
        <f>($O62/Dashboard!$D$15)*(1+Dashboard!$D$21)</f>
        <v>0</v>
      </c>
      <c r="BZ62" s="84">
        <f t="shared" si="22"/>
        <v>0</v>
      </c>
    </row>
    <row r="63" spans="2:78" ht="12" hidden="1" customHeight="1" outlineLevel="1">
      <c r="B63" s="137" t="str">
        <f>'Cronog. e Histog.'!B821</f>
        <v>Líder de Almoxarifado - Almoxarifado e Materiais</v>
      </c>
      <c r="C63" s="65"/>
      <c r="D63" s="200">
        <f t="shared" si="2"/>
        <v>0</v>
      </c>
      <c r="E63" s="200">
        <f t="shared" si="3"/>
        <v>0</v>
      </c>
      <c r="F63" s="65"/>
      <c r="G63" s="200">
        <f t="shared" si="4"/>
        <v>0</v>
      </c>
      <c r="H63" s="200">
        <f t="shared" si="5"/>
        <v>0</v>
      </c>
      <c r="I63" s="65"/>
      <c r="J63" s="143" t="str">
        <f>IF('Cronog. e Histog.'!F821&gt;0,'Cronog. e Histog.'!F821,"")</f>
        <v>Líder de Almoxarifado</v>
      </c>
      <c r="K63" s="65"/>
      <c r="L63" s="144">
        <f>IF('Cronog. e Histog.'!H821&gt;0,'Cronog. e Histog.'!H821,0)</f>
        <v>0</v>
      </c>
      <c r="M63" s="144">
        <f>IF('Cronog. e Histog.'!I821&gt;0,'Cronog. e Histog.'!I821,0)</f>
        <v>0</v>
      </c>
      <c r="N63" s="65"/>
      <c r="O63" s="109">
        <f>_xlfn.XLOOKUP(B63,Salários!B:B,Salários!K:K)</f>
        <v>0</v>
      </c>
      <c r="P63" s="109">
        <f t="shared" si="6"/>
        <v>0</v>
      </c>
      <c r="Q63" s="109">
        <f t="shared" si="7"/>
        <v>0</v>
      </c>
      <c r="R63" s="65"/>
      <c r="S63" s="109">
        <f t="shared" si="23"/>
        <v>0</v>
      </c>
      <c r="T63" s="201" t="str">
        <f>IF(_xlfn.XLOOKUP(B63,Salários!B:B,Salários!I:I)&gt;0,_xlfn.XLOOKUP(B63,Salários!B:B,Salários!I:I),"")</f>
        <v/>
      </c>
      <c r="U63" s="117">
        <f t="shared" si="1"/>
        <v>0</v>
      </c>
      <c r="V63" s="65"/>
      <c r="W63" s="202"/>
      <c r="X63" s="65"/>
      <c r="Y63" s="69"/>
      <c r="Z63" s="65"/>
      <c r="AA63" s="517"/>
      <c r="AB63" s="65"/>
      <c r="AC63" s="81">
        <f t="shared" si="8"/>
        <v>0</v>
      </c>
      <c r="AD63" s="65"/>
      <c r="AE63" s="112"/>
      <c r="AF63" s="203">
        <v>0.3</v>
      </c>
      <c r="AG63" s="109">
        <f t="shared" si="9"/>
        <v>0</v>
      </c>
      <c r="AH63" s="84">
        <f t="shared" si="10"/>
        <v>0</v>
      </c>
      <c r="AI63" s="65"/>
      <c r="AJ63" s="112"/>
      <c r="AK63" s="122"/>
      <c r="AL63" s="109">
        <v>1212</v>
      </c>
      <c r="AM63" s="84">
        <f t="shared" si="11"/>
        <v>0</v>
      </c>
      <c r="AN63" s="65"/>
      <c r="AO63" s="112"/>
      <c r="AP63" s="204"/>
      <c r="AQ63" s="109">
        <f>IFERROR((O63+AH63+AM63)/Dashboard!$D$15,0)*0.2</f>
        <v>0</v>
      </c>
      <c r="AR63" s="84">
        <f t="shared" si="24"/>
        <v>0</v>
      </c>
      <c r="AS63" s="65"/>
      <c r="AT63" s="112"/>
      <c r="AU63" s="203">
        <v>0.33</v>
      </c>
      <c r="AV63" s="109">
        <f t="shared" si="13"/>
        <v>0</v>
      </c>
      <c r="AW63" s="84">
        <f t="shared" si="14"/>
        <v>0</v>
      </c>
      <c r="AX63" s="65"/>
      <c r="AY63" s="112"/>
      <c r="AZ63" s="203">
        <v>0.25</v>
      </c>
      <c r="BA63" s="109">
        <f t="shared" si="15"/>
        <v>0</v>
      </c>
      <c r="BB63" s="84">
        <f t="shared" si="16"/>
        <v>0</v>
      </c>
      <c r="BC63" s="65"/>
      <c r="BD63" s="112"/>
      <c r="BE63" s="203">
        <v>0.26</v>
      </c>
      <c r="BF63" s="109">
        <f t="shared" si="17"/>
        <v>0</v>
      </c>
      <c r="BG63" s="84">
        <f t="shared" si="18"/>
        <v>0</v>
      </c>
      <c r="BH63" s="197"/>
      <c r="BI63" s="517"/>
      <c r="BJ63" s="65"/>
      <c r="BK63" s="81">
        <f t="shared" si="19"/>
        <v>0</v>
      </c>
      <c r="BL63" s="65"/>
      <c r="BM63" s="65"/>
      <c r="BN63" s="204"/>
      <c r="BO63" s="109">
        <f>($O63/Dashboard!$D$15)*(1+Dashboard!$D$19)</f>
        <v>0</v>
      </c>
      <c r="BP63" s="84">
        <f t="shared" si="20"/>
        <v>0</v>
      </c>
      <c r="BQ63" s="65"/>
      <c r="BR63" s="65"/>
      <c r="BS63" s="204"/>
      <c r="BT63" s="109">
        <f>($O63/Dashboard!$D$15)*(1+Dashboard!$D$20)</f>
        <v>0</v>
      </c>
      <c r="BU63" s="84">
        <f t="shared" si="21"/>
        <v>0</v>
      </c>
      <c r="BV63" s="65"/>
      <c r="BW63" s="65"/>
      <c r="BX63" s="204"/>
      <c r="BY63" s="109">
        <f>($O63/Dashboard!$D$15)*(1+Dashboard!$D$21)</f>
        <v>0</v>
      </c>
      <c r="BZ63" s="84">
        <f t="shared" si="22"/>
        <v>0</v>
      </c>
    </row>
    <row r="64" spans="2:78" ht="12" hidden="1" customHeight="1" outlineLevel="1">
      <c r="B64" s="137" t="str">
        <f>'Cronog. e Histog.'!B822</f>
        <v>Almoxarife - Almoxarifado e Materiais</v>
      </c>
      <c r="C64" s="65"/>
      <c r="D64" s="200">
        <f t="shared" si="2"/>
        <v>0</v>
      </c>
      <c r="E64" s="200">
        <f t="shared" si="3"/>
        <v>0</v>
      </c>
      <c r="F64" s="65"/>
      <c r="G64" s="200">
        <f t="shared" si="4"/>
        <v>0</v>
      </c>
      <c r="H64" s="200">
        <f t="shared" si="5"/>
        <v>0</v>
      </c>
      <c r="I64" s="65"/>
      <c r="J64" s="143" t="str">
        <f>IF('Cronog. e Histog.'!F822&gt;0,'Cronog. e Histog.'!F822,"")</f>
        <v>Almoxarife</v>
      </c>
      <c r="K64" s="65"/>
      <c r="L64" s="144">
        <f>IF('Cronog. e Histog.'!H822&gt;0,'Cronog. e Histog.'!H822,0)</f>
        <v>0</v>
      </c>
      <c r="M64" s="144">
        <f>IF('Cronog. e Histog.'!I822&gt;0,'Cronog. e Histog.'!I822,0)</f>
        <v>0</v>
      </c>
      <c r="N64" s="65"/>
      <c r="O64" s="109">
        <f>_xlfn.XLOOKUP(B64,Salários!B:B,Salários!K:K)</f>
        <v>0</v>
      </c>
      <c r="P64" s="109">
        <f t="shared" si="6"/>
        <v>0</v>
      </c>
      <c r="Q64" s="109">
        <f t="shared" si="7"/>
        <v>0</v>
      </c>
      <c r="R64" s="65"/>
      <c r="S64" s="109">
        <f t="shared" si="23"/>
        <v>0</v>
      </c>
      <c r="T64" s="201" t="str">
        <f>IF(_xlfn.XLOOKUP(B64,Salários!B:B,Salários!I:I)&gt;0,_xlfn.XLOOKUP(B64,Salários!B:B,Salários!I:I),"")</f>
        <v/>
      </c>
      <c r="U64" s="117">
        <f t="shared" si="1"/>
        <v>0</v>
      </c>
      <c r="V64" s="65"/>
      <c r="W64" s="202"/>
      <c r="X64" s="65"/>
      <c r="Y64" s="69"/>
      <c r="Z64" s="65"/>
      <c r="AA64" s="517"/>
      <c r="AB64" s="65"/>
      <c r="AC64" s="81">
        <f t="shared" si="8"/>
        <v>0</v>
      </c>
      <c r="AD64" s="65"/>
      <c r="AE64" s="112"/>
      <c r="AF64" s="203">
        <v>0.3</v>
      </c>
      <c r="AG64" s="109">
        <f t="shared" si="9"/>
        <v>0</v>
      </c>
      <c r="AH64" s="84">
        <f t="shared" si="10"/>
        <v>0</v>
      </c>
      <c r="AI64" s="65"/>
      <c r="AJ64" s="112"/>
      <c r="AK64" s="122"/>
      <c r="AL64" s="109">
        <v>1212</v>
      </c>
      <c r="AM64" s="84">
        <f t="shared" si="11"/>
        <v>0</v>
      </c>
      <c r="AN64" s="65"/>
      <c r="AO64" s="112"/>
      <c r="AP64" s="204"/>
      <c r="AQ64" s="109">
        <f>IFERROR((O64+AH64+AM64)/Dashboard!$D$15,0)*0.2</f>
        <v>0</v>
      </c>
      <c r="AR64" s="84">
        <f t="shared" si="24"/>
        <v>0</v>
      </c>
      <c r="AS64" s="65"/>
      <c r="AT64" s="112"/>
      <c r="AU64" s="203">
        <v>0.33</v>
      </c>
      <c r="AV64" s="109">
        <f t="shared" si="13"/>
        <v>0</v>
      </c>
      <c r="AW64" s="84">
        <f t="shared" si="14"/>
        <v>0</v>
      </c>
      <c r="AX64" s="65"/>
      <c r="AY64" s="112"/>
      <c r="AZ64" s="203">
        <v>0.25</v>
      </c>
      <c r="BA64" s="109">
        <f t="shared" si="15"/>
        <v>0</v>
      </c>
      <c r="BB64" s="84">
        <f t="shared" si="16"/>
        <v>0</v>
      </c>
      <c r="BC64" s="65"/>
      <c r="BD64" s="112"/>
      <c r="BE64" s="203">
        <v>0.26</v>
      </c>
      <c r="BF64" s="109">
        <f t="shared" si="17"/>
        <v>0</v>
      </c>
      <c r="BG64" s="84">
        <f t="shared" si="18"/>
        <v>0</v>
      </c>
      <c r="BH64" s="197"/>
      <c r="BI64" s="517"/>
      <c r="BJ64" s="65"/>
      <c r="BK64" s="81">
        <f t="shared" si="19"/>
        <v>0</v>
      </c>
      <c r="BL64" s="65"/>
      <c r="BM64" s="65"/>
      <c r="BN64" s="204"/>
      <c r="BO64" s="109">
        <f>($O64/Dashboard!$D$15)*(1+Dashboard!$D$19)</f>
        <v>0</v>
      </c>
      <c r="BP64" s="84">
        <f t="shared" si="20"/>
        <v>0</v>
      </c>
      <c r="BQ64" s="65"/>
      <c r="BR64" s="65"/>
      <c r="BS64" s="204"/>
      <c r="BT64" s="109">
        <f>($O64/Dashboard!$D$15)*(1+Dashboard!$D$20)</f>
        <v>0</v>
      </c>
      <c r="BU64" s="84">
        <f t="shared" si="21"/>
        <v>0</v>
      </c>
      <c r="BV64" s="65"/>
      <c r="BW64" s="65"/>
      <c r="BX64" s="204"/>
      <c r="BY64" s="109">
        <f>($O64/Dashboard!$D$15)*(1+Dashboard!$D$21)</f>
        <v>0</v>
      </c>
      <c r="BZ64" s="84">
        <f t="shared" si="22"/>
        <v>0</v>
      </c>
    </row>
    <row r="65" spans="2:78" ht="12" hidden="1" customHeight="1" outlineLevel="1">
      <c r="B65" s="137" t="str">
        <f>'Cronog. e Histog.'!B823</f>
        <v>Auxiliar de Almoxarifado - Almoxarifado e Materiais</v>
      </c>
      <c r="C65" s="65"/>
      <c r="D65" s="200">
        <f t="shared" si="2"/>
        <v>0</v>
      </c>
      <c r="E65" s="200">
        <f t="shared" si="3"/>
        <v>0</v>
      </c>
      <c r="F65" s="65"/>
      <c r="G65" s="200">
        <f t="shared" si="4"/>
        <v>0</v>
      </c>
      <c r="H65" s="200">
        <f t="shared" si="5"/>
        <v>0</v>
      </c>
      <c r="I65" s="65"/>
      <c r="J65" s="143" t="str">
        <f>IF('Cronog. e Histog.'!F823&gt;0,'Cronog. e Histog.'!F823,"")</f>
        <v>Auxiliar de Almoxarifado</v>
      </c>
      <c r="K65" s="65"/>
      <c r="L65" s="144">
        <f>IF('Cronog. e Histog.'!H823&gt;0,'Cronog. e Histog.'!H823,0)</f>
        <v>0</v>
      </c>
      <c r="M65" s="144">
        <f>IF('Cronog. e Histog.'!I823&gt;0,'Cronog. e Histog.'!I823,0)</f>
        <v>0</v>
      </c>
      <c r="N65" s="65"/>
      <c r="O65" s="109">
        <f>_xlfn.XLOOKUP(B65,Salários!B:B,Salários!K:K)</f>
        <v>0</v>
      </c>
      <c r="P65" s="109">
        <f t="shared" si="6"/>
        <v>0</v>
      </c>
      <c r="Q65" s="109">
        <f t="shared" si="7"/>
        <v>0</v>
      </c>
      <c r="R65" s="65"/>
      <c r="S65" s="109">
        <f t="shared" si="23"/>
        <v>0</v>
      </c>
      <c r="T65" s="201" t="str">
        <f>IF(_xlfn.XLOOKUP(B65,Salários!B:B,Salários!I:I)&gt;0,_xlfn.XLOOKUP(B65,Salários!B:B,Salários!I:I),"")</f>
        <v/>
      </c>
      <c r="U65" s="117">
        <f t="shared" si="1"/>
        <v>0</v>
      </c>
      <c r="V65" s="65"/>
      <c r="W65" s="202"/>
      <c r="X65" s="65"/>
      <c r="Y65" s="69"/>
      <c r="Z65" s="65"/>
      <c r="AA65" s="517"/>
      <c r="AB65" s="65"/>
      <c r="AC65" s="81">
        <f t="shared" si="8"/>
        <v>0</v>
      </c>
      <c r="AD65" s="65"/>
      <c r="AE65" s="112"/>
      <c r="AF65" s="203">
        <v>0.3</v>
      </c>
      <c r="AG65" s="109">
        <f t="shared" si="9"/>
        <v>0</v>
      </c>
      <c r="AH65" s="84">
        <f t="shared" si="10"/>
        <v>0</v>
      </c>
      <c r="AI65" s="65"/>
      <c r="AJ65" s="112"/>
      <c r="AK65" s="122"/>
      <c r="AL65" s="109">
        <v>1212</v>
      </c>
      <c r="AM65" s="84">
        <f t="shared" si="11"/>
        <v>0</v>
      </c>
      <c r="AN65" s="65"/>
      <c r="AO65" s="112"/>
      <c r="AP65" s="204"/>
      <c r="AQ65" s="109">
        <f>IFERROR((O65+AH65+AM65)/Dashboard!$D$15,0)*0.2</f>
        <v>0</v>
      </c>
      <c r="AR65" s="84">
        <f t="shared" si="24"/>
        <v>0</v>
      </c>
      <c r="AS65" s="65"/>
      <c r="AT65" s="112"/>
      <c r="AU65" s="203">
        <v>0.33</v>
      </c>
      <c r="AV65" s="109">
        <f t="shared" si="13"/>
        <v>0</v>
      </c>
      <c r="AW65" s="84">
        <f t="shared" si="14"/>
        <v>0</v>
      </c>
      <c r="AX65" s="65"/>
      <c r="AY65" s="112"/>
      <c r="AZ65" s="203">
        <v>0.25</v>
      </c>
      <c r="BA65" s="109">
        <f t="shared" si="15"/>
        <v>0</v>
      </c>
      <c r="BB65" s="84">
        <f t="shared" si="16"/>
        <v>0</v>
      </c>
      <c r="BC65" s="65"/>
      <c r="BD65" s="112"/>
      <c r="BE65" s="203">
        <v>0.26</v>
      </c>
      <c r="BF65" s="109">
        <f t="shared" si="17"/>
        <v>0</v>
      </c>
      <c r="BG65" s="84">
        <f t="shared" si="18"/>
        <v>0</v>
      </c>
      <c r="BH65" s="197"/>
      <c r="BI65" s="517"/>
      <c r="BJ65" s="65"/>
      <c r="BK65" s="81">
        <f t="shared" si="19"/>
        <v>0</v>
      </c>
      <c r="BL65" s="65"/>
      <c r="BM65" s="65"/>
      <c r="BN65" s="204"/>
      <c r="BO65" s="109">
        <f>($O65/Dashboard!$D$15)*(1+Dashboard!$D$19)</f>
        <v>0</v>
      </c>
      <c r="BP65" s="84">
        <f t="shared" si="20"/>
        <v>0</v>
      </c>
      <c r="BQ65" s="65"/>
      <c r="BR65" s="65"/>
      <c r="BS65" s="204"/>
      <c r="BT65" s="109">
        <f>($O65/Dashboard!$D$15)*(1+Dashboard!$D$20)</f>
        <v>0</v>
      </c>
      <c r="BU65" s="84">
        <f t="shared" si="21"/>
        <v>0</v>
      </c>
      <c r="BV65" s="65"/>
      <c r="BW65" s="65"/>
      <c r="BX65" s="204"/>
      <c r="BY65" s="109">
        <f>($O65/Dashboard!$D$15)*(1+Dashboard!$D$21)</f>
        <v>0</v>
      </c>
      <c r="BZ65" s="84">
        <f t="shared" si="22"/>
        <v>0</v>
      </c>
    </row>
    <row r="66" spans="2:78" ht="12" hidden="1" customHeight="1" outlineLevel="1">
      <c r="B66" s="137" t="str">
        <f>'Cronog. e Histog.'!B824</f>
        <v>Técnico de Materiais - Almoxarifado e Materiais</v>
      </c>
      <c r="C66" s="65"/>
      <c r="D66" s="200">
        <f t="shared" si="2"/>
        <v>0</v>
      </c>
      <c r="E66" s="200">
        <f t="shared" si="3"/>
        <v>0</v>
      </c>
      <c r="F66" s="65"/>
      <c r="G66" s="200">
        <f t="shared" si="4"/>
        <v>0</v>
      </c>
      <c r="H66" s="200">
        <f t="shared" si="5"/>
        <v>0</v>
      </c>
      <c r="I66" s="65"/>
      <c r="J66" s="143" t="str">
        <f>IF('Cronog. e Histog.'!F824&gt;0,'Cronog. e Histog.'!F824,"")</f>
        <v>Técnico de Materiais</v>
      </c>
      <c r="K66" s="65"/>
      <c r="L66" s="144">
        <f>IF('Cronog. e Histog.'!H824&gt;0,'Cronog. e Histog.'!H824,0)</f>
        <v>0</v>
      </c>
      <c r="M66" s="144">
        <f>IF('Cronog. e Histog.'!I824&gt;0,'Cronog. e Histog.'!I824,0)</f>
        <v>0</v>
      </c>
      <c r="N66" s="65"/>
      <c r="O66" s="109">
        <f>_xlfn.XLOOKUP(B66,Salários!B:B,Salários!K:K)</f>
        <v>0</v>
      </c>
      <c r="P66" s="109">
        <f t="shared" si="6"/>
        <v>0</v>
      </c>
      <c r="Q66" s="109">
        <f t="shared" si="7"/>
        <v>0</v>
      </c>
      <c r="R66" s="65"/>
      <c r="S66" s="109">
        <f t="shared" si="23"/>
        <v>0</v>
      </c>
      <c r="T66" s="201" t="str">
        <f>IF(_xlfn.XLOOKUP(B66,Salários!B:B,Salários!I:I)&gt;0,_xlfn.XLOOKUP(B66,Salários!B:B,Salários!I:I),"")</f>
        <v/>
      </c>
      <c r="U66" s="117">
        <f t="shared" si="1"/>
        <v>0</v>
      </c>
      <c r="V66" s="65"/>
      <c r="W66" s="202"/>
      <c r="X66" s="65"/>
      <c r="Y66" s="69"/>
      <c r="Z66" s="65"/>
      <c r="AA66" s="517"/>
      <c r="AB66" s="65"/>
      <c r="AC66" s="81">
        <f t="shared" si="8"/>
        <v>0</v>
      </c>
      <c r="AD66" s="65"/>
      <c r="AE66" s="112"/>
      <c r="AF66" s="203">
        <v>0.3</v>
      </c>
      <c r="AG66" s="109">
        <f t="shared" si="9"/>
        <v>0</v>
      </c>
      <c r="AH66" s="84">
        <f t="shared" si="10"/>
        <v>0</v>
      </c>
      <c r="AI66" s="65"/>
      <c r="AJ66" s="112"/>
      <c r="AK66" s="122"/>
      <c r="AL66" s="109">
        <v>1212</v>
      </c>
      <c r="AM66" s="84">
        <f t="shared" si="11"/>
        <v>0</v>
      </c>
      <c r="AN66" s="65"/>
      <c r="AO66" s="112"/>
      <c r="AP66" s="204"/>
      <c r="AQ66" s="109">
        <f>IFERROR((O66+AH66+AM66)/Dashboard!$D$15,0)*0.2</f>
        <v>0</v>
      </c>
      <c r="AR66" s="84">
        <f t="shared" si="24"/>
        <v>0</v>
      </c>
      <c r="AS66" s="65"/>
      <c r="AT66" s="112"/>
      <c r="AU66" s="203">
        <v>0.33</v>
      </c>
      <c r="AV66" s="109">
        <f t="shared" si="13"/>
        <v>0</v>
      </c>
      <c r="AW66" s="84">
        <f t="shared" si="14"/>
        <v>0</v>
      </c>
      <c r="AX66" s="65"/>
      <c r="AY66" s="112"/>
      <c r="AZ66" s="203">
        <v>0.25</v>
      </c>
      <c r="BA66" s="109">
        <f t="shared" si="15"/>
        <v>0</v>
      </c>
      <c r="BB66" s="84">
        <f t="shared" si="16"/>
        <v>0</v>
      </c>
      <c r="BC66" s="65"/>
      <c r="BD66" s="112"/>
      <c r="BE66" s="203">
        <v>0.26</v>
      </c>
      <c r="BF66" s="109">
        <f t="shared" si="17"/>
        <v>0</v>
      </c>
      <c r="BG66" s="84">
        <f t="shared" si="18"/>
        <v>0</v>
      </c>
      <c r="BH66" s="197"/>
      <c r="BI66" s="517"/>
      <c r="BJ66" s="65"/>
      <c r="BK66" s="81">
        <f t="shared" si="19"/>
        <v>0</v>
      </c>
      <c r="BL66" s="65"/>
      <c r="BM66" s="65"/>
      <c r="BN66" s="204"/>
      <c r="BO66" s="109">
        <f>($O66/Dashboard!$D$15)*(1+Dashboard!$D$19)</f>
        <v>0</v>
      </c>
      <c r="BP66" s="84">
        <f t="shared" si="20"/>
        <v>0</v>
      </c>
      <c r="BQ66" s="65"/>
      <c r="BR66" s="65"/>
      <c r="BS66" s="204"/>
      <c r="BT66" s="109">
        <f>($O66/Dashboard!$D$15)*(1+Dashboard!$D$20)</f>
        <v>0</v>
      </c>
      <c r="BU66" s="84">
        <f t="shared" si="21"/>
        <v>0</v>
      </c>
      <c r="BV66" s="65"/>
      <c r="BW66" s="65"/>
      <c r="BX66" s="204"/>
      <c r="BY66" s="109">
        <f>($O66/Dashboard!$D$15)*(1+Dashboard!$D$21)</f>
        <v>0</v>
      </c>
      <c r="BZ66" s="84">
        <f t="shared" si="22"/>
        <v>0</v>
      </c>
    </row>
    <row r="67" spans="2:78" ht="12" hidden="1" customHeight="1" outlineLevel="1">
      <c r="B67" s="137" t="str">
        <f>'Cronog. e Histog.'!B825</f>
        <v/>
      </c>
      <c r="C67" s="65"/>
      <c r="D67" s="200">
        <f t="shared" si="2"/>
        <v>0</v>
      </c>
      <c r="E67" s="200">
        <f t="shared" si="3"/>
        <v>0</v>
      </c>
      <c r="F67" s="65"/>
      <c r="G67" s="200">
        <f t="shared" si="4"/>
        <v>0</v>
      </c>
      <c r="H67" s="200">
        <f t="shared" si="5"/>
        <v>0</v>
      </c>
      <c r="I67" s="65"/>
      <c r="J67" s="143" t="str">
        <f>IF('Cronog. e Histog.'!F825&gt;0,'Cronog. e Histog.'!F825,"")</f>
        <v/>
      </c>
      <c r="K67" s="65"/>
      <c r="L67" s="144">
        <f>IF('Cronog. e Histog.'!H825&gt;0,'Cronog. e Histog.'!H825,0)</f>
        <v>0</v>
      </c>
      <c r="M67" s="144">
        <f>IF('Cronog. e Histog.'!I825&gt;0,'Cronog. e Histog.'!I825,0)</f>
        <v>0</v>
      </c>
      <c r="N67" s="65"/>
      <c r="O67" s="109">
        <f>_xlfn.XLOOKUP(B67,Salários!B:B,Salários!K:K)</f>
        <v>0</v>
      </c>
      <c r="P67" s="109">
        <f t="shared" si="6"/>
        <v>0</v>
      </c>
      <c r="Q67" s="109">
        <f t="shared" si="7"/>
        <v>0</v>
      </c>
      <c r="R67" s="65"/>
      <c r="S67" s="109">
        <f t="shared" si="23"/>
        <v>0</v>
      </c>
      <c r="T67" s="201" t="str">
        <f>IF(_xlfn.XLOOKUP(B67,Salários!B:B,Salários!I:I)&gt;0,_xlfn.XLOOKUP(B67,Salários!B:B,Salários!I:I),"")</f>
        <v/>
      </c>
      <c r="U67" s="117">
        <f t="shared" si="1"/>
        <v>0</v>
      </c>
      <c r="V67" s="65"/>
      <c r="W67" s="202"/>
      <c r="X67" s="65"/>
      <c r="Y67" s="69"/>
      <c r="Z67" s="65"/>
      <c r="AA67" s="517"/>
      <c r="AB67" s="65"/>
      <c r="AC67" s="81">
        <f t="shared" si="8"/>
        <v>0</v>
      </c>
      <c r="AD67" s="65"/>
      <c r="AE67" s="112"/>
      <c r="AF67" s="203">
        <v>0.3</v>
      </c>
      <c r="AG67" s="109">
        <f t="shared" si="9"/>
        <v>0</v>
      </c>
      <c r="AH67" s="84">
        <f t="shared" si="10"/>
        <v>0</v>
      </c>
      <c r="AI67" s="65"/>
      <c r="AJ67" s="112"/>
      <c r="AK67" s="122"/>
      <c r="AL67" s="109">
        <v>1212</v>
      </c>
      <c r="AM67" s="84">
        <f t="shared" si="11"/>
        <v>0</v>
      </c>
      <c r="AN67" s="65"/>
      <c r="AO67" s="112"/>
      <c r="AP67" s="204"/>
      <c r="AQ67" s="109">
        <f>IFERROR((O67+AH67+AM67)/Dashboard!$D$15,0)*0.2</f>
        <v>0</v>
      </c>
      <c r="AR67" s="84">
        <f t="shared" si="24"/>
        <v>0</v>
      </c>
      <c r="AS67" s="65"/>
      <c r="AT67" s="112"/>
      <c r="AU67" s="203">
        <v>0.33</v>
      </c>
      <c r="AV67" s="109">
        <f t="shared" si="13"/>
        <v>0</v>
      </c>
      <c r="AW67" s="84">
        <f t="shared" si="14"/>
        <v>0</v>
      </c>
      <c r="AX67" s="65"/>
      <c r="AY67" s="112"/>
      <c r="AZ67" s="203">
        <v>0.25</v>
      </c>
      <c r="BA67" s="109">
        <f t="shared" si="15"/>
        <v>0</v>
      </c>
      <c r="BB67" s="84">
        <f t="shared" si="16"/>
        <v>0</v>
      </c>
      <c r="BC67" s="65"/>
      <c r="BD67" s="112"/>
      <c r="BE67" s="203">
        <v>0.26</v>
      </c>
      <c r="BF67" s="109">
        <f t="shared" si="17"/>
        <v>0</v>
      </c>
      <c r="BG67" s="84">
        <f t="shared" si="18"/>
        <v>0</v>
      </c>
      <c r="BH67" s="197"/>
      <c r="BI67" s="517"/>
      <c r="BJ67" s="65"/>
      <c r="BK67" s="81">
        <f t="shared" si="19"/>
        <v>0</v>
      </c>
      <c r="BL67" s="65"/>
      <c r="BM67" s="65"/>
      <c r="BN67" s="204"/>
      <c r="BO67" s="109">
        <f>($O67/Dashboard!$D$15)*(1+Dashboard!$D$19)</f>
        <v>0</v>
      </c>
      <c r="BP67" s="84">
        <f t="shared" si="20"/>
        <v>0</v>
      </c>
      <c r="BQ67" s="65"/>
      <c r="BR67" s="65"/>
      <c r="BS67" s="204"/>
      <c r="BT67" s="109">
        <f>($O67/Dashboard!$D$15)*(1+Dashboard!$D$20)</f>
        <v>0</v>
      </c>
      <c r="BU67" s="84">
        <f t="shared" si="21"/>
        <v>0</v>
      </c>
      <c r="BV67" s="65"/>
      <c r="BW67" s="65"/>
      <c r="BX67" s="204"/>
      <c r="BY67" s="109">
        <f>($O67/Dashboard!$D$15)*(1+Dashboard!$D$21)</f>
        <v>0</v>
      </c>
      <c r="BZ67" s="84">
        <f t="shared" si="22"/>
        <v>0</v>
      </c>
    </row>
    <row r="68" spans="2:78" ht="12" hidden="1" customHeight="1" outlineLevel="1">
      <c r="B68" s="137" t="str">
        <f>'Cronog. e Histog.'!B826</f>
        <v/>
      </c>
      <c r="C68" s="65"/>
      <c r="D68" s="200">
        <f t="shared" si="2"/>
        <v>0</v>
      </c>
      <c r="E68" s="200">
        <f t="shared" si="3"/>
        <v>0</v>
      </c>
      <c r="F68" s="65"/>
      <c r="G68" s="200">
        <f t="shared" si="4"/>
        <v>0</v>
      </c>
      <c r="H68" s="200">
        <f t="shared" si="5"/>
        <v>0</v>
      </c>
      <c r="I68" s="65"/>
      <c r="J68" s="143" t="str">
        <f>IF('Cronog. e Histog.'!F826&gt;0,'Cronog. e Histog.'!F826,"")</f>
        <v/>
      </c>
      <c r="K68" s="65"/>
      <c r="L68" s="144">
        <f>IF('Cronog. e Histog.'!H826&gt;0,'Cronog. e Histog.'!H826,0)</f>
        <v>0</v>
      </c>
      <c r="M68" s="144">
        <f>IF('Cronog. e Histog.'!I826&gt;0,'Cronog. e Histog.'!I826,0)</f>
        <v>0</v>
      </c>
      <c r="N68" s="65"/>
      <c r="O68" s="109">
        <f>_xlfn.XLOOKUP(B68,Salários!B:B,Salários!K:K)</f>
        <v>0</v>
      </c>
      <c r="P68" s="109">
        <f t="shared" si="6"/>
        <v>0</v>
      </c>
      <c r="Q68" s="109">
        <f t="shared" si="7"/>
        <v>0</v>
      </c>
      <c r="R68" s="65"/>
      <c r="S68" s="109">
        <f t="shared" si="23"/>
        <v>0</v>
      </c>
      <c r="T68" s="201" t="str">
        <f>IF(_xlfn.XLOOKUP(B68,Salários!B:B,Salários!I:I)&gt;0,_xlfn.XLOOKUP(B68,Salários!B:B,Salários!I:I),"")</f>
        <v/>
      </c>
      <c r="U68" s="117">
        <f t="shared" si="1"/>
        <v>0</v>
      </c>
      <c r="V68" s="65"/>
      <c r="W68" s="202"/>
      <c r="X68" s="65"/>
      <c r="Y68" s="69"/>
      <c r="Z68" s="65"/>
      <c r="AA68" s="517"/>
      <c r="AB68" s="65"/>
      <c r="AC68" s="81">
        <f t="shared" si="8"/>
        <v>0</v>
      </c>
      <c r="AD68" s="65"/>
      <c r="AE68" s="112"/>
      <c r="AF68" s="203">
        <v>0.3</v>
      </c>
      <c r="AG68" s="109">
        <f t="shared" si="9"/>
        <v>0</v>
      </c>
      <c r="AH68" s="84">
        <f t="shared" si="10"/>
        <v>0</v>
      </c>
      <c r="AI68" s="65"/>
      <c r="AJ68" s="112"/>
      <c r="AK68" s="122"/>
      <c r="AL68" s="109">
        <v>1212</v>
      </c>
      <c r="AM68" s="84">
        <f t="shared" si="11"/>
        <v>0</v>
      </c>
      <c r="AN68" s="65"/>
      <c r="AO68" s="112"/>
      <c r="AP68" s="204"/>
      <c r="AQ68" s="109">
        <f>IFERROR((O68+AH68+AM68)/Dashboard!$D$15,0)*0.2</f>
        <v>0</v>
      </c>
      <c r="AR68" s="84">
        <f t="shared" si="24"/>
        <v>0</v>
      </c>
      <c r="AS68" s="65"/>
      <c r="AT68" s="112"/>
      <c r="AU68" s="203">
        <v>0.33</v>
      </c>
      <c r="AV68" s="109">
        <f t="shared" si="13"/>
        <v>0</v>
      </c>
      <c r="AW68" s="84">
        <f t="shared" si="14"/>
        <v>0</v>
      </c>
      <c r="AX68" s="65"/>
      <c r="AY68" s="112"/>
      <c r="AZ68" s="203">
        <v>0.25</v>
      </c>
      <c r="BA68" s="109">
        <f t="shared" si="15"/>
        <v>0</v>
      </c>
      <c r="BB68" s="84">
        <f t="shared" si="16"/>
        <v>0</v>
      </c>
      <c r="BC68" s="65"/>
      <c r="BD68" s="112"/>
      <c r="BE68" s="203">
        <v>0.26</v>
      </c>
      <c r="BF68" s="109">
        <f t="shared" si="17"/>
        <v>0</v>
      </c>
      <c r="BG68" s="84">
        <f t="shared" si="18"/>
        <v>0</v>
      </c>
      <c r="BH68" s="197"/>
      <c r="BI68" s="517"/>
      <c r="BJ68" s="65"/>
      <c r="BK68" s="81">
        <f t="shared" si="19"/>
        <v>0</v>
      </c>
      <c r="BL68" s="65"/>
      <c r="BM68" s="65"/>
      <c r="BN68" s="204"/>
      <c r="BO68" s="109">
        <f>($O68/Dashboard!$D$15)*(1+Dashboard!$D$19)</f>
        <v>0</v>
      </c>
      <c r="BP68" s="84">
        <f t="shared" si="20"/>
        <v>0</v>
      </c>
      <c r="BQ68" s="65"/>
      <c r="BR68" s="65"/>
      <c r="BS68" s="204"/>
      <c r="BT68" s="109">
        <f>($O68/Dashboard!$D$15)*(1+Dashboard!$D$20)</f>
        <v>0</v>
      </c>
      <c r="BU68" s="84">
        <f t="shared" si="21"/>
        <v>0</v>
      </c>
      <c r="BV68" s="65"/>
      <c r="BW68" s="65"/>
      <c r="BX68" s="204"/>
      <c r="BY68" s="109">
        <f>($O68/Dashboard!$D$15)*(1+Dashboard!$D$21)</f>
        <v>0</v>
      </c>
      <c r="BZ68" s="84">
        <f t="shared" si="22"/>
        <v>0</v>
      </c>
    </row>
    <row r="69" spans="2:78" ht="12" hidden="1" customHeight="1" outlineLevel="1">
      <c r="B69" s="137" t="str">
        <f>'Cronog. e Histog.'!B827</f>
        <v/>
      </c>
      <c r="C69" s="65"/>
      <c r="D69" s="200">
        <f t="shared" si="2"/>
        <v>0</v>
      </c>
      <c r="E69" s="200">
        <f t="shared" si="3"/>
        <v>0</v>
      </c>
      <c r="F69" s="65"/>
      <c r="G69" s="200">
        <f t="shared" si="4"/>
        <v>0</v>
      </c>
      <c r="H69" s="200">
        <f t="shared" si="5"/>
        <v>0</v>
      </c>
      <c r="I69" s="65"/>
      <c r="J69" s="143" t="str">
        <f>IF('Cronog. e Histog.'!F827&gt;0,'Cronog. e Histog.'!F827,"")</f>
        <v/>
      </c>
      <c r="K69" s="65"/>
      <c r="L69" s="144">
        <f>IF('Cronog. e Histog.'!H827&gt;0,'Cronog. e Histog.'!H827,0)</f>
        <v>0</v>
      </c>
      <c r="M69" s="144">
        <f>IF('Cronog. e Histog.'!I827&gt;0,'Cronog. e Histog.'!I827,0)</f>
        <v>0</v>
      </c>
      <c r="N69" s="65"/>
      <c r="O69" s="109">
        <f>_xlfn.XLOOKUP(B69,Salários!B:B,Salários!K:K)</f>
        <v>0</v>
      </c>
      <c r="P69" s="109">
        <f t="shared" si="6"/>
        <v>0</v>
      </c>
      <c r="Q69" s="109">
        <f t="shared" si="7"/>
        <v>0</v>
      </c>
      <c r="R69" s="65"/>
      <c r="S69" s="109">
        <f t="shared" si="23"/>
        <v>0</v>
      </c>
      <c r="T69" s="201" t="str">
        <f>IF(_xlfn.XLOOKUP(B69,Salários!B:B,Salários!I:I)&gt;0,_xlfn.XLOOKUP(B69,Salários!B:B,Salários!I:I),"")</f>
        <v/>
      </c>
      <c r="U69" s="117">
        <f t="shared" si="1"/>
        <v>0</v>
      </c>
      <c r="V69" s="65"/>
      <c r="W69" s="202"/>
      <c r="X69" s="65"/>
      <c r="Y69" s="69"/>
      <c r="Z69" s="65"/>
      <c r="AA69" s="517"/>
      <c r="AB69" s="65"/>
      <c r="AC69" s="81">
        <f t="shared" si="8"/>
        <v>0</v>
      </c>
      <c r="AD69" s="65"/>
      <c r="AE69" s="112"/>
      <c r="AF69" s="203">
        <v>0.3</v>
      </c>
      <c r="AG69" s="109">
        <f t="shared" si="9"/>
        <v>0</v>
      </c>
      <c r="AH69" s="84">
        <f t="shared" si="10"/>
        <v>0</v>
      </c>
      <c r="AI69" s="65"/>
      <c r="AJ69" s="112"/>
      <c r="AK69" s="122"/>
      <c r="AL69" s="109">
        <v>1212</v>
      </c>
      <c r="AM69" s="84">
        <f t="shared" si="11"/>
        <v>0</v>
      </c>
      <c r="AN69" s="65"/>
      <c r="AO69" s="112"/>
      <c r="AP69" s="204"/>
      <c r="AQ69" s="109">
        <f>IFERROR((O69+AH69+AM69)/Dashboard!$D$15,0)*0.2</f>
        <v>0</v>
      </c>
      <c r="AR69" s="84">
        <f t="shared" si="24"/>
        <v>0</v>
      </c>
      <c r="AS69" s="65"/>
      <c r="AT69" s="112"/>
      <c r="AU69" s="203">
        <v>0.33</v>
      </c>
      <c r="AV69" s="109">
        <f t="shared" si="13"/>
        <v>0</v>
      </c>
      <c r="AW69" s="84">
        <f t="shared" si="14"/>
        <v>0</v>
      </c>
      <c r="AX69" s="65"/>
      <c r="AY69" s="112"/>
      <c r="AZ69" s="203">
        <v>0.25</v>
      </c>
      <c r="BA69" s="109">
        <f t="shared" si="15"/>
        <v>0</v>
      </c>
      <c r="BB69" s="84">
        <f t="shared" si="16"/>
        <v>0</v>
      </c>
      <c r="BC69" s="65"/>
      <c r="BD69" s="112"/>
      <c r="BE69" s="203">
        <v>0.26</v>
      </c>
      <c r="BF69" s="109">
        <f t="shared" si="17"/>
        <v>0</v>
      </c>
      <c r="BG69" s="84">
        <f t="shared" si="18"/>
        <v>0</v>
      </c>
      <c r="BH69" s="197"/>
      <c r="BI69" s="517"/>
      <c r="BJ69" s="65"/>
      <c r="BK69" s="81">
        <f t="shared" si="19"/>
        <v>0</v>
      </c>
      <c r="BL69" s="65"/>
      <c r="BM69" s="65"/>
      <c r="BN69" s="204"/>
      <c r="BO69" s="109">
        <f>($O69/Dashboard!$D$15)*(1+Dashboard!$D$19)</f>
        <v>0</v>
      </c>
      <c r="BP69" s="84">
        <f t="shared" si="20"/>
        <v>0</v>
      </c>
      <c r="BQ69" s="65"/>
      <c r="BR69" s="65"/>
      <c r="BS69" s="204"/>
      <c r="BT69" s="109">
        <f>($O69/Dashboard!$D$15)*(1+Dashboard!$D$20)</f>
        <v>0</v>
      </c>
      <c r="BU69" s="84">
        <f t="shared" si="21"/>
        <v>0</v>
      </c>
      <c r="BV69" s="65"/>
      <c r="BW69" s="65"/>
      <c r="BX69" s="204"/>
      <c r="BY69" s="109">
        <f>($O69/Dashboard!$D$15)*(1+Dashboard!$D$21)</f>
        <v>0</v>
      </c>
      <c r="BZ69" s="84">
        <f t="shared" si="22"/>
        <v>0</v>
      </c>
    </row>
    <row r="70" spans="2:78" ht="12" hidden="1" customHeight="1" outlineLevel="1">
      <c r="B70" s="137" t="str">
        <f>'Cronog. e Histog.'!B829</f>
        <v>Operador de Máquinas (Cat.A) - Apoio, Limpeza e Conservação</v>
      </c>
      <c r="C70" s="65"/>
      <c r="D70" s="200">
        <f t="shared" si="2"/>
        <v>0</v>
      </c>
      <c r="E70" s="200">
        <f t="shared" si="3"/>
        <v>0</v>
      </c>
      <c r="F70" s="65"/>
      <c r="G70" s="200">
        <f t="shared" si="4"/>
        <v>0</v>
      </c>
      <c r="H70" s="200">
        <f t="shared" si="5"/>
        <v>0</v>
      </c>
      <c r="I70" s="65"/>
      <c r="J70" s="143" t="str">
        <f>IF('Cronog. e Histog.'!F829&gt;0,'Cronog. e Histog.'!F829,"")</f>
        <v>Operador de Máquinas (Cat.A)</v>
      </c>
      <c r="K70" s="65"/>
      <c r="L70" s="144">
        <f>IF('Cronog. e Histog.'!H829&gt;0,'Cronog. e Histog.'!H829,0)</f>
        <v>0</v>
      </c>
      <c r="M70" s="144">
        <f>IF('Cronog. e Histog.'!I829&gt;0,'Cronog. e Histog.'!I829,0)</f>
        <v>0</v>
      </c>
      <c r="N70" s="65"/>
      <c r="O70" s="109">
        <f>_xlfn.XLOOKUP(B70,Salários!B:B,Salários!K:K)</f>
        <v>0</v>
      </c>
      <c r="P70" s="109">
        <f t="shared" si="6"/>
        <v>0</v>
      </c>
      <c r="Q70" s="109">
        <f t="shared" si="7"/>
        <v>0</v>
      </c>
      <c r="R70" s="65"/>
      <c r="S70" s="109">
        <f t="shared" si="23"/>
        <v>0</v>
      </c>
      <c r="T70" s="201" t="str">
        <f>IF(_xlfn.XLOOKUP(B70,Salários!B:B,Salários!I:I)&gt;0,_xlfn.XLOOKUP(B70,Salários!B:B,Salários!I:I),"")</f>
        <v/>
      </c>
      <c r="U70" s="117">
        <f t="shared" si="1"/>
        <v>0</v>
      </c>
      <c r="V70" s="65"/>
      <c r="W70" s="202"/>
      <c r="X70" s="65"/>
      <c r="Y70" s="69"/>
      <c r="Z70" s="65"/>
      <c r="AA70" s="517"/>
      <c r="AB70" s="65"/>
      <c r="AC70" s="81">
        <f t="shared" si="8"/>
        <v>0</v>
      </c>
      <c r="AD70" s="65"/>
      <c r="AE70" s="112"/>
      <c r="AF70" s="203">
        <v>0.3</v>
      </c>
      <c r="AG70" s="109">
        <f t="shared" si="9"/>
        <v>0</v>
      </c>
      <c r="AH70" s="84">
        <f t="shared" si="10"/>
        <v>0</v>
      </c>
      <c r="AI70" s="65"/>
      <c r="AJ70" s="112"/>
      <c r="AK70" s="122"/>
      <c r="AL70" s="109">
        <v>1212</v>
      </c>
      <c r="AM70" s="84">
        <f t="shared" si="11"/>
        <v>0</v>
      </c>
      <c r="AN70" s="65"/>
      <c r="AO70" s="112"/>
      <c r="AP70" s="204"/>
      <c r="AQ70" s="109">
        <f>IFERROR((O70+AH70+AM70)/Dashboard!$D$15,0)*0.2</f>
        <v>0</v>
      </c>
      <c r="AR70" s="84">
        <f t="shared" si="24"/>
        <v>0</v>
      </c>
      <c r="AS70" s="65"/>
      <c r="AT70" s="112"/>
      <c r="AU70" s="203">
        <v>0.33</v>
      </c>
      <c r="AV70" s="109">
        <f t="shared" si="13"/>
        <v>0</v>
      </c>
      <c r="AW70" s="84">
        <f t="shared" si="14"/>
        <v>0</v>
      </c>
      <c r="AX70" s="65"/>
      <c r="AY70" s="112"/>
      <c r="AZ70" s="203">
        <v>0.25</v>
      </c>
      <c r="BA70" s="109">
        <f t="shared" si="15"/>
        <v>0</v>
      </c>
      <c r="BB70" s="84">
        <f t="shared" si="16"/>
        <v>0</v>
      </c>
      <c r="BC70" s="65"/>
      <c r="BD70" s="112"/>
      <c r="BE70" s="203">
        <v>0.26</v>
      </c>
      <c r="BF70" s="109">
        <f t="shared" si="17"/>
        <v>0</v>
      </c>
      <c r="BG70" s="84">
        <f t="shared" si="18"/>
        <v>0</v>
      </c>
      <c r="BH70" s="197"/>
      <c r="BI70" s="517"/>
      <c r="BJ70" s="65"/>
      <c r="BK70" s="81">
        <f t="shared" si="19"/>
        <v>0</v>
      </c>
      <c r="BL70" s="65"/>
      <c r="BM70" s="65"/>
      <c r="BN70" s="204"/>
      <c r="BO70" s="109">
        <f>($O70/Dashboard!$D$15)*(1+Dashboard!$D$19)</f>
        <v>0</v>
      </c>
      <c r="BP70" s="84">
        <f t="shared" si="20"/>
        <v>0</v>
      </c>
      <c r="BQ70" s="65"/>
      <c r="BR70" s="65"/>
      <c r="BS70" s="204"/>
      <c r="BT70" s="109">
        <f>($O70/Dashboard!$D$15)*(1+Dashboard!$D$20)</f>
        <v>0</v>
      </c>
      <c r="BU70" s="84">
        <f t="shared" si="21"/>
        <v>0</v>
      </c>
      <c r="BV70" s="65"/>
      <c r="BW70" s="65"/>
      <c r="BX70" s="204"/>
      <c r="BY70" s="109">
        <f>($O70/Dashboard!$D$15)*(1+Dashboard!$D$21)</f>
        <v>0</v>
      </c>
      <c r="BZ70" s="84">
        <f t="shared" si="22"/>
        <v>0</v>
      </c>
    </row>
    <row r="71" spans="2:78" ht="12" hidden="1" customHeight="1" outlineLevel="1">
      <c r="B71" s="137" t="str">
        <f>'Cronog. e Histog.'!B830</f>
        <v>Operador de Máquinas (Cat.B) - Apoio, Limpeza e Conservação</v>
      </c>
      <c r="C71" s="65"/>
      <c r="D71" s="200">
        <f t="shared" si="2"/>
        <v>0</v>
      </c>
      <c r="E71" s="200">
        <f t="shared" si="3"/>
        <v>0</v>
      </c>
      <c r="F71" s="65"/>
      <c r="G71" s="200">
        <f t="shared" si="4"/>
        <v>0</v>
      </c>
      <c r="H71" s="200">
        <f t="shared" si="5"/>
        <v>0</v>
      </c>
      <c r="I71" s="65"/>
      <c r="J71" s="143" t="str">
        <f>IF('Cronog. e Histog.'!F830&gt;0,'Cronog. e Histog.'!F830,"")</f>
        <v>Operador de Máquinas (Cat.B)</v>
      </c>
      <c r="K71" s="65"/>
      <c r="L71" s="144">
        <f>IF('Cronog. e Histog.'!H830&gt;0,'Cronog. e Histog.'!H830,0)</f>
        <v>0</v>
      </c>
      <c r="M71" s="144">
        <f>IF('Cronog. e Histog.'!I830&gt;0,'Cronog. e Histog.'!I830,0)</f>
        <v>0</v>
      </c>
      <c r="N71" s="65"/>
      <c r="O71" s="109">
        <f>_xlfn.XLOOKUP(B71,Salários!B:B,Salários!K:K)</f>
        <v>0</v>
      </c>
      <c r="P71" s="109">
        <f t="shared" si="6"/>
        <v>0</v>
      </c>
      <c r="Q71" s="109">
        <f t="shared" si="7"/>
        <v>0</v>
      </c>
      <c r="R71" s="65"/>
      <c r="S71" s="109">
        <f t="shared" si="23"/>
        <v>0</v>
      </c>
      <c r="T71" s="201" t="str">
        <f>IF(_xlfn.XLOOKUP(B71,Salários!B:B,Salários!I:I)&gt;0,_xlfn.XLOOKUP(B71,Salários!B:B,Salários!I:I),"")</f>
        <v/>
      </c>
      <c r="U71" s="117">
        <f t="shared" ref="U71:U89" si="25">L71*M71*S71</f>
        <v>0</v>
      </c>
      <c r="V71" s="65"/>
      <c r="W71" s="202"/>
      <c r="X71" s="65"/>
      <c r="Y71" s="69"/>
      <c r="Z71" s="65"/>
      <c r="AA71" s="517"/>
      <c r="AB71" s="65"/>
      <c r="AC71" s="81">
        <f t="shared" si="8"/>
        <v>0</v>
      </c>
      <c r="AD71" s="65"/>
      <c r="AE71" s="112"/>
      <c r="AF71" s="203">
        <v>0.3</v>
      </c>
      <c r="AG71" s="109">
        <f t="shared" si="9"/>
        <v>0</v>
      </c>
      <c r="AH71" s="84">
        <f t="shared" si="10"/>
        <v>0</v>
      </c>
      <c r="AI71" s="65"/>
      <c r="AJ71" s="112"/>
      <c r="AK71" s="122"/>
      <c r="AL71" s="109">
        <v>1212</v>
      </c>
      <c r="AM71" s="84">
        <f t="shared" si="11"/>
        <v>0</v>
      </c>
      <c r="AN71" s="65"/>
      <c r="AO71" s="112"/>
      <c r="AP71" s="204"/>
      <c r="AQ71" s="109">
        <f>IFERROR((O71+AH71+AM71)/Dashboard!$D$15,0)*0.2</f>
        <v>0</v>
      </c>
      <c r="AR71" s="84">
        <f t="shared" si="24"/>
        <v>0</v>
      </c>
      <c r="AS71" s="65"/>
      <c r="AT71" s="112"/>
      <c r="AU71" s="203">
        <v>0.33</v>
      </c>
      <c r="AV71" s="109">
        <f t="shared" si="13"/>
        <v>0</v>
      </c>
      <c r="AW71" s="84">
        <f t="shared" si="14"/>
        <v>0</v>
      </c>
      <c r="AX71" s="65"/>
      <c r="AY71" s="112"/>
      <c r="AZ71" s="203">
        <v>0.25</v>
      </c>
      <c r="BA71" s="109">
        <f t="shared" si="15"/>
        <v>0</v>
      </c>
      <c r="BB71" s="84">
        <f t="shared" si="16"/>
        <v>0</v>
      </c>
      <c r="BC71" s="65"/>
      <c r="BD71" s="112"/>
      <c r="BE71" s="203">
        <v>0.26</v>
      </c>
      <c r="BF71" s="109">
        <f t="shared" si="17"/>
        <v>0</v>
      </c>
      <c r="BG71" s="84">
        <f t="shared" si="18"/>
        <v>0</v>
      </c>
      <c r="BH71" s="197"/>
      <c r="BI71" s="517"/>
      <c r="BJ71" s="65"/>
      <c r="BK71" s="81">
        <f t="shared" si="19"/>
        <v>0</v>
      </c>
      <c r="BL71" s="65"/>
      <c r="BM71" s="65"/>
      <c r="BN71" s="204"/>
      <c r="BO71" s="109">
        <f>($O71/Dashboard!$D$15)*(1+Dashboard!$D$19)</f>
        <v>0</v>
      </c>
      <c r="BP71" s="84">
        <f t="shared" si="20"/>
        <v>0</v>
      </c>
      <c r="BQ71" s="65"/>
      <c r="BR71" s="65"/>
      <c r="BS71" s="204"/>
      <c r="BT71" s="109">
        <f>($O71/Dashboard!$D$15)*(1+Dashboard!$D$20)</f>
        <v>0</v>
      </c>
      <c r="BU71" s="84">
        <f t="shared" si="21"/>
        <v>0</v>
      </c>
      <c r="BV71" s="65"/>
      <c r="BW71" s="65"/>
      <c r="BX71" s="204"/>
      <c r="BY71" s="109">
        <f>($O71/Dashboard!$D$15)*(1+Dashboard!$D$21)</f>
        <v>0</v>
      </c>
      <c r="BZ71" s="84">
        <f t="shared" si="22"/>
        <v>0</v>
      </c>
    </row>
    <row r="72" spans="2:78" ht="12" hidden="1" customHeight="1" outlineLevel="1">
      <c r="B72" s="137" t="str">
        <f>'Cronog. e Histog.'!B831</f>
        <v>Técnico de Rigging - Apoio, Limpeza e Conservação</v>
      </c>
      <c r="C72" s="65"/>
      <c r="D72" s="200">
        <f t="shared" ref="D72:D89" si="26">IF(T72="mensalista",L72,0)</f>
        <v>0</v>
      </c>
      <c r="E72" s="200">
        <f t="shared" ref="E72:E89" si="27">IF(T72="mensalista",M72,0)</f>
        <v>0</v>
      </c>
      <c r="F72" s="65"/>
      <c r="G72" s="200">
        <f t="shared" ref="G72:G89" si="28">IF(T72="mensalista",L72,0)</f>
        <v>0</v>
      </c>
      <c r="H72" s="200">
        <f t="shared" ref="H72:H89" si="29">IF(T72="mensalista",M72,0)</f>
        <v>0</v>
      </c>
      <c r="I72" s="65"/>
      <c r="J72" s="143" t="str">
        <f>IF('Cronog. e Histog.'!F831&gt;0,'Cronog. e Histog.'!F831,"")</f>
        <v>Técnico de Rigging</v>
      </c>
      <c r="K72" s="65"/>
      <c r="L72" s="144">
        <f>IF('Cronog. e Histog.'!H831&gt;0,'Cronog. e Histog.'!H831,0)</f>
        <v>0</v>
      </c>
      <c r="M72" s="144">
        <f>IF('Cronog. e Histog.'!I831&gt;0,'Cronog. e Histog.'!I831,0)</f>
        <v>0</v>
      </c>
      <c r="N72" s="65"/>
      <c r="O72" s="109">
        <f>_xlfn.XLOOKUP(B72,Salários!B:B,Salários!K:K)</f>
        <v>0</v>
      </c>
      <c r="P72" s="109">
        <f t="shared" si="6"/>
        <v>0</v>
      </c>
      <c r="Q72" s="109">
        <f t="shared" si="7"/>
        <v>0</v>
      </c>
      <c r="R72" s="65"/>
      <c r="S72" s="109">
        <f t="shared" si="23"/>
        <v>0</v>
      </c>
      <c r="T72" s="201" t="str">
        <f>IF(_xlfn.XLOOKUP(B72,Salários!B:B,Salários!I:I)&gt;0,_xlfn.XLOOKUP(B72,Salários!B:B,Salários!I:I),"")</f>
        <v/>
      </c>
      <c r="U72" s="117">
        <f t="shared" si="25"/>
        <v>0</v>
      </c>
      <c r="V72" s="65"/>
      <c r="W72" s="202"/>
      <c r="X72" s="65"/>
      <c r="Y72" s="69"/>
      <c r="Z72" s="65"/>
      <c r="AA72" s="517"/>
      <c r="AB72" s="65"/>
      <c r="AC72" s="81">
        <f t="shared" ref="AC72:AC89" si="30">AH72+AM72+AR72+AW72+BB72+BG72</f>
        <v>0</v>
      </c>
      <c r="AD72" s="65"/>
      <c r="AE72" s="112"/>
      <c r="AF72" s="203">
        <v>0.3</v>
      </c>
      <c r="AG72" s="109">
        <f t="shared" si="9"/>
        <v>0</v>
      </c>
      <c r="AH72" s="84">
        <f t="shared" si="10"/>
        <v>0</v>
      </c>
      <c r="AI72" s="65"/>
      <c r="AJ72" s="112"/>
      <c r="AK72" s="122"/>
      <c r="AL72" s="109">
        <v>1212</v>
      </c>
      <c r="AM72" s="84">
        <f t="shared" si="11"/>
        <v>0</v>
      </c>
      <c r="AN72" s="65"/>
      <c r="AO72" s="112"/>
      <c r="AP72" s="204"/>
      <c r="AQ72" s="109">
        <f>IFERROR((O72+AH72+AM72)/Dashboard!$D$15,0)*0.2</f>
        <v>0</v>
      </c>
      <c r="AR72" s="84">
        <f t="shared" si="24"/>
        <v>0</v>
      </c>
      <c r="AS72" s="65"/>
      <c r="AT72" s="112"/>
      <c r="AU72" s="203">
        <v>0.33</v>
      </c>
      <c r="AV72" s="109">
        <f t="shared" si="13"/>
        <v>0</v>
      </c>
      <c r="AW72" s="84">
        <f t="shared" si="14"/>
        <v>0</v>
      </c>
      <c r="AX72" s="65"/>
      <c r="AY72" s="112"/>
      <c r="AZ72" s="203">
        <v>0.25</v>
      </c>
      <c r="BA72" s="109">
        <f t="shared" si="15"/>
        <v>0</v>
      </c>
      <c r="BB72" s="84">
        <f t="shared" si="16"/>
        <v>0</v>
      </c>
      <c r="BC72" s="65"/>
      <c r="BD72" s="112"/>
      <c r="BE72" s="203">
        <v>0.26</v>
      </c>
      <c r="BF72" s="109">
        <f t="shared" si="17"/>
        <v>0</v>
      </c>
      <c r="BG72" s="84">
        <f t="shared" si="18"/>
        <v>0</v>
      </c>
      <c r="BH72" s="197"/>
      <c r="BI72" s="517"/>
      <c r="BJ72" s="65"/>
      <c r="BK72" s="81">
        <f t="shared" si="19"/>
        <v>0</v>
      </c>
      <c r="BL72" s="65"/>
      <c r="BM72" s="65"/>
      <c r="BN72" s="204"/>
      <c r="BO72" s="109">
        <f>($O72/Dashboard!$D$15)*(1+Dashboard!$D$19)</f>
        <v>0</v>
      </c>
      <c r="BP72" s="84">
        <f t="shared" ref="BP72:BP89" si="31">BN72*BO72</f>
        <v>0</v>
      </c>
      <c r="BQ72" s="65"/>
      <c r="BR72" s="65"/>
      <c r="BS72" s="204"/>
      <c r="BT72" s="109">
        <f>($O72/Dashboard!$D$15)*(1+Dashboard!$D$20)</f>
        <v>0</v>
      </c>
      <c r="BU72" s="84">
        <f t="shared" ref="BU72:BU89" si="32">BS72*BT72</f>
        <v>0</v>
      </c>
      <c r="BV72" s="65"/>
      <c r="BW72" s="65"/>
      <c r="BX72" s="204"/>
      <c r="BY72" s="109">
        <f>($O72/Dashboard!$D$15)*(1+Dashboard!$D$21)</f>
        <v>0</v>
      </c>
      <c r="BZ72" s="84">
        <f t="shared" ref="BZ72:BZ89" si="33">BX72*BY72</f>
        <v>0</v>
      </c>
    </row>
    <row r="73" spans="2:78" ht="12" hidden="1" customHeight="1" outlineLevel="1">
      <c r="B73" s="137" t="str">
        <f>'Cronog. e Histog.'!B832</f>
        <v>Auxiliar de Rigging - Apoio, Limpeza e Conservação</v>
      </c>
      <c r="C73" s="65"/>
      <c r="D73" s="200">
        <f t="shared" si="26"/>
        <v>0</v>
      </c>
      <c r="E73" s="200">
        <f t="shared" si="27"/>
        <v>0</v>
      </c>
      <c r="F73" s="65"/>
      <c r="G73" s="200">
        <f t="shared" si="28"/>
        <v>0</v>
      </c>
      <c r="H73" s="200">
        <f t="shared" si="29"/>
        <v>0</v>
      </c>
      <c r="I73" s="65"/>
      <c r="J73" s="143" t="str">
        <f>IF('Cronog. e Histog.'!F832&gt;0,'Cronog. e Histog.'!F832,"")</f>
        <v>Auxiliar de Rigging</v>
      </c>
      <c r="K73" s="65"/>
      <c r="L73" s="144">
        <f>IF('Cronog. e Histog.'!H832&gt;0,'Cronog. e Histog.'!H832,0)</f>
        <v>0</v>
      </c>
      <c r="M73" s="144">
        <f>IF('Cronog. e Histog.'!I832&gt;0,'Cronog. e Histog.'!I832,0)</f>
        <v>0</v>
      </c>
      <c r="N73" s="65"/>
      <c r="O73" s="109">
        <f>_xlfn.XLOOKUP(B73,Salários!B:B,Salários!K:K)</f>
        <v>0</v>
      </c>
      <c r="P73" s="109">
        <f t="shared" si="6"/>
        <v>0</v>
      </c>
      <c r="Q73" s="109">
        <f t="shared" si="7"/>
        <v>0</v>
      </c>
      <c r="R73" s="65"/>
      <c r="S73" s="109">
        <f t="shared" si="23"/>
        <v>0</v>
      </c>
      <c r="T73" s="201" t="str">
        <f>IF(_xlfn.XLOOKUP(B73,Salários!B:B,Salários!I:I)&gt;0,_xlfn.XLOOKUP(B73,Salários!B:B,Salários!I:I),"")</f>
        <v/>
      </c>
      <c r="U73" s="117">
        <f t="shared" si="25"/>
        <v>0</v>
      </c>
      <c r="V73" s="65"/>
      <c r="W73" s="202"/>
      <c r="X73" s="65"/>
      <c r="Y73" s="69"/>
      <c r="Z73" s="65"/>
      <c r="AA73" s="517"/>
      <c r="AB73" s="65"/>
      <c r="AC73" s="81">
        <f t="shared" si="30"/>
        <v>0</v>
      </c>
      <c r="AD73" s="65"/>
      <c r="AE73" s="112"/>
      <c r="AF73" s="203">
        <v>0.3</v>
      </c>
      <c r="AG73" s="109">
        <f t="shared" si="9"/>
        <v>0</v>
      </c>
      <c r="AH73" s="84">
        <f t="shared" si="10"/>
        <v>0</v>
      </c>
      <c r="AI73" s="65"/>
      <c r="AJ73" s="112"/>
      <c r="AK73" s="122"/>
      <c r="AL73" s="109">
        <v>1212</v>
      </c>
      <c r="AM73" s="84">
        <f t="shared" si="11"/>
        <v>0</v>
      </c>
      <c r="AN73" s="65"/>
      <c r="AO73" s="112"/>
      <c r="AP73" s="204"/>
      <c r="AQ73" s="109">
        <f>IFERROR((O73+AH73+AM73)/Dashboard!$D$15,0)*0.2</f>
        <v>0</v>
      </c>
      <c r="AR73" s="84">
        <f t="shared" si="24"/>
        <v>0</v>
      </c>
      <c r="AS73" s="65"/>
      <c r="AT73" s="112"/>
      <c r="AU73" s="203">
        <v>0.33</v>
      </c>
      <c r="AV73" s="109">
        <f t="shared" si="13"/>
        <v>0</v>
      </c>
      <c r="AW73" s="84">
        <f t="shared" si="14"/>
        <v>0</v>
      </c>
      <c r="AX73" s="65"/>
      <c r="AY73" s="112"/>
      <c r="AZ73" s="203">
        <v>0.25</v>
      </c>
      <c r="BA73" s="109">
        <f t="shared" si="15"/>
        <v>0</v>
      </c>
      <c r="BB73" s="84">
        <f t="shared" si="16"/>
        <v>0</v>
      </c>
      <c r="BC73" s="65"/>
      <c r="BD73" s="112"/>
      <c r="BE73" s="203">
        <v>0.26</v>
      </c>
      <c r="BF73" s="109">
        <f t="shared" si="17"/>
        <v>0</v>
      </c>
      <c r="BG73" s="84">
        <f t="shared" si="18"/>
        <v>0</v>
      </c>
      <c r="BH73" s="197"/>
      <c r="BI73" s="517"/>
      <c r="BJ73" s="65"/>
      <c r="BK73" s="81">
        <f t="shared" si="19"/>
        <v>0</v>
      </c>
      <c r="BL73" s="65"/>
      <c r="BM73" s="65"/>
      <c r="BN73" s="204"/>
      <c r="BO73" s="109">
        <f>($O73/Dashboard!$D$15)*(1+Dashboard!$D$19)</f>
        <v>0</v>
      </c>
      <c r="BP73" s="84">
        <f t="shared" si="31"/>
        <v>0</v>
      </c>
      <c r="BQ73" s="65"/>
      <c r="BR73" s="65"/>
      <c r="BS73" s="204"/>
      <c r="BT73" s="109">
        <f>($O73/Dashboard!$D$15)*(1+Dashboard!$D$20)</f>
        <v>0</v>
      </c>
      <c r="BU73" s="84">
        <f t="shared" si="32"/>
        <v>0</v>
      </c>
      <c r="BV73" s="65"/>
      <c r="BW73" s="65"/>
      <c r="BX73" s="204"/>
      <c r="BY73" s="109">
        <f>($O73/Dashboard!$D$15)*(1+Dashboard!$D$21)</f>
        <v>0</v>
      </c>
      <c r="BZ73" s="84">
        <f t="shared" si="33"/>
        <v>0</v>
      </c>
    </row>
    <row r="74" spans="2:78" ht="12" hidden="1" customHeight="1" outlineLevel="1">
      <c r="B74" s="137" t="str">
        <f>'Cronog. e Histog.'!B833</f>
        <v>Operador de Empilhadeira - Apoio, Limpeza e Conservação</v>
      </c>
      <c r="C74" s="65"/>
      <c r="D74" s="200">
        <f t="shared" si="26"/>
        <v>0</v>
      </c>
      <c r="E74" s="200">
        <f t="shared" si="27"/>
        <v>0</v>
      </c>
      <c r="F74" s="65"/>
      <c r="G74" s="200">
        <f t="shared" si="28"/>
        <v>0</v>
      </c>
      <c r="H74" s="200">
        <f t="shared" si="29"/>
        <v>0</v>
      </c>
      <c r="I74" s="65"/>
      <c r="J74" s="143" t="str">
        <f>IF('Cronog. e Histog.'!F833&gt;0,'Cronog. e Histog.'!F833,"")</f>
        <v>Operador de Empilhadeira</v>
      </c>
      <c r="K74" s="65"/>
      <c r="L74" s="144">
        <f>IF('Cronog. e Histog.'!H833&gt;0,'Cronog. e Histog.'!H833,0)</f>
        <v>0</v>
      </c>
      <c r="M74" s="144">
        <f>IF('Cronog. e Histog.'!I833&gt;0,'Cronog. e Histog.'!I833,0)</f>
        <v>0</v>
      </c>
      <c r="N74" s="65"/>
      <c r="O74" s="109">
        <f>_xlfn.XLOOKUP(B74,Salários!B:B,Salários!K:K)</f>
        <v>0</v>
      </c>
      <c r="P74" s="109">
        <f t="shared" si="6"/>
        <v>0</v>
      </c>
      <c r="Q74" s="109">
        <f t="shared" si="7"/>
        <v>0</v>
      </c>
      <c r="R74" s="65"/>
      <c r="S74" s="109">
        <f t="shared" si="23"/>
        <v>0</v>
      </c>
      <c r="T74" s="201" t="str">
        <f>IF(_xlfn.XLOOKUP(B74,Salários!B:B,Salários!I:I)&gt;0,_xlfn.XLOOKUP(B74,Salários!B:B,Salários!I:I),"")</f>
        <v/>
      </c>
      <c r="U74" s="117">
        <f t="shared" si="25"/>
        <v>0</v>
      </c>
      <c r="V74" s="65"/>
      <c r="W74" s="202"/>
      <c r="X74" s="65"/>
      <c r="Y74" s="69"/>
      <c r="Z74" s="65"/>
      <c r="AA74" s="517"/>
      <c r="AB74" s="65"/>
      <c r="AC74" s="81">
        <f t="shared" si="30"/>
        <v>0</v>
      </c>
      <c r="AD74" s="65"/>
      <c r="AE74" s="112"/>
      <c r="AF74" s="203">
        <v>0.3</v>
      </c>
      <c r="AG74" s="109">
        <f t="shared" si="9"/>
        <v>0</v>
      </c>
      <c r="AH74" s="84">
        <f t="shared" si="10"/>
        <v>0</v>
      </c>
      <c r="AI74" s="65"/>
      <c r="AJ74" s="112"/>
      <c r="AK74" s="122"/>
      <c r="AL74" s="109">
        <v>1212</v>
      </c>
      <c r="AM74" s="84">
        <f t="shared" si="11"/>
        <v>0</v>
      </c>
      <c r="AN74" s="65"/>
      <c r="AO74" s="112"/>
      <c r="AP74" s="204"/>
      <c r="AQ74" s="109">
        <f>IFERROR((O74+AH74+AM74)/Dashboard!$D$15,0)*0.2</f>
        <v>0</v>
      </c>
      <c r="AR74" s="84">
        <f t="shared" si="24"/>
        <v>0</v>
      </c>
      <c r="AS74" s="65"/>
      <c r="AT74" s="112"/>
      <c r="AU74" s="203">
        <v>0.33</v>
      </c>
      <c r="AV74" s="109">
        <f t="shared" si="13"/>
        <v>0</v>
      </c>
      <c r="AW74" s="84">
        <f t="shared" si="14"/>
        <v>0</v>
      </c>
      <c r="AX74" s="65"/>
      <c r="AY74" s="112"/>
      <c r="AZ74" s="203">
        <v>0.25</v>
      </c>
      <c r="BA74" s="109">
        <f t="shared" si="15"/>
        <v>0</v>
      </c>
      <c r="BB74" s="84">
        <f t="shared" si="16"/>
        <v>0</v>
      </c>
      <c r="BC74" s="65"/>
      <c r="BD74" s="112"/>
      <c r="BE74" s="203">
        <v>0.26</v>
      </c>
      <c r="BF74" s="109">
        <f t="shared" si="17"/>
        <v>0</v>
      </c>
      <c r="BG74" s="84">
        <f t="shared" si="18"/>
        <v>0</v>
      </c>
      <c r="BH74" s="197"/>
      <c r="BI74" s="517"/>
      <c r="BJ74" s="65"/>
      <c r="BK74" s="81">
        <f t="shared" si="19"/>
        <v>0</v>
      </c>
      <c r="BL74" s="65"/>
      <c r="BM74" s="65"/>
      <c r="BN74" s="204"/>
      <c r="BO74" s="109">
        <f>($O74/Dashboard!$D$15)*(1+Dashboard!$D$19)</f>
        <v>0</v>
      </c>
      <c r="BP74" s="84">
        <f t="shared" si="31"/>
        <v>0</v>
      </c>
      <c r="BQ74" s="65"/>
      <c r="BR74" s="65"/>
      <c r="BS74" s="204"/>
      <c r="BT74" s="109">
        <f>($O74/Dashboard!$D$15)*(1+Dashboard!$D$20)</f>
        <v>0</v>
      </c>
      <c r="BU74" s="84">
        <f t="shared" si="32"/>
        <v>0</v>
      </c>
      <c r="BV74" s="65"/>
      <c r="BW74" s="65"/>
      <c r="BX74" s="204"/>
      <c r="BY74" s="109">
        <f>($O74/Dashboard!$D$15)*(1+Dashboard!$D$21)</f>
        <v>0</v>
      </c>
      <c r="BZ74" s="84">
        <f t="shared" si="33"/>
        <v>0</v>
      </c>
    </row>
    <row r="75" spans="2:78" ht="12" hidden="1" customHeight="1" outlineLevel="1">
      <c r="B75" s="137" t="str">
        <f>'Cronog. e Histog.'!B834</f>
        <v>Operador de Caminhão Munck - Apoio, Limpeza e Conservação</v>
      </c>
      <c r="C75" s="65"/>
      <c r="D75" s="200">
        <f t="shared" si="26"/>
        <v>0</v>
      </c>
      <c r="E75" s="200">
        <f t="shared" si="27"/>
        <v>0</v>
      </c>
      <c r="F75" s="65"/>
      <c r="G75" s="200">
        <f t="shared" si="28"/>
        <v>0</v>
      </c>
      <c r="H75" s="200">
        <f t="shared" si="29"/>
        <v>0</v>
      </c>
      <c r="I75" s="65"/>
      <c r="J75" s="143" t="str">
        <f>IF('Cronog. e Histog.'!F834&gt;0,'Cronog. e Histog.'!F834,"")</f>
        <v>Operador de Caminhão Munck</v>
      </c>
      <c r="K75" s="65"/>
      <c r="L75" s="144">
        <f>IF('Cronog. e Histog.'!H834&gt;0,'Cronog. e Histog.'!H834,0)</f>
        <v>0</v>
      </c>
      <c r="M75" s="144">
        <f>IF('Cronog. e Histog.'!I834&gt;0,'Cronog. e Histog.'!I834,0)</f>
        <v>0</v>
      </c>
      <c r="N75" s="65"/>
      <c r="O75" s="109">
        <f>_xlfn.XLOOKUP(B75,Salários!B:B,Salários!K:K)</f>
        <v>0</v>
      </c>
      <c r="P75" s="109">
        <f t="shared" si="6"/>
        <v>0</v>
      </c>
      <c r="Q75" s="109">
        <f t="shared" si="7"/>
        <v>0</v>
      </c>
      <c r="R75" s="65"/>
      <c r="S75" s="109">
        <f t="shared" si="23"/>
        <v>0</v>
      </c>
      <c r="T75" s="201" t="str">
        <f>IF(_xlfn.XLOOKUP(B75,Salários!B:B,Salários!I:I)&gt;0,_xlfn.XLOOKUP(B75,Salários!B:B,Salários!I:I),"")</f>
        <v/>
      </c>
      <c r="U75" s="117">
        <f t="shared" si="25"/>
        <v>0</v>
      </c>
      <c r="V75" s="65"/>
      <c r="W75" s="202"/>
      <c r="X75" s="65"/>
      <c r="Y75" s="69"/>
      <c r="Z75" s="65"/>
      <c r="AA75" s="517"/>
      <c r="AB75" s="65"/>
      <c r="AC75" s="81">
        <f t="shared" si="30"/>
        <v>0</v>
      </c>
      <c r="AD75" s="65"/>
      <c r="AE75" s="112"/>
      <c r="AF75" s="203">
        <v>0.3</v>
      </c>
      <c r="AG75" s="109">
        <f t="shared" si="9"/>
        <v>0</v>
      </c>
      <c r="AH75" s="84">
        <f t="shared" si="10"/>
        <v>0</v>
      </c>
      <c r="AI75" s="65"/>
      <c r="AJ75" s="112"/>
      <c r="AK75" s="122"/>
      <c r="AL75" s="109">
        <v>1212</v>
      </c>
      <c r="AM75" s="84">
        <f t="shared" si="11"/>
        <v>0</v>
      </c>
      <c r="AN75" s="65"/>
      <c r="AO75" s="112"/>
      <c r="AP75" s="204"/>
      <c r="AQ75" s="109">
        <f>IFERROR((O75+AH75+AM75)/Dashboard!$D$15,0)*0.2</f>
        <v>0</v>
      </c>
      <c r="AR75" s="84">
        <f t="shared" si="24"/>
        <v>0</v>
      </c>
      <c r="AS75" s="65"/>
      <c r="AT75" s="112"/>
      <c r="AU75" s="203">
        <v>0.33</v>
      </c>
      <c r="AV75" s="109">
        <f t="shared" si="13"/>
        <v>0</v>
      </c>
      <c r="AW75" s="84">
        <f t="shared" si="14"/>
        <v>0</v>
      </c>
      <c r="AX75" s="65"/>
      <c r="AY75" s="112"/>
      <c r="AZ75" s="203">
        <v>0.25</v>
      </c>
      <c r="BA75" s="109">
        <f t="shared" si="15"/>
        <v>0</v>
      </c>
      <c r="BB75" s="84">
        <f t="shared" si="16"/>
        <v>0</v>
      </c>
      <c r="BC75" s="65"/>
      <c r="BD75" s="112"/>
      <c r="BE75" s="203">
        <v>0.26</v>
      </c>
      <c r="BF75" s="109">
        <f t="shared" si="17"/>
        <v>0</v>
      </c>
      <c r="BG75" s="84">
        <f t="shared" si="18"/>
        <v>0</v>
      </c>
      <c r="BH75" s="197"/>
      <c r="BI75" s="517"/>
      <c r="BJ75" s="65"/>
      <c r="BK75" s="81">
        <f t="shared" si="19"/>
        <v>0</v>
      </c>
      <c r="BL75" s="65"/>
      <c r="BM75" s="65"/>
      <c r="BN75" s="204"/>
      <c r="BO75" s="109">
        <f>($O75/Dashboard!$D$15)*(1+Dashboard!$D$19)</f>
        <v>0</v>
      </c>
      <c r="BP75" s="84">
        <f t="shared" si="31"/>
        <v>0</v>
      </c>
      <c r="BQ75" s="65"/>
      <c r="BR75" s="65"/>
      <c r="BS75" s="204"/>
      <c r="BT75" s="109">
        <f>($O75/Dashboard!$D$15)*(1+Dashboard!$D$20)</f>
        <v>0</v>
      </c>
      <c r="BU75" s="84">
        <f t="shared" si="32"/>
        <v>0</v>
      </c>
      <c r="BV75" s="65"/>
      <c r="BW75" s="65"/>
      <c r="BX75" s="204"/>
      <c r="BY75" s="109">
        <f>($O75/Dashboard!$D$15)*(1+Dashboard!$D$21)</f>
        <v>0</v>
      </c>
      <c r="BZ75" s="84">
        <f t="shared" si="33"/>
        <v>0</v>
      </c>
    </row>
    <row r="76" spans="2:78" ht="12" hidden="1" customHeight="1" outlineLevel="1">
      <c r="B76" s="137" t="str">
        <f>'Cronog. e Histog.'!B835</f>
        <v>Motorista (AB) - Apoio, Limpeza e Conservação</v>
      </c>
      <c r="C76" s="65"/>
      <c r="D76" s="200">
        <f t="shared" si="26"/>
        <v>0</v>
      </c>
      <c r="E76" s="200">
        <f t="shared" si="27"/>
        <v>0</v>
      </c>
      <c r="F76" s="65"/>
      <c r="G76" s="200">
        <f t="shared" si="28"/>
        <v>0</v>
      </c>
      <c r="H76" s="200">
        <f t="shared" si="29"/>
        <v>0</v>
      </c>
      <c r="I76" s="65"/>
      <c r="J76" s="143" t="str">
        <f>IF('Cronog. e Histog.'!F835&gt;0,'Cronog. e Histog.'!F835,"")</f>
        <v>Motorista (AB)</v>
      </c>
      <c r="K76" s="65"/>
      <c r="L76" s="144">
        <f>IF('Cronog. e Histog.'!H835&gt;0,'Cronog. e Histog.'!H835,0)</f>
        <v>0</v>
      </c>
      <c r="M76" s="144">
        <f>IF('Cronog. e Histog.'!I835&gt;0,'Cronog. e Histog.'!I835,0)</f>
        <v>0</v>
      </c>
      <c r="N76" s="65"/>
      <c r="O76" s="109">
        <f>_xlfn.XLOOKUP(B76,Salários!B:B,Salários!K:K)</f>
        <v>0</v>
      </c>
      <c r="P76" s="109">
        <f t="shared" si="6"/>
        <v>0</v>
      </c>
      <c r="Q76" s="109">
        <f t="shared" si="7"/>
        <v>0</v>
      </c>
      <c r="R76" s="65"/>
      <c r="S76" s="109">
        <f t="shared" si="23"/>
        <v>0</v>
      </c>
      <c r="T76" s="201" t="str">
        <f>IF(_xlfn.XLOOKUP(B76,Salários!B:B,Salários!I:I)&gt;0,_xlfn.XLOOKUP(B76,Salários!B:B,Salários!I:I),"")</f>
        <v/>
      </c>
      <c r="U76" s="117">
        <f t="shared" si="25"/>
        <v>0</v>
      </c>
      <c r="V76" s="65"/>
      <c r="W76" s="202"/>
      <c r="X76" s="65"/>
      <c r="Y76" s="69"/>
      <c r="Z76" s="65"/>
      <c r="AA76" s="517"/>
      <c r="AB76" s="65"/>
      <c r="AC76" s="81">
        <f t="shared" si="30"/>
        <v>0</v>
      </c>
      <c r="AD76" s="65"/>
      <c r="AE76" s="112"/>
      <c r="AF76" s="203">
        <v>0.3</v>
      </c>
      <c r="AG76" s="109">
        <f t="shared" si="9"/>
        <v>0</v>
      </c>
      <c r="AH76" s="84">
        <f t="shared" si="10"/>
        <v>0</v>
      </c>
      <c r="AI76" s="65"/>
      <c r="AJ76" s="112"/>
      <c r="AK76" s="122"/>
      <c r="AL76" s="109">
        <v>1212</v>
      </c>
      <c r="AM76" s="84">
        <f t="shared" si="11"/>
        <v>0</v>
      </c>
      <c r="AN76" s="65"/>
      <c r="AO76" s="112"/>
      <c r="AP76" s="204"/>
      <c r="AQ76" s="109">
        <f>IFERROR((O76+AH76+AM76)/Dashboard!$D$15,0)*0.2</f>
        <v>0</v>
      </c>
      <c r="AR76" s="84">
        <f t="shared" si="24"/>
        <v>0</v>
      </c>
      <c r="AS76" s="65"/>
      <c r="AT76" s="112"/>
      <c r="AU76" s="203">
        <v>0.33</v>
      </c>
      <c r="AV76" s="109">
        <f t="shared" si="13"/>
        <v>0</v>
      </c>
      <c r="AW76" s="84">
        <f t="shared" si="14"/>
        <v>0</v>
      </c>
      <c r="AX76" s="65"/>
      <c r="AY76" s="112"/>
      <c r="AZ76" s="203">
        <v>0.25</v>
      </c>
      <c r="BA76" s="109">
        <f t="shared" si="15"/>
        <v>0</v>
      </c>
      <c r="BB76" s="84">
        <f t="shared" si="16"/>
        <v>0</v>
      </c>
      <c r="BC76" s="65"/>
      <c r="BD76" s="112"/>
      <c r="BE76" s="203">
        <v>0.26</v>
      </c>
      <c r="BF76" s="109">
        <f t="shared" si="17"/>
        <v>0</v>
      </c>
      <c r="BG76" s="84">
        <f t="shared" si="18"/>
        <v>0</v>
      </c>
      <c r="BH76" s="197"/>
      <c r="BI76" s="517"/>
      <c r="BJ76" s="65"/>
      <c r="BK76" s="81">
        <f t="shared" si="19"/>
        <v>0</v>
      </c>
      <c r="BL76" s="65"/>
      <c r="BM76" s="65"/>
      <c r="BN76" s="204"/>
      <c r="BO76" s="109">
        <f>($O76/Dashboard!$D$15)*(1+Dashboard!$D$19)</f>
        <v>0</v>
      </c>
      <c r="BP76" s="84">
        <f t="shared" si="31"/>
        <v>0</v>
      </c>
      <c r="BQ76" s="65"/>
      <c r="BR76" s="65"/>
      <c r="BS76" s="204"/>
      <c r="BT76" s="109">
        <f>($O76/Dashboard!$D$15)*(1+Dashboard!$D$20)</f>
        <v>0</v>
      </c>
      <c r="BU76" s="84">
        <f t="shared" si="32"/>
        <v>0</v>
      </c>
      <c r="BV76" s="65"/>
      <c r="BW76" s="65"/>
      <c r="BX76" s="204"/>
      <c r="BY76" s="109">
        <f>($O76/Dashboard!$D$15)*(1+Dashboard!$D$21)</f>
        <v>0</v>
      </c>
      <c r="BZ76" s="84">
        <f t="shared" si="33"/>
        <v>0</v>
      </c>
    </row>
    <row r="77" spans="2:78" ht="12" hidden="1" customHeight="1" outlineLevel="1">
      <c r="B77" s="137" t="str">
        <f>'Cronog. e Histog.'!B836</f>
        <v>Motorista (C, D ou E) - Apoio, Limpeza e Conservação</v>
      </c>
      <c r="C77" s="65"/>
      <c r="D77" s="200">
        <f t="shared" si="26"/>
        <v>0</v>
      </c>
      <c r="E77" s="200">
        <f t="shared" si="27"/>
        <v>0</v>
      </c>
      <c r="F77" s="65"/>
      <c r="G77" s="200">
        <f t="shared" si="28"/>
        <v>0</v>
      </c>
      <c r="H77" s="200">
        <f t="shared" si="29"/>
        <v>0</v>
      </c>
      <c r="I77" s="65"/>
      <c r="J77" s="143" t="str">
        <f>IF('Cronog. e Histog.'!F836&gt;0,'Cronog. e Histog.'!F836,"")</f>
        <v>Motorista (C, D ou E)</v>
      </c>
      <c r="K77" s="65"/>
      <c r="L77" s="144">
        <f>IF('Cronog. e Histog.'!H836&gt;0,'Cronog. e Histog.'!H836,0)</f>
        <v>0</v>
      </c>
      <c r="M77" s="144">
        <f>IF('Cronog. e Histog.'!I836&gt;0,'Cronog. e Histog.'!I836,0)</f>
        <v>0</v>
      </c>
      <c r="N77" s="65"/>
      <c r="O77" s="109">
        <f>_xlfn.XLOOKUP(B77,Salários!B:B,Salários!K:K)</f>
        <v>0</v>
      </c>
      <c r="P77" s="109">
        <f t="shared" si="6"/>
        <v>0</v>
      </c>
      <c r="Q77" s="109">
        <f t="shared" si="7"/>
        <v>0</v>
      </c>
      <c r="R77" s="65"/>
      <c r="S77" s="109">
        <f t="shared" si="23"/>
        <v>0</v>
      </c>
      <c r="T77" s="201" t="str">
        <f>IF(_xlfn.XLOOKUP(B77,Salários!B:B,Salários!I:I)&gt;0,_xlfn.XLOOKUP(B77,Salários!B:B,Salários!I:I),"")</f>
        <v/>
      </c>
      <c r="U77" s="117">
        <f t="shared" si="25"/>
        <v>0</v>
      </c>
      <c r="V77" s="65"/>
      <c r="W77" s="202"/>
      <c r="X77" s="65"/>
      <c r="Y77" s="69"/>
      <c r="Z77" s="65"/>
      <c r="AA77" s="517"/>
      <c r="AB77" s="65"/>
      <c r="AC77" s="81">
        <f t="shared" si="30"/>
        <v>0</v>
      </c>
      <c r="AD77" s="65"/>
      <c r="AE77" s="112"/>
      <c r="AF77" s="203">
        <v>0.3</v>
      </c>
      <c r="AG77" s="109">
        <f t="shared" si="9"/>
        <v>0</v>
      </c>
      <c r="AH77" s="84">
        <f t="shared" si="10"/>
        <v>0</v>
      </c>
      <c r="AI77" s="65"/>
      <c r="AJ77" s="112"/>
      <c r="AK77" s="122"/>
      <c r="AL77" s="109">
        <v>1212</v>
      </c>
      <c r="AM77" s="84">
        <f t="shared" si="11"/>
        <v>0</v>
      </c>
      <c r="AN77" s="65"/>
      <c r="AO77" s="112"/>
      <c r="AP77" s="204"/>
      <c r="AQ77" s="109">
        <f>IFERROR((O77+AH77+AM77)/Dashboard!$D$15,0)*0.2</f>
        <v>0</v>
      </c>
      <c r="AR77" s="84">
        <f t="shared" si="24"/>
        <v>0</v>
      </c>
      <c r="AS77" s="65"/>
      <c r="AT77" s="112"/>
      <c r="AU77" s="203">
        <v>0.33</v>
      </c>
      <c r="AV77" s="109">
        <f t="shared" si="13"/>
        <v>0</v>
      </c>
      <c r="AW77" s="84">
        <f t="shared" si="14"/>
        <v>0</v>
      </c>
      <c r="AX77" s="65"/>
      <c r="AY77" s="112"/>
      <c r="AZ77" s="203">
        <v>0.25</v>
      </c>
      <c r="BA77" s="109">
        <f t="shared" si="15"/>
        <v>0</v>
      </c>
      <c r="BB77" s="84">
        <f t="shared" si="16"/>
        <v>0</v>
      </c>
      <c r="BC77" s="65"/>
      <c r="BD77" s="112"/>
      <c r="BE77" s="203">
        <v>0.26</v>
      </c>
      <c r="BF77" s="109">
        <f t="shared" si="17"/>
        <v>0</v>
      </c>
      <c r="BG77" s="84">
        <f t="shared" si="18"/>
        <v>0</v>
      </c>
      <c r="BH77" s="197"/>
      <c r="BI77" s="517"/>
      <c r="BJ77" s="65"/>
      <c r="BK77" s="81">
        <f t="shared" si="19"/>
        <v>0</v>
      </c>
      <c r="BL77" s="65"/>
      <c r="BM77" s="65"/>
      <c r="BN77" s="204"/>
      <c r="BO77" s="109">
        <f>($O77/Dashboard!$D$15)*(1+Dashboard!$D$19)</f>
        <v>0</v>
      </c>
      <c r="BP77" s="84">
        <f t="shared" si="31"/>
        <v>0</v>
      </c>
      <c r="BQ77" s="65"/>
      <c r="BR77" s="65"/>
      <c r="BS77" s="204"/>
      <c r="BT77" s="109">
        <f>($O77/Dashboard!$D$15)*(1+Dashboard!$D$20)</f>
        <v>0</v>
      </c>
      <c r="BU77" s="84">
        <f t="shared" si="32"/>
        <v>0</v>
      </c>
      <c r="BV77" s="65"/>
      <c r="BW77" s="65"/>
      <c r="BX77" s="204"/>
      <c r="BY77" s="109">
        <f>($O77/Dashboard!$D$15)*(1+Dashboard!$D$21)</f>
        <v>0</v>
      </c>
      <c r="BZ77" s="84">
        <f t="shared" si="33"/>
        <v>0</v>
      </c>
    </row>
    <row r="78" spans="2:78" ht="12" hidden="1" customHeight="1" outlineLevel="1">
      <c r="B78" s="137" t="str">
        <f>'Cronog. e Histog.'!B837</f>
        <v>Auxiliar de Serviços Gerais - Apoio, Limpeza e Conservação</v>
      </c>
      <c r="C78" s="65"/>
      <c r="D78" s="200">
        <f t="shared" si="26"/>
        <v>0</v>
      </c>
      <c r="E78" s="200">
        <f t="shared" si="27"/>
        <v>0</v>
      </c>
      <c r="F78" s="65"/>
      <c r="G78" s="200">
        <f t="shared" si="28"/>
        <v>0</v>
      </c>
      <c r="H78" s="200">
        <f t="shared" si="29"/>
        <v>0</v>
      </c>
      <c r="I78" s="65"/>
      <c r="J78" s="143" t="str">
        <f>IF('Cronog. e Histog.'!F837&gt;0,'Cronog. e Histog.'!F837,"")</f>
        <v>Auxiliar de Serviços Gerais</v>
      </c>
      <c r="K78" s="65"/>
      <c r="L78" s="144">
        <f>IF('Cronog. e Histog.'!H837&gt;0,'Cronog. e Histog.'!H837,0)</f>
        <v>0</v>
      </c>
      <c r="M78" s="144">
        <f>IF('Cronog. e Histog.'!I837&gt;0,'Cronog. e Histog.'!I837,0)</f>
        <v>0</v>
      </c>
      <c r="N78" s="65"/>
      <c r="O78" s="109">
        <f>_xlfn.XLOOKUP(B78,Salários!B:B,Salários!K:K)</f>
        <v>0</v>
      </c>
      <c r="P78" s="109">
        <f t="shared" si="6"/>
        <v>0</v>
      </c>
      <c r="Q78" s="109">
        <f t="shared" si="7"/>
        <v>0</v>
      </c>
      <c r="R78" s="65"/>
      <c r="S78" s="109">
        <f t="shared" si="23"/>
        <v>0</v>
      </c>
      <c r="T78" s="201" t="str">
        <f>IF(_xlfn.XLOOKUP(B78,Salários!B:B,Salários!I:I)&gt;0,_xlfn.XLOOKUP(B78,Salários!B:B,Salários!I:I),"")</f>
        <v/>
      </c>
      <c r="U78" s="117">
        <f t="shared" si="25"/>
        <v>0</v>
      </c>
      <c r="V78" s="65"/>
      <c r="W78" s="202"/>
      <c r="X78" s="65"/>
      <c r="Y78" s="69"/>
      <c r="Z78" s="65"/>
      <c r="AA78" s="517"/>
      <c r="AB78" s="65"/>
      <c r="AC78" s="81">
        <f t="shared" si="30"/>
        <v>0</v>
      </c>
      <c r="AD78" s="65"/>
      <c r="AE78" s="112"/>
      <c r="AF78" s="203">
        <v>0.3</v>
      </c>
      <c r="AG78" s="109">
        <f t="shared" si="9"/>
        <v>0</v>
      </c>
      <c r="AH78" s="84">
        <f t="shared" si="10"/>
        <v>0</v>
      </c>
      <c r="AI78" s="65"/>
      <c r="AJ78" s="112"/>
      <c r="AK78" s="122"/>
      <c r="AL78" s="109">
        <v>1212</v>
      </c>
      <c r="AM78" s="84">
        <f t="shared" si="11"/>
        <v>0</v>
      </c>
      <c r="AN78" s="65"/>
      <c r="AO78" s="112"/>
      <c r="AP78" s="204"/>
      <c r="AQ78" s="109">
        <f>IFERROR((O78+AH78+AM78)/Dashboard!$D$15,0)*0.2</f>
        <v>0</v>
      </c>
      <c r="AR78" s="84">
        <f t="shared" ref="AR78:AR89" si="34">IF(AO78="sim",AP78*AQ78,0)</f>
        <v>0</v>
      </c>
      <c r="AS78" s="65"/>
      <c r="AT78" s="112"/>
      <c r="AU78" s="203">
        <v>0.33</v>
      </c>
      <c r="AV78" s="109">
        <f t="shared" si="13"/>
        <v>0</v>
      </c>
      <c r="AW78" s="84">
        <f t="shared" si="14"/>
        <v>0</v>
      </c>
      <c r="AX78" s="65"/>
      <c r="AY78" s="112"/>
      <c r="AZ78" s="203">
        <v>0.25</v>
      </c>
      <c r="BA78" s="109">
        <f t="shared" si="15"/>
        <v>0</v>
      </c>
      <c r="BB78" s="84">
        <f t="shared" si="16"/>
        <v>0</v>
      </c>
      <c r="BC78" s="65"/>
      <c r="BD78" s="112"/>
      <c r="BE78" s="203">
        <v>0.26</v>
      </c>
      <c r="BF78" s="109">
        <f t="shared" si="17"/>
        <v>0</v>
      </c>
      <c r="BG78" s="84">
        <f t="shared" si="18"/>
        <v>0</v>
      </c>
      <c r="BH78" s="197"/>
      <c r="BI78" s="517"/>
      <c r="BJ78" s="65"/>
      <c r="BK78" s="81">
        <f t="shared" si="19"/>
        <v>0</v>
      </c>
      <c r="BL78" s="65"/>
      <c r="BM78" s="65"/>
      <c r="BN78" s="204"/>
      <c r="BO78" s="109">
        <f>($O78/Dashboard!$D$15)*(1+Dashboard!$D$19)</f>
        <v>0</v>
      </c>
      <c r="BP78" s="84">
        <f t="shared" si="31"/>
        <v>0</v>
      </c>
      <c r="BQ78" s="65"/>
      <c r="BR78" s="65"/>
      <c r="BS78" s="204"/>
      <c r="BT78" s="109">
        <f>($O78/Dashboard!$D$15)*(1+Dashboard!$D$20)</f>
        <v>0</v>
      </c>
      <c r="BU78" s="84">
        <f t="shared" si="32"/>
        <v>0</v>
      </c>
      <c r="BV78" s="65"/>
      <c r="BW78" s="65"/>
      <c r="BX78" s="204"/>
      <c r="BY78" s="109">
        <f>($O78/Dashboard!$D$15)*(1+Dashboard!$D$21)</f>
        <v>0</v>
      </c>
      <c r="BZ78" s="84">
        <f t="shared" si="33"/>
        <v>0</v>
      </c>
    </row>
    <row r="79" spans="2:78" ht="12" hidden="1" customHeight="1" outlineLevel="1">
      <c r="B79" s="137" t="str">
        <f>'Cronog. e Histog.'!B838</f>
        <v/>
      </c>
      <c r="C79" s="65"/>
      <c r="D79" s="200">
        <f t="shared" si="26"/>
        <v>0</v>
      </c>
      <c r="E79" s="200">
        <f t="shared" si="27"/>
        <v>0</v>
      </c>
      <c r="F79" s="65"/>
      <c r="G79" s="200">
        <f t="shared" si="28"/>
        <v>0</v>
      </c>
      <c r="H79" s="200">
        <f t="shared" si="29"/>
        <v>0</v>
      </c>
      <c r="I79" s="65"/>
      <c r="J79" s="143" t="str">
        <f>IF('Cronog. e Histog.'!F838&gt;0,'Cronog. e Histog.'!F838,"")</f>
        <v/>
      </c>
      <c r="K79" s="65"/>
      <c r="L79" s="144">
        <f>IF('Cronog. e Histog.'!H838&gt;0,'Cronog. e Histog.'!H838,0)</f>
        <v>0</v>
      </c>
      <c r="M79" s="144">
        <f>IF('Cronog. e Histog.'!I838&gt;0,'Cronog. e Histog.'!I838,0)</f>
        <v>0</v>
      </c>
      <c r="N79" s="65"/>
      <c r="O79" s="109">
        <f>_xlfn.XLOOKUP(B79,Salários!B:B,Salários!K:K)</f>
        <v>0</v>
      </c>
      <c r="P79" s="109">
        <f t="shared" si="6"/>
        <v>0</v>
      </c>
      <c r="Q79" s="109">
        <f t="shared" si="7"/>
        <v>0</v>
      </c>
      <c r="R79" s="65"/>
      <c r="S79" s="109">
        <f t="shared" si="23"/>
        <v>0</v>
      </c>
      <c r="T79" s="201" t="str">
        <f>IF(_xlfn.XLOOKUP(B79,Salários!B:B,Salários!I:I)&gt;0,_xlfn.XLOOKUP(B79,Salários!B:B,Salários!I:I),"")</f>
        <v/>
      </c>
      <c r="U79" s="117">
        <f t="shared" si="25"/>
        <v>0</v>
      </c>
      <c r="V79" s="65"/>
      <c r="W79" s="202"/>
      <c r="X79" s="65"/>
      <c r="Y79" s="69"/>
      <c r="Z79" s="65"/>
      <c r="AA79" s="517"/>
      <c r="AB79" s="65"/>
      <c r="AC79" s="81">
        <f t="shared" si="30"/>
        <v>0</v>
      </c>
      <c r="AD79" s="65"/>
      <c r="AE79" s="112"/>
      <c r="AF79" s="203">
        <v>0.3</v>
      </c>
      <c r="AG79" s="109">
        <f t="shared" si="9"/>
        <v>0</v>
      </c>
      <c r="AH79" s="84">
        <f t="shared" si="10"/>
        <v>0</v>
      </c>
      <c r="AI79" s="65"/>
      <c r="AJ79" s="112"/>
      <c r="AK79" s="122"/>
      <c r="AL79" s="109">
        <v>1212</v>
      </c>
      <c r="AM79" s="84">
        <f t="shared" si="11"/>
        <v>0</v>
      </c>
      <c r="AN79" s="65"/>
      <c r="AO79" s="112"/>
      <c r="AP79" s="204"/>
      <c r="AQ79" s="109">
        <f>IFERROR((O79+AH79+AM79)/Dashboard!$D$15,0)*0.2</f>
        <v>0</v>
      </c>
      <c r="AR79" s="84">
        <f t="shared" si="34"/>
        <v>0</v>
      </c>
      <c r="AS79" s="65"/>
      <c r="AT79" s="112"/>
      <c r="AU79" s="203">
        <v>0.33</v>
      </c>
      <c r="AV79" s="109">
        <f t="shared" si="13"/>
        <v>0</v>
      </c>
      <c r="AW79" s="84">
        <f t="shared" si="14"/>
        <v>0</v>
      </c>
      <c r="AX79" s="65"/>
      <c r="AY79" s="112"/>
      <c r="AZ79" s="203">
        <v>0.25</v>
      </c>
      <c r="BA79" s="109">
        <f t="shared" si="15"/>
        <v>0</v>
      </c>
      <c r="BB79" s="84">
        <f t="shared" si="16"/>
        <v>0</v>
      </c>
      <c r="BC79" s="65"/>
      <c r="BD79" s="112"/>
      <c r="BE79" s="203">
        <v>0.26</v>
      </c>
      <c r="BF79" s="109">
        <f t="shared" si="17"/>
        <v>0</v>
      </c>
      <c r="BG79" s="84">
        <f t="shared" si="18"/>
        <v>0</v>
      </c>
      <c r="BH79" s="197"/>
      <c r="BI79" s="517"/>
      <c r="BJ79" s="65"/>
      <c r="BK79" s="81">
        <f t="shared" si="19"/>
        <v>0</v>
      </c>
      <c r="BL79" s="65"/>
      <c r="BM79" s="65"/>
      <c r="BN79" s="204"/>
      <c r="BO79" s="109">
        <f>($O79/Dashboard!$D$15)*(1+Dashboard!$D$19)</f>
        <v>0</v>
      </c>
      <c r="BP79" s="84">
        <f t="shared" si="31"/>
        <v>0</v>
      </c>
      <c r="BQ79" s="65"/>
      <c r="BR79" s="65"/>
      <c r="BS79" s="204"/>
      <c r="BT79" s="109">
        <f>($O79/Dashboard!$D$15)*(1+Dashboard!$D$20)</f>
        <v>0</v>
      </c>
      <c r="BU79" s="84">
        <f t="shared" si="32"/>
        <v>0</v>
      </c>
      <c r="BV79" s="65"/>
      <c r="BW79" s="65"/>
      <c r="BX79" s="204"/>
      <c r="BY79" s="109">
        <f>($O79/Dashboard!$D$15)*(1+Dashboard!$D$21)</f>
        <v>0</v>
      </c>
      <c r="BZ79" s="84">
        <f t="shared" si="33"/>
        <v>0</v>
      </c>
    </row>
    <row r="80" spans="2:78" ht="12" hidden="1" customHeight="1" outlineLevel="1">
      <c r="B80" s="137" t="str">
        <f>'Cronog. e Histog.'!B840</f>
        <v/>
      </c>
      <c r="C80" s="65"/>
      <c r="D80" s="200">
        <f t="shared" si="26"/>
        <v>0</v>
      </c>
      <c r="E80" s="200">
        <f t="shared" si="27"/>
        <v>0</v>
      </c>
      <c r="F80" s="65"/>
      <c r="G80" s="200">
        <f t="shared" si="28"/>
        <v>0</v>
      </c>
      <c r="H80" s="200">
        <f t="shared" si="29"/>
        <v>0</v>
      </c>
      <c r="I80" s="65"/>
      <c r="J80" s="143" t="str">
        <f>IF('Cronog. e Histog.'!F840&gt;0,'Cronog. e Histog.'!F840,"")</f>
        <v/>
      </c>
      <c r="K80" s="65"/>
      <c r="L80" s="144">
        <f>IF('Cronog. e Histog.'!H840&gt;0,'Cronog. e Histog.'!H840,0)</f>
        <v>0</v>
      </c>
      <c r="M80" s="144">
        <f>IF('Cronog. e Histog.'!I840&gt;0,'Cronog. e Histog.'!I840,0)</f>
        <v>0</v>
      </c>
      <c r="N80" s="65"/>
      <c r="O80" s="109">
        <f>_xlfn.XLOOKUP(B80,Salários!B:B,Salários!K:K)</f>
        <v>0</v>
      </c>
      <c r="P80" s="109">
        <f t="shared" si="6"/>
        <v>0</v>
      </c>
      <c r="Q80" s="109">
        <f t="shared" si="7"/>
        <v>0</v>
      </c>
      <c r="R80" s="65"/>
      <c r="S80" s="109">
        <f t="shared" si="23"/>
        <v>0</v>
      </c>
      <c r="T80" s="201" t="str">
        <f>IF(_xlfn.XLOOKUP(B80,Salários!B:B,Salários!I:I)&gt;0,_xlfn.XLOOKUP(B80,Salários!B:B,Salários!I:I),"")</f>
        <v/>
      </c>
      <c r="U80" s="117">
        <f t="shared" si="25"/>
        <v>0</v>
      </c>
      <c r="V80" s="65"/>
      <c r="W80" s="202"/>
      <c r="X80" s="65"/>
      <c r="Y80" s="69"/>
      <c r="Z80" s="65"/>
      <c r="AA80" s="517"/>
      <c r="AB80" s="65"/>
      <c r="AC80" s="81">
        <f t="shared" si="30"/>
        <v>0</v>
      </c>
      <c r="AD80" s="65"/>
      <c r="AE80" s="112"/>
      <c r="AF80" s="203">
        <v>0.3</v>
      </c>
      <c r="AG80" s="109">
        <f t="shared" si="9"/>
        <v>0</v>
      </c>
      <c r="AH80" s="84">
        <f t="shared" si="10"/>
        <v>0</v>
      </c>
      <c r="AI80" s="65"/>
      <c r="AJ80" s="112"/>
      <c r="AK80" s="122"/>
      <c r="AL80" s="109">
        <v>1212</v>
      </c>
      <c r="AM80" s="84">
        <f t="shared" si="11"/>
        <v>0</v>
      </c>
      <c r="AN80" s="65"/>
      <c r="AO80" s="112"/>
      <c r="AP80" s="204"/>
      <c r="AQ80" s="109">
        <f>IFERROR((O80+AH80+AM80)/Dashboard!$D$15,0)*0.2</f>
        <v>0</v>
      </c>
      <c r="AR80" s="84">
        <f t="shared" si="34"/>
        <v>0</v>
      </c>
      <c r="AS80" s="65"/>
      <c r="AT80" s="112"/>
      <c r="AU80" s="203">
        <v>0.33</v>
      </c>
      <c r="AV80" s="109">
        <f t="shared" si="13"/>
        <v>0</v>
      </c>
      <c r="AW80" s="84">
        <f t="shared" si="14"/>
        <v>0</v>
      </c>
      <c r="AX80" s="65"/>
      <c r="AY80" s="112"/>
      <c r="AZ80" s="203">
        <v>0.25</v>
      </c>
      <c r="BA80" s="109">
        <f t="shared" si="15"/>
        <v>0</v>
      </c>
      <c r="BB80" s="84">
        <f t="shared" si="16"/>
        <v>0</v>
      </c>
      <c r="BC80" s="65"/>
      <c r="BD80" s="112"/>
      <c r="BE80" s="203">
        <v>0.26</v>
      </c>
      <c r="BF80" s="109">
        <f t="shared" si="17"/>
        <v>0</v>
      </c>
      <c r="BG80" s="84">
        <f t="shared" si="18"/>
        <v>0</v>
      </c>
      <c r="BH80" s="197"/>
      <c r="BI80" s="517"/>
      <c r="BJ80" s="65"/>
      <c r="BK80" s="81">
        <f t="shared" si="19"/>
        <v>0</v>
      </c>
      <c r="BL80" s="65"/>
      <c r="BM80" s="65"/>
      <c r="BN80" s="204"/>
      <c r="BO80" s="109">
        <f>($O80/Dashboard!$D$15)*(1+Dashboard!$D$19)</f>
        <v>0</v>
      </c>
      <c r="BP80" s="84">
        <f t="shared" si="31"/>
        <v>0</v>
      </c>
      <c r="BQ80" s="65"/>
      <c r="BR80" s="65"/>
      <c r="BS80" s="204"/>
      <c r="BT80" s="109">
        <f>($O80/Dashboard!$D$15)*(1+Dashboard!$D$20)</f>
        <v>0</v>
      </c>
      <c r="BU80" s="84">
        <f t="shared" si="32"/>
        <v>0</v>
      </c>
      <c r="BV80" s="65"/>
      <c r="BW80" s="65"/>
      <c r="BX80" s="204"/>
      <c r="BY80" s="109">
        <f>($O80/Dashboard!$D$15)*(1+Dashboard!$D$21)</f>
        <v>0</v>
      </c>
      <c r="BZ80" s="84">
        <f t="shared" si="33"/>
        <v>0</v>
      </c>
    </row>
    <row r="81" spans="2:78" ht="12" hidden="1" customHeight="1" outlineLevel="1">
      <c r="B81" s="137" t="str">
        <f>'Cronog. e Histog.'!B841</f>
        <v/>
      </c>
      <c r="C81" s="65"/>
      <c r="D81" s="200">
        <f t="shared" si="26"/>
        <v>0</v>
      </c>
      <c r="E81" s="200">
        <f t="shared" si="27"/>
        <v>0</v>
      </c>
      <c r="F81" s="65"/>
      <c r="G81" s="200">
        <f t="shared" si="28"/>
        <v>0</v>
      </c>
      <c r="H81" s="200">
        <f t="shared" si="29"/>
        <v>0</v>
      </c>
      <c r="I81" s="65"/>
      <c r="J81" s="143" t="str">
        <f>IF('Cronog. e Histog.'!F841&gt;0,'Cronog. e Histog.'!F841,"")</f>
        <v/>
      </c>
      <c r="K81" s="65"/>
      <c r="L81" s="144">
        <f>IF('Cronog. e Histog.'!H841&gt;0,'Cronog. e Histog.'!H841,0)</f>
        <v>0</v>
      </c>
      <c r="M81" s="144">
        <f>IF('Cronog. e Histog.'!I841&gt;0,'Cronog. e Histog.'!I841,0)</f>
        <v>0</v>
      </c>
      <c r="N81" s="65"/>
      <c r="O81" s="109">
        <f>_xlfn.XLOOKUP(B81,Salários!B:B,Salários!K:K)</f>
        <v>0</v>
      </c>
      <c r="P81" s="109">
        <f t="shared" si="6"/>
        <v>0</v>
      </c>
      <c r="Q81" s="109">
        <f t="shared" si="7"/>
        <v>0</v>
      </c>
      <c r="R81" s="65"/>
      <c r="S81" s="109">
        <f t="shared" si="23"/>
        <v>0</v>
      </c>
      <c r="T81" s="201" t="str">
        <f>IF(_xlfn.XLOOKUP(B81,Salários!B:B,Salários!I:I)&gt;0,_xlfn.XLOOKUP(B81,Salários!B:B,Salários!I:I),"")</f>
        <v/>
      </c>
      <c r="U81" s="117">
        <f t="shared" si="25"/>
        <v>0</v>
      </c>
      <c r="V81" s="65"/>
      <c r="W81" s="202"/>
      <c r="X81" s="65"/>
      <c r="Y81" s="69"/>
      <c r="Z81" s="65"/>
      <c r="AA81" s="517"/>
      <c r="AB81" s="65"/>
      <c r="AC81" s="81">
        <f t="shared" si="30"/>
        <v>0</v>
      </c>
      <c r="AD81" s="65"/>
      <c r="AE81" s="112"/>
      <c r="AF81" s="203">
        <v>0.3</v>
      </c>
      <c r="AG81" s="109">
        <f t="shared" si="9"/>
        <v>0</v>
      </c>
      <c r="AH81" s="84">
        <f t="shared" si="10"/>
        <v>0</v>
      </c>
      <c r="AI81" s="65"/>
      <c r="AJ81" s="112"/>
      <c r="AK81" s="122"/>
      <c r="AL81" s="109">
        <v>1212</v>
      </c>
      <c r="AM81" s="84">
        <f t="shared" si="11"/>
        <v>0</v>
      </c>
      <c r="AN81" s="65"/>
      <c r="AO81" s="112"/>
      <c r="AP81" s="204"/>
      <c r="AQ81" s="109">
        <f>IFERROR((O81+AH81+AM81)/Dashboard!$D$15,0)*0.2</f>
        <v>0</v>
      </c>
      <c r="AR81" s="84">
        <f t="shared" si="34"/>
        <v>0</v>
      </c>
      <c r="AS81" s="65"/>
      <c r="AT81" s="112"/>
      <c r="AU81" s="203">
        <v>0.33</v>
      </c>
      <c r="AV81" s="109">
        <f t="shared" si="13"/>
        <v>0</v>
      </c>
      <c r="AW81" s="84">
        <f t="shared" si="14"/>
        <v>0</v>
      </c>
      <c r="AX81" s="65"/>
      <c r="AY81" s="112"/>
      <c r="AZ81" s="203">
        <v>0.25</v>
      </c>
      <c r="BA81" s="109">
        <f t="shared" si="15"/>
        <v>0</v>
      </c>
      <c r="BB81" s="84">
        <f t="shared" si="16"/>
        <v>0</v>
      </c>
      <c r="BC81" s="65"/>
      <c r="BD81" s="112"/>
      <c r="BE81" s="203">
        <v>0.26</v>
      </c>
      <c r="BF81" s="109">
        <f t="shared" si="17"/>
        <v>0</v>
      </c>
      <c r="BG81" s="84">
        <f t="shared" si="18"/>
        <v>0</v>
      </c>
      <c r="BH81" s="197"/>
      <c r="BI81" s="517"/>
      <c r="BJ81" s="65"/>
      <c r="BK81" s="81">
        <f t="shared" si="19"/>
        <v>0</v>
      </c>
      <c r="BL81" s="65"/>
      <c r="BM81" s="65"/>
      <c r="BN81" s="204"/>
      <c r="BO81" s="109">
        <f>($O81/Dashboard!$D$15)*(1+Dashboard!$D$19)</f>
        <v>0</v>
      </c>
      <c r="BP81" s="84">
        <f t="shared" si="31"/>
        <v>0</v>
      </c>
      <c r="BQ81" s="65"/>
      <c r="BR81" s="65"/>
      <c r="BS81" s="204"/>
      <c r="BT81" s="109">
        <f>($O81/Dashboard!$D$15)*(1+Dashboard!$D$20)</f>
        <v>0</v>
      </c>
      <c r="BU81" s="84">
        <f t="shared" si="32"/>
        <v>0</v>
      </c>
      <c r="BV81" s="65"/>
      <c r="BW81" s="65"/>
      <c r="BX81" s="204"/>
      <c r="BY81" s="109">
        <f>($O81/Dashboard!$D$15)*(1+Dashboard!$D$21)</f>
        <v>0</v>
      </c>
      <c r="BZ81" s="84">
        <f t="shared" si="33"/>
        <v>0</v>
      </c>
    </row>
    <row r="82" spans="2:78" ht="12" hidden="1" customHeight="1" outlineLevel="1">
      <c r="B82" s="137" t="str">
        <f>'Cronog. e Histog.'!B842</f>
        <v/>
      </c>
      <c r="C82" s="65"/>
      <c r="D82" s="200">
        <f t="shared" si="26"/>
        <v>0</v>
      </c>
      <c r="E82" s="200">
        <f t="shared" si="27"/>
        <v>0</v>
      </c>
      <c r="F82" s="65"/>
      <c r="G82" s="200">
        <f t="shared" si="28"/>
        <v>0</v>
      </c>
      <c r="H82" s="200">
        <f t="shared" si="29"/>
        <v>0</v>
      </c>
      <c r="I82" s="65"/>
      <c r="J82" s="143" t="str">
        <f>IF('Cronog. e Histog.'!F842&gt;0,'Cronog. e Histog.'!F842,"")</f>
        <v/>
      </c>
      <c r="K82" s="65"/>
      <c r="L82" s="144">
        <f>IF('Cronog. e Histog.'!H842&gt;0,'Cronog. e Histog.'!H842,0)</f>
        <v>0</v>
      </c>
      <c r="M82" s="144">
        <f>IF('Cronog. e Histog.'!I842&gt;0,'Cronog. e Histog.'!I842,0)</f>
        <v>0</v>
      </c>
      <c r="N82" s="65"/>
      <c r="O82" s="109">
        <f>_xlfn.XLOOKUP(B82,Salários!B:B,Salários!K:K)</f>
        <v>0</v>
      </c>
      <c r="P82" s="109">
        <f t="shared" si="6"/>
        <v>0</v>
      </c>
      <c r="Q82" s="109">
        <f t="shared" si="7"/>
        <v>0</v>
      </c>
      <c r="R82" s="65"/>
      <c r="S82" s="109">
        <f t="shared" si="23"/>
        <v>0</v>
      </c>
      <c r="T82" s="201" t="str">
        <f>IF(_xlfn.XLOOKUP(B82,Salários!B:B,Salários!I:I)&gt;0,_xlfn.XLOOKUP(B82,Salários!B:B,Salários!I:I),"")</f>
        <v/>
      </c>
      <c r="U82" s="117">
        <f t="shared" si="25"/>
        <v>0</v>
      </c>
      <c r="V82" s="65"/>
      <c r="W82" s="202"/>
      <c r="X82" s="65"/>
      <c r="Y82" s="69"/>
      <c r="Z82" s="65"/>
      <c r="AA82" s="517"/>
      <c r="AB82" s="65"/>
      <c r="AC82" s="81">
        <f t="shared" si="30"/>
        <v>0</v>
      </c>
      <c r="AD82" s="65"/>
      <c r="AE82" s="112"/>
      <c r="AF82" s="203">
        <v>0.3</v>
      </c>
      <c r="AG82" s="109">
        <f t="shared" si="9"/>
        <v>0</v>
      </c>
      <c r="AH82" s="84">
        <f t="shared" si="10"/>
        <v>0</v>
      </c>
      <c r="AI82" s="65"/>
      <c r="AJ82" s="112"/>
      <c r="AK82" s="122"/>
      <c r="AL82" s="109">
        <v>1212</v>
      </c>
      <c r="AM82" s="84">
        <f t="shared" si="11"/>
        <v>0</v>
      </c>
      <c r="AN82" s="65"/>
      <c r="AO82" s="112"/>
      <c r="AP82" s="204"/>
      <c r="AQ82" s="109">
        <f>IFERROR((O82+AH82+AM82)/Dashboard!$D$15,0)*0.2</f>
        <v>0</v>
      </c>
      <c r="AR82" s="84">
        <f t="shared" si="34"/>
        <v>0</v>
      </c>
      <c r="AS82" s="65"/>
      <c r="AT82" s="112"/>
      <c r="AU82" s="203">
        <v>0.33</v>
      </c>
      <c r="AV82" s="109">
        <f t="shared" si="13"/>
        <v>0</v>
      </c>
      <c r="AW82" s="84">
        <f t="shared" si="14"/>
        <v>0</v>
      </c>
      <c r="AX82" s="65"/>
      <c r="AY82" s="112"/>
      <c r="AZ82" s="203">
        <v>0.25</v>
      </c>
      <c r="BA82" s="109">
        <f t="shared" si="15"/>
        <v>0</v>
      </c>
      <c r="BB82" s="84">
        <f t="shared" si="16"/>
        <v>0</v>
      </c>
      <c r="BC82" s="65"/>
      <c r="BD82" s="112"/>
      <c r="BE82" s="203">
        <v>0.26</v>
      </c>
      <c r="BF82" s="109">
        <f t="shared" si="17"/>
        <v>0</v>
      </c>
      <c r="BG82" s="84">
        <f t="shared" si="18"/>
        <v>0</v>
      </c>
      <c r="BH82" s="197"/>
      <c r="BI82" s="517"/>
      <c r="BJ82" s="65"/>
      <c r="BK82" s="81">
        <f t="shared" si="19"/>
        <v>0</v>
      </c>
      <c r="BL82" s="65"/>
      <c r="BM82" s="65"/>
      <c r="BN82" s="204"/>
      <c r="BO82" s="109">
        <f>($O82/Dashboard!$D$15)*(1+Dashboard!$D$19)</f>
        <v>0</v>
      </c>
      <c r="BP82" s="84">
        <f t="shared" si="31"/>
        <v>0</v>
      </c>
      <c r="BQ82" s="65"/>
      <c r="BR82" s="65"/>
      <c r="BS82" s="204"/>
      <c r="BT82" s="109">
        <f>($O82/Dashboard!$D$15)*(1+Dashboard!$D$20)</f>
        <v>0</v>
      </c>
      <c r="BU82" s="84">
        <f t="shared" si="32"/>
        <v>0</v>
      </c>
      <c r="BV82" s="65"/>
      <c r="BW82" s="65"/>
      <c r="BX82" s="204"/>
      <c r="BY82" s="109">
        <f>($O82/Dashboard!$D$15)*(1+Dashboard!$D$21)</f>
        <v>0</v>
      </c>
      <c r="BZ82" s="84">
        <f t="shared" si="33"/>
        <v>0</v>
      </c>
    </row>
    <row r="83" spans="2:78" ht="12" hidden="1" customHeight="1" outlineLevel="1">
      <c r="B83" s="137" t="str">
        <f>'Cronog. e Histog.'!B843</f>
        <v/>
      </c>
      <c r="C83" s="65"/>
      <c r="D83" s="200">
        <f t="shared" si="26"/>
        <v>0</v>
      </c>
      <c r="E83" s="200">
        <f t="shared" si="27"/>
        <v>0</v>
      </c>
      <c r="F83" s="65"/>
      <c r="G83" s="200">
        <f t="shared" si="28"/>
        <v>0</v>
      </c>
      <c r="H83" s="200">
        <f t="shared" si="29"/>
        <v>0</v>
      </c>
      <c r="I83" s="65"/>
      <c r="J83" s="143" t="str">
        <f>IF('Cronog. e Histog.'!F843&gt;0,'Cronog. e Histog.'!F843,"")</f>
        <v/>
      </c>
      <c r="K83" s="65"/>
      <c r="L83" s="144">
        <f>IF('Cronog. e Histog.'!H843&gt;0,'Cronog. e Histog.'!H843,0)</f>
        <v>0</v>
      </c>
      <c r="M83" s="144">
        <f>IF('Cronog. e Histog.'!I843&gt;0,'Cronog. e Histog.'!I843,0)</f>
        <v>0</v>
      </c>
      <c r="N83" s="65"/>
      <c r="O83" s="109">
        <f>_xlfn.XLOOKUP(B83,Salários!B:B,Salários!K:K)</f>
        <v>0</v>
      </c>
      <c r="P83" s="109">
        <f t="shared" si="6"/>
        <v>0</v>
      </c>
      <c r="Q83" s="109">
        <f t="shared" si="7"/>
        <v>0</v>
      </c>
      <c r="R83" s="65"/>
      <c r="S83" s="109">
        <f t="shared" si="23"/>
        <v>0</v>
      </c>
      <c r="T83" s="201" t="str">
        <f>IF(_xlfn.XLOOKUP(B83,Salários!B:B,Salários!I:I)&gt;0,_xlfn.XLOOKUP(B83,Salários!B:B,Salários!I:I),"")</f>
        <v/>
      </c>
      <c r="U83" s="117">
        <f t="shared" si="25"/>
        <v>0</v>
      </c>
      <c r="V83" s="65"/>
      <c r="W83" s="202"/>
      <c r="X83" s="65"/>
      <c r="Y83" s="69"/>
      <c r="Z83" s="65"/>
      <c r="AA83" s="517"/>
      <c r="AB83" s="65"/>
      <c r="AC83" s="81">
        <f t="shared" si="30"/>
        <v>0</v>
      </c>
      <c r="AD83" s="65"/>
      <c r="AE83" s="112"/>
      <c r="AF83" s="203">
        <v>0.3</v>
      </c>
      <c r="AG83" s="109">
        <f t="shared" si="9"/>
        <v>0</v>
      </c>
      <c r="AH83" s="84">
        <f t="shared" si="10"/>
        <v>0</v>
      </c>
      <c r="AI83" s="65"/>
      <c r="AJ83" s="112"/>
      <c r="AK83" s="122"/>
      <c r="AL83" s="109">
        <v>1212</v>
      </c>
      <c r="AM83" s="84">
        <f t="shared" si="11"/>
        <v>0</v>
      </c>
      <c r="AN83" s="65"/>
      <c r="AO83" s="112"/>
      <c r="AP83" s="204"/>
      <c r="AQ83" s="109">
        <f>IFERROR((O83+AH83+AM83)/Dashboard!$D$15,0)*0.2</f>
        <v>0</v>
      </c>
      <c r="AR83" s="84">
        <f t="shared" si="34"/>
        <v>0</v>
      </c>
      <c r="AS83" s="65"/>
      <c r="AT83" s="112"/>
      <c r="AU83" s="203">
        <v>0.33</v>
      </c>
      <c r="AV83" s="109">
        <f t="shared" si="13"/>
        <v>0</v>
      </c>
      <c r="AW83" s="84">
        <f t="shared" si="14"/>
        <v>0</v>
      </c>
      <c r="AX83" s="65"/>
      <c r="AY83" s="112"/>
      <c r="AZ83" s="203">
        <v>0.25</v>
      </c>
      <c r="BA83" s="109">
        <f t="shared" si="15"/>
        <v>0</v>
      </c>
      <c r="BB83" s="84">
        <f t="shared" si="16"/>
        <v>0</v>
      </c>
      <c r="BC83" s="65"/>
      <c r="BD83" s="112"/>
      <c r="BE83" s="203">
        <v>0.26</v>
      </c>
      <c r="BF83" s="109">
        <f t="shared" si="17"/>
        <v>0</v>
      </c>
      <c r="BG83" s="84">
        <f t="shared" si="18"/>
        <v>0</v>
      </c>
      <c r="BH83" s="197"/>
      <c r="BI83" s="517"/>
      <c r="BJ83" s="65"/>
      <c r="BK83" s="81">
        <f t="shared" si="19"/>
        <v>0</v>
      </c>
      <c r="BL83" s="65"/>
      <c r="BM83" s="65"/>
      <c r="BN83" s="204"/>
      <c r="BO83" s="109">
        <f>($O83/Dashboard!$D$15)*(1+Dashboard!$D$19)</f>
        <v>0</v>
      </c>
      <c r="BP83" s="84">
        <f t="shared" si="31"/>
        <v>0</v>
      </c>
      <c r="BQ83" s="65"/>
      <c r="BR83" s="65"/>
      <c r="BS83" s="204"/>
      <c r="BT83" s="109">
        <f>($O83/Dashboard!$D$15)*(1+Dashboard!$D$20)</f>
        <v>0</v>
      </c>
      <c r="BU83" s="84">
        <f t="shared" si="32"/>
        <v>0</v>
      </c>
      <c r="BV83" s="65"/>
      <c r="BW83" s="65"/>
      <c r="BX83" s="204"/>
      <c r="BY83" s="109">
        <f>($O83/Dashboard!$D$15)*(1+Dashboard!$D$21)</f>
        <v>0</v>
      </c>
      <c r="BZ83" s="84">
        <f t="shared" si="33"/>
        <v>0</v>
      </c>
    </row>
    <row r="84" spans="2:78" ht="12" hidden="1" customHeight="1" outlineLevel="1">
      <c r="B84" s="137" t="str">
        <f>'Cronog. e Histog.'!B844</f>
        <v/>
      </c>
      <c r="C84" s="65"/>
      <c r="D84" s="200">
        <f t="shared" si="26"/>
        <v>0</v>
      </c>
      <c r="E84" s="200">
        <f t="shared" si="27"/>
        <v>0</v>
      </c>
      <c r="F84" s="65"/>
      <c r="G84" s="200">
        <f t="shared" si="28"/>
        <v>0</v>
      </c>
      <c r="H84" s="200">
        <f t="shared" si="29"/>
        <v>0</v>
      </c>
      <c r="I84" s="65"/>
      <c r="J84" s="143" t="str">
        <f>IF('Cronog. e Histog.'!F844&gt;0,'Cronog. e Histog.'!F844,"")</f>
        <v/>
      </c>
      <c r="K84" s="65"/>
      <c r="L84" s="144">
        <f>IF('Cronog. e Histog.'!H844&gt;0,'Cronog. e Histog.'!H844,0)</f>
        <v>0</v>
      </c>
      <c r="M84" s="144">
        <f>IF('Cronog. e Histog.'!I844&gt;0,'Cronog. e Histog.'!I844,0)</f>
        <v>0</v>
      </c>
      <c r="N84" s="65"/>
      <c r="O84" s="109">
        <f>_xlfn.XLOOKUP(B84,Salários!B:B,Salários!K:K)</f>
        <v>0</v>
      </c>
      <c r="P84" s="109">
        <f t="shared" si="6"/>
        <v>0</v>
      </c>
      <c r="Q84" s="109">
        <f t="shared" si="7"/>
        <v>0</v>
      </c>
      <c r="R84" s="65"/>
      <c r="S84" s="109">
        <f t="shared" si="23"/>
        <v>0</v>
      </c>
      <c r="T84" s="201" t="str">
        <f>IF(_xlfn.XLOOKUP(B84,Salários!B:B,Salários!I:I)&gt;0,_xlfn.XLOOKUP(B84,Salários!B:B,Salários!I:I),"")</f>
        <v/>
      </c>
      <c r="U84" s="117">
        <f t="shared" si="25"/>
        <v>0</v>
      </c>
      <c r="V84" s="65"/>
      <c r="W84" s="202"/>
      <c r="X84" s="65"/>
      <c r="Y84" s="69"/>
      <c r="Z84" s="65"/>
      <c r="AA84" s="517"/>
      <c r="AB84" s="65"/>
      <c r="AC84" s="81">
        <f t="shared" si="30"/>
        <v>0</v>
      </c>
      <c r="AD84" s="65"/>
      <c r="AE84" s="112"/>
      <c r="AF84" s="203">
        <v>0.3</v>
      </c>
      <c r="AG84" s="109">
        <f t="shared" si="9"/>
        <v>0</v>
      </c>
      <c r="AH84" s="84">
        <f t="shared" si="10"/>
        <v>0</v>
      </c>
      <c r="AI84" s="65"/>
      <c r="AJ84" s="112"/>
      <c r="AK84" s="122"/>
      <c r="AL84" s="109">
        <v>1212</v>
      </c>
      <c r="AM84" s="84">
        <f t="shared" si="11"/>
        <v>0</v>
      </c>
      <c r="AN84" s="65"/>
      <c r="AO84" s="112"/>
      <c r="AP84" s="204"/>
      <c r="AQ84" s="109">
        <f>IFERROR((O84+AH84+AM84)/Dashboard!$D$15,0)*0.2</f>
        <v>0</v>
      </c>
      <c r="AR84" s="84">
        <f t="shared" si="34"/>
        <v>0</v>
      </c>
      <c r="AS84" s="65"/>
      <c r="AT84" s="112"/>
      <c r="AU84" s="203">
        <v>0.33</v>
      </c>
      <c r="AV84" s="109">
        <f t="shared" si="13"/>
        <v>0</v>
      </c>
      <c r="AW84" s="84">
        <f t="shared" si="14"/>
        <v>0</v>
      </c>
      <c r="AX84" s="65"/>
      <c r="AY84" s="112"/>
      <c r="AZ84" s="203">
        <v>0.25</v>
      </c>
      <c r="BA84" s="109">
        <f t="shared" si="15"/>
        <v>0</v>
      </c>
      <c r="BB84" s="84">
        <f t="shared" si="16"/>
        <v>0</v>
      </c>
      <c r="BC84" s="65"/>
      <c r="BD84" s="112"/>
      <c r="BE84" s="203">
        <v>0.26</v>
      </c>
      <c r="BF84" s="109">
        <f t="shared" si="17"/>
        <v>0</v>
      </c>
      <c r="BG84" s="84">
        <f t="shared" si="18"/>
        <v>0</v>
      </c>
      <c r="BH84" s="197"/>
      <c r="BI84" s="517"/>
      <c r="BJ84" s="65"/>
      <c r="BK84" s="81">
        <f t="shared" si="19"/>
        <v>0</v>
      </c>
      <c r="BL84" s="65"/>
      <c r="BM84" s="65"/>
      <c r="BN84" s="204"/>
      <c r="BO84" s="109">
        <f>($O84/Dashboard!$D$15)*(1+Dashboard!$D$19)</f>
        <v>0</v>
      </c>
      <c r="BP84" s="84">
        <f t="shared" si="31"/>
        <v>0</v>
      </c>
      <c r="BQ84" s="65"/>
      <c r="BR84" s="65"/>
      <c r="BS84" s="204"/>
      <c r="BT84" s="109">
        <f>($O84/Dashboard!$D$15)*(1+Dashboard!$D$20)</f>
        <v>0</v>
      </c>
      <c r="BU84" s="84">
        <f t="shared" si="32"/>
        <v>0</v>
      </c>
      <c r="BV84" s="65"/>
      <c r="BW84" s="65"/>
      <c r="BX84" s="204"/>
      <c r="BY84" s="109">
        <f>($O84/Dashboard!$D$15)*(1+Dashboard!$D$21)</f>
        <v>0</v>
      </c>
      <c r="BZ84" s="84">
        <f t="shared" si="33"/>
        <v>0</v>
      </c>
    </row>
    <row r="85" spans="2:78" ht="12" hidden="1" customHeight="1" outlineLevel="1">
      <c r="B85" s="137" t="str">
        <f>'Cronog. e Histog.'!B845</f>
        <v/>
      </c>
      <c r="C85" s="65"/>
      <c r="D85" s="200">
        <f t="shared" si="26"/>
        <v>0</v>
      </c>
      <c r="E85" s="200">
        <f t="shared" si="27"/>
        <v>0</v>
      </c>
      <c r="F85" s="65"/>
      <c r="G85" s="200">
        <f t="shared" si="28"/>
        <v>0</v>
      </c>
      <c r="H85" s="200">
        <f t="shared" si="29"/>
        <v>0</v>
      </c>
      <c r="I85" s="65"/>
      <c r="J85" s="143" t="str">
        <f>IF('Cronog. e Histog.'!F845&gt;0,'Cronog. e Histog.'!F845,"")</f>
        <v/>
      </c>
      <c r="K85" s="65"/>
      <c r="L85" s="144">
        <f>IF('Cronog. e Histog.'!H845&gt;0,'Cronog. e Histog.'!H845,0)</f>
        <v>0</v>
      </c>
      <c r="M85" s="144">
        <f>IF('Cronog. e Histog.'!I845&gt;0,'Cronog. e Histog.'!I845,0)</f>
        <v>0</v>
      </c>
      <c r="N85" s="65"/>
      <c r="O85" s="109">
        <f>_xlfn.XLOOKUP(B85,Salários!B:B,Salários!K:K)</f>
        <v>0</v>
      </c>
      <c r="P85" s="109">
        <f t="shared" si="6"/>
        <v>0</v>
      </c>
      <c r="Q85" s="109">
        <f t="shared" si="7"/>
        <v>0</v>
      </c>
      <c r="R85" s="65"/>
      <c r="S85" s="109">
        <f t="shared" si="23"/>
        <v>0</v>
      </c>
      <c r="T85" s="201" t="str">
        <f>IF(_xlfn.XLOOKUP(B85,Salários!B:B,Salários!I:I)&gt;0,_xlfn.XLOOKUP(B85,Salários!B:B,Salários!I:I),"")</f>
        <v/>
      </c>
      <c r="U85" s="117">
        <f t="shared" si="25"/>
        <v>0</v>
      </c>
      <c r="V85" s="65"/>
      <c r="W85" s="202"/>
      <c r="X85" s="65"/>
      <c r="Y85" s="69"/>
      <c r="Z85" s="65"/>
      <c r="AA85" s="517"/>
      <c r="AB85" s="65"/>
      <c r="AC85" s="81">
        <f t="shared" si="30"/>
        <v>0</v>
      </c>
      <c r="AD85" s="65"/>
      <c r="AE85" s="112"/>
      <c r="AF85" s="203">
        <v>0.3</v>
      </c>
      <c r="AG85" s="109">
        <f t="shared" si="9"/>
        <v>0</v>
      </c>
      <c r="AH85" s="84">
        <f t="shared" si="10"/>
        <v>0</v>
      </c>
      <c r="AI85" s="65"/>
      <c r="AJ85" s="112"/>
      <c r="AK85" s="122"/>
      <c r="AL85" s="109">
        <v>1212</v>
      </c>
      <c r="AM85" s="84">
        <f t="shared" si="11"/>
        <v>0</v>
      </c>
      <c r="AN85" s="65"/>
      <c r="AO85" s="112"/>
      <c r="AP85" s="204"/>
      <c r="AQ85" s="109">
        <f>IFERROR((O85+AH85+AM85)/Dashboard!$D$15,0)*0.2</f>
        <v>0</v>
      </c>
      <c r="AR85" s="84">
        <f t="shared" si="34"/>
        <v>0</v>
      </c>
      <c r="AS85" s="65"/>
      <c r="AT85" s="112"/>
      <c r="AU85" s="203">
        <v>0.33</v>
      </c>
      <c r="AV85" s="109">
        <f t="shared" si="13"/>
        <v>0</v>
      </c>
      <c r="AW85" s="84">
        <f t="shared" si="14"/>
        <v>0</v>
      </c>
      <c r="AX85" s="65"/>
      <c r="AY85" s="112"/>
      <c r="AZ85" s="203">
        <v>0.25</v>
      </c>
      <c r="BA85" s="109">
        <f t="shared" si="15"/>
        <v>0</v>
      </c>
      <c r="BB85" s="84">
        <f t="shared" si="16"/>
        <v>0</v>
      </c>
      <c r="BC85" s="65"/>
      <c r="BD85" s="112"/>
      <c r="BE85" s="203">
        <v>0.26</v>
      </c>
      <c r="BF85" s="109">
        <f t="shared" si="17"/>
        <v>0</v>
      </c>
      <c r="BG85" s="84">
        <f t="shared" si="18"/>
        <v>0</v>
      </c>
      <c r="BH85" s="197"/>
      <c r="BI85" s="517"/>
      <c r="BJ85" s="65"/>
      <c r="BK85" s="81">
        <f t="shared" si="19"/>
        <v>0</v>
      </c>
      <c r="BL85" s="65"/>
      <c r="BM85" s="65"/>
      <c r="BN85" s="204"/>
      <c r="BO85" s="109">
        <f>($O85/Dashboard!$D$15)*(1+Dashboard!$D$19)</f>
        <v>0</v>
      </c>
      <c r="BP85" s="84">
        <f t="shared" si="31"/>
        <v>0</v>
      </c>
      <c r="BQ85" s="65"/>
      <c r="BR85" s="65"/>
      <c r="BS85" s="204"/>
      <c r="BT85" s="109">
        <f>($O85/Dashboard!$D$15)*(1+Dashboard!$D$20)</f>
        <v>0</v>
      </c>
      <c r="BU85" s="84">
        <f t="shared" si="32"/>
        <v>0</v>
      </c>
      <c r="BV85" s="65"/>
      <c r="BW85" s="65"/>
      <c r="BX85" s="204"/>
      <c r="BY85" s="109">
        <f>($O85/Dashboard!$D$15)*(1+Dashboard!$D$21)</f>
        <v>0</v>
      </c>
      <c r="BZ85" s="84">
        <f t="shared" si="33"/>
        <v>0</v>
      </c>
    </row>
    <row r="86" spans="2:78" ht="12" hidden="1" customHeight="1" outlineLevel="1">
      <c r="B86" s="137" t="str">
        <f>'Cronog. e Histog.'!B846</f>
        <v/>
      </c>
      <c r="C86" s="65"/>
      <c r="D86" s="200">
        <f t="shared" si="26"/>
        <v>0</v>
      </c>
      <c r="E86" s="200">
        <f t="shared" si="27"/>
        <v>0</v>
      </c>
      <c r="F86" s="65"/>
      <c r="G86" s="200">
        <f t="shared" si="28"/>
        <v>0</v>
      </c>
      <c r="H86" s="200">
        <f t="shared" si="29"/>
        <v>0</v>
      </c>
      <c r="I86" s="65"/>
      <c r="J86" s="143" t="str">
        <f>IF('Cronog. e Histog.'!F846&gt;0,'Cronog. e Histog.'!F846,"")</f>
        <v/>
      </c>
      <c r="K86" s="65"/>
      <c r="L86" s="144">
        <f>IF('Cronog. e Histog.'!H846&gt;0,'Cronog. e Histog.'!H846,0)</f>
        <v>0</v>
      </c>
      <c r="M86" s="144">
        <f>IF('Cronog. e Histog.'!I846&gt;0,'Cronog. e Histog.'!I846,0)</f>
        <v>0</v>
      </c>
      <c r="N86" s="65"/>
      <c r="O86" s="109">
        <f>_xlfn.XLOOKUP(B86,Salários!B:B,Salários!K:K)</f>
        <v>0</v>
      </c>
      <c r="P86" s="109">
        <f t="shared" si="6"/>
        <v>0</v>
      </c>
      <c r="Q86" s="109">
        <f t="shared" si="7"/>
        <v>0</v>
      </c>
      <c r="R86" s="65"/>
      <c r="S86" s="109">
        <f t="shared" si="23"/>
        <v>0</v>
      </c>
      <c r="T86" s="201" t="str">
        <f>IF(_xlfn.XLOOKUP(B86,Salários!B:B,Salários!I:I)&gt;0,_xlfn.XLOOKUP(B86,Salários!B:B,Salários!I:I),"")</f>
        <v/>
      </c>
      <c r="U86" s="117">
        <f t="shared" si="25"/>
        <v>0</v>
      </c>
      <c r="V86" s="65"/>
      <c r="W86" s="202"/>
      <c r="X86" s="65"/>
      <c r="Y86" s="69"/>
      <c r="Z86" s="65"/>
      <c r="AA86" s="517"/>
      <c r="AB86" s="65"/>
      <c r="AC86" s="81">
        <f t="shared" si="30"/>
        <v>0</v>
      </c>
      <c r="AD86" s="65"/>
      <c r="AE86" s="112"/>
      <c r="AF86" s="203">
        <v>0.3</v>
      </c>
      <c r="AG86" s="109">
        <f t="shared" si="9"/>
        <v>0</v>
      </c>
      <c r="AH86" s="84">
        <f t="shared" si="10"/>
        <v>0</v>
      </c>
      <c r="AI86" s="65"/>
      <c r="AJ86" s="112"/>
      <c r="AK86" s="122"/>
      <c r="AL86" s="109">
        <v>1212</v>
      </c>
      <c r="AM86" s="84">
        <f t="shared" si="11"/>
        <v>0</v>
      </c>
      <c r="AN86" s="65"/>
      <c r="AO86" s="112"/>
      <c r="AP86" s="204"/>
      <c r="AQ86" s="109">
        <f>IFERROR((O86+AH86+AM86)/Dashboard!$D$15,0)*0.2</f>
        <v>0</v>
      </c>
      <c r="AR86" s="84">
        <f t="shared" si="34"/>
        <v>0</v>
      </c>
      <c r="AS86" s="65"/>
      <c r="AT86" s="112"/>
      <c r="AU86" s="203">
        <v>0.33</v>
      </c>
      <c r="AV86" s="109">
        <f t="shared" si="13"/>
        <v>0</v>
      </c>
      <c r="AW86" s="84">
        <f t="shared" si="14"/>
        <v>0</v>
      </c>
      <c r="AX86" s="65"/>
      <c r="AY86" s="112"/>
      <c r="AZ86" s="203">
        <v>0.25</v>
      </c>
      <c r="BA86" s="109">
        <f t="shared" si="15"/>
        <v>0</v>
      </c>
      <c r="BB86" s="84">
        <f t="shared" si="16"/>
        <v>0</v>
      </c>
      <c r="BC86" s="65"/>
      <c r="BD86" s="112"/>
      <c r="BE86" s="203">
        <v>0.26</v>
      </c>
      <c r="BF86" s="109">
        <f t="shared" si="17"/>
        <v>0</v>
      </c>
      <c r="BG86" s="84">
        <f t="shared" si="18"/>
        <v>0</v>
      </c>
      <c r="BH86" s="197"/>
      <c r="BI86" s="517"/>
      <c r="BJ86" s="65"/>
      <c r="BK86" s="81">
        <f t="shared" si="19"/>
        <v>0</v>
      </c>
      <c r="BL86" s="65"/>
      <c r="BM86" s="65"/>
      <c r="BN86" s="204"/>
      <c r="BO86" s="109">
        <f>($O86/Dashboard!$D$15)*(1+Dashboard!$D$19)</f>
        <v>0</v>
      </c>
      <c r="BP86" s="84">
        <f t="shared" si="31"/>
        <v>0</v>
      </c>
      <c r="BQ86" s="65"/>
      <c r="BR86" s="65"/>
      <c r="BS86" s="204"/>
      <c r="BT86" s="109">
        <f>($O86/Dashboard!$D$15)*(1+Dashboard!$D$20)</f>
        <v>0</v>
      </c>
      <c r="BU86" s="84">
        <f t="shared" si="32"/>
        <v>0</v>
      </c>
      <c r="BV86" s="65"/>
      <c r="BW86" s="65"/>
      <c r="BX86" s="204"/>
      <c r="BY86" s="109">
        <f>($O86/Dashboard!$D$15)*(1+Dashboard!$D$21)</f>
        <v>0</v>
      </c>
      <c r="BZ86" s="84">
        <f t="shared" si="33"/>
        <v>0</v>
      </c>
    </row>
    <row r="87" spans="2:78" ht="12" hidden="1" customHeight="1" outlineLevel="1">
      <c r="B87" s="137" t="str">
        <f>'Cronog. e Histog.'!B847</f>
        <v/>
      </c>
      <c r="C87" s="65"/>
      <c r="D87" s="200">
        <f t="shared" si="26"/>
        <v>0</v>
      </c>
      <c r="E87" s="200">
        <f t="shared" si="27"/>
        <v>0</v>
      </c>
      <c r="F87" s="65"/>
      <c r="G87" s="200">
        <f t="shared" si="28"/>
        <v>0</v>
      </c>
      <c r="H87" s="200">
        <f t="shared" si="29"/>
        <v>0</v>
      </c>
      <c r="I87" s="65"/>
      <c r="J87" s="143" t="str">
        <f>IF('Cronog. e Histog.'!F847&gt;0,'Cronog. e Histog.'!F847,"")</f>
        <v/>
      </c>
      <c r="K87" s="65"/>
      <c r="L87" s="144">
        <f>IF('Cronog. e Histog.'!H847&gt;0,'Cronog. e Histog.'!H847,0)</f>
        <v>0</v>
      </c>
      <c r="M87" s="144">
        <f>IF('Cronog. e Histog.'!I847&gt;0,'Cronog. e Histog.'!I847,0)</f>
        <v>0</v>
      </c>
      <c r="N87" s="65"/>
      <c r="O87" s="109">
        <f>_xlfn.XLOOKUP(B87,Salários!B:B,Salários!K:K)</f>
        <v>0</v>
      </c>
      <c r="P87" s="109">
        <f t="shared" si="6"/>
        <v>0</v>
      </c>
      <c r="Q87" s="109">
        <f t="shared" si="7"/>
        <v>0</v>
      </c>
      <c r="R87" s="65"/>
      <c r="S87" s="109">
        <f t="shared" si="23"/>
        <v>0</v>
      </c>
      <c r="T87" s="201" t="str">
        <f>IF(_xlfn.XLOOKUP(B87,Salários!B:B,Salários!I:I)&gt;0,_xlfn.XLOOKUP(B87,Salários!B:B,Salários!I:I),"")</f>
        <v/>
      </c>
      <c r="U87" s="117">
        <f t="shared" si="25"/>
        <v>0</v>
      </c>
      <c r="V87" s="65"/>
      <c r="W87" s="202"/>
      <c r="X87" s="65"/>
      <c r="Y87" s="69"/>
      <c r="Z87" s="65"/>
      <c r="AA87" s="517"/>
      <c r="AB87" s="65"/>
      <c r="AC87" s="81">
        <f t="shared" si="30"/>
        <v>0</v>
      </c>
      <c r="AD87" s="65"/>
      <c r="AE87" s="112"/>
      <c r="AF87" s="203">
        <v>0.3</v>
      </c>
      <c r="AG87" s="109">
        <f t="shared" si="9"/>
        <v>0</v>
      </c>
      <c r="AH87" s="84">
        <f t="shared" si="10"/>
        <v>0</v>
      </c>
      <c r="AI87" s="65"/>
      <c r="AJ87" s="112"/>
      <c r="AK87" s="122"/>
      <c r="AL87" s="109">
        <v>1212</v>
      </c>
      <c r="AM87" s="84">
        <f t="shared" si="11"/>
        <v>0</v>
      </c>
      <c r="AN87" s="65"/>
      <c r="AO87" s="112"/>
      <c r="AP87" s="204"/>
      <c r="AQ87" s="109">
        <f>IFERROR((O87+AH87+AM87)/Dashboard!$D$15,0)*0.2</f>
        <v>0</v>
      </c>
      <c r="AR87" s="84">
        <f t="shared" si="34"/>
        <v>0</v>
      </c>
      <c r="AS87" s="65"/>
      <c r="AT87" s="112"/>
      <c r="AU87" s="203">
        <v>0.33</v>
      </c>
      <c r="AV87" s="109">
        <f t="shared" si="13"/>
        <v>0</v>
      </c>
      <c r="AW87" s="84">
        <f t="shared" si="14"/>
        <v>0</v>
      </c>
      <c r="AX87" s="65"/>
      <c r="AY87" s="112"/>
      <c r="AZ87" s="203">
        <v>0.25</v>
      </c>
      <c r="BA87" s="109">
        <f t="shared" si="15"/>
        <v>0</v>
      </c>
      <c r="BB87" s="84">
        <f t="shared" si="16"/>
        <v>0</v>
      </c>
      <c r="BC87" s="65"/>
      <c r="BD87" s="112"/>
      <c r="BE87" s="203">
        <v>0.26</v>
      </c>
      <c r="BF87" s="109">
        <f t="shared" si="17"/>
        <v>0</v>
      </c>
      <c r="BG87" s="84">
        <f t="shared" si="18"/>
        <v>0</v>
      </c>
      <c r="BH87" s="197"/>
      <c r="BI87" s="517"/>
      <c r="BJ87" s="65"/>
      <c r="BK87" s="81">
        <f t="shared" si="19"/>
        <v>0</v>
      </c>
      <c r="BL87" s="65"/>
      <c r="BM87" s="65"/>
      <c r="BN87" s="204"/>
      <c r="BO87" s="109">
        <f>($O87/Dashboard!$D$15)*(1+Dashboard!$D$19)</f>
        <v>0</v>
      </c>
      <c r="BP87" s="84">
        <f t="shared" si="31"/>
        <v>0</v>
      </c>
      <c r="BQ87" s="65"/>
      <c r="BR87" s="65"/>
      <c r="BS87" s="204"/>
      <c r="BT87" s="109">
        <f>($O87/Dashboard!$D$15)*(1+Dashboard!$D$20)</f>
        <v>0</v>
      </c>
      <c r="BU87" s="84">
        <f t="shared" si="32"/>
        <v>0</v>
      </c>
      <c r="BV87" s="65"/>
      <c r="BW87" s="65"/>
      <c r="BX87" s="204"/>
      <c r="BY87" s="109">
        <f>($O87/Dashboard!$D$15)*(1+Dashboard!$D$21)</f>
        <v>0</v>
      </c>
      <c r="BZ87" s="84">
        <f t="shared" si="33"/>
        <v>0</v>
      </c>
    </row>
    <row r="88" spans="2:78" ht="12" hidden="1" customHeight="1" outlineLevel="1">
      <c r="B88" s="137" t="str">
        <f>'Cronog. e Histog.'!B848</f>
        <v/>
      </c>
      <c r="C88" s="65"/>
      <c r="D88" s="200">
        <f t="shared" si="26"/>
        <v>0</v>
      </c>
      <c r="E88" s="200">
        <f t="shared" si="27"/>
        <v>0</v>
      </c>
      <c r="F88" s="65"/>
      <c r="G88" s="200">
        <f t="shared" si="28"/>
        <v>0</v>
      </c>
      <c r="H88" s="200">
        <f t="shared" si="29"/>
        <v>0</v>
      </c>
      <c r="I88" s="65"/>
      <c r="J88" s="143" t="str">
        <f>IF('Cronog. e Histog.'!F848&gt;0,'Cronog. e Histog.'!F848,"")</f>
        <v/>
      </c>
      <c r="K88" s="65"/>
      <c r="L88" s="144">
        <f>IF('Cronog. e Histog.'!H848&gt;0,'Cronog. e Histog.'!H848,0)</f>
        <v>0</v>
      </c>
      <c r="M88" s="144">
        <f>IF('Cronog. e Histog.'!I848&gt;0,'Cronog. e Histog.'!I848,0)</f>
        <v>0</v>
      </c>
      <c r="N88" s="65"/>
      <c r="O88" s="109">
        <f>_xlfn.XLOOKUP(B88,Salários!B:B,Salários!K:K)</f>
        <v>0</v>
      </c>
      <c r="P88" s="109">
        <f t="shared" si="6"/>
        <v>0</v>
      </c>
      <c r="Q88" s="109">
        <f t="shared" si="7"/>
        <v>0</v>
      </c>
      <c r="R88" s="65"/>
      <c r="S88" s="109">
        <f t="shared" si="23"/>
        <v>0</v>
      </c>
      <c r="T88" s="201" t="str">
        <f>IF(_xlfn.XLOOKUP(B88,Salários!B:B,Salários!I:I)&gt;0,_xlfn.XLOOKUP(B88,Salários!B:B,Salários!I:I),"")</f>
        <v/>
      </c>
      <c r="U88" s="117">
        <f t="shared" si="25"/>
        <v>0</v>
      </c>
      <c r="V88" s="65"/>
      <c r="W88" s="202"/>
      <c r="X88" s="65"/>
      <c r="Y88" s="69"/>
      <c r="Z88" s="65"/>
      <c r="AA88" s="517"/>
      <c r="AB88" s="65"/>
      <c r="AC88" s="81">
        <f t="shared" si="30"/>
        <v>0</v>
      </c>
      <c r="AD88" s="65"/>
      <c r="AE88" s="112"/>
      <c r="AF88" s="203">
        <v>0.3</v>
      </c>
      <c r="AG88" s="109">
        <f t="shared" si="9"/>
        <v>0</v>
      </c>
      <c r="AH88" s="84">
        <f t="shared" si="10"/>
        <v>0</v>
      </c>
      <c r="AI88" s="65"/>
      <c r="AJ88" s="112"/>
      <c r="AK88" s="122"/>
      <c r="AL88" s="109">
        <v>1212</v>
      </c>
      <c r="AM88" s="84">
        <f t="shared" si="11"/>
        <v>0</v>
      </c>
      <c r="AN88" s="65"/>
      <c r="AO88" s="112"/>
      <c r="AP88" s="204"/>
      <c r="AQ88" s="109">
        <f>IFERROR((O88+AH88+AM88)/Dashboard!$D$15,0)*0.2</f>
        <v>0</v>
      </c>
      <c r="AR88" s="84">
        <f t="shared" si="34"/>
        <v>0</v>
      </c>
      <c r="AS88" s="65"/>
      <c r="AT88" s="112"/>
      <c r="AU88" s="203">
        <v>0.33</v>
      </c>
      <c r="AV88" s="109">
        <f t="shared" si="13"/>
        <v>0</v>
      </c>
      <c r="AW88" s="84">
        <f t="shared" si="14"/>
        <v>0</v>
      </c>
      <c r="AX88" s="65"/>
      <c r="AY88" s="112"/>
      <c r="AZ88" s="203">
        <v>0.25</v>
      </c>
      <c r="BA88" s="109">
        <f t="shared" si="15"/>
        <v>0</v>
      </c>
      <c r="BB88" s="84">
        <f t="shared" si="16"/>
        <v>0</v>
      </c>
      <c r="BC88" s="65"/>
      <c r="BD88" s="112"/>
      <c r="BE88" s="203">
        <v>0.26</v>
      </c>
      <c r="BF88" s="109">
        <f t="shared" si="17"/>
        <v>0</v>
      </c>
      <c r="BG88" s="84">
        <f t="shared" si="18"/>
        <v>0</v>
      </c>
      <c r="BH88" s="197"/>
      <c r="BI88" s="517"/>
      <c r="BJ88" s="65"/>
      <c r="BK88" s="81">
        <f t="shared" si="19"/>
        <v>0</v>
      </c>
      <c r="BL88" s="65"/>
      <c r="BM88" s="65"/>
      <c r="BN88" s="204"/>
      <c r="BO88" s="109">
        <f>($O88/Dashboard!$D$15)*(1+Dashboard!$D$19)</f>
        <v>0</v>
      </c>
      <c r="BP88" s="84">
        <f t="shared" si="31"/>
        <v>0</v>
      </c>
      <c r="BQ88" s="65"/>
      <c r="BR88" s="65"/>
      <c r="BS88" s="204"/>
      <c r="BT88" s="109">
        <f>($O88/Dashboard!$D$15)*(1+Dashboard!$D$20)</f>
        <v>0</v>
      </c>
      <c r="BU88" s="84">
        <f t="shared" si="32"/>
        <v>0</v>
      </c>
      <c r="BV88" s="65"/>
      <c r="BW88" s="65"/>
      <c r="BX88" s="204"/>
      <c r="BY88" s="109">
        <f>($O88/Dashboard!$D$15)*(1+Dashboard!$D$21)</f>
        <v>0</v>
      </c>
      <c r="BZ88" s="84">
        <f t="shared" si="33"/>
        <v>0</v>
      </c>
    </row>
    <row r="89" spans="2:78" ht="12" hidden="1" customHeight="1" outlineLevel="1">
      <c r="B89" s="137" t="str">
        <f>'Cronog. e Histog.'!B849</f>
        <v/>
      </c>
      <c r="C89" s="65"/>
      <c r="D89" s="200">
        <f t="shared" si="26"/>
        <v>0</v>
      </c>
      <c r="E89" s="200">
        <f t="shared" si="27"/>
        <v>0</v>
      </c>
      <c r="F89" s="65"/>
      <c r="G89" s="200">
        <f t="shared" si="28"/>
        <v>0</v>
      </c>
      <c r="H89" s="200">
        <f t="shared" si="29"/>
        <v>0</v>
      </c>
      <c r="I89" s="65"/>
      <c r="J89" s="143" t="str">
        <f>IF('Cronog. e Histog.'!F849&gt;0,'Cronog. e Histog.'!F849,"")</f>
        <v/>
      </c>
      <c r="K89" s="65"/>
      <c r="L89" s="144">
        <f>IF('Cronog. e Histog.'!H849&gt;0,'Cronog. e Histog.'!H849,0)</f>
        <v>0</v>
      </c>
      <c r="M89" s="144">
        <f>IF('Cronog. e Histog.'!I849&gt;0,'Cronog. e Histog.'!I849,0)</f>
        <v>0</v>
      </c>
      <c r="N89" s="65"/>
      <c r="O89" s="109">
        <f>_xlfn.XLOOKUP(B89,Salários!B:B,Salários!K:K)</f>
        <v>0</v>
      </c>
      <c r="P89" s="109">
        <f t="shared" si="6"/>
        <v>0</v>
      </c>
      <c r="Q89" s="109">
        <f t="shared" si="7"/>
        <v>0</v>
      </c>
      <c r="R89" s="65"/>
      <c r="S89" s="109">
        <f t="shared" si="23"/>
        <v>0</v>
      </c>
      <c r="T89" s="201" t="str">
        <f>IF(_xlfn.XLOOKUP(B89,Salários!B:B,Salários!I:I)&gt;0,_xlfn.XLOOKUP(B89,Salários!B:B,Salários!I:I),"")</f>
        <v/>
      </c>
      <c r="U89" s="117">
        <f t="shared" si="25"/>
        <v>0</v>
      </c>
      <c r="V89" s="65"/>
      <c r="W89" s="202"/>
      <c r="X89" s="65"/>
      <c r="Y89" s="69"/>
      <c r="Z89" s="65"/>
      <c r="AA89" s="517"/>
      <c r="AB89" s="65"/>
      <c r="AC89" s="81">
        <f t="shared" si="30"/>
        <v>0</v>
      </c>
      <c r="AD89" s="65"/>
      <c r="AE89" s="112"/>
      <c r="AF89" s="203">
        <v>0.3</v>
      </c>
      <c r="AG89" s="109">
        <f t="shared" si="9"/>
        <v>0</v>
      </c>
      <c r="AH89" s="84">
        <f t="shared" si="10"/>
        <v>0</v>
      </c>
      <c r="AI89" s="65"/>
      <c r="AJ89" s="112"/>
      <c r="AK89" s="122"/>
      <c r="AL89" s="109">
        <v>1212</v>
      </c>
      <c r="AM89" s="84">
        <f t="shared" si="11"/>
        <v>0</v>
      </c>
      <c r="AN89" s="65"/>
      <c r="AO89" s="112"/>
      <c r="AP89" s="204"/>
      <c r="AQ89" s="109">
        <f>IFERROR((O89+AH89+AM89)/Dashboard!$D$15,0)*0.2</f>
        <v>0</v>
      </c>
      <c r="AR89" s="84">
        <f t="shared" si="34"/>
        <v>0</v>
      </c>
      <c r="AS89" s="65"/>
      <c r="AT89" s="112"/>
      <c r="AU89" s="203">
        <v>0.33</v>
      </c>
      <c r="AV89" s="109">
        <f t="shared" si="13"/>
        <v>0</v>
      </c>
      <c r="AW89" s="84">
        <f t="shared" si="14"/>
        <v>0</v>
      </c>
      <c r="AX89" s="65"/>
      <c r="AY89" s="112"/>
      <c r="AZ89" s="203">
        <v>0.25</v>
      </c>
      <c r="BA89" s="109">
        <f t="shared" si="15"/>
        <v>0</v>
      </c>
      <c r="BB89" s="84">
        <f t="shared" si="16"/>
        <v>0</v>
      </c>
      <c r="BC89" s="65"/>
      <c r="BD89" s="112"/>
      <c r="BE89" s="203">
        <v>0.26</v>
      </c>
      <c r="BF89" s="109">
        <f t="shared" si="17"/>
        <v>0</v>
      </c>
      <c r="BG89" s="84">
        <f t="shared" si="18"/>
        <v>0</v>
      </c>
      <c r="BH89" s="197"/>
      <c r="BI89" s="517"/>
      <c r="BJ89" s="65"/>
      <c r="BK89" s="81">
        <f t="shared" si="19"/>
        <v>0</v>
      </c>
      <c r="BL89" s="65"/>
      <c r="BM89" s="65"/>
      <c r="BN89" s="204"/>
      <c r="BO89" s="109">
        <f>($O89/Dashboard!$D$15)*(1+Dashboard!$D$19)</f>
        <v>0</v>
      </c>
      <c r="BP89" s="84">
        <f t="shared" si="31"/>
        <v>0</v>
      </c>
      <c r="BQ89" s="65"/>
      <c r="BR89" s="65"/>
      <c r="BS89" s="204"/>
      <c r="BT89" s="109">
        <f>($O89/Dashboard!$D$15)*(1+Dashboard!$D$20)</f>
        <v>0</v>
      </c>
      <c r="BU89" s="84">
        <f t="shared" si="32"/>
        <v>0</v>
      </c>
      <c r="BV89" s="65"/>
      <c r="BW89" s="65"/>
      <c r="BX89" s="204"/>
      <c r="BY89" s="109">
        <f>($O89/Dashboard!$D$15)*(1+Dashboard!$D$21)</f>
        <v>0</v>
      </c>
      <c r="BZ89" s="84">
        <f t="shared" si="33"/>
        <v>0</v>
      </c>
    </row>
    <row r="90" spans="2:78" ht="12" hidden="1" customHeight="1" outlineLevel="1"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9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197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</row>
    <row r="91" spans="2:78" s="196" customFormat="1" ht="24" customHeight="1">
      <c r="B91" s="189"/>
      <c r="C91" s="189"/>
      <c r="D91" s="189"/>
      <c r="E91" s="189"/>
      <c r="F91" s="189"/>
      <c r="G91" s="189"/>
      <c r="H91" s="189"/>
      <c r="I91" s="189"/>
      <c r="J91" s="185" t="s">
        <v>15</v>
      </c>
      <c r="K91" s="190"/>
      <c r="L91" s="190"/>
      <c r="M91" s="190"/>
      <c r="N91" s="190"/>
      <c r="O91" s="190"/>
      <c r="P91" s="190"/>
      <c r="Q91" s="190"/>
      <c r="R91" s="190"/>
      <c r="S91" s="191"/>
      <c r="T91" s="192">
        <f>IFERROR(U91/$U$2,0)</f>
        <v>0.63505077214117456</v>
      </c>
      <c r="U91" s="193">
        <f>SUM(U94:U533)</f>
        <v>555080</v>
      </c>
      <c r="V91" s="190"/>
      <c r="W91" s="194"/>
      <c r="X91" s="189"/>
      <c r="Y91" s="69"/>
      <c r="Z91" s="189"/>
      <c r="AA91" s="65"/>
      <c r="AB91" s="189"/>
      <c r="AC91" s="65"/>
      <c r="AD91" s="195"/>
      <c r="AE91" s="513" t="s">
        <v>1170</v>
      </c>
      <c r="AF91" s="514"/>
      <c r="AG91" s="514"/>
      <c r="AH91" s="515"/>
      <c r="AI91" s="195"/>
      <c r="AJ91" s="513" t="s">
        <v>1171</v>
      </c>
      <c r="AK91" s="514"/>
      <c r="AL91" s="514"/>
      <c r="AM91" s="515"/>
      <c r="AN91" s="195"/>
      <c r="AO91" s="513" t="s">
        <v>1172</v>
      </c>
      <c r="AP91" s="514"/>
      <c r="AQ91" s="514"/>
      <c r="AR91" s="515"/>
      <c r="AS91" s="195"/>
      <c r="AT91" s="513" t="s">
        <v>1173</v>
      </c>
      <c r="AU91" s="514"/>
      <c r="AV91" s="514"/>
      <c r="AW91" s="515"/>
      <c r="AX91" s="195"/>
      <c r="AY91" s="513" t="s">
        <v>1174</v>
      </c>
      <c r="AZ91" s="514"/>
      <c r="BA91" s="514"/>
      <c r="BB91" s="515"/>
      <c r="BC91" s="195"/>
      <c r="BD91" s="513" t="s">
        <v>1175</v>
      </c>
      <c r="BE91" s="514"/>
      <c r="BF91" s="514"/>
      <c r="BG91" s="515"/>
      <c r="BH91" s="65"/>
      <c r="BI91" s="65"/>
      <c r="BJ91" s="189"/>
      <c r="BK91" s="65"/>
      <c r="BL91" s="65"/>
      <c r="BM91" s="512" t="s">
        <v>1176</v>
      </c>
      <c r="BN91" s="512"/>
      <c r="BO91" s="512"/>
      <c r="BP91" s="512"/>
      <c r="BQ91" s="65"/>
      <c r="BR91" s="512" t="s">
        <v>1177</v>
      </c>
      <c r="BS91" s="512"/>
      <c r="BT91" s="512"/>
      <c r="BU91" s="512"/>
      <c r="BV91" s="65"/>
      <c r="BW91" s="512" t="s">
        <v>1178</v>
      </c>
      <c r="BX91" s="512"/>
      <c r="BY91" s="512"/>
      <c r="BZ91" s="512"/>
    </row>
    <row r="92" spans="2:78" ht="12" customHeight="1" outlineLevel="1"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9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</row>
    <row r="93" spans="2:78" ht="24" customHeight="1" outlineLevel="1">
      <c r="B93" s="157" t="s">
        <v>395</v>
      </c>
      <c r="C93" s="65"/>
      <c r="D93" s="198" t="s">
        <v>250</v>
      </c>
      <c r="E93" s="198"/>
      <c r="F93" s="65"/>
      <c r="G93" s="198" t="s">
        <v>1130</v>
      </c>
      <c r="H93" s="198"/>
      <c r="I93" s="65"/>
      <c r="J93" s="199" t="s">
        <v>462</v>
      </c>
      <c r="K93" s="65"/>
      <c r="L93" s="142" t="s">
        <v>1179</v>
      </c>
      <c r="M93" s="142" t="s">
        <v>850</v>
      </c>
      <c r="N93" s="65"/>
      <c r="O93" s="142" t="s">
        <v>1180</v>
      </c>
      <c r="P93" s="142" t="s">
        <v>1181</v>
      </c>
      <c r="Q93" s="142" t="s">
        <v>375</v>
      </c>
      <c r="R93" s="189"/>
      <c r="S93" s="142" t="s">
        <v>1120</v>
      </c>
      <c r="T93" s="65"/>
      <c r="U93" s="142" t="s">
        <v>106</v>
      </c>
      <c r="V93" s="65"/>
      <c r="W93" s="142" t="s">
        <v>1111</v>
      </c>
      <c r="X93" s="65"/>
      <c r="Y93" s="69"/>
      <c r="Z93" s="65"/>
      <c r="AA93" s="65"/>
      <c r="AB93" s="65"/>
      <c r="AC93" s="142" t="s">
        <v>1182</v>
      </c>
      <c r="AD93" s="65"/>
      <c r="AE93" s="142" t="s">
        <v>1183</v>
      </c>
      <c r="AF93" s="142" t="s">
        <v>1184</v>
      </c>
      <c r="AG93" s="142" t="s">
        <v>1185</v>
      </c>
      <c r="AH93" s="142" t="s">
        <v>106</v>
      </c>
      <c r="AI93" s="65"/>
      <c r="AJ93" s="142" t="s">
        <v>1183</v>
      </c>
      <c r="AK93" s="142" t="s">
        <v>1184</v>
      </c>
      <c r="AL93" s="142" t="s">
        <v>1185</v>
      </c>
      <c r="AM93" s="142" t="s">
        <v>106</v>
      </c>
      <c r="AN93" s="65"/>
      <c r="AO93" s="142" t="s">
        <v>1183</v>
      </c>
      <c r="AP93" s="142" t="s">
        <v>1186</v>
      </c>
      <c r="AQ93" s="142" t="s">
        <v>1185</v>
      </c>
      <c r="AR93" s="142" t="s">
        <v>106</v>
      </c>
      <c r="AS93" s="65"/>
      <c r="AT93" s="142" t="s">
        <v>1183</v>
      </c>
      <c r="AU93" s="142" t="s">
        <v>1184</v>
      </c>
      <c r="AV93" s="142" t="s">
        <v>1185</v>
      </c>
      <c r="AW93" s="142" t="s">
        <v>106</v>
      </c>
      <c r="AX93" s="65"/>
      <c r="AY93" s="142" t="s">
        <v>1183</v>
      </c>
      <c r="AZ93" s="142" t="s">
        <v>1184</v>
      </c>
      <c r="BA93" s="142" t="s">
        <v>1185</v>
      </c>
      <c r="BB93" s="142" t="s">
        <v>106</v>
      </c>
      <c r="BC93" s="65"/>
      <c r="BD93" s="142" t="s">
        <v>1183</v>
      </c>
      <c r="BE93" s="142" t="s">
        <v>1184</v>
      </c>
      <c r="BF93" s="142" t="s">
        <v>1185</v>
      </c>
      <c r="BG93" s="142" t="s">
        <v>106</v>
      </c>
      <c r="BH93" s="197"/>
      <c r="BI93" s="65"/>
      <c r="BJ93" s="65"/>
      <c r="BK93" s="142" t="s">
        <v>1187</v>
      </c>
      <c r="BL93" s="65"/>
      <c r="BM93" s="1" t="s">
        <v>1116</v>
      </c>
      <c r="BN93" s="2"/>
      <c r="BO93" s="142" t="s">
        <v>1188</v>
      </c>
      <c r="BP93" s="142" t="s">
        <v>1189</v>
      </c>
      <c r="BQ93" s="65"/>
      <c r="BR93" s="1" t="s">
        <v>1190</v>
      </c>
      <c r="BS93" s="2"/>
      <c r="BT93" s="142" t="s">
        <v>1191</v>
      </c>
      <c r="BU93" s="142" t="s">
        <v>1192</v>
      </c>
      <c r="BV93" s="65"/>
      <c r="BW93" s="1" t="s">
        <v>1193</v>
      </c>
      <c r="BX93" s="2"/>
      <c r="BY93" s="142" t="s">
        <v>1194</v>
      </c>
      <c r="BZ93" s="142" t="s">
        <v>1195</v>
      </c>
    </row>
    <row r="94" spans="2:78" ht="12" customHeight="1" outlineLevel="1"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9"/>
      <c r="Z94" s="65"/>
      <c r="AA94" s="518" t="s">
        <v>1181</v>
      </c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197"/>
      <c r="BI94" s="518" t="s">
        <v>375</v>
      </c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</row>
    <row r="95" spans="2:78" ht="12" customHeight="1" outlineLevel="1">
      <c r="B95" s="65"/>
      <c r="C95" s="65"/>
      <c r="D95" s="65"/>
      <c r="E95" s="65"/>
      <c r="F95" s="65"/>
      <c r="G95" s="65"/>
      <c r="H95" s="65"/>
      <c r="I95" s="65"/>
      <c r="J95" s="199" t="str">
        <f>'Cronog. e Histog.'!F211</f>
        <v>Equipe01</v>
      </c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9"/>
      <c r="Z95" s="65"/>
      <c r="AA95" s="518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197"/>
      <c r="BI95" s="518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</row>
    <row r="96" spans="2:78" ht="12" customHeight="1" outlineLevel="1">
      <c r="B96" s="137" t="str">
        <f>'Cronog. e Histog.'!B213</f>
        <v>GER. (OBRA/PROJ) - Equipe_01</v>
      </c>
      <c r="C96" s="65"/>
      <c r="D96" s="200">
        <f t="shared" ref="D96:D115" si="35">IF(T96="mensalista",L96,0)</f>
        <v>0</v>
      </c>
      <c r="E96" s="200">
        <f t="shared" ref="E96:E115" si="36">IF(T96="mensalista",M96,0)</f>
        <v>0</v>
      </c>
      <c r="F96" s="65"/>
      <c r="G96" s="200">
        <f t="shared" ref="G96:G115" si="37">IF(T96="mensalista",L96,0)</f>
        <v>0</v>
      </c>
      <c r="H96" s="200">
        <f t="shared" ref="H96:H115" si="38">IF(T96="mensalista",M96,0)</f>
        <v>0</v>
      </c>
      <c r="I96" s="65"/>
      <c r="J96" s="143" t="str">
        <f>IF('Cronog. e Histog.'!G213&gt;0,'Cronog. e Histog.'!G213,"")</f>
        <v>GER. (OBRA/PROJ)</v>
      </c>
      <c r="K96" s="65"/>
      <c r="L96" s="144">
        <f>'Cronog. e Histog.'!BT213</f>
        <v>1.9999999999999997E-2</v>
      </c>
      <c r="M96" s="144">
        <f>'Cronog. e Histog.'!BU213</f>
        <v>10</v>
      </c>
      <c r="N96" s="65"/>
      <c r="O96" s="109">
        <f>_xlfn.XLOOKUP(B96,Salários!B:B,Salários!K:K)</f>
        <v>21000</v>
      </c>
      <c r="P96" s="109">
        <f t="shared" ref="P96:P115" si="39">AC96</f>
        <v>0</v>
      </c>
      <c r="Q96" s="109">
        <f t="shared" ref="Q96:Q115" si="40">BK96</f>
        <v>0</v>
      </c>
      <c r="R96" s="65"/>
      <c r="S96" s="109">
        <f t="shared" ref="S96:S115" si="41">SUM(O96:Q96)</f>
        <v>21000</v>
      </c>
      <c r="T96" s="201" t="str">
        <f>IF(_xlfn.XLOOKUP(B96,Salários!B:B,Salários!I:I)&gt;0,_xlfn.XLOOKUP(B96,Salários!B:B,Salários!I:I),"")</f>
        <v>PJ</v>
      </c>
      <c r="U96" s="117">
        <f t="shared" ref="U96:U115" si="42">L96*M96*S96</f>
        <v>4199.9999999999991</v>
      </c>
      <c r="V96" s="65"/>
      <c r="W96" s="202"/>
      <c r="X96" s="65"/>
      <c r="Y96" s="69"/>
      <c r="Z96" s="65"/>
      <c r="AA96" s="518"/>
      <c r="AB96" s="65"/>
      <c r="AC96" s="81">
        <f t="shared" ref="AC96:AC115" si="43">AH96+AM96+AR96+AW96+BB96+BG96</f>
        <v>0</v>
      </c>
      <c r="AD96" s="65"/>
      <c r="AE96" s="112"/>
      <c r="AF96" s="203">
        <v>0.3</v>
      </c>
      <c r="AG96" s="109">
        <f t="shared" ref="AG96:AG533" si="44">$O96</f>
        <v>21000</v>
      </c>
      <c r="AH96" s="84">
        <f t="shared" ref="AH96:AH115" si="45">IF(AE96="sim",AF96*AG96,0)</f>
        <v>0</v>
      </c>
      <c r="AI96" s="65"/>
      <c r="AJ96" s="112"/>
      <c r="AK96" s="122"/>
      <c r="AL96" s="109">
        <v>1212</v>
      </c>
      <c r="AM96" s="84">
        <f t="shared" ref="AM96:AM115" si="46">IF(AJ96="sim",AK96*AL96,0)</f>
        <v>0</v>
      </c>
      <c r="AN96" s="65"/>
      <c r="AO96" s="112"/>
      <c r="AP96" s="204"/>
      <c r="AQ96" s="109">
        <f>IFERROR((O96+AH96+AM96)/Dashboard!$D$15,0)*0.2</f>
        <v>21.694214876033058</v>
      </c>
      <c r="AR96" s="84">
        <f t="shared" ref="AR96:AR115" si="47">IF(AO96="sim",AP96*AQ96,0)</f>
        <v>0</v>
      </c>
      <c r="AS96" s="65"/>
      <c r="AT96" s="112"/>
      <c r="AU96" s="203">
        <v>0.33</v>
      </c>
      <c r="AV96" s="109">
        <f t="shared" ref="AV96:AV115" si="48">$O96</f>
        <v>21000</v>
      </c>
      <c r="AW96" s="84">
        <f t="shared" ref="AW96:AW106" si="49">IF(AT96="sim",AU96*AV96,0)</f>
        <v>0</v>
      </c>
      <c r="AX96" s="65"/>
      <c r="AY96" s="112"/>
      <c r="AZ96" s="203">
        <v>0.25</v>
      </c>
      <c r="BA96" s="109">
        <f t="shared" ref="BA96:BA533" si="50">$O96</f>
        <v>21000</v>
      </c>
      <c r="BB96" s="84">
        <f t="shared" ref="BB96:BB115" si="51">IF(AY96="sim",AZ96*BA96,0)</f>
        <v>0</v>
      </c>
      <c r="BC96" s="65"/>
      <c r="BD96" s="112"/>
      <c r="BE96" s="203">
        <v>0.26</v>
      </c>
      <c r="BF96" s="109">
        <f t="shared" ref="BF96:BF115" si="52">$O96</f>
        <v>21000</v>
      </c>
      <c r="BG96" s="84">
        <f t="shared" ref="BG96:BG106" si="53">IF(BD96="sim",BE96*BF96,0)</f>
        <v>0</v>
      </c>
      <c r="BH96" s="197"/>
      <c r="BI96" s="518"/>
      <c r="BJ96" s="65"/>
      <c r="BK96" s="81">
        <f t="shared" ref="BK96:BK115" si="54">BP96+BU96+BZ96</f>
        <v>0</v>
      </c>
      <c r="BL96" s="65"/>
      <c r="BM96" s="204"/>
      <c r="BN96" s="156">
        <f>IF(B96&lt;&gt;"",_xlfn.XLOOKUP(B96,'Cronog. e Histog.'!B:B,'Cronog. e Histog.'!EK:EK),0)</f>
        <v>0</v>
      </c>
      <c r="BO96" s="109">
        <f>($O96/Dashboard!$D$15)*(1+Dashboard!$D$19)</f>
        <v>162.7066115702479</v>
      </c>
      <c r="BP96" s="84">
        <f>SUM(BM96:BN96)*BO96</f>
        <v>0</v>
      </c>
      <c r="BQ96" s="65"/>
      <c r="BR96" s="204"/>
      <c r="BS96" s="156">
        <f>IF(B96&lt;&gt;"",_xlfn.XLOOKUP(B96,'Cronog. e Histog.'!B:B,'Cronog. e Histog.'!EL:EL),0)</f>
        <v>0</v>
      </c>
      <c r="BT96" s="109">
        <f>($O96/Dashboard!$D$15)*(1+Dashboard!$D$20)</f>
        <v>189.82438016528923</v>
      </c>
      <c r="BU96" s="84">
        <f>SUM(BR96:BS96)*BT96</f>
        <v>0</v>
      </c>
      <c r="BV96" s="65"/>
      <c r="BW96" s="204"/>
      <c r="BX96" s="156">
        <f>IF(B96&lt;&gt;"",_xlfn.XLOOKUP(B96,'Cronog. e Histog.'!B:B,'Cronog. e Histog.'!EM:EM),0)</f>
        <v>0</v>
      </c>
      <c r="BY96" s="109">
        <f>($O96/Dashboard!$D$15)*(1+Dashboard!$D$21)</f>
        <v>216.94214876033055</v>
      </c>
      <c r="BZ96" s="84">
        <f>SUM(BW96:BX96)*BY96</f>
        <v>0</v>
      </c>
    </row>
    <row r="97" spans="2:78" ht="12" customHeight="1" outlineLevel="1">
      <c r="B97" s="137" t="str">
        <f>'Cronog. e Histog.'!B214</f>
        <v>COORD. - Equipe_01</v>
      </c>
      <c r="C97" s="65"/>
      <c r="D97" s="200">
        <f t="shared" si="35"/>
        <v>0</v>
      </c>
      <c r="E97" s="200">
        <f t="shared" si="36"/>
        <v>0</v>
      </c>
      <c r="F97" s="65"/>
      <c r="G97" s="200">
        <f t="shared" si="37"/>
        <v>0</v>
      </c>
      <c r="H97" s="200">
        <f t="shared" si="38"/>
        <v>0</v>
      </c>
      <c r="I97" s="65"/>
      <c r="J97" s="143" t="str">
        <f>IF('Cronog. e Histog.'!G214&gt;0,'Cronog. e Histog.'!G214,"")</f>
        <v>COORD.</v>
      </c>
      <c r="K97" s="65"/>
      <c r="L97" s="144">
        <f>'Cronog. e Histog.'!BT214</f>
        <v>1</v>
      </c>
      <c r="M97" s="144">
        <f>'Cronog. e Histog.'!BU214</f>
        <v>10</v>
      </c>
      <c r="N97" s="65"/>
      <c r="O97" s="109">
        <f>_xlfn.XLOOKUP(B97,Salários!B:B,Salários!K:K)</f>
        <v>19000</v>
      </c>
      <c r="P97" s="109">
        <f t="shared" si="39"/>
        <v>0</v>
      </c>
      <c r="Q97" s="109">
        <f t="shared" si="40"/>
        <v>0</v>
      </c>
      <c r="R97" s="65"/>
      <c r="S97" s="109">
        <f t="shared" si="41"/>
        <v>19000</v>
      </c>
      <c r="T97" s="201" t="str">
        <f>IF(_xlfn.XLOOKUP(B97,Salários!B:B,Salários!I:I)&gt;0,_xlfn.XLOOKUP(B97,Salários!B:B,Salários!I:I),"")</f>
        <v>PJ</v>
      </c>
      <c r="U97" s="117">
        <f>L97*M97*S97</f>
        <v>190000</v>
      </c>
      <c r="V97" s="65"/>
      <c r="W97" s="202"/>
      <c r="X97" s="65"/>
      <c r="Y97" s="69"/>
      <c r="Z97" s="65"/>
      <c r="AA97" s="518"/>
      <c r="AB97" s="65"/>
      <c r="AC97" s="81">
        <f t="shared" ref="AC97:AC106" si="55">AH97+AM97+AR97+AW97+BB97+BG97</f>
        <v>0</v>
      </c>
      <c r="AD97" s="65"/>
      <c r="AE97" s="112"/>
      <c r="AF97" s="203">
        <v>0.3</v>
      </c>
      <c r="AG97" s="109">
        <f t="shared" si="44"/>
        <v>19000</v>
      </c>
      <c r="AH97" s="84">
        <f t="shared" si="45"/>
        <v>0</v>
      </c>
      <c r="AI97" s="65"/>
      <c r="AJ97" s="112"/>
      <c r="AK97" s="122"/>
      <c r="AL97" s="109">
        <v>1212</v>
      </c>
      <c r="AM97" s="84">
        <f t="shared" si="46"/>
        <v>0</v>
      </c>
      <c r="AN97" s="65"/>
      <c r="AO97" s="112"/>
      <c r="AP97" s="204"/>
      <c r="AQ97" s="109">
        <f>IFERROR((O97+AH97+AM97)/Dashboard!$D$15,0)*0.2</f>
        <v>19.628099173553718</v>
      </c>
      <c r="AR97" s="84">
        <f t="shared" si="47"/>
        <v>0</v>
      </c>
      <c r="AS97" s="65"/>
      <c r="AT97" s="112"/>
      <c r="AU97" s="203">
        <v>0.33</v>
      </c>
      <c r="AV97" s="109">
        <f t="shared" si="48"/>
        <v>19000</v>
      </c>
      <c r="AW97" s="84">
        <f t="shared" si="49"/>
        <v>0</v>
      </c>
      <c r="AX97" s="65"/>
      <c r="AY97" s="112"/>
      <c r="AZ97" s="203">
        <v>0.25</v>
      </c>
      <c r="BA97" s="109">
        <f t="shared" si="50"/>
        <v>19000</v>
      </c>
      <c r="BB97" s="84">
        <f t="shared" ref="BB97:BB106" si="56">IF(AY97="sim",AZ97*BA97,0)</f>
        <v>0</v>
      </c>
      <c r="BC97" s="65"/>
      <c r="BD97" s="112"/>
      <c r="BE97" s="203">
        <v>0.26</v>
      </c>
      <c r="BF97" s="109">
        <f t="shared" si="52"/>
        <v>19000</v>
      </c>
      <c r="BG97" s="84">
        <f t="shared" si="53"/>
        <v>0</v>
      </c>
      <c r="BH97" s="197"/>
      <c r="BI97" s="518"/>
      <c r="BJ97" s="65"/>
      <c r="BK97" s="81">
        <f t="shared" si="54"/>
        <v>0</v>
      </c>
      <c r="BL97" s="65"/>
      <c r="BM97" s="204"/>
      <c r="BN97" s="156">
        <f>IF(B97&lt;&gt;"",_xlfn.XLOOKUP(B97,'Cronog. e Histog.'!B:B,'Cronog. e Histog.'!EK:EK),0)</f>
        <v>0</v>
      </c>
      <c r="BO97" s="109">
        <f>($O97/Dashboard!$D$15)*(1+Dashboard!$D$19)</f>
        <v>147.21074380165288</v>
      </c>
      <c r="BP97" s="84">
        <f t="shared" ref="BP97:BP115" si="57">SUM(BM97:BN97)*BO97</f>
        <v>0</v>
      </c>
      <c r="BQ97" s="65"/>
      <c r="BR97" s="204"/>
      <c r="BS97" s="156">
        <f>IF(B97&lt;&gt;"",_xlfn.XLOOKUP(B97,'Cronog. e Histog.'!B:B,'Cronog. e Histog.'!EL:EL),0)</f>
        <v>0</v>
      </c>
      <c r="BT97" s="109">
        <f>($O97/Dashboard!$D$15)*(1+Dashboard!$D$20)</f>
        <v>171.74586776859502</v>
      </c>
      <c r="BU97" s="84">
        <f t="shared" ref="BU97:BU115" si="58">SUM(BR97:BS97)*BT97</f>
        <v>0</v>
      </c>
      <c r="BV97" s="65"/>
      <c r="BW97" s="204"/>
      <c r="BX97" s="156">
        <f>IF(B97&lt;&gt;"",_xlfn.XLOOKUP(B97,'Cronog. e Histog.'!B:B,'Cronog. e Histog.'!EM:EM),0)</f>
        <v>0</v>
      </c>
      <c r="BY97" s="109">
        <f>($O97/Dashboard!$D$15)*(1+Dashboard!$D$21)</f>
        <v>196.28099173553716</v>
      </c>
      <c r="BZ97" s="84">
        <f t="shared" ref="BZ97:BZ115" si="59">SUM(BW97:BX97)*BY97</f>
        <v>0</v>
      </c>
    </row>
    <row r="98" spans="2:78" ht="12" customHeight="1" outlineLevel="1">
      <c r="B98" s="137" t="str">
        <f>'Cronog. e Histog.'!B215</f>
        <v>SUP.-ESP - Equipe_01</v>
      </c>
      <c r="C98" s="65"/>
      <c r="D98" s="200">
        <f t="shared" si="35"/>
        <v>0</v>
      </c>
      <c r="E98" s="200">
        <f t="shared" si="36"/>
        <v>0</v>
      </c>
      <c r="F98" s="65"/>
      <c r="G98" s="200">
        <f t="shared" si="37"/>
        <v>0</v>
      </c>
      <c r="H98" s="200">
        <f t="shared" si="38"/>
        <v>0</v>
      </c>
      <c r="I98" s="65"/>
      <c r="J98" s="143" t="str">
        <f>IF('Cronog. e Histog.'!G215&gt;0,'Cronog. e Histog.'!G215,"")</f>
        <v>SUP.-ESP</v>
      </c>
      <c r="K98" s="65"/>
      <c r="L98" s="144">
        <f>'Cronog. e Histog.'!BT215</f>
        <v>0</v>
      </c>
      <c r="M98" s="144">
        <f>'Cronog. e Histog.'!BU215</f>
        <v>0</v>
      </c>
      <c r="N98" s="65"/>
      <c r="O98" s="109">
        <f>_xlfn.XLOOKUP(B98,Salários!B:B,Salários!K:K)</f>
        <v>9716.67</v>
      </c>
      <c r="P98" s="109">
        <f t="shared" si="39"/>
        <v>0</v>
      </c>
      <c r="Q98" s="109">
        <f t="shared" si="40"/>
        <v>0</v>
      </c>
      <c r="R98" s="65"/>
      <c r="S98" s="109">
        <f t="shared" si="41"/>
        <v>9716.67</v>
      </c>
      <c r="T98" s="201" t="str">
        <f>IF(_xlfn.XLOOKUP(B98,Salários!B:B,Salários!I:I)&gt;0,_xlfn.XLOOKUP(B98,Salários!B:B,Salários!I:I),"")</f>
        <v>Mensalista</v>
      </c>
      <c r="U98" s="117">
        <f t="shared" si="42"/>
        <v>0</v>
      </c>
      <c r="V98" s="65"/>
      <c r="W98" s="202"/>
      <c r="X98" s="65"/>
      <c r="Y98" s="69"/>
      <c r="Z98" s="65"/>
      <c r="AA98" s="518"/>
      <c r="AB98" s="65"/>
      <c r="AC98" s="81">
        <f t="shared" si="55"/>
        <v>0</v>
      </c>
      <c r="AD98" s="65"/>
      <c r="AE98" s="112"/>
      <c r="AF98" s="203">
        <v>0.3</v>
      </c>
      <c r="AG98" s="109">
        <f t="shared" si="44"/>
        <v>9716.67</v>
      </c>
      <c r="AH98" s="84">
        <f t="shared" si="45"/>
        <v>0</v>
      </c>
      <c r="AI98" s="65"/>
      <c r="AJ98" s="112"/>
      <c r="AK98" s="122"/>
      <c r="AL98" s="109">
        <v>1212</v>
      </c>
      <c r="AM98" s="84">
        <f t="shared" si="46"/>
        <v>0</v>
      </c>
      <c r="AN98" s="65"/>
      <c r="AO98" s="112"/>
      <c r="AP98" s="204"/>
      <c r="AQ98" s="109">
        <f>IFERROR((O98+AH98+AM98)/Dashboard!$D$15,0)*0.2</f>
        <v>10.037882231404957</v>
      </c>
      <c r="AR98" s="84">
        <f t="shared" si="47"/>
        <v>0</v>
      </c>
      <c r="AS98" s="65"/>
      <c r="AT98" s="112"/>
      <c r="AU98" s="203">
        <v>0.33</v>
      </c>
      <c r="AV98" s="109">
        <f t="shared" si="48"/>
        <v>9716.67</v>
      </c>
      <c r="AW98" s="84">
        <f t="shared" si="49"/>
        <v>0</v>
      </c>
      <c r="AX98" s="65"/>
      <c r="AY98" s="112"/>
      <c r="AZ98" s="203">
        <v>0.25</v>
      </c>
      <c r="BA98" s="109">
        <f t="shared" si="50"/>
        <v>9716.67</v>
      </c>
      <c r="BB98" s="84">
        <f t="shared" si="56"/>
        <v>0</v>
      </c>
      <c r="BC98" s="65"/>
      <c r="BD98" s="112"/>
      <c r="BE98" s="203">
        <v>0.26</v>
      </c>
      <c r="BF98" s="109">
        <f t="shared" si="52"/>
        <v>9716.67</v>
      </c>
      <c r="BG98" s="84">
        <f t="shared" si="53"/>
        <v>0</v>
      </c>
      <c r="BH98" s="197"/>
      <c r="BI98" s="518"/>
      <c r="BJ98" s="65"/>
      <c r="BK98" s="81">
        <f t="shared" si="54"/>
        <v>0</v>
      </c>
      <c r="BL98" s="65"/>
      <c r="BM98" s="204"/>
      <c r="BN98" s="156">
        <f>IF(B98&lt;&gt;"",_xlfn.XLOOKUP(B98,'Cronog. e Histog.'!B:B,'Cronog. e Histog.'!EK:EK),0)</f>
        <v>0</v>
      </c>
      <c r="BO98" s="109">
        <f>($O98/Dashboard!$D$15)*(1+Dashboard!$D$19)</f>
        <v>75.284116735537182</v>
      </c>
      <c r="BP98" s="84">
        <f t="shared" si="57"/>
        <v>0</v>
      </c>
      <c r="BQ98" s="65"/>
      <c r="BR98" s="204"/>
      <c r="BS98" s="156">
        <f>IF(B98&lt;&gt;"",_xlfn.XLOOKUP(B98,'Cronog. e Histog.'!B:B,'Cronog. e Histog.'!EL:EL),0)</f>
        <v>0</v>
      </c>
      <c r="BT98" s="109">
        <f>($O98/Dashboard!$D$15)*(1+Dashboard!$D$20)</f>
        <v>87.831469524793377</v>
      </c>
      <c r="BU98" s="84">
        <f t="shared" si="58"/>
        <v>0</v>
      </c>
      <c r="BV98" s="65"/>
      <c r="BW98" s="204"/>
      <c r="BX98" s="156">
        <f>IF(B98&lt;&gt;"",_xlfn.XLOOKUP(B98,'Cronog. e Histog.'!B:B,'Cronog. e Histog.'!EM:EM),0)</f>
        <v>0</v>
      </c>
      <c r="BY98" s="109">
        <f>($O98/Dashboard!$D$15)*(1+Dashboard!$D$21)</f>
        <v>100.37882231404957</v>
      </c>
      <c r="BZ98" s="84">
        <f t="shared" si="59"/>
        <v>0</v>
      </c>
    </row>
    <row r="99" spans="2:78" ht="12" customHeight="1" outlineLevel="1">
      <c r="B99" s="137" t="str">
        <f>'Cronog. e Histog.'!B216</f>
        <v>ENG/ARQ SR. - Equipe_01</v>
      </c>
      <c r="C99" s="65"/>
      <c r="D99" s="200">
        <f t="shared" si="35"/>
        <v>0</v>
      </c>
      <c r="E99" s="200">
        <f t="shared" si="36"/>
        <v>0</v>
      </c>
      <c r="F99" s="65"/>
      <c r="G99" s="200">
        <f t="shared" si="37"/>
        <v>0</v>
      </c>
      <c r="H99" s="200">
        <f t="shared" si="38"/>
        <v>0</v>
      </c>
      <c r="I99" s="65"/>
      <c r="J99" s="143" t="str">
        <f>IF('Cronog. e Histog.'!G216&gt;0,'Cronog. e Histog.'!G216,"")</f>
        <v>ENG/ARQ SR.</v>
      </c>
      <c r="K99" s="65"/>
      <c r="L99" s="144">
        <f>'Cronog. e Histog.'!BT216</f>
        <v>9.9999999999999985E-3</v>
      </c>
      <c r="M99" s="144">
        <f>'Cronog. e Histog.'!BU216</f>
        <v>10</v>
      </c>
      <c r="N99" s="65"/>
      <c r="O99" s="109">
        <f>_xlfn.XLOOKUP(B99,Salários!B:B,Salários!K:K)</f>
        <v>16000</v>
      </c>
      <c r="P99" s="109">
        <f t="shared" si="39"/>
        <v>0</v>
      </c>
      <c r="Q99" s="109">
        <f t="shared" si="40"/>
        <v>0</v>
      </c>
      <c r="R99" s="65"/>
      <c r="S99" s="109">
        <f t="shared" si="41"/>
        <v>16000</v>
      </c>
      <c r="T99" s="201" t="str">
        <f>IF(_xlfn.XLOOKUP(B99,Salários!B:B,Salários!I:I)&gt;0,_xlfn.XLOOKUP(B99,Salários!B:B,Salários!I:I),"")</f>
        <v>PJ</v>
      </c>
      <c r="U99" s="117">
        <f t="shared" si="42"/>
        <v>1599.9999999999995</v>
      </c>
      <c r="V99" s="65"/>
      <c r="W99" s="202"/>
      <c r="X99" s="65"/>
      <c r="Y99" s="69"/>
      <c r="Z99" s="65"/>
      <c r="AA99" s="518"/>
      <c r="AB99" s="65"/>
      <c r="AC99" s="81">
        <f t="shared" si="55"/>
        <v>0</v>
      </c>
      <c r="AD99" s="65"/>
      <c r="AE99" s="112"/>
      <c r="AF99" s="203">
        <v>0.3</v>
      </c>
      <c r="AG99" s="109">
        <f t="shared" si="44"/>
        <v>16000</v>
      </c>
      <c r="AH99" s="84">
        <f t="shared" si="45"/>
        <v>0</v>
      </c>
      <c r="AI99" s="65"/>
      <c r="AJ99" s="112"/>
      <c r="AK99" s="122"/>
      <c r="AL99" s="109">
        <v>1212</v>
      </c>
      <c r="AM99" s="84">
        <f t="shared" si="46"/>
        <v>0</v>
      </c>
      <c r="AN99" s="65"/>
      <c r="AO99" s="112"/>
      <c r="AP99" s="204"/>
      <c r="AQ99" s="109">
        <f>IFERROR((O99+AH99+AM99)/Dashboard!$D$15,0)*0.2</f>
        <v>16.528925619834709</v>
      </c>
      <c r="AR99" s="84">
        <f t="shared" si="47"/>
        <v>0</v>
      </c>
      <c r="AS99" s="65"/>
      <c r="AT99" s="112"/>
      <c r="AU99" s="203">
        <v>0.33</v>
      </c>
      <c r="AV99" s="109">
        <f t="shared" si="48"/>
        <v>16000</v>
      </c>
      <c r="AW99" s="84">
        <f t="shared" si="49"/>
        <v>0</v>
      </c>
      <c r="AX99" s="65"/>
      <c r="AY99" s="112"/>
      <c r="AZ99" s="203">
        <v>0.25</v>
      </c>
      <c r="BA99" s="109">
        <f t="shared" si="50"/>
        <v>16000</v>
      </c>
      <c r="BB99" s="84">
        <f t="shared" si="56"/>
        <v>0</v>
      </c>
      <c r="BC99" s="65"/>
      <c r="BD99" s="112"/>
      <c r="BE99" s="203">
        <v>0.26</v>
      </c>
      <c r="BF99" s="109">
        <f t="shared" si="52"/>
        <v>16000</v>
      </c>
      <c r="BG99" s="84">
        <f t="shared" si="53"/>
        <v>0</v>
      </c>
      <c r="BH99" s="197"/>
      <c r="BI99" s="518"/>
      <c r="BJ99" s="65"/>
      <c r="BK99" s="81">
        <f t="shared" si="54"/>
        <v>0</v>
      </c>
      <c r="BL99" s="65"/>
      <c r="BM99" s="204"/>
      <c r="BN99" s="156">
        <f>IF(B99&lt;&gt;"",_xlfn.XLOOKUP(B99,'Cronog. e Histog.'!B:B,'Cronog. e Histog.'!EK:EK),0)</f>
        <v>0</v>
      </c>
      <c r="BO99" s="109">
        <f>($O99/Dashboard!$D$15)*(1+Dashboard!$D$19)</f>
        <v>123.96694214876032</v>
      </c>
      <c r="BP99" s="84">
        <f t="shared" si="57"/>
        <v>0</v>
      </c>
      <c r="BQ99" s="65"/>
      <c r="BR99" s="204"/>
      <c r="BS99" s="156">
        <f>IF(B99&lt;&gt;"",_xlfn.XLOOKUP(B99,'Cronog. e Histog.'!B:B,'Cronog. e Histog.'!EL:EL),0)</f>
        <v>0</v>
      </c>
      <c r="BT99" s="109">
        <f>($O99/Dashboard!$D$15)*(1+Dashboard!$D$20)</f>
        <v>144.62809917355369</v>
      </c>
      <c r="BU99" s="84">
        <f t="shared" si="58"/>
        <v>0</v>
      </c>
      <c r="BV99" s="65"/>
      <c r="BW99" s="204"/>
      <c r="BX99" s="156">
        <f>IF(B99&lt;&gt;"",_xlfn.XLOOKUP(B99,'Cronog. e Histog.'!B:B,'Cronog. e Histog.'!EM:EM),0)</f>
        <v>0</v>
      </c>
      <c r="BY99" s="109">
        <f>($O99/Dashboard!$D$15)*(1+Dashboard!$D$21)</f>
        <v>165.28925619834709</v>
      </c>
      <c r="BZ99" s="84">
        <f t="shared" si="59"/>
        <v>0</v>
      </c>
    </row>
    <row r="100" spans="2:78" ht="12" customHeight="1" outlineLevel="1">
      <c r="B100" s="137" t="str">
        <f>'Cronog. e Histog.'!B217</f>
        <v>ENG/ARQ PL. - Equipe_01</v>
      </c>
      <c r="C100" s="65"/>
      <c r="D100" s="200">
        <f t="shared" si="35"/>
        <v>0</v>
      </c>
      <c r="E100" s="200">
        <f t="shared" si="36"/>
        <v>0</v>
      </c>
      <c r="F100" s="65"/>
      <c r="G100" s="200">
        <f t="shared" si="37"/>
        <v>0</v>
      </c>
      <c r="H100" s="200">
        <f t="shared" si="38"/>
        <v>0</v>
      </c>
      <c r="I100" s="65"/>
      <c r="J100" s="143" t="str">
        <f>IF('Cronog. e Histog.'!G217&gt;0,'Cronog. e Histog.'!G217,"")</f>
        <v>ENG/ARQ PL.</v>
      </c>
      <c r="K100" s="65"/>
      <c r="L100" s="144">
        <f>'Cronog. e Histog.'!BT217</f>
        <v>0</v>
      </c>
      <c r="M100" s="144">
        <f>'Cronog. e Histog.'!BU217</f>
        <v>0</v>
      </c>
      <c r="N100" s="65"/>
      <c r="O100" s="109">
        <f>_xlfn.XLOOKUP(B100,Salários!B:B,Salários!K:K)</f>
        <v>14000</v>
      </c>
      <c r="P100" s="109">
        <f t="shared" si="39"/>
        <v>0</v>
      </c>
      <c r="Q100" s="109">
        <f t="shared" si="40"/>
        <v>0</v>
      </c>
      <c r="R100" s="65"/>
      <c r="S100" s="109">
        <f t="shared" si="41"/>
        <v>14000</v>
      </c>
      <c r="T100" s="201" t="str">
        <f>IF(_xlfn.XLOOKUP(B100,Salários!B:B,Salários!I:I)&gt;0,_xlfn.XLOOKUP(B100,Salários!B:B,Salários!I:I),"")</f>
        <v>PJ</v>
      </c>
      <c r="U100" s="117">
        <f t="shared" si="42"/>
        <v>0</v>
      </c>
      <c r="V100" s="65"/>
      <c r="W100" s="202"/>
      <c r="X100" s="65"/>
      <c r="Y100" s="69"/>
      <c r="Z100" s="65"/>
      <c r="AA100" s="518"/>
      <c r="AB100" s="65"/>
      <c r="AC100" s="81">
        <f t="shared" si="55"/>
        <v>0</v>
      </c>
      <c r="AD100" s="65"/>
      <c r="AE100" s="112"/>
      <c r="AF100" s="203">
        <v>0.3</v>
      </c>
      <c r="AG100" s="109">
        <f t="shared" si="44"/>
        <v>14000</v>
      </c>
      <c r="AH100" s="84">
        <f t="shared" si="45"/>
        <v>0</v>
      </c>
      <c r="AI100" s="65"/>
      <c r="AJ100" s="112"/>
      <c r="AK100" s="122"/>
      <c r="AL100" s="109">
        <v>1212</v>
      </c>
      <c r="AM100" s="84">
        <f t="shared" si="46"/>
        <v>0</v>
      </c>
      <c r="AN100" s="65"/>
      <c r="AO100" s="112"/>
      <c r="AP100" s="204"/>
      <c r="AQ100" s="109">
        <f>IFERROR((O100+AH100+AM100)/Dashboard!$D$15,0)*0.2</f>
        <v>14.46280991735537</v>
      </c>
      <c r="AR100" s="84">
        <f t="shared" si="47"/>
        <v>0</v>
      </c>
      <c r="AS100" s="65"/>
      <c r="AT100" s="112"/>
      <c r="AU100" s="203">
        <v>0.33</v>
      </c>
      <c r="AV100" s="109">
        <f t="shared" si="48"/>
        <v>14000</v>
      </c>
      <c r="AW100" s="84">
        <f t="shared" si="49"/>
        <v>0</v>
      </c>
      <c r="AX100" s="65"/>
      <c r="AY100" s="112"/>
      <c r="AZ100" s="203">
        <v>0.25</v>
      </c>
      <c r="BA100" s="109">
        <f t="shared" si="50"/>
        <v>14000</v>
      </c>
      <c r="BB100" s="84">
        <f t="shared" si="56"/>
        <v>0</v>
      </c>
      <c r="BC100" s="65"/>
      <c r="BD100" s="112"/>
      <c r="BE100" s="203">
        <v>0.26</v>
      </c>
      <c r="BF100" s="109">
        <f t="shared" si="52"/>
        <v>14000</v>
      </c>
      <c r="BG100" s="84">
        <f t="shared" si="53"/>
        <v>0</v>
      </c>
      <c r="BH100" s="197"/>
      <c r="BI100" s="518"/>
      <c r="BJ100" s="65"/>
      <c r="BK100" s="81">
        <f t="shared" si="54"/>
        <v>0</v>
      </c>
      <c r="BL100" s="65"/>
      <c r="BM100" s="204"/>
      <c r="BN100" s="156">
        <f>IF(B100&lt;&gt;"",_xlfn.XLOOKUP(B100,'Cronog. e Histog.'!B:B,'Cronog. e Histog.'!EK:EK),0)</f>
        <v>0</v>
      </c>
      <c r="BO100" s="109">
        <f>($O100/Dashboard!$D$15)*(1+Dashboard!$D$19)</f>
        <v>108.47107438016528</v>
      </c>
      <c r="BP100" s="84">
        <f t="shared" si="57"/>
        <v>0</v>
      </c>
      <c r="BQ100" s="65"/>
      <c r="BR100" s="204"/>
      <c r="BS100" s="156">
        <f>IF(B100&lt;&gt;"",_xlfn.XLOOKUP(B100,'Cronog. e Histog.'!B:B,'Cronog. e Histog.'!EL:EL),0)</f>
        <v>0</v>
      </c>
      <c r="BT100" s="109">
        <f>($O100/Dashboard!$D$15)*(1+Dashboard!$D$20)</f>
        <v>126.54958677685948</v>
      </c>
      <c r="BU100" s="84">
        <f t="shared" si="58"/>
        <v>0</v>
      </c>
      <c r="BV100" s="65"/>
      <c r="BW100" s="204"/>
      <c r="BX100" s="156">
        <f>IF(B100&lt;&gt;"",_xlfn.XLOOKUP(B100,'Cronog. e Histog.'!B:B,'Cronog. e Histog.'!EM:EM),0)</f>
        <v>0</v>
      </c>
      <c r="BY100" s="109">
        <f>($O100/Dashboard!$D$15)*(1+Dashboard!$D$21)</f>
        <v>144.62809917355369</v>
      </c>
      <c r="BZ100" s="84">
        <f t="shared" si="59"/>
        <v>0</v>
      </c>
    </row>
    <row r="101" spans="2:78" ht="12" customHeight="1" outlineLevel="1">
      <c r="B101" s="137" t="str">
        <f>'Cronog. e Histog.'!B218</f>
        <v>ENG/ARQ JR. - Equipe_01</v>
      </c>
      <c r="C101" s="65"/>
      <c r="D101" s="200">
        <f t="shared" si="35"/>
        <v>0</v>
      </c>
      <c r="E101" s="200">
        <f t="shared" si="36"/>
        <v>0</v>
      </c>
      <c r="F101" s="65"/>
      <c r="G101" s="200">
        <f t="shared" si="37"/>
        <v>0</v>
      </c>
      <c r="H101" s="200">
        <f t="shared" si="38"/>
        <v>0</v>
      </c>
      <c r="I101" s="65"/>
      <c r="J101" s="143" t="str">
        <f>IF('Cronog. e Histog.'!G218&gt;0,'Cronog. e Histog.'!G218,"")</f>
        <v>ENG/ARQ JR.</v>
      </c>
      <c r="K101" s="65"/>
      <c r="L101" s="144">
        <f>'Cronog. e Histog.'!BT218</f>
        <v>0</v>
      </c>
      <c r="M101" s="144">
        <f>'Cronog. e Histog.'!BU218</f>
        <v>0</v>
      </c>
      <c r="N101" s="65"/>
      <c r="O101" s="109">
        <f>_xlfn.XLOOKUP(B101,Salários!B:B,Salários!K:K)</f>
        <v>14000</v>
      </c>
      <c r="P101" s="109">
        <f t="shared" si="39"/>
        <v>0</v>
      </c>
      <c r="Q101" s="109">
        <f t="shared" si="40"/>
        <v>0</v>
      </c>
      <c r="R101" s="65"/>
      <c r="S101" s="109">
        <f t="shared" si="41"/>
        <v>14000</v>
      </c>
      <c r="T101" s="201" t="str">
        <f>IF(_xlfn.XLOOKUP(B101,Salários!B:B,Salários!I:I)&gt;0,_xlfn.XLOOKUP(B101,Salários!B:B,Salários!I:I),"")</f>
        <v>PJ</v>
      </c>
      <c r="U101" s="117">
        <f t="shared" si="42"/>
        <v>0</v>
      </c>
      <c r="V101" s="65"/>
      <c r="W101" s="202"/>
      <c r="X101" s="65"/>
      <c r="Y101" s="69"/>
      <c r="Z101" s="65"/>
      <c r="AA101" s="518"/>
      <c r="AB101" s="65"/>
      <c r="AC101" s="81">
        <f t="shared" si="55"/>
        <v>0</v>
      </c>
      <c r="AD101" s="65"/>
      <c r="AE101" s="112"/>
      <c r="AF101" s="203">
        <v>0.3</v>
      </c>
      <c r="AG101" s="109">
        <f t="shared" si="44"/>
        <v>14000</v>
      </c>
      <c r="AH101" s="84">
        <f t="shared" si="45"/>
        <v>0</v>
      </c>
      <c r="AI101" s="65"/>
      <c r="AJ101" s="112"/>
      <c r="AK101" s="122"/>
      <c r="AL101" s="109">
        <v>1212</v>
      </c>
      <c r="AM101" s="84">
        <f t="shared" si="46"/>
        <v>0</v>
      </c>
      <c r="AN101" s="65"/>
      <c r="AO101" s="112"/>
      <c r="AP101" s="204"/>
      <c r="AQ101" s="109">
        <f>IFERROR((O101+AH101+AM101)/Dashboard!$D$15,0)*0.2</f>
        <v>14.46280991735537</v>
      </c>
      <c r="AR101" s="84">
        <f t="shared" si="47"/>
        <v>0</v>
      </c>
      <c r="AS101" s="65"/>
      <c r="AT101" s="112"/>
      <c r="AU101" s="203">
        <v>0.33</v>
      </c>
      <c r="AV101" s="109">
        <f t="shared" si="48"/>
        <v>14000</v>
      </c>
      <c r="AW101" s="84">
        <f t="shared" si="49"/>
        <v>0</v>
      </c>
      <c r="AX101" s="65"/>
      <c r="AY101" s="112"/>
      <c r="AZ101" s="203">
        <v>0.25</v>
      </c>
      <c r="BA101" s="109">
        <f t="shared" si="50"/>
        <v>14000</v>
      </c>
      <c r="BB101" s="84">
        <f t="shared" si="56"/>
        <v>0</v>
      </c>
      <c r="BC101" s="65"/>
      <c r="BD101" s="112"/>
      <c r="BE101" s="203">
        <v>0.26</v>
      </c>
      <c r="BF101" s="109">
        <f t="shared" si="52"/>
        <v>14000</v>
      </c>
      <c r="BG101" s="84">
        <f t="shared" si="53"/>
        <v>0</v>
      </c>
      <c r="BH101" s="197"/>
      <c r="BI101" s="518"/>
      <c r="BJ101" s="65"/>
      <c r="BK101" s="81">
        <f t="shared" si="54"/>
        <v>0</v>
      </c>
      <c r="BL101" s="65"/>
      <c r="BM101" s="204"/>
      <c r="BN101" s="156">
        <f>IF(B101&lt;&gt;"",_xlfn.XLOOKUP(B101,'Cronog. e Histog.'!B:B,'Cronog. e Histog.'!EK:EK),0)</f>
        <v>0</v>
      </c>
      <c r="BO101" s="109">
        <f>($O101/Dashboard!$D$15)*(1+Dashboard!$D$19)</f>
        <v>108.47107438016528</v>
      </c>
      <c r="BP101" s="84">
        <f t="shared" si="57"/>
        <v>0</v>
      </c>
      <c r="BQ101" s="65"/>
      <c r="BR101" s="204"/>
      <c r="BS101" s="156">
        <f>IF(B101&lt;&gt;"",_xlfn.XLOOKUP(B101,'Cronog. e Histog.'!B:B,'Cronog. e Histog.'!EL:EL),0)</f>
        <v>0</v>
      </c>
      <c r="BT101" s="109">
        <f>($O101/Dashboard!$D$15)*(1+Dashboard!$D$20)</f>
        <v>126.54958677685948</v>
      </c>
      <c r="BU101" s="84">
        <f t="shared" si="58"/>
        <v>0</v>
      </c>
      <c r="BV101" s="65"/>
      <c r="BW101" s="204"/>
      <c r="BX101" s="156">
        <f>IF(B101&lt;&gt;"",_xlfn.XLOOKUP(B101,'Cronog. e Histog.'!B:B,'Cronog. e Histog.'!EM:EM),0)</f>
        <v>0</v>
      </c>
      <c r="BY101" s="109">
        <f>($O101/Dashboard!$D$15)*(1+Dashboard!$D$21)</f>
        <v>144.62809917355369</v>
      </c>
      <c r="BZ101" s="84">
        <f t="shared" si="59"/>
        <v>0</v>
      </c>
    </row>
    <row r="102" spans="2:78" ht="12" customHeight="1" outlineLevel="1">
      <c r="B102" s="137" t="str">
        <f>'Cronog. e Histog.'!B219</f>
        <v>AN SR. ENG/ARQ - Equipe_01</v>
      </c>
      <c r="C102" s="65"/>
      <c r="D102" s="200">
        <f t="shared" si="35"/>
        <v>0</v>
      </c>
      <c r="E102" s="200">
        <f t="shared" si="36"/>
        <v>0</v>
      </c>
      <c r="F102" s="65"/>
      <c r="G102" s="200">
        <f t="shared" si="37"/>
        <v>0</v>
      </c>
      <c r="H102" s="200">
        <f t="shared" si="38"/>
        <v>0</v>
      </c>
      <c r="I102" s="65"/>
      <c r="J102" s="143" t="str">
        <f>IF('Cronog. e Histog.'!G219&gt;0,'Cronog. e Histog.'!G219,"")</f>
        <v>AN SR. ENG/ARQ</v>
      </c>
      <c r="K102" s="65"/>
      <c r="L102" s="144">
        <f>'Cronog. e Histog.'!BT219</f>
        <v>0</v>
      </c>
      <c r="M102" s="144">
        <f>'Cronog. e Histog.'!BU219</f>
        <v>0</v>
      </c>
      <c r="N102" s="65"/>
      <c r="O102" s="109">
        <f>_xlfn.XLOOKUP(B102,Salários!B:B,Salários!K:K)</f>
        <v>7950</v>
      </c>
      <c r="P102" s="109">
        <f t="shared" si="39"/>
        <v>0</v>
      </c>
      <c r="Q102" s="109">
        <f t="shared" si="40"/>
        <v>0</v>
      </c>
      <c r="R102" s="65"/>
      <c r="S102" s="109">
        <f t="shared" si="41"/>
        <v>7950</v>
      </c>
      <c r="T102" s="201" t="str">
        <f>IF(_xlfn.XLOOKUP(B102,Salários!B:B,Salários!I:I)&gt;0,_xlfn.XLOOKUP(B102,Salários!B:B,Salários!I:I),"")</f>
        <v>Mensalista</v>
      </c>
      <c r="U102" s="117">
        <f t="shared" si="42"/>
        <v>0</v>
      </c>
      <c r="V102" s="65"/>
      <c r="W102" s="202"/>
      <c r="X102" s="65"/>
      <c r="Y102" s="69"/>
      <c r="Z102" s="65"/>
      <c r="AA102" s="518"/>
      <c r="AB102" s="65"/>
      <c r="AC102" s="81">
        <f t="shared" si="55"/>
        <v>0</v>
      </c>
      <c r="AD102" s="65"/>
      <c r="AE102" s="112"/>
      <c r="AF102" s="203">
        <v>0.3</v>
      </c>
      <c r="AG102" s="109">
        <f t="shared" si="44"/>
        <v>7950</v>
      </c>
      <c r="AH102" s="84">
        <f t="shared" si="45"/>
        <v>0</v>
      </c>
      <c r="AI102" s="65"/>
      <c r="AJ102" s="112"/>
      <c r="AK102" s="122"/>
      <c r="AL102" s="109">
        <v>1212</v>
      </c>
      <c r="AM102" s="84">
        <f t="shared" si="46"/>
        <v>0</v>
      </c>
      <c r="AN102" s="65"/>
      <c r="AO102" s="112"/>
      <c r="AP102" s="204"/>
      <c r="AQ102" s="109">
        <f>IFERROR((O102+AH102+AM102)/Dashboard!$D$15,0)*0.2</f>
        <v>8.2128099173553704</v>
      </c>
      <c r="AR102" s="84">
        <f t="shared" si="47"/>
        <v>0</v>
      </c>
      <c r="AS102" s="65"/>
      <c r="AT102" s="112"/>
      <c r="AU102" s="203">
        <v>0.33</v>
      </c>
      <c r="AV102" s="109">
        <f t="shared" si="48"/>
        <v>7950</v>
      </c>
      <c r="AW102" s="84">
        <f t="shared" si="49"/>
        <v>0</v>
      </c>
      <c r="AX102" s="65"/>
      <c r="AY102" s="112"/>
      <c r="AZ102" s="203">
        <v>0.25</v>
      </c>
      <c r="BA102" s="109">
        <f t="shared" si="50"/>
        <v>7950</v>
      </c>
      <c r="BB102" s="84">
        <f t="shared" si="56"/>
        <v>0</v>
      </c>
      <c r="BC102" s="65"/>
      <c r="BD102" s="112"/>
      <c r="BE102" s="203">
        <v>0.26</v>
      </c>
      <c r="BF102" s="109">
        <f t="shared" si="52"/>
        <v>7950</v>
      </c>
      <c r="BG102" s="84">
        <f t="shared" si="53"/>
        <v>0</v>
      </c>
      <c r="BH102" s="197"/>
      <c r="BI102" s="518"/>
      <c r="BJ102" s="65"/>
      <c r="BK102" s="81">
        <f t="shared" si="54"/>
        <v>0</v>
      </c>
      <c r="BL102" s="65"/>
      <c r="BM102" s="204"/>
      <c r="BN102" s="156">
        <f>IF(B102&lt;&gt;"",_xlfn.XLOOKUP(B102,'Cronog. e Histog.'!B:B,'Cronog. e Histog.'!EK:EK),0)</f>
        <v>0</v>
      </c>
      <c r="BO102" s="109">
        <f>($O102/Dashboard!$D$15)*(1+Dashboard!$D$19)</f>
        <v>61.596074380165277</v>
      </c>
      <c r="BP102" s="84">
        <f t="shared" si="57"/>
        <v>0</v>
      </c>
      <c r="BQ102" s="65"/>
      <c r="BR102" s="204"/>
      <c r="BS102" s="156">
        <f>IF(B102&lt;&gt;"",_xlfn.XLOOKUP(B102,'Cronog. e Histog.'!B:B,'Cronog. e Histog.'!EL:EL),0)</f>
        <v>0</v>
      </c>
      <c r="BT102" s="109">
        <f>($O102/Dashboard!$D$15)*(1+Dashboard!$D$20)</f>
        <v>71.862086776859499</v>
      </c>
      <c r="BU102" s="84">
        <f t="shared" si="58"/>
        <v>0</v>
      </c>
      <c r="BV102" s="65"/>
      <c r="BW102" s="204"/>
      <c r="BX102" s="156">
        <f>IF(B102&lt;&gt;"",_xlfn.XLOOKUP(B102,'Cronog. e Histog.'!B:B,'Cronog. e Histog.'!EM:EM),0)</f>
        <v>0</v>
      </c>
      <c r="BY102" s="109">
        <f>($O102/Dashboard!$D$15)*(1+Dashboard!$D$21)</f>
        <v>82.128099173553707</v>
      </c>
      <c r="BZ102" s="84">
        <f t="shared" si="59"/>
        <v>0</v>
      </c>
    </row>
    <row r="103" spans="2:78" ht="12" customHeight="1" outlineLevel="1">
      <c r="B103" s="137" t="str">
        <f>'Cronog. e Histog.'!B220</f>
        <v>AN PL. ENG/ARQ - Equipe_01</v>
      </c>
      <c r="C103" s="65"/>
      <c r="D103" s="200">
        <f t="shared" si="35"/>
        <v>0</v>
      </c>
      <c r="E103" s="200">
        <f t="shared" si="36"/>
        <v>0</v>
      </c>
      <c r="F103" s="65"/>
      <c r="G103" s="200">
        <f t="shared" si="37"/>
        <v>0</v>
      </c>
      <c r="H103" s="200">
        <f t="shared" si="38"/>
        <v>0</v>
      </c>
      <c r="I103" s="65"/>
      <c r="J103" s="143" t="str">
        <f>IF('Cronog. e Histog.'!G220&gt;0,'Cronog. e Histog.'!G220,"")</f>
        <v>AN PL. ENG/ARQ</v>
      </c>
      <c r="K103" s="65"/>
      <c r="L103" s="144">
        <f>'Cronog. e Histog.'!BT220</f>
        <v>0</v>
      </c>
      <c r="M103" s="144">
        <f>'Cronog. e Histog.'!BU220</f>
        <v>0</v>
      </c>
      <c r="N103" s="65"/>
      <c r="O103" s="109">
        <f>_xlfn.XLOOKUP(B103,Salários!B:B,Salários!K:K)</f>
        <v>6360</v>
      </c>
      <c r="P103" s="109">
        <f t="shared" si="39"/>
        <v>0</v>
      </c>
      <c r="Q103" s="109">
        <f t="shared" si="40"/>
        <v>0</v>
      </c>
      <c r="R103" s="65"/>
      <c r="S103" s="109">
        <f t="shared" si="41"/>
        <v>6360</v>
      </c>
      <c r="T103" s="201" t="str">
        <f>IF(_xlfn.XLOOKUP(B103,Salários!B:B,Salários!I:I)&gt;0,_xlfn.XLOOKUP(B103,Salários!B:B,Salários!I:I),"")</f>
        <v>Mensalista</v>
      </c>
      <c r="U103" s="117">
        <f t="shared" si="42"/>
        <v>0</v>
      </c>
      <c r="V103" s="65"/>
      <c r="W103" s="202"/>
      <c r="X103" s="65"/>
      <c r="Y103" s="69"/>
      <c r="Z103" s="65"/>
      <c r="AA103" s="518"/>
      <c r="AB103" s="65"/>
      <c r="AC103" s="81">
        <f t="shared" si="55"/>
        <v>0</v>
      </c>
      <c r="AD103" s="65"/>
      <c r="AE103" s="112"/>
      <c r="AF103" s="203">
        <v>0.3</v>
      </c>
      <c r="AG103" s="109">
        <f t="shared" si="44"/>
        <v>6360</v>
      </c>
      <c r="AH103" s="84">
        <f t="shared" si="45"/>
        <v>0</v>
      </c>
      <c r="AI103" s="65"/>
      <c r="AJ103" s="112"/>
      <c r="AK103" s="122"/>
      <c r="AL103" s="109">
        <v>1212</v>
      </c>
      <c r="AM103" s="84">
        <f t="shared" si="46"/>
        <v>0</v>
      </c>
      <c r="AN103" s="65"/>
      <c r="AO103" s="112"/>
      <c r="AP103" s="204"/>
      <c r="AQ103" s="109">
        <f>IFERROR((O103+AH103+AM103)/Dashboard!$D$15,0)*0.2</f>
        <v>6.5702479338842963</v>
      </c>
      <c r="AR103" s="84">
        <f t="shared" si="47"/>
        <v>0</v>
      </c>
      <c r="AS103" s="65"/>
      <c r="AT103" s="112"/>
      <c r="AU103" s="203">
        <v>0.33</v>
      </c>
      <c r="AV103" s="109">
        <f t="shared" si="48"/>
        <v>6360</v>
      </c>
      <c r="AW103" s="84">
        <f t="shared" si="49"/>
        <v>0</v>
      </c>
      <c r="AX103" s="65"/>
      <c r="AY103" s="112"/>
      <c r="AZ103" s="203">
        <v>0.25</v>
      </c>
      <c r="BA103" s="109">
        <f t="shared" si="50"/>
        <v>6360</v>
      </c>
      <c r="BB103" s="84">
        <f t="shared" si="56"/>
        <v>0</v>
      </c>
      <c r="BC103" s="65"/>
      <c r="BD103" s="112"/>
      <c r="BE103" s="203">
        <v>0.26</v>
      </c>
      <c r="BF103" s="109">
        <f t="shared" si="52"/>
        <v>6360</v>
      </c>
      <c r="BG103" s="84">
        <f t="shared" si="53"/>
        <v>0</v>
      </c>
      <c r="BH103" s="197"/>
      <c r="BI103" s="518"/>
      <c r="BJ103" s="65"/>
      <c r="BK103" s="81">
        <f t="shared" si="54"/>
        <v>0</v>
      </c>
      <c r="BL103" s="65"/>
      <c r="BM103" s="204"/>
      <c r="BN103" s="156">
        <f>IF(B103&lt;&gt;"",_xlfn.XLOOKUP(B103,'Cronog. e Histog.'!B:B,'Cronog. e Histog.'!EK:EK),0)</f>
        <v>0</v>
      </c>
      <c r="BO103" s="109">
        <f>($O103/Dashboard!$D$15)*(1+Dashboard!$D$19)</f>
        <v>49.276859504132219</v>
      </c>
      <c r="BP103" s="84">
        <f t="shared" si="57"/>
        <v>0</v>
      </c>
      <c r="BQ103" s="65"/>
      <c r="BR103" s="204"/>
      <c r="BS103" s="156">
        <f>IF(B103&lt;&gt;"",_xlfn.XLOOKUP(B103,'Cronog. e Histog.'!B:B,'Cronog. e Histog.'!EL:EL),0)</f>
        <v>0</v>
      </c>
      <c r="BT103" s="109">
        <f>($O103/Dashboard!$D$15)*(1+Dashboard!$D$20)</f>
        <v>57.489669421487591</v>
      </c>
      <c r="BU103" s="84">
        <f t="shared" si="58"/>
        <v>0</v>
      </c>
      <c r="BV103" s="65"/>
      <c r="BW103" s="204"/>
      <c r="BX103" s="156">
        <f>IF(B103&lt;&gt;"",_xlfn.XLOOKUP(B103,'Cronog. e Histog.'!B:B,'Cronog. e Histog.'!EM:EM),0)</f>
        <v>0</v>
      </c>
      <c r="BY103" s="109">
        <f>($O103/Dashboard!$D$15)*(1+Dashboard!$D$21)</f>
        <v>65.702479338842963</v>
      </c>
      <c r="BZ103" s="84">
        <f t="shared" si="59"/>
        <v>0</v>
      </c>
    </row>
    <row r="104" spans="2:78" ht="12" customHeight="1" outlineLevel="1">
      <c r="B104" s="137" t="str">
        <f>'Cronog. e Histog.'!B221</f>
        <v>AN JR. ENG/ARQ - Equipe_01</v>
      </c>
      <c r="C104" s="65"/>
      <c r="D104" s="200">
        <f t="shared" si="35"/>
        <v>0</v>
      </c>
      <c r="E104" s="200">
        <f t="shared" si="36"/>
        <v>0</v>
      </c>
      <c r="F104" s="65"/>
      <c r="G104" s="200">
        <f t="shared" si="37"/>
        <v>0</v>
      </c>
      <c r="H104" s="200">
        <f t="shared" si="38"/>
        <v>0</v>
      </c>
      <c r="I104" s="65"/>
      <c r="J104" s="143" t="str">
        <f>IF('Cronog. e Histog.'!G221&gt;0,'Cronog. e Histog.'!G221,"")</f>
        <v>AN JR. ENG/ARQ</v>
      </c>
      <c r="K104" s="65"/>
      <c r="L104" s="144">
        <f>'Cronog. e Histog.'!BT221</f>
        <v>0</v>
      </c>
      <c r="M104" s="144">
        <f>'Cronog. e Histog.'!BU221</f>
        <v>0</v>
      </c>
      <c r="N104" s="65"/>
      <c r="O104" s="109">
        <f>_xlfn.XLOOKUP(B104,Salários!B:B,Salários!K:K)</f>
        <v>4770</v>
      </c>
      <c r="P104" s="109">
        <f t="shared" si="39"/>
        <v>0</v>
      </c>
      <c r="Q104" s="109">
        <f t="shared" si="40"/>
        <v>0</v>
      </c>
      <c r="R104" s="65"/>
      <c r="S104" s="109">
        <f t="shared" si="41"/>
        <v>4770</v>
      </c>
      <c r="T104" s="201" t="str">
        <f>IF(_xlfn.XLOOKUP(B104,Salários!B:B,Salários!I:I)&gt;0,_xlfn.XLOOKUP(B104,Salários!B:B,Salários!I:I),"")</f>
        <v>Mensalista</v>
      </c>
      <c r="U104" s="117">
        <f t="shared" si="42"/>
        <v>0</v>
      </c>
      <c r="V104" s="65"/>
      <c r="W104" s="202"/>
      <c r="X104" s="65"/>
      <c r="Y104" s="69"/>
      <c r="Z104" s="65"/>
      <c r="AA104" s="518"/>
      <c r="AB104" s="65"/>
      <c r="AC104" s="81">
        <f t="shared" si="55"/>
        <v>0</v>
      </c>
      <c r="AD104" s="65"/>
      <c r="AE104" s="112"/>
      <c r="AF104" s="203">
        <v>0.3</v>
      </c>
      <c r="AG104" s="109">
        <f t="shared" si="44"/>
        <v>4770</v>
      </c>
      <c r="AH104" s="84">
        <f t="shared" si="45"/>
        <v>0</v>
      </c>
      <c r="AI104" s="65"/>
      <c r="AJ104" s="112"/>
      <c r="AK104" s="122"/>
      <c r="AL104" s="109">
        <v>1212</v>
      </c>
      <c r="AM104" s="84">
        <f t="shared" si="46"/>
        <v>0</v>
      </c>
      <c r="AN104" s="65"/>
      <c r="AO104" s="112"/>
      <c r="AP104" s="204"/>
      <c r="AQ104" s="109">
        <f>IFERROR((O104+AH104+AM104)/Dashboard!$D$15,0)*0.2</f>
        <v>4.9276859504132231</v>
      </c>
      <c r="AR104" s="84">
        <f t="shared" si="47"/>
        <v>0</v>
      </c>
      <c r="AS104" s="65"/>
      <c r="AT104" s="112"/>
      <c r="AU104" s="203">
        <v>0.33</v>
      </c>
      <c r="AV104" s="109">
        <f t="shared" si="48"/>
        <v>4770</v>
      </c>
      <c r="AW104" s="84">
        <f t="shared" si="49"/>
        <v>0</v>
      </c>
      <c r="AX104" s="65"/>
      <c r="AY104" s="112"/>
      <c r="AZ104" s="203">
        <v>0.25</v>
      </c>
      <c r="BA104" s="109">
        <f t="shared" si="50"/>
        <v>4770</v>
      </c>
      <c r="BB104" s="84">
        <f t="shared" si="56"/>
        <v>0</v>
      </c>
      <c r="BC104" s="65"/>
      <c r="BD104" s="112"/>
      <c r="BE104" s="203">
        <v>0.26</v>
      </c>
      <c r="BF104" s="109">
        <f t="shared" si="52"/>
        <v>4770</v>
      </c>
      <c r="BG104" s="84">
        <f t="shared" si="53"/>
        <v>0</v>
      </c>
      <c r="BH104" s="197"/>
      <c r="BI104" s="518"/>
      <c r="BJ104" s="65"/>
      <c r="BK104" s="81">
        <f t="shared" si="54"/>
        <v>0</v>
      </c>
      <c r="BL104" s="65"/>
      <c r="BM104" s="204"/>
      <c r="BN104" s="156">
        <f>IF(B104&lt;&gt;"",_xlfn.XLOOKUP(B104,'Cronog. e Histog.'!B:B,'Cronog. e Histog.'!EK:EK),0)</f>
        <v>0</v>
      </c>
      <c r="BO104" s="109">
        <f>($O104/Dashboard!$D$15)*(1+Dashboard!$D$19)</f>
        <v>36.957644628099168</v>
      </c>
      <c r="BP104" s="84">
        <f t="shared" si="57"/>
        <v>0</v>
      </c>
      <c r="BQ104" s="65"/>
      <c r="BR104" s="204"/>
      <c r="BS104" s="156">
        <f>IF(B104&lt;&gt;"",_xlfn.XLOOKUP(B104,'Cronog. e Histog.'!B:B,'Cronog. e Histog.'!EL:EL),0)</f>
        <v>0</v>
      </c>
      <c r="BT104" s="109">
        <f>($O104/Dashboard!$D$15)*(1+Dashboard!$D$20)</f>
        <v>43.117252066115697</v>
      </c>
      <c r="BU104" s="84">
        <f t="shared" si="58"/>
        <v>0</v>
      </c>
      <c r="BV104" s="65"/>
      <c r="BW104" s="204"/>
      <c r="BX104" s="156">
        <f>IF(B104&lt;&gt;"",_xlfn.XLOOKUP(B104,'Cronog. e Histog.'!B:B,'Cronog. e Histog.'!EM:EM),0)</f>
        <v>0</v>
      </c>
      <c r="BY104" s="109">
        <f>($O104/Dashboard!$D$15)*(1+Dashboard!$D$21)</f>
        <v>49.276859504132226</v>
      </c>
      <c r="BZ104" s="84">
        <f t="shared" si="59"/>
        <v>0</v>
      </c>
    </row>
    <row r="105" spans="2:78" ht="12" customHeight="1" outlineLevel="1">
      <c r="B105" s="137" t="str">
        <f>'Cronog. e Histog.'!B222</f>
        <v>AN SR. ADM/CRP - Equipe_01</v>
      </c>
      <c r="C105" s="65"/>
      <c r="D105" s="200">
        <f t="shared" si="35"/>
        <v>0</v>
      </c>
      <c r="E105" s="200">
        <f t="shared" si="36"/>
        <v>0</v>
      </c>
      <c r="F105" s="65"/>
      <c r="G105" s="200">
        <f t="shared" si="37"/>
        <v>0</v>
      </c>
      <c r="H105" s="200">
        <f t="shared" si="38"/>
        <v>0</v>
      </c>
      <c r="I105" s="65"/>
      <c r="J105" s="143" t="str">
        <f>IF('Cronog. e Histog.'!G222&gt;0,'Cronog. e Histog.'!G222,"")</f>
        <v>AN SR. ADM/CRP</v>
      </c>
      <c r="K105" s="65"/>
      <c r="L105" s="144">
        <f>'Cronog. e Histog.'!BT222</f>
        <v>0</v>
      </c>
      <c r="M105" s="144">
        <f>'Cronog. e Histog.'!BU222</f>
        <v>0</v>
      </c>
      <c r="N105" s="65"/>
      <c r="O105" s="109">
        <f>_xlfn.XLOOKUP(B105,Salários!B:B,Salários!K:K)</f>
        <v>7420</v>
      </c>
      <c r="P105" s="109">
        <f t="shared" si="39"/>
        <v>0</v>
      </c>
      <c r="Q105" s="109">
        <f t="shared" si="40"/>
        <v>0</v>
      </c>
      <c r="R105" s="65"/>
      <c r="S105" s="109">
        <f t="shared" si="41"/>
        <v>7420</v>
      </c>
      <c r="T105" s="201" t="str">
        <f>IF(_xlfn.XLOOKUP(B105,Salários!B:B,Salários!I:I)&gt;0,_xlfn.XLOOKUP(B105,Salários!B:B,Salários!I:I),"")</f>
        <v>Mensalista</v>
      </c>
      <c r="U105" s="117">
        <f t="shared" si="42"/>
        <v>0</v>
      </c>
      <c r="V105" s="65"/>
      <c r="W105" s="202"/>
      <c r="X105" s="65"/>
      <c r="Y105" s="69"/>
      <c r="Z105" s="65"/>
      <c r="AA105" s="518"/>
      <c r="AB105" s="65"/>
      <c r="AC105" s="81">
        <f t="shared" si="55"/>
        <v>0</v>
      </c>
      <c r="AD105" s="65"/>
      <c r="AE105" s="112"/>
      <c r="AF105" s="203">
        <v>0.3</v>
      </c>
      <c r="AG105" s="109">
        <f t="shared" si="44"/>
        <v>7420</v>
      </c>
      <c r="AH105" s="84">
        <f t="shared" si="45"/>
        <v>0</v>
      </c>
      <c r="AI105" s="65"/>
      <c r="AJ105" s="112"/>
      <c r="AK105" s="122"/>
      <c r="AL105" s="109">
        <v>1212</v>
      </c>
      <c r="AM105" s="84">
        <f t="shared" si="46"/>
        <v>0</v>
      </c>
      <c r="AN105" s="65"/>
      <c r="AO105" s="112"/>
      <c r="AP105" s="204"/>
      <c r="AQ105" s="109">
        <f>IFERROR((O105+AH105+AM105)/Dashboard!$D$15,0)*0.2</f>
        <v>7.6652892561983466</v>
      </c>
      <c r="AR105" s="84">
        <f t="shared" si="47"/>
        <v>0</v>
      </c>
      <c r="AS105" s="65"/>
      <c r="AT105" s="112"/>
      <c r="AU105" s="203">
        <v>0.33</v>
      </c>
      <c r="AV105" s="109">
        <f t="shared" si="48"/>
        <v>7420</v>
      </c>
      <c r="AW105" s="84">
        <f t="shared" si="49"/>
        <v>0</v>
      </c>
      <c r="AX105" s="65"/>
      <c r="AY105" s="112"/>
      <c r="AZ105" s="203">
        <v>0.25</v>
      </c>
      <c r="BA105" s="109">
        <f t="shared" si="50"/>
        <v>7420</v>
      </c>
      <c r="BB105" s="84">
        <f t="shared" si="56"/>
        <v>0</v>
      </c>
      <c r="BC105" s="65"/>
      <c r="BD105" s="112"/>
      <c r="BE105" s="203">
        <v>0.26</v>
      </c>
      <c r="BF105" s="109">
        <f t="shared" si="52"/>
        <v>7420</v>
      </c>
      <c r="BG105" s="84">
        <f t="shared" si="53"/>
        <v>0</v>
      </c>
      <c r="BH105" s="197"/>
      <c r="BI105" s="518"/>
      <c r="BJ105" s="65"/>
      <c r="BK105" s="81">
        <f t="shared" si="54"/>
        <v>0</v>
      </c>
      <c r="BL105" s="65"/>
      <c r="BM105" s="204"/>
      <c r="BN105" s="156">
        <f>IF(B105&lt;&gt;"",_xlfn.XLOOKUP(B105,'Cronog. e Histog.'!B:B,'Cronog. e Histog.'!EK:EK),0)</f>
        <v>0</v>
      </c>
      <c r="BO105" s="109">
        <f>($O105/Dashboard!$D$15)*(1+Dashboard!$D$19)</f>
        <v>57.489669421487598</v>
      </c>
      <c r="BP105" s="84">
        <f t="shared" si="57"/>
        <v>0</v>
      </c>
      <c r="BQ105" s="65"/>
      <c r="BR105" s="204"/>
      <c r="BS105" s="156">
        <f>IF(B105&lt;&gt;"",_xlfn.XLOOKUP(B105,'Cronog. e Histog.'!B:B,'Cronog. e Histog.'!EL:EL),0)</f>
        <v>0</v>
      </c>
      <c r="BT105" s="109">
        <f>($O105/Dashboard!$D$15)*(1+Dashboard!$D$20)</f>
        <v>67.071280991735534</v>
      </c>
      <c r="BU105" s="84">
        <f t="shared" si="58"/>
        <v>0</v>
      </c>
      <c r="BV105" s="65"/>
      <c r="BW105" s="204"/>
      <c r="BX105" s="156">
        <f>IF(B105&lt;&gt;"",_xlfn.XLOOKUP(B105,'Cronog. e Histog.'!B:B,'Cronog. e Histog.'!EM:EM),0)</f>
        <v>0</v>
      </c>
      <c r="BY105" s="109">
        <f>($O105/Dashboard!$D$15)*(1+Dashboard!$D$21)</f>
        <v>76.652892561983464</v>
      </c>
      <c r="BZ105" s="84">
        <f t="shared" si="59"/>
        <v>0</v>
      </c>
    </row>
    <row r="106" spans="2:78" ht="12" customHeight="1" outlineLevel="1">
      <c r="B106" s="137" t="str">
        <f>'Cronog. e Histog.'!B223</f>
        <v>AN PL. ADM/CRP - Equipe_01</v>
      </c>
      <c r="C106" s="65"/>
      <c r="D106" s="200">
        <f t="shared" si="35"/>
        <v>0</v>
      </c>
      <c r="E106" s="200">
        <f t="shared" si="36"/>
        <v>0</v>
      </c>
      <c r="F106" s="65"/>
      <c r="G106" s="200">
        <f t="shared" si="37"/>
        <v>0</v>
      </c>
      <c r="H106" s="200">
        <f t="shared" si="38"/>
        <v>0</v>
      </c>
      <c r="I106" s="65"/>
      <c r="J106" s="143" t="str">
        <f>IF('Cronog. e Histog.'!G223&gt;0,'Cronog. e Histog.'!G223,"")</f>
        <v>AN PL. ADM/CRP</v>
      </c>
      <c r="K106" s="65"/>
      <c r="L106" s="144">
        <f>'Cronog. e Histog.'!BT223</f>
        <v>0</v>
      </c>
      <c r="M106" s="144">
        <f>'Cronog. e Histog.'!BU223</f>
        <v>0</v>
      </c>
      <c r="N106" s="65"/>
      <c r="O106" s="109">
        <f>_xlfn.XLOOKUP(B106,Salários!B:B,Salários!K:K)</f>
        <v>5300</v>
      </c>
      <c r="P106" s="109">
        <f t="shared" si="39"/>
        <v>0</v>
      </c>
      <c r="Q106" s="109">
        <f t="shared" si="40"/>
        <v>0</v>
      </c>
      <c r="R106" s="65"/>
      <c r="S106" s="109">
        <f t="shared" si="41"/>
        <v>5300</v>
      </c>
      <c r="T106" s="201" t="str">
        <f>IF(_xlfn.XLOOKUP(B106,Salários!B:B,Salários!I:I)&gt;0,_xlfn.XLOOKUP(B106,Salários!B:B,Salários!I:I),"")</f>
        <v>Mensalista</v>
      </c>
      <c r="U106" s="117">
        <f t="shared" si="42"/>
        <v>0</v>
      </c>
      <c r="V106" s="65"/>
      <c r="W106" s="202"/>
      <c r="X106" s="65"/>
      <c r="Y106" s="69"/>
      <c r="Z106" s="65"/>
      <c r="AA106" s="518"/>
      <c r="AB106" s="65"/>
      <c r="AC106" s="81">
        <f t="shared" si="55"/>
        <v>0</v>
      </c>
      <c r="AD106" s="65"/>
      <c r="AE106" s="112"/>
      <c r="AF106" s="203">
        <v>0.3</v>
      </c>
      <c r="AG106" s="109">
        <f t="shared" si="44"/>
        <v>5300</v>
      </c>
      <c r="AH106" s="84">
        <f t="shared" si="45"/>
        <v>0</v>
      </c>
      <c r="AI106" s="65"/>
      <c r="AJ106" s="112"/>
      <c r="AK106" s="122"/>
      <c r="AL106" s="109">
        <v>1212</v>
      </c>
      <c r="AM106" s="84">
        <f t="shared" si="46"/>
        <v>0</v>
      </c>
      <c r="AN106" s="65"/>
      <c r="AO106" s="112"/>
      <c r="AP106" s="204"/>
      <c r="AQ106" s="109">
        <f>IFERROR((O106+AH106+AM106)/Dashboard!$D$15,0)*0.2</f>
        <v>5.4752066115702478</v>
      </c>
      <c r="AR106" s="84">
        <f t="shared" si="47"/>
        <v>0</v>
      </c>
      <c r="AS106" s="65"/>
      <c r="AT106" s="112"/>
      <c r="AU106" s="203">
        <v>0.33</v>
      </c>
      <c r="AV106" s="109">
        <f t="shared" si="48"/>
        <v>5300</v>
      </c>
      <c r="AW106" s="84">
        <f t="shared" si="49"/>
        <v>0</v>
      </c>
      <c r="AX106" s="65"/>
      <c r="AY106" s="112"/>
      <c r="AZ106" s="203">
        <v>0.25</v>
      </c>
      <c r="BA106" s="109">
        <f t="shared" si="50"/>
        <v>5300</v>
      </c>
      <c r="BB106" s="84">
        <f t="shared" si="56"/>
        <v>0</v>
      </c>
      <c r="BC106" s="65"/>
      <c r="BD106" s="112"/>
      <c r="BE106" s="203">
        <v>0.26</v>
      </c>
      <c r="BF106" s="109">
        <f t="shared" si="52"/>
        <v>5300</v>
      </c>
      <c r="BG106" s="84">
        <f t="shared" si="53"/>
        <v>0</v>
      </c>
      <c r="BH106" s="197"/>
      <c r="BI106" s="518"/>
      <c r="BJ106" s="65"/>
      <c r="BK106" s="81">
        <f t="shared" si="54"/>
        <v>0</v>
      </c>
      <c r="BL106" s="65"/>
      <c r="BM106" s="204"/>
      <c r="BN106" s="156">
        <f>IF(B106&lt;&gt;"",_xlfn.XLOOKUP(B106,'Cronog. e Histog.'!B:B,'Cronog. e Histog.'!EK:EK),0)</f>
        <v>0</v>
      </c>
      <c r="BO106" s="109">
        <f>($O106/Dashboard!$D$15)*(1+Dashboard!$D$19)</f>
        <v>41.064049586776861</v>
      </c>
      <c r="BP106" s="84">
        <f t="shared" si="57"/>
        <v>0</v>
      </c>
      <c r="BQ106" s="65"/>
      <c r="BR106" s="204"/>
      <c r="BS106" s="156">
        <f>IF(B106&lt;&gt;"",_xlfn.XLOOKUP(B106,'Cronog. e Histog.'!B:B,'Cronog. e Histog.'!EL:EL),0)</f>
        <v>0</v>
      </c>
      <c r="BT106" s="109">
        <f>($O106/Dashboard!$D$15)*(1+Dashboard!$D$20)</f>
        <v>47.908057851239668</v>
      </c>
      <c r="BU106" s="84">
        <f t="shared" si="58"/>
        <v>0</v>
      </c>
      <c r="BV106" s="65"/>
      <c r="BW106" s="204"/>
      <c r="BX106" s="156">
        <f>IF(B106&lt;&gt;"",_xlfn.XLOOKUP(B106,'Cronog. e Histog.'!B:B,'Cronog. e Histog.'!EM:EM),0)</f>
        <v>0</v>
      </c>
      <c r="BY106" s="109">
        <f>($O106/Dashboard!$D$15)*(1+Dashboard!$D$21)</f>
        <v>54.752066115702476</v>
      </c>
      <c r="BZ106" s="84">
        <f t="shared" si="59"/>
        <v>0</v>
      </c>
    </row>
    <row r="107" spans="2:78" ht="12" customHeight="1" outlineLevel="1">
      <c r="B107" s="137" t="str">
        <f>'Cronog. e Histog.'!B224</f>
        <v>AN JR. ADM/CRP - Equipe_01</v>
      </c>
      <c r="C107" s="65"/>
      <c r="D107" s="200">
        <f t="shared" si="35"/>
        <v>0</v>
      </c>
      <c r="E107" s="200">
        <f t="shared" si="36"/>
        <v>0</v>
      </c>
      <c r="F107" s="65"/>
      <c r="G107" s="200">
        <f t="shared" si="37"/>
        <v>0</v>
      </c>
      <c r="H107" s="200">
        <f t="shared" si="38"/>
        <v>0</v>
      </c>
      <c r="I107" s="65"/>
      <c r="J107" s="143" t="str">
        <f>IF('Cronog. e Histog.'!G224&gt;0,'Cronog. e Histog.'!G224,"")</f>
        <v>AN JR. ADM/CRP</v>
      </c>
      <c r="K107" s="65"/>
      <c r="L107" s="144">
        <f>'Cronog. e Histog.'!BT224</f>
        <v>0</v>
      </c>
      <c r="M107" s="144">
        <f>'Cronog. e Histog.'!BU224</f>
        <v>0</v>
      </c>
      <c r="N107" s="65"/>
      <c r="O107" s="109">
        <f>_xlfn.XLOOKUP(B107,Salários!B:B,Salários!K:K)</f>
        <v>3710</v>
      </c>
      <c r="P107" s="109">
        <f t="shared" ref="P107:P112" si="60">AC107</f>
        <v>0</v>
      </c>
      <c r="Q107" s="109">
        <f t="shared" ref="Q107:Q112" si="61">BK107</f>
        <v>0</v>
      </c>
      <c r="R107" s="65"/>
      <c r="S107" s="109">
        <f t="shared" ref="S107:S112" si="62">SUM(O107:Q107)</f>
        <v>3710</v>
      </c>
      <c r="T107" s="201" t="str">
        <f>IF(_xlfn.XLOOKUP(B107,Salários!B:B,Salários!I:I)&gt;0,_xlfn.XLOOKUP(B107,Salários!B:B,Salários!I:I),"")</f>
        <v>Mensalista</v>
      </c>
      <c r="U107" s="117">
        <f t="shared" ref="U107:U112" si="63">L107*M107*S107</f>
        <v>0</v>
      </c>
      <c r="V107" s="65"/>
      <c r="W107" s="202"/>
      <c r="X107" s="65"/>
      <c r="Y107" s="69"/>
      <c r="Z107" s="65"/>
      <c r="AA107" s="518"/>
      <c r="AB107" s="65"/>
      <c r="AC107" s="81">
        <f t="shared" si="43"/>
        <v>0</v>
      </c>
      <c r="AD107" s="65"/>
      <c r="AE107" s="112"/>
      <c r="AF107" s="203">
        <v>0.3</v>
      </c>
      <c r="AG107" s="109">
        <f t="shared" si="44"/>
        <v>3710</v>
      </c>
      <c r="AH107" s="84">
        <f t="shared" ref="AH107:AH112" si="64">IF(AE107="sim",AF107*AG107,0)</f>
        <v>0</v>
      </c>
      <c r="AI107" s="65"/>
      <c r="AJ107" s="112"/>
      <c r="AK107" s="122"/>
      <c r="AL107" s="109">
        <v>1212</v>
      </c>
      <c r="AM107" s="84">
        <f t="shared" ref="AM107:AM112" si="65">IF(AJ107="sim",AK107*AL107,0)</f>
        <v>0</v>
      </c>
      <c r="AN107" s="65"/>
      <c r="AO107" s="112"/>
      <c r="AP107" s="204"/>
      <c r="AQ107" s="109">
        <f>IFERROR((O107+AH107+AM107)/Dashboard!$D$15,0)*0.2</f>
        <v>3.8326446280991733</v>
      </c>
      <c r="AR107" s="84">
        <f t="shared" ref="AR107:AR112" si="66">IF(AO107="sim",AP107*AQ107,0)</f>
        <v>0</v>
      </c>
      <c r="AS107" s="65"/>
      <c r="AT107" s="112"/>
      <c r="AU107" s="203">
        <v>0.33</v>
      </c>
      <c r="AV107" s="109">
        <f t="shared" si="48"/>
        <v>3710</v>
      </c>
      <c r="AW107" s="84">
        <f t="shared" ref="AW107:AW115" si="67">IF(AT107="sim",AU107*AV107,0)</f>
        <v>0</v>
      </c>
      <c r="AX107" s="65"/>
      <c r="AY107" s="112"/>
      <c r="AZ107" s="203">
        <v>0.25</v>
      </c>
      <c r="BA107" s="109">
        <f t="shared" si="50"/>
        <v>3710</v>
      </c>
      <c r="BB107" s="84">
        <f t="shared" si="51"/>
        <v>0</v>
      </c>
      <c r="BC107" s="65"/>
      <c r="BD107" s="112"/>
      <c r="BE107" s="203">
        <v>0.26</v>
      </c>
      <c r="BF107" s="109">
        <f t="shared" si="52"/>
        <v>3710</v>
      </c>
      <c r="BG107" s="84">
        <f t="shared" ref="BG107:BG115" si="68">IF(BD107="sim",BE107*BF107,0)</f>
        <v>0</v>
      </c>
      <c r="BH107" s="197"/>
      <c r="BI107" s="518"/>
      <c r="BJ107" s="65"/>
      <c r="BK107" s="81">
        <f t="shared" ref="BK107:BK112" si="69">BP107+BU107+BZ107</f>
        <v>0</v>
      </c>
      <c r="BL107" s="65"/>
      <c r="BM107" s="204"/>
      <c r="BN107" s="156">
        <f>IF(B107&lt;&gt;"",_xlfn.XLOOKUP(B107,'Cronog. e Histog.'!B:B,'Cronog. e Histog.'!EK:EK),0)</f>
        <v>0</v>
      </c>
      <c r="BO107" s="109">
        <f>($O107/Dashboard!$D$15)*(1+Dashboard!$D$19)</f>
        <v>28.744834710743799</v>
      </c>
      <c r="BP107" s="84">
        <f t="shared" si="57"/>
        <v>0</v>
      </c>
      <c r="BQ107" s="65"/>
      <c r="BR107" s="204"/>
      <c r="BS107" s="156">
        <f>IF(B107&lt;&gt;"",_xlfn.XLOOKUP(B107,'Cronog. e Histog.'!B:B,'Cronog. e Histog.'!EL:EL),0)</f>
        <v>0</v>
      </c>
      <c r="BT107" s="109">
        <f>($O107/Dashboard!$D$15)*(1+Dashboard!$D$20)</f>
        <v>33.535640495867767</v>
      </c>
      <c r="BU107" s="84">
        <f t="shared" si="58"/>
        <v>0</v>
      </c>
      <c r="BV107" s="65"/>
      <c r="BW107" s="204"/>
      <c r="BX107" s="156">
        <f>IF(B107&lt;&gt;"",_xlfn.XLOOKUP(B107,'Cronog. e Histog.'!B:B,'Cronog. e Histog.'!EM:EM),0)</f>
        <v>0</v>
      </c>
      <c r="BY107" s="109">
        <f>($O107/Dashboard!$D$15)*(1+Dashboard!$D$21)</f>
        <v>38.326446280991732</v>
      </c>
      <c r="BZ107" s="84">
        <f t="shared" si="59"/>
        <v>0</v>
      </c>
    </row>
    <row r="108" spans="2:78" ht="12" customHeight="1" outlineLevel="1">
      <c r="B108" s="137" t="str">
        <f>'Cronog. e Histog.'!B225</f>
        <v>TEC III - Equipe_01</v>
      </c>
      <c r="C108" s="65"/>
      <c r="D108" s="200">
        <f t="shared" si="35"/>
        <v>0</v>
      </c>
      <c r="E108" s="200">
        <f t="shared" si="36"/>
        <v>0</v>
      </c>
      <c r="F108" s="65"/>
      <c r="G108" s="200">
        <f t="shared" si="37"/>
        <v>0</v>
      </c>
      <c r="H108" s="200">
        <f t="shared" si="38"/>
        <v>0</v>
      </c>
      <c r="I108" s="65"/>
      <c r="J108" s="143" t="str">
        <f>IF('Cronog. e Histog.'!G225&gt;0,'Cronog. e Histog.'!G225,"")</f>
        <v>TEC III</v>
      </c>
      <c r="K108" s="65"/>
      <c r="L108" s="144">
        <f>'Cronog. e Histog.'!BT225</f>
        <v>0</v>
      </c>
      <c r="M108" s="144">
        <f>'Cronog. e Histog.'!BU225</f>
        <v>0</v>
      </c>
      <c r="N108" s="65"/>
      <c r="O108" s="109">
        <f>_xlfn.XLOOKUP(B108,Salários!B:B,Salários!K:K)</f>
        <v>6360</v>
      </c>
      <c r="P108" s="109">
        <f t="shared" si="60"/>
        <v>0</v>
      </c>
      <c r="Q108" s="109">
        <f t="shared" si="61"/>
        <v>0</v>
      </c>
      <c r="R108" s="65"/>
      <c r="S108" s="109">
        <f t="shared" si="62"/>
        <v>6360</v>
      </c>
      <c r="T108" s="201" t="str">
        <f>IF(_xlfn.XLOOKUP(B108,Salários!B:B,Salários!I:I)&gt;0,_xlfn.XLOOKUP(B108,Salários!B:B,Salários!I:I),"")</f>
        <v>Mensalista</v>
      </c>
      <c r="U108" s="117">
        <f t="shared" si="63"/>
        <v>0</v>
      </c>
      <c r="V108" s="65"/>
      <c r="W108" s="202"/>
      <c r="X108" s="65"/>
      <c r="Y108" s="69"/>
      <c r="Z108" s="65"/>
      <c r="AA108" s="518"/>
      <c r="AB108" s="65"/>
      <c r="AC108" s="81">
        <f t="shared" si="43"/>
        <v>0</v>
      </c>
      <c r="AD108" s="65"/>
      <c r="AE108" s="112"/>
      <c r="AF108" s="203">
        <v>0.3</v>
      </c>
      <c r="AG108" s="109">
        <f t="shared" si="44"/>
        <v>6360</v>
      </c>
      <c r="AH108" s="84">
        <f t="shared" si="64"/>
        <v>0</v>
      </c>
      <c r="AI108" s="65"/>
      <c r="AJ108" s="112"/>
      <c r="AK108" s="122"/>
      <c r="AL108" s="109">
        <v>1212</v>
      </c>
      <c r="AM108" s="84">
        <f t="shared" si="65"/>
        <v>0</v>
      </c>
      <c r="AN108" s="65"/>
      <c r="AO108" s="112"/>
      <c r="AP108" s="204"/>
      <c r="AQ108" s="109">
        <f>IFERROR((O108+AH108+AM108)/Dashboard!$D$15,0)*0.2</f>
        <v>6.5702479338842963</v>
      </c>
      <c r="AR108" s="84">
        <f t="shared" si="66"/>
        <v>0</v>
      </c>
      <c r="AS108" s="65"/>
      <c r="AT108" s="112"/>
      <c r="AU108" s="203">
        <v>0.33</v>
      </c>
      <c r="AV108" s="109">
        <f t="shared" si="48"/>
        <v>6360</v>
      </c>
      <c r="AW108" s="84">
        <f t="shared" si="67"/>
        <v>0</v>
      </c>
      <c r="AX108" s="65"/>
      <c r="AY108" s="112"/>
      <c r="AZ108" s="203">
        <v>0.25</v>
      </c>
      <c r="BA108" s="109">
        <f t="shared" si="50"/>
        <v>6360</v>
      </c>
      <c r="BB108" s="84">
        <f t="shared" si="51"/>
        <v>0</v>
      </c>
      <c r="BC108" s="65"/>
      <c r="BD108" s="112"/>
      <c r="BE108" s="203">
        <v>0.26</v>
      </c>
      <c r="BF108" s="109">
        <f t="shared" si="52"/>
        <v>6360</v>
      </c>
      <c r="BG108" s="84">
        <f t="shared" si="68"/>
        <v>0</v>
      </c>
      <c r="BH108" s="197"/>
      <c r="BI108" s="518"/>
      <c r="BJ108" s="65"/>
      <c r="BK108" s="81">
        <f t="shared" si="69"/>
        <v>0</v>
      </c>
      <c r="BL108" s="65"/>
      <c r="BM108" s="204"/>
      <c r="BN108" s="156">
        <f>IF(B108&lt;&gt;"",_xlfn.XLOOKUP(B108,'Cronog. e Histog.'!B:B,'Cronog. e Histog.'!EK:EK),0)</f>
        <v>0</v>
      </c>
      <c r="BO108" s="109">
        <f>($O108/Dashboard!$D$15)*(1+Dashboard!$D$19)</f>
        <v>49.276859504132219</v>
      </c>
      <c r="BP108" s="84">
        <f t="shared" si="57"/>
        <v>0</v>
      </c>
      <c r="BQ108" s="65"/>
      <c r="BR108" s="204"/>
      <c r="BS108" s="156">
        <f>IF(B108&lt;&gt;"",_xlfn.XLOOKUP(B108,'Cronog. e Histog.'!B:B,'Cronog. e Histog.'!EL:EL),0)</f>
        <v>0</v>
      </c>
      <c r="BT108" s="109">
        <f>($O108/Dashboard!$D$15)*(1+Dashboard!$D$20)</f>
        <v>57.489669421487591</v>
      </c>
      <c r="BU108" s="84">
        <f t="shared" si="58"/>
        <v>0</v>
      </c>
      <c r="BV108" s="65"/>
      <c r="BW108" s="204"/>
      <c r="BX108" s="156">
        <f>IF(B108&lt;&gt;"",_xlfn.XLOOKUP(B108,'Cronog. e Histog.'!B:B,'Cronog. e Histog.'!EM:EM),0)</f>
        <v>0</v>
      </c>
      <c r="BY108" s="109">
        <f>($O108/Dashboard!$D$15)*(1+Dashboard!$D$21)</f>
        <v>65.702479338842963</v>
      </c>
      <c r="BZ108" s="84">
        <f t="shared" si="59"/>
        <v>0</v>
      </c>
    </row>
    <row r="109" spans="2:78" ht="12" customHeight="1" outlineLevel="1">
      <c r="B109" s="137" t="str">
        <f>'Cronog. e Histog.'!B226</f>
        <v>TEC II - Equipe_01</v>
      </c>
      <c r="C109" s="65"/>
      <c r="D109" s="200">
        <f t="shared" si="35"/>
        <v>0</v>
      </c>
      <c r="E109" s="200">
        <f t="shared" si="36"/>
        <v>0</v>
      </c>
      <c r="F109" s="65"/>
      <c r="G109" s="200">
        <f t="shared" si="37"/>
        <v>0</v>
      </c>
      <c r="H109" s="200">
        <f t="shared" si="38"/>
        <v>0</v>
      </c>
      <c r="I109" s="65"/>
      <c r="J109" s="143" t="str">
        <f>IF('Cronog. e Histog.'!G226&gt;0,'Cronog. e Histog.'!G226,"")</f>
        <v>TEC II</v>
      </c>
      <c r="K109" s="65"/>
      <c r="L109" s="144">
        <f>'Cronog. e Histog.'!BT226</f>
        <v>0</v>
      </c>
      <c r="M109" s="144">
        <f>'Cronog. e Histog.'!BU226</f>
        <v>0</v>
      </c>
      <c r="N109" s="65"/>
      <c r="O109" s="109">
        <f>_xlfn.XLOOKUP(B109,Salários!B:B,Salários!K:K)</f>
        <v>4770</v>
      </c>
      <c r="P109" s="109">
        <f t="shared" si="60"/>
        <v>0</v>
      </c>
      <c r="Q109" s="109">
        <f t="shared" si="61"/>
        <v>0</v>
      </c>
      <c r="R109" s="65"/>
      <c r="S109" s="109">
        <f t="shared" si="62"/>
        <v>4770</v>
      </c>
      <c r="T109" s="201" t="str">
        <f>IF(_xlfn.XLOOKUP(B109,Salários!B:B,Salários!I:I)&gt;0,_xlfn.XLOOKUP(B109,Salários!B:B,Salários!I:I),"")</f>
        <v>Mensalista</v>
      </c>
      <c r="U109" s="117">
        <f t="shared" si="63"/>
        <v>0</v>
      </c>
      <c r="V109" s="65"/>
      <c r="W109" s="202"/>
      <c r="X109" s="65"/>
      <c r="Y109" s="69"/>
      <c r="Z109" s="65"/>
      <c r="AA109" s="518"/>
      <c r="AB109" s="65"/>
      <c r="AC109" s="81">
        <f t="shared" si="43"/>
        <v>0</v>
      </c>
      <c r="AD109" s="65"/>
      <c r="AE109" s="112"/>
      <c r="AF109" s="203">
        <v>0.3</v>
      </c>
      <c r="AG109" s="109">
        <f t="shared" si="44"/>
        <v>4770</v>
      </c>
      <c r="AH109" s="84">
        <f t="shared" si="64"/>
        <v>0</v>
      </c>
      <c r="AI109" s="65"/>
      <c r="AJ109" s="112"/>
      <c r="AK109" s="122"/>
      <c r="AL109" s="109">
        <v>1212</v>
      </c>
      <c r="AM109" s="84">
        <f t="shared" si="65"/>
        <v>0</v>
      </c>
      <c r="AN109" s="65"/>
      <c r="AO109" s="112"/>
      <c r="AP109" s="204"/>
      <c r="AQ109" s="109">
        <f>IFERROR((O109+AH109+AM109)/Dashboard!$D$15,0)*0.2</f>
        <v>4.9276859504132231</v>
      </c>
      <c r="AR109" s="84">
        <f t="shared" si="66"/>
        <v>0</v>
      </c>
      <c r="AS109" s="65"/>
      <c r="AT109" s="112"/>
      <c r="AU109" s="203">
        <v>0.33</v>
      </c>
      <c r="AV109" s="109">
        <f t="shared" si="48"/>
        <v>4770</v>
      </c>
      <c r="AW109" s="84">
        <f t="shared" si="67"/>
        <v>0</v>
      </c>
      <c r="AX109" s="65"/>
      <c r="AY109" s="112"/>
      <c r="AZ109" s="203">
        <v>0.25</v>
      </c>
      <c r="BA109" s="109">
        <f t="shared" si="50"/>
        <v>4770</v>
      </c>
      <c r="BB109" s="84">
        <f t="shared" si="51"/>
        <v>0</v>
      </c>
      <c r="BC109" s="65"/>
      <c r="BD109" s="112"/>
      <c r="BE109" s="203">
        <v>0.26</v>
      </c>
      <c r="BF109" s="109">
        <f t="shared" si="52"/>
        <v>4770</v>
      </c>
      <c r="BG109" s="84">
        <f t="shared" si="68"/>
        <v>0</v>
      </c>
      <c r="BH109" s="197"/>
      <c r="BI109" s="518"/>
      <c r="BJ109" s="65"/>
      <c r="BK109" s="81">
        <f t="shared" si="69"/>
        <v>0</v>
      </c>
      <c r="BL109" s="65"/>
      <c r="BM109" s="204"/>
      <c r="BN109" s="156">
        <f>IF(B109&lt;&gt;"",_xlfn.XLOOKUP(B109,'Cronog. e Histog.'!B:B,'Cronog. e Histog.'!EK:EK),0)</f>
        <v>0</v>
      </c>
      <c r="BO109" s="109">
        <f>($O109/Dashboard!$D$15)*(1+Dashboard!$D$19)</f>
        <v>36.957644628099168</v>
      </c>
      <c r="BP109" s="84">
        <f t="shared" si="57"/>
        <v>0</v>
      </c>
      <c r="BQ109" s="65"/>
      <c r="BR109" s="204"/>
      <c r="BS109" s="156">
        <f>IF(B109&lt;&gt;"",_xlfn.XLOOKUP(B109,'Cronog. e Histog.'!B:B,'Cronog. e Histog.'!EL:EL),0)</f>
        <v>0</v>
      </c>
      <c r="BT109" s="109">
        <f>($O109/Dashboard!$D$15)*(1+Dashboard!$D$20)</f>
        <v>43.117252066115697</v>
      </c>
      <c r="BU109" s="84">
        <f t="shared" si="58"/>
        <v>0</v>
      </c>
      <c r="BV109" s="65"/>
      <c r="BW109" s="204"/>
      <c r="BX109" s="156">
        <f>IF(B109&lt;&gt;"",_xlfn.XLOOKUP(B109,'Cronog. e Histog.'!B:B,'Cronog. e Histog.'!EM:EM),0)</f>
        <v>0</v>
      </c>
      <c r="BY109" s="109">
        <f>($O109/Dashboard!$D$15)*(1+Dashboard!$D$21)</f>
        <v>49.276859504132226</v>
      </c>
      <c r="BZ109" s="84">
        <f t="shared" si="59"/>
        <v>0</v>
      </c>
    </row>
    <row r="110" spans="2:78" ht="12" customHeight="1" outlineLevel="1">
      <c r="B110" s="137" t="str">
        <f>'Cronog. e Histog.'!B227</f>
        <v>TEC I - Equipe_01</v>
      </c>
      <c r="C110" s="65"/>
      <c r="D110" s="200">
        <f t="shared" si="35"/>
        <v>0</v>
      </c>
      <c r="E110" s="200">
        <f t="shared" si="36"/>
        <v>0</v>
      </c>
      <c r="F110" s="65"/>
      <c r="G110" s="200">
        <f t="shared" si="37"/>
        <v>0</v>
      </c>
      <c r="H110" s="200">
        <f t="shared" si="38"/>
        <v>0</v>
      </c>
      <c r="I110" s="65"/>
      <c r="J110" s="143" t="str">
        <f>IF('Cronog. e Histog.'!G227&gt;0,'Cronog. e Histog.'!G227,"")</f>
        <v>TEC I</v>
      </c>
      <c r="K110" s="65"/>
      <c r="L110" s="144">
        <f>'Cronog. e Histog.'!BT227</f>
        <v>0</v>
      </c>
      <c r="M110" s="144">
        <f>'Cronog. e Histog.'!BU227</f>
        <v>0</v>
      </c>
      <c r="N110" s="65"/>
      <c r="O110" s="109">
        <f>_xlfn.XLOOKUP(B110,Salários!B:B,Salários!K:K)</f>
        <v>3180</v>
      </c>
      <c r="P110" s="109">
        <f t="shared" si="60"/>
        <v>0</v>
      </c>
      <c r="Q110" s="109">
        <f t="shared" si="61"/>
        <v>0</v>
      </c>
      <c r="R110" s="65"/>
      <c r="S110" s="109">
        <f t="shared" si="62"/>
        <v>3180</v>
      </c>
      <c r="T110" s="201" t="str">
        <f>IF(_xlfn.XLOOKUP(B110,Salários!B:B,Salários!I:I)&gt;0,_xlfn.XLOOKUP(B110,Salários!B:B,Salários!I:I),"")</f>
        <v>Mensalista</v>
      </c>
      <c r="U110" s="117">
        <f t="shared" si="63"/>
        <v>0</v>
      </c>
      <c r="V110" s="65"/>
      <c r="W110" s="202"/>
      <c r="X110" s="65"/>
      <c r="Y110" s="69"/>
      <c r="Z110" s="65"/>
      <c r="AA110" s="518"/>
      <c r="AB110" s="65"/>
      <c r="AC110" s="81">
        <f t="shared" si="43"/>
        <v>0</v>
      </c>
      <c r="AD110" s="65"/>
      <c r="AE110" s="112"/>
      <c r="AF110" s="203">
        <v>0.3</v>
      </c>
      <c r="AG110" s="109">
        <f t="shared" si="44"/>
        <v>3180</v>
      </c>
      <c r="AH110" s="84">
        <f t="shared" si="64"/>
        <v>0</v>
      </c>
      <c r="AI110" s="65"/>
      <c r="AJ110" s="112"/>
      <c r="AK110" s="122"/>
      <c r="AL110" s="109">
        <v>1212</v>
      </c>
      <c r="AM110" s="84">
        <f t="shared" si="65"/>
        <v>0</v>
      </c>
      <c r="AN110" s="65"/>
      <c r="AO110" s="112"/>
      <c r="AP110" s="204"/>
      <c r="AQ110" s="109">
        <f>IFERROR((O110+AH110+AM110)/Dashboard!$D$15,0)*0.2</f>
        <v>3.2851239669421481</v>
      </c>
      <c r="AR110" s="84">
        <f t="shared" si="66"/>
        <v>0</v>
      </c>
      <c r="AS110" s="65"/>
      <c r="AT110" s="112"/>
      <c r="AU110" s="203">
        <v>0.33</v>
      </c>
      <c r="AV110" s="109">
        <f t="shared" si="48"/>
        <v>3180</v>
      </c>
      <c r="AW110" s="84">
        <f t="shared" si="67"/>
        <v>0</v>
      </c>
      <c r="AX110" s="65"/>
      <c r="AY110" s="112"/>
      <c r="AZ110" s="203">
        <v>0.25</v>
      </c>
      <c r="BA110" s="109">
        <f t="shared" si="50"/>
        <v>3180</v>
      </c>
      <c r="BB110" s="84">
        <f t="shared" si="51"/>
        <v>0</v>
      </c>
      <c r="BC110" s="65"/>
      <c r="BD110" s="112"/>
      <c r="BE110" s="203">
        <v>0.26</v>
      </c>
      <c r="BF110" s="109">
        <f t="shared" si="52"/>
        <v>3180</v>
      </c>
      <c r="BG110" s="84">
        <f t="shared" si="68"/>
        <v>0</v>
      </c>
      <c r="BH110" s="197"/>
      <c r="BI110" s="518"/>
      <c r="BJ110" s="65"/>
      <c r="BK110" s="81">
        <f t="shared" si="69"/>
        <v>0</v>
      </c>
      <c r="BL110" s="65"/>
      <c r="BM110" s="204"/>
      <c r="BN110" s="156">
        <f>IF(B110&lt;&gt;"",_xlfn.XLOOKUP(B110,'Cronog. e Histog.'!B:B,'Cronog. e Histog.'!EK:EK),0)</f>
        <v>0</v>
      </c>
      <c r="BO110" s="109">
        <f>($O110/Dashboard!$D$15)*(1+Dashboard!$D$19)</f>
        <v>24.638429752066109</v>
      </c>
      <c r="BP110" s="84">
        <f t="shared" si="57"/>
        <v>0</v>
      </c>
      <c r="BQ110" s="65"/>
      <c r="BR110" s="204"/>
      <c r="BS110" s="156">
        <f>IF(B110&lt;&gt;"",_xlfn.XLOOKUP(B110,'Cronog. e Histog.'!B:B,'Cronog. e Histog.'!EL:EL),0)</f>
        <v>0</v>
      </c>
      <c r="BT110" s="109">
        <f>($O110/Dashboard!$D$15)*(1+Dashboard!$D$20)</f>
        <v>28.744834710743795</v>
      </c>
      <c r="BU110" s="84">
        <f t="shared" si="58"/>
        <v>0</v>
      </c>
      <c r="BV110" s="65"/>
      <c r="BW110" s="204"/>
      <c r="BX110" s="156">
        <f>IF(B110&lt;&gt;"",_xlfn.XLOOKUP(B110,'Cronog. e Histog.'!B:B,'Cronog. e Histog.'!EM:EM),0)</f>
        <v>0</v>
      </c>
      <c r="BY110" s="109">
        <f>($O110/Dashboard!$D$15)*(1+Dashboard!$D$21)</f>
        <v>32.851239669421481</v>
      </c>
      <c r="BZ110" s="84">
        <f t="shared" si="59"/>
        <v>0</v>
      </c>
    </row>
    <row r="111" spans="2:78" ht="12" customHeight="1" outlineLevel="1">
      <c r="B111" s="137" t="str">
        <f>'Cronog. e Histog.'!B228</f>
        <v>AUX TEC - Equipe_01</v>
      </c>
      <c r="C111" s="65"/>
      <c r="D111" s="200">
        <f t="shared" si="35"/>
        <v>0</v>
      </c>
      <c r="E111" s="200">
        <f t="shared" si="36"/>
        <v>0</v>
      </c>
      <c r="F111" s="65"/>
      <c r="G111" s="200">
        <f t="shared" si="37"/>
        <v>0</v>
      </c>
      <c r="H111" s="200">
        <f t="shared" si="38"/>
        <v>0</v>
      </c>
      <c r="I111" s="65"/>
      <c r="J111" s="143" t="str">
        <f>IF('Cronog. e Histog.'!G228&gt;0,'Cronog. e Histog.'!G228,"")</f>
        <v>AUX TEC</v>
      </c>
      <c r="K111" s="65"/>
      <c r="L111" s="144">
        <f>'Cronog. e Histog.'!BT228</f>
        <v>0</v>
      </c>
      <c r="M111" s="144">
        <f>'Cronog. e Histog.'!BU228</f>
        <v>0</v>
      </c>
      <c r="N111" s="65"/>
      <c r="O111" s="109">
        <f>_xlfn.XLOOKUP(B111,Salários!B:B,Salários!K:K)</f>
        <v>3710</v>
      </c>
      <c r="P111" s="109">
        <f t="shared" si="60"/>
        <v>0</v>
      </c>
      <c r="Q111" s="109">
        <f t="shared" si="61"/>
        <v>0</v>
      </c>
      <c r="R111" s="65"/>
      <c r="S111" s="109">
        <f t="shared" si="62"/>
        <v>3710</v>
      </c>
      <c r="T111" s="201" t="str">
        <f>IF(_xlfn.XLOOKUP(B111,Salários!B:B,Salários!I:I)&gt;0,_xlfn.XLOOKUP(B111,Salários!B:B,Salários!I:I),"")</f>
        <v>Mensalista</v>
      </c>
      <c r="U111" s="117">
        <f t="shared" si="63"/>
        <v>0</v>
      </c>
      <c r="V111" s="65"/>
      <c r="W111" s="202"/>
      <c r="X111" s="65"/>
      <c r="Y111" s="69"/>
      <c r="Z111" s="65"/>
      <c r="AA111" s="518"/>
      <c r="AB111" s="65"/>
      <c r="AC111" s="81">
        <f t="shared" si="43"/>
        <v>0</v>
      </c>
      <c r="AD111" s="65"/>
      <c r="AE111" s="112"/>
      <c r="AF111" s="203">
        <v>0.3</v>
      </c>
      <c r="AG111" s="109">
        <f t="shared" si="44"/>
        <v>3710</v>
      </c>
      <c r="AH111" s="84">
        <f t="shared" si="64"/>
        <v>0</v>
      </c>
      <c r="AI111" s="65"/>
      <c r="AJ111" s="112"/>
      <c r="AK111" s="122"/>
      <c r="AL111" s="109">
        <v>1212</v>
      </c>
      <c r="AM111" s="84">
        <f t="shared" si="65"/>
        <v>0</v>
      </c>
      <c r="AN111" s="65"/>
      <c r="AO111" s="112"/>
      <c r="AP111" s="204"/>
      <c r="AQ111" s="109">
        <f>IFERROR((O111+AH111+AM111)/Dashboard!$D$15,0)*0.2</f>
        <v>3.8326446280991733</v>
      </c>
      <c r="AR111" s="84">
        <f t="shared" si="66"/>
        <v>0</v>
      </c>
      <c r="AS111" s="65"/>
      <c r="AT111" s="112"/>
      <c r="AU111" s="203">
        <v>0.33</v>
      </c>
      <c r="AV111" s="109">
        <f t="shared" si="48"/>
        <v>3710</v>
      </c>
      <c r="AW111" s="84">
        <f t="shared" si="67"/>
        <v>0</v>
      </c>
      <c r="AX111" s="65"/>
      <c r="AY111" s="112"/>
      <c r="AZ111" s="203">
        <v>0.25</v>
      </c>
      <c r="BA111" s="109">
        <f t="shared" si="50"/>
        <v>3710</v>
      </c>
      <c r="BB111" s="84">
        <f t="shared" si="51"/>
        <v>0</v>
      </c>
      <c r="BC111" s="65"/>
      <c r="BD111" s="112"/>
      <c r="BE111" s="203">
        <v>0.26</v>
      </c>
      <c r="BF111" s="109">
        <f t="shared" si="52"/>
        <v>3710</v>
      </c>
      <c r="BG111" s="84">
        <f t="shared" si="68"/>
        <v>0</v>
      </c>
      <c r="BH111" s="197"/>
      <c r="BI111" s="518"/>
      <c r="BJ111" s="65"/>
      <c r="BK111" s="81">
        <f t="shared" si="69"/>
        <v>0</v>
      </c>
      <c r="BL111" s="65"/>
      <c r="BM111" s="204"/>
      <c r="BN111" s="156">
        <f>IF(B111&lt;&gt;"",_xlfn.XLOOKUP(B111,'Cronog. e Histog.'!B:B,'Cronog. e Histog.'!EK:EK),0)</f>
        <v>0</v>
      </c>
      <c r="BO111" s="109">
        <f>($O111/Dashboard!$D$15)*(1+Dashboard!$D$19)</f>
        <v>28.744834710743799</v>
      </c>
      <c r="BP111" s="84">
        <f t="shared" si="57"/>
        <v>0</v>
      </c>
      <c r="BQ111" s="65"/>
      <c r="BR111" s="204"/>
      <c r="BS111" s="156">
        <f>IF(B111&lt;&gt;"",_xlfn.XLOOKUP(B111,'Cronog. e Histog.'!B:B,'Cronog. e Histog.'!EL:EL),0)</f>
        <v>0</v>
      </c>
      <c r="BT111" s="109">
        <f>($O111/Dashboard!$D$15)*(1+Dashboard!$D$20)</f>
        <v>33.535640495867767</v>
      </c>
      <c r="BU111" s="84">
        <f t="shared" si="58"/>
        <v>0</v>
      </c>
      <c r="BV111" s="65"/>
      <c r="BW111" s="204"/>
      <c r="BX111" s="156">
        <f>IF(B111&lt;&gt;"",_xlfn.XLOOKUP(B111,'Cronog. e Histog.'!B:B,'Cronog. e Histog.'!EM:EM),0)</f>
        <v>0</v>
      </c>
      <c r="BY111" s="109">
        <f>($O111/Dashboard!$D$15)*(1+Dashboard!$D$21)</f>
        <v>38.326446280991732</v>
      </c>
      <c r="BZ111" s="84">
        <f t="shared" si="59"/>
        <v>0</v>
      </c>
    </row>
    <row r="112" spans="2:78" ht="12" customHeight="1" outlineLevel="1">
      <c r="B112" s="137" t="str">
        <f>'Cronog. e Histog.'!B229</f>
        <v>AUX ADM - Equipe_01</v>
      </c>
      <c r="C112" s="65"/>
      <c r="D112" s="200">
        <f t="shared" si="35"/>
        <v>0</v>
      </c>
      <c r="E112" s="200">
        <f t="shared" si="36"/>
        <v>0</v>
      </c>
      <c r="F112" s="65"/>
      <c r="G112" s="200">
        <f t="shared" si="37"/>
        <v>0</v>
      </c>
      <c r="H112" s="200">
        <f t="shared" si="38"/>
        <v>0</v>
      </c>
      <c r="I112" s="65"/>
      <c r="J112" s="143" t="str">
        <f>IF('Cronog. e Histog.'!G229&gt;0,'Cronog. e Histog.'!G229,"")</f>
        <v>AUX ADM</v>
      </c>
      <c r="K112" s="65"/>
      <c r="L112" s="144">
        <f>'Cronog. e Histog.'!BT229</f>
        <v>0</v>
      </c>
      <c r="M112" s="144">
        <f>'Cronog. e Histog.'!BU229</f>
        <v>0</v>
      </c>
      <c r="N112" s="65"/>
      <c r="O112" s="109">
        <f>_xlfn.XLOOKUP(B112,Salários!B:B,Salários!K:K)</f>
        <v>1912.24</v>
      </c>
      <c r="P112" s="109">
        <f t="shared" si="60"/>
        <v>0</v>
      </c>
      <c r="Q112" s="109">
        <f t="shared" si="61"/>
        <v>0</v>
      </c>
      <c r="R112" s="65"/>
      <c r="S112" s="109">
        <f t="shared" si="62"/>
        <v>1912.24</v>
      </c>
      <c r="T112" s="201" t="str">
        <f>IF(_xlfn.XLOOKUP(B112,Salários!B:B,Salários!I:I)&gt;0,_xlfn.XLOOKUP(B112,Salários!B:B,Salários!I:I),"")</f>
        <v>Mensalista</v>
      </c>
      <c r="U112" s="117">
        <f t="shared" si="63"/>
        <v>0</v>
      </c>
      <c r="V112" s="65"/>
      <c r="W112" s="202"/>
      <c r="X112" s="65"/>
      <c r="Y112" s="69"/>
      <c r="Z112" s="65"/>
      <c r="AA112" s="518"/>
      <c r="AB112" s="65"/>
      <c r="AC112" s="81">
        <f t="shared" si="43"/>
        <v>0</v>
      </c>
      <c r="AD112" s="65"/>
      <c r="AE112" s="112"/>
      <c r="AF112" s="203">
        <v>0.3</v>
      </c>
      <c r="AG112" s="109">
        <f t="shared" si="44"/>
        <v>1912.24</v>
      </c>
      <c r="AH112" s="84">
        <f t="shared" si="64"/>
        <v>0</v>
      </c>
      <c r="AI112" s="65"/>
      <c r="AJ112" s="112"/>
      <c r="AK112" s="122"/>
      <c r="AL112" s="109">
        <v>1212</v>
      </c>
      <c r="AM112" s="84">
        <f t="shared" si="65"/>
        <v>0</v>
      </c>
      <c r="AN112" s="65"/>
      <c r="AO112" s="112"/>
      <c r="AP112" s="204"/>
      <c r="AQ112" s="109">
        <f>IFERROR((O112+AH112+AM112)/Dashboard!$D$15,0)*0.2</f>
        <v>1.9754545454545456</v>
      </c>
      <c r="AR112" s="84">
        <f t="shared" si="66"/>
        <v>0</v>
      </c>
      <c r="AS112" s="65"/>
      <c r="AT112" s="112"/>
      <c r="AU112" s="203">
        <v>0.33</v>
      </c>
      <c r="AV112" s="109">
        <f t="shared" si="48"/>
        <v>1912.24</v>
      </c>
      <c r="AW112" s="84">
        <f t="shared" si="67"/>
        <v>0</v>
      </c>
      <c r="AX112" s="65"/>
      <c r="AY112" s="112"/>
      <c r="AZ112" s="203">
        <v>0.25</v>
      </c>
      <c r="BA112" s="109">
        <f t="shared" si="50"/>
        <v>1912.24</v>
      </c>
      <c r="BB112" s="84">
        <f t="shared" si="51"/>
        <v>0</v>
      </c>
      <c r="BC112" s="65"/>
      <c r="BD112" s="112"/>
      <c r="BE112" s="203">
        <v>0.26</v>
      </c>
      <c r="BF112" s="109">
        <f t="shared" si="52"/>
        <v>1912.24</v>
      </c>
      <c r="BG112" s="84">
        <f t="shared" si="68"/>
        <v>0</v>
      </c>
      <c r="BH112" s="197"/>
      <c r="BI112" s="518"/>
      <c r="BJ112" s="65"/>
      <c r="BK112" s="81">
        <f t="shared" si="69"/>
        <v>0</v>
      </c>
      <c r="BL112" s="65"/>
      <c r="BM112" s="204"/>
      <c r="BN112" s="156">
        <f>IF(B112&lt;&gt;"",_xlfn.XLOOKUP(B112,'Cronog. e Histog.'!B:B,'Cronog. e Histog.'!EK:EK),0)</f>
        <v>0</v>
      </c>
      <c r="BO112" s="109">
        <f>($O112/Dashboard!$D$15)*(1+Dashboard!$D$19)</f>
        <v>14.815909090909091</v>
      </c>
      <c r="BP112" s="84">
        <f t="shared" si="57"/>
        <v>0</v>
      </c>
      <c r="BQ112" s="65"/>
      <c r="BR112" s="204"/>
      <c r="BS112" s="156">
        <f>IF(B112&lt;&gt;"",_xlfn.XLOOKUP(B112,'Cronog. e Histog.'!B:B,'Cronog. e Histog.'!EL:EL),0)</f>
        <v>0</v>
      </c>
      <c r="BT112" s="109">
        <f>($O112/Dashboard!$D$15)*(1+Dashboard!$D$20)</f>
        <v>17.285227272727273</v>
      </c>
      <c r="BU112" s="84">
        <f t="shared" si="58"/>
        <v>0</v>
      </c>
      <c r="BV112" s="65"/>
      <c r="BW112" s="204"/>
      <c r="BX112" s="156">
        <f>IF(B112&lt;&gt;"",_xlfn.XLOOKUP(B112,'Cronog. e Histog.'!B:B,'Cronog. e Histog.'!EM:EM),0)</f>
        <v>0</v>
      </c>
      <c r="BY112" s="109">
        <f>($O112/Dashboard!$D$15)*(1+Dashboard!$D$21)</f>
        <v>19.754545454545454</v>
      </c>
      <c r="BZ112" s="84">
        <f t="shared" si="59"/>
        <v>0</v>
      </c>
    </row>
    <row r="113" spans="2:78" ht="12" customHeight="1" outlineLevel="1">
      <c r="B113" s="137" t="str">
        <f>'Cronog. e Histog.'!B230</f>
        <v>EST - Equipe_01</v>
      </c>
      <c r="C113" s="65"/>
      <c r="D113" s="200">
        <f t="shared" si="35"/>
        <v>0</v>
      </c>
      <c r="E113" s="200">
        <f t="shared" si="36"/>
        <v>0</v>
      </c>
      <c r="F113" s="65"/>
      <c r="G113" s="200">
        <f t="shared" si="37"/>
        <v>0</v>
      </c>
      <c r="H113" s="200">
        <f t="shared" si="38"/>
        <v>0</v>
      </c>
      <c r="I113" s="65"/>
      <c r="J113" s="143" t="str">
        <f>IF('Cronog. e Histog.'!G230&gt;0,'Cronog. e Histog.'!G230,"")</f>
        <v>EST</v>
      </c>
      <c r="K113" s="65"/>
      <c r="L113" s="144">
        <f>'Cronog. e Histog.'!BT230</f>
        <v>0</v>
      </c>
      <c r="M113" s="144">
        <f>'Cronog. e Histog.'!BU230</f>
        <v>0</v>
      </c>
      <c r="N113" s="65"/>
      <c r="O113" s="109">
        <f>_xlfn.XLOOKUP(B113,Salários!B:B,Salários!K:K)</f>
        <v>1633</v>
      </c>
      <c r="P113" s="109">
        <f t="shared" si="39"/>
        <v>0</v>
      </c>
      <c r="Q113" s="109">
        <f t="shared" si="40"/>
        <v>0</v>
      </c>
      <c r="R113" s="65"/>
      <c r="S113" s="109">
        <f t="shared" si="41"/>
        <v>1633</v>
      </c>
      <c r="T113" s="201" t="str">
        <f>IF(_xlfn.XLOOKUP(B113,Salários!B:B,Salários!I:I)&gt;0,_xlfn.XLOOKUP(B113,Salários!B:B,Salários!I:I),"")</f>
        <v>PJ</v>
      </c>
      <c r="U113" s="117">
        <f t="shared" si="42"/>
        <v>0</v>
      </c>
      <c r="V113" s="65"/>
      <c r="W113" s="202"/>
      <c r="X113" s="65"/>
      <c r="Y113" s="69"/>
      <c r="Z113" s="65"/>
      <c r="AA113" s="518"/>
      <c r="AB113" s="65"/>
      <c r="AC113" s="81">
        <f t="shared" si="43"/>
        <v>0</v>
      </c>
      <c r="AD113" s="65"/>
      <c r="AE113" s="112"/>
      <c r="AF113" s="203">
        <v>0.3</v>
      </c>
      <c r="AG113" s="109">
        <f t="shared" si="44"/>
        <v>1633</v>
      </c>
      <c r="AH113" s="84">
        <f t="shared" si="45"/>
        <v>0</v>
      </c>
      <c r="AI113" s="65"/>
      <c r="AJ113" s="112"/>
      <c r="AK113" s="122"/>
      <c r="AL113" s="109">
        <v>1212</v>
      </c>
      <c r="AM113" s="84">
        <f t="shared" si="46"/>
        <v>0</v>
      </c>
      <c r="AN113" s="65"/>
      <c r="AO113" s="112"/>
      <c r="AP113" s="204"/>
      <c r="AQ113" s="109">
        <f>IFERROR((O113+AH113+AM113)/Dashboard!$D$15,0)*0.2</f>
        <v>1.6869834710743801</v>
      </c>
      <c r="AR113" s="84">
        <f t="shared" si="47"/>
        <v>0</v>
      </c>
      <c r="AS113" s="65"/>
      <c r="AT113" s="112"/>
      <c r="AU113" s="203">
        <v>0.33</v>
      </c>
      <c r="AV113" s="109">
        <f t="shared" si="48"/>
        <v>1633</v>
      </c>
      <c r="AW113" s="84">
        <f t="shared" si="67"/>
        <v>0</v>
      </c>
      <c r="AX113" s="65"/>
      <c r="AY113" s="112"/>
      <c r="AZ113" s="203">
        <v>0.25</v>
      </c>
      <c r="BA113" s="109">
        <f t="shared" si="50"/>
        <v>1633</v>
      </c>
      <c r="BB113" s="84">
        <f t="shared" si="51"/>
        <v>0</v>
      </c>
      <c r="BC113" s="65"/>
      <c r="BD113" s="112"/>
      <c r="BE113" s="203">
        <v>0.26</v>
      </c>
      <c r="BF113" s="109">
        <f t="shared" si="52"/>
        <v>1633</v>
      </c>
      <c r="BG113" s="84">
        <f t="shared" si="68"/>
        <v>0</v>
      </c>
      <c r="BH113" s="197"/>
      <c r="BI113" s="518"/>
      <c r="BJ113" s="65"/>
      <c r="BK113" s="81">
        <f t="shared" si="54"/>
        <v>0</v>
      </c>
      <c r="BL113" s="65"/>
      <c r="BM113" s="204"/>
      <c r="BN113" s="156">
        <f>IF(B113&lt;&gt;"",_xlfn.XLOOKUP(B113,'Cronog. e Histog.'!B:B,'Cronog. e Histog.'!EK:EK),0)</f>
        <v>0</v>
      </c>
      <c r="BO113" s="109">
        <f>($O113/Dashboard!$D$15)*(1+Dashboard!$D$19)</f>
        <v>12.652376033057848</v>
      </c>
      <c r="BP113" s="84">
        <f t="shared" si="57"/>
        <v>0</v>
      </c>
      <c r="BQ113" s="65"/>
      <c r="BR113" s="204"/>
      <c r="BS113" s="156">
        <f>IF(B113&lt;&gt;"",_xlfn.XLOOKUP(B113,'Cronog. e Histog.'!B:B,'Cronog. e Histog.'!EL:EL),0)</f>
        <v>0</v>
      </c>
      <c r="BT113" s="109">
        <f>($O113/Dashboard!$D$15)*(1+Dashboard!$D$20)</f>
        <v>14.761105371900824</v>
      </c>
      <c r="BU113" s="84">
        <f t="shared" si="58"/>
        <v>0</v>
      </c>
      <c r="BV113" s="65"/>
      <c r="BW113" s="204"/>
      <c r="BX113" s="156">
        <f>IF(B113&lt;&gt;"",_xlfn.XLOOKUP(B113,'Cronog. e Histog.'!B:B,'Cronog. e Histog.'!EM:EM),0)</f>
        <v>0</v>
      </c>
      <c r="BY113" s="109">
        <f>($O113/Dashboard!$D$15)*(1+Dashboard!$D$21)</f>
        <v>16.869834710743799</v>
      </c>
      <c r="BZ113" s="84">
        <f t="shared" si="59"/>
        <v>0</v>
      </c>
    </row>
    <row r="114" spans="2:78" ht="12" customHeight="1" outlineLevel="1">
      <c r="B114" s="137" t="str">
        <f>'Cronog. e Histog.'!B231</f>
        <v>EST_II - Equipe_01</v>
      </c>
      <c r="C114" s="65"/>
      <c r="D114" s="200">
        <f t="shared" si="35"/>
        <v>0</v>
      </c>
      <c r="E114" s="200">
        <f t="shared" si="36"/>
        <v>0</v>
      </c>
      <c r="F114" s="65"/>
      <c r="G114" s="200">
        <f t="shared" si="37"/>
        <v>0</v>
      </c>
      <c r="H114" s="200">
        <f t="shared" si="38"/>
        <v>0</v>
      </c>
      <c r="I114" s="65"/>
      <c r="J114" s="143" t="str">
        <f>IF('Cronog. e Histog.'!G231&gt;0,'Cronog. e Histog.'!G231,"")</f>
        <v>EST_II</v>
      </c>
      <c r="K114" s="65"/>
      <c r="L114" s="144">
        <f>'Cronog. e Histog.'!BT231</f>
        <v>0</v>
      </c>
      <c r="M114" s="144">
        <f>'Cronog. e Histog.'!BU231</f>
        <v>0</v>
      </c>
      <c r="N114" s="65"/>
      <c r="O114" s="109">
        <f>_xlfn.XLOOKUP(B114,Salários!B:B,Salários!K:K)</f>
        <v>1633</v>
      </c>
      <c r="P114" s="109">
        <f t="shared" si="39"/>
        <v>0</v>
      </c>
      <c r="Q114" s="109">
        <f t="shared" si="40"/>
        <v>0</v>
      </c>
      <c r="R114" s="65"/>
      <c r="S114" s="109">
        <f t="shared" si="41"/>
        <v>1633</v>
      </c>
      <c r="T114" s="201" t="str">
        <f>IF(_xlfn.XLOOKUP(B114,Salários!B:B,Salários!I:I)&gt;0,_xlfn.XLOOKUP(B114,Salários!B:B,Salários!I:I),"")</f>
        <v>PJ</v>
      </c>
      <c r="U114" s="117">
        <f t="shared" si="42"/>
        <v>0</v>
      </c>
      <c r="V114" s="65"/>
      <c r="W114" s="202"/>
      <c r="X114" s="65"/>
      <c r="Y114" s="69"/>
      <c r="Z114" s="65"/>
      <c r="AA114" s="518"/>
      <c r="AB114" s="65"/>
      <c r="AC114" s="81">
        <f t="shared" si="43"/>
        <v>0</v>
      </c>
      <c r="AD114" s="65"/>
      <c r="AE114" s="112"/>
      <c r="AF114" s="203">
        <v>0.3</v>
      </c>
      <c r="AG114" s="109">
        <f t="shared" si="44"/>
        <v>1633</v>
      </c>
      <c r="AH114" s="84">
        <f t="shared" si="45"/>
        <v>0</v>
      </c>
      <c r="AI114" s="65"/>
      <c r="AJ114" s="112"/>
      <c r="AK114" s="122"/>
      <c r="AL114" s="109">
        <v>1212</v>
      </c>
      <c r="AM114" s="84">
        <f t="shared" si="46"/>
        <v>0</v>
      </c>
      <c r="AN114" s="65"/>
      <c r="AO114" s="112"/>
      <c r="AP114" s="204"/>
      <c r="AQ114" s="109">
        <f>IFERROR((O114+AH114+AM114)/Dashboard!$D$15,0)*0.2</f>
        <v>1.6869834710743801</v>
      </c>
      <c r="AR114" s="84">
        <f t="shared" si="47"/>
        <v>0</v>
      </c>
      <c r="AS114" s="65"/>
      <c r="AT114" s="112"/>
      <c r="AU114" s="203">
        <v>0.33</v>
      </c>
      <c r="AV114" s="109">
        <f t="shared" si="48"/>
        <v>1633</v>
      </c>
      <c r="AW114" s="84">
        <f t="shared" si="67"/>
        <v>0</v>
      </c>
      <c r="AX114" s="65"/>
      <c r="AY114" s="112"/>
      <c r="AZ114" s="203">
        <v>0.25</v>
      </c>
      <c r="BA114" s="109">
        <f t="shared" si="50"/>
        <v>1633</v>
      </c>
      <c r="BB114" s="84">
        <f t="shared" si="51"/>
        <v>0</v>
      </c>
      <c r="BC114" s="65"/>
      <c r="BD114" s="112"/>
      <c r="BE114" s="203">
        <v>0.26</v>
      </c>
      <c r="BF114" s="109">
        <f t="shared" si="52"/>
        <v>1633</v>
      </c>
      <c r="BG114" s="84">
        <f t="shared" si="68"/>
        <v>0</v>
      </c>
      <c r="BH114" s="197"/>
      <c r="BI114" s="518"/>
      <c r="BJ114" s="65"/>
      <c r="BK114" s="81">
        <f t="shared" si="54"/>
        <v>0</v>
      </c>
      <c r="BL114" s="65"/>
      <c r="BM114" s="204"/>
      <c r="BN114" s="156">
        <f>IF(B114&lt;&gt;"",_xlfn.XLOOKUP(B114,'Cronog. e Histog.'!B:B,'Cronog. e Histog.'!EK:EK),0)</f>
        <v>0</v>
      </c>
      <c r="BO114" s="109">
        <f>($O114/Dashboard!$D$15)*(1+Dashboard!$D$19)</f>
        <v>12.652376033057848</v>
      </c>
      <c r="BP114" s="84">
        <f t="shared" si="57"/>
        <v>0</v>
      </c>
      <c r="BQ114" s="65"/>
      <c r="BR114" s="204"/>
      <c r="BS114" s="156">
        <f>IF(B114&lt;&gt;"",_xlfn.XLOOKUP(B114,'Cronog. e Histog.'!B:B,'Cronog. e Histog.'!EL:EL),0)</f>
        <v>0</v>
      </c>
      <c r="BT114" s="109">
        <f>($O114/Dashboard!$D$15)*(1+Dashboard!$D$20)</f>
        <v>14.761105371900824</v>
      </c>
      <c r="BU114" s="84">
        <f t="shared" si="58"/>
        <v>0</v>
      </c>
      <c r="BV114" s="65"/>
      <c r="BW114" s="204"/>
      <c r="BX114" s="156">
        <f>IF(B114&lt;&gt;"",_xlfn.XLOOKUP(B114,'Cronog. e Histog.'!B:B,'Cronog. e Histog.'!EM:EM),0)</f>
        <v>0</v>
      </c>
      <c r="BY114" s="109">
        <f>($O114/Dashboard!$D$15)*(1+Dashboard!$D$21)</f>
        <v>16.869834710743799</v>
      </c>
      <c r="BZ114" s="84">
        <f t="shared" si="59"/>
        <v>0</v>
      </c>
    </row>
    <row r="115" spans="2:78" ht="12" customHeight="1" outlineLevel="1">
      <c r="B115" s="137" t="str">
        <f>'Cronog. e Histog.'!B232</f>
        <v>EST_III - Equipe_01</v>
      </c>
      <c r="C115" s="65"/>
      <c r="D115" s="200">
        <f t="shared" si="35"/>
        <v>0</v>
      </c>
      <c r="E115" s="200">
        <f t="shared" si="36"/>
        <v>0</v>
      </c>
      <c r="F115" s="65"/>
      <c r="G115" s="200">
        <f t="shared" si="37"/>
        <v>0</v>
      </c>
      <c r="H115" s="200">
        <f t="shared" si="38"/>
        <v>0</v>
      </c>
      <c r="I115" s="65"/>
      <c r="J115" s="143" t="str">
        <f>IF('Cronog. e Histog.'!G232&gt;0,'Cronog. e Histog.'!G232,"")</f>
        <v>EST_III</v>
      </c>
      <c r="K115" s="65"/>
      <c r="L115" s="144">
        <f>'Cronog. e Histog.'!BT232</f>
        <v>0</v>
      </c>
      <c r="M115" s="144">
        <f>'Cronog. e Histog.'!BU232</f>
        <v>0</v>
      </c>
      <c r="N115" s="65"/>
      <c r="O115" s="109">
        <f>_xlfn.XLOOKUP(B115,Salários!B:B,Salários!K:K)</f>
        <v>1633</v>
      </c>
      <c r="P115" s="109">
        <f t="shared" si="39"/>
        <v>0</v>
      </c>
      <c r="Q115" s="109">
        <f t="shared" si="40"/>
        <v>0</v>
      </c>
      <c r="R115" s="65"/>
      <c r="S115" s="109">
        <f t="shared" si="41"/>
        <v>1633</v>
      </c>
      <c r="T115" s="201" t="str">
        <f>IF(_xlfn.XLOOKUP(B115,Salários!B:B,Salários!I:I)&gt;0,_xlfn.XLOOKUP(B115,Salários!B:B,Salários!I:I),"")</f>
        <v>PJ</v>
      </c>
      <c r="U115" s="117">
        <f t="shared" si="42"/>
        <v>0</v>
      </c>
      <c r="V115" s="65"/>
      <c r="W115" s="202"/>
      <c r="X115" s="65"/>
      <c r="Y115" s="69"/>
      <c r="Z115" s="65"/>
      <c r="AA115" s="518"/>
      <c r="AB115" s="65"/>
      <c r="AC115" s="81">
        <f t="shared" si="43"/>
        <v>0</v>
      </c>
      <c r="AD115" s="65"/>
      <c r="AE115" s="112"/>
      <c r="AF115" s="203">
        <v>0.3</v>
      </c>
      <c r="AG115" s="109">
        <f t="shared" si="44"/>
        <v>1633</v>
      </c>
      <c r="AH115" s="84">
        <f t="shared" si="45"/>
        <v>0</v>
      </c>
      <c r="AI115" s="65"/>
      <c r="AJ115" s="112"/>
      <c r="AK115" s="122"/>
      <c r="AL115" s="109">
        <v>1212</v>
      </c>
      <c r="AM115" s="84">
        <f t="shared" si="46"/>
        <v>0</v>
      </c>
      <c r="AN115" s="65"/>
      <c r="AO115" s="112"/>
      <c r="AP115" s="204"/>
      <c r="AQ115" s="109">
        <f>IFERROR((O115+AH115+AM115)/Dashboard!$D$15,0)*0.2</f>
        <v>1.6869834710743801</v>
      </c>
      <c r="AR115" s="84">
        <f t="shared" si="47"/>
        <v>0</v>
      </c>
      <c r="AS115" s="65"/>
      <c r="AT115" s="112"/>
      <c r="AU115" s="203">
        <v>0.33</v>
      </c>
      <c r="AV115" s="109">
        <f t="shared" si="48"/>
        <v>1633</v>
      </c>
      <c r="AW115" s="84">
        <f t="shared" si="67"/>
        <v>0</v>
      </c>
      <c r="AX115" s="65"/>
      <c r="AY115" s="112"/>
      <c r="AZ115" s="203">
        <v>0.25</v>
      </c>
      <c r="BA115" s="109">
        <f t="shared" si="50"/>
        <v>1633</v>
      </c>
      <c r="BB115" s="84">
        <f t="shared" si="51"/>
        <v>0</v>
      </c>
      <c r="BC115" s="65"/>
      <c r="BD115" s="112"/>
      <c r="BE115" s="203">
        <v>0.26</v>
      </c>
      <c r="BF115" s="109">
        <f t="shared" si="52"/>
        <v>1633</v>
      </c>
      <c r="BG115" s="84">
        <f t="shared" si="68"/>
        <v>0</v>
      </c>
      <c r="BH115" s="197"/>
      <c r="BI115" s="518"/>
      <c r="BJ115" s="65"/>
      <c r="BK115" s="81">
        <f t="shared" si="54"/>
        <v>0</v>
      </c>
      <c r="BL115" s="65"/>
      <c r="BM115" s="204"/>
      <c r="BN115" s="156">
        <f>IF(B115&lt;&gt;"",_xlfn.XLOOKUP(B115,'Cronog. e Histog.'!B:B,'Cronog. e Histog.'!EK:EK),0)</f>
        <v>0</v>
      </c>
      <c r="BO115" s="109">
        <f>($O115/Dashboard!$D$15)*(1+Dashboard!$D$19)</f>
        <v>12.652376033057848</v>
      </c>
      <c r="BP115" s="84">
        <f t="shared" si="57"/>
        <v>0</v>
      </c>
      <c r="BQ115" s="65"/>
      <c r="BR115" s="204"/>
      <c r="BS115" s="156">
        <f>IF(B115&lt;&gt;"",_xlfn.XLOOKUP(B115,'Cronog. e Histog.'!B:B,'Cronog. e Histog.'!EL:EL),0)</f>
        <v>0</v>
      </c>
      <c r="BT115" s="109">
        <f>($O115/Dashboard!$D$15)*(1+Dashboard!$D$20)</f>
        <v>14.761105371900824</v>
      </c>
      <c r="BU115" s="84">
        <f t="shared" si="58"/>
        <v>0</v>
      </c>
      <c r="BV115" s="65"/>
      <c r="BW115" s="204"/>
      <c r="BX115" s="156">
        <f>IF(B115&lt;&gt;"",_xlfn.XLOOKUP(B115,'Cronog. e Histog.'!B:B,'Cronog. e Histog.'!EM:EM),0)</f>
        <v>0</v>
      </c>
      <c r="BY115" s="109">
        <f>($O115/Dashboard!$D$15)*(1+Dashboard!$D$21)</f>
        <v>16.869834710743799</v>
      </c>
      <c r="BZ115" s="84">
        <f t="shared" si="59"/>
        <v>0</v>
      </c>
    </row>
    <row r="116" spans="2:78" ht="12" customHeight="1" outlineLevel="1"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9"/>
      <c r="Z116" s="65"/>
      <c r="AA116" s="518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197"/>
      <c r="BI116" s="518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</row>
    <row r="117" spans="2:78" ht="12" customHeight="1" outlineLevel="1">
      <c r="B117" s="65"/>
      <c r="C117" s="65"/>
      <c r="D117" s="65"/>
      <c r="E117" s="65"/>
      <c r="F117" s="65"/>
      <c r="G117" s="65"/>
      <c r="H117" s="65"/>
      <c r="I117" s="65"/>
      <c r="J117" s="199" t="str">
        <f>'Cronog. e Histog.'!F235</f>
        <v>Equipe02</v>
      </c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9"/>
      <c r="Z117" s="65"/>
      <c r="AA117" s="518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197"/>
      <c r="BI117" s="518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</row>
    <row r="118" spans="2:78" ht="12" customHeight="1" outlineLevel="1">
      <c r="B118" s="137" t="str">
        <f>'Cronog. e Histog.'!B237</f>
        <v>GER. (OBRA/PROJ) - Equipe_01</v>
      </c>
      <c r="C118" s="65"/>
      <c r="D118" s="200">
        <f t="shared" ref="D118:D137" si="70">IF(T118="mensalista",L118,0)</f>
        <v>0</v>
      </c>
      <c r="E118" s="200">
        <f t="shared" ref="E118:E137" si="71">IF(T118="mensalista",M118,0)</f>
        <v>0</v>
      </c>
      <c r="F118" s="65"/>
      <c r="G118" s="200">
        <f t="shared" ref="G118:G137" si="72">IF(T118="mensalista",L118,0)</f>
        <v>0</v>
      </c>
      <c r="H118" s="200">
        <f t="shared" ref="H118:H137" si="73">IF(T118="mensalista",M118,0)</f>
        <v>0</v>
      </c>
      <c r="I118" s="65"/>
      <c r="J118" s="143" t="str">
        <f>IF('Cronog. e Histog.'!G237&gt;0,'Cronog. e Histog.'!G237,"")</f>
        <v>GER. (OBRA/PROJ)</v>
      </c>
      <c r="K118" s="65"/>
      <c r="L118" s="144">
        <f>'Cronog. e Histog.'!BT237</f>
        <v>9.9999999999999985E-3</v>
      </c>
      <c r="M118" s="144">
        <f>'Cronog. e Histog.'!BU237</f>
        <v>10</v>
      </c>
      <c r="N118" s="65"/>
      <c r="O118" s="109">
        <f>_xlfn.XLOOKUP(B118,Salários!B:B,Salários!K:K)</f>
        <v>21000</v>
      </c>
      <c r="P118" s="109">
        <f t="shared" ref="P118" si="74">AC118</f>
        <v>0</v>
      </c>
      <c r="Q118" s="109">
        <f t="shared" ref="Q118" si="75">BK118</f>
        <v>0</v>
      </c>
      <c r="R118" s="65"/>
      <c r="S118" s="109">
        <f t="shared" ref="S118" si="76">SUM(O118:Q118)</f>
        <v>21000</v>
      </c>
      <c r="T118" s="201" t="str">
        <f>IF(_xlfn.XLOOKUP(B118,Salários!B:B,Salários!I:I)&gt;0,_xlfn.XLOOKUP(B118,Salários!B:B,Salários!I:I),"")</f>
        <v>PJ</v>
      </c>
      <c r="U118" s="117">
        <f t="shared" ref="U118" si="77">L118*M118*S118</f>
        <v>2099.9999999999995</v>
      </c>
      <c r="V118" s="65"/>
      <c r="W118" s="202"/>
      <c r="X118" s="65"/>
      <c r="Y118" s="69"/>
      <c r="Z118" s="65"/>
      <c r="AA118" s="518"/>
      <c r="AB118" s="65"/>
      <c r="AC118" s="81">
        <f t="shared" ref="AC118:AC137" si="78">AH118+AM118+AR118+AW118+BB118+BG118</f>
        <v>0</v>
      </c>
      <c r="AD118" s="65"/>
      <c r="AE118" s="112"/>
      <c r="AF118" s="203">
        <v>0.3</v>
      </c>
      <c r="AG118" s="109">
        <f t="shared" si="44"/>
        <v>21000</v>
      </c>
      <c r="AH118" s="84">
        <f t="shared" ref="AH118:AH137" si="79">IF(AE118="sim",AF118*AG118,0)</f>
        <v>0</v>
      </c>
      <c r="AI118" s="65"/>
      <c r="AJ118" s="112"/>
      <c r="AK118" s="122"/>
      <c r="AL118" s="109">
        <v>1212</v>
      </c>
      <c r="AM118" s="84">
        <f t="shared" ref="AM118:AM137" si="80">IF(AJ118="sim",AK118*AL118,0)</f>
        <v>0</v>
      </c>
      <c r="AN118" s="65"/>
      <c r="AO118" s="112"/>
      <c r="AP118" s="204"/>
      <c r="AQ118" s="109">
        <f>IFERROR((O118+AH118+AM118)/Dashboard!$D$15,0)*0.2</f>
        <v>21.694214876033058</v>
      </c>
      <c r="AR118" s="84">
        <f t="shared" ref="AR118:AR137" si="81">IF(AO118="sim",AP118*AQ118,0)</f>
        <v>0</v>
      </c>
      <c r="AS118" s="65"/>
      <c r="AT118" s="112"/>
      <c r="AU118" s="203">
        <v>0.33</v>
      </c>
      <c r="AV118" s="109">
        <f t="shared" ref="AV118:AV137" si="82">$O118</f>
        <v>21000</v>
      </c>
      <c r="AW118" s="84">
        <f t="shared" ref="AW118:AW137" si="83">IF(AT118="sim",AU118*AV118,0)</f>
        <v>0</v>
      </c>
      <c r="AX118" s="65"/>
      <c r="AY118" s="112"/>
      <c r="AZ118" s="203">
        <v>0.25</v>
      </c>
      <c r="BA118" s="109">
        <f t="shared" si="50"/>
        <v>21000</v>
      </c>
      <c r="BB118" s="84">
        <f t="shared" ref="BB118:BB137" si="84">IF(AY118="sim",AZ118*BA118,0)</f>
        <v>0</v>
      </c>
      <c r="BC118" s="65"/>
      <c r="BD118" s="112"/>
      <c r="BE118" s="203">
        <v>0.26</v>
      </c>
      <c r="BF118" s="109">
        <f t="shared" ref="BF118:BF137" si="85">$O118</f>
        <v>21000</v>
      </c>
      <c r="BG118" s="84">
        <f t="shared" ref="BG118:BG137" si="86">IF(BD118="sim",BE118*BF118,0)</f>
        <v>0</v>
      </c>
      <c r="BH118" s="197"/>
      <c r="BI118" s="518"/>
      <c r="BJ118" s="65"/>
      <c r="BK118" s="81">
        <f t="shared" ref="BK118:BK137" si="87">BP118+BU118+BZ118</f>
        <v>0</v>
      </c>
      <c r="BL118" s="65"/>
      <c r="BM118" s="204"/>
      <c r="BN118" s="156">
        <f>IF(B118&lt;&gt;"",_xlfn.XLOOKUP(B118,'Cronog. e Histog.'!B:B,'Cronog. e Histog.'!EK:EK),0)</f>
        <v>0</v>
      </c>
      <c r="BO118" s="109">
        <f>($O118/Dashboard!$D$15)*(1+Dashboard!$D$19)</f>
        <v>162.7066115702479</v>
      </c>
      <c r="BP118" s="84">
        <f>SUM(BM118:BN118)*BO118</f>
        <v>0</v>
      </c>
      <c r="BQ118" s="65"/>
      <c r="BR118" s="204"/>
      <c r="BS118" s="156">
        <f>IF(B118&lt;&gt;"",_xlfn.XLOOKUP(B118,'Cronog. e Histog.'!B:B,'Cronog. e Histog.'!EL:EL),0)</f>
        <v>0</v>
      </c>
      <c r="BT118" s="109">
        <f>($O118/Dashboard!$D$15)*(1+Dashboard!$D$20)</f>
        <v>189.82438016528923</v>
      </c>
      <c r="BU118" s="84">
        <f>SUM(BR118:BS118)*BT118</f>
        <v>0</v>
      </c>
      <c r="BV118" s="65"/>
      <c r="BW118" s="204"/>
      <c r="BX118" s="156">
        <f>IF(B118&lt;&gt;"",_xlfn.XLOOKUP(B118,'Cronog. e Histog.'!B:B,'Cronog. e Histog.'!EM:EM),0)</f>
        <v>0</v>
      </c>
      <c r="BY118" s="109">
        <f>($O118/Dashboard!$D$15)*(1+Dashboard!$D$21)</f>
        <v>216.94214876033055</v>
      </c>
      <c r="BZ118" s="84">
        <f>SUM(BW118:BX118)*BY118</f>
        <v>0</v>
      </c>
    </row>
    <row r="119" spans="2:78" ht="12" customHeight="1" outlineLevel="1">
      <c r="B119" s="137" t="str">
        <f>'Cronog. e Histog.'!B238</f>
        <v>COORD. - Equipe_01</v>
      </c>
      <c r="C119" s="65"/>
      <c r="D119" s="200">
        <f t="shared" si="70"/>
        <v>0</v>
      </c>
      <c r="E119" s="200">
        <f t="shared" si="71"/>
        <v>0</v>
      </c>
      <c r="F119" s="65"/>
      <c r="G119" s="200">
        <f t="shared" si="72"/>
        <v>0</v>
      </c>
      <c r="H119" s="200">
        <f t="shared" si="73"/>
        <v>0</v>
      </c>
      <c r="I119" s="65"/>
      <c r="J119" s="143" t="str">
        <f>IF('Cronog. e Histog.'!G238&gt;0,'Cronog. e Histog.'!G238,"")</f>
        <v>COORD.</v>
      </c>
      <c r="K119" s="65"/>
      <c r="L119" s="144">
        <f>'Cronog. e Histog.'!BT238</f>
        <v>0</v>
      </c>
      <c r="M119" s="144">
        <f>'Cronog. e Histog.'!BU238</f>
        <v>0</v>
      </c>
      <c r="N119" s="65"/>
      <c r="O119" s="109">
        <f>_xlfn.XLOOKUP(B119,Salários!B:B,Salários!K:K)</f>
        <v>19000</v>
      </c>
      <c r="P119" s="109">
        <f t="shared" ref="P119:P137" si="88">AC119</f>
        <v>0</v>
      </c>
      <c r="Q119" s="109">
        <f t="shared" ref="Q119:Q137" si="89">BK119</f>
        <v>0</v>
      </c>
      <c r="R119" s="65"/>
      <c r="S119" s="109">
        <f t="shared" ref="S119:S137" si="90">SUM(O119:Q119)</f>
        <v>19000</v>
      </c>
      <c r="T119" s="201" t="str">
        <f>IF(_xlfn.XLOOKUP(B119,Salários!B:B,Salários!I:I)&gt;0,_xlfn.XLOOKUP(B119,Salários!B:B,Salários!I:I),"")</f>
        <v>PJ</v>
      </c>
      <c r="U119" s="117">
        <f t="shared" ref="U119:U137" si="91">L119*M119*S119</f>
        <v>0</v>
      </c>
      <c r="V119" s="65"/>
      <c r="W119" s="202"/>
      <c r="X119" s="65"/>
      <c r="Y119" s="69"/>
      <c r="Z119" s="65"/>
      <c r="AA119" s="518"/>
      <c r="AB119" s="65"/>
      <c r="AC119" s="81">
        <f t="shared" ref="AC119:AC128" si="92">AH119+AM119+AR119+AW119+BB119+BG119</f>
        <v>0</v>
      </c>
      <c r="AD119" s="65"/>
      <c r="AE119" s="112"/>
      <c r="AF119" s="203">
        <v>0.3</v>
      </c>
      <c r="AG119" s="109">
        <f t="shared" si="44"/>
        <v>19000</v>
      </c>
      <c r="AH119" s="84">
        <f t="shared" ref="AH119:AH128" si="93">IF(AE119="sim",AF119*AG119,0)</f>
        <v>0</v>
      </c>
      <c r="AI119" s="65"/>
      <c r="AJ119" s="112"/>
      <c r="AK119" s="122"/>
      <c r="AL119" s="109">
        <v>1212</v>
      </c>
      <c r="AM119" s="84">
        <f t="shared" ref="AM119:AM128" si="94">IF(AJ119="sim",AK119*AL119,0)</f>
        <v>0</v>
      </c>
      <c r="AN119" s="65"/>
      <c r="AO119" s="112"/>
      <c r="AP119" s="204"/>
      <c r="AQ119" s="109">
        <f>IFERROR((O119+AH119+AM119)/Dashboard!$D$15,0)*0.2</f>
        <v>19.628099173553718</v>
      </c>
      <c r="AR119" s="84">
        <f t="shared" ref="AR119:AR128" si="95">IF(AO119="sim",AP119*AQ119,0)</f>
        <v>0</v>
      </c>
      <c r="AS119" s="65"/>
      <c r="AT119" s="112"/>
      <c r="AU119" s="203">
        <v>0.33</v>
      </c>
      <c r="AV119" s="109">
        <f t="shared" si="82"/>
        <v>19000</v>
      </c>
      <c r="AW119" s="84">
        <f t="shared" ref="AW119:AW128" si="96">IF(AT119="sim",AU119*AV119,0)</f>
        <v>0</v>
      </c>
      <c r="AX119" s="65"/>
      <c r="AY119" s="112"/>
      <c r="AZ119" s="203">
        <v>0.25</v>
      </c>
      <c r="BA119" s="109">
        <f t="shared" si="50"/>
        <v>19000</v>
      </c>
      <c r="BB119" s="84">
        <f t="shared" ref="BB119:BB128" si="97">IF(AY119="sim",AZ119*BA119,0)</f>
        <v>0</v>
      </c>
      <c r="BC119" s="65"/>
      <c r="BD119" s="112"/>
      <c r="BE119" s="203">
        <v>0.26</v>
      </c>
      <c r="BF119" s="109">
        <f t="shared" si="85"/>
        <v>19000</v>
      </c>
      <c r="BG119" s="84">
        <f t="shared" ref="BG119:BG128" si="98">IF(BD119="sim",BE119*BF119,0)</f>
        <v>0</v>
      </c>
      <c r="BH119" s="197"/>
      <c r="BI119" s="518"/>
      <c r="BJ119" s="65"/>
      <c r="BK119" s="81">
        <f t="shared" ref="BK119:BK128" si="99">BP119+BU119+BZ119</f>
        <v>0</v>
      </c>
      <c r="BL119" s="65"/>
      <c r="BM119" s="204"/>
      <c r="BN119" s="156">
        <f>IF(B119&lt;&gt;"",_xlfn.XLOOKUP(B119,'Cronog. e Histog.'!B:B,'Cronog. e Histog.'!EK:EK),0)</f>
        <v>0</v>
      </c>
      <c r="BO119" s="109">
        <f>($O119/Dashboard!$D$15)*(1+Dashboard!$D$19)</f>
        <v>147.21074380165288</v>
      </c>
      <c r="BP119" s="84">
        <f t="shared" ref="BP119:BP137" si="100">SUM(BM119:BN119)*BO119</f>
        <v>0</v>
      </c>
      <c r="BQ119" s="65"/>
      <c r="BR119" s="204"/>
      <c r="BS119" s="156">
        <f>IF(B119&lt;&gt;"",_xlfn.XLOOKUP(B119,'Cronog. e Histog.'!B:B,'Cronog. e Histog.'!EL:EL),0)</f>
        <v>0</v>
      </c>
      <c r="BT119" s="109">
        <f>($O119/Dashboard!$D$15)*(1+Dashboard!$D$20)</f>
        <v>171.74586776859502</v>
      </c>
      <c r="BU119" s="84">
        <f t="shared" ref="BU119:BU137" si="101">SUM(BR119:BS119)*BT119</f>
        <v>0</v>
      </c>
      <c r="BV119" s="65"/>
      <c r="BW119" s="204"/>
      <c r="BX119" s="156">
        <f>IF(B119&lt;&gt;"",_xlfn.XLOOKUP(B119,'Cronog. e Histog.'!B:B,'Cronog. e Histog.'!EM:EM),0)</f>
        <v>0</v>
      </c>
      <c r="BY119" s="109">
        <f>($O119/Dashboard!$D$15)*(1+Dashboard!$D$21)</f>
        <v>196.28099173553716</v>
      </c>
      <c r="BZ119" s="84">
        <f t="shared" ref="BZ119:BZ137" si="102">SUM(BW119:BX119)*BY119</f>
        <v>0</v>
      </c>
    </row>
    <row r="120" spans="2:78" ht="12" customHeight="1" outlineLevel="1">
      <c r="B120" s="137" t="str">
        <f>'Cronog. e Histog.'!B239</f>
        <v>SUP.-ESP - Equipe_01</v>
      </c>
      <c r="C120" s="65"/>
      <c r="D120" s="200">
        <f t="shared" si="70"/>
        <v>0</v>
      </c>
      <c r="E120" s="200">
        <f t="shared" si="71"/>
        <v>0</v>
      </c>
      <c r="F120" s="65"/>
      <c r="G120" s="200">
        <f t="shared" si="72"/>
        <v>0</v>
      </c>
      <c r="H120" s="200">
        <f t="shared" si="73"/>
        <v>0</v>
      </c>
      <c r="I120" s="65"/>
      <c r="J120" s="143" t="str">
        <f>IF('Cronog. e Histog.'!G239&gt;0,'Cronog. e Histog.'!G239,"")</f>
        <v>SUP.-ESP</v>
      </c>
      <c r="K120" s="65"/>
      <c r="L120" s="144">
        <f>'Cronog. e Histog.'!BT239</f>
        <v>0</v>
      </c>
      <c r="M120" s="144">
        <f>'Cronog. e Histog.'!BU239</f>
        <v>0</v>
      </c>
      <c r="N120" s="65"/>
      <c r="O120" s="109">
        <f>_xlfn.XLOOKUP(B120,Salários!B:B,Salários!K:K)</f>
        <v>9716.67</v>
      </c>
      <c r="P120" s="109">
        <f t="shared" si="88"/>
        <v>0</v>
      </c>
      <c r="Q120" s="109">
        <f t="shared" si="89"/>
        <v>0</v>
      </c>
      <c r="R120" s="65"/>
      <c r="S120" s="109">
        <f t="shared" si="90"/>
        <v>9716.67</v>
      </c>
      <c r="T120" s="201" t="str">
        <f>IF(_xlfn.XLOOKUP(B120,Salários!B:B,Salários!I:I)&gt;0,_xlfn.XLOOKUP(B120,Salários!B:B,Salários!I:I),"")</f>
        <v>Mensalista</v>
      </c>
      <c r="U120" s="117">
        <f t="shared" si="91"/>
        <v>0</v>
      </c>
      <c r="V120" s="65"/>
      <c r="W120" s="202"/>
      <c r="X120" s="65"/>
      <c r="Y120" s="69"/>
      <c r="Z120" s="65"/>
      <c r="AA120" s="518"/>
      <c r="AB120" s="65"/>
      <c r="AC120" s="81">
        <f t="shared" si="92"/>
        <v>0</v>
      </c>
      <c r="AD120" s="65"/>
      <c r="AE120" s="112"/>
      <c r="AF120" s="203">
        <v>0.3</v>
      </c>
      <c r="AG120" s="109">
        <f t="shared" si="44"/>
        <v>9716.67</v>
      </c>
      <c r="AH120" s="84">
        <f t="shared" si="93"/>
        <v>0</v>
      </c>
      <c r="AI120" s="65"/>
      <c r="AJ120" s="112"/>
      <c r="AK120" s="122"/>
      <c r="AL120" s="109">
        <v>1212</v>
      </c>
      <c r="AM120" s="84">
        <f t="shared" si="94"/>
        <v>0</v>
      </c>
      <c r="AN120" s="65"/>
      <c r="AO120" s="112"/>
      <c r="AP120" s="204"/>
      <c r="AQ120" s="109">
        <f>IFERROR((O120+AH120+AM120)/Dashboard!$D$15,0)*0.2</f>
        <v>10.037882231404957</v>
      </c>
      <c r="AR120" s="84">
        <f t="shared" si="95"/>
        <v>0</v>
      </c>
      <c r="AS120" s="65"/>
      <c r="AT120" s="112"/>
      <c r="AU120" s="203">
        <v>0.33</v>
      </c>
      <c r="AV120" s="109">
        <f t="shared" si="82"/>
        <v>9716.67</v>
      </c>
      <c r="AW120" s="84">
        <f t="shared" si="96"/>
        <v>0</v>
      </c>
      <c r="AX120" s="65"/>
      <c r="AY120" s="112"/>
      <c r="AZ120" s="203">
        <v>0.25</v>
      </c>
      <c r="BA120" s="109">
        <f t="shared" si="50"/>
        <v>9716.67</v>
      </c>
      <c r="BB120" s="84">
        <f t="shared" si="97"/>
        <v>0</v>
      </c>
      <c r="BC120" s="65"/>
      <c r="BD120" s="112"/>
      <c r="BE120" s="203">
        <v>0.26</v>
      </c>
      <c r="BF120" s="109">
        <f t="shared" si="85"/>
        <v>9716.67</v>
      </c>
      <c r="BG120" s="84">
        <f t="shared" si="98"/>
        <v>0</v>
      </c>
      <c r="BH120" s="197"/>
      <c r="BI120" s="518"/>
      <c r="BJ120" s="65"/>
      <c r="BK120" s="81">
        <f t="shared" si="99"/>
        <v>0</v>
      </c>
      <c r="BL120" s="65"/>
      <c r="BM120" s="204"/>
      <c r="BN120" s="156">
        <f>IF(B120&lt;&gt;"",_xlfn.XLOOKUP(B120,'Cronog. e Histog.'!B:B,'Cronog. e Histog.'!EK:EK),0)</f>
        <v>0</v>
      </c>
      <c r="BO120" s="109">
        <f>($O120/Dashboard!$D$15)*(1+Dashboard!$D$19)</f>
        <v>75.284116735537182</v>
      </c>
      <c r="BP120" s="84">
        <f t="shared" si="100"/>
        <v>0</v>
      </c>
      <c r="BQ120" s="65"/>
      <c r="BR120" s="204"/>
      <c r="BS120" s="156">
        <f>IF(B120&lt;&gt;"",_xlfn.XLOOKUP(B120,'Cronog. e Histog.'!B:B,'Cronog. e Histog.'!EL:EL),0)</f>
        <v>0</v>
      </c>
      <c r="BT120" s="109">
        <f>($O120/Dashboard!$D$15)*(1+Dashboard!$D$20)</f>
        <v>87.831469524793377</v>
      </c>
      <c r="BU120" s="84">
        <f t="shared" si="101"/>
        <v>0</v>
      </c>
      <c r="BV120" s="65"/>
      <c r="BW120" s="204"/>
      <c r="BX120" s="156">
        <f>IF(B120&lt;&gt;"",_xlfn.XLOOKUP(B120,'Cronog. e Histog.'!B:B,'Cronog. e Histog.'!EM:EM),0)</f>
        <v>0</v>
      </c>
      <c r="BY120" s="109">
        <f>($O120/Dashboard!$D$15)*(1+Dashboard!$D$21)</f>
        <v>100.37882231404957</v>
      </c>
      <c r="BZ120" s="84">
        <f t="shared" si="102"/>
        <v>0</v>
      </c>
    </row>
    <row r="121" spans="2:78" ht="12" customHeight="1" outlineLevel="1">
      <c r="B121" s="137" t="str">
        <f>'Cronog. e Histog.'!B240</f>
        <v>ENG/ARQ SR. - Equipe_01</v>
      </c>
      <c r="C121" s="65"/>
      <c r="D121" s="200">
        <f t="shared" si="70"/>
        <v>0</v>
      </c>
      <c r="E121" s="200">
        <f t="shared" si="71"/>
        <v>0</v>
      </c>
      <c r="F121" s="65"/>
      <c r="G121" s="200">
        <f t="shared" si="72"/>
        <v>0</v>
      </c>
      <c r="H121" s="200">
        <f t="shared" si="73"/>
        <v>0</v>
      </c>
      <c r="I121" s="65"/>
      <c r="J121" s="143" t="str">
        <f>IF('Cronog. e Histog.'!G240&gt;0,'Cronog. e Histog.'!G240,"")</f>
        <v>ENG/ARQ SR.</v>
      </c>
      <c r="K121" s="65"/>
      <c r="L121" s="144">
        <f>'Cronog. e Histog.'!BT240</f>
        <v>9.9999999999999985E-3</v>
      </c>
      <c r="M121" s="144">
        <f>'Cronog. e Histog.'!BU240</f>
        <v>10</v>
      </c>
      <c r="N121" s="65"/>
      <c r="O121" s="109">
        <f>_xlfn.XLOOKUP(B121,Salários!B:B,Salários!K:K)</f>
        <v>16000</v>
      </c>
      <c r="P121" s="109">
        <f t="shared" si="88"/>
        <v>0</v>
      </c>
      <c r="Q121" s="109">
        <f t="shared" si="89"/>
        <v>0</v>
      </c>
      <c r="R121" s="65"/>
      <c r="S121" s="109">
        <f t="shared" si="90"/>
        <v>16000</v>
      </c>
      <c r="T121" s="201" t="str">
        <f>IF(_xlfn.XLOOKUP(B121,Salários!B:B,Salários!I:I)&gt;0,_xlfn.XLOOKUP(B121,Salários!B:B,Salários!I:I),"")</f>
        <v>PJ</v>
      </c>
      <c r="U121" s="117">
        <f t="shared" si="91"/>
        <v>1599.9999999999995</v>
      </c>
      <c r="V121" s="65"/>
      <c r="W121" s="202"/>
      <c r="X121" s="65"/>
      <c r="Y121" s="69"/>
      <c r="Z121" s="65"/>
      <c r="AA121" s="518"/>
      <c r="AB121" s="65"/>
      <c r="AC121" s="81">
        <f t="shared" si="92"/>
        <v>0</v>
      </c>
      <c r="AD121" s="65"/>
      <c r="AE121" s="112"/>
      <c r="AF121" s="203">
        <v>0.3</v>
      </c>
      <c r="AG121" s="109">
        <f t="shared" si="44"/>
        <v>16000</v>
      </c>
      <c r="AH121" s="84">
        <f t="shared" si="93"/>
        <v>0</v>
      </c>
      <c r="AI121" s="65"/>
      <c r="AJ121" s="112"/>
      <c r="AK121" s="122"/>
      <c r="AL121" s="109">
        <v>1212</v>
      </c>
      <c r="AM121" s="84">
        <f t="shared" si="94"/>
        <v>0</v>
      </c>
      <c r="AN121" s="65"/>
      <c r="AO121" s="112"/>
      <c r="AP121" s="204"/>
      <c r="AQ121" s="109">
        <f>IFERROR((O121+AH121+AM121)/Dashboard!$D$15,0)*0.2</f>
        <v>16.528925619834709</v>
      </c>
      <c r="AR121" s="84">
        <f t="shared" si="95"/>
        <v>0</v>
      </c>
      <c r="AS121" s="65"/>
      <c r="AT121" s="112"/>
      <c r="AU121" s="203">
        <v>0.33</v>
      </c>
      <c r="AV121" s="109">
        <f t="shared" si="82"/>
        <v>16000</v>
      </c>
      <c r="AW121" s="84">
        <f t="shared" si="96"/>
        <v>0</v>
      </c>
      <c r="AX121" s="65"/>
      <c r="AY121" s="112"/>
      <c r="AZ121" s="203">
        <v>0.25</v>
      </c>
      <c r="BA121" s="109">
        <f t="shared" si="50"/>
        <v>16000</v>
      </c>
      <c r="BB121" s="84">
        <f t="shared" si="97"/>
        <v>0</v>
      </c>
      <c r="BC121" s="65"/>
      <c r="BD121" s="112"/>
      <c r="BE121" s="203">
        <v>0.26</v>
      </c>
      <c r="BF121" s="109">
        <f t="shared" si="85"/>
        <v>16000</v>
      </c>
      <c r="BG121" s="84">
        <f t="shared" si="98"/>
        <v>0</v>
      </c>
      <c r="BH121" s="197"/>
      <c r="BI121" s="518"/>
      <c r="BJ121" s="65"/>
      <c r="BK121" s="81">
        <f t="shared" si="99"/>
        <v>0</v>
      </c>
      <c r="BL121" s="65"/>
      <c r="BM121" s="204"/>
      <c r="BN121" s="156">
        <f>IF(B121&lt;&gt;"",_xlfn.XLOOKUP(B121,'Cronog. e Histog.'!B:B,'Cronog. e Histog.'!EK:EK),0)</f>
        <v>0</v>
      </c>
      <c r="BO121" s="109">
        <f>($O121/Dashboard!$D$15)*(1+Dashboard!$D$19)</f>
        <v>123.96694214876032</v>
      </c>
      <c r="BP121" s="84">
        <f t="shared" si="100"/>
        <v>0</v>
      </c>
      <c r="BQ121" s="65"/>
      <c r="BR121" s="204"/>
      <c r="BS121" s="156">
        <f>IF(B121&lt;&gt;"",_xlfn.XLOOKUP(B121,'Cronog. e Histog.'!B:B,'Cronog. e Histog.'!EL:EL),0)</f>
        <v>0</v>
      </c>
      <c r="BT121" s="109">
        <f>($O121/Dashboard!$D$15)*(1+Dashboard!$D$20)</f>
        <v>144.62809917355369</v>
      </c>
      <c r="BU121" s="84">
        <f t="shared" si="101"/>
        <v>0</v>
      </c>
      <c r="BV121" s="65"/>
      <c r="BW121" s="204"/>
      <c r="BX121" s="156">
        <f>IF(B121&lt;&gt;"",_xlfn.XLOOKUP(B121,'Cronog. e Histog.'!B:B,'Cronog. e Histog.'!EM:EM),0)</f>
        <v>0</v>
      </c>
      <c r="BY121" s="109">
        <f>($O121/Dashboard!$D$15)*(1+Dashboard!$D$21)</f>
        <v>165.28925619834709</v>
      </c>
      <c r="BZ121" s="84">
        <f t="shared" si="102"/>
        <v>0</v>
      </c>
    </row>
    <row r="122" spans="2:78" ht="12" customHeight="1" outlineLevel="1">
      <c r="B122" s="137" t="str">
        <f>'Cronog. e Histog.'!B241</f>
        <v>ENG/ARQ PL. - Equipe_01</v>
      </c>
      <c r="C122" s="65"/>
      <c r="D122" s="200">
        <f t="shared" si="70"/>
        <v>0</v>
      </c>
      <c r="E122" s="200">
        <f t="shared" si="71"/>
        <v>0</v>
      </c>
      <c r="F122" s="65"/>
      <c r="G122" s="200">
        <f t="shared" si="72"/>
        <v>0</v>
      </c>
      <c r="H122" s="200">
        <f t="shared" si="73"/>
        <v>0</v>
      </c>
      <c r="I122" s="65"/>
      <c r="J122" s="143" t="str">
        <f>IF('Cronog. e Histog.'!G241&gt;0,'Cronog. e Histog.'!G241,"")</f>
        <v>ENG/ARQ PL.</v>
      </c>
      <c r="K122" s="65"/>
      <c r="L122" s="144">
        <f>'Cronog. e Histog.'!BT241</f>
        <v>0.71</v>
      </c>
      <c r="M122" s="144">
        <f>'Cronog. e Histog.'!BU241</f>
        <v>10</v>
      </c>
      <c r="N122" s="65"/>
      <c r="O122" s="109">
        <f>_xlfn.XLOOKUP(B122,Salários!B:B,Salários!K:K)</f>
        <v>14000</v>
      </c>
      <c r="P122" s="109">
        <f t="shared" si="88"/>
        <v>0</v>
      </c>
      <c r="Q122" s="109">
        <f t="shared" si="89"/>
        <v>0</v>
      </c>
      <c r="R122" s="65"/>
      <c r="S122" s="109">
        <f t="shared" si="90"/>
        <v>14000</v>
      </c>
      <c r="T122" s="201" t="str">
        <f>IF(_xlfn.XLOOKUP(B122,Salários!B:B,Salários!I:I)&gt;0,_xlfn.XLOOKUP(B122,Salários!B:B,Salários!I:I),"")</f>
        <v>PJ</v>
      </c>
      <c r="U122" s="117">
        <f t="shared" si="91"/>
        <v>99400</v>
      </c>
      <c r="V122" s="65"/>
      <c r="W122" s="202"/>
      <c r="X122" s="65"/>
      <c r="Y122" s="69"/>
      <c r="Z122" s="65"/>
      <c r="AA122" s="518"/>
      <c r="AB122" s="65"/>
      <c r="AC122" s="81">
        <f t="shared" si="92"/>
        <v>0</v>
      </c>
      <c r="AD122" s="65"/>
      <c r="AE122" s="112"/>
      <c r="AF122" s="203">
        <v>0.3</v>
      </c>
      <c r="AG122" s="109">
        <f t="shared" si="44"/>
        <v>14000</v>
      </c>
      <c r="AH122" s="84">
        <f t="shared" si="93"/>
        <v>0</v>
      </c>
      <c r="AI122" s="65"/>
      <c r="AJ122" s="112"/>
      <c r="AK122" s="122"/>
      <c r="AL122" s="109">
        <v>1212</v>
      </c>
      <c r="AM122" s="84">
        <f t="shared" si="94"/>
        <v>0</v>
      </c>
      <c r="AN122" s="65"/>
      <c r="AO122" s="112"/>
      <c r="AP122" s="204"/>
      <c r="AQ122" s="109">
        <f>IFERROR((O122+AH122+AM122)/Dashboard!$D$15,0)*0.2</f>
        <v>14.46280991735537</v>
      </c>
      <c r="AR122" s="84">
        <f t="shared" si="95"/>
        <v>0</v>
      </c>
      <c r="AS122" s="65"/>
      <c r="AT122" s="112"/>
      <c r="AU122" s="203">
        <v>0.33</v>
      </c>
      <c r="AV122" s="109">
        <f t="shared" si="82"/>
        <v>14000</v>
      </c>
      <c r="AW122" s="84">
        <f t="shared" si="96"/>
        <v>0</v>
      </c>
      <c r="AX122" s="65"/>
      <c r="AY122" s="112"/>
      <c r="AZ122" s="203">
        <v>0.25</v>
      </c>
      <c r="BA122" s="109">
        <f t="shared" si="50"/>
        <v>14000</v>
      </c>
      <c r="BB122" s="84">
        <f t="shared" si="97"/>
        <v>0</v>
      </c>
      <c r="BC122" s="65"/>
      <c r="BD122" s="112"/>
      <c r="BE122" s="203">
        <v>0.26</v>
      </c>
      <c r="BF122" s="109">
        <f t="shared" si="85"/>
        <v>14000</v>
      </c>
      <c r="BG122" s="84">
        <f t="shared" si="98"/>
        <v>0</v>
      </c>
      <c r="BH122" s="197"/>
      <c r="BI122" s="518"/>
      <c r="BJ122" s="65"/>
      <c r="BK122" s="81">
        <f t="shared" si="99"/>
        <v>0</v>
      </c>
      <c r="BL122" s="65"/>
      <c r="BM122" s="204"/>
      <c r="BN122" s="156">
        <f>IF(B122&lt;&gt;"",_xlfn.XLOOKUP(B122,'Cronog. e Histog.'!B:B,'Cronog. e Histog.'!EK:EK),0)</f>
        <v>0</v>
      </c>
      <c r="BO122" s="109">
        <f>($O122/Dashboard!$D$15)*(1+Dashboard!$D$19)</f>
        <v>108.47107438016528</v>
      </c>
      <c r="BP122" s="84">
        <f t="shared" si="100"/>
        <v>0</v>
      </c>
      <c r="BQ122" s="65"/>
      <c r="BR122" s="204"/>
      <c r="BS122" s="156">
        <f>IF(B122&lt;&gt;"",_xlfn.XLOOKUP(B122,'Cronog. e Histog.'!B:B,'Cronog. e Histog.'!EL:EL),0)</f>
        <v>0</v>
      </c>
      <c r="BT122" s="109">
        <f>($O122/Dashboard!$D$15)*(1+Dashboard!$D$20)</f>
        <v>126.54958677685948</v>
      </c>
      <c r="BU122" s="84">
        <f t="shared" si="101"/>
        <v>0</v>
      </c>
      <c r="BV122" s="65"/>
      <c r="BW122" s="204"/>
      <c r="BX122" s="156">
        <f>IF(B122&lt;&gt;"",_xlfn.XLOOKUP(B122,'Cronog. e Histog.'!B:B,'Cronog. e Histog.'!EM:EM),0)</f>
        <v>0</v>
      </c>
      <c r="BY122" s="109">
        <f>($O122/Dashboard!$D$15)*(1+Dashboard!$D$21)</f>
        <v>144.62809917355369</v>
      </c>
      <c r="BZ122" s="84">
        <f t="shared" si="102"/>
        <v>0</v>
      </c>
    </row>
    <row r="123" spans="2:78" ht="12" customHeight="1" outlineLevel="1">
      <c r="B123" s="137" t="str">
        <f>'Cronog. e Histog.'!B242</f>
        <v>ENG/ARQ JR. - Equipe_01</v>
      </c>
      <c r="C123" s="65"/>
      <c r="D123" s="200">
        <f t="shared" si="70"/>
        <v>0</v>
      </c>
      <c r="E123" s="200">
        <f t="shared" si="71"/>
        <v>0</v>
      </c>
      <c r="F123" s="65"/>
      <c r="G123" s="200">
        <f t="shared" si="72"/>
        <v>0</v>
      </c>
      <c r="H123" s="200">
        <f t="shared" si="73"/>
        <v>0</v>
      </c>
      <c r="I123" s="65"/>
      <c r="J123" s="143" t="str">
        <f>IF('Cronog. e Histog.'!G242&gt;0,'Cronog. e Histog.'!G242,"")</f>
        <v>ENG/ARQ JR.</v>
      </c>
      <c r="K123" s="65"/>
      <c r="L123" s="144">
        <f>'Cronog. e Histog.'!BT242</f>
        <v>0</v>
      </c>
      <c r="M123" s="144">
        <f>'Cronog. e Histog.'!BU242</f>
        <v>0</v>
      </c>
      <c r="N123" s="65"/>
      <c r="O123" s="109">
        <f>_xlfn.XLOOKUP(B123,Salários!B:B,Salários!K:K)</f>
        <v>14000</v>
      </c>
      <c r="P123" s="109">
        <f t="shared" si="88"/>
        <v>0</v>
      </c>
      <c r="Q123" s="109">
        <f t="shared" si="89"/>
        <v>0</v>
      </c>
      <c r="R123" s="65"/>
      <c r="S123" s="109">
        <f t="shared" si="90"/>
        <v>14000</v>
      </c>
      <c r="T123" s="201" t="str">
        <f>IF(_xlfn.XLOOKUP(B123,Salários!B:B,Salários!I:I)&gt;0,_xlfn.XLOOKUP(B123,Salários!B:B,Salários!I:I),"")</f>
        <v>PJ</v>
      </c>
      <c r="U123" s="117">
        <f t="shared" si="91"/>
        <v>0</v>
      </c>
      <c r="V123" s="65"/>
      <c r="W123" s="202"/>
      <c r="X123" s="65"/>
      <c r="Y123" s="69"/>
      <c r="Z123" s="65"/>
      <c r="AA123" s="518"/>
      <c r="AB123" s="65"/>
      <c r="AC123" s="81">
        <f t="shared" si="92"/>
        <v>0</v>
      </c>
      <c r="AD123" s="65"/>
      <c r="AE123" s="112"/>
      <c r="AF123" s="203">
        <v>0.3</v>
      </c>
      <c r="AG123" s="109">
        <f t="shared" si="44"/>
        <v>14000</v>
      </c>
      <c r="AH123" s="84">
        <f t="shared" si="93"/>
        <v>0</v>
      </c>
      <c r="AI123" s="65"/>
      <c r="AJ123" s="112"/>
      <c r="AK123" s="122"/>
      <c r="AL123" s="109">
        <v>1212</v>
      </c>
      <c r="AM123" s="84">
        <f t="shared" si="94"/>
        <v>0</v>
      </c>
      <c r="AN123" s="65"/>
      <c r="AO123" s="112"/>
      <c r="AP123" s="204"/>
      <c r="AQ123" s="109">
        <f>IFERROR((O123+AH123+AM123)/Dashboard!$D$15,0)*0.2</f>
        <v>14.46280991735537</v>
      </c>
      <c r="AR123" s="84">
        <f t="shared" si="95"/>
        <v>0</v>
      </c>
      <c r="AS123" s="65"/>
      <c r="AT123" s="112"/>
      <c r="AU123" s="203">
        <v>0.33</v>
      </c>
      <c r="AV123" s="109">
        <f t="shared" si="82"/>
        <v>14000</v>
      </c>
      <c r="AW123" s="84">
        <f t="shared" si="96"/>
        <v>0</v>
      </c>
      <c r="AX123" s="65"/>
      <c r="AY123" s="112"/>
      <c r="AZ123" s="203">
        <v>0.25</v>
      </c>
      <c r="BA123" s="109">
        <f t="shared" si="50"/>
        <v>14000</v>
      </c>
      <c r="BB123" s="84">
        <f t="shared" si="97"/>
        <v>0</v>
      </c>
      <c r="BC123" s="65"/>
      <c r="BD123" s="112"/>
      <c r="BE123" s="203">
        <v>0.26</v>
      </c>
      <c r="BF123" s="109">
        <f t="shared" si="85"/>
        <v>14000</v>
      </c>
      <c r="BG123" s="84">
        <f t="shared" si="98"/>
        <v>0</v>
      </c>
      <c r="BH123" s="197"/>
      <c r="BI123" s="518"/>
      <c r="BJ123" s="65"/>
      <c r="BK123" s="81">
        <f t="shared" si="99"/>
        <v>0</v>
      </c>
      <c r="BL123" s="65"/>
      <c r="BM123" s="204"/>
      <c r="BN123" s="156">
        <f>IF(B123&lt;&gt;"",_xlfn.XLOOKUP(B123,'Cronog. e Histog.'!B:B,'Cronog. e Histog.'!EK:EK),0)</f>
        <v>0</v>
      </c>
      <c r="BO123" s="109">
        <f>($O123/Dashboard!$D$15)*(1+Dashboard!$D$19)</f>
        <v>108.47107438016528</v>
      </c>
      <c r="BP123" s="84">
        <f t="shared" si="100"/>
        <v>0</v>
      </c>
      <c r="BQ123" s="65"/>
      <c r="BR123" s="204"/>
      <c r="BS123" s="156">
        <f>IF(B123&lt;&gt;"",_xlfn.XLOOKUP(B123,'Cronog. e Histog.'!B:B,'Cronog. e Histog.'!EL:EL),0)</f>
        <v>0</v>
      </c>
      <c r="BT123" s="109">
        <f>($O123/Dashboard!$D$15)*(1+Dashboard!$D$20)</f>
        <v>126.54958677685948</v>
      </c>
      <c r="BU123" s="84">
        <f t="shared" si="101"/>
        <v>0</v>
      </c>
      <c r="BV123" s="65"/>
      <c r="BW123" s="204"/>
      <c r="BX123" s="156">
        <f>IF(B123&lt;&gt;"",_xlfn.XLOOKUP(B123,'Cronog. e Histog.'!B:B,'Cronog. e Histog.'!EM:EM),0)</f>
        <v>0</v>
      </c>
      <c r="BY123" s="109">
        <f>($O123/Dashboard!$D$15)*(1+Dashboard!$D$21)</f>
        <v>144.62809917355369</v>
      </c>
      <c r="BZ123" s="84">
        <f t="shared" si="102"/>
        <v>0</v>
      </c>
    </row>
    <row r="124" spans="2:78" ht="12" customHeight="1" outlineLevel="1">
      <c r="B124" s="137" t="str">
        <f>'Cronog. e Histog.'!B243</f>
        <v>AN SR. ENG/ARQ - Equipe_01</v>
      </c>
      <c r="C124" s="65"/>
      <c r="D124" s="200">
        <f t="shared" si="70"/>
        <v>0</v>
      </c>
      <c r="E124" s="200">
        <f t="shared" si="71"/>
        <v>0</v>
      </c>
      <c r="F124" s="65"/>
      <c r="G124" s="200">
        <f t="shared" si="72"/>
        <v>0</v>
      </c>
      <c r="H124" s="200">
        <f t="shared" si="73"/>
        <v>0</v>
      </c>
      <c r="I124" s="65"/>
      <c r="J124" s="143" t="str">
        <f>IF('Cronog. e Histog.'!G243&gt;0,'Cronog. e Histog.'!G243,"")</f>
        <v>AN SR. ENG/ARQ</v>
      </c>
      <c r="K124" s="65"/>
      <c r="L124" s="144">
        <f>'Cronog. e Histog.'!BT243</f>
        <v>0</v>
      </c>
      <c r="M124" s="144">
        <f>'Cronog. e Histog.'!BU243</f>
        <v>0</v>
      </c>
      <c r="N124" s="65"/>
      <c r="O124" s="109">
        <f>_xlfn.XLOOKUP(B124,Salários!B:B,Salários!K:K)</f>
        <v>7950</v>
      </c>
      <c r="P124" s="109">
        <f t="shared" si="88"/>
        <v>0</v>
      </c>
      <c r="Q124" s="109">
        <f t="shared" si="89"/>
        <v>0</v>
      </c>
      <c r="R124" s="65"/>
      <c r="S124" s="109">
        <f t="shared" si="90"/>
        <v>7950</v>
      </c>
      <c r="T124" s="201" t="str">
        <f>IF(_xlfn.XLOOKUP(B124,Salários!B:B,Salários!I:I)&gt;0,_xlfn.XLOOKUP(B124,Salários!B:B,Salários!I:I),"")</f>
        <v>Mensalista</v>
      </c>
      <c r="U124" s="117">
        <f t="shared" si="91"/>
        <v>0</v>
      </c>
      <c r="V124" s="65"/>
      <c r="W124" s="202"/>
      <c r="X124" s="65"/>
      <c r="Y124" s="69"/>
      <c r="Z124" s="65"/>
      <c r="AA124" s="518"/>
      <c r="AB124" s="65"/>
      <c r="AC124" s="81">
        <f t="shared" si="92"/>
        <v>0</v>
      </c>
      <c r="AD124" s="65"/>
      <c r="AE124" s="112"/>
      <c r="AF124" s="203">
        <v>0.3</v>
      </c>
      <c r="AG124" s="109">
        <f t="shared" si="44"/>
        <v>7950</v>
      </c>
      <c r="AH124" s="84">
        <f t="shared" si="93"/>
        <v>0</v>
      </c>
      <c r="AI124" s="65"/>
      <c r="AJ124" s="112"/>
      <c r="AK124" s="122"/>
      <c r="AL124" s="109">
        <v>1212</v>
      </c>
      <c r="AM124" s="84">
        <f t="shared" si="94"/>
        <v>0</v>
      </c>
      <c r="AN124" s="65"/>
      <c r="AO124" s="112"/>
      <c r="AP124" s="204"/>
      <c r="AQ124" s="109">
        <f>IFERROR((O124+AH124+AM124)/Dashboard!$D$15,0)*0.2</f>
        <v>8.2128099173553704</v>
      </c>
      <c r="AR124" s="84">
        <f t="shared" si="95"/>
        <v>0</v>
      </c>
      <c r="AS124" s="65"/>
      <c r="AT124" s="112"/>
      <c r="AU124" s="203">
        <v>0.33</v>
      </c>
      <c r="AV124" s="109">
        <f t="shared" si="82"/>
        <v>7950</v>
      </c>
      <c r="AW124" s="84">
        <f t="shared" si="96"/>
        <v>0</v>
      </c>
      <c r="AX124" s="65"/>
      <c r="AY124" s="112"/>
      <c r="AZ124" s="203">
        <v>0.25</v>
      </c>
      <c r="BA124" s="109">
        <f t="shared" si="50"/>
        <v>7950</v>
      </c>
      <c r="BB124" s="84">
        <f t="shared" si="97"/>
        <v>0</v>
      </c>
      <c r="BC124" s="65"/>
      <c r="BD124" s="112"/>
      <c r="BE124" s="203">
        <v>0.26</v>
      </c>
      <c r="BF124" s="109">
        <f t="shared" si="85"/>
        <v>7950</v>
      </c>
      <c r="BG124" s="84">
        <f t="shared" si="98"/>
        <v>0</v>
      </c>
      <c r="BH124" s="197"/>
      <c r="BI124" s="518"/>
      <c r="BJ124" s="65"/>
      <c r="BK124" s="81">
        <f t="shared" si="99"/>
        <v>0</v>
      </c>
      <c r="BL124" s="65"/>
      <c r="BM124" s="204"/>
      <c r="BN124" s="156">
        <f>IF(B124&lt;&gt;"",_xlfn.XLOOKUP(B124,'Cronog. e Histog.'!B:B,'Cronog. e Histog.'!EK:EK),0)</f>
        <v>0</v>
      </c>
      <c r="BO124" s="109">
        <f>($O124/Dashboard!$D$15)*(1+Dashboard!$D$19)</f>
        <v>61.596074380165277</v>
      </c>
      <c r="BP124" s="84">
        <f t="shared" si="100"/>
        <v>0</v>
      </c>
      <c r="BQ124" s="65"/>
      <c r="BR124" s="204"/>
      <c r="BS124" s="156">
        <f>IF(B124&lt;&gt;"",_xlfn.XLOOKUP(B124,'Cronog. e Histog.'!B:B,'Cronog. e Histog.'!EL:EL),0)</f>
        <v>0</v>
      </c>
      <c r="BT124" s="109">
        <f>($O124/Dashboard!$D$15)*(1+Dashboard!$D$20)</f>
        <v>71.862086776859499</v>
      </c>
      <c r="BU124" s="84">
        <f t="shared" si="101"/>
        <v>0</v>
      </c>
      <c r="BV124" s="65"/>
      <c r="BW124" s="204"/>
      <c r="BX124" s="156">
        <f>IF(B124&lt;&gt;"",_xlfn.XLOOKUP(B124,'Cronog. e Histog.'!B:B,'Cronog. e Histog.'!EM:EM),0)</f>
        <v>0</v>
      </c>
      <c r="BY124" s="109">
        <f>($O124/Dashboard!$D$15)*(1+Dashboard!$D$21)</f>
        <v>82.128099173553707</v>
      </c>
      <c r="BZ124" s="84">
        <f t="shared" si="102"/>
        <v>0</v>
      </c>
    </row>
    <row r="125" spans="2:78" ht="12" customHeight="1" outlineLevel="1">
      <c r="B125" s="137" t="str">
        <f>'Cronog. e Histog.'!B244</f>
        <v>AN PL. ENG/ARQ - Equipe_01</v>
      </c>
      <c r="C125" s="65"/>
      <c r="D125" s="200">
        <f t="shared" si="70"/>
        <v>0</v>
      </c>
      <c r="E125" s="200">
        <f t="shared" si="71"/>
        <v>0</v>
      </c>
      <c r="F125" s="65"/>
      <c r="G125" s="200">
        <f t="shared" si="72"/>
        <v>0</v>
      </c>
      <c r="H125" s="200">
        <f t="shared" si="73"/>
        <v>0</v>
      </c>
      <c r="I125" s="65"/>
      <c r="J125" s="143" t="str">
        <f>IF('Cronog. e Histog.'!G244&gt;0,'Cronog. e Histog.'!G244,"")</f>
        <v>AN PL. ENG/ARQ</v>
      </c>
      <c r="K125" s="65"/>
      <c r="L125" s="144">
        <f>'Cronog. e Histog.'!BT244</f>
        <v>0</v>
      </c>
      <c r="M125" s="144">
        <f>'Cronog. e Histog.'!BU244</f>
        <v>0</v>
      </c>
      <c r="N125" s="65"/>
      <c r="O125" s="109">
        <f>_xlfn.XLOOKUP(B125,Salários!B:B,Salários!K:K)</f>
        <v>6360</v>
      </c>
      <c r="P125" s="109">
        <f t="shared" si="88"/>
        <v>0</v>
      </c>
      <c r="Q125" s="109">
        <f t="shared" si="89"/>
        <v>0</v>
      </c>
      <c r="R125" s="65"/>
      <c r="S125" s="109">
        <f t="shared" si="90"/>
        <v>6360</v>
      </c>
      <c r="T125" s="201" t="str">
        <f>IF(_xlfn.XLOOKUP(B125,Salários!B:B,Salários!I:I)&gt;0,_xlfn.XLOOKUP(B125,Salários!B:B,Salários!I:I),"")</f>
        <v>Mensalista</v>
      </c>
      <c r="U125" s="117">
        <f t="shared" si="91"/>
        <v>0</v>
      </c>
      <c r="V125" s="65"/>
      <c r="W125" s="202"/>
      <c r="X125" s="65"/>
      <c r="Y125" s="69"/>
      <c r="Z125" s="65"/>
      <c r="AA125" s="518"/>
      <c r="AB125" s="65"/>
      <c r="AC125" s="81">
        <f t="shared" si="92"/>
        <v>0</v>
      </c>
      <c r="AD125" s="65"/>
      <c r="AE125" s="112"/>
      <c r="AF125" s="203">
        <v>0.3</v>
      </c>
      <c r="AG125" s="109">
        <f t="shared" si="44"/>
        <v>6360</v>
      </c>
      <c r="AH125" s="84">
        <f t="shared" si="93"/>
        <v>0</v>
      </c>
      <c r="AI125" s="65"/>
      <c r="AJ125" s="112"/>
      <c r="AK125" s="122"/>
      <c r="AL125" s="109">
        <v>1212</v>
      </c>
      <c r="AM125" s="84">
        <f t="shared" si="94"/>
        <v>0</v>
      </c>
      <c r="AN125" s="65"/>
      <c r="AO125" s="112"/>
      <c r="AP125" s="204"/>
      <c r="AQ125" s="109">
        <f>IFERROR((O125+AH125+AM125)/Dashboard!$D$15,0)*0.2</f>
        <v>6.5702479338842963</v>
      </c>
      <c r="AR125" s="84">
        <f t="shared" si="95"/>
        <v>0</v>
      </c>
      <c r="AS125" s="65"/>
      <c r="AT125" s="112"/>
      <c r="AU125" s="203">
        <v>0.33</v>
      </c>
      <c r="AV125" s="109">
        <f t="shared" si="82"/>
        <v>6360</v>
      </c>
      <c r="AW125" s="84">
        <f t="shared" si="96"/>
        <v>0</v>
      </c>
      <c r="AX125" s="65"/>
      <c r="AY125" s="112"/>
      <c r="AZ125" s="203">
        <v>0.25</v>
      </c>
      <c r="BA125" s="109">
        <f t="shared" si="50"/>
        <v>6360</v>
      </c>
      <c r="BB125" s="84">
        <f t="shared" si="97"/>
        <v>0</v>
      </c>
      <c r="BC125" s="65"/>
      <c r="BD125" s="112"/>
      <c r="BE125" s="203">
        <v>0.26</v>
      </c>
      <c r="BF125" s="109">
        <f t="shared" si="85"/>
        <v>6360</v>
      </c>
      <c r="BG125" s="84">
        <f t="shared" si="98"/>
        <v>0</v>
      </c>
      <c r="BH125" s="197"/>
      <c r="BI125" s="518"/>
      <c r="BJ125" s="65"/>
      <c r="BK125" s="81">
        <f t="shared" si="99"/>
        <v>0</v>
      </c>
      <c r="BL125" s="65"/>
      <c r="BM125" s="204"/>
      <c r="BN125" s="156">
        <f>IF(B125&lt;&gt;"",_xlfn.XLOOKUP(B125,'Cronog. e Histog.'!B:B,'Cronog. e Histog.'!EK:EK),0)</f>
        <v>0</v>
      </c>
      <c r="BO125" s="109">
        <f>($O125/Dashboard!$D$15)*(1+Dashboard!$D$19)</f>
        <v>49.276859504132219</v>
      </c>
      <c r="BP125" s="84">
        <f t="shared" si="100"/>
        <v>0</v>
      </c>
      <c r="BQ125" s="65"/>
      <c r="BR125" s="204"/>
      <c r="BS125" s="156">
        <f>IF(B125&lt;&gt;"",_xlfn.XLOOKUP(B125,'Cronog. e Histog.'!B:B,'Cronog. e Histog.'!EL:EL),0)</f>
        <v>0</v>
      </c>
      <c r="BT125" s="109">
        <f>($O125/Dashboard!$D$15)*(1+Dashboard!$D$20)</f>
        <v>57.489669421487591</v>
      </c>
      <c r="BU125" s="84">
        <f t="shared" si="101"/>
        <v>0</v>
      </c>
      <c r="BV125" s="65"/>
      <c r="BW125" s="204"/>
      <c r="BX125" s="156">
        <f>IF(B125&lt;&gt;"",_xlfn.XLOOKUP(B125,'Cronog. e Histog.'!B:B,'Cronog. e Histog.'!EM:EM),0)</f>
        <v>0</v>
      </c>
      <c r="BY125" s="109">
        <f>($O125/Dashboard!$D$15)*(1+Dashboard!$D$21)</f>
        <v>65.702479338842963</v>
      </c>
      <c r="BZ125" s="84">
        <f t="shared" si="102"/>
        <v>0</v>
      </c>
    </row>
    <row r="126" spans="2:78" ht="12" customHeight="1" outlineLevel="1">
      <c r="B126" s="137" t="str">
        <f>'Cronog. e Histog.'!B245</f>
        <v>AN JR. ENG/ARQ - Equipe_01</v>
      </c>
      <c r="C126" s="65"/>
      <c r="D126" s="200">
        <f t="shared" si="70"/>
        <v>0</v>
      </c>
      <c r="E126" s="200">
        <f t="shared" si="71"/>
        <v>0</v>
      </c>
      <c r="F126" s="65"/>
      <c r="G126" s="200">
        <f t="shared" si="72"/>
        <v>0</v>
      </c>
      <c r="H126" s="200">
        <f t="shared" si="73"/>
        <v>0</v>
      </c>
      <c r="I126" s="65"/>
      <c r="J126" s="143" t="str">
        <f>IF('Cronog. e Histog.'!G245&gt;0,'Cronog. e Histog.'!G245,"")</f>
        <v>AN JR. ENG/ARQ</v>
      </c>
      <c r="K126" s="65"/>
      <c r="L126" s="144">
        <f>'Cronog. e Histog.'!BT245</f>
        <v>0</v>
      </c>
      <c r="M126" s="144">
        <f>'Cronog. e Histog.'!BU245</f>
        <v>0</v>
      </c>
      <c r="N126" s="65"/>
      <c r="O126" s="109">
        <f>_xlfn.XLOOKUP(B126,Salários!B:B,Salários!K:K)</f>
        <v>4770</v>
      </c>
      <c r="P126" s="109">
        <f t="shared" si="88"/>
        <v>0</v>
      </c>
      <c r="Q126" s="109">
        <f t="shared" si="89"/>
        <v>0</v>
      </c>
      <c r="R126" s="65"/>
      <c r="S126" s="109">
        <f t="shared" si="90"/>
        <v>4770</v>
      </c>
      <c r="T126" s="201" t="str">
        <f>IF(_xlfn.XLOOKUP(B126,Salários!B:B,Salários!I:I)&gt;0,_xlfn.XLOOKUP(B126,Salários!B:B,Salários!I:I),"")</f>
        <v>Mensalista</v>
      </c>
      <c r="U126" s="117">
        <f t="shared" si="91"/>
        <v>0</v>
      </c>
      <c r="V126" s="65"/>
      <c r="W126" s="202"/>
      <c r="X126" s="65"/>
      <c r="Y126" s="69"/>
      <c r="Z126" s="65"/>
      <c r="AA126" s="518"/>
      <c r="AB126" s="65"/>
      <c r="AC126" s="81">
        <f t="shared" si="92"/>
        <v>0</v>
      </c>
      <c r="AD126" s="65"/>
      <c r="AE126" s="112"/>
      <c r="AF126" s="203">
        <v>0.3</v>
      </c>
      <c r="AG126" s="109">
        <f t="shared" si="44"/>
        <v>4770</v>
      </c>
      <c r="AH126" s="84">
        <f t="shared" si="93"/>
        <v>0</v>
      </c>
      <c r="AI126" s="65"/>
      <c r="AJ126" s="112"/>
      <c r="AK126" s="122"/>
      <c r="AL126" s="109">
        <v>1212</v>
      </c>
      <c r="AM126" s="84">
        <f t="shared" si="94"/>
        <v>0</v>
      </c>
      <c r="AN126" s="65"/>
      <c r="AO126" s="112"/>
      <c r="AP126" s="204"/>
      <c r="AQ126" s="109">
        <f>IFERROR((O126+AH126+AM126)/Dashboard!$D$15,0)*0.2</f>
        <v>4.9276859504132231</v>
      </c>
      <c r="AR126" s="84">
        <f t="shared" si="95"/>
        <v>0</v>
      </c>
      <c r="AS126" s="65"/>
      <c r="AT126" s="112"/>
      <c r="AU126" s="203">
        <v>0.33</v>
      </c>
      <c r="AV126" s="109">
        <f t="shared" si="82"/>
        <v>4770</v>
      </c>
      <c r="AW126" s="84">
        <f t="shared" si="96"/>
        <v>0</v>
      </c>
      <c r="AX126" s="65"/>
      <c r="AY126" s="112"/>
      <c r="AZ126" s="203">
        <v>0.25</v>
      </c>
      <c r="BA126" s="109">
        <f t="shared" si="50"/>
        <v>4770</v>
      </c>
      <c r="BB126" s="84">
        <f t="shared" si="97"/>
        <v>0</v>
      </c>
      <c r="BC126" s="65"/>
      <c r="BD126" s="112"/>
      <c r="BE126" s="203">
        <v>0.26</v>
      </c>
      <c r="BF126" s="109">
        <f t="shared" si="85"/>
        <v>4770</v>
      </c>
      <c r="BG126" s="84">
        <f t="shared" si="98"/>
        <v>0</v>
      </c>
      <c r="BH126" s="197"/>
      <c r="BI126" s="518"/>
      <c r="BJ126" s="65"/>
      <c r="BK126" s="81">
        <f t="shared" si="99"/>
        <v>0</v>
      </c>
      <c r="BL126" s="65"/>
      <c r="BM126" s="204"/>
      <c r="BN126" s="156">
        <f>IF(B126&lt;&gt;"",_xlfn.XLOOKUP(B126,'Cronog. e Histog.'!B:B,'Cronog. e Histog.'!EK:EK),0)</f>
        <v>0</v>
      </c>
      <c r="BO126" s="109">
        <f>($O126/Dashboard!$D$15)*(1+Dashboard!$D$19)</f>
        <v>36.957644628099168</v>
      </c>
      <c r="BP126" s="84">
        <f t="shared" si="100"/>
        <v>0</v>
      </c>
      <c r="BQ126" s="65"/>
      <c r="BR126" s="204"/>
      <c r="BS126" s="156">
        <f>IF(B126&lt;&gt;"",_xlfn.XLOOKUP(B126,'Cronog. e Histog.'!B:B,'Cronog. e Histog.'!EL:EL),0)</f>
        <v>0</v>
      </c>
      <c r="BT126" s="109">
        <f>($O126/Dashboard!$D$15)*(1+Dashboard!$D$20)</f>
        <v>43.117252066115697</v>
      </c>
      <c r="BU126" s="84">
        <f t="shared" si="101"/>
        <v>0</v>
      </c>
      <c r="BV126" s="65"/>
      <c r="BW126" s="204"/>
      <c r="BX126" s="156">
        <f>IF(B126&lt;&gt;"",_xlfn.XLOOKUP(B126,'Cronog. e Histog.'!B:B,'Cronog. e Histog.'!EM:EM),0)</f>
        <v>0</v>
      </c>
      <c r="BY126" s="109">
        <f>($O126/Dashboard!$D$15)*(1+Dashboard!$D$21)</f>
        <v>49.276859504132226</v>
      </c>
      <c r="BZ126" s="84">
        <f t="shared" si="102"/>
        <v>0</v>
      </c>
    </row>
    <row r="127" spans="2:78" ht="12" customHeight="1" outlineLevel="1">
      <c r="B127" s="137" t="str">
        <f>'Cronog. e Histog.'!B246</f>
        <v>AN SR. ADM/CRP - Equipe_01</v>
      </c>
      <c r="C127" s="65"/>
      <c r="D127" s="200">
        <f t="shared" si="70"/>
        <v>0</v>
      </c>
      <c r="E127" s="200">
        <f t="shared" si="71"/>
        <v>0</v>
      </c>
      <c r="F127" s="65"/>
      <c r="G127" s="200">
        <f t="shared" si="72"/>
        <v>0</v>
      </c>
      <c r="H127" s="200">
        <f t="shared" si="73"/>
        <v>0</v>
      </c>
      <c r="I127" s="65"/>
      <c r="J127" s="143" t="str">
        <f>IF('Cronog. e Histog.'!G246&gt;0,'Cronog. e Histog.'!G246,"")</f>
        <v>AN SR. ADM/CRP</v>
      </c>
      <c r="K127" s="65"/>
      <c r="L127" s="144">
        <f>'Cronog. e Histog.'!BT246</f>
        <v>0</v>
      </c>
      <c r="M127" s="144">
        <f>'Cronog. e Histog.'!BU246</f>
        <v>0</v>
      </c>
      <c r="N127" s="65"/>
      <c r="O127" s="109">
        <f>_xlfn.XLOOKUP(B127,Salários!B:B,Salários!K:K)</f>
        <v>7420</v>
      </c>
      <c r="P127" s="109">
        <f t="shared" si="88"/>
        <v>0</v>
      </c>
      <c r="Q127" s="109">
        <f t="shared" si="89"/>
        <v>0</v>
      </c>
      <c r="R127" s="65"/>
      <c r="S127" s="109">
        <f t="shared" si="90"/>
        <v>7420</v>
      </c>
      <c r="T127" s="201" t="str">
        <f>IF(_xlfn.XLOOKUP(B127,Salários!B:B,Salários!I:I)&gt;0,_xlfn.XLOOKUP(B127,Salários!B:B,Salários!I:I),"")</f>
        <v>Mensalista</v>
      </c>
      <c r="U127" s="117">
        <f t="shared" si="91"/>
        <v>0</v>
      </c>
      <c r="V127" s="65"/>
      <c r="W127" s="202"/>
      <c r="X127" s="65"/>
      <c r="Y127" s="69"/>
      <c r="Z127" s="65"/>
      <c r="AA127" s="518"/>
      <c r="AB127" s="65"/>
      <c r="AC127" s="81">
        <f t="shared" si="92"/>
        <v>0</v>
      </c>
      <c r="AD127" s="65"/>
      <c r="AE127" s="112"/>
      <c r="AF127" s="203">
        <v>0.3</v>
      </c>
      <c r="AG127" s="109">
        <f t="shared" si="44"/>
        <v>7420</v>
      </c>
      <c r="AH127" s="84">
        <f t="shared" si="93"/>
        <v>0</v>
      </c>
      <c r="AI127" s="65"/>
      <c r="AJ127" s="112"/>
      <c r="AK127" s="122"/>
      <c r="AL127" s="109">
        <v>1212</v>
      </c>
      <c r="AM127" s="84">
        <f t="shared" si="94"/>
        <v>0</v>
      </c>
      <c r="AN127" s="65"/>
      <c r="AO127" s="112"/>
      <c r="AP127" s="204"/>
      <c r="AQ127" s="109">
        <f>IFERROR((O127+AH127+AM127)/Dashboard!$D$15,0)*0.2</f>
        <v>7.6652892561983466</v>
      </c>
      <c r="AR127" s="84">
        <f t="shared" si="95"/>
        <v>0</v>
      </c>
      <c r="AS127" s="65"/>
      <c r="AT127" s="112"/>
      <c r="AU127" s="203">
        <v>0.33</v>
      </c>
      <c r="AV127" s="109">
        <f t="shared" si="82"/>
        <v>7420</v>
      </c>
      <c r="AW127" s="84">
        <f t="shared" si="96"/>
        <v>0</v>
      </c>
      <c r="AX127" s="65"/>
      <c r="AY127" s="112"/>
      <c r="AZ127" s="203">
        <v>0.25</v>
      </c>
      <c r="BA127" s="109">
        <f t="shared" si="50"/>
        <v>7420</v>
      </c>
      <c r="BB127" s="84">
        <f t="shared" si="97"/>
        <v>0</v>
      </c>
      <c r="BC127" s="65"/>
      <c r="BD127" s="112"/>
      <c r="BE127" s="203">
        <v>0.26</v>
      </c>
      <c r="BF127" s="109">
        <f t="shared" si="85"/>
        <v>7420</v>
      </c>
      <c r="BG127" s="84">
        <f t="shared" si="98"/>
        <v>0</v>
      </c>
      <c r="BH127" s="197"/>
      <c r="BI127" s="518"/>
      <c r="BJ127" s="65"/>
      <c r="BK127" s="81">
        <f t="shared" si="99"/>
        <v>0</v>
      </c>
      <c r="BL127" s="65"/>
      <c r="BM127" s="204"/>
      <c r="BN127" s="156">
        <f>IF(B127&lt;&gt;"",_xlfn.XLOOKUP(B127,'Cronog. e Histog.'!B:B,'Cronog. e Histog.'!EK:EK),0)</f>
        <v>0</v>
      </c>
      <c r="BO127" s="109">
        <f>($O127/Dashboard!$D$15)*(1+Dashboard!$D$19)</f>
        <v>57.489669421487598</v>
      </c>
      <c r="BP127" s="84">
        <f t="shared" si="100"/>
        <v>0</v>
      </c>
      <c r="BQ127" s="65"/>
      <c r="BR127" s="204"/>
      <c r="BS127" s="156">
        <f>IF(B127&lt;&gt;"",_xlfn.XLOOKUP(B127,'Cronog. e Histog.'!B:B,'Cronog. e Histog.'!EL:EL),0)</f>
        <v>0</v>
      </c>
      <c r="BT127" s="109">
        <f>($O127/Dashboard!$D$15)*(1+Dashboard!$D$20)</f>
        <v>67.071280991735534</v>
      </c>
      <c r="BU127" s="84">
        <f t="shared" si="101"/>
        <v>0</v>
      </c>
      <c r="BV127" s="65"/>
      <c r="BW127" s="204"/>
      <c r="BX127" s="156">
        <f>IF(B127&lt;&gt;"",_xlfn.XLOOKUP(B127,'Cronog. e Histog.'!B:B,'Cronog. e Histog.'!EM:EM),0)</f>
        <v>0</v>
      </c>
      <c r="BY127" s="109">
        <f>($O127/Dashboard!$D$15)*(1+Dashboard!$D$21)</f>
        <v>76.652892561983464</v>
      </c>
      <c r="BZ127" s="84">
        <f t="shared" si="102"/>
        <v>0</v>
      </c>
    </row>
    <row r="128" spans="2:78" ht="12" customHeight="1" outlineLevel="1">
      <c r="B128" s="137" t="str">
        <f>'Cronog. e Histog.'!B247</f>
        <v>AN PL. ADM/CRP - Equipe_01</v>
      </c>
      <c r="C128" s="65"/>
      <c r="D128" s="200">
        <f t="shared" si="70"/>
        <v>0</v>
      </c>
      <c r="E128" s="200">
        <f t="shared" si="71"/>
        <v>0</v>
      </c>
      <c r="F128" s="65"/>
      <c r="G128" s="200">
        <f t="shared" si="72"/>
        <v>0</v>
      </c>
      <c r="H128" s="200">
        <f t="shared" si="73"/>
        <v>0</v>
      </c>
      <c r="I128" s="65"/>
      <c r="J128" s="143" t="str">
        <f>IF('Cronog. e Histog.'!G247&gt;0,'Cronog. e Histog.'!G247,"")</f>
        <v>AN PL. ADM/CRP</v>
      </c>
      <c r="K128" s="65"/>
      <c r="L128" s="144">
        <f>'Cronog. e Histog.'!BT247</f>
        <v>0</v>
      </c>
      <c r="M128" s="144">
        <f>'Cronog. e Histog.'!BU247</f>
        <v>0</v>
      </c>
      <c r="N128" s="65"/>
      <c r="O128" s="109">
        <f>_xlfn.XLOOKUP(B128,Salários!B:B,Salários!K:K)</f>
        <v>5300</v>
      </c>
      <c r="P128" s="109">
        <f t="shared" si="88"/>
        <v>0</v>
      </c>
      <c r="Q128" s="109">
        <f t="shared" si="89"/>
        <v>0</v>
      </c>
      <c r="R128" s="65"/>
      <c r="S128" s="109">
        <f t="shared" si="90"/>
        <v>5300</v>
      </c>
      <c r="T128" s="201" t="str">
        <f>IF(_xlfn.XLOOKUP(B128,Salários!B:B,Salários!I:I)&gt;0,_xlfn.XLOOKUP(B128,Salários!B:B,Salários!I:I),"")</f>
        <v>Mensalista</v>
      </c>
      <c r="U128" s="117">
        <f t="shared" si="91"/>
        <v>0</v>
      </c>
      <c r="V128" s="65"/>
      <c r="W128" s="202"/>
      <c r="X128" s="65"/>
      <c r="Y128" s="69"/>
      <c r="Z128" s="65"/>
      <c r="AA128" s="518"/>
      <c r="AB128" s="65"/>
      <c r="AC128" s="81">
        <f t="shared" si="92"/>
        <v>0</v>
      </c>
      <c r="AD128" s="65"/>
      <c r="AE128" s="112"/>
      <c r="AF128" s="203">
        <v>0.3</v>
      </c>
      <c r="AG128" s="109">
        <f t="shared" si="44"/>
        <v>5300</v>
      </c>
      <c r="AH128" s="84">
        <f t="shared" si="93"/>
        <v>0</v>
      </c>
      <c r="AI128" s="65"/>
      <c r="AJ128" s="112"/>
      <c r="AK128" s="122"/>
      <c r="AL128" s="109">
        <v>1212</v>
      </c>
      <c r="AM128" s="84">
        <f t="shared" si="94"/>
        <v>0</v>
      </c>
      <c r="AN128" s="65"/>
      <c r="AO128" s="112"/>
      <c r="AP128" s="204"/>
      <c r="AQ128" s="109">
        <f>IFERROR((O128+AH128+AM128)/Dashboard!$D$15,0)*0.2</f>
        <v>5.4752066115702478</v>
      </c>
      <c r="AR128" s="84">
        <f t="shared" si="95"/>
        <v>0</v>
      </c>
      <c r="AS128" s="65"/>
      <c r="AT128" s="112"/>
      <c r="AU128" s="203">
        <v>0.33</v>
      </c>
      <c r="AV128" s="109">
        <f t="shared" si="82"/>
        <v>5300</v>
      </c>
      <c r="AW128" s="84">
        <f t="shared" si="96"/>
        <v>0</v>
      </c>
      <c r="AX128" s="65"/>
      <c r="AY128" s="112"/>
      <c r="AZ128" s="203">
        <v>0.25</v>
      </c>
      <c r="BA128" s="109">
        <f t="shared" si="50"/>
        <v>5300</v>
      </c>
      <c r="BB128" s="84">
        <f t="shared" si="97"/>
        <v>0</v>
      </c>
      <c r="BC128" s="65"/>
      <c r="BD128" s="112"/>
      <c r="BE128" s="203">
        <v>0.26</v>
      </c>
      <c r="BF128" s="109">
        <f t="shared" si="85"/>
        <v>5300</v>
      </c>
      <c r="BG128" s="84">
        <f t="shared" si="98"/>
        <v>0</v>
      </c>
      <c r="BH128" s="197"/>
      <c r="BI128" s="518"/>
      <c r="BJ128" s="65"/>
      <c r="BK128" s="81">
        <f t="shared" si="99"/>
        <v>0</v>
      </c>
      <c r="BL128" s="65"/>
      <c r="BM128" s="204"/>
      <c r="BN128" s="156">
        <f>IF(B128&lt;&gt;"",_xlfn.XLOOKUP(B128,'Cronog. e Histog.'!B:B,'Cronog. e Histog.'!EK:EK),0)</f>
        <v>0</v>
      </c>
      <c r="BO128" s="109">
        <f>($O128/Dashboard!$D$15)*(1+Dashboard!$D$19)</f>
        <v>41.064049586776861</v>
      </c>
      <c r="BP128" s="84">
        <f t="shared" si="100"/>
        <v>0</v>
      </c>
      <c r="BQ128" s="65"/>
      <c r="BR128" s="204"/>
      <c r="BS128" s="156">
        <f>IF(B128&lt;&gt;"",_xlfn.XLOOKUP(B128,'Cronog. e Histog.'!B:B,'Cronog. e Histog.'!EL:EL),0)</f>
        <v>0</v>
      </c>
      <c r="BT128" s="109">
        <f>($O128/Dashboard!$D$15)*(1+Dashboard!$D$20)</f>
        <v>47.908057851239668</v>
      </c>
      <c r="BU128" s="84">
        <f t="shared" si="101"/>
        <v>0</v>
      </c>
      <c r="BV128" s="65"/>
      <c r="BW128" s="204"/>
      <c r="BX128" s="156">
        <f>IF(B128&lt;&gt;"",_xlfn.XLOOKUP(B128,'Cronog. e Histog.'!B:B,'Cronog. e Histog.'!EM:EM),0)</f>
        <v>0</v>
      </c>
      <c r="BY128" s="109">
        <f>($O128/Dashboard!$D$15)*(1+Dashboard!$D$21)</f>
        <v>54.752066115702476</v>
      </c>
      <c r="BZ128" s="84">
        <f t="shared" si="102"/>
        <v>0</v>
      </c>
    </row>
    <row r="129" spans="2:78" ht="12" customHeight="1" outlineLevel="1">
      <c r="B129" s="137" t="str">
        <f>'Cronog. e Histog.'!B248</f>
        <v>AN JR. ADM/CRP - Equipe_01</v>
      </c>
      <c r="C129" s="65"/>
      <c r="D129" s="200">
        <f t="shared" si="70"/>
        <v>0</v>
      </c>
      <c r="E129" s="200">
        <f t="shared" si="71"/>
        <v>0</v>
      </c>
      <c r="F129" s="65"/>
      <c r="G129" s="200">
        <f t="shared" si="72"/>
        <v>0</v>
      </c>
      <c r="H129" s="200">
        <f t="shared" si="73"/>
        <v>0</v>
      </c>
      <c r="I129" s="65"/>
      <c r="J129" s="143" t="str">
        <f>IF('Cronog. e Histog.'!G248&gt;0,'Cronog. e Histog.'!G248,"")</f>
        <v>AN JR. ADM/CRP</v>
      </c>
      <c r="K129" s="65"/>
      <c r="L129" s="144">
        <f>'Cronog. e Histog.'!BT248</f>
        <v>0</v>
      </c>
      <c r="M129" s="144">
        <f>'Cronog. e Histog.'!BU248</f>
        <v>0</v>
      </c>
      <c r="N129" s="65"/>
      <c r="O129" s="109">
        <f>_xlfn.XLOOKUP(B129,Salários!B:B,Salários!K:K)</f>
        <v>3710</v>
      </c>
      <c r="P129" s="109">
        <f t="shared" si="88"/>
        <v>0</v>
      </c>
      <c r="Q129" s="109">
        <f t="shared" si="89"/>
        <v>0</v>
      </c>
      <c r="R129" s="65"/>
      <c r="S129" s="109">
        <f t="shared" si="90"/>
        <v>3710</v>
      </c>
      <c r="T129" s="201" t="str">
        <f>IF(_xlfn.XLOOKUP(B129,Salários!B:B,Salários!I:I)&gt;0,_xlfn.XLOOKUP(B129,Salários!B:B,Salários!I:I),"")</f>
        <v>Mensalista</v>
      </c>
      <c r="U129" s="117">
        <f t="shared" si="91"/>
        <v>0</v>
      </c>
      <c r="V129" s="65"/>
      <c r="W129" s="202"/>
      <c r="X129" s="65"/>
      <c r="Y129" s="69"/>
      <c r="Z129" s="65"/>
      <c r="AA129" s="518"/>
      <c r="AB129" s="65"/>
      <c r="AC129" s="81">
        <f t="shared" si="78"/>
        <v>0</v>
      </c>
      <c r="AD129" s="65"/>
      <c r="AE129" s="112"/>
      <c r="AF129" s="203">
        <v>0.3</v>
      </c>
      <c r="AG129" s="109">
        <f t="shared" si="44"/>
        <v>3710</v>
      </c>
      <c r="AH129" s="84">
        <f t="shared" si="79"/>
        <v>0</v>
      </c>
      <c r="AI129" s="65"/>
      <c r="AJ129" s="112"/>
      <c r="AK129" s="122"/>
      <c r="AL129" s="109">
        <v>1212</v>
      </c>
      <c r="AM129" s="84">
        <f t="shared" si="80"/>
        <v>0</v>
      </c>
      <c r="AN129" s="65"/>
      <c r="AO129" s="112"/>
      <c r="AP129" s="204"/>
      <c r="AQ129" s="109">
        <f>IFERROR((O129+AH129+AM129)/Dashboard!$D$15,0)*0.2</f>
        <v>3.8326446280991733</v>
      </c>
      <c r="AR129" s="84">
        <f t="shared" si="81"/>
        <v>0</v>
      </c>
      <c r="AS129" s="65"/>
      <c r="AT129" s="112"/>
      <c r="AU129" s="203">
        <v>0.33</v>
      </c>
      <c r="AV129" s="109">
        <f t="shared" si="82"/>
        <v>3710</v>
      </c>
      <c r="AW129" s="84">
        <f t="shared" si="83"/>
        <v>0</v>
      </c>
      <c r="AX129" s="65"/>
      <c r="AY129" s="112"/>
      <c r="AZ129" s="203">
        <v>0.25</v>
      </c>
      <c r="BA129" s="109">
        <f t="shared" si="50"/>
        <v>3710</v>
      </c>
      <c r="BB129" s="84">
        <f t="shared" si="84"/>
        <v>0</v>
      </c>
      <c r="BC129" s="65"/>
      <c r="BD129" s="112"/>
      <c r="BE129" s="203">
        <v>0.26</v>
      </c>
      <c r="BF129" s="109">
        <f t="shared" si="85"/>
        <v>3710</v>
      </c>
      <c r="BG129" s="84">
        <f t="shared" si="86"/>
        <v>0</v>
      </c>
      <c r="BH129" s="197"/>
      <c r="BI129" s="518"/>
      <c r="BJ129" s="65"/>
      <c r="BK129" s="81">
        <f t="shared" si="87"/>
        <v>0</v>
      </c>
      <c r="BL129" s="65"/>
      <c r="BM129" s="204"/>
      <c r="BN129" s="156">
        <f>IF(B129&lt;&gt;"",_xlfn.XLOOKUP(B129,'Cronog. e Histog.'!B:B,'Cronog. e Histog.'!EK:EK),0)</f>
        <v>0</v>
      </c>
      <c r="BO129" s="109">
        <f>($O129/Dashboard!$D$15)*(1+Dashboard!$D$19)</f>
        <v>28.744834710743799</v>
      </c>
      <c r="BP129" s="84">
        <f t="shared" si="100"/>
        <v>0</v>
      </c>
      <c r="BQ129" s="65"/>
      <c r="BR129" s="204"/>
      <c r="BS129" s="156">
        <f>IF(B129&lt;&gt;"",_xlfn.XLOOKUP(B129,'Cronog. e Histog.'!B:B,'Cronog. e Histog.'!EL:EL),0)</f>
        <v>0</v>
      </c>
      <c r="BT129" s="109">
        <f>($O129/Dashboard!$D$15)*(1+Dashboard!$D$20)</f>
        <v>33.535640495867767</v>
      </c>
      <c r="BU129" s="84">
        <f t="shared" si="101"/>
        <v>0</v>
      </c>
      <c r="BV129" s="65"/>
      <c r="BW129" s="204"/>
      <c r="BX129" s="156">
        <f>IF(B129&lt;&gt;"",_xlfn.XLOOKUP(B129,'Cronog. e Histog.'!B:B,'Cronog. e Histog.'!EM:EM),0)</f>
        <v>0</v>
      </c>
      <c r="BY129" s="109">
        <f>($O129/Dashboard!$D$15)*(1+Dashboard!$D$21)</f>
        <v>38.326446280991732</v>
      </c>
      <c r="BZ129" s="84">
        <f t="shared" si="102"/>
        <v>0</v>
      </c>
    </row>
    <row r="130" spans="2:78" ht="12" customHeight="1" outlineLevel="1">
      <c r="B130" s="137" t="str">
        <f>'Cronog. e Histog.'!B249</f>
        <v>TEC III - Equipe_01</v>
      </c>
      <c r="C130" s="65"/>
      <c r="D130" s="200">
        <f t="shared" si="70"/>
        <v>0</v>
      </c>
      <c r="E130" s="200">
        <f t="shared" si="71"/>
        <v>0</v>
      </c>
      <c r="F130" s="65"/>
      <c r="G130" s="200">
        <f t="shared" si="72"/>
        <v>0</v>
      </c>
      <c r="H130" s="200">
        <f t="shared" si="73"/>
        <v>0</v>
      </c>
      <c r="I130" s="65"/>
      <c r="J130" s="143" t="str">
        <f>IF('Cronog. e Histog.'!G249&gt;0,'Cronog. e Histog.'!G249,"")</f>
        <v>TEC III</v>
      </c>
      <c r="K130" s="65"/>
      <c r="L130" s="144">
        <f>'Cronog. e Histog.'!BT249</f>
        <v>0</v>
      </c>
      <c r="M130" s="144">
        <f>'Cronog. e Histog.'!BU249</f>
        <v>0</v>
      </c>
      <c r="N130" s="65"/>
      <c r="O130" s="109">
        <f>_xlfn.XLOOKUP(B130,Salários!B:B,Salários!K:K)</f>
        <v>6360</v>
      </c>
      <c r="P130" s="109">
        <f t="shared" si="88"/>
        <v>0</v>
      </c>
      <c r="Q130" s="109">
        <f t="shared" si="89"/>
        <v>0</v>
      </c>
      <c r="R130" s="65"/>
      <c r="S130" s="109">
        <f t="shared" si="90"/>
        <v>6360</v>
      </c>
      <c r="T130" s="201" t="str">
        <f>IF(_xlfn.XLOOKUP(B130,Salários!B:B,Salários!I:I)&gt;0,_xlfn.XLOOKUP(B130,Salários!B:B,Salários!I:I),"")</f>
        <v>Mensalista</v>
      </c>
      <c r="U130" s="117">
        <f t="shared" si="91"/>
        <v>0</v>
      </c>
      <c r="V130" s="65"/>
      <c r="W130" s="202"/>
      <c r="X130" s="65"/>
      <c r="Y130" s="69"/>
      <c r="Z130" s="65"/>
      <c r="AA130" s="518"/>
      <c r="AB130" s="65"/>
      <c r="AC130" s="81">
        <f t="shared" si="78"/>
        <v>0</v>
      </c>
      <c r="AD130" s="65"/>
      <c r="AE130" s="112"/>
      <c r="AF130" s="203">
        <v>0.3</v>
      </c>
      <c r="AG130" s="109">
        <f t="shared" si="44"/>
        <v>6360</v>
      </c>
      <c r="AH130" s="84">
        <f t="shared" si="79"/>
        <v>0</v>
      </c>
      <c r="AI130" s="65"/>
      <c r="AJ130" s="112"/>
      <c r="AK130" s="122"/>
      <c r="AL130" s="109">
        <v>1212</v>
      </c>
      <c r="AM130" s="84">
        <f t="shared" si="80"/>
        <v>0</v>
      </c>
      <c r="AN130" s="65"/>
      <c r="AO130" s="112"/>
      <c r="AP130" s="204"/>
      <c r="AQ130" s="109">
        <f>IFERROR((O130+AH130+AM130)/Dashboard!$D$15,0)*0.2</f>
        <v>6.5702479338842963</v>
      </c>
      <c r="AR130" s="84">
        <f t="shared" si="81"/>
        <v>0</v>
      </c>
      <c r="AS130" s="65"/>
      <c r="AT130" s="112"/>
      <c r="AU130" s="203">
        <v>0.33</v>
      </c>
      <c r="AV130" s="109">
        <f t="shared" si="82"/>
        <v>6360</v>
      </c>
      <c r="AW130" s="84">
        <f t="shared" si="83"/>
        <v>0</v>
      </c>
      <c r="AX130" s="65"/>
      <c r="AY130" s="112"/>
      <c r="AZ130" s="203">
        <v>0.25</v>
      </c>
      <c r="BA130" s="109">
        <f t="shared" si="50"/>
        <v>6360</v>
      </c>
      <c r="BB130" s="84">
        <f t="shared" si="84"/>
        <v>0</v>
      </c>
      <c r="BC130" s="65"/>
      <c r="BD130" s="112"/>
      <c r="BE130" s="203">
        <v>0.26</v>
      </c>
      <c r="BF130" s="109">
        <f t="shared" si="85"/>
        <v>6360</v>
      </c>
      <c r="BG130" s="84">
        <f t="shared" si="86"/>
        <v>0</v>
      </c>
      <c r="BH130" s="197"/>
      <c r="BI130" s="518"/>
      <c r="BJ130" s="65"/>
      <c r="BK130" s="81">
        <f t="shared" si="87"/>
        <v>0</v>
      </c>
      <c r="BL130" s="65"/>
      <c r="BM130" s="204"/>
      <c r="BN130" s="156">
        <f>IF(B130&lt;&gt;"",_xlfn.XLOOKUP(B130,'Cronog. e Histog.'!B:B,'Cronog. e Histog.'!EK:EK),0)</f>
        <v>0</v>
      </c>
      <c r="BO130" s="109">
        <f>($O130/Dashboard!$D$15)*(1+Dashboard!$D$19)</f>
        <v>49.276859504132219</v>
      </c>
      <c r="BP130" s="84">
        <f t="shared" si="100"/>
        <v>0</v>
      </c>
      <c r="BQ130" s="65"/>
      <c r="BR130" s="204"/>
      <c r="BS130" s="156">
        <f>IF(B130&lt;&gt;"",_xlfn.XLOOKUP(B130,'Cronog. e Histog.'!B:B,'Cronog. e Histog.'!EL:EL),0)</f>
        <v>0</v>
      </c>
      <c r="BT130" s="109">
        <f>($O130/Dashboard!$D$15)*(1+Dashboard!$D$20)</f>
        <v>57.489669421487591</v>
      </c>
      <c r="BU130" s="84">
        <f t="shared" si="101"/>
        <v>0</v>
      </c>
      <c r="BV130" s="65"/>
      <c r="BW130" s="204"/>
      <c r="BX130" s="156">
        <f>IF(B130&lt;&gt;"",_xlfn.XLOOKUP(B130,'Cronog. e Histog.'!B:B,'Cronog. e Histog.'!EM:EM),0)</f>
        <v>0</v>
      </c>
      <c r="BY130" s="109">
        <f>($O130/Dashboard!$D$15)*(1+Dashboard!$D$21)</f>
        <v>65.702479338842963</v>
      </c>
      <c r="BZ130" s="84">
        <f t="shared" si="102"/>
        <v>0</v>
      </c>
    </row>
    <row r="131" spans="2:78" ht="12" customHeight="1" outlineLevel="1">
      <c r="B131" s="137" t="str">
        <f>'Cronog. e Histog.'!B250</f>
        <v>TEC II - Equipe_01</v>
      </c>
      <c r="C131" s="65"/>
      <c r="D131" s="200">
        <f t="shared" si="70"/>
        <v>0</v>
      </c>
      <c r="E131" s="200">
        <f t="shared" si="71"/>
        <v>0</v>
      </c>
      <c r="F131" s="65"/>
      <c r="G131" s="200">
        <f t="shared" si="72"/>
        <v>0</v>
      </c>
      <c r="H131" s="200">
        <f t="shared" si="73"/>
        <v>0</v>
      </c>
      <c r="I131" s="65"/>
      <c r="J131" s="143" t="str">
        <f>IF('Cronog. e Histog.'!G250&gt;0,'Cronog. e Histog.'!G250,"")</f>
        <v>TEC II</v>
      </c>
      <c r="K131" s="65"/>
      <c r="L131" s="144">
        <f>'Cronog. e Histog.'!BT250</f>
        <v>0</v>
      </c>
      <c r="M131" s="144">
        <f>'Cronog. e Histog.'!BU250</f>
        <v>0</v>
      </c>
      <c r="N131" s="65"/>
      <c r="O131" s="109">
        <f>_xlfn.XLOOKUP(B131,Salários!B:B,Salários!K:K)</f>
        <v>4770</v>
      </c>
      <c r="P131" s="109">
        <f t="shared" si="88"/>
        <v>0</v>
      </c>
      <c r="Q131" s="109">
        <f t="shared" si="89"/>
        <v>0</v>
      </c>
      <c r="R131" s="65"/>
      <c r="S131" s="109">
        <f t="shared" si="90"/>
        <v>4770</v>
      </c>
      <c r="T131" s="201" t="str">
        <f>IF(_xlfn.XLOOKUP(B131,Salários!B:B,Salários!I:I)&gt;0,_xlfn.XLOOKUP(B131,Salários!B:B,Salários!I:I),"")</f>
        <v>Mensalista</v>
      </c>
      <c r="U131" s="117">
        <f t="shared" si="91"/>
        <v>0</v>
      </c>
      <c r="V131" s="65"/>
      <c r="W131" s="202"/>
      <c r="X131" s="65"/>
      <c r="Y131" s="69"/>
      <c r="Z131" s="65"/>
      <c r="AA131" s="518"/>
      <c r="AB131" s="65"/>
      <c r="AC131" s="81">
        <f t="shared" si="78"/>
        <v>0</v>
      </c>
      <c r="AD131" s="65"/>
      <c r="AE131" s="112"/>
      <c r="AF131" s="203">
        <v>0.3</v>
      </c>
      <c r="AG131" s="109">
        <f t="shared" si="44"/>
        <v>4770</v>
      </c>
      <c r="AH131" s="84">
        <f t="shared" si="79"/>
        <v>0</v>
      </c>
      <c r="AI131" s="65"/>
      <c r="AJ131" s="112"/>
      <c r="AK131" s="122"/>
      <c r="AL131" s="109">
        <v>1212</v>
      </c>
      <c r="AM131" s="84">
        <f t="shared" si="80"/>
        <v>0</v>
      </c>
      <c r="AN131" s="65"/>
      <c r="AO131" s="112"/>
      <c r="AP131" s="204"/>
      <c r="AQ131" s="109">
        <f>IFERROR((O131+AH131+AM131)/Dashboard!$D$15,0)*0.2</f>
        <v>4.9276859504132231</v>
      </c>
      <c r="AR131" s="84">
        <f t="shared" si="81"/>
        <v>0</v>
      </c>
      <c r="AS131" s="65"/>
      <c r="AT131" s="112"/>
      <c r="AU131" s="203">
        <v>0.33</v>
      </c>
      <c r="AV131" s="109">
        <f t="shared" si="82"/>
        <v>4770</v>
      </c>
      <c r="AW131" s="84">
        <f t="shared" si="83"/>
        <v>0</v>
      </c>
      <c r="AX131" s="65"/>
      <c r="AY131" s="112"/>
      <c r="AZ131" s="203">
        <v>0.25</v>
      </c>
      <c r="BA131" s="109">
        <f t="shared" si="50"/>
        <v>4770</v>
      </c>
      <c r="BB131" s="84">
        <f t="shared" si="84"/>
        <v>0</v>
      </c>
      <c r="BC131" s="65"/>
      <c r="BD131" s="112"/>
      <c r="BE131" s="203">
        <v>0.26</v>
      </c>
      <c r="BF131" s="109">
        <f t="shared" si="85"/>
        <v>4770</v>
      </c>
      <c r="BG131" s="84">
        <f t="shared" si="86"/>
        <v>0</v>
      </c>
      <c r="BH131" s="197"/>
      <c r="BI131" s="518"/>
      <c r="BJ131" s="65"/>
      <c r="BK131" s="81">
        <f t="shared" si="87"/>
        <v>0</v>
      </c>
      <c r="BL131" s="65"/>
      <c r="BM131" s="204"/>
      <c r="BN131" s="156">
        <f>IF(B131&lt;&gt;"",_xlfn.XLOOKUP(B131,'Cronog. e Histog.'!B:B,'Cronog. e Histog.'!EK:EK),0)</f>
        <v>0</v>
      </c>
      <c r="BO131" s="109">
        <f>($O131/Dashboard!$D$15)*(1+Dashboard!$D$19)</f>
        <v>36.957644628099168</v>
      </c>
      <c r="BP131" s="84">
        <f t="shared" si="100"/>
        <v>0</v>
      </c>
      <c r="BQ131" s="65"/>
      <c r="BR131" s="204"/>
      <c r="BS131" s="156">
        <f>IF(B131&lt;&gt;"",_xlfn.XLOOKUP(B131,'Cronog. e Histog.'!B:B,'Cronog. e Histog.'!EL:EL),0)</f>
        <v>0</v>
      </c>
      <c r="BT131" s="109">
        <f>($O131/Dashboard!$D$15)*(1+Dashboard!$D$20)</f>
        <v>43.117252066115697</v>
      </c>
      <c r="BU131" s="84">
        <f t="shared" si="101"/>
        <v>0</v>
      </c>
      <c r="BV131" s="65"/>
      <c r="BW131" s="204"/>
      <c r="BX131" s="156">
        <f>IF(B131&lt;&gt;"",_xlfn.XLOOKUP(B131,'Cronog. e Histog.'!B:B,'Cronog. e Histog.'!EM:EM),0)</f>
        <v>0</v>
      </c>
      <c r="BY131" s="109">
        <f>($O131/Dashboard!$D$15)*(1+Dashboard!$D$21)</f>
        <v>49.276859504132226</v>
      </c>
      <c r="BZ131" s="84">
        <f t="shared" si="102"/>
        <v>0</v>
      </c>
    </row>
    <row r="132" spans="2:78" ht="12" customHeight="1" outlineLevel="1">
      <c r="B132" s="137" t="str">
        <f>'Cronog. e Histog.'!B251</f>
        <v>TEC I - Equipe_01</v>
      </c>
      <c r="C132" s="65"/>
      <c r="D132" s="200">
        <f t="shared" si="70"/>
        <v>0</v>
      </c>
      <c r="E132" s="200">
        <f t="shared" si="71"/>
        <v>0</v>
      </c>
      <c r="F132" s="65"/>
      <c r="G132" s="200">
        <f t="shared" si="72"/>
        <v>0</v>
      </c>
      <c r="H132" s="200">
        <f t="shared" si="73"/>
        <v>0</v>
      </c>
      <c r="I132" s="65"/>
      <c r="J132" s="143" t="str">
        <f>IF('Cronog. e Histog.'!G251&gt;0,'Cronog. e Histog.'!G251,"")</f>
        <v>TEC I</v>
      </c>
      <c r="K132" s="65"/>
      <c r="L132" s="144">
        <f>'Cronog. e Histog.'!BT251</f>
        <v>0</v>
      </c>
      <c r="M132" s="144">
        <f>'Cronog. e Histog.'!BU251</f>
        <v>0</v>
      </c>
      <c r="N132" s="65"/>
      <c r="O132" s="109">
        <f>_xlfn.XLOOKUP(B132,Salários!B:B,Salários!K:K)</f>
        <v>3180</v>
      </c>
      <c r="P132" s="109">
        <f t="shared" si="88"/>
        <v>0</v>
      </c>
      <c r="Q132" s="109">
        <f t="shared" si="89"/>
        <v>0</v>
      </c>
      <c r="R132" s="65"/>
      <c r="S132" s="109">
        <f t="shared" si="90"/>
        <v>3180</v>
      </c>
      <c r="T132" s="201" t="str">
        <f>IF(_xlfn.XLOOKUP(B132,Salários!B:B,Salários!I:I)&gt;0,_xlfn.XLOOKUP(B132,Salários!B:B,Salários!I:I),"")</f>
        <v>Mensalista</v>
      </c>
      <c r="U132" s="117">
        <f t="shared" si="91"/>
        <v>0</v>
      </c>
      <c r="V132" s="65"/>
      <c r="W132" s="202"/>
      <c r="X132" s="65"/>
      <c r="Y132" s="69"/>
      <c r="Z132" s="65"/>
      <c r="AA132" s="518"/>
      <c r="AB132" s="65"/>
      <c r="AC132" s="81">
        <f t="shared" si="78"/>
        <v>0</v>
      </c>
      <c r="AD132" s="65"/>
      <c r="AE132" s="112"/>
      <c r="AF132" s="203">
        <v>0.3</v>
      </c>
      <c r="AG132" s="109">
        <f t="shared" si="44"/>
        <v>3180</v>
      </c>
      <c r="AH132" s="84">
        <f t="shared" si="79"/>
        <v>0</v>
      </c>
      <c r="AI132" s="65"/>
      <c r="AJ132" s="112"/>
      <c r="AK132" s="122"/>
      <c r="AL132" s="109">
        <v>1212</v>
      </c>
      <c r="AM132" s="84">
        <f t="shared" si="80"/>
        <v>0</v>
      </c>
      <c r="AN132" s="65"/>
      <c r="AO132" s="112"/>
      <c r="AP132" s="204"/>
      <c r="AQ132" s="109">
        <f>IFERROR((O132+AH132+AM132)/Dashboard!$D$15,0)*0.2</f>
        <v>3.2851239669421481</v>
      </c>
      <c r="AR132" s="84">
        <f t="shared" si="81"/>
        <v>0</v>
      </c>
      <c r="AS132" s="65"/>
      <c r="AT132" s="112"/>
      <c r="AU132" s="203">
        <v>0.33</v>
      </c>
      <c r="AV132" s="109">
        <f t="shared" si="82"/>
        <v>3180</v>
      </c>
      <c r="AW132" s="84">
        <f t="shared" si="83"/>
        <v>0</v>
      </c>
      <c r="AX132" s="65"/>
      <c r="AY132" s="112"/>
      <c r="AZ132" s="203">
        <v>0.25</v>
      </c>
      <c r="BA132" s="109">
        <f t="shared" si="50"/>
        <v>3180</v>
      </c>
      <c r="BB132" s="84">
        <f t="shared" si="84"/>
        <v>0</v>
      </c>
      <c r="BC132" s="65"/>
      <c r="BD132" s="112"/>
      <c r="BE132" s="203">
        <v>0.26</v>
      </c>
      <c r="BF132" s="109">
        <f t="shared" si="85"/>
        <v>3180</v>
      </c>
      <c r="BG132" s="84">
        <f t="shared" si="86"/>
        <v>0</v>
      </c>
      <c r="BH132" s="197"/>
      <c r="BI132" s="518"/>
      <c r="BJ132" s="65"/>
      <c r="BK132" s="81">
        <f t="shared" si="87"/>
        <v>0</v>
      </c>
      <c r="BL132" s="65"/>
      <c r="BM132" s="204"/>
      <c r="BN132" s="156">
        <f>IF(B132&lt;&gt;"",_xlfn.XLOOKUP(B132,'Cronog. e Histog.'!B:B,'Cronog. e Histog.'!EK:EK),0)</f>
        <v>0</v>
      </c>
      <c r="BO132" s="109">
        <f>($O132/Dashboard!$D$15)*(1+Dashboard!$D$19)</f>
        <v>24.638429752066109</v>
      </c>
      <c r="BP132" s="84">
        <f t="shared" si="100"/>
        <v>0</v>
      </c>
      <c r="BQ132" s="65"/>
      <c r="BR132" s="204"/>
      <c r="BS132" s="156">
        <f>IF(B132&lt;&gt;"",_xlfn.XLOOKUP(B132,'Cronog. e Histog.'!B:B,'Cronog. e Histog.'!EL:EL),0)</f>
        <v>0</v>
      </c>
      <c r="BT132" s="109">
        <f>($O132/Dashboard!$D$15)*(1+Dashboard!$D$20)</f>
        <v>28.744834710743795</v>
      </c>
      <c r="BU132" s="84">
        <f t="shared" si="101"/>
        <v>0</v>
      </c>
      <c r="BV132" s="65"/>
      <c r="BW132" s="204"/>
      <c r="BX132" s="156">
        <f>IF(B132&lt;&gt;"",_xlfn.XLOOKUP(B132,'Cronog. e Histog.'!B:B,'Cronog. e Histog.'!EM:EM),0)</f>
        <v>0</v>
      </c>
      <c r="BY132" s="109">
        <f>($O132/Dashboard!$D$15)*(1+Dashboard!$D$21)</f>
        <v>32.851239669421481</v>
      </c>
      <c r="BZ132" s="84">
        <f t="shared" si="102"/>
        <v>0</v>
      </c>
    </row>
    <row r="133" spans="2:78" ht="12" customHeight="1" outlineLevel="1">
      <c r="B133" s="137" t="str">
        <f>'Cronog. e Histog.'!B252</f>
        <v>AUX TEC - Equipe_01</v>
      </c>
      <c r="C133" s="65"/>
      <c r="D133" s="200">
        <f t="shared" si="70"/>
        <v>0</v>
      </c>
      <c r="E133" s="200">
        <f t="shared" si="71"/>
        <v>0</v>
      </c>
      <c r="F133" s="65"/>
      <c r="G133" s="200">
        <f t="shared" si="72"/>
        <v>0</v>
      </c>
      <c r="H133" s="200">
        <f t="shared" si="73"/>
        <v>0</v>
      </c>
      <c r="I133" s="65"/>
      <c r="J133" s="143" t="str">
        <f>IF('Cronog. e Histog.'!G252&gt;0,'Cronog. e Histog.'!G252,"")</f>
        <v>AUX TEC</v>
      </c>
      <c r="K133" s="65"/>
      <c r="L133" s="144">
        <f>'Cronog. e Histog.'!BT252</f>
        <v>0</v>
      </c>
      <c r="M133" s="144">
        <f>'Cronog. e Histog.'!BU252</f>
        <v>0</v>
      </c>
      <c r="N133" s="65"/>
      <c r="O133" s="109">
        <f>_xlfn.XLOOKUP(B133,Salários!B:B,Salários!K:K)</f>
        <v>3710</v>
      </c>
      <c r="P133" s="109">
        <f t="shared" si="88"/>
        <v>0</v>
      </c>
      <c r="Q133" s="109">
        <f t="shared" si="89"/>
        <v>0</v>
      </c>
      <c r="R133" s="65"/>
      <c r="S133" s="109">
        <f t="shared" si="90"/>
        <v>3710</v>
      </c>
      <c r="T133" s="201" t="str">
        <f>IF(_xlfn.XLOOKUP(B133,Salários!B:B,Salários!I:I)&gt;0,_xlfn.XLOOKUP(B133,Salários!B:B,Salários!I:I),"")</f>
        <v>Mensalista</v>
      </c>
      <c r="U133" s="117">
        <f t="shared" si="91"/>
        <v>0</v>
      </c>
      <c r="V133" s="65"/>
      <c r="W133" s="202"/>
      <c r="X133" s="65"/>
      <c r="Y133" s="69"/>
      <c r="Z133" s="65"/>
      <c r="AA133" s="518"/>
      <c r="AB133" s="65"/>
      <c r="AC133" s="81">
        <f t="shared" si="78"/>
        <v>0</v>
      </c>
      <c r="AD133" s="65"/>
      <c r="AE133" s="112"/>
      <c r="AF133" s="203">
        <v>0.3</v>
      </c>
      <c r="AG133" s="109">
        <f t="shared" si="44"/>
        <v>3710</v>
      </c>
      <c r="AH133" s="84">
        <f t="shared" si="79"/>
        <v>0</v>
      </c>
      <c r="AI133" s="65"/>
      <c r="AJ133" s="112"/>
      <c r="AK133" s="122"/>
      <c r="AL133" s="109">
        <v>1212</v>
      </c>
      <c r="AM133" s="84">
        <f t="shared" si="80"/>
        <v>0</v>
      </c>
      <c r="AN133" s="65"/>
      <c r="AO133" s="112"/>
      <c r="AP133" s="204"/>
      <c r="AQ133" s="109">
        <f>IFERROR((O133+AH133+AM133)/Dashboard!$D$15,0)*0.2</f>
        <v>3.8326446280991733</v>
      </c>
      <c r="AR133" s="84">
        <f t="shared" si="81"/>
        <v>0</v>
      </c>
      <c r="AS133" s="65"/>
      <c r="AT133" s="112"/>
      <c r="AU133" s="203">
        <v>0.33</v>
      </c>
      <c r="AV133" s="109">
        <f t="shared" si="82"/>
        <v>3710</v>
      </c>
      <c r="AW133" s="84">
        <f t="shared" si="83"/>
        <v>0</v>
      </c>
      <c r="AX133" s="65"/>
      <c r="AY133" s="112"/>
      <c r="AZ133" s="203">
        <v>0.25</v>
      </c>
      <c r="BA133" s="109">
        <f t="shared" si="50"/>
        <v>3710</v>
      </c>
      <c r="BB133" s="84">
        <f t="shared" si="84"/>
        <v>0</v>
      </c>
      <c r="BC133" s="65"/>
      <c r="BD133" s="112"/>
      <c r="BE133" s="203">
        <v>0.26</v>
      </c>
      <c r="BF133" s="109">
        <f t="shared" si="85"/>
        <v>3710</v>
      </c>
      <c r="BG133" s="84">
        <f t="shared" si="86"/>
        <v>0</v>
      </c>
      <c r="BH133" s="197"/>
      <c r="BI133" s="518"/>
      <c r="BJ133" s="65"/>
      <c r="BK133" s="81">
        <f t="shared" si="87"/>
        <v>0</v>
      </c>
      <c r="BL133" s="65"/>
      <c r="BM133" s="204"/>
      <c r="BN133" s="156">
        <f>IF(B133&lt;&gt;"",_xlfn.XLOOKUP(B133,'Cronog. e Histog.'!B:B,'Cronog. e Histog.'!EK:EK),0)</f>
        <v>0</v>
      </c>
      <c r="BO133" s="109">
        <f>($O133/Dashboard!$D$15)*(1+Dashboard!$D$19)</f>
        <v>28.744834710743799</v>
      </c>
      <c r="BP133" s="84">
        <f t="shared" si="100"/>
        <v>0</v>
      </c>
      <c r="BQ133" s="65"/>
      <c r="BR133" s="204"/>
      <c r="BS133" s="156">
        <f>IF(B133&lt;&gt;"",_xlfn.XLOOKUP(B133,'Cronog. e Histog.'!B:B,'Cronog. e Histog.'!EL:EL),0)</f>
        <v>0</v>
      </c>
      <c r="BT133" s="109">
        <f>($O133/Dashboard!$D$15)*(1+Dashboard!$D$20)</f>
        <v>33.535640495867767</v>
      </c>
      <c r="BU133" s="84">
        <f t="shared" si="101"/>
        <v>0</v>
      </c>
      <c r="BV133" s="65"/>
      <c r="BW133" s="204"/>
      <c r="BX133" s="156">
        <f>IF(B133&lt;&gt;"",_xlfn.XLOOKUP(B133,'Cronog. e Histog.'!B:B,'Cronog. e Histog.'!EM:EM),0)</f>
        <v>0</v>
      </c>
      <c r="BY133" s="109">
        <f>($O133/Dashboard!$D$15)*(1+Dashboard!$D$21)</f>
        <v>38.326446280991732</v>
      </c>
      <c r="BZ133" s="84">
        <f t="shared" si="102"/>
        <v>0</v>
      </c>
    </row>
    <row r="134" spans="2:78" ht="12" customHeight="1" outlineLevel="1">
      <c r="B134" s="137" t="str">
        <f>'Cronog. e Histog.'!B253</f>
        <v>AUX ADM - Equipe_01</v>
      </c>
      <c r="C134" s="65"/>
      <c r="D134" s="200">
        <f t="shared" si="70"/>
        <v>0</v>
      </c>
      <c r="E134" s="200">
        <f t="shared" si="71"/>
        <v>0</v>
      </c>
      <c r="F134" s="65"/>
      <c r="G134" s="200">
        <f t="shared" si="72"/>
        <v>0</v>
      </c>
      <c r="H134" s="200">
        <f t="shared" si="73"/>
        <v>0</v>
      </c>
      <c r="I134" s="65"/>
      <c r="J134" s="143" t="str">
        <f>IF('Cronog. e Histog.'!G253&gt;0,'Cronog. e Histog.'!G253,"")</f>
        <v>AUX ADM</v>
      </c>
      <c r="K134" s="65"/>
      <c r="L134" s="144">
        <f>'Cronog. e Histog.'!BT253</f>
        <v>0</v>
      </c>
      <c r="M134" s="144">
        <f>'Cronog. e Histog.'!BU253</f>
        <v>0</v>
      </c>
      <c r="N134" s="65"/>
      <c r="O134" s="109">
        <f>_xlfn.XLOOKUP(B134,Salários!B:B,Salários!K:K)</f>
        <v>1912.24</v>
      </c>
      <c r="P134" s="109">
        <f t="shared" si="88"/>
        <v>0</v>
      </c>
      <c r="Q134" s="109">
        <f t="shared" si="89"/>
        <v>0</v>
      </c>
      <c r="R134" s="65"/>
      <c r="S134" s="109">
        <f t="shared" si="90"/>
        <v>1912.24</v>
      </c>
      <c r="T134" s="201" t="str">
        <f>IF(_xlfn.XLOOKUP(B134,Salários!B:B,Salários!I:I)&gt;0,_xlfn.XLOOKUP(B134,Salários!B:B,Salários!I:I),"")</f>
        <v>Mensalista</v>
      </c>
      <c r="U134" s="117">
        <f t="shared" si="91"/>
        <v>0</v>
      </c>
      <c r="V134" s="65"/>
      <c r="W134" s="202"/>
      <c r="X134" s="65"/>
      <c r="Y134" s="69"/>
      <c r="Z134" s="65"/>
      <c r="AA134" s="518"/>
      <c r="AB134" s="65"/>
      <c r="AC134" s="81">
        <f t="shared" si="78"/>
        <v>0</v>
      </c>
      <c r="AD134" s="65"/>
      <c r="AE134" s="112"/>
      <c r="AF134" s="203">
        <v>0.3</v>
      </c>
      <c r="AG134" s="109">
        <f t="shared" si="44"/>
        <v>1912.24</v>
      </c>
      <c r="AH134" s="84">
        <f t="shared" si="79"/>
        <v>0</v>
      </c>
      <c r="AI134" s="65"/>
      <c r="AJ134" s="112"/>
      <c r="AK134" s="122"/>
      <c r="AL134" s="109">
        <v>1212</v>
      </c>
      <c r="AM134" s="84">
        <f t="shared" si="80"/>
        <v>0</v>
      </c>
      <c r="AN134" s="65"/>
      <c r="AO134" s="112"/>
      <c r="AP134" s="204"/>
      <c r="AQ134" s="109">
        <f>IFERROR((O134+AH134+AM134)/Dashboard!$D$15,0)*0.2</f>
        <v>1.9754545454545456</v>
      </c>
      <c r="AR134" s="84">
        <f t="shared" si="81"/>
        <v>0</v>
      </c>
      <c r="AS134" s="65"/>
      <c r="AT134" s="112"/>
      <c r="AU134" s="203">
        <v>0.33</v>
      </c>
      <c r="AV134" s="109">
        <f t="shared" si="82"/>
        <v>1912.24</v>
      </c>
      <c r="AW134" s="84">
        <f t="shared" si="83"/>
        <v>0</v>
      </c>
      <c r="AX134" s="65"/>
      <c r="AY134" s="112"/>
      <c r="AZ134" s="203">
        <v>0.25</v>
      </c>
      <c r="BA134" s="109">
        <f t="shared" si="50"/>
        <v>1912.24</v>
      </c>
      <c r="BB134" s="84">
        <f t="shared" si="84"/>
        <v>0</v>
      </c>
      <c r="BC134" s="65"/>
      <c r="BD134" s="112"/>
      <c r="BE134" s="203">
        <v>0.26</v>
      </c>
      <c r="BF134" s="109">
        <f t="shared" si="85"/>
        <v>1912.24</v>
      </c>
      <c r="BG134" s="84">
        <f t="shared" si="86"/>
        <v>0</v>
      </c>
      <c r="BH134" s="197"/>
      <c r="BI134" s="518"/>
      <c r="BJ134" s="65"/>
      <c r="BK134" s="81">
        <f t="shared" si="87"/>
        <v>0</v>
      </c>
      <c r="BL134" s="65"/>
      <c r="BM134" s="204"/>
      <c r="BN134" s="156">
        <f>IF(B134&lt;&gt;"",_xlfn.XLOOKUP(B134,'Cronog. e Histog.'!B:B,'Cronog. e Histog.'!EK:EK),0)</f>
        <v>0</v>
      </c>
      <c r="BO134" s="109">
        <f>($O134/Dashboard!$D$15)*(1+Dashboard!$D$19)</f>
        <v>14.815909090909091</v>
      </c>
      <c r="BP134" s="84">
        <f t="shared" si="100"/>
        <v>0</v>
      </c>
      <c r="BQ134" s="65"/>
      <c r="BR134" s="204"/>
      <c r="BS134" s="156">
        <f>IF(B134&lt;&gt;"",_xlfn.XLOOKUP(B134,'Cronog. e Histog.'!B:B,'Cronog. e Histog.'!EL:EL),0)</f>
        <v>0</v>
      </c>
      <c r="BT134" s="109">
        <f>($O134/Dashboard!$D$15)*(1+Dashboard!$D$20)</f>
        <v>17.285227272727273</v>
      </c>
      <c r="BU134" s="84">
        <f t="shared" si="101"/>
        <v>0</v>
      </c>
      <c r="BV134" s="65"/>
      <c r="BW134" s="204"/>
      <c r="BX134" s="156">
        <f>IF(B134&lt;&gt;"",_xlfn.XLOOKUP(B134,'Cronog. e Histog.'!B:B,'Cronog. e Histog.'!EM:EM),0)</f>
        <v>0</v>
      </c>
      <c r="BY134" s="109">
        <f>($O134/Dashboard!$D$15)*(1+Dashboard!$D$21)</f>
        <v>19.754545454545454</v>
      </c>
      <c r="BZ134" s="84">
        <f t="shared" si="102"/>
        <v>0</v>
      </c>
    </row>
    <row r="135" spans="2:78" ht="12" customHeight="1" outlineLevel="1">
      <c r="B135" s="137" t="str">
        <f>'Cronog. e Histog.'!B254</f>
        <v>EST - Equipe_01</v>
      </c>
      <c r="C135" s="65"/>
      <c r="D135" s="200">
        <f t="shared" si="70"/>
        <v>0</v>
      </c>
      <c r="E135" s="200">
        <f t="shared" si="71"/>
        <v>0</v>
      </c>
      <c r="F135" s="65"/>
      <c r="G135" s="200">
        <f t="shared" si="72"/>
        <v>0</v>
      </c>
      <c r="H135" s="200">
        <f t="shared" si="73"/>
        <v>0</v>
      </c>
      <c r="I135" s="65"/>
      <c r="J135" s="143" t="str">
        <f>IF('Cronog. e Histog.'!G254&gt;0,'Cronog. e Histog.'!G254,"")</f>
        <v>EST</v>
      </c>
      <c r="K135" s="65"/>
      <c r="L135" s="144">
        <f>'Cronog. e Histog.'!BT254</f>
        <v>0</v>
      </c>
      <c r="M135" s="144">
        <f>'Cronog. e Histog.'!BU254</f>
        <v>0</v>
      </c>
      <c r="N135" s="65"/>
      <c r="O135" s="109">
        <f>_xlfn.XLOOKUP(B135,Salários!B:B,Salários!K:K)</f>
        <v>1633</v>
      </c>
      <c r="P135" s="109">
        <f t="shared" si="88"/>
        <v>0</v>
      </c>
      <c r="Q135" s="109">
        <f t="shared" si="89"/>
        <v>0</v>
      </c>
      <c r="R135" s="65"/>
      <c r="S135" s="109">
        <f t="shared" si="90"/>
        <v>1633</v>
      </c>
      <c r="T135" s="201" t="str">
        <f>IF(_xlfn.XLOOKUP(B135,Salários!B:B,Salários!I:I)&gt;0,_xlfn.XLOOKUP(B135,Salários!B:B,Salários!I:I),"")</f>
        <v>PJ</v>
      </c>
      <c r="U135" s="117">
        <f t="shared" si="91"/>
        <v>0</v>
      </c>
      <c r="V135" s="65"/>
      <c r="W135" s="202"/>
      <c r="X135" s="65"/>
      <c r="Y135" s="69"/>
      <c r="Z135" s="65"/>
      <c r="AA135" s="518"/>
      <c r="AB135" s="65"/>
      <c r="AC135" s="81">
        <f t="shared" si="78"/>
        <v>0</v>
      </c>
      <c r="AD135" s="65"/>
      <c r="AE135" s="112"/>
      <c r="AF135" s="203">
        <v>0.3</v>
      </c>
      <c r="AG135" s="109">
        <f t="shared" si="44"/>
        <v>1633</v>
      </c>
      <c r="AH135" s="84">
        <f t="shared" si="79"/>
        <v>0</v>
      </c>
      <c r="AI135" s="65"/>
      <c r="AJ135" s="112"/>
      <c r="AK135" s="122"/>
      <c r="AL135" s="109">
        <v>1212</v>
      </c>
      <c r="AM135" s="84">
        <f t="shared" si="80"/>
        <v>0</v>
      </c>
      <c r="AN135" s="65"/>
      <c r="AO135" s="112"/>
      <c r="AP135" s="204"/>
      <c r="AQ135" s="109">
        <f>IFERROR((O135+AH135+AM135)/Dashboard!$D$15,0)*0.2</f>
        <v>1.6869834710743801</v>
      </c>
      <c r="AR135" s="84">
        <f t="shared" si="81"/>
        <v>0</v>
      </c>
      <c r="AS135" s="65"/>
      <c r="AT135" s="112"/>
      <c r="AU135" s="203">
        <v>0.33</v>
      </c>
      <c r="AV135" s="109">
        <f t="shared" si="82"/>
        <v>1633</v>
      </c>
      <c r="AW135" s="84">
        <f t="shared" si="83"/>
        <v>0</v>
      </c>
      <c r="AX135" s="65"/>
      <c r="AY135" s="112"/>
      <c r="AZ135" s="203">
        <v>0.25</v>
      </c>
      <c r="BA135" s="109">
        <f t="shared" si="50"/>
        <v>1633</v>
      </c>
      <c r="BB135" s="84">
        <f t="shared" si="84"/>
        <v>0</v>
      </c>
      <c r="BC135" s="65"/>
      <c r="BD135" s="112"/>
      <c r="BE135" s="203">
        <v>0.26</v>
      </c>
      <c r="BF135" s="109">
        <f t="shared" si="85"/>
        <v>1633</v>
      </c>
      <c r="BG135" s="84">
        <f t="shared" si="86"/>
        <v>0</v>
      </c>
      <c r="BH135" s="197"/>
      <c r="BI135" s="518"/>
      <c r="BJ135" s="65"/>
      <c r="BK135" s="81">
        <f t="shared" si="87"/>
        <v>0</v>
      </c>
      <c r="BL135" s="65"/>
      <c r="BM135" s="204"/>
      <c r="BN135" s="156">
        <f>IF(B135&lt;&gt;"",_xlfn.XLOOKUP(B135,'Cronog. e Histog.'!B:B,'Cronog. e Histog.'!EK:EK),0)</f>
        <v>0</v>
      </c>
      <c r="BO135" s="109">
        <f>($O135/Dashboard!$D$15)*(1+Dashboard!$D$19)</f>
        <v>12.652376033057848</v>
      </c>
      <c r="BP135" s="84">
        <f t="shared" si="100"/>
        <v>0</v>
      </c>
      <c r="BQ135" s="65"/>
      <c r="BR135" s="204"/>
      <c r="BS135" s="156">
        <f>IF(B135&lt;&gt;"",_xlfn.XLOOKUP(B135,'Cronog. e Histog.'!B:B,'Cronog. e Histog.'!EL:EL),0)</f>
        <v>0</v>
      </c>
      <c r="BT135" s="109">
        <f>($O135/Dashboard!$D$15)*(1+Dashboard!$D$20)</f>
        <v>14.761105371900824</v>
      </c>
      <c r="BU135" s="84">
        <f t="shared" si="101"/>
        <v>0</v>
      </c>
      <c r="BV135" s="65"/>
      <c r="BW135" s="204"/>
      <c r="BX135" s="156">
        <f>IF(B135&lt;&gt;"",_xlfn.XLOOKUP(B135,'Cronog. e Histog.'!B:B,'Cronog. e Histog.'!EM:EM),0)</f>
        <v>0</v>
      </c>
      <c r="BY135" s="109">
        <f>($O135/Dashboard!$D$15)*(1+Dashboard!$D$21)</f>
        <v>16.869834710743799</v>
      </c>
      <c r="BZ135" s="84">
        <f t="shared" si="102"/>
        <v>0</v>
      </c>
    </row>
    <row r="136" spans="2:78" ht="12" customHeight="1" outlineLevel="1">
      <c r="B136" s="137" t="str">
        <f>'Cronog. e Histog.'!B255</f>
        <v>EST_II - Equipe_01</v>
      </c>
      <c r="C136" s="65"/>
      <c r="D136" s="200">
        <f t="shared" si="70"/>
        <v>0</v>
      </c>
      <c r="E136" s="200">
        <f t="shared" si="71"/>
        <v>0</v>
      </c>
      <c r="F136" s="65"/>
      <c r="G136" s="200">
        <f t="shared" si="72"/>
        <v>0</v>
      </c>
      <c r="H136" s="200">
        <f t="shared" si="73"/>
        <v>0</v>
      </c>
      <c r="I136" s="65"/>
      <c r="J136" s="143" t="str">
        <f>IF('Cronog. e Histog.'!G255&gt;0,'Cronog. e Histog.'!G255,"")</f>
        <v>EST_II</v>
      </c>
      <c r="K136" s="65"/>
      <c r="L136" s="144">
        <f>'Cronog. e Histog.'!BT255</f>
        <v>0</v>
      </c>
      <c r="M136" s="144">
        <f>'Cronog. e Histog.'!BU255</f>
        <v>0</v>
      </c>
      <c r="N136" s="65"/>
      <c r="O136" s="109">
        <f>_xlfn.XLOOKUP(B136,Salários!B:B,Salários!K:K)</f>
        <v>1633</v>
      </c>
      <c r="P136" s="109">
        <f t="shared" si="88"/>
        <v>0</v>
      </c>
      <c r="Q136" s="109">
        <f t="shared" si="89"/>
        <v>0</v>
      </c>
      <c r="R136" s="65"/>
      <c r="S136" s="109">
        <f t="shared" si="90"/>
        <v>1633</v>
      </c>
      <c r="T136" s="201" t="str">
        <f>IF(_xlfn.XLOOKUP(B136,Salários!B:B,Salários!I:I)&gt;0,_xlfn.XLOOKUP(B136,Salários!B:B,Salários!I:I),"")</f>
        <v>PJ</v>
      </c>
      <c r="U136" s="117">
        <f t="shared" si="91"/>
        <v>0</v>
      </c>
      <c r="V136" s="65"/>
      <c r="W136" s="202"/>
      <c r="X136" s="65"/>
      <c r="Y136" s="69"/>
      <c r="Z136" s="65"/>
      <c r="AA136" s="518"/>
      <c r="AB136" s="65"/>
      <c r="AC136" s="81">
        <f t="shared" si="78"/>
        <v>0</v>
      </c>
      <c r="AD136" s="65"/>
      <c r="AE136" s="112"/>
      <c r="AF136" s="203">
        <v>0.3</v>
      </c>
      <c r="AG136" s="109">
        <f t="shared" si="44"/>
        <v>1633</v>
      </c>
      <c r="AH136" s="84">
        <f t="shared" si="79"/>
        <v>0</v>
      </c>
      <c r="AI136" s="65"/>
      <c r="AJ136" s="112"/>
      <c r="AK136" s="122"/>
      <c r="AL136" s="109">
        <v>1212</v>
      </c>
      <c r="AM136" s="84">
        <f t="shared" si="80"/>
        <v>0</v>
      </c>
      <c r="AN136" s="65"/>
      <c r="AO136" s="112"/>
      <c r="AP136" s="204"/>
      <c r="AQ136" s="109">
        <f>IFERROR((O136+AH136+AM136)/Dashboard!$D$15,0)*0.2</f>
        <v>1.6869834710743801</v>
      </c>
      <c r="AR136" s="84">
        <f t="shared" si="81"/>
        <v>0</v>
      </c>
      <c r="AS136" s="65"/>
      <c r="AT136" s="112"/>
      <c r="AU136" s="203">
        <v>0.33</v>
      </c>
      <c r="AV136" s="109">
        <f t="shared" si="82"/>
        <v>1633</v>
      </c>
      <c r="AW136" s="84">
        <f t="shared" si="83"/>
        <v>0</v>
      </c>
      <c r="AX136" s="65"/>
      <c r="AY136" s="112"/>
      <c r="AZ136" s="203">
        <v>0.25</v>
      </c>
      <c r="BA136" s="109">
        <f t="shared" si="50"/>
        <v>1633</v>
      </c>
      <c r="BB136" s="84">
        <f t="shared" si="84"/>
        <v>0</v>
      </c>
      <c r="BC136" s="65"/>
      <c r="BD136" s="112"/>
      <c r="BE136" s="203">
        <v>0.26</v>
      </c>
      <c r="BF136" s="109">
        <f t="shared" si="85"/>
        <v>1633</v>
      </c>
      <c r="BG136" s="84">
        <f t="shared" si="86"/>
        <v>0</v>
      </c>
      <c r="BH136" s="197"/>
      <c r="BI136" s="518"/>
      <c r="BJ136" s="65"/>
      <c r="BK136" s="81">
        <f t="shared" si="87"/>
        <v>0</v>
      </c>
      <c r="BL136" s="65"/>
      <c r="BM136" s="204"/>
      <c r="BN136" s="156">
        <f>IF(B136&lt;&gt;"",_xlfn.XLOOKUP(B136,'Cronog. e Histog.'!B:B,'Cronog. e Histog.'!EK:EK),0)</f>
        <v>0</v>
      </c>
      <c r="BO136" s="109">
        <f>($O136/Dashboard!$D$15)*(1+Dashboard!$D$19)</f>
        <v>12.652376033057848</v>
      </c>
      <c r="BP136" s="84">
        <f t="shared" si="100"/>
        <v>0</v>
      </c>
      <c r="BQ136" s="65"/>
      <c r="BR136" s="204"/>
      <c r="BS136" s="156">
        <f>IF(B136&lt;&gt;"",_xlfn.XLOOKUP(B136,'Cronog. e Histog.'!B:B,'Cronog. e Histog.'!EL:EL),0)</f>
        <v>0</v>
      </c>
      <c r="BT136" s="109">
        <f>($O136/Dashboard!$D$15)*(1+Dashboard!$D$20)</f>
        <v>14.761105371900824</v>
      </c>
      <c r="BU136" s="84">
        <f t="shared" si="101"/>
        <v>0</v>
      </c>
      <c r="BV136" s="65"/>
      <c r="BW136" s="204"/>
      <c r="BX136" s="156">
        <f>IF(B136&lt;&gt;"",_xlfn.XLOOKUP(B136,'Cronog. e Histog.'!B:B,'Cronog. e Histog.'!EM:EM),0)</f>
        <v>0</v>
      </c>
      <c r="BY136" s="109">
        <f>($O136/Dashboard!$D$15)*(1+Dashboard!$D$21)</f>
        <v>16.869834710743799</v>
      </c>
      <c r="BZ136" s="84">
        <f t="shared" si="102"/>
        <v>0</v>
      </c>
    </row>
    <row r="137" spans="2:78" ht="12" customHeight="1" outlineLevel="1">
      <c r="B137" s="137" t="str">
        <f>'Cronog. e Histog.'!B256</f>
        <v>EST_III - Equipe_01</v>
      </c>
      <c r="C137" s="65"/>
      <c r="D137" s="200">
        <f t="shared" si="70"/>
        <v>0</v>
      </c>
      <c r="E137" s="200">
        <f t="shared" si="71"/>
        <v>0</v>
      </c>
      <c r="F137" s="65"/>
      <c r="G137" s="200">
        <f t="shared" si="72"/>
        <v>0</v>
      </c>
      <c r="H137" s="200">
        <f t="shared" si="73"/>
        <v>0</v>
      </c>
      <c r="I137" s="65"/>
      <c r="J137" s="143" t="str">
        <f>IF('Cronog. e Histog.'!G256&gt;0,'Cronog. e Histog.'!G256,"")</f>
        <v>EST_III</v>
      </c>
      <c r="K137" s="65"/>
      <c r="L137" s="144">
        <f>'Cronog. e Histog.'!BT256</f>
        <v>0</v>
      </c>
      <c r="M137" s="144">
        <f>'Cronog. e Histog.'!BU256</f>
        <v>0</v>
      </c>
      <c r="N137" s="65"/>
      <c r="O137" s="109">
        <f>_xlfn.XLOOKUP(B137,Salários!B:B,Salários!K:K)</f>
        <v>1633</v>
      </c>
      <c r="P137" s="109">
        <f t="shared" si="88"/>
        <v>0</v>
      </c>
      <c r="Q137" s="109">
        <f t="shared" si="89"/>
        <v>0</v>
      </c>
      <c r="R137" s="65"/>
      <c r="S137" s="109">
        <f t="shared" si="90"/>
        <v>1633</v>
      </c>
      <c r="T137" s="201" t="str">
        <f>IF(_xlfn.XLOOKUP(B137,Salários!B:B,Salários!I:I)&gt;0,_xlfn.XLOOKUP(B137,Salários!B:B,Salários!I:I),"")</f>
        <v>PJ</v>
      </c>
      <c r="U137" s="117">
        <f t="shared" si="91"/>
        <v>0</v>
      </c>
      <c r="V137" s="65"/>
      <c r="W137" s="202"/>
      <c r="X137" s="65"/>
      <c r="Y137" s="69"/>
      <c r="Z137" s="65"/>
      <c r="AA137" s="518"/>
      <c r="AB137" s="65"/>
      <c r="AC137" s="81">
        <f t="shared" si="78"/>
        <v>0</v>
      </c>
      <c r="AD137" s="65"/>
      <c r="AE137" s="112"/>
      <c r="AF137" s="203">
        <v>0.3</v>
      </c>
      <c r="AG137" s="109">
        <f t="shared" si="44"/>
        <v>1633</v>
      </c>
      <c r="AH137" s="84">
        <f t="shared" si="79"/>
        <v>0</v>
      </c>
      <c r="AI137" s="65"/>
      <c r="AJ137" s="112"/>
      <c r="AK137" s="122"/>
      <c r="AL137" s="109">
        <v>1212</v>
      </c>
      <c r="AM137" s="84">
        <f t="shared" si="80"/>
        <v>0</v>
      </c>
      <c r="AN137" s="65"/>
      <c r="AO137" s="112"/>
      <c r="AP137" s="204"/>
      <c r="AQ137" s="109">
        <f>IFERROR((O137+AH137+AM137)/Dashboard!$D$15,0)*0.2</f>
        <v>1.6869834710743801</v>
      </c>
      <c r="AR137" s="84">
        <f t="shared" si="81"/>
        <v>0</v>
      </c>
      <c r="AS137" s="65"/>
      <c r="AT137" s="112"/>
      <c r="AU137" s="203">
        <v>0.33</v>
      </c>
      <c r="AV137" s="109">
        <f t="shared" si="82"/>
        <v>1633</v>
      </c>
      <c r="AW137" s="84">
        <f t="shared" si="83"/>
        <v>0</v>
      </c>
      <c r="AX137" s="65"/>
      <c r="AY137" s="112"/>
      <c r="AZ137" s="203">
        <v>0.25</v>
      </c>
      <c r="BA137" s="109">
        <f t="shared" si="50"/>
        <v>1633</v>
      </c>
      <c r="BB137" s="84">
        <f t="shared" si="84"/>
        <v>0</v>
      </c>
      <c r="BC137" s="65"/>
      <c r="BD137" s="112"/>
      <c r="BE137" s="203">
        <v>0.26</v>
      </c>
      <c r="BF137" s="109">
        <f t="shared" si="85"/>
        <v>1633</v>
      </c>
      <c r="BG137" s="84">
        <f t="shared" si="86"/>
        <v>0</v>
      </c>
      <c r="BH137" s="197"/>
      <c r="BI137" s="518"/>
      <c r="BJ137" s="65"/>
      <c r="BK137" s="81">
        <f t="shared" si="87"/>
        <v>0</v>
      </c>
      <c r="BL137" s="65"/>
      <c r="BM137" s="204"/>
      <c r="BN137" s="156">
        <f>IF(B137&lt;&gt;"",_xlfn.XLOOKUP(B137,'Cronog. e Histog.'!B:B,'Cronog. e Histog.'!EK:EK),0)</f>
        <v>0</v>
      </c>
      <c r="BO137" s="109">
        <f>($O137/Dashboard!$D$15)*(1+Dashboard!$D$19)</f>
        <v>12.652376033057848</v>
      </c>
      <c r="BP137" s="84">
        <f t="shared" si="100"/>
        <v>0</v>
      </c>
      <c r="BQ137" s="65"/>
      <c r="BR137" s="204"/>
      <c r="BS137" s="156">
        <f>IF(B137&lt;&gt;"",_xlfn.XLOOKUP(B137,'Cronog. e Histog.'!B:B,'Cronog. e Histog.'!EL:EL),0)</f>
        <v>0</v>
      </c>
      <c r="BT137" s="109">
        <f>($O137/Dashboard!$D$15)*(1+Dashboard!$D$20)</f>
        <v>14.761105371900824</v>
      </c>
      <c r="BU137" s="84">
        <f t="shared" si="101"/>
        <v>0</v>
      </c>
      <c r="BV137" s="65"/>
      <c r="BW137" s="204"/>
      <c r="BX137" s="156">
        <f>IF(B137&lt;&gt;"",_xlfn.XLOOKUP(B137,'Cronog. e Histog.'!B:B,'Cronog. e Histog.'!EM:EM),0)</f>
        <v>0</v>
      </c>
      <c r="BY137" s="109">
        <f>($O137/Dashboard!$D$15)*(1+Dashboard!$D$21)</f>
        <v>16.869834710743799</v>
      </c>
      <c r="BZ137" s="84">
        <f t="shared" si="102"/>
        <v>0</v>
      </c>
    </row>
    <row r="138" spans="2:78" ht="12" customHeight="1" outlineLevel="1"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9"/>
      <c r="Z138" s="65"/>
      <c r="AA138" s="518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197"/>
      <c r="BI138" s="518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</row>
    <row r="139" spans="2:78" ht="12" customHeight="1" outlineLevel="1">
      <c r="B139" s="65"/>
      <c r="C139" s="65"/>
      <c r="D139" s="65"/>
      <c r="E139" s="65"/>
      <c r="F139" s="65"/>
      <c r="G139" s="65"/>
      <c r="H139" s="65"/>
      <c r="I139" s="65"/>
      <c r="J139" s="199" t="str">
        <f>'Cronog. e Histog.'!F259</f>
        <v>Equipe03</v>
      </c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9"/>
      <c r="Z139" s="65"/>
      <c r="AA139" s="518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197"/>
      <c r="BI139" s="518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</row>
    <row r="140" spans="2:78" ht="12" customHeight="1" outlineLevel="1">
      <c r="B140" s="137" t="str">
        <f>'Cronog. e Histog.'!B261</f>
        <v>GER. (OBRA/PROJ) - Equipe_01</v>
      </c>
      <c r="C140" s="65"/>
      <c r="D140" s="200">
        <f t="shared" ref="D140:D159" si="103">IF(T140="mensalista",L140,0)</f>
        <v>0</v>
      </c>
      <c r="E140" s="200">
        <f t="shared" ref="E140:E159" si="104">IF(T140="mensalista",M140,0)</f>
        <v>0</v>
      </c>
      <c r="F140" s="65"/>
      <c r="G140" s="200">
        <f t="shared" ref="G140:G159" si="105">IF(T140="mensalista",L140,0)</f>
        <v>0</v>
      </c>
      <c r="H140" s="200">
        <f t="shared" ref="H140:H159" si="106">IF(T140="mensalista",M140,0)</f>
        <v>0</v>
      </c>
      <c r="I140" s="65"/>
      <c r="J140" s="143" t="str">
        <f>IF('Cronog. e Histog.'!G261&gt;0,'Cronog. e Histog.'!G261,"")</f>
        <v>GER. (OBRA/PROJ)</v>
      </c>
      <c r="K140" s="65"/>
      <c r="L140" s="144">
        <f>'Cronog. e Histog.'!BT261</f>
        <v>0</v>
      </c>
      <c r="M140" s="144">
        <f>'Cronog. e Histog.'!BU261</f>
        <v>0</v>
      </c>
      <c r="N140" s="65"/>
      <c r="O140" s="109">
        <f>_xlfn.XLOOKUP(B140,Salários!B:B,Salários!K:K)</f>
        <v>21000</v>
      </c>
      <c r="P140" s="109">
        <f t="shared" ref="P140" si="107">AC140</f>
        <v>0</v>
      </c>
      <c r="Q140" s="109">
        <f t="shared" ref="Q140" si="108">BK140</f>
        <v>0</v>
      </c>
      <c r="R140" s="65"/>
      <c r="S140" s="109">
        <f t="shared" ref="S140" si="109">SUM(O140:Q140)</f>
        <v>21000</v>
      </c>
      <c r="T140" s="201" t="str">
        <f>IF(_xlfn.XLOOKUP(B140,Salários!B:B,Salários!I:I)&gt;0,_xlfn.XLOOKUP(B140,Salários!B:B,Salários!I:I),"")</f>
        <v>PJ</v>
      </c>
      <c r="U140" s="117">
        <f t="shared" ref="U140:U159" si="110">L140*M140*S140</f>
        <v>0</v>
      </c>
      <c r="V140" s="65"/>
      <c r="W140" s="202"/>
      <c r="X140" s="65"/>
      <c r="Y140" s="69"/>
      <c r="Z140" s="65"/>
      <c r="AA140" s="518"/>
      <c r="AB140" s="65"/>
      <c r="AC140" s="81">
        <f t="shared" ref="AC140:AC159" si="111">AH140+AM140+AR140+AW140+BB140+BG140</f>
        <v>0</v>
      </c>
      <c r="AD140" s="65"/>
      <c r="AE140" s="112"/>
      <c r="AF140" s="203">
        <v>0.3</v>
      </c>
      <c r="AG140" s="109">
        <f t="shared" si="44"/>
        <v>21000</v>
      </c>
      <c r="AH140" s="84">
        <f t="shared" ref="AH140:AH159" si="112">IF(AE140="sim",AF140*AG140,0)</f>
        <v>0</v>
      </c>
      <c r="AI140" s="65"/>
      <c r="AJ140" s="112"/>
      <c r="AK140" s="122"/>
      <c r="AL140" s="109">
        <v>1212</v>
      </c>
      <c r="AM140" s="84">
        <f t="shared" ref="AM140:AM159" si="113">IF(AJ140="sim",AK140*AL140,0)</f>
        <v>0</v>
      </c>
      <c r="AN140" s="65"/>
      <c r="AO140" s="112"/>
      <c r="AP140" s="204"/>
      <c r="AQ140" s="109">
        <f>IFERROR((O140+AH140+AM140)/Dashboard!$D$15,0)*0.2</f>
        <v>21.694214876033058</v>
      </c>
      <c r="AR140" s="84">
        <f t="shared" ref="AR140:AR159" si="114">IF(AO140="sim",AP140*AQ140,0)</f>
        <v>0</v>
      </c>
      <c r="AS140" s="65"/>
      <c r="AT140" s="112"/>
      <c r="AU140" s="203">
        <v>0.33</v>
      </c>
      <c r="AV140" s="109">
        <f t="shared" ref="AV140:AV159" si="115">$O140</f>
        <v>21000</v>
      </c>
      <c r="AW140" s="84">
        <f t="shared" ref="AW140:AW159" si="116">IF(AT140="sim",AU140*AV140,0)</f>
        <v>0</v>
      </c>
      <c r="AX140" s="65"/>
      <c r="AY140" s="112"/>
      <c r="AZ140" s="203">
        <v>0.25</v>
      </c>
      <c r="BA140" s="109">
        <f t="shared" si="50"/>
        <v>21000</v>
      </c>
      <c r="BB140" s="84">
        <f t="shared" ref="BB140:BB159" si="117">IF(AY140="sim",AZ140*BA140,0)</f>
        <v>0</v>
      </c>
      <c r="BC140" s="65"/>
      <c r="BD140" s="112"/>
      <c r="BE140" s="203">
        <v>0.26</v>
      </c>
      <c r="BF140" s="109">
        <f t="shared" ref="BF140:BF159" si="118">$O140</f>
        <v>21000</v>
      </c>
      <c r="BG140" s="84">
        <f t="shared" ref="BG140:BG159" si="119">IF(BD140="sim",BE140*BF140,0)</f>
        <v>0</v>
      </c>
      <c r="BH140" s="197"/>
      <c r="BI140" s="518"/>
      <c r="BJ140" s="65"/>
      <c r="BK140" s="81">
        <f t="shared" ref="BK140:BK159" si="120">BP140+BU140+BZ140</f>
        <v>0</v>
      </c>
      <c r="BL140" s="65"/>
      <c r="BM140" s="204"/>
      <c r="BN140" s="156">
        <f>IF(B140&lt;&gt;"",_xlfn.XLOOKUP(B140,'Cronog. e Histog.'!B:B,'Cronog. e Histog.'!EK:EK),0)</f>
        <v>0</v>
      </c>
      <c r="BO140" s="109">
        <f>($O140/Dashboard!$D$15)*(1+Dashboard!$D$19)</f>
        <v>162.7066115702479</v>
      </c>
      <c r="BP140" s="84">
        <f>SUM(BM140:BN140)*BO140</f>
        <v>0</v>
      </c>
      <c r="BQ140" s="65"/>
      <c r="BR140" s="204"/>
      <c r="BS140" s="156">
        <f>IF(B140&lt;&gt;"",_xlfn.XLOOKUP(B140,'Cronog. e Histog.'!B:B,'Cronog. e Histog.'!EL:EL),0)</f>
        <v>0</v>
      </c>
      <c r="BT140" s="109">
        <f>($O140/Dashboard!$D$15)*(1+Dashboard!$D$20)</f>
        <v>189.82438016528923</v>
      </c>
      <c r="BU140" s="84">
        <f>SUM(BR140:BS140)*BT140</f>
        <v>0</v>
      </c>
      <c r="BV140" s="65"/>
      <c r="BW140" s="204"/>
      <c r="BX140" s="156">
        <f>IF(B140&lt;&gt;"",_xlfn.XLOOKUP(B140,'Cronog. e Histog.'!B:B,'Cronog. e Histog.'!EM:EM),0)</f>
        <v>0</v>
      </c>
      <c r="BY140" s="109">
        <f>($O140/Dashboard!$D$15)*(1+Dashboard!$D$21)</f>
        <v>216.94214876033055</v>
      </c>
      <c r="BZ140" s="84">
        <f>SUM(BW140:BX140)*BY140</f>
        <v>0</v>
      </c>
    </row>
    <row r="141" spans="2:78" ht="12" customHeight="1" outlineLevel="1">
      <c r="B141" s="137" t="str">
        <f>'Cronog. e Histog.'!B262</f>
        <v>COORD. - Equipe_01</v>
      </c>
      <c r="C141" s="65"/>
      <c r="D141" s="200">
        <f t="shared" si="103"/>
        <v>0</v>
      </c>
      <c r="E141" s="200">
        <f t="shared" si="104"/>
        <v>0</v>
      </c>
      <c r="F141" s="65"/>
      <c r="G141" s="200">
        <f t="shared" si="105"/>
        <v>0</v>
      </c>
      <c r="H141" s="200">
        <f t="shared" si="106"/>
        <v>0</v>
      </c>
      <c r="I141" s="65"/>
      <c r="J141" s="143" t="str">
        <f>IF('Cronog. e Histog.'!G262&gt;0,'Cronog. e Histog.'!G262,"")</f>
        <v>COORD.</v>
      </c>
      <c r="K141" s="65"/>
      <c r="L141" s="144">
        <f>'Cronog. e Histog.'!BT262</f>
        <v>0</v>
      </c>
      <c r="M141" s="144">
        <f>'Cronog. e Histog.'!BU262</f>
        <v>0</v>
      </c>
      <c r="N141" s="65"/>
      <c r="O141" s="109">
        <f>_xlfn.XLOOKUP(B141,Salários!B:B,Salários!K:K)</f>
        <v>19000</v>
      </c>
      <c r="P141" s="109">
        <f t="shared" ref="P141:P159" si="121">AC141</f>
        <v>0</v>
      </c>
      <c r="Q141" s="109">
        <f t="shared" ref="Q141:Q159" si="122">BK141</f>
        <v>0</v>
      </c>
      <c r="R141" s="65"/>
      <c r="S141" s="109">
        <f t="shared" ref="S141:S159" si="123">SUM(O141:Q141)</f>
        <v>19000</v>
      </c>
      <c r="T141" s="201" t="str">
        <f>IF(_xlfn.XLOOKUP(B141,Salários!B:B,Salários!I:I)&gt;0,_xlfn.XLOOKUP(B141,Salários!B:B,Salários!I:I),"")</f>
        <v>PJ</v>
      </c>
      <c r="U141" s="117">
        <f t="shared" ref="U141:U150" si="124">L141*M141*S141</f>
        <v>0</v>
      </c>
      <c r="V141" s="65"/>
      <c r="W141" s="202"/>
      <c r="X141" s="65"/>
      <c r="Y141" s="69"/>
      <c r="Z141" s="65"/>
      <c r="AA141" s="518"/>
      <c r="AB141" s="65"/>
      <c r="AC141" s="81">
        <f t="shared" ref="AC141:AC150" si="125">AH141+AM141+AR141+AW141+BB141+BG141</f>
        <v>0</v>
      </c>
      <c r="AD141" s="65"/>
      <c r="AE141" s="112"/>
      <c r="AF141" s="203">
        <v>0.3</v>
      </c>
      <c r="AG141" s="109">
        <f t="shared" si="44"/>
        <v>19000</v>
      </c>
      <c r="AH141" s="84">
        <f t="shared" ref="AH141:AH150" si="126">IF(AE141="sim",AF141*AG141,0)</f>
        <v>0</v>
      </c>
      <c r="AI141" s="65"/>
      <c r="AJ141" s="112"/>
      <c r="AK141" s="122"/>
      <c r="AL141" s="109">
        <v>1212</v>
      </c>
      <c r="AM141" s="84">
        <f t="shared" ref="AM141:AM150" si="127">IF(AJ141="sim",AK141*AL141,0)</f>
        <v>0</v>
      </c>
      <c r="AN141" s="65"/>
      <c r="AO141" s="112"/>
      <c r="AP141" s="204"/>
      <c r="AQ141" s="109">
        <f>IFERROR((O141+AH141+AM141)/Dashboard!$D$15,0)*0.2</f>
        <v>19.628099173553718</v>
      </c>
      <c r="AR141" s="84">
        <f t="shared" ref="AR141:AR150" si="128">IF(AO141="sim",AP141*AQ141,0)</f>
        <v>0</v>
      </c>
      <c r="AS141" s="65"/>
      <c r="AT141" s="112"/>
      <c r="AU141" s="203">
        <v>0.33</v>
      </c>
      <c r="AV141" s="109">
        <f t="shared" si="115"/>
        <v>19000</v>
      </c>
      <c r="AW141" s="84">
        <f t="shared" ref="AW141:AW150" si="129">IF(AT141="sim",AU141*AV141,0)</f>
        <v>0</v>
      </c>
      <c r="AX141" s="65"/>
      <c r="AY141" s="112"/>
      <c r="AZ141" s="203">
        <v>0.25</v>
      </c>
      <c r="BA141" s="109">
        <f t="shared" si="50"/>
        <v>19000</v>
      </c>
      <c r="BB141" s="84">
        <f t="shared" ref="BB141:BB150" si="130">IF(AY141="sim",AZ141*BA141,0)</f>
        <v>0</v>
      </c>
      <c r="BC141" s="65"/>
      <c r="BD141" s="112"/>
      <c r="BE141" s="203">
        <v>0.26</v>
      </c>
      <c r="BF141" s="109">
        <f t="shared" si="118"/>
        <v>19000</v>
      </c>
      <c r="BG141" s="84">
        <f t="shared" ref="BG141:BG150" si="131">IF(BD141="sim",BE141*BF141,0)</f>
        <v>0</v>
      </c>
      <c r="BH141" s="197"/>
      <c r="BI141" s="518"/>
      <c r="BJ141" s="65"/>
      <c r="BK141" s="81">
        <f t="shared" ref="BK141:BK150" si="132">BP141+BU141+BZ141</f>
        <v>0</v>
      </c>
      <c r="BL141" s="65"/>
      <c r="BM141" s="204"/>
      <c r="BN141" s="156">
        <f>IF(B141&lt;&gt;"",_xlfn.XLOOKUP(B141,'Cronog. e Histog.'!B:B,'Cronog. e Histog.'!EK:EK),0)</f>
        <v>0</v>
      </c>
      <c r="BO141" s="109">
        <f>($O141/Dashboard!$D$15)*(1+Dashboard!$D$19)</f>
        <v>147.21074380165288</v>
      </c>
      <c r="BP141" s="84">
        <f t="shared" ref="BP141:BP159" si="133">SUM(BM141:BN141)*BO141</f>
        <v>0</v>
      </c>
      <c r="BQ141" s="65"/>
      <c r="BR141" s="204"/>
      <c r="BS141" s="156">
        <f>IF(B141&lt;&gt;"",_xlfn.XLOOKUP(B141,'Cronog. e Histog.'!B:B,'Cronog. e Histog.'!EL:EL),0)</f>
        <v>0</v>
      </c>
      <c r="BT141" s="109">
        <f>($O141/Dashboard!$D$15)*(1+Dashboard!$D$20)</f>
        <v>171.74586776859502</v>
      </c>
      <c r="BU141" s="84">
        <f t="shared" ref="BU141:BU159" si="134">SUM(BR141:BS141)*BT141</f>
        <v>0</v>
      </c>
      <c r="BV141" s="65"/>
      <c r="BW141" s="204"/>
      <c r="BX141" s="156">
        <f>IF(B141&lt;&gt;"",_xlfn.XLOOKUP(B141,'Cronog. e Histog.'!B:B,'Cronog. e Histog.'!EM:EM),0)</f>
        <v>0</v>
      </c>
      <c r="BY141" s="109">
        <f>($O141/Dashboard!$D$15)*(1+Dashboard!$D$21)</f>
        <v>196.28099173553716</v>
      </c>
      <c r="BZ141" s="84">
        <f t="shared" ref="BZ141:BZ159" si="135">SUM(BW141:BX141)*BY141</f>
        <v>0</v>
      </c>
    </row>
    <row r="142" spans="2:78" ht="12" customHeight="1" outlineLevel="1">
      <c r="B142" s="137" t="str">
        <f>'Cronog. e Histog.'!B263</f>
        <v>SUP.-ESP - Equipe_01</v>
      </c>
      <c r="C142" s="65"/>
      <c r="D142" s="200">
        <f t="shared" si="103"/>
        <v>0</v>
      </c>
      <c r="E142" s="200">
        <f t="shared" si="104"/>
        <v>0</v>
      </c>
      <c r="F142" s="65"/>
      <c r="G142" s="200">
        <f t="shared" si="105"/>
        <v>0</v>
      </c>
      <c r="H142" s="200">
        <f t="shared" si="106"/>
        <v>0</v>
      </c>
      <c r="I142" s="65"/>
      <c r="J142" s="143" t="str">
        <f>IF('Cronog. e Histog.'!G263&gt;0,'Cronog. e Histog.'!G263,"")</f>
        <v>SUP.-ESP</v>
      </c>
      <c r="K142" s="65"/>
      <c r="L142" s="144">
        <f>'Cronog. e Histog.'!BT263</f>
        <v>0</v>
      </c>
      <c r="M142" s="144">
        <f>'Cronog. e Histog.'!BU263</f>
        <v>0</v>
      </c>
      <c r="N142" s="65"/>
      <c r="O142" s="109">
        <f>_xlfn.XLOOKUP(B142,Salários!B:B,Salários!K:K)</f>
        <v>9716.67</v>
      </c>
      <c r="P142" s="109">
        <f t="shared" si="121"/>
        <v>0</v>
      </c>
      <c r="Q142" s="109">
        <f t="shared" si="122"/>
        <v>0</v>
      </c>
      <c r="R142" s="65"/>
      <c r="S142" s="109">
        <f t="shared" si="123"/>
        <v>9716.67</v>
      </c>
      <c r="T142" s="201" t="str">
        <f>IF(_xlfn.XLOOKUP(B142,Salários!B:B,Salários!I:I)&gt;0,_xlfn.XLOOKUP(B142,Salários!B:B,Salários!I:I),"")</f>
        <v>Mensalista</v>
      </c>
      <c r="U142" s="117">
        <f t="shared" si="124"/>
        <v>0</v>
      </c>
      <c r="V142" s="65"/>
      <c r="W142" s="202"/>
      <c r="X142" s="65"/>
      <c r="Y142" s="69"/>
      <c r="Z142" s="65"/>
      <c r="AA142" s="518"/>
      <c r="AB142" s="65"/>
      <c r="AC142" s="81">
        <f t="shared" si="125"/>
        <v>0</v>
      </c>
      <c r="AD142" s="65"/>
      <c r="AE142" s="112"/>
      <c r="AF142" s="203">
        <v>0.3</v>
      </c>
      <c r="AG142" s="109">
        <f t="shared" si="44"/>
        <v>9716.67</v>
      </c>
      <c r="AH142" s="84">
        <f t="shared" si="126"/>
        <v>0</v>
      </c>
      <c r="AI142" s="65"/>
      <c r="AJ142" s="112"/>
      <c r="AK142" s="122"/>
      <c r="AL142" s="109">
        <v>1212</v>
      </c>
      <c r="AM142" s="84">
        <f t="shared" si="127"/>
        <v>0</v>
      </c>
      <c r="AN142" s="65"/>
      <c r="AO142" s="112"/>
      <c r="AP142" s="204"/>
      <c r="AQ142" s="109">
        <f>IFERROR((O142+AH142+AM142)/Dashboard!$D$15,0)*0.2</f>
        <v>10.037882231404957</v>
      </c>
      <c r="AR142" s="84">
        <f t="shared" si="128"/>
        <v>0</v>
      </c>
      <c r="AS142" s="65"/>
      <c r="AT142" s="112"/>
      <c r="AU142" s="203">
        <v>0.33</v>
      </c>
      <c r="AV142" s="109">
        <f t="shared" si="115"/>
        <v>9716.67</v>
      </c>
      <c r="AW142" s="84">
        <f t="shared" si="129"/>
        <v>0</v>
      </c>
      <c r="AX142" s="65"/>
      <c r="AY142" s="112"/>
      <c r="AZ142" s="203">
        <v>0.25</v>
      </c>
      <c r="BA142" s="109">
        <f t="shared" si="50"/>
        <v>9716.67</v>
      </c>
      <c r="BB142" s="84">
        <f t="shared" si="130"/>
        <v>0</v>
      </c>
      <c r="BC142" s="65"/>
      <c r="BD142" s="112"/>
      <c r="BE142" s="203">
        <v>0.26</v>
      </c>
      <c r="BF142" s="109">
        <f t="shared" si="118"/>
        <v>9716.67</v>
      </c>
      <c r="BG142" s="84">
        <f t="shared" si="131"/>
        <v>0</v>
      </c>
      <c r="BH142" s="197"/>
      <c r="BI142" s="518"/>
      <c r="BJ142" s="65"/>
      <c r="BK142" s="81">
        <f t="shared" si="132"/>
        <v>0</v>
      </c>
      <c r="BL142" s="65"/>
      <c r="BM142" s="204"/>
      <c r="BN142" s="156">
        <f>IF(B142&lt;&gt;"",_xlfn.XLOOKUP(B142,'Cronog. e Histog.'!B:B,'Cronog. e Histog.'!EK:EK),0)</f>
        <v>0</v>
      </c>
      <c r="BO142" s="109">
        <f>($O142/Dashboard!$D$15)*(1+Dashboard!$D$19)</f>
        <v>75.284116735537182</v>
      </c>
      <c r="BP142" s="84">
        <f t="shared" si="133"/>
        <v>0</v>
      </c>
      <c r="BQ142" s="65"/>
      <c r="BR142" s="204"/>
      <c r="BS142" s="156">
        <f>IF(B142&lt;&gt;"",_xlfn.XLOOKUP(B142,'Cronog. e Histog.'!B:B,'Cronog. e Histog.'!EL:EL),0)</f>
        <v>0</v>
      </c>
      <c r="BT142" s="109">
        <f>($O142/Dashboard!$D$15)*(1+Dashboard!$D$20)</f>
        <v>87.831469524793377</v>
      </c>
      <c r="BU142" s="84">
        <f t="shared" si="134"/>
        <v>0</v>
      </c>
      <c r="BV142" s="65"/>
      <c r="BW142" s="204"/>
      <c r="BX142" s="156">
        <f>IF(B142&lt;&gt;"",_xlfn.XLOOKUP(B142,'Cronog. e Histog.'!B:B,'Cronog. e Histog.'!EM:EM),0)</f>
        <v>0</v>
      </c>
      <c r="BY142" s="109">
        <f>($O142/Dashboard!$D$15)*(1+Dashboard!$D$21)</f>
        <v>100.37882231404957</v>
      </c>
      <c r="BZ142" s="84">
        <f t="shared" si="135"/>
        <v>0</v>
      </c>
    </row>
    <row r="143" spans="2:78" ht="12" customHeight="1" outlineLevel="1">
      <c r="B143" s="137" t="str">
        <f>'Cronog. e Histog.'!B264</f>
        <v>ENG/ARQ SR. - Equipe_01</v>
      </c>
      <c r="C143" s="65"/>
      <c r="D143" s="200">
        <f t="shared" si="103"/>
        <v>0</v>
      </c>
      <c r="E143" s="200">
        <f t="shared" si="104"/>
        <v>0</v>
      </c>
      <c r="F143" s="65"/>
      <c r="G143" s="200">
        <f t="shared" si="105"/>
        <v>0</v>
      </c>
      <c r="H143" s="200">
        <f t="shared" si="106"/>
        <v>0</v>
      </c>
      <c r="I143" s="65"/>
      <c r="J143" s="143" t="str">
        <f>IF('Cronog. e Histog.'!G264&gt;0,'Cronog. e Histog.'!G264,"")</f>
        <v>ENG/ARQ SR.</v>
      </c>
      <c r="K143" s="65"/>
      <c r="L143" s="144">
        <f>'Cronog. e Histog.'!BT264</f>
        <v>0</v>
      </c>
      <c r="M143" s="144">
        <f>'Cronog. e Histog.'!BU264</f>
        <v>0</v>
      </c>
      <c r="N143" s="65"/>
      <c r="O143" s="109">
        <f>_xlfn.XLOOKUP(B143,Salários!B:B,Salários!K:K)</f>
        <v>16000</v>
      </c>
      <c r="P143" s="109">
        <f t="shared" si="121"/>
        <v>0</v>
      </c>
      <c r="Q143" s="109">
        <f t="shared" si="122"/>
        <v>0</v>
      </c>
      <c r="R143" s="65"/>
      <c r="S143" s="109">
        <f t="shared" si="123"/>
        <v>16000</v>
      </c>
      <c r="T143" s="201" t="str">
        <f>IF(_xlfn.XLOOKUP(B143,Salários!B:B,Salários!I:I)&gt;0,_xlfn.XLOOKUP(B143,Salários!B:B,Salários!I:I),"")</f>
        <v>PJ</v>
      </c>
      <c r="U143" s="117">
        <f t="shared" si="124"/>
        <v>0</v>
      </c>
      <c r="V143" s="65"/>
      <c r="W143" s="202"/>
      <c r="X143" s="65"/>
      <c r="Y143" s="69"/>
      <c r="Z143" s="65"/>
      <c r="AA143" s="518"/>
      <c r="AB143" s="65"/>
      <c r="AC143" s="81">
        <f t="shared" si="125"/>
        <v>0</v>
      </c>
      <c r="AD143" s="65"/>
      <c r="AE143" s="112"/>
      <c r="AF143" s="203">
        <v>0.3</v>
      </c>
      <c r="AG143" s="109">
        <f t="shared" si="44"/>
        <v>16000</v>
      </c>
      <c r="AH143" s="84">
        <f t="shared" si="126"/>
        <v>0</v>
      </c>
      <c r="AI143" s="65"/>
      <c r="AJ143" s="112"/>
      <c r="AK143" s="122"/>
      <c r="AL143" s="109">
        <v>1212</v>
      </c>
      <c r="AM143" s="84">
        <f t="shared" si="127"/>
        <v>0</v>
      </c>
      <c r="AN143" s="65"/>
      <c r="AO143" s="112"/>
      <c r="AP143" s="204"/>
      <c r="AQ143" s="109">
        <f>IFERROR((O143+AH143+AM143)/Dashboard!$D$15,0)*0.2</f>
        <v>16.528925619834709</v>
      </c>
      <c r="AR143" s="84">
        <f t="shared" si="128"/>
        <v>0</v>
      </c>
      <c r="AS143" s="65"/>
      <c r="AT143" s="112"/>
      <c r="AU143" s="203">
        <v>0.33</v>
      </c>
      <c r="AV143" s="109">
        <f t="shared" si="115"/>
        <v>16000</v>
      </c>
      <c r="AW143" s="84">
        <f t="shared" si="129"/>
        <v>0</v>
      </c>
      <c r="AX143" s="65"/>
      <c r="AY143" s="112"/>
      <c r="AZ143" s="203">
        <v>0.25</v>
      </c>
      <c r="BA143" s="109">
        <f t="shared" si="50"/>
        <v>16000</v>
      </c>
      <c r="BB143" s="84">
        <f t="shared" si="130"/>
        <v>0</v>
      </c>
      <c r="BC143" s="65"/>
      <c r="BD143" s="112"/>
      <c r="BE143" s="203">
        <v>0.26</v>
      </c>
      <c r="BF143" s="109">
        <f t="shared" si="118"/>
        <v>16000</v>
      </c>
      <c r="BG143" s="84">
        <f t="shared" si="131"/>
        <v>0</v>
      </c>
      <c r="BH143" s="197"/>
      <c r="BI143" s="518"/>
      <c r="BJ143" s="65"/>
      <c r="BK143" s="81">
        <f t="shared" si="132"/>
        <v>0</v>
      </c>
      <c r="BL143" s="65"/>
      <c r="BM143" s="204"/>
      <c r="BN143" s="156">
        <f>IF(B143&lt;&gt;"",_xlfn.XLOOKUP(B143,'Cronog. e Histog.'!B:B,'Cronog. e Histog.'!EK:EK),0)</f>
        <v>0</v>
      </c>
      <c r="BO143" s="109">
        <f>($O143/Dashboard!$D$15)*(1+Dashboard!$D$19)</f>
        <v>123.96694214876032</v>
      </c>
      <c r="BP143" s="84">
        <f t="shared" si="133"/>
        <v>0</v>
      </c>
      <c r="BQ143" s="65"/>
      <c r="BR143" s="204"/>
      <c r="BS143" s="156">
        <f>IF(B143&lt;&gt;"",_xlfn.XLOOKUP(B143,'Cronog. e Histog.'!B:B,'Cronog. e Histog.'!EL:EL),0)</f>
        <v>0</v>
      </c>
      <c r="BT143" s="109">
        <f>($O143/Dashboard!$D$15)*(1+Dashboard!$D$20)</f>
        <v>144.62809917355369</v>
      </c>
      <c r="BU143" s="84">
        <f t="shared" si="134"/>
        <v>0</v>
      </c>
      <c r="BV143" s="65"/>
      <c r="BW143" s="204"/>
      <c r="BX143" s="156">
        <f>IF(B143&lt;&gt;"",_xlfn.XLOOKUP(B143,'Cronog. e Histog.'!B:B,'Cronog. e Histog.'!EM:EM),0)</f>
        <v>0</v>
      </c>
      <c r="BY143" s="109">
        <f>($O143/Dashboard!$D$15)*(1+Dashboard!$D$21)</f>
        <v>165.28925619834709</v>
      </c>
      <c r="BZ143" s="84">
        <f t="shared" si="135"/>
        <v>0</v>
      </c>
    </row>
    <row r="144" spans="2:78" ht="12" customHeight="1" outlineLevel="1">
      <c r="B144" s="137" t="str">
        <f>'Cronog. e Histog.'!B265</f>
        <v>ENG/ARQ PL. - Equipe_01</v>
      </c>
      <c r="C144" s="65"/>
      <c r="D144" s="200">
        <f t="shared" si="103"/>
        <v>0</v>
      </c>
      <c r="E144" s="200">
        <f t="shared" si="104"/>
        <v>0</v>
      </c>
      <c r="F144" s="65"/>
      <c r="G144" s="200">
        <f t="shared" si="105"/>
        <v>0</v>
      </c>
      <c r="H144" s="200">
        <f t="shared" si="106"/>
        <v>0</v>
      </c>
      <c r="I144" s="65"/>
      <c r="J144" s="143" t="str">
        <f>IF('Cronog. e Histog.'!G265&gt;0,'Cronog. e Histog.'!G265,"")</f>
        <v>ENG/ARQ PL.</v>
      </c>
      <c r="K144" s="65"/>
      <c r="L144" s="144">
        <f>'Cronog. e Histog.'!BT265</f>
        <v>0</v>
      </c>
      <c r="M144" s="144">
        <f>'Cronog. e Histog.'!BU265</f>
        <v>0</v>
      </c>
      <c r="N144" s="65"/>
      <c r="O144" s="109">
        <f>_xlfn.XLOOKUP(B144,Salários!B:B,Salários!K:K)</f>
        <v>14000</v>
      </c>
      <c r="P144" s="109">
        <f t="shared" si="121"/>
        <v>0</v>
      </c>
      <c r="Q144" s="109">
        <f t="shared" si="122"/>
        <v>0</v>
      </c>
      <c r="R144" s="65"/>
      <c r="S144" s="109">
        <f t="shared" si="123"/>
        <v>14000</v>
      </c>
      <c r="T144" s="201" t="str">
        <f>IF(_xlfn.XLOOKUP(B144,Salários!B:B,Salários!I:I)&gt;0,_xlfn.XLOOKUP(B144,Salários!B:B,Salários!I:I),"")</f>
        <v>PJ</v>
      </c>
      <c r="U144" s="117">
        <f t="shared" si="124"/>
        <v>0</v>
      </c>
      <c r="V144" s="65"/>
      <c r="W144" s="202"/>
      <c r="X144" s="65"/>
      <c r="Y144" s="69"/>
      <c r="Z144" s="65"/>
      <c r="AA144" s="518"/>
      <c r="AB144" s="65"/>
      <c r="AC144" s="81">
        <f t="shared" si="125"/>
        <v>0</v>
      </c>
      <c r="AD144" s="65"/>
      <c r="AE144" s="112"/>
      <c r="AF144" s="203">
        <v>0.3</v>
      </c>
      <c r="AG144" s="109">
        <f t="shared" si="44"/>
        <v>14000</v>
      </c>
      <c r="AH144" s="84">
        <f t="shared" si="126"/>
        <v>0</v>
      </c>
      <c r="AI144" s="65"/>
      <c r="AJ144" s="112"/>
      <c r="AK144" s="122"/>
      <c r="AL144" s="109">
        <v>1212</v>
      </c>
      <c r="AM144" s="84">
        <f t="shared" si="127"/>
        <v>0</v>
      </c>
      <c r="AN144" s="65"/>
      <c r="AO144" s="112"/>
      <c r="AP144" s="204"/>
      <c r="AQ144" s="109">
        <f>IFERROR((O144+AH144+AM144)/Dashboard!$D$15,0)*0.2</f>
        <v>14.46280991735537</v>
      </c>
      <c r="AR144" s="84">
        <f t="shared" si="128"/>
        <v>0</v>
      </c>
      <c r="AS144" s="65"/>
      <c r="AT144" s="112"/>
      <c r="AU144" s="203">
        <v>0.33</v>
      </c>
      <c r="AV144" s="109">
        <f t="shared" si="115"/>
        <v>14000</v>
      </c>
      <c r="AW144" s="84">
        <f t="shared" si="129"/>
        <v>0</v>
      </c>
      <c r="AX144" s="65"/>
      <c r="AY144" s="112"/>
      <c r="AZ144" s="203">
        <v>0.25</v>
      </c>
      <c r="BA144" s="109">
        <f t="shared" si="50"/>
        <v>14000</v>
      </c>
      <c r="BB144" s="84">
        <f t="shared" si="130"/>
        <v>0</v>
      </c>
      <c r="BC144" s="65"/>
      <c r="BD144" s="112"/>
      <c r="BE144" s="203">
        <v>0.26</v>
      </c>
      <c r="BF144" s="109">
        <f t="shared" si="118"/>
        <v>14000</v>
      </c>
      <c r="BG144" s="84">
        <f t="shared" si="131"/>
        <v>0</v>
      </c>
      <c r="BH144" s="197"/>
      <c r="BI144" s="518"/>
      <c r="BJ144" s="65"/>
      <c r="BK144" s="81">
        <f t="shared" si="132"/>
        <v>0</v>
      </c>
      <c r="BL144" s="65"/>
      <c r="BM144" s="204"/>
      <c r="BN144" s="156">
        <f>IF(B144&lt;&gt;"",_xlfn.XLOOKUP(B144,'Cronog. e Histog.'!B:B,'Cronog. e Histog.'!EK:EK),0)</f>
        <v>0</v>
      </c>
      <c r="BO144" s="109">
        <f>($O144/Dashboard!$D$15)*(1+Dashboard!$D$19)</f>
        <v>108.47107438016528</v>
      </c>
      <c r="BP144" s="84">
        <f t="shared" si="133"/>
        <v>0</v>
      </c>
      <c r="BQ144" s="65"/>
      <c r="BR144" s="204"/>
      <c r="BS144" s="156">
        <f>IF(B144&lt;&gt;"",_xlfn.XLOOKUP(B144,'Cronog. e Histog.'!B:B,'Cronog. e Histog.'!EL:EL),0)</f>
        <v>0</v>
      </c>
      <c r="BT144" s="109">
        <f>($O144/Dashboard!$D$15)*(1+Dashboard!$D$20)</f>
        <v>126.54958677685948</v>
      </c>
      <c r="BU144" s="84">
        <f t="shared" si="134"/>
        <v>0</v>
      </c>
      <c r="BV144" s="65"/>
      <c r="BW144" s="204"/>
      <c r="BX144" s="156">
        <f>IF(B144&lt;&gt;"",_xlfn.XLOOKUP(B144,'Cronog. e Histog.'!B:B,'Cronog. e Histog.'!EM:EM),0)</f>
        <v>0</v>
      </c>
      <c r="BY144" s="109">
        <f>($O144/Dashboard!$D$15)*(1+Dashboard!$D$21)</f>
        <v>144.62809917355369</v>
      </c>
      <c r="BZ144" s="84">
        <f t="shared" si="135"/>
        <v>0</v>
      </c>
    </row>
    <row r="145" spans="2:78" ht="12" customHeight="1" outlineLevel="1">
      <c r="B145" s="137" t="str">
        <f>'Cronog. e Histog.'!B266</f>
        <v>ENG/ARQ JR. - Equipe_01</v>
      </c>
      <c r="C145" s="65"/>
      <c r="D145" s="200">
        <f t="shared" si="103"/>
        <v>0</v>
      </c>
      <c r="E145" s="200">
        <f t="shared" si="104"/>
        <v>0</v>
      </c>
      <c r="F145" s="65"/>
      <c r="G145" s="200">
        <f t="shared" si="105"/>
        <v>0</v>
      </c>
      <c r="H145" s="200">
        <f t="shared" si="106"/>
        <v>0</v>
      </c>
      <c r="I145" s="65"/>
      <c r="J145" s="143" t="str">
        <f>IF('Cronog. e Histog.'!G266&gt;0,'Cronog. e Histog.'!G266,"")</f>
        <v>ENG/ARQ JR.</v>
      </c>
      <c r="K145" s="65"/>
      <c r="L145" s="144">
        <f>'Cronog. e Histog.'!BT266</f>
        <v>0.12999999999999998</v>
      </c>
      <c r="M145" s="144">
        <f>'Cronog. e Histog.'!BU266</f>
        <v>10</v>
      </c>
      <c r="N145" s="65"/>
      <c r="O145" s="109">
        <f>_xlfn.XLOOKUP(B145,Salários!B:B,Salários!K:K)</f>
        <v>14000</v>
      </c>
      <c r="P145" s="109">
        <f t="shared" si="121"/>
        <v>0</v>
      </c>
      <c r="Q145" s="109">
        <f t="shared" si="122"/>
        <v>0</v>
      </c>
      <c r="R145" s="65"/>
      <c r="S145" s="109">
        <f t="shared" si="123"/>
        <v>14000</v>
      </c>
      <c r="T145" s="201" t="str">
        <f>IF(_xlfn.XLOOKUP(B145,Salários!B:B,Salários!I:I)&gt;0,_xlfn.XLOOKUP(B145,Salários!B:B,Salários!I:I),"")</f>
        <v>PJ</v>
      </c>
      <c r="U145" s="117">
        <f t="shared" si="124"/>
        <v>18199.999999999996</v>
      </c>
      <c r="V145" s="65"/>
      <c r="W145" s="202"/>
      <c r="X145" s="65"/>
      <c r="Y145" s="69"/>
      <c r="Z145" s="65"/>
      <c r="AA145" s="518"/>
      <c r="AB145" s="65"/>
      <c r="AC145" s="81">
        <f t="shared" si="125"/>
        <v>0</v>
      </c>
      <c r="AD145" s="65"/>
      <c r="AE145" s="112"/>
      <c r="AF145" s="203">
        <v>0.3</v>
      </c>
      <c r="AG145" s="109">
        <f t="shared" si="44"/>
        <v>14000</v>
      </c>
      <c r="AH145" s="84">
        <f t="shared" si="126"/>
        <v>0</v>
      </c>
      <c r="AI145" s="65"/>
      <c r="AJ145" s="112"/>
      <c r="AK145" s="122"/>
      <c r="AL145" s="109">
        <v>1212</v>
      </c>
      <c r="AM145" s="84">
        <f t="shared" si="127"/>
        <v>0</v>
      </c>
      <c r="AN145" s="65"/>
      <c r="AO145" s="112"/>
      <c r="AP145" s="204"/>
      <c r="AQ145" s="109">
        <f>IFERROR((O145+AH145+AM145)/Dashboard!$D$15,0)*0.2</f>
        <v>14.46280991735537</v>
      </c>
      <c r="AR145" s="84">
        <f t="shared" si="128"/>
        <v>0</v>
      </c>
      <c r="AS145" s="65"/>
      <c r="AT145" s="112"/>
      <c r="AU145" s="203">
        <v>0.33</v>
      </c>
      <c r="AV145" s="109">
        <f t="shared" si="115"/>
        <v>14000</v>
      </c>
      <c r="AW145" s="84">
        <f t="shared" si="129"/>
        <v>0</v>
      </c>
      <c r="AX145" s="65"/>
      <c r="AY145" s="112"/>
      <c r="AZ145" s="203">
        <v>0.25</v>
      </c>
      <c r="BA145" s="109">
        <f t="shared" si="50"/>
        <v>14000</v>
      </c>
      <c r="BB145" s="84">
        <f t="shared" si="130"/>
        <v>0</v>
      </c>
      <c r="BC145" s="65"/>
      <c r="BD145" s="112"/>
      <c r="BE145" s="203">
        <v>0.26</v>
      </c>
      <c r="BF145" s="109">
        <f t="shared" si="118"/>
        <v>14000</v>
      </c>
      <c r="BG145" s="84">
        <f t="shared" si="131"/>
        <v>0</v>
      </c>
      <c r="BH145" s="197"/>
      <c r="BI145" s="518"/>
      <c r="BJ145" s="65"/>
      <c r="BK145" s="81">
        <f t="shared" si="132"/>
        <v>0</v>
      </c>
      <c r="BL145" s="65"/>
      <c r="BM145" s="204"/>
      <c r="BN145" s="156">
        <f>IF(B145&lt;&gt;"",_xlfn.XLOOKUP(B145,'Cronog. e Histog.'!B:B,'Cronog. e Histog.'!EK:EK),0)</f>
        <v>0</v>
      </c>
      <c r="BO145" s="109">
        <f>($O145/Dashboard!$D$15)*(1+Dashboard!$D$19)</f>
        <v>108.47107438016528</v>
      </c>
      <c r="BP145" s="84">
        <f t="shared" si="133"/>
        <v>0</v>
      </c>
      <c r="BQ145" s="65"/>
      <c r="BR145" s="204"/>
      <c r="BS145" s="156">
        <f>IF(B145&lt;&gt;"",_xlfn.XLOOKUP(B145,'Cronog. e Histog.'!B:B,'Cronog. e Histog.'!EL:EL),0)</f>
        <v>0</v>
      </c>
      <c r="BT145" s="109">
        <f>($O145/Dashboard!$D$15)*(1+Dashboard!$D$20)</f>
        <v>126.54958677685948</v>
      </c>
      <c r="BU145" s="84">
        <f t="shared" si="134"/>
        <v>0</v>
      </c>
      <c r="BV145" s="65"/>
      <c r="BW145" s="204"/>
      <c r="BX145" s="156">
        <f>IF(B145&lt;&gt;"",_xlfn.XLOOKUP(B145,'Cronog. e Histog.'!B:B,'Cronog. e Histog.'!EM:EM),0)</f>
        <v>0</v>
      </c>
      <c r="BY145" s="109">
        <f>($O145/Dashboard!$D$15)*(1+Dashboard!$D$21)</f>
        <v>144.62809917355369</v>
      </c>
      <c r="BZ145" s="84">
        <f t="shared" si="135"/>
        <v>0</v>
      </c>
    </row>
    <row r="146" spans="2:78" ht="12" customHeight="1" outlineLevel="1">
      <c r="B146" s="137" t="str">
        <f>'Cronog. e Histog.'!B267</f>
        <v>AN SR. ENG/ARQ - Equipe_01</v>
      </c>
      <c r="C146" s="65"/>
      <c r="D146" s="200">
        <f t="shared" si="103"/>
        <v>0</v>
      </c>
      <c r="E146" s="200">
        <f t="shared" si="104"/>
        <v>0</v>
      </c>
      <c r="F146" s="65"/>
      <c r="G146" s="200">
        <f t="shared" si="105"/>
        <v>0</v>
      </c>
      <c r="H146" s="200">
        <f t="shared" si="106"/>
        <v>0</v>
      </c>
      <c r="I146" s="65"/>
      <c r="J146" s="143" t="str">
        <f>IF('Cronog. e Histog.'!G267&gt;0,'Cronog. e Histog.'!G267,"")</f>
        <v>AN SR. ENG/ARQ</v>
      </c>
      <c r="K146" s="65"/>
      <c r="L146" s="144">
        <f>'Cronog. e Histog.'!BT267</f>
        <v>0</v>
      </c>
      <c r="M146" s="144">
        <f>'Cronog. e Histog.'!BU267</f>
        <v>0</v>
      </c>
      <c r="N146" s="65"/>
      <c r="O146" s="109">
        <f>_xlfn.XLOOKUP(B146,Salários!B:B,Salários!K:K)</f>
        <v>7950</v>
      </c>
      <c r="P146" s="109">
        <f t="shared" si="121"/>
        <v>0</v>
      </c>
      <c r="Q146" s="109">
        <f t="shared" si="122"/>
        <v>0</v>
      </c>
      <c r="R146" s="65"/>
      <c r="S146" s="109">
        <f t="shared" si="123"/>
        <v>7950</v>
      </c>
      <c r="T146" s="201" t="str">
        <f>IF(_xlfn.XLOOKUP(B146,Salários!B:B,Salários!I:I)&gt;0,_xlfn.XLOOKUP(B146,Salários!B:B,Salários!I:I),"")</f>
        <v>Mensalista</v>
      </c>
      <c r="U146" s="117">
        <f t="shared" si="124"/>
        <v>0</v>
      </c>
      <c r="V146" s="65"/>
      <c r="W146" s="202"/>
      <c r="X146" s="65"/>
      <c r="Y146" s="69"/>
      <c r="Z146" s="65"/>
      <c r="AA146" s="518"/>
      <c r="AB146" s="65"/>
      <c r="AC146" s="81">
        <f t="shared" si="125"/>
        <v>0</v>
      </c>
      <c r="AD146" s="65"/>
      <c r="AE146" s="112"/>
      <c r="AF146" s="203">
        <v>0.3</v>
      </c>
      <c r="AG146" s="109">
        <f t="shared" si="44"/>
        <v>7950</v>
      </c>
      <c r="AH146" s="84">
        <f t="shared" si="126"/>
        <v>0</v>
      </c>
      <c r="AI146" s="65"/>
      <c r="AJ146" s="112"/>
      <c r="AK146" s="122"/>
      <c r="AL146" s="109">
        <v>1212</v>
      </c>
      <c r="AM146" s="84">
        <f t="shared" si="127"/>
        <v>0</v>
      </c>
      <c r="AN146" s="65"/>
      <c r="AO146" s="112"/>
      <c r="AP146" s="204"/>
      <c r="AQ146" s="109">
        <f>IFERROR((O146+AH146+AM146)/Dashboard!$D$15,0)*0.2</f>
        <v>8.2128099173553704</v>
      </c>
      <c r="AR146" s="84">
        <f t="shared" si="128"/>
        <v>0</v>
      </c>
      <c r="AS146" s="65"/>
      <c r="AT146" s="112"/>
      <c r="AU146" s="203">
        <v>0.33</v>
      </c>
      <c r="AV146" s="109">
        <f t="shared" si="115"/>
        <v>7950</v>
      </c>
      <c r="AW146" s="84">
        <f t="shared" si="129"/>
        <v>0</v>
      </c>
      <c r="AX146" s="65"/>
      <c r="AY146" s="112"/>
      <c r="AZ146" s="203">
        <v>0.25</v>
      </c>
      <c r="BA146" s="109">
        <f t="shared" si="50"/>
        <v>7950</v>
      </c>
      <c r="BB146" s="84">
        <f t="shared" si="130"/>
        <v>0</v>
      </c>
      <c r="BC146" s="65"/>
      <c r="BD146" s="112"/>
      <c r="BE146" s="203">
        <v>0.26</v>
      </c>
      <c r="BF146" s="109">
        <f t="shared" si="118"/>
        <v>7950</v>
      </c>
      <c r="BG146" s="84">
        <f t="shared" si="131"/>
        <v>0</v>
      </c>
      <c r="BH146" s="197"/>
      <c r="BI146" s="518"/>
      <c r="BJ146" s="65"/>
      <c r="BK146" s="81">
        <f t="shared" si="132"/>
        <v>0</v>
      </c>
      <c r="BL146" s="65"/>
      <c r="BM146" s="204"/>
      <c r="BN146" s="156">
        <f>IF(B146&lt;&gt;"",_xlfn.XLOOKUP(B146,'Cronog. e Histog.'!B:B,'Cronog. e Histog.'!EK:EK),0)</f>
        <v>0</v>
      </c>
      <c r="BO146" s="109">
        <f>($O146/Dashboard!$D$15)*(1+Dashboard!$D$19)</f>
        <v>61.596074380165277</v>
      </c>
      <c r="BP146" s="84">
        <f t="shared" si="133"/>
        <v>0</v>
      </c>
      <c r="BQ146" s="65"/>
      <c r="BR146" s="204"/>
      <c r="BS146" s="156">
        <f>IF(B146&lt;&gt;"",_xlfn.XLOOKUP(B146,'Cronog. e Histog.'!B:B,'Cronog. e Histog.'!EL:EL),0)</f>
        <v>0</v>
      </c>
      <c r="BT146" s="109">
        <f>($O146/Dashboard!$D$15)*(1+Dashboard!$D$20)</f>
        <v>71.862086776859499</v>
      </c>
      <c r="BU146" s="84">
        <f t="shared" si="134"/>
        <v>0</v>
      </c>
      <c r="BV146" s="65"/>
      <c r="BW146" s="204"/>
      <c r="BX146" s="156">
        <f>IF(B146&lt;&gt;"",_xlfn.XLOOKUP(B146,'Cronog. e Histog.'!B:B,'Cronog. e Histog.'!EM:EM),0)</f>
        <v>0</v>
      </c>
      <c r="BY146" s="109">
        <f>($O146/Dashboard!$D$15)*(1+Dashboard!$D$21)</f>
        <v>82.128099173553707</v>
      </c>
      <c r="BZ146" s="84">
        <f t="shared" si="135"/>
        <v>0</v>
      </c>
    </row>
    <row r="147" spans="2:78" ht="12" customHeight="1" outlineLevel="1">
      <c r="B147" s="137" t="str">
        <f>'Cronog. e Histog.'!B268</f>
        <v>AN PL. ENG/ARQ - Equipe_01</v>
      </c>
      <c r="C147" s="65"/>
      <c r="D147" s="200">
        <f t="shared" si="103"/>
        <v>0</v>
      </c>
      <c r="E147" s="200">
        <f t="shared" si="104"/>
        <v>0</v>
      </c>
      <c r="F147" s="65"/>
      <c r="G147" s="200">
        <f t="shared" si="105"/>
        <v>0</v>
      </c>
      <c r="H147" s="200">
        <f t="shared" si="106"/>
        <v>0</v>
      </c>
      <c r="I147" s="65"/>
      <c r="J147" s="143" t="str">
        <f>IF('Cronog. e Histog.'!G268&gt;0,'Cronog. e Histog.'!G268,"")</f>
        <v>AN PL. ENG/ARQ</v>
      </c>
      <c r="K147" s="65"/>
      <c r="L147" s="144">
        <f>'Cronog. e Histog.'!BT268</f>
        <v>0</v>
      </c>
      <c r="M147" s="144">
        <f>'Cronog. e Histog.'!BU268</f>
        <v>0</v>
      </c>
      <c r="N147" s="65"/>
      <c r="O147" s="109">
        <f>_xlfn.XLOOKUP(B147,Salários!B:B,Salários!K:K)</f>
        <v>6360</v>
      </c>
      <c r="P147" s="109">
        <f t="shared" si="121"/>
        <v>0</v>
      </c>
      <c r="Q147" s="109">
        <f t="shared" si="122"/>
        <v>0</v>
      </c>
      <c r="R147" s="65"/>
      <c r="S147" s="109">
        <f t="shared" si="123"/>
        <v>6360</v>
      </c>
      <c r="T147" s="201" t="str">
        <f>IF(_xlfn.XLOOKUP(B147,Salários!B:B,Salários!I:I)&gt;0,_xlfn.XLOOKUP(B147,Salários!B:B,Salários!I:I),"")</f>
        <v>Mensalista</v>
      </c>
      <c r="U147" s="117">
        <f t="shared" si="124"/>
        <v>0</v>
      </c>
      <c r="V147" s="65"/>
      <c r="W147" s="202"/>
      <c r="X147" s="65"/>
      <c r="Y147" s="69"/>
      <c r="Z147" s="65"/>
      <c r="AA147" s="518"/>
      <c r="AB147" s="65"/>
      <c r="AC147" s="81">
        <f t="shared" si="125"/>
        <v>0</v>
      </c>
      <c r="AD147" s="65"/>
      <c r="AE147" s="112"/>
      <c r="AF147" s="203">
        <v>0.3</v>
      </c>
      <c r="AG147" s="109">
        <f t="shared" si="44"/>
        <v>6360</v>
      </c>
      <c r="AH147" s="84">
        <f t="shared" si="126"/>
        <v>0</v>
      </c>
      <c r="AI147" s="65"/>
      <c r="AJ147" s="112"/>
      <c r="AK147" s="122"/>
      <c r="AL147" s="109">
        <v>1212</v>
      </c>
      <c r="AM147" s="84">
        <f t="shared" si="127"/>
        <v>0</v>
      </c>
      <c r="AN147" s="65"/>
      <c r="AO147" s="112"/>
      <c r="AP147" s="204"/>
      <c r="AQ147" s="109">
        <f>IFERROR((O147+AH147+AM147)/Dashboard!$D$15,0)*0.2</f>
        <v>6.5702479338842963</v>
      </c>
      <c r="AR147" s="84">
        <f t="shared" si="128"/>
        <v>0</v>
      </c>
      <c r="AS147" s="65"/>
      <c r="AT147" s="112"/>
      <c r="AU147" s="203">
        <v>0.33</v>
      </c>
      <c r="AV147" s="109">
        <f t="shared" si="115"/>
        <v>6360</v>
      </c>
      <c r="AW147" s="84">
        <f t="shared" si="129"/>
        <v>0</v>
      </c>
      <c r="AX147" s="65"/>
      <c r="AY147" s="112"/>
      <c r="AZ147" s="203">
        <v>0.25</v>
      </c>
      <c r="BA147" s="109">
        <f t="shared" si="50"/>
        <v>6360</v>
      </c>
      <c r="BB147" s="84">
        <f t="shared" si="130"/>
        <v>0</v>
      </c>
      <c r="BC147" s="65"/>
      <c r="BD147" s="112"/>
      <c r="BE147" s="203">
        <v>0.26</v>
      </c>
      <c r="BF147" s="109">
        <f t="shared" si="118"/>
        <v>6360</v>
      </c>
      <c r="BG147" s="84">
        <f t="shared" si="131"/>
        <v>0</v>
      </c>
      <c r="BH147" s="197"/>
      <c r="BI147" s="518"/>
      <c r="BJ147" s="65"/>
      <c r="BK147" s="81">
        <f t="shared" si="132"/>
        <v>0</v>
      </c>
      <c r="BL147" s="65"/>
      <c r="BM147" s="204"/>
      <c r="BN147" s="156">
        <f>IF(B147&lt;&gt;"",_xlfn.XLOOKUP(B147,'Cronog. e Histog.'!B:B,'Cronog. e Histog.'!EK:EK),0)</f>
        <v>0</v>
      </c>
      <c r="BO147" s="109">
        <f>($O147/Dashboard!$D$15)*(1+Dashboard!$D$19)</f>
        <v>49.276859504132219</v>
      </c>
      <c r="BP147" s="84">
        <f t="shared" si="133"/>
        <v>0</v>
      </c>
      <c r="BQ147" s="65"/>
      <c r="BR147" s="204"/>
      <c r="BS147" s="156">
        <f>IF(B147&lt;&gt;"",_xlfn.XLOOKUP(B147,'Cronog. e Histog.'!B:B,'Cronog. e Histog.'!EL:EL),0)</f>
        <v>0</v>
      </c>
      <c r="BT147" s="109">
        <f>($O147/Dashboard!$D$15)*(1+Dashboard!$D$20)</f>
        <v>57.489669421487591</v>
      </c>
      <c r="BU147" s="84">
        <f t="shared" si="134"/>
        <v>0</v>
      </c>
      <c r="BV147" s="65"/>
      <c r="BW147" s="204"/>
      <c r="BX147" s="156">
        <f>IF(B147&lt;&gt;"",_xlfn.XLOOKUP(B147,'Cronog. e Histog.'!B:B,'Cronog. e Histog.'!EM:EM),0)</f>
        <v>0</v>
      </c>
      <c r="BY147" s="109">
        <f>($O147/Dashboard!$D$15)*(1+Dashboard!$D$21)</f>
        <v>65.702479338842963</v>
      </c>
      <c r="BZ147" s="84">
        <f t="shared" si="135"/>
        <v>0</v>
      </c>
    </row>
    <row r="148" spans="2:78" ht="12" customHeight="1" outlineLevel="1">
      <c r="B148" s="137" t="str">
        <f>'Cronog. e Histog.'!B269</f>
        <v>AN JR. ENG/ARQ - Equipe_01</v>
      </c>
      <c r="C148" s="65"/>
      <c r="D148" s="200">
        <f t="shared" si="103"/>
        <v>0</v>
      </c>
      <c r="E148" s="200">
        <f t="shared" si="104"/>
        <v>0</v>
      </c>
      <c r="F148" s="65"/>
      <c r="G148" s="200">
        <f t="shared" si="105"/>
        <v>0</v>
      </c>
      <c r="H148" s="200">
        <f t="shared" si="106"/>
        <v>0</v>
      </c>
      <c r="I148" s="65"/>
      <c r="J148" s="143" t="str">
        <f>IF('Cronog. e Histog.'!G269&gt;0,'Cronog. e Histog.'!G269,"")</f>
        <v>AN JR. ENG/ARQ</v>
      </c>
      <c r="K148" s="65"/>
      <c r="L148" s="144">
        <f>'Cronog. e Histog.'!BT269</f>
        <v>0</v>
      </c>
      <c r="M148" s="144">
        <f>'Cronog. e Histog.'!BU269</f>
        <v>0</v>
      </c>
      <c r="N148" s="65"/>
      <c r="O148" s="109">
        <f>_xlfn.XLOOKUP(B148,Salários!B:B,Salários!K:K)</f>
        <v>4770</v>
      </c>
      <c r="P148" s="109">
        <f t="shared" si="121"/>
        <v>0</v>
      </c>
      <c r="Q148" s="109">
        <f t="shared" si="122"/>
        <v>0</v>
      </c>
      <c r="R148" s="65"/>
      <c r="S148" s="109">
        <f t="shared" si="123"/>
        <v>4770</v>
      </c>
      <c r="T148" s="201" t="str">
        <f>IF(_xlfn.XLOOKUP(B148,Salários!B:B,Salários!I:I)&gt;0,_xlfn.XLOOKUP(B148,Salários!B:B,Salários!I:I),"")</f>
        <v>Mensalista</v>
      </c>
      <c r="U148" s="117">
        <f t="shared" si="124"/>
        <v>0</v>
      </c>
      <c r="V148" s="65"/>
      <c r="W148" s="202"/>
      <c r="X148" s="65"/>
      <c r="Y148" s="69"/>
      <c r="Z148" s="65"/>
      <c r="AA148" s="518"/>
      <c r="AB148" s="65"/>
      <c r="AC148" s="81">
        <f t="shared" si="125"/>
        <v>0</v>
      </c>
      <c r="AD148" s="65"/>
      <c r="AE148" s="112"/>
      <c r="AF148" s="203">
        <v>0.3</v>
      </c>
      <c r="AG148" s="109">
        <f t="shared" si="44"/>
        <v>4770</v>
      </c>
      <c r="AH148" s="84">
        <f t="shared" si="126"/>
        <v>0</v>
      </c>
      <c r="AI148" s="65"/>
      <c r="AJ148" s="112"/>
      <c r="AK148" s="122"/>
      <c r="AL148" s="109">
        <v>1212</v>
      </c>
      <c r="AM148" s="84">
        <f t="shared" si="127"/>
        <v>0</v>
      </c>
      <c r="AN148" s="65"/>
      <c r="AO148" s="112"/>
      <c r="AP148" s="204"/>
      <c r="AQ148" s="109">
        <f>IFERROR((O148+AH148+AM148)/Dashboard!$D$15,0)*0.2</f>
        <v>4.9276859504132231</v>
      </c>
      <c r="AR148" s="84">
        <f t="shared" si="128"/>
        <v>0</v>
      </c>
      <c r="AS148" s="65"/>
      <c r="AT148" s="112"/>
      <c r="AU148" s="203">
        <v>0.33</v>
      </c>
      <c r="AV148" s="109">
        <f t="shared" si="115"/>
        <v>4770</v>
      </c>
      <c r="AW148" s="84">
        <f t="shared" si="129"/>
        <v>0</v>
      </c>
      <c r="AX148" s="65"/>
      <c r="AY148" s="112"/>
      <c r="AZ148" s="203">
        <v>0.25</v>
      </c>
      <c r="BA148" s="109">
        <f t="shared" si="50"/>
        <v>4770</v>
      </c>
      <c r="BB148" s="84">
        <f t="shared" si="130"/>
        <v>0</v>
      </c>
      <c r="BC148" s="65"/>
      <c r="BD148" s="112"/>
      <c r="BE148" s="203">
        <v>0.26</v>
      </c>
      <c r="BF148" s="109">
        <f t="shared" si="118"/>
        <v>4770</v>
      </c>
      <c r="BG148" s="84">
        <f t="shared" si="131"/>
        <v>0</v>
      </c>
      <c r="BH148" s="197"/>
      <c r="BI148" s="518"/>
      <c r="BJ148" s="65"/>
      <c r="BK148" s="81">
        <f t="shared" si="132"/>
        <v>0</v>
      </c>
      <c r="BL148" s="65"/>
      <c r="BM148" s="204"/>
      <c r="BN148" s="156">
        <f>IF(B148&lt;&gt;"",_xlfn.XLOOKUP(B148,'Cronog. e Histog.'!B:B,'Cronog. e Histog.'!EK:EK),0)</f>
        <v>0</v>
      </c>
      <c r="BO148" s="109">
        <f>($O148/Dashboard!$D$15)*(1+Dashboard!$D$19)</f>
        <v>36.957644628099168</v>
      </c>
      <c r="BP148" s="84">
        <f t="shared" si="133"/>
        <v>0</v>
      </c>
      <c r="BQ148" s="65"/>
      <c r="BR148" s="204"/>
      <c r="BS148" s="156">
        <f>IF(B148&lt;&gt;"",_xlfn.XLOOKUP(B148,'Cronog. e Histog.'!B:B,'Cronog. e Histog.'!EL:EL),0)</f>
        <v>0</v>
      </c>
      <c r="BT148" s="109">
        <f>($O148/Dashboard!$D$15)*(1+Dashboard!$D$20)</f>
        <v>43.117252066115697</v>
      </c>
      <c r="BU148" s="84">
        <f t="shared" si="134"/>
        <v>0</v>
      </c>
      <c r="BV148" s="65"/>
      <c r="BW148" s="204"/>
      <c r="BX148" s="156">
        <f>IF(B148&lt;&gt;"",_xlfn.XLOOKUP(B148,'Cronog. e Histog.'!B:B,'Cronog. e Histog.'!EM:EM),0)</f>
        <v>0</v>
      </c>
      <c r="BY148" s="109">
        <f>($O148/Dashboard!$D$15)*(1+Dashboard!$D$21)</f>
        <v>49.276859504132226</v>
      </c>
      <c r="BZ148" s="84">
        <f t="shared" si="135"/>
        <v>0</v>
      </c>
    </row>
    <row r="149" spans="2:78" ht="12" customHeight="1" outlineLevel="1">
      <c r="B149" s="137" t="str">
        <f>'Cronog. e Histog.'!B270</f>
        <v>AN SR. ADM/CRP - Equipe_01</v>
      </c>
      <c r="C149" s="65"/>
      <c r="D149" s="200">
        <f t="shared" si="103"/>
        <v>0</v>
      </c>
      <c r="E149" s="200">
        <f t="shared" si="104"/>
        <v>0</v>
      </c>
      <c r="F149" s="65"/>
      <c r="G149" s="200">
        <f t="shared" si="105"/>
        <v>0</v>
      </c>
      <c r="H149" s="200">
        <f t="shared" si="106"/>
        <v>0</v>
      </c>
      <c r="I149" s="65"/>
      <c r="J149" s="143" t="str">
        <f>IF('Cronog. e Histog.'!G270&gt;0,'Cronog. e Histog.'!G270,"")</f>
        <v>AN SR. ADM/CRP</v>
      </c>
      <c r="K149" s="65"/>
      <c r="L149" s="144">
        <f>'Cronog. e Histog.'!BT270</f>
        <v>0</v>
      </c>
      <c r="M149" s="144">
        <f>'Cronog. e Histog.'!BU270</f>
        <v>0</v>
      </c>
      <c r="N149" s="65"/>
      <c r="O149" s="109">
        <f>_xlfn.XLOOKUP(B149,Salários!B:B,Salários!K:K)</f>
        <v>7420</v>
      </c>
      <c r="P149" s="109">
        <f t="shared" si="121"/>
        <v>0</v>
      </c>
      <c r="Q149" s="109">
        <f t="shared" si="122"/>
        <v>0</v>
      </c>
      <c r="R149" s="65"/>
      <c r="S149" s="109">
        <f t="shared" si="123"/>
        <v>7420</v>
      </c>
      <c r="T149" s="201" t="str">
        <f>IF(_xlfn.XLOOKUP(B149,Salários!B:B,Salários!I:I)&gt;0,_xlfn.XLOOKUP(B149,Salários!B:B,Salários!I:I),"")</f>
        <v>Mensalista</v>
      </c>
      <c r="U149" s="117">
        <f t="shared" si="124"/>
        <v>0</v>
      </c>
      <c r="V149" s="65"/>
      <c r="W149" s="202"/>
      <c r="X149" s="65"/>
      <c r="Y149" s="69"/>
      <c r="Z149" s="65"/>
      <c r="AA149" s="518"/>
      <c r="AB149" s="65"/>
      <c r="AC149" s="81">
        <f t="shared" si="125"/>
        <v>0</v>
      </c>
      <c r="AD149" s="65"/>
      <c r="AE149" s="112"/>
      <c r="AF149" s="203">
        <v>0.3</v>
      </c>
      <c r="AG149" s="109">
        <f t="shared" si="44"/>
        <v>7420</v>
      </c>
      <c r="AH149" s="84">
        <f t="shared" si="126"/>
        <v>0</v>
      </c>
      <c r="AI149" s="65"/>
      <c r="AJ149" s="112"/>
      <c r="AK149" s="122"/>
      <c r="AL149" s="109">
        <v>1212</v>
      </c>
      <c r="AM149" s="84">
        <f t="shared" si="127"/>
        <v>0</v>
      </c>
      <c r="AN149" s="65"/>
      <c r="AO149" s="112"/>
      <c r="AP149" s="204"/>
      <c r="AQ149" s="109">
        <f>IFERROR((O149+AH149+AM149)/Dashboard!$D$15,0)*0.2</f>
        <v>7.6652892561983466</v>
      </c>
      <c r="AR149" s="84">
        <f t="shared" si="128"/>
        <v>0</v>
      </c>
      <c r="AS149" s="65"/>
      <c r="AT149" s="112"/>
      <c r="AU149" s="203">
        <v>0.33</v>
      </c>
      <c r="AV149" s="109">
        <f t="shared" si="115"/>
        <v>7420</v>
      </c>
      <c r="AW149" s="84">
        <f t="shared" si="129"/>
        <v>0</v>
      </c>
      <c r="AX149" s="65"/>
      <c r="AY149" s="112"/>
      <c r="AZ149" s="203">
        <v>0.25</v>
      </c>
      <c r="BA149" s="109">
        <f t="shared" si="50"/>
        <v>7420</v>
      </c>
      <c r="BB149" s="84">
        <f t="shared" si="130"/>
        <v>0</v>
      </c>
      <c r="BC149" s="65"/>
      <c r="BD149" s="112"/>
      <c r="BE149" s="203">
        <v>0.26</v>
      </c>
      <c r="BF149" s="109">
        <f t="shared" si="118"/>
        <v>7420</v>
      </c>
      <c r="BG149" s="84">
        <f t="shared" si="131"/>
        <v>0</v>
      </c>
      <c r="BH149" s="197"/>
      <c r="BI149" s="518"/>
      <c r="BJ149" s="65"/>
      <c r="BK149" s="81">
        <f t="shared" si="132"/>
        <v>0</v>
      </c>
      <c r="BL149" s="65"/>
      <c r="BM149" s="204"/>
      <c r="BN149" s="156">
        <f>IF(B149&lt;&gt;"",_xlfn.XLOOKUP(B149,'Cronog. e Histog.'!B:B,'Cronog. e Histog.'!EK:EK),0)</f>
        <v>0</v>
      </c>
      <c r="BO149" s="109">
        <f>($O149/Dashboard!$D$15)*(1+Dashboard!$D$19)</f>
        <v>57.489669421487598</v>
      </c>
      <c r="BP149" s="84">
        <f t="shared" si="133"/>
        <v>0</v>
      </c>
      <c r="BQ149" s="65"/>
      <c r="BR149" s="204"/>
      <c r="BS149" s="156">
        <f>IF(B149&lt;&gt;"",_xlfn.XLOOKUP(B149,'Cronog. e Histog.'!B:B,'Cronog. e Histog.'!EL:EL),0)</f>
        <v>0</v>
      </c>
      <c r="BT149" s="109">
        <f>($O149/Dashboard!$D$15)*(1+Dashboard!$D$20)</f>
        <v>67.071280991735534</v>
      </c>
      <c r="BU149" s="84">
        <f t="shared" si="134"/>
        <v>0</v>
      </c>
      <c r="BV149" s="65"/>
      <c r="BW149" s="204"/>
      <c r="BX149" s="156">
        <f>IF(B149&lt;&gt;"",_xlfn.XLOOKUP(B149,'Cronog. e Histog.'!B:B,'Cronog. e Histog.'!EM:EM),0)</f>
        <v>0</v>
      </c>
      <c r="BY149" s="109">
        <f>($O149/Dashboard!$D$15)*(1+Dashboard!$D$21)</f>
        <v>76.652892561983464</v>
      </c>
      <c r="BZ149" s="84">
        <f t="shared" si="135"/>
        <v>0</v>
      </c>
    </row>
    <row r="150" spans="2:78" ht="12" customHeight="1" outlineLevel="1">
      <c r="B150" s="137" t="str">
        <f>'Cronog. e Histog.'!B271</f>
        <v>AN PL. ADM/CRP - Equipe_01</v>
      </c>
      <c r="C150" s="65"/>
      <c r="D150" s="200">
        <f t="shared" si="103"/>
        <v>0</v>
      </c>
      <c r="E150" s="200">
        <f t="shared" si="104"/>
        <v>0</v>
      </c>
      <c r="F150" s="65"/>
      <c r="G150" s="200">
        <f t="shared" si="105"/>
        <v>0</v>
      </c>
      <c r="H150" s="200">
        <f t="shared" si="106"/>
        <v>0</v>
      </c>
      <c r="I150" s="65"/>
      <c r="J150" s="143" t="str">
        <f>IF('Cronog. e Histog.'!G271&gt;0,'Cronog. e Histog.'!G271,"")</f>
        <v>AN PL. ADM/CRP</v>
      </c>
      <c r="K150" s="65"/>
      <c r="L150" s="144">
        <f>'Cronog. e Histog.'!BT271</f>
        <v>0</v>
      </c>
      <c r="M150" s="144">
        <f>'Cronog. e Histog.'!BU271</f>
        <v>0</v>
      </c>
      <c r="N150" s="65"/>
      <c r="O150" s="109">
        <f>_xlfn.XLOOKUP(B150,Salários!B:B,Salários!K:K)</f>
        <v>5300</v>
      </c>
      <c r="P150" s="109">
        <f t="shared" si="121"/>
        <v>0</v>
      </c>
      <c r="Q150" s="109">
        <f t="shared" si="122"/>
        <v>0</v>
      </c>
      <c r="R150" s="65"/>
      <c r="S150" s="109">
        <f t="shared" si="123"/>
        <v>5300</v>
      </c>
      <c r="T150" s="201" t="str">
        <f>IF(_xlfn.XLOOKUP(B150,Salários!B:B,Salários!I:I)&gt;0,_xlfn.XLOOKUP(B150,Salários!B:B,Salários!I:I),"")</f>
        <v>Mensalista</v>
      </c>
      <c r="U150" s="117">
        <f t="shared" si="124"/>
        <v>0</v>
      </c>
      <c r="V150" s="65"/>
      <c r="W150" s="202"/>
      <c r="X150" s="65"/>
      <c r="Y150" s="69"/>
      <c r="Z150" s="65"/>
      <c r="AA150" s="518"/>
      <c r="AB150" s="65"/>
      <c r="AC150" s="81">
        <f t="shared" si="125"/>
        <v>0</v>
      </c>
      <c r="AD150" s="65"/>
      <c r="AE150" s="112"/>
      <c r="AF150" s="203">
        <v>0.3</v>
      </c>
      <c r="AG150" s="109">
        <f t="shared" si="44"/>
        <v>5300</v>
      </c>
      <c r="AH150" s="84">
        <f t="shared" si="126"/>
        <v>0</v>
      </c>
      <c r="AI150" s="65"/>
      <c r="AJ150" s="112"/>
      <c r="AK150" s="122"/>
      <c r="AL150" s="109">
        <v>1212</v>
      </c>
      <c r="AM150" s="84">
        <f t="shared" si="127"/>
        <v>0</v>
      </c>
      <c r="AN150" s="65"/>
      <c r="AO150" s="112"/>
      <c r="AP150" s="204"/>
      <c r="AQ150" s="109">
        <f>IFERROR((O150+AH150+AM150)/Dashboard!$D$15,0)*0.2</f>
        <v>5.4752066115702478</v>
      </c>
      <c r="AR150" s="84">
        <f t="shared" si="128"/>
        <v>0</v>
      </c>
      <c r="AS150" s="65"/>
      <c r="AT150" s="112"/>
      <c r="AU150" s="203">
        <v>0.33</v>
      </c>
      <c r="AV150" s="109">
        <f t="shared" si="115"/>
        <v>5300</v>
      </c>
      <c r="AW150" s="84">
        <f t="shared" si="129"/>
        <v>0</v>
      </c>
      <c r="AX150" s="65"/>
      <c r="AY150" s="112"/>
      <c r="AZ150" s="203">
        <v>0.25</v>
      </c>
      <c r="BA150" s="109">
        <f t="shared" si="50"/>
        <v>5300</v>
      </c>
      <c r="BB150" s="84">
        <f t="shared" si="130"/>
        <v>0</v>
      </c>
      <c r="BC150" s="65"/>
      <c r="BD150" s="112"/>
      <c r="BE150" s="203">
        <v>0.26</v>
      </c>
      <c r="BF150" s="109">
        <f t="shared" si="118"/>
        <v>5300</v>
      </c>
      <c r="BG150" s="84">
        <f t="shared" si="131"/>
        <v>0</v>
      </c>
      <c r="BH150" s="197"/>
      <c r="BI150" s="518"/>
      <c r="BJ150" s="65"/>
      <c r="BK150" s="81">
        <f t="shared" si="132"/>
        <v>0</v>
      </c>
      <c r="BL150" s="65"/>
      <c r="BM150" s="204"/>
      <c r="BN150" s="156">
        <f>IF(B150&lt;&gt;"",_xlfn.XLOOKUP(B150,'Cronog. e Histog.'!B:B,'Cronog. e Histog.'!EK:EK),0)</f>
        <v>0</v>
      </c>
      <c r="BO150" s="109">
        <f>($O150/Dashboard!$D$15)*(1+Dashboard!$D$19)</f>
        <v>41.064049586776861</v>
      </c>
      <c r="BP150" s="84">
        <f t="shared" si="133"/>
        <v>0</v>
      </c>
      <c r="BQ150" s="65"/>
      <c r="BR150" s="204"/>
      <c r="BS150" s="156">
        <f>IF(B150&lt;&gt;"",_xlfn.XLOOKUP(B150,'Cronog. e Histog.'!B:B,'Cronog. e Histog.'!EL:EL),0)</f>
        <v>0</v>
      </c>
      <c r="BT150" s="109">
        <f>($O150/Dashboard!$D$15)*(1+Dashboard!$D$20)</f>
        <v>47.908057851239668</v>
      </c>
      <c r="BU150" s="84">
        <f t="shared" si="134"/>
        <v>0</v>
      </c>
      <c r="BV150" s="65"/>
      <c r="BW150" s="204"/>
      <c r="BX150" s="156">
        <f>IF(B150&lt;&gt;"",_xlfn.XLOOKUP(B150,'Cronog. e Histog.'!B:B,'Cronog. e Histog.'!EM:EM),0)</f>
        <v>0</v>
      </c>
      <c r="BY150" s="109">
        <f>($O150/Dashboard!$D$15)*(1+Dashboard!$D$21)</f>
        <v>54.752066115702476</v>
      </c>
      <c r="BZ150" s="84">
        <f t="shared" si="135"/>
        <v>0</v>
      </c>
    </row>
    <row r="151" spans="2:78" ht="12" customHeight="1" outlineLevel="1">
      <c r="B151" s="137" t="str">
        <f>'Cronog. e Histog.'!B272</f>
        <v>AN JR. ADM/CRP - Equipe_01</v>
      </c>
      <c r="C151" s="65"/>
      <c r="D151" s="200">
        <f t="shared" si="103"/>
        <v>0</v>
      </c>
      <c r="E151" s="200">
        <f t="shared" si="104"/>
        <v>0</v>
      </c>
      <c r="F151" s="65"/>
      <c r="G151" s="200">
        <f t="shared" si="105"/>
        <v>0</v>
      </c>
      <c r="H151" s="200">
        <f t="shared" si="106"/>
        <v>0</v>
      </c>
      <c r="I151" s="65"/>
      <c r="J151" s="143" t="str">
        <f>IF('Cronog. e Histog.'!G272&gt;0,'Cronog. e Histog.'!G272,"")</f>
        <v>AN JR. ADM/CRP</v>
      </c>
      <c r="K151" s="65"/>
      <c r="L151" s="144">
        <f>'Cronog. e Histog.'!BT272</f>
        <v>0</v>
      </c>
      <c r="M151" s="144">
        <f>'Cronog. e Histog.'!BU272</f>
        <v>0</v>
      </c>
      <c r="N151" s="65"/>
      <c r="O151" s="109">
        <f>_xlfn.XLOOKUP(B151,Salários!B:B,Salários!K:K)</f>
        <v>3710</v>
      </c>
      <c r="P151" s="109">
        <f t="shared" si="121"/>
        <v>0</v>
      </c>
      <c r="Q151" s="109">
        <f t="shared" si="122"/>
        <v>0</v>
      </c>
      <c r="R151" s="65"/>
      <c r="S151" s="109">
        <f t="shared" si="123"/>
        <v>3710</v>
      </c>
      <c r="T151" s="201" t="str">
        <f>IF(_xlfn.XLOOKUP(B151,Salários!B:B,Salários!I:I)&gt;0,_xlfn.XLOOKUP(B151,Salários!B:B,Salários!I:I),"")</f>
        <v>Mensalista</v>
      </c>
      <c r="U151" s="117">
        <f t="shared" si="110"/>
        <v>0</v>
      </c>
      <c r="V151" s="65"/>
      <c r="W151" s="202"/>
      <c r="X151" s="65"/>
      <c r="Y151" s="69"/>
      <c r="Z151" s="65"/>
      <c r="AA151" s="518"/>
      <c r="AB151" s="65"/>
      <c r="AC151" s="81">
        <f t="shared" si="111"/>
        <v>0</v>
      </c>
      <c r="AD151" s="65"/>
      <c r="AE151" s="112"/>
      <c r="AF151" s="203">
        <v>0.3</v>
      </c>
      <c r="AG151" s="109">
        <f t="shared" si="44"/>
        <v>3710</v>
      </c>
      <c r="AH151" s="84">
        <f t="shared" si="112"/>
        <v>0</v>
      </c>
      <c r="AI151" s="65"/>
      <c r="AJ151" s="112"/>
      <c r="AK151" s="122"/>
      <c r="AL151" s="109">
        <v>1212</v>
      </c>
      <c r="AM151" s="84">
        <f t="shared" si="113"/>
        <v>0</v>
      </c>
      <c r="AN151" s="65"/>
      <c r="AO151" s="112"/>
      <c r="AP151" s="204"/>
      <c r="AQ151" s="109">
        <f>IFERROR((O151+AH151+AM151)/Dashboard!$D$15,0)*0.2</f>
        <v>3.8326446280991733</v>
      </c>
      <c r="AR151" s="84">
        <f t="shared" si="114"/>
        <v>0</v>
      </c>
      <c r="AS151" s="65"/>
      <c r="AT151" s="112"/>
      <c r="AU151" s="203">
        <v>0.33</v>
      </c>
      <c r="AV151" s="109">
        <f t="shared" si="115"/>
        <v>3710</v>
      </c>
      <c r="AW151" s="84">
        <f t="shared" si="116"/>
        <v>0</v>
      </c>
      <c r="AX151" s="65"/>
      <c r="AY151" s="112"/>
      <c r="AZ151" s="203">
        <v>0.25</v>
      </c>
      <c r="BA151" s="109">
        <f t="shared" si="50"/>
        <v>3710</v>
      </c>
      <c r="BB151" s="84">
        <f t="shared" si="117"/>
        <v>0</v>
      </c>
      <c r="BC151" s="65"/>
      <c r="BD151" s="112"/>
      <c r="BE151" s="203">
        <v>0.26</v>
      </c>
      <c r="BF151" s="109">
        <f t="shared" si="118"/>
        <v>3710</v>
      </c>
      <c r="BG151" s="84">
        <f t="shared" si="119"/>
        <v>0</v>
      </c>
      <c r="BH151" s="197"/>
      <c r="BI151" s="518"/>
      <c r="BJ151" s="65"/>
      <c r="BK151" s="81">
        <f t="shared" si="120"/>
        <v>0</v>
      </c>
      <c r="BL151" s="65"/>
      <c r="BM151" s="204"/>
      <c r="BN151" s="156">
        <f>IF(B151&lt;&gt;"",_xlfn.XLOOKUP(B151,'Cronog. e Histog.'!B:B,'Cronog. e Histog.'!EK:EK),0)</f>
        <v>0</v>
      </c>
      <c r="BO151" s="109">
        <f>($O151/Dashboard!$D$15)*(1+Dashboard!$D$19)</f>
        <v>28.744834710743799</v>
      </c>
      <c r="BP151" s="84">
        <f t="shared" si="133"/>
        <v>0</v>
      </c>
      <c r="BQ151" s="65"/>
      <c r="BR151" s="204"/>
      <c r="BS151" s="156">
        <f>IF(B151&lt;&gt;"",_xlfn.XLOOKUP(B151,'Cronog. e Histog.'!B:B,'Cronog. e Histog.'!EL:EL),0)</f>
        <v>0</v>
      </c>
      <c r="BT151" s="109">
        <f>($O151/Dashboard!$D$15)*(1+Dashboard!$D$20)</f>
        <v>33.535640495867767</v>
      </c>
      <c r="BU151" s="84">
        <f t="shared" si="134"/>
        <v>0</v>
      </c>
      <c r="BV151" s="65"/>
      <c r="BW151" s="204"/>
      <c r="BX151" s="156">
        <f>IF(B151&lt;&gt;"",_xlfn.XLOOKUP(B151,'Cronog. e Histog.'!B:B,'Cronog. e Histog.'!EM:EM),0)</f>
        <v>0</v>
      </c>
      <c r="BY151" s="109">
        <f>($O151/Dashboard!$D$15)*(1+Dashboard!$D$21)</f>
        <v>38.326446280991732</v>
      </c>
      <c r="BZ151" s="84">
        <f t="shared" si="135"/>
        <v>0</v>
      </c>
    </row>
    <row r="152" spans="2:78" ht="12" customHeight="1" outlineLevel="1">
      <c r="B152" s="137" t="str">
        <f>'Cronog. e Histog.'!B273</f>
        <v>TEC III - Equipe_01</v>
      </c>
      <c r="C152" s="65"/>
      <c r="D152" s="200">
        <f t="shared" si="103"/>
        <v>0</v>
      </c>
      <c r="E152" s="200">
        <f t="shared" si="104"/>
        <v>0</v>
      </c>
      <c r="F152" s="65"/>
      <c r="G152" s="200">
        <f t="shared" si="105"/>
        <v>0</v>
      </c>
      <c r="H152" s="200">
        <f t="shared" si="106"/>
        <v>0</v>
      </c>
      <c r="I152" s="65"/>
      <c r="J152" s="143" t="str">
        <f>IF('Cronog. e Histog.'!G273&gt;0,'Cronog. e Histog.'!G273,"")</f>
        <v>TEC III</v>
      </c>
      <c r="K152" s="65"/>
      <c r="L152" s="144">
        <f>'Cronog. e Histog.'!BT273</f>
        <v>0</v>
      </c>
      <c r="M152" s="144">
        <f>'Cronog. e Histog.'!BU273</f>
        <v>0</v>
      </c>
      <c r="N152" s="65"/>
      <c r="O152" s="109">
        <f>_xlfn.XLOOKUP(B152,Salários!B:B,Salários!K:K)</f>
        <v>6360</v>
      </c>
      <c r="P152" s="109">
        <f t="shared" si="121"/>
        <v>0</v>
      </c>
      <c r="Q152" s="109">
        <f t="shared" si="122"/>
        <v>0</v>
      </c>
      <c r="R152" s="65"/>
      <c r="S152" s="109">
        <f t="shared" si="123"/>
        <v>6360</v>
      </c>
      <c r="T152" s="201" t="str">
        <f>IF(_xlfn.XLOOKUP(B152,Salários!B:B,Salários!I:I)&gt;0,_xlfn.XLOOKUP(B152,Salários!B:B,Salários!I:I),"")</f>
        <v>Mensalista</v>
      </c>
      <c r="U152" s="117">
        <f t="shared" si="110"/>
        <v>0</v>
      </c>
      <c r="V152" s="65"/>
      <c r="W152" s="202"/>
      <c r="X152" s="65"/>
      <c r="Y152" s="69"/>
      <c r="Z152" s="65"/>
      <c r="AA152" s="518"/>
      <c r="AB152" s="65"/>
      <c r="AC152" s="81">
        <f t="shared" si="111"/>
        <v>0</v>
      </c>
      <c r="AD152" s="65"/>
      <c r="AE152" s="112"/>
      <c r="AF152" s="203">
        <v>0.3</v>
      </c>
      <c r="AG152" s="109">
        <f t="shared" si="44"/>
        <v>6360</v>
      </c>
      <c r="AH152" s="84">
        <f t="shared" si="112"/>
        <v>0</v>
      </c>
      <c r="AI152" s="65"/>
      <c r="AJ152" s="112"/>
      <c r="AK152" s="122"/>
      <c r="AL152" s="109">
        <v>1212</v>
      </c>
      <c r="AM152" s="84">
        <f t="shared" si="113"/>
        <v>0</v>
      </c>
      <c r="AN152" s="65"/>
      <c r="AO152" s="112"/>
      <c r="AP152" s="204"/>
      <c r="AQ152" s="109">
        <f>IFERROR((O152+AH152+AM152)/Dashboard!$D$15,0)*0.2</f>
        <v>6.5702479338842963</v>
      </c>
      <c r="AR152" s="84">
        <f t="shared" si="114"/>
        <v>0</v>
      </c>
      <c r="AS152" s="65"/>
      <c r="AT152" s="112"/>
      <c r="AU152" s="203">
        <v>0.33</v>
      </c>
      <c r="AV152" s="109">
        <f t="shared" si="115"/>
        <v>6360</v>
      </c>
      <c r="AW152" s="84">
        <f t="shared" si="116"/>
        <v>0</v>
      </c>
      <c r="AX152" s="65"/>
      <c r="AY152" s="112"/>
      <c r="AZ152" s="203">
        <v>0.25</v>
      </c>
      <c r="BA152" s="109">
        <f t="shared" si="50"/>
        <v>6360</v>
      </c>
      <c r="BB152" s="84">
        <f t="shared" si="117"/>
        <v>0</v>
      </c>
      <c r="BC152" s="65"/>
      <c r="BD152" s="112"/>
      <c r="BE152" s="203">
        <v>0.26</v>
      </c>
      <c r="BF152" s="109">
        <f t="shared" si="118"/>
        <v>6360</v>
      </c>
      <c r="BG152" s="84">
        <f t="shared" si="119"/>
        <v>0</v>
      </c>
      <c r="BH152" s="197"/>
      <c r="BI152" s="518"/>
      <c r="BJ152" s="65"/>
      <c r="BK152" s="81">
        <f t="shared" si="120"/>
        <v>0</v>
      </c>
      <c r="BL152" s="65"/>
      <c r="BM152" s="204"/>
      <c r="BN152" s="156">
        <f>IF(B152&lt;&gt;"",_xlfn.XLOOKUP(B152,'Cronog. e Histog.'!B:B,'Cronog. e Histog.'!EK:EK),0)</f>
        <v>0</v>
      </c>
      <c r="BO152" s="109">
        <f>($O152/Dashboard!$D$15)*(1+Dashboard!$D$19)</f>
        <v>49.276859504132219</v>
      </c>
      <c r="BP152" s="84">
        <f t="shared" si="133"/>
        <v>0</v>
      </c>
      <c r="BQ152" s="65"/>
      <c r="BR152" s="204"/>
      <c r="BS152" s="156">
        <f>IF(B152&lt;&gt;"",_xlfn.XLOOKUP(B152,'Cronog. e Histog.'!B:B,'Cronog. e Histog.'!EL:EL),0)</f>
        <v>0</v>
      </c>
      <c r="BT152" s="109">
        <f>($O152/Dashboard!$D$15)*(1+Dashboard!$D$20)</f>
        <v>57.489669421487591</v>
      </c>
      <c r="BU152" s="84">
        <f t="shared" si="134"/>
        <v>0</v>
      </c>
      <c r="BV152" s="65"/>
      <c r="BW152" s="204"/>
      <c r="BX152" s="156">
        <f>IF(B152&lt;&gt;"",_xlfn.XLOOKUP(B152,'Cronog. e Histog.'!B:B,'Cronog. e Histog.'!EM:EM),0)</f>
        <v>0</v>
      </c>
      <c r="BY152" s="109">
        <f>($O152/Dashboard!$D$15)*(1+Dashboard!$D$21)</f>
        <v>65.702479338842963</v>
      </c>
      <c r="BZ152" s="84">
        <f t="shared" si="135"/>
        <v>0</v>
      </c>
    </row>
    <row r="153" spans="2:78" ht="12" customHeight="1" outlineLevel="1">
      <c r="B153" s="137" t="str">
        <f>'Cronog. e Histog.'!B274</f>
        <v>TEC II - Equipe_01</v>
      </c>
      <c r="C153" s="65"/>
      <c r="D153" s="200">
        <f t="shared" si="103"/>
        <v>0</v>
      </c>
      <c r="E153" s="200">
        <f t="shared" si="104"/>
        <v>0</v>
      </c>
      <c r="F153" s="65"/>
      <c r="G153" s="200">
        <f t="shared" si="105"/>
        <v>0</v>
      </c>
      <c r="H153" s="200">
        <f t="shared" si="106"/>
        <v>0</v>
      </c>
      <c r="I153" s="65"/>
      <c r="J153" s="143" t="str">
        <f>IF('Cronog. e Histog.'!G274&gt;0,'Cronog. e Histog.'!G274,"")</f>
        <v>TEC II</v>
      </c>
      <c r="K153" s="65"/>
      <c r="L153" s="144">
        <f>'Cronog. e Histog.'!BT274</f>
        <v>0</v>
      </c>
      <c r="M153" s="144">
        <f>'Cronog. e Histog.'!BU274</f>
        <v>0</v>
      </c>
      <c r="N153" s="65"/>
      <c r="O153" s="109">
        <f>_xlfn.XLOOKUP(B153,Salários!B:B,Salários!K:K)</f>
        <v>4770</v>
      </c>
      <c r="P153" s="109">
        <f t="shared" si="121"/>
        <v>0</v>
      </c>
      <c r="Q153" s="109">
        <f t="shared" si="122"/>
        <v>0</v>
      </c>
      <c r="R153" s="65"/>
      <c r="S153" s="109">
        <f t="shared" si="123"/>
        <v>4770</v>
      </c>
      <c r="T153" s="201" t="str">
        <f>IF(_xlfn.XLOOKUP(B153,Salários!B:B,Salários!I:I)&gt;0,_xlfn.XLOOKUP(B153,Salários!B:B,Salários!I:I),"")</f>
        <v>Mensalista</v>
      </c>
      <c r="U153" s="117">
        <f t="shared" si="110"/>
        <v>0</v>
      </c>
      <c r="V153" s="65"/>
      <c r="W153" s="202"/>
      <c r="X153" s="65"/>
      <c r="Y153" s="69"/>
      <c r="Z153" s="65"/>
      <c r="AA153" s="518"/>
      <c r="AB153" s="65"/>
      <c r="AC153" s="81">
        <f t="shared" si="111"/>
        <v>0</v>
      </c>
      <c r="AD153" s="65"/>
      <c r="AE153" s="112"/>
      <c r="AF153" s="203">
        <v>0.3</v>
      </c>
      <c r="AG153" s="109">
        <f t="shared" si="44"/>
        <v>4770</v>
      </c>
      <c r="AH153" s="84">
        <f t="shared" si="112"/>
        <v>0</v>
      </c>
      <c r="AI153" s="65"/>
      <c r="AJ153" s="112"/>
      <c r="AK153" s="122"/>
      <c r="AL153" s="109">
        <v>1212</v>
      </c>
      <c r="AM153" s="84">
        <f t="shared" si="113"/>
        <v>0</v>
      </c>
      <c r="AN153" s="65"/>
      <c r="AO153" s="112"/>
      <c r="AP153" s="204"/>
      <c r="AQ153" s="109">
        <f>IFERROR((O153+AH153+AM153)/Dashboard!$D$15,0)*0.2</f>
        <v>4.9276859504132231</v>
      </c>
      <c r="AR153" s="84">
        <f t="shared" si="114"/>
        <v>0</v>
      </c>
      <c r="AS153" s="65"/>
      <c r="AT153" s="112"/>
      <c r="AU153" s="203">
        <v>0.33</v>
      </c>
      <c r="AV153" s="109">
        <f t="shared" si="115"/>
        <v>4770</v>
      </c>
      <c r="AW153" s="84">
        <f t="shared" si="116"/>
        <v>0</v>
      </c>
      <c r="AX153" s="65"/>
      <c r="AY153" s="112"/>
      <c r="AZ153" s="203">
        <v>0.25</v>
      </c>
      <c r="BA153" s="109">
        <f t="shared" si="50"/>
        <v>4770</v>
      </c>
      <c r="BB153" s="84">
        <f t="shared" si="117"/>
        <v>0</v>
      </c>
      <c r="BC153" s="65"/>
      <c r="BD153" s="112"/>
      <c r="BE153" s="203">
        <v>0.26</v>
      </c>
      <c r="BF153" s="109">
        <f t="shared" si="118"/>
        <v>4770</v>
      </c>
      <c r="BG153" s="84">
        <f t="shared" si="119"/>
        <v>0</v>
      </c>
      <c r="BH153" s="197"/>
      <c r="BI153" s="518"/>
      <c r="BJ153" s="65"/>
      <c r="BK153" s="81">
        <f t="shared" si="120"/>
        <v>0</v>
      </c>
      <c r="BL153" s="65"/>
      <c r="BM153" s="204"/>
      <c r="BN153" s="156">
        <f>IF(B153&lt;&gt;"",_xlfn.XLOOKUP(B153,'Cronog. e Histog.'!B:B,'Cronog. e Histog.'!EK:EK),0)</f>
        <v>0</v>
      </c>
      <c r="BO153" s="109">
        <f>($O153/Dashboard!$D$15)*(1+Dashboard!$D$19)</f>
        <v>36.957644628099168</v>
      </c>
      <c r="BP153" s="84">
        <f t="shared" si="133"/>
        <v>0</v>
      </c>
      <c r="BQ153" s="65"/>
      <c r="BR153" s="204"/>
      <c r="BS153" s="156">
        <f>IF(B153&lt;&gt;"",_xlfn.XLOOKUP(B153,'Cronog. e Histog.'!B:B,'Cronog. e Histog.'!EL:EL),0)</f>
        <v>0</v>
      </c>
      <c r="BT153" s="109">
        <f>($O153/Dashboard!$D$15)*(1+Dashboard!$D$20)</f>
        <v>43.117252066115697</v>
      </c>
      <c r="BU153" s="84">
        <f t="shared" si="134"/>
        <v>0</v>
      </c>
      <c r="BV153" s="65"/>
      <c r="BW153" s="204"/>
      <c r="BX153" s="156">
        <f>IF(B153&lt;&gt;"",_xlfn.XLOOKUP(B153,'Cronog. e Histog.'!B:B,'Cronog. e Histog.'!EM:EM),0)</f>
        <v>0</v>
      </c>
      <c r="BY153" s="109">
        <f>($O153/Dashboard!$D$15)*(1+Dashboard!$D$21)</f>
        <v>49.276859504132226</v>
      </c>
      <c r="BZ153" s="84">
        <f t="shared" si="135"/>
        <v>0</v>
      </c>
    </row>
    <row r="154" spans="2:78" ht="12" customHeight="1" outlineLevel="1">
      <c r="B154" s="137" t="str">
        <f>'Cronog. e Histog.'!B275</f>
        <v>TEC I - Equipe_01</v>
      </c>
      <c r="C154" s="65"/>
      <c r="D154" s="200">
        <f t="shared" si="103"/>
        <v>0</v>
      </c>
      <c r="E154" s="200">
        <f t="shared" si="104"/>
        <v>0</v>
      </c>
      <c r="F154" s="65"/>
      <c r="G154" s="200">
        <f t="shared" si="105"/>
        <v>0</v>
      </c>
      <c r="H154" s="200">
        <f t="shared" si="106"/>
        <v>0</v>
      </c>
      <c r="I154" s="65"/>
      <c r="J154" s="143" t="str">
        <f>IF('Cronog. e Histog.'!G275&gt;0,'Cronog. e Histog.'!G275,"")</f>
        <v>TEC I</v>
      </c>
      <c r="K154" s="65"/>
      <c r="L154" s="144">
        <f>'Cronog. e Histog.'!BT275</f>
        <v>0</v>
      </c>
      <c r="M154" s="144">
        <f>'Cronog. e Histog.'!BU275</f>
        <v>0</v>
      </c>
      <c r="N154" s="65"/>
      <c r="O154" s="109">
        <f>_xlfn.XLOOKUP(B154,Salários!B:B,Salários!K:K)</f>
        <v>3180</v>
      </c>
      <c r="P154" s="109">
        <f t="shared" si="121"/>
        <v>0</v>
      </c>
      <c r="Q154" s="109">
        <f t="shared" si="122"/>
        <v>0</v>
      </c>
      <c r="R154" s="65"/>
      <c r="S154" s="109">
        <f t="shared" si="123"/>
        <v>3180</v>
      </c>
      <c r="T154" s="201" t="str">
        <f>IF(_xlfn.XLOOKUP(B154,Salários!B:B,Salários!I:I)&gt;0,_xlfn.XLOOKUP(B154,Salários!B:B,Salários!I:I),"")</f>
        <v>Mensalista</v>
      </c>
      <c r="U154" s="117">
        <f t="shared" si="110"/>
        <v>0</v>
      </c>
      <c r="V154" s="65"/>
      <c r="W154" s="202"/>
      <c r="X154" s="65"/>
      <c r="Y154" s="69"/>
      <c r="Z154" s="65"/>
      <c r="AA154" s="518"/>
      <c r="AB154" s="65"/>
      <c r="AC154" s="81">
        <f t="shared" si="111"/>
        <v>0</v>
      </c>
      <c r="AD154" s="65"/>
      <c r="AE154" s="112"/>
      <c r="AF154" s="203">
        <v>0.3</v>
      </c>
      <c r="AG154" s="109">
        <f t="shared" si="44"/>
        <v>3180</v>
      </c>
      <c r="AH154" s="84">
        <f t="shared" si="112"/>
        <v>0</v>
      </c>
      <c r="AI154" s="65"/>
      <c r="AJ154" s="112"/>
      <c r="AK154" s="122"/>
      <c r="AL154" s="109">
        <v>1212</v>
      </c>
      <c r="AM154" s="84">
        <f t="shared" si="113"/>
        <v>0</v>
      </c>
      <c r="AN154" s="65"/>
      <c r="AO154" s="112"/>
      <c r="AP154" s="204"/>
      <c r="AQ154" s="109">
        <f>IFERROR((O154+AH154+AM154)/Dashboard!$D$15,0)*0.2</f>
        <v>3.2851239669421481</v>
      </c>
      <c r="AR154" s="84">
        <f t="shared" si="114"/>
        <v>0</v>
      </c>
      <c r="AS154" s="65"/>
      <c r="AT154" s="112"/>
      <c r="AU154" s="203">
        <v>0.33</v>
      </c>
      <c r="AV154" s="109">
        <f t="shared" si="115"/>
        <v>3180</v>
      </c>
      <c r="AW154" s="84">
        <f t="shared" si="116"/>
        <v>0</v>
      </c>
      <c r="AX154" s="65"/>
      <c r="AY154" s="112"/>
      <c r="AZ154" s="203">
        <v>0.25</v>
      </c>
      <c r="BA154" s="109">
        <f t="shared" si="50"/>
        <v>3180</v>
      </c>
      <c r="BB154" s="84">
        <f t="shared" si="117"/>
        <v>0</v>
      </c>
      <c r="BC154" s="65"/>
      <c r="BD154" s="112"/>
      <c r="BE154" s="203">
        <v>0.26</v>
      </c>
      <c r="BF154" s="109">
        <f t="shared" si="118"/>
        <v>3180</v>
      </c>
      <c r="BG154" s="84">
        <f t="shared" si="119"/>
        <v>0</v>
      </c>
      <c r="BH154" s="197"/>
      <c r="BI154" s="518"/>
      <c r="BJ154" s="65"/>
      <c r="BK154" s="81">
        <f t="shared" si="120"/>
        <v>0</v>
      </c>
      <c r="BL154" s="65"/>
      <c r="BM154" s="204"/>
      <c r="BN154" s="156">
        <f>IF(B154&lt;&gt;"",_xlfn.XLOOKUP(B154,'Cronog. e Histog.'!B:B,'Cronog. e Histog.'!EK:EK),0)</f>
        <v>0</v>
      </c>
      <c r="BO154" s="109">
        <f>($O154/Dashboard!$D$15)*(1+Dashboard!$D$19)</f>
        <v>24.638429752066109</v>
      </c>
      <c r="BP154" s="84">
        <f t="shared" si="133"/>
        <v>0</v>
      </c>
      <c r="BQ154" s="65"/>
      <c r="BR154" s="204"/>
      <c r="BS154" s="156">
        <f>IF(B154&lt;&gt;"",_xlfn.XLOOKUP(B154,'Cronog. e Histog.'!B:B,'Cronog. e Histog.'!EL:EL),0)</f>
        <v>0</v>
      </c>
      <c r="BT154" s="109">
        <f>($O154/Dashboard!$D$15)*(1+Dashboard!$D$20)</f>
        <v>28.744834710743795</v>
      </c>
      <c r="BU154" s="84">
        <f t="shared" si="134"/>
        <v>0</v>
      </c>
      <c r="BV154" s="65"/>
      <c r="BW154" s="204"/>
      <c r="BX154" s="156">
        <f>IF(B154&lt;&gt;"",_xlfn.XLOOKUP(B154,'Cronog. e Histog.'!B:B,'Cronog. e Histog.'!EM:EM),0)</f>
        <v>0</v>
      </c>
      <c r="BY154" s="109">
        <f>($O154/Dashboard!$D$15)*(1+Dashboard!$D$21)</f>
        <v>32.851239669421481</v>
      </c>
      <c r="BZ154" s="84">
        <f t="shared" si="135"/>
        <v>0</v>
      </c>
    </row>
    <row r="155" spans="2:78" ht="12" customHeight="1" outlineLevel="1">
      <c r="B155" s="137" t="str">
        <f>'Cronog. e Histog.'!B276</f>
        <v>AUX TEC - Equipe_01</v>
      </c>
      <c r="C155" s="65"/>
      <c r="D155" s="200">
        <f t="shared" si="103"/>
        <v>0</v>
      </c>
      <c r="E155" s="200">
        <f t="shared" si="104"/>
        <v>0</v>
      </c>
      <c r="F155" s="65"/>
      <c r="G155" s="200">
        <f t="shared" si="105"/>
        <v>0</v>
      </c>
      <c r="H155" s="200">
        <f t="shared" si="106"/>
        <v>0</v>
      </c>
      <c r="I155" s="65"/>
      <c r="J155" s="143" t="str">
        <f>IF('Cronog. e Histog.'!G276&gt;0,'Cronog. e Histog.'!G276,"")</f>
        <v>AUX TEC</v>
      </c>
      <c r="K155" s="65"/>
      <c r="L155" s="144">
        <f>'Cronog. e Histog.'!BT276</f>
        <v>0</v>
      </c>
      <c r="M155" s="144">
        <f>'Cronog. e Histog.'!BU276</f>
        <v>0</v>
      </c>
      <c r="N155" s="65"/>
      <c r="O155" s="109">
        <f>_xlfn.XLOOKUP(B155,Salários!B:B,Salários!K:K)</f>
        <v>3710</v>
      </c>
      <c r="P155" s="109">
        <f t="shared" si="121"/>
        <v>0</v>
      </c>
      <c r="Q155" s="109">
        <f t="shared" si="122"/>
        <v>0</v>
      </c>
      <c r="R155" s="65"/>
      <c r="S155" s="109">
        <f t="shared" si="123"/>
        <v>3710</v>
      </c>
      <c r="T155" s="201" t="str">
        <f>IF(_xlfn.XLOOKUP(B155,Salários!B:B,Salários!I:I)&gt;0,_xlfn.XLOOKUP(B155,Salários!B:B,Salários!I:I),"")</f>
        <v>Mensalista</v>
      </c>
      <c r="U155" s="117">
        <f t="shared" si="110"/>
        <v>0</v>
      </c>
      <c r="V155" s="65"/>
      <c r="W155" s="202"/>
      <c r="X155" s="65"/>
      <c r="Y155" s="69"/>
      <c r="Z155" s="65"/>
      <c r="AA155" s="518"/>
      <c r="AB155" s="65"/>
      <c r="AC155" s="81">
        <f t="shared" si="111"/>
        <v>0</v>
      </c>
      <c r="AD155" s="65"/>
      <c r="AE155" s="112"/>
      <c r="AF155" s="203">
        <v>0.3</v>
      </c>
      <c r="AG155" s="109">
        <f t="shared" si="44"/>
        <v>3710</v>
      </c>
      <c r="AH155" s="84">
        <f t="shared" si="112"/>
        <v>0</v>
      </c>
      <c r="AI155" s="65"/>
      <c r="AJ155" s="112"/>
      <c r="AK155" s="122"/>
      <c r="AL155" s="109">
        <v>1212</v>
      </c>
      <c r="AM155" s="84">
        <f t="shared" si="113"/>
        <v>0</v>
      </c>
      <c r="AN155" s="65"/>
      <c r="AO155" s="112"/>
      <c r="AP155" s="204"/>
      <c r="AQ155" s="109">
        <f>IFERROR((O155+AH155+AM155)/Dashboard!$D$15,0)*0.2</f>
        <v>3.8326446280991733</v>
      </c>
      <c r="AR155" s="84">
        <f t="shared" si="114"/>
        <v>0</v>
      </c>
      <c r="AS155" s="65"/>
      <c r="AT155" s="112"/>
      <c r="AU155" s="203">
        <v>0.33</v>
      </c>
      <c r="AV155" s="109">
        <f t="shared" si="115"/>
        <v>3710</v>
      </c>
      <c r="AW155" s="84">
        <f t="shared" si="116"/>
        <v>0</v>
      </c>
      <c r="AX155" s="65"/>
      <c r="AY155" s="112"/>
      <c r="AZ155" s="203">
        <v>0.25</v>
      </c>
      <c r="BA155" s="109">
        <f t="shared" si="50"/>
        <v>3710</v>
      </c>
      <c r="BB155" s="84">
        <f t="shared" si="117"/>
        <v>0</v>
      </c>
      <c r="BC155" s="65"/>
      <c r="BD155" s="112"/>
      <c r="BE155" s="203">
        <v>0.26</v>
      </c>
      <c r="BF155" s="109">
        <f t="shared" si="118"/>
        <v>3710</v>
      </c>
      <c r="BG155" s="84">
        <f t="shared" si="119"/>
        <v>0</v>
      </c>
      <c r="BH155" s="197"/>
      <c r="BI155" s="518"/>
      <c r="BJ155" s="65"/>
      <c r="BK155" s="81">
        <f t="shared" si="120"/>
        <v>0</v>
      </c>
      <c r="BL155" s="65"/>
      <c r="BM155" s="204"/>
      <c r="BN155" s="156">
        <f>IF(B155&lt;&gt;"",_xlfn.XLOOKUP(B155,'Cronog. e Histog.'!B:B,'Cronog. e Histog.'!EK:EK),0)</f>
        <v>0</v>
      </c>
      <c r="BO155" s="109">
        <f>($O155/Dashboard!$D$15)*(1+Dashboard!$D$19)</f>
        <v>28.744834710743799</v>
      </c>
      <c r="BP155" s="84">
        <f t="shared" si="133"/>
        <v>0</v>
      </c>
      <c r="BQ155" s="65"/>
      <c r="BR155" s="204"/>
      <c r="BS155" s="156">
        <f>IF(B155&lt;&gt;"",_xlfn.XLOOKUP(B155,'Cronog. e Histog.'!B:B,'Cronog. e Histog.'!EL:EL),0)</f>
        <v>0</v>
      </c>
      <c r="BT155" s="109">
        <f>($O155/Dashboard!$D$15)*(1+Dashboard!$D$20)</f>
        <v>33.535640495867767</v>
      </c>
      <c r="BU155" s="84">
        <f t="shared" si="134"/>
        <v>0</v>
      </c>
      <c r="BV155" s="65"/>
      <c r="BW155" s="204"/>
      <c r="BX155" s="156">
        <f>IF(B155&lt;&gt;"",_xlfn.XLOOKUP(B155,'Cronog. e Histog.'!B:B,'Cronog. e Histog.'!EM:EM),0)</f>
        <v>0</v>
      </c>
      <c r="BY155" s="109">
        <f>($O155/Dashboard!$D$15)*(1+Dashboard!$D$21)</f>
        <v>38.326446280991732</v>
      </c>
      <c r="BZ155" s="84">
        <f t="shared" si="135"/>
        <v>0</v>
      </c>
    </row>
    <row r="156" spans="2:78" ht="12" customHeight="1" outlineLevel="1">
      <c r="B156" s="137" t="str">
        <f>'Cronog. e Histog.'!B277</f>
        <v>AUX ADM - Equipe_01</v>
      </c>
      <c r="C156" s="65"/>
      <c r="D156" s="200">
        <f t="shared" si="103"/>
        <v>0</v>
      </c>
      <c r="E156" s="200">
        <f t="shared" si="104"/>
        <v>0</v>
      </c>
      <c r="F156" s="65"/>
      <c r="G156" s="200">
        <f t="shared" si="105"/>
        <v>0</v>
      </c>
      <c r="H156" s="200">
        <f t="shared" si="106"/>
        <v>0</v>
      </c>
      <c r="I156" s="65"/>
      <c r="J156" s="143" t="str">
        <f>IF('Cronog. e Histog.'!G277&gt;0,'Cronog. e Histog.'!G277,"")</f>
        <v>AUX ADM</v>
      </c>
      <c r="K156" s="65"/>
      <c r="L156" s="144">
        <f>'Cronog. e Histog.'!BT277</f>
        <v>0</v>
      </c>
      <c r="M156" s="144">
        <f>'Cronog. e Histog.'!BU277</f>
        <v>0</v>
      </c>
      <c r="N156" s="65"/>
      <c r="O156" s="109">
        <f>_xlfn.XLOOKUP(B156,Salários!B:B,Salários!K:K)</f>
        <v>1912.24</v>
      </c>
      <c r="P156" s="109">
        <f t="shared" si="121"/>
        <v>0</v>
      </c>
      <c r="Q156" s="109">
        <f t="shared" si="122"/>
        <v>0</v>
      </c>
      <c r="R156" s="65"/>
      <c r="S156" s="109">
        <f t="shared" si="123"/>
        <v>1912.24</v>
      </c>
      <c r="T156" s="201" t="str">
        <f>IF(_xlfn.XLOOKUP(B156,Salários!B:B,Salários!I:I)&gt;0,_xlfn.XLOOKUP(B156,Salários!B:B,Salários!I:I),"")</f>
        <v>Mensalista</v>
      </c>
      <c r="U156" s="117">
        <f t="shared" si="110"/>
        <v>0</v>
      </c>
      <c r="V156" s="65"/>
      <c r="W156" s="202"/>
      <c r="X156" s="65"/>
      <c r="Y156" s="69"/>
      <c r="Z156" s="65"/>
      <c r="AA156" s="518"/>
      <c r="AB156" s="65"/>
      <c r="AC156" s="81">
        <f t="shared" si="111"/>
        <v>0</v>
      </c>
      <c r="AD156" s="65"/>
      <c r="AE156" s="112"/>
      <c r="AF156" s="203">
        <v>0.3</v>
      </c>
      <c r="AG156" s="109">
        <f t="shared" si="44"/>
        <v>1912.24</v>
      </c>
      <c r="AH156" s="84">
        <f t="shared" si="112"/>
        <v>0</v>
      </c>
      <c r="AI156" s="65"/>
      <c r="AJ156" s="112"/>
      <c r="AK156" s="122"/>
      <c r="AL156" s="109">
        <v>1212</v>
      </c>
      <c r="AM156" s="84">
        <f t="shared" si="113"/>
        <v>0</v>
      </c>
      <c r="AN156" s="65"/>
      <c r="AO156" s="112"/>
      <c r="AP156" s="204"/>
      <c r="AQ156" s="109">
        <f>IFERROR((O156+AH156+AM156)/Dashboard!$D$15,0)*0.2</f>
        <v>1.9754545454545456</v>
      </c>
      <c r="AR156" s="84">
        <f t="shared" si="114"/>
        <v>0</v>
      </c>
      <c r="AS156" s="65"/>
      <c r="AT156" s="112"/>
      <c r="AU156" s="203">
        <v>0.33</v>
      </c>
      <c r="AV156" s="109">
        <f t="shared" si="115"/>
        <v>1912.24</v>
      </c>
      <c r="AW156" s="84">
        <f t="shared" si="116"/>
        <v>0</v>
      </c>
      <c r="AX156" s="65"/>
      <c r="AY156" s="112"/>
      <c r="AZ156" s="203">
        <v>0.25</v>
      </c>
      <c r="BA156" s="109">
        <f t="shared" si="50"/>
        <v>1912.24</v>
      </c>
      <c r="BB156" s="84">
        <f t="shared" si="117"/>
        <v>0</v>
      </c>
      <c r="BC156" s="65"/>
      <c r="BD156" s="112"/>
      <c r="BE156" s="203">
        <v>0.26</v>
      </c>
      <c r="BF156" s="109">
        <f t="shared" si="118"/>
        <v>1912.24</v>
      </c>
      <c r="BG156" s="84">
        <f t="shared" si="119"/>
        <v>0</v>
      </c>
      <c r="BH156" s="197"/>
      <c r="BI156" s="518"/>
      <c r="BJ156" s="65"/>
      <c r="BK156" s="81">
        <f t="shared" si="120"/>
        <v>0</v>
      </c>
      <c r="BL156" s="65"/>
      <c r="BM156" s="204"/>
      <c r="BN156" s="156">
        <f>IF(B156&lt;&gt;"",_xlfn.XLOOKUP(B156,'Cronog. e Histog.'!B:B,'Cronog. e Histog.'!EK:EK),0)</f>
        <v>0</v>
      </c>
      <c r="BO156" s="109">
        <f>($O156/Dashboard!$D$15)*(1+Dashboard!$D$19)</f>
        <v>14.815909090909091</v>
      </c>
      <c r="BP156" s="84">
        <f t="shared" si="133"/>
        <v>0</v>
      </c>
      <c r="BQ156" s="65"/>
      <c r="BR156" s="204"/>
      <c r="BS156" s="156">
        <f>IF(B156&lt;&gt;"",_xlfn.XLOOKUP(B156,'Cronog. e Histog.'!B:B,'Cronog. e Histog.'!EL:EL),0)</f>
        <v>0</v>
      </c>
      <c r="BT156" s="109">
        <f>($O156/Dashboard!$D$15)*(1+Dashboard!$D$20)</f>
        <v>17.285227272727273</v>
      </c>
      <c r="BU156" s="84">
        <f t="shared" si="134"/>
        <v>0</v>
      </c>
      <c r="BV156" s="65"/>
      <c r="BW156" s="204"/>
      <c r="BX156" s="156">
        <f>IF(B156&lt;&gt;"",_xlfn.XLOOKUP(B156,'Cronog. e Histog.'!B:B,'Cronog. e Histog.'!EM:EM),0)</f>
        <v>0</v>
      </c>
      <c r="BY156" s="109">
        <f>($O156/Dashboard!$D$15)*(1+Dashboard!$D$21)</f>
        <v>19.754545454545454</v>
      </c>
      <c r="BZ156" s="84">
        <f t="shared" si="135"/>
        <v>0</v>
      </c>
    </row>
    <row r="157" spans="2:78" ht="12" customHeight="1" outlineLevel="1">
      <c r="B157" s="137" t="str">
        <f>'Cronog. e Histog.'!B278</f>
        <v>EST - Equipe_01</v>
      </c>
      <c r="C157" s="65"/>
      <c r="D157" s="200">
        <f t="shared" si="103"/>
        <v>0</v>
      </c>
      <c r="E157" s="200">
        <f t="shared" si="104"/>
        <v>0</v>
      </c>
      <c r="F157" s="65"/>
      <c r="G157" s="200">
        <f t="shared" si="105"/>
        <v>0</v>
      </c>
      <c r="H157" s="200">
        <f t="shared" si="106"/>
        <v>0</v>
      </c>
      <c r="I157" s="65"/>
      <c r="J157" s="143" t="str">
        <f>IF('Cronog. e Histog.'!G278&gt;0,'Cronog. e Histog.'!G278,"")</f>
        <v>EST</v>
      </c>
      <c r="K157" s="65"/>
      <c r="L157" s="144">
        <f>'Cronog. e Histog.'!BT278</f>
        <v>0</v>
      </c>
      <c r="M157" s="144">
        <f>'Cronog. e Histog.'!BU278</f>
        <v>0</v>
      </c>
      <c r="N157" s="65"/>
      <c r="O157" s="109">
        <f>_xlfn.XLOOKUP(B157,Salários!B:B,Salários!K:K)</f>
        <v>1633</v>
      </c>
      <c r="P157" s="109">
        <f t="shared" si="121"/>
        <v>0</v>
      </c>
      <c r="Q157" s="109">
        <f t="shared" si="122"/>
        <v>0</v>
      </c>
      <c r="R157" s="65"/>
      <c r="S157" s="109">
        <f t="shared" si="123"/>
        <v>1633</v>
      </c>
      <c r="T157" s="201" t="str">
        <f>IF(_xlfn.XLOOKUP(B157,Salários!B:B,Salários!I:I)&gt;0,_xlfn.XLOOKUP(B157,Salários!B:B,Salários!I:I),"")</f>
        <v>PJ</v>
      </c>
      <c r="U157" s="117">
        <f t="shared" si="110"/>
        <v>0</v>
      </c>
      <c r="V157" s="65"/>
      <c r="W157" s="202"/>
      <c r="X157" s="65"/>
      <c r="Y157" s="69"/>
      <c r="Z157" s="65"/>
      <c r="AA157" s="518"/>
      <c r="AB157" s="65"/>
      <c r="AC157" s="81">
        <f t="shared" si="111"/>
        <v>0</v>
      </c>
      <c r="AD157" s="65"/>
      <c r="AE157" s="112"/>
      <c r="AF157" s="203">
        <v>0.3</v>
      </c>
      <c r="AG157" s="109">
        <f t="shared" si="44"/>
        <v>1633</v>
      </c>
      <c r="AH157" s="84">
        <f t="shared" si="112"/>
        <v>0</v>
      </c>
      <c r="AI157" s="65"/>
      <c r="AJ157" s="112"/>
      <c r="AK157" s="122"/>
      <c r="AL157" s="109">
        <v>1212</v>
      </c>
      <c r="AM157" s="84">
        <f t="shared" si="113"/>
        <v>0</v>
      </c>
      <c r="AN157" s="65"/>
      <c r="AO157" s="112"/>
      <c r="AP157" s="204"/>
      <c r="AQ157" s="109">
        <f>IFERROR((O157+AH157+AM157)/Dashboard!$D$15,0)*0.2</f>
        <v>1.6869834710743801</v>
      </c>
      <c r="AR157" s="84">
        <f t="shared" si="114"/>
        <v>0</v>
      </c>
      <c r="AS157" s="65"/>
      <c r="AT157" s="112"/>
      <c r="AU157" s="203">
        <v>0.33</v>
      </c>
      <c r="AV157" s="109">
        <f t="shared" si="115"/>
        <v>1633</v>
      </c>
      <c r="AW157" s="84">
        <f t="shared" si="116"/>
        <v>0</v>
      </c>
      <c r="AX157" s="65"/>
      <c r="AY157" s="112"/>
      <c r="AZ157" s="203">
        <v>0.25</v>
      </c>
      <c r="BA157" s="109">
        <f t="shared" si="50"/>
        <v>1633</v>
      </c>
      <c r="BB157" s="84">
        <f t="shared" si="117"/>
        <v>0</v>
      </c>
      <c r="BC157" s="65"/>
      <c r="BD157" s="112"/>
      <c r="BE157" s="203">
        <v>0.26</v>
      </c>
      <c r="BF157" s="109">
        <f t="shared" si="118"/>
        <v>1633</v>
      </c>
      <c r="BG157" s="84">
        <f t="shared" si="119"/>
        <v>0</v>
      </c>
      <c r="BH157" s="197"/>
      <c r="BI157" s="518"/>
      <c r="BJ157" s="65"/>
      <c r="BK157" s="81">
        <f t="shared" si="120"/>
        <v>0</v>
      </c>
      <c r="BL157" s="65"/>
      <c r="BM157" s="204"/>
      <c r="BN157" s="156">
        <f>IF(B157&lt;&gt;"",_xlfn.XLOOKUP(B157,'Cronog. e Histog.'!B:B,'Cronog. e Histog.'!EK:EK),0)</f>
        <v>0</v>
      </c>
      <c r="BO157" s="109">
        <f>($O157/Dashboard!$D$15)*(1+Dashboard!$D$19)</f>
        <v>12.652376033057848</v>
      </c>
      <c r="BP157" s="84">
        <f t="shared" si="133"/>
        <v>0</v>
      </c>
      <c r="BQ157" s="65"/>
      <c r="BR157" s="204"/>
      <c r="BS157" s="156">
        <f>IF(B157&lt;&gt;"",_xlfn.XLOOKUP(B157,'Cronog. e Histog.'!B:B,'Cronog. e Histog.'!EL:EL),0)</f>
        <v>0</v>
      </c>
      <c r="BT157" s="109">
        <f>($O157/Dashboard!$D$15)*(1+Dashboard!$D$20)</f>
        <v>14.761105371900824</v>
      </c>
      <c r="BU157" s="84">
        <f t="shared" si="134"/>
        <v>0</v>
      </c>
      <c r="BV157" s="65"/>
      <c r="BW157" s="204"/>
      <c r="BX157" s="156">
        <f>IF(B157&lt;&gt;"",_xlfn.XLOOKUP(B157,'Cronog. e Histog.'!B:B,'Cronog. e Histog.'!EM:EM),0)</f>
        <v>0</v>
      </c>
      <c r="BY157" s="109">
        <f>($O157/Dashboard!$D$15)*(1+Dashboard!$D$21)</f>
        <v>16.869834710743799</v>
      </c>
      <c r="BZ157" s="84">
        <f t="shared" si="135"/>
        <v>0</v>
      </c>
    </row>
    <row r="158" spans="2:78" ht="12" customHeight="1" outlineLevel="1">
      <c r="B158" s="137" t="str">
        <f>'Cronog. e Histog.'!B279</f>
        <v>EST_II - Equipe_01</v>
      </c>
      <c r="C158" s="65"/>
      <c r="D158" s="200">
        <f t="shared" si="103"/>
        <v>0</v>
      </c>
      <c r="E158" s="200">
        <f t="shared" si="104"/>
        <v>0</v>
      </c>
      <c r="F158" s="65"/>
      <c r="G158" s="200">
        <f t="shared" si="105"/>
        <v>0</v>
      </c>
      <c r="H158" s="200">
        <f t="shared" si="106"/>
        <v>0</v>
      </c>
      <c r="I158" s="65"/>
      <c r="J158" s="143" t="str">
        <f>IF('Cronog. e Histog.'!G279&gt;0,'Cronog. e Histog.'!G279,"")</f>
        <v>EST_II</v>
      </c>
      <c r="K158" s="65"/>
      <c r="L158" s="144">
        <f>'Cronog. e Histog.'!BT279</f>
        <v>0</v>
      </c>
      <c r="M158" s="144">
        <f>'Cronog. e Histog.'!BU279</f>
        <v>0</v>
      </c>
      <c r="N158" s="65"/>
      <c r="O158" s="109">
        <f>_xlfn.XLOOKUP(B158,Salários!B:B,Salários!K:K)</f>
        <v>1633</v>
      </c>
      <c r="P158" s="109">
        <f t="shared" si="121"/>
        <v>0</v>
      </c>
      <c r="Q158" s="109">
        <f t="shared" si="122"/>
        <v>0</v>
      </c>
      <c r="R158" s="65"/>
      <c r="S158" s="109">
        <f t="shared" si="123"/>
        <v>1633</v>
      </c>
      <c r="T158" s="201" t="str">
        <f>IF(_xlfn.XLOOKUP(B158,Salários!B:B,Salários!I:I)&gt;0,_xlfn.XLOOKUP(B158,Salários!B:B,Salários!I:I),"")</f>
        <v>PJ</v>
      </c>
      <c r="U158" s="117">
        <f t="shared" si="110"/>
        <v>0</v>
      </c>
      <c r="V158" s="65"/>
      <c r="W158" s="202"/>
      <c r="X158" s="65"/>
      <c r="Y158" s="69"/>
      <c r="Z158" s="65"/>
      <c r="AA158" s="518"/>
      <c r="AB158" s="65"/>
      <c r="AC158" s="81">
        <f t="shared" si="111"/>
        <v>0</v>
      </c>
      <c r="AD158" s="65"/>
      <c r="AE158" s="112"/>
      <c r="AF158" s="203">
        <v>0.3</v>
      </c>
      <c r="AG158" s="109">
        <f t="shared" si="44"/>
        <v>1633</v>
      </c>
      <c r="AH158" s="84">
        <f t="shared" si="112"/>
        <v>0</v>
      </c>
      <c r="AI158" s="65"/>
      <c r="AJ158" s="112"/>
      <c r="AK158" s="122"/>
      <c r="AL158" s="109">
        <v>1212</v>
      </c>
      <c r="AM158" s="84">
        <f t="shared" si="113"/>
        <v>0</v>
      </c>
      <c r="AN158" s="65"/>
      <c r="AO158" s="112"/>
      <c r="AP158" s="204"/>
      <c r="AQ158" s="109">
        <f>IFERROR((O158+AH158+AM158)/Dashboard!$D$15,0)*0.2</f>
        <v>1.6869834710743801</v>
      </c>
      <c r="AR158" s="84">
        <f t="shared" si="114"/>
        <v>0</v>
      </c>
      <c r="AS158" s="65"/>
      <c r="AT158" s="112"/>
      <c r="AU158" s="203">
        <v>0.33</v>
      </c>
      <c r="AV158" s="109">
        <f t="shared" si="115"/>
        <v>1633</v>
      </c>
      <c r="AW158" s="84">
        <f t="shared" si="116"/>
        <v>0</v>
      </c>
      <c r="AX158" s="65"/>
      <c r="AY158" s="112"/>
      <c r="AZ158" s="203">
        <v>0.25</v>
      </c>
      <c r="BA158" s="109">
        <f t="shared" si="50"/>
        <v>1633</v>
      </c>
      <c r="BB158" s="84">
        <f t="shared" si="117"/>
        <v>0</v>
      </c>
      <c r="BC158" s="65"/>
      <c r="BD158" s="112"/>
      <c r="BE158" s="203">
        <v>0.26</v>
      </c>
      <c r="BF158" s="109">
        <f t="shared" si="118"/>
        <v>1633</v>
      </c>
      <c r="BG158" s="84">
        <f t="shared" si="119"/>
        <v>0</v>
      </c>
      <c r="BH158" s="197"/>
      <c r="BI158" s="518"/>
      <c r="BJ158" s="65"/>
      <c r="BK158" s="81">
        <f t="shared" si="120"/>
        <v>0</v>
      </c>
      <c r="BL158" s="65"/>
      <c r="BM158" s="204"/>
      <c r="BN158" s="156">
        <f>IF(B158&lt;&gt;"",_xlfn.XLOOKUP(B158,'Cronog. e Histog.'!B:B,'Cronog. e Histog.'!EK:EK),0)</f>
        <v>0</v>
      </c>
      <c r="BO158" s="109">
        <f>($O158/Dashboard!$D$15)*(1+Dashboard!$D$19)</f>
        <v>12.652376033057848</v>
      </c>
      <c r="BP158" s="84">
        <f t="shared" si="133"/>
        <v>0</v>
      </c>
      <c r="BQ158" s="65"/>
      <c r="BR158" s="204"/>
      <c r="BS158" s="156">
        <f>IF(B158&lt;&gt;"",_xlfn.XLOOKUP(B158,'Cronog. e Histog.'!B:B,'Cronog. e Histog.'!EL:EL),0)</f>
        <v>0</v>
      </c>
      <c r="BT158" s="109">
        <f>($O158/Dashboard!$D$15)*(1+Dashboard!$D$20)</f>
        <v>14.761105371900824</v>
      </c>
      <c r="BU158" s="84">
        <f t="shared" si="134"/>
        <v>0</v>
      </c>
      <c r="BV158" s="65"/>
      <c r="BW158" s="204"/>
      <c r="BX158" s="156">
        <f>IF(B158&lt;&gt;"",_xlfn.XLOOKUP(B158,'Cronog. e Histog.'!B:B,'Cronog. e Histog.'!EM:EM),0)</f>
        <v>0</v>
      </c>
      <c r="BY158" s="109">
        <f>($O158/Dashboard!$D$15)*(1+Dashboard!$D$21)</f>
        <v>16.869834710743799</v>
      </c>
      <c r="BZ158" s="84">
        <f t="shared" si="135"/>
        <v>0</v>
      </c>
    </row>
    <row r="159" spans="2:78" ht="12" customHeight="1" outlineLevel="1">
      <c r="B159" s="137" t="str">
        <f>'Cronog. e Histog.'!B280</f>
        <v>EST_III - Equipe_01</v>
      </c>
      <c r="C159" s="65"/>
      <c r="D159" s="200">
        <f t="shared" si="103"/>
        <v>0</v>
      </c>
      <c r="E159" s="200">
        <f t="shared" si="104"/>
        <v>0</v>
      </c>
      <c r="F159" s="65"/>
      <c r="G159" s="200">
        <f t="shared" si="105"/>
        <v>0</v>
      </c>
      <c r="H159" s="200">
        <f t="shared" si="106"/>
        <v>0</v>
      </c>
      <c r="I159" s="65"/>
      <c r="J159" s="143" t="str">
        <f>IF('Cronog. e Histog.'!G280&gt;0,'Cronog. e Histog.'!G280,"")</f>
        <v>EST_III</v>
      </c>
      <c r="K159" s="65"/>
      <c r="L159" s="144">
        <f>'Cronog. e Histog.'!BT280</f>
        <v>0</v>
      </c>
      <c r="M159" s="144">
        <f>'Cronog. e Histog.'!BU280</f>
        <v>0</v>
      </c>
      <c r="N159" s="65"/>
      <c r="O159" s="109">
        <f>_xlfn.XLOOKUP(B159,Salários!B:B,Salários!K:K)</f>
        <v>1633</v>
      </c>
      <c r="P159" s="109">
        <f t="shared" si="121"/>
        <v>0</v>
      </c>
      <c r="Q159" s="109">
        <f t="shared" si="122"/>
        <v>0</v>
      </c>
      <c r="R159" s="65"/>
      <c r="S159" s="109">
        <f t="shared" si="123"/>
        <v>1633</v>
      </c>
      <c r="T159" s="201" t="str">
        <f>IF(_xlfn.XLOOKUP(B159,Salários!B:B,Salários!I:I)&gt;0,_xlfn.XLOOKUP(B159,Salários!B:B,Salários!I:I),"")</f>
        <v>PJ</v>
      </c>
      <c r="U159" s="117">
        <f t="shared" si="110"/>
        <v>0</v>
      </c>
      <c r="V159" s="65"/>
      <c r="W159" s="202"/>
      <c r="X159" s="65"/>
      <c r="Y159" s="69"/>
      <c r="Z159" s="65"/>
      <c r="AA159" s="518"/>
      <c r="AB159" s="65"/>
      <c r="AC159" s="81">
        <f t="shared" si="111"/>
        <v>0</v>
      </c>
      <c r="AD159" s="65"/>
      <c r="AE159" s="112"/>
      <c r="AF159" s="203">
        <v>0.3</v>
      </c>
      <c r="AG159" s="109">
        <f t="shared" si="44"/>
        <v>1633</v>
      </c>
      <c r="AH159" s="84">
        <f t="shared" si="112"/>
        <v>0</v>
      </c>
      <c r="AI159" s="65"/>
      <c r="AJ159" s="112"/>
      <c r="AK159" s="122"/>
      <c r="AL159" s="109">
        <v>1212</v>
      </c>
      <c r="AM159" s="84">
        <f t="shared" si="113"/>
        <v>0</v>
      </c>
      <c r="AN159" s="65"/>
      <c r="AO159" s="112"/>
      <c r="AP159" s="204"/>
      <c r="AQ159" s="109">
        <f>IFERROR((O159+AH159+AM159)/Dashboard!$D$15,0)*0.2</f>
        <v>1.6869834710743801</v>
      </c>
      <c r="AR159" s="84">
        <f t="shared" si="114"/>
        <v>0</v>
      </c>
      <c r="AS159" s="65"/>
      <c r="AT159" s="112"/>
      <c r="AU159" s="203">
        <v>0.33</v>
      </c>
      <c r="AV159" s="109">
        <f t="shared" si="115"/>
        <v>1633</v>
      </c>
      <c r="AW159" s="84">
        <f t="shared" si="116"/>
        <v>0</v>
      </c>
      <c r="AX159" s="65"/>
      <c r="AY159" s="112"/>
      <c r="AZ159" s="203">
        <v>0.25</v>
      </c>
      <c r="BA159" s="109">
        <f t="shared" si="50"/>
        <v>1633</v>
      </c>
      <c r="BB159" s="84">
        <f t="shared" si="117"/>
        <v>0</v>
      </c>
      <c r="BC159" s="65"/>
      <c r="BD159" s="112"/>
      <c r="BE159" s="203">
        <v>0.26</v>
      </c>
      <c r="BF159" s="109">
        <f t="shared" si="118"/>
        <v>1633</v>
      </c>
      <c r="BG159" s="84">
        <f t="shared" si="119"/>
        <v>0</v>
      </c>
      <c r="BH159" s="197"/>
      <c r="BI159" s="518"/>
      <c r="BJ159" s="65"/>
      <c r="BK159" s="81">
        <f t="shared" si="120"/>
        <v>0</v>
      </c>
      <c r="BL159" s="65"/>
      <c r="BM159" s="204"/>
      <c r="BN159" s="156">
        <f>IF(B159&lt;&gt;"",_xlfn.XLOOKUP(B159,'Cronog. e Histog.'!B:B,'Cronog. e Histog.'!EK:EK),0)</f>
        <v>0</v>
      </c>
      <c r="BO159" s="109">
        <f>($O159/Dashboard!$D$15)*(1+Dashboard!$D$19)</f>
        <v>12.652376033057848</v>
      </c>
      <c r="BP159" s="84">
        <f t="shared" si="133"/>
        <v>0</v>
      </c>
      <c r="BQ159" s="65"/>
      <c r="BR159" s="204"/>
      <c r="BS159" s="156">
        <f>IF(B159&lt;&gt;"",_xlfn.XLOOKUP(B159,'Cronog. e Histog.'!B:B,'Cronog. e Histog.'!EL:EL),0)</f>
        <v>0</v>
      </c>
      <c r="BT159" s="109">
        <f>($O159/Dashboard!$D$15)*(1+Dashboard!$D$20)</f>
        <v>14.761105371900824</v>
      </c>
      <c r="BU159" s="84">
        <f t="shared" si="134"/>
        <v>0</v>
      </c>
      <c r="BV159" s="65"/>
      <c r="BW159" s="204"/>
      <c r="BX159" s="156">
        <f>IF(B159&lt;&gt;"",_xlfn.XLOOKUP(B159,'Cronog. e Histog.'!B:B,'Cronog. e Histog.'!EM:EM),0)</f>
        <v>0</v>
      </c>
      <c r="BY159" s="109">
        <f>($O159/Dashboard!$D$15)*(1+Dashboard!$D$21)</f>
        <v>16.869834710743799</v>
      </c>
      <c r="BZ159" s="84">
        <f t="shared" si="135"/>
        <v>0</v>
      </c>
    </row>
    <row r="160" spans="2:78" ht="12" customHeight="1" outlineLevel="1"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9"/>
      <c r="Z160" s="65"/>
      <c r="AA160" s="518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197"/>
      <c r="BI160" s="518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</row>
    <row r="161" spans="2:78" ht="12" customHeight="1" outlineLevel="1">
      <c r="B161" s="65"/>
      <c r="C161" s="65"/>
      <c r="D161" s="65"/>
      <c r="E161" s="65"/>
      <c r="F161" s="65"/>
      <c r="G161" s="65"/>
      <c r="H161" s="65"/>
      <c r="I161" s="65"/>
      <c r="J161" s="199" t="str">
        <f>'Cronog. e Histog.'!F283</f>
        <v>Equipe04</v>
      </c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9"/>
      <c r="Z161" s="65"/>
      <c r="AA161" s="518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197"/>
      <c r="BI161" s="518"/>
      <c r="BJ161" s="65"/>
      <c r="BK161" s="65"/>
      <c r="BL161" s="65"/>
      <c r="BM161" s="65"/>
      <c r="BN161" s="65"/>
      <c r="BO161" s="65"/>
      <c r="BP161" s="65"/>
      <c r="BQ161" s="65"/>
      <c r="BR161" s="65"/>
      <c r="BS161" s="65"/>
      <c r="BT161" s="65"/>
      <c r="BU161" s="65"/>
      <c r="BV161" s="65"/>
      <c r="BW161" s="65"/>
      <c r="BX161" s="65"/>
      <c r="BY161" s="65"/>
      <c r="BZ161" s="65"/>
    </row>
    <row r="162" spans="2:78" ht="11.25" customHeight="1" outlineLevel="1">
      <c r="B162" s="137" t="str">
        <f>'Cronog. e Histog.'!B285</f>
        <v>GER. (OBRA/PROJ) - Equipe_01</v>
      </c>
      <c r="C162" s="65"/>
      <c r="D162" s="200">
        <f t="shared" ref="D162:D181" si="136">IF(T162="mensalista",L162,0)</f>
        <v>0</v>
      </c>
      <c r="E162" s="200">
        <f t="shared" ref="E162:E181" si="137">IF(T162="mensalista",M162,0)</f>
        <v>0</v>
      </c>
      <c r="F162" s="65"/>
      <c r="G162" s="200">
        <f t="shared" ref="G162:G181" si="138">IF(T162="mensalista",L162,0)</f>
        <v>0</v>
      </c>
      <c r="H162" s="200">
        <f t="shared" ref="H162:H181" si="139">IF(T162="mensalista",M162,0)</f>
        <v>0</v>
      </c>
      <c r="I162" s="65"/>
      <c r="J162" s="143" t="str">
        <f>IF('Cronog. e Histog.'!G285&gt;0,'Cronog. e Histog.'!G285,"")</f>
        <v>GER. (OBRA/PROJ)</v>
      </c>
      <c r="K162" s="65"/>
      <c r="L162" s="144">
        <f>'Cronog. e Histog.'!BT285</f>
        <v>0</v>
      </c>
      <c r="M162" s="144">
        <f>'Cronog. e Histog.'!BU285</f>
        <v>0</v>
      </c>
      <c r="N162" s="65"/>
      <c r="O162" s="109">
        <f>_xlfn.XLOOKUP(B162,Salários!B:B,Salários!K:K)</f>
        <v>21000</v>
      </c>
      <c r="P162" s="109">
        <f t="shared" ref="P162" si="140">AC162</f>
        <v>0</v>
      </c>
      <c r="Q162" s="109">
        <f t="shared" ref="Q162" si="141">BK162</f>
        <v>0</v>
      </c>
      <c r="R162" s="65"/>
      <c r="S162" s="109">
        <f t="shared" ref="S162" si="142">SUM(O162:Q162)</f>
        <v>21000</v>
      </c>
      <c r="T162" s="201" t="str">
        <f>IF(_xlfn.XLOOKUP(B162,Salários!B:B,Salários!I:I)&gt;0,_xlfn.XLOOKUP(B162,Salários!B:B,Salários!I:I),"")</f>
        <v>PJ</v>
      </c>
      <c r="U162" s="117">
        <f t="shared" ref="U162:U181" si="143">L162*M162*S162</f>
        <v>0</v>
      </c>
      <c r="V162" s="65"/>
      <c r="W162" s="202"/>
      <c r="X162" s="65"/>
      <c r="Y162" s="69"/>
      <c r="Z162" s="65"/>
      <c r="AA162" s="518"/>
      <c r="AB162" s="65"/>
      <c r="AC162" s="81">
        <f t="shared" ref="AC162:AC181" si="144">AH162+AM162+AR162+AW162+BB162+BG162</f>
        <v>0</v>
      </c>
      <c r="AD162" s="65"/>
      <c r="AE162" s="112"/>
      <c r="AF162" s="203">
        <v>0.3</v>
      </c>
      <c r="AG162" s="109">
        <f t="shared" si="44"/>
        <v>21000</v>
      </c>
      <c r="AH162" s="84">
        <f t="shared" ref="AH162:AH181" si="145">IF(AE162="sim",AF162*AG162,0)</f>
        <v>0</v>
      </c>
      <c r="AI162" s="65"/>
      <c r="AJ162" s="112"/>
      <c r="AK162" s="122"/>
      <c r="AL162" s="109">
        <v>1212</v>
      </c>
      <c r="AM162" s="84">
        <f t="shared" ref="AM162:AM181" si="146">IF(AJ162="sim",AK162*AL162,0)</f>
        <v>0</v>
      </c>
      <c r="AN162" s="65"/>
      <c r="AO162" s="112"/>
      <c r="AP162" s="204"/>
      <c r="AQ162" s="109">
        <f>IFERROR((O162+AH162+AM162)/Dashboard!$D$15,0)*0.2</f>
        <v>21.694214876033058</v>
      </c>
      <c r="AR162" s="84">
        <f t="shared" ref="AR162:AR181" si="147">IF(AO162="sim",AP162*AQ162,0)</f>
        <v>0</v>
      </c>
      <c r="AS162" s="65"/>
      <c r="AT162" s="112"/>
      <c r="AU162" s="203">
        <v>0.33</v>
      </c>
      <c r="AV162" s="109">
        <f t="shared" ref="AV162:AV181" si="148">$O162</f>
        <v>21000</v>
      </c>
      <c r="AW162" s="84">
        <f t="shared" ref="AW162:AW181" si="149">IF(AT162="sim",AU162*AV162,0)</f>
        <v>0</v>
      </c>
      <c r="AX162" s="65"/>
      <c r="AY162" s="112"/>
      <c r="AZ162" s="203">
        <v>0.25</v>
      </c>
      <c r="BA162" s="109">
        <f t="shared" si="50"/>
        <v>21000</v>
      </c>
      <c r="BB162" s="84">
        <f t="shared" ref="BB162:BB181" si="150">IF(AY162="sim",AZ162*BA162,0)</f>
        <v>0</v>
      </c>
      <c r="BC162" s="65"/>
      <c r="BD162" s="112"/>
      <c r="BE162" s="203">
        <v>0.26</v>
      </c>
      <c r="BF162" s="109">
        <f t="shared" ref="BF162:BF181" si="151">$O162</f>
        <v>21000</v>
      </c>
      <c r="BG162" s="84">
        <f t="shared" ref="BG162:BG181" si="152">IF(BD162="sim",BE162*BF162,0)</f>
        <v>0</v>
      </c>
      <c r="BH162" s="197"/>
      <c r="BI162" s="518"/>
      <c r="BJ162" s="65"/>
      <c r="BK162" s="81">
        <f t="shared" ref="BK162:BK181" si="153">BP162+BU162+BZ162</f>
        <v>0</v>
      </c>
      <c r="BL162" s="65"/>
      <c r="BM162" s="204"/>
      <c r="BN162" s="156">
        <f>IF(B162&lt;&gt;"",_xlfn.XLOOKUP(B162,'Cronog. e Histog.'!B:B,'Cronog. e Histog.'!EK:EK),0)</f>
        <v>0</v>
      </c>
      <c r="BO162" s="109">
        <f>($O162/Dashboard!$D$15)*(1+Dashboard!$D$19)</f>
        <v>162.7066115702479</v>
      </c>
      <c r="BP162" s="84">
        <f>SUM(BM162:BN162)*BO162</f>
        <v>0</v>
      </c>
      <c r="BQ162" s="65"/>
      <c r="BR162" s="204"/>
      <c r="BS162" s="156">
        <f>IF(B162&lt;&gt;"",_xlfn.XLOOKUP(B162,'Cronog. e Histog.'!B:B,'Cronog. e Histog.'!EL:EL),0)</f>
        <v>0</v>
      </c>
      <c r="BT162" s="109">
        <f>($O162/Dashboard!$D$15)*(1+Dashboard!$D$20)</f>
        <v>189.82438016528923</v>
      </c>
      <c r="BU162" s="84">
        <f>SUM(BR162:BS162)*BT162</f>
        <v>0</v>
      </c>
      <c r="BV162" s="65"/>
      <c r="BW162" s="204"/>
      <c r="BX162" s="156">
        <f>IF(B162&lt;&gt;"",_xlfn.XLOOKUP(B162,'Cronog. e Histog.'!B:B,'Cronog. e Histog.'!EM:EM),0)</f>
        <v>0</v>
      </c>
      <c r="BY162" s="109">
        <f>($O162/Dashboard!$D$15)*(1+Dashboard!$D$21)</f>
        <v>216.94214876033055</v>
      </c>
      <c r="BZ162" s="84">
        <f>SUM(BW162:BX162)*BY162</f>
        <v>0</v>
      </c>
    </row>
    <row r="163" spans="2:78" ht="12" customHeight="1" outlineLevel="1">
      <c r="B163" s="137" t="str">
        <f>'Cronog. e Histog.'!B286</f>
        <v>COORD. - Equipe_01</v>
      </c>
      <c r="C163" s="65"/>
      <c r="D163" s="200">
        <f t="shared" si="136"/>
        <v>0</v>
      </c>
      <c r="E163" s="200">
        <f t="shared" si="137"/>
        <v>0</v>
      </c>
      <c r="F163" s="65"/>
      <c r="G163" s="200">
        <f t="shared" si="138"/>
        <v>0</v>
      </c>
      <c r="H163" s="200">
        <f t="shared" si="139"/>
        <v>0</v>
      </c>
      <c r="I163" s="65"/>
      <c r="J163" s="143" t="str">
        <f>IF('Cronog. e Histog.'!G286&gt;0,'Cronog. e Histog.'!G286,"")</f>
        <v>COORD.</v>
      </c>
      <c r="K163" s="65"/>
      <c r="L163" s="144">
        <f>'Cronog. e Histog.'!BT286</f>
        <v>0</v>
      </c>
      <c r="M163" s="144">
        <f>'Cronog. e Histog.'!BU286</f>
        <v>0</v>
      </c>
      <c r="N163" s="65"/>
      <c r="O163" s="109">
        <f>_xlfn.XLOOKUP(B163,Salários!B:B,Salários!K:K)</f>
        <v>19000</v>
      </c>
      <c r="P163" s="109">
        <f t="shared" ref="P163:P181" si="154">AC163</f>
        <v>0</v>
      </c>
      <c r="Q163" s="109">
        <f t="shared" ref="Q163:Q181" si="155">BK163</f>
        <v>0</v>
      </c>
      <c r="R163" s="65"/>
      <c r="S163" s="109">
        <f t="shared" ref="S163:S181" si="156">SUM(O163:Q163)</f>
        <v>19000</v>
      </c>
      <c r="T163" s="201" t="str">
        <f>IF(_xlfn.XLOOKUP(B163,Salários!B:B,Salários!I:I)&gt;0,_xlfn.XLOOKUP(B163,Salários!B:B,Salários!I:I),"")</f>
        <v>PJ</v>
      </c>
      <c r="U163" s="117">
        <f t="shared" ref="U163:U172" si="157">L163*M163*S163</f>
        <v>0</v>
      </c>
      <c r="V163" s="65"/>
      <c r="W163" s="202"/>
      <c r="X163" s="65"/>
      <c r="Y163" s="69"/>
      <c r="Z163" s="65"/>
      <c r="AA163" s="518"/>
      <c r="AB163" s="65"/>
      <c r="AC163" s="81">
        <f t="shared" ref="AC163:AC172" si="158">AH163+AM163+AR163+AW163+BB163+BG163</f>
        <v>0</v>
      </c>
      <c r="AD163" s="65"/>
      <c r="AE163" s="112"/>
      <c r="AF163" s="203">
        <v>0.3</v>
      </c>
      <c r="AG163" s="109">
        <f t="shared" si="44"/>
        <v>19000</v>
      </c>
      <c r="AH163" s="84">
        <f t="shared" ref="AH163:AH172" si="159">IF(AE163="sim",AF163*AG163,0)</f>
        <v>0</v>
      </c>
      <c r="AI163" s="65"/>
      <c r="AJ163" s="112"/>
      <c r="AK163" s="122"/>
      <c r="AL163" s="109">
        <v>1212</v>
      </c>
      <c r="AM163" s="84">
        <f t="shared" ref="AM163:AM172" si="160">IF(AJ163="sim",AK163*AL163,0)</f>
        <v>0</v>
      </c>
      <c r="AN163" s="65"/>
      <c r="AO163" s="112"/>
      <c r="AP163" s="204"/>
      <c r="AQ163" s="109">
        <f>IFERROR((O163+AH163+AM163)/Dashboard!$D$15,0)*0.2</f>
        <v>19.628099173553718</v>
      </c>
      <c r="AR163" s="84">
        <f t="shared" ref="AR163:AR172" si="161">IF(AO163="sim",AP163*AQ163,0)</f>
        <v>0</v>
      </c>
      <c r="AS163" s="65"/>
      <c r="AT163" s="112"/>
      <c r="AU163" s="203">
        <v>0.33</v>
      </c>
      <c r="AV163" s="109">
        <f t="shared" si="148"/>
        <v>19000</v>
      </c>
      <c r="AW163" s="84">
        <f t="shared" ref="AW163:AW172" si="162">IF(AT163="sim",AU163*AV163,0)</f>
        <v>0</v>
      </c>
      <c r="AX163" s="65"/>
      <c r="AY163" s="112"/>
      <c r="AZ163" s="203">
        <v>0.25</v>
      </c>
      <c r="BA163" s="109">
        <f t="shared" si="50"/>
        <v>19000</v>
      </c>
      <c r="BB163" s="84">
        <f t="shared" ref="BB163:BB172" si="163">IF(AY163="sim",AZ163*BA163,0)</f>
        <v>0</v>
      </c>
      <c r="BC163" s="65"/>
      <c r="BD163" s="112"/>
      <c r="BE163" s="203">
        <v>0.26</v>
      </c>
      <c r="BF163" s="109">
        <f t="shared" si="151"/>
        <v>19000</v>
      </c>
      <c r="BG163" s="84">
        <f t="shared" ref="BG163:BG172" si="164">IF(BD163="sim",BE163*BF163,0)</f>
        <v>0</v>
      </c>
      <c r="BH163" s="197"/>
      <c r="BI163" s="518"/>
      <c r="BJ163" s="65"/>
      <c r="BK163" s="81">
        <f t="shared" ref="BK163:BK172" si="165">BP163+BU163+BZ163</f>
        <v>0</v>
      </c>
      <c r="BL163" s="65"/>
      <c r="BM163" s="204"/>
      <c r="BN163" s="156">
        <f>IF(B163&lt;&gt;"",_xlfn.XLOOKUP(B163,'Cronog. e Histog.'!B:B,'Cronog. e Histog.'!EK:EK),0)</f>
        <v>0</v>
      </c>
      <c r="BO163" s="109">
        <f>($O163/Dashboard!$D$15)*(1+Dashboard!$D$19)</f>
        <v>147.21074380165288</v>
      </c>
      <c r="BP163" s="84">
        <f t="shared" ref="BP163:BP181" si="166">SUM(BM163:BN163)*BO163</f>
        <v>0</v>
      </c>
      <c r="BQ163" s="65"/>
      <c r="BR163" s="204"/>
      <c r="BS163" s="156">
        <f>IF(B163&lt;&gt;"",_xlfn.XLOOKUP(B163,'Cronog. e Histog.'!B:B,'Cronog. e Histog.'!EL:EL),0)</f>
        <v>0</v>
      </c>
      <c r="BT163" s="109">
        <f>($O163/Dashboard!$D$15)*(1+Dashboard!$D$20)</f>
        <v>171.74586776859502</v>
      </c>
      <c r="BU163" s="84">
        <f t="shared" ref="BU163:BU181" si="167">SUM(BR163:BS163)*BT163</f>
        <v>0</v>
      </c>
      <c r="BV163" s="65"/>
      <c r="BW163" s="204"/>
      <c r="BX163" s="156">
        <f>IF(B163&lt;&gt;"",_xlfn.XLOOKUP(B163,'Cronog. e Histog.'!B:B,'Cronog. e Histog.'!EM:EM),0)</f>
        <v>0</v>
      </c>
      <c r="BY163" s="109">
        <f>($O163/Dashboard!$D$15)*(1+Dashboard!$D$21)</f>
        <v>196.28099173553716</v>
      </c>
      <c r="BZ163" s="84">
        <f t="shared" ref="BZ163:BZ181" si="168">SUM(BW163:BX163)*BY163</f>
        <v>0</v>
      </c>
    </row>
    <row r="164" spans="2:78" ht="12" customHeight="1" outlineLevel="1">
      <c r="B164" s="137" t="str">
        <f>'Cronog. e Histog.'!B287</f>
        <v>SUP.-ESP - Equipe_01</v>
      </c>
      <c r="C164" s="65"/>
      <c r="D164" s="200">
        <f t="shared" si="136"/>
        <v>0</v>
      </c>
      <c r="E164" s="200">
        <f t="shared" si="137"/>
        <v>0</v>
      </c>
      <c r="F164" s="65"/>
      <c r="G164" s="200">
        <f t="shared" si="138"/>
        <v>0</v>
      </c>
      <c r="H164" s="200">
        <f t="shared" si="139"/>
        <v>0</v>
      </c>
      <c r="I164" s="65"/>
      <c r="J164" s="143" t="str">
        <f>IF('Cronog. e Histog.'!G287&gt;0,'Cronog. e Histog.'!G287,"")</f>
        <v>SUP.-ESP</v>
      </c>
      <c r="K164" s="65"/>
      <c r="L164" s="144">
        <f>'Cronog. e Histog.'!BT287</f>
        <v>0</v>
      </c>
      <c r="M164" s="144">
        <f>'Cronog. e Histog.'!BU287</f>
        <v>0</v>
      </c>
      <c r="N164" s="65"/>
      <c r="O164" s="109">
        <f>_xlfn.XLOOKUP(B164,Salários!B:B,Salários!K:K)</f>
        <v>9716.67</v>
      </c>
      <c r="P164" s="109">
        <f t="shared" si="154"/>
        <v>0</v>
      </c>
      <c r="Q164" s="109">
        <f t="shared" si="155"/>
        <v>0</v>
      </c>
      <c r="R164" s="65"/>
      <c r="S164" s="109">
        <f t="shared" si="156"/>
        <v>9716.67</v>
      </c>
      <c r="T164" s="201" t="str">
        <f>IF(_xlfn.XLOOKUP(B164,Salários!B:B,Salários!I:I)&gt;0,_xlfn.XLOOKUP(B164,Salários!B:B,Salários!I:I),"")</f>
        <v>Mensalista</v>
      </c>
      <c r="U164" s="117">
        <f t="shared" si="157"/>
        <v>0</v>
      </c>
      <c r="V164" s="65"/>
      <c r="W164" s="202"/>
      <c r="X164" s="65"/>
      <c r="Y164" s="69"/>
      <c r="Z164" s="65"/>
      <c r="AA164" s="518"/>
      <c r="AB164" s="65"/>
      <c r="AC164" s="81">
        <f t="shared" si="158"/>
        <v>0</v>
      </c>
      <c r="AD164" s="65"/>
      <c r="AE164" s="112"/>
      <c r="AF164" s="203">
        <v>0.3</v>
      </c>
      <c r="AG164" s="109">
        <f t="shared" si="44"/>
        <v>9716.67</v>
      </c>
      <c r="AH164" s="84">
        <f t="shared" si="159"/>
        <v>0</v>
      </c>
      <c r="AI164" s="65"/>
      <c r="AJ164" s="112"/>
      <c r="AK164" s="122"/>
      <c r="AL164" s="109">
        <v>1212</v>
      </c>
      <c r="AM164" s="84">
        <f t="shared" si="160"/>
        <v>0</v>
      </c>
      <c r="AN164" s="65"/>
      <c r="AO164" s="112"/>
      <c r="AP164" s="204"/>
      <c r="AQ164" s="109">
        <f>IFERROR((O164+AH164+AM164)/Dashboard!$D$15,0)*0.2</f>
        <v>10.037882231404957</v>
      </c>
      <c r="AR164" s="84">
        <f t="shared" si="161"/>
        <v>0</v>
      </c>
      <c r="AS164" s="65"/>
      <c r="AT164" s="112"/>
      <c r="AU164" s="203">
        <v>0.33</v>
      </c>
      <c r="AV164" s="109">
        <f t="shared" si="148"/>
        <v>9716.67</v>
      </c>
      <c r="AW164" s="84">
        <f t="shared" si="162"/>
        <v>0</v>
      </c>
      <c r="AX164" s="65"/>
      <c r="AY164" s="112"/>
      <c r="AZ164" s="203">
        <v>0.25</v>
      </c>
      <c r="BA164" s="109">
        <f t="shared" si="50"/>
        <v>9716.67</v>
      </c>
      <c r="BB164" s="84">
        <f t="shared" si="163"/>
        <v>0</v>
      </c>
      <c r="BC164" s="65"/>
      <c r="BD164" s="112"/>
      <c r="BE164" s="203">
        <v>0.26</v>
      </c>
      <c r="BF164" s="109">
        <f t="shared" si="151"/>
        <v>9716.67</v>
      </c>
      <c r="BG164" s="84">
        <f t="shared" si="164"/>
        <v>0</v>
      </c>
      <c r="BH164" s="197"/>
      <c r="BI164" s="518"/>
      <c r="BJ164" s="65"/>
      <c r="BK164" s="81">
        <f t="shared" si="165"/>
        <v>0</v>
      </c>
      <c r="BL164" s="65"/>
      <c r="BM164" s="204"/>
      <c r="BN164" s="156">
        <f>IF(B164&lt;&gt;"",_xlfn.XLOOKUP(B164,'Cronog. e Histog.'!B:B,'Cronog. e Histog.'!EK:EK),0)</f>
        <v>0</v>
      </c>
      <c r="BO164" s="109">
        <f>($O164/Dashboard!$D$15)*(1+Dashboard!$D$19)</f>
        <v>75.284116735537182</v>
      </c>
      <c r="BP164" s="84">
        <f t="shared" si="166"/>
        <v>0</v>
      </c>
      <c r="BQ164" s="65"/>
      <c r="BR164" s="204"/>
      <c r="BS164" s="156">
        <f>IF(B164&lt;&gt;"",_xlfn.XLOOKUP(B164,'Cronog. e Histog.'!B:B,'Cronog. e Histog.'!EL:EL),0)</f>
        <v>0</v>
      </c>
      <c r="BT164" s="109">
        <f>($O164/Dashboard!$D$15)*(1+Dashboard!$D$20)</f>
        <v>87.831469524793377</v>
      </c>
      <c r="BU164" s="84">
        <f t="shared" si="167"/>
        <v>0</v>
      </c>
      <c r="BV164" s="65"/>
      <c r="BW164" s="204"/>
      <c r="BX164" s="156">
        <f>IF(B164&lt;&gt;"",_xlfn.XLOOKUP(B164,'Cronog. e Histog.'!B:B,'Cronog. e Histog.'!EM:EM),0)</f>
        <v>0</v>
      </c>
      <c r="BY164" s="109">
        <f>($O164/Dashboard!$D$15)*(1+Dashboard!$D$21)</f>
        <v>100.37882231404957</v>
      </c>
      <c r="BZ164" s="84">
        <f t="shared" si="168"/>
        <v>0</v>
      </c>
    </row>
    <row r="165" spans="2:78" ht="12" customHeight="1" outlineLevel="1">
      <c r="B165" s="137" t="str">
        <f>'Cronog. e Histog.'!B288</f>
        <v>ENG/ARQ SR. - Equipe_01</v>
      </c>
      <c r="C165" s="65"/>
      <c r="D165" s="200">
        <f t="shared" si="136"/>
        <v>0</v>
      </c>
      <c r="E165" s="200">
        <f t="shared" si="137"/>
        <v>0</v>
      </c>
      <c r="F165" s="65"/>
      <c r="G165" s="200">
        <f t="shared" si="138"/>
        <v>0</v>
      </c>
      <c r="H165" s="200">
        <f t="shared" si="139"/>
        <v>0</v>
      </c>
      <c r="I165" s="65"/>
      <c r="J165" s="143" t="str">
        <f>IF('Cronog. e Histog.'!G288&gt;0,'Cronog. e Histog.'!G288,"")</f>
        <v>ENG/ARQ SR.</v>
      </c>
      <c r="K165" s="65"/>
      <c r="L165" s="144">
        <f>'Cronog. e Histog.'!BT288</f>
        <v>0</v>
      </c>
      <c r="M165" s="144">
        <f>'Cronog. e Histog.'!BU288</f>
        <v>0</v>
      </c>
      <c r="N165" s="65"/>
      <c r="O165" s="109">
        <f>_xlfn.XLOOKUP(B165,Salários!B:B,Salários!K:K)</f>
        <v>16000</v>
      </c>
      <c r="P165" s="109">
        <f t="shared" si="154"/>
        <v>0</v>
      </c>
      <c r="Q165" s="109">
        <f t="shared" si="155"/>
        <v>0</v>
      </c>
      <c r="R165" s="65"/>
      <c r="S165" s="109">
        <f t="shared" si="156"/>
        <v>16000</v>
      </c>
      <c r="T165" s="201" t="str">
        <f>IF(_xlfn.XLOOKUP(B165,Salários!B:B,Salários!I:I)&gt;0,_xlfn.XLOOKUP(B165,Salários!B:B,Salários!I:I),"")</f>
        <v>PJ</v>
      </c>
      <c r="U165" s="117">
        <f t="shared" si="157"/>
        <v>0</v>
      </c>
      <c r="V165" s="65"/>
      <c r="W165" s="202"/>
      <c r="X165" s="65"/>
      <c r="Y165" s="69"/>
      <c r="Z165" s="65"/>
      <c r="AA165" s="518"/>
      <c r="AB165" s="65"/>
      <c r="AC165" s="81">
        <f t="shared" si="158"/>
        <v>0</v>
      </c>
      <c r="AD165" s="65"/>
      <c r="AE165" s="112"/>
      <c r="AF165" s="203">
        <v>0.3</v>
      </c>
      <c r="AG165" s="109">
        <f t="shared" si="44"/>
        <v>16000</v>
      </c>
      <c r="AH165" s="84">
        <f t="shared" si="159"/>
        <v>0</v>
      </c>
      <c r="AI165" s="65"/>
      <c r="AJ165" s="112"/>
      <c r="AK165" s="122"/>
      <c r="AL165" s="109">
        <v>1212</v>
      </c>
      <c r="AM165" s="84">
        <f t="shared" si="160"/>
        <v>0</v>
      </c>
      <c r="AN165" s="65"/>
      <c r="AO165" s="112"/>
      <c r="AP165" s="204"/>
      <c r="AQ165" s="109">
        <f>IFERROR((O165+AH165+AM165)/Dashboard!$D$15,0)*0.2</f>
        <v>16.528925619834709</v>
      </c>
      <c r="AR165" s="84">
        <f t="shared" si="161"/>
        <v>0</v>
      </c>
      <c r="AS165" s="65"/>
      <c r="AT165" s="112"/>
      <c r="AU165" s="203">
        <v>0.33</v>
      </c>
      <c r="AV165" s="109">
        <f t="shared" si="148"/>
        <v>16000</v>
      </c>
      <c r="AW165" s="84">
        <f t="shared" si="162"/>
        <v>0</v>
      </c>
      <c r="AX165" s="65"/>
      <c r="AY165" s="112"/>
      <c r="AZ165" s="203">
        <v>0.25</v>
      </c>
      <c r="BA165" s="109">
        <f t="shared" si="50"/>
        <v>16000</v>
      </c>
      <c r="BB165" s="84">
        <f t="shared" si="163"/>
        <v>0</v>
      </c>
      <c r="BC165" s="65"/>
      <c r="BD165" s="112"/>
      <c r="BE165" s="203">
        <v>0.26</v>
      </c>
      <c r="BF165" s="109">
        <f t="shared" si="151"/>
        <v>16000</v>
      </c>
      <c r="BG165" s="84">
        <f t="shared" si="164"/>
        <v>0</v>
      </c>
      <c r="BH165" s="197"/>
      <c r="BI165" s="518"/>
      <c r="BJ165" s="65"/>
      <c r="BK165" s="81">
        <f t="shared" si="165"/>
        <v>0</v>
      </c>
      <c r="BL165" s="65"/>
      <c r="BM165" s="204"/>
      <c r="BN165" s="156">
        <f>IF(B165&lt;&gt;"",_xlfn.XLOOKUP(B165,'Cronog. e Histog.'!B:B,'Cronog. e Histog.'!EK:EK),0)</f>
        <v>0</v>
      </c>
      <c r="BO165" s="109">
        <f>($O165/Dashboard!$D$15)*(1+Dashboard!$D$19)</f>
        <v>123.96694214876032</v>
      </c>
      <c r="BP165" s="84">
        <f t="shared" si="166"/>
        <v>0</v>
      </c>
      <c r="BQ165" s="65"/>
      <c r="BR165" s="204"/>
      <c r="BS165" s="156">
        <f>IF(B165&lt;&gt;"",_xlfn.XLOOKUP(B165,'Cronog. e Histog.'!B:B,'Cronog. e Histog.'!EL:EL),0)</f>
        <v>0</v>
      </c>
      <c r="BT165" s="109">
        <f>($O165/Dashboard!$D$15)*(1+Dashboard!$D$20)</f>
        <v>144.62809917355369</v>
      </c>
      <c r="BU165" s="84">
        <f t="shared" si="167"/>
        <v>0</v>
      </c>
      <c r="BV165" s="65"/>
      <c r="BW165" s="204"/>
      <c r="BX165" s="156">
        <f>IF(B165&lt;&gt;"",_xlfn.XLOOKUP(B165,'Cronog. e Histog.'!B:B,'Cronog. e Histog.'!EM:EM),0)</f>
        <v>0</v>
      </c>
      <c r="BY165" s="109">
        <f>($O165/Dashboard!$D$15)*(1+Dashboard!$D$21)</f>
        <v>165.28925619834709</v>
      </c>
      <c r="BZ165" s="84">
        <f t="shared" si="168"/>
        <v>0</v>
      </c>
    </row>
    <row r="166" spans="2:78" ht="12" customHeight="1" outlineLevel="1">
      <c r="B166" s="137" t="str">
        <f>'Cronog. e Histog.'!B289</f>
        <v>ENG/ARQ PL. - Equipe_01</v>
      </c>
      <c r="C166" s="65"/>
      <c r="D166" s="200">
        <f t="shared" si="136"/>
        <v>0</v>
      </c>
      <c r="E166" s="200">
        <f t="shared" si="137"/>
        <v>0</v>
      </c>
      <c r="F166" s="65"/>
      <c r="G166" s="200">
        <f t="shared" si="138"/>
        <v>0</v>
      </c>
      <c r="H166" s="200">
        <f t="shared" si="139"/>
        <v>0</v>
      </c>
      <c r="I166" s="65"/>
      <c r="J166" s="143" t="str">
        <f>IF('Cronog. e Histog.'!G289&gt;0,'Cronog. e Histog.'!G289,"")</f>
        <v>ENG/ARQ PL.</v>
      </c>
      <c r="K166" s="65"/>
      <c r="L166" s="144">
        <f>'Cronog. e Histog.'!BT289</f>
        <v>0</v>
      </c>
      <c r="M166" s="144">
        <f>'Cronog. e Histog.'!BU289</f>
        <v>0</v>
      </c>
      <c r="N166" s="65"/>
      <c r="O166" s="109">
        <f>_xlfn.XLOOKUP(B166,Salários!B:B,Salários!K:K)</f>
        <v>14000</v>
      </c>
      <c r="P166" s="109">
        <f t="shared" si="154"/>
        <v>0</v>
      </c>
      <c r="Q166" s="109">
        <f t="shared" si="155"/>
        <v>0</v>
      </c>
      <c r="R166" s="65"/>
      <c r="S166" s="109">
        <f t="shared" si="156"/>
        <v>14000</v>
      </c>
      <c r="T166" s="201" t="str">
        <f>IF(_xlfn.XLOOKUP(B166,Salários!B:B,Salários!I:I)&gt;0,_xlfn.XLOOKUP(B166,Salários!B:B,Salários!I:I),"")</f>
        <v>PJ</v>
      </c>
      <c r="U166" s="117">
        <f t="shared" si="157"/>
        <v>0</v>
      </c>
      <c r="V166" s="65"/>
      <c r="W166" s="202"/>
      <c r="X166" s="65"/>
      <c r="Y166" s="69"/>
      <c r="Z166" s="65"/>
      <c r="AA166" s="518"/>
      <c r="AB166" s="65"/>
      <c r="AC166" s="81">
        <f t="shared" si="158"/>
        <v>0</v>
      </c>
      <c r="AD166" s="65"/>
      <c r="AE166" s="112"/>
      <c r="AF166" s="203">
        <v>0.3</v>
      </c>
      <c r="AG166" s="109">
        <f t="shared" si="44"/>
        <v>14000</v>
      </c>
      <c r="AH166" s="84">
        <f t="shared" si="159"/>
        <v>0</v>
      </c>
      <c r="AI166" s="65"/>
      <c r="AJ166" s="112"/>
      <c r="AK166" s="122"/>
      <c r="AL166" s="109">
        <v>1212</v>
      </c>
      <c r="AM166" s="84">
        <f t="shared" si="160"/>
        <v>0</v>
      </c>
      <c r="AN166" s="65"/>
      <c r="AO166" s="112"/>
      <c r="AP166" s="204"/>
      <c r="AQ166" s="109">
        <f>IFERROR((O166+AH166+AM166)/Dashboard!$D$15,0)*0.2</f>
        <v>14.46280991735537</v>
      </c>
      <c r="AR166" s="84">
        <f t="shared" si="161"/>
        <v>0</v>
      </c>
      <c r="AS166" s="65"/>
      <c r="AT166" s="112"/>
      <c r="AU166" s="203">
        <v>0.33</v>
      </c>
      <c r="AV166" s="109">
        <f t="shared" si="148"/>
        <v>14000</v>
      </c>
      <c r="AW166" s="84">
        <f t="shared" si="162"/>
        <v>0</v>
      </c>
      <c r="AX166" s="65"/>
      <c r="AY166" s="112"/>
      <c r="AZ166" s="203">
        <v>0.25</v>
      </c>
      <c r="BA166" s="109">
        <f t="shared" si="50"/>
        <v>14000</v>
      </c>
      <c r="BB166" s="84">
        <f t="shared" si="163"/>
        <v>0</v>
      </c>
      <c r="BC166" s="65"/>
      <c r="BD166" s="112"/>
      <c r="BE166" s="203">
        <v>0.26</v>
      </c>
      <c r="BF166" s="109">
        <f t="shared" si="151"/>
        <v>14000</v>
      </c>
      <c r="BG166" s="84">
        <f t="shared" si="164"/>
        <v>0</v>
      </c>
      <c r="BH166" s="197"/>
      <c r="BI166" s="518"/>
      <c r="BJ166" s="65"/>
      <c r="BK166" s="81">
        <f t="shared" si="165"/>
        <v>0</v>
      </c>
      <c r="BL166" s="65"/>
      <c r="BM166" s="204"/>
      <c r="BN166" s="156">
        <f>IF(B166&lt;&gt;"",_xlfn.XLOOKUP(B166,'Cronog. e Histog.'!B:B,'Cronog. e Histog.'!EK:EK),0)</f>
        <v>0</v>
      </c>
      <c r="BO166" s="109">
        <f>($O166/Dashboard!$D$15)*(1+Dashboard!$D$19)</f>
        <v>108.47107438016528</v>
      </c>
      <c r="BP166" s="84">
        <f t="shared" si="166"/>
        <v>0</v>
      </c>
      <c r="BQ166" s="65"/>
      <c r="BR166" s="204"/>
      <c r="BS166" s="156">
        <f>IF(B166&lt;&gt;"",_xlfn.XLOOKUP(B166,'Cronog. e Histog.'!B:B,'Cronog. e Histog.'!EL:EL),0)</f>
        <v>0</v>
      </c>
      <c r="BT166" s="109">
        <f>($O166/Dashboard!$D$15)*(1+Dashboard!$D$20)</f>
        <v>126.54958677685948</v>
      </c>
      <c r="BU166" s="84">
        <f t="shared" si="167"/>
        <v>0</v>
      </c>
      <c r="BV166" s="65"/>
      <c r="BW166" s="204"/>
      <c r="BX166" s="156">
        <f>IF(B166&lt;&gt;"",_xlfn.XLOOKUP(B166,'Cronog. e Histog.'!B:B,'Cronog. e Histog.'!EM:EM),0)</f>
        <v>0</v>
      </c>
      <c r="BY166" s="109">
        <f>($O166/Dashboard!$D$15)*(1+Dashboard!$D$21)</f>
        <v>144.62809917355369</v>
      </c>
      <c r="BZ166" s="84">
        <f t="shared" si="168"/>
        <v>0</v>
      </c>
    </row>
    <row r="167" spans="2:78" ht="12" customHeight="1" outlineLevel="1">
      <c r="B167" s="137" t="str">
        <f>'Cronog. e Histog.'!B290</f>
        <v>ENG/ARQ JR. - Equipe_01</v>
      </c>
      <c r="C167" s="65"/>
      <c r="D167" s="200">
        <f t="shared" si="136"/>
        <v>0</v>
      </c>
      <c r="E167" s="200">
        <f t="shared" si="137"/>
        <v>0</v>
      </c>
      <c r="F167" s="65"/>
      <c r="G167" s="200">
        <f t="shared" si="138"/>
        <v>0</v>
      </c>
      <c r="H167" s="200">
        <f t="shared" si="139"/>
        <v>0</v>
      </c>
      <c r="I167" s="65"/>
      <c r="J167" s="143" t="str">
        <f>IF('Cronog. e Histog.'!G290&gt;0,'Cronog. e Histog.'!G290,"")</f>
        <v>ENG/ARQ JR.</v>
      </c>
      <c r="K167" s="65"/>
      <c r="L167" s="144">
        <f>'Cronog. e Histog.'!BT290</f>
        <v>0</v>
      </c>
      <c r="M167" s="144">
        <f>'Cronog. e Histog.'!BU290</f>
        <v>0</v>
      </c>
      <c r="N167" s="65"/>
      <c r="O167" s="109">
        <f>_xlfn.XLOOKUP(B167,Salários!B:B,Salários!K:K)</f>
        <v>14000</v>
      </c>
      <c r="P167" s="109">
        <f t="shared" si="154"/>
        <v>0</v>
      </c>
      <c r="Q167" s="109">
        <f t="shared" si="155"/>
        <v>0</v>
      </c>
      <c r="R167" s="65"/>
      <c r="S167" s="109">
        <f t="shared" si="156"/>
        <v>14000</v>
      </c>
      <c r="T167" s="201" t="str">
        <f>IF(_xlfn.XLOOKUP(B167,Salários!B:B,Salários!I:I)&gt;0,_xlfn.XLOOKUP(B167,Salários!B:B,Salários!I:I),"")</f>
        <v>PJ</v>
      </c>
      <c r="U167" s="117">
        <f t="shared" si="157"/>
        <v>0</v>
      </c>
      <c r="V167" s="65"/>
      <c r="W167" s="202"/>
      <c r="X167" s="65"/>
      <c r="Y167" s="69"/>
      <c r="Z167" s="65"/>
      <c r="AA167" s="518"/>
      <c r="AB167" s="65"/>
      <c r="AC167" s="81">
        <f t="shared" si="158"/>
        <v>0</v>
      </c>
      <c r="AD167" s="65"/>
      <c r="AE167" s="112"/>
      <c r="AF167" s="203">
        <v>0.3</v>
      </c>
      <c r="AG167" s="109">
        <f t="shared" si="44"/>
        <v>14000</v>
      </c>
      <c r="AH167" s="84">
        <f t="shared" si="159"/>
        <v>0</v>
      </c>
      <c r="AI167" s="65"/>
      <c r="AJ167" s="112"/>
      <c r="AK167" s="122"/>
      <c r="AL167" s="109">
        <v>1212</v>
      </c>
      <c r="AM167" s="84">
        <f t="shared" si="160"/>
        <v>0</v>
      </c>
      <c r="AN167" s="65"/>
      <c r="AO167" s="112"/>
      <c r="AP167" s="204"/>
      <c r="AQ167" s="109">
        <f>IFERROR((O167+AH167+AM167)/Dashboard!$D$15,0)*0.2</f>
        <v>14.46280991735537</v>
      </c>
      <c r="AR167" s="84">
        <f t="shared" si="161"/>
        <v>0</v>
      </c>
      <c r="AS167" s="65"/>
      <c r="AT167" s="112"/>
      <c r="AU167" s="203">
        <v>0.33</v>
      </c>
      <c r="AV167" s="109">
        <f t="shared" si="148"/>
        <v>14000</v>
      </c>
      <c r="AW167" s="84">
        <f t="shared" si="162"/>
        <v>0</v>
      </c>
      <c r="AX167" s="65"/>
      <c r="AY167" s="112"/>
      <c r="AZ167" s="203">
        <v>0.25</v>
      </c>
      <c r="BA167" s="109">
        <f t="shared" si="50"/>
        <v>14000</v>
      </c>
      <c r="BB167" s="84">
        <f t="shared" si="163"/>
        <v>0</v>
      </c>
      <c r="BC167" s="65"/>
      <c r="BD167" s="112"/>
      <c r="BE167" s="203">
        <v>0.26</v>
      </c>
      <c r="BF167" s="109">
        <f t="shared" si="151"/>
        <v>14000</v>
      </c>
      <c r="BG167" s="84">
        <f t="shared" si="164"/>
        <v>0</v>
      </c>
      <c r="BH167" s="197"/>
      <c r="BI167" s="518"/>
      <c r="BJ167" s="65"/>
      <c r="BK167" s="81">
        <f t="shared" si="165"/>
        <v>0</v>
      </c>
      <c r="BL167" s="65"/>
      <c r="BM167" s="204"/>
      <c r="BN167" s="156">
        <f>IF(B167&lt;&gt;"",_xlfn.XLOOKUP(B167,'Cronog. e Histog.'!B:B,'Cronog. e Histog.'!EK:EK),0)</f>
        <v>0</v>
      </c>
      <c r="BO167" s="109">
        <f>($O167/Dashboard!$D$15)*(1+Dashboard!$D$19)</f>
        <v>108.47107438016528</v>
      </c>
      <c r="BP167" s="84">
        <f t="shared" si="166"/>
        <v>0</v>
      </c>
      <c r="BQ167" s="65"/>
      <c r="BR167" s="204"/>
      <c r="BS167" s="156">
        <f>IF(B167&lt;&gt;"",_xlfn.XLOOKUP(B167,'Cronog. e Histog.'!B:B,'Cronog. e Histog.'!EL:EL),0)</f>
        <v>0</v>
      </c>
      <c r="BT167" s="109">
        <f>($O167/Dashboard!$D$15)*(1+Dashboard!$D$20)</f>
        <v>126.54958677685948</v>
      </c>
      <c r="BU167" s="84">
        <f t="shared" si="167"/>
        <v>0</v>
      </c>
      <c r="BV167" s="65"/>
      <c r="BW167" s="204"/>
      <c r="BX167" s="156">
        <f>IF(B167&lt;&gt;"",_xlfn.XLOOKUP(B167,'Cronog. e Histog.'!B:B,'Cronog. e Histog.'!EM:EM),0)</f>
        <v>0</v>
      </c>
      <c r="BY167" s="109">
        <f>($O167/Dashboard!$D$15)*(1+Dashboard!$D$21)</f>
        <v>144.62809917355369</v>
      </c>
      <c r="BZ167" s="84">
        <f t="shared" si="168"/>
        <v>0</v>
      </c>
    </row>
    <row r="168" spans="2:78" ht="12" customHeight="1" outlineLevel="1">
      <c r="B168" s="137" t="str">
        <f>'Cronog. e Histog.'!B291</f>
        <v>AN SR. ENG/ARQ - Equipe_01</v>
      </c>
      <c r="C168" s="65"/>
      <c r="D168" s="200">
        <f t="shared" si="136"/>
        <v>0</v>
      </c>
      <c r="E168" s="200">
        <f t="shared" si="137"/>
        <v>0</v>
      </c>
      <c r="F168" s="65"/>
      <c r="G168" s="200">
        <f t="shared" si="138"/>
        <v>0</v>
      </c>
      <c r="H168" s="200">
        <f t="shared" si="139"/>
        <v>0</v>
      </c>
      <c r="I168" s="65"/>
      <c r="J168" s="143" t="str">
        <f>IF('Cronog. e Histog.'!G291&gt;0,'Cronog. e Histog.'!G291,"")</f>
        <v>AN SR. ENG/ARQ</v>
      </c>
      <c r="K168" s="65"/>
      <c r="L168" s="144">
        <f>'Cronog. e Histog.'!BT291</f>
        <v>0</v>
      </c>
      <c r="M168" s="144">
        <f>'Cronog. e Histog.'!BU291</f>
        <v>0</v>
      </c>
      <c r="N168" s="65"/>
      <c r="O168" s="109">
        <f>_xlfn.XLOOKUP(B168,Salários!B:B,Salários!K:K)</f>
        <v>7950</v>
      </c>
      <c r="P168" s="109">
        <f t="shared" si="154"/>
        <v>0</v>
      </c>
      <c r="Q168" s="109">
        <f t="shared" si="155"/>
        <v>0</v>
      </c>
      <c r="R168" s="65"/>
      <c r="S168" s="109">
        <f t="shared" si="156"/>
        <v>7950</v>
      </c>
      <c r="T168" s="201" t="str">
        <f>IF(_xlfn.XLOOKUP(B168,Salários!B:B,Salários!I:I)&gt;0,_xlfn.XLOOKUP(B168,Salários!B:B,Salários!I:I),"")</f>
        <v>Mensalista</v>
      </c>
      <c r="U168" s="117">
        <f t="shared" si="157"/>
        <v>0</v>
      </c>
      <c r="V168" s="65"/>
      <c r="W168" s="202"/>
      <c r="X168" s="65"/>
      <c r="Y168" s="69"/>
      <c r="Z168" s="65"/>
      <c r="AA168" s="518"/>
      <c r="AB168" s="65"/>
      <c r="AC168" s="81">
        <f t="shared" si="158"/>
        <v>0</v>
      </c>
      <c r="AD168" s="65"/>
      <c r="AE168" s="112"/>
      <c r="AF168" s="203">
        <v>0.3</v>
      </c>
      <c r="AG168" s="109">
        <f t="shared" si="44"/>
        <v>7950</v>
      </c>
      <c r="AH168" s="84">
        <f t="shared" si="159"/>
        <v>0</v>
      </c>
      <c r="AI168" s="65"/>
      <c r="AJ168" s="112"/>
      <c r="AK168" s="122"/>
      <c r="AL168" s="109">
        <v>1212</v>
      </c>
      <c r="AM168" s="84">
        <f t="shared" si="160"/>
        <v>0</v>
      </c>
      <c r="AN168" s="65"/>
      <c r="AO168" s="112"/>
      <c r="AP168" s="204"/>
      <c r="AQ168" s="109">
        <f>IFERROR((O168+AH168+AM168)/Dashboard!$D$15,0)*0.2</f>
        <v>8.2128099173553704</v>
      </c>
      <c r="AR168" s="84">
        <f t="shared" si="161"/>
        <v>0</v>
      </c>
      <c r="AS168" s="65"/>
      <c r="AT168" s="112"/>
      <c r="AU168" s="203">
        <v>0.33</v>
      </c>
      <c r="AV168" s="109">
        <f t="shared" si="148"/>
        <v>7950</v>
      </c>
      <c r="AW168" s="84">
        <f t="shared" si="162"/>
        <v>0</v>
      </c>
      <c r="AX168" s="65"/>
      <c r="AY168" s="112"/>
      <c r="AZ168" s="203">
        <v>0.25</v>
      </c>
      <c r="BA168" s="109">
        <f t="shared" si="50"/>
        <v>7950</v>
      </c>
      <c r="BB168" s="84">
        <f t="shared" si="163"/>
        <v>0</v>
      </c>
      <c r="BC168" s="65"/>
      <c r="BD168" s="112"/>
      <c r="BE168" s="203">
        <v>0.26</v>
      </c>
      <c r="BF168" s="109">
        <f t="shared" si="151"/>
        <v>7950</v>
      </c>
      <c r="BG168" s="84">
        <f t="shared" si="164"/>
        <v>0</v>
      </c>
      <c r="BH168" s="197"/>
      <c r="BI168" s="518"/>
      <c r="BJ168" s="65"/>
      <c r="BK168" s="81">
        <f t="shared" si="165"/>
        <v>0</v>
      </c>
      <c r="BL168" s="65"/>
      <c r="BM168" s="204"/>
      <c r="BN168" s="156">
        <f>IF(B168&lt;&gt;"",_xlfn.XLOOKUP(B168,'Cronog. e Histog.'!B:B,'Cronog. e Histog.'!EK:EK),0)</f>
        <v>0</v>
      </c>
      <c r="BO168" s="109">
        <f>($O168/Dashboard!$D$15)*(1+Dashboard!$D$19)</f>
        <v>61.596074380165277</v>
      </c>
      <c r="BP168" s="84">
        <f t="shared" si="166"/>
        <v>0</v>
      </c>
      <c r="BQ168" s="65"/>
      <c r="BR168" s="204"/>
      <c r="BS168" s="156">
        <f>IF(B168&lt;&gt;"",_xlfn.XLOOKUP(B168,'Cronog. e Histog.'!B:B,'Cronog. e Histog.'!EL:EL),0)</f>
        <v>0</v>
      </c>
      <c r="BT168" s="109">
        <f>($O168/Dashboard!$D$15)*(1+Dashboard!$D$20)</f>
        <v>71.862086776859499</v>
      </c>
      <c r="BU168" s="84">
        <f t="shared" si="167"/>
        <v>0</v>
      </c>
      <c r="BV168" s="65"/>
      <c r="BW168" s="204"/>
      <c r="BX168" s="156">
        <f>IF(B168&lt;&gt;"",_xlfn.XLOOKUP(B168,'Cronog. e Histog.'!B:B,'Cronog. e Histog.'!EM:EM),0)</f>
        <v>0</v>
      </c>
      <c r="BY168" s="109">
        <f>($O168/Dashboard!$D$15)*(1+Dashboard!$D$21)</f>
        <v>82.128099173553707</v>
      </c>
      <c r="BZ168" s="84">
        <f t="shared" si="168"/>
        <v>0</v>
      </c>
    </row>
    <row r="169" spans="2:78" ht="12" customHeight="1" outlineLevel="1">
      <c r="B169" s="137" t="str">
        <f>'Cronog. e Histog.'!B292</f>
        <v>AN PL. ENG/ARQ - Equipe_01</v>
      </c>
      <c r="C169" s="65"/>
      <c r="D169" s="200">
        <f t="shared" si="136"/>
        <v>0</v>
      </c>
      <c r="E169" s="200">
        <f t="shared" si="137"/>
        <v>0</v>
      </c>
      <c r="F169" s="65"/>
      <c r="G169" s="200">
        <f t="shared" si="138"/>
        <v>0</v>
      </c>
      <c r="H169" s="200">
        <f t="shared" si="139"/>
        <v>0</v>
      </c>
      <c r="I169" s="65"/>
      <c r="J169" s="143" t="str">
        <f>IF('Cronog. e Histog.'!G292&gt;0,'Cronog. e Histog.'!G292,"")</f>
        <v>AN PL. ENG/ARQ</v>
      </c>
      <c r="K169" s="65"/>
      <c r="L169" s="144">
        <f>'Cronog. e Histog.'!BT292</f>
        <v>0</v>
      </c>
      <c r="M169" s="144">
        <f>'Cronog. e Histog.'!BU292</f>
        <v>0</v>
      </c>
      <c r="N169" s="65"/>
      <c r="O169" s="109">
        <f>_xlfn.XLOOKUP(B169,Salários!B:B,Salários!K:K)</f>
        <v>6360</v>
      </c>
      <c r="P169" s="109">
        <f t="shared" si="154"/>
        <v>0</v>
      </c>
      <c r="Q169" s="109">
        <f t="shared" si="155"/>
        <v>0</v>
      </c>
      <c r="R169" s="65"/>
      <c r="S169" s="109">
        <f t="shared" si="156"/>
        <v>6360</v>
      </c>
      <c r="T169" s="201" t="str">
        <f>IF(_xlfn.XLOOKUP(B169,Salários!B:B,Salários!I:I)&gt;0,_xlfn.XLOOKUP(B169,Salários!B:B,Salários!I:I),"")</f>
        <v>Mensalista</v>
      </c>
      <c r="U169" s="117">
        <f t="shared" si="157"/>
        <v>0</v>
      </c>
      <c r="V169" s="65"/>
      <c r="W169" s="202"/>
      <c r="X169" s="65"/>
      <c r="Y169" s="69"/>
      <c r="Z169" s="65"/>
      <c r="AA169" s="518"/>
      <c r="AB169" s="65"/>
      <c r="AC169" s="81">
        <f t="shared" si="158"/>
        <v>0</v>
      </c>
      <c r="AD169" s="65"/>
      <c r="AE169" s="112"/>
      <c r="AF169" s="203">
        <v>0.3</v>
      </c>
      <c r="AG169" s="109">
        <f t="shared" si="44"/>
        <v>6360</v>
      </c>
      <c r="AH169" s="84">
        <f t="shared" si="159"/>
        <v>0</v>
      </c>
      <c r="AI169" s="65"/>
      <c r="AJ169" s="112"/>
      <c r="AK169" s="122"/>
      <c r="AL169" s="109">
        <v>1212</v>
      </c>
      <c r="AM169" s="84">
        <f t="shared" si="160"/>
        <v>0</v>
      </c>
      <c r="AN169" s="65"/>
      <c r="AO169" s="112"/>
      <c r="AP169" s="204"/>
      <c r="AQ169" s="109">
        <f>IFERROR((O169+AH169+AM169)/Dashboard!$D$15,0)*0.2</f>
        <v>6.5702479338842963</v>
      </c>
      <c r="AR169" s="84">
        <f t="shared" si="161"/>
        <v>0</v>
      </c>
      <c r="AS169" s="65"/>
      <c r="AT169" s="112"/>
      <c r="AU169" s="203">
        <v>0.33</v>
      </c>
      <c r="AV169" s="109">
        <f t="shared" si="148"/>
        <v>6360</v>
      </c>
      <c r="AW169" s="84">
        <f t="shared" si="162"/>
        <v>0</v>
      </c>
      <c r="AX169" s="65"/>
      <c r="AY169" s="112"/>
      <c r="AZ169" s="203">
        <v>0.25</v>
      </c>
      <c r="BA169" s="109">
        <f t="shared" si="50"/>
        <v>6360</v>
      </c>
      <c r="BB169" s="84">
        <f t="shared" si="163"/>
        <v>0</v>
      </c>
      <c r="BC169" s="65"/>
      <c r="BD169" s="112"/>
      <c r="BE169" s="203">
        <v>0.26</v>
      </c>
      <c r="BF169" s="109">
        <f t="shared" si="151"/>
        <v>6360</v>
      </c>
      <c r="BG169" s="84">
        <f t="shared" si="164"/>
        <v>0</v>
      </c>
      <c r="BH169" s="197"/>
      <c r="BI169" s="518"/>
      <c r="BJ169" s="65"/>
      <c r="BK169" s="81">
        <f t="shared" si="165"/>
        <v>0</v>
      </c>
      <c r="BL169" s="65"/>
      <c r="BM169" s="204"/>
      <c r="BN169" s="156">
        <f>IF(B169&lt;&gt;"",_xlfn.XLOOKUP(B169,'Cronog. e Histog.'!B:B,'Cronog. e Histog.'!EK:EK),0)</f>
        <v>0</v>
      </c>
      <c r="BO169" s="109">
        <f>($O169/Dashboard!$D$15)*(1+Dashboard!$D$19)</f>
        <v>49.276859504132219</v>
      </c>
      <c r="BP169" s="84">
        <f t="shared" si="166"/>
        <v>0</v>
      </c>
      <c r="BQ169" s="65"/>
      <c r="BR169" s="204"/>
      <c r="BS169" s="156">
        <f>IF(B169&lt;&gt;"",_xlfn.XLOOKUP(B169,'Cronog. e Histog.'!B:B,'Cronog. e Histog.'!EL:EL),0)</f>
        <v>0</v>
      </c>
      <c r="BT169" s="109">
        <f>($O169/Dashboard!$D$15)*(1+Dashboard!$D$20)</f>
        <v>57.489669421487591</v>
      </c>
      <c r="BU169" s="84">
        <f t="shared" si="167"/>
        <v>0</v>
      </c>
      <c r="BV169" s="65"/>
      <c r="BW169" s="204"/>
      <c r="BX169" s="156">
        <f>IF(B169&lt;&gt;"",_xlfn.XLOOKUP(B169,'Cronog. e Histog.'!B:B,'Cronog. e Histog.'!EM:EM),0)</f>
        <v>0</v>
      </c>
      <c r="BY169" s="109">
        <f>($O169/Dashboard!$D$15)*(1+Dashboard!$D$21)</f>
        <v>65.702479338842963</v>
      </c>
      <c r="BZ169" s="84">
        <f t="shared" si="168"/>
        <v>0</v>
      </c>
    </row>
    <row r="170" spans="2:78" ht="12" customHeight="1" outlineLevel="1">
      <c r="B170" s="137" t="str">
        <f>'Cronog. e Histog.'!B293</f>
        <v>AN JR. ENG/ARQ - Equipe_01</v>
      </c>
      <c r="C170" s="65"/>
      <c r="D170" s="200">
        <f t="shared" si="136"/>
        <v>0</v>
      </c>
      <c r="E170" s="200">
        <f t="shared" si="137"/>
        <v>0</v>
      </c>
      <c r="F170" s="65"/>
      <c r="G170" s="200">
        <f t="shared" si="138"/>
        <v>0</v>
      </c>
      <c r="H170" s="200">
        <f t="shared" si="139"/>
        <v>0</v>
      </c>
      <c r="I170" s="65"/>
      <c r="J170" s="143" t="str">
        <f>IF('Cronog. e Histog.'!G293&gt;0,'Cronog. e Histog.'!G293,"")</f>
        <v>AN JR. ENG/ARQ</v>
      </c>
      <c r="K170" s="65"/>
      <c r="L170" s="144">
        <f>'Cronog. e Histog.'!BT293</f>
        <v>0</v>
      </c>
      <c r="M170" s="144">
        <f>'Cronog. e Histog.'!BU293</f>
        <v>0</v>
      </c>
      <c r="N170" s="65"/>
      <c r="O170" s="109">
        <f>_xlfn.XLOOKUP(B170,Salários!B:B,Salários!K:K)</f>
        <v>4770</v>
      </c>
      <c r="P170" s="109">
        <f t="shared" si="154"/>
        <v>0</v>
      </c>
      <c r="Q170" s="109">
        <f t="shared" si="155"/>
        <v>0</v>
      </c>
      <c r="R170" s="65"/>
      <c r="S170" s="109">
        <f t="shared" si="156"/>
        <v>4770</v>
      </c>
      <c r="T170" s="201" t="str">
        <f>IF(_xlfn.XLOOKUP(B170,Salários!B:B,Salários!I:I)&gt;0,_xlfn.XLOOKUP(B170,Salários!B:B,Salários!I:I),"")</f>
        <v>Mensalista</v>
      </c>
      <c r="U170" s="117">
        <f t="shared" si="157"/>
        <v>0</v>
      </c>
      <c r="V170" s="65"/>
      <c r="W170" s="202"/>
      <c r="X170" s="65"/>
      <c r="Y170" s="69"/>
      <c r="Z170" s="65"/>
      <c r="AA170" s="518"/>
      <c r="AB170" s="65"/>
      <c r="AC170" s="81">
        <f t="shared" si="158"/>
        <v>0</v>
      </c>
      <c r="AD170" s="65"/>
      <c r="AE170" s="112"/>
      <c r="AF170" s="203">
        <v>0.3</v>
      </c>
      <c r="AG170" s="109">
        <f t="shared" si="44"/>
        <v>4770</v>
      </c>
      <c r="AH170" s="84">
        <f t="shared" si="159"/>
        <v>0</v>
      </c>
      <c r="AI170" s="65"/>
      <c r="AJ170" s="112"/>
      <c r="AK170" s="122"/>
      <c r="AL170" s="109">
        <v>1212</v>
      </c>
      <c r="AM170" s="84">
        <f t="shared" si="160"/>
        <v>0</v>
      </c>
      <c r="AN170" s="65"/>
      <c r="AO170" s="112"/>
      <c r="AP170" s="204"/>
      <c r="AQ170" s="109">
        <f>IFERROR((O170+AH170+AM170)/Dashboard!$D$15,0)*0.2</f>
        <v>4.9276859504132231</v>
      </c>
      <c r="AR170" s="84">
        <f t="shared" si="161"/>
        <v>0</v>
      </c>
      <c r="AS170" s="65"/>
      <c r="AT170" s="112"/>
      <c r="AU170" s="203">
        <v>0.33</v>
      </c>
      <c r="AV170" s="109">
        <f t="shared" si="148"/>
        <v>4770</v>
      </c>
      <c r="AW170" s="84">
        <f t="shared" si="162"/>
        <v>0</v>
      </c>
      <c r="AX170" s="65"/>
      <c r="AY170" s="112"/>
      <c r="AZ170" s="203">
        <v>0.25</v>
      </c>
      <c r="BA170" s="109">
        <f t="shared" si="50"/>
        <v>4770</v>
      </c>
      <c r="BB170" s="84">
        <f t="shared" si="163"/>
        <v>0</v>
      </c>
      <c r="BC170" s="65"/>
      <c r="BD170" s="112"/>
      <c r="BE170" s="203">
        <v>0.26</v>
      </c>
      <c r="BF170" s="109">
        <f t="shared" si="151"/>
        <v>4770</v>
      </c>
      <c r="BG170" s="84">
        <f t="shared" si="164"/>
        <v>0</v>
      </c>
      <c r="BH170" s="197"/>
      <c r="BI170" s="518"/>
      <c r="BJ170" s="65"/>
      <c r="BK170" s="81">
        <f t="shared" si="165"/>
        <v>0</v>
      </c>
      <c r="BL170" s="65"/>
      <c r="BM170" s="204"/>
      <c r="BN170" s="156">
        <f>IF(B170&lt;&gt;"",_xlfn.XLOOKUP(B170,'Cronog. e Histog.'!B:B,'Cronog. e Histog.'!EK:EK),0)</f>
        <v>0</v>
      </c>
      <c r="BO170" s="109">
        <f>($O170/Dashboard!$D$15)*(1+Dashboard!$D$19)</f>
        <v>36.957644628099168</v>
      </c>
      <c r="BP170" s="84">
        <f t="shared" si="166"/>
        <v>0</v>
      </c>
      <c r="BQ170" s="65"/>
      <c r="BR170" s="204"/>
      <c r="BS170" s="156">
        <f>IF(B170&lt;&gt;"",_xlfn.XLOOKUP(B170,'Cronog. e Histog.'!B:B,'Cronog. e Histog.'!EL:EL),0)</f>
        <v>0</v>
      </c>
      <c r="BT170" s="109">
        <f>($O170/Dashboard!$D$15)*(1+Dashboard!$D$20)</f>
        <v>43.117252066115697</v>
      </c>
      <c r="BU170" s="84">
        <f t="shared" si="167"/>
        <v>0</v>
      </c>
      <c r="BV170" s="65"/>
      <c r="BW170" s="204"/>
      <c r="BX170" s="156">
        <f>IF(B170&lt;&gt;"",_xlfn.XLOOKUP(B170,'Cronog. e Histog.'!B:B,'Cronog. e Histog.'!EM:EM),0)</f>
        <v>0</v>
      </c>
      <c r="BY170" s="109">
        <f>($O170/Dashboard!$D$15)*(1+Dashboard!$D$21)</f>
        <v>49.276859504132226</v>
      </c>
      <c r="BZ170" s="84">
        <f t="shared" si="168"/>
        <v>0</v>
      </c>
    </row>
    <row r="171" spans="2:78" ht="12" customHeight="1" outlineLevel="1">
      <c r="B171" s="137" t="str">
        <f>'Cronog. e Histog.'!B294</f>
        <v>AN SR. ADM/CRP - Equipe_01</v>
      </c>
      <c r="C171" s="65"/>
      <c r="D171" s="200">
        <f t="shared" si="136"/>
        <v>0.29999999999999993</v>
      </c>
      <c r="E171" s="200">
        <f t="shared" si="137"/>
        <v>10</v>
      </c>
      <c r="F171" s="65"/>
      <c r="G171" s="200">
        <f t="shared" si="138"/>
        <v>0.29999999999999993</v>
      </c>
      <c r="H171" s="200">
        <f t="shared" si="139"/>
        <v>10</v>
      </c>
      <c r="I171" s="65"/>
      <c r="J171" s="143" t="str">
        <f>IF('Cronog. e Histog.'!G294&gt;0,'Cronog. e Histog.'!G294,"")</f>
        <v>AN SR. ADM/CRP</v>
      </c>
      <c r="K171" s="65"/>
      <c r="L171" s="144">
        <f>'Cronog. e Histog.'!BT294</f>
        <v>0.29999999999999993</v>
      </c>
      <c r="M171" s="144">
        <f>'Cronog. e Histog.'!BU294</f>
        <v>10</v>
      </c>
      <c r="N171" s="65"/>
      <c r="O171" s="109">
        <f>_xlfn.XLOOKUP(B171,Salários!B:B,Salários!K:K)</f>
        <v>7420</v>
      </c>
      <c r="P171" s="109">
        <f t="shared" si="154"/>
        <v>0</v>
      </c>
      <c r="Q171" s="109">
        <f t="shared" si="155"/>
        <v>0</v>
      </c>
      <c r="R171" s="65"/>
      <c r="S171" s="109">
        <f t="shared" si="156"/>
        <v>7420</v>
      </c>
      <c r="T171" s="201" t="str">
        <f>IF(_xlfn.XLOOKUP(B171,Salários!B:B,Salários!I:I)&gt;0,_xlfn.XLOOKUP(B171,Salários!B:B,Salários!I:I),"")</f>
        <v>Mensalista</v>
      </c>
      <c r="U171" s="117">
        <f t="shared" si="157"/>
        <v>22259.999999999993</v>
      </c>
      <c r="V171" s="65"/>
      <c r="W171" s="506"/>
      <c r="X171" s="65"/>
      <c r="Y171" s="69"/>
      <c r="Z171" s="65"/>
      <c r="AA171" s="518"/>
      <c r="AB171" s="65"/>
      <c r="AC171" s="81">
        <f t="shared" si="158"/>
        <v>0</v>
      </c>
      <c r="AD171" s="65"/>
      <c r="AE171" s="112"/>
      <c r="AF171" s="203">
        <v>0.3</v>
      </c>
      <c r="AG171" s="109">
        <f t="shared" si="44"/>
        <v>7420</v>
      </c>
      <c r="AH171" s="84">
        <f t="shared" si="159"/>
        <v>0</v>
      </c>
      <c r="AI171" s="65"/>
      <c r="AJ171" s="112"/>
      <c r="AK171" s="122"/>
      <c r="AL171" s="109">
        <v>1212</v>
      </c>
      <c r="AM171" s="84">
        <f t="shared" si="160"/>
        <v>0</v>
      </c>
      <c r="AN171" s="65"/>
      <c r="AO171" s="112"/>
      <c r="AP171" s="204"/>
      <c r="AQ171" s="109">
        <f>IFERROR((O171+AH171+AM171)/Dashboard!$D$15,0)*0.2</f>
        <v>7.6652892561983466</v>
      </c>
      <c r="AR171" s="84">
        <f t="shared" si="161"/>
        <v>0</v>
      </c>
      <c r="AS171" s="65"/>
      <c r="AT171" s="112"/>
      <c r="AU171" s="203">
        <v>0.33</v>
      </c>
      <c r="AV171" s="109">
        <f t="shared" si="148"/>
        <v>7420</v>
      </c>
      <c r="AW171" s="84">
        <f t="shared" si="162"/>
        <v>0</v>
      </c>
      <c r="AX171" s="65"/>
      <c r="AY171" s="112"/>
      <c r="AZ171" s="203">
        <v>0.25</v>
      </c>
      <c r="BA171" s="109">
        <f t="shared" si="50"/>
        <v>7420</v>
      </c>
      <c r="BB171" s="84">
        <f t="shared" si="163"/>
        <v>0</v>
      </c>
      <c r="BC171" s="65"/>
      <c r="BD171" s="112"/>
      <c r="BE171" s="203">
        <v>0.26</v>
      </c>
      <c r="BF171" s="109">
        <f t="shared" si="151"/>
        <v>7420</v>
      </c>
      <c r="BG171" s="84">
        <f t="shared" si="164"/>
        <v>0</v>
      </c>
      <c r="BH171" s="197"/>
      <c r="BI171" s="518"/>
      <c r="BJ171" s="65"/>
      <c r="BK171" s="81">
        <f t="shared" si="165"/>
        <v>0</v>
      </c>
      <c r="BL171" s="65"/>
      <c r="BM171" s="204"/>
      <c r="BN171" s="156">
        <f>IF(B171&lt;&gt;"",_xlfn.XLOOKUP(B171,'Cronog. e Histog.'!B:B,'Cronog. e Histog.'!EK:EK),0)</f>
        <v>0</v>
      </c>
      <c r="BO171" s="109">
        <f>($O171/Dashboard!$D$15)*(1+Dashboard!$D$19)</f>
        <v>57.489669421487598</v>
      </c>
      <c r="BP171" s="84">
        <f t="shared" si="166"/>
        <v>0</v>
      </c>
      <c r="BQ171" s="65"/>
      <c r="BR171" s="204"/>
      <c r="BS171" s="156">
        <f>IF(B171&lt;&gt;"",_xlfn.XLOOKUP(B171,'Cronog. e Histog.'!B:B,'Cronog. e Histog.'!EL:EL),0)</f>
        <v>0</v>
      </c>
      <c r="BT171" s="109">
        <f>($O171/Dashboard!$D$15)*(1+Dashboard!$D$20)</f>
        <v>67.071280991735534</v>
      </c>
      <c r="BU171" s="84">
        <f t="shared" si="167"/>
        <v>0</v>
      </c>
      <c r="BV171" s="65"/>
      <c r="BW171" s="204"/>
      <c r="BX171" s="156">
        <f>IF(B171&lt;&gt;"",_xlfn.XLOOKUP(B171,'Cronog. e Histog.'!B:B,'Cronog. e Histog.'!EM:EM),0)</f>
        <v>0</v>
      </c>
      <c r="BY171" s="109">
        <f>($O171/Dashboard!$D$15)*(1+Dashboard!$D$21)</f>
        <v>76.652892561983464</v>
      </c>
      <c r="BZ171" s="84">
        <f t="shared" si="168"/>
        <v>0</v>
      </c>
    </row>
    <row r="172" spans="2:78" ht="12" customHeight="1" outlineLevel="1">
      <c r="B172" s="137" t="str">
        <f>'Cronog. e Histog.'!B295</f>
        <v>AN PL. ADM/CRP - Equipe_01</v>
      </c>
      <c r="C172" s="65"/>
      <c r="D172" s="200">
        <f t="shared" si="136"/>
        <v>0</v>
      </c>
      <c r="E172" s="200">
        <f t="shared" si="137"/>
        <v>0</v>
      </c>
      <c r="F172" s="65"/>
      <c r="G172" s="200">
        <f t="shared" si="138"/>
        <v>0</v>
      </c>
      <c r="H172" s="200">
        <f t="shared" si="139"/>
        <v>0</v>
      </c>
      <c r="I172" s="65"/>
      <c r="J172" s="143" t="str">
        <f>IF('Cronog. e Histog.'!G295&gt;0,'Cronog. e Histog.'!G295,"")</f>
        <v>AN PL. ADM/CRP</v>
      </c>
      <c r="K172" s="65"/>
      <c r="L172" s="144">
        <f>'Cronog. e Histog.'!BT295</f>
        <v>0</v>
      </c>
      <c r="M172" s="144">
        <f>'Cronog. e Histog.'!BU295</f>
        <v>0</v>
      </c>
      <c r="N172" s="65"/>
      <c r="O172" s="109">
        <f>_xlfn.XLOOKUP(B172,Salários!B:B,Salários!K:K)</f>
        <v>5300</v>
      </c>
      <c r="P172" s="109">
        <f t="shared" si="154"/>
        <v>0</v>
      </c>
      <c r="Q172" s="109">
        <f t="shared" si="155"/>
        <v>0</v>
      </c>
      <c r="R172" s="65"/>
      <c r="S172" s="109">
        <f t="shared" si="156"/>
        <v>5300</v>
      </c>
      <c r="T172" s="201" t="str">
        <f>IF(_xlfn.XLOOKUP(B172,Salários!B:B,Salários!I:I)&gt;0,_xlfn.XLOOKUP(B172,Salários!B:B,Salários!I:I),"")</f>
        <v>Mensalista</v>
      </c>
      <c r="U172" s="117">
        <f t="shared" si="157"/>
        <v>0</v>
      </c>
      <c r="V172" s="65"/>
      <c r="W172" s="202"/>
      <c r="X172" s="65"/>
      <c r="Y172" s="69"/>
      <c r="Z172" s="65"/>
      <c r="AA172" s="518"/>
      <c r="AB172" s="65"/>
      <c r="AC172" s="81">
        <f t="shared" si="158"/>
        <v>0</v>
      </c>
      <c r="AD172" s="65"/>
      <c r="AE172" s="112"/>
      <c r="AF172" s="203">
        <v>0.3</v>
      </c>
      <c r="AG172" s="109">
        <f t="shared" si="44"/>
        <v>5300</v>
      </c>
      <c r="AH172" s="84">
        <f t="shared" si="159"/>
        <v>0</v>
      </c>
      <c r="AI172" s="65"/>
      <c r="AJ172" s="112"/>
      <c r="AK172" s="122"/>
      <c r="AL172" s="109">
        <v>1212</v>
      </c>
      <c r="AM172" s="84">
        <f t="shared" si="160"/>
        <v>0</v>
      </c>
      <c r="AN172" s="65"/>
      <c r="AO172" s="112"/>
      <c r="AP172" s="204"/>
      <c r="AQ172" s="109">
        <f>IFERROR((O172+AH172+AM172)/Dashboard!$D$15,0)*0.2</f>
        <v>5.4752066115702478</v>
      </c>
      <c r="AR172" s="84">
        <f t="shared" si="161"/>
        <v>0</v>
      </c>
      <c r="AS172" s="65"/>
      <c r="AT172" s="112"/>
      <c r="AU172" s="203">
        <v>0.33</v>
      </c>
      <c r="AV172" s="109">
        <f t="shared" si="148"/>
        <v>5300</v>
      </c>
      <c r="AW172" s="84">
        <f t="shared" si="162"/>
        <v>0</v>
      </c>
      <c r="AX172" s="65"/>
      <c r="AY172" s="112"/>
      <c r="AZ172" s="203">
        <v>0.25</v>
      </c>
      <c r="BA172" s="109">
        <f t="shared" si="50"/>
        <v>5300</v>
      </c>
      <c r="BB172" s="84">
        <f t="shared" si="163"/>
        <v>0</v>
      </c>
      <c r="BC172" s="65"/>
      <c r="BD172" s="112"/>
      <c r="BE172" s="203">
        <v>0.26</v>
      </c>
      <c r="BF172" s="109">
        <f t="shared" si="151"/>
        <v>5300</v>
      </c>
      <c r="BG172" s="84">
        <f t="shared" si="164"/>
        <v>0</v>
      </c>
      <c r="BH172" s="197"/>
      <c r="BI172" s="518"/>
      <c r="BJ172" s="65"/>
      <c r="BK172" s="81">
        <f t="shared" si="165"/>
        <v>0</v>
      </c>
      <c r="BL172" s="65"/>
      <c r="BM172" s="204"/>
      <c r="BN172" s="156">
        <f>IF(B172&lt;&gt;"",_xlfn.XLOOKUP(B172,'Cronog. e Histog.'!B:B,'Cronog. e Histog.'!EK:EK),0)</f>
        <v>0</v>
      </c>
      <c r="BO172" s="109">
        <f>($O172/Dashboard!$D$15)*(1+Dashboard!$D$19)</f>
        <v>41.064049586776861</v>
      </c>
      <c r="BP172" s="84">
        <f t="shared" si="166"/>
        <v>0</v>
      </c>
      <c r="BQ172" s="65"/>
      <c r="BR172" s="204"/>
      <c r="BS172" s="156">
        <f>IF(B172&lt;&gt;"",_xlfn.XLOOKUP(B172,'Cronog. e Histog.'!B:B,'Cronog. e Histog.'!EL:EL),0)</f>
        <v>0</v>
      </c>
      <c r="BT172" s="109">
        <f>($O172/Dashboard!$D$15)*(1+Dashboard!$D$20)</f>
        <v>47.908057851239668</v>
      </c>
      <c r="BU172" s="84">
        <f t="shared" si="167"/>
        <v>0</v>
      </c>
      <c r="BV172" s="65"/>
      <c r="BW172" s="204"/>
      <c r="BX172" s="156">
        <f>IF(B172&lt;&gt;"",_xlfn.XLOOKUP(B172,'Cronog. e Histog.'!B:B,'Cronog. e Histog.'!EM:EM),0)</f>
        <v>0</v>
      </c>
      <c r="BY172" s="109">
        <f>($O172/Dashboard!$D$15)*(1+Dashboard!$D$21)</f>
        <v>54.752066115702476</v>
      </c>
      <c r="BZ172" s="84">
        <f t="shared" si="168"/>
        <v>0</v>
      </c>
    </row>
    <row r="173" spans="2:78" ht="12" customHeight="1" outlineLevel="1">
      <c r="B173" s="137" t="str">
        <f>'Cronog. e Histog.'!B296</f>
        <v>AN JR. ADM/CRP - Equipe_01</v>
      </c>
      <c r="C173" s="65"/>
      <c r="D173" s="200">
        <f t="shared" si="136"/>
        <v>0</v>
      </c>
      <c r="E173" s="200">
        <f t="shared" si="137"/>
        <v>0</v>
      </c>
      <c r="F173" s="65"/>
      <c r="G173" s="200">
        <f t="shared" si="138"/>
        <v>0</v>
      </c>
      <c r="H173" s="200">
        <f t="shared" si="139"/>
        <v>0</v>
      </c>
      <c r="I173" s="65"/>
      <c r="J173" s="143" t="str">
        <f>IF('Cronog. e Histog.'!G296&gt;0,'Cronog. e Histog.'!G296,"")</f>
        <v>AN JR. ADM/CRP</v>
      </c>
      <c r="K173" s="65"/>
      <c r="L173" s="144">
        <f>'Cronog. e Histog.'!BT296</f>
        <v>0</v>
      </c>
      <c r="M173" s="144">
        <f>'Cronog. e Histog.'!BU296</f>
        <v>0</v>
      </c>
      <c r="N173" s="65"/>
      <c r="O173" s="109">
        <f>_xlfn.XLOOKUP(B173,Salários!B:B,Salários!K:K)</f>
        <v>3710</v>
      </c>
      <c r="P173" s="109">
        <f t="shared" si="154"/>
        <v>0</v>
      </c>
      <c r="Q173" s="109">
        <f t="shared" si="155"/>
        <v>0</v>
      </c>
      <c r="R173" s="65"/>
      <c r="S173" s="109">
        <f t="shared" si="156"/>
        <v>3710</v>
      </c>
      <c r="T173" s="201" t="str">
        <f>IF(_xlfn.XLOOKUP(B173,Salários!B:B,Salários!I:I)&gt;0,_xlfn.XLOOKUP(B173,Salários!B:B,Salários!I:I),"")</f>
        <v>Mensalista</v>
      </c>
      <c r="U173" s="117">
        <f t="shared" si="143"/>
        <v>0</v>
      </c>
      <c r="V173" s="65"/>
      <c r="W173" s="202"/>
      <c r="X173" s="65"/>
      <c r="Y173" s="69"/>
      <c r="Z173" s="65"/>
      <c r="AA173" s="518"/>
      <c r="AB173" s="65"/>
      <c r="AC173" s="81">
        <f t="shared" si="144"/>
        <v>0</v>
      </c>
      <c r="AD173" s="65"/>
      <c r="AE173" s="112"/>
      <c r="AF173" s="203">
        <v>0.3</v>
      </c>
      <c r="AG173" s="109">
        <f t="shared" si="44"/>
        <v>3710</v>
      </c>
      <c r="AH173" s="84">
        <f t="shared" si="145"/>
        <v>0</v>
      </c>
      <c r="AI173" s="65"/>
      <c r="AJ173" s="112"/>
      <c r="AK173" s="122"/>
      <c r="AL173" s="109">
        <v>1212</v>
      </c>
      <c r="AM173" s="84">
        <f t="shared" si="146"/>
        <v>0</v>
      </c>
      <c r="AN173" s="65"/>
      <c r="AO173" s="112"/>
      <c r="AP173" s="204"/>
      <c r="AQ173" s="109">
        <f>IFERROR((O173+AH173+AM173)/Dashboard!$D$15,0)*0.2</f>
        <v>3.8326446280991733</v>
      </c>
      <c r="AR173" s="84">
        <f t="shared" si="147"/>
        <v>0</v>
      </c>
      <c r="AS173" s="65"/>
      <c r="AT173" s="112"/>
      <c r="AU173" s="203">
        <v>0.33</v>
      </c>
      <c r="AV173" s="109">
        <f t="shared" si="148"/>
        <v>3710</v>
      </c>
      <c r="AW173" s="84">
        <f t="shared" si="149"/>
        <v>0</v>
      </c>
      <c r="AX173" s="65"/>
      <c r="AY173" s="112"/>
      <c r="AZ173" s="203">
        <v>0.25</v>
      </c>
      <c r="BA173" s="109">
        <f t="shared" si="50"/>
        <v>3710</v>
      </c>
      <c r="BB173" s="84">
        <f t="shared" si="150"/>
        <v>0</v>
      </c>
      <c r="BC173" s="65"/>
      <c r="BD173" s="112"/>
      <c r="BE173" s="203">
        <v>0.26</v>
      </c>
      <c r="BF173" s="109">
        <f t="shared" si="151"/>
        <v>3710</v>
      </c>
      <c r="BG173" s="84">
        <f t="shared" si="152"/>
        <v>0</v>
      </c>
      <c r="BH173" s="197"/>
      <c r="BI173" s="518"/>
      <c r="BJ173" s="65"/>
      <c r="BK173" s="81">
        <f t="shared" si="153"/>
        <v>0</v>
      </c>
      <c r="BL173" s="65"/>
      <c r="BM173" s="204"/>
      <c r="BN173" s="156">
        <f>IF(B173&lt;&gt;"",_xlfn.XLOOKUP(B173,'Cronog. e Histog.'!B:B,'Cronog. e Histog.'!EK:EK),0)</f>
        <v>0</v>
      </c>
      <c r="BO173" s="109">
        <f>($O173/Dashboard!$D$15)*(1+Dashboard!$D$19)</f>
        <v>28.744834710743799</v>
      </c>
      <c r="BP173" s="84">
        <f t="shared" si="166"/>
        <v>0</v>
      </c>
      <c r="BQ173" s="65"/>
      <c r="BR173" s="204"/>
      <c r="BS173" s="156">
        <f>IF(B173&lt;&gt;"",_xlfn.XLOOKUP(B173,'Cronog. e Histog.'!B:B,'Cronog. e Histog.'!EL:EL),0)</f>
        <v>0</v>
      </c>
      <c r="BT173" s="109">
        <f>($O173/Dashboard!$D$15)*(1+Dashboard!$D$20)</f>
        <v>33.535640495867767</v>
      </c>
      <c r="BU173" s="84">
        <f t="shared" si="167"/>
        <v>0</v>
      </c>
      <c r="BV173" s="65"/>
      <c r="BW173" s="204"/>
      <c r="BX173" s="156">
        <f>IF(B173&lt;&gt;"",_xlfn.XLOOKUP(B173,'Cronog. e Histog.'!B:B,'Cronog. e Histog.'!EM:EM),0)</f>
        <v>0</v>
      </c>
      <c r="BY173" s="109">
        <f>($O173/Dashboard!$D$15)*(1+Dashboard!$D$21)</f>
        <v>38.326446280991732</v>
      </c>
      <c r="BZ173" s="84">
        <f t="shared" si="168"/>
        <v>0</v>
      </c>
    </row>
    <row r="174" spans="2:78" ht="12" customHeight="1" outlineLevel="1">
      <c r="B174" s="137" t="str">
        <f>'Cronog. e Histog.'!B297</f>
        <v>TEC III - Equipe_01</v>
      </c>
      <c r="C174" s="65"/>
      <c r="D174" s="200">
        <f t="shared" si="136"/>
        <v>0</v>
      </c>
      <c r="E174" s="200">
        <f t="shared" si="137"/>
        <v>0</v>
      </c>
      <c r="F174" s="65"/>
      <c r="G174" s="200">
        <f t="shared" si="138"/>
        <v>0</v>
      </c>
      <c r="H174" s="200">
        <f t="shared" si="139"/>
        <v>0</v>
      </c>
      <c r="I174" s="65"/>
      <c r="J174" s="143" t="str">
        <f>IF('Cronog. e Histog.'!G297&gt;0,'Cronog. e Histog.'!G297,"")</f>
        <v>TEC III</v>
      </c>
      <c r="K174" s="65"/>
      <c r="L174" s="144">
        <f>'Cronog. e Histog.'!BT297</f>
        <v>0</v>
      </c>
      <c r="M174" s="144">
        <f>'Cronog. e Histog.'!BU297</f>
        <v>0</v>
      </c>
      <c r="N174" s="65"/>
      <c r="O174" s="109">
        <f>_xlfn.XLOOKUP(B174,Salários!B:B,Salários!K:K)</f>
        <v>6360</v>
      </c>
      <c r="P174" s="109">
        <f t="shared" si="154"/>
        <v>0</v>
      </c>
      <c r="Q174" s="109">
        <f t="shared" si="155"/>
        <v>0</v>
      </c>
      <c r="R174" s="65"/>
      <c r="S174" s="109">
        <f t="shared" si="156"/>
        <v>6360</v>
      </c>
      <c r="T174" s="201" t="str">
        <f>IF(_xlfn.XLOOKUP(B174,Salários!B:B,Salários!I:I)&gt;0,_xlfn.XLOOKUP(B174,Salários!B:B,Salários!I:I),"")</f>
        <v>Mensalista</v>
      </c>
      <c r="U174" s="117">
        <f t="shared" si="143"/>
        <v>0</v>
      </c>
      <c r="V174" s="65"/>
      <c r="W174" s="202"/>
      <c r="X174" s="65"/>
      <c r="Y174" s="69"/>
      <c r="Z174" s="65"/>
      <c r="AA174" s="518"/>
      <c r="AB174" s="65"/>
      <c r="AC174" s="81">
        <f t="shared" si="144"/>
        <v>0</v>
      </c>
      <c r="AD174" s="65"/>
      <c r="AE174" s="112"/>
      <c r="AF174" s="203">
        <v>0.3</v>
      </c>
      <c r="AG174" s="109">
        <f t="shared" si="44"/>
        <v>6360</v>
      </c>
      <c r="AH174" s="84">
        <f t="shared" si="145"/>
        <v>0</v>
      </c>
      <c r="AI174" s="65"/>
      <c r="AJ174" s="112"/>
      <c r="AK174" s="122"/>
      <c r="AL174" s="109">
        <v>1212</v>
      </c>
      <c r="AM174" s="84">
        <f t="shared" si="146"/>
        <v>0</v>
      </c>
      <c r="AN174" s="65"/>
      <c r="AO174" s="112"/>
      <c r="AP174" s="204"/>
      <c r="AQ174" s="109">
        <f>IFERROR((O174+AH174+AM174)/Dashboard!$D$15,0)*0.2</f>
        <v>6.5702479338842963</v>
      </c>
      <c r="AR174" s="84">
        <f t="shared" si="147"/>
        <v>0</v>
      </c>
      <c r="AS174" s="65"/>
      <c r="AT174" s="112"/>
      <c r="AU174" s="203">
        <v>0.33</v>
      </c>
      <c r="AV174" s="109">
        <f t="shared" si="148"/>
        <v>6360</v>
      </c>
      <c r="AW174" s="84">
        <f t="shared" si="149"/>
        <v>0</v>
      </c>
      <c r="AX174" s="65"/>
      <c r="AY174" s="112"/>
      <c r="AZ174" s="203">
        <v>0.25</v>
      </c>
      <c r="BA174" s="109">
        <f t="shared" si="50"/>
        <v>6360</v>
      </c>
      <c r="BB174" s="84">
        <f t="shared" si="150"/>
        <v>0</v>
      </c>
      <c r="BC174" s="65"/>
      <c r="BD174" s="112"/>
      <c r="BE174" s="203">
        <v>0.26</v>
      </c>
      <c r="BF174" s="109">
        <f t="shared" si="151"/>
        <v>6360</v>
      </c>
      <c r="BG174" s="84">
        <f t="shared" si="152"/>
        <v>0</v>
      </c>
      <c r="BH174" s="197"/>
      <c r="BI174" s="518"/>
      <c r="BJ174" s="65"/>
      <c r="BK174" s="81">
        <f t="shared" si="153"/>
        <v>0</v>
      </c>
      <c r="BL174" s="65"/>
      <c r="BM174" s="204"/>
      <c r="BN174" s="156">
        <f>IF(B174&lt;&gt;"",_xlfn.XLOOKUP(B174,'Cronog. e Histog.'!B:B,'Cronog. e Histog.'!EK:EK),0)</f>
        <v>0</v>
      </c>
      <c r="BO174" s="109">
        <f>($O174/Dashboard!$D$15)*(1+Dashboard!$D$19)</f>
        <v>49.276859504132219</v>
      </c>
      <c r="BP174" s="84">
        <f t="shared" si="166"/>
        <v>0</v>
      </c>
      <c r="BQ174" s="65"/>
      <c r="BR174" s="204"/>
      <c r="BS174" s="156">
        <f>IF(B174&lt;&gt;"",_xlfn.XLOOKUP(B174,'Cronog. e Histog.'!B:B,'Cronog. e Histog.'!EL:EL),0)</f>
        <v>0</v>
      </c>
      <c r="BT174" s="109">
        <f>($O174/Dashboard!$D$15)*(1+Dashboard!$D$20)</f>
        <v>57.489669421487591</v>
      </c>
      <c r="BU174" s="84">
        <f t="shared" si="167"/>
        <v>0</v>
      </c>
      <c r="BV174" s="65"/>
      <c r="BW174" s="204"/>
      <c r="BX174" s="156">
        <f>IF(B174&lt;&gt;"",_xlfn.XLOOKUP(B174,'Cronog. e Histog.'!B:B,'Cronog. e Histog.'!EM:EM),0)</f>
        <v>0</v>
      </c>
      <c r="BY174" s="109">
        <f>($O174/Dashboard!$D$15)*(1+Dashboard!$D$21)</f>
        <v>65.702479338842963</v>
      </c>
      <c r="BZ174" s="84">
        <f t="shared" si="168"/>
        <v>0</v>
      </c>
    </row>
    <row r="175" spans="2:78" ht="12" customHeight="1" outlineLevel="1">
      <c r="B175" s="137" t="str">
        <f>'Cronog. e Histog.'!B298</f>
        <v>TEC II - Equipe_01</v>
      </c>
      <c r="C175" s="65"/>
      <c r="D175" s="200">
        <f t="shared" si="136"/>
        <v>0</v>
      </c>
      <c r="E175" s="200">
        <f t="shared" si="137"/>
        <v>0</v>
      </c>
      <c r="F175" s="65"/>
      <c r="G175" s="200">
        <f t="shared" si="138"/>
        <v>0</v>
      </c>
      <c r="H175" s="200">
        <f t="shared" si="139"/>
        <v>0</v>
      </c>
      <c r="I175" s="65"/>
      <c r="J175" s="143" t="str">
        <f>IF('Cronog. e Histog.'!G298&gt;0,'Cronog. e Histog.'!G298,"")</f>
        <v>TEC II</v>
      </c>
      <c r="K175" s="65"/>
      <c r="L175" s="144">
        <f>'Cronog. e Histog.'!BT298</f>
        <v>0</v>
      </c>
      <c r="M175" s="144">
        <f>'Cronog. e Histog.'!BU298</f>
        <v>0</v>
      </c>
      <c r="N175" s="65"/>
      <c r="O175" s="109">
        <f>_xlfn.XLOOKUP(B175,Salários!B:B,Salários!K:K)</f>
        <v>4770</v>
      </c>
      <c r="P175" s="109">
        <f t="shared" si="154"/>
        <v>0</v>
      </c>
      <c r="Q175" s="109">
        <f t="shared" si="155"/>
        <v>0</v>
      </c>
      <c r="R175" s="65"/>
      <c r="S175" s="109">
        <f t="shared" si="156"/>
        <v>4770</v>
      </c>
      <c r="T175" s="201" t="str">
        <f>IF(_xlfn.XLOOKUP(B175,Salários!B:B,Salários!I:I)&gt;0,_xlfn.XLOOKUP(B175,Salários!B:B,Salários!I:I),"")</f>
        <v>Mensalista</v>
      </c>
      <c r="U175" s="117">
        <f t="shared" si="143"/>
        <v>0</v>
      </c>
      <c r="V175" s="65"/>
      <c r="W175" s="202"/>
      <c r="X175" s="65"/>
      <c r="Y175" s="69"/>
      <c r="Z175" s="65"/>
      <c r="AA175" s="518"/>
      <c r="AB175" s="65"/>
      <c r="AC175" s="81">
        <f t="shared" si="144"/>
        <v>0</v>
      </c>
      <c r="AD175" s="65"/>
      <c r="AE175" s="112"/>
      <c r="AF175" s="203">
        <v>0.3</v>
      </c>
      <c r="AG175" s="109">
        <f t="shared" si="44"/>
        <v>4770</v>
      </c>
      <c r="AH175" s="84">
        <f t="shared" si="145"/>
        <v>0</v>
      </c>
      <c r="AI175" s="65"/>
      <c r="AJ175" s="112"/>
      <c r="AK175" s="122"/>
      <c r="AL175" s="109">
        <v>1212</v>
      </c>
      <c r="AM175" s="84">
        <f t="shared" si="146"/>
        <v>0</v>
      </c>
      <c r="AN175" s="65"/>
      <c r="AO175" s="112"/>
      <c r="AP175" s="204"/>
      <c r="AQ175" s="109">
        <f>IFERROR((O175+AH175+AM175)/Dashboard!$D$15,0)*0.2</f>
        <v>4.9276859504132231</v>
      </c>
      <c r="AR175" s="84">
        <f t="shared" si="147"/>
        <v>0</v>
      </c>
      <c r="AS175" s="65"/>
      <c r="AT175" s="112"/>
      <c r="AU175" s="203">
        <v>0.33</v>
      </c>
      <c r="AV175" s="109">
        <f t="shared" si="148"/>
        <v>4770</v>
      </c>
      <c r="AW175" s="84">
        <f t="shared" si="149"/>
        <v>0</v>
      </c>
      <c r="AX175" s="65"/>
      <c r="AY175" s="112"/>
      <c r="AZ175" s="203">
        <v>0.25</v>
      </c>
      <c r="BA175" s="109">
        <f t="shared" si="50"/>
        <v>4770</v>
      </c>
      <c r="BB175" s="84">
        <f t="shared" si="150"/>
        <v>0</v>
      </c>
      <c r="BC175" s="65"/>
      <c r="BD175" s="112"/>
      <c r="BE175" s="203">
        <v>0.26</v>
      </c>
      <c r="BF175" s="109">
        <f t="shared" si="151"/>
        <v>4770</v>
      </c>
      <c r="BG175" s="84">
        <f t="shared" si="152"/>
        <v>0</v>
      </c>
      <c r="BH175" s="197"/>
      <c r="BI175" s="518"/>
      <c r="BJ175" s="65"/>
      <c r="BK175" s="81">
        <f t="shared" si="153"/>
        <v>0</v>
      </c>
      <c r="BL175" s="65"/>
      <c r="BM175" s="204"/>
      <c r="BN175" s="156">
        <f>IF(B175&lt;&gt;"",_xlfn.XLOOKUP(B175,'Cronog. e Histog.'!B:B,'Cronog. e Histog.'!EK:EK),0)</f>
        <v>0</v>
      </c>
      <c r="BO175" s="109">
        <f>($O175/Dashboard!$D$15)*(1+Dashboard!$D$19)</f>
        <v>36.957644628099168</v>
      </c>
      <c r="BP175" s="84">
        <f t="shared" si="166"/>
        <v>0</v>
      </c>
      <c r="BQ175" s="65"/>
      <c r="BR175" s="204"/>
      <c r="BS175" s="156">
        <f>IF(B175&lt;&gt;"",_xlfn.XLOOKUP(B175,'Cronog. e Histog.'!B:B,'Cronog. e Histog.'!EL:EL),0)</f>
        <v>0</v>
      </c>
      <c r="BT175" s="109">
        <f>($O175/Dashboard!$D$15)*(1+Dashboard!$D$20)</f>
        <v>43.117252066115697</v>
      </c>
      <c r="BU175" s="84">
        <f t="shared" si="167"/>
        <v>0</v>
      </c>
      <c r="BV175" s="65"/>
      <c r="BW175" s="204"/>
      <c r="BX175" s="156">
        <f>IF(B175&lt;&gt;"",_xlfn.XLOOKUP(B175,'Cronog. e Histog.'!B:B,'Cronog. e Histog.'!EM:EM),0)</f>
        <v>0</v>
      </c>
      <c r="BY175" s="109">
        <f>($O175/Dashboard!$D$15)*(1+Dashboard!$D$21)</f>
        <v>49.276859504132226</v>
      </c>
      <c r="BZ175" s="84">
        <f t="shared" si="168"/>
        <v>0</v>
      </c>
    </row>
    <row r="176" spans="2:78" ht="12" customHeight="1" outlineLevel="1">
      <c r="B176" s="137" t="str">
        <f>'Cronog. e Histog.'!B299</f>
        <v>TEC I - Equipe_01</v>
      </c>
      <c r="C176" s="65"/>
      <c r="D176" s="200">
        <f t="shared" si="136"/>
        <v>0</v>
      </c>
      <c r="E176" s="200">
        <f t="shared" si="137"/>
        <v>0</v>
      </c>
      <c r="F176" s="65"/>
      <c r="G176" s="200">
        <f t="shared" si="138"/>
        <v>0</v>
      </c>
      <c r="H176" s="200">
        <f t="shared" si="139"/>
        <v>0</v>
      </c>
      <c r="I176" s="65"/>
      <c r="J176" s="143" t="str">
        <f>IF('Cronog. e Histog.'!G299&gt;0,'Cronog. e Histog.'!G299,"")</f>
        <v>TEC I</v>
      </c>
      <c r="K176" s="65"/>
      <c r="L176" s="144">
        <f>'Cronog. e Histog.'!BT299</f>
        <v>0</v>
      </c>
      <c r="M176" s="144">
        <f>'Cronog. e Histog.'!BU299</f>
        <v>0</v>
      </c>
      <c r="N176" s="65"/>
      <c r="O176" s="109">
        <f>_xlfn.XLOOKUP(B176,Salários!B:B,Salários!K:K)</f>
        <v>3180</v>
      </c>
      <c r="P176" s="109">
        <f t="shared" si="154"/>
        <v>0</v>
      </c>
      <c r="Q176" s="109">
        <f t="shared" si="155"/>
        <v>0</v>
      </c>
      <c r="R176" s="65"/>
      <c r="S176" s="109">
        <f t="shared" si="156"/>
        <v>3180</v>
      </c>
      <c r="T176" s="201" t="str">
        <f>IF(_xlfn.XLOOKUP(B176,Salários!B:B,Salários!I:I)&gt;0,_xlfn.XLOOKUP(B176,Salários!B:B,Salários!I:I),"")</f>
        <v>Mensalista</v>
      </c>
      <c r="U176" s="117">
        <f t="shared" si="143"/>
        <v>0</v>
      </c>
      <c r="V176" s="65"/>
      <c r="W176" s="202"/>
      <c r="X176" s="65"/>
      <c r="Y176" s="69"/>
      <c r="Z176" s="65"/>
      <c r="AA176" s="518"/>
      <c r="AB176" s="65"/>
      <c r="AC176" s="81">
        <f t="shared" si="144"/>
        <v>0</v>
      </c>
      <c r="AD176" s="65"/>
      <c r="AE176" s="112"/>
      <c r="AF176" s="203">
        <v>0.3</v>
      </c>
      <c r="AG176" s="109">
        <f t="shared" si="44"/>
        <v>3180</v>
      </c>
      <c r="AH176" s="84">
        <f t="shared" si="145"/>
        <v>0</v>
      </c>
      <c r="AI176" s="65"/>
      <c r="AJ176" s="112"/>
      <c r="AK176" s="122"/>
      <c r="AL176" s="109">
        <v>1212</v>
      </c>
      <c r="AM176" s="84">
        <f t="shared" si="146"/>
        <v>0</v>
      </c>
      <c r="AN176" s="65"/>
      <c r="AO176" s="112"/>
      <c r="AP176" s="204"/>
      <c r="AQ176" s="109">
        <f>IFERROR((O176+AH176+AM176)/Dashboard!$D$15,0)*0.2</f>
        <v>3.2851239669421481</v>
      </c>
      <c r="AR176" s="84">
        <f t="shared" si="147"/>
        <v>0</v>
      </c>
      <c r="AS176" s="65"/>
      <c r="AT176" s="112"/>
      <c r="AU176" s="203">
        <v>0.33</v>
      </c>
      <c r="AV176" s="109">
        <f t="shared" si="148"/>
        <v>3180</v>
      </c>
      <c r="AW176" s="84">
        <f t="shared" si="149"/>
        <v>0</v>
      </c>
      <c r="AX176" s="65"/>
      <c r="AY176" s="112"/>
      <c r="AZ176" s="203">
        <v>0.25</v>
      </c>
      <c r="BA176" s="109">
        <f t="shared" si="50"/>
        <v>3180</v>
      </c>
      <c r="BB176" s="84">
        <f t="shared" si="150"/>
        <v>0</v>
      </c>
      <c r="BC176" s="65"/>
      <c r="BD176" s="112"/>
      <c r="BE176" s="203">
        <v>0.26</v>
      </c>
      <c r="BF176" s="109">
        <f t="shared" si="151"/>
        <v>3180</v>
      </c>
      <c r="BG176" s="84">
        <f t="shared" si="152"/>
        <v>0</v>
      </c>
      <c r="BH176" s="197"/>
      <c r="BI176" s="518"/>
      <c r="BJ176" s="65"/>
      <c r="BK176" s="81">
        <f t="shared" si="153"/>
        <v>0</v>
      </c>
      <c r="BL176" s="65"/>
      <c r="BM176" s="204"/>
      <c r="BN176" s="156">
        <f>IF(B176&lt;&gt;"",_xlfn.XLOOKUP(B176,'Cronog. e Histog.'!B:B,'Cronog. e Histog.'!EK:EK),0)</f>
        <v>0</v>
      </c>
      <c r="BO176" s="109">
        <f>($O176/Dashboard!$D$15)*(1+Dashboard!$D$19)</f>
        <v>24.638429752066109</v>
      </c>
      <c r="BP176" s="84">
        <f t="shared" si="166"/>
        <v>0</v>
      </c>
      <c r="BQ176" s="65"/>
      <c r="BR176" s="204"/>
      <c r="BS176" s="156">
        <f>IF(B176&lt;&gt;"",_xlfn.XLOOKUP(B176,'Cronog. e Histog.'!B:B,'Cronog. e Histog.'!EL:EL),0)</f>
        <v>0</v>
      </c>
      <c r="BT176" s="109">
        <f>($O176/Dashboard!$D$15)*(1+Dashboard!$D$20)</f>
        <v>28.744834710743795</v>
      </c>
      <c r="BU176" s="84">
        <f t="shared" si="167"/>
        <v>0</v>
      </c>
      <c r="BV176" s="65"/>
      <c r="BW176" s="204"/>
      <c r="BX176" s="156">
        <f>IF(B176&lt;&gt;"",_xlfn.XLOOKUP(B176,'Cronog. e Histog.'!B:B,'Cronog. e Histog.'!EM:EM),0)</f>
        <v>0</v>
      </c>
      <c r="BY176" s="109">
        <f>($O176/Dashboard!$D$15)*(1+Dashboard!$D$21)</f>
        <v>32.851239669421481</v>
      </c>
      <c r="BZ176" s="84">
        <f t="shared" si="168"/>
        <v>0</v>
      </c>
    </row>
    <row r="177" spans="2:78" ht="12" customHeight="1" outlineLevel="1">
      <c r="B177" s="137" t="str">
        <f>'Cronog. e Histog.'!B300</f>
        <v>AUX TEC - Equipe_01</v>
      </c>
      <c r="C177" s="65"/>
      <c r="D177" s="200">
        <f t="shared" si="136"/>
        <v>0</v>
      </c>
      <c r="E177" s="200">
        <f t="shared" si="137"/>
        <v>0</v>
      </c>
      <c r="F177" s="65"/>
      <c r="G177" s="200">
        <f t="shared" si="138"/>
        <v>0</v>
      </c>
      <c r="H177" s="200">
        <f t="shared" si="139"/>
        <v>0</v>
      </c>
      <c r="I177" s="65"/>
      <c r="J177" s="143" t="str">
        <f>IF('Cronog. e Histog.'!G300&gt;0,'Cronog. e Histog.'!G300,"")</f>
        <v>AUX TEC</v>
      </c>
      <c r="K177" s="65"/>
      <c r="L177" s="144">
        <f>'Cronog. e Histog.'!BT300</f>
        <v>0</v>
      </c>
      <c r="M177" s="144">
        <f>'Cronog. e Histog.'!BU300</f>
        <v>0</v>
      </c>
      <c r="N177" s="65"/>
      <c r="O177" s="109">
        <f>_xlfn.XLOOKUP(B177,Salários!B:B,Salários!K:K)</f>
        <v>3710</v>
      </c>
      <c r="P177" s="109">
        <f t="shared" si="154"/>
        <v>0</v>
      </c>
      <c r="Q177" s="109">
        <f t="shared" si="155"/>
        <v>0</v>
      </c>
      <c r="R177" s="65"/>
      <c r="S177" s="109">
        <f t="shared" si="156"/>
        <v>3710</v>
      </c>
      <c r="T177" s="201" t="str">
        <f>IF(_xlfn.XLOOKUP(B177,Salários!B:B,Salários!I:I)&gt;0,_xlfn.XLOOKUP(B177,Salários!B:B,Salários!I:I),"")</f>
        <v>Mensalista</v>
      </c>
      <c r="U177" s="117">
        <f t="shared" si="143"/>
        <v>0</v>
      </c>
      <c r="V177" s="65"/>
      <c r="W177" s="202"/>
      <c r="X177" s="65"/>
      <c r="Y177" s="69"/>
      <c r="Z177" s="65"/>
      <c r="AA177" s="518"/>
      <c r="AB177" s="65"/>
      <c r="AC177" s="81">
        <f t="shared" si="144"/>
        <v>0</v>
      </c>
      <c r="AD177" s="65"/>
      <c r="AE177" s="112"/>
      <c r="AF177" s="203">
        <v>0.3</v>
      </c>
      <c r="AG177" s="109">
        <f t="shared" si="44"/>
        <v>3710</v>
      </c>
      <c r="AH177" s="84">
        <f t="shared" si="145"/>
        <v>0</v>
      </c>
      <c r="AI177" s="65"/>
      <c r="AJ177" s="112"/>
      <c r="AK177" s="122"/>
      <c r="AL177" s="109">
        <v>1212</v>
      </c>
      <c r="AM177" s="84">
        <f t="shared" si="146"/>
        <v>0</v>
      </c>
      <c r="AN177" s="65"/>
      <c r="AO177" s="112"/>
      <c r="AP177" s="204"/>
      <c r="AQ177" s="109">
        <f>IFERROR((O177+AH177+AM177)/Dashboard!$D$15,0)*0.2</f>
        <v>3.8326446280991733</v>
      </c>
      <c r="AR177" s="84">
        <f t="shared" si="147"/>
        <v>0</v>
      </c>
      <c r="AS177" s="65"/>
      <c r="AT177" s="112"/>
      <c r="AU177" s="203">
        <v>0.33</v>
      </c>
      <c r="AV177" s="109">
        <f t="shared" si="148"/>
        <v>3710</v>
      </c>
      <c r="AW177" s="84">
        <f t="shared" si="149"/>
        <v>0</v>
      </c>
      <c r="AX177" s="65"/>
      <c r="AY177" s="112"/>
      <c r="AZ177" s="203">
        <v>0.25</v>
      </c>
      <c r="BA177" s="109">
        <f t="shared" si="50"/>
        <v>3710</v>
      </c>
      <c r="BB177" s="84">
        <f t="shared" si="150"/>
        <v>0</v>
      </c>
      <c r="BC177" s="65"/>
      <c r="BD177" s="112"/>
      <c r="BE177" s="203">
        <v>0.26</v>
      </c>
      <c r="BF177" s="109">
        <f t="shared" si="151"/>
        <v>3710</v>
      </c>
      <c r="BG177" s="84">
        <f t="shared" si="152"/>
        <v>0</v>
      </c>
      <c r="BH177" s="197"/>
      <c r="BI177" s="518"/>
      <c r="BJ177" s="65"/>
      <c r="BK177" s="81">
        <f t="shared" si="153"/>
        <v>0</v>
      </c>
      <c r="BL177" s="65"/>
      <c r="BM177" s="204"/>
      <c r="BN177" s="156">
        <f>IF(B177&lt;&gt;"",_xlfn.XLOOKUP(B177,'Cronog. e Histog.'!B:B,'Cronog. e Histog.'!EK:EK),0)</f>
        <v>0</v>
      </c>
      <c r="BO177" s="109">
        <f>($O177/Dashboard!$D$15)*(1+Dashboard!$D$19)</f>
        <v>28.744834710743799</v>
      </c>
      <c r="BP177" s="84">
        <f t="shared" si="166"/>
        <v>0</v>
      </c>
      <c r="BQ177" s="65"/>
      <c r="BR177" s="204"/>
      <c r="BS177" s="156">
        <f>IF(B177&lt;&gt;"",_xlfn.XLOOKUP(B177,'Cronog. e Histog.'!B:B,'Cronog. e Histog.'!EL:EL),0)</f>
        <v>0</v>
      </c>
      <c r="BT177" s="109">
        <f>($O177/Dashboard!$D$15)*(1+Dashboard!$D$20)</f>
        <v>33.535640495867767</v>
      </c>
      <c r="BU177" s="84">
        <f t="shared" si="167"/>
        <v>0</v>
      </c>
      <c r="BV177" s="65"/>
      <c r="BW177" s="204"/>
      <c r="BX177" s="156">
        <f>IF(B177&lt;&gt;"",_xlfn.XLOOKUP(B177,'Cronog. e Histog.'!B:B,'Cronog. e Histog.'!EM:EM),0)</f>
        <v>0</v>
      </c>
      <c r="BY177" s="109">
        <f>($O177/Dashboard!$D$15)*(1+Dashboard!$D$21)</f>
        <v>38.326446280991732</v>
      </c>
      <c r="BZ177" s="84">
        <f t="shared" si="168"/>
        <v>0</v>
      </c>
    </row>
    <row r="178" spans="2:78" ht="12" customHeight="1" outlineLevel="1">
      <c r="B178" s="137" t="str">
        <f>'Cronog. e Histog.'!B301</f>
        <v>AUX ADM - Equipe_01</v>
      </c>
      <c r="C178" s="65"/>
      <c r="D178" s="200">
        <f t="shared" si="136"/>
        <v>0</v>
      </c>
      <c r="E178" s="200">
        <f t="shared" si="137"/>
        <v>0</v>
      </c>
      <c r="F178" s="65"/>
      <c r="G178" s="200">
        <f t="shared" si="138"/>
        <v>0</v>
      </c>
      <c r="H178" s="200">
        <f t="shared" si="139"/>
        <v>0</v>
      </c>
      <c r="I178" s="65"/>
      <c r="J178" s="143" t="str">
        <f>IF('Cronog. e Histog.'!G301&gt;0,'Cronog. e Histog.'!G301,"")</f>
        <v>AUX ADM</v>
      </c>
      <c r="K178" s="65"/>
      <c r="L178" s="144">
        <f>'Cronog. e Histog.'!BT301</f>
        <v>0</v>
      </c>
      <c r="M178" s="144">
        <f>'Cronog. e Histog.'!BU301</f>
        <v>0</v>
      </c>
      <c r="N178" s="65"/>
      <c r="O178" s="109">
        <f>_xlfn.XLOOKUP(B178,Salários!B:B,Salários!K:K)</f>
        <v>1912.24</v>
      </c>
      <c r="P178" s="109">
        <f t="shared" si="154"/>
        <v>0</v>
      </c>
      <c r="Q178" s="109">
        <f t="shared" si="155"/>
        <v>0</v>
      </c>
      <c r="R178" s="65"/>
      <c r="S178" s="109">
        <f t="shared" si="156"/>
        <v>1912.24</v>
      </c>
      <c r="T178" s="201" t="str">
        <f>IF(_xlfn.XLOOKUP(B178,Salários!B:B,Salários!I:I)&gt;0,_xlfn.XLOOKUP(B178,Salários!B:B,Salários!I:I),"")</f>
        <v>Mensalista</v>
      </c>
      <c r="U178" s="117">
        <f t="shared" si="143"/>
        <v>0</v>
      </c>
      <c r="V178" s="65"/>
      <c r="W178" s="202"/>
      <c r="X178" s="65"/>
      <c r="Y178" s="69"/>
      <c r="Z178" s="65"/>
      <c r="AA178" s="518"/>
      <c r="AB178" s="65"/>
      <c r="AC178" s="81">
        <f t="shared" si="144"/>
        <v>0</v>
      </c>
      <c r="AD178" s="65"/>
      <c r="AE178" s="112"/>
      <c r="AF178" s="203">
        <v>0.3</v>
      </c>
      <c r="AG178" s="109">
        <f t="shared" si="44"/>
        <v>1912.24</v>
      </c>
      <c r="AH178" s="84">
        <f t="shared" si="145"/>
        <v>0</v>
      </c>
      <c r="AI178" s="65"/>
      <c r="AJ178" s="112"/>
      <c r="AK178" s="122"/>
      <c r="AL178" s="109">
        <v>1212</v>
      </c>
      <c r="AM178" s="84">
        <f t="shared" si="146"/>
        <v>0</v>
      </c>
      <c r="AN178" s="65"/>
      <c r="AO178" s="112"/>
      <c r="AP178" s="204"/>
      <c r="AQ178" s="109">
        <f>IFERROR((O178+AH178+AM178)/Dashboard!$D$15,0)*0.2</f>
        <v>1.9754545454545456</v>
      </c>
      <c r="AR178" s="84">
        <f t="shared" si="147"/>
        <v>0</v>
      </c>
      <c r="AS178" s="65"/>
      <c r="AT178" s="112"/>
      <c r="AU178" s="203">
        <v>0.33</v>
      </c>
      <c r="AV178" s="109">
        <f t="shared" si="148"/>
        <v>1912.24</v>
      </c>
      <c r="AW178" s="84">
        <f t="shared" si="149"/>
        <v>0</v>
      </c>
      <c r="AX178" s="65"/>
      <c r="AY178" s="112"/>
      <c r="AZ178" s="203">
        <v>0.25</v>
      </c>
      <c r="BA178" s="109">
        <f t="shared" si="50"/>
        <v>1912.24</v>
      </c>
      <c r="BB178" s="84">
        <f t="shared" si="150"/>
        <v>0</v>
      </c>
      <c r="BC178" s="65"/>
      <c r="BD178" s="112"/>
      <c r="BE178" s="203">
        <v>0.26</v>
      </c>
      <c r="BF178" s="109">
        <f t="shared" si="151"/>
        <v>1912.24</v>
      </c>
      <c r="BG178" s="84">
        <f t="shared" si="152"/>
        <v>0</v>
      </c>
      <c r="BH178" s="197"/>
      <c r="BI178" s="518"/>
      <c r="BJ178" s="65"/>
      <c r="BK178" s="81">
        <f t="shared" si="153"/>
        <v>0</v>
      </c>
      <c r="BL178" s="65"/>
      <c r="BM178" s="204"/>
      <c r="BN178" s="156">
        <f>IF(B178&lt;&gt;"",_xlfn.XLOOKUP(B178,'Cronog. e Histog.'!B:B,'Cronog. e Histog.'!EK:EK),0)</f>
        <v>0</v>
      </c>
      <c r="BO178" s="109">
        <f>($O178/Dashboard!$D$15)*(1+Dashboard!$D$19)</f>
        <v>14.815909090909091</v>
      </c>
      <c r="BP178" s="84">
        <f t="shared" si="166"/>
        <v>0</v>
      </c>
      <c r="BQ178" s="65"/>
      <c r="BR178" s="204"/>
      <c r="BS178" s="156">
        <f>IF(B178&lt;&gt;"",_xlfn.XLOOKUP(B178,'Cronog. e Histog.'!B:B,'Cronog. e Histog.'!EL:EL),0)</f>
        <v>0</v>
      </c>
      <c r="BT178" s="109">
        <f>($O178/Dashboard!$D$15)*(1+Dashboard!$D$20)</f>
        <v>17.285227272727273</v>
      </c>
      <c r="BU178" s="84">
        <f t="shared" si="167"/>
        <v>0</v>
      </c>
      <c r="BV178" s="65"/>
      <c r="BW178" s="204"/>
      <c r="BX178" s="156">
        <f>IF(B178&lt;&gt;"",_xlfn.XLOOKUP(B178,'Cronog. e Histog.'!B:B,'Cronog. e Histog.'!EM:EM),0)</f>
        <v>0</v>
      </c>
      <c r="BY178" s="109">
        <f>($O178/Dashboard!$D$15)*(1+Dashboard!$D$21)</f>
        <v>19.754545454545454</v>
      </c>
      <c r="BZ178" s="84">
        <f t="shared" si="168"/>
        <v>0</v>
      </c>
    </row>
    <row r="179" spans="2:78" ht="12" customHeight="1" outlineLevel="1">
      <c r="B179" s="137" t="str">
        <f>'Cronog. e Histog.'!B302</f>
        <v>EST - Equipe_01</v>
      </c>
      <c r="C179" s="65"/>
      <c r="D179" s="200">
        <f t="shared" si="136"/>
        <v>0</v>
      </c>
      <c r="E179" s="200">
        <f t="shared" si="137"/>
        <v>0</v>
      </c>
      <c r="F179" s="65"/>
      <c r="G179" s="200">
        <f t="shared" si="138"/>
        <v>0</v>
      </c>
      <c r="H179" s="200">
        <f t="shared" si="139"/>
        <v>0</v>
      </c>
      <c r="I179" s="65"/>
      <c r="J179" s="143" t="str">
        <f>IF('Cronog. e Histog.'!G302&gt;0,'Cronog. e Histog.'!G302,"")</f>
        <v>EST</v>
      </c>
      <c r="K179" s="65"/>
      <c r="L179" s="144">
        <f>'Cronog. e Histog.'!BT302</f>
        <v>0</v>
      </c>
      <c r="M179" s="144">
        <f>'Cronog. e Histog.'!BU302</f>
        <v>0</v>
      </c>
      <c r="N179" s="65"/>
      <c r="O179" s="109">
        <f>_xlfn.XLOOKUP(B179,Salários!B:B,Salários!K:K)</f>
        <v>1633</v>
      </c>
      <c r="P179" s="109">
        <f t="shared" si="154"/>
        <v>0</v>
      </c>
      <c r="Q179" s="109">
        <f t="shared" si="155"/>
        <v>0</v>
      </c>
      <c r="R179" s="65"/>
      <c r="S179" s="109">
        <f t="shared" si="156"/>
        <v>1633</v>
      </c>
      <c r="T179" s="201" t="str">
        <f>IF(_xlfn.XLOOKUP(B179,Salários!B:B,Salários!I:I)&gt;0,_xlfn.XLOOKUP(B179,Salários!B:B,Salários!I:I),"")</f>
        <v>PJ</v>
      </c>
      <c r="U179" s="117">
        <f t="shared" si="143"/>
        <v>0</v>
      </c>
      <c r="V179" s="65"/>
      <c r="W179" s="202"/>
      <c r="X179" s="65"/>
      <c r="Y179" s="69"/>
      <c r="Z179" s="65"/>
      <c r="AA179" s="518"/>
      <c r="AB179" s="65"/>
      <c r="AC179" s="81">
        <f t="shared" si="144"/>
        <v>0</v>
      </c>
      <c r="AD179" s="65"/>
      <c r="AE179" s="112"/>
      <c r="AF179" s="203">
        <v>0.3</v>
      </c>
      <c r="AG179" s="109">
        <f t="shared" si="44"/>
        <v>1633</v>
      </c>
      <c r="AH179" s="84">
        <f t="shared" si="145"/>
        <v>0</v>
      </c>
      <c r="AI179" s="65"/>
      <c r="AJ179" s="112"/>
      <c r="AK179" s="122"/>
      <c r="AL179" s="109">
        <v>1212</v>
      </c>
      <c r="AM179" s="84">
        <f t="shared" si="146"/>
        <v>0</v>
      </c>
      <c r="AN179" s="65"/>
      <c r="AO179" s="112"/>
      <c r="AP179" s="204"/>
      <c r="AQ179" s="109">
        <f>IFERROR((O179+AH179+AM179)/Dashboard!$D$15,0)*0.2</f>
        <v>1.6869834710743801</v>
      </c>
      <c r="AR179" s="84">
        <f t="shared" si="147"/>
        <v>0</v>
      </c>
      <c r="AS179" s="65"/>
      <c r="AT179" s="112"/>
      <c r="AU179" s="203">
        <v>0.33</v>
      </c>
      <c r="AV179" s="109">
        <f t="shared" si="148"/>
        <v>1633</v>
      </c>
      <c r="AW179" s="84">
        <f t="shared" si="149"/>
        <v>0</v>
      </c>
      <c r="AX179" s="65"/>
      <c r="AY179" s="112"/>
      <c r="AZ179" s="203">
        <v>0.25</v>
      </c>
      <c r="BA179" s="109">
        <f t="shared" si="50"/>
        <v>1633</v>
      </c>
      <c r="BB179" s="84">
        <f t="shared" si="150"/>
        <v>0</v>
      </c>
      <c r="BC179" s="65"/>
      <c r="BD179" s="112"/>
      <c r="BE179" s="203">
        <v>0.26</v>
      </c>
      <c r="BF179" s="109">
        <f t="shared" si="151"/>
        <v>1633</v>
      </c>
      <c r="BG179" s="84">
        <f t="shared" si="152"/>
        <v>0</v>
      </c>
      <c r="BH179" s="197"/>
      <c r="BI179" s="518"/>
      <c r="BJ179" s="65"/>
      <c r="BK179" s="81">
        <f t="shared" si="153"/>
        <v>0</v>
      </c>
      <c r="BL179" s="65"/>
      <c r="BM179" s="204"/>
      <c r="BN179" s="156">
        <f>IF(B179&lt;&gt;"",_xlfn.XLOOKUP(B179,'Cronog. e Histog.'!B:B,'Cronog. e Histog.'!EK:EK),0)</f>
        <v>0</v>
      </c>
      <c r="BO179" s="109">
        <f>($O179/Dashboard!$D$15)*(1+Dashboard!$D$19)</f>
        <v>12.652376033057848</v>
      </c>
      <c r="BP179" s="84">
        <f t="shared" si="166"/>
        <v>0</v>
      </c>
      <c r="BQ179" s="65"/>
      <c r="BR179" s="204"/>
      <c r="BS179" s="156">
        <f>IF(B179&lt;&gt;"",_xlfn.XLOOKUP(B179,'Cronog. e Histog.'!B:B,'Cronog. e Histog.'!EL:EL),0)</f>
        <v>0</v>
      </c>
      <c r="BT179" s="109">
        <f>($O179/Dashboard!$D$15)*(1+Dashboard!$D$20)</f>
        <v>14.761105371900824</v>
      </c>
      <c r="BU179" s="84">
        <f t="shared" si="167"/>
        <v>0</v>
      </c>
      <c r="BV179" s="65"/>
      <c r="BW179" s="204"/>
      <c r="BX179" s="156">
        <f>IF(B179&lt;&gt;"",_xlfn.XLOOKUP(B179,'Cronog. e Histog.'!B:B,'Cronog. e Histog.'!EM:EM),0)</f>
        <v>0</v>
      </c>
      <c r="BY179" s="109">
        <f>($O179/Dashboard!$D$15)*(1+Dashboard!$D$21)</f>
        <v>16.869834710743799</v>
      </c>
      <c r="BZ179" s="84">
        <f t="shared" si="168"/>
        <v>0</v>
      </c>
    </row>
    <row r="180" spans="2:78" ht="12" customHeight="1" outlineLevel="1">
      <c r="B180" s="137" t="str">
        <f>'Cronog. e Histog.'!B303</f>
        <v>EST_II - Equipe_01</v>
      </c>
      <c r="C180" s="65"/>
      <c r="D180" s="200">
        <f t="shared" si="136"/>
        <v>0</v>
      </c>
      <c r="E180" s="200">
        <f t="shared" si="137"/>
        <v>0</v>
      </c>
      <c r="F180" s="65"/>
      <c r="G180" s="200">
        <f t="shared" si="138"/>
        <v>0</v>
      </c>
      <c r="H180" s="200">
        <f t="shared" si="139"/>
        <v>0</v>
      </c>
      <c r="I180" s="65"/>
      <c r="J180" s="143" t="str">
        <f>IF('Cronog. e Histog.'!G303&gt;0,'Cronog. e Histog.'!G303,"")</f>
        <v>EST_II</v>
      </c>
      <c r="K180" s="65"/>
      <c r="L180" s="144">
        <f>'Cronog. e Histog.'!BT303</f>
        <v>0</v>
      </c>
      <c r="M180" s="144">
        <f>'Cronog. e Histog.'!BU303</f>
        <v>0</v>
      </c>
      <c r="N180" s="65"/>
      <c r="O180" s="109">
        <f>_xlfn.XLOOKUP(B180,Salários!B:B,Salários!K:K)</f>
        <v>1633</v>
      </c>
      <c r="P180" s="109">
        <f t="shared" si="154"/>
        <v>0</v>
      </c>
      <c r="Q180" s="109">
        <f t="shared" si="155"/>
        <v>0</v>
      </c>
      <c r="R180" s="65"/>
      <c r="S180" s="109">
        <f t="shared" si="156"/>
        <v>1633</v>
      </c>
      <c r="T180" s="201" t="str">
        <f>IF(_xlfn.XLOOKUP(B180,Salários!B:B,Salários!I:I)&gt;0,_xlfn.XLOOKUP(B180,Salários!B:B,Salários!I:I),"")</f>
        <v>PJ</v>
      </c>
      <c r="U180" s="117">
        <f t="shared" si="143"/>
        <v>0</v>
      </c>
      <c r="V180" s="65"/>
      <c r="W180" s="202"/>
      <c r="X180" s="65"/>
      <c r="Y180" s="69"/>
      <c r="Z180" s="65"/>
      <c r="AA180" s="518"/>
      <c r="AB180" s="65"/>
      <c r="AC180" s="81">
        <f t="shared" si="144"/>
        <v>0</v>
      </c>
      <c r="AD180" s="65"/>
      <c r="AE180" s="112"/>
      <c r="AF180" s="203">
        <v>0.3</v>
      </c>
      <c r="AG180" s="109">
        <f t="shared" si="44"/>
        <v>1633</v>
      </c>
      <c r="AH180" s="84">
        <f t="shared" si="145"/>
        <v>0</v>
      </c>
      <c r="AI180" s="65"/>
      <c r="AJ180" s="112"/>
      <c r="AK180" s="122"/>
      <c r="AL180" s="109">
        <v>1212</v>
      </c>
      <c r="AM180" s="84">
        <f t="shared" si="146"/>
        <v>0</v>
      </c>
      <c r="AN180" s="65"/>
      <c r="AO180" s="112"/>
      <c r="AP180" s="204"/>
      <c r="AQ180" s="109">
        <f>IFERROR((O180+AH180+AM180)/Dashboard!$D$15,0)*0.2</f>
        <v>1.6869834710743801</v>
      </c>
      <c r="AR180" s="84">
        <f t="shared" si="147"/>
        <v>0</v>
      </c>
      <c r="AS180" s="65"/>
      <c r="AT180" s="112"/>
      <c r="AU180" s="203">
        <v>0.33</v>
      </c>
      <c r="AV180" s="109">
        <f t="shared" si="148"/>
        <v>1633</v>
      </c>
      <c r="AW180" s="84">
        <f t="shared" si="149"/>
        <v>0</v>
      </c>
      <c r="AX180" s="65"/>
      <c r="AY180" s="112"/>
      <c r="AZ180" s="203">
        <v>0.25</v>
      </c>
      <c r="BA180" s="109">
        <f t="shared" si="50"/>
        <v>1633</v>
      </c>
      <c r="BB180" s="84">
        <f t="shared" si="150"/>
        <v>0</v>
      </c>
      <c r="BC180" s="65"/>
      <c r="BD180" s="112"/>
      <c r="BE180" s="203">
        <v>0.26</v>
      </c>
      <c r="BF180" s="109">
        <f t="shared" si="151"/>
        <v>1633</v>
      </c>
      <c r="BG180" s="84">
        <f t="shared" si="152"/>
        <v>0</v>
      </c>
      <c r="BH180" s="197"/>
      <c r="BI180" s="518"/>
      <c r="BJ180" s="65"/>
      <c r="BK180" s="81">
        <f t="shared" si="153"/>
        <v>0</v>
      </c>
      <c r="BL180" s="65"/>
      <c r="BM180" s="204"/>
      <c r="BN180" s="156">
        <f>IF(B180&lt;&gt;"",_xlfn.XLOOKUP(B180,'Cronog. e Histog.'!B:B,'Cronog. e Histog.'!EK:EK),0)</f>
        <v>0</v>
      </c>
      <c r="BO180" s="109">
        <f>($O180/Dashboard!$D$15)*(1+Dashboard!$D$19)</f>
        <v>12.652376033057848</v>
      </c>
      <c r="BP180" s="84">
        <f t="shared" si="166"/>
        <v>0</v>
      </c>
      <c r="BQ180" s="65"/>
      <c r="BR180" s="204"/>
      <c r="BS180" s="156">
        <f>IF(B180&lt;&gt;"",_xlfn.XLOOKUP(B180,'Cronog. e Histog.'!B:B,'Cronog. e Histog.'!EL:EL),0)</f>
        <v>0</v>
      </c>
      <c r="BT180" s="109">
        <f>($O180/Dashboard!$D$15)*(1+Dashboard!$D$20)</f>
        <v>14.761105371900824</v>
      </c>
      <c r="BU180" s="84">
        <f t="shared" si="167"/>
        <v>0</v>
      </c>
      <c r="BV180" s="65"/>
      <c r="BW180" s="204"/>
      <c r="BX180" s="156">
        <f>IF(B180&lt;&gt;"",_xlfn.XLOOKUP(B180,'Cronog. e Histog.'!B:B,'Cronog. e Histog.'!EM:EM),0)</f>
        <v>0</v>
      </c>
      <c r="BY180" s="109">
        <f>($O180/Dashboard!$D$15)*(1+Dashboard!$D$21)</f>
        <v>16.869834710743799</v>
      </c>
      <c r="BZ180" s="84">
        <f t="shared" si="168"/>
        <v>0</v>
      </c>
    </row>
    <row r="181" spans="2:78" ht="12" customHeight="1" outlineLevel="1">
      <c r="B181" s="137" t="str">
        <f>'Cronog. e Histog.'!B304</f>
        <v>EST_III - Equipe_01</v>
      </c>
      <c r="C181" s="65"/>
      <c r="D181" s="200">
        <f t="shared" si="136"/>
        <v>0</v>
      </c>
      <c r="E181" s="200">
        <f t="shared" si="137"/>
        <v>0</v>
      </c>
      <c r="F181" s="65"/>
      <c r="G181" s="200">
        <f t="shared" si="138"/>
        <v>0</v>
      </c>
      <c r="H181" s="200">
        <f t="shared" si="139"/>
        <v>0</v>
      </c>
      <c r="I181" s="65"/>
      <c r="J181" s="143" t="str">
        <f>IF('Cronog. e Histog.'!G304&gt;0,'Cronog. e Histog.'!G304,"")</f>
        <v>EST_III</v>
      </c>
      <c r="K181" s="65"/>
      <c r="L181" s="144">
        <f>'Cronog. e Histog.'!BT304</f>
        <v>0</v>
      </c>
      <c r="M181" s="144">
        <f>'Cronog. e Histog.'!BU304</f>
        <v>0</v>
      </c>
      <c r="N181" s="65"/>
      <c r="O181" s="109">
        <f>_xlfn.XLOOKUP(B181,Salários!B:B,Salários!K:K)</f>
        <v>1633</v>
      </c>
      <c r="P181" s="109">
        <f t="shared" si="154"/>
        <v>0</v>
      </c>
      <c r="Q181" s="109">
        <f t="shared" si="155"/>
        <v>0</v>
      </c>
      <c r="R181" s="65"/>
      <c r="S181" s="109">
        <f t="shared" si="156"/>
        <v>1633</v>
      </c>
      <c r="T181" s="201" t="str">
        <f>IF(_xlfn.XLOOKUP(B181,Salários!B:B,Salários!I:I)&gt;0,_xlfn.XLOOKUP(B181,Salários!B:B,Salários!I:I),"")</f>
        <v>PJ</v>
      </c>
      <c r="U181" s="117">
        <f t="shared" si="143"/>
        <v>0</v>
      </c>
      <c r="V181" s="65"/>
      <c r="W181" s="202"/>
      <c r="X181" s="65"/>
      <c r="Y181" s="69"/>
      <c r="Z181" s="65"/>
      <c r="AA181" s="518"/>
      <c r="AB181" s="65"/>
      <c r="AC181" s="81">
        <f t="shared" si="144"/>
        <v>0</v>
      </c>
      <c r="AD181" s="65"/>
      <c r="AE181" s="112"/>
      <c r="AF181" s="203">
        <v>0.3</v>
      </c>
      <c r="AG181" s="109">
        <f t="shared" si="44"/>
        <v>1633</v>
      </c>
      <c r="AH181" s="84">
        <f t="shared" si="145"/>
        <v>0</v>
      </c>
      <c r="AI181" s="65"/>
      <c r="AJ181" s="112"/>
      <c r="AK181" s="122"/>
      <c r="AL181" s="109">
        <v>1212</v>
      </c>
      <c r="AM181" s="84">
        <f t="shared" si="146"/>
        <v>0</v>
      </c>
      <c r="AN181" s="65"/>
      <c r="AO181" s="112"/>
      <c r="AP181" s="204"/>
      <c r="AQ181" s="109">
        <f>IFERROR((O181+AH181+AM181)/Dashboard!$D$15,0)*0.2</f>
        <v>1.6869834710743801</v>
      </c>
      <c r="AR181" s="84">
        <f t="shared" si="147"/>
        <v>0</v>
      </c>
      <c r="AS181" s="65"/>
      <c r="AT181" s="112"/>
      <c r="AU181" s="203">
        <v>0.33</v>
      </c>
      <c r="AV181" s="109">
        <f t="shared" si="148"/>
        <v>1633</v>
      </c>
      <c r="AW181" s="84">
        <f t="shared" si="149"/>
        <v>0</v>
      </c>
      <c r="AX181" s="65"/>
      <c r="AY181" s="112"/>
      <c r="AZ181" s="203">
        <v>0.25</v>
      </c>
      <c r="BA181" s="109">
        <f t="shared" si="50"/>
        <v>1633</v>
      </c>
      <c r="BB181" s="84">
        <f t="shared" si="150"/>
        <v>0</v>
      </c>
      <c r="BC181" s="65"/>
      <c r="BD181" s="112"/>
      <c r="BE181" s="203">
        <v>0.26</v>
      </c>
      <c r="BF181" s="109">
        <f t="shared" si="151"/>
        <v>1633</v>
      </c>
      <c r="BG181" s="84">
        <f t="shared" si="152"/>
        <v>0</v>
      </c>
      <c r="BH181" s="197"/>
      <c r="BI181" s="518"/>
      <c r="BJ181" s="65"/>
      <c r="BK181" s="81">
        <f t="shared" si="153"/>
        <v>0</v>
      </c>
      <c r="BL181" s="65"/>
      <c r="BM181" s="204"/>
      <c r="BN181" s="156">
        <f>IF(B181&lt;&gt;"",_xlfn.XLOOKUP(B181,'Cronog. e Histog.'!B:B,'Cronog. e Histog.'!EK:EK),0)</f>
        <v>0</v>
      </c>
      <c r="BO181" s="109">
        <f>($O181/Dashboard!$D$15)*(1+Dashboard!$D$19)</f>
        <v>12.652376033057848</v>
      </c>
      <c r="BP181" s="84">
        <f t="shared" si="166"/>
        <v>0</v>
      </c>
      <c r="BQ181" s="65"/>
      <c r="BR181" s="204"/>
      <c r="BS181" s="156">
        <f>IF(B181&lt;&gt;"",_xlfn.XLOOKUP(B181,'Cronog. e Histog.'!B:B,'Cronog. e Histog.'!EL:EL),0)</f>
        <v>0</v>
      </c>
      <c r="BT181" s="109">
        <f>($O181/Dashboard!$D$15)*(1+Dashboard!$D$20)</f>
        <v>14.761105371900824</v>
      </c>
      <c r="BU181" s="84">
        <f t="shared" si="167"/>
        <v>0</v>
      </c>
      <c r="BV181" s="65"/>
      <c r="BW181" s="204"/>
      <c r="BX181" s="156">
        <f>IF(B181&lt;&gt;"",_xlfn.XLOOKUP(B181,'Cronog. e Histog.'!B:B,'Cronog. e Histog.'!EM:EM),0)</f>
        <v>0</v>
      </c>
      <c r="BY181" s="109">
        <f>($O181/Dashboard!$D$15)*(1+Dashboard!$D$21)</f>
        <v>16.869834710743799</v>
      </c>
      <c r="BZ181" s="84">
        <f t="shared" si="168"/>
        <v>0</v>
      </c>
    </row>
    <row r="182" spans="2:78" ht="12" customHeight="1" outlineLevel="1"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9"/>
      <c r="Z182" s="65"/>
      <c r="AA182" s="518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197"/>
      <c r="BI182" s="518"/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</row>
    <row r="183" spans="2:78" ht="12" customHeight="1" outlineLevel="1">
      <c r="B183" s="65"/>
      <c r="C183" s="65"/>
      <c r="D183" s="65"/>
      <c r="E183" s="65"/>
      <c r="F183" s="65"/>
      <c r="G183" s="65"/>
      <c r="H183" s="65"/>
      <c r="I183" s="65"/>
      <c r="J183" s="199" t="str">
        <f>'Cronog. e Histog.'!F307</f>
        <v>Equipe05</v>
      </c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9"/>
      <c r="Z183" s="65"/>
      <c r="AA183" s="518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197"/>
      <c r="BI183" s="518"/>
      <c r="BJ183" s="65"/>
      <c r="BK183" s="65"/>
      <c r="BL183" s="65"/>
      <c r="BM183" s="65"/>
      <c r="BN183" s="65"/>
      <c r="BO183" s="65"/>
      <c r="BP183" s="65"/>
      <c r="BQ183" s="65"/>
      <c r="BR183" s="65"/>
      <c r="BS183" s="65"/>
      <c r="BT183" s="65"/>
      <c r="BU183" s="65"/>
      <c r="BV183" s="65"/>
      <c r="BW183" s="65"/>
      <c r="BX183" s="65"/>
      <c r="BY183" s="65"/>
      <c r="BZ183" s="65"/>
    </row>
    <row r="184" spans="2:78" ht="12" customHeight="1" outlineLevel="1">
      <c r="B184" s="137" t="str">
        <f>'Cronog. e Histog.'!B309</f>
        <v>GER. (OBRA/PROJ) - Equipe_01</v>
      </c>
      <c r="C184" s="65"/>
      <c r="D184" s="200">
        <f t="shared" ref="D184:D203" si="169">IF(T184="mensalista",L184,0)</f>
        <v>0</v>
      </c>
      <c r="E184" s="200">
        <f t="shared" ref="E184:E203" si="170">IF(T184="mensalista",M184,0)</f>
        <v>0</v>
      </c>
      <c r="F184" s="65"/>
      <c r="G184" s="200">
        <f t="shared" ref="G184:G203" si="171">IF(T184="mensalista",L184,0)</f>
        <v>0</v>
      </c>
      <c r="H184" s="200">
        <f t="shared" ref="H184:H203" si="172">IF(T184="mensalista",M184,0)</f>
        <v>0</v>
      </c>
      <c r="I184" s="65"/>
      <c r="J184" s="143" t="str">
        <f>IF('Cronog. e Histog.'!G309&gt;0,'Cronog. e Histog.'!G309,"")</f>
        <v>GER. (OBRA/PROJ)</v>
      </c>
      <c r="K184" s="65"/>
      <c r="L184" s="144">
        <f>'Cronog. e Histog.'!BT309</f>
        <v>0</v>
      </c>
      <c r="M184" s="144">
        <f>'Cronog. e Histog.'!BU309</f>
        <v>0</v>
      </c>
      <c r="N184" s="65"/>
      <c r="O184" s="109">
        <f>_xlfn.XLOOKUP(B184,Salários!B:B,Salários!K:K)</f>
        <v>21000</v>
      </c>
      <c r="P184" s="109">
        <f t="shared" ref="P184" si="173">AC184</f>
        <v>0</v>
      </c>
      <c r="Q184" s="109">
        <f t="shared" ref="Q184" si="174">BK184</f>
        <v>0</v>
      </c>
      <c r="R184" s="65"/>
      <c r="S184" s="109">
        <f t="shared" ref="S184" si="175">SUM(O184:Q184)</f>
        <v>21000</v>
      </c>
      <c r="T184" s="201" t="str">
        <f>IF(_xlfn.XLOOKUP(B184,Salários!B:B,Salários!I:I)&gt;0,_xlfn.XLOOKUP(B184,Salários!B:B,Salários!I:I),"")</f>
        <v>PJ</v>
      </c>
      <c r="U184" s="117">
        <f t="shared" ref="U184" si="176">L184*M184*S184</f>
        <v>0</v>
      </c>
      <c r="V184" s="65"/>
      <c r="W184" s="202"/>
      <c r="X184" s="65"/>
      <c r="Y184" s="69"/>
      <c r="Z184" s="65"/>
      <c r="AA184" s="518"/>
      <c r="AB184" s="65"/>
      <c r="AC184" s="81">
        <f t="shared" ref="AC184:AC203" si="177">AH184+AM184+AR184+AW184+BB184+BG184</f>
        <v>0</v>
      </c>
      <c r="AD184" s="65"/>
      <c r="AE184" s="112"/>
      <c r="AF184" s="203">
        <v>0.3</v>
      </c>
      <c r="AG184" s="109">
        <f t="shared" si="44"/>
        <v>21000</v>
      </c>
      <c r="AH184" s="84">
        <f t="shared" ref="AH184:AH203" si="178">IF(AE184="sim",AF184*AG184,0)</f>
        <v>0</v>
      </c>
      <c r="AI184" s="65"/>
      <c r="AJ184" s="112"/>
      <c r="AK184" s="122"/>
      <c r="AL184" s="109">
        <v>1212</v>
      </c>
      <c r="AM184" s="84">
        <f t="shared" ref="AM184:AM203" si="179">IF(AJ184="sim",AK184*AL184,0)</f>
        <v>0</v>
      </c>
      <c r="AN184" s="65"/>
      <c r="AO184" s="112"/>
      <c r="AP184" s="204"/>
      <c r="AQ184" s="109">
        <f>IFERROR((O184+AH184+AM184)/Dashboard!$D$15,0)*0.2</f>
        <v>21.694214876033058</v>
      </c>
      <c r="AR184" s="84">
        <f t="shared" ref="AR184:AR203" si="180">IF(AO184="sim",AP184*AQ184,0)</f>
        <v>0</v>
      </c>
      <c r="AS184" s="65"/>
      <c r="AT184" s="112"/>
      <c r="AU184" s="203">
        <v>0.33</v>
      </c>
      <c r="AV184" s="109">
        <f t="shared" ref="AV184:AV203" si="181">$O184</f>
        <v>21000</v>
      </c>
      <c r="AW184" s="84">
        <f t="shared" ref="AW184:AW203" si="182">IF(AT184="sim",AU184*AV184,0)</f>
        <v>0</v>
      </c>
      <c r="AX184" s="65"/>
      <c r="AY184" s="112"/>
      <c r="AZ184" s="203">
        <v>0.25</v>
      </c>
      <c r="BA184" s="109">
        <f t="shared" si="50"/>
        <v>21000</v>
      </c>
      <c r="BB184" s="84">
        <f t="shared" ref="BB184:BB203" si="183">IF(AY184="sim",AZ184*BA184,0)</f>
        <v>0</v>
      </c>
      <c r="BC184" s="65"/>
      <c r="BD184" s="112"/>
      <c r="BE184" s="203">
        <v>0.26</v>
      </c>
      <c r="BF184" s="109">
        <f t="shared" ref="BF184:BF203" si="184">$O184</f>
        <v>21000</v>
      </c>
      <c r="BG184" s="84">
        <f t="shared" ref="BG184:BG203" si="185">IF(BD184="sim",BE184*BF184,0)</f>
        <v>0</v>
      </c>
      <c r="BH184" s="197"/>
      <c r="BI184" s="518"/>
      <c r="BJ184" s="65"/>
      <c r="BK184" s="81">
        <f t="shared" ref="BK184:BK203" si="186">BP184+BU184+BZ184</f>
        <v>0</v>
      </c>
      <c r="BL184" s="65"/>
      <c r="BM184" s="204"/>
      <c r="BN184" s="156">
        <f>IF(B184&lt;&gt;"",_xlfn.XLOOKUP(B184,'Cronog. e Histog.'!B:B,'Cronog. e Histog.'!EK:EK),0)</f>
        <v>0</v>
      </c>
      <c r="BO184" s="109">
        <f>($O184/Dashboard!$D$15)*(1+Dashboard!$D$19)</f>
        <v>162.7066115702479</v>
      </c>
      <c r="BP184" s="84">
        <f>SUM(BM184:BN184)*BO184</f>
        <v>0</v>
      </c>
      <c r="BQ184" s="65"/>
      <c r="BR184" s="204"/>
      <c r="BS184" s="156">
        <f>IF(B184&lt;&gt;"",_xlfn.XLOOKUP(B184,'Cronog. e Histog.'!B:B,'Cronog. e Histog.'!EL:EL),0)</f>
        <v>0</v>
      </c>
      <c r="BT184" s="109">
        <f>($O184/Dashboard!$D$15)*(1+Dashboard!$D$20)</f>
        <v>189.82438016528923</v>
      </c>
      <c r="BU184" s="84">
        <f>SUM(BR184:BS184)*BT184</f>
        <v>0</v>
      </c>
      <c r="BV184" s="65"/>
      <c r="BW184" s="204"/>
      <c r="BX184" s="156">
        <f>IF(B184&lt;&gt;"",_xlfn.XLOOKUP(B184,'Cronog. e Histog.'!B:B,'Cronog. e Histog.'!EM:EM),0)</f>
        <v>0</v>
      </c>
      <c r="BY184" s="109">
        <f>($O184/Dashboard!$D$15)*(1+Dashboard!$D$21)</f>
        <v>216.94214876033055</v>
      </c>
      <c r="BZ184" s="84">
        <f>SUM(BW184:BX184)*BY184</f>
        <v>0</v>
      </c>
    </row>
    <row r="185" spans="2:78" ht="12" customHeight="1" outlineLevel="1">
      <c r="B185" s="137" t="str">
        <f>'Cronog. e Histog.'!B310</f>
        <v>COORD. - Equipe_01</v>
      </c>
      <c r="C185" s="65"/>
      <c r="D185" s="200">
        <f t="shared" si="169"/>
        <v>0</v>
      </c>
      <c r="E185" s="200">
        <f t="shared" si="170"/>
        <v>0</v>
      </c>
      <c r="F185" s="65"/>
      <c r="G185" s="200">
        <f t="shared" si="171"/>
        <v>0</v>
      </c>
      <c r="H185" s="200">
        <f t="shared" si="172"/>
        <v>0</v>
      </c>
      <c r="I185" s="65"/>
      <c r="J185" s="143" t="str">
        <f>IF('Cronog. e Histog.'!G310&gt;0,'Cronog. e Histog.'!G310,"")</f>
        <v>COORD.</v>
      </c>
      <c r="K185" s="65"/>
      <c r="L185" s="144">
        <f>'Cronog. e Histog.'!BT310</f>
        <v>0</v>
      </c>
      <c r="M185" s="144">
        <f>'Cronog. e Histog.'!BU310</f>
        <v>0</v>
      </c>
      <c r="N185" s="65"/>
      <c r="O185" s="109">
        <f>_xlfn.XLOOKUP(B185,Salários!B:B,Salários!K:K)</f>
        <v>19000</v>
      </c>
      <c r="P185" s="109">
        <f t="shared" ref="P185:P203" si="187">AC185</f>
        <v>0</v>
      </c>
      <c r="Q185" s="109">
        <f t="shared" ref="Q185:Q203" si="188">BK185</f>
        <v>0</v>
      </c>
      <c r="R185" s="65"/>
      <c r="S185" s="109">
        <f t="shared" ref="S185:S203" si="189">SUM(O185:Q185)</f>
        <v>19000</v>
      </c>
      <c r="T185" s="201" t="str">
        <f>IF(_xlfn.XLOOKUP(B185,Salários!B:B,Salários!I:I)&gt;0,_xlfn.XLOOKUP(B185,Salários!B:B,Salários!I:I),"")</f>
        <v>PJ</v>
      </c>
      <c r="U185" s="117">
        <f t="shared" ref="U185:U203" si="190">L185*M185*S185</f>
        <v>0</v>
      </c>
      <c r="V185" s="65"/>
      <c r="W185" s="202"/>
      <c r="X185" s="65"/>
      <c r="Y185" s="69"/>
      <c r="Z185" s="65"/>
      <c r="AA185" s="518"/>
      <c r="AB185" s="65"/>
      <c r="AC185" s="81">
        <f t="shared" ref="AC185:AC194" si="191">AH185+AM185+AR185+AW185+BB185+BG185</f>
        <v>0</v>
      </c>
      <c r="AD185" s="65"/>
      <c r="AE185" s="112"/>
      <c r="AF185" s="203">
        <v>0.3</v>
      </c>
      <c r="AG185" s="109">
        <f t="shared" si="44"/>
        <v>19000</v>
      </c>
      <c r="AH185" s="84">
        <f t="shared" ref="AH185:AH194" si="192">IF(AE185="sim",AF185*AG185,0)</f>
        <v>0</v>
      </c>
      <c r="AI185" s="65"/>
      <c r="AJ185" s="112"/>
      <c r="AK185" s="122"/>
      <c r="AL185" s="109">
        <v>1212</v>
      </c>
      <c r="AM185" s="84">
        <f t="shared" ref="AM185:AM194" si="193">IF(AJ185="sim",AK185*AL185,0)</f>
        <v>0</v>
      </c>
      <c r="AN185" s="65"/>
      <c r="AO185" s="112"/>
      <c r="AP185" s="204"/>
      <c r="AQ185" s="109">
        <f>IFERROR((O185+AH185+AM185)/Dashboard!$D$15,0)*0.2</f>
        <v>19.628099173553718</v>
      </c>
      <c r="AR185" s="84">
        <f t="shared" ref="AR185:AR194" si="194">IF(AO185="sim",AP185*AQ185,0)</f>
        <v>0</v>
      </c>
      <c r="AS185" s="65"/>
      <c r="AT185" s="112"/>
      <c r="AU185" s="203">
        <v>0.33</v>
      </c>
      <c r="AV185" s="109">
        <f t="shared" si="181"/>
        <v>19000</v>
      </c>
      <c r="AW185" s="84">
        <f t="shared" ref="AW185:AW194" si="195">IF(AT185="sim",AU185*AV185,0)</f>
        <v>0</v>
      </c>
      <c r="AX185" s="65"/>
      <c r="AY185" s="112"/>
      <c r="AZ185" s="203">
        <v>0.25</v>
      </c>
      <c r="BA185" s="109">
        <f t="shared" si="50"/>
        <v>19000</v>
      </c>
      <c r="BB185" s="84">
        <f t="shared" ref="BB185:BB194" si="196">IF(AY185="sim",AZ185*BA185,0)</f>
        <v>0</v>
      </c>
      <c r="BC185" s="65"/>
      <c r="BD185" s="112"/>
      <c r="BE185" s="203">
        <v>0.26</v>
      </c>
      <c r="BF185" s="109">
        <f t="shared" si="184"/>
        <v>19000</v>
      </c>
      <c r="BG185" s="84">
        <f t="shared" ref="BG185:BG194" si="197">IF(BD185="sim",BE185*BF185,0)</f>
        <v>0</v>
      </c>
      <c r="BH185" s="197"/>
      <c r="BI185" s="518"/>
      <c r="BJ185" s="65"/>
      <c r="BK185" s="81">
        <f t="shared" ref="BK185:BK194" si="198">BP185+BU185+BZ185</f>
        <v>0</v>
      </c>
      <c r="BL185" s="65"/>
      <c r="BM185" s="204"/>
      <c r="BN185" s="156">
        <f>IF(B185&lt;&gt;"",_xlfn.XLOOKUP(B185,'Cronog. e Histog.'!B:B,'Cronog. e Histog.'!EK:EK),0)</f>
        <v>0</v>
      </c>
      <c r="BO185" s="109">
        <f>($O185/Dashboard!$D$15)*(1+Dashboard!$D$19)</f>
        <v>147.21074380165288</v>
      </c>
      <c r="BP185" s="84">
        <f t="shared" ref="BP185:BP203" si="199">SUM(BM185:BN185)*BO185</f>
        <v>0</v>
      </c>
      <c r="BQ185" s="65"/>
      <c r="BR185" s="204"/>
      <c r="BS185" s="156">
        <f>IF(B185&lt;&gt;"",_xlfn.XLOOKUP(B185,'Cronog. e Histog.'!B:B,'Cronog. e Histog.'!EL:EL),0)</f>
        <v>0</v>
      </c>
      <c r="BT185" s="109">
        <f>($O185/Dashboard!$D$15)*(1+Dashboard!$D$20)</f>
        <v>171.74586776859502</v>
      </c>
      <c r="BU185" s="84">
        <f t="shared" ref="BU185:BU203" si="200">SUM(BR185:BS185)*BT185</f>
        <v>0</v>
      </c>
      <c r="BV185" s="65"/>
      <c r="BW185" s="204"/>
      <c r="BX185" s="156">
        <f>IF(B185&lt;&gt;"",_xlfn.XLOOKUP(B185,'Cronog. e Histog.'!B:B,'Cronog. e Histog.'!EM:EM),0)</f>
        <v>0</v>
      </c>
      <c r="BY185" s="109">
        <f>($O185/Dashboard!$D$15)*(1+Dashboard!$D$21)</f>
        <v>196.28099173553716</v>
      </c>
      <c r="BZ185" s="84">
        <f t="shared" ref="BZ185:BZ203" si="201">SUM(BW185:BX185)*BY185</f>
        <v>0</v>
      </c>
    </row>
    <row r="186" spans="2:78" ht="12" customHeight="1" outlineLevel="1">
      <c r="B186" s="137" t="str">
        <f>'Cronog. e Histog.'!B311</f>
        <v>SUP.-ESP - Equipe_01</v>
      </c>
      <c r="C186" s="65"/>
      <c r="D186" s="200">
        <f t="shared" si="169"/>
        <v>0</v>
      </c>
      <c r="E186" s="200">
        <f t="shared" si="170"/>
        <v>0</v>
      </c>
      <c r="F186" s="65"/>
      <c r="G186" s="200">
        <f t="shared" si="171"/>
        <v>0</v>
      </c>
      <c r="H186" s="200">
        <f t="shared" si="172"/>
        <v>0</v>
      </c>
      <c r="I186" s="65"/>
      <c r="J186" s="143" t="str">
        <f>IF('Cronog. e Histog.'!G311&gt;0,'Cronog. e Histog.'!G311,"")</f>
        <v>SUP.-ESP</v>
      </c>
      <c r="K186" s="65"/>
      <c r="L186" s="144">
        <f>'Cronog. e Histog.'!BT311</f>
        <v>0</v>
      </c>
      <c r="M186" s="144">
        <f>'Cronog. e Histog.'!BU311</f>
        <v>0</v>
      </c>
      <c r="N186" s="65"/>
      <c r="O186" s="109">
        <f>_xlfn.XLOOKUP(B186,Salários!B:B,Salários!K:K)</f>
        <v>9716.67</v>
      </c>
      <c r="P186" s="109">
        <f t="shared" si="187"/>
        <v>0</v>
      </c>
      <c r="Q186" s="109">
        <f t="shared" si="188"/>
        <v>0</v>
      </c>
      <c r="R186" s="65"/>
      <c r="S186" s="109">
        <f t="shared" si="189"/>
        <v>9716.67</v>
      </c>
      <c r="T186" s="201" t="str">
        <f>IF(_xlfn.XLOOKUP(B186,Salários!B:B,Salários!I:I)&gt;0,_xlfn.XLOOKUP(B186,Salários!B:B,Salários!I:I),"")</f>
        <v>Mensalista</v>
      </c>
      <c r="U186" s="117">
        <f t="shared" si="190"/>
        <v>0</v>
      </c>
      <c r="V186" s="65"/>
      <c r="W186" s="202"/>
      <c r="X186" s="65"/>
      <c r="Y186" s="69"/>
      <c r="Z186" s="65"/>
      <c r="AA186" s="518"/>
      <c r="AB186" s="65"/>
      <c r="AC186" s="81">
        <f t="shared" si="191"/>
        <v>0</v>
      </c>
      <c r="AD186" s="65"/>
      <c r="AE186" s="112"/>
      <c r="AF186" s="203">
        <v>0.3</v>
      </c>
      <c r="AG186" s="109">
        <f t="shared" si="44"/>
        <v>9716.67</v>
      </c>
      <c r="AH186" s="84">
        <f t="shared" si="192"/>
        <v>0</v>
      </c>
      <c r="AI186" s="65"/>
      <c r="AJ186" s="112"/>
      <c r="AK186" s="122"/>
      <c r="AL186" s="109">
        <v>1212</v>
      </c>
      <c r="AM186" s="84">
        <f t="shared" si="193"/>
        <v>0</v>
      </c>
      <c r="AN186" s="65"/>
      <c r="AO186" s="112"/>
      <c r="AP186" s="204"/>
      <c r="AQ186" s="109">
        <f>IFERROR((O186+AH186+AM186)/Dashboard!$D$15,0)*0.2</f>
        <v>10.037882231404957</v>
      </c>
      <c r="AR186" s="84">
        <f t="shared" si="194"/>
        <v>0</v>
      </c>
      <c r="AS186" s="65"/>
      <c r="AT186" s="112"/>
      <c r="AU186" s="203">
        <v>0.33</v>
      </c>
      <c r="AV186" s="109">
        <f t="shared" si="181"/>
        <v>9716.67</v>
      </c>
      <c r="AW186" s="84">
        <f t="shared" si="195"/>
        <v>0</v>
      </c>
      <c r="AX186" s="65"/>
      <c r="AY186" s="112"/>
      <c r="AZ186" s="203">
        <v>0.25</v>
      </c>
      <c r="BA186" s="109">
        <f t="shared" si="50"/>
        <v>9716.67</v>
      </c>
      <c r="BB186" s="84">
        <f t="shared" si="196"/>
        <v>0</v>
      </c>
      <c r="BC186" s="65"/>
      <c r="BD186" s="112"/>
      <c r="BE186" s="203">
        <v>0.26</v>
      </c>
      <c r="BF186" s="109">
        <f t="shared" si="184"/>
        <v>9716.67</v>
      </c>
      <c r="BG186" s="84">
        <f t="shared" si="197"/>
        <v>0</v>
      </c>
      <c r="BH186" s="197"/>
      <c r="BI186" s="518"/>
      <c r="BJ186" s="65"/>
      <c r="BK186" s="81">
        <f t="shared" si="198"/>
        <v>0</v>
      </c>
      <c r="BL186" s="65"/>
      <c r="BM186" s="204"/>
      <c r="BN186" s="156">
        <f>IF(B186&lt;&gt;"",_xlfn.XLOOKUP(B186,'Cronog. e Histog.'!B:B,'Cronog. e Histog.'!EK:EK),0)</f>
        <v>0</v>
      </c>
      <c r="BO186" s="109">
        <f>($O186/Dashboard!$D$15)*(1+Dashboard!$D$19)</f>
        <v>75.284116735537182</v>
      </c>
      <c r="BP186" s="84">
        <f t="shared" si="199"/>
        <v>0</v>
      </c>
      <c r="BQ186" s="65"/>
      <c r="BR186" s="204"/>
      <c r="BS186" s="156">
        <f>IF(B186&lt;&gt;"",_xlfn.XLOOKUP(B186,'Cronog. e Histog.'!B:B,'Cronog. e Histog.'!EL:EL),0)</f>
        <v>0</v>
      </c>
      <c r="BT186" s="109">
        <f>($O186/Dashboard!$D$15)*(1+Dashboard!$D$20)</f>
        <v>87.831469524793377</v>
      </c>
      <c r="BU186" s="84">
        <f t="shared" si="200"/>
        <v>0</v>
      </c>
      <c r="BV186" s="65"/>
      <c r="BW186" s="204"/>
      <c r="BX186" s="156">
        <f>IF(B186&lt;&gt;"",_xlfn.XLOOKUP(B186,'Cronog. e Histog.'!B:B,'Cronog. e Histog.'!EM:EM),0)</f>
        <v>0</v>
      </c>
      <c r="BY186" s="109">
        <f>($O186/Dashboard!$D$15)*(1+Dashboard!$D$21)</f>
        <v>100.37882231404957</v>
      </c>
      <c r="BZ186" s="84">
        <f t="shared" si="201"/>
        <v>0</v>
      </c>
    </row>
    <row r="187" spans="2:78" ht="12" customHeight="1" outlineLevel="1">
      <c r="B187" s="137" t="str">
        <f>'Cronog. e Histog.'!B312</f>
        <v>ENG/ARQ SR. - Equipe_01</v>
      </c>
      <c r="C187" s="65"/>
      <c r="D187" s="200">
        <f t="shared" si="169"/>
        <v>0</v>
      </c>
      <c r="E187" s="200">
        <f t="shared" si="170"/>
        <v>0</v>
      </c>
      <c r="F187" s="65"/>
      <c r="G187" s="200">
        <f t="shared" si="171"/>
        <v>0</v>
      </c>
      <c r="H187" s="200">
        <f t="shared" si="172"/>
        <v>0</v>
      </c>
      <c r="I187" s="65"/>
      <c r="J187" s="143" t="str">
        <f>IF('Cronog. e Histog.'!G312&gt;0,'Cronog. e Histog.'!G312,"")</f>
        <v>ENG/ARQ SR.</v>
      </c>
      <c r="K187" s="65"/>
      <c r="L187" s="144">
        <f>'Cronog. e Histog.'!BT312</f>
        <v>9.9999999999999985E-3</v>
      </c>
      <c r="M187" s="144">
        <f>'Cronog. e Histog.'!BU312</f>
        <v>10</v>
      </c>
      <c r="N187" s="65"/>
      <c r="O187" s="109">
        <f>_xlfn.XLOOKUP(B187,Salários!B:B,Salários!K:K)</f>
        <v>16000</v>
      </c>
      <c r="P187" s="109">
        <f t="shared" si="187"/>
        <v>0</v>
      </c>
      <c r="Q187" s="109">
        <f t="shared" si="188"/>
        <v>0</v>
      </c>
      <c r="R187" s="65"/>
      <c r="S187" s="109">
        <f t="shared" si="189"/>
        <v>16000</v>
      </c>
      <c r="T187" s="201" t="str">
        <f>IF(_xlfn.XLOOKUP(B187,Salários!B:B,Salários!I:I)&gt;0,_xlfn.XLOOKUP(B187,Salários!B:B,Salários!I:I),"")</f>
        <v>PJ</v>
      </c>
      <c r="U187" s="117">
        <f t="shared" si="190"/>
        <v>1599.9999999999995</v>
      </c>
      <c r="V187" s="65"/>
      <c r="W187" s="202"/>
      <c r="X187" s="65"/>
      <c r="Y187" s="69"/>
      <c r="Z187" s="65"/>
      <c r="AA187" s="518"/>
      <c r="AB187" s="65"/>
      <c r="AC187" s="81">
        <f t="shared" si="191"/>
        <v>0</v>
      </c>
      <c r="AD187" s="65"/>
      <c r="AE187" s="112"/>
      <c r="AF187" s="203">
        <v>0.3</v>
      </c>
      <c r="AG187" s="109">
        <f t="shared" si="44"/>
        <v>16000</v>
      </c>
      <c r="AH187" s="84">
        <f t="shared" si="192"/>
        <v>0</v>
      </c>
      <c r="AI187" s="65"/>
      <c r="AJ187" s="112"/>
      <c r="AK187" s="122"/>
      <c r="AL187" s="109">
        <v>1212</v>
      </c>
      <c r="AM187" s="84">
        <f t="shared" si="193"/>
        <v>0</v>
      </c>
      <c r="AN187" s="65"/>
      <c r="AO187" s="112"/>
      <c r="AP187" s="204"/>
      <c r="AQ187" s="109">
        <f>IFERROR((O187+AH187+AM187)/Dashboard!$D$15,0)*0.2</f>
        <v>16.528925619834709</v>
      </c>
      <c r="AR187" s="84">
        <f t="shared" si="194"/>
        <v>0</v>
      </c>
      <c r="AS187" s="65"/>
      <c r="AT187" s="112"/>
      <c r="AU187" s="203">
        <v>0.33</v>
      </c>
      <c r="AV187" s="109">
        <f t="shared" si="181"/>
        <v>16000</v>
      </c>
      <c r="AW187" s="84">
        <f t="shared" si="195"/>
        <v>0</v>
      </c>
      <c r="AX187" s="65"/>
      <c r="AY187" s="112"/>
      <c r="AZ187" s="203">
        <v>0.25</v>
      </c>
      <c r="BA187" s="109">
        <f t="shared" si="50"/>
        <v>16000</v>
      </c>
      <c r="BB187" s="84">
        <f t="shared" si="196"/>
        <v>0</v>
      </c>
      <c r="BC187" s="65"/>
      <c r="BD187" s="112"/>
      <c r="BE187" s="203">
        <v>0.26</v>
      </c>
      <c r="BF187" s="109">
        <f t="shared" si="184"/>
        <v>16000</v>
      </c>
      <c r="BG187" s="84">
        <f t="shared" si="197"/>
        <v>0</v>
      </c>
      <c r="BH187" s="197"/>
      <c r="BI187" s="518"/>
      <c r="BJ187" s="65"/>
      <c r="BK187" s="81">
        <f t="shared" si="198"/>
        <v>0</v>
      </c>
      <c r="BL187" s="65"/>
      <c r="BM187" s="204"/>
      <c r="BN187" s="156">
        <f>IF(B187&lt;&gt;"",_xlfn.XLOOKUP(B187,'Cronog. e Histog.'!B:B,'Cronog. e Histog.'!EK:EK),0)</f>
        <v>0</v>
      </c>
      <c r="BO187" s="109">
        <f>($O187/Dashboard!$D$15)*(1+Dashboard!$D$19)</f>
        <v>123.96694214876032</v>
      </c>
      <c r="BP187" s="84">
        <f t="shared" si="199"/>
        <v>0</v>
      </c>
      <c r="BQ187" s="65"/>
      <c r="BR187" s="204"/>
      <c r="BS187" s="156">
        <f>IF(B187&lt;&gt;"",_xlfn.XLOOKUP(B187,'Cronog. e Histog.'!B:B,'Cronog. e Histog.'!EL:EL),0)</f>
        <v>0</v>
      </c>
      <c r="BT187" s="109">
        <f>($O187/Dashboard!$D$15)*(1+Dashboard!$D$20)</f>
        <v>144.62809917355369</v>
      </c>
      <c r="BU187" s="84">
        <f t="shared" si="200"/>
        <v>0</v>
      </c>
      <c r="BV187" s="65"/>
      <c r="BW187" s="204"/>
      <c r="BX187" s="156">
        <f>IF(B187&lt;&gt;"",_xlfn.XLOOKUP(B187,'Cronog. e Histog.'!B:B,'Cronog. e Histog.'!EM:EM),0)</f>
        <v>0</v>
      </c>
      <c r="BY187" s="109">
        <f>($O187/Dashboard!$D$15)*(1+Dashboard!$D$21)</f>
        <v>165.28925619834709</v>
      </c>
      <c r="BZ187" s="84">
        <f t="shared" si="201"/>
        <v>0</v>
      </c>
    </row>
    <row r="188" spans="2:78" ht="12" customHeight="1" outlineLevel="1">
      <c r="B188" s="137" t="str">
        <f>'Cronog. e Histog.'!B313</f>
        <v>ENG/ARQ PL. - Equipe_01</v>
      </c>
      <c r="C188" s="65"/>
      <c r="D188" s="200">
        <f t="shared" si="169"/>
        <v>0</v>
      </c>
      <c r="E188" s="200">
        <f t="shared" si="170"/>
        <v>0</v>
      </c>
      <c r="F188" s="65"/>
      <c r="G188" s="200">
        <f t="shared" si="171"/>
        <v>0</v>
      </c>
      <c r="H188" s="200">
        <f t="shared" si="172"/>
        <v>0</v>
      </c>
      <c r="I188" s="65"/>
      <c r="J188" s="143" t="str">
        <f>IF('Cronog. e Histog.'!G313&gt;0,'Cronog. e Histog.'!G313,"")</f>
        <v>ENG/ARQ PL.</v>
      </c>
      <c r="K188" s="65"/>
      <c r="L188" s="144">
        <f>'Cronog. e Histog.'!BT313</f>
        <v>0.59999999999999987</v>
      </c>
      <c r="M188" s="144">
        <f>'Cronog. e Histog.'!BU313</f>
        <v>10</v>
      </c>
      <c r="N188" s="65"/>
      <c r="O188" s="109">
        <f>_xlfn.XLOOKUP(B188,Salários!B:B,Salários!K:K)</f>
        <v>14000</v>
      </c>
      <c r="P188" s="109">
        <f t="shared" si="187"/>
        <v>0</v>
      </c>
      <c r="Q188" s="109">
        <f t="shared" si="188"/>
        <v>0</v>
      </c>
      <c r="R188" s="65"/>
      <c r="S188" s="109">
        <f t="shared" si="189"/>
        <v>14000</v>
      </c>
      <c r="T188" s="201" t="str">
        <f>IF(_xlfn.XLOOKUP(B188,Salários!B:B,Salários!I:I)&gt;0,_xlfn.XLOOKUP(B188,Salários!B:B,Salários!I:I),"")</f>
        <v>PJ</v>
      </c>
      <c r="U188" s="117">
        <f t="shared" si="190"/>
        <v>83999.999999999971</v>
      </c>
      <c r="V188" s="65"/>
      <c r="W188" s="202"/>
      <c r="X188" s="65"/>
      <c r="Y188" s="69"/>
      <c r="Z188" s="65"/>
      <c r="AA188" s="518"/>
      <c r="AB188" s="65"/>
      <c r="AC188" s="81">
        <f t="shared" si="191"/>
        <v>0</v>
      </c>
      <c r="AD188" s="65"/>
      <c r="AE188" s="112"/>
      <c r="AF188" s="203">
        <v>0.3</v>
      </c>
      <c r="AG188" s="109">
        <f t="shared" si="44"/>
        <v>14000</v>
      </c>
      <c r="AH188" s="84">
        <f t="shared" si="192"/>
        <v>0</v>
      </c>
      <c r="AI188" s="65"/>
      <c r="AJ188" s="112"/>
      <c r="AK188" s="122"/>
      <c r="AL188" s="109">
        <v>1212</v>
      </c>
      <c r="AM188" s="84">
        <f t="shared" si="193"/>
        <v>0</v>
      </c>
      <c r="AN188" s="65"/>
      <c r="AO188" s="112"/>
      <c r="AP188" s="204"/>
      <c r="AQ188" s="109">
        <f>IFERROR((O188+AH188+AM188)/Dashboard!$D$15,0)*0.2</f>
        <v>14.46280991735537</v>
      </c>
      <c r="AR188" s="84">
        <f t="shared" si="194"/>
        <v>0</v>
      </c>
      <c r="AS188" s="65"/>
      <c r="AT188" s="112"/>
      <c r="AU188" s="203">
        <v>0.33</v>
      </c>
      <c r="AV188" s="109">
        <f t="shared" si="181"/>
        <v>14000</v>
      </c>
      <c r="AW188" s="84">
        <f t="shared" si="195"/>
        <v>0</v>
      </c>
      <c r="AX188" s="65"/>
      <c r="AY188" s="112"/>
      <c r="AZ188" s="203">
        <v>0.25</v>
      </c>
      <c r="BA188" s="109">
        <f t="shared" si="50"/>
        <v>14000</v>
      </c>
      <c r="BB188" s="84">
        <f t="shared" si="196"/>
        <v>0</v>
      </c>
      <c r="BC188" s="65"/>
      <c r="BD188" s="112"/>
      <c r="BE188" s="203">
        <v>0.26</v>
      </c>
      <c r="BF188" s="109">
        <f t="shared" si="184"/>
        <v>14000</v>
      </c>
      <c r="BG188" s="84">
        <f t="shared" si="197"/>
        <v>0</v>
      </c>
      <c r="BH188" s="197"/>
      <c r="BI188" s="518"/>
      <c r="BJ188" s="65"/>
      <c r="BK188" s="81">
        <f t="shared" si="198"/>
        <v>0</v>
      </c>
      <c r="BL188" s="65"/>
      <c r="BM188" s="204"/>
      <c r="BN188" s="156">
        <f>IF(B188&lt;&gt;"",_xlfn.XLOOKUP(B188,'Cronog. e Histog.'!B:B,'Cronog. e Histog.'!EK:EK),0)</f>
        <v>0</v>
      </c>
      <c r="BO188" s="109">
        <f>($O188/Dashboard!$D$15)*(1+Dashboard!$D$19)</f>
        <v>108.47107438016528</v>
      </c>
      <c r="BP188" s="84">
        <f t="shared" si="199"/>
        <v>0</v>
      </c>
      <c r="BQ188" s="65"/>
      <c r="BR188" s="204"/>
      <c r="BS188" s="156">
        <f>IF(B188&lt;&gt;"",_xlfn.XLOOKUP(B188,'Cronog. e Histog.'!B:B,'Cronog. e Histog.'!EL:EL),0)</f>
        <v>0</v>
      </c>
      <c r="BT188" s="109">
        <f>($O188/Dashboard!$D$15)*(1+Dashboard!$D$20)</f>
        <v>126.54958677685948</v>
      </c>
      <c r="BU188" s="84">
        <f t="shared" si="200"/>
        <v>0</v>
      </c>
      <c r="BV188" s="65"/>
      <c r="BW188" s="204"/>
      <c r="BX188" s="156">
        <f>IF(B188&lt;&gt;"",_xlfn.XLOOKUP(B188,'Cronog. e Histog.'!B:B,'Cronog. e Histog.'!EM:EM),0)</f>
        <v>0</v>
      </c>
      <c r="BY188" s="109">
        <f>($O188/Dashboard!$D$15)*(1+Dashboard!$D$21)</f>
        <v>144.62809917355369</v>
      </c>
      <c r="BZ188" s="84">
        <f t="shared" si="201"/>
        <v>0</v>
      </c>
    </row>
    <row r="189" spans="2:78" ht="12" customHeight="1" outlineLevel="1">
      <c r="B189" s="137" t="str">
        <f>'Cronog. e Histog.'!B314</f>
        <v>ENG/ARQ JR. - Equipe_01</v>
      </c>
      <c r="C189" s="65"/>
      <c r="D189" s="200">
        <f t="shared" si="169"/>
        <v>0</v>
      </c>
      <c r="E189" s="200">
        <f t="shared" si="170"/>
        <v>0</v>
      </c>
      <c r="F189" s="65"/>
      <c r="G189" s="200">
        <f t="shared" si="171"/>
        <v>0</v>
      </c>
      <c r="H189" s="200">
        <f t="shared" si="172"/>
        <v>0</v>
      </c>
      <c r="I189" s="65"/>
      <c r="J189" s="143" t="str">
        <f>IF('Cronog. e Histog.'!G314&gt;0,'Cronog. e Histog.'!G314,"")</f>
        <v>ENG/ARQ JR.</v>
      </c>
      <c r="K189" s="65"/>
      <c r="L189" s="144">
        <f>'Cronog. e Histog.'!BT314</f>
        <v>0</v>
      </c>
      <c r="M189" s="144">
        <f>'Cronog. e Histog.'!BU314</f>
        <v>0</v>
      </c>
      <c r="N189" s="65"/>
      <c r="O189" s="109">
        <f>_xlfn.XLOOKUP(B189,Salários!B:B,Salários!K:K)</f>
        <v>14000</v>
      </c>
      <c r="P189" s="109">
        <f t="shared" si="187"/>
        <v>0</v>
      </c>
      <c r="Q189" s="109">
        <f t="shared" si="188"/>
        <v>0</v>
      </c>
      <c r="R189" s="65"/>
      <c r="S189" s="109">
        <f t="shared" si="189"/>
        <v>14000</v>
      </c>
      <c r="T189" s="201" t="str">
        <f>IF(_xlfn.XLOOKUP(B189,Salários!B:B,Salários!I:I)&gt;0,_xlfn.XLOOKUP(B189,Salários!B:B,Salários!I:I),"")</f>
        <v>PJ</v>
      </c>
      <c r="U189" s="117">
        <f t="shared" si="190"/>
        <v>0</v>
      </c>
      <c r="V189" s="65"/>
      <c r="W189" s="202"/>
      <c r="X189" s="65"/>
      <c r="Y189" s="69"/>
      <c r="Z189" s="65"/>
      <c r="AA189" s="518"/>
      <c r="AB189" s="65"/>
      <c r="AC189" s="81">
        <f t="shared" si="191"/>
        <v>0</v>
      </c>
      <c r="AD189" s="65"/>
      <c r="AE189" s="112"/>
      <c r="AF189" s="203">
        <v>0.3</v>
      </c>
      <c r="AG189" s="109">
        <f t="shared" si="44"/>
        <v>14000</v>
      </c>
      <c r="AH189" s="84">
        <f t="shared" si="192"/>
        <v>0</v>
      </c>
      <c r="AI189" s="65"/>
      <c r="AJ189" s="112"/>
      <c r="AK189" s="122"/>
      <c r="AL189" s="109">
        <v>1212</v>
      </c>
      <c r="AM189" s="84">
        <f t="shared" si="193"/>
        <v>0</v>
      </c>
      <c r="AN189" s="65"/>
      <c r="AO189" s="112"/>
      <c r="AP189" s="204"/>
      <c r="AQ189" s="109">
        <f>IFERROR((O189+AH189+AM189)/Dashboard!$D$15,0)*0.2</f>
        <v>14.46280991735537</v>
      </c>
      <c r="AR189" s="84">
        <f t="shared" si="194"/>
        <v>0</v>
      </c>
      <c r="AS189" s="65"/>
      <c r="AT189" s="112"/>
      <c r="AU189" s="203">
        <v>0.33</v>
      </c>
      <c r="AV189" s="109">
        <f t="shared" si="181"/>
        <v>14000</v>
      </c>
      <c r="AW189" s="84">
        <f t="shared" si="195"/>
        <v>0</v>
      </c>
      <c r="AX189" s="65"/>
      <c r="AY189" s="112"/>
      <c r="AZ189" s="203">
        <v>0.25</v>
      </c>
      <c r="BA189" s="109">
        <f t="shared" si="50"/>
        <v>14000</v>
      </c>
      <c r="BB189" s="84">
        <f t="shared" si="196"/>
        <v>0</v>
      </c>
      <c r="BC189" s="65"/>
      <c r="BD189" s="112"/>
      <c r="BE189" s="203">
        <v>0.26</v>
      </c>
      <c r="BF189" s="109">
        <f t="shared" si="184"/>
        <v>14000</v>
      </c>
      <c r="BG189" s="84">
        <f t="shared" si="197"/>
        <v>0</v>
      </c>
      <c r="BH189" s="197"/>
      <c r="BI189" s="518"/>
      <c r="BJ189" s="65"/>
      <c r="BK189" s="81">
        <f t="shared" si="198"/>
        <v>0</v>
      </c>
      <c r="BL189" s="65"/>
      <c r="BM189" s="204"/>
      <c r="BN189" s="156">
        <f>IF(B189&lt;&gt;"",_xlfn.XLOOKUP(B189,'Cronog. e Histog.'!B:B,'Cronog. e Histog.'!EK:EK),0)</f>
        <v>0</v>
      </c>
      <c r="BO189" s="109">
        <f>($O189/Dashboard!$D$15)*(1+Dashboard!$D$19)</f>
        <v>108.47107438016528</v>
      </c>
      <c r="BP189" s="84">
        <f t="shared" si="199"/>
        <v>0</v>
      </c>
      <c r="BQ189" s="65"/>
      <c r="BR189" s="204"/>
      <c r="BS189" s="156">
        <f>IF(B189&lt;&gt;"",_xlfn.XLOOKUP(B189,'Cronog. e Histog.'!B:B,'Cronog. e Histog.'!EL:EL),0)</f>
        <v>0</v>
      </c>
      <c r="BT189" s="109">
        <f>($O189/Dashboard!$D$15)*(1+Dashboard!$D$20)</f>
        <v>126.54958677685948</v>
      </c>
      <c r="BU189" s="84">
        <f t="shared" si="200"/>
        <v>0</v>
      </c>
      <c r="BV189" s="65"/>
      <c r="BW189" s="204"/>
      <c r="BX189" s="156">
        <f>IF(B189&lt;&gt;"",_xlfn.XLOOKUP(B189,'Cronog. e Histog.'!B:B,'Cronog. e Histog.'!EM:EM),0)</f>
        <v>0</v>
      </c>
      <c r="BY189" s="109">
        <f>($O189/Dashboard!$D$15)*(1+Dashboard!$D$21)</f>
        <v>144.62809917355369</v>
      </c>
      <c r="BZ189" s="84">
        <f t="shared" si="201"/>
        <v>0</v>
      </c>
    </row>
    <row r="190" spans="2:78" ht="12" customHeight="1" outlineLevel="1">
      <c r="B190" s="137" t="str">
        <f>'Cronog. e Histog.'!B315</f>
        <v>AN SR. ENG/ARQ - Equipe_01</v>
      </c>
      <c r="C190" s="65"/>
      <c r="D190" s="200">
        <f t="shared" si="169"/>
        <v>0</v>
      </c>
      <c r="E190" s="200">
        <f t="shared" si="170"/>
        <v>0</v>
      </c>
      <c r="F190" s="65"/>
      <c r="G190" s="200">
        <f t="shared" si="171"/>
        <v>0</v>
      </c>
      <c r="H190" s="200">
        <f t="shared" si="172"/>
        <v>0</v>
      </c>
      <c r="I190" s="65"/>
      <c r="J190" s="143" t="str">
        <f>IF('Cronog. e Histog.'!G315&gt;0,'Cronog. e Histog.'!G315,"")</f>
        <v>AN SR. ENG/ARQ</v>
      </c>
      <c r="K190" s="65"/>
      <c r="L190" s="144">
        <f>'Cronog. e Histog.'!BT315</f>
        <v>0</v>
      </c>
      <c r="M190" s="144">
        <f>'Cronog. e Histog.'!BU315</f>
        <v>0</v>
      </c>
      <c r="N190" s="65"/>
      <c r="O190" s="109">
        <f>_xlfn.XLOOKUP(B190,Salários!B:B,Salários!K:K)</f>
        <v>7950</v>
      </c>
      <c r="P190" s="109">
        <f t="shared" si="187"/>
        <v>0</v>
      </c>
      <c r="Q190" s="109">
        <f t="shared" si="188"/>
        <v>0</v>
      </c>
      <c r="R190" s="65"/>
      <c r="S190" s="109">
        <f t="shared" si="189"/>
        <v>7950</v>
      </c>
      <c r="T190" s="201" t="str">
        <f>IF(_xlfn.XLOOKUP(B190,Salários!B:B,Salários!I:I)&gt;0,_xlfn.XLOOKUP(B190,Salários!B:B,Salários!I:I),"")</f>
        <v>Mensalista</v>
      </c>
      <c r="U190" s="117">
        <f t="shared" si="190"/>
        <v>0</v>
      </c>
      <c r="V190" s="65"/>
      <c r="W190" s="202"/>
      <c r="X190" s="65"/>
      <c r="Y190" s="69"/>
      <c r="Z190" s="65"/>
      <c r="AA190" s="518"/>
      <c r="AB190" s="65"/>
      <c r="AC190" s="81">
        <f t="shared" si="191"/>
        <v>0</v>
      </c>
      <c r="AD190" s="65"/>
      <c r="AE190" s="112"/>
      <c r="AF190" s="203">
        <v>0.3</v>
      </c>
      <c r="AG190" s="109">
        <f t="shared" si="44"/>
        <v>7950</v>
      </c>
      <c r="AH190" s="84">
        <f t="shared" si="192"/>
        <v>0</v>
      </c>
      <c r="AI190" s="65"/>
      <c r="AJ190" s="112"/>
      <c r="AK190" s="122"/>
      <c r="AL190" s="109">
        <v>1212</v>
      </c>
      <c r="AM190" s="84">
        <f t="shared" si="193"/>
        <v>0</v>
      </c>
      <c r="AN190" s="65"/>
      <c r="AO190" s="112"/>
      <c r="AP190" s="204"/>
      <c r="AQ190" s="109">
        <f>IFERROR((O190+AH190+AM190)/Dashboard!$D$15,0)*0.2</f>
        <v>8.2128099173553704</v>
      </c>
      <c r="AR190" s="84">
        <f t="shared" si="194"/>
        <v>0</v>
      </c>
      <c r="AS190" s="65"/>
      <c r="AT190" s="112"/>
      <c r="AU190" s="203">
        <v>0.33</v>
      </c>
      <c r="AV190" s="109">
        <f t="shared" si="181"/>
        <v>7950</v>
      </c>
      <c r="AW190" s="84">
        <f t="shared" si="195"/>
        <v>0</v>
      </c>
      <c r="AX190" s="65"/>
      <c r="AY190" s="112"/>
      <c r="AZ190" s="203">
        <v>0.25</v>
      </c>
      <c r="BA190" s="109">
        <f t="shared" si="50"/>
        <v>7950</v>
      </c>
      <c r="BB190" s="84">
        <f t="shared" si="196"/>
        <v>0</v>
      </c>
      <c r="BC190" s="65"/>
      <c r="BD190" s="112"/>
      <c r="BE190" s="203">
        <v>0.26</v>
      </c>
      <c r="BF190" s="109">
        <f t="shared" si="184"/>
        <v>7950</v>
      </c>
      <c r="BG190" s="84">
        <f t="shared" si="197"/>
        <v>0</v>
      </c>
      <c r="BH190" s="197"/>
      <c r="BI190" s="518"/>
      <c r="BJ190" s="65"/>
      <c r="BK190" s="81">
        <f t="shared" si="198"/>
        <v>0</v>
      </c>
      <c r="BL190" s="65"/>
      <c r="BM190" s="204"/>
      <c r="BN190" s="156">
        <f>IF(B190&lt;&gt;"",_xlfn.XLOOKUP(B190,'Cronog. e Histog.'!B:B,'Cronog. e Histog.'!EK:EK),0)</f>
        <v>0</v>
      </c>
      <c r="BO190" s="109">
        <f>($O190/Dashboard!$D$15)*(1+Dashboard!$D$19)</f>
        <v>61.596074380165277</v>
      </c>
      <c r="BP190" s="84">
        <f t="shared" si="199"/>
        <v>0</v>
      </c>
      <c r="BQ190" s="65"/>
      <c r="BR190" s="204"/>
      <c r="BS190" s="156">
        <f>IF(B190&lt;&gt;"",_xlfn.XLOOKUP(B190,'Cronog. e Histog.'!B:B,'Cronog. e Histog.'!EL:EL),0)</f>
        <v>0</v>
      </c>
      <c r="BT190" s="109">
        <f>($O190/Dashboard!$D$15)*(1+Dashboard!$D$20)</f>
        <v>71.862086776859499</v>
      </c>
      <c r="BU190" s="84">
        <f t="shared" si="200"/>
        <v>0</v>
      </c>
      <c r="BV190" s="65"/>
      <c r="BW190" s="204"/>
      <c r="BX190" s="156">
        <f>IF(B190&lt;&gt;"",_xlfn.XLOOKUP(B190,'Cronog. e Histog.'!B:B,'Cronog. e Histog.'!EM:EM),0)</f>
        <v>0</v>
      </c>
      <c r="BY190" s="109">
        <f>($O190/Dashboard!$D$15)*(1+Dashboard!$D$21)</f>
        <v>82.128099173553707</v>
      </c>
      <c r="BZ190" s="84">
        <f t="shared" si="201"/>
        <v>0</v>
      </c>
    </row>
    <row r="191" spans="2:78" ht="12" customHeight="1" outlineLevel="1">
      <c r="B191" s="137" t="str">
        <f>'Cronog. e Histog.'!B316</f>
        <v>AN PL. ENG/ARQ - Equipe_01</v>
      </c>
      <c r="C191" s="65"/>
      <c r="D191" s="200">
        <f t="shared" si="169"/>
        <v>0</v>
      </c>
      <c r="E191" s="200">
        <f t="shared" si="170"/>
        <v>0</v>
      </c>
      <c r="F191" s="65"/>
      <c r="G191" s="200">
        <f t="shared" si="171"/>
        <v>0</v>
      </c>
      <c r="H191" s="200">
        <f t="shared" si="172"/>
        <v>0</v>
      </c>
      <c r="I191" s="65"/>
      <c r="J191" s="143" t="str">
        <f>IF('Cronog. e Histog.'!G316&gt;0,'Cronog. e Histog.'!G316,"")</f>
        <v>AN PL. ENG/ARQ</v>
      </c>
      <c r="K191" s="65"/>
      <c r="L191" s="144">
        <f>'Cronog. e Histog.'!BT316</f>
        <v>0</v>
      </c>
      <c r="M191" s="144">
        <f>'Cronog. e Histog.'!BU316</f>
        <v>0</v>
      </c>
      <c r="N191" s="65"/>
      <c r="O191" s="109">
        <f>_xlfn.XLOOKUP(B191,Salários!B:B,Salários!K:K)</f>
        <v>6360</v>
      </c>
      <c r="P191" s="109">
        <f t="shared" si="187"/>
        <v>0</v>
      </c>
      <c r="Q191" s="109">
        <f t="shared" si="188"/>
        <v>0</v>
      </c>
      <c r="R191" s="65"/>
      <c r="S191" s="109">
        <f t="shared" si="189"/>
        <v>6360</v>
      </c>
      <c r="T191" s="201" t="str">
        <f>IF(_xlfn.XLOOKUP(B191,Salários!B:B,Salários!I:I)&gt;0,_xlfn.XLOOKUP(B191,Salários!B:B,Salários!I:I),"")</f>
        <v>Mensalista</v>
      </c>
      <c r="U191" s="117">
        <f t="shared" si="190"/>
        <v>0</v>
      </c>
      <c r="V191" s="65"/>
      <c r="W191" s="202"/>
      <c r="X191" s="65"/>
      <c r="Y191" s="69"/>
      <c r="Z191" s="65"/>
      <c r="AA191" s="518"/>
      <c r="AB191" s="65"/>
      <c r="AC191" s="81">
        <f t="shared" si="191"/>
        <v>0</v>
      </c>
      <c r="AD191" s="65"/>
      <c r="AE191" s="112"/>
      <c r="AF191" s="203">
        <v>0.3</v>
      </c>
      <c r="AG191" s="109">
        <f t="shared" si="44"/>
        <v>6360</v>
      </c>
      <c r="AH191" s="84">
        <f t="shared" si="192"/>
        <v>0</v>
      </c>
      <c r="AI191" s="65"/>
      <c r="AJ191" s="112"/>
      <c r="AK191" s="122"/>
      <c r="AL191" s="109">
        <v>1212</v>
      </c>
      <c r="AM191" s="84">
        <f t="shared" si="193"/>
        <v>0</v>
      </c>
      <c r="AN191" s="65"/>
      <c r="AO191" s="112"/>
      <c r="AP191" s="204"/>
      <c r="AQ191" s="109">
        <f>IFERROR((O191+AH191+AM191)/Dashboard!$D$15,0)*0.2</f>
        <v>6.5702479338842963</v>
      </c>
      <c r="AR191" s="84">
        <f t="shared" si="194"/>
        <v>0</v>
      </c>
      <c r="AS191" s="65"/>
      <c r="AT191" s="112"/>
      <c r="AU191" s="203">
        <v>0.33</v>
      </c>
      <c r="AV191" s="109">
        <f t="shared" si="181"/>
        <v>6360</v>
      </c>
      <c r="AW191" s="84">
        <f t="shared" si="195"/>
        <v>0</v>
      </c>
      <c r="AX191" s="65"/>
      <c r="AY191" s="112"/>
      <c r="AZ191" s="203">
        <v>0.25</v>
      </c>
      <c r="BA191" s="109">
        <f t="shared" si="50"/>
        <v>6360</v>
      </c>
      <c r="BB191" s="84">
        <f t="shared" si="196"/>
        <v>0</v>
      </c>
      <c r="BC191" s="65"/>
      <c r="BD191" s="112"/>
      <c r="BE191" s="203">
        <v>0.26</v>
      </c>
      <c r="BF191" s="109">
        <f t="shared" si="184"/>
        <v>6360</v>
      </c>
      <c r="BG191" s="84">
        <f t="shared" si="197"/>
        <v>0</v>
      </c>
      <c r="BH191" s="197"/>
      <c r="BI191" s="518"/>
      <c r="BJ191" s="65"/>
      <c r="BK191" s="81">
        <f t="shared" si="198"/>
        <v>0</v>
      </c>
      <c r="BL191" s="65"/>
      <c r="BM191" s="204"/>
      <c r="BN191" s="156">
        <f>IF(B191&lt;&gt;"",_xlfn.XLOOKUP(B191,'Cronog. e Histog.'!B:B,'Cronog. e Histog.'!EK:EK),0)</f>
        <v>0</v>
      </c>
      <c r="BO191" s="109">
        <f>($O191/Dashboard!$D$15)*(1+Dashboard!$D$19)</f>
        <v>49.276859504132219</v>
      </c>
      <c r="BP191" s="84">
        <f t="shared" si="199"/>
        <v>0</v>
      </c>
      <c r="BQ191" s="65"/>
      <c r="BR191" s="204"/>
      <c r="BS191" s="156">
        <f>IF(B191&lt;&gt;"",_xlfn.XLOOKUP(B191,'Cronog. e Histog.'!B:B,'Cronog. e Histog.'!EL:EL),0)</f>
        <v>0</v>
      </c>
      <c r="BT191" s="109">
        <f>($O191/Dashboard!$D$15)*(1+Dashboard!$D$20)</f>
        <v>57.489669421487591</v>
      </c>
      <c r="BU191" s="84">
        <f t="shared" si="200"/>
        <v>0</v>
      </c>
      <c r="BV191" s="65"/>
      <c r="BW191" s="204"/>
      <c r="BX191" s="156">
        <f>IF(B191&lt;&gt;"",_xlfn.XLOOKUP(B191,'Cronog. e Histog.'!B:B,'Cronog. e Histog.'!EM:EM),0)</f>
        <v>0</v>
      </c>
      <c r="BY191" s="109">
        <f>($O191/Dashboard!$D$15)*(1+Dashboard!$D$21)</f>
        <v>65.702479338842963</v>
      </c>
      <c r="BZ191" s="84">
        <f t="shared" si="201"/>
        <v>0</v>
      </c>
    </row>
    <row r="192" spans="2:78" ht="12" customHeight="1" outlineLevel="1">
      <c r="B192" s="137" t="str">
        <f>'Cronog. e Histog.'!B317</f>
        <v>AN JR. ENG/ARQ - Equipe_01</v>
      </c>
      <c r="C192" s="65"/>
      <c r="D192" s="200">
        <f t="shared" si="169"/>
        <v>0</v>
      </c>
      <c r="E192" s="200">
        <f t="shared" si="170"/>
        <v>0</v>
      </c>
      <c r="F192" s="65"/>
      <c r="G192" s="200">
        <f t="shared" si="171"/>
        <v>0</v>
      </c>
      <c r="H192" s="200">
        <f t="shared" si="172"/>
        <v>0</v>
      </c>
      <c r="I192" s="65"/>
      <c r="J192" s="143" t="str">
        <f>IF('Cronog. e Histog.'!G317&gt;0,'Cronog. e Histog.'!G317,"")</f>
        <v>AN JR. ENG/ARQ</v>
      </c>
      <c r="K192" s="65"/>
      <c r="L192" s="144">
        <f>'Cronog. e Histog.'!BT317</f>
        <v>0</v>
      </c>
      <c r="M192" s="144">
        <f>'Cronog. e Histog.'!BU317</f>
        <v>0</v>
      </c>
      <c r="N192" s="65"/>
      <c r="O192" s="109">
        <f>_xlfn.XLOOKUP(B192,Salários!B:B,Salários!K:K)</f>
        <v>4770</v>
      </c>
      <c r="P192" s="109">
        <f t="shared" si="187"/>
        <v>0</v>
      </c>
      <c r="Q192" s="109">
        <f t="shared" si="188"/>
        <v>0</v>
      </c>
      <c r="R192" s="65"/>
      <c r="S192" s="109">
        <f t="shared" si="189"/>
        <v>4770</v>
      </c>
      <c r="T192" s="201" t="str">
        <f>IF(_xlfn.XLOOKUP(B192,Salários!B:B,Salários!I:I)&gt;0,_xlfn.XLOOKUP(B192,Salários!B:B,Salários!I:I),"")</f>
        <v>Mensalista</v>
      </c>
      <c r="U192" s="117">
        <f t="shared" si="190"/>
        <v>0</v>
      </c>
      <c r="V192" s="65"/>
      <c r="W192" s="202"/>
      <c r="X192" s="65"/>
      <c r="Y192" s="69"/>
      <c r="Z192" s="65"/>
      <c r="AA192" s="518"/>
      <c r="AB192" s="65"/>
      <c r="AC192" s="81">
        <f t="shared" si="191"/>
        <v>0</v>
      </c>
      <c r="AD192" s="65"/>
      <c r="AE192" s="112"/>
      <c r="AF192" s="203">
        <v>0.3</v>
      </c>
      <c r="AG192" s="109">
        <f t="shared" si="44"/>
        <v>4770</v>
      </c>
      <c r="AH192" s="84">
        <f t="shared" si="192"/>
        <v>0</v>
      </c>
      <c r="AI192" s="65"/>
      <c r="AJ192" s="112"/>
      <c r="AK192" s="122"/>
      <c r="AL192" s="109">
        <v>1212</v>
      </c>
      <c r="AM192" s="84">
        <f t="shared" si="193"/>
        <v>0</v>
      </c>
      <c r="AN192" s="65"/>
      <c r="AO192" s="112"/>
      <c r="AP192" s="204"/>
      <c r="AQ192" s="109">
        <f>IFERROR((O192+AH192+AM192)/Dashboard!$D$15,0)*0.2</f>
        <v>4.9276859504132231</v>
      </c>
      <c r="AR192" s="84">
        <f t="shared" si="194"/>
        <v>0</v>
      </c>
      <c r="AS192" s="65"/>
      <c r="AT192" s="112"/>
      <c r="AU192" s="203">
        <v>0.33</v>
      </c>
      <c r="AV192" s="109">
        <f t="shared" si="181"/>
        <v>4770</v>
      </c>
      <c r="AW192" s="84">
        <f t="shared" si="195"/>
        <v>0</v>
      </c>
      <c r="AX192" s="65"/>
      <c r="AY192" s="112"/>
      <c r="AZ192" s="203">
        <v>0.25</v>
      </c>
      <c r="BA192" s="109">
        <f t="shared" si="50"/>
        <v>4770</v>
      </c>
      <c r="BB192" s="84">
        <f t="shared" si="196"/>
        <v>0</v>
      </c>
      <c r="BC192" s="65"/>
      <c r="BD192" s="112"/>
      <c r="BE192" s="203">
        <v>0.26</v>
      </c>
      <c r="BF192" s="109">
        <f t="shared" si="184"/>
        <v>4770</v>
      </c>
      <c r="BG192" s="84">
        <f t="shared" si="197"/>
        <v>0</v>
      </c>
      <c r="BH192" s="197"/>
      <c r="BI192" s="518"/>
      <c r="BJ192" s="65"/>
      <c r="BK192" s="81">
        <f t="shared" si="198"/>
        <v>0</v>
      </c>
      <c r="BL192" s="65"/>
      <c r="BM192" s="204"/>
      <c r="BN192" s="156">
        <f>IF(B192&lt;&gt;"",_xlfn.XLOOKUP(B192,'Cronog. e Histog.'!B:B,'Cronog. e Histog.'!EK:EK),0)</f>
        <v>0</v>
      </c>
      <c r="BO192" s="109">
        <f>($O192/Dashboard!$D$15)*(1+Dashboard!$D$19)</f>
        <v>36.957644628099168</v>
      </c>
      <c r="BP192" s="84">
        <f t="shared" si="199"/>
        <v>0</v>
      </c>
      <c r="BQ192" s="65"/>
      <c r="BR192" s="204"/>
      <c r="BS192" s="156">
        <f>IF(B192&lt;&gt;"",_xlfn.XLOOKUP(B192,'Cronog. e Histog.'!B:B,'Cronog. e Histog.'!EL:EL),0)</f>
        <v>0</v>
      </c>
      <c r="BT192" s="109">
        <f>($O192/Dashboard!$D$15)*(1+Dashboard!$D$20)</f>
        <v>43.117252066115697</v>
      </c>
      <c r="BU192" s="84">
        <f t="shared" si="200"/>
        <v>0</v>
      </c>
      <c r="BV192" s="65"/>
      <c r="BW192" s="204"/>
      <c r="BX192" s="156">
        <f>IF(B192&lt;&gt;"",_xlfn.XLOOKUP(B192,'Cronog. e Histog.'!B:B,'Cronog. e Histog.'!EM:EM),0)</f>
        <v>0</v>
      </c>
      <c r="BY192" s="109">
        <f>($O192/Dashboard!$D$15)*(1+Dashboard!$D$21)</f>
        <v>49.276859504132226</v>
      </c>
      <c r="BZ192" s="84">
        <f t="shared" si="201"/>
        <v>0</v>
      </c>
    </row>
    <row r="193" spans="2:78" ht="12" customHeight="1" outlineLevel="1">
      <c r="B193" s="137" t="str">
        <f>'Cronog. e Histog.'!B318</f>
        <v>AN SR. ADM/CRP - Equipe_01</v>
      </c>
      <c r="C193" s="65"/>
      <c r="D193" s="200">
        <f t="shared" si="169"/>
        <v>0</v>
      </c>
      <c r="E193" s="200">
        <f t="shared" si="170"/>
        <v>0</v>
      </c>
      <c r="F193" s="65"/>
      <c r="G193" s="200">
        <f t="shared" si="171"/>
        <v>0</v>
      </c>
      <c r="H193" s="200">
        <f t="shared" si="172"/>
        <v>0</v>
      </c>
      <c r="I193" s="65"/>
      <c r="J193" s="143" t="str">
        <f>IF('Cronog. e Histog.'!G318&gt;0,'Cronog. e Histog.'!G318,"")</f>
        <v>AN SR. ADM/CRP</v>
      </c>
      <c r="K193" s="65"/>
      <c r="L193" s="144">
        <f>'Cronog. e Histog.'!BT318</f>
        <v>0</v>
      </c>
      <c r="M193" s="144">
        <f>'Cronog. e Histog.'!BU318</f>
        <v>0</v>
      </c>
      <c r="N193" s="65"/>
      <c r="O193" s="109">
        <f>_xlfn.XLOOKUP(B193,Salários!B:B,Salários!K:K)</f>
        <v>7420</v>
      </c>
      <c r="P193" s="109">
        <f t="shared" si="187"/>
        <v>0</v>
      </c>
      <c r="Q193" s="109">
        <f t="shared" si="188"/>
        <v>0</v>
      </c>
      <c r="R193" s="65"/>
      <c r="S193" s="109">
        <f t="shared" si="189"/>
        <v>7420</v>
      </c>
      <c r="T193" s="201" t="str">
        <f>IF(_xlfn.XLOOKUP(B193,Salários!B:B,Salários!I:I)&gt;0,_xlfn.XLOOKUP(B193,Salários!B:B,Salários!I:I),"")</f>
        <v>Mensalista</v>
      </c>
      <c r="U193" s="117">
        <f t="shared" si="190"/>
        <v>0</v>
      </c>
      <c r="V193" s="65"/>
      <c r="W193" s="202"/>
      <c r="X193" s="65"/>
      <c r="Y193" s="69"/>
      <c r="Z193" s="65"/>
      <c r="AA193" s="518"/>
      <c r="AB193" s="65"/>
      <c r="AC193" s="81">
        <f t="shared" si="191"/>
        <v>0</v>
      </c>
      <c r="AD193" s="65"/>
      <c r="AE193" s="112"/>
      <c r="AF193" s="203">
        <v>0.3</v>
      </c>
      <c r="AG193" s="109">
        <f t="shared" si="44"/>
        <v>7420</v>
      </c>
      <c r="AH193" s="84">
        <f t="shared" si="192"/>
        <v>0</v>
      </c>
      <c r="AI193" s="65"/>
      <c r="AJ193" s="112"/>
      <c r="AK193" s="122"/>
      <c r="AL193" s="109">
        <v>1212</v>
      </c>
      <c r="AM193" s="84">
        <f t="shared" si="193"/>
        <v>0</v>
      </c>
      <c r="AN193" s="65"/>
      <c r="AO193" s="112"/>
      <c r="AP193" s="204"/>
      <c r="AQ193" s="109">
        <f>IFERROR((O193+AH193+AM193)/Dashboard!$D$15,0)*0.2</f>
        <v>7.6652892561983466</v>
      </c>
      <c r="AR193" s="84">
        <f t="shared" si="194"/>
        <v>0</v>
      </c>
      <c r="AS193" s="65"/>
      <c r="AT193" s="112"/>
      <c r="AU193" s="203">
        <v>0.33</v>
      </c>
      <c r="AV193" s="109">
        <f t="shared" si="181"/>
        <v>7420</v>
      </c>
      <c r="AW193" s="84">
        <f t="shared" si="195"/>
        <v>0</v>
      </c>
      <c r="AX193" s="65"/>
      <c r="AY193" s="112"/>
      <c r="AZ193" s="203">
        <v>0.25</v>
      </c>
      <c r="BA193" s="109">
        <f t="shared" si="50"/>
        <v>7420</v>
      </c>
      <c r="BB193" s="84">
        <f t="shared" si="196"/>
        <v>0</v>
      </c>
      <c r="BC193" s="65"/>
      <c r="BD193" s="112"/>
      <c r="BE193" s="203">
        <v>0.26</v>
      </c>
      <c r="BF193" s="109">
        <f t="shared" si="184"/>
        <v>7420</v>
      </c>
      <c r="BG193" s="84">
        <f t="shared" si="197"/>
        <v>0</v>
      </c>
      <c r="BH193" s="197"/>
      <c r="BI193" s="518"/>
      <c r="BJ193" s="65"/>
      <c r="BK193" s="81">
        <f t="shared" si="198"/>
        <v>0</v>
      </c>
      <c r="BL193" s="65"/>
      <c r="BM193" s="204"/>
      <c r="BN193" s="156">
        <f>IF(B193&lt;&gt;"",_xlfn.XLOOKUP(B193,'Cronog. e Histog.'!B:B,'Cronog. e Histog.'!EK:EK),0)</f>
        <v>0</v>
      </c>
      <c r="BO193" s="109">
        <f>($O193/Dashboard!$D$15)*(1+Dashboard!$D$19)</f>
        <v>57.489669421487598</v>
      </c>
      <c r="BP193" s="84">
        <f t="shared" si="199"/>
        <v>0</v>
      </c>
      <c r="BQ193" s="65"/>
      <c r="BR193" s="204"/>
      <c r="BS193" s="156">
        <f>IF(B193&lt;&gt;"",_xlfn.XLOOKUP(B193,'Cronog. e Histog.'!B:B,'Cronog. e Histog.'!EL:EL),0)</f>
        <v>0</v>
      </c>
      <c r="BT193" s="109">
        <f>($O193/Dashboard!$D$15)*(1+Dashboard!$D$20)</f>
        <v>67.071280991735534</v>
      </c>
      <c r="BU193" s="84">
        <f t="shared" si="200"/>
        <v>0</v>
      </c>
      <c r="BV193" s="65"/>
      <c r="BW193" s="204"/>
      <c r="BX193" s="156">
        <f>IF(B193&lt;&gt;"",_xlfn.XLOOKUP(B193,'Cronog. e Histog.'!B:B,'Cronog. e Histog.'!EM:EM),0)</f>
        <v>0</v>
      </c>
      <c r="BY193" s="109">
        <f>($O193/Dashboard!$D$15)*(1+Dashboard!$D$21)</f>
        <v>76.652892561983464</v>
      </c>
      <c r="BZ193" s="84">
        <f t="shared" si="201"/>
        <v>0</v>
      </c>
    </row>
    <row r="194" spans="2:78" ht="12" customHeight="1" outlineLevel="1">
      <c r="B194" s="137" t="str">
        <f>'Cronog. e Histog.'!B319</f>
        <v>AN PL. ADM/CRP - Equipe_01</v>
      </c>
      <c r="C194" s="65"/>
      <c r="D194" s="200">
        <f t="shared" si="169"/>
        <v>0</v>
      </c>
      <c r="E194" s="200">
        <f t="shared" si="170"/>
        <v>0</v>
      </c>
      <c r="F194" s="65"/>
      <c r="G194" s="200">
        <f t="shared" si="171"/>
        <v>0</v>
      </c>
      <c r="H194" s="200">
        <f t="shared" si="172"/>
        <v>0</v>
      </c>
      <c r="I194" s="65"/>
      <c r="J194" s="143" t="str">
        <f>IF('Cronog. e Histog.'!G319&gt;0,'Cronog. e Histog.'!G319,"")</f>
        <v>AN PL. ADM/CRP</v>
      </c>
      <c r="K194" s="65"/>
      <c r="L194" s="144">
        <f>'Cronog. e Histog.'!BT319</f>
        <v>0</v>
      </c>
      <c r="M194" s="144">
        <f>'Cronog. e Histog.'!BU319</f>
        <v>0</v>
      </c>
      <c r="N194" s="65"/>
      <c r="O194" s="109">
        <f>_xlfn.XLOOKUP(B194,Salários!B:B,Salários!K:K)</f>
        <v>5300</v>
      </c>
      <c r="P194" s="109">
        <f t="shared" si="187"/>
        <v>0</v>
      </c>
      <c r="Q194" s="109">
        <f t="shared" si="188"/>
        <v>0</v>
      </c>
      <c r="R194" s="65"/>
      <c r="S194" s="109">
        <f t="shared" si="189"/>
        <v>5300</v>
      </c>
      <c r="T194" s="201" t="str">
        <f>IF(_xlfn.XLOOKUP(B194,Salários!B:B,Salários!I:I)&gt;0,_xlfn.XLOOKUP(B194,Salários!B:B,Salários!I:I),"")</f>
        <v>Mensalista</v>
      </c>
      <c r="U194" s="117">
        <f t="shared" si="190"/>
        <v>0</v>
      </c>
      <c r="V194" s="65"/>
      <c r="W194" s="202"/>
      <c r="X194" s="65"/>
      <c r="Y194" s="69"/>
      <c r="Z194" s="65"/>
      <c r="AA194" s="518"/>
      <c r="AB194" s="65"/>
      <c r="AC194" s="81">
        <f t="shared" si="191"/>
        <v>0</v>
      </c>
      <c r="AD194" s="65"/>
      <c r="AE194" s="112"/>
      <c r="AF194" s="203">
        <v>0.3</v>
      </c>
      <c r="AG194" s="109">
        <f t="shared" si="44"/>
        <v>5300</v>
      </c>
      <c r="AH194" s="84">
        <f t="shared" si="192"/>
        <v>0</v>
      </c>
      <c r="AI194" s="65"/>
      <c r="AJ194" s="112"/>
      <c r="AK194" s="122"/>
      <c r="AL194" s="109">
        <v>1212</v>
      </c>
      <c r="AM194" s="84">
        <f t="shared" si="193"/>
        <v>0</v>
      </c>
      <c r="AN194" s="65"/>
      <c r="AO194" s="112"/>
      <c r="AP194" s="204"/>
      <c r="AQ194" s="109">
        <f>IFERROR((O194+AH194+AM194)/Dashboard!$D$15,0)*0.2</f>
        <v>5.4752066115702478</v>
      </c>
      <c r="AR194" s="84">
        <f t="shared" si="194"/>
        <v>0</v>
      </c>
      <c r="AS194" s="65"/>
      <c r="AT194" s="112"/>
      <c r="AU194" s="203">
        <v>0.33</v>
      </c>
      <c r="AV194" s="109">
        <f t="shared" si="181"/>
        <v>5300</v>
      </c>
      <c r="AW194" s="84">
        <f t="shared" si="195"/>
        <v>0</v>
      </c>
      <c r="AX194" s="65"/>
      <c r="AY194" s="112"/>
      <c r="AZ194" s="203">
        <v>0.25</v>
      </c>
      <c r="BA194" s="109">
        <f t="shared" si="50"/>
        <v>5300</v>
      </c>
      <c r="BB194" s="84">
        <f t="shared" si="196"/>
        <v>0</v>
      </c>
      <c r="BC194" s="65"/>
      <c r="BD194" s="112"/>
      <c r="BE194" s="203">
        <v>0.26</v>
      </c>
      <c r="BF194" s="109">
        <f t="shared" si="184"/>
        <v>5300</v>
      </c>
      <c r="BG194" s="84">
        <f t="shared" si="197"/>
        <v>0</v>
      </c>
      <c r="BH194" s="197"/>
      <c r="BI194" s="518"/>
      <c r="BJ194" s="65"/>
      <c r="BK194" s="81">
        <f t="shared" si="198"/>
        <v>0</v>
      </c>
      <c r="BL194" s="65"/>
      <c r="BM194" s="204"/>
      <c r="BN194" s="156">
        <f>IF(B194&lt;&gt;"",_xlfn.XLOOKUP(B194,'Cronog. e Histog.'!B:B,'Cronog. e Histog.'!EK:EK),0)</f>
        <v>0</v>
      </c>
      <c r="BO194" s="109">
        <f>($O194/Dashboard!$D$15)*(1+Dashboard!$D$19)</f>
        <v>41.064049586776861</v>
      </c>
      <c r="BP194" s="84">
        <f t="shared" si="199"/>
        <v>0</v>
      </c>
      <c r="BQ194" s="65"/>
      <c r="BR194" s="204"/>
      <c r="BS194" s="156">
        <f>IF(B194&lt;&gt;"",_xlfn.XLOOKUP(B194,'Cronog. e Histog.'!B:B,'Cronog. e Histog.'!EL:EL),0)</f>
        <v>0</v>
      </c>
      <c r="BT194" s="109">
        <f>($O194/Dashboard!$D$15)*(1+Dashboard!$D$20)</f>
        <v>47.908057851239668</v>
      </c>
      <c r="BU194" s="84">
        <f t="shared" si="200"/>
        <v>0</v>
      </c>
      <c r="BV194" s="65"/>
      <c r="BW194" s="204"/>
      <c r="BX194" s="156">
        <f>IF(B194&lt;&gt;"",_xlfn.XLOOKUP(B194,'Cronog. e Histog.'!B:B,'Cronog. e Histog.'!EM:EM),0)</f>
        <v>0</v>
      </c>
      <c r="BY194" s="109">
        <f>($O194/Dashboard!$D$15)*(1+Dashboard!$D$21)</f>
        <v>54.752066115702476</v>
      </c>
      <c r="BZ194" s="84">
        <f t="shared" si="201"/>
        <v>0</v>
      </c>
    </row>
    <row r="195" spans="2:78" ht="12" customHeight="1" outlineLevel="1">
      <c r="B195" s="137" t="str">
        <f>'Cronog. e Histog.'!B320</f>
        <v>AN JR. ADM/CRP - Equipe_01</v>
      </c>
      <c r="C195" s="65"/>
      <c r="D195" s="200">
        <f t="shared" si="169"/>
        <v>0</v>
      </c>
      <c r="E195" s="200">
        <f t="shared" si="170"/>
        <v>0</v>
      </c>
      <c r="F195" s="65"/>
      <c r="G195" s="200">
        <f t="shared" si="171"/>
        <v>0</v>
      </c>
      <c r="H195" s="200">
        <f t="shared" si="172"/>
        <v>0</v>
      </c>
      <c r="I195" s="65"/>
      <c r="J195" s="143" t="str">
        <f>IF('Cronog. e Histog.'!G320&gt;0,'Cronog. e Histog.'!G320,"")</f>
        <v>AN JR. ADM/CRP</v>
      </c>
      <c r="K195" s="65"/>
      <c r="L195" s="144">
        <f>'Cronog. e Histog.'!BT320</f>
        <v>0</v>
      </c>
      <c r="M195" s="144">
        <f>'Cronog. e Histog.'!BU320</f>
        <v>0</v>
      </c>
      <c r="N195" s="65"/>
      <c r="O195" s="109">
        <f>_xlfn.XLOOKUP(B195,Salários!B:B,Salários!K:K)</f>
        <v>3710</v>
      </c>
      <c r="P195" s="109">
        <f t="shared" si="187"/>
        <v>0</v>
      </c>
      <c r="Q195" s="109">
        <f t="shared" si="188"/>
        <v>0</v>
      </c>
      <c r="R195" s="65"/>
      <c r="S195" s="109">
        <f t="shared" si="189"/>
        <v>3710</v>
      </c>
      <c r="T195" s="201" t="str">
        <f>IF(_xlfn.XLOOKUP(B195,Salários!B:B,Salários!I:I)&gt;0,_xlfn.XLOOKUP(B195,Salários!B:B,Salários!I:I),"")</f>
        <v>Mensalista</v>
      </c>
      <c r="U195" s="117">
        <f t="shared" si="190"/>
        <v>0</v>
      </c>
      <c r="V195" s="65"/>
      <c r="W195" s="202"/>
      <c r="X195" s="65"/>
      <c r="Y195" s="69"/>
      <c r="Z195" s="65"/>
      <c r="AA195" s="518"/>
      <c r="AB195" s="65"/>
      <c r="AC195" s="81">
        <f t="shared" si="177"/>
        <v>0</v>
      </c>
      <c r="AD195" s="65"/>
      <c r="AE195" s="112"/>
      <c r="AF195" s="203">
        <v>0.3</v>
      </c>
      <c r="AG195" s="109">
        <f t="shared" si="44"/>
        <v>3710</v>
      </c>
      <c r="AH195" s="84">
        <f t="shared" si="178"/>
        <v>0</v>
      </c>
      <c r="AI195" s="65"/>
      <c r="AJ195" s="112"/>
      <c r="AK195" s="122"/>
      <c r="AL195" s="109">
        <v>1212</v>
      </c>
      <c r="AM195" s="84">
        <f t="shared" si="179"/>
        <v>0</v>
      </c>
      <c r="AN195" s="65"/>
      <c r="AO195" s="112"/>
      <c r="AP195" s="204"/>
      <c r="AQ195" s="109">
        <f>IFERROR((O195+AH195+AM195)/Dashboard!$D$15,0)*0.2</f>
        <v>3.8326446280991733</v>
      </c>
      <c r="AR195" s="84">
        <f t="shared" si="180"/>
        <v>0</v>
      </c>
      <c r="AS195" s="65"/>
      <c r="AT195" s="112"/>
      <c r="AU195" s="203">
        <v>0.33</v>
      </c>
      <c r="AV195" s="109">
        <f t="shared" si="181"/>
        <v>3710</v>
      </c>
      <c r="AW195" s="84">
        <f t="shared" si="182"/>
        <v>0</v>
      </c>
      <c r="AX195" s="65"/>
      <c r="AY195" s="112"/>
      <c r="AZ195" s="203">
        <v>0.25</v>
      </c>
      <c r="BA195" s="109">
        <f t="shared" si="50"/>
        <v>3710</v>
      </c>
      <c r="BB195" s="84">
        <f t="shared" si="183"/>
        <v>0</v>
      </c>
      <c r="BC195" s="65"/>
      <c r="BD195" s="112"/>
      <c r="BE195" s="203">
        <v>0.26</v>
      </c>
      <c r="BF195" s="109">
        <f t="shared" si="184"/>
        <v>3710</v>
      </c>
      <c r="BG195" s="84">
        <f t="shared" si="185"/>
        <v>0</v>
      </c>
      <c r="BH195" s="197"/>
      <c r="BI195" s="518"/>
      <c r="BJ195" s="65"/>
      <c r="BK195" s="81">
        <f t="shared" si="186"/>
        <v>0</v>
      </c>
      <c r="BL195" s="65"/>
      <c r="BM195" s="204"/>
      <c r="BN195" s="156">
        <f>IF(B195&lt;&gt;"",_xlfn.XLOOKUP(B195,'Cronog. e Histog.'!B:B,'Cronog. e Histog.'!EK:EK),0)</f>
        <v>0</v>
      </c>
      <c r="BO195" s="109">
        <f>($O195/Dashboard!$D$15)*(1+Dashboard!$D$19)</f>
        <v>28.744834710743799</v>
      </c>
      <c r="BP195" s="84">
        <f t="shared" si="199"/>
        <v>0</v>
      </c>
      <c r="BQ195" s="65"/>
      <c r="BR195" s="204"/>
      <c r="BS195" s="156">
        <f>IF(B195&lt;&gt;"",_xlfn.XLOOKUP(B195,'Cronog. e Histog.'!B:B,'Cronog. e Histog.'!EL:EL),0)</f>
        <v>0</v>
      </c>
      <c r="BT195" s="109">
        <f>($O195/Dashboard!$D$15)*(1+Dashboard!$D$20)</f>
        <v>33.535640495867767</v>
      </c>
      <c r="BU195" s="84">
        <f t="shared" si="200"/>
        <v>0</v>
      </c>
      <c r="BV195" s="65"/>
      <c r="BW195" s="204"/>
      <c r="BX195" s="156">
        <f>IF(B195&lt;&gt;"",_xlfn.XLOOKUP(B195,'Cronog. e Histog.'!B:B,'Cronog. e Histog.'!EM:EM),0)</f>
        <v>0</v>
      </c>
      <c r="BY195" s="109">
        <f>($O195/Dashboard!$D$15)*(1+Dashboard!$D$21)</f>
        <v>38.326446280991732</v>
      </c>
      <c r="BZ195" s="84">
        <f t="shared" si="201"/>
        <v>0</v>
      </c>
    </row>
    <row r="196" spans="2:78" ht="12" customHeight="1" outlineLevel="1">
      <c r="B196" s="137" t="str">
        <f>'Cronog. e Histog.'!B321</f>
        <v>TEC III - Equipe_01</v>
      </c>
      <c r="C196" s="65"/>
      <c r="D196" s="200">
        <f t="shared" si="169"/>
        <v>0</v>
      </c>
      <c r="E196" s="200">
        <f t="shared" si="170"/>
        <v>0</v>
      </c>
      <c r="F196" s="65"/>
      <c r="G196" s="200">
        <f t="shared" si="171"/>
        <v>0</v>
      </c>
      <c r="H196" s="200">
        <f t="shared" si="172"/>
        <v>0</v>
      </c>
      <c r="I196" s="65"/>
      <c r="J196" s="143" t="str">
        <f>IF('Cronog. e Histog.'!G321&gt;0,'Cronog. e Histog.'!G321,"")</f>
        <v>TEC III</v>
      </c>
      <c r="K196" s="65"/>
      <c r="L196" s="144">
        <f>'Cronog. e Histog.'!BT321</f>
        <v>0</v>
      </c>
      <c r="M196" s="144">
        <f>'Cronog. e Histog.'!BU321</f>
        <v>0</v>
      </c>
      <c r="N196" s="65"/>
      <c r="O196" s="109">
        <f>_xlfn.XLOOKUP(B196,Salários!B:B,Salários!K:K)</f>
        <v>6360</v>
      </c>
      <c r="P196" s="109">
        <f t="shared" si="187"/>
        <v>0</v>
      </c>
      <c r="Q196" s="109">
        <f t="shared" si="188"/>
        <v>0</v>
      </c>
      <c r="R196" s="65"/>
      <c r="S196" s="109">
        <f t="shared" si="189"/>
        <v>6360</v>
      </c>
      <c r="T196" s="201" t="str">
        <f>IF(_xlfn.XLOOKUP(B196,Salários!B:B,Salários!I:I)&gt;0,_xlfn.XLOOKUP(B196,Salários!B:B,Salários!I:I),"")</f>
        <v>Mensalista</v>
      </c>
      <c r="U196" s="117">
        <f t="shared" si="190"/>
        <v>0</v>
      </c>
      <c r="V196" s="65"/>
      <c r="W196" s="202"/>
      <c r="X196" s="65"/>
      <c r="Y196" s="69"/>
      <c r="Z196" s="65"/>
      <c r="AA196" s="518"/>
      <c r="AB196" s="65"/>
      <c r="AC196" s="81">
        <f t="shared" si="177"/>
        <v>0</v>
      </c>
      <c r="AD196" s="65"/>
      <c r="AE196" s="112"/>
      <c r="AF196" s="203">
        <v>0.3</v>
      </c>
      <c r="AG196" s="109">
        <f t="shared" si="44"/>
        <v>6360</v>
      </c>
      <c r="AH196" s="84">
        <f t="shared" si="178"/>
        <v>0</v>
      </c>
      <c r="AI196" s="65"/>
      <c r="AJ196" s="112"/>
      <c r="AK196" s="122"/>
      <c r="AL196" s="109">
        <v>1212</v>
      </c>
      <c r="AM196" s="84">
        <f t="shared" si="179"/>
        <v>0</v>
      </c>
      <c r="AN196" s="65"/>
      <c r="AO196" s="112"/>
      <c r="AP196" s="204"/>
      <c r="AQ196" s="109">
        <f>IFERROR((O196+AH196+AM196)/Dashboard!$D$15,0)*0.2</f>
        <v>6.5702479338842963</v>
      </c>
      <c r="AR196" s="84">
        <f t="shared" si="180"/>
        <v>0</v>
      </c>
      <c r="AS196" s="65"/>
      <c r="AT196" s="112"/>
      <c r="AU196" s="203">
        <v>0.33</v>
      </c>
      <c r="AV196" s="109">
        <f t="shared" si="181"/>
        <v>6360</v>
      </c>
      <c r="AW196" s="84">
        <f t="shared" si="182"/>
        <v>0</v>
      </c>
      <c r="AX196" s="65"/>
      <c r="AY196" s="112"/>
      <c r="AZ196" s="203">
        <v>0.25</v>
      </c>
      <c r="BA196" s="109">
        <f t="shared" si="50"/>
        <v>6360</v>
      </c>
      <c r="BB196" s="84">
        <f t="shared" si="183"/>
        <v>0</v>
      </c>
      <c r="BC196" s="65"/>
      <c r="BD196" s="112"/>
      <c r="BE196" s="203">
        <v>0.26</v>
      </c>
      <c r="BF196" s="109">
        <f t="shared" si="184"/>
        <v>6360</v>
      </c>
      <c r="BG196" s="84">
        <f t="shared" si="185"/>
        <v>0</v>
      </c>
      <c r="BH196" s="197"/>
      <c r="BI196" s="518"/>
      <c r="BJ196" s="65"/>
      <c r="BK196" s="81">
        <f t="shared" si="186"/>
        <v>0</v>
      </c>
      <c r="BL196" s="65"/>
      <c r="BM196" s="204"/>
      <c r="BN196" s="156">
        <f>IF(B196&lt;&gt;"",_xlfn.XLOOKUP(B196,'Cronog. e Histog.'!B:B,'Cronog. e Histog.'!EK:EK),0)</f>
        <v>0</v>
      </c>
      <c r="BO196" s="109">
        <f>($O196/Dashboard!$D$15)*(1+Dashboard!$D$19)</f>
        <v>49.276859504132219</v>
      </c>
      <c r="BP196" s="84">
        <f t="shared" si="199"/>
        <v>0</v>
      </c>
      <c r="BQ196" s="65"/>
      <c r="BR196" s="204"/>
      <c r="BS196" s="156">
        <f>IF(B196&lt;&gt;"",_xlfn.XLOOKUP(B196,'Cronog. e Histog.'!B:B,'Cronog. e Histog.'!EL:EL),0)</f>
        <v>0</v>
      </c>
      <c r="BT196" s="109">
        <f>($O196/Dashboard!$D$15)*(1+Dashboard!$D$20)</f>
        <v>57.489669421487591</v>
      </c>
      <c r="BU196" s="84">
        <f t="shared" si="200"/>
        <v>0</v>
      </c>
      <c r="BV196" s="65"/>
      <c r="BW196" s="204"/>
      <c r="BX196" s="156">
        <f>IF(B196&lt;&gt;"",_xlfn.XLOOKUP(B196,'Cronog. e Histog.'!B:B,'Cronog. e Histog.'!EM:EM),0)</f>
        <v>0</v>
      </c>
      <c r="BY196" s="109">
        <f>($O196/Dashboard!$D$15)*(1+Dashboard!$D$21)</f>
        <v>65.702479338842963</v>
      </c>
      <c r="BZ196" s="84">
        <f t="shared" si="201"/>
        <v>0</v>
      </c>
    </row>
    <row r="197" spans="2:78" ht="12" customHeight="1" outlineLevel="1">
      <c r="B197" s="137" t="str">
        <f>'Cronog. e Histog.'!B322</f>
        <v>TEC II - Equipe_01</v>
      </c>
      <c r="C197" s="65"/>
      <c r="D197" s="200">
        <f t="shared" si="169"/>
        <v>0</v>
      </c>
      <c r="E197" s="200">
        <f t="shared" si="170"/>
        <v>0</v>
      </c>
      <c r="F197" s="65"/>
      <c r="G197" s="200">
        <f t="shared" si="171"/>
        <v>0</v>
      </c>
      <c r="H197" s="200">
        <f t="shared" si="172"/>
        <v>0</v>
      </c>
      <c r="I197" s="65"/>
      <c r="J197" s="143" t="str">
        <f>IF('Cronog. e Histog.'!G322&gt;0,'Cronog. e Histog.'!G322,"")</f>
        <v>TEC II</v>
      </c>
      <c r="K197" s="65"/>
      <c r="L197" s="144">
        <f>'Cronog. e Histog.'!BT322</f>
        <v>0</v>
      </c>
      <c r="M197" s="144">
        <f>'Cronog. e Histog.'!BU322</f>
        <v>0</v>
      </c>
      <c r="N197" s="65"/>
      <c r="O197" s="109">
        <f>_xlfn.XLOOKUP(B197,Salários!B:B,Salários!K:K)</f>
        <v>4770</v>
      </c>
      <c r="P197" s="109">
        <f t="shared" si="187"/>
        <v>0</v>
      </c>
      <c r="Q197" s="109">
        <f t="shared" si="188"/>
        <v>0</v>
      </c>
      <c r="R197" s="65"/>
      <c r="S197" s="109">
        <f t="shared" si="189"/>
        <v>4770</v>
      </c>
      <c r="T197" s="201" t="str">
        <f>IF(_xlfn.XLOOKUP(B197,Salários!B:B,Salários!I:I)&gt;0,_xlfn.XLOOKUP(B197,Salários!B:B,Salários!I:I),"")</f>
        <v>Mensalista</v>
      </c>
      <c r="U197" s="117">
        <f t="shared" si="190"/>
        <v>0</v>
      </c>
      <c r="V197" s="65"/>
      <c r="W197" s="202"/>
      <c r="X197" s="65"/>
      <c r="Y197" s="69"/>
      <c r="Z197" s="65"/>
      <c r="AA197" s="518"/>
      <c r="AB197" s="65"/>
      <c r="AC197" s="81">
        <f t="shared" si="177"/>
        <v>0</v>
      </c>
      <c r="AD197" s="65"/>
      <c r="AE197" s="112"/>
      <c r="AF197" s="203">
        <v>0.3</v>
      </c>
      <c r="AG197" s="109">
        <f t="shared" si="44"/>
        <v>4770</v>
      </c>
      <c r="AH197" s="84">
        <f t="shared" si="178"/>
        <v>0</v>
      </c>
      <c r="AI197" s="65"/>
      <c r="AJ197" s="112"/>
      <c r="AK197" s="122"/>
      <c r="AL197" s="109">
        <v>1212</v>
      </c>
      <c r="AM197" s="84">
        <f t="shared" si="179"/>
        <v>0</v>
      </c>
      <c r="AN197" s="65"/>
      <c r="AO197" s="112"/>
      <c r="AP197" s="204"/>
      <c r="AQ197" s="109">
        <f>IFERROR((O197+AH197+AM197)/Dashboard!$D$15,0)*0.2</f>
        <v>4.9276859504132231</v>
      </c>
      <c r="AR197" s="84">
        <f t="shared" si="180"/>
        <v>0</v>
      </c>
      <c r="AS197" s="65"/>
      <c r="AT197" s="112"/>
      <c r="AU197" s="203">
        <v>0.33</v>
      </c>
      <c r="AV197" s="109">
        <f t="shared" si="181"/>
        <v>4770</v>
      </c>
      <c r="AW197" s="84">
        <f t="shared" si="182"/>
        <v>0</v>
      </c>
      <c r="AX197" s="65"/>
      <c r="AY197" s="112"/>
      <c r="AZ197" s="203">
        <v>0.25</v>
      </c>
      <c r="BA197" s="109">
        <f t="shared" si="50"/>
        <v>4770</v>
      </c>
      <c r="BB197" s="84">
        <f t="shared" si="183"/>
        <v>0</v>
      </c>
      <c r="BC197" s="65"/>
      <c r="BD197" s="112"/>
      <c r="BE197" s="203">
        <v>0.26</v>
      </c>
      <c r="BF197" s="109">
        <f t="shared" si="184"/>
        <v>4770</v>
      </c>
      <c r="BG197" s="84">
        <f t="shared" si="185"/>
        <v>0</v>
      </c>
      <c r="BH197" s="197"/>
      <c r="BI197" s="518"/>
      <c r="BJ197" s="65"/>
      <c r="BK197" s="81">
        <f t="shared" si="186"/>
        <v>0</v>
      </c>
      <c r="BL197" s="65"/>
      <c r="BM197" s="204"/>
      <c r="BN197" s="156">
        <f>IF(B197&lt;&gt;"",_xlfn.XLOOKUP(B197,'Cronog. e Histog.'!B:B,'Cronog. e Histog.'!EK:EK),0)</f>
        <v>0</v>
      </c>
      <c r="BO197" s="109">
        <f>($O197/Dashboard!$D$15)*(1+Dashboard!$D$19)</f>
        <v>36.957644628099168</v>
      </c>
      <c r="BP197" s="84">
        <f t="shared" si="199"/>
        <v>0</v>
      </c>
      <c r="BQ197" s="65"/>
      <c r="BR197" s="204"/>
      <c r="BS197" s="156">
        <f>IF(B197&lt;&gt;"",_xlfn.XLOOKUP(B197,'Cronog. e Histog.'!B:B,'Cronog. e Histog.'!EL:EL),0)</f>
        <v>0</v>
      </c>
      <c r="BT197" s="109">
        <f>($O197/Dashboard!$D$15)*(1+Dashboard!$D$20)</f>
        <v>43.117252066115697</v>
      </c>
      <c r="BU197" s="84">
        <f t="shared" si="200"/>
        <v>0</v>
      </c>
      <c r="BV197" s="65"/>
      <c r="BW197" s="204"/>
      <c r="BX197" s="156">
        <f>IF(B197&lt;&gt;"",_xlfn.XLOOKUP(B197,'Cronog. e Histog.'!B:B,'Cronog. e Histog.'!EM:EM),0)</f>
        <v>0</v>
      </c>
      <c r="BY197" s="109">
        <f>($O197/Dashboard!$D$15)*(1+Dashboard!$D$21)</f>
        <v>49.276859504132226</v>
      </c>
      <c r="BZ197" s="84">
        <f t="shared" si="201"/>
        <v>0</v>
      </c>
    </row>
    <row r="198" spans="2:78" ht="12" customHeight="1" outlineLevel="1">
      <c r="B198" s="137" t="str">
        <f>'Cronog. e Histog.'!B323</f>
        <v>TEC I - Equipe_01</v>
      </c>
      <c r="C198" s="65"/>
      <c r="D198" s="200">
        <f t="shared" si="169"/>
        <v>0</v>
      </c>
      <c r="E198" s="200">
        <f t="shared" si="170"/>
        <v>0</v>
      </c>
      <c r="F198" s="65"/>
      <c r="G198" s="200">
        <f t="shared" si="171"/>
        <v>0</v>
      </c>
      <c r="H198" s="200">
        <f t="shared" si="172"/>
        <v>0</v>
      </c>
      <c r="I198" s="65"/>
      <c r="J198" s="143" t="str">
        <f>IF('Cronog. e Histog.'!G323&gt;0,'Cronog. e Histog.'!G323,"")</f>
        <v>TEC I</v>
      </c>
      <c r="K198" s="65"/>
      <c r="L198" s="144">
        <f>'Cronog. e Histog.'!BT323</f>
        <v>0</v>
      </c>
      <c r="M198" s="144">
        <f>'Cronog. e Histog.'!BU323</f>
        <v>0</v>
      </c>
      <c r="N198" s="65"/>
      <c r="O198" s="109">
        <f>_xlfn.XLOOKUP(B198,Salários!B:B,Salários!K:K)</f>
        <v>3180</v>
      </c>
      <c r="P198" s="109">
        <f t="shared" si="187"/>
        <v>0</v>
      </c>
      <c r="Q198" s="109">
        <f t="shared" si="188"/>
        <v>0</v>
      </c>
      <c r="R198" s="65"/>
      <c r="S198" s="109">
        <f t="shared" si="189"/>
        <v>3180</v>
      </c>
      <c r="T198" s="201" t="str">
        <f>IF(_xlfn.XLOOKUP(B198,Salários!B:B,Salários!I:I)&gt;0,_xlfn.XLOOKUP(B198,Salários!B:B,Salários!I:I),"")</f>
        <v>Mensalista</v>
      </c>
      <c r="U198" s="117">
        <f t="shared" si="190"/>
        <v>0</v>
      </c>
      <c r="V198" s="65"/>
      <c r="W198" s="202"/>
      <c r="X198" s="65"/>
      <c r="Y198" s="69"/>
      <c r="Z198" s="65"/>
      <c r="AA198" s="518"/>
      <c r="AB198" s="65"/>
      <c r="AC198" s="81">
        <f t="shared" si="177"/>
        <v>0</v>
      </c>
      <c r="AD198" s="65"/>
      <c r="AE198" s="112"/>
      <c r="AF198" s="203">
        <v>0.3</v>
      </c>
      <c r="AG198" s="109">
        <f t="shared" si="44"/>
        <v>3180</v>
      </c>
      <c r="AH198" s="84">
        <f t="shared" si="178"/>
        <v>0</v>
      </c>
      <c r="AI198" s="65"/>
      <c r="AJ198" s="112"/>
      <c r="AK198" s="122"/>
      <c r="AL198" s="109">
        <v>1212</v>
      </c>
      <c r="AM198" s="84">
        <f t="shared" si="179"/>
        <v>0</v>
      </c>
      <c r="AN198" s="65"/>
      <c r="AO198" s="112"/>
      <c r="AP198" s="204"/>
      <c r="AQ198" s="109">
        <f>IFERROR((O198+AH198+AM198)/Dashboard!$D$15,0)*0.2</f>
        <v>3.2851239669421481</v>
      </c>
      <c r="AR198" s="84">
        <f t="shared" si="180"/>
        <v>0</v>
      </c>
      <c r="AS198" s="65"/>
      <c r="AT198" s="112"/>
      <c r="AU198" s="203">
        <v>0.33</v>
      </c>
      <c r="AV198" s="109">
        <f t="shared" si="181"/>
        <v>3180</v>
      </c>
      <c r="AW198" s="84">
        <f t="shared" si="182"/>
        <v>0</v>
      </c>
      <c r="AX198" s="65"/>
      <c r="AY198" s="112"/>
      <c r="AZ198" s="203">
        <v>0.25</v>
      </c>
      <c r="BA198" s="109">
        <f t="shared" si="50"/>
        <v>3180</v>
      </c>
      <c r="BB198" s="84">
        <f t="shared" si="183"/>
        <v>0</v>
      </c>
      <c r="BC198" s="65"/>
      <c r="BD198" s="112"/>
      <c r="BE198" s="203">
        <v>0.26</v>
      </c>
      <c r="BF198" s="109">
        <f t="shared" si="184"/>
        <v>3180</v>
      </c>
      <c r="BG198" s="84">
        <f t="shared" si="185"/>
        <v>0</v>
      </c>
      <c r="BH198" s="197"/>
      <c r="BI198" s="518"/>
      <c r="BJ198" s="65"/>
      <c r="BK198" s="81">
        <f t="shared" si="186"/>
        <v>0</v>
      </c>
      <c r="BL198" s="65"/>
      <c r="BM198" s="204"/>
      <c r="BN198" s="156">
        <f>IF(B198&lt;&gt;"",_xlfn.XLOOKUP(B198,'Cronog. e Histog.'!B:B,'Cronog. e Histog.'!EK:EK),0)</f>
        <v>0</v>
      </c>
      <c r="BO198" s="109">
        <f>($O198/Dashboard!$D$15)*(1+Dashboard!$D$19)</f>
        <v>24.638429752066109</v>
      </c>
      <c r="BP198" s="84">
        <f t="shared" si="199"/>
        <v>0</v>
      </c>
      <c r="BQ198" s="65"/>
      <c r="BR198" s="204"/>
      <c r="BS198" s="156">
        <f>IF(B198&lt;&gt;"",_xlfn.XLOOKUP(B198,'Cronog. e Histog.'!B:B,'Cronog. e Histog.'!EL:EL),0)</f>
        <v>0</v>
      </c>
      <c r="BT198" s="109">
        <f>($O198/Dashboard!$D$15)*(1+Dashboard!$D$20)</f>
        <v>28.744834710743795</v>
      </c>
      <c r="BU198" s="84">
        <f t="shared" si="200"/>
        <v>0</v>
      </c>
      <c r="BV198" s="65"/>
      <c r="BW198" s="204"/>
      <c r="BX198" s="156">
        <f>IF(B198&lt;&gt;"",_xlfn.XLOOKUP(B198,'Cronog. e Histog.'!B:B,'Cronog. e Histog.'!EM:EM),0)</f>
        <v>0</v>
      </c>
      <c r="BY198" s="109">
        <f>($O198/Dashboard!$D$15)*(1+Dashboard!$D$21)</f>
        <v>32.851239669421481</v>
      </c>
      <c r="BZ198" s="84">
        <f t="shared" si="201"/>
        <v>0</v>
      </c>
    </row>
    <row r="199" spans="2:78" ht="12" customHeight="1" outlineLevel="1">
      <c r="B199" s="137" t="str">
        <f>'Cronog. e Histog.'!B324</f>
        <v>AUX TEC - Equipe_01</v>
      </c>
      <c r="C199" s="65"/>
      <c r="D199" s="200">
        <f t="shared" si="169"/>
        <v>0</v>
      </c>
      <c r="E199" s="200">
        <f t="shared" si="170"/>
        <v>0</v>
      </c>
      <c r="F199" s="65"/>
      <c r="G199" s="200">
        <f t="shared" si="171"/>
        <v>0</v>
      </c>
      <c r="H199" s="200">
        <f t="shared" si="172"/>
        <v>0</v>
      </c>
      <c r="I199" s="65"/>
      <c r="J199" s="143" t="str">
        <f>IF('Cronog. e Histog.'!G324&gt;0,'Cronog. e Histog.'!G324,"")</f>
        <v>AUX TEC</v>
      </c>
      <c r="K199" s="65"/>
      <c r="L199" s="144">
        <f>'Cronog. e Histog.'!BT324</f>
        <v>0</v>
      </c>
      <c r="M199" s="144">
        <f>'Cronog. e Histog.'!BU324</f>
        <v>0</v>
      </c>
      <c r="N199" s="65"/>
      <c r="O199" s="109">
        <f>_xlfn.XLOOKUP(B199,Salários!B:B,Salários!K:K)</f>
        <v>3710</v>
      </c>
      <c r="P199" s="109">
        <f t="shared" si="187"/>
        <v>0</v>
      </c>
      <c r="Q199" s="109">
        <f t="shared" si="188"/>
        <v>0</v>
      </c>
      <c r="R199" s="65"/>
      <c r="S199" s="109">
        <f t="shared" si="189"/>
        <v>3710</v>
      </c>
      <c r="T199" s="201" t="str">
        <f>IF(_xlfn.XLOOKUP(B199,Salários!B:B,Salários!I:I)&gt;0,_xlfn.XLOOKUP(B199,Salários!B:B,Salários!I:I),"")</f>
        <v>Mensalista</v>
      </c>
      <c r="U199" s="117">
        <f t="shared" si="190"/>
        <v>0</v>
      </c>
      <c r="V199" s="65"/>
      <c r="W199" s="202"/>
      <c r="X199" s="65"/>
      <c r="Y199" s="69"/>
      <c r="Z199" s="65"/>
      <c r="AA199" s="518"/>
      <c r="AB199" s="65"/>
      <c r="AC199" s="81">
        <f t="shared" si="177"/>
        <v>0</v>
      </c>
      <c r="AD199" s="65"/>
      <c r="AE199" s="112"/>
      <c r="AF199" s="203">
        <v>0.3</v>
      </c>
      <c r="AG199" s="109">
        <f t="shared" si="44"/>
        <v>3710</v>
      </c>
      <c r="AH199" s="84">
        <f t="shared" si="178"/>
        <v>0</v>
      </c>
      <c r="AI199" s="65"/>
      <c r="AJ199" s="112"/>
      <c r="AK199" s="122"/>
      <c r="AL199" s="109">
        <v>1212</v>
      </c>
      <c r="AM199" s="84">
        <f t="shared" si="179"/>
        <v>0</v>
      </c>
      <c r="AN199" s="65"/>
      <c r="AO199" s="112"/>
      <c r="AP199" s="204"/>
      <c r="AQ199" s="109">
        <f>IFERROR((O199+AH199+AM199)/Dashboard!$D$15,0)*0.2</f>
        <v>3.8326446280991733</v>
      </c>
      <c r="AR199" s="84">
        <f t="shared" si="180"/>
        <v>0</v>
      </c>
      <c r="AS199" s="65"/>
      <c r="AT199" s="112"/>
      <c r="AU199" s="203">
        <v>0.33</v>
      </c>
      <c r="AV199" s="109">
        <f t="shared" si="181"/>
        <v>3710</v>
      </c>
      <c r="AW199" s="84">
        <f t="shared" si="182"/>
        <v>0</v>
      </c>
      <c r="AX199" s="65"/>
      <c r="AY199" s="112"/>
      <c r="AZ199" s="203">
        <v>0.25</v>
      </c>
      <c r="BA199" s="109">
        <f t="shared" si="50"/>
        <v>3710</v>
      </c>
      <c r="BB199" s="84">
        <f t="shared" si="183"/>
        <v>0</v>
      </c>
      <c r="BC199" s="65"/>
      <c r="BD199" s="112"/>
      <c r="BE199" s="203">
        <v>0.26</v>
      </c>
      <c r="BF199" s="109">
        <f t="shared" si="184"/>
        <v>3710</v>
      </c>
      <c r="BG199" s="84">
        <f t="shared" si="185"/>
        <v>0</v>
      </c>
      <c r="BH199" s="197"/>
      <c r="BI199" s="518"/>
      <c r="BJ199" s="65"/>
      <c r="BK199" s="81">
        <f t="shared" si="186"/>
        <v>0</v>
      </c>
      <c r="BL199" s="65"/>
      <c r="BM199" s="204"/>
      <c r="BN199" s="156">
        <f>IF(B199&lt;&gt;"",_xlfn.XLOOKUP(B199,'Cronog. e Histog.'!B:B,'Cronog. e Histog.'!EK:EK),0)</f>
        <v>0</v>
      </c>
      <c r="BO199" s="109">
        <f>($O199/Dashboard!$D$15)*(1+Dashboard!$D$19)</f>
        <v>28.744834710743799</v>
      </c>
      <c r="BP199" s="84">
        <f t="shared" si="199"/>
        <v>0</v>
      </c>
      <c r="BQ199" s="65"/>
      <c r="BR199" s="204"/>
      <c r="BS199" s="156">
        <f>IF(B199&lt;&gt;"",_xlfn.XLOOKUP(B199,'Cronog. e Histog.'!B:B,'Cronog. e Histog.'!EL:EL),0)</f>
        <v>0</v>
      </c>
      <c r="BT199" s="109">
        <f>($O199/Dashboard!$D$15)*(1+Dashboard!$D$20)</f>
        <v>33.535640495867767</v>
      </c>
      <c r="BU199" s="84">
        <f t="shared" si="200"/>
        <v>0</v>
      </c>
      <c r="BV199" s="65"/>
      <c r="BW199" s="204"/>
      <c r="BX199" s="156">
        <f>IF(B199&lt;&gt;"",_xlfn.XLOOKUP(B199,'Cronog. e Histog.'!B:B,'Cronog. e Histog.'!EM:EM),0)</f>
        <v>0</v>
      </c>
      <c r="BY199" s="109">
        <f>($O199/Dashboard!$D$15)*(1+Dashboard!$D$21)</f>
        <v>38.326446280991732</v>
      </c>
      <c r="BZ199" s="84">
        <f t="shared" si="201"/>
        <v>0</v>
      </c>
    </row>
    <row r="200" spans="2:78" ht="12" customHeight="1" outlineLevel="1">
      <c r="B200" s="137" t="str">
        <f>'Cronog. e Histog.'!B325</f>
        <v>AUX ADM - Equipe_01</v>
      </c>
      <c r="C200" s="65"/>
      <c r="D200" s="200">
        <f t="shared" si="169"/>
        <v>0</v>
      </c>
      <c r="E200" s="200">
        <f t="shared" si="170"/>
        <v>0</v>
      </c>
      <c r="F200" s="65"/>
      <c r="G200" s="200">
        <f t="shared" si="171"/>
        <v>0</v>
      </c>
      <c r="H200" s="200">
        <f t="shared" si="172"/>
        <v>0</v>
      </c>
      <c r="I200" s="65"/>
      <c r="J200" s="143" t="str">
        <f>IF('Cronog. e Histog.'!G325&gt;0,'Cronog. e Histog.'!G325,"")</f>
        <v>AUX ADM</v>
      </c>
      <c r="K200" s="65"/>
      <c r="L200" s="144">
        <f>'Cronog. e Histog.'!BT325</f>
        <v>0</v>
      </c>
      <c r="M200" s="144">
        <f>'Cronog. e Histog.'!BU325</f>
        <v>0</v>
      </c>
      <c r="N200" s="65"/>
      <c r="O200" s="109">
        <f>_xlfn.XLOOKUP(B200,Salários!B:B,Salários!K:K)</f>
        <v>1912.24</v>
      </c>
      <c r="P200" s="109">
        <f t="shared" si="187"/>
        <v>0</v>
      </c>
      <c r="Q200" s="109">
        <f t="shared" si="188"/>
        <v>0</v>
      </c>
      <c r="R200" s="65"/>
      <c r="S200" s="109">
        <f t="shared" si="189"/>
        <v>1912.24</v>
      </c>
      <c r="T200" s="201" t="str">
        <f>IF(_xlfn.XLOOKUP(B200,Salários!B:B,Salários!I:I)&gt;0,_xlfn.XLOOKUP(B200,Salários!B:B,Salários!I:I),"")</f>
        <v>Mensalista</v>
      </c>
      <c r="U200" s="117">
        <f t="shared" si="190"/>
        <v>0</v>
      </c>
      <c r="V200" s="65"/>
      <c r="W200" s="202"/>
      <c r="X200" s="65"/>
      <c r="Y200" s="69"/>
      <c r="Z200" s="65"/>
      <c r="AA200" s="518"/>
      <c r="AB200" s="65"/>
      <c r="AC200" s="81">
        <f t="shared" si="177"/>
        <v>0</v>
      </c>
      <c r="AD200" s="65"/>
      <c r="AE200" s="112"/>
      <c r="AF200" s="203">
        <v>0.3</v>
      </c>
      <c r="AG200" s="109">
        <f t="shared" si="44"/>
        <v>1912.24</v>
      </c>
      <c r="AH200" s="84">
        <f t="shared" si="178"/>
        <v>0</v>
      </c>
      <c r="AI200" s="65"/>
      <c r="AJ200" s="112"/>
      <c r="AK200" s="122"/>
      <c r="AL200" s="109">
        <v>1212</v>
      </c>
      <c r="AM200" s="84">
        <f t="shared" si="179"/>
        <v>0</v>
      </c>
      <c r="AN200" s="65"/>
      <c r="AO200" s="112"/>
      <c r="AP200" s="204"/>
      <c r="AQ200" s="109">
        <f>IFERROR((O200+AH200+AM200)/Dashboard!$D$15,0)*0.2</f>
        <v>1.9754545454545456</v>
      </c>
      <c r="AR200" s="84">
        <f t="shared" si="180"/>
        <v>0</v>
      </c>
      <c r="AS200" s="65"/>
      <c r="AT200" s="112"/>
      <c r="AU200" s="203">
        <v>0.33</v>
      </c>
      <c r="AV200" s="109">
        <f t="shared" si="181"/>
        <v>1912.24</v>
      </c>
      <c r="AW200" s="84">
        <f t="shared" si="182"/>
        <v>0</v>
      </c>
      <c r="AX200" s="65"/>
      <c r="AY200" s="112"/>
      <c r="AZ200" s="203">
        <v>0.25</v>
      </c>
      <c r="BA200" s="109">
        <f t="shared" si="50"/>
        <v>1912.24</v>
      </c>
      <c r="BB200" s="84">
        <f t="shared" si="183"/>
        <v>0</v>
      </c>
      <c r="BC200" s="65"/>
      <c r="BD200" s="112"/>
      <c r="BE200" s="203">
        <v>0.26</v>
      </c>
      <c r="BF200" s="109">
        <f t="shared" si="184"/>
        <v>1912.24</v>
      </c>
      <c r="BG200" s="84">
        <f t="shared" si="185"/>
        <v>0</v>
      </c>
      <c r="BH200" s="197"/>
      <c r="BI200" s="518"/>
      <c r="BJ200" s="65"/>
      <c r="BK200" s="81">
        <f t="shared" si="186"/>
        <v>0</v>
      </c>
      <c r="BL200" s="65"/>
      <c r="BM200" s="204"/>
      <c r="BN200" s="156">
        <f>IF(B200&lt;&gt;"",_xlfn.XLOOKUP(B200,'Cronog. e Histog.'!B:B,'Cronog. e Histog.'!EK:EK),0)</f>
        <v>0</v>
      </c>
      <c r="BO200" s="109">
        <f>($O200/Dashboard!$D$15)*(1+Dashboard!$D$19)</f>
        <v>14.815909090909091</v>
      </c>
      <c r="BP200" s="84">
        <f t="shared" si="199"/>
        <v>0</v>
      </c>
      <c r="BQ200" s="65"/>
      <c r="BR200" s="204"/>
      <c r="BS200" s="156">
        <f>IF(B200&lt;&gt;"",_xlfn.XLOOKUP(B200,'Cronog. e Histog.'!B:B,'Cronog. e Histog.'!EL:EL),0)</f>
        <v>0</v>
      </c>
      <c r="BT200" s="109">
        <f>($O200/Dashboard!$D$15)*(1+Dashboard!$D$20)</f>
        <v>17.285227272727273</v>
      </c>
      <c r="BU200" s="84">
        <f t="shared" si="200"/>
        <v>0</v>
      </c>
      <c r="BV200" s="65"/>
      <c r="BW200" s="204"/>
      <c r="BX200" s="156">
        <f>IF(B200&lt;&gt;"",_xlfn.XLOOKUP(B200,'Cronog. e Histog.'!B:B,'Cronog. e Histog.'!EM:EM),0)</f>
        <v>0</v>
      </c>
      <c r="BY200" s="109">
        <f>($O200/Dashboard!$D$15)*(1+Dashboard!$D$21)</f>
        <v>19.754545454545454</v>
      </c>
      <c r="BZ200" s="84">
        <f t="shared" si="201"/>
        <v>0</v>
      </c>
    </row>
    <row r="201" spans="2:78" ht="12" customHeight="1" outlineLevel="1">
      <c r="B201" s="137" t="str">
        <f>'Cronog. e Histog.'!B326</f>
        <v>EST - Equipe_01</v>
      </c>
      <c r="C201" s="65"/>
      <c r="D201" s="200">
        <f t="shared" si="169"/>
        <v>0</v>
      </c>
      <c r="E201" s="200">
        <f t="shared" si="170"/>
        <v>0</v>
      </c>
      <c r="F201" s="65"/>
      <c r="G201" s="200">
        <f t="shared" si="171"/>
        <v>0</v>
      </c>
      <c r="H201" s="200">
        <f t="shared" si="172"/>
        <v>0</v>
      </c>
      <c r="I201" s="65"/>
      <c r="J201" s="143" t="str">
        <f>IF('Cronog. e Histog.'!G326&gt;0,'Cronog. e Histog.'!G326,"")</f>
        <v>EST</v>
      </c>
      <c r="K201" s="65"/>
      <c r="L201" s="144">
        <f>'Cronog. e Histog.'!BT326</f>
        <v>0</v>
      </c>
      <c r="M201" s="144">
        <f>'Cronog. e Histog.'!BU326</f>
        <v>0</v>
      </c>
      <c r="N201" s="65"/>
      <c r="O201" s="109">
        <f>_xlfn.XLOOKUP(B201,Salários!B:B,Salários!K:K)</f>
        <v>1633</v>
      </c>
      <c r="P201" s="109">
        <f t="shared" si="187"/>
        <v>0</v>
      </c>
      <c r="Q201" s="109">
        <f t="shared" si="188"/>
        <v>0</v>
      </c>
      <c r="R201" s="65"/>
      <c r="S201" s="109">
        <f t="shared" si="189"/>
        <v>1633</v>
      </c>
      <c r="T201" s="201" t="str">
        <f>IF(_xlfn.XLOOKUP(B201,Salários!B:B,Salários!I:I)&gt;0,_xlfn.XLOOKUP(B201,Salários!B:B,Salários!I:I),"")</f>
        <v>PJ</v>
      </c>
      <c r="U201" s="117">
        <f t="shared" si="190"/>
        <v>0</v>
      </c>
      <c r="V201" s="65"/>
      <c r="W201" s="202"/>
      <c r="X201" s="65"/>
      <c r="Y201" s="69"/>
      <c r="Z201" s="65"/>
      <c r="AA201" s="518"/>
      <c r="AB201" s="65"/>
      <c r="AC201" s="81">
        <f t="shared" si="177"/>
        <v>0</v>
      </c>
      <c r="AD201" s="65"/>
      <c r="AE201" s="112"/>
      <c r="AF201" s="203">
        <v>0.3</v>
      </c>
      <c r="AG201" s="109">
        <f t="shared" si="44"/>
        <v>1633</v>
      </c>
      <c r="AH201" s="84">
        <f t="shared" si="178"/>
        <v>0</v>
      </c>
      <c r="AI201" s="65"/>
      <c r="AJ201" s="112"/>
      <c r="AK201" s="122"/>
      <c r="AL201" s="109">
        <v>1212</v>
      </c>
      <c r="AM201" s="84">
        <f t="shared" si="179"/>
        <v>0</v>
      </c>
      <c r="AN201" s="65"/>
      <c r="AO201" s="112"/>
      <c r="AP201" s="204"/>
      <c r="AQ201" s="109">
        <f>IFERROR((O201+AH201+AM201)/Dashboard!$D$15,0)*0.2</f>
        <v>1.6869834710743801</v>
      </c>
      <c r="AR201" s="84">
        <f t="shared" si="180"/>
        <v>0</v>
      </c>
      <c r="AS201" s="65"/>
      <c r="AT201" s="112"/>
      <c r="AU201" s="203">
        <v>0.33</v>
      </c>
      <c r="AV201" s="109">
        <f t="shared" si="181"/>
        <v>1633</v>
      </c>
      <c r="AW201" s="84">
        <f t="shared" si="182"/>
        <v>0</v>
      </c>
      <c r="AX201" s="65"/>
      <c r="AY201" s="112"/>
      <c r="AZ201" s="203">
        <v>0.25</v>
      </c>
      <c r="BA201" s="109">
        <f t="shared" si="50"/>
        <v>1633</v>
      </c>
      <c r="BB201" s="84">
        <f t="shared" si="183"/>
        <v>0</v>
      </c>
      <c r="BC201" s="65"/>
      <c r="BD201" s="112"/>
      <c r="BE201" s="203">
        <v>0.26</v>
      </c>
      <c r="BF201" s="109">
        <f t="shared" si="184"/>
        <v>1633</v>
      </c>
      <c r="BG201" s="84">
        <f t="shared" si="185"/>
        <v>0</v>
      </c>
      <c r="BH201" s="197"/>
      <c r="BI201" s="518"/>
      <c r="BJ201" s="65"/>
      <c r="BK201" s="81">
        <f t="shared" si="186"/>
        <v>0</v>
      </c>
      <c r="BL201" s="65"/>
      <c r="BM201" s="204"/>
      <c r="BN201" s="156">
        <f>IF(B201&lt;&gt;"",_xlfn.XLOOKUP(B201,'Cronog. e Histog.'!B:B,'Cronog. e Histog.'!EK:EK),0)</f>
        <v>0</v>
      </c>
      <c r="BO201" s="109">
        <f>($O201/Dashboard!$D$15)*(1+Dashboard!$D$19)</f>
        <v>12.652376033057848</v>
      </c>
      <c r="BP201" s="84">
        <f t="shared" si="199"/>
        <v>0</v>
      </c>
      <c r="BQ201" s="65"/>
      <c r="BR201" s="204"/>
      <c r="BS201" s="156">
        <f>IF(B201&lt;&gt;"",_xlfn.XLOOKUP(B201,'Cronog. e Histog.'!B:B,'Cronog. e Histog.'!EL:EL),0)</f>
        <v>0</v>
      </c>
      <c r="BT201" s="109">
        <f>($O201/Dashboard!$D$15)*(1+Dashboard!$D$20)</f>
        <v>14.761105371900824</v>
      </c>
      <c r="BU201" s="84">
        <f t="shared" si="200"/>
        <v>0</v>
      </c>
      <c r="BV201" s="65"/>
      <c r="BW201" s="204"/>
      <c r="BX201" s="156">
        <f>IF(B201&lt;&gt;"",_xlfn.XLOOKUP(B201,'Cronog. e Histog.'!B:B,'Cronog. e Histog.'!EM:EM),0)</f>
        <v>0</v>
      </c>
      <c r="BY201" s="109">
        <f>($O201/Dashboard!$D$15)*(1+Dashboard!$D$21)</f>
        <v>16.869834710743799</v>
      </c>
      <c r="BZ201" s="84">
        <f t="shared" si="201"/>
        <v>0</v>
      </c>
    </row>
    <row r="202" spans="2:78" ht="12" customHeight="1" outlineLevel="1">
      <c r="B202" s="137" t="str">
        <f>'Cronog. e Histog.'!B327</f>
        <v>EST_II - Equipe_01</v>
      </c>
      <c r="C202" s="65"/>
      <c r="D202" s="200">
        <f t="shared" si="169"/>
        <v>0</v>
      </c>
      <c r="E202" s="200">
        <f t="shared" si="170"/>
        <v>0</v>
      </c>
      <c r="F202" s="65"/>
      <c r="G202" s="200">
        <f t="shared" si="171"/>
        <v>0</v>
      </c>
      <c r="H202" s="200">
        <f t="shared" si="172"/>
        <v>0</v>
      </c>
      <c r="I202" s="65"/>
      <c r="J202" s="143" t="str">
        <f>IF('Cronog. e Histog.'!G327&gt;0,'Cronog. e Histog.'!G327,"")</f>
        <v>EST_II</v>
      </c>
      <c r="K202" s="65"/>
      <c r="L202" s="144">
        <f>'Cronog. e Histog.'!BT327</f>
        <v>0</v>
      </c>
      <c r="M202" s="144">
        <f>'Cronog. e Histog.'!BU327</f>
        <v>0</v>
      </c>
      <c r="N202" s="65"/>
      <c r="O202" s="109">
        <f>_xlfn.XLOOKUP(B202,Salários!B:B,Salários!K:K)</f>
        <v>1633</v>
      </c>
      <c r="P202" s="109">
        <f t="shared" si="187"/>
        <v>0</v>
      </c>
      <c r="Q202" s="109">
        <f t="shared" si="188"/>
        <v>0</v>
      </c>
      <c r="R202" s="65"/>
      <c r="S202" s="109">
        <f t="shared" si="189"/>
        <v>1633</v>
      </c>
      <c r="T202" s="201" t="str">
        <f>IF(_xlfn.XLOOKUP(B202,Salários!B:B,Salários!I:I)&gt;0,_xlfn.XLOOKUP(B202,Salários!B:B,Salários!I:I),"")</f>
        <v>PJ</v>
      </c>
      <c r="U202" s="117">
        <f t="shared" si="190"/>
        <v>0</v>
      </c>
      <c r="V202" s="65"/>
      <c r="W202" s="202"/>
      <c r="X202" s="65"/>
      <c r="Y202" s="69"/>
      <c r="Z202" s="65"/>
      <c r="AA202" s="518"/>
      <c r="AB202" s="65"/>
      <c r="AC202" s="81">
        <f t="shared" si="177"/>
        <v>0</v>
      </c>
      <c r="AD202" s="65"/>
      <c r="AE202" s="112"/>
      <c r="AF202" s="203">
        <v>0.3</v>
      </c>
      <c r="AG202" s="109">
        <f t="shared" si="44"/>
        <v>1633</v>
      </c>
      <c r="AH202" s="84">
        <f t="shared" si="178"/>
        <v>0</v>
      </c>
      <c r="AI202" s="65"/>
      <c r="AJ202" s="112"/>
      <c r="AK202" s="122"/>
      <c r="AL202" s="109">
        <v>1212</v>
      </c>
      <c r="AM202" s="84">
        <f t="shared" si="179"/>
        <v>0</v>
      </c>
      <c r="AN202" s="65"/>
      <c r="AO202" s="112"/>
      <c r="AP202" s="204"/>
      <c r="AQ202" s="109">
        <f>IFERROR((O202+AH202+AM202)/Dashboard!$D$15,0)*0.2</f>
        <v>1.6869834710743801</v>
      </c>
      <c r="AR202" s="84">
        <f t="shared" si="180"/>
        <v>0</v>
      </c>
      <c r="AS202" s="65"/>
      <c r="AT202" s="112"/>
      <c r="AU202" s="203">
        <v>0.33</v>
      </c>
      <c r="AV202" s="109">
        <f t="shared" si="181"/>
        <v>1633</v>
      </c>
      <c r="AW202" s="84">
        <f t="shared" si="182"/>
        <v>0</v>
      </c>
      <c r="AX202" s="65"/>
      <c r="AY202" s="112"/>
      <c r="AZ202" s="203">
        <v>0.25</v>
      </c>
      <c r="BA202" s="109">
        <f t="shared" si="50"/>
        <v>1633</v>
      </c>
      <c r="BB202" s="84">
        <f t="shared" si="183"/>
        <v>0</v>
      </c>
      <c r="BC202" s="65"/>
      <c r="BD202" s="112"/>
      <c r="BE202" s="203">
        <v>0.26</v>
      </c>
      <c r="BF202" s="109">
        <f t="shared" si="184"/>
        <v>1633</v>
      </c>
      <c r="BG202" s="84">
        <f t="shared" si="185"/>
        <v>0</v>
      </c>
      <c r="BH202" s="197"/>
      <c r="BI202" s="518"/>
      <c r="BJ202" s="65"/>
      <c r="BK202" s="81">
        <f t="shared" si="186"/>
        <v>0</v>
      </c>
      <c r="BL202" s="65"/>
      <c r="BM202" s="204"/>
      <c r="BN202" s="156">
        <f>IF(B202&lt;&gt;"",_xlfn.XLOOKUP(B202,'Cronog. e Histog.'!B:B,'Cronog. e Histog.'!EK:EK),0)</f>
        <v>0</v>
      </c>
      <c r="BO202" s="109">
        <f>($O202/Dashboard!$D$15)*(1+Dashboard!$D$19)</f>
        <v>12.652376033057848</v>
      </c>
      <c r="BP202" s="84">
        <f t="shared" si="199"/>
        <v>0</v>
      </c>
      <c r="BQ202" s="65"/>
      <c r="BR202" s="204"/>
      <c r="BS202" s="156">
        <f>IF(B202&lt;&gt;"",_xlfn.XLOOKUP(B202,'Cronog. e Histog.'!B:B,'Cronog. e Histog.'!EL:EL),0)</f>
        <v>0</v>
      </c>
      <c r="BT202" s="109">
        <f>($O202/Dashboard!$D$15)*(1+Dashboard!$D$20)</f>
        <v>14.761105371900824</v>
      </c>
      <c r="BU202" s="84">
        <f t="shared" si="200"/>
        <v>0</v>
      </c>
      <c r="BV202" s="65"/>
      <c r="BW202" s="204"/>
      <c r="BX202" s="156">
        <f>IF(B202&lt;&gt;"",_xlfn.XLOOKUP(B202,'Cronog. e Histog.'!B:B,'Cronog. e Histog.'!EM:EM),0)</f>
        <v>0</v>
      </c>
      <c r="BY202" s="109">
        <f>($O202/Dashboard!$D$15)*(1+Dashboard!$D$21)</f>
        <v>16.869834710743799</v>
      </c>
      <c r="BZ202" s="84">
        <f t="shared" si="201"/>
        <v>0</v>
      </c>
    </row>
    <row r="203" spans="2:78" ht="12" customHeight="1" outlineLevel="1">
      <c r="B203" s="137" t="str">
        <f>'Cronog. e Histog.'!B328</f>
        <v>EST_III - Equipe_01</v>
      </c>
      <c r="C203" s="65"/>
      <c r="D203" s="200">
        <f t="shared" si="169"/>
        <v>0</v>
      </c>
      <c r="E203" s="200">
        <f t="shared" si="170"/>
        <v>0</v>
      </c>
      <c r="F203" s="65"/>
      <c r="G203" s="200">
        <f t="shared" si="171"/>
        <v>0</v>
      </c>
      <c r="H203" s="200">
        <f t="shared" si="172"/>
        <v>0</v>
      </c>
      <c r="I203" s="65"/>
      <c r="J203" s="143" t="str">
        <f>IF('Cronog. e Histog.'!G328&gt;0,'Cronog. e Histog.'!G328,"")</f>
        <v>EST_III</v>
      </c>
      <c r="K203" s="65"/>
      <c r="L203" s="144">
        <f>'Cronog. e Histog.'!BT328</f>
        <v>0</v>
      </c>
      <c r="M203" s="144">
        <f>'Cronog. e Histog.'!BU328</f>
        <v>0</v>
      </c>
      <c r="N203" s="65"/>
      <c r="O203" s="109">
        <f>_xlfn.XLOOKUP(B203,Salários!B:B,Salários!K:K)</f>
        <v>1633</v>
      </c>
      <c r="P203" s="109">
        <f t="shared" si="187"/>
        <v>0</v>
      </c>
      <c r="Q203" s="109">
        <f t="shared" si="188"/>
        <v>0</v>
      </c>
      <c r="R203" s="65"/>
      <c r="S203" s="109">
        <f t="shared" si="189"/>
        <v>1633</v>
      </c>
      <c r="T203" s="201" t="str">
        <f>IF(_xlfn.XLOOKUP(B203,Salários!B:B,Salários!I:I)&gt;0,_xlfn.XLOOKUP(B203,Salários!B:B,Salários!I:I),"")</f>
        <v>PJ</v>
      </c>
      <c r="U203" s="117">
        <f t="shared" si="190"/>
        <v>0</v>
      </c>
      <c r="V203" s="65"/>
      <c r="W203" s="202"/>
      <c r="X203" s="65"/>
      <c r="Y203" s="69"/>
      <c r="Z203" s="65"/>
      <c r="AA203" s="518"/>
      <c r="AB203" s="65"/>
      <c r="AC203" s="81">
        <f t="shared" si="177"/>
        <v>0</v>
      </c>
      <c r="AD203" s="65"/>
      <c r="AE203" s="112"/>
      <c r="AF203" s="203">
        <v>0.3</v>
      </c>
      <c r="AG203" s="109">
        <f t="shared" si="44"/>
        <v>1633</v>
      </c>
      <c r="AH203" s="84">
        <f t="shared" si="178"/>
        <v>0</v>
      </c>
      <c r="AI203" s="65"/>
      <c r="AJ203" s="112"/>
      <c r="AK203" s="122"/>
      <c r="AL203" s="109">
        <v>1212</v>
      </c>
      <c r="AM203" s="84">
        <f t="shared" si="179"/>
        <v>0</v>
      </c>
      <c r="AN203" s="65"/>
      <c r="AO203" s="112"/>
      <c r="AP203" s="204"/>
      <c r="AQ203" s="109">
        <f>IFERROR((O203+AH203+AM203)/Dashboard!$D$15,0)*0.2</f>
        <v>1.6869834710743801</v>
      </c>
      <c r="AR203" s="84">
        <f t="shared" si="180"/>
        <v>0</v>
      </c>
      <c r="AS203" s="65"/>
      <c r="AT203" s="112"/>
      <c r="AU203" s="203">
        <v>0.33</v>
      </c>
      <c r="AV203" s="109">
        <f t="shared" si="181"/>
        <v>1633</v>
      </c>
      <c r="AW203" s="84">
        <f t="shared" si="182"/>
        <v>0</v>
      </c>
      <c r="AX203" s="65"/>
      <c r="AY203" s="112"/>
      <c r="AZ203" s="203">
        <v>0.25</v>
      </c>
      <c r="BA203" s="109">
        <f t="shared" si="50"/>
        <v>1633</v>
      </c>
      <c r="BB203" s="84">
        <f t="shared" si="183"/>
        <v>0</v>
      </c>
      <c r="BC203" s="65"/>
      <c r="BD203" s="112"/>
      <c r="BE203" s="203">
        <v>0.26</v>
      </c>
      <c r="BF203" s="109">
        <f t="shared" si="184"/>
        <v>1633</v>
      </c>
      <c r="BG203" s="84">
        <f t="shared" si="185"/>
        <v>0</v>
      </c>
      <c r="BH203" s="197"/>
      <c r="BI203" s="518"/>
      <c r="BJ203" s="65"/>
      <c r="BK203" s="81">
        <f t="shared" si="186"/>
        <v>0</v>
      </c>
      <c r="BL203" s="65"/>
      <c r="BM203" s="204"/>
      <c r="BN203" s="156">
        <f>IF(B203&lt;&gt;"",_xlfn.XLOOKUP(B203,'Cronog. e Histog.'!B:B,'Cronog. e Histog.'!EK:EK),0)</f>
        <v>0</v>
      </c>
      <c r="BO203" s="109">
        <f>($O203/Dashboard!$D$15)*(1+Dashboard!$D$19)</f>
        <v>12.652376033057848</v>
      </c>
      <c r="BP203" s="84">
        <f t="shared" si="199"/>
        <v>0</v>
      </c>
      <c r="BQ203" s="65"/>
      <c r="BR203" s="204"/>
      <c r="BS203" s="156">
        <f>IF(B203&lt;&gt;"",_xlfn.XLOOKUP(B203,'Cronog. e Histog.'!B:B,'Cronog. e Histog.'!EL:EL),0)</f>
        <v>0</v>
      </c>
      <c r="BT203" s="109">
        <f>($O203/Dashboard!$D$15)*(1+Dashboard!$D$20)</f>
        <v>14.761105371900824</v>
      </c>
      <c r="BU203" s="84">
        <f t="shared" si="200"/>
        <v>0</v>
      </c>
      <c r="BV203" s="65"/>
      <c r="BW203" s="204"/>
      <c r="BX203" s="156">
        <f>IF(B203&lt;&gt;"",_xlfn.XLOOKUP(B203,'Cronog. e Histog.'!B:B,'Cronog. e Histog.'!EM:EM),0)</f>
        <v>0</v>
      </c>
      <c r="BY203" s="109">
        <f>($O203/Dashboard!$D$15)*(1+Dashboard!$D$21)</f>
        <v>16.869834710743799</v>
      </c>
      <c r="BZ203" s="84">
        <f t="shared" si="201"/>
        <v>0</v>
      </c>
    </row>
    <row r="204" spans="2:78" ht="12" customHeight="1" outlineLevel="1"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9"/>
      <c r="Z204" s="65"/>
      <c r="AA204" s="518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197"/>
      <c r="BI204" s="518"/>
      <c r="BJ204" s="65"/>
      <c r="BK204" s="65"/>
      <c r="BL204" s="65"/>
      <c r="BM204" s="65"/>
      <c r="BN204" s="65"/>
      <c r="BO204" s="65"/>
      <c r="BP204" s="65"/>
      <c r="BQ204" s="65"/>
      <c r="BR204" s="65"/>
      <c r="BS204" s="65"/>
      <c r="BT204" s="65"/>
      <c r="BU204" s="65"/>
      <c r="BV204" s="65"/>
      <c r="BW204" s="65"/>
      <c r="BX204" s="65"/>
      <c r="BY204" s="65"/>
      <c r="BZ204" s="65"/>
    </row>
    <row r="205" spans="2:78" ht="12" customHeight="1" outlineLevel="1">
      <c r="B205" s="65"/>
      <c r="C205" s="65"/>
      <c r="D205" s="65"/>
      <c r="E205" s="65"/>
      <c r="F205" s="65"/>
      <c r="G205" s="65"/>
      <c r="H205" s="65"/>
      <c r="I205" s="65"/>
      <c r="J205" s="199" t="str">
        <f>'Cronog. e Histog.'!F331</f>
        <v>Equipe06</v>
      </c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9"/>
      <c r="Z205" s="65"/>
      <c r="AA205" s="518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197"/>
      <c r="BI205" s="518"/>
      <c r="BJ205" s="65"/>
      <c r="BK205" s="65"/>
      <c r="BL205" s="65"/>
      <c r="BM205" s="65"/>
      <c r="BN205" s="65"/>
      <c r="BO205" s="65"/>
      <c r="BP205" s="65"/>
      <c r="BQ205" s="65"/>
      <c r="BR205" s="65"/>
      <c r="BS205" s="65"/>
      <c r="BT205" s="65"/>
      <c r="BU205" s="65"/>
      <c r="BV205" s="65"/>
      <c r="BW205" s="65"/>
      <c r="BX205" s="65"/>
      <c r="BY205" s="65"/>
      <c r="BZ205" s="65"/>
    </row>
    <row r="206" spans="2:78" ht="12" customHeight="1" outlineLevel="1">
      <c r="B206" s="137" t="str">
        <f>'Cronog. e Histog.'!B333</f>
        <v>GER. (OBRA/PROJ) - Equipe_01</v>
      </c>
      <c r="C206" s="65"/>
      <c r="D206" s="200">
        <f t="shared" ref="D206:D225" si="202">IF(T206="mensalista",L206,0)</f>
        <v>0</v>
      </c>
      <c r="E206" s="200">
        <f t="shared" ref="E206:E225" si="203">IF(T206="mensalista",M206,0)</f>
        <v>0</v>
      </c>
      <c r="F206" s="65"/>
      <c r="G206" s="200">
        <f t="shared" ref="G206:G225" si="204">IF(T206="mensalista",L206,0)</f>
        <v>0</v>
      </c>
      <c r="H206" s="200">
        <f t="shared" ref="H206:H225" si="205">IF(T206="mensalista",M206,0)</f>
        <v>0</v>
      </c>
      <c r="I206" s="65"/>
      <c r="J206" s="143" t="str">
        <f>IF('Cronog. e Histog.'!G333&gt;0,'Cronog. e Histog.'!G333,"")</f>
        <v>GER. (OBRA/PROJ)</v>
      </c>
      <c r="K206" s="65"/>
      <c r="L206" s="144">
        <f>'Cronog. e Histog.'!BT333</f>
        <v>1.9999999999999997E-2</v>
      </c>
      <c r="M206" s="144">
        <f>'Cronog. e Histog.'!BU333</f>
        <v>10</v>
      </c>
      <c r="N206" s="65"/>
      <c r="O206" s="109">
        <f>_xlfn.XLOOKUP(B206,Salários!B:B,Salários!K:K)</f>
        <v>21000</v>
      </c>
      <c r="P206" s="109">
        <f t="shared" ref="P206" si="206">AC206</f>
        <v>0</v>
      </c>
      <c r="Q206" s="109">
        <f t="shared" ref="Q206" si="207">BK206</f>
        <v>0</v>
      </c>
      <c r="R206" s="65"/>
      <c r="S206" s="109">
        <f t="shared" ref="S206" si="208">SUM(O206:Q206)</f>
        <v>21000</v>
      </c>
      <c r="T206" s="201" t="str">
        <f>IF(_xlfn.XLOOKUP(B206,Salários!B:B,Salários!I:I)&gt;0,_xlfn.XLOOKUP(B206,Salários!B:B,Salários!I:I),"")</f>
        <v>PJ</v>
      </c>
      <c r="U206" s="117">
        <f t="shared" ref="U206" si="209">L206*M206*S206</f>
        <v>4199.9999999999991</v>
      </c>
      <c r="V206" s="65"/>
      <c r="W206" s="202"/>
      <c r="X206" s="65"/>
      <c r="Y206" s="69"/>
      <c r="Z206" s="65"/>
      <c r="AA206" s="518"/>
      <c r="AB206" s="65"/>
      <c r="AC206" s="81">
        <f t="shared" ref="AC206:AC225" si="210">AH206+AM206+AR206+AW206+BB206+BG206</f>
        <v>0</v>
      </c>
      <c r="AD206" s="65"/>
      <c r="AE206" s="112"/>
      <c r="AF206" s="203">
        <v>0.3</v>
      </c>
      <c r="AG206" s="109">
        <f t="shared" si="44"/>
        <v>21000</v>
      </c>
      <c r="AH206" s="84">
        <f t="shared" ref="AH206:AH225" si="211">IF(AE206="sim",AF206*AG206,0)</f>
        <v>0</v>
      </c>
      <c r="AI206" s="65"/>
      <c r="AJ206" s="112"/>
      <c r="AK206" s="122"/>
      <c r="AL206" s="109">
        <v>1212</v>
      </c>
      <c r="AM206" s="84">
        <f t="shared" ref="AM206:AM225" si="212">IF(AJ206="sim",AK206*AL206,0)</f>
        <v>0</v>
      </c>
      <c r="AN206" s="65"/>
      <c r="AO206" s="112"/>
      <c r="AP206" s="204"/>
      <c r="AQ206" s="109">
        <f>IFERROR((O206+AH206+AM206)/Dashboard!$D$15,0)*0.2</f>
        <v>21.694214876033058</v>
      </c>
      <c r="AR206" s="84">
        <f t="shared" ref="AR206:AR225" si="213">IF(AO206="sim",AP206*AQ206,0)</f>
        <v>0</v>
      </c>
      <c r="AS206" s="65"/>
      <c r="AT206" s="112"/>
      <c r="AU206" s="203">
        <v>0.33</v>
      </c>
      <c r="AV206" s="109">
        <f t="shared" ref="AV206:AV225" si="214">$O206</f>
        <v>21000</v>
      </c>
      <c r="AW206" s="84">
        <f t="shared" ref="AW206:AW225" si="215">IF(AT206="sim",AU206*AV206,0)</f>
        <v>0</v>
      </c>
      <c r="AX206" s="65"/>
      <c r="AY206" s="112"/>
      <c r="AZ206" s="203">
        <v>0.25</v>
      </c>
      <c r="BA206" s="109">
        <f t="shared" si="50"/>
        <v>21000</v>
      </c>
      <c r="BB206" s="84">
        <f t="shared" ref="BB206:BB225" si="216">IF(AY206="sim",AZ206*BA206,0)</f>
        <v>0</v>
      </c>
      <c r="BC206" s="65"/>
      <c r="BD206" s="112"/>
      <c r="BE206" s="203">
        <v>0.26</v>
      </c>
      <c r="BF206" s="109">
        <f t="shared" ref="BF206:BF225" si="217">$O206</f>
        <v>21000</v>
      </c>
      <c r="BG206" s="84">
        <f t="shared" ref="BG206:BG225" si="218">IF(BD206="sim",BE206*BF206,0)</f>
        <v>0</v>
      </c>
      <c r="BH206" s="197"/>
      <c r="BI206" s="518"/>
      <c r="BJ206" s="65"/>
      <c r="BK206" s="81">
        <f t="shared" ref="BK206:BK225" si="219">BP206+BU206+BZ206</f>
        <v>0</v>
      </c>
      <c r="BL206" s="65"/>
      <c r="BM206" s="204"/>
      <c r="BN206" s="156">
        <f>IF(B206&lt;&gt;"",_xlfn.XLOOKUP(B206,'Cronog. e Histog.'!B:B,'Cronog. e Histog.'!EK:EK),0)</f>
        <v>0</v>
      </c>
      <c r="BO206" s="109">
        <f>($O206/Dashboard!$D$15)*(1+Dashboard!$D$19)</f>
        <v>162.7066115702479</v>
      </c>
      <c r="BP206" s="84">
        <f>SUM(BM206:BN206)*BO206</f>
        <v>0</v>
      </c>
      <c r="BQ206" s="65"/>
      <c r="BR206" s="204"/>
      <c r="BS206" s="156">
        <f>IF(B206&lt;&gt;"",_xlfn.XLOOKUP(B206,'Cronog. e Histog.'!B:B,'Cronog. e Histog.'!EL:EL),0)</f>
        <v>0</v>
      </c>
      <c r="BT206" s="109">
        <f>($O206/Dashboard!$D$15)*(1+Dashboard!$D$20)</f>
        <v>189.82438016528923</v>
      </c>
      <c r="BU206" s="84">
        <f>SUM(BR206:BS206)*BT206</f>
        <v>0</v>
      </c>
      <c r="BV206" s="65"/>
      <c r="BW206" s="204"/>
      <c r="BX206" s="156">
        <f>IF(B206&lt;&gt;"",_xlfn.XLOOKUP(B206,'Cronog. e Histog.'!B:B,'Cronog. e Histog.'!EM:EM),0)</f>
        <v>0</v>
      </c>
      <c r="BY206" s="109">
        <f>($O206/Dashboard!$D$15)*(1+Dashboard!$D$21)</f>
        <v>216.94214876033055</v>
      </c>
      <c r="BZ206" s="84">
        <f>SUM(BW206:BX206)*BY206</f>
        <v>0</v>
      </c>
    </row>
    <row r="207" spans="2:78" ht="12" customHeight="1" outlineLevel="1">
      <c r="B207" s="137" t="str">
        <f>'Cronog. e Histog.'!B334</f>
        <v>COORD. - Equipe_01</v>
      </c>
      <c r="C207" s="65"/>
      <c r="D207" s="200">
        <f t="shared" si="202"/>
        <v>0</v>
      </c>
      <c r="E207" s="200">
        <f t="shared" si="203"/>
        <v>0</v>
      </c>
      <c r="F207" s="65"/>
      <c r="G207" s="200">
        <f t="shared" si="204"/>
        <v>0</v>
      </c>
      <c r="H207" s="200">
        <f t="shared" si="205"/>
        <v>0</v>
      </c>
      <c r="I207" s="65"/>
      <c r="J207" s="143" t="str">
        <f>IF('Cronog. e Histog.'!G334&gt;0,'Cronog. e Histog.'!G334,"")</f>
        <v>COORD.</v>
      </c>
      <c r="K207" s="65"/>
      <c r="L207" s="144">
        <f>'Cronog. e Histog.'!BT334</f>
        <v>0</v>
      </c>
      <c r="M207" s="144">
        <f>'Cronog. e Histog.'!BU334</f>
        <v>0</v>
      </c>
      <c r="N207" s="65"/>
      <c r="O207" s="109">
        <f>_xlfn.XLOOKUP(B207,Salários!B:B,Salários!K:K)</f>
        <v>19000</v>
      </c>
      <c r="P207" s="109">
        <f t="shared" ref="P207:P225" si="220">AC207</f>
        <v>0</v>
      </c>
      <c r="Q207" s="109">
        <f t="shared" ref="Q207:Q225" si="221">BK207</f>
        <v>0</v>
      </c>
      <c r="R207" s="65"/>
      <c r="S207" s="109">
        <f t="shared" ref="S207:S225" si="222">SUM(O207:Q207)</f>
        <v>19000</v>
      </c>
      <c r="T207" s="201" t="str">
        <f>IF(_xlfn.XLOOKUP(B207,Salários!B:B,Salários!I:I)&gt;0,_xlfn.XLOOKUP(B207,Salários!B:B,Salários!I:I),"")</f>
        <v>PJ</v>
      </c>
      <c r="U207" s="117">
        <f t="shared" ref="U207:U225" si="223">L207*M207*S207</f>
        <v>0</v>
      </c>
      <c r="V207" s="65"/>
      <c r="W207" s="202"/>
      <c r="X207" s="65"/>
      <c r="Y207" s="69"/>
      <c r="Z207" s="65"/>
      <c r="AA207" s="518"/>
      <c r="AB207" s="65"/>
      <c r="AC207" s="81">
        <f t="shared" ref="AC207:AC216" si="224">AH207+AM207+AR207+AW207+BB207+BG207</f>
        <v>0</v>
      </c>
      <c r="AD207" s="65"/>
      <c r="AE207" s="112"/>
      <c r="AF207" s="203">
        <v>0.3</v>
      </c>
      <c r="AG207" s="109">
        <f t="shared" si="44"/>
        <v>19000</v>
      </c>
      <c r="AH207" s="84">
        <f t="shared" ref="AH207:AH216" si="225">IF(AE207="sim",AF207*AG207,0)</f>
        <v>0</v>
      </c>
      <c r="AI207" s="65"/>
      <c r="AJ207" s="112"/>
      <c r="AK207" s="122"/>
      <c r="AL207" s="109">
        <v>1212</v>
      </c>
      <c r="AM207" s="84">
        <f t="shared" ref="AM207:AM216" si="226">IF(AJ207="sim",AK207*AL207,0)</f>
        <v>0</v>
      </c>
      <c r="AN207" s="65"/>
      <c r="AO207" s="112"/>
      <c r="AP207" s="204"/>
      <c r="AQ207" s="109">
        <f>IFERROR((O207+AH207+AM207)/Dashboard!$D$15,0)*0.2</f>
        <v>19.628099173553718</v>
      </c>
      <c r="AR207" s="84">
        <f t="shared" ref="AR207:AR216" si="227">IF(AO207="sim",AP207*AQ207,0)</f>
        <v>0</v>
      </c>
      <c r="AS207" s="65"/>
      <c r="AT207" s="112"/>
      <c r="AU207" s="203">
        <v>0.33</v>
      </c>
      <c r="AV207" s="109">
        <f t="shared" si="214"/>
        <v>19000</v>
      </c>
      <c r="AW207" s="84">
        <f t="shared" ref="AW207:AW216" si="228">IF(AT207="sim",AU207*AV207,0)</f>
        <v>0</v>
      </c>
      <c r="AX207" s="65"/>
      <c r="AY207" s="112"/>
      <c r="AZ207" s="203">
        <v>0.25</v>
      </c>
      <c r="BA207" s="109">
        <f t="shared" si="50"/>
        <v>19000</v>
      </c>
      <c r="BB207" s="84">
        <f t="shared" ref="BB207:BB216" si="229">IF(AY207="sim",AZ207*BA207,0)</f>
        <v>0</v>
      </c>
      <c r="BC207" s="65"/>
      <c r="BD207" s="112"/>
      <c r="BE207" s="203">
        <v>0.26</v>
      </c>
      <c r="BF207" s="109">
        <f t="shared" si="217"/>
        <v>19000</v>
      </c>
      <c r="BG207" s="84">
        <f t="shared" ref="BG207:BG216" si="230">IF(BD207="sim",BE207*BF207,0)</f>
        <v>0</v>
      </c>
      <c r="BH207" s="197"/>
      <c r="BI207" s="518"/>
      <c r="BJ207" s="65"/>
      <c r="BK207" s="81">
        <f t="shared" ref="BK207:BK216" si="231">BP207+BU207+BZ207</f>
        <v>0</v>
      </c>
      <c r="BL207" s="65"/>
      <c r="BM207" s="204"/>
      <c r="BN207" s="156">
        <f>IF(B207&lt;&gt;"",_xlfn.XLOOKUP(B207,'Cronog. e Histog.'!B:B,'Cronog. e Histog.'!EK:EK),0)</f>
        <v>0</v>
      </c>
      <c r="BO207" s="109">
        <f>($O207/Dashboard!$D$15)*(1+Dashboard!$D$19)</f>
        <v>147.21074380165288</v>
      </c>
      <c r="BP207" s="84">
        <f t="shared" ref="BP207:BP225" si="232">SUM(BM207:BN207)*BO207</f>
        <v>0</v>
      </c>
      <c r="BQ207" s="65"/>
      <c r="BR207" s="204"/>
      <c r="BS207" s="156">
        <f>IF(B207&lt;&gt;"",_xlfn.XLOOKUP(B207,'Cronog. e Histog.'!B:B,'Cronog. e Histog.'!EL:EL),0)</f>
        <v>0</v>
      </c>
      <c r="BT207" s="109">
        <f>($O207/Dashboard!$D$15)*(1+Dashboard!$D$20)</f>
        <v>171.74586776859502</v>
      </c>
      <c r="BU207" s="84">
        <f t="shared" ref="BU207:BU225" si="233">SUM(BR207:BS207)*BT207</f>
        <v>0</v>
      </c>
      <c r="BV207" s="65"/>
      <c r="BW207" s="204"/>
      <c r="BX207" s="156">
        <f>IF(B207&lt;&gt;"",_xlfn.XLOOKUP(B207,'Cronog. e Histog.'!B:B,'Cronog. e Histog.'!EM:EM),0)</f>
        <v>0</v>
      </c>
      <c r="BY207" s="109">
        <f>($O207/Dashboard!$D$15)*(1+Dashboard!$D$21)</f>
        <v>196.28099173553716</v>
      </c>
      <c r="BZ207" s="84">
        <f t="shared" ref="BZ207:BZ225" si="234">SUM(BW207:BX207)*BY207</f>
        <v>0</v>
      </c>
    </row>
    <row r="208" spans="2:78" ht="12" customHeight="1" outlineLevel="1">
      <c r="B208" s="137" t="str">
        <f>'Cronog. e Histog.'!B335</f>
        <v>SUP.-ESP - Equipe_01</v>
      </c>
      <c r="C208" s="65"/>
      <c r="D208" s="200">
        <f t="shared" si="202"/>
        <v>0</v>
      </c>
      <c r="E208" s="200">
        <f t="shared" si="203"/>
        <v>0</v>
      </c>
      <c r="F208" s="65"/>
      <c r="G208" s="200">
        <f t="shared" si="204"/>
        <v>0</v>
      </c>
      <c r="H208" s="200">
        <f t="shared" si="205"/>
        <v>0</v>
      </c>
      <c r="I208" s="65"/>
      <c r="J208" s="143" t="str">
        <f>IF('Cronog. e Histog.'!G335&gt;0,'Cronog. e Histog.'!G335,"")</f>
        <v>SUP.-ESP</v>
      </c>
      <c r="K208" s="65"/>
      <c r="L208" s="144">
        <f>'Cronog. e Histog.'!BT335</f>
        <v>0</v>
      </c>
      <c r="M208" s="144">
        <f>'Cronog. e Histog.'!BU335</f>
        <v>0</v>
      </c>
      <c r="N208" s="65"/>
      <c r="O208" s="109">
        <f>_xlfn.XLOOKUP(B208,Salários!B:B,Salários!K:K)</f>
        <v>9716.67</v>
      </c>
      <c r="P208" s="109">
        <f t="shared" si="220"/>
        <v>0</v>
      </c>
      <c r="Q208" s="109">
        <f t="shared" si="221"/>
        <v>0</v>
      </c>
      <c r="R208" s="65"/>
      <c r="S208" s="109">
        <f t="shared" si="222"/>
        <v>9716.67</v>
      </c>
      <c r="T208" s="201" t="str">
        <f>IF(_xlfn.XLOOKUP(B208,Salários!B:B,Salários!I:I)&gt;0,_xlfn.XLOOKUP(B208,Salários!B:B,Salários!I:I),"")</f>
        <v>Mensalista</v>
      </c>
      <c r="U208" s="117">
        <f t="shared" si="223"/>
        <v>0</v>
      </c>
      <c r="V208" s="65"/>
      <c r="W208" s="202"/>
      <c r="X208" s="65"/>
      <c r="Y208" s="69"/>
      <c r="Z208" s="65"/>
      <c r="AA208" s="518"/>
      <c r="AB208" s="65"/>
      <c r="AC208" s="81">
        <f t="shared" si="224"/>
        <v>0</v>
      </c>
      <c r="AD208" s="65"/>
      <c r="AE208" s="112"/>
      <c r="AF208" s="203">
        <v>0.3</v>
      </c>
      <c r="AG208" s="109">
        <f t="shared" si="44"/>
        <v>9716.67</v>
      </c>
      <c r="AH208" s="84">
        <f t="shared" si="225"/>
        <v>0</v>
      </c>
      <c r="AI208" s="65"/>
      <c r="AJ208" s="112"/>
      <c r="AK208" s="122"/>
      <c r="AL208" s="109">
        <v>1212</v>
      </c>
      <c r="AM208" s="84">
        <f t="shared" si="226"/>
        <v>0</v>
      </c>
      <c r="AN208" s="65"/>
      <c r="AO208" s="112"/>
      <c r="AP208" s="204"/>
      <c r="AQ208" s="109">
        <f>IFERROR((O208+AH208+AM208)/Dashboard!$D$15,0)*0.2</f>
        <v>10.037882231404957</v>
      </c>
      <c r="AR208" s="84">
        <f t="shared" si="227"/>
        <v>0</v>
      </c>
      <c r="AS208" s="65"/>
      <c r="AT208" s="112"/>
      <c r="AU208" s="203">
        <v>0.33</v>
      </c>
      <c r="AV208" s="109">
        <f t="shared" si="214"/>
        <v>9716.67</v>
      </c>
      <c r="AW208" s="84">
        <f t="shared" si="228"/>
        <v>0</v>
      </c>
      <c r="AX208" s="65"/>
      <c r="AY208" s="112"/>
      <c r="AZ208" s="203">
        <v>0.25</v>
      </c>
      <c r="BA208" s="109">
        <f t="shared" si="50"/>
        <v>9716.67</v>
      </c>
      <c r="BB208" s="84">
        <f t="shared" si="229"/>
        <v>0</v>
      </c>
      <c r="BC208" s="65"/>
      <c r="BD208" s="112"/>
      <c r="BE208" s="203">
        <v>0.26</v>
      </c>
      <c r="BF208" s="109">
        <f t="shared" si="217"/>
        <v>9716.67</v>
      </c>
      <c r="BG208" s="84">
        <f t="shared" si="230"/>
        <v>0</v>
      </c>
      <c r="BH208" s="197"/>
      <c r="BI208" s="518"/>
      <c r="BJ208" s="65"/>
      <c r="BK208" s="81">
        <f t="shared" si="231"/>
        <v>0</v>
      </c>
      <c r="BL208" s="65"/>
      <c r="BM208" s="204"/>
      <c r="BN208" s="156">
        <f>IF(B208&lt;&gt;"",_xlfn.XLOOKUP(B208,'Cronog. e Histog.'!B:B,'Cronog. e Histog.'!EK:EK),0)</f>
        <v>0</v>
      </c>
      <c r="BO208" s="109">
        <f>($O208/Dashboard!$D$15)*(1+Dashboard!$D$19)</f>
        <v>75.284116735537182</v>
      </c>
      <c r="BP208" s="84">
        <f t="shared" si="232"/>
        <v>0</v>
      </c>
      <c r="BQ208" s="65"/>
      <c r="BR208" s="204"/>
      <c r="BS208" s="156">
        <f>IF(B208&lt;&gt;"",_xlfn.XLOOKUP(B208,'Cronog. e Histog.'!B:B,'Cronog. e Histog.'!EL:EL),0)</f>
        <v>0</v>
      </c>
      <c r="BT208" s="109">
        <f>($O208/Dashboard!$D$15)*(1+Dashboard!$D$20)</f>
        <v>87.831469524793377</v>
      </c>
      <c r="BU208" s="84">
        <f t="shared" si="233"/>
        <v>0</v>
      </c>
      <c r="BV208" s="65"/>
      <c r="BW208" s="204"/>
      <c r="BX208" s="156">
        <f>IF(B208&lt;&gt;"",_xlfn.XLOOKUP(B208,'Cronog. e Histog.'!B:B,'Cronog. e Histog.'!EM:EM),0)</f>
        <v>0</v>
      </c>
      <c r="BY208" s="109">
        <f>($O208/Dashboard!$D$15)*(1+Dashboard!$D$21)</f>
        <v>100.37882231404957</v>
      </c>
      <c r="BZ208" s="84">
        <f t="shared" si="234"/>
        <v>0</v>
      </c>
    </row>
    <row r="209" spans="2:78" ht="12" customHeight="1" outlineLevel="1">
      <c r="B209" s="137" t="str">
        <f>'Cronog. e Histog.'!B336</f>
        <v>ENG/ARQ SR. - Equipe_01</v>
      </c>
      <c r="C209" s="65"/>
      <c r="D209" s="200">
        <f t="shared" si="202"/>
        <v>0</v>
      </c>
      <c r="E209" s="200">
        <f t="shared" si="203"/>
        <v>0</v>
      </c>
      <c r="F209" s="65"/>
      <c r="G209" s="200">
        <f t="shared" si="204"/>
        <v>0</v>
      </c>
      <c r="H209" s="200">
        <f t="shared" si="205"/>
        <v>0</v>
      </c>
      <c r="I209" s="65"/>
      <c r="J209" s="143" t="str">
        <f>IF('Cronog. e Histog.'!G336&gt;0,'Cronog. e Histog.'!G336,"")</f>
        <v>ENG/ARQ SR.</v>
      </c>
      <c r="K209" s="65"/>
      <c r="L209" s="144">
        <f>'Cronog. e Histog.'!BT336</f>
        <v>9.9999999999999985E-3</v>
      </c>
      <c r="M209" s="144">
        <f>'Cronog. e Histog.'!BU336</f>
        <v>10</v>
      </c>
      <c r="N209" s="65"/>
      <c r="O209" s="109">
        <f>_xlfn.XLOOKUP(B209,Salários!B:B,Salários!K:K)</f>
        <v>16000</v>
      </c>
      <c r="P209" s="109">
        <f t="shared" si="220"/>
        <v>0</v>
      </c>
      <c r="Q209" s="109">
        <f t="shared" si="221"/>
        <v>0</v>
      </c>
      <c r="R209" s="65"/>
      <c r="S209" s="109">
        <f t="shared" si="222"/>
        <v>16000</v>
      </c>
      <c r="T209" s="201" t="str">
        <f>IF(_xlfn.XLOOKUP(B209,Salários!B:B,Salários!I:I)&gt;0,_xlfn.XLOOKUP(B209,Salários!B:B,Salários!I:I),"")</f>
        <v>PJ</v>
      </c>
      <c r="U209" s="117">
        <f t="shared" si="223"/>
        <v>1599.9999999999995</v>
      </c>
      <c r="V209" s="65"/>
      <c r="W209" s="202"/>
      <c r="X209" s="65"/>
      <c r="Y209" s="69"/>
      <c r="Z209" s="65"/>
      <c r="AA209" s="518"/>
      <c r="AB209" s="65"/>
      <c r="AC209" s="81">
        <f t="shared" si="224"/>
        <v>0</v>
      </c>
      <c r="AD209" s="65"/>
      <c r="AE209" s="112"/>
      <c r="AF209" s="203">
        <v>0.3</v>
      </c>
      <c r="AG209" s="109">
        <f t="shared" si="44"/>
        <v>16000</v>
      </c>
      <c r="AH209" s="84">
        <f t="shared" si="225"/>
        <v>0</v>
      </c>
      <c r="AI209" s="65"/>
      <c r="AJ209" s="112"/>
      <c r="AK209" s="122"/>
      <c r="AL209" s="109">
        <v>1212</v>
      </c>
      <c r="AM209" s="84">
        <f t="shared" si="226"/>
        <v>0</v>
      </c>
      <c r="AN209" s="65"/>
      <c r="AO209" s="112"/>
      <c r="AP209" s="204"/>
      <c r="AQ209" s="109">
        <f>IFERROR((O209+AH209+AM209)/Dashboard!$D$15,0)*0.2</f>
        <v>16.528925619834709</v>
      </c>
      <c r="AR209" s="84">
        <f t="shared" si="227"/>
        <v>0</v>
      </c>
      <c r="AS209" s="65"/>
      <c r="AT209" s="112"/>
      <c r="AU209" s="203">
        <v>0.33</v>
      </c>
      <c r="AV209" s="109">
        <f t="shared" si="214"/>
        <v>16000</v>
      </c>
      <c r="AW209" s="84">
        <f t="shared" si="228"/>
        <v>0</v>
      </c>
      <c r="AX209" s="65"/>
      <c r="AY209" s="112"/>
      <c r="AZ209" s="203">
        <v>0.25</v>
      </c>
      <c r="BA209" s="109">
        <f t="shared" si="50"/>
        <v>16000</v>
      </c>
      <c r="BB209" s="84">
        <f t="shared" si="229"/>
        <v>0</v>
      </c>
      <c r="BC209" s="65"/>
      <c r="BD209" s="112"/>
      <c r="BE209" s="203">
        <v>0.26</v>
      </c>
      <c r="BF209" s="109">
        <f t="shared" si="217"/>
        <v>16000</v>
      </c>
      <c r="BG209" s="84">
        <f t="shared" si="230"/>
        <v>0</v>
      </c>
      <c r="BH209" s="197"/>
      <c r="BI209" s="518"/>
      <c r="BJ209" s="65"/>
      <c r="BK209" s="81">
        <f t="shared" si="231"/>
        <v>0</v>
      </c>
      <c r="BL209" s="65"/>
      <c r="BM209" s="204"/>
      <c r="BN209" s="156">
        <f>IF(B209&lt;&gt;"",_xlfn.XLOOKUP(B209,'Cronog. e Histog.'!B:B,'Cronog. e Histog.'!EK:EK),0)</f>
        <v>0</v>
      </c>
      <c r="BO209" s="109">
        <f>($O209/Dashboard!$D$15)*(1+Dashboard!$D$19)</f>
        <v>123.96694214876032</v>
      </c>
      <c r="BP209" s="84">
        <f t="shared" si="232"/>
        <v>0</v>
      </c>
      <c r="BQ209" s="65"/>
      <c r="BR209" s="204"/>
      <c r="BS209" s="156">
        <f>IF(B209&lt;&gt;"",_xlfn.XLOOKUP(B209,'Cronog. e Histog.'!B:B,'Cronog. e Histog.'!EL:EL),0)</f>
        <v>0</v>
      </c>
      <c r="BT209" s="109">
        <f>($O209/Dashboard!$D$15)*(1+Dashboard!$D$20)</f>
        <v>144.62809917355369</v>
      </c>
      <c r="BU209" s="84">
        <f t="shared" si="233"/>
        <v>0</v>
      </c>
      <c r="BV209" s="65"/>
      <c r="BW209" s="204"/>
      <c r="BX209" s="156">
        <f>IF(B209&lt;&gt;"",_xlfn.XLOOKUP(B209,'Cronog. e Histog.'!B:B,'Cronog. e Histog.'!EM:EM),0)</f>
        <v>0</v>
      </c>
      <c r="BY209" s="109">
        <f>($O209/Dashboard!$D$15)*(1+Dashboard!$D$21)</f>
        <v>165.28925619834709</v>
      </c>
      <c r="BZ209" s="84">
        <f t="shared" si="234"/>
        <v>0</v>
      </c>
    </row>
    <row r="210" spans="2:78" ht="12" customHeight="1" outlineLevel="1">
      <c r="B210" s="137" t="str">
        <f>'Cronog. e Histog.'!B337</f>
        <v>ENG/ARQ PL. - Equipe_01</v>
      </c>
      <c r="C210" s="65"/>
      <c r="D210" s="200">
        <f t="shared" si="202"/>
        <v>0</v>
      </c>
      <c r="E210" s="200">
        <f t="shared" si="203"/>
        <v>0</v>
      </c>
      <c r="F210" s="65"/>
      <c r="G210" s="200">
        <f t="shared" si="204"/>
        <v>0</v>
      </c>
      <c r="H210" s="200">
        <f t="shared" si="205"/>
        <v>0</v>
      </c>
      <c r="I210" s="65"/>
      <c r="J210" s="143" t="str">
        <f>IF('Cronog. e Histog.'!G337&gt;0,'Cronog. e Histog.'!G337,"")</f>
        <v>ENG/ARQ PL.</v>
      </c>
      <c r="K210" s="65"/>
      <c r="L210" s="144">
        <f>'Cronog. e Histog.'!BT337</f>
        <v>0</v>
      </c>
      <c r="M210" s="144">
        <f>'Cronog. e Histog.'!BU337</f>
        <v>0</v>
      </c>
      <c r="N210" s="65"/>
      <c r="O210" s="109">
        <f>_xlfn.XLOOKUP(B210,Salários!B:B,Salários!K:K)</f>
        <v>14000</v>
      </c>
      <c r="P210" s="109">
        <f t="shared" si="220"/>
        <v>0</v>
      </c>
      <c r="Q210" s="109">
        <f t="shared" si="221"/>
        <v>0</v>
      </c>
      <c r="R210" s="65"/>
      <c r="S210" s="109">
        <f t="shared" si="222"/>
        <v>14000</v>
      </c>
      <c r="T210" s="201" t="str">
        <f>IF(_xlfn.XLOOKUP(B210,Salários!B:B,Salários!I:I)&gt;0,_xlfn.XLOOKUP(B210,Salários!B:B,Salários!I:I),"")</f>
        <v>PJ</v>
      </c>
      <c r="U210" s="117">
        <f t="shared" si="223"/>
        <v>0</v>
      </c>
      <c r="V210" s="65"/>
      <c r="W210" s="202"/>
      <c r="X210" s="65"/>
      <c r="Y210" s="69"/>
      <c r="Z210" s="65"/>
      <c r="AA210" s="518"/>
      <c r="AB210" s="65"/>
      <c r="AC210" s="81">
        <f t="shared" si="224"/>
        <v>0</v>
      </c>
      <c r="AD210" s="65"/>
      <c r="AE210" s="112"/>
      <c r="AF210" s="203">
        <v>0.3</v>
      </c>
      <c r="AG210" s="109">
        <f t="shared" si="44"/>
        <v>14000</v>
      </c>
      <c r="AH210" s="84">
        <f t="shared" si="225"/>
        <v>0</v>
      </c>
      <c r="AI210" s="65"/>
      <c r="AJ210" s="112"/>
      <c r="AK210" s="122"/>
      <c r="AL210" s="109">
        <v>1212</v>
      </c>
      <c r="AM210" s="84">
        <f t="shared" si="226"/>
        <v>0</v>
      </c>
      <c r="AN210" s="65"/>
      <c r="AO210" s="112"/>
      <c r="AP210" s="204"/>
      <c r="AQ210" s="109">
        <f>IFERROR((O210+AH210+AM210)/Dashboard!$D$15,0)*0.2</f>
        <v>14.46280991735537</v>
      </c>
      <c r="AR210" s="84">
        <f t="shared" si="227"/>
        <v>0</v>
      </c>
      <c r="AS210" s="65"/>
      <c r="AT210" s="112"/>
      <c r="AU210" s="203">
        <v>0.33</v>
      </c>
      <c r="AV210" s="109">
        <f t="shared" si="214"/>
        <v>14000</v>
      </c>
      <c r="AW210" s="84">
        <f t="shared" si="228"/>
        <v>0</v>
      </c>
      <c r="AX210" s="65"/>
      <c r="AY210" s="112"/>
      <c r="AZ210" s="203">
        <v>0.25</v>
      </c>
      <c r="BA210" s="109">
        <f t="shared" si="50"/>
        <v>14000</v>
      </c>
      <c r="BB210" s="84">
        <f t="shared" si="229"/>
        <v>0</v>
      </c>
      <c r="BC210" s="65"/>
      <c r="BD210" s="112"/>
      <c r="BE210" s="203">
        <v>0.26</v>
      </c>
      <c r="BF210" s="109">
        <f t="shared" si="217"/>
        <v>14000</v>
      </c>
      <c r="BG210" s="84">
        <f t="shared" si="230"/>
        <v>0</v>
      </c>
      <c r="BH210" s="197"/>
      <c r="BI210" s="518"/>
      <c r="BJ210" s="65"/>
      <c r="BK210" s="81">
        <f t="shared" si="231"/>
        <v>0</v>
      </c>
      <c r="BL210" s="65"/>
      <c r="BM210" s="204"/>
      <c r="BN210" s="156">
        <f>IF(B210&lt;&gt;"",_xlfn.XLOOKUP(B210,'Cronog. e Histog.'!B:B,'Cronog. e Histog.'!EK:EK),0)</f>
        <v>0</v>
      </c>
      <c r="BO210" s="109">
        <f>($O210/Dashboard!$D$15)*(1+Dashboard!$D$19)</f>
        <v>108.47107438016528</v>
      </c>
      <c r="BP210" s="84">
        <f t="shared" si="232"/>
        <v>0</v>
      </c>
      <c r="BQ210" s="65"/>
      <c r="BR210" s="204"/>
      <c r="BS210" s="156">
        <f>IF(B210&lt;&gt;"",_xlfn.XLOOKUP(B210,'Cronog. e Histog.'!B:B,'Cronog. e Histog.'!EL:EL),0)</f>
        <v>0</v>
      </c>
      <c r="BT210" s="109">
        <f>($O210/Dashboard!$D$15)*(1+Dashboard!$D$20)</f>
        <v>126.54958677685948</v>
      </c>
      <c r="BU210" s="84">
        <f t="shared" si="233"/>
        <v>0</v>
      </c>
      <c r="BV210" s="65"/>
      <c r="BW210" s="204"/>
      <c r="BX210" s="156">
        <f>IF(B210&lt;&gt;"",_xlfn.XLOOKUP(B210,'Cronog. e Histog.'!B:B,'Cronog. e Histog.'!EM:EM),0)</f>
        <v>0</v>
      </c>
      <c r="BY210" s="109">
        <f>($O210/Dashboard!$D$15)*(1+Dashboard!$D$21)</f>
        <v>144.62809917355369</v>
      </c>
      <c r="BZ210" s="84">
        <f t="shared" si="234"/>
        <v>0</v>
      </c>
    </row>
    <row r="211" spans="2:78" ht="12" customHeight="1" outlineLevel="1">
      <c r="B211" s="137" t="str">
        <f>'Cronog. e Histog.'!B338</f>
        <v>ENG/ARQ JR. - Equipe_01</v>
      </c>
      <c r="C211" s="65"/>
      <c r="D211" s="200">
        <f t="shared" si="202"/>
        <v>0</v>
      </c>
      <c r="E211" s="200">
        <f t="shared" si="203"/>
        <v>0</v>
      </c>
      <c r="F211" s="65"/>
      <c r="G211" s="200">
        <f t="shared" si="204"/>
        <v>0</v>
      </c>
      <c r="H211" s="200">
        <f t="shared" si="205"/>
        <v>0</v>
      </c>
      <c r="I211" s="65"/>
      <c r="J211" s="143" t="str">
        <f>IF('Cronog. e Histog.'!G338&gt;0,'Cronog. e Histog.'!G338,"")</f>
        <v>ENG/ARQ JR.</v>
      </c>
      <c r="K211" s="65"/>
      <c r="L211" s="144">
        <f>'Cronog. e Histog.'!BT338</f>
        <v>0</v>
      </c>
      <c r="M211" s="144">
        <f>'Cronog. e Histog.'!BU338</f>
        <v>0</v>
      </c>
      <c r="N211" s="65"/>
      <c r="O211" s="109">
        <f>_xlfn.XLOOKUP(B211,Salários!B:B,Salários!K:K)</f>
        <v>14000</v>
      </c>
      <c r="P211" s="109">
        <f t="shared" si="220"/>
        <v>0</v>
      </c>
      <c r="Q211" s="109">
        <f t="shared" si="221"/>
        <v>0</v>
      </c>
      <c r="R211" s="65"/>
      <c r="S211" s="109">
        <f t="shared" si="222"/>
        <v>14000</v>
      </c>
      <c r="T211" s="201" t="str">
        <f>IF(_xlfn.XLOOKUP(B211,Salários!B:B,Salários!I:I)&gt;0,_xlfn.XLOOKUP(B211,Salários!B:B,Salários!I:I),"")</f>
        <v>PJ</v>
      </c>
      <c r="U211" s="117">
        <f t="shared" si="223"/>
        <v>0</v>
      </c>
      <c r="V211" s="65"/>
      <c r="W211" s="202"/>
      <c r="X211" s="65"/>
      <c r="Y211" s="69"/>
      <c r="Z211" s="65"/>
      <c r="AA211" s="518"/>
      <c r="AB211" s="65"/>
      <c r="AC211" s="81">
        <f t="shared" si="224"/>
        <v>0</v>
      </c>
      <c r="AD211" s="65"/>
      <c r="AE211" s="112"/>
      <c r="AF211" s="203">
        <v>0.3</v>
      </c>
      <c r="AG211" s="109">
        <f t="shared" si="44"/>
        <v>14000</v>
      </c>
      <c r="AH211" s="84">
        <f t="shared" si="225"/>
        <v>0</v>
      </c>
      <c r="AI211" s="65"/>
      <c r="AJ211" s="112"/>
      <c r="AK211" s="122"/>
      <c r="AL211" s="109">
        <v>1212</v>
      </c>
      <c r="AM211" s="84">
        <f t="shared" si="226"/>
        <v>0</v>
      </c>
      <c r="AN211" s="65"/>
      <c r="AO211" s="112"/>
      <c r="AP211" s="204"/>
      <c r="AQ211" s="109">
        <f>IFERROR((O211+AH211+AM211)/Dashboard!$D$15,0)*0.2</f>
        <v>14.46280991735537</v>
      </c>
      <c r="AR211" s="84">
        <f t="shared" si="227"/>
        <v>0</v>
      </c>
      <c r="AS211" s="65"/>
      <c r="AT211" s="112"/>
      <c r="AU211" s="203">
        <v>0.33</v>
      </c>
      <c r="AV211" s="109">
        <f t="shared" si="214"/>
        <v>14000</v>
      </c>
      <c r="AW211" s="84">
        <f t="shared" si="228"/>
        <v>0</v>
      </c>
      <c r="AX211" s="65"/>
      <c r="AY211" s="112"/>
      <c r="AZ211" s="203">
        <v>0.25</v>
      </c>
      <c r="BA211" s="109">
        <f t="shared" si="50"/>
        <v>14000</v>
      </c>
      <c r="BB211" s="84">
        <f t="shared" si="229"/>
        <v>0</v>
      </c>
      <c r="BC211" s="65"/>
      <c r="BD211" s="112"/>
      <c r="BE211" s="203">
        <v>0.26</v>
      </c>
      <c r="BF211" s="109">
        <f t="shared" si="217"/>
        <v>14000</v>
      </c>
      <c r="BG211" s="84">
        <f t="shared" si="230"/>
        <v>0</v>
      </c>
      <c r="BH211" s="197"/>
      <c r="BI211" s="518"/>
      <c r="BJ211" s="65"/>
      <c r="BK211" s="81">
        <f t="shared" si="231"/>
        <v>0</v>
      </c>
      <c r="BL211" s="65"/>
      <c r="BM211" s="204"/>
      <c r="BN211" s="156">
        <f>IF(B211&lt;&gt;"",_xlfn.XLOOKUP(B211,'Cronog. e Histog.'!B:B,'Cronog. e Histog.'!EK:EK),0)</f>
        <v>0</v>
      </c>
      <c r="BO211" s="109">
        <f>($O211/Dashboard!$D$15)*(1+Dashboard!$D$19)</f>
        <v>108.47107438016528</v>
      </c>
      <c r="BP211" s="84">
        <f t="shared" si="232"/>
        <v>0</v>
      </c>
      <c r="BQ211" s="65"/>
      <c r="BR211" s="204"/>
      <c r="BS211" s="156">
        <f>IF(B211&lt;&gt;"",_xlfn.XLOOKUP(B211,'Cronog. e Histog.'!B:B,'Cronog. e Histog.'!EL:EL),0)</f>
        <v>0</v>
      </c>
      <c r="BT211" s="109">
        <f>($O211/Dashboard!$D$15)*(1+Dashboard!$D$20)</f>
        <v>126.54958677685948</v>
      </c>
      <c r="BU211" s="84">
        <f t="shared" si="233"/>
        <v>0</v>
      </c>
      <c r="BV211" s="65"/>
      <c r="BW211" s="204"/>
      <c r="BX211" s="156">
        <f>IF(B211&lt;&gt;"",_xlfn.XLOOKUP(B211,'Cronog. e Histog.'!B:B,'Cronog. e Histog.'!EM:EM),0)</f>
        <v>0</v>
      </c>
      <c r="BY211" s="109">
        <f>($O211/Dashboard!$D$15)*(1+Dashboard!$D$21)</f>
        <v>144.62809917355369</v>
      </c>
      <c r="BZ211" s="84">
        <f t="shared" si="234"/>
        <v>0</v>
      </c>
    </row>
    <row r="212" spans="2:78" ht="12" customHeight="1" outlineLevel="1">
      <c r="B212" s="137" t="str">
        <f>'Cronog. e Histog.'!B339</f>
        <v>AN SR. ENG/ARQ - Equipe_01</v>
      </c>
      <c r="C212" s="65"/>
      <c r="D212" s="200">
        <f t="shared" si="202"/>
        <v>0</v>
      </c>
      <c r="E212" s="200">
        <f t="shared" si="203"/>
        <v>0</v>
      </c>
      <c r="F212" s="65"/>
      <c r="G212" s="200">
        <f t="shared" si="204"/>
        <v>0</v>
      </c>
      <c r="H212" s="200">
        <f t="shared" si="205"/>
        <v>0</v>
      </c>
      <c r="I212" s="65"/>
      <c r="J212" s="143" t="str">
        <f>IF('Cronog. e Histog.'!G339&gt;0,'Cronog. e Histog.'!G339,"")</f>
        <v>AN SR. ENG/ARQ</v>
      </c>
      <c r="K212" s="65"/>
      <c r="L212" s="144">
        <f>'Cronog. e Histog.'!BT339</f>
        <v>0</v>
      </c>
      <c r="M212" s="144">
        <f>'Cronog. e Histog.'!BU339</f>
        <v>0</v>
      </c>
      <c r="N212" s="65"/>
      <c r="O212" s="109">
        <f>_xlfn.XLOOKUP(B212,Salários!B:B,Salários!K:K)</f>
        <v>7950</v>
      </c>
      <c r="P212" s="109">
        <f t="shared" si="220"/>
        <v>0</v>
      </c>
      <c r="Q212" s="109">
        <f t="shared" si="221"/>
        <v>0</v>
      </c>
      <c r="R212" s="65"/>
      <c r="S212" s="109">
        <f t="shared" si="222"/>
        <v>7950</v>
      </c>
      <c r="T212" s="201" t="str">
        <f>IF(_xlfn.XLOOKUP(B212,Salários!B:B,Salários!I:I)&gt;0,_xlfn.XLOOKUP(B212,Salários!B:B,Salários!I:I),"")</f>
        <v>Mensalista</v>
      </c>
      <c r="U212" s="117">
        <f t="shared" si="223"/>
        <v>0</v>
      </c>
      <c r="V212" s="65"/>
      <c r="W212" s="202"/>
      <c r="X212" s="65"/>
      <c r="Y212" s="69"/>
      <c r="Z212" s="65"/>
      <c r="AA212" s="518"/>
      <c r="AB212" s="65"/>
      <c r="AC212" s="81">
        <f t="shared" si="224"/>
        <v>0</v>
      </c>
      <c r="AD212" s="65"/>
      <c r="AE212" s="112"/>
      <c r="AF212" s="203">
        <v>0.3</v>
      </c>
      <c r="AG212" s="109">
        <f t="shared" ref="AG212:AG216" si="235">$O212</f>
        <v>7950</v>
      </c>
      <c r="AH212" s="84">
        <f t="shared" si="225"/>
        <v>0</v>
      </c>
      <c r="AI212" s="65"/>
      <c r="AJ212" s="112"/>
      <c r="AK212" s="122"/>
      <c r="AL212" s="109">
        <v>1212</v>
      </c>
      <c r="AM212" s="84">
        <f t="shared" si="226"/>
        <v>0</v>
      </c>
      <c r="AN212" s="65"/>
      <c r="AO212" s="112"/>
      <c r="AP212" s="204"/>
      <c r="AQ212" s="109">
        <f>IFERROR((O212+AH212+AM212)/Dashboard!$D$15,0)*0.2</f>
        <v>8.2128099173553704</v>
      </c>
      <c r="AR212" s="84">
        <f t="shared" si="227"/>
        <v>0</v>
      </c>
      <c r="AS212" s="65"/>
      <c r="AT212" s="112"/>
      <c r="AU212" s="203">
        <v>0.33</v>
      </c>
      <c r="AV212" s="109">
        <f t="shared" si="214"/>
        <v>7950</v>
      </c>
      <c r="AW212" s="84">
        <f t="shared" si="228"/>
        <v>0</v>
      </c>
      <c r="AX212" s="65"/>
      <c r="AY212" s="112"/>
      <c r="AZ212" s="203">
        <v>0.25</v>
      </c>
      <c r="BA212" s="109">
        <f t="shared" ref="BA212:BA216" si="236">$O212</f>
        <v>7950</v>
      </c>
      <c r="BB212" s="84">
        <f t="shared" si="229"/>
        <v>0</v>
      </c>
      <c r="BC212" s="65"/>
      <c r="BD212" s="112"/>
      <c r="BE212" s="203">
        <v>0.26</v>
      </c>
      <c r="BF212" s="109">
        <f t="shared" si="217"/>
        <v>7950</v>
      </c>
      <c r="BG212" s="84">
        <f t="shared" si="230"/>
        <v>0</v>
      </c>
      <c r="BH212" s="197"/>
      <c r="BI212" s="518"/>
      <c r="BJ212" s="65"/>
      <c r="BK212" s="81">
        <f t="shared" si="231"/>
        <v>0</v>
      </c>
      <c r="BL212" s="65"/>
      <c r="BM212" s="204"/>
      <c r="BN212" s="156">
        <f>IF(B212&lt;&gt;"",_xlfn.XLOOKUP(B212,'Cronog. e Histog.'!B:B,'Cronog. e Histog.'!EK:EK),0)</f>
        <v>0</v>
      </c>
      <c r="BO212" s="109">
        <f>($O212/Dashboard!$D$15)*(1+Dashboard!$D$19)</f>
        <v>61.596074380165277</v>
      </c>
      <c r="BP212" s="84">
        <f t="shared" si="232"/>
        <v>0</v>
      </c>
      <c r="BQ212" s="65"/>
      <c r="BR212" s="204"/>
      <c r="BS212" s="156">
        <f>IF(B212&lt;&gt;"",_xlfn.XLOOKUP(B212,'Cronog. e Histog.'!B:B,'Cronog. e Histog.'!EL:EL),0)</f>
        <v>0</v>
      </c>
      <c r="BT212" s="109">
        <f>($O212/Dashboard!$D$15)*(1+Dashboard!$D$20)</f>
        <v>71.862086776859499</v>
      </c>
      <c r="BU212" s="84">
        <f t="shared" si="233"/>
        <v>0</v>
      </c>
      <c r="BV212" s="65"/>
      <c r="BW212" s="204"/>
      <c r="BX212" s="156">
        <f>IF(B212&lt;&gt;"",_xlfn.XLOOKUP(B212,'Cronog. e Histog.'!B:B,'Cronog. e Histog.'!EM:EM),0)</f>
        <v>0</v>
      </c>
      <c r="BY212" s="109">
        <f>($O212/Dashboard!$D$15)*(1+Dashboard!$D$21)</f>
        <v>82.128099173553707</v>
      </c>
      <c r="BZ212" s="84">
        <f t="shared" si="234"/>
        <v>0</v>
      </c>
    </row>
    <row r="213" spans="2:78" ht="12" customHeight="1" outlineLevel="1">
      <c r="B213" s="137" t="str">
        <f>'Cronog. e Histog.'!B340</f>
        <v>AN PL. ENG/ARQ - Equipe_01</v>
      </c>
      <c r="C213" s="65"/>
      <c r="D213" s="200">
        <f t="shared" si="202"/>
        <v>0</v>
      </c>
      <c r="E213" s="200">
        <f t="shared" si="203"/>
        <v>0</v>
      </c>
      <c r="F213" s="65"/>
      <c r="G213" s="200">
        <f t="shared" si="204"/>
        <v>0</v>
      </c>
      <c r="H213" s="200">
        <f t="shared" si="205"/>
        <v>0</v>
      </c>
      <c r="I213" s="65"/>
      <c r="J213" s="143" t="str">
        <f>IF('Cronog. e Histog.'!G340&gt;0,'Cronog. e Histog.'!G340,"")</f>
        <v>AN PL. ENG/ARQ</v>
      </c>
      <c r="K213" s="65"/>
      <c r="L213" s="144">
        <f>'Cronog. e Histog.'!BT340</f>
        <v>0</v>
      </c>
      <c r="M213" s="144">
        <f>'Cronog. e Histog.'!BU340</f>
        <v>0</v>
      </c>
      <c r="N213" s="65"/>
      <c r="O213" s="109">
        <f>_xlfn.XLOOKUP(B213,Salários!B:B,Salários!K:K)</f>
        <v>6360</v>
      </c>
      <c r="P213" s="109">
        <f t="shared" si="220"/>
        <v>0</v>
      </c>
      <c r="Q213" s="109">
        <f t="shared" si="221"/>
        <v>0</v>
      </c>
      <c r="R213" s="65"/>
      <c r="S213" s="109">
        <f t="shared" si="222"/>
        <v>6360</v>
      </c>
      <c r="T213" s="201" t="str">
        <f>IF(_xlfn.XLOOKUP(B213,Salários!B:B,Salários!I:I)&gt;0,_xlfn.XLOOKUP(B213,Salários!B:B,Salários!I:I),"")</f>
        <v>Mensalista</v>
      </c>
      <c r="U213" s="117">
        <f t="shared" si="223"/>
        <v>0</v>
      </c>
      <c r="V213" s="65"/>
      <c r="W213" s="202"/>
      <c r="X213" s="65"/>
      <c r="Y213" s="69"/>
      <c r="Z213" s="65"/>
      <c r="AA213" s="518"/>
      <c r="AB213" s="65"/>
      <c r="AC213" s="81">
        <f t="shared" si="224"/>
        <v>0</v>
      </c>
      <c r="AD213" s="65"/>
      <c r="AE213" s="112"/>
      <c r="AF213" s="203">
        <v>0.3</v>
      </c>
      <c r="AG213" s="109">
        <f t="shared" si="235"/>
        <v>6360</v>
      </c>
      <c r="AH213" s="84">
        <f t="shared" si="225"/>
        <v>0</v>
      </c>
      <c r="AI213" s="65"/>
      <c r="AJ213" s="112"/>
      <c r="AK213" s="122"/>
      <c r="AL213" s="109">
        <v>1212</v>
      </c>
      <c r="AM213" s="84">
        <f t="shared" si="226"/>
        <v>0</v>
      </c>
      <c r="AN213" s="65"/>
      <c r="AO213" s="112"/>
      <c r="AP213" s="204"/>
      <c r="AQ213" s="109">
        <f>IFERROR((O213+AH213+AM213)/Dashboard!$D$15,0)*0.2</f>
        <v>6.5702479338842963</v>
      </c>
      <c r="AR213" s="84">
        <f t="shared" si="227"/>
        <v>0</v>
      </c>
      <c r="AS213" s="65"/>
      <c r="AT213" s="112"/>
      <c r="AU213" s="203">
        <v>0.33</v>
      </c>
      <c r="AV213" s="109">
        <f t="shared" si="214"/>
        <v>6360</v>
      </c>
      <c r="AW213" s="84">
        <f t="shared" si="228"/>
        <v>0</v>
      </c>
      <c r="AX213" s="65"/>
      <c r="AY213" s="112"/>
      <c r="AZ213" s="203">
        <v>0.25</v>
      </c>
      <c r="BA213" s="109">
        <f t="shared" si="236"/>
        <v>6360</v>
      </c>
      <c r="BB213" s="84">
        <f t="shared" si="229"/>
        <v>0</v>
      </c>
      <c r="BC213" s="65"/>
      <c r="BD213" s="112"/>
      <c r="BE213" s="203">
        <v>0.26</v>
      </c>
      <c r="BF213" s="109">
        <f t="shared" si="217"/>
        <v>6360</v>
      </c>
      <c r="BG213" s="84">
        <f t="shared" si="230"/>
        <v>0</v>
      </c>
      <c r="BH213" s="197"/>
      <c r="BI213" s="518"/>
      <c r="BJ213" s="65"/>
      <c r="BK213" s="81">
        <f t="shared" si="231"/>
        <v>0</v>
      </c>
      <c r="BL213" s="65"/>
      <c r="BM213" s="204"/>
      <c r="BN213" s="156">
        <f>IF(B213&lt;&gt;"",_xlfn.XLOOKUP(B213,'Cronog. e Histog.'!B:B,'Cronog. e Histog.'!EK:EK),0)</f>
        <v>0</v>
      </c>
      <c r="BO213" s="109">
        <f>($O213/Dashboard!$D$15)*(1+Dashboard!$D$19)</f>
        <v>49.276859504132219</v>
      </c>
      <c r="BP213" s="84">
        <f t="shared" si="232"/>
        <v>0</v>
      </c>
      <c r="BQ213" s="65"/>
      <c r="BR213" s="204"/>
      <c r="BS213" s="156">
        <f>IF(B213&lt;&gt;"",_xlfn.XLOOKUP(B213,'Cronog. e Histog.'!B:B,'Cronog. e Histog.'!EL:EL),0)</f>
        <v>0</v>
      </c>
      <c r="BT213" s="109">
        <f>($O213/Dashboard!$D$15)*(1+Dashboard!$D$20)</f>
        <v>57.489669421487591</v>
      </c>
      <c r="BU213" s="84">
        <f t="shared" si="233"/>
        <v>0</v>
      </c>
      <c r="BV213" s="65"/>
      <c r="BW213" s="204"/>
      <c r="BX213" s="156">
        <f>IF(B213&lt;&gt;"",_xlfn.XLOOKUP(B213,'Cronog. e Histog.'!B:B,'Cronog. e Histog.'!EM:EM),0)</f>
        <v>0</v>
      </c>
      <c r="BY213" s="109">
        <f>($O213/Dashboard!$D$15)*(1+Dashboard!$D$21)</f>
        <v>65.702479338842963</v>
      </c>
      <c r="BZ213" s="84">
        <f t="shared" si="234"/>
        <v>0</v>
      </c>
    </row>
    <row r="214" spans="2:78" ht="12" customHeight="1" outlineLevel="1">
      <c r="B214" s="137" t="str">
        <f>'Cronog. e Histog.'!B341</f>
        <v>AN JR. ENG/ARQ - Equipe_01</v>
      </c>
      <c r="C214" s="65"/>
      <c r="D214" s="200">
        <f t="shared" si="202"/>
        <v>0</v>
      </c>
      <c r="E214" s="200">
        <f t="shared" si="203"/>
        <v>0</v>
      </c>
      <c r="F214" s="65"/>
      <c r="G214" s="200">
        <f t="shared" si="204"/>
        <v>0</v>
      </c>
      <c r="H214" s="200">
        <f t="shared" si="205"/>
        <v>0</v>
      </c>
      <c r="I214" s="65"/>
      <c r="J214" s="143" t="str">
        <f>IF('Cronog. e Histog.'!G341&gt;0,'Cronog. e Histog.'!G341,"")</f>
        <v>AN JR. ENG/ARQ</v>
      </c>
      <c r="K214" s="65"/>
      <c r="L214" s="144">
        <f>'Cronog. e Histog.'!BT341</f>
        <v>0</v>
      </c>
      <c r="M214" s="144">
        <f>'Cronog. e Histog.'!BU341</f>
        <v>0</v>
      </c>
      <c r="N214" s="65"/>
      <c r="O214" s="109">
        <f>_xlfn.XLOOKUP(B214,Salários!B:B,Salários!K:K)</f>
        <v>4770</v>
      </c>
      <c r="P214" s="109">
        <f t="shared" si="220"/>
        <v>0</v>
      </c>
      <c r="Q214" s="109">
        <f t="shared" si="221"/>
        <v>0</v>
      </c>
      <c r="R214" s="65"/>
      <c r="S214" s="109">
        <f t="shared" si="222"/>
        <v>4770</v>
      </c>
      <c r="T214" s="201" t="str">
        <f>IF(_xlfn.XLOOKUP(B214,Salários!B:B,Salários!I:I)&gt;0,_xlfn.XLOOKUP(B214,Salários!B:B,Salários!I:I),"")</f>
        <v>Mensalista</v>
      </c>
      <c r="U214" s="117">
        <f t="shared" si="223"/>
        <v>0</v>
      </c>
      <c r="V214" s="65"/>
      <c r="W214" s="202"/>
      <c r="X214" s="65"/>
      <c r="Y214" s="69"/>
      <c r="Z214" s="65"/>
      <c r="AA214" s="518"/>
      <c r="AB214" s="65"/>
      <c r="AC214" s="81">
        <f t="shared" si="224"/>
        <v>0</v>
      </c>
      <c r="AD214" s="65"/>
      <c r="AE214" s="112"/>
      <c r="AF214" s="203">
        <v>0.3</v>
      </c>
      <c r="AG214" s="109">
        <f t="shared" si="235"/>
        <v>4770</v>
      </c>
      <c r="AH214" s="84">
        <f t="shared" si="225"/>
        <v>0</v>
      </c>
      <c r="AI214" s="65"/>
      <c r="AJ214" s="112"/>
      <c r="AK214" s="122"/>
      <c r="AL214" s="109">
        <v>1212</v>
      </c>
      <c r="AM214" s="84">
        <f t="shared" si="226"/>
        <v>0</v>
      </c>
      <c r="AN214" s="65"/>
      <c r="AO214" s="112"/>
      <c r="AP214" s="204"/>
      <c r="AQ214" s="109">
        <f>IFERROR((O214+AH214+AM214)/Dashboard!$D$15,0)*0.2</f>
        <v>4.9276859504132231</v>
      </c>
      <c r="AR214" s="84">
        <f t="shared" si="227"/>
        <v>0</v>
      </c>
      <c r="AS214" s="65"/>
      <c r="AT214" s="112"/>
      <c r="AU214" s="203">
        <v>0.33</v>
      </c>
      <c r="AV214" s="109">
        <f t="shared" si="214"/>
        <v>4770</v>
      </c>
      <c r="AW214" s="84">
        <f t="shared" si="228"/>
        <v>0</v>
      </c>
      <c r="AX214" s="65"/>
      <c r="AY214" s="112"/>
      <c r="AZ214" s="203">
        <v>0.25</v>
      </c>
      <c r="BA214" s="109">
        <f t="shared" si="236"/>
        <v>4770</v>
      </c>
      <c r="BB214" s="84">
        <f t="shared" si="229"/>
        <v>0</v>
      </c>
      <c r="BC214" s="65"/>
      <c r="BD214" s="112"/>
      <c r="BE214" s="203">
        <v>0.26</v>
      </c>
      <c r="BF214" s="109">
        <f t="shared" si="217"/>
        <v>4770</v>
      </c>
      <c r="BG214" s="84">
        <f t="shared" si="230"/>
        <v>0</v>
      </c>
      <c r="BH214" s="197"/>
      <c r="BI214" s="518"/>
      <c r="BJ214" s="65"/>
      <c r="BK214" s="81">
        <f t="shared" si="231"/>
        <v>0</v>
      </c>
      <c r="BL214" s="65"/>
      <c r="BM214" s="204"/>
      <c r="BN214" s="156">
        <f>IF(B214&lt;&gt;"",_xlfn.XLOOKUP(B214,'Cronog. e Histog.'!B:B,'Cronog. e Histog.'!EK:EK),0)</f>
        <v>0</v>
      </c>
      <c r="BO214" s="109">
        <f>($O214/Dashboard!$D$15)*(1+Dashboard!$D$19)</f>
        <v>36.957644628099168</v>
      </c>
      <c r="BP214" s="84">
        <f t="shared" si="232"/>
        <v>0</v>
      </c>
      <c r="BQ214" s="65"/>
      <c r="BR214" s="204"/>
      <c r="BS214" s="156">
        <f>IF(B214&lt;&gt;"",_xlfn.XLOOKUP(B214,'Cronog. e Histog.'!B:B,'Cronog. e Histog.'!EL:EL),0)</f>
        <v>0</v>
      </c>
      <c r="BT214" s="109">
        <f>($O214/Dashboard!$D$15)*(1+Dashboard!$D$20)</f>
        <v>43.117252066115697</v>
      </c>
      <c r="BU214" s="84">
        <f t="shared" si="233"/>
        <v>0</v>
      </c>
      <c r="BV214" s="65"/>
      <c r="BW214" s="204"/>
      <c r="BX214" s="156">
        <f>IF(B214&lt;&gt;"",_xlfn.XLOOKUP(B214,'Cronog. e Histog.'!B:B,'Cronog. e Histog.'!EM:EM),0)</f>
        <v>0</v>
      </c>
      <c r="BY214" s="109">
        <f>($O214/Dashboard!$D$15)*(1+Dashboard!$D$21)</f>
        <v>49.276859504132226</v>
      </c>
      <c r="BZ214" s="84">
        <f t="shared" si="234"/>
        <v>0</v>
      </c>
    </row>
    <row r="215" spans="2:78" ht="12" customHeight="1" outlineLevel="1">
      <c r="B215" s="137" t="str">
        <f>'Cronog. e Histog.'!B342</f>
        <v>AN SR. ADM/CRP - Equipe_01</v>
      </c>
      <c r="C215" s="65"/>
      <c r="D215" s="200">
        <f t="shared" si="202"/>
        <v>4.9999999999999996E-2</v>
      </c>
      <c r="E215" s="200">
        <f t="shared" si="203"/>
        <v>10</v>
      </c>
      <c r="F215" s="65"/>
      <c r="G215" s="200">
        <f t="shared" si="204"/>
        <v>4.9999999999999996E-2</v>
      </c>
      <c r="H215" s="200">
        <f t="shared" si="205"/>
        <v>10</v>
      </c>
      <c r="I215" s="65"/>
      <c r="J215" s="143" t="str">
        <f>IF('Cronog. e Histog.'!G342&gt;0,'Cronog. e Histog.'!G342,"")</f>
        <v>AN SR. ADM/CRP</v>
      </c>
      <c r="K215" s="65"/>
      <c r="L215" s="144">
        <f>'Cronog. e Histog.'!BT342</f>
        <v>4.9999999999999996E-2</v>
      </c>
      <c r="M215" s="144">
        <f>'Cronog. e Histog.'!BU342</f>
        <v>10</v>
      </c>
      <c r="N215" s="65"/>
      <c r="O215" s="109">
        <f>_xlfn.XLOOKUP(B215,Salários!B:B,Salários!K:K)</f>
        <v>7420</v>
      </c>
      <c r="P215" s="109">
        <f t="shared" si="220"/>
        <v>0</v>
      </c>
      <c r="Q215" s="109">
        <f t="shared" si="221"/>
        <v>0</v>
      </c>
      <c r="R215" s="65"/>
      <c r="S215" s="109">
        <f t="shared" si="222"/>
        <v>7420</v>
      </c>
      <c r="T215" s="201" t="str">
        <f>IF(_xlfn.XLOOKUP(B215,Salários!B:B,Salários!I:I)&gt;0,_xlfn.XLOOKUP(B215,Salários!B:B,Salários!I:I),"")</f>
        <v>Mensalista</v>
      </c>
      <c r="U215" s="117">
        <f t="shared" si="223"/>
        <v>3709.9999999999995</v>
      </c>
      <c r="V215" s="65"/>
      <c r="W215" s="202"/>
      <c r="X215" s="65"/>
      <c r="Y215" s="69"/>
      <c r="Z215" s="65"/>
      <c r="AA215" s="518"/>
      <c r="AB215" s="65"/>
      <c r="AC215" s="81">
        <f t="shared" si="224"/>
        <v>0</v>
      </c>
      <c r="AD215" s="65"/>
      <c r="AE215" s="112"/>
      <c r="AF215" s="203">
        <v>0.3</v>
      </c>
      <c r="AG215" s="109">
        <f t="shared" si="235"/>
        <v>7420</v>
      </c>
      <c r="AH215" s="84">
        <f t="shared" si="225"/>
        <v>0</v>
      </c>
      <c r="AI215" s="65"/>
      <c r="AJ215" s="112"/>
      <c r="AK215" s="122"/>
      <c r="AL215" s="109">
        <v>1212</v>
      </c>
      <c r="AM215" s="84">
        <f t="shared" si="226"/>
        <v>0</v>
      </c>
      <c r="AN215" s="65"/>
      <c r="AO215" s="112"/>
      <c r="AP215" s="204"/>
      <c r="AQ215" s="109">
        <f>IFERROR((O215+AH215+AM215)/Dashboard!$D$15,0)*0.2</f>
        <v>7.6652892561983466</v>
      </c>
      <c r="AR215" s="84">
        <f t="shared" si="227"/>
        <v>0</v>
      </c>
      <c r="AS215" s="65"/>
      <c r="AT215" s="112"/>
      <c r="AU215" s="203">
        <v>0.33</v>
      </c>
      <c r="AV215" s="109">
        <f t="shared" si="214"/>
        <v>7420</v>
      </c>
      <c r="AW215" s="84">
        <f t="shared" si="228"/>
        <v>0</v>
      </c>
      <c r="AX215" s="65"/>
      <c r="AY215" s="112"/>
      <c r="AZ215" s="203">
        <v>0.25</v>
      </c>
      <c r="BA215" s="109">
        <f t="shared" si="236"/>
        <v>7420</v>
      </c>
      <c r="BB215" s="84">
        <f t="shared" si="229"/>
        <v>0</v>
      </c>
      <c r="BC215" s="65"/>
      <c r="BD215" s="112"/>
      <c r="BE215" s="203">
        <v>0.26</v>
      </c>
      <c r="BF215" s="109">
        <f t="shared" si="217"/>
        <v>7420</v>
      </c>
      <c r="BG215" s="84">
        <f t="shared" si="230"/>
        <v>0</v>
      </c>
      <c r="BH215" s="197"/>
      <c r="BI215" s="518"/>
      <c r="BJ215" s="65"/>
      <c r="BK215" s="81">
        <f t="shared" si="231"/>
        <v>0</v>
      </c>
      <c r="BL215" s="65"/>
      <c r="BM215" s="204"/>
      <c r="BN215" s="156">
        <f>IF(B215&lt;&gt;"",_xlfn.XLOOKUP(B215,'Cronog. e Histog.'!B:B,'Cronog. e Histog.'!EK:EK),0)</f>
        <v>0</v>
      </c>
      <c r="BO215" s="109">
        <f>($O215/Dashboard!$D$15)*(1+Dashboard!$D$19)</f>
        <v>57.489669421487598</v>
      </c>
      <c r="BP215" s="84">
        <f t="shared" si="232"/>
        <v>0</v>
      </c>
      <c r="BQ215" s="65"/>
      <c r="BR215" s="204"/>
      <c r="BS215" s="156">
        <f>IF(B215&lt;&gt;"",_xlfn.XLOOKUP(B215,'Cronog. e Histog.'!B:B,'Cronog. e Histog.'!EL:EL),0)</f>
        <v>0</v>
      </c>
      <c r="BT215" s="109">
        <f>($O215/Dashboard!$D$15)*(1+Dashboard!$D$20)</f>
        <v>67.071280991735534</v>
      </c>
      <c r="BU215" s="84">
        <f t="shared" si="233"/>
        <v>0</v>
      </c>
      <c r="BV215" s="65"/>
      <c r="BW215" s="204"/>
      <c r="BX215" s="156">
        <f>IF(B215&lt;&gt;"",_xlfn.XLOOKUP(B215,'Cronog. e Histog.'!B:B,'Cronog. e Histog.'!EM:EM),0)</f>
        <v>0</v>
      </c>
      <c r="BY215" s="109">
        <f>($O215/Dashboard!$D$15)*(1+Dashboard!$D$21)</f>
        <v>76.652892561983464</v>
      </c>
      <c r="BZ215" s="84">
        <f t="shared" si="234"/>
        <v>0</v>
      </c>
    </row>
    <row r="216" spans="2:78" ht="12" customHeight="1" outlineLevel="1">
      <c r="B216" s="137" t="str">
        <f>'Cronog. e Histog.'!B343</f>
        <v>AN PL. ADM/CRP - Equipe_01</v>
      </c>
      <c r="C216" s="65"/>
      <c r="D216" s="200">
        <f t="shared" si="202"/>
        <v>0</v>
      </c>
      <c r="E216" s="200">
        <f t="shared" si="203"/>
        <v>0</v>
      </c>
      <c r="F216" s="65"/>
      <c r="G216" s="200">
        <f t="shared" si="204"/>
        <v>0</v>
      </c>
      <c r="H216" s="200">
        <f t="shared" si="205"/>
        <v>0</v>
      </c>
      <c r="I216" s="65"/>
      <c r="J216" s="143" t="str">
        <f>IF('Cronog. e Histog.'!G343&gt;0,'Cronog. e Histog.'!G343,"")</f>
        <v>AN PL. ADM/CRP</v>
      </c>
      <c r="K216" s="65"/>
      <c r="L216" s="144">
        <f>'Cronog. e Histog.'!BT343</f>
        <v>0</v>
      </c>
      <c r="M216" s="144">
        <f>'Cronog. e Histog.'!BU343</f>
        <v>0</v>
      </c>
      <c r="N216" s="65"/>
      <c r="O216" s="109">
        <f>_xlfn.XLOOKUP(B216,Salários!B:B,Salários!K:K)</f>
        <v>5300</v>
      </c>
      <c r="P216" s="109">
        <f t="shared" si="220"/>
        <v>0</v>
      </c>
      <c r="Q216" s="109">
        <f t="shared" si="221"/>
        <v>0</v>
      </c>
      <c r="R216" s="65"/>
      <c r="S216" s="109">
        <f t="shared" si="222"/>
        <v>5300</v>
      </c>
      <c r="T216" s="201" t="str">
        <f>IF(_xlfn.XLOOKUP(B216,Salários!B:B,Salários!I:I)&gt;0,_xlfn.XLOOKUP(B216,Salários!B:B,Salários!I:I),"")</f>
        <v>Mensalista</v>
      </c>
      <c r="U216" s="117">
        <f t="shared" si="223"/>
        <v>0</v>
      </c>
      <c r="V216" s="65"/>
      <c r="W216" s="202"/>
      <c r="X216" s="65"/>
      <c r="Y216" s="69"/>
      <c r="Z216" s="65"/>
      <c r="AA216" s="518"/>
      <c r="AB216" s="65"/>
      <c r="AC216" s="81">
        <f t="shared" si="224"/>
        <v>0</v>
      </c>
      <c r="AD216" s="65"/>
      <c r="AE216" s="112"/>
      <c r="AF216" s="203">
        <v>0.3</v>
      </c>
      <c r="AG216" s="109">
        <f t="shared" si="235"/>
        <v>5300</v>
      </c>
      <c r="AH216" s="84">
        <f t="shared" si="225"/>
        <v>0</v>
      </c>
      <c r="AI216" s="65"/>
      <c r="AJ216" s="112"/>
      <c r="AK216" s="122"/>
      <c r="AL216" s="109">
        <v>1212</v>
      </c>
      <c r="AM216" s="84">
        <f t="shared" si="226"/>
        <v>0</v>
      </c>
      <c r="AN216" s="65"/>
      <c r="AO216" s="112"/>
      <c r="AP216" s="204"/>
      <c r="AQ216" s="109">
        <f>IFERROR((O216+AH216+AM216)/Dashboard!$D$15,0)*0.2</f>
        <v>5.4752066115702478</v>
      </c>
      <c r="AR216" s="84">
        <f t="shared" si="227"/>
        <v>0</v>
      </c>
      <c r="AS216" s="65"/>
      <c r="AT216" s="112"/>
      <c r="AU216" s="203">
        <v>0.33</v>
      </c>
      <c r="AV216" s="109">
        <f t="shared" si="214"/>
        <v>5300</v>
      </c>
      <c r="AW216" s="84">
        <f t="shared" si="228"/>
        <v>0</v>
      </c>
      <c r="AX216" s="65"/>
      <c r="AY216" s="112"/>
      <c r="AZ216" s="203">
        <v>0.25</v>
      </c>
      <c r="BA216" s="109">
        <f t="shared" si="236"/>
        <v>5300</v>
      </c>
      <c r="BB216" s="84">
        <f t="shared" si="229"/>
        <v>0</v>
      </c>
      <c r="BC216" s="65"/>
      <c r="BD216" s="112"/>
      <c r="BE216" s="203">
        <v>0.26</v>
      </c>
      <c r="BF216" s="109">
        <f t="shared" si="217"/>
        <v>5300</v>
      </c>
      <c r="BG216" s="84">
        <f t="shared" si="230"/>
        <v>0</v>
      </c>
      <c r="BH216" s="197"/>
      <c r="BI216" s="518"/>
      <c r="BJ216" s="65"/>
      <c r="BK216" s="81">
        <f t="shared" si="231"/>
        <v>0</v>
      </c>
      <c r="BL216" s="65"/>
      <c r="BM216" s="204"/>
      <c r="BN216" s="156">
        <f>IF(B216&lt;&gt;"",_xlfn.XLOOKUP(B216,'Cronog. e Histog.'!B:B,'Cronog. e Histog.'!EK:EK),0)</f>
        <v>0</v>
      </c>
      <c r="BO216" s="109">
        <f>($O216/Dashboard!$D$15)*(1+Dashboard!$D$19)</f>
        <v>41.064049586776861</v>
      </c>
      <c r="BP216" s="84">
        <f t="shared" si="232"/>
        <v>0</v>
      </c>
      <c r="BQ216" s="65"/>
      <c r="BR216" s="204"/>
      <c r="BS216" s="156">
        <f>IF(B216&lt;&gt;"",_xlfn.XLOOKUP(B216,'Cronog. e Histog.'!B:B,'Cronog. e Histog.'!EL:EL),0)</f>
        <v>0</v>
      </c>
      <c r="BT216" s="109">
        <f>($O216/Dashboard!$D$15)*(1+Dashboard!$D$20)</f>
        <v>47.908057851239668</v>
      </c>
      <c r="BU216" s="84">
        <f t="shared" si="233"/>
        <v>0</v>
      </c>
      <c r="BV216" s="65"/>
      <c r="BW216" s="204"/>
      <c r="BX216" s="156">
        <f>IF(B216&lt;&gt;"",_xlfn.XLOOKUP(B216,'Cronog. e Histog.'!B:B,'Cronog. e Histog.'!EM:EM),0)</f>
        <v>0</v>
      </c>
      <c r="BY216" s="109">
        <f>($O216/Dashboard!$D$15)*(1+Dashboard!$D$21)</f>
        <v>54.752066115702476</v>
      </c>
      <c r="BZ216" s="84">
        <f t="shared" si="234"/>
        <v>0</v>
      </c>
    </row>
    <row r="217" spans="2:78" ht="12" customHeight="1" outlineLevel="1">
      <c r="B217" s="137" t="str">
        <f>'Cronog. e Histog.'!B344</f>
        <v>AN JR. ADM/CRP - Equipe_01</v>
      </c>
      <c r="C217" s="65"/>
      <c r="D217" s="200">
        <f t="shared" si="202"/>
        <v>0</v>
      </c>
      <c r="E217" s="200">
        <f t="shared" si="203"/>
        <v>0</v>
      </c>
      <c r="F217" s="65"/>
      <c r="G217" s="200">
        <f t="shared" si="204"/>
        <v>0</v>
      </c>
      <c r="H217" s="200">
        <f t="shared" si="205"/>
        <v>0</v>
      </c>
      <c r="I217" s="65"/>
      <c r="J217" s="143" t="str">
        <f>IF('Cronog. e Histog.'!G344&gt;0,'Cronog. e Histog.'!G344,"")</f>
        <v>AN JR. ADM/CRP</v>
      </c>
      <c r="K217" s="65"/>
      <c r="L217" s="144">
        <f>'Cronog. e Histog.'!BT344</f>
        <v>0</v>
      </c>
      <c r="M217" s="144">
        <f>'Cronog. e Histog.'!BU344</f>
        <v>0</v>
      </c>
      <c r="N217" s="65"/>
      <c r="O217" s="109">
        <f>_xlfn.XLOOKUP(B217,Salários!B:B,Salários!K:K)</f>
        <v>3710</v>
      </c>
      <c r="P217" s="109">
        <f t="shared" si="220"/>
        <v>0</v>
      </c>
      <c r="Q217" s="109">
        <f t="shared" si="221"/>
        <v>0</v>
      </c>
      <c r="R217" s="65"/>
      <c r="S217" s="109">
        <f t="shared" si="222"/>
        <v>3710</v>
      </c>
      <c r="T217" s="201" t="str">
        <f>IF(_xlfn.XLOOKUP(B217,Salários!B:B,Salários!I:I)&gt;0,_xlfn.XLOOKUP(B217,Salários!B:B,Salários!I:I),"")</f>
        <v>Mensalista</v>
      </c>
      <c r="U217" s="117">
        <f t="shared" si="223"/>
        <v>0</v>
      </c>
      <c r="V217" s="65"/>
      <c r="W217" s="202"/>
      <c r="X217" s="65"/>
      <c r="Y217" s="69"/>
      <c r="Z217" s="65"/>
      <c r="AA217" s="518"/>
      <c r="AB217" s="65"/>
      <c r="AC217" s="81">
        <f t="shared" si="210"/>
        <v>0</v>
      </c>
      <c r="AD217" s="65"/>
      <c r="AE217" s="112"/>
      <c r="AF217" s="203">
        <v>0.3</v>
      </c>
      <c r="AG217" s="109">
        <f t="shared" si="44"/>
        <v>3710</v>
      </c>
      <c r="AH217" s="84">
        <f t="shared" si="211"/>
        <v>0</v>
      </c>
      <c r="AI217" s="65"/>
      <c r="AJ217" s="112"/>
      <c r="AK217" s="122"/>
      <c r="AL217" s="109">
        <v>1212</v>
      </c>
      <c r="AM217" s="84">
        <f t="shared" si="212"/>
        <v>0</v>
      </c>
      <c r="AN217" s="65"/>
      <c r="AO217" s="112"/>
      <c r="AP217" s="204"/>
      <c r="AQ217" s="109">
        <f>IFERROR((O217+AH217+AM217)/Dashboard!$D$15,0)*0.2</f>
        <v>3.8326446280991733</v>
      </c>
      <c r="AR217" s="84">
        <f t="shared" si="213"/>
        <v>0</v>
      </c>
      <c r="AS217" s="65"/>
      <c r="AT217" s="112"/>
      <c r="AU217" s="203">
        <v>0.33</v>
      </c>
      <c r="AV217" s="109">
        <f t="shared" si="214"/>
        <v>3710</v>
      </c>
      <c r="AW217" s="84">
        <f t="shared" si="215"/>
        <v>0</v>
      </c>
      <c r="AX217" s="65"/>
      <c r="AY217" s="112"/>
      <c r="AZ217" s="203">
        <v>0.25</v>
      </c>
      <c r="BA217" s="109">
        <f t="shared" si="50"/>
        <v>3710</v>
      </c>
      <c r="BB217" s="84">
        <f t="shared" si="216"/>
        <v>0</v>
      </c>
      <c r="BC217" s="65"/>
      <c r="BD217" s="112"/>
      <c r="BE217" s="203">
        <v>0.26</v>
      </c>
      <c r="BF217" s="109">
        <f t="shared" si="217"/>
        <v>3710</v>
      </c>
      <c r="BG217" s="84">
        <f t="shared" si="218"/>
        <v>0</v>
      </c>
      <c r="BH217" s="197"/>
      <c r="BI217" s="518"/>
      <c r="BJ217" s="65"/>
      <c r="BK217" s="81">
        <f t="shared" si="219"/>
        <v>0</v>
      </c>
      <c r="BL217" s="65"/>
      <c r="BM217" s="204"/>
      <c r="BN217" s="156">
        <f>IF(B217&lt;&gt;"",_xlfn.XLOOKUP(B217,'Cronog. e Histog.'!B:B,'Cronog. e Histog.'!EK:EK),0)</f>
        <v>0</v>
      </c>
      <c r="BO217" s="109">
        <f>($O217/Dashboard!$D$15)*(1+Dashboard!$D$19)</f>
        <v>28.744834710743799</v>
      </c>
      <c r="BP217" s="84">
        <f t="shared" si="232"/>
        <v>0</v>
      </c>
      <c r="BQ217" s="65"/>
      <c r="BR217" s="204"/>
      <c r="BS217" s="156">
        <f>IF(B217&lt;&gt;"",_xlfn.XLOOKUP(B217,'Cronog. e Histog.'!B:B,'Cronog. e Histog.'!EL:EL),0)</f>
        <v>0</v>
      </c>
      <c r="BT217" s="109">
        <f>($O217/Dashboard!$D$15)*(1+Dashboard!$D$20)</f>
        <v>33.535640495867767</v>
      </c>
      <c r="BU217" s="84">
        <f t="shared" si="233"/>
        <v>0</v>
      </c>
      <c r="BV217" s="65"/>
      <c r="BW217" s="204"/>
      <c r="BX217" s="156">
        <f>IF(B217&lt;&gt;"",_xlfn.XLOOKUP(B217,'Cronog. e Histog.'!B:B,'Cronog. e Histog.'!EM:EM),0)</f>
        <v>0</v>
      </c>
      <c r="BY217" s="109">
        <f>($O217/Dashboard!$D$15)*(1+Dashboard!$D$21)</f>
        <v>38.326446280991732</v>
      </c>
      <c r="BZ217" s="84">
        <f t="shared" si="234"/>
        <v>0</v>
      </c>
    </row>
    <row r="218" spans="2:78" ht="12" customHeight="1" outlineLevel="1">
      <c r="B218" s="137" t="str">
        <f>'Cronog. e Histog.'!B345</f>
        <v>TEC III - Equipe_01</v>
      </c>
      <c r="C218" s="65"/>
      <c r="D218" s="200">
        <f t="shared" si="202"/>
        <v>1</v>
      </c>
      <c r="E218" s="200">
        <f t="shared" si="203"/>
        <v>10</v>
      </c>
      <c r="F218" s="65"/>
      <c r="G218" s="200">
        <f t="shared" si="204"/>
        <v>1</v>
      </c>
      <c r="H218" s="200">
        <f t="shared" si="205"/>
        <v>10</v>
      </c>
      <c r="I218" s="65"/>
      <c r="J218" s="143" t="str">
        <f>IF('Cronog. e Histog.'!G345&gt;0,'Cronog. e Histog.'!G345,"")</f>
        <v>TEC III</v>
      </c>
      <c r="K218" s="65"/>
      <c r="L218" s="144">
        <f>'Cronog. e Histog.'!BT345</f>
        <v>1</v>
      </c>
      <c r="M218" s="144">
        <f>'Cronog. e Histog.'!BU345</f>
        <v>10</v>
      </c>
      <c r="N218" s="65"/>
      <c r="O218" s="109">
        <f>_xlfn.XLOOKUP(B218,Salários!B:B,Salários!K:K)</f>
        <v>6360</v>
      </c>
      <c r="P218" s="109">
        <f t="shared" si="220"/>
        <v>0</v>
      </c>
      <c r="Q218" s="109">
        <f t="shared" si="221"/>
        <v>0</v>
      </c>
      <c r="R218" s="65"/>
      <c r="S218" s="109">
        <f t="shared" si="222"/>
        <v>6360</v>
      </c>
      <c r="T218" s="201" t="str">
        <f>IF(_xlfn.XLOOKUP(B218,Salários!B:B,Salários!I:I)&gt;0,_xlfn.XLOOKUP(B218,Salários!B:B,Salários!I:I),"")</f>
        <v>Mensalista</v>
      </c>
      <c r="U218" s="117">
        <f t="shared" si="223"/>
        <v>63600</v>
      </c>
      <c r="V218" s="65"/>
      <c r="W218" s="202"/>
      <c r="X218" s="65"/>
      <c r="Y218" s="69"/>
      <c r="Z218" s="65"/>
      <c r="AA218" s="518"/>
      <c r="AB218" s="65"/>
      <c r="AC218" s="81">
        <f t="shared" si="210"/>
        <v>0</v>
      </c>
      <c r="AD218" s="65"/>
      <c r="AE218" s="112"/>
      <c r="AF218" s="203">
        <v>0.3</v>
      </c>
      <c r="AG218" s="109">
        <f t="shared" si="44"/>
        <v>6360</v>
      </c>
      <c r="AH218" s="84">
        <f t="shared" si="211"/>
        <v>0</v>
      </c>
      <c r="AI218" s="65"/>
      <c r="AJ218" s="112"/>
      <c r="AK218" s="122"/>
      <c r="AL218" s="109">
        <v>1212</v>
      </c>
      <c r="AM218" s="84">
        <f t="shared" si="212"/>
        <v>0</v>
      </c>
      <c r="AN218" s="65"/>
      <c r="AO218" s="112"/>
      <c r="AP218" s="204"/>
      <c r="AQ218" s="109">
        <f>IFERROR((O218+AH218+AM218)/Dashboard!$D$15,0)*0.2</f>
        <v>6.5702479338842963</v>
      </c>
      <c r="AR218" s="84">
        <f t="shared" si="213"/>
        <v>0</v>
      </c>
      <c r="AS218" s="65"/>
      <c r="AT218" s="112"/>
      <c r="AU218" s="203">
        <v>0.33</v>
      </c>
      <c r="AV218" s="109">
        <f t="shared" si="214"/>
        <v>6360</v>
      </c>
      <c r="AW218" s="84">
        <f t="shared" si="215"/>
        <v>0</v>
      </c>
      <c r="AX218" s="65"/>
      <c r="AY218" s="112"/>
      <c r="AZ218" s="203">
        <v>0.25</v>
      </c>
      <c r="BA218" s="109">
        <f t="shared" si="50"/>
        <v>6360</v>
      </c>
      <c r="BB218" s="84">
        <f t="shared" si="216"/>
        <v>0</v>
      </c>
      <c r="BC218" s="65"/>
      <c r="BD218" s="112"/>
      <c r="BE218" s="203">
        <v>0.26</v>
      </c>
      <c r="BF218" s="109">
        <f t="shared" si="217"/>
        <v>6360</v>
      </c>
      <c r="BG218" s="84">
        <f t="shared" si="218"/>
        <v>0</v>
      </c>
      <c r="BH218" s="197"/>
      <c r="BI218" s="518"/>
      <c r="BJ218" s="65"/>
      <c r="BK218" s="81">
        <f t="shared" si="219"/>
        <v>0</v>
      </c>
      <c r="BL218" s="65"/>
      <c r="BM218" s="204"/>
      <c r="BN218" s="156">
        <f>IF(B218&lt;&gt;"",_xlfn.XLOOKUP(B218,'Cronog. e Histog.'!B:B,'Cronog. e Histog.'!EK:EK),0)</f>
        <v>0</v>
      </c>
      <c r="BO218" s="109">
        <f>($O218/Dashboard!$D$15)*(1+Dashboard!$D$19)</f>
        <v>49.276859504132219</v>
      </c>
      <c r="BP218" s="84">
        <f t="shared" si="232"/>
        <v>0</v>
      </c>
      <c r="BQ218" s="65"/>
      <c r="BR218" s="204"/>
      <c r="BS218" s="156">
        <f>IF(B218&lt;&gt;"",_xlfn.XLOOKUP(B218,'Cronog. e Histog.'!B:B,'Cronog. e Histog.'!EL:EL),0)</f>
        <v>0</v>
      </c>
      <c r="BT218" s="109">
        <f>($O218/Dashboard!$D$15)*(1+Dashboard!$D$20)</f>
        <v>57.489669421487591</v>
      </c>
      <c r="BU218" s="84">
        <f t="shared" si="233"/>
        <v>0</v>
      </c>
      <c r="BV218" s="65"/>
      <c r="BW218" s="204"/>
      <c r="BX218" s="156">
        <f>IF(B218&lt;&gt;"",_xlfn.XLOOKUP(B218,'Cronog. e Histog.'!B:B,'Cronog. e Histog.'!EM:EM),0)</f>
        <v>0</v>
      </c>
      <c r="BY218" s="109">
        <f>($O218/Dashboard!$D$15)*(1+Dashboard!$D$21)</f>
        <v>65.702479338842963</v>
      </c>
      <c r="BZ218" s="84">
        <f t="shared" si="234"/>
        <v>0</v>
      </c>
    </row>
    <row r="219" spans="2:78" ht="12" customHeight="1" outlineLevel="1">
      <c r="B219" s="137" t="str">
        <f>'Cronog. e Histog.'!B346</f>
        <v>TEC II - Equipe_01</v>
      </c>
      <c r="C219" s="65"/>
      <c r="D219" s="200">
        <f t="shared" si="202"/>
        <v>0</v>
      </c>
      <c r="E219" s="200">
        <f t="shared" si="203"/>
        <v>0</v>
      </c>
      <c r="F219" s="65"/>
      <c r="G219" s="200">
        <f t="shared" si="204"/>
        <v>0</v>
      </c>
      <c r="H219" s="200">
        <f t="shared" si="205"/>
        <v>0</v>
      </c>
      <c r="I219" s="65"/>
      <c r="J219" s="143" t="str">
        <f>IF('Cronog. e Histog.'!G346&gt;0,'Cronog. e Histog.'!G346,"")</f>
        <v>TEC II</v>
      </c>
      <c r="K219" s="65"/>
      <c r="L219" s="144">
        <f>'Cronog. e Histog.'!BT346</f>
        <v>0</v>
      </c>
      <c r="M219" s="144">
        <f>'Cronog. e Histog.'!BU346</f>
        <v>0</v>
      </c>
      <c r="N219" s="65"/>
      <c r="O219" s="109">
        <f>_xlfn.XLOOKUP(B219,Salários!B:B,Salários!K:K)</f>
        <v>4770</v>
      </c>
      <c r="P219" s="109">
        <f t="shared" si="220"/>
        <v>0</v>
      </c>
      <c r="Q219" s="109">
        <f t="shared" si="221"/>
        <v>0</v>
      </c>
      <c r="R219" s="65"/>
      <c r="S219" s="109">
        <f t="shared" si="222"/>
        <v>4770</v>
      </c>
      <c r="T219" s="201" t="str">
        <f>IF(_xlfn.XLOOKUP(B219,Salários!B:B,Salários!I:I)&gt;0,_xlfn.XLOOKUP(B219,Salários!B:B,Salários!I:I),"")</f>
        <v>Mensalista</v>
      </c>
      <c r="U219" s="117">
        <f t="shared" si="223"/>
        <v>0</v>
      </c>
      <c r="V219" s="65"/>
      <c r="W219" s="202"/>
      <c r="X219" s="65"/>
      <c r="Y219" s="69"/>
      <c r="Z219" s="65"/>
      <c r="AA219" s="518"/>
      <c r="AB219" s="65"/>
      <c r="AC219" s="81">
        <f t="shared" si="210"/>
        <v>0</v>
      </c>
      <c r="AD219" s="65"/>
      <c r="AE219" s="112"/>
      <c r="AF219" s="203">
        <v>0.3</v>
      </c>
      <c r="AG219" s="109">
        <f t="shared" si="44"/>
        <v>4770</v>
      </c>
      <c r="AH219" s="84">
        <f t="shared" si="211"/>
        <v>0</v>
      </c>
      <c r="AI219" s="65"/>
      <c r="AJ219" s="112"/>
      <c r="AK219" s="122"/>
      <c r="AL219" s="109">
        <v>1212</v>
      </c>
      <c r="AM219" s="84">
        <f t="shared" si="212"/>
        <v>0</v>
      </c>
      <c r="AN219" s="65"/>
      <c r="AO219" s="112"/>
      <c r="AP219" s="204"/>
      <c r="AQ219" s="109">
        <f>IFERROR((O219+AH219+AM219)/Dashboard!$D$15,0)*0.2</f>
        <v>4.9276859504132231</v>
      </c>
      <c r="AR219" s="84">
        <f t="shared" si="213"/>
        <v>0</v>
      </c>
      <c r="AS219" s="65"/>
      <c r="AT219" s="112"/>
      <c r="AU219" s="203">
        <v>0.33</v>
      </c>
      <c r="AV219" s="109">
        <f t="shared" si="214"/>
        <v>4770</v>
      </c>
      <c r="AW219" s="84">
        <f t="shared" si="215"/>
        <v>0</v>
      </c>
      <c r="AX219" s="65"/>
      <c r="AY219" s="112"/>
      <c r="AZ219" s="203">
        <v>0.25</v>
      </c>
      <c r="BA219" s="109">
        <f t="shared" si="50"/>
        <v>4770</v>
      </c>
      <c r="BB219" s="84">
        <f t="shared" si="216"/>
        <v>0</v>
      </c>
      <c r="BC219" s="65"/>
      <c r="BD219" s="112"/>
      <c r="BE219" s="203">
        <v>0.26</v>
      </c>
      <c r="BF219" s="109">
        <f t="shared" si="217"/>
        <v>4770</v>
      </c>
      <c r="BG219" s="84">
        <f t="shared" si="218"/>
        <v>0</v>
      </c>
      <c r="BH219" s="197"/>
      <c r="BI219" s="518"/>
      <c r="BJ219" s="65"/>
      <c r="BK219" s="81">
        <f t="shared" si="219"/>
        <v>0</v>
      </c>
      <c r="BL219" s="65"/>
      <c r="BM219" s="204"/>
      <c r="BN219" s="156">
        <f>IF(B219&lt;&gt;"",_xlfn.XLOOKUP(B219,'Cronog. e Histog.'!B:B,'Cronog. e Histog.'!EK:EK),0)</f>
        <v>0</v>
      </c>
      <c r="BO219" s="109">
        <f>($O219/Dashboard!$D$15)*(1+Dashboard!$D$19)</f>
        <v>36.957644628099168</v>
      </c>
      <c r="BP219" s="84">
        <f t="shared" si="232"/>
        <v>0</v>
      </c>
      <c r="BQ219" s="65"/>
      <c r="BR219" s="204"/>
      <c r="BS219" s="156">
        <f>IF(B219&lt;&gt;"",_xlfn.XLOOKUP(B219,'Cronog. e Histog.'!B:B,'Cronog. e Histog.'!EL:EL),0)</f>
        <v>0</v>
      </c>
      <c r="BT219" s="109">
        <f>($O219/Dashboard!$D$15)*(1+Dashboard!$D$20)</f>
        <v>43.117252066115697</v>
      </c>
      <c r="BU219" s="84">
        <f t="shared" si="233"/>
        <v>0</v>
      </c>
      <c r="BV219" s="65"/>
      <c r="BW219" s="204"/>
      <c r="BX219" s="156">
        <f>IF(B219&lt;&gt;"",_xlfn.XLOOKUP(B219,'Cronog. e Histog.'!B:B,'Cronog. e Histog.'!EM:EM),0)</f>
        <v>0</v>
      </c>
      <c r="BY219" s="109">
        <f>($O219/Dashboard!$D$15)*(1+Dashboard!$D$21)</f>
        <v>49.276859504132226</v>
      </c>
      <c r="BZ219" s="84">
        <f t="shared" si="234"/>
        <v>0</v>
      </c>
    </row>
    <row r="220" spans="2:78" ht="12" customHeight="1" outlineLevel="1">
      <c r="B220" s="137" t="str">
        <f>'Cronog. e Histog.'!B347</f>
        <v>TEC I - Equipe_01</v>
      </c>
      <c r="C220" s="65"/>
      <c r="D220" s="200">
        <f t="shared" si="202"/>
        <v>0</v>
      </c>
      <c r="E220" s="200">
        <f t="shared" si="203"/>
        <v>0</v>
      </c>
      <c r="F220" s="65"/>
      <c r="G220" s="200">
        <f t="shared" si="204"/>
        <v>0</v>
      </c>
      <c r="H220" s="200">
        <f t="shared" si="205"/>
        <v>0</v>
      </c>
      <c r="I220" s="65"/>
      <c r="J220" s="143" t="str">
        <f>IF('Cronog. e Histog.'!G347&gt;0,'Cronog. e Histog.'!G347,"")</f>
        <v>TEC I</v>
      </c>
      <c r="K220" s="65"/>
      <c r="L220" s="144">
        <f>'Cronog. e Histog.'!BT347</f>
        <v>0</v>
      </c>
      <c r="M220" s="144">
        <f>'Cronog. e Histog.'!BU347</f>
        <v>0</v>
      </c>
      <c r="N220" s="65"/>
      <c r="O220" s="109">
        <f>_xlfn.XLOOKUP(B220,Salários!B:B,Salários!K:K)</f>
        <v>3180</v>
      </c>
      <c r="P220" s="109">
        <f t="shared" si="220"/>
        <v>0</v>
      </c>
      <c r="Q220" s="109">
        <f t="shared" si="221"/>
        <v>0</v>
      </c>
      <c r="R220" s="65"/>
      <c r="S220" s="109">
        <f t="shared" si="222"/>
        <v>3180</v>
      </c>
      <c r="T220" s="201" t="str">
        <f>IF(_xlfn.XLOOKUP(B220,Salários!B:B,Salários!I:I)&gt;0,_xlfn.XLOOKUP(B220,Salários!B:B,Salários!I:I),"")</f>
        <v>Mensalista</v>
      </c>
      <c r="U220" s="117">
        <f t="shared" si="223"/>
        <v>0</v>
      </c>
      <c r="V220" s="65"/>
      <c r="W220" s="202"/>
      <c r="X220" s="65"/>
      <c r="Y220" s="69"/>
      <c r="Z220" s="65"/>
      <c r="AA220" s="518"/>
      <c r="AB220" s="65"/>
      <c r="AC220" s="81">
        <f t="shared" si="210"/>
        <v>0</v>
      </c>
      <c r="AD220" s="65"/>
      <c r="AE220" s="112"/>
      <c r="AF220" s="203">
        <v>0.3</v>
      </c>
      <c r="AG220" s="109">
        <f t="shared" si="44"/>
        <v>3180</v>
      </c>
      <c r="AH220" s="84">
        <f t="shared" si="211"/>
        <v>0</v>
      </c>
      <c r="AI220" s="65"/>
      <c r="AJ220" s="112"/>
      <c r="AK220" s="122"/>
      <c r="AL220" s="109">
        <v>1212</v>
      </c>
      <c r="AM220" s="84">
        <f t="shared" si="212"/>
        <v>0</v>
      </c>
      <c r="AN220" s="65"/>
      <c r="AO220" s="112"/>
      <c r="AP220" s="204"/>
      <c r="AQ220" s="109">
        <f>IFERROR((O220+AH220+AM220)/Dashboard!$D$15,0)*0.2</f>
        <v>3.2851239669421481</v>
      </c>
      <c r="AR220" s="84">
        <f t="shared" si="213"/>
        <v>0</v>
      </c>
      <c r="AS220" s="65"/>
      <c r="AT220" s="112"/>
      <c r="AU220" s="203">
        <v>0.33</v>
      </c>
      <c r="AV220" s="109">
        <f t="shared" si="214"/>
        <v>3180</v>
      </c>
      <c r="AW220" s="84">
        <f t="shared" si="215"/>
        <v>0</v>
      </c>
      <c r="AX220" s="65"/>
      <c r="AY220" s="112"/>
      <c r="AZ220" s="203">
        <v>0.25</v>
      </c>
      <c r="BA220" s="109">
        <f t="shared" si="50"/>
        <v>3180</v>
      </c>
      <c r="BB220" s="84">
        <f t="shared" si="216"/>
        <v>0</v>
      </c>
      <c r="BC220" s="65"/>
      <c r="BD220" s="112"/>
      <c r="BE220" s="203">
        <v>0.26</v>
      </c>
      <c r="BF220" s="109">
        <f t="shared" si="217"/>
        <v>3180</v>
      </c>
      <c r="BG220" s="84">
        <f t="shared" si="218"/>
        <v>0</v>
      </c>
      <c r="BH220" s="197"/>
      <c r="BI220" s="518"/>
      <c r="BJ220" s="65"/>
      <c r="BK220" s="81">
        <f t="shared" si="219"/>
        <v>0</v>
      </c>
      <c r="BL220" s="65"/>
      <c r="BM220" s="204"/>
      <c r="BN220" s="156">
        <f>IF(B220&lt;&gt;"",_xlfn.XLOOKUP(B220,'Cronog. e Histog.'!B:B,'Cronog. e Histog.'!EK:EK),0)</f>
        <v>0</v>
      </c>
      <c r="BO220" s="109">
        <f>($O220/Dashboard!$D$15)*(1+Dashboard!$D$19)</f>
        <v>24.638429752066109</v>
      </c>
      <c r="BP220" s="84">
        <f t="shared" si="232"/>
        <v>0</v>
      </c>
      <c r="BQ220" s="65"/>
      <c r="BR220" s="204"/>
      <c r="BS220" s="156">
        <f>IF(B220&lt;&gt;"",_xlfn.XLOOKUP(B220,'Cronog. e Histog.'!B:B,'Cronog. e Histog.'!EL:EL),0)</f>
        <v>0</v>
      </c>
      <c r="BT220" s="109">
        <f>($O220/Dashboard!$D$15)*(1+Dashboard!$D$20)</f>
        <v>28.744834710743795</v>
      </c>
      <c r="BU220" s="84">
        <f t="shared" si="233"/>
        <v>0</v>
      </c>
      <c r="BV220" s="65"/>
      <c r="BW220" s="204"/>
      <c r="BX220" s="156">
        <f>IF(B220&lt;&gt;"",_xlfn.XLOOKUP(B220,'Cronog. e Histog.'!B:B,'Cronog. e Histog.'!EM:EM),0)</f>
        <v>0</v>
      </c>
      <c r="BY220" s="109">
        <f>($O220/Dashboard!$D$15)*(1+Dashboard!$D$21)</f>
        <v>32.851239669421481</v>
      </c>
      <c r="BZ220" s="84">
        <f t="shared" si="234"/>
        <v>0</v>
      </c>
    </row>
    <row r="221" spans="2:78" ht="12" customHeight="1" outlineLevel="1">
      <c r="B221" s="137" t="str">
        <f>'Cronog. e Histog.'!B348</f>
        <v>AUX TEC - Equipe_01</v>
      </c>
      <c r="C221" s="65"/>
      <c r="D221" s="200">
        <f t="shared" si="202"/>
        <v>0</v>
      </c>
      <c r="E221" s="200">
        <f t="shared" si="203"/>
        <v>0</v>
      </c>
      <c r="F221" s="65"/>
      <c r="G221" s="200">
        <f t="shared" si="204"/>
        <v>0</v>
      </c>
      <c r="H221" s="200">
        <f t="shared" si="205"/>
        <v>0</v>
      </c>
      <c r="I221" s="65"/>
      <c r="J221" s="143" t="str">
        <f>IF('Cronog. e Histog.'!G348&gt;0,'Cronog. e Histog.'!G348,"")</f>
        <v>AUX TEC</v>
      </c>
      <c r="K221" s="65"/>
      <c r="L221" s="144">
        <f>'Cronog. e Histog.'!BT348</f>
        <v>0</v>
      </c>
      <c r="M221" s="144">
        <f>'Cronog. e Histog.'!BU348</f>
        <v>0</v>
      </c>
      <c r="N221" s="65"/>
      <c r="O221" s="109">
        <f>_xlfn.XLOOKUP(B221,Salários!B:B,Salários!K:K)</f>
        <v>3710</v>
      </c>
      <c r="P221" s="109">
        <f t="shared" si="220"/>
        <v>0</v>
      </c>
      <c r="Q221" s="109">
        <f t="shared" si="221"/>
        <v>0</v>
      </c>
      <c r="R221" s="65"/>
      <c r="S221" s="109">
        <f t="shared" si="222"/>
        <v>3710</v>
      </c>
      <c r="T221" s="201" t="str">
        <f>IF(_xlfn.XLOOKUP(B221,Salários!B:B,Salários!I:I)&gt;0,_xlfn.XLOOKUP(B221,Salários!B:B,Salários!I:I),"")</f>
        <v>Mensalista</v>
      </c>
      <c r="U221" s="117">
        <f t="shared" si="223"/>
        <v>0</v>
      </c>
      <c r="V221" s="65"/>
      <c r="W221" s="202"/>
      <c r="X221" s="65"/>
      <c r="Y221" s="69"/>
      <c r="Z221" s="65"/>
      <c r="AA221" s="518"/>
      <c r="AB221" s="65"/>
      <c r="AC221" s="81">
        <f t="shared" si="210"/>
        <v>0</v>
      </c>
      <c r="AD221" s="65"/>
      <c r="AE221" s="112"/>
      <c r="AF221" s="203">
        <v>0.3</v>
      </c>
      <c r="AG221" s="109">
        <f t="shared" si="44"/>
        <v>3710</v>
      </c>
      <c r="AH221" s="84">
        <f t="shared" si="211"/>
        <v>0</v>
      </c>
      <c r="AI221" s="65"/>
      <c r="AJ221" s="112"/>
      <c r="AK221" s="122"/>
      <c r="AL221" s="109">
        <v>1212</v>
      </c>
      <c r="AM221" s="84">
        <f t="shared" si="212"/>
        <v>0</v>
      </c>
      <c r="AN221" s="65"/>
      <c r="AO221" s="112"/>
      <c r="AP221" s="204"/>
      <c r="AQ221" s="109">
        <f>IFERROR((O221+AH221+AM221)/Dashboard!$D$15,0)*0.2</f>
        <v>3.8326446280991733</v>
      </c>
      <c r="AR221" s="84">
        <f t="shared" si="213"/>
        <v>0</v>
      </c>
      <c r="AS221" s="65"/>
      <c r="AT221" s="112"/>
      <c r="AU221" s="203">
        <v>0.33</v>
      </c>
      <c r="AV221" s="109">
        <f t="shared" si="214"/>
        <v>3710</v>
      </c>
      <c r="AW221" s="84">
        <f t="shared" si="215"/>
        <v>0</v>
      </c>
      <c r="AX221" s="65"/>
      <c r="AY221" s="112"/>
      <c r="AZ221" s="203">
        <v>0.25</v>
      </c>
      <c r="BA221" s="109">
        <f t="shared" si="50"/>
        <v>3710</v>
      </c>
      <c r="BB221" s="84">
        <f t="shared" si="216"/>
        <v>0</v>
      </c>
      <c r="BC221" s="65"/>
      <c r="BD221" s="112"/>
      <c r="BE221" s="203">
        <v>0.26</v>
      </c>
      <c r="BF221" s="109">
        <f t="shared" si="217"/>
        <v>3710</v>
      </c>
      <c r="BG221" s="84">
        <f t="shared" si="218"/>
        <v>0</v>
      </c>
      <c r="BH221" s="197"/>
      <c r="BI221" s="518"/>
      <c r="BJ221" s="65"/>
      <c r="BK221" s="81">
        <f t="shared" si="219"/>
        <v>0</v>
      </c>
      <c r="BL221" s="65"/>
      <c r="BM221" s="204"/>
      <c r="BN221" s="156">
        <f>IF(B221&lt;&gt;"",_xlfn.XLOOKUP(B221,'Cronog. e Histog.'!B:B,'Cronog. e Histog.'!EK:EK),0)</f>
        <v>0</v>
      </c>
      <c r="BO221" s="109">
        <f>($O221/Dashboard!$D$15)*(1+Dashboard!$D$19)</f>
        <v>28.744834710743799</v>
      </c>
      <c r="BP221" s="84">
        <f t="shared" si="232"/>
        <v>0</v>
      </c>
      <c r="BQ221" s="65"/>
      <c r="BR221" s="204"/>
      <c r="BS221" s="156">
        <f>IF(B221&lt;&gt;"",_xlfn.XLOOKUP(B221,'Cronog. e Histog.'!B:B,'Cronog. e Histog.'!EL:EL),0)</f>
        <v>0</v>
      </c>
      <c r="BT221" s="109">
        <f>($O221/Dashboard!$D$15)*(1+Dashboard!$D$20)</f>
        <v>33.535640495867767</v>
      </c>
      <c r="BU221" s="84">
        <f t="shared" si="233"/>
        <v>0</v>
      </c>
      <c r="BV221" s="65"/>
      <c r="BW221" s="204"/>
      <c r="BX221" s="156">
        <f>IF(B221&lt;&gt;"",_xlfn.XLOOKUP(B221,'Cronog. e Histog.'!B:B,'Cronog. e Histog.'!EM:EM),0)</f>
        <v>0</v>
      </c>
      <c r="BY221" s="109">
        <f>($O221/Dashboard!$D$15)*(1+Dashboard!$D$21)</f>
        <v>38.326446280991732</v>
      </c>
      <c r="BZ221" s="84">
        <f t="shared" si="234"/>
        <v>0</v>
      </c>
    </row>
    <row r="222" spans="2:78" ht="12" customHeight="1" outlineLevel="1">
      <c r="B222" s="137" t="str">
        <f>'Cronog. e Histog.'!B349</f>
        <v>AUX ADM - Equipe_01</v>
      </c>
      <c r="C222" s="65"/>
      <c r="D222" s="200">
        <f t="shared" si="202"/>
        <v>0</v>
      </c>
      <c r="E222" s="200">
        <f t="shared" si="203"/>
        <v>0</v>
      </c>
      <c r="F222" s="65"/>
      <c r="G222" s="200">
        <f t="shared" si="204"/>
        <v>0</v>
      </c>
      <c r="H222" s="200">
        <f t="shared" si="205"/>
        <v>0</v>
      </c>
      <c r="I222" s="65"/>
      <c r="J222" s="143" t="str">
        <f>IF('Cronog. e Histog.'!G349&gt;0,'Cronog. e Histog.'!G349,"")</f>
        <v>AUX ADM</v>
      </c>
      <c r="K222" s="65"/>
      <c r="L222" s="144">
        <f>'Cronog. e Histog.'!BT349</f>
        <v>0</v>
      </c>
      <c r="M222" s="144">
        <f>'Cronog. e Histog.'!BU349</f>
        <v>0</v>
      </c>
      <c r="N222" s="65"/>
      <c r="O222" s="109">
        <f>_xlfn.XLOOKUP(B222,Salários!B:B,Salários!K:K)</f>
        <v>1912.24</v>
      </c>
      <c r="P222" s="109">
        <f t="shared" si="220"/>
        <v>0</v>
      </c>
      <c r="Q222" s="109">
        <f t="shared" si="221"/>
        <v>0</v>
      </c>
      <c r="R222" s="65"/>
      <c r="S222" s="109">
        <f t="shared" si="222"/>
        <v>1912.24</v>
      </c>
      <c r="T222" s="201" t="str">
        <f>IF(_xlfn.XLOOKUP(B222,Salários!B:B,Salários!I:I)&gt;0,_xlfn.XLOOKUP(B222,Salários!B:B,Salários!I:I),"")</f>
        <v>Mensalista</v>
      </c>
      <c r="U222" s="117">
        <f t="shared" si="223"/>
        <v>0</v>
      </c>
      <c r="V222" s="65"/>
      <c r="W222" s="202"/>
      <c r="X222" s="65"/>
      <c r="Y222" s="69"/>
      <c r="Z222" s="65"/>
      <c r="AA222" s="518"/>
      <c r="AB222" s="65"/>
      <c r="AC222" s="81">
        <f t="shared" si="210"/>
        <v>0</v>
      </c>
      <c r="AD222" s="65"/>
      <c r="AE222" s="112"/>
      <c r="AF222" s="203">
        <v>0.3</v>
      </c>
      <c r="AG222" s="109">
        <f t="shared" si="44"/>
        <v>1912.24</v>
      </c>
      <c r="AH222" s="84">
        <f t="shared" si="211"/>
        <v>0</v>
      </c>
      <c r="AI222" s="65"/>
      <c r="AJ222" s="112"/>
      <c r="AK222" s="122"/>
      <c r="AL222" s="109">
        <v>1212</v>
      </c>
      <c r="AM222" s="84">
        <f t="shared" si="212"/>
        <v>0</v>
      </c>
      <c r="AN222" s="65"/>
      <c r="AO222" s="112"/>
      <c r="AP222" s="204"/>
      <c r="AQ222" s="109">
        <f>IFERROR((O222+AH222+AM222)/Dashboard!$D$15,0)*0.2</f>
        <v>1.9754545454545456</v>
      </c>
      <c r="AR222" s="84">
        <f t="shared" si="213"/>
        <v>0</v>
      </c>
      <c r="AS222" s="65"/>
      <c r="AT222" s="112"/>
      <c r="AU222" s="203">
        <v>0.33</v>
      </c>
      <c r="AV222" s="109">
        <f t="shared" si="214"/>
        <v>1912.24</v>
      </c>
      <c r="AW222" s="84">
        <f t="shared" si="215"/>
        <v>0</v>
      </c>
      <c r="AX222" s="65"/>
      <c r="AY222" s="112"/>
      <c r="AZ222" s="203">
        <v>0.25</v>
      </c>
      <c r="BA222" s="109">
        <f t="shared" si="50"/>
        <v>1912.24</v>
      </c>
      <c r="BB222" s="84">
        <f t="shared" si="216"/>
        <v>0</v>
      </c>
      <c r="BC222" s="65"/>
      <c r="BD222" s="112"/>
      <c r="BE222" s="203">
        <v>0.26</v>
      </c>
      <c r="BF222" s="109">
        <f t="shared" si="217"/>
        <v>1912.24</v>
      </c>
      <c r="BG222" s="84">
        <f t="shared" si="218"/>
        <v>0</v>
      </c>
      <c r="BH222" s="197"/>
      <c r="BI222" s="518"/>
      <c r="BJ222" s="65"/>
      <c r="BK222" s="81">
        <f t="shared" si="219"/>
        <v>0</v>
      </c>
      <c r="BL222" s="65"/>
      <c r="BM222" s="204"/>
      <c r="BN222" s="156">
        <f>IF(B222&lt;&gt;"",_xlfn.XLOOKUP(B222,'Cronog. e Histog.'!B:B,'Cronog. e Histog.'!EK:EK),0)</f>
        <v>0</v>
      </c>
      <c r="BO222" s="109">
        <f>($O222/Dashboard!$D$15)*(1+Dashboard!$D$19)</f>
        <v>14.815909090909091</v>
      </c>
      <c r="BP222" s="84">
        <f t="shared" si="232"/>
        <v>0</v>
      </c>
      <c r="BQ222" s="65"/>
      <c r="BR222" s="204"/>
      <c r="BS222" s="156">
        <f>IF(B222&lt;&gt;"",_xlfn.XLOOKUP(B222,'Cronog. e Histog.'!B:B,'Cronog. e Histog.'!EL:EL),0)</f>
        <v>0</v>
      </c>
      <c r="BT222" s="109">
        <f>($O222/Dashboard!$D$15)*(1+Dashboard!$D$20)</f>
        <v>17.285227272727273</v>
      </c>
      <c r="BU222" s="84">
        <f t="shared" si="233"/>
        <v>0</v>
      </c>
      <c r="BV222" s="65"/>
      <c r="BW222" s="204"/>
      <c r="BX222" s="156">
        <f>IF(B222&lt;&gt;"",_xlfn.XLOOKUP(B222,'Cronog. e Histog.'!B:B,'Cronog. e Histog.'!EM:EM),0)</f>
        <v>0</v>
      </c>
      <c r="BY222" s="109">
        <f>($O222/Dashboard!$D$15)*(1+Dashboard!$D$21)</f>
        <v>19.754545454545454</v>
      </c>
      <c r="BZ222" s="84">
        <f t="shared" si="234"/>
        <v>0</v>
      </c>
    </row>
    <row r="223" spans="2:78" ht="12" customHeight="1" outlineLevel="1">
      <c r="B223" s="137" t="str">
        <f>'Cronog. e Histog.'!B350</f>
        <v>EST - Equipe_01</v>
      </c>
      <c r="C223" s="65"/>
      <c r="D223" s="200">
        <f t="shared" si="202"/>
        <v>0</v>
      </c>
      <c r="E223" s="200">
        <f t="shared" si="203"/>
        <v>0</v>
      </c>
      <c r="F223" s="65"/>
      <c r="G223" s="200">
        <f t="shared" si="204"/>
        <v>0</v>
      </c>
      <c r="H223" s="200">
        <f t="shared" si="205"/>
        <v>0</v>
      </c>
      <c r="I223" s="65"/>
      <c r="J223" s="143" t="str">
        <f>IF('Cronog. e Histog.'!G350&gt;0,'Cronog. e Histog.'!G350,"")</f>
        <v>EST</v>
      </c>
      <c r="K223" s="65"/>
      <c r="L223" s="144">
        <f>'Cronog. e Histog.'!BT350</f>
        <v>0</v>
      </c>
      <c r="M223" s="144">
        <f>'Cronog. e Histog.'!BU350</f>
        <v>0</v>
      </c>
      <c r="N223" s="65"/>
      <c r="O223" s="109">
        <f>_xlfn.XLOOKUP(B223,Salários!B:B,Salários!K:K)</f>
        <v>1633</v>
      </c>
      <c r="P223" s="109">
        <f t="shared" si="220"/>
        <v>0</v>
      </c>
      <c r="Q223" s="109">
        <f t="shared" si="221"/>
        <v>0</v>
      </c>
      <c r="R223" s="65"/>
      <c r="S223" s="109">
        <f t="shared" si="222"/>
        <v>1633</v>
      </c>
      <c r="T223" s="201" t="str">
        <f>IF(_xlfn.XLOOKUP(B223,Salários!B:B,Salários!I:I)&gt;0,_xlfn.XLOOKUP(B223,Salários!B:B,Salários!I:I),"")</f>
        <v>PJ</v>
      </c>
      <c r="U223" s="117">
        <f t="shared" si="223"/>
        <v>0</v>
      </c>
      <c r="V223" s="65"/>
      <c r="W223" s="202"/>
      <c r="X223" s="65"/>
      <c r="Y223" s="69"/>
      <c r="Z223" s="65"/>
      <c r="AA223" s="518"/>
      <c r="AB223" s="65"/>
      <c r="AC223" s="81">
        <f t="shared" si="210"/>
        <v>0</v>
      </c>
      <c r="AD223" s="65"/>
      <c r="AE223" s="112"/>
      <c r="AF223" s="203">
        <v>0.3</v>
      </c>
      <c r="AG223" s="109">
        <f t="shared" si="44"/>
        <v>1633</v>
      </c>
      <c r="AH223" s="84">
        <f t="shared" si="211"/>
        <v>0</v>
      </c>
      <c r="AI223" s="65"/>
      <c r="AJ223" s="112"/>
      <c r="AK223" s="122"/>
      <c r="AL223" s="109">
        <v>1212</v>
      </c>
      <c r="AM223" s="84">
        <f t="shared" si="212"/>
        <v>0</v>
      </c>
      <c r="AN223" s="65"/>
      <c r="AO223" s="112"/>
      <c r="AP223" s="204"/>
      <c r="AQ223" s="109">
        <f>IFERROR((O223+AH223+AM223)/Dashboard!$D$15,0)*0.2</f>
        <v>1.6869834710743801</v>
      </c>
      <c r="AR223" s="84">
        <f t="shared" si="213"/>
        <v>0</v>
      </c>
      <c r="AS223" s="65"/>
      <c r="AT223" s="112"/>
      <c r="AU223" s="203">
        <v>0.33</v>
      </c>
      <c r="AV223" s="109">
        <f t="shared" si="214"/>
        <v>1633</v>
      </c>
      <c r="AW223" s="84">
        <f t="shared" si="215"/>
        <v>0</v>
      </c>
      <c r="AX223" s="65"/>
      <c r="AY223" s="112"/>
      <c r="AZ223" s="203">
        <v>0.25</v>
      </c>
      <c r="BA223" s="109">
        <f t="shared" si="50"/>
        <v>1633</v>
      </c>
      <c r="BB223" s="84">
        <f t="shared" si="216"/>
        <v>0</v>
      </c>
      <c r="BC223" s="65"/>
      <c r="BD223" s="112"/>
      <c r="BE223" s="203">
        <v>0.26</v>
      </c>
      <c r="BF223" s="109">
        <f t="shared" si="217"/>
        <v>1633</v>
      </c>
      <c r="BG223" s="84">
        <f t="shared" si="218"/>
        <v>0</v>
      </c>
      <c r="BH223" s="197"/>
      <c r="BI223" s="518"/>
      <c r="BJ223" s="65"/>
      <c r="BK223" s="81">
        <f t="shared" si="219"/>
        <v>0</v>
      </c>
      <c r="BL223" s="65"/>
      <c r="BM223" s="204"/>
      <c r="BN223" s="156">
        <f>IF(B223&lt;&gt;"",_xlfn.XLOOKUP(B223,'Cronog. e Histog.'!B:B,'Cronog. e Histog.'!EK:EK),0)</f>
        <v>0</v>
      </c>
      <c r="BO223" s="109">
        <f>($O223/Dashboard!$D$15)*(1+Dashboard!$D$19)</f>
        <v>12.652376033057848</v>
      </c>
      <c r="BP223" s="84">
        <f t="shared" si="232"/>
        <v>0</v>
      </c>
      <c r="BQ223" s="65"/>
      <c r="BR223" s="204"/>
      <c r="BS223" s="156">
        <f>IF(B223&lt;&gt;"",_xlfn.XLOOKUP(B223,'Cronog. e Histog.'!B:B,'Cronog. e Histog.'!EL:EL),0)</f>
        <v>0</v>
      </c>
      <c r="BT223" s="109">
        <f>($O223/Dashboard!$D$15)*(1+Dashboard!$D$20)</f>
        <v>14.761105371900824</v>
      </c>
      <c r="BU223" s="84">
        <f t="shared" si="233"/>
        <v>0</v>
      </c>
      <c r="BV223" s="65"/>
      <c r="BW223" s="204"/>
      <c r="BX223" s="156">
        <f>IF(B223&lt;&gt;"",_xlfn.XLOOKUP(B223,'Cronog. e Histog.'!B:B,'Cronog. e Histog.'!EM:EM),0)</f>
        <v>0</v>
      </c>
      <c r="BY223" s="109">
        <f>($O223/Dashboard!$D$15)*(1+Dashboard!$D$21)</f>
        <v>16.869834710743799</v>
      </c>
      <c r="BZ223" s="84">
        <f t="shared" si="234"/>
        <v>0</v>
      </c>
    </row>
    <row r="224" spans="2:78" ht="12" customHeight="1" outlineLevel="1">
      <c r="B224" s="137" t="str">
        <f>'Cronog. e Histog.'!B351</f>
        <v>EST_II - Equipe_01</v>
      </c>
      <c r="C224" s="65"/>
      <c r="D224" s="200">
        <f t="shared" si="202"/>
        <v>0</v>
      </c>
      <c r="E224" s="200">
        <f t="shared" si="203"/>
        <v>0</v>
      </c>
      <c r="F224" s="65"/>
      <c r="G224" s="200">
        <f t="shared" si="204"/>
        <v>0</v>
      </c>
      <c r="H224" s="200">
        <f t="shared" si="205"/>
        <v>0</v>
      </c>
      <c r="I224" s="65"/>
      <c r="J224" s="143" t="str">
        <f>IF('Cronog. e Histog.'!G351&gt;0,'Cronog. e Histog.'!G351,"")</f>
        <v>EST_II</v>
      </c>
      <c r="K224" s="65"/>
      <c r="L224" s="144">
        <f>'Cronog. e Histog.'!BT351</f>
        <v>0</v>
      </c>
      <c r="M224" s="144">
        <f>'Cronog. e Histog.'!BU351</f>
        <v>0</v>
      </c>
      <c r="N224" s="65"/>
      <c r="O224" s="109">
        <f>_xlfn.XLOOKUP(B224,Salários!B:B,Salários!K:K)</f>
        <v>1633</v>
      </c>
      <c r="P224" s="109">
        <f t="shared" si="220"/>
        <v>0</v>
      </c>
      <c r="Q224" s="109">
        <f t="shared" si="221"/>
        <v>0</v>
      </c>
      <c r="R224" s="65"/>
      <c r="S224" s="109">
        <f t="shared" si="222"/>
        <v>1633</v>
      </c>
      <c r="T224" s="201" t="str">
        <f>IF(_xlfn.XLOOKUP(B224,Salários!B:B,Salários!I:I)&gt;0,_xlfn.XLOOKUP(B224,Salários!B:B,Salários!I:I),"")</f>
        <v>PJ</v>
      </c>
      <c r="U224" s="117">
        <f t="shared" si="223"/>
        <v>0</v>
      </c>
      <c r="V224" s="65"/>
      <c r="W224" s="202"/>
      <c r="X224" s="65"/>
      <c r="Y224" s="69"/>
      <c r="Z224" s="65"/>
      <c r="AA224" s="518"/>
      <c r="AB224" s="65"/>
      <c r="AC224" s="81">
        <f t="shared" si="210"/>
        <v>0</v>
      </c>
      <c r="AD224" s="65"/>
      <c r="AE224" s="112"/>
      <c r="AF224" s="203">
        <v>0.3</v>
      </c>
      <c r="AG224" s="109">
        <f t="shared" si="44"/>
        <v>1633</v>
      </c>
      <c r="AH224" s="84">
        <f t="shared" si="211"/>
        <v>0</v>
      </c>
      <c r="AI224" s="65"/>
      <c r="AJ224" s="112"/>
      <c r="AK224" s="122"/>
      <c r="AL224" s="109">
        <v>1212</v>
      </c>
      <c r="AM224" s="84">
        <f t="shared" si="212"/>
        <v>0</v>
      </c>
      <c r="AN224" s="65"/>
      <c r="AO224" s="112"/>
      <c r="AP224" s="204"/>
      <c r="AQ224" s="109">
        <f>IFERROR((O224+AH224+AM224)/Dashboard!$D$15,0)*0.2</f>
        <v>1.6869834710743801</v>
      </c>
      <c r="AR224" s="84">
        <f t="shared" si="213"/>
        <v>0</v>
      </c>
      <c r="AS224" s="65"/>
      <c r="AT224" s="112"/>
      <c r="AU224" s="203">
        <v>0.33</v>
      </c>
      <c r="AV224" s="109">
        <f t="shared" si="214"/>
        <v>1633</v>
      </c>
      <c r="AW224" s="84">
        <f t="shared" si="215"/>
        <v>0</v>
      </c>
      <c r="AX224" s="65"/>
      <c r="AY224" s="112"/>
      <c r="AZ224" s="203">
        <v>0.25</v>
      </c>
      <c r="BA224" s="109">
        <f t="shared" si="50"/>
        <v>1633</v>
      </c>
      <c r="BB224" s="84">
        <f t="shared" si="216"/>
        <v>0</v>
      </c>
      <c r="BC224" s="65"/>
      <c r="BD224" s="112"/>
      <c r="BE224" s="203">
        <v>0.26</v>
      </c>
      <c r="BF224" s="109">
        <f t="shared" si="217"/>
        <v>1633</v>
      </c>
      <c r="BG224" s="84">
        <f t="shared" si="218"/>
        <v>0</v>
      </c>
      <c r="BH224" s="197"/>
      <c r="BI224" s="518"/>
      <c r="BJ224" s="65"/>
      <c r="BK224" s="81">
        <f t="shared" si="219"/>
        <v>0</v>
      </c>
      <c r="BL224" s="65"/>
      <c r="BM224" s="204"/>
      <c r="BN224" s="156">
        <f>IF(B224&lt;&gt;"",_xlfn.XLOOKUP(B224,'Cronog. e Histog.'!B:B,'Cronog. e Histog.'!EK:EK),0)</f>
        <v>0</v>
      </c>
      <c r="BO224" s="109">
        <f>($O224/Dashboard!$D$15)*(1+Dashboard!$D$19)</f>
        <v>12.652376033057848</v>
      </c>
      <c r="BP224" s="84">
        <f t="shared" si="232"/>
        <v>0</v>
      </c>
      <c r="BQ224" s="65"/>
      <c r="BR224" s="204"/>
      <c r="BS224" s="156">
        <f>IF(B224&lt;&gt;"",_xlfn.XLOOKUP(B224,'Cronog. e Histog.'!B:B,'Cronog. e Histog.'!EL:EL),0)</f>
        <v>0</v>
      </c>
      <c r="BT224" s="109">
        <f>($O224/Dashboard!$D$15)*(1+Dashboard!$D$20)</f>
        <v>14.761105371900824</v>
      </c>
      <c r="BU224" s="84">
        <f t="shared" si="233"/>
        <v>0</v>
      </c>
      <c r="BV224" s="65"/>
      <c r="BW224" s="204"/>
      <c r="BX224" s="156">
        <f>IF(B224&lt;&gt;"",_xlfn.XLOOKUP(B224,'Cronog. e Histog.'!B:B,'Cronog. e Histog.'!EM:EM),0)</f>
        <v>0</v>
      </c>
      <c r="BY224" s="109">
        <f>($O224/Dashboard!$D$15)*(1+Dashboard!$D$21)</f>
        <v>16.869834710743799</v>
      </c>
      <c r="BZ224" s="84">
        <f t="shared" si="234"/>
        <v>0</v>
      </c>
    </row>
    <row r="225" spans="2:78" ht="12" customHeight="1" outlineLevel="1">
      <c r="B225" s="137" t="str">
        <f>'Cronog. e Histog.'!B352</f>
        <v>EST_III - Equipe_01</v>
      </c>
      <c r="C225" s="65"/>
      <c r="D225" s="200">
        <f t="shared" si="202"/>
        <v>0</v>
      </c>
      <c r="E225" s="200">
        <f t="shared" si="203"/>
        <v>0</v>
      </c>
      <c r="F225" s="65"/>
      <c r="G225" s="200">
        <f t="shared" si="204"/>
        <v>0</v>
      </c>
      <c r="H225" s="200">
        <f t="shared" si="205"/>
        <v>0</v>
      </c>
      <c r="I225" s="65"/>
      <c r="J225" s="143" t="str">
        <f>IF('Cronog. e Histog.'!G352&gt;0,'Cronog. e Histog.'!G352,"")</f>
        <v>EST_III</v>
      </c>
      <c r="K225" s="65"/>
      <c r="L225" s="144">
        <f>'Cronog. e Histog.'!BT352</f>
        <v>0</v>
      </c>
      <c r="M225" s="144">
        <f>'Cronog. e Histog.'!BU352</f>
        <v>0</v>
      </c>
      <c r="N225" s="65"/>
      <c r="O225" s="109">
        <f>_xlfn.XLOOKUP(B225,Salários!B:B,Salários!K:K)</f>
        <v>1633</v>
      </c>
      <c r="P225" s="109">
        <f t="shared" si="220"/>
        <v>0</v>
      </c>
      <c r="Q225" s="109">
        <f t="shared" si="221"/>
        <v>0</v>
      </c>
      <c r="R225" s="65"/>
      <c r="S225" s="109">
        <f t="shared" si="222"/>
        <v>1633</v>
      </c>
      <c r="T225" s="201" t="str">
        <f>IF(_xlfn.XLOOKUP(B225,Salários!B:B,Salários!I:I)&gt;0,_xlfn.XLOOKUP(B225,Salários!B:B,Salários!I:I),"")</f>
        <v>PJ</v>
      </c>
      <c r="U225" s="117">
        <f t="shared" si="223"/>
        <v>0</v>
      </c>
      <c r="V225" s="65"/>
      <c r="W225" s="202"/>
      <c r="X225" s="65"/>
      <c r="Y225" s="69"/>
      <c r="Z225" s="65"/>
      <c r="AA225" s="518"/>
      <c r="AB225" s="65"/>
      <c r="AC225" s="81">
        <f t="shared" si="210"/>
        <v>0</v>
      </c>
      <c r="AD225" s="65"/>
      <c r="AE225" s="112"/>
      <c r="AF225" s="203">
        <v>0.3</v>
      </c>
      <c r="AG225" s="109">
        <f t="shared" si="44"/>
        <v>1633</v>
      </c>
      <c r="AH225" s="84">
        <f t="shared" si="211"/>
        <v>0</v>
      </c>
      <c r="AI225" s="65"/>
      <c r="AJ225" s="112"/>
      <c r="AK225" s="122"/>
      <c r="AL225" s="109">
        <v>1212</v>
      </c>
      <c r="AM225" s="84">
        <f t="shared" si="212"/>
        <v>0</v>
      </c>
      <c r="AN225" s="65"/>
      <c r="AO225" s="112"/>
      <c r="AP225" s="204"/>
      <c r="AQ225" s="109">
        <f>IFERROR((O225+AH225+AM225)/Dashboard!$D$15,0)*0.2</f>
        <v>1.6869834710743801</v>
      </c>
      <c r="AR225" s="84">
        <f t="shared" si="213"/>
        <v>0</v>
      </c>
      <c r="AS225" s="65"/>
      <c r="AT225" s="112"/>
      <c r="AU225" s="203">
        <v>0.33</v>
      </c>
      <c r="AV225" s="109">
        <f t="shared" si="214"/>
        <v>1633</v>
      </c>
      <c r="AW225" s="84">
        <f t="shared" si="215"/>
        <v>0</v>
      </c>
      <c r="AX225" s="65"/>
      <c r="AY225" s="112"/>
      <c r="AZ225" s="203">
        <v>0.25</v>
      </c>
      <c r="BA225" s="109">
        <f t="shared" si="50"/>
        <v>1633</v>
      </c>
      <c r="BB225" s="84">
        <f t="shared" si="216"/>
        <v>0</v>
      </c>
      <c r="BC225" s="65"/>
      <c r="BD225" s="112"/>
      <c r="BE225" s="203">
        <v>0.26</v>
      </c>
      <c r="BF225" s="109">
        <f t="shared" si="217"/>
        <v>1633</v>
      </c>
      <c r="BG225" s="84">
        <f t="shared" si="218"/>
        <v>0</v>
      </c>
      <c r="BH225" s="197"/>
      <c r="BI225" s="518"/>
      <c r="BJ225" s="65"/>
      <c r="BK225" s="81">
        <f t="shared" si="219"/>
        <v>0</v>
      </c>
      <c r="BL225" s="65"/>
      <c r="BM225" s="204"/>
      <c r="BN225" s="156">
        <f>IF(B225&lt;&gt;"",_xlfn.XLOOKUP(B225,'Cronog. e Histog.'!B:B,'Cronog. e Histog.'!EK:EK),0)</f>
        <v>0</v>
      </c>
      <c r="BO225" s="109">
        <f>($O225/Dashboard!$D$15)*(1+Dashboard!$D$19)</f>
        <v>12.652376033057848</v>
      </c>
      <c r="BP225" s="84">
        <f t="shared" si="232"/>
        <v>0</v>
      </c>
      <c r="BQ225" s="65"/>
      <c r="BR225" s="204"/>
      <c r="BS225" s="156">
        <f>IF(B225&lt;&gt;"",_xlfn.XLOOKUP(B225,'Cronog. e Histog.'!B:B,'Cronog. e Histog.'!EL:EL),0)</f>
        <v>0</v>
      </c>
      <c r="BT225" s="109">
        <f>($O225/Dashboard!$D$15)*(1+Dashboard!$D$20)</f>
        <v>14.761105371900824</v>
      </c>
      <c r="BU225" s="84">
        <f t="shared" si="233"/>
        <v>0</v>
      </c>
      <c r="BV225" s="65"/>
      <c r="BW225" s="204"/>
      <c r="BX225" s="156">
        <f>IF(B225&lt;&gt;"",_xlfn.XLOOKUP(B225,'Cronog. e Histog.'!B:B,'Cronog. e Histog.'!EM:EM),0)</f>
        <v>0</v>
      </c>
      <c r="BY225" s="109">
        <f>($O225/Dashboard!$D$15)*(1+Dashboard!$D$21)</f>
        <v>16.869834710743799</v>
      </c>
      <c r="BZ225" s="84">
        <f t="shared" si="234"/>
        <v>0</v>
      </c>
    </row>
    <row r="226" spans="2:78" ht="12" customHeight="1" outlineLevel="1"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9"/>
      <c r="Z226" s="65"/>
      <c r="AA226" s="518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  <c r="BE226" s="65"/>
      <c r="BF226" s="65"/>
      <c r="BG226" s="65"/>
      <c r="BH226" s="197"/>
      <c r="BI226" s="518"/>
      <c r="BJ226" s="65"/>
      <c r="BK226" s="65"/>
      <c r="BL226" s="65"/>
      <c r="BM226" s="65"/>
      <c r="BN226" s="65"/>
      <c r="BO226" s="65"/>
      <c r="BP226" s="65"/>
      <c r="BQ226" s="65"/>
      <c r="BR226" s="65"/>
      <c r="BS226" s="65"/>
      <c r="BT226" s="65"/>
      <c r="BU226" s="65"/>
      <c r="BV226" s="65"/>
      <c r="BW226" s="65"/>
      <c r="BX226" s="65"/>
      <c r="BY226" s="65"/>
      <c r="BZ226" s="65"/>
    </row>
    <row r="227" spans="2:78" ht="12" customHeight="1" outlineLevel="1">
      <c r="B227" s="65"/>
      <c r="C227" s="65"/>
      <c r="D227" s="65"/>
      <c r="E227" s="65"/>
      <c r="F227" s="65"/>
      <c r="G227" s="65"/>
      <c r="H227" s="65"/>
      <c r="I227" s="65"/>
      <c r="J227" s="199" t="str">
        <f>'Cronog. e Histog.'!F355</f>
        <v>Equipe07</v>
      </c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9"/>
      <c r="Z227" s="65"/>
      <c r="AA227" s="518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197"/>
      <c r="BI227" s="518"/>
      <c r="BJ227" s="65"/>
      <c r="BK227" s="65"/>
      <c r="BL227" s="65"/>
      <c r="BM227" s="65"/>
      <c r="BN227" s="65"/>
      <c r="BO227" s="65"/>
      <c r="BP227" s="65"/>
      <c r="BQ227" s="65"/>
      <c r="BR227" s="65"/>
      <c r="BS227" s="65"/>
      <c r="BT227" s="65"/>
      <c r="BU227" s="65"/>
      <c r="BV227" s="65"/>
      <c r="BW227" s="65"/>
      <c r="BX227" s="65"/>
      <c r="BY227" s="65"/>
      <c r="BZ227" s="65"/>
    </row>
    <row r="228" spans="2:78" ht="12" customHeight="1" outlineLevel="1">
      <c r="B228" s="137" t="str">
        <f>'Cronog. e Histog.'!B357</f>
        <v>GER. (OBRA/PROJ) - Equipe_01</v>
      </c>
      <c r="C228" s="65"/>
      <c r="D228" s="200">
        <f t="shared" ref="D228:D247" si="237">IF(T228="mensalista",L228,0)</f>
        <v>0</v>
      </c>
      <c r="E228" s="200">
        <f t="shared" ref="E228:E247" si="238">IF(T228="mensalista",M228,0)</f>
        <v>0</v>
      </c>
      <c r="F228" s="65"/>
      <c r="G228" s="200">
        <f t="shared" ref="G228:G247" si="239">IF(T228="mensalista",L228,0)</f>
        <v>0</v>
      </c>
      <c r="H228" s="200">
        <f t="shared" ref="H228:H247" si="240">IF(T228="mensalista",M228,0)</f>
        <v>0</v>
      </c>
      <c r="I228" s="65"/>
      <c r="J228" s="143" t="str">
        <f>IF('Cronog. e Histog.'!G357&gt;0,'Cronog. e Histog.'!G357,"")</f>
        <v>GER. (OBRA/PROJ)</v>
      </c>
      <c r="K228" s="65"/>
      <c r="L228" s="144">
        <f>'Cronog. e Histog.'!BT357</f>
        <v>0</v>
      </c>
      <c r="M228" s="144">
        <f>'Cronog. e Histog.'!BU357</f>
        <v>0</v>
      </c>
      <c r="N228" s="65"/>
      <c r="O228" s="109">
        <f>_xlfn.XLOOKUP(B228,Salários!B:B,Salários!K:K)</f>
        <v>21000</v>
      </c>
      <c r="P228" s="109">
        <f t="shared" ref="P228" si="241">AC228</f>
        <v>0</v>
      </c>
      <c r="Q228" s="109">
        <f t="shared" ref="Q228" si="242">BK228</f>
        <v>0</v>
      </c>
      <c r="R228" s="65"/>
      <c r="S228" s="109">
        <f t="shared" ref="S228" si="243">SUM(O228:Q228)</f>
        <v>21000</v>
      </c>
      <c r="T228" s="201" t="str">
        <f>IF(_xlfn.XLOOKUP(B228,Salários!B:B,Salários!I:I)&gt;0,_xlfn.XLOOKUP(B228,Salários!B:B,Salários!I:I),"")</f>
        <v>PJ</v>
      </c>
      <c r="U228" s="117">
        <f t="shared" ref="U228" si="244">L228*M228*S228</f>
        <v>0</v>
      </c>
      <c r="V228" s="65"/>
      <c r="W228" s="202"/>
      <c r="X228" s="65"/>
      <c r="Y228" s="69"/>
      <c r="Z228" s="65"/>
      <c r="AA228" s="518"/>
      <c r="AB228" s="65"/>
      <c r="AC228" s="81">
        <f t="shared" ref="AC228:AC247" si="245">AH228+AM228+AR228+AW228+BB228+BG228</f>
        <v>0</v>
      </c>
      <c r="AD228" s="65"/>
      <c r="AE228" s="112"/>
      <c r="AF228" s="203">
        <v>0.3</v>
      </c>
      <c r="AG228" s="109">
        <f t="shared" si="44"/>
        <v>21000</v>
      </c>
      <c r="AH228" s="84">
        <f t="shared" ref="AH228:AH247" si="246">IF(AE228="sim",AF228*AG228,0)</f>
        <v>0</v>
      </c>
      <c r="AI228" s="65"/>
      <c r="AJ228" s="112"/>
      <c r="AK228" s="122"/>
      <c r="AL228" s="109">
        <v>1212</v>
      </c>
      <c r="AM228" s="84">
        <f t="shared" ref="AM228:AM247" si="247">IF(AJ228="sim",AK228*AL228,0)</f>
        <v>0</v>
      </c>
      <c r="AN228" s="65"/>
      <c r="AO228" s="112"/>
      <c r="AP228" s="204"/>
      <c r="AQ228" s="109">
        <f>IFERROR((O228+AH228+AM228)/Dashboard!$D$15,0)*0.2</f>
        <v>21.694214876033058</v>
      </c>
      <c r="AR228" s="84">
        <f t="shared" ref="AR228:AR247" si="248">IF(AO228="sim",AP228*AQ228,0)</f>
        <v>0</v>
      </c>
      <c r="AS228" s="65"/>
      <c r="AT228" s="112"/>
      <c r="AU228" s="203">
        <v>0.33</v>
      </c>
      <c r="AV228" s="109">
        <f t="shared" ref="AV228:AV247" si="249">$O228</f>
        <v>21000</v>
      </c>
      <c r="AW228" s="84">
        <f t="shared" ref="AW228:AW247" si="250">IF(AT228="sim",AU228*AV228,0)</f>
        <v>0</v>
      </c>
      <c r="AX228" s="65"/>
      <c r="AY228" s="112"/>
      <c r="AZ228" s="203">
        <v>0.25</v>
      </c>
      <c r="BA228" s="109">
        <f t="shared" si="50"/>
        <v>21000</v>
      </c>
      <c r="BB228" s="84">
        <f t="shared" ref="BB228:BB247" si="251">IF(AY228="sim",AZ228*BA228,0)</f>
        <v>0</v>
      </c>
      <c r="BC228" s="65"/>
      <c r="BD228" s="112"/>
      <c r="BE228" s="203">
        <v>0.26</v>
      </c>
      <c r="BF228" s="109">
        <f t="shared" ref="BF228:BF247" si="252">$O228</f>
        <v>21000</v>
      </c>
      <c r="BG228" s="84">
        <f t="shared" ref="BG228:BG247" si="253">IF(BD228="sim",BE228*BF228,0)</f>
        <v>0</v>
      </c>
      <c r="BH228" s="197"/>
      <c r="BI228" s="518"/>
      <c r="BJ228" s="65"/>
      <c r="BK228" s="81">
        <f t="shared" ref="BK228:BK247" si="254">BP228+BU228+BZ228</f>
        <v>0</v>
      </c>
      <c r="BL228" s="65"/>
      <c r="BM228" s="204"/>
      <c r="BN228" s="156">
        <f>IF(B228&lt;&gt;"",_xlfn.XLOOKUP(B228,'Cronog. e Histog.'!B:B,'Cronog. e Histog.'!EK:EK),0)</f>
        <v>0</v>
      </c>
      <c r="BO228" s="109">
        <f>($O228/Dashboard!$D$15)*(1+Dashboard!$D$19)</f>
        <v>162.7066115702479</v>
      </c>
      <c r="BP228" s="84">
        <f>SUM(BM228:BN228)*BO228</f>
        <v>0</v>
      </c>
      <c r="BQ228" s="65"/>
      <c r="BR228" s="204"/>
      <c r="BS228" s="156">
        <f>IF(B228&lt;&gt;"",_xlfn.XLOOKUP(B228,'Cronog. e Histog.'!B:B,'Cronog. e Histog.'!EL:EL),0)</f>
        <v>0</v>
      </c>
      <c r="BT228" s="109">
        <f>($O228/Dashboard!$D$15)*(1+Dashboard!$D$20)</f>
        <v>189.82438016528923</v>
      </c>
      <c r="BU228" s="84">
        <f>SUM(BR228:BS228)*BT228</f>
        <v>0</v>
      </c>
      <c r="BV228" s="65"/>
      <c r="BW228" s="204"/>
      <c r="BX228" s="156">
        <f>IF(B228&lt;&gt;"",_xlfn.XLOOKUP(B228,'Cronog. e Histog.'!B:B,'Cronog. e Histog.'!EM:EM),0)</f>
        <v>0</v>
      </c>
      <c r="BY228" s="109">
        <f>($O228/Dashboard!$D$15)*(1+Dashboard!$D$21)</f>
        <v>216.94214876033055</v>
      </c>
      <c r="BZ228" s="84">
        <f>SUM(BW228:BX228)*BY228</f>
        <v>0</v>
      </c>
    </row>
    <row r="229" spans="2:78" ht="12" customHeight="1" outlineLevel="1">
      <c r="B229" s="137" t="str">
        <f>'Cronog. e Histog.'!B358</f>
        <v>COORD. - Equipe_01</v>
      </c>
      <c r="C229" s="65"/>
      <c r="D229" s="200">
        <f t="shared" si="237"/>
        <v>0</v>
      </c>
      <c r="E229" s="200">
        <f t="shared" si="238"/>
        <v>0</v>
      </c>
      <c r="F229" s="65"/>
      <c r="G229" s="200">
        <f t="shared" si="239"/>
        <v>0</v>
      </c>
      <c r="H229" s="200">
        <f t="shared" si="240"/>
        <v>0</v>
      </c>
      <c r="I229" s="65"/>
      <c r="J229" s="143" t="str">
        <f>IF('Cronog. e Histog.'!G358&gt;0,'Cronog. e Histog.'!G358,"")</f>
        <v>COORD.</v>
      </c>
      <c r="K229" s="65"/>
      <c r="L229" s="144">
        <f>'Cronog. e Histog.'!BT358</f>
        <v>0</v>
      </c>
      <c r="M229" s="144">
        <f>'Cronog. e Histog.'!BU358</f>
        <v>0</v>
      </c>
      <c r="N229" s="65"/>
      <c r="O229" s="109">
        <f>_xlfn.XLOOKUP(B229,Salários!B:B,Salários!K:K)</f>
        <v>19000</v>
      </c>
      <c r="P229" s="109">
        <f t="shared" ref="P229:P247" si="255">AC229</f>
        <v>0</v>
      </c>
      <c r="Q229" s="109">
        <f t="shared" ref="Q229:Q247" si="256">BK229</f>
        <v>0</v>
      </c>
      <c r="R229" s="65"/>
      <c r="S229" s="109">
        <f t="shared" ref="S229:S247" si="257">SUM(O229:Q229)</f>
        <v>19000</v>
      </c>
      <c r="T229" s="201" t="str">
        <f>IF(_xlfn.XLOOKUP(B229,Salários!B:B,Salários!I:I)&gt;0,_xlfn.XLOOKUP(B229,Salários!B:B,Salários!I:I),"")</f>
        <v>PJ</v>
      </c>
      <c r="U229" s="117">
        <f t="shared" ref="U229:U247" si="258">L229*M229*S229</f>
        <v>0</v>
      </c>
      <c r="V229" s="65"/>
      <c r="W229" s="202"/>
      <c r="X229" s="65"/>
      <c r="Y229" s="69"/>
      <c r="Z229" s="65"/>
      <c r="AA229" s="518"/>
      <c r="AB229" s="65"/>
      <c r="AC229" s="81">
        <f t="shared" ref="AC229:AC238" si="259">AH229+AM229+AR229+AW229+BB229+BG229</f>
        <v>0</v>
      </c>
      <c r="AD229" s="65"/>
      <c r="AE229" s="112"/>
      <c r="AF229" s="203">
        <v>0.3</v>
      </c>
      <c r="AG229" s="109">
        <f t="shared" ref="AG229:AG238" si="260">$O229</f>
        <v>19000</v>
      </c>
      <c r="AH229" s="84">
        <f t="shared" ref="AH229:AH238" si="261">IF(AE229="sim",AF229*AG229,0)</f>
        <v>0</v>
      </c>
      <c r="AI229" s="65"/>
      <c r="AJ229" s="112"/>
      <c r="AK229" s="122"/>
      <c r="AL229" s="109">
        <v>1212</v>
      </c>
      <c r="AM229" s="84">
        <f t="shared" ref="AM229:AM238" si="262">IF(AJ229="sim",AK229*AL229,0)</f>
        <v>0</v>
      </c>
      <c r="AN229" s="65"/>
      <c r="AO229" s="112"/>
      <c r="AP229" s="204"/>
      <c r="AQ229" s="109">
        <f>IFERROR((O229+AH229+AM229)/Dashboard!$D$15,0)*0.2</f>
        <v>19.628099173553718</v>
      </c>
      <c r="AR229" s="84">
        <f t="shared" ref="AR229:AR238" si="263">IF(AO229="sim",AP229*AQ229,0)</f>
        <v>0</v>
      </c>
      <c r="AS229" s="65"/>
      <c r="AT229" s="112"/>
      <c r="AU229" s="203">
        <v>0.33</v>
      </c>
      <c r="AV229" s="109">
        <f t="shared" si="249"/>
        <v>19000</v>
      </c>
      <c r="AW229" s="84">
        <f t="shared" ref="AW229:AW238" si="264">IF(AT229="sim",AU229*AV229,0)</f>
        <v>0</v>
      </c>
      <c r="AX229" s="65"/>
      <c r="AY229" s="112"/>
      <c r="AZ229" s="203">
        <v>0.25</v>
      </c>
      <c r="BA229" s="109">
        <f t="shared" ref="BA229:BA238" si="265">$O229</f>
        <v>19000</v>
      </c>
      <c r="BB229" s="84">
        <f t="shared" ref="BB229:BB238" si="266">IF(AY229="sim",AZ229*BA229,0)</f>
        <v>0</v>
      </c>
      <c r="BC229" s="65"/>
      <c r="BD229" s="112"/>
      <c r="BE229" s="203">
        <v>0.26</v>
      </c>
      <c r="BF229" s="109">
        <f t="shared" si="252"/>
        <v>19000</v>
      </c>
      <c r="BG229" s="84">
        <f t="shared" ref="BG229:BG238" si="267">IF(BD229="sim",BE229*BF229,0)</f>
        <v>0</v>
      </c>
      <c r="BH229" s="197"/>
      <c r="BI229" s="518"/>
      <c r="BJ229" s="65"/>
      <c r="BK229" s="81">
        <f t="shared" ref="BK229:BK238" si="268">BP229+BU229+BZ229</f>
        <v>0</v>
      </c>
      <c r="BL229" s="65"/>
      <c r="BM229" s="204"/>
      <c r="BN229" s="156">
        <f>IF(B229&lt;&gt;"",_xlfn.XLOOKUP(B229,'Cronog. e Histog.'!B:B,'Cronog. e Histog.'!EK:EK),0)</f>
        <v>0</v>
      </c>
      <c r="BO229" s="109">
        <f>($O229/Dashboard!$D$15)*(1+Dashboard!$D$19)</f>
        <v>147.21074380165288</v>
      </c>
      <c r="BP229" s="84">
        <f t="shared" ref="BP229:BP247" si="269">SUM(BM229:BN229)*BO229</f>
        <v>0</v>
      </c>
      <c r="BQ229" s="65"/>
      <c r="BR229" s="204"/>
      <c r="BS229" s="156">
        <f>IF(B229&lt;&gt;"",_xlfn.XLOOKUP(B229,'Cronog. e Histog.'!B:B,'Cronog. e Histog.'!EL:EL),0)</f>
        <v>0</v>
      </c>
      <c r="BT229" s="109">
        <f>($O229/Dashboard!$D$15)*(1+Dashboard!$D$20)</f>
        <v>171.74586776859502</v>
      </c>
      <c r="BU229" s="84">
        <f t="shared" ref="BU229:BU247" si="270">SUM(BR229:BS229)*BT229</f>
        <v>0</v>
      </c>
      <c r="BV229" s="65"/>
      <c r="BW229" s="204"/>
      <c r="BX229" s="156">
        <f>IF(B229&lt;&gt;"",_xlfn.XLOOKUP(B229,'Cronog. e Histog.'!B:B,'Cronog. e Histog.'!EM:EM),0)</f>
        <v>0</v>
      </c>
      <c r="BY229" s="109">
        <f>($O229/Dashboard!$D$15)*(1+Dashboard!$D$21)</f>
        <v>196.28099173553716</v>
      </c>
      <c r="BZ229" s="84">
        <f t="shared" ref="BZ229:BZ247" si="271">SUM(BW229:BX229)*BY229</f>
        <v>0</v>
      </c>
    </row>
    <row r="230" spans="2:78" ht="12" customHeight="1" outlineLevel="1">
      <c r="B230" s="137" t="str">
        <f>'Cronog. e Histog.'!B359</f>
        <v>SUP.-ESP - Equipe_01</v>
      </c>
      <c r="C230" s="65"/>
      <c r="D230" s="200">
        <f t="shared" si="237"/>
        <v>0</v>
      </c>
      <c r="E230" s="200">
        <f t="shared" si="238"/>
        <v>0</v>
      </c>
      <c r="F230" s="65"/>
      <c r="G230" s="200">
        <f t="shared" si="239"/>
        <v>0</v>
      </c>
      <c r="H230" s="200">
        <f t="shared" si="240"/>
        <v>0</v>
      </c>
      <c r="I230" s="65"/>
      <c r="J230" s="143" t="str">
        <f>IF('Cronog. e Histog.'!G359&gt;0,'Cronog. e Histog.'!G359,"")</f>
        <v>SUP.-ESP</v>
      </c>
      <c r="K230" s="65"/>
      <c r="L230" s="144">
        <f>'Cronog. e Histog.'!BT359</f>
        <v>0</v>
      </c>
      <c r="M230" s="144">
        <f>'Cronog. e Histog.'!BU359</f>
        <v>0</v>
      </c>
      <c r="N230" s="65"/>
      <c r="O230" s="109">
        <f>_xlfn.XLOOKUP(B230,Salários!B:B,Salários!K:K)</f>
        <v>9716.67</v>
      </c>
      <c r="P230" s="109">
        <f t="shared" si="255"/>
        <v>0</v>
      </c>
      <c r="Q230" s="109">
        <f t="shared" si="256"/>
        <v>0</v>
      </c>
      <c r="R230" s="65"/>
      <c r="S230" s="109">
        <f t="shared" si="257"/>
        <v>9716.67</v>
      </c>
      <c r="T230" s="201" t="str">
        <f>IF(_xlfn.XLOOKUP(B230,Salários!B:B,Salários!I:I)&gt;0,_xlfn.XLOOKUP(B230,Salários!B:B,Salários!I:I),"")</f>
        <v>Mensalista</v>
      </c>
      <c r="U230" s="117">
        <f t="shared" si="258"/>
        <v>0</v>
      </c>
      <c r="V230" s="65"/>
      <c r="W230" s="202"/>
      <c r="X230" s="65"/>
      <c r="Y230" s="69"/>
      <c r="Z230" s="65"/>
      <c r="AA230" s="518"/>
      <c r="AB230" s="65"/>
      <c r="AC230" s="81">
        <f t="shared" si="259"/>
        <v>0</v>
      </c>
      <c r="AD230" s="65"/>
      <c r="AE230" s="112"/>
      <c r="AF230" s="203">
        <v>0.3</v>
      </c>
      <c r="AG230" s="109">
        <f t="shared" si="260"/>
        <v>9716.67</v>
      </c>
      <c r="AH230" s="84">
        <f t="shared" si="261"/>
        <v>0</v>
      </c>
      <c r="AI230" s="65"/>
      <c r="AJ230" s="112"/>
      <c r="AK230" s="122"/>
      <c r="AL230" s="109">
        <v>1212</v>
      </c>
      <c r="AM230" s="84">
        <f t="shared" si="262"/>
        <v>0</v>
      </c>
      <c r="AN230" s="65"/>
      <c r="AO230" s="112"/>
      <c r="AP230" s="204"/>
      <c r="AQ230" s="109">
        <f>IFERROR((O230+AH230+AM230)/Dashboard!$D$15,0)*0.2</f>
        <v>10.037882231404957</v>
      </c>
      <c r="AR230" s="84">
        <f t="shared" si="263"/>
        <v>0</v>
      </c>
      <c r="AS230" s="65"/>
      <c r="AT230" s="112"/>
      <c r="AU230" s="203">
        <v>0.33</v>
      </c>
      <c r="AV230" s="109">
        <f t="shared" si="249"/>
        <v>9716.67</v>
      </c>
      <c r="AW230" s="84">
        <f t="shared" si="264"/>
        <v>0</v>
      </c>
      <c r="AX230" s="65"/>
      <c r="AY230" s="112"/>
      <c r="AZ230" s="203">
        <v>0.25</v>
      </c>
      <c r="BA230" s="109">
        <f t="shared" si="265"/>
        <v>9716.67</v>
      </c>
      <c r="BB230" s="84">
        <f t="shared" si="266"/>
        <v>0</v>
      </c>
      <c r="BC230" s="65"/>
      <c r="BD230" s="112"/>
      <c r="BE230" s="203">
        <v>0.26</v>
      </c>
      <c r="BF230" s="109">
        <f t="shared" si="252"/>
        <v>9716.67</v>
      </c>
      <c r="BG230" s="84">
        <f t="shared" si="267"/>
        <v>0</v>
      </c>
      <c r="BH230" s="197"/>
      <c r="BI230" s="518"/>
      <c r="BJ230" s="65"/>
      <c r="BK230" s="81">
        <f t="shared" si="268"/>
        <v>0</v>
      </c>
      <c r="BL230" s="65"/>
      <c r="BM230" s="204"/>
      <c r="BN230" s="156">
        <f>IF(B230&lt;&gt;"",_xlfn.XLOOKUP(B230,'Cronog. e Histog.'!B:B,'Cronog. e Histog.'!EK:EK),0)</f>
        <v>0</v>
      </c>
      <c r="BO230" s="109">
        <f>($O230/Dashboard!$D$15)*(1+Dashboard!$D$19)</f>
        <v>75.284116735537182</v>
      </c>
      <c r="BP230" s="84">
        <f t="shared" si="269"/>
        <v>0</v>
      </c>
      <c r="BQ230" s="65"/>
      <c r="BR230" s="204"/>
      <c r="BS230" s="156">
        <f>IF(B230&lt;&gt;"",_xlfn.XLOOKUP(B230,'Cronog. e Histog.'!B:B,'Cronog. e Histog.'!EL:EL),0)</f>
        <v>0</v>
      </c>
      <c r="BT230" s="109">
        <f>($O230/Dashboard!$D$15)*(1+Dashboard!$D$20)</f>
        <v>87.831469524793377</v>
      </c>
      <c r="BU230" s="84">
        <f t="shared" si="270"/>
        <v>0</v>
      </c>
      <c r="BV230" s="65"/>
      <c r="BW230" s="204"/>
      <c r="BX230" s="156">
        <f>IF(B230&lt;&gt;"",_xlfn.XLOOKUP(B230,'Cronog. e Histog.'!B:B,'Cronog. e Histog.'!EM:EM),0)</f>
        <v>0</v>
      </c>
      <c r="BY230" s="109">
        <f>($O230/Dashboard!$D$15)*(1+Dashboard!$D$21)</f>
        <v>100.37882231404957</v>
      </c>
      <c r="BZ230" s="84">
        <f t="shared" si="271"/>
        <v>0</v>
      </c>
    </row>
    <row r="231" spans="2:78" ht="12" customHeight="1" outlineLevel="1">
      <c r="B231" s="137" t="str">
        <f>'Cronog. e Histog.'!B360</f>
        <v>ENG/ARQ SR. - Equipe_01</v>
      </c>
      <c r="C231" s="65"/>
      <c r="D231" s="200">
        <f t="shared" si="237"/>
        <v>0</v>
      </c>
      <c r="E231" s="200">
        <f t="shared" si="238"/>
        <v>0</v>
      </c>
      <c r="F231" s="65"/>
      <c r="G231" s="200">
        <f t="shared" si="239"/>
        <v>0</v>
      </c>
      <c r="H231" s="200">
        <f t="shared" si="240"/>
        <v>0</v>
      </c>
      <c r="I231" s="65"/>
      <c r="J231" s="143" t="str">
        <f>IF('Cronog. e Histog.'!G360&gt;0,'Cronog. e Histog.'!G360,"")</f>
        <v>ENG/ARQ SR.</v>
      </c>
      <c r="K231" s="65"/>
      <c r="L231" s="144">
        <f>'Cronog. e Histog.'!BT360</f>
        <v>0</v>
      </c>
      <c r="M231" s="144">
        <f>'Cronog. e Histog.'!BU360</f>
        <v>0</v>
      </c>
      <c r="N231" s="65"/>
      <c r="O231" s="109">
        <f>_xlfn.XLOOKUP(B231,Salários!B:B,Salários!K:K)</f>
        <v>16000</v>
      </c>
      <c r="P231" s="109">
        <f t="shared" si="255"/>
        <v>0</v>
      </c>
      <c r="Q231" s="109">
        <f t="shared" si="256"/>
        <v>0</v>
      </c>
      <c r="R231" s="65"/>
      <c r="S231" s="109">
        <f t="shared" si="257"/>
        <v>16000</v>
      </c>
      <c r="T231" s="201" t="str">
        <f>IF(_xlfn.XLOOKUP(B231,Salários!B:B,Salários!I:I)&gt;0,_xlfn.XLOOKUP(B231,Salários!B:B,Salários!I:I),"")</f>
        <v>PJ</v>
      </c>
      <c r="U231" s="117">
        <f t="shared" si="258"/>
        <v>0</v>
      </c>
      <c r="V231" s="65"/>
      <c r="W231" s="202"/>
      <c r="X231" s="65"/>
      <c r="Y231" s="69"/>
      <c r="Z231" s="65"/>
      <c r="AA231" s="518"/>
      <c r="AB231" s="65"/>
      <c r="AC231" s="81">
        <f t="shared" si="259"/>
        <v>0</v>
      </c>
      <c r="AD231" s="65"/>
      <c r="AE231" s="112"/>
      <c r="AF231" s="203">
        <v>0.3</v>
      </c>
      <c r="AG231" s="109">
        <f t="shared" si="260"/>
        <v>16000</v>
      </c>
      <c r="AH231" s="84">
        <f t="shared" si="261"/>
        <v>0</v>
      </c>
      <c r="AI231" s="65"/>
      <c r="AJ231" s="112"/>
      <c r="AK231" s="122"/>
      <c r="AL231" s="109">
        <v>1212</v>
      </c>
      <c r="AM231" s="84">
        <f t="shared" si="262"/>
        <v>0</v>
      </c>
      <c r="AN231" s="65"/>
      <c r="AO231" s="112"/>
      <c r="AP231" s="204"/>
      <c r="AQ231" s="109">
        <f>IFERROR((O231+AH231+AM231)/Dashboard!$D$15,0)*0.2</f>
        <v>16.528925619834709</v>
      </c>
      <c r="AR231" s="84">
        <f t="shared" si="263"/>
        <v>0</v>
      </c>
      <c r="AS231" s="65"/>
      <c r="AT231" s="112"/>
      <c r="AU231" s="203">
        <v>0.33</v>
      </c>
      <c r="AV231" s="109">
        <f t="shared" si="249"/>
        <v>16000</v>
      </c>
      <c r="AW231" s="84">
        <f t="shared" si="264"/>
        <v>0</v>
      </c>
      <c r="AX231" s="65"/>
      <c r="AY231" s="112"/>
      <c r="AZ231" s="203">
        <v>0.25</v>
      </c>
      <c r="BA231" s="109">
        <f t="shared" si="265"/>
        <v>16000</v>
      </c>
      <c r="BB231" s="84">
        <f t="shared" si="266"/>
        <v>0</v>
      </c>
      <c r="BC231" s="65"/>
      <c r="BD231" s="112"/>
      <c r="BE231" s="203">
        <v>0.26</v>
      </c>
      <c r="BF231" s="109">
        <f t="shared" si="252"/>
        <v>16000</v>
      </c>
      <c r="BG231" s="84">
        <f t="shared" si="267"/>
        <v>0</v>
      </c>
      <c r="BH231" s="197"/>
      <c r="BI231" s="518"/>
      <c r="BJ231" s="65"/>
      <c r="BK231" s="81">
        <f t="shared" si="268"/>
        <v>0</v>
      </c>
      <c r="BL231" s="65"/>
      <c r="BM231" s="204"/>
      <c r="BN231" s="156">
        <f>IF(B231&lt;&gt;"",_xlfn.XLOOKUP(B231,'Cronog. e Histog.'!B:B,'Cronog. e Histog.'!EK:EK),0)</f>
        <v>0</v>
      </c>
      <c r="BO231" s="109">
        <f>($O231/Dashboard!$D$15)*(1+Dashboard!$D$19)</f>
        <v>123.96694214876032</v>
      </c>
      <c r="BP231" s="84">
        <f t="shared" si="269"/>
        <v>0</v>
      </c>
      <c r="BQ231" s="65"/>
      <c r="BR231" s="204"/>
      <c r="BS231" s="156">
        <f>IF(B231&lt;&gt;"",_xlfn.XLOOKUP(B231,'Cronog. e Histog.'!B:B,'Cronog. e Histog.'!EL:EL),0)</f>
        <v>0</v>
      </c>
      <c r="BT231" s="109">
        <f>($O231/Dashboard!$D$15)*(1+Dashboard!$D$20)</f>
        <v>144.62809917355369</v>
      </c>
      <c r="BU231" s="84">
        <f t="shared" si="270"/>
        <v>0</v>
      </c>
      <c r="BV231" s="65"/>
      <c r="BW231" s="204"/>
      <c r="BX231" s="156">
        <f>IF(B231&lt;&gt;"",_xlfn.XLOOKUP(B231,'Cronog. e Histog.'!B:B,'Cronog. e Histog.'!EM:EM),0)</f>
        <v>0</v>
      </c>
      <c r="BY231" s="109">
        <f>($O231/Dashboard!$D$15)*(1+Dashboard!$D$21)</f>
        <v>165.28925619834709</v>
      </c>
      <c r="BZ231" s="84">
        <f t="shared" si="271"/>
        <v>0</v>
      </c>
    </row>
    <row r="232" spans="2:78" ht="12" customHeight="1" outlineLevel="1">
      <c r="B232" s="137" t="str">
        <f>'Cronog. e Histog.'!B361</f>
        <v>ENG/ARQ PL. - Equipe_01</v>
      </c>
      <c r="C232" s="65"/>
      <c r="D232" s="200">
        <f t="shared" si="237"/>
        <v>0</v>
      </c>
      <c r="E232" s="200">
        <f t="shared" si="238"/>
        <v>0</v>
      </c>
      <c r="F232" s="65"/>
      <c r="G232" s="200">
        <f t="shared" si="239"/>
        <v>0</v>
      </c>
      <c r="H232" s="200">
        <f t="shared" si="240"/>
        <v>0</v>
      </c>
      <c r="I232" s="65"/>
      <c r="J232" s="143" t="str">
        <f>IF('Cronog. e Histog.'!G361&gt;0,'Cronog. e Histog.'!G361,"")</f>
        <v>ENG/ARQ PL.</v>
      </c>
      <c r="K232" s="65"/>
      <c r="L232" s="144">
        <f>'Cronog. e Histog.'!BT361</f>
        <v>0</v>
      </c>
      <c r="M232" s="144">
        <f>'Cronog. e Histog.'!BU361</f>
        <v>0</v>
      </c>
      <c r="N232" s="65"/>
      <c r="O232" s="109">
        <f>_xlfn.XLOOKUP(B232,Salários!B:B,Salários!K:K)</f>
        <v>14000</v>
      </c>
      <c r="P232" s="109">
        <f t="shared" si="255"/>
        <v>0</v>
      </c>
      <c r="Q232" s="109">
        <f t="shared" si="256"/>
        <v>0</v>
      </c>
      <c r="R232" s="65"/>
      <c r="S232" s="109">
        <f t="shared" si="257"/>
        <v>14000</v>
      </c>
      <c r="T232" s="201" t="str">
        <f>IF(_xlfn.XLOOKUP(B232,Salários!B:B,Salários!I:I)&gt;0,_xlfn.XLOOKUP(B232,Salários!B:B,Salários!I:I),"")</f>
        <v>PJ</v>
      </c>
      <c r="U232" s="117">
        <f t="shared" si="258"/>
        <v>0</v>
      </c>
      <c r="V232" s="65"/>
      <c r="W232" s="202"/>
      <c r="X232" s="65"/>
      <c r="Y232" s="69"/>
      <c r="Z232" s="65"/>
      <c r="AA232" s="518"/>
      <c r="AB232" s="65"/>
      <c r="AC232" s="81">
        <f t="shared" si="259"/>
        <v>0</v>
      </c>
      <c r="AD232" s="65"/>
      <c r="AE232" s="112"/>
      <c r="AF232" s="203">
        <v>0.3</v>
      </c>
      <c r="AG232" s="109">
        <f t="shared" si="260"/>
        <v>14000</v>
      </c>
      <c r="AH232" s="84">
        <f t="shared" si="261"/>
        <v>0</v>
      </c>
      <c r="AI232" s="65"/>
      <c r="AJ232" s="112"/>
      <c r="AK232" s="122"/>
      <c r="AL232" s="109">
        <v>1212</v>
      </c>
      <c r="AM232" s="84">
        <f t="shared" si="262"/>
        <v>0</v>
      </c>
      <c r="AN232" s="65"/>
      <c r="AO232" s="112"/>
      <c r="AP232" s="204"/>
      <c r="AQ232" s="109">
        <f>IFERROR((O232+AH232+AM232)/Dashboard!$D$15,0)*0.2</f>
        <v>14.46280991735537</v>
      </c>
      <c r="AR232" s="84">
        <f t="shared" si="263"/>
        <v>0</v>
      </c>
      <c r="AS232" s="65"/>
      <c r="AT232" s="112"/>
      <c r="AU232" s="203">
        <v>0.33</v>
      </c>
      <c r="AV232" s="109">
        <f t="shared" si="249"/>
        <v>14000</v>
      </c>
      <c r="AW232" s="84">
        <f t="shared" si="264"/>
        <v>0</v>
      </c>
      <c r="AX232" s="65"/>
      <c r="AY232" s="112"/>
      <c r="AZ232" s="203">
        <v>0.25</v>
      </c>
      <c r="BA232" s="109">
        <f t="shared" si="265"/>
        <v>14000</v>
      </c>
      <c r="BB232" s="84">
        <f t="shared" si="266"/>
        <v>0</v>
      </c>
      <c r="BC232" s="65"/>
      <c r="BD232" s="112"/>
      <c r="BE232" s="203">
        <v>0.26</v>
      </c>
      <c r="BF232" s="109">
        <f t="shared" si="252"/>
        <v>14000</v>
      </c>
      <c r="BG232" s="84">
        <f t="shared" si="267"/>
        <v>0</v>
      </c>
      <c r="BH232" s="197"/>
      <c r="BI232" s="518"/>
      <c r="BJ232" s="65"/>
      <c r="BK232" s="81">
        <f t="shared" si="268"/>
        <v>0</v>
      </c>
      <c r="BL232" s="65"/>
      <c r="BM232" s="204"/>
      <c r="BN232" s="156">
        <f>IF(B232&lt;&gt;"",_xlfn.XLOOKUP(B232,'Cronog. e Histog.'!B:B,'Cronog. e Histog.'!EK:EK),0)</f>
        <v>0</v>
      </c>
      <c r="BO232" s="109">
        <f>($O232/Dashboard!$D$15)*(1+Dashboard!$D$19)</f>
        <v>108.47107438016528</v>
      </c>
      <c r="BP232" s="84">
        <f t="shared" si="269"/>
        <v>0</v>
      </c>
      <c r="BQ232" s="65"/>
      <c r="BR232" s="204"/>
      <c r="BS232" s="156">
        <f>IF(B232&lt;&gt;"",_xlfn.XLOOKUP(B232,'Cronog. e Histog.'!B:B,'Cronog. e Histog.'!EL:EL),0)</f>
        <v>0</v>
      </c>
      <c r="BT232" s="109">
        <f>($O232/Dashboard!$D$15)*(1+Dashboard!$D$20)</f>
        <v>126.54958677685948</v>
      </c>
      <c r="BU232" s="84">
        <f t="shared" si="270"/>
        <v>0</v>
      </c>
      <c r="BV232" s="65"/>
      <c r="BW232" s="204"/>
      <c r="BX232" s="156">
        <f>IF(B232&lt;&gt;"",_xlfn.XLOOKUP(B232,'Cronog. e Histog.'!B:B,'Cronog. e Histog.'!EM:EM),0)</f>
        <v>0</v>
      </c>
      <c r="BY232" s="109">
        <f>($O232/Dashboard!$D$15)*(1+Dashboard!$D$21)</f>
        <v>144.62809917355369</v>
      </c>
      <c r="BZ232" s="84">
        <f t="shared" si="271"/>
        <v>0</v>
      </c>
    </row>
    <row r="233" spans="2:78" ht="12" customHeight="1" outlineLevel="1">
      <c r="B233" s="137" t="str">
        <f>'Cronog. e Histog.'!B362</f>
        <v>ENG/ARQ JR. - Equipe_01</v>
      </c>
      <c r="C233" s="65"/>
      <c r="D233" s="200">
        <f t="shared" si="237"/>
        <v>0</v>
      </c>
      <c r="E233" s="200">
        <f t="shared" si="238"/>
        <v>0</v>
      </c>
      <c r="F233" s="65"/>
      <c r="G233" s="200">
        <f t="shared" si="239"/>
        <v>0</v>
      </c>
      <c r="H233" s="200">
        <f t="shared" si="240"/>
        <v>0</v>
      </c>
      <c r="I233" s="65"/>
      <c r="J233" s="143" t="str">
        <f>IF('Cronog. e Histog.'!G362&gt;0,'Cronog. e Histog.'!G362,"")</f>
        <v>ENG/ARQ JR.</v>
      </c>
      <c r="K233" s="65"/>
      <c r="L233" s="144">
        <f>'Cronog. e Histog.'!BT362</f>
        <v>0</v>
      </c>
      <c r="M233" s="144">
        <f>'Cronog. e Histog.'!BU362</f>
        <v>0</v>
      </c>
      <c r="N233" s="65"/>
      <c r="O233" s="109">
        <f>_xlfn.XLOOKUP(B233,Salários!B:B,Salários!K:K)</f>
        <v>14000</v>
      </c>
      <c r="P233" s="109">
        <f t="shared" si="255"/>
        <v>0</v>
      </c>
      <c r="Q233" s="109">
        <f t="shared" si="256"/>
        <v>0</v>
      </c>
      <c r="R233" s="65"/>
      <c r="S233" s="109">
        <f t="shared" si="257"/>
        <v>14000</v>
      </c>
      <c r="T233" s="201" t="str">
        <f>IF(_xlfn.XLOOKUP(B233,Salários!B:B,Salários!I:I)&gt;0,_xlfn.XLOOKUP(B233,Salários!B:B,Salários!I:I),"")</f>
        <v>PJ</v>
      </c>
      <c r="U233" s="117">
        <f t="shared" si="258"/>
        <v>0</v>
      </c>
      <c r="V233" s="65"/>
      <c r="W233" s="202"/>
      <c r="X233" s="65"/>
      <c r="Y233" s="69"/>
      <c r="Z233" s="65"/>
      <c r="AA233" s="518"/>
      <c r="AB233" s="65"/>
      <c r="AC233" s="81">
        <f t="shared" si="259"/>
        <v>0</v>
      </c>
      <c r="AD233" s="65"/>
      <c r="AE233" s="112"/>
      <c r="AF233" s="203">
        <v>0.3</v>
      </c>
      <c r="AG233" s="109">
        <f t="shared" si="260"/>
        <v>14000</v>
      </c>
      <c r="AH233" s="84">
        <f t="shared" si="261"/>
        <v>0</v>
      </c>
      <c r="AI233" s="65"/>
      <c r="AJ233" s="112"/>
      <c r="AK233" s="122"/>
      <c r="AL233" s="109">
        <v>1212</v>
      </c>
      <c r="AM233" s="84">
        <f t="shared" si="262"/>
        <v>0</v>
      </c>
      <c r="AN233" s="65"/>
      <c r="AO233" s="112"/>
      <c r="AP233" s="204"/>
      <c r="AQ233" s="109">
        <f>IFERROR((O233+AH233+AM233)/Dashboard!$D$15,0)*0.2</f>
        <v>14.46280991735537</v>
      </c>
      <c r="AR233" s="84">
        <f t="shared" si="263"/>
        <v>0</v>
      </c>
      <c r="AS233" s="65"/>
      <c r="AT233" s="112"/>
      <c r="AU233" s="203">
        <v>0.33</v>
      </c>
      <c r="AV233" s="109">
        <f t="shared" si="249"/>
        <v>14000</v>
      </c>
      <c r="AW233" s="84">
        <f t="shared" si="264"/>
        <v>0</v>
      </c>
      <c r="AX233" s="65"/>
      <c r="AY233" s="112"/>
      <c r="AZ233" s="203">
        <v>0.25</v>
      </c>
      <c r="BA233" s="109">
        <f t="shared" si="265"/>
        <v>14000</v>
      </c>
      <c r="BB233" s="84">
        <f t="shared" si="266"/>
        <v>0</v>
      </c>
      <c r="BC233" s="65"/>
      <c r="BD233" s="112"/>
      <c r="BE233" s="203">
        <v>0.26</v>
      </c>
      <c r="BF233" s="109">
        <f t="shared" si="252"/>
        <v>14000</v>
      </c>
      <c r="BG233" s="84">
        <f t="shared" si="267"/>
        <v>0</v>
      </c>
      <c r="BH233" s="197"/>
      <c r="BI233" s="518"/>
      <c r="BJ233" s="65"/>
      <c r="BK233" s="81">
        <f t="shared" si="268"/>
        <v>0</v>
      </c>
      <c r="BL233" s="65"/>
      <c r="BM233" s="204"/>
      <c r="BN233" s="156">
        <f>IF(B233&lt;&gt;"",_xlfn.XLOOKUP(B233,'Cronog. e Histog.'!B:B,'Cronog. e Histog.'!EK:EK),0)</f>
        <v>0</v>
      </c>
      <c r="BO233" s="109">
        <f>($O233/Dashboard!$D$15)*(1+Dashboard!$D$19)</f>
        <v>108.47107438016528</v>
      </c>
      <c r="BP233" s="84">
        <f t="shared" si="269"/>
        <v>0</v>
      </c>
      <c r="BQ233" s="65"/>
      <c r="BR233" s="204"/>
      <c r="BS233" s="156">
        <f>IF(B233&lt;&gt;"",_xlfn.XLOOKUP(B233,'Cronog. e Histog.'!B:B,'Cronog. e Histog.'!EL:EL),0)</f>
        <v>0</v>
      </c>
      <c r="BT233" s="109">
        <f>($O233/Dashboard!$D$15)*(1+Dashboard!$D$20)</f>
        <v>126.54958677685948</v>
      </c>
      <c r="BU233" s="84">
        <f t="shared" si="270"/>
        <v>0</v>
      </c>
      <c r="BV233" s="65"/>
      <c r="BW233" s="204"/>
      <c r="BX233" s="156">
        <f>IF(B233&lt;&gt;"",_xlfn.XLOOKUP(B233,'Cronog. e Histog.'!B:B,'Cronog. e Histog.'!EM:EM),0)</f>
        <v>0</v>
      </c>
      <c r="BY233" s="109">
        <f>($O233/Dashboard!$D$15)*(1+Dashboard!$D$21)</f>
        <v>144.62809917355369</v>
      </c>
      <c r="BZ233" s="84">
        <f t="shared" si="271"/>
        <v>0</v>
      </c>
    </row>
    <row r="234" spans="2:78" ht="12" customHeight="1" outlineLevel="1">
      <c r="B234" s="137" t="str">
        <f>'Cronog. e Histog.'!B363</f>
        <v>AN SR. ENG/ARQ - Equipe_01</v>
      </c>
      <c r="C234" s="65"/>
      <c r="D234" s="200">
        <f t="shared" si="237"/>
        <v>0</v>
      </c>
      <c r="E234" s="200">
        <f t="shared" si="238"/>
        <v>0</v>
      </c>
      <c r="F234" s="65"/>
      <c r="G234" s="200">
        <f t="shared" si="239"/>
        <v>0</v>
      </c>
      <c r="H234" s="200">
        <f t="shared" si="240"/>
        <v>0</v>
      </c>
      <c r="I234" s="65"/>
      <c r="J234" s="143" t="str">
        <f>IF('Cronog. e Histog.'!G363&gt;0,'Cronog. e Histog.'!G363,"")</f>
        <v>AN SR. ENG/ARQ</v>
      </c>
      <c r="K234" s="65"/>
      <c r="L234" s="144">
        <f>'Cronog. e Histog.'!BT363</f>
        <v>0</v>
      </c>
      <c r="M234" s="144">
        <f>'Cronog. e Histog.'!BU363</f>
        <v>0</v>
      </c>
      <c r="N234" s="65"/>
      <c r="O234" s="109">
        <f>_xlfn.XLOOKUP(B234,Salários!B:B,Salários!K:K)</f>
        <v>7950</v>
      </c>
      <c r="P234" s="109">
        <f t="shared" si="255"/>
        <v>0</v>
      </c>
      <c r="Q234" s="109">
        <f t="shared" si="256"/>
        <v>0</v>
      </c>
      <c r="R234" s="65"/>
      <c r="S234" s="109">
        <f t="shared" si="257"/>
        <v>7950</v>
      </c>
      <c r="T234" s="201" t="str">
        <f>IF(_xlfn.XLOOKUP(B234,Salários!B:B,Salários!I:I)&gt;0,_xlfn.XLOOKUP(B234,Salários!B:B,Salários!I:I),"")</f>
        <v>Mensalista</v>
      </c>
      <c r="U234" s="117">
        <f t="shared" si="258"/>
        <v>0</v>
      </c>
      <c r="V234" s="65"/>
      <c r="W234" s="202"/>
      <c r="X234" s="65"/>
      <c r="Y234" s="69"/>
      <c r="Z234" s="65"/>
      <c r="AA234" s="518"/>
      <c r="AB234" s="65"/>
      <c r="AC234" s="81">
        <f t="shared" si="259"/>
        <v>0</v>
      </c>
      <c r="AD234" s="65"/>
      <c r="AE234" s="112"/>
      <c r="AF234" s="203">
        <v>0.3</v>
      </c>
      <c r="AG234" s="109">
        <f t="shared" si="260"/>
        <v>7950</v>
      </c>
      <c r="AH234" s="84">
        <f t="shared" si="261"/>
        <v>0</v>
      </c>
      <c r="AI234" s="65"/>
      <c r="AJ234" s="112"/>
      <c r="AK234" s="122"/>
      <c r="AL234" s="109">
        <v>1212</v>
      </c>
      <c r="AM234" s="84">
        <f t="shared" si="262"/>
        <v>0</v>
      </c>
      <c r="AN234" s="65"/>
      <c r="AO234" s="112"/>
      <c r="AP234" s="204"/>
      <c r="AQ234" s="109">
        <f>IFERROR((O234+AH234+AM234)/Dashboard!$D$15,0)*0.2</f>
        <v>8.2128099173553704</v>
      </c>
      <c r="AR234" s="84">
        <f t="shared" si="263"/>
        <v>0</v>
      </c>
      <c r="AS234" s="65"/>
      <c r="AT234" s="112"/>
      <c r="AU234" s="203">
        <v>0.33</v>
      </c>
      <c r="AV234" s="109">
        <f t="shared" si="249"/>
        <v>7950</v>
      </c>
      <c r="AW234" s="84">
        <f t="shared" si="264"/>
        <v>0</v>
      </c>
      <c r="AX234" s="65"/>
      <c r="AY234" s="112"/>
      <c r="AZ234" s="203">
        <v>0.25</v>
      </c>
      <c r="BA234" s="109">
        <f t="shared" si="265"/>
        <v>7950</v>
      </c>
      <c r="BB234" s="84">
        <f t="shared" si="266"/>
        <v>0</v>
      </c>
      <c r="BC234" s="65"/>
      <c r="BD234" s="112"/>
      <c r="BE234" s="203">
        <v>0.26</v>
      </c>
      <c r="BF234" s="109">
        <f t="shared" si="252"/>
        <v>7950</v>
      </c>
      <c r="BG234" s="84">
        <f t="shared" si="267"/>
        <v>0</v>
      </c>
      <c r="BH234" s="197"/>
      <c r="BI234" s="518"/>
      <c r="BJ234" s="65"/>
      <c r="BK234" s="81">
        <f t="shared" si="268"/>
        <v>0</v>
      </c>
      <c r="BL234" s="65"/>
      <c r="BM234" s="204"/>
      <c r="BN234" s="156">
        <f>IF(B234&lt;&gt;"",_xlfn.XLOOKUP(B234,'Cronog. e Histog.'!B:B,'Cronog. e Histog.'!EK:EK),0)</f>
        <v>0</v>
      </c>
      <c r="BO234" s="109">
        <f>($O234/Dashboard!$D$15)*(1+Dashboard!$D$19)</f>
        <v>61.596074380165277</v>
      </c>
      <c r="BP234" s="84">
        <f t="shared" si="269"/>
        <v>0</v>
      </c>
      <c r="BQ234" s="65"/>
      <c r="BR234" s="204"/>
      <c r="BS234" s="156">
        <f>IF(B234&lt;&gt;"",_xlfn.XLOOKUP(B234,'Cronog. e Histog.'!B:B,'Cronog. e Histog.'!EL:EL),0)</f>
        <v>0</v>
      </c>
      <c r="BT234" s="109">
        <f>($O234/Dashboard!$D$15)*(1+Dashboard!$D$20)</f>
        <v>71.862086776859499</v>
      </c>
      <c r="BU234" s="84">
        <f t="shared" si="270"/>
        <v>0</v>
      </c>
      <c r="BV234" s="65"/>
      <c r="BW234" s="204"/>
      <c r="BX234" s="156">
        <f>IF(B234&lt;&gt;"",_xlfn.XLOOKUP(B234,'Cronog. e Histog.'!B:B,'Cronog. e Histog.'!EM:EM),0)</f>
        <v>0</v>
      </c>
      <c r="BY234" s="109">
        <f>($O234/Dashboard!$D$15)*(1+Dashboard!$D$21)</f>
        <v>82.128099173553707</v>
      </c>
      <c r="BZ234" s="84">
        <f t="shared" si="271"/>
        <v>0</v>
      </c>
    </row>
    <row r="235" spans="2:78" ht="12" customHeight="1" outlineLevel="1">
      <c r="B235" s="137" t="str">
        <f>'Cronog. e Histog.'!B364</f>
        <v>AN PL. ENG/ARQ - Equipe_01</v>
      </c>
      <c r="C235" s="65"/>
      <c r="D235" s="200">
        <f t="shared" si="237"/>
        <v>0</v>
      </c>
      <c r="E235" s="200">
        <f t="shared" si="238"/>
        <v>0</v>
      </c>
      <c r="F235" s="65"/>
      <c r="G235" s="200">
        <f t="shared" si="239"/>
        <v>0</v>
      </c>
      <c r="H235" s="200">
        <f t="shared" si="240"/>
        <v>0</v>
      </c>
      <c r="I235" s="65"/>
      <c r="J235" s="143" t="str">
        <f>IF('Cronog. e Histog.'!G364&gt;0,'Cronog. e Histog.'!G364,"")</f>
        <v>AN PL. ENG/ARQ</v>
      </c>
      <c r="K235" s="65"/>
      <c r="L235" s="144">
        <f>'Cronog. e Histog.'!BT364</f>
        <v>0</v>
      </c>
      <c r="M235" s="144">
        <f>'Cronog. e Histog.'!BU364</f>
        <v>0</v>
      </c>
      <c r="N235" s="65"/>
      <c r="O235" s="109">
        <f>_xlfn.XLOOKUP(B235,Salários!B:B,Salários!K:K)</f>
        <v>6360</v>
      </c>
      <c r="P235" s="109">
        <f t="shared" si="255"/>
        <v>0</v>
      </c>
      <c r="Q235" s="109">
        <f t="shared" si="256"/>
        <v>0</v>
      </c>
      <c r="R235" s="65"/>
      <c r="S235" s="109">
        <f t="shared" si="257"/>
        <v>6360</v>
      </c>
      <c r="T235" s="201" t="str">
        <f>IF(_xlfn.XLOOKUP(B235,Salários!B:B,Salários!I:I)&gt;0,_xlfn.XLOOKUP(B235,Salários!B:B,Salários!I:I),"")</f>
        <v>Mensalista</v>
      </c>
      <c r="U235" s="117">
        <f t="shared" si="258"/>
        <v>0</v>
      </c>
      <c r="V235" s="65"/>
      <c r="W235" s="202"/>
      <c r="X235" s="65"/>
      <c r="Y235" s="69"/>
      <c r="Z235" s="65"/>
      <c r="AA235" s="518"/>
      <c r="AB235" s="65"/>
      <c r="AC235" s="81">
        <f t="shared" si="259"/>
        <v>0</v>
      </c>
      <c r="AD235" s="65"/>
      <c r="AE235" s="112"/>
      <c r="AF235" s="203">
        <v>0.3</v>
      </c>
      <c r="AG235" s="109">
        <f t="shared" si="260"/>
        <v>6360</v>
      </c>
      <c r="AH235" s="84">
        <f t="shared" si="261"/>
        <v>0</v>
      </c>
      <c r="AI235" s="65"/>
      <c r="AJ235" s="112"/>
      <c r="AK235" s="122"/>
      <c r="AL235" s="109">
        <v>1212</v>
      </c>
      <c r="AM235" s="84">
        <f t="shared" si="262"/>
        <v>0</v>
      </c>
      <c r="AN235" s="65"/>
      <c r="AO235" s="112"/>
      <c r="AP235" s="204"/>
      <c r="AQ235" s="109">
        <f>IFERROR((O235+AH235+AM235)/Dashboard!$D$15,0)*0.2</f>
        <v>6.5702479338842963</v>
      </c>
      <c r="AR235" s="84">
        <f t="shared" si="263"/>
        <v>0</v>
      </c>
      <c r="AS235" s="65"/>
      <c r="AT235" s="112"/>
      <c r="AU235" s="203">
        <v>0.33</v>
      </c>
      <c r="AV235" s="109">
        <f t="shared" si="249"/>
        <v>6360</v>
      </c>
      <c r="AW235" s="84">
        <f t="shared" si="264"/>
        <v>0</v>
      </c>
      <c r="AX235" s="65"/>
      <c r="AY235" s="112"/>
      <c r="AZ235" s="203">
        <v>0.25</v>
      </c>
      <c r="BA235" s="109">
        <f t="shared" si="265"/>
        <v>6360</v>
      </c>
      <c r="BB235" s="84">
        <f t="shared" si="266"/>
        <v>0</v>
      </c>
      <c r="BC235" s="65"/>
      <c r="BD235" s="112"/>
      <c r="BE235" s="203">
        <v>0.26</v>
      </c>
      <c r="BF235" s="109">
        <f t="shared" si="252"/>
        <v>6360</v>
      </c>
      <c r="BG235" s="84">
        <f t="shared" si="267"/>
        <v>0</v>
      </c>
      <c r="BH235" s="197"/>
      <c r="BI235" s="518"/>
      <c r="BJ235" s="65"/>
      <c r="BK235" s="81">
        <f t="shared" si="268"/>
        <v>0</v>
      </c>
      <c r="BL235" s="65"/>
      <c r="BM235" s="204"/>
      <c r="BN235" s="156">
        <f>IF(B235&lt;&gt;"",_xlfn.XLOOKUP(B235,'Cronog. e Histog.'!B:B,'Cronog. e Histog.'!EK:EK),0)</f>
        <v>0</v>
      </c>
      <c r="BO235" s="109">
        <f>($O235/Dashboard!$D$15)*(1+Dashboard!$D$19)</f>
        <v>49.276859504132219</v>
      </c>
      <c r="BP235" s="84">
        <f t="shared" si="269"/>
        <v>0</v>
      </c>
      <c r="BQ235" s="65"/>
      <c r="BR235" s="204"/>
      <c r="BS235" s="156">
        <f>IF(B235&lt;&gt;"",_xlfn.XLOOKUP(B235,'Cronog. e Histog.'!B:B,'Cronog. e Histog.'!EL:EL),0)</f>
        <v>0</v>
      </c>
      <c r="BT235" s="109">
        <f>($O235/Dashboard!$D$15)*(1+Dashboard!$D$20)</f>
        <v>57.489669421487591</v>
      </c>
      <c r="BU235" s="84">
        <f t="shared" si="270"/>
        <v>0</v>
      </c>
      <c r="BV235" s="65"/>
      <c r="BW235" s="204"/>
      <c r="BX235" s="156">
        <f>IF(B235&lt;&gt;"",_xlfn.XLOOKUP(B235,'Cronog. e Histog.'!B:B,'Cronog. e Histog.'!EM:EM),0)</f>
        <v>0</v>
      </c>
      <c r="BY235" s="109">
        <f>($O235/Dashboard!$D$15)*(1+Dashboard!$D$21)</f>
        <v>65.702479338842963</v>
      </c>
      <c r="BZ235" s="84">
        <f t="shared" si="271"/>
        <v>0</v>
      </c>
    </row>
    <row r="236" spans="2:78" ht="12" customHeight="1" outlineLevel="1">
      <c r="B236" s="137" t="str">
        <f>'Cronog. e Histog.'!B365</f>
        <v>AN JR. ENG/ARQ - Equipe_01</v>
      </c>
      <c r="C236" s="65"/>
      <c r="D236" s="200">
        <f t="shared" si="237"/>
        <v>0</v>
      </c>
      <c r="E236" s="200">
        <f t="shared" si="238"/>
        <v>0</v>
      </c>
      <c r="F236" s="65"/>
      <c r="G236" s="200">
        <f t="shared" si="239"/>
        <v>0</v>
      </c>
      <c r="H236" s="200">
        <f t="shared" si="240"/>
        <v>0</v>
      </c>
      <c r="I236" s="65"/>
      <c r="J236" s="143" t="str">
        <f>IF('Cronog. e Histog.'!G365&gt;0,'Cronog. e Histog.'!G365,"")</f>
        <v>AN JR. ENG/ARQ</v>
      </c>
      <c r="K236" s="65"/>
      <c r="L236" s="144">
        <f>'Cronog. e Histog.'!BT365</f>
        <v>0</v>
      </c>
      <c r="M236" s="144">
        <f>'Cronog. e Histog.'!BU365</f>
        <v>0</v>
      </c>
      <c r="N236" s="65"/>
      <c r="O236" s="109">
        <f>_xlfn.XLOOKUP(B236,Salários!B:B,Salários!K:K)</f>
        <v>4770</v>
      </c>
      <c r="P236" s="109">
        <f t="shared" si="255"/>
        <v>0</v>
      </c>
      <c r="Q236" s="109">
        <f t="shared" si="256"/>
        <v>0</v>
      </c>
      <c r="R236" s="65"/>
      <c r="S236" s="109">
        <f t="shared" si="257"/>
        <v>4770</v>
      </c>
      <c r="T236" s="201" t="str">
        <f>IF(_xlfn.XLOOKUP(B236,Salários!B:B,Salários!I:I)&gt;0,_xlfn.XLOOKUP(B236,Salários!B:B,Salários!I:I),"")</f>
        <v>Mensalista</v>
      </c>
      <c r="U236" s="117">
        <f t="shared" si="258"/>
        <v>0</v>
      </c>
      <c r="V236" s="65"/>
      <c r="W236" s="202"/>
      <c r="X236" s="65"/>
      <c r="Y236" s="69"/>
      <c r="Z236" s="65"/>
      <c r="AA236" s="518"/>
      <c r="AB236" s="65"/>
      <c r="AC236" s="81">
        <f t="shared" si="259"/>
        <v>0</v>
      </c>
      <c r="AD236" s="65"/>
      <c r="AE236" s="112"/>
      <c r="AF236" s="203">
        <v>0.3</v>
      </c>
      <c r="AG236" s="109">
        <f t="shared" si="260"/>
        <v>4770</v>
      </c>
      <c r="AH236" s="84">
        <f t="shared" si="261"/>
        <v>0</v>
      </c>
      <c r="AI236" s="65"/>
      <c r="AJ236" s="112"/>
      <c r="AK236" s="122"/>
      <c r="AL236" s="109">
        <v>1212</v>
      </c>
      <c r="AM236" s="84">
        <f t="shared" si="262"/>
        <v>0</v>
      </c>
      <c r="AN236" s="65"/>
      <c r="AO236" s="112"/>
      <c r="AP236" s="204"/>
      <c r="AQ236" s="109">
        <f>IFERROR((O236+AH236+AM236)/Dashboard!$D$15,0)*0.2</f>
        <v>4.9276859504132231</v>
      </c>
      <c r="AR236" s="84">
        <f t="shared" si="263"/>
        <v>0</v>
      </c>
      <c r="AS236" s="65"/>
      <c r="AT236" s="112"/>
      <c r="AU236" s="203">
        <v>0.33</v>
      </c>
      <c r="AV236" s="109">
        <f t="shared" si="249"/>
        <v>4770</v>
      </c>
      <c r="AW236" s="84">
        <f t="shared" si="264"/>
        <v>0</v>
      </c>
      <c r="AX236" s="65"/>
      <c r="AY236" s="112"/>
      <c r="AZ236" s="203">
        <v>0.25</v>
      </c>
      <c r="BA236" s="109">
        <f t="shared" si="265"/>
        <v>4770</v>
      </c>
      <c r="BB236" s="84">
        <f t="shared" si="266"/>
        <v>0</v>
      </c>
      <c r="BC236" s="65"/>
      <c r="BD236" s="112"/>
      <c r="BE236" s="203">
        <v>0.26</v>
      </c>
      <c r="BF236" s="109">
        <f t="shared" si="252"/>
        <v>4770</v>
      </c>
      <c r="BG236" s="84">
        <f t="shared" si="267"/>
        <v>0</v>
      </c>
      <c r="BH236" s="197"/>
      <c r="BI236" s="518"/>
      <c r="BJ236" s="65"/>
      <c r="BK236" s="81">
        <f t="shared" si="268"/>
        <v>0</v>
      </c>
      <c r="BL236" s="65"/>
      <c r="BM236" s="204"/>
      <c r="BN236" s="156">
        <f>IF(B236&lt;&gt;"",_xlfn.XLOOKUP(B236,'Cronog. e Histog.'!B:B,'Cronog. e Histog.'!EK:EK),0)</f>
        <v>0</v>
      </c>
      <c r="BO236" s="109">
        <f>($O236/Dashboard!$D$15)*(1+Dashboard!$D$19)</f>
        <v>36.957644628099168</v>
      </c>
      <c r="BP236" s="84">
        <f t="shared" si="269"/>
        <v>0</v>
      </c>
      <c r="BQ236" s="65"/>
      <c r="BR236" s="204"/>
      <c r="BS236" s="156">
        <f>IF(B236&lt;&gt;"",_xlfn.XLOOKUP(B236,'Cronog. e Histog.'!B:B,'Cronog. e Histog.'!EL:EL),0)</f>
        <v>0</v>
      </c>
      <c r="BT236" s="109">
        <f>($O236/Dashboard!$D$15)*(1+Dashboard!$D$20)</f>
        <v>43.117252066115697</v>
      </c>
      <c r="BU236" s="84">
        <f t="shared" si="270"/>
        <v>0</v>
      </c>
      <c r="BV236" s="65"/>
      <c r="BW236" s="204"/>
      <c r="BX236" s="156">
        <f>IF(B236&lt;&gt;"",_xlfn.XLOOKUP(B236,'Cronog. e Histog.'!B:B,'Cronog. e Histog.'!EM:EM),0)</f>
        <v>0</v>
      </c>
      <c r="BY236" s="109">
        <f>($O236/Dashboard!$D$15)*(1+Dashboard!$D$21)</f>
        <v>49.276859504132226</v>
      </c>
      <c r="BZ236" s="84">
        <f t="shared" si="271"/>
        <v>0</v>
      </c>
    </row>
    <row r="237" spans="2:78" ht="12" customHeight="1" outlineLevel="1">
      <c r="B237" s="137" t="str">
        <f>'Cronog. e Histog.'!B366</f>
        <v>AN SR. ADM/CRP - Equipe_01</v>
      </c>
      <c r="C237" s="65"/>
      <c r="D237" s="200">
        <f t="shared" si="237"/>
        <v>0</v>
      </c>
      <c r="E237" s="200">
        <f t="shared" si="238"/>
        <v>0</v>
      </c>
      <c r="F237" s="65"/>
      <c r="G237" s="200">
        <f t="shared" si="239"/>
        <v>0</v>
      </c>
      <c r="H237" s="200">
        <f t="shared" si="240"/>
        <v>0</v>
      </c>
      <c r="I237" s="65"/>
      <c r="J237" s="143" t="str">
        <f>IF('Cronog. e Histog.'!G366&gt;0,'Cronog. e Histog.'!G366,"")</f>
        <v>AN SR. ADM/CRP</v>
      </c>
      <c r="K237" s="65"/>
      <c r="L237" s="144">
        <f>'Cronog. e Histog.'!BT366</f>
        <v>0</v>
      </c>
      <c r="M237" s="144">
        <f>'Cronog. e Histog.'!BU366</f>
        <v>0</v>
      </c>
      <c r="N237" s="65"/>
      <c r="O237" s="109">
        <f>_xlfn.XLOOKUP(B237,Salários!B:B,Salários!K:K)</f>
        <v>7420</v>
      </c>
      <c r="P237" s="109">
        <f t="shared" si="255"/>
        <v>0</v>
      </c>
      <c r="Q237" s="109">
        <f t="shared" si="256"/>
        <v>0</v>
      </c>
      <c r="R237" s="65"/>
      <c r="S237" s="109">
        <f t="shared" si="257"/>
        <v>7420</v>
      </c>
      <c r="T237" s="201" t="str">
        <f>IF(_xlfn.XLOOKUP(B237,Salários!B:B,Salários!I:I)&gt;0,_xlfn.XLOOKUP(B237,Salários!B:B,Salários!I:I),"")</f>
        <v>Mensalista</v>
      </c>
      <c r="U237" s="117">
        <f t="shared" si="258"/>
        <v>0</v>
      </c>
      <c r="V237" s="65"/>
      <c r="W237" s="202"/>
      <c r="X237" s="65"/>
      <c r="Y237" s="69"/>
      <c r="Z237" s="65"/>
      <c r="AA237" s="518"/>
      <c r="AB237" s="65"/>
      <c r="AC237" s="81">
        <f t="shared" si="259"/>
        <v>0</v>
      </c>
      <c r="AD237" s="65"/>
      <c r="AE237" s="112"/>
      <c r="AF237" s="203">
        <v>0.3</v>
      </c>
      <c r="AG237" s="109">
        <f t="shared" si="260"/>
        <v>7420</v>
      </c>
      <c r="AH237" s="84">
        <f t="shared" si="261"/>
        <v>0</v>
      </c>
      <c r="AI237" s="65"/>
      <c r="AJ237" s="112"/>
      <c r="AK237" s="122"/>
      <c r="AL237" s="109">
        <v>1212</v>
      </c>
      <c r="AM237" s="84">
        <f t="shared" si="262"/>
        <v>0</v>
      </c>
      <c r="AN237" s="65"/>
      <c r="AO237" s="112"/>
      <c r="AP237" s="204"/>
      <c r="AQ237" s="109">
        <f>IFERROR((O237+AH237+AM237)/Dashboard!$D$15,0)*0.2</f>
        <v>7.6652892561983466</v>
      </c>
      <c r="AR237" s="84">
        <f t="shared" si="263"/>
        <v>0</v>
      </c>
      <c r="AS237" s="65"/>
      <c r="AT237" s="112"/>
      <c r="AU237" s="203">
        <v>0.33</v>
      </c>
      <c r="AV237" s="109">
        <f t="shared" si="249"/>
        <v>7420</v>
      </c>
      <c r="AW237" s="84">
        <f t="shared" si="264"/>
        <v>0</v>
      </c>
      <c r="AX237" s="65"/>
      <c r="AY237" s="112"/>
      <c r="AZ237" s="203">
        <v>0.25</v>
      </c>
      <c r="BA237" s="109">
        <f t="shared" si="265"/>
        <v>7420</v>
      </c>
      <c r="BB237" s="84">
        <f t="shared" si="266"/>
        <v>0</v>
      </c>
      <c r="BC237" s="65"/>
      <c r="BD237" s="112"/>
      <c r="BE237" s="203">
        <v>0.26</v>
      </c>
      <c r="BF237" s="109">
        <f t="shared" si="252"/>
        <v>7420</v>
      </c>
      <c r="BG237" s="84">
        <f t="shared" si="267"/>
        <v>0</v>
      </c>
      <c r="BH237" s="197"/>
      <c r="BI237" s="518"/>
      <c r="BJ237" s="65"/>
      <c r="BK237" s="81">
        <f t="shared" si="268"/>
        <v>0</v>
      </c>
      <c r="BL237" s="65"/>
      <c r="BM237" s="204"/>
      <c r="BN237" s="156">
        <f>IF(B237&lt;&gt;"",_xlfn.XLOOKUP(B237,'Cronog. e Histog.'!B:B,'Cronog. e Histog.'!EK:EK),0)</f>
        <v>0</v>
      </c>
      <c r="BO237" s="109">
        <f>($O237/Dashboard!$D$15)*(1+Dashboard!$D$19)</f>
        <v>57.489669421487598</v>
      </c>
      <c r="BP237" s="84">
        <f t="shared" si="269"/>
        <v>0</v>
      </c>
      <c r="BQ237" s="65"/>
      <c r="BR237" s="204"/>
      <c r="BS237" s="156">
        <f>IF(B237&lt;&gt;"",_xlfn.XLOOKUP(B237,'Cronog. e Histog.'!B:B,'Cronog. e Histog.'!EL:EL),0)</f>
        <v>0</v>
      </c>
      <c r="BT237" s="109">
        <f>($O237/Dashboard!$D$15)*(1+Dashboard!$D$20)</f>
        <v>67.071280991735534</v>
      </c>
      <c r="BU237" s="84">
        <f t="shared" si="270"/>
        <v>0</v>
      </c>
      <c r="BV237" s="65"/>
      <c r="BW237" s="204"/>
      <c r="BX237" s="156">
        <f>IF(B237&lt;&gt;"",_xlfn.XLOOKUP(B237,'Cronog. e Histog.'!B:B,'Cronog. e Histog.'!EM:EM),0)</f>
        <v>0</v>
      </c>
      <c r="BY237" s="109">
        <f>($O237/Dashboard!$D$15)*(1+Dashboard!$D$21)</f>
        <v>76.652892561983464</v>
      </c>
      <c r="BZ237" s="84">
        <f t="shared" si="271"/>
        <v>0</v>
      </c>
    </row>
    <row r="238" spans="2:78" ht="12" customHeight="1" outlineLevel="1">
      <c r="B238" s="137" t="str">
        <f>'Cronog. e Histog.'!B367</f>
        <v>AN PL. ADM/CRP - Equipe_01</v>
      </c>
      <c r="C238" s="65"/>
      <c r="D238" s="200">
        <f t="shared" si="237"/>
        <v>0</v>
      </c>
      <c r="E238" s="200">
        <f t="shared" si="238"/>
        <v>0</v>
      </c>
      <c r="F238" s="65"/>
      <c r="G238" s="200">
        <f t="shared" si="239"/>
        <v>0</v>
      </c>
      <c r="H238" s="200">
        <f t="shared" si="240"/>
        <v>0</v>
      </c>
      <c r="I238" s="65"/>
      <c r="J238" s="143" t="str">
        <f>IF('Cronog. e Histog.'!G367&gt;0,'Cronog. e Histog.'!G367,"")</f>
        <v>AN PL. ADM/CRP</v>
      </c>
      <c r="K238" s="65"/>
      <c r="L238" s="144">
        <f>'Cronog. e Histog.'!BT367</f>
        <v>0</v>
      </c>
      <c r="M238" s="144">
        <f>'Cronog. e Histog.'!BU367</f>
        <v>0</v>
      </c>
      <c r="N238" s="65"/>
      <c r="O238" s="109">
        <f>_xlfn.XLOOKUP(B238,Salários!B:B,Salários!K:K)</f>
        <v>5300</v>
      </c>
      <c r="P238" s="109">
        <f t="shared" si="255"/>
        <v>0</v>
      </c>
      <c r="Q238" s="109">
        <f t="shared" si="256"/>
        <v>0</v>
      </c>
      <c r="R238" s="65"/>
      <c r="S238" s="109">
        <f t="shared" si="257"/>
        <v>5300</v>
      </c>
      <c r="T238" s="201" t="str">
        <f>IF(_xlfn.XLOOKUP(B238,Salários!B:B,Salários!I:I)&gt;0,_xlfn.XLOOKUP(B238,Salários!B:B,Salários!I:I),"")</f>
        <v>Mensalista</v>
      </c>
      <c r="U238" s="117">
        <f t="shared" si="258"/>
        <v>0</v>
      </c>
      <c r="V238" s="65"/>
      <c r="W238" s="202"/>
      <c r="X238" s="65"/>
      <c r="Y238" s="69"/>
      <c r="Z238" s="65"/>
      <c r="AA238" s="518"/>
      <c r="AB238" s="65"/>
      <c r="AC238" s="81">
        <f t="shared" si="259"/>
        <v>0</v>
      </c>
      <c r="AD238" s="65"/>
      <c r="AE238" s="112"/>
      <c r="AF238" s="203">
        <v>0.3</v>
      </c>
      <c r="AG238" s="109">
        <f t="shared" si="260"/>
        <v>5300</v>
      </c>
      <c r="AH238" s="84">
        <f t="shared" si="261"/>
        <v>0</v>
      </c>
      <c r="AI238" s="65"/>
      <c r="AJ238" s="112"/>
      <c r="AK238" s="122"/>
      <c r="AL238" s="109">
        <v>1212</v>
      </c>
      <c r="AM238" s="84">
        <f t="shared" si="262"/>
        <v>0</v>
      </c>
      <c r="AN238" s="65"/>
      <c r="AO238" s="112"/>
      <c r="AP238" s="204"/>
      <c r="AQ238" s="109">
        <f>IFERROR((O238+AH238+AM238)/Dashboard!$D$15,0)*0.2</f>
        <v>5.4752066115702478</v>
      </c>
      <c r="AR238" s="84">
        <f t="shared" si="263"/>
        <v>0</v>
      </c>
      <c r="AS238" s="65"/>
      <c r="AT238" s="112"/>
      <c r="AU238" s="203">
        <v>0.33</v>
      </c>
      <c r="AV238" s="109">
        <f t="shared" si="249"/>
        <v>5300</v>
      </c>
      <c r="AW238" s="84">
        <f t="shared" si="264"/>
        <v>0</v>
      </c>
      <c r="AX238" s="65"/>
      <c r="AY238" s="112"/>
      <c r="AZ238" s="203">
        <v>0.25</v>
      </c>
      <c r="BA238" s="109">
        <f t="shared" si="265"/>
        <v>5300</v>
      </c>
      <c r="BB238" s="84">
        <f t="shared" si="266"/>
        <v>0</v>
      </c>
      <c r="BC238" s="65"/>
      <c r="BD238" s="112"/>
      <c r="BE238" s="203">
        <v>0.26</v>
      </c>
      <c r="BF238" s="109">
        <f t="shared" si="252"/>
        <v>5300</v>
      </c>
      <c r="BG238" s="84">
        <f t="shared" si="267"/>
        <v>0</v>
      </c>
      <c r="BH238" s="197"/>
      <c r="BI238" s="518"/>
      <c r="BJ238" s="65"/>
      <c r="BK238" s="81">
        <f t="shared" si="268"/>
        <v>0</v>
      </c>
      <c r="BL238" s="65"/>
      <c r="BM238" s="204"/>
      <c r="BN238" s="156">
        <f>IF(B238&lt;&gt;"",_xlfn.XLOOKUP(B238,'Cronog. e Histog.'!B:B,'Cronog. e Histog.'!EK:EK),0)</f>
        <v>0</v>
      </c>
      <c r="BO238" s="109">
        <f>($O238/Dashboard!$D$15)*(1+Dashboard!$D$19)</f>
        <v>41.064049586776861</v>
      </c>
      <c r="BP238" s="84">
        <f t="shared" si="269"/>
        <v>0</v>
      </c>
      <c r="BQ238" s="65"/>
      <c r="BR238" s="204"/>
      <c r="BS238" s="156">
        <f>IF(B238&lt;&gt;"",_xlfn.XLOOKUP(B238,'Cronog. e Histog.'!B:B,'Cronog. e Histog.'!EL:EL),0)</f>
        <v>0</v>
      </c>
      <c r="BT238" s="109">
        <f>($O238/Dashboard!$D$15)*(1+Dashboard!$D$20)</f>
        <v>47.908057851239668</v>
      </c>
      <c r="BU238" s="84">
        <f t="shared" si="270"/>
        <v>0</v>
      </c>
      <c r="BV238" s="65"/>
      <c r="BW238" s="204"/>
      <c r="BX238" s="156">
        <f>IF(B238&lt;&gt;"",_xlfn.XLOOKUP(B238,'Cronog. e Histog.'!B:B,'Cronog. e Histog.'!EM:EM),0)</f>
        <v>0</v>
      </c>
      <c r="BY238" s="109">
        <f>($O238/Dashboard!$D$15)*(1+Dashboard!$D$21)</f>
        <v>54.752066115702476</v>
      </c>
      <c r="BZ238" s="84">
        <f t="shared" si="271"/>
        <v>0</v>
      </c>
    </row>
    <row r="239" spans="2:78" ht="12" customHeight="1" outlineLevel="1">
      <c r="B239" s="137" t="str">
        <f>'Cronog. e Histog.'!B368</f>
        <v>AN JR. ADM/CRP - Equipe_01</v>
      </c>
      <c r="C239" s="65"/>
      <c r="D239" s="200">
        <f t="shared" si="237"/>
        <v>0</v>
      </c>
      <c r="E239" s="200">
        <f t="shared" si="238"/>
        <v>0</v>
      </c>
      <c r="F239" s="65"/>
      <c r="G239" s="200">
        <f t="shared" si="239"/>
        <v>0</v>
      </c>
      <c r="H239" s="200">
        <f t="shared" si="240"/>
        <v>0</v>
      </c>
      <c r="I239" s="65"/>
      <c r="J239" s="143" t="str">
        <f>IF('Cronog. e Histog.'!G368&gt;0,'Cronog. e Histog.'!G368,"")</f>
        <v>AN JR. ADM/CRP</v>
      </c>
      <c r="K239" s="65"/>
      <c r="L239" s="144">
        <f>'Cronog. e Histog.'!BT368</f>
        <v>0</v>
      </c>
      <c r="M239" s="144">
        <f>'Cronog. e Histog.'!BU368</f>
        <v>0</v>
      </c>
      <c r="N239" s="65"/>
      <c r="O239" s="109">
        <f>_xlfn.XLOOKUP(B239,Salários!B:B,Salários!K:K)</f>
        <v>3710</v>
      </c>
      <c r="P239" s="109">
        <f t="shared" si="255"/>
        <v>0</v>
      </c>
      <c r="Q239" s="109">
        <f t="shared" si="256"/>
        <v>0</v>
      </c>
      <c r="R239" s="65"/>
      <c r="S239" s="109">
        <f t="shared" si="257"/>
        <v>3710</v>
      </c>
      <c r="T239" s="201" t="str">
        <f>IF(_xlfn.XLOOKUP(B239,Salários!B:B,Salários!I:I)&gt;0,_xlfn.XLOOKUP(B239,Salários!B:B,Salários!I:I),"")</f>
        <v>Mensalista</v>
      </c>
      <c r="U239" s="117">
        <f t="shared" si="258"/>
        <v>0</v>
      </c>
      <c r="V239" s="65"/>
      <c r="W239" s="202"/>
      <c r="X239" s="65"/>
      <c r="Y239" s="69"/>
      <c r="Z239" s="65"/>
      <c r="AA239" s="518"/>
      <c r="AB239" s="65"/>
      <c r="AC239" s="81">
        <f t="shared" si="245"/>
        <v>0</v>
      </c>
      <c r="AD239" s="65"/>
      <c r="AE239" s="112"/>
      <c r="AF239" s="203">
        <v>0.3</v>
      </c>
      <c r="AG239" s="109">
        <f t="shared" si="44"/>
        <v>3710</v>
      </c>
      <c r="AH239" s="84">
        <f t="shared" si="246"/>
        <v>0</v>
      </c>
      <c r="AI239" s="65"/>
      <c r="AJ239" s="112"/>
      <c r="AK239" s="122"/>
      <c r="AL239" s="109">
        <v>1212</v>
      </c>
      <c r="AM239" s="84">
        <f t="shared" si="247"/>
        <v>0</v>
      </c>
      <c r="AN239" s="65"/>
      <c r="AO239" s="112"/>
      <c r="AP239" s="204"/>
      <c r="AQ239" s="109">
        <f>IFERROR((O239+AH239+AM239)/Dashboard!$D$15,0)*0.2</f>
        <v>3.8326446280991733</v>
      </c>
      <c r="AR239" s="84">
        <f t="shared" si="248"/>
        <v>0</v>
      </c>
      <c r="AS239" s="65"/>
      <c r="AT239" s="112"/>
      <c r="AU239" s="203">
        <v>0.33</v>
      </c>
      <c r="AV239" s="109">
        <f t="shared" si="249"/>
        <v>3710</v>
      </c>
      <c r="AW239" s="84">
        <f t="shared" si="250"/>
        <v>0</v>
      </c>
      <c r="AX239" s="65"/>
      <c r="AY239" s="112"/>
      <c r="AZ239" s="203">
        <v>0.25</v>
      </c>
      <c r="BA239" s="109">
        <f t="shared" si="50"/>
        <v>3710</v>
      </c>
      <c r="BB239" s="84">
        <f t="shared" si="251"/>
        <v>0</v>
      </c>
      <c r="BC239" s="65"/>
      <c r="BD239" s="112"/>
      <c r="BE239" s="203">
        <v>0.26</v>
      </c>
      <c r="BF239" s="109">
        <f t="shared" si="252"/>
        <v>3710</v>
      </c>
      <c r="BG239" s="84">
        <f t="shared" si="253"/>
        <v>0</v>
      </c>
      <c r="BH239" s="197"/>
      <c r="BI239" s="518"/>
      <c r="BJ239" s="65"/>
      <c r="BK239" s="81">
        <f t="shared" si="254"/>
        <v>0</v>
      </c>
      <c r="BL239" s="65"/>
      <c r="BM239" s="204"/>
      <c r="BN239" s="156">
        <f>IF(B239&lt;&gt;"",_xlfn.XLOOKUP(B239,'Cronog. e Histog.'!B:B,'Cronog. e Histog.'!EK:EK),0)</f>
        <v>0</v>
      </c>
      <c r="BO239" s="109">
        <f>($O239/Dashboard!$D$15)*(1+Dashboard!$D$19)</f>
        <v>28.744834710743799</v>
      </c>
      <c r="BP239" s="84">
        <f t="shared" si="269"/>
        <v>0</v>
      </c>
      <c r="BQ239" s="65"/>
      <c r="BR239" s="204"/>
      <c r="BS239" s="156">
        <f>IF(B239&lt;&gt;"",_xlfn.XLOOKUP(B239,'Cronog. e Histog.'!B:B,'Cronog. e Histog.'!EL:EL),0)</f>
        <v>0</v>
      </c>
      <c r="BT239" s="109">
        <f>($O239/Dashboard!$D$15)*(1+Dashboard!$D$20)</f>
        <v>33.535640495867767</v>
      </c>
      <c r="BU239" s="84">
        <f t="shared" si="270"/>
        <v>0</v>
      </c>
      <c r="BV239" s="65"/>
      <c r="BW239" s="204"/>
      <c r="BX239" s="156">
        <f>IF(B239&lt;&gt;"",_xlfn.XLOOKUP(B239,'Cronog. e Histog.'!B:B,'Cronog. e Histog.'!EM:EM),0)</f>
        <v>0</v>
      </c>
      <c r="BY239" s="109">
        <f>($O239/Dashboard!$D$15)*(1+Dashboard!$D$21)</f>
        <v>38.326446280991732</v>
      </c>
      <c r="BZ239" s="84">
        <f t="shared" si="271"/>
        <v>0</v>
      </c>
    </row>
    <row r="240" spans="2:78" ht="12" customHeight="1" outlineLevel="1">
      <c r="B240" s="137" t="str">
        <f>'Cronog. e Histog.'!B369</f>
        <v>TEC III - Equipe_01</v>
      </c>
      <c r="C240" s="65"/>
      <c r="D240" s="200">
        <f t="shared" si="237"/>
        <v>0</v>
      </c>
      <c r="E240" s="200">
        <f t="shared" si="238"/>
        <v>0</v>
      </c>
      <c r="F240" s="65"/>
      <c r="G240" s="200">
        <f t="shared" si="239"/>
        <v>0</v>
      </c>
      <c r="H240" s="200">
        <f t="shared" si="240"/>
        <v>0</v>
      </c>
      <c r="I240" s="65"/>
      <c r="J240" s="143" t="str">
        <f>IF('Cronog. e Histog.'!G369&gt;0,'Cronog. e Histog.'!G369,"")</f>
        <v>TEC III</v>
      </c>
      <c r="K240" s="65"/>
      <c r="L240" s="144">
        <f>'Cronog. e Histog.'!BT369</f>
        <v>0</v>
      </c>
      <c r="M240" s="144">
        <f>'Cronog. e Histog.'!BU369</f>
        <v>0</v>
      </c>
      <c r="N240" s="65"/>
      <c r="O240" s="109">
        <f>_xlfn.XLOOKUP(B240,Salários!B:B,Salários!K:K)</f>
        <v>6360</v>
      </c>
      <c r="P240" s="109">
        <f t="shared" si="255"/>
        <v>0</v>
      </c>
      <c r="Q240" s="109">
        <f t="shared" si="256"/>
        <v>0</v>
      </c>
      <c r="R240" s="65"/>
      <c r="S240" s="109">
        <f t="shared" si="257"/>
        <v>6360</v>
      </c>
      <c r="T240" s="201" t="str">
        <f>IF(_xlfn.XLOOKUP(B240,Salários!B:B,Salários!I:I)&gt;0,_xlfn.XLOOKUP(B240,Salários!B:B,Salários!I:I),"")</f>
        <v>Mensalista</v>
      </c>
      <c r="U240" s="117">
        <f t="shared" si="258"/>
        <v>0</v>
      </c>
      <c r="V240" s="65"/>
      <c r="W240" s="202"/>
      <c r="X240" s="65"/>
      <c r="Y240" s="69"/>
      <c r="Z240" s="65"/>
      <c r="AA240" s="518"/>
      <c r="AB240" s="65"/>
      <c r="AC240" s="81">
        <f t="shared" si="245"/>
        <v>0</v>
      </c>
      <c r="AD240" s="65"/>
      <c r="AE240" s="112"/>
      <c r="AF240" s="203">
        <v>0.3</v>
      </c>
      <c r="AG240" s="109">
        <f t="shared" si="44"/>
        <v>6360</v>
      </c>
      <c r="AH240" s="84">
        <f t="shared" si="246"/>
        <v>0</v>
      </c>
      <c r="AI240" s="65"/>
      <c r="AJ240" s="112"/>
      <c r="AK240" s="122"/>
      <c r="AL240" s="109">
        <v>1212</v>
      </c>
      <c r="AM240" s="84">
        <f t="shared" si="247"/>
        <v>0</v>
      </c>
      <c r="AN240" s="65"/>
      <c r="AO240" s="112"/>
      <c r="AP240" s="204"/>
      <c r="AQ240" s="109">
        <f>IFERROR((O240+AH240+AM240)/Dashboard!$D$15,0)*0.2</f>
        <v>6.5702479338842963</v>
      </c>
      <c r="AR240" s="84">
        <f t="shared" si="248"/>
        <v>0</v>
      </c>
      <c r="AS240" s="65"/>
      <c r="AT240" s="112"/>
      <c r="AU240" s="203">
        <v>0.33</v>
      </c>
      <c r="AV240" s="109">
        <f t="shared" si="249"/>
        <v>6360</v>
      </c>
      <c r="AW240" s="84">
        <f t="shared" si="250"/>
        <v>0</v>
      </c>
      <c r="AX240" s="65"/>
      <c r="AY240" s="112"/>
      <c r="AZ240" s="203">
        <v>0.25</v>
      </c>
      <c r="BA240" s="109">
        <f t="shared" si="50"/>
        <v>6360</v>
      </c>
      <c r="BB240" s="84">
        <f t="shared" si="251"/>
        <v>0</v>
      </c>
      <c r="BC240" s="65"/>
      <c r="BD240" s="112"/>
      <c r="BE240" s="203">
        <v>0.26</v>
      </c>
      <c r="BF240" s="109">
        <f t="shared" si="252"/>
        <v>6360</v>
      </c>
      <c r="BG240" s="84">
        <f t="shared" si="253"/>
        <v>0</v>
      </c>
      <c r="BH240" s="197"/>
      <c r="BI240" s="518"/>
      <c r="BJ240" s="65"/>
      <c r="BK240" s="81">
        <f t="shared" si="254"/>
        <v>0</v>
      </c>
      <c r="BL240" s="65"/>
      <c r="BM240" s="204"/>
      <c r="BN240" s="156">
        <f>IF(B240&lt;&gt;"",_xlfn.XLOOKUP(B240,'Cronog. e Histog.'!B:B,'Cronog. e Histog.'!EK:EK),0)</f>
        <v>0</v>
      </c>
      <c r="BO240" s="109">
        <f>($O240/Dashboard!$D$15)*(1+Dashboard!$D$19)</f>
        <v>49.276859504132219</v>
      </c>
      <c r="BP240" s="84">
        <f t="shared" si="269"/>
        <v>0</v>
      </c>
      <c r="BQ240" s="65"/>
      <c r="BR240" s="204"/>
      <c r="BS240" s="156">
        <f>IF(B240&lt;&gt;"",_xlfn.XLOOKUP(B240,'Cronog. e Histog.'!B:B,'Cronog. e Histog.'!EL:EL),0)</f>
        <v>0</v>
      </c>
      <c r="BT240" s="109">
        <f>($O240/Dashboard!$D$15)*(1+Dashboard!$D$20)</f>
        <v>57.489669421487591</v>
      </c>
      <c r="BU240" s="84">
        <f t="shared" si="270"/>
        <v>0</v>
      </c>
      <c r="BV240" s="65"/>
      <c r="BW240" s="204"/>
      <c r="BX240" s="156">
        <f>IF(B240&lt;&gt;"",_xlfn.XLOOKUP(B240,'Cronog. e Histog.'!B:B,'Cronog. e Histog.'!EM:EM),0)</f>
        <v>0</v>
      </c>
      <c r="BY240" s="109">
        <f>($O240/Dashboard!$D$15)*(1+Dashboard!$D$21)</f>
        <v>65.702479338842963</v>
      </c>
      <c r="BZ240" s="84">
        <f t="shared" si="271"/>
        <v>0</v>
      </c>
    </row>
    <row r="241" spans="2:78" ht="12" customHeight="1" outlineLevel="1">
      <c r="B241" s="137" t="str">
        <f>'Cronog. e Histog.'!B370</f>
        <v>TEC II - Equipe_01</v>
      </c>
      <c r="C241" s="65"/>
      <c r="D241" s="200">
        <f t="shared" si="237"/>
        <v>0</v>
      </c>
      <c r="E241" s="200">
        <f t="shared" si="238"/>
        <v>0</v>
      </c>
      <c r="F241" s="65"/>
      <c r="G241" s="200">
        <f t="shared" si="239"/>
        <v>0</v>
      </c>
      <c r="H241" s="200">
        <f t="shared" si="240"/>
        <v>0</v>
      </c>
      <c r="I241" s="65"/>
      <c r="J241" s="143" t="str">
        <f>IF('Cronog. e Histog.'!G370&gt;0,'Cronog. e Histog.'!G370,"")</f>
        <v>TEC II</v>
      </c>
      <c r="K241" s="65"/>
      <c r="L241" s="144">
        <f>'Cronog. e Histog.'!BT370</f>
        <v>0</v>
      </c>
      <c r="M241" s="144">
        <f>'Cronog. e Histog.'!BU370</f>
        <v>0</v>
      </c>
      <c r="N241" s="65"/>
      <c r="O241" s="109">
        <f>_xlfn.XLOOKUP(B241,Salários!B:B,Salários!K:K)</f>
        <v>4770</v>
      </c>
      <c r="P241" s="109">
        <f t="shared" si="255"/>
        <v>0</v>
      </c>
      <c r="Q241" s="109">
        <f t="shared" si="256"/>
        <v>0</v>
      </c>
      <c r="R241" s="65"/>
      <c r="S241" s="109">
        <f t="shared" si="257"/>
        <v>4770</v>
      </c>
      <c r="T241" s="201" t="str">
        <f>IF(_xlfn.XLOOKUP(B241,Salários!B:B,Salários!I:I)&gt;0,_xlfn.XLOOKUP(B241,Salários!B:B,Salários!I:I),"")</f>
        <v>Mensalista</v>
      </c>
      <c r="U241" s="117">
        <f t="shared" si="258"/>
        <v>0</v>
      </c>
      <c r="V241" s="65"/>
      <c r="W241" s="202"/>
      <c r="X241" s="65"/>
      <c r="Y241" s="69"/>
      <c r="Z241" s="65"/>
      <c r="AA241" s="518"/>
      <c r="AB241" s="65"/>
      <c r="AC241" s="81">
        <f t="shared" si="245"/>
        <v>0</v>
      </c>
      <c r="AD241" s="65"/>
      <c r="AE241" s="112"/>
      <c r="AF241" s="203">
        <v>0.3</v>
      </c>
      <c r="AG241" s="109">
        <f t="shared" si="44"/>
        <v>4770</v>
      </c>
      <c r="AH241" s="84">
        <f t="shared" si="246"/>
        <v>0</v>
      </c>
      <c r="AI241" s="65"/>
      <c r="AJ241" s="112"/>
      <c r="AK241" s="122"/>
      <c r="AL241" s="109">
        <v>1212</v>
      </c>
      <c r="AM241" s="84">
        <f t="shared" si="247"/>
        <v>0</v>
      </c>
      <c r="AN241" s="65"/>
      <c r="AO241" s="112"/>
      <c r="AP241" s="204"/>
      <c r="AQ241" s="109">
        <f>IFERROR((O241+AH241+AM241)/Dashboard!$D$15,0)*0.2</f>
        <v>4.9276859504132231</v>
      </c>
      <c r="AR241" s="84">
        <f t="shared" si="248"/>
        <v>0</v>
      </c>
      <c r="AS241" s="65"/>
      <c r="AT241" s="112"/>
      <c r="AU241" s="203">
        <v>0.33</v>
      </c>
      <c r="AV241" s="109">
        <f t="shared" si="249"/>
        <v>4770</v>
      </c>
      <c r="AW241" s="84">
        <f t="shared" si="250"/>
        <v>0</v>
      </c>
      <c r="AX241" s="65"/>
      <c r="AY241" s="112"/>
      <c r="AZ241" s="203">
        <v>0.25</v>
      </c>
      <c r="BA241" s="109">
        <f t="shared" si="50"/>
        <v>4770</v>
      </c>
      <c r="BB241" s="84">
        <f t="shared" si="251"/>
        <v>0</v>
      </c>
      <c r="BC241" s="65"/>
      <c r="BD241" s="112"/>
      <c r="BE241" s="203">
        <v>0.26</v>
      </c>
      <c r="BF241" s="109">
        <f t="shared" si="252"/>
        <v>4770</v>
      </c>
      <c r="BG241" s="84">
        <f t="shared" si="253"/>
        <v>0</v>
      </c>
      <c r="BH241" s="197"/>
      <c r="BI241" s="518"/>
      <c r="BJ241" s="65"/>
      <c r="BK241" s="81">
        <f t="shared" si="254"/>
        <v>0</v>
      </c>
      <c r="BL241" s="65"/>
      <c r="BM241" s="204"/>
      <c r="BN241" s="156">
        <f>IF(B241&lt;&gt;"",_xlfn.XLOOKUP(B241,'Cronog. e Histog.'!B:B,'Cronog. e Histog.'!EK:EK),0)</f>
        <v>0</v>
      </c>
      <c r="BO241" s="109">
        <f>($O241/Dashboard!$D$15)*(1+Dashboard!$D$19)</f>
        <v>36.957644628099168</v>
      </c>
      <c r="BP241" s="84">
        <f t="shared" si="269"/>
        <v>0</v>
      </c>
      <c r="BQ241" s="65"/>
      <c r="BR241" s="204"/>
      <c r="BS241" s="156">
        <f>IF(B241&lt;&gt;"",_xlfn.XLOOKUP(B241,'Cronog. e Histog.'!B:B,'Cronog. e Histog.'!EL:EL),0)</f>
        <v>0</v>
      </c>
      <c r="BT241" s="109">
        <f>($O241/Dashboard!$D$15)*(1+Dashboard!$D$20)</f>
        <v>43.117252066115697</v>
      </c>
      <c r="BU241" s="84">
        <f t="shared" si="270"/>
        <v>0</v>
      </c>
      <c r="BV241" s="65"/>
      <c r="BW241" s="204"/>
      <c r="BX241" s="156">
        <f>IF(B241&lt;&gt;"",_xlfn.XLOOKUP(B241,'Cronog. e Histog.'!B:B,'Cronog. e Histog.'!EM:EM),0)</f>
        <v>0</v>
      </c>
      <c r="BY241" s="109">
        <f>($O241/Dashboard!$D$15)*(1+Dashboard!$D$21)</f>
        <v>49.276859504132226</v>
      </c>
      <c r="BZ241" s="84">
        <f t="shared" si="271"/>
        <v>0</v>
      </c>
    </row>
    <row r="242" spans="2:78" ht="12" customHeight="1" outlineLevel="1">
      <c r="B242" s="137" t="str">
        <f>'Cronog. e Histog.'!B371</f>
        <v>TEC I - Equipe_01</v>
      </c>
      <c r="C242" s="65"/>
      <c r="D242" s="200">
        <f t="shared" si="237"/>
        <v>0</v>
      </c>
      <c r="E242" s="200">
        <f t="shared" si="238"/>
        <v>0</v>
      </c>
      <c r="F242" s="65"/>
      <c r="G242" s="200">
        <f t="shared" si="239"/>
        <v>0</v>
      </c>
      <c r="H242" s="200">
        <f t="shared" si="240"/>
        <v>0</v>
      </c>
      <c r="I242" s="65"/>
      <c r="J242" s="143" t="str">
        <f>IF('Cronog. e Histog.'!G371&gt;0,'Cronog. e Histog.'!G371,"")</f>
        <v>TEC I</v>
      </c>
      <c r="K242" s="65"/>
      <c r="L242" s="144">
        <f>'Cronog. e Histog.'!BT371</f>
        <v>0</v>
      </c>
      <c r="M242" s="144">
        <f>'Cronog. e Histog.'!BU371</f>
        <v>0</v>
      </c>
      <c r="N242" s="65"/>
      <c r="O242" s="109">
        <f>_xlfn.XLOOKUP(B242,Salários!B:B,Salários!K:K)</f>
        <v>3180</v>
      </c>
      <c r="P242" s="109">
        <f t="shared" si="255"/>
        <v>0</v>
      </c>
      <c r="Q242" s="109">
        <f t="shared" si="256"/>
        <v>0</v>
      </c>
      <c r="R242" s="65"/>
      <c r="S242" s="109">
        <f t="shared" si="257"/>
        <v>3180</v>
      </c>
      <c r="T242" s="201" t="str">
        <f>IF(_xlfn.XLOOKUP(B242,Salários!B:B,Salários!I:I)&gt;0,_xlfn.XLOOKUP(B242,Salários!B:B,Salários!I:I),"")</f>
        <v>Mensalista</v>
      </c>
      <c r="U242" s="117">
        <f t="shared" si="258"/>
        <v>0</v>
      </c>
      <c r="V242" s="65"/>
      <c r="W242" s="202"/>
      <c r="X242" s="65"/>
      <c r="Y242" s="69"/>
      <c r="Z242" s="65"/>
      <c r="AA242" s="518"/>
      <c r="AB242" s="65"/>
      <c r="AC242" s="81">
        <f t="shared" si="245"/>
        <v>0</v>
      </c>
      <c r="AD242" s="65"/>
      <c r="AE242" s="112"/>
      <c r="AF242" s="203">
        <v>0.3</v>
      </c>
      <c r="AG242" s="109">
        <f t="shared" si="44"/>
        <v>3180</v>
      </c>
      <c r="AH242" s="84">
        <f t="shared" si="246"/>
        <v>0</v>
      </c>
      <c r="AI242" s="65"/>
      <c r="AJ242" s="112"/>
      <c r="AK242" s="122"/>
      <c r="AL242" s="109">
        <v>1212</v>
      </c>
      <c r="AM242" s="84">
        <f t="shared" si="247"/>
        <v>0</v>
      </c>
      <c r="AN242" s="65"/>
      <c r="AO242" s="112"/>
      <c r="AP242" s="204"/>
      <c r="AQ242" s="109">
        <f>IFERROR((O242+AH242+AM242)/Dashboard!$D$15,0)*0.2</f>
        <v>3.2851239669421481</v>
      </c>
      <c r="AR242" s="84">
        <f t="shared" si="248"/>
        <v>0</v>
      </c>
      <c r="AS242" s="65"/>
      <c r="AT242" s="112"/>
      <c r="AU242" s="203">
        <v>0.33</v>
      </c>
      <c r="AV242" s="109">
        <f t="shared" si="249"/>
        <v>3180</v>
      </c>
      <c r="AW242" s="84">
        <f t="shared" si="250"/>
        <v>0</v>
      </c>
      <c r="AX242" s="65"/>
      <c r="AY242" s="112"/>
      <c r="AZ242" s="203">
        <v>0.25</v>
      </c>
      <c r="BA242" s="109">
        <f t="shared" si="50"/>
        <v>3180</v>
      </c>
      <c r="BB242" s="84">
        <f t="shared" si="251"/>
        <v>0</v>
      </c>
      <c r="BC242" s="65"/>
      <c r="BD242" s="112"/>
      <c r="BE242" s="203">
        <v>0.26</v>
      </c>
      <c r="BF242" s="109">
        <f t="shared" si="252"/>
        <v>3180</v>
      </c>
      <c r="BG242" s="84">
        <f t="shared" si="253"/>
        <v>0</v>
      </c>
      <c r="BH242" s="197"/>
      <c r="BI242" s="518"/>
      <c r="BJ242" s="65"/>
      <c r="BK242" s="81">
        <f t="shared" si="254"/>
        <v>0</v>
      </c>
      <c r="BL242" s="65"/>
      <c r="BM242" s="204"/>
      <c r="BN242" s="156">
        <f>IF(B242&lt;&gt;"",_xlfn.XLOOKUP(B242,'Cronog. e Histog.'!B:B,'Cronog. e Histog.'!EK:EK),0)</f>
        <v>0</v>
      </c>
      <c r="BO242" s="109">
        <f>($O242/Dashboard!$D$15)*(1+Dashboard!$D$19)</f>
        <v>24.638429752066109</v>
      </c>
      <c r="BP242" s="84">
        <f t="shared" si="269"/>
        <v>0</v>
      </c>
      <c r="BQ242" s="65"/>
      <c r="BR242" s="204"/>
      <c r="BS242" s="156">
        <f>IF(B242&lt;&gt;"",_xlfn.XLOOKUP(B242,'Cronog. e Histog.'!B:B,'Cronog. e Histog.'!EL:EL),0)</f>
        <v>0</v>
      </c>
      <c r="BT242" s="109">
        <f>($O242/Dashboard!$D$15)*(1+Dashboard!$D$20)</f>
        <v>28.744834710743795</v>
      </c>
      <c r="BU242" s="84">
        <f t="shared" si="270"/>
        <v>0</v>
      </c>
      <c r="BV242" s="65"/>
      <c r="BW242" s="204"/>
      <c r="BX242" s="156">
        <f>IF(B242&lt;&gt;"",_xlfn.XLOOKUP(B242,'Cronog. e Histog.'!B:B,'Cronog. e Histog.'!EM:EM),0)</f>
        <v>0</v>
      </c>
      <c r="BY242" s="109">
        <f>($O242/Dashboard!$D$15)*(1+Dashboard!$D$21)</f>
        <v>32.851239669421481</v>
      </c>
      <c r="BZ242" s="84">
        <f t="shared" si="271"/>
        <v>0</v>
      </c>
    </row>
    <row r="243" spans="2:78" ht="12" customHeight="1" outlineLevel="1">
      <c r="B243" s="137" t="str">
        <f>'Cronog. e Histog.'!B372</f>
        <v>AUX TEC - Equipe_01</v>
      </c>
      <c r="C243" s="65"/>
      <c r="D243" s="200">
        <f t="shared" si="237"/>
        <v>0</v>
      </c>
      <c r="E243" s="200">
        <f t="shared" si="238"/>
        <v>0</v>
      </c>
      <c r="F243" s="65"/>
      <c r="G243" s="200">
        <f t="shared" si="239"/>
        <v>0</v>
      </c>
      <c r="H243" s="200">
        <f t="shared" si="240"/>
        <v>0</v>
      </c>
      <c r="I243" s="65"/>
      <c r="J243" s="143" t="str">
        <f>IF('Cronog. e Histog.'!G372&gt;0,'Cronog. e Histog.'!G372,"")</f>
        <v>AUX TEC</v>
      </c>
      <c r="K243" s="65"/>
      <c r="L243" s="144">
        <f>'Cronog. e Histog.'!BT372</f>
        <v>0</v>
      </c>
      <c r="M243" s="144">
        <f>'Cronog. e Histog.'!BU372</f>
        <v>0</v>
      </c>
      <c r="N243" s="65"/>
      <c r="O243" s="109">
        <f>_xlfn.XLOOKUP(B243,Salários!B:B,Salários!K:K)</f>
        <v>3710</v>
      </c>
      <c r="P243" s="109">
        <f t="shared" si="255"/>
        <v>0</v>
      </c>
      <c r="Q243" s="109">
        <f t="shared" si="256"/>
        <v>0</v>
      </c>
      <c r="R243" s="65"/>
      <c r="S243" s="109">
        <f t="shared" si="257"/>
        <v>3710</v>
      </c>
      <c r="T243" s="201" t="str">
        <f>IF(_xlfn.XLOOKUP(B243,Salários!B:B,Salários!I:I)&gt;0,_xlfn.XLOOKUP(B243,Salários!B:B,Salários!I:I),"")</f>
        <v>Mensalista</v>
      </c>
      <c r="U243" s="117">
        <f t="shared" si="258"/>
        <v>0</v>
      </c>
      <c r="V243" s="65"/>
      <c r="W243" s="202"/>
      <c r="X243" s="65"/>
      <c r="Y243" s="69"/>
      <c r="Z243" s="65"/>
      <c r="AA243" s="518"/>
      <c r="AB243" s="65"/>
      <c r="AC243" s="81">
        <f t="shared" si="245"/>
        <v>0</v>
      </c>
      <c r="AD243" s="65"/>
      <c r="AE243" s="112"/>
      <c r="AF243" s="203">
        <v>0.3</v>
      </c>
      <c r="AG243" s="109">
        <f t="shared" si="44"/>
        <v>3710</v>
      </c>
      <c r="AH243" s="84">
        <f t="shared" si="246"/>
        <v>0</v>
      </c>
      <c r="AI243" s="65"/>
      <c r="AJ243" s="112"/>
      <c r="AK243" s="122"/>
      <c r="AL243" s="109">
        <v>1212</v>
      </c>
      <c r="AM243" s="84">
        <f t="shared" si="247"/>
        <v>0</v>
      </c>
      <c r="AN243" s="65"/>
      <c r="AO243" s="112"/>
      <c r="AP243" s="204"/>
      <c r="AQ243" s="109">
        <f>IFERROR((O243+AH243+AM243)/Dashboard!$D$15,0)*0.2</f>
        <v>3.8326446280991733</v>
      </c>
      <c r="AR243" s="84">
        <f t="shared" si="248"/>
        <v>0</v>
      </c>
      <c r="AS243" s="65"/>
      <c r="AT243" s="112"/>
      <c r="AU243" s="203">
        <v>0.33</v>
      </c>
      <c r="AV243" s="109">
        <f t="shared" si="249"/>
        <v>3710</v>
      </c>
      <c r="AW243" s="84">
        <f t="shared" si="250"/>
        <v>0</v>
      </c>
      <c r="AX243" s="65"/>
      <c r="AY243" s="112"/>
      <c r="AZ243" s="203">
        <v>0.25</v>
      </c>
      <c r="BA243" s="109">
        <f t="shared" si="50"/>
        <v>3710</v>
      </c>
      <c r="BB243" s="84">
        <f t="shared" si="251"/>
        <v>0</v>
      </c>
      <c r="BC243" s="65"/>
      <c r="BD243" s="112"/>
      <c r="BE243" s="203">
        <v>0.26</v>
      </c>
      <c r="BF243" s="109">
        <f t="shared" si="252"/>
        <v>3710</v>
      </c>
      <c r="BG243" s="84">
        <f t="shared" si="253"/>
        <v>0</v>
      </c>
      <c r="BH243" s="197"/>
      <c r="BI243" s="518"/>
      <c r="BJ243" s="65"/>
      <c r="BK243" s="81">
        <f t="shared" si="254"/>
        <v>0</v>
      </c>
      <c r="BL243" s="65"/>
      <c r="BM243" s="204"/>
      <c r="BN243" s="156">
        <f>IF(B243&lt;&gt;"",_xlfn.XLOOKUP(B243,'Cronog. e Histog.'!B:B,'Cronog. e Histog.'!EK:EK),0)</f>
        <v>0</v>
      </c>
      <c r="BO243" s="109">
        <f>($O243/Dashboard!$D$15)*(1+Dashboard!$D$19)</f>
        <v>28.744834710743799</v>
      </c>
      <c r="BP243" s="84">
        <f t="shared" si="269"/>
        <v>0</v>
      </c>
      <c r="BQ243" s="65"/>
      <c r="BR243" s="204"/>
      <c r="BS243" s="156">
        <f>IF(B243&lt;&gt;"",_xlfn.XLOOKUP(B243,'Cronog. e Histog.'!B:B,'Cronog. e Histog.'!EL:EL),0)</f>
        <v>0</v>
      </c>
      <c r="BT243" s="109">
        <f>($O243/Dashboard!$D$15)*(1+Dashboard!$D$20)</f>
        <v>33.535640495867767</v>
      </c>
      <c r="BU243" s="84">
        <f t="shared" si="270"/>
        <v>0</v>
      </c>
      <c r="BV243" s="65"/>
      <c r="BW243" s="204"/>
      <c r="BX243" s="156">
        <f>IF(B243&lt;&gt;"",_xlfn.XLOOKUP(B243,'Cronog. e Histog.'!B:B,'Cronog. e Histog.'!EM:EM),0)</f>
        <v>0</v>
      </c>
      <c r="BY243" s="109">
        <f>($O243/Dashboard!$D$15)*(1+Dashboard!$D$21)</f>
        <v>38.326446280991732</v>
      </c>
      <c r="BZ243" s="84">
        <f t="shared" si="271"/>
        <v>0</v>
      </c>
    </row>
    <row r="244" spans="2:78" ht="12" customHeight="1" outlineLevel="1">
      <c r="B244" s="137" t="str">
        <f>'Cronog. e Histog.'!B373</f>
        <v>AUX ADM - Equipe_01</v>
      </c>
      <c r="C244" s="65"/>
      <c r="D244" s="200">
        <f t="shared" si="237"/>
        <v>0</v>
      </c>
      <c r="E244" s="200">
        <f t="shared" si="238"/>
        <v>0</v>
      </c>
      <c r="F244" s="65"/>
      <c r="G244" s="200">
        <f t="shared" si="239"/>
        <v>0</v>
      </c>
      <c r="H244" s="200">
        <f t="shared" si="240"/>
        <v>0</v>
      </c>
      <c r="I244" s="65"/>
      <c r="J244" s="143" t="str">
        <f>IF('Cronog. e Histog.'!G373&gt;0,'Cronog. e Histog.'!G373,"")</f>
        <v>AUX ADM</v>
      </c>
      <c r="K244" s="65"/>
      <c r="L244" s="144">
        <f>'Cronog. e Histog.'!BT373</f>
        <v>0</v>
      </c>
      <c r="M244" s="144">
        <f>'Cronog. e Histog.'!BU373</f>
        <v>0</v>
      </c>
      <c r="N244" s="65"/>
      <c r="O244" s="109">
        <f>_xlfn.XLOOKUP(B244,Salários!B:B,Salários!K:K)</f>
        <v>1912.24</v>
      </c>
      <c r="P244" s="109">
        <f t="shared" si="255"/>
        <v>0</v>
      </c>
      <c r="Q244" s="109">
        <f t="shared" si="256"/>
        <v>0</v>
      </c>
      <c r="R244" s="65"/>
      <c r="S244" s="109">
        <f t="shared" si="257"/>
        <v>1912.24</v>
      </c>
      <c r="T244" s="201" t="str">
        <f>IF(_xlfn.XLOOKUP(B244,Salários!B:B,Salários!I:I)&gt;0,_xlfn.XLOOKUP(B244,Salários!B:B,Salários!I:I),"")</f>
        <v>Mensalista</v>
      </c>
      <c r="U244" s="117">
        <f t="shared" si="258"/>
        <v>0</v>
      </c>
      <c r="V244" s="65"/>
      <c r="W244" s="202"/>
      <c r="X244" s="65"/>
      <c r="Y244" s="69"/>
      <c r="Z244" s="65"/>
      <c r="AA244" s="518"/>
      <c r="AB244" s="65"/>
      <c r="AC244" s="81">
        <f t="shared" si="245"/>
        <v>0</v>
      </c>
      <c r="AD244" s="65"/>
      <c r="AE244" s="112"/>
      <c r="AF244" s="203">
        <v>0.3</v>
      </c>
      <c r="AG244" s="109">
        <f t="shared" si="44"/>
        <v>1912.24</v>
      </c>
      <c r="AH244" s="84">
        <f t="shared" si="246"/>
        <v>0</v>
      </c>
      <c r="AI244" s="65"/>
      <c r="AJ244" s="112"/>
      <c r="AK244" s="122"/>
      <c r="AL244" s="109">
        <v>1212</v>
      </c>
      <c r="AM244" s="84">
        <f t="shared" si="247"/>
        <v>0</v>
      </c>
      <c r="AN244" s="65"/>
      <c r="AO244" s="112"/>
      <c r="AP244" s="204"/>
      <c r="AQ244" s="109">
        <f>IFERROR((O244+AH244+AM244)/Dashboard!$D$15,0)*0.2</f>
        <v>1.9754545454545456</v>
      </c>
      <c r="AR244" s="84">
        <f t="shared" si="248"/>
        <v>0</v>
      </c>
      <c r="AS244" s="65"/>
      <c r="AT244" s="112"/>
      <c r="AU244" s="203">
        <v>0.33</v>
      </c>
      <c r="AV244" s="109">
        <f t="shared" si="249"/>
        <v>1912.24</v>
      </c>
      <c r="AW244" s="84">
        <f t="shared" si="250"/>
        <v>0</v>
      </c>
      <c r="AX244" s="65"/>
      <c r="AY244" s="112"/>
      <c r="AZ244" s="203">
        <v>0.25</v>
      </c>
      <c r="BA244" s="109">
        <f t="shared" si="50"/>
        <v>1912.24</v>
      </c>
      <c r="BB244" s="84">
        <f t="shared" si="251"/>
        <v>0</v>
      </c>
      <c r="BC244" s="65"/>
      <c r="BD244" s="112"/>
      <c r="BE244" s="203">
        <v>0.26</v>
      </c>
      <c r="BF244" s="109">
        <f t="shared" si="252"/>
        <v>1912.24</v>
      </c>
      <c r="BG244" s="84">
        <f t="shared" si="253"/>
        <v>0</v>
      </c>
      <c r="BH244" s="197"/>
      <c r="BI244" s="518"/>
      <c r="BJ244" s="65"/>
      <c r="BK244" s="81">
        <f t="shared" si="254"/>
        <v>0</v>
      </c>
      <c r="BL244" s="65"/>
      <c r="BM244" s="204"/>
      <c r="BN244" s="156">
        <f>IF(B244&lt;&gt;"",_xlfn.XLOOKUP(B244,'Cronog. e Histog.'!B:B,'Cronog. e Histog.'!EK:EK),0)</f>
        <v>0</v>
      </c>
      <c r="BO244" s="109">
        <f>($O244/Dashboard!$D$15)*(1+Dashboard!$D$19)</f>
        <v>14.815909090909091</v>
      </c>
      <c r="BP244" s="84">
        <f t="shared" si="269"/>
        <v>0</v>
      </c>
      <c r="BQ244" s="65"/>
      <c r="BR244" s="204"/>
      <c r="BS244" s="156">
        <f>IF(B244&lt;&gt;"",_xlfn.XLOOKUP(B244,'Cronog. e Histog.'!B:B,'Cronog. e Histog.'!EL:EL),0)</f>
        <v>0</v>
      </c>
      <c r="BT244" s="109">
        <f>($O244/Dashboard!$D$15)*(1+Dashboard!$D$20)</f>
        <v>17.285227272727273</v>
      </c>
      <c r="BU244" s="84">
        <f t="shared" si="270"/>
        <v>0</v>
      </c>
      <c r="BV244" s="65"/>
      <c r="BW244" s="204"/>
      <c r="BX244" s="156">
        <f>IF(B244&lt;&gt;"",_xlfn.XLOOKUP(B244,'Cronog. e Histog.'!B:B,'Cronog. e Histog.'!EM:EM),0)</f>
        <v>0</v>
      </c>
      <c r="BY244" s="109">
        <f>($O244/Dashboard!$D$15)*(1+Dashboard!$D$21)</f>
        <v>19.754545454545454</v>
      </c>
      <c r="BZ244" s="84">
        <f t="shared" si="271"/>
        <v>0</v>
      </c>
    </row>
    <row r="245" spans="2:78" ht="12" customHeight="1" outlineLevel="1">
      <c r="B245" s="137" t="str">
        <f>'Cronog. e Histog.'!B374</f>
        <v>EST - Equipe_01</v>
      </c>
      <c r="C245" s="65"/>
      <c r="D245" s="200">
        <f t="shared" si="237"/>
        <v>0</v>
      </c>
      <c r="E245" s="200">
        <f t="shared" si="238"/>
        <v>0</v>
      </c>
      <c r="F245" s="65"/>
      <c r="G245" s="200">
        <f t="shared" si="239"/>
        <v>0</v>
      </c>
      <c r="H245" s="200">
        <f t="shared" si="240"/>
        <v>0</v>
      </c>
      <c r="I245" s="65"/>
      <c r="J245" s="143" t="str">
        <f>IF('Cronog. e Histog.'!G374&gt;0,'Cronog. e Histog.'!G374,"")</f>
        <v>EST</v>
      </c>
      <c r="K245" s="65"/>
      <c r="L245" s="144">
        <f>'Cronog. e Histog.'!BT374</f>
        <v>0</v>
      </c>
      <c r="M245" s="144">
        <f>'Cronog. e Histog.'!BU374</f>
        <v>0</v>
      </c>
      <c r="N245" s="65"/>
      <c r="O245" s="109">
        <f>_xlfn.XLOOKUP(B245,Salários!B:B,Salários!K:K)</f>
        <v>1633</v>
      </c>
      <c r="P245" s="109">
        <f t="shared" si="255"/>
        <v>0</v>
      </c>
      <c r="Q245" s="109">
        <f t="shared" si="256"/>
        <v>0</v>
      </c>
      <c r="R245" s="65"/>
      <c r="S245" s="109">
        <f t="shared" si="257"/>
        <v>1633</v>
      </c>
      <c r="T245" s="201" t="str">
        <f>IF(_xlfn.XLOOKUP(B245,Salários!B:B,Salários!I:I)&gt;0,_xlfn.XLOOKUP(B245,Salários!B:B,Salários!I:I),"")</f>
        <v>PJ</v>
      </c>
      <c r="U245" s="117">
        <f t="shared" si="258"/>
        <v>0</v>
      </c>
      <c r="V245" s="65"/>
      <c r="W245" s="202"/>
      <c r="X245" s="65"/>
      <c r="Y245" s="69"/>
      <c r="Z245" s="65"/>
      <c r="AA245" s="518"/>
      <c r="AB245" s="65"/>
      <c r="AC245" s="81">
        <f t="shared" si="245"/>
        <v>0</v>
      </c>
      <c r="AD245" s="65"/>
      <c r="AE245" s="112"/>
      <c r="AF245" s="203">
        <v>0.3</v>
      </c>
      <c r="AG245" s="109">
        <f t="shared" si="44"/>
        <v>1633</v>
      </c>
      <c r="AH245" s="84">
        <f t="shared" si="246"/>
        <v>0</v>
      </c>
      <c r="AI245" s="65"/>
      <c r="AJ245" s="112"/>
      <c r="AK245" s="122"/>
      <c r="AL245" s="109">
        <v>1212</v>
      </c>
      <c r="AM245" s="84">
        <f t="shared" si="247"/>
        <v>0</v>
      </c>
      <c r="AN245" s="65"/>
      <c r="AO245" s="112"/>
      <c r="AP245" s="204"/>
      <c r="AQ245" s="109">
        <f>IFERROR((O245+AH245+AM245)/Dashboard!$D$15,0)*0.2</f>
        <v>1.6869834710743801</v>
      </c>
      <c r="AR245" s="84">
        <f t="shared" si="248"/>
        <v>0</v>
      </c>
      <c r="AS245" s="65"/>
      <c r="AT245" s="112"/>
      <c r="AU245" s="203">
        <v>0.33</v>
      </c>
      <c r="AV245" s="109">
        <f t="shared" si="249"/>
        <v>1633</v>
      </c>
      <c r="AW245" s="84">
        <f t="shared" si="250"/>
        <v>0</v>
      </c>
      <c r="AX245" s="65"/>
      <c r="AY245" s="112"/>
      <c r="AZ245" s="203">
        <v>0.25</v>
      </c>
      <c r="BA245" s="109">
        <f t="shared" si="50"/>
        <v>1633</v>
      </c>
      <c r="BB245" s="84">
        <f t="shared" si="251"/>
        <v>0</v>
      </c>
      <c r="BC245" s="65"/>
      <c r="BD245" s="112"/>
      <c r="BE245" s="203">
        <v>0.26</v>
      </c>
      <c r="BF245" s="109">
        <f t="shared" si="252"/>
        <v>1633</v>
      </c>
      <c r="BG245" s="84">
        <f t="shared" si="253"/>
        <v>0</v>
      </c>
      <c r="BH245" s="197"/>
      <c r="BI245" s="518"/>
      <c r="BJ245" s="65"/>
      <c r="BK245" s="81">
        <f t="shared" si="254"/>
        <v>0</v>
      </c>
      <c r="BL245" s="65"/>
      <c r="BM245" s="204"/>
      <c r="BN245" s="156">
        <f>IF(B245&lt;&gt;"",_xlfn.XLOOKUP(B245,'Cronog. e Histog.'!B:B,'Cronog. e Histog.'!EK:EK),0)</f>
        <v>0</v>
      </c>
      <c r="BO245" s="109">
        <f>($O245/Dashboard!$D$15)*(1+Dashboard!$D$19)</f>
        <v>12.652376033057848</v>
      </c>
      <c r="BP245" s="84">
        <f t="shared" si="269"/>
        <v>0</v>
      </c>
      <c r="BQ245" s="65"/>
      <c r="BR245" s="204"/>
      <c r="BS245" s="156">
        <f>IF(B245&lt;&gt;"",_xlfn.XLOOKUP(B245,'Cronog. e Histog.'!B:B,'Cronog. e Histog.'!EL:EL),0)</f>
        <v>0</v>
      </c>
      <c r="BT245" s="109">
        <f>($O245/Dashboard!$D$15)*(1+Dashboard!$D$20)</f>
        <v>14.761105371900824</v>
      </c>
      <c r="BU245" s="84">
        <f t="shared" si="270"/>
        <v>0</v>
      </c>
      <c r="BV245" s="65"/>
      <c r="BW245" s="204"/>
      <c r="BX245" s="156">
        <f>IF(B245&lt;&gt;"",_xlfn.XLOOKUP(B245,'Cronog. e Histog.'!B:B,'Cronog. e Histog.'!EM:EM),0)</f>
        <v>0</v>
      </c>
      <c r="BY245" s="109">
        <f>($O245/Dashboard!$D$15)*(1+Dashboard!$D$21)</f>
        <v>16.869834710743799</v>
      </c>
      <c r="BZ245" s="84">
        <f t="shared" si="271"/>
        <v>0</v>
      </c>
    </row>
    <row r="246" spans="2:78" ht="12" customHeight="1" outlineLevel="1">
      <c r="B246" s="137" t="str">
        <f>'Cronog. e Histog.'!B375</f>
        <v>EST_II - Equipe_01</v>
      </c>
      <c r="C246" s="65"/>
      <c r="D246" s="200">
        <f t="shared" si="237"/>
        <v>0</v>
      </c>
      <c r="E246" s="200">
        <f t="shared" si="238"/>
        <v>0</v>
      </c>
      <c r="F246" s="65"/>
      <c r="G246" s="200">
        <f t="shared" si="239"/>
        <v>0</v>
      </c>
      <c r="H246" s="200">
        <f t="shared" si="240"/>
        <v>0</v>
      </c>
      <c r="I246" s="65"/>
      <c r="J246" s="143" t="str">
        <f>IF('Cronog. e Histog.'!G375&gt;0,'Cronog. e Histog.'!G375,"")</f>
        <v>EST_II</v>
      </c>
      <c r="K246" s="65"/>
      <c r="L246" s="144">
        <f>'Cronog. e Histog.'!BT375</f>
        <v>0</v>
      </c>
      <c r="M246" s="144">
        <f>'Cronog. e Histog.'!BU375</f>
        <v>0</v>
      </c>
      <c r="N246" s="65"/>
      <c r="O246" s="109">
        <f>_xlfn.XLOOKUP(B246,Salários!B:B,Salários!K:K)</f>
        <v>1633</v>
      </c>
      <c r="P246" s="109">
        <f t="shared" si="255"/>
        <v>0</v>
      </c>
      <c r="Q246" s="109">
        <f t="shared" si="256"/>
        <v>0</v>
      </c>
      <c r="R246" s="65"/>
      <c r="S246" s="109">
        <f t="shared" si="257"/>
        <v>1633</v>
      </c>
      <c r="T246" s="201" t="str">
        <f>IF(_xlfn.XLOOKUP(B246,Salários!B:B,Salários!I:I)&gt;0,_xlfn.XLOOKUP(B246,Salários!B:B,Salários!I:I),"")</f>
        <v>PJ</v>
      </c>
      <c r="U246" s="117">
        <f t="shared" si="258"/>
        <v>0</v>
      </c>
      <c r="V246" s="65"/>
      <c r="W246" s="202"/>
      <c r="X246" s="65"/>
      <c r="Y246" s="69"/>
      <c r="Z246" s="65"/>
      <c r="AA246" s="518"/>
      <c r="AB246" s="65"/>
      <c r="AC246" s="81">
        <f t="shared" si="245"/>
        <v>0</v>
      </c>
      <c r="AD246" s="65"/>
      <c r="AE246" s="112"/>
      <c r="AF246" s="203">
        <v>0.3</v>
      </c>
      <c r="AG246" s="109">
        <f t="shared" si="44"/>
        <v>1633</v>
      </c>
      <c r="AH246" s="84">
        <f t="shared" si="246"/>
        <v>0</v>
      </c>
      <c r="AI246" s="65"/>
      <c r="AJ246" s="112"/>
      <c r="AK246" s="122"/>
      <c r="AL246" s="109">
        <v>1212</v>
      </c>
      <c r="AM246" s="84">
        <f t="shared" si="247"/>
        <v>0</v>
      </c>
      <c r="AN246" s="65"/>
      <c r="AO246" s="112"/>
      <c r="AP246" s="204"/>
      <c r="AQ246" s="109">
        <f>IFERROR((O246+AH246+AM246)/Dashboard!$D$15,0)*0.2</f>
        <v>1.6869834710743801</v>
      </c>
      <c r="AR246" s="84">
        <f t="shared" si="248"/>
        <v>0</v>
      </c>
      <c r="AS246" s="65"/>
      <c r="AT246" s="112"/>
      <c r="AU246" s="203">
        <v>0.33</v>
      </c>
      <c r="AV246" s="109">
        <f t="shared" si="249"/>
        <v>1633</v>
      </c>
      <c r="AW246" s="84">
        <f t="shared" si="250"/>
        <v>0</v>
      </c>
      <c r="AX246" s="65"/>
      <c r="AY246" s="112"/>
      <c r="AZ246" s="203">
        <v>0.25</v>
      </c>
      <c r="BA246" s="109">
        <f t="shared" si="50"/>
        <v>1633</v>
      </c>
      <c r="BB246" s="84">
        <f t="shared" si="251"/>
        <v>0</v>
      </c>
      <c r="BC246" s="65"/>
      <c r="BD246" s="112"/>
      <c r="BE246" s="203">
        <v>0.26</v>
      </c>
      <c r="BF246" s="109">
        <f t="shared" si="252"/>
        <v>1633</v>
      </c>
      <c r="BG246" s="84">
        <f t="shared" si="253"/>
        <v>0</v>
      </c>
      <c r="BH246" s="197"/>
      <c r="BI246" s="518"/>
      <c r="BJ246" s="65"/>
      <c r="BK246" s="81">
        <f t="shared" si="254"/>
        <v>0</v>
      </c>
      <c r="BL246" s="65"/>
      <c r="BM246" s="204"/>
      <c r="BN246" s="156">
        <f>IF(B246&lt;&gt;"",_xlfn.XLOOKUP(B246,'Cronog. e Histog.'!B:B,'Cronog. e Histog.'!EK:EK),0)</f>
        <v>0</v>
      </c>
      <c r="BO246" s="109">
        <f>($O246/Dashboard!$D$15)*(1+Dashboard!$D$19)</f>
        <v>12.652376033057848</v>
      </c>
      <c r="BP246" s="84">
        <f t="shared" si="269"/>
        <v>0</v>
      </c>
      <c r="BQ246" s="65"/>
      <c r="BR246" s="204"/>
      <c r="BS246" s="156">
        <f>IF(B246&lt;&gt;"",_xlfn.XLOOKUP(B246,'Cronog. e Histog.'!B:B,'Cronog. e Histog.'!EL:EL),0)</f>
        <v>0</v>
      </c>
      <c r="BT246" s="109">
        <f>($O246/Dashboard!$D$15)*(1+Dashboard!$D$20)</f>
        <v>14.761105371900824</v>
      </c>
      <c r="BU246" s="84">
        <f t="shared" si="270"/>
        <v>0</v>
      </c>
      <c r="BV246" s="65"/>
      <c r="BW246" s="204"/>
      <c r="BX246" s="156">
        <f>IF(B246&lt;&gt;"",_xlfn.XLOOKUP(B246,'Cronog. e Histog.'!B:B,'Cronog. e Histog.'!EM:EM),0)</f>
        <v>0</v>
      </c>
      <c r="BY246" s="109">
        <f>($O246/Dashboard!$D$15)*(1+Dashboard!$D$21)</f>
        <v>16.869834710743799</v>
      </c>
      <c r="BZ246" s="84">
        <f t="shared" si="271"/>
        <v>0</v>
      </c>
    </row>
    <row r="247" spans="2:78" ht="12" customHeight="1" outlineLevel="1">
      <c r="B247" s="137" t="str">
        <f>'Cronog. e Histog.'!B376</f>
        <v>EST_III - Equipe_01</v>
      </c>
      <c r="C247" s="65"/>
      <c r="D247" s="200">
        <f t="shared" si="237"/>
        <v>0</v>
      </c>
      <c r="E247" s="200">
        <f t="shared" si="238"/>
        <v>0</v>
      </c>
      <c r="F247" s="65"/>
      <c r="G247" s="200">
        <f t="shared" si="239"/>
        <v>0</v>
      </c>
      <c r="H247" s="200">
        <f t="shared" si="240"/>
        <v>0</v>
      </c>
      <c r="I247" s="65"/>
      <c r="J247" s="143" t="str">
        <f>IF('Cronog. e Histog.'!G376&gt;0,'Cronog. e Histog.'!G376,"")</f>
        <v>EST_III</v>
      </c>
      <c r="K247" s="65"/>
      <c r="L247" s="144">
        <f>'Cronog. e Histog.'!BT376</f>
        <v>0</v>
      </c>
      <c r="M247" s="144">
        <f>'Cronog. e Histog.'!BU376</f>
        <v>0</v>
      </c>
      <c r="N247" s="65"/>
      <c r="O247" s="109">
        <f>_xlfn.XLOOKUP(B247,Salários!B:B,Salários!K:K)</f>
        <v>1633</v>
      </c>
      <c r="P247" s="109">
        <f t="shared" si="255"/>
        <v>0</v>
      </c>
      <c r="Q247" s="109">
        <f t="shared" si="256"/>
        <v>0</v>
      </c>
      <c r="R247" s="65"/>
      <c r="S247" s="109">
        <f t="shared" si="257"/>
        <v>1633</v>
      </c>
      <c r="T247" s="201" t="str">
        <f>IF(_xlfn.XLOOKUP(B247,Salários!B:B,Salários!I:I)&gt;0,_xlfn.XLOOKUP(B247,Salários!B:B,Salários!I:I),"")</f>
        <v>PJ</v>
      </c>
      <c r="U247" s="117">
        <f t="shared" si="258"/>
        <v>0</v>
      </c>
      <c r="V247" s="65"/>
      <c r="W247" s="202"/>
      <c r="X247" s="65"/>
      <c r="Y247" s="69"/>
      <c r="Z247" s="65"/>
      <c r="AA247" s="518"/>
      <c r="AB247" s="65"/>
      <c r="AC247" s="81">
        <f t="shared" si="245"/>
        <v>0</v>
      </c>
      <c r="AD247" s="65"/>
      <c r="AE247" s="112"/>
      <c r="AF247" s="203">
        <v>0.3</v>
      </c>
      <c r="AG247" s="109">
        <f t="shared" si="44"/>
        <v>1633</v>
      </c>
      <c r="AH247" s="84">
        <f t="shared" si="246"/>
        <v>0</v>
      </c>
      <c r="AI247" s="65"/>
      <c r="AJ247" s="112"/>
      <c r="AK247" s="122"/>
      <c r="AL247" s="109">
        <v>1212</v>
      </c>
      <c r="AM247" s="84">
        <f t="shared" si="247"/>
        <v>0</v>
      </c>
      <c r="AN247" s="65"/>
      <c r="AO247" s="112"/>
      <c r="AP247" s="204"/>
      <c r="AQ247" s="109">
        <f>IFERROR((O247+AH247+AM247)/Dashboard!$D$15,0)*0.2</f>
        <v>1.6869834710743801</v>
      </c>
      <c r="AR247" s="84">
        <f t="shared" si="248"/>
        <v>0</v>
      </c>
      <c r="AS247" s="65"/>
      <c r="AT247" s="112"/>
      <c r="AU247" s="203">
        <v>0.33</v>
      </c>
      <c r="AV247" s="109">
        <f t="shared" si="249"/>
        <v>1633</v>
      </c>
      <c r="AW247" s="84">
        <f t="shared" si="250"/>
        <v>0</v>
      </c>
      <c r="AX247" s="65"/>
      <c r="AY247" s="112"/>
      <c r="AZ247" s="203">
        <v>0.25</v>
      </c>
      <c r="BA247" s="109">
        <f t="shared" si="50"/>
        <v>1633</v>
      </c>
      <c r="BB247" s="84">
        <f t="shared" si="251"/>
        <v>0</v>
      </c>
      <c r="BC247" s="65"/>
      <c r="BD247" s="112"/>
      <c r="BE247" s="203">
        <v>0.26</v>
      </c>
      <c r="BF247" s="109">
        <f t="shared" si="252"/>
        <v>1633</v>
      </c>
      <c r="BG247" s="84">
        <f t="shared" si="253"/>
        <v>0</v>
      </c>
      <c r="BH247" s="197"/>
      <c r="BI247" s="518"/>
      <c r="BJ247" s="65"/>
      <c r="BK247" s="81">
        <f t="shared" si="254"/>
        <v>0</v>
      </c>
      <c r="BL247" s="65"/>
      <c r="BM247" s="204"/>
      <c r="BN247" s="156">
        <f>IF(B247&lt;&gt;"",_xlfn.XLOOKUP(B247,'Cronog. e Histog.'!B:B,'Cronog. e Histog.'!EK:EK),0)</f>
        <v>0</v>
      </c>
      <c r="BO247" s="109">
        <f>($O247/Dashboard!$D$15)*(1+Dashboard!$D$19)</f>
        <v>12.652376033057848</v>
      </c>
      <c r="BP247" s="84">
        <f t="shared" si="269"/>
        <v>0</v>
      </c>
      <c r="BQ247" s="65"/>
      <c r="BR247" s="204"/>
      <c r="BS247" s="156">
        <f>IF(B247&lt;&gt;"",_xlfn.XLOOKUP(B247,'Cronog. e Histog.'!B:B,'Cronog. e Histog.'!EL:EL),0)</f>
        <v>0</v>
      </c>
      <c r="BT247" s="109">
        <f>($O247/Dashboard!$D$15)*(1+Dashboard!$D$20)</f>
        <v>14.761105371900824</v>
      </c>
      <c r="BU247" s="84">
        <f t="shared" si="270"/>
        <v>0</v>
      </c>
      <c r="BV247" s="65"/>
      <c r="BW247" s="204"/>
      <c r="BX247" s="156">
        <f>IF(B247&lt;&gt;"",_xlfn.XLOOKUP(B247,'Cronog. e Histog.'!B:B,'Cronog. e Histog.'!EM:EM),0)</f>
        <v>0</v>
      </c>
      <c r="BY247" s="109">
        <f>($O247/Dashboard!$D$15)*(1+Dashboard!$D$21)</f>
        <v>16.869834710743799</v>
      </c>
      <c r="BZ247" s="84">
        <f t="shared" si="271"/>
        <v>0</v>
      </c>
    </row>
    <row r="248" spans="2:78" ht="12" customHeight="1" outlineLevel="1"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9"/>
      <c r="Z248" s="65"/>
      <c r="AA248" s="518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197"/>
      <c r="BI248" s="518"/>
      <c r="BJ248" s="65"/>
      <c r="BK248" s="65"/>
      <c r="BL248" s="65"/>
      <c r="BM248" s="65"/>
      <c r="BN248" s="65"/>
      <c r="BO248" s="65"/>
      <c r="BP248" s="65"/>
      <c r="BQ248" s="65"/>
      <c r="BR248" s="65"/>
      <c r="BS248" s="65"/>
      <c r="BT248" s="65"/>
      <c r="BU248" s="65"/>
      <c r="BV248" s="65"/>
      <c r="BW248" s="65"/>
      <c r="BX248" s="65"/>
      <c r="BY248" s="65"/>
      <c r="BZ248" s="65"/>
    </row>
    <row r="249" spans="2:78" ht="12" customHeight="1" outlineLevel="1">
      <c r="B249" s="65"/>
      <c r="C249" s="65"/>
      <c r="D249" s="65"/>
      <c r="E249" s="65"/>
      <c r="F249" s="65"/>
      <c r="G249" s="65"/>
      <c r="H249" s="65"/>
      <c r="I249" s="65"/>
      <c r="J249" s="199" t="str">
        <f>'Cronog. e Histog.'!F379</f>
        <v>Equipe08</v>
      </c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9"/>
      <c r="Z249" s="65"/>
      <c r="AA249" s="518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  <c r="BE249" s="65"/>
      <c r="BF249" s="65"/>
      <c r="BG249" s="65"/>
      <c r="BH249" s="197"/>
      <c r="BI249" s="518"/>
      <c r="BJ249" s="65"/>
      <c r="BK249" s="65"/>
      <c r="BL249" s="65"/>
      <c r="BM249" s="65"/>
      <c r="BN249" s="65"/>
      <c r="BO249" s="65"/>
      <c r="BP249" s="65"/>
      <c r="BQ249" s="65"/>
      <c r="BR249" s="65"/>
      <c r="BS249" s="65"/>
      <c r="BT249" s="65"/>
      <c r="BU249" s="65"/>
      <c r="BV249" s="65"/>
      <c r="BW249" s="65"/>
      <c r="BX249" s="65"/>
      <c r="BY249" s="65"/>
      <c r="BZ249" s="65"/>
    </row>
    <row r="250" spans="2:78" ht="12" customHeight="1" outlineLevel="1">
      <c r="B250" s="137" t="str">
        <f>'Cronog. e Histog.'!B381</f>
        <v>GER. (OBRA/PROJ) - Equipe_01</v>
      </c>
      <c r="C250" s="65"/>
      <c r="D250" s="200">
        <f t="shared" ref="D250:D269" si="272">IF(T250="mensalista",L250,0)</f>
        <v>0</v>
      </c>
      <c r="E250" s="200">
        <f t="shared" ref="E250:E269" si="273">IF(T250="mensalista",M250,0)</f>
        <v>0</v>
      </c>
      <c r="F250" s="65"/>
      <c r="G250" s="200">
        <f t="shared" ref="G250:G269" si="274">IF(T250="mensalista",L250,0)</f>
        <v>0</v>
      </c>
      <c r="H250" s="200">
        <f t="shared" ref="H250:H269" si="275">IF(T250="mensalista",M250,0)</f>
        <v>0</v>
      </c>
      <c r="I250" s="65"/>
      <c r="J250" s="143" t="str">
        <f>IF('Cronog. e Histog.'!G381&gt;0,'Cronog. e Histog.'!G381,"")</f>
        <v>GER. (OBRA/PROJ)</v>
      </c>
      <c r="K250" s="65"/>
      <c r="L250" s="144">
        <f>'Cronog. e Histog.'!BT381</f>
        <v>0</v>
      </c>
      <c r="M250" s="144">
        <f>'Cronog. e Histog.'!BU381</f>
        <v>0</v>
      </c>
      <c r="N250" s="65"/>
      <c r="O250" s="109">
        <f>_xlfn.XLOOKUP(B250,Salários!B:B,Salários!K:K)</f>
        <v>21000</v>
      </c>
      <c r="P250" s="109">
        <f t="shared" ref="P250" si="276">AC250</f>
        <v>0</v>
      </c>
      <c r="Q250" s="109">
        <f t="shared" ref="Q250" si="277">BK250</f>
        <v>0</v>
      </c>
      <c r="R250" s="65"/>
      <c r="S250" s="109">
        <f t="shared" ref="S250" si="278">SUM(O250:Q250)</f>
        <v>21000</v>
      </c>
      <c r="T250" s="201" t="str">
        <f>IF(_xlfn.XLOOKUP(B250,Salários!B:B,Salários!I:I)&gt;0,_xlfn.XLOOKUP(B250,Salários!B:B,Salários!I:I),"")</f>
        <v>PJ</v>
      </c>
      <c r="U250" s="117">
        <f t="shared" ref="U250:U269" si="279">L250*M250*S250</f>
        <v>0</v>
      </c>
      <c r="V250" s="65"/>
      <c r="W250" s="202"/>
      <c r="X250" s="65"/>
      <c r="Y250" s="69"/>
      <c r="Z250" s="65"/>
      <c r="AA250" s="518"/>
      <c r="AB250" s="65"/>
      <c r="AC250" s="81">
        <f t="shared" ref="AC250:AC269" si="280">AH250+AM250+AR250+AW250+BB250+BG250</f>
        <v>0</v>
      </c>
      <c r="AD250" s="65"/>
      <c r="AE250" s="112"/>
      <c r="AF250" s="203">
        <v>0.3</v>
      </c>
      <c r="AG250" s="109">
        <f t="shared" si="44"/>
        <v>21000</v>
      </c>
      <c r="AH250" s="84">
        <f t="shared" ref="AH250:AH269" si="281">IF(AE250="sim",AF250*AG250,0)</f>
        <v>0</v>
      </c>
      <c r="AI250" s="65"/>
      <c r="AJ250" s="112"/>
      <c r="AK250" s="122"/>
      <c r="AL250" s="109">
        <v>1212</v>
      </c>
      <c r="AM250" s="84">
        <f t="shared" ref="AM250:AM269" si="282">IF(AJ250="sim",AK250*AL250,0)</f>
        <v>0</v>
      </c>
      <c r="AN250" s="65"/>
      <c r="AO250" s="112"/>
      <c r="AP250" s="204"/>
      <c r="AQ250" s="109">
        <f>IFERROR((O250+AH250+AM250)/Dashboard!$D$15,0)*0.2</f>
        <v>21.694214876033058</v>
      </c>
      <c r="AR250" s="84">
        <f t="shared" ref="AR250:AR269" si="283">IF(AO250="sim",AP250*AQ250,0)</f>
        <v>0</v>
      </c>
      <c r="AS250" s="65"/>
      <c r="AT250" s="112"/>
      <c r="AU250" s="203">
        <v>0.33</v>
      </c>
      <c r="AV250" s="109">
        <f t="shared" ref="AV250:AV269" si="284">$O250</f>
        <v>21000</v>
      </c>
      <c r="AW250" s="84">
        <f t="shared" ref="AW250:AW269" si="285">IF(AT250="sim",AU250*AV250,0)</f>
        <v>0</v>
      </c>
      <c r="AX250" s="65"/>
      <c r="AY250" s="112"/>
      <c r="AZ250" s="203">
        <v>0.25</v>
      </c>
      <c r="BA250" s="109">
        <f t="shared" si="50"/>
        <v>21000</v>
      </c>
      <c r="BB250" s="84">
        <f t="shared" ref="BB250:BB269" si="286">IF(AY250="sim",AZ250*BA250,0)</f>
        <v>0</v>
      </c>
      <c r="BC250" s="65"/>
      <c r="BD250" s="112"/>
      <c r="BE250" s="203">
        <v>0.26</v>
      </c>
      <c r="BF250" s="109">
        <f t="shared" ref="BF250:BF269" si="287">$O250</f>
        <v>21000</v>
      </c>
      <c r="BG250" s="84">
        <f t="shared" ref="BG250:BG269" si="288">IF(BD250="sim",BE250*BF250,0)</f>
        <v>0</v>
      </c>
      <c r="BH250" s="197"/>
      <c r="BI250" s="518"/>
      <c r="BJ250" s="65"/>
      <c r="BK250" s="81">
        <f t="shared" ref="BK250:BK269" si="289">BP250+BU250+BZ250</f>
        <v>0</v>
      </c>
      <c r="BL250" s="65"/>
      <c r="BM250" s="204"/>
      <c r="BN250" s="156">
        <f>IF(B250&lt;&gt;"",_xlfn.XLOOKUP(B250,'Cronog. e Histog.'!B:B,'Cronog. e Histog.'!EK:EK),0)</f>
        <v>0</v>
      </c>
      <c r="BO250" s="109">
        <f>($O250/Dashboard!$D$15)*(1+Dashboard!$D$19)</f>
        <v>162.7066115702479</v>
      </c>
      <c r="BP250" s="84">
        <f>SUM(BM250:BN250)*BO250</f>
        <v>0</v>
      </c>
      <c r="BQ250" s="65"/>
      <c r="BR250" s="204"/>
      <c r="BS250" s="156">
        <f>IF(B250&lt;&gt;"",_xlfn.XLOOKUP(B250,'Cronog. e Histog.'!B:B,'Cronog. e Histog.'!EL:EL),0)</f>
        <v>0</v>
      </c>
      <c r="BT250" s="109">
        <f>($O250/Dashboard!$D$15)*(1+Dashboard!$D$20)</f>
        <v>189.82438016528923</v>
      </c>
      <c r="BU250" s="84">
        <f>SUM(BR250:BS250)*BT250</f>
        <v>0</v>
      </c>
      <c r="BV250" s="65"/>
      <c r="BW250" s="204"/>
      <c r="BX250" s="156">
        <f>IF(B250&lt;&gt;"",_xlfn.XLOOKUP(B250,'Cronog. e Histog.'!B:B,'Cronog. e Histog.'!EM:EM),0)</f>
        <v>0</v>
      </c>
      <c r="BY250" s="109">
        <f>($O250/Dashboard!$D$15)*(1+Dashboard!$D$21)</f>
        <v>216.94214876033055</v>
      </c>
      <c r="BZ250" s="84">
        <f>SUM(BW250:BX250)*BY250</f>
        <v>0</v>
      </c>
    </row>
    <row r="251" spans="2:78" ht="12" customHeight="1" outlineLevel="1">
      <c r="B251" s="137" t="str">
        <f>'Cronog. e Histog.'!B382</f>
        <v>COORD. - Equipe_01</v>
      </c>
      <c r="C251" s="65"/>
      <c r="D251" s="200">
        <f t="shared" si="272"/>
        <v>0</v>
      </c>
      <c r="E251" s="200">
        <f t="shared" si="273"/>
        <v>0</v>
      </c>
      <c r="F251" s="65"/>
      <c r="G251" s="200">
        <f t="shared" si="274"/>
        <v>0</v>
      </c>
      <c r="H251" s="200">
        <f t="shared" si="275"/>
        <v>0</v>
      </c>
      <c r="I251" s="65"/>
      <c r="J251" s="143" t="str">
        <f>IF('Cronog. e Histog.'!G382&gt;0,'Cronog. e Histog.'!G382,"")</f>
        <v>COORD.</v>
      </c>
      <c r="K251" s="65"/>
      <c r="L251" s="144">
        <f>'Cronog. e Histog.'!BT382</f>
        <v>0</v>
      </c>
      <c r="M251" s="144">
        <f>'Cronog. e Histog.'!BU382</f>
        <v>0</v>
      </c>
      <c r="N251" s="65"/>
      <c r="O251" s="109">
        <f>_xlfn.XLOOKUP(B251,Salários!B:B,Salários!K:K)</f>
        <v>19000</v>
      </c>
      <c r="P251" s="109">
        <f t="shared" ref="P251:P269" si="290">AC251</f>
        <v>0</v>
      </c>
      <c r="Q251" s="109">
        <f t="shared" ref="Q251:Q269" si="291">BK251</f>
        <v>0</v>
      </c>
      <c r="R251" s="65"/>
      <c r="S251" s="109">
        <f t="shared" ref="S251:S269" si="292">SUM(O251:Q251)</f>
        <v>19000</v>
      </c>
      <c r="T251" s="201" t="str">
        <f>IF(_xlfn.XLOOKUP(B251,Salários!B:B,Salários!I:I)&gt;0,_xlfn.XLOOKUP(B251,Salários!B:B,Salários!I:I),"")</f>
        <v>PJ</v>
      </c>
      <c r="U251" s="117">
        <f t="shared" ref="U251:U260" si="293">L251*M251*S251</f>
        <v>0</v>
      </c>
      <c r="V251" s="65"/>
      <c r="W251" s="202"/>
      <c r="X251" s="65"/>
      <c r="Y251" s="69"/>
      <c r="Z251" s="65"/>
      <c r="AA251" s="518"/>
      <c r="AB251" s="65"/>
      <c r="AC251" s="81">
        <f t="shared" ref="AC251:AC260" si="294">AH251+AM251+AR251+AW251+BB251+BG251</f>
        <v>0</v>
      </c>
      <c r="AD251" s="65"/>
      <c r="AE251" s="112"/>
      <c r="AF251" s="203">
        <v>0.3</v>
      </c>
      <c r="AG251" s="109">
        <f t="shared" ref="AG251:AG260" si="295">$O251</f>
        <v>19000</v>
      </c>
      <c r="AH251" s="84">
        <f t="shared" ref="AH251:AH260" si="296">IF(AE251="sim",AF251*AG251,0)</f>
        <v>0</v>
      </c>
      <c r="AI251" s="65"/>
      <c r="AJ251" s="112"/>
      <c r="AK251" s="122"/>
      <c r="AL251" s="109">
        <v>1212</v>
      </c>
      <c r="AM251" s="84">
        <f t="shared" ref="AM251:AM260" si="297">IF(AJ251="sim",AK251*AL251,0)</f>
        <v>0</v>
      </c>
      <c r="AN251" s="65"/>
      <c r="AO251" s="112"/>
      <c r="AP251" s="204"/>
      <c r="AQ251" s="109">
        <f>IFERROR((O251+AH251+AM251)/Dashboard!$D$15,0)*0.2</f>
        <v>19.628099173553718</v>
      </c>
      <c r="AR251" s="84">
        <f t="shared" ref="AR251:AR260" si="298">IF(AO251="sim",AP251*AQ251,0)</f>
        <v>0</v>
      </c>
      <c r="AS251" s="65"/>
      <c r="AT251" s="112"/>
      <c r="AU251" s="203">
        <v>0.33</v>
      </c>
      <c r="AV251" s="109">
        <f t="shared" si="284"/>
        <v>19000</v>
      </c>
      <c r="AW251" s="84">
        <f t="shared" ref="AW251:AW260" si="299">IF(AT251="sim",AU251*AV251,0)</f>
        <v>0</v>
      </c>
      <c r="AX251" s="65"/>
      <c r="AY251" s="112"/>
      <c r="AZ251" s="203">
        <v>0.25</v>
      </c>
      <c r="BA251" s="109">
        <f t="shared" ref="BA251:BA260" si="300">$O251</f>
        <v>19000</v>
      </c>
      <c r="BB251" s="84">
        <f t="shared" ref="BB251:BB260" si="301">IF(AY251="sim",AZ251*BA251,0)</f>
        <v>0</v>
      </c>
      <c r="BC251" s="65"/>
      <c r="BD251" s="112"/>
      <c r="BE251" s="203">
        <v>0.26</v>
      </c>
      <c r="BF251" s="109">
        <f t="shared" si="287"/>
        <v>19000</v>
      </c>
      <c r="BG251" s="84">
        <f t="shared" ref="BG251:BG260" si="302">IF(BD251="sim",BE251*BF251,0)</f>
        <v>0</v>
      </c>
      <c r="BH251" s="197"/>
      <c r="BI251" s="518"/>
      <c r="BJ251" s="65"/>
      <c r="BK251" s="81">
        <f t="shared" ref="BK251:BK260" si="303">BP251+BU251+BZ251</f>
        <v>0</v>
      </c>
      <c r="BL251" s="65"/>
      <c r="BM251" s="204"/>
      <c r="BN251" s="156">
        <f>IF(B251&lt;&gt;"",_xlfn.XLOOKUP(B251,'Cronog. e Histog.'!B:B,'Cronog. e Histog.'!EK:EK),0)</f>
        <v>0</v>
      </c>
      <c r="BO251" s="109">
        <f>($O251/Dashboard!$D$15)*(1+Dashboard!$D$19)</f>
        <v>147.21074380165288</v>
      </c>
      <c r="BP251" s="84">
        <f t="shared" ref="BP251:BP269" si="304">SUM(BM251:BN251)*BO251</f>
        <v>0</v>
      </c>
      <c r="BQ251" s="65"/>
      <c r="BR251" s="204"/>
      <c r="BS251" s="156">
        <f>IF(B251&lt;&gt;"",_xlfn.XLOOKUP(B251,'Cronog. e Histog.'!B:B,'Cronog. e Histog.'!EL:EL),0)</f>
        <v>0</v>
      </c>
      <c r="BT251" s="109">
        <f>($O251/Dashboard!$D$15)*(1+Dashboard!$D$20)</f>
        <v>171.74586776859502</v>
      </c>
      <c r="BU251" s="84">
        <f t="shared" ref="BU251:BU269" si="305">SUM(BR251:BS251)*BT251</f>
        <v>0</v>
      </c>
      <c r="BV251" s="65"/>
      <c r="BW251" s="204"/>
      <c r="BX251" s="156">
        <f>IF(B251&lt;&gt;"",_xlfn.XLOOKUP(B251,'Cronog. e Histog.'!B:B,'Cronog. e Histog.'!EM:EM),0)</f>
        <v>0</v>
      </c>
      <c r="BY251" s="109">
        <f>($O251/Dashboard!$D$15)*(1+Dashboard!$D$21)</f>
        <v>196.28099173553716</v>
      </c>
      <c r="BZ251" s="84">
        <f t="shared" ref="BZ251:BZ269" si="306">SUM(BW251:BX251)*BY251</f>
        <v>0</v>
      </c>
    </row>
    <row r="252" spans="2:78" ht="12" customHeight="1" outlineLevel="1">
      <c r="B252" s="137" t="str">
        <f>'Cronog. e Histog.'!B383</f>
        <v>SUP.-ESP - Equipe_01</v>
      </c>
      <c r="C252" s="65"/>
      <c r="D252" s="200">
        <f t="shared" si="272"/>
        <v>0</v>
      </c>
      <c r="E252" s="200">
        <f t="shared" si="273"/>
        <v>0</v>
      </c>
      <c r="F252" s="65"/>
      <c r="G252" s="200">
        <f t="shared" si="274"/>
        <v>0</v>
      </c>
      <c r="H252" s="200">
        <f t="shared" si="275"/>
        <v>0</v>
      </c>
      <c r="I252" s="65"/>
      <c r="J252" s="143" t="str">
        <f>IF('Cronog. e Histog.'!G383&gt;0,'Cronog. e Histog.'!G383,"")</f>
        <v>SUP.-ESP</v>
      </c>
      <c r="K252" s="65"/>
      <c r="L252" s="144">
        <f>'Cronog. e Histog.'!BT383</f>
        <v>0</v>
      </c>
      <c r="M252" s="144">
        <f>'Cronog. e Histog.'!BU383</f>
        <v>0</v>
      </c>
      <c r="N252" s="65"/>
      <c r="O252" s="109">
        <f>_xlfn.XLOOKUP(B252,Salários!B:B,Salários!K:K)</f>
        <v>9716.67</v>
      </c>
      <c r="P252" s="109">
        <f t="shared" si="290"/>
        <v>0</v>
      </c>
      <c r="Q252" s="109">
        <f t="shared" si="291"/>
        <v>0</v>
      </c>
      <c r="R252" s="65"/>
      <c r="S252" s="109">
        <f t="shared" si="292"/>
        <v>9716.67</v>
      </c>
      <c r="T252" s="201" t="str">
        <f>IF(_xlfn.XLOOKUP(B252,Salários!B:B,Salários!I:I)&gt;0,_xlfn.XLOOKUP(B252,Salários!B:B,Salários!I:I),"")</f>
        <v>Mensalista</v>
      </c>
      <c r="U252" s="117">
        <f t="shared" si="293"/>
        <v>0</v>
      </c>
      <c r="V252" s="65"/>
      <c r="W252" s="202"/>
      <c r="X252" s="65"/>
      <c r="Y252" s="69"/>
      <c r="Z252" s="65"/>
      <c r="AA252" s="518"/>
      <c r="AB252" s="65"/>
      <c r="AC252" s="81">
        <f t="shared" si="294"/>
        <v>0</v>
      </c>
      <c r="AD252" s="65"/>
      <c r="AE252" s="112"/>
      <c r="AF252" s="203">
        <v>0.3</v>
      </c>
      <c r="AG252" s="109">
        <f t="shared" si="295"/>
        <v>9716.67</v>
      </c>
      <c r="AH252" s="84">
        <f t="shared" si="296"/>
        <v>0</v>
      </c>
      <c r="AI252" s="65"/>
      <c r="AJ252" s="112"/>
      <c r="AK252" s="122"/>
      <c r="AL252" s="109">
        <v>1212</v>
      </c>
      <c r="AM252" s="84">
        <f t="shared" si="297"/>
        <v>0</v>
      </c>
      <c r="AN252" s="65"/>
      <c r="AO252" s="112"/>
      <c r="AP252" s="204"/>
      <c r="AQ252" s="109">
        <f>IFERROR((O252+AH252+AM252)/Dashboard!$D$15,0)*0.2</f>
        <v>10.037882231404957</v>
      </c>
      <c r="AR252" s="84">
        <f t="shared" si="298"/>
        <v>0</v>
      </c>
      <c r="AS252" s="65"/>
      <c r="AT252" s="112"/>
      <c r="AU252" s="203">
        <v>0.33</v>
      </c>
      <c r="AV252" s="109">
        <f t="shared" si="284"/>
        <v>9716.67</v>
      </c>
      <c r="AW252" s="84">
        <f t="shared" si="299"/>
        <v>0</v>
      </c>
      <c r="AX252" s="65"/>
      <c r="AY252" s="112"/>
      <c r="AZ252" s="203">
        <v>0.25</v>
      </c>
      <c r="BA252" s="109">
        <f t="shared" si="300"/>
        <v>9716.67</v>
      </c>
      <c r="BB252" s="84">
        <f t="shared" si="301"/>
        <v>0</v>
      </c>
      <c r="BC252" s="65"/>
      <c r="BD252" s="112"/>
      <c r="BE252" s="203">
        <v>0.26</v>
      </c>
      <c r="BF252" s="109">
        <f t="shared" si="287"/>
        <v>9716.67</v>
      </c>
      <c r="BG252" s="84">
        <f t="shared" si="302"/>
        <v>0</v>
      </c>
      <c r="BH252" s="197"/>
      <c r="BI252" s="518"/>
      <c r="BJ252" s="65"/>
      <c r="BK252" s="81">
        <f t="shared" si="303"/>
        <v>0</v>
      </c>
      <c r="BL252" s="65"/>
      <c r="BM252" s="204"/>
      <c r="BN252" s="156">
        <f>IF(B252&lt;&gt;"",_xlfn.XLOOKUP(B252,'Cronog. e Histog.'!B:B,'Cronog. e Histog.'!EK:EK),0)</f>
        <v>0</v>
      </c>
      <c r="BO252" s="109">
        <f>($O252/Dashboard!$D$15)*(1+Dashboard!$D$19)</f>
        <v>75.284116735537182</v>
      </c>
      <c r="BP252" s="84">
        <f t="shared" si="304"/>
        <v>0</v>
      </c>
      <c r="BQ252" s="65"/>
      <c r="BR252" s="204"/>
      <c r="BS252" s="156">
        <f>IF(B252&lt;&gt;"",_xlfn.XLOOKUP(B252,'Cronog. e Histog.'!B:B,'Cronog. e Histog.'!EL:EL),0)</f>
        <v>0</v>
      </c>
      <c r="BT252" s="109">
        <f>($O252/Dashboard!$D$15)*(1+Dashboard!$D$20)</f>
        <v>87.831469524793377</v>
      </c>
      <c r="BU252" s="84">
        <f t="shared" si="305"/>
        <v>0</v>
      </c>
      <c r="BV252" s="65"/>
      <c r="BW252" s="204"/>
      <c r="BX252" s="156">
        <f>IF(B252&lt;&gt;"",_xlfn.XLOOKUP(B252,'Cronog. e Histog.'!B:B,'Cronog. e Histog.'!EM:EM),0)</f>
        <v>0</v>
      </c>
      <c r="BY252" s="109">
        <f>($O252/Dashboard!$D$15)*(1+Dashboard!$D$21)</f>
        <v>100.37882231404957</v>
      </c>
      <c r="BZ252" s="84">
        <f t="shared" si="306"/>
        <v>0</v>
      </c>
    </row>
    <row r="253" spans="2:78" ht="12" customHeight="1" outlineLevel="1">
      <c r="B253" s="137" t="str">
        <f>'Cronog. e Histog.'!B384</f>
        <v>ENG/ARQ SR. - Equipe_01</v>
      </c>
      <c r="C253" s="65"/>
      <c r="D253" s="200">
        <f t="shared" si="272"/>
        <v>0</v>
      </c>
      <c r="E253" s="200">
        <f t="shared" si="273"/>
        <v>0</v>
      </c>
      <c r="F253" s="65"/>
      <c r="G253" s="200">
        <f t="shared" si="274"/>
        <v>0</v>
      </c>
      <c r="H253" s="200">
        <f t="shared" si="275"/>
        <v>0</v>
      </c>
      <c r="I253" s="65"/>
      <c r="J253" s="143" t="str">
        <f>IF('Cronog. e Histog.'!G384&gt;0,'Cronog. e Histog.'!G384,"")</f>
        <v>ENG/ARQ SR.</v>
      </c>
      <c r="K253" s="65"/>
      <c r="L253" s="144">
        <f>'Cronog. e Histog.'!BT384</f>
        <v>0</v>
      </c>
      <c r="M253" s="144">
        <f>'Cronog. e Histog.'!BU384</f>
        <v>0</v>
      </c>
      <c r="N253" s="65"/>
      <c r="O253" s="109">
        <f>_xlfn.XLOOKUP(B253,Salários!B:B,Salários!K:K)</f>
        <v>16000</v>
      </c>
      <c r="P253" s="109">
        <f t="shared" si="290"/>
        <v>0</v>
      </c>
      <c r="Q253" s="109">
        <f t="shared" si="291"/>
        <v>0</v>
      </c>
      <c r="R253" s="65"/>
      <c r="S253" s="109">
        <f t="shared" si="292"/>
        <v>16000</v>
      </c>
      <c r="T253" s="201" t="str">
        <f>IF(_xlfn.XLOOKUP(B253,Salários!B:B,Salários!I:I)&gt;0,_xlfn.XLOOKUP(B253,Salários!B:B,Salários!I:I),"")</f>
        <v>PJ</v>
      </c>
      <c r="U253" s="117">
        <f t="shared" si="293"/>
        <v>0</v>
      </c>
      <c r="V253" s="65"/>
      <c r="W253" s="202"/>
      <c r="X253" s="65"/>
      <c r="Y253" s="69"/>
      <c r="Z253" s="65"/>
      <c r="AA253" s="518"/>
      <c r="AB253" s="65"/>
      <c r="AC253" s="81">
        <f t="shared" si="294"/>
        <v>0</v>
      </c>
      <c r="AD253" s="65"/>
      <c r="AE253" s="112"/>
      <c r="AF253" s="203">
        <v>0.3</v>
      </c>
      <c r="AG253" s="109">
        <f t="shared" si="295"/>
        <v>16000</v>
      </c>
      <c r="AH253" s="84">
        <f t="shared" si="296"/>
        <v>0</v>
      </c>
      <c r="AI253" s="65"/>
      <c r="AJ253" s="112"/>
      <c r="AK253" s="122"/>
      <c r="AL253" s="109">
        <v>1212</v>
      </c>
      <c r="AM253" s="84">
        <f t="shared" si="297"/>
        <v>0</v>
      </c>
      <c r="AN253" s="65"/>
      <c r="AO253" s="112"/>
      <c r="AP253" s="204"/>
      <c r="AQ253" s="109">
        <f>IFERROR((O253+AH253+AM253)/Dashboard!$D$15,0)*0.2</f>
        <v>16.528925619834709</v>
      </c>
      <c r="AR253" s="84">
        <f t="shared" si="298"/>
        <v>0</v>
      </c>
      <c r="AS253" s="65"/>
      <c r="AT253" s="112"/>
      <c r="AU253" s="203">
        <v>0.33</v>
      </c>
      <c r="AV253" s="109">
        <f t="shared" si="284"/>
        <v>16000</v>
      </c>
      <c r="AW253" s="84">
        <f t="shared" si="299"/>
        <v>0</v>
      </c>
      <c r="AX253" s="65"/>
      <c r="AY253" s="112"/>
      <c r="AZ253" s="203">
        <v>0.25</v>
      </c>
      <c r="BA253" s="109">
        <f t="shared" si="300"/>
        <v>16000</v>
      </c>
      <c r="BB253" s="84">
        <f t="shared" si="301"/>
        <v>0</v>
      </c>
      <c r="BC253" s="65"/>
      <c r="BD253" s="112"/>
      <c r="BE253" s="203">
        <v>0.26</v>
      </c>
      <c r="BF253" s="109">
        <f t="shared" si="287"/>
        <v>16000</v>
      </c>
      <c r="BG253" s="84">
        <f t="shared" si="302"/>
        <v>0</v>
      </c>
      <c r="BH253" s="197"/>
      <c r="BI253" s="518"/>
      <c r="BJ253" s="65"/>
      <c r="BK253" s="81">
        <f t="shared" si="303"/>
        <v>0</v>
      </c>
      <c r="BL253" s="65"/>
      <c r="BM253" s="204"/>
      <c r="BN253" s="156">
        <f>IF(B253&lt;&gt;"",_xlfn.XLOOKUP(B253,'Cronog. e Histog.'!B:B,'Cronog. e Histog.'!EK:EK),0)</f>
        <v>0</v>
      </c>
      <c r="BO253" s="109">
        <f>($O253/Dashboard!$D$15)*(1+Dashboard!$D$19)</f>
        <v>123.96694214876032</v>
      </c>
      <c r="BP253" s="84">
        <f t="shared" si="304"/>
        <v>0</v>
      </c>
      <c r="BQ253" s="65"/>
      <c r="BR253" s="204"/>
      <c r="BS253" s="156">
        <f>IF(B253&lt;&gt;"",_xlfn.XLOOKUP(B253,'Cronog. e Histog.'!B:B,'Cronog. e Histog.'!EL:EL),0)</f>
        <v>0</v>
      </c>
      <c r="BT253" s="109">
        <f>($O253/Dashboard!$D$15)*(1+Dashboard!$D$20)</f>
        <v>144.62809917355369</v>
      </c>
      <c r="BU253" s="84">
        <f t="shared" si="305"/>
        <v>0</v>
      </c>
      <c r="BV253" s="65"/>
      <c r="BW253" s="204"/>
      <c r="BX253" s="156">
        <f>IF(B253&lt;&gt;"",_xlfn.XLOOKUP(B253,'Cronog. e Histog.'!B:B,'Cronog. e Histog.'!EM:EM),0)</f>
        <v>0</v>
      </c>
      <c r="BY253" s="109">
        <f>($O253/Dashboard!$D$15)*(1+Dashboard!$D$21)</f>
        <v>165.28925619834709</v>
      </c>
      <c r="BZ253" s="84">
        <f t="shared" si="306"/>
        <v>0</v>
      </c>
    </row>
    <row r="254" spans="2:78" ht="12" customHeight="1" outlineLevel="1">
      <c r="B254" s="137" t="str">
        <f>'Cronog. e Histog.'!B385</f>
        <v>ENG/ARQ PL. - Equipe_01</v>
      </c>
      <c r="C254" s="65"/>
      <c r="D254" s="200">
        <f t="shared" si="272"/>
        <v>0</v>
      </c>
      <c r="E254" s="200">
        <f t="shared" si="273"/>
        <v>0</v>
      </c>
      <c r="F254" s="65"/>
      <c r="G254" s="200">
        <f t="shared" si="274"/>
        <v>0</v>
      </c>
      <c r="H254" s="200">
        <f t="shared" si="275"/>
        <v>0</v>
      </c>
      <c r="I254" s="65"/>
      <c r="J254" s="143" t="str">
        <f>IF('Cronog. e Histog.'!G385&gt;0,'Cronog. e Histog.'!G385,"")</f>
        <v>ENG/ARQ PL.</v>
      </c>
      <c r="K254" s="65"/>
      <c r="L254" s="144">
        <f>'Cronog. e Histog.'!BT385</f>
        <v>0</v>
      </c>
      <c r="M254" s="144">
        <f>'Cronog. e Histog.'!BU385</f>
        <v>0</v>
      </c>
      <c r="N254" s="65"/>
      <c r="O254" s="109">
        <f>_xlfn.XLOOKUP(B254,Salários!B:B,Salários!K:K)</f>
        <v>14000</v>
      </c>
      <c r="P254" s="109">
        <f t="shared" si="290"/>
        <v>0</v>
      </c>
      <c r="Q254" s="109">
        <f t="shared" si="291"/>
        <v>0</v>
      </c>
      <c r="R254" s="65"/>
      <c r="S254" s="109">
        <f t="shared" si="292"/>
        <v>14000</v>
      </c>
      <c r="T254" s="201" t="str">
        <f>IF(_xlfn.XLOOKUP(B254,Salários!B:B,Salários!I:I)&gt;0,_xlfn.XLOOKUP(B254,Salários!B:B,Salários!I:I),"")</f>
        <v>PJ</v>
      </c>
      <c r="U254" s="117">
        <f t="shared" si="293"/>
        <v>0</v>
      </c>
      <c r="V254" s="65"/>
      <c r="W254" s="202"/>
      <c r="X254" s="65"/>
      <c r="Y254" s="69"/>
      <c r="Z254" s="65"/>
      <c r="AA254" s="518"/>
      <c r="AB254" s="65"/>
      <c r="AC254" s="81">
        <f t="shared" si="294"/>
        <v>0</v>
      </c>
      <c r="AD254" s="65"/>
      <c r="AE254" s="112"/>
      <c r="AF254" s="203">
        <v>0.3</v>
      </c>
      <c r="AG254" s="109">
        <f t="shared" si="295"/>
        <v>14000</v>
      </c>
      <c r="AH254" s="84">
        <f t="shared" si="296"/>
        <v>0</v>
      </c>
      <c r="AI254" s="65"/>
      <c r="AJ254" s="112"/>
      <c r="AK254" s="122"/>
      <c r="AL254" s="109">
        <v>1212</v>
      </c>
      <c r="AM254" s="84">
        <f t="shared" si="297"/>
        <v>0</v>
      </c>
      <c r="AN254" s="65"/>
      <c r="AO254" s="112"/>
      <c r="AP254" s="204"/>
      <c r="AQ254" s="109">
        <f>IFERROR((O254+AH254+AM254)/Dashboard!$D$15,0)*0.2</f>
        <v>14.46280991735537</v>
      </c>
      <c r="AR254" s="84">
        <f t="shared" si="298"/>
        <v>0</v>
      </c>
      <c r="AS254" s="65"/>
      <c r="AT254" s="112"/>
      <c r="AU254" s="203">
        <v>0.33</v>
      </c>
      <c r="AV254" s="109">
        <f t="shared" si="284"/>
        <v>14000</v>
      </c>
      <c r="AW254" s="84">
        <f t="shared" si="299"/>
        <v>0</v>
      </c>
      <c r="AX254" s="65"/>
      <c r="AY254" s="112"/>
      <c r="AZ254" s="203">
        <v>0.25</v>
      </c>
      <c r="BA254" s="109">
        <f t="shared" si="300"/>
        <v>14000</v>
      </c>
      <c r="BB254" s="84">
        <f t="shared" si="301"/>
        <v>0</v>
      </c>
      <c r="BC254" s="65"/>
      <c r="BD254" s="112"/>
      <c r="BE254" s="203">
        <v>0.26</v>
      </c>
      <c r="BF254" s="109">
        <f t="shared" si="287"/>
        <v>14000</v>
      </c>
      <c r="BG254" s="84">
        <f t="shared" si="302"/>
        <v>0</v>
      </c>
      <c r="BH254" s="197"/>
      <c r="BI254" s="518"/>
      <c r="BJ254" s="65"/>
      <c r="BK254" s="81">
        <f t="shared" si="303"/>
        <v>0</v>
      </c>
      <c r="BL254" s="65"/>
      <c r="BM254" s="204"/>
      <c r="BN254" s="156">
        <f>IF(B254&lt;&gt;"",_xlfn.XLOOKUP(B254,'Cronog. e Histog.'!B:B,'Cronog. e Histog.'!EK:EK),0)</f>
        <v>0</v>
      </c>
      <c r="BO254" s="109">
        <f>($O254/Dashboard!$D$15)*(1+Dashboard!$D$19)</f>
        <v>108.47107438016528</v>
      </c>
      <c r="BP254" s="84">
        <f t="shared" si="304"/>
        <v>0</v>
      </c>
      <c r="BQ254" s="65"/>
      <c r="BR254" s="204"/>
      <c r="BS254" s="156">
        <f>IF(B254&lt;&gt;"",_xlfn.XLOOKUP(B254,'Cronog. e Histog.'!B:B,'Cronog. e Histog.'!EL:EL),0)</f>
        <v>0</v>
      </c>
      <c r="BT254" s="109">
        <f>($O254/Dashboard!$D$15)*(1+Dashboard!$D$20)</f>
        <v>126.54958677685948</v>
      </c>
      <c r="BU254" s="84">
        <f t="shared" si="305"/>
        <v>0</v>
      </c>
      <c r="BV254" s="65"/>
      <c r="BW254" s="204"/>
      <c r="BX254" s="156">
        <f>IF(B254&lt;&gt;"",_xlfn.XLOOKUP(B254,'Cronog. e Histog.'!B:B,'Cronog. e Histog.'!EM:EM),0)</f>
        <v>0</v>
      </c>
      <c r="BY254" s="109">
        <f>($O254/Dashboard!$D$15)*(1+Dashboard!$D$21)</f>
        <v>144.62809917355369</v>
      </c>
      <c r="BZ254" s="84">
        <f t="shared" si="306"/>
        <v>0</v>
      </c>
    </row>
    <row r="255" spans="2:78" ht="12" customHeight="1" outlineLevel="1">
      <c r="B255" s="137" t="str">
        <f>'Cronog. e Histog.'!B386</f>
        <v>ENG/ARQ JR. - Equipe_01</v>
      </c>
      <c r="C255" s="65"/>
      <c r="D255" s="200">
        <f t="shared" si="272"/>
        <v>0</v>
      </c>
      <c r="E255" s="200">
        <f t="shared" si="273"/>
        <v>0</v>
      </c>
      <c r="F255" s="65"/>
      <c r="G255" s="200">
        <f t="shared" si="274"/>
        <v>0</v>
      </c>
      <c r="H255" s="200">
        <f t="shared" si="275"/>
        <v>0</v>
      </c>
      <c r="I255" s="65"/>
      <c r="J255" s="143" t="str">
        <f>IF('Cronog. e Histog.'!G386&gt;0,'Cronog. e Histog.'!G386,"")</f>
        <v>ENG/ARQ JR.</v>
      </c>
      <c r="K255" s="65"/>
      <c r="L255" s="144">
        <f>'Cronog. e Histog.'!BT386</f>
        <v>0</v>
      </c>
      <c r="M255" s="144">
        <f>'Cronog. e Histog.'!BU386</f>
        <v>0</v>
      </c>
      <c r="N255" s="65"/>
      <c r="O255" s="109">
        <f>_xlfn.XLOOKUP(B255,Salários!B:B,Salários!K:K)</f>
        <v>14000</v>
      </c>
      <c r="P255" s="109">
        <f t="shared" si="290"/>
        <v>0</v>
      </c>
      <c r="Q255" s="109">
        <f t="shared" si="291"/>
        <v>0</v>
      </c>
      <c r="R255" s="65"/>
      <c r="S255" s="109">
        <f t="shared" si="292"/>
        <v>14000</v>
      </c>
      <c r="T255" s="201" t="str">
        <f>IF(_xlfn.XLOOKUP(B255,Salários!B:B,Salários!I:I)&gt;0,_xlfn.XLOOKUP(B255,Salários!B:B,Salários!I:I),"")</f>
        <v>PJ</v>
      </c>
      <c r="U255" s="117">
        <f t="shared" si="293"/>
        <v>0</v>
      </c>
      <c r="V255" s="65"/>
      <c r="W255" s="202"/>
      <c r="X255" s="65"/>
      <c r="Y255" s="69"/>
      <c r="Z255" s="65"/>
      <c r="AA255" s="518"/>
      <c r="AB255" s="65"/>
      <c r="AC255" s="81">
        <f t="shared" si="294"/>
        <v>0</v>
      </c>
      <c r="AD255" s="65"/>
      <c r="AE255" s="112"/>
      <c r="AF255" s="203">
        <v>0.3</v>
      </c>
      <c r="AG255" s="109">
        <f t="shared" si="295"/>
        <v>14000</v>
      </c>
      <c r="AH255" s="84">
        <f t="shared" si="296"/>
        <v>0</v>
      </c>
      <c r="AI255" s="65"/>
      <c r="AJ255" s="112"/>
      <c r="AK255" s="122"/>
      <c r="AL255" s="109">
        <v>1212</v>
      </c>
      <c r="AM255" s="84">
        <f t="shared" si="297"/>
        <v>0</v>
      </c>
      <c r="AN255" s="65"/>
      <c r="AO255" s="112"/>
      <c r="AP255" s="204"/>
      <c r="AQ255" s="109">
        <f>IFERROR((O255+AH255+AM255)/Dashboard!$D$15,0)*0.2</f>
        <v>14.46280991735537</v>
      </c>
      <c r="AR255" s="84">
        <f t="shared" si="298"/>
        <v>0</v>
      </c>
      <c r="AS255" s="65"/>
      <c r="AT255" s="112"/>
      <c r="AU255" s="203">
        <v>0.33</v>
      </c>
      <c r="AV255" s="109">
        <f t="shared" si="284"/>
        <v>14000</v>
      </c>
      <c r="AW255" s="84">
        <f t="shared" si="299"/>
        <v>0</v>
      </c>
      <c r="AX255" s="65"/>
      <c r="AY255" s="112"/>
      <c r="AZ255" s="203">
        <v>0.25</v>
      </c>
      <c r="BA255" s="109">
        <f t="shared" si="300"/>
        <v>14000</v>
      </c>
      <c r="BB255" s="84">
        <f t="shared" si="301"/>
        <v>0</v>
      </c>
      <c r="BC255" s="65"/>
      <c r="BD255" s="112"/>
      <c r="BE255" s="203">
        <v>0.26</v>
      </c>
      <c r="BF255" s="109">
        <f t="shared" si="287"/>
        <v>14000</v>
      </c>
      <c r="BG255" s="84">
        <f t="shared" si="302"/>
        <v>0</v>
      </c>
      <c r="BH255" s="197"/>
      <c r="BI255" s="518"/>
      <c r="BJ255" s="65"/>
      <c r="BK255" s="81">
        <f t="shared" si="303"/>
        <v>0</v>
      </c>
      <c r="BL255" s="65"/>
      <c r="BM255" s="204"/>
      <c r="BN255" s="156">
        <f>IF(B255&lt;&gt;"",_xlfn.XLOOKUP(B255,'Cronog. e Histog.'!B:B,'Cronog. e Histog.'!EK:EK),0)</f>
        <v>0</v>
      </c>
      <c r="BO255" s="109">
        <f>($O255/Dashboard!$D$15)*(1+Dashboard!$D$19)</f>
        <v>108.47107438016528</v>
      </c>
      <c r="BP255" s="84">
        <f t="shared" si="304"/>
        <v>0</v>
      </c>
      <c r="BQ255" s="65"/>
      <c r="BR255" s="204"/>
      <c r="BS255" s="156">
        <f>IF(B255&lt;&gt;"",_xlfn.XLOOKUP(B255,'Cronog. e Histog.'!B:B,'Cronog. e Histog.'!EL:EL),0)</f>
        <v>0</v>
      </c>
      <c r="BT255" s="109">
        <f>($O255/Dashboard!$D$15)*(1+Dashboard!$D$20)</f>
        <v>126.54958677685948</v>
      </c>
      <c r="BU255" s="84">
        <f t="shared" si="305"/>
        <v>0</v>
      </c>
      <c r="BV255" s="65"/>
      <c r="BW255" s="204"/>
      <c r="BX255" s="156">
        <f>IF(B255&lt;&gt;"",_xlfn.XLOOKUP(B255,'Cronog. e Histog.'!B:B,'Cronog. e Histog.'!EM:EM),0)</f>
        <v>0</v>
      </c>
      <c r="BY255" s="109">
        <f>($O255/Dashboard!$D$15)*(1+Dashboard!$D$21)</f>
        <v>144.62809917355369</v>
      </c>
      <c r="BZ255" s="84">
        <f t="shared" si="306"/>
        <v>0</v>
      </c>
    </row>
    <row r="256" spans="2:78" ht="12" customHeight="1" outlineLevel="1">
      <c r="B256" s="137" t="str">
        <f>'Cronog. e Histog.'!B387</f>
        <v>AN SR. ENG/ARQ - Equipe_01</v>
      </c>
      <c r="C256" s="65"/>
      <c r="D256" s="200">
        <f t="shared" si="272"/>
        <v>0</v>
      </c>
      <c r="E256" s="200">
        <f t="shared" si="273"/>
        <v>0</v>
      </c>
      <c r="F256" s="65"/>
      <c r="G256" s="200">
        <f t="shared" si="274"/>
        <v>0</v>
      </c>
      <c r="H256" s="200">
        <f t="shared" si="275"/>
        <v>0</v>
      </c>
      <c r="I256" s="65"/>
      <c r="J256" s="143" t="str">
        <f>IF('Cronog. e Histog.'!G387&gt;0,'Cronog. e Histog.'!G387,"")</f>
        <v>AN SR. ENG/ARQ</v>
      </c>
      <c r="K256" s="65"/>
      <c r="L256" s="144">
        <f>'Cronog. e Histog.'!BT387</f>
        <v>0</v>
      </c>
      <c r="M256" s="144">
        <f>'Cronog. e Histog.'!BU387</f>
        <v>0</v>
      </c>
      <c r="N256" s="65"/>
      <c r="O256" s="109">
        <f>_xlfn.XLOOKUP(B256,Salários!B:B,Salários!K:K)</f>
        <v>7950</v>
      </c>
      <c r="P256" s="109">
        <f t="shared" si="290"/>
        <v>0</v>
      </c>
      <c r="Q256" s="109">
        <f t="shared" si="291"/>
        <v>0</v>
      </c>
      <c r="R256" s="65"/>
      <c r="S256" s="109">
        <f t="shared" si="292"/>
        <v>7950</v>
      </c>
      <c r="T256" s="201" t="str">
        <f>IF(_xlfn.XLOOKUP(B256,Salários!B:B,Salários!I:I)&gt;0,_xlfn.XLOOKUP(B256,Salários!B:B,Salários!I:I),"")</f>
        <v>Mensalista</v>
      </c>
      <c r="U256" s="117">
        <f t="shared" si="293"/>
        <v>0</v>
      </c>
      <c r="V256" s="65"/>
      <c r="W256" s="202"/>
      <c r="X256" s="65"/>
      <c r="Y256" s="69"/>
      <c r="Z256" s="65"/>
      <c r="AA256" s="518"/>
      <c r="AB256" s="65"/>
      <c r="AC256" s="81">
        <f t="shared" si="294"/>
        <v>0</v>
      </c>
      <c r="AD256" s="65"/>
      <c r="AE256" s="112"/>
      <c r="AF256" s="203">
        <v>0.3</v>
      </c>
      <c r="AG256" s="109">
        <f t="shared" si="295"/>
        <v>7950</v>
      </c>
      <c r="AH256" s="84">
        <f t="shared" si="296"/>
        <v>0</v>
      </c>
      <c r="AI256" s="65"/>
      <c r="AJ256" s="112"/>
      <c r="AK256" s="122"/>
      <c r="AL256" s="109">
        <v>1212</v>
      </c>
      <c r="AM256" s="84">
        <f t="shared" si="297"/>
        <v>0</v>
      </c>
      <c r="AN256" s="65"/>
      <c r="AO256" s="112"/>
      <c r="AP256" s="204"/>
      <c r="AQ256" s="109">
        <f>IFERROR((O256+AH256+AM256)/Dashboard!$D$15,0)*0.2</f>
        <v>8.2128099173553704</v>
      </c>
      <c r="AR256" s="84">
        <f t="shared" si="298"/>
        <v>0</v>
      </c>
      <c r="AS256" s="65"/>
      <c r="AT256" s="112"/>
      <c r="AU256" s="203">
        <v>0.33</v>
      </c>
      <c r="AV256" s="109">
        <f t="shared" si="284"/>
        <v>7950</v>
      </c>
      <c r="AW256" s="84">
        <f t="shared" si="299"/>
        <v>0</v>
      </c>
      <c r="AX256" s="65"/>
      <c r="AY256" s="112"/>
      <c r="AZ256" s="203">
        <v>0.25</v>
      </c>
      <c r="BA256" s="109">
        <f t="shared" si="300"/>
        <v>7950</v>
      </c>
      <c r="BB256" s="84">
        <f t="shared" si="301"/>
        <v>0</v>
      </c>
      <c r="BC256" s="65"/>
      <c r="BD256" s="112"/>
      <c r="BE256" s="203">
        <v>0.26</v>
      </c>
      <c r="BF256" s="109">
        <f t="shared" si="287"/>
        <v>7950</v>
      </c>
      <c r="BG256" s="84">
        <f t="shared" si="302"/>
        <v>0</v>
      </c>
      <c r="BH256" s="197"/>
      <c r="BI256" s="518"/>
      <c r="BJ256" s="65"/>
      <c r="BK256" s="81">
        <f t="shared" si="303"/>
        <v>0</v>
      </c>
      <c r="BL256" s="65"/>
      <c r="BM256" s="204"/>
      <c r="BN256" s="156">
        <f>IF(B256&lt;&gt;"",_xlfn.XLOOKUP(B256,'Cronog. e Histog.'!B:B,'Cronog. e Histog.'!EK:EK),0)</f>
        <v>0</v>
      </c>
      <c r="BO256" s="109">
        <f>($O256/Dashboard!$D$15)*(1+Dashboard!$D$19)</f>
        <v>61.596074380165277</v>
      </c>
      <c r="BP256" s="84">
        <f t="shared" si="304"/>
        <v>0</v>
      </c>
      <c r="BQ256" s="65"/>
      <c r="BR256" s="204"/>
      <c r="BS256" s="156">
        <f>IF(B256&lt;&gt;"",_xlfn.XLOOKUP(B256,'Cronog. e Histog.'!B:B,'Cronog. e Histog.'!EL:EL),0)</f>
        <v>0</v>
      </c>
      <c r="BT256" s="109">
        <f>($O256/Dashboard!$D$15)*(1+Dashboard!$D$20)</f>
        <v>71.862086776859499</v>
      </c>
      <c r="BU256" s="84">
        <f t="shared" si="305"/>
        <v>0</v>
      </c>
      <c r="BV256" s="65"/>
      <c r="BW256" s="204"/>
      <c r="BX256" s="156">
        <f>IF(B256&lt;&gt;"",_xlfn.XLOOKUP(B256,'Cronog. e Histog.'!B:B,'Cronog. e Histog.'!EM:EM),0)</f>
        <v>0</v>
      </c>
      <c r="BY256" s="109">
        <f>($O256/Dashboard!$D$15)*(1+Dashboard!$D$21)</f>
        <v>82.128099173553707</v>
      </c>
      <c r="BZ256" s="84">
        <f t="shared" si="306"/>
        <v>0</v>
      </c>
    </row>
    <row r="257" spans="2:78" ht="12" customHeight="1" outlineLevel="1">
      <c r="B257" s="137" t="str">
        <f>'Cronog. e Histog.'!B388</f>
        <v>AN PL. ENG/ARQ - Equipe_01</v>
      </c>
      <c r="C257" s="65"/>
      <c r="D257" s="200">
        <f t="shared" si="272"/>
        <v>0</v>
      </c>
      <c r="E257" s="200">
        <f t="shared" si="273"/>
        <v>0</v>
      </c>
      <c r="F257" s="65"/>
      <c r="G257" s="200">
        <f t="shared" si="274"/>
        <v>0</v>
      </c>
      <c r="H257" s="200">
        <f t="shared" si="275"/>
        <v>0</v>
      </c>
      <c r="I257" s="65"/>
      <c r="J257" s="143" t="str">
        <f>IF('Cronog. e Histog.'!G388&gt;0,'Cronog. e Histog.'!G388,"")</f>
        <v>AN PL. ENG/ARQ</v>
      </c>
      <c r="K257" s="65"/>
      <c r="L257" s="144">
        <f>'Cronog. e Histog.'!BT388</f>
        <v>0</v>
      </c>
      <c r="M257" s="144">
        <f>'Cronog. e Histog.'!BU388</f>
        <v>0</v>
      </c>
      <c r="N257" s="65"/>
      <c r="O257" s="109">
        <f>_xlfn.XLOOKUP(B257,Salários!B:B,Salários!K:K)</f>
        <v>6360</v>
      </c>
      <c r="P257" s="109">
        <f t="shared" si="290"/>
        <v>0</v>
      </c>
      <c r="Q257" s="109">
        <f t="shared" si="291"/>
        <v>0</v>
      </c>
      <c r="R257" s="65"/>
      <c r="S257" s="109">
        <f t="shared" si="292"/>
        <v>6360</v>
      </c>
      <c r="T257" s="201" t="str">
        <f>IF(_xlfn.XLOOKUP(B257,Salários!B:B,Salários!I:I)&gt;0,_xlfn.XLOOKUP(B257,Salários!B:B,Salários!I:I),"")</f>
        <v>Mensalista</v>
      </c>
      <c r="U257" s="117">
        <f t="shared" si="293"/>
        <v>0</v>
      </c>
      <c r="V257" s="65"/>
      <c r="W257" s="202"/>
      <c r="X257" s="65"/>
      <c r="Y257" s="69"/>
      <c r="Z257" s="65"/>
      <c r="AA257" s="518"/>
      <c r="AB257" s="65"/>
      <c r="AC257" s="81">
        <f t="shared" si="294"/>
        <v>0</v>
      </c>
      <c r="AD257" s="65"/>
      <c r="AE257" s="112"/>
      <c r="AF257" s="203">
        <v>0.3</v>
      </c>
      <c r="AG257" s="109">
        <f t="shared" si="295"/>
        <v>6360</v>
      </c>
      <c r="AH257" s="84">
        <f t="shared" si="296"/>
        <v>0</v>
      </c>
      <c r="AI257" s="65"/>
      <c r="AJ257" s="112"/>
      <c r="AK257" s="122"/>
      <c r="AL257" s="109">
        <v>1212</v>
      </c>
      <c r="AM257" s="84">
        <f t="shared" si="297"/>
        <v>0</v>
      </c>
      <c r="AN257" s="65"/>
      <c r="AO257" s="112"/>
      <c r="AP257" s="204"/>
      <c r="AQ257" s="109">
        <f>IFERROR((O257+AH257+AM257)/Dashboard!$D$15,0)*0.2</f>
        <v>6.5702479338842963</v>
      </c>
      <c r="AR257" s="84">
        <f t="shared" si="298"/>
        <v>0</v>
      </c>
      <c r="AS257" s="65"/>
      <c r="AT257" s="112"/>
      <c r="AU257" s="203">
        <v>0.33</v>
      </c>
      <c r="AV257" s="109">
        <f t="shared" si="284"/>
        <v>6360</v>
      </c>
      <c r="AW257" s="84">
        <f t="shared" si="299"/>
        <v>0</v>
      </c>
      <c r="AX257" s="65"/>
      <c r="AY257" s="112"/>
      <c r="AZ257" s="203">
        <v>0.25</v>
      </c>
      <c r="BA257" s="109">
        <f t="shared" si="300"/>
        <v>6360</v>
      </c>
      <c r="BB257" s="84">
        <f t="shared" si="301"/>
        <v>0</v>
      </c>
      <c r="BC257" s="65"/>
      <c r="BD257" s="112"/>
      <c r="BE257" s="203">
        <v>0.26</v>
      </c>
      <c r="BF257" s="109">
        <f t="shared" si="287"/>
        <v>6360</v>
      </c>
      <c r="BG257" s="84">
        <f t="shared" si="302"/>
        <v>0</v>
      </c>
      <c r="BH257" s="197"/>
      <c r="BI257" s="518"/>
      <c r="BJ257" s="65"/>
      <c r="BK257" s="81">
        <f t="shared" si="303"/>
        <v>0</v>
      </c>
      <c r="BL257" s="65"/>
      <c r="BM257" s="204"/>
      <c r="BN257" s="156">
        <f>IF(B257&lt;&gt;"",_xlfn.XLOOKUP(B257,'Cronog. e Histog.'!B:B,'Cronog. e Histog.'!EK:EK),0)</f>
        <v>0</v>
      </c>
      <c r="BO257" s="109">
        <f>($O257/Dashboard!$D$15)*(1+Dashboard!$D$19)</f>
        <v>49.276859504132219</v>
      </c>
      <c r="BP257" s="84">
        <f t="shared" si="304"/>
        <v>0</v>
      </c>
      <c r="BQ257" s="65"/>
      <c r="BR257" s="204"/>
      <c r="BS257" s="156">
        <f>IF(B257&lt;&gt;"",_xlfn.XLOOKUP(B257,'Cronog. e Histog.'!B:B,'Cronog. e Histog.'!EL:EL),0)</f>
        <v>0</v>
      </c>
      <c r="BT257" s="109">
        <f>($O257/Dashboard!$D$15)*(1+Dashboard!$D$20)</f>
        <v>57.489669421487591</v>
      </c>
      <c r="BU257" s="84">
        <f t="shared" si="305"/>
        <v>0</v>
      </c>
      <c r="BV257" s="65"/>
      <c r="BW257" s="204"/>
      <c r="BX257" s="156">
        <f>IF(B257&lt;&gt;"",_xlfn.XLOOKUP(B257,'Cronog. e Histog.'!B:B,'Cronog. e Histog.'!EM:EM),0)</f>
        <v>0</v>
      </c>
      <c r="BY257" s="109">
        <f>($O257/Dashboard!$D$15)*(1+Dashboard!$D$21)</f>
        <v>65.702479338842963</v>
      </c>
      <c r="BZ257" s="84">
        <f t="shared" si="306"/>
        <v>0</v>
      </c>
    </row>
    <row r="258" spans="2:78" ht="12" customHeight="1" outlineLevel="1">
      <c r="B258" s="137" t="str">
        <f>'Cronog. e Histog.'!B389</f>
        <v>AN JR. ENG/ARQ - Equipe_01</v>
      </c>
      <c r="C258" s="65"/>
      <c r="D258" s="200">
        <f t="shared" si="272"/>
        <v>0</v>
      </c>
      <c r="E258" s="200">
        <f t="shared" si="273"/>
        <v>0</v>
      </c>
      <c r="F258" s="65"/>
      <c r="G258" s="200">
        <f t="shared" si="274"/>
        <v>0</v>
      </c>
      <c r="H258" s="200">
        <f t="shared" si="275"/>
        <v>0</v>
      </c>
      <c r="I258" s="65"/>
      <c r="J258" s="143" t="str">
        <f>IF('Cronog. e Histog.'!G389&gt;0,'Cronog. e Histog.'!G389,"")</f>
        <v>AN JR. ENG/ARQ</v>
      </c>
      <c r="K258" s="65"/>
      <c r="L258" s="144">
        <f>'Cronog. e Histog.'!BT389</f>
        <v>0</v>
      </c>
      <c r="M258" s="144">
        <f>'Cronog. e Histog.'!BU389</f>
        <v>0</v>
      </c>
      <c r="N258" s="65"/>
      <c r="O258" s="109">
        <f>_xlfn.XLOOKUP(B258,Salários!B:B,Salários!K:K)</f>
        <v>4770</v>
      </c>
      <c r="P258" s="109">
        <f t="shared" si="290"/>
        <v>0</v>
      </c>
      <c r="Q258" s="109">
        <f t="shared" si="291"/>
        <v>0</v>
      </c>
      <c r="R258" s="65"/>
      <c r="S258" s="109">
        <f t="shared" si="292"/>
        <v>4770</v>
      </c>
      <c r="T258" s="201" t="str">
        <f>IF(_xlfn.XLOOKUP(B258,Salários!B:B,Salários!I:I)&gt;0,_xlfn.XLOOKUP(B258,Salários!B:B,Salários!I:I),"")</f>
        <v>Mensalista</v>
      </c>
      <c r="U258" s="117">
        <f t="shared" si="293"/>
        <v>0</v>
      </c>
      <c r="V258" s="65"/>
      <c r="W258" s="202"/>
      <c r="X258" s="65"/>
      <c r="Y258" s="69"/>
      <c r="Z258" s="65"/>
      <c r="AA258" s="518"/>
      <c r="AB258" s="65"/>
      <c r="AC258" s="81">
        <f t="shared" si="294"/>
        <v>0</v>
      </c>
      <c r="AD258" s="65"/>
      <c r="AE258" s="112"/>
      <c r="AF258" s="203">
        <v>0.3</v>
      </c>
      <c r="AG258" s="109">
        <f t="shared" si="295"/>
        <v>4770</v>
      </c>
      <c r="AH258" s="84">
        <f t="shared" si="296"/>
        <v>0</v>
      </c>
      <c r="AI258" s="65"/>
      <c r="AJ258" s="112"/>
      <c r="AK258" s="122"/>
      <c r="AL258" s="109">
        <v>1212</v>
      </c>
      <c r="AM258" s="84">
        <f t="shared" si="297"/>
        <v>0</v>
      </c>
      <c r="AN258" s="65"/>
      <c r="AO258" s="112"/>
      <c r="AP258" s="204"/>
      <c r="AQ258" s="109">
        <f>IFERROR((O258+AH258+AM258)/Dashboard!$D$15,0)*0.2</f>
        <v>4.9276859504132231</v>
      </c>
      <c r="AR258" s="84">
        <f t="shared" si="298"/>
        <v>0</v>
      </c>
      <c r="AS258" s="65"/>
      <c r="AT258" s="112"/>
      <c r="AU258" s="203">
        <v>0.33</v>
      </c>
      <c r="AV258" s="109">
        <f t="shared" si="284"/>
        <v>4770</v>
      </c>
      <c r="AW258" s="84">
        <f t="shared" si="299"/>
        <v>0</v>
      </c>
      <c r="AX258" s="65"/>
      <c r="AY258" s="112"/>
      <c r="AZ258" s="203">
        <v>0.25</v>
      </c>
      <c r="BA258" s="109">
        <f t="shared" si="300"/>
        <v>4770</v>
      </c>
      <c r="BB258" s="84">
        <f t="shared" si="301"/>
        <v>0</v>
      </c>
      <c r="BC258" s="65"/>
      <c r="BD258" s="112"/>
      <c r="BE258" s="203">
        <v>0.26</v>
      </c>
      <c r="BF258" s="109">
        <f t="shared" si="287"/>
        <v>4770</v>
      </c>
      <c r="BG258" s="84">
        <f t="shared" si="302"/>
        <v>0</v>
      </c>
      <c r="BH258" s="197"/>
      <c r="BI258" s="518"/>
      <c r="BJ258" s="65"/>
      <c r="BK258" s="81">
        <f t="shared" si="303"/>
        <v>0</v>
      </c>
      <c r="BL258" s="65"/>
      <c r="BM258" s="204"/>
      <c r="BN258" s="156">
        <f>IF(B258&lt;&gt;"",_xlfn.XLOOKUP(B258,'Cronog. e Histog.'!B:B,'Cronog. e Histog.'!EK:EK),0)</f>
        <v>0</v>
      </c>
      <c r="BO258" s="109">
        <f>($O258/Dashboard!$D$15)*(1+Dashboard!$D$19)</f>
        <v>36.957644628099168</v>
      </c>
      <c r="BP258" s="84">
        <f t="shared" si="304"/>
        <v>0</v>
      </c>
      <c r="BQ258" s="65"/>
      <c r="BR258" s="204"/>
      <c r="BS258" s="156">
        <f>IF(B258&lt;&gt;"",_xlfn.XLOOKUP(B258,'Cronog. e Histog.'!B:B,'Cronog. e Histog.'!EL:EL),0)</f>
        <v>0</v>
      </c>
      <c r="BT258" s="109">
        <f>($O258/Dashboard!$D$15)*(1+Dashboard!$D$20)</f>
        <v>43.117252066115697</v>
      </c>
      <c r="BU258" s="84">
        <f t="shared" si="305"/>
        <v>0</v>
      </c>
      <c r="BV258" s="65"/>
      <c r="BW258" s="204"/>
      <c r="BX258" s="156">
        <f>IF(B258&lt;&gt;"",_xlfn.XLOOKUP(B258,'Cronog. e Histog.'!B:B,'Cronog. e Histog.'!EM:EM),0)</f>
        <v>0</v>
      </c>
      <c r="BY258" s="109">
        <f>($O258/Dashboard!$D$15)*(1+Dashboard!$D$21)</f>
        <v>49.276859504132226</v>
      </c>
      <c r="BZ258" s="84">
        <f t="shared" si="306"/>
        <v>0</v>
      </c>
    </row>
    <row r="259" spans="2:78" ht="12" customHeight="1" outlineLevel="1">
      <c r="B259" s="137" t="str">
        <f>'Cronog. e Histog.'!B390</f>
        <v>AN SR. ADM/CRP - Equipe_01</v>
      </c>
      <c r="C259" s="65"/>
      <c r="D259" s="200">
        <f t="shared" si="272"/>
        <v>0</v>
      </c>
      <c r="E259" s="200">
        <f t="shared" si="273"/>
        <v>0</v>
      </c>
      <c r="F259" s="65"/>
      <c r="G259" s="200">
        <f t="shared" si="274"/>
        <v>0</v>
      </c>
      <c r="H259" s="200">
        <f t="shared" si="275"/>
        <v>0</v>
      </c>
      <c r="I259" s="65"/>
      <c r="J259" s="143" t="str">
        <f>IF('Cronog. e Histog.'!G390&gt;0,'Cronog. e Histog.'!G390,"")</f>
        <v>AN SR. ADM/CRP</v>
      </c>
      <c r="K259" s="65"/>
      <c r="L259" s="144">
        <f>'Cronog. e Histog.'!BT390</f>
        <v>0</v>
      </c>
      <c r="M259" s="144">
        <f>'Cronog. e Histog.'!BU390</f>
        <v>0</v>
      </c>
      <c r="N259" s="65"/>
      <c r="O259" s="109">
        <f>_xlfn.XLOOKUP(B259,Salários!B:B,Salários!K:K)</f>
        <v>7420</v>
      </c>
      <c r="P259" s="109">
        <f t="shared" si="290"/>
        <v>0</v>
      </c>
      <c r="Q259" s="109">
        <f t="shared" si="291"/>
        <v>0</v>
      </c>
      <c r="R259" s="65"/>
      <c r="S259" s="109">
        <f t="shared" si="292"/>
        <v>7420</v>
      </c>
      <c r="T259" s="201" t="str">
        <f>IF(_xlfn.XLOOKUP(B259,Salários!B:B,Salários!I:I)&gt;0,_xlfn.XLOOKUP(B259,Salários!B:B,Salários!I:I),"")</f>
        <v>Mensalista</v>
      </c>
      <c r="U259" s="117">
        <f t="shared" si="293"/>
        <v>0</v>
      </c>
      <c r="V259" s="65"/>
      <c r="W259" s="202"/>
      <c r="X259" s="65"/>
      <c r="Y259" s="69"/>
      <c r="Z259" s="65"/>
      <c r="AA259" s="518"/>
      <c r="AB259" s="65"/>
      <c r="AC259" s="81">
        <f t="shared" si="294"/>
        <v>0</v>
      </c>
      <c r="AD259" s="65"/>
      <c r="AE259" s="112"/>
      <c r="AF259" s="203">
        <v>0.3</v>
      </c>
      <c r="AG259" s="109">
        <f t="shared" si="295"/>
        <v>7420</v>
      </c>
      <c r="AH259" s="84">
        <f t="shared" si="296"/>
        <v>0</v>
      </c>
      <c r="AI259" s="65"/>
      <c r="AJ259" s="112"/>
      <c r="AK259" s="122"/>
      <c r="AL259" s="109">
        <v>1212</v>
      </c>
      <c r="AM259" s="84">
        <f t="shared" si="297"/>
        <v>0</v>
      </c>
      <c r="AN259" s="65"/>
      <c r="AO259" s="112"/>
      <c r="AP259" s="204"/>
      <c r="AQ259" s="109">
        <f>IFERROR((O259+AH259+AM259)/Dashboard!$D$15,0)*0.2</f>
        <v>7.6652892561983466</v>
      </c>
      <c r="AR259" s="84">
        <f t="shared" si="298"/>
        <v>0</v>
      </c>
      <c r="AS259" s="65"/>
      <c r="AT259" s="112"/>
      <c r="AU259" s="203">
        <v>0.33</v>
      </c>
      <c r="AV259" s="109">
        <f t="shared" si="284"/>
        <v>7420</v>
      </c>
      <c r="AW259" s="84">
        <f t="shared" si="299"/>
        <v>0</v>
      </c>
      <c r="AX259" s="65"/>
      <c r="AY259" s="112"/>
      <c r="AZ259" s="203">
        <v>0.25</v>
      </c>
      <c r="BA259" s="109">
        <f t="shared" si="300"/>
        <v>7420</v>
      </c>
      <c r="BB259" s="84">
        <f t="shared" si="301"/>
        <v>0</v>
      </c>
      <c r="BC259" s="65"/>
      <c r="BD259" s="112"/>
      <c r="BE259" s="203">
        <v>0.26</v>
      </c>
      <c r="BF259" s="109">
        <f t="shared" si="287"/>
        <v>7420</v>
      </c>
      <c r="BG259" s="84">
        <f t="shared" si="302"/>
        <v>0</v>
      </c>
      <c r="BH259" s="197"/>
      <c r="BI259" s="518"/>
      <c r="BJ259" s="65"/>
      <c r="BK259" s="81">
        <f t="shared" si="303"/>
        <v>0</v>
      </c>
      <c r="BL259" s="65"/>
      <c r="BM259" s="204"/>
      <c r="BN259" s="156">
        <f>IF(B259&lt;&gt;"",_xlfn.XLOOKUP(B259,'Cronog. e Histog.'!B:B,'Cronog. e Histog.'!EK:EK),0)</f>
        <v>0</v>
      </c>
      <c r="BO259" s="109">
        <f>($O259/Dashboard!$D$15)*(1+Dashboard!$D$19)</f>
        <v>57.489669421487598</v>
      </c>
      <c r="BP259" s="84">
        <f t="shared" si="304"/>
        <v>0</v>
      </c>
      <c r="BQ259" s="65"/>
      <c r="BR259" s="204"/>
      <c r="BS259" s="156">
        <f>IF(B259&lt;&gt;"",_xlfn.XLOOKUP(B259,'Cronog. e Histog.'!B:B,'Cronog. e Histog.'!EL:EL),0)</f>
        <v>0</v>
      </c>
      <c r="BT259" s="109">
        <f>($O259/Dashboard!$D$15)*(1+Dashboard!$D$20)</f>
        <v>67.071280991735534</v>
      </c>
      <c r="BU259" s="84">
        <f t="shared" si="305"/>
        <v>0</v>
      </c>
      <c r="BV259" s="65"/>
      <c r="BW259" s="204"/>
      <c r="BX259" s="156">
        <f>IF(B259&lt;&gt;"",_xlfn.XLOOKUP(B259,'Cronog. e Histog.'!B:B,'Cronog. e Histog.'!EM:EM),0)</f>
        <v>0</v>
      </c>
      <c r="BY259" s="109">
        <f>($O259/Dashboard!$D$15)*(1+Dashboard!$D$21)</f>
        <v>76.652892561983464</v>
      </c>
      <c r="BZ259" s="84">
        <f t="shared" si="306"/>
        <v>0</v>
      </c>
    </row>
    <row r="260" spans="2:78" ht="12" customHeight="1" outlineLevel="1">
      <c r="B260" s="137" t="str">
        <f>'Cronog. e Histog.'!B391</f>
        <v>AN PL. ADM/CRP - Equipe_01</v>
      </c>
      <c r="C260" s="65"/>
      <c r="D260" s="200">
        <f t="shared" si="272"/>
        <v>0</v>
      </c>
      <c r="E260" s="200">
        <f t="shared" si="273"/>
        <v>0</v>
      </c>
      <c r="F260" s="65"/>
      <c r="G260" s="200">
        <f t="shared" si="274"/>
        <v>0</v>
      </c>
      <c r="H260" s="200">
        <f t="shared" si="275"/>
        <v>0</v>
      </c>
      <c r="I260" s="65"/>
      <c r="J260" s="143" t="str">
        <f>IF('Cronog. e Histog.'!G391&gt;0,'Cronog. e Histog.'!G391,"")</f>
        <v>AN PL. ADM/CRP</v>
      </c>
      <c r="K260" s="65"/>
      <c r="L260" s="144">
        <f>'Cronog. e Histog.'!BT391</f>
        <v>0</v>
      </c>
      <c r="M260" s="144">
        <f>'Cronog. e Histog.'!BU391</f>
        <v>0</v>
      </c>
      <c r="N260" s="65"/>
      <c r="O260" s="109">
        <f>_xlfn.XLOOKUP(B260,Salários!B:B,Salários!K:K)</f>
        <v>5300</v>
      </c>
      <c r="P260" s="109">
        <f t="shared" si="290"/>
        <v>0</v>
      </c>
      <c r="Q260" s="109">
        <f t="shared" si="291"/>
        <v>0</v>
      </c>
      <c r="R260" s="65"/>
      <c r="S260" s="109">
        <f t="shared" si="292"/>
        <v>5300</v>
      </c>
      <c r="T260" s="201" t="str">
        <f>IF(_xlfn.XLOOKUP(B260,Salários!B:B,Salários!I:I)&gt;0,_xlfn.XLOOKUP(B260,Salários!B:B,Salários!I:I),"")</f>
        <v>Mensalista</v>
      </c>
      <c r="U260" s="117">
        <f t="shared" si="293"/>
        <v>0</v>
      </c>
      <c r="V260" s="65"/>
      <c r="W260" s="202"/>
      <c r="X260" s="65"/>
      <c r="Y260" s="69"/>
      <c r="Z260" s="65"/>
      <c r="AA260" s="518"/>
      <c r="AB260" s="65"/>
      <c r="AC260" s="81">
        <f t="shared" si="294"/>
        <v>0</v>
      </c>
      <c r="AD260" s="65"/>
      <c r="AE260" s="112"/>
      <c r="AF260" s="203">
        <v>0.3</v>
      </c>
      <c r="AG260" s="109">
        <f t="shared" si="295"/>
        <v>5300</v>
      </c>
      <c r="AH260" s="84">
        <f t="shared" si="296"/>
        <v>0</v>
      </c>
      <c r="AI260" s="65"/>
      <c r="AJ260" s="112"/>
      <c r="AK260" s="122"/>
      <c r="AL260" s="109">
        <v>1212</v>
      </c>
      <c r="AM260" s="84">
        <f t="shared" si="297"/>
        <v>0</v>
      </c>
      <c r="AN260" s="65"/>
      <c r="AO260" s="112"/>
      <c r="AP260" s="204"/>
      <c r="AQ260" s="109">
        <f>IFERROR((O260+AH260+AM260)/Dashboard!$D$15,0)*0.2</f>
        <v>5.4752066115702478</v>
      </c>
      <c r="AR260" s="84">
        <f t="shared" si="298"/>
        <v>0</v>
      </c>
      <c r="AS260" s="65"/>
      <c r="AT260" s="112"/>
      <c r="AU260" s="203">
        <v>0.33</v>
      </c>
      <c r="AV260" s="109">
        <f t="shared" si="284"/>
        <v>5300</v>
      </c>
      <c r="AW260" s="84">
        <f t="shared" si="299"/>
        <v>0</v>
      </c>
      <c r="AX260" s="65"/>
      <c r="AY260" s="112"/>
      <c r="AZ260" s="203">
        <v>0.25</v>
      </c>
      <c r="BA260" s="109">
        <f t="shared" si="300"/>
        <v>5300</v>
      </c>
      <c r="BB260" s="84">
        <f t="shared" si="301"/>
        <v>0</v>
      </c>
      <c r="BC260" s="65"/>
      <c r="BD260" s="112"/>
      <c r="BE260" s="203">
        <v>0.26</v>
      </c>
      <c r="BF260" s="109">
        <f t="shared" si="287"/>
        <v>5300</v>
      </c>
      <c r="BG260" s="84">
        <f t="shared" si="302"/>
        <v>0</v>
      </c>
      <c r="BH260" s="197"/>
      <c r="BI260" s="518"/>
      <c r="BJ260" s="65"/>
      <c r="BK260" s="81">
        <f t="shared" si="303"/>
        <v>0</v>
      </c>
      <c r="BL260" s="65"/>
      <c r="BM260" s="204"/>
      <c r="BN260" s="156">
        <f>IF(B260&lt;&gt;"",_xlfn.XLOOKUP(B260,'Cronog. e Histog.'!B:B,'Cronog. e Histog.'!EK:EK),0)</f>
        <v>0</v>
      </c>
      <c r="BO260" s="109">
        <f>($O260/Dashboard!$D$15)*(1+Dashboard!$D$19)</f>
        <v>41.064049586776861</v>
      </c>
      <c r="BP260" s="84">
        <f t="shared" si="304"/>
        <v>0</v>
      </c>
      <c r="BQ260" s="65"/>
      <c r="BR260" s="204"/>
      <c r="BS260" s="156">
        <f>IF(B260&lt;&gt;"",_xlfn.XLOOKUP(B260,'Cronog. e Histog.'!B:B,'Cronog. e Histog.'!EL:EL),0)</f>
        <v>0</v>
      </c>
      <c r="BT260" s="109">
        <f>($O260/Dashboard!$D$15)*(1+Dashboard!$D$20)</f>
        <v>47.908057851239668</v>
      </c>
      <c r="BU260" s="84">
        <f t="shared" si="305"/>
        <v>0</v>
      </c>
      <c r="BV260" s="65"/>
      <c r="BW260" s="204"/>
      <c r="BX260" s="156">
        <f>IF(B260&lt;&gt;"",_xlfn.XLOOKUP(B260,'Cronog. e Histog.'!B:B,'Cronog. e Histog.'!EM:EM),0)</f>
        <v>0</v>
      </c>
      <c r="BY260" s="109">
        <f>($O260/Dashboard!$D$15)*(1+Dashboard!$D$21)</f>
        <v>54.752066115702476</v>
      </c>
      <c r="BZ260" s="84">
        <f t="shared" si="306"/>
        <v>0</v>
      </c>
    </row>
    <row r="261" spans="2:78" ht="12" customHeight="1" outlineLevel="1">
      <c r="B261" s="137" t="str">
        <f>'Cronog. e Histog.'!B392</f>
        <v>AN JR. ADM/CRP - Equipe_01</v>
      </c>
      <c r="C261" s="65"/>
      <c r="D261" s="200">
        <f t="shared" si="272"/>
        <v>0</v>
      </c>
      <c r="E261" s="200">
        <f t="shared" si="273"/>
        <v>0</v>
      </c>
      <c r="F261" s="65"/>
      <c r="G261" s="200">
        <f t="shared" si="274"/>
        <v>0</v>
      </c>
      <c r="H261" s="200">
        <f t="shared" si="275"/>
        <v>0</v>
      </c>
      <c r="I261" s="65"/>
      <c r="J261" s="143" t="str">
        <f>IF('Cronog. e Histog.'!G392&gt;0,'Cronog. e Histog.'!G392,"")</f>
        <v>AN JR. ADM/CRP</v>
      </c>
      <c r="K261" s="65"/>
      <c r="L261" s="144">
        <f>'Cronog. e Histog.'!BT392</f>
        <v>0</v>
      </c>
      <c r="M261" s="144">
        <f>'Cronog. e Histog.'!BU392</f>
        <v>0</v>
      </c>
      <c r="N261" s="65"/>
      <c r="O261" s="109">
        <f>_xlfn.XLOOKUP(B261,Salários!B:B,Salários!K:K)</f>
        <v>3710</v>
      </c>
      <c r="P261" s="109">
        <f t="shared" si="290"/>
        <v>0</v>
      </c>
      <c r="Q261" s="109">
        <f t="shared" si="291"/>
        <v>0</v>
      </c>
      <c r="R261" s="65"/>
      <c r="S261" s="109">
        <f t="shared" si="292"/>
        <v>3710</v>
      </c>
      <c r="T261" s="201" t="str">
        <f>IF(_xlfn.XLOOKUP(B261,Salários!B:B,Salários!I:I)&gt;0,_xlfn.XLOOKUP(B261,Salários!B:B,Salários!I:I),"")</f>
        <v>Mensalista</v>
      </c>
      <c r="U261" s="117">
        <f t="shared" si="279"/>
        <v>0</v>
      </c>
      <c r="V261" s="65"/>
      <c r="W261" s="202"/>
      <c r="X261" s="65"/>
      <c r="Y261" s="69"/>
      <c r="Z261" s="65"/>
      <c r="AA261" s="518"/>
      <c r="AB261" s="65"/>
      <c r="AC261" s="81">
        <f t="shared" si="280"/>
        <v>0</v>
      </c>
      <c r="AD261" s="65"/>
      <c r="AE261" s="112"/>
      <c r="AF261" s="203">
        <v>0.3</v>
      </c>
      <c r="AG261" s="109">
        <f t="shared" si="44"/>
        <v>3710</v>
      </c>
      <c r="AH261" s="84">
        <f t="shared" si="281"/>
        <v>0</v>
      </c>
      <c r="AI261" s="65"/>
      <c r="AJ261" s="112"/>
      <c r="AK261" s="122"/>
      <c r="AL261" s="109">
        <v>1212</v>
      </c>
      <c r="AM261" s="84">
        <f t="shared" si="282"/>
        <v>0</v>
      </c>
      <c r="AN261" s="65"/>
      <c r="AO261" s="112"/>
      <c r="AP261" s="204"/>
      <c r="AQ261" s="109">
        <f>IFERROR((O261+AH261+AM261)/Dashboard!$D$15,0)*0.2</f>
        <v>3.8326446280991733</v>
      </c>
      <c r="AR261" s="84">
        <f t="shared" si="283"/>
        <v>0</v>
      </c>
      <c r="AS261" s="65"/>
      <c r="AT261" s="112"/>
      <c r="AU261" s="203">
        <v>0.33</v>
      </c>
      <c r="AV261" s="109">
        <f t="shared" si="284"/>
        <v>3710</v>
      </c>
      <c r="AW261" s="84">
        <f t="shared" si="285"/>
        <v>0</v>
      </c>
      <c r="AX261" s="65"/>
      <c r="AY261" s="112"/>
      <c r="AZ261" s="203">
        <v>0.25</v>
      </c>
      <c r="BA261" s="109">
        <f t="shared" si="50"/>
        <v>3710</v>
      </c>
      <c r="BB261" s="84">
        <f t="shared" si="286"/>
        <v>0</v>
      </c>
      <c r="BC261" s="65"/>
      <c r="BD261" s="112"/>
      <c r="BE261" s="203">
        <v>0.26</v>
      </c>
      <c r="BF261" s="109">
        <f t="shared" si="287"/>
        <v>3710</v>
      </c>
      <c r="BG261" s="84">
        <f t="shared" si="288"/>
        <v>0</v>
      </c>
      <c r="BH261" s="197"/>
      <c r="BI261" s="518"/>
      <c r="BJ261" s="65"/>
      <c r="BK261" s="81">
        <f t="shared" si="289"/>
        <v>0</v>
      </c>
      <c r="BL261" s="65"/>
      <c r="BM261" s="204"/>
      <c r="BN261" s="156">
        <f>IF(B261&lt;&gt;"",_xlfn.XLOOKUP(B261,'Cronog. e Histog.'!B:B,'Cronog. e Histog.'!EK:EK),0)</f>
        <v>0</v>
      </c>
      <c r="BO261" s="109">
        <f>($O261/Dashboard!$D$15)*(1+Dashboard!$D$19)</f>
        <v>28.744834710743799</v>
      </c>
      <c r="BP261" s="84">
        <f t="shared" si="304"/>
        <v>0</v>
      </c>
      <c r="BQ261" s="65"/>
      <c r="BR261" s="204"/>
      <c r="BS261" s="156">
        <f>IF(B261&lt;&gt;"",_xlfn.XLOOKUP(B261,'Cronog. e Histog.'!B:B,'Cronog. e Histog.'!EL:EL),0)</f>
        <v>0</v>
      </c>
      <c r="BT261" s="109">
        <f>($O261/Dashboard!$D$15)*(1+Dashboard!$D$20)</f>
        <v>33.535640495867767</v>
      </c>
      <c r="BU261" s="84">
        <f t="shared" si="305"/>
        <v>0</v>
      </c>
      <c r="BV261" s="65"/>
      <c r="BW261" s="204"/>
      <c r="BX261" s="156">
        <f>IF(B261&lt;&gt;"",_xlfn.XLOOKUP(B261,'Cronog. e Histog.'!B:B,'Cronog. e Histog.'!EM:EM),0)</f>
        <v>0</v>
      </c>
      <c r="BY261" s="109">
        <f>($O261/Dashboard!$D$15)*(1+Dashboard!$D$21)</f>
        <v>38.326446280991732</v>
      </c>
      <c r="BZ261" s="84">
        <f t="shared" si="306"/>
        <v>0</v>
      </c>
    </row>
    <row r="262" spans="2:78" ht="12" customHeight="1" outlineLevel="1">
      <c r="B262" s="137" t="str">
        <f>'Cronog. e Histog.'!B393</f>
        <v>TEC III - Equipe_01</v>
      </c>
      <c r="C262" s="65"/>
      <c r="D262" s="200">
        <f t="shared" si="272"/>
        <v>0</v>
      </c>
      <c r="E262" s="200">
        <f t="shared" si="273"/>
        <v>0</v>
      </c>
      <c r="F262" s="65"/>
      <c r="G262" s="200">
        <f t="shared" si="274"/>
        <v>0</v>
      </c>
      <c r="H262" s="200">
        <f t="shared" si="275"/>
        <v>0</v>
      </c>
      <c r="I262" s="65"/>
      <c r="J262" s="143" t="str">
        <f>IF('Cronog. e Histog.'!G393&gt;0,'Cronog. e Histog.'!G393,"")</f>
        <v>TEC III</v>
      </c>
      <c r="K262" s="65"/>
      <c r="L262" s="144">
        <f>'Cronog. e Histog.'!BT393</f>
        <v>0</v>
      </c>
      <c r="M262" s="144">
        <f>'Cronog. e Histog.'!BU393</f>
        <v>0</v>
      </c>
      <c r="N262" s="65"/>
      <c r="O262" s="109">
        <f>_xlfn.XLOOKUP(B262,Salários!B:B,Salários!K:K)</f>
        <v>6360</v>
      </c>
      <c r="P262" s="109">
        <f t="shared" si="290"/>
        <v>0</v>
      </c>
      <c r="Q262" s="109">
        <f t="shared" si="291"/>
        <v>0</v>
      </c>
      <c r="R262" s="65"/>
      <c r="S262" s="109">
        <f t="shared" si="292"/>
        <v>6360</v>
      </c>
      <c r="T262" s="201" t="str">
        <f>IF(_xlfn.XLOOKUP(B262,Salários!B:B,Salários!I:I)&gt;0,_xlfn.XLOOKUP(B262,Salários!B:B,Salários!I:I),"")</f>
        <v>Mensalista</v>
      </c>
      <c r="U262" s="117">
        <f t="shared" si="279"/>
        <v>0</v>
      </c>
      <c r="V262" s="65"/>
      <c r="W262" s="202"/>
      <c r="X262" s="65"/>
      <c r="Y262" s="69"/>
      <c r="Z262" s="65"/>
      <c r="AA262" s="518"/>
      <c r="AB262" s="65"/>
      <c r="AC262" s="81">
        <f t="shared" si="280"/>
        <v>0</v>
      </c>
      <c r="AD262" s="65"/>
      <c r="AE262" s="112"/>
      <c r="AF262" s="203">
        <v>0.3</v>
      </c>
      <c r="AG262" s="109">
        <f t="shared" si="44"/>
        <v>6360</v>
      </c>
      <c r="AH262" s="84">
        <f t="shared" si="281"/>
        <v>0</v>
      </c>
      <c r="AI262" s="65"/>
      <c r="AJ262" s="112"/>
      <c r="AK262" s="122"/>
      <c r="AL262" s="109">
        <v>1212</v>
      </c>
      <c r="AM262" s="84">
        <f t="shared" si="282"/>
        <v>0</v>
      </c>
      <c r="AN262" s="65"/>
      <c r="AO262" s="112"/>
      <c r="AP262" s="204"/>
      <c r="AQ262" s="109">
        <f>IFERROR((O262+AH262+AM262)/Dashboard!$D$15,0)*0.2</f>
        <v>6.5702479338842963</v>
      </c>
      <c r="AR262" s="84">
        <f t="shared" si="283"/>
        <v>0</v>
      </c>
      <c r="AS262" s="65"/>
      <c r="AT262" s="112"/>
      <c r="AU262" s="203">
        <v>0.33</v>
      </c>
      <c r="AV262" s="109">
        <f t="shared" si="284"/>
        <v>6360</v>
      </c>
      <c r="AW262" s="84">
        <f t="shared" si="285"/>
        <v>0</v>
      </c>
      <c r="AX262" s="65"/>
      <c r="AY262" s="112"/>
      <c r="AZ262" s="203">
        <v>0.25</v>
      </c>
      <c r="BA262" s="109">
        <f t="shared" si="50"/>
        <v>6360</v>
      </c>
      <c r="BB262" s="84">
        <f t="shared" si="286"/>
        <v>0</v>
      </c>
      <c r="BC262" s="65"/>
      <c r="BD262" s="112"/>
      <c r="BE262" s="203">
        <v>0.26</v>
      </c>
      <c r="BF262" s="109">
        <f t="shared" si="287"/>
        <v>6360</v>
      </c>
      <c r="BG262" s="84">
        <f t="shared" si="288"/>
        <v>0</v>
      </c>
      <c r="BH262" s="197"/>
      <c r="BI262" s="518"/>
      <c r="BJ262" s="65"/>
      <c r="BK262" s="81">
        <f t="shared" si="289"/>
        <v>0</v>
      </c>
      <c r="BL262" s="65"/>
      <c r="BM262" s="204"/>
      <c r="BN262" s="156">
        <f>IF(B262&lt;&gt;"",_xlfn.XLOOKUP(B262,'Cronog. e Histog.'!B:B,'Cronog. e Histog.'!EK:EK),0)</f>
        <v>0</v>
      </c>
      <c r="BO262" s="109">
        <f>($O262/Dashboard!$D$15)*(1+Dashboard!$D$19)</f>
        <v>49.276859504132219</v>
      </c>
      <c r="BP262" s="84">
        <f t="shared" si="304"/>
        <v>0</v>
      </c>
      <c r="BQ262" s="65"/>
      <c r="BR262" s="204"/>
      <c r="BS262" s="156">
        <f>IF(B262&lt;&gt;"",_xlfn.XLOOKUP(B262,'Cronog. e Histog.'!B:B,'Cronog. e Histog.'!EL:EL),0)</f>
        <v>0</v>
      </c>
      <c r="BT262" s="109">
        <f>($O262/Dashboard!$D$15)*(1+Dashboard!$D$20)</f>
        <v>57.489669421487591</v>
      </c>
      <c r="BU262" s="84">
        <f t="shared" si="305"/>
        <v>0</v>
      </c>
      <c r="BV262" s="65"/>
      <c r="BW262" s="204"/>
      <c r="BX262" s="156">
        <f>IF(B262&lt;&gt;"",_xlfn.XLOOKUP(B262,'Cronog. e Histog.'!B:B,'Cronog. e Histog.'!EM:EM),0)</f>
        <v>0</v>
      </c>
      <c r="BY262" s="109">
        <f>($O262/Dashboard!$D$15)*(1+Dashboard!$D$21)</f>
        <v>65.702479338842963</v>
      </c>
      <c r="BZ262" s="84">
        <f t="shared" si="306"/>
        <v>0</v>
      </c>
    </row>
    <row r="263" spans="2:78" ht="12" customHeight="1" outlineLevel="1">
      <c r="B263" s="137" t="str">
        <f>'Cronog. e Histog.'!B394</f>
        <v>TEC II - Equipe_01</v>
      </c>
      <c r="C263" s="65"/>
      <c r="D263" s="200">
        <f t="shared" si="272"/>
        <v>0</v>
      </c>
      <c r="E263" s="200">
        <f t="shared" si="273"/>
        <v>0</v>
      </c>
      <c r="F263" s="65"/>
      <c r="G263" s="200">
        <f t="shared" si="274"/>
        <v>0</v>
      </c>
      <c r="H263" s="200">
        <f t="shared" si="275"/>
        <v>0</v>
      </c>
      <c r="I263" s="65"/>
      <c r="J263" s="143" t="str">
        <f>IF('Cronog. e Histog.'!G394&gt;0,'Cronog. e Histog.'!G394,"")</f>
        <v>TEC II</v>
      </c>
      <c r="K263" s="65"/>
      <c r="L263" s="144">
        <f>'Cronog. e Histog.'!BT394</f>
        <v>0</v>
      </c>
      <c r="M263" s="144">
        <f>'Cronog. e Histog.'!BU394</f>
        <v>0</v>
      </c>
      <c r="N263" s="65"/>
      <c r="O263" s="109">
        <f>_xlfn.XLOOKUP(B263,Salários!B:B,Salários!K:K)</f>
        <v>4770</v>
      </c>
      <c r="P263" s="109">
        <f t="shared" si="290"/>
        <v>0</v>
      </c>
      <c r="Q263" s="109">
        <f t="shared" si="291"/>
        <v>0</v>
      </c>
      <c r="R263" s="65"/>
      <c r="S263" s="109">
        <f t="shared" si="292"/>
        <v>4770</v>
      </c>
      <c r="T263" s="201" t="str">
        <f>IF(_xlfn.XLOOKUP(B263,Salários!B:B,Salários!I:I)&gt;0,_xlfn.XLOOKUP(B263,Salários!B:B,Salários!I:I),"")</f>
        <v>Mensalista</v>
      </c>
      <c r="U263" s="117">
        <f t="shared" si="279"/>
        <v>0</v>
      </c>
      <c r="V263" s="65"/>
      <c r="W263" s="202"/>
      <c r="X263" s="65"/>
      <c r="Y263" s="69"/>
      <c r="Z263" s="65"/>
      <c r="AA263" s="518"/>
      <c r="AB263" s="65"/>
      <c r="AC263" s="81">
        <f t="shared" si="280"/>
        <v>0</v>
      </c>
      <c r="AD263" s="65"/>
      <c r="AE263" s="112"/>
      <c r="AF263" s="203">
        <v>0.3</v>
      </c>
      <c r="AG263" s="109">
        <f t="shared" si="44"/>
        <v>4770</v>
      </c>
      <c r="AH263" s="84">
        <f t="shared" si="281"/>
        <v>0</v>
      </c>
      <c r="AI263" s="65"/>
      <c r="AJ263" s="112"/>
      <c r="AK263" s="122"/>
      <c r="AL263" s="109">
        <v>1212</v>
      </c>
      <c r="AM263" s="84">
        <f t="shared" si="282"/>
        <v>0</v>
      </c>
      <c r="AN263" s="65"/>
      <c r="AO263" s="112"/>
      <c r="AP263" s="204"/>
      <c r="AQ263" s="109">
        <f>IFERROR((O263+AH263+AM263)/Dashboard!$D$15,0)*0.2</f>
        <v>4.9276859504132231</v>
      </c>
      <c r="AR263" s="84">
        <f t="shared" si="283"/>
        <v>0</v>
      </c>
      <c r="AS263" s="65"/>
      <c r="AT263" s="112"/>
      <c r="AU263" s="203">
        <v>0.33</v>
      </c>
      <c r="AV263" s="109">
        <f t="shared" si="284"/>
        <v>4770</v>
      </c>
      <c r="AW263" s="84">
        <f t="shared" si="285"/>
        <v>0</v>
      </c>
      <c r="AX263" s="65"/>
      <c r="AY263" s="112"/>
      <c r="AZ263" s="203">
        <v>0.25</v>
      </c>
      <c r="BA263" s="109">
        <f t="shared" si="50"/>
        <v>4770</v>
      </c>
      <c r="BB263" s="84">
        <f t="shared" si="286"/>
        <v>0</v>
      </c>
      <c r="BC263" s="65"/>
      <c r="BD263" s="112"/>
      <c r="BE263" s="203">
        <v>0.26</v>
      </c>
      <c r="BF263" s="109">
        <f t="shared" si="287"/>
        <v>4770</v>
      </c>
      <c r="BG263" s="84">
        <f t="shared" si="288"/>
        <v>0</v>
      </c>
      <c r="BH263" s="197"/>
      <c r="BI263" s="518"/>
      <c r="BJ263" s="65"/>
      <c r="BK263" s="81">
        <f t="shared" si="289"/>
        <v>0</v>
      </c>
      <c r="BL263" s="65"/>
      <c r="BM263" s="204"/>
      <c r="BN263" s="156">
        <f>IF(B263&lt;&gt;"",_xlfn.XLOOKUP(B263,'Cronog. e Histog.'!B:B,'Cronog. e Histog.'!EK:EK),0)</f>
        <v>0</v>
      </c>
      <c r="BO263" s="109">
        <f>($O263/Dashboard!$D$15)*(1+Dashboard!$D$19)</f>
        <v>36.957644628099168</v>
      </c>
      <c r="BP263" s="84">
        <f t="shared" si="304"/>
        <v>0</v>
      </c>
      <c r="BQ263" s="65"/>
      <c r="BR263" s="204"/>
      <c r="BS263" s="156">
        <f>IF(B263&lt;&gt;"",_xlfn.XLOOKUP(B263,'Cronog. e Histog.'!B:B,'Cronog. e Histog.'!EL:EL),0)</f>
        <v>0</v>
      </c>
      <c r="BT263" s="109">
        <f>($O263/Dashboard!$D$15)*(1+Dashboard!$D$20)</f>
        <v>43.117252066115697</v>
      </c>
      <c r="BU263" s="84">
        <f t="shared" si="305"/>
        <v>0</v>
      </c>
      <c r="BV263" s="65"/>
      <c r="BW263" s="204"/>
      <c r="BX263" s="156">
        <f>IF(B263&lt;&gt;"",_xlfn.XLOOKUP(B263,'Cronog. e Histog.'!B:B,'Cronog. e Histog.'!EM:EM),0)</f>
        <v>0</v>
      </c>
      <c r="BY263" s="109">
        <f>($O263/Dashboard!$D$15)*(1+Dashboard!$D$21)</f>
        <v>49.276859504132226</v>
      </c>
      <c r="BZ263" s="84">
        <f t="shared" si="306"/>
        <v>0</v>
      </c>
    </row>
    <row r="264" spans="2:78" ht="12" customHeight="1" outlineLevel="1">
      <c r="B264" s="137" t="str">
        <f>'Cronog. e Histog.'!B395</f>
        <v>TEC I - Equipe_01</v>
      </c>
      <c r="C264" s="65"/>
      <c r="D264" s="200">
        <f t="shared" si="272"/>
        <v>0</v>
      </c>
      <c r="E264" s="200">
        <f t="shared" si="273"/>
        <v>0</v>
      </c>
      <c r="F264" s="65"/>
      <c r="G264" s="200">
        <f t="shared" si="274"/>
        <v>0</v>
      </c>
      <c r="H264" s="200">
        <f t="shared" si="275"/>
        <v>0</v>
      </c>
      <c r="I264" s="65"/>
      <c r="J264" s="143" t="str">
        <f>IF('Cronog. e Histog.'!G395&gt;0,'Cronog. e Histog.'!G395,"")</f>
        <v>TEC I</v>
      </c>
      <c r="K264" s="65"/>
      <c r="L264" s="144">
        <f>'Cronog. e Histog.'!BT395</f>
        <v>0</v>
      </c>
      <c r="M264" s="144">
        <f>'Cronog. e Histog.'!BU395</f>
        <v>0</v>
      </c>
      <c r="N264" s="65"/>
      <c r="O264" s="109">
        <f>_xlfn.XLOOKUP(B264,Salários!B:B,Salários!K:K)</f>
        <v>3180</v>
      </c>
      <c r="P264" s="109">
        <f t="shared" si="290"/>
        <v>0</v>
      </c>
      <c r="Q264" s="109">
        <f t="shared" si="291"/>
        <v>0</v>
      </c>
      <c r="R264" s="65"/>
      <c r="S264" s="109">
        <f t="shared" si="292"/>
        <v>3180</v>
      </c>
      <c r="T264" s="201" t="str">
        <f>IF(_xlfn.XLOOKUP(B264,Salários!B:B,Salários!I:I)&gt;0,_xlfn.XLOOKUP(B264,Salários!B:B,Salários!I:I),"")</f>
        <v>Mensalista</v>
      </c>
      <c r="U264" s="117">
        <f t="shared" si="279"/>
        <v>0</v>
      </c>
      <c r="V264" s="65"/>
      <c r="W264" s="202"/>
      <c r="X264" s="65"/>
      <c r="Y264" s="69"/>
      <c r="Z264" s="65"/>
      <c r="AA264" s="518"/>
      <c r="AB264" s="65"/>
      <c r="AC264" s="81">
        <f t="shared" si="280"/>
        <v>0</v>
      </c>
      <c r="AD264" s="65"/>
      <c r="AE264" s="112"/>
      <c r="AF264" s="203">
        <v>0.3</v>
      </c>
      <c r="AG264" s="109">
        <f t="shared" si="44"/>
        <v>3180</v>
      </c>
      <c r="AH264" s="84">
        <f t="shared" si="281"/>
        <v>0</v>
      </c>
      <c r="AI264" s="65"/>
      <c r="AJ264" s="112"/>
      <c r="AK264" s="122"/>
      <c r="AL264" s="109">
        <v>1212</v>
      </c>
      <c r="AM264" s="84">
        <f t="shared" si="282"/>
        <v>0</v>
      </c>
      <c r="AN264" s="65"/>
      <c r="AO264" s="112"/>
      <c r="AP264" s="204"/>
      <c r="AQ264" s="109">
        <f>IFERROR((O264+AH264+AM264)/Dashboard!$D$15,0)*0.2</f>
        <v>3.2851239669421481</v>
      </c>
      <c r="AR264" s="84">
        <f t="shared" si="283"/>
        <v>0</v>
      </c>
      <c r="AS264" s="65"/>
      <c r="AT264" s="112"/>
      <c r="AU264" s="203">
        <v>0.33</v>
      </c>
      <c r="AV264" s="109">
        <f t="shared" si="284"/>
        <v>3180</v>
      </c>
      <c r="AW264" s="84">
        <f t="shared" si="285"/>
        <v>0</v>
      </c>
      <c r="AX264" s="65"/>
      <c r="AY264" s="112"/>
      <c r="AZ264" s="203">
        <v>0.25</v>
      </c>
      <c r="BA264" s="109">
        <f t="shared" si="50"/>
        <v>3180</v>
      </c>
      <c r="BB264" s="84">
        <f t="shared" si="286"/>
        <v>0</v>
      </c>
      <c r="BC264" s="65"/>
      <c r="BD264" s="112"/>
      <c r="BE264" s="203">
        <v>0.26</v>
      </c>
      <c r="BF264" s="109">
        <f t="shared" si="287"/>
        <v>3180</v>
      </c>
      <c r="BG264" s="84">
        <f t="shared" si="288"/>
        <v>0</v>
      </c>
      <c r="BH264" s="197"/>
      <c r="BI264" s="518"/>
      <c r="BJ264" s="65"/>
      <c r="BK264" s="81">
        <f t="shared" si="289"/>
        <v>0</v>
      </c>
      <c r="BL264" s="65"/>
      <c r="BM264" s="204"/>
      <c r="BN264" s="156">
        <f>IF(B264&lt;&gt;"",_xlfn.XLOOKUP(B264,'Cronog. e Histog.'!B:B,'Cronog. e Histog.'!EK:EK),0)</f>
        <v>0</v>
      </c>
      <c r="BO264" s="109">
        <f>($O264/Dashboard!$D$15)*(1+Dashboard!$D$19)</f>
        <v>24.638429752066109</v>
      </c>
      <c r="BP264" s="84">
        <f t="shared" si="304"/>
        <v>0</v>
      </c>
      <c r="BQ264" s="65"/>
      <c r="BR264" s="204"/>
      <c r="BS264" s="156">
        <f>IF(B264&lt;&gt;"",_xlfn.XLOOKUP(B264,'Cronog. e Histog.'!B:B,'Cronog. e Histog.'!EL:EL),0)</f>
        <v>0</v>
      </c>
      <c r="BT264" s="109">
        <f>($O264/Dashboard!$D$15)*(1+Dashboard!$D$20)</f>
        <v>28.744834710743795</v>
      </c>
      <c r="BU264" s="84">
        <f t="shared" si="305"/>
        <v>0</v>
      </c>
      <c r="BV264" s="65"/>
      <c r="BW264" s="204"/>
      <c r="BX264" s="156">
        <f>IF(B264&lt;&gt;"",_xlfn.XLOOKUP(B264,'Cronog. e Histog.'!B:B,'Cronog. e Histog.'!EM:EM),0)</f>
        <v>0</v>
      </c>
      <c r="BY264" s="109">
        <f>($O264/Dashboard!$D$15)*(1+Dashboard!$D$21)</f>
        <v>32.851239669421481</v>
      </c>
      <c r="BZ264" s="84">
        <f t="shared" si="306"/>
        <v>0</v>
      </c>
    </row>
    <row r="265" spans="2:78" ht="12" customHeight="1" outlineLevel="1">
      <c r="B265" s="137" t="str">
        <f>'Cronog. e Histog.'!B396</f>
        <v>AUX TEC - Equipe_01</v>
      </c>
      <c r="C265" s="65"/>
      <c r="D265" s="200">
        <f t="shared" si="272"/>
        <v>0</v>
      </c>
      <c r="E265" s="200">
        <f t="shared" si="273"/>
        <v>0</v>
      </c>
      <c r="F265" s="65"/>
      <c r="G265" s="200">
        <f t="shared" si="274"/>
        <v>0</v>
      </c>
      <c r="H265" s="200">
        <f t="shared" si="275"/>
        <v>0</v>
      </c>
      <c r="I265" s="65"/>
      <c r="J265" s="143" t="str">
        <f>IF('Cronog. e Histog.'!G396&gt;0,'Cronog. e Histog.'!G396,"")</f>
        <v>AUX TEC</v>
      </c>
      <c r="K265" s="65"/>
      <c r="L265" s="144">
        <f>'Cronog. e Histog.'!BT396</f>
        <v>0</v>
      </c>
      <c r="M265" s="144">
        <f>'Cronog. e Histog.'!BU396</f>
        <v>0</v>
      </c>
      <c r="N265" s="65"/>
      <c r="O265" s="109">
        <f>_xlfn.XLOOKUP(B265,Salários!B:B,Salários!K:K)</f>
        <v>3710</v>
      </c>
      <c r="P265" s="109">
        <f t="shared" si="290"/>
        <v>0</v>
      </c>
      <c r="Q265" s="109">
        <f t="shared" si="291"/>
        <v>0</v>
      </c>
      <c r="R265" s="65"/>
      <c r="S265" s="109">
        <f t="shared" si="292"/>
        <v>3710</v>
      </c>
      <c r="T265" s="201" t="str">
        <f>IF(_xlfn.XLOOKUP(B265,Salários!B:B,Salários!I:I)&gt;0,_xlfn.XLOOKUP(B265,Salários!B:B,Salários!I:I),"")</f>
        <v>Mensalista</v>
      </c>
      <c r="U265" s="117">
        <f t="shared" si="279"/>
        <v>0</v>
      </c>
      <c r="V265" s="65"/>
      <c r="W265" s="202"/>
      <c r="X265" s="65"/>
      <c r="Y265" s="69"/>
      <c r="Z265" s="65"/>
      <c r="AA265" s="518"/>
      <c r="AB265" s="65"/>
      <c r="AC265" s="81">
        <f t="shared" si="280"/>
        <v>0</v>
      </c>
      <c r="AD265" s="65"/>
      <c r="AE265" s="112"/>
      <c r="AF265" s="203">
        <v>0.3</v>
      </c>
      <c r="AG265" s="109">
        <f t="shared" si="44"/>
        <v>3710</v>
      </c>
      <c r="AH265" s="84">
        <f t="shared" si="281"/>
        <v>0</v>
      </c>
      <c r="AI265" s="65"/>
      <c r="AJ265" s="112"/>
      <c r="AK265" s="122"/>
      <c r="AL265" s="109">
        <v>1212</v>
      </c>
      <c r="AM265" s="84">
        <f t="shared" si="282"/>
        <v>0</v>
      </c>
      <c r="AN265" s="65"/>
      <c r="AO265" s="112"/>
      <c r="AP265" s="204"/>
      <c r="AQ265" s="109">
        <f>IFERROR((O265+AH265+AM265)/Dashboard!$D$15,0)*0.2</f>
        <v>3.8326446280991733</v>
      </c>
      <c r="AR265" s="84">
        <f t="shared" si="283"/>
        <v>0</v>
      </c>
      <c r="AS265" s="65"/>
      <c r="AT265" s="112"/>
      <c r="AU265" s="203">
        <v>0.33</v>
      </c>
      <c r="AV265" s="109">
        <f t="shared" si="284"/>
        <v>3710</v>
      </c>
      <c r="AW265" s="84">
        <f t="shared" si="285"/>
        <v>0</v>
      </c>
      <c r="AX265" s="65"/>
      <c r="AY265" s="112"/>
      <c r="AZ265" s="203">
        <v>0.25</v>
      </c>
      <c r="BA265" s="109">
        <f t="shared" si="50"/>
        <v>3710</v>
      </c>
      <c r="BB265" s="84">
        <f t="shared" si="286"/>
        <v>0</v>
      </c>
      <c r="BC265" s="65"/>
      <c r="BD265" s="112"/>
      <c r="BE265" s="203">
        <v>0.26</v>
      </c>
      <c r="BF265" s="109">
        <f t="shared" si="287"/>
        <v>3710</v>
      </c>
      <c r="BG265" s="84">
        <f t="shared" si="288"/>
        <v>0</v>
      </c>
      <c r="BH265" s="197"/>
      <c r="BI265" s="518"/>
      <c r="BJ265" s="65"/>
      <c r="BK265" s="81">
        <f t="shared" si="289"/>
        <v>0</v>
      </c>
      <c r="BL265" s="65"/>
      <c r="BM265" s="204"/>
      <c r="BN265" s="156">
        <f>IF(B265&lt;&gt;"",_xlfn.XLOOKUP(B265,'Cronog. e Histog.'!B:B,'Cronog. e Histog.'!EK:EK),0)</f>
        <v>0</v>
      </c>
      <c r="BO265" s="109">
        <f>($O265/Dashboard!$D$15)*(1+Dashboard!$D$19)</f>
        <v>28.744834710743799</v>
      </c>
      <c r="BP265" s="84">
        <f t="shared" si="304"/>
        <v>0</v>
      </c>
      <c r="BQ265" s="65"/>
      <c r="BR265" s="204"/>
      <c r="BS265" s="156">
        <f>IF(B265&lt;&gt;"",_xlfn.XLOOKUP(B265,'Cronog. e Histog.'!B:B,'Cronog. e Histog.'!EL:EL),0)</f>
        <v>0</v>
      </c>
      <c r="BT265" s="109">
        <f>($O265/Dashboard!$D$15)*(1+Dashboard!$D$20)</f>
        <v>33.535640495867767</v>
      </c>
      <c r="BU265" s="84">
        <f t="shared" si="305"/>
        <v>0</v>
      </c>
      <c r="BV265" s="65"/>
      <c r="BW265" s="204"/>
      <c r="BX265" s="156">
        <f>IF(B265&lt;&gt;"",_xlfn.XLOOKUP(B265,'Cronog. e Histog.'!B:B,'Cronog. e Histog.'!EM:EM),0)</f>
        <v>0</v>
      </c>
      <c r="BY265" s="109">
        <f>($O265/Dashboard!$D$15)*(1+Dashboard!$D$21)</f>
        <v>38.326446280991732</v>
      </c>
      <c r="BZ265" s="84">
        <f t="shared" si="306"/>
        <v>0</v>
      </c>
    </row>
    <row r="266" spans="2:78" ht="12" customHeight="1" outlineLevel="1">
      <c r="B266" s="137" t="str">
        <f>'Cronog. e Histog.'!B397</f>
        <v>AUX ADM - Equipe_01</v>
      </c>
      <c r="C266" s="65"/>
      <c r="D266" s="200">
        <f t="shared" si="272"/>
        <v>0</v>
      </c>
      <c r="E266" s="200">
        <f t="shared" si="273"/>
        <v>0</v>
      </c>
      <c r="F266" s="65"/>
      <c r="G266" s="200">
        <f t="shared" si="274"/>
        <v>0</v>
      </c>
      <c r="H266" s="200">
        <f t="shared" si="275"/>
        <v>0</v>
      </c>
      <c r="I266" s="65"/>
      <c r="J266" s="143" t="str">
        <f>IF('Cronog. e Histog.'!G397&gt;0,'Cronog. e Histog.'!G397,"")</f>
        <v>AUX ADM</v>
      </c>
      <c r="K266" s="65"/>
      <c r="L266" s="144">
        <f>'Cronog. e Histog.'!BT397</f>
        <v>0</v>
      </c>
      <c r="M266" s="144">
        <f>'Cronog. e Histog.'!BU397</f>
        <v>0</v>
      </c>
      <c r="N266" s="65"/>
      <c r="O266" s="109">
        <f>_xlfn.XLOOKUP(B266,Salários!B:B,Salários!K:K)</f>
        <v>1912.24</v>
      </c>
      <c r="P266" s="109">
        <f t="shared" si="290"/>
        <v>0</v>
      </c>
      <c r="Q266" s="109">
        <f t="shared" si="291"/>
        <v>0</v>
      </c>
      <c r="R266" s="65"/>
      <c r="S266" s="109">
        <f t="shared" si="292"/>
        <v>1912.24</v>
      </c>
      <c r="T266" s="201" t="str">
        <f>IF(_xlfn.XLOOKUP(B266,Salários!B:B,Salários!I:I)&gt;0,_xlfn.XLOOKUP(B266,Salários!B:B,Salários!I:I),"")</f>
        <v>Mensalista</v>
      </c>
      <c r="U266" s="117">
        <f t="shared" si="279"/>
        <v>0</v>
      </c>
      <c r="V266" s="65"/>
      <c r="W266" s="202"/>
      <c r="X266" s="65"/>
      <c r="Y266" s="69"/>
      <c r="Z266" s="65"/>
      <c r="AA266" s="518"/>
      <c r="AB266" s="65"/>
      <c r="AC266" s="81">
        <f t="shared" si="280"/>
        <v>0</v>
      </c>
      <c r="AD266" s="65"/>
      <c r="AE266" s="112"/>
      <c r="AF266" s="203">
        <v>0.3</v>
      </c>
      <c r="AG266" s="109">
        <f t="shared" si="44"/>
        <v>1912.24</v>
      </c>
      <c r="AH266" s="84">
        <f t="shared" si="281"/>
        <v>0</v>
      </c>
      <c r="AI266" s="65"/>
      <c r="AJ266" s="112"/>
      <c r="AK266" s="122"/>
      <c r="AL266" s="109">
        <v>1212</v>
      </c>
      <c r="AM266" s="84">
        <f t="shared" si="282"/>
        <v>0</v>
      </c>
      <c r="AN266" s="65"/>
      <c r="AO266" s="112"/>
      <c r="AP266" s="204"/>
      <c r="AQ266" s="109">
        <f>IFERROR((O266+AH266+AM266)/Dashboard!$D$15,0)*0.2</f>
        <v>1.9754545454545456</v>
      </c>
      <c r="AR266" s="84">
        <f t="shared" si="283"/>
        <v>0</v>
      </c>
      <c r="AS266" s="65"/>
      <c r="AT266" s="112"/>
      <c r="AU266" s="203">
        <v>0.33</v>
      </c>
      <c r="AV266" s="109">
        <f t="shared" si="284"/>
        <v>1912.24</v>
      </c>
      <c r="AW266" s="84">
        <f t="shared" si="285"/>
        <v>0</v>
      </c>
      <c r="AX266" s="65"/>
      <c r="AY266" s="112"/>
      <c r="AZ266" s="203">
        <v>0.25</v>
      </c>
      <c r="BA266" s="109">
        <f t="shared" si="50"/>
        <v>1912.24</v>
      </c>
      <c r="BB266" s="84">
        <f t="shared" si="286"/>
        <v>0</v>
      </c>
      <c r="BC266" s="65"/>
      <c r="BD266" s="112"/>
      <c r="BE266" s="203">
        <v>0.26</v>
      </c>
      <c r="BF266" s="109">
        <f t="shared" si="287"/>
        <v>1912.24</v>
      </c>
      <c r="BG266" s="84">
        <f t="shared" si="288"/>
        <v>0</v>
      </c>
      <c r="BH266" s="197"/>
      <c r="BI266" s="518"/>
      <c r="BJ266" s="65"/>
      <c r="BK266" s="81">
        <f t="shared" si="289"/>
        <v>0</v>
      </c>
      <c r="BL266" s="65"/>
      <c r="BM266" s="204"/>
      <c r="BN266" s="156">
        <f>IF(B266&lt;&gt;"",_xlfn.XLOOKUP(B266,'Cronog. e Histog.'!B:B,'Cronog. e Histog.'!EK:EK),0)</f>
        <v>0</v>
      </c>
      <c r="BO266" s="109">
        <f>($O266/Dashboard!$D$15)*(1+Dashboard!$D$19)</f>
        <v>14.815909090909091</v>
      </c>
      <c r="BP266" s="84">
        <f t="shared" si="304"/>
        <v>0</v>
      </c>
      <c r="BQ266" s="65"/>
      <c r="BR266" s="204"/>
      <c r="BS266" s="156">
        <f>IF(B266&lt;&gt;"",_xlfn.XLOOKUP(B266,'Cronog. e Histog.'!B:B,'Cronog. e Histog.'!EL:EL),0)</f>
        <v>0</v>
      </c>
      <c r="BT266" s="109">
        <f>($O266/Dashboard!$D$15)*(1+Dashboard!$D$20)</f>
        <v>17.285227272727273</v>
      </c>
      <c r="BU266" s="84">
        <f t="shared" si="305"/>
        <v>0</v>
      </c>
      <c r="BV266" s="65"/>
      <c r="BW266" s="204"/>
      <c r="BX266" s="156">
        <f>IF(B266&lt;&gt;"",_xlfn.XLOOKUP(B266,'Cronog. e Histog.'!B:B,'Cronog. e Histog.'!EM:EM),0)</f>
        <v>0</v>
      </c>
      <c r="BY266" s="109">
        <f>($O266/Dashboard!$D$15)*(1+Dashboard!$D$21)</f>
        <v>19.754545454545454</v>
      </c>
      <c r="BZ266" s="84">
        <f t="shared" si="306"/>
        <v>0</v>
      </c>
    </row>
    <row r="267" spans="2:78" ht="12" customHeight="1" outlineLevel="1">
      <c r="B267" s="137" t="str">
        <f>'Cronog. e Histog.'!B398</f>
        <v>EST - Equipe_01</v>
      </c>
      <c r="C267" s="65"/>
      <c r="D267" s="200">
        <f t="shared" si="272"/>
        <v>0</v>
      </c>
      <c r="E267" s="200">
        <f t="shared" si="273"/>
        <v>0</v>
      </c>
      <c r="F267" s="65"/>
      <c r="G267" s="200">
        <f t="shared" si="274"/>
        <v>0</v>
      </c>
      <c r="H267" s="200">
        <f t="shared" si="275"/>
        <v>0</v>
      </c>
      <c r="I267" s="65"/>
      <c r="J267" s="143" t="str">
        <f>IF('Cronog. e Histog.'!G398&gt;0,'Cronog. e Histog.'!G398,"")</f>
        <v>EST</v>
      </c>
      <c r="K267" s="65"/>
      <c r="L267" s="144">
        <f>'Cronog. e Histog.'!BT398</f>
        <v>0</v>
      </c>
      <c r="M267" s="144">
        <f>'Cronog. e Histog.'!BU398</f>
        <v>0</v>
      </c>
      <c r="N267" s="65"/>
      <c r="O267" s="109">
        <f>_xlfn.XLOOKUP(B267,Salários!B:B,Salários!K:K)</f>
        <v>1633</v>
      </c>
      <c r="P267" s="109">
        <f t="shared" si="290"/>
        <v>0</v>
      </c>
      <c r="Q267" s="109">
        <f t="shared" si="291"/>
        <v>0</v>
      </c>
      <c r="R267" s="65"/>
      <c r="S267" s="109">
        <f t="shared" si="292"/>
        <v>1633</v>
      </c>
      <c r="T267" s="201" t="str">
        <f>IF(_xlfn.XLOOKUP(B267,Salários!B:B,Salários!I:I)&gt;0,_xlfn.XLOOKUP(B267,Salários!B:B,Salários!I:I),"")</f>
        <v>PJ</v>
      </c>
      <c r="U267" s="117">
        <f t="shared" si="279"/>
        <v>0</v>
      </c>
      <c r="V267" s="65"/>
      <c r="W267" s="202"/>
      <c r="X267" s="65"/>
      <c r="Y267" s="69"/>
      <c r="Z267" s="65"/>
      <c r="AA267" s="518"/>
      <c r="AB267" s="65"/>
      <c r="AC267" s="81">
        <f t="shared" si="280"/>
        <v>0</v>
      </c>
      <c r="AD267" s="65"/>
      <c r="AE267" s="112"/>
      <c r="AF267" s="203">
        <v>0.3</v>
      </c>
      <c r="AG267" s="109">
        <f t="shared" si="44"/>
        <v>1633</v>
      </c>
      <c r="AH267" s="84">
        <f t="shared" si="281"/>
        <v>0</v>
      </c>
      <c r="AI267" s="65"/>
      <c r="AJ267" s="112"/>
      <c r="AK267" s="122"/>
      <c r="AL267" s="109">
        <v>1212</v>
      </c>
      <c r="AM267" s="84">
        <f t="shared" si="282"/>
        <v>0</v>
      </c>
      <c r="AN267" s="65"/>
      <c r="AO267" s="112"/>
      <c r="AP267" s="204"/>
      <c r="AQ267" s="109">
        <f>IFERROR((O267+AH267+AM267)/Dashboard!$D$15,0)*0.2</f>
        <v>1.6869834710743801</v>
      </c>
      <c r="AR267" s="84">
        <f t="shared" si="283"/>
        <v>0</v>
      </c>
      <c r="AS267" s="65"/>
      <c r="AT267" s="112"/>
      <c r="AU267" s="203">
        <v>0.33</v>
      </c>
      <c r="AV267" s="109">
        <f t="shared" si="284"/>
        <v>1633</v>
      </c>
      <c r="AW267" s="84">
        <f t="shared" si="285"/>
        <v>0</v>
      </c>
      <c r="AX267" s="65"/>
      <c r="AY267" s="112"/>
      <c r="AZ267" s="203">
        <v>0.25</v>
      </c>
      <c r="BA267" s="109">
        <f t="shared" si="50"/>
        <v>1633</v>
      </c>
      <c r="BB267" s="84">
        <f t="shared" si="286"/>
        <v>0</v>
      </c>
      <c r="BC267" s="65"/>
      <c r="BD267" s="112"/>
      <c r="BE267" s="203">
        <v>0.26</v>
      </c>
      <c r="BF267" s="109">
        <f t="shared" si="287"/>
        <v>1633</v>
      </c>
      <c r="BG267" s="84">
        <f t="shared" si="288"/>
        <v>0</v>
      </c>
      <c r="BH267" s="197"/>
      <c r="BI267" s="518"/>
      <c r="BJ267" s="65"/>
      <c r="BK267" s="81">
        <f t="shared" si="289"/>
        <v>0</v>
      </c>
      <c r="BL267" s="65"/>
      <c r="BM267" s="204"/>
      <c r="BN267" s="156">
        <f>IF(B267&lt;&gt;"",_xlfn.XLOOKUP(B267,'Cronog. e Histog.'!B:B,'Cronog. e Histog.'!EK:EK),0)</f>
        <v>0</v>
      </c>
      <c r="BO267" s="109">
        <f>($O267/Dashboard!$D$15)*(1+Dashboard!$D$19)</f>
        <v>12.652376033057848</v>
      </c>
      <c r="BP267" s="84">
        <f t="shared" si="304"/>
        <v>0</v>
      </c>
      <c r="BQ267" s="65"/>
      <c r="BR267" s="204"/>
      <c r="BS267" s="156">
        <f>IF(B267&lt;&gt;"",_xlfn.XLOOKUP(B267,'Cronog. e Histog.'!B:B,'Cronog. e Histog.'!EL:EL),0)</f>
        <v>0</v>
      </c>
      <c r="BT267" s="109">
        <f>($O267/Dashboard!$D$15)*(1+Dashboard!$D$20)</f>
        <v>14.761105371900824</v>
      </c>
      <c r="BU267" s="84">
        <f t="shared" si="305"/>
        <v>0</v>
      </c>
      <c r="BV267" s="65"/>
      <c r="BW267" s="204"/>
      <c r="BX267" s="156">
        <f>IF(B267&lt;&gt;"",_xlfn.XLOOKUP(B267,'Cronog. e Histog.'!B:B,'Cronog. e Histog.'!EM:EM),0)</f>
        <v>0</v>
      </c>
      <c r="BY267" s="109">
        <f>($O267/Dashboard!$D$15)*(1+Dashboard!$D$21)</f>
        <v>16.869834710743799</v>
      </c>
      <c r="BZ267" s="84">
        <f t="shared" si="306"/>
        <v>0</v>
      </c>
    </row>
    <row r="268" spans="2:78" ht="12" customHeight="1" outlineLevel="1">
      <c r="B268" s="137" t="str">
        <f>'Cronog. e Histog.'!B399</f>
        <v>EST_II - Equipe_01</v>
      </c>
      <c r="C268" s="65"/>
      <c r="D268" s="200">
        <f t="shared" si="272"/>
        <v>0</v>
      </c>
      <c r="E268" s="200">
        <f t="shared" si="273"/>
        <v>0</v>
      </c>
      <c r="F268" s="65"/>
      <c r="G268" s="200">
        <f t="shared" si="274"/>
        <v>0</v>
      </c>
      <c r="H268" s="200">
        <f t="shared" si="275"/>
        <v>0</v>
      </c>
      <c r="I268" s="65"/>
      <c r="J268" s="143" t="str">
        <f>IF('Cronog. e Histog.'!G399&gt;0,'Cronog. e Histog.'!G399,"")</f>
        <v>EST_II</v>
      </c>
      <c r="K268" s="65"/>
      <c r="L268" s="144">
        <f>'Cronog. e Histog.'!BT399</f>
        <v>0</v>
      </c>
      <c r="M268" s="144">
        <f>'Cronog. e Histog.'!BU399</f>
        <v>0</v>
      </c>
      <c r="N268" s="65"/>
      <c r="O268" s="109">
        <f>_xlfn.XLOOKUP(B268,Salários!B:B,Salários!K:K)</f>
        <v>1633</v>
      </c>
      <c r="P268" s="109">
        <f t="shared" si="290"/>
        <v>0</v>
      </c>
      <c r="Q268" s="109">
        <f t="shared" si="291"/>
        <v>0</v>
      </c>
      <c r="R268" s="65"/>
      <c r="S268" s="109">
        <f t="shared" si="292"/>
        <v>1633</v>
      </c>
      <c r="T268" s="201" t="str">
        <f>IF(_xlfn.XLOOKUP(B268,Salários!B:B,Salários!I:I)&gt;0,_xlfn.XLOOKUP(B268,Salários!B:B,Salários!I:I),"")</f>
        <v>PJ</v>
      </c>
      <c r="U268" s="117">
        <f t="shared" si="279"/>
        <v>0</v>
      </c>
      <c r="V268" s="65"/>
      <c r="W268" s="202"/>
      <c r="X268" s="65"/>
      <c r="Y268" s="69"/>
      <c r="Z268" s="65"/>
      <c r="AA268" s="518"/>
      <c r="AB268" s="65"/>
      <c r="AC268" s="81">
        <f t="shared" si="280"/>
        <v>0</v>
      </c>
      <c r="AD268" s="65"/>
      <c r="AE268" s="112"/>
      <c r="AF268" s="203">
        <v>0.3</v>
      </c>
      <c r="AG268" s="109">
        <f t="shared" si="44"/>
        <v>1633</v>
      </c>
      <c r="AH268" s="84">
        <f t="shared" si="281"/>
        <v>0</v>
      </c>
      <c r="AI268" s="65"/>
      <c r="AJ268" s="112"/>
      <c r="AK268" s="122"/>
      <c r="AL268" s="109">
        <v>1212</v>
      </c>
      <c r="AM268" s="84">
        <f t="shared" si="282"/>
        <v>0</v>
      </c>
      <c r="AN268" s="65"/>
      <c r="AO268" s="112"/>
      <c r="AP268" s="204"/>
      <c r="AQ268" s="109">
        <f>IFERROR((O268+AH268+AM268)/Dashboard!$D$15,0)*0.2</f>
        <v>1.6869834710743801</v>
      </c>
      <c r="AR268" s="84">
        <f t="shared" si="283"/>
        <v>0</v>
      </c>
      <c r="AS268" s="65"/>
      <c r="AT268" s="112"/>
      <c r="AU268" s="203">
        <v>0.33</v>
      </c>
      <c r="AV268" s="109">
        <f t="shared" si="284"/>
        <v>1633</v>
      </c>
      <c r="AW268" s="84">
        <f t="shared" si="285"/>
        <v>0</v>
      </c>
      <c r="AX268" s="65"/>
      <c r="AY268" s="112"/>
      <c r="AZ268" s="203">
        <v>0.25</v>
      </c>
      <c r="BA268" s="109">
        <f t="shared" si="50"/>
        <v>1633</v>
      </c>
      <c r="BB268" s="84">
        <f t="shared" si="286"/>
        <v>0</v>
      </c>
      <c r="BC268" s="65"/>
      <c r="BD268" s="112"/>
      <c r="BE268" s="203">
        <v>0.26</v>
      </c>
      <c r="BF268" s="109">
        <f t="shared" si="287"/>
        <v>1633</v>
      </c>
      <c r="BG268" s="84">
        <f t="shared" si="288"/>
        <v>0</v>
      </c>
      <c r="BH268" s="197"/>
      <c r="BI268" s="518"/>
      <c r="BJ268" s="65"/>
      <c r="BK268" s="81">
        <f t="shared" si="289"/>
        <v>0</v>
      </c>
      <c r="BL268" s="65"/>
      <c r="BM268" s="204"/>
      <c r="BN268" s="156">
        <f>IF(B268&lt;&gt;"",_xlfn.XLOOKUP(B268,'Cronog. e Histog.'!B:B,'Cronog. e Histog.'!EK:EK),0)</f>
        <v>0</v>
      </c>
      <c r="BO268" s="109">
        <f>($O268/Dashboard!$D$15)*(1+Dashboard!$D$19)</f>
        <v>12.652376033057848</v>
      </c>
      <c r="BP268" s="84">
        <f t="shared" si="304"/>
        <v>0</v>
      </c>
      <c r="BQ268" s="65"/>
      <c r="BR268" s="204"/>
      <c r="BS268" s="156">
        <f>IF(B268&lt;&gt;"",_xlfn.XLOOKUP(B268,'Cronog. e Histog.'!B:B,'Cronog. e Histog.'!EL:EL),0)</f>
        <v>0</v>
      </c>
      <c r="BT268" s="109">
        <f>($O268/Dashboard!$D$15)*(1+Dashboard!$D$20)</f>
        <v>14.761105371900824</v>
      </c>
      <c r="BU268" s="84">
        <f t="shared" si="305"/>
        <v>0</v>
      </c>
      <c r="BV268" s="65"/>
      <c r="BW268" s="204"/>
      <c r="BX268" s="156">
        <f>IF(B268&lt;&gt;"",_xlfn.XLOOKUP(B268,'Cronog. e Histog.'!B:B,'Cronog. e Histog.'!EM:EM),0)</f>
        <v>0</v>
      </c>
      <c r="BY268" s="109">
        <f>($O268/Dashboard!$D$15)*(1+Dashboard!$D$21)</f>
        <v>16.869834710743799</v>
      </c>
      <c r="BZ268" s="84">
        <f t="shared" si="306"/>
        <v>0</v>
      </c>
    </row>
    <row r="269" spans="2:78" ht="12" customHeight="1" outlineLevel="1">
      <c r="B269" s="137" t="str">
        <f>'Cronog. e Histog.'!B400</f>
        <v>EST_III - Equipe_01</v>
      </c>
      <c r="C269" s="65"/>
      <c r="D269" s="200">
        <f t="shared" si="272"/>
        <v>0</v>
      </c>
      <c r="E269" s="200">
        <f t="shared" si="273"/>
        <v>0</v>
      </c>
      <c r="F269" s="65"/>
      <c r="G269" s="200">
        <f t="shared" si="274"/>
        <v>0</v>
      </c>
      <c r="H269" s="200">
        <f t="shared" si="275"/>
        <v>0</v>
      </c>
      <c r="I269" s="65"/>
      <c r="J269" s="143" t="str">
        <f>IF('Cronog. e Histog.'!G400&gt;0,'Cronog. e Histog.'!G400,"")</f>
        <v>EST_III</v>
      </c>
      <c r="K269" s="65"/>
      <c r="L269" s="144">
        <f>'Cronog. e Histog.'!BT400</f>
        <v>0</v>
      </c>
      <c r="M269" s="144">
        <f>'Cronog. e Histog.'!BU400</f>
        <v>0</v>
      </c>
      <c r="N269" s="65"/>
      <c r="O269" s="109">
        <f>_xlfn.XLOOKUP(B269,Salários!B:B,Salários!K:K)</f>
        <v>1633</v>
      </c>
      <c r="P269" s="109">
        <f t="shared" si="290"/>
        <v>0</v>
      </c>
      <c r="Q269" s="109">
        <f t="shared" si="291"/>
        <v>0</v>
      </c>
      <c r="R269" s="65"/>
      <c r="S269" s="109">
        <f t="shared" si="292"/>
        <v>1633</v>
      </c>
      <c r="T269" s="201" t="str">
        <f>IF(_xlfn.XLOOKUP(B269,Salários!B:B,Salários!I:I)&gt;0,_xlfn.XLOOKUP(B269,Salários!B:B,Salários!I:I),"")</f>
        <v>PJ</v>
      </c>
      <c r="U269" s="117">
        <f t="shared" si="279"/>
        <v>0</v>
      </c>
      <c r="V269" s="65"/>
      <c r="W269" s="202"/>
      <c r="X269" s="65"/>
      <c r="Y269" s="69"/>
      <c r="Z269" s="65"/>
      <c r="AA269" s="518"/>
      <c r="AB269" s="65"/>
      <c r="AC269" s="81">
        <f t="shared" si="280"/>
        <v>0</v>
      </c>
      <c r="AD269" s="65"/>
      <c r="AE269" s="112"/>
      <c r="AF269" s="203">
        <v>0.3</v>
      </c>
      <c r="AG269" s="109">
        <f t="shared" si="44"/>
        <v>1633</v>
      </c>
      <c r="AH269" s="84">
        <f t="shared" si="281"/>
        <v>0</v>
      </c>
      <c r="AI269" s="65"/>
      <c r="AJ269" s="112"/>
      <c r="AK269" s="122"/>
      <c r="AL269" s="109">
        <v>1212</v>
      </c>
      <c r="AM269" s="84">
        <f t="shared" si="282"/>
        <v>0</v>
      </c>
      <c r="AN269" s="65"/>
      <c r="AO269" s="112"/>
      <c r="AP269" s="204"/>
      <c r="AQ269" s="109">
        <f>IFERROR((O269+AH269+AM269)/Dashboard!$D$15,0)*0.2</f>
        <v>1.6869834710743801</v>
      </c>
      <c r="AR269" s="84">
        <f t="shared" si="283"/>
        <v>0</v>
      </c>
      <c r="AS269" s="65"/>
      <c r="AT269" s="112"/>
      <c r="AU269" s="203">
        <v>0.33</v>
      </c>
      <c r="AV269" s="109">
        <f t="shared" si="284"/>
        <v>1633</v>
      </c>
      <c r="AW269" s="84">
        <f t="shared" si="285"/>
        <v>0</v>
      </c>
      <c r="AX269" s="65"/>
      <c r="AY269" s="112"/>
      <c r="AZ269" s="203">
        <v>0.25</v>
      </c>
      <c r="BA269" s="109">
        <f t="shared" si="50"/>
        <v>1633</v>
      </c>
      <c r="BB269" s="84">
        <f t="shared" si="286"/>
        <v>0</v>
      </c>
      <c r="BC269" s="65"/>
      <c r="BD269" s="112"/>
      <c r="BE269" s="203">
        <v>0.26</v>
      </c>
      <c r="BF269" s="109">
        <f t="shared" si="287"/>
        <v>1633</v>
      </c>
      <c r="BG269" s="84">
        <f t="shared" si="288"/>
        <v>0</v>
      </c>
      <c r="BH269" s="197"/>
      <c r="BI269" s="518"/>
      <c r="BJ269" s="65"/>
      <c r="BK269" s="81">
        <f t="shared" si="289"/>
        <v>0</v>
      </c>
      <c r="BL269" s="65"/>
      <c r="BM269" s="204"/>
      <c r="BN269" s="156">
        <f>IF(B269&lt;&gt;"",_xlfn.XLOOKUP(B269,'Cronog. e Histog.'!B:B,'Cronog. e Histog.'!EK:EK),0)</f>
        <v>0</v>
      </c>
      <c r="BO269" s="109">
        <f>($O269/Dashboard!$D$15)*(1+Dashboard!$D$19)</f>
        <v>12.652376033057848</v>
      </c>
      <c r="BP269" s="84">
        <f t="shared" si="304"/>
        <v>0</v>
      </c>
      <c r="BQ269" s="65"/>
      <c r="BR269" s="204"/>
      <c r="BS269" s="156">
        <f>IF(B269&lt;&gt;"",_xlfn.XLOOKUP(B269,'Cronog. e Histog.'!B:B,'Cronog. e Histog.'!EL:EL),0)</f>
        <v>0</v>
      </c>
      <c r="BT269" s="109">
        <f>($O269/Dashboard!$D$15)*(1+Dashboard!$D$20)</f>
        <v>14.761105371900824</v>
      </c>
      <c r="BU269" s="84">
        <f t="shared" si="305"/>
        <v>0</v>
      </c>
      <c r="BV269" s="65"/>
      <c r="BW269" s="204"/>
      <c r="BX269" s="156">
        <f>IF(B269&lt;&gt;"",_xlfn.XLOOKUP(B269,'Cronog. e Histog.'!B:B,'Cronog. e Histog.'!EM:EM),0)</f>
        <v>0</v>
      </c>
      <c r="BY269" s="109">
        <f>($O269/Dashboard!$D$15)*(1+Dashboard!$D$21)</f>
        <v>16.869834710743799</v>
      </c>
      <c r="BZ269" s="84">
        <f t="shared" si="306"/>
        <v>0</v>
      </c>
    </row>
    <row r="270" spans="2:78" ht="12" customHeight="1" outlineLevel="1"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9"/>
      <c r="Z270" s="65"/>
      <c r="AA270" s="518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  <c r="BE270" s="65"/>
      <c r="BF270" s="65"/>
      <c r="BG270" s="65"/>
      <c r="BH270" s="197"/>
      <c r="BI270" s="518"/>
      <c r="BJ270" s="65"/>
      <c r="BK270" s="65"/>
      <c r="BL270" s="65"/>
      <c r="BM270" s="65"/>
      <c r="BN270" s="65"/>
      <c r="BO270" s="65"/>
      <c r="BP270" s="65"/>
      <c r="BQ270" s="65"/>
      <c r="BR270" s="65"/>
      <c r="BS270" s="65"/>
      <c r="BT270" s="65"/>
      <c r="BU270" s="65"/>
      <c r="BV270" s="65"/>
      <c r="BW270" s="65"/>
      <c r="BX270" s="65"/>
      <c r="BY270" s="65"/>
      <c r="BZ270" s="65"/>
    </row>
    <row r="271" spans="2:78" ht="12" customHeight="1" outlineLevel="1">
      <c r="B271" s="65"/>
      <c r="C271" s="65"/>
      <c r="D271" s="65"/>
      <c r="E271" s="65"/>
      <c r="F271" s="65"/>
      <c r="G271" s="65"/>
      <c r="H271" s="65"/>
      <c r="I271" s="65"/>
      <c r="J271" s="199" t="str">
        <f>'Cronog. e Histog.'!F403</f>
        <v>Equipe09</v>
      </c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9"/>
      <c r="Z271" s="65"/>
      <c r="AA271" s="518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  <c r="BE271" s="65"/>
      <c r="BF271" s="65"/>
      <c r="BG271" s="65"/>
      <c r="BH271" s="197"/>
      <c r="BI271" s="518"/>
      <c r="BJ271" s="65"/>
      <c r="BK271" s="65"/>
      <c r="BL271" s="65"/>
      <c r="BM271" s="65"/>
      <c r="BN271" s="65"/>
      <c r="BO271" s="65"/>
      <c r="BP271" s="65"/>
      <c r="BQ271" s="65"/>
      <c r="BR271" s="65"/>
      <c r="BS271" s="65"/>
      <c r="BT271" s="65"/>
      <c r="BU271" s="65"/>
      <c r="BV271" s="65"/>
      <c r="BW271" s="65"/>
      <c r="BX271" s="65"/>
      <c r="BY271" s="65"/>
      <c r="BZ271" s="65"/>
    </row>
    <row r="272" spans="2:78" ht="12" customHeight="1" outlineLevel="1">
      <c r="B272" s="137" t="str">
        <f>'Cronog. e Histog.'!B405</f>
        <v>GER. (OBRA/PROJ) - Equipe_01</v>
      </c>
      <c r="C272" s="65"/>
      <c r="D272" s="200">
        <f t="shared" ref="D272:D291" si="307">IF(T272="mensalista",L272,0)</f>
        <v>0</v>
      </c>
      <c r="E272" s="200">
        <f t="shared" ref="E272:E291" si="308">IF(T272="mensalista",M272,0)</f>
        <v>0</v>
      </c>
      <c r="F272" s="65"/>
      <c r="G272" s="200">
        <f t="shared" ref="G272:G291" si="309">IF(T272="mensalista",L272,0)</f>
        <v>0</v>
      </c>
      <c r="H272" s="200">
        <f t="shared" ref="H272:H291" si="310">IF(T272="mensalista",M272,0)</f>
        <v>0</v>
      </c>
      <c r="I272" s="65"/>
      <c r="J272" s="143" t="str">
        <f>IF('Cronog. e Histog.'!G405&gt;0,'Cronog. e Histog.'!G405,"")</f>
        <v>GER. (OBRA/PROJ)</v>
      </c>
      <c r="K272" s="65"/>
      <c r="L272" s="144">
        <f>'Cronog. e Histog.'!BT405</f>
        <v>0</v>
      </c>
      <c r="M272" s="144">
        <f>'Cronog. e Histog.'!BU405</f>
        <v>0</v>
      </c>
      <c r="N272" s="65"/>
      <c r="O272" s="109">
        <f>_xlfn.XLOOKUP(B272,Salários!B:B,Salários!K:K)</f>
        <v>21000</v>
      </c>
      <c r="P272" s="109">
        <f t="shared" ref="P272" si="311">AC272</f>
        <v>0</v>
      </c>
      <c r="Q272" s="109">
        <f t="shared" ref="Q272" si="312">BK272</f>
        <v>0</v>
      </c>
      <c r="R272" s="65"/>
      <c r="S272" s="109">
        <f t="shared" ref="S272" si="313">SUM(O272:Q272)</f>
        <v>21000</v>
      </c>
      <c r="T272" s="201" t="str">
        <f>IF(_xlfn.XLOOKUP(B272,Salários!B:B,Salários!I:I)&gt;0,_xlfn.XLOOKUP(B272,Salários!B:B,Salários!I:I),"")</f>
        <v>PJ</v>
      </c>
      <c r="U272" s="117">
        <f t="shared" ref="U272:U291" si="314">L272*M272*S272</f>
        <v>0</v>
      </c>
      <c r="V272" s="65"/>
      <c r="W272" s="202"/>
      <c r="X272" s="65"/>
      <c r="Y272" s="69"/>
      <c r="Z272" s="65"/>
      <c r="AA272" s="518"/>
      <c r="AB272" s="65"/>
      <c r="AC272" s="81">
        <f t="shared" ref="AC272:AC291" si="315">AH272+AM272+AR272+AW272+BB272+BG272</f>
        <v>0</v>
      </c>
      <c r="AD272" s="65"/>
      <c r="AE272" s="112"/>
      <c r="AF272" s="203">
        <v>0.3</v>
      </c>
      <c r="AG272" s="109">
        <f t="shared" si="44"/>
        <v>21000</v>
      </c>
      <c r="AH272" s="84">
        <f t="shared" ref="AH272:AH291" si="316">IF(AE272="sim",AF272*AG272,0)</f>
        <v>0</v>
      </c>
      <c r="AI272" s="65"/>
      <c r="AJ272" s="112"/>
      <c r="AK272" s="122"/>
      <c r="AL272" s="109">
        <v>1212</v>
      </c>
      <c r="AM272" s="84">
        <f t="shared" ref="AM272:AM291" si="317">IF(AJ272="sim",AK272*AL272,0)</f>
        <v>0</v>
      </c>
      <c r="AN272" s="65"/>
      <c r="AO272" s="112"/>
      <c r="AP272" s="204"/>
      <c r="AQ272" s="109">
        <f>IFERROR((O272+AH272+AM272)/Dashboard!$D$15,0)*0.2</f>
        <v>21.694214876033058</v>
      </c>
      <c r="AR272" s="84">
        <f t="shared" ref="AR272:AR291" si="318">IF(AO272="sim",AP272*AQ272,0)</f>
        <v>0</v>
      </c>
      <c r="AS272" s="65"/>
      <c r="AT272" s="112"/>
      <c r="AU272" s="203">
        <v>0.33</v>
      </c>
      <c r="AV272" s="109">
        <f t="shared" ref="AV272:AV291" si="319">$O272</f>
        <v>21000</v>
      </c>
      <c r="AW272" s="84">
        <f t="shared" ref="AW272:AW291" si="320">IF(AT272="sim",AU272*AV272,0)</f>
        <v>0</v>
      </c>
      <c r="AX272" s="65"/>
      <c r="AY272" s="112"/>
      <c r="AZ272" s="203">
        <v>0.25</v>
      </c>
      <c r="BA272" s="109">
        <f t="shared" si="50"/>
        <v>21000</v>
      </c>
      <c r="BB272" s="84">
        <f t="shared" ref="BB272:BB291" si="321">IF(AY272="sim",AZ272*BA272,0)</f>
        <v>0</v>
      </c>
      <c r="BC272" s="65"/>
      <c r="BD272" s="112"/>
      <c r="BE272" s="203">
        <v>0.26</v>
      </c>
      <c r="BF272" s="109">
        <f t="shared" ref="BF272:BF291" si="322">$O272</f>
        <v>21000</v>
      </c>
      <c r="BG272" s="84">
        <f t="shared" ref="BG272:BG291" si="323">IF(BD272="sim",BE272*BF272,0)</f>
        <v>0</v>
      </c>
      <c r="BH272" s="197"/>
      <c r="BI272" s="518"/>
      <c r="BJ272" s="65"/>
      <c r="BK272" s="81">
        <f t="shared" ref="BK272:BK291" si="324">BP272+BU272+BZ272</f>
        <v>0</v>
      </c>
      <c r="BL272" s="65"/>
      <c r="BM272" s="204"/>
      <c r="BN272" s="156">
        <f>IF(B272&lt;&gt;"",_xlfn.XLOOKUP(B272,'Cronog. e Histog.'!B:B,'Cronog. e Histog.'!EK:EK),0)</f>
        <v>0</v>
      </c>
      <c r="BO272" s="109">
        <f>($O272/Dashboard!$D$15)*(1+Dashboard!$D$19)</f>
        <v>162.7066115702479</v>
      </c>
      <c r="BP272" s="84">
        <f>SUM(BM272:BN272)*BO272</f>
        <v>0</v>
      </c>
      <c r="BQ272" s="65"/>
      <c r="BR272" s="204"/>
      <c r="BS272" s="156">
        <f>IF(B272&lt;&gt;"",_xlfn.XLOOKUP(B272,'Cronog. e Histog.'!B:B,'Cronog. e Histog.'!EL:EL),0)</f>
        <v>0</v>
      </c>
      <c r="BT272" s="109">
        <f>($O272/Dashboard!$D$15)*(1+Dashboard!$D$20)</f>
        <v>189.82438016528923</v>
      </c>
      <c r="BU272" s="84">
        <f>SUM(BR272:BS272)*BT272</f>
        <v>0</v>
      </c>
      <c r="BV272" s="65"/>
      <c r="BW272" s="204"/>
      <c r="BX272" s="156">
        <f>IF(B272&lt;&gt;"",_xlfn.XLOOKUP(B272,'Cronog. e Histog.'!B:B,'Cronog. e Histog.'!EM:EM),0)</f>
        <v>0</v>
      </c>
      <c r="BY272" s="109">
        <f>($O272/Dashboard!$D$15)*(1+Dashboard!$D$21)</f>
        <v>216.94214876033055</v>
      </c>
      <c r="BZ272" s="84">
        <f>SUM(BW272:BX272)*BY272</f>
        <v>0</v>
      </c>
    </row>
    <row r="273" spans="2:78" ht="12" customHeight="1" outlineLevel="1">
      <c r="B273" s="137" t="str">
        <f>'Cronog. e Histog.'!B406</f>
        <v>COORD. - Equipe_01</v>
      </c>
      <c r="C273" s="65"/>
      <c r="D273" s="200">
        <f t="shared" si="307"/>
        <v>0</v>
      </c>
      <c r="E273" s="200">
        <f t="shared" si="308"/>
        <v>0</v>
      </c>
      <c r="F273" s="65"/>
      <c r="G273" s="200">
        <f t="shared" si="309"/>
        <v>0</v>
      </c>
      <c r="H273" s="200">
        <f t="shared" si="310"/>
        <v>0</v>
      </c>
      <c r="I273" s="65"/>
      <c r="J273" s="143" t="str">
        <f>IF('Cronog. e Histog.'!G406&gt;0,'Cronog. e Histog.'!G406,"")</f>
        <v>COORD.</v>
      </c>
      <c r="K273" s="65"/>
      <c r="L273" s="144">
        <f>'Cronog. e Histog.'!BT406</f>
        <v>0</v>
      </c>
      <c r="M273" s="144">
        <f>'Cronog. e Histog.'!BU406</f>
        <v>0</v>
      </c>
      <c r="N273" s="65"/>
      <c r="O273" s="109">
        <f>_xlfn.XLOOKUP(B273,Salários!B:B,Salários!K:K)</f>
        <v>19000</v>
      </c>
      <c r="P273" s="109">
        <f t="shared" ref="P273:P291" si="325">AC273</f>
        <v>0</v>
      </c>
      <c r="Q273" s="109">
        <f t="shared" ref="Q273:Q291" si="326">BK273</f>
        <v>0</v>
      </c>
      <c r="R273" s="65"/>
      <c r="S273" s="109">
        <f t="shared" ref="S273:S291" si="327">SUM(O273:Q273)</f>
        <v>19000</v>
      </c>
      <c r="T273" s="201" t="str">
        <f>IF(_xlfn.XLOOKUP(B273,Salários!B:B,Salários!I:I)&gt;0,_xlfn.XLOOKUP(B273,Salários!B:B,Salários!I:I),"")</f>
        <v>PJ</v>
      </c>
      <c r="U273" s="117">
        <f t="shared" ref="U273:U282" si="328">L273*M273*S273</f>
        <v>0</v>
      </c>
      <c r="V273" s="65"/>
      <c r="W273" s="202"/>
      <c r="X273" s="65"/>
      <c r="Y273" s="69"/>
      <c r="Z273" s="65"/>
      <c r="AA273" s="518"/>
      <c r="AB273" s="65"/>
      <c r="AC273" s="81">
        <f t="shared" ref="AC273:AC282" si="329">AH273+AM273+AR273+AW273+BB273+BG273</f>
        <v>0</v>
      </c>
      <c r="AD273" s="65"/>
      <c r="AE273" s="112"/>
      <c r="AF273" s="203">
        <v>0.3</v>
      </c>
      <c r="AG273" s="109">
        <f t="shared" ref="AG273:AG282" si="330">$O273</f>
        <v>19000</v>
      </c>
      <c r="AH273" s="84">
        <f t="shared" ref="AH273:AH282" si="331">IF(AE273="sim",AF273*AG273,0)</f>
        <v>0</v>
      </c>
      <c r="AI273" s="65"/>
      <c r="AJ273" s="112"/>
      <c r="AK273" s="122"/>
      <c r="AL273" s="109">
        <v>1212</v>
      </c>
      <c r="AM273" s="84">
        <f t="shared" ref="AM273:AM282" si="332">IF(AJ273="sim",AK273*AL273,0)</f>
        <v>0</v>
      </c>
      <c r="AN273" s="65"/>
      <c r="AO273" s="112"/>
      <c r="AP273" s="204"/>
      <c r="AQ273" s="109">
        <f>IFERROR((O273+AH273+AM273)/Dashboard!$D$15,0)*0.2</f>
        <v>19.628099173553718</v>
      </c>
      <c r="AR273" s="84">
        <f t="shared" ref="AR273:AR282" si="333">IF(AO273="sim",AP273*AQ273,0)</f>
        <v>0</v>
      </c>
      <c r="AS273" s="65"/>
      <c r="AT273" s="112"/>
      <c r="AU273" s="203">
        <v>0.33</v>
      </c>
      <c r="AV273" s="109">
        <f t="shared" si="319"/>
        <v>19000</v>
      </c>
      <c r="AW273" s="84">
        <f t="shared" ref="AW273:AW282" si="334">IF(AT273="sim",AU273*AV273,0)</f>
        <v>0</v>
      </c>
      <c r="AX273" s="65"/>
      <c r="AY273" s="112"/>
      <c r="AZ273" s="203">
        <v>0.25</v>
      </c>
      <c r="BA273" s="109">
        <f t="shared" ref="BA273:BA282" si="335">$O273</f>
        <v>19000</v>
      </c>
      <c r="BB273" s="84">
        <f t="shared" ref="BB273:BB282" si="336">IF(AY273="sim",AZ273*BA273,0)</f>
        <v>0</v>
      </c>
      <c r="BC273" s="65"/>
      <c r="BD273" s="112"/>
      <c r="BE273" s="203">
        <v>0.26</v>
      </c>
      <c r="BF273" s="109">
        <f t="shared" si="322"/>
        <v>19000</v>
      </c>
      <c r="BG273" s="84">
        <f t="shared" ref="BG273:BG282" si="337">IF(BD273="sim",BE273*BF273,0)</f>
        <v>0</v>
      </c>
      <c r="BH273" s="197"/>
      <c r="BI273" s="518"/>
      <c r="BJ273" s="65"/>
      <c r="BK273" s="81">
        <f t="shared" ref="BK273:BK282" si="338">BP273+BU273+BZ273</f>
        <v>0</v>
      </c>
      <c r="BL273" s="65"/>
      <c r="BM273" s="204"/>
      <c r="BN273" s="156">
        <f>IF(B273&lt;&gt;"",_xlfn.XLOOKUP(B273,'Cronog. e Histog.'!B:B,'Cronog. e Histog.'!EK:EK),0)</f>
        <v>0</v>
      </c>
      <c r="BO273" s="109">
        <f>($O273/Dashboard!$D$15)*(1+Dashboard!$D$19)</f>
        <v>147.21074380165288</v>
      </c>
      <c r="BP273" s="84">
        <f t="shared" ref="BP273:BP291" si="339">SUM(BM273:BN273)*BO273</f>
        <v>0</v>
      </c>
      <c r="BQ273" s="65"/>
      <c r="BR273" s="204"/>
      <c r="BS273" s="156">
        <f>IF(B273&lt;&gt;"",_xlfn.XLOOKUP(B273,'Cronog. e Histog.'!B:B,'Cronog. e Histog.'!EL:EL),0)</f>
        <v>0</v>
      </c>
      <c r="BT273" s="109">
        <f>($O273/Dashboard!$D$15)*(1+Dashboard!$D$20)</f>
        <v>171.74586776859502</v>
      </c>
      <c r="BU273" s="84">
        <f t="shared" ref="BU273:BU291" si="340">SUM(BR273:BS273)*BT273</f>
        <v>0</v>
      </c>
      <c r="BV273" s="65"/>
      <c r="BW273" s="204"/>
      <c r="BX273" s="156">
        <f>IF(B273&lt;&gt;"",_xlfn.XLOOKUP(B273,'Cronog. e Histog.'!B:B,'Cronog. e Histog.'!EM:EM),0)</f>
        <v>0</v>
      </c>
      <c r="BY273" s="109">
        <f>($O273/Dashboard!$D$15)*(1+Dashboard!$D$21)</f>
        <v>196.28099173553716</v>
      </c>
      <c r="BZ273" s="84">
        <f t="shared" ref="BZ273:BZ291" si="341">SUM(BW273:BX273)*BY273</f>
        <v>0</v>
      </c>
    </row>
    <row r="274" spans="2:78" ht="12" customHeight="1" outlineLevel="1">
      <c r="B274" s="137" t="str">
        <f>'Cronog. e Histog.'!B407</f>
        <v>SUP.-ESP - Equipe_01</v>
      </c>
      <c r="C274" s="65"/>
      <c r="D274" s="200">
        <f t="shared" si="307"/>
        <v>0</v>
      </c>
      <c r="E274" s="200">
        <f t="shared" si="308"/>
        <v>0</v>
      </c>
      <c r="F274" s="65"/>
      <c r="G274" s="200">
        <f t="shared" si="309"/>
        <v>0</v>
      </c>
      <c r="H274" s="200">
        <f t="shared" si="310"/>
        <v>0</v>
      </c>
      <c r="I274" s="65"/>
      <c r="J274" s="143" t="str">
        <f>IF('Cronog. e Histog.'!G407&gt;0,'Cronog. e Histog.'!G407,"")</f>
        <v>SUP.-ESP</v>
      </c>
      <c r="K274" s="65"/>
      <c r="L274" s="144">
        <f>'Cronog. e Histog.'!BT407</f>
        <v>0</v>
      </c>
      <c r="M274" s="144">
        <f>'Cronog. e Histog.'!BU407</f>
        <v>0</v>
      </c>
      <c r="N274" s="65"/>
      <c r="O274" s="109">
        <f>_xlfn.XLOOKUP(B274,Salários!B:B,Salários!K:K)</f>
        <v>9716.67</v>
      </c>
      <c r="P274" s="109">
        <f t="shared" si="325"/>
        <v>0</v>
      </c>
      <c r="Q274" s="109">
        <f t="shared" si="326"/>
        <v>0</v>
      </c>
      <c r="R274" s="65"/>
      <c r="S274" s="109">
        <f t="shared" si="327"/>
        <v>9716.67</v>
      </c>
      <c r="T274" s="201" t="str">
        <f>IF(_xlfn.XLOOKUP(B274,Salários!B:B,Salários!I:I)&gt;0,_xlfn.XLOOKUP(B274,Salários!B:B,Salários!I:I),"")</f>
        <v>Mensalista</v>
      </c>
      <c r="U274" s="117">
        <f t="shared" si="328"/>
        <v>0</v>
      </c>
      <c r="V274" s="65"/>
      <c r="W274" s="202"/>
      <c r="X274" s="65"/>
      <c r="Y274" s="69"/>
      <c r="Z274" s="65"/>
      <c r="AA274" s="518"/>
      <c r="AB274" s="65"/>
      <c r="AC274" s="81">
        <f t="shared" si="329"/>
        <v>0</v>
      </c>
      <c r="AD274" s="65"/>
      <c r="AE274" s="112"/>
      <c r="AF274" s="203">
        <v>0.3</v>
      </c>
      <c r="AG274" s="109">
        <f t="shared" si="330"/>
        <v>9716.67</v>
      </c>
      <c r="AH274" s="84">
        <f t="shared" si="331"/>
        <v>0</v>
      </c>
      <c r="AI274" s="65"/>
      <c r="AJ274" s="112"/>
      <c r="AK274" s="122"/>
      <c r="AL274" s="109">
        <v>1212</v>
      </c>
      <c r="AM274" s="84">
        <f t="shared" si="332"/>
        <v>0</v>
      </c>
      <c r="AN274" s="65"/>
      <c r="AO274" s="112"/>
      <c r="AP274" s="204"/>
      <c r="AQ274" s="109">
        <f>IFERROR((O274+AH274+AM274)/Dashboard!$D$15,0)*0.2</f>
        <v>10.037882231404957</v>
      </c>
      <c r="AR274" s="84">
        <f t="shared" si="333"/>
        <v>0</v>
      </c>
      <c r="AS274" s="65"/>
      <c r="AT274" s="112"/>
      <c r="AU274" s="203">
        <v>0.33</v>
      </c>
      <c r="AV274" s="109">
        <f t="shared" si="319"/>
        <v>9716.67</v>
      </c>
      <c r="AW274" s="84">
        <f t="shared" si="334"/>
        <v>0</v>
      </c>
      <c r="AX274" s="65"/>
      <c r="AY274" s="112"/>
      <c r="AZ274" s="203">
        <v>0.25</v>
      </c>
      <c r="BA274" s="109">
        <f t="shared" si="335"/>
        <v>9716.67</v>
      </c>
      <c r="BB274" s="84">
        <f t="shared" si="336"/>
        <v>0</v>
      </c>
      <c r="BC274" s="65"/>
      <c r="BD274" s="112"/>
      <c r="BE274" s="203">
        <v>0.26</v>
      </c>
      <c r="BF274" s="109">
        <f t="shared" si="322"/>
        <v>9716.67</v>
      </c>
      <c r="BG274" s="84">
        <f t="shared" si="337"/>
        <v>0</v>
      </c>
      <c r="BH274" s="197"/>
      <c r="BI274" s="518"/>
      <c r="BJ274" s="65"/>
      <c r="BK274" s="81">
        <f t="shared" si="338"/>
        <v>0</v>
      </c>
      <c r="BL274" s="65"/>
      <c r="BM274" s="204"/>
      <c r="BN274" s="156">
        <f>IF(B274&lt;&gt;"",_xlfn.XLOOKUP(B274,'Cronog. e Histog.'!B:B,'Cronog. e Histog.'!EK:EK),0)</f>
        <v>0</v>
      </c>
      <c r="BO274" s="109">
        <f>($O274/Dashboard!$D$15)*(1+Dashboard!$D$19)</f>
        <v>75.284116735537182</v>
      </c>
      <c r="BP274" s="84">
        <f t="shared" si="339"/>
        <v>0</v>
      </c>
      <c r="BQ274" s="65"/>
      <c r="BR274" s="204"/>
      <c r="BS274" s="156">
        <f>IF(B274&lt;&gt;"",_xlfn.XLOOKUP(B274,'Cronog. e Histog.'!B:B,'Cronog. e Histog.'!EL:EL),0)</f>
        <v>0</v>
      </c>
      <c r="BT274" s="109">
        <f>($O274/Dashboard!$D$15)*(1+Dashboard!$D$20)</f>
        <v>87.831469524793377</v>
      </c>
      <c r="BU274" s="84">
        <f t="shared" si="340"/>
        <v>0</v>
      </c>
      <c r="BV274" s="65"/>
      <c r="BW274" s="204"/>
      <c r="BX274" s="156">
        <f>IF(B274&lt;&gt;"",_xlfn.XLOOKUP(B274,'Cronog. e Histog.'!B:B,'Cronog. e Histog.'!EM:EM),0)</f>
        <v>0</v>
      </c>
      <c r="BY274" s="109">
        <f>($O274/Dashboard!$D$15)*(1+Dashboard!$D$21)</f>
        <v>100.37882231404957</v>
      </c>
      <c r="BZ274" s="84">
        <f t="shared" si="341"/>
        <v>0</v>
      </c>
    </row>
    <row r="275" spans="2:78" ht="12" customHeight="1" outlineLevel="1">
      <c r="B275" s="137" t="str">
        <f>'Cronog. e Histog.'!B408</f>
        <v>ENG/ARQ SR. - Equipe_01</v>
      </c>
      <c r="C275" s="65"/>
      <c r="D275" s="200">
        <f t="shared" si="307"/>
        <v>0</v>
      </c>
      <c r="E275" s="200">
        <f t="shared" si="308"/>
        <v>0</v>
      </c>
      <c r="F275" s="65"/>
      <c r="G275" s="200">
        <f t="shared" si="309"/>
        <v>0</v>
      </c>
      <c r="H275" s="200">
        <f t="shared" si="310"/>
        <v>0</v>
      </c>
      <c r="I275" s="65"/>
      <c r="J275" s="143" t="str">
        <f>IF('Cronog. e Histog.'!G408&gt;0,'Cronog. e Histog.'!G408,"")</f>
        <v>ENG/ARQ SR.</v>
      </c>
      <c r="K275" s="65"/>
      <c r="L275" s="144">
        <f>'Cronog. e Histog.'!BT408</f>
        <v>0</v>
      </c>
      <c r="M275" s="144">
        <f>'Cronog. e Histog.'!BU408</f>
        <v>0</v>
      </c>
      <c r="N275" s="65"/>
      <c r="O275" s="109">
        <f>_xlfn.XLOOKUP(B275,Salários!B:B,Salários!K:K)</f>
        <v>16000</v>
      </c>
      <c r="P275" s="109">
        <f t="shared" si="325"/>
        <v>0</v>
      </c>
      <c r="Q275" s="109">
        <f t="shared" si="326"/>
        <v>0</v>
      </c>
      <c r="R275" s="65"/>
      <c r="S275" s="109">
        <f t="shared" si="327"/>
        <v>16000</v>
      </c>
      <c r="T275" s="201" t="str">
        <f>IF(_xlfn.XLOOKUP(B275,Salários!B:B,Salários!I:I)&gt;0,_xlfn.XLOOKUP(B275,Salários!B:B,Salários!I:I),"")</f>
        <v>PJ</v>
      </c>
      <c r="U275" s="117">
        <f t="shared" si="328"/>
        <v>0</v>
      </c>
      <c r="V275" s="65"/>
      <c r="W275" s="202"/>
      <c r="X275" s="65"/>
      <c r="Y275" s="69"/>
      <c r="Z275" s="65"/>
      <c r="AA275" s="518"/>
      <c r="AB275" s="65"/>
      <c r="AC275" s="81">
        <f t="shared" si="329"/>
        <v>0</v>
      </c>
      <c r="AD275" s="65"/>
      <c r="AE275" s="112"/>
      <c r="AF275" s="203">
        <v>0.3</v>
      </c>
      <c r="AG275" s="109">
        <f t="shared" si="330"/>
        <v>16000</v>
      </c>
      <c r="AH275" s="84">
        <f t="shared" si="331"/>
        <v>0</v>
      </c>
      <c r="AI275" s="65"/>
      <c r="AJ275" s="112"/>
      <c r="AK275" s="122"/>
      <c r="AL275" s="109">
        <v>1212</v>
      </c>
      <c r="AM275" s="84">
        <f t="shared" si="332"/>
        <v>0</v>
      </c>
      <c r="AN275" s="65"/>
      <c r="AO275" s="112"/>
      <c r="AP275" s="204"/>
      <c r="AQ275" s="109">
        <f>IFERROR((O275+AH275+AM275)/Dashboard!$D$15,0)*0.2</f>
        <v>16.528925619834709</v>
      </c>
      <c r="AR275" s="84">
        <f t="shared" si="333"/>
        <v>0</v>
      </c>
      <c r="AS275" s="65"/>
      <c r="AT275" s="112"/>
      <c r="AU275" s="203">
        <v>0.33</v>
      </c>
      <c r="AV275" s="109">
        <f t="shared" si="319"/>
        <v>16000</v>
      </c>
      <c r="AW275" s="84">
        <f t="shared" si="334"/>
        <v>0</v>
      </c>
      <c r="AX275" s="65"/>
      <c r="AY275" s="112"/>
      <c r="AZ275" s="203">
        <v>0.25</v>
      </c>
      <c r="BA275" s="109">
        <f t="shared" si="335"/>
        <v>16000</v>
      </c>
      <c r="BB275" s="84">
        <f t="shared" si="336"/>
        <v>0</v>
      </c>
      <c r="BC275" s="65"/>
      <c r="BD275" s="112"/>
      <c r="BE275" s="203">
        <v>0.26</v>
      </c>
      <c r="BF275" s="109">
        <f t="shared" si="322"/>
        <v>16000</v>
      </c>
      <c r="BG275" s="84">
        <f t="shared" si="337"/>
        <v>0</v>
      </c>
      <c r="BH275" s="197"/>
      <c r="BI275" s="518"/>
      <c r="BJ275" s="65"/>
      <c r="BK275" s="81">
        <f t="shared" si="338"/>
        <v>0</v>
      </c>
      <c r="BL275" s="65"/>
      <c r="BM275" s="204"/>
      <c r="BN275" s="156">
        <f>IF(B275&lt;&gt;"",_xlfn.XLOOKUP(B275,'Cronog. e Histog.'!B:B,'Cronog. e Histog.'!EK:EK),0)</f>
        <v>0</v>
      </c>
      <c r="BO275" s="109">
        <f>($O275/Dashboard!$D$15)*(1+Dashboard!$D$19)</f>
        <v>123.96694214876032</v>
      </c>
      <c r="BP275" s="84">
        <f t="shared" si="339"/>
        <v>0</v>
      </c>
      <c r="BQ275" s="65"/>
      <c r="BR275" s="204"/>
      <c r="BS275" s="156">
        <f>IF(B275&lt;&gt;"",_xlfn.XLOOKUP(B275,'Cronog. e Histog.'!B:B,'Cronog. e Histog.'!EL:EL),0)</f>
        <v>0</v>
      </c>
      <c r="BT275" s="109">
        <f>($O275/Dashboard!$D$15)*(1+Dashboard!$D$20)</f>
        <v>144.62809917355369</v>
      </c>
      <c r="BU275" s="84">
        <f t="shared" si="340"/>
        <v>0</v>
      </c>
      <c r="BV275" s="65"/>
      <c r="BW275" s="204"/>
      <c r="BX275" s="156">
        <f>IF(B275&lt;&gt;"",_xlfn.XLOOKUP(B275,'Cronog. e Histog.'!B:B,'Cronog. e Histog.'!EM:EM),0)</f>
        <v>0</v>
      </c>
      <c r="BY275" s="109">
        <f>($O275/Dashboard!$D$15)*(1+Dashboard!$D$21)</f>
        <v>165.28925619834709</v>
      </c>
      <c r="BZ275" s="84">
        <f t="shared" si="341"/>
        <v>0</v>
      </c>
    </row>
    <row r="276" spans="2:78" ht="12" customHeight="1" outlineLevel="1">
      <c r="B276" s="137" t="str">
        <f>'Cronog. e Histog.'!B409</f>
        <v>ENG/ARQ PL. - Equipe_01</v>
      </c>
      <c r="C276" s="65"/>
      <c r="D276" s="200">
        <f t="shared" si="307"/>
        <v>0</v>
      </c>
      <c r="E276" s="200">
        <f t="shared" si="308"/>
        <v>0</v>
      </c>
      <c r="F276" s="65"/>
      <c r="G276" s="200">
        <f t="shared" si="309"/>
        <v>0</v>
      </c>
      <c r="H276" s="200">
        <f t="shared" si="310"/>
        <v>0</v>
      </c>
      <c r="I276" s="65"/>
      <c r="J276" s="143" t="str">
        <f>IF('Cronog. e Histog.'!G409&gt;0,'Cronog. e Histog.'!G409,"")</f>
        <v>ENG/ARQ PL.</v>
      </c>
      <c r="K276" s="65"/>
      <c r="L276" s="144">
        <f>'Cronog. e Histog.'!BT409</f>
        <v>0</v>
      </c>
      <c r="M276" s="144">
        <f>'Cronog. e Histog.'!BU409</f>
        <v>0</v>
      </c>
      <c r="N276" s="65"/>
      <c r="O276" s="109">
        <f>_xlfn.XLOOKUP(B276,Salários!B:B,Salários!K:K)</f>
        <v>14000</v>
      </c>
      <c r="P276" s="109">
        <f t="shared" si="325"/>
        <v>0</v>
      </c>
      <c r="Q276" s="109">
        <f t="shared" si="326"/>
        <v>0</v>
      </c>
      <c r="R276" s="65"/>
      <c r="S276" s="109">
        <f t="shared" si="327"/>
        <v>14000</v>
      </c>
      <c r="T276" s="201" t="str">
        <f>IF(_xlfn.XLOOKUP(B276,Salários!B:B,Salários!I:I)&gt;0,_xlfn.XLOOKUP(B276,Salários!B:B,Salários!I:I),"")</f>
        <v>PJ</v>
      </c>
      <c r="U276" s="117">
        <f t="shared" si="328"/>
        <v>0</v>
      </c>
      <c r="V276" s="65"/>
      <c r="W276" s="202"/>
      <c r="X276" s="65"/>
      <c r="Y276" s="69"/>
      <c r="Z276" s="65"/>
      <c r="AA276" s="518"/>
      <c r="AB276" s="65"/>
      <c r="AC276" s="81">
        <f t="shared" si="329"/>
        <v>0</v>
      </c>
      <c r="AD276" s="65"/>
      <c r="AE276" s="112"/>
      <c r="AF276" s="203">
        <v>0.3</v>
      </c>
      <c r="AG276" s="109">
        <f t="shared" si="330"/>
        <v>14000</v>
      </c>
      <c r="AH276" s="84">
        <f t="shared" si="331"/>
        <v>0</v>
      </c>
      <c r="AI276" s="65"/>
      <c r="AJ276" s="112"/>
      <c r="AK276" s="122"/>
      <c r="AL276" s="109">
        <v>1212</v>
      </c>
      <c r="AM276" s="84">
        <f t="shared" si="332"/>
        <v>0</v>
      </c>
      <c r="AN276" s="65"/>
      <c r="AO276" s="112"/>
      <c r="AP276" s="204"/>
      <c r="AQ276" s="109">
        <f>IFERROR((O276+AH276+AM276)/Dashboard!$D$15,0)*0.2</f>
        <v>14.46280991735537</v>
      </c>
      <c r="AR276" s="84">
        <f t="shared" si="333"/>
        <v>0</v>
      </c>
      <c r="AS276" s="65"/>
      <c r="AT276" s="112"/>
      <c r="AU276" s="203">
        <v>0.33</v>
      </c>
      <c r="AV276" s="109">
        <f t="shared" si="319"/>
        <v>14000</v>
      </c>
      <c r="AW276" s="84">
        <f t="shared" si="334"/>
        <v>0</v>
      </c>
      <c r="AX276" s="65"/>
      <c r="AY276" s="112"/>
      <c r="AZ276" s="203">
        <v>0.25</v>
      </c>
      <c r="BA276" s="109">
        <f t="shared" si="335"/>
        <v>14000</v>
      </c>
      <c r="BB276" s="84">
        <f t="shared" si="336"/>
        <v>0</v>
      </c>
      <c r="BC276" s="65"/>
      <c r="BD276" s="112"/>
      <c r="BE276" s="203">
        <v>0.26</v>
      </c>
      <c r="BF276" s="109">
        <f t="shared" si="322"/>
        <v>14000</v>
      </c>
      <c r="BG276" s="84">
        <f t="shared" si="337"/>
        <v>0</v>
      </c>
      <c r="BH276" s="197"/>
      <c r="BI276" s="518"/>
      <c r="BJ276" s="65"/>
      <c r="BK276" s="81">
        <f t="shared" si="338"/>
        <v>0</v>
      </c>
      <c r="BL276" s="65"/>
      <c r="BM276" s="204"/>
      <c r="BN276" s="156">
        <f>IF(B276&lt;&gt;"",_xlfn.XLOOKUP(B276,'Cronog. e Histog.'!B:B,'Cronog. e Histog.'!EK:EK),0)</f>
        <v>0</v>
      </c>
      <c r="BO276" s="109">
        <f>($O276/Dashboard!$D$15)*(1+Dashboard!$D$19)</f>
        <v>108.47107438016528</v>
      </c>
      <c r="BP276" s="84">
        <f t="shared" si="339"/>
        <v>0</v>
      </c>
      <c r="BQ276" s="65"/>
      <c r="BR276" s="204"/>
      <c r="BS276" s="156">
        <f>IF(B276&lt;&gt;"",_xlfn.XLOOKUP(B276,'Cronog. e Histog.'!B:B,'Cronog. e Histog.'!EL:EL),0)</f>
        <v>0</v>
      </c>
      <c r="BT276" s="109">
        <f>($O276/Dashboard!$D$15)*(1+Dashboard!$D$20)</f>
        <v>126.54958677685948</v>
      </c>
      <c r="BU276" s="84">
        <f t="shared" si="340"/>
        <v>0</v>
      </c>
      <c r="BV276" s="65"/>
      <c r="BW276" s="204"/>
      <c r="BX276" s="156">
        <f>IF(B276&lt;&gt;"",_xlfn.XLOOKUP(B276,'Cronog. e Histog.'!B:B,'Cronog. e Histog.'!EM:EM),0)</f>
        <v>0</v>
      </c>
      <c r="BY276" s="109">
        <f>($O276/Dashboard!$D$15)*(1+Dashboard!$D$21)</f>
        <v>144.62809917355369</v>
      </c>
      <c r="BZ276" s="84">
        <f t="shared" si="341"/>
        <v>0</v>
      </c>
    </row>
    <row r="277" spans="2:78" ht="12" customHeight="1" outlineLevel="1">
      <c r="B277" s="137" t="str">
        <f>'Cronog. e Histog.'!B410</f>
        <v>ENG/ARQ JR. - Equipe_01</v>
      </c>
      <c r="C277" s="65"/>
      <c r="D277" s="200">
        <f t="shared" si="307"/>
        <v>0</v>
      </c>
      <c r="E277" s="200">
        <f t="shared" si="308"/>
        <v>0</v>
      </c>
      <c r="F277" s="65"/>
      <c r="G277" s="200">
        <f t="shared" si="309"/>
        <v>0</v>
      </c>
      <c r="H277" s="200">
        <f t="shared" si="310"/>
        <v>0</v>
      </c>
      <c r="I277" s="65"/>
      <c r="J277" s="143" t="str">
        <f>IF('Cronog. e Histog.'!G410&gt;0,'Cronog. e Histog.'!G410,"")</f>
        <v>ENG/ARQ JR.</v>
      </c>
      <c r="K277" s="65"/>
      <c r="L277" s="144">
        <f>'Cronog. e Histog.'!BT410</f>
        <v>0</v>
      </c>
      <c r="M277" s="144">
        <f>'Cronog. e Histog.'!BU410</f>
        <v>0</v>
      </c>
      <c r="N277" s="65"/>
      <c r="O277" s="109">
        <f>_xlfn.XLOOKUP(B277,Salários!B:B,Salários!K:K)</f>
        <v>14000</v>
      </c>
      <c r="P277" s="109">
        <f t="shared" si="325"/>
        <v>0</v>
      </c>
      <c r="Q277" s="109">
        <f t="shared" si="326"/>
        <v>0</v>
      </c>
      <c r="R277" s="65"/>
      <c r="S277" s="109">
        <f t="shared" si="327"/>
        <v>14000</v>
      </c>
      <c r="T277" s="201" t="str">
        <f>IF(_xlfn.XLOOKUP(B277,Salários!B:B,Salários!I:I)&gt;0,_xlfn.XLOOKUP(B277,Salários!B:B,Salários!I:I),"")</f>
        <v>PJ</v>
      </c>
      <c r="U277" s="117">
        <f t="shared" si="328"/>
        <v>0</v>
      </c>
      <c r="V277" s="65"/>
      <c r="W277" s="202"/>
      <c r="X277" s="65"/>
      <c r="Y277" s="69"/>
      <c r="Z277" s="65"/>
      <c r="AA277" s="518"/>
      <c r="AB277" s="65"/>
      <c r="AC277" s="81">
        <f t="shared" si="329"/>
        <v>0</v>
      </c>
      <c r="AD277" s="65"/>
      <c r="AE277" s="112"/>
      <c r="AF277" s="203">
        <v>0.3</v>
      </c>
      <c r="AG277" s="109">
        <f t="shared" si="330"/>
        <v>14000</v>
      </c>
      <c r="AH277" s="84">
        <f t="shared" si="331"/>
        <v>0</v>
      </c>
      <c r="AI277" s="65"/>
      <c r="AJ277" s="112"/>
      <c r="AK277" s="122"/>
      <c r="AL277" s="109">
        <v>1212</v>
      </c>
      <c r="AM277" s="84">
        <f t="shared" si="332"/>
        <v>0</v>
      </c>
      <c r="AN277" s="65"/>
      <c r="AO277" s="112"/>
      <c r="AP277" s="204"/>
      <c r="AQ277" s="109">
        <f>IFERROR((O277+AH277+AM277)/Dashboard!$D$15,0)*0.2</f>
        <v>14.46280991735537</v>
      </c>
      <c r="AR277" s="84">
        <f t="shared" si="333"/>
        <v>0</v>
      </c>
      <c r="AS277" s="65"/>
      <c r="AT277" s="112"/>
      <c r="AU277" s="203">
        <v>0.33</v>
      </c>
      <c r="AV277" s="109">
        <f t="shared" si="319"/>
        <v>14000</v>
      </c>
      <c r="AW277" s="84">
        <f t="shared" si="334"/>
        <v>0</v>
      </c>
      <c r="AX277" s="65"/>
      <c r="AY277" s="112"/>
      <c r="AZ277" s="203">
        <v>0.25</v>
      </c>
      <c r="BA277" s="109">
        <f t="shared" si="335"/>
        <v>14000</v>
      </c>
      <c r="BB277" s="84">
        <f t="shared" si="336"/>
        <v>0</v>
      </c>
      <c r="BC277" s="65"/>
      <c r="BD277" s="112"/>
      <c r="BE277" s="203">
        <v>0.26</v>
      </c>
      <c r="BF277" s="109">
        <f t="shared" si="322"/>
        <v>14000</v>
      </c>
      <c r="BG277" s="84">
        <f t="shared" si="337"/>
        <v>0</v>
      </c>
      <c r="BH277" s="197"/>
      <c r="BI277" s="518"/>
      <c r="BJ277" s="65"/>
      <c r="BK277" s="81">
        <f t="shared" si="338"/>
        <v>0</v>
      </c>
      <c r="BL277" s="65"/>
      <c r="BM277" s="204"/>
      <c r="BN277" s="156">
        <f>IF(B277&lt;&gt;"",_xlfn.XLOOKUP(B277,'Cronog. e Histog.'!B:B,'Cronog. e Histog.'!EK:EK),0)</f>
        <v>0</v>
      </c>
      <c r="BO277" s="109">
        <f>($O277/Dashboard!$D$15)*(1+Dashboard!$D$19)</f>
        <v>108.47107438016528</v>
      </c>
      <c r="BP277" s="84">
        <f t="shared" si="339"/>
        <v>0</v>
      </c>
      <c r="BQ277" s="65"/>
      <c r="BR277" s="204"/>
      <c r="BS277" s="156">
        <f>IF(B277&lt;&gt;"",_xlfn.XLOOKUP(B277,'Cronog. e Histog.'!B:B,'Cronog. e Histog.'!EL:EL),0)</f>
        <v>0</v>
      </c>
      <c r="BT277" s="109">
        <f>($O277/Dashboard!$D$15)*(1+Dashboard!$D$20)</f>
        <v>126.54958677685948</v>
      </c>
      <c r="BU277" s="84">
        <f t="shared" si="340"/>
        <v>0</v>
      </c>
      <c r="BV277" s="65"/>
      <c r="BW277" s="204"/>
      <c r="BX277" s="156">
        <f>IF(B277&lt;&gt;"",_xlfn.XLOOKUP(B277,'Cronog. e Histog.'!B:B,'Cronog. e Histog.'!EM:EM),0)</f>
        <v>0</v>
      </c>
      <c r="BY277" s="109">
        <f>($O277/Dashboard!$D$15)*(1+Dashboard!$D$21)</f>
        <v>144.62809917355369</v>
      </c>
      <c r="BZ277" s="84">
        <f t="shared" si="341"/>
        <v>0</v>
      </c>
    </row>
    <row r="278" spans="2:78" ht="12" customHeight="1" outlineLevel="1">
      <c r="B278" s="137" t="str">
        <f>'Cronog. e Histog.'!B411</f>
        <v>AN SR. ENG/ARQ - Equipe_01</v>
      </c>
      <c r="C278" s="65"/>
      <c r="D278" s="200">
        <f t="shared" si="307"/>
        <v>0</v>
      </c>
      <c r="E278" s="200">
        <f t="shared" si="308"/>
        <v>0</v>
      </c>
      <c r="F278" s="65"/>
      <c r="G278" s="200">
        <f t="shared" si="309"/>
        <v>0</v>
      </c>
      <c r="H278" s="200">
        <f t="shared" si="310"/>
        <v>0</v>
      </c>
      <c r="I278" s="65"/>
      <c r="J278" s="143" t="str">
        <f>IF('Cronog. e Histog.'!G411&gt;0,'Cronog. e Histog.'!G411,"")</f>
        <v>AN SR. ENG/ARQ</v>
      </c>
      <c r="K278" s="65"/>
      <c r="L278" s="144">
        <f>'Cronog. e Histog.'!BT411</f>
        <v>0</v>
      </c>
      <c r="M278" s="144">
        <f>'Cronog. e Histog.'!BU411</f>
        <v>0</v>
      </c>
      <c r="N278" s="65"/>
      <c r="O278" s="109">
        <f>_xlfn.XLOOKUP(B278,Salários!B:B,Salários!K:K)</f>
        <v>7950</v>
      </c>
      <c r="P278" s="109">
        <f t="shared" si="325"/>
        <v>0</v>
      </c>
      <c r="Q278" s="109">
        <f t="shared" si="326"/>
        <v>0</v>
      </c>
      <c r="R278" s="65"/>
      <c r="S278" s="109">
        <f t="shared" si="327"/>
        <v>7950</v>
      </c>
      <c r="T278" s="201" t="str">
        <f>IF(_xlfn.XLOOKUP(B278,Salários!B:B,Salários!I:I)&gt;0,_xlfn.XLOOKUP(B278,Salários!B:B,Salários!I:I),"")</f>
        <v>Mensalista</v>
      </c>
      <c r="U278" s="117">
        <f t="shared" si="328"/>
        <v>0</v>
      </c>
      <c r="V278" s="65"/>
      <c r="W278" s="202"/>
      <c r="X278" s="65"/>
      <c r="Y278" s="69"/>
      <c r="Z278" s="65"/>
      <c r="AA278" s="518"/>
      <c r="AB278" s="65"/>
      <c r="AC278" s="81">
        <f t="shared" si="329"/>
        <v>0</v>
      </c>
      <c r="AD278" s="65"/>
      <c r="AE278" s="112"/>
      <c r="AF278" s="203">
        <v>0.3</v>
      </c>
      <c r="AG278" s="109">
        <f t="shared" si="330"/>
        <v>7950</v>
      </c>
      <c r="AH278" s="84">
        <f t="shared" si="331"/>
        <v>0</v>
      </c>
      <c r="AI278" s="65"/>
      <c r="AJ278" s="112"/>
      <c r="AK278" s="122"/>
      <c r="AL278" s="109">
        <v>1212</v>
      </c>
      <c r="AM278" s="84">
        <f t="shared" si="332"/>
        <v>0</v>
      </c>
      <c r="AN278" s="65"/>
      <c r="AO278" s="112"/>
      <c r="AP278" s="204"/>
      <c r="AQ278" s="109">
        <f>IFERROR((O278+AH278+AM278)/Dashboard!$D$15,0)*0.2</f>
        <v>8.2128099173553704</v>
      </c>
      <c r="AR278" s="84">
        <f t="shared" si="333"/>
        <v>0</v>
      </c>
      <c r="AS278" s="65"/>
      <c r="AT278" s="112"/>
      <c r="AU278" s="203">
        <v>0.33</v>
      </c>
      <c r="AV278" s="109">
        <f t="shared" si="319"/>
        <v>7950</v>
      </c>
      <c r="AW278" s="84">
        <f t="shared" si="334"/>
        <v>0</v>
      </c>
      <c r="AX278" s="65"/>
      <c r="AY278" s="112"/>
      <c r="AZ278" s="203">
        <v>0.25</v>
      </c>
      <c r="BA278" s="109">
        <f t="shared" si="335"/>
        <v>7950</v>
      </c>
      <c r="BB278" s="84">
        <f t="shared" si="336"/>
        <v>0</v>
      </c>
      <c r="BC278" s="65"/>
      <c r="BD278" s="112"/>
      <c r="BE278" s="203">
        <v>0.26</v>
      </c>
      <c r="BF278" s="109">
        <f t="shared" si="322"/>
        <v>7950</v>
      </c>
      <c r="BG278" s="84">
        <f t="shared" si="337"/>
        <v>0</v>
      </c>
      <c r="BH278" s="197"/>
      <c r="BI278" s="518"/>
      <c r="BJ278" s="65"/>
      <c r="BK278" s="81">
        <f t="shared" si="338"/>
        <v>0</v>
      </c>
      <c r="BL278" s="65"/>
      <c r="BM278" s="204"/>
      <c r="BN278" s="156">
        <f>IF(B278&lt;&gt;"",_xlfn.XLOOKUP(B278,'Cronog. e Histog.'!B:B,'Cronog. e Histog.'!EK:EK),0)</f>
        <v>0</v>
      </c>
      <c r="BO278" s="109">
        <f>($O278/Dashboard!$D$15)*(1+Dashboard!$D$19)</f>
        <v>61.596074380165277</v>
      </c>
      <c r="BP278" s="84">
        <f t="shared" si="339"/>
        <v>0</v>
      </c>
      <c r="BQ278" s="65"/>
      <c r="BR278" s="204"/>
      <c r="BS278" s="156">
        <f>IF(B278&lt;&gt;"",_xlfn.XLOOKUP(B278,'Cronog. e Histog.'!B:B,'Cronog. e Histog.'!EL:EL),0)</f>
        <v>0</v>
      </c>
      <c r="BT278" s="109">
        <f>($O278/Dashboard!$D$15)*(1+Dashboard!$D$20)</f>
        <v>71.862086776859499</v>
      </c>
      <c r="BU278" s="84">
        <f t="shared" si="340"/>
        <v>0</v>
      </c>
      <c r="BV278" s="65"/>
      <c r="BW278" s="204"/>
      <c r="BX278" s="156">
        <f>IF(B278&lt;&gt;"",_xlfn.XLOOKUP(B278,'Cronog. e Histog.'!B:B,'Cronog. e Histog.'!EM:EM),0)</f>
        <v>0</v>
      </c>
      <c r="BY278" s="109">
        <f>($O278/Dashboard!$D$15)*(1+Dashboard!$D$21)</f>
        <v>82.128099173553707</v>
      </c>
      <c r="BZ278" s="84">
        <f t="shared" si="341"/>
        <v>0</v>
      </c>
    </row>
    <row r="279" spans="2:78" ht="12" customHeight="1" outlineLevel="1">
      <c r="B279" s="137" t="str">
        <f>'Cronog. e Histog.'!B412</f>
        <v>AN PL. ENG/ARQ - Equipe_01</v>
      </c>
      <c r="C279" s="65"/>
      <c r="D279" s="200">
        <f t="shared" si="307"/>
        <v>0</v>
      </c>
      <c r="E279" s="200">
        <f t="shared" si="308"/>
        <v>0</v>
      </c>
      <c r="F279" s="65"/>
      <c r="G279" s="200">
        <f t="shared" si="309"/>
        <v>0</v>
      </c>
      <c r="H279" s="200">
        <f t="shared" si="310"/>
        <v>0</v>
      </c>
      <c r="I279" s="65"/>
      <c r="J279" s="143" t="str">
        <f>IF('Cronog. e Histog.'!G412&gt;0,'Cronog. e Histog.'!G412,"")</f>
        <v>AN PL. ENG/ARQ</v>
      </c>
      <c r="K279" s="65"/>
      <c r="L279" s="144">
        <f>'Cronog. e Histog.'!BT412</f>
        <v>0</v>
      </c>
      <c r="M279" s="144">
        <f>'Cronog. e Histog.'!BU412</f>
        <v>0</v>
      </c>
      <c r="N279" s="65"/>
      <c r="O279" s="109">
        <f>_xlfn.XLOOKUP(B279,Salários!B:B,Salários!K:K)</f>
        <v>6360</v>
      </c>
      <c r="P279" s="109">
        <f t="shared" si="325"/>
        <v>0</v>
      </c>
      <c r="Q279" s="109">
        <f t="shared" si="326"/>
        <v>0</v>
      </c>
      <c r="R279" s="65"/>
      <c r="S279" s="109">
        <f t="shared" si="327"/>
        <v>6360</v>
      </c>
      <c r="T279" s="201" t="str">
        <f>IF(_xlfn.XLOOKUP(B279,Salários!B:B,Salários!I:I)&gt;0,_xlfn.XLOOKUP(B279,Salários!B:B,Salários!I:I),"")</f>
        <v>Mensalista</v>
      </c>
      <c r="U279" s="117">
        <f t="shared" si="328"/>
        <v>0</v>
      </c>
      <c r="V279" s="65"/>
      <c r="W279" s="202"/>
      <c r="X279" s="65"/>
      <c r="Y279" s="69"/>
      <c r="Z279" s="65"/>
      <c r="AA279" s="518"/>
      <c r="AB279" s="65"/>
      <c r="AC279" s="81">
        <f t="shared" si="329"/>
        <v>0</v>
      </c>
      <c r="AD279" s="65"/>
      <c r="AE279" s="112"/>
      <c r="AF279" s="203">
        <v>0.3</v>
      </c>
      <c r="AG279" s="109">
        <f t="shared" si="330"/>
        <v>6360</v>
      </c>
      <c r="AH279" s="84">
        <f t="shared" si="331"/>
        <v>0</v>
      </c>
      <c r="AI279" s="65"/>
      <c r="AJ279" s="112"/>
      <c r="AK279" s="122"/>
      <c r="AL279" s="109">
        <v>1212</v>
      </c>
      <c r="AM279" s="84">
        <f t="shared" si="332"/>
        <v>0</v>
      </c>
      <c r="AN279" s="65"/>
      <c r="AO279" s="112"/>
      <c r="AP279" s="204"/>
      <c r="AQ279" s="109">
        <f>IFERROR((O279+AH279+AM279)/Dashboard!$D$15,0)*0.2</f>
        <v>6.5702479338842963</v>
      </c>
      <c r="AR279" s="84">
        <f t="shared" si="333"/>
        <v>0</v>
      </c>
      <c r="AS279" s="65"/>
      <c r="AT279" s="112"/>
      <c r="AU279" s="203">
        <v>0.33</v>
      </c>
      <c r="AV279" s="109">
        <f t="shared" si="319"/>
        <v>6360</v>
      </c>
      <c r="AW279" s="84">
        <f t="shared" si="334"/>
        <v>0</v>
      </c>
      <c r="AX279" s="65"/>
      <c r="AY279" s="112"/>
      <c r="AZ279" s="203">
        <v>0.25</v>
      </c>
      <c r="BA279" s="109">
        <f t="shared" si="335"/>
        <v>6360</v>
      </c>
      <c r="BB279" s="84">
        <f t="shared" si="336"/>
        <v>0</v>
      </c>
      <c r="BC279" s="65"/>
      <c r="BD279" s="112"/>
      <c r="BE279" s="203">
        <v>0.26</v>
      </c>
      <c r="BF279" s="109">
        <f t="shared" si="322"/>
        <v>6360</v>
      </c>
      <c r="BG279" s="84">
        <f t="shared" si="337"/>
        <v>0</v>
      </c>
      <c r="BH279" s="197"/>
      <c r="BI279" s="518"/>
      <c r="BJ279" s="65"/>
      <c r="BK279" s="81">
        <f t="shared" si="338"/>
        <v>0</v>
      </c>
      <c r="BL279" s="65"/>
      <c r="BM279" s="204"/>
      <c r="BN279" s="156">
        <f>IF(B279&lt;&gt;"",_xlfn.XLOOKUP(B279,'Cronog. e Histog.'!B:B,'Cronog. e Histog.'!EK:EK),0)</f>
        <v>0</v>
      </c>
      <c r="BO279" s="109">
        <f>($O279/Dashboard!$D$15)*(1+Dashboard!$D$19)</f>
        <v>49.276859504132219</v>
      </c>
      <c r="BP279" s="84">
        <f t="shared" si="339"/>
        <v>0</v>
      </c>
      <c r="BQ279" s="65"/>
      <c r="BR279" s="204"/>
      <c r="BS279" s="156">
        <f>IF(B279&lt;&gt;"",_xlfn.XLOOKUP(B279,'Cronog. e Histog.'!B:B,'Cronog. e Histog.'!EL:EL),0)</f>
        <v>0</v>
      </c>
      <c r="BT279" s="109">
        <f>($O279/Dashboard!$D$15)*(1+Dashboard!$D$20)</f>
        <v>57.489669421487591</v>
      </c>
      <c r="BU279" s="84">
        <f t="shared" si="340"/>
        <v>0</v>
      </c>
      <c r="BV279" s="65"/>
      <c r="BW279" s="204"/>
      <c r="BX279" s="156">
        <f>IF(B279&lt;&gt;"",_xlfn.XLOOKUP(B279,'Cronog. e Histog.'!B:B,'Cronog. e Histog.'!EM:EM),0)</f>
        <v>0</v>
      </c>
      <c r="BY279" s="109">
        <f>($O279/Dashboard!$D$15)*(1+Dashboard!$D$21)</f>
        <v>65.702479338842963</v>
      </c>
      <c r="BZ279" s="84">
        <f t="shared" si="341"/>
        <v>0</v>
      </c>
    </row>
    <row r="280" spans="2:78" ht="12" customHeight="1" outlineLevel="1">
      <c r="B280" s="137" t="str">
        <f>'Cronog. e Histog.'!B413</f>
        <v>AN JR. ENG/ARQ - Equipe_01</v>
      </c>
      <c r="C280" s="65"/>
      <c r="D280" s="200">
        <f t="shared" si="307"/>
        <v>0</v>
      </c>
      <c r="E280" s="200">
        <f t="shared" si="308"/>
        <v>0</v>
      </c>
      <c r="F280" s="65"/>
      <c r="G280" s="200">
        <f t="shared" si="309"/>
        <v>0</v>
      </c>
      <c r="H280" s="200">
        <f t="shared" si="310"/>
        <v>0</v>
      </c>
      <c r="I280" s="65"/>
      <c r="J280" s="143" t="str">
        <f>IF('Cronog. e Histog.'!G413&gt;0,'Cronog. e Histog.'!G413,"")</f>
        <v>AN JR. ENG/ARQ</v>
      </c>
      <c r="K280" s="65"/>
      <c r="L280" s="144">
        <f>'Cronog. e Histog.'!BT413</f>
        <v>0</v>
      </c>
      <c r="M280" s="144">
        <f>'Cronog. e Histog.'!BU413</f>
        <v>0</v>
      </c>
      <c r="N280" s="65"/>
      <c r="O280" s="109">
        <f>_xlfn.XLOOKUP(B280,Salários!B:B,Salários!K:K)</f>
        <v>4770</v>
      </c>
      <c r="P280" s="109">
        <f t="shared" si="325"/>
        <v>0</v>
      </c>
      <c r="Q280" s="109">
        <f t="shared" si="326"/>
        <v>0</v>
      </c>
      <c r="R280" s="65"/>
      <c r="S280" s="109">
        <f t="shared" si="327"/>
        <v>4770</v>
      </c>
      <c r="T280" s="201" t="str">
        <f>IF(_xlfn.XLOOKUP(B280,Salários!B:B,Salários!I:I)&gt;0,_xlfn.XLOOKUP(B280,Salários!B:B,Salários!I:I),"")</f>
        <v>Mensalista</v>
      </c>
      <c r="U280" s="117">
        <f t="shared" si="328"/>
        <v>0</v>
      </c>
      <c r="V280" s="65"/>
      <c r="W280" s="202"/>
      <c r="X280" s="65"/>
      <c r="Y280" s="69"/>
      <c r="Z280" s="65"/>
      <c r="AA280" s="518"/>
      <c r="AB280" s="65"/>
      <c r="AC280" s="81">
        <f t="shared" si="329"/>
        <v>0</v>
      </c>
      <c r="AD280" s="65"/>
      <c r="AE280" s="112"/>
      <c r="AF280" s="203">
        <v>0.3</v>
      </c>
      <c r="AG280" s="109">
        <f t="shared" si="330"/>
        <v>4770</v>
      </c>
      <c r="AH280" s="84">
        <f t="shared" si="331"/>
        <v>0</v>
      </c>
      <c r="AI280" s="65"/>
      <c r="AJ280" s="112"/>
      <c r="AK280" s="122"/>
      <c r="AL280" s="109">
        <v>1212</v>
      </c>
      <c r="AM280" s="84">
        <f t="shared" si="332"/>
        <v>0</v>
      </c>
      <c r="AN280" s="65"/>
      <c r="AO280" s="112"/>
      <c r="AP280" s="204"/>
      <c r="AQ280" s="109">
        <f>IFERROR((O280+AH280+AM280)/Dashboard!$D$15,0)*0.2</f>
        <v>4.9276859504132231</v>
      </c>
      <c r="AR280" s="84">
        <f t="shared" si="333"/>
        <v>0</v>
      </c>
      <c r="AS280" s="65"/>
      <c r="AT280" s="112"/>
      <c r="AU280" s="203">
        <v>0.33</v>
      </c>
      <c r="AV280" s="109">
        <f t="shared" si="319"/>
        <v>4770</v>
      </c>
      <c r="AW280" s="84">
        <f t="shared" si="334"/>
        <v>0</v>
      </c>
      <c r="AX280" s="65"/>
      <c r="AY280" s="112"/>
      <c r="AZ280" s="203">
        <v>0.25</v>
      </c>
      <c r="BA280" s="109">
        <f t="shared" si="335"/>
        <v>4770</v>
      </c>
      <c r="BB280" s="84">
        <f t="shared" si="336"/>
        <v>0</v>
      </c>
      <c r="BC280" s="65"/>
      <c r="BD280" s="112"/>
      <c r="BE280" s="203">
        <v>0.26</v>
      </c>
      <c r="BF280" s="109">
        <f t="shared" si="322"/>
        <v>4770</v>
      </c>
      <c r="BG280" s="84">
        <f t="shared" si="337"/>
        <v>0</v>
      </c>
      <c r="BH280" s="197"/>
      <c r="BI280" s="518"/>
      <c r="BJ280" s="65"/>
      <c r="BK280" s="81">
        <f t="shared" si="338"/>
        <v>0</v>
      </c>
      <c r="BL280" s="65"/>
      <c r="BM280" s="204"/>
      <c r="BN280" s="156">
        <f>IF(B280&lt;&gt;"",_xlfn.XLOOKUP(B280,'Cronog. e Histog.'!B:B,'Cronog. e Histog.'!EK:EK),0)</f>
        <v>0</v>
      </c>
      <c r="BO280" s="109">
        <f>($O280/Dashboard!$D$15)*(1+Dashboard!$D$19)</f>
        <v>36.957644628099168</v>
      </c>
      <c r="BP280" s="84">
        <f t="shared" si="339"/>
        <v>0</v>
      </c>
      <c r="BQ280" s="65"/>
      <c r="BR280" s="204"/>
      <c r="BS280" s="156">
        <f>IF(B280&lt;&gt;"",_xlfn.XLOOKUP(B280,'Cronog. e Histog.'!B:B,'Cronog. e Histog.'!EL:EL),0)</f>
        <v>0</v>
      </c>
      <c r="BT280" s="109">
        <f>($O280/Dashboard!$D$15)*(1+Dashboard!$D$20)</f>
        <v>43.117252066115697</v>
      </c>
      <c r="BU280" s="84">
        <f t="shared" si="340"/>
        <v>0</v>
      </c>
      <c r="BV280" s="65"/>
      <c r="BW280" s="204"/>
      <c r="BX280" s="156">
        <f>IF(B280&lt;&gt;"",_xlfn.XLOOKUP(B280,'Cronog. e Histog.'!B:B,'Cronog. e Histog.'!EM:EM),0)</f>
        <v>0</v>
      </c>
      <c r="BY280" s="109">
        <f>($O280/Dashboard!$D$15)*(1+Dashboard!$D$21)</f>
        <v>49.276859504132226</v>
      </c>
      <c r="BZ280" s="84">
        <f t="shared" si="341"/>
        <v>0</v>
      </c>
    </row>
    <row r="281" spans="2:78" ht="12" customHeight="1" outlineLevel="1">
      <c r="B281" s="137" t="str">
        <f>'Cronog. e Histog.'!B414</f>
        <v>AN SR. ADM/CRP - Equipe_01</v>
      </c>
      <c r="C281" s="65"/>
      <c r="D281" s="200">
        <f t="shared" si="307"/>
        <v>0</v>
      </c>
      <c r="E281" s="200">
        <f t="shared" si="308"/>
        <v>0</v>
      </c>
      <c r="F281" s="65"/>
      <c r="G281" s="200">
        <f t="shared" si="309"/>
        <v>0</v>
      </c>
      <c r="H281" s="200">
        <f t="shared" si="310"/>
        <v>0</v>
      </c>
      <c r="I281" s="65"/>
      <c r="J281" s="143" t="str">
        <f>IF('Cronog. e Histog.'!G414&gt;0,'Cronog. e Histog.'!G414,"")</f>
        <v>AN SR. ADM/CRP</v>
      </c>
      <c r="K281" s="65"/>
      <c r="L281" s="144">
        <f>'Cronog. e Histog.'!BT414</f>
        <v>0</v>
      </c>
      <c r="M281" s="144">
        <f>'Cronog. e Histog.'!BU414</f>
        <v>0</v>
      </c>
      <c r="N281" s="65"/>
      <c r="O281" s="109">
        <f>_xlfn.XLOOKUP(B281,Salários!B:B,Salários!K:K)</f>
        <v>7420</v>
      </c>
      <c r="P281" s="109">
        <f t="shared" si="325"/>
        <v>0</v>
      </c>
      <c r="Q281" s="109">
        <f t="shared" si="326"/>
        <v>0</v>
      </c>
      <c r="R281" s="65"/>
      <c r="S281" s="109">
        <f t="shared" si="327"/>
        <v>7420</v>
      </c>
      <c r="T281" s="201" t="str">
        <f>IF(_xlfn.XLOOKUP(B281,Salários!B:B,Salários!I:I)&gt;0,_xlfn.XLOOKUP(B281,Salários!B:B,Salários!I:I),"")</f>
        <v>Mensalista</v>
      </c>
      <c r="U281" s="117">
        <f t="shared" si="328"/>
        <v>0</v>
      </c>
      <c r="V281" s="65"/>
      <c r="W281" s="202"/>
      <c r="X281" s="65"/>
      <c r="Y281" s="69"/>
      <c r="Z281" s="65"/>
      <c r="AA281" s="518"/>
      <c r="AB281" s="65"/>
      <c r="AC281" s="81">
        <f t="shared" si="329"/>
        <v>0</v>
      </c>
      <c r="AD281" s="65"/>
      <c r="AE281" s="112"/>
      <c r="AF281" s="203">
        <v>0.3</v>
      </c>
      <c r="AG281" s="109">
        <f t="shared" si="330"/>
        <v>7420</v>
      </c>
      <c r="AH281" s="84">
        <f t="shared" si="331"/>
        <v>0</v>
      </c>
      <c r="AI281" s="65"/>
      <c r="AJ281" s="112"/>
      <c r="AK281" s="122"/>
      <c r="AL281" s="109">
        <v>1212</v>
      </c>
      <c r="AM281" s="84">
        <f t="shared" si="332"/>
        <v>0</v>
      </c>
      <c r="AN281" s="65"/>
      <c r="AO281" s="112"/>
      <c r="AP281" s="204"/>
      <c r="AQ281" s="109">
        <f>IFERROR((O281+AH281+AM281)/Dashboard!$D$15,0)*0.2</f>
        <v>7.6652892561983466</v>
      </c>
      <c r="AR281" s="84">
        <f t="shared" si="333"/>
        <v>0</v>
      </c>
      <c r="AS281" s="65"/>
      <c r="AT281" s="112"/>
      <c r="AU281" s="203">
        <v>0.33</v>
      </c>
      <c r="AV281" s="109">
        <f t="shared" si="319"/>
        <v>7420</v>
      </c>
      <c r="AW281" s="84">
        <f t="shared" si="334"/>
        <v>0</v>
      </c>
      <c r="AX281" s="65"/>
      <c r="AY281" s="112"/>
      <c r="AZ281" s="203">
        <v>0.25</v>
      </c>
      <c r="BA281" s="109">
        <f t="shared" si="335"/>
        <v>7420</v>
      </c>
      <c r="BB281" s="84">
        <f t="shared" si="336"/>
        <v>0</v>
      </c>
      <c r="BC281" s="65"/>
      <c r="BD281" s="112"/>
      <c r="BE281" s="203">
        <v>0.26</v>
      </c>
      <c r="BF281" s="109">
        <f t="shared" si="322"/>
        <v>7420</v>
      </c>
      <c r="BG281" s="84">
        <f t="shared" si="337"/>
        <v>0</v>
      </c>
      <c r="BH281" s="197"/>
      <c r="BI281" s="518"/>
      <c r="BJ281" s="65"/>
      <c r="BK281" s="81">
        <f t="shared" si="338"/>
        <v>0</v>
      </c>
      <c r="BL281" s="65"/>
      <c r="BM281" s="204"/>
      <c r="BN281" s="156">
        <f>IF(B281&lt;&gt;"",_xlfn.XLOOKUP(B281,'Cronog. e Histog.'!B:B,'Cronog. e Histog.'!EK:EK),0)</f>
        <v>0</v>
      </c>
      <c r="BO281" s="109">
        <f>($O281/Dashboard!$D$15)*(1+Dashboard!$D$19)</f>
        <v>57.489669421487598</v>
      </c>
      <c r="BP281" s="84">
        <f t="shared" si="339"/>
        <v>0</v>
      </c>
      <c r="BQ281" s="65"/>
      <c r="BR281" s="204"/>
      <c r="BS281" s="156">
        <f>IF(B281&lt;&gt;"",_xlfn.XLOOKUP(B281,'Cronog. e Histog.'!B:B,'Cronog. e Histog.'!EL:EL),0)</f>
        <v>0</v>
      </c>
      <c r="BT281" s="109">
        <f>($O281/Dashboard!$D$15)*(1+Dashboard!$D$20)</f>
        <v>67.071280991735534</v>
      </c>
      <c r="BU281" s="84">
        <f t="shared" si="340"/>
        <v>0</v>
      </c>
      <c r="BV281" s="65"/>
      <c r="BW281" s="204"/>
      <c r="BX281" s="156">
        <f>IF(B281&lt;&gt;"",_xlfn.XLOOKUP(B281,'Cronog. e Histog.'!B:B,'Cronog. e Histog.'!EM:EM),0)</f>
        <v>0</v>
      </c>
      <c r="BY281" s="109">
        <f>($O281/Dashboard!$D$15)*(1+Dashboard!$D$21)</f>
        <v>76.652892561983464</v>
      </c>
      <c r="BZ281" s="84">
        <f t="shared" si="341"/>
        <v>0</v>
      </c>
    </row>
    <row r="282" spans="2:78" ht="12" customHeight="1" outlineLevel="1">
      <c r="B282" s="137" t="str">
        <f>'Cronog. e Histog.'!B415</f>
        <v>AN PL. ADM/CRP - Equipe_01</v>
      </c>
      <c r="C282" s="65"/>
      <c r="D282" s="200">
        <f t="shared" si="307"/>
        <v>0</v>
      </c>
      <c r="E282" s="200">
        <f t="shared" si="308"/>
        <v>0</v>
      </c>
      <c r="F282" s="65"/>
      <c r="G282" s="200">
        <f t="shared" si="309"/>
        <v>0</v>
      </c>
      <c r="H282" s="200">
        <f t="shared" si="310"/>
        <v>0</v>
      </c>
      <c r="I282" s="65"/>
      <c r="J282" s="143" t="str">
        <f>IF('Cronog. e Histog.'!G415&gt;0,'Cronog. e Histog.'!G415,"")</f>
        <v>AN PL. ADM/CRP</v>
      </c>
      <c r="K282" s="65"/>
      <c r="L282" s="144">
        <f>'Cronog. e Histog.'!BT415</f>
        <v>0</v>
      </c>
      <c r="M282" s="144">
        <f>'Cronog. e Histog.'!BU415</f>
        <v>0</v>
      </c>
      <c r="N282" s="65"/>
      <c r="O282" s="109">
        <f>_xlfn.XLOOKUP(B282,Salários!B:B,Salários!K:K)</f>
        <v>5300</v>
      </c>
      <c r="P282" s="109">
        <f t="shared" si="325"/>
        <v>0</v>
      </c>
      <c r="Q282" s="109">
        <f t="shared" si="326"/>
        <v>0</v>
      </c>
      <c r="R282" s="65"/>
      <c r="S282" s="109">
        <f t="shared" si="327"/>
        <v>5300</v>
      </c>
      <c r="T282" s="201" t="str">
        <f>IF(_xlfn.XLOOKUP(B282,Salários!B:B,Salários!I:I)&gt;0,_xlfn.XLOOKUP(B282,Salários!B:B,Salários!I:I),"")</f>
        <v>Mensalista</v>
      </c>
      <c r="U282" s="117">
        <f t="shared" si="328"/>
        <v>0</v>
      </c>
      <c r="V282" s="65"/>
      <c r="W282" s="202"/>
      <c r="X282" s="65"/>
      <c r="Y282" s="69"/>
      <c r="Z282" s="65"/>
      <c r="AA282" s="518"/>
      <c r="AB282" s="65"/>
      <c r="AC282" s="81">
        <f t="shared" si="329"/>
        <v>0</v>
      </c>
      <c r="AD282" s="65"/>
      <c r="AE282" s="112"/>
      <c r="AF282" s="203">
        <v>0.3</v>
      </c>
      <c r="AG282" s="109">
        <f t="shared" si="330"/>
        <v>5300</v>
      </c>
      <c r="AH282" s="84">
        <f t="shared" si="331"/>
        <v>0</v>
      </c>
      <c r="AI282" s="65"/>
      <c r="AJ282" s="112"/>
      <c r="AK282" s="122"/>
      <c r="AL282" s="109">
        <v>1212</v>
      </c>
      <c r="AM282" s="84">
        <f t="shared" si="332"/>
        <v>0</v>
      </c>
      <c r="AN282" s="65"/>
      <c r="AO282" s="112"/>
      <c r="AP282" s="204"/>
      <c r="AQ282" s="109">
        <f>IFERROR((O282+AH282+AM282)/Dashboard!$D$15,0)*0.2</f>
        <v>5.4752066115702478</v>
      </c>
      <c r="AR282" s="84">
        <f t="shared" si="333"/>
        <v>0</v>
      </c>
      <c r="AS282" s="65"/>
      <c r="AT282" s="112"/>
      <c r="AU282" s="203">
        <v>0.33</v>
      </c>
      <c r="AV282" s="109">
        <f t="shared" si="319"/>
        <v>5300</v>
      </c>
      <c r="AW282" s="84">
        <f t="shared" si="334"/>
        <v>0</v>
      </c>
      <c r="AX282" s="65"/>
      <c r="AY282" s="112"/>
      <c r="AZ282" s="203">
        <v>0.25</v>
      </c>
      <c r="BA282" s="109">
        <f t="shared" si="335"/>
        <v>5300</v>
      </c>
      <c r="BB282" s="84">
        <f t="shared" si="336"/>
        <v>0</v>
      </c>
      <c r="BC282" s="65"/>
      <c r="BD282" s="112"/>
      <c r="BE282" s="203">
        <v>0.26</v>
      </c>
      <c r="BF282" s="109">
        <f t="shared" si="322"/>
        <v>5300</v>
      </c>
      <c r="BG282" s="84">
        <f t="shared" si="337"/>
        <v>0</v>
      </c>
      <c r="BH282" s="197"/>
      <c r="BI282" s="518"/>
      <c r="BJ282" s="65"/>
      <c r="BK282" s="81">
        <f t="shared" si="338"/>
        <v>0</v>
      </c>
      <c r="BL282" s="65"/>
      <c r="BM282" s="204"/>
      <c r="BN282" s="156">
        <f>IF(B282&lt;&gt;"",_xlfn.XLOOKUP(B282,'Cronog. e Histog.'!B:B,'Cronog. e Histog.'!EK:EK),0)</f>
        <v>0</v>
      </c>
      <c r="BO282" s="109">
        <f>($O282/Dashboard!$D$15)*(1+Dashboard!$D$19)</f>
        <v>41.064049586776861</v>
      </c>
      <c r="BP282" s="84">
        <f t="shared" si="339"/>
        <v>0</v>
      </c>
      <c r="BQ282" s="65"/>
      <c r="BR282" s="204"/>
      <c r="BS282" s="156">
        <f>IF(B282&lt;&gt;"",_xlfn.XLOOKUP(B282,'Cronog. e Histog.'!B:B,'Cronog. e Histog.'!EL:EL),0)</f>
        <v>0</v>
      </c>
      <c r="BT282" s="109">
        <f>($O282/Dashboard!$D$15)*(1+Dashboard!$D$20)</f>
        <v>47.908057851239668</v>
      </c>
      <c r="BU282" s="84">
        <f t="shared" si="340"/>
        <v>0</v>
      </c>
      <c r="BV282" s="65"/>
      <c r="BW282" s="204"/>
      <c r="BX282" s="156">
        <f>IF(B282&lt;&gt;"",_xlfn.XLOOKUP(B282,'Cronog. e Histog.'!B:B,'Cronog. e Histog.'!EM:EM),0)</f>
        <v>0</v>
      </c>
      <c r="BY282" s="109">
        <f>($O282/Dashboard!$D$15)*(1+Dashboard!$D$21)</f>
        <v>54.752066115702476</v>
      </c>
      <c r="BZ282" s="84">
        <f t="shared" si="341"/>
        <v>0</v>
      </c>
    </row>
    <row r="283" spans="2:78" ht="12" customHeight="1" outlineLevel="1">
      <c r="B283" s="137" t="str">
        <f>'Cronog. e Histog.'!B416</f>
        <v>AN JR. ADM/CRP - Equipe_01</v>
      </c>
      <c r="C283" s="65"/>
      <c r="D283" s="200">
        <f t="shared" si="307"/>
        <v>0</v>
      </c>
      <c r="E283" s="200">
        <f t="shared" si="308"/>
        <v>0</v>
      </c>
      <c r="F283" s="65"/>
      <c r="G283" s="200">
        <f t="shared" si="309"/>
        <v>0</v>
      </c>
      <c r="H283" s="200">
        <f t="shared" si="310"/>
        <v>0</v>
      </c>
      <c r="I283" s="65"/>
      <c r="J283" s="143" t="str">
        <f>IF('Cronog. e Histog.'!G416&gt;0,'Cronog. e Histog.'!G416,"")</f>
        <v>AN JR. ADM/CRP</v>
      </c>
      <c r="K283" s="65"/>
      <c r="L283" s="144">
        <f>'Cronog. e Histog.'!BT416</f>
        <v>0</v>
      </c>
      <c r="M283" s="144">
        <f>'Cronog. e Histog.'!BU416</f>
        <v>0</v>
      </c>
      <c r="N283" s="65"/>
      <c r="O283" s="109">
        <f>_xlfn.XLOOKUP(B283,Salários!B:B,Salários!K:K)</f>
        <v>3710</v>
      </c>
      <c r="P283" s="109">
        <f t="shared" si="325"/>
        <v>0</v>
      </c>
      <c r="Q283" s="109">
        <f t="shared" si="326"/>
        <v>0</v>
      </c>
      <c r="R283" s="65"/>
      <c r="S283" s="109">
        <f t="shared" si="327"/>
        <v>3710</v>
      </c>
      <c r="T283" s="201" t="str">
        <f>IF(_xlfn.XLOOKUP(B283,Salários!B:B,Salários!I:I)&gt;0,_xlfn.XLOOKUP(B283,Salários!B:B,Salários!I:I),"")</f>
        <v>Mensalista</v>
      </c>
      <c r="U283" s="117">
        <f t="shared" si="314"/>
        <v>0</v>
      </c>
      <c r="V283" s="65"/>
      <c r="W283" s="202"/>
      <c r="X283" s="65"/>
      <c r="Y283" s="69"/>
      <c r="Z283" s="65"/>
      <c r="AA283" s="518"/>
      <c r="AB283" s="65"/>
      <c r="AC283" s="81">
        <f t="shared" si="315"/>
        <v>0</v>
      </c>
      <c r="AD283" s="65"/>
      <c r="AE283" s="112"/>
      <c r="AF283" s="203">
        <v>0.3</v>
      </c>
      <c r="AG283" s="109">
        <f t="shared" si="44"/>
        <v>3710</v>
      </c>
      <c r="AH283" s="84">
        <f t="shared" si="316"/>
        <v>0</v>
      </c>
      <c r="AI283" s="65"/>
      <c r="AJ283" s="112"/>
      <c r="AK283" s="122"/>
      <c r="AL283" s="109">
        <v>1212</v>
      </c>
      <c r="AM283" s="84">
        <f t="shared" si="317"/>
        <v>0</v>
      </c>
      <c r="AN283" s="65"/>
      <c r="AO283" s="112"/>
      <c r="AP283" s="204"/>
      <c r="AQ283" s="109">
        <f>IFERROR((O283+AH283+AM283)/Dashboard!$D$15,0)*0.2</f>
        <v>3.8326446280991733</v>
      </c>
      <c r="AR283" s="84">
        <f t="shared" si="318"/>
        <v>0</v>
      </c>
      <c r="AS283" s="65"/>
      <c r="AT283" s="112"/>
      <c r="AU283" s="203">
        <v>0.33</v>
      </c>
      <c r="AV283" s="109">
        <f t="shared" si="319"/>
        <v>3710</v>
      </c>
      <c r="AW283" s="84">
        <f t="shared" si="320"/>
        <v>0</v>
      </c>
      <c r="AX283" s="65"/>
      <c r="AY283" s="112"/>
      <c r="AZ283" s="203">
        <v>0.25</v>
      </c>
      <c r="BA283" s="109">
        <f t="shared" si="50"/>
        <v>3710</v>
      </c>
      <c r="BB283" s="84">
        <f t="shared" si="321"/>
        <v>0</v>
      </c>
      <c r="BC283" s="65"/>
      <c r="BD283" s="112"/>
      <c r="BE283" s="203">
        <v>0.26</v>
      </c>
      <c r="BF283" s="109">
        <f t="shared" si="322"/>
        <v>3710</v>
      </c>
      <c r="BG283" s="84">
        <f t="shared" si="323"/>
        <v>0</v>
      </c>
      <c r="BH283" s="197"/>
      <c r="BI283" s="518"/>
      <c r="BJ283" s="65"/>
      <c r="BK283" s="81">
        <f t="shared" si="324"/>
        <v>0</v>
      </c>
      <c r="BL283" s="65"/>
      <c r="BM283" s="204"/>
      <c r="BN283" s="156">
        <f>IF(B283&lt;&gt;"",_xlfn.XLOOKUP(B283,'Cronog. e Histog.'!B:B,'Cronog. e Histog.'!EK:EK),0)</f>
        <v>0</v>
      </c>
      <c r="BO283" s="109">
        <f>($O283/Dashboard!$D$15)*(1+Dashboard!$D$19)</f>
        <v>28.744834710743799</v>
      </c>
      <c r="BP283" s="84">
        <f t="shared" si="339"/>
        <v>0</v>
      </c>
      <c r="BQ283" s="65"/>
      <c r="BR283" s="204"/>
      <c r="BS283" s="156">
        <f>IF(B283&lt;&gt;"",_xlfn.XLOOKUP(B283,'Cronog. e Histog.'!B:B,'Cronog. e Histog.'!EL:EL),0)</f>
        <v>0</v>
      </c>
      <c r="BT283" s="109">
        <f>($O283/Dashboard!$D$15)*(1+Dashboard!$D$20)</f>
        <v>33.535640495867767</v>
      </c>
      <c r="BU283" s="84">
        <f t="shared" si="340"/>
        <v>0</v>
      </c>
      <c r="BV283" s="65"/>
      <c r="BW283" s="204"/>
      <c r="BX283" s="156">
        <f>IF(B283&lt;&gt;"",_xlfn.XLOOKUP(B283,'Cronog. e Histog.'!B:B,'Cronog. e Histog.'!EM:EM),0)</f>
        <v>0</v>
      </c>
      <c r="BY283" s="109">
        <f>($O283/Dashboard!$D$15)*(1+Dashboard!$D$21)</f>
        <v>38.326446280991732</v>
      </c>
      <c r="BZ283" s="84">
        <f t="shared" si="341"/>
        <v>0</v>
      </c>
    </row>
    <row r="284" spans="2:78" ht="12" customHeight="1" outlineLevel="1">
      <c r="B284" s="137" t="str">
        <f>'Cronog. e Histog.'!B417</f>
        <v>TEC III - Equipe_01</v>
      </c>
      <c r="C284" s="65"/>
      <c r="D284" s="200">
        <f t="shared" si="307"/>
        <v>0</v>
      </c>
      <c r="E284" s="200">
        <f t="shared" si="308"/>
        <v>0</v>
      </c>
      <c r="F284" s="65"/>
      <c r="G284" s="200">
        <f t="shared" si="309"/>
        <v>0</v>
      </c>
      <c r="H284" s="200">
        <f t="shared" si="310"/>
        <v>0</v>
      </c>
      <c r="I284" s="65"/>
      <c r="J284" s="143" t="str">
        <f>IF('Cronog. e Histog.'!G417&gt;0,'Cronog. e Histog.'!G417,"")</f>
        <v>TEC III</v>
      </c>
      <c r="K284" s="65"/>
      <c r="L284" s="144">
        <f>'Cronog. e Histog.'!BT417</f>
        <v>0</v>
      </c>
      <c r="M284" s="144">
        <f>'Cronog. e Histog.'!BU417</f>
        <v>0</v>
      </c>
      <c r="N284" s="65"/>
      <c r="O284" s="109">
        <f>_xlfn.XLOOKUP(B284,Salários!B:B,Salários!K:K)</f>
        <v>6360</v>
      </c>
      <c r="P284" s="109">
        <f t="shared" si="325"/>
        <v>0</v>
      </c>
      <c r="Q284" s="109">
        <f t="shared" si="326"/>
        <v>0</v>
      </c>
      <c r="R284" s="65"/>
      <c r="S284" s="109">
        <f t="shared" si="327"/>
        <v>6360</v>
      </c>
      <c r="T284" s="201" t="str">
        <f>IF(_xlfn.XLOOKUP(B284,Salários!B:B,Salários!I:I)&gt;0,_xlfn.XLOOKUP(B284,Salários!B:B,Salários!I:I),"")</f>
        <v>Mensalista</v>
      </c>
      <c r="U284" s="117">
        <f t="shared" si="314"/>
        <v>0</v>
      </c>
      <c r="V284" s="65"/>
      <c r="W284" s="202"/>
      <c r="X284" s="65"/>
      <c r="Y284" s="69"/>
      <c r="Z284" s="65"/>
      <c r="AA284" s="518"/>
      <c r="AB284" s="65"/>
      <c r="AC284" s="81">
        <f t="shared" si="315"/>
        <v>0</v>
      </c>
      <c r="AD284" s="65"/>
      <c r="AE284" s="112"/>
      <c r="AF284" s="203">
        <v>0.3</v>
      </c>
      <c r="AG284" s="109">
        <f t="shared" si="44"/>
        <v>6360</v>
      </c>
      <c r="AH284" s="84">
        <f t="shared" si="316"/>
        <v>0</v>
      </c>
      <c r="AI284" s="65"/>
      <c r="AJ284" s="112"/>
      <c r="AK284" s="122"/>
      <c r="AL284" s="109">
        <v>1212</v>
      </c>
      <c r="AM284" s="84">
        <f t="shared" si="317"/>
        <v>0</v>
      </c>
      <c r="AN284" s="65"/>
      <c r="AO284" s="112"/>
      <c r="AP284" s="204"/>
      <c r="AQ284" s="109">
        <f>IFERROR((O284+AH284+AM284)/Dashboard!$D$15,0)*0.2</f>
        <v>6.5702479338842963</v>
      </c>
      <c r="AR284" s="84">
        <f t="shared" si="318"/>
        <v>0</v>
      </c>
      <c r="AS284" s="65"/>
      <c r="AT284" s="112"/>
      <c r="AU284" s="203">
        <v>0.33</v>
      </c>
      <c r="AV284" s="109">
        <f t="shared" si="319"/>
        <v>6360</v>
      </c>
      <c r="AW284" s="84">
        <f t="shared" si="320"/>
        <v>0</v>
      </c>
      <c r="AX284" s="65"/>
      <c r="AY284" s="112"/>
      <c r="AZ284" s="203">
        <v>0.25</v>
      </c>
      <c r="BA284" s="109">
        <f t="shared" si="50"/>
        <v>6360</v>
      </c>
      <c r="BB284" s="84">
        <f t="shared" si="321"/>
        <v>0</v>
      </c>
      <c r="BC284" s="65"/>
      <c r="BD284" s="112"/>
      <c r="BE284" s="203">
        <v>0.26</v>
      </c>
      <c r="BF284" s="109">
        <f t="shared" si="322"/>
        <v>6360</v>
      </c>
      <c r="BG284" s="84">
        <f t="shared" si="323"/>
        <v>0</v>
      </c>
      <c r="BH284" s="197"/>
      <c r="BI284" s="518"/>
      <c r="BJ284" s="65"/>
      <c r="BK284" s="81">
        <f t="shared" si="324"/>
        <v>0</v>
      </c>
      <c r="BL284" s="65"/>
      <c r="BM284" s="204"/>
      <c r="BN284" s="156">
        <f>IF(B284&lt;&gt;"",_xlfn.XLOOKUP(B284,'Cronog. e Histog.'!B:B,'Cronog. e Histog.'!EK:EK),0)</f>
        <v>0</v>
      </c>
      <c r="BO284" s="109">
        <f>($O284/Dashboard!$D$15)*(1+Dashboard!$D$19)</f>
        <v>49.276859504132219</v>
      </c>
      <c r="BP284" s="84">
        <f t="shared" si="339"/>
        <v>0</v>
      </c>
      <c r="BQ284" s="65"/>
      <c r="BR284" s="204"/>
      <c r="BS284" s="156">
        <f>IF(B284&lt;&gt;"",_xlfn.XLOOKUP(B284,'Cronog. e Histog.'!B:B,'Cronog. e Histog.'!EL:EL),0)</f>
        <v>0</v>
      </c>
      <c r="BT284" s="109">
        <f>($O284/Dashboard!$D$15)*(1+Dashboard!$D$20)</f>
        <v>57.489669421487591</v>
      </c>
      <c r="BU284" s="84">
        <f t="shared" si="340"/>
        <v>0</v>
      </c>
      <c r="BV284" s="65"/>
      <c r="BW284" s="204"/>
      <c r="BX284" s="156">
        <f>IF(B284&lt;&gt;"",_xlfn.XLOOKUP(B284,'Cronog. e Histog.'!B:B,'Cronog. e Histog.'!EM:EM),0)</f>
        <v>0</v>
      </c>
      <c r="BY284" s="109">
        <f>($O284/Dashboard!$D$15)*(1+Dashboard!$D$21)</f>
        <v>65.702479338842963</v>
      </c>
      <c r="BZ284" s="84">
        <f t="shared" si="341"/>
        <v>0</v>
      </c>
    </row>
    <row r="285" spans="2:78" ht="12" customHeight="1" outlineLevel="1">
      <c r="B285" s="137" t="str">
        <f>'Cronog. e Histog.'!B418</f>
        <v>TEC II - Equipe_01</v>
      </c>
      <c r="C285" s="65"/>
      <c r="D285" s="200">
        <f t="shared" si="307"/>
        <v>0</v>
      </c>
      <c r="E285" s="200">
        <f t="shared" si="308"/>
        <v>0</v>
      </c>
      <c r="F285" s="65"/>
      <c r="G285" s="200">
        <f t="shared" si="309"/>
        <v>0</v>
      </c>
      <c r="H285" s="200">
        <f t="shared" si="310"/>
        <v>0</v>
      </c>
      <c r="I285" s="65"/>
      <c r="J285" s="143" t="str">
        <f>IF('Cronog. e Histog.'!G418&gt;0,'Cronog. e Histog.'!G418,"")</f>
        <v>TEC II</v>
      </c>
      <c r="K285" s="65"/>
      <c r="L285" s="144">
        <f>'Cronog. e Histog.'!BT418</f>
        <v>0</v>
      </c>
      <c r="M285" s="144">
        <f>'Cronog. e Histog.'!BU418</f>
        <v>0</v>
      </c>
      <c r="N285" s="65"/>
      <c r="O285" s="109">
        <f>_xlfn.XLOOKUP(B285,Salários!B:B,Salários!K:K)</f>
        <v>4770</v>
      </c>
      <c r="P285" s="109">
        <f t="shared" si="325"/>
        <v>0</v>
      </c>
      <c r="Q285" s="109">
        <f t="shared" si="326"/>
        <v>0</v>
      </c>
      <c r="R285" s="65"/>
      <c r="S285" s="109">
        <f t="shared" si="327"/>
        <v>4770</v>
      </c>
      <c r="T285" s="201" t="str">
        <f>IF(_xlfn.XLOOKUP(B285,Salários!B:B,Salários!I:I)&gt;0,_xlfn.XLOOKUP(B285,Salários!B:B,Salários!I:I),"")</f>
        <v>Mensalista</v>
      </c>
      <c r="U285" s="117">
        <f t="shared" si="314"/>
        <v>0</v>
      </c>
      <c r="V285" s="65"/>
      <c r="W285" s="202"/>
      <c r="X285" s="65"/>
      <c r="Y285" s="69"/>
      <c r="Z285" s="65"/>
      <c r="AA285" s="518"/>
      <c r="AB285" s="65"/>
      <c r="AC285" s="81">
        <f t="shared" si="315"/>
        <v>0</v>
      </c>
      <c r="AD285" s="65"/>
      <c r="AE285" s="112"/>
      <c r="AF285" s="203">
        <v>0.3</v>
      </c>
      <c r="AG285" s="109">
        <f t="shared" si="44"/>
        <v>4770</v>
      </c>
      <c r="AH285" s="84">
        <f t="shared" si="316"/>
        <v>0</v>
      </c>
      <c r="AI285" s="65"/>
      <c r="AJ285" s="112"/>
      <c r="AK285" s="122"/>
      <c r="AL285" s="109">
        <v>1212</v>
      </c>
      <c r="AM285" s="84">
        <f t="shared" si="317"/>
        <v>0</v>
      </c>
      <c r="AN285" s="65"/>
      <c r="AO285" s="112"/>
      <c r="AP285" s="204"/>
      <c r="AQ285" s="109">
        <f>IFERROR((O285+AH285+AM285)/Dashboard!$D$15,0)*0.2</f>
        <v>4.9276859504132231</v>
      </c>
      <c r="AR285" s="84">
        <f t="shared" si="318"/>
        <v>0</v>
      </c>
      <c r="AS285" s="65"/>
      <c r="AT285" s="112"/>
      <c r="AU285" s="203">
        <v>0.33</v>
      </c>
      <c r="AV285" s="109">
        <f t="shared" si="319"/>
        <v>4770</v>
      </c>
      <c r="AW285" s="84">
        <f t="shared" si="320"/>
        <v>0</v>
      </c>
      <c r="AX285" s="65"/>
      <c r="AY285" s="112"/>
      <c r="AZ285" s="203">
        <v>0.25</v>
      </c>
      <c r="BA285" s="109">
        <f t="shared" si="50"/>
        <v>4770</v>
      </c>
      <c r="BB285" s="84">
        <f t="shared" si="321"/>
        <v>0</v>
      </c>
      <c r="BC285" s="65"/>
      <c r="BD285" s="112"/>
      <c r="BE285" s="203">
        <v>0.26</v>
      </c>
      <c r="BF285" s="109">
        <f t="shared" si="322"/>
        <v>4770</v>
      </c>
      <c r="BG285" s="84">
        <f t="shared" si="323"/>
        <v>0</v>
      </c>
      <c r="BH285" s="197"/>
      <c r="BI285" s="518"/>
      <c r="BJ285" s="65"/>
      <c r="BK285" s="81">
        <f t="shared" si="324"/>
        <v>0</v>
      </c>
      <c r="BL285" s="65"/>
      <c r="BM285" s="204"/>
      <c r="BN285" s="156">
        <f>IF(B285&lt;&gt;"",_xlfn.XLOOKUP(B285,'Cronog. e Histog.'!B:B,'Cronog. e Histog.'!EK:EK),0)</f>
        <v>0</v>
      </c>
      <c r="BO285" s="109">
        <f>($O285/Dashboard!$D$15)*(1+Dashboard!$D$19)</f>
        <v>36.957644628099168</v>
      </c>
      <c r="BP285" s="84">
        <f t="shared" si="339"/>
        <v>0</v>
      </c>
      <c r="BQ285" s="65"/>
      <c r="BR285" s="204"/>
      <c r="BS285" s="156">
        <f>IF(B285&lt;&gt;"",_xlfn.XLOOKUP(B285,'Cronog. e Histog.'!B:B,'Cronog. e Histog.'!EL:EL),0)</f>
        <v>0</v>
      </c>
      <c r="BT285" s="109">
        <f>($O285/Dashboard!$D$15)*(1+Dashboard!$D$20)</f>
        <v>43.117252066115697</v>
      </c>
      <c r="BU285" s="84">
        <f t="shared" si="340"/>
        <v>0</v>
      </c>
      <c r="BV285" s="65"/>
      <c r="BW285" s="204"/>
      <c r="BX285" s="156">
        <f>IF(B285&lt;&gt;"",_xlfn.XLOOKUP(B285,'Cronog. e Histog.'!B:B,'Cronog. e Histog.'!EM:EM),0)</f>
        <v>0</v>
      </c>
      <c r="BY285" s="109">
        <f>($O285/Dashboard!$D$15)*(1+Dashboard!$D$21)</f>
        <v>49.276859504132226</v>
      </c>
      <c r="BZ285" s="84">
        <f t="shared" si="341"/>
        <v>0</v>
      </c>
    </row>
    <row r="286" spans="2:78" ht="12" customHeight="1" outlineLevel="1">
      <c r="B286" s="137" t="str">
        <f>'Cronog. e Histog.'!B419</f>
        <v>TEC I - Equipe_01</v>
      </c>
      <c r="C286" s="65"/>
      <c r="D286" s="200">
        <f t="shared" si="307"/>
        <v>0</v>
      </c>
      <c r="E286" s="200">
        <f t="shared" si="308"/>
        <v>0</v>
      </c>
      <c r="F286" s="65"/>
      <c r="G286" s="200">
        <f t="shared" si="309"/>
        <v>0</v>
      </c>
      <c r="H286" s="200">
        <f t="shared" si="310"/>
        <v>0</v>
      </c>
      <c r="I286" s="65"/>
      <c r="J286" s="143" t="str">
        <f>IF('Cronog. e Histog.'!G419&gt;0,'Cronog. e Histog.'!G419,"")</f>
        <v>TEC I</v>
      </c>
      <c r="K286" s="65"/>
      <c r="L286" s="144">
        <f>'Cronog. e Histog.'!BT419</f>
        <v>0</v>
      </c>
      <c r="M286" s="144">
        <f>'Cronog. e Histog.'!BU419</f>
        <v>0</v>
      </c>
      <c r="N286" s="65"/>
      <c r="O286" s="109">
        <f>_xlfn.XLOOKUP(B286,Salários!B:B,Salários!K:K)</f>
        <v>3180</v>
      </c>
      <c r="P286" s="109">
        <f t="shared" si="325"/>
        <v>0</v>
      </c>
      <c r="Q286" s="109">
        <f t="shared" si="326"/>
        <v>0</v>
      </c>
      <c r="R286" s="65"/>
      <c r="S286" s="109">
        <f t="shared" si="327"/>
        <v>3180</v>
      </c>
      <c r="T286" s="201" t="str">
        <f>IF(_xlfn.XLOOKUP(B286,Salários!B:B,Salários!I:I)&gt;0,_xlfn.XLOOKUP(B286,Salários!B:B,Salários!I:I),"")</f>
        <v>Mensalista</v>
      </c>
      <c r="U286" s="117">
        <f t="shared" si="314"/>
        <v>0</v>
      </c>
      <c r="V286" s="65"/>
      <c r="W286" s="202"/>
      <c r="X286" s="65"/>
      <c r="Y286" s="69"/>
      <c r="Z286" s="65"/>
      <c r="AA286" s="518"/>
      <c r="AB286" s="65"/>
      <c r="AC286" s="81">
        <f t="shared" si="315"/>
        <v>0</v>
      </c>
      <c r="AD286" s="65"/>
      <c r="AE286" s="112"/>
      <c r="AF286" s="203">
        <v>0.3</v>
      </c>
      <c r="AG286" s="109">
        <f t="shared" si="44"/>
        <v>3180</v>
      </c>
      <c r="AH286" s="84">
        <f t="shared" si="316"/>
        <v>0</v>
      </c>
      <c r="AI286" s="65"/>
      <c r="AJ286" s="112"/>
      <c r="AK286" s="122"/>
      <c r="AL286" s="109">
        <v>1212</v>
      </c>
      <c r="AM286" s="84">
        <f t="shared" si="317"/>
        <v>0</v>
      </c>
      <c r="AN286" s="65"/>
      <c r="AO286" s="112"/>
      <c r="AP286" s="204"/>
      <c r="AQ286" s="109">
        <f>IFERROR((O286+AH286+AM286)/Dashboard!$D$15,0)*0.2</f>
        <v>3.2851239669421481</v>
      </c>
      <c r="AR286" s="84">
        <f t="shared" si="318"/>
        <v>0</v>
      </c>
      <c r="AS286" s="65"/>
      <c r="AT286" s="112"/>
      <c r="AU286" s="203">
        <v>0.33</v>
      </c>
      <c r="AV286" s="109">
        <f t="shared" si="319"/>
        <v>3180</v>
      </c>
      <c r="AW286" s="84">
        <f t="shared" si="320"/>
        <v>0</v>
      </c>
      <c r="AX286" s="65"/>
      <c r="AY286" s="112"/>
      <c r="AZ286" s="203">
        <v>0.25</v>
      </c>
      <c r="BA286" s="109">
        <f t="shared" si="50"/>
        <v>3180</v>
      </c>
      <c r="BB286" s="84">
        <f t="shared" si="321"/>
        <v>0</v>
      </c>
      <c r="BC286" s="65"/>
      <c r="BD286" s="112"/>
      <c r="BE286" s="203">
        <v>0.26</v>
      </c>
      <c r="BF286" s="109">
        <f t="shared" si="322"/>
        <v>3180</v>
      </c>
      <c r="BG286" s="84">
        <f t="shared" si="323"/>
        <v>0</v>
      </c>
      <c r="BH286" s="197"/>
      <c r="BI286" s="518"/>
      <c r="BJ286" s="65"/>
      <c r="BK286" s="81">
        <f t="shared" si="324"/>
        <v>0</v>
      </c>
      <c r="BL286" s="65"/>
      <c r="BM286" s="204"/>
      <c r="BN286" s="156">
        <f>IF(B286&lt;&gt;"",_xlfn.XLOOKUP(B286,'Cronog. e Histog.'!B:B,'Cronog. e Histog.'!EK:EK),0)</f>
        <v>0</v>
      </c>
      <c r="BO286" s="109">
        <f>($O286/Dashboard!$D$15)*(1+Dashboard!$D$19)</f>
        <v>24.638429752066109</v>
      </c>
      <c r="BP286" s="84">
        <f t="shared" si="339"/>
        <v>0</v>
      </c>
      <c r="BQ286" s="65"/>
      <c r="BR286" s="204"/>
      <c r="BS286" s="156">
        <f>IF(B286&lt;&gt;"",_xlfn.XLOOKUP(B286,'Cronog. e Histog.'!B:B,'Cronog. e Histog.'!EL:EL),0)</f>
        <v>0</v>
      </c>
      <c r="BT286" s="109">
        <f>($O286/Dashboard!$D$15)*(1+Dashboard!$D$20)</f>
        <v>28.744834710743795</v>
      </c>
      <c r="BU286" s="84">
        <f t="shared" si="340"/>
        <v>0</v>
      </c>
      <c r="BV286" s="65"/>
      <c r="BW286" s="204"/>
      <c r="BX286" s="156">
        <f>IF(B286&lt;&gt;"",_xlfn.XLOOKUP(B286,'Cronog. e Histog.'!B:B,'Cronog. e Histog.'!EM:EM),0)</f>
        <v>0</v>
      </c>
      <c r="BY286" s="109">
        <f>($O286/Dashboard!$D$15)*(1+Dashboard!$D$21)</f>
        <v>32.851239669421481</v>
      </c>
      <c r="BZ286" s="84">
        <f t="shared" si="341"/>
        <v>0</v>
      </c>
    </row>
    <row r="287" spans="2:78" ht="12" customHeight="1" outlineLevel="1">
      <c r="B287" s="137" t="str">
        <f>'Cronog. e Histog.'!B420</f>
        <v>AUX TEC - Equipe_01</v>
      </c>
      <c r="C287" s="65"/>
      <c r="D287" s="200">
        <f t="shared" si="307"/>
        <v>0</v>
      </c>
      <c r="E287" s="200">
        <f t="shared" si="308"/>
        <v>0</v>
      </c>
      <c r="F287" s="65"/>
      <c r="G287" s="200">
        <f t="shared" si="309"/>
        <v>0</v>
      </c>
      <c r="H287" s="200">
        <f t="shared" si="310"/>
        <v>0</v>
      </c>
      <c r="I287" s="65"/>
      <c r="J287" s="143" t="str">
        <f>IF('Cronog. e Histog.'!G420&gt;0,'Cronog. e Histog.'!G420,"")</f>
        <v>AUX TEC</v>
      </c>
      <c r="K287" s="65"/>
      <c r="L287" s="144">
        <f>'Cronog. e Histog.'!BT420</f>
        <v>0</v>
      </c>
      <c r="M287" s="144">
        <f>'Cronog. e Histog.'!BU420</f>
        <v>0</v>
      </c>
      <c r="N287" s="65"/>
      <c r="O287" s="109">
        <f>_xlfn.XLOOKUP(B287,Salários!B:B,Salários!K:K)</f>
        <v>3710</v>
      </c>
      <c r="P287" s="109">
        <f t="shared" si="325"/>
        <v>0</v>
      </c>
      <c r="Q287" s="109">
        <f t="shared" si="326"/>
        <v>0</v>
      </c>
      <c r="R287" s="65"/>
      <c r="S287" s="109">
        <f t="shared" si="327"/>
        <v>3710</v>
      </c>
      <c r="T287" s="201" t="str">
        <f>IF(_xlfn.XLOOKUP(B287,Salários!B:B,Salários!I:I)&gt;0,_xlfn.XLOOKUP(B287,Salários!B:B,Salários!I:I),"")</f>
        <v>Mensalista</v>
      </c>
      <c r="U287" s="117">
        <f t="shared" si="314"/>
        <v>0</v>
      </c>
      <c r="V287" s="65"/>
      <c r="W287" s="202"/>
      <c r="X287" s="65"/>
      <c r="Y287" s="69"/>
      <c r="Z287" s="65"/>
      <c r="AA287" s="518"/>
      <c r="AB287" s="65"/>
      <c r="AC287" s="81">
        <f t="shared" si="315"/>
        <v>0</v>
      </c>
      <c r="AD287" s="65"/>
      <c r="AE287" s="112"/>
      <c r="AF287" s="203">
        <v>0.3</v>
      </c>
      <c r="AG287" s="109">
        <f t="shared" si="44"/>
        <v>3710</v>
      </c>
      <c r="AH287" s="84">
        <f t="shared" si="316"/>
        <v>0</v>
      </c>
      <c r="AI287" s="65"/>
      <c r="AJ287" s="112"/>
      <c r="AK287" s="122"/>
      <c r="AL287" s="109">
        <v>1212</v>
      </c>
      <c r="AM287" s="84">
        <f t="shared" si="317"/>
        <v>0</v>
      </c>
      <c r="AN287" s="65"/>
      <c r="AO287" s="112"/>
      <c r="AP287" s="204"/>
      <c r="AQ287" s="109">
        <f>IFERROR((O287+AH287+AM287)/Dashboard!$D$15,0)*0.2</f>
        <v>3.8326446280991733</v>
      </c>
      <c r="AR287" s="84">
        <f t="shared" si="318"/>
        <v>0</v>
      </c>
      <c r="AS287" s="65"/>
      <c r="AT287" s="112"/>
      <c r="AU287" s="203">
        <v>0.33</v>
      </c>
      <c r="AV287" s="109">
        <f t="shared" si="319"/>
        <v>3710</v>
      </c>
      <c r="AW287" s="84">
        <f t="shared" si="320"/>
        <v>0</v>
      </c>
      <c r="AX287" s="65"/>
      <c r="AY287" s="112"/>
      <c r="AZ287" s="203">
        <v>0.25</v>
      </c>
      <c r="BA287" s="109">
        <f t="shared" si="50"/>
        <v>3710</v>
      </c>
      <c r="BB287" s="84">
        <f t="shared" si="321"/>
        <v>0</v>
      </c>
      <c r="BC287" s="65"/>
      <c r="BD287" s="112"/>
      <c r="BE287" s="203">
        <v>0.26</v>
      </c>
      <c r="BF287" s="109">
        <f t="shared" si="322"/>
        <v>3710</v>
      </c>
      <c r="BG287" s="84">
        <f t="shared" si="323"/>
        <v>0</v>
      </c>
      <c r="BH287" s="197"/>
      <c r="BI287" s="518"/>
      <c r="BJ287" s="65"/>
      <c r="BK287" s="81">
        <f t="shared" si="324"/>
        <v>0</v>
      </c>
      <c r="BL287" s="65"/>
      <c r="BM287" s="204"/>
      <c r="BN287" s="156">
        <f>IF(B287&lt;&gt;"",_xlfn.XLOOKUP(B287,'Cronog. e Histog.'!B:B,'Cronog. e Histog.'!EK:EK),0)</f>
        <v>0</v>
      </c>
      <c r="BO287" s="109">
        <f>($O287/Dashboard!$D$15)*(1+Dashboard!$D$19)</f>
        <v>28.744834710743799</v>
      </c>
      <c r="BP287" s="84">
        <f t="shared" si="339"/>
        <v>0</v>
      </c>
      <c r="BQ287" s="65"/>
      <c r="BR287" s="204"/>
      <c r="BS287" s="156">
        <f>IF(B287&lt;&gt;"",_xlfn.XLOOKUP(B287,'Cronog. e Histog.'!B:B,'Cronog. e Histog.'!EL:EL),0)</f>
        <v>0</v>
      </c>
      <c r="BT287" s="109">
        <f>($O287/Dashboard!$D$15)*(1+Dashboard!$D$20)</f>
        <v>33.535640495867767</v>
      </c>
      <c r="BU287" s="84">
        <f t="shared" si="340"/>
        <v>0</v>
      </c>
      <c r="BV287" s="65"/>
      <c r="BW287" s="204"/>
      <c r="BX287" s="156">
        <f>IF(B287&lt;&gt;"",_xlfn.XLOOKUP(B287,'Cronog. e Histog.'!B:B,'Cronog. e Histog.'!EM:EM),0)</f>
        <v>0</v>
      </c>
      <c r="BY287" s="109">
        <f>($O287/Dashboard!$D$15)*(1+Dashboard!$D$21)</f>
        <v>38.326446280991732</v>
      </c>
      <c r="BZ287" s="84">
        <f t="shared" si="341"/>
        <v>0</v>
      </c>
    </row>
    <row r="288" spans="2:78" ht="12" customHeight="1" outlineLevel="1">
      <c r="B288" s="137" t="str">
        <f>'Cronog. e Histog.'!B421</f>
        <v>AUX ADM - Equipe_01</v>
      </c>
      <c r="C288" s="65"/>
      <c r="D288" s="200">
        <f t="shared" si="307"/>
        <v>0</v>
      </c>
      <c r="E288" s="200">
        <f t="shared" si="308"/>
        <v>0</v>
      </c>
      <c r="F288" s="65"/>
      <c r="G288" s="200">
        <f t="shared" si="309"/>
        <v>0</v>
      </c>
      <c r="H288" s="200">
        <f t="shared" si="310"/>
        <v>0</v>
      </c>
      <c r="I288" s="65"/>
      <c r="J288" s="143" t="str">
        <f>IF('Cronog. e Histog.'!G421&gt;0,'Cronog. e Histog.'!G421,"")</f>
        <v>AUX ADM</v>
      </c>
      <c r="K288" s="65"/>
      <c r="L288" s="144">
        <f>'Cronog. e Histog.'!BT421</f>
        <v>0</v>
      </c>
      <c r="M288" s="144">
        <f>'Cronog. e Histog.'!BU421</f>
        <v>0</v>
      </c>
      <c r="N288" s="65"/>
      <c r="O288" s="109">
        <f>_xlfn.XLOOKUP(B288,Salários!B:B,Salários!K:K)</f>
        <v>1912.24</v>
      </c>
      <c r="P288" s="109">
        <f t="shared" si="325"/>
        <v>0</v>
      </c>
      <c r="Q288" s="109">
        <f t="shared" si="326"/>
        <v>0</v>
      </c>
      <c r="R288" s="65"/>
      <c r="S288" s="109">
        <f t="shared" si="327"/>
        <v>1912.24</v>
      </c>
      <c r="T288" s="201" t="str">
        <f>IF(_xlfn.XLOOKUP(B288,Salários!B:B,Salários!I:I)&gt;0,_xlfn.XLOOKUP(B288,Salários!B:B,Salários!I:I),"")</f>
        <v>Mensalista</v>
      </c>
      <c r="U288" s="117">
        <f t="shared" si="314"/>
        <v>0</v>
      </c>
      <c r="V288" s="65"/>
      <c r="W288" s="202"/>
      <c r="X288" s="65"/>
      <c r="Y288" s="69"/>
      <c r="Z288" s="65"/>
      <c r="AA288" s="518"/>
      <c r="AB288" s="65"/>
      <c r="AC288" s="81">
        <f t="shared" si="315"/>
        <v>0</v>
      </c>
      <c r="AD288" s="65"/>
      <c r="AE288" s="112"/>
      <c r="AF288" s="203">
        <v>0.3</v>
      </c>
      <c r="AG288" s="109">
        <f t="shared" si="44"/>
        <v>1912.24</v>
      </c>
      <c r="AH288" s="84">
        <f t="shared" si="316"/>
        <v>0</v>
      </c>
      <c r="AI288" s="65"/>
      <c r="AJ288" s="112"/>
      <c r="AK288" s="122"/>
      <c r="AL288" s="109">
        <v>1212</v>
      </c>
      <c r="AM288" s="84">
        <f t="shared" si="317"/>
        <v>0</v>
      </c>
      <c r="AN288" s="65"/>
      <c r="AO288" s="112"/>
      <c r="AP288" s="204"/>
      <c r="AQ288" s="109">
        <f>IFERROR((O288+AH288+AM288)/Dashboard!$D$15,0)*0.2</f>
        <v>1.9754545454545456</v>
      </c>
      <c r="AR288" s="84">
        <f t="shared" si="318"/>
        <v>0</v>
      </c>
      <c r="AS288" s="65"/>
      <c r="AT288" s="112"/>
      <c r="AU288" s="203">
        <v>0.33</v>
      </c>
      <c r="AV288" s="109">
        <f t="shared" si="319"/>
        <v>1912.24</v>
      </c>
      <c r="AW288" s="84">
        <f t="shared" si="320"/>
        <v>0</v>
      </c>
      <c r="AX288" s="65"/>
      <c r="AY288" s="112"/>
      <c r="AZ288" s="203">
        <v>0.25</v>
      </c>
      <c r="BA288" s="109">
        <f t="shared" si="50"/>
        <v>1912.24</v>
      </c>
      <c r="BB288" s="84">
        <f t="shared" si="321"/>
        <v>0</v>
      </c>
      <c r="BC288" s="65"/>
      <c r="BD288" s="112"/>
      <c r="BE288" s="203">
        <v>0.26</v>
      </c>
      <c r="BF288" s="109">
        <f t="shared" si="322"/>
        <v>1912.24</v>
      </c>
      <c r="BG288" s="84">
        <f t="shared" si="323"/>
        <v>0</v>
      </c>
      <c r="BH288" s="197"/>
      <c r="BI288" s="518"/>
      <c r="BJ288" s="65"/>
      <c r="BK288" s="81">
        <f t="shared" si="324"/>
        <v>0</v>
      </c>
      <c r="BL288" s="65"/>
      <c r="BM288" s="204"/>
      <c r="BN288" s="156">
        <f>IF(B288&lt;&gt;"",_xlfn.XLOOKUP(B288,'Cronog. e Histog.'!B:B,'Cronog. e Histog.'!EK:EK),0)</f>
        <v>0</v>
      </c>
      <c r="BO288" s="109">
        <f>($O288/Dashboard!$D$15)*(1+Dashboard!$D$19)</f>
        <v>14.815909090909091</v>
      </c>
      <c r="BP288" s="84">
        <f t="shared" si="339"/>
        <v>0</v>
      </c>
      <c r="BQ288" s="65"/>
      <c r="BR288" s="204"/>
      <c r="BS288" s="156">
        <f>IF(B288&lt;&gt;"",_xlfn.XLOOKUP(B288,'Cronog. e Histog.'!B:B,'Cronog. e Histog.'!EL:EL),0)</f>
        <v>0</v>
      </c>
      <c r="BT288" s="109">
        <f>($O288/Dashboard!$D$15)*(1+Dashboard!$D$20)</f>
        <v>17.285227272727273</v>
      </c>
      <c r="BU288" s="84">
        <f t="shared" si="340"/>
        <v>0</v>
      </c>
      <c r="BV288" s="65"/>
      <c r="BW288" s="204"/>
      <c r="BX288" s="156">
        <f>IF(B288&lt;&gt;"",_xlfn.XLOOKUP(B288,'Cronog. e Histog.'!B:B,'Cronog. e Histog.'!EM:EM),0)</f>
        <v>0</v>
      </c>
      <c r="BY288" s="109">
        <f>($O288/Dashboard!$D$15)*(1+Dashboard!$D$21)</f>
        <v>19.754545454545454</v>
      </c>
      <c r="BZ288" s="84">
        <f t="shared" si="341"/>
        <v>0</v>
      </c>
    </row>
    <row r="289" spans="2:78" ht="12" customHeight="1" outlineLevel="1">
      <c r="B289" s="137" t="str">
        <f>'Cronog. e Histog.'!B422</f>
        <v>EST - Equipe_01</v>
      </c>
      <c r="C289" s="65"/>
      <c r="D289" s="200">
        <f t="shared" si="307"/>
        <v>0</v>
      </c>
      <c r="E289" s="200">
        <f t="shared" si="308"/>
        <v>0</v>
      </c>
      <c r="F289" s="65"/>
      <c r="G289" s="200">
        <f t="shared" si="309"/>
        <v>0</v>
      </c>
      <c r="H289" s="200">
        <f t="shared" si="310"/>
        <v>0</v>
      </c>
      <c r="I289" s="65"/>
      <c r="J289" s="143" t="str">
        <f>IF('Cronog. e Histog.'!G422&gt;0,'Cronog. e Histog.'!G422,"")</f>
        <v>EST</v>
      </c>
      <c r="K289" s="65"/>
      <c r="L289" s="144">
        <f>'Cronog. e Histog.'!BT422</f>
        <v>0</v>
      </c>
      <c r="M289" s="144">
        <f>'Cronog. e Histog.'!BU422</f>
        <v>0</v>
      </c>
      <c r="N289" s="65"/>
      <c r="O289" s="109">
        <f>_xlfn.XLOOKUP(B289,Salários!B:B,Salários!K:K)</f>
        <v>1633</v>
      </c>
      <c r="P289" s="109">
        <f t="shared" si="325"/>
        <v>0</v>
      </c>
      <c r="Q289" s="109">
        <f t="shared" si="326"/>
        <v>0</v>
      </c>
      <c r="R289" s="65"/>
      <c r="S289" s="109">
        <f t="shared" si="327"/>
        <v>1633</v>
      </c>
      <c r="T289" s="201" t="str">
        <f>IF(_xlfn.XLOOKUP(B289,Salários!B:B,Salários!I:I)&gt;0,_xlfn.XLOOKUP(B289,Salários!B:B,Salários!I:I),"")</f>
        <v>PJ</v>
      </c>
      <c r="U289" s="117">
        <f t="shared" si="314"/>
        <v>0</v>
      </c>
      <c r="V289" s="65"/>
      <c r="W289" s="202"/>
      <c r="X289" s="65"/>
      <c r="Y289" s="69"/>
      <c r="Z289" s="65"/>
      <c r="AA289" s="518"/>
      <c r="AB289" s="65"/>
      <c r="AC289" s="81">
        <f t="shared" si="315"/>
        <v>0</v>
      </c>
      <c r="AD289" s="65"/>
      <c r="AE289" s="112"/>
      <c r="AF289" s="203">
        <v>0.3</v>
      </c>
      <c r="AG289" s="109">
        <f t="shared" si="44"/>
        <v>1633</v>
      </c>
      <c r="AH289" s="84">
        <f t="shared" si="316"/>
        <v>0</v>
      </c>
      <c r="AI289" s="65"/>
      <c r="AJ289" s="112"/>
      <c r="AK289" s="122"/>
      <c r="AL289" s="109">
        <v>1212</v>
      </c>
      <c r="AM289" s="84">
        <f t="shared" si="317"/>
        <v>0</v>
      </c>
      <c r="AN289" s="65"/>
      <c r="AO289" s="112"/>
      <c r="AP289" s="204"/>
      <c r="AQ289" s="109">
        <f>IFERROR((O289+AH289+AM289)/Dashboard!$D$15,0)*0.2</f>
        <v>1.6869834710743801</v>
      </c>
      <c r="AR289" s="84">
        <f t="shared" si="318"/>
        <v>0</v>
      </c>
      <c r="AS289" s="65"/>
      <c r="AT289" s="112"/>
      <c r="AU289" s="203">
        <v>0.33</v>
      </c>
      <c r="AV289" s="109">
        <f t="shared" si="319"/>
        <v>1633</v>
      </c>
      <c r="AW289" s="84">
        <f t="shared" si="320"/>
        <v>0</v>
      </c>
      <c r="AX289" s="65"/>
      <c r="AY289" s="112"/>
      <c r="AZ289" s="203">
        <v>0.25</v>
      </c>
      <c r="BA289" s="109">
        <f t="shared" si="50"/>
        <v>1633</v>
      </c>
      <c r="BB289" s="84">
        <f t="shared" si="321"/>
        <v>0</v>
      </c>
      <c r="BC289" s="65"/>
      <c r="BD289" s="112"/>
      <c r="BE289" s="203">
        <v>0.26</v>
      </c>
      <c r="BF289" s="109">
        <f t="shared" si="322"/>
        <v>1633</v>
      </c>
      <c r="BG289" s="84">
        <f t="shared" si="323"/>
        <v>0</v>
      </c>
      <c r="BH289" s="197"/>
      <c r="BI289" s="518"/>
      <c r="BJ289" s="65"/>
      <c r="BK289" s="81">
        <f t="shared" si="324"/>
        <v>0</v>
      </c>
      <c r="BL289" s="65"/>
      <c r="BM289" s="204"/>
      <c r="BN289" s="156">
        <f>IF(B289&lt;&gt;"",_xlfn.XLOOKUP(B289,'Cronog. e Histog.'!B:B,'Cronog. e Histog.'!EK:EK),0)</f>
        <v>0</v>
      </c>
      <c r="BO289" s="109">
        <f>($O289/Dashboard!$D$15)*(1+Dashboard!$D$19)</f>
        <v>12.652376033057848</v>
      </c>
      <c r="BP289" s="84">
        <f t="shared" si="339"/>
        <v>0</v>
      </c>
      <c r="BQ289" s="65"/>
      <c r="BR289" s="204"/>
      <c r="BS289" s="156">
        <f>IF(B289&lt;&gt;"",_xlfn.XLOOKUP(B289,'Cronog. e Histog.'!B:B,'Cronog. e Histog.'!EL:EL),0)</f>
        <v>0</v>
      </c>
      <c r="BT289" s="109">
        <f>($O289/Dashboard!$D$15)*(1+Dashboard!$D$20)</f>
        <v>14.761105371900824</v>
      </c>
      <c r="BU289" s="84">
        <f t="shared" si="340"/>
        <v>0</v>
      </c>
      <c r="BV289" s="65"/>
      <c r="BW289" s="204"/>
      <c r="BX289" s="156">
        <f>IF(B289&lt;&gt;"",_xlfn.XLOOKUP(B289,'Cronog. e Histog.'!B:B,'Cronog. e Histog.'!EM:EM),0)</f>
        <v>0</v>
      </c>
      <c r="BY289" s="109">
        <f>($O289/Dashboard!$D$15)*(1+Dashboard!$D$21)</f>
        <v>16.869834710743799</v>
      </c>
      <c r="BZ289" s="84">
        <f t="shared" si="341"/>
        <v>0</v>
      </c>
    </row>
    <row r="290" spans="2:78" ht="12" customHeight="1" outlineLevel="1">
      <c r="B290" s="137" t="str">
        <f>'Cronog. e Histog.'!B423</f>
        <v>EST_II - Equipe_01</v>
      </c>
      <c r="C290" s="65"/>
      <c r="D290" s="200">
        <f t="shared" si="307"/>
        <v>0</v>
      </c>
      <c r="E290" s="200">
        <f t="shared" si="308"/>
        <v>0</v>
      </c>
      <c r="F290" s="65"/>
      <c r="G290" s="200">
        <f t="shared" si="309"/>
        <v>0</v>
      </c>
      <c r="H290" s="200">
        <f t="shared" si="310"/>
        <v>0</v>
      </c>
      <c r="I290" s="65"/>
      <c r="J290" s="143" t="str">
        <f>IF('Cronog. e Histog.'!G423&gt;0,'Cronog. e Histog.'!G423,"")</f>
        <v>EST_II</v>
      </c>
      <c r="K290" s="65"/>
      <c r="L290" s="144">
        <f>'Cronog. e Histog.'!BT423</f>
        <v>0</v>
      </c>
      <c r="M290" s="144">
        <f>'Cronog. e Histog.'!BU423</f>
        <v>0</v>
      </c>
      <c r="N290" s="65"/>
      <c r="O290" s="109">
        <f>_xlfn.XLOOKUP(B290,Salários!B:B,Salários!K:K)</f>
        <v>1633</v>
      </c>
      <c r="P290" s="109">
        <f t="shared" si="325"/>
        <v>0</v>
      </c>
      <c r="Q290" s="109">
        <f t="shared" si="326"/>
        <v>0</v>
      </c>
      <c r="R290" s="65"/>
      <c r="S290" s="109">
        <f t="shared" si="327"/>
        <v>1633</v>
      </c>
      <c r="T290" s="201" t="str">
        <f>IF(_xlfn.XLOOKUP(B290,Salários!B:B,Salários!I:I)&gt;0,_xlfn.XLOOKUP(B290,Salários!B:B,Salários!I:I),"")</f>
        <v>PJ</v>
      </c>
      <c r="U290" s="117">
        <f t="shared" si="314"/>
        <v>0</v>
      </c>
      <c r="V290" s="65"/>
      <c r="W290" s="202"/>
      <c r="X290" s="65"/>
      <c r="Y290" s="69"/>
      <c r="Z290" s="65"/>
      <c r="AA290" s="518"/>
      <c r="AB290" s="65"/>
      <c r="AC290" s="81">
        <f t="shared" si="315"/>
        <v>0</v>
      </c>
      <c r="AD290" s="65"/>
      <c r="AE290" s="112"/>
      <c r="AF290" s="203">
        <v>0.3</v>
      </c>
      <c r="AG290" s="109">
        <f t="shared" si="44"/>
        <v>1633</v>
      </c>
      <c r="AH290" s="84">
        <f t="shared" si="316"/>
        <v>0</v>
      </c>
      <c r="AI290" s="65"/>
      <c r="AJ290" s="112"/>
      <c r="AK290" s="122"/>
      <c r="AL290" s="109">
        <v>1212</v>
      </c>
      <c r="AM290" s="84">
        <f t="shared" si="317"/>
        <v>0</v>
      </c>
      <c r="AN290" s="65"/>
      <c r="AO290" s="112"/>
      <c r="AP290" s="204"/>
      <c r="AQ290" s="109">
        <f>IFERROR((O290+AH290+AM290)/Dashboard!$D$15,0)*0.2</f>
        <v>1.6869834710743801</v>
      </c>
      <c r="AR290" s="84">
        <f t="shared" si="318"/>
        <v>0</v>
      </c>
      <c r="AS290" s="65"/>
      <c r="AT290" s="112"/>
      <c r="AU290" s="203">
        <v>0.33</v>
      </c>
      <c r="AV290" s="109">
        <f t="shared" si="319"/>
        <v>1633</v>
      </c>
      <c r="AW290" s="84">
        <f t="shared" si="320"/>
        <v>0</v>
      </c>
      <c r="AX290" s="65"/>
      <c r="AY290" s="112"/>
      <c r="AZ290" s="203">
        <v>0.25</v>
      </c>
      <c r="BA290" s="109">
        <f t="shared" si="50"/>
        <v>1633</v>
      </c>
      <c r="BB290" s="84">
        <f t="shared" si="321"/>
        <v>0</v>
      </c>
      <c r="BC290" s="65"/>
      <c r="BD290" s="112"/>
      <c r="BE290" s="203">
        <v>0.26</v>
      </c>
      <c r="BF290" s="109">
        <f t="shared" si="322"/>
        <v>1633</v>
      </c>
      <c r="BG290" s="84">
        <f t="shared" si="323"/>
        <v>0</v>
      </c>
      <c r="BH290" s="197"/>
      <c r="BI290" s="518"/>
      <c r="BJ290" s="65"/>
      <c r="BK290" s="81">
        <f t="shared" si="324"/>
        <v>0</v>
      </c>
      <c r="BL290" s="65"/>
      <c r="BM290" s="204"/>
      <c r="BN290" s="156">
        <f>IF(B290&lt;&gt;"",_xlfn.XLOOKUP(B290,'Cronog. e Histog.'!B:B,'Cronog. e Histog.'!EK:EK),0)</f>
        <v>0</v>
      </c>
      <c r="BO290" s="109">
        <f>($O290/Dashboard!$D$15)*(1+Dashboard!$D$19)</f>
        <v>12.652376033057848</v>
      </c>
      <c r="BP290" s="84">
        <f t="shared" si="339"/>
        <v>0</v>
      </c>
      <c r="BQ290" s="65"/>
      <c r="BR290" s="204"/>
      <c r="BS290" s="156">
        <f>IF(B290&lt;&gt;"",_xlfn.XLOOKUP(B290,'Cronog. e Histog.'!B:B,'Cronog. e Histog.'!EL:EL),0)</f>
        <v>0</v>
      </c>
      <c r="BT290" s="109">
        <f>($O290/Dashboard!$D$15)*(1+Dashboard!$D$20)</f>
        <v>14.761105371900824</v>
      </c>
      <c r="BU290" s="84">
        <f t="shared" si="340"/>
        <v>0</v>
      </c>
      <c r="BV290" s="65"/>
      <c r="BW290" s="204"/>
      <c r="BX290" s="156">
        <f>IF(B290&lt;&gt;"",_xlfn.XLOOKUP(B290,'Cronog. e Histog.'!B:B,'Cronog. e Histog.'!EM:EM),0)</f>
        <v>0</v>
      </c>
      <c r="BY290" s="109">
        <f>($O290/Dashboard!$D$15)*(1+Dashboard!$D$21)</f>
        <v>16.869834710743799</v>
      </c>
      <c r="BZ290" s="84">
        <f t="shared" si="341"/>
        <v>0</v>
      </c>
    </row>
    <row r="291" spans="2:78" ht="12" customHeight="1" outlineLevel="1">
      <c r="B291" s="137" t="str">
        <f>'Cronog. e Histog.'!B424</f>
        <v>EST_III - Equipe_01</v>
      </c>
      <c r="C291" s="65"/>
      <c r="D291" s="200">
        <f t="shared" si="307"/>
        <v>0</v>
      </c>
      <c r="E291" s="200">
        <f t="shared" si="308"/>
        <v>0</v>
      </c>
      <c r="F291" s="65"/>
      <c r="G291" s="200">
        <f t="shared" si="309"/>
        <v>0</v>
      </c>
      <c r="H291" s="200">
        <f t="shared" si="310"/>
        <v>0</v>
      </c>
      <c r="I291" s="65"/>
      <c r="J291" s="143" t="str">
        <f>IF('Cronog. e Histog.'!G424&gt;0,'Cronog. e Histog.'!G424,"")</f>
        <v>EST_III</v>
      </c>
      <c r="K291" s="65"/>
      <c r="L291" s="144">
        <f>'Cronog. e Histog.'!BT424</f>
        <v>0</v>
      </c>
      <c r="M291" s="144">
        <f>'Cronog. e Histog.'!BU424</f>
        <v>0</v>
      </c>
      <c r="N291" s="65"/>
      <c r="O291" s="109">
        <f>_xlfn.XLOOKUP(B291,Salários!B:B,Salários!K:K)</f>
        <v>1633</v>
      </c>
      <c r="P291" s="109">
        <f t="shared" si="325"/>
        <v>0</v>
      </c>
      <c r="Q291" s="109">
        <f t="shared" si="326"/>
        <v>0</v>
      </c>
      <c r="R291" s="65"/>
      <c r="S291" s="109">
        <f t="shared" si="327"/>
        <v>1633</v>
      </c>
      <c r="T291" s="201" t="str">
        <f>IF(_xlfn.XLOOKUP(B291,Salários!B:B,Salários!I:I)&gt;0,_xlfn.XLOOKUP(B291,Salários!B:B,Salários!I:I),"")</f>
        <v>PJ</v>
      </c>
      <c r="U291" s="117">
        <f t="shared" si="314"/>
        <v>0</v>
      </c>
      <c r="V291" s="65"/>
      <c r="W291" s="202"/>
      <c r="X291" s="65"/>
      <c r="Y291" s="69"/>
      <c r="Z291" s="65"/>
      <c r="AA291" s="518"/>
      <c r="AB291" s="65"/>
      <c r="AC291" s="81">
        <f t="shared" si="315"/>
        <v>0</v>
      </c>
      <c r="AD291" s="65"/>
      <c r="AE291" s="112"/>
      <c r="AF291" s="203">
        <v>0.3</v>
      </c>
      <c r="AG291" s="109">
        <f t="shared" si="44"/>
        <v>1633</v>
      </c>
      <c r="AH291" s="84">
        <f t="shared" si="316"/>
        <v>0</v>
      </c>
      <c r="AI291" s="65"/>
      <c r="AJ291" s="112"/>
      <c r="AK291" s="122"/>
      <c r="AL291" s="109">
        <v>1212</v>
      </c>
      <c r="AM291" s="84">
        <f t="shared" si="317"/>
        <v>0</v>
      </c>
      <c r="AN291" s="65"/>
      <c r="AO291" s="112"/>
      <c r="AP291" s="204"/>
      <c r="AQ291" s="109">
        <f>IFERROR((O291+AH291+AM291)/Dashboard!$D$15,0)*0.2</f>
        <v>1.6869834710743801</v>
      </c>
      <c r="AR291" s="84">
        <f t="shared" si="318"/>
        <v>0</v>
      </c>
      <c r="AS291" s="65"/>
      <c r="AT291" s="112"/>
      <c r="AU291" s="203">
        <v>0.33</v>
      </c>
      <c r="AV291" s="109">
        <f t="shared" si="319"/>
        <v>1633</v>
      </c>
      <c r="AW291" s="84">
        <f t="shared" si="320"/>
        <v>0</v>
      </c>
      <c r="AX291" s="65"/>
      <c r="AY291" s="112"/>
      <c r="AZ291" s="203">
        <v>0.25</v>
      </c>
      <c r="BA291" s="109">
        <f t="shared" si="50"/>
        <v>1633</v>
      </c>
      <c r="BB291" s="84">
        <f t="shared" si="321"/>
        <v>0</v>
      </c>
      <c r="BC291" s="65"/>
      <c r="BD291" s="112"/>
      <c r="BE291" s="203">
        <v>0.26</v>
      </c>
      <c r="BF291" s="109">
        <f t="shared" si="322"/>
        <v>1633</v>
      </c>
      <c r="BG291" s="84">
        <f t="shared" si="323"/>
        <v>0</v>
      </c>
      <c r="BH291" s="197"/>
      <c r="BI291" s="518"/>
      <c r="BJ291" s="65"/>
      <c r="BK291" s="81">
        <f t="shared" si="324"/>
        <v>0</v>
      </c>
      <c r="BL291" s="65"/>
      <c r="BM291" s="204"/>
      <c r="BN291" s="156">
        <f>IF(B291&lt;&gt;"",_xlfn.XLOOKUP(B291,'Cronog. e Histog.'!B:B,'Cronog. e Histog.'!EK:EK),0)</f>
        <v>0</v>
      </c>
      <c r="BO291" s="109">
        <f>($O291/Dashboard!$D$15)*(1+Dashboard!$D$19)</f>
        <v>12.652376033057848</v>
      </c>
      <c r="BP291" s="84">
        <f t="shared" si="339"/>
        <v>0</v>
      </c>
      <c r="BQ291" s="65"/>
      <c r="BR291" s="204"/>
      <c r="BS291" s="156">
        <f>IF(B291&lt;&gt;"",_xlfn.XLOOKUP(B291,'Cronog. e Histog.'!B:B,'Cronog. e Histog.'!EL:EL),0)</f>
        <v>0</v>
      </c>
      <c r="BT291" s="109">
        <f>($O291/Dashboard!$D$15)*(1+Dashboard!$D$20)</f>
        <v>14.761105371900824</v>
      </c>
      <c r="BU291" s="84">
        <f t="shared" si="340"/>
        <v>0</v>
      </c>
      <c r="BV291" s="65"/>
      <c r="BW291" s="204"/>
      <c r="BX291" s="156">
        <f>IF(B291&lt;&gt;"",_xlfn.XLOOKUP(B291,'Cronog. e Histog.'!B:B,'Cronog. e Histog.'!EM:EM),0)</f>
        <v>0</v>
      </c>
      <c r="BY291" s="109">
        <f>($O291/Dashboard!$D$15)*(1+Dashboard!$D$21)</f>
        <v>16.869834710743799</v>
      </c>
      <c r="BZ291" s="84">
        <f t="shared" si="341"/>
        <v>0</v>
      </c>
    </row>
    <row r="292" spans="2:78" ht="12" customHeight="1" outlineLevel="1"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9"/>
      <c r="Z292" s="65"/>
      <c r="AA292" s="518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  <c r="AW292" s="65"/>
      <c r="AX292" s="65"/>
      <c r="AY292" s="65"/>
      <c r="AZ292" s="65"/>
      <c r="BA292" s="65"/>
      <c r="BB292" s="65"/>
      <c r="BC292" s="65"/>
      <c r="BD292" s="65"/>
      <c r="BE292" s="65"/>
      <c r="BF292" s="65"/>
      <c r="BG292" s="65"/>
      <c r="BH292" s="197"/>
      <c r="BI292" s="518"/>
      <c r="BJ292" s="65"/>
      <c r="BK292" s="65"/>
      <c r="BL292" s="65"/>
      <c r="BM292" s="65"/>
      <c r="BN292" s="65"/>
      <c r="BO292" s="65"/>
      <c r="BP292" s="65"/>
      <c r="BQ292" s="65"/>
      <c r="BR292" s="65"/>
      <c r="BS292" s="65"/>
      <c r="BT292" s="65"/>
      <c r="BU292" s="65"/>
      <c r="BV292" s="65"/>
      <c r="BW292" s="65"/>
      <c r="BX292" s="65"/>
      <c r="BY292" s="65"/>
      <c r="BZ292" s="65"/>
    </row>
    <row r="293" spans="2:78" ht="12" customHeight="1" outlineLevel="1">
      <c r="B293" s="65"/>
      <c r="C293" s="65"/>
      <c r="D293" s="65"/>
      <c r="E293" s="65"/>
      <c r="F293" s="65"/>
      <c r="G293" s="65"/>
      <c r="H293" s="65"/>
      <c r="I293" s="65"/>
      <c r="J293" s="199" t="str">
        <f>'Cronog. e Histog.'!F427</f>
        <v>Equipe10</v>
      </c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9"/>
      <c r="Z293" s="65"/>
      <c r="AA293" s="518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  <c r="AT293" s="65"/>
      <c r="AU293" s="65"/>
      <c r="AV293" s="65"/>
      <c r="AW293" s="65"/>
      <c r="AX293" s="65"/>
      <c r="AY293" s="65"/>
      <c r="AZ293" s="65"/>
      <c r="BA293" s="65"/>
      <c r="BB293" s="65"/>
      <c r="BC293" s="65"/>
      <c r="BD293" s="65"/>
      <c r="BE293" s="65"/>
      <c r="BF293" s="65"/>
      <c r="BG293" s="65"/>
      <c r="BH293" s="197"/>
      <c r="BI293" s="518"/>
      <c r="BJ293" s="65"/>
      <c r="BK293" s="65"/>
      <c r="BL293" s="65"/>
      <c r="BM293" s="65"/>
      <c r="BN293" s="65"/>
      <c r="BO293" s="65"/>
      <c r="BP293" s="65"/>
      <c r="BQ293" s="65"/>
      <c r="BR293" s="65"/>
      <c r="BS293" s="65"/>
      <c r="BT293" s="65"/>
      <c r="BU293" s="65"/>
      <c r="BV293" s="65"/>
      <c r="BW293" s="65"/>
      <c r="BX293" s="65"/>
      <c r="BY293" s="65"/>
      <c r="BZ293" s="65"/>
    </row>
    <row r="294" spans="2:78" ht="12" customHeight="1" outlineLevel="1">
      <c r="B294" s="137" t="str">
        <f>'Cronog. e Histog.'!B429</f>
        <v>GER. (OBRA/PROJ) - Equipe_01</v>
      </c>
      <c r="C294" s="65"/>
      <c r="D294" s="200">
        <f t="shared" ref="D294:D313" si="342">IF(T294="mensalista",L294,0)</f>
        <v>0</v>
      </c>
      <c r="E294" s="200">
        <f t="shared" ref="E294:E313" si="343">IF(T294="mensalista",M294,0)</f>
        <v>0</v>
      </c>
      <c r="F294" s="65"/>
      <c r="G294" s="200">
        <f t="shared" ref="G294:G313" si="344">IF(T294="mensalista",L294,0)</f>
        <v>0</v>
      </c>
      <c r="H294" s="200">
        <f t="shared" ref="H294:H313" si="345">IF(T294="mensalista",M294,0)</f>
        <v>0</v>
      </c>
      <c r="I294" s="65"/>
      <c r="J294" s="143" t="str">
        <f>IF('Cronog. e Histog.'!G429&gt;0,'Cronog. e Histog.'!G429,"")</f>
        <v>GER. (OBRA/PROJ)</v>
      </c>
      <c r="K294" s="65"/>
      <c r="L294" s="144">
        <f>'Cronog. e Histog.'!BT429</f>
        <v>9.9999999999999985E-3</v>
      </c>
      <c r="M294" s="144">
        <f>'Cronog. e Histog.'!BU429</f>
        <v>10</v>
      </c>
      <c r="N294" s="65"/>
      <c r="O294" s="109">
        <f>_xlfn.XLOOKUP(B294,Salários!B:B,Salários!K:K)</f>
        <v>21000</v>
      </c>
      <c r="P294" s="109">
        <f t="shared" ref="P294" si="346">AC294</f>
        <v>0</v>
      </c>
      <c r="Q294" s="109">
        <f t="shared" ref="Q294" si="347">BK294</f>
        <v>0</v>
      </c>
      <c r="R294" s="65"/>
      <c r="S294" s="109">
        <f t="shared" ref="S294" si="348">SUM(O294:Q294)</f>
        <v>21000</v>
      </c>
      <c r="T294" s="201" t="str">
        <f>IF(_xlfn.XLOOKUP(B294,Salários!B:B,Salários!I:I)&gt;0,_xlfn.XLOOKUP(B294,Salários!B:B,Salários!I:I),"")</f>
        <v>PJ</v>
      </c>
      <c r="U294" s="117">
        <f t="shared" ref="U294:U313" si="349">L294*M294*S294</f>
        <v>2099.9999999999995</v>
      </c>
      <c r="V294" s="65"/>
      <c r="W294" s="202"/>
      <c r="X294" s="65"/>
      <c r="Y294" s="69"/>
      <c r="Z294" s="65"/>
      <c r="AA294" s="518"/>
      <c r="AB294" s="65"/>
      <c r="AC294" s="81">
        <f t="shared" ref="AC294:AC313" si="350">AH294+AM294+AR294+AW294+BB294+BG294</f>
        <v>0</v>
      </c>
      <c r="AD294" s="65"/>
      <c r="AE294" s="112"/>
      <c r="AF294" s="203">
        <v>0.3</v>
      </c>
      <c r="AG294" s="109">
        <f t="shared" si="44"/>
        <v>21000</v>
      </c>
      <c r="AH294" s="84">
        <f t="shared" ref="AH294:AH313" si="351">IF(AE294="sim",AF294*AG294,0)</f>
        <v>0</v>
      </c>
      <c r="AI294" s="65"/>
      <c r="AJ294" s="112"/>
      <c r="AK294" s="122"/>
      <c r="AL294" s="109">
        <v>1212</v>
      </c>
      <c r="AM294" s="84">
        <f t="shared" ref="AM294:AM313" si="352">IF(AJ294="sim",AK294*AL294,0)</f>
        <v>0</v>
      </c>
      <c r="AN294" s="65"/>
      <c r="AO294" s="112"/>
      <c r="AP294" s="204"/>
      <c r="AQ294" s="109">
        <f>IFERROR((O294+AH294+AM294)/Dashboard!$D$15,0)*0.2</f>
        <v>21.694214876033058</v>
      </c>
      <c r="AR294" s="84">
        <f t="shared" ref="AR294:AR313" si="353">IF(AO294="sim",AP294*AQ294,0)</f>
        <v>0</v>
      </c>
      <c r="AS294" s="65"/>
      <c r="AT294" s="112"/>
      <c r="AU294" s="203">
        <v>0.33</v>
      </c>
      <c r="AV294" s="109">
        <f t="shared" ref="AV294:AV313" si="354">$O294</f>
        <v>21000</v>
      </c>
      <c r="AW294" s="84">
        <f t="shared" ref="AW294:AW313" si="355">IF(AT294="sim",AU294*AV294,0)</f>
        <v>0</v>
      </c>
      <c r="AX294" s="65"/>
      <c r="AY294" s="112"/>
      <c r="AZ294" s="203">
        <v>0.25</v>
      </c>
      <c r="BA294" s="109">
        <f t="shared" si="50"/>
        <v>21000</v>
      </c>
      <c r="BB294" s="84">
        <f t="shared" ref="BB294:BB313" si="356">IF(AY294="sim",AZ294*BA294,0)</f>
        <v>0</v>
      </c>
      <c r="BC294" s="65"/>
      <c r="BD294" s="112"/>
      <c r="BE294" s="203">
        <v>0.26</v>
      </c>
      <c r="BF294" s="109">
        <f t="shared" ref="BF294:BF313" si="357">$O294</f>
        <v>21000</v>
      </c>
      <c r="BG294" s="84">
        <f t="shared" ref="BG294:BG313" si="358">IF(BD294="sim",BE294*BF294,0)</f>
        <v>0</v>
      </c>
      <c r="BH294" s="197"/>
      <c r="BI294" s="518"/>
      <c r="BJ294" s="65"/>
      <c r="BK294" s="81">
        <f t="shared" ref="BK294:BK313" si="359">BP294+BU294+BZ294</f>
        <v>0</v>
      </c>
      <c r="BL294" s="65"/>
      <c r="BM294" s="204"/>
      <c r="BN294" s="156">
        <f>IF(B294&lt;&gt;"",_xlfn.XLOOKUP(B294,'Cronog. e Histog.'!B:B,'Cronog. e Histog.'!EK:EK),0)</f>
        <v>0</v>
      </c>
      <c r="BO294" s="109">
        <f>($O294/Dashboard!$D$15)*(1+Dashboard!$D$19)</f>
        <v>162.7066115702479</v>
      </c>
      <c r="BP294" s="84">
        <f>SUM(BM294:BN294)*BO294</f>
        <v>0</v>
      </c>
      <c r="BQ294" s="65"/>
      <c r="BR294" s="204"/>
      <c r="BS294" s="156">
        <f>IF(B294&lt;&gt;"",_xlfn.XLOOKUP(B294,'Cronog. e Histog.'!B:B,'Cronog. e Histog.'!EL:EL),0)</f>
        <v>0</v>
      </c>
      <c r="BT294" s="109">
        <f>($O294/Dashboard!$D$15)*(1+Dashboard!$D$20)</f>
        <v>189.82438016528923</v>
      </c>
      <c r="BU294" s="84">
        <f>SUM(BR294:BS294)*BT294</f>
        <v>0</v>
      </c>
      <c r="BV294" s="65"/>
      <c r="BW294" s="204"/>
      <c r="BX294" s="156">
        <f>IF(B294&lt;&gt;"",_xlfn.XLOOKUP(B294,'Cronog. e Histog.'!B:B,'Cronog. e Histog.'!EM:EM),0)</f>
        <v>0</v>
      </c>
      <c r="BY294" s="109">
        <f>($O294/Dashboard!$D$15)*(1+Dashboard!$D$21)</f>
        <v>216.94214876033055</v>
      </c>
      <c r="BZ294" s="84">
        <f>SUM(BW294:BX294)*BY294</f>
        <v>0</v>
      </c>
    </row>
    <row r="295" spans="2:78" ht="12" customHeight="1" outlineLevel="1">
      <c r="B295" s="137" t="str">
        <f>'Cronog. e Histog.'!B430</f>
        <v>COORD. - Equipe_01</v>
      </c>
      <c r="C295" s="65"/>
      <c r="D295" s="200">
        <f t="shared" si="342"/>
        <v>0</v>
      </c>
      <c r="E295" s="200">
        <f t="shared" si="343"/>
        <v>0</v>
      </c>
      <c r="F295" s="65"/>
      <c r="G295" s="200">
        <f t="shared" si="344"/>
        <v>0</v>
      </c>
      <c r="H295" s="200">
        <f t="shared" si="345"/>
        <v>0</v>
      </c>
      <c r="I295" s="65"/>
      <c r="J295" s="143" t="str">
        <f>IF('Cronog. e Histog.'!G430&gt;0,'Cronog. e Histog.'!G430,"")</f>
        <v>COORD.</v>
      </c>
      <c r="K295" s="65"/>
      <c r="L295" s="144">
        <f>'Cronog. e Histog.'!BT430</f>
        <v>0</v>
      </c>
      <c r="M295" s="144">
        <f>'Cronog. e Histog.'!BU430</f>
        <v>0</v>
      </c>
      <c r="N295" s="65"/>
      <c r="O295" s="109">
        <f>_xlfn.XLOOKUP(B295,Salários!B:B,Salários!K:K)</f>
        <v>19000</v>
      </c>
      <c r="P295" s="109">
        <f t="shared" ref="P295:P313" si="360">AC295</f>
        <v>0</v>
      </c>
      <c r="Q295" s="109">
        <f t="shared" ref="Q295:Q313" si="361">BK295</f>
        <v>0</v>
      </c>
      <c r="R295" s="65"/>
      <c r="S295" s="109">
        <f t="shared" ref="S295:S313" si="362">SUM(O295:Q295)</f>
        <v>19000</v>
      </c>
      <c r="T295" s="201" t="str">
        <f>IF(_xlfn.XLOOKUP(B295,Salários!B:B,Salários!I:I)&gt;0,_xlfn.XLOOKUP(B295,Salários!B:B,Salários!I:I),"")</f>
        <v>PJ</v>
      </c>
      <c r="U295" s="117">
        <f t="shared" ref="U295:U304" si="363">L295*M295*S295</f>
        <v>0</v>
      </c>
      <c r="V295" s="65"/>
      <c r="W295" s="202"/>
      <c r="X295" s="65"/>
      <c r="Y295" s="69"/>
      <c r="Z295" s="65"/>
      <c r="AA295" s="518"/>
      <c r="AB295" s="65"/>
      <c r="AC295" s="81">
        <f t="shared" ref="AC295:AC304" si="364">AH295+AM295+AR295+AW295+BB295+BG295</f>
        <v>0</v>
      </c>
      <c r="AD295" s="65"/>
      <c r="AE295" s="112"/>
      <c r="AF295" s="203">
        <v>0.3</v>
      </c>
      <c r="AG295" s="109">
        <f t="shared" ref="AG295:AG304" si="365">$O295</f>
        <v>19000</v>
      </c>
      <c r="AH295" s="84">
        <f t="shared" ref="AH295:AH304" si="366">IF(AE295="sim",AF295*AG295,0)</f>
        <v>0</v>
      </c>
      <c r="AI295" s="65"/>
      <c r="AJ295" s="112"/>
      <c r="AK295" s="122"/>
      <c r="AL295" s="109">
        <v>1212</v>
      </c>
      <c r="AM295" s="84">
        <f t="shared" ref="AM295:AM304" si="367">IF(AJ295="sim",AK295*AL295,0)</f>
        <v>0</v>
      </c>
      <c r="AN295" s="65"/>
      <c r="AO295" s="112"/>
      <c r="AP295" s="204"/>
      <c r="AQ295" s="109">
        <f>IFERROR((O295+AH295+AM295)/Dashboard!$D$15,0)*0.2</f>
        <v>19.628099173553718</v>
      </c>
      <c r="AR295" s="84">
        <f t="shared" ref="AR295:AR304" si="368">IF(AO295="sim",AP295*AQ295,0)</f>
        <v>0</v>
      </c>
      <c r="AS295" s="65"/>
      <c r="AT295" s="112"/>
      <c r="AU295" s="203">
        <v>0.33</v>
      </c>
      <c r="AV295" s="109">
        <f t="shared" si="354"/>
        <v>19000</v>
      </c>
      <c r="AW295" s="84">
        <f t="shared" ref="AW295:AW304" si="369">IF(AT295="sim",AU295*AV295,0)</f>
        <v>0</v>
      </c>
      <c r="AX295" s="65"/>
      <c r="AY295" s="112"/>
      <c r="AZ295" s="203">
        <v>0.25</v>
      </c>
      <c r="BA295" s="109">
        <f t="shared" ref="BA295:BA304" si="370">$O295</f>
        <v>19000</v>
      </c>
      <c r="BB295" s="84">
        <f t="shared" ref="BB295:BB304" si="371">IF(AY295="sim",AZ295*BA295,0)</f>
        <v>0</v>
      </c>
      <c r="BC295" s="65"/>
      <c r="BD295" s="112"/>
      <c r="BE295" s="203">
        <v>0.26</v>
      </c>
      <c r="BF295" s="109">
        <f t="shared" si="357"/>
        <v>19000</v>
      </c>
      <c r="BG295" s="84">
        <f t="shared" ref="BG295:BG304" si="372">IF(BD295="sim",BE295*BF295,0)</f>
        <v>0</v>
      </c>
      <c r="BH295" s="197"/>
      <c r="BI295" s="518"/>
      <c r="BJ295" s="65"/>
      <c r="BK295" s="81">
        <f t="shared" ref="BK295:BK304" si="373">BP295+BU295+BZ295</f>
        <v>0</v>
      </c>
      <c r="BL295" s="65"/>
      <c r="BM295" s="204"/>
      <c r="BN295" s="156">
        <f>IF(B295&lt;&gt;"",_xlfn.XLOOKUP(B295,'Cronog. e Histog.'!B:B,'Cronog. e Histog.'!EK:EK),0)</f>
        <v>0</v>
      </c>
      <c r="BO295" s="109">
        <f>($O295/Dashboard!$D$15)*(1+Dashboard!$D$19)</f>
        <v>147.21074380165288</v>
      </c>
      <c r="BP295" s="84">
        <f t="shared" ref="BP295:BP313" si="374">SUM(BM295:BN295)*BO295</f>
        <v>0</v>
      </c>
      <c r="BQ295" s="65"/>
      <c r="BR295" s="204"/>
      <c r="BS295" s="156">
        <f>IF(B295&lt;&gt;"",_xlfn.XLOOKUP(B295,'Cronog. e Histog.'!B:B,'Cronog. e Histog.'!EL:EL),0)</f>
        <v>0</v>
      </c>
      <c r="BT295" s="109">
        <f>($O295/Dashboard!$D$15)*(1+Dashboard!$D$20)</f>
        <v>171.74586776859502</v>
      </c>
      <c r="BU295" s="84">
        <f t="shared" ref="BU295:BU313" si="375">SUM(BR295:BS295)*BT295</f>
        <v>0</v>
      </c>
      <c r="BV295" s="65"/>
      <c r="BW295" s="204"/>
      <c r="BX295" s="156">
        <f>IF(B295&lt;&gt;"",_xlfn.XLOOKUP(B295,'Cronog. e Histog.'!B:B,'Cronog. e Histog.'!EM:EM),0)</f>
        <v>0</v>
      </c>
      <c r="BY295" s="109">
        <f>($O295/Dashboard!$D$15)*(1+Dashboard!$D$21)</f>
        <v>196.28099173553716</v>
      </c>
      <c r="BZ295" s="84">
        <f t="shared" ref="BZ295:BZ313" si="376">SUM(BW295:BX295)*BY295</f>
        <v>0</v>
      </c>
    </row>
    <row r="296" spans="2:78" ht="12" customHeight="1" outlineLevel="1">
      <c r="B296" s="137" t="str">
        <f>'Cronog. e Histog.'!B431</f>
        <v>SUP.-ESP - Equipe_01</v>
      </c>
      <c r="C296" s="65"/>
      <c r="D296" s="200">
        <f t="shared" si="342"/>
        <v>0</v>
      </c>
      <c r="E296" s="200">
        <f t="shared" si="343"/>
        <v>0</v>
      </c>
      <c r="F296" s="65"/>
      <c r="G296" s="200">
        <f t="shared" si="344"/>
        <v>0</v>
      </c>
      <c r="H296" s="200">
        <f t="shared" si="345"/>
        <v>0</v>
      </c>
      <c r="I296" s="65"/>
      <c r="J296" s="143" t="str">
        <f>IF('Cronog. e Histog.'!G431&gt;0,'Cronog. e Histog.'!G431,"")</f>
        <v>SUP.-ESP</v>
      </c>
      <c r="K296" s="65"/>
      <c r="L296" s="144">
        <f>'Cronog. e Histog.'!BT431</f>
        <v>0</v>
      </c>
      <c r="M296" s="144">
        <f>'Cronog. e Histog.'!BU431</f>
        <v>0</v>
      </c>
      <c r="N296" s="65"/>
      <c r="O296" s="109">
        <f>_xlfn.XLOOKUP(B296,Salários!B:B,Salários!K:K)</f>
        <v>9716.67</v>
      </c>
      <c r="P296" s="109">
        <f t="shared" si="360"/>
        <v>0</v>
      </c>
      <c r="Q296" s="109">
        <f t="shared" si="361"/>
        <v>0</v>
      </c>
      <c r="R296" s="65"/>
      <c r="S296" s="109">
        <f t="shared" si="362"/>
        <v>9716.67</v>
      </c>
      <c r="T296" s="201" t="str">
        <f>IF(_xlfn.XLOOKUP(B296,Salários!B:B,Salários!I:I)&gt;0,_xlfn.XLOOKUP(B296,Salários!B:B,Salários!I:I),"")</f>
        <v>Mensalista</v>
      </c>
      <c r="U296" s="117">
        <f t="shared" si="363"/>
        <v>0</v>
      </c>
      <c r="V296" s="65"/>
      <c r="W296" s="202"/>
      <c r="X296" s="65"/>
      <c r="Y296" s="69"/>
      <c r="Z296" s="65"/>
      <c r="AA296" s="518"/>
      <c r="AB296" s="65"/>
      <c r="AC296" s="81">
        <f t="shared" si="364"/>
        <v>0</v>
      </c>
      <c r="AD296" s="65"/>
      <c r="AE296" s="112"/>
      <c r="AF296" s="203">
        <v>0.3</v>
      </c>
      <c r="AG296" s="109">
        <f t="shared" si="365"/>
        <v>9716.67</v>
      </c>
      <c r="AH296" s="84">
        <f t="shared" si="366"/>
        <v>0</v>
      </c>
      <c r="AI296" s="65"/>
      <c r="AJ296" s="112"/>
      <c r="AK296" s="122"/>
      <c r="AL296" s="109">
        <v>1212</v>
      </c>
      <c r="AM296" s="84">
        <f t="shared" si="367"/>
        <v>0</v>
      </c>
      <c r="AN296" s="65"/>
      <c r="AO296" s="112"/>
      <c r="AP296" s="204"/>
      <c r="AQ296" s="109">
        <f>IFERROR((O296+AH296+AM296)/Dashboard!$D$15,0)*0.2</f>
        <v>10.037882231404957</v>
      </c>
      <c r="AR296" s="84">
        <f t="shared" si="368"/>
        <v>0</v>
      </c>
      <c r="AS296" s="65"/>
      <c r="AT296" s="112"/>
      <c r="AU296" s="203">
        <v>0.33</v>
      </c>
      <c r="AV296" s="109">
        <f t="shared" si="354"/>
        <v>9716.67</v>
      </c>
      <c r="AW296" s="84">
        <f t="shared" si="369"/>
        <v>0</v>
      </c>
      <c r="AX296" s="65"/>
      <c r="AY296" s="112"/>
      <c r="AZ296" s="203">
        <v>0.25</v>
      </c>
      <c r="BA296" s="109">
        <f t="shared" si="370"/>
        <v>9716.67</v>
      </c>
      <c r="BB296" s="84">
        <f t="shared" si="371"/>
        <v>0</v>
      </c>
      <c r="BC296" s="65"/>
      <c r="BD296" s="112"/>
      <c r="BE296" s="203">
        <v>0.26</v>
      </c>
      <c r="BF296" s="109">
        <f t="shared" si="357"/>
        <v>9716.67</v>
      </c>
      <c r="BG296" s="84">
        <f t="shared" si="372"/>
        <v>0</v>
      </c>
      <c r="BH296" s="197"/>
      <c r="BI296" s="518"/>
      <c r="BJ296" s="65"/>
      <c r="BK296" s="81">
        <f t="shared" si="373"/>
        <v>0</v>
      </c>
      <c r="BL296" s="65"/>
      <c r="BM296" s="204"/>
      <c r="BN296" s="156">
        <f>IF(B296&lt;&gt;"",_xlfn.XLOOKUP(B296,'Cronog. e Histog.'!B:B,'Cronog. e Histog.'!EK:EK),0)</f>
        <v>0</v>
      </c>
      <c r="BO296" s="109">
        <f>($O296/Dashboard!$D$15)*(1+Dashboard!$D$19)</f>
        <v>75.284116735537182</v>
      </c>
      <c r="BP296" s="84">
        <f t="shared" si="374"/>
        <v>0</v>
      </c>
      <c r="BQ296" s="65"/>
      <c r="BR296" s="204"/>
      <c r="BS296" s="156">
        <f>IF(B296&lt;&gt;"",_xlfn.XLOOKUP(B296,'Cronog. e Histog.'!B:B,'Cronog. e Histog.'!EL:EL),0)</f>
        <v>0</v>
      </c>
      <c r="BT296" s="109">
        <f>($O296/Dashboard!$D$15)*(1+Dashboard!$D$20)</f>
        <v>87.831469524793377</v>
      </c>
      <c r="BU296" s="84">
        <f t="shared" si="375"/>
        <v>0</v>
      </c>
      <c r="BV296" s="65"/>
      <c r="BW296" s="204"/>
      <c r="BX296" s="156">
        <f>IF(B296&lt;&gt;"",_xlfn.XLOOKUP(B296,'Cronog. e Histog.'!B:B,'Cronog. e Histog.'!EM:EM),0)</f>
        <v>0</v>
      </c>
      <c r="BY296" s="109">
        <f>($O296/Dashboard!$D$15)*(1+Dashboard!$D$21)</f>
        <v>100.37882231404957</v>
      </c>
      <c r="BZ296" s="84">
        <f t="shared" si="376"/>
        <v>0</v>
      </c>
    </row>
    <row r="297" spans="2:78" ht="12" customHeight="1" outlineLevel="1">
      <c r="B297" s="137" t="str">
        <f>'Cronog. e Histog.'!B432</f>
        <v>ENG/ARQ SR. - Equipe_01</v>
      </c>
      <c r="C297" s="65"/>
      <c r="D297" s="200">
        <f t="shared" si="342"/>
        <v>0</v>
      </c>
      <c r="E297" s="200">
        <f t="shared" si="343"/>
        <v>0</v>
      </c>
      <c r="F297" s="65"/>
      <c r="G297" s="200">
        <f t="shared" si="344"/>
        <v>0</v>
      </c>
      <c r="H297" s="200">
        <f t="shared" si="345"/>
        <v>0</v>
      </c>
      <c r="I297" s="65"/>
      <c r="J297" s="143" t="str">
        <f>IF('Cronog. e Histog.'!G432&gt;0,'Cronog. e Histog.'!G432,"")</f>
        <v>ENG/ARQ SR.</v>
      </c>
      <c r="K297" s="65"/>
      <c r="L297" s="144">
        <f>'Cronog. e Histog.'!BT432</f>
        <v>0</v>
      </c>
      <c r="M297" s="144">
        <f>'Cronog. e Histog.'!BU432</f>
        <v>0</v>
      </c>
      <c r="N297" s="65"/>
      <c r="O297" s="109">
        <f>_xlfn.XLOOKUP(B297,Salários!B:B,Salários!K:K)</f>
        <v>16000</v>
      </c>
      <c r="P297" s="109">
        <f t="shared" si="360"/>
        <v>0</v>
      </c>
      <c r="Q297" s="109">
        <f t="shared" si="361"/>
        <v>0</v>
      </c>
      <c r="R297" s="65"/>
      <c r="S297" s="109">
        <f t="shared" si="362"/>
        <v>16000</v>
      </c>
      <c r="T297" s="201" t="str">
        <f>IF(_xlfn.XLOOKUP(B297,Salários!B:B,Salários!I:I)&gt;0,_xlfn.XLOOKUP(B297,Salários!B:B,Salários!I:I),"")</f>
        <v>PJ</v>
      </c>
      <c r="U297" s="117">
        <f t="shared" si="363"/>
        <v>0</v>
      </c>
      <c r="V297" s="65"/>
      <c r="W297" s="202"/>
      <c r="X297" s="65"/>
      <c r="Y297" s="69"/>
      <c r="Z297" s="65"/>
      <c r="AA297" s="518"/>
      <c r="AB297" s="65"/>
      <c r="AC297" s="81">
        <f t="shared" si="364"/>
        <v>0</v>
      </c>
      <c r="AD297" s="65"/>
      <c r="AE297" s="112"/>
      <c r="AF297" s="203">
        <v>0.3</v>
      </c>
      <c r="AG297" s="109">
        <f t="shared" si="365"/>
        <v>16000</v>
      </c>
      <c r="AH297" s="84">
        <f t="shared" si="366"/>
        <v>0</v>
      </c>
      <c r="AI297" s="65"/>
      <c r="AJ297" s="112"/>
      <c r="AK297" s="122"/>
      <c r="AL297" s="109">
        <v>1212</v>
      </c>
      <c r="AM297" s="84">
        <f t="shared" si="367"/>
        <v>0</v>
      </c>
      <c r="AN297" s="65"/>
      <c r="AO297" s="112"/>
      <c r="AP297" s="204"/>
      <c r="AQ297" s="109">
        <f>IFERROR((O297+AH297+AM297)/Dashboard!$D$15,0)*0.2</f>
        <v>16.528925619834709</v>
      </c>
      <c r="AR297" s="84">
        <f t="shared" si="368"/>
        <v>0</v>
      </c>
      <c r="AS297" s="65"/>
      <c r="AT297" s="112"/>
      <c r="AU297" s="203">
        <v>0.33</v>
      </c>
      <c r="AV297" s="109">
        <f t="shared" si="354"/>
        <v>16000</v>
      </c>
      <c r="AW297" s="84">
        <f t="shared" si="369"/>
        <v>0</v>
      </c>
      <c r="AX297" s="65"/>
      <c r="AY297" s="112"/>
      <c r="AZ297" s="203">
        <v>0.25</v>
      </c>
      <c r="BA297" s="109">
        <f t="shared" si="370"/>
        <v>16000</v>
      </c>
      <c r="BB297" s="84">
        <f t="shared" si="371"/>
        <v>0</v>
      </c>
      <c r="BC297" s="65"/>
      <c r="BD297" s="112"/>
      <c r="BE297" s="203">
        <v>0.26</v>
      </c>
      <c r="BF297" s="109">
        <f t="shared" si="357"/>
        <v>16000</v>
      </c>
      <c r="BG297" s="84">
        <f t="shared" si="372"/>
        <v>0</v>
      </c>
      <c r="BH297" s="197"/>
      <c r="BI297" s="518"/>
      <c r="BJ297" s="65"/>
      <c r="BK297" s="81">
        <f t="shared" si="373"/>
        <v>0</v>
      </c>
      <c r="BL297" s="65"/>
      <c r="BM297" s="204"/>
      <c r="BN297" s="156">
        <f>IF(B297&lt;&gt;"",_xlfn.XLOOKUP(B297,'Cronog. e Histog.'!B:B,'Cronog. e Histog.'!EK:EK),0)</f>
        <v>0</v>
      </c>
      <c r="BO297" s="109">
        <f>($O297/Dashboard!$D$15)*(1+Dashboard!$D$19)</f>
        <v>123.96694214876032</v>
      </c>
      <c r="BP297" s="84">
        <f t="shared" si="374"/>
        <v>0</v>
      </c>
      <c r="BQ297" s="65"/>
      <c r="BR297" s="204"/>
      <c r="BS297" s="156">
        <f>IF(B297&lt;&gt;"",_xlfn.XLOOKUP(B297,'Cronog. e Histog.'!B:B,'Cronog. e Histog.'!EL:EL),0)</f>
        <v>0</v>
      </c>
      <c r="BT297" s="109">
        <f>($O297/Dashboard!$D$15)*(1+Dashboard!$D$20)</f>
        <v>144.62809917355369</v>
      </c>
      <c r="BU297" s="84">
        <f t="shared" si="375"/>
        <v>0</v>
      </c>
      <c r="BV297" s="65"/>
      <c r="BW297" s="204"/>
      <c r="BX297" s="156">
        <f>IF(B297&lt;&gt;"",_xlfn.XLOOKUP(B297,'Cronog. e Histog.'!B:B,'Cronog. e Histog.'!EM:EM),0)</f>
        <v>0</v>
      </c>
      <c r="BY297" s="109">
        <f>($O297/Dashboard!$D$15)*(1+Dashboard!$D$21)</f>
        <v>165.28925619834709</v>
      </c>
      <c r="BZ297" s="84">
        <f t="shared" si="376"/>
        <v>0</v>
      </c>
    </row>
    <row r="298" spans="2:78" ht="12" customHeight="1" outlineLevel="1">
      <c r="B298" s="137" t="str">
        <f>'Cronog. e Histog.'!B433</f>
        <v>ENG/ARQ PL. - Equipe_01</v>
      </c>
      <c r="C298" s="65"/>
      <c r="D298" s="200">
        <f t="shared" si="342"/>
        <v>0</v>
      </c>
      <c r="E298" s="200">
        <f t="shared" si="343"/>
        <v>0</v>
      </c>
      <c r="F298" s="65"/>
      <c r="G298" s="200">
        <f t="shared" si="344"/>
        <v>0</v>
      </c>
      <c r="H298" s="200">
        <f t="shared" si="345"/>
        <v>0</v>
      </c>
      <c r="I298" s="65"/>
      <c r="J298" s="143" t="str">
        <f>IF('Cronog. e Histog.'!G433&gt;0,'Cronog. e Histog.'!G433,"")</f>
        <v>ENG/ARQ PL.</v>
      </c>
      <c r="K298" s="65"/>
      <c r="L298" s="144">
        <f>'Cronog. e Histog.'!BT433</f>
        <v>6.0000000000000012E-2</v>
      </c>
      <c r="M298" s="144">
        <f>'Cronog. e Histog.'!BU433</f>
        <v>10</v>
      </c>
      <c r="N298" s="65"/>
      <c r="O298" s="109">
        <f>_xlfn.XLOOKUP(B298,Salários!B:B,Salários!K:K)</f>
        <v>14000</v>
      </c>
      <c r="P298" s="109">
        <f t="shared" si="360"/>
        <v>0</v>
      </c>
      <c r="Q298" s="109">
        <f t="shared" si="361"/>
        <v>0</v>
      </c>
      <c r="R298" s="65"/>
      <c r="S298" s="109">
        <f t="shared" si="362"/>
        <v>14000</v>
      </c>
      <c r="T298" s="201" t="str">
        <f>IF(_xlfn.XLOOKUP(B298,Salários!B:B,Salários!I:I)&gt;0,_xlfn.XLOOKUP(B298,Salários!B:B,Salários!I:I),"")</f>
        <v>PJ</v>
      </c>
      <c r="U298" s="117">
        <f t="shared" si="363"/>
        <v>8400.0000000000018</v>
      </c>
      <c r="V298" s="65"/>
      <c r="W298" s="202"/>
      <c r="X298" s="65"/>
      <c r="Y298" s="69"/>
      <c r="Z298" s="65"/>
      <c r="AA298" s="518"/>
      <c r="AB298" s="65"/>
      <c r="AC298" s="81">
        <f t="shared" si="364"/>
        <v>0</v>
      </c>
      <c r="AD298" s="65"/>
      <c r="AE298" s="112"/>
      <c r="AF298" s="203">
        <v>0.3</v>
      </c>
      <c r="AG298" s="109">
        <f t="shared" si="365"/>
        <v>14000</v>
      </c>
      <c r="AH298" s="84">
        <f t="shared" si="366"/>
        <v>0</v>
      </c>
      <c r="AI298" s="65"/>
      <c r="AJ298" s="112"/>
      <c r="AK298" s="122"/>
      <c r="AL298" s="109">
        <v>1212</v>
      </c>
      <c r="AM298" s="84">
        <f t="shared" si="367"/>
        <v>0</v>
      </c>
      <c r="AN298" s="65"/>
      <c r="AO298" s="112"/>
      <c r="AP298" s="204"/>
      <c r="AQ298" s="109">
        <f>IFERROR((O298+AH298+AM298)/Dashboard!$D$15,0)*0.2</f>
        <v>14.46280991735537</v>
      </c>
      <c r="AR298" s="84">
        <f t="shared" si="368"/>
        <v>0</v>
      </c>
      <c r="AS298" s="65"/>
      <c r="AT298" s="112"/>
      <c r="AU298" s="203">
        <v>0.33</v>
      </c>
      <c r="AV298" s="109">
        <f t="shared" si="354"/>
        <v>14000</v>
      </c>
      <c r="AW298" s="84">
        <f t="shared" si="369"/>
        <v>0</v>
      </c>
      <c r="AX298" s="65"/>
      <c r="AY298" s="112"/>
      <c r="AZ298" s="203">
        <v>0.25</v>
      </c>
      <c r="BA298" s="109">
        <f t="shared" si="370"/>
        <v>14000</v>
      </c>
      <c r="BB298" s="84">
        <f t="shared" si="371"/>
        <v>0</v>
      </c>
      <c r="BC298" s="65"/>
      <c r="BD298" s="112"/>
      <c r="BE298" s="203">
        <v>0.26</v>
      </c>
      <c r="BF298" s="109">
        <f t="shared" si="357"/>
        <v>14000</v>
      </c>
      <c r="BG298" s="84">
        <f t="shared" si="372"/>
        <v>0</v>
      </c>
      <c r="BH298" s="197"/>
      <c r="BI298" s="518"/>
      <c r="BJ298" s="65"/>
      <c r="BK298" s="81">
        <f t="shared" si="373"/>
        <v>0</v>
      </c>
      <c r="BL298" s="65"/>
      <c r="BM298" s="204"/>
      <c r="BN298" s="156">
        <f>IF(B298&lt;&gt;"",_xlfn.XLOOKUP(B298,'Cronog. e Histog.'!B:B,'Cronog. e Histog.'!EK:EK),0)</f>
        <v>0</v>
      </c>
      <c r="BO298" s="109">
        <f>($O298/Dashboard!$D$15)*(1+Dashboard!$D$19)</f>
        <v>108.47107438016528</v>
      </c>
      <c r="BP298" s="84">
        <f t="shared" si="374"/>
        <v>0</v>
      </c>
      <c r="BQ298" s="65"/>
      <c r="BR298" s="204"/>
      <c r="BS298" s="156">
        <f>IF(B298&lt;&gt;"",_xlfn.XLOOKUP(B298,'Cronog. e Histog.'!B:B,'Cronog. e Histog.'!EL:EL),0)</f>
        <v>0</v>
      </c>
      <c r="BT298" s="109">
        <f>($O298/Dashboard!$D$15)*(1+Dashboard!$D$20)</f>
        <v>126.54958677685948</v>
      </c>
      <c r="BU298" s="84">
        <f t="shared" si="375"/>
        <v>0</v>
      </c>
      <c r="BV298" s="65"/>
      <c r="BW298" s="204"/>
      <c r="BX298" s="156">
        <f>IF(B298&lt;&gt;"",_xlfn.XLOOKUP(B298,'Cronog. e Histog.'!B:B,'Cronog. e Histog.'!EM:EM),0)</f>
        <v>0</v>
      </c>
      <c r="BY298" s="109">
        <f>($O298/Dashboard!$D$15)*(1+Dashboard!$D$21)</f>
        <v>144.62809917355369</v>
      </c>
      <c r="BZ298" s="84">
        <f t="shared" si="376"/>
        <v>0</v>
      </c>
    </row>
    <row r="299" spans="2:78" ht="12" customHeight="1" outlineLevel="1">
      <c r="B299" s="137" t="str">
        <f>'Cronog. e Histog.'!B434</f>
        <v>ENG/ARQ JR. - Equipe_01</v>
      </c>
      <c r="C299" s="65"/>
      <c r="D299" s="200">
        <f t="shared" si="342"/>
        <v>0</v>
      </c>
      <c r="E299" s="200">
        <f t="shared" si="343"/>
        <v>0</v>
      </c>
      <c r="F299" s="65"/>
      <c r="G299" s="200">
        <f t="shared" si="344"/>
        <v>0</v>
      </c>
      <c r="H299" s="200">
        <f t="shared" si="345"/>
        <v>0</v>
      </c>
      <c r="I299" s="65"/>
      <c r="J299" s="143" t="str">
        <f>IF('Cronog. e Histog.'!G434&gt;0,'Cronog. e Histog.'!G434,"")</f>
        <v>ENG/ARQ JR.</v>
      </c>
      <c r="K299" s="65"/>
      <c r="L299" s="144">
        <f>'Cronog. e Histog.'!BT434</f>
        <v>0</v>
      </c>
      <c r="M299" s="144">
        <f>'Cronog. e Histog.'!BU434</f>
        <v>0</v>
      </c>
      <c r="N299" s="65"/>
      <c r="O299" s="109">
        <f>_xlfn.XLOOKUP(B299,Salários!B:B,Salários!K:K)</f>
        <v>14000</v>
      </c>
      <c r="P299" s="109">
        <f t="shared" si="360"/>
        <v>0</v>
      </c>
      <c r="Q299" s="109">
        <f t="shared" si="361"/>
        <v>0</v>
      </c>
      <c r="R299" s="65"/>
      <c r="S299" s="109">
        <f t="shared" si="362"/>
        <v>14000</v>
      </c>
      <c r="T299" s="201" t="str">
        <f>IF(_xlfn.XLOOKUP(B299,Salários!B:B,Salários!I:I)&gt;0,_xlfn.XLOOKUP(B299,Salários!B:B,Salários!I:I),"")</f>
        <v>PJ</v>
      </c>
      <c r="U299" s="117">
        <f t="shared" si="363"/>
        <v>0</v>
      </c>
      <c r="V299" s="65"/>
      <c r="W299" s="202"/>
      <c r="X299" s="65"/>
      <c r="Y299" s="69"/>
      <c r="Z299" s="65"/>
      <c r="AA299" s="518"/>
      <c r="AB299" s="65"/>
      <c r="AC299" s="81">
        <f t="shared" si="364"/>
        <v>0</v>
      </c>
      <c r="AD299" s="65"/>
      <c r="AE299" s="112"/>
      <c r="AF299" s="203">
        <v>0.3</v>
      </c>
      <c r="AG299" s="109">
        <f t="shared" si="365"/>
        <v>14000</v>
      </c>
      <c r="AH299" s="84">
        <f t="shared" si="366"/>
        <v>0</v>
      </c>
      <c r="AI299" s="65"/>
      <c r="AJ299" s="112"/>
      <c r="AK299" s="122"/>
      <c r="AL299" s="109">
        <v>1212</v>
      </c>
      <c r="AM299" s="84">
        <f t="shared" si="367"/>
        <v>0</v>
      </c>
      <c r="AN299" s="65"/>
      <c r="AO299" s="112"/>
      <c r="AP299" s="204"/>
      <c r="AQ299" s="109">
        <f>IFERROR((O299+AH299+AM299)/Dashboard!$D$15,0)*0.2</f>
        <v>14.46280991735537</v>
      </c>
      <c r="AR299" s="84">
        <f t="shared" si="368"/>
        <v>0</v>
      </c>
      <c r="AS299" s="65"/>
      <c r="AT299" s="112"/>
      <c r="AU299" s="203">
        <v>0.33</v>
      </c>
      <c r="AV299" s="109">
        <f t="shared" si="354"/>
        <v>14000</v>
      </c>
      <c r="AW299" s="84">
        <f t="shared" si="369"/>
        <v>0</v>
      </c>
      <c r="AX299" s="65"/>
      <c r="AY299" s="112"/>
      <c r="AZ299" s="203">
        <v>0.25</v>
      </c>
      <c r="BA299" s="109">
        <f t="shared" si="370"/>
        <v>14000</v>
      </c>
      <c r="BB299" s="84">
        <f t="shared" si="371"/>
        <v>0</v>
      </c>
      <c r="BC299" s="65"/>
      <c r="BD299" s="112"/>
      <c r="BE299" s="203">
        <v>0.26</v>
      </c>
      <c r="BF299" s="109">
        <f t="shared" si="357"/>
        <v>14000</v>
      </c>
      <c r="BG299" s="84">
        <f t="shared" si="372"/>
        <v>0</v>
      </c>
      <c r="BH299" s="197"/>
      <c r="BI299" s="518"/>
      <c r="BJ299" s="65"/>
      <c r="BK299" s="81">
        <f t="shared" si="373"/>
        <v>0</v>
      </c>
      <c r="BL299" s="65"/>
      <c r="BM299" s="204"/>
      <c r="BN299" s="156">
        <f>IF(B299&lt;&gt;"",_xlfn.XLOOKUP(B299,'Cronog. e Histog.'!B:B,'Cronog. e Histog.'!EK:EK),0)</f>
        <v>0</v>
      </c>
      <c r="BO299" s="109">
        <f>($O299/Dashboard!$D$15)*(1+Dashboard!$D$19)</f>
        <v>108.47107438016528</v>
      </c>
      <c r="BP299" s="84">
        <f t="shared" si="374"/>
        <v>0</v>
      </c>
      <c r="BQ299" s="65"/>
      <c r="BR299" s="204"/>
      <c r="BS299" s="156">
        <f>IF(B299&lt;&gt;"",_xlfn.XLOOKUP(B299,'Cronog. e Histog.'!B:B,'Cronog. e Histog.'!EL:EL),0)</f>
        <v>0</v>
      </c>
      <c r="BT299" s="109">
        <f>($O299/Dashboard!$D$15)*(1+Dashboard!$D$20)</f>
        <v>126.54958677685948</v>
      </c>
      <c r="BU299" s="84">
        <f t="shared" si="375"/>
        <v>0</v>
      </c>
      <c r="BV299" s="65"/>
      <c r="BW299" s="204"/>
      <c r="BX299" s="156">
        <f>IF(B299&lt;&gt;"",_xlfn.XLOOKUP(B299,'Cronog. e Histog.'!B:B,'Cronog. e Histog.'!EM:EM),0)</f>
        <v>0</v>
      </c>
      <c r="BY299" s="109">
        <f>($O299/Dashboard!$D$15)*(1+Dashboard!$D$21)</f>
        <v>144.62809917355369</v>
      </c>
      <c r="BZ299" s="84">
        <f t="shared" si="376"/>
        <v>0</v>
      </c>
    </row>
    <row r="300" spans="2:78" ht="12" customHeight="1" outlineLevel="1">
      <c r="B300" s="137" t="str">
        <f>'Cronog. e Histog.'!B435</f>
        <v>AN SR. ENG/ARQ - Equipe_01</v>
      </c>
      <c r="C300" s="65"/>
      <c r="D300" s="200">
        <f t="shared" si="342"/>
        <v>0</v>
      </c>
      <c r="E300" s="200">
        <f t="shared" si="343"/>
        <v>0</v>
      </c>
      <c r="F300" s="65"/>
      <c r="G300" s="200">
        <f t="shared" si="344"/>
        <v>0</v>
      </c>
      <c r="H300" s="200">
        <f t="shared" si="345"/>
        <v>0</v>
      </c>
      <c r="I300" s="65"/>
      <c r="J300" s="143" t="str">
        <f>IF('Cronog. e Histog.'!G435&gt;0,'Cronog. e Histog.'!G435,"")</f>
        <v>AN SR. ENG/ARQ</v>
      </c>
      <c r="K300" s="65"/>
      <c r="L300" s="144">
        <f>'Cronog. e Histog.'!BT435</f>
        <v>0</v>
      </c>
      <c r="M300" s="144">
        <f>'Cronog. e Histog.'!BU435</f>
        <v>0</v>
      </c>
      <c r="N300" s="65"/>
      <c r="O300" s="109">
        <f>_xlfn.XLOOKUP(B300,Salários!B:B,Salários!K:K)</f>
        <v>7950</v>
      </c>
      <c r="P300" s="109">
        <f t="shared" si="360"/>
        <v>0</v>
      </c>
      <c r="Q300" s="109">
        <f t="shared" si="361"/>
        <v>0</v>
      </c>
      <c r="R300" s="65"/>
      <c r="S300" s="109">
        <f t="shared" si="362"/>
        <v>7950</v>
      </c>
      <c r="T300" s="201" t="str">
        <f>IF(_xlfn.XLOOKUP(B300,Salários!B:B,Salários!I:I)&gt;0,_xlfn.XLOOKUP(B300,Salários!B:B,Salários!I:I),"")</f>
        <v>Mensalista</v>
      </c>
      <c r="U300" s="117">
        <f t="shared" si="363"/>
        <v>0</v>
      </c>
      <c r="V300" s="65"/>
      <c r="W300" s="202"/>
      <c r="X300" s="65"/>
      <c r="Y300" s="69"/>
      <c r="Z300" s="65"/>
      <c r="AA300" s="518"/>
      <c r="AB300" s="65"/>
      <c r="AC300" s="81">
        <f t="shared" si="364"/>
        <v>0</v>
      </c>
      <c r="AD300" s="65"/>
      <c r="AE300" s="112"/>
      <c r="AF300" s="203">
        <v>0.3</v>
      </c>
      <c r="AG300" s="109">
        <f t="shared" si="365"/>
        <v>7950</v>
      </c>
      <c r="AH300" s="84">
        <f t="shared" si="366"/>
        <v>0</v>
      </c>
      <c r="AI300" s="65"/>
      <c r="AJ300" s="112"/>
      <c r="AK300" s="122"/>
      <c r="AL300" s="109">
        <v>1212</v>
      </c>
      <c r="AM300" s="84">
        <f t="shared" si="367"/>
        <v>0</v>
      </c>
      <c r="AN300" s="65"/>
      <c r="AO300" s="112"/>
      <c r="AP300" s="204"/>
      <c r="AQ300" s="109">
        <f>IFERROR((O300+AH300+AM300)/Dashboard!$D$15,0)*0.2</f>
        <v>8.2128099173553704</v>
      </c>
      <c r="AR300" s="84">
        <f t="shared" si="368"/>
        <v>0</v>
      </c>
      <c r="AS300" s="65"/>
      <c r="AT300" s="112"/>
      <c r="AU300" s="203">
        <v>0.33</v>
      </c>
      <c r="AV300" s="109">
        <f t="shared" si="354"/>
        <v>7950</v>
      </c>
      <c r="AW300" s="84">
        <f t="shared" si="369"/>
        <v>0</v>
      </c>
      <c r="AX300" s="65"/>
      <c r="AY300" s="112"/>
      <c r="AZ300" s="203">
        <v>0.25</v>
      </c>
      <c r="BA300" s="109">
        <f t="shared" si="370"/>
        <v>7950</v>
      </c>
      <c r="BB300" s="84">
        <f t="shared" si="371"/>
        <v>0</v>
      </c>
      <c r="BC300" s="65"/>
      <c r="BD300" s="112"/>
      <c r="BE300" s="203">
        <v>0.26</v>
      </c>
      <c r="BF300" s="109">
        <f t="shared" si="357"/>
        <v>7950</v>
      </c>
      <c r="BG300" s="84">
        <f t="shared" si="372"/>
        <v>0</v>
      </c>
      <c r="BH300" s="197"/>
      <c r="BI300" s="518"/>
      <c r="BJ300" s="65"/>
      <c r="BK300" s="81">
        <f t="shared" si="373"/>
        <v>0</v>
      </c>
      <c r="BL300" s="65"/>
      <c r="BM300" s="204"/>
      <c r="BN300" s="156">
        <f>IF(B300&lt;&gt;"",_xlfn.XLOOKUP(B300,'Cronog. e Histog.'!B:B,'Cronog. e Histog.'!EK:EK),0)</f>
        <v>0</v>
      </c>
      <c r="BO300" s="109">
        <f>($O300/Dashboard!$D$15)*(1+Dashboard!$D$19)</f>
        <v>61.596074380165277</v>
      </c>
      <c r="BP300" s="84">
        <f t="shared" si="374"/>
        <v>0</v>
      </c>
      <c r="BQ300" s="65"/>
      <c r="BR300" s="204"/>
      <c r="BS300" s="156">
        <f>IF(B300&lt;&gt;"",_xlfn.XLOOKUP(B300,'Cronog. e Histog.'!B:B,'Cronog. e Histog.'!EL:EL),0)</f>
        <v>0</v>
      </c>
      <c r="BT300" s="109">
        <f>($O300/Dashboard!$D$15)*(1+Dashboard!$D$20)</f>
        <v>71.862086776859499</v>
      </c>
      <c r="BU300" s="84">
        <f t="shared" si="375"/>
        <v>0</v>
      </c>
      <c r="BV300" s="65"/>
      <c r="BW300" s="204"/>
      <c r="BX300" s="156">
        <f>IF(B300&lt;&gt;"",_xlfn.XLOOKUP(B300,'Cronog. e Histog.'!B:B,'Cronog. e Histog.'!EM:EM),0)</f>
        <v>0</v>
      </c>
      <c r="BY300" s="109">
        <f>($O300/Dashboard!$D$15)*(1+Dashboard!$D$21)</f>
        <v>82.128099173553707</v>
      </c>
      <c r="BZ300" s="84">
        <f t="shared" si="376"/>
        <v>0</v>
      </c>
    </row>
    <row r="301" spans="2:78" ht="12" customHeight="1" outlineLevel="1">
      <c r="B301" s="137" t="str">
        <f>'Cronog. e Histog.'!B436</f>
        <v>AN PL. ENG/ARQ - Equipe_01</v>
      </c>
      <c r="C301" s="65"/>
      <c r="D301" s="200">
        <f t="shared" si="342"/>
        <v>0</v>
      </c>
      <c r="E301" s="200">
        <f t="shared" si="343"/>
        <v>0</v>
      </c>
      <c r="F301" s="65"/>
      <c r="G301" s="200">
        <f t="shared" si="344"/>
        <v>0</v>
      </c>
      <c r="H301" s="200">
        <f t="shared" si="345"/>
        <v>0</v>
      </c>
      <c r="I301" s="65"/>
      <c r="J301" s="143" t="str">
        <f>IF('Cronog. e Histog.'!G436&gt;0,'Cronog. e Histog.'!G436,"")</f>
        <v>AN PL. ENG/ARQ</v>
      </c>
      <c r="K301" s="65"/>
      <c r="L301" s="144">
        <f>'Cronog. e Histog.'!BT436</f>
        <v>0</v>
      </c>
      <c r="M301" s="144">
        <f>'Cronog. e Histog.'!BU436</f>
        <v>0</v>
      </c>
      <c r="N301" s="65"/>
      <c r="O301" s="109">
        <f>_xlfn.XLOOKUP(B301,Salários!B:B,Salários!K:K)</f>
        <v>6360</v>
      </c>
      <c r="P301" s="109">
        <f t="shared" si="360"/>
        <v>0</v>
      </c>
      <c r="Q301" s="109">
        <f t="shared" si="361"/>
        <v>0</v>
      </c>
      <c r="R301" s="65"/>
      <c r="S301" s="109">
        <f t="shared" si="362"/>
        <v>6360</v>
      </c>
      <c r="T301" s="201" t="str">
        <f>IF(_xlfn.XLOOKUP(B301,Salários!B:B,Salários!I:I)&gt;0,_xlfn.XLOOKUP(B301,Salários!B:B,Salários!I:I),"")</f>
        <v>Mensalista</v>
      </c>
      <c r="U301" s="117">
        <f t="shared" si="363"/>
        <v>0</v>
      </c>
      <c r="V301" s="65"/>
      <c r="W301" s="202"/>
      <c r="X301" s="65"/>
      <c r="Y301" s="69"/>
      <c r="Z301" s="65"/>
      <c r="AA301" s="518"/>
      <c r="AB301" s="65"/>
      <c r="AC301" s="81">
        <f t="shared" si="364"/>
        <v>0</v>
      </c>
      <c r="AD301" s="65"/>
      <c r="AE301" s="112"/>
      <c r="AF301" s="203">
        <v>0.3</v>
      </c>
      <c r="AG301" s="109">
        <f t="shared" si="365"/>
        <v>6360</v>
      </c>
      <c r="AH301" s="84">
        <f t="shared" si="366"/>
        <v>0</v>
      </c>
      <c r="AI301" s="65"/>
      <c r="AJ301" s="112"/>
      <c r="AK301" s="122"/>
      <c r="AL301" s="109">
        <v>1212</v>
      </c>
      <c r="AM301" s="84">
        <f t="shared" si="367"/>
        <v>0</v>
      </c>
      <c r="AN301" s="65"/>
      <c r="AO301" s="112"/>
      <c r="AP301" s="204"/>
      <c r="AQ301" s="109">
        <f>IFERROR((O301+AH301+AM301)/Dashboard!$D$15,0)*0.2</f>
        <v>6.5702479338842963</v>
      </c>
      <c r="AR301" s="84">
        <f t="shared" si="368"/>
        <v>0</v>
      </c>
      <c r="AS301" s="65"/>
      <c r="AT301" s="112"/>
      <c r="AU301" s="203">
        <v>0.33</v>
      </c>
      <c r="AV301" s="109">
        <f t="shared" si="354"/>
        <v>6360</v>
      </c>
      <c r="AW301" s="84">
        <f t="shared" si="369"/>
        <v>0</v>
      </c>
      <c r="AX301" s="65"/>
      <c r="AY301" s="112"/>
      <c r="AZ301" s="203">
        <v>0.25</v>
      </c>
      <c r="BA301" s="109">
        <f t="shared" si="370"/>
        <v>6360</v>
      </c>
      <c r="BB301" s="84">
        <f t="shared" si="371"/>
        <v>0</v>
      </c>
      <c r="BC301" s="65"/>
      <c r="BD301" s="112"/>
      <c r="BE301" s="203">
        <v>0.26</v>
      </c>
      <c r="BF301" s="109">
        <f t="shared" si="357"/>
        <v>6360</v>
      </c>
      <c r="BG301" s="84">
        <f t="shared" si="372"/>
        <v>0</v>
      </c>
      <c r="BH301" s="197"/>
      <c r="BI301" s="518"/>
      <c r="BJ301" s="65"/>
      <c r="BK301" s="81">
        <f t="shared" si="373"/>
        <v>0</v>
      </c>
      <c r="BL301" s="65"/>
      <c r="BM301" s="204"/>
      <c r="BN301" s="156">
        <f>IF(B301&lt;&gt;"",_xlfn.XLOOKUP(B301,'Cronog. e Histog.'!B:B,'Cronog. e Histog.'!EK:EK),0)</f>
        <v>0</v>
      </c>
      <c r="BO301" s="109">
        <f>($O301/Dashboard!$D$15)*(1+Dashboard!$D$19)</f>
        <v>49.276859504132219</v>
      </c>
      <c r="BP301" s="84">
        <f t="shared" si="374"/>
        <v>0</v>
      </c>
      <c r="BQ301" s="65"/>
      <c r="BR301" s="204"/>
      <c r="BS301" s="156">
        <f>IF(B301&lt;&gt;"",_xlfn.XLOOKUP(B301,'Cronog. e Histog.'!B:B,'Cronog. e Histog.'!EL:EL),0)</f>
        <v>0</v>
      </c>
      <c r="BT301" s="109">
        <f>($O301/Dashboard!$D$15)*(1+Dashboard!$D$20)</f>
        <v>57.489669421487591</v>
      </c>
      <c r="BU301" s="84">
        <f t="shared" si="375"/>
        <v>0</v>
      </c>
      <c r="BV301" s="65"/>
      <c r="BW301" s="204"/>
      <c r="BX301" s="156">
        <f>IF(B301&lt;&gt;"",_xlfn.XLOOKUP(B301,'Cronog. e Histog.'!B:B,'Cronog. e Histog.'!EM:EM),0)</f>
        <v>0</v>
      </c>
      <c r="BY301" s="109">
        <f>($O301/Dashboard!$D$15)*(1+Dashboard!$D$21)</f>
        <v>65.702479338842963</v>
      </c>
      <c r="BZ301" s="84">
        <f t="shared" si="376"/>
        <v>0</v>
      </c>
    </row>
    <row r="302" spans="2:78" ht="12" customHeight="1" outlineLevel="1">
      <c r="B302" s="137" t="str">
        <f>'Cronog. e Histog.'!B437</f>
        <v>AN JR. ENG/ARQ - Equipe_01</v>
      </c>
      <c r="C302" s="65"/>
      <c r="D302" s="200">
        <f t="shared" si="342"/>
        <v>0</v>
      </c>
      <c r="E302" s="200">
        <f t="shared" si="343"/>
        <v>0</v>
      </c>
      <c r="F302" s="65"/>
      <c r="G302" s="200">
        <f t="shared" si="344"/>
        <v>0</v>
      </c>
      <c r="H302" s="200">
        <f t="shared" si="345"/>
        <v>0</v>
      </c>
      <c r="I302" s="65"/>
      <c r="J302" s="143" t="str">
        <f>IF('Cronog. e Histog.'!G437&gt;0,'Cronog. e Histog.'!G437,"")</f>
        <v>AN JR. ENG/ARQ</v>
      </c>
      <c r="K302" s="65"/>
      <c r="L302" s="144">
        <f>'Cronog. e Histog.'!BT437</f>
        <v>0</v>
      </c>
      <c r="M302" s="144">
        <f>'Cronog. e Histog.'!BU437</f>
        <v>0</v>
      </c>
      <c r="N302" s="65"/>
      <c r="O302" s="109">
        <f>_xlfn.XLOOKUP(B302,Salários!B:B,Salários!K:K)</f>
        <v>4770</v>
      </c>
      <c r="P302" s="109">
        <f t="shared" si="360"/>
        <v>0</v>
      </c>
      <c r="Q302" s="109">
        <f t="shared" si="361"/>
        <v>0</v>
      </c>
      <c r="R302" s="65"/>
      <c r="S302" s="109">
        <f t="shared" si="362"/>
        <v>4770</v>
      </c>
      <c r="T302" s="201" t="str">
        <f>IF(_xlfn.XLOOKUP(B302,Salários!B:B,Salários!I:I)&gt;0,_xlfn.XLOOKUP(B302,Salários!B:B,Salários!I:I),"")</f>
        <v>Mensalista</v>
      </c>
      <c r="U302" s="117">
        <f t="shared" si="363"/>
        <v>0</v>
      </c>
      <c r="V302" s="65"/>
      <c r="W302" s="202"/>
      <c r="X302" s="65"/>
      <c r="Y302" s="69"/>
      <c r="Z302" s="65"/>
      <c r="AA302" s="518"/>
      <c r="AB302" s="65"/>
      <c r="AC302" s="81">
        <f t="shared" si="364"/>
        <v>0</v>
      </c>
      <c r="AD302" s="65"/>
      <c r="AE302" s="112"/>
      <c r="AF302" s="203">
        <v>0.3</v>
      </c>
      <c r="AG302" s="109">
        <f t="shared" si="365"/>
        <v>4770</v>
      </c>
      <c r="AH302" s="84">
        <f t="shared" si="366"/>
        <v>0</v>
      </c>
      <c r="AI302" s="65"/>
      <c r="AJ302" s="112"/>
      <c r="AK302" s="122"/>
      <c r="AL302" s="109">
        <v>1212</v>
      </c>
      <c r="AM302" s="84">
        <f t="shared" si="367"/>
        <v>0</v>
      </c>
      <c r="AN302" s="65"/>
      <c r="AO302" s="112"/>
      <c r="AP302" s="204"/>
      <c r="AQ302" s="109">
        <f>IFERROR((O302+AH302+AM302)/Dashboard!$D$15,0)*0.2</f>
        <v>4.9276859504132231</v>
      </c>
      <c r="AR302" s="84">
        <f t="shared" si="368"/>
        <v>0</v>
      </c>
      <c r="AS302" s="65"/>
      <c r="AT302" s="112"/>
      <c r="AU302" s="203">
        <v>0.33</v>
      </c>
      <c r="AV302" s="109">
        <f t="shared" si="354"/>
        <v>4770</v>
      </c>
      <c r="AW302" s="84">
        <f t="shared" si="369"/>
        <v>0</v>
      </c>
      <c r="AX302" s="65"/>
      <c r="AY302" s="112"/>
      <c r="AZ302" s="203">
        <v>0.25</v>
      </c>
      <c r="BA302" s="109">
        <f t="shared" si="370"/>
        <v>4770</v>
      </c>
      <c r="BB302" s="84">
        <f t="shared" si="371"/>
        <v>0</v>
      </c>
      <c r="BC302" s="65"/>
      <c r="BD302" s="112"/>
      <c r="BE302" s="203">
        <v>0.26</v>
      </c>
      <c r="BF302" s="109">
        <f t="shared" si="357"/>
        <v>4770</v>
      </c>
      <c r="BG302" s="84">
        <f t="shared" si="372"/>
        <v>0</v>
      </c>
      <c r="BH302" s="197"/>
      <c r="BI302" s="518"/>
      <c r="BJ302" s="65"/>
      <c r="BK302" s="81">
        <f t="shared" si="373"/>
        <v>0</v>
      </c>
      <c r="BL302" s="65"/>
      <c r="BM302" s="204"/>
      <c r="BN302" s="156">
        <f>IF(B302&lt;&gt;"",_xlfn.XLOOKUP(B302,'Cronog. e Histog.'!B:B,'Cronog. e Histog.'!EK:EK),0)</f>
        <v>0</v>
      </c>
      <c r="BO302" s="109">
        <f>($O302/Dashboard!$D$15)*(1+Dashboard!$D$19)</f>
        <v>36.957644628099168</v>
      </c>
      <c r="BP302" s="84">
        <f t="shared" si="374"/>
        <v>0</v>
      </c>
      <c r="BQ302" s="65"/>
      <c r="BR302" s="204"/>
      <c r="BS302" s="156">
        <f>IF(B302&lt;&gt;"",_xlfn.XLOOKUP(B302,'Cronog. e Histog.'!B:B,'Cronog. e Histog.'!EL:EL),0)</f>
        <v>0</v>
      </c>
      <c r="BT302" s="109">
        <f>($O302/Dashboard!$D$15)*(1+Dashboard!$D$20)</f>
        <v>43.117252066115697</v>
      </c>
      <c r="BU302" s="84">
        <f t="shared" si="375"/>
        <v>0</v>
      </c>
      <c r="BV302" s="65"/>
      <c r="BW302" s="204"/>
      <c r="BX302" s="156">
        <f>IF(B302&lt;&gt;"",_xlfn.XLOOKUP(B302,'Cronog. e Histog.'!B:B,'Cronog. e Histog.'!EM:EM),0)</f>
        <v>0</v>
      </c>
      <c r="BY302" s="109">
        <f>($O302/Dashboard!$D$15)*(1+Dashboard!$D$21)</f>
        <v>49.276859504132226</v>
      </c>
      <c r="BZ302" s="84">
        <f t="shared" si="376"/>
        <v>0</v>
      </c>
    </row>
    <row r="303" spans="2:78" ht="12" customHeight="1" outlineLevel="1">
      <c r="B303" s="137" t="str">
        <f>'Cronog. e Histog.'!B438</f>
        <v>AN SR. ADM/CRP - Equipe_01</v>
      </c>
      <c r="C303" s="65"/>
      <c r="D303" s="200">
        <f t="shared" si="342"/>
        <v>0</v>
      </c>
      <c r="E303" s="200">
        <f t="shared" si="343"/>
        <v>0</v>
      </c>
      <c r="F303" s="65"/>
      <c r="G303" s="200">
        <f t="shared" si="344"/>
        <v>0</v>
      </c>
      <c r="H303" s="200">
        <f t="shared" si="345"/>
        <v>0</v>
      </c>
      <c r="I303" s="65"/>
      <c r="J303" s="143" t="str">
        <f>IF('Cronog. e Histog.'!G438&gt;0,'Cronog. e Histog.'!G438,"")</f>
        <v>AN SR. ADM/CRP</v>
      </c>
      <c r="K303" s="65"/>
      <c r="L303" s="144">
        <f>'Cronog. e Histog.'!BT438</f>
        <v>0</v>
      </c>
      <c r="M303" s="144">
        <f>'Cronog. e Histog.'!BU438</f>
        <v>0</v>
      </c>
      <c r="N303" s="65"/>
      <c r="O303" s="109">
        <f>_xlfn.XLOOKUP(B303,Salários!B:B,Salários!K:K)</f>
        <v>7420</v>
      </c>
      <c r="P303" s="109">
        <f t="shared" si="360"/>
        <v>0</v>
      </c>
      <c r="Q303" s="109">
        <f t="shared" si="361"/>
        <v>0</v>
      </c>
      <c r="R303" s="65"/>
      <c r="S303" s="109">
        <f t="shared" si="362"/>
        <v>7420</v>
      </c>
      <c r="T303" s="201" t="str">
        <f>IF(_xlfn.XLOOKUP(B303,Salários!B:B,Salários!I:I)&gt;0,_xlfn.XLOOKUP(B303,Salários!B:B,Salários!I:I),"")</f>
        <v>Mensalista</v>
      </c>
      <c r="U303" s="117">
        <f t="shared" si="363"/>
        <v>0</v>
      </c>
      <c r="V303" s="65"/>
      <c r="W303" s="202"/>
      <c r="X303" s="65"/>
      <c r="Y303" s="69"/>
      <c r="Z303" s="65"/>
      <c r="AA303" s="518"/>
      <c r="AB303" s="65"/>
      <c r="AC303" s="81">
        <f t="shared" si="364"/>
        <v>0</v>
      </c>
      <c r="AD303" s="65"/>
      <c r="AE303" s="112"/>
      <c r="AF303" s="203">
        <v>0.3</v>
      </c>
      <c r="AG303" s="109">
        <f t="shared" si="365"/>
        <v>7420</v>
      </c>
      <c r="AH303" s="84">
        <f t="shared" si="366"/>
        <v>0</v>
      </c>
      <c r="AI303" s="65"/>
      <c r="AJ303" s="112"/>
      <c r="AK303" s="122"/>
      <c r="AL303" s="109">
        <v>1212</v>
      </c>
      <c r="AM303" s="84">
        <f t="shared" si="367"/>
        <v>0</v>
      </c>
      <c r="AN303" s="65"/>
      <c r="AO303" s="112"/>
      <c r="AP303" s="204"/>
      <c r="AQ303" s="109">
        <f>IFERROR((O303+AH303+AM303)/Dashboard!$D$15,0)*0.2</f>
        <v>7.6652892561983466</v>
      </c>
      <c r="AR303" s="84">
        <f t="shared" si="368"/>
        <v>0</v>
      </c>
      <c r="AS303" s="65"/>
      <c r="AT303" s="112"/>
      <c r="AU303" s="203">
        <v>0.33</v>
      </c>
      <c r="AV303" s="109">
        <f t="shared" si="354"/>
        <v>7420</v>
      </c>
      <c r="AW303" s="84">
        <f t="shared" si="369"/>
        <v>0</v>
      </c>
      <c r="AX303" s="65"/>
      <c r="AY303" s="112"/>
      <c r="AZ303" s="203">
        <v>0.25</v>
      </c>
      <c r="BA303" s="109">
        <f t="shared" si="370"/>
        <v>7420</v>
      </c>
      <c r="BB303" s="84">
        <f t="shared" si="371"/>
        <v>0</v>
      </c>
      <c r="BC303" s="65"/>
      <c r="BD303" s="112"/>
      <c r="BE303" s="203">
        <v>0.26</v>
      </c>
      <c r="BF303" s="109">
        <f t="shared" si="357"/>
        <v>7420</v>
      </c>
      <c r="BG303" s="84">
        <f t="shared" si="372"/>
        <v>0</v>
      </c>
      <c r="BH303" s="197"/>
      <c r="BI303" s="518"/>
      <c r="BJ303" s="65"/>
      <c r="BK303" s="81">
        <f t="shared" si="373"/>
        <v>0</v>
      </c>
      <c r="BL303" s="65"/>
      <c r="BM303" s="204"/>
      <c r="BN303" s="156">
        <f>IF(B303&lt;&gt;"",_xlfn.XLOOKUP(B303,'Cronog. e Histog.'!B:B,'Cronog. e Histog.'!EK:EK),0)</f>
        <v>0</v>
      </c>
      <c r="BO303" s="109">
        <f>($O303/Dashboard!$D$15)*(1+Dashboard!$D$19)</f>
        <v>57.489669421487598</v>
      </c>
      <c r="BP303" s="84">
        <f t="shared" si="374"/>
        <v>0</v>
      </c>
      <c r="BQ303" s="65"/>
      <c r="BR303" s="204"/>
      <c r="BS303" s="156">
        <f>IF(B303&lt;&gt;"",_xlfn.XLOOKUP(B303,'Cronog. e Histog.'!B:B,'Cronog. e Histog.'!EL:EL),0)</f>
        <v>0</v>
      </c>
      <c r="BT303" s="109">
        <f>($O303/Dashboard!$D$15)*(1+Dashboard!$D$20)</f>
        <v>67.071280991735534</v>
      </c>
      <c r="BU303" s="84">
        <f t="shared" si="375"/>
        <v>0</v>
      </c>
      <c r="BV303" s="65"/>
      <c r="BW303" s="204"/>
      <c r="BX303" s="156">
        <f>IF(B303&lt;&gt;"",_xlfn.XLOOKUP(B303,'Cronog. e Histog.'!B:B,'Cronog. e Histog.'!EM:EM),0)</f>
        <v>0</v>
      </c>
      <c r="BY303" s="109">
        <f>($O303/Dashboard!$D$15)*(1+Dashboard!$D$21)</f>
        <v>76.652892561983464</v>
      </c>
      <c r="BZ303" s="84">
        <f t="shared" si="376"/>
        <v>0</v>
      </c>
    </row>
    <row r="304" spans="2:78" ht="12" customHeight="1" outlineLevel="1">
      <c r="B304" s="137" t="str">
        <f>'Cronog. e Histog.'!B439</f>
        <v>AN PL. ADM/CRP - Equipe_01</v>
      </c>
      <c r="C304" s="65"/>
      <c r="D304" s="200">
        <f t="shared" si="342"/>
        <v>0</v>
      </c>
      <c r="E304" s="200">
        <f t="shared" si="343"/>
        <v>0</v>
      </c>
      <c r="F304" s="65"/>
      <c r="G304" s="200">
        <f t="shared" si="344"/>
        <v>0</v>
      </c>
      <c r="H304" s="200">
        <f t="shared" si="345"/>
        <v>0</v>
      </c>
      <c r="I304" s="65"/>
      <c r="J304" s="143" t="str">
        <f>IF('Cronog. e Histog.'!G439&gt;0,'Cronog. e Histog.'!G439,"")</f>
        <v>AN PL. ADM/CRP</v>
      </c>
      <c r="K304" s="65"/>
      <c r="L304" s="144">
        <f>'Cronog. e Histog.'!BT439</f>
        <v>0</v>
      </c>
      <c r="M304" s="144">
        <f>'Cronog. e Histog.'!BU439</f>
        <v>0</v>
      </c>
      <c r="N304" s="65"/>
      <c r="O304" s="109">
        <f>_xlfn.XLOOKUP(B304,Salários!B:B,Salários!K:K)</f>
        <v>5300</v>
      </c>
      <c r="P304" s="109">
        <f t="shared" si="360"/>
        <v>0</v>
      </c>
      <c r="Q304" s="109">
        <f t="shared" si="361"/>
        <v>0</v>
      </c>
      <c r="R304" s="65"/>
      <c r="S304" s="109">
        <f t="shared" si="362"/>
        <v>5300</v>
      </c>
      <c r="T304" s="201" t="str">
        <f>IF(_xlfn.XLOOKUP(B304,Salários!B:B,Salários!I:I)&gt;0,_xlfn.XLOOKUP(B304,Salários!B:B,Salários!I:I),"")</f>
        <v>Mensalista</v>
      </c>
      <c r="U304" s="117">
        <f t="shared" si="363"/>
        <v>0</v>
      </c>
      <c r="V304" s="65"/>
      <c r="W304" s="202"/>
      <c r="X304" s="65"/>
      <c r="Y304" s="69"/>
      <c r="Z304" s="65"/>
      <c r="AA304" s="518"/>
      <c r="AB304" s="65"/>
      <c r="AC304" s="81">
        <f t="shared" si="364"/>
        <v>0</v>
      </c>
      <c r="AD304" s="65"/>
      <c r="AE304" s="112"/>
      <c r="AF304" s="203">
        <v>0.3</v>
      </c>
      <c r="AG304" s="109">
        <f t="shared" si="365"/>
        <v>5300</v>
      </c>
      <c r="AH304" s="84">
        <f t="shared" si="366"/>
        <v>0</v>
      </c>
      <c r="AI304" s="65"/>
      <c r="AJ304" s="112"/>
      <c r="AK304" s="122"/>
      <c r="AL304" s="109">
        <v>1212</v>
      </c>
      <c r="AM304" s="84">
        <f t="shared" si="367"/>
        <v>0</v>
      </c>
      <c r="AN304" s="65"/>
      <c r="AO304" s="112"/>
      <c r="AP304" s="204"/>
      <c r="AQ304" s="109">
        <f>IFERROR((O304+AH304+AM304)/Dashboard!$D$15,0)*0.2</f>
        <v>5.4752066115702478</v>
      </c>
      <c r="AR304" s="84">
        <f t="shared" si="368"/>
        <v>0</v>
      </c>
      <c r="AS304" s="65"/>
      <c r="AT304" s="112"/>
      <c r="AU304" s="203">
        <v>0.33</v>
      </c>
      <c r="AV304" s="109">
        <f t="shared" si="354"/>
        <v>5300</v>
      </c>
      <c r="AW304" s="84">
        <f t="shared" si="369"/>
        <v>0</v>
      </c>
      <c r="AX304" s="65"/>
      <c r="AY304" s="112"/>
      <c r="AZ304" s="203">
        <v>0.25</v>
      </c>
      <c r="BA304" s="109">
        <f t="shared" si="370"/>
        <v>5300</v>
      </c>
      <c r="BB304" s="84">
        <f t="shared" si="371"/>
        <v>0</v>
      </c>
      <c r="BC304" s="65"/>
      <c r="BD304" s="112"/>
      <c r="BE304" s="203">
        <v>0.26</v>
      </c>
      <c r="BF304" s="109">
        <f t="shared" si="357"/>
        <v>5300</v>
      </c>
      <c r="BG304" s="84">
        <f t="shared" si="372"/>
        <v>0</v>
      </c>
      <c r="BH304" s="197"/>
      <c r="BI304" s="518"/>
      <c r="BJ304" s="65"/>
      <c r="BK304" s="81">
        <f t="shared" si="373"/>
        <v>0</v>
      </c>
      <c r="BL304" s="65"/>
      <c r="BM304" s="204"/>
      <c r="BN304" s="156">
        <f>IF(B304&lt;&gt;"",_xlfn.XLOOKUP(B304,'Cronog. e Histog.'!B:B,'Cronog. e Histog.'!EK:EK),0)</f>
        <v>0</v>
      </c>
      <c r="BO304" s="109">
        <f>($O304/Dashboard!$D$15)*(1+Dashboard!$D$19)</f>
        <v>41.064049586776861</v>
      </c>
      <c r="BP304" s="84">
        <f t="shared" si="374"/>
        <v>0</v>
      </c>
      <c r="BQ304" s="65"/>
      <c r="BR304" s="204"/>
      <c r="BS304" s="156">
        <f>IF(B304&lt;&gt;"",_xlfn.XLOOKUP(B304,'Cronog. e Histog.'!B:B,'Cronog. e Histog.'!EL:EL),0)</f>
        <v>0</v>
      </c>
      <c r="BT304" s="109">
        <f>($O304/Dashboard!$D$15)*(1+Dashboard!$D$20)</f>
        <v>47.908057851239668</v>
      </c>
      <c r="BU304" s="84">
        <f t="shared" si="375"/>
        <v>0</v>
      </c>
      <c r="BV304" s="65"/>
      <c r="BW304" s="204"/>
      <c r="BX304" s="156">
        <f>IF(B304&lt;&gt;"",_xlfn.XLOOKUP(B304,'Cronog. e Histog.'!B:B,'Cronog. e Histog.'!EM:EM),0)</f>
        <v>0</v>
      </c>
      <c r="BY304" s="109">
        <f>($O304/Dashboard!$D$15)*(1+Dashboard!$D$21)</f>
        <v>54.752066115702476</v>
      </c>
      <c r="BZ304" s="84">
        <f t="shared" si="376"/>
        <v>0</v>
      </c>
    </row>
    <row r="305" spans="2:78" ht="12" customHeight="1" outlineLevel="1">
      <c r="B305" s="137" t="str">
        <f>'Cronog. e Histog.'!B440</f>
        <v>AN JR. ADM/CRP - Equipe_01</v>
      </c>
      <c r="C305" s="65"/>
      <c r="D305" s="200">
        <f t="shared" si="342"/>
        <v>0</v>
      </c>
      <c r="E305" s="200">
        <f t="shared" si="343"/>
        <v>0</v>
      </c>
      <c r="F305" s="65"/>
      <c r="G305" s="200">
        <f t="shared" si="344"/>
        <v>0</v>
      </c>
      <c r="H305" s="200">
        <f t="shared" si="345"/>
        <v>0</v>
      </c>
      <c r="I305" s="65"/>
      <c r="J305" s="143" t="str">
        <f>IF('Cronog. e Histog.'!G440&gt;0,'Cronog. e Histog.'!G440,"")</f>
        <v>AN JR. ADM/CRP</v>
      </c>
      <c r="K305" s="65"/>
      <c r="L305" s="144">
        <f>'Cronog. e Histog.'!BT440</f>
        <v>0</v>
      </c>
      <c r="M305" s="144">
        <f>'Cronog. e Histog.'!BU440</f>
        <v>0</v>
      </c>
      <c r="N305" s="65"/>
      <c r="O305" s="109">
        <f>_xlfn.XLOOKUP(B305,Salários!B:B,Salários!K:K)</f>
        <v>3710</v>
      </c>
      <c r="P305" s="109">
        <f t="shared" si="360"/>
        <v>0</v>
      </c>
      <c r="Q305" s="109">
        <f t="shared" si="361"/>
        <v>0</v>
      </c>
      <c r="R305" s="65"/>
      <c r="S305" s="109">
        <f t="shared" si="362"/>
        <v>3710</v>
      </c>
      <c r="T305" s="201" t="str">
        <f>IF(_xlfn.XLOOKUP(B305,Salários!B:B,Salários!I:I)&gt;0,_xlfn.XLOOKUP(B305,Salários!B:B,Salários!I:I),"")</f>
        <v>Mensalista</v>
      </c>
      <c r="U305" s="117">
        <f t="shared" si="349"/>
        <v>0</v>
      </c>
      <c r="V305" s="65"/>
      <c r="W305" s="202"/>
      <c r="X305" s="65"/>
      <c r="Y305" s="69"/>
      <c r="Z305" s="65"/>
      <c r="AA305" s="518"/>
      <c r="AB305" s="65"/>
      <c r="AC305" s="81">
        <f t="shared" si="350"/>
        <v>0</v>
      </c>
      <c r="AD305" s="65"/>
      <c r="AE305" s="112"/>
      <c r="AF305" s="203">
        <v>0.3</v>
      </c>
      <c r="AG305" s="109">
        <f t="shared" si="44"/>
        <v>3710</v>
      </c>
      <c r="AH305" s="84">
        <f t="shared" si="351"/>
        <v>0</v>
      </c>
      <c r="AI305" s="65"/>
      <c r="AJ305" s="112"/>
      <c r="AK305" s="122"/>
      <c r="AL305" s="109">
        <v>1212</v>
      </c>
      <c r="AM305" s="84">
        <f t="shared" si="352"/>
        <v>0</v>
      </c>
      <c r="AN305" s="65"/>
      <c r="AO305" s="112"/>
      <c r="AP305" s="204"/>
      <c r="AQ305" s="109">
        <f>IFERROR((O305+AH305+AM305)/Dashboard!$D$15,0)*0.2</f>
        <v>3.8326446280991733</v>
      </c>
      <c r="AR305" s="84">
        <f t="shared" si="353"/>
        <v>0</v>
      </c>
      <c r="AS305" s="65"/>
      <c r="AT305" s="112"/>
      <c r="AU305" s="203">
        <v>0.33</v>
      </c>
      <c r="AV305" s="109">
        <f t="shared" si="354"/>
        <v>3710</v>
      </c>
      <c r="AW305" s="84">
        <f t="shared" si="355"/>
        <v>0</v>
      </c>
      <c r="AX305" s="65"/>
      <c r="AY305" s="112"/>
      <c r="AZ305" s="203">
        <v>0.25</v>
      </c>
      <c r="BA305" s="109">
        <f t="shared" si="50"/>
        <v>3710</v>
      </c>
      <c r="BB305" s="84">
        <f t="shared" si="356"/>
        <v>0</v>
      </c>
      <c r="BC305" s="65"/>
      <c r="BD305" s="112"/>
      <c r="BE305" s="203">
        <v>0.26</v>
      </c>
      <c r="BF305" s="109">
        <f t="shared" si="357"/>
        <v>3710</v>
      </c>
      <c r="BG305" s="84">
        <f t="shared" si="358"/>
        <v>0</v>
      </c>
      <c r="BH305" s="197"/>
      <c r="BI305" s="518"/>
      <c r="BJ305" s="65"/>
      <c r="BK305" s="81">
        <f t="shared" si="359"/>
        <v>0</v>
      </c>
      <c r="BL305" s="65"/>
      <c r="BM305" s="204"/>
      <c r="BN305" s="156">
        <f>IF(B305&lt;&gt;"",_xlfn.XLOOKUP(B305,'Cronog. e Histog.'!B:B,'Cronog. e Histog.'!EK:EK),0)</f>
        <v>0</v>
      </c>
      <c r="BO305" s="109">
        <f>($O305/Dashboard!$D$15)*(1+Dashboard!$D$19)</f>
        <v>28.744834710743799</v>
      </c>
      <c r="BP305" s="84">
        <f t="shared" si="374"/>
        <v>0</v>
      </c>
      <c r="BQ305" s="65"/>
      <c r="BR305" s="204"/>
      <c r="BS305" s="156">
        <f>IF(B305&lt;&gt;"",_xlfn.XLOOKUP(B305,'Cronog. e Histog.'!B:B,'Cronog. e Histog.'!EL:EL),0)</f>
        <v>0</v>
      </c>
      <c r="BT305" s="109">
        <f>($O305/Dashboard!$D$15)*(1+Dashboard!$D$20)</f>
        <v>33.535640495867767</v>
      </c>
      <c r="BU305" s="84">
        <f t="shared" si="375"/>
        <v>0</v>
      </c>
      <c r="BV305" s="65"/>
      <c r="BW305" s="204"/>
      <c r="BX305" s="156">
        <f>IF(B305&lt;&gt;"",_xlfn.XLOOKUP(B305,'Cronog. e Histog.'!B:B,'Cronog. e Histog.'!EM:EM),0)</f>
        <v>0</v>
      </c>
      <c r="BY305" s="109">
        <f>($O305/Dashboard!$D$15)*(1+Dashboard!$D$21)</f>
        <v>38.326446280991732</v>
      </c>
      <c r="BZ305" s="84">
        <f t="shared" si="376"/>
        <v>0</v>
      </c>
    </row>
    <row r="306" spans="2:78" ht="12" customHeight="1" outlineLevel="1">
      <c r="B306" s="137" t="str">
        <f>'Cronog. e Histog.'!B441</f>
        <v>TEC III - Equipe_01</v>
      </c>
      <c r="C306" s="65"/>
      <c r="D306" s="200">
        <f t="shared" si="342"/>
        <v>0</v>
      </c>
      <c r="E306" s="200">
        <f t="shared" si="343"/>
        <v>0</v>
      </c>
      <c r="F306" s="65"/>
      <c r="G306" s="200">
        <f t="shared" si="344"/>
        <v>0</v>
      </c>
      <c r="H306" s="200">
        <f t="shared" si="345"/>
        <v>0</v>
      </c>
      <c r="I306" s="65"/>
      <c r="J306" s="143" t="str">
        <f>IF('Cronog. e Histog.'!G441&gt;0,'Cronog. e Histog.'!G441,"")</f>
        <v>TEC III</v>
      </c>
      <c r="K306" s="65"/>
      <c r="L306" s="144">
        <f>'Cronog. e Histog.'!BT441</f>
        <v>0</v>
      </c>
      <c r="M306" s="144">
        <f>'Cronog. e Histog.'!BU441</f>
        <v>0</v>
      </c>
      <c r="N306" s="65"/>
      <c r="O306" s="109">
        <f>_xlfn.XLOOKUP(B306,Salários!B:B,Salários!K:K)</f>
        <v>6360</v>
      </c>
      <c r="P306" s="109">
        <f t="shared" si="360"/>
        <v>0</v>
      </c>
      <c r="Q306" s="109">
        <f t="shared" si="361"/>
        <v>0</v>
      </c>
      <c r="R306" s="65"/>
      <c r="S306" s="109">
        <f t="shared" si="362"/>
        <v>6360</v>
      </c>
      <c r="T306" s="201" t="str">
        <f>IF(_xlfn.XLOOKUP(B306,Salários!B:B,Salários!I:I)&gt;0,_xlfn.XLOOKUP(B306,Salários!B:B,Salários!I:I),"")</f>
        <v>Mensalista</v>
      </c>
      <c r="U306" s="117">
        <f t="shared" si="349"/>
        <v>0</v>
      </c>
      <c r="V306" s="65"/>
      <c r="W306" s="202"/>
      <c r="X306" s="65"/>
      <c r="Y306" s="69"/>
      <c r="Z306" s="65"/>
      <c r="AA306" s="518"/>
      <c r="AB306" s="65"/>
      <c r="AC306" s="81">
        <f t="shared" si="350"/>
        <v>0</v>
      </c>
      <c r="AD306" s="65"/>
      <c r="AE306" s="112"/>
      <c r="AF306" s="203">
        <v>0.3</v>
      </c>
      <c r="AG306" s="109">
        <f t="shared" si="44"/>
        <v>6360</v>
      </c>
      <c r="AH306" s="84">
        <f t="shared" si="351"/>
        <v>0</v>
      </c>
      <c r="AI306" s="65"/>
      <c r="AJ306" s="112"/>
      <c r="AK306" s="122"/>
      <c r="AL306" s="109">
        <v>1212</v>
      </c>
      <c r="AM306" s="84">
        <f t="shared" si="352"/>
        <v>0</v>
      </c>
      <c r="AN306" s="65"/>
      <c r="AO306" s="112"/>
      <c r="AP306" s="204"/>
      <c r="AQ306" s="109">
        <f>IFERROR((O306+AH306+AM306)/Dashboard!$D$15,0)*0.2</f>
        <v>6.5702479338842963</v>
      </c>
      <c r="AR306" s="84">
        <f t="shared" si="353"/>
        <v>0</v>
      </c>
      <c r="AS306" s="65"/>
      <c r="AT306" s="112"/>
      <c r="AU306" s="203">
        <v>0.33</v>
      </c>
      <c r="AV306" s="109">
        <f t="shared" si="354"/>
        <v>6360</v>
      </c>
      <c r="AW306" s="84">
        <f t="shared" si="355"/>
        <v>0</v>
      </c>
      <c r="AX306" s="65"/>
      <c r="AY306" s="112"/>
      <c r="AZ306" s="203">
        <v>0.25</v>
      </c>
      <c r="BA306" s="109">
        <f t="shared" si="50"/>
        <v>6360</v>
      </c>
      <c r="BB306" s="84">
        <f t="shared" si="356"/>
        <v>0</v>
      </c>
      <c r="BC306" s="65"/>
      <c r="BD306" s="112"/>
      <c r="BE306" s="203">
        <v>0.26</v>
      </c>
      <c r="BF306" s="109">
        <f t="shared" si="357"/>
        <v>6360</v>
      </c>
      <c r="BG306" s="84">
        <f t="shared" si="358"/>
        <v>0</v>
      </c>
      <c r="BH306" s="197"/>
      <c r="BI306" s="518"/>
      <c r="BJ306" s="65"/>
      <c r="BK306" s="81">
        <f t="shared" si="359"/>
        <v>0</v>
      </c>
      <c r="BL306" s="65"/>
      <c r="BM306" s="204"/>
      <c r="BN306" s="156">
        <f>IF(B306&lt;&gt;"",_xlfn.XLOOKUP(B306,'Cronog. e Histog.'!B:B,'Cronog. e Histog.'!EK:EK),0)</f>
        <v>0</v>
      </c>
      <c r="BO306" s="109">
        <f>($O306/Dashboard!$D$15)*(1+Dashboard!$D$19)</f>
        <v>49.276859504132219</v>
      </c>
      <c r="BP306" s="84">
        <f t="shared" si="374"/>
        <v>0</v>
      </c>
      <c r="BQ306" s="65"/>
      <c r="BR306" s="204"/>
      <c r="BS306" s="156">
        <f>IF(B306&lt;&gt;"",_xlfn.XLOOKUP(B306,'Cronog. e Histog.'!B:B,'Cronog. e Histog.'!EL:EL),0)</f>
        <v>0</v>
      </c>
      <c r="BT306" s="109">
        <f>($O306/Dashboard!$D$15)*(1+Dashboard!$D$20)</f>
        <v>57.489669421487591</v>
      </c>
      <c r="BU306" s="84">
        <f t="shared" si="375"/>
        <v>0</v>
      </c>
      <c r="BV306" s="65"/>
      <c r="BW306" s="204"/>
      <c r="BX306" s="156">
        <f>IF(B306&lt;&gt;"",_xlfn.XLOOKUP(B306,'Cronog. e Histog.'!B:B,'Cronog. e Histog.'!EM:EM),0)</f>
        <v>0</v>
      </c>
      <c r="BY306" s="109">
        <f>($O306/Dashboard!$D$15)*(1+Dashboard!$D$21)</f>
        <v>65.702479338842963</v>
      </c>
      <c r="BZ306" s="84">
        <f t="shared" si="376"/>
        <v>0</v>
      </c>
    </row>
    <row r="307" spans="2:78" ht="12" customHeight="1" outlineLevel="1">
      <c r="B307" s="137" t="str">
        <f>'Cronog. e Histog.'!B442</f>
        <v>TEC II - Equipe_01</v>
      </c>
      <c r="C307" s="65"/>
      <c r="D307" s="200">
        <f t="shared" si="342"/>
        <v>0</v>
      </c>
      <c r="E307" s="200">
        <f t="shared" si="343"/>
        <v>0</v>
      </c>
      <c r="F307" s="65"/>
      <c r="G307" s="200">
        <f t="shared" si="344"/>
        <v>0</v>
      </c>
      <c r="H307" s="200">
        <f t="shared" si="345"/>
        <v>0</v>
      </c>
      <c r="I307" s="65"/>
      <c r="J307" s="143" t="str">
        <f>IF('Cronog. e Histog.'!G442&gt;0,'Cronog. e Histog.'!G442,"")</f>
        <v>TEC II</v>
      </c>
      <c r="K307" s="65"/>
      <c r="L307" s="144">
        <f>'Cronog. e Histog.'!BT442</f>
        <v>0</v>
      </c>
      <c r="M307" s="144">
        <f>'Cronog. e Histog.'!BU442</f>
        <v>0</v>
      </c>
      <c r="N307" s="65"/>
      <c r="O307" s="109">
        <f>_xlfn.XLOOKUP(B307,Salários!B:B,Salários!K:K)</f>
        <v>4770</v>
      </c>
      <c r="P307" s="109">
        <f t="shared" si="360"/>
        <v>0</v>
      </c>
      <c r="Q307" s="109">
        <f t="shared" si="361"/>
        <v>0</v>
      </c>
      <c r="R307" s="65"/>
      <c r="S307" s="109">
        <f t="shared" si="362"/>
        <v>4770</v>
      </c>
      <c r="T307" s="201" t="str">
        <f>IF(_xlfn.XLOOKUP(B307,Salários!B:B,Salários!I:I)&gt;0,_xlfn.XLOOKUP(B307,Salários!B:B,Salários!I:I),"")</f>
        <v>Mensalista</v>
      </c>
      <c r="U307" s="117">
        <f t="shared" si="349"/>
        <v>0</v>
      </c>
      <c r="V307" s="65"/>
      <c r="W307" s="202"/>
      <c r="X307" s="65"/>
      <c r="Y307" s="69"/>
      <c r="Z307" s="65"/>
      <c r="AA307" s="518"/>
      <c r="AB307" s="65"/>
      <c r="AC307" s="81">
        <f t="shared" si="350"/>
        <v>0</v>
      </c>
      <c r="AD307" s="65"/>
      <c r="AE307" s="112"/>
      <c r="AF307" s="203">
        <v>0.3</v>
      </c>
      <c r="AG307" s="109">
        <f t="shared" si="44"/>
        <v>4770</v>
      </c>
      <c r="AH307" s="84">
        <f t="shared" si="351"/>
        <v>0</v>
      </c>
      <c r="AI307" s="65"/>
      <c r="AJ307" s="112"/>
      <c r="AK307" s="122"/>
      <c r="AL307" s="109">
        <v>1212</v>
      </c>
      <c r="AM307" s="84">
        <f t="shared" si="352"/>
        <v>0</v>
      </c>
      <c r="AN307" s="65"/>
      <c r="AO307" s="112"/>
      <c r="AP307" s="204"/>
      <c r="AQ307" s="109">
        <f>IFERROR((O307+AH307+AM307)/Dashboard!$D$15,0)*0.2</f>
        <v>4.9276859504132231</v>
      </c>
      <c r="AR307" s="84">
        <f t="shared" si="353"/>
        <v>0</v>
      </c>
      <c r="AS307" s="65"/>
      <c r="AT307" s="112"/>
      <c r="AU307" s="203">
        <v>0.33</v>
      </c>
      <c r="AV307" s="109">
        <f t="shared" si="354"/>
        <v>4770</v>
      </c>
      <c r="AW307" s="84">
        <f t="shared" si="355"/>
        <v>0</v>
      </c>
      <c r="AX307" s="65"/>
      <c r="AY307" s="112"/>
      <c r="AZ307" s="203">
        <v>0.25</v>
      </c>
      <c r="BA307" s="109">
        <f t="shared" si="50"/>
        <v>4770</v>
      </c>
      <c r="BB307" s="84">
        <f t="shared" si="356"/>
        <v>0</v>
      </c>
      <c r="BC307" s="65"/>
      <c r="BD307" s="112"/>
      <c r="BE307" s="203">
        <v>0.26</v>
      </c>
      <c r="BF307" s="109">
        <f t="shared" si="357"/>
        <v>4770</v>
      </c>
      <c r="BG307" s="84">
        <f t="shared" si="358"/>
        <v>0</v>
      </c>
      <c r="BH307" s="197"/>
      <c r="BI307" s="518"/>
      <c r="BJ307" s="65"/>
      <c r="BK307" s="81">
        <f t="shared" si="359"/>
        <v>0</v>
      </c>
      <c r="BL307" s="65"/>
      <c r="BM307" s="204"/>
      <c r="BN307" s="156">
        <f>IF(B307&lt;&gt;"",_xlfn.XLOOKUP(B307,'Cronog. e Histog.'!B:B,'Cronog. e Histog.'!EK:EK),0)</f>
        <v>0</v>
      </c>
      <c r="BO307" s="109">
        <f>($O307/Dashboard!$D$15)*(1+Dashboard!$D$19)</f>
        <v>36.957644628099168</v>
      </c>
      <c r="BP307" s="84">
        <f t="shared" si="374"/>
        <v>0</v>
      </c>
      <c r="BQ307" s="65"/>
      <c r="BR307" s="204"/>
      <c r="BS307" s="156">
        <f>IF(B307&lt;&gt;"",_xlfn.XLOOKUP(B307,'Cronog. e Histog.'!B:B,'Cronog. e Histog.'!EL:EL),0)</f>
        <v>0</v>
      </c>
      <c r="BT307" s="109">
        <f>($O307/Dashboard!$D$15)*(1+Dashboard!$D$20)</f>
        <v>43.117252066115697</v>
      </c>
      <c r="BU307" s="84">
        <f t="shared" si="375"/>
        <v>0</v>
      </c>
      <c r="BV307" s="65"/>
      <c r="BW307" s="204"/>
      <c r="BX307" s="156">
        <f>IF(B307&lt;&gt;"",_xlfn.XLOOKUP(B307,'Cronog. e Histog.'!B:B,'Cronog. e Histog.'!EM:EM),0)</f>
        <v>0</v>
      </c>
      <c r="BY307" s="109">
        <f>($O307/Dashboard!$D$15)*(1+Dashboard!$D$21)</f>
        <v>49.276859504132226</v>
      </c>
      <c r="BZ307" s="84">
        <f t="shared" si="376"/>
        <v>0</v>
      </c>
    </row>
    <row r="308" spans="2:78" ht="12" customHeight="1" outlineLevel="1">
      <c r="B308" s="137" t="str">
        <f>'Cronog. e Histog.'!B443</f>
        <v>TEC I - Equipe_01</v>
      </c>
      <c r="C308" s="65"/>
      <c r="D308" s="200">
        <f t="shared" si="342"/>
        <v>0</v>
      </c>
      <c r="E308" s="200">
        <f t="shared" si="343"/>
        <v>0</v>
      </c>
      <c r="F308" s="65"/>
      <c r="G308" s="200">
        <f t="shared" si="344"/>
        <v>0</v>
      </c>
      <c r="H308" s="200">
        <f t="shared" si="345"/>
        <v>0</v>
      </c>
      <c r="I308" s="65"/>
      <c r="J308" s="143" t="str">
        <f>IF('Cronog. e Histog.'!G443&gt;0,'Cronog. e Histog.'!G443,"")</f>
        <v>TEC I</v>
      </c>
      <c r="K308" s="65"/>
      <c r="L308" s="144">
        <f>'Cronog. e Histog.'!BT443</f>
        <v>0</v>
      </c>
      <c r="M308" s="144">
        <f>'Cronog. e Histog.'!BU443</f>
        <v>0</v>
      </c>
      <c r="N308" s="65"/>
      <c r="O308" s="109">
        <f>_xlfn.XLOOKUP(B308,Salários!B:B,Salários!K:K)</f>
        <v>3180</v>
      </c>
      <c r="P308" s="109">
        <f t="shared" si="360"/>
        <v>0</v>
      </c>
      <c r="Q308" s="109">
        <f t="shared" si="361"/>
        <v>0</v>
      </c>
      <c r="R308" s="65"/>
      <c r="S308" s="109">
        <f t="shared" si="362"/>
        <v>3180</v>
      </c>
      <c r="T308" s="201" t="str">
        <f>IF(_xlfn.XLOOKUP(B308,Salários!B:B,Salários!I:I)&gt;0,_xlfn.XLOOKUP(B308,Salários!B:B,Salários!I:I),"")</f>
        <v>Mensalista</v>
      </c>
      <c r="U308" s="117">
        <f t="shared" si="349"/>
        <v>0</v>
      </c>
      <c r="V308" s="65"/>
      <c r="W308" s="202"/>
      <c r="X308" s="65"/>
      <c r="Y308" s="69"/>
      <c r="Z308" s="65"/>
      <c r="AA308" s="518"/>
      <c r="AB308" s="65"/>
      <c r="AC308" s="81">
        <f t="shared" si="350"/>
        <v>0</v>
      </c>
      <c r="AD308" s="65"/>
      <c r="AE308" s="112"/>
      <c r="AF308" s="203">
        <v>0.3</v>
      </c>
      <c r="AG308" s="109">
        <f t="shared" si="44"/>
        <v>3180</v>
      </c>
      <c r="AH308" s="84">
        <f t="shared" si="351"/>
        <v>0</v>
      </c>
      <c r="AI308" s="65"/>
      <c r="AJ308" s="112"/>
      <c r="AK308" s="122"/>
      <c r="AL308" s="109">
        <v>1212</v>
      </c>
      <c r="AM308" s="84">
        <f t="shared" si="352"/>
        <v>0</v>
      </c>
      <c r="AN308" s="65"/>
      <c r="AO308" s="112"/>
      <c r="AP308" s="204"/>
      <c r="AQ308" s="109">
        <f>IFERROR((O308+AH308+AM308)/Dashboard!$D$15,0)*0.2</f>
        <v>3.2851239669421481</v>
      </c>
      <c r="AR308" s="84">
        <f t="shared" si="353"/>
        <v>0</v>
      </c>
      <c r="AS308" s="65"/>
      <c r="AT308" s="112"/>
      <c r="AU308" s="203">
        <v>0.33</v>
      </c>
      <c r="AV308" s="109">
        <f t="shared" si="354"/>
        <v>3180</v>
      </c>
      <c r="AW308" s="84">
        <f t="shared" si="355"/>
        <v>0</v>
      </c>
      <c r="AX308" s="65"/>
      <c r="AY308" s="112"/>
      <c r="AZ308" s="203">
        <v>0.25</v>
      </c>
      <c r="BA308" s="109">
        <f t="shared" si="50"/>
        <v>3180</v>
      </c>
      <c r="BB308" s="84">
        <f t="shared" si="356"/>
        <v>0</v>
      </c>
      <c r="BC308" s="65"/>
      <c r="BD308" s="112"/>
      <c r="BE308" s="203">
        <v>0.26</v>
      </c>
      <c r="BF308" s="109">
        <f t="shared" si="357"/>
        <v>3180</v>
      </c>
      <c r="BG308" s="84">
        <f t="shared" si="358"/>
        <v>0</v>
      </c>
      <c r="BH308" s="197"/>
      <c r="BI308" s="518"/>
      <c r="BJ308" s="65"/>
      <c r="BK308" s="81">
        <f t="shared" si="359"/>
        <v>0</v>
      </c>
      <c r="BL308" s="65"/>
      <c r="BM308" s="204"/>
      <c r="BN308" s="156">
        <f>IF(B308&lt;&gt;"",_xlfn.XLOOKUP(B308,'Cronog. e Histog.'!B:B,'Cronog. e Histog.'!EK:EK),0)</f>
        <v>0</v>
      </c>
      <c r="BO308" s="109">
        <f>($O308/Dashboard!$D$15)*(1+Dashboard!$D$19)</f>
        <v>24.638429752066109</v>
      </c>
      <c r="BP308" s="84">
        <f t="shared" si="374"/>
        <v>0</v>
      </c>
      <c r="BQ308" s="65"/>
      <c r="BR308" s="204"/>
      <c r="BS308" s="156">
        <f>IF(B308&lt;&gt;"",_xlfn.XLOOKUP(B308,'Cronog. e Histog.'!B:B,'Cronog. e Histog.'!EL:EL),0)</f>
        <v>0</v>
      </c>
      <c r="BT308" s="109">
        <f>($O308/Dashboard!$D$15)*(1+Dashboard!$D$20)</f>
        <v>28.744834710743795</v>
      </c>
      <c r="BU308" s="84">
        <f t="shared" si="375"/>
        <v>0</v>
      </c>
      <c r="BV308" s="65"/>
      <c r="BW308" s="204"/>
      <c r="BX308" s="156">
        <f>IF(B308&lt;&gt;"",_xlfn.XLOOKUP(B308,'Cronog. e Histog.'!B:B,'Cronog. e Histog.'!EM:EM),0)</f>
        <v>0</v>
      </c>
      <c r="BY308" s="109">
        <f>($O308/Dashboard!$D$15)*(1+Dashboard!$D$21)</f>
        <v>32.851239669421481</v>
      </c>
      <c r="BZ308" s="84">
        <f t="shared" si="376"/>
        <v>0</v>
      </c>
    </row>
    <row r="309" spans="2:78" ht="12" customHeight="1" outlineLevel="1">
      <c r="B309" s="137" t="str">
        <f>'Cronog. e Histog.'!B444</f>
        <v>AUX TEC - Equipe_01</v>
      </c>
      <c r="C309" s="65"/>
      <c r="D309" s="200">
        <f t="shared" si="342"/>
        <v>0</v>
      </c>
      <c r="E309" s="200">
        <f t="shared" si="343"/>
        <v>0</v>
      </c>
      <c r="F309" s="65"/>
      <c r="G309" s="200">
        <f t="shared" si="344"/>
        <v>0</v>
      </c>
      <c r="H309" s="200">
        <f t="shared" si="345"/>
        <v>0</v>
      </c>
      <c r="I309" s="65"/>
      <c r="J309" s="143" t="str">
        <f>IF('Cronog. e Histog.'!G444&gt;0,'Cronog. e Histog.'!G444,"")</f>
        <v>AUX TEC</v>
      </c>
      <c r="K309" s="65"/>
      <c r="L309" s="144">
        <f>'Cronog. e Histog.'!BT444</f>
        <v>0</v>
      </c>
      <c r="M309" s="144">
        <f>'Cronog. e Histog.'!BU444</f>
        <v>0</v>
      </c>
      <c r="N309" s="65"/>
      <c r="O309" s="109">
        <f>_xlfn.XLOOKUP(B309,Salários!B:B,Salários!K:K)</f>
        <v>3710</v>
      </c>
      <c r="P309" s="109">
        <f t="shared" si="360"/>
        <v>0</v>
      </c>
      <c r="Q309" s="109">
        <f t="shared" si="361"/>
        <v>0</v>
      </c>
      <c r="R309" s="65"/>
      <c r="S309" s="109">
        <f t="shared" si="362"/>
        <v>3710</v>
      </c>
      <c r="T309" s="201" t="str">
        <f>IF(_xlfn.XLOOKUP(B309,Salários!B:B,Salários!I:I)&gt;0,_xlfn.XLOOKUP(B309,Salários!B:B,Salários!I:I),"")</f>
        <v>Mensalista</v>
      </c>
      <c r="U309" s="117">
        <f t="shared" si="349"/>
        <v>0</v>
      </c>
      <c r="V309" s="65"/>
      <c r="W309" s="202"/>
      <c r="X309" s="65"/>
      <c r="Y309" s="69"/>
      <c r="Z309" s="65"/>
      <c r="AA309" s="518"/>
      <c r="AB309" s="65"/>
      <c r="AC309" s="81">
        <f t="shared" si="350"/>
        <v>0</v>
      </c>
      <c r="AD309" s="65"/>
      <c r="AE309" s="112"/>
      <c r="AF309" s="203">
        <v>0.3</v>
      </c>
      <c r="AG309" s="109">
        <f t="shared" si="44"/>
        <v>3710</v>
      </c>
      <c r="AH309" s="84">
        <f t="shared" si="351"/>
        <v>0</v>
      </c>
      <c r="AI309" s="65"/>
      <c r="AJ309" s="112"/>
      <c r="AK309" s="122"/>
      <c r="AL309" s="109">
        <v>1212</v>
      </c>
      <c r="AM309" s="84">
        <f t="shared" si="352"/>
        <v>0</v>
      </c>
      <c r="AN309" s="65"/>
      <c r="AO309" s="112"/>
      <c r="AP309" s="204"/>
      <c r="AQ309" s="109">
        <f>IFERROR((O309+AH309+AM309)/Dashboard!$D$15,0)*0.2</f>
        <v>3.8326446280991733</v>
      </c>
      <c r="AR309" s="84">
        <f t="shared" si="353"/>
        <v>0</v>
      </c>
      <c r="AS309" s="65"/>
      <c r="AT309" s="112"/>
      <c r="AU309" s="203">
        <v>0.33</v>
      </c>
      <c r="AV309" s="109">
        <f t="shared" si="354"/>
        <v>3710</v>
      </c>
      <c r="AW309" s="84">
        <f t="shared" si="355"/>
        <v>0</v>
      </c>
      <c r="AX309" s="65"/>
      <c r="AY309" s="112"/>
      <c r="AZ309" s="203">
        <v>0.25</v>
      </c>
      <c r="BA309" s="109">
        <f t="shared" si="50"/>
        <v>3710</v>
      </c>
      <c r="BB309" s="84">
        <f t="shared" si="356"/>
        <v>0</v>
      </c>
      <c r="BC309" s="65"/>
      <c r="BD309" s="112"/>
      <c r="BE309" s="203">
        <v>0.26</v>
      </c>
      <c r="BF309" s="109">
        <f t="shared" si="357"/>
        <v>3710</v>
      </c>
      <c r="BG309" s="84">
        <f t="shared" si="358"/>
        <v>0</v>
      </c>
      <c r="BH309" s="197"/>
      <c r="BI309" s="518"/>
      <c r="BJ309" s="65"/>
      <c r="BK309" s="81">
        <f t="shared" si="359"/>
        <v>0</v>
      </c>
      <c r="BL309" s="65"/>
      <c r="BM309" s="204"/>
      <c r="BN309" s="156">
        <f>IF(B309&lt;&gt;"",_xlfn.XLOOKUP(B309,'Cronog. e Histog.'!B:B,'Cronog. e Histog.'!EK:EK),0)</f>
        <v>0</v>
      </c>
      <c r="BO309" s="109">
        <f>($O309/Dashboard!$D$15)*(1+Dashboard!$D$19)</f>
        <v>28.744834710743799</v>
      </c>
      <c r="BP309" s="84">
        <f t="shared" si="374"/>
        <v>0</v>
      </c>
      <c r="BQ309" s="65"/>
      <c r="BR309" s="204"/>
      <c r="BS309" s="156">
        <f>IF(B309&lt;&gt;"",_xlfn.XLOOKUP(B309,'Cronog. e Histog.'!B:B,'Cronog. e Histog.'!EL:EL),0)</f>
        <v>0</v>
      </c>
      <c r="BT309" s="109">
        <f>($O309/Dashboard!$D$15)*(1+Dashboard!$D$20)</f>
        <v>33.535640495867767</v>
      </c>
      <c r="BU309" s="84">
        <f t="shared" si="375"/>
        <v>0</v>
      </c>
      <c r="BV309" s="65"/>
      <c r="BW309" s="204"/>
      <c r="BX309" s="156">
        <f>IF(B309&lt;&gt;"",_xlfn.XLOOKUP(B309,'Cronog. e Histog.'!B:B,'Cronog. e Histog.'!EM:EM),0)</f>
        <v>0</v>
      </c>
      <c r="BY309" s="109">
        <f>($O309/Dashboard!$D$15)*(1+Dashboard!$D$21)</f>
        <v>38.326446280991732</v>
      </c>
      <c r="BZ309" s="84">
        <f t="shared" si="376"/>
        <v>0</v>
      </c>
    </row>
    <row r="310" spans="2:78" ht="12" customHeight="1" outlineLevel="1">
      <c r="B310" s="137" t="str">
        <f>'Cronog. e Histog.'!B445</f>
        <v>AUX ADM - Equipe_01</v>
      </c>
      <c r="C310" s="65"/>
      <c r="D310" s="200">
        <f t="shared" si="342"/>
        <v>0</v>
      </c>
      <c r="E310" s="200">
        <f t="shared" si="343"/>
        <v>0</v>
      </c>
      <c r="F310" s="65"/>
      <c r="G310" s="200">
        <f t="shared" si="344"/>
        <v>0</v>
      </c>
      <c r="H310" s="200">
        <f t="shared" si="345"/>
        <v>0</v>
      </c>
      <c r="I310" s="65"/>
      <c r="J310" s="143" t="str">
        <f>IF('Cronog. e Histog.'!G445&gt;0,'Cronog. e Histog.'!G445,"")</f>
        <v>AUX ADM</v>
      </c>
      <c r="K310" s="65"/>
      <c r="L310" s="144">
        <f>'Cronog. e Histog.'!BT445</f>
        <v>0</v>
      </c>
      <c r="M310" s="144">
        <f>'Cronog. e Histog.'!BU445</f>
        <v>0</v>
      </c>
      <c r="N310" s="65"/>
      <c r="O310" s="109">
        <f>_xlfn.XLOOKUP(B310,Salários!B:B,Salários!K:K)</f>
        <v>1912.24</v>
      </c>
      <c r="P310" s="109">
        <f t="shared" si="360"/>
        <v>0</v>
      </c>
      <c r="Q310" s="109">
        <f t="shared" si="361"/>
        <v>0</v>
      </c>
      <c r="R310" s="65"/>
      <c r="S310" s="109">
        <f t="shared" si="362"/>
        <v>1912.24</v>
      </c>
      <c r="T310" s="201" t="str">
        <f>IF(_xlfn.XLOOKUP(B310,Salários!B:B,Salários!I:I)&gt;0,_xlfn.XLOOKUP(B310,Salários!B:B,Salários!I:I),"")</f>
        <v>Mensalista</v>
      </c>
      <c r="U310" s="117">
        <f t="shared" si="349"/>
        <v>0</v>
      </c>
      <c r="V310" s="65"/>
      <c r="W310" s="202"/>
      <c r="X310" s="65"/>
      <c r="Y310" s="69"/>
      <c r="Z310" s="65"/>
      <c r="AA310" s="518"/>
      <c r="AB310" s="65"/>
      <c r="AC310" s="81">
        <f t="shared" si="350"/>
        <v>0</v>
      </c>
      <c r="AD310" s="65"/>
      <c r="AE310" s="112"/>
      <c r="AF310" s="203">
        <v>0.3</v>
      </c>
      <c r="AG310" s="109">
        <f t="shared" si="44"/>
        <v>1912.24</v>
      </c>
      <c r="AH310" s="84">
        <f t="shared" si="351"/>
        <v>0</v>
      </c>
      <c r="AI310" s="65"/>
      <c r="AJ310" s="112"/>
      <c r="AK310" s="122"/>
      <c r="AL310" s="109">
        <v>1212</v>
      </c>
      <c r="AM310" s="84">
        <f t="shared" si="352"/>
        <v>0</v>
      </c>
      <c r="AN310" s="65"/>
      <c r="AO310" s="112"/>
      <c r="AP310" s="204"/>
      <c r="AQ310" s="109">
        <f>IFERROR((O310+AH310+AM310)/Dashboard!$D$15,0)*0.2</f>
        <v>1.9754545454545456</v>
      </c>
      <c r="AR310" s="84">
        <f t="shared" si="353"/>
        <v>0</v>
      </c>
      <c r="AS310" s="65"/>
      <c r="AT310" s="112"/>
      <c r="AU310" s="203">
        <v>0.33</v>
      </c>
      <c r="AV310" s="109">
        <f t="shared" si="354"/>
        <v>1912.24</v>
      </c>
      <c r="AW310" s="84">
        <f t="shared" si="355"/>
        <v>0</v>
      </c>
      <c r="AX310" s="65"/>
      <c r="AY310" s="112"/>
      <c r="AZ310" s="203">
        <v>0.25</v>
      </c>
      <c r="BA310" s="109">
        <f t="shared" si="50"/>
        <v>1912.24</v>
      </c>
      <c r="BB310" s="84">
        <f t="shared" si="356"/>
        <v>0</v>
      </c>
      <c r="BC310" s="65"/>
      <c r="BD310" s="112"/>
      <c r="BE310" s="203">
        <v>0.26</v>
      </c>
      <c r="BF310" s="109">
        <f t="shared" si="357"/>
        <v>1912.24</v>
      </c>
      <c r="BG310" s="84">
        <f t="shared" si="358"/>
        <v>0</v>
      </c>
      <c r="BH310" s="197"/>
      <c r="BI310" s="518"/>
      <c r="BJ310" s="65"/>
      <c r="BK310" s="81">
        <f t="shared" si="359"/>
        <v>0</v>
      </c>
      <c r="BL310" s="65"/>
      <c r="BM310" s="204"/>
      <c r="BN310" s="156">
        <f>IF(B310&lt;&gt;"",_xlfn.XLOOKUP(B310,'Cronog. e Histog.'!B:B,'Cronog. e Histog.'!EK:EK),0)</f>
        <v>0</v>
      </c>
      <c r="BO310" s="109">
        <f>($O310/Dashboard!$D$15)*(1+Dashboard!$D$19)</f>
        <v>14.815909090909091</v>
      </c>
      <c r="BP310" s="84">
        <f t="shared" si="374"/>
        <v>0</v>
      </c>
      <c r="BQ310" s="65"/>
      <c r="BR310" s="204"/>
      <c r="BS310" s="156">
        <f>IF(B310&lt;&gt;"",_xlfn.XLOOKUP(B310,'Cronog. e Histog.'!B:B,'Cronog. e Histog.'!EL:EL),0)</f>
        <v>0</v>
      </c>
      <c r="BT310" s="109">
        <f>($O310/Dashboard!$D$15)*(1+Dashboard!$D$20)</f>
        <v>17.285227272727273</v>
      </c>
      <c r="BU310" s="84">
        <f t="shared" si="375"/>
        <v>0</v>
      </c>
      <c r="BV310" s="65"/>
      <c r="BW310" s="204"/>
      <c r="BX310" s="156">
        <f>IF(B310&lt;&gt;"",_xlfn.XLOOKUP(B310,'Cronog. e Histog.'!B:B,'Cronog. e Histog.'!EM:EM),0)</f>
        <v>0</v>
      </c>
      <c r="BY310" s="109">
        <f>($O310/Dashboard!$D$15)*(1+Dashboard!$D$21)</f>
        <v>19.754545454545454</v>
      </c>
      <c r="BZ310" s="84">
        <f t="shared" si="376"/>
        <v>0</v>
      </c>
    </row>
    <row r="311" spans="2:78" ht="12" customHeight="1" outlineLevel="1">
      <c r="B311" s="137" t="str">
        <f>'Cronog. e Histog.'!B446</f>
        <v>EST - Equipe_01</v>
      </c>
      <c r="C311" s="65"/>
      <c r="D311" s="200">
        <f t="shared" si="342"/>
        <v>0</v>
      </c>
      <c r="E311" s="200">
        <f t="shared" si="343"/>
        <v>0</v>
      </c>
      <c r="F311" s="65"/>
      <c r="G311" s="200">
        <f t="shared" si="344"/>
        <v>0</v>
      </c>
      <c r="H311" s="200">
        <f t="shared" si="345"/>
        <v>0</v>
      </c>
      <c r="I311" s="65"/>
      <c r="J311" s="143" t="str">
        <f>IF('Cronog. e Histog.'!G446&gt;0,'Cronog. e Histog.'!G446,"")</f>
        <v>EST</v>
      </c>
      <c r="K311" s="65"/>
      <c r="L311" s="144">
        <f>'Cronog. e Histog.'!BT446</f>
        <v>0</v>
      </c>
      <c r="M311" s="144">
        <f>'Cronog. e Histog.'!BU446</f>
        <v>0</v>
      </c>
      <c r="N311" s="65"/>
      <c r="O311" s="109">
        <f>_xlfn.XLOOKUP(B311,Salários!B:B,Salários!K:K)</f>
        <v>1633</v>
      </c>
      <c r="P311" s="109">
        <f t="shared" si="360"/>
        <v>0</v>
      </c>
      <c r="Q311" s="109">
        <f t="shared" si="361"/>
        <v>0</v>
      </c>
      <c r="R311" s="65"/>
      <c r="S311" s="109">
        <f t="shared" si="362"/>
        <v>1633</v>
      </c>
      <c r="T311" s="201" t="str">
        <f>IF(_xlfn.XLOOKUP(B311,Salários!B:B,Salários!I:I)&gt;0,_xlfn.XLOOKUP(B311,Salários!B:B,Salários!I:I),"")</f>
        <v>PJ</v>
      </c>
      <c r="U311" s="117">
        <f t="shared" si="349"/>
        <v>0</v>
      </c>
      <c r="V311" s="65"/>
      <c r="W311" s="202"/>
      <c r="X311" s="65"/>
      <c r="Y311" s="69"/>
      <c r="Z311" s="65"/>
      <c r="AA311" s="518"/>
      <c r="AB311" s="65"/>
      <c r="AC311" s="81">
        <f t="shared" si="350"/>
        <v>0</v>
      </c>
      <c r="AD311" s="65"/>
      <c r="AE311" s="112"/>
      <c r="AF311" s="203">
        <v>0.3</v>
      </c>
      <c r="AG311" s="109">
        <f t="shared" si="44"/>
        <v>1633</v>
      </c>
      <c r="AH311" s="84">
        <f t="shared" si="351"/>
        <v>0</v>
      </c>
      <c r="AI311" s="65"/>
      <c r="AJ311" s="112"/>
      <c r="AK311" s="122"/>
      <c r="AL311" s="109">
        <v>1212</v>
      </c>
      <c r="AM311" s="84">
        <f t="shared" si="352"/>
        <v>0</v>
      </c>
      <c r="AN311" s="65"/>
      <c r="AO311" s="112"/>
      <c r="AP311" s="204"/>
      <c r="AQ311" s="109">
        <f>IFERROR((O311+AH311+AM311)/Dashboard!$D$15,0)*0.2</f>
        <v>1.6869834710743801</v>
      </c>
      <c r="AR311" s="84">
        <f t="shared" si="353"/>
        <v>0</v>
      </c>
      <c r="AS311" s="65"/>
      <c r="AT311" s="112"/>
      <c r="AU311" s="203">
        <v>0.33</v>
      </c>
      <c r="AV311" s="109">
        <f t="shared" si="354"/>
        <v>1633</v>
      </c>
      <c r="AW311" s="84">
        <f t="shared" si="355"/>
        <v>0</v>
      </c>
      <c r="AX311" s="65"/>
      <c r="AY311" s="112"/>
      <c r="AZ311" s="203">
        <v>0.25</v>
      </c>
      <c r="BA311" s="109">
        <f t="shared" si="50"/>
        <v>1633</v>
      </c>
      <c r="BB311" s="84">
        <f t="shared" si="356"/>
        <v>0</v>
      </c>
      <c r="BC311" s="65"/>
      <c r="BD311" s="112"/>
      <c r="BE311" s="203">
        <v>0.26</v>
      </c>
      <c r="BF311" s="109">
        <f t="shared" si="357"/>
        <v>1633</v>
      </c>
      <c r="BG311" s="84">
        <f t="shared" si="358"/>
        <v>0</v>
      </c>
      <c r="BH311" s="197"/>
      <c r="BI311" s="518"/>
      <c r="BJ311" s="65"/>
      <c r="BK311" s="81">
        <f t="shared" si="359"/>
        <v>0</v>
      </c>
      <c r="BL311" s="65"/>
      <c r="BM311" s="204"/>
      <c r="BN311" s="156">
        <f>IF(B311&lt;&gt;"",_xlfn.XLOOKUP(B311,'Cronog. e Histog.'!B:B,'Cronog. e Histog.'!EK:EK),0)</f>
        <v>0</v>
      </c>
      <c r="BO311" s="109">
        <f>($O311/Dashboard!$D$15)*(1+Dashboard!$D$19)</f>
        <v>12.652376033057848</v>
      </c>
      <c r="BP311" s="84">
        <f t="shared" si="374"/>
        <v>0</v>
      </c>
      <c r="BQ311" s="65"/>
      <c r="BR311" s="204"/>
      <c r="BS311" s="156">
        <f>IF(B311&lt;&gt;"",_xlfn.XLOOKUP(B311,'Cronog. e Histog.'!B:B,'Cronog. e Histog.'!EL:EL),0)</f>
        <v>0</v>
      </c>
      <c r="BT311" s="109">
        <f>($O311/Dashboard!$D$15)*(1+Dashboard!$D$20)</f>
        <v>14.761105371900824</v>
      </c>
      <c r="BU311" s="84">
        <f t="shared" si="375"/>
        <v>0</v>
      </c>
      <c r="BV311" s="65"/>
      <c r="BW311" s="204"/>
      <c r="BX311" s="156">
        <f>IF(B311&lt;&gt;"",_xlfn.XLOOKUP(B311,'Cronog. e Histog.'!B:B,'Cronog. e Histog.'!EM:EM),0)</f>
        <v>0</v>
      </c>
      <c r="BY311" s="109">
        <f>($O311/Dashboard!$D$15)*(1+Dashboard!$D$21)</f>
        <v>16.869834710743799</v>
      </c>
      <c r="BZ311" s="84">
        <f t="shared" si="376"/>
        <v>0</v>
      </c>
    </row>
    <row r="312" spans="2:78" ht="12" customHeight="1" outlineLevel="1">
      <c r="B312" s="137" t="str">
        <f>'Cronog. e Histog.'!B447</f>
        <v>EST_II - Equipe_01</v>
      </c>
      <c r="C312" s="65"/>
      <c r="D312" s="200">
        <f t="shared" si="342"/>
        <v>0</v>
      </c>
      <c r="E312" s="200">
        <f t="shared" si="343"/>
        <v>0</v>
      </c>
      <c r="F312" s="65"/>
      <c r="G312" s="200">
        <f t="shared" si="344"/>
        <v>0</v>
      </c>
      <c r="H312" s="200">
        <f t="shared" si="345"/>
        <v>0</v>
      </c>
      <c r="I312" s="65"/>
      <c r="J312" s="143" t="str">
        <f>IF('Cronog. e Histog.'!G447&gt;0,'Cronog. e Histog.'!G447,"")</f>
        <v>EST_II</v>
      </c>
      <c r="K312" s="65"/>
      <c r="L312" s="144">
        <f>'Cronog. e Histog.'!BT447</f>
        <v>0</v>
      </c>
      <c r="M312" s="144">
        <f>'Cronog. e Histog.'!BU447</f>
        <v>0</v>
      </c>
      <c r="N312" s="65"/>
      <c r="O312" s="109">
        <f>_xlfn.XLOOKUP(B312,Salários!B:B,Salários!K:K)</f>
        <v>1633</v>
      </c>
      <c r="P312" s="109">
        <f t="shared" si="360"/>
        <v>0</v>
      </c>
      <c r="Q312" s="109">
        <f t="shared" si="361"/>
        <v>0</v>
      </c>
      <c r="R312" s="65"/>
      <c r="S312" s="109">
        <f t="shared" si="362"/>
        <v>1633</v>
      </c>
      <c r="T312" s="201" t="str">
        <f>IF(_xlfn.XLOOKUP(B312,Salários!B:B,Salários!I:I)&gt;0,_xlfn.XLOOKUP(B312,Salários!B:B,Salários!I:I),"")</f>
        <v>PJ</v>
      </c>
      <c r="U312" s="117">
        <f t="shared" si="349"/>
        <v>0</v>
      </c>
      <c r="V312" s="65"/>
      <c r="W312" s="202"/>
      <c r="X312" s="65"/>
      <c r="Y312" s="69"/>
      <c r="Z312" s="65"/>
      <c r="AA312" s="518"/>
      <c r="AB312" s="65"/>
      <c r="AC312" s="81">
        <f t="shared" si="350"/>
        <v>0</v>
      </c>
      <c r="AD312" s="65"/>
      <c r="AE312" s="112"/>
      <c r="AF312" s="203">
        <v>0.3</v>
      </c>
      <c r="AG312" s="109">
        <f t="shared" si="44"/>
        <v>1633</v>
      </c>
      <c r="AH312" s="84">
        <f t="shared" si="351"/>
        <v>0</v>
      </c>
      <c r="AI312" s="65"/>
      <c r="AJ312" s="112"/>
      <c r="AK312" s="122"/>
      <c r="AL312" s="109">
        <v>1212</v>
      </c>
      <c r="AM312" s="84">
        <f t="shared" si="352"/>
        <v>0</v>
      </c>
      <c r="AN312" s="65"/>
      <c r="AO312" s="112"/>
      <c r="AP312" s="204"/>
      <c r="AQ312" s="109">
        <f>IFERROR((O312+AH312+AM312)/Dashboard!$D$15,0)*0.2</f>
        <v>1.6869834710743801</v>
      </c>
      <c r="AR312" s="84">
        <f t="shared" si="353"/>
        <v>0</v>
      </c>
      <c r="AS312" s="65"/>
      <c r="AT312" s="112"/>
      <c r="AU312" s="203">
        <v>0.33</v>
      </c>
      <c r="AV312" s="109">
        <f t="shared" si="354"/>
        <v>1633</v>
      </c>
      <c r="AW312" s="84">
        <f t="shared" si="355"/>
        <v>0</v>
      </c>
      <c r="AX312" s="65"/>
      <c r="AY312" s="112"/>
      <c r="AZ312" s="203">
        <v>0.25</v>
      </c>
      <c r="BA312" s="109">
        <f t="shared" si="50"/>
        <v>1633</v>
      </c>
      <c r="BB312" s="84">
        <f t="shared" si="356"/>
        <v>0</v>
      </c>
      <c r="BC312" s="65"/>
      <c r="BD312" s="112"/>
      <c r="BE312" s="203">
        <v>0.26</v>
      </c>
      <c r="BF312" s="109">
        <f t="shared" si="357"/>
        <v>1633</v>
      </c>
      <c r="BG312" s="84">
        <f t="shared" si="358"/>
        <v>0</v>
      </c>
      <c r="BH312" s="197"/>
      <c r="BI312" s="518"/>
      <c r="BJ312" s="65"/>
      <c r="BK312" s="81">
        <f t="shared" si="359"/>
        <v>0</v>
      </c>
      <c r="BL312" s="65"/>
      <c r="BM312" s="204"/>
      <c r="BN312" s="156">
        <f>IF(B312&lt;&gt;"",_xlfn.XLOOKUP(B312,'Cronog. e Histog.'!B:B,'Cronog. e Histog.'!EK:EK),0)</f>
        <v>0</v>
      </c>
      <c r="BO312" s="109">
        <f>($O312/Dashboard!$D$15)*(1+Dashboard!$D$19)</f>
        <v>12.652376033057848</v>
      </c>
      <c r="BP312" s="84">
        <f t="shared" si="374"/>
        <v>0</v>
      </c>
      <c r="BQ312" s="65"/>
      <c r="BR312" s="204"/>
      <c r="BS312" s="156">
        <f>IF(B312&lt;&gt;"",_xlfn.XLOOKUP(B312,'Cronog. e Histog.'!B:B,'Cronog. e Histog.'!EL:EL),0)</f>
        <v>0</v>
      </c>
      <c r="BT312" s="109">
        <f>($O312/Dashboard!$D$15)*(1+Dashboard!$D$20)</f>
        <v>14.761105371900824</v>
      </c>
      <c r="BU312" s="84">
        <f t="shared" si="375"/>
        <v>0</v>
      </c>
      <c r="BV312" s="65"/>
      <c r="BW312" s="204"/>
      <c r="BX312" s="156">
        <f>IF(B312&lt;&gt;"",_xlfn.XLOOKUP(B312,'Cronog. e Histog.'!B:B,'Cronog. e Histog.'!EM:EM),0)</f>
        <v>0</v>
      </c>
      <c r="BY312" s="109">
        <f>($O312/Dashboard!$D$15)*(1+Dashboard!$D$21)</f>
        <v>16.869834710743799</v>
      </c>
      <c r="BZ312" s="84">
        <f t="shared" si="376"/>
        <v>0</v>
      </c>
    </row>
    <row r="313" spans="2:78" ht="12" customHeight="1" outlineLevel="1">
      <c r="B313" s="137" t="str">
        <f>'Cronog. e Histog.'!B448</f>
        <v>EST_III - Equipe_01</v>
      </c>
      <c r="C313" s="65"/>
      <c r="D313" s="200">
        <f t="shared" si="342"/>
        <v>0</v>
      </c>
      <c r="E313" s="200">
        <f t="shared" si="343"/>
        <v>0</v>
      </c>
      <c r="F313" s="65"/>
      <c r="G313" s="200">
        <f t="shared" si="344"/>
        <v>0</v>
      </c>
      <c r="H313" s="200">
        <f t="shared" si="345"/>
        <v>0</v>
      </c>
      <c r="I313" s="65"/>
      <c r="J313" s="143" t="str">
        <f>IF('Cronog. e Histog.'!G448&gt;0,'Cronog. e Histog.'!G448,"")</f>
        <v>EST_III</v>
      </c>
      <c r="K313" s="65"/>
      <c r="L313" s="144">
        <f>'Cronog. e Histog.'!BT448</f>
        <v>0</v>
      </c>
      <c r="M313" s="144">
        <f>'Cronog. e Histog.'!BU448</f>
        <v>0</v>
      </c>
      <c r="N313" s="65"/>
      <c r="O313" s="109">
        <f>_xlfn.XLOOKUP(B313,Salários!B:B,Salários!K:K)</f>
        <v>1633</v>
      </c>
      <c r="P313" s="109">
        <f t="shared" si="360"/>
        <v>0</v>
      </c>
      <c r="Q313" s="109">
        <f t="shared" si="361"/>
        <v>0</v>
      </c>
      <c r="R313" s="65"/>
      <c r="S313" s="109">
        <f t="shared" si="362"/>
        <v>1633</v>
      </c>
      <c r="T313" s="201" t="str">
        <f>IF(_xlfn.XLOOKUP(B313,Salários!B:B,Salários!I:I)&gt;0,_xlfn.XLOOKUP(B313,Salários!B:B,Salários!I:I),"")</f>
        <v>PJ</v>
      </c>
      <c r="U313" s="117">
        <f t="shared" si="349"/>
        <v>0</v>
      </c>
      <c r="V313" s="65"/>
      <c r="W313" s="202"/>
      <c r="X313" s="65"/>
      <c r="Y313" s="69"/>
      <c r="Z313" s="65"/>
      <c r="AA313" s="518"/>
      <c r="AB313" s="65"/>
      <c r="AC313" s="81">
        <f t="shared" si="350"/>
        <v>0</v>
      </c>
      <c r="AD313" s="65"/>
      <c r="AE313" s="112"/>
      <c r="AF313" s="203">
        <v>0.3</v>
      </c>
      <c r="AG313" s="109">
        <f t="shared" si="44"/>
        <v>1633</v>
      </c>
      <c r="AH313" s="84">
        <f t="shared" si="351"/>
        <v>0</v>
      </c>
      <c r="AI313" s="65"/>
      <c r="AJ313" s="112"/>
      <c r="AK313" s="122"/>
      <c r="AL313" s="109">
        <v>1212</v>
      </c>
      <c r="AM313" s="84">
        <f t="shared" si="352"/>
        <v>0</v>
      </c>
      <c r="AN313" s="65"/>
      <c r="AO313" s="112"/>
      <c r="AP313" s="204"/>
      <c r="AQ313" s="109">
        <f>IFERROR((O313+AH313+AM313)/Dashboard!$D$15,0)*0.2</f>
        <v>1.6869834710743801</v>
      </c>
      <c r="AR313" s="84">
        <f t="shared" si="353"/>
        <v>0</v>
      </c>
      <c r="AS313" s="65"/>
      <c r="AT313" s="112"/>
      <c r="AU313" s="203">
        <v>0.33</v>
      </c>
      <c r="AV313" s="109">
        <f t="shared" si="354"/>
        <v>1633</v>
      </c>
      <c r="AW313" s="84">
        <f t="shared" si="355"/>
        <v>0</v>
      </c>
      <c r="AX313" s="65"/>
      <c r="AY313" s="112"/>
      <c r="AZ313" s="203">
        <v>0.25</v>
      </c>
      <c r="BA313" s="109">
        <f t="shared" si="50"/>
        <v>1633</v>
      </c>
      <c r="BB313" s="84">
        <f t="shared" si="356"/>
        <v>0</v>
      </c>
      <c r="BC313" s="65"/>
      <c r="BD313" s="112"/>
      <c r="BE313" s="203">
        <v>0.26</v>
      </c>
      <c r="BF313" s="109">
        <f t="shared" si="357"/>
        <v>1633</v>
      </c>
      <c r="BG313" s="84">
        <f t="shared" si="358"/>
        <v>0</v>
      </c>
      <c r="BH313" s="197"/>
      <c r="BI313" s="518"/>
      <c r="BJ313" s="65"/>
      <c r="BK313" s="81">
        <f t="shared" si="359"/>
        <v>0</v>
      </c>
      <c r="BL313" s="65"/>
      <c r="BM313" s="204"/>
      <c r="BN313" s="156">
        <f>IF(B313&lt;&gt;"",_xlfn.XLOOKUP(B313,'Cronog. e Histog.'!B:B,'Cronog. e Histog.'!EK:EK),0)</f>
        <v>0</v>
      </c>
      <c r="BO313" s="109">
        <f>($O313/Dashboard!$D$15)*(1+Dashboard!$D$19)</f>
        <v>12.652376033057848</v>
      </c>
      <c r="BP313" s="84">
        <f t="shared" si="374"/>
        <v>0</v>
      </c>
      <c r="BQ313" s="65"/>
      <c r="BR313" s="204"/>
      <c r="BS313" s="156">
        <f>IF(B313&lt;&gt;"",_xlfn.XLOOKUP(B313,'Cronog. e Histog.'!B:B,'Cronog. e Histog.'!EL:EL),0)</f>
        <v>0</v>
      </c>
      <c r="BT313" s="109">
        <f>($O313/Dashboard!$D$15)*(1+Dashboard!$D$20)</f>
        <v>14.761105371900824</v>
      </c>
      <c r="BU313" s="84">
        <f t="shared" si="375"/>
        <v>0</v>
      </c>
      <c r="BV313" s="65"/>
      <c r="BW313" s="204"/>
      <c r="BX313" s="156">
        <f>IF(B313&lt;&gt;"",_xlfn.XLOOKUP(B313,'Cronog. e Histog.'!B:B,'Cronog. e Histog.'!EM:EM),0)</f>
        <v>0</v>
      </c>
      <c r="BY313" s="109">
        <f>($O313/Dashboard!$D$15)*(1+Dashboard!$D$21)</f>
        <v>16.869834710743799</v>
      </c>
      <c r="BZ313" s="84">
        <f t="shared" si="376"/>
        <v>0</v>
      </c>
    </row>
    <row r="314" spans="2:78" ht="12" customHeight="1" outlineLevel="1"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9"/>
      <c r="Z314" s="65"/>
      <c r="AA314" s="518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  <c r="BE314" s="65"/>
      <c r="BF314" s="65"/>
      <c r="BG314" s="65"/>
      <c r="BH314" s="197"/>
      <c r="BI314" s="518"/>
      <c r="BJ314" s="65"/>
      <c r="BK314" s="65"/>
      <c r="BL314" s="65"/>
      <c r="BM314" s="65"/>
      <c r="BN314" s="65"/>
      <c r="BO314" s="65"/>
      <c r="BP314" s="65"/>
      <c r="BQ314" s="65"/>
      <c r="BR314" s="65"/>
      <c r="BS314" s="65"/>
      <c r="BT314" s="65"/>
      <c r="BU314" s="65"/>
      <c r="BV314" s="65"/>
      <c r="BW314" s="65"/>
      <c r="BX314" s="65"/>
      <c r="BY314" s="65"/>
      <c r="BZ314" s="65"/>
    </row>
    <row r="315" spans="2:78" ht="12" customHeight="1" outlineLevel="1">
      <c r="B315" s="65"/>
      <c r="C315" s="65"/>
      <c r="D315" s="65"/>
      <c r="E315" s="65"/>
      <c r="F315" s="65"/>
      <c r="G315" s="65"/>
      <c r="H315" s="65"/>
      <c r="I315" s="65"/>
      <c r="J315" s="199" t="str">
        <f>'Cronog. e Histog.'!F451</f>
        <v>Equipe11</v>
      </c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9"/>
      <c r="Z315" s="65"/>
      <c r="AA315" s="518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  <c r="BE315" s="65"/>
      <c r="BF315" s="65"/>
      <c r="BG315" s="65"/>
      <c r="BH315" s="197"/>
      <c r="BI315" s="518"/>
      <c r="BJ315" s="65"/>
      <c r="BK315" s="65"/>
      <c r="BL315" s="65"/>
      <c r="BM315" s="65"/>
      <c r="BN315" s="65"/>
      <c r="BO315" s="65"/>
      <c r="BP315" s="65"/>
      <c r="BQ315" s="65"/>
      <c r="BR315" s="65"/>
      <c r="BS315" s="65"/>
      <c r="BT315" s="65"/>
      <c r="BU315" s="65"/>
      <c r="BV315" s="65"/>
      <c r="BW315" s="65"/>
      <c r="BX315" s="65"/>
      <c r="BY315" s="65"/>
      <c r="BZ315" s="65"/>
    </row>
    <row r="316" spans="2:78" ht="12" customHeight="1" outlineLevel="1">
      <c r="B316" s="137" t="str">
        <f>'Cronog. e Histog.'!B453</f>
        <v>GER. (OBRA/PROJ) - Equipe_01</v>
      </c>
      <c r="C316" s="65"/>
      <c r="D316" s="200">
        <f t="shared" ref="D316:D335" si="377">IF(T316="mensalista",L316,0)</f>
        <v>0</v>
      </c>
      <c r="E316" s="200">
        <f t="shared" ref="E316:E335" si="378">IF(T316="mensalista",M316,0)</f>
        <v>0</v>
      </c>
      <c r="F316" s="65"/>
      <c r="G316" s="200">
        <f t="shared" ref="G316:G335" si="379">IF(T316="mensalista",L316,0)</f>
        <v>0</v>
      </c>
      <c r="H316" s="200">
        <f t="shared" ref="H316:H335" si="380">IF(T316="mensalista",M316,0)</f>
        <v>0</v>
      </c>
      <c r="I316" s="65"/>
      <c r="J316" s="143" t="str">
        <f>IF('Cronog. e Histog.'!G453&gt;0,'Cronog. e Histog.'!G453,"")</f>
        <v>GER. (OBRA/PROJ)</v>
      </c>
      <c r="K316" s="65"/>
      <c r="L316" s="144">
        <f>'Cronog. e Histog.'!BT453</f>
        <v>0</v>
      </c>
      <c r="M316" s="144">
        <f>'Cronog. e Histog.'!BU453</f>
        <v>0</v>
      </c>
      <c r="N316" s="65"/>
      <c r="O316" s="109">
        <f>_xlfn.XLOOKUP(B316,Salários!B:B,Salários!K:K)</f>
        <v>21000</v>
      </c>
      <c r="P316" s="109">
        <f t="shared" ref="P316" si="381">AC316</f>
        <v>0</v>
      </c>
      <c r="Q316" s="109">
        <f t="shared" ref="Q316" si="382">BK316</f>
        <v>0</v>
      </c>
      <c r="R316" s="65"/>
      <c r="S316" s="109">
        <f t="shared" ref="S316" si="383">SUM(O316:Q316)</f>
        <v>21000</v>
      </c>
      <c r="T316" s="201" t="str">
        <f>IF(_xlfn.XLOOKUP(B316,Salários!B:B,Salários!I:I)&gt;0,_xlfn.XLOOKUP(B316,Salários!B:B,Salários!I:I),"")</f>
        <v>PJ</v>
      </c>
      <c r="U316" s="117">
        <f t="shared" ref="U316:U335" si="384">L316*M316*S316</f>
        <v>0</v>
      </c>
      <c r="V316" s="65"/>
      <c r="W316" s="202"/>
      <c r="X316" s="65"/>
      <c r="Y316" s="69"/>
      <c r="Z316" s="65"/>
      <c r="AA316" s="518"/>
      <c r="AB316" s="65"/>
      <c r="AC316" s="81">
        <f t="shared" ref="AC316:AC335" si="385">AH316+AM316+AR316+AW316+BB316+BG316</f>
        <v>0</v>
      </c>
      <c r="AD316" s="65"/>
      <c r="AE316" s="112"/>
      <c r="AF316" s="203">
        <v>0.3</v>
      </c>
      <c r="AG316" s="109">
        <f t="shared" si="44"/>
        <v>21000</v>
      </c>
      <c r="AH316" s="84">
        <f t="shared" ref="AH316:AH335" si="386">IF(AE316="sim",AF316*AG316,0)</f>
        <v>0</v>
      </c>
      <c r="AI316" s="65"/>
      <c r="AJ316" s="112"/>
      <c r="AK316" s="122"/>
      <c r="AL316" s="109">
        <v>1212</v>
      </c>
      <c r="AM316" s="84">
        <f t="shared" ref="AM316:AM335" si="387">IF(AJ316="sim",AK316*AL316,0)</f>
        <v>0</v>
      </c>
      <c r="AN316" s="65"/>
      <c r="AO316" s="112"/>
      <c r="AP316" s="204"/>
      <c r="AQ316" s="109">
        <f>IFERROR((O316+AH316+AM316)/Dashboard!$D$15,0)*0.2</f>
        <v>21.694214876033058</v>
      </c>
      <c r="AR316" s="84">
        <f t="shared" ref="AR316:AR335" si="388">IF(AO316="sim",AP316*AQ316,0)</f>
        <v>0</v>
      </c>
      <c r="AS316" s="65"/>
      <c r="AT316" s="112"/>
      <c r="AU316" s="203">
        <v>0.33</v>
      </c>
      <c r="AV316" s="109">
        <f t="shared" ref="AV316:AV335" si="389">$O316</f>
        <v>21000</v>
      </c>
      <c r="AW316" s="84">
        <f t="shared" ref="AW316:AW335" si="390">IF(AT316="sim",AU316*AV316,0)</f>
        <v>0</v>
      </c>
      <c r="AX316" s="65"/>
      <c r="AY316" s="112"/>
      <c r="AZ316" s="203">
        <v>0.25</v>
      </c>
      <c r="BA316" s="109">
        <f t="shared" si="50"/>
        <v>21000</v>
      </c>
      <c r="BB316" s="84">
        <f t="shared" ref="BB316:BB335" si="391">IF(AY316="sim",AZ316*BA316,0)</f>
        <v>0</v>
      </c>
      <c r="BC316" s="65"/>
      <c r="BD316" s="112"/>
      <c r="BE316" s="203">
        <v>0.26</v>
      </c>
      <c r="BF316" s="109">
        <f t="shared" ref="BF316:BF335" si="392">$O316</f>
        <v>21000</v>
      </c>
      <c r="BG316" s="84">
        <f t="shared" ref="BG316:BG335" si="393">IF(BD316="sim",BE316*BF316,0)</f>
        <v>0</v>
      </c>
      <c r="BH316" s="197"/>
      <c r="BI316" s="518"/>
      <c r="BJ316" s="65"/>
      <c r="BK316" s="81">
        <f t="shared" ref="BK316:BK335" si="394">BP316+BU316+BZ316</f>
        <v>0</v>
      </c>
      <c r="BL316" s="65"/>
      <c r="BM316" s="204"/>
      <c r="BN316" s="156">
        <f>IF(B316&lt;&gt;"",_xlfn.XLOOKUP(B316,'Cronog. e Histog.'!B:B,'Cronog. e Histog.'!EK:EK),0)</f>
        <v>0</v>
      </c>
      <c r="BO316" s="109">
        <f>($O316/Dashboard!$D$15)*(1+Dashboard!$D$19)</f>
        <v>162.7066115702479</v>
      </c>
      <c r="BP316" s="84">
        <f>SUM(BM316:BN316)*BO316</f>
        <v>0</v>
      </c>
      <c r="BQ316" s="65"/>
      <c r="BR316" s="204"/>
      <c r="BS316" s="156">
        <f>IF(B316&lt;&gt;"",_xlfn.XLOOKUP(B316,'Cronog. e Histog.'!B:B,'Cronog. e Histog.'!EL:EL),0)</f>
        <v>0</v>
      </c>
      <c r="BT316" s="109">
        <f>($O316/Dashboard!$D$15)*(1+Dashboard!$D$20)</f>
        <v>189.82438016528923</v>
      </c>
      <c r="BU316" s="84">
        <f>SUM(BR316:BS316)*BT316</f>
        <v>0</v>
      </c>
      <c r="BV316" s="65"/>
      <c r="BW316" s="204"/>
      <c r="BX316" s="156">
        <f>IF(B316&lt;&gt;"",_xlfn.XLOOKUP(B316,'Cronog. e Histog.'!B:B,'Cronog. e Histog.'!EM:EM),0)</f>
        <v>0</v>
      </c>
      <c r="BY316" s="109">
        <f>($O316/Dashboard!$D$15)*(1+Dashboard!$D$21)</f>
        <v>216.94214876033055</v>
      </c>
      <c r="BZ316" s="84">
        <f>SUM(BW316:BX316)*BY316</f>
        <v>0</v>
      </c>
    </row>
    <row r="317" spans="2:78" ht="12" customHeight="1" outlineLevel="1">
      <c r="B317" s="137" t="str">
        <f>'Cronog. e Histog.'!B454</f>
        <v>COORD. - Equipe_01</v>
      </c>
      <c r="C317" s="65"/>
      <c r="D317" s="200">
        <f t="shared" si="377"/>
        <v>0</v>
      </c>
      <c r="E317" s="200">
        <f t="shared" si="378"/>
        <v>0</v>
      </c>
      <c r="F317" s="65"/>
      <c r="G317" s="200">
        <f t="shared" si="379"/>
        <v>0</v>
      </c>
      <c r="H317" s="200">
        <f t="shared" si="380"/>
        <v>0</v>
      </c>
      <c r="I317" s="65"/>
      <c r="J317" s="143" t="str">
        <f>IF('Cronog. e Histog.'!G454&gt;0,'Cronog. e Histog.'!G454,"")</f>
        <v>COORD.</v>
      </c>
      <c r="K317" s="65"/>
      <c r="L317" s="144">
        <f>'Cronog. e Histog.'!BT454</f>
        <v>0</v>
      </c>
      <c r="M317" s="144">
        <f>'Cronog. e Histog.'!BU454</f>
        <v>0</v>
      </c>
      <c r="N317" s="65"/>
      <c r="O317" s="109">
        <f>_xlfn.XLOOKUP(B317,Salários!B:B,Salários!K:K)</f>
        <v>19000</v>
      </c>
      <c r="P317" s="109">
        <f t="shared" ref="P317:P335" si="395">AC317</f>
        <v>0</v>
      </c>
      <c r="Q317" s="109">
        <f t="shared" ref="Q317:Q335" si="396">BK317</f>
        <v>0</v>
      </c>
      <c r="R317" s="65"/>
      <c r="S317" s="109">
        <f t="shared" ref="S317:S335" si="397">SUM(O317:Q317)</f>
        <v>19000</v>
      </c>
      <c r="T317" s="201" t="str">
        <f>IF(_xlfn.XLOOKUP(B317,Salários!B:B,Salários!I:I)&gt;0,_xlfn.XLOOKUP(B317,Salários!B:B,Salários!I:I),"")</f>
        <v>PJ</v>
      </c>
      <c r="U317" s="117">
        <f t="shared" ref="U317:U326" si="398">L317*M317*S317</f>
        <v>0</v>
      </c>
      <c r="V317" s="65"/>
      <c r="W317" s="202"/>
      <c r="X317" s="65"/>
      <c r="Y317" s="69"/>
      <c r="Z317" s="65"/>
      <c r="AA317" s="518"/>
      <c r="AB317" s="65"/>
      <c r="AC317" s="81">
        <f t="shared" ref="AC317:AC326" si="399">AH317+AM317+AR317+AW317+BB317+BG317</f>
        <v>0</v>
      </c>
      <c r="AD317" s="65"/>
      <c r="AE317" s="112"/>
      <c r="AF317" s="203">
        <v>0.3</v>
      </c>
      <c r="AG317" s="109">
        <f t="shared" ref="AG317:AG326" si="400">$O317</f>
        <v>19000</v>
      </c>
      <c r="AH317" s="84">
        <f t="shared" ref="AH317:AH326" si="401">IF(AE317="sim",AF317*AG317,0)</f>
        <v>0</v>
      </c>
      <c r="AI317" s="65"/>
      <c r="AJ317" s="112"/>
      <c r="AK317" s="122"/>
      <c r="AL317" s="109">
        <v>1212</v>
      </c>
      <c r="AM317" s="84">
        <f t="shared" ref="AM317:AM326" si="402">IF(AJ317="sim",AK317*AL317,0)</f>
        <v>0</v>
      </c>
      <c r="AN317" s="65"/>
      <c r="AO317" s="112"/>
      <c r="AP317" s="204"/>
      <c r="AQ317" s="109">
        <f>IFERROR((O317+AH317+AM317)/Dashboard!$D$15,0)*0.2</f>
        <v>19.628099173553718</v>
      </c>
      <c r="AR317" s="84">
        <f t="shared" ref="AR317:AR326" si="403">IF(AO317="sim",AP317*AQ317,0)</f>
        <v>0</v>
      </c>
      <c r="AS317" s="65"/>
      <c r="AT317" s="112"/>
      <c r="AU317" s="203">
        <v>0.33</v>
      </c>
      <c r="AV317" s="109">
        <f t="shared" si="389"/>
        <v>19000</v>
      </c>
      <c r="AW317" s="84">
        <f t="shared" ref="AW317:AW326" si="404">IF(AT317="sim",AU317*AV317,0)</f>
        <v>0</v>
      </c>
      <c r="AX317" s="65"/>
      <c r="AY317" s="112"/>
      <c r="AZ317" s="203">
        <v>0.25</v>
      </c>
      <c r="BA317" s="109">
        <f t="shared" ref="BA317:BA326" si="405">$O317</f>
        <v>19000</v>
      </c>
      <c r="BB317" s="84">
        <f t="shared" ref="BB317:BB326" si="406">IF(AY317="sim",AZ317*BA317,0)</f>
        <v>0</v>
      </c>
      <c r="BC317" s="65"/>
      <c r="BD317" s="112"/>
      <c r="BE317" s="203">
        <v>0.26</v>
      </c>
      <c r="BF317" s="109">
        <f t="shared" si="392"/>
        <v>19000</v>
      </c>
      <c r="BG317" s="84">
        <f t="shared" ref="BG317:BG326" si="407">IF(BD317="sim",BE317*BF317,0)</f>
        <v>0</v>
      </c>
      <c r="BH317" s="197"/>
      <c r="BI317" s="518"/>
      <c r="BJ317" s="65"/>
      <c r="BK317" s="81">
        <f t="shared" ref="BK317:BK326" si="408">BP317+BU317+BZ317</f>
        <v>0</v>
      </c>
      <c r="BL317" s="65"/>
      <c r="BM317" s="204"/>
      <c r="BN317" s="156">
        <f>IF(B317&lt;&gt;"",_xlfn.XLOOKUP(B317,'Cronog. e Histog.'!B:B,'Cronog. e Histog.'!EK:EK),0)</f>
        <v>0</v>
      </c>
      <c r="BO317" s="109">
        <f>($O317/Dashboard!$D$15)*(1+Dashboard!$D$19)</f>
        <v>147.21074380165288</v>
      </c>
      <c r="BP317" s="84">
        <f t="shared" ref="BP317:BP335" si="409">SUM(BM317:BN317)*BO317</f>
        <v>0</v>
      </c>
      <c r="BQ317" s="65"/>
      <c r="BR317" s="204"/>
      <c r="BS317" s="156">
        <f>IF(B317&lt;&gt;"",_xlfn.XLOOKUP(B317,'Cronog. e Histog.'!B:B,'Cronog. e Histog.'!EL:EL),0)</f>
        <v>0</v>
      </c>
      <c r="BT317" s="109">
        <f>($O317/Dashboard!$D$15)*(1+Dashboard!$D$20)</f>
        <v>171.74586776859502</v>
      </c>
      <c r="BU317" s="84">
        <f t="shared" ref="BU317:BU335" si="410">SUM(BR317:BS317)*BT317</f>
        <v>0</v>
      </c>
      <c r="BV317" s="65"/>
      <c r="BW317" s="204"/>
      <c r="BX317" s="156">
        <f>IF(B317&lt;&gt;"",_xlfn.XLOOKUP(B317,'Cronog. e Histog.'!B:B,'Cronog. e Histog.'!EM:EM),0)</f>
        <v>0</v>
      </c>
      <c r="BY317" s="109">
        <f>($O317/Dashboard!$D$15)*(1+Dashboard!$D$21)</f>
        <v>196.28099173553716</v>
      </c>
      <c r="BZ317" s="84">
        <f t="shared" ref="BZ317:BZ335" si="411">SUM(BW317:BX317)*BY317</f>
        <v>0</v>
      </c>
    </row>
    <row r="318" spans="2:78" ht="12" customHeight="1" outlineLevel="1">
      <c r="B318" s="137" t="str">
        <f>'Cronog. e Histog.'!B455</f>
        <v>SUP.-ESP - Equipe_01</v>
      </c>
      <c r="C318" s="65"/>
      <c r="D318" s="200">
        <f t="shared" si="377"/>
        <v>0</v>
      </c>
      <c r="E318" s="200">
        <f t="shared" si="378"/>
        <v>0</v>
      </c>
      <c r="F318" s="65"/>
      <c r="G318" s="200">
        <f t="shared" si="379"/>
        <v>0</v>
      </c>
      <c r="H318" s="200">
        <f t="shared" si="380"/>
        <v>0</v>
      </c>
      <c r="I318" s="65"/>
      <c r="J318" s="143" t="str">
        <f>IF('Cronog. e Histog.'!G455&gt;0,'Cronog. e Histog.'!G455,"")</f>
        <v>SUP.-ESP</v>
      </c>
      <c r="K318" s="65"/>
      <c r="L318" s="144">
        <f>'Cronog. e Histog.'!BT455</f>
        <v>0</v>
      </c>
      <c r="M318" s="144">
        <f>'Cronog. e Histog.'!BU455</f>
        <v>0</v>
      </c>
      <c r="N318" s="65"/>
      <c r="O318" s="109">
        <f>_xlfn.XLOOKUP(B318,Salários!B:B,Salários!K:K)</f>
        <v>9716.67</v>
      </c>
      <c r="P318" s="109">
        <f t="shared" si="395"/>
        <v>0</v>
      </c>
      <c r="Q318" s="109">
        <f t="shared" si="396"/>
        <v>0</v>
      </c>
      <c r="R318" s="65"/>
      <c r="S318" s="109">
        <f t="shared" si="397"/>
        <v>9716.67</v>
      </c>
      <c r="T318" s="201" t="str">
        <f>IF(_xlfn.XLOOKUP(B318,Salários!B:B,Salários!I:I)&gt;0,_xlfn.XLOOKUP(B318,Salários!B:B,Salários!I:I),"")</f>
        <v>Mensalista</v>
      </c>
      <c r="U318" s="117">
        <f t="shared" si="398"/>
        <v>0</v>
      </c>
      <c r="V318" s="65"/>
      <c r="W318" s="202"/>
      <c r="X318" s="65"/>
      <c r="Y318" s="69"/>
      <c r="Z318" s="65"/>
      <c r="AA318" s="518"/>
      <c r="AB318" s="65"/>
      <c r="AC318" s="81">
        <f t="shared" si="399"/>
        <v>0</v>
      </c>
      <c r="AD318" s="65"/>
      <c r="AE318" s="112"/>
      <c r="AF318" s="203">
        <v>0.3</v>
      </c>
      <c r="AG318" s="109">
        <f t="shared" si="400"/>
        <v>9716.67</v>
      </c>
      <c r="AH318" s="84">
        <f t="shared" si="401"/>
        <v>0</v>
      </c>
      <c r="AI318" s="65"/>
      <c r="AJ318" s="112"/>
      <c r="AK318" s="122"/>
      <c r="AL318" s="109">
        <v>1212</v>
      </c>
      <c r="AM318" s="84">
        <f t="shared" si="402"/>
        <v>0</v>
      </c>
      <c r="AN318" s="65"/>
      <c r="AO318" s="112"/>
      <c r="AP318" s="204"/>
      <c r="AQ318" s="109">
        <f>IFERROR((O318+AH318+AM318)/Dashboard!$D$15,0)*0.2</f>
        <v>10.037882231404957</v>
      </c>
      <c r="AR318" s="84">
        <f t="shared" si="403"/>
        <v>0</v>
      </c>
      <c r="AS318" s="65"/>
      <c r="AT318" s="112"/>
      <c r="AU318" s="203">
        <v>0.33</v>
      </c>
      <c r="AV318" s="109">
        <f t="shared" si="389"/>
        <v>9716.67</v>
      </c>
      <c r="AW318" s="84">
        <f t="shared" si="404"/>
        <v>0</v>
      </c>
      <c r="AX318" s="65"/>
      <c r="AY318" s="112"/>
      <c r="AZ318" s="203">
        <v>0.25</v>
      </c>
      <c r="BA318" s="109">
        <f t="shared" si="405"/>
        <v>9716.67</v>
      </c>
      <c r="BB318" s="84">
        <f t="shared" si="406"/>
        <v>0</v>
      </c>
      <c r="BC318" s="65"/>
      <c r="BD318" s="112"/>
      <c r="BE318" s="203">
        <v>0.26</v>
      </c>
      <c r="BF318" s="109">
        <f t="shared" si="392"/>
        <v>9716.67</v>
      </c>
      <c r="BG318" s="84">
        <f t="shared" si="407"/>
        <v>0</v>
      </c>
      <c r="BH318" s="197"/>
      <c r="BI318" s="518"/>
      <c r="BJ318" s="65"/>
      <c r="BK318" s="81">
        <f t="shared" si="408"/>
        <v>0</v>
      </c>
      <c r="BL318" s="65"/>
      <c r="BM318" s="204"/>
      <c r="BN318" s="156">
        <f>IF(B318&lt;&gt;"",_xlfn.XLOOKUP(B318,'Cronog. e Histog.'!B:B,'Cronog. e Histog.'!EK:EK),0)</f>
        <v>0</v>
      </c>
      <c r="BO318" s="109">
        <f>($O318/Dashboard!$D$15)*(1+Dashboard!$D$19)</f>
        <v>75.284116735537182</v>
      </c>
      <c r="BP318" s="84">
        <f t="shared" si="409"/>
        <v>0</v>
      </c>
      <c r="BQ318" s="65"/>
      <c r="BR318" s="204"/>
      <c r="BS318" s="156">
        <f>IF(B318&lt;&gt;"",_xlfn.XLOOKUP(B318,'Cronog. e Histog.'!B:B,'Cronog. e Histog.'!EL:EL),0)</f>
        <v>0</v>
      </c>
      <c r="BT318" s="109">
        <f>($O318/Dashboard!$D$15)*(1+Dashboard!$D$20)</f>
        <v>87.831469524793377</v>
      </c>
      <c r="BU318" s="84">
        <f t="shared" si="410"/>
        <v>0</v>
      </c>
      <c r="BV318" s="65"/>
      <c r="BW318" s="204"/>
      <c r="BX318" s="156">
        <f>IF(B318&lt;&gt;"",_xlfn.XLOOKUP(B318,'Cronog. e Histog.'!B:B,'Cronog. e Histog.'!EM:EM),0)</f>
        <v>0</v>
      </c>
      <c r="BY318" s="109">
        <f>($O318/Dashboard!$D$15)*(1+Dashboard!$D$21)</f>
        <v>100.37882231404957</v>
      </c>
      <c r="BZ318" s="84">
        <f t="shared" si="411"/>
        <v>0</v>
      </c>
    </row>
    <row r="319" spans="2:78" ht="12" customHeight="1" outlineLevel="1">
      <c r="B319" s="137" t="str">
        <f>'Cronog. e Histog.'!B456</f>
        <v>ENG/ARQ SR. - Equipe_01</v>
      </c>
      <c r="C319" s="65"/>
      <c r="D319" s="200">
        <f t="shared" si="377"/>
        <v>0</v>
      </c>
      <c r="E319" s="200">
        <f t="shared" si="378"/>
        <v>0</v>
      </c>
      <c r="F319" s="65"/>
      <c r="G319" s="200">
        <f t="shared" si="379"/>
        <v>0</v>
      </c>
      <c r="H319" s="200">
        <f t="shared" si="380"/>
        <v>0</v>
      </c>
      <c r="I319" s="65"/>
      <c r="J319" s="143" t="str">
        <f>IF('Cronog. e Histog.'!G456&gt;0,'Cronog. e Histog.'!G456,"")</f>
        <v>ENG/ARQ SR.</v>
      </c>
      <c r="K319" s="65"/>
      <c r="L319" s="144">
        <f>'Cronog. e Histog.'!BT456</f>
        <v>0</v>
      </c>
      <c r="M319" s="144">
        <f>'Cronog. e Histog.'!BU456</f>
        <v>0</v>
      </c>
      <c r="N319" s="65"/>
      <c r="O319" s="109">
        <f>_xlfn.XLOOKUP(B319,Salários!B:B,Salários!K:K)</f>
        <v>16000</v>
      </c>
      <c r="P319" s="109">
        <f t="shared" si="395"/>
        <v>0</v>
      </c>
      <c r="Q319" s="109">
        <f t="shared" si="396"/>
        <v>0</v>
      </c>
      <c r="R319" s="65"/>
      <c r="S319" s="109">
        <f t="shared" si="397"/>
        <v>16000</v>
      </c>
      <c r="T319" s="201" t="str">
        <f>IF(_xlfn.XLOOKUP(B319,Salários!B:B,Salários!I:I)&gt;0,_xlfn.XLOOKUP(B319,Salários!B:B,Salários!I:I),"")</f>
        <v>PJ</v>
      </c>
      <c r="U319" s="117">
        <f t="shared" si="398"/>
        <v>0</v>
      </c>
      <c r="V319" s="65"/>
      <c r="W319" s="202"/>
      <c r="X319" s="65"/>
      <c r="Y319" s="69"/>
      <c r="Z319" s="65"/>
      <c r="AA319" s="518"/>
      <c r="AB319" s="65"/>
      <c r="AC319" s="81">
        <f t="shared" si="399"/>
        <v>0</v>
      </c>
      <c r="AD319" s="65"/>
      <c r="AE319" s="112"/>
      <c r="AF319" s="203">
        <v>0.3</v>
      </c>
      <c r="AG319" s="109">
        <f t="shared" si="400"/>
        <v>16000</v>
      </c>
      <c r="AH319" s="84">
        <f t="shared" si="401"/>
        <v>0</v>
      </c>
      <c r="AI319" s="65"/>
      <c r="AJ319" s="112"/>
      <c r="AK319" s="122"/>
      <c r="AL319" s="109">
        <v>1212</v>
      </c>
      <c r="AM319" s="84">
        <f t="shared" si="402"/>
        <v>0</v>
      </c>
      <c r="AN319" s="65"/>
      <c r="AO319" s="112"/>
      <c r="AP319" s="204"/>
      <c r="AQ319" s="109">
        <f>IFERROR((O319+AH319+AM319)/Dashboard!$D$15,0)*0.2</f>
        <v>16.528925619834709</v>
      </c>
      <c r="AR319" s="84">
        <f t="shared" si="403"/>
        <v>0</v>
      </c>
      <c r="AS319" s="65"/>
      <c r="AT319" s="112"/>
      <c r="AU319" s="203">
        <v>0.33</v>
      </c>
      <c r="AV319" s="109">
        <f t="shared" si="389"/>
        <v>16000</v>
      </c>
      <c r="AW319" s="84">
        <f t="shared" si="404"/>
        <v>0</v>
      </c>
      <c r="AX319" s="65"/>
      <c r="AY319" s="112"/>
      <c r="AZ319" s="203">
        <v>0.25</v>
      </c>
      <c r="BA319" s="109">
        <f t="shared" si="405"/>
        <v>16000</v>
      </c>
      <c r="BB319" s="84">
        <f t="shared" si="406"/>
        <v>0</v>
      </c>
      <c r="BC319" s="65"/>
      <c r="BD319" s="112"/>
      <c r="BE319" s="203">
        <v>0.26</v>
      </c>
      <c r="BF319" s="109">
        <f t="shared" si="392"/>
        <v>16000</v>
      </c>
      <c r="BG319" s="84">
        <f t="shared" si="407"/>
        <v>0</v>
      </c>
      <c r="BH319" s="197"/>
      <c r="BI319" s="518"/>
      <c r="BJ319" s="65"/>
      <c r="BK319" s="81">
        <f t="shared" si="408"/>
        <v>0</v>
      </c>
      <c r="BL319" s="65"/>
      <c r="BM319" s="204"/>
      <c r="BN319" s="156">
        <f>IF(B319&lt;&gt;"",_xlfn.XLOOKUP(B319,'Cronog. e Histog.'!B:B,'Cronog. e Histog.'!EK:EK),0)</f>
        <v>0</v>
      </c>
      <c r="BO319" s="109">
        <f>($O319/Dashboard!$D$15)*(1+Dashboard!$D$19)</f>
        <v>123.96694214876032</v>
      </c>
      <c r="BP319" s="84">
        <f t="shared" si="409"/>
        <v>0</v>
      </c>
      <c r="BQ319" s="65"/>
      <c r="BR319" s="204"/>
      <c r="BS319" s="156">
        <f>IF(B319&lt;&gt;"",_xlfn.XLOOKUP(B319,'Cronog. e Histog.'!B:B,'Cronog. e Histog.'!EL:EL),0)</f>
        <v>0</v>
      </c>
      <c r="BT319" s="109">
        <f>($O319/Dashboard!$D$15)*(1+Dashboard!$D$20)</f>
        <v>144.62809917355369</v>
      </c>
      <c r="BU319" s="84">
        <f t="shared" si="410"/>
        <v>0</v>
      </c>
      <c r="BV319" s="65"/>
      <c r="BW319" s="204"/>
      <c r="BX319" s="156">
        <f>IF(B319&lt;&gt;"",_xlfn.XLOOKUP(B319,'Cronog. e Histog.'!B:B,'Cronog. e Histog.'!EM:EM),0)</f>
        <v>0</v>
      </c>
      <c r="BY319" s="109">
        <f>($O319/Dashboard!$D$15)*(1+Dashboard!$D$21)</f>
        <v>165.28925619834709</v>
      </c>
      <c r="BZ319" s="84">
        <f t="shared" si="411"/>
        <v>0</v>
      </c>
    </row>
    <row r="320" spans="2:78" ht="12" customHeight="1" outlineLevel="1">
      <c r="B320" s="137" t="str">
        <f>'Cronog. e Histog.'!B457</f>
        <v>ENG/ARQ PL. - Equipe_01</v>
      </c>
      <c r="C320" s="65"/>
      <c r="D320" s="200">
        <f t="shared" si="377"/>
        <v>0</v>
      </c>
      <c r="E320" s="200">
        <f t="shared" si="378"/>
        <v>0</v>
      </c>
      <c r="F320" s="65"/>
      <c r="G320" s="200">
        <f t="shared" si="379"/>
        <v>0</v>
      </c>
      <c r="H320" s="200">
        <f t="shared" si="380"/>
        <v>0</v>
      </c>
      <c r="I320" s="65"/>
      <c r="J320" s="143" t="str">
        <f>IF('Cronog. e Histog.'!G457&gt;0,'Cronog. e Histog.'!G457,"")</f>
        <v>ENG/ARQ PL.</v>
      </c>
      <c r="K320" s="65"/>
      <c r="L320" s="144">
        <f>'Cronog. e Histog.'!BT457</f>
        <v>0</v>
      </c>
      <c r="M320" s="144">
        <f>'Cronog. e Histog.'!BU457</f>
        <v>0</v>
      </c>
      <c r="N320" s="65"/>
      <c r="O320" s="109">
        <f>_xlfn.XLOOKUP(B320,Salários!B:B,Salários!K:K)</f>
        <v>14000</v>
      </c>
      <c r="P320" s="109">
        <f t="shared" si="395"/>
        <v>0</v>
      </c>
      <c r="Q320" s="109">
        <f t="shared" si="396"/>
        <v>0</v>
      </c>
      <c r="R320" s="65"/>
      <c r="S320" s="109">
        <f t="shared" si="397"/>
        <v>14000</v>
      </c>
      <c r="T320" s="201" t="str">
        <f>IF(_xlfn.XLOOKUP(B320,Salários!B:B,Salários!I:I)&gt;0,_xlfn.XLOOKUP(B320,Salários!B:B,Salários!I:I),"")</f>
        <v>PJ</v>
      </c>
      <c r="U320" s="117">
        <f t="shared" si="398"/>
        <v>0</v>
      </c>
      <c r="V320" s="65"/>
      <c r="W320" s="202"/>
      <c r="X320" s="65"/>
      <c r="Y320" s="69"/>
      <c r="Z320" s="65"/>
      <c r="AA320" s="518"/>
      <c r="AB320" s="65"/>
      <c r="AC320" s="81">
        <f t="shared" si="399"/>
        <v>0</v>
      </c>
      <c r="AD320" s="65"/>
      <c r="AE320" s="112"/>
      <c r="AF320" s="203">
        <v>0.3</v>
      </c>
      <c r="AG320" s="109">
        <f t="shared" si="400"/>
        <v>14000</v>
      </c>
      <c r="AH320" s="84">
        <f t="shared" si="401"/>
        <v>0</v>
      </c>
      <c r="AI320" s="65"/>
      <c r="AJ320" s="112"/>
      <c r="AK320" s="122"/>
      <c r="AL320" s="109">
        <v>1212</v>
      </c>
      <c r="AM320" s="84">
        <f t="shared" si="402"/>
        <v>0</v>
      </c>
      <c r="AN320" s="65"/>
      <c r="AO320" s="112"/>
      <c r="AP320" s="204"/>
      <c r="AQ320" s="109">
        <f>IFERROR((O320+AH320+AM320)/Dashboard!$D$15,0)*0.2</f>
        <v>14.46280991735537</v>
      </c>
      <c r="AR320" s="84">
        <f t="shared" si="403"/>
        <v>0</v>
      </c>
      <c r="AS320" s="65"/>
      <c r="AT320" s="112"/>
      <c r="AU320" s="203">
        <v>0.33</v>
      </c>
      <c r="AV320" s="109">
        <f t="shared" si="389"/>
        <v>14000</v>
      </c>
      <c r="AW320" s="84">
        <f t="shared" si="404"/>
        <v>0</v>
      </c>
      <c r="AX320" s="65"/>
      <c r="AY320" s="112"/>
      <c r="AZ320" s="203">
        <v>0.25</v>
      </c>
      <c r="BA320" s="109">
        <f t="shared" si="405"/>
        <v>14000</v>
      </c>
      <c r="BB320" s="84">
        <f t="shared" si="406"/>
        <v>0</v>
      </c>
      <c r="BC320" s="65"/>
      <c r="BD320" s="112"/>
      <c r="BE320" s="203">
        <v>0.26</v>
      </c>
      <c r="BF320" s="109">
        <f t="shared" si="392"/>
        <v>14000</v>
      </c>
      <c r="BG320" s="84">
        <f t="shared" si="407"/>
        <v>0</v>
      </c>
      <c r="BH320" s="197"/>
      <c r="BI320" s="518"/>
      <c r="BJ320" s="65"/>
      <c r="BK320" s="81">
        <f t="shared" si="408"/>
        <v>0</v>
      </c>
      <c r="BL320" s="65"/>
      <c r="BM320" s="204"/>
      <c r="BN320" s="156">
        <f>IF(B320&lt;&gt;"",_xlfn.XLOOKUP(B320,'Cronog. e Histog.'!B:B,'Cronog. e Histog.'!EK:EK),0)</f>
        <v>0</v>
      </c>
      <c r="BO320" s="109">
        <f>($O320/Dashboard!$D$15)*(1+Dashboard!$D$19)</f>
        <v>108.47107438016528</v>
      </c>
      <c r="BP320" s="84">
        <f t="shared" si="409"/>
        <v>0</v>
      </c>
      <c r="BQ320" s="65"/>
      <c r="BR320" s="204"/>
      <c r="BS320" s="156">
        <f>IF(B320&lt;&gt;"",_xlfn.XLOOKUP(B320,'Cronog. e Histog.'!B:B,'Cronog. e Histog.'!EL:EL),0)</f>
        <v>0</v>
      </c>
      <c r="BT320" s="109">
        <f>($O320/Dashboard!$D$15)*(1+Dashboard!$D$20)</f>
        <v>126.54958677685948</v>
      </c>
      <c r="BU320" s="84">
        <f t="shared" si="410"/>
        <v>0</v>
      </c>
      <c r="BV320" s="65"/>
      <c r="BW320" s="204"/>
      <c r="BX320" s="156">
        <f>IF(B320&lt;&gt;"",_xlfn.XLOOKUP(B320,'Cronog. e Histog.'!B:B,'Cronog. e Histog.'!EM:EM),0)</f>
        <v>0</v>
      </c>
      <c r="BY320" s="109">
        <f>($O320/Dashboard!$D$15)*(1+Dashboard!$D$21)</f>
        <v>144.62809917355369</v>
      </c>
      <c r="BZ320" s="84">
        <f t="shared" si="411"/>
        <v>0</v>
      </c>
    </row>
    <row r="321" spans="2:78" ht="12" customHeight="1" outlineLevel="1">
      <c r="B321" s="137" t="str">
        <f>'Cronog. e Histog.'!B458</f>
        <v>ENG/ARQ JR. - Equipe_01</v>
      </c>
      <c r="C321" s="65"/>
      <c r="D321" s="200">
        <f t="shared" si="377"/>
        <v>0</v>
      </c>
      <c r="E321" s="200">
        <f t="shared" si="378"/>
        <v>0</v>
      </c>
      <c r="F321" s="65"/>
      <c r="G321" s="200">
        <f t="shared" si="379"/>
        <v>0</v>
      </c>
      <c r="H321" s="200">
        <f t="shared" si="380"/>
        <v>0</v>
      </c>
      <c r="I321" s="65"/>
      <c r="J321" s="143" t="str">
        <f>IF('Cronog. e Histog.'!G458&gt;0,'Cronog. e Histog.'!G458,"")</f>
        <v>ENG/ARQ JR.</v>
      </c>
      <c r="K321" s="65"/>
      <c r="L321" s="144">
        <f>'Cronog. e Histog.'!BT458</f>
        <v>0</v>
      </c>
      <c r="M321" s="144">
        <f>'Cronog. e Histog.'!BU458</f>
        <v>0</v>
      </c>
      <c r="N321" s="65"/>
      <c r="O321" s="109">
        <f>_xlfn.XLOOKUP(B321,Salários!B:B,Salários!K:K)</f>
        <v>14000</v>
      </c>
      <c r="P321" s="109">
        <f t="shared" si="395"/>
        <v>0</v>
      </c>
      <c r="Q321" s="109">
        <f t="shared" si="396"/>
        <v>0</v>
      </c>
      <c r="R321" s="65"/>
      <c r="S321" s="109">
        <f t="shared" si="397"/>
        <v>14000</v>
      </c>
      <c r="T321" s="201" t="str">
        <f>IF(_xlfn.XLOOKUP(B321,Salários!B:B,Salários!I:I)&gt;0,_xlfn.XLOOKUP(B321,Salários!B:B,Salários!I:I),"")</f>
        <v>PJ</v>
      </c>
      <c r="U321" s="117">
        <f t="shared" si="398"/>
        <v>0</v>
      </c>
      <c r="V321" s="65"/>
      <c r="W321" s="202"/>
      <c r="X321" s="65"/>
      <c r="Y321" s="69"/>
      <c r="Z321" s="65"/>
      <c r="AA321" s="518"/>
      <c r="AB321" s="65"/>
      <c r="AC321" s="81">
        <f t="shared" si="399"/>
        <v>0</v>
      </c>
      <c r="AD321" s="65"/>
      <c r="AE321" s="112"/>
      <c r="AF321" s="203">
        <v>0.3</v>
      </c>
      <c r="AG321" s="109">
        <f t="shared" si="400"/>
        <v>14000</v>
      </c>
      <c r="AH321" s="84">
        <f t="shared" si="401"/>
        <v>0</v>
      </c>
      <c r="AI321" s="65"/>
      <c r="AJ321" s="112"/>
      <c r="AK321" s="122"/>
      <c r="AL321" s="109">
        <v>1212</v>
      </c>
      <c r="AM321" s="84">
        <f t="shared" si="402"/>
        <v>0</v>
      </c>
      <c r="AN321" s="65"/>
      <c r="AO321" s="112"/>
      <c r="AP321" s="204"/>
      <c r="AQ321" s="109">
        <f>IFERROR((O321+AH321+AM321)/Dashboard!$D$15,0)*0.2</f>
        <v>14.46280991735537</v>
      </c>
      <c r="AR321" s="84">
        <f t="shared" si="403"/>
        <v>0</v>
      </c>
      <c r="AS321" s="65"/>
      <c r="AT321" s="112"/>
      <c r="AU321" s="203">
        <v>0.33</v>
      </c>
      <c r="AV321" s="109">
        <f t="shared" si="389"/>
        <v>14000</v>
      </c>
      <c r="AW321" s="84">
        <f t="shared" si="404"/>
        <v>0</v>
      </c>
      <c r="AX321" s="65"/>
      <c r="AY321" s="112"/>
      <c r="AZ321" s="203">
        <v>0.25</v>
      </c>
      <c r="BA321" s="109">
        <f t="shared" si="405"/>
        <v>14000</v>
      </c>
      <c r="BB321" s="84">
        <f t="shared" si="406"/>
        <v>0</v>
      </c>
      <c r="BC321" s="65"/>
      <c r="BD321" s="112"/>
      <c r="BE321" s="203">
        <v>0.26</v>
      </c>
      <c r="BF321" s="109">
        <f t="shared" si="392"/>
        <v>14000</v>
      </c>
      <c r="BG321" s="84">
        <f t="shared" si="407"/>
        <v>0</v>
      </c>
      <c r="BH321" s="197"/>
      <c r="BI321" s="518"/>
      <c r="BJ321" s="65"/>
      <c r="BK321" s="81">
        <f t="shared" si="408"/>
        <v>0</v>
      </c>
      <c r="BL321" s="65"/>
      <c r="BM321" s="204"/>
      <c r="BN321" s="156">
        <f>IF(B321&lt;&gt;"",_xlfn.XLOOKUP(B321,'Cronog. e Histog.'!B:B,'Cronog. e Histog.'!EK:EK),0)</f>
        <v>0</v>
      </c>
      <c r="BO321" s="109">
        <f>($O321/Dashboard!$D$15)*(1+Dashboard!$D$19)</f>
        <v>108.47107438016528</v>
      </c>
      <c r="BP321" s="84">
        <f t="shared" si="409"/>
        <v>0</v>
      </c>
      <c r="BQ321" s="65"/>
      <c r="BR321" s="204"/>
      <c r="BS321" s="156">
        <f>IF(B321&lt;&gt;"",_xlfn.XLOOKUP(B321,'Cronog. e Histog.'!B:B,'Cronog. e Histog.'!EL:EL),0)</f>
        <v>0</v>
      </c>
      <c r="BT321" s="109">
        <f>($O321/Dashboard!$D$15)*(1+Dashboard!$D$20)</f>
        <v>126.54958677685948</v>
      </c>
      <c r="BU321" s="84">
        <f t="shared" si="410"/>
        <v>0</v>
      </c>
      <c r="BV321" s="65"/>
      <c r="BW321" s="204"/>
      <c r="BX321" s="156">
        <f>IF(B321&lt;&gt;"",_xlfn.XLOOKUP(B321,'Cronog. e Histog.'!B:B,'Cronog. e Histog.'!EM:EM),0)</f>
        <v>0</v>
      </c>
      <c r="BY321" s="109">
        <f>($O321/Dashboard!$D$15)*(1+Dashboard!$D$21)</f>
        <v>144.62809917355369</v>
      </c>
      <c r="BZ321" s="84">
        <f t="shared" si="411"/>
        <v>0</v>
      </c>
    </row>
    <row r="322" spans="2:78" ht="12" customHeight="1" outlineLevel="1">
      <c r="B322" s="137" t="str">
        <f>'Cronog. e Histog.'!B459</f>
        <v>AN SR. ENG/ARQ - Equipe_01</v>
      </c>
      <c r="C322" s="65"/>
      <c r="D322" s="200">
        <f t="shared" si="377"/>
        <v>0</v>
      </c>
      <c r="E322" s="200">
        <f t="shared" si="378"/>
        <v>0</v>
      </c>
      <c r="F322" s="65"/>
      <c r="G322" s="200">
        <f t="shared" si="379"/>
        <v>0</v>
      </c>
      <c r="H322" s="200">
        <f t="shared" si="380"/>
        <v>0</v>
      </c>
      <c r="I322" s="65"/>
      <c r="J322" s="143" t="str">
        <f>IF('Cronog. e Histog.'!G459&gt;0,'Cronog. e Histog.'!G459,"")</f>
        <v>AN SR. ENG/ARQ</v>
      </c>
      <c r="K322" s="65"/>
      <c r="L322" s="144">
        <f>'Cronog. e Histog.'!BT459</f>
        <v>0</v>
      </c>
      <c r="M322" s="144">
        <f>'Cronog. e Histog.'!BU459</f>
        <v>0</v>
      </c>
      <c r="N322" s="65"/>
      <c r="O322" s="109">
        <f>_xlfn.XLOOKUP(B322,Salários!B:B,Salários!K:K)</f>
        <v>7950</v>
      </c>
      <c r="P322" s="109">
        <f t="shared" si="395"/>
        <v>0</v>
      </c>
      <c r="Q322" s="109">
        <f t="shared" si="396"/>
        <v>0</v>
      </c>
      <c r="R322" s="65"/>
      <c r="S322" s="109">
        <f t="shared" si="397"/>
        <v>7950</v>
      </c>
      <c r="T322" s="201" t="str">
        <f>IF(_xlfn.XLOOKUP(B322,Salários!B:B,Salários!I:I)&gt;0,_xlfn.XLOOKUP(B322,Salários!B:B,Salários!I:I),"")</f>
        <v>Mensalista</v>
      </c>
      <c r="U322" s="117">
        <f t="shared" si="398"/>
        <v>0</v>
      </c>
      <c r="V322" s="65"/>
      <c r="W322" s="202"/>
      <c r="X322" s="65"/>
      <c r="Y322" s="69"/>
      <c r="Z322" s="65"/>
      <c r="AA322" s="518"/>
      <c r="AB322" s="65"/>
      <c r="AC322" s="81">
        <f t="shared" si="399"/>
        <v>0</v>
      </c>
      <c r="AD322" s="65"/>
      <c r="AE322" s="112"/>
      <c r="AF322" s="203">
        <v>0.3</v>
      </c>
      <c r="AG322" s="109">
        <f t="shared" si="400"/>
        <v>7950</v>
      </c>
      <c r="AH322" s="84">
        <f t="shared" si="401"/>
        <v>0</v>
      </c>
      <c r="AI322" s="65"/>
      <c r="AJ322" s="112"/>
      <c r="AK322" s="122"/>
      <c r="AL322" s="109">
        <v>1212</v>
      </c>
      <c r="AM322" s="84">
        <f t="shared" si="402"/>
        <v>0</v>
      </c>
      <c r="AN322" s="65"/>
      <c r="AO322" s="112"/>
      <c r="AP322" s="204"/>
      <c r="AQ322" s="109">
        <f>IFERROR((O322+AH322+AM322)/Dashboard!$D$15,0)*0.2</f>
        <v>8.2128099173553704</v>
      </c>
      <c r="AR322" s="84">
        <f t="shared" si="403"/>
        <v>0</v>
      </c>
      <c r="AS322" s="65"/>
      <c r="AT322" s="112"/>
      <c r="AU322" s="203">
        <v>0.33</v>
      </c>
      <c r="AV322" s="109">
        <f t="shared" si="389"/>
        <v>7950</v>
      </c>
      <c r="AW322" s="84">
        <f t="shared" si="404"/>
        <v>0</v>
      </c>
      <c r="AX322" s="65"/>
      <c r="AY322" s="112"/>
      <c r="AZ322" s="203">
        <v>0.25</v>
      </c>
      <c r="BA322" s="109">
        <f t="shared" si="405"/>
        <v>7950</v>
      </c>
      <c r="BB322" s="84">
        <f t="shared" si="406"/>
        <v>0</v>
      </c>
      <c r="BC322" s="65"/>
      <c r="BD322" s="112"/>
      <c r="BE322" s="203">
        <v>0.26</v>
      </c>
      <c r="BF322" s="109">
        <f t="shared" si="392"/>
        <v>7950</v>
      </c>
      <c r="BG322" s="84">
        <f t="shared" si="407"/>
        <v>0</v>
      </c>
      <c r="BH322" s="197"/>
      <c r="BI322" s="518"/>
      <c r="BJ322" s="65"/>
      <c r="BK322" s="81">
        <f t="shared" si="408"/>
        <v>0</v>
      </c>
      <c r="BL322" s="65"/>
      <c r="BM322" s="204"/>
      <c r="BN322" s="156">
        <f>IF(B322&lt;&gt;"",_xlfn.XLOOKUP(B322,'Cronog. e Histog.'!B:B,'Cronog. e Histog.'!EK:EK),0)</f>
        <v>0</v>
      </c>
      <c r="BO322" s="109">
        <f>($O322/Dashboard!$D$15)*(1+Dashboard!$D$19)</f>
        <v>61.596074380165277</v>
      </c>
      <c r="BP322" s="84">
        <f t="shared" si="409"/>
        <v>0</v>
      </c>
      <c r="BQ322" s="65"/>
      <c r="BR322" s="204"/>
      <c r="BS322" s="156">
        <f>IF(B322&lt;&gt;"",_xlfn.XLOOKUP(B322,'Cronog. e Histog.'!B:B,'Cronog. e Histog.'!EL:EL),0)</f>
        <v>0</v>
      </c>
      <c r="BT322" s="109">
        <f>($O322/Dashboard!$D$15)*(1+Dashboard!$D$20)</f>
        <v>71.862086776859499</v>
      </c>
      <c r="BU322" s="84">
        <f t="shared" si="410"/>
        <v>0</v>
      </c>
      <c r="BV322" s="65"/>
      <c r="BW322" s="204"/>
      <c r="BX322" s="156">
        <f>IF(B322&lt;&gt;"",_xlfn.XLOOKUP(B322,'Cronog. e Histog.'!B:B,'Cronog. e Histog.'!EM:EM),0)</f>
        <v>0</v>
      </c>
      <c r="BY322" s="109">
        <f>($O322/Dashboard!$D$15)*(1+Dashboard!$D$21)</f>
        <v>82.128099173553707</v>
      </c>
      <c r="BZ322" s="84">
        <f t="shared" si="411"/>
        <v>0</v>
      </c>
    </row>
    <row r="323" spans="2:78" ht="12" customHeight="1" outlineLevel="1">
      <c r="B323" s="137" t="str">
        <f>'Cronog. e Histog.'!B460</f>
        <v>AN PL. ENG/ARQ - Equipe_01</v>
      </c>
      <c r="C323" s="65"/>
      <c r="D323" s="200">
        <f t="shared" si="377"/>
        <v>0</v>
      </c>
      <c r="E323" s="200">
        <f t="shared" si="378"/>
        <v>0</v>
      </c>
      <c r="F323" s="65"/>
      <c r="G323" s="200">
        <f t="shared" si="379"/>
        <v>0</v>
      </c>
      <c r="H323" s="200">
        <f t="shared" si="380"/>
        <v>0</v>
      </c>
      <c r="I323" s="65"/>
      <c r="J323" s="143" t="str">
        <f>IF('Cronog. e Histog.'!G460&gt;0,'Cronog. e Histog.'!G460,"")</f>
        <v>AN PL. ENG/ARQ</v>
      </c>
      <c r="K323" s="65"/>
      <c r="L323" s="144">
        <f>'Cronog. e Histog.'!BT460</f>
        <v>0</v>
      </c>
      <c r="M323" s="144">
        <f>'Cronog. e Histog.'!BU460</f>
        <v>0</v>
      </c>
      <c r="N323" s="65"/>
      <c r="O323" s="109">
        <f>_xlfn.XLOOKUP(B323,Salários!B:B,Salários!K:K)</f>
        <v>6360</v>
      </c>
      <c r="P323" s="109">
        <f t="shared" si="395"/>
        <v>0</v>
      </c>
      <c r="Q323" s="109">
        <f t="shared" si="396"/>
        <v>0</v>
      </c>
      <c r="R323" s="65"/>
      <c r="S323" s="109">
        <f t="shared" si="397"/>
        <v>6360</v>
      </c>
      <c r="T323" s="201" t="str">
        <f>IF(_xlfn.XLOOKUP(B323,Salários!B:B,Salários!I:I)&gt;0,_xlfn.XLOOKUP(B323,Salários!B:B,Salários!I:I),"")</f>
        <v>Mensalista</v>
      </c>
      <c r="U323" s="117">
        <f t="shared" si="398"/>
        <v>0</v>
      </c>
      <c r="V323" s="65"/>
      <c r="W323" s="202"/>
      <c r="X323" s="65"/>
      <c r="Y323" s="69"/>
      <c r="Z323" s="65"/>
      <c r="AA323" s="518"/>
      <c r="AB323" s="65"/>
      <c r="AC323" s="81">
        <f t="shared" si="399"/>
        <v>0</v>
      </c>
      <c r="AD323" s="65"/>
      <c r="AE323" s="112"/>
      <c r="AF323" s="203">
        <v>0.3</v>
      </c>
      <c r="AG323" s="109">
        <f t="shared" si="400"/>
        <v>6360</v>
      </c>
      <c r="AH323" s="84">
        <f t="shared" si="401"/>
        <v>0</v>
      </c>
      <c r="AI323" s="65"/>
      <c r="AJ323" s="112"/>
      <c r="AK323" s="122"/>
      <c r="AL323" s="109">
        <v>1212</v>
      </c>
      <c r="AM323" s="84">
        <f t="shared" si="402"/>
        <v>0</v>
      </c>
      <c r="AN323" s="65"/>
      <c r="AO323" s="112"/>
      <c r="AP323" s="204"/>
      <c r="AQ323" s="109">
        <f>IFERROR((O323+AH323+AM323)/Dashboard!$D$15,0)*0.2</f>
        <v>6.5702479338842963</v>
      </c>
      <c r="AR323" s="84">
        <f t="shared" si="403"/>
        <v>0</v>
      </c>
      <c r="AS323" s="65"/>
      <c r="AT323" s="112"/>
      <c r="AU323" s="203">
        <v>0.33</v>
      </c>
      <c r="AV323" s="109">
        <f t="shared" si="389"/>
        <v>6360</v>
      </c>
      <c r="AW323" s="84">
        <f t="shared" si="404"/>
        <v>0</v>
      </c>
      <c r="AX323" s="65"/>
      <c r="AY323" s="112"/>
      <c r="AZ323" s="203">
        <v>0.25</v>
      </c>
      <c r="BA323" s="109">
        <f t="shared" si="405"/>
        <v>6360</v>
      </c>
      <c r="BB323" s="84">
        <f t="shared" si="406"/>
        <v>0</v>
      </c>
      <c r="BC323" s="65"/>
      <c r="BD323" s="112"/>
      <c r="BE323" s="203">
        <v>0.26</v>
      </c>
      <c r="BF323" s="109">
        <f t="shared" si="392"/>
        <v>6360</v>
      </c>
      <c r="BG323" s="84">
        <f t="shared" si="407"/>
        <v>0</v>
      </c>
      <c r="BH323" s="197"/>
      <c r="BI323" s="518"/>
      <c r="BJ323" s="65"/>
      <c r="BK323" s="81">
        <f t="shared" si="408"/>
        <v>0</v>
      </c>
      <c r="BL323" s="65"/>
      <c r="BM323" s="204"/>
      <c r="BN323" s="156">
        <f>IF(B323&lt;&gt;"",_xlfn.XLOOKUP(B323,'Cronog. e Histog.'!B:B,'Cronog. e Histog.'!EK:EK),0)</f>
        <v>0</v>
      </c>
      <c r="BO323" s="109">
        <f>($O323/Dashboard!$D$15)*(1+Dashboard!$D$19)</f>
        <v>49.276859504132219</v>
      </c>
      <c r="BP323" s="84">
        <f t="shared" si="409"/>
        <v>0</v>
      </c>
      <c r="BQ323" s="65"/>
      <c r="BR323" s="204"/>
      <c r="BS323" s="156">
        <f>IF(B323&lt;&gt;"",_xlfn.XLOOKUP(B323,'Cronog. e Histog.'!B:B,'Cronog. e Histog.'!EL:EL),0)</f>
        <v>0</v>
      </c>
      <c r="BT323" s="109">
        <f>($O323/Dashboard!$D$15)*(1+Dashboard!$D$20)</f>
        <v>57.489669421487591</v>
      </c>
      <c r="BU323" s="84">
        <f t="shared" si="410"/>
        <v>0</v>
      </c>
      <c r="BV323" s="65"/>
      <c r="BW323" s="204"/>
      <c r="BX323" s="156">
        <f>IF(B323&lt;&gt;"",_xlfn.XLOOKUP(B323,'Cronog. e Histog.'!B:B,'Cronog. e Histog.'!EM:EM),0)</f>
        <v>0</v>
      </c>
      <c r="BY323" s="109">
        <f>($O323/Dashboard!$D$15)*(1+Dashboard!$D$21)</f>
        <v>65.702479338842963</v>
      </c>
      <c r="BZ323" s="84">
        <f t="shared" si="411"/>
        <v>0</v>
      </c>
    </row>
    <row r="324" spans="2:78" ht="12" customHeight="1" outlineLevel="1">
      <c r="B324" s="137" t="str">
        <f>'Cronog. e Histog.'!B461</f>
        <v>AN JR. ENG/ARQ - Equipe_01</v>
      </c>
      <c r="C324" s="65"/>
      <c r="D324" s="200">
        <f t="shared" si="377"/>
        <v>0</v>
      </c>
      <c r="E324" s="200">
        <f t="shared" si="378"/>
        <v>0</v>
      </c>
      <c r="F324" s="65"/>
      <c r="G324" s="200">
        <f t="shared" si="379"/>
        <v>0</v>
      </c>
      <c r="H324" s="200">
        <f t="shared" si="380"/>
        <v>0</v>
      </c>
      <c r="I324" s="65"/>
      <c r="J324" s="143" t="str">
        <f>IF('Cronog. e Histog.'!G461&gt;0,'Cronog. e Histog.'!G461,"")</f>
        <v>AN JR. ENG/ARQ</v>
      </c>
      <c r="K324" s="65"/>
      <c r="L324" s="144">
        <f>'Cronog. e Histog.'!BT461</f>
        <v>0</v>
      </c>
      <c r="M324" s="144">
        <f>'Cronog. e Histog.'!BU461</f>
        <v>0</v>
      </c>
      <c r="N324" s="65"/>
      <c r="O324" s="109">
        <f>_xlfn.XLOOKUP(B324,Salários!B:B,Salários!K:K)</f>
        <v>4770</v>
      </c>
      <c r="P324" s="109">
        <f t="shared" si="395"/>
        <v>0</v>
      </c>
      <c r="Q324" s="109">
        <f t="shared" si="396"/>
        <v>0</v>
      </c>
      <c r="R324" s="65"/>
      <c r="S324" s="109">
        <f t="shared" si="397"/>
        <v>4770</v>
      </c>
      <c r="T324" s="201" t="str">
        <f>IF(_xlfn.XLOOKUP(B324,Salários!B:B,Salários!I:I)&gt;0,_xlfn.XLOOKUP(B324,Salários!B:B,Salários!I:I),"")</f>
        <v>Mensalista</v>
      </c>
      <c r="U324" s="117">
        <f t="shared" si="398"/>
        <v>0</v>
      </c>
      <c r="V324" s="65"/>
      <c r="W324" s="202"/>
      <c r="X324" s="65"/>
      <c r="Y324" s="69"/>
      <c r="Z324" s="65"/>
      <c r="AA324" s="518"/>
      <c r="AB324" s="65"/>
      <c r="AC324" s="81">
        <f t="shared" si="399"/>
        <v>0</v>
      </c>
      <c r="AD324" s="65"/>
      <c r="AE324" s="112"/>
      <c r="AF324" s="203">
        <v>0.3</v>
      </c>
      <c r="AG324" s="109">
        <f t="shared" si="400"/>
        <v>4770</v>
      </c>
      <c r="AH324" s="84">
        <f t="shared" si="401"/>
        <v>0</v>
      </c>
      <c r="AI324" s="65"/>
      <c r="AJ324" s="112"/>
      <c r="AK324" s="122"/>
      <c r="AL324" s="109">
        <v>1212</v>
      </c>
      <c r="AM324" s="84">
        <f t="shared" si="402"/>
        <v>0</v>
      </c>
      <c r="AN324" s="65"/>
      <c r="AO324" s="112"/>
      <c r="AP324" s="204"/>
      <c r="AQ324" s="109">
        <f>IFERROR((O324+AH324+AM324)/Dashboard!$D$15,0)*0.2</f>
        <v>4.9276859504132231</v>
      </c>
      <c r="AR324" s="84">
        <f t="shared" si="403"/>
        <v>0</v>
      </c>
      <c r="AS324" s="65"/>
      <c r="AT324" s="112"/>
      <c r="AU324" s="203">
        <v>0.33</v>
      </c>
      <c r="AV324" s="109">
        <f t="shared" si="389"/>
        <v>4770</v>
      </c>
      <c r="AW324" s="84">
        <f t="shared" si="404"/>
        <v>0</v>
      </c>
      <c r="AX324" s="65"/>
      <c r="AY324" s="112"/>
      <c r="AZ324" s="203">
        <v>0.25</v>
      </c>
      <c r="BA324" s="109">
        <f t="shared" si="405"/>
        <v>4770</v>
      </c>
      <c r="BB324" s="84">
        <f t="shared" si="406"/>
        <v>0</v>
      </c>
      <c r="BC324" s="65"/>
      <c r="BD324" s="112"/>
      <c r="BE324" s="203">
        <v>0.26</v>
      </c>
      <c r="BF324" s="109">
        <f t="shared" si="392"/>
        <v>4770</v>
      </c>
      <c r="BG324" s="84">
        <f t="shared" si="407"/>
        <v>0</v>
      </c>
      <c r="BH324" s="197"/>
      <c r="BI324" s="518"/>
      <c r="BJ324" s="65"/>
      <c r="BK324" s="81">
        <f t="shared" si="408"/>
        <v>0</v>
      </c>
      <c r="BL324" s="65"/>
      <c r="BM324" s="204"/>
      <c r="BN324" s="156">
        <f>IF(B324&lt;&gt;"",_xlfn.XLOOKUP(B324,'Cronog. e Histog.'!B:B,'Cronog. e Histog.'!EK:EK),0)</f>
        <v>0</v>
      </c>
      <c r="BO324" s="109">
        <f>($O324/Dashboard!$D$15)*(1+Dashboard!$D$19)</f>
        <v>36.957644628099168</v>
      </c>
      <c r="BP324" s="84">
        <f t="shared" si="409"/>
        <v>0</v>
      </c>
      <c r="BQ324" s="65"/>
      <c r="BR324" s="204"/>
      <c r="BS324" s="156">
        <f>IF(B324&lt;&gt;"",_xlfn.XLOOKUP(B324,'Cronog. e Histog.'!B:B,'Cronog. e Histog.'!EL:EL),0)</f>
        <v>0</v>
      </c>
      <c r="BT324" s="109">
        <f>($O324/Dashboard!$D$15)*(1+Dashboard!$D$20)</f>
        <v>43.117252066115697</v>
      </c>
      <c r="BU324" s="84">
        <f t="shared" si="410"/>
        <v>0</v>
      </c>
      <c r="BV324" s="65"/>
      <c r="BW324" s="204"/>
      <c r="BX324" s="156">
        <f>IF(B324&lt;&gt;"",_xlfn.XLOOKUP(B324,'Cronog. e Histog.'!B:B,'Cronog. e Histog.'!EM:EM),0)</f>
        <v>0</v>
      </c>
      <c r="BY324" s="109">
        <f>($O324/Dashboard!$D$15)*(1+Dashboard!$D$21)</f>
        <v>49.276859504132226</v>
      </c>
      <c r="BZ324" s="84">
        <f t="shared" si="411"/>
        <v>0</v>
      </c>
    </row>
    <row r="325" spans="2:78" ht="12" customHeight="1" outlineLevel="1">
      <c r="B325" s="137" t="str">
        <f>'Cronog. e Histog.'!B462</f>
        <v>AN SR. ADM/CRP - Equipe_01</v>
      </c>
      <c r="C325" s="65"/>
      <c r="D325" s="200">
        <f t="shared" si="377"/>
        <v>0</v>
      </c>
      <c r="E325" s="200">
        <f t="shared" si="378"/>
        <v>0</v>
      </c>
      <c r="F325" s="65"/>
      <c r="G325" s="200">
        <f t="shared" si="379"/>
        <v>0</v>
      </c>
      <c r="H325" s="200">
        <f t="shared" si="380"/>
        <v>0</v>
      </c>
      <c r="I325" s="65"/>
      <c r="J325" s="143" t="str">
        <f>IF('Cronog. e Histog.'!G462&gt;0,'Cronog. e Histog.'!G462,"")</f>
        <v>AN SR. ADM/CRP</v>
      </c>
      <c r="K325" s="65"/>
      <c r="L325" s="144">
        <f>'Cronog. e Histog.'!BT462</f>
        <v>0</v>
      </c>
      <c r="M325" s="144">
        <f>'Cronog. e Histog.'!BU462</f>
        <v>0</v>
      </c>
      <c r="N325" s="65"/>
      <c r="O325" s="109">
        <f>_xlfn.XLOOKUP(B325,Salários!B:B,Salários!K:K)</f>
        <v>7420</v>
      </c>
      <c r="P325" s="109">
        <f t="shared" si="395"/>
        <v>0</v>
      </c>
      <c r="Q325" s="109">
        <f t="shared" si="396"/>
        <v>0</v>
      </c>
      <c r="R325" s="65"/>
      <c r="S325" s="109">
        <f t="shared" si="397"/>
        <v>7420</v>
      </c>
      <c r="T325" s="201" t="str">
        <f>IF(_xlfn.XLOOKUP(B325,Salários!B:B,Salários!I:I)&gt;0,_xlfn.XLOOKUP(B325,Salários!B:B,Salários!I:I),"")</f>
        <v>Mensalista</v>
      </c>
      <c r="U325" s="117">
        <f t="shared" si="398"/>
        <v>0</v>
      </c>
      <c r="V325" s="65"/>
      <c r="W325" s="202"/>
      <c r="X325" s="65"/>
      <c r="Y325" s="69"/>
      <c r="Z325" s="65"/>
      <c r="AA325" s="518"/>
      <c r="AB325" s="65"/>
      <c r="AC325" s="81">
        <f t="shared" si="399"/>
        <v>0</v>
      </c>
      <c r="AD325" s="65"/>
      <c r="AE325" s="112"/>
      <c r="AF325" s="203">
        <v>0.3</v>
      </c>
      <c r="AG325" s="109">
        <f t="shared" si="400"/>
        <v>7420</v>
      </c>
      <c r="AH325" s="84">
        <f t="shared" si="401"/>
        <v>0</v>
      </c>
      <c r="AI325" s="65"/>
      <c r="AJ325" s="112"/>
      <c r="AK325" s="122"/>
      <c r="AL325" s="109">
        <v>1212</v>
      </c>
      <c r="AM325" s="84">
        <f t="shared" si="402"/>
        <v>0</v>
      </c>
      <c r="AN325" s="65"/>
      <c r="AO325" s="112"/>
      <c r="AP325" s="204"/>
      <c r="AQ325" s="109">
        <f>IFERROR((O325+AH325+AM325)/Dashboard!$D$15,0)*0.2</f>
        <v>7.6652892561983466</v>
      </c>
      <c r="AR325" s="84">
        <f t="shared" si="403"/>
        <v>0</v>
      </c>
      <c r="AS325" s="65"/>
      <c r="AT325" s="112"/>
      <c r="AU325" s="203">
        <v>0.33</v>
      </c>
      <c r="AV325" s="109">
        <f t="shared" si="389"/>
        <v>7420</v>
      </c>
      <c r="AW325" s="84">
        <f t="shared" si="404"/>
        <v>0</v>
      </c>
      <c r="AX325" s="65"/>
      <c r="AY325" s="112"/>
      <c r="AZ325" s="203">
        <v>0.25</v>
      </c>
      <c r="BA325" s="109">
        <f t="shared" si="405"/>
        <v>7420</v>
      </c>
      <c r="BB325" s="84">
        <f t="shared" si="406"/>
        <v>0</v>
      </c>
      <c r="BC325" s="65"/>
      <c r="BD325" s="112"/>
      <c r="BE325" s="203">
        <v>0.26</v>
      </c>
      <c r="BF325" s="109">
        <f t="shared" si="392"/>
        <v>7420</v>
      </c>
      <c r="BG325" s="84">
        <f t="shared" si="407"/>
        <v>0</v>
      </c>
      <c r="BH325" s="197"/>
      <c r="BI325" s="518"/>
      <c r="BJ325" s="65"/>
      <c r="BK325" s="81">
        <f t="shared" si="408"/>
        <v>0</v>
      </c>
      <c r="BL325" s="65"/>
      <c r="BM325" s="204"/>
      <c r="BN325" s="156">
        <f>IF(B325&lt;&gt;"",_xlfn.XLOOKUP(B325,'Cronog. e Histog.'!B:B,'Cronog. e Histog.'!EK:EK),0)</f>
        <v>0</v>
      </c>
      <c r="BO325" s="109">
        <f>($O325/Dashboard!$D$15)*(1+Dashboard!$D$19)</f>
        <v>57.489669421487598</v>
      </c>
      <c r="BP325" s="84">
        <f t="shared" si="409"/>
        <v>0</v>
      </c>
      <c r="BQ325" s="65"/>
      <c r="BR325" s="204"/>
      <c r="BS325" s="156">
        <f>IF(B325&lt;&gt;"",_xlfn.XLOOKUP(B325,'Cronog. e Histog.'!B:B,'Cronog. e Histog.'!EL:EL),0)</f>
        <v>0</v>
      </c>
      <c r="BT325" s="109">
        <f>($O325/Dashboard!$D$15)*(1+Dashboard!$D$20)</f>
        <v>67.071280991735534</v>
      </c>
      <c r="BU325" s="84">
        <f t="shared" si="410"/>
        <v>0</v>
      </c>
      <c r="BV325" s="65"/>
      <c r="BW325" s="204"/>
      <c r="BX325" s="156">
        <f>IF(B325&lt;&gt;"",_xlfn.XLOOKUP(B325,'Cronog. e Histog.'!B:B,'Cronog. e Histog.'!EM:EM),0)</f>
        <v>0</v>
      </c>
      <c r="BY325" s="109">
        <f>($O325/Dashboard!$D$15)*(1+Dashboard!$D$21)</f>
        <v>76.652892561983464</v>
      </c>
      <c r="BZ325" s="84">
        <f t="shared" si="411"/>
        <v>0</v>
      </c>
    </row>
    <row r="326" spans="2:78" ht="12" customHeight="1" outlineLevel="1">
      <c r="B326" s="137" t="str">
        <f>'Cronog. e Histog.'!B463</f>
        <v>AN PL. ADM/CRP - Equipe_01</v>
      </c>
      <c r="C326" s="65"/>
      <c r="D326" s="200">
        <f t="shared" si="377"/>
        <v>0</v>
      </c>
      <c r="E326" s="200">
        <f t="shared" si="378"/>
        <v>0</v>
      </c>
      <c r="F326" s="65"/>
      <c r="G326" s="200">
        <f t="shared" si="379"/>
        <v>0</v>
      </c>
      <c r="H326" s="200">
        <f t="shared" si="380"/>
        <v>0</v>
      </c>
      <c r="I326" s="65"/>
      <c r="J326" s="143" t="str">
        <f>IF('Cronog. e Histog.'!G463&gt;0,'Cronog. e Histog.'!G463,"")</f>
        <v>AN PL. ADM/CRP</v>
      </c>
      <c r="K326" s="65"/>
      <c r="L326" s="144">
        <f>'Cronog. e Histog.'!BT463</f>
        <v>0</v>
      </c>
      <c r="M326" s="144">
        <f>'Cronog. e Histog.'!BU463</f>
        <v>0</v>
      </c>
      <c r="N326" s="65"/>
      <c r="O326" s="109">
        <f>_xlfn.XLOOKUP(B326,Salários!B:B,Salários!K:K)</f>
        <v>5300</v>
      </c>
      <c r="P326" s="109">
        <f t="shared" si="395"/>
        <v>0</v>
      </c>
      <c r="Q326" s="109">
        <f t="shared" si="396"/>
        <v>0</v>
      </c>
      <c r="R326" s="65"/>
      <c r="S326" s="109">
        <f t="shared" si="397"/>
        <v>5300</v>
      </c>
      <c r="T326" s="201" t="str">
        <f>IF(_xlfn.XLOOKUP(B326,Salários!B:B,Salários!I:I)&gt;0,_xlfn.XLOOKUP(B326,Salários!B:B,Salários!I:I),"")</f>
        <v>Mensalista</v>
      </c>
      <c r="U326" s="117">
        <f t="shared" si="398"/>
        <v>0</v>
      </c>
      <c r="V326" s="65"/>
      <c r="W326" s="202"/>
      <c r="X326" s="65"/>
      <c r="Y326" s="69"/>
      <c r="Z326" s="65"/>
      <c r="AA326" s="518"/>
      <c r="AB326" s="65"/>
      <c r="AC326" s="81">
        <f t="shared" si="399"/>
        <v>0</v>
      </c>
      <c r="AD326" s="65"/>
      <c r="AE326" s="112"/>
      <c r="AF326" s="203">
        <v>0.3</v>
      </c>
      <c r="AG326" s="109">
        <f t="shared" si="400"/>
        <v>5300</v>
      </c>
      <c r="AH326" s="84">
        <f t="shared" si="401"/>
        <v>0</v>
      </c>
      <c r="AI326" s="65"/>
      <c r="AJ326" s="112"/>
      <c r="AK326" s="122"/>
      <c r="AL326" s="109">
        <v>1212</v>
      </c>
      <c r="AM326" s="84">
        <f t="shared" si="402"/>
        <v>0</v>
      </c>
      <c r="AN326" s="65"/>
      <c r="AO326" s="112"/>
      <c r="AP326" s="204"/>
      <c r="AQ326" s="109">
        <f>IFERROR((O326+AH326+AM326)/Dashboard!$D$15,0)*0.2</f>
        <v>5.4752066115702478</v>
      </c>
      <c r="AR326" s="84">
        <f t="shared" si="403"/>
        <v>0</v>
      </c>
      <c r="AS326" s="65"/>
      <c r="AT326" s="112"/>
      <c r="AU326" s="203">
        <v>0.33</v>
      </c>
      <c r="AV326" s="109">
        <f t="shared" si="389"/>
        <v>5300</v>
      </c>
      <c r="AW326" s="84">
        <f t="shared" si="404"/>
        <v>0</v>
      </c>
      <c r="AX326" s="65"/>
      <c r="AY326" s="112"/>
      <c r="AZ326" s="203">
        <v>0.25</v>
      </c>
      <c r="BA326" s="109">
        <f t="shared" si="405"/>
        <v>5300</v>
      </c>
      <c r="BB326" s="84">
        <f t="shared" si="406"/>
        <v>0</v>
      </c>
      <c r="BC326" s="65"/>
      <c r="BD326" s="112"/>
      <c r="BE326" s="203">
        <v>0.26</v>
      </c>
      <c r="BF326" s="109">
        <f t="shared" si="392"/>
        <v>5300</v>
      </c>
      <c r="BG326" s="84">
        <f t="shared" si="407"/>
        <v>0</v>
      </c>
      <c r="BH326" s="197"/>
      <c r="BI326" s="518"/>
      <c r="BJ326" s="65"/>
      <c r="BK326" s="81">
        <f t="shared" si="408"/>
        <v>0</v>
      </c>
      <c r="BL326" s="65"/>
      <c r="BM326" s="204"/>
      <c r="BN326" s="156">
        <f>IF(B326&lt;&gt;"",_xlfn.XLOOKUP(B326,'Cronog. e Histog.'!B:B,'Cronog. e Histog.'!EK:EK),0)</f>
        <v>0</v>
      </c>
      <c r="BO326" s="109">
        <f>($O326/Dashboard!$D$15)*(1+Dashboard!$D$19)</f>
        <v>41.064049586776861</v>
      </c>
      <c r="BP326" s="84">
        <f t="shared" si="409"/>
        <v>0</v>
      </c>
      <c r="BQ326" s="65"/>
      <c r="BR326" s="204"/>
      <c r="BS326" s="156">
        <f>IF(B326&lt;&gt;"",_xlfn.XLOOKUP(B326,'Cronog. e Histog.'!B:B,'Cronog. e Histog.'!EL:EL),0)</f>
        <v>0</v>
      </c>
      <c r="BT326" s="109">
        <f>($O326/Dashboard!$D$15)*(1+Dashboard!$D$20)</f>
        <v>47.908057851239668</v>
      </c>
      <c r="BU326" s="84">
        <f t="shared" si="410"/>
        <v>0</v>
      </c>
      <c r="BV326" s="65"/>
      <c r="BW326" s="204"/>
      <c r="BX326" s="156">
        <f>IF(B326&lt;&gt;"",_xlfn.XLOOKUP(B326,'Cronog. e Histog.'!B:B,'Cronog. e Histog.'!EM:EM),0)</f>
        <v>0</v>
      </c>
      <c r="BY326" s="109">
        <f>($O326/Dashboard!$D$15)*(1+Dashboard!$D$21)</f>
        <v>54.752066115702476</v>
      </c>
      <c r="BZ326" s="84">
        <f t="shared" si="411"/>
        <v>0</v>
      </c>
    </row>
    <row r="327" spans="2:78" ht="12" customHeight="1" outlineLevel="1">
      <c r="B327" s="137" t="str">
        <f>'Cronog. e Histog.'!B464</f>
        <v>AN JR. ADM/CRP - Equipe_01</v>
      </c>
      <c r="C327" s="65"/>
      <c r="D327" s="200">
        <f t="shared" si="377"/>
        <v>0</v>
      </c>
      <c r="E327" s="200">
        <f t="shared" si="378"/>
        <v>0</v>
      </c>
      <c r="F327" s="65"/>
      <c r="G327" s="200">
        <f t="shared" si="379"/>
        <v>0</v>
      </c>
      <c r="H327" s="200">
        <f t="shared" si="380"/>
        <v>0</v>
      </c>
      <c r="I327" s="65"/>
      <c r="J327" s="143" t="str">
        <f>IF('Cronog. e Histog.'!G464&gt;0,'Cronog. e Histog.'!G464,"")</f>
        <v>AN JR. ADM/CRP</v>
      </c>
      <c r="K327" s="65"/>
      <c r="L327" s="144">
        <f>'Cronog. e Histog.'!BT464</f>
        <v>0</v>
      </c>
      <c r="M327" s="144">
        <f>'Cronog. e Histog.'!BU464</f>
        <v>0</v>
      </c>
      <c r="N327" s="65"/>
      <c r="O327" s="109">
        <f>_xlfn.XLOOKUP(B327,Salários!B:B,Salários!K:K)</f>
        <v>3710</v>
      </c>
      <c r="P327" s="109">
        <f t="shared" si="395"/>
        <v>0</v>
      </c>
      <c r="Q327" s="109">
        <f t="shared" si="396"/>
        <v>0</v>
      </c>
      <c r="R327" s="65"/>
      <c r="S327" s="109">
        <f t="shared" si="397"/>
        <v>3710</v>
      </c>
      <c r="T327" s="201" t="str">
        <f>IF(_xlfn.XLOOKUP(B327,Salários!B:B,Salários!I:I)&gt;0,_xlfn.XLOOKUP(B327,Salários!B:B,Salários!I:I),"")</f>
        <v>Mensalista</v>
      </c>
      <c r="U327" s="117">
        <f t="shared" si="384"/>
        <v>0</v>
      </c>
      <c r="V327" s="65"/>
      <c r="W327" s="202"/>
      <c r="X327" s="65"/>
      <c r="Y327" s="69"/>
      <c r="Z327" s="65"/>
      <c r="AA327" s="518"/>
      <c r="AB327" s="65"/>
      <c r="AC327" s="81">
        <f t="shared" si="385"/>
        <v>0</v>
      </c>
      <c r="AD327" s="65"/>
      <c r="AE327" s="112"/>
      <c r="AF327" s="203">
        <v>0.3</v>
      </c>
      <c r="AG327" s="109">
        <f t="shared" si="44"/>
        <v>3710</v>
      </c>
      <c r="AH327" s="84">
        <f t="shared" si="386"/>
        <v>0</v>
      </c>
      <c r="AI327" s="65"/>
      <c r="AJ327" s="112"/>
      <c r="AK327" s="122"/>
      <c r="AL327" s="109">
        <v>1212</v>
      </c>
      <c r="AM327" s="84">
        <f t="shared" si="387"/>
        <v>0</v>
      </c>
      <c r="AN327" s="65"/>
      <c r="AO327" s="112"/>
      <c r="AP327" s="204"/>
      <c r="AQ327" s="109">
        <f>IFERROR((O327+AH327+AM327)/Dashboard!$D$15,0)*0.2</f>
        <v>3.8326446280991733</v>
      </c>
      <c r="AR327" s="84">
        <f t="shared" si="388"/>
        <v>0</v>
      </c>
      <c r="AS327" s="65"/>
      <c r="AT327" s="112"/>
      <c r="AU327" s="203">
        <v>0.33</v>
      </c>
      <c r="AV327" s="109">
        <f t="shared" si="389"/>
        <v>3710</v>
      </c>
      <c r="AW327" s="84">
        <f t="shared" si="390"/>
        <v>0</v>
      </c>
      <c r="AX327" s="65"/>
      <c r="AY327" s="112"/>
      <c r="AZ327" s="203">
        <v>0.25</v>
      </c>
      <c r="BA327" s="109">
        <f t="shared" si="50"/>
        <v>3710</v>
      </c>
      <c r="BB327" s="84">
        <f t="shared" si="391"/>
        <v>0</v>
      </c>
      <c r="BC327" s="65"/>
      <c r="BD327" s="112"/>
      <c r="BE327" s="203">
        <v>0.26</v>
      </c>
      <c r="BF327" s="109">
        <f t="shared" si="392"/>
        <v>3710</v>
      </c>
      <c r="BG327" s="84">
        <f t="shared" si="393"/>
        <v>0</v>
      </c>
      <c r="BH327" s="197"/>
      <c r="BI327" s="518"/>
      <c r="BJ327" s="65"/>
      <c r="BK327" s="81">
        <f t="shared" si="394"/>
        <v>0</v>
      </c>
      <c r="BL327" s="65"/>
      <c r="BM327" s="204"/>
      <c r="BN327" s="156">
        <f>IF(B327&lt;&gt;"",_xlfn.XLOOKUP(B327,'Cronog. e Histog.'!B:B,'Cronog. e Histog.'!EK:EK),0)</f>
        <v>0</v>
      </c>
      <c r="BO327" s="109">
        <f>($O327/Dashboard!$D$15)*(1+Dashboard!$D$19)</f>
        <v>28.744834710743799</v>
      </c>
      <c r="BP327" s="84">
        <f t="shared" si="409"/>
        <v>0</v>
      </c>
      <c r="BQ327" s="65"/>
      <c r="BR327" s="204"/>
      <c r="BS327" s="156">
        <f>IF(B327&lt;&gt;"",_xlfn.XLOOKUP(B327,'Cronog. e Histog.'!B:B,'Cronog. e Histog.'!EL:EL),0)</f>
        <v>0</v>
      </c>
      <c r="BT327" s="109">
        <f>($O327/Dashboard!$D$15)*(1+Dashboard!$D$20)</f>
        <v>33.535640495867767</v>
      </c>
      <c r="BU327" s="84">
        <f t="shared" si="410"/>
        <v>0</v>
      </c>
      <c r="BV327" s="65"/>
      <c r="BW327" s="204"/>
      <c r="BX327" s="156">
        <f>IF(B327&lt;&gt;"",_xlfn.XLOOKUP(B327,'Cronog. e Histog.'!B:B,'Cronog. e Histog.'!EM:EM),0)</f>
        <v>0</v>
      </c>
      <c r="BY327" s="109">
        <f>($O327/Dashboard!$D$15)*(1+Dashboard!$D$21)</f>
        <v>38.326446280991732</v>
      </c>
      <c r="BZ327" s="84">
        <f t="shared" si="411"/>
        <v>0</v>
      </c>
    </row>
    <row r="328" spans="2:78" ht="12" customHeight="1" outlineLevel="1">
      <c r="B328" s="137" t="str">
        <f>'Cronog. e Histog.'!B465</f>
        <v>TEC III - Equipe_01</v>
      </c>
      <c r="C328" s="65"/>
      <c r="D328" s="200">
        <f t="shared" si="377"/>
        <v>0</v>
      </c>
      <c r="E328" s="200">
        <f t="shared" si="378"/>
        <v>0</v>
      </c>
      <c r="F328" s="65"/>
      <c r="G328" s="200">
        <f t="shared" si="379"/>
        <v>0</v>
      </c>
      <c r="H328" s="200">
        <f t="shared" si="380"/>
        <v>0</v>
      </c>
      <c r="I328" s="65"/>
      <c r="J328" s="143" t="str">
        <f>IF('Cronog. e Histog.'!G465&gt;0,'Cronog. e Histog.'!G465,"")</f>
        <v>TEC III</v>
      </c>
      <c r="K328" s="65"/>
      <c r="L328" s="144">
        <f>'Cronog. e Histog.'!BT465</f>
        <v>0</v>
      </c>
      <c r="M328" s="144">
        <f>'Cronog. e Histog.'!BU465</f>
        <v>0</v>
      </c>
      <c r="N328" s="65"/>
      <c r="O328" s="109">
        <f>_xlfn.XLOOKUP(B328,Salários!B:B,Salários!K:K)</f>
        <v>6360</v>
      </c>
      <c r="P328" s="109">
        <f t="shared" si="395"/>
        <v>0</v>
      </c>
      <c r="Q328" s="109">
        <f t="shared" si="396"/>
        <v>0</v>
      </c>
      <c r="R328" s="65"/>
      <c r="S328" s="109">
        <f t="shared" si="397"/>
        <v>6360</v>
      </c>
      <c r="T328" s="201" t="str">
        <f>IF(_xlfn.XLOOKUP(B328,Salários!B:B,Salários!I:I)&gt;0,_xlfn.XLOOKUP(B328,Salários!B:B,Salários!I:I),"")</f>
        <v>Mensalista</v>
      </c>
      <c r="U328" s="117">
        <f t="shared" si="384"/>
        <v>0</v>
      </c>
      <c r="V328" s="65"/>
      <c r="W328" s="202"/>
      <c r="X328" s="65"/>
      <c r="Y328" s="69"/>
      <c r="Z328" s="65"/>
      <c r="AA328" s="518"/>
      <c r="AB328" s="65"/>
      <c r="AC328" s="81">
        <f t="shared" si="385"/>
        <v>0</v>
      </c>
      <c r="AD328" s="65"/>
      <c r="AE328" s="112"/>
      <c r="AF328" s="203">
        <v>0.3</v>
      </c>
      <c r="AG328" s="109">
        <f t="shared" si="44"/>
        <v>6360</v>
      </c>
      <c r="AH328" s="84">
        <f t="shared" si="386"/>
        <v>0</v>
      </c>
      <c r="AI328" s="65"/>
      <c r="AJ328" s="112"/>
      <c r="AK328" s="122"/>
      <c r="AL328" s="109">
        <v>1212</v>
      </c>
      <c r="AM328" s="84">
        <f t="shared" si="387"/>
        <v>0</v>
      </c>
      <c r="AN328" s="65"/>
      <c r="AO328" s="112"/>
      <c r="AP328" s="204"/>
      <c r="AQ328" s="109">
        <f>IFERROR((O328+AH328+AM328)/Dashboard!$D$15,0)*0.2</f>
        <v>6.5702479338842963</v>
      </c>
      <c r="AR328" s="84">
        <f t="shared" si="388"/>
        <v>0</v>
      </c>
      <c r="AS328" s="65"/>
      <c r="AT328" s="112"/>
      <c r="AU328" s="203">
        <v>0.33</v>
      </c>
      <c r="AV328" s="109">
        <f t="shared" si="389"/>
        <v>6360</v>
      </c>
      <c r="AW328" s="84">
        <f t="shared" si="390"/>
        <v>0</v>
      </c>
      <c r="AX328" s="65"/>
      <c r="AY328" s="112"/>
      <c r="AZ328" s="203">
        <v>0.25</v>
      </c>
      <c r="BA328" s="109">
        <f t="shared" si="50"/>
        <v>6360</v>
      </c>
      <c r="BB328" s="84">
        <f t="shared" si="391"/>
        <v>0</v>
      </c>
      <c r="BC328" s="65"/>
      <c r="BD328" s="112"/>
      <c r="BE328" s="203">
        <v>0.26</v>
      </c>
      <c r="BF328" s="109">
        <f t="shared" si="392"/>
        <v>6360</v>
      </c>
      <c r="BG328" s="84">
        <f t="shared" si="393"/>
        <v>0</v>
      </c>
      <c r="BH328" s="197"/>
      <c r="BI328" s="518"/>
      <c r="BJ328" s="65"/>
      <c r="BK328" s="81">
        <f t="shared" si="394"/>
        <v>0</v>
      </c>
      <c r="BL328" s="65"/>
      <c r="BM328" s="204"/>
      <c r="BN328" s="156">
        <f>IF(B328&lt;&gt;"",_xlfn.XLOOKUP(B328,'Cronog. e Histog.'!B:B,'Cronog. e Histog.'!EK:EK),0)</f>
        <v>0</v>
      </c>
      <c r="BO328" s="109">
        <f>($O328/Dashboard!$D$15)*(1+Dashboard!$D$19)</f>
        <v>49.276859504132219</v>
      </c>
      <c r="BP328" s="84">
        <f t="shared" si="409"/>
        <v>0</v>
      </c>
      <c r="BQ328" s="65"/>
      <c r="BR328" s="204"/>
      <c r="BS328" s="156">
        <f>IF(B328&lt;&gt;"",_xlfn.XLOOKUP(B328,'Cronog. e Histog.'!B:B,'Cronog. e Histog.'!EL:EL),0)</f>
        <v>0</v>
      </c>
      <c r="BT328" s="109">
        <f>($O328/Dashboard!$D$15)*(1+Dashboard!$D$20)</f>
        <v>57.489669421487591</v>
      </c>
      <c r="BU328" s="84">
        <f t="shared" si="410"/>
        <v>0</v>
      </c>
      <c r="BV328" s="65"/>
      <c r="BW328" s="204"/>
      <c r="BX328" s="156">
        <f>IF(B328&lt;&gt;"",_xlfn.XLOOKUP(B328,'Cronog. e Histog.'!B:B,'Cronog. e Histog.'!EM:EM),0)</f>
        <v>0</v>
      </c>
      <c r="BY328" s="109">
        <f>($O328/Dashboard!$D$15)*(1+Dashboard!$D$21)</f>
        <v>65.702479338842963</v>
      </c>
      <c r="BZ328" s="84">
        <f t="shared" si="411"/>
        <v>0</v>
      </c>
    </row>
    <row r="329" spans="2:78" ht="12" customHeight="1" outlineLevel="1">
      <c r="B329" s="137" t="str">
        <f>'Cronog. e Histog.'!B466</f>
        <v>TEC II - Equipe_01</v>
      </c>
      <c r="C329" s="65"/>
      <c r="D329" s="200">
        <f t="shared" si="377"/>
        <v>0</v>
      </c>
      <c r="E329" s="200">
        <f t="shared" si="378"/>
        <v>0</v>
      </c>
      <c r="F329" s="65"/>
      <c r="G329" s="200">
        <f t="shared" si="379"/>
        <v>0</v>
      </c>
      <c r="H329" s="200">
        <f t="shared" si="380"/>
        <v>0</v>
      </c>
      <c r="I329" s="65"/>
      <c r="J329" s="143" t="str">
        <f>IF('Cronog. e Histog.'!G466&gt;0,'Cronog. e Histog.'!G466,"")</f>
        <v>TEC II</v>
      </c>
      <c r="K329" s="65"/>
      <c r="L329" s="144">
        <f>'Cronog. e Histog.'!BT466</f>
        <v>0</v>
      </c>
      <c r="M329" s="144">
        <f>'Cronog. e Histog.'!BU466</f>
        <v>0</v>
      </c>
      <c r="N329" s="65"/>
      <c r="O329" s="109">
        <f>_xlfn.XLOOKUP(B329,Salários!B:B,Salários!K:K)</f>
        <v>4770</v>
      </c>
      <c r="P329" s="109">
        <f t="shared" si="395"/>
        <v>0</v>
      </c>
      <c r="Q329" s="109">
        <f t="shared" si="396"/>
        <v>0</v>
      </c>
      <c r="R329" s="65"/>
      <c r="S329" s="109">
        <f t="shared" si="397"/>
        <v>4770</v>
      </c>
      <c r="T329" s="201" t="str">
        <f>IF(_xlfn.XLOOKUP(B329,Salários!B:B,Salários!I:I)&gt;0,_xlfn.XLOOKUP(B329,Salários!B:B,Salários!I:I),"")</f>
        <v>Mensalista</v>
      </c>
      <c r="U329" s="117">
        <f t="shared" si="384"/>
        <v>0</v>
      </c>
      <c r="V329" s="65"/>
      <c r="W329" s="202"/>
      <c r="X329" s="65"/>
      <c r="Y329" s="69"/>
      <c r="Z329" s="65"/>
      <c r="AA329" s="518"/>
      <c r="AB329" s="65"/>
      <c r="AC329" s="81">
        <f t="shared" si="385"/>
        <v>0</v>
      </c>
      <c r="AD329" s="65"/>
      <c r="AE329" s="112"/>
      <c r="AF329" s="203">
        <v>0.3</v>
      </c>
      <c r="AG329" s="109">
        <f t="shared" si="44"/>
        <v>4770</v>
      </c>
      <c r="AH329" s="84">
        <f t="shared" si="386"/>
        <v>0</v>
      </c>
      <c r="AI329" s="65"/>
      <c r="AJ329" s="112"/>
      <c r="AK329" s="122"/>
      <c r="AL329" s="109">
        <v>1212</v>
      </c>
      <c r="AM329" s="84">
        <f t="shared" si="387"/>
        <v>0</v>
      </c>
      <c r="AN329" s="65"/>
      <c r="AO329" s="112"/>
      <c r="AP329" s="204"/>
      <c r="AQ329" s="109">
        <f>IFERROR((O329+AH329+AM329)/Dashboard!$D$15,0)*0.2</f>
        <v>4.9276859504132231</v>
      </c>
      <c r="AR329" s="84">
        <f t="shared" si="388"/>
        <v>0</v>
      </c>
      <c r="AS329" s="65"/>
      <c r="AT329" s="112"/>
      <c r="AU329" s="203">
        <v>0.33</v>
      </c>
      <c r="AV329" s="109">
        <f t="shared" si="389"/>
        <v>4770</v>
      </c>
      <c r="AW329" s="84">
        <f t="shared" si="390"/>
        <v>0</v>
      </c>
      <c r="AX329" s="65"/>
      <c r="AY329" s="112"/>
      <c r="AZ329" s="203">
        <v>0.25</v>
      </c>
      <c r="BA329" s="109">
        <f t="shared" si="50"/>
        <v>4770</v>
      </c>
      <c r="BB329" s="84">
        <f t="shared" si="391"/>
        <v>0</v>
      </c>
      <c r="BC329" s="65"/>
      <c r="BD329" s="112"/>
      <c r="BE329" s="203">
        <v>0.26</v>
      </c>
      <c r="BF329" s="109">
        <f t="shared" si="392"/>
        <v>4770</v>
      </c>
      <c r="BG329" s="84">
        <f t="shared" si="393"/>
        <v>0</v>
      </c>
      <c r="BH329" s="197"/>
      <c r="BI329" s="518"/>
      <c r="BJ329" s="65"/>
      <c r="BK329" s="81">
        <f t="shared" si="394"/>
        <v>0</v>
      </c>
      <c r="BL329" s="65"/>
      <c r="BM329" s="204"/>
      <c r="BN329" s="156">
        <f>IF(B329&lt;&gt;"",_xlfn.XLOOKUP(B329,'Cronog. e Histog.'!B:B,'Cronog. e Histog.'!EK:EK),0)</f>
        <v>0</v>
      </c>
      <c r="BO329" s="109">
        <f>($O329/Dashboard!$D$15)*(1+Dashboard!$D$19)</f>
        <v>36.957644628099168</v>
      </c>
      <c r="BP329" s="84">
        <f t="shared" si="409"/>
        <v>0</v>
      </c>
      <c r="BQ329" s="65"/>
      <c r="BR329" s="204"/>
      <c r="BS329" s="156">
        <f>IF(B329&lt;&gt;"",_xlfn.XLOOKUP(B329,'Cronog. e Histog.'!B:B,'Cronog. e Histog.'!EL:EL),0)</f>
        <v>0</v>
      </c>
      <c r="BT329" s="109">
        <f>($O329/Dashboard!$D$15)*(1+Dashboard!$D$20)</f>
        <v>43.117252066115697</v>
      </c>
      <c r="BU329" s="84">
        <f t="shared" si="410"/>
        <v>0</v>
      </c>
      <c r="BV329" s="65"/>
      <c r="BW329" s="204"/>
      <c r="BX329" s="156">
        <f>IF(B329&lt;&gt;"",_xlfn.XLOOKUP(B329,'Cronog. e Histog.'!B:B,'Cronog. e Histog.'!EM:EM),0)</f>
        <v>0</v>
      </c>
      <c r="BY329" s="109">
        <f>($O329/Dashboard!$D$15)*(1+Dashboard!$D$21)</f>
        <v>49.276859504132226</v>
      </c>
      <c r="BZ329" s="84">
        <f t="shared" si="411"/>
        <v>0</v>
      </c>
    </row>
    <row r="330" spans="2:78" ht="12" customHeight="1" outlineLevel="1">
      <c r="B330" s="137" t="str">
        <f>'Cronog. e Histog.'!B467</f>
        <v>TEC I - Equipe_01</v>
      </c>
      <c r="C330" s="65"/>
      <c r="D330" s="200">
        <f t="shared" si="377"/>
        <v>0</v>
      </c>
      <c r="E330" s="200">
        <f t="shared" si="378"/>
        <v>0</v>
      </c>
      <c r="F330" s="65"/>
      <c r="G330" s="200">
        <f t="shared" si="379"/>
        <v>0</v>
      </c>
      <c r="H330" s="200">
        <f t="shared" si="380"/>
        <v>0</v>
      </c>
      <c r="I330" s="65"/>
      <c r="J330" s="143" t="str">
        <f>IF('Cronog. e Histog.'!G467&gt;0,'Cronog. e Histog.'!G467,"")</f>
        <v>TEC I</v>
      </c>
      <c r="K330" s="65"/>
      <c r="L330" s="144">
        <f>'Cronog. e Histog.'!BT467</f>
        <v>0</v>
      </c>
      <c r="M330" s="144">
        <f>'Cronog. e Histog.'!BU467</f>
        <v>0</v>
      </c>
      <c r="N330" s="65"/>
      <c r="O330" s="109">
        <f>_xlfn.XLOOKUP(B330,Salários!B:B,Salários!K:K)</f>
        <v>3180</v>
      </c>
      <c r="P330" s="109">
        <f t="shared" si="395"/>
        <v>0</v>
      </c>
      <c r="Q330" s="109">
        <f t="shared" si="396"/>
        <v>0</v>
      </c>
      <c r="R330" s="65"/>
      <c r="S330" s="109">
        <f t="shared" si="397"/>
        <v>3180</v>
      </c>
      <c r="T330" s="201" t="str">
        <f>IF(_xlfn.XLOOKUP(B330,Salários!B:B,Salários!I:I)&gt;0,_xlfn.XLOOKUP(B330,Salários!B:B,Salários!I:I),"")</f>
        <v>Mensalista</v>
      </c>
      <c r="U330" s="117">
        <f t="shared" si="384"/>
        <v>0</v>
      </c>
      <c r="V330" s="65"/>
      <c r="W330" s="202"/>
      <c r="X330" s="65"/>
      <c r="Y330" s="69"/>
      <c r="Z330" s="65"/>
      <c r="AA330" s="518"/>
      <c r="AB330" s="65"/>
      <c r="AC330" s="81">
        <f t="shared" si="385"/>
        <v>0</v>
      </c>
      <c r="AD330" s="65"/>
      <c r="AE330" s="112"/>
      <c r="AF330" s="203">
        <v>0.3</v>
      </c>
      <c r="AG330" s="109">
        <f t="shared" si="44"/>
        <v>3180</v>
      </c>
      <c r="AH330" s="84">
        <f t="shared" si="386"/>
        <v>0</v>
      </c>
      <c r="AI330" s="65"/>
      <c r="AJ330" s="112"/>
      <c r="AK330" s="122"/>
      <c r="AL330" s="109">
        <v>1212</v>
      </c>
      <c r="AM330" s="84">
        <f t="shared" si="387"/>
        <v>0</v>
      </c>
      <c r="AN330" s="65"/>
      <c r="AO330" s="112"/>
      <c r="AP330" s="204"/>
      <c r="AQ330" s="109">
        <f>IFERROR((O330+AH330+AM330)/Dashboard!$D$15,0)*0.2</f>
        <v>3.2851239669421481</v>
      </c>
      <c r="AR330" s="84">
        <f t="shared" si="388"/>
        <v>0</v>
      </c>
      <c r="AS330" s="65"/>
      <c r="AT330" s="112"/>
      <c r="AU330" s="203">
        <v>0.33</v>
      </c>
      <c r="AV330" s="109">
        <f t="shared" si="389"/>
        <v>3180</v>
      </c>
      <c r="AW330" s="84">
        <f t="shared" si="390"/>
        <v>0</v>
      </c>
      <c r="AX330" s="65"/>
      <c r="AY330" s="112"/>
      <c r="AZ330" s="203">
        <v>0.25</v>
      </c>
      <c r="BA330" s="109">
        <f t="shared" si="50"/>
        <v>3180</v>
      </c>
      <c r="BB330" s="84">
        <f t="shared" si="391"/>
        <v>0</v>
      </c>
      <c r="BC330" s="65"/>
      <c r="BD330" s="112"/>
      <c r="BE330" s="203">
        <v>0.26</v>
      </c>
      <c r="BF330" s="109">
        <f t="shared" si="392"/>
        <v>3180</v>
      </c>
      <c r="BG330" s="84">
        <f t="shared" si="393"/>
        <v>0</v>
      </c>
      <c r="BH330" s="197"/>
      <c r="BI330" s="518"/>
      <c r="BJ330" s="65"/>
      <c r="BK330" s="81">
        <f t="shared" si="394"/>
        <v>0</v>
      </c>
      <c r="BL330" s="65"/>
      <c r="BM330" s="204"/>
      <c r="BN330" s="156">
        <f>IF(B330&lt;&gt;"",_xlfn.XLOOKUP(B330,'Cronog. e Histog.'!B:B,'Cronog. e Histog.'!EK:EK),0)</f>
        <v>0</v>
      </c>
      <c r="BO330" s="109">
        <f>($O330/Dashboard!$D$15)*(1+Dashboard!$D$19)</f>
        <v>24.638429752066109</v>
      </c>
      <c r="BP330" s="84">
        <f t="shared" si="409"/>
        <v>0</v>
      </c>
      <c r="BQ330" s="65"/>
      <c r="BR330" s="204"/>
      <c r="BS330" s="156">
        <f>IF(B330&lt;&gt;"",_xlfn.XLOOKUP(B330,'Cronog. e Histog.'!B:B,'Cronog. e Histog.'!EL:EL),0)</f>
        <v>0</v>
      </c>
      <c r="BT330" s="109">
        <f>($O330/Dashboard!$D$15)*(1+Dashboard!$D$20)</f>
        <v>28.744834710743795</v>
      </c>
      <c r="BU330" s="84">
        <f t="shared" si="410"/>
        <v>0</v>
      </c>
      <c r="BV330" s="65"/>
      <c r="BW330" s="204"/>
      <c r="BX330" s="156">
        <f>IF(B330&lt;&gt;"",_xlfn.XLOOKUP(B330,'Cronog. e Histog.'!B:B,'Cronog. e Histog.'!EM:EM),0)</f>
        <v>0</v>
      </c>
      <c r="BY330" s="109">
        <f>($O330/Dashboard!$D$15)*(1+Dashboard!$D$21)</f>
        <v>32.851239669421481</v>
      </c>
      <c r="BZ330" s="84">
        <f t="shared" si="411"/>
        <v>0</v>
      </c>
    </row>
    <row r="331" spans="2:78" ht="12" customHeight="1" outlineLevel="1">
      <c r="B331" s="137" t="str">
        <f>'Cronog. e Histog.'!B468</f>
        <v>AUX TEC - Equipe_01</v>
      </c>
      <c r="C331" s="65"/>
      <c r="D331" s="200">
        <f t="shared" si="377"/>
        <v>0</v>
      </c>
      <c r="E331" s="200">
        <f t="shared" si="378"/>
        <v>0</v>
      </c>
      <c r="F331" s="65"/>
      <c r="G331" s="200">
        <f t="shared" si="379"/>
        <v>0</v>
      </c>
      <c r="H331" s="200">
        <f t="shared" si="380"/>
        <v>0</v>
      </c>
      <c r="I331" s="65"/>
      <c r="J331" s="143" t="str">
        <f>IF('Cronog. e Histog.'!G468&gt;0,'Cronog. e Histog.'!G468,"")</f>
        <v>AUX TEC</v>
      </c>
      <c r="K331" s="65"/>
      <c r="L331" s="144">
        <f>'Cronog. e Histog.'!BT468</f>
        <v>0</v>
      </c>
      <c r="M331" s="144">
        <f>'Cronog. e Histog.'!BU468</f>
        <v>0</v>
      </c>
      <c r="N331" s="65"/>
      <c r="O331" s="109">
        <f>_xlfn.XLOOKUP(B331,Salários!B:B,Salários!K:K)</f>
        <v>3710</v>
      </c>
      <c r="P331" s="109">
        <f t="shared" si="395"/>
        <v>0</v>
      </c>
      <c r="Q331" s="109">
        <f t="shared" si="396"/>
        <v>0</v>
      </c>
      <c r="R331" s="65"/>
      <c r="S331" s="109">
        <f t="shared" si="397"/>
        <v>3710</v>
      </c>
      <c r="T331" s="201" t="str">
        <f>IF(_xlfn.XLOOKUP(B331,Salários!B:B,Salários!I:I)&gt;0,_xlfn.XLOOKUP(B331,Salários!B:B,Salários!I:I),"")</f>
        <v>Mensalista</v>
      </c>
      <c r="U331" s="117">
        <f t="shared" si="384"/>
        <v>0</v>
      </c>
      <c r="V331" s="65"/>
      <c r="W331" s="202"/>
      <c r="X331" s="65"/>
      <c r="Y331" s="69"/>
      <c r="Z331" s="65"/>
      <c r="AA331" s="518"/>
      <c r="AB331" s="65"/>
      <c r="AC331" s="81">
        <f t="shared" si="385"/>
        <v>0</v>
      </c>
      <c r="AD331" s="65"/>
      <c r="AE331" s="112"/>
      <c r="AF331" s="203">
        <v>0.3</v>
      </c>
      <c r="AG331" s="109">
        <f t="shared" si="44"/>
        <v>3710</v>
      </c>
      <c r="AH331" s="84">
        <f t="shared" si="386"/>
        <v>0</v>
      </c>
      <c r="AI331" s="65"/>
      <c r="AJ331" s="112"/>
      <c r="AK331" s="122"/>
      <c r="AL331" s="109">
        <v>1212</v>
      </c>
      <c r="AM331" s="84">
        <f t="shared" si="387"/>
        <v>0</v>
      </c>
      <c r="AN331" s="65"/>
      <c r="AO331" s="112"/>
      <c r="AP331" s="204"/>
      <c r="AQ331" s="109">
        <f>IFERROR((O331+AH331+AM331)/Dashboard!$D$15,0)*0.2</f>
        <v>3.8326446280991733</v>
      </c>
      <c r="AR331" s="84">
        <f t="shared" si="388"/>
        <v>0</v>
      </c>
      <c r="AS331" s="65"/>
      <c r="AT331" s="112"/>
      <c r="AU331" s="203">
        <v>0.33</v>
      </c>
      <c r="AV331" s="109">
        <f t="shared" si="389"/>
        <v>3710</v>
      </c>
      <c r="AW331" s="84">
        <f t="shared" si="390"/>
        <v>0</v>
      </c>
      <c r="AX331" s="65"/>
      <c r="AY331" s="112"/>
      <c r="AZ331" s="203">
        <v>0.25</v>
      </c>
      <c r="BA331" s="109">
        <f t="shared" si="50"/>
        <v>3710</v>
      </c>
      <c r="BB331" s="84">
        <f t="shared" si="391"/>
        <v>0</v>
      </c>
      <c r="BC331" s="65"/>
      <c r="BD331" s="112"/>
      <c r="BE331" s="203">
        <v>0.26</v>
      </c>
      <c r="BF331" s="109">
        <f t="shared" si="392"/>
        <v>3710</v>
      </c>
      <c r="BG331" s="84">
        <f t="shared" si="393"/>
        <v>0</v>
      </c>
      <c r="BH331" s="197"/>
      <c r="BI331" s="518"/>
      <c r="BJ331" s="65"/>
      <c r="BK331" s="81">
        <f t="shared" si="394"/>
        <v>0</v>
      </c>
      <c r="BL331" s="65"/>
      <c r="BM331" s="204"/>
      <c r="BN331" s="156">
        <f>IF(B331&lt;&gt;"",_xlfn.XLOOKUP(B331,'Cronog. e Histog.'!B:B,'Cronog. e Histog.'!EK:EK),0)</f>
        <v>0</v>
      </c>
      <c r="BO331" s="109">
        <f>($O331/Dashboard!$D$15)*(1+Dashboard!$D$19)</f>
        <v>28.744834710743799</v>
      </c>
      <c r="BP331" s="84">
        <f t="shared" si="409"/>
        <v>0</v>
      </c>
      <c r="BQ331" s="65"/>
      <c r="BR331" s="204"/>
      <c r="BS331" s="156">
        <f>IF(B331&lt;&gt;"",_xlfn.XLOOKUP(B331,'Cronog. e Histog.'!B:B,'Cronog. e Histog.'!EL:EL),0)</f>
        <v>0</v>
      </c>
      <c r="BT331" s="109">
        <f>($O331/Dashboard!$D$15)*(1+Dashboard!$D$20)</f>
        <v>33.535640495867767</v>
      </c>
      <c r="BU331" s="84">
        <f t="shared" si="410"/>
        <v>0</v>
      </c>
      <c r="BV331" s="65"/>
      <c r="BW331" s="204"/>
      <c r="BX331" s="156">
        <f>IF(B331&lt;&gt;"",_xlfn.XLOOKUP(B331,'Cronog. e Histog.'!B:B,'Cronog. e Histog.'!EM:EM),0)</f>
        <v>0</v>
      </c>
      <c r="BY331" s="109">
        <f>($O331/Dashboard!$D$15)*(1+Dashboard!$D$21)</f>
        <v>38.326446280991732</v>
      </c>
      <c r="BZ331" s="84">
        <f t="shared" si="411"/>
        <v>0</v>
      </c>
    </row>
    <row r="332" spans="2:78" ht="12" customHeight="1" outlineLevel="1">
      <c r="B332" s="137" t="str">
        <f>'Cronog. e Histog.'!B469</f>
        <v>AUX ADM - Equipe_01</v>
      </c>
      <c r="C332" s="65"/>
      <c r="D332" s="200">
        <f t="shared" si="377"/>
        <v>0</v>
      </c>
      <c r="E332" s="200">
        <f t="shared" si="378"/>
        <v>0</v>
      </c>
      <c r="F332" s="65"/>
      <c r="G332" s="200">
        <f t="shared" si="379"/>
        <v>0</v>
      </c>
      <c r="H332" s="200">
        <f t="shared" si="380"/>
        <v>0</v>
      </c>
      <c r="I332" s="65"/>
      <c r="J332" s="143" t="str">
        <f>IF('Cronog. e Histog.'!G469&gt;0,'Cronog. e Histog.'!G469,"")</f>
        <v>AUX ADM</v>
      </c>
      <c r="K332" s="65"/>
      <c r="L332" s="144">
        <f>'Cronog. e Histog.'!BT469</f>
        <v>0</v>
      </c>
      <c r="M332" s="144">
        <f>'Cronog. e Histog.'!BU469</f>
        <v>0</v>
      </c>
      <c r="N332" s="65"/>
      <c r="O332" s="109">
        <f>_xlfn.XLOOKUP(B332,Salários!B:B,Salários!K:K)</f>
        <v>1912.24</v>
      </c>
      <c r="P332" s="109">
        <f t="shared" si="395"/>
        <v>0</v>
      </c>
      <c r="Q332" s="109">
        <f t="shared" si="396"/>
        <v>0</v>
      </c>
      <c r="R332" s="65"/>
      <c r="S332" s="109">
        <f t="shared" si="397"/>
        <v>1912.24</v>
      </c>
      <c r="T332" s="201" t="str">
        <f>IF(_xlfn.XLOOKUP(B332,Salários!B:B,Salários!I:I)&gt;0,_xlfn.XLOOKUP(B332,Salários!B:B,Salários!I:I),"")</f>
        <v>Mensalista</v>
      </c>
      <c r="U332" s="117">
        <f t="shared" si="384"/>
        <v>0</v>
      </c>
      <c r="V332" s="65"/>
      <c r="W332" s="202"/>
      <c r="X332" s="65"/>
      <c r="Y332" s="69"/>
      <c r="Z332" s="65"/>
      <c r="AA332" s="518"/>
      <c r="AB332" s="65"/>
      <c r="AC332" s="81">
        <f t="shared" si="385"/>
        <v>0</v>
      </c>
      <c r="AD332" s="65"/>
      <c r="AE332" s="112"/>
      <c r="AF332" s="203">
        <v>0.3</v>
      </c>
      <c r="AG332" s="109">
        <f t="shared" si="44"/>
        <v>1912.24</v>
      </c>
      <c r="AH332" s="84">
        <f t="shared" si="386"/>
        <v>0</v>
      </c>
      <c r="AI332" s="65"/>
      <c r="AJ332" s="112"/>
      <c r="AK332" s="122"/>
      <c r="AL332" s="109">
        <v>1212</v>
      </c>
      <c r="AM332" s="84">
        <f t="shared" si="387"/>
        <v>0</v>
      </c>
      <c r="AN332" s="65"/>
      <c r="AO332" s="112"/>
      <c r="AP332" s="204"/>
      <c r="AQ332" s="109">
        <f>IFERROR((O332+AH332+AM332)/Dashboard!$D$15,0)*0.2</f>
        <v>1.9754545454545456</v>
      </c>
      <c r="AR332" s="84">
        <f t="shared" si="388"/>
        <v>0</v>
      </c>
      <c r="AS332" s="65"/>
      <c r="AT332" s="112"/>
      <c r="AU332" s="203">
        <v>0.33</v>
      </c>
      <c r="AV332" s="109">
        <f t="shared" si="389"/>
        <v>1912.24</v>
      </c>
      <c r="AW332" s="84">
        <f t="shared" si="390"/>
        <v>0</v>
      </c>
      <c r="AX332" s="65"/>
      <c r="AY332" s="112"/>
      <c r="AZ332" s="203">
        <v>0.25</v>
      </c>
      <c r="BA332" s="109">
        <f t="shared" si="50"/>
        <v>1912.24</v>
      </c>
      <c r="BB332" s="84">
        <f t="shared" si="391"/>
        <v>0</v>
      </c>
      <c r="BC332" s="65"/>
      <c r="BD332" s="112"/>
      <c r="BE332" s="203">
        <v>0.26</v>
      </c>
      <c r="BF332" s="109">
        <f t="shared" si="392"/>
        <v>1912.24</v>
      </c>
      <c r="BG332" s="84">
        <f t="shared" si="393"/>
        <v>0</v>
      </c>
      <c r="BH332" s="197"/>
      <c r="BI332" s="518"/>
      <c r="BJ332" s="65"/>
      <c r="BK332" s="81">
        <f t="shared" si="394"/>
        <v>0</v>
      </c>
      <c r="BL332" s="65"/>
      <c r="BM332" s="204"/>
      <c r="BN332" s="156">
        <f>IF(B332&lt;&gt;"",_xlfn.XLOOKUP(B332,'Cronog. e Histog.'!B:B,'Cronog. e Histog.'!EK:EK),0)</f>
        <v>0</v>
      </c>
      <c r="BO332" s="109">
        <f>($O332/Dashboard!$D$15)*(1+Dashboard!$D$19)</f>
        <v>14.815909090909091</v>
      </c>
      <c r="BP332" s="84">
        <f t="shared" si="409"/>
        <v>0</v>
      </c>
      <c r="BQ332" s="65"/>
      <c r="BR332" s="204"/>
      <c r="BS332" s="156">
        <f>IF(B332&lt;&gt;"",_xlfn.XLOOKUP(B332,'Cronog. e Histog.'!B:B,'Cronog. e Histog.'!EL:EL),0)</f>
        <v>0</v>
      </c>
      <c r="BT332" s="109">
        <f>($O332/Dashboard!$D$15)*(1+Dashboard!$D$20)</f>
        <v>17.285227272727273</v>
      </c>
      <c r="BU332" s="84">
        <f t="shared" si="410"/>
        <v>0</v>
      </c>
      <c r="BV332" s="65"/>
      <c r="BW332" s="204"/>
      <c r="BX332" s="156">
        <f>IF(B332&lt;&gt;"",_xlfn.XLOOKUP(B332,'Cronog. e Histog.'!B:B,'Cronog. e Histog.'!EM:EM),0)</f>
        <v>0</v>
      </c>
      <c r="BY332" s="109">
        <f>($O332/Dashboard!$D$15)*(1+Dashboard!$D$21)</f>
        <v>19.754545454545454</v>
      </c>
      <c r="BZ332" s="84">
        <f t="shared" si="411"/>
        <v>0</v>
      </c>
    </row>
    <row r="333" spans="2:78" ht="12" customHeight="1" outlineLevel="1">
      <c r="B333" s="137" t="str">
        <f>'Cronog. e Histog.'!B470</f>
        <v>EST - Equipe_01</v>
      </c>
      <c r="C333" s="65"/>
      <c r="D333" s="200">
        <f t="shared" si="377"/>
        <v>0</v>
      </c>
      <c r="E333" s="200">
        <f t="shared" si="378"/>
        <v>0</v>
      </c>
      <c r="F333" s="65"/>
      <c r="G333" s="200">
        <f t="shared" si="379"/>
        <v>0</v>
      </c>
      <c r="H333" s="200">
        <f t="shared" si="380"/>
        <v>0</v>
      </c>
      <c r="I333" s="65"/>
      <c r="J333" s="143" t="str">
        <f>IF('Cronog. e Histog.'!G470&gt;0,'Cronog. e Histog.'!G470,"")</f>
        <v>EST</v>
      </c>
      <c r="K333" s="65"/>
      <c r="L333" s="144">
        <f>'Cronog. e Histog.'!BT470</f>
        <v>0</v>
      </c>
      <c r="M333" s="144">
        <f>'Cronog. e Histog.'!BU470</f>
        <v>0</v>
      </c>
      <c r="N333" s="65"/>
      <c r="O333" s="109">
        <f>_xlfn.XLOOKUP(B333,Salários!B:B,Salários!K:K)</f>
        <v>1633</v>
      </c>
      <c r="P333" s="109">
        <f t="shared" si="395"/>
        <v>0</v>
      </c>
      <c r="Q333" s="109">
        <f t="shared" si="396"/>
        <v>0</v>
      </c>
      <c r="R333" s="65"/>
      <c r="S333" s="109">
        <f t="shared" si="397"/>
        <v>1633</v>
      </c>
      <c r="T333" s="201" t="str">
        <f>IF(_xlfn.XLOOKUP(B333,Salários!B:B,Salários!I:I)&gt;0,_xlfn.XLOOKUP(B333,Salários!B:B,Salários!I:I),"")</f>
        <v>PJ</v>
      </c>
      <c r="U333" s="117">
        <f t="shared" si="384"/>
        <v>0</v>
      </c>
      <c r="V333" s="65"/>
      <c r="W333" s="202"/>
      <c r="X333" s="65"/>
      <c r="Y333" s="69"/>
      <c r="Z333" s="65"/>
      <c r="AA333" s="518"/>
      <c r="AB333" s="65"/>
      <c r="AC333" s="81">
        <f t="shared" si="385"/>
        <v>0</v>
      </c>
      <c r="AD333" s="65"/>
      <c r="AE333" s="112"/>
      <c r="AF333" s="203">
        <v>0.3</v>
      </c>
      <c r="AG333" s="109">
        <f t="shared" si="44"/>
        <v>1633</v>
      </c>
      <c r="AH333" s="84">
        <f t="shared" si="386"/>
        <v>0</v>
      </c>
      <c r="AI333" s="65"/>
      <c r="AJ333" s="112"/>
      <c r="AK333" s="122"/>
      <c r="AL333" s="109">
        <v>1212</v>
      </c>
      <c r="AM333" s="84">
        <f t="shared" si="387"/>
        <v>0</v>
      </c>
      <c r="AN333" s="65"/>
      <c r="AO333" s="112"/>
      <c r="AP333" s="204"/>
      <c r="AQ333" s="109">
        <f>IFERROR((O333+AH333+AM333)/Dashboard!$D$15,0)*0.2</f>
        <v>1.6869834710743801</v>
      </c>
      <c r="AR333" s="84">
        <f t="shared" si="388"/>
        <v>0</v>
      </c>
      <c r="AS333" s="65"/>
      <c r="AT333" s="112"/>
      <c r="AU333" s="203">
        <v>0.33</v>
      </c>
      <c r="AV333" s="109">
        <f t="shared" si="389"/>
        <v>1633</v>
      </c>
      <c r="AW333" s="84">
        <f t="shared" si="390"/>
        <v>0</v>
      </c>
      <c r="AX333" s="65"/>
      <c r="AY333" s="112"/>
      <c r="AZ333" s="203">
        <v>0.25</v>
      </c>
      <c r="BA333" s="109">
        <f t="shared" si="50"/>
        <v>1633</v>
      </c>
      <c r="BB333" s="84">
        <f t="shared" si="391"/>
        <v>0</v>
      </c>
      <c r="BC333" s="65"/>
      <c r="BD333" s="112"/>
      <c r="BE333" s="203">
        <v>0.26</v>
      </c>
      <c r="BF333" s="109">
        <f t="shared" si="392"/>
        <v>1633</v>
      </c>
      <c r="BG333" s="84">
        <f t="shared" si="393"/>
        <v>0</v>
      </c>
      <c r="BH333" s="197"/>
      <c r="BI333" s="518"/>
      <c r="BJ333" s="65"/>
      <c r="BK333" s="81">
        <f t="shared" si="394"/>
        <v>0</v>
      </c>
      <c r="BL333" s="65"/>
      <c r="BM333" s="204"/>
      <c r="BN333" s="156">
        <f>IF(B333&lt;&gt;"",_xlfn.XLOOKUP(B333,'Cronog. e Histog.'!B:B,'Cronog. e Histog.'!EK:EK),0)</f>
        <v>0</v>
      </c>
      <c r="BO333" s="109">
        <f>($O333/Dashboard!$D$15)*(1+Dashboard!$D$19)</f>
        <v>12.652376033057848</v>
      </c>
      <c r="BP333" s="84">
        <f t="shared" si="409"/>
        <v>0</v>
      </c>
      <c r="BQ333" s="65"/>
      <c r="BR333" s="204"/>
      <c r="BS333" s="156">
        <f>IF(B333&lt;&gt;"",_xlfn.XLOOKUP(B333,'Cronog. e Histog.'!B:B,'Cronog. e Histog.'!EL:EL),0)</f>
        <v>0</v>
      </c>
      <c r="BT333" s="109">
        <f>($O333/Dashboard!$D$15)*(1+Dashboard!$D$20)</f>
        <v>14.761105371900824</v>
      </c>
      <c r="BU333" s="84">
        <f t="shared" si="410"/>
        <v>0</v>
      </c>
      <c r="BV333" s="65"/>
      <c r="BW333" s="204"/>
      <c r="BX333" s="156">
        <f>IF(B333&lt;&gt;"",_xlfn.XLOOKUP(B333,'Cronog. e Histog.'!B:B,'Cronog. e Histog.'!EM:EM),0)</f>
        <v>0</v>
      </c>
      <c r="BY333" s="109">
        <f>($O333/Dashboard!$D$15)*(1+Dashboard!$D$21)</f>
        <v>16.869834710743799</v>
      </c>
      <c r="BZ333" s="84">
        <f t="shared" si="411"/>
        <v>0</v>
      </c>
    </row>
    <row r="334" spans="2:78" ht="12" customHeight="1" outlineLevel="1">
      <c r="B334" s="137" t="str">
        <f>'Cronog. e Histog.'!B471</f>
        <v>EST_II - Equipe_01</v>
      </c>
      <c r="C334" s="65"/>
      <c r="D334" s="200">
        <f t="shared" si="377"/>
        <v>0</v>
      </c>
      <c r="E334" s="200">
        <f t="shared" si="378"/>
        <v>0</v>
      </c>
      <c r="F334" s="65"/>
      <c r="G334" s="200">
        <f t="shared" si="379"/>
        <v>0</v>
      </c>
      <c r="H334" s="200">
        <f t="shared" si="380"/>
        <v>0</v>
      </c>
      <c r="I334" s="65"/>
      <c r="J334" s="143" t="str">
        <f>IF('Cronog. e Histog.'!G471&gt;0,'Cronog. e Histog.'!G471,"")</f>
        <v>EST_II</v>
      </c>
      <c r="K334" s="65"/>
      <c r="L334" s="144">
        <f>'Cronog. e Histog.'!BT471</f>
        <v>0</v>
      </c>
      <c r="M334" s="144">
        <f>'Cronog. e Histog.'!BU471</f>
        <v>0</v>
      </c>
      <c r="N334" s="65"/>
      <c r="O334" s="109">
        <f>_xlfn.XLOOKUP(B334,Salários!B:B,Salários!K:K)</f>
        <v>1633</v>
      </c>
      <c r="P334" s="109">
        <f t="shared" si="395"/>
        <v>0</v>
      </c>
      <c r="Q334" s="109">
        <f t="shared" si="396"/>
        <v>0</v>
      </c>
      <c r="R334" s="65"/>
      <c r="S334" s="109">
        <f t="shared" si="397"/>
        <v>1633</v>
      </c>
      <c r="T334" s="201" t="str">
        <f>IF(_xlfn.XLOOKUP(B334,Salários!B:B,Salários!I:I)&gt;0,_xlfn.XLOOKUP(B334,Salários!B:B,Salários!I:I),"")</f>
        <v>PJ</v>
      </c>
      <c r="U334" s="117">
        <f t="shared" si="384"/>
        <v>0</v>
      </c>
      <c r="V334" s="65"/>
      <c r="W334" s="202"/>
      <c r="X334" s="65"/>
      <c r="Y334" s="69"/>
      <c r="Z334" s="65"/>
      <c r="AA334" s="518"/>
      <c r="AB334" s="65"/>
      <c r="AC334" s="81">
        <f t="shared" si="385"/>
        <v>0</v>
      </c>
      <c r="AD334" s="65"/>
      <c r="AE334" s="112"/>
      <c r="AF334" s="203">
        <v>0.3</v>
      </c>
      <c r="AG334" s="109">
        <f t="shared" si="44"/>
        <v>1633</v>
      </c>
      <c r="AH334" s="84">
        <f t="shared" si="386"/>
        <v>0</v>
      </c>
      <c r="AI334" s="65"/>
      <c r="AJ334" s="112"/>
      <c r="AK334" s="122"/>
      <c r="AL334" s="109">
        <v>1212</v>
      </c>
      <c r="AM334" s="84">
        <f t="shared" si="387"/>
        <v>0</v>
      </c>
      <c r="AN334" s="65"/>
      <c r="AO334" s="112"/>
      <c r="AP334" s="204"/>
      <c r="AQ334" s="109">
        <f>IFERROR((O334+AH334+AM334)/Dashboard!$D$15,0)*0.2</f>
        <v>1.6869834710743801</v>
      </c>
      <c r="AR334" s="84">
        <f t="shared" si="388"/>
        <v>0</v>
      </c>
      <c r="AS334" s="65"/>
      <c r="AT334" s="112"/>
      <c r="AU334" s="203">
        <v>0.33</v>
      </c>
      <c r="AV334" s="109">
        <f t="shared" si="389"/>
        <v>1633</v>
      </c>
      <c r="AW334" s="84">
        <f t="shared" si="390"/>
        <v>0</v>
      </c>
      <c r="AX334" s="65"/>
      <c r="AY334" s="112"/>
      <c r="AZ334" s="203">
        <v>0.25</v>
      </c>
      <c r="BA334" s="109">
        <f t="shared" si="50"/>
        <v>1633</v>
      </c>
      <c r="BB334" s="84">
        <f t="shared" si="391"/>
        <v>0</v>
      </c>
      <c r="BC334" s="65"/>
      <c r="BD334" s="112"/>
      <c r="BE334" s="203">
        <v>0.26</v>
      </c>
      <c r="BF334" s="109">
        <f t="shared" si="392"/>
        <v>1633</v>
      </c>
      <c r="BG334" s="84">
        <f t="shared" si="393"/>
        <v>0</v>
      </c>
      <c r="BH334" s="197"/>
      <c r="BI334" s="518"/>
      <c r="BJ334" s="65"/>
      <c r="BK334" s="81">
        <f t="shared" si="394"/>
        <v>0</v>
      </c>
      <c r="BL334" s="65"/>
      <c r="BM334" s="204"/>
      <c r="BN334" s="156">
        <f>IF(B334&lt;&gt;"",_xlfn.XLOOKUP(B334,'Cronog. e Histog.'!B:B,'Cronog. e Histog.'!EK:EK),0)</f>
        <v>0</v>
      </c>
      <c r="BO334" s="109">
        <f>($O334/Dashboard!$D$15)*(1+Dashboard!$D$19)</f>
        <v>12.652376033057848</v>
      </c>
      <c r="BP334" s="84">
        <f t="shared" si="409"/>
        <v>0</v>
      </c>
      <c r="BQ334" s="65"/>
      <c r="BR334" s="204"/>
      <c r="BS334" s="156">
        <f>IF(B334&lt;&gt;"",_xlfn.XLOOKUP(B334,'Cronog. e Histog.'!B:B,'Cronog. e Histog.'!EL:EL),0)</f>
        <v>0</v>
      </c>
      <c r="BT334" s="109">
        <f>($O334/Dashboard!$D$15)*(1+Dashboard!$D$20)</f>
        <v>14.761105371900824</v>
      </c>
      <c r="BU334" s="84">
        <f t="shared" si="410"/>
        <v>0</v>
      </c>
      <c r="BV334" s="65"/>
      <c r="BW334" s="204"/>
      <c r="BX334" s="156">
        <f>IF(B334&lt;&gt;"",_xlfn.XLOOKUP(B334,'Cronog. e Histog.'!B:B,'Cronog. e Histog.'!EM:EM),0)</f>
        <v>0</v>
      </c>
      <c r="BY334" s="109">
        <f>($O334/Dashboard!$D$15)*(1+Dashboard!$D$21)</f>
        <v>16.869834710743799</v>
      </c>
      <c r="BZ334" s="84">
        <f t="shared" si="411"/>
        <v>0</v>
      </c>
    </row>
    <row r="335" spans="2:78" ht="12" customHeight="1" outlineLevel="1">
      <c r="B335" s="137" t="str">
        <f>'Cronog. e Histog.'!B472</f>
        <v>EST_III - Equipe_01</v>
      </c>
      <c r="C335" s="65"/>
      <c r="D335" s="200">
        <f t="shared" si="377"/>
        <v>0</v>
      </c>
      <c r="E335" s="200">
        <f t="shared" si="378"/>
        <v>0</v>
      </c>
      <c r="F335" s="65"/>
      <c r="G335" s="200">
        <f t="shared" si="379"/>
        <v>0</v>
      </c>
      <c r="H335" s="200">
        <f t="shared" si="380"/>
        <v>0</v>
      </c>
      <c r="I335" s="65"/>
      <c r="J335" s="143" t="str">
        <f>IF('Cronog. e Histog.'!G472&gt;0,'Cronog. e Histog.'!G472,"")</f>
        <v>EST_III</v>
      </c>
      <c r="K335" s="65"/>
      <c r="L335" s="144">
        <f>'Cronog. e Histog.'!BT472</f>
        <v>0</v>
      </c>
      <c r="M335" s="144">
        <f>'Cronog. e Histog.'!BU472</f>
        <v>0</v>
      </c>
      <c r="N335" s="65"/>
      <c r="O335" s="109">
        <f>_xlfn.XLOOKUP(B335,Salários!B:B,Salários!K:K)</f>
        <v>1633</v>
      </c>
      <c r="P335" s="109">
        <f t="shared" si="395"/>
        <v>0</v>
      </c>
      <c r="Q335" s="109">
        <f t="shared" si="396"/>
        <v>0</v>
      </c>
      <c r="R335" s="65"/>
      <c r="S335" s="109">
        <f t="shared" si="397"/>
        <v>1633</v>
      </c>
      <c r="T335" s="201" t="str">
        <f>IF(_xlfn.XLOOKUP(B335,Salários!B:B,Salários!I:I)&gt;0,_xlfn.XLOOKUP(B335,Salários!B:B,Salários!I:I),"")</f>
        <v>PJ</v>
      </c>
      <c r="U335" s="117">
        <f t="shared" si="384"/>
        <v>0</v>
      </c>
      <c r="V335" s="65"/>
      <c r="W335" s="202"/>
      <c r="X335" s="65"/>
      <c r="Y335" s="69"/>
      <c r="Z335" s="65"/>
      <c r="AA335" s="518"/>
      <c r="AB335" s="65"/>
      <c r="AC335" s="81">
        <f t="shared" si="385"/>
        <v>0</v>
      </c>
      <c r="AD335" s="65"/>
      <c r="AE335" s="112"/>
      <c r="AF335" s="203">
        <v>0.3</v>
      </c>
      <c r="AG335" s="109">
        <f t="shared" si="44"/>
        <v>1633</v>
      </c>
      <c r="AH335" s="84">
        <f t="shared" si="386"/>
        <v>0</v>
      </c>
      <c r="AI335" s="65"/>
      <c r="AJ335" s="112"/>
      <c r="AK335" s="122"/>
      <c r="AL335" s="109">
        <v>1212</v>
      </c>
      <c r="AM335" s="84">
        <f t="shared" si="387"/>
        <v>0</v>
      </c>
      <c r="AN335" s="65"/>
      <c r="AO335" s="112"/>
      <c r="AP335" s="204"/>
      <c r="AQ335" s="109">
        <f>IFERROR((O335+AH335+AM335)/Dashboard!$D$15,0)*0.2</f>
        <v>1.6869834710743801</v>
      </c>
      <c r="AR335" s="84">
        <f t="shared" si="388"/>
        <v>0</v>
      </c>
      <c r="AS335" s="65"/>
      <c r="AT335" s="112"/>
      <c r="AU335" s="203">
        <v>0.33</v>
      </c>
      <c r="AV335" s="109">
        <f t="shared" si="389"/>
        <v>1633</v>
      </c>
      <c r="AW335" s="84">
        <f t="shared" si="390"/>
        <v>0</v>
      </c>
      <c r="AX335" s="65"/>
      <c r="AY335" s="112"/>
      <c r="AZ335" s="203">
        <v>0.25</v>
      </c>
      <c r="BA335" s="109">
        <f t="shared" si="50"/>
        <v>1633</v>
      </c>
      <c r="BB335" s="84">
        <f t="shared" si="391"/>
        <v>0</v>
      </c>
      <c r="BC335" s="65"/>
      <c r="BD335" s="112"/>
      <c r="BE335" s="203">
        <v>0.26</v>
      </c>
      <c r="BF335" s="109">
        <f t="shared" si="392"/>
        <v>1633</v>
      </c>
      <c r="BG335" s="84">
        <f t="shared" si="393"/>
        <v>0</v>
      </c>
      <c r="BH335" s="197"/>
      <c r="BI335" s="518"/>
      <c r="BJ335" s="65"/>
      <c r="BK335" s="81">
        <f t="shared" si="394"/>
        <v>0</v>
      </c>
      <c r="BL335" s="65"/>
      <c r="BM335" s="204"/>
      <c r="BN335" s="156">
        <f>IF(B335&lt;&gt;"",_xlfn.XLOOKUP(B335,'Cronog. e Histog.'!B:B,'Cronog. e Histog.'!EK:EK),0)</f>
        <v>0</v>
      </c>
      <c r="BO335" s="109">
        <f>($O335/Dashboard!$D$15)*(1+Dashboard!$D$19)</f>
        <v>12.652376033057848</v>
      </c>
      <c r="BP335" s="84">
        <f t="shared" si="409"/>
        <v>0</v>
      </c>
      <c r="BQ335" s="65"/>
      <c r="BR335" s="204"/>
      <c r="BS335" s="156">
        <f>IF(B335&lt;&gt;"",_xlfn.XLOOKUP(B335,'Cronog. e Histog.'!B:B,'Cronog. e Histog.'!EL:EL),0)</f>
        <v>0</v>
      </c>
      <c r="BT335" s="109">
        <f>($O335/Dashboard!$D$15)*(1+Dashboard!$D$20)</f>
        <v>14.761105371900824</v>
      </c>
      <c r="BU335" s="84">
        <f t="shared" si="410"/>
        <v>0</v>
      </c>
      <c r="BV335" s="65"/>
      <c r="BW335" s="204"/>
      <c r="BX335" s="156">
        <f>IF(B335&lt;&gt;"",_xlfn.XLOOKUP(B335,'Cronog. e Histog.'!B:B,'Cronog. e Histog.'!EM:EM),0)</f>
        <v>0</v>
      </c>
      <c r="BY335" s="109">
        <f>($O335/Dashboard!$D$15)*(1+Dashboard!$D$21)</f>
        <v>16.869834710743799</v>
      </c>
      <c r="BZ335" s="84">
        <f t="shared" si="411"/>
        <v>0</v>
      </c>
    </row>
    <row r="336" spans="2:78" ht="12" customHeight="1" outlineLevel="1"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9"/>
      <c r="Z336" s="65"/>
      <c r="AA336" s="518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  <c r="BD336" s="65"/>
      <c r="BE336" s="65"/>
      <c r="BF336" s="65"/>
      <c r="BG336" s="65"/>
      <c r="BH336" s="197"/>
      <c r="BI336" s="518"/>
      <c r="BJ336" s="65"/>
      <c r="BK336" s="65"/>
      <c r="BL336" s="65"/>
      <c r="BM336" s="65"/>
      <c r="BN336" s="65"/>
      <c r="BO336" s="65"/>
      <c r="BP336" s="65"/>
      <c r="BQ336" s="65"/>
      <c r="BR336" s="65"/>
      <c r="BS336" s="65"/>
      <c r="BT336" s="65"/>
      <c r="BU336" s="65"/>
      <c r="BV336" s="65"/>
      <c r="BW336" s="65"/>
      <c r="BX336" s="65"/>
      <c r="BY336" s="65"/>
      <c r="BZ336" s="65"/>
    </row>
    <row r="337" spans="2:78" ht="12" customHeight="1" outlineLevel="1">
      <c r="B337" s="65"/>
      <c r="C337" s="65"/>
      <c r="D337" s="65"/>
      <c r="E337" s="65"/>
      <c r="F337" s="65"/>
      <c r="G337" s="65"/>
      <c r="H337" s="65"/>
      <c r="I337" s="65"/>
      <c r="J337" s="199" t="str">
        <f>'Cronog. e Histog.'!F475</f>
        <v>Equipe12</v>
      </c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9"/>
      <c r="Z337" s="65"/>
      <c r="AA337" s="518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  <c r="BE337" s="65"/>
      <c r="BF337" s="65"/>
      <c r="BG337" s="65"/>
      <c r="BH337" s="197"/>
      <c r="BI337" s="518"/>
      <c r="BJ337" s="65"/>
      <c r="BK337" s="65"/>
      <c r="BL337" s="65"/>
      <c r="BM337" s="65"/>
      <c r="BN337" s="65"/>
      <c r="BO337" s="65"/>
      <c r="BP337" s="65"/>
      <c r="BQ337" s="65"/>
      <c r="BR337" s="65"/>
      <c r="BS337" s="65"/>
      <c r="BT337" s="65"/>
      <c r="BU337" s="65"/>
      <c r="BV337" s="65"/>
      <c r="BW337" s="65"/>
      <c r="BX337" s="65"/>
      <c r="BY337" s="65"/>
      <c r="BZ337" s="65"/>
    </row>
    <row r="338" spans="2:78" ht="12" customHeight="1" outlineLevel="1">
      <c r="B338" s="137" t="str">
        <f>'Cronog. e Histog.'!B477</f>
        <v>GER. (OBRA/PROJ) - Equipe_01</v>
      </c>
      <c r="C338" s="65"/>
      <c r="D338" s="200">
        <f t="shared" ref="D338:D357" si="412">IF(T338="mensalista",L338,0)</f>
        <v>0</v>
      </c>
      <c r="E338" s="200">
        <f t="shared" ref="E338:E357" si="413">IF(T338="mensalista",M338,0)</f>
        <v>0</v>
      </c>
      <c r="F338" s="65"/>
      <c r="G338" s="200">
        <f t="shared" ref="G338:G357" si="414">IF(T338="mensalista",L338,0)</f>
        <v>0</v>
      </c>
      <c r="H338" s="200">
        <f t="shared" ref="H338:H357" si="415">IF(T338="mensalista",M338,0)</f>
        <v>0</v>
      </c>
      <c r="I338" s="65"/>
      <c r="J338" s="143" t="str">
        <f>IF('Cronog. e Histog.'!G477&gt;0,'Cronog. e Histog.'!G477,"")</f>
        <v>GER. (OBRA/PROJ)</v>
      </c>
      <c r="K338" s="65"/>
      <c r="L338" s="144">
        <f>'Cronog. e Histog.'!BT477</f>
        <v>0</v>
      </c>
      <c r="M338" s="144">
        <f>'Cronog. e Histog.'!BU477</f>
        <v>0</v>
      </c>
      <c r="N338" s="65"/>
      <c r="O338" s="109">
        <f>_xlfn.XLOOKUP(B338,Salários!B:B,Salários!K:K)</f>
        <v>21000</v>
      </c>
      <c r="P338" s="109">
        <f t="shared" ref="P338" si="416">AC338</f>
        <v>0</v>
      </c>
      <c r="Q338" s="109">
        <f t="shared" ref="Q338" si="417">BK338</f>
        <v>0</v>
      </c>
      <c r="R338" s="65"/>
      <c r="S338" s="109">
        <f t="shared" ref="S338" si="418">SUM(O338:Q338)</f>
        <v>21000</v>
      </c>
      <c r="T338" s="201" t="str">
        <f>IF(_xlfn.XLOOKUP(B338,Salários!B:B,Salários!I:I)&gt;0,_xlfn.XLOOKUP(B338,Salários!B:B,Salários!I:I),"")</f>
        <v>PJ</v>
      </c>
      <c r="U338" s="117">
        <f t="shared" ref="U338:U357" si="419">L338*M338*S338</f>
        <v>0</v>
      </c>
      <c r="V338" s="65"/>
      <c r="W338" s="202"/>
      <c r="X338" s="65"/>
      <c r="Y338" s="69"/>
      <c r="Z338" s="65"/>
      <c r="AA338" s="518"/>
      <c r="AB338" s="65"/>
      <c r="AC338" s="81">
        <f t="shared" ref="AC338:AC357" si="420">AH338+AM338+AR338+AW338+BB338+BG338</f>
        <v>0</v>
      </c>
      <c r="AD338" s="65"/>
      <c r="AE338" s="112"/>
      <c r="AF338" s="203">
        <v>0.3</v>
      </c>
      <c r="AG338" s="109">
        <f t="shared" si="44"/>
        <v>21000</v>
      </c>
      <c r="AH338" s="84">
        <f t="shared" ref="AH338:AH357" si="421">IF(AE338="sim",AF338*AG338,0)</f>
        <v>0</v>
      </c>
      <c r="AI338" s="65"/>
      <c r="AJ338" s="112"/>
      <c r="AK338" s="122"/>
      <c r="AL338" s="109">
        <v>1212</v>
      </c>
      <c r="AM338" s="84">
        <f t="shared" ref="AM338:AM357" si="422">IF(AJ338="sim",AK338*AL338,0)</f>
        <v>0</v>
      </c>
      <c r="AN338" s="65"/>
      <c r="AO338" s="112"/>
      <c r="AP338" s="204"/>
      <c r="AQ338" s="109">
        <f>IFERROR((O338+AH338+AM338)/Dashboard!$D$15,0)*0.2</f>
        <v>21.694214876033058</v>
      </c>
      <c r="AR338" s="84">
        <f t="shared" ref="AR338:AR357" si="423">IF(AO338="sim",AP338*AQ338,0)</f>
        <v>0</v>
      </c>
      <c r="AS338" s="65"/>
      <c r="AT338" s="112"/>
      <c r="AU338" s="203">
        <v>0.33</v>
      </c>
      <c r="AV338" s="109">
        <f t="shared" ref="AV338:AV357" si="424">$O338</f>
        <v>21000</v>
      </c>
      <c r="AW338" s="84">
        <f t="shared" ref="AW338:AW357" si="425">IF(AT338="sim",AU338*AV338,0)</f>
        <v>0</v>
      </c>
      <c r="AX338" s="65"/>
      <c r="AY338" s="112"/>
      <c r="AZ338" s="203">
        <v>0.25</v>
      </c>
      <c r="BA338" s="109">
        <f t="shared" si="50"/>
        <v>21000</v>
      </c>
      <c r="BB338" s="84">
        <f t="shared" ref="BB338:BB357" si="426">IF(AY338="sim",AZ338*BA338,0)</f>
        <v>0</v>
      </c>
      <c r="BC338" s="65"/>
      <c r="BD338" s="112"/>
      <c r="BE338" s="203">
        <v>0.26</v>
      </c>
      <c r="BF338" s="109">
        <f t="shared" ref="BF338:BF357" si="427">$O338</f>
        <v>21000</v>
      </c>
      <c r="BG338" s="84">
        <f t="shared" ref="BG338:BG357" si="428">IF(BD338="sim",BE338*BF338,0)</f>
        <v>0</v>
      </c>
      <c r="BH338" s="197"/>
      <c r="BI338" s="518"/>
      <c r="BJ338" s="65"/>
      <c r="BK338" s="81">
        <f t="shared" ref="BK338:BK357" si="429">BP338+BU338+BZ338</f>
        <v>0</v>
      </c>
      <c r="BL338" s="65"/>
      <c r="BM338" s="204"/>
      <c r="BN338" s="156">
        <f>IF(B338&lt;&gt;"",_xlfn.XLOOKUP(B338,'Cronog. e Histog.'!B:B,'Cronog. e Histog.'!EK:EK),0)</f>
        <v>0</v>
      </c>
      <c r="BO338" s="109">
        <f>($O338/Dashboard!$D$15)*(1+Dashboard!$D$19)</f>
        <v>162.7066115702479</v>
      </c>
      <c r="BP338" s="84">
        <f>SUM(BM338:BN338)*BO338</f>
        <v>0</v>
      </c>
      <c r="BQ338" s="65"/>
      <c r="BR338" s="204"/>
      <c r="BS338" s="156">
        <f>IF(B338&lt;&gt;"",_xlfn.XLOOKUP(B338,'Cronog. e Histog.'!B:B,'Cronog. e Histog.'!EL:EL),0)</f>
        <v>0</v>
      </c>
      <c r="BT338" s="109">
        <f>($O338/Dashboard!$D$15)*(1+Dashboard!$D$20)</f>
        <v>189.82438016528923</v>
      </c>
      <c r="BU338" s="84">
        <f>SUM(BR338:BS338)*BT338</f>
        <v>0</v>
      </c>
      <c r="BV338" s="65"/>
      <c r="BW338" s="204"/>
      <c r="BX338" s="156">
        <f>IF(B338&lt;&gt;"",_xlfn.XLOOKUP(B338,'Cronog. e Histog.'!B:B,'Cronog. e Histog.'!EM:EM),0)</f>
        <v>0</v>
      </c>
      <c r="BY338" s="109">
        <f>($O338/Dashboard!$D$15)*(1+Dashboard!$D$21)</f>
        <v>216.94214876033055</v>
      </c>
      <c r="BZ338" s="84">
        <f>SUM(BW338:BX338)*BY338</f>
        <v>0</v>
      </c>
    </row>
    <row r="339" spans="2:78" ht="12" customHeight="1" outlineLevel="1">
      <c r="B339" s="137" t="str">
        <f>'Cronog. e Histog.'!B478</f>
        <v>COORD. - Equipe_01</v>
      </c>
      <c r="C339" s="65"/>
      <c r="D339" s="200">
        <f t="shared" si="412"/>
        <v>0</v>
      </c>
      <c r="E339" s="200">
        <f t="shared" si="413"/>
        <v>0</v>
      </c>
      <c r="F339" s="65"/>
      <c r="G339" s="200">
        <f t="shared" si="414"/>
        <v>0</v>
      </c>
      <c r="H339" s="200">
        <f t="shared" si="415"/>
        <v>0</v>
      </c>
      <c r="I339" s="65"/>
      <c r="J339" s="143" t="str">
        <f>IF('Cronog. e Histog.'!G478&gt;0,'Cronog. e Histog.'!G478,"")</f>
        <v>COORD.</v>
      </c>
      <c r="K339" s="65"/>
      <c r="L339" s="144">
        <f>'Cronog. e Histog.'!BT478</f>
        <v>0</v>
      </c>
      <c r="M339" s="144">
        <f>'Cronog. e Histog.'!BU478</f>
        <v>0</v>
      </c>
      <c r="N339" s="65"/>
      <c r="O339" s="109">
        <f>_xlfn.XLOOKUP(B339,Salários!B:B,Salários!K:K)</f>
        <v>19000</v>
      </c>
      <c r="P339" s="109">
        <f t="shared" ref="P339:P357" si="430">AC339</f>
        <v>0</v>
      </c>
      <c r="Q339" s="109">
        <f t="shared" ref="Q339:Q357" si="431">BK339</f>
        <v>0</v>
      </c>
      <c r="R339" s="65"/>
      <c r="S339" s="109">
        <f t="shared" ref="S339:S357" si="432">SUM(O339:Q339)</f>
        <v>19000</v>
      </c>
      <c r="T339" s="201" t="str">
        <f>IF(_xlfn.XLOOKUP(B339,Salários!B:B,Salários!I:I)&gt;0,_xlfn.XLOOKUP(B339,Salários!B:B,Salários!I:I),"")</f>
        <v>PJ</v>
      </c>
      <c r="U339" s="117">
        <f t="shared" ref="U339:U348" si="433">L339*M339*S339</f>
        <v>0</v>
      </c>
      <c r="V339" s="65"/>
      <c r="W339" s="202"/>
      <c r="X339" s="65"/>
      <c r="Y339" s="69"/>
      <c r="Z339" s="65"/>
      <c r="AA339" s="518"/>
      <c r="AB339" s="65"/>
      <c r="AC339" s="81">
        <f t="shared" ref="AC339:AC348" si="434">AH339+AM339+AR339+AW339+BB339+BG339</f>
        <v>0</v>
      </c>
      <c r="AD339" s="65"/>
      <c r="AE339" s="112"/>
      <c r="AF339" s="203">
        <v>0.3</v>
      </c>
      <c r="AG339" s="109">
        <f t="shared" ref="AG339:AG348" si="435">$O339</f>
        <v>19000</v>
      </c>
      <c r="AH339" s="84">
        <f t="shared" ref="AH339:AH348" si="436">IF(AE339="sim",AF339*AG339,0)</f>
        <v>0</v>
      </c>
      <c r="AI339" s="65"/>
      <c r="AJ339" s="112"/>
      <c r="AK339" s="122"/>
      <c r="AL339" s="109">
        <v>1212</v>
      </c>
      <c r="AM339" s="84">
        <f t="shared" ref="AM339:AM348" si="437">IF(AJ339="sim",AK339*AL339,0)</f>
        <v>0</v>
      </c>
      <c r="AN339" s="65"/>
      <c r="AO339" s="112"/>
      <c r="AP339" s="204"/>
      <c r="AQ339" s="109">
        <f>IFERROR((O339+AH339+AM339)/Dashboard!$D$15,0)*0.2</f>
        <v>19.628099173553718</v>
      </c>
      <c r="AR339" s="84">
        <f t="shared" ref="AR339:AR348" si="438">IF(AO339="sim",AP339*AQ339,0)</f>
        <v>0</v>
      </c>
      <c r="AS339" s="65"/>
      <c r="AT339" s="112"/>
      <c r="AU339" s="203">
        <v>0.33</v>
      </c>
      <c r="AV339" s="109">
        <f t="shared" si="424"/>
        <v>19000</v>
      </c>
      <c r="AW339" s="84">
        <f t="shared" ref="AW339:AW348" si="439">IF(AT339="sim",AU339*AV339,0)</f>
        <v>0</v>
      </c>
      <c r="AX339" s="65"/>
      <c r="AY339" s="112"/>
      <c r="AZ339" s="203">
        <v>0.25</v>
      </c>
      <c r="BA339" s="109">
        <f t="shared" ref="BA339:BA348" si="440">$O339</f>
        <v>19000</v>
      </c>
      <c r="BB339" s="84">
        <f t="shared" ref="BB339:BB348" si="441">IF(AY339="sim",AZ339*BA339,0)</f>
        <v>0</v>
      </c>
      <c r="BC339" s="65"/>
      <c r="BD339" s="112"/>
      <c r="BE339" s="203">
        <v>0.26</v>
      </c>
      <c r="BF339" s="109">
        <f t="shared" si="427"/>
        <v>19000</v>
      </c>
      <c r="BG339" s="84">
        <f t="shared" ref="BG339:BG348" si="442">IF(BD339="sim",BE339*BF339,0)</f>
        <v>0</v>
      </c>
      <c r="BH339" s="197"/>
      <c r="BI339" s="518"/>
      <c r="BJ339" s="65"/>
      <c r="BK339" s="81">
        <f t="shared" ref="BK339:BK348" si="443">BP339+BU339+BZ339</f>
        <v>0</v>
      </c>
      <c r="BL339" s="65"/>
      <c r="BM339" s="204"/>
      <c r="BN339" s="156">
        <f>IF(B339&lt;&gt;"",_xlfn.XLOOKUP(B339,'Cronog. e Histog.'!B:B,'Cronog. e Histog.'!EK:EK),0)</f>
        <v>0</v>
      </c>
      <c r="BO339" s="109">
        <f>($O339/Dashboard!$D$15)*(1+Dashboard!$D$19)</f>
        <v>147.21074380165288</v>
      </c>
      <c r="BP339" s="84">
        <f t="shared" ref="BP339:BP357" si="444">SUM(BM339:BN339)*BO339</f>
        <v>0</v>
      </c>
      <c r="BQ339" s="65"/>
      <c r="BR339" s="204"/>
      <c r="BS339" s="156">
        <f>IF(B339&lt;&gt;"",_xlfn.XLOOKUP(B339,'Cronog. e Histog.'!B:B,'Cronog. e Histog.'!EL:EL),0)</f>
        <v>0</v>
      </c>
      <c r="BT339" s="109">
        <f>($O339/Dashboard!$D$15)*(1+Dashboard!$D$20)</f>
        <v>171.74586776859502</v>
      </c>
      <c r="BU339" s="84">
        <f t="shared" ref="BU339:BU357" si="445">SUM(BR339:BS339)*BT339</f>
        <v>0</v>
      </c>
      <c r="BV339" s="65"/>
      <c r="BW339" s="204"/>
      <c r="BX339" s="156">
        <f>IF(B339&lt;&gt;"",_xlfn.XLOOKUP(B339,'Cronog. e Histog.'!B:B,'Cronog. e Histog.'!EM:EM),0)</f>
        <v>0</v>
      </c>
      <c r="BY339" s="109">
        <f>($O339/Dashboard!$D$15)*(1+Dashboard!$D$21)</f>
        <v>196.28099173553716</v>
      </c>
      <c r="BZ339" s="84">
        <f t="shared" ref="BZ339:BZ357" si="446">SUM(BW339:BX339)*BY339</f>
        <v>0</v>
      </c>
    </row>
    <row r="340" spans="2:78" ht="12" customHeight="1" outlineLevel="1">
      <c r="B340" s="137" t="str">
        <f>'Cronog. e Histog.'!B479</f>
        <v>SUP.-ESP - Equipe_01</v>
      </c>
      <c r="C340" s="65"/>
      <c r="D340" s="200">
        <f t="shared" si="412"/>
        <v>0</v>
      </c>
      <c r="E340" s="200">
        <f t="shared" si="413"/>
        <v>0</v>
      </c>
      <c r="F340" s="65"/>
      <c r="G340" s="200">
        <f t="shared" si="414"/>
        <v>0</v>
      </c>
      <c r="H340" s="200">
        <f t="shared" si="415"/>
        <v>0</v>
      </c>
      <c r="I340" s="65"/>
      <c r="J340" s="143" t="str">
        <f>IF('Cronog. e Histog.'!G479&gt;0,'Cronog. e Histog.'!G479,"")</f>
        <v>SUP.-ESP</v>
      </c>
      <c r="K340" s="65"/>
      <c r="L340" s="144">
        <f>'Cronog. e Histog.'!BT479</f>
        <v>0</v>
      </c>
      <c r="M340" s="144">
        <f>'Cronog. e Histog.'!BU479</f>
        <v>0</v>
      </c>
      <c r="N340" s="65"/>
      <c r="O340" s="109">
        <f>_xlfn.XLOOKUP(B340,Salários!B:B,Salários!K:K)</f>
        <v>9716.67</v>
      </c>
      <c r="P340" s="109">
        <f t="shared" si="430"/>
        <v>0</v>
      </c>
      <c r="Q340" s="109">
        <f t="shared" si="431"/>
        <v>0</v>
      </c>
      <c r="R340" s="65"/>
      <c r="S340" s="109">
        <f t="shared" si="432"/>
        <v>9716.67</v>
      </c>
      <c r="T340" s="201" t="str">
        <f>IF(_xlfn.XLOOKUP(B340,Salários!B:B,Salários!I:I)&gt;0,_xlfn.XLOOKUP(B340,Salários!B:B,Salários!I:I),"")</f>
        <v>Mensalista</v>
      </c>
      <c r="U340" s="117">
        <f t="shared" si="433"/>
        <v>0</v>
      </c>
      <c r="V340" s="65"/>
      <c r="W340" s="202"/>
      <c r="X340" s="65"/>
      <c r="Y340" s="69"/>
      <c r="Z340" s="65"/>
      <c r="AA340" s="518"/>
      <c r="AB340" s="65"/>
      <c r="AC340" s="81">
        <f t="shared" si="434"/>
        <v>0</v>
      </c>
      <c r="AD340" s="65"/>
      <c r="AE340" s="112"/>
      <c r="AF340" s="203">
        <v>0.3</v>
      </c>
      <c r="AG340" s="109">
        <f t="shared" si="435"/>
        <v>9716.67</v>
      </c>
      <c r="AH340" s="84">
        <f t="shared" si="436"/>
        <v>0</v>
      </c>
      <c r="AI340" s="65"/>
      <c r="AJ340" s="112"/>
      <c r="AK340" s="122"/>
      <c r="AL340" s="109">
        <v>1212</v>
      </c>
      <c r="AM340" s="84">
        <f t="shared" si="437"/>
        <v>0</v>
      </c>
      <c r="AN340" s="65"/>
      <c r="AO340" s="112"/>
      <c r="AP340" s="204"/>
      <c r="AQ340" s="109">
        <f>IFERROR((O340+AH340+AM340)/Dashboard!$D$15,0)*0.2</f>
        <v>10.037882231404957</v>
      </c>
      <c r="AR340" s="84">
        <f t="shared" si="438"/>
        <v>0</v>
      </c>
      <c r="AS340" s="65"/>
      <c r="AT340" s="112"/>
      <c r="AU340" s="203">
        <v>0.33</v>
      </c>
      <c r="AV340" s="109">
        <f t="shared" si="424"/>
        <v>9716.67</v>
      </c>
      <c r="AW340" s="84">
        <f t="shared" si="439"/>
        <v>0</v>
      </c>
      <c r="AX340" s="65"/>
      <c r="AY340" s="112"/>
      <c r="AZ340" s="203">
        <v>0.25</v>
      </c>
      <c r="BA340" s="109">
        <f t="shared" si="440"/>
        <v>9716.67</v>
      </c>
      <c r="BB340" s="84">
        <f t="shared" si="441"/>
        <v>0</v>
      </c>
      <c r="BC340" s="65"/>
      <c r="BD340" s="112"/>
      <c r="BE340" s="203">
        <v>0.26</v>
      </c>
      <c r="BF340" s="109">
        <f t="shared" si="427"/>
        <v>9716.67</v>
      </c>
      <c r="BG340" s="84">
        <f t="shared" si="442"/>
        <v>0</v>
      </c>
      <c r="BH340" s="197"/>
      <c r="BI340" s="518"/>
      <c r="BJ340" s="65"/>
      <c r="BK340" s="81">
        <f t="shared" si="443"/>
        <v>0</v>
      </c>
      <c r="BL340" s="65"/>
      <c r="BM340" s="204"/>
      <c r="BN340" s="156">
        <f>IF(B340&lt;&gt;"",_xlfn.XLOOKUP(B340,'Cronog. e Histog.'!B:B,'Cronog. e Histog.'!EK:EK),0)</f>
        <v>0</v>
      </c>
      <c r="BO340" s="109">
        <f>($O340/Dashboard!$D$15)*(1+Dashboard!$D$19)</f>
        <v>75.284116735537182</v>
      </c>
      <c r="BP340" s="84">
        <f t="shared" si="444"/>
        <v>0</v>
      </c>
      <c r="BQ340" s="65"/>
      <c r="BR340" s="204"/>
      <c r="BS340" s="156">
        <f>IF(B340&lt;&gt;"",_xlfn.XLOOKUP(B340,'Cronog. e Histog.'!B:B,'Cronog. e Histog.'!EL:EL),0)</f>
        <v>0</v>
      </c>
      <c r="BT340" s="109">
        <f>($O340/Dashboard!$D$15)*(1+Dashboard!$D$20)</f>
        <v>87.831469524793377</v>
      </c>
      <c r="BU340" s="84">
        <f t="shared" si="445"/>
        <v>0</v>
      </c>
      <c r="BV340" s="65"/>
      <c r="BW340" s="204"/>
      <c r="BX340" s="156">
        <f>IF(B340&lt;&gt;"",_xlfn.XLOOKUP(B340,'Cronog. e Histog.'!B:B,'Cronog. e Histog.'!EM:EM),0)</f>
        <v>0</v>
      </c>
      <c r="BY340" s="109">
        <f>($O340/Dashboard!$D$15)*(1+Dashboard!$D$21)</f>
        <v>100.37882231404957</v>
      </c>
      <c r="BZ340" s="84">
        <f t="shared" si="446"/>
        <v>0</v>
      </c>
    </row>
    <row r="341" spans="2:78" ht="12" customHeight="1" outlineLevel="1">
      <c r="B341" s="137" t="str">
        <f>'Cronog. e Histog.'!B480</f>
        <v>ENG/ARQ SR. - Equipe_01</v>
      </c>
      <c r="C341" s="65"/>
      <c r="D341" s="200">
        <f t="shared" si="412"/>
        <v>0</v>
      </c>
      <c r="E341" s="200">
        <f t="shared" si="413"/>
        <v>0</v>
      </c>
      <c r="F341" s="65"/>
      <c r="G341" s="200">
        <f t="shared" si="414"/>
        <v>0</v>
      </c>
      <c r="H341" s="200">
        <f t="shared" si="415"/>
        <v>0</v>
      </c>
      <c r="I341" s="65"/>
      <c r="J341" s="143" t="str">
        <f>IF('Cronog. e Histog.'!G480&gt;0,'Cronog. e Histog.'!G480,"")</f>
        <v>ENG/ARQ SR.</v>
      </c>
      <c r="K341" s="65"/>
      <c r="L341" s="144">
        <f>'Cronog. e Histog.'!BT480</f>
        <v>0</v>
      </c>
      <c r="M341" s="144">
        <f>'Cronog. e Histog.'!BU480</f>
        <v>0</v>
      </c>
      <c r="N341" s="65"/>
      <c r="O341" s="109">
        <f>_xlfn.XLOOKUP(B341,Salários!B:B,Salários!K:K)</f>
        <v>16000</v>
      </c>
      <c r="P341" s="109">
        <f t="shared" si="430"/>
        <v>0</v>
      </c>
      <c r="Q341" s="109">
        <f t="shared" si="431"/>
        <v>0</v>
      </c>
      <c r="R341" s="65"/>
      <c r="S341" s="109">
        <f t="shared" si="432"/>
        <v>16000</v>
      </c>
      <c r="T341" s="201" t="str">
        <f>IF(_xlfn.XLOOKUP(B341,Salários!B:B,Salários!I:I)&gt;0,_xlfn.XLOOKUP(B341,Salários!B:B,Salários!I:I),"")</f>
        <v>PJ</v>
      </c>
      <c r="U341" s="117">
        <f t="shared" si="433"/>
        <v>0</v>
      </c>
      <c r="V341" s="65"/>
      <c r="W341" s="202"/>
      <c r="X341" s="65"/>
      <c r="Y341" s="69"/>
      <c r="Z341" s="65"/>
      <c r="AA341" s="518"/>
      <c r="AB341" s="65"/>
      <c r="AC341" s="81">
        <f t="shared" si="434"/>
        <v>0</v>
      </c>
      <c r="AD341" s="65"/>
      <c r="AE341" s="112"/>
      <c r="AF341" s="203">
        <v>0.3</v>
      </c>
      <c r="AG341" s="109">
        <f t="shared" si="435"/>
        <v>16000</v>
      </c>
      <c r="AH341" s="84">
        <f t="shared" si="436"/>
        <v>0</v>
      </c>
      <c r="AI341" s="65"/>
      <c r="AJ341" s="112"/>
      <c r="AK341" s="122"/>
      <c r="AL341" s="109">
        <v>1212</v>
      </c>
      <c r="AM341" s="84">
        <f t="shared" si="437"/>
        <v>0</v>
      </c>
      <c r="AN341" s="65"/>
      <c r="AO341" s="112"/>
      <c r="AP341" s="204"/>
      <c r="AQ341" s="109">
        <f>IFERROR((O341+AH341+AM341)/Dashboard!$D$15,0)*0.2</f>
        <v>16.528925619834709</v>
      </c>
      <c r="AR341" s="84">
        <f t="shared" si="438"/>
        <v>0</v>
      </c>
      <c r="AS341" s="65"/>
      <c r="AT341" s="112"/>
      <c r="AU341" s="203">
        <v>0.33</v>
      </c>
      <c r="AV341" s="109">
        <f t="shared" si="424"/>
        <v>16000</v>
      </c>
      <c r="AW341" s="84">
        <f t="shared" si="439"/>
        <v>0</v>
      </c>
      <c r="AX341" s="65"/>
      <c r="AY341" s="112"/>
      <c r="AZ341" s="203">
        <v>0.25</v>
      </c>
      <c r="BA341" s="109">
        <f t="shared" si="440"/>
        <v>16000</v>
      </c>
      <c r="BB341" s="84">
        <f t="shared" si="441"/>
        <v>0</v>
      </c>
      <c r="BC341" s="65"/>
      <c r="BD341" s="112"/>
      <c r="BE341" s="203">
        <v>0.26</v>
      </c>
      <c r="BF341" s="109">
        <f t="shared" si="427"/>
        <v>16000</v>
      </c>
      <c r="BG341" s="84">
        <f t="shared" si="442"/>
        <v>0</v>
      </c>
      <c r="BH341" s="197"/>
      <c r="BI341" s="518"/>
      <c r="BJ341" s="65"/>
      <c r="BK341" s="81">
        <f t="shared" si="443"/>
        <v>0</v>
      </c>
      <c r="BL341" s="65"/>
      <c r="BM341" s="204"/>
      <c r="BN341" s="156">
        <f>IF(B341&lt;&gt;"",_xlfn.XLOOKUP(B341,'Cronog. e Histog.'!B:B,'Cronog. e Histog.'!EK:EK),0)</f>
        <v>0</v>
      </c>
      <c r="BO341" s="109">
        <f>($O341/Dashboard!$D$15)*(1+Dashboard!$D$19)</f>
        <v>123.96694214876032</v>
      </c>
      <c r="BP341" s="84">
        <f t="shared" si="444"/>
        <v>0</v>
      </c>
      <c r="BQ341" s="65"/>
      <c r="BR341" s="204"/>
      <c r="BS341" s="156">
        <f>IF(B341&lt;&gt;"",_xlfn.XLOOKUP(B341,'Cronog. e Histog.'!B:B,'Cronog. e Histog.'!EL:EL),0)</f>
        <v>0</v>
      </c>
      <c r="BT341" s="109">
        <f>($O341/Dashboard!$D$15)*(1+Dashboard!$D$20)</f>
        <v>144.62809917355369</v>
      </c>
      <c r="BU341" s="84">
        <f t="shared" si="445"/>
        <v>0</v>
      </c>
      <c r="BV341" s="65"/>
      <c r="BW341" s="204"/>
      <c r="BX341" s="156">
        <f>IF(B341&lt;&gt;"",_xlfn.XLOOKUP(B341,'Cronog. e Histog.'!B:B,'Cronog. e Histog.'!EM:EM),0)</f>
        <v>0</v>
      </c>
      <c r="BY341" s="109">
        <f>($O341/Dashboard!$D$15)*(1+Dashboard!$D$21)</f>
        <v>165.28925619834709</v>
      </c>
      <c r="BZ341" s="84">
        <f t="shared" si="446"/>
        <v>0</v>
      </c>
    </row>
    <row r="342" spans="2:78" ht="12" customHeight="1" outlineLevel="1">
      <c r="B342" s="137" t="str">
        <f>'Cronog. e Histog.'!B481</f>
        <v>ENG/ARQ PL. - Equipe_01</v>
      </c>
      <c r="C342" s="65"/>
      <c r="D342" s="200">
        <f t="shared" si="412"/>
        <v>0</v>
      </c>
      <c r="E342" s="200">
        <f t="shared" si="413"/>
        <v>0</v>
      </c>
      <c r="F342" s="65"/>
      <c r="G342" s="200">
        <f t="shared" si="414"/>
        <v>0</v>
      </c>
      <c r="H342" s="200">
        <f t="shared" si="415"/>
        <v>0</v>
      </c>
      <c r="I342" s="65"/>
      <c r="J342" s="143" t="str">
        <f>IF('Cronog. e Histog.'!G481&gt;0,'Cronog. e Histog.'!G481,"")</f>
        <v>ENG/ARQ PL.</v>
      </c>
      <c r="K342" s="65"/>
      <c r="L342" s="144">
        <f>'Cronog. e Histog.'!BT481</f>
        <v>0</v>
      </c>
      <c r="M342" s="144">
        <f>'Cronog. e Histog.'!BU481</f>
        <v>0</v>
      </c>
      <c r="N342" s="65"/>
      <c r="O342" s="109">
        <f>_xlfn.XLOOKUP(B342,Salários!B:B,Salários!K:K)</f>
        <v>14000</v>
      </c>
      <c r="P342" s="109">
        <f t="shared" si="430"/>
        <v>0</v>
      </c>
      <c r="Q342" s="109">
        <f t="shared" si="431"/>
        <v>0</v>
      </c>
      <c r="R342" s="65"/>
      <c r="S342" s="109">
        <f t="shared" si="432"/>
        <v>14000</v>
      </c>
      <c r="T342" s="201" t="str">
        <f>IF(_xlfn.XLOOKUP(B342,Salários!B:B,Salários!I:I)&gt;0,_xlfn.XLOOKUP(B342,Salários!B:B,Salários!I:I),"")</f>
        <v>PJ</v>
      </c>
      <c r="U342" s="117">
        <f t="shared" si="433"/>
        <v>0</v>
      </c>
      <c r="V342" s="65"/>
      <c r="W342" s="202"/>
      <c r="X342" s="65"/>
      <c r="Y342" s="69"/>
      <c r="Z342" s="65"/>
      <c r="AA342" s="518"/>
      <c r="AB342" s="65"/>
      <c r="AC342" s="81">
        <f t="shared" si="434"/>
        <v>0</v>
      </c>
      <c r="AD342" s="65"/>
      <c r="AE342" s="112"/>
      <c r="AF342" s="203">
        <v>0.3</v>
      </c>
      <c r="AG342" s="109">
        <f t="shared" si="435"/>
        <v>14000</v>
      </c>
      <c r="AH342" s="84">
        <f t="shared" si="436"/>
        <v>0</v>
      </c>
      <c r="AI342" s="65"/>
      <c r="AJ342" s="112"/>
      <c r="AK342" s="122"/>
      <c r="AL342" s="109">
        <v>1212</v>
      </c>
      <c r="AM342" s="84">
        <f t="shared" si="437"/>
        <v>0</v>
      </c>
      <c r="AN342" s="65"/>
      <c r="AO342" s="112"/>
      <c r="AP342" s="204"/>
      <c r="AQ342" s="109">
        <f>IFERROR((O342+AH342+AM342)/Dashboard!$D$15,0)*0.2</f>
        <v>14.46280991735537</v>
      </c>
      <c r="AR342" s="84">
        <f t="shared" si="438"/>
        <v>0</v>
      </c>
      <c r="AS342" s="65"/>
      <c r="AT342" s="112"/>
      <c r="AU342" s="203">
        <v>0.33</v>
      </c>
      <c r="AV342" s="109">
        <f t="shared" si="424"/>
        <v>14000</v>
      </c>
      <c r="AW342" s="84">
        <f t="shared" si="439"/>
        <v>0</v>
      </c>
      <c r="AX342" s="65"/>
      <c r="AY342" s="112"/>
      <c r="AZ342" s="203">
        <v>0.25</v>
      </c>
      <c r="BA342" s="109">
        <f t="shared" si="440"/>
        <v>14000</v>
      </c>
      <c r="BB342" s="84">
        <f t="shared" si="441"/>
        <v>0</v>
      </c>
      <c r="BC342" s="65"/>
      <c r="BD342" s="112"/>
      <c r="BE342" s="203">
        <v>0.26</v>
      </c>
      <c r="BF342" s="109">
        <f t="shared" si="427"/>
        <v>14000</v>
      </c>
      <c r="BG342" s="84">
        <f t="shared" si="442"/>
        <v>0</v>
      </c>
      <c r="BH342" s="197"/>
      <c r="BI342" s="518"/>
      <c r="BJ342" s="65"/>
      <c r="BK342" s="81">
        <f t="shared" si="443"/>
        <v>0</v>
      </c>
      <c r="BL342" s="65"/>
      <c r="BM342" s="204"/>
      <c r="BN342" s="156">
        <f>IF(B342&lt;&gt;"",_xlfn.XLOOKUP(B342,'Cronog. e Histog.'!B:B,'Cronog. e Histog.'!EK:EK),0)</f>
        <v>0</v>
      </c>
      <c r="BO342" s="109">
        <f>($O342/Dashboard!$D$15)*(1+Dashboard!$D$19)</f>
        <v>108.47107438016528</v>
      </c>
      <c r="BP342" s="84">
        <f t="shared" si="444"/>
        <v>0</v>
      </c>
      <c r="BQ342" s="65"/>
      <c r="BR342" s="204"/>
      <c r="BS342" s="156">
        <f>IF(B342&lt;&gt;"",_xlfn.XLOOKUP(B342,'Cronog. e Histog.'!B:B,'Cronog. e Histog.'!EL:EL),0)</f>
        <v>0</v>
      </c>
      <c r="BT342" s="109">
        <f>($O342/Dashboard!$D$15)*(1+Dashboard!$D$20)</f>
        <v>126.54958677685948</v>
      </c>
      <c r="BU342" s="84">
        <f t="shared" si="445"/>
        <v>0</v>
      </c>
      <c r="BV342" s="65"/>
      <c r="BW342" s="204"/>
      <c r="BX342" s="156">
        <f>IF(B342&lt;&gt;"",_xlfn.XLOOKUP(B342,'Cronog. e Histog.'!B:B,'Cronog. e Histog.'!EM:EM),0)</f>
        <v>0</v>
      </c>
      <c r="BY342" s="109">
        <f>($O342/Dashboard!$D$15)*(1+Dashboard!$D$21)</f>
        <v>144.62809917355369</v>
      </c>
      <c r="BZ342" s="84">
        <f t="shared" si="446"/>
        <v>0</v>
      </c>
    </row>
    <row r="343" spans="2:78" ht="12" customHeight="1" outlineLevel="1">
      <c r="B343" s="137" t="str">
        <f>'Cronog. e Histog.'!B482</f>
        <v>ENG/ARQ JR. - Equipe_01</v>
      </c>
      <c r="C343" s="65"/>
      <c r="D343" s="200">
        <f t="shared" si="412"/>
        <v>0</v>
      </c>
      <c r="E343" s="200">
        <f t="shared" si="413"/>
        <v>0</v>
      </c>
      <c r="F343" s="65"/>
      <c r="G343" s="200">
        <f t="shared" si="414"/>
        <v>0</v>
      </c>
      <c r="H343" s="200">
        <f t="shared" si="415"/>
        <v>0</v>
      </c>
      <c r="I343" s="65"/>
      <c r="J343" s="143" t="str">
        <f>IF('Cronog. e Histog.'!G482&gt;0,'Cronog. e Histog.'!G482,"")</f>
        <v>ENG/ARQ JR.</v>
      </c>
      <c r="K343" s="65"/>
      <c r="L343" s="144">
        <f>'Cronog. e Histog.'!BT482</f>
        <v>0</v>
      </c>
      <c r="M343" s="144">
        <f>'Cronog. e Histog.'!BU482</f>
        <v>0</v>
      </c>
      <c r="N343" s="65"/>
      <c r="O343" s="109">
        <f>_xlfn.XLOOKUP(B343,Salários!B:B,Salários!K:K)</f>
        <v>14000</v>
      </c>
      <c r="P343" s="109">
        <f t="shared" si="430"/>
        <v>0</v>
      </c>
      <c r="Q343" s="109">
        <f t="shared" si="431"/>
        <v>0</v>
      </c>
      <c r="R343" s="65"/>
      <c r="S343" s="109">
        <f t="shared" si="432"/>
        <v>14000</v>
      </c>
      <c r="T343" s="201" t="str">
        <f>IF(_xlfn.XLOOKUP(B343,Salários!B:B,Salários!I:I)&gt;0,_xlfn.XLOOKUP(B343,Salários!B:B,Salários!I:I),"")</f>
        <v>PJ</v>
      </c>
      <c r="U343" s="117">
        <f t="shared" si="433"/>
        <v>0</v>
      </c>
      <c r="V343" s="65"/>
      <c r="W343" s="202"/>
      <c r="X343" s="65"/>
      <c r="Y343" s="69"/>
      <c r="Z343" s="65"/>
      <c r="AA343" s="518"/>
      <c r="AB343" s="65"/>
      <c r="AC343" s="81">
        <f t="shared" si="434"/>
        <v>0</v>
      </c>
      <c r="AD343" s="65"/>
      <c r="AE343" s="112"/>
      <c r="AF343" s="203">
        <v>0.3</v>
      </c>
      <c r="AG343" s="109">
        <f t="shared" si="435"/>
        <v>14000</v>
      </c>
      <c r="AH343" s="84">
        <f t="shared" si="436"/>
        <v>0</v>
      </c>
      <c r="AI343" s="65"/>
      <c r="AJ343" s="112"/>
      <c r="AK343" s="122"/>
      <c r="AL343" s="109">
        <v>1212</v>
      </c>
      <c r="AM343" s="84">
        <f t="shared" si="437"/>
        <v>0</v>
      </c>
      <c r="AN343" s="65"/>
      <c r="AO343" s="112"/>
      <c r="AP343" s="204"/>
      <c r="AQ343" s="109">
        <f>IFERROR((O343+AH343+AM343)/Dashboard!$D$15,0)*0.2</f>
        <v>14.46280991735537</v>
      </c>
      <c r="AR343" s="84">
        <f t="shared" si="438"/>
        <v>0</v>
      </c>
      <c r="AS343" s="65"/>
      <c r="AT343" s="112"/>
      <c r="AU343" s="203">
        <v>0.33</v>
      </c>
      <c r="AV343" s="109">
        <f t="shared" si="424"/>
        <v>14000</v>
      </c>
      <c r="AW343" s="84">
        <f t="shared" si="439"/>
        <v>0</v>
      </c>
      <c r="AX343" s="65"/>
      <c r="AY343" s="112"/>
      <c r="AZ343" s="203">
        <v>0.25</v>
      </c>
      <c r="BA343" s="109">
        <f t="shared" si="440"/>
        <v>14000</v>
      </c>
      <c r="BB343" s="84">
        <f t="shared" si="441"/>
        <v>0</v>
      </c>
      <c r="BC343" s="65"/>
      <c r="BD343" s="112"/>
      <c r="BE343" s="203">
        <v>0.26</v>
      </c>
      <c r="BF343" s="109">
        <f t="shared" si="427"/>
        <v>14000</v>
      </c>
      <c r="BG343" s="84">
        <f t="shared" si="442"/>
        <v>0</v>
      </c>
      <c r="BH343" s="197"/>
      <c r="BI343" s="518"/>
      <c r="BJ343" s="65"/>
      <c r="BK343" s="81">
        <f t="shared" si="443"/>
        <v>0</v>
      </c>
      <c r="BL343" s="65"/>
      <c r="BM343" s="204"/>
      <c r="BN343" s="156">
        <f>IF(B343&lt;&gt;"",_xlfn.XLOOKUP(B343,'Cronog. e Histog.'!B:B,'Cronog. e Histog.'!EK:EK),0)</f>
        <v>0</v>
      </c>
      <c r="BO343" s="109">
        <f>($O343/Dashboard!$D$15)*(1+Dashboard!$D$19)</f>
        <v>108.47107438016528</v>
      </c>
      <c r="BP343" s="84">
        <f t="shared" si="444"/>
        <v>0</v>
      </c>
      <c r="BQ343" s="65"/>
      <c r="BR343" s="204"/>
      <c r="BS343" s="156">
        <f>IF(B343&lt;&gt;"",_xlfn.XLOOKUP(B343,'Cronog. e Histog.'!B:B,'Cronog. e Histog.'!EL:EL),0)</f>
        <v>0</v>
      </c>
      <c r="BT343" s="109">
        <f>($O343/Dashboard!$D$15)*(1+Dashboard!$D$20)</f>
        <v>126.54958677685948</v>
      </c>
      <c r="BU343" s="84">
        <f t="shared" si="445"/>
        <v>0</v>
      </c>
      <c r="BV343" s="65"/>
      <c r="BW343" s="204"/>
      <c r="BX343" s="156">
        <f>IF(B343&lt;&gt;"",_xlfn.XLOOKUP(B343,'Cronog. e Histog.'!B:B,'Cronog. e Histog.'!EM:EM),0)</f>
        <v>0</v>
      </c>
      <c r="BY343" s="109">
        <f>($O343/Dashboard!$D$15)*(1+Dashboard!$D$21)</f>
        <v>144.62809917355369</v>
      </c>
      <c r="BZ343" s="84">
        <f t="shared" si="446"/>
        <v>0</v>
      </c>
    </row>
    <row r="344" spans="2:78" ht="12" customHeight="1" outlineLevel="1">
      <c r="B344" s="137" t="str">
        <f>'Cronog. e Histog.'!B483</f>
        <v>AN SR. ENG/ARQ - Equipe_01</v>
      </c>
      <c r="C344" s="65"/>
      <c r="D344" s="200">
        <f t="shared" si="412"/>
        <v>0</v>
      </c>
      <c r="E344" s="200">
        <f t="shared" si="413"/>
        <v>0</v>
      </c>
      <c r="F344" s="65"/>
      <c r="G344" s="200">
        <f t="shared" si="414"/>
        <v>0</v>
      </c>
      <c r="H344" s="200">
        <f t="shared" si="415"/>
        <v>0</v>
      </c>
      <c r="I344" s="65"/>
      <c r="J344" s="143" t="str">
        <f>IF('Cronog. e Histog.'!G483&gt;0,'Cronog. e Histog.'!G483,"")</f>
        <v>AN SR. ENG/ARQ</v>
      </c>
      <c r="K344" s="65"/>
      <c r="L344" s="144">
        <f>'Cronog. e Histog.'!BT483</f>
        <v>0</v>
      </c>
      <c r="M344" s="144">
        <f>'Cronog. e Histog.'!BU483</f>
        <v>0</v>
      </c>
      <c r="N344" s="65"/>
      <c r="O344" s="109">
        <f>_xlfn.XLOOKUP(B344,Salários!B:B,Salários!K:K)</f>
        <v>7950</v>
      </c>
      <c r="P344" s="109">
        <f t="shared" si="430"/>
        <v>0</v>
      </c>
      <c r="Q344" s="109">
        <f t="shared" si="431"/>
        <v>0</v>
      </c>
      <c r="R344" s="65"/>
      <c r="S344" s="109">
        <f t="shared" si="432"/>
        <v>7950</v>
      </c>
      <c r="T344" s="201" t="str">
        <f>IF(_xlfn.XLOOKUP(B344,Salários!B:B,Salários!I:I)&gt;0,_xlfn.XLOOKUP(B344,Salários!B:B,Salários!I:I),"")</f>
        <v>Mensalista</v>
      </c>
      <c r="U344" s="117">
        <f t="shared" si="433"/>
        <v>0</v>
      </c>
      <c r="V344" s="65"/>
      <c r="W344" s="202"/>
      <c r="X344" s="65"/>
      <c r="Y344" s="69"/>
      <c r="Z344" s="65"/>
      <c r="AA344" s="518"/>
      <c r="AB344" s="65"/>
      <c r="AC344" s="81">
        <f t="shared" si="434"/>
        <v>0</v>
      </c>
      <c r="AD344" s="65"/>
      <c r="AE344" s="112"/>
      <c r="AF344" s="203">
        <v>0.3</v>
      </c>
      <c r="AG344" s="109">
        <f t="shared" si="435"/>
        <v>7950</v>
      </c>
      <c r="AH344" s="84">
        <f t="shared" si="436"/>
        <v>0</v>
      </c>
      <c r="AI344" s="65"/>
      <c r="AJ344" s="112"/>
      <c r="AK344" s="122"/>
      <c r="AL344" s="109">
        <v>1212</v>
      </c>
      <c r="AM344" s="84">
        <f t="shared" si="437"/>
        <v>0</v>
      </c>
      <c r="AN344" s="65"/>
      <c r="AO344" s="112"/>
      <c r="AP344" s="204"/>
      <c r="AQ344" s="109">
        <f>IFERROR((O344+AH344+AM344)/Dashboard!$D$15,0)*0.2</f>
        <v>8.2128099173553704</v>
      </c>
      <c r="AR344" s="84">
        <f t="shared" si="438"/>
        <v>0</v>
      </c>
      <c r="AS344" s="65"/>
      <c r="AT344" s="112"/>
      <c r="AU344" s="203">
        <v>0.33</v>
      </c>
      <c r="AV344" s="109">
        <f t="shared" si="424"/>
        <v>7950</v>
      </c>
      <c r="AW344" s="84">
        <f t="shared" si="439"/>
        <v>0</v>
      </c>
      <c r="AX344" s="65"/>
      <c r="AY344" s="112"/>
      <c r="AZ344" s="203">
        <v>0.25</v>
      </c>
      <c r="BA344" s="109">
        <f t="shared" si="440"/>
        <v>7950</v>
      </c>
      <c r="BB344" s="84">
        <f t="shared" si="441"/>
        <v>0</v>
      </c>
      <c r="BC344" s="65"/>
      <c r="BD344" s="112"/>
      <c r="BE344" s="203">
        <v>0.26</v>
      </c>
      <c r="BF344" s="109">
        <f t="shared" si="427"/>
        <v>7950</v>
      </c>
      <c r="BG344" s="84">
        <f t="shared" si="442"/>
        <v>0</v>
      </c>
      <c r="BH344" s="197"/>
      <c r="BI344" s="518"/>
      <c r="BJ344" s="65"/>
      <c r="BK344" s="81">
        <f t="shared" si="443"/>
        <v>0</v>
      </c>
      <c r="BL344" s="65"/>
      <c r="BM344" s="204"/>
      <c r="BN344" s="156">
        <f>IF(B344&lt;&gt;"",_xlfn.XLOOKUP(B344,'Cronog. e Histog.'!B:B,'Cronog. e Histog.'!EK:EK),0)</f>
        <v>0</v>
      </c>
      <c r="BO344" s="109">
        <f>($O344/Dashboard!$D$15)*(1+Dashboard!$D$19)</f>
        <v>61.596074380165277</v>
      </c>
      <c r="BP344" s="84">
        <f t="shared" si="444"/>
        <v>0</v>
      </c>
      <c r="BQ344" s="65"/>
      <c r="BR344" s="204"/>
      <c r="BS344" s="156">
        <f>IF(B344&lt;&gt;"",_xlfn.XLOOKUP(B344,'Cronog. e Histog.'!B:B,'Cronog. e Histog.'!EL:EL),0)</f>
        <v>0</v>
      </c>
      <c r="BT344" s="109">
        <f>($O344/Dashboard!$D$15)*(1+Dashboard!$D$20)</f>
        <v>71.862086776859499</v>
      </c>
      <c r="BU344" s="84">
        <f t="shared" si="445"/>
        <v>0</v>
      </c>
      <c r="BV344" s="65"/>
      <c r="BW344" s="204"/>
      <c r="BX344" s="156">
        <f>IF(B344&lt;&gt;"",_xlfn.XLOOKUP(B344,'Cronog. e Histog.'!B:B,'Cronog. e Histog.'!EM:EM),0)</f>
        <v>0</v>
      </c>
      <c r="BY344" s="109">
        <f>($O344/Dashboard!$D$15)*(1+Dashboard!$D$21)</f>
        <v>82.128099173553707</v>
      </c>
      <c r="BZ344" s="84">
        <f t="shared" si="446"/>
        <v>0</v>
      </c>
    </row>
    <row r="345" spans="2:78" ht="12" customHeight="1" outlineLevel="1">
      <c r="B345" s="137" t="str">
        <f>'Cronog. e Histog.'!B484</f>
        <v>AN PL. ENG/ARQ - Equipe_01</v>
      </c>
      <c r="C345" s="65"/>
      <c r="D345" s="200">
        <f t="shared" si="412"/>
        <v>0</v>
      </c>
      <c r="E345" s="200">
        <f t="shared" si="413"/>
        <v>0</v>
      </c>
      <c r="F345" s="65"/>
      <c r="G345" s="200">
        <f t="shared" si="414"/>
        <v>0</v>
      </c>
      <c r="H345" s="200">
        <f t="shared" si="415"/>
        <v>0</v>
      </c>
      <c r="I345" s="65"/>
      <c r="J345" s="143" t="str">
        <f>IF('Cronog. e Histog.'!G484&gt;0,'Cronog. e Histog.'!G484,"")</f>
        <v>AN PL. ENG/ARQ</v>
      </c>
      <c r="K345" s="65"/>
      <c r="L345" s="144">
        <f>'Cronog. e Histog.'!BT484</f>
        <v>0</v>
      </c>
      <c r="M345" s="144">
        <f>'Cronog. e Histog.'!BU484</f>
        <v>0</v>
      </c>
      <c r="N345" s="65"/>
      <c r="O345" s="109">
        <f>_xlfn.XLOOKUP(B345,Salários!B:B,Salários!K:K)</f>
        <v>6360</v>
      </c>
      <c r="P345" s="109">
        <f t="shared" si="430"/>
        <v>0</v>
      </c>
      <c r="Q345" s="109">
        <f t="shared" si="431"/>
        <v>0</v>
      </c>
      <c r="R345" s="65"/>
      <c r="S345" s="109">
        <f t="shared" si="432"/>
        <v>6360</v>
      </c>
      <c r="T345" s="201" t="str">
        <f>IF(_xlfn.XLOOKUP(B345,Salários!B:B,Salários!I:I)&gt;0,_xlfn.XLOOKUP(B345,Salários!B:B,Salários!I:I),"")</f>
        <v>Mensalista</v>
      </c>
      <c r="U345" s="117">
        <f t="shared" si="433"/>
        <v>0</v>
      </c>
      <c r="V345" s="65"/>
      <c r="W345" s="202"/>
      <c r="X345" s="65"/>
      <c r="Y345" s="69"/>
      <c r="Z345" s="65"/>
      <c r="AA345" s="518"/>
      <c r="AB345" s="65"/>
      <c r="AC345" s="81">
        <f t="shared" si="434"/>
        <v>0</v>
      </c>
      <c r="AD345" s="65"/>
      <c r="AE345" s="112"/>
      <c r="AF345" s="203">
        <v>0.3</v>
      </c>
      <c r="AG345" s="109">
        <f t="shared" si="435"/>
        <v>6360</v>
      </c>
      <c r="AH345" s="84">
        <f t="shared" si="436"/>
        <v>0</v>
      </c>
      <c r="AI345" s="65"/>
      <c r="AJ345" s="112"/>
      <c r="AK345" s="122"/>
      <c r="AL345" s="109">
        <v>1212</v>
      </c>
      <c r="AM345" s="84">
        <f t="shared" si="437"/>
        <v>0</v>
      </c>
      <c r="AN345" s="65"/>
      <c r="AO345" s="112"/>
      <c r="AP345" s="204"/>
      <c r="AQ345" s="109">
        <f>IFERROR((O345+AH345+AM345)/Dashboard!$D$15,0)*0.2</f>
        <v>6.5702479338842963</v>
      </c>
      <c r="AR345" s="84">
        <f t="shared" si="438"/>
        <v>0</v>
      </c>
      <c r="AS345" s="65"/>
      <c r="AT345" s="112"/>
      <c r="AU345" s="203">
        <v>0.33</v>
      </c>
      <c r="AV345" s="109">
        <f t="shared" si="424"/>
        <v>6360</v>
      </c>
      <c r="AW345" s="84">
        <f t="shared" si="439"/>
        <v>0</v>
      </c>
      <c r="AX345" s="65"/>
      <c r="AY345" s="112"/>
      <c r="AZ345" s="203">
        <v>0.25</v>
      </c>
      <c r="BA345" s="109">
        <f t="shared" si="440"/>
        <v>6360</v>
      </c>
      <c r="BB345" s="84">
        <f t="shared" si="441"/>
        <v>0</v>
      </c>
      <c r="BC345" s="65"/>
      <c r="BD345" s="112"/>
      <c r="BE345" s="203">
        <v>0.26</v>
      </c>
      <c r="BF345" s="109">
        <f t="shared" si="427"/>
        <v>6360</v>
      </c>
      <c r="BG345" s="84">
        <f t="shared" si="442"/>
        <v>0</v>
      </c>
      <c r="BH345" s="197"/>
      <c r="BI345" s="518"/>
      <c r="BJ345" s="65"/>
      <c r="BK345" s="81">
        <f t="shared" si="443"/>
        <v>0</v>
      </c>
      <c r="BL345" s="65"/>
      <c r="BM345" s="204"/>
      <c r="BN345" s="156">
        <f>IF(B345&lt;&gt;"",_xlfn.XLOOKUP(B345,'Cronog. e Histog.'!B:B,'Cronog. e Histog.'!EK:EK),0)</f>
        <v>0</v>
      </c>
      <c r="BO345" s="109">
        <f>($O345/Dashboard!$D$15)*(1+Dashboard!$D$19)</f>
        <v>49.276859504132219</v>
      </c>
      <c r="BP345" s="84">
        <f t="shared" si="444"/>
        <v>0</v>
      </c>
      <c r="BQ345" s="65"/>
      <c r="BR345" s="204"/>
      <c r="BS345" s="156">
        <f>IF(B345&lt;&gt;"",_xlfn.XLOOKUP(B345,'Cronog. e Histog.'!B:B,'Cronog. e Histog.'!EL:EL),0)</f>
        <v>0</v>
      </c>
      <c r="BT345" s="109">
        <f>($O345/Dashboard!$D$15)*(1+Dashboard!$D$20)</f>
        <v>57.489669421487591</v>
      </c>
      <c r="BU345" s="84">
        <f t="shared" si="445"/>
        <v>0</v>
      </c>
      <c r="BV345" s="65"/>
      <c r="BW345" s="204"/>
      <c r="BX345" s="156">
        <f>IF(B345&lt;&gt;"",_xlfn.XLOOKUP(B345,'Cronog. e Histog.'!B:B,'Cronog. e Histog.'!EM:EM),0)</f>
        <v>0</v>
      </c>
      <c r="BY345" s="109">
        <f>($O345/Dashboard!$D$15)*(1+Dashboard!$D$21)</f>
        <v>65.702479338842963</v>
      </c>
      <c r="BZ345" s="84">
        <f t="shared" si="446"/>
        <v>0</v>
      </c>
    </row>
    <row r="346" spans="2:78" ht="12" customHeight="1" outlineLevel="1">
      <c r="B346" s="137" t="str">
        <f>'Cronog. e Histog.'!B485</f>
        <v>AN JR. ENG/ARQ - Equipe_01</v>
      </c>
      <c r="C346" s="65"/>
      <c r="D346" s="200">
        <f t="shared" si="412"/>
        <v>0</v>
      </c>
      <c r="E346" s="200">
        <f t="shared" si="413"/>
        <v>0</v>
      </c>
      <c r="F346" s="65"/>
      <c r="G346" s="200">
        <f t="shared" si="414"/>
        <v>0</v>
      </c>
      <c r="H346" s="200">
        <f t="shared" si="415"/>
        <v>0</v>
      </c>
      <c r="I346" s="65"/>
      <c r="J346" s="143" t="str">
        <f>IF('Cronog. e Histog.'!G485&gt;0,'Cronog. e Histog.'!G485,"")</f>
        <v>AN JR. ENG/ARQ</v>
      </c>
      <c r="K346" s="65"/>
      <c r="L346" s="144">
        <f>'Cronog. e Histog.'!BT485</f>
        <v>0</v>
      </c>
      <c r="M346" s="144">
        <f>'Cronog. e Histog.'!BU485</f>
        <v>0</v>
      </c>
      <c r="N346" s="65"/>
      <c r="O346" s="109">
        <f>_xlfn.XLOOKUP(B346,Salários!B:B,Salários!K:K)</f>
        <v>4770</v>
      </c>
      <c r="P346" s="109">
        <f t="shared" si="430"/>
        <v>0</v>
      </c>
      <c r="Q346" s="109">
        <f t="shared" si="431"/>
        <v>0</v>
      </c>
      <c r="R346" s="65"/>
      <c r="S346" s="109">
        <f t="shared" si="432"/>
        <v>4770</v>
      </c>
      <c r="T346" s="201" t="str">
        <f>IF(_xlfn.XLOOKUP(B346,Salários!B:B,Salários!I:I)&gt;0,_xlfn.XLOOKUP(B346,Salários!B:B,Salários!I:I),"")</f>
        <v>Mensalista</v>
      </c>
      <c r="U346" s="117">
        <f t="shared" si="433"/>
        <v>0</v>
      </c>
      <c r="V346" s="65"/>
      <c r="W346" s="202"/>
      <c r="X346" s="65"/>
      <c r="Y346" s="69"/>
      <c r="Z346" s="65"/>
      <c r="AA346" s="518"/>
      <c r="AB346" s="65"/>
      <c r="AC346" s="81">
        <f t="shared" si="434"/>
        <v>0</v>
      </c>
      <c r="AD346" s="65"/>
      <c r="AE346" s="112"/>
      <c r="AF346" s="203">
        <v>0.3</v>
      </c>
      <c r="AG346" s="109">
        <f t="shared" si="435"/>
        <v>4770</v>
      </c>
      <c r="AH346" s="84">
        <f t="shared" si="436"/>
        <v>0</v>
      </c>
      <c r="AI346" s="65"/>
      <c r="AJ346" s="112"/>
      <c r="AK346" s="122"/>
      <c r="AL346" s="109">
        <v>1212</v>
      </c>
      <c r="AM346" s="84">
        <f t="shared" si="437"/>
        <v>0</v>
      </c>
      <c r="AN346" s="65"/>
      <c r="AO346" s="112"/>
      <c r="AP346" s="204"/>
      <c r="AQ346" s="109">
        <f>IFERROR((O346+AH346+AM346)/Dashboard!$D$15,0)*0.2</f>
        <v>4.9276859504132231</v>
      </c>
      <c r="AR346" s="84">
        <f t="shared" si="438"/>
        <v>0</v>
      </c>
      <c r="AS346" s="65"/>
      <c r="AT346" s="112"/>
      <c r="AU346" s="203">
        <v>0.33</v>
      </c>
      <c r="AV346" s="109">
        <f t="shared" si="424"/>
        <v>4770</v>
      </c>
      <c r="AW346" s="84">
        <f t="shared" si="439"/>
        <v>0</v>
      </c>
      <c r="AX346" s="65"/>
      <c r="AY346" s="112"/>
      <c r="AZ346" s="203">
        <v>0.25</v>
      </c>
      <c r="BA346" s="109">
        <f t="shared" si="440"/>
        <v>4770</v>
      </c>
      <c r="BB346" s="84">
        <f t="shared" si="441"/>
        <v>0</v>
      </c>
      <c r="BC346" s="65"/>
      <c r="BD346" s="112"/>
      <c r="BE346" s="203">
        <v>0.26</v>
      </c>
      <c r="BF346" s="109">
        <f t="shared" si="427"/>
        <v>4770</v>
      </c>
      <c r="BG346" s="84">
        <f t="shared" si="442"/>
        <v>0</v>
      </c>
      <c r="BH346" s="197"/>
      <c r="BI346" s="518"/>
      <c r="BJ346" s="65"/>
      <c r="BK346" s="81">
        <f t="shared" si="443"/>
        <v>0</v>
      </c>
      <c r="BL346" s="65"/>
      <c r="BM346" s="204"/>
      <c r="BN346" s="156">
        <f>IF(B346&lt;&gt;"",_xlfn.XLOOKUP(B346,'Cronog. e Histog.'!B:B,'Cronog. e Histog.'!EK:EK),0)</f>
        <v>0</v>
      </c>
      <c r="BO346" s="109">
        <f>($O346/Dashboard!$D$15)*(1+Dashboard!$D$19)</f>
        <v>36.957644628099168</v>
      </c>
      <c r="BP346" s="84">
        <f t="shared" si="444"/>
        <v>0</v>
      </c>
      <c r="BQ346" s="65"/>
      <c r="BR346" s="204"/>
      <c r="BS346" s="156">
        <f>IF(B346&lt;&gt;"",_xlfn.XLOOKUP(B346,'Cronog. e Histog.'!B:B,'Cronog. e Histog.'!EL:EL),0)</f>
        <v>0</v>
      </c>
      <c r="BT346" s="109">
        <f>($O346/Dashboard!$D$15)*(1+Dashboard!$D$20)</f>
        <v>43.117252066115697</v>
      </c>
      <c r="BU346" s="84">
        <f t="shared" si="445"/>
        <v>0</v>
      </c>
      <c r="BV346" s="65"/>
      <c r="BW346" s="204"/>
      <c r="BX346" s="156">
        <f>IF(B346&lt;&gt;"",_xlfn.XLOOKUP(B346,'Cronog. e Histog.'!B:B,'Cronog. e Histog.'!EM:EM),0)</f>
        <v>0</v>
      </c>
      <c r="BY346" s="109">
        <f>($O346/Dashboard!$D$15)*(1+Dashboard!$D$21)</f>
        <v>49.276859504132226</v>
      </c>
      <c r="BZ346" s="84">
        <f t="shared" si="446"/>
        <v>0</v>
      </c>
    </row>
    <row r="347" spans="2:78" ht="12" customHeight="1" outlineLevel="1">
      <c r="B347" s="137" t="str">
        <f>'Cronog. e Histog.'!B486</f>
        <v>AN SR. ADM/CRP - Equipe_01</v>
      </c>
      <c r="C347" s="65"/>
      <c r="D347" s="200">
        <f t="shared" si="412"/>
        <v>0</v>
      </c>
      <c r="E347" s="200">
        <f t="shared" si="413"/>
        <v>0</v>
      </c>
      <c r="F347" s="65"/>
      <c r="G347" s="200">
        <f t="shared" si="414"/>
        <v>0</v>
      </c>
      <c r="H347" s="200">
        <f t="shared" si="415"/>
        <v>0</v>
      </c>
      <c r="I347" s="65"/>
      <c r="J347" s="143" t="str">
        <f>IF('Cronog. e Histog.'!G486&gt;0,'Cronog. e Histog.'!G486,"")</f>
        <v>AN SR. ADM/CRP</v>
      </c>
      <c r="K347" s="65"/>
      <c r="L347" s="144">
        <f>'Cronog. e Histog.'!BT486</f>
        <v>0</v>
      </c>
      <c r="M347" s="144">
        <f>'Cronog. e Histog.'!BU486</f>
        <v>0</v>
      </c>
      <c r="N347" s="65"/>
      <c r="O347" s="109">
        <f>_xlfn.XLOOKUP(B347,Salários!B:B,Salários!K:K)</f>
        <v>7420</v>
      </c>
      <c r="P347" s="109">
        <f t="shared" si="430"/>
        <v>0</v>
      </c>
      <c r="Q347" s="109">
        <f t="shared" si="431"/>
        <v>0</v>
      </c>
      <c r="R347" s="65"/>
      <c r="S347" s="109">
        <f t="shared" si="432"/>
        <v>7420</v>
      </c>
      <c r="T347" s="201" t="str">
        <f>IF(_xlfn.XLOOKUP(B347,Salários!B:B,Salários!I:I)&gt;0,_xlfn.XLOOKUP(B347,Salários!B:B,Salários!I:I),"")</f>
        <v>Mensalista</v>
      </c>
      <c r="U347" s="117">
        <f t="shared" si="433"/>
        <v>0</v>
      </c>
      <c r="V347" s="65"/>
      <c r="W347" s="202"/>
      <c r="X347" s="65"/>
      <c r="Y347" s="69"/>
      <c r="Z347" s="65"/>
      <c r="AA347" s="518"/>
      <c r="AB347" s="65"/>
      <c r="AC347" s="81">
        <f t="shared" si="434"/>
        <v>0</v>
      </c>
      <c r="AD347" s="65"/>
      <c r="AE347" s="112"/>
      <c r="AF347" s="203">
        <v>0.3</v>
      </c>
      <c r="AG347" s="109">
        <f t="shared" si="435"/>
        <v>7420</v>
      </c>
      <c r="AH347" s="84">
        <f t="shared" si="436"/>
        <v>0</v>
      </c>
      <c r="AI347" s="65"/>
      <c r="AJ347" s="112"/>
      <c r="AK347" s="122"/>
      <c r="AL347" s="109">
        <v>1212</v>
      </c>
      <c r="AM347" s="84">
        <f t="shared" si="437"/>
        <v>0</v>
      </c>
      <c r="AN347" s="65"/>
      <c r="AO347" s="112"/>
      <c r="AP347" s="204"/>
      <c r="AQ347" s="109">
        <f>IFERROR((O347+AH347+AM347)/Dashboard!$D$15,0)*0.2</f>
        <v>7.6652892561983466</v>
      </c>
      <c r="AR347" s="84">
        <f t="shared" si="438"/>
        <v>0</v>
      </c>
      <c r="AS347" s="65"/>
      <c r="AT347" s="112"/>
      <c r="AU347" s="203">
        <v>0.33</v>
      </c>
      <c r="AV347" s="109">
        <f t="shared" si="424"/>
        <v>7420</v>
      </c>
      <c r="AW347" s="84">
        <f t="shared" si="439"/>
        <v>0</v>
      </c>
      <c r="AX347" s="65"/>
      <c r="AY347" s="112"/>
      <c r="AZ347" s="203">
        <v>0.25</v>
      </c>
      <c r="BA347" s="109">
        <f t="shared" si="440"/>
        <v>7420</v>
      </c>
      <c r="BB347" s="84">
        <f t="shared" si="441"/>
        <v>0</v>
      </c>
      <c r="BC347" s="65"/>
      <c r="BD347" s="112"/>
      <c r="BE347" s="203">
        <v>0.26</v>
      </c>
      <c r="BF347" s="109">
        <f t="shared" si="427"/>
        <v>7420</v>
      </c>
      <c r="BG347" s="84">
        <f t="shared" si="442"/>
        <v>0</v>
      </c>
      <c r="BH347" s="197"/>
      <c r="BI347" s="518"/>
      <c r="BJ347" s="65"/>
      <c r="BK347" s="81">
        <f t="shared" si="443"/>
        <v>0</v>
      </c>
      <c r="BL347" s="65"/>
      <c r="BM347" s="204"/>
      <c r="BN347" s="156">
        <f>IF(B347&lt;&gt;"",_xlfn.XLOOKUP(B347,'Cronog. e Histog.'!B:B,'Cronog. e Histog.'!EK:EK),0)</f>
        <v>0</v>
      </c>
      <c r="BO347" s="109">
        <f>($O347/Dashboard!$D$15)*(1+Dashboard!$D$19)</f>
        <v>57.489669421487598</v>
      </c>
      <c r="BP347" s="84">
        <f t="shared" si="444"/>
        <v>0</v>
      </c>
      <c r="BQ347" s="65"/>
      <c r="BR347" s="204"/>
      <c r="BS347" s="156">
        <f>IF(B347&lt;&gt;"",_xlfn.XLOOKUP(B347,'Cronog. e Histog.'!B:B,'Cronog. e Histog.'!EL:EL),0)</f>
        <v>0</v>
      </c>
      <c r="BT347" s="109">
        <f>($O347/Dashboard!$D$15)*(1+Dashboard!$D$20)</f>
        <v>67.071280991735534</v>
      </c>
      <c r="BU347" s="84">
        <f t="shared" si="445"/>
        <v>0</v>
      </c>
      <c r="BV347" s="65"/>
      <c r="BW347" s="204"/>
      <c r="BX347" s="156">
        <f>IF(B347&lt;&gt;"",_xlfn.XLOOKUP(B347,'Cronog. e Histog.'!B:B,'Cronog. e Histog.'!EM:EM),0)</f>
        <v>0</v>
      </c>
      <c r="BY347" s="109">
        <f>($O347/Dashboard!$D$15)*(1+Dashboard!$D$21)</f>
        <v>76.652892561983464</v>
      </c>
      <c r="BZ347" s="84">
        <f t="shared" si="446"/>
        <v>0</v>
      </c>
    </row>
    <row r="348" spans="2:78" ht="12" customHeight="1" outlineLevel="1">
      <c r="B348" s="137" t="str">
        <f>'Cronog. e Histog.'!B487</f>
        <v>AN PL. ADM/CRP - Equipe_01</v>
      </c>
      <c r="C348" s="65"/>
      <c r="D348" s="200">
        <f t="shared" si="412"/>
        <v>0</v>
      </c>
      <c r="E348" s="200">
        <f t="shared" si="413"/>
        <v>0</v>
      </c>
      <c r="F348" s="65"/>
      <c r="G348" s="200">
        <f t="shared" si="414"/>
        <v>0</v>
      </c>
      <c r="H348" s="200">
        <f t="shared" si="415"/>
        <v>0</v>
      </c>
      <c r="I348" s="65"/>
      <c r="J348" s="143" t="str">
        <f>IF('Cronog. e Histog.'!G487&gt;0,'Cronog. e Histog.'!G487,"")</f>
        <v>AN PL. ADM/CRP</v>
      </c>
      <c r="K348" s="65"/>
      <c r="L348" s="144">
        <f>'Cronog. e Histog.'!BT487</f>
        <v>0</v>
      </c>
      <c r="M348" s="144">
        <f>'Cronog. e Histog.'!BU487</f>
        <v>0</v>
      </c>
      <c r="N348" s="65"/>
      <c r="O348" s="109">
        <f>_xlfn.XLOOKUP(B348,Salários!B:B,Salários!K:K)</f>
        <v>5300</v>
      </c>
      <c r="P348" s="109">
        <f t="shared" si="430"/>
        <v>0</v>
      </c>
      <c r="Q348" s="109">
        <f t="shared" si="431"/>
        <v>0</v>
      </c>
      <c r="R348" s="65"/>
      <c r="S348" s="109">
        <f t="shared" si="432"/>
        <v>5300</v>
      </c>
      <c r="T348" s="201" t="str">
        <f>IF(_xlfn.XLOOKUP(B348,Salários!B:B,Salários!I:I)&gt;0,_xlfn.XLOOKUP(B348,Salários!B:B,Salários!I:I),"")</f>
        <v>Mensalista</v>
      </c>
      <c r="U348" s="117">
        <f t="shared" si="433"/>
        <v>0</v>
      </c>
      <c r="V348" s="65"/>
      <c r="W348" s="202"/>
      <c r="X348" s="65"/>
      <c r="Y348" s="69"/>
      <c r="Z348" s="65"/>
      <c r="AA348" s="518"/>
      <c r="AB348" s="65"/>
      <c r="AC348" s="81">
        <f t="shared" si="434"/>
        <v>0</v>
      </c>
      <c r="AD348" s="65"/>
      <c r="AE348" s="112"/>
      <c r="AF348" s="203">
        <v>0.3</v>
      </c>
      <c r="AG348" s="109">
        <f t="shared" si="435"/>
        <v>5300</v>
      </c>
      <c r="AH348" s="84">
        <f t="shared" si="436"/>
        <v>0</v>
      </c>
      <c r="AI348" s="65"/>
      <c r="AJ348" s="112"/>
      <c r="AK348" s="122"/>
      <c r="AL348" s="109">
        <v>1212</v>
      </c>
      <c r="AM348" s="84">
        <f t="shared" si="437"/>
        <v>0</v>
      </c>
      <c r="AN348" s="65"/>
      <c r="AO348" s="112"/>
      <c r="AP348" s="204"/>
      <c r="AQ348" s="109">
        <f>IFERROR((O348+AH348+AM348)/Dashboard!$D$15,0)*0.2</f>
        <v>5.4752066115702478</v>
      </c>
      <c r="AR348" s="84">
        <f t="shared" si="438"/>
        <v>0</v>
      </c>
      <c r="AS348" s="65"/>
      <c r="AT348" s="112"/>
      <c r="AU348" s="203">
        <v>0.33</v>
      </c>
      <c r="AV348" s="109">
        <f t="shared" si="424"/>
        <v>5300</v>
      </c>
      <c r="AW348" s="84">
        <f t="shared" si="439"/>
        <v>0</v>
      </c>
      <c r="AX348" s="65"/>
      <c r="AY348" s="112"/>
      <c r="AZ348" s="203">
        <v>0.25</v>
      </c>
      <c r="BA348" s="109">
        <f t="shared" si="440"/>
        <v>5300</v>
      </c>
      <c r="BB348" s="84">
        <f t="shared" si="441"/>
        <v>0</v>
      </c>
      <c r="BC348" s="65"/>
      <c r="BD348" s="112"/>
      <c r="BE348" s="203">
        <v>0.26</v>
      </c>
      <c r="BF348" s="109">
        <f t="shared" si="427"/>
        <v>5300</v>
      </c>
      <c r="BG348" s="84">
        <f t="shared" si="442"/>
        <v>0</v>
      </c>
      <c r="BH348" s="197"/>
      <c r="BI348" s="518"/>
      <c r="BJ348" s="65"/>
      <c r="BK348" s="81">
        <f t="shared" si="443"/>
        <v>0</v>
      </c>
      <c r="BL348" s="65"/>
      <c r="BM348" s="204"/>
      <c r="BN348" s="156">
        <f>IF(B348&lt;&gt;"",_xlfn.XLOOKUP(B348,'Cronog. e Histog.'!B:B,'Cronog. e Histog.'!EK:EK),0)</f>
        <v>0</v>
      </c>
      <c r="BO348" s="109">
        <f>($O348/Dashboard!$D$15)*(1+Dashboard!$D$19)</f>
        <v>41.064049586776861</v>
      </c>
      <c r="BP348" s="84">
        <f t="shared" si="444"/>
        <v>0</v>
      </c>
      <c r="BQ348" s="65"/>
      <c r="BR348" s="204"/>
      <c r="BS348" s="156">
        <f>IF(B348&lt;&gt;"",_xlfn.XLOOKUP(B348,'Cronog. e Histog.'!B:B,'Cronog. e Histog.'!EL:EL),0)</f>
        <v>0</v>
      </c>
      <c r="BT348" s="109">
        <f>($O348/Dashboard!$D$15)*(1+Dashboard!$D$20)</f>
        <v>47.908057851239668</v>
      </c>
      <c r="BU348" s="84">
        <f t="shared" si="445"/>
        <v>0</v>
      </c>
      <c r="BV348" s="65"/>
      <c r="BW348" s="204"/>
      <c r="BX348" s="156">
        <f>IF(B348&lt;&gt;"",_xlfn.XLOOKUP(B348,'Cronog. e Histog.'!B:B,'Cronog. e Histog.'!EM:EM),0)</f>
        <v>0</v>
      </c>
      <c r="BY348" s="109">
        <f>($O348/Dashboard!$D$15)*(1+Dashboard!$D$21)</f>
        <v>54.752066115702476</v>
      </c>
      <c r="BZ348" s="84">
        <f t="shared" si="446"/>
        <v>0</v>
      </c>
    </row>
    <row r="349" spans="2:78" ht="12" customHeight="1" outlineLevel="1">
      <c r="B349" s="137" t="str">
        <f>'Cronog. e Histog.'!B488</f>
        <v>AN JR. ADM/CRP - Equipe_01</v>
      </c>
      <c r="C349" s="65"/>
      <c r="D349" s="200">
        <f t="shared" si="412"/>
        <v>0</v>
      </c>
      <c r="E349" s="200">
        <f t="shared" si="413"/>
        <v>0</v>
      </c>
      <c r="F349" s="65"/>
      <c r="G349" s="200">
        <f t="shared" si="414"/>
        <v>0</v>
      </c>
      <c r="H349" s="200">
        <f t="shared" si="415"/>
        <v>0</v>
      </c>
      <c r="I349" s="65"/>
      <c r="J349" s="143" t="str">
        <f>IF('Cronog. e Histog.'!G488&gt;0,'Cronog. e Histog.'!G488,"")</f>
        <v>AN JR. ADM/CRP</v>
      </c>
      <c r="K349" s="65"/>
      <c r="L349" s="144">
        <f>'Cronog. e Histog.'!BT488</f>
        <v>0</v>
      </c>
      <c r="M349" s="144">
        <f>'Cronog. e Histog.'!BU488</f>
        <v>0</v>
      </c>
      <c r="N349" s="65"/>
      <c r="O349" s="109">
        <f>_xlfn.XLOOKUP(B349,Salários!B:B,Salários!K:K)</f>
        <v>3710</v>
      </c>
      <c r="P349" s="109">
        <f t="shared" si="430"/>
        <v>0</v>
      </c>
      <c r="Q349" s="109">
        <f t="shared" si="431"/>
        <v>0</v>
      </c>
      <c r="R349" s="65"/>
      <c r="S349" s="109">
        <f t="shared" si="432"/>
        <v>3710</v>
      </c>
      <c r="T349" s="201" t="str">
        <f>IF(_xlfn.XLOOKUP(B349,Salários!B:B,Salários!I:I)&gt;0,_xlfn.XLOOKUP(B349,Salários!B:B,Salários!I:I),"")</f>
        <v>Mensalista</v>
      </c>
      <c r="U349" s="117">
        <f t="shared" si="419"/>
        <v>0</v>
      </c>
      <c r="V349" s="65"/>
      <c r="W349" s="202"/>
      <c r="X349" s="65"/>
      <c r="Y349" s="69"/>
      <c r="Z349" s="65"/>
      <c r="AA349" s="518"/>
      <c r="AB349" s="65"/>
      <c r="AC349" s="81">
        <f t="shared" si="420"/>
        <v>0</v>
      </c>
      <c r="AD349" s="65"/>
      <c r="AE349" s="112"/>
      <c r="AF349" s="203">
        <v>0.3</v>
      </c>
      <c r="AG349" s="109">
        <f t="shared" si="44"/>
        <v>3710</v>
      </c>
      <c r="AH349" s="84">
        <f t="shared" si="421"/>
        <v>0</v>
      </c>
      <c r="AI349" s="65"/>
      <c r="AJ349" s="112"/>
      <c r="AK349" s="122"/>
      <c r="AL349" s="109">
        <v>1212</v>
      </c>
      <c r="AM349" s="84">
        <f t="shared" si="422"/>
        <v>0</v>
      </c>
      <c r="AN349" s="65"/>
      <c r="AO349" s="112"/>
      <c r="AP349" s="204"/>
      <c r="AQ349" s="109">
        <f>IFERROR((O349+AH349+AM349)/Dashboard!$D$15,0)*0.2</f>
        <v>3.8326446280991733</v>
      </c>
      <c r="AR349" s="84">
        <f t="shared" si="423"/>
        <v>0</v>
      </c>
      <c r="AS349" s="65"/>
      <c r="AT349" s="112"/>
      <c r="AU349" s="203">
        <v>0.33</v>
      </c>
      <c r="AV349" s="109">
        <f t="shared" si="424"/>
        <v>3710</v>
      </c>
      <c r="AW349" s="84">
        <f t="shared" si="425"/>
        <v>0</v>
      </c>
      <c r="AX349" s="65"/>
      <c r="AY349" s="112"/>
      <c r="AZ349" s="203">
        <v>0.25</v>
      </c>
      <c r="BA349" s="109">
        <f t="shared" si="50"/>
        <v>3710</v>
      </c>
      <c r="BB349" s="84">
        <f t="shared" si="426"/>
        <v>0</v>
      </c>
      <c r="BC349" s="65"/>
      <c r="BD349" s="112"/>
      <c r="BE349" s="203">
        <v>0.26</v>
      </c>
      <c r="BF349" s="109">
        <f t="shared" si="427"/>
        <v>3710</v>
      </c>
      <c r="BG349" s="84">
        <f t="shared" si="428"/>
        <v>0</v>
      </c>
      <c r="BH349" s="197"/>
      <c r="BI349" s="518"/>
      <c r="BJ349" s="65"/>
      <c r="BK349" s="81">
        <f t="shared" si="429"/>
        <v>0</v>
      </c>
      <c r="BL349" s="65"/>
      <c r="BM349" s="204"/>
      <c r="BN349" s="156">
        <f>IF(B349&lt;&gt;"",_xlfn.XLOOKUP(B349,'Cronog. e Histog.'!B:B,'Cronog. e Histog.'!EK:EK),0)</f>
        <v>0</v>
      </c>
      <c r="BO349" s="109">
        <f>($O349/Dashboard!$D$15)*(1+Dashboard!$D$19)</f>
        <v>28.744834710743799</v>
      </c>
      <c r="BP349" s="84">
        <f t="shared" si="444"/>
        <v>0</v>
      </c>
      <c r="BQ349" s="65"/>
      <c r="BR349" s="204"/>
      <c r="BS349" s="156">
        <f>IF(B349&lt;&gt;"",_xlfn.XLOOKUP(B349,'Cronog. e Histog.'!B:B,'Cronog. e Histog.'!EL:EL),0)</f>
        <v>0</v>
      </c>
      <c r="BT349" s="109">
        <f>($O349/Dashboard!$D$15)*(1+Dashboard!$D$20)</f>
        <v>33.535640495867767</v>
      </c>
      <c r="BU349" s="84">
        <f t="shared" si="445"/>
        <v>0</v>
      </c>
      <c r="BV349" s="65"/>
      <c r="BW349" s="204"/>
      <c r="BX349" s="156">
        <f>IF(B349&lt;&gt;"",_xlfn.XLOOKUP(B349,'Cronog. e Histog.'!B:B,'Cronog. e Histog.'!EM:EM),0)</f>
        <v>0</v>
      </c>
      <c r="BY349" s="109">
        <f>($O349/Dashboard!$D$15)*(1+Dashboard!$D$21)</f>
        <v>38.326446280991732</v>
      </c>
      <c r="BZ349" s="84">
        <f t="shared" si="446"/>
        <v>0</v>
      </c>
    </row>
    <row r="350" spans="2:78" ht="12" customHeight="1" outlineLevel="1">
      <c r="B350" s="137" t="str">
        <f>'Cronog. e Histog.'!B489</f>
        <v>TEC III - Equipe_01</v>
      </c>
      <c r="C350" s="65"/>
      <c r="D350" s="200">
        <f t="shared" si="412"/>
        <v>0</v>
      </c>
      <c r="E350" s="200">
        <f t="shared" si="413"/>
        <v>0</v>
      </c>
      <c r="F350" s="65"/>
      <c r="G350" s="200">
        <f t="shared" si="414"/>
        <v>0</v>
      </c>
      <c r="H350" s="200">
        <f t="shared" si="415"/>
        <v>0</v>
      </c>
      <c r="I350" s="65"/>
      <c r="J350" s="143" t="str">
        <f>IF('Cronog. e Histog.'!G489&gt;0,'Cronog. e Histog.'!G489,"")</f>
        <v>TEC III</v>
      </c>
      <c r="K350" s="65"/>
      <c r="L350" s="144">
        <f>'Cronog. e Histog.'!BT489</f>
        <v>0</v>
      </c>
      <c r="M350" s="144">
        <f>'Cronog. e Histog.'!BU489</f>
        <v>0</v>
      </c>
      <c r="N350" s="65"/>
      <c r="O350" s="109">
        <f>_xlfn.XLOOKUP(B350,Salários!B:B,Salários!K:K)</f>
        <v>6360</v>
      </c>
      <c r="P350" s="109">
        <f t="shared" si="430"/>
        <v>0</v>
      </c>
      <c r="Q350" s="109">
        <f t="shared" si="431"/>
        <v>0</v>
      </c>
      <c r="R350" s="65"/>
      <c r="S350" s="109">
        <f t="shared" si="432"/>
        <v>6360</v>
      </c>
      <c r="T350" s="201" t="str">
        <f>IF(_xlfn.XLOOKUP(B350,Salários!B:B,Salários!I:I)&gt;0,_xlfn.XLOOKUP(B350,Salários!B:B,Salários!I:I),"")</f>
        <v>Mensalista</v>
      </c>
      <c r="U350" s="117">
        <f t="shared" si="419"/>
        <v>0</v>
      </c>
      <c r="V350" s="65"/>
      <c r="W350" s="202"/>
      <c r="X350" s="65"/>
      <c r="Y350" s="69"/>
      <c r="Z350" s="65"/>
      <c r="AA350" s="518"/>
      <c r="AB350" s="65"/>
      <c r="AC350" s="81">
        <f t="shared" si="420"/>
        <v>0</v>
      </c>
      <c r="AD350" s="65"/>
      <c r="AE350" s="112"/>
      <c r="AF350" s="203">
        <v>0.3</v>
      </c>
      <c r="AG350" s="109">
        <f t="shared" si="44"/>
        <v>6360</v>
      </c>
      <c r="AH350" s="84">
        <f t="shared" si="421"/>
        <v>0</v>
      </c>
      <c r="AI350" s="65"/>
      <c r="AJ350" s="112"/>
      <c r="AK350" s="122"/>
      <c r="AL350" s="109">
        <v>1212</v>
      </c>
      <c r="AM350" s="84">
        <f t="shared" si="422"/>
        <v>0</v>
      </c>
      <c r="AN350" s="65"/>
      <c r="AO350" s="112"/>
      <c r="AP350" s="204"/>
      <c r="AQ350" s="109">
        <f>IFERROR((O350+AH350+AM350)/Dashboard!$D$15,0)*0.2</f>
        <v>6.5702479338842963</v>
      </c>
      <c r="AR350" s="84">
        <f t="shared" si="423"/>
        <v>0</v>
      </c>
      <c r="AS350" s="65"/>
      <c r="AT350" s="112"/>
      <c r="AU350" s="203">
        <v>0.33</v>
      </c>
      <c r="AV350" s="109">
        <f t="shared" si="424"/>
        <v>6360</v>
      </c>
      <c r="AW350" s="84">
        <f t="shared" si="425"/>
        <v>0</v>
      </c>
      <c r="AX350" s="65"/>
      <c r="AY350" s="112"/>
      <c r="AZ350" s="203">
        <v>0.25</v>
      </c>
      <c r="BA350" s="109">
        <f t="shared" si="50"/>
        <v>6360</v>
      </c>
      <c r="BB350" s="84">
        <f t="shared" si="426"/>
        <v>0</v>
      </c>
      <c r="BC350" s="65"/>
      <c r="BD350" s="112"/>
      <c r="BE350" s="203">
        <v>0.26</v>
      </c>
      <c r="BF350" s="109">
        <f t="shared" si="427"/>
        <v>6360</v>
      </c>
      <c r="BG350" s="84">
        <f t="shared" si="428"/>
        <v>0</v>
      </c>
      <c r="BH350" s="197"/>
      <c r="BI350" s="518"/>
      <c r="BJ350" s="65"/>
      <c r="BK350" s="81">
        <f t="shared" si="429"/>
        <v>0</v>
      </c>
      <c r="BL350" s="65"/>
      <c r="BM350" s="204"/>
      <c r="BN350" s="156">
        <f>IF(B350&lt;&gt;"",_xlfn.XLOOKUP(B350,'Cronog. e Histog.'!B:B,'Cronog. e Histog.'!EK:EK),0)</f>
        <v>0</v>
      </c>
      <c r="BO350" s="109">
        <f>($O350/Dashboard!$D$15)*(1+Dashboard!$D$19)</f>
        <v>49.276859504132219</v>
      </c>
      <c r="BP350" s="84">
        <f t="shared" si="444"/>
        <v>0</v>
      </c>
      <c r="BQ350" s="65"/>
      <c r="BR350" s="204"/>
      <c r="BS350" s="156">
        <f>IF(B350&lt;&gt;"",_xlfn.XLOOKUP(B350,'Cronog. e Histog.'!B:B,'Cronog. e Histog.'!EL:EL),0)</f>
        <v>0</v>
      </c>
      <c r="BT350" s="109">
        <f>($O350/Dashboard!$D$15)*(1+Dashboard!$D$20)</f>
        <v>57.489669421487591</v>
      </c>
      <c r="BU350" s="84">
        <f t="shared" si="445"/>
        <v>0</v>
      </c>
      <c r="BV350" s="65"/>
      <c r="BW350" s="204"/>
      <c r="BX350" s="156">
        <f>IF(B350&lt;&gt;"",_xlfn.XLOOKUP(B350,'Cronog. e Histog.'!B:B,'Cronog. e Histog.'!EM:EM),0)</f>
        <v>0</v>
      </c>
      <c r="BY350" s="109">
        <f>($O350/Dashboard!$D$15)*(1+Dashboard!$D$21)</f>
        <v>65.702479338842963</v>
      </c>
      <c r="BZ350" s="84">
        <f t="shared" si="446"/>
        <v>0</v>
      </c>
    </row>
    <row r="351" spans="2:78" ht="12" customHeight="1" outlineLevel="1">
      <c r="B351" s="137" t="str">
        <f>'Cronog. e Histog.'!B490</f>
        <v>TEC II - Equipe_01</v>
      </c>
      <c r="C351" s="65"/>
      <c r="D351" s="200">
        <f t="shared" si="412"/>
        <v>0</v>
      </c>
      <c r="E351" s="200">
        <f t="shared" si="413"/>
        <v>0</v>
      </c>
      <c r="F351" s="65"/>
      <c r="G351" s="200">
        <f t="shared" si="414"/>
        <v>0</v>
      </c>
      <c r="H351" s="200">
        <f t="shared" si="415"/>
        <v>0</v>
      </c>
      <c r="I351" s="65"/>
      <c r="J351" s="143" t="str">
        <f>IF('Cronog. e Histog.'!G490&gt;0,'Cronog. e Histog.'!G490,"")</f>
        <v>TEC II</v>
      </c>
      <c r="K351" s="65"/>
      <c r="L351" s="144">
        <f>'Cronog. e Histog.'!BT490</f>
        <v>0</v>
      </c>
      <c r="M351" s="144">
        <f>'Cronog. e Histog.'!BU490</f>
        <v>0</v>
      </c>
      <c r="N351" s="65"/>
      <c r="O351" s="109">
        <f>_xlfn.XLOOKUP(B351,Salários!B:B,Salários!K:K)</f>
        <v>4770</v>
      </c>
      <c r="P351" s="109">
        <f t="shared" si="430"/>
        <v>0</v>
      </c>
      <c r="Q351" s="109">
        <f t="shared" si="431"/>
        <v>0</v>
      </c>
      <c r="R351" s="65"/>
      <c r="S351" s="109">
        <f t="shared" si="432"/>
        <v>4770</v>
      </c>
      <c r="T351" s="201" t="str">
        <f>IF(_xlfn.XLOOKUP(B351,Salários!B:B,Salários!I:I)&gt;0,_xlfn.XLOOKUP(B351,Salários!B:B,Salários!I:I),"")</f>
        <v>Mensalista</v>
      </c>
      <c r="U351" s="117">
        <f t="shared" si="419"/>
        <v>0</v>
      </c>
      <c r="V351" s="65"/>
      <c r="W351" s="202"/>
      <c r="X351" s="65"/>
      <c r="Y351" s="69"/>
      <c r="Z351" s="65"/>
      <c r="AA351" s="518"/>
      <c r="AB351" s="65"/>
      <c r="AC351" s="81">
        <f t="shared" si="420"/>
        <v>0</v>
      </c>
      <c r="AD351" s="65"/>
      <c r="AE351" s="112"/>
      <c r="AF351" s="203">
        <v>0.3</v>
      </c>
      <c r="AG351" s="109">
        <f t="shared" si="44"/>
        <v>4770</v>
      </c>
      <c r="AH351" s="84">
        <f t="shared" si="421"/>
        <v>0</v>
      </c>
      <c r="AI351" s="65"/>
      <c r="AJ351" s="112"/>
      <c r="AK351" s="122"/>
      <c r="AL351" s="109">
        <v>1212</v>
      </c>
      <c r="AM351" s="84">
        <f t="shared" si="422"/>
        <v>0</v>
      </c>
      <c r="AN351" s="65"/>
      <c r="AO351" s="112"/>
      <c r="AP351" s="204"/>
      <c r="AQ351" s="109">
        <f>IFERROR((O351+AH351+AM351)/Dashboard!$D$15,0)*0.2</f>
        <v>4.9276859504132231</v>
      </c>
      <c r="AR351" s="84">
        <f t="shared" si="423"/>
        <v>0</v>
      </c>
      <c r="AS351" s="65"/>
      <c r="AT351" s="112"/>
      <c r="AU351" s="203">
        <v>0.33</v>
      </c>
      <c r="AV351" s="109">
        <f t="shared" si="424"/>
        <v>4770</v>
      </c>
      <c r="AW351" s="84">
        <f t="shared" si="425"/>
        <v>0</v>
      </c>
      <c r="AX351" s="65"/>
      <c r="AY351" s="112"/>
      <c r="AZ351" s="203">
        <v>0.25</v>
      </c>
      <c r="BA351" s="109">
        <f t="shared" si="50"/>
        <v>4770</v>
      </c>
      <c r="BB351" s="84">
        <f t="shared" si="426"/>
        <v>0</v>
      </c>
      <c r="BC351" s="65"/>
      <c r="BD351" s="112"/>
      <c r="BE351" s="203">
        <v>0.26</v>
      </c>
      <c r="BF351" s="109">
        <f t="shared" si="427"/>
        <v>4770</v>
      </c>
      <c r="BG351" s="84">
        <f t="shared" si="428"/>
        <v>0</v>
      </c>
      <c r="BH351" s="197"/>
      <c r="BI351" s="518"/>
      <c r="BJ351" s="65"/>
      <c r="BK351" s="81">
        <f t="shared" si="429"/>
        <v>0</v>
      </c>
      <c r="BL351" s="65"/>
      <c r="BM351" s="204"/>
      <c r="BN351" s="156">
        <f>IF(B351&lt;&gt;"",_xlfn.XLOOKUP(B351,'Cronog. e Histog.'!B:B,'Cronog. e Histog.'!EK:EK),0)</f>
        <v>0</v>
      </c>
      <c r="BO351" s="109">
        <f>($O351/Dashboard!$D$15)*(1+Dashboard!$D$19)</f>
        <v>36.957644628099168</v>
      </c>
      <c r="BP351" s="84">
        <f t="shared" si="444"/>
        <v>0</v>
      </c>
      <c r="BQ351" s="65"/>
      <c r="BR351" s="204"/>
      <c r="BS351" s="156">
        <f>IF(B351&lt;&gt;"",_xlfn.XLOOKUP(B351,'Cronog. e Histog.'!B:B,'Cronog. e Histog.'!EL:EL),0)</f>
        <v>0</v>
      </c>
      <c r="BT351" s="109">
        <f>($O351/Dashboard!$D$15)*(1+Dashboard!$D$20)</f>
        <v>43.117252066115697</v>
      </c>
      <c r="BU351" s="84">
        <f t="shared" si="445"/>
        <v>0</v>
      </c>
      <c r="BV351" s="65"/>
      <c r="BW351" s="204"/>
      <c r="BX351" s="156">
        <f>IF(B351&lt;&gt;"",_xlfn.XLOOKUP(B351,'Cronog. e Histog.'!B:B,'Cronog. e Histog.'!EM:EM),0)</f>
        <v>0</v>
      </c>
      <c r="BY351" s="109">
        <f>($O351/Dashboard!$D$15)*(1+Dashboard!$D$21)</f>
        <v>49.276859504132226</v>
      </c>
      <c r="BZ351" s="84">
        <f t="shared" si="446"/>
        <v>0</v>
      </c>
    </row>
    <row r="352" spans="2:78" ht="12" customHeight="1" outlineLevel="1">
      <c r="B352" s="137" t="str">
        <f>'Cronog. e Histog.'!B491</f>
        <v>TEC I - Equipe_01</v>
      </c>
      <c r="C352" s="65"/>
      <c r="D352" s="200">
        <f t="shared" si="412"/>
        <v>0</v>
      </c>
      <c r="E352" s="200">
        <f t="shared" si="413"/>
        <v>0</v>
      </c>
      <c r="F352" s="65"/>
      <c r="G352" s="200">
        <f t="shared" si="414"/>
        <v>0</v>
      </c>
      <c r="H352" s="200">
        <f t="shared" si="415"/>
        <v>0</v>
      </c>
      <c r="I352" s="65"/>
      <c r="J352" s="143" t="str">
        <f>IF('Cronog. e Histog.'!G491&gt;0,'Cronog. e Histog.'!G491,"")</f>
        <v>TEC I</v>
      </c>
      <c r="K352" s="65"/>
      <c r="L352" s="144">
        <f>'Cronog. e Histog.'!BT491</f>
        <v>0</v>
      </c>
      <c r="M352" s="144">
        <f>'Cronog. e Histog.'!BU491</f>
        <v>0</v>
      </c>
      <c r="N352" s="65"/>
      <c r="O352" s="109">
        <f>_xlfn.XLOOKUP(B352,Salários!B:B,Salários!K:K)</f>
        <v>3180</v>
      </c>
      <c r="P352" s="109">
        <f t="shared" si="430"/>
        <v>0</v>
      </c>
      <c r="Q352" s="109">
        <f t="shared" si="431"/>
        <v>0</v>
      </c>
      <c r="R352" s="65"/>
      <c r="S352" s="109">
        <f t="shared" si="432"/>
        <v>3180</v>
      </c>
      <c r="T352" s="201" t="str">
        <f>IF(_xlfn.XLOOKUP(B352,Salários!B:B,Salários!I:I)&gt;0,_xlfn.XLOOKUP(B352,Salários!B:B,Salários!I:I),"")</f>
        <v>Mensalista</v>
      </c>
      <c r="U352" s="117">
        <f t="shared" si="419"/>
        <v>0</v>
      </c>
      <c r="V352" s="65"/>
      <c r="W352" s="202"/>
      <c r="X352" s="65"/>
      <c r="Y352" s="69"/>
      <c r="Z352" s="65"/>
      <c r="AA352" s="518"/>
      <c r="AB352" s="65"/>
      <c r="AC352" s="81">
        <f t="shared" si="420"/>
        <v>0</v>
      </c>
      <c r="AD352" s="65"/>
      <c r="AE352" s="112"/>
      <c r="AF352" s="203">
        <v>0.3</v>
      </c>
      <c r="AG352" s="109">
        <f t="shared" si="44"/>
        <v>3180</v>
      </c>
      <c r="AH352" s="84">
        <f t="shared" si="421"/>
        <v>0</v>
      </c>
      <c r="AI352" s="65"/>
      <c r="AJ352" s="112"/>
      <c r="AK352" s="122"/>
      <c r="AL352" s="109">
        <v>1212</v>
      </c>
      <c r="AM352" s="84">
        <f t="shared" si="422"/>
        <v>0</v>
      </c>
      <c r="AN352" s="65"/>
      <c r="AO352" s="112"/>
      <c r="AP352" s="204"/>
      <c r="AQ352" s="109">
        <f>IFERROR((O352+AH352+AM352)/Dashboard!$D$15,0)*0.2</f>
        <v>3.2851239669421481</v>
      </c>
      <c r="AR352" s="84">
        <f t="shared" si="423"/>
        <v>0</v>
      </c>
      <c r="AS352" s="65"/>
      <c r="AT352" s="112"/>
      <c r="AU352" s="203">
        <v>0.33</v>
      </c>
      <c r="AV352" s="109">
        <f t="shared" si="424"/>
        <v>3180</v>
      </c>
      <c r="AW352" s="84">
        <f t="shared" si="425"/>
        <v>0</v>
      </c>
      <c r="AX352" s="65"/>
      <c r="AY352" s="112"/>
      <c r="AZ352" s="203">
        <v>0.25</v>
      </c>
      <c r="BA352" s="109">
        <f t="shared" si="50"/>
        <v>3180</v>
      </c>
      <c r="BB352" s="84">
        <f t="shared" si="426"/>
        <v>0</v>
      </c>
      <c r="BC352" s="65"/>
      <c r="BD352" s="112"/>
      <c r="BE352" s="203">
        <v>0.26</v>
      </c>
      <c r="BF352" s="109">
        <f t="shared" si="427"/>
        <v>3180</v>
      </c>
      <c r="BG352" s="84">
        <f t="shared" si="428"/>
        <v>0</v>
      </c>
      <c r="BH352" s="197"/>
      <c r="BI352" s="518"/>
      <c r="BJ352" s="65"/>
      <c r="BK352" s="81">
        <f t="shared" si="429"/>
        <v>0</v>
      </c>
      <c r="BL352" s="65"/>
      <c r="BM352" s="204"/>
      <c r="BN352" s="156">
        <f>IF(B352&lt;&gt;"",_xlfn.XLOOKUP(B352,'Cronog. e Histog.'!B:B,'Cronog. e Histog.'!EK:EK),0)</f>
        <v>0</v>
      </c>
      <c r="BO352" s="109">
        <f>($O352/Dashboard!$D$15)*(1+Dashboard!$D$19)</f>
        <v>24.638429752066109</v>
      </c>
      <c r="BP352" s="84">
        <f t="shared" si="444"/>
        <v>0</v>
      </c>
      <c r="BQ352" s="65"/>
      <c r="BR352" s="204"/>
      <c r="BS352" s="156">
        <f>IF(B352&lt;&gt;"",_xlfn.XLOOKUP(B352,'Cronog. e Histog.'!B:B,'Cronog. e Histog.'!EL:EL),0)</f>
        <v>0</v>
      </c>
      <c r="BT352" s="109">
        <f>($O352/Dashboard!$D$15)*(1+Dashboard!$D$20)</f>
        <v>28.744834710743795</v>
      </c>
      <c r="BU352" s="84">
        <f t="shared" si="445"/>
        <v>0</v>
      </c>
      <c r="BV352" s="65"/>
      <c r="BW352" s="204"/>
      <c r="BX352" s="156">
        <f>IF(B352&lt;&gt;"",_xlfn.XLOOKUP(B352,'Cronog. e Histog.'!B:B,'Cronog. e Histog.'!EM:EM),0)</f>
        <v>0</v>
      </c>
      <c r="BY352" s="109">
        <f>($O352/Dashboard!$D$15)*(1+Dashboard!$D$21)</f>
        <v>32.851239669421481</v>
      </c>
      <c r="BZ352" s="84">
        <f t="shared" si="446"/>
        <v>0</v>
      </c>
    </row>
    <row r="353" spans="2:78" ht="12" customHeight="1" outlineLevel="1">
      <c r="B353" s="137" t="str">
        <f>'Cronog. e Histog.'!B492</f>
        <v>AUX TEC - Equipe_01</v>
      </c>
      <c r="C353" s="65"/>
      <c r="D353" s="200">
        <f t="shared" si="412"/>
        <v>0</v>
      </c>
      <c r="E353" s="200">
        <f t="shared" si="413"/>
        <v>0</v>
      </c>
      <c r="F353" s="65"/>
      <c r="G353" s="200">
        <f t="shared" si="414"/>
        <v>0</v>
      </c>
      <c r="H353" s="200">
        <f t="shared" si="415"/>
        <v>0</v>
      </c>
      <c r="I353" s="65"/>
      <c r="J353" s="143" t="str">
        <f>IF('Cronog. e Histog.'!G492&gt;0,'Cronog. e Histog.'!G492,"")</f>
        <v>AUX TEC</v>
      </c>
      <c r="K353" s="65"/>
      <c r="L353" s="144">
        <f>'Cronog. e Histog.'!BT492</f>
        <v>0</v>
      </c>
      <c r="M353" s="144">
        <f>'Cronog. e Histog.'!BU492</f>
        <v>0</v>
      </c>
      <c r="N353" s="65"/>
      <c r="O353" s="109">
        <f>_xlfn.XLOOKUP(B353,Salários!B:B,Salários!K:K)</f>
        <v>3710</v>
      </c>
      <c r="P353" s="109">
        <f t="shared" si="430"/>
        <v>0</v>
      </c>
      <c r="Q353" s="109">
        <f t="shared" si="431"/>
        <v>0</v>
      </c>
      <c r="R353" s="65"/>
      <c r="S353" s="109">
        <f t="shared" si="432"/>
        <v>3710</v>
      </c>
      <c r="T353" s="201" t="str">
        <f>IF(_xlfn.XLOOKUP(B353,Salários!B:B,Salários!I:I)&gt;0,_xlfn.XLOOKUP(B353,Salários!B:B,Salários!I:I),"")</f>
        <v>Mensalista</v>
      </c>
      <c r="U353" s="117">
        <f t="shared" si="419"/>
        <v>0</v>
      </c>
      <c r="V353" s="65"/>
      <c r="W353" s="202"/>
      <c r="X353" s="65"/>
      <c r="Y353" s="69"/>
      <c r="Z353" s="65"/>
      <c r="AA353" s="518"/>
      <c r="AB353" s="65"/>
      <c r="AC353" s="81">
        <f t="shared" si="420"/>
        <v>0</v>
      </c>
      <c r="AD353" s="65"/>
      <c r="AE353" s="112"/>
      <c r="AF353" s="203">
        <v>0.3</v>
      </c>
      <c r="AG353" s="109">
        <f t="shared" si="44"/>
        <v>3710</v>
      </c>
      <c r="AH353" s="84">
        <f t="shared" si="421"/>
        <v>0</v>
      </c>
      <c r="AI353" s="65"/>
      <c r="AJ353" s="112"/>
      <c r="AK353" s="122"/>
      <c r="AL353" s="109">
        <v>1212</v>
      </c>
      <c r="AM353" s="84">
        <f t="shared" si="422"/>
        <v>0</v>
      </c>
      <c r="AN353" s="65"/>
      <c r="AO353" s="112"/>
      <c r="AP353" s="204"/>
      <c r="AQ353" s="109">
        <f>IFERROR((O353+AH353+AM353)/Dashboard!$D$15,0)*0.2</f>
        <v>3.8326446280991733</v>
      </c>
      <c r="AR353" s="84">
        <f t="shared" si="423"/>
        <v>0</v>
      </c>
      <c r="AS353" s="65"/>
      <c r="AT353" s="112"/>
      <c r="AU353" s="203">
        <v>0.33</v>
      </c>
      <c r="AV353" s="109">
        <f t="shared" si="424"/>
        <v>3710</v>
      </c>
      <c r="AW353" s="84">
        <f t="shared" si="425"/>
        <v>0</v>
      </c>
      <c r="AX353" s="65"/>
      <c r="AY353" s="112"/>
      <c r="AZ353" s="203">
        <v>0.25</v>
      </c>
      <c r="BA353" s="109">
        <f t="shared" si="50"/>
        <v>3710</v>
      </c>
      <c r="BB353" s="84">
        <f t="shared" si="426"/>
        <v>0</v>
      </c>
      <c r="BC353" s="65"/>
      <c r="BD353" s="112"/>
      <c r="BE353" s="203">
        <v>0.26</v>
      </c>
      <c r="BF353" s="109">
        <f t="shared" si="427"/>
        <v>3710</v>
      </c>
      <c r="BG353" s="84">
        <f t="shared" si="428"/>
        <v>0</v>
      </c>
      <c r="BH353" s="197"/>
      <c r="BI353" s="518"/>
      <c r="BJ353" s="65"/>
      <c r="BK353" s="81">
        <f t="shared" si="429"/>
        <v>0</v>
      </c>
      <c r="BL353" s="65"/>
      <c r="BM353" s="204"/>
      <c r="BN353" s="156">
        <f>IF(B353&lt;&gt;"",_xlfn.XLOOKUP(B353,'Cronog. e Histog.'!B:B,'Cronog. e Histog.'!EK:EK),0)</f>
        <v>0</v>
      </c>
      <c r="BO353" s="109">
        <f>($O353/Dashboard!$D$15)*(1+Dashboard!$D$19)</f>
        <v>28.744834710743799</v>
      </c>
      <c r="BP353" s="84">
        <f t="shared" si="444"/>
        <v>0</v>
      </c>
      <c r="BQ353" s="65"/>
      <c r="BR353" s="204"/>
      <c r="BS353" s="156">
        <f>IF(B353&lt;&gt;"",_xlfn.XLOOKUP(B353,'Cronog. e Histog.'!B:B,'Cronog. e Histog.'!EL:EL),0)</f>
        <v>0</v>
      </c>
      <c r="BT353" s="109">
        <f>($O353/Dashboard!$D$15)*(1+Dashboard!$D$20)</f>
        <v>33.535640495867767</v>
      </c>
      <c r="BU353" s="84">
        <f t="shared" si="445"/>
        <v>0</v>
      </c>
      <c r="BV353" s="65"/>
      <c r="BW353" s="204"/>
      <c r="BX353" s="156">
        <f>IF(B353&lt;&gt;"",_xlfn.XLOOKUP(B353,'Cronog. e Histog.'!B:B,'Cronog. e Histog.'!EM:EM),0)</f>
        <v>0</v>
      </c>
      <c r="BY353" s="109">
        <f>($O353/Dashboard!$D$15)*(1+Dashboard!$D$21)</f>
        <v>38.326446280991732</v>
      </c>
      <c r="BZ353" s="84">
        <f t="shared" si="446"/>
        <v>0</v>
      </c>
    </row>
    <row r="354" spans="2:78" ht="12" customHeight="1" outlineLevel="1">
      <c r="B354" s="137" t="str">
        <f>'Cronog. e Histog.'!B493</f>
        <v>AUX ADM - Equipe_01</v>
      </c>
      <c r="C354" s="65"/>
      <c r="D354" s="200">
        <f t="shared" si="412"/>
        <v>0</v>
      </c>
      <c r="E354" s="200">
        <f t="shared" si="413"/>
        <v>0</v>
      </c>
      <c r="F354" s="65"/>
      <c r="G354" s="200">
        <f t="shared" si="414"/>
        <v>0</v>
      </c>
      <c r="H354" s="200">
        <f t="shared" si="415"/>
        <v>0</v>
      </c>
      <c r="I354" s="65"/>
      <c r="J354" s="143" t="str">
        <f>IF('Cronog. e Histog.'!G493&gt;0,'Cronog. e Histog.'!G493,"")</f>
        <v>AUX ADM</v>
      </c>
      <c r="K354" s="65"/>
      <c r="L354" s="144">
        <f>'Cronog. e Histog.'!BT493</f>
        <v>0</v>
      </c>
      <c r="M354" s="144">
        <f>'Cronog. e Histog.'!BU493</f>
        <v>0</v>
      </c>
      <c r="N354" s="65"/>
      <c r="O354" s="109">
        <f>_xlfn.XLOOKUP(B354,Salários!B:B,Salários!K:K)</f>
        <v>1912.24</v>
      </c>
      <c r="P354" s="109">
        <f t="shared" si="430"/>
        <v>0</v>
      </c>
      <c r="Q354" s="109">
        <f t="shared" si="431"/>
        <v>0</v>
      </c>
      <c r="R354" s="65"/>
      <c r="S354" s="109">
        <f t="shared" si="432"/>
        <v>1912.24</v>
      </c>
      <c r="T354" s="201" t="str">
        <f>IF(_xlfn.XLOOKUP(B354,Salários!B:B,Salários!I:I)&gt;0,_xlfn.XLOOKUP(B354,Salários!B:B,Salários!I:I),"")</f>
        <v>Mensalista</v>
      </c>
      <c r="U354" s="117">
        <f t="shared" si="419"/>
        <v>0</v>
      </c>
      <c r="V354" s="65"/>
      <c r="W354" s="202"/>
      <c r="X354" s="65"/>
      <c r="Y354" s="69"/>
      <c r="Z354" s="65"/>
      <c r="AA354" s="518"/>
      <c r="AB354" s="65"/>
      <c r="AC354" s="81">
        <f t="shared" si="420"/>
        <v>0</v>
      </c>
      <c r="AD354" s="65"/>
      <c r="AE354" s="112"/>
      <c r="AF354" s="203">
        <v>0.3</v>
      </c>
      <c r="AG354" s="109">
        <f t="shared" si="44"/>
        <v>1912.24</v>
      </c>
      <c r="AH354" s="84">
        <f t="shared" si="421"/>
        <v>0</v>
      </c>
      <c r="AI354" s="65"/>
      <c r="AJ354" s="112"/>
      <c r="AK354" s="122"/>
      <c r="AL354" s="109">
        <v>1212</v>
      </c>
      <c r="AM354" s="84">
        <f t="shared" si="422"/>
        <v>0</v>
      </c>
      <c r="AN354" s="65"/>
      <c r="AO354" s="112"/>
      <c r="AP354" s="204"/>
      <c r="AQ354" s="109">
        <f>IFERROR((O354+AH354+AM354)/Dashboard!$D$15,0)*0.2</f>
        <v>1.9754545454545456</v>
      </c>
      <c r="AR354" s="84">
        <f t="shared" si="423"/>
        <v>0</v>
      </c>
      <c r="AS354" s="65"/>
      <c r="AT354" s="112"/>
      <c r="AU354" s="203">
        <v>0.33</v>
      </c>
      <c r="AV354" s="109">
        <f t="shared" si="424"/>
        <v>1912.24</v>
      </c>
      <c r="AW354" s="84">
        <f t="shared" si="425"/>
        <v>0</v>
      </c>
      <c r="AX354" s="65"/>
      <c r="AY354" s="112"/>
      <c r="AZ354" s="203">
        <v>0.25</v>
      </c>
      <c r="BA354" s="109">
        <f t="shared" si="50"/>
        <v>1912.24</v>
      </c>
      <c r="BB354" s="84">
        <f t="shared" si="426"/>
        <v>0</v>
      </c>
      <c r="BC354" s="65"/>
      <c r="BD354" s="112"/>
      <c r="BE354" s="203">
        <v>0.26</v>
      </c>
      <c r="BF354" s="109">
        <f t="shared" si="427"/>
        <v>1912.24</v>
      </c>
      <c r="BG354" s="84">
        <f t="shared" si="428"/>
        <v>0</v>
      </c>
      <c r="BH354" s="197"/>
      <c r="BI354" s="518"/>
      <c r="BJ354" s="65"/>
      <c r="BK354" s="81">
        <f t="shared" si="429"/>
        <v>0</v>
      </c>
      <c r="BL354" s="65"/>
      <c r="BM354" s="204"/>
      <c r="BN354" s="156">
        <f>IF(B354&lt;&gt;"",_xlfn.XLOOKUP(B354,'Cronog. e Histog.'!B:B,'Cronog. e Histog.'!EK:EK),0)</f>
        <v>0</v>
      </c>
      <c r="BO354" s="109">
        <f>($O354/Dashboard!$D$15)*(1+Dashboard!$D$19)</f>
        <v>14.815909090909091</v>
      </c>
      <c r="BP354" s="84">
        <f t="shared" si="444"/>
        <v>0</v>
      </c>
      <c r="BQ354" s="65"/>
      <c r="BR354" s="204"/>
      <c r="BS354" s="156">
        <f>IF(B354&lt;&gt;"",_xlfn.XLOOKUP(B354,'Cronog. e Histog.'!B:B,'Cronog. e Histog.'!EL:EL),0)</f>
        <v>0</v>
      </c>
      <c r="BT354" s="109">
        <f>($O354/Dashboard!$D$15)*(1+Dashboard!$D$20)</f>
        <v>17.285227272727273</v>
      </c>
      <c r="BU354" s="84">
        <f t="shared" si="445"/>
        <v>0</v>
      </c>
      <c r="BV354" s="65"/>
      <c r="BW354" s="204"/>
      <c r="BX354" s="156">
        <f>IF(B354&lt;&gt;"",_xlfn.XLOOKUP(B354,'Cronog. e Histog.'!B:B,'Cronog. e Histog.'!EM:EM),0)</f>
        <v>0</v>
      </c>
      <c r="BY354" s="109">
        <f>($O354/Dashboard!$D$15)*(1+Dashboard!$D$21)</f>
        <v>19.754545454545454</v>
      </c>
      <c r="BZ354" s="84">
        <f t="shared" si="446"/>
        <v>0</v>
      </c>
    </row>
    <row r="355" spans="2:78" ht="12" customHeight="1" outlineLevel="1">
      <c r="B355" s="137" t="str">
        <f>'Cronog. e Histog.'!B494</f>
        <v>EST - Equipe_01</v>
      </c>
      <c r="C355" s="65"/>
      <c r="D355" s="200">
        <f t="shared" si="412"/>
        <v>0</v>
      </c>
      <c r="E355" s="200">
        <f t="shared" si="413"/>
        <v>0</v>
      </c>
      <c r="F355" s="65"/>
      <c r="G355" s="200">
        <f t="shared" si="414"/>
        <v>0</v>
      </c>
      <c r="H355" s="200">
        <f t="shared" si="415"/>
        <v>0</v>
      </c>
      <c r="I355" s="65"/>
      <c r="J355" s="143" t="str">
        <f>IF('Cronog. e Histog.'!G494&gt;0,'Cronog. e Histog.'!G494,"")</f>
        <v>EST</v>
      </c>
      <c r="K355" s="65"/>
      <c r="L355" s="144">
        <f>'Cronog. e Histog.'!BT494</f>
        <v>0</v>
      </c>
      <c r="M355" s="144">
        <f>'Cronog. e Histog.'!BU494</f>
        <v>0</v>
      </c>
      <c r="N355" s="65"/>
      <c r="O355" s="109">
        <f>_xlfn.XLOOKUP(B355,Salários!B:B,Salários!K:K)</f>
        <v>1633</v>
      </c>
      <c r="P355" s="109">
        <f t="shared" si="430"/>
        <v>0</v>
      </c>
      <c r="Q355" s="109">
        <f t="shared" si="431"/>
        <v>0</v>
      </c>
      <c r="R355" s="65"/>
      <c r="S355" s="109">
        <f t="shared" si="432"/>
        <v>1633</v>
      </c>
      <c r="T355" s="201" t="str">
        <f>IF(_xlfn.XLOOKUP(B355,Salários!B:B,Salários!I:I)&gt;0,_xlfn.XLOOKUP(B355,Salários!B:B,Salários!I:I),"")</f>
        <v>PJ</v>
      </c>
      <c r="U355" s="117">
        <f t="shared" si="419"/>
        <v>0</v>
      </c>
      <c r="V355" s="65"/>
      <c r="W355" s="202"/>
      <c r="X355" s="65"/>
      <c r="Y355" s="69"/>
      <c r="Z355" s="65"/>
      <c r="AA355" s="518"/>
      <c r="AB355" s="65"/>
      <c r="AC355" s="81">
        <f t="shared" si="420"/>
        <v>0</v>
      </c>
      <c r="AD355" s="65"/>
      <c r="AE355" s="112"/>
      <c r="AF355" s="203">
        <v>0.3</v>
      </c>
      <c r="AG355" s="109">
        <f t="shared" si="44"/>
        <v>1633</v>
      </c>
      <c r="AH355" s="84">
        <f t="shared" si="421"/>
        <v>0</v>
      </c>
      <c r="AI355" s="65"/>
      <c r="AJ355" s="112"/>
      <c r="AK355" s="122"/>
      <c r="AL355" s="109">
        <v>1212</v>
      </c>
      <c r="AM355" s="84">
        <f t="shared" si="422"/>
        <v>0</v>
      </c>
      <c r="AN355" s="65"/>
      <c r="AO355" s="112"/>
      <c r="AP355" s="204"/>
      <c r="AQ355" s="109">
        <f>IFERROR((O355+AH355+AM355)/Dashboard!$D$15,0)*0.2</f>
        <v>1.6869834710743801</v>
      </c>
      <c r="AR355" s="84">
        <f t="shared" si="423"/>
        <v>0</v>
      </c>
      <c r="AS355" s="65"/>
      <c r="AT355" s="112"/>
      <c r="AU355" s="203">
        <v>0.33</v>
      </c>
      <c r="AV355" s="109">
        <f t="shared" si="424"/>
        <v>1633</v>
      </c>
      <c r="AW355" s="84">
        <f t="shared" si="425"/>
        <v>0</v>
      </c>
      <c r="AX355" s="65"/>
      <c r="AY355" s="112"/>
      <c r="AZ355" s="203">
        <v>0.25</v>
      </c>
      <c r="BA355" s="109">
        <f t="shared" si="50"/>
        <v>1633</v>
      </c>
      <c r="BB355" s="84">
        <f t="shared" si="426"/>
        <v>0</v>
      </c>
      <c r="BC355" s="65"/>
      <c r="BD355" s="112"/>
      <c r="BE355" s="203">
        <v>0.26</v>
      </c>
      <c r="BF355" s="109">
        <f t="shared" si="427"/>
        <v>1633</v>
      </c>
      <c r="BG355" s="84">
        <f t="shared" si="428"/>
        <v>0</v>
      </c>
      <c r="BH355" s="197"/>
      <c r="BI355" s="518"/>
      <c r="BJ355" s="65"/>
      <c r="BK355" s="81">
        <f t="shared" si="429"/>
        <v>0</v>
      </c>
      <c r="BL355" s="65"/>
      <c r="BM355" s="204"/>
      <c r="BN355" s="156">
        <f>IF(B355&lt;&gt;"",_xlfn.XLOOKUP(B355,'Cronog. e Histog.'!B:B,'Cronog. e Histog.'!EK:EK),0)</f>
        <v>0</v>
      </c>
      <c r="BO355" s="109">
        <f>($O355/Dashboard!$D$15)*(1+Dashboard!$D$19)</f>
        <v>12.652376033057848</v>
      </c>
      <c r="BP355" s="84">
        <f t="shared" si="444"/>
        <v>0</v>
      </c>
      <c r="BQ355" s="65"/>
      <c r="BR355" s="204"/>
      <c r="BS355" s="156">
        <f>IF(B355&lt;&gt;"",_xlfn.XLOOKUP(B355,'Cronog. e Histog.'!B:B,'Cronog. e Histog.'!EL:EL),0)</f>
        <v>0</v>
      </c>
      <c r="BT355" s="109">
        <f>($O355/Dashboard!$D$15)*(1+Dashboard!$D$20)</f>
        <v>14.761105371900824</v>
      </c>
      <c r="BU355" s="84">
        <f t="shared" si="445"/>
        <v>0</v>
      </c>
      <c r="BV355" s="65"/>
      <c r="BW355" s="204"/>
      <c r="BX355" s="156">
        <f>IF(B355&lt;&gt;"",_xlfn.XLOOKUP(B355,'Cronog. e Histog.'!B:B,'Cronog. e Histog.'!EM:EM),0)</f>
        <v>0</v>
      </c>
      <c r="BY355" s="109">
        <f>($O355/Dashboard!$D$15)*(1+Dashboard!$D$21)</f>
        <v>16.869834710743799</v>
      </c>
      <c r="BZ355" s="84">
        <f t="shared" si="446"/>
        <v>0</v>
      </c>
    </row>
    <row r="356" spans="2:78" ht="12" customHeight="1" outlineLevel="1">
      <c r="B356" s="137" t="str">
        <f>'Cronog. e Histog.'!B495</f>
        <v>EST_II - Equipe_01</v>
      </c>
      <c r="C356" s="65"/>
      <c r="D356" s="200">
        <f t="shared" si="412"/>
        <v>0</v>
      </c>
      <c r="E356" s="200">
        <f t="shared" si="413"/>
        <v>0</v>
      </c>
      <c r="F356" s="65"/>
      <c r="G356" s="200">
        <f t="shared" si="414"/>
        <v>0</v>
      </c>
      <c r="H356" s="200">
        <f t="shared" si="415"/>
        <v>0</v>
      </c>
      <c r="I356" s="65"/>
      <c r="J356" s="143" t="str">
        <f>IF('Cronog. e Histog.'!G495&gt;0,'Cronog. e Histog.'!G495,"")</f>
        <v>EST_II</v>
      </c>
      <c r="K356" s="65"/>
      <c r="L356" s="144">
        <f>'Cronog. e Histog.'!BT495</f>
        <v>0</v>
      </c>
      <c r="M356" s="144">
        <f>'Cronog. e Histog.'!BU495</f>
        <v>0</v>
      </c>
      <c r="N356" s="65"/>
      <c r="O356" s="109">
        <f>_xlfn.XLOOKUP(B356,Salários!B:B,Salários!K:K)</f>
        <v>1633</v>
      </c>
      <c r="P356" s="109">
        <f t="shared" si="430"/>
        <v>0</v>
      </c>
      <c r="Q356" s="109">
        <f t="shared" si="431"/>
        <v>0</v>
      </c>
      <c r="R356" s="65"/>
      <c r="S356" s="109">
        <f t="shared" si="432"/>
        <v>1633</v>
      </c>
      <c r="T356" s="201" t="str">
        <f>IF(_xlfn.XLOOKUP(B356,Salários!B:B,Salários!I:I)&gt;0,_xlfn.XLOOKUP(B356,Salários!B:B,Salários!I:I),"")</f>
        <v>PJ</v>
      </c>
      <c r="U356" s="117">
        <f t="shared" si="419"/>
        <v>0</v>
      </c>
      <c r="V356" s="65"/>
      <c r="W356" s="202"/>
      <c r="X356" s="65"/>
      <c r="Y356" s="69"/>
      <c r="Z356" s="65"/>
      <c r="AA356" s="518"/>
      <c r="AB356" s="65"/>
      <c r="AC356" s="81">
        <f t="shared" si="420"/>
        <v>0</v>
      </c>
      <c r="AD356" s="65"/>
      <c r="AE356" s="112"/>
      <c r="AF356" s="203">
        <v>0.3</v>
      </c>
      <c r="AG356" s="109">
        <f t="shared" si="44"/>
        <v>1633</v>
      </c>
      <c r="AH356" s="84">
        <f t="shared" si="421"/>
        <v>0</v>
      </c>
      <c r="AI356" s="65"/>
      <c r="AJ356" s="112"/>
      <c r="AK356" s="122"/>
      <c r="AL356" s="109">
        <v>1212</v>
      </c>
      <c r="AM356" s="84">
        <f t="shared" si="422"/>
        <v>0</v>
      </c>
      <c r="AN356" s="65"/>
      <c r="AO356" s="112"/>
      <c r="AP356" s="204"/>
      <c r="AQ356" s="109">
        <f>IFERROR((O356+AH356+AM356)/Dashboard!$D$15,0)*0.2</f>
        <v>1.6869834710743801</v>
      </c>
      <c r="AR356" s="84">
        <f t="shared" si="423"/>
        <v>0</v>
      </c>
      <c r="AS356" s="65"/>
      <c r="AT356" s="112"/>
      <c r="AU356" s="203">
        <v>0.33</v>
      </c>
      <c r="AV356" s="109">
        <f t="shared" si="424"/>
        <v>1633</v>
      </c>
      <c r="AW356" s="84">
        <f t="shared" si="425"/>
        <v>0</v>
      </c>
      <c r="AX356" s="65"/>
      <c r="AY356" s="112"/>
      <c r="AZ356" s="203">
        <v>0.25</v>
      </c>
      <c r="BA356" s="109">
        <f t="shared" si="50"/>
        <v>1633</v>
      </c>
      <c r="BB356" s="84">
        <f t="shared" si="426"/>
        <v>0</v>
      </c>
      <c r="BC356" s="65"/>
      <c r="BD356" s="112"/>
      <c r="BE356" s="203">
        <v>0.26</v>
      </c>
      <c r="BF356" s="109">
        <f t="shared" si="427"/>
        <v>1633</v>
      </c>
      <c r="BG356" s="84">
        <f t="shared" si="428"/>
        <v>0</v>
      </c>
      <c r="BH356" s="197"/>
      <c r="BI356" s="518"/>
      <c r="BJ356" s="65"/>
      <c r="BK356" s="81">
        <f t="shared" si="429"/>
        <v>0</v>
      </c>
      <c r="BL356" s="65"/>
      <c r="BM356" s="204"/>
      <c r="BN356" s="156">
        <f>IF(B356&lt;&gt;"",_xlfn.XLOOKUP(B356,'Cronog. e Histog.'!B:B,'Cronog. e Histog.'!EK:EK),0)</f>
        <v>0</v>
      </c>
      <c r="BO356" s="109">
        <f>($O356/Dashboard!$D$15)*(1+Dashboard!$D$19)</f>
        <v>12.652376033057848</v>
      </c>
      <c r="BP356" s="84">
        <f t="shared" si="444"/>
        <v>0</v>
      </c>
      <c r="BQ356" s="65"/>
      <c r="BR356" s="204"/>
      <c r="BS356" s="156">
        <f>IF(B356&lt;&gt;"",_xlfn.XLOOKUP(B356,'Cronog. e Histog.'!B:B,'Cronog. e Histog.'!EL:EL),0)</f>
        <v>0</v>
      </c>
      <c r="BT356" s="109">
        <f>($O356/Dashboard!$D$15)*(1+Dashboard!$D$20)</f>
        <v>14.761105371900824</v>
      </c>
      <c r="BU356" s="84">
        <f t="shared" si="445"/>
        <v>0</v>
      </c>
      <c r="BV356" s="65"/>
      <c r="BW356" s="204"/>
      <c r="BX356" s="156">
        <f>IF(B356&lt;&gt;"",_xlfn.XLOOKUP(B356,'Cronog. e Histog.'!B:B,'Cronog. e Histog.'!EM:EM),0)</f>
        <v>0</v>
      </c>
      <c r="BY356" s="109">
        <f>($O356/Dashboard!$D$15)*(1+Dashboard!$D$21)</f>
        <v>16.869834710743799</v>
      </c>
      <c r="BZ356" s="84">
        <f t="shared" si="446"/>
        <v>0</v>
      </c>
    </row>
    <row r="357" spans="2:78" ht="12" customHeight="1" outlineLevel="1">
      <c r="B357" s="137" t="str">
        <f>'Cronog. e Histog.'!B496</f>
        <v>EST_III - Equipe_01</v>
      </c>
      <c r="C357" s="65"/>
      <c r="D357" s="200">
        <f t="shared" si="412"/>
        <v>0</v>
      </c>
      <c r="E357" s="200">
        <f t="shared" si="413"/>
        <v>0</v>
      </c>
      <c r="F357" s="65"/>
      <c r="G357" s="200">
        <f t="shared" si="414"/>
        <v>0</v>
      </c>
      <c r="H357" s="200">
        <f t="shared" si="415"/>
        <v>0</v>
      </c>
      <c r="I357" s="65"/>
      <c r="J357" s="143" t="str">
        <f>IF('Cronog. e Histog.'!G496&gt;0,'Cronog. e Histog.'!G496,"")</f>
        <v>EST_III</v>
      </c>
      <c r="K357" s="65"/>
      <c r="L357" s="144">
        <f>'Cronog. e Histog.'!BT496</f>
        <v>0</v>
      </c>
      <c r="M357" s="144">
        <f>'Cronog. e Histog.'!BU496</f>
        <v>0</v>
      </c>
      <c r="N357" s="65"/>
      <c r="O357" s="109">
        <f>_xlfn.XLOOKUP(B357,Salários!B:B,Salários!K:K)</f>
        <v>1633</v>
      </c>
      <c r="P357" s="109">
        <f t="shared" si="430"/>
        <v>0</v>
      </c>
      <c r="Q357" s="109">
        <f t="shared" si="431"/>
        <v>0</v>
      </c>
      <c r="R357" s="65"/>
      <c r="S357" s="109">
        <f t="shared" si="432"/>
        <v>1633</v>
      </c>
      <c r="T357" s="201" t="str">
        <f>IF(_xlfn.XLOOKUP(B357,Salários!B:B,Salários!I:I)&gt;0,_xlfn.XLOOKUP(B357,Salários!B:B,Salários!I:I),"")</f>
        <v>PJ</v>
      </c>
      <c r="U357" s="117">
        <f t="shared" si="419"/>
        <v>0</v>
      </c>
      <c r="V357" s="65"/>
      <c r="W357" s="202"/>
      <c r="X357" s="65"/>
      <c r="Y357" s="69"/>
      <c r="Z357" s="65"/>
      <c r="AA357" s="518"/>
      <c r="AB357" s="65"/>
      <c r="AC357" s="81">
        <f t="shared" si="420"/>
        <v>0</v>
      </c>
      <c r="AD357" s="65"/>
      <c r="AE357" s="112"/>
      <c r="AF357" s="203">
        <v>0.3</v>
      </c>
      <c r="AG357" s="109">
        <f t="shared" si="44"/>
        <v>1633</v>
      </c>
      <c r="AH357" s="84">
        <f t="shared" si="421"/>
        <v>0</v>
      </c>
      <c r="AI357" s="65"/>
      <c r="AJ357" s="112"/>
      <c r="AK357" s="122"/>
      <c r="AL357" s="109">
        <v>1212</v>
      </c>
      <c r="AM357" s="84">
        <f t="shared" si="422"/>
        <v>0</v>
      </c>
      <c r="AN357" s="65"/>
      <c r="AO357" s="112"/>
      <c r="AP357" s="204"/>
      <c r="AQ357" s="109">
        <f>IFERROR((O357+AH357+AM357)/Dashboard!$D$15,0)*0.2</f>
        <v>1.6869834710743801</v>
      </c>
      <c r="AR357" s="84">
        <f t="shared" si="423"/>
        <v>0</v>
      </c>
      <c r="AS357" s="65"/>
      <c r="AT357" s="112"/>
      <c r="AU357" s="203">
        <v>0.33</v>
      </c>
      <c r="AV357" s="109">
        <f t="shared" si="424"/>
        <v>1633</v>
      </c>
      <c r="AW357" s="84">
        <f t="shared" si="425"/>
        <v>0</v>
      </c>
      <c r="AX357" s="65"/>
      <c r="AY357" s="112"/>
      <c r="AZ357" s="203">
        <v>0.25</v>
      </c>
      <c r="BA357" s="109">
        <f t="shared" si="50"/>
        <v>1633</v>
      </c>
      <c r="BB357" s="84">
        <f t="shared" si="426"/>
        <v>0</v>
      </c>
      <c r="BC357" s="65"/>
      <c r="BD357" s="112"/>
      <c r="BE357" s="203">
        <v>0.26</v>
      </c>
      <c r="BF357" s="109">
        <f t="shared" si="427"/>
        <v>1633</v>
      </c>
      <c r="BG357" s="84">
        <f t="shared" si="428"/>
        <v>0</v>
      </c>
      <c r="BH357" s="197"/>
      <c r="BI357" s="518"/>
      <c r="BJ357" s="65"/>
      <c r="BK357" s="81">
        <f t="shared" si="429"/>
        <v>0</v>
      </c>
      <c r="BL357" s="65"/>
      <c r="BM357" s="204"/>
      <c r="BN357" s="156">
        <f>IF(B357&lt;&gt;"",_xlfn.XLOOKUP(B357,'Cronog. e Histog.'!B:B,'Cronog. e Histog.'!EK:EK),0)</f>
        <v>0</v>
      </c>
      <c r="BO357" s="109">
        <f>($O357/Dashboard!$D$15)*(1+Dashboard!$D$19)</f>
        <v>12.652376033057848</v>
      </c>
      <c r="BP357" s="84">
        <f t="shared" si="444"/>
        <v>0</v>
      </c>
      <c r="BQ357" s="65"/>
      <c r="BR357" s="204"/>
      <c r="BS357" s="156">
        <f>IF(B357&lt;&gt;"",_xlfn.XLOOKUP(B357,'Cronog. e Histog.'!B:B,'Cronog. e Histog.'!EL:EL),0)</f>
        <v>0</v>
      </c>
      <c r="BT357" s="109">
        <f>($O357/Dashboard!$D$15)*(1+Dashboard!$D$20)</f>
        <v>14.761105371900824</v>
      </c>
      <c r="BU357" s="84">
        <f t="shared" si="445"/>
        <v>0</v>
      </c>
      <c r="BV357" s="65"/>
      <c r="BW357" s="204"/>
      <c r="BX357" s="156">
        <f>IF(B357&lt;&gt;"",_xlfn.XLOOKUP(B357,'Cronog. e Histog.'!B:B,'Cronog. e Histog.'!EM:EM),0)</f>
        <v>0</v>
      </c>
      <c r="BY357" s="109">
        <f>($O357/Dashboard!$D$15)*(1+Dashboard!$D$21)</f>
        <v>16.869834710743799</v>
      </c>
      <c r="BZ357" s="84">
        <f t="shared" si="446"/>
        <v>0</v>
      </c>
    </row>
    <row r="358" spans="2:78" ht="12" customHeight="1" outlineLevel="1"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9"/>
      <c r="Z358" s="65"/>
      <c r="AA358" s="518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  <c r="AT358" s="65"/>
      <c r="AU358" s="65"/>
      <c r="AV358" s="65"/>
      <c r="AW358" s="65"/>
      <c r="AX358" s="65"/>
      <c r="AY358" s="65"/>
      <c r="AZ358" s="65"/>
      <c r="BA358" s="65"/>
      <c r="BB358" s="65"/>
      <c r="BC358" s="65"/>
      <c r="BD358" s="65"/>
      <c r="BE358" s="65"/>
      <c r="BF358" s="65"/>
      <c r="BG358" s="65"/>
      <c r="BH358" s="197"/>
      <c r="BI358" s="518"/>
      <c r="BJ358" s="65"/>
      <c r="BK358" s="65"/>
      <c r="BL358" s="65"/>
      <c r="BM358" s="65"/>
      <c r="BN358" s="65"/>
      <c r="BO358" s="65"/>
      <c r="BP358" s="65"/>
      <c r="BQ358" s="65"/>
      <c r="BR358" s="65"/>
      <c r="BS358" s="65"/>
      <c r="BT358" s="65"/>
      <c r="BU358" s="65"/>
      <c r="BV358" s="65"/>
      <c r="BW358" s="65"/>
      <c r="BX358" s="65"/>
      <c r="BY358" s="65"/>
      <c r="BZ358" s="65"/>
    </row>
    <row r="359" spans="2:78" ht="12" customHeight="1" outlineLevel="1">
      <c r="B359" s="65"/>
      <c r="C359" s="65"/>
      <c r="D359" s="65"/>
      <c r="E359" s="65"/>
      <c r="F359" s="65"/>
      <c r="G359" s="65"/>
      <c r="H359" s="65"/>
      <c r="I359" s="65"/>
      <c r="J359" s="199" t="str">
        <f>'Cronog. e Histog.'!F499</f>
        <v>Equipe13</v>
      </c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9"/>
      <c r="Z359" s="65"/>
      <c r="AA359" s="518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  <c r="AV359" s="65"/>
      <c r="AW359" s="65"/>
      <c r="AX359" s="65"/>
      <c r="AY359" s="65"/>
      <c r="AZ359" s="65"/>
      <c r="BA359" s="65"/>
      <c r="BB359" s="65"/>
      <c r="BC359" s="65"/>
      <c r="BD359" s="65"/>
      <c r="BE359" s="65"/>
      <c r="BF359" s="65"/>
      <c r="BG359" s="65"/>
      <c r="BH359" s="197"/>
      <c r="BI359" s="518"/>
      <c r="BJ359" s="65"/>
      <c r="BK359" s="65"/>
      <c r="BL359" s="65"/>
      <c r="BM359" s="65"/>
      <c r="BN359" s="65"/>
      <c r="BO359" s="65"/>
      <c r="BP359" s="65"/>
      <c r="BQ359" s="65"/>
      <c r="BR359" s="65"/>
      <c r="BS359" s="65"/>
      <c r="BT359" s="65"/>
      <c r="BU359" s="65"/>
      <c r="BV359" s="65"/>
      <c r="BW359" s="65"/>
      <c r="BX359" s="65"/>
      <c r="BY359" s="65"/>
      <c r="BZ359" s="65"/>
    </row>
    <row r="360" spans="2:78" ht="12" customHeight="1" outlineLevel="1">
      <c r="B360" s="137" t="str">
        <f>'Cronog. e Histog.'!B501</f>
        <v>GER. (OBRA/PROJ) - Equipe_01</v>
      </c>
      <c r="C360" s="65"/>
      <c r="D360" s="200">
        <f t="shared" ref="D360:D379" si="447">IF(T360="mensalista",L360,0)</f>
        <v>0</v>
      </c>
      <c r="E360" s="200">
        <f t="shared" ref="E360:E379" si="448">IF(T360="mensalista",M360,0)</f>
        <v>0</v>
      </c>
      <c r="F360" s="65"/>
      <c r="G360" s="200">
        <f t="shared" ref="G360:G379" si="449">IF(T360="mensalista",L360,0)</f>
        <v>0</v>
      </c>
      <c r="H360" s="200">
        <f t="shared" ref="H360:H379" si="450">IF(T360="mensalista",M360,0)</f>
        <v>0</v>
      </c>
      <c r="I360" s="65"/>
      <c r="J360" s="143" t="str">
        <f>IF('Cronog. e Histog.'!G501&gt;0,'Cronog. e Histog.'!G501,"")</f>
        <v>GER. (OBRA/PROJ)</v>
      </c>
      <c r="K360" s="65"/>
      <c r="L360" s="144">
        <f>'Cronog. e Histog.'!BT501</f>
        <v>0</v>
      </c>
      <c r="M360" s="144">
        <f>'Cronog. e Histog.'!BU501</f>
        <v>0</v>
      </c>
      <c r="N360" s="65"/>
      <c r="O360" s="109">
        <f>_xlfn.XLOOKUP(B360,Salários!B:B,Salários!K:K)</f>
        <v>21000</v>
      </c>
      <c r="P360" s="109">
        <f t="shared" ref="P360" si="451">AC360</f>
        <v>0</v>
      </c>
      <c r="Q360" s="109">
        <f t="shared" ref="Q360" si="452">BK360</f>
        <v>0</v>
      </c>
      <c r="R360" s="65"/>
      <c r="S360" s="109">
        <f t="shared" ref="S360" si="453">SUM(O360:Q360)</f>
        <v>21000</v>
      </c>
      <c r="T360" s="201" t="str">
        <f>IF(_xlfn.XLOOKUP(B360,Salários!B:B,Salários!I:I)&gt;0,_xlfn.XLOOKUP(B360,Salários!B:B,Salários!I:I),"")</f>
        <v>PJ</v>
      </c>
      <c r="U360" s="117">
        <f t="shared" ref="U360:U379" si="454">L360*M360*S360</f>
        <v>0</v>
      </c>
      <c r="V360" s="65"/>
      <c r="W360" s="202"/>
      <c r="X360" s="65"/>
      <c r="Y360" s="69"/>
      <c r="Z360" s="65"/>
      <c r="AA360" s="518"/>
      <c r="AB360" s="65"/>
      <c r="AC360" s="81">
        <f t="shared" ref="AC360:AC379" si="455">AH360+AM360+AR360+AW360+BB360+BG360</f>
        <v>0</v>
      </c>
      <c r="AD360" s="65"/>
      <c r="AE360" s="112"/>
      <c r="AF360" s="203">
        <v>0.3</v>
      </c>
      <c r="AG360" s="109">
        <f t="shared" si="44"/>
        <v>21000</v>
      </c>
      <c r="AH360" s="84">
        <f t="shared" ref="AH360:AH379" si="456">IF(AE360="sim",AF360*AG360,0)</f>
        <v>0</v>
      </c>
      <c r="AI360" s="65"/>
      <c r="AJ360" s="112"/>
      <c r="AK360" s="122"/>
      <c r="AL360" s="109">
        <v>1212</v>
      </c>
      <c r="AM360" s="84">
        <f t="shared" ref="AM360:AM379" si="457">IF(AJ360="sim",AK360*AL360,0)</f>
        <v>0</v>
      </c>
      <c r="AN360" s="65"/>
      <c r="AO360" s="112"/>
      <c r="AP360" s="204"/>
      <c r="AQ360" s="109">
        <f>IFERROR((O360+AH360+AM360)/Dashboard!$D$15,0)*0.2</f>
        <v>21.694214876033058</v>
      </c>
      <c r="AR360" s="84">
        <f t="shared" ref="AR360:AR379" si="458">IF(AO360="sim",AP360*AQ360,0)</f>
        <v>0</v>
      </c>
      <c r="AS360" s="65"/>
      <c r="AT360" s="112"/>
      <c r="AU360" s="203">
        <v>0.33</v>
      </c>
      <c r="AV360" s="109">
        <f t="shared" ref="AV360:AV379" si="459">$O360</f>
        <v>21000</v>
      </c>
      <c r="AW360" s="84">
        <f t="shared" ref="AW360:AW379" si="460">IF(AT360="sim",AU360*AV360,0)</f>
        <v>0</v>
      </c>
      <c r="AX360" s="65"/>
      <c r="AY360" s="112"/>
      <c r="AZ360" s="203">
        <v>0.25</v>
      </c>
      <c r="BA360" s="109">
        <f t="shared" si="50"/>
        <v>21000</v>
      </c>
      <c r="BB360" s="84">
        <f t="shared" ref="BB360:BB379" si="461">IF(AY360="sim",AZ360*BA360,0)</f>
        <v>0</v>
      </c>
      <c r="BC360" s="65"/>
      <c r="BD360" s="112"/>
      <c r="BE360" s="203">
        <v>0.26</v>
      </c>
      <c r="BF360" s="109">
        <f t="shared" ref="BF360:BF379" si="462">$O360</f>
        <v>21000</v>
      </c>
      <c r="BG360" s="84">
        <f t="shared" ref="BG360:BG379" si="463">IF(BD360="sim",BE360*BF360,0)</f>
        <v>0</v>
      </c>
      <c r="BH360" s="197"/>
      <c r="BI360" s="518"/>
      <c r="BJ360" s="65"/>
      <c r="BK360" s="81">
        <f t="shared" ref="BK360:BK379" si="464">BP360+BU360+BZ360</f>
        <v>0</v>
      </c>
      <c r="BL360" s="65"/>
      <c r="BM360" s="204"/>
      <c r="BN360" s="156">
        <f>IF(B360&lt;&gt;"",_xlfn.XLOOKUP(B360,'Cronog. e Histog.'!B:B,'Cronog. e Histog.'!EK:EK),0)</f>
        <v>0</v>
      </c>
      <c r="BO360" s="109">
        <f>($O360/Dashboard!$D$15)*(1+Dashboard!$D$19)</f>
        <v>162.7066115702479</v>
      </c>
      <c r="BP360" s="84">
        <f>SUM(BM360:BN360)*BO360</f>
        <v>0</v>
      </c>
      <c r="BQ360" s="65"/>
      <c r="BR360" s="204"/>
      <c r="BS360" s="156">
        <f>IF(B360&lt;&gt;"",_xlfn.XLOOKUP(B360,'Cronog. e Histog.'!B:B,'Cronog. e Histog.'!EL:EL),0)</f>
        <v>0</v>
      </c>
      <c r="BT360" s="109">
        <f>($O360/Dashboard!$D$15)*(1+Dashboard!$D$20)</f>
        <v>189.82438016528923</v>
      </c>
      <c r="BU360" s="84">
        <f>SUM(BR360:BS360)*BT360</f>
        <v>0</v>
      </c>
      <c r="BV360" s="65"/>
      <c r="BW360" s="204"/>
      <c r="BX360" s="156">
        <f>IF(B360&lt;&gt;"",_xlfn.XLOOKUP(B360,'Cronog. e Histog.'!B:B,'Cronog. e Histog.'!EM:EM),0)</f>
        <v>0</v>
      </c>
      <c r="BY360" s="109">
        <f>($O360/Dashboard!$D$15)*(1+Dashboard!$D$21)</f>
        <v>216.94214876033055</v>
      </c>
      <c r="BZ360" s="84">
        <f>SUM(BW360:BX360)*BY360</f>
        <v>0</v>
      </c>
    </row>
    <row r="361" spans="2:78" ht="12" customHeight="1" outlineLevel="1">
      <c r="B361" s="137" t="str">
        <f>'Cronog. e Histog.'!B502</f>
        <v>COORD. - Equipe_01</v>
      </c>
      <c r="C361" s="65"/>
      <c r="D361" s="200">
        <f t="shared" si="447"/>
        <v>0</v>
      </c>
      <c r="E361" s="200">
        <f t="shared" si="448"/>
        <v>0</v>
      </c>
      <c r="F361" s="65"/>
      <c r="G361" s="200">
        <f t="shared" si="449"/>
        <v>0</v>
      </c>
      <c r="H361" s="200">
        <f t="shared" si="450"/>
        <v>0</v>
      </c>
      <c r="I361" s="65"/>
      <c r="J361" s="143" t="str">
        <f>IF('Cronog. e Histog.'!G502&gt;0,'Cronog. e Histog.'!G502,"")</f>
        <v>COORD.</v>
      </c>
      <c r="K361" s="65"/>
      <c r="L361" s="144">
        <f>'Cronog. e Histog.'!BT502</f>
        <v>0</v>
      </c>
      <c r="M361" s="144">
        <f>'Cronog. e Histog.'!BU502</f>
        <v>0</v>
      </c>
      <c r="N361" s="65"/>
      <c r="O361" s="109">
        <f>_xlfn.XLOOKUP(B361,Salários!B:B,Salários!K:K)</f>
        <v>19000</v>
      </c>
      <c r="P361" s="109">
        <f t="shared" ref="P361:P379" si="465">AC361</f>
        <v>0</v>
      </c>
      <c r="Q361" s="109">
        <f t="shared" ref="Q361:Q379" si="466">BK361</f>
        <v>0</v>
      </c>
      <c r="R361" s="65"/>
      <c r="S361" s="109">
        <f t="shared" ref="S361:S379" si="467">SUM(O361:Q361)</f>
        <v>19000</v>
      </c>
      <c r="T361" s="201" t="str">
        <f>IF(_xlfn.XLOOKUP(B361,Salários!B:B,Salários!I:I)&gt;0,_xlfn.XLOOKUP(B361,Salários!B:B,Salários!I:I),"")</f>
        <v>PJ</v>
      </c>
      <c r="U361" s="117">
        <f t="shared" ref="U361:U370" si="468">L361*M361*S361</f>
        <v>0</v>
      </c>
      <c r="V361" s="65"/>
      <c r="W361" s="202"/>
      <c r="X361" s="65"/>
      <c r="Y361" s="69"/>
      <c r="Z361" s="65"/>
      <c r="AA361" s="518"/>
      <c r="AB361" s="65"/>
      <c r="AC361" s="81">
        <f t="shared" ref="AC361:AC370" si="469">AH361+AM361+AR361+AW361+BB361+BG361</f>
        <v>0</v>
      </c>
      <c r="AD361" s="65"/>
      <c r="AE361" s="112"/>
      <c r="AF361" s="203">
        <v>0.3</v>
      </c>
      <c r="AG361" s="109">
        <f t="shared" ref="AG361:AG370" si="470">$O361</f>
        <v>19000</v>
      </c>
      <c r="AH361" s="84">
        <f t="shared" ref="AH361:AH370" si="471">IF(AE361="sim",AF361*AG361,0)</f>
        <v>0</v>
      </c>
      <c r="AI361" s="65"/>
      <c r="AJ361" s="112"/>
      <c r="AK361" s="122"/>
      <c r="AL361" s="109">
        <v>1212</v>
      </c>
      <c r="AM361" s="84">
        <f t="shared" ref="AM361:AM370" si="472">IF(AJ361="sim",AK361*AL361,0)</f>
        <v>0</v>
      </c>
      <c r="AN361" s="65"/>
      <c r="AO361" s="112"/>
      <c r="AP361" s="204"/>
      <c r="AQ361" s="109">
        <f>IFERROR((O361+AH361+AM361)/Dashboard!$D$15,0)*0.2</f>
        <v>19.628099173553718</v>
      </c>
      <c r="AR361" s="84">
        <f t="shared" ref="AR361:AR370" si="473">IF(AO361="sim",AP361*AQ361,0)</f>
        <v>0</v>
      </c>
      <c r="AS361" s="65"/>
      <c r="AT361" s="112"/>
      <c r="AU361" s="203">
        <v>0.33</v>
      </c>
      <c r="AV361" s="109">
        <f t="shared" si="459"/>
        <v>19000</v>
      </c>
      <c r="AW361" s="84">
        <f t="shared" ref="AW361:AW370" si="474">IF(AT361="sim",AU361*AV361,0)</f>
        <v>0</v>
      </c>
      <c r="AX361" s="65"/>
      <c r="AY361" s="112"/>
      <c r="AZ361" s="203">
        <v>0.25</v>
      </c>
      <c r="BA361" s="109">
        <f t="shared" ref="BA361:BA370" si="475">$O361</f>
        <v>19000</v>
      </c>
      <c r="BB361" s="84">
        <f t="shared" ref="BB361:BB370" si="476">IF(AY361="sim",AZ361*BA361,0)</f>
        <v>0</v>
      </c>
      <c r="BC361" s="65"/>
      <c r="BD361" s="112"/>
      <c r="BE361" s="203">
        <v>0.26</v>
      </c>
      <c r="BF361" s="109">
        <f t="shared" si="462"/>
        <v>19000</v>
      </c>
      <c r="BG361" s="84">
        <f t="shared" ref="BG361:BG370" si="477">IF(BD361="sim",BE361*BF361,0)</f>
        <v>0</v>
      </c>
      <c r="BH361" s="197"/>
      <c r="BI361" s="518"/>
      <c r="BJ361" s="65"/>
      <c r="BK361" s="81">
        <f t="shared" ref="BK361:BK370" si="478">BP361+BU361+BZ361</f>
        <v>0</v>
      </c>
      <c r="BL361" s="65"/>
      <c r="BM361" s="204"/>
      <c r="BN361" s="156">
        <f>IF(B361&lt;&gt;"",_xlfn.XLOOKUP(B361,'Cronog. e Histog.'!B:B,'Cronog. e Histog.'!EK:EK),0)</f>
        <v>0</v>
      </c>
      <c r="BO361" s="109">
        <f>($O361/Dashboard!$D$15)*(1+Dashboard!$D$19)</f>
        <v>147.21074380165288</v>
      </c>
      <c r="BP361" s="84">
        <f t="shared" ref="BP361:BP379" si="479">SUM(BM361:BN361)*BO361</f>
        <v>0</v>
      </c>
      <c r="BQ361" s="65"/>
      <c r="BR361" s="204"/>
      <c r="BS361" s="156">
        <f>IF(B361&lt;&gt;"",_xlfn.XLOOKUP(B361,'Cronog. e Histog.'!B:B,'Cronog. e Histog.'!EL:EL),0)</f>
        <v>0</v>
      </c>
      <c r="BT361" s="109">
        <f>($O361/Dashboard!$D$15)*(1+Dashboard!$D$20)</f>
        <v>171.74586776859502</v>
      </c>
      <c r="BU361" s="84">
        <f t="shared" ref="BU361:BU379" si="480">SUM(BR361:BS361)*BT361</f>
        <v>0</v>
      </c>
      <c r="BV361" s="65"/>
      <c r="BW361" s="204"/>
      <c r="BX361" s="156">
        <f>IF(B361&lt;&gt;"",_xlfn.XLOOKUP(B361,'Cronog. e Histog.'!B:B,'Cronog. e Histog.'!EM:EM),0)</f>
        <v>0</v>
      </c>
      <c r="BY361" s="109">
        <f>($O361/Dashboard!$D$15)*(1+Dashboard!$D$21)</f>
        <v>196.28099173553716</v>
      </c>
      <c r="BZ361" s="84">
        <f t="shared" ref="BZ361:BZ379" si="481">SUM(BW361:BX361)*BY361</f>
        <v>0</v>
      </c>
    </row>
    <row r="362" spans="2:78" ht="12" customHeight="1" outlineLevel="1">
      <c r="B362" s="137" t="str">
        <f>'Cronog. e Histog.'!B503</f>
        <v>SUP.-ESP - Equipe_01</v>
      </c>
      <c r="C362" s="65"/>
      <c r="D362" s="200">
        <f t="shared" si="447"/>
        <v>0</v>
      </c>
      <c r="E362" s="200">
        <f t="shared" si="448"/>
        <v>0</v>
      </c>
      <c r="F362" s="65"/>
      <c r="G362" s="200">
        <f t="shared" si="449"/>
        <v>0</v>
      </c>
      <c r="H362" s="200">
        <f t="shared" si="450"/>
        <v>0</v>
      </c>
      <c r="I362" s="65"/>
      <c r="J362" s="143" t="str">
        <f>IF('Cronog. e Histog.'!G503&gt;0,'Cronog. e Histog.'!G503,"")</f>
        <v>SUP.-ESP</v>
      </c>
      <c r="K362" s="65"/>
      <c r="L362" s="144">
        <f>'Cronog. e Histog.'!BT503</f>
        <v>0</v>
      </c>
      <c r="M362" s="144">
        <f>'Cronog. e Histog.'!BU503</f>
        <v>0</v>
      </c>
      <c r="N362" s="65"/>
      <c r="O362" s="109">
        <f>_xlfn.XLOOKUP(B362,Salários!B:B,Salários!K:K)</f>
        <v>9716.67</v>
      </c>
      <c r="P362" s="109">
        <f t="shared" si="465"/>
        <v>0</v>
      </c>
      <c r="Q362" s="109">
        <f t="shared" si="466"/>
        <v>0</v>
      </c>
      <c r="R362" s="65"/>
      <c r="S362" s="109">
        <f t="shared" si="467"/>
        <v>9716.67</v>
      </c>
      <c r="T362" s="201" t="str">
        <f>IF(_xlfn.XLOOKUP(B362,Salários!B:B,Salários!I:I)&gt;0,_xlfn.XLOOKUP(B362,Salários!B:B,Salários!I:I),"")</f>
        <v>Mensalista</v>
      </c>
      <c r="U362" s="117">
        <f t="shared" si="468"/>
        <v>0</v>
      </c>
      <c r="V362" s="65"/>
      <c r="W362" s="202"/>
      <c r="X362" s="65"/>
      <c r="Y362" s="69"/>
      <c r="Z362" s="65"/>
      <c r="AA362" s="518"/>
      <c r="AB362" s="65"/>
      <c r="AC362" s="81">
        <f t="shared" si="469"/>
        <v>0</v>
      </c>
      <c r="AD362" s="65"/>
      <c r="AE362" s="112"/>
      <c r="AF362" s="203">
        <v>0.3</v>
      </c>
      <c r="AG362" s="109">
        <f t="shared" si="470"/>
        <v>9716.67</v>
      </c>
      <c r="AH362" s="84">
        <f t="shared" si="471"/>
        <v>0</v>
      </c>
      <c r="AI362" s="65"/>
      <c r="AJ362" s="112"/>
      <c r="AK362" s="122"/>
      <c r="AL362" s="109">
        <v>1212</v>
      </c>
      <c r="AM362" s="84">
        <f t="shared" si="472"/>
        <v>0</v>
      </c>
      <c r="AN362" s="65"/>
      <c r="AO362" s="112"/>
      <c r="AP362" s="204"/>
      <c r="AQ362" s="109">
        <f>IFERROR((O362+AH362+AM362)/Dashboard!$D$15,0)*0.2</f>
        <v>10.037882231404957</v>
      </c>
      <c r="AR362" s="84">
        <f t="shared" si="473"/>
        <v>0</v>
      </c>
      <c r="AS362" s="65"/>
      <c r="AT362" s="112"/>
      <c r="AU362" s="203">
        <v>0.33</v>
      </c>
      <c r="AV362" s="109">
        <f t="shared" si="459"/>
        <v>9716.67</v>
      </c>
      <c r="AW362" s="84">
        <f t="shared" si="474"/>
        <v>0</v>
      </c>
      <c r="AX362" s="65"/>
      <c r="AY362" s="112"/>
      <c r="AZ362" s="203">
        <v>0.25</v>
      </c>
      <c r="BA362" s="109">
        <f t="shared" si="475"/>
        <v>9716.67</v>
      </c>
      <c r="BB362" s="84">
        <f t="shared" si="476"/>
        <v>0</v>
      </c>
      <c r="BC362" s="65"/>
      <c r="BD362" s="112"/>
      <c r="BE362" s="203">
        <v>0.26</v>
      </c>
      <c r="BF362" s="109">
        <f t="shared" si="462"/>
        <v>9716.67</v>
      </c>
      <c r="BG362" s="84">
        <f t="shared" si="477"/>
        <v>0</v>
      </c>
      <c r="BH362" s="197"/>
      <c r="BI362" s="518"/>
      <c r="BJ362" s="65"/>
      <c r="BK362" s="81">
        <f t="shared" si="478"/>
        <v>0</v>
      </c>
      <c r="BL362" s="65"/>
      <c r="BM362" s="204"/>
      <c r="BN362" s="156">
        <f>IF(B362&lt;&gt;"",_xlfn.XLOOKUP(B362,'Cronog. e Histog.'!B:B,'Cronog. e Histog.'!EK:EK),0)</f>
        <v>0</v>
      </c>
      <c r="BO362" s="109">
        <f>($O362/Dashboard!$D$15)*(1+Dashboard!$D$19)</f>
        <v>75.284116735537182</v>
      </c>
      <c r="BP362" s="84">
        <f t="shared" si="479"/>
        <v>0</v>
      </c>
      <c r="BQ362" s="65"/>
      <c r="BR362" s="204"/>
      <c r="BS362" s="156">
        <f>IF(B362&lt;&gt;"",_xlfn.XLOOKUP(B362,'Cronog. e Histog.'!B:B,'Cronog. e Histog.'!EL:EL),0)</f>
        <v>0</v>
      </c>
      <c r="BT362" s="109">
        <f>($O362/Dashboard!$D$15)*(1+Dashboard!$D$20)</f>
        <v>87.831469524793377</v>
      </c>
      <c r="BU362" s="84">
        <f t="shared" si="480"/>
        <v>0</v>
      </c>
      <c r="BV362" s="65"/>
      <c r="BW362" s="204"/>
      <c r="BX362" s="156">
        <f>IF(B362&lt;&gt;"",_xlfn.XLOOKUP(B362,'Cronog. e Histog.'!B:B,'Cronog. e Histog.'!EM:EM),0)</f>
        <v>0</v>
      </c>
      <c r="BY362" s="109">
        <f>($O362/Dashboard!$D$15)*(1+Dashboard!$D$21)</f>
        <v>100.37882231404957</v>
      </c>
      <c r="BZ362" s="84">
        <f t="shared" si="481"/>
        <v>0</v>
      </c>
    </row>
    <row r="363" spans="2:78" ht="12" customHeight="1" outlineLevel="1">
      <c r="B363" s="137" t="str">
        <f>'Cronog. e Histog.'!B504</f>
        <v>ENG/ARQ SR. - Equipe_01</v>
      </c>
      <c r="C363" s="65"/>
      <c r="D363" s="200">
        <f t="shared" si="447"/>
        <v>0</v>
      </c>
      <c r="E363" s="200">
        <f t="shared" si="448"/>
        <v>0</v>
      </c>
      <c r="F363" s="65"/>
      <c r="G363" s="200">
        <f t="shared" si="449"/>
        <v>0</v>
      </c>
      <c r="H363" s="200">
        <f t="shared" si="450"/>
        <v>0</v>
      </c>
      <c r="I363" s="65"/>
      <c r="J363" s="143" t="str">
        <f>IF('Cronog. e Histog.'!G504&gt;0,'Cronog. e Histog.'!G504,"")</f>
        <v>ENG/ARQ SR.</v>
      </c>
      <c r="K363" s="65"/>
      <c r="L363" s="144">
        <f>'Cronog. e Histog.'!BT504</f>
        <v>0</v>
      </c>
      <c r="M363" s="144">
        <f>'Cronog. e Histog.'!BU504</f>
        <v>0</v>
      </c>
      <c r="N363" s="65"/>
      <c r="O363" s="109">
        <f>_xlfn.XLOOKUP(B363,Salários!B:B,Salários!K:K)</f>
        <v>16000</v>
      </c>
      <c r="P363" s="109">
        <f t="shared" si="465"/>
        <v>0</v>
      </c>
      <c r="Q363" s="109">
        <f t="shared" si="466"/>
        <v>0</v>
      </c>
      <c r="R363" s="65"/>
      <c r="S363" s="109">
        <f t="shared" si="467"/>
        <v>16000</v>
      </c>
      <c r="T363" s="201" t="str">
        <f>IF(_xlfn.XLOOKUP(B363,Salários!B:B,Salários!I:I)&gt;0,_xlfn.XLOOKUP(B363,Salários!B:B,Salários!I:I),"")</f>
        <v>PJ</v>
      </c>
      <c r="U363" s="117">
        <f t="shared" si="468"/>
        <v>0</v>
      </c>
      <c r="V363" s="65"/>
      <c r="W363" s="202"/>
      <c r="X363" s="65"/>
      <c r="Y363" s="69"/>
      <c r="Z363" s="65"/>
      <c r="AA363" s="518"/>
      <c r="AB363" s="65"/>
      <c r="AC363" s="81">
        <f t="shared" si="469"/>
        <v>0</v>
      </c>
      <c r="AD363" s="65"/>
      <c r="AE363" s="112"/>
      <c r="AF363" s="203">
        <v>0.3</v>
      </c>
      <c r="AG363" s="109">
        <f t="shared" si="470"/>
        <v>16000</v>
      </c>
      <c r="AH363" s="84">
        <f t="shared" si="471"/>
        <v>0</v>
      </c>
      <c r="AI363" s="65"/>
      <c r="AJ363" s="112"/>
      <c r="AK363" s="122"/>
      <c r="AL363" s="109">
        <v>1212</v>
      </c>
      <c r="AM363" s="84">
        <f t="shared" si="472"/>
        <v>0</v>
      </c>
      <c r="AN363" s="65"/>
      <c r="AO363" s="112"/>
      <c r="AP363" s="204"/>
      <c r="AQ363" s="109">
        <f>IFERROR((O363+AH363+AM363)/Dashboard!$D$15,0)*0.2</f>
        <v>16.528925619834709</v>
      </c>
      <c r="AR363" s="84">
        <f t="shared" si="473"/>
        <v>0</v>
      </c>
      <c r="AS363" s="65"/>
      <c r="AT363" s="112"/>
      <c r="AU363" s="203">
        <v>0.33</v>
      </c>
      <c r="AV363" s="109">
        <f t="shared" si="459"/>
        <v>16000</v>
      </c>
      <c r="AW363" s="84">
        <f t="shared" si="474"/>
        <v>0</v>
      </c>
      <c r="AX363" s="65"/>
      <c r="AY363" s="112"/>
      <c r="AZ363" s="203">
        <v>0.25</v>
      </c>
      <c r="BA363" s="109">
        <f t="shared" si="475"/>
        <v>16000</v>
      </c>
      <c r="BB363" s="84">
        <f t="shared" si="476"/>
        <v>0</v>
      </c>
      <c r="BC363" s="65"/>
      <c r="BD363" s="112"/>
      <c r="BE363" s="203">
        <v>0.26</v>
      </c>
      <c r="BF363" s="109">
        <f t="shared" si="462"/>
        <v>16000</v>
      </c>
      <c r="BG363" s="84">
        <f t="shared" si="477"/>
        <v>0</v>
      </c>
      <c r="BH363" s="197"/>
      <c r="BI363" s="518"/>
      <c r="BJ363" s="65"/>
      <c r="BK363" s="81">
        <f t="shared" si="478"/>
        <v>0</v>
      </c>
      <c r="BL363" s="65"/>
      <c r="BM363" s="204"/>
      <c r="BN363" s="156">
        <f>IF(B363&lt;&gt;"",_xlfn.XLOOKUP(B363,'Cronog. e Histog.'!B:B,'Cronog. e Histog.'!EK:EK),0)</f>
        <v>0</v>
      </c>
      <c r="BO363" s="109">
        <f>($O363/Dashboard!$D$15)*(1+Dashboard!$D$19)</f>
        <v>123.96694214876032</v>
      </c>
      <c r="BP363" s="84">
        <f t="shared" si="479"/>
        <v>0</v>
      </c>
      <c r="BQ363" s="65"/>
      <c r="BR363" s="204"/>
      <c r="BS363" s="156">
        <f>IF(B363&lt;&gt;"",_xlfn.XLOOKUP(B363,'Cronog. e Histog.'!B:B,'Cronog. e Histog.'!EL:EL),0)</f>
        <v>0</v>
      </c>
      <c r="BT363" s="109">
        <f>($O363/Dashboard!$D$15)*(1+Dashboard!$D$20)</f>
        <v>144.62809917355369</v>
      </c>
      <c r="BU363" s="84">
        <f t="shared" si="480"/>
        <v>0</v>
      </c>
      <c r="BV363" s="65"/>
      <c r="BW363" s="204"/>
      <c r="BX363" s="156">
        <f>IF(B363&lt;&gt;"",_xlfn.XLOOKUP(B363,'Cronog. e Histog.'!B:B,'Cronog. e Histog.'!EM:EM),0)</f>
        <v>0</v>
      </c>
      <c r="BY363" s="109">
        <f>($O363/Dashboard!$D$15)*(1+Dashboard!$D$21)</f>
        <v>165.28925619834709</v>
      </c>
      <c r="BZ363" s="84">
        <f t="shared" si="481"/>
        <v>0</v>
      </c>
    </row>
    <row r="364" spans="2:78" ht="12" customHeight="1" outlineLevel="1">
      <c r="B364" s="137" t="str">
        <f>'Cronog. e Histog.'!B505</f>
        <v>ENG/ARQ PL. - Equipe_01</v>
      </c>
      <c r="C364" s="65"/>
      <c r="D364" s="200">
        <f t="shared" si="447"/>
        <v>0</v>
      </c>
      <c r="E364" s="200">
        <f t="shared" si="448"/>
        <v>0</v>
      </c>
      <c r="F364" s="65"/>
      <c r="G364" s="200">
        <f t="shared" si="449"/>
        <v>0</v>
      </c>
      <c r="H364" s="200">
        <f t="shared" si="450"/>
        <v>0</v>
      </c>
      <c r="I364" s="65"/>
      <c r="J364" s="143" t="str">
        <f>IF('Cronog. e Histog.'!G505&gt;0,'Cronog. e Histog.'!G505,"")</f>
        <v>ENG/ARQ PL.</v>
      </c>
      <c r="K364" s="65"/>
      <c r="L364" s="144">
        <f>'Cronog. e Histog.'!BT505</f>
        <v>0</v>
      </c>
      <c r="M364" s="144">
        <f>'Cronog. e Histog.'!BU505</f>
        <v>0</v>
      </c>
      <c r="N364" s="65"/>
      <c r="O364" s="109">
        <f>_xlfn.XLOOKUP(B364,Salários!B:B,Salários!K:K)</f>
        <v>14000</v>
      </c>
      <c r="P364" s="109">
        <f t="shared" si="465"/>
        <v>0</v>
      </c>
      <c r="Q364" s="109">
        <f t="shared" si="466"/>
        <v>0</v>
      </c>
      <c r="R364" s="65"/>
      <c r="S364" s="109">
        <f t="shared" si="467"/>
        <v>14000</v>
      </c>
      <c r="T364" s="201" t="str">
        <f>IF(_xlfn.XLOOKUP(B364,Salários!B:B,Salários!I:I)&gt;0,_xlfn.XLOOKUP(B364,Salários!B:B,Salários!I:I),"")</f>
        <v>PJ</v>
      </c>
      <c r="U364" s="117">
        <f t="shared" si="468"/>
        <v>0</v>
      </c>
      <c r="V364" s="65"/>
      <c r="W364" s="202"/>
      <c r="X364" s="65"/>
      <c r="Y364" s="69"/>
      <c r="Z364" s="65"/>
      <c r="AA364" s="518"/>
      <c r="AB364" s="65"/>
      <c r="AC364" s="81">
        <f t="shared" si="469"/>
        <v>0</v>
      </c>
      <c r="AD364" s="65"/>
      <c r="AE364" s="112"/>
      <c r="AF364" s="203">
        <v>0.3</v>
      </c>
      <c r="AG364" s="109">
        <f t="shared" si="470"/>
        <v>14000</v>
      </c>
      <c r="AH364" s="84">
        <f t="shared" si="471"/>
        <v>0</v>
      </c>
      <c r="AI364" s="65"/>
      <c r="AJ364" s="112"/>
      <c r="AK364" s="122"/>
      <c r="AL364" s="109">
        <v>1212</v>
      </c>
      <c r="AM364" s="84">
        <f t="shared" si="472"/>
        <v>0</v>
      </c>
      <c r="AN364" s="65"/>
      <c r="AO364" s="112"/>
      <c r="AP364" s="204"/>
      <c r="AQ364" s="109">
        <f>IFERROR((O364+AH364+AM364)/Dashboard!$D$15,0)*0.2</f>
        <v>14.46280991735537</v>
      </c>
      <c r="AR364" s="84">
        <f t="shared" si="473"/>
        <v>0</v>
      </c>
      <c r="AS364" s="65"/>
      <c r="AT364" s="112"/>
      <c r="AU364" s="203">
        <v>0.33</v>
      </c>
      <c r="AV364" s="109">
        <f t="shared" si="459"/>
        <v>14000</v>
      </c>
      <c r="AW364" s="84">
        <f t="shared" si="474"/>
        <v>0</v>
      </c>
      <c r="AX364" s="65"/>
      <c r="AY364" s="112"/>
      <c r="AZ364" s="203">
        <v>0.25</v>
      </c>
      <c r="BA364" s="109">
        <f t="shared" si="475"/>
        <v>14000</v>
      </c>
      <c r="BB364" s="84">
        <f t="shared" si="476"/>
        <v>0</v>
      </c>
      <c r="BC364" s="65"/>
      <c r="BD364" s="112"/>
      <c r="BE364" s="203">
        <v>0.26</v>
      </c>
      <c r="BF364" s="109">
        <f t="shared" si="462"/>
        <v>14000</v>
      </c>
      <c r="BG364" s="84">
        <f t="shared" si="477"/>
        <v>0</v>
      </c>
      <c r="BH364" s="197"/>
      <c r="BI364" s="518"/>
      <c r="BJ364" s="65"/>
      <c r="BK364" s="81">
        <f t="shared" si="478"/>
        <v>0</v>
      </c>
      <c r="BL364" s="65"/>
      <c r="BM364" s="204"/>
      <c r="BN364" s="156">
        <f>IF(B364&lt;&gt;"",_xlfn.XLOOKUP(B364,'Cronog. e Histog.'!B:B,'Cronog. e Histog.'!EK:EK),0)</f>
        <v>0</v>
      </c>
      <c r="BO364" s="109">
        <f>($O364/Dashboard!$D$15)*(1+Dashboard!$D$19)</f>
        <v>108.47107438016528</v>
      </c>
      <c r="BP364" s="84">
        <f t="shared" si="479"/>
        <v>0</v>
      </c>
      <c r="BQ364" s="65"/>
      <c r="BR364" s="204"/>
      <c r="BS364" s="156">
        <f>IF(B364&lt;&gt;"",_xlfn.XLOOKUP(B364,'Cronog. e Histog.'!B:B,'Cronog. e Histog.'!EL:EL),0)</f>
        <v>0</v>
      </c>
      <c r="BT364" s="109">
        <f>($O364/Dashboard!$D$15)*(1+Dashboard!$D$20)</f>
        <v>126.54958677685948</v>
      </c>
      <c r="BU364" s="84">
        <f t="shared" si="480"/>
        <v>0</v>
      </c>
      <c r="BV364" s="65"/>
      <c r="BW364" s="204"/>
      <c r="BX364" s="156">
        <f>IF(B364&lt;&gt;"",_xlfn.XLOOKUP(B364,'Cronog. e Histog.'!B:B,'Cronog. e Histog.'!EM:EM),0)</f>
        <v>0</v>
      </c>
      <c r="BY364" s="109">
        <f>($O364/Dashboard!$D$15)*(1+Dashboard!$D$21)</f>
        <v>144.62809917355369</v>
      </c>
      <c r="BZ364" s="84">
        <f t="shared" si="481"/>
        <v>0</v>
      </c>
    </row>
    <row r="365" spans="2:78" ht="12" customHeight="1" outlineLevel="1">
      <c r="B365" s="137" t="str">
        <f>'Cronog. e Histog.'!B506</f>
        <v>ENG/ARQ JR. - Equipe_01</v>
      </c>
      <c r="C365" s="65"/>
      <c r="D365" s="200">
        <f t="shared" si="447"/>
        <v>0</v>
      </c>
      <c r="E365" s="200">
        <f t="shared" si="448"/>
        <v>0</v>
      </c>
      <c r="F365" s="65"/>
      <c r="G365" s="200">
        <f t="shared" si="449"/>
        <v>0</v>
      </c>
      <c r="H365" s="200">
        <f t="shared" si="450"/>
        <v>0</v>
      </c>
      <c r="I365" s="65"/>
      <c r="J365" s="143" t="str">
        <f>IF('Cronog. e Histog.'!G506&gt;0,'Cronog. e Histog.'!G506,"")</f>
        <v>ENG/ARQ JR.</v>
      </c>
      <c r="K365" s="65"/>
      <c r="L365" s="144">
        <f>'Cronog. e Histog.'!BT506</f>
        <v>0</v>
      </c>
      <c r="M365" s="144">
        <f>'Cronog. e Histog.'!BU506</f>
        <v>0</v>
      </c>
      <c r="N365" s="65"/>
      <c r="O365" s="109">
        <f>_xlfn.XLOOKUP(B365,Salários!B:B,Salários!K:K)</f>
        <v>14000</v>
      </c>
      <c r="P365" s="109">
        <f t="shared" si="465"/>
        <v>0</v>
      </c>
      <c r="Q365" s="109">
        <f t="shared" si="466"/>
        <v>0</v>
      </c>
      <c r="R365" s="65"/>
      <c r="S365" s="109">
        <f t="shared" si="467"/>
        <v>14000</v>
      </c>
      <c r="T365" s="201" t="str">
        <f>IF(_xlfn.XLOOKUP(B365,Salários!B:B,Salários!I:I)&gt;0,_xlfn.XLOOKUP(B365,Salários!B:B,Salários!I:I),"")</f>
        <v>PJ</v>
      </c>
      <c r="U365" s="117">
        <f t="shared" si="468"/>
        <v>0</v>
      </c>
      <c r="V365" s="65"/>
      <c r="W365" s="202"/>
      <c r="X365" s="65"/>
      <c r="Y365" s="69"/>
      <c r="Z365" s="65"/>
      <c r="AA365" s="518"/>
      <c r="AB365" s="65"/>
      <c r="AC365" s="81">
        <f t="shared" si="469"/>
        <v>0</v>
      </c>
      <c r="AD365" s="65"/>
      <c r="AE365" s="112"/>
      <c r="AF365" s="203">
        <v>0.3</v>
      </c>
      <c r="AG365" s="109">
        <f t="shared" si="470"/>
        <v>14000</v>
      </c>
      <c r="AH365" s="84">
        <f t="shared" si="471"/>
        <v>0</v>
      </c>
      <c r="AI365" s="65"/>
      <c r="AJ365" s="112"/>
      <c r="AK365" s="122"/>
      <c r="AL365" s="109">
        <v>1212</v>
      </c>
      <c r="AM365" s="84">
        <f t="shared" si="472"/>
        <v>0</v>
      </c>
      <c r="AN365" s="65"/>
      <c r="AO365" s="112"/>
      <c r="AP365" s="204"/>
      <c r="AQ365" s="109">
        <f>IFERROR((O365+AH365+AM365)/Dashboard!$D$15,0)*0.2</f>
        <v>14.46280991735537</v>
      </c>
      <c r="AR365" s="84">
        <f t="shared" si="473"/>
        <v>0</v>
      </c>
      <c r="AS365" s="65"/>
      <c r="AT365" s="112"/>
      <c r="AU365" s="203">
        <v>0.33</v>
      </c>
      <c r="AV365" s="109">
        <f t="shared" si="459"/>
        <v>14000</v>
      </c>
      <c r="AW365" s="84">
        <f t="shared" si="474"/>
        <v>0</v>
      </c>
      <c r="AX365" s="65"/>
      <c r="AY365" s="112"/>
      <c r="AZ365" s="203">
        <v>0.25</v>
      </c>
      <c r="BA365" s="109">
        <f t="shared" si="475"/>
        <v>14000</v>
      </c>
      <c r="BB365" s="84">
        <f t="shared" si="476"/>
        <v>0</v>
      </c>
      <c r="BC365" s="65"/>
      <c r="BD365" s="112"/>
      <c r="BE365" s="203">
        <v>0.26</v>
      </c>
      <c r="BF365" s="109">
        <f t="shared" si="462"/>
        <v>14000</v>
      </c>
      <c r="BG365" s="84">
        <f t="shared" si="477"/>
        <v>0</v>
      </c>
      <c r="BH365" s="197"/>
      <c r="BI365" s="518"/>
      <c r="BJ365" s="65"/>
      <c r="BK365" s="81">
        <f t="shared" si="478"/>
        <v>0</v>
      </c>
      <c r="BL365" s="65"/>
      <c r="BM365" s="204"/>
      <c r="BN365" s="156">
        <f>IF(B365&lt;&gt;"",_xlfn.XLOOKUP(B365,'Cronog. e Histog.'!B:B,'Cronog. e Histog.'!EK:EK),0)</f>
        <v>0</v>
      </c>
      <c r="BO365" s="109">
        <f>($O365/Dashboard!$D$15)*(1+Dashboard!$D$19)</f>
        <v>108.47107438016528</v>
      </c>
      <c r="BP365" s="84">
        <f t="shared" si="479"/>
        <v>0</v>
      </c>
      <c r="BQ365" s="65"/>
      <c r="BR365" s="204"/>
      <c r="BS365" s="156">
        <f>IF(B365&lt;&gt;"",_xlfn.XLOOKUP(B365,'Cronog. e Histog.'!B:B,'Cronog. e Histog.'!EL:EL),0)</f>
        <v>0</v>
      </c>
      <c r="BT365" s="109">
        <f>($O365/Dashboard!$D$15)*(1+Dashboard!$D$20)</f>
        <v>126.54958677685948</v>
      </c>
      <c r="BU365" s="84">
        <f t="shared" si="480"/>
        <v>0</v>
      </c>
      <c r="BV365" s="65"/>
      <c r="BW365" s="204"/>
      <c r="BX365" s="156">
        <f>IF(B365&lt;&gt;"",_xlfn.XLOOKUP(B365,'Cronog. e Histog.'!B:B,'Cronog. e Histog.'!EM:EM),0)</f>
        <v>0</v>
      </c>
      <c r="BY365" s="109">
        <f>($O365/Dashboard!$D$15)*(1+Dashboard!$D$21)</f>
        <v>144.62809917355369</v>
      </c>
      <c r="BZ365" s="84">
        <f t="shared" si="481"/>
        <v>0</v>
      </c>
    </row>
    <row r="366" spans="2:78" ht="12" customHeight="1" outlineLevel="1">
      <c r="B366" s="137" t="str">
        <f>'Cronog. e Histog.'!B507</f>
        <v>AN SR. ENG/ARQ - Equipe_01</v>
      </c>
      <c r="C366" s="65"/>
      <c r="D366" s="200">
        <f t="shared" si="447"/>
        <v>0</v>
      </c>
      <c r="E366" s="200">
        <f t="shared" si="448"/>
        <v>0</v>
      </c>
      <c r="F366" s="65"/>
      <c r="G366" s="200">
        <f t="shared" si="449"/>
        <v>0</v>
      </c>
      <c r="H366" s="200">
        <f t="shared" si="450"/>
        <v>0</v>
      </c>
      <c r="I366" s="65"/>
      <c r="J366" s="143" t="str">
        <f>IF('Cronog. e Histog.'!G507&gt;0,'Cronog. e Histog.'!G507,"")</f>
        <v>AN SR. ENG/ARQ</v>
      </c>
      <c r="K366" s="65"/>
      <c r="L366" s="144">
        <f>'Cronog. e Histog.'!BT507</f>
        <v>0</v>
      </c>
      <c r="M366" s="144">
        <f>'Cronog. e Histog.'!BU507</f>
        <v>0</v>
      </c>
      <c r="N366" s="65"/>
      <c r="O366" s="109">
        <f>_xlfn.XLOOKUP(B366,Salários!B:B,Salários!K:K)</f>
        <v>7950</v>
      </c>
      <c r="P366" s="109">
        <f t="shared" si="465"/>
        <v>0</v>
      </c>
      <c r="Q366" s="109">
        <f t="shared" si="466"/>
        <v>0</v>
      </c>
      <c r="R366" s="65"/>
      <c r="S366" s="109">
        <f t="shared" si="467"/>
        <v>7950</v>
      </c>
      <c r="T366" s="201" t="str">
        <f>IF(_xlfn.XLOOKUP(B366,Salários!B:B,Salários!I:I)&gt;0,_xlfn.XLOOKUP(B366,Salários!B:B,Salários!I:I),"")</f>
        <v>Mensalista</v>
      </c>
      <c r="U366" s="117">
        <f t="shared" si="468"/>
        <v>0</v>
      </c>
      <c r="V366" s="65"/>
      <c r="W366" s="202"/>
      <c r="X366" s="65"/>
      <c r="Y366" s="69"/>
      <c r="Z366" s="65"/>
      <c r="AA366" s="518"/>
      <c r="AB366" s="65"/>
      <c r="AC366" s="81">
        <f t="shared" si="469"/>
        <v>0</v>
      </c>
      <c r="AD366" s="65"/>
      <c r="AE366" s="112"/>
      <c r="AF366" s="203">
        <v>0.3</v>
      </c>
      <c r="AG366" s="109">
        <f t="shared" si="470"/>
        <v>7950</v>
      </c>
      <c r="AH366" s="84">
        <f t="shared" si="471"/>
        <v>0</v>
      </c>
      <c r="AI366" s="65"/>
      <c r="AJ366" s="112"/>
      <c r="AK366" s="122"/>
      <c r="AL366" s="109">
        <v>1212</v>
      </c>
      <c r="AM366" s="84">
        <f t="shared" si="472"/>
        <v>0</v>
      </c>
      <c r="AN366" s="65"/>
      <c r="AO366" s="112"/>
      <c r="AP366" s="204"/>
      <c r="AQ366" s="109">
        <f>IFERROR((O366+AH366+AM366)/Dashboard!$D$15,0)*0.2</f>
        <v>8.2128099173553704</v>
      </c>
      <c r="AR366" s="84">
        <f t="shared" si="473"/>
        <v>0</v>
      </c>
      <c r="AS366" s="65"/>
      <c r="AT366" s="112"/>
      <c r="AU366" s="203">
        <v>0.33</v>
      </c>
      <c r="AV366" s="109">
        <f t="shared" si="459"/>
        <v>7950</v>
      </c>
      <c r="AW366" s="84">
        <f t="shared" si="474"/>
        <v>0</v>
      </c>
      <c r="AX366" s="65"/>
      <c r="AY366" s="112"/>
      <c r="AZ366" s="203">
        <v>0.25</v>
      </c>
      <c r="BA366" s="109">
        <f t="shared" si="475"/>
        <v>7950</v>
      </c>
      <c r="BB366" s="84">
        <f t="shared" si="476"/>
        <v>0</v>
      </c>
      <c r="BC366" s="65"/>
      <c r="BD366" s="112"/>
      <c r="BE366" s="203">
        <v>0.26</v>
      </c>
      <c r="BF366" s="109">
        <f t="shared" si="462"/>
        <v>7950</v>
      </c>
      <c r="BG366" s="84">
        <f t="shared" si="477"/>
        <v>0</v>
      </c>
      <c r="BH366" s="197"/>
      <c r="BI366" s="518"/>
      <c r="BJ366" s="65"/>
      <c r="BK366" s="81">
        <f t="shared" si="478"/>
        <v>0</v>
      </c>
      <c r="BL366" s="65"/>
      <c r="BM366" s="204"/>
      <c r="BN366" s="156">
        <f>IF(B366&lt;&gt;"",_xlfn.XLOOKUP(B366,'Cronog. e Histog.'!B:B,'Cronog. e Histog.'!EK:EK),0)</f>
        <v>0</v>
      </c>
      <c r="BO366" s="109">
        <f>($O366/Dashboard!$D$15)*(1+Dashboard!$D$19)</f>
        <v>61.596074380165277</v>
      </c>
      <c r="BP366" s="84">
        <f t="shared" si="479"/>
        <v>0</v>
      </c>
      <c r="BQ366" s="65"/>
      <c r="BR366" s="204"/>
      <c r="BS366" s="156">
        <f>IF(B366&lt;&gt;"",_xlfn.XLOOKUP(B366,'Cronog. e Histog.'!B:B,'Cronog. e Histog.'!EL:EL),0)</f>
        <v>0</v>
      </c>
      <c r="BT366" s="109">
        <f>($O366/Dashboard!$D$15)*(1+Dashboard!$D$20)</f>
        <v>71.862086776859499</v>
      </c>
      <c r="BU366" s="84">
        <f t="shared" si="480"/>
        <v>0</v>
      </c>
      <c r="BV366" s="65"/>
      <c r="BW366" s="204"/>
      <c r="BX366" s="156">
        <f>IF(B366&lt;&gt;"",_xlfn.XLOOKUP(B366,'Cronog. e Histog.'!B:B,'Cronog. e Histog.'!EM:EM),0)</f>
        <v>0</v>
      </c>
      <c r="BY366" s="109">
        <f>($O366/Dashboard!$D$15)*(1+Dashboard!$D$21)</f>
        <v>82.128099173553707</v>
      </c>
      <c r="BZ366" s="84">
        <f t="shared" si="481"/>
        <v>0</v>
      </c>
    </row>
    <row r="367" spans="2:78" ht="12" customHeight="1" outlineLevel="1">
      <c r="B367" s="137" t="str">
        <f>'Cronog. e Histog.'!B508</f>
        <v>AN PL. ENG/ARQ - Equipe_01</v>
      </c>
      <c r="C367" s="65"/>
      <c r="D367" s="200">
        <f t="shared" si="447"/>
        <v>0</v>
      </c>
      <c r="E367" s="200">
        <f t="shared" si="448"/>
        <v>0</v>
      </c>
      <c r="F367" s="65"/>
      <c r="G367" s="200">
        <f t="shared" si="449"/>
        <v>0</v>
      </c>
      <c r="H367" s="200">
        <f t="shared" si="450"/>
        <v>0</v>
      </c>
      <c r="I367" s="65"/>
      <c r="J367" s="143" t="str">
        <f>IF('Cronog. e Histog.'!G508&gt;0,'Cronog. e Histog.'!G508,"")</f>
        <v>AN PL. ENG/ARQ</v>
      </c>
      <c r="K367" s="65"/>
      <c r="L367" s="144">
        <f>'Cronog. e Histog.'!BT508</f>
        <v>0</v>
      </c>
      <c r="M367" s="144">
        <f>'Cronog. e Histog.'!BU508</f>
        <v>0</v>
      </c>
      <c r="N367" s="65"/>
      <c r="O367" s="109">
        <f>_xlfn.XLOOKUP(B367,Salários!B:B,Salários!K:K)</f>
        <v>6360</v>
      </c>
      <c r="P367" s="109">
        <f t="shared" si="465"/>
        <v>0</v>
      </c>
      <c r="Q367" s="109">
        <f t="shared" si="466"/>
        <v>0</v>
      </c>
      <c r="R367" s="65"/>
      <c r="S367" s="109">
        <f t="shared" si="467"/>
        <v>6360</v>
      </c>
      <c r="T367" s="201" t="str">
        <f>IF(_xlfn.XLOOKUP(B367,Salários!B:B,Salários!I:I)&gt;0,_xlfn.XLOOKUP(B367,Salários!B:B,Salários!I:I),"")</f>
        <v>Mensalista</v>
      </c>
      <c r="U367" s="117">
        <f t="shared" si="468"/>
        <v>0</v>
      </c>
      <c r="V367" s="65"/>
      <c r="W367" s="202"/>
      <c r="X367" s="65"/>
      <c r="Y367" s="69"/>
      <c r="Z367" s="65"/>
      <c r="AA367" s="518"/>
      <c r="AB367" s="65"/>
      <c r="AC367" s="81">
        <f t="shared" si="469"/>
        <v>0</v>
      </c>
      <c r="AD367" s="65"/>
      <c r="AE367" s="112"/>
      <c r="AF367" s="203">
        <v>0.3</v>
      </c>
      <c r="AG367" s="109">
        <f t="shared" si="470"/>
        <v>6360</v>
      </c>
      <c r="AH367" s="84">
        <f t="shared" si="471"/>
        <v>0</v>
      </c>
      <c r="AI367" s="65"/>
      <c r="AJ367" s="112"/>
      <c r="AK367" s="122"/>
      <c r="AL367" s="109">
        <v>1212</v>
      </c>
      <c r="AM367" s="84">
        <f t="shared" si="472"/>
        <v>0</v>
      </c>
      <c r="AN367" s="65"/>
      <c r="AO367" s="112"/>
      <c r="AP367" s="204"/>
      <c r="AQ367" s="109">
        <f>IFERROR((O367+AH367+AM367)/Dashboard!$D$15,0)*0.2</f>
        <v>6.5702479338842963</v>
      </c>
      <c r="AR367" s="84">
        <f t="shared" si="473"/>
        <v>0</v>
      </c>
      <c r="AS367" s="65"/>
      <c r="AT367" s="112"/>
      <c r="AU367" s="203">
        <v>0.33</v>
      </c>
      <c r="AV367" s="109">
        <f t="shared" si="459"/>
        <v>6360</v>
      </c>
      <c r="AW367" s="84">
        <f t="shared" si="474"/>
        <v>0</v>
      </c>
      <c r="AX367" s="65"/>
      <c r="AY367" s="112"/>
      <c r="AZ367" s="203">
        <v>0.25</v>
      </c>
      <c r="BA367" s="109">
        <f t="shared" si="475"/>
        <v>6360</v>
      </c>
      <c r="BB367" s="84">
        <f t="shared" si="476"/>
        <v>0</v>
      </c>
      <c r="BC367" s="65"/>
      <c r="BD367" s="112"/>
      <c r="BE367" s="203">
        <v>0.26</v>
      </c>
      <c r="BF367" s="109">
        <f t="shared" si="462"/>
        <v>6360</v>
      </c>
      <c r="BG367" s="84">
        <f t="shared" si="477"/>
        <v>0</v>
      </c>
      <c r="BH367" s="197"/>
      <c r="BI367" s="518"/>
      <c r="BJ367" s="65"/>
      <c r="BK367" s="81">
        <f t="shared" si="478"/>
        <v>0</v>
      </c>
      <c r="BL367" s="65"/>
      <c r="BM367" s="204"/>
      <c r="BN367" s="156">
        <f>IF(B367&lt;&gt;"",_xlfn.XLOOKUP(B367,'Cronog. e Histog.'!B:B,'Cronog. e Histog.'!EK:EK),0)</f>
        <v>0</v>
      </c>
      <c r="BO367" s="109">
        <f>($O367/Dashboard!$D$15)*(1+Dashboard!$D$19)</f>
        <v>49.276859504132219</v>
      </c>
      <c r="BP367" s="84">
        <f t="shared" si="479"/>
        <v>0</v>
      </c>
      <c r="BQ367" s="65"/>
      <c r="BR367" s="204"/>
      <c r="BS367" s="156">
        <f>IF(B367&lt;&gt;"",_xlfn.XLOOKUP(B367,'Cronog. e Histog.'!B:B,'Cronog. e Histog.'!EL:EL),0)</f>
        <v>0</v>
      </c>
      <c r="BT367" s="109">
        <f>($O367/Dashboard!$D$15)*(1+Dashboard!$D$20)</f>
        <v>57.489669421487591</v>
      </c>
      <c r="BU367" s="84">
        <f t="shared" si="480"/>
        <v>0</v>
      </c>
      <c r="BV367" s="65"/>
      <c r="BW367" s="204"/>
      <c r="BX367" s="156">
        <f>IF(B367&lt;&gt;"",_xlfn.XLOOKUP(B367,'Cronog. e Histog.'!B:B,'Cronog. e Histog.'!EM:EM),0)</f>
        <v>0</v>
      </c>
      <c r="BY367" s="109">
        <f>($O367/Dashboard!$D$15)*(1+Dashboard!$D$21)</f>
        <v>65.702479338842963</v>
      </c>
      <c r="BZ367" s="84">
        <f t="shared" si="481"/>
        <v>0</v>
      </c>
    </row>
    <row r="368" spans="2:78" ht="12" customHeight="1" outlineLevel="1">
      <c r="B368" s="137" t="str">
        <f>'Cronog. e Histog.'!B509</f>
        <v>AN JR. ENG/ARQ - Equipe_01</v>
      </c>
      <c r="C368" s="65"/>
      <c r="D368" s="200">
        <f t="shared" si="447"/>
        <v>0</v>
      </c>
      <c r="E368" s="200">
        <f t="shared" si="448"/>
        <v>0</v>
      </c>
      <c r="F368" s="65"/>
      <c r="G368" s="200">
        <f t="shared" si="449"/>
        <v>0</v>
      </c>
      <c r="H368" s="200">
        <f t="shared" si="450"/>
        <v>0</v>
      </c>
      <c r="I368" s="65"/>
      <c r="J368" s="143" t="str">
        <f>IF('Cronog. e Histog.'!G509&gt;0,'Cronog. e Histog.'!G509,"")</f>
        <v>AN JR. ENG/ARQ</v>
      </c>
      <c r="K368" s="65"/>
      <c r="L368" s="144">
        <f>'Cronog. e Histog.'!BT509</f>
        <v>0</v>
      </c>
      <c r="M368" s="144">
        <f>'Cronog. e Histog.'!BU509</f>
        <v>0</v>
      </c>
      <c r="N368" s="65"/>
      <c r="O368" s="109">
        <f>_xlfn.XLOOKUP(B368,Salários!B:B,Salários!K:K)</f>
        <v>4770</v>
      </c>
      <c r="P368" s="109">
        <f t="shared" si="465"/>
        <v>0</v>
      </c>
      <c r="Q368" s="109">
        <f t="shared" si="466"/>
        <v>0</v>
      </c>
      <c r="R368" s="65"/>
      <c r="S368" s="109">
        <f t="shared" si="467"/>
        <v>4770</v>
      </c>
      <c r="T368" s="201" t="str">
        <f>IF(_xlfn.XLOOKUP(B368,Salários!B:B,Salários!I:I)&gt;0,_xlfn.XLOOKUP(B368,Salários!B:B,Salários!I:I),"")</f>
        <v>Mensalista</v>
      </c>
      <c r="U368" s="117">
        <f t="shared" si="468"/>
        <v>0</v>
      </c>
      <c r="V368" s="65"/>
      <c r="W368" s="202"/>
      <c r="X368" s="65"/>
      <c r="Y368" s="69"/>
      <c r="Z368" s="65"/>
      <c r="AA368" s="518"/>
      <c r="AB368" s="65"/>
      <c r="AC368" s="81">
        <f t="shared" si="469"/>
        <v>0</v>
      </c>
      <c r="AD368" s="65"/>
      <c r="AE368" s="112"/>
      <c r="AF368" s="203">
        <v>0.3</v>
      </c>
      <c r="AG368" s="109">
        <f t="shared" si="470"/>
        <v>4770</v>
      </c>
      <c r="AH368" s="84">
        <f t="shared" si="471"/>
        <v>0</v>
      </c>
      <c r="AI368" s="65"/>
      <c r="AJ368" s="112"/>
      <c r="AK368" s="122"/>
      <c r="AL368" s="109">
        <v>1212</v>
      </c>
      <c r="AM368" s="84">
        <f t="shared" si="472"/>
        <v>0</v>
      </c>
      <c r="AN368" s="65"/>
      <c r="AO368" s="112"/>
      <c r="AP368" s="204"/>
      <c r="AQ368" s="109">
        <f>IFERROR((O368+AH368+AM368)/Dashboard!$D$15,0)*0.2</f>
        <v>4.9276859504132231</v>
      </c>
      <c r="AR368" s="84">
        <f t="shared" si="473"/>
        <v>0</v>
      </c>
      <c r="AS368" s="65"/>
      <c r="AT368" s="112"/>
      <c r="AU368" s="203">
        <v>0.33</v>
      </c>
      <c r="AV368" s="109">
        <f t="shared" si="459"/>
        <v>4770</v>
      </c>
      <c r="AW368" s="84">
        <f t="shared" si="474"/>
        <v>0</v>
      </c>
      <c r="AX368" s="65"/>
      <c r="AY368" s="112"/>
      <c r="AZ368" s="203">
        <v>0.25</v>
      </c>
      <c r="BA368" s="109">
        <f t="shared" si="475"/>
        <v>4770</v>
      </c>
      <c r="BB368" s="84">
        <f t="shared" si="476"/>
        <v>0</v>
      </c>
      <c r="BC368" s="65"/>
      <c r="BD368" s="112"/>
      <c r="BE368" s="203">
        <v>0.26</v>
      </c>
      <c r="BF368" s="109">
        <f t="shared" si="462"/>
        <v>4770</v>
      </c>
      <c r="BG368" s="84">
        <f t="shared" si="477"/>
        <v>0</v>
      </c>
      <c r="BH368" s="197"/>
      <c r="BI368" s="518"/>
      <c r="BJ368" s="65"/>
      <c r="BK368" s="81">
        <f t="shared" si="478"/>
        <v>0</v>
      </c>
      <c r="BL368" s="65"/>
      <c r="BM368" s="204"/>
      <c r="BN368" s="156">
        <f>IF(B368&lt;&gt;"",_xlfn.XLOOKUP(B368,'Cronog. e Histog.'!B:B,'Cronog. e Histog.'!EK:EK),0)</f>
        <v>0</v>
      </c>
      <c r="BO368" s="109">
        <f>($O368/Dashboard!$D$15)*(1+Dashboard!$D$19)</f>
        <v>36.957644628099168</v>
      </c>
      <c r="BP368" s="84">
        <f t="shared" si="479"/>
        <v>0</v>
      </c>
      <c r="BQ368" s="65"/>
      <c r="BR368" s="204"/>
      <c r="BS368" s="156">
        <f>IF(B368&lt;&gt;"",_xlfn.XLOOKUP(B368,'Cronog. e Histog.'!B:B,'Cronog. e Histog.'!EL:EL),0)</f>
        <v>0</v>
      </c>
      <c r="BT368" s="109">
        <f>($O368/Dashboard!$D$15)*(1+Dashboard!$D$20)</f>
        <v>43.117252066115697</v>
      </c>
      <c r="BU368" s="84">
        <f t="shared" si="480"/>
        <v>0</v>
      </c>
      <c r="BV368" s="65"/>
      <c r="BW368" s="204"/>
      <c r="BX368" s="156">
        <f>IF(B368&lt;&gt;"",_xlfn.XLOOKUP(B368,'Cronog. e Histog.'!B:B,'Cronog. e Histog.'!EM:EM),0)</f>
        <v>0</v>
      </c>
      <c r="BY368" s="109">
        <f>($O368/Dashboard!$D$15)*(1+Dashboard!$D$21)</f>
        <v>49.276859504132226</v>
      </c>
      <c r="BZ368" s="84">
        <f t="shared" si="481"/>
        <v>0</v>
      </c>
    </row>
    <row r="369" spans="2:78" ht="12" customHeight="1" outlineLevel="1">
      <c r="B369" s="137" t="str">
        <f>'Cronog. e Histog.'!B510</f>
        <v>AN SR. ADM/CRP - Equipe_01</v>
      </c>
      <c r="C369" s="65"/>
      <c r="D369" s="200">
        <f t="shared" si="447"/>
        <v>0</v>
      </c>
      <c r="E369" s="200">
        <f t="shared" si="448"/>
        <v>0</v>
      </c>
      <c r="F369" s="65"/>
      <c r="G369" s="200">
        <f t="shared" si="449"/>
        <v>0</v>
      </c>
      <c r="H369" s="200">
        <f t="shared" si="450"/>
        <v>0</v>
      </c>
      <c r="I369" s="65"/>
      <c r="J369" s="143" t="str">
        <f>IF('Cronog. e Histog.'!G510&gt;0,'Cronog. e Histog.'!G510,"")</f>
        <v>AN SR. ADM/CRP</v>
      </c>
      <c r="K369" s="65"/>
      <c r="L369" s="144">
        <f>'Cronog. e Histog.'!BT510</f>
        <v>0</v>
      </c>
      <c r="M369" s="144">
        <f>'Cronog. e Histog.'!BU510</f>
        <v>0</v>
      </c>
      <c r="N369" s="65"/>
      <c r="O369" s="109">
        <f>_xlfn.XLOOKUP(B369,Salários!B:B,Salários!K:K)</f>
        <v>7420</v>
      </c>
      <c r="P369" s="109">
        <f t="shared" si="465"/>
        <v>0</v>
      </c>
      <c r="Q369" s="109">
        <f t="shared" si="466"/>
        <v>0</v>
      </c>
      <c r="R369" s="65"/>
      <c r="S369" s="109">
        <f t="shared" si="467"/>
        <v>7420</v>
      </c>
      <c r="T369" s="201" t="str">
        <f>IF(_xlfn.XLOOKUP(B369,Salários!B:B,Salários!I:I)&gt;0,_xlfn.XLOOKUP(B369,Salários!B:B,Salários!I:I),"")</f>
        <v>Mensalista</v>
      </c>
      <c r="U369" s="117">
        <f t="shared" si="468"/>
        <v>0</v>
      </c>
      <c r="V369" s="65"/>
      <c r="W369" s="202"/>
      <c r="X369" s="65"/>
      <c r="Y369" s="69"/>
      <c r="Z369" s="65"/>
      <c r="AA369" s="518"/>
      <c r="AB369" s="65"/>
      <c r="AC369" s="81">
        <f t="shared" si="469"/>
        <v>0</v>
      </c>
      <c r="AD369" s="65"/>
      <c r="AE369" s="112"/>
      <c r="AF369" s="203">
        <v>0.3</v>
      </c>
      <c r="AG369" s="109">
        <f t="shared" si="470"/>
        <v>7420</v>
      </c>
      <c r="AH369" s="84">
        <f t="shared" si="471"/>
        <v>0</v>
      </c>
      <c r="AI369" s="65"/>
      <c r="AJ369" s="112"/>
      <c r="AK369" s="122"/>
      <c r="AL369" s="109">
        <v>1212</v>
      </c>
      <c r="AM369" s="84">
        <f t="shared" si="472"/>
        <v>0</v>
      </c>
      <c r="AN369" s="65"/>
      <c r="AO369" s="112"/>
      <c r="AP369" s="204"/>
      <c r="AQ369" s="109">
        <f>IFERROR((O369+AH369+AM369)/Dashboard!$D$15,0)*0.2</f>
        <v>7.6652892561983466</v>
      </c>
      <c r="AR369" s="84">
        <f t="shared" si="473"/>
        <v>0</v>
      </c>
      <c r="AS369" s="65"/>
      <c r="AT369" s="112"/>
      <c r="AU369" s="203">
        <v>0.33</v>
      </c>
      <c r="AV369" s="109">
        <f t="shared" si="459"/>
        <v>7420</v>
      </c>
      <c r="AW369" s="84">
        <f t="shared" si="474"/>
        <v>0</v>
      </c>
      <c r="AX369" s="65"/>
      <c r="AY369" s="112"/>
      <c r="AZ369" s="203">
        <v>0.25</v>
      </c>
      <c r="BA369" s="109">
        <f t="shared" si="475"/>
        <v>7420</v>
      </c>
      <c r="BB369" s="84">
        <f t="shared" si="476"/>
        <v>0</v>
      </c>
      <c r="BC369" s="65"/>
      <c r="BD369" s="112"/>
      <c r="BE369" s="203">
        <v>0.26</v>
      </c>
      <c r="BF369" s="109">
        <f t="shared" si="462"/>
        <v>7420</v>
      </c>
      <c r="BG369" s="84">
        <f t="shared" si="477"/>
        <v>0</v>
      </c>
      <c r="BH369" s="197"/>
      <c r="BI369" s="518"/>
      <c r="BJ369" s="65"/>
      <c r="BK369" s="81">
        <f t="shared" si="478"/>
        <v>0</v>
      </c>
      <c r="BL369" s="65"/>
      <c r="BM369" s="204"/>
      <c r="BN369" s="156">
        <f>IF(B369&lt;&gt;"",_xlfn.XLOOKUP(B369,'Cronog. e Histog.'!B:B,'Cronog. e Histog.'!EK:EK),0)</f>
        <v>0</v>
      </c>
      <c r="BO369" s="109">
        <f>($O369/Dashboard!$D$15)*(1+Dashboard!$D$19)</f>
        <v>57.489669421487598</v>
      </c>
      <c r="BP369" s="84">
        <f t="shared" si="479"/>
        <v>0</v>
      </c>
      <c r="BQ369" s="65"/>
      <c r="BR369" s="204"/>
      <c r="BS369" s="156">
        <f>IF(B369&lt;&gt;"",_xlfn.XLOOKUP(B369,'Cronog. e Histog.'!B:B,'Cronog. e Histog.'!EL:EL),0)</f>
        <v>0</v>
      </c>
      <c r="BT369" s="109">
        <f>($O369/Dashboard!$D$15)*(1+Dashboard!$D$20)</f>
        <v>67.071280991735534</v>
      </c>
      <c r="BU369" s="84">
        <f t="shared" si="480"/>
        <v>0</v>
      </c>
      <c r="BV369" s="65"/>
      <c r="BW369" s="204"/>
      <c r="BX369" s="156">
        <f>IF(B369&lt;&gt;"",_xlfn.XLOOKUP(B369,'Cronog. e Histog.'!B:B,'Cronog. e Histog.'!EM:EM),0)</f>
        <v>0</v>
      </c>
      <c r="BY369" s="109">
        <f>($O369/Dashboard!$D$15)*(1+Dashboard!$D$21)</f>
        <v>76.652892561983464</v>
      </c>
      <c r="BZ369" s="84">
        <f t="shared" si="481"/>
        <v>0</v>
      </c>
    </row>
    <row r="370" spans="2:78" ht="12" customHeight="1" outlineLevel="1">
      <c r="B370" s="137" t="str">
        <f>'Cronog. e Histog.'!B511</f>
        <v>AN PL. ADM/CRP - Equipe_01</v>
      </c>
      <c r="C370" s="65"/>
      <c r="D370" s="200">
        <f t="shared" si="447"/>
        <v>0</v>
      </c>
      <c r="E370" s="200">
        <f t="shared" si="448"/>
        <v>0</v>
      </c>
      <c r="F370" s="65"/>
      <c r="G370" s="200">
        <f t="shared" si="449"/>
        <v>0</v>
      </c>
      <c r="H370" s="200">
        <f t="shared" si="450"/>
        <v>0</v>
      </c>
      <c r="I370" s="65"/>
      <c r="J370" s="143" t="str">
        <f>IF('Cronog. e Histog.'!G511&gt;0,'Cronog. e Histog.'!G511,"")</f>
        <v>AN PL. ADM/CRP</v>
      </c>
      <c r="K370" s="65"/>
      <c r="L370" s="144">
        <f>'Cronog. e Histog.'!BT511</f>
        <v>0</v>
      </c>
      <c r="M370" s="144">
        <f>'Cronog. e Histog.'!BU511</f>
        <v>0</v>
      </c>
      <c r="N370" s="65"/>
      <c r="O370" s="109">
        <f>_xlfn.XLOOKUP(B370,Salários!B:B,Salários!K:K)</f>
        <v>5300</v>
      </c>
      <c r="P370" s="109">
        <f t="shared" si="465"/>
        <v>0</v>
      </c>
      <c r="Q370" s="109">
        <f t="shared" si="466"/>
        <v>0</v>
      </c>
      <c r="R370" s="65"/>
      <c r="S370" s="109">
        <f t="shared" si="467"/>
        <v>5300</v>
      </c>
      <c r="T370" s="201" t="str">
        <f>IF(_xlfn.XLOOKUP(B370,Salários!B:B,Salários!I:I)&gt;0,_xlfn.XLOOKUP(B370,Salários!B:B,Salários!I:I),"")</f>
        <v>Mensalista</v>
      </c>
      <c r="U370" s="117">
        <f t="shared" si="468"/>
        <v>0</v>
      </c>
      <c r="V370" s="65"/>
      <c r="W370" s="202"/>
      <c r="X370" s="65"/>
      <c r="Y370" s="69"/>
      <c r="Z370" s="65"/>
      <c r="AA370" s="518"/>
      <c r="AB370" s="65"/>
      <c r="AC370" s="81">
        <f t="shared" si="469"/>
        <v>0</v>
      </c>
      <c r="AD370" s="65"/>
      <c r="AE370" s="112"/>
      <c r="AF370" s="203">
        <v>0.3</v>
      </c>
      <c r="AG370" s="109">
        <f t="shared" si="470"/>
        <v>5300</v>
      </c>
      <c r="AH370" s="84">
        <f t="shared" si="471"/>
        <v>0</v>
      </c>
      <c r="AI370" s="65"/>
      <c r="AJ370" s="112"/>
      <c r="AK370" s="122"/>
      <c r="AL370" s="109">
        <v>1212</v>
      </c>
      <c r="AM370" s="84">
        <f t="shared" si="472"/>
        <v>0</v>
      </c>
      <c r="AN370" s="65"/>
      <c r="AO370" s="112"/>
      <c r="AP370" s="204"/>
      <c r="AQ370" s="109">
        <f>IFERROR((O370+AH370+AM370)/Dashboard!$D$15,0)*0.2</f>
        <v>5.4752066115702478</v>
      </c>
      <c r="AR370" s="84">
        <f t="shared" si="473"/>
        <v>0</v>
      </c>
      <c r="AS370" s="65"/>
      <c r="AT370" s="112"/>
      <c r="AU370" s="203">
        <v>0.33</v>
      </c>
      <c r="AV370" s="109">
        <f t="shared" si="459"/>
        <v>5300</v>
      </c>
      <c r="AW370" s="84">
        <f t="shared" si="474"/>
        <v>0</v>
      </c>
      <c r="AX370" s="65"/>
      <c r="AY370" s="112"/>
      <c r="AZ370" s="203">
        <v>0.25</v>
      </c>
      <c r="BA370" s="109">
        <f t="shared" si="475"/>
        <v>5300</v>
      </c>
      <c r="BB370" s="84">
        <f t="shared" si="476"/>
        <v>0</v>
      </c>
      <c r="BC370" s="65"/>
      <c r="BD370" s="112"/>
      <c r="BE370" s="203">
        <v>0.26</v>
      </c>
      <c r="BF370" s="109">
        <f t="shared" si="462"/>
        <v>5300</v>
      </c>
      <c r="BG370" s="84">
        <f t="shared" si="477"/>
        <v>0</v>
      </c>
      <c r="BH370" s="197"/>
      <c r="BI370" s="518"/>
      <c r="BJ370" s="65"/>
      <c r="BK370" s="81">
        <f t="shared" si="478"/>
        <v>0</v>
      </c>
      <c r="BL370" s="65"/>
      <c r="BM370" s="204"/>
      <c r="BN370" s="156">
        <f>IF(B370&lt;&gt;"",_xlfn.XLOOKUP(B370,'Cronog. e Histog.'!B:B,'Cronog. e Histog.'!EK:EK),0)</f>
        <v>0</v>
      </c>
      <c r="BO370" s="109">
        <f>($O370/Dashboard!$D$15)*(1+Dashboard!$D$19)</f>
        <v>41.064049586776861</v>
      </c>
      <c r="BP370" s="84">
        <f t="shared" si="479"/>
        <v>0</v>
      </c>
      <c r="BQ370" s="65"/>
      <c r="BR370" s="204"/>
      <c r="BS370" s="156">
        <f>IF(B370&lt;&gt;"",_xlfn.XLOOKUP(B370,'Cronog. e Histog.'!B:B,'Cronog. e Histog.'!EL:EL),0)</f>
        <v>0</v>
      </c>
      <c r="BT370" s="109">
        <f>($O370/Dashboard!$D$15)*(1+Dashboard!$D$20)</f>
        <v>47.908057851239668</v>
      </c>
      <c r="BU370" s="84">
        <f t="shared" si="480"/>
        <v>0</v>
      </c>
      <c r="BV370" s="65"/>
      <c r="BW370" s="204"/>
      <c r="BX370" s="156">
        <f>IF(B370&lt;&gt;"",_xlfn.XLOOKUP(B370,'Cronog. e Histog.'!B:B,'Cronog. e Histog.'!EM:EM),0)</f>
        <v>0</v>
      </c>
      <c r="BY370" s="109">
        <f>($O370/Dashboard!$D$15)*(1+Dashboard!$D$21)</f>
        <v>54.752066115702476</v>
      </c>
      <c r="BZ370" s="84">
        <f t="shared" si="481"/>
        <v>0</v>
      </c>
    </row>
    <row r="371" spans="2:78" ht="12" customHeight="1" outlineLevel="1">
      <c r="B371" s="137" t="str">
        <f>'Cronog. e Histog.'!B512</f>
        <v>AN JR. ADM/CRP - Equipe_01</v>
      </c>
      <c r="C371" s="65"/>
      <c r="D371" s="200">
        <f t="shared" si="447"/>
        <v>0</v>
      </c>
      <c r="E371" s="200">
        <f t="shared" si="448"/>
        <v>0</v>
      </c>
      <c r="F371" s="65"/>
      <c r="G371" s="200">
        <f t="shared" si="449"/>
        <v>0</v>
      </c>
      <c r="H371" s="200">
        <f t="shared" si="450"/>
        <v>0</v>
      </c>
      <c r="I371" s="65"/>
      <c r="J371" s="143" t="str">
        <f>IF('Cronog. e Histog.'!G512&gt;0,'Cronog. e Histog.'!G512,"")</f>
        <v>AN JR. ADM/CRP</v>
      </c>
      <c r="K371" s="65"/>
      <c r="L371" s="144">
        <f>'Cronog. e Histog.'!BT512</f>
        <v>0</v>
      </c>
      <c r="M371" s="144">
        <f>'Cronog. e Histog.'!BU512</f>
        <v>0</v>
      </c>
      <c r="N371" s="65"/>
      <c r="O371" s="109">
        <f>_xlfn.XLOOKUP(B371,Salários!B:B,Salários!K:K)</f>
        <v>3710</v>
      </c>
      <c r="P371" s="109">
        <f t="shared" si="465"/>
        <v>0</v>
      </c>
      <c r="Q371" s="109">
        <f t="shared" si="466"/>
        <v>0</v>
      </c>
      <c r="R371" s="65"/>
      <c r="S371" s="109">
        <f t="shared" si="467"/>
        <v>3710</v>
      </c>
      <c r="T371" s="201" t="str">
        <f>IF(_xlfn.XLOOKUP(B371,Salários!B:B,Salários!I:I)&gt;0,_xlfn.XLOOKUP(B371,Salários!B:B,Salários!I:I),"")</f>
        <v>Mensalista</v>
      </c>
      <c r="U371" s="117">
        <f t="shared" si="454"/>
        <v>0</v>
      </c>
      <c r="V371" s="65"/>
      <c r="W371" s="202"/>
      <c r="X371" s="65"/>
      <c r="Y371" s="69"/>
      <c r="Z371" s="65"/>
      <c r="AA371" s="518"/>
      <c r="AB371" s="65"/>
      <c r="AC371" s="81">
        <f t="shared" si="455"/>
        <v>0</v>
      </c>
      <c r="AD371" s="65"/>
      <c r="AE371" s="112"/>
      <c r="AF371" s="203">
        <v>0.3</v>
      </c>
      <c r="AG371" s="109">
        <f t="shared" si="44"/>
        <v>3710</v>
      </c>
      <c r="AH371" s="84">
        <f t="shared" si="456"/>
        <v>0</v>
      </c>
      <c r="AI371" s="65"/>
      <c r="AJ371" s="112"/>
      <c r="AK371" s="122"/>
      <c r="AL371" s="109">
        <v>1212</v>
      </c>
      <c r="AM371" s="84">
        <f t="shared" si="457"/>
        <v>0</v>
      </c>
      <c r="AN371" s="65"/>
      <c r="AO371" s="112"/>
      <c r="AP371" s="204"/>
      <c r="AQ371" s="109">
        <f>IFERROR((O371+AH371+AM371)/Dashboard!$D$15,0)*0.2</f>
        <v>3.8326446280991733</v>
      </c>
      <c r="AR371" s="84">
        <f t="shared" si="458"/>
        <v>0</v>
      </c>
      <c r="AS371" s="65"/>
      <c r="AT371" s="112"/>
      <c r="AU371" s="203">
        <v>0.33</v>
      </c>
      <c r="AV371" s="109">
        <f t="shared" si="459"/>
        <v>3710</v>
      </c>
      <c r="AW371" s="84">
        <f t="shared" si="460"/>
        <v>0</v>
      </c>
      <c r="AX371" s="65"/>
      <c r="AY371" s="112"/>
      <c r="AZ371" s="203">
        <v>0.25</v>
      </c>
      <c r="BA371" s="109">
        <f t="shared" si="50"/>
        <v>3710</v>
      </c>
      <c r="BB371" s="84">
        <f t="shared" si="461"/>
        <v>0</v>
      </c>
      <c r="BC371" s="65"/>
      <c r="BD371" s="112"/>
      <c r="BE371" s="203">
        <v>0.26</v>
      </c>
      <c r="BF371" s="109">
        <f t="shared" si="462"/>
        <v>3710</v>
      </c>
      <c r="BG371" s="84">
        <f t="shared" si="463"/>
        <v>0</v>
      </c>
      <c r="BH371" s="197"/>
      <c r="BI371" s="518"/>
      <c r="BJ371" s="65"/>
      <c r="BK371" s="81">
        <f t="shared" si="464"/>
        <v>0</v>
      </c>
      <c r="BL371" s="65"/>
      <c r="BM371" s="204"/>
      <c r="BN371" s="156">
        <f>IF(B371&lt;&gt;"",_xlfn.XLOOKUP(B371,'Cronog. e Histog.'!B:B,'Cronog. e Histog.'!EK:EK),0)</f>
        <v>0</v>
      </c>
      <c r="BO371" s="109">
        <f>($O371/Dashboard!$D$15)*(1+Dashboard!$D$19)</f>
        <v>28.744834710743799</v>
      </c>
      <c r="BP371" s="84">
        <f t="shared" si="479"/>
        <v>0</v>
      </c>
      <c r="BQ371" s="65"/>
      <c r="BR371" s="204"/>
      <c r="BS371" s="156">
        <f>IF(B371&lt;&gt;"",_xlfn.XLOOKUP(B371,'Cronog. e Histog.'!B:B,'Cronog. e Histog.'!EL:EL),0)</f>
        <v>0</v>
      </c>
      <c r="BT371" s="109">
        <f>($O371/Dashboard!$D$15)*(1+Dashboard!$D$20)</f>
        <v>33.535640495867767</v>
      </c>
      <c r="BU371" s="84">
        <f t="shared" si="480"/>
        <v>0</v>
      </c>
      <c r="BV371" s="65"/>
      <c r="BW371" s="204"/>
      <c r="BX371" s="156">
        <f>IF(B371&lt;&gt;"",_xlfn.XLOOKUP(B371,'Cronog. e Histog.'!B:B,'Cronog. e Histog.'!EM:EM),0)</f>
        <v>0</v>
      </c>
      <c r="BY371" s="109">
        <f>($O371/Dashboard!$D$15)*(1+Dashboard!$D$21)</f>
        <v>38.326446280991732</v>
      </c>
      <c r="BZ371" s="84">
        <f t="shared" si="481"/>
        <v>0</v>
      </c>
    </row>
    <row r="372" spans="2:78" ht="12" customHeight="1" outlineLevel="1">
      <c r="B372" s="137" t="str">
        <f>'Cronog. e Histog.'!B513</f>
        <v>TEC III - Equipe_01</v>
      </c>
      <c r="C372" s="65"/>
      <c r="D372" s="200">
        <f t="shared" si="447"/>
        <v>0</v>
      </c>
      <c r="E372" s="200">
        <f t="shared" si="448"/>
        <v>0</v>
      </c>
      <c r="F372" s="65"/>
      <c r="G372" s="200">
        <f t="shared" si="449"/>
        <v>0</v>
      </c>
      <c r="H372" s="200">
        <f t="shared" si="450"/>
        <v>0</v>
      </c>
      <c r="I372" s="65"/>
      <c r="J372" s="143" t="str">
        <f>IF('Cronog. e Histog.'!G513&gt;0,'Cronog. e Histog.'!G513,"")</f>
        <v>TEC III</v>
      </c>
      <c r="K372" s="65"/>
      <c r="L372" s="144">
        <f>'Cronog. e Histog.'!BT513</f>
        <v>0</v>
      </c>
      <c r="M372" s="144">
        <f>'Cronog. e Histog.'!BU513</f>
        <v>0</v>
      </c>
      <c r="N372" s="65"/>
      <c r="O372" s="109">
        <f>_xlfn.XLOOKUP(B372,Salários!B:B,Salários!K:K)</f>
        <v>6360</v>
      </c>
      <c r="P372" s="109">
        <f t="shared" si="465"/>
        <v>0</v>
      </c>
      <c r="Q372" s="109">
        <f t="shared" si="466"/>
        <v>0</v>
      </c>
      <c r="R372" s="65"/>
      <c r="S372" s="109">
        <f t="shared" si="467"/>
        <v>6360</v>
      </c>
      <c r="T372" s="201" t="str">
        <f>IF(_xlfn.XLOOKUP(B372,Salários!B:B,Salários!I:I)&gt;0,_xlfn.XLOOKUP(B372,Salários!B:B,Salários!I:I),"")</f>
        <v>Mensalista</v>
      </c>
      <c r="U372" s="117">
        <f t="shared" si="454"/>
        <v>0</v>
      </c>
      <c r="V372" s="65"/>
      <c r="W372" s="202"/>
      <c r="X372" s="65"/>
      <c r="Y372" s="69"/>
      <c r="Z372" s="65"/>
      <c r="AA372" s="518"/>
      <c r="AB372" s="65"/>
      <c r="AC372" s="81">
        <f t="shared" si="455"/>
        <v>0</v>
      </c>
      <c r="AD372" s="65"/>
      <c r="AE372" s="112"/>
      <c r="AF372" s="203">
        <v>0.3</v>
      </c>
      <c r="AG372" s="109">
        <f t="shared" si="44"/>
        <v>6360</v>
      </c>
      <c r="AH372" s="84">
        <f t="shared" si="456"/>
        <v>0</v>
      </c>
      <c r="AI372" s="65"/>
      <c r="AJ372" s="112"/>
      <c r="AK372" s="122"/>
      <c r="AL372" s="109">
        <v>1212</v>
      </c>
      <c r="AM372" s="84">
        <f t="shared" si="457"/>
        <v>0</v>
      </c>
      <c r="AN372" s="65"/>
      <c r="AO372" s="112"/>
      <c r="AP372" s="204"/>
      <c r="AQ372" s="109">
        <f>IFERROR((O372+AH372+AM372)/Dashboard!$D$15,0)*0.2</f>
        <v>6.5702479338842963</v>
      </c>
      <c r="AR372" s="84">
        <f t="shared" si="458"/>
        <v>0</v>
      </c>
      <c r="AS372" s="65"/>
      <c r="AT372" s="112"/>
      <c r="AU372" s="203">
        <v>0.33</v>
      </c>
      <c r="AV372" s="109">
        <f t="shared" si="459"/>
        <v>6360</v>
      </c>
      <c r="AW372" s="84">
        <f t="shared" si="460"/>
        <v>0</v>
      </c>
      <c r="AX372" s="65"/>
      <c r="AY372" s="112"/>
      <c r="AZ372" s="203">
        <v>0.25</v>
      </c>
      <c r="BA372" s="109">
        <f t="shared" si="50"/>
        <v>6360</v>
      </c>
      <c r="BB372" s="84">
        <f t="shared" si="461"/>
        <v>0</v>
      </c>
      <c r="BC372" s="65"/>
      <c r="BD372" s="112"/>
      <c r="BE372" s="203">
        <v>0.26</v>
      </c>
      <c r="BF372" s="109">
        <f t="shared" si="462"/>
        <v>6360</v>
      </c>
      <c r="BG372" s="84">
        <f t="shared" si="463"/>
        <v>0</v>
      </c>
      <c r="BH372" s="197"/>
      <c r="BI372" s="518"/>
      <c r="BJ372" s="65"/>
      <c r="BK372" s="81">
        <f t="shared" si="464"/>
        <v>0</v>
      </c>
      <c r="BL372" s="65"/>
      <c r="BM372" s="204"/>
      <c r="BN372" s="156">
        <f>IF(B372&lt;&gt;"",_xlfn.XLOOKUP(B372,'Cronog. e Histog.'!B:B,'Cronog. e Histog.'!EK:EK),0)</f>
        <v>0</v>
      </c>
      <c r="BO372" s="109">
        <f>($O372/Dashboard!$D$15)*(1+Dashboard!$D$19)</f>
        <v>49.276859504132219</v>
      </c>
      <c r="BP372" s="84">
        <f t="shared" si="479"/>
        <v>0</v>
      </c>
      <c r="BQ372" s="65"/>
      <c r="BR372" s="204"/>
      <c r="BS372" s="156">
        <f>IF(B372&lt;&gt;"",_xlfn.XLOOKUP(B372,'Cronog. e Histog.'!B:B,'Cronog. e Histog.'!EL:EL),0)</f>
        <v>0</v>
      </c>
      <c r="BT372" s="109">
        <f>($O372/Dashboard!$D$15)*(1+Dashboard!$D$20)</f>
        <v>57.489669421487591</v>
      </c>
      <c r="BU372" s="84">
        <f t="shared" si="480"/>
        <v>0</v>
      </c>
      <c r="BV372" s="65"/>
      <c r="BW372" s="204"/>
      <c r="BX372" s="156">
        <f>IF(B372&lt;&gt;"",_xlfn.XLOOKUP(B372,'Cronog. e Histog.'!B:B,'Cronog. e Histog.'!EM:EM),0)</f>
        <v>0</v>
      </c>
      <c r="BY372" s="109">
        <f>($O372/Dashboard!$D$15)*(1+Dashboard!$D$21)</f>
        <v>65.702479338842963</v>
      </c>
      <c r="BZ372" s="84">
        <f t="shared" si="481"/>
        <v>0</v>
      </c>
    </row>
    <row r="373" spans="2:78" ht="12" customHeight="1" outlineLevel="1">
      <c r="B373" s="137" t="str">
        <f>'Cronog. e Histog.'!B514</f>
        <v>TEC II - Equipe_01</v>
      </c>
      <c r="C373" s="65"/>
      <c r="D373" s="200">
        <f t="shared" si="447"/>
        <v>0</v>
      </c>
      <c r="E373" s="200">
        <f t="shared" si="448"/>
        <v>0</v>
      </c>
      <c r="F373" s="65"/>
      <c r="G373" s="200">
        <f t="shared" si="449"/>
        <v>0</v>
      </c>
      <c r="H373" s="200">
        <f t="shared" si="450"/>
        <v>0</v>
      </c>
      <c r="I373" s="65"/>
      <c r="J373" s="143" t="str">
        <f>IF('Cronog. e Histog.'!G514&gt;0,'Cronog. e Histog.'!G514,"")</f>
        <v>TEC II</v>
      </c>
      <c r="K373" s="65"/>
      <c r="L373" s="144">
        <f>'Cronog. e Histog.'!BT514</f>
        <v>0</v>
      </c>
      <c r="M373" s="144">
        <f>'Cronog. e Histog.'!BU514</f>
        <v>0</v>
      </c>
      <c r="N373" s="65"/>
      <c r="O373" s="109">
        <f>_xlfn.XLOOKUP(B373,Salários!B:B,Salários!K:K)</f>
        <v>4770</v>
      </c>
      <c r="P373" s="109">
        <f t="shared" si="465"/>
        <v>0</v>
      </c>
      <c r="Q373" s="109">
        <f t="shared" si="466"/>
        <v>0</v>
      </c>
      <c r="R373" s="65"/>
      <c r="S373" s="109">
        <f t="shared" si="467"/>
        <v>4770</v>
      </c>
      <c r="T373" s="201" t="str">
        <f>IF(_xlfn.XLOOKUP(B373,Salários!B:B,Salários!I:I)&gt;0,_xlfn.XLOOKUP(B373,Salários!B:B,Salários!I:I),"")</f>
        <v>Mensalista</v>
      </c>
      <c r="U373" s="117">
        <f t="shared" si="454"/>
        <v>0</v>
      </c>
      <c r="V373" s="65"/>
      <c r="W373" s="202"/>
      <c r="X373" s="65"/>
      <c r="Y373" s="69"/>
      <c r="Z373" s="65"/>
      <c r="AA373" s="518"/>
      <c r="AB373" s="65"/>
      <c r="AC373" s="81">
        <f t="shared" si="455"/>
        <v>0</v>
      </c>
      <c r="AD373" s="65"/>
      <c r="AE373" s="112"/>
      <c r="AF373" s="203">
        <v>0.3</v>
      </c>
      <c r="AG373" s="109">
        <f t="shared" si="44"/>
        <v>4770</v>
      </c>
      <c r="AH373" s="84">
        <f t="shared" si="456"/>
        <v>0</v>
      </c>
      <c r="AI373" s="65"/>
      <c r="AJ373" s="112"/>
      <c r="AK373" s="122"/>
      <c r="AL373" s="109">
        <v>1212</v>
      </c>
      <c r="AM373" s="84">
        <f t="shared" si="457"/>
        <v>0</v>
      </c>
      <c r="AN373" s="65"/>
      <c r="AO373" s="112"/>
      <c r="AP373" s="204"/>
      <c r="AQ373" s="109">
        <f>IFERROR((O373+AH373+AM373)/Dashboard!$D$15,0)*0.2</f>
        <v>4.9276859504132231</v>
      </c>
      <c r="AR373" s="84">
        <f t="shared" si="458"/>
        <v>0</v>
      </c>
      <c r="AS373" s="65"/>
      <c r="AT373" s="112"/>
      <c r="AU373" s="203">
        <v>0.33</v>
      </c>
      <c r="AV373" s="109">
        <f t="shared" si="459"/>
        <v>4770</v>
      </c>
      <c r="AW373" s="84">
        <f t="shared" si="460"/>
        <v>0</v>
      </c>
      <c r="AX373" s="65"/>
      <c r="AY373" s="112"/>
      <c r="AZ373" s="203">
        <v>0.25</v>
      </c>
      <c r="BA373" s="109">
        <f t="shared" si="50"/>
        <v>4770</v>
      </c>
      <c r="BB373" s="84">
        <f t="shared" si="461"/>
        <v>0</v>
      </c>
      <c r="BC373" s="65"/>
      <c r="BD373" s="112"/>
      <c r="BE373" s="203">
        <v>0.26</v>
      </c>
      <c r="BF373" s="109">
        <f t="shared" si="462"/>
        <v>4770</v>
      </c>
      <c r="BG373" s="84">
        <f t="shared" si="463"/>
        <v>0</v>
      </c>
      <c r="BH373" s="197"/>
      <c r="BI373" s="518"/>
      <c r="BJ373" s="65"/>
      <c r="BK373" s="81">
        <f t="shared" si="464"/>
        <v>0</v>
      </c>
      <c r="BL373" s="65"/>
      <c r="BM373" s="204"/>
      <c r="BN373" s="156">
        <f>IF(B373&lt;&gt;"",_xlfn.XLOOKUP(B373,'Cronog. e Histog.'!B:B,'Cronog. e Histog.'!EK:EK),0)</f>
        <v>0</v>
      </c>
      <c r="BO373" s="109">
        <f>($O373/Dashboard!$D$15)*(1+Dashboard!$D$19)</f>
        <v>36.957644628099168</v>
      </c>
      <c r="BP373" s="84">
        <f t="shared" si="479"/>
        <v>0</v>
      </c>
      <c r="BQ373" s="65"/>
      <c r="BR373" s="204"/>
      <c r="BS373" s="156">
        <f>IF(B373&lt;&gt;"",_xlfn.XLOOKUP(B373,'Cronog. e Histog.'!B:B,'Cronog. e Histog.'!EL:EL),0)</f>
        <v>0</v>
      </c>
      <c r="BT373" s="109">
        <f>($O373/Dashboard!$D$15)*(1+Dashboard!$D$20)</f>
        <v>43.117252066115697</v>
      </c>
      <c r="BU373" s="84">
        <f t="shared" si="480"/>
        <v>0</v>
      </c>
      <c r="BV373" s="65"/>
      <c r="BW373" s="204"/>
      <c r="BX373" s="156">
        <f>IF(B373&lt;&gt;"",_xlfn.XLOOKUP(B373,'Cronog. e Histog.'!B:B,'Cronog. e Histog.'!EM:EM),0)</f>
        <v>0</v>
      </c>
      <c r="BY373" s="109">
        <f>($O373/Dashboard!$D$15)*(1+Dashboard!$D$21)</f>
        <v>49.276859504132226</v>
      </c>
      <c r="BZ373" s="84">
        <f t="shared" si="481"/>
        <v>0</v>
      </c>
    </row>
    <row r="374" spans="2:78" ht="12" customHeight="1" outlineLevel="1">
      <c r="B374" s="137" t="str">
        <f>'Cronog. e Histog.'!B515</f>
        <v>TEC I - Equipe_01</v>
      </c>
      <c r="C374" s="65"/>
      <c r="D374" s="200">
        <f t="shared" si="447"/>
        <v>0</v>
      </c>
      <c r="E374" s="200">
        <f t="shared" si="448"/>
        <v>0</v>
      </c>
      <c r="F374" s="65"/>
      <c r="G374" s="200">
        <f t="shared" si="449"/>
        <v>0</v>
      </c>
      <c r="H374" s="200">
        <f t="shared" si="450"/>
        <v>0</v>
      </c>
      <c r="I374" s="65"/>
      <c r="J374" s="143" t="str">
        <f>IF('Cronog. e Histog.'!G515&gt;0,'Cronog. e Histog.'!G515,"")</f>
        <v>TEC I</v>
      </c>
      <c r="K374" s="65"/>
      <c r="L374" s="144">
        <f>'Cronog. e Histog.'!BT515</f>
        <v>0</v>
      </c>
      <c r="M374" s="144">
        <f>'Cronog. e Histog.'!BU515</f>
        <v>0</v>
      </c>
      <c r="N374" s="65"/>
      <c r="O374" s="109">
        <f>_xlfn.XLOOKUP(B374,Salários!B:B,Salários!K:K)</f>
        <v>3180</v>
      </c>
      <c r="P374" s="109">
        <f t="shared" si="465"/>
        <v>0</v>
      </c>
      <c r="Q374" s="109">
        <f t="shared" si="466"/>
        <v>0</v>
      </c>
      <c r="R374" s="65"/>
      <c r="S374" s="109">
        <f t="shared" si="467"/>
        <v>3180</v>
      </c>
      <c r="T374" s="201" t="str">
        <f>IF(_xlfn.XLOOKUP(B374,Salários!B:B,Salários!I:I)&gt;0,_xlfn.XLOOKUP(B374,Salários!B:B,Salários!I:I),"")</f>
        <v>Mensalista</v>
      </c>
      <c r="U374" s="117">
        <f t="shared" si="454"/>
        <v>0</v>
      </c>
      <c r="V374" s="65"/>
      <c r="W374" s="202"/>
      <c r="X374" s="65"/>
      <c r="Y374" s="69"/>
      <c r="Z374" s="65"/>
      <c r="AA374" s="518"/>
      <c r="AB374" s="65"/>
      <c r="AC374" s="81">
        <f t="shared" si="455"/>
        <v>0</v>
      </c>
      <c r="AD374" s="65"/>
      <c r="AE374" s="112"/>
      <c r="AF374" s="203">
        <v>0.3</v>
      </c>
      <c r="AG374" s="109">
        <f t="shared" si="44"/>
        <v>3180</v>
      </c>
      <c r="AH374" s="84">
        <f t="shared" si="456"/>
        <v>0</v>
      </c>
      <c r="AI374" s="65"/>
      <c r="AJ374" s="112"/>
      <c r="AK374" s="122"/>
      <c r="AL374" s="109">
        <v>1212</v>
      </c>
      <c r="AM374" s="84">
        <f t="shared" si="457"/>
        <v>0</v>
      </c>
      <c r="AN374" s="65"/>
      <c r="AO374" s="112"/>
      <c r="AP374" s="204"/>
      <c r="AQ374" s="109">
        <f>IFERROR((O374+AH374+AM374)/Dashboard!$D$15,0)*0.2</f>
        <v>3.2851239669421481</v>
      </c>
      <c r="AR374" s="84">
        <f t="shared" si="458"/>
        <v>0</v>
      </c>
      <c r="AS374" s="65"/>
      <c r="AT374" s="112"/>
      <c r="AU374" s="203">
        <v>0.33</v>
      </c>
      <c r="AV374" s="109">
        <f t="shared" si="459"/>
        <v>3180</v>
      </c>
      <c r="AW374" s="84">
        <f t="shared" si="460"/>
        <v>0</v>
      </c>
      <c r="AX374" s="65"/>
      <c r="AY374" s="112"/>
      <c r="AZ374" s="203">
        <v>0.25</v>
      </c>
      <c r="BA374" s="109">
        <f t="shared" si="50"/>
        <v>3180</v>
      </c>
      <c r="BB374" s="84">
        <f t="shared" si="461"/>
        <v>0</v>
      </c>
      <c r="BC374" s="65"/>
      <c r="BD374" s="112"/>
      <c r="BE374" s="203">
        <v>0.26</v>
      </c>
      <c r="BF374" s="109">
        <f t="shared" si="462"/>
        <v>3180</v>
      </c>
      <c r="BG374" s="84">
        <f t="shared" si="463"/>
        <v>0</v>
      </c>
      <c r="BH374" s="197"/>
      <c r="BI374" s="518"/>
      <c r="BJ374" s="65"/>
      <c r="BK374" s="81">
        <f t="shared" si="464"/>
        <v>0</v>
      </c>
      <c r="BL374" s="65"/>
      <c r="BM374" s="204"/>
      <c r="BN374" s="156">
        <f>IF(B374&lt;&gt;"",_xlfn.XLOOKUP(B374,'Cronog. e Histog.'!B:B,'Cronog. e Histog.'!EK:EK),0)</f>
        <v>0</v>
      </c>
      <c r="BO374" s="109">
        <f>($O374/Dashboard!$D$15)*(1+Dashboard!$D$19)</f>
        <v>24.638429752066109</v>
      </c>
      <c r="BP374" s="84">
        <f t="shared" si="479"/>
        <v>0</v>
      </c>
      <c r="BQ374" s="65"/>
      <c r="BR374" s="204"/>
      <c r="BS374" s="156">
        <f>IF(B374&lt;&gt;"",_xlfn.XLOOKUP(B374,'Cronog. e Histog.'!B:B,'Cronog. e Histog.'!EL:EL),0)</f>
        <v>0</v>
      </c>
      <c r="BT374" s="109">
        <f>($O374/Dashboard!$D$15)*(1+Dashboard!$D$20)</f>
        <v>28.744834710743795</v>
      </c>
      <c r="BU374" s="84">
        <f t="shared" si="480"/>
        <v>0</v>
      </c>
      <c r="BV374" s="65"/>
      <c r="BW374" s="204"/>
      <c r="BX374" s="156">
        <f>IF(B374&lt;&gt;"",_xlfn.XLOOKUP(B374,'Cronog. e Histog.'!B:B,'Cronog. e Histog.'!EM:EM),0)</f>
        <v>0</v>
      </c>
      <c r="BY374" s="109">
        <f>($O374/Dashboard!$D$15)*(1+Dashboard!$D$21)</f>
        <v>32.851239669421481</v>
      </c>
      <c r="BZ374" s="84">
        <f t="shared" si="481"/>
        <v>0</v>
      </c>
    </row>
    <row r="375" spans="2:78" ht="12" customHeight="1" outlineLevel="1">
      <c r="B375" s="137" t="str">
        <f>'Cronog. e Histog.'!B516</f>
        <v>AUX TEC - Equipe_01</v>
      </c>
      <c r="C375" s="65"/>
      <c r="D375" s="200">
        <f t="shared" si="447"/>
        <v>0</v>
      </c>
      <c r="E375" s="200">
        <f t="shared" si="448"/>
        <v>0</v>
      </c>
      <c r="F375" s="65"/>
      <c r="G375" s="200">
        <f t="shared" si="449"/>
        <v>0</v>
      </c>
      <c r="H375" s="200">
        <f t="shared" si="450"/>
        <v>0</v>
      </c>
      <c r="I375" s="65"/>
      <c r="J375" s="143" t="str">
        <f>IF('Cronog. e Histog.'!G516&gt;0,'Cronog. e Histog.'!G516,"")</f>
        <v>AUX TEC</v>
      </c>
      <c r="K375" s="65"/>
      <c r="L375" s="144">
        <f>'Cronog. e Histog.'!BT516</f>
        <v>0</v>
      </c>
      <c r="M375" s="144">
        <f>'Cronog. e Histog.'!BU516</f>
        <v>0</v>
      </c>
      <c r="N375" s="65"/>
      <c r="O375" s="109">
        <f>_xlfn.XLOOKUP(B375,Salários!B:B,Salários!K:K)</f>
        <v>3710</v>
      </c>
      <c r="P375" s="109">
        <f t="shared" si="465"/>
        <v>0</v>
      </c>
      <c r="Q375" s="109">
        <f t="shared" si="466"/>
        <v>0</v>
      </c>
      <c r="R375" s="65"/>
      <c r="S375" s="109">
        <f t="shared" si="467"/>
        <v>3710</v>
      </c>
      <c r="T375" s="201" t="str">
        <f>IF(_xlfn.XLOOKUP(B375,Salários!B:B,Salários!I:I)&gt;0,_xlfn.XLOOKUP(B375,Salários!B:B,Salários!I:I),"")</f>
        <v>Mensalista</v>
      </c>
      <c r="U375" s="117">
        <f t="shared" si="454"/>
        <v>0</v>
      </c>
      <c r="V375" s="65"/>
      <c r="W375" s="202"/>
      <c r="X375" s="65"/>
      <c r="Y375" s="69"/>
      <c r="Z375" s="65"/>
      <c r="AA375" s="518"/>
      <c r="AB375" s="65"/>
      <c r="AC375" s="81">
        <f t="shared" si="455"/>
        <v>0</v>
      </c>
      <c r="AD375" s="65"/>
      <c r="AE375" s="112"/>
      <c r="AF375" s="203">
        <v>0.3</v>
      </c>
      <c r="AG375" s="109">
        <f t="shared" si="44"/>
        <v>3710</v>
      </c>
      <c r="AH375" s="84">
        <f t="shared" si="456"/>
        <v>0</v>
      </c>
      <c r="AI375" s="65"/>
      <c r="AJ375" s="112"/>
      <c r="AK375" s="122"/>
      <c r="AL375" s="109">
        <v>1212</v>
      </c>
      <c r="AM375" s="84">
        <f t="shared" si="457"/>
        <v>0</v>
      </c>
      <c r="AN375" s="65"/>
      <c r="AO375" s="112"/>
      <c r="AP375" s="204"/>
      <c r="AQ375" s="109">
        <f>IFERROR((O375+AH375+AM375)/Dashboard!$D$15,0)*0.2</f>
        <v>3.8326446280991733</v>
      </c>
      <c r="AR375" s="84">
        <f t="shared" si="458"/>
        <v>0</v>
      </c>
      <c r="AS375" s="65"/>
      <c r="AT375" s="112"/>
      <c r="AU375" s="203">
        <v>0.33</v>
      </c>
      <c r="AV375" s="109">
        <f t="shared" si="459"/>
        <v>3710</v>
      </c>
      <c r="AW375" s="84">
        <f t="shared" si="460"/>
        <v>0</v>
      </c>
      <c r="AX375" s="65"/>
      <c r="AY375" s="112"/>
      <c r="AZ375" s="203">
        <v>0.25</v>
      </c>
      <c r="BA375" s="109">
        <f t="shared" si="50"/>
        <v>3710</v>
      </c>
      <c r="BB375" s="84">
        <f t="shared" si="461"/>
        <v>0</v>
      </c>
      <c r="BC375" s="65"/>
      <c r="BD375" s="112"/>
      <c r="BE375" s="203">
        <v>0.26</v>
      </c>
      <c r="BF375" s="109">
        <f t="shared" si="462"/>
        <v>3710</v>
      </c>
      <c r="BG375" s="84">
        <f t="shared" si="463"/>
        <v>0</v>
      </c>
      <c r="BH375" s="197"/>
      <c r="BI375" s="518"/>
      <c r="BJ375" s="65"/>
      <c r="BK375" s="81">
        <f t="shared" si="464"/>
        <v>0</v>
      </c>
      <c r="BL375" s="65"/>
      <c r="BM375" s="204"/>
      <c r="BN375" s="156">
        <f>IF(B375&lt;&gt;"",_xlfn.XLOOKUP(B375,'Cronog. e Histog.'!B:B,'Cronog. e Histog.'!EK:EK),0)</f>
        <v>0</v>
      </c>
      <c r="BO375" s="109">
        <f>($O375/Dashboard!$D$15)*(1+Dashboard!$D$19)</f>
        <v>28.744834710743799</v>
      </c>
      <c r="BP375" s="84">
        <f t="shared" si="479"/>
        <v>0</v>
      </c>
      <c r="BQ375" s="65"/>
      <c r="BR375" s="204"/>
      <c r="BS375" s="156">
        <f>IF(B375&lt;&gt;"",_xlfn.XLOOKUP(B375,'Cronog. e Histog.'!B:B,'Cronog. e Histog.'!EL:EL),0)</f>
        <v>0</v>
      </c>
      <c r="BT375" s="109">
        <f>($O375/Dashboard!$D$15)*(1+Dashboard!$D$20)</f>
        <v>33.535640495867767</v>
      </c>
      <c r="BU375" s="84">
        <f t="shared" si="480"/>
        <v>0</v>
      </c>
      <c r="BV375" s="65"/>
      <c r="BW375" s="204"/>
      <c r="BX375" s="156">
        <f>IF(B375&lt;&gt;"",_xlfn.XLOOKUP(B375,'Cronog. e Histog.'!B:B,'Cronog. e Histog.'!EM:EM),0)</f>
        <v>0</v>
      </c>
      <c r="BY375" s="109">
        <f>($O375/Dashboard!$D$15)*(1+Dashboard!$D$21)</f>
        <v>38.326446280991732</v>
      </c>
      <c r="BZ375" s="84">
        <f t="shared" si="481"/>
        <v>0</v>
      </c>
    </row>
    <row r="376" spans="2:78" ht="12" customHeight="1" outlineLevel="1">
      <c r="B376" s="137" t="str">
        <f>'Cronog. e Histog.'!B517</f>
        <v>AUX ADM - Equipe_01</v>
      </c>
      <c r="C376" s="65"/>
      <c r="D376" s="200">
        <f t="shared" si="447"/>
        <v>0</v>
      </c>
      <c r="E376" s="200">
        <f t="shared" si="448"/>
        <v>0</v>
      </c>
      <c r="F376" s="65"/>
      <c r="G376" s="200">
        <f t="shared" si="449"/>
        <v>0</v>
      </c>
      <c r="H376" s="200">
        <f t="shared" si="450"/>
        <v>0</v>
      </c>
      <c r="I376" s="65"/>
      <c r="J376" s="143" t="str">
        <f>IF('Cronog. e Histog.'!G517&gt;0,'Cronog. e Histog.'!G517,"")</f>
        <v>AUX ADM</v>
      </c>
      <c r="K376" s="65"/>
      <c r="L376" s="144">
        <f>'Cronog. e Histog.'!BT517</f>
        <v>0</v>
      </c>
      <c r="M376" s="144">
        <f>'Cronog. e Histog.'!BU517</f>
        <v>0</v>
      </c>
      <c r="N376" s="65"/>
      <c r="O376" s="109">
        <f>_xlfn.XLOOKUP(B376,Salários!B:B,Salários!K:K)</f>
        <v>1912.24</v>
      </c>
      <c r="P376" s="109">
        <f t="shared" si="465"/>
        <v>0</v>
      </c>
      <c r="Q376" s="109">
        <f t="shared" si="466"/>
        <v>0</v>
      </c>
      <c r="R376" s="65"/>
      <c r="S376" s="109">
        <f t="shared" si="467"/>
        <v>1912.24</v>
      </c>
      <c r="T376" s="201" t="str">
        <f>IF(_xlfn.XLOOKUP(B376,Salários!B:B,Salários!I:I)&gt;0,_xlfn.XLOOKUP(B376,Salários!B:B,Salários!I:I),"")</f>
        <v>Mensalista</v>
      </c>
      <c r="U376" s="117">
        <f t="shared" si="454"/>
        <v>0</v>
      </c>
      <c r="V376" s="65"/>
      <c r="W376" s="202"/>
      <c r="X376" s="65"/>
      <c r="Y376" s="69"/>
      <c r="Z376" s="65"/>
      <c r="AA376" s="518"/>
      <c r="AB376" s="65"/>
      <c r="AC376" s="81">
        <f t="shared" si="455"/>
        <v>0</v>
      </c>
      <c r="AD376" s="65"/>
      <c r="AE376" s="112"/>
      <c r="AF376" s="203">
        <v>0.3</v>
      </c>
      <c r="AG376" s="109">
        <f t="shared" si="44"/>
        <v>1912.24</v>
      </c>
      <c r="AH376" s="84">
        <f t="shared" si="456"/>
        <v>0</v>
      </c>
      <c r="AI376" s="65"/>
      <c r="AJ376" s="112"/>
      <c r="AK376" s="122"/>
      <c r="AL376" s="109">
        <v>1212</v>
      </c>
      <c r="AM376" s="84">
        <f t="shared" si="457"/>
        <v>0</v>
      </c>
      <c r="AN376" s="65"/>
      <c r="AO376" s="112"/>
      <c r="AP376" s="204"/>
      <c r="AQ376" s="109">
        <f>IFERROR((O376+AH376+AM376)/Dashboard!$D$15,0)*0.2</f>
        <v>1.9754545454545456</v>
      </c>
      <c r="AR376" s="84">
        <f t="shared" si="458"/>
        <v>0</v>
      </c>
      <c r="AS376" s="65"/>
      <c r="AT376" s="112"/>
      <c r="AU376" s="203">
        <v>0.33</v>
      </c>
      <c r="AV376" s="109">
        <f t="shared" si="459"/>
        <v>1912.24</v>
      </c>
      <c r="AW376" s="84">
        <f t="shared" si="460"/>
        <v>0</v>
      </c>
      <c r="AX376" s="65"/>
      <c r="AY376" s="112"/>
      <c r="AZ376" s="203">
        <v>0.25</v>
      </c>
      <c r="BA376" s="109">
        <f t="shared" si="50"/>
        <v>1912.24</v>
      </c>
      <c r="BB376" s="84">
        <f t="shared" si="461"/>
        <v>0</v>
      </c>
      <c r="BC376" s="65"/>
      <c r="BD376" s="112"/>
      <c r="BE376" s="203">
        <v>0.26</v>
      </c>
      <c r="BF376" s="109">
        <f t="shared" si="462"/>
        <v>1912.24</v>
      </c>
      <c r="BG376" s="84">
        <f t="shared" si="463"/>
        <v>0</v>
      </c>
      <c r="BH376" s="197"/>
      <c r="BI376" s="518"/>
      <c r="BJ376" s="65"/>
      <c r="BK376" s="81">
        <f t="shared" si="464"/>
        <v>0</v>
      </c>
      <c r="BL376" s="65"/>
      <c r="BM376" s="204"/>
      <c r="BN376" s="156">
        <f>IF(B376&lt;&gt;"",_xlfn.XLOOKUP(B376,'Cronog. e Histog.'!B:B,'Cronog. e Histog.'!EK:EK),0)</f>
        <v>0</v>
      </c>
      <c r="BO376" s="109">
        <f>($O376/Dashboard!$D$15)*(1+Dashboard!$D$19)</f>
        <v>14.815909090909091</v>
      </c>
      <c r="BP376" s="84">
        <f t="shared" si="479"/>
        <v>0</v>
      </c>
      <c r="BQ376" s="65"/>
      <c r="BR376" s="204"/>
      <c r="BS376" s="156">
        <f>IF(B376&lt;&gt;"",_xlfn.XLOOKUP(B376,'Cronog. e Histog.'!B:B,'Cronog. e Histog.'!EL:EL),0)</f>
        <v>0</v>
      </c>
      <c r="BT376" s="109">
        <f>($O376/Dashboard!$D$15)*(1+Dashboard!$D$20)</f>
        <v>17.285227272727273</v>
      </c>
      <c r="BU376" s="84">
        <f t="shared" si="480"/>
        <v>0</v>
      </c>
      <c r="BV376" s="65"/>
      <c r="BW376" s="204"/>
      <c r="BX376" s="156">
        <f>IF(B376&lt;&gt;"",_xlfn.XLOOKUP(B376,'Cronog. e Histog.'!B:B,'Cronog. e Histog.'!EM:EM),0)</f>
        <v>0</v>
      </c>
      <c r="BY376" s="109">
        <f>($O376/Dashboard!$D$15)*(1+Dashboard!$D$21)</f>
        <v>19.754545454545454</v>
      </c>
      <c r="BZ376" s="84">
        <f t="shared" si="481"/>
        <v>0</v>
      </c>
    </row>
    <row r="377" spans="2:78" ht="12" customHeight="1" outlineLevel="1">
      <c r="B377" s="137" t="str">
        <f>'Cronog. e Histog.'!B518</f>
        <v>EST - Equipe_01</v>
      </c>
      <c r="C377" s="65"/>
      <c r="D377" s="200">
        <f t="shared" si="447"/>
        <v>0</v>
      </c>
      <c r="E377" s="200">
        <f t="shared" si="448"/>
        <v>0</v>
      </c>
      <c r="F377" s="65"/>
      <c r="G377" s="200">
        <f t="shared" si="449"/>
        <v>0</v>
      </c>
      <c r="H377" s="200">
        <f t="shared" si="450"/>
        <v>0</v>
      </c>
      <c r="I377" s="65"/>
      <c r="J377" s="143" t="str">
        <f>IF('Cronog. e Histog.'!G518&gt;0,'Cronog. e Histog.'!G518,"")</f>
        <v>EST</v>
      </c>
      <c r="K377" s="65"/>
      <c r="L377" s="144">
        <f>'Cronog. e Histog.'!BT518</f>
        <v>0</v>
      </c>
      <c r="M377" s="144">
        <f>'Cronog. e Histog.'!BU518</f>
        <v>0</v>
      </c>
      <c r="N377" s="65"/>
      <c r="O377" s="109">
        <f>_xlfn.XLOOKUP(B377,Salários!B:B,Salários!K:K)</f>
        <v>1633</v>
      </c>
      <c r="P377" s="109">
        <f t="shared" si="465"/>
        <v>0</v>
      </c>
      <c r="Q377" s="109">
        <f t="shared" si="466"/>
        <v>0</v>
      </c>
      <c r="R377" s="65"/>
      <c r="S377" s="109">
        <f t="shared" si="467"/>
        <v>1633</v>
      </c>
      <c r="T377" s="201" t="str">
        <f>IF(_xlfn.XLOOKUP(B377,Salários!B:B,Salários!I:I)&gt;0,_xlfn.XLOOKUP(B377,Salários!B:B,Salários!I:I),"")</f>
        <v>PJ</v>
      </c>
      <c r="U377" s="117">
        <f t="shared" si="454"/>
        <v>0</v>
      </c>
      <c r="V377" s="65"/>
      <c r="W377" s="202"/>
      <c r="X377" s="65"/>
      <c r="Y377" s="69"/>
      <c r="Z377" s="65"/>
      <c r="AA377" s="518"/>
      <c r="AB377" s="65"/>
      <c r="AC377" s="81">
        <f t="shared" si="455"/>
        <v>0</v>
      </c>
      <c r="AD377" s="65"/>
      <c r="AE377" s="112"/>
      <c r="AF377" s="203">
        <v>0.3</v>
      </c>
      <c r="AG377" s="109">
        <f t="shared" si="44"/>
        <v>1633</v>
      </c>
      <c r="AH377" s="84">
        <f t="shared" si="456"/>
        <v>0</v>
      </c>
      <c r="AI377" s="65"/>
      <c r="AJ377" s="112"/>
      <c r="AK377" s="122"/>
      <c r="AL377" s="109">
        <v>1212</v>
      </c>
      <c r="AM377" s="84">
        <f t="shared" si="457"/>
        <v>0</v>
      </c>
      <c r="AN377" s="65"/>
      <c r="AO377" s="112"/>
      <c r="AP377" s="204"/>
      <c r="AQ377" s="109">
        <f>IFERROR((O377+AH377+AM377)/Dashboard!$D$15,0)*0.2</f>
        <v>1.6869834710743801</v>
      </c>
      <c r="AR377" s="84">
        <f t="shared" si="458"/>
        <v>0</v>
      </c>
      <c r="AS377" s="65"/>
      <c r="AT377" s="112"/>
      <c r="AU377" s="203">
        <v>0.33</v>
      </c>
      <c r="AV377" s="109">
        <f t="shared" si="459"/>
        <v>1633</v>
      </c>
      <c r="AW377" s="84">
        <f t="shared" si="460"/>
        <v>0</v>
      </c>
      <c r="AX377" s="65"/>
      <c r="AY377" s="112"/>
      <c r="AZ377" s="203">
        <v>0.25</v>
      </c>
      <c r="BA377" s="109">
        <f t="shared" si="50"/>
        <v>1633</v>
      </c>
      <c r="BB377" s="84">
        <f t="shared" si="461"/>
        <v>0</v>
      </c>
      <c r="BC377" s="65"/>
      <c r="BD377" s="112"/>
      <c r="BE377" s="203">
        <v>0.26</v>
      </c>
      <c r="BF377" s="109">
        <f t="shared" si="462"/>
        <v>1633</v>
      </c>
      <c r="BG377" s="84">
        <f t="shared" si="463"/>
        <v>0</v>
      </c>
      <c r="BH377" s="197"/>
      <c r="BI377" s="518"/>
      <c r="BJ377" s="65"/>
      <c r="BK377" s="81">
        <f t="shared" si="464"/>
        <v>0</v>
      </c>
      <c r="BL377" s="65"/>
      <c r="BM377" s="204"/>
      <c r="BN377" s="156">
        <f>IF(B377&lt;&gt;"",_xlfn.XLOOKUP(B377,'Cronog. e Histog.'!B:B,'Cronog. e Histog.'!EK:EK),0)</f>
        <v>0</v>
      </c>
      <c r="BO377" s="109">
        <f>($O377/Dashboard!$D$15)*(1+Dashboard!$D$19)</f>
        <v>12.652376033057848</v>
      </c>
      <c r="BP377" s="84">
        <f t="shared" si="479"/>
        <v>0</v>
      </c>
      <c r="BQ377" s="65"/>
      <c r="BR377" s="204"/>
      <c r="BS377" s="156">
        <f>IF(B377&lt;&gt;"",_xlfn.XLOOKUP(B377,'Cronog. e Histog.'!B:B,'Cronog. e Histog.'!EL:EL),0)</f>
        <v>0</v>
      </c>
      <c r="BT377" s="109">
        <f>($O377/Dashboard!$D$15)*(1+Dashboard!$D$20)</f>
        <v>14.761105371900824</v>
      </c>
      <c r="BU377" s="84">
        <f t="shared" si="480"/>
        <v>0</v>
      </c>
      <c r="BV377" s="65"/>
      <c r="BW377" s="204"/>
      <c r="BX377" s="156">
        <f>IF(B377&lt;&gt;"",_xlfn.XLOOKUP(B377,'Cronog. e Histog.'!B:B,'Cronog. e Histog.'!EM:EM),0)</f>
        <v>0</v>
      </c>
      <c r="BY377" s="109">
        <f>($O377/Dashboard!$D$15)*(1+Dashboard!$D$21)</f>
        <v>16.869834710743799</v>
      </c>
      <c r="BZ377" s="84">
        <f t="shared" si="481"/>
        <v>0</v>
      </c>
    </row>
    <row r="378" spans="2:78" ht="12" customHeight="1" outlineLevel="1">
      <c r="B378" s="137" t="str">
        <f>'Cronog. e Histog.'!B519</f>
        <v>EST_II - Equipe_01</v>
      </c>
      <c r="C378" s="65"/>
      <c r="D378" s="200">
        <f t="shared" si="447"/>
        <v>0</v>
      </c>
      <c r="E378" s="200">
        <f t="shared" si="448"/>
        <v>0</v>
      </c>
      <c r="F378" s="65"/>
      <c r="G378" s="200">
        <f t="shared" si="449"/>
        <v>0</v>
      </c>
      <c r="H378" s="200">
        <f t="shared" si="450"/>
        <v>0</v>
      </c>
      <c r="I378" s="65"/>
      <c r="J378" s="143" t="str">
        <f>IF('Cronog. e Histog.'!G519&gt;0,'Cronog. e Histog.'!G519,"")</f>
        <v>EST_II</v>
      </c>
      <c r="K378" s="65"/>
      <c r="L378" s="144">
        <f>'Cronog. e Histog.'!BT519</f>
        <v>0</v>
      </c>
      <c r="M378" s="144">
        <f>'Cronog. e Histog.'!BU519</f>
        <v>0</v>
      </c>
      <c r="N378" s="65"/>
      <c r="O378" s="109">
        <f>_xlfn.XLOOKUP(B378,Salários!B:B,Salários!K:K)</f>
        <v>1633</v>
      </c>
      <c r="P378" s="109">
        <f t="shared" si="465"/>
        <v>0</v>
      </c>
      <c r="Q378" s="109">
        <f t="shared" si="466"/>
        <v>0</v>
      </c>
      <c r="R378" s="65"/>
      <c r="S378" s="109">
        <f t="shared" si="467"/>
        <v>1633</v>
      </c>
      <c r="T378" s="201" t="str">
        <f>IF(_xlfn.XLOOKUP(B378,Salários!B:B,Salários!I:I)&gt;0,_xlfn.XLOOKUP(B378,Salários!B:B,Salários!I:I),"")</f>
        <v>PJ</v>
      </c>
      <c r="U378" s="117">
        <f t="shared" si="454"/>
        <v>0</v>
      </c>
      <c r="V378" s="65"/>
      <c r="W378" s="202"/>
      <c r="X378" s="65"/>
      <c r="Y378" s="69"/>
      <c r="Z378" s="65"/>
      <c r="AA378" s="518"/>
      <c r="AB378" s="65"/>
      <c r="AC378" s="81">
        <f t="shared" si="455"/>
        <v>0</v>
      </c>
      <c r="AD378" s="65"/>
      <c r="AE378" s="112"/>
      <c r="AF378" s="203">
        <v>0.3</v>
      </c>
      <c r="AG378" s="109">
        <f t="shared" si="44"/>
        <v>1633</v>
      </c>
      <c r="AH378" s="84">
        <f t="shared" si="456"/>
        <v>0</v>
      </c>
      <c r="AI378" s="65"/>
      <c r="AJ378" s="112"/>
      <c r="AK378" s="122"/>
      <c r="AL378" s="109">
        <v>1212</v>
      </c>
      <c r="AM378" s="84">
        <f t="shared" si="457"/>
        <v>0</v>
      </c>
      <c r="AN378" s="65"/>
      <c r="AO378" s="112"/>
      <c r="AP378" s="204"/>
      <c r="AQ378" s="109">
        <f>IFERROR((O378+AH378+AM378)/Dashboard!$D$15,0)*0.2</f>
        <v>1.6869834710743801</v>
      </c>
      <c r="AR378" s="84">
        <f t="shared" si="458"/>
        <v>0</v>
      </c>
      <c r="AS378" s="65"/>
      <c r="AT378" s="112"/>
      <c r="AU378" s="203">
        <v>0.33</v>
      </c>
      <c r="AV378" s="109">
        <f t="shared" si="459"/>
        <v>1633</v>
      </c>
      <c r="AW378" s="84">
        <f t="shared" si="460"/>
        <v>0</v>
      </c>
      <c r="AX378" s="65"/>
      <c r="AY378" s="112"/>
      <c r="AZ378" s="203">
        <v>0.25</v>
      </c>
      <c r="BA378" s="109">
        <f t="shared" si="50"/>
        <v>1633</v>
      </c>
      <c r="BB378" s="84">
        <f t="shared" si="461"/>
        <v>0</v>
      </c>
      <c r="BC378" s="65"/>
      <c r="BD378" s="112"/>
      <c r="BE378" s="203">
        <v>0.26</v>
      </c>
      <c r="BF378" s="109">
        <f t="shared" si="462"/>
        <v>1633</v>
      </c>
      <c r="BG378" s="84">
        <f t="shared" si="463"/>
        <v>0</v>
      </c>
      <c r="BH378" s="197"/>
      <c r="BI378" s="518"/>
      <c r="BJ378" s="65"/>
      <c r="BK378" s="81">
        <f t="shared" si="464"/>
        <v>0</v>
      </c>
      <c r="BL378" s="65"/>
      <c r="BM378" s="204"/>
      <c r="BN378" s="156">
        <f>IF(B378&lt;&gt;"",_xlfn.XLOOKUP(B378,'Cronog. e Histog.'!B:B,'Cronog. e Histog.'!EK:EK),0)</f>
        <v>0</v>
      </c>
      <c r="BO378" s="109">
        <f>($O378/Dashboard!$D$15)*(1+Dashboard!$D$19)</f>
        <v>12.652376033057848</v>
      </c>
      <c r="BP378" s="84">
        <f t="shared" si="479"/>
        <v>0</v>
      </c>
      <c r="BQ378" s="65"/>
      <c r="BR378" s="204"/>
      <c r="BS378" s="156">
        <f>IF(B378&lt;&gt;"",_xlfn.XLOOKUP(B378,'Cronog. e Histog.'!B:B,'Cronog. e Histog.'!EL:EL),0)</f>
        <v>0</v>
      </c>
      <c r="BT378" s="109">
        <f>($O378/Dashboard!$D$15)*(1+Dashboard!$D$20)</f>
        <v>14.761105371900824</v>
      </c>
      <c r="BU378" s="84">
        <f t="shared" si="480"/>
        <v>0</v>
      </c>
      <c r="BV378" s="65"/>
      <c r="BW378" s="204"/>
      <c r="BX378" s="156">
        <f>IF(B378&lt;&gt;"",_xlfn.XLOOKUP(B378,'Cronog. e Histog.'!B:B,'Cronog. e Histog.'!EM:EM),0)</f>
        <v>0</v>
      </c>
      <c r="BY378" s="109">
        <f>($O378/Dashboard!$D$15)*(1+Dashboard!$D$21)</f>
        <v>16.869834710743799</v>
      </c>
      <c r="BZ378" s="84">
        <f t="shared" si="481"/>
        <v>0</v>
      </c>
    </row>
    <row r="379" spans="2:78" ht="12" customHeight="1" outlineLevel="1">
      <c r="B379" s="137" t="str">
        <f>'Cronog. e Histog.'!B520</f>
        <v>EST_III - Equipe_01</v>
      </c>
      <c r="C379" s="65"/>
      <c r="D379" s="200">
        <f t="shared" si="447"/>
        <v>0</v>
      </c>
      <c r="E379" s="200">
        <f t="shared" si="448"/>
        <v>0</v>
      </c>
      <c r="F379" s="65"/>
      <c r="G379" s="200">
        <f t="shared" si="449"/>
        <v>0</v>
      </c>
      <c r="H379" s="200">
        <f t="shared" si="450"/>
        <v>0</v>
      </c>
      <c r="I379" s="65"/>
      <c r="J379" s="143" t="str">
        <f>IF('Cronog. e Histog.'!G520&gt;0,'Cronog. e Histog.'!G520,"")</f>
        <v>EST_III</v>
      </c>
      <c r="K379" s="65"/>
      <c r="L379" s="144">
        <f>'Cronog. e Histog.'!BT520</f>
        <v>0</v>
      </c>
      <c r="M379" s="144">
        <f>'Cronog. e Histog.'!BU520</f>
        <v>0</v>
      </c>
      <c r="N379" s="65"/>
      <c r="O379" s="109">
        <f>_xlfn.XLOOKUP(B379,Salários!B:B,Salários!K:K)</f>
        <v>1633</v>
      </c>
      <c r="P379" s="109">
        <f t="shared" si="465"/>
        <v>0</v>
      </c>
      <c r="Q379" s="109">
        <f t="shared" si="466"/>
        <v>0</v>
      </c>
      <c r="R379" s="65"/>
      <c r="S379" s="109">
        <f t="shared" si="467"/>
        <v>1633</v>
      </c>
      <c r="T379" s="201" t="str">
        <f>IF(_xlfn.XLOOKUP(B379,Salários!B:B,Salários!I:I)&gt;0,_xlfn.XLOOKUP(B379,Salários!B:B,Salários!I:I),"")</f>
        <v>PJ</v>
      </c>
      <c r="U379" s="117">
        <f t="shared" si="454"/>
        <v>0</v>
      </c>
      <c r="V379" s="65"/>
      <c r="W379" s="202"/>
      <c r="X379" s="65"/>
      <c r="Y379" s="69"/>
      <c r="Z379" s="65"/>
      <c r="AA379" s="518"/>
      <c r="AB379" s="65"/>
      <c r="AC379" s="81">
        <f t="shared" si="455"/>
        <v>0</v>
      </c>
      <c r="AD379" s="65"/>
      <c r="AE379" s="112"/>
      <c r="AF379" s="203">
        <v>0.3</v>
      </c>
      <c r="AG379" s="109">
        <f t="shared" si="44"/>
        <v>1633</v>
      </c>
      <c r="AH379" s="84">
        <f t="shared" si="456"/>
        <v>0</v>
      </c>
      <c r="AI379" s="65"/>
      <c r="AJ379" s="112"/>
      <c r="AK379" s="122"/>
      <c r="AL379" s="109">
        <v>1212</v>
      </c>
      <c r="AM379" s="84">
        <f t="shared" si="457"/>
        <v>0</v>
      </c>
      <c r="AN379" s="65"/>
      <c r="AO379" s="112"/>
      <c r="AP379" s="204"/>
      <c r="AQ379" s="109">
        <f>IFERROR((O379+AH379+AM379)/Dashboard!$D$15,0)*0.2</f>
        <v>1.6869834710743801</v>
      </c>
      <c r="AR379" s="84">
        <f t="shared" si="458"/>
        <v>0</v>
      </c>
      <c r="AS379" s="65"/>
      <c r="AT379" s="112"/>
      <c r="AU379" s="203">
        <v>0.33</v>
      </c>
      <c r="AV379" s="109">
        <f t="shared" si="459"/>
        <v>1633</v>
      </c>
      <c r="AW379" s="84">
        <f t="shared" si="460"/>
        <v>0</v>
      </c>
      <c r="AX379" s="65"/>
      <c r="AY379" s="112"/>
      <c r="AZ379" s="203">
        <v>0.25</v>
      </c>
      <c r="BA379" s="109">
        <f t="shared" si="50"/>
        <v>1633</v>
      </c>
      <c r="BB379" s="84">
        <f t="shared" si="461"/>
        <v>0</v>
      </c>
      <c r="BC379" s="65"/>
      <c r="BD379" s="112"/>
      <c r="BE379" s="203">
        <v>0.26</v>
      </c>
      <c r="BF379" s="109">
        <f t="shared" si="462"/>
        <v>1633</v>
      </c>
      <c r="BG379" s="84">
        <f t="shared" si="463"/>
        <v>0</v>
      </c>
      <c r="BH379" s="197"/>
      <c r="BI379" s="518"/>
      <c r="BJ379" s="65"/>
      <c r="BK379" s="81">
        <f t="shared" si="464"/>
        <v>0</v>
      </c>
      <c r="BL379" s="65"/>
      <c r="BM379" s="204"/>
      <c r="BN379" s="156">
        <f>IF(B379&lt;&gt;"",_xlfn.XLOOKUP(B379,'Cronog. e Histog.'!B:B,'Cronog. e Histog.'!EK:EK),0)</f>
        <v>0</v>
      </c>
      <c r="BO379" s="109">
        <f>($O379/Dashboard!$D$15)*(1+Dashboard!$D$19)</f>
        <v>12.652376033057848</v>
      </c>
      <c r="BP379" s="84">
        <f t="shared" si="479"/>
        <v>0</v>
      </c>
      <c r="BQ379" s="65"/>
      <c r="BR379" s="204"/>
      <c r="BS379" s="156">
        <f>IF(B379&lt;&gt;"",_xlfn.XLOOKUP(B379,'Cronog. e Histog.'!B:B,'Cronog. e Histog.'!EL:EL),0)</f>
        <v>0</v>
      </c>
      <c r="BT379" s="109">
        <f>($O379/Dashboard!$D$15)*(1+Dashboard!$D$20)</f>
        <v>14.761105371900824</v>
      </c>
      <c r="BU379" s="84">
        <f t="shared" si="480"/>
        <v>0</v>
      </c>
      <c r="BV379" s="65"/>
      <c r="BW379" s="204"/>
      <c r="BX379" s="156">
        <f>IF(B379&lt;&gt;"",_xlfn.XLOOKUP(B379,'Cronog. e Histog.'!B:B,'Cronog. e Histog.'!EM:EM),0)</f>
        <v>0</v>
      </c>
      <c r="BY379" s="109">
        <f>($O379/Dashboard!$D$15)*(1+Dashboard!$D$21)</f>
        <v>16.869834710743799</v>
      </c>
      <c r="BZ379" s="84">
        <f t="shared" si="481"/>
        <v>0</v>
      </c>
    </row>
    <row r="380" spans="2:78" ht="12" customHeight="1" outlineLevel="1"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9"/>
      <c r="Z380" s="65"/>
      <c r="AA380" s="518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/>
      <c r="AU380" s="65"/>
      <c r="AV380" s="65"/>
      <c r="AW380" s="65"/>
      <c r="AX380" s="65"/>
      <c r="AY380" s="65"/>
      <c r="AZ380" s="65"/>
      <c r="BA380" s="65"/>
      <c r="BB380" s="65"/>
      <c r="BC380" s="65"/>
      <c r="BD380" s="65"/>
      <c r="BE380" s="65"/>
      <c r="BF380" s="65"/>
      <c r="BG380" s="65"/>
      <c r="BH380" s="197"/>
      <c r="BI380" s="518"/>
      <c r="BJ380" s="65"/>
      <c r="BK380" s="65"/>
      <c r="BL380" s="65"/>
      <c r="BM380" s="65"/>
      <c r="BN380" s="65"/>
      <c r="BO380" s="65"/>
      <c r="BP380" s="65"/>
      <c r="BQ380" s="65"/>
      <c r="BR380" s="65"/>
      <c r="BS380" s="65"/>
      <c r="BT380" s="65"/>
      <c r="BU380" s="65"/>
      <c r="BV380" s="65"/>
      <c r="BW380" s="65"/>
      <c r="BX380" s="65"/>
      <c r="BY380" s="65"/>
      <c r="BZ380" s="65"/>
    </row>
    <row r="381" spans="2:78" ht="12" customHeight="1" outlineLevel="1">
      <c r="B381" s="65"/>
      <c r="C381" s="65"/>
      <c r="D381" s="65"/>
      <c r="E381" s="65"/>
      <c r="F381" s="65"/>
      <c r="G381" s="65"/>
      <c r="H381" s="65"/>
      <c r="I381" s="65"/>
      <c r="J381" s="199" t="str">
        <f>'Cronog. e Histog.'!F523</f>
        <v>Equipe14</v>
      </c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9"/>
      <c r="Z381" s="65"/>
      <c r="AA381" s="518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  <c r="AT381" s="65"/>
      <c r="AU381" s="65"/>
      <c r="AV381" s="65"/>
      <c r="AW381" s="65"/>
      <c r="AX381" s="65"/>
      <c r="AY381" s="65"/>
      <c r="AZ381" s="65"/>
      <c r="BA381" s="65"/>
      <c r="BB381" s="65"/>
      <c r="BC381" s="65"/>
      <c r="BD381" s="65"/>
      <c r="BE381" s="65"/>
      <c r="BF381" s="65"/>
      <c r="BG381" s="65"/>
      <c r="BH381" s="197"/>
      <c r="BI381" s="518"/>
      <c r="BJ381" s="65"/>
      <c r="BK381" s="65"/>
      <c r="BL381" s="65"/>
      <c r="BM381" s="65"/>
      <c r="BN381" s="65"/>
      <c r="BO381" s="65"/>
      <c r="BP381" s="65"/>
      <c r="BQ381" s="65"/>
      <c r="BR381" s="65"/>
      <c r="BS381" s="65"/>
      <c r="BT381" s="65"/>
      <c r="BU381" s="65"/>
      <c r="BV381" s="65"/>
      <c r="BW381" s="65"/>
      <c r="BX381" s="65"/>
      <c r="BY381" s="65"/>
      <c r="BZ381" s="65"/>
    </row>
    <row r="382" spans="2:78" ht="12" customHeight="1" outlineLevel="1">
      <c r="B382" s="137" t="str">
        <f>'Cronog. e Histog.'!B525</f>
        <v>GER. (OBRA/PROJ) - Equipe_01</v>
      </c>
      <c r="C382" s="65"/>
      <c r="D382" s="200">
        <f t="shared" ref="D382:D401" si="482">IF(T382="mensalista",L382,0)</f>
        <v>0</v>
      </c>
      <c r="E382" s="200">
        <f t="shared" ref="E382:E401" si="483">IF(T382="mensalista",M382,0)</f>
        <v>0</v>
      </c>
      <c r="F382" s="65"/>
      <c r="G382" s="200">
        <f t="shared" ref="G382:G401" si="484">IF(T382="mensalista",L382,0)</f>
        <v>0</v>
      </c>
      <c r="H382" s="200">
        <f t="shared" ref="H382:H401" si="485">IF(T382="mensalista",M382,0)</f>
        <v>0</v>
      </c>
      <c r="I382" s="65"/>
      <c r="J382" s="143" t="str">
        <f>IF('Cronog. e Histog.'!G525&gt;0,'Cronog. e Histog.'!G525,"")</f>
        <v>GER. (OBRA/PROJ)</v>
      </c>
      <c r="K382" s="65"/>
      <c r="L382" s="144">
        <f>'Cronog. e Histog.'!BT525</f>
        <v>0</v>
      </c>
      <c r="M382" s="144">
        <f>'Cronog. e Histog.'!BU525</f>
        <v>0</v>
      </c>
      <c r="N382" s="65"/>
      <c r="O382" s="109">
        <f>_xlfn.XLOOKUP(B382,Salários!B:B,Salários!K:K)</f>
        <v>21000</v>
      </c>
      <c r="P382" s="109">
        <f t="shared" ref="P382" si="486">AC382</f>
        <v>0</v>
      </c>
      <c r="Q382" s="109">
        <f t="shared" ref="Q382" si="487">BK382</f>
        <v>0</v>
      </c>
      <c r="R382" s="65"/>
      <c r="S382" s="109">
        <f t="shared" ref="S382" si="488">SUM(O382:Q382)</f>
        <v>21000</v>
      </c>
      <c r="T382" s="201" t="str">
        <f>IF(_xlfn.XLOOKUP(B382,Salários!B:B,Salários!I:I)&gt;0,_xlfn.XLOOKUP(B382,Salários!B:B,Salários!I:I),"")</f>
        <v>PJ</v>
      </c>
      <c r="U382" s="117">
        <f t="shared" ref="U382" si="489">L382*M382*S382</f>
        <v>0</v>
      </c>
      <c r="V382" s="65"/>
      <c r="W382" s="202"/>
      <c r="X382" s="65"/>
      <c r="Y382" s="69"/>
      <c r="Z382" s="65"/>
      <c r="AA382" s="518"/>
      <c r="AB382" s="65"/>
      <c r="AC382" s="81">
        <f t="shared" ref="AC382:AC401" si="490">AH382+AM382+AR382+AW382+BB382+BG382</f>
        <v>0</v>
      </c>
      <c r="AD382" s="65"/>
      <c r="AE382" s="112"/>
      <c r="AF382" s="203">
        <v>0.3</v>
      </c>
      <c r="AG382" s="109">
        <f t="shared" si="44"/>
        <v>21000</v>
      </c>
      <c r="AH382" s="84">
        <f t="shared" ref="AH382:AH401" si="491">IF(AE382="sim",AF382*AG382,0)</f>
        <v>0</v>
      </c>
      <c r="AI382" s="65"/>
      <c r="AJ382" s="112"/>
      <c r="AK382" s="122"/>
      <c r="AL382" s="109">
        <v>1212</v>
      </c>
      <c r="AM382" s="84">
        <f t="shared" ref="AM382:AM401" si="492">IF(AJ382="sim",AK382*AL382,0)</f>
        <v>0</v>
      </c>
      <c r="AN382" s="65"/>
      <c r="AO382" s="112"/>
      <c r="AP382" s="204"/>
      <c r="AQ382" s="109">
        <f>IFERROR((O382+AH382+AM382)/Dashboard!$D$15,0)*0.2</f>
        <v>21.694214876033058</v>
      </c>
      <c r="AR382" s="84">
        <f t="shared" ref="AR382:AR401" si="493">IF(AO382="sim",AP382*AQ382,0)</f>
        <v>0</v>
      </c>
      <c r="AS382" s="65"/>
      <c r="AT382" s="112"/>
      <c r="AU382" s="203">
        <v>0.33</v>
      </c>
      <c r="AV382" s="109">
        <f t="shared" ref="AV382:AV401" si="494">$O382</f>
        <v>21000</v>
      </c>
      <c r="AW382" s="84">
        <f t="shared" ref="AW382:AW401" si="495">IF(AT382="sim",AU382*AV382,0)</f>
        <v>0</v>
      </c>
      <c r="AX382" s="65"/>
      <c r="AY382" s="112"/>
      <c r="AZ382" s="203">
        <v>0.25</v>
      </c>
      <c r="BA382" s="109">
        <f t="shared" si="50"/>
        <v>21000</v>
      </c>
      <c r="BB382" s="84">
        <f t="shared" ref="BB382:BB401" si="496">IF(AY382="sim",AZ382*BA382,0)</f>
        <v>0</v>
      </c>
      <c r="BC382" s="65"/>
      <c r="BD382" s="112"/>
      <c r="BE382" s="203">
        <v>0.26</v>
      </c>
      <c r="BF382" s="109">
        <f t="shared" ref="BF382:BF401" si="497">$O382</f>
        <v>21000</v>
      </c>
      <c r="BG382" s="84">
        <f t="shared" ref="BG382:BG401" si="498">IF(BD382="sim",BE382*BF382,0)</f>
        <v>0</v>
      </c>
      <c r="BH382" s="197"/>
      <c r="BI382" s="518"/>
      <c r="BJ382" s="65"/>
      <c r="BK382" s="81">
        <f t="shared" ref="BK382:BK401" si="499">BP382+BU382+BZ382</f>
        <v>0</v>
      </c>
      <c r="BL382" s="65"/>
      <c r="BM382" s="204"/>
      <c r="BN382" s="156">
        <f>IF(B382&lt;&gt;"",_xlfn.XLOOKUP(B382,'Cronog. e Histog.'!B:B,'Cronog. e Histog.'!EK:EK),0)</f>
        <v>0</v>
      </c>
      <c r="BO382" s="109">
        <f>($O382/Dashboard!$D$15)*(1+Dashboard!$D$19)</f>
        <v>162.7066115702479</v>
      </c>
      <c r="BP382" s="84">
        <f>SUM(BM382:BN382)*BO382</f>
        <v>0</v>
      </c>
      <c r="BQ382" s="65"/>
      <c r="BR382" s="204"/>
      <c r="BS382" s="156">
        <f>IF(B382&lt;&gt;"",_xlfn.XLOOKUP(B382,'Cronog. e Histog.'!B:B,'Cronog. e Histog.'!EL:EL),0)</f>
        <v>0</v>
      </c>
      <c r="BT382" s="109">
        <f>($O382/Dashboard!$D$15)*(1+Dashboard!$D$20)</f>
        <v>189.82438016528923</v>
      </c>
      <c r="BU382" s="84">
        <f>SUM(BR382:BS382)*BT382</f>
        <v>0</v>
      </c>
      <c r="BV382" s="65"/>
      <c r="BW382" s="204"/>
      <c r="BX382" s="156">
        <f>IF(B382&lt;&gt;"",_xlfn.XLOOKUP(B382,'Cronog. e Histog.'!B:B,'Cronog. e Histog.'!EM:EM),0)</f>
        <v>0</v>
      </c>
      <c r="BY382" s="109">
        <f>($O382/Dashboard!$D$15)*(1+Dashboard!$D$21)</f>
        <v>216.94214876033055</v>
      </c>
      <c r="BZ382" s="84">
        <f>SUM(BW382:BX382)*BY382</f>
        <v>0</v>
      </c>
    </row>
    <row r="383" spans="2:78" ht="12" customHeight="1" outlineLevel="1">
      <c r="B383" s="137" t="str">
        <f>'Cronog. e Histog.'!B526</f>
        <v>COORD. - Equipe_01</v>
      </c>
      <c r="C383" s="65"/>
      <c r="D383" s="200">
        <f t="shared" si="482"/>
        <v>0</v>
      </c>
      <c r="E383" s="200">
        <f t="shared" si="483"/>
        <v>0</v>
      </c>
      <c r="F383" s="65"/>
      <c r="G383" s="200">
        <f t="shared" si="484"/>
        <v>0</v>
      </c>
      <c r="H383" s="200">
        <f t="shared" si="485"/>
        <v>0</v>
      </c>
      <c r="I383" s="65"/>
      <c r="J383" s="143" t="str">
        <f>IF('Cronog. e Histog.'!G526&gt;0,'Cronog. e Histog.'!G526,"")</f>
        <v>COORD.</v>
      </c>
      <c r="K383" s="65"/>
      <c r="L383" s="144">
        <f>'Cronog. e Histog.'!BT526</f>
        <v>0</v>
      </c>
      <c r="M383" s="144">
        <f>'Cronog. e Histog.'!BU526</f>
        <v>0</v>
      </c>
      <c r="N383" s="65"/>
      <c r="O383" s="109">
        <f>_xlfn.XLOOKUP(B383,Salários!B:B,Salários!K:K)</f>
        <v>19000</v>
      </c>
      <c r="P383" s="109">
        <f t="shared" ref="P383:P401" si="500">AC383</f>
        <v>0</v>
      </c>
      <c r="Q383" s="109">
        <f t="shared" ref="Q383:Q401" si="501">BK383</f>
        <v>0</v>
      </c>
      <c r="R383" s="65"/>
      <c r="S383" s="109">
        <f t="shared" ref="S383:S401" si="502">SUM(O383:Q383)</f>
        <v>19000</v>
      </c>
      <c r="T383" s="201" t="str">
        <f>IF(_xlfn.XLOOKUP(B383,Salários!B:B,Salários!I:I)&gt;0,_xlfn.XLOOKUP(B383,Salários!B:B,Salários!I:I),"")</f>
        <v>PJ</v>
      </c>
      <c r="U383" s="117">
        <f t="shared" ref="U383:U401" si="503">L383*M383*S383</f>
        <v>0</v>
      </c>
      <c r="V383" s="65"/>
      <c r="W383" s="202"/>
      <c r="X383" s="65"/>
      <c r="Y383" s="69"/>
      <c r="Z383" s="65"/>
      <c r="AA383" s="518"/>
      <c r="AB383" s="65"/>
      <c r="AC383" s="81">
        <f t="shared" ref="AC383:AC392" si="504">AH383+AM383+AR383+AW383+BB383+BG383</f>
        <v>0</v>
      </c>
      <c r="AD383" s="65"/>
      <c r="AE383" s="112"/>
      <c r="AF383" s="203">
        <v>0.3</v>
      </c>
      <c r="AG383" s="109">
        <f t="shared" ref="AG383:AG392" si="505">$O383</f>
        <v>19000</v>
      </c>
      <c r="AH383" s="84">
        <f t="shared" ref="AH383:AH392" si="506">IF(AE383="sim",AF383*AG383,0)</f>
        <v>0</v>
      </c>
      <c r="AI383" s="65"/>
      <c r="AJ383" s="112"/>
      <c r="AK383" s="122"/>
      <c r="AL383" s="109">
        <v>1212</v>
      </c>
      <c r="AM383" s="84">
        <f t="shared" ref="AM383:AM392" si="507">IF(AJ383="sim",AK383*AL383,0)</f>
        <v>0</v>
      </c>
      <c r="AN383" s="65"/>
      <c r="AO383" s="112"/>
      <c r="AP383" s="204"/>
      <c r="AQ383" s="109">
        <f>IFERROR((O383+AH383+AM383)/Dashboard!$D$15,0)*0.2</f>
        <v>19.628099173553718</v>
      </c>
      <c r="AR383" s="84">
        <f t="shared" ref="AR383:AR392" si="508">IF(AO383="sim",AP383*AQ383,0)</f>
        <v>0</v>
      </c>
      <c r="AS383" s="65"/>
      <c r="AT383" s="112"/>
      <c r="AU383" s="203">
        <v>0.33</v>
      </c>
      <c r="AV383" s="109">
        <f t="shared" si="494"/>
        <v>19000</v>
      </c>
      <c r="AW383" s="84">
        <f t="shared" ref="AW383:AW392" si="509">IF(AT383="sim",AU383*AV383,0)</f>
        <v>0</v>
      </c>
      <c r="AX383" s="65"/>
      <c r="AY383" s="112"/>
      <c r="AZ383" s="203">
        <v>0.25</v>
      </c>
      <c r="BA383" s="109">
        <f t="shared" ref="BA383:BA392" si="510">$O383</f>
        <v>19000</v>
      </c>
      <c r="BB383" s="84">
        <f t="shared" ref="BB383:BB392" si="511">IF(AY383="sim",AZ383*BA383,0)</f>
        <v>0</v>
      </c>
      <c r="BC383" s="65"/>
      <c r="BD383" s="112"/>
      <c r="BE383" s="203">
        <v>0.26</v>
      </c>
      <c r="BF383" s="109">
        <f t="shared" si="497"/>
        <v>19000</v>
      </c>
      <c r="BG383" s="84">
        <f t="shared" ref="BG383:BG392" si="512">IF(BD383="sim",BE383*BF383,0)</f>
        <v>0</v>
      </c>
      <c r="BH383" s="197"/>
      <c r="BI383" s="518"/>
      <c r="BJ383" s="65"/>
      <c r="BK383" s="81">
        <f t="shared" ref="BK383:BK392" si="513">BP383+BU383+BZ383</f>
        <v>0</v>
      </c>
      <c r="BL383" s="65"/>
      <c r="BM383" s="204"/>
      <c r="BN383" s="156">
        <f>IF(B383&lt;&gt;"",_xlfn.XLOOKUP(B383,'Cronog. e Histog.'!B:B,'Cronog. e Histog.'!EK:EK),0)</f>
        <v>0</v>
      </c>
      <c r="BO383" s="109">
        <f>($O383/Dashboard!$D$15)*(1+Dashboard!$D$19)</f>
        <v>147.21074380165288</v>
      </c>
      <c r="BP383" s="84">
        <f t="shared" ref="BP383:BP401" si="514">SUM(BM383:BN383)*BO383</f>
        <v>0</v>
      </c>
      <c r="BQ383" s="65"/>
      <c r="BR383" s="204"/>
      <c r="BS383" s="156">
        <f>IF(B383&lt;&gt;"",_xlfn.XLOOKUP(B383,'Cronog. e Histog.'!B:B,'Cronog. e Histog.'!EL:EL),0)</f>
        <v>0</v>
      </c>
      <c r="BT383" s="109">
        <f>($O383/Dashboard!$D$15)*(1+Dashboard!$D$20)</f>
        <v>171.74586776859502</v>
      </c>
      <c r="BU383" s="84">
        <f t="shared" ref="BU383:BU401" si="515">SUM(BR383:BS383)*BT383</f>
        <v>0</v>
      </c>
      <c r="BV383" s="65"/>
      <c r="BW383" s="204"/>
      <c r="BX383" s="156">
        <f>IF(B383&lt;&gt;"",_xlfn.XLOOKUP(B383,'Cronog. e Histog.'!B:B,'Cronog. e Histog.'!EM:EM),0)</f>
        <v>0</v>
      </c>
      <c r="BY383" s="109">
        <f>($O383/Dashboard!$D$15)*(1+Dashboard!$D$21)</f>
        <v>196.28099173553716</v>
      </c>
      <c r="BZ383" s="84">
        <f t="shared" ref="BZ383:BZ401" si="516">SUM(BW383:BX383)*BY383</f>
        <v>0</v>
      </c>
    </row>
    <row r="384" spans="2:78" ht="12" customHeight="1" outlineLevel="1">
      <c r="B384" s="137" t="str">
        <f>'Cronog. e Histog.'!B527</f>
        <v>SUP.-ESP - Equipe_01</v>
      </c>
      <c r="C384" s="65"/>
      <c r="D384" s="200">
        <f t="shared" si="482"/>
        <v>0</v>
      </c>
      <c r="E384" s="200">
        <f t="shared" si="483"/>
        <v>0</v>
      </c>
      <c r="F384" s="65"/>
      <c r="G384" s="200">
        <f t="shared" si="484"/>
        <v>0</v>
      </c>
      <c r="H384" s="200">
        <f t="shared" si="485"/>
        <v>0</v>
      </c>
      <c r="I384" s="65"/>
      <c r="J384" s="143" t="str">
        <f>IF('Cronog. e Histog.'!G527&gt;0,'Cronog. e Histog.'!G527,"")</f>
        <v>SUP.-ESP</v>
      </c>
      <c r="K384" s="65"/>
      <c r="L384" s="144">
        <f>'Cronog. e Histog.'!BT527</f>
        <v>0</v>
      </c>
      <c r="M384" s="144">
        <f>'Cronog. e Histog.'!BU527</f>
        <v>0</v>
      </c>
      <c r="N384" s="65"/>
      <c r="O384" s="109">
        <f>_xlfn.XLOOKUP(B384,Salários!B:B,Salários!K:K)</f>
        <v>9716.67</v>
      </c>
      <c r="P384" s="109">
        <f t="shared" si="500"/>
        <v>0</v>
      </c>
      <c r="Q384" s="109">
        <f t="shared" si="501"/>
        <v>0</v>
      </c>
      <c r="R384" s="65"/>
      <c r="S384" s="109">
        <f t="shared" si="502"/>
        <v>9716.67</v>
      </c>
      <c r="T384" s="201" t="str">
        <f>IF(_xlfn.XLOOKUP(B384,Salários!B:B,Salários!I:I)&gt;0,_xlfn.XLOOKUP(B384,Salários!B:B,Salários!I:I),"")</f>
        <v>Mensalista</v>
      </c>
      <c r="U384" s="117">
        <f t="shared" si="503"/>
        <v>0</v>
      </c>
      <c r="V384" s="65"/>
      <c r="W384" s="202"/>
      <c r="X384" s="65"/>
      <c r="Y384" s="69"/>
      <c r="Z384" s="65"/>
      <c r="AA384" s="518"/>
      <c r="AB384" s="65"/>
      <c r="AC384" s="81">
        <f t="shared" si="504"/>
        <v>0</v>
      </c>
      <c r="AD384" s="65"/>
      <c r="AE384" s="112"/>
      <c r="AF384" s="203">
        <v>0.3</v>
      </c>
      <c r="AG384" s="109">
        <f t="shared" si="505"/>
        <v>9716.67</v>
      </c>
      <c r="AH384" s="84">
        <f t="shared" si="506"/>
        <v>0</v>
      </c>
      <c r="AI384" s="65"/>
      <c r="AJ384" s="112"/>
      <c r="AK384" s="122"/>
      <c r="AL384" s="109">
        <v>1212</v>
      </c>
      <c r="AM384" s="84">
        <f t="shared" si="507"/>
        <v>0</v>
      </c>
      <c r="AN384" s="65"/>
      <c r="AO384" s="112"/>
      <c r="AP384" s="204"/>
      <c r="AQ384" s="109">
        <f>IFERROR((O384+AH384+AM384)/Dashboard!$D$15,0)*0.2</f>
        <v>10.037882231404957</v>
      </c>
      <c r="AR384" s="84">
        <f t="shared" si="508"/>
        <v>0</v>
      </c>
      <c r="AS384" s="65"/>
      <c r="AT384" s="112"/>
      <c r="AU384" s="203">
        <v>0.33</v>
      </c>
      <c r="AV384" s="109">
        <f t="shared" si="494"/>
        <v>9716.67</v>
      </c>
      <c r="AW384" s="84">
        <f t="shared" si="509"/>
        <v>0</v>
      </c>
      <c r="AX384" s="65"/>
      <c r="AY384" s="112"/>
      <c r="AZ384" s="203">
        <v>0.25</v>
      </c>
      <c r="BA384" s="109">
        <f t="shared" si="510"/>
        <v>9716.67</v>
      </c>
      <c r="BB384" s="84">
        <f t="shared" si="511"/>
        <v>0</v>
      </c>
      <c r="BC384" s="65"/>
      <c r="BD384" s="112"/>
      <c r="BE384" s="203">
        <v>0.26</v>
      </c>
      <c r="BF384" s="109">
        <f t="shared" si="497"/>
        <v>9716.67</v>
      </c>
      <c r="BG384" s="84">
        <f t="shared" si="512"/>
        <v>0</v>
      </c>
      <c r="BH384" s="197"/>
      <c r="BI384" s="518"/>
      <c r="BJ384" s="65"/>
      <c r="BK384" s="81">
        <f t="shared" si="513"/>
        <v>0</v>
      </c>
      <c r="BL384" s="65"/>
      <c r="BM384" s="204"/>
      <c r="BN384" s="156">
        <f>IF(B384&lt;&gt;"",_xlfn.XLOOKUP(B384,'Cronog. e Histog.'!B:B,'Cronog. e Histog.'!EK:EK),0)</f>
        <v>0</v>
      </c>
      <c r="BO384" s="109">
        <f>($O384/Dashboard!$D$15)*(1+Dashboard!$D$19)</f>
        <v>75.284116735537182</v>
      </c>
      <c r="BP384" s="84">
        <f t="shared" si="514"/>
        <v>0</v>
      </c>
      <c r="BQ384" s="65"/>
      <c r="BR384" s="204"/>
      <c r="BS384" s="156">
        <f>IF(B384&lt;&gt;"",_xlfn.XLOOKUP(B384,'Cronog. e Histog.'!B:B,'Cronog. e Histog.'!EL:EL),0)</f>
        <v>0</v>
      </c>
      <c r="BT384" s="109">
        <f>($O384/Dashboard!$D$15)*(1+Dashboard!$D$20)</f>
        <v>87.831469524793377</v>
      </c>
      <c r="BU384" s="84">
        <f t="shared" si="515"/>
        <v>0</v>
      </c>
      <c r="BV384" s="65"/>
      <c r="BW384" s="204"/>
      <c r="BX384" s="156">
        <f>IF(B384&lt;&gt;"",_xlfn.XLOOKUP(B384,'Cronog. e Histog.'!B:B,'Cronog. e Histog.'!EM:EM),0)</f>
        <v>0</v>
      </c>
      <c r="BY384" s="109">
        <f>($O384/Dashboard!$D$15)*(1+Dashboard!$D$21)</f>
        <v>100.37882231404957</v>
      </c>
      <c r="BZ384" s="84">
        <f t="shared" si="516"/>
        <v>0</v>
      </c>
    </row>
    <row r="385" spans="2:78" ht="12" customHeight="1" outlineLevel="1">
      <c r="B385" s="137" t="str">
        <f>'Cronog. e Histog.'!B528</f>
        <v>ENG/ARQ SR. - Equipe_01</v>
      </c>
      <c r="C385" s="65"/>
      <c r="D385" s="200">
        <f t="shared" si="482"/>
        <v>0</v>
      </c>
      <c r="E385" s="200">
        <f t="shared" si="483"/>
        <v>0</v>
      </c>
      <c r="F385" s="65"/>
      <c r="G385" s="200">
        <f t="shared" si="484"/>
        <v>0</v>
      </c>
      <c r="H385" s="200">
        <f t="shared" si="485"/>
        <v>0</v>
      </c>
      <c r="I385" s="65"/>
      <c r="J385" s="143" t="str">
        <f>IF('Cronog. e Histog.'!G528&gt;0,'Cronog. e Histog.'!G528,"")</f>
        <v>ENG/ARQ SR.</v>
      </c>
      <c r="K385" s="65"/>
      <c r="L385" s="144">
        <f>'Cronog. e Histog.'!BT528</f>
        <v>0</v>
      </c>
      <c r="M385" s="144">
        <f>'Cronog. e Histog.'!BU528</f>
        <v>0</v>
      </c>
      <c r="N385" s="65"/>
      <c r="O385" s="109">
        <f>_xlfn.XLOOKUP(B385,Salários!B:B,Salários!K:K)</f>
        <v>16000</v>
      </c>
      <c r="P385" s="109">
        <f t="shared" si="500"/>
        <v>0</v>
      </c>
      <c r="Q385" s="109">
        <f t="shared" si="501"/>
        <v>0</v>
      </c>
      <c r="R385" s="65"/>
      <c r="S385" s="109">
        <f t="shared" si="502"/>
        <v>16000</v>
      </c>
      <c r="T385" s="201" t="str">
        <f>IF(_xlfn.XLOOKUP(B385,Salários!B:B,Salários!I:I)&gt;0,_xlfn.XLOOKUP(B385,Salários!B:B,Salários!I:I),"")</f>
        <v>PJ</v>
      </c>
      <c r="U385" s="117">
        <f t="shared" si="503"/>
        <v>0</v>
      </c>
      <c r="V385" s="65"/>
      <c r="W385" s="202"/>
      <c r="X385" s="65"/>
      <c r="Y385" s="69"/>
      <c r="Z385" s="65"/>
      <c r="AA385" s="518"/>
      <c r="AB385" s="65"/>
      <c r="AC385" s="81">
        <f t="shared" si="504"/>
        <v>0</v>
      </c>
      <c r="AD385" s="65"/>
      <c r="AE385" s="112"/>
      <c r="AF385" s="203">
        <v>0.3</v>
      </c>
      <c r="AG385" s="109">
        <f t="shared" si="505"/>
        <v>16000</v>
      </c>
      <c r="AH385" s="84">
        <f t="shared" si="506"/>
        <v>0</v>
      </c>
      <c r="AI385" s="65"/>
      <c r="AJ385" s="112"/>
      <c r="AK385" s="122"/>
      <c r="AL385" s="109">
        <v>1212</v>
      </c>
      <c r="AM385" s="84">
        <f t="shared" si="507"/>
        <v>0</v>
      </c>
      <c r="AN385" s="65"/>
      <c r="AO385" s="112"/>
      <c r="AP385" s="204"/>
      <c r="AQ385" s="109">
        <f>IFERROR((O385+AH385+AM385)/Dashboard!$D$15,0)*0.2</f>
        <v>16.528925619834709</v>
      </c>
      <c r="AR385" s="84">
        <f t="shared" si="508"/>
        <v>0</v>
      </c>
      <c r="AS385" s="65"/>
      <c r="AT385" s="112"/>
      <c r="AU385" s="203">
        <v>0.33</v>
      </c>
      <c r="AV385" s="109">
        <f t="shared" si="494"/>
        <v>16000</v>
      </c>
      <c r="AW385" s="84">
        <f t="shared" si="509"/>
        <v>0</v>
      </c>
      <c r="AX385" s="65"/>
      <c r="AY385" s="112"/>
      <c r="AZ385" s="203">
        <v>0.25</v>
      </c>
      <c r="BA385" s="109">
        <f t="shared" si="510"/>
        <v>16000</v>
      </c>
      <c r="BB385" s="84">
        <f t="shared" si="511"/>
        <v>0</v>
      </c>
      <c r="BC385" s="65"/>
      <c r="BD385" s="112"/>
      <c r="BE385" s="203">
        <v>0.26</v>
      </c>
      <c r="BF385" s="109">
        <f t="shared" si="497"/>
        <v>16000</v>
      </c>
      <c r="BG385" s="84">
        <f t="shared" si="512"/>
        <v>0</v>
      </c>
      <c r="BH385" s="197"/>
      <c r="BI385" s="518"/>
      <c r="BJ385" s="65"/>
      <c r="BK385" s="81">
        <f t="shared" si="513"/>
        <v>0</v>
      </c>
      <c r="BL385" s="65"/>
      <c r="BM385" s="204"/>
      <c r="BN385" s="156">
        <f>IF(B385&lt;&gt;"",_xlfn.XLOOKUP(B385,'Cronog. e Histog.'!B:B,'Cronog. e Histog.'!EK:EK),0)</f>
        <v>0</v>
      </c>
      <c r="BO385" s="109">
        <f>($O385/Dashboard!$D$15)*(1+Dashboard!$D$19)</f>
        <v>123.96694214876032</v>
      </c>
      <c r="BP385" s="84">
        <f t="shared" si="514"/>
        <v>0</v>
      </c>
      <c r="BQ385" s="65"/>
      <c r="BR385" s="204"/>
      <c r="BS385" s="156">
        <f>IF(B385&lt;&gt;"",_xlfn.XLOOKUP(B385,'Cronog. e Histog.'!B:B,'Cronog. e Histog.'!EL:EL),0)</f>
        <v>0</v>
      </c>
      <c r="BT385" s="109">
        <f>($O385/Dashboard!$D$15)*(1+Dashboard!$D$20)</f>
        <v>144.62809917355369</v>
      </c>
      <c r="BU385" s="84">
        <f t="shared" si="515"/>
        <v>0</v>
      </c>
      <c r="BV385" s="65"/>
      <c r="BW385" s="204"/>
      <c r="BX385" s="156">
        <f>IF(B385&lt;&gt;"",_xlfn.XLOOKUP(B385,'Cronog. e Histog.'!B:B,'Cronog. e Histog.'!EM:EM),0)</f>
        <v>0</v>
      </c>
      <c r="BY385" s="109">
        <f>($O385/Dashboard!$D$15)*(1+Dashboard!$D$21)</f>
        <v>165.28925619834709</v>
      </c>
      <c r="BZ385" s="84">
        <f t="shared" si="516"/>
        <v>0</v>
      </c>
    </row>
    <row r="386" spans="2:78" ht="12" customHeight="1" outlineLevel="1">
      <c r="B386" s="137" t="str">
        <f>'Cronog. e Histog.'!B529</f>
        <v>ENG/ARQ PL. - Equipe_01</v>
      </c>
      <c r="C386" s="65"/>
      <c r="D386" s="200">
        <f t="shared" si="482"/>
        <v>0</v>
      </c>
      <c r="E386" s="200">
        <f t="shared" si="483"/>
        <v>0</v>
      </c>
      <c r="F386" s="65"/>
      <c r="G386" s="200">
        <f t="shared" si="484"/>
        <v>0</v>
      </c>
      <c r="H386" s="200">
        <f t="shared" si="485"/>
        <v>0</v>
      </c>
      <c r="I386" s="65"/>
      <c r="J386" s="143" t="str">
        <f>IF('Cronog. e Histog.'!G529&gt;0,'Cronog. e Histog.'!G529,"")</f>
        <v>ENG/ARQ PL.</v>
      </c>
      <c r="K386" s="65"/>
      <c r="L386" s="144">
        <f>'Cronog. e Histog.'!BT529</f>
        <v>0</v>
      </c>
      <c r="M386" s="144">
        <f>'Cronog. e Histog.'!BU529</f>
        <v>0</v>
      </c>
      <c r="N386" s="65"/>
      <c r="O386" s="109">
        <f>_xlfn.XLOOKUP(B386,Salários!B:B,Salários!K:K)</f>
        <v>14000</v>
      </c>
      <c r="P386" s="109">
        <f t="shared" si="500"/>
        <v>0</v>
      </c>
      <c r="Q386" s="109">
        <f t="shared" si="501"/>
        <v>0</v>
      </c>
      <c r="R386" s="65"/>
      <c r="S386" s="109">
        <f t="shared" si="502"/>
        <v>14000</v>
      </c>
      <c r="T386" s="201" t="str">
        <f>IF(_xlfn.XLOOKUP(B386,Salários!B:B,Salários!I:I)&gt;0,_xlfn.XLOOKUP(B386,Salários!B:B,Salários!I:I),"")</f>
        <v>PJ</v>
      </c>
      <c r="U386" s="117">
        <f t="shared" si="503"/>
        <v>0</v>
      </c>
      <c r="V386" s="65"/>
      <c r="W386" s="202"/>
      <c r="X386" s="65"/>
      <c r="Y386" s="69"/>
      <c r="Z386" s="65"/>
      <c r="AA386" s="518"/>
      <c r="AB386" s="65"/>
      <c r="AC386" s="81">
        <f t="shared" si="504"/>
        <v>0</v>
      </c>
      <c r="AD386" s="65"/>
      <c r="AE386" s="112"/>
      <c r="AF386" s="203">
        <v>0.3</v>
      </c>
      <c r="AG386" s="109">
        <f t="shared" si="505"/>
        <v>14000</v>
      </c>
      <c r="AH386" s="84">
        <f t="shared" si="506"/>
        <v>0</v>
      </c>
      <c r="AI386" s="65"/>
      <c r="AJ386" s="112"/>
      <c r="AK386" s="122"/>
      <c r="AL386" s="109">
        <v>1212</v>
      </c>
      <c r="AM386" s="84">
        <f t="shared" si="507"/>
        <v>0</v>
      </c>
      <c r="AN386" s="65"/>
      <c r="AO386" s="112"/>
      <c r="AP386" s="204"/>
      <c r="AQ386" s="109">
        <f>IFERROR((O386+AH386+AM386)/Dashboard!$D$15,0)*0.2</f>
        <v>14.46280991735537</v>
      </c>
      <c r="AR386" s="84">
        <f t="shared" si="508"/>
        <v>0</v>
      </c>
      <c r="AS386" s="65"/>
      <c r="AT386" s="112"/>
      <c r="AU386" s="203">
        <v>0.33</v>
      </c>
      <c r="AV386" s="109">
        <f t="shared" si="494"/>
        <v>14000</v>
      </c>
      <c r="AW386" s="84">
        <f t="shared" si="509"/>
        <v>0</v>
      </c>
      <c r="AX386" s="65"/>
      <c r="AY386" s="112"/>
      <c r="AZ386" s="203">
        <v>0.25</v>
      </c>
      <c r="BA386" s="109">
        <f t="shared" si="510"/>
        <v>14000</v>
      </c>
      <c r="BB386" s="84">
        <f t="shared" si="511"/>
        <v>0</v>
      </c>
      <c r="BC386" s="65"/>
      <c r="BD386" s="112"/>
      <c r="BE386" s="203">
        <v>0.26</v>
      </c>
      <c r="BF386" s="109">
        <f t="shared" si="497"/>
        <v>14000</v>
      </c>
      <c r="BG386" s="84">
        <f t="shared" si="512"/>
        <v>0</v>
      </c>
      <c r="BH386" s="197"/>
      <c r="BI386" s="518"/>
      <c r="BJ386" s="65"/>
      <c r="BK386" s="81">
        <f t="shared" si="513"/>
        <v>0</v>
      </c>
      <c r="BL386" s="65"/>
      <c r="BM386" s="204"/>
      <c r="BN386" s="156">
        <f>IF(B386&lt;&gt;"",_xlfn.XLOOKUP(B386,'Cronog. e Histog.'!B:B,'Cronog. e Histog.'!EK:EK),0)</f>
        <v>0</v>
      </c>
      <c r="BO386" s="109">
        <f>($O386/Dashboard!$D$15)*(1+Dashboard!$D$19)</f>
        <v>108.47107438016528</v>
      </c>
      <c r="BP386" s="84">
        <f t="shared" si="514"/>
        <v>0</v>
      </c>
      <c r="BQ386" s="65"/>
      <c r="BR386" s="204"/>
      <c r="BS386" s="156">
        <f>IF(B386&lt;&gt;"",_xlfn.XLOOKUP(B386,'Cronog. e Histog.'!B:B,'Cronog. e Histog.'!EL:EL),0)</f>
        <v>0</v>
      </c>
      <c r="BT386" s="109">
        <f>($O386/Dashboard!$D$15)*(1+Dashboard!$D$20)</f>
        <v>126.54958677685948</v>
      </c>
      <c r="BU386" s="84">
        <f t="shared" si="515"/>
        <v>0</v>
      </c>
      <c r="BV386" s="65"/>
      <c r="BW386" s="204"/>
      <c r="BX386" s="156">
        <f>IF(B386&lt;&gt;"",_xlfn.XLOOKUP(B386,'Cronog. e Histog.'!B:B,'Cronog. e Histog.'!EM:EM),0)</f>
        <v>0</v>
      </c>
      <c r="BY386" s="109">
        <f>($O386/Dashboard!$D$15)*(1+Dashboard!$D$21)</f>
        <v>144.62809917355369</v>
      </c>
      <c r="BZ386" s="84">
        <f t="shared" si="516"/>
        <v>0</v>
      </c>
    </row>
    <row r="387" spans="2:78" ht="12" customHeight="1" outlineLevel="1">
      <c r="B387" s="137" t="str">
        <f>'Cronog. e Histog.'!B530</f>
        <v>ENG/ARQ JR. - Equipe_01</v>
      </c>
      <c r="C387" s="65"/>
      <c r="D387" s="200">
        <f t="shared" si="482"/>
        <v>0</v>
      </c>
      <c r="E387" s="200">
        <f t="shared" si="483"/>
        <v>0</v>
      </c>
      <c r="F387" s="65"/>
      <c r="G387" s="200">
        <f t="shared" si="484"/>
        <v>0</v>
      </c>
      <c r="H387" s="200">
        <f t="shared" si="485"/>
        <v>0</v>
      </c>
      <c r="I387" s="65"/>
      <c r="J387" s="143" t="str">
        <f>IF('Cronog. e Histog.'!G530&gt;0,'Cronog. e Histog.'!G530,"")</f>
        <v>ENG/ARQ JR.</v>
      </c>
      <c r="K387" s="65"/>
      <c r="L387" s="144">
        <f>'Cronog. e Histog.'!BT530</f>
        <v>0</v>
      </c>
      <c r="M387" s="144">
        <f>'Cronog. e Histog.'!BU530</f>
        <v>0</v>
      </c>
      <c r="N387" s="65"/>
      <c r="O387" s="109">
        <f>_xlfn.XLOOKUP(B387,Salários!B:B,Salários!K:K)</f>
        <v>14000</v>
      </c>
      <c r="P387" s="109">
        <f t="shared" si="500"/>
        <v>0</v>
      </c>
      <c r="Q387" s="109">
        <f t="shared" si="501"/>
        <v>0</v>
      </c>
      <c r="R387" s="65"/>
      <c r="S387" s="109">
        <f t="shared" si="502"/>
        <v>14000</v>
      </c>
      <c r="T387" s="201" t="str">
        <f>IF(_xlfn.XLOOKUP(B387,Salários!B:B,Salários!I:I)&gt;0,_xlfn.XLOOKUP(B387,Salários!B:B,Salários!I:I),"")</f>
        <v>PJ</v>
      </c>
      <c r="U387" s="117">
        <f t="shared" si="503"/>
        <v>0</v>
      </c>
      <c r="V387" s="65"/>
      <c r="W387" s="202"/>
      <c r="X387" s="65"/>
      <c r="Y387" s="69"/>
      <c r="Z387" s="65"/>
      <c r="AA387" s="518"/>
      <c r="AB387" s="65"/>
      <c r="AC387" s="81">
        <f t="shared" si="504"/>
        <v>0</v>
      </c>
      <c r="AD387" s="65"/>
      <c r="AE387" s="112"/>
      <c r="AF387" s="203">
        <v>0.3</v>
      </c>
      <c r="AG387" s="109">
        <f t="shared" si="505"/>
        <v>14000</v>
      </c>
      <c r="AH387" s="84">
        <f t="shared" si="506"/>
        <v>0</v>
      </c>
      <c r="AI387" s="65"/>
      <c r="AJ387" s="112"/>
      <c r="AK387" s="122"/>
      <c r="AL387" s="109">
        <v>1212</v>
      </c>
      <c r="AM387" s="84">
        <f t="shared" si="507"/>
        <v>0</v>
      </c>
      <c r="AN387" s="65"/>
      <c r="AO387" s="112"/>
      <c r="AP387" s="204"/>
      <c r="AQ387" s="109">
        <f>IFERROR((O387+AH387+AM387)/Dashboard!$D$15,0)*0.2</f>
        <v>14.46280991735537</v>
      </c>
      <c r="AR387" s="84">
        <f t="shared" si="508"/>
        <v>0</v>
      </c>
      <c r="AS387" s="65"/>
      <c r="AT387" s="112"/>
      <c r="AU387" s="203">
        <v>0.33</v>
      </c>
      <c r="AV387" s="109">
        <f t="shared" si="494"/>
        <v>14000</v>
      </c>
      <c r="AW387" s="84">
        <f t="shared" si="509"/>
        <v>0</v>
      </c>
      <c r="AX387" s="65"/>
      <c r="AY387" s="112"/>
      <c r="AZ387" s="203">
        <v>0.25</v>
      </c>
      <c r="BA387" s="109">
        <f t="shared" si="510"/>
        <v>14000</v>
      </c>
      <c r="BB387" s="84">
        <f t="shared" si="511"/>
        <v>0</v>
      </c>
      <c r="BC387" s="65"/>
      <c r="BD387" s="112"/>
      <c r="BE387" s="203">
        <v>0.26</v>
      </c>
      <c r="BF387" s="109">
        <f t="shared" si="497"/>
        <v>14000</v>
      </c>
      <c r="BG387" s="84">
        <f t="shared" si="512"/>
        <v>0</v>
      </c>
      <c r="BH387" s="197"/>
      <c r="BI387" s="518"/>
      <c r="BJ387" s="65"/>
      <c r="BK387" s="81">
        <f t="shared" si="513"/>
        <v>0</v>
      </c>
      <c r="BL387" s="65"/>
      <c r="BM387" s="204"/>
      <c r="BN387" s="156">
        <f>IF(B387&lt;&gt;"",_xlfn.XLOOKUP(B387,'Cronog. e Histog.'!B:B,'Cronog. e Histog.'!EK:EK),0)</f>
        <v>0</v>
      </c>
      <c r="BO387" s="109">
        <f>($O387/Dashboard!$D$15)*(1+Dashboard!$D$19)</f>
        <v>108.47107438016528</v>
      </c>
      <c r="BP387" s="84">
        <f t="shared" si="514"/>
        <v>0</v>
      </c>
      <c r="BQ387" s="65"/>
      <c r="BR387" s="204"/>
      <c r="BS387" s="156">
        <f>IF(B387&lt;&gt;"",_xlfn.XLOOKUP(B387,'Cronog. e Histog.'!B:B,'Cronog. e Histog.'!EL:EL),0)</f>
        <v>0</v>
      </c>
      <c r="BT387" s="109">
        <f>($O387/Dashboard!$D$15)*(1+Dashboard!$D$20)</f>
        <v>126.54958677685948</v>
      </c>
      <c r="BU387" s="84">
        <f t="shared" si="515"/>
        <v>0</v>
      </c>
      <c r="BV387" s="65"/>
      <c r="BW387" s="204"/>
      <c r="BX387" s="156">
        <f>IF(B387&lt;&gt;"",_xlfn.XLOOKUP(B387,'Cronog. e Histog.'!B:B,'Cronog. e Histog.'!EM:EM),0)</f>
        <v>0</v>
      </c>
      <c r="BY387" s="109">
        <f>($O387/Dashboard!$D$15)*(1+Dashboard!$D$21)</f>
        <v>144.62809917355369</v>
      </c>
      <c r="BZ387" s="84">
        <f t="shared" si="516"/>
        <v>0</v>
      </c>
    </row>
    <row r="388" spans="2:78" ht="12" customHeight="1" outlineLevel="1">
      <c r="B388" s="137" t="str">
        <f>'Cronog. e Histog.'!B531</f>
        <v>AN SR. ENG/ARQ - Equipe_01</v>
      </c>
      <c r="C388" s="65"/>
      <c r="D388" s="200">
        <f t="shared" si="482"/>
        <v>0</v>
      </c>
      <c r="E388" s="200">
        <f t="shared" si="483"/>
        <v>0</v>
      </c>
      <c r="F388" s="65"/>
      <c r="G388" s="200">
        <f t="shared" si="484"/>
        <v>0</v>
      </c>
      <c r="H388" s="200">
        <f t="shared" si="485"/>
        <v>0</v>
      </c>
      <c r="I388" s="65"/>
      <c r="J388" s="143" t="str">
        <f>IF('Cronog. e Histog.'!G531&gt;0,'Cronog. e Histog.'!G531,"")</f>
        <v>AN SR. ENG/ARQ</v>
      </c>
      <c r="K388" s="65"/>
      <c r="L388" s="144">
        <f>'Cronog. e Histog.'!BT531</f>
        <v>0</v>
      </c>
      <c r="M388" s="144">
        <f>'Cronog. e Histog.'!BU531</f>
        <v>0</v>
      </c>
      <c r="N388" s="65"/>
      <c r="O388" s="109">
        <f>_xlfn.XLOOKUP(B388,Salários!B:B,Salários!K:K)</f>
        <v>7950</v>
      </c>
      <c r="P388" s="109">
        <f t="shared" si="500"/>
        <v>0</v>
      </c>
      <c r="Q388" s="109">
        <f t="shared" si="501"/>
        <v>0</v>
      </c>
      <c r="R388" s="65"/>
      <c r="S388" s="109">
        <f t="shared" si="502"/>
        <v>7950</v>
      </c>
      <c r="T388" s="201" t="str">
        <f>IF(_xlfn.XLOOKUP(B388,Salários!B:B,Salários!I:I)&gt;0,_xlfn.XLOOKUP(B388,Salários!B:B,Salários!I:I),"")</f>
        <v>Mensalista</v>
      </c>
      <c r="U388" s="117">
        <f t="shared" si="503"/>
        <v>0</v>
      </c>
      <c r="V388" s="65"/>
      <c r="W388" s="202"/>
      <c r="X388" s="65"/>
      <c r="Y388" s="69"/>
      <c r="Z388" s="65"/>
      <c r="AA388" s="518"/>
      <c r="AB388" s="65"/>
      <c r="AC388" s="81">
        <f t="shared" si="504"/>
        <v>0</v>
      </c>
      <c r="AD388" s="65"/>
      <c r="AE388" s="112"/>
      <c r="AF388" s="203">
        <v>0.3</v>
      </c>
      <c r="AG388" s="109">
        <f t="shared" si="505"/>
        <v>7950</v>
      </c>
      <c r="AH388" s="84">
        <f t="shared" si="506"/>
        <v>0</v>
      </c>
      <c r="AI388" s="65"/>
      <c r="AJ388" s="112"/>
      <c r="AK388" s="122"/>
      <c r="AL388" s="109">
        <v>1212</v>
      </c>
      <c r="AM388" s="84">
        <f t="shared" si="507"/>
        <v>0</v>
      </c>
      <c r="AN388" s="65"/>
      <c r="AO388" s="112"/>
      <c r="AP388" s="204"/>
      <c r="AQ388" s="109">
        <f>IFERROR((O388+AH388+AM388)/Dashboard!$D$15,0)*0.2</f>
        <v>8.2128099173553704</v>
      </c>
      <c r="AR388" s="84">
        <f t="shared" si="508"/>
        <v>0</v>
      </c>
      <c r="AS388" s="65"/>
      <c r="AT388" s="112"/>
      <c r="AU388" s="203">
        <v>0.33</v>
      </c>
      <c r="AV388" s="109">
        <f t="shared" si="494"/>
        <v>7950</v>
      </c>
      <c r="AW388" s="84">
        <f t="shared" si="509"/>
        <v>0</v>
      </c>
      <c r="AX388" s="65"/>
      <c r="AY388" s="112"/>
      <c r="AZ388" s="203">
        <v>0.25</v>
      </c>
      <c r="BA388" s="109">
        <f t="shared" si="510"/>
        <v>7950</v>
      </c>
      <c r="BB388" s="84">
        <f t="shared" si="511"/>
        <v>0</v>
      </c>
      <c r="BC388" s="65"/>
      <c r="BD388" s="112"/>
      <c r="BE388" s="203">
        <v>0.26</v>
      </c>
      <c r="BF388" s="109">
        <f t="shared" si="497"/>
        <v>7950</v>
      </c>
      <c r="BG388" s="84">
        <f t="shared" si="512"/>
        <v>0</v>
      </c>
      <c r="BH388" s="197"/>
      <c r="BI388" s="518"/>
      <c r="BJ388" s="65"/>
      <c r="BK388" s="81">
        <f t="shared" si="513"/>
        <v>0</v>
      </c>
      <c r="BL388" s="65"/>
      <c r="BM388" s="204"/>
      <c r="BN388" s="156">
        <f>IF(B388&lt;&gt;"",_xlfn.XLOOKUP(B388,'Cronog. e Histog.'!B:B,'Cronog. e Histog.'!EK:EK),0)</f>
        <v>0</v>
      </c>
      <c r="BO388" s="109">
        <f>($O388/Dashboard!$D$15)*(1+Dashboard!$D$19)</f>
        <v>61.596074380165277</v>
      </c>
      <c r="BP388" s="84">
        <f t="shared" si="514"/>
        <v>0</v>
      </c>
      <c r="BQ388" s="65"/>
      <c r="BR388" s="204"/>
      <c r="BS388" s="156">
        <f>IF(B388&lt;&gt;"",_xlfn.XLOOKUP(B388,'Cronog. e Histog.'!B:B,'Cronog. e Histog.'!EL:EL),0)</f>
        <v>0</v>
      </c>
      <c r="BT388" s="109">
        <f>($O388/Dashboard!$D$15)*(1+Dashboard!$D$20)</f>
        <v>71.862086776859499</v>
      </c>
      <c r="BU388" s="84">
        <f t="shared" si="515"/>
        <v>0</v>
      </c>
      <c r="BV388" s="65"/>
      <c r="BW388" s="204"/>
      <c r="BX388" s="156">
        <f>IF(B388&lt;&gt;"",_xlfn.XLOOKUP(B388,'Cronog. e Histog.'!B:B,'Cronog. e Histog.'!EM:EM),0)</f>
        <v>0</v>
      </c>
      <c r="BY388" s="109">
        <f>($O388/Dashboard!$D$15)*(1+Dashboard!$D$21)</f>
        <v>82.128099173553707</v>
      </c>
      <c r="BZ388" s="84">
        <f t="shared" si="516"/>
        <v>0</v>
      </c>
    </row>
    <row r="389" spans="2:78" ht="12" customHeight="1" outlineLevel="1">
      <c r="B389" s="137" t="str">
        <f>'Cronog. e Histog.'!B532</f>
        <v>AN PL. ENG/ARQ - Equipe_01</v>
      </c>
      <c r="C389" s="65"/>
      <c r="D389" s="200">
        <f t="shared" si="482"/>
        <v>0</v>
      </c>
      <c r="E389" s="200">
        <f t="shared" si="483"/>
        <v>0</v>
      </c>
      <c r="F389" s="65"/>
      <c r="G389" s="200">
        <f t="shared" si="484"/>
        <v>0</v>
      </c>
      <c r="H389" s="200">
        <f t="shared" si="485"/>
        <v>0</v>
      </c>
      <c r="I389" s="65"/>
      <c r="J389" s="143" t="str">
        <f>IF('Cronog. e Histog.'!G532&gt;0,'Cronog. e Histog.'!G532,"")</f>
        <v>AN PL. ENG/ARQ</v>
      </c>
      <c r="K389" s="65"/>
      <c r="L389" s="144">
        <f>'Cronog. e Histog.'!BT532</f>
        <v>0</v>
      </c>
      <c r="M389" s="144">
        <f>'Cronog. e Histog.'!BU532</f>
        <v>0</v>
      </c>
      <c r="N389" s="65"/>
      <c r="O389" s="109">
        <f>_xlfn.XLOOKUP(B389,Salários!B:B,Salários!K:K)</f>
        <v>6360</v>
      </c>
      <c r="P389" s="109">
        <f t="shared" si="500"/>
        <v>0</v>
      </c>
      <c r="Q389" s="109">
        <f t="shared" si="501"/>
        <v>0</v>
      </c>
      <c r="R389" s="65"/>
      <c r="S389" s="109">
        <f t="shared" si="502"/>
        <v>6360</v>
      </c>
      <c r="T389" s="201" t="str">
        <f>IF(_xlfn.XLOOKUP(B389,Salários!B:B,Salários!I:I)&gt;0,_xlfn.XLOOKUP(B389,Salários!B:B,Salários!I:I),"")</f>
        <v>Mensalista</v>
      </c>
      <c r="U389" s="117">
        <f t="shared" si="503"/>
        <v>0</v>
      </c>
      <c r="V389" s="65"/>
      <c r="W389" s="202"/>
      <c r="X389" s="65"/>
      <c r="Y389" s="69"/>
      <c r="Z389" s="65"/>
      <c r="AA389" s="518"/>
      <c r="AB389" s="65"/>
      <c r="AC389" s="81">
        <f t="shared" si="504"/>
        <v>0</v>
      </c>
      <c r="AD389" s="65"/>
      <c r="AE389" s="112"/>
      <c r="AF389" s="203">
        <v>0.3</v>
      </c>
      <c r="AG389" s="109">
        <f t="shared" si="505"/>
        <v>6360</v>
      </c>
      <c r="AH389" s="84">
        <f t="shared" si="506"/>
        <v>0</v>
      </c>
      <c r="AI389" s="65"/>
      <c r="AJ389" s="112"/>
      <c r="AK389" s="122"/>
      <c r="AL389" s="109">
        <v>1212</v>
      </c>
      <c r="AM389" s="84">
        <f t="shared" si="507"/>
        <v>0</v>
      </c>
      <c r="AN389" s="65"/>
      <c r="AO389" s="112"/>
      <c r="AP389" s="204"/>
      <c r="AQ389" s="109">
        <f>IFERROR((O389+AH389+AM389)/Dashboard!$D$15,0)*0.2</f>
        <v>6.5702479338842963</v>
      </c>
      <c r="AR389" s="84">
        <f t="shared" si="508"/>
        <v>0</v>
      </c>
      <c r="AS389" s="65"/>
      <c r="AT389" s="112"/>
      <c r="AU389" s="203">
        <v>0.33</v>
      </c>
      <c r="AV389" s="109">
        <f t="shared" si="494"/>
        <v>6360</v>
      </c>
      <c r="AW389" s="84">
        <f t="shared" si="509"/>
        <v>0</v>
      </c>
      <c r="AX389" s="65"/>
      <c r="AY389" s="112"/>
      <c r="AZ389" s="203">
        <v>0.25</v>
      </c>
      <c r="BA389" s="109">
        <f t="shared" si="510"/>
        <v>6360</v>
      </c>
      <c r="BB389" s="84">
        <f t="shared" si="511"/>
        <v>0</v>
      </c>
      <c r="BC389" s="65"/>
      <c r="BD389" s="112"/>
      <c r="BE389" s="203">
        <v>0.26</v>
      </c>
      <c r="BF389" s="109">
        <f t="shared" si="497"/>
        <v>6360</v>
      </c>
      <c r="BG389" s="84">
        <f t="shared" si="512"/>
        <v>0</v>
      </c>
      <c r="BH389" s="197"/>
      <c r="BI389" s="518"/>
      <c r="BJ389" s="65"/>
      <c r="BK389" s="81">
        <f t="shared" si="513"/>
        <v>0</v>
      </c>
      <c r="BL389" s="65"/>
      <c r="BM389" s="204"/>
      <c r="BN389" s="156">
        <f>IF(B389&lt;&gt;"",_xlfn.XLOOKUP(B389,'Cronog. e Histog.'!B:B,'Cronog. e Histog.'!EK:EK),0)</f>
        <v>0</v>
      </c>
      <c r="BO389" s="109">
        <f>($O389/Dashboard!$D$15)*(1+Dashboard!$D$19)</f>
        <v>49.276859504132219</v>
      </c>
      <c r="BP389" s="84">
        <f t="shared" si="514"/>
        <v>0</v>
      </c>
      <c r="BQ389" s="65"/>
      <c r="BR389" s="204"/>
      <c r="BS389" s="156">
        <f>IF(B389&lt;&gt;"",_xlfn.XLOOKUP(B389,'Cronog. e Histog.'!B:B,'Cronog. e Histog.'!EL:EL),0)</f>
        <v>0</v>
      </c>
      <c r="BT389" s="109">
        <f>($O389/Dashboard!$D$15)*(1+Dashboard!$D$20)</f>
        <v>57.489669421487591</v>
      </c>
      <c r="BU389" s="84">
        <f t="shared" si="515"/>
        <v>0</v>
      </c>
      <c r="BV389" s="65"/>
      <c r="BW389" s="204"/>
      <c r="BX389" s="156">
        <f>IF(B389&lt;&gt;"",_xlfn.XLOOKUP(B389,'Cronog. e Histog.'!B:B,'Cronog. e Histog.'!EM:EM),0)</f>
        <v>0</v>
      </c>
      <c r="BY389" s="109">
        <f>($O389/Dashboard!$D$15)*(1+Dashboard!$D$21)</f>
        <v>65.702479338842963</v>
      </c>
      <c r="BZ389" s="84">
        <f t="shared" si="516"/>
        <v>0</v>
      </c>
    </row>
    <row r="390" spans="2:78" ht="12" customHeight="1" outlineLevel="1">
      <c r="B390" s="137" t="str">
        <f>'Cronog. e Histog.'!B533</f>
        <v>AN JR. ENG/ARQ - Equipe_01</v>
      </c>
      <c r="C390" s="65"/>
      <c r="D390" s="200">
        <f t="shared" si="482"/>
        <v>0</v>
      </c>
      <c r="E390" s="200">
        <f t="shared" si="483"/>
        <v>0</v>
      </c>
      <c r="F390" s="65"/>
      <c r="G390" s="200">
        <f t="shared" si="484"/>
        <v>0</v>
      </c>
      <c r="H390" s="200">
        <f t="shared" si="485"/>
        <v>0</v>
      </c>
      <c r="I390" s="65"/>
      <c r="J390" s="143" t="str">
        <f>IF('Cronog. e Histog.'!G533&gt;0,'Cronog. e Histog.'!G533,"")</f>
        <v>AN JR. ENG/ARQ</v>
      </c>
      <c r="K390" s="65"/>
      <c r="L390" s="144">
        <f>'Cronog. e Histog.'!BT533</f>
        <v>0</v>
      </c>
      <c r="M390" s="144">
        <f>'Cronog. e Histog.'!BU533</f>
        <v>0</v>
      </c>
      <c r="N390" s="65"/>
      <c r="O390" s="109">
        <f>_xlfn.XLOOKUP(B390,Salários!B:B,Salários!K:K)</f>
        <v>4770</v>
      </c>
      <c r="P390" s="109">
        <f t="shared" si="500"/>
        <v>0</v>
      </c>
      <c r="Q390" s="109">
        <f t="shared" si="501"/>
        <v>0</v>
      </c>
      <c r="R390" s="65"/>
      <c r="S390" s="109">
        <f t="shared" si="502"/>
        <v>4770</v>
      </c>
      <c r="T390" s="201" t="str">
        <f>IF(_xlfn.XLOOKUP(B390,Salários!B:B,Salários!I:I)&gt;0,_xlfn.XLOOKUP(B390,Salários!B:B,Salários!I:I),"")</f>
        <v>Mensalista</v>
      </c>
      <c r="U390" s="117">
        <f t="shared" si="503"/>
        <v>0</v>
      </c>
      <c r="V390" s="65"/>
      <c r="W390" s="202"/>
      <c r="X390" s="65"/>
      <c r="Y390" s="69"/>
      <c r="Z390" s="65"/>
      <c r="AA390" s="518"/>
      <c r="AB390" s="65"/>
      <c r="AC390" s="81">
        <f t="shared" si="504"/>
        <v>0</v>
      </c>
      <c r="AD390" s="65"/>
      <c r="AE390" s="112"/>
      <c r="AF390" s="203">
        <v>0.3</v>
      </c>
      <c r="AG390" s="109">
        <f t="shared" si="505"/>
        <v>4770</v>
      </c>
      <c r="AH390" s="84">
        <f t="shared" si="506"/>
        <v>0</v>
      </c>
      <c r="AI390" s="65"/>
      <c r="AJ390" s="112"/>
      <c r="AK390" s="122"/>
      <c r="AL390" s="109">
        <v>1212</v>
      </c>
      <c r="AM390" s="84">
        <f t="shared" si="507"/>
        <v>0</v>
      </c>
      <c r="AN390" s="65"/>
      <c r="AO390" s="112"/>
      <c r="AP390" s="204"/>
      <c r="AQ390" s="109">
        <f>IFERROR((O390+AH390+AM390)/Dashboard!$D$15,0)*0.2</f>
        <v>4.9276859504132231</v>
      </c>
      <c r="AR390" s="84">
        <f t="shared" si="508"/>
        <v>0</v>
      </c>
      <c r="AS390" s="65"/>
      <c r="AT390" s="112"/>
      <c r="AU390" s="203">
        <v>0.33</v>
      </c>
      <c r="AV390" s="109">
        <f t="shared" si="494"/>
        <v>4770</v>
      </c>
      <c r="AW390" s="84">
        <f t="shared" si="509"/>
        <v>0</v>
      </c>
      <c r="AX390" s="65"/>
      <c r="AY390" s="112"/>
      <c r="AZ390" s="203">
        <v>0.25</v>
      </c>
      <c r="BA390" s="109">
        <f t="shared" si="510"/>
        <v>4770</v>
      </c>
      <c r="BB390" s="84">
        <f t="shared" si="511"/>
        <v>0</v>
      </c>
      <c r="BC390" s="65"/>
      <c r="BD390" s="112"/>
      <c r="BE390" s="203">
        <v>0.26</v>
      </c>
      <c r="BF390" s="109">
        <f t="shared" si="497"/>
        <v>4770</v>
      </c>
      <c r="BG390" s="84">
        <f t="shared" si="512"/>
        <v>0</v>
      </c>
      <c r="BH390" s="197"/>
      <c r="BI390" s="518"/>
      <c r="BJ390" s="65"/>
      <c r="BK390" s="81">
        <f t="shared" si="513"/>
        <v>0</v>
      </c>
      <c r="BL390" s="65"/>
      <c r="BM390" s="204"/>
      <c r="BN390" s="156">
        <f>IF(B390&lt;&gt;"",_xlfn.XLOOKUP(B390,'Cronog. e Histog.'!B:B,'Cronog. e Histog.'!EK:EK),0)</f>
        <v>0</v>
      </c>
      <c r="BO390" s="109">
        <f>($O390/Dashboard!$D$15)*(1+Dashboard!$D$19)</f>
        <v>36.957644628099168</v>
      </c>
      <c r="BP390" s="84">
        <f t="shared" si="514"/>
        <v>0</v>
      </c>
      <c r="BQ390" s="65"/>
      <c r="BR390" s="204"/>
      <c r="BS390" s="156">
        <f>IF(B390&lt;&gt;"",_xlfn.XLOOKUP(B390,'Cronog. e Histog.'!B:B,'Cronog. e Histog.'!EL:EL),0)</f>
        <v>0</v>
      </c>
      <c r="BT390" s="109">
        <f>($O390/Dashboard!$D$15)*(1+Dashboard!$D$20)</f>
        <v>43.117252066115697</v>
      </c>
      <c r="BU390" s="84">
        <f t="shared" si="515"/>
        <v>0</v>
      </c>
      <c r="BV390" s="65"/>
      <c r="BW390" s="204"/>
      <c r="BX390" s="156">
        <f>IF(B390&lt;&gt;"",_xlfn.XLOOKUP(B390,'Cronog. e Histog.'!B:B,'Cronog. e Histog.'!EM:EM),0)</f>
        <v>0</v>
      </c>
      <c r="BY390" s="109">
        <f>($O390/Dashboard!$D$15)*(1+Dashboard!$D$21)</f>
        <v>49.276859504132226</v>
      </c>
      <c r="BZ390" s="84">
        <f t="shared" si="516"/>
        <v>0</v>
      </c>
    </row>
    <row r="391" spans="2:78" ht="12" customHeight="1" outlineLevel="1">
      <c r="B391" s="137" t="str">
        <f>'Cronog. e Histog.'!B534</f>
        <v>AN SR. ADM/CRP - Equipe_01</v>
      </c>
      <c r="C391" s="65"/>
      <c r="D391" s="200">
        <f t="shared" si="482"/>
        <v>0</v>
      </c>
      <c r="E391" s="200">
        <f t="shared" si="483"/>
        <v>0</v>
      </c>
      <c r="F391" s="65"/>
      <c r="G391" s="200">
        <f t="shared" si="484"/>
        <v>0</v>
      </c>
      <c r="H391" s="200">
        <f t="shared" si="485"/>
        <v>0</v>
      </c>
      <c r="I391" s="65"/>
      <c r="J391" s="143" t="str">
        <f>IF('Cronog. e Histog.'!G534&gt;0,'Cronog. e Histog.'!G534,"")</f>
        <v>AN SR. ADM/CRP</v>
      </c>
      <c r="K391" s="65"/>
      <c r="L391" s="144">
        <f>'Cronog. e Histog.'!BT534</f>
        <v>0</v>
      </c>
      <c r="M391" s="144">
        <f>'Cronog. e Histog.'!BU534</f>
        <v>0</v>
      </c>
      <c r="N391" s="65"/>
      <c r="O391" s="109">
        <f>_xlfn.XLOOKUP(B391,Salários!B:B,Salários!K:K)</f>
        <v>7420</v>
      </c>
      <c r="P391" s="109">
        <f t="shared" si="500"/>
        <v>0</v>
      </c>
      <c r="Q391" s="109">
        <f t="shared" si="501"/>
        <v>0</v>
      </c>
      <c r="R391" s="65"/>
      <c r="S391" s="109">
        <f t="shared" si="502"/>
        <v>7420</v>
      </c>
      <c r="T391" s="201" t="str">
        <f>IF(_xlfn.XLOOKUP(B391,Salários!B:B,Salários!I:I)&gt;0,_xlfn.XLOOKUP(B391,Salários!B:B,Salários!I:I),"")</f>
        <v>Mensalista</v>
      </c>
      <c r="U391" s="117">
        <f t="shared" si="503"/>
        <v>0</v>
      </c>
      <c r="V391" s="65"/>
      <c r="W391" s="202"/>
      <c r="X391" s="65"/>
      <c r="Y391" s="69"/>
      <c r="Z391" s="65"/>
      <c r="AA391" s="518"/>
      <c r="AB391" s="65"/>
      <c r="AC391" s="81">
        <f t="shared" si="504"/>
        <v>0</v>
      </c>
      <c r="AD391" s="65"/>
      <c r="AE391" s="112"/>
      <c r="AF391" s="203">
        <v>0.3</v>
      </c>
      <c r="AG391" s="109">
        <f t="shared" si="505"/>
        <v>7420</v>
      </c>
      <c r="AH391" s="84">
        <f t="shared" si="506"/>
        <v>0</v>
      </c>
      <c r="AI391" s="65"/>
      <c r="AJ391" s="112"/>
      <c r="AK391" s="122"/>
      <c r="AL391" s="109">
        <v>1212</v>
      </c>
      <c r="AM391" s="84">
        <f t="shared" si="507"/>
        <v>0</v>
      </c>
      <c r="AN391" s="65"/>
      <c r="AO391" s="112"/>
      <c r="AP391" s="204"/>
      <c r="AQ391" s="109">
        <f>IFERROR((O391+AH391+AM391)/Dashboard!$D$15,0)*0.2</f>
        <v>7.6652892561983466</v>
      </c>
      <c r="AR391" s="84">
        <f t="shared" si="508"/>
        <v>0</v>
      </c>
      <c r="AS391" s="65"/>
      <c r="AT391" s="112"/>
      <c r="AU391" s="203">
        <v>0.33</v>
      </c>
      <c r="AV391" s="109">
        <f t="shared" si="494"/>
        <v>7420</v>
      </c>
      <c r="AW391" s="84">
        <f t="shared" si="509"/>
        <v>0</v>
      </c>
      <c r="AX391" s="65"/>
      <c r="AY391" s="112"/>
      <c r="AZ391" s="203">
        <v>0.25</v>
      </c>
      <c r="BA391" s="109">
        <f t="shared" si="510"/>
        <v>7420</v>
      </c>
      <c r="BB391" s="84">
        <f t="shared" si="511"/>
        <v>0</v>
      </c>
      <c r="BC391" s="65"/>
      <c r="BD391" s="112"/>
      <c r="BE391" s="203">
        <v>0.26</v>
      </c>
      <c r="BF391" s="109">
        <f t="shared" si="497"/>
        <v>7420</v>
      </c>
      <c r="BG391" s="84">
        <f t="shared" si="512"/>
        <v>0</v>
      </c>
      <c r="BH391" s="197"/>
      <c r="BI391" s="518"/>
      <c r="BJ391" s="65"/>
      <c r="BK391" s="81">
        <f t="shared" si="513"/>
        <v>0</v>
      </c>
      <c r="BL391" s="65"/>
      <c r="BM391" s="204"/>
      <c r="BN391" s="156">
        <f>IF(B391&lt;&gt;"",_xlfn.XLOOKUP(B391,'Cronog. e Histog.'!B:B,'Cronog. e Histog.'!EK:EK),0)</f>
        <v>0</v>
      </c>
      <c r="BO391" s="109">
        <f>($O391/Dashboard!$D$15)*(1+Dashboard!$D$19)</f>
        <v>57.489669421487598</v>
      </c>
      <c r="BP391" s="84">
        <f t="shared" si="514"/>
        <v>0</v>
      </c>
      <c r="BQ391" s="65"/>
      <c r="BR391" s="204"/>
      <c r="BS391" s="156">
        <f>IF(B391&lt;&gt;"",_xlfn.XLOOKUP(B391,'Cronog. e Histog.'!B:B,'Cronog. e Histog.'!EL:EL),0)</f>
        <v>0</v>
      </c>
      <c r="BT391" s="109">
        <f>($O391/Dashboard!$D$15)*(1+Dashboard!$D$20)</f>
        <v>67.071280991735534</v>
      </c>
      <c r="BU391" s="84">
        <f t="shared" si="515"/>
        <v>0</v>
      </c>
      <c r="BV391" s="65"/>
      <c r="BW391" s="204"/>
      <c r="BX391" s="156">
        <f>IF(B391&lt;&gt;"",_xlfn.XLOOKUP(B391,'Cronog. e Histog.'!B:B,'Cronog. e Histog.'!EM:EM),0)</f>
        <v>0</v>
      </c>
      <c r="BY391" s="109">
        <f>($O391/Dashboard!$D$15)*(1+Dashboard!$D$21)</f>
        <v>76.652892561983464</v>
      </c>
      <c r="BZ391" s="84">
        <f t="shared" si="516"/>
        <v>0</v>
      </c>
    </row>
    <row r="392" spans="2:78" ht="12" customHeight="1" outlineLevel="1">
      <c r="B392" s="137" t="str">
        <f>'Cronog. e Histog.'!B535</f>
        <v>AN PL. ADM/CRP - Equipe_01</v>
      </c>
      <c r="C392" s="65"/>
      <c r="D392" s="200">
        <f t="shared" si="482"/>
        <v>0</v>
      </c>
      <c r="E392" s="200">
        <f t="shared" si="483"/>
        <v>0</v>
      </c>
      <c r="F392" s="65"/>
      <c r="G392" s="200">
        <f t="shared" si="484"/>
        <v>0</v>
      </c>
      <c r="H392" s="200">
        <f t="shared" si="485"/>
        <v>0</v>
      </c>
      <c r="I392" s="65"/>
      <c r="J392" s="143" t="str">
        <f>IF('Cronog. e Histog.'!G535&gt;0,'Cronog. e Histog.'!G535,"")</f>
        <v>AN PL. ADM/CRP</v>
      </c>
      <c r="K392" s="65"/>
      <c r="L392" s="144">
        <f>'Cronog. e Histog.'!BT535</f>
        <v>0</v>
      </c>
      <c r="M392" s="144">
        <f>'Cronog. e Histog.'!BU535</f>
        <v>0</v>
      </c>
      <c r="N392" s="65"/>
      <c r="O392" s="109">
        <f>_xlfn.XLOOKUP(B392,Salários!B:B,Salários!K:K)</f>
        <v>5300</v>
      </c>
      <c r="P392" s="109">
        <f t="shared" si="500"/>
        <v>0</v>
      </c>
      <c r="Q392" s="109">
        <f t="shared" si="501"/>
        <v>0</v>
      </c>
      <c r="R392" s="65"/>
      <c r="S392" s="109">
        <f t="shared" si="502"/>
        <v>5300</v>
      </c>
      <c r="T392" s="201" t="str">
        <f>IF(_xlfn.XLOOKUP(B392,Salários!B:B,Salários!I:I)&gt;0,_xlfn.XLOOKUP(B392,Salários!B:B,Salários!I:I),"")</f>
        <v>Mensalista</v>
      </c>
      <c r="U392" s="117">
        <f t="shared" si="503"/>
        <v>0</v>
      </c>
      <c r="V392" s="65"/>
      <c r="W392" s="202"/>
      <c r="X392" s="65"/>
      <c r="Y392" s="69"/>
      <c r="Z392" s="65"/>
      <c r="AA392" s="518"/>
      <c r="AB392" s="65"/>
      <c r="AC392" s="81">
        <f t="shared" si="504"/>
        <v>0</v>
      </c>
      <c r="AD392" s="65"/>
      <c r="AE392" s="112"/>
      <c r="AF392" s="203">
        <v>0.3</v>
      </c>
      <c r="AG392" s="109">
        <f t="shared" si="505"/>
        <v>5300</v>
      </c>
      <c r="AH392" s="84">
        <f t="shared" si="506"/>
        <v>0</v>
      </c>
      <c r="AI392" s="65"/>
      <c r="AJ392" s="112"/>
      <c r="AK392" s="122"/>
      <c r="AL392" s="109">
        <v>1212</v>
      </c>
      <c r="AM392" s="84">
        <f t="shared" si="507"/>
        <v>0</v>
      </c>
      <c r="AN392" s="65"/>
      <c r="AO392" s="112"/>
      <c r="AP392" s="204"/>
      <c r="AQ392" s="109">
        <f>IFERROR((O392+AH392+AM392)/Dashboard!$D$15,0)*0.2</f>
        <v>5.4752066115702478</v>
      </c>
      <c r="AR392" s="84">
        <f t="shared" si="508"/>
        <v>0</v>
      </c>
      <c r="AS392" s="65"/>
      <c r="AT392" s="112"/>
      <c r="AU392" s="203">
        <v>0.33</v>
      </c>
      <c r="AV392" s="109">
        <f t="shared" si="494"/>
        <v>5300</v>
      </c>
      <c r="AW392" s="84">
        <f t="shared" si="509"/>
        <v>0</v>
      </c>
      <c r="AX392" s="65"/>
      <c r="AY392" s="112"/>
      <c r="AZ392" s="203">
        <v>0.25</v>
      </c>
      <c r="BA392" s="109">
        <f t="shared" si="510"/>
        <v>5300</v>
      </c>
      <c r="BB392" s="84">
        <f t="shared" si="511"/>
        <v>0</v>
      </c>
      <c r="BC392" s="65"/>
      <c r="BD392" s="112"/>
      <c r="BE392" s="203">
        <v>0.26</v>
      </c>
      <c r="BF392" s="109">
        <f t="shared" si="497"/>
        <v>5300</v>
      </c>
      <c r="BG392" s="84">
        <f t="shared" si="512"/>
        <v>0</v>
      </c>
      <c r="BH392" s="197"/>
      <c r="BI392" s="518"/>
      <c r="BJ392" s="65"/>
      <c r="BK392" s="81">
        <f t="shared" si="513"/>
        <v>0</v>
      </c>
      <c r="BL392" s="65"/>
      <c r="BM392" s="204"/>
      <c r="BN392" s="156">
        <f>IF(B392&lt;&gt;"",_xlfn.XLOOKUP(B392,'Cronog. e Histog.'!B:B,'Cronog. e Histog.'!EK:EK),0)</f>
        <v>0</v>
      </c>
      <c r="BO392" s="109">
        <f>($O392/Dashboard!$D$15)*(1+Dashboard!$D$19)</f>
        <v>41.064049586776861</v>
      </c>
      <c r="BP392" s="84">
        <f t="shared" si="514"/>
        <v>0</v>
      </c>
      <c r="BQ392" s="65"/>
      <c r="BR392" s="204"/>
      <c r="BS392" s="156">
        <f>IF(B392&lt;&gt;"",_xlfn.XLOOKUP(B392,'Cronog. e Histog.'!B:B,'Cronog. e Histog.'!EL:EL),0)</f>
        <v>0</v>
      </c>
      <c r="BT392" s="109">
        <f>($O392/Dashboard!$D$15)*(1+Dashboard!$D$20)</f>
        <v>47.908057851239668</v>
      </c>
      <c r="BU392" s="84">
        <f t="shared" si="515"/>
        <v>0</v>
      </c>
      <c r="BV392" s="65"/>
      <c r="BW392" s="204"/>
      <c r="BX392" s="156">
        <f>IF(B392&lt;&gt;"",_xlfn.XLOOKUP(B392,'Cronog. e Histog.'!B:B,'Cronog. e Histog.'!EM:EM),0)</f>
        <v>0</v>
      </c>
      <c r="BY392" s="109">
        <f>($O392/Dashboard!$D$15)*(1+Dashboard!$D$21)</f>
        <v>54.752066115702476</v>
      </c>
      <c r="BZ392" s="84">
        <f t="shared" si="516"/>
        <v>0</v>
      </c>
    </row>
    <row r="393" spans="2:78" ht="12" customHeight="1" outlineLevel="1">
      <c r="B393" s="137" t="str">
        <f>'Cronog. e Histog.'!B536</f>
        <v>AN JR. ADM/CRP - Equipe_01</v>
      </c>
      <c r="C393" s="65"/>
      <c r="D393" s="200">
        <f t="shared" si="482"/>
        <v>0</v>
      </c>
      <c r="E393" s="200">
        <f t="shared" si="483"/>
        <v>0</v>
      </c>
      <c r="F393" s="65"/>
      <c r="G393" s="200">
        <f t="shared" si="484"/>
        <v>0</v>
      </c>
      <c r="H393" s="200">
        <f t="shared" si="485"/>
        <v>0</v>
      </c>
      <c r="I393" s="65"/>
      <c r="J393" s="143" t="str">
        <f>IF('Cronog. e Histog.'!G536&gt;0,'Cronog. e Histog.'!G536,"")</f>
        <v>AN JR. ADM/CRP</v>
      </c>
      <c r="K393" s="65"/>
      <c r="L393" s="144">
        <f>'Cronog. e Histog.'!BT536</f>
        <v>0</v>
      </c>
      <c r="M393" s="144">
        <f>'Cronog. e Histog.'!BU536</f>
        <v>0</v>
      </c>
      <c r="N393" s="65"/>
      <c r="O393" s="109">
        <f>_xlfn.XLOOKUP(B393,Salários!B:B,Salários!K:K)</f>
        <v>3710</v>
      </c>
      <c r="P393" s="109">
        <f t="shared" si="500"/>
        <v>0</v>
      </c>
      <c r="Q393" s="109">
        <f t="shared" si="501"/>
        <v>0</v>
      </c>
      <c r="R393" s="65"/>
      <c r="S393" s="109">
        <f t="shared" si="502"/>
        <v>3710</v>
      </c>
      <c r="T393" s="201" t="str">
        <f>IF(_xlfn.XLOOKUP(B393,Salários!B:B,Salários!I:I)&gt;0,_xlfn.XLOOKUP(B393,Salários!B:B,Salários!I:I),"")</f>
        <v>Mensalista</v>
      </c>
      <c r="U393" s="117">
        <f t="shared" si="503"/>
        <v>0</v>
      </c>
      <c r="V393" s="65"/>
      <c r="W393" s="202"/>
      <c r="X393" s="65"/>
      <c r="Y393" s="69"/>
      <c r="Z393" s="65"/>
      <c r="AA393" s="518"/>
      <c r="AB393" s="65"/>
      <c r="AC393" s="81">
        <f t="shared" si="490"/>
        <v>0</v>
      </c>
      <c r="AD393" s="65"/>
      <c r="AE393" s="112"/>
      <c r="AF393" s="203">
        <v>0.3</v>
      </c>
      <c r="AG393" s="109">
        <f t="shared" si="44"/>
        <v>3710</v>
      </c>
      <c r="AH393" s="84">
        <f t="shared" si="491"/>
        <v>0</v>
      </c>
      <c r="AI393" s="65"/>
      <c r="AJ393" s="112"/>
      <c r="AK393" s="122"/>
      <c r="AL393" s="109">
        <v>1212</v>
      </c>
      <c r="AM393" s="84">
        <f t="shared" si="492"/>
        <v>0</v>
      </c>
      <c r="AN393" s="65"/>
      <c r="AO393" s="112"/>
      <c r="AP393" s="204"/>
      <c r="AQ393" s="109">
        <f>IFERROR((O393+AH393+AM393)/Dashboard!$D$15,0)*0.2</f>
        <v>3.8326446280991733</v>
      </c>
      <c r="AR393" s="84">
        <f t="shared" si="493"/>
        <v>0</v>
      </c>
      <c r="AS393" s="65"/>
      <c r="AT393" s="112"/>
      <c r="AU393" s="203">
        <v>0.33</v>
      </c>
      <c r="AV393" s="109">
        <f t="shared" si="494"/>
        <v>3710</v>
      </c>
      <c r="AW393" s="84">
        <f t="shared" si="495"/>
        <v>0</v>
      </c>
      <c r="AX393" s="65"/>
      <c r="AY393" s="112"/>
      <c r="AZ393" s="203">
        <v>0.25</v>
      </c>
      <c r="BA393" s="109">
        <f t="shared" si="50"/>
        <v>3710</v>
      </c>
      <c r="BB393" s="84">
        <f t="shared" si="496"/>
        <v>0</v>
      </c>
      <c r="BC393" s="65"/>
      <c r="BD393" s="112"/>
      <c r="BE393" s="203">
        <v>0.26</v>
      </c>
      <c r="BF393" s="109">
        <f t="shared" si="497"/>
        <v>3710</v>
      </c>
      <c r="BG393" s="84">
        <f t="shared" si="498"/>
        <v>0</v>
      </c>
      <c r="BH393" s="197"/>
      <c r="BI393" s="518"/>
      <c r="BJ393" s="65"/>
      <c r="BK393" s="81">
        <f t="shared" si="499"/>
        <v>0</v>
      </c>
      <c r="BL393" s="65"/>
      <c r="BM393" s="204"/>
      <c r="BN393" s="156">
        <f>IF(B393&lt;&gt;"",_xlfn.XLOOKUP(B393,'Cronog. e Histog.'!B:B,'Cronog. e Histog.'!EK:EK),0)</f>
        <v>0</v>
      </c>
      <c r="BO393" s="109">
        <f>($O393/Dashboard!$D$15)*(1+Dashboard!$D$19)</f>
        <v>28.744834710743799</v>
      </c>
      <c r="BP393" s="84">
        <f t="shared" si="514"/>
        <v>0</v>
      </c>
      <c r="BQ393" s="65"/>
      <c r="BR393" s="204"/>
      <c r="BS393" s="156">
        <f>IF(B393&lt;&gt;"",_xlfn.XLOOKUP(B393,'Cronog. e Histog.'!B:B,'Cronog. e Histog.'!EL:EL),0)</f>
        <v>0</v>
      </c>
      <c r="BT393" s="109">
        <f>($O393/Dashboard!$D$15)*(1+Dashboard!$D$20)</f>
        <v>33.535640495867767</v>
      </c>
      <c r="BU393" s="84">
        <f t="shared" si="515"/>
        <v>0</v>
      </c>
      <c r="BV393" s="65"/>
      <c r="BW393" s="204"/>
      <c r="BX393" s="156">
        <f>IF(B393&lt;&gt;"",_xlfn.XLOOKUP(B393,'Cronog. e Histog.'!B:B,'Cronog. e Histog.'!EM:EM),0)</f>
        <v>0</v>
      </c>
      <c r="BY393" s="109">
        <f>($O393/Dashboard!$D$15)*(1+Dashboard!$D$21)</f>
        <v>38.326446280991732</v>
      </c>
      <c r="BZ393" s="84">
        <f t="shared" si="516"/>
        <v>0</v>
      </c>
    </row>
    <row r="394" spans="2:78" ht="12" customHeight="1" outlineLevel="1">
      <c r="B394" s="137" t="str">
        <f>'Cronog. e Histog.'!B537</f>
        <v>TEC III - Equipe_01</v>
      </c>
      <c r="C394" s="65"/>
      <c r="D394" s="200">
        <f t="shared" si="482"/>
        <v>0</v>
      </c>
      <c r="E394" s="200">
        <f t="shared" si="483"/>
        <v>0</v>
      </c>
      <c r="F394" s="65"/>
      <c r="G394" s="200">
        <f t="shared" si="484"/>
        <v>0</v>
      </c>
      <c r="H394" s="200">
        <f t="shared" si="485"/>
        <v>0</v>
      </c>
      <c r="I394" s="65"/>
      <c r="J394" s="143" t="str">
        <f>IF('Cronog. e Histog.'!G537&gt;0,'Cronog. e Histog.'!G537,"")</f>
        <v>TEC III</v>
      </c>
      <c r="K394" s="65"/>
      <c r="L394" s="144">
        <f>'Cronog. e Histog.'!BT537</f>
        <v>0</v>
      </c>
      <c r="M394" s="144">
        <f>'Cronog. e Histog.'!BU537</f>
        <v>0</v>
      </c>
      <c r="N394" s="65"/>
      <c r="O394" s="109">
        <f>_xlfn.XLOOKUP(B394,Salários!B:B,Salários!K:K)</f>
        <v>6360</v>
      </c>
      <c r="P394" s="109">
        <f t="shared" si="500"/>
        <v>0</v>
      </c>
      <c r="Q394" s="109">
        <f t="shared" si="501"/>
        <v>0</v>
      </c>
      <c r="R394" s="65"/>
      <c r="S394" s="109">
        <f t="shared" si="502"/>
        <v>6360</v>
      </c>
      <c r="T394" s="201" t="str">
        <f>IF(_xlfn.XLOOKUP(B394,Salários!B:B,Salários!I:I)&gt;0,_xlfn.XLOOKUP(B394,Salários!B:B,Salários!I:I),"")</f>
        <v>Mensalista</v>
      </c>
      <c r="U394" s="117">
        <f t="shared" si="503"/>
        <v>0</v>
      </c>
      <c r="V394" s="65"/>
      <c r="W394" s="202"/>
      <c r="X394" s="65"/>
      <c r="Y394" s="69"/>
      <c r="Z394" s="65"/>
      <c r="AA394" s="518"/>
      <c r="AB394" s="65"/>
      <c r="AC394" s="81">
        <f t="shared" si="490"/>
        <v>0</v>
      </c>
      <c r="AD394" s="65"/>
      <c r="AE394" s="112"/>
      <c r="AF394" s="203">
        <v>0.3</v>
      </c>
      <c r="AG394" s="109">
        <f t="shared" si="44"/>
        <v>6360</v>
      </c>
      <c r="AH394" s="84">
        <f t="shared" si="491"/>
        <v>0</v>
      </c>
      <c r="AI394" s="65"/>
      <c r="AJ394" s="112"/>
      <c r="AK394" s="122"/>
      <c r="AL394" s="109">
        <v>1212</v>
      </c>
      <c r="AM394" s="84">
        <f t="shared" si="492"/>
        <v>0</v>
      </c>
      <c r="AN394" s="65"/>
      <c r="AO394" s="112"/>
      <c r="AP394" s="204"/>
      <c r="AQ394" s="109">
        <f>IFERROR((O394+AH394+AM394)/Dashboard!$D$15,0)*0.2</f>
        <v>6.5702479338842963</v>
      </c>
      <c r="AR394" s="84">
        <f t="shared" si="493"/>
        <v>0</v>
      </c>
      <c r="AS394" s="65"/>
      <c r="AT394" s="112"/>
      <c r="AU394" s="203">
        <v>0.33</v>
      </c>
      <c r="AV394" s="109">
        <f t="shared" si="494"/>
        <v>6360</v>
      </c>
      <c r="AW394" s="84">
        <f t="shared" si="495"/>
        <v>0</v>
      </c>
      <c r="AX394" s="65"/>
      <c r="AY394" s="112"/>
      <c r="AZ394" s="203">
        <v>0.25</v>
      </c>
      <c r="BA394" s="109">
        <f t="shared" si="50"/>
        <v>6360</v>
      </c>
      <c r="BB394" s="84">
        <f t="shared" si="496"/>
        <v>0</v>
      </c>
      <c r="BC394" s="65"/>
      <c r="BD394" s="112"/>
      <c r="BE394" s="203">
        <v>0.26</v>
      </c>
      <c r="BF394" s="109">
        <f t="shared" si="497"/>
        <v>6360</v>
      </c>
      <c r="BG394" s="84">
        <f t="shared" si="498"/>
        <v>0</v>
      </c>
      <c r="BH394" s="197"/>
      <c r="BI394" s="518"/>
      <c r="BJ394" s="65"/>
      <c r="BK394" s="81">
        <f t="shared" si="499"/>
        <v>0</v>
      </c>
      <c r="BL394" s="65"/>
      <c r="BM394" s="204"/>
      <c r="BN394" s="156">
        <f>IF(B394&lt;&gt;"",_xlfn.XLOOKUP(B394,'Cronog. e Histog.'!B:B,'Cronog. e Histog.'!EK:EK),0)</f>
        <v>0</v>
      </c>
      <c r="BO394" s="109">
        <f>($O394/Dashboard!$D$15)*(1+Dashboard!$D$19)</f>
        <v>49.276859504132219</v>
      </c>
      <c r="BP394" s="84">
        <f t="shared" si="514"/>
        <v>0</v>
      </c>
      <c r="BQ394" s="65"/>
      <c r="BR394" s="204"/>
      <c r="BS394" s="156">
        <f>IF(B394&lt;&gt;"",_xlfn.XLOOKUP(B394,'Cronog. e Histog.'!B:B,'Cronog. e Histog.'!EL:EL),0)</f>
        <v>0</v>
      </c>
      <c r="BT394" s="109">
        <f>($O394/Dashboard!$D$15)*(1+Dashboard!$D$20)</f>
        <v>57.489669421487591</v>
      </c>
      <c r="BU394" s="84">
        <f t="shared" si="515"/>
        <v>0</v>
      </c>
      <c r="BV394" s="65"/>
      <c r="BW394" s="204"/>
      <c r="BX394" s="156">
        <f>IF(B394&lt;&gt;"",_xlfn.XLOOKUP(B394,'Cronog. e Histog.'!B:B,'Cronog. e Histog.'!EM:EM),0)</f>
        <v>0</v>
      </c>
      <c r="BY394" s="109">
        <f>($O394/Dashboard!$D$15)*(1+Dashboard!$D$21)</f>
        <v>65.702479338842963</v>
      </c>
      <c r="BZ394" s="84">
        <f t="shared" si="516"/>
        <v>0</v>
      </c>
    </row>
    <row r="395" spans="2:78" ht="12" customHeight="1" outlineLevel="1">
      <c r="B395" s="137" t="str">
        <f>'Cronog. e Histog.'!B538</f>
        <v>TEC II - Equipe_01</v>
      </c>
      <c r="C395" s="65"/>
      <c r="D395" s="200">
        <f t="shared" si="482"/>
        <v>0</v>
      </c>
      <c r="E395" s="200">
        <f t="shared" si="483"/>
        <v>0</v>
      </c>
      <c r="F395" s="65"/>
      <c r="G395" s="200">
        <f t="shared" si="484"/>
        <v>0</v>
      </c>
      <c r="H395" s="200">
        <f t="shared" si="485"/>
        <v>0</v>
      </c>
      <c r="I395" s="65"/>
      <c r="J395" s="143" t="str">
        <f>IF('Cronog. e Histog.'!G538&gt;0,'Cronog. e Histog.'!G538,"")</f>
        <v>TEC II</v>
      </c>
      <c r="K395" s="65"/>
      <c r="L395" s="144">
        <f>'Cronog. e Histog.'!BT538</f>
        <v>0</v>
      </c>
      <c r="M395" s="144">
        <f>'Cronog. e Histog.'!BU538</f>
        <v>0</v>
      </c>
      <c r="N395" s="65"/>
      <c r="O395" s="109">
        <f>_xlfn.XLOOKUP(B395,Salários!B:B,Salários!K:K)</f>
        <v>4770</v>
      </c>
      <c r="P395" s="109">
        <f t="shared" si="500"/>
        <v>0</v>
      </c>
      <c r="Q395" s="109">
        <f t="shared" si="501"/>
        <v>0</v>
      </c>
      <c r="R395" s="65"/>
      <c r="S395" s="109">
        <f t="shared" si="502"/>
        <v>4770</v>
      </c>
      <c r="T395" s="201" t="str">
        <f>IF(_xlfn.XLOOKUP(B395,Salários!B:B,Salários!I:I)&gt;0,_xlfn.XLOOKUP(B395,Salários!B:B,Salários!I:I),"")</f>
        <v>Mensalista</v>
      </c>
      <c r="U395" s="117">
        <f t="shared" si="503"/>
        <v>0</v>
      </c>
      <c r="V395" s="65"/>
      <c r="W395" s="202"/>
      <c r="X395" s="65"/>
      <c r="Y395" s="69"/>
      <c r="Z395" s="65"/>
      <c r="AA395" s="518"/>
      <c r="AB395" s="65"/>
      <c r="AC395" s="81">
        <f t="shared" si="490"/>
        <v>0</v>
      </c>
      <c r="AD395" s="65"/>
      <c r="AE395" s="112"/>
      <c r="AF395" s="203">
        <v>0.3</v>
      </c>
      <c r="AG395" s="109">
        <f t="shared" si="44"/>
        <v>4770</v>
      </c>
      <c r="AH395" s="84">
        <f t="shared" si="491"/>
        <v>0</v>
      </c>
      <c r="AI395" s="65"/>
      <c r="AJ395" s="112"/>
      <c r="AK395" s="122"/>
      <c r="AL395" s="109">
        <v>1212</v>
      </c>
      <c r="AM395" s="84">
        <f t="shared" si="492"/>
        <v>0</v>
      </c>
      <c r="AN395" s="65"/>
      <c r="AO395" s="112"/>
      <c r="AP395" s="204"/>
      <c r="AQ395" s="109">
        <f>IFERROR((O395+AH395+AM395)/Dashboard!$D$15,0)*0.2</f>
        <v>4.9276859504132231</v>
      </c>
      <c r="AR395" s="84">
        <f t="shared" si="493"/>
        <v>0</v>
      </c>
      <c r="AS395" s="65"/>
      <c r="AT395" s="112"/>
      <c r="AU395" s="203">
        <v>0.33</v>
      </c>
      <c r="AV395" s="109">
        <f t="shared" si="494"/>
        <v>4770</v>
      </c>
      <c r="AW395" s="84">
        <f t="shared" si="495"/>
        <v>0</v>
      </c>
      <c r="AX395" s="65"/>
      <c r="AY395" s="112"/>
      <c r="AZ395" s="203">
        <v>0.25</v>
      </c>
      <c r="BA395" s="109">
        <f t="shared" si="50"/>
        <v>4770</v>
      </c>
      <c r="BB395" s="84">
        <f t="shared" si="496"/>
        <v>0</v>
      </c>
      <c r="BC395" s="65"/>
      <c r="BD395" s="112"/>
      <c r="BE395" s="203">
        <v>0.26</v>
      </c>
      <c r="BF395" s="109">
        <f t="shared" si="497"/>
        <v>4770</v>
      </c>
      <c r="BG395" s="84">
        <f t="shared" si="498"/>
        <v>0</v>
      </c>
      <c r="BH395" s="197"/>
      <c r="BI395" s="518"/>
      <c r="BJ395" s="65"/>
      <c r="BK395" s="81">
        <f t="shared" si="499"/>
        <v>0</v>
      </c>
      <c r="BL395" s="65"/>
      <c r="BM395" s="204"/>
      <c r="BN395" s="156">
        <f>IF(B395&lt;&gt;"",_xlfn.XLOOKUP(B395,'Cronog. e Histog.'!B:B,'Cronog. e Histog.'!EK:EK),0)</f>
        <v>0</v>
      </c>
      <c r="BO395" s="109">
        <f>($O395/Dashboard!$D$15)*(1+Dashboard!$D$19)</f>
        <v>36.957644628099168</v>
      </c>
      <c r="BP395" s="84">
        <f t="shared" si="514"/>
        <v>0</v>
      </c>
      <c r="BQ395" s="65"/>
      <c r="BR395" s="204"/>
      <c r="BS395" s="156">
        <f>IF(B395&lt;&gt;"",_xlfn.XLOOKUP(B395,'Cronog. e Histog.'!B:B,'Cronog. e Histog.'!EL:EL),0)</f>
        <v>0</v>
      </c>
      <c r="BT395" s="109">
        <f>($O395/Dashboard!$D$15)*(1+Dashboard!$D$20)</f>
        <v>43.117252066115697</v>
      </c>
      <c r="BU395" s="84">
        <f t="shared" si="515"/>
        <v>0</v>
      </c>
      <c r="BV395" s="65"/>
      <c r="BW395" s="204"/>
      <c r="BX395" s="156">
        <f>IF(B395&lt;&gt;"",_xlfn.XLOOKUP(B395,'Cronog. e Histog.'!B:B,'Cronog. e Histog.'!EM:EM),0)</f>
        <v>0</v>
      </c>
      <c r="BY395" s="109">
        <f>($O395/Dashboard!$D$15)*(1+Dashboard!$D$21)</f>
        <v>49.276859504132226</v>
      </c>
      <c r="BZ395" s="84">
        <f t="shared" si="516"/>
        <v>0</v>
      </c>
    </row>
    <row r="396" spans="2:78" ht="12" customHeight="1" outlineLevel="1">
      <c r="B396" s="137" t="str">
        <f>'Cronog. e Histog.'!B539</f>
        <v>TEC I - Equipe_01</v>
      </c>
      <c r="C396" s="65"/>
      <c r="D396" s="200">
        <f t="shared" si="482"/>
        <v>0</v>
      </c>
      <c r="E396" s="200">
        <f t="shared" si="483"/>
        <v>0</v>
      </c>
      <c r="F396" s="65"/>
      <c r="G396" s="200">
        <f t="shared" si="484"/>
        <v>0</v>
      </c>
      <c r="H396" s="200">
        <f t="shared" si="485"/>
        <v>0</v>
      </c>
      <c r="I396" s="65"/>
      <c r="J396" s="143" t="str">
        <f>IF('Cronog. e Histog.'!G539&gt;0,'Cronog. e Histog.'!G539,"")</f>
        <v>TEC I</v>
      </c>
      <c r="K396" s="65"/>
      <c r="L396" s="144">
        <f>'Cronog. e Histog.'!BT539</f>
        <v>0</v>
      </c>
      <c r="M396" s="144">
        <f>'Cronog. e Histog.'!BU539</f>
        <v>0</v>
      </c>
      <c r="N396" s="65"/>
      <c r="O396" s="109">
        <f>_xlfn.XLOOKUP(B396,Salários!B:B,Salários!K:K)</f>
        <v>3180</v>
      </c>
      <c r="P396" s="109">
        <f t="shared" si="500"/>
        <v>0</v>
      </c>
      <c r="Q396" s="109">
        <f t="shared" si="501"/>
        <v>0</v>
      </c>
      <c r="R396" s="65"/>
      <c r="S396" s="109">
        <f t="shared" si="502"/>
        <v>3180</v>
      </c>
      <c r="T396" s="201" t="str">
        <f>IF(_xlfn.XLOOKUP(B396,Salários!B:B,Salários!I:I)&gt;0,_xlfn.XLOOKUP(B396,Salários!B:B,Salários!I:I),"")</f>
        <v>Mensalista</v>
      </c>
      <c r="U396" s="117">
        <f t="shared" si="503"/>
        <v>0</v>
      </c>
      <c r="V396" s="65"/>
      <c r="W396" s="202"/>
      <c r="X396" s="65"/>
      <c r="Y396" s="69"/>
      <c r="Z396" s="65"/>
      <c r="AA396" s="518"/>
      <c r="AB396" s="65"/>
      <c r="AC396" s="81">
        <f t="shared" si="490"/>
        <v>0</v>
      </c>
      <c r="AD396" s="65"/>
      <c r="AE396" s="112"/>
      <c r="AF396" s="203">
        <v>0.3</v>
      </c>
      <c r="AG396" s="109">
        <f t="shared" si="44"/>
        <v>3180</v>
      </c>
      <c r="AH396" s="84">
        <f t="shared" si="491"/>
        <v>0</v>
      </c>
      <c r="AI396" s="65"/>
      <c r="AJ396" s="112"/>
      <c r="AK396" s="122"/>
      <c r="AL396" s="109">
        <v>1212</v>
      </c>
      <c r="AM396" s="84">
        <f t="shared" si="492"/>
        <v>0</v>
      </c>
      <c r="AN396" s="65"/>
      <c r="AO396" s="112"/>
      <c r="AP396" s="204"/>
      <c r="AQ396" s="109">
        <f>IFERROR((O396+AH396+AM396)/Dashboard!$D$15,0)*0.2</f>
        <v>3.2851239669421481</v>
      </c>
      <c r="AR396" s="84">
        <f t="shared" si="493"/>
        <v>0</v>
      </c>
      <c r="AS396" s="65"/>
      <c r="AT396" s="112"/>
      <c r="AU396" s="203">
        <v>0.33</v>
      </c>
      <c r="AV396" s="109">
        <f t="shared" si="494"/>
        <v>3180</v>
      </c>
      <c r="AW396" s="84">
        <f t="shared" si="495"/>
        <v>0</v>
      </c>
      <c r="AX396" s="65"/>
      <c r="AY396" s="112"/>
      <c r="AZ396" s="203">
        <v>0.25</v>
      </c>
      <c r="BA396" s="109">
        <f t="shared" si="50"/>
        <v>3180</v>
      </c>
      <c r="BB396" s="84">
        <f t="shared" si="496"/>
        <v>0</v>
      </c>
      <c r="BC396" s="65"/>
      <c r="BD396" s="112"/>
      <c r="BE396" s="203">
        <v>0.26</v>
      </c>
      <c r="BF396" s="109">
        <f t="shared" si="497"/>
        <v>3180</v>
      </c>
      <c r="BG396" s="84">
        <f t="shared" si="498"/>
        <v>0</v>
      </c>
      <c r="BH396" s="197"/>
      <c r="BI396" s="518"/>
      <c r="BJ396" s="65"/>
      <c r="BK396" s="81">
        <f t="shared" si="499"/>
        <v>0</v>
      </c>
      <c r="BL396" s="65"/>
      <c r="BM396" s="204"/>
      <c r="BN396" s="156">
        <f>IF(B396&lt;&gt;"",_xlfn.XLOOKUP(B396,'Cronog. e Histog.'!B:B,'Cronog. e Histog.'!EK:EK),0)</f>
        <v>0</v>
      </c>
      <c r="BO396" s="109">
        <f>($O396/Dashboard!$D$15)*(1+Dashboard!$D$19)</f>
        <v>24.638429752066109</v>
      </c>
      <c r="BP396" s="84">
        <f t="shared" si="514"/>
        <v>0</v>
      </c>
      <c r="BQ396" s="65"/>
      <c r="BR396" s="204"/>
      <c r="BS396" s="156">
        <f>IF(B396&lt;&gt;"",_xlfn.XLOOKUP(B396,'Cronog. e Histog.'!B:B,'Cronog. e Histog.'!EL:EL),0)</f>
        <v>0</v>
      </c>
      <c r="BT396" s="109">
        <f>($O396/Dashboard!$D$15)*(1+Dashboard!$D$20)</f>
        <v>28.744834710743795</v>
      </c>
      <c r="BU396" s="84">
        <f t="shared" si="515"/>
        <v>0</v>
      </c>
      <c r="BV396" s="65"/>
      <c r="BW396" s="204"/>
      <c r="BX396" s="156">
        <f>IF(B396&lt;&gt;"",_xlfn.XLOOKUP(B396,'Cronog. e Histog.'!B:B,'Cronog. e Histog.'!EM:EM),0)</f>
        <v>0</v>
      </c>
      <c r="BY396" s="109">
        <f>($O396/Dashboard!$D$15)*(1+Dashboard!$D$21)</f>
        <v>32.851239669421481</v>
      </c>
      <c r="BZ396" s="84">
        <f t="shared" si="516"/>
        <v>0</v>
      </c>
    </row>
    <row r="397" spans="2:78" ht="12" customHeight="1" outlineLevel="1">
      <c r="B397" s="137" t="str">
        <f>'Cronog. e Histog.'!B540</f>
        <v>AUX TEC - Equipe_01</v>
      </c>
      <c r="C397" s="65"/>
      <c r="D397" s="200">
        <f t="shared" si="482"/>
        <v>0</v>
      </c>
      <c r="E397" s="200">
        <f t="shared" si="483"/>
        <v>0</v>
      </c>
      <c r="F397" s="65"/>
      <c r="G397" s="200">
        <f t="shared" si="484"/>
        <v>0</v>
      </c>
      <c r="H397" s="200">
        <f t="shared" si="485"/>
        <v>0</v>
      </c>
      <c r="I397" s="65"/>
      <c r="J397" s="143" t="str">
        <f>IF('Cronog. e Histog.'!G540&gt;0,'Cronog. e Histog.'!G540,"")</f>
        <v>AUX TEC</v>
      </c>
      <c r="K397" s="65"/>
      <c r="L397" s="144">
        <f>'Cronog. e Histog.'!BT540</f>
        <v>0</v>
      </c>
      <c r="M397" s="144">
        <f>'Cronog. e Histog.'!BU540</f>
        <v>0</v>
      </c>
      <c r="N397" s="65"/>
      <c r="O397" s="109">
        <f>_xlfn.XLOOKUP(B397,Salários!B:B,Salários!K:K)</f>
        <v>3710</v>
      </c>
      <c r="P397" s="109">
        <f t="shared" si="500"/>
        <v>0</v>
      </c>
      <c r="Q397" s="109">
        <f t="shared" si="501"/>
        <v>0</v>
      </c>
      <c r="R397" s="65"/>
      <c r="S397" s="109">
        <f t="shared" si="502"/>
        <v>3710</v>
      </c>
      <c r="T397" s="201" t="str">
        <f>IF(_xlfn.XLOOKUP(B397,Salários!B:B,Salários!I:I)&gt;0,_xlfn.XLOOKUP(B397,Salários!B:B,Salários!I:I),"")</f>
        <v>Mensalista</v>
      </c>
      <c r="U397" s="117">
        <f t="shared" si="503"/>
        <v>0</v>
      </c>
      <c r="V397" s="65"/>
      <c r="W397" s="202"/>
      <c r="X397" s="65"/>
      <c r="Y397" s="69"/>
      <c r="Z397" s="65"/>
      <c r="AA397" s="518"/>
      <c r="AB397" s="65"/>
      <c r="AC397" s="81">
        <f t="shared" si="490"/>
        <v>0</v>
      </c>
      <c r="AD397" s="65"/>
      <c r="AE397" s="112"/>
      <c r="AF397" s="203">
        <v>0.3</v>
      </c>
      <c r="AG397" s="109">
        <f t="shared" si="44"/>
        <v>3710</v>
      </c>
      <c r="AH397" s="84">
        <f t="shared" si="491"/>
        <v>0</v>
      </c>
      <c r="AI397" s="65"/>
      <c r="AJ397" s="112"/>
      <c r="AK397" s="122"/>
      <c r="AL397" s="109">
        <v>1212</v>
      </c>
      <c r="AM397" s="84">
        <f t="shared" si="492"/>
        <v>0</v>
      </c>
      <c r="AN397" s="65"/>
      <c r="AO397" s="112"/>
      <c r="AP397" s="204"/>
      <c r="AQ397" s="109">
        <f>IFERROR((O397+AH397+AM397)/Dashboard!$D$15,0)*0.2</f>
        <v>3.8326446280991733</v>
      </c>
      <c r="AR397" s="84">
        <f t="shared" si="493"/>
        <v>0</v>
      </c>
      <c r="AS397" s="65"/>
      <c r="AT397" s="112"/>
      <c r="AU397" s="203">
        <v>0.33</v>
      </c>
      <c r="AV397" s="109">
        <f t="shared" si="494"/>
        <v>3710</v>
      </c>
      <c r="AW397" s="84">
        <f t="shared" si="495"/>
        <v>0</v>
      </c>
      <c r="AX397" s="65"/>
      <c r="AY397" s="112"/>
      <c r="AZ397" s="203">
        <v>0.25</v>
      </c>
      <c r="BA397" s="109">
        <f t="shared" si="50"/>
        <v>3710</v>
      </c>
      <c r="BB397" s="84">
        <f t="shared" si="496"/>
        <v>0</v>
      </c>
      <c r="BC397" s="65"/>
      <c r="BD397" s="112"/>
      <c r="BE397" s="203">
        <v>0.26</v>
      </c>
      <c r="BF397" s="109">
        <f t="shared" si="497"/>
        <v>3710</v>
      </c>
      <c r="BG397" s="84">
        <f t="shared" si="498"/>
        <v>0</v>
      </c>
      <c r="BH397" s="197"/>
      <c r="BI397" s="518"/>
      <c r="BJ397" s="65"/>
      <c r="BK397" s="81">
        <f t="shared" si="499"/>
        <v>0</v>
      </c>
      <c r="BL397" s="65"/>
      <c r="BM397" s="204"/>
      <c r="BN397" s="156">
        <f>IF(B397&lt;&gt;"",_xlfn.XLOOKUP(B397,'Cronog. e Histog.'!B:B,'Cronog. e Histog.'!EK:EK),0)</f>
        <v>0</v>
      </c>
      <c r="BO397" s="109">
        <f>($O397/Dashboard!$D$15)*(1+Dashboard!$D$19)</f>
        <v>28.744834710743799</v>
      </c>
      <c r="BP397" s="84">
        <f t="shared" si="514"/>
        <v>0</v>
      </c>
      <c r="BQ397" s="65"/>
      <c r="BR397" s="204"/>
      <c r="BS397" s="156">
        <f>IF(B397&lt;&gt;"",_xlfn.XLOOKUP(B397,'Cronog. e Histog.'!B:B,'Cronog. e Histog.'!EL:EL),0)</f>
        <v>0</v>
      </c>
      <c r="BT397" s="109">
        <f>($O397/Dashboard!$D$15)*(1+Dashboard!$D$20)</f>
        <v>33.535640495867767</v>
      </c>
      <c r="BU397" s="84">
        <f t="shared" si="515"/>
        <v>0</v>
      </c>
      <c r="BV397" s="65"/>
      <c r="BW397" s="204"/>
      <c r="BX397" s="156">
        <f>IF(B397&lt;&gt;"",_xlfn.XLOOKUP(B397,'Cronog. e Histog.'!B:B,'Cronog. e Histog.'!EM:EM),0)</f>
        <v>0</v>
      </c>
      <c r="BY397" s="109">
        <f>($O397/Dashboard!$D$15)*(1+Dashboard!$D$21)</f>
        <v>38.326446280991732</v>
      </c>
      <c r="BZ397" s="84">
        <f t="shared" si="516"/>
        <v>0</v>
      </c>
    </row>
    <row r="398" spans="2:78" ht="12" customHeight="1" outlineLevel="1">
      <c r="B398" s="137" t="str">
        <f>'Cronog. e Histog.'!B541</f>
        <v>AUX ADM - Equipe_01</v>
      </c>
      <c r="C398" s="65"/>
      <c r="D398" s="200">
        <f t="shared" si="482"/>
        <v>0</v>
      </c>
      <c r="E398" s="200">
        <f t="shared" si="483"/>
        <v>0</v>
      </c>
      <c r="F398" s="65"/>
      <c r="G398" s="200">
        <f t="shared" si="484"/>
        <v>0</v>
      </c>
      <c r="H398" s="200">
        <f t="shared" si="485"/>
        <v>0</v>
      </c>
      <c r="I398" s="65"/>
      <c r="J398" s="143" t="str">
        <f>IF('Cronog. e Histog.'!G541&gt;0,'Cronog. e Histog.'!G541,"")</f>
        <v>AUX ADM</v>
      </c>
      <c r="K398" s="65"/>
      <c r="L398" s="144">
        <f>'Cronog. e Histog.'!BT541</f>
        <v>0</v>
      </c>
      <c r="M398" s="144">
        <f>'Cronog. e Histog.'!BU541</f>
        <v>0</v>
      </c>
      <c r="N398" s="65"/>
      <c r="O398" s="109">
        <f>_xlfn.XLOOKUP(B398,Salários!B:B,Salários!K:K)</f>
        <v>1912.24</v>
      </c>
      <c r="P398" s="109">
        <f t="shared" si="500"/>
        <v>0</v>
      </c>
      <c r="Q398" s="109">
        <f t="shared" si="501"/>
        <v>0</v>
      </c>
      <c r="R398" s="65"/>
      <c r="S398" s="109">
        <f t="shared" si="502"/>
        <v>1912.24</v>
      </c>
      <c r="T398" s="201" t="str">
        <f>IF(_xlfn.XLOOKUP(B398,Salários!B:B,Salários!I:I)&gt;0,_xlfn.XLOOKUP(B398,Salários!B:B,Salários!I:I),"")</f>
        <v>Mensalista</v>
      </c>
      <c r="U398" s="117">
        <f t="shared" si="503"/>
        <v>0</v>
      </c>
      <c r="V398" s="65"/>
      <c r="W398" s="202"/>
      <c r="X398" s="65"/>
      <c r="Y398" s="69"/>
      <c r="Z398" s="65"/>
      <c r="AA398" s="518"/>
      <c r="AB398" s="65"/>
      <c r="AC398" s="81">
        <f t="shared" si="490"/>
        <v>0</v>
      </c>
      <c r="AD398" s="65"/>
      <c r="AE398" s="112"/>
      <c r="AF398" s="203">
        <v>0.3</v>
      </c>
      <c r="AG398" s="109">
        <f t="shared" si="44"/>
        <v>1912.24</v>
      </c>
      <c r="AH398" s="84">
        <f t="shared" si="491"/>
        <v>0</v>
      </c>
      <c r="AI398" s="65"/>
      <c r="AJ398" s="112"/>
      <c r="AK398" s="122"/>
      <c r="AL398" s="109">
        <v>1212</v>
      </c>
      <c r="AM398" s="84">
        <f t="shared" si="492"/>
        <v>0</v>
      </c>
      <c r="AN398" s="65"/>
      <c r="AO398" s="112"/>
      <c r="AP398" s="204"/>
      <c r="AQ398" s="109">
        <f>IFERROR((O398+AH398+AM398)/Dashboard!$D$15,0)*0.2</f>
        <v>1.9754545454545456</v>
      </c>
      <c r="AR398" s="84">
        <f t="shared" si="493"/>
        <v>0</v>
      </c>
      <c r="AS398" s="65"/>
      <c r="AT398" s="112"/>
      <c r="AU398" s="203">
        <v>0.33</v>
      </c>
      <c r="AV398" s="109">
        <f t="shared" si="494"/>
        <v>1912.24</v>
      </c>
      <c r="AW398" s="84">
        <f t="shared" si="495"/>
        <v>0</v>
      </c>
      <c r="AX398" s="65"/>
      <c r="AY398" s="112"/>
      <c r="AZ398" s="203">
        <v>0.25</v>
      </c>
      <c r="BA398" s="109">
        <f t="shared" si="50"/>
        <v>1912.24</v>
      </c>
      <c r="BB398" s="84">
        <f t="shared" si="496"/>
        <v>0</v>
      </c>
      <c r="BC398" s="65"/>
      <c r="BD398" s="112"/>
      <c r="BE398" s="203">
        <v>0.26</v>
      </c>
      <c r="BF398" s="109">
        <f t="shared" si="497"/>
        <v>1912.24</v>
      </c>
      <c r="BG398" s="84">
        <f t="shared" si="498"/>
        <v>0</v>
      </c>
      <c r="BH398" s="197"/>
      <c r="BI398" s="518"/>
      <c r="BJ398" s="65"/>
      <c r="BK398" s="81">
        <f t="shared" si="499"/>
        <v>0</v>
      </c>
      <c r="BL398" s="65"/>
      <c r="BM398" s="204"/>
      <c r="BN398" s="156">
        <f>IF(B398&lt;&gt;"",_xlfn.XLOOKUP(B398,'Cronog. e Histog.'!B:B,'Cronog. e Histog.'!EK:EK),0)</f>
        <v>0</v>
      </c>
      <c r="BO398" s="109">
        <f>($O398/Dashboard!$D$15)*(1+Dashboard!$D$19)</f>
        <v>14.815909090909091</v>
      </c>
      <c r="BP398" s="84">
        <f t="shared" si="514"/>
        <v>0</v>
      </c>
      <c r="BQ398" s="65"/>
      <c r="BR398" s="204"/>
      <c r="BS398" s="156">
        <f>IF(B398&lt;&gt;"",_xlfn.XLOOKUP(B398,'Cronog. e Histog.'!B:B,'Cronog. e Histog.'!EL:EL),0)</f>
        <v>0</v>
      </c>
      <c r="BT398" s="109">
        <f>($O398/Dashboard!$D$15)*(1+Dashboard!$D$20)</f>
        <v>17.285227272727273</v>
      </c>
      <c r="BU398" s="84">
        <f t="shared" si="515"/>
        <v>0</v>
      </c>
      <c r="BV398" s="65"/>
      <c r="BW398" s="204"/>
      <c r="BX398" s="156">
        <f>IF(B398&lt;&gt;"",_xlfn.XLOOKUP(B398,'Cronog. e Histog.'!B:B,'Cronog. e Histog.'!EM:EM),0)</f>
        <v>0</v>
      </c>
      <c r="BY398" s="109">
        <f>($O398/Dashboard!$D$15)*(1+Dashboard!$D$21)</f>
        <v>19.754545454545454</v>
      </c>
      <c r="BZ398" s="84">
        <f t="shared" si="516"/>
        <v>0</v>
      </c>
    </row>
    <row r="399" spans="2:78" ht="12" customHeight="1" outlineLevel="1">
      <c r="B399" s="137" t="str">
        <f>'Cronog. e Histog.'!B542</f>
        <v>EST - Equipe_01</v>
      </c>
      <c r="C399" s="65"/>
      <c r="D399" s="200">
        <f t="shared" si="482"/>
        <v>0</v>
      </c>
      <c r="E399" s="200">
        <f t="shared" si="483"/>
        <v>0</v>
      </c>
      <c r="F399" s="65"/>
      <c r="G399" s="200">
        <f t="shared" si="484"/>
        <v>0</v>
      </c>
      <c r="H399" s="200">
        <f t="shared" si="485"/>
        <v>0</v>
      </c>
      <c r="I399" s="65"/>
      <c r="J399" s="143" t="str">
        <f>IF('Cronog. e Histog.'!G542&gt;0,'Cronog. e Histog.'!G542,"")</f>
        <v>EST</v>
      </c>
      <c r="K399" s="65"/>
      <c r="L399" s="144">
        <f>'Cronog. e Histog.'!BT542</f>
        <v>0</v>
      </c>
      <c r="M399" s="144">
        <f>'Cronog. e Histog.'!BU542</f>
        <v>0</v>
      </c>
      <c r="N399" s="65"/>
      <c r="O399" s="109">
        <f>_xlfn.XLOOKUP(B399,Salários!B:B,Salários!K:K)</f>
        <v>1633</v>
      </c>
      <c r="P399" s="109">
        <f t="shared" si="500"/>
        <v>0</v>
      </c>
      <c r="Q399" s="109">
        <f t="shared" si="501"/>
        <v>0</v>
      </c>
      <c r="R399" s="65"/>
      <c r="S399" s="109">
        <f t="shared" si="502"/>
        <v>1633</v>
      </c>
      <c r="T399" s="201" t="str">
        <f>IF(_xlfn.XLOOKUP(B399,Salários!B:B,Salários!I:I)&gt;0,_xlfn.XLOOKUP(B399,Salários!B:B,Salários!I:I),"")</f>
        <v>PJ</v>
      </c>
      <c r="U399" s="117">
        <f t="shared" si="503"/>
        <v>0</v>
      </c>
      <c r="V399" s="65"/>
      <c r="W399" s="202"/>
      <c r="X399" s="65"/>
      <c r="Y399" s="69"/>
      <c r="Z399" s="65"/>
      <c r="AA399" s="518"/>
      <c r="AB399" s="65"/>
      <c r="AC399" s="81">
        <f t="shared" si="490"/>
        <v>0</v>
      </c>
      <c r="AD399" s="65"/>
      <c r="AE399" s="112"/>
      <c r="AF399" s="203">
        <v>0.3</v>
      </c>
      <c r="AG399" s="109">
        <f t="shared" si="44"/>
        <v>1633</v>
      </c>
      <c r="AH399" s="84">
        <f t="shared" si="491"/>
        <v>0</v>
      </c>
      <c r="AI399" s="65"/>
      <c r="AJ399" s="112"/>
      <c r="AK399" s="122"/>
      <c r="AL399" s="109">
        <v>1212</v>
      </c>
      <c r="AM399" s="84">
        <f t="shared" si="492"/>
        <v>0</v>
      </c>
      <c r="AN399" s="65"/>
      <c r="AO399" s="112"/>
      <c r="AP399" s="204"/>
      <c r="AQ399" s="109">
        <f>IFERROR((O399+AH399+AM399)/Dashboard!$D$15,0)*0.2</f>
        <v>1.6869834710743801</v>
      </c>
      <c r="AR399" s="84">
        <f t="shared" si="493"/>
        <v>0</v>
      </c>
      <c r="AS399" s="65"/>
      <c r="AT399" s="112"/>
      <c r="AU399" s="203">
        <v>0.33</v>
      </c>
      <c r="AV399" s="109">
        <f t="shared" si="494"/>
        <v>1633</v>
      </c>
      <c r="AW399" s="84">
        <f t="shared" si="495"/>
        <v>0</v>
      </c>
      <c r="AX399" s="65"/>
      <c r="AY399" s="112"/>
      <c r="AZ399" s="203">
        <v>0.25</v>
      </c>
      <c r="BA399" s="109">
        <f t="shared" si="50"/>
        <v>1633</v>
      </c>
      <c r="BB399" s="84">
        <f t="shared" si="496"/>
        <v>0</v>
      </c>
      <c r="BC399" s="65"/>
      <c r="BD399" s="112"/>
      <c r="BE399" s="203">
        <v>0.26</v>
      </c>
      <c r="BF399" s="109">
        <f t="shared" si="497"/>
        <v>1633</v>
      </c>
      <c r="BG399" s="84">
        <f t="shared" si="498"/>
        <v>0</v>
      </c>
      <c r="BH399" s="197"/>
      <c r="BI399" s="518"/>
      <c r="BJ399" s="65"/>
      <c r="BK399" s="81">
        <f t="shared" si="499"/>
        <v>0</v>
      </c>
      <c r="BL399" s="65"/>
      <c r="BM399" s="204"/>
      <c r="BN399" s="156">
        <f>IF(B399&lt;&gt;"",_xlfn.XLOOKUP(B399,'Cronog. e Histog.'!B:B,'Cronog. e Histog.'!EK:EK),0)</f>
        <v>0</v>
      </c>
      <c r="BO399" s="109">
        <f>($O399/Dashboard!$D$15)*(1+Dashboard!$D$19)</f>
        <v>12.652376033057848</v>
      </c>
      <c r="BP399" s="84">
        <f t="shared" si="514"/>
        <v>0</v>
      </c>
      <c r="BQ399" s="65"/>
      <c r="BR399" s="204"/>
      <c r="BS399" s="156">
        <f>IF(B399&lt;&gt;"",_xlfn.XLOOKUP(B399,'Cronog. e Histog.'!B:B,'Cronog. e Histog.'!EL:EL),0)</f>
        <v>0</v>
      </c>
      <c r="BT399" s="109">
        <f>($O399/Dashboard!$D$15)*(1+Dashboard!$D$20)</f>
        <v>14.761105371900824</v>
      </c>
      <c r="BU399" s="84">
        <f t="shared" si="515"/>
        <v>0</v>
      </c>
      <c r="BV399" s="65"/>
      <c r="BW399" s="204"/>
      <c r="BX399" s="156">
        <f>IF(B399&lt;&gt;"",_xlfn.XLOOKUP(B399,'Cronog. e Histog.'!B:B,'Cronog. e Histog.'!EM:EM),0)</f>
        <v>0</v>
      </c>
      <c r="BY399" s="109">
        <f>($O399/Dashboard!$D$15)*(1+Dashboard!$D$21)</f>
        <v>16.869834710743799</v>
      </c>
      <c r="BZ399" s="84">
        <f t="shared" si="516"/>
        <v>0</v>
      </c>
    </row>
    <row r="400" spans="2:78" ht="12" customHeight="1" outlineLevel="1">
      <c r="B400" s="137" t="str">
        <f>'Cronog. e Histog.'!B543</f>
        <v>EST_II - Equipe_01</v>
      </c>
      <c r="C400" s="65"/>
      <c r="D400" s="200">
        <f t="shared" si="482"/>
        <v>0</v>
      </c>
      <c r="E400" s="200">
        <f t="shared" si="483"/>
        <v>0</v>
      </c>
      <c r="F400" s="65"/>
      <c r="G400" s="200">
        <f t="shared" si="484"/>
        <v>0</v>
      </c>
      <c r="H400" s="200">
        <f t="shared" si="485"/>
        <v>0</v>
      </c>
      <c r="I400" s="65"/>
      <c r="J400" s="143" t="str">
        <f>IF('Cronog. e Histog.'!G543&gt;0,'Cronog. e Histog.'!G543,"")</f>
        <v>EST_II</v>
      </c>
      <c r="K400" s="65"/>
      <c r="L400" s="144">
        <f>'Cronog. e Histog.'!BT543</f>
        <v>0</v>
      </c>
      <c r="M400" s="144">
        <f>'Cronog. e Histog.'!BU543</f>
        <v>0</v>
      </c>
      <c r="N400" s="65"/>
      <c r="O400" s="109">
        <f>_xlfn.XLOOKUP(B400,Salários!B:B,Salários!K:K)</f>
        <v>1633</v>
      </c>
      <c r="P400" s="109">
        <f t="shared" si="500"/>
        <v>0</v>
      </c>
      <c r="Q400" s="109">
        <f t="shared" si="501"/>
        <v>0</v>
      </c>
      <c r="R400" s="65"/>
      <c r="S400" s="109">
        <f t="shared" si="502"/>
        <v>1633</v>
      </c>
      <c r="T400" s="201" t="str">
        <f>IF(_xlfn.XLOOKUP(B400,Salários!B:B,Salários!I:I)&gt;0,_xlfn.XLOOKUP(B400,Salários!B:B,Salários!I:I),"")</f>
        <v>PJ</v>
      </c>
      <c r="U400" s="117">
        <f t="shared" si="503"/>
        <v>0</v>
      </c>
      <c r="V400" s="65"/>
      <c r="W400" s="202"/>
      <c r="X400" s="65"/>
      <c r="Y400" s="69"/>
      <c r="Z400" s="65"/>
      <c r="AA400" s="518"/>
      <c r="AB400" s="65"/>
      <c r="AC400" s="81">
        <f t="shared" si="490"/>
        <v>0</v>
      </c>
      <c r="AD400" s="65"/>
      <c r="AE400" s="112"/>
      <c r="AF400" s="203">
        <v>0.3</v>
      </c>
      <c r="AG400" s="109">
        <f t="shared" si="44"/>
        <v>1633</v>
      </c>
      <c r="AH400" s="84">
        <f t="shared" si="491"/>
        <v>0</v>
      </c>
      <c r="AI400" s="65"/>
      <c r="AJ400" s="112"/>
      <c r="AK400" s="122"/>
      <c r="AL400" s="109">
        <v>1212</v>
      </c>
      <c r="AM400" s="84">
        <f t="shared" si="492"/>
        <v>0</v>
      </c>
      <c r="AN400" s="65"/>
      <c r="AO400" s="112"/>
      <c r="AP400" s="204"/>
      <c r="AQ400" s="109">
        <f>IFERROR((O400+AH400+AM400)/Dashboard!$D$15,0)*0.2</f>
        <v>1.6869834710743801</v>
      </c>
      <c r="AR400" s="84">
        <f t="shared" si="493"/>
        <v>0</v>
      </c>
      <c r="AS400" s="65"/>
      <c r="AT400" s="112"/>
      <c r="AU400" s="203">
        <v>0.33</v>
      </c>
      <c r="AV400" s="109">
        <f t="shared" si="494"/>
        <v>1633</v>
      </c>
      <c r="AW400" s="84">
        <f t="shared" si="495"/>
        <v>0</v>
      </c>
      <c r="AX400" s="65"/>
      <c r="AY400" s="112"/>
      <c r="AZ400" s="203">
        <v>0.25</v>
      </c>
      <c r="BA400" s="109">
        <f t="shared" si="50"/>
        <v>1633</v>
      </c>
      <c r="BB400" s="84">
        <f t="shared" si="496"/>
        <v>0</v>
      </c>
      <c r="BC400" s="65"/>
      <c r="BD400" s="112"/>
      <c r="BE400" s="203">
        <v>0.26</v>
      </c>
      <c r="BF400" s="109">
        <f t="shared" si="497"/>
        <v>1633</v>
      </c>
      <c r="BG400" s="84">
        <f t="shared" si="498"/>
        <v>0</v>
      </c>
      <c r="BH400" s="197"/>
      <c r="BI400" s="518"/>
      <c r="BJ400" s="65"/>
      <c r="BK400" s="81">
        <f t="shared" si="499"/>
        <v>0</v>
      </c>
      <c r="BL400" s="65"/>
      <c r="BM400" s="204"/>
      <c r="BN400" s="156">
        <f>IF(B400&lt;&gt;"",_xlfn.XLOOKUP(B400,'Cronog. e Histog.'!B:B,'Cronog. e Histog.'!EK:EK),0)</f>
        <v>0</v>
      </c>
      <c r="BO400" s="109">
        <f>($O400/Dashboard!$D$15)*(1+Dashboard!$D$19)</f>
        <v>12.652376033057848</v>
      </c>
      <c r="BP400" s="84">
        <f t="shared" si="514"/>
        <v>0</v>
      </c>
      <c r="BQ400" s="65"/>
      <c r="BR400" s="204"/>
      <c r="BS400" s="156">
        <f>IF(B400&lt;&gt;"",_xlfn.XLOOKUP(B400,'Cronog. e Histog.'!B:B,'Cronog. e Histog.'!EL:EL),0)</f>
        <v>0</v>
      </c>
      <c r="BT400" s="109">
        <f>($O400/Dashboard!$D$15)*(1+Dashboard!$D$20)</f>
        <v>14.761105371900824</v>
      </c>
      <c r="BU400" s="84">
        <f t="shared" si="515"/>
        <v>0</v>
      </c>
      <c r="BV400" s="65"/>
      <c r="BW400" s="204"/>
      <c r="BX400" s="156">
        <f>IF(B400&lt;&gt;"",_xlfn.XLOOKUP(B400,'Cronog. e Histog.'!B:B,'Cronog. e Histog.'!EM:EM),0)</f>
        <v>0</v>
      </c>
      <c r="BY400" s="109">
        <f>($O400/Dashboard!$D$15)*(1+Dashboard!$D$21)</f>
        <v>16.869834710743799</v>
      </c>
      <c r="BZ400" s="84">
        <f t="shared" si="516"/>
        <v>0</v>
      </c>
    </row>
    <row r="401" spans="2:78" ht="12" customHeight="1" outlineLevel="1">
      <c r="B401" s="137" t="str">
        <f>'Cronog. e Histog.'!B544</f>
        <v>EST_III - Equipe_01</v>
      </c>
      <c r="C401" s="65"/>
      <c r="D401" s="200">
        <f t="shared" si="482"/>
        <v>0</v>
      </c>
      <c r="E401" s="200">
        <f t="shared" si="483"/>
        <v>0</v>
      </c>
      <c r="F401" s="65"/>
      <c r="G401" s="200">
        <f t="shared" si="484"/>
        <v>0</v>
      </c>
      <c r="H401" s="200">
        <f t="shared" si="485"/>
        <v>0</v>
      </c>
      <c r="I401" s="65"/>
      <c r="J401" s="143" t="str">
        <f>IF('Cronog. e Histog.'!G544&gt;0,'Cronog. e Histog.'!G544,"")</f>
        <v>EST_III</v>
      </c>
      <c r="K401" s="65"/>
      <c r="L401" s="144">
        <f>'Cronog. e Histog.'!BT544</f>
        <v>0</v>
      </c>
      <c r="M401" s="144">
        <f>'Cronog. e Histog.'!BU544</f>
        <v>0</v>
      </c>
      <c r="N401" s="65"/>
      <c r="O401" s="109">
        <f>_xlfn.XLOOKUP(B401,Salários!B:B,Salários!K:K)</f>
        <v>1633</v>
      </c>
      <c r="P401" s="109">
        <f t="shared" si="500"/>
        <v>0</v>
      </c>
      <c r="Q401" s="109">
        <f t="shared" si="501"/>
        <v>0</v>
      </c>
      <c r="R401" s="65"/>
      <c r="S401" s="109">
        <f t="shared" si="502"/>
        <v>1633</v>
      </c>
      <c r="T401" s="201" t="str">
        <f>IF(_xlfn.XLOOKUP(B401,Salários!B:B,Salários!I:I)&gt;0,_xlfn.XLOOKUP(B401,Salários!B:B,Salários!I:I),"")</f>
        <v>PJ</v>
      </c>
      <c r="U401" s="117">
        <f t="shared" si="503"/>
        <v>0</v>
      </c>
      <c r="V401" s="65"/>
      <c r="W401" s="202"/>
      <c r="X401" s="65"/>
      <c r="Y401" s="69"/>
      <c r="Z401" s="65"/>
      <c r="AA401" s="518"/>
      <c r="AB401" s="65"/>
      <c r="AC401" s="81">
        <f t="shared" si="490"/>
        <v>0</v>
      </c>
      <c r="AD401" s="65"/>
      <c r="AE401" s="112"/>
      <c r="AF401" s="203">
        <v>0.3</v>
      </c>
      <c r="AG401" s="109">
        <f t="shared" si="44"/>
        <v>1633</v>
      </c>
      <c r="AH401" s="84">
        <f t="shared" si="491"/>
        <v>0</v>
      </c>
      <c r="AI401" s="65"/>
      <c r="AJ401" s="112"/>
      <c r="AK401" s="122"/>
      <c r="AL401" s="109">
        <v>1212</v>
      </c>
      <c r="AM401" s="84">
        <f t="shared" si="492"/>
        <v>0</v>
      </c>
      <c r="AN401" s="65"/>
      <c r="AO401" s="112"/>
      <c r="AP401" s="204"/>
      <c r="AQ401" s="109">
        <f>IFERROR((O401+AH401+AM401)/Dashboard!$D$15,0)*0.2</f>
        <v>1.6869834710743801</v>
      </c>
      <c r="AR401" s="84">
        <f t="shared" si="493"/>
        <v>0</v>
      </c>
      <c r="AS401" s="65"/>
      <c r="AT401" s="112"/>
      <c r="AU401" s="203">
        <v>0.33</v>
      </c>
      <c r="AV401" s="109">
        <f t="shared" si="494"/>
        <v>1633</v>
      </c>
      <c r="AW401" s="84">
        <f t="shared" si="495"/>
        <v>0</v>
      </c>
      <c r="AX401" s="65"/>
      <c r="AY401" s="112"/>
      <c r="AZ401" s="203">
        <v>0.25</v>
      </c>
      <c r="BA401" s="109">
        <f t="shared" si="50"/>
        <v>1633</v>
      </c>
      <c r="BB401" s="84">
        <f t="shared" si="496"/>
        <v>0</v>
      </c>
      <c r="BC401" s="65"/>
      <c r="BD401" s="112"/>
      <c r="BE401" s="203">
        <v>0.26</v>
      </c>
      <c r="BF401" s="109">
        <f t="shared" si="497"/>
        <v>1633</v>
      </c>
      <c r="BG401" s="84">
        <f t="shared" si="498"/>
        <v>0</v>
      </c>
      <c r="BH401" s="197"/>
      <c r="BI401" s="518"/>
      <c r="BJ401" s="65"/>
      <c r="BK401" s="81">
        <f t="shared" si="499"/>
        <v>0</v>
      </c>
      <c r="BL401" s="65"/>
      <c r="BM401" s="204"/>
      <c r="BN401" s="156">
        <f>IF(B401&lt;&gt;"",_xlfn.XLOOKUP(B401,'Cronog. e Histog.'!B:B,'Cronog. e Histog.'!EK:EK),0)</f>
        <v>0</v>
      </c>
      <c r="BO401" s="109">
        <f>($O401/Dashboard!$D$15)*(1+Dashboard!$D$19)</f>
        <v>12.652376033057848</v>
      </c>
      <c r="BP401" s="84">
        <f t="shared" si="514"/>
        <v>0</v>
      </c>
      <c r="BQ401" s="65"/>
      <c r="BR401" s="204"/>
      <c r="BS401" s="156">
        <f>IF(B401&lt;&gt;"",_xlfn.XLOOKUP(B401,'Cronog. e Histog.'!B:B,'Cronog. e Histog.'!EL:EL),0)</f>
        <v>0</v>
      </c>
      <c r="BT401" s="109">
        <f>($O401/Dashboard!$D$15)*(1+Dashboard!$D$20)</f>
        <v>14.761105371900824</v>
      </c>
      <c r="BU401" s="84">
        <f t="shared" si="515"/>
        <v>0</v>
      </c>
      <c r="BV401" s="65"/>
      <c r="BW401" s="204"/>
      <c r="BX401" s="156">
        <f>IF(B401&lt;&gt;"",_xlfn.XLOOKUP(B401,'Cronog. e Histog.'!B:B,'Cronog. e Histog.'!EM:EM),0)</f>
        <v>0</v>
      </c>
      <c r="BY401" s="109">
        <f>($O401/Dashboard!$D$15)*(1+Dashboard!$D$21)</f>
        <v>16.869834710743799</v>
      </c>
      <c r="BZ401" s="84">
        <f t="shared" si="516"/>
        <v>0</v>
      </c>
    </row>
    <row r="402" spans="2:78" ht="12" customHeight="1" outlineLevel="1"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9"/>
      <c r="Z402" s="65"/>
      <c r="AA402" s="518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  <c r="AT402" s="65"/>
      <c r="AU402" s="65"/>
      <c r="AV402" s="65"/>
      <c r="AW402" s="65"/>
      <c r="AX402" s="65"/>
      <c r="AY402" s="65"/>
      <c r="AZ402" s="65"/>
      <c r="BA402" s="65"/>
      <c r="BB402" s="65"/>
      <c r="BC402" s="65"/>
      <c r="BD402" s="65"/>
      <c r="BE402" s="65"/>
      <c r="BF402" s="65"/>
      <c r="BG402" s="65"/>
      <c r="BH402" s="197"/>
      <c r="BI402" s="518"/>
      <c r="BJ402" s="65"/>
      <c r="BK402" s="65"/>
      <c r="BL402" s="65"/>
      <c r="BM402" s="65"/>
      <c r="BN402" s="65"/>
      <c r="BO402" s="65"/>
      <c r="BP402" s="65"/>
      <c r="BQ402" s="65"/>
      <c r="BR402" s="65"/>
      <c r="BS402" s="65"/>
      <c r="BT402" s="65"/>
      <c r="BU402" s="65"/>
      <c r="BV402" s="65"/>
      <c r="BW402" s="65"/>
      <c r="BX402" s="65"/>
      <c r="BY402" s="65"/>
      <c r="BZ402" s="65"/>
    </row>
    <row r="403" spans="2:78" ht="12" customHeight="1" outlineLevel="1">
      <c r="B403" s="65"/>
      <c r="C403" s="65"/>
      <c r="D403" s="65"/>
      <c r="E403" s="65"/>
      <c r="F403" s="65"/>
      <c r="G403" s="65"/>
      <c r="H403" s="65"/>
      <c r="I403" s="65"/>
      <c r="J403" s="199" t="str">
        <f>'Cronog. e Histog.'!F547</f>
        <v>Equipe15</v>
      </c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9"/>
      <c r="Z403" s="65"/>
      <c r="AA403" s="518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  <c r="AT403" s="65"/>
      <c r="AU403" s="65"/>
      <c r="AV403" s="65"/>
      <c r="AW403" s="65"/>
      <c r="AX403" s="65"/>
      <c r="AY403" s="65"/>
      <c r="AZ403" s="65"/>
      <c r="BA403" s="65"/>
      <c r="BB403" s="65"/>
      <c r="BC403" s="65"/>
      <c r="BD403" s="65"/>
      <c r="BE403" s="65"/>
      <c r="BF403" s="65"/>
      <c r="BG403" s="65"/>
      <c r="BH403" s="197"/>
      <c r="BI403" s="518"/>
      <c r="BJ403" s="65"/>
      <c r="BK403" s="65"/>
      <c r="BL403" s="65"/>
      <c r="BM403" s="65"/>
      <c r="BN403" s="65"/>
      <c r="BO403" s="65"/>
      <c r="BP403" s="65"/>
      <c r="BQ403" s="65"/>
      <c r="BR403" s="65"/>
      <c r="BS403" s="65"/>
      <c r="BT403" s="65"/>
      <c r="BU403" s="65"/>
      <c r="BV403" s="65"/>
      <c r="BW403" s="65"/>
      <c r="BX403" s="65"/>
      <c r="BY403" s="65"/>
      <c r="BZ403" s="65"/>
    </row>
    <row r="404" spans="2:78" ht="12" customHeight="1" outlineLevel="1">
      <c r="B404" s="137" t="str">
        <f>'Cronog. e Histog.'!B549</f>
        <v>GER. (OBRA/PROJ) - Equipe_01</v>
      </c>
      <c r="C404" s="65"/>
      <c r="D404" s="200">
        <f t="shared" ref="D404:D423" si="517">IF(T404="mensalista",L404,0)</f>
        <v>0</v>
      </c>
      <c r="E404" s="200">
        <f t="shared" ref="E404:E423" si="518">IF(T404="mensalista",M404,0)</f>
        <v>0</v>
      </c>
      <c r="F404" s="65"/>
      <c r="G404" s="200">
        <f t="shared" ref="G404:G423" si="519">IF(T404="mensalista",L404,0)</f>
        <v>0</v>
      </c>
      <c r="H404" s="200">
        <f t="shared" ref="H404:H423" si="520">IF(T404="mensalista",M404,0)</f>
        <v>0</v>
      </c>
      <c r="I404" s="65"/>
      <c r="J404" s="143" t="str">
        <f>IF('Cronog. e Histog.'!G549&gt;0,'Cronog. e Histog.'!G549,"")</f>
        <v>GER. (OBRA/PROJ)</v>
      </c>
      <c r="K404" s="65"/>
      <c r="L404" s="144">
        <f>'Cronog. e Histog.'!BT549</f>
        <v>0</v>
      </c>
      <c r="M404" s="144">
        <f>'Cronog. e Histog.'!BU549</f>
        <v>0</v>
      </c>
      <c r="N404" s="65"/>
      <c r="O404" s="109">
        <f>_xlfn.XLOOKUP(B404,Salários!B:B,Salários!K:K)</f>
        <v>21000</v>
      </c>
      <c r="P404" s="109">
        <f t="shared" ref="P404" si="521">AC404</f>
        <v>0</v>
      </c>
      <c r="Q404" s="109">
        <f t="shared" ref="Q404" si="522">BK404</f>
        <v>0</v>
      </c>
      <c r="R404" s="65"/>
      <c r="S404" s="109">
        <f t="shared" ref="S404" si="523">SUM(O404:Q404)</f>
        <v>21000</v>
      </c>
      <c r="T404" s="201" t="str">
        <f>IF(_xlfn.XLOOKUP(B404,Salários!B:B,Salários!I:I)&gt;0,_xlfn.XLOOKUP(B404,Salários!B:B,Salários!I:I),"")</f>
        <v>PJ</v>
      </c>
      <c r="U404" s="117">
        <f t="shared" ref="U404:U423" si="524">L404*M404*S404</f>
        <v>0</v>
      </c>
      <c r="V404" s="65"/>
      <c r="W404" s="202"/>
      <c r="X404" s="65"/>
      <c r="Y404" s="69"/>
      <c r="Z404" s="65"/>
      <c r="AA404" s="518"/>
      <c r="AB404" s="65"/>
      <c r="AC404" s="81">
        <f t="shared" ref="AC404:AC423" si="525">AH404+AM404+AR404+AW404+BB404+BG404</f>
        <v>0</v>
      </c>
      <c r="AD404" s="65"/>
      <c r="AE404" s="112"/>
      <c r="AF404" s="203">
        <v>0.3</v>
      </c>
      <c r="AG404" s="109">
        <f t="shared" si="44"/>
        <v>21000</v>
      </c>
      <c r="AH404" s="84">
        <f t="shared" ref="AH404:AH423" si="526">IF(AE404="sim",AF404*AG404,0)</f>
        <v>0</v>
      </c>
      <c r="AI404" s="65"/>
      <c r="AJ404" s="112"/>
      <c r="AK404" s="122"/>
      <c r="AL404" s="109">
        <v>1212</v>
      </c>
      <c r="AM404" s="84">
        <f t="shared" ref="AM404:AM423" si="527">IF(AJ404="sim",AK404*AL404,0)</f>
        <v>0</v>
      </c>
      <c r="AN404" s="65"/>
      <c r="AO404" s="112"/>
      <c r="AP404" s="204"/>
      <c r="AQ404" s="109">
        <f>IFERROR((O404+AH404+AM404)/Dashboard!$D$15,0)*0.2</f>
        <v>21.694214876033058</v>
      </c>
      <c r="AR404" s="84">
        <f t="shared" ref="AR404:AR423" si="528">IF(AO404="sim",AP404*AQ404,0)</f>
        <v>0</v>
      </c>
      <c r="AS404" s="65"/>
      <c r="AT404" s="112"/>
      <c r="AU404" s="203">
        <v>0.33</v>
      </c>
      <c r="AV404" s="109">
        <f t="shared" ref="AV404:AV423" si="529">$O404</f>
        <v>21000</v>
      </c>
      <c r="AW404" s="84">
        <f t="shared" ref="AW404:AW423" si="530">IF(AT404="sim",AU404*AV404,0)</f>
        <v>0</v>
      </c>
      <c r="AX404" s="65"/>
      <c r="AY404" s="112"/>
      <c r="AZ404" s="203">
        <v>0.25</v>
      </c>
      <c r="BA404" s="109">
        <f t="shared" si="50"/>
        <v>21000</v>
      </c>
      <c r="BB404" s="84">
        <f t="shared" ref="BB404:BB423" si="531">IF(AY404="sim",AZ404*BA404,0)</f>
        <v>0</v>
      </c>
      <c r="BC404" s="65"/>
      <c r="BD404" s="112"/>
      <c r="BE404" s="203">
        <v>0.26</v>
      </c>
      <c r="BF404" s="109">
        <f t="shared" ref="BF404:BF423" si="532">$O404</f>
        <v>21000</v>
      </c>
      <c r="BG404" s="84">
        <f t="shared" ref="BG404:BG423" si="533">IF(BD404="sim",BE404*BF404,0)</f>
        <v>0</v>
      </c>
      <c r="BH404" s="197"/>
      <c r="BI404" s="518"/>
      <c r="BJ404" s="65"/>
      <c r="BK404" s="81">
        <f t="shared" ref="BK404:BK423" si="534">BP404+BU404+BZ404</f>
        <v>0</v>
      </c>
      <c r="BL404" s="65"/>
      <c r="BM404" s="204"/>
      <c r="BN404" s="156">
        <f>IF(B404&lt;&gt;"",_xlfn.XLOOKUP(B404,'Cronog. e Histog.'!B:B,'Cronog. e Histog.'!EK:EK),0)</f>
        <v>0</v>
      </c>
      <c r="BO404" s="109">
        <f>($O404/Dashboard!$D$15)*(1+Dashboard!$D$19)</f>
        <v>162.7066115702479</v>
      </c>
      <c r="BP404" s="84">
        <f>SUM(BM404:BN404)*BO404</f>
        <v>0</v>
      </c>
      <c r="BQ404" s="65"/>
      <c r="BR404" s="204"/>
      <c r="BS404" s="156">
        <f>IF(B404&lt;&gt;"",_xlfn.XLOOKUP(B404,'Cronog. e Histog.'!B:B,'Cronog. e Histog.'!EL:EL),0)</f>
        <v>0</v>
      </c>
      <c r="BT404" s="109">
        <f>($O404/Dashboard!$D$15)*(1+Dashboard!$D$20)</f>
        <v>189.82438016528923</v>
      </c>
      <c r="BU404" s="84">
        <f>SUM(BR404:BS404)*BT404</f>
        <v>0</v>
      </c>
      <c r="BV404" s="65"/>
      <c r="BW404" s="204"/>
      <c r="BX404" s="156">
        <f>IF(B404&lt;&gt;"",_xlfn.XLOOKUP(B404,'Cronog. e Histog.'!B:B,'Cronog. e Histog.'!EM:EM),0)</f>
        <v>0</v>
      </c>
      <c r="BY404" s="109">
        <f>($O404/Dashboard!$D$15)*(1+Dashboard!$D$21)</f>
        <v>216.94214876033055</v>
      </c>
      <c r="BZ404" s="84">
        <f>SUM(BW404:BX404)*BY404</f>
        <v>0</v>
      </c>
    </row>
    <row r="405" spans="2:78" ht="12" customHeight="1" outlineLevel="1">
      <c r="B405" s="137" t="str">
        <f>'Cronog. e Histog.'!B550</f>
        <v>COORD. - Equipe_01</v>
      </c>
      <c r="C405" s="65"/>
      <c r="D405" s="200">
        <f t="shared" si="517"/>
        <v>0</v>
      </c>
      <c r="E405" s="200">
        <f t="shared" si="518"/>
        <v>0</v>
      </c>
      <c r="F405" s="65"/>
      <c r="G405" s="200">
        <f t="shared" si="519"/>
        <v>0</v>
      </c>
      <c r="H405" s="200">
        <f t="shared" si="520"/>
        <v>0</v>
      </c>
      <c r="I405" s="65"/>
      <c r="J405" s="143" t="str">
        <f>IF('Cronog. e Histog.'!G550&gt;0,'Cronog. e Histog.'!G550,"")</f>
        <v>COORD.</v>
      </c>
      <c r="K405" s="65"/>
      <c r="L405" s="144">
        <f>'Cronog. e Histog.'!BT550</f>
        <v>0</v>
      </c>
      <c r="M405" s="144">
        <f>'Cronog. e Histog.'!BU550</f>
        <v>0</v>
      </c>
      <c r="N405" s="65"/>
      <c r="O405" s="109">
        <f>_xlfn.XLOOKUP(B405,Salários!B:B,Salários!K:K)</f>
        <v>19000</v>
      </c>
      <c r="P405" s="109">
        <f t="shared" ref="P405:P423" si="535">AC405</f>
        <v>0</v>
      </c>
      <c r="Q405" s="109">
        <f t="shared" ref="Q405:Q423" si="536">BK405</f>
        <v>0</v>
      </c>
      <c r="R405" s="65"/>
      <c r="S405" s="109">
        <f t="shared" ref="S405:S423" si="537">SUM(O405:Q405)</f>
        <v>19000</v>
      </c>
      <c r="T405" s="201" t="str">
        <f>IF(_xlfn.XLOOKUP(B405,Salários!B:B,Salários!I:I)&gt;0,_xlfn.XLOOKUP(B405,Salários!B:B,Salários!I:I),"")</f>
        <v>PJ</v>
      </c>
      <c r="U405" s="117">
        <f t="shared" ref="U405:U414" si="538">L405*M405*S405</f>
        <v>0</v>
      </c>
      <c r="V405" s="65"/>
      <c r="W405" s="202"/>
      <c r="X405" s="65"/>
      <c r="Y405" s="69"/>
      <c r="Z405" s="65"/>
      <c r="AA405" s="518"/>
      <c r="AB405" s="65"/>
      <c r="AC405" s="81">
        <f t="shared" ref="AC405:AC414" si="539">AH405+AM405+AR405+AW405+BB405+BG405</f>
        <v>0</v>
      </c>
      <c r="AD405" s="65"/>
      <c r="AE405" s="112"/>
      <c r="AF405" s="203">
        <v>0.3</v>
      </c>
      <c r="AG405" s="109">
        <f t="shared" ref="AG405:AG414" si="540">$O405</f>
        <v>19000</v>
      </c>
      <c r="AH405" s="84">
        <f t="shared" ref="AH405:AH414" si="541">IF(AE405="sim",AF405*AG405,0)</f>
        <v>0</v>
      </c>
      <c r="AI405" s="65"/>
      <c r="AJ405" s="112"/>
      <c r="AK405" s="122"/>
      <c r="AL405" s="109">
        <v>1212</v>
      </c>
      <c r="AM405" s="84">
        <f t="shared" ref="AM405:AM414" si="542">IF(AJ405="sim",AK405*AL405,0)</f>
        <v>0</v>
      </c>
      <c r="AN405" s="65"/>
      <c r="AO405" s="112"/>
      <c r="AP405" s="204"/>
      <c r="AQ405" s="109">
        <f>IFERROR((O405+AH405+AM405)/Dashboard!$D$15,0)*0.2</f>
        <v>19.628099173553718</v>
      </c>
      <c r="AR405" s="84">
        <f t="shared" ref="AR405:AR414" si="543">IF(AO405="sim",AP405*AQ405,0)</f>
        <v>0</v>
      </c>
      <c r="AS405" s="65"/>
      <c r="AT405" s="112"/>
      <c r="AU405" s="203">
        <v>0.33</v>
      </c>
      <c r="AV405" s="109">
        <f t="shared" si="529"/>
        <v>19000</v>
      </c>
      <c r="AW405" s="84">
        <f t="shared" ref="AW405:AW414" si="544">IF(AT405="sim",AU405*AV405,0)</f>
        <v>0</v>
      </c>
      <c r="AX405" s="65"/>
      <c r="AY405" s="112"/>
      <c r="AZ405" s="203">
        <v>0.25</v>
      </c>
      <c r="BA405" s="109">
        <f t="shared" ref="BA405:BA414" si="545">$O405</f>
        <v>19000</v>
      </c>
      <c r="BB405" s="84">
        <f t="shared" ref="BB405:BB414" si="546">IF(AY405="sim",AZ405*BA405,0)</f>
        <v>0</v>
      </c>
      <c r="BC405" s="65"/>
      <c r="BD405" s="112"/>
      <c r="BE405" s="203">
        <v>0.26</v>
      </c>
      <c r="BF405" s="109">
        <f t="shared" si="532"/>
        <v>19000</v>
      </c>
      <c r="BG405" s="84">
        <f t="shared" ref="BG405:BG414" si="547">IF(BD405="sim",BE405*BF405,0)</f>
        <v>0</v>
      </c>
      <c r="BH405" s="197"/>
      <c r="BI405" s="518"/>
      <c r="BJ405" s="65"/>
      <c r="BK405" s="81">
        <f t="shared" ref="BK405:BK414" si="548">BP405+BU405+BZ405</f>
        <v>0</v>
      </c>
      <c r="BL405" s="65"/>
      <c r="BM405" s="204"/>
      <c r="BN405" s="156">
        <f>IF(B405&lt;&gt;"",_xlfn.XLOOKUP(B405,'Cronog. e Histog.'!B:B,'Cronog. e Histog.'!EK:EK),0)</f>
        <v>0</v>
      </c>
      <c r="BO405" s="109">
        <f>($O405/Dashboard!$D$15)*(1+Dashboard!$D$19)</f>
        <v>147.21074380165288</v>
      </c>
      <c r="BP405" s="84">
        <f t="shared" ref="BP405:BP423" si="549">SUM(BM405:BN405)*BO405</f>
        <v>0</v>
      </c>
      <c r="BQ405" s="65"/>
      <c r="BR405" s="204"/>
      <c r="BS405" s="156">
        <f>IF(B405&lt;&gt;"",_xlfn.XLOOKUP(B405,'Cronog. e Histog.'!B:B,'Cronog. e Histog.'!EL:EL),0)</f>
        <v>0</v>
      </c>
      <c r="BT405" s="109">
        <f>($O405/Dashboard!$D$15)*(1+Dashboard!$D$20)</f>
        <v>171.74586776859502</v>
      </c>
      <c r="BU405" s="84">
        <f t="shared" ref="BU405:BU423" si="550">SUM(BR405:BS405)*BT405</f>
        <v>0</v>
      </c>
      <c r="BV405" s="65"/>
      <c r="BW405" s="204"/>
      <c r="BX405" s="156">
        <f>IF(B405&lt;&gt;"",_xlfn.XLOOKUP(B405,'Cronog. e Histog.'!B:B,'Cronog. e Histog.'!EM:EM),0)</f>
        <v>0</v>
      </c>
      <c r="BY405" s="109">
        <f>($O405/Dashboard!$D$15)*(1+Dashboard!$D$21)</f>
        <v>196.28099173553716</v>
      </c>
      <c r="BZ405" s="84">
        <f t="shared" ref="BZ405:BZ423" si="551">SUM(BW405:BX405)*BY405</f>
        <v>0</v>
      </c>
    </row>
    <row r="406" spans="2:78" ht="12" customHeight="1" outlineLevel="1">
      <c r="B406" s="137" t="str">
        <f>'Cronog. e Histog.'!B551</f>
        <v>SUP.-ESP - Equipe_01</v>
      </c>
      <c r="C406" s="65"/>
      <c r="D406" s="200">
        <f t="shared" si="517"/>
        <v>0</v>
      </c>
      <c r="E406" s="200">
        <f t="shared" si="518"/>
        <v>0</v>
      </c>
      <c r="F406" s="65"/>
      <c r="G406" s="200">
        <f t="shared" si="519"/>
        <v>0</v>
      </c>
      <c r="H406" s="200">
        <f t="shared" si="520"/>
        <v>0</v>
      </c>
      <c r="I406" s="65"/>
      <c r="J406" s="143" t="str">
        <f>IF('Cronog. e Histog.'!G551&gt;0,'Cronog. e Histog.'!G551,"")</f>
        <v>SUP.-ESP</v>
      </c>
      <c r="K406" s="65"/>
      <c r="L406" s="144">
        <f>'Cronog. e Histog.'!BT551</f>
        <v>0</v>
      </c>
      <c r="M406" s="144">
        <f>'Cronog. e Histog.'!BU551</f>
        <v>0</v>
      </c>
      <c r="N406" s="65"/>
      <c r="O406" s="109">
        <f>_xlfn.XLOOKUP(B406,Salários!B:B,Salários!K:K)</f>
        <v>9716.67</v>
      </c>
      <c r="P406" s="109">
        <f t="shared" si="535"/>
        <v>0</v>
      </c>
      <c r="Q406" s="109">
        <f t="shared" si="536"/>
        <v>0</v>
      </c>
      <c r="R406" s="65"/>
      <c r="S406" s="109">
        <f t="shared" si="537"/>
        <v>9716.67</v>
      </c>
      <c r="T406" s="201" t="str">
        <f>IF(_xlfn.XLOOKUP(B406,Salários!B:B,Salários!I:I)&gt;0,_xlfn.XLOOKUP(B406,Salários!B:B,Salários!I:I),"")</f>
        <v>Mensalista</v>
      </c>
      <c r="U406" s="117">
        <f t="shared" si="538"/>
        <v>0</v>
      </c>
      <c r="V406" s="65"/>
      <c r="W406" s="202"/>
      <c r="X406" s="65"/>
      <c r="Y406" s="69"/>
      <c r="Z406" s="65"/>
      <c r="AA406" s="518"/>
      <c r="AB406" s="65"/>
      <c r="AC406" s="81">
        <f t="shared" si="539"/>
        <v>0</v>
      </c>
      <c r="AD406" s="65"/>
      <c r="AE406" s="112"/>
      <c r="AF406" s="203">
        <v>0.3</v>
      </c>
      <c r="AG406" s="109">
        <f t="shared" si="540"/>
        <v>9716.67</v>
      </c>
      <c r="AH406" s="84">
        <f t="shared" si="541"/>
        <v>0</v>
      </c>
      <c r="AI406" s="65"/>
      <c r="AJ406" s="112"/>
      <c r="AK406" s="122"/>
      <c r="AL406" s="109">
        <v>1212</v>
      </c>
      <c r="AM406" s="84">
        <f t="shared" si="542"/>
        <v>0</v>
      </c>
      <c r="AN406" s="65"/>
      <c r="AO406" s="112"/>
      <c r="AP406" s="204"/>
      <c r="AQ406" s="109">
        <f>IFERROR((O406+AH406+AM406)/Dashboard!$D$15,0)*0.2</f>
        <v>10.037882231404957</v>
      </c>
      <c r="AR406" s="84">
        <f t="shared" si="543"/>
        <v>0</v>
      </c>
      <c r="AS406" s="65"/>
      <c r="AT406" s="112"/>
      <c r="AU406" s="203">
        <v>0.33</v>
      </c>
      <c r="AV406" s="109">
        <f t="shared" si="529"/>
        <v>9716.67</v>
      </c>
      <c r="AW406" s="84">
        <f t="shared" si="544"/>
        <v>0</v>
      </c>
      <c r="AX406" s="65"/>
      <c r="AY406" s="112"/>
      <c r="AZ406" s="203">
        <v>0.25</v>
      </c>
      <c r="BA406" s="109">
        <f t="shared" si="545"/>
        <v>9716.67</v>
      </c>
      <c r="BB406" s="84">
        <f t="shared" si="546"/>
        <v>0</v>
      </c>
      <c r="BC406" s="65"/>
      <c r="BD406" s="112"/>
      <c r="BE406" s="203">
        <v>0.26</v>
      </c>
      <c r="BF406" s="109">
        <f t="shared" si="532"/>
        <v>9716.67</v>
      </c>
      <c r="BG406" s="84">
        <f t="shared" si="547"/>
        <v>0</v>
      </c>
      <c r="BH406" s="197"/>
      <c r="BI406" s="518"/>
      <c r="BJ406" s="65"/>
      <c r="BK406" s="81">
        <f t="shared" si="548"/>
        <v>0</v>
      </c>
      <c r="BL406" s="65"/>
      <c r="BM406" s="204"/>
      <c r="BN406" s="156">
        <f>IF(B406&lt;&gt;"",_xlfn.XLOOKUP(B406,'Cronog. e Histog.'!B:B,'Cronog. e Histog.'!EK:EK),0)</f>
        <v>0</v>
      </c>
      <c r="BO406" s="109">
        <f>($O406/Dashboard!$D$15)*(1+Dashboard!$D$19)</f>
        <v>75.284116735537182</v>
      </c>
      <c r="BP406" s="84">
        <f t="shared" si="549"/>
        <v>0</v>
      </c>
      <c r="BQ406" s="65"/>
      <c r="BR406" s="204"/>
      <c r="BS406" s="156">
        <f>IF(B406&lt;&gt;"",_xlfn.XLOOKUP(B406,'Cronog. e Histog.'!B:B,'Cronog. e Histog.'!EL:EL),0)</f>
        <v>0</v>
      </c>
      <c r="BT406" s="109">
        <f>($O406/Dashboard!$D$15)*(1+Dashboard!$D$20)</f>
        <v>87.831469524793377</v>
      </c>
      <c r="BU406" s="84">
        <f t="shared" si="550"/>
        <v>0</v>
      </c>
      <c r="BV406" s="65"/>
      <c r="BW406" s="204"/>
      <c r="BX406" s="156">
        <f>IF(B406&lt;&gt;"",_xlfn.XLOOKUP(B406,'Cronog. e Histog.'!B:B,'Cronog. e Histog.'!EM:EM),0)</f>
        <v>0</v>
      </c>
      <c r="BY406" s="109">
        <f>($O406/Dashboard!$D$15)*(1+Dashboard!$D$21)</f>
        <v>100.37882231404957</v>
      </c>
      <c r="BZ406" s="84">
        <f t="shared" si="551"/>
        <v>0</v>
      </c>
    </row>
    <row r="407" spans="2:78" ht="12" customHeight="1" outlineLevel="1">
      <c r="B407" s="137" t="str">
        <f>'Cronog. e Histog.'!B552</f>
        <v>ENG/ARQ SR. - Equipe_01</v>
      </c>
      <c r="C407" s="65"/>
      <c r="D407" s="200">
        <f t="shared" si="517"/>
        <v>0</v>
      </c>
      <c r="E407" s="200">
        <f t="shared" si="518"/>
        <v>0</v>
      </c>
      <c r="F407" s="65"/>
      <c r="G407" s="200">
        <f t="shared" si="519"/>
        <v>0</v>
      </c>
      <c r="H407" s="200">
        <f t="shared" si="520"/>
        <v>0</v>
      </c>
      <c r="I407" s="65"/>
      <c r="J407" s="143" t="str">
        <f>IF('Cronog. e Histog.'!G552&gt;0,'Cronog. e Histog.'!G552,"")</f>
        <v>ENG/ARQ SR.</v>
      </c>
      <c r="K407" s="65"/>
      <c r="L407" s="144">
        <f>'Cronog. e Histog.'!BT552</f>
        <v>0</v>
      </c>
      <c r="M407" s="144">
        <f>'Cronog. e Histog.'!BU552</f>
        <v>0</v>
      </c>
      <c r="N407" s="65"/>
      <c r="O407" s="109">
        <f>_xlfn.XLOOKUP(B407,Salários!B:B,Salários!K:K)</f>
        <v>16000</v>
      </c>
      <c r="P407" s="109">
        <f t="shared" si="535"/>
        <v>0</v>
      </c>
      <c r="Q407" s="109">
        <f t="shared" si="536"/>
        <v>0</v>
      </c>
      <c r="R407" s="65"/>
      <c r="S407" s="109">
        <f t="shared" si="537"/>
        <v>16000</v>
      </c>
      <c r="T407" s="201" t="str">
        <f>IF(_xlfn.XLOOKUP(B407,Salários!B:B,Salários!I:I)&gt;0,_xlfn.XLOOKUP(B407,Salários!B:B,Salários!I:I),"")</f>
        <v>PJ</v>
      </c>
      <c r="U407" s="117">
        <f t="shared" si="538"/>
        <v>0</v>
      </c>
      <c r="V407" s="65"/>
      <c r="W407" s="202"/>
      <c r="X407" s="65"/>
      <c r="Y407" s="69"/>
      <c r="Z407" s="65"/>
      <c r="AA407" s="518"/>
      <c r="AB407" s="65"/>
      <c r="AC407" s="81">
        <f t="shared" si="539"/>
        <v>0</v>
      </c>
      <c r="AD407" s="65"/>
      <c r="AE407" s="112"/>
      <c r="AF407" s="203">
        <v>0.3</v>
      </c>
      <c r="AG407" s="109">
        <f t="shared" si="540"/>
        <v>16000</v>
      </c>
      <c r="AH407" s="84">
        <f t="shared" si="541"/>
        <v>0</v>
      </c>
      <c r="AI407" s="65"/>
      <c r="AJ407" s="112"/>
      <c r="AK407" s="122"/>
      <c r="AL407" s="109">
        <v>1212</v>
      </c>
      <c r="AM407" s="84">
        <f t="shared" si="542"/>
        <v>0</v>
      </c>
      <c r="AN407" s="65"/>
      <c r="AO407" s="112"/>
      <c r="AP407" s="204"/>
      <c r="AQ407" s="109">
        <f>IFERROR((O407+AH407+AM407)/Dashboard!$D$15,0)*0.2</f>
        <v>16.528925619834709</v>
      </c>
      <c r="AR407" s="84">
        <f t="shared" si="543"/>
        <v>0</v>
      </c>
      <c r="AS407" s="65"/>
      <c r="AT407" s="112"/>
      <c r="AU407" s="203">
        <v>0.33</v>
      </c>
      <c r="AV407" s="109">
        <f t="shared" si="529"/>
        <v>16000</v>
      </c>
      <c r="AW407" s="84">
        <f t="shared" si="544"/>
        <v>0</v>
      </c>
      <c r="AX407" s="65"/>
      <c r="AY407" s="112"/>
      <c r="AZ407" s="203">
        <v>0.25</v>
      </c>
      <c r="BA407" s="109">
        <f t="shared" si="545"/>
        <v>16000</v>
      </c>
      <c r="BB407" s="84">
        <f t="shared" si="546"/>
        <v>0</v>
      </c>
      <c r="BC407" s="65"/>
      <c r="BD407" s="112"/>
      <c r="BE407" s="203">
        <v>0.26</v>
      </c>
      <c r="BF407" s="109">
        <f t="shared" si="532"/>
        <v>16000</v>
      </c>
      <c r="BG407" s="84">
        <f t="shared" si="547"/>
        <v>0</v>
      </c>
      <c r="BH407" s="197"/>
      <c r="BI407" s="518"/>
      <c r="BJ407" s="65"/>
      <c r="BK407" s="81">
        <f t="shared" si="548"/>
        <v>0</v>
      </c>
      <c r="BL407" s="65"/>
      <c r="BM407" s="204"/>
      <c r="BN407" s="156">
        <f>IF(B407&lt;&gt;"",_xlfn.XLOOKUP(B407,'Cronog. e Histog.'!B:B,'Cronog. e Histog.'!EK:EK),0)</f>
        <v>0</v>
      </c>
      <c r="BO407" s="109">
        <f>($O407/Dashboard!$D$15)*(1+Dashboard!$D$19)</f>
        <v>123.96694214876032</v>
      </c>
      <c r="BP407" s="84">
        <f t="shared" si="549"/>
        <v>0</v>
      </c>
      <c r="BQ407" s="65"/>
      <c r="BR407" s="204"/>
      <c r="BS407" s="156">
        <f>IF(B407&lt;&gt;"",_xlfn.XLOOKUP(B407,'Cronog. e Histog.'!B:B,'Cronog. e Histog.'!EL:EL),0)</f>
        <v>0</v>
      </c>
      <c r="BT407" s="109">
        <f>($O407/Dashboard!$D$15)*(1+Dashboard!$D$20)</f>
        <v>144.62809917355369</v>
      </c>
      <c r="BU407" s="84">
        <f t="shared" si="550"/>
        <v>0</v>
      </c>
      <c r="BV407" s="65"/>
      <c r="BW407" s="204"/>
      <c r="BX407" s="156">
        <f>IF(B407&lt;&gt;"",_xlfn.XLOOKUP(B407,'Cronog. e Histog.'!B:B,'Cronog. e Histog.'!EM:EM),0)</f>
        <v>0</v>
      </c>
      <c r="BY407" s="109">
        <f>($O407/Dashboard!$D$15)*(1+Dashboard!$D$21)</f>
        <v>165.28925619834709</v>
      </c>
      <c r="BZ407" s="84">
        <f t="shared" si="551"/>
        <v>0</v>
      </c>
    </row>
    <row r="408" spans="2:78" ht="12" customHeight="1" outlineLevel="1">
      <c r="B408" s="137" t="str">
        <f>'Cronog. e Histog.'!B553</f>
        <v>ENG/ARQ PL. - Equipe_01</v>
      </c>
      <c r="C408" s="65"/>
      <c r="D408" s="200">
        <f t="shared" si="517"/>
        <v>0</v>
      </c>
      <c r="E408" s="200">
        <f t="shared" si="518"/>
        <v>0</v>
      </c>
      <c r="F408" s="65"/>
      <c r="G408" s="200">
        <f t="shared" si="519"/>
        <v>0</v>
      </c>
      <c r="H408" s="200">
        <f t="shared" si="520"/>
        <v>0</v>
      </c>
      <c r="I408" s="65"/>
      <c r="J408" s="143" t="str">
        <f>IF('Cronog. e Histog.'!G553&gt;0,'Cronog. e Histog.'!G553,"")</f>
        <v>ENG/ARQ PL.</v>
      </c>
      <c r="K408" s="65"/>
      <c r="L408" s="144">
        <f>'Cronog. e Histog.'!BT553</f>
        <v>0</v>
      </c>
      <c r="M408" s="144">
        <f>'Cronog. e Histog.'!BU553</f>
        <v>0</v>
      </c>
      <c r="N408" s="65"/>
      <c r="O408" s="109">
        <f>_xlfn.XLOOKUP(B408,Salários!B:B,Salários!K:K)</f>
        <v>14000</v>
      </c>
      <c r="P408" s="109">
        <f t="shared" si="535"/>
        <v>0</v>
      </c>
      <c r="Q408" s="109">
        <f t="shared" si="536"/>
        <v>0</v>
      </c>
      <c r="R408" s="65"/>
      <c r="S408" s="109">
        <f t="shared" si="537"/>
        <v>14000</v>
      </c>
      <c r="T408" s="201" t="str">
        <f>IF(_xlfn.XLOOKUP(B408,Salários!B:B,Salários!I:I)&gt;0,_xlfn.XLOOKUP(B408,Salários!B:B,Salários!I:I),"")</f>
        <v>PJ</v>
      </c>
      <c r="U408" s="117">
        <f t="shared" si="538"/>
        <v>0</v>
      </c>
      <c r="V408" s="65"/>
      <c r="W408" s="202"/>
      <c r="X408" s="65"/>
      <c r="Y408" s="69"/>
      <c r="Z408" s="65"/>
      <c r="AA408" s="518"/>
      <c r="AB408" s="65"/>
      <c r="AC408" s="81">
        <f t="shared" si="539"/>
        <v>0</v>
      </c>
      <c r="AD408" s="65"/>
      <c r="AE408" s="112"/>
      <c r="AF408" s="203">
        <v>0.3</v>
      </c>
      <c r="AG408" s="109">
        <f t="shared" si="540"/>
        <v>14000</v>
      </c>
      <c r="AH408" s="84">
        <f t="shared" si="541"/>
        <v>0</v>
      </c>
      <c r="AI408" s="65"/>
      <c r="AJ408" s="112"/>
      <c r="AK408" s="122"/>
      <c r="AL408" s="109">
        <v>1212</v>
      </c>
      <c r="AM408" s="84">
        <f t="shared" si="542"/>
        <v>0</v>
      </c>
      <c r="AN408" s="65"/>
      <c r="AO408" s="112"/>
      <c r="AP408" s="204"/>
      <c r="AQ408" s="109">
        <f>IFERROR((O408+AH408+AM408)/Dashboard!$D$15,0)*0.2</f>
        <v>14.46280991735537</v>
      </c>
      <c r="AR408" s="84">
        <f t="shared" si="543"/>
        <v>0</v>
      </c>
      <c r="AS408" s="65"/>
      <c r="AT408" s="112"/>
      <c r="AU408" s="203">
        <v>0.33</v>
      </c>
      <c r="AV408" s="109">
        <f t="shared" si="529"/>
        <v>14000</v>
      </c>
      <c r="AW408" s="84">
        <f t="shared" si="544"/>
        <v>0</v>
      </c>
      <c r="AX408" s="65"/>
      <c r="AY408" s="112"/>
      <c r="AZ408" s="203">
        <v>0.25</v>
      </c>
      <c r="BA408" s="109">
        <f t="shared" si="545"/>
        <v>14000</v>
      </c>
      <c r="BB408" s="84">
        <f t="shared" si="546"/>
        <v>0</v>
      </c>
      <c r="BC408" s="65"/>
      <c r="BD408" s="112"/>
      <c r="BE408" s="203">
        <v>0.26</v>
      </c>
      <c r="BF408" s="109">
        <f t="shared" si="532"/>
        <v>14000</v>
      </c>
      <c r="BG408" s="84">
        <f t="shared" si="547"/>
        <v>0</v>
      </c>
      <c r="BH408" s="197"/>
      <c r="BI408" s="518"/>
      <c r="BJ408" s="65"/>
      <c r="BK408" s="81">
        <f t="shared" si="548"/>
        <v>0</v>
      </c>
      <c r="BL408" s="65"/>
      <c r="BM408" s="204"/>
      <c r="BN408" s="156">
        <f>IF(B408&lt;&gt;"",_xlfn.XLOOKUP(B408,'Cronog. e Histog.'!B:B,'Cronog. e Histog.'!EK:EK),0)</f>
        <v>0</v>
      </c>
      <c r="BO408" s="109">
        <f>($O408/Dashboard!$D$15)*(1+Dashboard!$D$19)</f>
        <v>108.47107438016528</v>
      </c>
      <c r="BP408" s="84">
        <f t="shared" si="549"/>
        <v>0</v>
      </c>
      <c r="BQ408" s="65"/>
      <c r="BR408" s="204"/>
      <c r="BS408" s="156">
        <f>IF(B408&lt;&gt;"",_xlfn.XLOOKUP(B408,'Cronog. e Histog.'!B:B,'Cronog. e Histog.'!EL:EL),0)</f>
        <v>0</v>
      </c>
      <c r="BT408" s="109">
        <f>($O408/Dashboard!$D$15)*(1+Dashboard!$D$20)</f>
        <v>126.54958677685948</v>
      </c>
      <c r="BU408" s="84">
        <f t="shared" si="550"/>
        <v>0</v>
      </c>
      <c r="BV408" s="65"/>
      <c r="BW408" s="204"/>
      <c r="BX408" s="156">
        <f>IF(B408&lt;&gt;"",_xlfn.XLOOKUP(B408,'Cronog. e Histog.'!B:B,'Cronog. e Histog.'!EM:EM),0)</f>
        <v>0</v>
      </c>
      <c r="BY408" s="109">
        <f>($O408/Dashboard!$D$15)*(1+Dashboard!$D$21)</f>
        <v>144.62809917355369</v>
      </c>
      <c r="BZ408" s="84">
        <f t="shared" si="551"/>
        <v>0</v>
      </c>
    </row>
    <row r="409" spans="2:78" ht="12" customHeight="1" outlineLevel="1">
      <c r="B409" s="137" t="str">
        <f>'Cronog. e Histog.'!B554</f>
        <v>ENG/ARQ JR. - Equipe_01</v>
      </c>
      <c r="C409" s="65"/>
      <c r="D409" s="200">
        <f t="shared" si="517"/>
        <v>0</v>
      </c>
      <c r="E409" s="200">
        <f t="shared" si="518"/>
        <v>0</v>
      </c>
      <c r="F409" s="65"/>
      <c r="G409" s="200">
        <f t="shared" si="519"/>
        <v>0</v>
      </c>
      <c r="H409" s="200">
        <f t="shared" si="520"/>
        <v>0</v>
      </c>
      <c r="I409" s="65"/>
      <c r="J409" s="143" t="str">
        <f>IF('Cronog. e Histog.'!G554&gt;0,'Cronog. e Histog.'!G554,"")</f>
        <v>ENG/ARQ JR.</v>
      </c>
      <c r="K409" s="65"/>
      <c r="L409" s="144">
        <f>'Cronog. e Histog.'!BT554</f>
        <v>0</v>
      </c>
      <c r="M409" s="144">
        <f>'Cronog. e Histog.'!BU554</f>
        <v>0</v>
      </c>
      <c r="N409" s="65"/>
      <c r="O409" s="109">
        <f>_xlfn.XLOOKUP(B409,Salários!B:B,Salários!K:K)</f>
        <v>14000</v>
      </c>
      <c r="P409" s="109">
        <f t="shared" si="535"/>
        <v>0</v>
      </c>
      <c r="Q409" s="109">
        <f t="shared" si="536"/>
        <v>0</v>
      </c>
      <c r="R409" s="65"/>
      <c r="S409" s="109">
        <f t="shared" si="537"/>
        <v>14000</v>
      </c>
      <c r="T409" s="201" t="str">
        <f>IF(_xlfn.XLOOKUP(B409,Salários!B:B,Salários!I:I)&gt;0,_xlfn.XLOOKUP(B409,Salários!B:B,Salários!I:I),"")</f>
        <v>PJ</v>
      </c>
      <c r="U409" s="117">
        <f t="shared" si="538"/>
        <v>0</v>
      </c>
      <c r="V409" s="65"/>
      <c r="W409" s="202"/>
      <c r="X409" s="65"/>
      <c r="Y409" s="69"/>
      <c r="Z409" s="65"/>
      <c r="AA409" s="518"/>
      <c r="AB409" s="65"/>
      <c r="AC409" s="81">
        <f t="shared" si="539"/>
        <v>0</v>
      </c>
      <c r="AD409" s="65"/>
      <c r="AE409" s="112"/>
      <c r="AF409" s="203">
        <v>0.3</v>
      </c>
      <c r="AG409" s="109">
        <f t="shared" si="540"/>
        <v>14000</v>
      </c>
      <c r="AH409" s="84">
        <f t="shared" si="541"/>
        <v>0</v>
      </c>
      <c r="AI409" s="65"/>
      <c r="AJ409" s="112"/>
      <c r="AK409" s="122"/>
      <c r="AL409" s="109">
        <v>1212</v>
      </c>
      <c r="AM409" s="84">
        <f t="shared" si="542"/>
        <v>0</v>
      </c>
      <c r="AN409" s="65"/>
      <c r="AO409" s="112"/>
      <c r="AP409" s="204"/>
      <c r="AQ409" s="109">
        <f>IFERROR((O409+AH409+AM409)/Dashboard!$D$15,0)*0.2</f>
        <v>14.46280991735537</v>
      </c>
      <c r="AR409" s="84">
        <f t="shared" si="543"/>
        <v>0</v>
      </c>
      <c r="AS409" s="65"/>
      <c r="AT409" s="112"/>
      <c r="AU409" s="203">
        <v>0.33</v>
      </c>
      <c r="AV409" s="109">
        <f t="shared" si="529"/>
        <v>14000</v>
      </c>
      <c r="AW409" s="84">
        <f t="shared" si="544"/>
        <v>0</v>
      </c>
      <c r="AX409" s="65"/>
      <c r="AY409" s="112"/>
      <c r="AZ409" s="203">
        <v>0.25</v>
      </c>
      <c r="BA409" s="109">
        <f t="shared" si="545"/>
        <v>14000</v>
      </c>
      <c r="BB409" s="84">
        <f t="shared" si="546"/>
        <v>0</v>
      </c>
      <c r="BC409" s="65"/>
      <c r="BD409" s="112"/>
      <c r="BE409" s="203">
        <v>0.26</v>
      </c>
      <c r="BF409" s="109">
        <f t="shared" si="532"/>
        <v>14000</v>
      </c>
      <c r="BG409" s="84">
        <f t="shared" si="547"/>
        <v>0</v>
      </c>
      <c r="BH409" s="197"/>
      <c r="BI409" s="518"/>
      <c r="BJ409" s="65"/>
      <c r="BK409" s="81">
        <f t="shared" si="548"/>
        <v>0</v>
      </c>
      <c r="BL409" s="65"/>
      <c r="BM409" s="204"/>
      <c r="BN409" s="156">
        <f>IF(B409&lt;&gt;"",_xlfn.XLOOKUP(B409,'Cronog. e Histog.'!B:B,'Cronog. e Histog.'!EK:EK),0)</f>
        <v>0</v>
      </c>
      <c r="BO409" s="109">
        <f>($O409/Dashboard!$D$15)*(1+Dashboard!$D$19)</f>
        <v>108.47107438016528</v>
      </c>
      <c r="BP409" s="84">
        <f t="shared" si="549"/>
        <v>0</v>
      </c>
      <c r="BQ409" s="65"/>
      <c r="BR409" s="204"/>
      <c r="BS409" s="156">
        <f>IF(B409&lt;&gt;"",_xlfn.XLOOKUP(B409,'Cronog. e Histog.'!B:B,'Cronog. e Histog.'!EL:EL),0)</f>
        <v>0</v>
      </c>
      <c r="BT409" s="109">
        <f>($O409/Dashboard!$D$15)*(1+Dashboard!$D$20)</f>
        <v>126.54958677685948</v>
      </c>
      <c r="BU409" s="84">
        <f t="shared" si="550"/>
        <v>0</v>
      </c>
      <c r="BV409" s="65"/>
      <c r="BW409" s="204"/>
      <c r="BX409" s="156">
        <f>IF(B409&lt;&gt;"",_xlfn.XLOOKUP(B409,'Cronog. e Histog.'!B:B,'Cronog. e Histog.'!EM:EM),0)</f>
        <v>0</v>
      </c>
      <c r="BY409" s="109">
        <f>($O409/Dashboard!$D$15)*(1+Dashboard!$D$21)</f>
        <v>144.62809917355369</v>
      </c>
      <c r="BZ409" s="84">
        <f t="shared" si="551"/>
        <v>0</v>
      </c>
    </row>
    <row r="410" spans="2:78" ht="12" customHeight="1" outlineLevel="1">
      <c r="B410" s="137" t="str">
        <f>'Cronog. e Histog.'!B555</f>
        <v>AN SR. ENG/ARQ - Equipe_01</v>
      </c>
      <c r="C410" s="65"/>
      <c r="D410" s="200">
        <f t="shared" si="517"/>
        <v>0</v>
      </c>
      <c r="E410" s="200">
        <f t="shared" si="518"/>
        <v>0</v>
      </c>
      <c r="F410" s="65"/>
      <c r="G410" s="200">
        <f t="shared" si="519"/>
        <v>0</v>
      </c>
      <c r="H410" s="200">
        <f t="shared" si="520"/>
        <v>0</v>
      </c>
      <c r="I410" s="65"/>
      <c r="J410" s="143" t="str">
        <f>IF('Cronog. e Histog.'!G555&gt;0,'Cronog. e Histog.'!G555,"")</f>
        <v>AN SR. ENG/ARQ</v>
      </c>
      <c r="K410" s="65"/>
      <c r="L410" s="144">
        <f>'Cronog. e Histog.'!BT555</f>
        <v>0</v>
      </c>
      <c r="M410" s="144">
        <f>'Cronog. e Histog.'!BU555</f>
        <v>0</v>
      </c>
      <c r="N410" s="65"/>
      <c r="O410" s="109">
        <f>_xlfn.XLOOKUP(B410,Salários!B:B,Salários!K:K)</f>
        <v>7950</v>
      </c>
      <c r="P410" s="109">
        <f t="shared" si="535"/>
        <v>0</v>
      </c>
      <c r="Q410" s="109">
        <f t="shared" si="536"/>
        <v>0</v>
      </c>
      <c r="R410" s="65"/>
      <c r="S410" s="109">
        <f t="shared" si="537"/>
        <v>7950</v>
      </c>
      <c r="T410" s="201" t="str">
        <f>IF(_xlfn.XLOOKUP(B410,Salários!B:B,Salários!I:I)&gt;0,_xlfn.XLOOKUP(B410,Salários!B:B,Salários!I:I),"")</f>
        <v>Mensalista</v>
      </c>
      <c r="U410" s="117">
        <f t="shared" si="538"/>
        <v>0</v>
      </c>
      <c r="V410" s="65"/>
      <c r="W410" s="202"/>
      <c r="X410" s="65"/>
      <c r="Y410" s="69"/>
      <c r="Z410" s="65"/>
      <c r="AA410" s="518"/>
      <c r="AB410" s="65"/>
      <c r="AC410" s="81">
        <f t="shared" si="539"/>
        <v>0</v>
      </c>
      <c r="AD410" s="65"/>
      <c r="AE410" s="112"/>
      <c r="AF410" s="203">
        <v>0.3</v>
      </c>
      <c r="AG410" s="109">
        <f t="shared" si="540"/>
        <v>7950</v>
      </c>
      <c r="AH410" s="84">
        <f t="shared" si="541"/>
        <v>0</v>
      </c>
      <c r="AI410" s="65"/>
      <c r="AJ410" s="112"/>
      <c r="AK410" s="122"/>
      <c r="AL410" s="109">
        <v>1212</v>
      </c>
      <c r="AM410" s="84">
        <f t="shared" si="542"/>
        <v>0</v>
      </c>
      <c r="AN410" s="65"/>
      <c r="AO410" s="112"/>
      <c r="AP410" s="204"/>
      <c r="AQ410" s="109">
        <f>IFERROR((O410+AH410+AM410)/Dashboard!$D$15,0)*0.2</f>
        <v>8.2128099173553704</v>
      </c>
      <c r="AR410" s="84">
        <f t="shared" si="543"/>
        <v>0</v>
      </c>
      <c r="AS410" s="65"/>
      <c r="AT410" s="112"/>
      <c r="AU410" s="203">
        <v>0.33</v>
      </c>
      <c r="AV410" s="109">
        <f t="shared" si="529"/>
        <v>7950</v>
      </c>
      <c r="AW410" s="84">
        <f t="shared" si="544"/>
        <v>0</v>
      </c>
      <c r="AX410" s="65"/>
      <c r="AY410" s="112"/>
      <c r="AZ410" s="203">
        <v>0.25</v>
      </c>
      <c r="BA410" s="109">
        <f t="shared" si="545"/>
        <v>7950</v>
      </c>
      <c r="BB410" s="84">
        <f t="shared" si="546"/>
        <v>0</v>
      </c>
      <c r="BC410" s="65"/>
      <c r="BD410" s="112"/>
      <c r="BE410" s="203">
        <v>0.26</v>
      </c>
      <c r="BF410" s="109">
        <f t="shared" si="532"/>
        <v>7950</v>
      </c>
      <c r="BG410" s="84">
        <f t="shared" si="547"/>
        <v>0</v>
      </c>
      <c r="BH410" s="197"/>
      <c r="BI410" s="518"/>
      <c r="BJ410" s="65"/>
      <c r="BK410" s="81">
        <f t="shared" si="548"/>
        <v>0</v>
      </c>
      <c r="BL410" s="65"/>
      <c r="BM410" s="204"/>
      <c r="BN410" s="156">
        <f>IF(B410&lt;&gt;"",_xlfn.XLOOKUP(B410,'Cronog. e Histog.'!B:B,'Cronog. e Histog.'!EK:EK),0)</f>
        <v>0</v>
      </c>
      <c r="BO410" s="109">
        <f>($O410/Dashboard!$D$15)*(1+Dashboard!$D$19)</f>
        <v>61.596074380165277</v>
      </c>
      <c r="BP410" s="84">
        <f t="shared" si="549"/>
        <v>0</v>
      </c>
      <c r="BQ410" s="65"/>
      <c r="BR410" s="204"/>
      <c r="BS410" s="156">
        <f>IF(B410&lt;&gt;"",_xlfn.XLOOKUP(B410,'Cronog. e Histog.'!B:B,'Cronog. e Histog.'!EL:EL),0)</f>
        <v>0</v>
      </c>
      <c r="BT410" s="109">
        <f>($O410/Dashboard!$D$15)*(1+Dashboard!$D$20)</f>
        <v>71.862086776859499</v>
      </c>
      <c r="BU410" s="84">
        <f t="shared" si="550"/>
        <v>0</v>
      </c>
      <c r="BV410" s="65"/>
      <c r="BW410" s="204"/>
      <c r="BX410" s="156">
        <f>IF(B410&lt;&gt;"",_xlfn.XLOOKUP(B410,'Cronog. e Histog.'!B:B,'Cronog. e Histog.'!EM:EM),0)</f>
        <v>0</v>
      </c>
      <c r="BY410" s="109">
        <f>($O410/Dashboard!$D$15)*(1+Dashboard!$D$21)</f>
        <v>82.128099173553707</v>
      </c>
      <c r="BZ410" s="84">
        <f t="shared" si="551"/>
        <v>0</v>
      </c>
    </row>
    <row r="411" spans="2:78" ht="12" customHeight="1" outlineLevel="1">
      <c r="B411" s="137" t="str">
        <f>'Cronog. e Histog.'!B556</f>
        <v>AN PL. ENG/ARQ - Equipe_01</v>
      </c>
      <c r="C411" s="65"/>
      <c r="D411" s="200">
        <f t="shared" si="517"/>
        <v>0</v>
      </c>
      <c r="E411" s="200">
        <f t="shared" si="518"/>
        <v>0</v>
      </c>
      <c r="F411" s="65"/>
      <c r="G411" s="200">
        <f t="shared" si="519"/>
        <v>0</v>
      </c>
      <c r="H411" s="200">
        <f t="shared" si="520"/>
        <v>0</v>
      </c>
      <c r="I411" s="65"/>
      <c r="J411" s="143" t="str">
        <f>IF('Cronog. e Histog.'!G556&gt;0,'Cronog. e Histog.'!G556,"")</f>
        <v>AN PL. ENG/ARQ</v>
      </c>
      <c r="K411" s="65"/>
      <c r="L411" s="144">
        <f>'Cronog. e Histog.'!BT556</f>
        <v>0</v>
      </c>
      <c r="M411" s="144">
        <f>'Cronog. e Histog.'!BU556</f>
        <v>0</v>
      </c>
      <c r="N411" s="65"/>
      <c r="O411" s="109">
        <f>_xlfn.XLOOKUP(B411,Salários!B:B,Salários!K:K)</f>
        <v>6360</v>
      </c>
      <c r="P411" s="109">
        <f t="shared" si="535"/>
        <v>0</v>
      </c>
      <c r="Q411" s="109">
        <f t="shared" si="536"/>
        <v>0</v>
      </c>
      <c r="R411" s="65"/>
      <c r="S411" s="109">
        <f t="shared" si="537"/>
        <v>6360</v>
      </c>
      <c r="T411" s="201" t="str">
        <f>IF(_xlfn.XLOOKUP(B411,Salários!B:B,Salários!I:I)&gt;0,_xlfn.XLOOKUP(B411,Salários!B:B,Salários!I:I),"")</f>
        <v>Mensalista</v>
      </c>
      <c r="U411" s="117">
        <f t="shared" si="538"/>
        <v>0</v>
      </c>
      <c r="V411" s="65"/>
      <c r="W411" s="202"/>
      <c r="X411" s="65"/>
      <c r="Y411" s="69"/>
      <c r="Z411" s="65"/>
      <c r="AA411" s="518"/>
      <c r="AB411" s="65"/>
      <c r="AC411" s="81">
        <f t="shared" si="539"/>
        <v>0</v>
      </c>
      <c r="AD411" s="65"/>
      <c r="AE411" s="112"/>
      <c r="AF411" s="203">
        <v>0.3</v>
      </c>
      <c r="AG411" s="109">
        <f t="shared" si="540"/>
        <v>6360</v>
      </c>
      <c r="AH411" s="84">
        <f t="shared" si="541"/>
        <v>0</v>
      </c>
      <c r="AI411" s="65"/>
      <c r="AJ411" s="112"/>
      <c r="AK411" s="122"/>
      <c r="AL411" s="109">
        <v>1212</v>
      </c>
      <c r="AM411" s="84">
        <f t="shared" si="542"/>
        <v>0</v>
      </c>
      <c r="AN411" s="65"/>
      <c r="AO411" s="112"/>
      <c r="AP411" s="204"/>
      <c r="AQ411" s="109">
        <f>IFERROR((O411+AH411+AM411)/Dashboard!$D$15,0)*0.2</f>
        <v>6.5702479338842963</v>
      </c>
      <c r="AR411" s="84">
        <f t="shared" si="543"/>
        <v>0</v>
      </c>
      <c r="AS411" s="65"/>
      <c r="AT411" s="112"/>
      <c r="AU411" s="203">
        <v>0.33</v>
      </c>
      <c r="AV411" s="109">
        <f t="shared" si="529"/>
        <v>6360</v>
      </c>
      <c r="AW411" s="84">
        <f t="shared" si="544"/>
        <v>0</v>
      </c>
      <c r="AX411" s="65"/>
      <c r="AY411" s="112"/>
      <c r="AZ411" s="203">
        <v>0.25</v>
      </c>
      <c r="BA411" s="109">
        <f t="shared" si="545"/>
        <v>6360</v>
      </c>
      <c r="BB411" s="84">
        <f t="shared" si="546"/>
        <v>0</v>
      </c>
      <c r="BC411" s="65"/>
      <c r="BD411" s="112"/>
      <c r="BE411" s="203">
        <v>0.26</v>
      </c>
      <c r="BF411" s="109">
        <f t="shared" si="532"/>
        <v>6360</v>
      </c>
      <c r="BG411" s="84">
        <f t="shared" si="547"/>
        <v>0</v>
      </c>
      <c r="BH411" s="197"/>
      <c r="BI411" s="518"/>
      <c r="BJ411" s="65"/>
      <c r="BK411" s="81">
        <f t="shared" si="548"/>
        <v>0</v>
      </c>
      <c r="BL411" s="65"/>
      <c r="BM411" s="204"/>
      <c r="BN411" s="156">
        <f>IF(B411&lt;&gt;"",_xlfn.XLOOKUP(B411,'Cronog. e Histog.'!B:B,'Cronog. e Histog.'!EK:EK),0)</f>
        <v>0</v>
      </c>
      <c r="BO411" s="109">
        <f>($O411/Dashboard!$D$15)*(1+Dashboard!$D$19)</f>
        <v>49.276859504132219</v>
      </c>
      <c r="BP411" s="84">
        <f t="shared" si="549"/>
        <v>0</v>
      </c>
      <c r="BQ411" s="65"/>
      <c r="BR411" s="204"/>
      <c r="BS411" s="156">
        <f>IF(B411&lt;&gt;"",_xlfn.XLOOKUP(B411,'Cronog. e Histog.'!B:B,'Cronog. e Histog.'!EL:EL),0)</f>
        <v>0</v>
      </c>
      <c r="BT411" s="109">
        <f>($O411/Dashboard!$D$15)*(1+Dashboard!$D$20)</f>
        <v>57.489669421487591</v>
      </c>
      <c r="BU411" s="84">
        <f t="shared" si="550"/>
        <v>0</v>
      </c>
      <c r="BV411" s="65"/>
      <c r="BW411" s="204"/>
      <c r="BX411" s="156">
        <f>IF(B411&lt;&gt;"",_xlfn.XLOOKUP(B411,'Cronog. e Histog.'!B:B,'Cronog. e Histog.'!EM:EM),0)</f>
        <v>0</v>
      </c>
      <c r="BY411" s="109">
        <f>($O411/Dashboard!$D$15)*(1+Dashboard!$D$21)</f>
        <v>65.702479338842963</v>
      </c>
      <c r="BZ411" s="84">
        <f t="shared" si="551"/>
        <v>0</v>
      </c>
    </row>
    <row r="412" spans="2:78" ht="12" customHeight="1" outlineLevel="1">
      <c r="B412" s="137" t="str">
        <f>'Cronog. e Histog.'!B557</f>
        <v>AN JR. ENG/ARQ - Equipe_01</v>
      </c>
      <c r="C412" s="65"/>
      <c r="D412" s="200">
        <f t="shared" si="517"/>
        <v>0</v>
      </c>
      <c r="E412" s="200">
        <f t="shared" si="518"/>
        <v>0</v>
      </c>
      <c r="F412" s="65"/>
      <c r="G412" s="200">
        <f t="shared" si="519"/>
        <v>0</v>
      </c>
      <c r="H412" s="200">
        <f t="shared" si="520"/>
        <v>0</v>
      </c>
      <c r="I412" s="65"/>
      <c r="J412" s="143" t="str">
        <f>IF('Cronog. e Histog.'!G557&gt;0,'Cronog. e Histog.'!G557,"")</f>
        <v>AN JR. ENG/ARQ</v>
      </c>
      <c r="K412" s="65"/>
      <c r="L412" s="144">
        <f>'Cronog. e Histog.'!BT557</f>
        <v>0</v>
      </c>
      <c r="M412" s="144">
        <f>'Cronog. e Histog.'!BU557</f>
        <v>0</v>
      </c>
      <c r="N412" s="65"/>
      <c r="O412" s="109">
        <f>_xlfn.XLOOKUP(B412,Salários!B:B,Salários!K:K)</f>
        <v>4770</v>
      </c>
      <c r="P412" s="109">
        <f t="shared" si="535"/>
        <v>0</v>
      </c>
      <c r="Q412" s="109">
        <f t="shared" si="536"/>
        <v>0</v>
      </c>
      <c r="R412" s="65"/>
      <c r="S412" s="109">
        <f t="shared" si="537"/>
        <v>4770</v>
      </c>
      <c r="T412" s="201" t="str">
        <f>IF(_xlfn.XLOOKUP(B412,Salários!B:B,Salários!I:I)&gt;0,_xlfn.XLOOKUP(B412,Salários!B:B,Salários!I:I),"")</f>
        <v>Mensalista</v>
      </c>
      <c r="U412" s="117">
        <f t="shared" si="538"/>
        <v>0</v>
      </c>
      <c r="V412" s="65"/>
      <c r="W412" s="202"/>
      <c r="X412" s="65"/>
      <c r="Y412" s="69"/>
      <c r="Z412" s="65"/>
      <c r="AA412" s="518"/>
      <c r="AB412" s="65"/>
      <c r="AC412" s="81">
        <f t="shared" si="539"/>
        <v>0</v>
      </c>
      <c r="AD412" s="65"/>
      <c r="AE412" s="112"/>
      <c r="AF412" s="203">
        <v>0.3</v>
      </c>
      <c r="AG412" s="109">
        <f t="shared" si="540"/>
        <v>4770</v>
      </c>
      <c r="AH412" s="84">
        <f t="shared" si="541"/>
        <v>0</v>
      </c>
      <c r="AI412" s="65"/>
      <c r="AJ412" s="112"/>
      <c r="AK412" s="122"/>
      <c r="AL412" s="109">
        <v>1212</v>
      </c>
      <c r="AM412" s="84">
        <f t="shared" si="542"/>
        <v>0</v>
      </c>
      <c r="AN412" s="65"/>
      <c r="AO412" s="112"/>
      <c r="AP412" s="204"/>
      <c r="AQ412" s="109">
        <f>IFERROR((O412+AH412+AM412)/Dashboard!$D$15,0)*0.2</f>
        <v>4.9276859504132231</v>
      </c>
      <c r="AR412" s="84">
        <f t="shared" si="543"/>
        <v>0</v>
      </c>
      <c r="AS412" s="65"/>
      <c r="AT412" s="112"/>
      <c r="AU412" s="203">
        <v>0.33</v>
      </c>
      <c r="AV412" s="109">
        <f t="shared" si="529"/>
        <v>4770</v>
      </c>
      <c r="AW412" s="84">
        <f t="shared" si="544"/>
        <v>0</v>
      </c>
      <c r="AX412" s="65"/>
      <c r="AY412" s="112"/>
      <c r="AZ412" s="203">
        <v>0.25</v>
      </c>
      <c r="BA412" s="109">
        <f t="shared" si="545"/>
        <v>4770</v>
      </c>
      <c r="BB412" s="84">
        <f t="shared" si="546"/>
        <v>0</v>
      </c>
      <c r="BC412" s="65"/>
      <c r="BD412" s="112"/>
      <c r="BE412" s="203">
        <v>0.26</v>
      </c>
      <c r="BF412" s="109">
        <f t="shared" si="532"/>
        <v>4770</v>
      </c>
      <c r="BG412" s="84">
        <f t="shared" si="547"/>
        <v>0</v>
      </c>
      <c r="BH412" s="197"/>
      <c r="BI412" s="518"/>
      <c r="BJ412" s="65"/>
      <c r="BK412" s="81">
        <f t="shared" si="548"/>
        <v>0</v>
      </c>
      <c r="BL412" s="65"/>
      <c r="BM412" s="204"/>
      <c r="BN412" s="156">
        <f>IF(B412&lt;&gt;"",_xlfn.XLOOKUP(B412,'Cronog. e Histog.'!B:B,'Cronog. e Histog.'!EK:EK),0)</f>
        <v>0</v>
      </c>
      <c r="BO412" s="109">
        <f>($O412/Dashboard!$D$15)*(1+Dashboard!$D$19)</f>
        <v>36.957644628099168</v>
      </c>
      <c r="BP412" s="84">
        <f t="shared" si="549"/>
        <v>0</v>
      </c>
      <c r="BQ412" s="65"/>
      <c r="BR412" s="204"/>
      <c r="BS412" s="156">
        <f>IF(B412&lt;&gt;"",_xlfn.XLOOKUP(B412,'Cronog. e Histog.'!B:B,'Cronog. e Histog.'!EL:EL),0)</f>
        <v>0</v>
      </c>
      <c r="BT412" s="109">
        <f>($O412/Dashboard!$D$15)*(1+Dashboard!$D$20)</f>
        <v>43.117252066115697</v>
      </c>
      <c r="BU412" s="84">
        <f t="shared" si="550"/>
        <v>0</v>
      </c>
      <c r="BV412" s="65"/>
      <c r="BW412" s="204"/>
      <c r="BX412" s="156">
        <f>IF(B412&lt;&gt;"",_xlfn.XLOOKUP(B412,'Cronog. e Histog.'!B:B,'Cronog. e Histog.'!EM:EM),0)</f>
        <v>0</v>
      </c>
      <c r="BY412" s="109">
        <f>($O412/Dashboard!$D$15)*(1+Dashboard!$D$21)</f>
        <v>49.276859504132226</v>
      </c>
      <c r="BZ412" s="84">
        <f t="shared" si="551"/>
        <v>0</v>
      </c>
    </row>
    <row r="413" spans="2:78" ht="12" customHeight="1" outlineLevel="1">
      <c r="B413" s="137" t="str">
        <f>'Cronog. e Histog.'!B558</f>
        <v>AN SR. ADM/CRP - Equipe_01</v>
      </c>
      <c r="C413" s="65"/>
      <c r="D413" s="200">
        <f t="shared" si="517"/>
        <v>0</v>
      </c>
      <c r="E413" s="200">
        <f t="shared" si="518"/>
        <v>0</v>
      </c>
      <c r="F413" s="65"/>
      <c r="G413" s="200">
        <f t="shared" si="519"/>
        <v>0</v>
      </c>
      <c r="H413" s="200">
        <f t="shared" si="520"/>
        <v>0</v>
      </c>
      <c r="I413" s="65"/>
      <c r="J413" s="143" t="str">
        <f>IF('Cronog. e Histog.'!G558&gt;0,'Cronog. e Histog.'!G558,"")</f>
        <v>AN SR. ADM/CRP</v>
      </c>
      <c r="K413" s="65"/>
      <c r="L413" s="144">
        <f>'Cronog. e Histog.'!BT558</f>
        <v>0</v>
      </c>
      <c r="M413" s="144">
        <f>'Cronog. e Histog.'!BU558</f>
        <v>0</v>
      </c>
      <c r="N413" s="65"/>
      <c r="O413" s="109">
        <f>_xlfn.XLOOKUP(B413,Salários!B:B,Salários!K:K)</f>
        <v>7420</v>
      </c>
      <c r="P413" s="109">
        <f t="shared" si="535"/>
        <v>0</v>
      </c>
      <c r="Q413" s="109">
        <f t="shared" si="536"/>
        <v>0</v>
      </c>
      <c r="R413" s="65"/>
      <c r="S413" s="109">
        <f t="shared" si="537"/>
        <v>7420</v>
      </c>
      <c r="T413" s="201" t="str">
        <f>IF(_xlfn.XLOOKUP(B413,Salários!B:B,Salários!I:I)&gt;0,_xlfn.XLOOKUP(B413,Salários!B:B,Salários!I:I),"")</f>
        <v>Mensalista</v>
      </c>
      <c r="U413" s="117">
        <f t="shared" si="538"/>
        <v>0</v>
      </c>
      <c r="V413" s="65"/>
      <c r="W413" s="202"/>
      <c r="X413" s="65"/>
      <c r="Y413" s="69"/>
      <c r="Z413" s="65"/>
      <c r="AA413" s="518"/>
      <c r="AB413" s="65"/>
      <c r="AC413" s="81">
        <f t="shared" si="539"/>
        <v>0</v>
      </c>
      <c r="AD413" s="65"/>
      <c r="AE413" s="112"/>
      <c r="AF413" s="203">
        <v>0.3</v>
      </c>
      <c r="AG413" s="109">
        <f t="shared" si="540"/>
        <v>7420</v>
      </c>
      <c r="AH413" s="84">
        <f t="shared" si="541"/>
        <v>0</v>
      </c>
      <c r="AI413" s="65"/>
      <c r="AJ413" s="112"/>
      <c r="AK413" s="122"/>
      <c r="AL413" s="109">
        <v>1212</v>
      </c>
      <c r="AM413" s="84">
        <f t="shared" si="542"/>
        <v>0</v>
      </c>
      <c r="AN413" s="65"/>
      <c r="AO413" s="112"/>
      <c r="AP413" s="204"/>
      <c r="AQ413" s="109">
        <f>IFERROR((O413+AH413+AM413)/Dashboard!$D$15,0)*0.2</f>
        <v>7.6652892561983466</v>
      </c>
      <c r="AR413" s="84">
        <f t="shared" si="543"/>
        <v>0</v>
      </c>
      <c r="AS413" s="65"/>
      <c r="AT413" s="112"/>
      <c r="AU413" s="203">
        <v>0.33</v>
      </c>
      <c r="AV413" s="109">
        <f t="shared" si="529"/>
        <v>7420</v>
      </c>
      <c r="AW413" s="84">
        <f t="shared" si="544"/>
        <v>0</v>
      </c>
      <c r="AX413" s="65"/>
      <c r="AY413" s="112"/>
      <c r="AZ413" s="203">
        <v>0.25</v>
      </c>
      <c r="BA413" s="109">
        <f t="shared" si="545"/>
        <v>7420</v>
      </c>
      <c r="BB413" s="84">
        <f t="shared" si="546"/>
        <v>0</v>
      </c>
      <c r="BC413" s="65"/>
      <c r="BD413" s="112"/>
      <c r="BE413" s="203">
        <v>0.26</v>
      </c>
      <c r="BF413" s="109">
        <f t="shared" si="532"/>
        <v>7420</v>
      </c>
      <c r="BG413" s="84">
        <f t="shared" si="547"/>
        <v>0</v>
      </c>
      <c r="BH413" s="197"/>
      <c r="BI413" s="518"/>
      <c r="BJ413" s="65"/>
      <c r="BK413" s="81">
        <f t="shared" si="548"/>
        <v>0</v>
      </c>
      <c r="BL413" s="65"/>
      <c r="BM413" s="204"/>
      <c r="BN413" s="156">
        <f>IF(B413&lt;&gt;"",_xlfn.XLOOKUP(B413,'Cronog. e Histog.'!B:B,'Cronog. e Histog.'!EK:EK),0)</f>
        <v>0</v>
      </c>
      <c r="BO413" s="109">
        <f>($O413/Dashboard!$D$15)*(1+Dashboard!$D$19)</f>
        <v>57.489669421487598</v>
      </c>
      <c r="BP413" s="84">
        <f t="shared" si="549"/>
        <v>0</v>
      </c>
      <c r="BQ413" s="65"/>
      <c r="BR413" s="204"/>
      <c r="BS413" s="156">
        <f>IF(B413&lt;&gt;"",_xlfn.XLOOKUP(B413,'Cronog. e Histog.'!B:B,'Cronog. e Histog.'!EL:EL),0)</f>
        <v>0</v>
      </c>
      <c r="BT413" s="109">
        <f>($O413/Dashboard!$D$15)*(1+Dashboard!$D$20)</f>
        <v>67.071280991735534</v>
      </c>
      <c r="BU413" s="84">
        <f t="shared" si="550"/>
        <v>0</v>
      </c>
      <c r="BV413" s="65"/>
      <c r="BW413" s="204"/>
      <c r="BX413" s="156">
        <f>IF(B413&lt;&gt;"",_xlfn.XLOOKUP(B413,'Cronog. e Histog.'!B:B,'Cronog. e Histog.'!EM:EM),0)</f>
        <v>0</v>
      </c>
      <c r="BY413" s="109">
        <f>($O413/Dashboard!$D$15)*(1+Dashboard!$D$21)</f>
        <v>76.652892561983464</v>
      </c>
      <c r="BZ413" s="84">
        <f t="shared" si="551"/>
        <v>0</v>
      </c>
    </row>
    <row r="414" spans="2:78" ht="12" customHeight="1" outlineLevel="1">
      <c r="B414" s="137" t="str">
        <f>'Cronog. e Histog.'!B559</f>
        <v>AN PL. ADM/CRP - Equipe_01</v>
      </c>
      <c r="C414" s="65"/>
      <c r="D414" s="200">
        <f t="shared" si="517"/>
        <v>0</v>
      </c>
      <c r="E414" s="200">
        <f t="shared" si="518"/>
        <v>0</v>
      </c>
      <c r="F414" s="65"/>
      <c r="G414" s="200">
        <f t="shared" si="519"/>
        <v>0</v>
      </c>
      <c r="H414" s="200">
        <f t="shared" si="520"/>
        <v>0</v>
      </c>
      <c r="I414" s="65"/>
      <c r="J414" s="143" t="str">
        <f>IF('Cronog. e Histog.'!G559&gt;0,'Cronog. e Histog.'!G559,"")</f>
        <v>AN PL. ADM/CRP</v>
      </c>
      <c r="K414" s="65"/>
      <c r="L414" s="144">
        <f>'Cronog. e Histog.'!BT559</f>
        <v>0</v>
      </c>
      <c r="M414" s="144">
        <f>'Cronog. e Histog.'!BU559</f>
        <v>0</v>
      </c>
      <c r="N414" s="65"/>
      <c r="O414" s="109">
        <f>_xlfn.XLOOKUP(B414,Salários!B:B,Salários!K:K)</f>
        <v>5300</v>
      </c>
      <c r="P414" s="109">
        <f t="shared" si="535"/>
        <v>0</v>
      </c>
      <c r="Q414" s="109">
        <f t="shared" si="536"/>
        <v>0</v>
      </c>
      <c r="R414" s="65"/>
      <c r="S414" s="109">
        <f t="shared" si="537"/>
        <v>5300</v>
      </c>
      <c r="T414" s="201" t="str">
        <f>IF(_xlfn.XLOOKUP(B414,Salários!B:B,Salários!I:I)&gt;0,_xlfn.XLOOKUP(B414,Salários!B:B,Salários!I:I),"")</f>
        <v>Mensalista</v>
      </c>
      <c r="U414" s="117">
        <f t="shared" si="538"/>
        <v>0</v>
      </c>
      <c r="V414" s="65"/>
      <c r="W414" s="202"/>
      <c r="X414" s="65"/>
      <c r="Y414" s="69"/>
      <c r="Z414" s="65"/>
      <c r="AA414" s="518"/>
      <c r="AB414" s="65"/>
      <c r="AC414" s="81">
        <f t="shared" si="539"/>
        <v>0</v>
      </c>
      <c r="AD414" s="65"/>
      <c r="AE414" s="112"/>
      <c r="AF414" s="203">
        <v>0.3</v>
      </c>
      <c r="AG414" s="109">
        <f t="shared" si="540"/>
        <v>5300</v>
      </c>
      <c r="AH414" s="84">
        <f t="shared" si="541"/>
        <v>0</v>
      </c>
      <c r="AI414" s="65"/>
      <c r="AJ414" s="112"/>
      <c r="AK414" s="122"/>
      <c r="AL414" s="109">
        <v>1212</v>
      </c>
      <c r="AM414" s="84">
        <f t="shared" si="542"/>
        <v>0</v>
      </c>
      <c r="AN414" s="65"/>
      <c r="AO414" s="112"/>
      <c r="AP414" s="204"/>
      <c r="AQ414" s="109">
        <f>IFERROR((O414+AH414+AM414)/Dashboard!$D$15,0)*0.2</f>
        <v>5.4752066115702478</v>
      </c>
      <c r="AR414" s="84">
        <f t="shared" si="543"/>
        <v>0</v>
      </c>
      <c r="AS414" s="65"/>
      <c r="AT414" s="112"/>
      <c r="AU414" s="203">
        <v>0.33</v>
      </c>
      <c r="AV414" s="109">
        <f t="shared" si="529"/>
        <v>5300</v>
      </c>
      <c r="AW414" s="84">
        <f t="shared" si="544"/>
        <v>0</v>
      </c>
      <c r="AX414" s="65"/>
      <c r="AY414" s="112"/>
      <c r="AZ414" s="203">
        <v>0.25</v>
      </c>
      <c r="BA414" s="109">
        <f t="shared" si="545"/>
        <v>5300</v>
      </c>
      <c r="BB414" s="84">
        <f t="shared" si="546"/>
        <v>0</v>
      </c>
      <c r="BC414" s="65"/>
      <c r="BD414" s="112"/>
      <c r="BE414" s="203">
        <v>0.26</v>
      </c>
      <c r="BF414" s="109">
        <f t="shared" si="532"/>
        <v>5300</v>
      </c>
      <c r="BG414" s="84">
        <f t="shared" si="547"/>
        <v>0</v>
      </c>
      <c r="BH414" s="197"/>
      <c r="BI414" s="518"/>
      <c r="BJ414" s="65"/>
      <c r="BK414" s="81">
        <f t="shared" si="548"/>
        <v>0</v>
      </c>
      <c r="BL414" s="65"/>
      <c r="BM414" s="204"/>
      <c r="BN414" s="156">
        <f>IF(B414&lt;&gt;"",_xlfn.XLOOKUP(B414,'Cronog. e Histog.'!B:B,'Cronog. e Histog.'!EK:EK),0)</f>
        <v>0</v>
      </c>
      <c r="BO414" s="109">
        <f>($O414/Dashboard!$D$15)*(1+Dashboard!$D$19)</f>
        <v>41.064049586776861</v>
      </c>
      <c r="BP414" s="84">
        <f t="shared" si="549"/>
        <v>0</v>
      </c>
      <c r="BQ414" s="65"/>
      <c r="BR414" s="204"/>
      <c r="BS414" s="156">
        <f>IF(B414&lt;&gt;"",_xlfn.XLOOKUP(B414,'Cronog. e Histog.'!B:B,'Cronog. e Histog.'!EL:EL),0)</f>
        <v>0</v>
      </c>
      <c r="BT414" s="109">
        <f>($O414/Dashboard!$D$15)*(1+Dashboard!$D$20)</f>
        <v>47.908057851239668</v>
      </c>
      <c r="BU414" s="84">
        <f t="shared" si="550"/>
        <v>0</v>
      </c>
      <c r="BV414" s="65"/>
      <c r="BW414" s="204"/>
      <c r="BX414" s="156">
        <f>IF(B414&lt;&gt;"",_xlfn.XLOOKUP(B414,'Cronog. e Histog.'!B:B,'Cronog. e Histog.'!EM:EM),0)</f>
        <v>0</v>
      </c>
      <c r="BY414" s="109">
        <f>($O414/Dashboard!$D$15)*(1+Dashboard!$D$21)</f>
        <v>54.752066115702476</v>
      </c>
      <c r="BZ414" s="84">
        <f t="shared" si="551"/>
        <v>0</v>
      </c>
    </row>
    <row r="415" spans="2:78" ht="12" customHeight="1" outlineLevel="1">
      <c r="B415" s="137" t="str">
        <f>'Cronog. e Histog.'!B560</f>
        <v>AN JR. ADM/CRP - Equipe_01</v>
      </c>
      <c r="C415" s="65"/>
      <c r="D415" s="200">
        <f t="shared" si="517"/>
        <v>0</v>
      </c>
      <c r="E415" s="200">
        <f t="shared" si="518"/>
        <v>0</v>
      </c>
      <c r="F415" s="65"/>
      <c r="G415" s="200">
        <f t="shared" si="519"/>
        <v>0</v>
      </c>
      <c r="H415" s="200">
        <f t="shared" si="520"/>
        <v>0</v>
      </c>
      <c r="I415" s="65"/>
      <c r="J415" s="143" t="str">
        <f>IF('Cronog. e Histog.'!G560&gt;0,'Cronog. e Histog.'!G560,"")</f>
        <v>AN JR. ADM/CRP</v>
      </c>
      <c r="K415" s="65"/>
      <c r="L415" s="144">
        <f>'Cronog. e Histog.'!BT560</f>
        <v>0</v>
      </c>
      <c r="M415" s="144">
        <f>'Cronog. e Histog.'!BU560</f>
        <v>0</v>
      </c>
      <c r="N415" s="65"/>
      <c r="O415" s="109">
        <f>_xlfn.XLOOKUP(B415,Salários!B:B,Salários!K:K)</f>
        <v>3710</v>
      </c>
      <c r="P415" s="109">
        <f t="shared" si="535"/>
        <v>0</v>
      </c>
      <c r="Q415" s="109">
        <f t="shared" si="536"/>
        <v>0</v>
      </c>
      <c r="R415" s="65"/>
      <c r="S415" s="109">
        <f t="shared" si="537"/>
        <v>3710</v>
      </c>
      <c r="T415" s="201" t="str">
        <f>IF(_xlfn.XLOOKUP(B415,Salários!B:B,Salários!I:I)&gt;0,_xlfn.XLOOKUP(B415,Salários!B:B,Salários!I:I),"")</f>
        <v>Mensalista</v>
      </c>
      <c r="U415" s="117">
        <f t="shared" si="524"/>
        <v>0</v>
      </c>
      <c r="V415" s="65"/>
      <c r="W415" s="202"/>
      <c r="X415" s="65"/>
      <c r="Y415" s="69"/>
      <c r="Z415" s="65"/>
      <c r="AA415" s="518"/>
      <c r="AB415" s="65"/>
      <c r="AC415" s="81">
        <f t="shared" si="525"/>
        <v>0</v>
      </c>
      <c r="AD415" s="65"/>
      <c r="AE415" s="112"/>
      <c r="AF415" s="203">
        <v>0.3</v>
      </c>
      <c r="AG415" s="109">
        <f t="shared" si="44"/>
        <v>3710</v>
      </c>
      <c r="AH415" s="84">
        <f t="shared" si="526"/>
        <v>0</v>
      </c>
      <c r="AI415" s="65"/>
      <c r="AJ415" s="112"/>
      <c r="AK415" s="122"/>
      <c r="AL415" s="109">
        <v>1212</v>
      </c>
      <c r="AM415" s="84">
        <f t="shared" si="527"/>
        <v>0</v>
      </c>
      <c r="AN415" s="65"/>
      <c r="AO415" s="112"/>
      <c r="AP415" s="204"/>
      <c r="AQ415" s="109">
        <f>IFERROR((O415+AH415+AM415)/Dashboard!$D$15,0)*0.2</f>
        <v>3.8326446280991733</v>
      </c>
      <c r="AR415" s="84">
        <f t="shared" si="528"/>
        <v>0</v>
      </c>
      <c r="AS415" s="65"/>
      <c r="AT415" s="112"/>
      <c r="AU415" s="203">
        <v>0.33</v>
      </c>
      <c r="AV415" s="109">
        <f t="shared" si="529"/>
        <v>3710</v>
      </c>
      <c r="AW415" s="84">
        <f t="shared" si="530"/>
        <v>0</v>
      </c>
      <c r="AX415" s="65"/>
      <c r="AY415" s="112"/>
      <c r="AZ415" s="203">
        <v>0.25</v>
      </c>
      <c r="BA415" s="109">
        <f t="shared" si="50"/>
        <v>3710</v>
      </c>
      <c r="BB415" s="84">
        <f t="shared" si="531"/>
        <v>0</v>
      </c>
      <c r="BC415" s="65"/>
      <c r="BD415" s="112"/>
      <c r="BE415" s="203">
        <v>0.26</v>
      </c>
      <c r="BF415" s="109">
        <f t="shared" si="532"/>
        <v>3710</v>
      </c>
      <c r="BG415" s="84">
        <f t="shared" si="533"/>
        <v>0</v>
      </c>
      <c r="BH415" s="197"/>
      <c r="BI415" s="518"/>
      <c r="BJ415" s="65"/>
      <c r="BK415" s="81">
        <f t="shared" si="534"/>
        <v>0</v>
      </c>
      <c r="BL415" s="65"/>
      <c r="BM415" s="204"/>
      <c r="BN415" s="156">
        <f>IF(B415&lt;&gt;"",_xlfn.XLOOKUP(B415,'Cronog. e Histog.'!B:B,'Cronog. e Histog.'!EK:EK),0)</f>
        <v>0</v>
      </c>
      <c r="BO415" s="109">
        <f>($O415/Dashboard!$D$15)*(1+Dashboard!$D$19)</f>
        <v>28.744834710743799</v>
      </c>
      <c r="BP415" s="84">
        <f t="shared" si="549"/>
        <v>0</v>
      </c>
      <c r="BQ415" s="65"/>
      <c r="BR415" s="204"/>
      <c r="BS415" s="156">
        <f>IF(B415&lt;&gt;"",_xlfn.XLOOKUP(B415,'Cronog. e Histog.'!B:B,'Cronog. e Histog.'!EL:EL),0)</f>
        <v>0</v>
      </c>
      <c r="BT415" s="109">
        <f>($O415/Dashboard!$D$15)*(1+Dashboard!$D$20)</f>
        <v>33.535640495867767</v>
      </c>
      <c r="BU415" s="84">
        <f t="shared" si="550"/>
        <v>0</v>
      </c>
      <c r="BV415" s="65"/>
      <c r="BW415" s="204"/>
      <c r="BX415" s="156">
        <f>IF(B415&lt;&gt;"",_xlfn.XLOOKUP(B415,'Cronog. e Histog.'!B:B,'Cronog. e Histog.'!EM:EM),0)</f>
        <v>0</v>
      </c>
      <c r="BY415" s="109">
        <f>($O415/Dashboard!$D$15)*(1+Dashboard!$D$21)</f>
        <v>38.326446280991732</v>
      </c>
      <c r="BZ415" s="84">
        <f t="shared" si="551"/>
        <v>0</v>
      </c>
    </row>
    <row r="416" spans="2:78" ht="12" customHeight="1" outlineLevel="1">
      <c r="B416" s="137" t="str">
        <f>'Cronog. e Histog.'!B561</f>
        <v>TEC III - Equipe_01</v>
      </c>
      <c r="C416" s="65"/>
      <c r="D416" s="200">
        <f t="shared" si="517"/>
        <v>0</v>
      </c>
      <c r="E416" s="200">
        <f t="shared" si="518"/>
        <v>0</v>
      </c>
      <c r="F416" s="65"/>
      <c r="G416" s="200">
        <f t="shared" si="519"/>
        <v>0</v>
      </c>
      <c r="H416" s="200">
        <f t="shared" si="520"/>
        <v>0</v>
      </c>
      <c r="I416" s="65"/>
      <c r="J416" s="143" t="str">
        <f>IF('Cronog. e Histog.'!G561&gt;0,'Cronog. e Histog.'!G561,"")</f>
        <v>TEC III</v>
      </c>
      <c r="K416" s="65"/>
      <c r="L416" s="144">
        <f>'Cronog. e Histog.'!BT561</f>
        <v>0</v>
      </c>
      <c r="M416" s="144">
        <f>'Cronog. e Histog.'!BU561</f>
        <v>0</v>
      </c>
      <c r="N416" s="65"/>
      <c r="O416" s="109">
        <f>_xlfn.XLOOKUP(B416,Salários!B:B,Salários!K:K)</f>
        <v>6360</v>
      </c>
      <c r="P416" s="109">
        <f t="shared" si="535"/>
        <v>0</v>
      </c>
      <c r="Q416" s="109">
        <f t="shared" si="536"/>
        <v>0</v>
      </c>
      <c r="R416" s="65"/>
      <c r="S416" s="109">
        <f t="shared" si="537"/>
        <v>6360</v>
      </c>
      <c r="T416" s="201" t="str">
        <f>IF(_xlfn.XLOOKUP(B416,Salários!B:B,Salários!I:I)&gt;0,_xlfn.XLOOKUP(B416,Salários!B:B,Salários!I:I),"")</f>
        <v>Mensalista</v>
      </c>
      <c r="U416" s="117">
        <f t="shared" si="524"/>
        <v>0</v>
      </c>
      <c r="V416" s="65"/>
      <c r="W416" s="202"/>
      <c r="X416" s="65"/>
      <c r="Y416" s="69"/>
      <c r="Z416" s="65"/>
      <c r="AA416" s="518"/>
      <c r="AB416" s="65"/>
      <c r="AC416" s="81">
        <f t="shared" si="525"/>
        <v>0</v>
      </c>
      <c r="AD416" s="65"/>
      <c r="AE416" s="112"/>
      <c r="AF416" s="203">
        <v>0.3</v>
      </c>
      <c r="AG416" s="109">
        <f t="shared" si="44"/>
        <v>6360</v>
      </c>
      <c r="AH416" s="84">
        <f t="shared" si="526"/>
        <v>0</v>
      </c>
      <c r="AI416" s="65"/>
      <c r="AJ416" s="112"/>
      <c r="AK416" s="122"/>
      <c r="AL416" s="109">
        <v>1212</v>
      </c>
      <c r="AM416" s="84">
        <f t="shared" si="527"/>
        <v>0</v>
      </c>
      <c r="AN416" s="65"/>
      <c r="AO416" s="112"/>
      <c r="AP416" s="204"/>
      <c r="AQ416" s="109">
        <f>IFERROR((O416+AH416+AM416)/Dashboard!$D$15,0)*0.2</f>
        <v>6.5702479338842963</v>
      </c>
      <c r="AR416" s="84">
        <f t="shared" si="528"/>
        <v>0</v>
      </c>
      <c r="AS416" s="65"/>
      <c r="AT416" s="112"/>
      <c r="AU416" s="203">
        <v>0.33</v>
      </c>
      <c r="AV416" s="109">
        <f t="shared" si="529"/>
        <v>6360</v>
      </c>
      <c r="AW416" s="84">
        <f t="shared" si="530"/>
        <v>0</v>
      </c>
      <c r="AX416" s="65"/>
      <c r="AY416" s="112"/>
      <c r="AZ416" s="203">
        <v>0.25</v>
      </c>
      <c r="BA416" s="109">
        <f t="shared" si="50"/>
        <v>6360</v>
      </c>
      <c r="BB416" s="84">
        <f t="shared" si="531"/>
        <v>0</v>
      </c>
      <c r="BC416" s="65"/>
      <c r="BD416" s="112"/>
      <c r="BE416" s="203">
        <v>0.26</v>
      </c>
      <c r="BF416" s="109">
        <f t="shared" si="532"/>
        <v>6360</v>
      </c>
      <c r="BG416" s="84">
        <f t="shared" si="533"/>
        <v>0</v>
      </c>
      <c r="BH416" s="197"/>
      <c r="BI416" s="518"/>
      <c r="BJ416" s="65"/>
      <c r="BK416" s="81">
        <f t="shared" si="534"/>
        <v>0</v>
      </c>
      <c r="BL416" s="65"/>
      <c r="BM416" s="204"/>
      <c r="BN416" s="156">
        <f>IF(B416&lt;&gt;"",_xlfn.XLOOKUP(B416,'Cronog. e Histog.'!B:B,'Cronog. e Histog.'!EK:EK),0)</f>
        <v>0</v>
      </c>
      <c r="BO416" s="109">
        <f>($O416/Dashboard!$D$15)*(1+Dashboard!$D$19)</f>
        <v>49.276859504132219</v>
      </c>
      <c r="BP416" s="84">
        <f t="shared" si="549"/>
        <v>0</v>
      </c>
      <c r="BQ416" s="65"/>
      <c r="BR416" s="204"/>
      <c r="BS416" s="156">
        <f>IF(B416&lt;&gt;"",_xlfn.XLOOKUP(B416,'Cronog. e Histog.'!B:B,'Cronog. e Histog.'!EL:EL),0)</f>
        <v>0</v>
      </c>
      <c r="BT416" s="109">
        <f>($O416/Dashboard!$D$15)*(1+Dashboard!$D$20)</f>
        <v>57.489669421487591</v>
      </c>
      <c r="BU416" s="84">
        <f t="shared" si="550"/>
        <v>0</v>
      </c>
      <c r="BV416" s="65"/>
      <c r="BW416" s="204"/>
      <c r="BX416" s="156">
        <f>IF(B416&lt;&gt;"",_xlfn.XLOOKUP(B416,'Cronog. e Histog.'!B:B,'Cronog. e Histog.'!EM:EM),0)</f>
        <v>0</v>
      </c>
      <c r="BY416" s="109">
        <f>($O416/Dashboard!$D$15)*(1+Dashboard!$D$21)</f>
        <v>65.702479338842963</v>
      </c>
      <c r="BZ416" s="84">
        <f t="shared" si="551"/>
        <v>0</v>
      </c>
    </row>
    <row r="417" spans="2:78" ht="12" customHeight="1" outlineLevel="1">
      <c r="B417" s="137" t="str">
        <f>'Cronog. e Histog.'!B562</f>
        <v>TEC II - Equipe_01</v>
      </c>
      <c r="C417" s="65"/>
      <c r="D417" s="200">
        <f t="shared" si="517"/>
        <v>0</v>
      </c>
      <c r="E417" s="200">
        <f t="shared" si="518"/>
        <v>0</v>
      </c>
      <c r="F417" s="65"/>
      <c r="G417" s="200">
        <f t="shared" si="519"/>
        <v>0</v>
      </c>
      <c r="H417" s="200">
        <f t="shared" si="520"/>
        <v>0</v>
      </c>
      <c r="I417" s="65"/>
      <c r="J417" s="143" t="str">
        <f>IF('Cronog. e Histog.'!G562&gt;0,'Cronog. e Histog.'!G562,"")</f>
        <v>TEC II</v>
      </c>
      <c r="K417" s="65"/>
      <c r="L417" s="144">
        <f>'Cronog. e Histog.'!BT562</f>
        <v>0</v>
      </c>
      <c r="M417" s="144">
        <f>'Cronog. e Histog.'!BU562</f>
        <v>0</v>
      </c>
      <c r="N417" s="65"/>
      <c r="O417" s="109">
        <f>_xlfn.XLOOKUP(B417,Salários!B:B,Salários!K:K)</f>
        <v>4770</v>
      </c>
      <c r="P417" s="109">
        <f t="shared" si="535"/>
        <v>0</v>
      </c>
      <c r="Q417" s="109">
        <f t="shared" si="536"/>
        <v>0</v>
      </c>
      <c r="R417" s="65"/>
      <c r="S417" s="109">
        <f t="shared" si="537"/>
        <v>4770</v>
      </c>
      <c r="T417" s="201" t="str">
        <f>IF(_xlfn.XLOOKUP(B417,Salários!B:B,Salários!I:I)&gt;0,_xlfn.XLOOKUP(B417,Salários!B:B,Salários!I:I),"")</f>
        <v>Mensalista</v>
      </c>
      <c r="U417" s="117">
        <f t="shared" si="524"/>
        <v>0</v>
      </c>
      <c r="V417" s="65"/>
      <c r="W417" s="202"/>
      <c r="X417" s="65"/>
      <c r="Y417" s="69"/>
      <c r="Z417" s="65"/>
      <c r="AA417" s="518"/>
      <c r="AB417" s="65"/>
      <c r="AC417" s="81">
        <f t="shared" si="525"/>
        <v>0</v>
      </c>
      <c r="AD417" s="65"/>
      <c r="AE417" s="112"/>
      <c r="AF417" s="203">
        <v>0.3</v>
      </c>
      <c r="AG417" s="109">
        <f t="shared" si="44"/>
        <v>4770</v>
      </c>
      <c r="AH417" s="84">
        <f t="shared" si="526"/>
        <v>0</v>
      </c>
      <c r="AI417" s="65"/>
      <c r="AJ417" s="112"/>
      <c r="AK417" s="122"/>
      <c r="AL417" s="109">
        <v>1212</v>
      </c>
      <c r="AM417" s="84">
        <f t="shared" si="527"/>
        <v>0</v>
      </c>
      <c r="AN417" s="65"/>
      <c r="AO417" s="112"/>
      <c r="AP417" s="204"/>
      <c r="AQ417" s="109">
        <f>IFERROR((O417+AH417+AM417)/Dashboard!$D$15,0)*0.2</f>
        <v>4.9276859504132231</v>
      </c>
      <c r="AR417" s="84">
        <f t="shared" si="528"/>
        <v>0</v>
      </c>
      <c r="AS417" s="65"/>
      <c r="AT417" s="112"/>
      <c r="AU417" s="203">
        <v>0.33</v>
      </c>
      <c r="AV417" s="109">
        <f t="shared" si="529"/>
        <v>4770</v>
      </c>
      <c r="AW417" s="84">
        <f t="shared" si="530"/>
        <v>0</v>
      </c>
      <c r="AX417" s="65"/>
      <c r="AY417" s="112"/>
      <c r="AZ417" s="203">
        <v>0.25</v>
      </c>
      <c r="BA417" s="109">
        <f t="shared" si="50"/>
        <v>4770</v>
      </c>
      <c r="BB417" s="84">
        <f t="shared" si="531"/>
        <v>0</v>
      </c>
      <c r="BC417" s="65"/>
      <c r="BD417" s="112"/>
      <c r="BE417" s="203">
        <v>0.26</v>
      </c>
      <c r="BF417" s="109">
        <f t="shared" si="532"/>
        <v>4770</v>
      </c>
      <c r="BG417" s="84">
        <f t="shared" si="533"/>
        <v>0</v>
      </c>
      <c r="BH417" s="197"/>
      <c r="BI417" s="518"/>
      <c r="BJ417" s="65"/>
      <c r="BK417" s="81">
        <f t="shared" si="534"/>
        <v>0</v>
      </c>
      <c r="BL417" s="65"/>
      <c r="BM417" s="204"/>
      <c r="BN417" s="156">
        <f>IF(B417&lt;&gt;"",_xlfn.XLOOKUP(B417,'Cronog. e Histog.'!B:B,'Cronog. e Histog.'!EK:EK),0)</f>
        <v>0</v>
      </c>
      <c r="BO417" s="109">
        <f>($O417/Dashboard!$D$15)*(1+Dashboard!$D$19)</f>
        <v>36.957644628099168</v>
      </c>
      <c r="BP417" s="84">
        <f t="shared" si="549"/>
        <v>0</v>
      </c>
      <c r="BQ417" s="65"/>
      <c r="BR417" s="204"/>
      <c r="BS417" s="156">
        <f>IF(B417&lt;&gt;"",_xlfn.XLOOKUP(B417,'Cronog. e Histog.'!B:B,'Cronog. e Histog.'!EL:EL),0)</f>
        <v>0</v>
      </c>
      <c r="BT417" s="109">
        <f>($O417/Dashboard!$D$15)*(1+Dashboard!$D$20)</f>
        <v>43.117252066115697</v>
      </c>
      <c r="BU417" s="84">
        <f t="shared" si="550"/>
        <v>0</v>
      </c>
      <c r="BV417" s="65"/>
      <c r="BW417" s="204"/>
      <c r="BX417" s="156">
        <f>IF(B417&lt;&gt;"",_xlfn.XLOOKUP(B417,'Cronog. e Histog.'!B:B,'Cronog. e Histog.'!EM:EM),0)</f>
        <v>0</v>
      </c>
      <c r="BY417" s="109">
        <f>($O417/Dashboard!$D$15)*(1+Dashboard!$D$21)</f>
        <v>49.276859504132226</v>
      </c>
      <c r="BZ417" s="84">
        <f t="shared" si="551"/>
        <v>0</v>
      </c>
    </row>
    <row r="418" spans="2:78" ht="12" customHeight="1" outlineLevel="1">
      <c r="B418" s="137" t="str">
        <f>'Cronog. e Histog.'!B563</f>
        <v>TEC I - Equipe_01</v>
      </c>
      <c r="C418" s="65"/>
      <c r="D418" s="200">
        <f t="shared" si="517"/>
        <v>0</v>
      </c>
      <c r="E418" s="200">
        <f t="shared" si="518"/>
        <v>0</v>
      </c>
      <c r="F418" s="65"/>
      <c r="G418" s="200">
        <f t="shared" si="519"/>
        <v>0</v>
      </c>
      <c r="H418" s="200">
        <f t="shared" si="520"/>
        <v>0</v>
      </c>
      <c r="I418" s="65"/>
      <c r="J418" s="143" t="str">
        <f>IF('Cronog. e Histog.'!G563&gt;0,'Cronog. e Histog.'!G563,"")</f>
        <v>TEC I</v>
      </c>
      <c r="K418" s="65"/>
      <c r="L418" s="144">
        <f>'Cronog. e Histog.'!BT563</f>
        <v>0</v>
      </c>
      <c r="M418" s="144">
        <f>'Cronog. e Histog.'!BU563</f>
        <v>0</v>
      </c>
      <c r="N418" s="65"/>
      <c r="O418" s="109">
        <f>_xlfn.XLOOKUP(B418,Salários!B:B,Salários!K:K)</f>
        <v>3180</v>
      </c>
      <c r="P418" s="109">
        <f t="shared" si="535"/>
        <v>0</v>
      </c>
      <c r="Q418" s="109">
        <f t="shared" si="536"/>
        <v>0</v>
      </c>
      <c r="R418" s="65"/>
      <c r="S418" s="109">
        <f t="shared" si="537"/>
        <v>3180</v>
      </c>
      <c r="T418" s="201" t="str">
        <f>IF(_xlfn.XLOOKUP(B418,Salários!B:B,Salários!I:I)&gt;0,_xlfn.XLOOKUP(B418,Salários!B:B,Salários!I:I),"")</f>
        <v>Mensalista</v>
      </c>
      <c r="U418" s="117">
        <f t="shared" si="524"/>
        <v>0</v>
      </c>
      <c r="V418" s="65"/>
      <c r="W418" s="202"/>
      <c r="X418" s="65"/>
      <c r="Y418" s="69"/>
      <c r="Z418" s="65"/>
      <c r="AA418" s="518"/>
      <c r="AB418" s="65"/>
      <c r="AC418" s="81">
        <f t="shared" si="525"/>
        <v>0</v>
      </c>
      <c r="AD418" s="65"/>
      <c r="AE418" s="112"/>
      <c r="AF418" s="203">
        <v>0.3</v>
      </c>
      <c r="AG418" s="109">
        <f t="shared" si="44"/>
        <v>3180</v>
      </c>
      <c r="AH418" s="84">
        <f t="shared" si="526"/>
        <v>0</v>
      </c>
      <c r="AI418" s="65"/>
      <c r="AJ418" s="112"/>
      <c r="AK418" s="122"/>
      <c r="AL418" s="109">
        <v>1212</v>
      </c>
      <c r="AM418" s="84">
        <f t="shared" si="527"/>
        <v>0</v>
      </c>
      <c r="AN418" s="65"/>
      <c r="AO418" s="112"/>
      <c r="AP418" s="204"/>
      <c r="AQ418" s="109">
        <f>IFERROR((O418+AH418+AM418)/Dashboard!$D$15,0)*0.2</f>
        <v>3.2851239669421481</v>
      </c>
      <c r="AR418" s="84">
        <f t="shared" si="528"/>
        <v>0</v>
      </c>
      <c r="AS418" s="65"/>
      <c r="AT418" s="112"/>
      <c r="AU418" s="203">
        <v>0.33</v>
      </c>
      <c r="AV418" s="109">
        <f t="shared" si="529"/>
        <v>3180</v>
      </c>
      <c r="AW418" s="84">
        <f t="shared" si="530"/>
        <v>0</v>
      </c>
      <c r="AX418" s="65"/>
      <c r="AY418" s="112"/>
      <c r="AZ418" s="203">
        <v>0.25</v>
      </c>
      <c r="BA418" s="109">
        <f t="shared" si="50"/>
        <v>3180</v>
      </c>
      <c r="BB418" s="84">
        <f t="shared" si="531"/>
        <v>0</v>
      </c>
      <c r="BC418" s="65"/>
      <c r="BD418" s="112"/>
      <c r="BE418" s="203">
        <v>0.26</v>
      </c>
      <c r="BF418" s="109">
        <f t="shared" si="532"/>
        <v>3180</v>
      </c>
      <c r="BG418" s="84">
        <f t="shared" si="533"/>
        <v>0</v>
      </c>
      <c r="BH418" s="197"/>
      <c r="BI418" s="518"/>
      <c r="BJ418" s="65"/>
      <c r="BK418" s="81">
        <f t="shared" si="534"/>
        <v>0</v>
      </c>
      <c r="BL418" s="65"/>
      <c r="BM418" s="204"/>
      <c r="BN418" s="156">
        <f>IF(B418&lt;&gt;"",_xlfn.XLOOKUP(B418,'Cronog. e Histog.'!B:B,'Cronog. e Histog.'!EK:EK),0)</f>
        <v>0</v>
      </c>
      <c r="BO418" s="109">
        <f>($O418/Dashboard!$D$15)*(1+Dashboard!$D$19)</f>
        <v>24.638429752066109</v>
      </c>
      <c r="BP418" s="84">
        <f t="shared" si="549"/>
        <v>0</v>
      </c>
      <c r="BQ418" s="65"/>
      <c r="BR418" s="204"/>
      <c r="BS418" s="156">
        <f>IF(B418&lt;&gt;"",_xlfn.XLOOKUP(B418,'Cronog. e Histog.'!B:B,'Cronog. e Histog.'!EL:EL),0)</f>
        <v>0</v>
      </c>
      <c r="BT418" s="109">
        <f>($O418/Dashboard!$D$15)*(1+Dashboard!$D$20)</f>
        <v>28.744834710743795</v>
      </c>
      <c r="BU418" s="84">
        <f t="shared" si="550"/>
        <v>0</v>
      </c>
      <c r="BV418" s="65"/>
      <c r="BW418" s="204"/>
      <c r="BX418" s="156">
        <f>IF(B418&lt;&gt;"",_xlfn.XLOOKUP(B418,'Cronog. e Histog.'!B:B,'Cronog. e Histog.'!EM:EM),0)</f>
        <v>0</v>
      </c>
      <c r="BY418" s="109">
        <f>($O418/Dashboard!$D$15)*(1+Dashboard!$D$21)</f>
        <v>32.851239669421481</v>
      </c>
      <c r="BZ418" s="84">
        <f t="shared" si="551"/>
        <v>0</v>
      </c>
    </row>
    <row r="419" spans="2:78" ht="12" customHeight="1" outlineLevel="1">
      <c r="B419" s="137" t="str">
        <f>'Cronog. e Histog.'!B564</f>
        <v>AUX TEC - Equipe_01</v>
      </c>
      <c r="C419" s="65"/>
      <c r="D419" s="200">
        <f t="shared" si="517"/>
        <v>0</v>
      </c>
      <c r="E419" s="200">
        <f t="shared" si="518"/>
        <v>0</v>
      </c>
      <c r="F419" s="65"/>
      <c r="G419" s="200">
        <f t="shared" si="519"/>
        <v>0</v>
      </c>
      <c r="H419" s="200">
        <f t="shared" si="520"/>
        <v>0</v>
      </c>
      <c r="I419" s="65"/>
      <c r="J419" s="143" t="str">
        <f>IF('Cronog. e Histog.'!G564&gt;0,'Cronog. e Histog.'!G564,"")</f>
        <v>AUX TEC</v>
      </c>
      <c r="K419" s="65"/>
      <c r="L419" s="144">
        <f>'Cronog. e Histog.'!BT564</f>
        <v>0</v>
      </c>
      <c r="M419" s="144">
        <f>'Cronog. e Histog.'!BU564</f>
        <v>0</v>
      </c>
      <c r="N419" s="65"/>
      <c r="O419" s="109">
        <f>_xlfn.XLOOKUP(B419,Salários!B:B,Salários!K:K)</f>
        <v>3710</v>
      </c>
      <c r="P419" s="109">
        <f t="shared" si="535"/>
        <v>0</v>
      </c>
      <c r="Q419" s="109">
        <f t="shared" si="536"/>
        <v>0</v>
      </c>
      <c r="R419" s="65"/>
      <c r="S419" s="109">
        <f t="shared" si="537"/>
        <v>3710</v>
      </c>
      <c r="T419" s="201" t="str">
        <f>IF(_xlfn.XLOOKUP(B419,Salários!B:B,Salários!I:I)&gt;0,_xlfn.XLOOKUP(B419,Salários!B:B,Salários!I:I),"")</f>
        <v>Mensalista</v>
      </c>
      <c r="U419" s="117">
        <f t="shared" si="524"/>
        <v>0</v>
      </c>
      <c r="V419" s="65"/>
      <c r="W419" s="202"/>
      <c r="X419" s="65"/>
      <c r="Y419" s="69"/>
      <c r="Z419" s="65"/>
      <c r="AA419" s="518"/>
      <c r="AB419" s="65"/>
      <c r="AC419" s="81">
        <f t="shared" si="525"/>
        <v>0</v>
      </c>
      <c r="AD419" s="65"/>
      <c r="AE419" s="112"/>
      <c r="AF419" s="203">
        <v>0.3</v>
      </c>
      <c r="AG419" s="109">
        <f t="shared" si="44"/>
        <v>3710</v>
      </c>
      <c r="AH419" s="84">
        <f t="shared" si="526"/>
        <v>0</v>
      </c>
      <c r="AI419" s="65"/>
      <c r="AJ419" s="112"/>
      <c r="AK419" s="122"/>
      <c r="AL419" s="109">
        <v>1212</v>
      </c>
      <c r="AM419" s="84">
        <f t="shared" si="527"/>
        <v>0</v>
      </c>
      <c r="AN419" s="65"/>
      <c r="AO419" s="112"/>
      <c r="AP419" s="204"/>
      <c r="AQ419" s="109">
        <f>IFERROR((O419+AH419+AM419)/Dashboard!$D$15,0)*0.2</f>
        <v>3.8326446280991733</v>
      </c>
      <c r="AR419" s="84">
        <f t="shared" si="528"/>
        <v>0</v>
      </c>
      <c r="AS419" s="65"/>
      <c r="AT419" s="112"/>
      <c r="AU419" s="203">
        <v>0.33</v>
      </c>
      <c r="AV419" s="109">
        <f t="shared" si="529"/>
        <v>3710</v>
      </c>
      <c r="AW419" s="84">
        <f t="shared" si="530"/>
        <v>0</v>
      </c>
      <c r="AX419" s="65"/>
      <c r="AY419" s="112"/>
      <c r="AZ419" s="203">
        <v>0.25</v>
      </c>
      <c r="BA419" s="109">
        <f t="shared" si="50"/>
        <v>3710</v>
      </c>
      <c r="BB419" s="84">
        <f t="shared" si="531"/>
        <v>0</v>
      </c>
      <c r="BC419" s="65"/>
      <c r="BD419" s="112"/>
      <c r="BE419" s="203">
        <v>0.26</v>
      </c>
      <c r="BF419" s="109">
        <f t="shared" si="532"/>
        <v>3710</v>
      </c>
      <c r="BG419" s="84">
        <f t="shared" si="533"/>
        <v>0</v>
      </c>
      <c r="BH419" s="197"/>
      <c r="BI419" s="518"/>
      <c r="BJ419" s="65"/>
      <c r="BK419" s="81">
        <f t="shared" si="534"/>
        <v>0</v>
      </c>
      <c r="BL419" s="65"/>
      <c r="BM419" s="204"/>
      <c r="BN419" s="156">
        <f>IF(B419&lt;&gt;"",_xlfn.XLOOKUP(B419,'Cronog. e Histog.'!B:B,'Cronog. e Histog.'!EK:EK),0)</f>
        <v>0</v>
      </c>
      <c r="BO419" s="109">
        <f>($O419/Dashboard!$D$15)*(1+Dashboard!$D$19)</f>
        <v>28.744834710743799</v>
      </c>
      <c r="BP419" s="84">
        <f t="shared" si="549"/>
        <v>0</v>
      </c>
      <c r="BQ419" s="65"/>
      <c r="BR419" s="204"/>
      <c r="BS419" s="156">
        <f>IF(B419&lt;&gt;"",_xlfn.XLOOKUP(B419,'Cronog. e Histog.'!B:B,'Cronog. e Histog.'!EL:EL),0)</f>
        <v>0</v>
      </c>
      <c r="BT419" s="109">
        <f>($O419/Dashboard!$D$15)*(1+Dashboard!$D$20)</f>
        <v>33.535640495867767</v>
      </c>
      <c r="BU419" s="84">
        <f t="shared" si="550"/>
        <v>0</v>
      </c>
      <c r="BV419" s="65"/>
      <c r="BW419" s="204"/>
      <c r="BX419" s="156">
        <f>IF(B419&lt;&gt;"",_xlfn.XLOOKUP(B419,'Cronog. e Histog.'!B:B,'Cronog. e Histog.'!EM:EM),0)</f>
        <v>0</v>
      </c>
      <c r="BY419" s="109">
        <f>($O419/Dashboard!$D$15)*(1+Dashboard!$D$21)</f>
        <v>38.326446280991732</v>
      </c>
      <c r="BZ419" s="84">
        <f t="shared" si="551"/>
        <v>0</v>
      </c>
    </row>
    <row r="420" spans="2:78" ht="12" customHeight="1" outlineLevel="1">
      <c r="B420" s="137" t="str">
        <f>'Cronog. e Histog.'!B565</f>
        <v>AUX ADM - Equipe_01</v>
      </c>
      <c r="C420" s="65"/>
      <c r="D420" s="200">
        <f t="shared" si="517"/>
        <v>0</v>
      </c>
      <c r="E420" s="200">
        <f t="shared" si="518"/>
        <v>0</v>
      </c>
      <c r="F420" s="65"/>
      <c r="G420" s="200">
        <f t="shared" si="519"/>
        <v>0</v>
      </c>
      <c r="H420" s="200">
        <f t="shared" si="520"/>
        <v>0</v>
      </c>
      <c r="I420" s="65"/>
      <c r="J420" s="143" t="str">
        <f>IF('Cronog. e Histog.'!G565&gt;0,'Cronog. e Histog.'!G565,"")</f>
        <v>AUX ADM</v>
      </c>
      <c r="K420" s="65"/>
      <c r="L420" s="144">
        <f>'Cronog. e Histog.'!BT565</f>
        <v>0</v>
      </c>
      <c r="M420" s="144">
        <f>'Cronog. e Histog.'!BU565</f>
        <v>0</v>
      </c>
      <c r="N420" s="65"/>
      <c r="O420" s="109">
        <f>_xlfn.XLOOKUP(B420,Salários!B:B,Salários!K:K)</f>
        <v>1912.24</v>
      </c>
      <c r="P420" s="109">
        <f t="shared" si="535"/>
        <v>0</v>
      </c>
      <c r="Q420" s="109">
        <f t="shared" si="536"/>
        <v>0</v>
      </c>
      <c r="R420" s="65"/>
      <c r="S420" s="109">
        <f t="shared" si="537"/>
        <v>1912.24</v>
      </c>
      <c r="T420" s="201" t="str">
        <f>IF(_xlfn.XLOOKUP(B420,Salários!B:B,Salários!I:I)&gt;0,_xlfn.XLOOKUP(B420,Salários!B:B,Salários!I:I),"")</f>
        <v>Mensalista</v>
      </c>
      <c r="U420" s="117">
        <f t="shared" si="524"/>
        <v>0</v>
      </c>
      <c r="V420" s="65"/>
      <c r="W420" s="202"/>
      <c r="X420" s="65"/>
      <c r="Y420" s="69"/>
      <c r="Z420" s="65"/>
      <c r="AA420" s="518"/>
      <c r="AB420" s="65"/>
      <c r="AC420" s="81">
        <f t="shared" si="525"/>
        <v>0</v>
      </c>
      <c r="AD420" s="65"/>
      <c r="AE420" s="112"/>
      <c r="AF420" s="203">
        <v>0.3</v>
      </c>
      <c r="AG420" s="109">
        <f t="shared" si="44"/>
        <v>1912.24</v>
      </c>
      <c r="AH420" s="84">
        <f t="shared" si="526"/>
        <v>0</v>
      </c>
      <c r="AI420" s="65"/>
      <c r="AJ420" s="112"/>
      <c r="AK420" s="122"/>
      <c r="AL420" s="109">
        <v>1212</v>
      </c>
      <c r="AM420" s="84">
        <f t="shared" si="527"/>
        <v>0</v>
      </c>
      <c r="AN420" s="65"/>
      <c r="AO420" s="112"/>
      <c r="AP420" s="204"/>
      <c r="AQ420" s="109">
        <f>IFERROR((O420+AH420+AM420)/Dashboard!$D$15,0)*0.2</f>
        <v>1.9754545454545456</v>
      </c>
      <c r="AR420" s="84">
        <f t="shared" si="528"/>
        <v>0</v>
      </c>
      <c r="AS420" s="65"/>
      <c r="AT420" s="112"/>
      <c r="AU420" s="203">
        <v>0.33</v>
      </c>
      <c r="AV420" s="109">
        <f t="shared" si="529"/>
        <v>1912.24</v>
      </c>
      <c r="AW420" s="84">
        <f t="shared" si="530"/>
        <v>0</v>
      </c>
      <c r="AX420" s="65"/>
      <c r="AY420" s="112"/>
      <c r="AZ420" s="203">
        <v>0.25</v>
      </c>
      <c r="BA420" s="109">
        <f t="shared" si="50"/>
        <v>1912.24</v>
      </c>
      <c r="BB420" s="84">
        <f t="shared" si="531"/>
        <v>0</v>
      </c>
      <c r="BC420" s="65"/>
      <c r="BD420" s="112"/>
      <c r="BE420" s="203">
        <v>0.26</v>
      </c>
      <c r="BF420" s="109">
        <f t="shared" si="532"/>
        <v>1912.24</v>
      </c>
      <c r="BG420" s="84">
        <f t="shared" si="533"/>
        <v>0</v>
      </c>
      <c r="BH420" s="197"/>
      <c r="BI420" s="518"/>
      <c r="BJ420" s="65"/>
      <c r="BK420" s="81">
        <f t="shared" si="534"/>
        <v>0</v>
      </c>
      <c r="BL420" s="65"/>
      <c r="BM420" s="204"/>
      <c r="BN420" s="156">
        <f>IF(B420&lt;&gt;"",_xlfn.XLOOKUP(B420,'Cronog. e Histog.'!B:B,'Cronog. e Histog.'!EK:EK),0)</f>
        <v>0</v>
      </c>
      <c r="BO420" s="109">
        <f>($O420/Dashboard!$D$15)*(1+Dashboard!$D$19)</f>
        <v>14.815909090909091</v>
      </c>
      <c r="BP420" s="84">
        <f t="shared" si="549"/>
        <v>0</v>
      </c>
      <c r="BQ420" s="65"/>
      <c r="BR420" s="204"/>
      <c r="BS420" s="156">
        <f>IF(B420&lt;&gt;"",_xlfn.XLOOKUP(B420,'Cronog. e Histog.'!B:B,'Cronog. e Histog.'!EL:EL),0)</f>
        <v>0</v>
      </c>
      <c r="BT420" s="109">
        <f>($O420/Dashboard!$D$15)*(1+Dashboard!$D$20)</f>
        <v>17.285227272727273</v>
      </c>
      <c r="BU420" s="84">
        <f t="shared" si="550"/>
        <v>0</v>
      </c>
      <c r="BV420" s="65"/>
      <c r="BW420" s="204"/>
      <c r="BX420" s="156">
        <f>IF(B420&lt;&gt;"",_xlfn.XLOOKUP(B420,'Cronog. e Histog.'!B:B,'Cronog. e Histog.'!EM:EM),0)</f>
        <v>0</v>
      </c>
      <c r="BY420" s="109">
        <f>($O420/Dashboard!$D$15)*(1+Dashboard!$D$21)</f>
        <v>19.754545454545454</v>
      </c>
      <c r="BZ420" s="84">
        <f t="shared" si="551"/>
        <v>0</v>
      </c>
    </row>
    <row r="421" spans="2:78" ht="12" customHeight="1" outlineLevel="1">
      <c r="B421" s="137" t="str">
        <f>'Cronog. e Histog.'!B566</f>
        <v>EST - Equipe_01</v>
      </c>
      <c r="C421" s="65"/>
      <c r="D421" s="200">
        <f t="shared" si="517"/>
        <v>0</v>
      </c>
      <c r="E421" s="200">
        <f t="shared" si="518"/>
        <v>0</v>
      </c>
      <c r="F421" s="65"/>
      <c r="G421" s="200">
        <f t="shared" si="519"/>
        <v>0</v>
      </c>
      <c r="H421" s="200">
        <f t="shared" si="520"/>
        <v>0</v>
      </c>
      <c r="I421" s="65"/>
      <c r="J421" s="143" t="str">
        <f>IF('Cronog. e Histog.'!G566&gt;0,'Cronog. e Histog.'!G566,"")</f>
        <v>EST</v>
      </c>
      <c r="K421" s="65"/>
      <c r="L421" s="144">
        <f>'Cronog. e Histog.'!BT566</f>
        <v>0</v>
      </c>
      <c r="M421" s="144">
        <f>'Cronog. e Histog.'!BU566</f>
        <v>0</v>
      </c>
      <c r="N421" s="65"/>
      <c r="O421" s="109">
        <f>_xlfn.XLOOKUP(B421,Salários!B:B,Salários!K:K)</f>
        <v>1633</v>
      </c>
      <c r="P421" s="109">
        <f t="shared" si="535"/>
        <v>0</v>
      </c>
      <c r="Q421" s="109">
        <f t="shared" si="536"/>
        <v>0</v>
      </c>
      <c r="R421" s="65"/>
      <c r="S421" s="109">
        <f t="shared" si="537"/>
        <v>1633</v>
      </c>
      <c r="T421" s="201" t="str">
        <f>IF(_xlfn.XLOOKUP(B421,Salários!B:B,Salários!I:I)&gt;0,_xlfn.XLOOKUP(B421,Salários!B:B,Salários!I:I),"")</f>
        <v>PJ</v>
      </c>
      <c r="U421" s="117">
        <f t="shared" si="524"/>
        <v>0</v>
      </c>
      <c r="V421" s="65"/>
      <c r="W421" s="202"/>
      <c r="X421" s="65"/>
      <c r="Y421" s="69"/>
      <c r="Z421" s="65"/>
      <c r="AA421" s="518"/>
      <c r="AB421" s="65"/>
      <c r="AC421" s="81">
        <f t="shared" si="525"/>
        <v>0</v>
      </c>
      <c r="AD421" s="65"/>
      <c r="AE421" s="112"/>
      <c r="AF421" s="203">
        <v>0.3</v>
      </c>
      <c r="AG421" s="109">
        <f t="shared" si="44"/>
        <v>1633</v>
      </c>
      <c r="AH421" s="84">
        <f t="shared" si="526"/>
        <v>0</v>
      </c>
      <c r="AI421" s="65"/>
      <c r="AJ421" s="112"/>
      <c r="AK421" s="122"/>
      <c r="AL421" s="109">
        <v>1212</v>
      </c>
      <c r="AM421" s="84">
        <f t="shared" si="527"/>
        <v>0</v>
      </c>
      <c r="AN421" s="65"/>
      <c r="AO421" s="112"/>
      <c r="AP421" s="204"/>
      <c r="AQ421" s="109">
        <f>IFERROR((O421+AH421+AM421)/Dashboard!$D$15,0)*0.2</f>
        <v>1.6869834710743801</v>
      </c>
      <c r="AR421" s="84">
        <f t="shared" si="528"/>
        <v>0</v>
      </c>
      <c r="AS421" s="65"/>
      <c r="AT421" s="112"/>
      <c r="AU421" s="203">
        <v>0.33</v>
      </c>
      <c r="AV421" s="109">
        <f t="shared" si="529"/>
        <v>1633</v>
      </c>
      <c r="AW421" s="84">
        <f t="shared" si="530"/>
        <v>0</v>
      </c>
      <c r="AX421" s="65"/>
      <c r="AY421" s="112"/>
      <c r="AZ421" s="203">
        <v>0.25</v>
      </c>
      <c r="BA421" s="109">
        <f t="shared" si="50"/>
        <v>1633</v>
      </c>
      <c r="BB421" s="84">
        <f t="shared" si="531"/>
        <v>0</v>
      </c>
      <c r="BC421" s="65"/>
      <c r="BD421" s="112"/>
      <c r="BE421" s="203">
        <v>0.26</v>
      </c>
      <c r="BF421" s="109">
        <f t="shared" si="532"/>
        <v>1633</v>
      </c>
      <c r="BG421" s="84">
        <f t="shared" si="533"/>
        <v>0</v>
      </c>
      <c r="BH421" s="197"/>
      <c r="BI421" s="518"/>
      <c r="BJ421" s="65"/>
      <c r="BK421" s="81">
        <f t="shared" si="534"/>
        <v>0</v>
      </c>
      <c r="BL421" s="65"/>
      <c r="BM421" s="204"/>
      <c r="BN421" s="156">
        <f>IF(B421&lt;&gt;"",_xlfn.XLOOKUP(B421,'Cronog. e Histog.'!B:B,'Cronog. e Histog.'!EK:EK),0)</f>
        <v>0</v>
      </c>
      <c r="BO421" s="109">
        <f>($O421/Dashboard!$D$15)*(1+Dashboard!$D$19)</f>
        <v>12.652376033057848</v>
      </c>
      <c r="BP421" s="84">
        <f t="shared" si="549"/>
        <v>0</v>
      </c>
      <c r="BQ421" s="65"/>
      <c r="BR421" s="204"/>
      <c r="BS421" s="156">
        <f>IF(B421&lt;&gt;"",_xlfn.XLOOKUP(B421,'Cronog. e Histog.'!B:B,'Cronog. e Histog.'!EL:EL),0)</f>
        <v>0</v>
      </c>
      <c r="BT421" s="109">
        <f>($O421/Dashboard!$D$15)*(1+Dashboard!$D$20)</f>
        <v>14.761105371900824</v>
      </c>
      <c r="BU421" s="84">
        <f t="shared" si="550"/>
        <v>0</v>
      </c>
      <c r="BV421" s="65"/>
      <c r="BW421" s="204"/>
      <c r="BX421" s="156">
        <f>IF(B421&lt;&gt;"",_xlfn.XLOOKUP(B421,'Cronog. e Histog.'!B:B,'Cronog. e Histog.'!EM:EM),0)</f>
        <v>0</v>
      </c>
      <c r="BY421" s="109">
        <f>($O421/Dashboard!$D$15)*(1+Dashboard!$D$21)</f>
        <v>16.869834710743799</v>
      </c>
      <c r="BZ421" s="84">
        <f t="shared" si="551"/>
        <v>0</v>
      </c>
    </row>
    <row r="422" spans="2:78" ht="12" customHeight="1" outlineLevel="1">
      <c r="B422" s="137" t="str">
        <f>'Cronog. e Histog.'!B567</f>
        <v>EST_II - Equipe_01</v>
      </c>
      <c r="C422" s="65"/>
      <c r="D422" s="200">
        <f t="shared" si="517"/>
        <v>0</v>
      </c>
      <c r="E422" s="200">
        <f t="shared" si="518"/>
        <v>0</v>
      </c>
      <c r="F422" s="65"/>
      <c r="G422" s="200">
        <f t="shared" si="519"/>
        <v>0</v>
      </c>
      <c r="H422" s="200">
        <f t="shared" si="520"/>
        <v>0</v>
      </c>
      <c r="I422" s="65"/>
      <c r="J422" s="143" t="str">
        <f>IF('Cronog. e Histog.'!G567&gt;0,'Cronog. e Histog.'!G567,"")</f>
        <v>EST_II</v>
      </c>
      <c r="K422" s="65"/>
      <c r="L422" s="144">
        <f>'Cronog. e Histog.'!BT567</f>
        <v>0</v>
      </c>
      <c r="M422" s="144">
        <f>'Cronog. e Histog.'!BU567</f>
        <v>0</v>
      </c>
      <c r="N422" s="65"/>
      <c r="O422" s="109">
        <f>_xlfn.XLOOKUP(B422,Salários!B:B,Salários!K:K)</f>
        <v>1633</v>
      </c>
      <c r="P422" s="109">
        <f t="shared" si="535"/>
        <v>0</v>
      </c>
      <c r="Q422" s="109">
        <f t="shared" si="536"/>
        <v>0</v>
      </c>
      <c r="R422" s="65"/>
      <c r="S422" s="109">
        <f t="shared" si="537"/>
        <v>1633</v>
      </c>
      <c r="T422" s="201" t="str">
        <f>IF(_xlfn.XLOOKUP(B422,Salários!B:B,Salários!I:I)&gt;0,_xlfn.XLOOKUP(B422,Salários!B:B,Salários!I:I),"")</f>
        <v>PJ</v>
      </c>
      <c r="U422" s="117">
        <f t="shared" si="524"/>
        <v>0</v>
      </c>
      <c r="V422" s="65"/>
      <c r="W422" s="202"/>
      <c r="X422" s="65"/>
      <c r="Y422" s="69"/>
      <c r="Z422" s="65"/>
      <c r="AA422" s="518"/>
      <c r="AB422" s="65"/>
      <c r="AC422" s="81">
        <f t="shared" si="525"/>
        <v>0</v>
      </c>
      <c r="AD422" s="65"/>
      <c r="AE422" s="112"/>
      <c r="AF422" s="203">
        <v>0.3</v>
      </c>
      <c r="AG422" s="109">
        <f t="shared" si="44"/>
        <v>1633</v>
      </c>
      <c r="AH422" s="84">
        <f t="shared" si="526"/>
        <v>0</v>
      </c>
      <c r="AI422" s="65"/>
      <c r="AJ422" s="112"/>
      <c r="AK422" s="122"/>
      <c r="AL422" s="109">
        <v>1212</v>
      </c>
      <c r="AM422" s="84">
        <f t="shared" si="527"/>
        <v>0</v>
      </c>
      <c r="AN422" s="65"/>
      <c r="AO422" s="112"/>
      <c r="AP422" s="204"/>
      <c r="AQ422" s="109">
        <f>IFERROR((O422+AH422+AM422)/Dashboard!$D$15,0)*0.2</f>
        <v>1.6869834710743801</v>
      </c>
      <c r="AR422" s="84">
        <f t="shared" si="528"/>
        <v>0</v>
      </c>
      <c r="AS422" s="65"/>
      <c r="AT422" s="112"/>
      <c r="AU422" s="203">
        <v>0.33</v>
      </c>
      <c r="AV422" s="109">
        <f t="shared" si="529"/>
        <v>1633</v>
      </c>
      <c r="AW422" s="84">
        <f t="shared" si="530"/>
        <v>0</v>
      </c>
      <c r="AX422" s="65"/>
      <c r="AY422" s="112"/>
      <c r="AZ422" s="203">
        <v>0.25</v>
      </c>
      <c r="BA422" s="109">
        <f t="shared" si="50"/>
        <v>1633</v>
      </c>
      <c r="BB422" s="84">
        <f t="shared" si="531"/>
        <v>0</v>
      </c>
      <c r="BC422" s="65"/>
      <c r="BD422" s="112"/>
      <c r="BE422" s="203">
        <v>0.26</v>
      </c>
      <c r="BF422" s="109">
        <f t="shared" si="532"/>
        <v>1633</v>
      </c>
      <c r="BG422" s="84">
        <f t="shared" si="533"/>
        <v>0</v>
      </c>
      <c r="BH422" s="197"/>
      <c r="BI422" s="518"/>
      <c r="BJ422" s="65"/>
      <c r="BK422" s="81">
        <f t="shared" si="534"/>
        <v>0</v>
      </c>
      <c r="BL422" s="65"/>
      <c r="BM422" s="204"/>
      <c r="BN422" s="156">
        <f>IF(B422&lt;&gt;"",_xlfn.XLOOKUP(B422,'Cronog. e Histog.'!B:B,'Cronog. e Histog.'!EK:EK),0)</f>
        <v>0</v>
      </c>
      <c r="BO422" s="109">
        <f>($O422/Dashboard!$D$15)*(1+Dashboard!$D$19)</f>
        <v>12.652376033057848</v>
      </c>
      <c r="BP422" s="84">
        <f t="shared" si="549"/>
        <v>0</v>
      </c>
      <c r="BQ422" s="65"/>
      <c r="BR422" s="204"/>
      <c r="BS422" s="156">
        <f>IF(B422&lt;&gt;"",_xlfn.XLOOKUP(B422,'Cronog. e Histog.'!B:B,'Cronog. e Histog.'!EL:EL),0)</f>
        <v>0</v>
      </c>
      <c r="BT422" s="109">
        <f>($O422/Dashboard!$D$15)*(1+Dashboard!$D$20)</f>
        <v>14.761105371900824</v>
      </c>
      <c r="BU422" s="84">
        <f t="shared" si="550"/>
        <v>0</v>
      </c>
      <c r="BV422" s="65"/>
      <c r="BW422" s="204"/>
      <c r="BX422" s="156">
        <f>IF(B422&lt;&gt;"",_xlfn.XLOOKUP(B422,'Cronog. e Histog.'!B:B,'Cronog. e Histog.'!EM:EM),0)</f>
        <v>0</v>
      </c>
      <c r="BY422" s="109">
        <f>($O422/Dashboard!$D$15)*(1+Dashboard!$D$21)</f>
        <v>16.869834710743799</v>
      </c>
      <c r="BZ422" s="84">
        <f t="shared" si="551"/>
        <v>0</v>
      </c>
    </row>
    <row r="423" spans="2:78" ht="12" customHeight="1" outlineLevel="1">
      <c r="B423" s="137" t="str">
        <f>'Cronog. e Histog.'!B568</f>
        <v>EST_III - Equipe_01</v>
      </c>
      <c r="C423" s="65"/>
      <c r="D423" s="200">
        <f t="shared" si="517"/>
        <v>0</v>
      </c>
      <c r="E423" s="200">
        <f t="shared" si="518"/>
        <v>0</v>
      </c>
      <c r="F423" s="65"/>
      <c r="G423" s="200">
        <f t="shared" si="519"/>
        <v>0</v>
      </c>
      <c r="H423" s="200">
        <f t="shared" si="520"/>
        <v>0</v>
      </c>
      <c r="I423" s="65"/>
      <c r="J423" s="143" t="str">
        <f>IF('Cronog. e Histog.'!G568&gt;0,'Cronog. e Histog.'!G568,"")</f>
        <v>EST_III</v>
      </c>
      <c r="K423" s="65"/>
      <c r="L423" s="144">
        <f>'Cronog. e Histog.'!BT568</f>
        <v>0</v>
      </c>
      <c r="M423" s="144">
        <f>'Cronog. e Histog.'!BU568</f>
        <v>0</v>
      </c>
      <c r="N423" s="65"/>
      <c r="O423" s="109">
        <f>_xlfn.XLOOKUP(B423,Salários!B:B,Salários!K:K)</f>
        <v>1633</v>
      </c>
      <c r="P423" s="109">
        <f t="shared" si="535"/>
        <v>0</v>
      </c>
      <c r="Q423" s="109">
        <f t="shared" si="536"/>
        <v>0</v>
      </c>
      <c r="R423" s="65"/>
      <c r="S423" s="109">
        <f t="shared" si="537"/>
        <v>1633</v>
      </c>
      <c r="T423" s="201" t="str">
        <f>IF(_xlfn.XLOOKUP(B423,Salários!B:B,Salários!I:I)&gt;0,_xlfn.XLOOKUP(B423,Salários!B:B,Salários!I:I),"")</f>
        <v>PJ</v>
      </c>
      <c r="U423" s="117">
        <f t="shared" si="524"/>
        <v>0</v>
      </c>
      <c r="V423" s="65"/>
      <c r="W423" s="202"/>
      <c r="X423" s="65"/>
      <c r="Y423" s="69"/>
      <c r="Z423" s="65"/>
      <c r="AA423" s="518"/>
      <c r="AB423" s="65"/>
      <c r="AC423" s="81">
        <f t="shared" si="525"/>
        <v>0</v>
      </c>
      <c r="AD423" s="65"/>
      <c r="AE423" s="112"/>
      <c r="AF423" s="203">
        <v>0.3</v>
      </c>
      <c r="AG423" s="109">
        <f t="shared" si="44"/>
        <v>1633</v>
      </c>
      <c r="AH423" s="84">
        <f t="shared" si="526"/>
        <v>0</v>
      </c>
      <c r="AI423" s="65"/>
      <c r="AJ423" s="112"/>
      <c r="AK423" s="122"/>
      <c r="AL423" s="109">
        <v>1212</v>
      </c>
      <c r="AM423" s="84">
        <f t="shared" si="527"/>
        <v>0</v>
      </c>
      <c r="AN423" s="65"/>
      <c r="AO423" s="112"/>
      <c r="AP423" s="204"/>
      <c r="AQ423" s="109">
        <f>IFERROR((O423+AH423+AM423)/Dashboard!$D$15,0)*0.2</f>
        <v>1.6869834710743801</v>
      </c>
      <c r="AR423" s="84">
        <f t="shared" si="528"/>
        <v>0</v>
      </c>
      <c r="AS423" s="65"/>
      <c r="AT423" s="112"/>
      <c r="AU423" s="203">
        <v>0.33</v>
      </c>
      <c r="AV423" s="109">
        <f t="shared" si="529"/>
        <v>1633</v>
      </c>
      <c r="AW423" s="84">
        <f t="shared" si="530"/>
        <v>0</v>
      </c>
      <c r="AX423" s="65"/>
      <c r="AY423" s="112"/>
      <c r="AZ423" s="203">
        <v>0.25</v>
      </c>
      <c r="BA423" s="109">
        <f t="shared" si="50"/>
        <v>1633</v>
      </c>
      <c r="BB423" s="84">
        <f t="shared" si="531"/>
        <v>0</v>
      </c>
      <c r="BC423" s="65"/>
      <c r="BD423" s="112"/>
      <c r="BE423" s="203">
        <v>0.26</v>
      </c>
      <c r="BF423" s="109">
        <f t="shared" si="532"/>
        <v>1633</v>
      </c>
      <c r="BG423" s="84">
        <f t="shared" si="533"/>
        <v>0</v>
      </c>
      <c r="BH423" s="197"/>
      <c r="BI423" s="518"/>
      <c r="BJ423" s="65"/>
      <c r="BK423" s="81">
        <f t="shared" si="534"/>
        <v>0</v>
      </c>
      <c r="BL423" s="65"/>
      <c r="BM423" s="204"/>
      <c r="BN423" s="156">
        <f>IF(B423&lt;&gt;"",_xlfn.XLOOKUP(B423,'Cronog. e Histog.'!B:B,'Cronog. e Histog.'!EK:EK),0)</f>
        <v>0</v>
      </c>
      <c r="BO423" s="109">
        <f>($O423/Dashboard!$D$15)*(1+Dashboard!$D$19)</f>
        <v>12.652376033057848</v>
      </c>
      <c r="BP423" s="84">
        <f t="shared" si="549"/>
        <v>0</v>
      </c>
      <c r="BQ423" s="65"/>
      <c r="BR423" s="204"/>
      <c r="BS423" s="156">
        <f>IF(B423&lt;&gt;"",_xlfn.XLOOKUP(B423,'Cronog. e Histog.'!B:B,'Cronog. e Histog.'!EL:EL),0)</f>
        <v>0</v>
      </c>
      <c r="BT423" s="109">
        <f>($O423/Dashboard!$D$15)*(1+Dashboard!$D$20)</f>
        <v>14.761105371900824</v>
      </c>
      <c r="BU423" s="84">
        <f t="shared" si="550"/>
        <v>0</v>
      </c>
      <c r="BV423" s="65"/>
      <c r="BW423" s="204"/>
      <c r="BX423" s="156">
        <f>IF(B423&lt;&gt;"",_xlfn.XLOOKUP(B423,'Cronog. e Histog.'!B:B,'Cronog. e Histog.'!EM:EM),0)</f>
        <v>0</v>
      </c>
      <c r="BY423" s="109">
        <f>($O423/Dashboard!$D$15)*(1+Dashboard!$D$21)</f>
        <v>16.869834710743799</v>
      </c>
      <c r="BZ423" s="84">
        <f t="shared" si="551"/>
        <v>0</v>
      </c>
    </row>
    <row r="424" spans="2:78" ht="12" customHeight="1" outlineLevel="1"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9"/>
      <c r="Z424" s="65"/>
      <c r="AA424" s="518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5"/>
      <c r="AT424" s="65"/>
      <c r="AU424" s="65"/>
      <c r="AV424" s="65"/>
      <c r="AW424" s="65"/>
      <c r="AX424" s="65"/>
      <c r="AY424" s="65"/>
      <c r="AZ424" s="65"/>
      <c r="BA424" s="65"/>
      <c r="BB424" s="65"/>
      <c r="BC424" s="65"/>
      <c r="BD424" s="65"/>
      <c r="BE424" s="65"/>
      <c r="BF424" s="65"/>
      <c r="BG424" s="65"/>
      <c r="BH424" s="197"/>
      <c r="BI424" s="518"/>
      <c r="BJ424" s="65"/>
      <c r="BK424" s="65"/>
      <c r="BL424" s="65"/>
      <c r="BM424" s="65"/>
      <c r="BN424" s="65"/>
      <c r="BO424" s="65"/>
      <c r="BP424" s="65"/>
      <c r="BQ424" s="65"/>
      <c r="BR424" s="65"/>
      <c r="BS424" s="65"/>
      <c r="BT424" s="65"/>
      <c r="BU424" s="65"/>
      <c r="BV424" s="65"/>
      <c r="BW424" s="65"/>
      <c r="BX424" s="65"/>
      <c r="BY424" s="65"/>
      <c r="BZ424" s="65"/>
    </row>
    <row r="425" spans="2:78" ht="12" customHeight="1" outlineLevel="1">
      <c r="B425" s="65"/>
      <c r="C425" s="65"/>
      <c r="D425" s="65"/>
      <c r="E425" s="65"/>
      <c r="F425" s="65"/>
      <c r="G425" s="65"/>
      <c r="H425" s="65"/>
      <c r="I425" s="65"/>
      <c r="J425" s="199" t="str">
        <f>'Cronog. e Histog.'!F571</f>
        <v>Equipe16</v>
      </c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9"/>
      <c r="Z425" s="65"/>
      <c r="AA425" s="518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  <c r="AQ425" s="65"/>
      <c r="AR425" s="65"/>
      <c r="AS425" s="65"/>
      <c r="AT425" s="65"/>
      <c r="AU425" s="65"/>
      <c r="AV425" s="65"/>
      <c r="AW425" s="65"/>
      <c r="AX425" s="65"/>
      <c r="AY425" s="65"/>
      <c r="AZ425" s="65"/>
      <c r="BA425" s="65"/>
      <c r="BB425" s="65"/>
      <c r="BC425" s="65"/>
      <c r="BD425" s="65"/>
      <c r="BE425" s="65"/>
      <c r="BF425" s="65"/>
      <c r="BG425" s="65"/>
      <c r="BH425" s="197"/>
      <c r="BI425" s="518"/>
      <c r="BJ425" s="65"/>
      <c r="BK425" s="65"/>
      <c r="BL425" s="65"/>
      <c r="BM425" s="65"/>
      <c r="BN425" s="65"/>
      <c r="BO425" s="65"/>
      <c r="BP425" s="65"/>
      <c r="BQ425" s="65"/>
      <c r="BR425" s="65"/>
      <c r="BS425" s="65"/>
      <c r="BT425" s="65"/>
      <c r="BU425" s="65"/>
      <c r="BV425" s="65"/>
      <c r="BW425" s="65"/>
      <c r="BX425" s="65"/>
      <c r="BY425" s="65"/>
      <c r="BZ425" s="65"/>
    </row>
    <row r="426" spans="2:78" ht="12" customHeight="1" outlineLevel="1">
      <c r="B426" s="137" t="str">
        <f>'Cronog. e Histog.'!B573</f>
        <v>GER. (OBRA/PROJ) - Equipe_01</v>
      </c>
      <c r="C426" s="65"/>
      <c r="D426" s="200">
        <f t="shared" ref="D426:D445" si="552">IF(T426="mensalista",L426,0)</f>
        <v>0</v>
      </c>
      <c r="E426" s="200">
        <f t="shared" ref="E426:E445" si="553">IF(T426="mensalista",M426,0)</f>
        <v>0</v>
      </c>
      <c r="F426" s="65"/>
      <c r="G426" s="200">
        <f t="shared" ref="G426:G445" si="554">IF(T426="mensalista",L426,0)</f>
        <v>0</v>
      </c>
      <c r="H426" s="200">
        <f t="shared" ref="H426:H445" si="555">IF(T426="mensalista",M426,0)</f>
        <v>0</v>
      </c>
      <c r="I426" s="65"/>
      <c r="J426" s="143" t="str">
        <f>IF('Cronog. e Histog.'!G573&gt;0,'Cronog. e Histog.'!G573,"")</f>
        <v>GER. (OBRA/PROJ)</v>
      </c>
      <c r="K426" s="65"/>
      <c r="L426" s="144">
        <f>'Cronog. e Histog.'!BT573</f>
        <v>0</v>
      </c>
      <c r="M426" s="144">
        <f>'Cronog. e Histog.'!BU573</f>
        <v>0</v>
      </c>
      <c r="N426" s="65"/>
      <c r="O426" s="109">
        <f>_xlfn.XLOOKUP(B426,Salários!B:B,Salários!K:K)</f>
        <v>21000</v>
      </c>
      <c r="P426" s="109">
        <f t="shared" ref="P426" si="556">AC426</f>
        <v>0</v>
      </c>
      <c r="Q426" s="109">
        <f t="shared" ref="Q426" si="557">BK426</f>
        <v>0</v>
      </c>
      <c r="R426" s="65"/>
      <c r="S426" s="109">
        <f t="shared" ref="S426" si="558">SUM(O426:Q426)</f>
        <v>21000</v>
      </c>
      <c r="T426" s="201" t="str">
        <f>IF(_xlfn.XLOOKUP(B426,Salários!B:B,Salários!I:I)&gt;0,_xlfn.XLOOKUP(B426,Salários!B:B,Salários!I:I),"")</f>
        <v>PJ</v>
      </c>
      <c r="U426" s="117">
        <f t="shared" ref="U426:U445" si="559">L426*M426*S426</f>
        <v>0</v>
      </c>
      <c r="V426" s="65"/>
      <c r="W426" s="202"/>
      <c r="X426" s="65"/>
      <c r="Y426" s="69"/>
      <c r="Z426" s="65"/>
      <c r="AA426" s="518"/>
      <c r="AB426" s="65"/>
      <c r="AC426" s="81">
        <f t="shared" ref="AC426:AC445" si="560">AH426+AM426+AR426+AW426+BB426+BG426</f>
        <v>0</v>
      </c>
      <c r="AD426" s="65"/>
      <c r="AE426" s="112"/>
      <c r="AF426" s="203">
        <v>0.3</v>
      </c>
      <c r="AG426" s="109">
        <f t="shared" si="44"/>
        <v>21000</v>
      </c>
      <c r="AH426" s="84">
        <f t="shared" ref="AH426:AH445" si="561">IF(AE426="sim",AF426*AG426,0)</f>
        <v>0</v>
      </c>
      <c r="AI426" s="65"/>
      <c r="AJ426" s="112"/>
      <c r="AK426" s="122"/>
      <c r="AL426" s="109">
        <v>1212</v>
      </c>
      <c r="AM426" s="84">
        <f t="shared" ref="AM426:AM445" si="562">IF(AJ426="sim",AK426*AL426,0)</f>
        <v>0</v>
      </c>
      <c r="AN426" s="65"/>
      <c r="AO426" s="112"/>
      <c r="AP426" s="204"/>
      <c r="AQ426" s="109">
        <f>IFERROR((O426+AH426+AM426)/Dashboard!$D$15,0)*0.2</f>
        <v>21.694214876033058</v>
      </c>
      <c r="AR426" s="84">
        <f t="shared" ref="AR426:AR445" si="563">IF(AO426="sim",AP426*AQ426,0)</f>
        <v>0</v>
      </c>
      <c r="AS426" s="65"/>
      <c r="AT426" s="112"/>
      <c r="AU426" s="203">
        <v>0.33</v>
      </c>
      <c r="AV426" s="109">
        <f t="shared" ref="AV426:AV445" si="564">$O426</f>
        <v>21000</v>
      </c>
      <c r="AW426" s="84">
        <f t="shared" ref="AW426:AW445" si="565">IF(AT426="sim",AU426*AV426,0)</f>
        <v>0</v>
      </c>
      <c r="AX426" s="65"/>
      <c r="AY426" s="112"/>
      <c r="AZ426" s="203">
        <v>0.25</v>
      </c>
      <c r="BA426" s="109">
        <f t="shared" si="50"/>
        <v>21000</v>
      </c>
      <c r="BB426" s="84">
        <f t="shared" ref="BB426:BB445" si="566">IF(AY426="sim",AZ426*BA426,0)</f>
        <v>0</v>
      </c>
      <c r="BC426" s="65"/>
      <c r="BD426" s="112"/>
      <c r="BE426" s="203">
        <v>0.26</v>
      </c>
      <c r="BF426" s="109">
        <f t="shared" ref="BF426:BF445" si="567">$O426</f>
        <v>21000</v>
      </c>
      <c r="BG426" s="84">
        <f t="shared" ref="BG426:BG445" si="568">IF(BD426="sim",BE426*BF426,0)</f>
        <v>0</v>
      </c>
      <c r="BH426" s="197"/>
      <c r="BI426" s="518"/>
      <c r="BJ426" s="65"/>
      <c r="BK426" s="81">
        <f t="shared" ref="BK426:BK445" si="569">BP426+BU426+BZ426</f>
        <v>0</v>
      </c>
      <c r="BL426" s="65"/>
      <c r="BM426" s="204"/>
      <c r="BN426" s="156">
        <f>IF(B426&lt;&gt;"",_xlfn.XLOOKUP(B426,'Cronog. e Histog.'!B:B,'Cronog. e Histog.'!EK:EK),0)</f>
        <v>0</v>
      </c>
      <c r="BO426" s="109">
        <f>($O426/Dashboard!$D$15)*(1+Dashboard!$D$19)</f>
        <v>162.7066115702479</v>
      </c>
      <c r="BP426" s="84">
        <f>SUM(BM426:BN426)*BO426</f>
        <v>0</v>
      </c>
      <c r="BQ426" s="65"/>
      <c r="BR426" s="204"/>
      <c r="BS426" s="156">
        <f>IF(B426&lt;&gt;"",_xlfn.XLOOKUP(B426,'Cronog. e Histog.'!B:B,'Cronog. e Histog.'!EL:EL),0)</f>
        <v>0</v>
      </c>
      <c r="BT426" s="109">
        <f>($O426/Dashboard!$D$15)*(1+Dashboard!$D$20)</f>
        <v>189.82438016528923</v>
      </c>
      <c r="BU426" s="84">
        <f>SUM(BR426:BS426)*BT426</f>
        <v>0</v>
      </c>
      <c r="BV426" s="65"/>
      <c r="BW426" s="204"/>
      <c r="BX426" s="156">
        <f>IF(B426&lt;&gt;"",_xlfn.XLOOKUP(B426,'Cronog. e Histog.'!B:B,'Cronog. e Histog.'!EM:EM),0)</f>
        <v>0</v>
      </c>
      <c r="BY426" s="109">
        <f>($O426/Dashboard!$D$15)*(1+Dashboard!$D$21)</f>
        <v>216.94214876033055</v>
      </c>
      <c r="BZ426" s="84">
        <f>SUM(BW426:BX426)*BY426</f>
        <v>0</v>
      </c>
    </row>
    <row r="427" spans="2:78" ht="12" customHeight="1" outlineLevel="1">
      <c r="B427" s="137" t="str">
        <f>'Cronog. e Histog.'!B574</f>
        <v>COORD. - Equipe_01</v>
      </c>
      <c r="C427" s="65"/>
      <c r="D427" s="200">
        <f t="shared" si="552"/>
        <v>0</v>
      </c>
      <c r="E427" s="200">
        <f t="shared" si="553"/>
        <v>0</v>
      </c>
      <c r="F427" s="65"/>
      <c r="G427" s="200">
        <f t="shared" si="554"/>
        <v>0</v>
      </c>
      <c r="H427" s="200">
        <f t="shared" si="555"/>
        <v>0</v>
      </c>
      <c r="I427" s="65"/>
      <c r="J427" s="143" t="str">
        <f>IF('Cronog. e Histog.'!G574&gt;0,'Cronog. e Histog.'!G574,"")</f>
        <v>COORD.</v>
      </c>
      <c r="K427" s="65"/>
      <c r="L427" s="144">
        <f>'Cronog. e Histog.'!BT574</f>
        <v>9.9999999999999992E-2</v>
      </c>
      <c r="M427" s="144">
        <f>'Cronog. e Histog.'!BU574</f>
        <v>10</v>
      </c>
      <c r="N427" s="65"/>
      <c r="O427" s="109">
        <f>_xlfn.XLOOKUP(B427,Salários!B:B,Salários!K:K)</f>
        <v>19000</v>
      </c>
      <c r="P427" s="109">
        <f t="shared" ref="P427:P445" si="570">AC427</f>
        <v>0</v>
      </c>
      <c r="Q427" s="109">
        <f t="shared" ref="Q427:Q445" si="571">BK427</f>
        <v>0</v>
      </c>
      <c r="R427" s="65"/>
      <c r="S427" s="109">
        <f t="shared" ref="S427:S445" si="572">SUM(O427:Q427)</f>
        <v>19000</v>
      </c>
      <c r="T427" s="201" t="str">
        <f>IF(_xlfn.XLOOKUP(B427,Salários!B:B,Salários!I:I)&gt;0,_xlfn.XLOOKUP(B427,Salários!B:B,Salários!I:I),"")</f>
        <v>PJ</v>
      </c>
      <c r="U427" s="117">
        <f t="shared" ref="U427:U436" si="573">L427*M427*S427</f>
        <v>18999.999999999996</v>
      </c>
      <c r="V427" s="65"/>
      <c r="W427" s="202"/>
      <c r="X427" s="65"/>
      <c r="Y427" s="69"/>
      <c r="Z427" s="65"/>
      <c r="AA427" s="518"/>
      <c r="AB427" s="65"/>
      <c r="AC427" s="81">
        <f t="shared" ref="AC427:AC436" si="574">AH427+AM427+AR427+AW427+BB427+BG427</f>
        <v>0</v>
      </c>
      <c r="AD427" s="65"/>
      <c r="AE427" s="112"/>
      <c r="AF427" s="203">
        <v>0.3</v>
      </c>
      <c r="AG427" s="109">
        <f t="shared" ref="AG427:AG436" si="575">$O427</f>
        <v>19000</v>
      </c>
      <c r="AH427" s="84">
        <f t="shared" ref="AH427:AH436" si="576">IF(AE427="sim",AF427*AG427,0)</f>
        <v>0</v>
      </c>
      <c r="AI427" s="65"/>
      <c r="AJ427" s="112"/>
      <c r="AK427" s="122"/>
      <c r="AL427" s="109">
        <v>1212</v>
      </c>
      <c r="AM427" s="84">
        <f t="shared" ref="AM427:AM436" si="577">IF(AJ427="sim",AK427*AL427,0)</f>
        <v>0</v>
      </c>
      <c r="AN427" s="65"/>
      <c r="AO427" s="112"/>
      <c r="AP427" s="204"/>
      <c r="AQ427" s="109">
        <f>IFERROR((O427+AH427+AM427)/Dashboard!$D$15,0)*0.2</f>
        <v>19.628099173553718</v>
      </c>
      <c r="AR427" s="84">
        <f t="shared" ref="AR427:AR436" si="578">IF(AO427="sim",AP427*AQ427,0)</f>
        <v>0</v>
      </c>
      <c r="AS427" s="65"/>
      <c r="AT427" s="112"/>
      <c r="AU427" s="203">
        <v>0.33</v>
      </c>
      <c r="AV427" s="109">
        <f t="shared" si="564"/>
        <v>19000</v>
      </c>
      <c r="AW427" s="84">
        <f t="shared" ref="AW427:AW436" si="579">IF(AT427="sim",AU427*AV427,0)</f>
        <v>0</v>
      </c>
      <c r="AX427" s="65"/>
      <c r="AY427" s="112"/>
      <c r="AZ427" s="203">
        <v>0.25</v>
      </c>
      <c r="BA427" s="109">
        <f t="shared" ref="BA427:BA436" si="580">$O427</f>
        <v>19000</v>
      </c>
      <c r="BB427" s="84">
        <f t="shared" ref="BB427:BB436" si="581">IF(AY427="sim",AZ427*BA427,0)</f>
        <v>0</v>
      </c>
      <c r="BC427" s="65"/>
      <c r="BD427" s="112"/>
      <c r="BE427" s="203">
        <v>0.26</v>
      </c>
      <c r="BF427" s="109">
        <f t="shared" si="567"/>
        <v>19000</v>
      </c>
      <c r="BG427" s="84">
        <f t="shared" ref="BG427:BG436" si="582">IF(BD427="sim",BE427*BF427,0)</f>
        <v>0</v>
      </c>
      <c r="BH427" s="197"/>
      <c r="BI427" s="518"/>
      <c r="BJ427" s="65"/>
      <c r="BK427" s="81">
        <f t="shared" ref="BK427:BK436" si="583">BP427+BU427+BZ427</f>
        <v>0</v>
      </c>
      <c r="BL427" s="65"/>
      <c r="BM427" s="204"/>
      <c r="BN427" s="156">
        <f>IF(B427&lt;&gt;"",_xlfn.XLOOKUP(B427,'Cronog. e Histog.'!B:B,'Cronog. e Histog.'!EK:EK),0)</f>
        <v>0</v>
      </c>
      <c r="BO427" s="109">
        <f>($O427/Dashboard!$D$15)*(1+Dashboard!$D$19)</f>
        <v>147.21074380165288</v>
      </c>
      <c r="BP427" s="84">
        <f t="shared" ref="BP427:BP445" si="584">SUM(BM427:BN427)*BO427</f>
        <v>0</v>
      </c>
      <c r="BQ427" s="65"/>
      <c r="BR427" s="204"/>
      <c r="BS427" s="156">
        <f>IF(B427&lt;&gt;"",_xlfn.XLOOKUP(B427,'Cronog. e Histog.'!B:B,'Cronog. e Histog.'!EL:EL),0)</f>
        <v>0</v>
      </c>
      <c r="BT427" s="109">
        <f>($O427/Dashboard!$D$15)*(1+Dashboard!$D$20)</f>
        <v>171.74586776859502</v>
      </c>
      <c r="BU427" s="84">
        <f t="shared" ref="BU427:BU445" si="585">SUM(BR427:BS427)*BT427</f>
        <v>0</v>
      </c>
      <c r="BV427" s="65"/>
      <c r="BW427" s="204"/>
      <c r="BX427" s="156">
        <f>IF(B427&lt;&gt;"",_xlfn.XLOOKUP(B427,'Cronog. e Histog.'!B:B,'Cronog. e Histog.'!EM:EM),0)</f>
        <v>0</v>
      </c>
      <c r="BY427" s="109">
        <f>($O427/Dashboard!$D$15)*(1+Dashboard!$D$21)</f>
        <v>196.28099173553716</v>
      </c>
      <c r="BZ427" s="84">
        <f t="shared" ref="BZ427:BZ445" si="586">SUM(BW427:BX427)*BY427</f>
        <v>0</v>
      </c>
    </row>
    <row r="428" spans="2:78" ht="12" customHeight="1" outlineLevel="1">
      <c r="B428" s="137" t="str">
        <f>'Cronog. e Histog.'!B575</f>
        <v>SUP.-ESP - Equipe_01</v>
      </c>
      <c r="C428" s="65"/>
      <c r="D428" s="200">
        <f t="shared" si="552"/>
        <v>0</v>
      </c>
      <c r="E428" s="200">
        <f t="shared" si="553"/>
        <v>0</v>
      </c>
      <c r="F428" s="65"/>
      <c r="G428" s="200">
        <f t="shared" si="554"/>
        <v>0</v>
      </c>
      <c r="H428" s="200">
        <f t="shared" si="555"/>
        <v>0</v>
      </c>
      <c r="I428" s="65"/>
      <c r="J428" s="143" t="str">
        <f>IF('Cronog. e Histog.'!G575&gt;0,'Cronog. e Histog.'!G575,"")</f>
        <v>SUP.-ESP</v>
      </c>
      <c r="K428" s="65"/>
      <c r="L428" s="144">
        <f>'Cronog. e Histog.'!BT575</f>
        <v>0</v>
      </c>
      <c r="M428" s="144">
        <f>'Cronog. e Histog.'!BU575</f>
        <v>0</v>
      </c>
      <c r="N428" s="65"/>
      <c r="O428" s="109">
        <f>_xlfn.XLOOKUP(B428,Salários!B:B,Salários!K:K)</f>
        <v>9716.67</v>
      </c>
      <c r="P428" s="109">
        <f t="shared" si="570"/>
        <v>0</v>
      </c>
      <c r="Q428" s="109">
        <f t="shared" si="571"/>
        <v>0</v>
      </c>
      <c r="R428" s="65"/>
      <c r="S428" s="109">
        <f t="shared" si="572"/>
        <v>9716.67</v>
      </c>
      <c r="T428" s="201" t="str">
        <f>IF(_xlfn.XLOOKUP(B428,Salários!B:B,Salários!I:I)&gt;0,_xlfn.XLOOKUP(B428,Salários!B:B,Salários!I:I),"")</f>
        <v>Mensalista</v>
      </c>
      <c r="U428" s="117">
        <f t="shared" si="573"/>
        <v>0</v>
      </c>
      <c r="V428" s="65"/>
      <c r="W428" s="202"/>
      <c r="X428" s="65"/>
      <c r="Y428" s="69"/>
      <c r="Z428" s="65"/>
      <c r="AA428" s="518"/>
      <c r="AB428" s="65"/>
      <c r="AC428" s="81">
        <f t="shared" si="574"/>
        <v>0</v>
      </c>
      <c r="AD428" s="65"/>
      <c r="AE428" s="112"/>
      <c r="AF428" s="203">
        <v>0.3</v>
      </c>
      <c r="AG428" s="109">
        <f t="shared" si="575"/>
        <v>9716.67</v>
      </c>
      <c r="AH428" s="84">
        <f t="shared" si="576"/>
        <v>0</v>
      </c>
      <c r="AI428" s="65"/>
      <c r="AJ428" s="112"/>
      <c r="AK428" s="122"/>
      <c r="AL428" s="109">
        <v>1212</v>
      </c>
      <c r="AM428" s="84">
        <f t="shared" si="577"/>
        <v>0</v>
      </c>
      <c r="AN428" s="65"/>
      <c r="AO428" s="112"/>
      <c r="AP428" s="204"/>
      <c r="AQ428" s="109">
        <f>IFERROR((O428+AH428+AM428)/Dashboard!$D$15,0)*0.2</f>
        <v>10.037882231404957</v>
      </c>
      <c r="AR428" s="84">
        <f t="shared" si="578"/>
        <v>0</v>
      </c>
      <c r="AS428" s="65"/>
      <c r="AT428" s="112"/>
      <c r="AU428" s="203">
        <v>0.33</v>
      </c>
      <c r="AV428" s="109">
        <f t="shared" si="564"/>
        <v>9716.67</v>
      </c>
      <c r="AW428" s="84">
        <f t="shared" si="579"/>
        <v>0</v>
      </c>
      <c r="AX428" s="65"/>
      <c r="AY428" s="112"/>
      <c r="AZ428" s="203">
        <v>0.25</v>
      </c>
      <c r="BA428" s="109">
        <f t="shared" si="580"/>
        <v>9716.67</v>
      </c>
      <c r="BB428" s="84">
        <f t="shared" si="581"/>
        <v>0</v>
      </c>
      <c r="BC428" s="65"/>
      <c r="BD428" s="112"/>
      <c r="BE428" s="203">
        <v>0.26</v>
      </c>
      <c r="BF428" s="109">
        <f t="shared" si="567"/>
        <v>9716.67</v>
      </c>
      <c r="BG428" s="84">
        <f t="shared" si="582"/>
        <v>0</v>
      </c>
      <c r="BH428" s="197"/>
      <c r="BI428" s="518"/>
      <c r="BJ428" s="65"/>
      <c r="BK428" s="81">
        <f t="shared" si="583"/>
        <v>0</v>
      </c>
      <c r="BL428" s="65"/>
      <c r="BM428" s="204"/>
      <c r="BN428" s="156">
        <f>IF(B428&lt;&gt;"",_xlfn.XLOOKUP(B428,'Cronog. e Histog.'!B:B,'Cronog. e Histog.'!EK:EK),0)</f>
        <v>0</v>
      </c>
      <c r="BO428" s="109">
        <f>($O428/Dashboard!$D$15)*(1+Dashboard!$D$19)</f>
        <v>75.284116735537182</v>
      </c>
      <c r="BP428" s="84">
        <f t="shared" si="584"/>
        <v>0</v>
      </c>
      <c r="BQ428" s="65"/>
      <c r="BR428" s="204"/>
      <c r="BS428" s="156">
        <f>IF(B428&lt;&gt;"",_xlfn.XLOOKUP(B428,'Cronog. e Histog.'!B:B,'Cronog. e Histog.'!EL:EL),0)</f>
        <v>0</v>
      </c>
      <c r="BT428" s="109">
        <f>($O428/Dashboard!$D$15)*(1+Dashboard!$D$20)</f>
        <v>87.831469524793377</v>
      </c>
      <c r="BU428" s="84">
        <f t="shared" si="585"/>
        <v>0</v>
      </c>
      <c r="BV428" s="65"/>
      <c r="BW428" s="204"/>
      <c r="BX428" s="156">
        <f>IF(B428&lt;&gt;"",_xlfn.XLOOKUP(B428,'Cronog. e Histog.'!B:B,'Cronog. e Histog.'!EM:EM),0)</f>
        <v>0</v>
      </c>
      <c r="BY428" s="109">
        <f>($O428/Dashboard!$D$15)*(1+Dashboard!$D$21)</f>
        <v>100.37882231404957</v>
      </c>
      <c r="BZ428" s="84">
        <f t="shared" si="586"/>
        <v>0</v>
      </c>
    </row>
    <row r="429" spans="2:78" ht="12" customHeight="1" outlineLevel="1">
      <c r="B429" s="137" t="str">
        <f>'Cronog. e Histog.'!B576</f>
        <v>ENG/ARQ SR. - Equipe_01</v>
      </c>
      <c r="C429" s="65"/>
      <c r="D429" s="200">
        <f t="shared" si="552"/>
        <v>0</v>
      </c>
      <c r="E429" s="200">
        <f t="shared" si="553"/>
        <v>0</v>
      </c>
      <c r="F429" s="65"/>
      <c r="G429" s="200">
        <f t="shared" si="554"/>
        <v>0</v>
      </c>
      <c r="H429" s="200">
        <f t="shared" si="555"/>
        <v>0</v>
      </c>
      <c r="I429" s="65"/>
      <c r="J429" s="143" t="str">
        <f>IF('Cronog. e Histog.'!G576&gt;0,'Cronog. e Histog.'!G576,"")</f>
        <v>ENG/ARQ SR.</v>
      </c>
      <c r="K429" s="65"/>
      <c r="L429" s="144">
        <f>'Cronog. e Histog.'!BT576</f>
        <v>0</v>
      </c>
      <c r="M429" s="144">
        <f>'Cronog. e Histog.'!BU576</f>
        <v>0</v>
      </c>
      <c r="N429" s="65"/>
      <c r="O429" s="109">
        <f>_xlfn.XLOOKUP(B429,Salários!B:B,Salários!K:K)</f>
        <v>16000</v>
      </c>
      <c r="P429" s="109">
        <f t="shared" si="570"/>
        <v>0</v>
      </c>
      <c r="Q429" s="109">
        <f t="shared" si="571"/>
        <v>0</v>
      </c>
      <c r="R429" s="65"/>
      <c r="S429" s="109">
        <f t="shared" si="572"/>
        <v>16000</v>
      </c>
      <c r="T429" s="201" t="str">
        <f>IF(_xlfn.XLOOKUP(B429,Salários!B:B,Salários!I:I)&gt;0,_xlfn.XLOOKUP(B429,Salários!B:B,Salários!I:I),"")</f>
        <v>PJ</v>
      </c>
      <c r="U429" s="117">
        <f t="shared" si="573"/>
        <v>0</v>
      </c>
      <c r="V429" s="65"/>
      <c r="W429" s="202"/>
      <c r="X429" s="65"/>
      <c r="Y429" s="69"/>
      <c r="Z429" s="65"/>
      <c r="AA429" s="518"/>
      <c r="AB429" s="65"/>
      <c r="AC429" s="81">
        <f t="shared" si="574"/>
        <v>0</v>
      </c>
      <c r="AD429" s="65"/>
      <c r="AE429" s="112"/>
      <c r="AF429" s="203">
        <v>0.3</v>
      </c>
      <c r="AG429" s="109">
        <f t="shared" si="575"/>
        <v>16000</v>
      </c>
      <c r="AH429" s="84">
        <f t="shared" si="576"/>
        <v>0</v>
      </c>
      <c r="AI429" s="65"/>
      <c r="AJ429" s="112"/>
      <c r="AK429" s="122"/>
      <c r="AL429" s="109">
        <v>1212</v>
      </c>
      <c r="AM429" s="84">
        <f t="shared" si="577"/>
        <v>0</v>
      </c>
      <c r="AN429" s="65"/>
      <c r="AO429" s="112"/>
      <c r="AP429" s="204"/>
      <c r="AQ429" s="109">
        <f>IFERROR((O429+AH429+AM429)/Dashboard!$D$15,0)*0.2</f>
        <v>16.528925619834709</v>
      </c>
      <c r="AR429" s="84">
        <f t="shared" si="578"/>
        <v>0</v>
      </c>
      <c r="AS429" s="65"/>
      <c r="AT429" s="112"/>
      <c r="AU429" s="203">
        <v>0.33</v>
      </c>
      <c r="AV429" s="109">
        <f t="shared" si="564"/>
        <v>16000</v>
      </c>
      <c r="AW429" s="84">
        <f t="shared" si="579"/>
        <v>0</v>
      </c>
      <c r="AX429" s="65"/>
      <c r="AY429" s="112"/>
      <c r="AZ429" s="203">
        <v>0.25</v>
      </c>
      <c r="BA429" s="109">
        <f t="shared" si="580"/>
        <v>16000</v>
      </c>
      <c r="BB429" s="84">
        <f t="shared" si="581"/>
        <v>0</v>
      </c>
      <c r="BC429" s="65"/>
      <c r="BD429" s="112"/>
      <c r="BE429" s="203">
        <v>0.26</v>
      </c>
      <c r="BF429" s="109">
        <f t="shared" si="567"/>
        <v>16000</v>
      </c>
      <c r="BG429" s="84">
        <f t="shared" si="582"/>
        <v>0</v>
      </c>
      <c r="BH429" s="197"/>
      <c r="BI429" s="518"/>
      <c r="BJ429" s="65"/>
      <c r="BK429" s="81">
        <f t="shared" si="583"/>
        <v>0</v>
      </c>
      <c r="BL429" s="65"/>
      <c r="BM429" s="204"/>
      <c r="BN429" s="156">
        <f>IF(B429&lt;&gt;"",_xlfn.XLOOKUP(B429,'Cronog. e Histog.'!B:B,'Cronog. e Histog.'!EK:EK),0)</f>
        <v>0</v>
      </c>
      <c r="BO429" s="109">
        <f>($O429/Dashboard!$D$15)*(1+Dashboard!$D$19)</f>
        <v>123.96694214876032</v>
      </c>
      <c r="BP429" s="84">
        <f t="shared" si="584"/>
        <v>0</v>
      </c>
      <c r="BQ429" s="65"/>
      <c r="BR429" s="204"/>
      <c r="BS429" s="156">
        <f>IF(B429&lt;&gt;"",_xlfn.XLOOKUP(B429,'Cronog. e Histog.'!B:B,'Cronog. e Histog.'!EL:EL),0)</f>
        <v>0</v>
      </c>
      <c r="BT429" s="109">
        <f>($O429/Dashboard!$D$15)*(1+Dashboard!$D$20)</f>
        <v>144.62809917355369</v>
      </c>
      <c r="BU429" s="84">
        <f t="shared" si="585"/>
        <v>0</v>
      </c>
      <c r="BV429" s="65"/>
      <c r="BW429" s="204"/>
      <c r="BX429" s="156">
        <f>IF(B429&lt;&gt;"",_xlfn.XLOOKUP(B429,'Cronog. e Histog.'!B:B,'Cronog. e Histog.'!EM:EM),0)</f>
        <v>0</v>
      </c>
      <c r="BY429" s="109">
        <f>($O429/Dashboard!$D$15)*(1+Dashboard!$D$21)</f>
        <v>165.28925619834709</v>
      </c>
      <c r="BZ429" s="84">
        <f t="shared" si="586"/>
        <v>0</v>
      </c>
    </row>
    <row r="430" spans="2:78" ht="12" customHeight="1" outlineLevel="1">
      <c r="B430" s="137" t="str">
        <f>'Cronog. e Histog.'!B577</f>
        <v>ENG/ARQ PL. - Equipe_01</v>
      </c>
      <c r="C430" s="65"/>
      <c r="D430" s="200">
        <f t="shared" si="552"/>
        <v>0</v>
      </c>
      <c r="E430" s="200">
        <f t="shared" si="553"/>
        <v>0</v>
      </c>
      <c r="F430" s="65"/>
      <c r="G430" s="200">
        <f t="shared" si="554"/>
        <v>0</v>
      </c>
      <c r="H430" s="200">
        <f t="shared" si="555"/>
        <v>0</v>
      </c>
      <c r="I430" s="65"/>
      <c r="J430" s="143" t="str">
        <f>IF('Cronog. e Histog.'!G577&gt;0,'Cronog. e Histog.'!G577,"")</f>
        <v>ENG/ARQ PL.</v>
      </c>
      <c r="K430" s="65"/>
      <c r="L430" s="144">
        <f>'Cronog. e Histog.'!BT577</f>
        <v>0</v>
      </c>
      <c r="M430" s="144">
        <f>'Cronog. e Histog.'!BU577</f>
        <v>0</v>
      </c>
      <c r="N430" s="65"/>
      <c r="O430" s="109">
        <f>_xlfn.XLOOKUP(B430,Salários!B:B,Salários!K:K)</f>
        <v>14000</v>
      </c>
      <c r="P430" s="109">
        <f t="shared" si="570"/>
        <v>0</v>
      </c>
      <c r="Q430" s="109">
        <f t="shared" si="571"/>
        <v>0</v>
      </c>
      <c r="R430" s="65"/>
      <c r="S430" s="109">
        <f t="shared" si="572"/>
        <v>14000</v>
      </c>
      <c r="T430" s="201" t="str">
        <f>IF(_xlfn.XLOOKUP(B430,Salários!B:B,Salários!I:I)&gt;0,_xlfn.XLOOKUP(B430,Salários!B:B,Salários!I:I),"")</f>
        <v>PJ</v>
      </c>
      <c r="U430" s="117">
        <f t="shared" si="573"/>
        <v>0</v>
      </c>
      <c r="V430" s="65"/>
      <c r="W430" s="202"/>
      <c r="X430" s="65"/>
      <c r="Y430" s="69"/>
      <c r="Z430" s="65"/>
      <c r="AA430" s="518"/>
      <c r="AB430" s="65"/>
      <c r="AC430" s="81">
        <f t="shared" si="574"/>
        <v>0</v>
      </c>
      <c r="AD430" s="65"/>
      <c r="AE430" s="112"/>
      <c r="AF430" s="203">
        <v>0.3</v>
      </c>
      <c r="AG430" s="109">
        <f t="shared" si="575"/>
        <v>14000</v>
      </c>
      <c r="AH430" s="84">
        <f t="shared" si="576"/>
        <v>0</v>
      </c>
      <c r="AI430" s="65"/>
      <c r="AJ430" s="112"/>
      <c r="AK430" s="122"/>
      <c r="AL430" s="109">
        <v>1212</v>
      </c>
      <c r="AM430" s="84">
        <f t="shared" si="577"/>
        <v>0</v>
      </c>
      <c r="AN430" s="65"/>
      <c r="AO430" s="112"/>
      <c r="AP430" s="204"/>
      <c r="AQ430" s="109">
        <f>IFERROR((O430+AH430+AM430)/Dashboard!$D$15,0)*0.2</f>
        <v>14.46280991735537</v>
      </c>
      <c r="AR430" s="84">
        <f t="shared" si="578"/>
        <v>0</v>
      </c>
      <c r="AS430" s="65"/>
      <c r="AT430" s="112"/>
      <c r="AU430" s="203">
        <v>0.33</v>
      </c>
      <c r="AV430" s="109">
        <f t="shared" si="564"/>
        <v>14000</v>
      </c>
      <c r="AW430" s="84">
        <f t="shared" si="579"/>
        <v>0</v>
      </c>
      <c r="AX430" s="65"/>
      <c r="AY430" s="112"/>
      <c r="AZ430" s="203">
        <v>0.25</v>
      </c>
      <c r="BA430" s="109">
        <f t="shared" si="580"/>
        <v>14000</v>
      </c>
      <c r="BB430" s="84">
        <f t="shared" si="581"/>
        <v>0</v>
      </c>
      <c r="BC430" s="65"/>
      <c r="BD430" s="112"/>
      <c r="BE430" s="203">
        <v>0.26</v>
      </c>
      <c r="BF430" s="109">
        <f t="shared" si="567"/>
        <v>14000</v>
      </c>
      <c r="BG430" s="84">
        <f t="shared" si="582"/>
        <v>0</v>
      </c>
      <c r="BH430" s="197"/>
      <c r="BI430" s="518"/>
      <c r="BJ430" s="65"/>
      <c r="BK430" s="81">
        <f t="shared" si="583"/>
        <v>0</v>
      </c>
      <c r="BL430" s="65"/>
      <c r="BM430" s="204"/>
      <c r="BN430" s="156">
        <f>IF(B430&lt;&gt;"",_xlfn.XLOOKUP(B430,'Cronog. e Histog.'!B:B,'Cronog. e Histog.'!EK:EK),0)</f>
        <v>0</v>
      </c>
      <c r="BO430" s="109">
        <f>($O430/Dashboard!$D$15)*(1+Dashboard!$D$19)</f>
        <v>108.47107438016528</v>
      </c>
      <c r="BP430" s="84">
        <f t="shared" si="584"/>
        <v>0</v>
      </c>
      <c r="BQ430" s="65"/>
      <c r="BR430" s="204"/>
      <c r="BS430" s="156">
        <f>IF(B430&lt;&gt;"",_xlfn.XLOOKUP(B430,'Cronog. e Histog.'!B:B,'Cronog. e Histog.'!EL:EL),0)</f>
        <v>0</v>
      </c>
      <c r="BT430" s="109">
        <f>($O430/Dashboard!$D$15)*(1+Dashboard!$D$20)</f>
        <v>126.54958677685948</v>
      </c>
      <c r="BU430" s="84">
        <f t="shared" si="585"/>
        <v>0</v>
      </c>
      <c r="BV430" s="65"/>
      <c r="BW430" s="204"/>
      <c r="BX430" s="156">
        <f>IF(B430&lt;&gt;"",_xlfn.XLOOKUP(B430,'Cronog. e Histog.'!B:B,'Cronog. e Histog.'!EM:EM),0)</f>
        <v>0</v>
      </c>
      <c r="BY430" s="109">
        <f>($O430/Dashboard!$D$15)*(1+Dashboard!$D$21)</f>
        <v>144.62809917355369</v>
      </c>
      <c r="BZ430" s="84">
        <f t="shared" si="586"/>
        <v>0</v>
      </c>
    </row>
    <row r="431" spans="2:78" ht="12" customHeight="1" outlineLevel="1">
      <c r="B431" s="137" t="str">
        <f>'Cronog. e Histog.'!B578</f>
        <v>ENG/ARQ JR. - Equipe_01</v>
      </c>
      <c r="C431" s="65"/>
      <c r="D431" s="200">
        <f t="shared" si="552"/>
        <v>0</v>
      </c>
      <c r="E431" s="200">
        <f t="shared" si="553"/>
        <v>0</v>
      </c>
      <c r="F431" s="65"/>
      <c r="G431" s="200">
        <f t="shared" si="554"/>
        <v>0</v>
      </c>
      <c r="H431" s="200">
        <f t="shared" si="555"/>
        <v>0</v>
      </c>
      <c r="I431" s="65"/>
      <c r="J431" s="143" t="str">
        <f>IF('Cronog. e Histog.'!G578&gt;0,'Cronog. e Histog.'!G578,"")</f>
        <v>ENG/ARQ JR.</v>
      </c>
      <c r="K431" s="65"/>
      <c r="L431" s="144">
        <f>'Cronog. e Histog.'!BT578</f>
        <v>0</v>
      </c>
      <c r="M431" s="144">
        <f>'Cronog. e Histog.'!BU578</f>
        <v>0</v>
      </c>
      <c r="N431" s="65"/>
      <c r="O431" s="109">
        <f>_xlfn.XLOOKUP(B431,Salários!B:B,Salários!K:K)</f>
        <v>14000</v>
      </c>
      <c r="P431" s="109">
        <f t="shared" si="570"/>
        <v>0</v>
      </c>
      <c r="Q431" s="109">
        <f t="shared" si="571"/>
        <v>0</v>
      </c>
      <c r="R431" s="65"/>
      <c r="S431" s="109">
        <f t="shared" si="572"/>
        <v>14000</v>
      </c>
      <c r="T431" s="201" t="str">
        <f>IF(_xlfn.XLOOKUP(B431,Salários!B:B,Salários!I:I)&gt;0,_xlfn.XLOOKUP(B431,Salários!B:B,Salários!I:I),"")</f>
        <v>PJ</v>
      </c>
      <c r="U431" s="117">
        <f t="shared" si="573"/>
        <v>0</v>
      </c>
      <c r="V431" s="65"/>
      <c r="W431" s="202"/>
      <c r="X431" s="65"/>
      <c r="Y431" s="69"/>
      <c r="Z431" s="65"/>
      <c r="AA431" s="518"/>
      <c r="AB431" s="65"/>
      <c r="AC431" s="81">
        <f t="shared" si="574"/>
        <v>0</v>
      </c>
      <c r="AD431" s="65"/>
      <c r="AE431" s="112"/>
      <c r="AF431" s="203">
        <v>0.3</v>
      </c>
      <c r="AG431" s="109">
        <f t="shared" si="575"/>
        <v>14000</v>
      </c>
      <c r="AH431" s="84">
        <f t="shared" si="576"/>
        <v>0</v>
      </c>
      <c r="AI431" s="65"/>
      <c r="AJ431" s="112"/>
      <c r="AK431" s="122"/>
      <c r="AL431" s="109">
        <v>1212</v>
      </c>
      <c r="AM431" s="84">
        <f t="shared" si="577"/>
        <v>0</v>
      </c>
      <c r="AN431" s="65"/>
      <c r="AO431" s="112"/>
      <c r="AP431" s="204"/>
      <c r="AQ431" s="109">
        <f>IFERROR((O431+AH431+AM431)/Dashboard!$D$15,0)*0.2</f>
        <v>14.46280991735537</v>
      </c>
      <c r="AR431" s="84">
        <f t="shared" si="578"/>
        <v>0</v>
      </c>
      <c r="AS431" s="65"/>
      <c r="AT431" s="112"/>
      <c r="AU431" s="203">
        <v>0.33</v>
      </c>
      <c r="AV431" s="109">
        <f t="shared" si="564"/>
        <v>14000</v>
      </c>
      <c r="AW431" s="84">
        <f t="shared" si="579"/>
        <v>0</v>
      </c>
      <c r="AX431" s="65"/>
      <c r="AY431" s="112"/>
      <c r="AZ431" s="203">
        <v>0.25</v>
      </c>
      <c r="BA431" s="109">
        <f t="shared" si="580"/>
        <v>14000</v>
      </c>
      <c r="BB431" s="84">
        <f t="shared" si="581"/>
        <v>0</v>
      </c>
      <c r="BC431" s="65"/>
      <c r="BD431" s="112"/>
      <c r="BE431" s="203">
        <v>0.26</v>
      </c>
      <c r="BF431" s="109">
        <f t="shared" si="567"/>
        <v>14000</v>
      </c>
      <c r="BG431" s="84">
        <f t="shared" si="582"/>
        <v>0</v>
      </c>
      <c r="BH431" s="197"/>
      <c r="BI431" s="518"/>
      <c r="BJ431" s="65"/>
      <c r="BK431" s="81">
        <f t="shared" si="583"/>
        <v>0</v>
      </c>
      <c r="BL431" s="65"/>
      <c r="BM431" s="204"/>
      <c r="BN431" s="156">
        <f>IF(B431&lt;&gt;"",_xlfn.XLOOKUP(B431,'Cronog. e Histog.'!B:B,'Cronog. e Histog.'!EK:EK),0)</f>
        <v>0</v>
      </c>
      <c r="BO431" s="109">
        <f>($O431/Dashboard!$D$15)*(1+Dashboard!$D$19)</f>
        <v>108.47107438016528</v>
      </c>
      <c r="BP431" s="84">
        <f t="shared" si="584"/>
        <v>0</v>
      </c>
      <c r="BQ431" s="65"/>
      <c r="BR431" s="204"/>
      <c r="BS431" s="156">
        <f>IF(B431&lt;&gt;"",_xlfn.XLOOKUP(B431,'Cronog. e Histog.'!B:B,'Cronog. e Histog.'!EL:EL),0)</f>
        <v>0</v>
      </c>
      <c r="BT431" s="109">
        <f>($O431/Dashboard!$D$15)*(1+Dashboard!$D$20)</f>
        <v>126.54958677685948</v>
      </c>
      <c r="BU431" s="84">
        <f t="shared" si="585"/>
        <v>0</v>
      </c>
      <c r="BV431" s="65"/>
      <c r="BW431" s="204"/>
      <c r="BX431" s="156">
        <f>IF(B431&lt;&gt;"",_xlfn.XLOOKUP(B431,'Cronog. e Histog.'!B:B,'Cronog. e Histog.'!EM:EM),0)</f>
        <v>0</v>
      </c>
      <c r="BY431" s="109">
        <f>($O431/Dashboard!$D$15)*(1+Dashboard!$D$21)</f>
        <v>144.62809917355369</v>
      </c>
      <c r="BZ431" s="84">
        <f t="shared" si="586"/>
        <v>0</v>
      </c>
    </row>
    <row r="432" spans="2:78" ht="12" customHeight="1" outlineLevel="1">
      <c r="B432" s="137" t="str">
        <f>'Cronog. e Histog.'!B579</f>
        <v>AN SR. ENG/ARQ - Equipe_01</v>
      </c>
      <c r="C432" s="65"/>
      <c r="D432" s="200">
        <f t="shared" si="552"/>
        <v>0</v>
      </c>
      <c r="E432" s="200">
        <f t="shared" si="553"/>
        <v>0</v>
      </c>
      <c r="F432" s="65"/>
      <c r="G432" s="200">
        <f t="shared" si="554"/>
        <v>0</v>
      </c>
      <c r="H432" s="200">
        <f t="shared" si="555"/>
        <v>0</v>
      </c>
      <c r="I432" s="65"/>
      <c r="J432" s="143" t="str">
        <f>IF('Cronog. e Histog.'!G579&gt;0,'Cronog. e Histog.'!G579,"")</f>
        <v>AN SR. ENG/ARQ</v>
      </c>
      <c r="K432" s="65"/>
      <c r="L432" s="144">
        <f>'Cronog. e Histog.'!BT579</f>
        <v>0</v>
      </c>
      <c r="M432" s="144">
        <f>'Cronog. e Histog.'!BU579</f>
        <v>0</v>
      </c>
      <c r="N432" s="65"/>
      <c r="O432" s="109">
        <f>_xlfn.XLOOKUP(B432,Salários!B:B,Salários!K:K)</f>
        <v>7950</v>
      </c>
      <c r="P432" s="109">
        <f t="shared" si="570"/>
        <v>0</v>
      </c>
      <c r="Q432" s="109">
        <f t="shared" si="571"/>
        <v>0</v>
      </c>
      <c r="R432" s="65"/>
      <c r="S432" s="109">
        <f t="shared" si="572"/>
        <v>7950</v>
      </c>
      <c r="T432" s="201" t="str">
        <f>IF(_xlfn.XLOOKUP(B432,Salários!B:B,Salários!I:I)&gt;0,_xlfn.XLOOKUP(B432,Salários!B:B,Salários!I:I),"")</f>
        <v>Mensalista</v>
      </c>
      <c r="U432" s="117">
        <f t="shared" si="573"/>
        <v>0</v>
      </c>
      <c r="V432" s="65"/>
      <c r="W432" s="202"/>
      <c r="X432" s="65"/>
      <c r="Y432" s="69"/>
      <c r="Z432" s="65"/>
      <c r="AA432" s="518"/>
      <c r="AB432" s="65"/>
      <c r="AC432" s="81">
        <f t="shared" si="574"/>
        <v>0</v>
      </c>
      <c r="AD432" s="65"/>
      <c r="AE432" s="112"/>
      <c r="AF432" s="203">
        <v>0.3</v>
      </c>
      <c r="AG432" s="109">
        <f t="shared" si="575"/>
        <v>7950</v>
      </c>
      <c r="AH432" s="84">
        <f t="shared" si="576"/>
        <v>0</v>
      </c>
      <c r="AI432" s="65"/>
      <c r="AJ432" s="112"/>
      <c r="AK432" s="122"/>
      <c r="AL432" s="109">
        <v>1212</v>
      </c>
      <c r="AM432" s="84">
        <f t="shared" si="577"/>
        <v>0</v>
      </c>
      <c r="AN432" s="65"/>
      <c r="AO432" s="112"/>
      <c r="AP432" s="204"/>
      <c r="AQ432" s="109">
        <f>IFERROR((O432+AH432+AM432)/Dashboard!$D$15,0)*0.2</f>
        <v>8.2128099173553704</v>
      </c>
      <c r="AR432" s="84">
        <f t="shared" si="578"/>
        <v>0</v>
      </c>
      <c r="AS432" s="65"/>
      <c r="AT432" s="112"/>
      <c r="AU432" s="203">
        <v>0.33</v>
      </c>
      <c r="AV432" s="109">
        <f t="shared" si="564"/>
        <v>7950</v>
      </c>
      <c r="AW432" s="84">
        <f t="shared" si="579"/>
        <v>0</v>
      </c>
      <c r="AX432" s="65"/>
      <c r="AY432" s="112"/>
      <c r="AZ432" s="203">
        <v>0.25</v>
      </c>
      <c r="BA432" s="109">
        <f t="shared" si="580"/>
        <v>7950</v>
      </c>
      <c r="BB432" s="84">
        <f t="shared" si="581"/>
        <v>0</v>
      </c>
      <c r="BC432" s="65"/>
      <c r="BD432" s="112"/>
      <c r="BE432" s="203">
        <v>0.26</v>
      </c>
      <c r="BF432" s="109">
        <f t="shared" si="567"/>
        <v>7950</v>
      </c>
      <c r="BG432" s="84">
        <f t="shared" si="582"/>
        <v>0</v>
      </c>
      <c r="BH432" s="197"/>
      <c r="BI432" s="518"/>
      <c r="BJ432" s="65"/>
      <c r="BK432" s="81">
        <f t="shared" si="583"/>
        <v>0</v>
      </c>
      <c r="BL432" s="65"/>
      <c r="BM432" s="204"/>
      <c r="BN432" s="156">
        <f>IF(B432&lt;&gt;"",_xlfn.XLOOKUP(B432,'Cronog. e Histog.'!B:B,'Cronog. e Histog.'!EK:EK),0)</f>
        <v>0</v>
      </c>
      <c r="BO432" s="109">
        <f>($O432/Dashboard!$D$15)*(1+Dashboard!$D$19)</f>
        <v>61.596074380165277</v>
      </c>
      <c r="BP432" s="84">
        <f t="shared" si="584"/>
        <v>0</v>
      </c>
      <c r="BQ432" s="65"/>
      <c r="BR432" s="204"/>
      <c r="BS432" s="156">
        <f>IF(B432&lt;&gt;"",_xlfn.XLOOKUP(B432,'Cronog. e Histog.'!B:B,'Cronog. e Histog.'!EL:EL),0)</f>
        <v>0</v>
      </c>
      <c r="BT432" s="109">
        <f>($O432/Dashboard!$D$15)*(1+Dashboard!$D$20)</f>
        <v>71.862086776859499</v>
      </c>
      <c r="BU432" s="84">
        <f t="shared" si="585"/>
        <v>0</v>
      </c>
      <c r="BV432" s="65"/>
      <c r="BW432" s="204"/>
      <c r="BX432" s="156">
        <f>IF(B432&lt;&gt;"",_xlfn.XLOOKUP(B432,'Cronog. e Histog.'!B:B,'Cronog. e Histog.'!EM:EM),0)</f>
        <v>0</v>
      </c>
      <c r="BY432" s="109">
        <f>($O432/Dashboard!$D$15)*(1+Dashboard!$D$21)</f>
        <v>82.128099173553707</v>
      </c>
      <c r="BZ432" s="84">
        <f t="shared" si="586"/>
        <v>0</v>
      </c>
    </row>
    <row r="433" spans="2:78" ht="12" customHeight="1" outlineLevel="1">
      <c r="B433" s="137" t="str">
        <f>'Cronog. e Histog.'!B580</f>
        <v>AN PL. ENG/ARQ - Equipe_01</v>
      </c>
      <c r="C433" s="65"/>
      <c r="D433" s="200">
        <f t="shared" si="552"/>
        <v>0</v>
      </c>
      <c r="E433" s="200">
        <f t="shared" si="553"/>
        <v>0</v>
      </c>
      <c r="F433" s="65"/>
      <c r="G433" s="200">
        <f t="shared" si="554"/>
        <v>0</v>
      </c>
      <c r="H433" s="200">
        <f t="shared" si="555"/>
        <v>0</v>
      </c>
      <c r="I433" s="65"/>
      <c r="J433" s="143" t="str">
        <f>IF('Cronog. e Histog.'!G580&gt;0,'Cronog. e Histog.'!G580,"")</f>
        <v>AN PL. ENG/ARQ</v>
      </c>
      <c r="K433" s="65"/>
      <c r="L433" s="144">
        <f>'Cronog. e Histog.'!BT580</f>
        <v>0</v>
      </c>
      <c r="M433" s="144">
        <f>'Cronog. e Histog.'!BU580</f>
        <v>0</v>
      </c>
      <c r="N433" s="65"/>
      <c r="O433" s="109">
        <f>_xlfn.XLOOKUP(B433,Salários!B:B,Salários!K:K)</f>
        <v>6360</v>
      </c>
      <c r="P433" s="109">
        <f t="shared" si="570"/>
        <v>0</v>
      </c>
      <c r="Q433" s="109">
        <f t="shared" si="571"/>
        <v>0</v>
      </c>
      <c r="R433" s="65"/>
      <c r="S433" s="109">
        <f t="shared" si="572"/>
        <v>6360</v>
      </c>
      <c r="T433" s="201" t="str">
        <f>IF(_xlfn.XLOOKUP(B433,Salários!B:B,Salários!I:I)&gt;0,_xlfn.XLOOKUP(B433,Salários!B:B,Salários!I:I),"")</f>
        <v>Mensalista</v>
      </c>
      <c r="U433" s="117">
        <f t="shared" si="573"/>
        <v>0</v>
      </c>
      <c r="V433" s="65"/>
      <c r="W433" s="202"/>
      <c r="X433" s="65"/>
      <c r="Y433" s="69"/>
      <c r="Z433" s="65"/>
      <c r="AA433" s="518"/>
      <c r="AB433" s="65"/>
      <c r="AC433" s="81">
        <f t="shared" si="574"/>
        <v>0</v>
      </c>
      <c r="AD433" s="65"/>
      <c r="AE433" s="112"/>
      <c r="AF433" s="203">
        <v>0.3</v>
      </c>
      <c r="AG433" s="109">
        <f t="shared" si="575"/>
        <v>6360</v>
      </c>
      <c r="AH433" s="84">
        <f t="shared" si="576"/>
        <v>0</v>
      </c>
      <c r="AI433" s="65"/>
      <c r="AJ433" s="112"/>
      <c r="AK433" s="122"/>
      <c r="AL433" s="109">
        <v>1212</v>
      </c>
      <c r="AM433" s="84">
        <f t="shared" si="577"/>
        <v>0</v>
      </c>
      <c r="AN433" s="65"/>
      <c r="AO433" s="112"/>
      <c r="AP433" s="204"/>
      <c r="AQ433" s="109">
        <f>IFERROR((O433+AH433+AM433)/Dashboard!$D$15,0)*0.2</f>
        <v>6.5702479338842963</v>
      </c>
      <c r="AR433" s="84">
        <f t="shared" si="578"/>
        <v>0</v>
      </c>
      <c r="AS433" s="65"/>
      <c r="AT433" s="112"/>
      <c r="AU433" s="203">
        <v>0.33</v>
      </c>
      <c r="AV433" s="109">
        <f t="shared" si="564"/>
        <v>6360</v>
      </c>
      <c r="AW433" s="84">
        <f t="shared" si="579"/>
        <v>0</v>
      </c>
      <c r="AX433" s="65"/>
      <c r="AY433" s="112"/>
      <c r="AZ433" s="203">
        <v>0.25</v>
      </c>
      <c r="BA433" s="109">
        <f t="shared" si="580"/>
        <v>6360</v>
      </c>
      <c r="BB433" s="84">
        <f t="shared" si="581"/>
        <v>0</v>
      </c>
      <c r="BC433" s="65"/>
      <c r="BD433" s="112"/>
      <c r="BE433" s="203">
        <v>0.26</v>
      </c>
      <c r="BF433" s="109">
        <f t="shared" si="567"/>
        <v>6360</v>
      </c>
      <c r="BG433" s="84">
        <f t="shared" si="582"/>
        <v>0</v>
      </c>
      <c r="BH433" s="197"/>
      <c r="BI433" s="518"/>
      <c r="BJ433" s="65"/>
      <c r="BK433" s="81">
        <f t="shared" si="583"/>
        <v>0</v>
      </c>
      <c r="BL433" s="65"/>
      <c r="BM433" s="204"/>
      <c r="BN433" s="156">
        <f>IF(B433&lt;&gt;"",_xlfn.XLOOKUP(B433,'Cronog. e Histog.'!B:B,'Cronog. e Histog.'!EK:EK),0)</f>
        <v>0</v>
      </c>
      <c r="BO433" s="109">
        <f>($O433/Dashboard!$D$15)*(1+Dashboard!$D$19)</f>
        <v>49.276859504132219</v>
      </c>
      <c r="BP433" s="84">
        <f t="shared" si="584"/>
        <v>0</v>
      </c>
      <c r="BQ433" s="65"/>
      <c r="BR433" s="204"/>
      <c r="BS433" s="156">
        <f>IF(B433&lt;&gt;"",_xlfn.XLOOKUP(B433,'Cronog. e Histog.'!B:B,'Cronog. e Histog.'!EL:EL),0)</f>
        <v>0</v>
      </c>
      <c r="BT433" s="109">
        <f>($O433/Dashboard!$D$15)*(1+Dashboard!$D$20)</f>
        <v>57.489669421487591</v>
      </c>
      <c r="BU433" s="84">
        <f t="shared" si="585"/>
        <v>0</v>
      </c>
      <c r="BV433" s="65"/>
      <c r="BW433" s="204"/>
      <c r="BX433" s="156">
        <f>IF(B433&lt;&gt;"",_xlfn.XLOOKUP(B433,'Cronog. e Histog.'!B:B,'Cronog. e Histog.'!EM:EM),0)</f>
        <v>0</v>
      </c>
      <c r="BY433" s="109">
        <f>($O433/Dashboard!$D$15)*(1+Dashboard!$D$21)</f>
        <v>65.702479338842963</v>
      </c>
      <c r="BZ433" s="84">
        <f t="shared" si="586"/>
        <v>0</v>
      </c>
    </row>
    <row r="434" spans="2:78" ht="12" customHeight="1" outlineLevel="1">
      <c r="B434" s="137" t="str">
        <f>'Cronog. e Histog.'!B581</f>
        <v>AN JR. ENG/ARQ - Equipe_01</v>
      </c>
      <c r="C434" s="65"/>
      <c r="D434" s="200">
        <f t="shared" si="552"/>
        <v>0</v>
      </c>
      <c r="E434" s="200">
        <f t="shared" si="553"/>
        <v>0</v>
      </c>
      <c r="F434" s="65"/>
      <c r="G434" s="200">
        <f t="shared" si="554"/>
        <v>0</v>
      </c>
      <c r="H434" s="200">
        <f t="shared" si="555"/>
        <v>0</v>
      </c>
      <c r="I434" s="65"/>
      <c r="J434" s="143" t="str">
        <f>IF('Cronog. e Histog.'!G581&gt;0,'Cronog. e Histog.'!G581,"")</f>
        <v>AN JR. ENG/ARQ</v>
      </c>
      <c r="K434" s="65"/>
      <c r="L434" s="144">
        <f>'Cronog. e Histog.'!BT581</f>
        <v>0</v>
      </c>
      <c r="M434" s="144">
        <f>'Cronog. e Histog.'!BU581</f>
        <v>0</v>
      </c>
      <c r="N434" s="65"/>
      <c r="O434" s="109">
        <f>_xlfn.XLOOKUP(B434,Salários!B:B,Salários!K:K)</f>
        <v>4770</v>
      </c>
      <c r="P434" s="109">
        <f t="shared" si="570"/>
        <v>0</v>
      </c>
      <c r="Q434" s="109">
        <f t="shared" si="571"/>
        <v>0</v>
      </c>
      <c r="R434" s="65"/>
      <c r="S434" s="109">
        <f t="shared" si="572"/>
        <v>4770</v>
      </c>
      <c r="T434" s="201" t="str">
        <f>IF(_xlfn.XLOOKUP(B434,Salários!B:B,Salários!I:I)&gt;0,_xlfn.XLOOKUP(B434,Salários!B:B,Salários!I:I),"")</f>
        <v>Mensalista</v>
      </c>
      <c r="U434" s="117">
        <f t="shared" si="573"/>
        <v>0</v>
      </c>
      <c r="V434" s="65"/>
      <c r="W434" s="202"/>
      <c r="X434" s="65"/>
      <c r="Y434" s="69"/>
      <c r="Z434" s="65"/>
      <c r="AA434" s="518"/>
      <c r="AB434" s="65"/>
      <c r="AC434" s="81">
        <f t="shared" si="574"/>
        <v>0</v>
      </c>
      <c r="AD434" s="65"/>
      <c r="AE434" s="112"/>
      <c r="AF434" s="203">
        <v>0.3</v>
      </c>
      <c r="AG434" s="109">
        <f t="shared" si="575"/>
        <v>4770</v>
      </c>
      <c r="AH434" s="84">
        <f t="shared" si="576"/>
        <v>0</v>
      </c>
      <c r="AI434" s="65"/>
      <c r="AJ434" s="112"/>
      <c r="AK434" s="122"/>
      <c r="AL434" s="109">
        <v>1212</v>
      </c>
      <c r="AM434" s="84">
        <f t="shared" si="577"/>
        <v>0</v>
      </c>
      <c r="AN434" s="65"/>
      <c r="AO434" s="112"/>
      <c r="AP434" s="204"/>
      <c r="AQ434" s="109">
        <f>IFERROR((O434+AH434+AM434)/Dashboard!$D$15,0)*0.2</f>
        <v>4.9276859504132231</v>
      </c>
      <c r="AR434" s="84">
        <f t="shared" si="578"/>
        <v>0</v>
      </c>
      <c r="AS434" s="65"/>
      <c r="AT434" s="112"/>
      <c r="AU434" s="203">
        <v>0.33</v>
      </c>
      <c r="AV434" s="109">
        <f t="shared" si="564"/>
        <v>4770</v>
      </c>
      <c r="AW434" s="84">
        <f t="shared" si="579"/>
        <v>0</v>
      </c>
      <c r="AX434" s="65"/>
      <c r="AY434" s="112"/>
      <c r="AZ434" s="203">
        <v>0.25</v>
      </c>
      <c r="BA434" s="109">
        <f t="shared" si="580"/>
        <v>4770</v>
      </c>
      <c r="BB434" s="84">
        <f t="shared" si="581"/>
        <v>0</v>
      </c>
      <c r="BC434" s="65"/>
      <c r="BD434" s="112"/>
      <c r="BE434" s="203">
        <v>0.26</v>
      </c>
      <c r="BF434" s="109">
        <f t="shared" si="567"/>
        <v>4770</v>
      </c>
      <c r="BG434" s="84">
        <f t="shared" si="582"/>
        <v>0</v>
      </c>
      <c r="BH434" s="197"/>
      <c r="BI434" s="518"/>
      <c r="BJ434" s="65"/>
      <c r="BK434" s="81">
        <f t="shared" si="583"/>
        <v>0</v>
      </c>
      <c r="BL434" s="65"/>
      <c r="BM434" s="204"/>
      <c r="BN434" s="156">
        <f>IF(B434&lt;&gt;"",_xlfn.XLOOKUP(B434,'Cronog. e Histog.'!B:B,'Cronog. e Histog.'!EK:EK),0)</f>
        <v>0</v>
      </c>
      <c r="BO434" s="109">
        <f>($O434/Dashboard!$D$15)*(1+Dashboard!$D$19)</f>
        <v>36.957644628099168</v>
      </c>
      <c r="BP434" s="84">
        <f t="shared" si="584"/>
        <v>0</v>
      </c>
      <c r="BQ434" s="65"/>
      <c r="BR434" s="204"/>
      <c r="BS434" s="156">
        <f>IF(B434&lt;&gt;"",_xlfn.XLOOKUP(B434,'Cronog. e Histog.'!B:B,'Cronog. e Histog.'!EL:EL),0)</f>
        <v>0</v>
      </c>
      <c r="BT434" s="109">
        <f>($O434/Dashboard!$D$15)*(1+Dashboard!$D$20)</f>
        <v>43.117252066115697</v>
      </c>
      <c r="BU434" s="84">
        <f t="shared" si="585"/>
        <v>0</v>
      </c>
      <c r="BV434" s="65"/>
      <c r="BW434" s="204"/>
      <c r="BX434" s="156">
        <f>IF(B434&lt;&gt;"",_xlfn.XLOOKUP(B434,'Cronog. e Histog.'!B:B,'Cronog. e Histog.'!EM:EM),0)</f>
        <v>0</v>
      </c>
      <c r="BY434" s="109">
        <f>($O434/Dashboard!$D$15)*(1+Dashboard!$D$21)</f>
        <v>49.276859504132226</v>
      </c>
      <c r="BZ434" s="84">
        <f t="shared" si="586"/>
        <v>0</v>
      </c>
    </row>
    <row r="435" spans="2:78" ht="12" customHeight="1" outlineLevel="1">
      <c r="B435" s="137" t="str">
        <f>'Cronog. e Histog.'!B582</f>
        <v>AN SR. ADM/CRP - Equipe_01</v>
      </c>
      <c r="C435" s="65"/>
      <c r="D435" s="200">
        <f t="shared" si="552"/>
        <v>0</v>
      </c>
      <c r="E435" s="200">
        <f t="shared" si="553"/>
        <v>0</v>
      </c>
      <c r="F435" s="65"/>
      <c r="G435" s="200">
        <f t="shared" si="554"/>
        <v>0</v>
      </c>
      <c r="H435" s="200">
        <f t="shared" si="555"/>
        <v>0</v>
      </c>
      <c r="I435" s="65"/>
      <c r="J435" s="143" t="str">
        <f>IF('Cronog. e Histog.'!G582&gt;0,'Cronog. e Histog.'!G582,"")</f>
        <v>AN SR. ADM/CRP</v>
      </c>
      <c r="K435" s="65"/>
      <c r="L435" s="144">
        <f>'Cronog. e Histog.'!BT582</f>
        <v>0</v>
      </c>
      <c r="M435" s="144">
        <f>'Cronog. e Histog.'!BU582</f>
        <v>0</v>
      </c>
      <c r="N435" s="65"/>
      <c r="O435" s="109">
        <f>_xlfn.XLOOKUP(B435,Salários!B:B,Salários!K:K)</f>
        <v>7420</v>
      </c>
      <c r="P435" s="109">
        <f t="shared" si="570"/>
        <v>0</v>
      </c>
      <c r="Q435" s="109">
        <f t="shared" si="571"/>
        <v>0</v>
      </c>
      <c r="R435" s="65"/>
      <c r="S435" s="109">
        <f t="shared" si="572"/>
        <v>7420</v>
      </c>
      <c r="T435" s="201" t="str">
        <f>IF(_xlfn.XLOOKUP(B435,Salários!B:B,Salários!I:I)&gt;0,_xlfn.XLOOKUP(B435,Salários!B:B,Salários!I:I),"")</f>
        <v>Mensalista</v>
      </c>
      <c r="U435" s="117">
        <f t="shared" si="573"/>
        <v>0</v>
      </c>
      <c r="V435" s="65"/>
      <c r="W435" s="202"/>
      <c r="X435" s="65"/>
      <c r="Y435" s="69"/>
      <c r="Z435" s="65"/>
      <c r="AA435" s="518"/>
      <c r="AB435" s="65"/>
      <c r="AC435" s="81">
        <f t="shared" si="574"/>
        <v>0</v>
      </c>
      <c r="AD435" s="65"/>
      <c r="AE435" s="112"/>
      <c r="AF435" s="203">
        <v>0.3</v>
      </c>
      <c r="AG435" s="109">
        <f t="shared" si="575"/>
        <v>7420</v>
      </c>
      <c r="AH435" s="84">
        <f t="shared" si="576"/>
        <v>0</v>
      </c>
      <c r="AI435" s="65"/>
      <c r="AJ435" s="112"/>
      <c r="AK435" s="122"/>
      <c r="AL435" s="109">
        <v>1212</v>
      </c>
      <c r="AM435" s="84">
        <f t="shared" si="577"/>
        <v>0</v>
      </c>
      <c r="AN435" s="65"/>
      <c r="AO435" s="112"/>
      <c r="AP435" s="204"/>
      <c r="AQ435" s="109">
        <f>IFERROR((O435+AH435+AM435)/Dashboard!$D$15,0)*0.2</f>
        <v>7.6652892561983466</v>
      </c>
      <c r="AR435" s="84">
        <f t="shared" si="578"/>
        <v>0</v>
      </c>
      <c r="AS435" s="65"/>
      <c r="AT435" s="112"/>
      <c r="AU435" s="203">
        <v>0.33</v>
      </c>
      <c r="AV435" s="109">
        <f t="shared" si="564"/>
        <v>7420</v>
      </c>
      <c r="AW435" s="84">
        <f t="shared" si="579"/>
        <v>0</v>
      </c>
      <c r="AX435" s="65"/>
      <c r="AY435" s="112"/>
      <c r="AZ435" s="203">
        <v>0.25</v>
      </c>
      <c r="BA435" s="109">
        <f t="shared" si="580"/>
        <v>7420</v>
      </c>
      <c r="BB435" s="84">
        <f t="shared" si="581"/>
        <v>0</v>
      </c>
      <c r="BC435" s="65"/>
      <c r="BD435" s="112"/>
      <c r="BE435" s="203">
        <v>0.26</v>
      </c>
      <c r="BF435" s="109">
        <f t="shared" si="567"/>
        <v>7420</v>
      </c>
      <c r="BG435" s="84">
        <f t="shared" si="582"/>
        <v>0</v>
      </c>
      <c r="BH435" s="197"/>
      <c r="BI435" s="518"/>
      <c r="BJ435" s="65"/>
      <c r="BK435" s="81">
        <f t="shared" si="583"/>
        <v>0</v>
      </c>
      <c r="BL435" s="65"/>
      <c r="BM435" s="204"/>
      <c r="BN435" s="156">
        <f>IF(B435&lt;&gt;"",_xlfn.XLOOKUP(B435,'Cronog. e Histog.'!B:B,'Cronog. e Histog.'!EK:EK),0)</f>
        <v>0</v>
      </c>
      <c r="BO435" s="109">
        <f>($O435/Dashboard!$D$15)*(1+Dashboard!$D$19)</f>
        <v>57.489669421487598</v>
      </c>
      <c r="BP435" s="84">
        <f t="shared" si="584"/>
        <v>0</v>
      </c>
      <c r="BQ435" s="65"/>
      <c r="BR435" s="204"/>
      <c r="BS435" s="156">
        <f>IF(B435&lt;&gt;"",_xlfn.XLOOKUP(B435,'Cronog. e Histog.'!B:B,'Cronog. e Histog.'!EL:EL),0)</f>
        <v>0</v>
      </c>
      <c r="BT435" s="109">
        <f>($O435/Dashboard!$D$15)*(1+Dashboard!$D$20)</f>
        <v>67.071280991735534</v>
      </c>
      <c r="BU435" s="84">
        <f t="shared" si="585"/>
        <v>0</v>
      </c>
      <c r="BV435" s="65"/>
      <c r="BW435" s="204"/>
      <c r="BX435" s="156">
        <f>IF(B435&lt;&gt;"",_xlfn.XLOOKUP(B435,'Cronog. e Histog.'!B:B,'Cronog. e Histog.'!EM:EM),0)</f>
        <v>0</v>
      </c>
      <c r="BY435" s="109">
        <f>($O435/Dashboard!$D$15)*(1+Dashboard!$D$21)</f>
        <v>76.652892561983464</v>
      </c>
      <c r="BZ435" s="84">
        <f t="shared" si="586"/>
        <v>0</v>
      </c>
    </row>
    <row r="436" spans="2:78" ht="12" customHeight="1" outlineLevel="1">
      <c r="B436" s="137" t="str">
        <f>'Cronog. e Histog.'!B583</f>
        <v>AN PL. ADM/CRP - Equipe_01</v>
      </c>
      <c r="C436" s="65"/>
      <c r="D436" s="200">
        <f t="shared" si="552"/>
        <v>0</v>
      </c>
      <c r="E436" s="200">
        <f t="shared" si="553"/>
        <v>0</v>
      </c>
      <c r="F436" s="65"/>
      <c r="G436" s="200">
        <f t="shared" si="554"/>
        <v>0</v>
      </c>
      <c r="H436" s="200">
        <f t="shared" si="555"/>
        <v>0</v>
      </c>
      <c r="I436" s="65"/>
      <c r="J436" s="143" t="str">
        <f>IF('Cronog. e Histog.'!G583&gt;0,'Cronog. e Histog.'!G583,"")</f>
        <v>AN PL. ADM/CRP</v>
      </c>
      <c r="K436" s="65"/>
      <c r="L436" s="144">
        <f>'Cronog. e Histog.'!BT583</f>
        <v>0</v>
      </c>
      <c r="M436" s="144">
        <f>'Cronog. e Histog.'!BU583</f>
        <v>0</v>
      </c>
      <c r="N436" s="65"/>
      <c r="O436" s="109">
        <f>_xlfn.XLOOKUP(B436,Salários!B:B,Salários!K:K)</f>
        <v>5300</v>
      </c>
      <c r="P436" s="109">
        <f t="shared" si="570"/>
        <v>0</v>
      </c>
      <c r="Q436" s="109">
        <f t="shared" si="571"/>
        <v>0</v>
      </c>
      <c r="R436" s="65"/>
      <c r="S436" s="109">
        <f t="shared" si="572"/>
        <v>5300</v>
      </c>
      <c r="T436" s="201" t="str">
        <f>IF(_xlfn.XLOOKUP(B436,Salários!B:B,Salários!I:I)&gt;0,_xlfn.XLOOKUP(B436,Salários!B:B,Salários!I:I),"")</f>
        <v>Mensalista</v>
      </c>
      <c r="U436" s="117">
        <f t="shared" si="573"/>
        <v>0</v>
      </c>
      <c r="V436" s="65"/>
      <c r="W436" s="202"/>
      <c r="X436" s="65"/>
      <c r="Y436" s="69"/>
      <c r="Z436" s="65"/>
      <c r="AA436" s="518"/>
      <c r="AB436" s="65"/>
      <c r="AC436" s="81">
        <f t="shared" si="574"/>
        <v>0</v>
      </c>
      <c r="AD436" s="65"/>
      <c r="AE436" s="112"/>
      <c r="AF436" s="203">
        <v>0.3</v>
      </c>
      <c r="AG436" s="109">
        <f t="shared" si="575"/>
        <v>5300</v>
      </c>
      <c r="AH436" s="84">
        <f t="shared" si="576"/>
        <v>0</v>
      </c>
      <c r="AI436" s="65"/>
      <c r="AJ436" s="112"/>
      <c r="AK436" s="122"/>
      <c r="AL436" s="109">
        <v>1212</v>
      </c>
      <c r="AM436" s="84">
        <f t="shared" si="577"/>
        <v>0</v>
      </c>
      <c r="AN436" s="65"/>
      <c r="AO436" s="112"/>
      <c r="AP436" s="204"/>
      <c r="AQ436" s="109">
        <f>IFERROR((O436+AH436+AM436)/Dashboard!$D$15,0)*0.2</f>
        <v>5.4752066115702478</v>
      </c>
      <c r="AR436" s="84">
        <f t="shared" si="578"/>
        <v>0</v>
      </c>
      <c r="AS436" s="65"/>
      <c r="AT436" s="112"/>
      <c r="AU436" s="203">
        <v>0.33</v>
      </c>
      <c r="AV436" s="109">
        <f t="shared" si="564"/>
        <v>5300</v>
      </c>
      <c r="AW436" s="84">
        <f t="shared" si="579"/>
        <v>0</v>
      </c>
      <c r="AX436" s="65"/>
      <c r="AY436" s="112"/>
      <c r="AZ436" s="203">
        <v>0.25</v>
      </c>
      <c r="BA436" s="109">
        <f t="shared" si="580"/>
        <v>5300</v>
      </c>
      <c r="BB436" s="84">
        <f t="shared" si="581"/>
        <v>0</v>
      </c>
      <c r="BC436" s="65"/>
      <c r="BD436" s="112"/>
      <c r="BE436" s="203">
        <v>0.26</v>
      </c>
      <c r="BF436" s="109">
        <f t="shared" si="567"/>
        <v>5300</v>
      </c>
      <c r="BG436" s="84">
        <f t="shared" si="582"/>
        <v>0</v>
      </c>
      <c r="BH436" s="197"/>
      <c r="BI436" s="518"/>
      <c r="BJ436" s="65"/>
      <c r="BK436" s="81">
        <f t="shared" si="583"/>
        <v>0</v>
      </c>
      <c r="BL436" s="65"/>
      <c r="BM436" s="204"/>
      <c r="BN436" s="156">
        <f>IF(B436&lt;&gt;"",_xlfn.XLOOKUP(B436,'Cronog. e Histog.'!B:B,'Cronog. e Histog.'!EK:EK),0)</f>
        <v>0</v>
      </c>
      <c r="BO436" s="109">
        <f>($O436/Dashboard!$D$15)*(1+Dashboard!$D$19)</f>
        <v>41.064049586776861</v>
      </c>
      <c r="BP436" s="84">
        <f t="shared" si="584"/>
        <v>0</v>
      </c>
      <c r="BQ436" s="65"/>
      <c r="BR436" s="204"/>
      <c r="BS436" s="156">
        <f>IF(B436&lt;&gt;"",_xlfn.XLOOKUP(B436,'Cronog. e Histog.'!B:B,'Cronog. e Histog.'!EL:EL),0)</f>
        <v>0</v>
      </c>
      <c r="BT436" s="109">
        <f>($O436/Dashboard!$D$15)*(1+Dashboard!$D$20)</f>
        <v>47.908057851239668</v>
      </c>
      <c r="BU436" s="84">
        <f t="shared" si="585"/>
        <v>0</v>
      </c>
      <c r="BV436" s="65"/>
      <c r="BW436" s="204"/>
      <c r="BX436" s="156">
        <f>IF(B436&lt;&gt;"",_xlfn.XLOOKUP(B436,'Cronog. e Histog.'!B:B,'Cronog. e Histog.'!EM:EM),0)</f>
        <v>0</v>
      </c>
      <c r="BY436" s="109">
        <f>($O436/Dashboard!$D$15)*(1+Dashboard!$D$21)</f>
        <v>54.752066115702476</v>
      </c>
      <c r="BZ436" s="84">
        <f t="shared" si="586"/>
        <v>0</v>
      </c>
    </row>
    <row r="437" spans="2:78" ht="12" customHeight="1" outlineLevel="1">
      <c r="B437" s="137" t="str">
        <f>'Cronog. e Histog.'!B584</f>
        <v>AN JR. ADM/CRP - Equipe_01</v>
      </c>
      <c r="C437" s="65"/>
      <c r="D437" s="200">
        <f t="shared" si="552"/>
        <v>0</v>
      </c>
      <c r="E437" s="200">
        <f t="shared" si="553"/>
        <v>0</v>
      </c>
      <c r="F437" s="65"/>
      <c r="G437" s="200">
        <f t="shared" si="554"/>
        <v>0</v>
      </c>
      <c r="H437" s="200">
        <f t="shared" si="555"/>
        <v>0</v>
      </c>
      <c r="I437" s="65"/>
      <c r="J437" s="143" t="str">
        <f>IF('Cronog. e Histog.'!G584&gt;0,'Cronog. e Histog.'!G584,"")</f>
        <v>AN JR. ADM/CRP</v>
      </c>
      <c r="K437" s="65"/>
      <c r="L437" s="144">
        <f>'Cronog. e Histog.'!BT584</f>
        <v>0</v>
      </c>
      <c r="M437" s="144">
        <f>'Cronog. e Histog.'!BU584</f>
        <v>0</v>
      </c>
      <c r="N437" s="65"/>
      <c r="O437" s="109">
        <f>_xlfn.XLOOKUP(B437,Salários!B:B,Salários!K:K)</f>
        <v>3710</v>
      </c>
      <c r="P437" s="109">
        <f t="shared" si="570"/>
        <v>0</v>
      </c>
      <c r="Q437" s="109">
        <f t="shared" si="571"/>
        <v>0</v>
      </c>
      <c r="R437" s="65"/>
      <c r="S437" s="109">
        <f t="shared" si="572"/>
        <v>3710</v>
      </c>
      <c r="T437" s="201" t="str">
        <f>IF(_xlfn.XLOOKUP(B437,Salários!B:B,Salários!I:I)&gt;0,_xlfn.XLOOKUP(B437,Salários!B:B,Salários!I:I),"")</f>
        <v>Mensalista</v>
      </c>
      <c r="U437" s="117">
        <f t="shared" si="559"/>
        <v>0</v>
      </c>
      <c r="V437" s="65"/>
      <c r="W437" s="202"/>
      <c r="X437" s="65"/>
      <c r="Y437" s="69"/>
      <c r="Z437" s="65"/>
      <c r="AA437" s="518"/>
      <c r="AB437" s="65"/>
      <c r="AC437" s="81">
        <f t="shared" si="560"/>
        <v>0</v>
      </c>
      <c r="AD437" s="65"/>
      <c r="AE437" s="112"/>
      <c r="AF437" s="203">
        <v>0.3</v>
      </c>
      <c r="AG437" s="109">
        <f t="shared" si="44"/>
        <v>3710</v>
      </c>
      <c r="AH437" s="84">
        <f t="shared" si="561"/>
        <v>0</v>
      </c>
      <c r="AI437" s="65"/>
      <c r="AJ437" s="112"/>
      <c r="AK437" s="122"/>
      <c r="AL437" s="109">
        <v>1212</v>
      </c>
      <c r="AM437" s="84">
        <f t="shared" si="562"/>
        <v>0</v>
      </c>
      <c r="AN437" s="65"/>
      <c r="AO437" s="112"/>
      <c r="AP437" s="204"/>
      <c r="AQ437" s="109">
        <f>IFERROR((O437+AH437+AM437)/Dashboard!$D$15,0)*0.2</f>
        <v>3.8326446280991733</v>
      </c>
      <c r="AR437" s="84">
        <f t="shared" si="563"/>
        <v>0</v>
      </c>
      <c r="AS437" s="65"/>
      <c r="AT437" s="112"/>
      <c r="AU437" s="203">
        <v>0.33</v>
      </c>
      <c r="AV437" s="109">
        <f t="shared" si="564"/>
        <v>3710</v>
      </c>
      <c r="AW437" s="84">
        <f t="shared" si="565"/>
        <v>0</v>
      </c>
      <c r="AX437" s="65"/>
      <c r="AY437" s="112"/>
      <c r="AZ437" s="203">
        <v>0.25</v>
      </c>
      <c r="BA437" s="109">
        <f t="shared" si="50"/>
        <v>3710</v>
      </c>
      <c r="BB437" s="84">
        <f t="shared" si="566"/>
        <v>0</v>
      </c>
      <c r="BC437" s="65"/>
      <c r="BD437" s="112"/>
      <c r="BE437" s="203">
        <v>0.26</v>
      </c>
      <c r="BF437" s="109">
        <f t="shared" si="567"/>
        <v>3710</v>
      </c>
      <c r="BG437" s="84">
        <f t="shared" si="568"/>
        <v>0</v>
      </c>
      <c r="BH437" s="197"/>
      <c r="BI437" s="518"/>
      <c r="BJ437" s="65"/>
      <c r="BK437" s="81">
        <f t="shared" si="569"/>
        <v>0</v>
      </c>
      <c r="BL437" s="65"/>
      <c r="BM437" s="204"/>
      <c r="BN437" s="156">
        <f>IF(B437&lt;&gt;"",_xlfn.XLOOKUP(B437,'Cronog. e Histog.'!B:B,'Cronog. e Histog.'!EK:EK),0)</f>
        <v>0</v>
      </c>
      <c r="BO437" s="109">
        <f>($O437/Dashboard!$D$15)*(1+Dashboard!$D$19)</f>
        <v>28.744834710743799</v>
      </c>
      <c r="BP437" s="84">
        <f t="shared" si="584"/>
        <v>0</v>
      </c>
      <c r="BQ437" s="65"/>
      <c r="BR437" s="204"/>
      <c r="BS437" s="156">
        <f>IF(B437&lt;&gt;"",_xlfn.XLOOKUP(B437,'Cronog. e Histog.'!B:B,'Cronog. e Histog.'!EL:EL),0)</f>
        <v>0</v>
      </c>
      <c r="BT437" s="109">
        <f>($O437/Dashboard!$D$15)*(1+Dashboard!$D$20)</f>
        <v>33.535640495867767</v>
      </c>
      <c r="BU437" s="84">
        <f t="shared" si="585"/>
        <v>0</v>
      </c>
      <c r="BV437" s="65"/>
      <c r="BW437" s="204"/>
      <c r="BX437" s="156">
        <f>IF(B437&lt;&gt;"",_xlfn.XLOOKUP(B437,'Cronog. e Histog.'!B:B,'Cronog. e Histog.'!EM:EM),0)</f>
        <v>0</v>
      </c>
      <c r="BY437" s="109">
        <f>($O437/Dashboard!$D$15)*(1+Dashboard!$D$21)</f>
        <v>38.326446280991732</v>
      </c>
      <c r="BZ437" s="84">
        <f t="shared" si="586"/>
        <v>0</v>
      </c>
    </row>
    <row r="438" spans="2:78" ht="12" customHeight="1" outlineLevel="1">
      <c r="B438" s="137" t="str">
        <f>'Cronog. e Histog.'!B585</f>
        <v>TEC III - Equipe_01</v>
      </c>
      <c r="C438" s="65"/>
      <c r="D438" s="200">
        <f t="shared" si="552"/>
        <v>0</v>
      </c>
      <c r="E438" s="200">
        <f t="shared" si="553"/>
        <v>0</v>
      </c>
      <c r="F438" s="65"/>
      <c r="G438" s="200">
        <f t="shared" si="554"/>
        <v>0</v>
      </c>
      <c r="H438" s="200">
        <f t="shared" si="555"/>
        <v>0</v>
      </c>
      <c r="I438" s="65"/>
      <c r="J438" s="143" t="str">
        <f>IF('Cronog. e Histog.'!G585&gt;0,'Cronog. e Histog.'!G585,"")</f>
        <v>TEC III</v>
      </c>
      <c r="K438" s="65"/>
      <c r="L438" s="144">
        <f>'Cronog. e Histog.'!BT585</f>
        <v>0</v>
      </c>
      <c r="M438" s="144">
        <f>'Cronog. e Histog.'!BU585</f>
        <v>0</v>
      </c>
      <c r="N438" s="65"/>
      <c r="O438" s="109">
        <f>_xlfn.XLOOKUP(B438,Salários!B:B,Salários!K:K)</f>
        <v>6360</v>
      </c>
      <c r="P438" s="109">
        <f t="shared" si="570"/>
        <v>0</v>
      </c>
      <c r="Q438" s="109">
        <f t="shared" si="571"/>
        <v>0</v>
      </c>
      <c r="R438" s="65"/>
      <c r="S438" s="109">
        <f t="shared" si="572"/>
        <v>6360</v>
      </c>
      <c r="T438" s="201" t="str">
        <f>IF(_xlfn.XLOOKUP(B438,Salários!B:B,Salários!I:I)&gt;0,_xlfn.XLOOKUP(B438,Salários!B:B,Salários!I:I),"")</f>
        <v>Mensalista</v>
      </c>
      <c r="U438" s="117">
        <f t="shared" si="559"/>
        <v>0</v>
      </c>
      <c r="V438" s="65"/>
      <c r="W438" s="202"/>
      <c r="X438" s="65"/>
      <c r="Y438" s="69"/>
      <c r="Z438" s="65"/>
      <c r="AA438" s="518"/>
      <c r="AB438" s="65"/>
      <c r="AC438" s="81">
        <f t="shared" si="560"/>
        <v>0</v>
      </c>
      <c r="AD438" s="65"/>
      <c r="AE438" s="112"/>
      <c r="AF438" s="203">
        <v>0.3</v>
      </c>
      <c r="AG438" s="109">
        <f t="shared" si="44"/>
        <v>6360</v>
      </c>
      <c r="AH438" s="84">
        <f t="shared" si="561"/>
        <v>0</v>
      </c>
      <c r="AI438" s="65"/>
      <c r="AJ438" s="112"/>
      <c r="AK438" s="122"/>
      <c r="AL438" s="109">
        <v>1212</v>
      </c>
      <c r="AM438" s="84">
        <f t="shared" si="562"/>
        <v>0</v>
      </c>
      <c r="AN438" s="65"/>
      <c r="AO438" s="112"/>
      <c r="AP438" s="204"/>
      <c r="AQ438" s="109">
        <f>IFERROR((O438+AH438+AM438)/Dashboard!$D$15,0)*0.2</f>
        <v>6.5702479338842963</v>
      </c>
      <c r="AR438" s="84">
        <f t="shared" si="563"/>
        <v>0</v>
      </c>
      <c r="AS438" s="65"/>
      <c r="AT438" s="112"/>
      <c r="AU438" s="203">
        <v>0.33</v>
      </c>
      <c r="AV438" s="109">
        <f t="shared" si="564"/>
        <v>6360</v>
      </c>
      <c r="AW438" s="84">
        <f t="shared" si="565"/>
        <v>0</v>
      </c>
      <c r="AX438" s="65"/>
      <c r="AY438" s="112"/>
      <c r="AZ438" s="203">
        <v>0.25</v>
      </c>
      <c r="BA438" s="109">
        <f t="shared" si="50"/>
        <v>6360</v>
      </c>
      <c r="BB438" s="84">
        <f t="shared" si="566"/>
        <v>0</v>
      </c>
      <c r="BC438" s="65"/>
      <c r="BD438" s="112"/>
      <c r="BE438" s="203">
        <v>0.26</v>
      </c>
      <c r="BF438" s="109">
        <f t="shared" si="567"/>
        <v>6360</v>
      </c>
      <c r="BG438" s="84">
        <f t="shared" si="568"/>
        <v>0</v>
      </c>
      <c r="BH438" s="197"/>
      <c r="BI438" s="518"/>
      <c r="BJ438" s="65"/>
      <c r="BK438" s="81">
        <f t="shared" si="569"/>
        <v>0</v>
      </c>
      <c r="BL438" s="65"/>
      <c r="BM438" s="204"/>
      <c r="BN438" s="156">
        <f>IF(B438&lt;&gt;"",_xlfn.XLOOKUP(B438,'Cronog. e Histog.'!B:B,'Cronog. e Histog.'!EK:EK),0)</f>
        <v>0</v>
      </c>
      <c r="BO438" s="109">
        <f>($O438/Dashboard!$D$15)*(1+Dashboard!$D$19)</f>
        <v>49.276859504132219</v>
      </c>
      <c r="BP438" s="84">
        <f t="shared" si="584"/>
        <v>0</v>
      </c>
      <c r="BQ438" s="65"/>
      <c r="BR438" s="204"/>
      <c r="BS438" s="156">
        <f>IF(B438&lt;&gt;"",_xlfn.XLOOKUP(B438,'Cronog. e Histog.'!B:B,'Cronog. e Histog.'!EL:EL),0)</f>
        <v>0</v>
      </c>
      <c r="BT438" s="109">
        <f>($O438/Dashboard!$D$15)*(1+Dashboard!$D$20)</f>
        <v>57.489669421487591</v>
      </c>
      <c r="BU438" s="84">
        <f t="shared" si="585"/>
        <v>0</v>
      </c>
      <c r="BV438" s="65"/>
      <c r="BW438" s="204"/>
      <c r="BX438" s="156">
        <f>IF(B438&lt;&gt;"",_xlfn.XLOOKUP(B438,'Cronog. e Histog.'!B:B,'Cronog. e Histog.'!EM:EM),0)</f>
        <v>0</v>
      </c>
      <c r="BY438" s="109">
        <f>($O438/Dashboard!$D$15)*(1+Dashboard!$D$21)</f>
        <v>65.702479338842963</v>
      </c>
      <c r="BZ438" s="84">
        <f t="shared" si="586"/>
        <v>0</v>
      </c>
    </row>
    <row r="439" spans="2:78" ht="12" customHeight="1" outlineLevel="1">
      <c r="B439" s="137" t="str">
        <f>'Cronog. e Histog.'!B586</f>
        <v>TEC II - Equipe_01</v>
      </c>
      <c r="C439" s="65"/>
      <c r="D439" s="200">
        <f t="shared" si="552"/>
        <v>0</v>
      </c>
      <c r="E439" s="200">
        <f t="shared" si="553"/>
        <v>0</v>
      </c>
      <c r="F439" s="65"/>
      <c r="G439" s="200">
        <f t="shared" si="554"/>
        <v>0</v>
      </c>
      <c r="H439" s="200">
        <f t="shared" si="555"/>
        <v>0</v>
      </c>
      <c r="I439" s="65"/>
      <c r="J439" s="143" t="str">
        <f>IF('Cronog. e Histog.'!G586&gt;0,'Cronog. e Histog.'!G586,"")</f>
        <v>TEC II</v>
      </c>
      <c r="K439" s="65"/>
      <c r="L439" s="144">
        <f>'Cronog. e Histog.'!BT586</f>
        <v>0</v>
      </c>
      <c r="M439" s="144">
        <f>'Cronog. e Histog.'!BU586</f>
        <v>0</v>
      </c>
      <c r="N439" s="65"/>
      <c r="O439" s="109">
        <f>_xlfn.XLOOKUP(B439,Salários!B:B,Salários!K:K)</f>
        <v>4770</v>
      </c>
      <c r="P439" s="109">
        <f t="shared" si="570"/>
        <v>0</v>
      </c>
      <c r="Q439" s="109">
        <f t="shared" si="571"/>
        <v>0</v>
      </c>
      <c r="R439" s="65"/>
      <c r="S439" s="109">
        <f t="shared" si="572"/>
        <v>4770</v>
      </c>
      <c r="T439" s="201" t="str">
        <f>IF(_xlfn.XLOOKUP(B439,Salários!B:B,Salários!I:I)&gt;0,_xlfn.XLOOKUP(B439,Salários!B:B,Salários!I:I),"")</f>
        <v>Mensalista</v>
      </c>
      <c r="U439" s="117">
        <f t="shared" si="559"/>
        <v>0</v>
      </c>
      <c r="V439" s="65"/>
      <c r="W439" s="202"/>
      <c r="X439" s="65"/>
      <c r="Y439" s="69"/>
      <c r="Z439" s="65"/>
      <c r="AA439" s="518"/>
      <c r="AB439" s="65"/>
      <c r="AC439" s="81">
        <f t="shared" si="560"/>
        <v>0</v>
      </c>
      <c r="AD439" s="65"/>
      <c r="AE439" s="112"/>
      <c r="AF439" s="203">
        <v>0.3</v>
      </c>
      <c r="AG439" s="109">
        <f t="shared" si="44"/>
        <v>4770</v>
      </c>
      <c r="AH439" s="84">
        <f t="shared" si="561"/>
        <v>0</v>
      </c>
      <c r="AI439" s="65"/>
      <c r="AJ439" s="112"/>
      <c r="AK439" s="122"/>
      <c r="AL439" s="109">
        <v>1212</v>
      </c>
      <c r="AM439" s="84">
        <f t="shared" si="562"/>
        <v>0</v>
      </c>
      <c r="AN439" s="65"/>
      <c r="AO439" s="112"/>
      <c r="AP439" s="204"/>
      <c r="AQ439" s="109">
        <f>IFERROR((O439+AH439+AM439)/Dashboard!$D$15,0)*0.2</f>
        <v>4.9276859504132231</v>
      </c>
      <c r="AR439" s="84">
        <f t="shared" si="563"/>
        <v>0</v>
      </c>
      <c r="AS439" s="65"/>
      <c r="AT439" s="112"/>
      <c r="AU439" s="203">
        <v>0.33</v>
      </c>
      <c r="AV439" s="109">
        <f t="shared" si="564"/>
        <v>4770</v>
      </c>
      <c r="AW439" s="84">
        <f t="shared" si="565"/>
        <v>0</v>
      </c>
      <c r="AX439" s="65"/>
      <c r="AY439" s="112"/>
      <c r="AZ439" s="203">
        <v>0.25</v>
      </c>
      <c r="BA439" s="109">
        <f t="shared" si="50"/>
        <v>4770</v>
      </c>
      <c r="BB439" s="84">
        <f t="shared" si="566"/>
        <v>0</v>
      </c>
      <c r="BC439" s="65"/>
      <c r="BD439" s="112"/>
      <c r="BE439" s="203">
        <v>0.26</v>
      </c>
      <c r="BF439" s="109">
        <f t="shared" si="567"/>
        <v>4770</v>
      </c>
      <c r="BG439" s="84">
        <f t="shared" si="568"/>
        <v>0</v>
      </c>
      <c r="BH439" s="197"/>
      <c r="BI439" s="518"/>
      <c r="BJ439" s="65"/>
      <c r="BK439" s="81">
        <f t="shared" si="569"/>
        <v>0</v>
      </c>
      <c r="BL439" s="65"/>
      <c r="BM439" s="204"/>
      <c r="BN439" s="156">
        <f>IF(B439&lt;&gt;"",_xlfn.XLOOKUP(B439,'Cronog. e Histog.'!B:B,'Cronog. e Histog.'!EK:EK),0)</f>
        <v>0</v>
      </c>
      <c r="BO439" s="109">
        <f>($O439/Dashboard!$D$15)*(1+Dashboard!$D$19)</f>
        <v>36.957644628099168</v>
      </c>
      <c r="BP439" s="84">
        <f t="shared" si="584"/>
        <v>0</v>
      </c>
      <c r="BQ439" s="65"/>
      <c r="BR439" s="204"/>
      <c r="BS439" s="156">
        <f>IF(B439&lt;&gt;"",_xlfn.XLOOKUP(B439,'Cronog. e Histog.'!B:B,'Cronog. e Histog.'!EL:EL),0)</f>
        <v>0</v>
      </c>
      <c r="BT439" s="109">
        <f>($O439/Dashboard!$D$15)*(1+Dashboard!$D$20)</f>
        <v>43.117252066115697</v>
      </c>
      <c r="BU439" s="84">
        <f t="shared" si="585"/>
        <v>0</v>
      </c>
      <c r="BV439" s="65"/>
      <c r="BW439" s="204"/>
      <c r="BX439" s="156">
        <f>IF(B439&lt;&gt;"",_xlfn.XLOOKUP(B439,'Cronog. e Histog.'!B:B,'Cronog. e Histog.'!EM:EM),0)</f>
        <v>0</v>
      </c>
      <c r="BY439" s="109">
        <f>($O439/Dashboard!$D$15)*(1+Dashboard!$D$21)</f>
        <v>49.276859504132226</v>
      </c>
      <c r="BZ439" s="84">
        <f t="shared" si="586"/>
        <v>0</v>
      </c>
    </row>
    <row r="440" spans="2:78" ht="12" customHeight="1" outlineLevel="1">
      <c r="B440" s="137" t="str">
        <f>'Cronog. e Histog.'!B587</f>
        <v>TEC I - Equipe_01</v>
      </c>
      <c r="C440" s="65"/>
      <c r="D440" s="200">
        <f t="shared" si="552"/>
        <v>0</v>
      </c>
      <c r="E440" s="200">
        <f t="shared" si="553"/>
        <v>0</v>
      </c>
      <c r="F440" s="65"/>
      <c r="G440" s="200">
        <f t="shared" si="554"/>
        <v>0</v>
      </c>
      <c r="H440" s="200">
        <f t="shared" si="555"/>
        <v>0</v>
      </c>
      <c r="I440" s="65"/>
      <c r="J440" s="143" t="str">
        <f>IF('Cronog. e Histog.'!G587&gt;0,'Cronog. e Histog.'!G587,"")</f>
        <v>TEC I</v>
      </c>
      <c r="K440" s="65"/>
      <c r="L440" s="144">
        <f>'Cronog. e Histog.'!BT587</f>
        <v>0</v>
      </c>
      <c r="M440" s="144">
        <f>'Cronog. e Histog.'!BU587</f>
        <v>0</v>
      </c>
      <c r="N440" s="65"/>
      <c r="O440" s="109">
        <f>_xlfn.XLOOKUP(B440,Salários!B:B,Salários!K:K)</f>
        <v>3180</v>
      </c>
      <c r="P440" s="109">
        <f t="shared" si="570"/>
        <v>0</v>
      </c>
      <c r="Q440" s="109">
        <f t="shared" si="571"/>
        <v>0</v>
      </c>
      <c r="R440" s="65"/>
      <c r="S440" s="109">
        <f t="shared" si="572"/>
        <v>3180</v>
      </c>
      <c r="T440" s="201" t="str">
        <f>IF(_xlfn.XLOOKUP(B440,Salários!B:B,Salários!I:I)&gt;0,_xlfn.XLOOKUP(B440,Salários!B:B,Salários!I:I),"")</f>
        <v>Mensalista</v>
      </c>
      <c r="U440" s="117">
        <f t="shared" si="559"/>
        <v>0</v>
      </c>
      <c r="V440" s="65"/>
      <c r="W440" s="202"/>
      <c r="X440" s="65"/>
      <c r="Y440" s="69"/>
      <c r="Z440" s="65"/>
      <c r="AA440" s="518"/>
      <c r="AB440" s="65"/>
      <c r="AC440" s="81">
        <f t="shared" si="560"/>
        <v>0</v>
      </c>
      <c r="AD440" s="65"/>
      <c r="AE440" s="112"/>
      <c r="AF440" s="203">
        <v>0.3</v>
      </c>
      <c r="AG440" s="109">
        <f t="shared" si="44"/>
        <v>3180</v>
      </c>
      <c r="AH440" s="84">
        <f t="shared" si="561"/>
        <v>0</v>
      </c>
      <c r="AI440" s="65"/>
      <c r="AJ440" s="112"/>
      <c r="AK440" s="122"/>
      <c r="AL440" s="109">
        <v>1212</v>
      </c>
      <c r="AM440" s="84">
        <f t="shared" si="562"/>
        <v>0</v>
      </c>
      <c r="AN440" s="65"/>
      <c r="AO440" s="112"/>
      <c r="AP440" s="204"/>
      <c r="AQ440" s="109">
        <f>IFERROR((O440+AH440+AM440)/Dashboard!$D$15,0)*0.2</f>
        <v>3.2851239669421481</v>
      </c>
      <c r="AR440" s="84">
        <f t="shared" si="563"/>
        <v>0</v>
      </c>
      <c r="AS440" s="65"/>
      <c r="AT440" s="112"/>
      <c r="AU440" s="203">
        <v>0.33</v>
      </c>
      <c r="AV440" s="109">
        <f t="shared" si="564"/>
        <v>3180</v>
      </c>
      <c r="AW440" s="84">
        <f t="shared" si="565"/>
        <v>0</v>
      </c>
      <c r="AX440" s="65"/>
      <c r="AY440" s="112"/>
      <c r="AZ440" s="203">
        <v>0.25</v>
      </c>
      <c r="BA440" s="109">
        <f t="shared" si="50"/>
        <v>3180</v>
      </c>
      <c r="BB440" s="84">
        <f t="shared" si="566"/>
        <v>0</v>
      </c>
      <c r="BC440" s="65"/>
      <c r="BD440" s="112"/>
      <c r="BE440" s="203">
        <v>0.26</v>
      </c>
      <c r="BF440" s="109">
        <f t="shared" si="567"/>
        <v>3180</v>
      </c>
      <c r="BG440" s="84">
        <f t="shared" si="568"/>
        <v>0</v>
      </c>
      <c r="BH440" s="197"/>
      <c r="BI440" s="518"/>
      <c r="BJ440" s="65"/>
      <c r="BK440" s="81">
        <f t="shared" si="569"/>
        <v>0</v>
      </c>
      <c r="BL440" s="65"/>
      <c r="BM440" s="204"/>
      <c r="BN440" s="156">
        <f>IF(B440&lt;&gt;"",_xlfn.XLOOKUP(B440,'Cronog. e Histog.'!B:B,'Cronog. e Histog.'!EK:EK),0)</f>
        <v>0</v>
      </c>
      <c r="BO440" s="109">
        <f>($O440/Dashboard!$D$15)*(1+Dashboard!$D$19)</f>
        <v>24.638429752066109</v>
      </c>
      <c r="BP440" s="84">
        <f t="shared" si="584"/>
        <v>0</v>
      </c>
      <c r="BQ440" s="65"/>
      <c r="BR440" s="204"/>
      <c r="BS440" s="156">
        <f>IF(B440&lt;&gt;"",_xlfn.XLOOKUP(B440,'Cronog. e Histog.'!B:B,'Cronog. e Histog.'!EL:EL),0)</f>
        <v>0</v>
      </c>
      <c r="BT440" s="109">
        <f>($O440/Dashboard!$D$15)*(1+Dashboard!$D$20)</f>
        <v>28.744834710743795</v>
      </c>
      <c r="BU440" s="84">
        <f t="shared" si="585"/>
        <v>0</v>
      </c>
      <c r="BV440" s="65"/>
      <c r="BW440" s="204"/>
      <c r="BX440" s="156">
        <f>IF(B440&lt;&gt;"",_xlfn.XLOOKUP(B440,'Cronog. e Histog.'!B:B,'Cronog. e Histog.'!EM:EM),0)</f>
        <v>0</v>
      </c>
      <c r="BY440" s="109">
        <f>($O440/Dashboard!$D$15)*(1+Dashboard!$D$21)</f>
        <v>32.851239669421481</v>
      </c>
      <c r="BZ440" s="84">
        <f t="shared" si="586"/>
        <v>0</v>
      </c>
    </row>
    <row r="441" spans="2:78" ht="12" customHeight="1" outlineLevel="1">
      <c r="B441" s="137" t="str">
        <f>'Cronog. e Histog.'!B588</f>
        <v>AUX TEC - Equipe_01</v>
      </c>
      <c r="C441" s="65"/>
      <c r="D441" s="200">
        <f t="shared" si="552"/>
        <v>0</v>
      </c>
      <c r="E441" s="200">
        <f t="shared" si="553"/>
        <v>0</v>
      </c>
      <c r="F441" s="65"/>
      <c r="G441" s="200">
        <f t="shared" si="554"/>
        <v>0</v>
      </c>
      <c r="H441" s="200">
        <f t="shared" si="555"/>
        <v>0</v>
      </c>
      <c r="I441" s="65"/>
      <c r="J441" s="143" t="str">
        <f>IF('Cronog. e Histog.'!G588&gt;0,'Cronog. e Histog.'!G588,"")</f>
        <v>AUX TEC</v>
      </c>
      <c r="K441" s="65"/>
      <c r="L441" s="144">
        <f>'Cronog. e Histog.'!BT588</f>
        <v>0</v>
      </c>
      <c r="M441" s="144">
        <f>'Cronog. e Histog.'!BU588</f>
        <v>0</v>
      </c>
      <c r="N441" s="65"/>
      <c r="O441" s="109">
        <f>_xlfn.XLOOKUP(B441,Salários!B:B,Salários!K:K)</f>
        <v>3710</v>
      </c>
      <c r="P441" s="109">
        <f t="shared" si="570"/>
        <v>0</v>
      </c>
      <c r="Q441" s="109">
        <f t="shared" si="571"/>
        <v>0</v>
      </c>
      <c r="R441" s="65"/>
      <c r="S441" s="109">
        <f t="shared" si="572"/>
        <v>3710</v>
      </c>
      <c r="T441" s="201" t="str">
        <f>IF(_xlfn.XLOOKUP(B441,Salários!B:B,Salários!I:I)&gt;0,_xlfn.XLOOKUP(B441,Salários!B:B,Salários!I:I),"")</f>
        <v>Mensalista</v>
      </c>
      <c r="U441" s="117">
        <f t="shared" si="559"/>
        <v>0</v>
      </c>
      <c r="V441" s="65"/>
      <c r="W441" s="202"/>
      <c r="X441" s="65"/>
      <c r="Y441" s="69"/>
      <c r="Z441" s="65"/>
      <c r="AA441" s="518"/>
      <c r="AB441" s="65"/>
      <c r="AC441" s="81">
        <f t="shared" si="560"/>
        <v>0</v>
      </c>
      <c r="AD441" s="65"/>
      <c r="AE441" s="112"/>
      <c r="AF441" s="203">
        <v>0.3</v>
      </c>
      <c r="AG441" s="109">
        <f t="shared" si="44"/>
        <v>3710</v>
      </c>
      <c r="AH441" s="84">
        <f t="shared" si="561"/>
        <v>0</v>
      </c>
      <c r="AI441" s="65"/>
      <c r="AJ441" s="112"/>
      <c r="AK441" s="122"/>
      <c r="AL441" s="109">
        <v>1212</v>
      </c>
      <c r="AM441" s="84">
        <f t="shared" si="562"/>
        <v>0</v>
      </c>
      <c r="AN441" s="65"/>
      <c r="AO441" s="112"/>
      <c r="AP441" s="204"/>
      <c r="AQ441" s="109">
        <f>IFERROR((O441+AH441+AM441)/Dashboard!$D$15,0)*0.2</f>
        <v>3.8326446280991733</v>
      </c>
      <c r="AR441" s="84">
        <f t="shared" si="563"/>
        <v>0</v>
      </c>
      <c r="AS441" s="65"/>
      <c r="AT441" s="112"/>
      <c r="AU441" s="203">
        <v>0.33</v>
      </c>
      <c r="AV441" s="109">
        <f t="shared" si="564"/>
        <v>3710</v>
      </c>
      <c r="AW441" s="84">
        <f t="shared" si="565"/>
        <v>0</v>
      </c>
      <c r="AX441" s="65"/>
      <c r="AY441" s="112"/>
      <c r="AZ441" s="203">
        <v>0.25</v>
      </c>
      <c r="BA441" s="109">
        <f t="shared" si="50"/>
        <v>3710</v>
      </c>
      <c r="BB441" s="84">
        <f t="shared" si="566"/>
        <v>0</v>
      </c>
      <c r="BC441" s="65"/>
      <c r="BD441" s="112"/>
      <c r="BE441" s="203">
        <v>0.26</v>
      </c>
      <c r="BF441" s="109">
        <f t="shared" si="567"/>
        <v>3710</v>
      </c>
      <c r="BG441" s="84">
        <f t="shared" si="568"/>
        <v>0</v>
      </c>
      <c r="BH441" s="197"/>
      <c r="BI441" s="518"/>
      <c r="BJ441" s="65"/>
      <c r="BK441" s="81">
        <f t="shared" si="569"/>
        <v>0</v>
      </c>
      <c r="BL441" s="65"/>
      <c r="BM441" s="204"/>
      <c r="BN441" s="156">
        <f>IF(B441&lt;&gt;"",_xlfn.XLOOKUP(B441,'Cronog. e Histog.'!B:B,'Cronog. e Histog.'!EK:EK),0)</f>
        <v>0</v>
      </c>
      <c r="BO441" s="109">
        <f>($O441/Dashboard!$D$15)*(1+Dashboard!$D$19)</f>
        <v>28.744834710743799</v>
      </c>
      <c r="BP441" s="84">
        <f t="shared" si="584"/>
        <v>0</v>
      </c>
      <c r="BQ441" s="65"/>
      <c r="BR441" s="204"/>
      <c r="BS441" s="156">
        <f>IF(B441&lt;&gt;"",_xlfn.XLOOKUP(B441,'Cronog. e Histog.'!B:B,'Cronog. e Histog.'!EL:EL),0)</f>
        <v>0</v>
      </c>
      <c r="BT441" s="109">
        <f>($O441/Dashboard!$D$15)*(1+Dashboard!$D$20)</f>
        <v>33.535640495867767</v>
      </c>
      <c r="BU441" s="84">
        <f t="shared" si="585"/>
        <v>0</v>
      </c>
      <c r="BV441" s="65"/>
      <c r="BW441" s="204"/>
      <c r="BX441" s="156">
        <f>IF(B441&lt;&gt;"",_xlfn.XLOOKUP(B441,'Cronog. e Histog.'!B:B,'Cronog. e Histog.'!EM:EM),0)</f>
        <v>0</v>
      </c>
      <c r="BY441" s="109">
        <f>($O441/Dashboard!$D$15)*(1+Dashboard!$D$21)</f>
        <v>38.326446280991732</v>
      </c>
      <c r="BZ441" s="84">
        <f t="shared" si="586"/>
        <v>0</v>
      </c>
    </row>
    <row r="442" spans="2:78" ht="12" customHeight="1" outlineLevel="1">
      <c r="B442" s="137" t="str">
        <f>'Cronog. e Histog.'!B589</f>
        <v>AUX ADM - Equipe_01</v>
      </c>
      <c r="C442" s="65"/>
      <c r="D442" s="200">
        <f t="shared" si="552"/>
        <v>0</v>
      </c>
      <c r="E442" s="200">
        <f t="shared" si="553"/>
        <v>0</v>
      </c>
      <c r="F442" s="65"/>
      <c r="G442" s="200">
        <f t="shared" si="554"/>
        <v>0</v>
      </c>
      <c r="H442" s="200">
        <f t="shared" si="555"/>
        <v>0</v>
      </c>
      <c r="I442" s="65"/>
      <c r="J442" s="143" t="str">
        <f>IF('Cronog. e Histog.'!G589&gt;0,'Cronog. e Histog.'!G589,"")</f>
        <v>AUX ADM</v>
      </c>
      <c r="K442" s="65"/>
      <c r="L442" s="144">
        <f>'Cronog. e Histog.'!BT589</f>
        <v>0</v>
      </c>
      <c r="M442" s="144">
        <f>'Cronog. e Histog.'!BU589</f>
        <v>0</v>
      </c>
      <c r="N442" s="65"/>
      <c r="O442" s="109">
        <f>_xlfn.XLOOKUP(B442,Salários!B:B,Salários!K:K)</f>
        <v>1912.24</v>
      </c>
      <c r="P442" s="109">
        <f t="shared" si="570"/>
        <v>0</v>
      </c>
      <c r="Q442" s="109">
        <f t="shared" si="571"/>
        <v>0</v>
      </c>
      <c r="R442" s="65"/>
      <c r="S442" s="109">
        <f t="shared" si="572"/>
        <v>1912.24</v>
      </c>
      <c r="T442" s="201" t="str">
        <f>IF(_xlfn.XLOOKUP(B442,Salários!B:B,Salários!I:I)&gt;0,_xlfn.XLOOKUP(B442,Salários!B:B,Salários!I:I),"")</f>
        <v>Mensalista</v>
      </c>
      <c r="U442" s="117">
        <f t="shared" si="559"/>
        <v>0</v>
      </c>
      <c r="V442" s="65"/>
      <c r="W442" s="202"/>
      <c r="X442" s="65"/>
      <c r="Y442" s="69"/>
      <c r="Z442" s="65"/>
      <c r="AA442" s="518"/>
      <c r="AB442" s="65"/>
      <c r="AC442" s="81">
        <f t="shared" si="560"/>
        <v>0</v>
      </c>
      <c r="AD442" s="65"/>
      <c r="AE442" s="112"/>
      <c r="AF442" s="203">
        <v>0.3</v>
      </c>
      <c r="AG442" s="109">
        <f t="shared" si="44"/>
        <v>1912.24</v>
      </c>
      <c r="AH442" s="84">
        <f t="shared" si="561"/>
        <v>0</v>
      </c>
      <c r="AI442" s="65"/>
      <c r="AJ442" s="112"/>
      <c r="AK442" s="122"/>
      <c r="AL442" s="109">
        <v>1212</v>
      </c>
      <c r="AM442" s="84">
        <f t="shared" si="562"/>
        <v>0</v>
      </c>
      <c r="AN442" s="65"/>
      <c r="AO442" s="112"/>
      <c r="AP442" s="204"/>
      <c r="AQ442" s="109">
        <f>IFERROR((O442+AH442+AM442)/Dashboard!$D$15,0)*0.2</f>
        <v>1.9754545454545456</v>
      </c>
      <c r="AR442" s="84">
        <f t="shared" si="563"/>
        <v>0</v>
      </c>
      <c r="AS442" s="65"/>
      <c r="AT442" s="112"/>
      <c r="AU442" s="203">
        <v>0.33</v>
      </c>
      <c r="AV442" s="109">
        <f t="shared" si="564"/>
        <v>1912.24</v>
      </c>
      <c r="AW442" s="84">
        <f t="shared" si="565"/>
        <v>0</v>
      </c>
      <c r="AX442" s="65"/>
      <c r="AY442" s="112"/>
      <c r="AZ442" s="203">
        <v>0.25</v>
      </c>
      <c r="BA442" s="109">
        <f t="shared" si="50"/>
        <v>1912.24</v>
      </c>
      <c r="BB442" s="84">
        <f t="shared" si="566"/>
        <v>0</v>
      </c>
      <c r="BC442" s="65"/>
      <c r="BD442" s="112"/>
      <c r="BE442" s="203">
        <v>0.26</v>
      </c>
      <c r="BF442" s="109">
        <f t="shared" si="567"/>
        <v>1912.24</v>
      </c>
      <c r="BG442" s="84">
        <f t="shared" si="568"/>
        <v>0</v>
      </c>
      <c r="BH442" s="197"/>
      <c r="BI442" s="518"/>
      <c r="BJ442" s="65"/>
      <c r="BK442" s="81">
        <f t="shared" si="569"/>
        <v>0</v>
      </c>
      <c r="BL442" s="65"/>
      <c r="BM442" s="204"/>
      <c r="BN442" s="156">
        <f>IF(B442&lt;&gt;"",_xlfn.XLOOKUP(B442,'Cronog. e Histog.'!B:B,'Cronog. e Histog.'!EK:EK),0)</f>
        <v>0</v>
      </c>
      <c r="BO442" s="109">
        <f>($O442/Dashboard!$D$15)*(1+Dashboard!$D$19)</f>
        <v>14.815909090909091</v>
      </c>
      <c r="BP442" s="84">
        <f t="shared" si="584"/>
        <v>0</v>
      </c>
      <c r="BQ442" s="65"/>
      <c r="BR442" s="204"/>
      <c r="BS442" s="156">
        <f>IF(B442&lt;&gt;"",_xlfn.XLOOKUP(B442,'Cronog. e Histog.'!B:B,'Cronog. e Histog.'!EL:EL),0)</f>
        <v>0</v>
      </c>
      <c r="BT442" s="109">
        <f>($O442/Dashboard!$D$15)*(1+Dashboard!$D$20)</f>
        <v>17.285227272727273</v>
      </c>
      <c r="BU442" s="84">
        <f t="shared" si="585"/>
        <v>0</v>
      </c>
      <c r="BV442" s="65"/>
      <c r="BW442" s="204"/>
      <c r="BX442" s="156">
        <f>IF(B442&lt;&gt;"",_xlfn.XLOOKUP(B442,'Cronog. e Histog.'!B:B,'Cronog. e Histog.'!EM:EM),0)</f>
        <v>0</v>
      </c>
      <c r="BY442" s="109">
        <f>($O442/Dashboard!$D$15)*(1+Dashboard!$D$21)</f>
        <v>19.754545454545454</v>
      </c>
      <c r="BZ442" s="84">
        <f t="shared" si="586"/>
        <v>0</v>
      </c>
    </row>
    <row r="443" spans="2:78" ht="12" customHeight="1" outlineLevel="1">
      <c r="B443" s="137" t="str">
        <f>'Cronog. e Histog.'!B590</f>
        <v>EST - Equipe_01</v>
      </c>
      <c r="C443" s="65"/>
      <c r="D443" s="200">
        <f t="shared" si="552"/>
        <v>0</v>
      </c>
      <c r="E443" s="200">
        <f t="shared" si="553"/>
        <v>0</v>
      </c>
      <c r="F443" s="65"/>
      <c r="G443" s="200">
        <f t="shared" si="554"/>
        <v>0</v>
      </c>
      <c r="H443" s="200">
        <f t="shared" si="555"/>
        <v>0</v>
      </c>
      <c r="I443" s="65"/>
      <c r="J443" s="143" t="str">
        <f>IF('Cronog. e Histog.'!G590&gt;0,'Cronog. e Histog.'!G590,"")</f>
        <v>EST</v>
      </c>
      <c r="K443" s="65"/>
      <c r="L443" s="144">
        <f>'Cronog. e Histog.'!BT590</f>
        <v>0</v>
      </c>
      <c r="M443" s="144">
        <f>'Cronog. e Histog.'!BU590</f>
        <v>0</v>
      </c>
      <c r="N443" s="65"/>
      <c r="O443" s="109">
        <f>_xlfn.XLOOKUP(B443,Salários!B:B,Salários!K:K)</f>
        <v>1633</v>
      </c>
      <c r="P443" s="109">
        <f t="shared" si="570"/>
        <v>0</v>
      </c>
      <c r="Q443" s="109">
        <f t="shared" si="571"/>
        <v>0</v>
      </c>
      <c r="R443" s="65"/>
      <c r="S443" s="109">
        <f t="shared" si="572"/>
        <v>1633</v>
      </c>
      <c r="T443" s="201" t="str">
        <f>IF(_xlfn.XLOOKUP(B443,Salários!B:B,Salários!I:I)&gt;0,_xlfn.XLOOKUP(B443,Salários!B:B,Salários!I:I),"")</f>
        <v>PJ</v>
      </c>
      <c r="U443" s="117">
        <f t="shared" si="559"/>
        <v>0</v>
      </c>
      <c r="V443" s="65"/>
      <c r="W443" s="202"/>
      <c r="X443" s="65"/>
      <c r="Y443" s="69"/>
      <c r="Z443" s="65"/>
      <c r="AA443" s="518"/>
      <c r="AB443" s="65"/>
      <c r="AC443" s="81">
        <f t="shared" si="560"/>
        <v>0</v>
      </c>
      <c r="AD443" s="65"/>
      <c r="AE443" s="112"/>
      <c r="AF443" s="203">
        <v>0.3</v>
      </c>
      <c r="AG443" s="109">
        <f t="shared" si="44"/>
        <v>1633</v>
      </c>
      <c r="AH443" s="84">
        <f t="shared" si="561"/>
        <v>0</v>
      </c>
      <c r="AI443" s="65"/>
      <c r="AJ443" s="112"/>
      <c r="AK443" s="122"/>
      <c r="AL443" s="109">
        <v>1212</v>
      </c>
      <c r="AM443" s="84">
        <f t="shared" si="562"/>
        <v>0</v>
      </c>
      <c r="AN443" s="65"/>
      <c r="AO443" s="112"/>
      <c r="AP443" s="204"/>
      <c r="AQ443" s="109">
        <f>IFERROR((O443+AH443+AM443)/Dashboard!$D$15,0)*0.2</f>
        <v>1.6869834710743801</v>
      </c>
      <c r="AR443" s="84">
        <f t="shared" si="563"/>
        <v>0</v>
      </c>
      <c r="AS443" s="65"/>
      <c r="AT443" s="112"/>
      <c r="AU443" s="203">
        <v>0.33</v>
      </c>
      <c r="AV443" s="109">
        <f t="shared" si="564"/>
        <v>1633</v>
      </c>
      <c r="AW443" s="84">
        <f t="shared" si="565"/>
        <v>0</v>
      </c>
      <c r="AX443" s="65"/>
      <c r="AY443" s="112"/>
      <c r="AZ443" s="203">
        <v>0.25</v>
      </c>
      <c r="BA443" s="109">
        <f t="shared" si="50"/>
        <v>1633</v>
      </c>
      <c r="BB443" s="84">
        <f t="shared" si="566"/>
        <v>0</v>
      </c>
      <c r="BC443" s="65"/>
      <c r="BD443" s="112"/>
      <c r="BE443" s="203">
        <v>0.26</v>
      </c>
      <c r="BF443" s="109">
        <f t="shared" si="567"/>
        <v>1633</v>
      </c>
      <c r="BG443" s="84">
        <f t="shared" si="568"/>
        <v>0</v>
      </c>
      <c r="BH443" s="197"/>
      <c r="BI443" s="518"/>
      <c r="BJ443" s="65"/>
      <c r="BK443" s="81">
        <f t="shared" si="569"/>
        <v>0</v>
      </c>
      <c r="BL443" s="65"/>
      <c r="BM443" s="204"/>
      <c r="BN443" s="156">
        <f>IF(B443&lt;&gt;"",_xlfn.XLOOKUP(B443,'Cronog. e Histog.'!B:B,'Cronog. e Histog.'!EK:EK),0)</f>
        <v>0</v>
      </c>
      <c r="BO443" s="109">
        <f>($O443/Dashboard!$D$15)*(1+Dashboard!$D$19)</f>
        <v>12.652376033057848</v>
      </c>
      <c r="BP443" s="84">
        <f t="shared" si="584"/>
        <v>0</v>
      </c>
      <c r="BQ443" s="65"/>
      <c r="BR443" s="204"/>
      <c r="BS443" s="156">
        <f>IF(B443&lt;&gt;"",_xlfn.XLOOKUP(B443,'Cronog. e Histog.'!B:B,'Cronog. e Histog.'!EL:EL),0)</f>
        <v>0</v>
      </c>
      <c r="BT443" s="109">
        <f>($O443/Dashboard!$D$15)*(1+Dashboard!$D$20)</f>
        <v>14.761105371900824</v>
      </c>
      <c r="BU443" s="84">
        <f t="shared" si="585"/>
        <v>0</v>
      </c>
      <c r="BV443" s="65"/>
      <c r="BW443" s="204"/>
      <c r="BX443" s="156">
        <f>IF(B443&lt;&gt;"",_xlfn.XLOOKUP(B443,'Cronog. e Histog.'!B:B,'Cronog. e Histog.'!EM:EM),0)</f>
        <v>0</v>
      </c>
      <c r="BY443" s="109">
        <f>($O443/Dashboard!$D$15)*(1+Dashboard!$D$21)</f>
        <v>16.869834710743799</v>
      </c>
      <c r="BZ443" s="84">
        <f t="shared" si="586"/>
        <v>0</v>
      </c>
    </row>
    <row r="444" spans="2:78" ht="12" customHeight="1" outlineLevel="1">
      <c r="B444" s="137" t="str">
        <f>'Cronog. e Histog.'!B591</f>
        <v>EST_II - Equipe_01</v>
      </c>
      <c r="C444" s="65"/>
      <c r="D444" s="200">
        <f t="shared" si="552"/>
        <v>0</v>
      </c>
      <c r="E444" s="200">
        <f t="shared" si="553"/>
        <v>0</v>
      </c>
      <c r="F444" s="65"/>
      <c r="G444" s="200">
        <f t="shared" si="554"/>
        <v>0</v>
      </c>
      <c r="H444" s="200">
        <f t="shared" si="555"/>
        <v>0</v>
      </c>
      <c r="I444" s="65"/>
      <c r="J444" s="143" t="str">
        <f>IF('Cronog. e Histog.'!G591&gt;0,'Cronog. e Histog.'!G591,"")</f>
        <v>EST_II</v>
      </c>
      <c r="K444" s="65"/>
      <c r="L444" s="144">
        <f>'Cronog. e Histog.'!BT591</f>
        <v>0</v>
      </c>
      <c r="M444" s="144">
        <f>'Cronog. e Histog.'!BU591</f>
        <v>0</v>
      </c>
      <c r="N444" s="65"/>
      <c r="O444" s="109">
        <f>_xlfn.XLOOKUP(B444,Salários!B:B,Salários!K:K)</f>
        <v>1633</v>
      </c>
      <c r="P444" s="109">
        <f t="shared" si="570"/>
        <v>0</v>
      </c>
      <c r="Q444" s="109">
        <f t="shared" si="571"/>
        <v>0</v>
      </c>
      <c r="R444" s="65"/>
      <c r="S444" s="109">
        <f t="shared" si="572"/>
        <v>1633</v>
      </c>
      <c r="T444" s="201" t="str">
        <f>IF(_xlfn.XLOOKUP(B444,Salários!B:B,Salários!I:I)&gt;0,_xlfn.XLOOKUP(B444,Salários!B:B,Salários!I:I),"")</f>
        <v>PJ</v>
      </c>
      <c r="U444" s="117">
        <f t="shared" si="559"/>
        <v>0</v>
      </c>
      <c r="V444" s="65"/>
      <c r="W444" s="202"/>
      <c r="X444" s="65"/>
      <c r="Y444" s="69"/>
      <c r="Z444" s="65"/>
      <c r="AA444" s="518"/>
      <c r="AB444" s="65"/>
      <c r="AC444" s="81">
        <f t="shared" si="560"/>
        <v>0</v>
      </c>
      <c r="AD444" s="65"/>
      <c r="AE444" s="112"/>
      <c r="AF444" s="203">
        <v>0.3</v>
      </c>
      <c r="AG444" s="109">
        <f t="shared" si="44"/>
        <v>1633</v>
      </c>
      <c r="AH444" s="84">
        <f t="shared" si="561"/>
        <v>0</v>
      </c>
      <c r="AI444" s="65"/>
      <c r="AJ444" s="112"/>
      <c r="AK444" s="122"/>
      <c r="AL444" s="109">
        <v>1212</v>
      </c>
      <c r="AM444" s="84">
        <f t="shared" si="562"/>
        <v>0</v>
      </c>
      <c r="AN444" s="65"/>
      <c r="AO444" s="112"/>
      <c r="AP444" s="204"/>
      <c r="AQ444" s="109">
        <f>IFERROR((O444+AH444+AM444)/Dashboard!$D$15,0)*0.2</f>
        <v>1.6869834710743801</v>
      </c>
      <c r="AR444" s="84">
        <f t="shared" si="563"/>
        <v>0</v>
      </c>
      <c r="AS444" s="65"/>
      <c r="AT444" s="112"/>
      <c r="AU444" s="203">
        <v>0.33</v>
      </c>
      <c r="AV444" s="109">
        <f t="shared" si="564"/>
        <v>1633</v>
      </c>
      <c r="AW444" s="84">
        <f t="shared" si="565"/>
        <v>0</v>
      </c>
      <c r="AX444" s="65"/>
      <c r="AY444" s="112"/>
      <c r="AZ444" s="203">
        <v>0.25</v>
      </c>
      <c r="BA444" s="109">
        <f t="shared" si="50"/>
        <v>1633</v>
      </c>
      <c r="BB444" s="84">
        <f t="shared" si="566"/>
        <v>0</v>
      </c>
      <c r="BC444" s="65"/>
      <c r="BD444" s="112"/>
      <c r="BE444" s="203">
        <v>0.26</v>
      </c>
      <c r="BF444" s="109">
        <f t="shared" si="567"/>
        <v>1633</v>
      </c>
      <c r="BG444" s="84">
        <f t="shared" si="568"/>
        <v>0</v>
      </c>
      <c r="BH444" s="197"/>
      <c r="BI444" s="518"/>
      <c r="BJ444" s="65"/>
      <c r="BK444" s="81">
        <f t="shared" si="569"/>
        <v>0</v>
      </c>
      <c r="BL444" s="65"/>
      <c r="BM444" s="204"/>
      <c r="BN444" s="156">
        <f>IF(B444&lt;&gt;"",_xlfn.XLOOKUP(B444,'Cronog. e Histog.'!B:B,'Cronog. e Histog.'!EK:EK),0)</f>
        <v>0</v>
      </c>
      <c r="BO444" s="109">
        <f>($O444/Dashboard!$D$15)*(1+Dashboard!$D$19)</f>
        <v>12.652376033057848</v>
      </c>
      <c r="BP444" s="84">
        <f t="shared" si="584"/>
        <v>0</v>
      </c>
      <c r="BQ444" s="65"/>
      <c r="BR444" s="204"/>
      <c r="BS444" s="156">
        <f>IF(B444&lt;&gt;"",_xlfn.XLOOKUP(B444,'Cronog. e Histog.'!B:B,'Cronog. e Histog.'!EL:EL),0)</f>
        <v>0</v>
      </c>
      <c r="BT444" s="109">
        <f>($O444/Dashboard!$D$15)*(1+Dashboard!$D$20)</f>
        <v>14.761105371900824</v>
      </c>
      <c r="BU444" s="84">
        <f t="shared" si="585"/>
        <v>0</v>
      </c>
      <c r="BV444" s="65"/>
      <c r="BW444" s="204"/>
      <c r="BX444" s="156">
        <f>IF(B444&lt;&gt;"",_xlfn.XLOOKUP(B444,'Cronog. e Histog.'!B:B,'Cronog. e Histog.'!EM:EM),0)</f>
        <v>0</v>
      </c>
      <c r="BY444" s="109">
        <f>($O444/Dashboard!$D$15)*(1+Dashboard!$D$21)</f>
        <v>16.869834710743799</v>
      </c>
      <c r="BZ444" s="84">
        <f t="shared" si="586"/>
        <v>0</v>
      </c>
    </row>
    <row r="445" spans="2:78" ht="12" customHeight="1" outlineLevel="1">
      <c r="B445" s="137" t="str">
        <f>'Cronog. e Histog.'!B592</f>
        <v>EST_III - Equipe_01</v>
      </c>
      <c r="C445" s="65"/>
      <c r="D445" s="200">
        <f t="shared" si="552"/>
        <v>0</v>
      </c>
      <c r="E445" s="200">
        <f t="shared" si="553"/>
        <v>0</v>
      </c>
      <c r="F445" s="65"/>
      <c r="G445" s="200">
        <f t="shared" si="554"/>
        <v>0</v>
      </c>
      <c r="H445" s="200">
        <f t="shared" si="555"/>
        <v>0</v>
      </c>
      <c r="I445" s="65"/>
      <c r="J445" s="143" t="str">
        <f>IF('Cronog. e Histog.'!G592&gt;0,'Cronog. e Histog.'!G592,"")</f>
        <v>EST_III</v>
      </c>
      <c r="K445" s="65"/>
      <c r="L445" s="144">
        <f>'Cronog. e Histog.'!BT592</f>
        <v>0</v>
      </c>
      <c r="M445" s="144">
        <f>'Cronog. e Histog.'!BU592</f>
        <v>0</v>
      </c>
      <c r="N445" s="65"/>
      <c r="O445" s="109">
        <f>_xlfn.XLOOKUP(B445,Salários!B:B,Salários!K:K)</f>
        <v>1633</v>
      </c>
      <c r="P445" s="109">
        <f t="shared" si="570"/>
        <v>0</v>
      </c>
      <c r="Q445" s="109">
        <f t="shared" si="571"/>
        <v>0</v>
      </c>
      <c r="R445" s="65"/>
      <c r="S445" s="109">
        <f t="shared" si="572"/>
        <v>1633</v>
      </c>
      <c r="T445" s="201" t="str">
        <f>IF(_xlfn.XLOOKUP(B445,Salários!B:B,Salários!I:I)&gt;0,_xlfn.XLOOKUP(B445,Salários!B:B,Salários!I:I),"")</f>
        <v>PJ</v>
      </c>
      <c r="U445" s="117">
        <f t="shared" si="559"/>
        <v>0</v>
      </c>
      <c r="V445" s="65"/>
      <c r="W445" s="202"/>
      <c r="X445" s="65"/>
      <c r="Y445" s="69"/>
      <c r="Z445" s="65"/>
      <c r="AA445" s="518"/>
      <c r="AB445" s="65"/>
      <c r="AC445" s="81">
        <f t="shared" si="560"/>
        <v>0</v>
      </c>
      <c r="AD445" s="65"/>
      <c r="AE445" s="112"/>
      <c r="AF445" s="203">
        <v>0.3</v>
      </c>
      <c r="AG445" s="109">
        <f t="shared" si="44"/>
        <v>1633</v>
      </c>
      <c r="AH445" s="84">
        <f t="shared" si="561"/>
        <v>0</v>
      </c>
      <c r="AI445" s="65"/>
      <c r="AJ445" s="112"/>
      <c r="AK445" s="122"/>
      <c r="AL445" s="109">
        <v>1212</v>
      </c>
      <c r="AM445" s="84">
        <f t="shared" si="562"/>
        <v>0</v>
      </c>
      <c r="AN445" s="65"/>
      <c r="AO445" s="112"/>
      <c r="AP445" s="204"/>
      <c r="AQ445" s="109">
        <f>IFERROR((O445+AH445+AM445)/Dashboard!$D$15,0)*0.2</f>
        <v>1.6869834710743801</v>
      </c>
      <c r="AR445" s="84">
        <f t="shared" si="563"/>
        <v>0</v>
      </c>
      <c r="AS445" s="65"/>
      <c r="AT445" s="112"/>
      <c r="AU445" s="203">
        <v>0.33</v>
      </c>
      <c r="AV445" s="109">
        <f t="shared" si="564"/>
        <v>1633</v>
      </c>
      <c r="AW445" s="84">
        <f t="shared" si="565"/>
        <v>0</v>
      </c>
      <c r="AX445" s="65"/>
      <c r="AY445" s="112"/>
      <c r="AZ445" s="203">
        <v>0.25</v>
      </c>
      <c r="BA445" s="109">
        <f t="shared" si="50"/>
        <v>1633</v>
      </c>
      <c r="BB445" s="84">
        <f t="shared" si="566"/>
        <v>0</v>
      </c>
      <c r="BC445" s="65"/>
      <c r="BD445" s="112"/>
      <c r="BE445" s="203">
        <v>0.26</v>
      </c>
      <c r="BF445" s="109">
        <f t="shared" si="567"/>
        <v>1633</v>
      </c>
      <c r="BG445" s="84">
        <f t="shared" si="568"/>
        <v>0</v>
      </c>
      <c r="BH445" s="197"/>
      <c r="BI445" s="518"/>
      <c r="BJ445" s="65"/>
      <c r="BK445" s="81">
        <f t="shared" si="569"/>
        <v>0</v>
      </c>
      <c r="BL445" s="65"/>
      <c r="BM445" s="204"/>
      <c r="BN445" s="156">
        <f>IF(B445&lt;&gt;"",_xlfn.XLOOKUP(B445,'Cronog. e Histog.'!B:B,'Cronog. e Histog.'!EK:EK),0)</f>
        <v>0</v>
      </c>
      <c r="BO445" s="109">
        <f>($O445/Dashboard!$D$15)*(1+Dashboard!$D$19)</f>
        <v>12.652376033057848</v>
      </c>
      <c r="BP445" s="84">
        <f t="shared" si="584"/>
        <v>0</v>
      </c>
      <c r="BQ445" s="65"/>
      <c r="BR445" s="204"/>
      <c r="BS445" s="156">
        <f>IF(B445&lt;&gt;"",_xlfn.XLOOKUP(B445,'Cronog. e Histog.'!B:B,'Cronog. e Histog.'!EL:EL),0)</f>
        <v>0</v>
      </c>
      <c r="BT445" s="109">
        <f>($O445/Dashboard!$D$15)*(1+Dashboard!$D$20)</f>
        <v>14.761105371900824</v>
      </c>
      <c r="BU445" s="84">
        <f t="shared" si="585"/>
        <v>0</v>
      </c>
      <c r="BV445" s="65"/>
      <c r="BW445" s="204"/>
      <c r="BX445" s="156">
        <f>IF(B445&lt;&gt;"",_xlfn.XLOOKUP(B445,'Cronog. e Histog.'!B:B,'Cronog. e Histog.'!EM:EM),0)</f>
        <v>0</v>
      </c>
      <c r="BY445" s="109">
        <f>($O445/Dashboard!$D$15)*(1+Dashboard!$D$21)</f>
        <v>16.869834710743799</v>
      </c>
      <c r="BZ445" s="84">
        <f t="shared" si="586"/>
        <v>0</v>
      </c>
    </row>
    <row r="446" spans="2:78" ht="12" customHeight="1" outlineLevel="1"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9"/>
      <c r="Z446" s="65"/>
      <c r="AA446" s="518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5"/>
      <c r="AT446" s="65"/>
      <c r="AU446" s="65"/>
      <c r="AV446" s="65"/>
      <c r="AW446" s="65"/>
      <c r="AX446" s="65"/>
      <c r="AY446" s="65"/>
      <c r="AZ446" s="65"/>
      <c r="BA446" s="65"/>
      <c r="BB446" s="65"/>
      <c r="BC446" s="65"/>
      <c r="BD446" s="65"/>
      <c r="BE446" s="65"/>
      <c r="BF446" s="65"/>
      <c r="BG446" s="65"/>
      <c r="BH446" s="197"/>
      <c r="BI446" s="518"/>
      <c r="BJ446" s="65"/>
      <c r="BK446" s="65"/>
      <c r="BL446" s="65"/>
      <c r="BM446" s="65"/>
      <c r="BN446" s="65"/>
      <c r="BO446" s="65"/>
      <c r="BP446" s="65"/>
      <c r="BQ446" s="65"/>
      <c r="BR446" s="65"/>
      <c r="BS446" s="65"/>
      <c r="BT446" s="65"/>
      <c r="BU446" s="65"/>
      <c r="BV446" s="65"/>
      <c r="BW446" s="65"/>
      <c r="BX446" s="65"/>
      <c r="BY446" s="65"/>
      <c r="BZ446" s="65"/>
    </row>
    <row r="447" spans="2:78" ht="12" customHeight="1" outlineLevel="1">
      <c r="B447" s="65"/>
      <c r="C447" s="65"/>
      <c r="D447" s="65"/>
      <c r="E447" s="65"/>
      <c r="F447" s="65"/>
      <c r="G447" s="65"/>
      <c r="H447" s="65"/>
      <c r="I447" s="65"/>
      <c r="J447" s="199" t="str">
        <f>'Cronog. e Histog.'!F595</f>
        <v>Equipe17</v>
      </c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9"/>
      <c r="Z447" s="65"/>
      <c r="AA447" s="518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5"/>
      <c r="AT447" s="65"/>
      <c r="AU447" s="65"/>
      <c r="AV447" s="65"/>
      <c r="AW447" s="65"/>
      <c r="AX447" s="65"/>
      <c r="AY447" s="65"/>
      <c r="AZ447" s="65"/>
      <c r="BA447" s="65"/>
      <c r="BB447" s="65"/>
      <c r="BC447" s="65"/>
      <c r="BD447" s="65"/>
      <c r="BE447" s="65"/>
      <c r="BF447" s="65"/>
      <c r="BG447" s="65"/>
      <c r="BH447" s="197"/>
      <c r="BI447" s="518"/>
      <c r="BJ447" s="65"/>
      <c r="BK447" s="65"/>
      <c r="BL447" s="65"/>
      <c r="BM447" s="65"/>
      <c r="BN447" s="65"/>
      <c r="BO447" s="65"/>
      <c r="BP447" s="65"/>
      <c r="BQ447" s="65"/>
      <c r="BR447" s="65"/>
      <c r="BS447" s="65"/>
      <c r="BT447" s="65"/>
      <c r="BU447" s="65"/>
      <c r="BV447" s="65"/>
      <c r="BW447" s="65"/>
      <c r="BX447" s="65"/>
      <c r="BY447" s="65"/>
      <c r="BZ447" s="65"/>
    </row>
    <row r="448" spans="2:78" ht="12" customHeight="1" outlineLevel="1">
      <c r="B448" s="137" t="str">
        <f>'Cronog. e Histog.'!B597</f>
        <v>GER. (OBRA/PROJ) - Equipe_01</v>
      </c>
      <c r="C448" s="65"/>
      <c r="D448" s="200">
        <f t="shared" ref="D448:D467" si="587">IF(T448="mensalista",L448,0)</f>
        <v>0</v>
      </c>
      <c r="E448" s="200">
        <f t="shared" ref="E448:E467" si="588">IF(T448="mensalista",M448,0)</f>
        <v>0</v>
      </c>
      <c r="F448" s="65"/>
      <c r="G448" s="200">
        <f t="shared" ref="G448:G467" si="589">IF(T448="mensalista",L448,0)</f>
        <v>0</v>
      </c>
      <c r="H448" s="200">
        <f t="shared" ref="H448:H467" si="590">IF(T448="mensalista",M448,0)</f>
        <v>0</v>
      </c>
      <c r="I448" s="65"/>
      <c r="J448" s="143" t="str">
        <f>IF('Cronog. e Histog.'!G597&gt;0,'Cronog. e Histog.'!G597,"")</f>
        <v>GER. (OBRA/PROJ)</v>
      </c>
      <c r="K448" s="65"/>
      <c r="L448" s="144">
        <f>'Cronog. e Histog.'!BT597</f>
        <v>0</v>
      </c>
      <c r="M448" s="144">
        <f>'Cronog. e Histog.'!BU597</f>
        <v>0</v>
      </c>
      <c r="N448" s="65"/>
      <c r="O448" s="109">
        <f>_xlfn.XLOOKUP(B448,Salários!B:B,Salários!K:K)</f>
        <v>21000</v>
      </c>
      <c r="P448" s="109">
        <f t="shared" ref="P448" si="591">AC448</f>
        <v>0</v>
      </c>
      <c r="Q448" s="109">
        <f t="shared" ref="Q448" si="592">BK448</f>
        <v>0</v>
      </c>
      <c r="R448" s="65"/>
      <c r="S448" s="109">
        <f t="shared" ref="S448" si="593">SUM(O448:Q448)</f>
        <v>21000</v>
      </c>
      <c r="T448" s="201" t="str">
        <f>IF(_xlfn.XLOOKUP(B448,Salários!B:B,Salários!I:I)&gt;0,_xlfn.XLOOKUP(B448,Salários!B:B,Salários!I:I),"")</f>
        <v>PJ</v>
      </c>
      <c r="U448" s="117">
        <f t="shared" ref="U448" si="594">L448*M448*S448</f>
        <v>0</v>
      </c>
      <c r="V448" s="65"/>
      <c r="W448" s="202"/>
      <c r="X448" s="65"/>
      <c r="Y448" s="69"/>
      <c r="Z448" s="65"/>
      <c r="AA448" s="518"/>
      <c r="AB448" s="65"/>
      <c r="AC448" s="81">
        <f t="shared" ref="AC448:AC467" si="595">AH448+AM448+AR448+AW448+BB448+BG448</f>
        <v>0</v>
      </c>
      <c r="AD448" s="65"/>
      <c r="AE448" s="112"/>
      <c r="AF448" s="203">
        <v>0.3</v>
      </c>
      <c r="AG448" s="109">
        <f t="shared" si="44"/>
        <v>21000</v>
      </c>
      <c r="AH448" s="84">
        <f t="shared" ref="AH448:AH467" si="596">IF(AE448="sim",AF448*AG448,0)</f>
        <v>0</v>
      </c>
      <c r="AI448" s="65"/>
      <c r="AJ448" s="112"/>
      <c r="AK448" s="122"/>
      <c r="AL448" s="109">
        <v>1212</v>
      </c>
      <c r="AM448" s="84">
        <f t="shared" ref="AM448:AM467" si="597">IF(AJ448="sim",AK448*AL448,0)</f>
        <v>0</v>
      </c>
      <c r="AN448" s="65"/>
      <c r="AO448" s="112"/>
      <c r="AP448" s="204"/>
      <c r="AQ448" s="109">
        <f>IFERROR((O448+AH448+AM448)/Dashboard!$D$15,0)*0.2</f>
        <v>21.694214876033058</v>
      </c>
      <c r="AR448" s="84">
        <f t="shared" ref="AR448:AR467" si="598">IF(AO448="sim",AP448*AQ448,0)</f>
        <v>0</v>
      </c>
      <c r="AS448" s="65"/>
      <c r="AT448" s="112"/>
      <c r="AU448" s="203">
        <v>0.33</v>
      </c>
      <c r="AV448" s="109">
        <f t="shared" ref="AV448:AV467" si="599">$O448</f>
        <v>21000</v>
      </c>
      <c r="AW448" s="84">
        <f t="shared" ref="AW448:AW467" si="600">IF(AT448="sim",AU448*AV448,0)</f>
        <v>0</v>
      </c>
      <c r="AX448" s="65"/>
      <c r="AY448" s="112"/>
      <c r="AZ448" s="203">
        <v>0.25</v>
      </c>
      <c r="BA448" s="109">
        <f t="shared" si="50"/>
        <v>21000</v>
      </c>
      <c r="BB448" s="84">
        <f t="shared" ref="BB448:BB467" si="601">IF(AY448="sim",AZ448*BA448,0)</f>
        <v>0</v>
      </c>
      <c r="BC448" s="65"/>
      <c r="BD448" s="112"/>
      <c r="BE448" s="203">
        <v>0.26</v>
      </c>
      <c r="BF448" s="109">
        <f t="shared" ref="BF448:BF467" si="602">$O448</f>
        <v>21000</v>
      </c>
      <c r="BG448" s="84">
        <f t="shared" ref="BG448:BG467" si="603">IF(BD448="sim",BE448*BF448,0)</f>
        <v>0</v>
      </c>
      <c r="BH448" s="197"/>
      <c r="BI448" s="518"/>
      <c r="BJ448" s="65"/>
      <c r="BK448" s="81">
        <f t="shared" ref="BK448:BK467" si="604">BP448+BU448+BZ448</f>
        <v>0</v>
      </c>
      <c r="BL448" s="65"/>
      <c r="BM448" s="204"/>
      <c r="BN448" s="156">
        <f>IF(B448&lt;&gt;"",_xlfn.XLOOKUP(B448,'Cronog. e Histog.'!B:B,'Cronog. e Histog.'!EK:EK),0)</f>
        <v>0</v>
      </c>
      <c r="BO448" s="109">
        <f>($O448/Dashboard!$D$15)*(1+Dashboard!$D$19)</f>
        <v>162.7066115702479</v>
      </c>
      <c r="BP448" s="84">
        <f>SUM(BM448:BN448)*BO448</f>
        <v>0</v>
      </c>
      <c r="BQ448" s="65"/>
      <c r="BR448" s="204"/>
      <c r="BS448" s="156">
        <f>IF(B448&lt;&gt;"",_xlfn.XLOOKUP(B448,'Cronog. e Histog.'!B:B,'Cronog. e Histog.'!EL:EL),0)</f>
        <v>0</v>
      </c>
      <c r="BT448" s="109">
        <f>($O448/Dashboard!$D$15)*(1+Dashboard!$D$20)</f>
        <v>189.82438016528923</v>
      </c>
      <c r="BU448" s="84">
        <f>SUM(BR448:BS448)*BT448</f>
        <v>0</v>
      </c>
      <c r="BV448" s="65"/>
      <c r="BW448" s="204"/>
      <c r="BX448" s="156">
        <f>IF(B448&lt;&gt;"",_xlfn.XLOOKUP(B448,'Cronog. e Histog.'!B:B,'Cronog. e Histog.'!EM:EM),0)</f>
        <v>0</v>
      </c>
      <c r="BY448" s="109">
        <f>($O448/Dashboard!$D$15)*(1+Dashboard!$D$21)</f>
        <v>216.94214876033055</v>
      </c>
      <c r="BZ448" s="84">
        <f>SUM(BW448:BX448)*BY448</f>
        <v>0</v>
      </c>
    </row>
    <row r="449" spans="2:78" ht="12" customHeight="1" outlineLevel="1">
      <c r="B449" s="137" t="str">
        <f>'Cronog. e Histog.'!B598</f>
        <v>COORD. - Equipe_01</v>
      </c>
      <c r="C449" s="65"/>
      <c r="D449" s="200">
        <f t="shared" si="587"/>
        <v>0</v>
      </c>
      <c r="E449" s="200">
        <f t="shared" si="588"/>
        <v>0</v>
      </c>
      <c r="F449" s="65"/>
      <c r="G449" s="200">
        <f t="shared" si="589"/>
        <v>0</v>
      </c>
      <c r="H449" s="200">
        <f t="shared" si="590"/>
        <v>0</v>
      </c>
      <c r="I449" s="65"/>
      <c r="J449" s="143" t="str">
        <f>IF('Cronog. e Histog.'!G598&gt;0,'Cronog. e Histog.'!G598,"")</f>
        <v>COORD.</v>
      </c>
      <c r="K449" s="65"/>
      <c r="L449" s="144">
        <f>'Cronog. e Histog.'!BT598</f>
        <v>0</v>
      </c>
      <c r="M449" s="144">
        <f>'Cronog. e Histog.'!BU598</f>
        <v>0</v>
      </c>
      <c r="N449" s="65"/>
      <c r="O449" s="109">
        <f>_xlfn.XLOOKUP(B449,Salários!B:B,Salários!K:K)</f>
        <v>19000</v>
      </c>
      <c r="P449" s="109">
        <f t="shared" ref="P449:P467" si="605">AC449</f>
        <v>0</v>
      </c>
      <c r="Q449" s="109">
        <f t="shared" ref="Q449:Q467" si="606">BK449</f>
        <v>0</v>
      </c>
      <c r="R449" s="65"/>
      <c r="S449" s="109">
        <f t="shared" ref="S449:S467" si="607">SUM(O449:Q449)</f>
        <v>19000</v>
      </c>
      <c r="T449" s="201" t="str">
        <f>IF(_xlfn.XLOOKUP(B449,Salários!B:B,Salários!I:I)&gt;0,_xlfn.XLOOKUP(B449,Salários!B:B,Salários!I:I),"")</f>
        <v>PJ</v>
      </c>
      <c r="U449" s="117">
        <f t="shared" ref="U449:U467" si="608">L449*M449*S449</f>
        <v>0</v>
      </c>
      <c r="V449" s="65"/>
      <c r="W449" s="202"/>
      <c r="X449" s="65"/>
      <c r="Y449" s="69"/>
      <c r="Z449" s="65"/>
      <c r="AA449" s="518"/>
      <c r="AB449" s="65"/>
      <c r="AC449" s="81">
        <f t="shared" ref="AC449:AC458" si="609">AH449+AM449+AR449+AW449+BB449+BG449</f>
        <v>0</v>
      </c>
      <c r="AD449" s="65"/>
      <c r="AE449" s="112"/>
      <c r="AF449" s="203">
        <v>0.3</v>
      </c>
      <c r="AG449" s="109">
        <f t="shared" ref="AG449:AG458" si="610">$O449</f>
        <v>19000</v>
      </c>
      <c r="AH449" s="84">
        <f t="shared" ref="AH449:AH458" si="611">IF(AE449="sim",AF449*AG449,0)</f>
        <v>0</v>
      </c>
      <c r="AI449" s="65"/>
      <c r="AJ449" s="112"/>
      <c r="AK449" s="122"/>
      <c r="AL449" s="109">
        <v>1212</v>
      </c>
      <c r="AM449" s="84">
        <f t="shared" ref="AM449:AM458" si="612">IF(AJ449="sim",AK449*AL449,0)</f>
        <v>0</v>
      </c>
      <c r="AN449" s="65"/>
      <c r="AO449" s="112"/>
      <c r="AP449" s="204"/>
      <c r="AQ449" s="109">
        <f>IFERROR((O449+AH449+AM449)/Dashboard!$D$15,0)*0.2</f>
        <v>19.628099173553718</v>
      </c>
      <c r="AR449" s="84">
        <f t="shared" ref="AR449:AR458" si="613">IF(AO449="sim",AP449*AQ449,0)</f>
        <v>0</v>
      </c>
      <c r="AS449" s="65"/>
      <c r="AT449" s="112"/>
      <c r="AU449" s="203">
        <v>0.33</v>
      </c>
      <c r="AV449" s="109">
        <f t="shared" si="599"/>
        <v>19000</v>
      </c>
      <c r="AW449" s="84">
        <f t="shared" ref="AW449:AW458" si="614">IF(AT449="sim",AU449*AV449,0)</f>
        <v>0</v>
      </c>
      <c r="AX449" s="65"/>
      <c r="AY449" s="112"/>
      <c r="AZ449" s="203">
        <v>0.25</v>
      </c>
      <c r="BA449" s="109">
        <f t="shared" ref="BA449:BA458" si="615">$O449</f>
        <v>19000</v>
      </c>
      <c r="BB449" s="84">
        <f t="shared" ref="BB449:BB458" si="616">IF(AY449="sim",AZ449*BA449,0)</f>
        <v>0</v>
      </c>
      <c r="BC449" s="65"/>
      <c r="BD449" s="112"/>
      <c r="BE449" s="203">
        <v>0.26</v>
      </c>
      <c r="BF449" s="109">
        <f t="shared" si="602"/>
        <v>19000</v>
      </c>
      <c r="BG449" s="84">
        <f t="shared" ref="BG449:BG458" si="617">IF(BD449="sim",BE449*BF449,0)</f>
        <v>0</v>
      </c>
      <c r="BH449" s="197"/>
      <c r="BI449" s="518"/>
      <c r="BJ449" s="65"/>
      <c r="BK449" s="81">
        <f t="shared" ref="BK449:BK458" si="618">BP449+BU449+BZ449</f>
        <v>0</v>
      </c>
      <c r="BL449" s="65"/>
      <c r="BM449" s="204"/>
      <c r="BN449" s="156">
        <f>IF(B449&lt;&gt;"",_xlfn.XLOOKUP(B449,'Cronog. e Histog.'!B:B,'Cronog. e Histog.'!EK:EK),0)</f>
        <v>0</v>
      </c>
      <c r="BO449" s="109">
        <f>($O449/Dashboard!$D$15)*(1+Dashboard!$D$19)</f>
        <v>147.21074380165288</v>
      </c>
      <c r="BP449" s="84">
        <f t="shared" ref="BP449:BP467" si="619">SUM(BM449:BN449)*BO449</f>
        <v>0</v>
      </c>
      <c r="BQ449" s="65"/>
      <c r="BR449" s="204"/>
      <c r="BS449" s="156">
        <f>IF(B449&lt;&gt;"",_xlfn.XLOOKUP(B449,'Cronog. e Histog.'!B:B,'Cronog. e Histog.'!EL:EL),0)</f>
        <v>0</v>
      </c>
      <c r="BT449" s="109">
        <f>($O449/Dashboard!$D$15)*(1+Dashboard!$D$20)</f>
        <v>171.74586776859502</v>
      </c>
      <c r="BU449" s="84">
        <f t="shared" ref="BU449:BU467" si="620">SUM(BR449:BS449)*BT449</f>
        <v>0</v>
      </c>
      <c r="BV449" s="65"/>
      <c r="BW449" s="204"/>
      <c r="BX449" s="156">
        <f>IF(B449&lt;&gt;"",_xlfn.XLOOKUP(B449,'Cronog. e Histog.'!B:B,'Cronog. e Histog.'!EM:EM),0)</f>
        <v>0</v>
      </c>
      <c r="BY449" s="109">
        <f>($O449/Dashboard!$D$15)*(1+Dashboard!$D$21)</f>
        <v>196.28099173553716</v>
      </c>
      <c r="BZ449" s="84">
        <f t="shared" ref="BZ449:BZ467" si="621">SUM(BW449:BX449)*BY449</f>
        <v>0</v>
      </c>
    </row>
    <row r="450" spans="2:78" ht="12" customHeight="1" outlineLevel="1">
      <c r="B450" s="137" t="str">
        <f>'Cronog. e Histog.'!B599</f>
        <v>SUP.-ESP - Equipe_01</v>
      </c>
      <c r="C450" s="65"/>
      <c r="D450" s="200">
        <f t="shared" si="587"/>
        <v>0</v>
      </c>
      <c r="E450" s="200">
        <f t="shared" si="588"/>
        <v>0</v>
      </c>
      <c r="F450" s="65"/>
      <c r="G450" s="200">
        <f t="shared" si="589"/>
        <v>0</v>
      </c>
      <c r="H450" s="200">
        <f t="shared" si="590"/>
        <v>0</v>
      </c>
      <c r="I450" s="65"/>
      <c r="J450" s="143" t="str">
        <f>IF('Cronog. e Histog.'!G599&gt;0,'Cronog. e Histog.'!G599,"")</f>
        <v>SUP.-ESP</v>
      </c>
      <c r="K450" s="65"/>
      <c r="L450" s="144">
        <f>'Cronog. e Histog.'!BT599</f>
        <v>0</v>
      </c>
      <c r="M450" s="144">
        <f>'Cronog. e Histog.'!BU599</f>
        <v>0</v>
      </c>
      <c r="N450" s="65"/>
      <c r="O450" s="109">
        <f>_xlfn.XLOOKUP(B450,Salários!B:B,Salários!K:K)</f>
        <v>9716.67</v>
      </c>
      <c r="P450" s="109">
        <f t="shared" si="605"/>
        <v>0</v>
      </c>
      <c r="Q450" s="109">
        <f t="shared" si="606"/>
        <v>0</v>
      </c>
      <c r="R450" s="65"/>
      <c r="S450" s="109">
        <f t="shared" si="607"/>
        <v>9716.67</v>
      </c>
      <c r="T450" s="201" t="str">
        <f>IF(_xlfn.XLOOKUP(B450,Salários!B:B,Salários!I:I)&gt;0,_xlfn.XLOOKUP(B450,Salários!B:B,Salários!I:I),"")</f>
        <v>Mensalista</v>
      </c>
      <c r="U450" s="117">
        <f t="shared" si="608"/>
        <v>0</v>
      </c>
      <c r="V450" s="65"/>
      <c r="W450" s="202"/>
      <c r="X450" s="65"/>
      <c r="Y450" s="69"/>
      <c r="Z450" s="65"/>
      <c r="AA450" s="518"/>
      <c r="AB450" s="65"/>
      <c r="AC450" s="81">
        <f t="shared" si="609"/>
        <v>0</v>
      </c>
      <c r="AD450" s="65"/>
      <c r="AE450" s="112"/>
      <c r="AF450" s="203">
        <v>0.3</v>
      </c>
      <c r="AG450" s="109">
        <f t="shared" si="610"/>
        <v>9716.67</v>
      </c>
      <c r="AH450" s="84">
        <f t="shared" si="611"/>
        <v>0</v>
      </c>
      <c r="AI450" s="65"/>
      <c r="AJ450" s="112"/>
      <c r="AK450" s="122"/>
      <c r="AL450" s="109">
        <v>1212</v>
      </c>
      <c r="AM450" s="84">
        <f t="shared" si="612"/>
        <v>0</v>
      </c>
      <c r="AN450" s="65"/>
      <c r="AO450" s="112"/>
      <c r="AP450" s="204"/>
      <c r="AQ450" s="109">
        <f>IFERROR((O450+AH450+AM450)/Dashboard!$D$15,0)*0.2</f>
        <v>10.037882231404957</v>
      </c>
      <c r="AR450" s="84">
        <f t="shared" si="613"/>
        <v>0</v>
      </c>
      <c r="AS450" s="65"/>
      <c r="AT450" s="112"/>
      <c r="AU450" s="203">
        <v>0.33</v>
      </c>
      <c r="AV450" s="109">
        <f t="shared" si="599"/>
        <v>9716.67</v>
      </c>
      <c r="AW450" s="84">
        <f t="shared" si="614"/>
        <v>0</v>
      </c>
      <c r="AX450" s="65"/>
      <c r="AY450" s="112"/>
      <c r="AZ450" s="203">
        <v>0.25</v>
      </c>
      <c r="BA450" s="109">
        <f t="shared" si="615"/>
        <v>9716.67</v>
      </c>
      <c r="BB450" s="84">
        <f t="shared" si="616"/>
        <v>0</v>
      </c>
      <c r="BC450" s="65"/>
      <c r="BD450" s="112"/>
      <c r="BE450" s="203">
        <v>0.26</v>
      </c>
      <c r="BF450" s="109">
        <f t="shared" si="602"/>
        <v>9716.67</v>
      </c>
      <c r="BG450" s="84">
        <f t="shared" si="617"/>
        <v>0</v>
      </c>
      <c r="BH450" s="197"/>
      <c r="BI450" s="518"/>
      <c r="BJ450" s="65"/>
      <c r="BK450" s="81">
        <f t="shared" si="618"/>
        <v>0</v>
      </c>
      <c r="BL450" s="65"/>
      <c r="BM450" s="204"/>
      <c r="BN450" s="156">
        <f>IF(B450&lt;&gt;"",_xlfn.XLOOKUP(B450,'Cronog. e Histog.'!B:B,'Cronog. e Histog.'!EK:EK),0)</f>
        <v>0</v>
      </c>
      <c r="BO450" s="109">
        <f>($O450/Dashboard!$D$15)*(1+Dashboard!$D$19)</f>
        <v>75.284116735537182</v>
      </c>
      <c r="BP450" s="84">
        <f t="shared" si="619"/>
        <v>0</v>
      </c>
      <c r="BQ450" s="65"/>
      <c r="BR450" s="204"/>
      <c r="BS450" s="156">
        <f>IF(B450&lt;&gt;"",_xlfn.XLOOKUP(B450,'Cronog. e Histog.'!B:B,'Cronog. e Histog.'!EL:EL),0)</f>
        <v>0</v>
      </c>
      <c r="BT450" s="109">
        <f>($O450/Dashboard!$D$15)*(1+Dashboard!$D$20)</f>
        <v>87.831469524793377</v>
      </c>
      <c r="BU450" s="84">
        <f t="shared" si="620"/>
        <v>0</v>
      </c>
      <c r="BV450" s="65"/>
      <c r="BW450" s="204"/>
      <c r="BX450" s="156">
        <f>IF(B450&lt;&gt;"",_xlfn.XLOOKUP(B450,'Cronog. e Histog.'!B:B,'Cronog. e Histog.'!EM:EM),0)</f>
        <v>0</v>
      </c>
      <c r="BY450" s="109">
        <f>($O450/Dashboard!$D$15)*(1+Dashboard!$D$21)</f>
        <v>100.37882231404957</v>
      </c>
      <c r="BZ450" s="84">
        <f t="shared" si="621"/>
        <v>0</v>
      </c>
    </row>
    <row r="451" spans="2:78" ht="12" customHeight="1" outlineLevel="1">
      <c r="B451" s="137" t="str">
        <f>'Cronog. e Histog.'!B600</f>
        <v>ENG/ARQ SR. - Equipe_01</v>
      </c>
      <c r="C451" s="65"/>
      <c r="D451" s="200">
        <f t="shared" si="587"/>
        <v>0</v>
      </c>
      <c r="E451" s="200">
        <f t="shared" si="588"/>
        <v>0</v>
      </c>
      <c r="F451" s="65"/>
      <c r="G451" s="200">
        <f t="shared" si="589"/>
        <v>0</v>
      </c>
      <c r="H451" s="200">
        <f t="shared" si="590"/>
        <v>0</v>
      </c>
      <c r="I451" s="65"/>
      <c r="J451" s="143" t="str">
        <f>IF('Cronog. e Histog.'!G600&gt;0,'Cronog. e Histog.'!G600,"")</f>
        <v>ENG/ARQ SR.</v>
      </c>
      <c r="K451" s="65"/>
      <c r="L451" s="144">
        <f>'Cronog. e Histog.'!BT600</f>
        <v>0</v>
      </c>
      <c r="M451" s="144">
        <f>'Cronog. e Histog.'!BU600</f>
        <v>0</v>
      </c>
      <c r="N451" s="65"/>
      <c r="O451" s="109">
        <f>_xlfn.XLOOKUP(B451,Salários!B:B,Salários!K:K)</f>
        <v>16000</v>
      </c>
      <c r="P451" s="109">
        <f t="shared" si="605"/>
        <v>0</v>
      </c>
      <c r="Q451" s="109">
        <f t="shared" si="606"/>
        <v>0</v>
      </c>
      <c r="R451" s="65"/>
      <c r="S451" s="109">
        <f t="shared" si="607"/>
        <v>16000</v>
      </c>
      <c r="T451" s="201" t="str">
        <f>IF(_xlfn.XLOOKUP(B451,Salários!B:B,Salários!I:I)&gt;0,_xlfn.XLOOKUP(B451,Salários!B:B,Salários!I:I),"")</f>
        <v>PJ</v>
      </c>
      <c r="U451" s="117">
        <f t="shared" si="608"/>
        <v>0</v>
      </c>
      <c r="V451" s="65"/>
      <c r="W451" s="202"/>
      <c r="X451" s="65"/>
      <c r="Y451" s="69"/>
      <c r="Z451" s="65"/>
      <c r="AA451" s="518"/>
      <c r="AB451" s="65"/>
      <c r="AC451" s="81">
        <f t="shared" si="609"/>
        <v>0</v>
      </c>
      <c r="AD451" s="65"/>
      <c r="AE451" s="112"/>
      <c r="AF451" s="203">
        <v>0.3</v>
      </c>
      <c r="AG451" s="109">
        <f t="shared" si="610"/>
        <v>16000</v>
      </c>
      <c r="AH451" s="84">
        <f t="shared" si="611"/>
        <v>0</v>
      </c>
      <c r="AI451" s="65"/>
      <c r="AJ451" s="112"/>
      <c r="AK451" s="122"/>
      <c r="AL451" s="109">
        <v>1212</v>
      </c>
      <c r="AM451" s="84">
        <f t="shared" si="612"/>
        <v>0</v>
      </c>
      <c r="AN451" s="65"/>
      <c r="AO451" s="112"/>
      <c r="AP451" s="204"/>
      <c r="AQ451" s="109">
        <f>IFERROR((O451+AH451+AM451)/Dashboard!$D$15,0)*0.2</f>
        <v>16.528925619834709</v>
      </c>
      <c r="AR451" s="84">
        <f t="shared" si="613"/>
        <v>0</v>
      </c>
      <c r="AS451" s="65"/>
      <c r="AT451" s="112"/>
      <c r="AU451" s="203">
        <v>0.33</v>
      </c>
      <c r="AV451" s="109">
        <f t="shared" si="599"/>
        <v>16000</v>
      </c>
      <c r="AW451" s="84">
        <f t="shared" si="614"/>
        <v>0</v>
      </c>
      <c r="AX451" s="65"/>
      <c r="AY451" s="112"/>
      <c r="AZ451" s="203">
        <v>0.25</v>
      </c>
      <c r="BA451" s="109">
        <f t="shared" si="615"/>
        <v>16000</v>
      </c>
      <c r="BB451" s="84">
        <f t="shared" si="616"/>
        <v>0</v>
      </c>
      <c r="BC451" s="65"/>
      <c r="BD451" s="112"/>
      <c r="BE451" s="203">
        <v>0.26</v>
      </c>
      <c r="BF451" s="109">
        <f t="shared" si="602"/>
        <v>16000</v>
      </c>
      <c r="BG451" s="84">
        <f t="shared" si="617"/>
        <v>0</v>
      </c>
      <c r="BH451" s="197"/>
      <c r="BI451" s="518"/>
      <c r="BJ451" s="65"/>
      <c r="BK451" s="81">
        <f t="shared" si="618"/>
        <v>0</v>
      </c>
      <c r="BL451" s="65"/>
      <c r="BM451" s="204"/>
      <c r="BN451" s="156">
        <f>IF(B451&lt;&gt;"",_xlfn.XLOOKUP(B451,'Cronog. e Histog.'!B:B,'Cronog. e Histog.'!EK:EK),0)</f>
        <v>0</v>
      </c>
      <c r="BO451" s="109">
        <f>($O451/Dashboard!$D$15)*(1+Dashboard!$D$19)</f>
        <v>123.96694214876032</v>
      </c>
      <c r="BP451" s="84">
        <f t="shared" si="619"/>
        <v>0</v>
      </c>
      <c r="BQ451" s="65"/>
      <c r="BR451" s="204"/>
      <c r="BS451" s="156">
        <f>IF(B451&lt;&gt;"",_xlfn.XLOOKUP(B451,'Cronog. e Histog.'!B:B,'Cronog. e Histog.'!EL:EL),0)</f>
        <v>0</v>
      </c>
      <c r="BT451" s="109">
        <f>($O451/Dashboard!$D$15)*(1+Dashboard!$D$20)</f>
        <v>144.62809917355369</v>
      </c>
      <c r="BU451" s="84">
        <f t="shared" si="620"/>
        <v>0</v>
      </c>
      <c r="BV451" s="65"/>
      <c r="BW451" s="204"/>
      <c r="BX451" s="156">
        <f>IF(B451&lt;&gt;"",_xlfn.XLOOKUP(B451,'Cronog. e Histog.'!B:B,'Cronog. e Histog.'!EM:EM),0)</f>
        <v>0</v>
      </c>
      <c r="BY451" s="109">
        <f>($O451/Dashboard!$D$15)*(1+Dashboard!$D$21)</f>
        <v>165.28925619834709</v>
      </c>
      <c r="BZ451" s="84">
        <f t="shared" si="621"/>
        <v>0</v>
      </c>
    </row>
    <row r="452" spans="2:78" ht="12" customHeight="1" outlineLevel="1">
      <c r="B452" s="137" t="str">
        <f>'Cronog. e Histog.'!B601</f>
        <v>ENG/ARQ PL. - Equipe_01</v>
      </c>
      <c r="C452" s="65"/>
      <c r="D452" s="200">
        <f t="shared" si="587"/>
        <v>0</v>
      </c>
      <c r="E452" s="200">
        <f t="shared" si="588"/>
        <v>0</v>
      </c>
      <c r="F452" s="65"/>
      <c r="G452" s="200">
        <f t="shared" si="589"/>
        <v>0</v>
      </c>
      <c r="H452" s="200">
        <f t="shared" si="590"/>
        <v>0</v>
      </c>
      <c r="I452" s="65"/>
      <c r="J452" s="143" t="str">
        <f>IF('Cronog. e Histog.'!G601&gt;0,'Cronog. e Histog.'!G601,"")</f>
        <v>ENG/ARQ PL.</v>
      </c>
      <c r="K452" s="65"/>
      <c r="L452" s="144">
        <f>'Cronog. e Histog.'!BT601</f>
        <v>3.9999999999999994E-2</v>
      </c>
      <c r="M452" s="144">
        <f>'Cronog. e Histog.'!BU601</f>
        <v>10</v>
      </c>
      <c r="N452" s="65"/>
      <c r="O452" s="109">
        <f>_xlfn.XLOOKUP(B452,Salários!B:B,Salários!K:K)</f>
        <v>14000</v>
      </c>
      <c r="P452" s="109">
        <f t="shared" si="605"/>
        <v>0</v>
      </c>
      <c r="Q452" s="109">
        <f t="shared" si="606"/>
        <v>0</v>
      </c>
      <c r="R452" s="65"/>
      <c r="S452" s="109">
        <f t="shared" si="607"/>
        <v>14000</v>
      </c>
      <c r="T452" s="201" t="str">
        <f>IF(_xlfn.XLOOKUP(B452,Salários!B:B,Salários!I:I)&gt;0,_xlfn.XLOOKUP(B452,Salários!B:B,Salários!I:I),"")</f>
        <v>PJ</v>
      </c>
      <c r="U452" s="117">
        <f t="shared" si="608"/>
        <v>5599.9999999999991</v>
      </c>
      <c r="V452" s="65"/>
      <c r="W452" s="202"/>
      <c r="X452" s="65"/>
      <c r="Y452" s="69"/>
      <c r="Z452" s="65"/>
      <c r="AA452" s="518"/>
      <c r="AB452" s="65"/>
      <c r="AC452" s="81">
        <f t="shared" si="609"/>
        <v>0</v>
      </c>
      <c r="AD452" s="65"/>
      <c r="AE452" s="112"/>
      <c r="AF452" s="203">
        <v>0.3</v>
      </c>
      <c r="AG452" s="109">
        <f t="shared" si="610"/>
        <v>14000</v>
      </c>
      <c r="AH452" s="84">
        <f t="shared" si="611"/>
        <v>0</v>
      </c>
      <c r="AI452" s="65"/>
      <c r="AJ452" s="112"/>
      <c r="AK452" s="122"/>
      <c r="AL452" s="109">
        <v>1212</v>
      </c>
      <c r="AM452" s="84">
        <f t="shared" si="612"/>
        <v>0</v>
      </c>
      <c r="AN452" s="65"/>
      <c r="AO452" s="112"/>
      <c r="AP452" s="204"/>
      <c r="AQ452" s="109">
        <f>IFERROR((O452+AH452+AM452)/Dashboard!$D$15,0)*0.2</f>
        <v>14.46280991735537</v>
      </c>
      <c r="AR452" s="84">
        <f t="shared" si="613"/>
        <v>0</v>
      </c>
      <c r="AS452" s="65"/>
      <c r="AT452" s="112"/>
      <c r="AU452" s="203">
        <v>0.33</v>
      </c>
      <c r="AV452" s="109">
        <f t="shared" si="599"/>
        <v>14000</v>
      </c>
      <c r="AW452" s="84">
        <f t="shared" si="614"/>
        <v>0</v>
      </c>
      <c r="AX452" s="65"/>
      <c r="AY452" s="112"/>
      <c r="AZ452" s="203">
        <v>0.25</v>
      </c>
      <c r="BA452" s="109">
        <f t="shared" si="615"/>
        <v>14000</v>
      </c>
      <c r="BB452" s="84">
        <f t="shared" si="616"/>
        <v>0</v>
      </c>
      <c r="BC452" s="65"/>
      <c r="BD452" s="112"/>
      <c r="BE452" s="203">
        <v>0.26</v>
      </c>
      <c r="BF452" s="109">
        <f t="shared" si="602"/>
        <v>14000</v>
      </c>
      <c r="BG452" s="84">
        <f t="shared" si="617"/>
        <v>0</v>
      </c>
      <c r="BH452" s="197"/>
      <c r="BI452" s="518"/>
      <c r="BJ452" s="65"/>
      <c r="BK452" s="81">
        <f t="shared" si="618"/>
        <v>0</v>
      </c>
      <c r="BL452" s="65"/>
      <c r="BM452" s="204"/>
      <c r="BN452" s="156">
        <f>IF(B452&lt;&gt;"",_xlfn.XLOOKUP(B452,'Cronog. e Histog.'!B:B,'Cronog. e Histog.'!EK:EK),0)</f>
        <v>0</v>
      </c>
      <c r="BO452" s="109">
        <f>($O452/Dashboard!$D$15)*(1+Dashboard!$D$19)</f>
        <v>108.47107438016528</v>
      </c>
      <c r="BP452" s="84">
        <f t="shared" si="619"/>
        <v>0</v>
      </c>
      <c r="BQ452" s="65"/>
      <c r="BR452" s="204"/>
      <c r="BS452" s="156">
        <f>IF(B452&lt;&gt;"",_xlfn.XLOOKUP(B452,'Cronog. e Histog.'!B:B,'Cronog. e Histog.'!EL:EL),0)</f>
        <v>0</v>
      </c>
      <c r="BT452" s="109">
        <f>($O452/Dashboard!$D$15)*(1+Dashboard!$D$20)</f>
        <v>126.54958677685948</v>
      </c>
      <c r="BU452" s="84">
        <f t="shared" si="620"/>
        <v>0</v>
      </c>
      <c r="BV452" s="65"/>
      <c r="BW452" s="204"/>
      <c r="BX452" s="156">
        <f>IF(B452&lt;&gt;"",_xlfn.XLOOKUP(B452,'Cronog. e Histog.'!B:B,'Cronog. e Histog.'!EM:EM),0)</f>
        <v>0</v>
      </c>
      <c r="BY452" s="109">
        <f>($O452/Dashboard!$D$15)*(1+Dashboard!$D$21)</f>
        <v>144.62809917355369</v>
      </c>
      <c r="BZ452" s="84">
        <f t="shared" si="621"/>
        <v>0</v>
      </c>
    </row>
    <row r="453" spans="2:78" ht="12" customHeight="1" outlineLevel="1">
      <c r="B453" s="137" t="str">
        <f>'Cronog. e Histog.'!B602</f>
        <v>ENG/ARQ JR. - Equipe_01</v>
      </c>
      <c r="C453" s="65"/>
      <c r="D453" s="200">
        <f t="shared" si="587"/>
        <v>0</v>
      </c>
      <c r="E453" s="200">
        <f t="shared" si="588"/>
        <v>0</v>
      </c>
      <c r="F453" s="65"/>
      <c r="G453" s="200">
        <f t="shared" si="589"/>
        <v>0</v>
      </c>
      <c r="H453" s="200">
        <f t="shared" si="590"/>
        <v>0</v>
      </c>
      <c r="I453" s="65"/>
      <c r="J453" s="143" t="str">
        <f>IF('Cronog. e Histog.'!G602&gt;0,'Cronog. e Histog.'!G602,"")</f>
        <v>ENG/ARQ JR.</v>
      </c>
      <c r="K453" s="65"/>
      <c r="L453" s="144">
        <f>'Cronog. e Histog.'!BT602</f>
        <v>0</v>
      </c>
      <c r="M453" s="144">
        <f>'Cronog. e Histog.'!BU602</f>
        <v>0</v>
      </c>
      <c r="N453" s="65"/>
      <c r="O453" s="109">
        <f>_xlfn.XLOOKUP(B453,Salários!B:B,Salários!K:K)</f>
        <v>14000</v>
      </c>
      <c r="P453" s="109">
        <f t="shared" si="605"/>
        <v>0</v>
      </c>
      <c r="Q453" s="109">
        <f t="shared" si="606"/>
        <v>0</v>
      </c>
      <c r="R453" s="65"/>
      <c r="S453" s="109">
        <f t="shared" si="607"/>
        <v>14000</v>
      </c>
      <c r="T453" s="201" t="str">
        <f>IF(_xlfn.XLOOKUP(B453,Salários!B:B,Salários!I:I)&gt;0,_xlfn.XLOOKUP(B453,Salários!B:B,Salários!I:I),"")</f>
        <v>PJ</v>
      </c>
      <c r="U453" s="117">
        <f t="shared" si="608"/>
        <v>0</v>
      </c>
      <c r="V453" s="65"/>
      <c r="W453" s="202"/>
      <c r="X453" s="65"/>
      <c r="Y453" s="69"/>
      <c r="Z453" s="65"/>
      <c r="AA453" s="518"/>
      <c r="AB453" s="65"/>
      <c r="AC453" s="81">
        <f t="shared" si="609"/>
        <v>0</v>
      </c>
      <c r="AD453" s="65"/>
      <c r="AE453" s="112"/>
      <c r="AF453" s="203">
        <v>0.3</v>
      </c>
      <c r="AG453" s="109">
        <f t="shared" si="610"/>
        <v>14000</v>
      </c>
      <c r="AH453" s="84">
        <f t="shared" si="611"/>
        <v>0</v>
      </c>
      <c r="AI453" s="65"/>
      <c r="AJ453" s="112"/>
      <c r="AK453" s="122"/>
      <c r="AL453" s="109">
        <v>1212</v>
      </c>
      <c r="AM453" s="84">
        <f t="shared" si="612"/>
        <v>0</v>
      </c>
      <c r="AN453" s="65"/>
      <c r="AO453" s="112"/>
      <c r="AP453" s="204"/>
      <c r="AQ453" s="109">
        <f>IFERROR((O453+AH453+AM453)/Dashboard!$D$15,0)*0.2</f>
        <v>14.46280991735537</v>
      </c>
      <c r="AR453" s="84">
        <f t="shared" si="613"/>
        <v>0</v>
      </c>
      <c r="AS453" s="65"/>
      <c r="AT453" s="112"/>
      <c r="AU453" s="203">
        <v>0.33</v>
      </c>
      <c r="AV453" s="109">
        <f t="shared" si="599"/>
        <v>14000</v>
      </c>
      <c r="AW453" s="84">
        <f t="shared" si="614"/>
        <v>0</v>
      </c>
      <c r="AX453" s="65"/>
      <c r="AY453" s="112"/>
      <c r="AZ453" s="203">
        <v>0.25</v>
      </c>
      <c r="BA453" s="109">
        <f t="shared" si="615"/>
        <v>14000</v>
      </c>
      <c r="BB453" s="84">
        <f t="shared" si="616"/>
        <v>0</v>
      </c>
      <c r="BC453" s="65"/>
      <c r="BD453" s="112"/>
      <c r="BE453" s="203">
        <v>0.26</v>
      </c>
      <c r="BF453" s="109">
        <f t="shared" si="602"/>
        <v>14000</v>
      </c>
      <c r="BG453" s="84">
        <f t="shared" si="617"/>
        <v>0</v>
      </c>
      <c r="BH453" s="197"/>
      <c r="BI453" s="518"/>
      <c r="BJ453" s="65"/>
      <c r="BK453" s="81">
        <f t="shared" si="618"/>
        <v>0</v>
      </c>
      <c r="BL453" s="65"/>
      <c r="BM453" s="204"/>
      <c r="BN453" s="156">
        <f>IF(B453&lt;&gt;"",_xlfn.XLOOKUP(B453,'Cronog. e Histog.'!B:B,'Cronog. e Histog.'!EK:EK),0)</f>
        <v>0</v>
      </c>
      <c r="BO453" s="109">
        <f>($O453/Dashboard!$D$15)*(1+Dashboard!$D$19)</f>
        <v>108.47107438016528</v>
      </c>
      <c r="BP453" s="84">
        <f t="shared" si="619"/>
        <v>0</v>
      </c>
      <c r="BQ453" s="65"/>
      <c r="BR453" s="204"/>
      <c r="BS453" s="156">
        <f>IF(B453&lt;&gt;"",_xlfn.XLOOKUP(B453,'Cronog. e Histog.'!B:B,'Cronog. e Histog.'!EL:EL),0)</f>
        <v>0</v>
      </c>
      <c r="BT453" s="109">
        <f>($O453/Dashboard!$D$15)*(1+Dashboard!$D$20)</f>
        <v>126.54958677685948</v>
      </c>
      <c r="BU453" s="84">
        <f t="shared" si="620"/>
        <v>0</v>
      </c>
      <c r="BV453" s="65"/>
      <c r="BW453" s="204"/>
      <c r="BX453" s="156">
        <f>IF(B453&lt;&gt;"",_xlfn.XLOOKUP(B453,'Cronog. e Histog.'!B:B,'Cronog. e Histog.'!EM:EM),0)</f>
        <v>0</v>
      </c>
      <c r="BY453" s="109">
        <f>($O453/Dashboard!$D$15)*(1+Dashboard!$D$21)</f>
        <v>144.62809917355369</v>
      </c>
      <c r="BZ453" s="84">
        <f t="shared" si="621"/>
        <v>0</v>
      </c>
    </row>
    <row r="454" spans="2:78" ht="12" customHeight="1" outlineLevel="1">
      <c r="B454" s="137" t="str">
        <f>'Cronog. e Histog.'!B603</f>
        <v>AN SR. ENG/ARQ - Equipe_01</v>
      </c>
      <c r="C454" s="65"/>
      <c r="D454" s="200">
        <f t="shared" si="587"/>
        <v>0</v>
      </c>
      <c r="E454" s="200">
        <f t="shared" si="588"/>
        <v>0</v>
      </c>
      <c r="F454" s="65"/>
      <c r="G454" s="200">
        <f t="shared" si="589"/>
        <v>0</v>
      </c>
      <c r="H454" s="200">
        <f t="shared" si="590"/>
        <v>0</v>
      </c>
      <c r="I454" s="65"/>
      <c r="J454" s="143" t="str">
        <f>IF('Cronog. e Histog.'!G603&gt;0,'Cronog. e Histog.'!G603,"")</f>
        <v>AN SR. ENG/ARQ</v>
      </c>
      <c r="K454" s="65"/>
      <c r="L454" s="144">
        <f>'Cronog. e Histog.'!BT603</f>
        <v>0</v>
      </c>
      <c r="M454" s="144">
        <f>'Cronog. e Histog.'!BU603</f>
        <v>0</v>
      </c>
      <c r="N454" s="65"/>
      <c r="O454" s="109">
        <f>_xlfn.XLOOKUP(B454,Salários!B:B,Salários!K:K)</f>
        <v>7950</v>
      </c>
      <c r="P454" s="109">
        <f t="shared" si="605"/>
        <v>0</v>
      </c>
      <c r="Q454" s="109">
        <f t="shared" si="606"/>
        <v>0</v>
      </c>
      <c r="R454" s="65"/>
      <c r="S454" s="109">
        <f t="shared" si="607"/>
        <v>7950</v>
      </c>
      <c r="T454" s="201" t="str">
        <f>IF(_xlfn.XLOOKUP(B454,Salários!B:B,Salários!I:I)&gt;0,_xlfn.XLOOKUP(B454,Salários!B:B,Salários!I:I),"")</f>
        <v>Mensalista</v>
      </c>
      <c r="U454" s="117">
        <f t="shared" si="608"/>
        <v>0</v>
      </c>
      <c r="V454" s="65"/>
      <c r="W454" s="202"/>
      <c r="X454" s="65"/>
      <c r="Y454" s="69"/>
      <c r="Z454" s="65"/>
      <c r="AA454" s="518"/>
      <c r="AB454" s="65"/>
      <c r="AC454" s="81">
        <f t="shared" si="609"/>
        <v>0</v>
      </c>
      <c r="AD454" s="65"/>
      <c r="AE454" s="112"/>
      <c r="AF454" s="203">
        <v>0.3</v>
      </c>
      <c r="AG454" s="109">
        <f t="shared" si="610"/>
        <v>7950</v>
      </c>
      <c r="AH454" s="84">
        <f t="shared" si="611"/>
        <v>0</v>
      </c>
      <c r="AI454" s="65"/>
      <c r="AJ454" s="112"/>
      <c r="AK454" s="122"/>
      <c r="AL454" s="109">
        <v>1212</v>
      </c>
      <c r="AM454" s="84">
        <f t="shared" si="612"/>
        <v>0</v>
      </c>
      <c r="AN454" s="65"/>
      <c r="AO454" s="112"/>
      <c r="AP454" s="204"/>
      <c r="AQ454" s="109">
        <f>IFERROR((O454+AH454+AM454)/Dashboard!$D$15,0)*0.2</f>
        <v>8.2128099173553704</v>
      </c>
      <c r="AR454" s="84">
        <f t="shared" si="613"/>
        <v>0</v>
      </c>
      <c r="AS454" s="65"/>
      <c r="AT454" s="112"/>
      <c r="AU454" s="203">
        <v>0.33</v>
      </c>
      <c r="AV454" s="109">
        <f t="shared" si="599"/>
        <v>7950</v>
      </c>
      <c r="AW454" s="84">
        <f t="shared" si="614"/>
        <v>0</v>
      </c>
      <c r="AX454" s="65"/>
      <c r="AY454" s="112"/>
      <c r="AZ454" s="203">
        <v>0.25</v>
      </c>
      <c r="BA454" s="109">
        <f t="shared" si="615"/>
        <v>7950</v>
      </c>
      <c r="BB454" s="84">
        <f t="shared" si="616"/>
        <v>0</v>
      </c>
      <c r="BC454" s="65"/>
      <c r="BD454" s="112"/>
      <c r="BE454" s="203">
        <v>0.26</v>
      </c>
      <c r="BF454" s="109">
        <f t="shared" si="602"/>
        <v>7950</v>
      </c>
      <c r="BG454" s="84">
        <f t="shared" si="617"/>
        <v>0</v>
      </c>
      <c r="BH454" s="197"/>
      <c r="BI454" s="518"/>
      <c r="BJ454" s="65"/>
      <c r="BK454" s="81">
        <f t="shared" si="618"/>
        <v>0</v>
      </c>
      <c r="BL454" s="65"/>
      <c r="BM454" s="204"/>
      <c r="BN454" s="156">
        <f>IF(B454&lt;&gt;"",_xlfn.XLOOKUP(B454,'Cronog. e Histog.'!B:B,'Cronog. e Histog.'!EK:EK),0)</f>
        <v>0</v>
      </c>
      <c r="BO454" s="109">
        <f>($O454/Dashboard!$D$15)*(1+Dashboard!$D$19)</f>
        <v>61.596074380165277</v>
      </c>
      <c r="BP454" s="84">
        <f t="shared" si="619"/>
        <v>0</v>
      </c>
      <c r="BQ454" s="65"/>
      <c r="BR454" s="204"/>
      <c r="BS454" s="156">
        <f>IF(B454&lt;&gt;"",_xlfn.XLOOKUP(B454,'Cronog. e Histog.'!B:B,'Cronog. e Histog.'!EL:EL),0)</f>
        <v>0</v>
      </c>
      <c r="BT454" s="109">
        <f>($O454/Dashboard!$D$15)*(1+Dashboard!$D$20)</f>
        <v>71.862086776859499</v>
      </c>
      <c r="BU454" s="84">
        <f t="shared" si="620"/>
        <v>0</v>
      </c>
      <c r="BV454" s="65"/>
      <c r="BW454" s="204"/>
      <c r="BX454" s="156">
        <f>IF(B454&lt;&gt;"",_xlfn.XLOOKUP(B454,'Cronog. e Histog.'!B:B,'Cronog. e Histog.'!EM:EM),0)</f>
        <v>0</v>
      </c>
      <c r="BY454" s="109">
        <f>($O454/Dashboard!$D$15)*(1+Dashboard!$D$21)</f>
        <v>82.128099173553707</v>
      </c>
      <c r="BZ454" s="84">
        <f t="shared" si="621"/>
        <v>0</v>
      </c>
    </row>
    <row r="455" spans="2:78" ht="12" customHeight="1" outlineLevel="1">
      <c r="B455" s="137" t="str">
        <f>'Cronog. e Histog.'!B604</f>
        <v>AN PL. ENG/ARQ - Equipe_01</v>
      </c>
      <c r="C455" s="65"/>
      <c r="D455" s="200">
        <f t="shared" si="587"/>
        <v>0</v>
      </c>
      <c r="E455" s="200">
        <f t="shared" si="588"/>
        <v>0</v>
      </c>
      <c r="F455" s="65"/>
      <c r="G455" s="200">
        <f t="shared" si="589"/>
        <v>0</v>
      </c>
      <c r="H455" s="200">
        <f t="shared" si="590"/>
        <v>0</v>
      </c>
      <c r="I455" s="65"/>
      <c r="J455" s="143" t="str">
        <f>IF('Cronog. e Histog.'!G604&gt;0,'Cronog. e Histog.'!G604,"")</f>
        <v>AN PL. ENG/ARQ</v>
      </c>
      <c r="K455" s="65"/>
      <c r="L455" s="144">
        <f>'Cronog. e Histog.'!BT604</f>
        <v>0</v>
      </c>
      <c r="M455" s="144">
        <f>'Cronog. e Histog.'!BU604</f>
        <v>0</v>
      </c>
      <c r="N455" s="65"/>
      <c r="O455" s="109">
        <f>_xlfn.XLOOKUP(B455,Salários!B:B,Salários!K:K)</f>
        <v>6360</v>
      </c>
      <c r="P455" s="109">
        <f t="shared" si="605"/>
        <v>0</v>
      </c>
      <c r="Q455" s="109">
        <f t="shared" si="606"/>
        <v>0</v>
      </c>
      <c r="R455" s="65"/>
      <c r="S455" s="109">
        <f t="shared" si="607"/>
        <v>6360</v>
      </c>
      <c r="T455" s="201" t="str">
        <f>IF(_xlfn.XLOOKUP(B455,Salários!B:B,Salários!I:I)&gt;0,_xlfn.XLOOKUP(B455,Salários!B:B,Salários!I:I),"")</f>
        <v>Mensalista</v>
      </c>
      <c r="U455" s="117">
        <f t="shared" si="608"/>
        <v>0</v>
      </c>
      <c r="V455" s="65"/>
      <c r="W455" s="202"/>
      <c r="X455" s="65"/>
      <c r="Y455" s="69"/>
      <c r="Z455" s="65"/>
      <c r="AA455" s="518"/>
      <c r="AB455" s="65"/>
      <c r="AC455" s="81">
        <f t="shared" si="609"/>
        <v>0</v>
      </c>
      <c r="AD455" s="65"/>
      <c r="AE455" s="112"/>
      <c r="AF455" s="203">
        <v>0.3</v>
      </c>
      <c r="AG455" s="109">
        <f t="shared" si="610"/>
        <v>6360</v>
      </c>
      <c r="AH455" s="84">
        <f t="shared" si="611"/>
        <v>0</v>
      </c>
      <c r="AI455" s="65"/>
      <c r="AJ455" s="112"/>
      <c r="AK455" s="122"/>
      <c r="AL455" s="109">
        <v>1212</v>
      </c>
      <c r="AM455" s="84">
        <f t="shared" si="612"/>
        <v>0</v>
      </c>
      <c r="AN455" s="65"/>
      <c r="AO455" s="112"/>
      <c r="AP455" s="204"/>
      <c r="AQ455" s="109">
        <f>IFERROR((O455+AH455+AM455)/Dashboard!$D$15,0)*0.2</f>
        <v>6.5702479338842963</v>
      </c>
      <c r="AR455" s="84">
        <f t="shared" si="613"/>
        <v>0</v>
      </c>
      <c r="AS455" s="65"/>
      <c r="AT455" s="112"/>
      <c r="AU455" s="203">
        <v>0.33</v>
      </c>
      <c r="AV455" s="109">
        <f t="shared" si="599"/>
        <v>6360</v>
      </c>
      <c r="AW455" s="84">
        <f t="shared" si="614"/>
        <v>0</v>
      </c>
      <c r="AX455" s="65"/>
      <c r="AY455" s="112"/>
      <c r="AZ455" s="203">
        <v>0.25</v>
      </c>
      <c r="BA455" s="109">
        <f t="shared" si="615"/>
        <v>6360</v>
      </c>
      <c r="BB455" s="84">
        <f t="shared" si="616"/>
        <v>0</v>
      </c>
      <c r="BC455" s="65"/>
      <c r="BD455" s="112"/>
      <c r="BE455" s="203">
        <v>0.26</v>
      </c>
      <c r="BF455" s="109">
        <f t="shared" si="602"/>
        <v>6360</v>
      </c>
      <c r="BG455" s="84">
        <f t="shared" si="617"/>
        <v>0</v>
      </c>
      <c r="BH455" s="197"/>
      <c r="BI455" s="518"/>
      <c r="BJ455" s="65"/>
      <c r="BK455" s="81">
        <f t="shared" si="618"/>
        <v>0</v>
      </c>
      <c r="BL455" s="65"/>
      <c r="BM455" s="204"/>
      <c r="BN455" s="156">
        <f>IF(B455&lt;&gt;"",_xlfn.XLOOKUP(B455,'Cronog. e Histog.'!B:B,'Cronog. e Histog.'!EK:EK),0)</f>
        <v>0</v>
      </c>
      <c r="BO455" s="109">
        <f>($O455/Dashboard!$D$15)*(1+Dashboard!$D$19)</f>
        <v>49.276859504132219</v>
      </c>
      <c r="BP455" s="84">
        <f t="shared" si="619"/>
        <v>0</v>
      </c>
      <c r="BQ455" s="65"/>
      <c r="BR455" s="204"/>
      <c r="BS455" s="156">
        <f>IF(B455&lt;&gt;"",_xlfn.XLOOKUP(B455,'Cronog. e Histog.'!B:B,'Cronog. e Histog.'!EL:EL),0)</f>
        <v>0</v>
      </c>
      <c r="BT455" s="109">
        <f>($O455/Dashboard!$D$15)*(1+Dashboard!$D$20)</f>
        <v>57.489669421487591</v>
      </c>
      <c r="BU455" s="84">
        <f t="shared" si="620"/>
        <v>0</v>
      </c>
      <c r="BV455" s="65"/>
      <c r="BW455" s="204"/>
      <c r="BX455" s="156">
        <f>IF(B455&lt;&gt;"",_xlfn.XLOOKUP(B455,'Cronog. e Histog.'!B:B,'Cronog. e Histog.'!EM:EM),0)</f>
        <v>0</v>
      </c>
      <c r="BY455" s="109">
        <f>($O455/Dashboard!$D$15)*(1+Dashboard!$D$21)</f>
        <v>65.702479338842963</v>
      </c>
      <c r="BZ455" s="84">
        <f t="shared" si="621"/>
        <v>0</v>
      </c>
    </row>
    <row r="456" spans="2:78" ht="12" customHeight="1" outlineLevel="1">
      <c r="B456" s="137" t="str">
        <f>'Cronog. e Histog.'!B605</f>
        <v>AN JR. ENG/ARQ - Equipe_01</v>
      </c>
      <c r="C456" s="65"/>
      <c r="D456" s="200">
        <f t="shared" si="587"/>
        <v>0</v>
      </c>
      <c r="E456" s="200">
        <f t="shared" si="588"/>
        <v>0</v>
      </c>
      <c r="F456" s="65"/>
      <c r="G456" s="200">
        <f t="shared" si="589"/>
        <v>0</v>
      </c>
      <c r="H456" s="200">
        <f t="shared" si="590"/>
        <v>0</v>
      </c>
      <c r="I456" s="65"/>
      <c r="J456" s="143" t="str">
        <f>IF('Cronog. e Histog.'!G605&gt;0,'Cronog. e Histog.'!G605,"")</f>
        <v>AN JR. ENG/ARQ</v>
      </c>
      <c r="K456" s="65"/>
      <c r="L456" s="144">
        <f>'Cronog. e Histog.'!BT605</f>
        <v>0</v>
      </c>
      <c r="M456" s="144">
        <f>'Cronog. e Histog.'!BU605</f>
        <v>0</v>
      </c>
      <c r="N456" s="65"/>
      <c r="O456" s="109">
        <f>_xlfn.XLOOKUP(B456,Salários!B:B,Salários!K:K)</f>
        <v>4770</v>
      </c>
      <c r="P456" s="109">
        <f t="shared" si="605"/>
        <v>0</v>
      </c>
      <c r="Q456" s="109">
        <f t="shared" si="606"/>
        <v>0</v>
      </c>
      <c r="R456" s="65"/>
      <c r="S456" s="109">
        <f t="shared" si="607"/>
        <v>4770</v>
      </c>
      <c r="T456" s="201" t="str">
        <f>IF(_xlfn.XLOOKUP(B456,Salários!B:B,Salários!I:I)&gt;0,_xlfn.XLOOKUP(B456,Salários!B:B,Salários!I:I),"")</f>
        <v>Mensalista</v>
      </c>
      <c r="U456" s="117">
        <f t="shared" si="608"/>
        <v>0</v>
      </c>
      <c r="V456" s="65"/>
      <c r="W456" s="202"/>
      <c r="X456" s="65"/>
      <c r="Y456" s="69"/>
      <c r="Z456" s="65"/>
      <c r="AA456" s="518"/>
      <c r="AB456" s="65"/>
      <c r="AC456" s="81">
        <f t="shared" si="609"/>
        <v>0</v>
      </c>
      <c r="AD456" s="65"/>
      <c r="AE456" s="112"/>
      <c r="AF456" s="203">
        <v>0.3</v>
      </c>
      <c r="AG456" s="109">
        <f t="shared" si="610"/>
        <v>4770</v>
      </c>
      <c r="AH456" s="84">
        <f t="shared" si="611"/>
        <v>0</v>
      </c>
      <c r="AI456" s="65"/>
      <c r="AJ456" s="112"/>
      <c r="AK456" s="122"/>
      <c r="AL456" s="109">
        <v>1212</v>
      </c>
      <c r="AM456" s="84">
        <f t="shared" si="612"/>
        <v>0</v>
      </c>
      <c r="AN456" s="65"/>
      <c r="AO456" s="112"/>
      <c r="AP456" s="204"/>
      <c r="AQ456" s="109">
        <f>IFERROR((O456+AH456+AM456)/Dashboard!$D$15,0)*0.2</f>
        <v>4.9276859504132231</v>
      </c>
      <c r="AR456" s="84">
        <f t="shared" si="613"/>
        <v>0</v>
      </c>
      <c r="AS456" s="65"/>
      <c r="AT456" s="112"/>
      <c r="AU456" s="203">
        <v>0.33</v>
      </c>
      <c r="AV456" s="109">
        <f t="shared" si="599"/>
        <v>4770</v>
      </c>
      <c r="AW456" s="84">
        <f t="shared" si="614"/>
        <v>0</v>
      </c>
      <c r="AX456" s="65"/>
      <c r="AY456" s="112"/>
      <c r="AZ456" s="203">
        <v>0.25</v>
      </c>
      <c r="BA456" s="109">
        <f t="shared" si="615"/>
        <v>4770</v>
      </c>
      <c r="BB456" s="84">
        <f t="shared" si="616"/>
        <v>0</v>
      </c>
      <c r="BC456" s="65"/>
      <c r="BD456" s="112"/>
      <c r="BE456" s="203">
        <v>0.26</v>
      </c>
      <c r="BF456" s="109">
        <f t="shared" si="602"/>
        <v>4770</v>
      </c>
      <c r="BG456" s="84">
        <f t="shared" si="617"/>
        <v>0</v>
      </c>
      <c r="BH456" s="197"/>
      <c r="BI456" s="518"/>
      <c r="BJ456" s="65"/>
      <c r="BK456" s="81">
        <f t="shared" si="618"/>
        <v>0</v>
      </c>
      <c r="BL456" s="65"/>
      <c r="BM456" s="204"/>
      <c r="BN456" s="156">
        <f>IF(B456&lt;&gt;"",_xlfn.XLOOKUP(B456,'Cronog. e Histog.'!B:B,'Cronog. e Histog.'!EK:EK),0)</f>
        <v>0</v>
      </c>
      <c r="BO456" s="109">
        <f>($O456/Dashboard!$D$15)*(1+Dashboard!$D$19)</f>
        <v>36.957644628099168</v>
      </c>
      <c r="BP456" s="84">
        <f t="shared" si="619"/>
        <v>0</v>
      </c>
      <c r="BQ456" s="65"/>
      <c r="BR456" s="204"/>
      <c r="BS456" s="156">
        <f>IF(B456&lt;&gt;"",_xlfn.XLOOKUP(B456,'Cronog. e Histog.'!B:B,'Cronog. e Histog.'!EL:EL),0)</f>
        <v>0</v>
      </c>
      <c r="BT456" s="109">
        <f>($O456/Dashboard!$D$15)*(1+Dashboard!$D$20)</f>
        <v>43.117252066115697</v>
      </c>
      <c r="BU456" s="84">
        <f t="shared" si="620"/>
        <v>0</v>
      </c>
      <c r="BV456" s="65"/>
      <c r="BW456" s="204"/>
      <c r="BX456" s="156">
        <f>IF(B456&lt;&gt;"",_xlfn.XLOOKUP(B456,'Cronog. e Histog.'!B:B,'Cronog. e Histog.'!EM:EM),0)</f>
        <v>0</v>
      </c>
      <c r="BY456" s="109">
        <f>($O456/Dashboard!$D$15)*(1+Dashboard!$D$21)</f>
        <v>49.276859504132226</v>
      </c>
      <c r="BZ456" s="84">
        <f t="shared" si="621"/>
        <v>0</v>
      </c>
    </row>
    <row r="457" spans="2:78" ht="12" customHeight="1" outlineLevel="1">
      <c r="B457" s="137" t="str">
        <f>'Cronog. e Histog.'!B606</f>
        <v>AN SR. ADM/CRP - Equipe_01</v>
      </c>
      <c r="C457" s="65"/>
      <c r="D457" s="200">
        <f t="shared" si="587"/>
        <v>0</v>
      </c>
      <c r="E457" s="200">
        <f t="shared" si="588"/>
        <v>0</v>
      </c>
      <c r="F457" s="65"/>
      <c r="G457" s="200">
        <f t="shared" si="589"/>
        <v>0</v>
      </c>
      <c r="H457" s="200">
        <f t="shared" si="590"/>
        <v>0</v>
      </c>
      <c r="I457" s="65"/>
      <c r="J457" s="143" t="str">
        <f>IF('Cronog. e Histog.'!G606&gt;0,'Cronog. e Histog.'!G606,"")</f>
        <v>AN SR. ADM/CRP</v>
      </c>
      <c r="K457" s="65"/>
      <c r="L457" s="144">
        <f>'Cronog. e Histog.'!BT606</f>
        <v>0</v>
      </c>
      <c r="M457" s="144">
        <f>'Cronog. e Histog.'!BU606</f>
        <v>0</v>
      </c>
      <c r="N457" s="65"/>
      <c r="O457" s="109">
        <f>_xlfn.XLOOKUP(B457,Salários!B:B,Salários!K:K)</f>
        <v>7420</v>
      </c>
      <c r="P457" s="109">
        <f t="shared" si="605"/>
        <v>0</v>
      </c>
      <c r="Q457" s="109">
        <f t="shared" si="606"/>
        <v>0</v>
      </c>
      <c r="R457" s="65"/>
      <c r="S457" s="109">
        <f t="shared" si="607"/>
        <v>7420</v>
      </c>
      <c r="T457" s="201" t="str">
        <f>IF(_xlfn.XLOOKUP(B457,Salários!B:B,Salários!I:I)&gt;0,_xlfn.XLOOKUP(B457,Salários!B:B,Salários!I:I),"")</f>
        <v>Mensalista</v>
      </c>
      <c r="U457" s="117">
        <f t="shared" si="608"/>
        <v>0</v>
      </c>
      <c r="V457" s="65"/>
      <c r="W457" s="202"/>
      <c r="X457" s="65"/>
      <c r="Y457" s="69"/>
      <c r="Z457" s="65"/>
      <c r="AA457" s="518"/>
      <c r="AB457" s="65"/>
      <c r="AC457" s="81">
        <f t="shared" si="609"/>
        <v>0</v>
      </c>
      <c r="AD457" s="65"/>
      <c r="AE457" s="112"/>
      <c r="AF457" s="203">
        <v>0.3</v>
      </c>
      <c r="AG457" s="109">
        <f t="shared" si="610"/>
        <v>7420</v>
      </c>
      <c r="AH457" s="84">
        <f t="shared" si="611"/>
        <v>0</v>
      </c>
      <c r="AI457" s="65"/>
      <c r="AJ457" s="112"/>
      <c r="AK457" s="122"/>
      <c r="AL457" s="109">
        <v>1212</v>
      </c>
      <c r="AM457" s="84">
        <f t="shared" si="612"/>
        <v>0</v>
      </c>
      <c r="AN457" s="65"/>
      <c r="AO457" s="112"/>
      <c r="AP457" s="204"/>
      <c r="AQ457" s="109">
        <f>IFERROR((O457+AH457+AM457)/Dashboard!$D$15,0)*0.2</f>
        <v>7.6652892561983466</v>
      </c>
      <c r="AR457" s="84">
        <f t="shared" si="613"/>
        <v>0</v>
      </c>
      <c r="AS457" s="65"/>
      <c r="AT457" s="112"/>
      <c r="AU457" s="203">
        <v>0.33</v>
      </c>
      <c r="AV457" s="109">
        <f t="shared" si="599"/>
        <v>7420</v>
      </c>
      <c r="AW457" s="84">
        <f t="shared" si="614"/>
        <v>0</v>
      </c>
      <c r="AX457" s="65"/>
      <c r="AY457" s="112"/>
      <c r="AZ457" s="203">
        <v>0.25</v>
      </c>
      <c r="BA457" s="109">
        <f t="shared" si="615"/>
        <v>7420</v>
      </c>
      <c r="BB457" s="84">
        <f t="shared" si="616"/>
        <v>0</v>
      </c>
      <c r="BC457" s="65"/>
      <c r="BD457" s="112"/>
      <c r="BE457" s="203">
        <v>0.26</v>
      </c>
      <c r="BF457" s="109">
        <f t="shared" si="602"/>
        <v>7420</v>
      </c>
      <c r="BG457" s="84">
        <f t="shared" si="617"/>
        <v>0</v>
      </c>
      <c r="BH457" s="197"/>
      <c r="BI457" s="518"/>
      <c r="BJ457" s="65"/>
      <c r="BK457" s="81">
        <f t="shared" si="618"/>
        <v>0</v>
      </c>
      <c r="BL457" s="65"/>
      <c r="BM457" s="204"/>
      <c r="BN457" s="156">
        <f>IF(B457&lt;&gt;"",_xlfn.XLOOKUP(B457,'Cronog. e Histog.'!B:B,'Cronog. e Histog.'!EK:EK),0)</f>
        <v>0</v>
      </c>
      <c r="BO457" s="109">
        <f>($O457/Dashboard!$D$15)*(1+Dashboard!$D$19)</f>
        <v>57.489669421487598</v>
      </c>
      <c r="BP457" s="84">
        <f t="shared" si="619"/>
        <v>0</v>
      </c>
      <c r="BQ457" s="65"/>
      <c r="BR457" s="204"/>
      <c r="BS457" s="156">
        <f>IF(B457&lt;&gt;"",_xlfn.XLOOKUP(B457,'Cronog. e Histog.'!B:B,'Cronog. e Histog.'!EL:EL),0)</f>
        <v>0</v>
      </c>
      <c r="BT457" s="109">
        <f>($O457/Dashboard!$D$15)*(1+Dashboard!$D$20)</f>
        <v>67.071280991735534</v>
      </c>
      <c r="BU457" s="84">
        <f t="shared" si="620"/>
        <v>0</v>
      </c>
      <c r="BV457" s="65"/>
      <c r="BW457" s="204"/>
      <c r="BX457" s="156">
        <f>IF(B457&lt;&gt;"",_xlfn.XLOOKUP(B457,'Cronog. e Histog.'!B:B,'Cronog. e Histog.'!EM:EM),0)</f>
        <v>0</v>
      </c>
      <c r="BY457" s="109">
        <f>($O457/Dashboard!$D$15)*(1+Dashboard!$D$21)</f>
        <v>76.652892561983464</v>
      </c>
      <c r="BZ457" s="84">
        <f t="shared" si="621"/>
        <v>0</v>
      </c>
    </row>
    <row r="458" spans="2:78" ht="12" customHeight="1" outlineLevel="1">
      <c r="B458" s="137" t="str">
        <f>'Cronog. e Histog.'!B607</f>
        <v>AN PL. ADM/CRP - Equipe_01</v>
      </c>
      <c r="C458" s="65"/>
      <c r="D458" s="200">
        <f t="shared" si="587"/>
        <v>0</v>
      </c>
      <c r="E458" s="200">
        <f t="shared" si="588"/>
        <v>0</v>
      </c>
      <c r="F458" s="65"/>
      <c r="G458" s="200">
        <f t="shared" si="589"/>
        <v>0</v>
      </c>
      <c r="H458" s="200">
        <f t="shared" si="590"/>
        <v>0</v>
      </c>
      <c r="I458" s="65"/>
      <c r="J458" s="143" t="str">
        <f>IF('Cronog. e Histog.'!G607&gt;0,'Cronog. e Histog.'!G607,"")</f>
        <v>AN PL. ADM/CRP</v>
      </c>
      <c r="K458" s="65"/>
      <c r="L458" s="144">
        <f>'Cronog. e Histog.'!BT607</f>
        <v>0</v>
      </c>
      <c r="M458" s="144">
        <f>'Cronog. e Histog.'!BU607</f>
        <v>0</v>
      </c>
      <c r="N458" s="65"/>
      <c r="O458" s="109">
        <f>_xlfn.XLOOKUP(B458,Salários!B:B,Salários!K:K)</f>
        <v>5300</v>
      </c>
      <c r="P458" s="109">
        <f t="shared" si="605"/>
        <v>0</v>
      </c>
      <c r="Q458" s="109">
        <f t="shared" si="606"/>
        <v>0</v>
      </c>
      <c r="R458" s="65"/>
      <c r="S458" s="109">
        <f t="shared" si="607"/>
        <v>5300</v>
      </c>
      <c r="T458" s="201" t="str">
        <f>IF(_xlfn.XLOOKUP(B458,Salários!B:B,Salários!I:I)&gt;0,_xlfn.XLOOKUP(B458,Salários!B:B,Salários!I:I),"")</f>
        <v>Mensalista</v>
      </c>
      <c r="U458" s="117">
        <f t="shared" si="608"/>
        <v>0</v>
      </c>
      <c r="V458" s="65"/>
      <c r="W458" s="202"/>
      <c r="X458" s="65"/>
      <c r="Y458" s="69"/>
      <c r="Z458" s="65"/>
      <c r="AA458" s="518"/>
      <c r="AB458" s="65"/>
      <c r="AC458" s="81">
        <f t="shared" si="609"/>
        <v>0</v>
      </c>
      <c r="AD458" s="65"/>
      <c r="AE458" s="112"/>
      <c r="AF458" s="203">
        <v>0.3</v>
      </c>
      <c r="AG458" s="109">
        <f t="shared" si="610"/>
        <v>5300</v>
      </c>
      <c r="AH458" s="84">
        <f t="shared" si="611"/>
        <v>0</v>
      </c>
      <c r="AI458" s="65"/>
      <c r="AJ458" s="112"/>
      <c r="AK458" s="122"/>
      <c r="AL458" s="109">
        <v>1212</v>
      </c>
      <c r="AM458" s="84">
        <f t="shared" si="612"/>
        <v>0</v>
      </c>
      <c r="AN458" s="65"/>
      <c r="AO458" s="112"/>
      <c r="AP458" s="204"/>
      <c r="AQ458" s="109">
        <f>IFERROR((O458+AH458+AM458)/Dashboard!$D$15,0)*0.2</f>
        <v>5.4752066115702478</v>
      </c>
      <c r="AR458" s="84">
        <f t="shared" si="613"/>
        <v>0</v>
      </c>
      <c r="AS458" s="65"/>
      <c r="AT458" s="112"/>
      <c r="AU458" s="203">
        <v>0.33</v>
      </c>
      <c r="AV458" s="109">
        <f t="shared" si="599"/>
        <v>5300</v>
      </c>
      <c r="AW458" s="84">
        <f t="shared" si="614"/>
        <v>0</v>
      </c>
      <c r="AX458" s="65"/>
      <c r="AY458" s="112"/>
      <c r="AZ458" s="203">
        <v>0.25</v>
      </c>
      <c r="BA458" s="109">
        <f t="shared" si="615"/>
        <v>5300</v>
      </c>
      <c r="BB458" s="84">
        <f t="shared" si="616"/>
        <v>0</v>
      </c>
      <c r="BC458" s="65"/>
      <c r="BD458" s="112"/>
      <c r="BE458" s="203">
        <v>0.26</v>
      </c>
      <c r="BF458" s="109">
        <f t="shared" si="602"/>
        <v>5300</v>
      </c>
      <c r="BG458" s="84">
        <f t="shared" si="617"/>
        <v>0</v>
      </c>
      <c r="BH458" s="197"/>
      <c r="BI458" s="518"/>
      <c r="BJ458" s="65"/>
      <c r="BK458" s="81">
        <f t="shared" si="618"/>
        <v>0</v>
      </c>
      <c r="BL458" s="65"/>
      <c r="BM458" s="204"/>
      <c r="BN458" s="156">
        <f>IF(B458&lt;&gt;"",_xlfn.XLOOKUP(B458,'Cronog. e Histog.'!B:B,'Cronog. e Histog.'!EK:EK),0)</f>
        <v>0</v>
      </c>
      <c r="BO458" s="109">
        <f>($O458/Dashboard!$D$15)*(1+Dashboard!$D$19)</f>
        <v>41.064049586776861</v>
      </c>
      <c r="BP458" s="84">
        <f t="shared" si="619"/>
        <v>0</v>
      </c>
      <c r="BQ458" s="65"/>
      <c r="BR458" s="204"/>
      <c r="BS458" s="156">
        <f>IF(B458&lt;&gt;"",_xlfn.XLOOKUP(B458,'Cronog. e Histog.'!B:B,'Cronog. e Histog.'!EL:EL),0)</f>
        <v>0</v>
      </c>
      <c r="BT458" s="109">
        <f>($O458/Dashboard!$D$15)*(1+Dashboard!$D$20)</f>
        <v>47.908057851239668</v>
      </c>
      <c r="BU458" s="84">
        <f t="shared" si="620"/>
        <v>0</v>
      </c>
      <c r="BV458" s="65"/>
      <c r="BW458" s="204"/>
      <c r="BX458" s="156">
        <f>IF(B458&lt;&gt;"",_xlfn.XLOOKUP(B458,'Cronog. e Histog.'!B:B,'Cronog. e Histog.'!EM:EM),0)</f>
        <v>0</v>
      </c>
      <c r="BY458" s="109">
        <f>($O458/Dashboard!$D$15)*(1+Dashboard!$D$21)</f>
        <v>54.752066115702476</v>
      </c>
      <c r="BZ458" s="84">
        <f t="shared" si="621"/>
        <v>0</v>
      </c>
    </row>
    <row r="459" spans="2:78" ht="12" customHeight="1" outlineLevel="1">
      <c r="B459" s="137" t="str">
        <f>'Cronog. e Histog.'!B608</f>
        <v>AN JR. ADM/CRP - Equipe_01</v>
      </c>
      <c r="C459" s="65"/>
      <c r="D459" s="200">
        <f t="shared" si="587"/>
        <v>0</v>
      </c>
      <c r="E459" s="200">
        <f t="shared" si="588"/>
        <v>0</v>
      </c>
      <c r="F459" s="65"/>
      <c r="G459" s="200">
        <f t="shared" si="589"/>
        <v>0</v>
      </c>
      <c r="H459" s="200">
        <f t="shared" si="590"/>
        <v>0</v>
      </c>
      <c r="I459" s="65"/>
      <c r="J459" s="143" t="str">
        <f>IF('Cronog. e Histog.'!G608&gt;0,'Cronog. e Histog.'!G608,"")</f>
        <v>AN JR. ADM/CRP</v>
      </c>
      <c r="K459" s="65"/>
      <c r="L459" s="144">
        <f>'Cronog. e Histog.'!BT608</f>
        <v>0</v>
      </c>
      <c r="M459" s="144">
        <f>'Cronog. e Histog.'!BU608</f>
        <v>0</v>
      </c>
      <c r="N459" s="65"/>
      <c r="O459" s="109">
        <f>_xlfn.XLOOKUP(B459,Salários!B:B,Salários!K:K)</f>
        <v>3710</v>
      </c>
      <c r="P459" s="109">
        <f t="shared" si="605"/>
        <v>0</v>
      </c>
      <c r="Q459" s="109">
        <f t="shared" si="606"/>
        <v>0</v>
      </c>
      <c r="R459" s="65"/>
      <c r="S459" s="109">
        <f t="shared" si="607"/>
        <v>3710</v>
      </c>
      <c r="T459" s="201" t="str">
        <f>IF(_xlfn.XLOOKUP(B459,Salários!B:B,Salários!I:I)&gt;0,_xlfn.XLOOKUP(B459,Salários!B:B,Salários!I:I),"")</f>
        <v>Mensalista</v>
      </c>
      <c r="U459" s="117">
        <f t="shared" si="608"/>
        <v>0</v>
      </c>
      <c r="V459" s="65"/>
      <c r="W459" s="202"/>
      <c r="X459" s="65"/>
      <c r="Y459" s="69"/>
      <c r="Z459" s="65"/>
      <c r="AA459" s="518"/>
      <c r="AB459" s="65"/>
      <c r="AC459" s="81">
        <f t="shared" si="595"/>
        <v>0</v>
      </c>
      <c r="AD459" s="65"/>
      <c r="AE459" s="112"/>
      <c r="AF459" s="203">
        <v>0.3</v>
      </c>
      <c r="AG459" s="109">
        <f t="shared" si="44"/>
        <v>3710</v>
      </c>
      <c r="AH459" s="84">
        <f t="shared" si="596"/>
        <v>0</v>
      </c>
      <c r="AI459" s="65"/>
      <c r="AJ459" s="112"/>
      <c r="AK459" s="122"/>
      <c r="AL459" s="109">
        <v>1212</v>
      </c>
      <c r="AM459" s="84">
        <f t="shared" si="597"/>
        <v>0</v>
      </c>
      <c r="AN459" s="65"/>
      <c r="AO459" s="112"/>
      <c r="AP459" s="204"/>
      <c r="AQ459" s="109">
        <f>IFERROR((O459+AH459+AM459)/Dashboard!$D$15,0)*0.2</f>
        <v>3.8326446280991733</v>
      </c>
      <c r="AR459" s="84">
        <f t="shared" si="598"/>
        <v>0</v>
      </c>
      <c r="AS459" s="65"/>
      <c r="AT459" s="112"/>
      <c r="AU459" s="203">
        <v>0.33</v>
      </c>
      <c r="AV459" s="109">
        <f t="shared" si="599"/>
        <v>3710</v>
      </c>
      <c r="AW459" s="84">
        <f t="shared" si="600"/>
        <v>0</v>
      </c>
      <c r="AX459" s="65"/>
      <c r="AY459" s="112"/>
      <c r="AZ459" s="203">
        <v>0.25</v>
      </c>
      <c r="BA459" s="109">
        <f t="shared" si="50"/>
        <v>3710</v>
      </c>
      <c r="BB459" s="84">
        <f t="shared" si="601"/>
        <v>0</v>
      </c>
      <c r="BC459" s="65"/>
      <c r="BD459" s="112"/>
      <c r="BE459" s="203">
        <v>0.26</v>
      </c>
      <c r="BF459" s="109">
        <f t="shared" si="602"/>
        <v>3710</v>
      </c>
      <c r="BG459" s="84">
        <f t="shared" si="603"/>
        <v>0</v>
      </c>
      <c r="BH459" s="197"/>
      <c r="BI459" s="518"/>
      <c r="BJ459" s="65"/>
      <c r="BK459" s="81">
        <f t="shared" si="604"/>
        <v>0</v>
      </c>
      <c r="BL459" s="65"/>
      <c r="BM459" s="204"/>
      <c r="BN459" s="156">
        <f>IF(B459&lt;&gt;"",_xlfn.XLOOKUP(B459,'Cronog. e Histog.'!B:B,'Cronog. e Histog.'!EK:EK),0)</f>
        <v>0</v>
      </c>
      <c r="BO459" s="109">
        <f>($O459/Dashboard!$D$15)*(1+Dashboard!$D$19)</f>
        <v>28.744834710743799</v>
      </c>
      <c r="BP459" s="84">
        <f t="shared" si="619"/>
        <v>0</v>
      </c>
      <c r="BQ459" s="65"/>
      <c r="BR459" s="204"/>
      <c r="BS459" s="156">
        <f>IF(B459&lt;&gt;"",_xlfn.XLOOKUP(B459,'Cronog. e Histog.'!B:B,'Cronog. e Histog.'!EL:EL),0)</f>
        <v>0</v>
      </c>
      <c r="BT459" s="109">
        <f>($O459/Dashboard!$D$15)*(1+Dashboard!$D$20)</f>
        <v>33.535640495867767</v>
      </c>
      <c r="BU459" s="84">
        <f t="shared" si="620"/>
        <v>0</v>
      </c>
      <c r="BV459" s="65"/>
      <c r="BW459" s="204"/>
      <c r="BX459" s="156">
        <f>IF(B459&lt;&gt;"",_xlfn.XLOOKUP(B459,'Cronog. e Histog.'!B:B,'Cronog. e Histog.'!EM:EM),0)</f>
        <v>0</v>
      </c>
      <c r="BY459" s="109">
        <f>($O459/Dashboard!$D$15)*(1+Dashboard!$D$21)</f>
        <v>38.326446280991732</v>
      </c>
      <c r="BZ459" s="84">
        <f t="shared" si="621"/>
        <v>0</v>
      </c>
    </row>
    <row r="460" spans="2:78" ht="12" customHeight="1" outlineLevel="1">
      <c r="B460" s="137" t="str">
        <f>'Cronog. e Histog.'!B609</f>
        <v>TEC III - Equipe_01</v>
      </c>
      <c r="C460" s="65"/>
      <c r="D460" s="200">
        <f t="shared" si="587"/>
        <v>0</v>
      </c>
      <c r="E460" s="200">
        <f t="shared" si="588"/>
        <v>0</v>
      </c>
      <c r="F460" s="65"/>
      <c r="G460" s="200">
        <f t="shared" si="589"/>
        <v>0</v>
      </c>
      <c r="H460" s="200">
        <f t="shared" si="590"/>
        <v>0</v>
      </c>
      <c r="I460" s="65"/>
      <c r="J460" s="143" t="str">
        <f>IF('Cronog. e Histog.'!G609&gt;0,'Cronog. e Histog.'!G609,"")</f>
        <v>TEC III</v>
      </c>
      <c r="K460" s="65"/>
      <c r="L460" s="144">
        <f>'Cronog. e Histog.'!BT609</f>
        <v>0</v>
      </c>
      <c r="M460" s="144">
        <f>'Cronog. e Histog.'!BU609</f>
        <v>0</v>
      </c>
      <c r="N460" s="65"/>
      <c r="O460" s="109">
        <f>_xlfn.XLOOKUP(B460,Salários!B:B,Salários!K:K)</f>
        <v>6360</v>
      </c>
      <c r="P460" s="109">
        <f t="shared" si="605"/>
        <v>0</v>
      </c>
      <c r="Q460" s="109">
        <f t="shared" si="606"/>
        <v>0</v>
      </c>
      <c r="R460" s="65"/>
      <c r="S460" s="109">
        <f t="shared" si="607"/>
        <v>6360</v>
      </c>
      <c r="T460" s="201" t="str">
        <f>IF(_xlfn.XLOOKUP(B460,Salários!B:B,Salários!I:I)&gt;0,_xlfn.XLOOKUP(B460,Salários!B:B,Salários!I:I),"")</f>
        <v>Mensalista</v>
      </c>
      <c r="U460" s="117">
        <f t="shared" si="608"/>
        <v>0</v>
      </c>
      <c r="V460" s="65"/>
      <c r="W460" s="202"/>
      <c r="X460" s="65"/>
      <c r="Y460" s="69"/>
      <c r="Z460" s="65"/>
      <c r="AA460" s="518"/>
      <c r="AB460" s="65"/>
      <c r="AC460" s="81">
        <f t="shared" si="595"/>
        <v>0</v>
      </c>
      <c r="AD460" s="65"/>
      <c r="AE460" s="112"/>
      <c r="AF460" s="203">
        <v>0.3</v>
      </c>
      <c r="AG460" s="109">
        <f t="shared" si="44"/>
        <v>6360</v>
      </c>
      <c r="AH460" s="84">
        <f t="shared" si="596"/>
        <v>0</v>
      </c>
      <c r="AI460" s="65"/>
      <c r="AJ460" s="112"/>
      <c r="AK460" s="122"/>
      <c r="AL460" s="109">
        <v>1212</v>
      </c>
      <c r="AM460" s="84">
        <f t="shared" si="597"/>
        <v>0</v>
      </c>
      <c r="AN460" s="65"/>
      <c r="AO460" s="112"/>
      <c r="AP460" s="204"/>
      <c r="AQ460" s="109">
        <f>IFERROR((O460+AH460+AM460)/Dashboard!$D$15,0)*0.2</f>
        <v>6.5702479338842963</v>
      </c>
      <c r="AR460" s="84">
        <f t="shared" si="598"/>
        <v>0</v>
      </c>
      <c r="AS460" s="65"/>
      <c r="AT460" s="112"/>
      <c r="AU460" s="203">
        <v>0.33</v>
      </c>
      <c r="AV460" s="109">
        <f t="shared" si="599"/>
        <v>6360</v>
      </c>
      <c r="AW460" s="84">
        <f t="shared" si="600"/>
        <v>0</v>
      </c>
      <c r="AX460" s="65"/>
      <c r="AY460" s="112"/>
      <c r="AZ460" s="203">
        <v>0.25</v>
      </c>
      <c r="BA460" s="109">
        <f t="shared" si="50"/>
        <v>6360</v>
      </c>
      <c r="BB460" s="84">
        <f t="shared" si="601"/>
        <v>0</v>
      </c>
      <c r="BC460" s="65"/>
      <c r="BD460" s="112"/>
      <c r="BE460" s="203">
        <v>0.26</v>
      </c>
      <c r="BF460" s="109">
        <f t="shared" si="602"/>
        <v>6360</v>
      </c>
      <c r="BG460" s="84">
        <f t="shared" si="603"/>
        <v>0</v>
      </c>
      <c r="BH460" s="197"/>
      <c r="BI460" s="518"/>
      <c r="BJ460" s="65"/>
      <c r="BK460" s="81">
        <f t="shared" si="604"/>
        <v>0</v>
      </c>
      <c r="BL460" s="65"/>
      <c r="BM460" s="204"/>
      <c r="BN460" s="156">
        <f>IF(B460&lt;&gt;"",_xlfn.XLOOKUP(B460,'Cronog. e Histog.'!B:B,'Cronog. e Histog.'!EK:EK),0)</f>
        <v>0</v>
      </c>
      <c r="BO460" s="109">
        <f>($O460/Dashboard!$D$15)*(1+Dashboard!$D$19)</f>
        <v>49.276859504132219</v>
      </c>
      <c r="BP460" s="84">
        <f t="shared" si="619"/>
        <v>0</v>
      </c>
      <c r="BQ460" s="65"/>
      <c r="BR460" s="204"/>
      <c r="BS460" s="156">
        <f>IF(B460&lt;&gt;"",_xlfn.XLOOKUP(B460,'Cronog. e Histog.'!B:B,'Cronog. e Histog.'!EL:EL),0)</f>
        <v>0</v>
      </c>
      <c r="BT460" s="109">
        <f>($O460/Dashboard!$D$15)*(1+Dashboard!$D$20)</f>
        <v>57.489669421487591</v>
      </c>
      <c r="BU460" s="84">
        <f t="shared" si="620"/>
        <v>0</v>
      </c>
      <c r="BV460" s="65"/>
      <c r="BW460" s="204"/>
      <c r="BX460" s="156">
        <f>IF(B460&lt;&gt;"",_xlfn.XLOOKUP(B460,'Cronog. e Histog.'!B:B,'Cronog. e Histog.'!EM:EM),0)</f>
        <v>0</v>
      </c>
      <c r="BY460" s="109">
        <f>($O460/Dashboard!$D$15)*(1+Dashboard!$D$21)</f>
        <v>65.702479338842963</v>
      </c>
      <c r="BZ460" s="84">
        <f t="shared" si="621"/>
        <v>0</v>
      </c>
    </row>
    <row r="461" spans="2:78" ht="12" customHeight="1" outlineLevel="1">
      <c r="B461" s="137" t="str">
        <f>'Cronog. e Histog.'!B610</f>
        <v>TEC II - Equipe_01</v>
      </c>
      <c r="C461" s="65"/>
      <c r="D461" s="200">
        <f t="shared" si="587"/>
        <v>0</v>
      </c>
      <c r="E461" s="200">
        <f t="shared" si="588"/>
        <v>0</v>
      </c>
      <c r="F461" s="65"/>
      <c r="G461" s="200">
        <f t="shared" si="589"/>
        <v>0</v>
      </c>
      <c r="H461" s="200">
        <f t="shared" si="590"/>
        <v>0</v>
      </c>
      <c r="I461" s="65"/>
      <c r="J461" s="143" t="str">
        <f>IF('Cronog. e Histog.'!G610&gt;0,'Cronog. e Histog.'!G610,"")</f>
        <v>TEC II</v>
      </c>
      <c r="K461" s="65"/>
      <c r="L461" s="144">
        <f>'Cronog. e Histog.'!BT610</f>
        <v>0</v>
      </c>
      <c r="M461" s="144">
        <f>'Cronog. e Histog.'!BU610</f>
        <v>0</v>
      </c>
      <c r="N461" s="65"/>
      <c r="O461" s="109">
        <f>_xlfn.XLOOKUP(B461,Salários!B:B,Salários!K:K)</f>
        <v>4770</v>
      </c>
      <c r="P461" s="109">
        <f t="shared" si="605"/>
        <v>0</v>
      </c>
      <c r="Q461" s="109">
        <f t="shared" si="606"/>
        <v>0</v>
      </c>
      <c r="R461" s="65"/>
      <c r="S461" s="109">
        <f t="shared" si="607"/>
        <v>4770</v>
      </c>
      <c r="T461" s="201" t="str">
        <f>IF(_xlfn.XLOOKUP(B461,Salários!B:B,Salários!I:I)&gt;0,_xlfn.XLOOKUP(B461,Salários!B:B,Salários!I:I),"")</f>
        <v>Mensalista</v>
      </c>
      <c r="U461" s="117">
        <f t="shared" si="608"/>
        <v>0</v>
      </c>
      <c r="V461" s="65"/>
      <c r="W461" s="202"/>
      <c r="X461" s="65"/>
      <c r="Y461" s="69"/>
      <c r="Z461" s="65"/>
      <c r="AA461" s="518"/>
      <c r="AB461" s="65"/>
      <c r="AC461" s="81">
        <f t="shared" si="595"/>
        <v>0</v>
      </c>
      <c r="AD461" s="65"/>
      <c r="AE461" s="112"/>
      <c r="AF461" s="203">
        <v>0.3</v>
      </c>
      <c r="AG461" s="109">
        <f t="shared" si="44"/>
        <v>4770</v>
      </c>
      <c r="AH461" s="84">
        <f t="shared" si="596"/>
        <v>0</v>
      </c>
      <c r="AI461" s="65"/>
      <c r="AJ461" s="112"/>
      <c r="AK461" s="122"/>
      <c r="AL461" s="109">
        <v>1212</v>
      </c>
      <c r="AM461" s="84">
        <f t="shared" si="597"/>
        <v>0</v>
      </c>
      <c r="AN461" s="65"/>
      <c r="AO461" s="112"/>
      <c r="AP461" s="204"/>
      <c r="AQ461" s="109">
        <f>IFERROR((O461+AH461+AM461)/Dashboard!$D$15,0)*0.2</f>
        <v>4.9276859504132231</v>
      </c>
      <c r="AR461" s="84">
        <f t="shared" si="598"/>
        <v>0</v>
      </c>
      <c r="AS461" s="65"/>
      <c r="AT461" s="112"/>
      <c r="AU461" s="203">
        <v>0.33</v>
      </c>
      <c r="AV461" s="109">
        <f t="shared" si="599"/>
        <v>4770</v>
      </c>
      <c r="AW461" s="84">
        <f t="shared" si="600"/>
        <v>0</v>
      </c>
      <c r="AX461" s="65"/>
      <c r="AY461" s="112"/>
      <c r="AZ461" s="203">
        <v>0.25</v>
      </c>
      <c r="BA461" s="109">
        <f t="shared" si="50"/>
        <v>4770</v>
      </c>
      <c r="BB461" s="84">
        <f t="shared" si="601"/>
        <v>0</v>
      </c>
      <c r="BC461" s="65"/>
      <c r="BD461" s="112"/>
      <c r="BE461" s="203">
        <v>0.26</v>
      </c>
      <c r="BF461" s="109">
        <f t="shared" si="602"/>
        <v>4770</v>
      </c>
      <c r="BG461" s="84">
        <f t="shared" si="603"/>
        <v>0</v>
      </c>
      <c r="BH461" s="197"/>
      <c r="BI461" s="518"/>
      <c r="BJ461" s="65"/>
      <c r="BK461" s="81">
        <f t="shared" si="604"/>
        <v>0</v>
      </c>
      <c r="BL461" s="65"/>
      <c r="BM461" s="204"/>
      <c r="BN461" s="156">
        <f>IF(B461&lt;&gt;"",_xlfn.XLOOKUP(B461,'Cronog. e Histog.'!B:B,'Cronog. e Histog.'!EK:EK),0)</f>
        <v>0</v>
      </c>
      <c r="BO461" s="109">
        <f>($O461/Dashboard!$D$15)*(1+Dashboard!$D$19)</f>
        <v>36.957644628099168</v>
      </c>
      <c r="BP461" s="84">
        <f t="shared" si="619"/>
        <v>0</v>
      </c>
      <c r="BQ461" s="65"/>
      <c r="BR461" s="204"/>
      <c r="BS461" s="156">
        <f>IF(B461&lt;&gt;"",_xlfn.XLOOKUP(B461,'Cronog. e Histog.'!B:B,'Cronog. e Histog.'!EL:EL),0)</f>
        <v>0</v>
      </c>
      <c r="BT461" s="109">
        <f>($O461/Dashboard!$D$15)*(1+Dashboard!$D$20)</f>
        <v>43.117252066115697</v>
      </c>
      <c r="BU461" s="84">
        <f t="shared" si="620"/>
        <v>0</v>
      </c>
      <c r="BV461" s="65"/>
      <c r="BW461" s="204"/>
      <c r="BX461" s="156">
        <f>IF(B461&lt;&gt;"",_xlfn.XLOOKUP(B461,'Cronog. e Histog.'!B:B,'Cronog. e Histog.'!EM:EM),0)</f>
        <v>0</v>
      </c>
      <c r="BY461" s="109">
        <f>($O461/Dashboard!$D$15)*(1+Dashboard!$D$21)</f>
        <v>49.276859504132226</v>
      </c>
      <c r="BZ461" s="84">
        <f t="shared" si="621"/>
        <v>0</v>
      </c>
    </row>
    <row r="462" spans="2:78" ht="12" customHeight="1" outlineLevel="1">
      <c r="B462" s="137" t="str">
        <f>'Cronog. e Histog.'!B611</f>
        <v>TEC I - Equipe_01</v>
      </c>
      <c r="C462" s="65"/>
      <c r="D462" s="200">
        <f t="shared" si="587"/>
        <v>0</v>
      </c>
      <c r="E462" s="200">
        <f t="shared" si="588"/>
        <v>0</v>
      </c>
      <c r="F462" s="65"/>
      <c r="G462" s="200">
        <f t="shared" si="589"/>
        <v>0</v>
      </c>
      <c r="H462" s="200">
        <f t="shared" si="590"/>
        <v>0</v>
      </c>
      <c r="I462" s="65"/>
      <c r="J462" s="143" t="str">
        <f>IF('Cronog. e Histog.'!G611&gt;0,'Cronog. e Histog.'!G611,"")</f>
        <v>TEC I</v>
      </c>
      <c r="K462" s="65"/>
      <c r="L462" s="144">
        <f>'Cronog. e Histog.'!BT611</f>
        <v>0</v>
      </c>
      <c r="M462" s="144">
        <f>'Cronog. e Histog.'!BU611</f>
        <v>0</v>
      </c>
      <c r="N462" s="65"/>
      <c r="O462" s="109">
        <f>_xlfn.XLOOKUP(B462,Salários!B:B,Salários!K:K)</f>
        <v>3180</v>
      </c>
      <c r="P462" s="109">
        <f t="shared" si="605"/>
        <v>0</v>
      </c>
      <c r="Q462" s="109">
        <f t="shared" si="606"/>
        <v>0</v>
      </c>
      <c r="R462" s="65"/>
      <c r="S462" s="109">
        <f t="shared" si="607"/>
        <v>3180</v>
      </c>
      <c r="T462" s="201" t="str">
        <f>IF(_xlfn.XLOOKUP(B462,Salários!B:B,Salários!I:I)&gt;0,_xlfn.XLOOKUP(B462,Salários!B:B,Salários!I:I),"")</f>
        <v>Mensalista</v>
      </c>
      <c r="U462" s="117">
        <f t="shared" si="608"/>
        <v>0</v>
      </c>
      <c r="V462" s="65"/>
      <c r="W462" s="202"/>
      <c r="X462" s="65"/>
      <c r="Y462" s="69"/>
      <c r="Z462" s="65"/>
      <c r="AA462" s="518"/>
      <c r="AB462" s="65"/>
      <c r="AC462" s="81">
        <f t="shared" si="595"/>
        <v>0</v>
      </c>
      <c r="AD462" s="65"/>
      <c r="AE462" s="112"/>
      <c r="AF462" s="203">
        <v>0.3</v>
      </c>
      <c r="AG462" s="109">
        <f t="shared" si="44"/>
        <v>3180</v>
      </c>
      <c r="AH462" s="84">
        <f t="shared" si="596"/>
        <v>0</v>
      </c>
      <c r="AI462" s="65"/>
      <c r="AJ462" s="112"/>
      <c r="AK462" s="122"/>
      <c r="AL462" s="109">
        <v>1212</v>
      </c>
      <c r="AM462" s="84">
        <f t="shared" si="597"/>
        <v>0</v>
      </c>
      <c r="AN462" s="65"/>
      <c r="AO462" s="112"/>
      <c r="AP462" s="204"/>
      <c r="AQ462" s="109">
        <f>IFERROR((O462+AH462+AM462)/Dashboard!$D$15,0)*0.2</f>
        <v>3.2851239669421481</v>
      </c>
      <c r="AR462" s="84">
        <f t="shared" si="598"/>
        <v>0</v>
      </c>
      <c r="AS462" s="65"/>
      <c r="AT462" s="112"/>
      <c r="AU462" s="203">
        <v>0.33</v>
      </c>
      <c r="AV462" s="109">
        <f t="shared" si="599"/>
        <v>3180</v>
      </c>
      <c r="AW462" s="84">
        <f t="shared" si="600"/>
        <v>0</v>
      </c>
      <c r="AX462" s="65"/>
      <c r="AY462" s="112"/>
      <c r="AZ462" s="203">
        <v>0.25</v>
      </c>
      <c r="BA462" s="109">
        <f t="shared" si="50"/>
        <v>3180</v>
      </c>
      <c r="BB462" s="84">
        <f t="shared" si="601"/>
        <v>0</v>
      </c>
      <c r="BC462" s="65"/>
      <c r="BD462" s="112"/>
      <c r="BE462" s="203">
        <v>0.26</v>
      </c>
      <c r="BF462" s="109">
        <f t="shared" si="602"/>
        <v>3180</v>
      </c>
      <c r="BG462" s="84">
        <f t="shared" si="603"/>
        <v>0</v>
      </c>
      <c r="BH462" s="197"/>
      <c r="BI462" s="518"/>
      <c r="BJ462" s="65"/>
      <c r="BK462" s="81">
        <f t="shared" si="604"/>
        <v>0</v>
      </c>
      <c r="BL462" s="65"/>
      <c r="BM462" s="204"/>
      <c r="BN462" s="156">
        <f>IF(B462&lt;&gt;"",_xlfn.XLOOKUP(B462,'Cronog. e Histog.'!B:B,'Cronog. e Histog.'!EK:EK),0)</f>
        <v>0</v>
      </c>
      <c r="BO462" s="109">
        <f>($O462/Dashboard!$D$15)*(1+Dashboard!$D$19)</f>
        <v>24.638429752066109</v>
      </c>
      <c r="BP462" s="84">
        <f t="shared" si="619"/>
        <v>0</v>
      </c>
      <c r="BQ462" s="65"/>
      <c r="BR462" s="204"/>
      <c r="BS462" s="156">
        <f>IF(B462&lt;&gt;"",_xlfn.XLOOKUP(B462,'Cronog. e Histog.'!B:B,'Cronog. e Histog.'!EL:EL),0)</f>
        <v>0</v>
      </c>
      <c r="BT462" s="109">
        <f>($O462/Dashboard!$D$15)*(1+Dashboard!$D$20)</f>
        <v>28.744834710743795</v>
      </c>
      <c r="BU462" s="84">
        <f t="shared" si="620"/>
        <v>0</v>
      </c>
      <c r="BV462" s="65"/>
      <c r="BW462" s="204"/>
      <c r="BX462" s="156">
        <f>IF(B462&lt;&gt;"",_xlfn.XLOOKUP(B462,'Cronog. e Histog.'!B:B,'Cronog. e Histog.'!EM:EM),0)</f>
        <v>0</v>
      </c>
      <c r="BY462" s="109">
        <f>($O462/Dashboard!$D$15)*(1+Dashboard!$D$21)</f>
        <v>32.851239669421481</v>
      </c>
      <c r="BZ462" s="84">
        <f t="shared" si="621"/>
        <v>0</v>
      </c>
    </row>
    <row r="463" spans="2:78" ht="12" customHeight="1" outlineLevel="1">
      <c r="B463" s="137" t="str">
        <f>'Cronog. e Histog.'!B612</f>
        <v>AUX TEC - Equipe_01</v>
      </c>
      <c r="C463" s="65"/>
      <c r="D463" s="200">
        <f t="shared" si="587"/>
        <v>0</v>
      </c>
      <c r="E463" s="200">
        <f t="shared" si="588"/>
        <v>0</v>
      </c>
      <c r="F463" s="65"/>
      <c r="G463" s="200">
        <f t="shared" si="589"/>
        <v>0</v>
      </c>
      <c r="H463" s="200">
        <f t="shared" si="590"/>
        <v>0</v>
      </c>
      <c r="I463" s="65"/>
      <c r="J463" s="143" t="str">
        <f>IF('Cronog. e Histog.'!G612&gt;0,'Cronog. e Histog.'!G612,"")</f>
        <v>AUX TEC</v>
      </c>
      <c r="K463" s="65"/>
      <c r="L463" s="144">
        <f>'Cronog. e Histog.'!BT612</f>
        <v>0</v>
      </c>
      <c r="M463" s="144">
        <f>'Cronog. e Histog.'!BU612</f>
        <v>0</v>
      </c>
      <c r="N463" s="65"/>
      <c r="O463" s="109">
        <f>_xlfn.XLOOKUP(B463,Salários!B:B,Salários!K:K)</f>
        <v>3710</v>
      </c>
      <c r="P463" s="109">
        <f t="shared" si="605"/>
        <v>0</v>
      </c>
      <c r="Q463" s="109">
        <f t="shared" si="606"/>
        <v>0</v>
      </c>
      <c r="R463" s="65"/>
      <c r="S463" s="109">
        <f t="shared" si="607"/>
        <v>3710</v>
      </c>
      <c r="T463" s="201" t="str">
        <f>IF(_xlfn.XLOOKUP(B463,Salários!B:B,Salários!I:I)&gt;0,_xlfn.XLOOKUP(B463,Salários!B:B,Salários!I:I),"")</f>
        <v>Mensalista</v>
      </c>
      <c r="U463" s="117">
        <f t="shared" si="608"/>
        <v>0</v>
      </c>
      <c r="V463" s="65"/>
      <c r="W463" s="202"/>
      <c r="X463" s="65"/>
      <c r="Y463" s="69"/>
      <c r="Z463" s="65"/>
      <c r="AA463" s="518"/>
      <c r="AB463" s="65"/>
      <c r="AC463" s="81">
        <f t="shared" si="595"/>
        <v>0</v>
      </c>
      <c r="AD463" s="65"/>
      <c r="AE463" s="112"/>
      <c r="AF463" s="203">
        <v>0.3</v>
      </c>
      <c r="AG463" s="109">
        <f t="shared" si="44"/>
        <v>3710</v>
      </c>
      <c r="AH463" s="84">
        <f t="shared" si="596"/>
        <v>0</v>
      </c>
      <c r="AI463" s="65"/>
      <c r="AJ463" s="112"/>
      <c r="AK463" s="122"/>
      <c r="AL463" s="109">
        <v>1212</v>
      </c>
      <c r="AM463" s="84">
        <f t="shared" si="597"/>
        <v>0</v>
      </c>
      <c r="AN463" s="65"/>
      <c r="AO463" s="112"/>
      <c r="AP463" s="204"/>
      <c r="AQ463" s="109">
        <f>IFERROR((O463+AH463+AM463)/Dashboard!$D$15,0)*0.2</f>
        <v>3.8326446280991733</v>
      </c>
      <c r="AR463" s="84">
        <f t="shared" si="598"/>
        <v>0</v>
      </c>
      <c r="AS463" s="65"/>
      <c r="AT463" s="112"/>
      <c r="AU463" s="203">
        <v>0.33</v>
      </c>
      <c r="AV463" s="109">
        <f t="shared" si="599"/>
        <v>3710</v>
      </c>
      <c r="AW463" s="84">
        <f t="shared" si="600"/>
        <v>0</v>
      </c>
      <c r="AX463" s="65"/>
      <c r="AY463" s="112"/>
      <c r="AZ463" s="203">
        <v>0.25</v>
      </c>
      <c r="BA463" s="109">
        <f t="shared" si="50"/>
        <v>3710</v>
      </c>
      <c r="BB463" s="84">
        <f t="shared" si="601"/>
        <v>0</v>
      </c>
      <c r="BC463" s="65"/>
      <c r="BD463" s="112"/>
      <c r="BE463" s="203">
        <v>0.26</v>
      </c>
      <c r="BF463" s="109">
        <f t="shared" si="602"/>
        <v>3710</v>
      </c>
      <c r="BG463" s="84">
        <f t="shared" si="603"/>
        <v>0</v>
      </c>
      <c r="BH463" s="197"/>
      <c r="BI463" s="518"/>
      <c r="BJ463" s="65"/>
      <c r="BK463" s="81">
        <f t="shared" si="604"/>
        <v>0</v>
      </c>
      <c r="BL463" s="65"/>
      <c r="BM463" s="204"/>
      <c r="BN463" s="156">
        <f>IF(B463&lt;&gt;"",_xlfn.XLOOKUP(B463,'Cronog. e Histog.'!B:B,'Cronog. e Histog.'!EK:EK),0)</f>
        <v>0</v>
      </c>
      <c r="BO463" s="109">
        <f>($O463/Dashboard!$D$15)*(1+Dashboard!$D$19)</f>
        <v>28.744834710743799</v>
      </c>
      <c r="BP463" s="84">
        <f t="shared" si="619"/>
        <v>0</v>
      </c>
      <c r="BQ463" s="65"/>
      <c r="BR463" s="204"/>
      <c r="BS463" s="156">
        <f>IF(B463&lt;&gt;"",_xlfn.XLOOKUP(B463,'Cronog. e Histog.'!B:B,'Cronog. e Histog.'!EL:EL),0)</f>
        <v>0</v>
      </c>
      <c r="BT463" s="109">
        <f>($O463/Dashboard!$D$15)*(1+Dashboard!$D$20)</f>
        <v>33.535640495867767</v>
      </c>
      <c r="BU463" s="84">
        <f t="shared" si="620"/>
        <v>0</v>
      </c>
      <c r="BV463" s="65"/>
      <c r="BW463" s="204"/>
      <c r="BX463" s="156">
        <f>IF(B463&lt;&gt;"",_xlfn.XLOOKUP(B463,'Cronog. e Histog.'!B:B,'Cronog. e Histog.'!EM:EM),0)</f>
        <v>0</v>
      </c>
      <c r="BY463" s="109">
        <f>($O463/Dashboard!$D$15)*(1+Dashboard!$D$21)</f>
        <v>38.326446280991732</v>
      </c>
      <c r="BZ463" s="84">
        <f t="shared" si="621"/>
        <v>0</v>
      </c>
    </row>
    <row r="464" spans="2:78" ht="12" customHeight="1" outlineLevel="1">
      <c r="B464" s="137" t="str">
        <f>'Cronog. e Histog.'!B613</f>
        <v>AUX ADM - Equipe_01</v>
      </c>
      <c r="C464" s="65"/>
      <c r="D464" s="200">
        <f t="shared" si="587"/>
        <v>0</v>
      </c>
      <c r="E464" s="200">
        <f t="shared" si="588"/>
        <v>0</v>
      </c>
      <c r="F464" s="65"/>
      <c r="G464" s="200">
        <f t="shared" si="589"/>
        <v>0</v>
      </c>
      <c r="H464" s="200">
        <f t="shared" si="590"/>
        <v>0</v>
      </c>
      <c r="I464" s="65"/>
      <c r="J464" s="143" t="str">
        <f>IF('Cronog. e Histog.'!G613&gt;0,'Cronog. e Histog.'!G613,"")</f>
        <v>AUX ADM</v>
      </c>
      <c r="K464" s="65"/>
      <c r="L464" s="144">
        <f>'Cronog. e Histog.'!BT613</f>
        <v>0</v>
      </c>
      <c r="M464" s="144">
        <f>'Cronog. e Histog.'!BU613</f>
        <v>0</v>
      </c>
      <c r="N464" s="65"/>
      <c r="O464" s="109">
        <f>_xlfn.XLOOKUP(B464,Salários!B:B,Salários!K:K)</f>
        <v>1912.24</v>
      </c>
      <c r="P464" s="109">
        <f t="shared" si="605"/>
        <v>0</v>
      </c>
      <c r="Q464" s="109">
        <f t="shared" si="606"/>
        <v>0</v>
      </c>
      <c r="R464" s="65"/>
      <c r="S464" s="109">
        <f t="shared" si="607"/>
        <v>1912.24</v>
      </c>
      <c r="T464" s="201" t="str">
        <f>IF(_xlfn.XLOOKUP(B464,Salários!B:B,Salários!I:I)&gt;0,_xlfn.XLOOKUP(B464,Salários!B:B,Salários!I:I),"")</f>
        <v>Mensalista</v>
      </c>
      <c r="U464" s="117">
        <f t="shared" si="608"/>
        <v>0</v>
      </c>
      <c r="V464" s="65"/>
      <c r="W464" s="202"/>
      <c r="X464" s="65"/>
      <c r="Y464" s="69"/>
      <c r="Z464" s="65"/>
      <c r="AA464" s="518"/>
      <c r="AB464" s="65"/>
      <c r="AC464" s="81">
        <f t="shared" si="595"/>
        <v>0</v>
      </c>
      <c r="AD464" s="65"/>
      <c r="AE464" s="112"/>
      <c r="AF464" s="203">
        <v>0.3</v>
      </c>
      <c r="AG464" s="109">
        <f t="shared" si="44"/>
        <v>1912.24</v>
      </c>
      <c r="AH464" s="84">
        <f t="shared" si="596"/>
        <v>0</v>
      </c>
      <c r="AI464" s="65"/>
      <c r="AJ464" s="112"/>
      <c r="AK464" s="122"/>
      <c r="AL464" s="109">
        <v>1212</v>
      </c>
      <c r="AM464" s="84">
        <f t="shared" si="597"/>
        <v>0</v>
      </c>
      <c r="AN464" s="65"/>
      <c r="AO464" s="112"/>
      <c r="AP464" s="204"/>
      <c r="AQ464" s="109">
        <f>IFERROR((O464+AH464+AM464)/Dashboard!$D$15,0)*0.2</f>
        <v>1.9754545454545456</v>
      </c>
      <c r="AR464" s="84">
        <f t="shared" si="598"/>
        <v>0</v>
      </c>
      <c r="AS464" s="65"/>
      <c r="AT464" s="112"/>
      <c r="AU464" s="203">
        <v>0.33</v>
      </c>
      <c r="AV464" s="109">
        <f t="shared" si="599"/>
        <v>1912.24</v>
      </c>
      <c r="AW464" s="84">
        <f t="shared" si="600"/>
        <v>0</v>
      </c>
      <c r="AX464" s="65"/>
      <c r="AY464" s="112"/>
      <c r="AZ464" s="203">
        <v>0.25</v>
      </c>
      <c r="BA464" s="109">
        <f t="shared" si="50"/>
        <v>1912.24</v>
      </c>
      <c r="BB464" s="84">
        <f t="shared" si="601"/>
        <v>0</v>
      </c>
      <c r="BC464" s="65"/>
      <c r="BD464" s="112"/>
      <c r="BE464" s="203">
        <v>0.26</v>
      </c>
      <c r="BF464" s="109">
        <f t="shared" si="602"/>
        <v>1912.24</v>
      </c>
      <c r="BG464" s="84">
        <f t="shared" si="603"/>
        <v>0</v>
      </c>
      <c r="BH464" s="197"/>
      <c r="BI464" s="518"/>
      <c r="BJ464" s="65"/>
      <c r="BK464" s="81">
        <f t="shared" si="604"/>
        <v>0</v>
      </c>
      <c r="BL464" s="65"/>
      <c r="BM464" s="204"/>
      <c r="BN464" s="156">
        <f>IF(B464&lt;&gt;"",_xlfn.XLOOKUP(B464,'Cronog. e Histog.'!B:B,'Cronog. e Histog.'!EK:EK),0)</f>
        <v>0</v>
      </c>
      <c r="BO464" s="109">
        <f>($O464/Dashboard!$D$15)*(1+Dashboard!$D$19)</f>
        <v>14.815909090909091</v>
      </c>
      <c r="BP464" s="84">
        <f t="shared" si="619"/>
        <v>0</v>
      </c>
      <c r="BQ464" s="65"/>
      <c r="BR464" s="204"/>
      <c r="BS464" s="156">
        <f>IF(B464&lt;&gt;"",_xlfn.XLOOKUP(B464,'Cronog. e Histog.'!B:B,'Cronog. e Histog.'!EL:EL),0)</f>
        <v>0</v>
      </c>
      <c r="BT464" s="109">
        <f>($O464/Dashboard!$D$15)*(1+Dashboard!$D$20)</f>
        <v>17.285227272727273</v>
      </c>
      <c r="BU464" s="84">
        <f t="shared" si="620"/>
        <v>0</v>
      </c>
      <c r="BV464" s="65"/>
      <c r="BW464" s="204"/>
      <c r="BX464" s="156">
        <f>IF(B464&lt;&gt;"",_xlfn.XLOOKUP(B464,'Cronog. e Histog.'!B:B,'Cronog. e Histog.'!EM:EM),0)</f>
        <v>0</v>
      </c>
      <c r="BY464" s="109">
        <f>($O464/Dashboard!$D$15)*(1+Dashboard!$D$21)</f>
        <v>19.754545454545454</v>
      </c>
      <c r="BZ464" s="84">
        <f t="shared" si="621"/>
        <v>0</v>
      </c>
    </row>
    <row r="465" spans="2:78" ht="12" customHeight="1" outlineLevel="1">
      <c r="B465" s="137" t="str">
        <f>'Cronog. e Histog.'!B614</f>
        <v>EST - Equipe_01</v>
      </c>
      <c r="C465" s="65"/>
      <c r="D465" s="200">
        <f t="shared" si="587"/>
        <v>0</v>
      </c>
      <c r="E465" s="200">
        <f t="shared" si="588"/>
        <v>0</v>
      </c>
      <c r="F465" s="65"/>
      <c r="G465" s="200">
        <f t="shared" si="589"/>
        <v>0</v>
      </c>
      <c r="H465" s="200">
        <f t="shared" si="590"/>
        <v>0</v>
      </c>
      <c r="I465" s="65"/>
      <c r="J465" s="143" t="str">
        <f>IF('Cronog. e Histog.'!G614&gt;0,'Cronog. e Histog.'!G614,"")</f>
        <v>EST</v>
      </c>
      <c r="K465" s="65"/>
      <c r="L465" s="144">
        <f>'Cronog. e Histog.'!BT614</f>
        <v>0</v>
      </c>
      <c r="M465" s="144">
        <f>'Cronog. e Histog.'!BU614</f>
        <v>0</v>
      </c>
      <c r="N465" s="65"/>
      <c r="O465" s="109">
        <f>_xlfn.XLOOKUP(B465,Salários!B:B,Salários!K:K)</f>
        <v>1633</v>
      </c>
      <c r="P465" s="109">
        <f t="shared" si="605"/>
        <v>0</v>
      </c>
      <c r="Q465" s="109">
        <f t="shared" si="606"/>
        <v>0</v>
      </c>
      <c r="R465" s="65"/>
      <c r="S465" s="109">
        <f t="shared" si="607"/>
        <v>1633</v>
      </c>
      <c r="T465" s="201" t="str">
        <f>IF(_xlfn.XLOOKUP(B465,Salários!B:B,Salários!I:I)&gt;0,_xlfn.XLOOKUP(B465,Salários!B:B,Salários!I:I),"")</f>
        <v>PJ</v>
      </c>
      <c r="U465" s="117">
        <f t="shared" si="608"/>
        <v>0</v>
      </c>
      <c r="V465" s="65"/>
      <c r="W465" s="202"/>
      <c r="X465" s="65"/>
      <c r="Y465" s="69"/>
      <c r="Z465" s="65"/>
      <c r="AA465" s="518"/>
      <c r="AB465" s="65"/>
      <c r="AC465" s="81">
        <f t="shared" si="595"/>
        <v>0</v>
      </c>
      <c r="AD465" s="65"/>
      <c r="AE465" s="112"/>
      <c r="AF465" s="203">
        <v>0.3</v>
      </c>
      <c r="AG465" s="109">
        <f t="shared" si="44"/>
        <v>1633</v>
      </c>
      <c r="AH465" s="84">
        <f t="shared" si="596"/>
        <v>0</v>
      </c>
      <c r="AI465" s="65"/>
      <c r="AJ465" s="112"/>
      <c r="AK465" s="122"/>
      <c r="AL465" s="109">
        <v>1212</v>
      </c>
      <c r="AM465" s="84">
        <f t="shared" si="597"/>
        <v>0</v>
      </c>
      <c r="AN465" s="65"/>
      <c r="AO465" s="112"/>
      <c r="AP465" s="204"/>
      <c r="AQ465" s="109">
        <f>IFERROR((O465+AH465+AM465)/Dashboard!$D$15,0)*0.2</f>
        <v>1.6869834710743801</v>
      </c>
      <c r="AR465" s="84">
        <f t="shared" si="598"/>
        <v>0</v>
      </c>
      <c r="AS465" s="65"/>
      <c r="AT465" s="112"/>
      <c r="AU465" s="203">
        <v>0.33</v>
      </c>
      <c r="AV465" s="109">
        <f t="shared" si="599"/>
        <v>1633</v>
      </c>
      <c r="AW465" s="84">
        <f t="shared" si="600"/>
        <v>0</v>
      </c>
      <c r="AX465" s="65"/>
      <c r="AY465" s="112"/>
      <c r="AZ465" s="203">
        <v>0.25</v>
      </c>
      <c r="BA465" s="109">
        <f t="shared" si="50"/>
        <v>1633</v>
      </c>
      <c r="BB465" s="84">
        <f t="shared" si="601"/>
        <v>0</v>
      </c>
      <c r="BC465" s="65"/>
      <c r="BD465" s="112"/>
      <c r="BE465" s="203">
        <v>0.26</v>
      </c>
      <c r="BF465" s="109">
        <f t="shared" si="602"/>
        <v>1633</v>
      </c>
      <c r="BG465" s="84">
        <f t="shared" si="603"/>
        <v>0</v>
      </c>
      <c r="BH465" s="197"/>
      <c r="BI465" s="518"/>
      <c r="BJ465" s="65"/>
      <c r="BK465" s="81">
        <f t="shared" si="604"/>
        <v>0</v>
      </c>
      <c r="BL465" s="65"/>
      <c r="BM465" s="204"/>
      <c r="BN465" s="156">
        <f>IF(B465&lt;&gt;"",_xlfn.XLOOKUP(B465,'Cronog. e Histog.'!B:B,'Cronog. e Histog.'!EK:EK),0)</f>
        <v>0</v>
      </c>
      <c r="BO465" s="109">
        <f>($O465/Dashboard!$D$15)*(1+Dashboard!$D$19)</f>
        <v>12.652376033057848</v>
      </c>
      <c r="BP465" s="84">
        <f t="shared" si="619"/>
        <v>0</v>
      </c>
      <c r="BQ465" s="65"/>
      <c r="BR465" s="204"/>
      <c r="BS465" s="156">
        <f>IF(B465&lt;&gt;"",_xlfn.XLOOKUP(B465,'Cronog. e Histog.'!B:B,'Cronog. e Histog.'!EL:EL),0)</f>
        <v>0</v>
      </c>
      <c r="BT465" s="109">
        <f>($O465/Dashboard!$D$15)*(1+Dashboard!$D$20)</f>
        <v>14.761105371900824</v>
      </c>
      <c r="BU465" s="84">
        <f t="shared" si="620"/>
        <v>0</v>
      </c>
      <c r="BV465" s="65"/>
      <c r="BW465" s="204"/>
      <c r="BX465" s="156">
        <f>IF(B465&lt;&gt;"",_xlfn.XLOOKUP(B465,'Cronog. e Histog.'!B:B,'Cronog. e Histog.'!EM:EM),0)</f>
        <v>0</v>
      </c>
      <c r="BY465" s="109">
        <f>($O465/Dashboard!$D$15)*(1+Dashboard!$D$21)</f>
        <v>16.869834710743799</v>
      </c>
      <c r="BZ465" s="84">
        <f t="shared" si="621"/>
        <v>0</v>
      </c>
    </row>
    <row r="466" spans="2:78" ht="12" customHeight="1" outlineLevel="1">
      <c r="B466" s="137" t="str">
        <f>'Cronog. e Histog.'!B615</f>
        <v>EST_II - Equipe_01</v>
      </c>
      <c r="C466" s="65"/>
      <c r="D466" s="200">
        <f t="shared" si="587"/>
        <v>0</v>
      </c>
      <c r="E466" s="200">
        <f t="shared" si="588"/>
        <v>0</v>
      </c>
      <c r="F466" s="65"/>
      <c r="G466" s="200">
        <f t="shared" si="589"/>
        <v>0</v>
      </c>
      <c r="H466" s="200">
        <f t="shared" si="590"/>
        <v>0</v>
      </c>
      <c r="I466" s="65"/>
      <c r="J466" s="143" t="str">
        <f>IF('Cronog. e Histog.'!G615&gt;0,'Cronog. e Histog.'!G615,"")</f>
        <v>EST_II</v>
      </c>
      <c r="K466" s="65"/>
      <c r="L466" s="144">
        <f>'Cronog. e Histog.'!BT615</f>
        <v>0</v>
      </c>
      <c r="M466" s="144">
        <f>'Cronog. e Histog.'!BU615</f>
        <v>0</v>
      </c>
      <c r="N466" s="65"/>
      <c r="O466" s="109">
        <f>_xlfn.XLOOKUP(B466,Salários!B:B,Salários!K:K)</f>
        <v>1633</v>
      </c>
      <c r="P466" s="109">
        <f t="shared" si="605"/>
        <v>0</v>
      </c>
      <c r="Q466" s="109">
        <f t="shared" si="606"/>
        <v>0</v>
      </c>
      <c r="R466" s="65"/>
      <c r="S466" s="109">
        <f t="shared" si="607"/>
        <v>1633</v>
      </c>
      <c r="T466" s="201" t="str">
        <f>IF(_xlfn.XLOOKUP(B466,Salários!B:B,Salários!I:I)&gt;0,_xlfn.XLOOKUP(B466,Salários!B:B,Salários!I:I),"")</f>
        <v>PJ</v>
      </c>
      <c r="U466" s="117">
        <f t="shared" si="608"/>
        <v>0</v>
      </c>
      <c r="V466" s="65"/>
      <c r="W466" s="202"/>
      <c r="X466" s="65"/>
      <c r="Y466" s="69"/>
      <c r="Z466" s="65"/>
      <c r="AA466" s="518"/>
      <c r="AB466" s="65"/>
      <c r="AC466" s="81">
        <f t="shared" si="595"/>
        <v>0</v>
      </c>
      <c r="AD466" s="65"/>
      <c r="AE466" s="112"/>
      <c r="AF466" s="203">
        <v>0.3</v>
      </c>
      <c r="AG466" s="109">
        <f t="shared" si="44"/>
        <v>1633</v>
      </c>
      <c r="AH466" s="84">
        <f t="shared" si="596"/>
        <v>0</v>
      </c>
      <c r="AI466" s="65"/>
      <c r="AJ466" s="112"/>
      <c r="AK466" s="122"/>
      <c r="AL466" s="109">
        <v>1212</v>
      </c>
      <c r="AM466" s="84">
        <f t="shared" si="597"/>
        <v>0</v>
      </c>
      <c r="AN466" s="65"/>
      <c r="AO466" s="112"/>
      <c r="AP466" s="204"/>
      <c r="AQ466" s="109">
        <f>IFERROR((O466+AH466+AM466)/Dashboard!$D$15,0)*0.2</f>
        <v>1.6869834710743801</v>
      </c>
      <c r="AR466" s="84">
        <f t="shared" si="598"/>
        <v>0</v>
      </c>
      <c r="AS466" s="65"/>
      <c r="AT466" s="112"/>
      <c r="AU466" s="203">
        <v>0.33</v>
      </c>
      <c r="AV466" s="109">
        <f t="shared" si="599"/>
        <v>1633</v>
      </c>
      <c r="AW466" s="84">
        <f t="shared" si="600"/>
        <v>0</v>
      </c>
      <c r="AX466" s="65"/>
      <c r="AY466" s="112"/>
      <c r="AZ466" s="203">
        <v>0.25</v>
      </c>
      <c r="BA466" s="109">
        <f t="shared" si="50"/>
        <v>1633</v>
      </c>
      <c r="BB466" s="84">
        <f t="shared" si="601"/>
        <v>0</v>
      </c>
      <c r="BC466" s="65"/>
      <c r="BD466" s="112"/>
      <c r="BE466" s="203">
        <v>0.26</v>
      </c>
      <c r="BF466" s="109">
        <f t="shared" si="602"/>
        <v>1633</v>
      </c>
      <c r="BG466" s="84">
        <f t="shared" si="603"/>
        <v>0</v>
      </c>
      <c r="BH466" s="197"/>
      <c r="BI466" s="518"/>
      <c r="BJ466" s="65"/>
      <c r="BK466" s="81">
        <f t="shared" si="604"/>
        <v>0</v>
      </c>
      <c r="BL466" s="65"/>
      <c r="BM466" s="204"/>
      <c r="BN466" s="156">
        <f>IF(B466&lt;&gt;"",_xlfn.XLOOKUP(B466,'Cronog. e Histog.'!B:B,'Cronog. e Histog.'!EK:EK),0)</f>
        <v>0</v>
      </c>
      <c r="BO466" s="109">
        <f>($O466/Dashboard!$D$15)*(1+Dashboard!$D$19)</f>
        <v>12.652376033057848</v>
      </c>
      <c r="BP466" s="84">
        <f t="shared" si="619"/>
        <v>0</v>
      </c>
      <c r="BQ466" s="65"/>
      <c r="BR466" s="204"/>
      <c r="BS466" s="156">
        <f>IF(B466&lt;&gt;"",_xlfn.XLOOKUP(B466,'Cronog. e Histog.'!B:B,'Cronog. e Histog.'!EL:EL),0)</f>
        <v>0</v>
      </c>
      <c r="BT466" s="109">
        <f>($O466/Dashboard!$D$15)*(1+Dashboard!$D$20)</f>
        <v>14.761105371900824</v>
      </c>
      <c r="BU466" s="84">
        <f t="shared" si="620"/>
        <v>0</v>
      </c>
      <c r="BV466" s="65"/>
      <c r="BW466" s="204"/>
      <c r="BX466" s="156">
        <f>IF(B466&lt;&gt;"",_xlfn.XLOOKUP(B466,'Cronog. e Histog.'!B:B,'Cronog. e Histog.'!EM:EM),0)</f>
        <v>0</v>
      </c>
      <c r="BY466" s="109">
        <f>($O466/Dashboard!$D$15)*(1+Dashboard!$D$21)</f>
        <v>16.869834710743799</v>
      </c>
      <c r="BZ466" s="84">
        <f t="shared" si="621"/>
        <v>0</v>
      </c>
    </row>
    <row r="467" spans="2:78" ht="12" customHeight="1" outlineLevel="1">
      <c r="B467" s="137" t="str">
        <f>'Cronog. e Histog.'!B616</f>
        <v>EST_III - Equipe_01</v>
      </c>
      <c r="C467" s="65"/>
      <c r="D467" s="200">
        <f t="shared" si="587"/>
        <v>0</v>
      </c>
      <c r="E467" s="200">
        <f t="shared" si="588"/>
        <v>0</v>
      </c>
      <c r="F467" s="65"/>
      <c r="G467" s="200">
        <f t="shared" si="589"/>
        <v>0</v>
      </c>
      <c r="H467" s="200">
        <f t="shared" si="590"/>
        <v>0</v>
      </c>
      <c r="I467" s="65"/>
      <c r="J467" s="143" t="str">
        <f>IF('Cronog. e Histog.'!G616&gt;0,'Cronog. e Histog.'!G616,"")</f>
        <v>EST_III</v>
      </c>
      <c r="K467" s="65"/>
      <c r="L467" s="144">
        <f>'Cronog. e Histog.'!BT616</f>
        <v>0</v>
      </c>
      <c r="M467" s="144">
        <f>'Cronog. e Histog.'!BU616</f>
        <v>0</v>
      </c>
      <c r="N467" s="65"/>
      <c r="O467" s="109">
        <f>_xlfn.XLOOKUP(B467,Salários!B:B,Salários!K:K)</f>
        <v>1633</v>
      </c>
      <c r="P467" s="109">
        <f t="shared" si="605"/>
        <v>0</v>
      </c>
      <c r="Q467" s="109">
        <f t="shared" si="606"/>
        <v>0</v>
      </c>
      <c r="R467" s="65"/>
      <c r="S467" s="109">
        <f t="shared" si="607"/>
        <v>1633</v>
      </c>
      <c r="T467" s="201" t="str">
        <f>IF(_xlfn.XLOOKUP(B467,Salários!B:B,Salários!I:I)&gt;0,_xlfn.XLOOKUP(B467,Salários!B:B,Salários!I:I),"")</f>
        <v>PJ</v>
      </c>
      <c r="U467" s="117">
        <f t="shared" si="608"/>
        <v>0</v>
      </c>
      <c r="V467" s="65"/>
      <c r="W467" s="202"/>
      <c r="X467" s="65"/>
      <c r="Y467" s="69"/>
      <c r="Z467" s="65"/>
      <c r="AA467" s="518"/>
      <c r="AB467" s="65"/>
      <c r="AC467" s="81">
        <f t="shared" si="595"/>
        <v>0</v>
      </c>
      <c r="AD467" s="65"/>
      <c r="AE467" s="112"/>
      <c r="AF467" s="203">
        <v>0.3</v>
      </c>
      <c r="AG467" s="109">
        <f t="shared" si="44"/>
        <v>1633</v>
      </c>
      <c r="AH467" s="84">
        <f t="shared" si="596"/>
        <v>0</v>
      </c>
      <c r="AI467" s="65"/>
      <c r="AJ467" s="112"/>
      <c r="AK467" s="122"/>
      <c r="AL467" s="109">
        <v>1212</v>
      </c>
      <c r="AM467" s="84">
        <f t="shared" si="597"/>
        <v>0</v>
      </c>
      <c r="AN467" s="65"/>
      <c r="AO467" s="112"/>
      <c r="AP467" s="204"/>
      <c r="AQ467" s="109">
        <f>IFERROR((O467+AH467+AM467)/Dashboard!$D$15,0)*0.2</f>
        <v>1.6869834710743801</v>
      </c>
      <c r="AR467" s="84">
        <f t="shared" si="598"/>
        <v>0</v>
      </c>
      <c r="AS467" s="65"/>
      <c r="AT467" s="112"/>
      <c r="AU467" s="203">
        <v>0.33</v>
      </c>
      <c r="AV467" s="109">
        <f t="shared" si="599"/>
        <v>1633</v>
      </c>
      <c r="AW467" s="84">
        <f t="shared" si="600"/>
        <v>0</v>
      </c>
      <c r="AX467" s="65"/>
      <c r="AY467" s="112"/>
      <c r="AZ467" s="203">
        <v>0.25</v>
      </c>
      <c r="BA467" s="109">
        <f t="shared" si="50"/>
        <v>1633</v>
      </c>
      <c r="BB467" s="84">
        <f t="shared" si="601"/>
        <v>0</v>
      </c>
      <c r="BC467" s="65"/>
      <c r="BD467" s="112"/>
      <c r="BE467" s="203">
        <v>0.26</v>
      </c>
      <c r="BF467" s="109">
        <f t="shared" si="602"/>
        <v>1633</v>
      </c>
      <c r="BG467" s="84">
        <f t="shared" si="603"/>
        <v>0</v>
      </c>
      <c r="BH467" s="197"/>
      <c r="BI467" s="518"/>
      <c r="BJ467" s="65"/>
      <c r="BK467" s="81">
        <f t="shared" si="604"/>
        <v>0</v>
      </c>
      <c r="BL467" s="65"/>
      <c r="BM467" s="204"/>
      <c r="BN467" s="156">
        <f>IF(B467&lt;&gt;"",_xlfn.XLOOKUP(B467,'Cronog. e Histog.'!B:B,'Cronog. e Histog.'!EK:EK),0)</f>
        <v>0</v>
      </c>
      <c r="BO467" s="109">
        <f>($O467/Dashboard!$D$15)*(1+Dashboard!$D$19)</f>
        <v>12.652376033057848</v>
      </c>
      <c r="BP467" s="84">
        <f t="shared" si="619"/>
        <v>0</v>
      </c>
      <c r="BQ467" s="65"/>
      <c r="BR467" s="204"/>
      <c r="BS467" s="156">
        <f>IF(B467&lt;&gt;"",_xlfn.XLOOKUP(B467,'Cronog. e Histog.'!B:B,'Cronog. e Histog.'!EL:EL),0)</f>
        <v>0</v>
      </c>
      <c r="BT467" s="109">
        <f>($O467/Dashboard!$D$15)*(1+Dashboard!$D$20)</f>
        <v>14.761105371900824</v>
      </c>
      <c r="BU467" s="84">
        <f t="shared" si="620"/>
        <v>0</v>
      </c>
      <c r="BV467" s="65"/>
      <c r="BW467" s="204"/>
      <c r="BX467" s="156">
        <f>IF(B467&lt;&gt;"",_xlfn.XLOOKUP(B467,'Cronog. e Histog.'!B:B,'Cronog. e Histog.'!EM:EM),0)</f>
        <v>0</v>
      </c>
      <c r="BY467" s="109">
        <f>($O467/Dashboard!$D$15)*(1+Dashboard!$D$21)</f>
        <v>16.869834710743799</v>
      </c>
      <c r="BZ467" s="84">
        <f t="shared" si="621"/>
        <v>0</v>
      </c>
    </row>
    <row r="468" spans="2:78" ht="12" customHeight="1" outlineLevel="1"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9"/>
      <c r="Z468" s="65"/>
      <c r="AA468" s="518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  <c r="AQ468" s="65"/>
      <c r="AR468" s="65"/>
      <c r="AS468" s="65"/>
      <c r="AT468" s="65"/>
      <c r="AU468" s="65"/>
      <c r="AV468" s="65"/>
      <c r="AW468" s="65"/>
      <c r="AX468" s="65"/>
      <c r="AY468" s="65"/>
      <c r="AZ468" s="65"/>
      <c r="BA468" s="65"/>
      <c r="BB468" s="65"/>
      <c r="BC468" s="65"/>
      <c r="BD468" s="65"/>
      <c r="BE468" s="65"/>
      <c r="BF468" s="65"/>
      <c r="BG468" s="65"/>
      <c r="BH468" s="197"/>
      <c r="BI468" s="518"/>
      <c r="BJ468" s="65"/>
      <c r="BK468" s="65"/>
      <c r="BL468" s="65"/>
      <c r="BM468" s="65"/>
      <c r="BN468" s="65"/>
      <c r="BO468" s="65"/>
      <c r="BP468" s="65"/>
      <c r="BQ468" s="65"/>
      <c r="BR468" s="65"/>
      <c r="BS468" s="65"/>
      <c r="BT468" s="65"/>
      <c r="BU468" s="65"/>
      <c r="BV468" s="65"/>
      <c r="BW468" s="65"/>
      <c r="BX468" s="65"/>
      <c r="BY468" s="65"/>
      <c r="BZ468" s="65"/>
    </row>
    <row r="469" spans="2:78" ht="12" customHeight="1" outlineLevel="1">
      <c r="B469" s="65"/>
      <c r="C469" s="65"/>
      <c r="D469" s="65"/>
      <c r="E469" s="65"/>
      <c r="F469" s="65"/>
      <c r="G469" s="65"/>
      <c r="H469" s="65"/>
      <c r="I469" s="65"/>
      <c r="J469" s="199" t="str">
        <f>'Cronog. e Histog.'!F619</f>
        <v>Equipe18</v>
      </c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9"/>
      <c r="Z469" s="65"/>
      <c r="AA469" s="518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  <c r="AQ469" s="65"/>
      <c r="AR469" s="65"/>
      <c r="AS469" s="65"/>
      <c r="AT469" s="65"/>
      <c r="AU469" s="65"/>
      <c r="AV469" s="65"/>
      <c r="AW469" s="65"/>
      <c r="AX469" s="65"/>
      <c r="AY469" s="65"/>
      <c r="AZ469" s="65"/>
      <c r="BA469" s="65"/>
      <c r="BB469" s="65"/>
      <c r="BC469" s="65"/>
      <c r="BD469" s="65"/>
      <c r="BE469" s="65"/>
      <c r="BF469" s="65"/>
      <c r="BG469" s="65"/>
      <c r="BH469" s="197"/>
      <c r="BI469" s="518"/>
      <c r="BJ469" s="65"/>
      <c r="BK469" s="65"/>
      <c r="BL469" s="65"/>
      <c r="BM469" s="65"/>
      <c r="BN469" s="65"/>
      <c r="BO469" s="65"/>
      <c r="BP469" s="65"/>
      <c r="BQ469" s="65"/>
      <c r="BR469" s="65"/>
      <c r="BS469" s="65"/>
      <c r="BT469" s="65"/>
      <c r="BU469" s="65"/>
      <c r="BV469" s="65"/>
      <c r="BW469" s="65"/>
      <c r="BX469" s="65"/>
      <c r="BY469" s="65"/>
      <c r="BZ469" s="65"/>
    </row>
    <row r="470" spans="2:78" ht="12" customHeight="1" outlineLevel="1">
      <c r="B470" s="137" t="str">
        <f>'Cronog. e Histog.'!B621</f>
        <v>GER. (OBRA/PROJ) - Equipe_01</v>
      </c>
      <c r="C470" s="65"/>
      <c r="D470" s="200">
        <f t="shared" ref="D470:D489" si="622">IF(T470="mensalista",L470,0)</f>
        <v>0</v>
      </c>
      <c r="E470" s="200">
        <f t="shared" ref="E470:E489" si="623">IF(T470="mensalista",M470,0)</f>
        <v>0</v>
      </c>
      <c r="F470" s="65"/>
      <c r="G470" s="200">
        <f t="shared" ref="G470:G489" si="624">IF(T470="mensalista",L470,0)</f>
        <v>0</v>
      </c>
      <c r="H470" s="200">
        <f t="shared" ref="H470:H489" si="625">IF(T470="mensalista",M470,0)</f>
        <v>0</v>
      </c>
      <c r="I470" s="65"/>
      <c r="J470" s="143" t="str">
        <f>IF('Cronog. e Histog.'!G621&gt;0,'Cronog. e Histog.'!G621,"")</f>
        <v>GER. (OBRA/PROJ)</v>
      </c>
      <c r="K470" s="65"/>
      <c r="L470" s="144">
        <f>'Cronog. e Histog.'!BT621</f>
        <v>0</v>
      </c>
      <c r="M470" s="144">
        <f>'Cronog. e Histog.'!BU621</f>
        <v>0</v>
      </c>
      <c r="N470" s="65"/>
      <c r="O470" s="109">
        <f>_xlfn.XLOOKUP(B470,Salários!B:B,Salários!K:K)</f>
        <v>21000</v>
      </c>
      <c r="P470" s="109">
        <f t="shared" ref="P470" si="626">AC470</f>
        <v>0</v>
      </c>
      <c r="Q470" s="109">
        <f t="shared" ref="Q470" si="627">BK470</f>
        <v>0</v>
      </c>
      <c r="R470" s="65"/>
      <c r="S470" s="109">
        <f t="shared" ref="S470" si="628">SUM(O470:Q470)</f>
        <v>21000</v>
      </c>
      <c r="T470" s="201" t="str">
        <f>IF(_xlfn.XLOOKUP(B470,Salários!B:B,Salários!I:I)&gt;0,_xlfn.XLOOKUP(B470,Salários!B:B,Salários!I:I),"")</f>
        <v>PJ</v>
      </c>
      <c r="U470" s="117">
        <f t="shared" ref="U470" si="629">L470*M470*S470</f>
        <v>0</v>
      </c>
      <c r="V470" s="65"/>
      <c r="W470" s="202"/>
      <c r="X470" s="65"/>
      <c r="Y470" s="69"/>
      <c r="Z470" s="65"/>
      <c r="AA470" s="518"/>
      <c r="AB470" s="65"/>
      <c r="AC470" s="81">
        <f t="shared" ref="AC470:AC489" si="630">AH470+AM470+AR470+AW470+BB470+BG470</f>
        <v>0</v>
      </c>
      <c r="AD470" s="65"/>
      <c r="AE470" s="112"/>
      <c r="AF470" s="203">
        <v>0.3</v>
      </c>
      <c r="AG470" s="109">
        <f t="shared" si="44"/>
        <v>21000</v>
      </c>
      <c r="AH470" s="84">
        <f t="shared" ref="AH470:AH489" si="631">IF(AE470="sim",AF470*AG470,0)</f>
        <v>0</v>
      </c>
      <c r="AI470" s="65"/>
      <c r="AJ470" s="112"/>
      <c r="AK470" s="122"/>
      <c r="AL470" s="109">
        <v>1212</v>
      </c>
      <c r="AM470" s="84">
        <f t="shared" ref="AM470:AM489" si="632">IF(AJ470="sim",AK470*AL470,0)</f>
        <v>0</v>
      </c>
      <c r="AN470" s="65"/>
      <c r="AO470" s="112"/>
      <c r="AP470" s="204"/>
      <c r="AQ470" s="109">
        <f>IFERROR((O470+AH470+AM470)/Dashboard!$D$15,0)*0.2</f>
        <v>21.694214876033058</v>
      </c>
      <c r="AR470" s="84">
        <f t="shared" ref="AR470:AR489" si="633">IF(AO470="sim",AP470*AQ470,0)</f>
        <v>0</v>
      </c>
      <c r="AS470" s="65"/>
      <c r="AT470" s="112"/>
      <c r="AU470" s="203">
        <v>0.33</v>
      </c>
      <c r="AV470" s="109">
        <f t="shared" ref="AV470:AV489" si="634">$O470</f>
        <v>21000</v>
      </c>
      <c r="AW470" s="84">
        <f t="shared" ref="AW470:AW489" si="635">IF(AT470="sim",AU470*AV470,0)</f>
        <v>0</v>
      </c>
      <c r="AX470" s="65"/>
      <c r="AY470" s="112"/>
      <c r="AZ470" s="203">
        <v>0.25</v>
      </c>
      <c r="BA470" s="109">
        <f t="shared" si="50"/>
        <v>21000</v>
      </c>
      <c r="BB470" s="84">
        <f t="shared" ref="BB470:BB489" si="636">IF(AY470="sim",AZ470*BA470,0)</f>
        <v>0</v>
      </c>
      <c r="BC470" s="65"/>
      <c r="BD470" s="112"/>
      <c r="BE470" s="203">
        <v>0.26</v>
      </c>
      <c r="BF470" s="109">
        <f t="shared" ref="BF470:BF489" si="637">$O470</f>
        <v>21000</v>
      </c>
      <c r="BG470" s="84">
        <f t="shared" ref="BG470:BG489" si="638">IF(BD470="sim",BE470*BF470,0)</f>
        <v>0</v>
      </c>
      <c r="BH470" s="197"/>
      <c r="BI470" s="518"/>
      <c r="BJ470" s="65"/>
      <c r="BK470" s="81">
        <f t="shared" ref="BK470:BK489" si="639">BP470+BU470+BZ470</f>
        <v>0</v>
      </c>
      <c r="BL470" s="65"/>
      <c r="BM470" s="204"/>
      <c r="BN470" s="156">
        <f>IF(B470&lt;&gt;"",_xlfn.XLOOKUP(B470,'Cronog. e Histog.'!B:B,'Cronog. e Histog.'!EK:EK),0)</f>
        <v>0</v>
      </c>
      <c r="BO470" s="109">
        <f>($O470/Dashboard!$D$15)*(1+Dashboard!$D$19)</f>
        <v>162.7066115702479</v>
      </c>
      <c r="BP470" s="84">
        <f>SUM(BM470:BN470)*BO470</f>
        <v>0</v>
      </c>
      <c r="BQ470" s="65"/>
      <c r="BR470" s="204"/>
      <c r="BS470" s="156">
        <f>IF(B470&lt;&gt;"",_xlfn.XLOOKUP(B470,'Cronog. e Histog.'!B:B,'Cronog. e Histog.'!EL:EL),0)</f>
        <v>0</v>
      </c>
      <c r="BT470" s="109">
        <f>($O470/Dashboard!$D$15)*(1+Dashboard!$D$20)</f>
        <v>189.82438016528923</v>
      </c>
      <c r="BU470" s="84">
        <f>SUM(BR470:BS470)*BT470</f>
        <v>0</v>
      </c>
      <c r="BV470" s="65"/>
      <c r="BW470" s="204"/>
      <c r="BX470" s="156">
        <f>IF(B470&lt;&gt;"",_xlfn.XLOOKUP(B470,'Cronog. e Histog.'!B:B,'Cronog. e Histog.'!EM:EM),0)</f>
        <v>0</v>
      </c>
      <c r="BY470" s="109">
        <f>($O470/Dashboard!$D$15)*(1+Dashboard!$D$21)</f>
        <v>216.94214876033055</v>
      </c>
      <c r="BZ470" s="84">
        <f>SUM(BW470:BX470)*BY470</f>
        <v>0</v>
      </c>
    </row>
    <row r="471" spans="2:78" ht="12" customHeight="1" outlineLevel="1">
      <c r="B471" s="137" t="str">
        <f>'Cronog. e Histog.'!B622</f>
        <v>COORD. - Equipe_01</v>
      </c>
      <c r="C471" s="65"/>
      <c r="D471" s="200">
        <f t="shared" si="622"/>
        <v>0</v>
      </c>
      <c r="E471" s="200">
        <f t="shared" si="623"/>
        <v>0</v>
      </c>
      <c r="F471" s="65"/>
      <c r="G471" s="200">
        <f t="shared" si="624"/>
        <v>0</v>
      </c>
      <c r="H471" s="200">
        <f t="shared" si="625"/>
        <v>0</v>
      </c>
      <c r="I471" s="65"/>
      <c r="J471" s="143" t="str">
        <f>IF('Cronog. e Histog.'!G622&gt;0,'Cronog. e Histog.'!G622,"")</f>
        <v>COORD.</v>
      </c>
      <c r="K471" s="65"/>
      <c r="L471" s="144">
        <f>'Cronog. e Histog.'!BT622</f>
        <v>0</v>
      </c>
      <c r="M471" s="144">
        <f>'Cronog. e Histog.'!BU622</f>
        <v>0</v>
      </c>
      <c r="N471" s="65"/>
      <c r="O471" s="109">
        <f>_xlfn.XLOOKUP(B471,Salários!B:B,Salários!K:K)</f>
        <v>19000</v>
      </c>
      <c r="P471" s="109">
        <f t="shared" ref="P471:P489" si="640">AC471</f>
        <v>0</v>
      </c>
      <c r="Q471" s="109">
        <f t="shared" ref="Q471:Q489" si="641">BK471</f>
        <v>0</v>
      </c>
      <c r="R471" s="65"/>
      <c r="S471" s="109">
        <f t="shared" ref="S471:S489" si="642">SUM(O471:Q471)</f>
        <v>19000</v>
      </c>
      <c r="T471" s="201" t="str">
        <f>IF(_xlfn.XLOOKUP(B471,Salários!B:B,Salários!I:I)&gt;0,_xlfn.XLOOKUP(B471,Salários!B:B,Salários!I:I),"")</f>
        <v>PJ</v>
      </c>
      <c r="U471" s="117">
        <f t="shared" ref="U471:U489" si="643">L471*M471*S471</f>
        <v>0</v>
      </c>
      <c r="V471" s="65"/>
      <c r="W471" s="202"/>
      <c r="X471" s="65"/>
      <c r="Y471" s="69"/>
      <c r="Z471" s="65"/>
      <c r="AA471" s="518"/>
      <c r="AB471" s="65"/>
      <c r="AC471" s="81">
        <f t="shared" ref="AC471:AC480" si="644">AH471+AM471+AR471+AW471+BB471+BG471</f>
        <v>0</v>
      </c>
      <c r="AD471" s="65"/>
      <c r="AE471" s="112"/>
      <c r="AF471" s="203">
        <v>0.3</v>
      </c>
      <c r="AG471" s="109">
        <f t="shared" ref="AG471:AG480" si="645">$O471</f>
        <v>19000</v>
      </c>
      <c r="AH471" s="84">
        <f t="shared" ref="AH471:AH480" si="646">IF(AE471="sim",AF471*AG471,0)</f>
        <v>0</v>
      </c>
      <c r="AI471" s="65"/>
      <c r="AJ471" s="112"/>
      <c r="AK471" s="122"/>
      <c r="AL471" s="109">
        <v>1212</v>
      </c>
      <c r="AM471" s="84">
        <f t="shared" ref="AM471:AM480" si="647">IF(AJ471="sim",AK471*AL471,0)</f>
        <v>0</v>
      </c>
      <c r="AN471" s="65"/>
      <c r="AO471" s="112"/>
      <c r="AP471" s="204"/>
      <c r="AQ471" s="109">
        <f>IFERROR((O471+AH471+AM471)/Dashboard!$D$15,0)*0.2</f>
        <v>19.628099173553718</v>
      </c>
      <c r="AR471" s="84">
        <f t="shared" ref="AR471:AR480" si="648">IF(AO471="sim",AP471*AQ471,0)</f>
        <v>0</v>
      </c>
      <c r="AS471" s="65"/>
      <c r="AT471" s="112"/>
      <c r="AU471" s="203">
        <v>0.33</v>
      </c>
      <c r="AV471" s="109">
        <f t="shared" si="634"/>
        <v>19000</v>
      </c>
      <c r="AW471" s="84">
        <f t="shared" ref="AW471:AW480" si="649">IF(AT471="sim",AU471*AV471,0)</f>
        <v>0</v>
      </c>
      <c r="AX471" s="65"/>
      <c r="AY471" s="112"/>
      <c r="AZ471" s="203">
        <v>0.25</v>
      </c>
      <c r="BA471" s="109">
        <f t="shared" ref="BA471:BA480" si="650">$O471</f>
        <v>19000</v>
      </c>
      <c r="BB471" s="84">
        <f t="shared" ref="BB471:BB480" si="651">IF(AY471="sim",AZ471*BA471,0)</f>
        <v>0</v>
      </c>
      <c r="BC471" s="65"/>
      <c r="BD471" s="112"/>
      <c r="BE471" s="203">
        <v>0.26</v>
      </c>
      <c r="BF471" s="109">
        <f t="shared" si="637"/>
        <v>19000</v>
      </c>
      <c r="BG471" s="84">
        <f t="shared" ref="BG471:BG480" si="652">IF(BD471="sim",BE471*BF471,0)</f>
        <v>0</v>
      </c>
      <c r="BH471" s="197"/>
      <c r="BI471" s="518"/>
      <c r="BJ471" s="65"/>
      <c r="BK471" s="81">
        <f t="shared" ref="BK471:BK480" si="653">BP471+BU471+BZ471</f>
        <v>0</v>
      </c>
      <c r="BL471" s="65"/>
      <c r="BM471" s="204"/>
      <c r="BN471" s="156">
        <f>IF(B471&lt;&gt;"",_xlfn.XLOOKUP(B471,'Cronog. e Histog.'!B:B,'Cronog. e Histog.'!EK:EK),0)</f>
        <v>0</v>
      </c>
      <c r="BO471" s="109">
        <f>($O471/Dashboard!$D$15)*(1+Dashboard!$D$19)</f>
        <v>147.21074380165288</v>
      </c>
      <c r="BP471" s="84">
        <f t="shared" ref="BP471:BP489" si="654">SUM(BM471:BN471)*BO471</f>
        <v>0</v>
      </c>
      <c r="BQ471" s="65"/>
      <c r="BR471" s="204"/>
      <c r="BS471" s="156">
        <f>IF(B471&lt;&gt;"",_xlfn.XLOOKUP(B471,'Cronog. e Histog.'!B:B,'Cronog. e Histog.'!EL:EL),0)</f>
        <v>0</v>
      </c>
      <c r="BT471" s="109">
        <f>($O471/Dashboard!$D$15)*(1+Dashboard!$D$20)</f>
        <v>171.74586776859502</v>
      </c>
      <c r="BU471" s="84">
        <f t="shared" ref="BU471:BU489" si="655">SUM(BR471:BS471)*BT471</f>
        <v>0</v>
      </c>
      <c r="BV471" s="65"/>
      <c r="BW471" s="204"/>
      <c r="BX471" s="156">
        <f>IF(B471&lt;&gt;"",_xlfn.XLOOKUP(B471,'Cronog. e Histog.'!B:B,'Cronog. e Histog.'!EM:EM),0)</f>
        <v>0</v>
      </c>
      <c r="BY471" s="109">
        <f>($O471/Dashboard!$D$15)*(1+Dashboard!$D$21)</f>
        <v>196.28099173553716</v>
      </c>
      <c r="BZ471" s="84">
        <f t="shared" ref="BZ471:BZ489" si="656">SUM(BW471:BX471)*BY471</f>
        <v>0</v>
      </c>
    </row>
    <row r="472" spans="2:78" ht="12" customHeight="1" outlineLevel="1">
      <c r="B472" s="137" t="str">
        <f>'Cronog. e Histog.'!B623</f>
        <v>SUP.-ESP - Equipe_01</v>
      </c>
      <c r="C472" s="65"/>
      <c r="D472" s="200">
        <f t="shared" si="622"/>
        <v>0</v>
      </c>
      <c r="E472" s="200">
        <f t="shared" si="623"/>
        <v>0</v>
      </c>
      <c r="F472" s="65"/>
      <c r="G472" s="200">
        <f t="shared" si="624"/>
        <v>0</v>
      </c>
      <c r="H472" s="200">
        <f t="shared" si="625"/>
        <v>0</v>
      </c>
      <c r="I472" s="65"/>
      <c r="J472" s="143" t="str">
        <f>IF('Cronog. e Histog.'!G623&gt;0,'Cronog. e Histog.'!G623,"")</f>
        <v>SUP.-ESP</v>
      </c>
      <c r="K472" s="65"/>
      <c r="L472" s="144">
        <f>'Cronog. e Histog.'!BT623</f>
        <v>0</v>
      </c>
      <c r="M472" s="144">
        <f>'Cronog. e Histog.'!BU623</f>
        <v>0</v>
      </c>
      <c r="N472" s="65"/>
      <c r="O472" s="109">
        <f>_xlfn.XLOOKUP(B472,Salários!B:B,Salários!K:K)</f>
        <v>9716.67</v>
      </c>
      <c r="P472" s="109">
        <f t="shared" si="640"/>
        <v>0</v>
      </c>
      <c r="Q472" s="109">
        <f t="shared" si="641"/>
        <v>0</v>
      </c>
      <c r="R472" s="65"/>
      <c r="S472" s="109">
        <f t="shared" si="642"/>
        <v>9716.67</v>
      </c>
      <c r="T472" s="201" t="str">
        <f>IF(_xlfn.XLOOKUP(B472,Salários!B:B,Salários!I:I)&gt;0,_xlfn.XLOOKUP(B472,Salários!B:B,Salários!I:I),"")</f>
        <v>Mensalista</v>
      </c>
      <c r="U472" s="117">
        <f t="shared" si="643"/>
        <v>0</v>
      </c>
      <c r="V472" s="65"/>
      <c r="W472" s="202"/>
      <c r="X472" s="65"/>
      <c r="Y472" s="69"/>
      <c r="Z472" s="65"/>
      <c r="AA472" s="518"/>
      <c r="AB472" s="65"/>
      <c r="AC472" s="81">
        <f t="shared" si="644"/>
        <v>0</v>
      </c>
      <c r="AD472" s="65"/>
      <c r="AE472" s="112"/>
      <c r="AF472" s="203">
        <v>0.3</v>
      </c>
      <c r="AG472" s="109">
        <f t="shared" si="645"/>
        <v>9716.67</v>
      </c>
      <c r="AH472" s="84">
        <f t="shared" si="646"/>
        <v>0</v>
      </c>
      <c r="AI472" s="65"/>
      <c r="AJ472" s="112"/>
      <c r="AK472" s="122"/>
      <c r="AL472" s="109">
        <v>1212</v>
      </c>
      <c r="AM472" s="84">
        <f t="shared" si="647"/>
        <v>0</v>
      </c>
      <c r="AN472" s="65"/>
      <c r="AO472" s="112"/>
      <c r="AP472" s="204"/>
      <c r="AQ472" s="109">
        <f>IFERROR((O472+AH472+AM472)/Dashboard!$D$15,0)*0.2</f>
        <v>10.037882231404957</v>
      </c>
      <c r="AR472" s="84">
        <f t="shared" si="648"/>
        <v>0</v>
      </c>
      <c r="AS472" s="65"/>
      <c r="AT472" s="112"/>
      <c r="AU472" s="203">
        <v>0.33</v>
      </c>
      <c r="AV472" s="109">
        <f t="shared" si="634"/>
        <v>9716.67</v>
      </c>
      <c r="AW472" s="84">
        <f t="shared" si="649"/>
        <v>0</v>
      </c>
      <c r="AX472" s="65"/>
      <c r="AY472" s="112"/>
      <c r="AZ472" s="203">
        <v>0.25</v>
      </c>
      <c r="BA472" s="109">
        <f t="shared" si="650"/>
        <v>9716.67</v>
      </c>
      <c r="BB472" s="84">
        <f t="shared" si="651"/>
        <v>0</v>
      </c>
      <c r="BC472" s="65"/>
      <c r="BD472" s="112"/>
      <c r="BE472" s="203">
        <v>0.26</v>
      </c>
      <c r="BF472" s="109">
        <f t="shared" si="637"/>
        <v>9716.67</v>
      </c>
      <c r="BG472" s="84">
        <f t="shared" si="652"/>
        <v>0</v>
      </c>
      <c r="BH472" s="197"/>
      <c r="BI472" s="518"/>
      <c r="BJ472" s="65"/>
      <c r="BK472" s="81">
        <f t="shared" si="653"/>
        <v>0</v>
      </c>
      <c r="BL472" s="65"/>
      <c r="BM472" s="204"/>
      <c r="BN472" s="156">
        <f>IF(B472&lt;&gt;"",_xlfn.XLOOKUP(B472,'Cronog. e Histog.'!B:B,'Cronog. e Histog.'!EK:EK),0)</f>
        <v>0</v>
      </c>
      <c r="BO472" s="109">
        <f>($O472/Dashboard!$D$15)*(1+Dashboard!$D$19)</f>
        <v>75.284116735537182</v>
      </c>
      <c r="BP472" s="84">
        <f t="shared" si="654"/>
        <v>0</v>
      </c>
      <c r="BQ472" s="65"/>
      <c r="BR472" s="204"/>
      <c r="BS472" s="156">
        <f>IF(B472&lt;&gt;"",_xlfn.XLOOKUP(B472,'Cronog. e Histog.'!B:B,'Cronog. e Histog.'!EL:EL),0)</f>
        <v>0</v>
      </c>
      <c r="BT472" s="109">
        <f>($O472/Dashboard!$D$15)*(1+Dashboard!$D$20)</f>
        <v>87.831469524793377</v>
      </c>
      <c r="BU472" s="84">
        <f t="shared" si="655"/>
        <v>0</v>
      </c>
      <c r="BV472" s="65"/>
      <c r="BW472" s="204"/>
      <c r="BX472" s="156">
        <f>IF(B472&lt;&gt;"",_xlfn.XLOOKUP(B472,'Cronog. e Histog.'!B:B,'Cronog. e Histog.'!EM:EM),0)</f>
        <v>0</v>
      </c>
      <c r="BY472" s="109">
        <f>($O472/Dashboard!$D$15)*(1+Dashboard!$D$21)</f>
        <v>100.37882231404957</v>
      </c>
      <c r="BZ472" s="84">
        <f t="shared" si="656"/>
        <v>0</v>
      </c>
    </row>
    <row r="473" spans="2:78" ht="12" customHeight="1" outlineLevel="1">
      <c r="B473" s="137" t="str">
        <f>'Cronog. e Histog.'!B624</f>
        <v>ENG/ARQ SR. - Equipe_01</v>
      </c>
      <c r="C473" s="65"/>
      <c r="D473" s="200">
        <f t="shared" si="622"/>
        <v>0</v>
      </c>
      <c r="E473" s="200">
        <f t="shared" si="623"/>
        <v>0</v>
      </c>
      <c r="F473" s="65"/>
      <c r="G473" s="200">
        <f t="shared" si="624"/>
        <v>0</v>
      </c>
      <c r="H473" s="200">
        <f t="shared" si="625"/>
        <v>0</v>
      </c>
      <c r="I473" s="65"/>
      <c r="J473" s="143" t="str">
        <f>IF('Cronog. e Histog.'!G624&gt;0,'Cronog. e Histog.'!G624,"")</f>
        <v>ENG/ARQ SR.</v>
      </c>
      <c r="K473" s="65"/>
      <c r="L473" s="144">
        <f>'Cronog. e Histog.'!BT624</f>
        <v>0</v>
      </c>
      <c r="M473" s="144">
        <f>'Cronog. e Histog.'!BU624</f>
        <v>0</v>
      </c>
      <c r="N473" s="65"/>
      <c r="O473" s="109">
        <f>_xlfn.XLOOKUP(B473,Salários!B:B,Salários!K:K)</f>
        <v>16000</v>
      </c>
      <c r="P473" s="109">
        <f t="shared" si="640"/>
        <v>0</v>
      </c>
      <c r="Q473" s="109">
        <f t="shared" si="641"/>
        <v>0</v>
      </c>
      <c r="R473" s="65"/>
      <c r="S473" s="109">
        <f t="shared" si="642"/>
        <v>16000</v>
      </c>
      <c r="T473" s="201" t="str">
        <f>IF(_xlfn.XLOOKUP(B473,Salários!B:B,Salários!I:I)&gt;0,_xlfn.XLOOKUP(B473,Salários!B:B,Salários!I:I),"")</f>
        <v>PJ</v>
      </c>
      <c r="U473" s="117">
        <f t="shared" si="643"/>
        <v>0</v>
      </c>
      <c r="V473" s="65"/>
      <c r="W473" s="202"/>
      <c r="X473" s="65"/>
      <c r="Y473" s="69"/>
      <c r="Z473" s="65"/>
      <c r="AA473" s="518"/>
      <c r="AB473" s="65"/>
      <c r="AC473" s="81">
        <f t="shared" si="644"/>
        <v>0</v>
      </c>
      <c r="AD473" s="65"/>
      <c r="AE473" s="112"/>
      <c r="AF473" s="203">
        <v>0.3</v>
      </c>
      <c r="AG473" s="109">
        <f t="shared" si="645"/>
        <v>16000</v>
      </c>
      <c r="AH473" s="84">
        <f t="shared" si="646"/>
        <v>0</v>
      </c>
      <c r="AI473" s="65"/>
      <c r="AJ473" s="112"/>
      <c r="AK473" s="122"/>
      <c r="AL473" s="109">
        <v>1212</v>
      </c>
      <c r="AM473" s="84">
        <f t="shared" si="647"/>
        <v>0</v>
      </c>
      <c r="AN473" s="65"/>
      <c r="AO473" s="112"/>
      <c r="AP473" s="204"/>
      <c r="AQ473" s="109">
        <f>IFERROR((O473+AH473+AM473)/Dashboard!$D$15,0)*0.2</f>
        <v>16.528925619834709</v>
      </c>
      <c r="AR473" s="84">
        <f t="shared" si="648"/>
        <v>0</v>
      </c>
      <c r="AS473" s="65"/>
      <c r="AT473" s="112"/>
      <c r="AU473" s="203">
        <v>0.33</v>
      </c>
      <c r="AV473" s="109">
        <f t="shared" si="634"/>
        <v>16000</v>
      </c>
      <c r="AW473" s="84">
        <f t="shared" si="649"/>
        <v>0</v>
      </c>
      <c r="AX473" s="65"/>
      <c r="AY473" s="112"/>
      <c r="AZ473" s="203">
        <v>0.25</v>
      </c>
      <c r="BA473" s="109">
        <f t="shared" si="650"/>
        <v>16000</v>
      </c>
      <c r="BB473" s="84">
        <f t="shared" si="651"/>
        <v>0</v>
      </c>
      <c r="BC473" s="65"/>
      <c r="BD473" s="112"/>
      <c r="BE473" s="203">
        <v>0.26</v>
      </c>
      <c r="BF473" s="109">
        <f t="shared" si="637"/>
        <v>16000</v>
      </c>
      <c r="BG473" s="84">
        <f t="shared" si="652"/>
        <v>0</v>
      </c>
      <c r="BH473" s="197"/>
      <c r="BI473" s="518"/>
      <c r="BJ473" s="65"/>
      <c r="BK473" s="81">
        <f t="shared" si="653"/>
        <v>0</v>
      </c>
      <c r="BL473" s="65"/>
      <c r="BM473" s="204"/>
      <c r="BN473" s="156">
        <f>IF(B473&lt;&gt;"",_xlfn.XLOOKUP(B473,'Cronog. e Histog.'!B:B,'Cronog. e Histog.'!EK:EK),0)</f>
        <v>0</v>
      </c>
      <c r="BO473" s="109">
        <f>($O473/Dashboard!$D$15)*(1+Dashboard!$D$19)</f>
        <v>123.96694214876032</v>
      </c>
      <c r="BP473" s="84">
        <f t="shared" si="654"/>
        <v>0</v>
      </c>
      <c r="BQ473" s="65"/>
      <c r="BR473" s="204"/>
      <c r="BS473" s="156">
        <f>IF(B473&lt;&gt;"",_xlfn.XLOOKUP(B473,'Cronog. e Histog.'!B:B,'Cronog. e Histog.'!EL:EL),0)</f>
        <v>0</v>
      </c>
      <c r="BT473" s="109">
        <f>($O473/Dashboard!$D$15)*(1+Dashboard!$D$20)</f>
        <v>144.62809917355369</v>
      </c>
      <c r="BU473" s="84">
        <f t="shared" si="655"/>
        <v>0</v>
      </c>
      <c r="BV473" s="65"/>
      <c r="BW473" s="204"/>
      <c r="BX473" s="156">
        <f>IF(B473&lt;&gt;"",_xlfn.XLOOKUP(B473,'Cronog. e Histog.'!B:B,'Cronog. e Histog.'!EM:EM),0)</f>
        <v>0</v>
      </c>
      <c r="BY473" s="109">
        <f>($O473/Dashboard!$D$15)*(1+Dashboard!$D$21)</f>
        <v>165.28925619834709</v>
      </c>
      <c r="BZ473" s="84">
        <f t="shared" si="656"/>
        <v>0</v>
      </c>
    </row>
    <row r="474" spans="2:78" ht="12" customHeight="1" outlineLevel="1">
      <c r="B474" s="137" t="str">
        <f>'Cronog. e Histog.'!B625</f>
        <v>ENG/ARQ PL. - Equipe_01</v>
      </c>
      <c r="C474" s="65"/>
      <c r="D474" s="200">
        <f t="shared" si="622"/>
        <v>0</v>
      </c>
      <c r="E474" s="200">
        <f t="shared" si="623"/>
        <v>0</v>
      </c>
      <c r="F474" s="65"/>
      <c r="G474" s="200">
        <f t="shared" si="624"/>
        <v>0</v>
      </c>
      <c r="H474" s="200">
        <f t="shared" si="625"/>
        <v>0</v>
      </c>
      <c r="I474" s="65"/>
      <c r="J474" s="143" t="str">
        <f>IF('Cronog. e Histog.'!G625&gt;0,'Cronog. e Histog.'!G625,"")</f>
        <v>ENG/ARQ PL.</v>
      </c>
      <c r="K474" s="65"/>
      <c r="L474" s="144">
        <f>'Cronog. e Histog.'!BT625</f>
        <v>1.9999999999999997E-2</v>
      </c>
      <c r="M474" s="144">
        <f>'Cronog. e Histog.'!BU625</f>
        <v>10</v>
      </c>
      <c r="N474" s="65"/>
      <c r="O474" s="109">
        <f>_xlfn.XLOOKUP(B474,Salários!B:B,Salários!K:K)</f>
        <v>14000</v>
      </c>
      <c r="P474" s="109">
        <f t="shared" si="640"/>
        <v>0</v>
      </c>
      <c r="Q474" s="109">
        <f t="shared" si="641"/>
        <v>0</v>
      </c>
      <c r="R474" s="65"/>
      <c r="S474" s="109">
        <f t="shared" si="642"/>
        <v>14000</v>
      </c>
      <c r="T474" s="201" t="str">
        <f>IF(_xlfn.XLOOKUP(B474,Salários!B:B,Salários!I:I)&gt;0,_xlfn.XLOOKUP(B474,Salários!B:B,Salários!I:I),"")</f>
        <v>PJ</v>
      </c>
      <c r="U474" s="117">
        <f t="shared" si="643"/>
        <v>2799.9999999999995</v>
      </c>
      <c r="V474" s="65"/>
      <c r="W474" s="202"/>
      <c r="X474" s="65"/>
      <c r="Y474" s="69"/>
      <c r="Z474" s="65"/>
      <c r="AA474" s="518"/>
      <c r="AB474" s="65"/>
      <c r="AC474" s="81">
        <f t="shared" si="644"/>
        <v>0</v>
      </c>
      <c r="AD474" s="65"/>
      <c r="AE474" s="112"/>
      <c r="AF474" s="203">
        <v>0.3</v>
      </c>
      <c r="AG474" s="109">
        <f t="shared" si="645"/>
        <v>14000</v>
      </c>
      <c r="AH474" s="84">
        <f t="shared" si="646"/>
        <v>0</v>
      </c>
      <c r="AI474" s="65"/>
      <c r="AJ474" s="112"/>
      <c r="AK474" s="122"/>
      <c r="AL474" s="109">
        <v>1212</v>
      </c>
      <c r="AM474" s="84">
        <f t="shared" si="647"/>
        <v>0</v>
      </c>
      <c r="AN474" s="65"/>
      <c r="AO474" s="112"/>
      <c r="AP474" s="204"/>
      <c r="AQ474" s="109">
        <f>IFERROR((O474+AH474+AM474)/Dashboard!$D$15,0)*0.2</f>
        <v>14.46280991735537</v>
      </c>
      <c r="AR474" s="84">
        <f t="shared" si="648"/>
        <v>0</v>
      </c>
      <c r="AS474" s="65"/>
      <c r="AT474" s="112"/>
      <c r="AU474" s="203">
        <v>0.33</v>
      </c>
      <c r="AV474" s="109">
        <f t="shared" si="634"/>
        <v>14000</v>
      </c>
      <c r="AW474" s="84">
        <f t="shared" si="649"/>
        <v>0</v>
      </c>
      <c r="AX474" s="65"/>
      <c r="AY474" s="112"/>
      <c r="AZ474" s="203">
        <v>0.25</v>
      </c>
      <c r="BA474" s="109">
        <f t="shared" si="650"/>
        <v>14000</v>
      </c>
      <c r="BB474" s="84">
        <f t="shared" si="651"/>
        <v>0</v>
      </c>
      <c r="BC474" s="65"/>
      <c r="BD474" s="112"/>
      <c r="BE474" s="203">
        <v>0.26</v>
      </c>
      <c r="BF474" s="109">
        <f t="shared" si="637"/>
        <v>14000</v>
      </c>
      <c r="BG474" s="84">
        <f t="shared" si="652"/>
        <v>0</v>
      </c>
      <c r="BH474" s="197"/>
      <c r="BI474" s="518"/>
      <c r="BJ474" s="65"/>
      <c r="BK474" s="81">
        <f t="shared" si="653"/>
        <v>0</v>
      </c>
      <c r="BL474" s="65"/>
      <c r="BM474" s="204"/>
      <c r="BN474" s="156">
        <f>IF(B474&lt;&gt;"",_xlfn.XLOOKUP(B474,'Cronog. e Histog.'!B:B,'Cronog. e Histog.'!EK:EK),0)</f>
        <v>0</v>
      </c>
      <c r="BO474" s="109">
        <f>($O474/Dashboard!$D$15)*(1+Dashboard!$D$19)</f>
        <v>108.47107438016528</v>
      </c>
      <c r="BP474" s="84">
        <f t="shared" si="654"/>
        <v>0</v>
      </c>
      <c r="BQ474" s="65"/>
      <c r="BR474" s="204"/>
      <c r="BS474" s="156">
        <f>IF(B474&lt;&gt;"",_xlfn.XLOOKUP(B474,'Cronog. e Histog.'!B:B,'Cronog. e Histog.'!EL:EL),0)</f>
        <v>0</v>
      </c>
      <c r="BT474" s="109">
        <f>($O474/Dashboard!$D$15)*(1+Dashboard!$D$20)</f>
        <v>126.54958677685948</v>
      </c>
      <c r="BU474" s="84">
        <f t="shared" si="655"/>
        <v>0</v>
      </c>
      <c r="BV474" s="65"/>
      <c r="BW474" s="204"/>
      <c r="BX474" s="156">
        <f>IF(B474&lt;&gt;"",_xlfn.XLOOKUP(B474,'Cronog. e Histog.'!B:B,'Cronog. e Histog.'!EM:EM),0)</f>
        <v>0</v>
      </c>
      <c r="BY474" s="109">
        <f>($O474/Dashboard!$D$15)*(1+Dashboard!$D$21)</f>
        <v>144.62809917355369</v>
      </c>
      <c r="BZ474" s="84">
        <f t="shared" si="656"/>
        <v>0</v>
      </c>
    </row>
    <row r="475" spans="2:78" ht="12" customHeight="1" outlineLevel="1">
      <c r="B475" s="137" t="str">
        <f>'Cronog. e Histog.'!B626</f>
        <v>ENG/ARQ JR. - Equipe_01</v>
      </c>
      <c r="C475" s="65"/>
      <c r="D475" s="200">
        <f t="shared" si="622"/>
        <v>0</v>
      </c>
      <c r="E475" s="200">
        <f t="shared" si="623"/>
        <v>0</v>
      </c>
      <c r="F475" s="65"/>
      <c r="G475" s="200">
        <f t="shared" si="624"/>
        <v>0</v>
      </c>
      <c r="H475" s="200">
        <f t="shared" si="625"/>
        <v>0</v>
      </c>
      <c r="I475" s="65"/>
      <c r="J475" s="143" t="str">
        <f>IF('Cronog. e Histog.'!G626&gt;0,'Cronog. e Histog.'!G626,"")</f>
        <v>ENG/ARQ JR.</v>
      </c>
      <c r="K475" s="65"/>
      <c r="L475" s="144">
        <f>'Cronog. e Histog.'!BT626</f>
        <v>0</v>
      </c>
      <c r="M475" s="144">
        <f>'Cronog. e Histog.'!BU626</f>
        <v>0</v>
      </c>
      <c r="N475" s="65"/>
      <c r="O475" s="109">
        <f>_xlfn.XLOOKUP(B475,Salários!B:B,Salários!K:K)</f>
        <v>14000</v>
      </c>
      <c r="P475" s="109">
        <f t="shared" si="640"/>
        <v>0</v>
      </c>
      <c r="Q475" s="109">
        <f t="shared" si="641"/>
        <v>0</v>
      </c>
      <c r="R475" s="65"/>
      <c r="S475" s="109">
        <f t="shared" si="642"/>
        <v>14000</v>
      </c>
      <c r="T475" s="201" t="str">
        <f>IF(_xlfn.XLOOKUP(B475,Salários!B:B,Salários!I:I)&gt;0,_xlfn.XLOOKUP(B475,Salários!B:B,Salários!I:I),"")</f>
        <v>PJ</v>
      </c>
      <c r="U475" s="117">
        <f t="shared" si="643"/>
        <v>0</v>
      </c>
      <c r="V475" s="65"/>
      <c r="W475" s="202"/>
      <c r="X475" s="65"/>
      <c r="Y475" s="69"/>
      <c r="Z475" s="65"/>
      <c r="AA475" s="518"/>
      <c r="AB475" s="65"/>
      <c r="AC475" s="81">
        <f t="shared" si="644"/>
        <v>0</v>
      </c>
      <c r="AD475" s="65"/>
      <c r="AE475" s="112"/>
      <c r="AF475" s="203">
        <v>0.3</v>
      </c>
      <c r="AG475" s="109">
        <f t="shared" si="645"/>
        <v>14000</v>
      </c>
      <c r="AH475" s="84">
        <f t="shared" si="646"/>
        <v>0</v>
      </c>
      <c r="AI475" s="65"/>
      <c r="AJ475" s="112"/>
      <c r="AK475" s="122"/>
      <c r="AL475" s="109">
        <v>1212</v>
      </c>
      <c r="AM475" s="84">
        <f t="shared" si="647"/>
        <v>0</v>
      </c>
      <c r="AN475" s="65"/>
      <c r="AO475" s="112"/>
      <c r="AP475" s="204"/>
      <c r="AQ475" s="109">
        <f>IFERROR((O475+AH475+AM475)/Dashboard!$D$15,0)*0.2</f>
        <v>14.46280991735537</v>
      </c>
      <c r="AR475" s="84">
        <f t="shared" si="648"/>
        <v>0</v>
      </c>
      <c r="AS475" s="65"/>
      <c r="AT475" s="112"/>
      <c r="AU475" s="203">
        <v>0.33</v>
      </c>
      <c r="AV475" s="109">
        <f t="shared" si="634"/>
        <v>14000</v>
      </c>
      <c r="AW475" s="84">
        <f t="shared" si="649"/>
        <v>0</v>
      </c>
      <c r="AX475" s="65"/>
      <c r="AY475" s="112"/>
      <c r="AZ475" s="203">
        <v>0.25</v>
      </c>
      <c r="BA475" s="109">
        <f t="shared" si="650"/>
        <v>14000</v>
      </c>
      <c r="BB475" s="84">
        <f t="shared" si="651"/>
        <v>0</v>
      </c>
      <c r="BC475" s="65"/>
      <c r="BD475" s="112"/>
      <c r="BE475" s="203">
        <v>0.26</v>
      </c>
      <c r="BF475" s="109">
        <f t="shared" si="637"/>
        <v>14000</v>
      </c>
      <c r="BG475" s="84">
        <f t="shared" si="652"/>
        <v>0</v>
      </c>
      <c r="BH475" s="197"/>
      <c r="BI475" s="518"/>
      <c r="BJ475" s="65"/>
      <c r="BK475" s="81">
        <f t="shared" si="653"/>
        <v>0</v>
      </c>
      <c r="BL475" s="65"/>
      <c r="BM475" s="204"/>
      <c r="BN475" s="156">
        <f>IF(B475&lt;&gt;"",_xlfn.XLOOKUP(B475,'Cronog. e Histog.'!B:B,'Cronog. e Histog.'!EK:EK),0)</f>
        <v>0</v>
      </c>
      <c r="BO475" s="109">
        <f>($O475/Dashboard!$D$15)*(1+Dashboard!$D$19)</f>
        <v>108.47107438016528</v>
      </c>
      <c r="BP475" s="84">
        <f t="shared" si="654"/>
        <v>0</v>
      </c>
      <c r="BQ475" s="65"/>
      <c r="BR475" s="204"/>
      <c r="BS475" s="156">
        <f>IF(B475&lt;&gt;"",_xlfn.XLOOKUP(B475,'Cronog. e Histog.'!B:B,'Cronog. e Histog.'!EL:EL),0)</f>
        <v>0</v>
      </c>
      <c r="BT475" s="109">
        <f>($O475/Dashboard!$D$15)*(1+Dashboard!$D$20)</f>
        <v>126.54958677685948</v>
      </c>
      <c r="BU475" s="84">
        <f t="shared" si="655"/>
        <v>0</v>
      </c>
      <c r="BV475" s="65"/>
      <c r="BW475" s="204"/>
      <c r="BX475" s="156">
        <f>IF(B475&lt;&gt;"",_xlfn.XLOOKUP(B475,'Cronog. e Histog.'!B:B,'Cronog. e Histog.'!EM:EM),0)</f>
        <v>0</v>
      </c>
      <c r="BY475" s="109">
        <f>($O475/Dashboard!$D$15)*(1+Dashboard!$D$21)</f>
        <v>144.62809917355369</v>
      </c>
      <c r="BZ475" s="84">
        <f t="shared" si="656"/>
        <v>0</v>
      </c>
    </row>
    <row r="476" spans="2:78" ht="12" customHeight="1" outlineLevel="1">
      <c r="B476" s="137" t="str">
        <f>'Cronog. e Histog.'!B627</f>
        <v>AN SR. ENG/ARQ - Equipe_01</v>
      </c>
      <c r="C476" s="65"/>
      <c r="D476" s="200">
        <f t="shared" si="622"/>
        <v>0</v>
      </c>
      <c r="E476" s="200">
        <f t="shared" si="623"/>
        <v>0</v>
      </c>
      <c r="F476" s="65"/>
      <c r="G476" s="200">
        <f t="shared" si="624"/>
        <v>0</v>
      </c>
      <c r="H476" s="200">
        <f t="shared" si="625"/>
        <v>0</v>
      </c>
      <c r="I476" s="65"/>
      <c r="J476" s="143" t="str">
        <f>IF('Cronog. e Histog.'!G627&gt;0,'Cronog. e Histog.'!G627,"")</f>
        <v>AN SR. ENG/ARQ</v>
      </c>
      <c r="K476" s="65"/>
      <c r="L476" s="144">
        <f>'Cronog. e Histog.'!BT627</f>
        <v>0</v>
      </c>
      <c r="M476" s="144">
        <f>'Cronog. e Histog.'!BU627</f>
        <v>0</v>
      </c>
      <c r="N476" s="65"/>
      <c r="O476" s="109">
        <f>_xlfn.XLOOKUP(B476,Salários!B:B,Salários!K:K)</f>
        <v>7950</v>
      </c>
      <c r="P476" s="109">
        <f t="shared" si="640"/>
        <v>0</v>
      </c>
      <c r="Q476" s="109">
        <f t="shared" si="641"/>
        <v>0</v>
      </c>
      <c r="R476" s="65"/>
      <c r="S476" s="109">
        <f t="shared" si="642"/>
        <v>7950</v>
      </c>
      <c r="T476" s="201" t="str">
        <f>IF(_xlfn.XLOOKUP(B476,Salários!B:B,Salários!I:I)&gt;0,_xlfn.XLOOKUP(B476,Salários!B:B,Salários!I:I),"")</f>
        <v>Mensalista</v>
      </c>
      <c r="U476" s="117">
        <f t="shared" si="643"/>
        <v>0</v>
      </c>
      <c r="V476" s="65"/>
      <c r="W476" s="202"/>
      <c r="X476" s="65"/>
      <c r="Y476" s="69"/>
      <c r="Z476" s="65"/>
      <c r="AA476" s="518"/>
      <c r="AB476" s="65"/>
      <c r="AC476" s="81">
        <f t="shared" si="644"/>
        <v>0</v>
      </c>
      <c r="AD476" s="65"/>
      <c r="AE476" s="112"/>
      <c r="AF476" s="203">
        <v>0.3</v>
      </c>
      <c r="AG476" s="109">
        <f t="shared" si="645"/>
        <v>7950</v>
      </c>
      <c r="AH476" s="84">
        <f t="shared" si="646"/>
        <v>0</v>
      </c>
      <c r="AI476" s="65"/>
      <c r="AJ476" s="112"/>
      <c r="AK476" s="122"/>
      <c r="AL476" s="109">
        <v>1212</v>
      </c>
      <c r="AM476" s="84">
        <f t="shared" si="647"/>
        <v>0</v>
      </c>
      <c r="AN476" s="65"/>
      <c r="AO476" s="112"/>
      <c r="AP476" s="204"/>
      <c r="AQ476" s="109">
        <f>IFERROR((O476+AH476+AM476)/Dashboard!$D$15,0)*0.2</f>
        <v>8.2128099173553704</v>
      </c>
      <c r="AR476" s="84">
        <f t="shared" si="648"/>
        <v>0</v>
      </c>
      <c r="AS476" s="65"/>
      <c r="AT476" s="112"/>
      <c r="AU476" s="203">
        <v>0.33</v>
      </c>
      <c r="AV476" s="109">
        <f t="shared" si="634"/>
        <v>7950</v>
      </c>
      <c r="AW476" s="84">
        <f t="shared" si="649"/>
        <v>0</v>
      </c>
      <c r="AX476" s="65"/>
      <c r="AY476" s="112"/>
      <c r="AZ476" s="203">
        <v>0.25</v>
      </c>
      <c r="BA476" s="109">
        <f t="shared" si="650"/>
        <v>7950</v>
      </c>
      <c r="BB476" s="84">
        <f t="shared" si="651"/>
        <v>0</v>
      </c>
      <c r="BC476" s="65"/>
      <c r="BD476" s="112"/>
      <c r="BE476" s="203">
        <v>0.26</v>
      </c>
      <c r="BF476" s="109">
        <f t="shared" si="637"/>
        <v>7950</v>
      </c>
      <c r="BG476" s="84">
        <f t="shared" si="652"/>
        <v>0</v>
      </c>
      <c r="BH476" s="197"/>
      <c r="BI476" s="518"/>
      <c r="BJ476" s="65"/>
      <c r="BK476" s="81">
        <f t="shared" si="653"/>
        <v>0</v>
      </c>
      <c r="BL476" s="65"/>
      <c r="BM476" s="204"/>
      <c r="BN476" s="156">
        <f>IF(B476&lt;&gt;"",_xlfn.XLOOKUP(B476,'Cronog. e Histog.'!B:B,'Cronog. e Histog.'!EK:EK),0)</f>
        <v>0</v>
      </c>
      <c r="BO476" s="109">
        <f>($O476/Dashboard!$D$15)*(1+Dashboard!$D$19)</f>
        <v>61.596074380165277</v>
      </c>
      <c r="BP476" s="84">
        <f t="shared" si="654"/>
        <v>0</v>
      </c>
      <c r="BQ476" s="65"/>
      <c r="BR476" s="204"/>
      <c r="BS476" s="156">
        <f>IF(B476&lt;&gt;"",_xlfn.XLOOKUP(B476,'Cronog. e Histog.'!B:B,'Cronog. e Histog.'!EL:EL),0)</f>
        <v>0</v>
      </c>
      <c r="BT476" s="109">
        <f>($O476/Dashboard!$D$15)*(1+Dashboard!$D$20)</f>
        <v>71.862086776859499</v>
      </c>
      <c r="BU476" s="84">
        <f t="shared" si="655"/>
        <v>0</v>
      </c>
      <c r="BV476" s="65"/>
      <c r="BW476" s="204"/>
      <c r="BX476" s="156">
        <f>IF(B476&lt;&gt;"",_xlfn.XLOOKUP(B476,'Cronog. e Histog.'!B:B,'Cronog. e Histog.'!EM:EM),0)</f>
        <v>0</v>
      </c>
      <c r="BY476" s="109">
        <f>($O476/Dashboard!$D$15)*(1+Dashboard!$D$21)</f>
        <v>82.128099173553707</v>
      </c>
      <c r="BZ476" s="84">
        <f t="shared" si="656"/>
        <v>0</v>
      </c>
    </row>
    <row r="477" spans="2:78" ht="12" customHeight="1" outlineLevel="1">
      <c r="B477" s="137" t="str">
        <f>'Cronog. e Histog.'!B628</f>
        <v>AN PL. ENG/ARQ - Equipe_01</v>
      </c>
      <c r="C477" s="65"/>
      <c r="D477" s="200">
        <f t="shared" si="622"/>
        <v>0</v>
      </c>
      <c r="E477" s="200">
        <f t="shared" si="623"/>
        <v>0</v>
      </c>
      <c r="F477" s="65"/>
      <c r="G477" s="200">
        <f t="shared" si="624"/>
        <v>0</v>
      </c>
      <c r="H477" s="200">
        <f t="shared" si="625"/>
        <v>0</v>
      </c>
      <c r="I477" s="65"/>
      <c r="J477" s="143" t="str">
        <f>IF('Cronog. e Histog.'!G628&gt;0,'Cronog. e Histog.'!G628,"")</f>
        <v>AN PL. ENG/ARQ</v>
      </c>
      <c r="K477" s="65"/>
      <c r="L477" s="144">
        <f>'Cronog. e Histog.'!BT628</f>
        <v>0</v>
      </c>
      <c r="M477" s="144">
        <f>'Cronog. e Histog.'!BU628</f>
        <v>0</v>
      </c>
      <c r="N477" s="65"/>
      <c r="O477" s="109">
        <f>_xlfn.XLOOKUP(B477,Salários!B:B,Salários!K:K)</f>
        <v>6360</v>
      </c>
      <c r="P477" s="109">
        <f t="shared" si="640"/>
        <v>0</v>
      </c>
      <c r="Q477" s="109">
        <f t="shared" si="641"/>
        <v>0</v>
      </c>
      <c r="R477" s="65"/>
      <c r="S477" s="109">
        <f t="shared" si="642"/>
        <v>6360</v>
      </c>
      <c r="T477" s="201" t="str">
        <f>IF(_xlfn.XLOOKUP(B477,Salários!B:B,Salários!I:I)&gt;0,_xlfn.XLOOKUP(B477,Salários!B:B,Salários!I:I),"")</f>
        <v>Mensalista</v>
      </c>
      <c r="U477" s="117">
        <f t="shared" si="643"/>
        <v>0</v>
      </c>
      <c r="V477" s="65"/>
      <c r="W477" s="202"/>
      <c r="X477" s="65"/>
      <c r="Y477" s="69"/>
      <c r="Z477" s="65"/>
      <c r="AA477" s="518"/>
      <c r="AB477" s="65"/>
      <c r="AC477" s="81">
        <f t="shared" si="644"/>
        <v>0</v>
      </c>
      <c r="AD477" s="65"/>
      <c r="AE477" s="112"/>
      <c r="AF477" s="203">
        <v>0.3</v>
      </c>
      <c r="AG477" s="109">
        <f t="shared" si="645"/>
        <v>6360</v>
      </c>
      <c r="AH477" s="84">
        <f t="shared" si="646"/>
        <v>0</v>
      </c>
      <c r="AI477" s="65"/>
      <c r="AJ477" s="112"/>
      <c r="AK477" s="122"/>
      <c r="AL477" s="109">
        <v>1212</v>
      </c>
      <c r="AM477" s="84">
        <f t="shared" si="647"/>
        <v>0</v>
      </c>
      <c r="AN477" s="65"/>
      <c r="AO477" s="112"/>
      <c r="AP477" s="204"/>
      <c r="AQ477" s="109">
        <f>IFERROR((O477+AH477+AM477)/Dashboard!$D$15,0)*0.2</f>
        <v>6.5702479338842963</v>
      </c>
      <c r="AR477" s="84">
        <f t="shared" si="648"/>
        <v>0</v>
      </c>
      <c r="AS477" s="65"/>
      <c r="AT477" s="112"/>
      <c r="AU477" s="203">
        <v>0.33</v>
      </c>
      <c r="AV477" s="109">
        <f t="shared" si="634"/>
        <v>6360</v>
      </c>
      <c r="AW477" s="84">
        <f t="shared" si="649"/>
        <v>0</v>
      </c>
      <c r="AX477" s="65"/>
      <c r="AY477" s="112"/>
      <c r="AZ477" s="203">
        <v>0.25</v>
      </c>
      <c r="BA477" s="109">
        <f t="shared" si="650"/>
        <v>6360</v>
      </c>
      <c r="BB477" s="84">
        <f t="shared" si="651"/>
        <v>0</v>
      </c>
      <c r="BC477" s="65"/>
      <c r="BD477" s="112"/>
      <c r="BE477" s="203">
        <v>0.26</v>
      </c>
      <c r="BF477" s="109">
        <f t="shared" si="637"/>
        <v>6360</v>
      </c>
      <c r="BG477" s="84">
        <f t="shared" si="652"/>
        <v>0</v>
      </c>
      <c r="BH477" s="197"/>
      <c r="BI477" s="518"/>
      <c r="BJ477" s="65"/>
      <c r="BK477" s="81">
        <f t="shared" si="653"/>
        <v>0</v>
      </c>
      <c r="BL477" s="65"/>
      <c r="BM477" s="204"/>
      <c r="BN477" s="156">
        <f>IF(B477&lt;&gt;"",_xlfn.XLOOKUP(B477,'Cronog. e Histog.'!B:B,'Cronog. e Histog.'!EK:EK),0)</f>
        <v>0</v>
      </c>
      <c r="BO477" s="109">
        <f>($O477/Dashboard!$D$15)*(1+Dashboard!$D$19)</f>
        <v>49.276859504132219</v>
      </c>
      <c r="BP477" s="84">
        <f t="shared" si="654"/>
        <v>0</v>
      </c>
      <c r="BQ477" s="65"/>
      <c r="BR477" s="204"/>
      <c r="BS477" s="156">
        <f>IF(B477&lt;&gt;"",_xlfn.XLOOKUP(B477,'Cronog. e Histog.'!B:B,'Cronog. e Histog.'!EL:EL),0)</f>
        <v>0</v>
      </c>
      <c r="BT477" s="109">
        <f>($O477/Dashboard!$D$15)*(1+Dashboard!$D$20)</f>
        <v>57.489669421487591</v>
      </c>
      <c r="BU477" s="84">
        <f t="shared" si="655"/>
        <v>0</v>
      </c>
      <c r="BV477" s="65"/>
      <c r="BW477" s="204"/>
      <c r="BX477" s="156">
        <f>IF(B477&lt;&gt;"",_xlfn.XLOOKUP(B477,'Cronog. e Histog.'!B:B,'Cronog. e Histog.'!EM:EM),0)</f>
        <v>0</v>
      </c>
      <c r="BY477" s="109">
        <f>($O477/Dashboard!$D$15)*(1+Dashboard!$D$21)</f>
        <v>65.702479338842963</v>
      </c>
      <c r="BZ477" s="84">
        <f t="shared" si="656"/>
        <v>0</v>
      </c>
    </row>
    <row r="478" spans="2:78" ht="12" customHeight="1" outlineLevel="1">
      <c r="B478" s="137" t="str">
        <f>'Cronog. e Histog.'!B629</f>
        <v>AN JR. ENG/ARQ - Equipe_01</v>
      </c>
      <c r="C478" s="65"/>
      <c r="D478" s="200">
        <f t="shared" si="622"/>
        <v>0</v>
      </c>
      <c r="E478" s="200">
        <f t="shared" si="623"/>
        <v>0</v>
      </c>
      <c r="F478" s="65"/>
      <c r="G478" s="200">
        <f t="shared" si="624"/>
        <v>0</v>
      </c>
      <c r="H478" s="200">
        <f t="shared" si="625"/>
        <v>0</v>
      </c>
      <c r="I478" s="65"/>
      <c r="J478" s="143" t="str">
        <f>IF('Cronog. e Histog.'!G629&gt;0,'Cronog. e Histog.'!G629,"")</f>
        <v>AN JR. ENG/ARQ</v>
      </c>
      <c r="K478" s="65"/>
      <c r="L478" s="144">
        <f>'Cronog. e Histog.'!BT629</f>
        <v>0</v>
      </c>
      <c r="M478" s="144">
        <f>'Cronog. e Histog.'!BU629</f>
        <v>0</v>
      </c>
      <c r="N478" s="65"/>
      <c r="O478" s="109">
        <f>_xlfn.XLOOKUP(B478,Salários!B:B,Salários!K:K)</f>
        <v>4770</v>
      </c>
      <c r="P478" s="109">
        <f t="shared" si="640"/>
        <v>0</v>
      </c>
      <c r="Q478" s="109">
        <f t="shared" si="641"/>
        <v>0</v>
      </c>
      <c r="R478" s="65"/>
      <c r="S478" s="109">
        <f t="shared" si="642"/>
        <v>4770</v>
      </c>
      <c r="T478" s="201" t="str">
        <f>IF(_xlfn.XLOOKUP(B478,Salários!B:B,Salários!I:I)&gt;0,_xlfn.XLOOKUP(B478,Salários!B:B,Salários!I:I),"")</f>
        <v>Mensalista</v>
      </c>
      <c r="U478" s="117">
        <f t="shared" si="643"/>
        <v>0</v>
      </c>
      <c r="V478" s="65"/>
      <c r="W478" s="202"/>
      <c r="X478" s="65"/>
      <c r="Y478" s="69"/>
      <c r="Z478" s="65"/>
      <c r="AA478" s="518"/>
      <c r="AB478" s="65"/>
      <c r="AC478" s="81">
        <f t="shared" si="644"/>
        <v>0</v>
      </c>
      <c r="AD478" s="65"/>
      <c r="AE478" s="112"/>
      <c r="AF478" s="203">
        <v>0.3</v>
      </c>
      <c r="AG478" s="109">
        <f t="shared" si="645"/>
        <v>4770</v>
      </c>
      <c r="AH478" s="84">
        <f t="shared" si="646"/>
        <v>0</v>
      </c>
      <c r="AI478" s="65"/>
      <c r="AJ478" s="112"/>
      <c r="AK478" s="122"/>
      <c r="AL478" s="109">
        <v>1212</v>
      </c>
      <c r="AM478" s="84">
        <f t="shared" si="647"/>
        <v>0</v>
      </c>
      <c r="AN478" s="65"/>
      <c r="AO478" s="112"/>
      <c r="AP478" s="204"/>
      <c r="AQ478" s="109">
        <f>IFERROR((O478+AH478+AM478)/Dashboard!$D$15,0)*0.2</f>
        <v>4.9276859504132231</v>
      </c>
      <c r="AR478" s="84">
        <f t="shared" si="648"/>
        <v>0</v>
      </c>
      <c r="AS478" s="65"/>
      <c r="AT478" s="112"/>
      <c r="AU478" s="203">
        <v>0.33</v>
      </c>
      <c r="AV478" s="109">
        <f t="shared" si="634"/>
        <v>4770</v>
      </c>
      <c r="AW478" s="84">
        <f t="shared" si="649"/>
        <v>0</v>
      </c>
      <c r="AX478" s="65"/>
      <c r="AY478" s="112"/>
      <c r="AZ478" s="203">
        <v>0.25</v>
      </c>
      <c r="BA478" s="109">
        <f t="shared" si="650"/>
        <v>4770</v>
      </c>
      <c r="BB478" s="84">
        <f t="shared" si="651"/>
        <v>0</v>
      </c>
      <c r="BC478" s="65"/>
      <c r="BD478" s="112"/>
      <c r="BE478" s="203">
        <v>0.26</v>
      </c>
      <c r="BF478" s="109">
        <f t="shared" si="637"/>
        <v>4770</v>
      </c>
      <c r="BG478" s="84">
        <f t="shared" si="652"/>
        <v>0</v>
      </c>
      <c r="BH478" s="197"/>
      <c r="BI478" s="518"/>
      <c r="BJ478" s="65"/>
      <c r="BK478" s="81">
        <f t="shared" si="653"/>
        <v>0</v>
      </c>
      <c r="BL478" s="65"/>
      <c r="BM478" s="204"/>
      <c r="BN478" s="156">
        <f>IF(B478&lt;&gt;"",_xlfn.XLOOKUP(B478,'Cronog. e Histog.'!B:B,'Cronog. e Histog.'!EK:EK),0)</f>
        <v>0</v>
      </c>
      <c r="BO478" s="109">
        <f>($O478/Dashboard!$D$15)*(1+Dashboard!$D$19)</f>
        <v>36.957644628099168</v>
      </c>
      <c r="BP478" s="84">
        <f t="shared" si="654"/>
        <v>0</v>
      </c>
      <c r="BQ478" s="65"/>
      <c r="BR478" s="204"/>
      <c r="BS478" s="156">
        <f>IF(B478&lt;&gt;"",_xlfn.XLOOKUP(B478,'Cronog. e Histog.'!B:B,'Cronog. e Histog.'!EL:EL),0)</f>
        <v>0</v>
      </c>
      <c r="BT478" s="109">
        <f>($O478/Dashboard!$D$15)*(1+Dashboard!$D$20)</f>
        <v>43.117252066115697</v>
      </c>
      <c r="BU478" s="84">
        <f t="shared" si="655"/>
        <v>0</v>
      </c>
      <c r="BV478" s="65"/>
      <c r="BW478" s="204"/>
      <c r="BX478" s="156">
        <f>IF(B478&lt;&gt;"",_xlfn.XLOOKUP(B478,'Cronog. e Histog.'!B:B,'Cronog. e Histog.'!EM:EM),0)</f>
        <v>0</v>
      </c>
      <c r="BY478" s="109">
        <f>($O478/Dashboard!$D$15)*(1+Dashboard!$D$21)</f>
        <v>49.276859504132226</v>
      </c>
      <c r="BZ478" s="84">
        <f t="shared" si="656"/>
        <v>0</v>
      </c>
    </row>
    <row r="479" spans="2:78" ht="12" customHeight="1" outlineLevel="1">
      <c r="B479" s="137" t="str">
        <f>'Cronog. e Histog.'!B630</f>
        <v>AN SR. ADM/CRP - Equipe_01</v>
      </c>
      <c r="C479" s="65"/>
      <c r="D479" s="200">
        <f t="shared" si="622"/>
        <v>0</v>
      </c>
      <c r="E479" s="200">
        <f t="shared" si="623"/>
        <v>0</v>
      </c>
      <c r="F479" s="65"/>
      <c r="G479" s="200">
        <f t="shared" si="624"/>
        <v>0</v>
      </c>
      <c r="H479" s="200">
        <f t="shared" si="625"/>
        <v>0</v>
      </c>
      <c r="I479" s="65"/>
      <c r="J479" s="143" t="str">
        <f>IF('Cronog. e Histog.'!G630&gt;0,'Cronog. e Histog.'!G630,"")</f>
        <v>AN SR. ADM/CRP</v>
      </c>
      <c r="K479" s="65"/>
      <c r="L479" s="144">
        <f>'Cronog. e Histog.'!BT630</f>
        <v>0</v>
      </c>
      <c r="M479" s="144">
        <f>'Cronog. e Histog.'!BU630</f>
        <v>0</v>
      </c>
      <c r="N479" s="65"/>
      <c r="O479" s="109">
        <f>_xlfn.XLOOKUP(B479,Salários!B:B,Salários!K:K)</f>
        <v>7420</v>
      </c>
      <c r="P479" s="109">
        <f t="shared" si="640"/>
        <v>0</v>
      </c>
      <c r="Q479" s="109">
        <f t="shared" si="641"/>
        <v>0</v>
      </c>
      <c r="R479" s="65"/>
      <c r="S479" s="109">
        <f t="shared" si="642"/>
        <v>7420</v>
      </c>
      <c r="T479" s="201" t="str">
        <f>IF(_xlfn.XLOOKUP(B479,Salários!B:B,Salários!I:I)&gt;0,_xlfn.XLOOKUP(B479,Salários!B:B,Salários!I:I),"")</f>
        <v>Mensalista</v>
      </c>
      <c r="U479" s="117">
        <f t="shared" si="643"/>
        <v>0</v>
      </c>
      <c r="V479" s="65"/>
      <c r="W479" s="202"/>
      <c r="X479" s="65"/>
      <c r="Y479" s="69"/>
      <c r="Z479" s="65"/>
      <c r="AA479" s="518"/>
      <c r="AB479" s="65"/>
      <c r="AC479" s="81">
        <f t="shared" si="644"/>
        <v>0</v>
      </c>
      <c r="AD479" s="65"/>
      <c r="AE479" s="112"/>
      <c r="AF479" s="203">
        <v>0.3</v>
      </c>
      <c r="AG479" s="109">
        <f t="shared" si="645"/>
        <v>7420</v>
      </c>
      <c r="AH479" s="84">
        <f t="shared" si="646"/>
        <v>0</v>
      </c>
      <c r="AI479" s="65"/>
      <c r="AJ479" s="112"/>
      <c r="AK479" s="122"/>
      <c r="AL479" s="109">
        <v>1212</v>
      </c>
      <c r="AM479" s="84">
        <f t="shared" si="647"/>
        <v>0</v>
      </c>
      <c r="AN479" s="65"/>
      <c r="AO479" s="112"/>
      <c r="AP479" s="204"/>
      <c r="AQ479" s="109">
        <f>IFERROR((O479+AH479+AM479)/Dashboard!$D$15,0)*0.2</f>
        <v>7.6652892561983466</v>
      </c>
      <c r="AR479" s="84">
        <f t="shared" si="648"/>
        <v>0</v>
      </c>
      <c r="AS479" s="65"/>
      <c r="AT479" s="112"/>
      <c r="AU479" s="203">
        <v>0.33</v>
      </c>
      <c r="AV479" s="109">
        <f t="shared" si="634"/>
        <v>7420</v>
      </c>
      <c r="AW479" s="84">
        <f t="shared" si="649"/>
        <v>0</v>
      </c>
      <c r="AX479" s="65"/>
      <c r="AY479" s="112"/>
      <c r="AZ479" s="203">
        <v>0.25</v>
      </c>
      <c r="BA479" s="109">
        <f t="shared" si="650"/>
        <v>7420</v>
      </c>
      <c r="BB479" s="84">
        <f t="shared" si="651"/>
        <v>0</v>
      </c>
      <c r="BC479" s="65"/>
      <c r="BD479" s="112"/>
      <c r="BE479" s="203">
        <v>0.26</v>
      </c>
      <c r="BF479" s="109">
        <f t="shared" si="637"/>
        <v>7420</v>
      </c>
      <c r="BG479" s="84">
        <f t="shared" si="652"/>
        <v>0</v>
      </c>
      <c r="BH479" s="197"/>
      <c r="BI479" s="518"/>
      <c r="BJ479" s="65"/>
      <c r="BK479" s="81">
        <f t="shared" si="653"/>
        <v>0</v>
      </c>
      <c r="BL479" s="65"/>
      <c r="BM479" s="204"/>
      <c r="BN479" s="156">
        <f>IF(B479&lt;&gt;"",_xlfn.XLOOKUP(B479,'Cronog. e Histog.'!B:B,'Cronog. e Histog.'!EK:EK),0)</f>
        <v>0</v>
      </c>
      <c r="BO479" s="109">
        <f>($O479/Dashboard!$D$15)*(1+Dashboard!$D$19)</f>
        <v>57.489669421487598</v>
      </c>
      <c r="BP479" s="84">
        <f t="shared" si="654"/>
        <v>0</v>
      </c>
      <c r="BQ479" s="65"/>
      <c r="BR479" s="204"/>
      <c r="BS479" s="156">
        <f>IF(B479&lt;&gt;"",_xlfn.XLOOKUP(B479,'Cronog. e Histog.'!B:B,'Cronog. e Histog.'!EL:EL),0)</f>
        <v>0</v>
      </c>
      <c r="BT479" s="109">
        <f>($O479/Dashboard!$D$15)*(1+Dashboard!$D$20)</f>
        <v>67.071280991735534</v>
      </c>
      <c r="BU479" s="84">
        <f t="shared" si="655"/>
        <v>0</v>
      </c>
      <c r="BV479" s="65"/>
      <c r="BW479" s="204"/>
      <c r="BX479" s="156">
        <f>IF(B479&lt;&gt;"",_xlfn.XLOOKUP(B479,'Cronog. e Histog.'!B:B,'Cronog. e Histog.'!EM:EM),0)</f>
        <v>0</v>
      </c>
      <c r="BY479" s="109">
        <f>($O479/Dashboard!$D$15)*(1+Dashboard!$D$21)</f>
        <v>76.652892561983464</v>
      </c>
      <c r="BZ479" s="84">
        <f t="shared" si="656"/>
        <v>0</v>
      </c>
    </row>
    <row r="480" spans="2:78" ht="12" customHeight="1" outlineLevel="1">
      <c r="B480" s="137" t="str">
        <f>'Cronog. e Histog.'!B631</f>
        <v>AN PL. ADM/CRP - Equipe_01</v>
      </c>
      <c r="C480" s="65"/>
      <c r="D480" s="200">
        <f t="shared" si="622"/>
        <v>0</v>
      </c>
      <c r="E480" s="200">
        <f t="shared" si="623"/>
        <v>0</v>
      </c>
      <c r="F480" s="65"/>
      <c r="G480" s="200">
        <f t="shared" si="624"/>
        <v>0</v>
      </c>
      <c r="H480" s="200">
        <f t="shared" si="625"/>
        <v>0</v>
      </c>
      <c r="I480" s="65"/>
      <c r="J480" s="143" t="str">
        <f>IF('Cronog. e Histog.'!G631&gt;0,'Cronog. e Histog.'!G631,"")</f>
        <v>AN PL. ADM/CRP</v>
      </c>
      <c r="K480" s="65"/>
      <c r="L480" s="144">
        <f>'Cronog. e Histog.'!BT631</f>
        <v>0</v>
      </c>
      <c r="M480" s="144">
        <f>'Cronog. e Histog.'!BU631</f>
        <v>0</v>
      </c>
      <c r="N480" s="65"/>
      <c r="O480" s="109">
        <f>_xlfn.XLOOKUP(B480,Salários!B:B,Salários!K:K)</f>
        <v>5300</v>
      </c>
      <c r="P480" s="109">
        <f t="shared" si="640"/>
        <v>0</v>
      </c>
      <c r="Q480" s="109">
        <f t="shared" si="641"/>
        <v>0</v>
      </c>
      <c r="R480" s="65"/>
      <c r="S480" s="109">
        <f t="shared" si="642"/>
        <v>5300</v>
      </c>
      <c r="T480" s="201" t="str">
        <f>IF(_xlfn.XLOOKUP(B480,Salários!B:B,Salários!I:I)&gt;0,_xlfn.XLOOKUP(B480,Salários!B:B,Salários!I:I),"")</f>
        <v>Mensalista</v>
      </c>
      <c r="U480" s="117">
        <f t="shared" si="643"/>
        <v>0</v>
      </c>
      <c r="V480" s="65"/>
      <c r="W480" s="202"/>
      <c r="X480" s="65"/>
      <c r="Y480" s="69"/>
      <c r="Z480" s="65"/>
      <c r="AA480" s="518"/>
      <c r="AB480" s="65"/>
      <c r="AC480" s="81">
        <f t="shared" si="644"/>
        <v>0</v>
      </c>
      <c r="AD480" s="65"/>
      <c r="AE480" s="112"/>
      <c r="AF480" s="203">
        <v>0.3</v>
      </c>
      <c r="AG480" s="109">
        <f t="shared" si="645"/>
        <v>5300</v>
      </c>
      <c r="AH480" s="84">
        <f t="shared" si="646"/>
        <v>0</v>
      </c>
      <c r="AI480" s="65"/>
      <c r="AJ480" s="112"/>
      <c r="AK480" s="122"/>
      <c r="AL480" s="109">
        <v>1212</v>
      </c>
      <c r="AM480" s="84">
        <f t="shared" si="647"/>
        <v>0</v>
      </c>
      <c r="AN480" s="65"/>
      <c r="AO480" s="112"/>
      <c r="AP480" s="204"/>
      <c r="AQ480" s="109">
        <f>IFERROR((O480+AH480+AM480)/Dashboard!$D$15,0)*0.2</f>
        <v>5.4752066115702478</v>
      </c>
      <c r="AR480" s="84">
        <f t="shared" si="648"/>
        <v>0</v>
      </c>
      <c r="AS480" s="65"/>
      <c r="AT480" s="112"/>
      <c r="AU480" s="203">
        <v>0.33</v>
      </c>
      <c r="AV480" s="109">
        <f t="shared" si="634"/>
        <v>5300</v>
      </c>
      <c r="AW480" s="84">
        <f t="shared" si="649"/>
        <v>0</v>
      </c>
      <c r="AX480" s="65"/>
      <c r="AY480" s="112"/>
      <c r="AZ480" s="203">
        <v>0.25</v>
      </c>
      <c r="BA480" s="109">
        <f t="shared" si="650"/>
        <v>5300</v>
      </c>
      <c r="BB480" s="84">
        <f t="shared" si="651"/>
        <v>0</v>
      </c>
      <c r="BC480" s="65"/>
      <c r="BD480" s="112"/>
      <c r="BE480" s="203">
        <v>0.26</v>
      </c>
      <c r="BF480" s="109">
        <f t="shared" si="637"/>
        <v>5300</v>
      </c>
      <c r="BG480" s="84">
        <f t="shared" si="652"/>
        <v>0</v>
      </c>
      <c r="BH480" s="197"/>
      <c r="BI480" s="518"/>
      <c r="BJ480" s="65"/>
      <c r="BK480" s="81">
        <f t="shared" si="653"/>
        <v>0</v>
      </c>
      <c r="BL480" s="65"/>
      <c r="BM480" s="204"/>
      <c r="BN480" s="156">
        <f>IF(B480&lt;&gt;"",_xlfn.XLOOKUP(B480,'Cronog. e Histog.'!B:B,'Cronog. e Histog.'!EK:EK),0)</f>
        <v>0</v>
      </c>
      <c r="BO480" s="109">
        <f>($O480/Dashboard!$D$15)*(1+Dashboard!$D$19)</f>
        <v>41.064049586776861</v>
      </c>
      <c r="BP480" s="84">
        <f t="shared" si="654"/>
        <v>0</v>
      </c>
      <c r="BQ480" s="65"/>
      <c r="BR480" s="204"/>
      <c r="BS480" s="156">
        <f>IF(B480&lt;&gt;"",_xlfn.XLOOKUP(B480,'Cronog. e Histog.'!B:B,'Cronog. e Histog.'!EL:EL),0)</f>
        <v>0</v>
      </c>
      <c r="BT480" s="109">
        <f>($O480/Dashboard!$D$15)*(1+Dashboard!$D$20)</f>
        <v>47.908057851239668</v>
      </c>
      <c r="BU480" s="84">
        <f t="shared" si="655"/>
        <v>0</v>
      </c>
      <c r="BV480" s="65"/>
      <c r="BW480" s="204"/>
      <c r="BX480" s="156">
        <f>IF(B480&lt;&gt;"",_xlfn.XLOOKUP(B480,'Cronog. e Histog.'!B:B,'Cronog. e Histog.'!EM:EM),0)</f>
        <v>0</v>
      </c>
      <c r="BY480" s="109">
        <f>($O480/Dashboard!$D$15)*(1+Dashboard!$D$21)</f>
        <v>54.752066115702476</v>
      </c>
      <c r="BZ480" s="84">
        <f t="shared" si="656"/>
        <v>0</v>
      </c>
    </row>
    <row r="481" spans="2:78" ht="12" customHeight="1" outlineLevel="1">
      <c r="B481" s="137" t="str">
        <f>'Cronog. e Histog.'!B632</f>
        <v>AN JR. ADM/CRP - Equipe_01</v>
      </c>
      <c r="C481" s="65"/>
      <c r="D481" s="200">
        <f t="shared" si="622"/>
        <v>0</v>
      </c>
      <c r="E481" s="200">
        <f t="shared" si="623"/>
        <v>0</v>
      </c>
      <c r="F481" s="65"/>
      <c r="G481" s="200">
        <f t="shared" si="624"/>
        <v>0</v>
      </c>
      <c r="H481" s="200">
        <f t="shared" si="625"/>
        <v>0</v>
      </c>
      <c r="I481" s="65"/>
      <c r="J481" s="143" t="str">
        <f>IF('Cronog. e Histog.'!G632&gt;0,'Cronog. e Histog.'!G632,"")</f>
        <v>AN JR. ADM/CRP</v>
      </c>
      <c r="K481" s="65"/>
      <c r="L481" s="144">
        <f>'Cronog. e Histog.'!BT632</f>
        <v>0</v>
      </c>
      <c r="M481" s="144">
        <f>'Cronog. e Histog.'!BU632</f>
        <v>0</v>
      </c>
      <c r="N481" s="65"/>
      <c r="O481" s="109">
        <f>_xlfn.XLOOKUP(B481,Salários!B:B,Salários!K:K)</f>
        <v>3710</v>
      </c>
      <c r="P481" s="109">
        <f t="shared" si="640"/>
        <v>0</v>
      </c>
      <c r="Q481" s="109">
        <f t="shared" si="641"/>
        <v>0</v>
      </c>
      <c r="R481" s="65"/>
      <c r="S481" s="109">
        <f t="shared" si="642"/>
        <v>3710</v>
      </c>
      <c r="T481" s="201" t="str">
        <f>IF(_xlfn.XLOOKUP(B481,Salários!B:B,Salários!I:I)&gt;0,_xlfn.XLOOKUP(B481,Salários!B:B,Salários!I:I),"")</f>
        <v>Mensalista</v>
      </c>
      <c r="U481" s="117">
        <f t="shared" si="643"/>
        <v>0</v>
      </c>
      <c r="V481" s="65"/>
      <c r="W481" s="202"/>
      <c r="X481" s="65"/>
      <c r="Y481" s="69"/>
      <c r="Z481" s="65"/>
      <c r="AA481" s="518"/>
      <c r="AB481" s="65"/>
      <c r="AC481" s="81">
        <f t="shared" si="630"/>
        <v>0</v>
      </c>
      <c r="AD481" s="65"/>
      <c r="AE481" s="112"/>
      <c r="AF481" s="203">
        <v>0.3</v>
      </c>
      <c r="AG481" s="109">
        <f t="shared" si="44"/>
        <v>3710</v>
      </c>
      <c r="AH481" s="84">
        <f t="shared" si="631"/>
        <v>0</v>
      </c>
      <c r="AI481" s="65"/>
      <c r="AJ481" s="112"/>
      <c r="AK481" s="122"/>
      <c r="AL481" s="109">
        <v>1212</v>
      </c>
      <c r="AM481" s="84">
        <f t="shared" si="632"/>
        <v>0</v>
      </c>
      <c r="AN481" s="65"/>
      <c r="AO481" s="112"/>
      <c r="AP481" s="204"/>
      <c r="AQ481" s="109">
        <f>IFERROR((O481+AH481+AM481)/Dashboard!$D$15,0)*0.2</f>
        <v>3.8326446280991733</v>
      </c>
      <c r="AR481" s="84">
        <f t="shared" si="633"/>
        <v>0</v>
      </c>
      <c r="AS481" s="65"/>
      <c r="AT481" s="112"/>
      <c r="AU481" s="203">
        <v>0.33</v>
      </c>
      <c r="AV481" s="109">
        <f t="shared" si="634"/>
        <v>3710</v>
      </c>
      <c r="AW481" s="84">
        <f t="shared" si="635"/>
        <v>0</v>
      </c>
      <c r="AX481" s="65"/>
      <c r="AY481" s="112"/>
      <c r="AZ481" s="203">
        <v>0.25</v>
      </c>
      <c r="BA481" s="109">
        <f t="shared" si="50"/>
        <v>3710</v>
      </c>
      <c r="BB481" s="84">
        <f t="shared" si="636"/>
        <v>0</v>
      </c>
      <c r="BC481" s="65"/>
      <c r="BD481" s="112"/>
      <c r="BE481" s="203">
        <v>0.26</v>
      </c>
      <c r="BF481" s="109">
        <f t="shared" si="637"/>
        <v>3710</v>
      </c>
      <c r="BG481" s="84">
        <f t="shared" si="638"/>
        <v>0</v>
      </c>
      <c r="BH481" s="197"/>
      <c r="BI481" s="518"/>
      <c r="BJ481" s="65"/>
      <c r="BK481" s="81">
        <f t="shared" si="639"/>
        <v>0</v>
      </c>
      <c r="BL481" s="65"/>
      <c r="BM481" s="204"/>
      <c r="BN481" s="156">
        <f>IF(B481&lt;&gt;"",_xlfn.XLOOKUP(B481,'Cronog. e Histog.'!B:B,'Cronog. e Histog.'!EK:EK),0)</f>
        <v>0</v>
      </c>
      <c r="BO481" s="109">
        <f>($O481/Dashboard!$D$15)*(1+Dashboard!$D$19)</f>
        <v>28.744834710743799</v>
      </c>
      <c r="BP481" s="84">
        <f t="shared" si="654"/>
        <v>0</v>
      </c>
      <c r="BQ481" s="65"/>
      <c r="BR481" s="204"/>
      <c r="BS481" s="156">
        <f>IF(B481&lt;&gt;"",_xlfn.XLOOKUP(B481,'Cronog. e Histog.'!B:B,'Cronog. e Histog.'!EL:EL),0)</f>
        <v>0</v>
      </c>
      <c r="BT481" s="109">
        <f>($O481/Dashboard!$D$15)*(1+Dashboard!$D$20)</f>
        <v>33.535640495867767</v>
      </c>
      <c r="BU481" s="84">
        <f t="shared" si="655"/>
        <v>0</v>
      </c>
      <c r="BV481" s="65"/>
      <c r="BW481" s="204"/>
      <c r="BX481" s="156">
        <f>IF(B481&lt;&gt;"",_xlfn.XLOOKUP(B481,'Cronog. e Histog.'!B:B,'Cronog. e Histog.'!EM:EM),0)</f>
        <v>0</v>
      </c>
      <c r="BY481" s="109">
        <f>($O481/Dashboard!$D$15)*(1+Dashboard!$D$21)</f>
        <v>38.326446280991732</v>
      </c>
      <c r="BZ481" s="84">
        <f t="shared" si="656"/>
        <v>0</v>
      </c>
    </row>
    <row r="482" spans="2:78" ht="12" customHeight="1" outlineLevel="1">
      <c r="B482" s="137" t="str">
        <f>'Cronog. e Histog.'!B633</f>
        <v>TEC III - Equipe_01</v>
      </c>
      <c r="C482" s="65"/>
      <c r="D482" s="200">
        <f t="shared" si="622"/>
        <v>0</v>
      </c>
      <c r="E482" s="200">
        <f t="shared" si="623"/>
        <v>0</v>
      </c>
      <c r="F482" s="65"/>
      <c r="G482" s="200">
        <f t="shared" si="624"/>
        <v>0</v>
      </c>
      <c r="H482" s="200">
        <f t="shared" si="625"/>
        <v>0</v>
      </c>
      <c r="I482" s="65"/>
      <c r="J482" s="143" t="str">
        <f>IF('Cronog. e Histog.'!G633&gt;0,'Cronog. e Histog.'!G633,"")</f>
        <v>TEC III</v>
      </c>
      <c r="K482" s="65"/>
      <c r="L482" s="144">
        <f>'Cronog. e Histog.'!BT633</f>
        <v>0</v>
      </c>
      <c r="M482" s="144">
        <f>'Cronog. e Histog.'!BU633</f>
        <v>0</v>
      </c>
      <c r="N482" s="65"/>
      <c r="O482" s="109">
        <f>_xlfn.XLOOKUP(B482,Salários!B:B,Salários!K:K)</f>
        <v>6360</v>
      </c>
      <c r="P482" s="109">
        <f t="shared" si="640"/>
        <v>0</v>
      </c>
      <c r="Q482" s="109">
        <f t="shared" si="641"/>
        <v>0</v>
      </c>
      <c r="R482" s="65"/>
      <c r="S482" s="109">
        <f t="shared" si="642"/>
        <v>6360</v>
      </c>
      <c r="T482" s="201" t="str">
        <f>IF(_xlfn.XLOOKUP(B482,Salários!B:B,Salários!I:I)&gt;0,_xlfn.XLOOKUP(B482,Salários!B:B,Salários!I:I),"")</f>
        <v>Mensalista</v>
      </c>
      <c r="U482" s="117">
        <f t="shared" si="643"/>
        <v>0</v>
      </c>
      <c r="V482" s="65"/>
      <c r="W482" s="202"/>
      <c r="X482" s="65"/>
      <c r="Y482" s="69"/>
      <c r="Z482" s="65"/>
      <c r="AA482" s="518"/>
      <c r="AB482" s="65"/>
      <c r="AC482" s="81">
        <f t="shared" si="630"/>
        <v>0</v>
      </c>
      <c r="AD482" s="65"/>
      <c r="AE482" s="112"/>
      <c r="AF482" s="203">
        <v>0.3</v>
      </c>
      <c r="AG482" s="109">
        <f t="shared" si="44"/>
        <v>6360</v>
      </c>
      <c r="AH482" s="84">
        <f t="shared" si="631"/>
        <v>0</v>
      </c>
      <c r="AI482" s="65"/>
      <c r="AJ482" s="112"/>
      <c r="AK482" s="122"/>
      <c r="AL482" s="109">
        <v>1212</v>
      </c>
      <c r="AM482" s="84">
        <f t="shared" si="632"/>
        <v>0</v>
      </c>
      <c r="AN482" s="65"/>
      <c r="AO482" s="112"/>
      <c r="AP482" s="204"/>
      <c r="AQ482" s="109">
        <f>IFERROR((O482+AH482+AM482)/Dashboard!$D$15,0)*0.2</f>
        <v>6.5702479338842963</v>
      </c>
      <c r="AR482" s="84">
        <f t="shared" si="633"/>
        <v>0</v>
      </c>
      <c r="AS482" s="65"/>
      <c r="AT482" s="112"/>
      <c r="AU482" s="203">
        <v>0.33</v>
      </c>
      <c r="AV482" s="109">
        <f t="shared" si="634"/>
        <v>6360</v>
      </c>
      <c r="AW482" s="84">
        <f t="shared" si="635"/>
        <v>0</v>
      </c>
      <c r="AX482" s="65"/>
      <c r="AY482" s="112"/>
      <c r="AZ482" s="203">
        <v>0.25</v>
      </c>
      <c r="BA482" s="109">
        <f t="shared" si="50"/>
        <v>6360</v>
      </c>
      <c r="BB482" s="84">
        <f t="shared" si="636"/>
        <v>0</v>
      </c>
      <c r="BC482" s="65"/>
      <c r="BD482" s="112"/>
      <c r="BE482" s="203">
        <v>0.26</v>
      </c>
      <c r="BF482" s="109">
        <f t="shared" si="637"/>
        <v>6360</v>
      </c>
      <c r="BG482" s="84">
        <f t="shared" si="638"/>
        <v>0</v>
      </c>
      <c r="BH482" s="197"/>
      <c r="BI482" s="518"/>
      <c r="BJ482" s="65"/>
      <c r="BK482" s="81">
        <f t="shared" si="639"/>
        <v>0</v>
      </c>
      <c r="BL482" s="65"/>
      <c r="BM482" s="204"/>
      <c r="BN482" s="156">
        <f>IF(B482&lt;&gt;"",_xlfn.XLOOKUP(B482,'Cronog. e Histog.'!B:B,'Cronog. e Histog.'!EK:EK),0)</f>
        <v>0</v>
      </c>
      <c r="BO482" s="109">
        <f>($O482/Dashboard!$D$15)*(1+Dashboard!$D$19)</f>
        <v>49.276859504132219</v>
      </c>
      <c r="BP482" s="84">
        <f t="shared" si="654"/>
        <v>0</v>
      </c>
      <c r="BQ482" s="65"/>
      <c r="BR482" s="204"/>
      <c r="BS482" s="156">
        <f>IF(B482&lt;&gt;"",_xlfn.XLOOKUP(B482,'Cronog. e Histog.'!B:B,'Cronog. e Histog.'!EL:EL),0)</f>
        <v>0</v>
      </c>
      <c r="BT482" s="109">
        <f>($O482/Dashboard!$D$15)*(1+Dashboard!$D$20)</f>
        <v>57.489669421487591</v>
      </c>
      <c r="BU482" s="84">
        <f t="shared" si="655"/>
        <v>0</v>
      </c>
      <c r="BV482" s="65"/>
      <c r="BW482" s="204"/>
      <c r="BX482" s="156">
        <f>IF(B482&lt;&gt;"",_xlfn.XLOOKUP(B482,'Cronog. e Histog.'!B:B,'Cronog. e Histog.'!EM:EM),0)</f>
        <v>0</v>
      </c>
      <c r="BY482" s="109">
        <f>($O482/Dashboard!$D$15)*(1+Dashboard!$D$21)</f>
        <v>65.702479338842963</v>
      </c>
      <c r="BZ482" s="84">
        <f t="shared" si="656"/>
        <v>0</v>
      </c>
    </row>
    <row r="483" spans="2:78" ht="12" customHeight="1" outlineLevel="1">
      <c r="B483" s="137" t="str">
        <f>'Cronog. e Histog.'!B634</f>
        <v>TEC II - Equipe_01</v>
      </c>
      <c r="C483" s="65"/>
      <c r="D483" s="200">
        <f t="shared" si="622"/>
        <v>0</v>
      </c>
      <c r="E483" s="200">
        <f t="shared" si="623"/>
        <v>0</v>
      </c>
      <c r="F483" s="65"/>
      <c r="G483" s="200">
        <f t="shared" si="624"/>
        <v>0</v>
      </c>
      <c r="H483" s="200">
        <f t="shared" si="625"/>
        <v>0</v>
      </c>
      <c r="I483" s="65"/>
      <c r="J483" s="143" t="str">
        <f>IF('Cronog. e Histog.'!G634&gt;0,'Cronog. e Histog.'!G634,"")</f>
        <v>TEC II</v>
      </c>
      <c r="K483" s="65"/>
      <c r="L483" s="144">
        <f>'Cronog. e Histog.'!BT634</f>
        <v>0</v>
      </c>
      <c r="M483" s="144">
        <f>'Cronog. e Histog.'!BU634</f>
        <v>0</v>
      </c>
      <c r="N483" s="65"/>
      <c r="O483" s="109">
        <f>_xlfn.XLOOKUP(B483,Salários!B:B,Salários!K:K)</f>
        <v>4770</v>
      </c>
      <c r="P483" s="109">
        <f t="shared" si="640"/>
        <v>0</v>
      </c>
      <c r="Q483" s="109">
        <f t="shared" si="641"/>
        <v>0</v>
      </c>
      <c r="R483" s="65"/>
      <c r="S483" s="109">
        <f t="shared" si="642"/>
        <v>4770</v>
      </c>
      <c r="T483" s="201" t="str">
        <f>IF(_xlfn.XLOOKUP(B483,Salários!B:B,Salários!I:I)&gt;0,_xlfn.XLOOKUP(B483,Salários!B:B,Salários!I:I),"")</f>
        <v>Mensalista</v>
      </c>
      <c r="U483" s="117">
        <f t="shared" si="643"/>
        <v>0</v>
      </c>
      <c r="V483" s="65"/>
      <c r="W483" s="202"/>
      <c r="X483" s="65"/>
      <c r="Y483" s="69"/>
      <c r="Z483" s="65"/>
      <c r="AA483" s="518"/>
      <c r="AB483" s="65"/>
      <c r="AC483" s="81">
        <f t="shared" si="630"/>
        <v>0</v>
      </c>
      <c r="AD483" s="65"/>
      <c r="AE483" s="112"/>
      <c r="AF483" s="203">
        <v>0.3</v>
      </c>
      <c r="AG483" s="109">
        <f t="shared" si="44"/>
        <v>4770</v>
      </c>
      <c r="AH483" s="84">
        <f t="shared" si="631"/>
        <v>0</v>
      </c>
      <c r="AI483" s="65"/>
      <c r="AJ483" s="112"/>
      <c r="AK483" s="122"/>
      <c r="AL483" s="109">
        <v>1212</v>
      </c>
      <c r="AM483" s="84">
        <f t="shared" si="632"/>
        <v>0</v>
      </c>
      <c r="AN483" s="65"/>
      <c r="AO483" s="112"/>
      <c r="AP483" s="204"/>
      <c r="AQ483" s="109">
        <f>IFERROR((O483+AH483+AM483)/Dashboard!$D$15,0)*0.2</f>
        <v>4.9276859504132231</v>
      </c>
      <c r="AR483" s="84">
        <f t="shared" si="633"/>
        <v>0</v>
      </c>
      <c r="AS483" s="65"/>
      <c r="AT483" s="112"/>
      <c r="AU483" s="203">
        <v>0.33</v>
      </c>
      <c r="AV483" s="109">
        <f t="shared" si="634"/>
        <v>4770</v>
      </c>
      <c r="AW483" s="84">
        <f t="shared" si="635"/>
        <v>0</v>
      </c>
      <c r="AX483" s="65"/>
      <c r="AY483" s="112"/>
      <c r="AZ483" s="203">
        <v>0.25</v>
      </c>
      <c r="BA483" s="109">
        <f t="shared" si="50"/>
        <v>4770</v>
      </c>
      <c r="BB483" s="84">
        <f t="shared" si="636"/>
        <v>0</v>
      </c>
      <c r="BC483" s="65"/>
      <c r="BD483" s="112"/>
      <c r="BE483" s="203">
        <v>0.26</v>
      </c>
      <c r="BF483" s="109">
        <f t="shared" si="637"/>
        <v>4770</v>
      </c>
      <c r="BG483" s="84">
        <f t="shared" si="638"/>
        <v>0</v>
      </c>
      <c r="BH483" s="197"/>
      <c r="BI483" s="518"/>
      <c r="BJ483" s="65"/>
      <c r="BK483" s="81">
        <f t="shared" si="639"/>
        <v>0</v>
      </c>
      <c r="BL483" s="65"/>
      <c r="BM483" s="204"/>
      <c r="BN483" s="156">
        <f>IF(B483&lt;&gt;"",_xlfn.XLOOKUP(B483,'Cronog. e Histog.'!B:B,'Cronog. e Histog.'!EK:EK),0)</f>
        <v>0</v>
      </c>
      <c r="BO483" s="109">
        <f>($O483/Dashboard!$D$15)*(1+Dashboard!$D$19)</f>
        <v>36.957644628099168</v>
      </c>
      <c r="BP483" s="84">
        <f t="shared" si="654"/>
        <v>0</v>
      </c>
      <c r="BQ483" s="65"/>
      <c r="BR483" s="204"/>
      <c r="BS483" s="156">
        <f>IF(B483&lt;&gt;"",_xlfn.XLOOKUP(B483,'Cronog. e Histog.'!B:B,'Cronog. e Histog.'!EL:EL),0)</f>
        <v>0</v>
      </c>
      <c r="BT483" s="109">
        <f>($O483/Dashboard!$D$15)*(1+Dashboard!$D$20)</f>
        <v>43.117252066115697</v>
      </c>
      <c r="BU483" s="84">
        <f t="shared" si="655"/>
        <v>0</v>
      </c>
      <c r="BV483" s="65"/>
      <c r="BW483" s="204"/>
      <c r="BX483" s="156">
        <f>IF(B483&lt;&gt;"",_xlfn.XLOOKUP(B483,'Cronog. e Histog.'!B:B,'Cronog. e Histog.'!EM:EM),0)</f>
        <v>0</v>
      </c>
      <c r="BY483" s="109">
        <f>($O483/Dashboard!$D$15)*(1+Dashboard!$D$21)</f>
        <v>49.276859504132226</v>
      </c>
      <c r="BZ483" s="84">
        <f t="shared" si="656"/>
        <v>0</v>
      </c>
    </row>
    <row r="484" spans="2:78" ht="12" customHeight="1" outlineLevel="1">
      <c r="B484" s="137" t="str">
        <f>'Cronog. e Histog.'!B635</f>
        <v>TEC I - Equipe_01</v>
      </c>
      <c r="C484" s="65"/>
      <c r="D484" s="200">
        <f t="shared" si="622"/>
        <v>0</v>
      </c>
      <c r="E484" s="200">
        <f t="shared" si="623"/>
        <v>0</v>
      </c>
      <c r="F484" s="65"/>
      <c r="G484" s="200">
        <f t="shared" si="624"/>
        <v>0</v>
      </c>
      <c r="H484" s="200">
        <f t="shared" si="625"/>
        <v>0</v>
      </c>
      <c r="I484" s="65"/>
      <c r="J484" s="143" t="str">
        <f>IF('Cronog. e Histog.'!G635&gt;0,'Cronog. e Histog.'!G635,"")</f>
        <v>TEC I</v>
      </c>
      <c r="K484" s="65"/>
      <c r="L484" s="144">
        <f>'Cronog. e Histog.'!BT635</f>
        <v>0</v>
      </c>
      <c r="M484" s="144">
        <f>'Cronog. e Histog.'!BU635</f>
        <v>0</v>
      </c>
      <c r="N484" s="65"/>
      <c r="O484" s="109">
        <f>_xlfn.XLOOKUP(B484,Salários!B:B,Salários!K:K)</f>
        <v>3180</v>
      </c>
      <c r="P484" s="109">
        <f t="shared" si="640"/>
        <v>0</v>
      </c>
      <c r="Q484" s="109">
        <f t="shared" si="641"/>
        <v>0</v>
      </c>
      <c r="R484" s="65"/>
      <c r="S484" s="109">
        <f t="shared" si="642"/>
        <v>3180</v>
      </c>
      <c r="T484" s="201" t="str">
        <f>IF(_xlfn.XLOOKUP(B484,Salários!B:B,Salários!I:I)&gt;0,_xlfn.XLOOKUP(B484,Salários!B:B,Salários!I:I),"")</f>
        <v>Mensalista</v>
      </c>
      <c r="U484" s="117">
        <f t="shared" si="643"/>
        <v>0</v>
      </c>
      <c r="V484" s="65"/>
      <c r="W484" s="202"/>
      <c r="X484" s="65"/>
      <c r="Y484" s="69"/>
      <c r="Z484" s="65"/>
      <c r="AA484" s="518"/>
      <c r="AB484" s="65"/>
      <c r="AC484" s="81">
        <f t="shared" si="630"/>
        <v>0</v>
      </c>
      <c r="AD484" s="65"/>
      <c r="AE484" s="112"/>
      <c r="AF484" s="203">
        <v>0.3</v>
      </c>
      <c r="AG484" s="109">
        <f t="shared" si="44"/>
        <v>3180</v>
      </c>
      <c r="AH484" s="84">
        <f t="shared" si="631"/>
        <v>0</v>
      </c>
      <c r="AI484" s="65"/>
      <c r="AJ484" s="112"/>
      <c r="AK484" s="122"/>
      <c r="AL484" s="109">
        <v>1212</v>
      </c>
      <c r="AM484" s="84">
        <f t="shared" si="632"/>
        <v>0</v>
      </c>
      <c r="AN484" s="65"/>
      <c r="AO484" s="112"/>
      <c r="AP484" s="204"/>
      <c r="AQ484" s="109">
        <f>IFERROR((O484+AH484+AM484)/Dashboard!$D$15,0)*0.2</f>
        <v>3.2851239669421481</v>
      </c>
      <c r="AR484" s="84">
        <f t="shared" si="633"/>
        <v>0</v>
      </c>
      <c r="AS484" s="65"/>
      <c r="AT484" s="112"/>
      <c r="AU484" s="203">
        <v>0.33</v>
      </c>
      <c r="AV484" s="109">
        <f t="shared" si="634"/>
        <v>3180</v>
      </c>
      <c r="AW484" s="84">
        <f t="shared" si="635"/>
        <v>0</v>
      </c>
      <c r="AX484" s="65"/>
      <c r="AY484" s="112"/>
      <c r="AZ484" s="203">
        <v>0.25</v>
      </c>
      <c r="BA484" s="109">
        <f t="shared" si="50"/>
        <v>3180</v>
      </c>
      <c r="BB484" s="84">
        <f t="shared" si="636"/>
        <v>0</v>
      </c>
      <c r="BC484" s="65"/>
      <c r="BD484" s="112"/>
      <c r="BE484" s="203">
        <v>0.26</v>
      </c>
      <c r="BF484" s="109">
        <f t="shared" si="637"/>
        <v>3180</v>
      </c>
      <c r="BG484" s="84">
        <f t="shared" si="638"/>
        <v>0</v>
      </c>
      <c r="BH484" s="197"/>
      <c r="BI484" s="518"/>
      <c r="BJ484" s="65"/>
      <c r="BK484" s="81">
        <f t="shared" si="639"/>
        <v>0</v>
      </c>
      <c r="BL484" s="65"/>
      <c r="BM484" s="204"/>
      <c r="BN484" s="156">
        <f>IF(B484&lt;&gt;"",_xlfn.XLOOKUP(B484,'Cronog. e Histog.'!B:B,'Cronog. e Histog.'!EK:EK),0)</f>
        <v>0</v>
      </c>
      <c r="BO484" s="109">
        <f>($O484/Dashboard!$D$15)*(1+Dashboard!$D$19)</f>
        <v>24.638429752066109</v>
      </c>
      <c r="BP484" s="84">
        <f t="shared" si="654"/>
        <v>0</v>
      </c>
      <c r="BQ484" s="65"/>
      <c r="BR484" s="204"/>
      <c r="BS484" s="156">
        <f>IF(B484&lt;&gt;"",_xlfn.XLOOKUP(B484,'Cronog. e Histog.'!B:B,'Cronog. e Histog.'!EL:EL),0)</f>
        <v>0</v>
      </c>
      <c r="BT484" s="109">
        <f>($O484/Dashboard!$D$15)*(1+Dashboard!$D$20)</f>
        <v>28.744834710743795</v>
      </c>
      <c r="BU484" s="84">
        <f t="shared" si="655"/>
        <v>0</v>
      </c>
      <c r="BV484" s="65"/>
      <c r="BW484" s="204"/>
      <c r="BX484" s="156">
        <f>IF(B484&lt;&gt;"",_xlfn.XLOOKUP(B484,'Cronog. e Histog.'!B:B,'Cronog. e Histog.'!EM:EM),0)</f>
        <v>0</v>
      </c>
      <c r="BY484" s="109">
        <f>($O484/Dashboard!$D$15)*(1+Dashboard!$D$21)</f>
        <v>32.851239669421481</v>
      </c>
      <c r="BZ484" s="84">
        <f t="shared" si="656"/>
        <v>0</v>
      </c>
    </row>
    <row r="485" spans="2:78" ht="12" customHeight="1" outlineLevel="1">
      <c r="B485" s="137" t="str">
        <f>'Cronog. e Histog.'!B636</f>
        <v>AUX TEC - Equipe_01</v>
      </c>
      <c r="C485" s="65"/>
      <c r="D485" s="200">
        <f t="shared" si="622"/>
        <v>0</v>
      </c>
      <c r="E485" s="200">
        <f t="shared" si="623"/>
        <v>0</v>
      </c>
      <c r="F485" s="65"/>
      <c r="G485" s="200">
        <f t="shared" si="624"/>
        <v>0</v>
      </c>
      <c r="H485" s="200">
        <f t="shared" si="625"/>
        <v>0</v>
      </c>
      <c r="I485" s="65"/>
      <c r="J485" s="143" t="str">
        <f>IF('Cronog. e Histog.'!G636&gt;0,'Cronog. e Histog.'!G636,"")</f>
        <v>AUX TEC</v>
      </c>
      <c r="K485" s="65"/>
      <c r="L485" s="144">
        <f>'Cronog. e Histog.'!BT636</f>
        <v>0</v>
      </c>
      <c r="M485" s="144">
        <f>'Cronog. e Histog.'!BU636</f>
        <v>0</v>
      </c>
      <c r="N485" s="65"/>
      <c r="O485" s="109">
        <f>_xlfn.XLOOKUP(B485,Salários!B:B,Salários!K:K)</f>
        <v>3710</v>
      </c>
      <c r="P485" s="109">
        <f t="shared" si="640"/>
        <v>0</v>
      </c>
      <c r="Q485" s="109">
        <f t="shared" si="641"/>
        <v>0</v>
      </c>
      <c r="R485" s="65"/>
      <c r="S485" s="109">
        <f t="shared" si="642"/>
        <v>3710</v>
      </c>
      <c r="T485" s="201" t="str">
        <f>IF(_xlfn.XLOOKUP(B485,Salários!B:B,Salários!I:I)&gt;0,_xlfn.XLOOKUP(B485,Salários!B:B,Salários!I:I),"")</f>
        <v>Mensalista</v>
      </c>
      <c r="U485" s="117">
        <f t="shared" si="643"/>
        <v>0</v>
      </c>
      <c r="V485" s="65"/>
      <c r="W485" s="202"/>
      <c r="X485" s="65"/>
      <c r="Y485" s="69"/>
      <c r="Z485" s="65"/>
      <c r="AA485" s="518"/>
      <c r="AB485" s="65"/>
      <c r="AC485" s="81">
        <f t="shared" si="630"/>
        <v>0</v>
      </c>
      <c r="AD485" s="65"/>
      <c r="AE485" s="112"/>
      <c r="AF485" s="203">
        <v>0.3</v>
      </c>
      <c r="AG485" s="109">
        <f t="shared" si="44"/>
        <v>3710</v>
      </c>
      <c r="AH485" s="84">
        <f t="shared" si="631"/>
        <v>0</v>
      </c>
      <c r="AI485" s="65"/>
      <c r="AJ485" s="112"/>
      <c r="AK485" s="122"/>
      <c r="AL485" s="109">
        <v>1212</v>
      </c>
      <c r="AM485" s="84">
        <f t="shared" si="632"/>
        <v>0</v>
      </c>
      <c r="AN485" s="65"/>
      <c r="AO485" s="112"/>
      <c r="AP485" s="204"/>
      <c r="AQ485" s="109">
        <f>IFERROR((O485+AH485+AM485)/Dashboard!$D$15,0)*0.2</f>
        <v>3.8326446280991733</v>
      </c>
      <c r="AR485" s="84">
        <f t="shared" si="633"/>
        <v>0</v>
      </c>
      <c r="AS485" s="65"/>
      <c r="AT485" s="112"/>
      <c r="AU485" s="203">
        <v>0.33</v>
      </c>
      <c r="AV485" s="109">
        <f t="shared" si="634"/>
        <v>3710</v>
      </c>
      <c r="AW485" s="84">
        <f t="shared" si="635"/>
        <v>0</v>
      </c>
      <c r="AX485" s="65"/>
      <c r="AY485" s="112"/>
      <c r="AZ485" s="203">
        <v>0.25</v>
      </c>
      <c r="BA485" s="109">
        <f t="shared" si="50"/>
        <v>3710</v>
      </c>
      <c r="BB485" s="84">
        <f t="shared" si="636"/>
        <v>0</v>
      </c>
      <c r="BC485" s="65"/>
      <c r="BD485" s="112"/>
      <c r="BE485" s="203">
        <v>0.26</v>
      </c>
      <c r="BF485" s="109">
        <f t="shared" si="637"/>
        <v>3710</v>
      </c>
      <c r="BG485" s="84">
        <f t="shared" si="638"/>
        <v>0</v>
      </c>
      <c r="BH485" s="197"/>
      <c r="BI485" s="518"/>
      <c r="BJ485" s="65"/>
      <c r="BK485" s="81">
        <f t="shared" si="639"/>
        <v>0</v>
      </c>
      <c r="BL485" s="65"/>
      <c r="BM485" s="204"/>
      <c r="BN485" s="156">
        <f>IF(B485&lt;&gt;"",_xlfn.XLOOKUP(B485,'Cronog. e Histog.'!B:B,'Cronog. e Histog.'!EK:EK),0)</f>
        <v>0</v>
      </c>
      <c r="BO485" s="109">
        <f>($O485/Dashboard!$D$15)*(1+Dashboard!$D$19)</f>
        <v>28.744834710743799</v>
      </c>
      <c r="BP485" s="84">
        <f t="shared" si="654"/>
        <v>0</v>
      </c>
      <c r="BQ485" s="65"/>
      <c r="BR485" s="204"/>
      <c r="BS485" s="156">
        <f>IF(B485&lt;&gt;"",_xlfn.XLOOKUP(B485,'Cronog. e Histog.'!B:B,'Cronog. e Histog.'!EL:EL),0)</f>
        <v>0</v>
      </c>
      <c r="BT485" s="109">
        <f>($O485/Dashboard!$D$15)*(1+Dashboard!$D$20)</f>
        <v>33.535640495867767</v>
      </c>
      <c r="BU485" s="84">
        <f t="shared" si="655"/>
        <v>0</v>
      </c>
      <c r="BV485" s="65"/>
      <c r="BW485" s="204"/>
      <c r="BX485" s="156">
        <f>IF(B485&lt;&gt;"",_xlfn.XLOOKUP(B485,'Cronog. e Histog.'!B:B,'Cronog. e Histog.'!EM:EM),0)</f>
        <v>0</v>
      </c>
      <c r="BY485" s="109">
        <f>($O485/Dashboard!$D$15)*(1+Dashboard!$D$21)</f>
        <v>38.326446280991732</v>
      </c>
      <c r="BZ485" s="84">
        <f t="shared" si="656"/>
        <v>0</v>
      </c>
    </row>
    <row r="486" spans="2:78" ht="12" customHeight="1" outlineLevel="1">
      <c r="B486" s="137" t="str">
        <f>'Cronog. e Histog.'!B637</f>
        <v>AUX ADM - Equipe_01</v>
      </c>
      <c r="C486" s="65"/>
      <c r="D486" s="200">
        <f t="shared" si="622"/>
        <v>0</v>
      </c>
      <c r="E486" s="200">
        <f t="shared" si="623"/>
        <v>0</v>
      </c>
      <c r="F486" s="65"/>
      <c r="G486" s="200">
        <f t="shared" si="624"/>
        <v>0</v>
      </c>
      <c r="H486" s="200">
        <f t="shared" si="625"/>
        <v>0</v>
      </c>
      <c r="I486" s="65"/>
      <c r="J486" s="143" t="str">
        <f>IF('Cronog. e Histog.'!G637&gt;0,'Cronog. e Histog.'!G637,"")</f>
        <v>AUX ADM</v>
      </c>
      <c r="K486" s="65"/>
      <c r="L486" s="144">
        <f>'Cronog. e Histog.'!BT637</f>
        <v>0</v>
      </c>
      <c r="M486" s="144">
        <f>'Cronog. e Histog.'!BU637</f>
        <v>0</v>
      </c>
      <c r="N486" s="65"/>
      <c r="O486" s="109">
        <f>_xlfn.XLOOKUP(B486,Salários!B:B,Salários!K:K)</f>
        <v>1912.24</v>
      </c>
      <c r="P486" s="109">
        <f t="shared" si="640"/>
        <v>0</v>
      </c>
      <c r="Q486" s="109">
        <f t="shared" si="641"/>
        <v>0</v>
      </c>
      <c r="R486" s="65"/>
      <c r="S486" s="109">
        <f t="shared" si="642"/>
        <v>1912.24</v>
      </c>
      <c r="T486" s="201" t="str">
        <f>IF(_xlfn.XLOOKUP(B486,Salários!B:B,Salários!I:I)&gt;0,_xlfn.XLOOKUP(B486,Salários!B:B,Salários!I:I),"")</f>
        <v>Mensalista</v>
      </c>
      <c r="U486" s="117">
        <f t="shared" si="643"/>
        <v>0</v>
      </c>
      <c r="V486" s="65"/>
      <c r="W486" s="202"/>
      <c r="X486" s="65"/>
      <c r="Y486" s="69"/>
      <c r="Z486" s="65"/>
      <c r="AA486" s="518"/>
      <c r="AB486" s="65"/>
      <c r="AC486" s="81">
        <f t="shared" si="630"/>
        <v>0</v>
      </c>
      <c r="AD486" s="65"/>
      <c r="AE486" s="112"/>
      <c r="AF486" s="203">
        <v>0.3</v>
      </c>
      <c r="AG486" s="109">
        <f t="shared" si="44"/>
        <v>1912.24</v>
      </c>
      <c r="AH486" s="84">
        <f t="shared" si="631"/>
        <v>0</v>
      </c>
      <c r="AI486" s="65"/>
      <c r="AJ486" s="112"/>
      <c r="AK486" s="122"/>
      <c r="AL486" s="109">
        <v>1212</v>
      </c>
      <c r="AM486" s="84">
        <f t="shared" si="632"/>
        <v>0</v>
      </c>
      <c r="AN486" s="65"/>
      <c r="AO486" s="112"/>
      <c r="AP486" s="204"/>
      <c r="AQ486" s="109">
        <f>IFERROR((O486+AH486+AM486)/Dashboard!$D$15,0)*0.2</f>
        <v>1.9754545454545456</v>
      </c>
      <c r="AR486" s="84">
        <f t="shared" si="633"/>
        <v>0</v>
      </c>
      <c r="AS486" s="65"/>
      <c r="AT486" s="112"/>
      <c r="AU486" s="203">
        <v>0.33</v>
      </c>
      <c r="AV486" s="109">
        <f t="shared" si="634"/>
        <v>1912.24</v>
      </c>
      <c r="AW486" s="84">
        <f t="shared" si="635"/>
        <v>0</v>
      </c>
      <c r="AX486" s="65"/>
      <c r="AY486" s="112"/>
      <c r="AZ486" s="203">
        <v>0.25</v>
      </c>
      <c r="BA486" s="109">
        <f t="shared" si="50"/>
        <v>1912.24</v>
      </c>
      <c r="BB486" s="84">
        <f t="shared" si="636"/>
        <v>0</v>
      </c>
      <c r="BC486" s="65"/>
      <c r="BD486" s="112"/>
      <c r="BE486" s="203">
        <v>0.26</v>
      </c>
      <c r="BF486" s="109">
        <f t="shared" si="637"/>
        <v>1912.24</v>
      </c>
      <c r="BG486" s="84">
        <f t="shared" si="638"/>
        <v>0</v>
      </c>
      <c r="BH486" s="197"/>
      <c r="BI486" s="518"/>
      <c r="BJ486" s="65"/>
      <c r="BK486" s="81">
        <f t="shared" si="639"/>
        <v>0</v>
      </c>
      <c r="BL486" s="65"/>
      <c r="BM486" s="204"/>
      <c r="BN486" s="156">
        <f>IF(B486&lt;&gt;"",_xlfn.XLOOKUP(B486,'Cronog. e Histog.'!B:B,'Cronog. e Histog.'!EK:EK),0)</f>
        <v>0</v>
      </c>
      <c r="BO486" s="109">
        <f>($O486/Dashboard!$D$15)*(1+Dashboard!$D$19)</f>
        <v>14.815909090909091</v>
      </c>
      <c r="BP486" s="84">
        <f t="shared" si="654"/>
        <v>0</v>
      </c>
      <c r="BQ486" s="65"/>
      <c r="BR486" s="204"/>
      <c r="BS486" s="156">
        <f>IF(B486&lt;&gt;"",_xlfn.XLOOKUP(B486,'Cronog. e Histog.'!B:B,'Cronog. e Histog.'!EL:EL),0)</f>
        <v>0</v>
      </c>
      <c r="BT486" s="109">
        <f>($O486/Dashboard!$D$15)*(1+Dashboard!$D$20)</f>
        <v>17.285227272727273</v>
      </c>
      <c r="BU486" s="84">
        <f t="shared" si="655"/>
        <v>0</v>
      </c>
      <c r="BV486" s="65"/>
      <c r="BW486" s="204"/>
      <c r="BX486" s="156">
        <f>IF(B486&lt;&gt;"",_xlfn.XLOOKUP(B486,'Cronog. e Histog.'!B:B,'Cronog. e Histog.'!EM:EM),0)</f>
        <v>0</v>
      </c>
      <c r="BY486" s="109">
        <f>($O486/Dashboard!$D$15)*(1+Dashboard!$D$21)</f>
        <v>19.754545454545454</v>
      </c>
      <c r="BZ486" s="84">
        <f t="shared" si="656"/>
        <v>0</v>
      </c>
    </row>
    <row r="487" spans="2:78" ht="12" customHeight="1" outlineLevel="1">
      <c r="B487" s="137" t="str">
        <f>'Cronog. e Histog.'!B638</f>
        <v>EST - Equipe_01</v>
      </c>
      <c r="C487" s="65"/>
      <c r="D487" s="200">
        <f t="shared" si="622"/>
        <v>0</v>
      </c>
      <c r="E487" s="200">
        <f t="shared" si="623"/>
        <v>0</v>
      </c>
      <c r="F487" s="65"/>
      <c r="G487" s="200">
        <f t="shared" si="624"/>
        <v>0</v>
      </c>
      <c r="H487" s="200">
        <f t="shared" si="625"/>
        <v>0</v>
      </c>
      <c r="I487" s="65"/>
      <c r="J487" s="143" t="str">
        <f>IF('Cronog. e Histog.'!G638&gt;0,'Cronog. e Histog.'!G638,"")</f>
        <v>EST</v>
      </c>
      <c r="K487" s="65"/>
      <c r="L487" s="144">
        <f>'Cronog. e Histog.'!BT638</f>
        <v>0</v>
      </c>
      <c r="M487" s="144">
        <f>'Cronog. e Histog.'!BU638</f>
        <v>0</v>
      </c>
      <c r="N487" s="65"/>
      <c r="O487" s="109">
        <f>_xlfn.XLOOKUP(B487,Salários!B:B,Salários!K:K)</f>
        <v>1633</v>
      </c>
      <c r="P487" s="109">
        <f t="shared" si="640"/>
        <v>0</v>
      </c>
      <c r="Q487" s="109">
        <f t="shared" si="641"/>
        <v>0</v>
      </c>
      <c r="R487" s="65"/>
      <c r="S487" s="109">
        <f t="shared" si="642"/>
        <v>1633</v>
      </c>
      <c r="T487" s="201" t="str">
        <f>IF(_xlfn.XLOOKUP(B487,Salários!B:B,Salários!I:I)&gt;0,_xlfn.XLOOKUP(B487,Salários!B:B,Salários!I:I),"")</f>
        <v>PJ</v>
      </c>
      <c r="U487" s="117">
        <f t="shared" si="643"/>
        <v>0</v>
      </c>
      <c r="V487" s="65"/>
      <c r="W487" s="202"/>
      <c r="X487" s="65"/>
      <c r="Y487" s="69"/>
      <c r="Z487" s="65"/>
      <c r="AA487" s="518"/>
      <c r="AB487" s="65"/>
      <c r="AC487" s="81">
        <f t="shared" si="630"/>
        <v>0</v>
      </c>
      <c r="AD487" s="65"/>
      <c r="AE487" s="112"/>
      <c r="AF487" s="203">
        <v>0.3</v>
      </c>
      <c r="AG487" s="109">
        <f t="shared" si="44"/>
        <v>1633</v>
      </c>
      <c r="AH487" s="84">
        <f t="shared" si="631"/>
        <v>0</v>
      </c>
      <c r="AI487" s="65"/>
      <c r="AJ487" s="112"/>
      <c r="AK487" s="122"/>
      <c r="AL487" s="109">
        <v>1212</v>
      </c>
      <c r="AM487" s="84">
        <f t="shared" si="632"/>
        <v>0</v>
      </c>
      <c r="AN487" s="65"/>
      <c r="AO487" s="112"/>
      <c r="AP487" s="204"/>
      <c r="AQ487" s="109">
        <f>IFERROR((O487+AH487+AM487)/Dashboard!$D$15,0)*0.2</f>
        <v>1.6869834710743801</v>
      </c>
      <c r="AR487" s="84">
        <f t="shared" si="633"/>
        <v>0</v>
      </c>
      <c r="AS487" s="65"/>
      <c r="AT487" s="112"/>
      <c r="AU487" s="203">
        <v>0.33</v>
      </c>
      <c r="AV487" s="109">
        <f t="shared" si="634"/>
        <v>1633</v>
      </c>
      <c r="AW487" s="84">
        <f t="shared" si="635"/>
        <v>0</v>
      </c>
      <c r="AX487" s="65"/>
      <c r="AY487" s="112"/>
      <c r="AZ487" s="203">
        <v>0.25</v>
      </c>
      <c r="BA487" s="109">
        <f t="shared" si="50"/>
        <v>1633</v>
      </c>
      <c r="BB487" s="84">
        <f t="shared" si="636"/>
        <v>0</v>
      </c>
      <c r="BC487" s="65"/>
      <c r="BD487" s="112"/>
      <c r="BE487" s="203">
        <v>0.26</v>
      </c>
      <c r="BF487" s="109">
        <f t="shared" si="637"/>
        <v>1633</v>
      </c>
      <c r="BG487" s="84">
        <f t="shared" si="638"/>
        <v>0</v>
      </c>
      <c r="BH487" s="197"/>
      <c r="BI487" s="518"/>
      <c r="BJ487" s="65"/>
      <c r="BK487" s="81">
        <f t="shared" si="639"/>
        <v>0</v>
      </c>
      <c r="BL487" s="65"/>
      <c r="BM487" s="204"/>
      <c r="BN487" s="156">
        <f>IF(B487&lt;&gt;"",_xlfn.XLOOKUP(B487,'Cronog. e Histog.'!B:B,'Cronog. e Histog.'!EK:EK),0)</f>
        <v>0</v>
      </c>
      <c r="BO487" s="109">
        <f>($O487/Dashboard!$D$15)*(1+Dashboard!$D$19)</f>
        <v>12.652376033057848</v>
      </c>
      <c r="BP487" s="84">
        <f t="shared" si="654"/>
        <v>0</v>
      </c>
      <c r="BQ487" s="65"/>
      <c r="BR487" s="204"/>
      <c r="BS487" s="156">
        <f>IF(B487&lt;&gt;"",_xlfn.XLOOKUP(B487,'Cronog. e Histog.'!B:B,'Cronog. e Histog.'!EL:EL),0)</f>
        <v>0</v>
      </c>
      <c r="BT487" s="109">
        <f>($O487/Dashboard!$D$15)*(1+Dashboard!$D$20)</f>
        <v>14.761105371900824</v>
      </c>
      <c r="BU487" s="84">
        <f t="shared" si="655"/>
        <v>0</v>
      </c>
      <c r="BV487" s="65"/>
      <c r="BW487" s="204"/>
      <c r="BX487" s="156">
        <f>IF(B487&lt;&gt;"",_xlfn.XLOOKUP(B487,'Cronog. e Histog.'!B:B,'Cronog. e Histog.'!EM:EM),0)</f>
        <v>0</v>
      </c>
      <c r="BY487" s="109">
        <f>($O487/Dashboard!$D$15)*(1+Dashboard!$D$21)</f>
        <v>16.869834710743799</v>
      </c>
      <c r="BZ487" s="84">
        <f t="shared" si="656"/>
        <v>0</v>
      </c>
    </row>
    <row r="488" spans="2:78" ht="12" customHeight="1" outlineLevel="1">
      <c r="B488" s="137" t="str">
        <f>'Cronog. e Histog.'!B639</f>
        <v>EST_II - Equipe_01</v>
      </c>
      <c r="C488" s="65"/>
      <c r="D488" s="200">
        <f t="shared" si="622"/>
        <v>0</v>
      </c>
      <c r="E488" s="200">
        <f t="shared" si="623"/>
        <v>0</v>
      </c>
      <c r="F488" s="65"/>
      <c r="G488" s="200">
        <f t="shared" si="624"/>
        <v>0</v>
      </c>
      <c r="H488" s="200">
        <f t="shared" si="625"/>
        <v>0</v>
      </c>
      <c r="I488" s="65"/>
      <c r="J488" s="143" t="str">
        <f>IF('Cronog. e Histog.'!G639&gt;0,'Cronog. e Histog.'!G639,"")</f>
        <v>EST_II</v>
      </c>
      <c r="K488" s="65"/>
      <c r="L488" s="144">
        <f>'Cronog. e Histog.'!BT639</f>
        <v>0</v>
      </c>
      <c r="M488" s="144">
        <f>'Cronog. e Histog.'!BU639</f>
        <v>0</v>
      </c>
      <c r="N488" s="65"/>
      <c r="O488" s="109">
        <f>_xlfn.XLOOKUP(B488,Salários!B:B,Salários!K:K)</f>
        <v>1633</v>
      </c>
      <c r="P488" s="109">
        <f t="shared" si="640"/>
        <v>0</v>
      </c>
      <c r="Q488" s="109">
        <f t="shared" si="641"/>
        <v>0</v>
      </c>
      <c r="R488" s="65"/>
      <c r="S488" s="109">
        <f t="shared" si="642"/>
        <v>1633</v>
      </c>
      <c r="T488" s="201" t="str">
        <f>IF(_xlfn.XLOOKUP(B488,Salários!B:B,Salários!I:I)&gt;0,_xlfn.XLOOKUP(B488,Salários!B:B,Salários!I:I),"")</f>
        <v>PJ</v>
      </c>
      <c r="U488" s="117">
        <f t="shared" si="643"/>
        <v>0</v>
      </c>
      <c r="V488" s="65"/>
      <c r="W488" s="202"/>
      <c r="X488" s="65"/>
      <c r="Y488" s="69"/>
      <c r="Z488" s="65"/>
      <c r="AA488" s="518"/>
      <c r="AB488" s="65"/>
      <c r="AC488" s="81">
        <f t="shared" si="630"/>
        <v>0</v>
      </c>
      <c r="AD488" s="65"/>
      <c r="AE488" s="112"/>
      <c r="AF488" s="203">
        <v>0.3</v>
      </c>
      <c r="AG488" s="109">
        <f t="shared" si="44"/>
        <v>1633</v>
      </c>
      <c r="AH488" s="84">
        <f t="shared" si="631"/>
        <v>0</v>
      </c>
      <c r="AI488" s="65"/>
      <c r="AJ488" s="112"/>
      <c r="AK488" s="122"/>
      <c r="AL488" s="109">
        <v>1212</v>
      </c>
      <c r="AM488" s="84">
        <f t="shared" si="632"/>
        <v>0</v>
      </c>
      <c r="AN488" s="65"/>
      <c r="AO488" s="112"/>
      <c r="AP488" s="204"/>
      <c r="AQ488" s="109">
        <f>IFERROR((O488+AH488+AM488)/Dashboard!$D$15,0)*0.2</f>
        <v>1.6869834710743801</v>
      </c>
      <c r="AR488" s="84">
        <f t="shared" si="633"/>
        <v>0</v>
      </c>
      <c r="AS488" s="65"/>
      <c r="AT488" s="112"/>
      <c r="AU488" s="203">
        <v>0.33</v>
      </c>
      <c r="AV488" s="109">
        <f t="shared" si="634"/>
        <v>1633</v>
      </c>
      <c r="AW488" s="84">
        <f t="shared" si="635"/>
        <v>0</v>
      </c>
      <c r="AX488" s="65"/>
      <c r="AY488" s="112"/>
      <c r="AZ488" s="203">
        <v>0.25</v>
      </c>
      <c r="BA488" s="109">
        <f t="shared" si="50"/>
        <v>1633</v>
      </c>
      <c r="BB488" s="84">
        <f t="shared" si="636"/>
        <v>0</v>
      </c>
      <c r="BC488" s="65"/>
      <c r="BD488" s="112"/>
      <c r="BE488" s="203">
        <v>0.26</v>
      </c>
      <c r="BF488" s="109">
        <f t="shared" si="637"/>
        <v>1633</v>
      </c>
      <c r="BG488" s="84">
        <f t="shared" si="638"/>
        <v>0</v>
      </c>
      <c r="BH488" s="197"/>
      <c r="BI488" s="518"/>
      <c r="BJ488" s="65"/>
      <c r="BK488" s="81">
        <f t="shared" si="639"/>
        <v>0</v>
      </c>
      <c r="BL488" s="65"/>
      <c r="BM488" s="204"/>
      <c r="BN488" s="156">
        <f>IF(B488&lt;&gt;"",_xlfn.XLOOKUP(B488,'Cronog. e Histog.'!B:B,'Cronog. e Histog.'!EK:EK),0)</f>
        <v>0</v>
      </c>
      <c r="BO488" s="109">
        <f>($O488/Dashboard!$D$15)*(1+Dashboard!$D$19)</f>
        <v>12.652376033057848</v>
      </c>
      <c r="BP488" s="84">
        <f t="shared" si="654"/>
        <v>0</v>
      </c>
      <c r="BQ488" s="65"/>
      <c r="BR488" s="204"/>
      <c r="BS488" s="156">
        <f>IF(B488&lt;&gt;"",_xlfn.XLOOKUP(B488,'Cronog. e Histog.'!B:B,'Cronog. e Histog.'!EL:EL),0)</f>
        <v>0</v>
      </c>
      <c r="BT488" s="109">
        <f>($O488/Dashboard!$D$15)*(1+Dashboard!$D$20)</f>
        <v>14.761105371900824</v>
      </c>
      <c r="BU488" s="84">
        <f t="shared" si="655"/>
        <v>0</v>
      </c>
      <c r="BV488" s="65"/>
      <c r="BW488" s="204"/>
      <c r="BX488" s="156">
        <f>IF(B488&lt;&gt;"",_xlfn.XLOOKUP(B488,'Cronog. e Histog.'!B:B,'Cronog. e Histog.'!EM:EM),0)</f>
        <v>0</v>
      </c>
      <c r="BY488" s="109">
        <f>($O488/Dashboard!$D$15)*(1+Dashboard!$D$21)</f>
        <v>16.869834710743799</v>
      </c>
      <c r="BZ488" s="84">
        <f t="shared" si="656"/>
        <v>0</v>
      </c>
    </row>
    <row r="489" spans="2:78" ht="12" customHeight="1" outlineLevel="1">
      <c r="B489" s="137" t="str">
        <f>'Cronog. e Histog.'!B640</f>
        <v>EST_III - Equipe_01</v>
      </c>
      <c r="C489" s="65"/>
      <c r="D489" s="200">
        <f t="shared" si="622"/>
        <v>0</v>
      </c>
      <c r="E489" s="200">
        <f t="shared" si="623"/>
        <v>0</v>
      </c>
      <c r="F489" s="65"/>
      <c r="G489" s="200">
        <f t="shared" si="624"/>
        <v>0</v>
      </c>
      <c r="H489" s="200">
        <f t="shared" si="625"/>
        <v>0</v>
      </c>
      <c r="I489" s="65"/>
      <c r="J489" s="143" t="str">
        <f>IF('Cronog. e Histog.'!G640&gt;0,'Cronog. e Histog.'!G640,"")</f>
        <v>EST_III</v>
      </c>
      <c r="K489" s="65"/>
      <c r="L489" s="144">
        <f>'Cronog. e Histog.'!BT640</f>
        <v>0</v>
      </c>
      <c r="M489" s="144">
        <f>'Cronog. e Histog.'!BU640</f>
        <v>0</v>
      </c>
      <c r="N489" s="65"/>
      <c r="O489" s="109">
        <f>_xlfn.XLOOKUP(B489,Salários!B:B,Salários!K:K)</f>
        <v>1633</v>
      </c>
      <c r="P489" s="109">
        <f t="shared" si="640"/>
        <v>0</v>
      </c>
      <c r="Q489" s="109">
        <f t="shared" si="641"/>
        <v>0</v>
      </c>
      <c r="R489" s="65"/>
      <c r="S489" s="109">
        <f t="shared" si="642"/>
        <v>1633</v>
      </c>
      <c r="T489" s="201" t="str">
        <f>IF(_xlfn.XLOOKUP(B489,Salários!B:B,Salários!I:I)&gt;0,_xlfn.XLOOKUP(B489,Salários!B:B,Salários!I:I),"")</f>
        <v>PJ</v>
      </c>
      <c r="U489" s="117">
        <f t="shared" si="643"/>
        <v>0</v>
      </c>
      <c r="V489" s="65"/>
      <c r="W489" s="202"/>
      <c r="X489" s="65"/>
      <c r="Y489" s="69"/>
      <c r="Z489" s="65"/>
      <c r="AA489" s="518"/>
      <c r="AB489" s="65"/>
      <c r="AC489" s="81">
        <f t="shared" si="630"/>
        <v>0</v>
      </c>
      <c r="AD489" s="65"/>
      <c r="AE489" s="112"/>
      <c r="AF489" s="203">
        <v>0.3</v>
      </c>
      <c r="AG489" s="109">
        <f t="shared" si="44"/>
        <v>1633</v>
      </c>
      <c r="AH489" s="84">
        <f t="shared" si="631"/>
        <v>0</v>
      </c>
      <c r="AI489" s="65"/>
      <c r="AJ489" s="112"/>
      <c r="AK489" s="122"/>
      <c r="AL489" s="109">
        <v>1212</v>
      </c>
      <c r="AM489" s="84">
        <f t="shared" si="632"/>
        <v>0</v>
      </c>
      <c r="AN489" s="65"/>
      <c r="AO489" s="112"/>
      <c r="AP489" s="204"/>
      <c r="AQ489" s="109">
        <f>IFERROR((O489+AH489+AM489)/Dashboard!$D$15,0)*0.2</f>
        <v>1.6869834710743801</v>
      </c>
      <c r="AR489" s="84">
        <f t="shared" si="633"/>
        <v>0</v>
      </c>
      <c r="AS489" s="65"/>
      <c r="AT489" s="112"/>
      <c r="AU489" s="203">
        <v>0.33</v>
      </c>
      <c r="AV489" s="109">
        <f t="shared" si="634"/>
        <v>1633</v>
      </c>
      <c r="AW489" s="84">
        <f t="shared" si="635"/>
        <v>0</v>
      </c>
      <c r="AX489" s="65"/>
      <c r="AY489" s="112"/>
      <c r="AZ489" s="203">
        <v>0.25</v>
      </c>
      <c r="BA489" s="109">
        <f t="shared" si="50"/>
        <v>1633</v>
      </c>
      <c r="BB489" s="84">
        <f t="shared" si="636"/>
        <v>0</v>
      </c>
      <c r="BC489" s="65"/>
      <c r="BD489" s="112"/>
      <c r="BE489" s="203">
        <v>0.26</v>
      </c>
      <c r="BF489" s="109">
        <f t="shared" si="637"/>
        <v>1633</v>
      </c>
      <c r="BG489" s="84">
        <f t="shared" si="638"/>
        <v>0</v>
      </c>
      <c r="BH489" s="197"/>
      <c r="BI489" s="518"/>
      <c r="BJ489" s="65"/>
      <c r="BK489" s="81">
        <f t="shared" si="639"/>
        <v>0</v>
      </c>
      <c r="BL489" s="65"/>
      <c r="BM489" s="204"/>
      <c r="BN489" s="156">
        <f>IF(B489&lt;&gt;"",_xlfn.XLOOKUP(B489,'Cronog. e Histog.'!B:B,'Cronog. e Histog.'!EK:EK),0)</f>
        <v>0</v>
      </c>
      <c r="BO489" s="109">
        <f>($O489/Dashboard!$D$15)*(1+Dashboard!$D$19)</f>
        <v>12.652376033057848</v>
      </c>
      <c r="BP489" s="84">
        <f t="shared" si="654"/>
        <v>0</v>
      </c>
      <c r="BQ489" s="65"/>
      <c r="BR489" s="204"/>
      <c r="BS489" s="156">
        <f>IF(B489&lt;&gt;"",_xlfn.XLOOKUP(B489,'Cronog. e Histog.'!B:B,'Cronog. e Histog.'!EL:EL),0)</f>
        <v>0</v>
      </c>
      <c r="BT489" s="109">
        <f>($O489/Dashboard!$D$15)*(1+Dashboard!$D$20)</f>
        <v>14.761105371900824</v>
      </c>
      <c r="BU489" s="84">
        <f t="shared" si="655"/>
        <v>0</v>
      </c>
      <c r="BV489" s="65"/>
      <c r="BW489" s="204"/>
      <c r="BX489" s="156">
        <f>IF(B489&lt;&gt;"",_xlfn.XLOOKUP(B489,'Cronog. e Histog.'!B:B,'Cronog. e Histog.'!EM:EM),0)</f>
        <v>0</v>
      </c>
      <c r="BY489" s="109">
        <f>($O489/Dashboard!$D$15)*(1+Dashboard!$D$21)</f>
        <v>16.869834710743799</v>
      </c>
      <c r="BZ489" s="84">
        <f t="shared" si="656"/>
        <v>0</v>
      </c>
    </row>
    <row r="490" spans="2:78" ht="12" customHeight="1" outlineLevel="1"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9"/>
      <c r="Z490" s="65"/>
      <c r="AA490" s="518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5"/>
      <c r="AT490" s="65"/>
      <c r="AU490" s="65"/>
      <c r="AV490" s="65"/>
      <c r="AW490" s="65"/>
      <c r="AX490" s="65"/>
      <c r="AY490" s="65"/>
      <c r="AZ490" s="65"/>
      <c r="BA490" s="65"/>
      <c r="BB490" s="65"/>
      <c r="BC490" s="65"/>
      <c r="BD490" s="65"/>
      <c r="BE490" s="65"/>
      <c r="BF490" s="65"/>
      <c r="BG490" s="65"/>
      <c r="BH490" s="197"/>
      <c r="BI490" s="518"/>
      <c r="BJ490" s="65"/>
      <c r="BK490" s="65"/>
      <c r="BL490" s="65"/>
      <c r="BM490" s="65"/>
      <c r="BN490" s="65"/>
      <c r="BO490" s="65"/>
      <c r="BP490" s="65"/>
      <c r="BQ490" s="65"/>
      <c r="BR490" s="65"/>
      <c r="BS490" s="65"/>
      <c r="BT490" s="65"/>
      <c r="BU490" s="65"/>
      <c r="BV490" s="65"/>
      <c r="BW490" s="65"/>
      <c r="BX490" s="65"/>
      <c r="BY490" s="65"/>
      <c r="BZ490" s="65"/>
    </row>
    <row r="491" spans="2:78" ht="12" customHeight="1" outlineLevel="1">
      <c r="B491" s="65"/>
      <c r="C491" s="65"/>
      <c r="D491" s="65"/>
      <c r="E491" s="65"/>
      <c r="F491" s="65"/>
      <c r="G491" s="65"/>
      <c r="H491" s="65"/>
      <c r="I491" s="65"/>
      <c r="J491" s="199" t="str">
        <f>'Cronog. e Histog.'!F643</f>
        <v>Equipe19</v>
      </c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9"/>
      <c r="Z491" s="65"/>
      <c r="AA491" s="518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5"/>
      <c r="AT491" s="65"/>
      <c r="AU491" s="65"/>
      <c r="AV491" s="65"/>
      <c r="AW491" s="65"/>
      <c r="AX491" s="65"/>
      <c r="AY491" s="65"/>
      <c r="AZ491" s="65"/>
      <c r="BA491" s="65"/>
      <c r="BB491" s="65"/>
      <c r="BC491" s="65"/>
      <c r="BD491" s="65"/>
      <c r="BE491" s="65"/>
      <c r="BF491" s="65"/>
      <c r="BG491" s="65"/>
      <c r="BH491" s="197"/>
      <c r="BI491" s="518"/>
      <c r="BJ491" s="65"/>
      <c r="BK491" s="65"/>
      <c r="BL491" s="65"/>
      <c r="BM491" s="65"/>
      <c r="BN491" s="65"/>
      <c r="BO491" s="65"/>
      <c r="BP491" s="65"/>
      <c r="BQ491" s="65"/>
      <c r="BR491" s="65"/>
      <c r="BS491" s="65"/>
      <c r="BT491" s="65"/>
      <c r="BU491" s="65"/>
      <c r="BV491" s="65"/>
      <c r="BW491" s="65"/>
      <c r="BX491" s="65"/>
      <c r="BY491" s="65"/>
      <c r="BZ491" s="65"/>
    </row>
    <row r="492" spans="2:78" ht="12" customHeight="1" outlineLevel="1">
      <c r="B492" s="137" t="str">
        <f>'Cronog. e Histog.'!B645</f>
        <v>GER. (OBRA/PROJ) - Equipe_01</v>
      </c>
      <c r="C492" s="65"/>
      <c r="D492" s="200">
        <f t="shared" ref="D492:D511" si="657">IF(T492="mensalista",L492,0)</f>
        <v>0</v>
      </c>
      <c r="E492" s="200">
        <f t="shared" ref="E492:E511" si="658">IF(T492="mensalista",M492,0)</f>
        <v>0</v>
      </c>
      <c r="F492" s="65"/>
      <c r="G492" s="200">
        <f t="shared" ref="G492:G511" si="659">IF(T492="mensalista",L492,0)</f>
        <v>0</v>
      </c>
      <c r="H492" s="200">
        <f t="shared" ref="H492:H511" si="660">IF(T492="mensalista",M492,0)</f>
        <v>0</v>
      </c>
      <c r="I492" s="65"/>
      <c r="J492" s="143" t="str">
        <f>IF('Cronog. e Histog.'!G645&gt;0,'Cronog. e Histog.'!G645,"")</f>
        <v>GER. (OBRA/PROJ)</v>
      </c>
      <c r="K492" s="65"/>
      <c r="L492" s="144">
        <f>'Cronog. e Histog.'!BT645</f>
        <v>0</v>
      </c>
      <c r="M492" s="144">
        <f>'Cronog. e Histog.'!BU645</f>
        <v>0</v>
      </c>
      <c r="N492" s="65"/>
      <c r="O492" s="109">
        <f>_xlfn.XLOOKUP(B492,Salários!B:B,Salários!K:K)</f>
        <v>21000</v>
      </c>
      <c r="P492" s="109">
        <f t="shared" ref="P492" si="661">AC492</f>
        <v>0</v>
      </c>
      <c r="Q492" s="109">
        <f t="shared" ref="Q492" si="662">BK492</f>
        <v>0</v>
      </c>
      <c r="R492" s="65"/>
      <c r="S492" s="109">
        <f t="shared" ref="S492" si="663">SUM(O492:Q492)</f>
        <v>21000</v>
      </c>
      <c r="T492" s="201" t="str">
        <f>IF(_xlfn.XLOOKUP(B492,Salários!B:B,Salários!I:I)&gt;0,_xlfn.XLOOKUP(B492,Salários!B:B,Salários!I:I),"")</f>
        <v>PJ</v>
      </c>
      <c r="U492" s="117">
        <f t="shared" ref="U492" si="664">L492*M492*S492</f>
        <v>0</v>
      </c>
      <c r="V492" s="65"/>
      <c r="W492" s="202"/>
      <c r="X492" s="65"/>
      <c r="Y492" s="69"/>
      <c r="Z492" s="65"/>
      <c r="AA492" s="518"/>
      <c r="AB492" s="65"/>
      <c r="AC492" s="81">
        <f t="shared" ref="AC492:AC511" si="665">AH492+AM492+AR492+AW492+BB492+BG492</f>
        <v>0</v>
      </c>
      <c r="AD492" s="65"/>
      <c r="AE492" s="112"/>
      <c r="AF492" s="203">
        <v>0.3</v>
      </c>
      <c r="AG492" s="109">
        <f t="shared" si="44"/>
        <v>21000</v>
      </c>
      <c r="AH492" s="84">
        <f t="shared" ref="AH492:AH511" si="666">IF(AE492="sim",AF492*AG492,0)</f>
        <v>0</v>
      </c>
      <c r="AI492" s="65"/>
      <c r="AJ492" s="112"/>
      <c r="AK492" s="122"/>
      <c r="AL492" s="109">
        <v>1212</v>
      </c>
      <c r="AM492" s="84">
        <f t="shared" ref="AM492:AM511" si="667">IF(AJ492="sim",AK492*AL492,0)</f>
        <v>0</v>
      </c>
      <c r="AN492" s="65"/>
      <c r="AO492" s="112"/>
      <c r="AP492" s="204"/>
      <c r="AQ492" s="109">
        <f>IFERROR((O492+AH492+AM492)/Dashboard!$D$15,0)*0.2</f>
        <v>21.694214876033058</v>
      </c>
      <c r="AR492" s="84">
        <f t="shared" ref="AR492:AR511" si="668">IF(AO492="sim",AP492*AQ492,0)</f>
        <v>0</v>
      </c>
      <c r="AS492" s="65"/>
      <c r="AT492" s="112"/>
      <c r="AU492" s="203">
        <v>0.33</v>
      </c>
      <c r="AV492" s="109">
        <f t="shared" ref="AV492:AV511" si="669">$O492</f>
        <v>21000</v>
      </c>
      <c r="AW492" s="84">
        <f t="shared" ref="AW492:AW511" si="670">IF(AT492="sim",AU492*AV492,0)</f>
        <v>0</v>
      </c>
      <c r="AX492" s="65"/>
      <c r="AY492" s="112"/>
      <c r="AZ492" s="203">
        <v>0.25</v>
      </c>
      <c r="BA492" s="109">
        <f t="shared" si="50"/>
        <v>21000</v>
      </c>
      <c r="BB492" s="84">
        <f t="shared" ref="BB492:BB511" si="671">IF(AY492="sim",AZ492*BA492,0)</f>
        <v>0</v>
      </c>
      <c r="BC492" s="65"/>
      <c r="BD492" s="112"/>
      <c r="BE492" s="203">
        <v>0.26</v>
      </c>
      <c r="BF492" s="109">
        <f t="shared" ref="BF492:BF511" si="672">$O492</f>
        <v>21000</v>
      </c>
      <c r="BG492" s="84">
        <f t="shared" ref="BG492:BG511" si="673">IF(BD492="sim",BE492*BF492,0)</f>
        <v>0</v>
      </c>
      <c r="BH492" s="197"/>
      <c r="BI492" s="518"/>
      <c r="BJ492" s="65"/>
      <c r="BK492" s="81">
        <f t="shared" ref="BK492:BK511" si="674">BP492+BU492+BZ492</f>
        <v>0</v>
      </c>
      <c r="BL492" s="65"/>
      <c r="BM492" s="204"/>
      <c r="BN492" s="156">
        <f>IF(B492&lt;&gt;"",_xlfn.XLOOKUP(B492,'Cronog. e Histog.'!B:B,'Cronog. e Histog.'!EK:EK),0)</f>
        <v>0</v>
      </c>
      <c r="BO492" s="109">
        <f>($O492/Dashboard!$D$15)*(1+Dashboard!$D$19)</f>
        <v>162.7066115702479</v>
      </c>
      <c r="BP492" s="84">
        <f>SUM(BM492:BN492)*BO492</f>
        <v>0</v>
      </c>
      <c r="BQ492" s="65"/>
      <c r="BR492" s="204"/>
      <c r="BS492" s="156">
        <f>IF(B492&lt;&gt;"",_xlfn.XLOOKUP(B492,'Cronog. e Histog.'!B:B,'Cronog. e Histog.'!EL:EL),0)</f>
        <v>0</v>
      </c>
      <c r="BT492" s="109">
        <f>($O492/Dashboard!$D$15)*(1+Dashboard!$D$20)</f>
        <v>189.82438016528923</v>
      </c>
      <c r="BU492" s="84">
        <f>SUM(BR492:BS492)*BT492</f>
        <v>0</v>
      </c>
      <c r="BV492" s="65"/>
      <c r="BW492" s="204"/>
      <c r="BX492" s="156">
        <f>IF(B492&lt;&gt;"",_xlfn.XLOOKUP(B492,'Cronog. e Histog.'!B:B,'Cronog. e Histog.'!EM:EM),0)</f>
        <v>0</v>
      </c>
      <c r="BY492" s="109">
        <f>($O492/Dashboard!$D$15)*(1+Dashboard!$D$21)</f>
        <v>216.94214876033055</v>
      </c>
      <c r="BZ492" s="84">
        <f>SUM(BW492:BX492)*BY492</f>
        <v>0</v>
      </c>
    </row>
    <row r="493" spans="2:78" ht="12" customHeight="1" outlineLevel="1">
      <c r="B493" s="137" t="str">
        <f>'Cronog. e Histog.'!B646</f>
        <v>COORD. - Equipe_01</v>
      </c>
      <c r="C493" s="65"/>
      <c r="D493" s="200">
        <f t="shared" si="657"/>
        <v>0</v>
      </c>
      <c r="E493" s="200">
        <f t="shared" si="658"/>
        <v>0</v>
      </c>
      <c r="F493" s="65"/>
      <c r="G493" s="200">
        <f t="shared" si="659"/>
        <v>0</v>
      </c>
      <c r="H493" s="200">
        <f t="shared" si="660"/>
        <v>0</v>
      </c>
      <c r="I493" s="65"/>
      <c r="J493" s="143" t="str">
        <f>IF('Cronog. e Histog.'!G646&gt;0,'Cronog. e Histog.'!G646,"")</f>
        <v>COORD.</v>
      </c>
      <c r="K493" s="65"/>
      <c r="L493" s="144">
        <f>'Cronog. e Histog.'!BT646</f>
        <v>0</v>
      </c>
      <c r="M493" s="144">
        <f>'Cronog. e Histog.'!BU646</f>
        <v>0</v>
      </c>
      <c r="N493" s="65"/>
      <c r="O493" s="109">
        <f>_xlfn.XLOOKUP(B493,Salários!B:B,Salários!K:K)</f>
        <v>19000</v>
      </c>
      <c r="P493" s="109">
        <f t="shared" ref="P493:P511" si="675">AC493</f>
        <v>0</v>
      </c>
      <c r="Q493" s="109">
        <f t="shared" ref="Q493:Q511" si="676">BK493</f>
        <v>0</v>
      </c>
      <c r="R493" s="65"/>
      <c r="S493" s="109">
        <f t="shared" ref="S493:S511" si="677">SUM(O493:Q493)</f>
        <v>19000</v>
      </c>
      <c r="T493" s="201" t="str">
        <f>IF(_xlfn.XLOOKUP(B493,Salários!B:B,Salários!I:I)&gt;0,_xlfn.XLOOKUP(B493,Salários!B:B,Salários!I:I),"")</f>
        <v>PJ</v>
      </c>
      <c r="U493" s="117">
        <f t="shared" ref="U493:U511" si="678">L493*M493*S493</f>
        <v>0</v>
      </c>
      <c r="V493" s="65"/>
      <c r="W493" s="202"/>
      <c r="X493" s="65"/>
      <c r="Y493" s="69"/>
      <c r="Z493" s="65"/>
      <c r="AA493" s="518"/>
      <c r="AB493" s="65"/>
      <c r="AC493" s="81">
        <f t="shared" ref="AC493:AC502" si="679">AH493+AM493+AR493+AW493+BB493+BG493</f>
        <v>0</v>
      </c>
      <c r="AD493" s="65"/>
      <c r="AE493" s="112"/>
      <c r="AF493" s="203">
        <v>0.3</v>
      </c>
      <c r="AG493" s="109">
        <f t="shared" ref="AG493:AG502" si="680">$O493</f>
        <v>19000</v>
      </c>
      <c r="AH493" s="84">
        <f t="shared" ref="AH493:AH502" si="681">IF(AE493="sim",AF493*AG493,0)</f>
        <v>0</v>
      </c>
      <c r="AI493" s="65"/>
      <c r="AJ493" s="112"/>
      <c r="AK493" s="122"/>
      <c r="AL493" s="109">
        <v>1212</v>
      </c>
      <c r="AM493" s="84">
        <f t="shared" ref="AM493:AM502" si="682">IF(AJ493="sim",AK493*AL493,0)</f>
        <v>0</v>
      </c>
      <c r="AN493" s="65"/>
      <c r="AO493" s="112"/>
      <c r="AP493" s="204"/>
      <c r="AQ493" s="109">
        <f>IFERROR((O493+AH493+AM493)/Dashboard!$D$15,0)*0.2</f>
        <v>19.628099173553718</v>
      </c>
      <c r="AR493" s="84">
        <f t="shared" ref="AR493:AR502" si="683">IF(AO493="sim",AP493*AQ493,0)</f>
        <v>0</v>
      </c>
      <c r="AS493" s="65"/>
      <c r="AT493" s="112"/>
      <c r="AU493" s="203">
        <v>0.33</v>
      </c>
      <c r="AV493" s="109">
        <f t="shared" si="669"/>
        <v>19000</v>
      </c>
      <c r="AW493" s="84">
        <f t="shared" ref="AW493:AW502" si="684">IF(AT493="sim",AU493*AV493,0)</f>
        <v>0</v>
      </c>
      <c r="AX493" s="65"/>
      <c r="AY493" s="112"/>
      <c r="AZ493" s="203">
        <v>0.25</v>
      </c>
      <c r="BA493" s="109">
        <f t="shared" ref="BA493:BA502" si="685">$O493</f>
        <v>19000</v>
      </c>
      <c r="BB493" s="84">
        <f t="shared" ref="BB493:BB502" si="686">IF(AY493="sim",AZ493*BA493,0)</f>
        <v>0</v>
      </c>
      <c r="BC493" s="65"/>
      <c r="BD493" s="112"/>
      <c r="BE493" s="203">
        <v>0.26</v>
      </c>
      <c r="BF493" s="109">
        <f t="shared" si="672"/>
        <v>19000</v>
      </c>
      <c r="BG493" s="84">
        <f t="shared" ref="BG493:BG502" si="687">IF(BD493="sim",BE493*BF493,0)</f>
        <v>0</v>
      </c>
      <c r="BH493" s="197"/>
      <c r="BI493" s="518"/>
      <c r="BJ493" s="65"/>
      <c r="BK493" s="81">
        <f t="shared" ref="BK493:BK502" si="688">BP493+BU493+BZ493</f>
        <v>0</v>
      </c>
      <c r="BL493" s="65"/>
      <c r="BM493" s="204"/>
      <c r="BN493" s="156">
        <f>IF(B493&lt;&gt;"",_xlfn.XLOOKUP(B493,'Cronog. e Histog.'!B:B,'Cronog. e Histog.'!EK:EK),0)</f>
        <v>0</v>
      </c>
      <c r="BO493" s="109">
        <f>($O493/Dashboard!$D$15)*(1+Dashboard!$D$19)</f>
        <v>147.21074380165288</v>
      </c>
      <c r="BP493" s="84">
        <f t="shared" ref="BP493:BP511" si="689">SUM(BM493:BN493)*BO493</f>
        <v>0</v>
      </c>
      <c r="BQ493" s="65"/>
      <c r="BR493" s="204"/>
      <c r="BS493" s="156">
        <f>IF(B493&lt;&gt;"",_xlfn.XLOOKUP(B493,'Cronog. e Histog.'!B:B,'Cronog. e Histog.'!EL:EL),0)</f>
        <v>0</v>
      </c>
      <c r="BT493" s="109">
        <f>($O493/Dashboard!$D$15)*(1+Dashboard!$D$20)</f>
        <v>171.74586776859502</v>
      </c>
      <c r="BU493" s="84">
        <f t="shared" ref="BU493:BU511" si="690">SUM(BR493:BS493)*BT493</f>
        <v>0</v>
      </c>
      <c r="BV493" s="65"/>
      <c r="BW493" s="204"/>
      <c r="BX493" s="156">
        <f>IF(B493&lt;&gt;"",_xlfn.XLOOKUP(B493,'Cronog. e Histog.'!B:B,'Cronog. e Histog.'!EM:EM),0)</f>
        <v>0</v>
      </c>
      <c r="BY493" s="109">
        <f>($O493/Dashboard!$D$15)*(1+Dashboard!$D$21)</f>
        <v>196.28099173553716</v>
      </c>
      <c r="BZ493" s="84">
        <f t="shared" ref="BZ493:BZ511" si="691">SUM(BW493:BX493)*BY493</f>
        <v>0</v>
      </c>
    </row>
    <row r="494" spans="2:78" ht="12" customHeight="1" outlineLevel="1">
      <c r="B494" s="137" t="str">
        <f>'Cronog. e Histog.'!B647</f>
        <v>SUP.-ESP - Equipe_01</v>
      </c>
      <c r="C494" s="65"/>
      <c r="D494" s="200">
        <f t="shared" si="657"/>
        <v>0</v>
      </c>
      <c r="E494" s="200">
        <f t="shared" si="658"/>
        <v>0</v>
      </c>
      <c r="F494" s="65"/>
      <c r="G494" s="200">
        <f t="shared" si="659"/>
        <v>0</v>
      </c>
      <c r="H494" s="200">
        <f t="shared" si="660"/>
        <v>0</v>
      </c>
      <c r="I494" s="65"/>
      <c r="J494" s="143" t="str">
        <f>IF('Cronog. e Histog.'!G647&gt;0,'Cronog. e Histog.'!G647,"")</f>
        <v>SUP.-ESP</v>
      </c>
      <c r="K494" s="65"/>
      <c r="L494" s="144">
        <f>'Cronog. e Histog.'!BT647</f>
        <v>0</v>
      </c>
      <c r="M494" s="144">
        <f>'Cronog. e Histog.'!BU647</f>
        <v>0</v>
      </c>
      <c r="N494" s="65"/>
      <c r="O494" s="109">
        <f>_xlfn.XLOOKUP(B494,Salários!B:B,Salários!K:K)</f>
        <v>9716.67</v>
      </c>
      <c r="P494" s="109">
        <f t="shared" si="675"/>
        <v>0</v>
      </c>
      <c r="Q494" s="109">
        <f t="shared" si="676"/>
        <v>0</v>
      </c>
      <c r="R494" s="65"/>
      <c r="S494" s="109">
        <f t="shared" si="677"/>
        <v>9716.67</v>
      </c>
      <c r="T494" s="201" t="str">
        <f>IF(_xlfn.XLOOKUP(B494,Salários!B:B,Salários!I:I)&gt;0,_xlfn.XLOOKUP(B494,Salários!B:B,Salários!I:I),"")</f>
        <v>Mensalista</v>
      </c>
      <c r="U494" s="117">
        <f t="shared" si="678"/>
        <v>0</v>
      </c>
      <c r="V494" s="65"/>
      <c r="W494" s="202"/>
      <c r="X494" s="65"/>
      <c r="Y494" s="69"/>
      <c r="Z494" s="65"/>
      <c r="AA494" s="518"/>
      <c r="AB494" s="65"/>
      <c r="AC494" s="81">
        <f t="shared" si="679"/>
        <v>0</v>
      </c>
      <c r="AD494" s="65"/>
      <c r="AE494" s="112"/>
      <c r="AF494" s="203">
        <v>0.3</v>
      </c>
      <c r="AG494" s="109">
        <f t="shared" si="680"/>
        <v>9716.67</v>
      </c>
      <c r="AH494" s="84">
        <f t="shared" si="681"/>
        <v>0</v>
      </c>
      <c r="AI494" s="65"/>
      <c r="AJ494" s="112"/>
      <c r="AK494" s="122"/>
      <c r="AL494" s="109">
        <v>1212</v>
      </c>
      <c r="AM494" s="84">
        <f t="shared" si="682"/>
        <v>0</v>
      </c>
      <c r="AN494" s="65"/>
      <c r="AO494" s="112"/>
      <c r="AP494" s="204"/>
      <c r="AQ494" s="109">
        <f>IFERROR((O494+AH494+AM494)/Dashboard!$D$15,0)*0.2</f>
        <v>10.037882231404957</v>
      </c>
      <c r="AR494" s="84">
        <f t="shared" si="683"/>
        <v>0</v>
      </c>
      <c r="AS494" s="65"/>
      <c r="AT494" s="112"/>
      <c r="AU494" s="203">
        <v>0.33</v>
      </c>
      <c r="AV494" s="109">
        <f t="shared" si="669"/>
        <v>9716.67</v>
      </c>
      <c r="AW494" s="84">
        <f t="shared" si="684"/>
        <v>0</v>
      </c>
      <c r="AX494" s="65"/>
      <c r="AY494" s="112"/>
      <c r="AZ494" s="203">
        <v>0.25</v>
      </c>
      <c r="BA494" s="109">
        <f t="shared" si="685"/>
        <v>9716.67</v>
      </c>
      <c r="BB494" s="84">
        <f t="shared" si="686"/>
        <v>0</v>
      </c>
      <c r="BC494" s="65"/>
      <c r="BD494" s="112"/>
      <c r="BE494" s="203">
        <v>0.26</v>
      </c>
      <c r="BF494" s="109">
        <f t="shared" si="672"/>
        <v>9716.67</v>
      </c>
      <c r="BG494" s="84">
        <f t="shared" si="687"/>
        <v>0</v>
      </c>
      <c r="BH494" s="197"/>
      <c r="BI494" s="518"/>
      <c r="BJ494" s="65"/>
      <c r="BK494" s="81">
        <f t="shared" si="688"/>
        <v>0</v>
      </c>
      <c r="BL494" s="65"/>
      <c r="BM494" s="204"/>
      <c r="BN494" s="156">
        <f>IF(B494&lt;&gt;"",_xlfn.XLOOKUP(B494,'Cronog. e Histog.'!B:B,'Cronog. e Histog.'!EK:EK),0)</f>
        <v>0</v>
      </c>
      <c r="BO494" s="109">
        <f>($O494/Dashboard!$D$15)*(1+Dashboard!$D$19)</f>
        <v>75.284116735537182</v>
      </c>
      <c r="BP494" s="84">
        <f t="shared" si="689"/>
        <v>0</v>
      </c>
      <c r="BQ494" s="65"/>
      <c r="BR494" s="204"/>
      <c r="BS494" s="156">
        <f>IF(B494&lt;&gt;"",_xlfn.XLOOKUP(B494,'Cronog. e Histog.'!B:B,'Cronog. e Histog.'!EL:EL),0)</f>
        <v>0</v>
      </c>
      <c r="BT494" s="109">
        <f>($O494/Dashboard!$D$15)*(1+Dashboard!$D$20)</f>
        <v>87.831469524793377</v>
      </c>
      <c r="BU494" s="84">
        <f t="shared" si="690"/>
        <v>0</v>
      </c>
      <c r="BV494" s="65"/>
      <c r="BW494" s="204"/>
      <c r="BX494" s="156">
        <f>IF(B494&lt;&gt;"",_xlfn.XLOOKUP(B494,'Cronog. e Histog.'!B:B,'Cronog. e Histog.'!EM:EM),0)</f>
        <v>0</v>
      </c>
      <c r="BY494" s="109">
        <f>($O494/Dashboard!$D$15)*(1+Dashboard!$D$21)</f>
        <v>100.37882231404957</v>
      </c>
      <c r="BZ494" s="84">
        <f t="shared" si="691"/>
        <v>0</v>
      </c>
    </row>
    <row r="495" spans="2:78" ht="12" customHeight="1" outlineLevel="1">
      <c r="B495" s="137" t="str">
        <f>'Cronog. e Histog.'!B648</f>
        <v>ENG/ARQ SR. - Equipe_01</v>
      </c>
      <c r="C495" s="65"/>
      <c r="D495" s="200">
        <f t="shared" si="657"/>
        <v>0</v>
      </c>
      <c r="E495" s="200">
        <f t="shared" si="658"/>
        <v>0</v>
      </c>
      <c r="F495" s="65"/>
      <c r="G495" s="200">
        <f t="shared" si="659"/>
        <v>0</v>
      </c>
      <c r="H495" s="200">
        <f t="shared" si="660"/>
        <v>0</v>
      </c>
      <c r="I495" s="65"/>
      <c r="J495" s="143" t="str">
        <f>IF('Cronog. e Histog.'!G648&gt;0,'Cronog. e Histog.'!G648,"")</f>
        <v>ENG/ARQ SR.</v>
      </c>
      <c r="K495" s="65"/>
      <c r="L495" s="144">
        <f>'Cronog. e Histog.'!BT648</f>
        <v>0</v>
      </c>
      <c r="M495" s="144">
        <f>'Cronog. e Histog.'!BU648</f>
        <v>0</v>
      </c>
      <c r="N495" s="65"/>
      <c r="O495" s="109">
        <f>_xlfn.XLOOKUP(B495,Salários!B:B,Salários!K:K)</f>
        <v>16000</v>
      </c>
      <c r="P495" s="109">
        <f t="shared" si="675"/>
        <v>0</v>
      </c>
      <c r="Q495" s="109">
        <f t="shared" si="676"/>
        <v>0</v>
      </c>
      <c r="R495" s="65"/>
      <c r="S495" s="109">
        <f t="shared" si="677"/>
        <v>16000</v>
      </c>
      <c r="T495" s="201" t="str">
        <f>IF(_xlfn.XLOOKUP(B495,Salários!B:B,Salários!I:I)&gt;0,_xlfn.XLOOKUP(B495,Salários!B:B,Salários!I:I),"")</f>
        <v>PJ</v>
      </c>
      <c r="U495" s="117">
        <f t="shared" si="678"/>
        <v>0</v>
      </c>
      <c r="V495" s="65"/>
      <c r="W495" s="202"/>
      <c r="X495" s="65"/>
      <c r="Y495" s="69"/>
      <c r="Z495" s="65"/>
      <c r="AA495" s="518"/>
      <c r="AB495" s="65"/>
      <c r="AC495" s="81">
        <f t="shared" si="679"/>
        <v>0</v>
      </c>
      <c r="AD495" s="65"/>
      <c r="AE495" s="112"/>
      <c r="AF495" s="203">
        <v>0.3</v>
      </c>
      <c r="AG495" s="109">
        <f t="shared" si="680"/>
        <v>16000</v>
      </c>
      <c r="AH495" s="84">
        <f t="shared" si="681"/>
        <v>0</v>
      </c>
      <c r="AI495" s="65"/>
      <c r="AJ495" s="112"/>
      <c r="AK495" s="122"/>
      <c r="AL495" s="109">
        <v>1212</v>
      </c>
      <c r="AM495" s="84">
        <f t="shared" si="682"/>
        <v>0</v>
      </c>
      <c r="AN495" s="65"/>
      <c r="AO495" s="112"/>
      <c r="AP495" s="204"/>
      <c r="AQ495" s="109">
        <f>IFERROR((O495+AH495+AM495)/Dashboard!$D$15,0)*0.2</f>
        <v>16.528925619834709</v>
      </c>
      <c r="AR495" s="84">
        <f t="shared" si="683"/>
        <v>0</v>
      </c>
      <c r="AS495" s="65"/>
      <c r="AT495" s="112"/>
      <c r="AU495" s="203">
        <v>0.33</v>
      </c>
      <c r="AV495" s="109">
        <f t="shared" si="669"/>
        <v>16000</v>
      </c>
      <c r="AW495" s="84">
        <f t="shared" si="684"/>
        <v>0</v>
      </c>
      <c r="AX495" s="65"/>
      <c r="AY495" s="112"/>
      <c r="AZ495" s="203">
        <v>0.25</v>
      </c>
      <c r="BA495" s="109">
        <f t="shared" si="685"/>
        <v>16000</v>
      </c>
      <c r="BB495" s="84">
        <f t="shared" si="686"/>
        <v>0</v>
      </c>
      <c r="BC495" s="65"/>
      <c r="BD495" s="112"/>
      <c r="BE495" s="203">
        <v>0.26</v>
      </c>
      <c r="BF495" s="109">
        <f t="shared" si="672"/>
        <v>16000</v>
      </c>
      <c r="BG495" s="84">
        <f t="shared" si="687"/>
        <v>0</v>
      </c>
      <c r="BH495" s="197"/>
      <c r="BI495" s="518"/>
      <c r="BJ495" s="65"/>
      <c r="BK495" s="81">
        <f t="shared" si="688"/>
        <v>0</v>
      </c>
      <c r="BL495" s="65"/>
      <c r="BM495" s="204"/>
      <c r="BN495" s="156">
        <f>IF(B495&lt;&gt;"",_xlfn.XLOOKUP(B495,'Cronog. e Histog.'!B:B,'Cronog. e Histog.'!EK:EK),0)</f>
        <v>0</v>
      </c>
      <c r="BO495" s="109">
        <f>($O495/Dashboard!$D$15)*(1+Dashboard!$D$19)</f>
        <v>123.96694214876032</v>
      </c>
      <c r="BP495" s="84">
        <f t="shared" si="689"/>
        <v>0</v>
      </c>
      <c r="BQ495" s="65"/>
      <c r="BR495" s="204"/>
      <c r="BS495" s="156">
        <f>IF(B495&lt;&gt;"",_xlfn.XLOOKUP(B495,'Cronog. e Histog.'!B:B,'Cronog. e Histog.'!EL:EL),0)</f>
        <v>0</v>
      </c>
      <c r="BT495" s="109">
        <f>($O495/Dashboard!$D$15)*(1+Dashboard!$D$20)</f>
        <v>144.62809917355369</v>
      </c>
      <c r="BU495" s="84">
        <f t="shared" si="690"/>
        <v>0</v>
      </c>
      <c r="BV495" s="65"/>
      <c r="BW495" s="204"/>
      <c r="BX495" s="156">
        <f>IF(B495&lt;&gt;"",_xlfn.XLOOKUP(B495,'Cronog. e Histog.'!B:B,'Cronog. e Histog.'!EM:EM),0)</f>
        <v>0</v>
      </c>
      <c r="BY495" s="109">
        <f>($O495/Dashboard!$D$15)*(1+Dashboard!$D$21)</f>
        <v>165.28925619834709</v>
      </c>
      <c r="BZ495" s="84">
        <f t="shared" si="691"/>
        <v>0</v>
      </c>
    </row>
    <row r="496" spans="2:78" ht="12" customHeight="1" outlineLevel="1">
      <c r="B496" s="137" t="str">
        <f>'Cronog. e Histog.'!B649</f>
        <v>ENG/ARQ PL. - Equipe_01</v>
      </c>
      <c r="C496" s="65"/>
      <c r="D496" s="200">
        <f t="shared" si="657"/>
        <v>0</v>
      </c>
      <c r="E496" s="200">
        <f t="shared" si="658"/>
        <v>0</v>
      </c>
      <c r="F496" s="65"/>
      <c r="G496" s="200">
        <f t="shared" si="659"/>
        <v>0</v>
      </c>
      <c r="H496" s="200">
        <f t="shared" si="660"/>
        <v>0</v>
      </c>
      <c r="I496" s="65"/>
      <c r="J496" s="143" t="str">
        <f>IF('Cronog. e Histog.'!G649&gt;0,'Cronog. e Histog.'!G649,"")</f>
        <v>ENG/ARQ PL.</v>
      </c>
      <c r="K496" s="65"/>
      <c r="L496" s="144">
        <f>'Cronog. e Histog.'!BT649</f>
        <v>0</v>
      </c>
      <c r="M496" s="144">
        <f>'Cronog. e Histog.'!BU649</f>
        <v>0</v>
      </c>
      <c r="N496" s="65"/>
      <c r="O496" s="109">
        <f>_xlfn.XLOOKUP(B496,Salários!B:B,Salários!K:K)</f>
        <v>14000</v>
      </c>
      <c r="P496" s="109">
        <f t="shared" si="675"/>
        <v>0</v>
      </c>
      <c r="Q496" s="109">
        <f t="shared" si="676"/>
        <v>0</v>
      </c>
      <c r="R496" s="65"/>
      <c r="S496" s="109">
        <f t="shared" si="677"/>
        <v>14000</v>
      </c>
      <c r="T496" s="201" t="str">
        <f>IF(_xlfn.XLOOKUP(B496,Salários!B:B,Salários!I:I)&gt;0,_xlfn.XLOOKUP(B496,Salários!B:B,Salários!I:I),"")</f>
        <v>PJ</v>
      </c>
      <c r="U496" s="117">
        <f t="shared" si="678"/>
        <v>0</v>
      </c>
      <c r="V496" s="65"/>
      <c r="W496" s="202"/>
      <c r="X496" s="65"/>
      <c r="Y496" s="69"/>
      <c r="Z496" s="65"/>
      <c r="AA496" s="518"/>
      <c r="AB496" s="65"/>
      <c r="AC496" s="81">
        <f t="shared" si="679"/>
        <v>0</v>
      </c>
      <c r="AD496" s="65"/>
      <c r="AE496" s="112"/>
      <c r="AF496" s="203">
        <v>0.3</v>
      </c>
      <c r="AG496" s="109">
        <f t="shared" si="680"/>
        <v>14000</v>
      </c>
      <c r="AH496" s="84">
        <f t="shared" si="681"/>
        <v>0</v>
      </c>
      <c r="AI496" s="65"/>
      <c r="AJ496" s="112"/>
      <c r="AK496" s="122"/>
      <c r="AL496" s="109">
        <v>1212</v>
      </c>
      <c r="AM496" s="84">
        <f t="shared" si="682"/>
        <v>0</v>
      </c>
      <c r="AN496" s="65"/>
      <c r="AO496" s="112"/>
      <c r="AP496" s="204"/>
      <c r="AQ496" s="109">
        <f>IFERROR((O496+AH496+AM496)/Dashboard!$D$15,0)*0.2</f>
        <v>14.46280991735537</v>
      </c>
      <c r="AR496" s="84">
        <f t="shared" si="683"/>
        <v>0</v>
      </c>
      <c r="AS496" s="65"/>
      <c r="AT496" s="112"/>
      <c r="AU496" s="203">
        <v>0.33</v>
      </c>
      <c r="AV496" s="109">
        <f t="shared" si="669"/>
        <v>14000</v>
      </c>
      <c r="AW496" s="84">
        <f t="shared" si="684"/>
        <v>0</v>
      </c>
      <c r="AX496" s="65"/>
      <c r="AY496" s="112"/>
      <c r="AZ496" s="203">
        <v>0.25</v>
      </c>
      <c r="BA496" s="109">
        <f t="shared" si="685"/>
        <v>14000</v>
      </c>
      <c r="BB496" s="84">
        <f t="shared" si="686"/>
        <v>0</v>
      </c>
      <c r="BC496" s="65"/>
      <c r="BD496" s="112"/>
      <c r="BE496" s="203">
        <v>0.26</v>
      </c>
      <c r="BF496" s="109">
        <f t="shared" si="672"/>
        <v>14000</v>
      </c>
      <c r="BG496" s="84">
        <f t="shared" si="687"/>
        <v>0</v>
      </c>
      <c r="BH496" s="197"/>
      <c r="BI496" s="518"/>
      <c r="BJ496" s="65"/>
      <c r="BK496" s="81">
        <f t="shared" si="688"/>
        <v>0</v>
      </c>
      <c r="BL496" s="65"/>
      <c r="BM496" s="204"/>
      <c r="BN496" s="156">
        <f>IF(B496&lt;&gt;"",_xlfn.XLOOKUP(B496,'Cronog. e Histog.'!B:B,'Cronog. e Histog.'!EK:EK),0)</f>
        <v>0</v>
      </c>
      <c r="BO496" s="109">
        <f>($O496/Dashboard!$D$15)*(1+Dashboard!$D$19)</f>
        <v>108.47107438016528</v>
      </c>
      <c r="BP496" s="84">
        <f t="shared" si="689"/>
        <v>0</v>
      </c>
      <c r="BQ496" s="65"/>
      <c r="BR496" s="204"/>
      <c r="BS496" s="156">
        <f>IF(B496&lt;&gt;"",_xlfn.XLOOKUP(B496,'Cronog. e Histog.'!B:B,'Cronog. e Histog.'!EL:EL),0)</f>
        <v>0</v>
      </c>
      <c r="BT496" s="109">
        <f>($O496/Dashboard!$D$15)*(1+Dashboard!$D$20)</f>
        <v>126.54958677685948</v>
      </c>
      <c r="BU496" s="84">
        <f t="shared" si="690"/>
        <v>0</v>
      </c>
      <c r="BV496" s="65"/>
      <c r="BW496" s="204"/>
      <c r="BX496" s="156">
        <f>IF(B496&lt;&gt;"",_xlfn.XLOOKUP(B496,'Cronog. e Histog.'!B:B,'Cronog. e Histog.'!EM:EM),0)</f>
        <v>0</v>
      </c>
      <c r="BY496" s="109">
        <f>($O496/Dashboard!$D$15)*(1+Dashboard!$D$21)</f>
        <v>144.62809917355369</v>
      </c>
      <c r="BZ496" s="84">
        <f t="shared" si="691"/>
        <v>0</v>
      </c>
    </row>
    <row r="497" spans="2:78" ht="12" customHeight="1" outlineLevel="1">
      <c r="B497" s="137" t="str">
        <f>'Cronog. e Histog.'!B650</f>
        <v>ENG/ARQ JR. - Equipe_01</v>
      </c>
      <c r="C497" s="65"/>
      <c r="D497" s="200">
        <f t="shared" si="657"/>
        <v>0</v>
      </c>
      <c r="E497" s="200">
        <f t="shared" si="658"/>
        <v>0</v>
      </c>
      <c r="F497" s="65"/>
      <c r="G497" s="200">
        <f t="shared" si="659"/>
        <v>0</v>
      </c>
      <c r="H497" s="200">
        <f t="shared" si="660"/>
        <v>0</v>
      </c>
      <c r="I497" s="65"/>
      <c r="J497" s="143" t="str">
        <f>IF('Cronog. e Histog.'!G650&gt;0,'Cronog. e Histog.'!G650,"")</f>
        <v>ENG/ARQ JR.</v>
      </c>
      <c r="K497" s="65"/>
      <c r="L497" s="144">
        <f>'Cronog. e Histog.'!BT650</f>
        <v>0</v>
      </c>
      <c r="M497" s="144">
        <f>'Cronog. e Histog.'!BU650</f>
        <v>0</v>
      </c>
      <c r="N497" s="65"/>
      <c r="O497" s="109">
        <f>_xlfn.XLOOKUP(B497,Salários!B:B,Salários!K:K)</f>
        <v>14000</v>
      </c>
      <c r="P497" s="109">
        <f t="shared" si="675"/>
        <v>0</v>
      </c>
      <c r="Q497" s="109">
        <f t="shared" si="676"/>
        <v>0</v>
      </c>
      <c r="R497" s="65"/>
      <c r="S497" s="109">
        <f t="shared" si="677"/>
        <v>14000</v>
      </c>
      <c r="T497" s="201" t="str">
        <f>IF(_xlfn.XLOOKUP(B497,Salários!B:B,Salários!I:I)&gt;0,_xlfn.XLOOKUP(B497,Salários!B:B,Salários!I:I),"")</f>
        <v>PJ</v>
      </c>
      <c r="U497" s="117">
        <f t="shared" si="678"/>
        <v>0</v>
      </c>
      <c r="V497" s="65"/>
      <c r="W497" s="202"/>
      <c r="X497" s="65"/>
      <c r="Y497" s="69"/>
      <c r="Z497" s="65"/>
      <c r="AA497" s="518"/>
      <c r="AB497" s="65"/>
      <c r="AC497" s="81">
        <f t="shared" si="679"/>
        <v>0</v>
      </c>
      <c r="AD497" s="65"/>
      <c r="AE497" s="112"/>
      <c r="AF497" s="203">
        <v>0.3</v>
      </c>
      <c r="AG497" s="109">
        <f t="shared" si="680"/>
        <v>14000</v>
      </c>
      <c r="AH497" s="84">
        <f t="shared" si="681"/>
        <v>0</v>
      </c>
      <c r="AI497" s="65"/>
      <c r="AJ497" s="112"/>
      <c r="AK497" s="122"/>
      <c r="AL497" s="109">
        <v>1212</v>
      </c>
      <c r="AM497" s="84">
        <f t="shared" si="682"/>
        <v>0</v>
      </c>
      <c r="AN497" s="65"/>
      <c r="AO497" s="112"/>
      <c r="AP497" s="204"/>
      <c r="AQ497" s="109">
        <f>IFERROR((O497+AH497+AM497)/Dashboard!$D$15,0)*0.2</f>
        <v>14.46280991735537</v>
      </c>
      <c r="AR497" s="84">
        <f t="shared" si="683"/>
        <v>0</v>
      </c>
      <c r="AS497" s="65"/>
      <c r="AT497" s="112"/>
      <c r="AU497" s="203">
        <v>0.33</v>
      </c>
      <c r="AV497" s="109">
        <f t="shared" si="669"/>
        <v>14000</v>
      </c>
      <c r="AW497" s="84">
        <f t="shared" si="684"/>
        <v>0</v>
      </c>
      <c r="AX497" s="65"/>
      <c r="AY497" s="112"/>
      <c r="AZ497" s="203">
        <v>0.25</v>
      </c>
      <c r="BA497" s="109">
        <f t="shared" si="685"/>
        <v>14000</v>
      </c>
      <c r="BB497" s="84">
        <f t="shared" si="686"/>
        <v>0</v>
      </c>
      <c r="BC497" s="65"/>
      <c r="BD497" s="112"/>
      <c r="BE497" s="203">
        <v>0.26</v>
      </c>
      <c r="BF497" s="109">
        <f t="shared" si="672"/>
        <v>14000</v>
      </c>
      <c r="BG497" s="84">
        <f t="shared" si="687"/>
        <v>0</v>
      </c>
      <c r="BH497" s="197"/>
      <c r="BI497" s="518"/>
      <c r="BJ497" s="65"/>
      <c r="BK497" s="81">
        <f t="shared" si="688"/>
        <v>0</v>
      </c>
      <c r="BL497" s="65"/>
      <c r="BM497" s="204"/>
      <c r="BN497" s="156">
        <f>IF(B497&lt;&gt;"",_xlfn.XLOOKUP(B497,'Cronog. e Histog.'!B:B,'Cronog. e Histog.'!EK:EK),0)</f>
        <v>0</v>
      </c>
      <c r="BO497" s="109">
        <f>($O497/Dashboard!$D$15)*(1+Dashboard!$D$19)</f>
        <v>108.47107438016528</v>
      </c>
      <c r="BP497" s="84">
        <f t="shared" si="689"/>
        <v>0</v>
      </c>
      <c r="BQ497" s="65"/>
      <c r="BR497" s="204"/>
      <c r="BS497" s="156">
        <f>IF(B497&lt;&gt;"",_xlfn.XLOOKUP(B497,'Cronog. e Histog.'!B:B,'Cronog. e Histog.'!EL:EL),0)</f>
        <v>0</v>
      </c>
      <c r="BT497" s="109">
        <f>($O497/Dashboard!$D$15)*(1+Dashboard!$D$20)</f>
        <v>126.54958677685948</v>
      </c>
      <c r="BU497" s="84">
        <f t="shared" si="690"/>
        <v>0</v>
      </c>
      <c r="BV497" s="65"/>
      <c r="BW497" s="204"/>
      <c r="BX497" s="156">
        <f>IF(B497&lt;&gt;"",_xlfn.XLOOKUP(B497,'Cronog. e Histog.'!B:B,'Cronog. e Histog.'!EM:EM),0)</f>
        <v>0</v>
      </c>
      <c r="BY497" s="109">
        <f>($O497/Dashboard!$D$15)*(1+Dashboard!$D$21)</f>
        <v>144.62809917355369</v>
      </c>
      <c r="BZ497" s="84">
        <f t="shared" si="691"/>
        <v>0</v>
      </c>
    </row>
    <row r="498" spans="2:78" ht="12" customHeight="1" outlineLevel="1">
      <c r="B498" s="137" t="str">
        <f>'Cronog. e Histog.'!B651</f>
        <v>AN SR. ENG/ARQ - Equipe_01</v>
      </c>
      <c r="C498" s="65"/>
      <c r="D498" s="200">
        <f t="shared" si="657"/>
        <v>0</v>
      </c>
      <c r="E498" s="200">
        <f t="shared" si="658"/>
        <v>0</v>
      </c>
      <c r="F498" s="65"/>
      <c r="G498" s="200">
        <f t="shared" si="659"/>
        <v>0</v>
      </c>
      <c r="H498" s="200">
        <f t="shared" si="660"/>
        <v>0</v>
      </c>
      <c r="I498" s="65"/>
      <c r="J498" s="143" t="str">
        <f>IF('Cronog. e Histog.'!G651&gt;0,'Cronog. e Histog.'!G651,"")</f>
        <v>AN SR. ENG/ARQ</v>
      </c>
      <c r="K498" s="65"/>
      <c r="L498" s="144">
        <f>'Cronog. e Histog.'!BT651</f>
        <v>0</v>
      </c>
      <c r="M498" s="144">
        <f>'Cronog. e Histog.'!BU651</f>
        <v>0</v>
      </c>
      <c r="N498" s="65"/>
      <c r="O498" s="109">
        <f>_xlfn.XLOOKUP(B498,Salários!B:B,Salários!K:K)</f>
        <v>7950</v>
      </c>
      <c r="P498" s="109">
        <f t="shared" si="675"/>
        <v>0</v>
      </c>
      <c r="Q498" s="109">
        <f t="shared" si="676"/>
        <v>0</v>
      </c>
      <c r="R498" s="65"/>
      <c r="S498" s="109">
        <f t="shared" si="677"/>
        <v>7950</v>
      </c>
      <c r="T498" s="201" t="str">
        <f>IF(_xlfn.XLOOKUP(B498,Salários!B:B,Salários!I:I)&gt;0,_xlfn.XLOOKUP(B498,Salários!B:B,Salários!I:I),"")</f>
        <v>Mensalista</v>
      </c>
      <c r="U498" s="117">
        <f t="shared" si="678"/>
        <v>0</v>
      </c>
      <c r="V498" s="65"/>
      <c r="W498" s="202"/>
      <c r="X498" s="65"/>
      <c r="Y498" s="69"/>
      <c r="Z498" s="65"/>
      <c r="AA498" s="518"/>
      <c r="AB498" s="65"/>
      <c r="AC498" s="81">
        <f t="shared" si="679"/>
        <v>0</v>
      </c>
      <c r="AD498" s="65"/>
      <c r="AE498" s="112"/>
      <c r="AF498" s="203">
        <v>0.3</v>
      </c>
      <c r="AG498" s="109">
        <f t="shared" si="680"/>
        <v>7950</v>
      </c>
      <c r="AH498" s="84">
        <f t="shared" si="681"/>
        <v>0</v>
      </c>
      <c r="AI498" s="65"/>
      <c r="AJ498" s="112"/>
      <c r="AK498" s="122"/>
      <c r="AL498" s="109">
        <v>1212</v>
      </c>
      <c r="AM498" s="84">
        <f t="shared" si="682"/>
        <v>0</v>
      </c>
      <c r="AN498" s="65"/>
      <c r="AO498" s="112"/>
      <c r="AP498" s="204"/>
      <c r="AQ498" s="109">
        <f>IFERROR((O498+AH498+AM498)/Dashboard!$D$15,0)*0.2</f>
        <v>8.2128099173553704</v>
      </c>
      <c r="AR498" s="84">
        <f t="shared" si="683"/>
        <v>0</v>
      </c>
      <c r="AS498" s="65"/>
      <c r="AT498" s="112"/>
      <c r="AU498" s="203">
        <v>0.33</v>
      </c>
      <c r="AV498" s="109">
        <f t="shared" si="669"/>
        <v>7950</v>
      </c>
      <c r="AW498" s="84">
        <f t="shared" si="684"/>
        <v>0</v>
      </c>
      <c r="AX498" s="65"/>
      <c r="AY498" s="112"/>
      <c r="AZ498" s="203">
        <v>0.25</v>
      </c>
      <c r="BA498" s="109">
        <f t="shared" si="685"/>
        <v>7950</v>
      </c>
      <c r="BB498" s="84">
        <f t="shared" si="686"/>
        <v>0</v>
      </c>
      <c r="BC498" s="65"/>
      <c r="BD498" s="112"/>
      <c r="BE498" s="203">
        <v>0.26</v>
      </c>
      <c r="BF498" s="109">
        <f t="shared" si="672"/>
        <v>7950</v>
      </c>
      <c r="BG498" s="84">
        <f t="shared" si="687"/>
        <v>0</v>
      </c>
      <c r="BH498" s="197"/>
      <c r="BI498" s="518"/>
      <c r="BJ498" s="65"/>
      <c r="BK498" s="81">
        <f t="shared" si="688"/>
        <v>0</v>
      </c>
      <c r="BL498" s="65"/>
      <c r="BM498" s="204"/>
      <c r="BN498" s="156">
        <f>IF(B498&lt;&gt;"",_xlfn.XLOOKUP(B498,'Cronog. e Histog.'!B:B,'Cronog. e Histog.'!EK:EK),0)</f>
        <v>0</v>
      </c>
      <c r="BO498" s="109">
        <f>($O498/Dashboard!$D$15)*(1+Dashboard!$D$19)</f>
        <v>61.596074380165277</v>
      </c>
      <c r="BP498" s="84">
        <f t="shared" si="689"/>
        <v>0</v>
      </c>
      <c r="BQ498" s="65"/>
      <c r="BR498" s="204"/>
      <c r="BS498" s="156">
        <f>IF(B498&lt;&gt;"",_xlfn.XLOOKUP(B498,'Cronog. e Histog.'!B:B,'Cronog. e Histog.'!EL:EL),0)</f>
        <v>0</v>
      </c>
      <c r="BT498" s="109">
        <f>($O498/Dashboard!$D$15)*(1+Dashboard!$D$20)</f>
        <v>71.862086776859499</v>
      </c>
      <c r="BU498" s="84">
        <f t="shared" si="690"/>
        <v>0</v>
      </c>
      <c r="BV498" s="65"/>
      <c r="BW498" s="204"/>
      <c r="BX498" s="156">
        <f>IF(B498&lt;&gt;"",_xlfn.XLOOKUP(B498,'Cronog. e Histog.'!B:B,'Cronog. e Histog.'!EM:EM),0)</f>
        <v>0</v>
      </c>
      <c r="BY498" s="109">
        <f>($O498/Dashboard!$D$15)*(1+Dashboard!$D$21)</f>
        <v>82.128099173553707</v>
      </c>
      <c r="BZ498" s="84">
        <f t="shared" si="691"/>
        <v>0</v>
      </c>
    </row>
    <row r="499" spans="2:78" ht="12" customHeight="1" outlineLevel="1">
      <c r="B499" s="137" t="str">
        <f>'Cronog. e Histog.'!B652</f>
        <v>AN PL. ENG/ARQ - Equipe_01</v>
      </c>
      <c r="C499" s="65"/>
      <c r="D499" s="200">
        <f t="shared" si="657"/>
        <v>0</v>
      </c>
      <c r="E499" s="200">
        <f t="shared" si="658"/>
        <v>0</v>
      </c>
      <c r="F499" s="65"/>
      <c r="G499" s="200">
        <f t="shared" si="659"/>
        <v>0</v>
      </c>
      <c r="H499" s="200">
        <f t="shared" si="660"/>
        <v>0</v>
      </c>
      <c r="I499" s="65"/>
      <c r="J499" s="143" t="str">
        <f>IF('Cronog. e Histog.'!G652&gt;0,'Cronog. e Histog.'!G652,"")</f>
        <v>AN PL. ENG/ARQ</v>
      </c>
      <c r="K499" s="65"/>
      <c r="L499" s="144">
        <f>'Cronog. e Histog.'!BT652</f>
        <v>0</v>
      </c>
      <c r="M499" s="144">
        <f>'Cronog. e Histog.'!BU652</f>
        <v>0</v>
      </c>
      <c r="N499" s="65"/>
      <c r="O499" s="109">
        <f>_xlfn.XLOOKUP(B499,Salários!B:B,Salários!K:K)</f>
        <v>6360</v>
      </c>
      <c r="P499" s="109">
        <f t="shared" si="675"/>
        <v>0</v>
      </c>
      <c r="Q499" s="109">
        <f t="shared" si="676"/>
        <v>0</v>
      </c>
      <c r="R499" s="65"/>
      <c r="S499" s="109">
        <f t="shared" si="677"/>
        <v>6360</v>
      </c>
      <c r="T499" s="201" t="str">
        <f>IF(_xlfn.XLOOKUP(B499,Salários!B:B,Salários!I:I)&gt;0,_xlfn.XLOOKUP(B499,Salários!B:B,Salários!I:I),"")</f>
        <v>Mensalista</v>
      </c>
      <c r="U499" s="117">
        <f t="shared" si="678"/>
        <v>0</v>
      </c>
      <c r="V499" s="65"/>
      <c r="W499" s="202"/>
      <c r="X499" s="65"/>
      <c r="Y499" s="69"/>
      <c r="Z499" s="65"/>
      <c r="AA499" s="518"/>
      <c r="AB499" s="65"/>
      <c r="AC499" s="81">
        <f t="shared" si="679"/>
        <v>0</v>
      </c>
      <c r="AD499" s="65"/>
      <c r="AE499" s="112"/>
      <c r="AF499" s="203">
        <v>0.3</v>
      </c>
      <c r="AG499" s="109">
        <f t="shared" si="680"/>
        <v>6360</v>
      </c>
      <c r="AH499" s="84">
        <f t="shared" si="681"/>
        <v>0</v>
      </c>
      <c r="AI499" s="65"/>
      <c r="AJ499" s="112"/>
      <c r="AK499" s="122"/>
      <c r="AL499" s="109">
        <v>1212</v>
      </c>
      <c r="AM499" s="84">
        <f t="shared" si="682"/>
        <v>0</v>
      </c>
      <c r="AN499" s="65"/>
      <c r="AO499" s="112"/>
      <c r="AP499" s="204"/>
      <c r="AQ499" s="109">
        <f>IFERROR((O499+AH499+AM499)/Dashboard!$D$15,0)*0.2</f>
        <v>6.5702479338842963</v>
      </c>
      <c r="AR499" s="84">
        <f t="shared" si="683"/>
        <v>0</v>
      </c>
      <c r="AS499" s="65"/>
      <c r="AT499" s="112"/>
      <c r="AU499" s="203">
        <v>0.33</v>
      </c>
      <c r="AV499" s="109">
        <f t="shared" si="669"/>
        <v>6360</v>
      </c>
      <c r="AW499" s="84">
        <f t="shared" si="684"/>
        <v>0</v>
      </c>
      <c r="AX499" s="65"/>
      <c r="AY499" s="112"/>
      <c r="AZ499" s="203">
        <v>0.25</v>
      </c>
      <c r="BA499" s="109">
        <f t="shared" si="685"/>
        <v>6360</v>
      </c>
      <c r="BB499" s="84">
        <f t="shared" si="686"/>
        <v>0</v>
      </c>
      <c r="BC499" s="65"/>
      <c r="BD499" s="112"/>
      <c r="BE499" s="203">
        <v>0.26</v>
      </c>
      <c r="BF499" s="109">
        <f t="shared" si="672"/>
        <v>6360</v>
      </c>
      <c r="BG499" s="84">
        <f t="shared" si="687"/>
        <v>0</v>
      </c>
      <c r="BH499" s="197"/>
      <c r="BI499" s="518"/>
      <c r="BJ499" s="65"/>
      <c r="BK499" s="81">
        <f t="shared" si="688"/>
        <v>0</v>
      </c>
      <c r="BL499" s="65"/>
      <c r="BM499" s="204"/>
      <c r="BN499" s="156">
        <f>IF(B499&lt;&gt;"",_xlfn.XLOOKUP(B499,'Cronog. e Histog.'!B:B,'Cronog. e Histog.'!EK:EK),0)</f>
        <v>0</v>
      </c>
      <c r="BO499" s="109">
        <f>($O499/Dashboard!$D$15)*(1+Dashboard!$D$19)</f>
        <v>49.276859504132219</v>
      </c>
      <c r="BP499" s="84">
        <f t="shared" si="689"/>
        <v>0</v>
      </c>
      <c r="BQ499" s="65"/>
      <c r="BR499" s="204"/>
      <c r="BS499" s="156">
        <f>IF(B499&lt;&gt;"",_xlfn.XLOOKUP(B499,'Cronog. e Histog.'!B:B,'Cronog. e Histog.'!EL:EL),0)</f>
        <v>0</v>
      </c>
      <c r="BT499" s="109">
        <f>($O499/Dashboard!$D$15)*(1+Dashboard!$D$20)</f>
        <v>57.489669421487591</v>
      </c>
      <c r="BU499" s="84">
        <f t="shared" si="690"/>
        <v>0</v>
      </c>
      <c r="BV499" s="65"/>
      <c r="BW499" s="204"/>
      <c r="BX499" s="156">
        <f>IF(B499&lt;&gt;"",_xlfn.XLOOKUP(B499,'Cronog. e Histog.'!B:B,'Cronog. e Histog.'!EM:EM),0)</f>
        <v>0</v>
      </c>
      <c r="BY499" s="109">
        <f>($O499/Dashboard!$D$15)*(1+Dashboard!$D$21)</f>
        <v>65.702479338842963</v>
      </c>
      <c r="BZ499" s="84">
        <f t="shared" si="691"/>
        <v>0</v>
      </c>
    </row>
    <row r="500" spans="2:78" ht="12" customHeight="1" outlineLevel="1">
      <c r="B500" s="137" t="str">
        <f>'Cronog. e Histog.'!B653</f>
        <v>AN JR. ENG/ARQ - Equipe_01</v>
      </c>
      <c r="C500" s="65"/>
      <c r="D500" s="200">
        <f t="shared" si="657"/>
        <v>0</v>
      </c>
      <c r="E500" s="200">
        <f t="shared" si="658"/>
        <v>0</v>
      </c>
      <c r="F500" s="65"/>
      <c r="G500" s="200">
        <f t="shared" si="659"/>
        <v>0</v>
      </c>
      <c r="H500" s="200">
        <f t="shared" si="660"/>
        <v>0</v>
      </c>
      <c r="I500" s="65"/>
      <c r="J500" s="143" t="str">
        <f>IF('Cronog. e Histog.'!G653&gt;0,'Cronog. e Histog.'!G653,"")</f>
        <v>AN JR. ENG/ARQ</v>
      </c>
      <c r="K500" s="65"/>
      <c r="L500" s="144">
        <f>'Cronog. e Histog.'!BT653</f>
        <v>0</v>
      </c>
      <c r="M500" s="144">
        <f>'Cronog. e Histog.'!BU653</f>
        <v>0</v>
      </c>
      <c r="N500" s="65"/>
      <c r="O500" s="109">
        <f>_xlfn.XLOOKUP(B500,Salários!B:B,Salários!K:K)</f>
        <v>4770</v>
      </c>
      <c r="P500" s="109">
        <f t="shared" si="675"/>
        <v>0</v>
      </c>
      <c r="Q500" s="109">
        <f t="shared" si="676"/>
        <v>0</v>
      </c>
      <c r="R500" s="65"/>
      <c r="S500" s="109">
        <f t="shared" si="677"/>
        <v>4770</v>
      </c>
      <c r="T500" s="201" t="str">
        <f>IF(_xlfn.XLOOKUP(B500,Salários!B:B,Salários!I:I)&gt;0,_xlfn.XLOOKUP(B500,Salários!B:B,Salários!I:I),"")</f>
        <v>Mensalista</v>
      </c>
      <c r="U500" s="117">
        <f t="shared" si="678"/>
        <v>0</v>
      </c>
      <c r="V500" s="65"/>
      <c r="W500" s="202"/>
      <c r="X500" s="65"/>
      <c r="Y500" s="69"/>
      <c r="Z500" s="65"/>
      <c r="AA500" s="518"/>
      <c r="AB500" s="65"/>
      <c r="AC500" s="81">
        <f t="shared" si="679"/>
        <v>0</v>
      </c>
      <c r="AD500" s="65"/>
      <c r="AE500" s="112"/>
      <c r="AF500" s="203">
        <v>0.3</v>
      </c>
      <c r="AG500" s="109">
        <f t="shared" si="680"/>
        <v>4770</v>
      </c>
      <c r="AH500" s="84">
        <f t="shared" si="681"/>
        <v>0</v>
      </c>
      <c r="AI500" s="65"/>
      <c r="AJ500" s="112"/>
      <c r="AK500" s="122"/>
      <c r="AL500" s="109">
        <v>1212</v>
      </c>
      <c r="AM500" s="84">
        <f t="shared" si="682"/>
        <v>0</v>
      </c>
      <c r="AN500" s="65"/>
      <c r="AO500" s="112"/>
      <c r="AP500" s="204"/>
      <c r="AQ500" s="109">
        <f>IFERROR((O500+AH500+AM500)/Dashboard!$D$15,0)*0.2</f>
        <v>4.9276859504132231</v>
      </c>
      <c r="AR500" s="84">
        <f t="shared" si="683"/>
        <v>0</v>
      </c>
      <c r="AS500" s="65"/>
      <c r="AT500" s="112"/>
      <c r="AU500" s="203">
        <v>0.33</v>
      </c>
      <c r="AV500" s="109">
        <f t="shared" si="669"/>
        <v>4770</v>
      </c>
      <c r="AW500" s="84">
        <f t="shared" si="684"/>
        <v>0</v>
      </c>
      <c r="AX500" s="65"/>
      <c r="AY500" s="112"/>
      <c r="AZ500" s="203">
        <v>0.25</v>
      </c>
      <c r="BA500" s="109">
        <f t="shared" si="685"/>
        <v>4770</v>
      </c>
      <c r="BB500" s="84">
        <f t="shared" si="686"/>
        <v>0</v>
      </c>
      <c r="BC500" s="65"/>
      <c r="BD500" s="112"/>
      <c r="BE500" s="203">
        <v>0.26</v>
      </c>
      <c r="BF500" s="109">
        <f t="shared" si="672"/>
        <v>4770</v>
      </c>
      <c r="BG500" s="84">
        <f t="shared" si="687"/>
        <v>0</v>
      </c>
      <c r="BH500" s="197"/>
      <c r="BI500" s="518"/>
      <c r="BJ500" s="65"/>
      <c r="BK500" s="81">
        <f t="shared" si="688"/>
        <v>0</v>
      </c>
      <c r="BL500" s="65"/>
      <c r="BM500" s="204"/>
      <c r="BN500" s="156">
        <f>IF(B500&lt;&gt;"",_xlfn.XLOOKUP(B500,'Cronog. e Histog.'!B:B,'Cronog. e Histog.'!EK:EK),0)</f>
        <v>0</v>
      </c>
      <c r="BO500" s="109">
        <f>($O500/Dashboard!$D$15)*(1+Dashboard!$D$19)</f>
        <v>36.957644628099168</v>
      </c>
      <c r="BP500" s="84">
        <f t="shared" si="689"/>
        <v>0</v>
      </c>
      <c r="BQ500" s="65"/>
      <c r="BR500" s="204"/>
      <c r="BS500" s="156">
        <f>IF(B500&lt;&gt;"",_xlfn.XLOOKUP(B500,'Cronog. e Histog.'!B:B,'Cronog. e Histog.'!EL:EL),0)</f>
        <v>0</v>
      </c>
      <c r="BT500" s="109">
        <f>($O500/Dashboard!$D$15)*(1+Dashboard!$D$20)</f>
        <v>43.117252066115697</v>
      </c>
      <c r="BU500" s="84">
        <f t="shared" si="690"/>
        <v>0</v>
      </c>
      <c r="BV500" s="65"/>
      <c r="BW500" s="204"/>
      <c r="BX500" s="156">
        <f>IF(B500&lt;&gt;"",_xlfn.XLOOKUP(B500,'Cronog. e Histog.'!B:B,'Cronog. e Histog.'!EM:EM),0)</f>
        <v>0</v>
      </c>
      <c r="BY500" s="109">
        <f>($O500/Dashboard!$D$15)*(1+Dashboard!$D$21)</f>
        <v>49.276859504132226</v>
      </c>
      <c r="BZ500" s="84">
        <f t="shared" si="691"/>
        <v>0</v>
      </c>
    </row>
    <row r="501" spans="2:78" ht="12" customHeight="1" outlineLevel="1">
      <c r="B501" s="137" t="str">
        <f>'Cronog. e Histog.'!B654</f>
        <v>AN SR. ADM/CRP - Equipe_01</v>
      </c>
      <c r="C501" s="65"/>
      <c r="D501" s="200">
        <f t="shared" si="657"/>
        <v>4.9999999999999996E-2</v>
      </c>
      <c r="E501" s="200">
        <f t="shared" si="658"/>
        <v>10</v>
      </c>
      <c r="F501" s="65"/>
      <c r="G501" s="200">
        <f t="shared" si="659"/>
        <v>4.9999999999999996E-2</v>
      </c>
      <c r="H501" s="200">
        <f t="shared" si="660"/>
        <v>10</v>
      </c>
      <c r="I501" s="65"/>
      <c r="J501" s="143" t="str">
        <f>IF('Cronog. e Histog.'!G654&gt;0,'Cronog. e Histog.'!G654,"")</f>
        <v>AN SR. ADM/CRP</v>
      </c>
      <c r="K501" s="65"/>
      <c r="L501" s="144">
        <f>'Cronog. e Histog.'!BT654</f>
        <v>4.9999999999999996E-2</v>
      </c>
      <c r="M501" s="144">
        <f>'Cronog. e Histog.'!BU654</f>
        <v>10</v>
      </c>
      <c r="N501" s="65"/>
      <c r="O501" s="109">
        <f>_xlfn.XLOOKUP(B501,Salários!B:B,Salários!K:K)</f>
        <v>7420</v>
      </c>
      <c r="P501" s="109">
        <f t="shared" si="675"/>
        <v>0</v>
      </c>
      <c r="Q501" s="109">
        <f t="shared" si="676"/>
        <v>0</v>
      </c>
      <c r="R501" s="65"/>
      <c r="S501" s="109">
        <f t="shared" si="677"/>
        <v>7420</v>
      </c>
      <c r="T501" s="201" t="str">
        <f>IF(_xlfn.XLOOKUP(B501,Salários!B:B,Salários!I:I)&gt;0,_xlfn.XLOOKUP(B501,Salários!B:B,Salários!I:I),"")</f>
        <v>Mensalista</v>
      </c>
      <c r="U501" s="117">
        <f t="shared" si="678"/>
        <v>3709.9999999999995</v>
      </c>
      <c r="V501" s="65"/>
      <c r="W501" s="202"/>
      <c r="X501" s="65"/>
      <c r="Y501" s="69"/>
      <c r="Z501" s="65"/>
      <c r="AA501" s="518"/>
      <c r="AB501" s="65"/>
      <c r="AC501" s="81">
        <f t="shared" si="679"/>
        <v>0</v>
      </c>
      <c r="AD501" s="65"/>
      <c r="AE501" s="112"/>
      <c r="AF501" s="203">
        <v>0.3</v>
      </c>
      <c r="AG501" s="109">
        <f t="shared" si="680"/>
        <v>7420</v>
      </c>
      <c r="AH501" s="84">
        <f t="shared" si="681"/>
        <v>0</v>
      </c>
      <c r="AI501" s="65"/>
      <c r="AJ501" s="112"/>
      <c r="AK501" s="122"/>
      <c r="AL501" s="109">
        <v>1212</v>
      </c>
      <c r="AM501" s="84">
        <f t="shared" si="682"/>
        <v>0</v>
      </c>
      <c r="AN501" s="65"/>
      <c r="AO501" s="112"/>
      <c r="AP501" s="204"/>
      <c r="AQ501" s="109">
        <f>IFERROR((O501+AH501+AM501)/Dashboard!$D$15,0)*0.2</f>
        <v>7.6652892561983466</v>
      </c>
      <c r="AR501" s="84">
        <f t="shared" si="683"/>
        <v>0</v>
      </c>
      <c r="AS501" s="65"/>
      <c r="AT501" s="112"/>
      <c r="AU501" s="203">
        <v>0.33</v>
      </c>
      <c r="AV501" s="109">
        <f t="shared" si="669"/>
        <v>7420</v>
      </c>
      <c r="AW501" s="84">
        <f t="shared" si="684"/>
        <v>0</v>
      </c>
      <c r="AX501" s="65"/>
      <c r="AY501" s="112"/>
      <c r="AZ501" s="203">
        <v>0.25</v>
      </c>
      <c r="BA501" s="109">
        <f t="shared" si="685"/>
        <v>7420</v>
      </c>
      <c r="BB501" s="84">
        <f t="shared" si="686"/>
        <v>0</v>
      </c>
      <c r="BC501" s="65"/>
      <c r="BD501" s="112"/>
      <c r="BE501" s="203">
        <v>0.26</v>
      </c>
      <c r="BF501" s="109">
        <f t="shared" si="672"/>
        <v>7420</v>
      </c>
      <c r="BG501" s="84">
        <f t="shared" si="687"/>
        <v>0</v>
      </c>
      <c r="BH501" s="197"/>
      <c r="BI501" s="518"/>
      <c r="BJ501" s="65"/>
      <c r="BK501" s="81">
        <f t="shared" si="688"/>
        <v>0</v>
      </c>
      <c r="BL501" s="65"/>
      <c r="BM501" s="204"/>
      <c r="BN501" s="156">
        <f>IF(B501&lt;&gt;"",_xlfn.XLOOKUP(B501,'Cronog. e Histog.'!B:B,'Cronog. e Histog.'!EK:EK),0)</f>
        <v>0</v>
      </c>
      <c r="BO501" s="109">
        <f>($O501/Dashboard!$D$15)*(1+Dashboard!$D$19)</f>
        <v>57.489669421487598</v>
      </c>
      <c r="BP501" s="84">
        <f t="shared" si="689"/>
        <v>0</v>
      </c>
      <c r="BQ501" s="65"/>
      <c r="BR501" s="204"/>
      <c r="BS501" s="156">
        <f>IF(B501&lt;&gt;"",_xlfn.XLOOKUP(B501,'Cronog. e Histog.'!B:B,'Cronog. e Histog.'!EL:EL),0)</f>
        <v>0</v>
      </c>
      <c r="BT501" s="109">
        <f>($O501/Dashboard!$D$15)*(1+Dashboard!$D$20)</f>
        <v>67.071280991735534</v>
      </c>
      <c r="BU501" s="84">
        <f t="shared" si="690"/>
        <v>0</v>
      </c>
      <c r="BV501" s="65"/>
      <c r="BW501" s="204"/>
      <c r="BX501" s="156">
        <f>IF(B501&lt;&gt;"",_xlfn.XLOOKUP(B501,'Cronog. e Histog.'!B:B,'Cronog. e Histog.'!EM:EM),0)</f>
        <v>0</v>
      </c>
      <c r="BY501" s="109">
        <f>($O501/Dashboard!$D$15)*(1+Dashboard!$D$21)</f>
        <v>76.652892561983464</v>
      </c>
      <c r="BZ501" s="84">
        <f t="shared" si="691"/>
        <v>0</v>
      </c>
    </row>
    <row r="502" spans="2:78" ht="12" customHeight="1" outlineLevel="1">
      <c r="B502" s="137" t="str">
        <f>'Cronog. e Histog.'!B655</f>
        <v>AN PL. ADM/CRP - Equipe_01</v>
      </c>
      <c r="C502" s="65"/>
      <c r="D502" s="200">
        <f t="shared" si="657"/>
        <v>0</v>
      </c>
      <c r="E502" s="200">
        <f t="shared" si="658"/>
        <v>0</v>
      </c>
      <c r="F502" s="65"/>
      <c r="G502" s="200">
        <f t="shared" si="659"/>
        <v>0</v>
      </c>
      <c r="H502" s="200">
        <f t="shared" si="660"/>
        <v>0</v>
      </c>
      <c r="I502" s="65"/>
      <c r="J502" s="143" t="str">
        <f>IF('Cronog. e Histog.'!G655&gt;0,'Cronog. e Histog.'!G655,"")</f>
        <v>AN PL. ADM/CRP</v>
      </c>
      <c r="K502" s="65"/>
      <c r="L502" s="144">
        <f>'Cronog. e Histog.'!BT655</f>
        <v>0</v>
      </c>
      <c r="M502" s="144">
        <f>'Cronog. e Histog.'!BU655</f>
        <v>0</v>
      </c>
      <c r="N502" s="65"/>
      <c r="O502" s="109">
        <f>_xlfn.XLOOKUP(B502,Salários!B:B,Salários!K:K)</f>
        <v>5300</v>
      </c>
      <c r="P502" s="109">
        <f t="shared" si="675"/>
        <v>0</v>
      </c>
      <c r="Q502" s="109">
        <f t="shared" si="676"/>
        <v>0</v>
      </c>
      <c r="R502" s="65"/>
      <c r="S502" s="109">
        <f t="shared" si="677"/>
        <v>5300</v>
      </c>
      <c r="T502" s="201" t="str">
        <f>IF(_xlfn.XLOOKUP(B502,Salários!B:B,Salários!I:I)&gt;0,_xlfn.XLOOKUP(B502,Salários!B:B,Salários!I:I),"")</f>
        <v>Mensalista</v>
      </c>
      <c r="U502" s="117">
        <f t="shared" si="678"/>
        <v>0</v>
      </c>
      <c r="V502" s="65"/>
      <c r="W502" s="202"/>
      <c r="X502" s="65"/>
      <c r="Y502" s="69"/>
      <c r="Z502" s="65"/>
      <c r="AA502" s="518"/>
      <c r="AB502" s="65"/>
      <c r="AC502" s="81">
        <f t="shared" si="679"/>
        <v>0</v>
      </c>
      <c r="AD502" s="65"/>
      <c r="AE502" s="112"/>
      <c r="AF502" s="203">
        <v>0.3</v>
      </c>
      <c r="AG502" s="109">
        <f t="shared" si="680"/>
        <v>5300</v>
      </c>
      <c r="AH502" s="84">
        <f t="shared" si="681"/>
        <v>0</v>
      </c>
      <c r="AI502" s="65"/>
      <c r="AJ502" s="112"/>
      <c r="AK502" s="122"/>
      <c r="AL502" s="109">
        <v>1212</v>
      </c>
      <c r="AM502" s="84">
        <f t="shared" si="682"/>
        <v>0</v>
      </c>
      <c r="AN502" s="65"/>
      <c r="AO502" s="112"/>
      <c r="AP502" s="204"/>
      <c r="AQ502" s="109">
        <f>IFERROR((O502+AH502+AM502)/Dashboard!$D$15,0)*0.2</f>
        <v>5.4752066115702478</v>
      </c>
      <c r="AR502" s="84">
        <f t="shared" si="683"/>
        <v>0</v>
      </c>
      <c r="AS502" s="65"/>
      <c r="AT502" s="112"/>
      <c r="AU502" s="203">
        <v>0.33</v>
      </c>
      <c r="AV502" s="109">
        <f t="shared" si="669"/>
        <v>5300</v>
      </c>
      <c r="AW502" s="84">
        <f t="shared" si="684"/>
        <v>0</v>
      </c>
      <c r="AX502" s="65"/>
      <c r="AY502" s="112"/>
      <c r="AZ502" s="203">
        <v>0.25</v>
      </c>
      <c r="BA502" s="109">
        <f t="shared" si="685"/>
        <v>5300</v>
      </c>
      <c r="BB502" s="84">
        <f t="shared" si="686"/>
        <v>0</v>
      </c>
      <c r="BC502" s="65"/>
      <c r="BD502" s="112"/>
      <c r="BE502" s="203">
        <v>0.26</v>
      </c>
      <c r="BF502" s="109">
        <f t="shared" si="672"/>
        <v>5300</v>
      </c>
      <c r="BG502" s="84">
        <f t="shared" si="687"/>
        <v>0</v>
      </c>
      <c r="BH502" s="197"/>
      <c r="BI502" s="518"/>
      <c r="BJ502" s="65"/>
      <c r="BK502" s="81">
        <f t="shared" si="688"/>
        <v>0</v>
      </c>
      <c r="BL502" s="65"/>
      <c r="BM502" s="204"/>
      <c r="BN502" s="156">
        <f>IF(B502&lt;&gt;"",_xlfn.XLOOKUP(B502,'Cronog. e Histog.'!B:B,'Cronog. e Histog.'!EK:EK),0)</f>
        <v>0</v>
      </c>
      <c r="BO502" s="109">
        <f>($O502/Dashboard!$D$15)*(1+Dashboard!$D$19)</f>
        <v>41.064049586776861</v>
      </c>
      <c r="BP502" s="84">
        <f t="shared" si="689"/>
        <v>0</v>
      </c>
      <c r="BQ502" s="65"/>
      <c r="BR502" s="204"/>
      <c r="BS502" s="156">
        <f>IF(B502&lt;&gt;"",_xlfn.XLOOKUP(B502,'Cronog. e Histog.'!B:B,'Cronog. e Histog.'!EL:EL),0)</f>
        <v>0</v>
      </c>
      <c r="BT502" s="109">
        <f>($O502/Dashboard!$D$15)*(1+Dashboard!$D$20)</f>
        <v>47.908057851239668</v>
      </c>
      <c r="BU502" s="84">
        <f t="shared" si="690"/>
        <v>0</v>
      </c>
      <c r="BV502" s="65"/>
      <c r="BW502" s="204"/>
      <c r="BX502" s="156">
        <f>IF(B502&lt;&gt;"",_xlfn.XLOOKUP(B502,'Cronog. e Histog.'!B:B,'Cronog. e Histog.'!EM:EM),0)</f>
        <v>0</v>
      </c>
      <c r="BY502" s="109">
        <f>($O502/Dashboard!$D$15)*(1+Dashboard!$D$21)</f>
        <v>54.752066115702476</v>
      </c>
      <c r="BZ502" s="84">
        <f t="shared" si="691"/>
        <v>0</v>
      </c>
    </row>
    <row r="503" spans="2:78" ht="12" customHeight="1" outlineLevel="1">
      <c r="B503" s="137" t="str">
        <f>'Cronog. e Histog.'!B656</f>
        <v>AN JR. ADM/CRP - Equipe_01</v>
      </c>
      <c r="C503" s="65"/>
      <c r="D503" s="200">
        <f t="shared" si="657"/>
        <v>0</v>
      </c>
      <c r="E503" s="200">
        <f t="shared" si="658"/>
        <v>0</v>
      </c>
      <c r="F503" s="65"/>
      <c r="G503" s="200">
        <f t="shared" si="659"/>
        <v>0</v>
      </c>
      <c r="H503" s="200">
        <f t="shared" si="660"/>
        <v>0</v>
      </c>
      <c r="I503" s="65"/>
      <c r="J503" s="143" t="str">
        <f>IF('Cronog. e Histog.'!G656&gt;0,'Cronog. e Histog.'!G656,"")</f>
        <v>AN JR. ADM/CRP</v>
      </c>
      <c r="K503" s="65"/>
      <c r="L503" s="144">
        <f>'Cronog. e Histog.'!BT656</f>
        <v>0</v>
      </c>
      <c r="M503" s="144">
        <f>'Cronog. e Histog.'!BU656</f>
        <v>0</v>
      </c>
      <c r="N503" s="65"/>
      <c r="O503" s="109">
        <f>_xlfn.XLOOKUP(B503,Salários!B:B,Salários!K:K)</f>
        <v>3710</v>
      </c>
      <c r="P503" s="109">
        <f t="shared" si="675"/>
        <v>0</v>
      </c>
      <c r="Q503" s="109">
        <f t="shared" si="676"/>
        <v>0</v>
      </c>
      <c r="R503" s="65"/>
      <c r="S503" s="109">
        <f t="shared" si="677"/>
        <v>3710</v>
      </c>
      <c r="T503" s="201" t="str">
        <f>IF(_xlfn.XLOOKUP(B503,Salários!B:B,Salários!I:I)&gt;0,_xlfn.XLOOKUP(B503,Salários!B:B,Salários!I:I),"")</f>
        <v>Mensalista</v>
      </c>
      <c r="U503" s="117">
        <f t="shared" si="678"/>
        <v>0</v>
      </c>
      <c r="V503" s="65"/>
      <c r="W503" s="202"/>
      <c r="X503" s="65"/>
      <c r="Y503" s="69"/>
      <c r="Z503" s="65"/>
      <c r="AA503" s="518"/>
      <c r="AB503" s="65"/>
      <c r="AC503" s="81">
        <f t="shared" si="665"/>
        <v>0</v>
      </c>
      <c r="AD503" s="65"/>
      <c r="AE503" s="112"/>
      <c r="AF503" s="203">
        <v>0.3</v>
      </c>
      <c r="AG503" s="109">
        <f t="shared" si="44"/>
        <v>3710</v>
      </c>
      <c r="AH503" s="84">
        <f t="shared" si="666"/>
        <v>0</v>
      </c>
      <c r="AI503" s="65"/>
      <c r="AJ503" s="112"/>
      <c r="AK503" s="122"/>
      <c r="AL503" s="109">
        <v>1212</v>
      </c>
      <c r="AM503" s="84">
        <f t="shared" si="667"/>
        <v>0</v>
      </c>
      <c r="AN503" s="65"/>
      <c r="AO503" s="112"/>
      <c r="AP503" s="204"/>
      <c r="AQ503" s="109">
        <f>IFERROR((O503+AH503+AM503)/Dashboard!$D$15,0)*0.2</f>
        <v>3.8326446280991733</v>
      </c>
      <c r="AR503" s="84">
        <f t="shared" si="668"/>
        <v>0</v>
      </c>
      <c r="AS503" s="65"/>
      <c r="AT503" s="112"/>
      <c r="AU503" s="203">
        <v>0.33</v>
      </c>
      <c r="AV503" s="109">
        <f t="shared" si="669"/>
        <v>3710</v>
      </c>
      <c r="AW503" s="84">
        <f t="shared" si="670"/>
        <v>0</v>
      </c>
      <c r="AX503" s="65"/>
      <c r="AY503" s="112"/>
      <c r="AZ503" s="203">
        <v>0.25</v>
      </c>
      <c r="BA503" s="109">
        <f t="shared" si="50"/>
        <v>3710</v>
      </c>
      <c r="BB503" s="84">
        <f t="shared" si="671"/>
        <v>0</v>
      </c>
      <c r="BC503" s="65"/>
      <c r="BD503" s="112"/>
      <c r="BE503" s="203">
        <v>0.26</v>
      </c>
      <c r="BF503" s="109">
        <f t="shared" si="672"/>
        <v>3710</v>
      </c>
      <c r="BG503" s="84">
        <f t="shared" si="673"/>
        <v>0</v>
      </c>
      <c r="BH503" s="197"/>
      <c r="BI503" s="518"/>
      <c r="BJ503" s="65"/>
      <c r="BK503" s="81">
        <f t="shared" si="674"/>
        <v>0</v>
      </c>
      <c r="BL503" s="65"/>
      <c r="BM503" s="204"/>
      <c r="BN503" s="156">
        <f>IF(B503&lt;&gt;"",_xlfn.XLOOKUP(B503,'Cronog. e Histog.'!B:B,'Cronog. e Histog.'!EK:EK),0)</f>
        <v>0</v>
      </c>
      <c r="BO503" s="109">
        <f>($O503/Dashboard!$D$15)*(1+Dashboard!$D$19)</f>
        <v>28.744834710743799</v>
      </c>
      <c r="BP503" s="84">
        <f t="shared" si="689"/>
        <v>0</v>
      </c>
      <c r="BQ503" s="65"/>
      <c r="BR503" s="204"/>
      <c r="BS503" s="156">
        <f>IF(B503&lt;&gt;"",_xlfn.XLOOKUP(B503,'Cronog. e Histog.'!B:B,'Cronog. e Histog.'!EL:EL),0)</f>
        <v>0</v>
      </c>
      <c r="BT503" s="109">
        <f>($O503/Dashboard!$D$15)*(1+Dashboard!$D$20)</f>
        <v>33.535640495867767</v>
      </c>
      <c r="BU503" s="84">
        <f t="shared" si="690"/>
        <v>0</v>
      </c>
      <c r="BV503" s="65"/>
      <c r="BW503" s="204"/>
      <c r="BX503" s="156">
        <f>IF(B503&lt;&gt;"",_xlfn.XLOOKUP(B503,'Cronog. e Histog.'!B:B,'Cronog. e Histog.'!EM:EM),0)</f>
        <v>0</v>
      </c>
      <c r="BY503" s="109">
        <f>($O503/Dashboard!$D$15)*(1+Dashboard!$D$21)</f>
        <v>38.326446280991732</v>
      </c>
      <c r="BZ503" s="84">
        <f t="shared" si="691"/>
        <v>0</v>
      </c>
    </row>
    <row r="504" spans="2:78" ht="12" customHeight="1" outlineLevel="1">
      <c r="B504" s="137" t="str">
        <f>'Cronog. e Histog.'!B657</f>
        <v>TEC III - Equipe_01</v>
      </c>
      <c r="C504" s="65"/>
      <c r="D504" s="200">
        <f t="shared" si="657"/>
        <v>0</v>
      </c>
      <c r="E504" s="200">
        <f t="shared" si="658"/>
        <v>0</v>
      </c>
      <c r="F504" s="65"/>
      <c r="G504" s="200">
        <f t="shared" si="659"/>
        <v>0</v>
      </c>
      <c r="H504" s="200">
        <f t="shared" si="660"/>
        <v>0</v>
      </c>
      <c r="I504" s="65"/>
      <c r="J504" s="143" t="str">
        <f>IF('Cronog. e Histog.'!G657&gt;0,'Cronog. e Histog.'!G657,"")</f>
        <v>TEC III</v>
      </c>
      <c r="K504" s="65"/>
      <c r="L504" s="144">
        <f>'Cronog. e Histog.'!BT657</f>
        <v>0</v>
      </c>
      <c r="M504" s="144">
        <f>'Cronog. e Histog.'!BU657</f>
        <v>0</v>
      </c>
      <c r="N504" s="65"/>
      <c r="O504" s="109">
        <f>_xlfn.XLOOKUP(B504,Salários!B:B,Salários!K:K)</f>
        <v>6360</v>
      </c>
      <c r="P504" s="109">
        <f t="shared" si="675"/>
        <v>0</v>
      </c>
      <c r="Q504" s="109">
        <f t="shared" si="676"/>
        <v>0</v>
      </c>
      <c r="R504" s="65"/>
      <c r="S504" s="109">
        <f t="shared" si="677"/>
        <v>6360</v>
      </c>
      <c r="T504" s="201" t="str">
        <f>IF(_xlfn.XLOOKUP(B504,Salários!B:B,Salários!I:I)&gt;0,_xlfn.XLOOKUP(B504,Salários!B:B,Salários!I:I),"")</f>
        <v>Mensalista</v>
      </c>
      <c r="U504" s="117">
        <f t="shared" si="678"/>
        <v>0</v>
      </c>
      <c r="V504" s="65"/>
      <c r="W504" s="202"/>
      <c r="X504" s="65"/>
      <c r="Y504" s="69"/>
      <c r="Z504" s="65"/>
      <c r="AA504" s="518"/>
      <c r="AB504" s="65"/>
      <c r="AC504" s="81">
        <f t="shared" si="665"/>
        <v>0</v>
      </c>
      <c r="AD504" s="65"/>
      <c r="AE504" s="112"/>
      <c r="AF504" s="203">
        <v>0.3</v>
      </c>
      <c r="AG504" s="109">
        <f t="shared" si="44"/>
        <v>6360</v>
      </c>
      <c r="AH504" s="84">
        <f t="shared" si="666"/>
        <v>0</v>
      </c>
      <c r="AI504" s="65"/>
      <c r="AJ504" s="112"/>
      <c r="AK504" s="122"/>
      <c r="AL504" s="109">
        <v>1212</v>
      </c>
      <c r="AM504" s="84">
        <f t="shared" si="667"/>
        <v>0</v>
      </c>
      <c r="AN504" s="65"/>
      <c r="AO504" s="112"/>
      <c r="AP504" s="204"/>
      <c r="AQ504" s="109">
        <f>IFERROR((O504+AH504+AM504)/Dashboard!$D$15,0)*0.2</f>
        <v>6.5702479338842963</v>
      </c>
      <c r="AR504" s="84">
        <f t="shared" si="668"/>
        <v>0</v>
      </c>
      <c r="AS504" s="65"/>
      <c r="AT504" s="112"/>
      <c r="AU504" s="203">
        <v>0.33</v>
      </c>
      <c r="AV504" s="109">
        <f t="shared" si="669"/>
        <v>6360</v>
      </c>
      <c r="AW504" s="84">
        <f t="shared" si="670"/>
        <v>0</v>
      </c>
      <c r="AX504" s="65"/>
      <c r="AY504" s="112"/>
      <c r="AZ504" s="203">
        <v>0.25</v>
      </c>
      <c r="BA504" s="109">
        <f t="shared" si="50"/>
        <v>6360</v>
      </c>
      <c r="BB504" s="84">
        <f t="shared" si="671"/>
        <v>0</v>
      </c>
      <c r="BC504" s="65"/>
      <c r="BD504" s="112"/>
      <c r="BE504" s="203">
        <v>0.26</v>
      </c>
      <c r="BF504" s="109">
        <f t="shared" si="672"/>
        <v>6360</v>
      </c>
      <c r="BG504" s="84">
        <f t="shared" si="673"/>
        <v>0</v>
      </c>
      <c r="BH504" s="197"/>
      <c r="BI504" s="518"/>
      <c r="BJ504" s="65"/>
      <c r="BK504" s="81">
        <f t="shared" si="674"/>
        <v>0</v>
      </c>
      <c r="BL504" s="65"/>
      <c r="BM504" s="204"/>
      <c r="BN504" s="156">
        <f>IF(B504&lt;&gt;"",_xlfn.XLOOKUP(B504,'Cronog. e Histog.'!B:B,'Cronog. e Histog.'!EK:EK),0)</f>
        <v>0</v>
      </c>
      <c r="BO504" s="109">
        <f>($O504/Dashboard!$D$15)*(1+Dashboard!$D$19)</f>
        <v>49.276859504132219</v>
      </c>
      <c r="BP504" s="84">
        <f t="shared" si="689"/>
        <v>0</v>
      </c>
      <c r="BQ504" s="65"/>
      <c r="BR504" s="204"/>
      <c r="BS504" s="156">
        <f>IF(B504&lt;&gt;"",_xlfn.XLOOKUP(B504,'Cronog. e Histog.'!B:B,'Cronog. e Histog.'!EL:EL),0)</f>
        <v>0</v>
      </c>
      <c r="BT504" s="109">
        <f>($O504/Dashboard!$D$15)*(1+Dashboard!$D$20)</f>
        <v>57.489669421487591</v>
      </c>
      <c r="BU504" s="84">
        <f t="shared" si="690"/>
        <v>0</v>
      </c>
      <c r="BV504" s="65"/>
      <c r="BW504" s="204"/>
      <c r="BX504" s="156">
        <f>IF(B504&lt;&gt;"",_xlfn.XLOOKUP(B504,'Cronog. e Histog.'!B:B,'Cronog. e Histog.'!EM:EM),0)</f>
        <v>0</v>
      </c>
      <c r="BY504" s="109">
        <f>($O504/Dashboard!$D$15)*(1+Dashboard!$D$21)</f>
        <v>65.702479338842963</v>
      </c>
      <c r="BZ504" s="84">
        <f t="shared" si="691"/>
        <v>0</v>
      </c>
    </row>
    <row r="505" spans="2:78" ht="12" customHeight="1" outlineLevel="1">
      <c r="B505" s="137" t="str">
        <f>'Cronog. e Histog.'!B658</f>
        <v>TEC II - Equipe_01</v>
      </c>
      <c r="C505" s="65"/>
      <c r="D505" s="200">
        <f t="shared" si="657"/>
        <v>0</v>
      </c>
      <c r="E505" s="200">
        <f t="shared" si="658"/>
        <v>0</v>
      </c>
      <c r="F505" s="65"/>
      <c r="G505" s="200">
        <f t="shared" si="659"/>
        <v>0</v>
      </c>
      <c r="H505" s="200">
        <f t="shared" si="660"/>
        <v>0</v>
      </c>
      <c r="I505" s="65"/>
      <c r="J505" s="143" t="str">
        <f>IF('Cronog. e Histog.'!G658&gt;0,'Cronog. e Histog.'!G658,"")</f>
        <v>TEC II</v>
      </c>
      <c r="K505" s="65"/>
      <c r="L505" s="144">
        <f>'Cronog. e Histog.'!BT658</f>
        <v>0</v>
      </c>
      <c r="M505" s="144">
        <f>'Cronog. e Histog.'!BU658</f>
        <v>0</v>
      </c>
      <c r="N505" s="65"/>
      <c r="O505" s="109">
        <f>_xlfn.XLOOKUP(B505,Salários!B:B,Salários!K:K)</f>
        <v>4770</v>
      </c>
      <c r="P505" s="109">
        <f t="shared" si="675"/>
        <v>0</v>
      </c>
      <c r="Q505" s="109">
        <f t="shared" si="676"/>
        <v>0</v>
      </c>
      <c r="R505" s="65"/>
      <c r="S505" s="109">
        <f t="shared" si="677"/>
        <v>4770</v>
      </c>
      <c r="T505" s="201" t="str">
        <f>IF(_xlfn.XLOOKUP(B505,Salários!B:B,Salários!I:I)&gt;0,_xlfn.XLOOKUP(B505,Salários!B:B,Salários!I:I),"")</f>
        <v>Mensalista</v>
      </c>
      <c r="U505" s="117">
        <f t="shared" si="678"/>
        <v>0</v>
      </c>
      <c r="V505" s="65"/>
      <c r="W505" s="202"/>
      <c r="X505" s="65"/>
      <c r="Y505" s="69"/>
      <c r="Z505" s="65"/>
      <c r="AA505" s="518"/>
      <c r="AB505" s="65"/>
      <c r="AC505" s="81">
        <f t="shared" si="665"/>
        <v>0</v>
      </c>
      <c r="AD505" s="65"/>
      <c r="AE505" s="112"/>
      <c r="AF505" s="203">
        <v>0.3</v>
      </c>
      <c r="AG505" s="109">
        <f t="shared" si="44"/>
        <v>4770</v>
      </c>
      <c r="AH505" s="84">
        <f t="shared" si="666"/>
        <v>0</v>
      </c>
      <c r="AI505" s="65"/>
      <c r="AJ505" s="112"/>
      <c r="AK505" s="122"/>
      <c r="AL505" s="109">
        <v>1212</v>
      </c>
      <c r="AM505" s="84">
        <f t="shared" si="667"/>
        <v>0</v>
      </c>
      <c r="AN505" s="65"/>
      <c r="AO505" s="112"/>
      <c r="AP505" s="204"/>
      <c r="AQ505" s="109">
        <f>IFERROR((O505+AH505+AM505)/Dashboard!$D$15,0)*0.2</f>
        <v>4.9276859504132231</v>
      </c>
      <c r="AR505" s="84">
        <f t="shared" si="668"/>
        <v>0</v>
      </c>
      <c r="AS505" s="65"/>
      <c r="AT505" s="112"/>
      <c r="AU505" s="203">
        <v>0.33</v>
      </c>
      <c r="AV505" s="109">
        <f t="shared" si="669"/>
        <v>4770</v>
      </c>
      <c r="AW505" s="84">
        <f t="shared" si="670"/>
        <v>0</v>
      </c>
      <c r="AX505" s="65"/>
      <c r="AY505" s="112"/>
      <c r="AZ505" s="203">
        <v>0.25</v>
      </c>
      <c r="BA505" s="109">
        <f t="shared" si="50"/>
        <v>4770</v>
      </c>
      <c r="BB505" s="84">
        <f t="shared" si="671"/>
        <v>0</v>
      </c>
      <c r="BC505" s="65"/>
      <c r="BD505" s="112"/>
      <c r="BE505" s="203">
        <v>0.26</v>
      </c>
      <c r="BF505" s="109">
        <f t="shared" si="672"/>
        <v>4770</v>
      </c>
      <c r="BG505" s="84">
        <f t="shared" si="673"/>
        <v>0</v>
      </c>
      <c r="BH505" s="197"/>
      <c r="BI505" s="518"/>
      <c r="BJ505" s="65"/>
      <c r="BK505" s="81">
        <f t="shared" si="674"/>
        <v>0</v>
      </c>
      <c r="BL505" s="65"/>
      <c r="BM505" s="204"/>
      <c r="BN505" s="156">
        <f>IF(B505&lt;&gt;"",_xlfn.XLOOKUP(B505,'Cronog. e Histog.'!B:B,'Cronog. e Histog.'!EK:EK),0)</f>
        <v>0</v>
      </c>
      <c r="BO505" s="109">
        <f>($O505/Dashboard!$D$15)*(1+Dashboard!$D$19)</f>
        <v>36.957644628099168</v>
      </c>
      <c r="BP505" s="84">
        <f t="shared" si="689"/>
        <v>0</v>
      </c>
      <c r="BQ505" s="65"/>
      <c r="BR505" s="204"/>
      <c r="BS505" s="156">
        <f>IF(B505&lt;&gt;"",_xlfn.XLOOKUP(B505,'Cronog. e Histog.'!B:B,'Cronog. e Histog.'!EL:EL),0)</f>
        <v>0</v>
      </c>
      <c r="BT505" s="109">
        <f>($O505/Dashboard!$D$15)*(1+Dashboard!$D$20)</f>
        <v>43.117252066115697</v>
      </c>
      <c r="BU505" s="84">
        <f t="shared" si="690"/>
        <v>0</v>
      </c>
      <c r="BV505" s="65"/>
      <c r="BW505" s="204"/>
      <c r="BX505" s="156">
        <f>IF(B505&lt;&gt;"",_xlfn.XLOOKUP(B505,'Cronog. e Histog.'!B:B,'Cronog. e Histog.'!EM:EM),0)</f>
        <v>0</v>
      </c>
      <c r="BY505" s="109">
        <f>($O505/Dashboard!$D$15)*(1+Dashboard!$D$21)</f>
        <v>49.276859504132226</v>
      </c>
      <c r="BZ505" s="84">
        <f t="shared" si="691"/>
        <v>0</v>
      </c>
    </row>
    <row r="506" spans="2:78" ht="12" customHeight="1" outlineLevel="1">
      <c r="B506" s="137" t="str">
        <f>'Cronog. e Histog.'!B659</f>
        <v>TEC I - Equipe_01</v>
      </c>
      <c r="C506" s="65"/>
      <c r="D506" s="200">
        <f t="shared" si="657"/>
        <v>0</v>
      </c>
      <c r="E506" s="200">
        <f t="shared" si="658"/>
        <v>0</v>
      </c>
      <c r="F506" s="65"/>
      <c r="G506" s="200">
        <f t="shared" si="659"/>
        <v>0</v>
      </c>
      <c r="H506" s="200">
        <f t="shared" si="660"/>
        <v>0</v>
      </c>
      <c r="I506" s="65"/>
      <c r="J506" s="143" t="str">
        <f>IF('Cronog. e Histog.'!G659&gt;0,'Cronog. e Histog.'!G659,"")</f>
        <v>TEC I</v>
      </c>
      <c r="K506" s="65"/>
      <c r="L506" s="144">
        <f>'Cronog. e Histog.'!BT659</f>
        <v>0</v>
      </c>
      <c r="M506" s="144">
        <f>'Cronog. e Histog.'!BU659</f>
        <v>0</v>
      </c>
      <c r="N506" s="65"/>
      <c r="O506" s="109">
        <f>_xlfn.XLOOKUP(B506,Salários!B:B,Salários!K:K)</f>
        <v>3180</v>
      </c>
      <c r="P506" s="109">
        <f t="shared" si="675"/>
        <v>0</v>
      </c>
      <c r="Q506" s="109">
        <f t="shared" si="676"/>
        <v>0</v>
      </c>
      <c r="R506" s="65"/>
      <c r="S506" s="109">
        <f t="shared" si="677"/>
        <v>3180</v>
      </c>
      <c r="T506" s="201" t="str">
        <f>IF(_xlfn.XLOOKUP(B506,Salários!B:B,Salários!I:I)&gt;0,_xlfn.XLOOKUP(B506,Salários!B:B,Salários!I:I),"")</f>
        <v>Mensalista</v>
      </c>
      <c r="U506" s="117">
        <f t="shared" si="678"/>
        <v>0</v>
      </c>
      <c r="V506" s="65"/>
      <c r="W506" s="202"/>
      <c r="X506" s="65"/>
      <c r="Y506" s="69"/>
      <c r="Z506" s="65"/>
      <c r="AA506" s="518"/>
      <c r="AB506" s="65"/>
      <c r="AC506" s="81">
        <f t="shared" si="665"/>
        <v>0</v>
      </c>
      <c r="AD506" s="65"/>
      <c r="AE506" s="112"/>
      <c r="AF506" s="203">
        <v>0.3</v>
      </c>
      <c r="AG506" s="109">
        <f t="shared" si="44"/>
        <v>3180</v>
      </c>
      <c r="AH506" s="84">
        <f t="shared" si="666"/>
        <v>0</v>
      </c>
      <c r="AI506" s="65"/>
      <c r="AJ506" s="112"/>
      <c r="AK506" s="122"/>
      <c r="AL506" s="109">
        <v>1212</v>
      </c>
      <c r="AM506" s="84">
        <f t="shared" si="667"/>
        <v>0</v>
      </c>
      <c r="AN506" s="65"/>
      <c r="AO506" s="112"/>
      <c r="AP506" s="204"/>
      <c r="AQ506" s="109">
        <f>IFERROR((O506+AH506+AM506)/Dashboard!$D$15,0)*0.2</f>
        <v>3.2851239669421481</v>
      </c>
      <c r="AR506" s="84">
        <f t="shared" si="668"/>
        <v>0</v>
      </c>
      <c r="AS506" s="65"/>
      <c r="AT506" s="112"/>
      <c r="AU506" s="203">
        <v>0.33</v>
      </c>
      <c r="AV506" s="109">
        <f t="shared" si="669"/>
        <v>3180</v>
      </c>
      <c r="AW506" s="84">
        <f t="shared" si="670"/>
        <v>0</v>
      </c>
      <c r="AX506" s="65"/>
      <c r="AY506" s="112"/>
      <c r="AZ506" s="203">
        <v>0.25</v>
      </c>
      <c r="BA506" s="109">
        <f t="shared" si="50"/>
        <v>3180</v>
      </c>
      <c r="BB506" s="84">
        <f t="shared" si="671"/>
        <v>0</v>
      </c>
      <c r="BC506" s="65"/>
      <c r="BD506" s="112"/>
      <c r="BE506" s="203">
        <v>0.26</v>
      </c>
      <c r="BF506" s="109">
        <f t="shared" si="672"/>
        <v>3180</v>
      </c>
      <c r="BG506" s="84">
        <f t="shared" si="673"/>
        <v>0</v>
      </c>
      <c r="BH506" s="197"/>
      <c r="BI506" s="518"/>
      <c r="BJ506" s="65"/>
      <c r="BK506" s="81">
        <f t="shared" si="674"/>
        <v>0</v>
      </c>
      <c r="BL506" s="65"/>
      <c r="BM506" s="204"/>
      <c r="BN506" s="156">
        <f>IF(B506&lt;&gt;"",_xlfn.XLOOKUP(B506,'Cronog. e Histog.'!B:B,'Cronog. e Histog.'!EK:EK),0)</f>
        <v>0</v>
      </c>
      <c r="BO506" s="109">
        <f>($O506/Dashboard!$D$15)*(1+Dashboard!$D$19)</f>
        <v>24.638429752066109</v>
      </c>
      <c r="BP506" s="84">
        <f t="shared" si="689"/>
        <v>0</v>
      </c>
      <c r="BQ506" s="65"/>
      <c r="BR506" s="204"/>
      <c r="BS506" s="156">
        <f>IF(B506&lt;&gt;"",_xlfn.XLOOKUP(B506,'Cronog. e Histog.'!B:B,'Cronog. e Histog.'!EL:EL),0)</f>
        <v>0</v>
      </c>
      <c r="BT506" s="109">
        <f>($O506/Dashboard!$D$15)*(1+Dashboard!$D$20)</f>
        <v>28.744834710743795</v>
      </c>
      <c r="BU506" s="84">
        <f t="shared" si="690"/>
        <v>0</v>
      </c>
      <c r="BV506" s="65"/>
      <c r="BW506" s="204"/>
      <c r="BX506" s="156">
        <f>IF(B506&lt;&gt;"",_xlfn.XLOOKUP(B506,'Cronog. e Histog.'!B:B,'Cronog. e Histog.'!EM:EM),0)</f>
        <v>0</v>
      </c>
      <c r="BY506" s="109">
        <f>($O506/Dashboard!$D$15)*(1+Dashboard!$D$21)</f>
        <v>32.851239669421481</v>
      </c>
      <c r="BZ506" s="84">
        <f t="shared" si="691"/>
        <v>0</v>
      </c>
    </row>
    <row r="507" spans="2:78" ht="12" customHeight="1" outlineLevel="1">
      <c r="B507" s="137" t="str">
        <f>'Cronog. e Histog.'!B660</f>
        <v>AUX TEC - Equipe_01</v>
      </c>
      <c r="C507" s="65"/>
      <c r="D507" s="200">
        <f t="shared" si="657"/>
        <v>0</v>
      </c>
      <c r="E507" s="200">
        <f t="shared" si="658"/>
        <v>0</v>
      </c>
      <c r="F507" s="65"/>
      <c r="G507" s="200">
        <f t="shared" si="659"/>
        <v>0</v>
      </c>
      <c r="H507" s="200">
        <f t="shared" si="660"/>
        <v>0</v>
      </c>
      <c r="I507" s="65"/>
      <c r="J507" s="143" t="str">
        <f>IF('Cronog. e Histog.'!G660&gt;0,'Cronog. e Histog.'!G660,"")</f>
        <v>AUX TEC</v>
      </c>
      <c r="K507" s="65"/>
      <c r="L507" s="144">
        <f>'Cronog. e Histog.'!BT660</f>
        <v>0</v>
      </c>
      <c r="M507" s="144">
        <f>'Cronog. e Histog.'!BU660</f>
        <v>0</v>
      </c>
      <c r="N507" s="65"/>
      <c r="O507" s="109">
        <f>_xlfn.XLOOKUP(B507,Salários!B:B,Salários!K:K)</f>
        <v>3710</v>
      </c>
      <c r="P507" s="109">
        <f t="shared" si="675"/>
        <v>0</v>
      </c>
      <c r="Q507" s="109">
        <f t="shared" si="676"/>
        <v>0</v>
      </c>
      <c r="R507" s="65"/>
      <c r="S507" s="109">
        <f t="shared" si="677"/>
        <v>3710</v>
      </c>
      <c r="T507" s="201" t="str">
        <f>IF(_xlfn.XLOOKUP(B507,Salários!B:B,Salários!I:I)&gt;0,_xlfn.XLOOKUP(B507,Salários!B:B,Salários!I:I),"")</f>
        <v>Mensalista</v>
      </c>
      <c r="U507" s="117">
        <f t="shared" si="678"/>
        <v>0</v>
      </c>
      <c r="V507" s="65"/>
      <c r="W507" s="202"/>
      <c r="X507" s="65"/>
      <c r="Y507" s="69"/>
      <c r="Z507" s="65"/>
      <c r="AA507" s="518"/>
      <c r="AB507" s="65"/>
      <c r="AC507" s="81">
        <f t="shared" si="665"/>
        <v>0</v>
      </c>
      <c r="AD507" s="65"/>
      <c r="AE507" s="112"/>
      <c r="AF507" s="203">
        <v>0.3</v>
      </c>
      <c r="AG507" s="109">
        <f t="shared" si="44"/>
        <v>3710</v>
      </c>
      <c r="AH507" s="84">
        <f t="shared" si="666"/>
        <v>0</v>
      </c>
      <c r="AI507" s="65"/>
      <c r="AJ507" s="112"/>
      <c r="AK507" s="122"/>
      <c r="AL507" s="109">
        <v>1212</v>
      </c>
      <c r="AM507" s="84">
        <f t="shared" si="667"/>
        <v>0</v>
      </c>
      <c r="AN507" s="65"/>
      <c r="AO507" s="112"/>
      <c r="AP507" s="204"/>
      <c r="AQ507" s="109">
        <f>IFERROR((O507+AH507+AM507)/Dashboard!$D$15,0)*0.2</f>
        <v>3.8326446280991733</v>
      </c>
      <c r="AR507" s="84">
        <f t="shared" si="668"/>
        <v>0</v>
      </c>
      <c r="AS507" s="65"/>
      <c r="AT507" s="112"/>
      <c r="AU507" s="203">
        <v>0.33</v>
      </c>
      <c r="AV507" s="109">
        <f t="shared" si="669"/>
        <v>3710</v>
      </c>
      <c r="AW507" s="84">
        <f t="shared" si="670"/>
        <v>0</v>
      </c>
      <c r="AX507" s="65"/>
      <c r="AY507" s="112"/>
      <c r="AZ507" s="203">
        <v>0.25</v>
      </c>
      <c r="BA507" s="109">
        <f t="shared" si="50"/>
        <v>3710</v>
      </c>
      <c r="BB507" s="84">
        <f t="shared" si="671"/>
        <v>0</v>
      </c>
      <c r="BC507" s="65"/>
      <c r="BD507" s="112"/>
      <c r="BE507" s="203">
        <v>0.26</v>
      </c>
      <c r="BF507" s="109">
        <f t="shared" si="672"/>
        <v>3710</v>
      </c>
      <c r="BG507" s="84">
        <f t="shared" si="673"/>
        <v>0</v>
      </c>
      <c r="BH507" s="197"/>
      <c r="BI507" s="518"/>
      <c r="BJ507" s="65"/>
      <c r="BK507" s="81">
        <f t="shared" si="674"/>
        <v>0</v>
      </c>
      <c r="BL507" s="65"/>
      <c r="BM507" s="204"/>
      <c r="BN507" s="156">
        <f>IF(B507&lt;&gt;"",_xlfn.XLOOKUP(B507,'Cronog. e Histog.'!B:B,'Cronog. e Histog.'!EK:EK),0)</f>
        <v>0</v>
      </c>
      <c r="BO507" s="109">
        <f>($O507/Dashboard!$D$15)*(1+Dashboard!$D$19)</f>
        <v>28.744834710743799</v>
      </c>
      <c r="BP507" s="84">
        <f t="shared" si="689"/>
        <v>0</v>
      </c>
      <c r="BQ507" s="65"/>
      <c r="BR507" s="204"/>
      <c r="BS507" s="156">
        <f>IF(B507&lt;&gt;"",_xlfn.XLOOKUP(B507,'Cronog. e Histog.'!B:B,'Cronog. e Histog.'!EL:EL),0)</f>
        <v>0</v>
      </c>
      <c r="BT507" s="109">
        <f>($O507/Dashboard!$D$15)*(1+Dashboard!$D$20)</f>
        <v>33.535640495867767</v>
      </c>
      <c r="BU507" s="84">
        <f t="shared" si="690"/>
        <v>0</v>
      </c>
      <c r="BV507" s="65"/>
      <c r="BW507" s="204"/>
      <c r="BX507" s="156">
        <f>IF(B507&lt;&gt;"",_xlfn.XLOOKUP(B507,'Cronog. e Histog.'!B:B,'Cronog. e Histog.'!EM:EM),0)</f>
        <v>0</v>
      </c>
      <c r="BY507" s="109">
        <f>($O507/Dashboard!$D$15)*(1+Dashboard!$D$21)</f>
        <v>38.326446280991732</v>
      </c>
      <c r="BZ507" s="84">
        <f t="shared" si="691"/>
        <v>0</v>
      </c>
    </row>
    <row r="508" spans="2:78" ht="12" customHeight="1" outlineLevel="1">
      <c r="B508" s="137" t="str">
        <f>'Cronog. e Histog.'!B661</f>
        <v>AUX ADM - Equipe_01</v>
      </c>
      <c r="C508" s="65"/>
      <c r="D508" s="200">
        <f t="shared" si="657"/>
        <v>0</v>
      </c>
      <c r="E508" s="200">
        <f t="shared" si="658"/>
        <v>0</v>
      </c>
      <c r="F508" s="65"/>
      <c r="G508" s="200">
        <f t="shared" si="659"/>
        <v>0</v>
      </c>
      <c r="H508" s="200">
        <f t="shared" si="660"/>
        <v>0</v>
      </c>
      <c r="I508" s="65"/>
      <c r="J508" s="143" t="str">
        <f>IF('Cronog. e Histog.'!G661&gt;0,'Cronog. e Histog.'!G661,"")</f>
        <v>AUX ADM</v>
      </c>
      <c r="K508" s="65"/>
      <c r="L508" s="144">
        <f>'Cronog. e Histog.'!BT661</f>
        <v>0</v>
      </c>
      <c r="M508" s="144">
        <f>'Cronog. e Histog.'!BU661</f>
        <v>0</v>
      </c>
      <c r="N508" s="65"/>
      <c r="O508" s="109">
        <f>_xlfn.XLOOKUP(B508,Salários!B:B,Salários!K:K)</f>
        <v>1912.24</v>
      </c>
      <c r="P508" s="109">
        <f t="shared" si="675"/>
        <v>0</v>
      </c>
      <c r="Q508" s="109">
        <f t="shared" si="676"/>
        <v>0</v>
      </c>
      <c r="R508" s="65"/>
      <c r="S508" s="109">
        <f t="shared" si="677"/>
        <v>1912.24</v>
      </c>
      <c r="T508" s="201" t="str">
        <f>IF(_xlfn.XLOOKUP(B508,Salários!B:B,Salários!I:I)&gt;0,_xlfn.XLOOKUP(B508,Salários!B:B,Salários!I:I),"")</f>
        <v>Mensalista</v>
      </c>
      <c r="U508" s="117">
        <f t="shared" si="678"/>
        <v>0</v>
      </c>
      <c r="V508" s="65"/>
      <c r="W508" s="202"/>
      <c r="X508" s="65"/>
      <c r="Y508" s="69"/>
      <c r="Z508" s="65"/>
      <c r="AA508" s="518"/>
      <c r="AB508" s="65"/>
      <c r="AC508" s="81">
        <f t="shared" si="665"/>
        <v>0</v>
      </c>
      <c r="AD508" s="65"/>
      <c r="AE508" s="112"/>
      <c r="AF508" s="203">
        <v>0.3</v>
      </c>
      <c r="AG508" s="109">
        <f t="shared" si="44"/>
        <v>1912.24</v>
      </c>
      <c r="AH508" s="84">
        <f t="shared" si="666"/>
        <v>0</v>
      </c>
      <c r="AI508" s="65"/>
      <c r="AJ508" s="112"/>
      <c r="AK508" s="122"/>
      <c r="AL508" s="109">
        <v>1212</v>
      </c>
      <c r="AM508" s="84">
        <f t="shared" si="667"/>
        <v>0</v>
      </c>
      <c r="AN508" s="65"/>
      <c r="AO508" s="112"/>
      <c r="AP508" s="204"/>
      <c r="AQ508" s="109">
        <f>IFERROR((O508+AH508+AM508)/Dashboard!$D$15,0)*0.2</f>
        <v>1.9754545454545456</v>
      </c>
      <c r="AR508" s="84">
        <f t="shared" si="668"/>
        <v>0</v>
      </c>
      <c r="AS508" s="65"/>
      <c r="AT508" s="112"/>
      <c r="AU508" s="203">
        <v>0.33</v>
      </c>
      <c r="AV508" s="109">
        <f t="shared" si="669"/>
        <v>1912.24</v>
      </c>
      <c r="AW508" s="84">
        <f t="shared" si="670"/>
        <v>0</v>
      </c>
      <c r="AX508" s="65"/>
      <c r="AY508" s="112"/>
      <c r="AZ508" s="203">
        <v>0.25</v>
      </c>
      <c r="BA508" s="109">
        <f t="shared" si="50"/>
        <v>1912.24</v>
      </c>
      <c r="BB508" s="84">
        <f t="shared" si="671"/>
        <v>0</v>
      </c>
      <c r="BC508" s="65"/>
      <c r="BD508" s="112"/>
      <c r="BE508" s="203">
        <v>0.26</v>
      </c>
      <c r="BF508" s="109">
        <f t="shared" si="672"/>
        <v>1912.24</v>
      </c>
      <c r="BG508" s="84">
        <f t="shared" si="673"/>
        <v>0</v>
      </c>
      <c r="BH508" s="197"/>
      <c r="BI508" s="518"/>
      <c r="BJ508" s="65"/>
      <c r="BK508" s="81">
        <f t="shared" si="674"/>
        <v>0</v>
      </c>
      <c r="BL508" s="65"/>
      <c r="BM508" s="204"/>
      <c r="BN508" s="156">
        <f>IF(B508&lt;&gt;"",_xlfn.XLOOKUP(B508,'Cronog. e Histog.'!B:B,'Cronog. e Histog.'!EK:EK),0)</f>
        <v>0</v>
      </c>
      <c r="BO508" s="109">
        <f>($O508/Dashboard!$D$15)*(1+Dashboard!$D$19)</f>
        <v>14.815909090909091</v>
      </c>
      <c r="BP508" s="84">
        <f t="shared" si="689"/>
        <v>0</v>
      </c>
      <c r="BQ508" s="65"/>
      <c r="BR508" s="204"/>
      <c r="BS508" s="156">
        <f>IF(B508&lt;&gt;"",_xlfn.XLOOKUP(B508,'Cronog. e Histog.'!B:B,'Cronog. e Histog.'!EL:EL),0)</f>
        <v>0</v>
      </c>
      <c r="BT508" s="109">
        <f>($O508/Dashboard!$D$15)*(1+Dashboard!$D$20)</f>
        <v>17.285227272727273</v>
      </c>
      <c r="BU508" s="84">
        <f t="shared" si="690"/>
        <v>0</v>
      </c>
      <c r="BV508" s="65"/>
      <c r="BW508" s="204"/>
      <c r="BX508" s="156">
        <f>IF(B508&lt;&gt;"",_xlfn.XLOOKUP(B508,'Cronog. e Histog.'!B:B,'Cronog. e Histog.'!EM:EM),0)</f>
        <v>0</v>
      </c>
      <c r="BY508" s="109">
        <f>($O508/Dashboard!$D$15)*(1+Dashboard!$D$21)</f>
        <v>19.754545454545454</v>
      </c>
      <c r="BZ508" s="84">
        <f t="shared" si="691"/>
        <v>0</v>
      </c>
    </row>
    <row r="509" spans="2:78" ht="12" customHeight="1" outlineLevel="1">
      <c r="B509" s="137" t="str">
        <f>'Cronog. e Histog.'!B662</f>
        <v>EST - Equipe_01</v>
      </c>
      <c r="C509" s="65"/>
      <c r="D509" s="200">
        <f t="shared" si="657"/>
        <v>0</v>
      </c>
      <c r="E509" s="200">
        <f t="shared" si="658"/>
        <v>0</v>
      </c>
      <c r="F509" s="65"/>
      <c r="G509" s="200">
        <f t="shared" si="659"/>
        <v>0</v>
      </c>
      <c r="H509" s="200">
        <f t="shared" si="660"/>
        <v>0</v>
      </c>
      <c r="I509" s="65"/>
      <c r="J509" s="143" t="str">
        <f>IF('Cronog. e Histog.'!G662&gt;0,'Cronog. e Histog.'!G662,"")</f>
        <v>EST</v>
      </c>
      <c r="K509" s="65"/>
      <c r="L509" s="144">
        <f>'Cronog. e Histog.'!BT662</f>
        <v>0</v>
      </c>
      <c r="M509" s="144">
        <f>'Cronog. e Histog.'!BU662</f>
        <v>0</v>
      </c>
      <c r="N509" s="65"/>
      <c r="O509" s="109">
        <f>_xlfn.XLOOKUP(B509,Salários!B:B,Salários!K:K)</f>
        <v>1633</v>
      </c>
      <c r="P509" s="109">
        <f t="shared" si="675"/>
        <v>0</v>
      </c>
      <c r="Q509" s="109">
        <f t="shared" si="676"/>
        <v>0</v>
      </c>
      <c r="R509" s="65"/>
      <c r="S509" s="109">
        <f t="shared" si="677"/>
        <v>1633</v>
      </c>
      <c r="T509" s="201" t="str">
        <f>IF(_xlfn.XLOOKUP(B509,Salários!B:B,Salários!I:I)&gt;0,_xlfn.XLOOKUP(B509,Salários!B:B,Salários!I:I),"")</f>
        <v>PJ</v>
      </c>
      <c r="U509" s="117">
        <f t="shared" si="678"/>
        <v>0</v>
      </c>
      <c r="V509" s="65"/>
      <c r="W509" s="202"/>
      <c r="X509" s="65"/>
      <c r="Y509" s="69"/>
      <c r="Z509" s="65"/>
      <c r="AA509" s="518"/>
      <c r="AB509" s="65"/>
      <c r="AC509" s="81">
        <f t="shared" si="665"/>
        <v>0</v>
      </c>
      <c r="AD509" s="65"/>
      <c r="AE509" s="112"/>
      <c r="AF509" s="203">
        <v>0.3</v>
      </c>
      <c r="AG509" s="109">
        <f t="shared" si="44"/>
        <v>1633</v>
      </c>
      <c r="AH509" s="84">
        <f t="shared" si="666"/>
        <v>0</v>
      </c>
      <c r="AI509" s="65"/>
      <c r="AJ509" s="112"/>
      <c r="AK509" s="122"/>
      <c r="AL509" s="109">
        <v>1212</v>
      </c>
      <c r="AM509" s="84">
        <f t="shared" si="667"/>
        <v>0</v>
      </c>
      <c r="AN509" s="65"/>
      <c r="AO509" s="112"/>
      <c r="AP509" s="204"/>
      <c r="AQ509" s="109">
        <f>IFERROR((O509+AH509+AM509)/Dashboard!$D$15,0)*0.2</f>
        <v>1.6869834710743801</v>
      </c>
      <c r="AR509" s="84">
        <f t="shared" si="668"/>
        <v>0</v>
      </c>
      <c r="AS509" s="65"/>
      <c r="AT509" s="112"/>
      <c r="AU509" s="203">
        <v>0.33</v>
      </c>
      <c r="AV509" s="109">
        <f t="shared" si="669"/>
        <v>1633</v>
      </c>
      <c r="AW509" s="84">
        <f t="shared" si="670"/>
        <v>0</v>
      </c>
      <c r="AX509" s="65"/>
      <c r="AY509" s="112"/>
      <c r="AZ509" s="203">
        <v>0.25</v>
      </c>
      <c r="BA509" s="109">
        <f t="shared" si="50"/>
        <v>1633</v>
      </c>
      <c r="BB509" s="84">
        <f t="shared" si="671"/>
        <v>0</v>
      </c>
      <c r="BC509" s="65"/>
      <c r="BD509" s="112"/>
      <c r="BE509" s="203">
        <v>0.26</v>
      </c>
      <c r="BF509" s="109">
        <f t="shared" si="672"/>
        <v>1633</v>
      </c>
      <c r="BG509" s="84">
        <f t="shared" si="673"/>
        <v>0</v>
      </c>
      <c r="BH509" s="197"/>
      <c r="BI509" s="518"/>
      <c r="BJ509" s="65"/>
      <c r="BK509" s="81">
        <f t="shared" si="674"/>
        <v>0</v>
      </c>
      <c r="BL509" s="65"/>
      <c r="BM509" s="204"/>
      <c r="BN509" s="156">
        <f>IF(B509&lt;&gt;"",_xlfn.XLOOKUP(B509,'Cronog. e Histog.'!B:B,'Cronog. e Histog.'!EK:EK),0)</f>
        <v>0</v>
      </c>
      <c r="BO509" s="109">
        <f>($O509/Dashboard!$D$15)*(1+Dashboard!$D$19)</f>
        <v>12.652376033057848</v>
      </c>
      <c r="BP509" s="84">
        <f t="shared" si="689"/>
        <v>0</v>
      </c>
      <c r="BQ509" s="65"/>
      <c r="BR509" s="204"/>
      <c r="BS509" s="156">
        <f>IF(B509&lt;&gt;"",_xlfn.XLOOKUP(B509,'Cronog. e Histog.'!B:B,'Cronog. e Histog.'!EL:EL),0)</f>
        <v>0</v>
      </c>
      <c r="BT509" s="109">
        <f>($O509/Dashboard!$D$15)*(1+Dashboard!$D$20)</f>
        <v>14.761105371900824</v>
      </c>
      <c r="BU509" s="84">
        <f t="shared" si="690"/>
        <v>0</v>
      </c>
      <c r="BV509" s="65"/>
      <c r="BW509" s="204"/>
      <c r="BX509" s="156">
        <f>IF(B509&lt;&gt;"",_xlfn.XLOOKUP(B509,'Cronog. e Histog.'!B:B,'Cronog. e Histog.'!EM:EM),0)</f>
        <v>0</v>
      </c>
      <c r="BY509" s="109">
        <f>($O509/Dashboard!$D$15)*(1+Dashboard!$D$21)</f>
        <v>16.869834710743799</v>
      </c>
      <c r="BZ509" s="84">
        <f t="shared" si="691"/>
        <v>0</v>
      </c>
    </row>
    <row r="510" spans="2:78" ht="12" customHeight="1" outlineLevel="1">
      <c r="B510" s="137" t="str">
        <f>'Cronog. e Histog.'!B663</f>
        <v>EST_II - Equipe_01</v>
      </c>
      <c r="C510" s="65"/>
      <c r="D510" s="200">
        <f t="shared" si="657"/>
        <v>0</v>
      </c>
      <c r="E510" s="200">
        <f t="shared" si="658"/>
        <v>0</v>
      </c>
      <c r="F510" s="65"/>
      <c r="G510" s="200">
        <f t="shared" si="659"/>
        <v>0</v>
      </c>
      <c r="H510" s="200">
        <f t="shared" si="660"/>
        <v>0</v>
      </c>
      <c r="I510" s="65"/>
      <c r="J510" s="143" t="str">
        <f>IF('Cronog. e Histog.'!G663&gt;0,'Cronog. e Histog.'!G663,"")</f>
        <v>EST_II</v>
      </c>
      <c r="K510" s="65"/>
      <c r="L510" s="144">
        <f>'Cronog. e Histog.'!BT663</f>
        <v>0</v>
      </c>
      <c r="M510" s="144">
        <f>'Cronog. e Histog.'!BU663</f>
        <v>0</v>
      </c>
      <c r="N510" s="65"/>
      <c r="O510" s="109">
        <f>_xlfn.XLOOKUP(B510,Salários!B:B,Salários!K:K)</f>
        <v>1633</v>
      </c>
      <c r="P510" s="109">
        <f t="shared" si="675"/>
        <v>0</v>
      </c>
      <c r="Q510" s="109">
        <f t="shared" si="676"/>
        <v>0</v>
      </c>
      <c r="R510" s="65"/>
      <c r="S510" s="109">
        <f t="shared" si="677"/>
        <v>1633</v>
      </c>
      <c r="T510" s="201" t="str">
        <f>IF(_xlfn.XLOOKUP(B510,Salários!B:B,Salários!I:I)&gt;0,_xlfn.XLOOKUP(B510,Salários!B:B,Salários!I:I),"")</f>
        <v>PJ</v>
      </c>
      <c r="U510" s="117">
        <f t="shared" si="678"/>
        <v>0</v>
      </c>
      <c r="V510" s="65"/>
      <c r="W510" s="202"/>
      <c r="X510" s="65"/>
      <c r="Y510" s="69"/>
      <c r="Z510" s="65"/>
      <c r="AA510" s="518"/>
      <c r="AB510" s="65"/>
      <c r="AC510" s="81">
        <f t="shared" si="665"/>
        <v>0</v>
      </c>
      <c r="AD510" s="65"/>
      <c r="AE510" s="112"/>
      <c r="AF510" s="203">
        <v>0.3</v>
      </c>
      <c r="AG510" s="109">
        <f t="shared" si="44"/>
        <v>1633</v>
      </c>
      <c r="AH510" s="84">
        <f t="shared" si="666"/>
        <v>0</v>
      </c>
      <c r="AI510" s="65"/>
      <c r="AJ510" s="112"/>
      <c r="AK510" s="122"/>
      <c r="AL510" s="109">
        <v>1212</v>
      </c>
      <c r="AM510" s="84">
        <f t="shared" si="667"/>
        <v>0</v>
      </c>
      <c r="AN510" s="65"/>
      <c r="AO510" s="112"/>
      <c r="AP510" s="204"/>
      <c r="AQ510" s="109">
        <f>IFERROR((O510+AH510+AM510)/Dashboard!$D$15,0)*0.2</f>
        <v>1.6869834710743801</v>
      </c>
      <c r="AR510" s="84">
        <f t="shared" si="668"/>
        <v>0</v>
      </c>
      <c r="AS510" s="65"/>
      <c r="AT510" s="112"/>
      <c r="AU510" s="203">
        <v>0.33</v>
      </c>
      <c r="AV510" s="109">
        <f t="shared" si="669"/>
        <v>1633</v>
      </c>
      <c r="AW510" s="84">
        <f t="shared" si="670"/>
        <v>0</v>
      </c>
      <c r="AX510" s="65"/>
      <c r="AY510" s="112"/>
      <c r="AZ510" s="203">
        <v>0.25</v>
      </c>
      <c r="BA510" s="109">
        <f t="shared" si="50"/>
        <v>1633</v>
      </c>
      <c r="BB510" s="84">
        <f t="shared" si="671"/>
        <v>0</v>
      </c>
      <c r="BC510" s="65"/>
      <c r="BD510" s="112"/>
      <c r="BE510" s="203">
        <v>0.26</v>
      </c>
      <c r="BF510" s="109">
        <f t="shared" si="672"/>
        <v>1633</v>
      </c>
      <c r="BG510" s="84">
        <f t="shared" si="673"/>
        <v>0</v>
      </c>
      <c r="BH510" s="197"/>
      <c r="BI510" s="518"/>
      <c r="BJ510" s="65"/>
      <c r="BK510" s="81">
        <f t="shared" si="674"/>
        <v>0</v>
      </c>
      <c r="BL510" s="65"/>
      <c r="BM510" s="204"/>
      <c r="BN510" s="156">
        <f>IF(B510&lt;&gt;"",_xlfn.XLOOKUP(B510,'Cronog. e Histog.'!B:B,'Cronog. e Histog.'!EK:EK),0)</f>
        <v>0</v>
      </c>
      <c r="BO510" s="109">
        <f>($O510/Dashboard!$D$15)*(1+Dashboard!$D$19)</f>
        <v>12.652376033057848</v>
      </c>
      <c r="BP510" s="84">
        <f t="shared" si="689"/>
        <v>0</v>
      </c>
      <c r="BQ510" s="65"/>
      <c r="BR510" s="204"/>
      <c r="BS510" s="156">
        <f>IF(B510&lt;&gt;"",_xlfn.XLOOKUP(B510,'Cronog. e Histog.'!B:B,'Cronog. e Histog.'!EL:EL),0)</f>
        <v>0</v>
      </c>
      <c r="BT510" s="109">
        <f>($O510/Dashboard!$D$15)*(1+Dashboard!$D$20)</f>
        <v>14.761105371900824</v>
      </c>
      <c r="BU510" s="84">
        <f t="shared" si="690"/>
        <v>0</v>
      </c>
      <c r="BV510" s="65"/>
      <c r="BW510" s="204"/>
      <c r="BX510" s="156">
        <f>IF(B510&lt;&gt;"",_xlfn.XLOOKUP(B510,'Cronog. e Histog.'!B:B,'Cronog. e Histog.'!EM:EM),0)</f>
        <v>0</v>
      </c>
      <c r="BY510" s="109">
        <f>($O510/Dashboard!$D$15)*(1+Dashboard!$D$21)</f>
        <v>16.869834710743799</v>
      </c>
      <c r="BZ510" s="84">
        <f t="shared" si="691"/>
        <v>0</v>
      </c>
    </row>
    <row r="511" spans="2:78" ht="12" customHeight="1" outlineLevel="1">
      <c r="B511" s="137" t="str">
        <f>'Cronog. e Histog.'!B664</f>
        <v>EST_III - Equipe_01</v>
      </c>
      <c r="C511" s="65"/>
      <c r="D511" s="200">
        <f t="shared" si="657"/>
        <v>0</v>
      </c>
      <c r="E511" s="200">
        <f t="shared" si="658"/>
        <v>0</v>
      </c>
      <c r="F511" s="65"/>
      <c r="G511" s="200">
        <f t="shared" si="659"/>
        <v>0</v>
      </c>
      <c r="H511" s="200">
        <f t="shared" si="660"/>
        <v>0</v>
      </c>
      <c r="I511" s="65"/>
      <c r="J511" s="143" t="str">
        <f>IF('Cronog. e Histog.'!G664&gt;0,'Cronog. e Histog.'!G664,"")</f>
        <v>EST_III</v>
      </c>
      <c r="K511" s="65"/>
      <c r="L511" s="144">
        <f>'Cronog. e Histog.'!BT664</f>
        <v>0</v>
      </c>
      <c r="M511" s="144">
        <f>'Cronog. e Histog.'!BU664</f>
        <v>0</v>
      </c>
      <c r="N511" s="65"/>
      <c r="O511" s="109">
        <f>_xlfn.XLOOKUP(B511,Salários!B:B,Salários!K:K)</f>
        <v>1633</v>
      </c>
      <c r="P511" s="109">
        <f t="shared" si="675"/>
        <v>0</v>
      </c>
      <c r="Q511" s="109">
        <f t="shared" si="676"/>
        <v>0</v>
      </c>
      <c r="R511" s="65"/>
      <c r="S511" s="109">
        <f t="shared" si="677"/>
        <v>1633</v>
      </c>
      <c r="T511" s="201" t="str">
        <f>IF(_xlfn.XLOOKUP(B511,Salários!B:B,Salários!I:I)&gt;0,_xlfn.XLOOKUP(B511,Salários!B:B,Salários!I:I),"")</f>
        <v>PJ</v>
      </c>
      <c r="U511" s="117">
        <f t="shared" si="678"/>
        <v>0</v>
      </c>
      <c r="V511" s="65"/>
      <c r="W511" s="202"/>
      <c r="X511" s="65"/>
      <c r="Y511" s="69"/>
      <c r="Z511" s="65"/>
      <c r="AA511" s="518"/>
      <c r="AB511" s="65"/>
      <c r="AC511" s="81">
        <f t="shared" si="665"/>
        <v>0</v>
      </c>
      <c r="AD511" s="65"/>
      <c r="AE511" s="112"/>
      <c r="AF511" s="203">
        <v>0.3</v>
      </c>
      <c r="AG511" s="109">
        <f t="shared" si="44"/>
        <v>1633</v>
      </c>
      <c r="AH511" s="84">
        <f t="shared" si="666"/>
        <v>0</v>
      </c>
      <c r="AI511" s="65"/>
      <c r="AJ511" s="112"/>
      <c r="AK511" s="122"/>
      <c r="AL511" s="109">
        <v>1212</v>
      </c>
      <c r="AM511" s="84">
        <f t="shared" si="667"/>
        <v>0</v>
      </c>
      <c r="AN511" s="65"/>
      <c r="AO511" s="112"/>
      <c r="AP511" s="204"/>
      <c r="AQ511" s="109">
        <f>IFERROR((O511+AH511+AM511)/Dashboard!$D$15,0)*0.2</f>
        <v>1.6869834710743801</v>
      </c>
      <c r="AR511" s="84">
        <f t="shared" si="668"/>
        <v>0</v>
      </c>
      <c r="AS511" s="65"/>
      <c r="AT511" s="112"/>
      <c r="AU511" s="203">
        <v>0.33</v>
      </c>
      <c r="AV511" s="109">
        <f t="shared" si="669"/>
        <v>1633</v>
      </c>
      <c r="AW511" s="84">
        <f t="shared" si="670"/>
        <v>0</v>
      </c>
      <c r="AX511" s="65"/>
      <c r="AY511" s="112"/>
      <c r="AZ511" s="203">
        <v>0.25</v>
      </c>
      <c r="BA511" s="109">
        <f t="shared" si="50"/>
        <v>1633</v>
      </c>
      <c r="BB511" s="84">
        <f t="shared" si="671"/>
        <v>0</v>
      </c>
      <c r="BC511" s="65"/>
      <c r="BD511" s="112"/>
      <c r="BE511" s="203">
        <v>0.26</v>
      </c>
      <c r="BF511" s="109">
        <f t="shared" si="672"/>
        <v>1633</v>
      </c>
      <c r="BG511" s="84">
        <f t="shared" si="673"/>
        <v>0</v>
      </c>
      <c r="BH511" s="197"/>
      <c r="BI511" s="518"/>
      <c r="BJ511" s="65"/>
      <c r="BK511" s="81">
        <f t="shared" si="674"/>
        <v>0</v>
      </c>
      <c r="BL511" s="65"/>
      <c r="BM511" s="204"/>
      <c r="BN511" s="156">
        <f>IF(B511&lt;&gt;"",_xlfn.XLOOKUP(B511,'Cronog. e Histog.'!B:B,'Cronog. e Histog.'!EK:EK),0)</f>
        <v>0</v>
      </c>
      <c r="BO511" s="109">
        <f>($O511/Dashboard!$D$15)*(1+Dashboard!$D$19)</f>
        <v>12.652376033057848</v>
      </c>
      <c r="BP511" s="84">
        <f t="shared" si="689"/>
        <v>0</v>
      </c>
      <c r="BQ511" s="65"/>
      <c r="BR511" s="204"/>
      <c r="BS511" s="156">
        <f>IF(B511&lt;&gt;"",_xlfn.XLOOKUP(B511,'Cronog. e Histog.'!B:B,'Cronog. e Histog.'!EL:EL),0)</f>
        <v>0</v>
      </c>
      <c r="BT511" s="109">
        <f>($O511/Dashboard!$D$15)*(1+Dashboard!$D$20)</f>
        <v>14.761105371900824</v>
      </c>
      <c r="BU511" s="84">
        <f t="shared" si="690"/>
        <v>0</v>
      </c>
      <c r="BV511" s="65"/>
      <c r="BW511" s="204"/>
      <c r="BX511" s="156">
        <f>IF(B511&lt;&gt;"",_xlfn.XLOOKUP(B511,'Cronog. e Histog.'!B:B,'Cronog. e Histog.'!EM:EM),0)</f>
        <v>0</v>
      </c>
      <c r="BY511" s="109">
        <f>($O511/Dashboard!$D$15)*(1+Dashboard!$D$21)</f>
        <v>16.869834710743799</v>
      </c>
      <c r="BZ511" s="84">
        <f t="shared" si="691"/>
        <v>0</v>
      </c>
    </row>
    <row r="512" spans="2:78" ht="12" customHeight="1" outlineLevel="1"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9"/>
      <c r="Z512" s="65"/>
      <c r="AA512" s="518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5"/>
      <c r="AT512" s="65"/>
      <c r="AU512" s="65"/>
      <c r="AV512" s="65"/>
      <c r="AW512" s="65"/>
      <c r="AX512" s="65"/>
      <c r="AY512" s="65"/>
      <c r="AZ512" s="65"/>
      <c r="BA512" s="65"/>
      <c r="BB512" s="65"/>
      <c r="BC512" s="65"/>
      <c r="BD512" s="65"/>
      <c r="BE512" s="65"/>
      <c r="BF512" s="65"/>
      <c r="BG512" s="65"/>
      <c r="BH512" s="197"/>
      <c r="BI512" s="518"/>
      <c r="BJ512" s="65"/>
      <c r="BK512" s="65"/>
      <c r="BL512" s="65"/>
      <c r="BM512" s="65"/>
      <c r="BN512" s="65"/>
      <c r="BO512" s="65"/>
      <c r="BP512" s="65"/>
      <c r="BQ512" s="65"/>
      <c r="BR512" s="65"/>
      <c r="BS512" s="65"/>
      <c r="BT512" s="65"/>
      <c r="BU512" s="65"/>
      <c r="BV512" s="65"/>
      <c r="BW512" s="65"/>
      <c r="BX512" s="65"/>
      <c r="BY512" s="65"/>
      <c r="BZ512" s="65"/>
    </row>
    <row r="513" spans="2:78" ht="12" customHeight="1" outlineLevel="1">
      <c r="B513" s="65"/>
      <c r="C513" s="65"/>
      <c r="D513" s="65"/>
      <c r="E513" s="65"/>
      <c r="F513" s="65"/>
      <c r="G513" s="65"/>
      <c r="H513" s="65"/>
      <c r="I513" s="65"/>
      <c r="J513" s="199" t="str">
        <f>'Cronog. e Histog.'!F667</f>
        <v>Equipe20</v>
      </c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9"/>
      <c r="Z513" s="65"/>
      <c r="AA513" s="518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  <c r="AT513" s="65"/>
      <c r="AU513" s="65"/>
      <c r="AV513" s="65"/>
      <c r="AW513" s="65"/>
      <c r="AX513" s="65"/>
      <c r="AY513" s="65"/>
      <c r="AZ513" s="65"/>
      <c r="BA513" s="65"/>
      <c r="BB513" s="65"/>
      <c r="BC513" s="65"/>
      <c r="BD513" s="65"/>
      <c r="BE513" s="65"/>
      <c r="BF513" s="65"/>
      <c r="BG513" s="65"/>
      <c r="BH513" s="197"/>
      <c r="BI513" s="518"/>
      <c r="BJ513" s="65"/>
      <c r="BK513" s="65"/>
      <c r="BL513" s="65"/>
      <c r="BM513" s="65"/>
      <c r="BN513" s="65"/>
      <c r="BO513" s="65"/>
      <c r="BP513" s="65"/>
      <c r="BQ513" s="65"/>
      <c r="BR513" s="65"/>
      <c r="BS513" s="65"/>
      <c r="BT513" s="65"/>
      <c r="BU513" s="65"/>
      <c r="BV513" s="65"/>
      <c r="BW513" s="65"/>
      <c r="BX513" s="65"/>
      <c r="BY513" s="65"/>
      <c r="BZ513" s="65"/>
    </row>
    <row r="514" spans="2:78" ht="12" customHeight="1" outlineLevel="1">
      <c r="B514" s="137" t="str">
        <f>'Cronog. e Histog.'!B669</f>
        <v>GER. (OBRA/PROJ) - Equipe_01</v>
      </c>
      <c r="C514" s="65"/>
      <c r="D514" s="200">
        <f t="shared" ref="D514:D533" si="692">IF(T514="mensalista",L514,0)</f>
        <v>0</v>
      </c>
      <c r="E514" s="200">
        <f t="shared" ref="E514:E533" si="693">IF(T514="mensalista",M514,0)</f>
        <v>0</v>
      </c>
      <c r="F514" s="65"/>
      <c r="G514" s="200">
        <f t="shared" ref="G514:G533" si="694">IF(T514="mensalista",L514,0)</f>
        <v>0</v>
      </c>
      <c r="H514" s="200">
        <f t="shared" ref="H514:H533" si="695">IF(T514="mensalista",M514,0)</f>
        <v>0</v>
      </c>
      <c r="I514" s="65"/>
      <c r="J514" s="143" t="str">
        <f>IF('Cronog. e Histog.'!G669&gt;0,'Cronog. e Histog.'!G669,"")</f>
        <v>GER. (OBRA/PROJ)</v>
      </c>
      <c r="K514" s="65"/>
      <c r="L514" s="144">
        <f>'Cronog. e Histog.'!BT669</f>
        <v>0</v>
      </c>
      <c r="M514" s="144">
        <f>'Cronog. e Histog.'!BU669</f>
        <v>0</v>
      </c>
      <c r="N514" s="65"/>
      <c r="O514" s="109">
        <f>_xlfn.XLOOKUP(B514,Salários!B:B,Salários!K:K)</f>
        <v>21000</v>
      </c>
      <c r="P514" s="109">
        <f t="shared" ref="P514" si="696">AC514</f>
        <v>0</v>
      </c>
      <c r="Q514" s="109">
        <f t="shared" ref="Q514" si="697">BK514</f>
        <v>0</v>
      </c>
      <c r="R514" s="65"/>
      <c r="S514" s="109">
        <f t="shared" ref="S514" si="698">SUM(O514:Q514)</f>
        <v>21000</v>
      </c>
      <c r="T514" s="201" t="str">
        <f>IF(_xlfn.XLOOKUP(B514,Salários!B:B,Salários!I:I)&gt;0,_xlfn.XLOOKUP(B514,Salários!B:B,Salários!I:I),"")</f>
        <v>PJ</v>
      </c>
      <c r="U514" s="117">
        <f t="shared" ref="U514" si="699">L514*M514*S514</f>
        <v>0</v>
      </c>
      <c r="V514" s="65"/>
      <c r="W514" s="202"/>
      <c r="X514" s="65"/>
      <c r="Y514" s="69"/>
      <c r="Z514" s="65"/>
      <c r="AA514" s="518"/>
      <c r="AB514" s="65"/>
      <c r="AC514" s="81">
        <f t="shared" ref="AC514:AC533" si="700">AH514+AM514+AR514+AW514+BB514+BG514</f>
        <v>0</v>
      </c>
      <c r="AD514" s="65"/>
      <c r="AE514" s="112"/>
      <c r="AF514" s="203">
        <v>0.3</v>
      </c>
      <c r="AG514" s="109">
        <f t="shared" si="44"/>
        <v>21000</v>
      </c>
      <c r="AH514" s="84">
        <f t="shared" ref="AH514:AH533" si="701">IF(AE514="sim",AF514*AG514,0)</f>
        <v>0</v>
      </c>
      <c r="AI514" s="65"/>
      <c r="AJ514" s="112"/>
      <c r="AK514" s="122"/>
      <c r="AL514" s="109">
        <v>1212</v>
      </c>
      <c r="AM514" s="84">
        <f t="shared" ref="AM514:AM533" si="702">IF(AJ514="sim",AK514*AL514,0)</f>
        <v>0</v>
      </c>
      <c r="AN514" s="65"/>
      <c r="AO514" s="112"/>
      <c r="AP514" s="204"/>
      <c r="AQ514" s="109">
        <f>IFERROR((O514+AH514+AM514)/Dashboard!$D$15,0)*0.2</f>
        <v>21.694214876033058</v>
      </c>
      <c r="AR514" s="84">
        <f t="shared" ref="AR514:AR533" si="703">IF(AO514="sim",AP514*AQ514,0)</f>
        <v>0</v>
      </c>
      <c r="AS514" s="65"/>
      <c r="AT514" s="112"/>
      <c r="AU514" s="203">
        <v>0.33</v>
      </c>
      <c r="AV514" s="109">
        <f t="shared" ref="AV514:AV533" si="704">$O514</f>
        <v>21000</v>
      </c>
      <c r="AW514" s="84">
        <f t="shared" ref="AW514:AW533" si="705">IF(AT514="sim",AU514*AV514,0)</f>
        <v>0</v>
      </c>
      <c r="AX514" s="65"/>
      <c r="AY514" s="112"/>
      <c r="AZ514" s="203">
        <v>0.25</v>
      </c>
      <c r="BA514" s="109">
        <f t="shared" si="50"/>
        <v>21000</v>
      </c>
      <c r="BB514" s="84">
        <f t="shared" ref="BB514:BB533" si="706">IF(AY514="sim",AZ514*BA514,0)</f>
        <v>0</v>
      </c>
      <c r="BC514" s="65"/>
      <c r="BD514" s="112"/>
      <c r="BE514" s="203">
        <v>0.26</v>
      </c>
      <c r="BF514" s="109">
        <f t="shared" ref="BF514:BF533" si="707">$O514</f>
        <v>21000</v>
      </c>
      <c r="BG514" s="84">
        <f t="shared" ref="BG514:BG533" si="708">IF(BD514="sim",BE514*BF514,0)</f>
        <v>0</v>
      </c>
      <c r="BH514" s="197"/>
      <c r="BI514" s="518"/>
      <c r="BJ514" s="65"/>
      <c r="BK514" s="81">
        <f t="shared" ref="BK514:BK533" si="709">BP514+BU514+BZ514</f>
        <v>0</v>
      </c>
      <c r="BL514" s="65"/>
      <c r="BM514" s="204"/>
      <c r="BN514" s="156">
        <f>IF(B514&lt;&gt;"",_xlfn.XLOOKUP(B514,'Cronog. e Histog.'!B:B,'Cronog. e Histog.'!EK:EK),0)</f>
        <v>0</v>
      </c>
      <c r="BO514" s="109">
        <f>($O514/Dashboard!$D$15)*(1+Dashboard!$D$19)</f>
        <v>162.7066115702479</v>
      </c>
      <c r="BP514" s="84">
        <f>SUM(BM514:BN514)*BO514</f>
        <v>0</v>
      </c>
      <c r="BQ514" s="65"/>
      <c r="BR514" s="204"/>
      <c r="BS514" s="156">
        <f>IF(B514&lt;&gt;"",_xlfn.XLOOKUP(B514,'Cronog. e Histog.'!B:B,'Cronog. e Histog.'!EL:EL),0)</f>
        <v>0</v>
      </c>
      <c r="BT514" s="109">
        <f>($O514/Dashboard!$D$15)*(1+Dashboard!$D$20)</f>
        <v>189.82438016528923</v>
      </c>
      <c r="BU514" s="84">
        <f>SUM(BR514:BS514)*BT514</f>
        <v>0</v>
      </c>
      <c r="BV514" s="65"/>
      <c r="BW514" s="204"/>
      <c r="BX514" s="156">
        <f>IF(B514&lt;&gt;"",_xlfn.XLOOKUP(B514,'Cronog. e Histog.'!B:B,'Cronog. e Histog.'!EM:EM),0)</f>
        <v>0</v>
      </c>
      <c r="BY514" s="109">
        <f>($O514/Dashboard!$D$15)*(1+Dashboard!$D$21)</f>
        <v>216.94214876033055</v>
      </c>
      <c r="BZ514" s="84">
        <f>SUM(BW514:BX514)*BY514</f>
        <v>0</v>
      </c>
    </row>
    <row r="515" spans="2:78" ht="12" customHeight="1" outlineLevel="1">
      <c r="B515" s="137" t="str">
        <f>'Cronog. e Histog.'!B670</f>
        <v>COORD. - Equipe_01</v>
      </c>
      <c r="C515" s="65"/>
      <c r="D515" s="200">
        <f t="shared" si="692"/>
        <v>0</v>
      </c>
      <c r="E515" s="200">
        <f t="shared" si="693"/>
        <v>0</v>
      </c>
      <c r="F515" s="65"/>
      <c r="G515" s="200">
        <f t="shared" si="694"/>
        <v>0</v>
      </c>
      <c r="H515" s="200">
        <f t="shared" si="695"/>
        <v>0</v>
      </c>
      <c r="I515" s="65"/>
      <c r="J515" s="143" t="str">
        <f>IF('Cronog. e Histog.'!G670&gt;0,'Cronog. e Histog.'!G670,"")</f>
        <v>COORD.</v>
      </c>
      <c r="K515" s="65"/>
      <c r="L515" s="144">
        <f>'Cronog. e Histog.'!BT670</f>
        <v>0</v>
      </c>
      <c r="M515" s="144">
        <f>'Cronog. e Histog.'!BU670</f>
        <v>0</v>
      </c>
      <c r="N515" s="65"/>
      <c r="O515" s="109">
        <f>_xlfn.XLOOKUP(B515,Salários!B:B,Salários!K:K)</f>
        <v>19000</v>
      </c>
      <c r="P515" s="109">
        <f t="shared" ref="P515:P533" si="710">AC515</f>
        <v>0</v>
      </c>
      <c r="Q515" s="109">
        <f t="shared" ref="Q515:Q533" si="711">BK515</f>
        <v>0</v>
      </c>
      <c r="R515" s="65"/>
      <c r="S515" s="109">
        <f t="shared" ref="S515:S533" si="712">SUM(O515:Q515)</f>
        <v>19000</v>
      </c>
      <c r="T515" s="201" t="str">
        <f>IF(_xlfn.XLOOKUP(B515,Salários!B:B,Salários!I:I)&gt;0,_xlfn.XLOOKUP(B515,Salários!B:B,Salários!I:I),"")</f>
        <v>PJ</v>
      </c>
      <c r="U515" s="117">
        <f t="shared" ref="U515:U533" si="713">L515*M515*S515</f>
        <v>0</v>
      </c>
      <c r="V515" s="65"/>
      <c r="W515" s="202"/>
      <c r="X515" s="65"/>
      <c r="Y515" s="69"/>
      <c r="Z515" s="65"/>
      <c r="AA515" s="518"/>
      <c r="AB515" s="65"/>
      <c r="AC515" s="81">
        <f t="shared" ref="AC515:AC524" si="714">AH515+AM515+AR515+AW515+BB515+BG515</f>
        <v>0</v>
      </c>
      <c r="AD515" s="65"/>
      <c r="AE515" s="112"/>
      <c r="AF515" s="203">
        <v>0.3</v>
      </c>
      <c r="AG515" s="109">
        <f t="shared" ref="AG515:AG524" si="715">$O515</f>
        <v>19000</v>
      </c>
      <c r="AH515" s="84">
        <f t="shared" ref="AH515:AH524" si="716">IF(AE515="sim",AF515*AG515,0)</f>
        <v>0</v>
      </c>
      <c r="AI515" s="65"/>
      <c r="AJ515" s="112"/>
      <c r="AK515" s="122"/>
      <c r="AL515" s="109">
        <v>1212</v>
      </c>
      <c r="AM515" s="84">
        <f t="shared" ref="AM515:AM524" si="717">IF(AJ515="sim",AK515*AL515,0)</f>
        <v>0</v>
      </c>
      <c r="AN515" s="65"/>
      <c r="AO515" s="112"/>
      <c r="AP515" s="204"/>
      <c r="AQ515" s="109">
        <f>IFERROR((O515+AH515+AM515)/Dashboard!$D$15,0)*0.2</f>
        <v>19.628099173553718</v>
      </c>
      <c r="AR515" s="84">
        <f t="shared" ref="AR515:AR524" si="718">IF(AO515="sim",AP515*AQ515,0)</f>
        <v>0</v>
      </c>
      <c r="AS515" s="65"/>
      <c r="AT515" s="112"/>
      <c r="AU515" s="203">
        <v>0.33</v>
      </c>
      <c r="AV515" s="109">
        <f t="shared" si="704"/>
        <v>19000</v>
      </c>
      <c r="AW515" s="84">
        <f t="shared" ref="AW515:AW524" si="719">IF(AT515="sim",AU515*AV515,0)</f>
        <v>0</v>
      </c>
      <c r="AX515" s="65"/>
      <c r="AY515" s="112"/>
      <c r="AZ515" s="203">
        <v>0.25</v>
      </c>
      <c r="BA515" s="109">
        <f t="shared" ref="BA515:BA524" si="720">$O515</f>
        <v>19000</v>
      </c>
      <c r="BB515" s="84">
        <f t="shared" ref="BB515:BB524" si="721">IF(AY515="sim",AZ515*BA515,0)</f>
        <v>0</v>
      </c>
      <c r="BC515" s="65"/>
      <c r="BD515" s="112"/>
      <c r="BE515" s="203">
        <v>0.26</v>
      </c>
      <c r="BF515" s="109">
        <f t="shared" si="707"/>
        <v>19000</v>
      </c>
      <c r="BG515" s="84">
        <f t="shared" ref="BG515:BG524" si="722">IF(BD515="sim",BE515*BF515,0)</f>
        <v>0</v>
      </c>
      <c r="BH515" s="197"/>
      <c r="BI515" s="518"/>
      <c r="BJ515" s="65"/>
      <c r="BK515" s="81">
        <f t="shared" ref="BK515:BK524" si="723">BP515+BU515+BZ515</f>
        <v>0</v>
      </c>
      <c r="BL515" s="65"/>
      <c r="BM515" s="204"/>
      <c r="BN515" s="156">
        <f>IF(B515&lt;&gt;"",_xlfn.XLOOKUP(B515,'Cronog. e Histog.'!B:B,'Cronog. e Histog.'!EK:EK),0)</f>
        <v>0</v>
      </c>
      <c r="BO515" s="109">
        <f>($O515/Dashboard!$D$15)*(1+Dashboard!$D$19)</f>
        <v>147.21074380165288</v>
      </c>
      <c r="BP515" s="84">
        <f t="shared" ref="BP515:BP533" si="724">SUM(BM515:BN515)*BO515</f>
        <v>0</v>
      </c>
      <c r="BQ515" s="65"/>
      <c r="BR515" s="204"/>
      <c r="BS515" s="156">
        <f>IF(B515&lt;&gt;"",_xlfn.XLOOKUP(B515,'Cronog. e Histog.'!B:B,'Cronog. e Histog.'!EL:EL),0)</f>
        <v>0</v>
      </c>
      <c r="BT515" s="109">
        <f>($O515/Dashboard!$D$15)*(1+Dashboard!$D$20)</f>
        <v>171.74586776859502</v>
      </c>
      <c r="BU515" s="84">
        <f t="shared" ref="BU515:BU533" si="725">SUM(BR515:BS515)*BT515</f>
        <v>0</v>
      </c>
      <c r="BV515" s="65"/>
      <c r="BW515" s="204"/>
      <c r="BX515" s="156">
        <f>IF(B515&lt;&gt;"",_xlfn.XLOOKUP(B515,'Cronog. e Histog.'!B:B,'Cronog. e Histog.'!EM:EM),0)</f>
        <v>0</v>
      </c>
      <c r="BY515" s="109">
        <f>($O515/Dashboard!$D$15)*(1+Dashboard!$D$21)</f>
        <v>196.28099173553716</v>
      </c>
      <c r="BZ515" s="84">
        <f t="shared" ref="BZ515:BZ533" si="726">SUM(BW515:BX515)*BY515</f>
        <v>0</v>
      </c>
    </row>
    <row r="516" spans="2:78" ht="12" customHeight="1" outlineLevel="1">
      <c r="B516" s="137" t="str">
        <f>'Cronog. e Histog.'!B671</f>
        <v>SUP.-ESP - Equipe_01</v>
      </c>
      <c r="C516" s="65"/>
      <c r="D516" s="200">
        <f t="shared" si="692"/>
        <v>0</v>
      </c>
      <c r="E516" s="200">
        <f t="shared" si="693"/>
        <v>0</v>
      </c>
      <c r="F516" s="65"/>
      <c r="G516" s="200">
        <f t="shared" si="694"/>
        <v>0</v>
      </c>
      <c r="H516" s="200">
        <f t="shared" si="695"/>
        <v>0</v>
      </c>
      <c r="I516" s="65"/>
      <c r="J516" s="143" t="str">
        <f>IF('Cronog. e Histog.'!G671&gt;0,'Cronog. e Histog.'!G671,"")</f>
        <v>SUP.-ESP</v>
      </c>
      <c r="K516" s="65"/>
      <c r="L516" s="144">
        <f>'Cronog. e Histog.'!BT671</f>
        <v>0</v>
      </c>
      <c r="M516" s="144">
        <f>'Cronog. e Histog.'!BU671</f>
        <v>0</v>
      </c>
      <c r="N516" s="65"/>
      <c r="O516" s="109">
        <f>_xlfn.XLOOKUP(B516,Salários!B:B,Salários!K:K)</f>
        <v>9716.67</v>
      </c>
      <c r="P516" s="109">
        <f t="shared" si="710"/>
        <v>0</v>
      </c>
      <c r="Q516" s="109">
        <f t="shared" si="711"/>
        <v>0</v>
      </c>
      <c r="R516" s="65"/>
      <c r="S516" s="109">
        <f t="shared" si="712"/>
        <v>9716.67</v>
      </c>
      <c r="T516" s="201" t="str">
        <f>IF(_xlfn.XLOOKUP(B516,Salários!B:B,Salários!I:I)&gt;0,_xlfn.XLOOKUP(B516,Salários!B:B,Salários!I:I),"")</f>
        <v>Mensalista</v>
      </c>
      <c r="U516" s="117">
        <f t="shared" si="713"/>
        <v>0</v>
      </c>
      <c r="V516" s="65"/>
      <c r="W516" s="202"/>
      <c r="X516" s="65"/>
      <c r="Y516" s="69"/>
      <c r="Z516" s="65"/>
      <c r="AA516" s="518"/>
      <c r="AB516" s="65"/>
      <c r="AC516" s="81">
        <f t="shared" si="714"/>
        <v>0</v>
      </c>
      <c r="AD516" s="65"/>
      <c r="AE516" s="112"/>
      <c r="AF516" s="203">
        <v>0.3</v>
      </c>
      <c r="AG516" s="109">
        <f t="shared" si="715"/>
        <v>9716.67</v>
      </c>
      <c r="AH516" s="84">
        <f t="shared" si="716"/>
        <v>0</v>
      </c>
      <c r="AI516" s="65"/>
      <c r="AJ516" s="112"/>
      <c r="AK516" s="122"/>
      <c r="AL516" s="109">
        <v>1212</v>
      </c>
      <c r="AM516" s="84">
        <f t="shared" si="717"/>
        <v>0</v>
      </c>
      <c r="AN516" s="65"/>
      <c r="AO516" s="112"/>
      <c r="AP516" s="204"/>
      <c r="AQ516" s="109">
        <f>IFERROR((O516+AH516+AM516)/Dashboard!$D$15,0)*0.2</f>
        <v>10.037882231404957</v>
      </c>
      <c r="AR516" s="84">
        <f t="shared" si="718"/>
        <v>0</v>
      </c>
      <c r="AS516" s="65"/>
      <c r="AT516" s="112"/>
      <c r="AU516" s="203">
        <v>0.33</v>
      </c>
      <c r="AV516" s="109">
        <f t="shared" si="704"/>
        <v>9716.67</v>
      </c>
      <c r="AW516" s="84">
        <f t="shared" si="719"/>
        <v>0</v>
      </c>
      <c r="AX516" s="65"/>
      <c r="AY516" s="112"/>
      <c r="AZ516" s="203">
        <v>0.25</v>
      </c>
      <c r="BA516" s="109">
        <f t="shared" si="720"/>
        <v>9716.67</v>
      </c>
      <c r="BB516" s="84">
        <f t="shared" si="721"/>
        <v>0</v>
      </c>
      <c r="BC516" s="65"/>
      <c r="BD516" s="112"/>
      <c r="BE516" s="203">
        <v>0.26</v>
      </c>
      <c r="BF516" s="109">
        <f t="shared" si="707"/>
        <v>9716.67</v>
      </c>
      <c r="BG516" s="84">
        <f t="shared" si="722"/>
        <v>0</v>
      </c>
      <c r="BH516" s="197"/>
      <c r="BI516" s="518"/>
      <c r="BJ516" s="65"/>
      <c r="BK516" s="81">
        <f t="shared" si="723"/>
        <v>0</v>
      </c>
      <c r="BL516" s="65"/>
      <c r="BM516" s="204"/>
      <c r="BN516" s="156">
        <f>IF(B516&lt;&gt;"",_xlfn.XLOOKUP(B516,'Cronog. e Histog.'!B:B,'Cronog. e Histog.'!EK:EK),0)</f>
        <v>0</v>
      </c>
      <c r="BO516" s="109">
        <f>($O516/Dashboard!$D$15)*(1+Dashboard!$D$19)</f>
        <v>75.284116735537182</v>
      </c>
      <c r="BP516" s="84">
        <f t="shared" si="724"/>
        <v>0</v>
      </c>
      <c r="BQ516" s="65"/>
      <c r="BR516" s="204"/>
      <c r="BS516" s="156">
        <f>IF(B516&lt;&gt;"",_xlfn.XLOOKUP(B516,'Cronog. e Histog.'!B:B,'Cronog. e Histog.'!EL:EL),0)</f>
        <v>0</v>
      </c>
      <c r="BT516" s="109">
        <f>($O516/Dashboard!$D$15)*(1+Dashboard!$D$20)</f>
        <v>87.831469524793377</v>
      </c>
      <c r="BU516" s="84">
        <f t="shared" si="725"/>
        <v>0</v>
      </c>
      <c r="BV516" s="65"/>
      <c r="BW516" s="204"/>
      <c r="BX516" s="156">
        <f>IF(B516&lt;&gt;"",_xlfn.XLOOKUP(B516,'Cronog. e Histog.'!B:B,'Cronog. e Histog.'!EM:EM),0)</f>
        <v>0</v>
      </c>
      <c r="BY516" s="109">
        <f>($O516/Dashboard!$D$15)*(1+Dashboard!$D$21)</f>
        <v>100.37882231404957</v>
      </c>
      <c r="BZ516" s="84">
        <f t="shared" si="726"/>
        <v>0</v>
      </c>
    </row>
    <row r="517" spans="2:78" ht="12" customHeight="1" outlineLevel="1">
      <c r="B517" s="137" t="str">
        <f>'Cronog. e Histog.'!B672</f>
        <v>ENG/ARQ SR. - Equipe_01</v>
      </c>
      <c r="C517" s="65"/>
      <c r="D517" s="200">
        <f t="shared" si="692"/>
        <v>0</v>
      </c>
      <c r="E517" s="200">
        <f t="shared" si="693"/>
        <v>0</v>
      </c>
      <c r="F517" s="65"/>
      <c r="G517" s="200">
        <f t="shared" si="694"/>
        <v>0</v>
      </c>
      <c r="H517" s="200">
        <f t="shared" si="695"/>
        <v>0</v>
      </c>
      <c r="I517" s="65"/>
      <c r="J517" s="143" t="str">
        <f>IF('Cronog. e Histog.'!G672&gt;0,'Cronog. e Histog.'!G672,"")</f>
        <v>ENG/ARQ SR.</v>
      </c>
      <c r="K517" s="65"/>
      <c r="L517" s="144">
        <f>'Cronog. e Histog.'!BT672</f>
        <v>0</v>
      </c>
      <c r="M517" s="144">
        <f>'Cronog. e Histog.'!BU672</f>
        <v>0</v>
      </c>
      <c r="N517" s="65"/>
      <c r="O517" s="109">
        <f>_xlfn.XLOOKUP(B517,Salários!B:B,Salários!K:K)</f>
        <v>16000</v>
      </c>
      <c r="P517" s="109">
        <f t="shared" si="710"/>
        <v>0</v>
      </c>
      <c r="Q517" s="109">
        <f t="shared" si="711"/>
        <v>0</v>
      </c>
      <c r="R517" s="65"/>
      <c r="S517" s="109">
        <f t="shared" si="712"/>
        <v>16000</v>
      </c>
      <c r="T517" s="201" t="str">
        <f>IF(_xlfn.XLOOKUP(B517,Salários!B:B,Salários!I:I)&gt;0,_xlfn.XLOOKUP(B517,Salários!B:B,Salários!I:I),"")</f>
        <v>PJ</v>
      </c>
      <c r="U517" s="117">
        <f t="shared" si="713"/>
        <v>0</v>
      </c>
      <c r="V517" s="65"/>
      <c r="W517" s="202"/>
      <c r="X517" s="65"/>
      <c r="Y517" s="69"/>
      <c r="Z517" s="65"/>
      <c r="AA517" s="518"/>
      <c r="AB517" s="65"/>
      <c r="AC517" s="81">
        <f t="shared" si="714"/>
        <v>0</v>
      </c>
      <c r="AD517" s="65"/>
      <c r="AE517" s="112"/>
      <c r="AF517" s="203">
        <v>0.3</v>
      </c>
      <c r="AG517" s="109">
        <f t="shared" si="715"/>
        <v>16000</v>
      </c>
      <c r="AH517" s="84">
        <f t="shared" si="716"/>
        <v>0</v>
      </c>
      <c r="AI517" s="65"/>
      <c r="AJ517" s="112"/>
      <c r="AK517" s="122"/>
      <c r="AL517" s="109">
        <v>1212</v>
      </c>
      <c r="AM517" s="84">
        <f t="shared" si="717"/>
        <v>0</v>
      </c>
      <c r="AN517" s="65"/>
      <c r="AO517" s="112"/>
      <c r="AP517" s="204"/>
      <c r="AQ517" s="109">
        <f>IFERROR((O517+AH517+AM517)/Dashboard!$D$15,0)*0.2</f>
        <v>16.528925619834709</v>
      </c>
      <c r="AR517" s="84">
        <f t="shared" si="718"/>
        <v>0</v>
      </c>
      <c r="AS517" s="65"/>
      <c r="AT517" s="112"/>
      <c r="AU517" s="203">
        <v>0.33</v>
      </c>
      <c r="AV517" s="109">
        <f t="shared" si="704"/>
        <v>16000</v>
      </c>
      <c r="AW517" s="84">
        <f t="shared" si="719"/>
        <v>0</v>
      </c>
      <c r="AX517" s="65"/>
      <c r="AY517" s="112"/>
      <c r="AZ517" s="203">
        <v>0.25</v>
      </c>
      <c r="BA517" s="109">
        <f t="shared" si="720"/>
        <v>16000</v>
      </c>
      <c r="BB517" s="84">
        <f t="shared" si="721"/>
        <v>0</v>
      </c>
      <c r="BC517" s="65"/>
      <c r="BD517" s="112"/>
      <c r="BE517" s="203">
        <v>0.26</v>
      </c>
      <c r="BF517" s="109">
        <f t="shared" si="707"/>
        <v>16000</v>
      </c>
      <c r="BG517" s="84">
        <f t="shared" si="722"/>
        <v>0</v>
      </c>
      <c r="BH517" s="197"/>
      <c r="BI517" s="518"/>
      <c r="BJ517" s="65"/>
      <c r="BK517" s="81">
        <f t="shared" si="723"/>
        <v>0</v>
      </c>
      <c r="BL517" s="65"/>
      <c r="BM517" s="204"/>
      <c r="BN517" s="156">
        <f>IF(B517&lt;&gt;"",_xlfn.XLOOKUP(B517,'Cronog. e Histog.'!B:B,'Cronog. e Histog.'!EK:EK),0)</f>
        <v>0</v>
      </c>
      <c r="BO517" s="109">
        <f>($O517/Dashboard!$D$15)*(1+Dashboard!$D$19)</f>
        <v>123.96694214876032</v>
      </c>
      <c r="BP517" s="84">
        <f t="shared" si="724"/>
        <v>0</v>
      </c>
      <c r="BQ517" s="65"/>
      <c r="BR517" s="204"/>
      <c r="BS517" s="156">
        <f>IF(B517&lt;&gt;"",_xlfn.XLOOKUP(B517,'Cronog. e Histog.'!B:B,'Cronog. e Histog.'!EL:EL),0)</f>
        <v>0</v>
      </c>
      <c r="BT517" s="109">
        <f>($O517/Dashboard!$D$15)*(1+Dashboard!$D$20)</f>
        <v>144.62809917355369</v>
      </c>
      <c r="BU517" s="84">
        <f t="shared" si="725"/>
        <v>0</v>
      </c>
      <c r="BV517" s="65"/>
      <c r="BW517" s="204"/>
      <c r="BX517" s="156">
        <f>IF(B517&lt;&gt;"",_xlfn.XLOOKUP(B517,'Cronog. e Histog.'!B:B,'Cronog. e Histog.'!EM:EM),0)</f>
        <v>0</v>
      </c>
      <c r="BY517" s="109">
        <f>($O517/Dashboard!$D$15)*(1+Dashboard!$D$21)</f>
        <v>165.28925619834709</v>
      </c>
      <c r="BZ517" s="84">
        <f t="shared" si="726"/>
        <v>0</v>
      </c>
    </row>
    <row r="518" spans="2:78" ht="12" customHeight="1" outlineLevel="1">
      <c r="B518" s="137" t="str">
        <f>'Cronog. e Histog.'!B673</f>
        <v>ENG/ARQ PL. - Equipe_01</v>
      </c>
      <c r="C518" s="65"/>
      <c r="D518" s="200">
        <f t="shared" si="692"/>
        <v>0</v>
      </c>
      <c r="E518" s="200">
        <f t="shared" si="693"/>
        <v>0</v>
      </c>
      <c r="F518" s="65"/>
      <c r="G518" s="200">
        <f t="shared" si="694"/>
        <v>0</v>
      </c>
      <c r="H518" s="200">
        <f t="shared" si="695"/>
        <v>0</v>
      </c>
      <c r="I518" s="65"/>
      <c r="J518" s="143" t="str">
        <f>IF('Cronog. e Histog.'!G673&gt;0,'Cronog. e Histog.'!G673,"")</f>
        <v>ENG/ARQ PL.</v>
      </c>
      <c r="K518" s="65"/>
      <c r="L518" s="144">
        <f>'Cronog. e Histog.'!BT673</f>
        <v>0.11000000000000001</v>
      </c>
      <c r="M518" s="144">
        <f>'Cronog. e Histog.'!BU673</f>
        <v>10</v>
      </c>
      <c r="N518" s="65"/>
      <c r="O518" s="109">
        <f>_xlfn.XLOOKUP(B518,Salários!B:B,Salários!K:K)</f>
        <v>14000</v>
      </c>
      <c r="P518" s="109">
        <f t="shared" si="710"/>
        <v>0</v>
      </c>
      <c r="Q518" s="109">
        <f t="shared" si="711"/>
        <v>0</v>
      </c>
      <c r="R518" s="65"/>
      <c r="S518" s="109">
        <f t="shared" si="712"/>
        <v>14000</v>
      </c>
      <c r="T518" s="201" t="str">
        <f>IF(_xlfn.XLOOKUP(B518,Salários!B:B,Salários!I:I)&gt;0,_xlfn.XLOOKUP(B518,Salários!B:B,Salários!I:I),"")</f>
        <v>PJ</v>
      </c>
      <c r="U518" s="117">
        <f t="shared" si="713"/>
        <v>15400.000000000002</v>
      </c>
      <c r="V518" s="65"/>
      <c r="W518" s="202"/>
      <c r="X518" s="65"/>
      <c r="Y518" s="69"/>
      <c r="Z518" s="65"/>
      <c r="AA518" s="518"/>
      <c r="AB518" s="65"/>
      <c r="AC518" s="81">
        <f t="shared" si="714"/>
        <v>0</v>
      </c>
      <c r="AD518" s="65"/>
      <c r="AE518" s="112"/>
      <c r="AF518" s="203">
        <v>0.3</v>
      </c>
      <c r="AG518" s="109">
        <f t="shared" si="715"/>
        <v>14000</v>
      </c>
      <c r="AH518" s="84">
        <f t="shared" si="716"/>
        <v>0</v>
      </c>
      <c r="AI518" s="65"/>
      <c r="AJ518" s="112"/>
      <c r="AK518" s="122"/>
      <c r="AL518" s="109">
        <v>1212</v>
      </c>
      <c r="AM518" s="84">
        <f t="shared" si="717"/>
        <v>0</v>
      </c>
      <c r="AN518" s="65"/>
      <c r="AO518" s="112"/>
      <c r="AP518" s="204"/>
      <c r="AQ518" s="109">
        <f>IFERROR((O518+AH518+AM518)/Dashboard!$D$15,0)*0.2</f>
        <v>14.46280991735537</v>
      </c>
      <c r="AR518" s="84">
        <f t="shared" si="718"/>
        <v>0</v>
      </c>
      <c r="AS518" s="65"/>
      <c r="AT518" s="112"/>
      <c r="AU518" s="203">
        <v>0.33</v>
      </c>
      <c r="AV518" s="109">
        <f t="shared" si="704"/>
        <v>14000</v>
      </c>
      <c r="AW518" s="84">
        <f t="shared" si="719"/>
        <v>0</v>
      </c>
      <c r="AX518" s="65"/>
      <c r="AY518" s="112"/>
      <c r="AZ518" s="203">
        <v>0.25</v>
      </c>
      <c r="BA518" s="109">
        <f t="shared" si="720"/>
        <v>14000</v>
      </c>
      <c r="BB518" s="84">
        <f t="shared" si="721"/>
        <v>0</v>
      </c>
      <c r="BC518" s="65"/>
      <c r="BD518" s="112"/>
      <c r="BE518" s="203">
        <v>0.26</v>
      </c>
      <c r="BF518" s="109">
        <f t="shared" si="707"/>
        <v>14000</v>
      </c>
      <c r="BG518" s="84">
        <f t="shared" si="722"/>
        <v>0</v>
      </c>
      <c r="BH518" s="197"/>
      <c r="BI518" s="518"/>
      <c r="BJ518" s="65"/>
      <c r="BK518" s="81">
        <f t="shared" si="723"/>
        <v>0</v>
      </c>
      <c r="BL518" s="65"/>
      <c r="BM518" s="204"/>
      <c r="BN518" s="156">
        <f>IF(B518&lt;&gt;"",_xlfn.XLOOKUP(B518,'Cronog. e Histog.'!B:B,'Cronog. e Histog.'!EK:EK),0)</f>
        <v>0</v>
      </c>
      <c r="BO518" s="109">
        <f>($O518/Dashboard!$D$15)*(1+Dashboard!$D$19)</f>
        <v>108.47107438016528</v>
      </c>
      <c r="BP518" s="84">
        <f t="shared" si="724"/>
        <v>0</v>
      </c>
      <c r="BQ518" s="65"/>
      <c r="BR518" s="204"/>
      <c r="BS518" s="156">
        <f>IF(B518&lt;&gt;"",_xlfn.XLOOKUP(B518,'Cronog. e Histog.'!B:B,'Cronog. e Histog.'!EL:EL),0)</f>
        <v>0</v>
      </c>
      <c r="BT518" s="109">
        <f>($O518/Dashboard!$D$15)*(1+Dashboard!$D$20)</f>
        <v>126.54958677685948</v>
      </c>
      <c r="BU518" s="84">
        <f t="shared" si="725"/>
        <v>0</v>
      </c>
      <c r="BV518" s="65"/>
      <c r="BW518" s="204"/>
      <c r="BX518" s="156">
        <f>IF(B518&lt;&gt;"",_xlfn.XLOOKUP(B518,'Cronog. e Histog.'!B:B,'Cronog. e Histog.'!EM:EM),0)</f>
        <v>0</v>
      </c>
      <c r="BY518" s="109">
        <f>($O518/Dashboard!$D$15)*(1+Dashboard!$D$21)</f>
        <v>144.62809917355369</v>
      </c>
      <c r="BZ518" s="84">
        <f t="shared" si="726"/>
        <v>0</v>
      </c>
    </row>
    <row r="519" spans="2:78" ht="12" customHeight="1" outlineLevel="1">
      <c r="B519" s="137" t="str">
        <f>'Cronog. e Histog.'!B674</f>
        <v>ENG/ARQ JR. - Equipe_01</v>
      </c>
      <c r="C519" s="65"/>
      <c r="D519" s="200">
        <f t="shared" si="692"/>
        <v>0</v>
      </c>
      <c r="E519" s="200">
        <f t="shared" si="693"/>
        <v>0</v>
      </c>
      <c r="F519" s="65"/>
      <c r="G519" s="200">
        <f t="shared" si="694"/>
        <v>0</v>
      </c>
      <c r="H519" s="200">
        <f t="shared" si="695"/>
        <v>0</v>
      </c>
      <c r="I519" s="65"/>
      <c r="J519" s="143" t="str">
        <f>IF('Cronog. e Histog.'!G674&gt;0,'Cronog. e Histog.'!G674,"")</f>
        <v>ENG/ARQ JR.</v>
      </c>
      <c r="K519" s="65"/>
      <c r="L519" s="144">
        <f>'Cronog. e Histog.'!BT674</f>
        <v>0</v>
      </c>
      <c r="M519" s="144">
        <f>'Cronog. e Histog.'!BU674</f>
        <v>0</v>
      </c>
      <c r="N519" s="65"/>
      <c r="O519" s="109">
        <f>_xlfn.XLOOKUP(B519,Salários!B:B,Salários!K:K)</f>
        <v>14000</v>
      </c>
      <c r="P519" s="109">
        <f t="shared" si="710"/>
        <v>0</v>
      </c>
      <c r="Q519" s="109">
        <f t="shared" si="711"/>
        <v>0</v>
      </c>
      <c r="R519" s="65"/>
      <c r="S519" s="109">
        <f t="shared" si="712"/>
        <v>14000</v>
      </c>
      <c r="T519" s="201" t="str">
        <f>IF(_xlfn.XLOOKUP(B519,Salários!B:B,Salários!I:I)&gt;0,_xlfn.XLOOKUP(B519,Salários!B:B,Salários!I:I),"")</f>
        <v>PJ</v>
      </c>
      <c r="U519" s="117">
        <f t="shared" si="713"/>
        <v>0</v>
      </c>
      <c r="V519" s="65"/>
      <c r="W519" s="202"/>
      <c r="X519" s="65"/>
      <c r="Y519" s="69"/>
      <c r="Z519" s="65"/>
      <c r="AA519" s="518"/>
      <c r="AB519" s="65"/>
      <c r="AC519" s="81">
        <f t="shared" si="714"/>
        <v>0</v>
      </c>
      <c r="AD519" s="65"/>
      <c r="AE519" s="112"/>
      <c r="AF519" s="203">
        <v>0.3</v>
      </c>
      <c r="AG519" s="109">
        <f t="shared" si="715"/>
        <v>14000</v>
      </c>
      <c r="AH519" s="84">
        <f t="shared" si="716"/>
        <v>0</v>
      </c>
      <c r="AI519" s="65"/>
      <c r="AJ519" s="112"/>
      <c r="AK519" s="122"/>
      <c r="AL519" s="109">
        <v>1212</v>
      </c>
      <c r="AM519" s="84">
        <f t="shared" si="717"/>
        <v>0</v>
      </c>
      <c r="AN519" s="65"/>
      <c r="AO519" s="112"/>
      <c r="AP519" s="204"/>
      <c r="AQ519" s="109">
        <f>IFERROR((O519+AH519+AM519)/Dashboard!$D$15,0)*0.2</f>
        <v>14.46280991735537</v>
      </c>
      <c r="AR519" s="84">
        <f t="shared" si="718"/>
        <v>0</v>
      </c>
      <c r="AS519" s="65"/>
      <c r="AT519" s="112"/>
      <c r="AU519" s="203">
        <v>0.33</v>
      </c>
      <c r="AV519" s="109">
        <f t="shared" si="704"/>
        <v>14000</v>
      </c>
      <c r="AW519" s="84">
        <f t="shared" si="719"/>
        <v>0</v>
      </c>
      <c r="AX519" s="65"/>
      <c r="AY519" s="112"/>
      <c r="AZ519" s="203">
        <v>0.25</v>
      </c>
      <c r="BA519" s="109">
        <f t="shared" si="720"/>
        <v>14000</v>
      </c>
      <c r="BB519" s="84">
        <f t="shared" si="721"/>
        <v>0</v>
      </c>
      <c r="BC519" s="65"/>
      <c r="BD519" s="112"/>
      <c r="BE519" s="203">
        <v>0.26</v>
      </c>
      <c r="BF519" s="109">
        <f t="shared" si="707"/>
        <v>14000</v>
      </c>
      <c r="BG519" s="84">
        <f t="shared" si="722"/>
        <v>0</v>
      </c>
      <c r="BH519" s="197"/>
      <c r="BI519" s="518"/>
      <c r="BJ519" s="65"/>
      <c r="BK519" s="81">
        <f t="shared" si="723"/>
        <v>0</v>
      </c>
      <c r="BL519" s="65"/>
      <c r="BM519" s="204"/>
      <c r="BN519" s="156">
        <f>IF(B519&lt;&gt;"",_xlfn.XLOOKUP(B519,'Cronog. e Histog.'!B:B,'Cronog. e Histog.'!EK:EK),0)</f>
        <v>0</v>
      </c>
      <c r="BO519" s="109">
        <f>($O519/Dashboard!$D$15)*(1+Dashboard!$D$19)</f>
        <v>108.47107438016528</v>
      </c>
      <c r="BP519" s="84">
        <f t="shared" si="724"/>
        <v>0</v>
      </c>
      <c r="BQ519" s="65"/>
      <c r="BR519" s="204"/>
      <c r="BS519" s="156">
        <f>IF(B519&lt;&gt;"",_xlfn.XLOOKUP(B519,'Cronog. e Histog.'!B:B,'Cronog. e Histog.'!EL:EL),0)</f>
        <v>0</v>
      </c>
      <c r="BT519" s="109">
        <f>($O519/Dashboard!$D$15)*(1+Dashboard!$D$20)</f>
        <v>126.54958677685948</v>
      </c>
      <c r="BU519" s="84">
        <f t="shared" si="725"/>
        <v>0</v>
      </c>
      <c r="BV519" s="65"/>
      <c r="BW519" s="204"/>
      <c r="BX519" s="156">
        <f>IF(B519&lt;&gt;"",_xlfn.XLOOKUP(B519,'Cronog. e Histog.'!B:B,'Cronog. e Histog.'!EM:EM),0)</f>
        <v>0</v>
      </c>
      <c r="BY519" s="109">
        <f>($O519/Dashboard!$D$15)*(1+Dashboard!$D$21)</f>
        <v>144.62809917355369</v>
      </c>
      <c r="BZ519" s="84">
        <f t="shared" si="726"/>
        <v>0</v>
      </c>
    </row>
    <row r="520" spans="2:78" ht="12" customHeight="1" outlineLevel="1">
      <c r="B520" s="137" t="str">
        <f>'Cronog. e Histog.'!B675</f>
        <v>AN SR. ENG/ARQ - Equipe_01</v>
      </c>
      <c r="C520" s="65"/>
      <c r="D520" s="200">
        <f t="shared" si="692"/>
        <v>0</v>
      </c>
      <c r="E520" s="200">
        <f t="shared" si="693"/>
        <v>0</v>
      </c>
      <c r="F520" s="65"/>
      <c r="G520" s="200">
        <f t="shared" si="694"/>
        <v>0</v>
      </c>
      <c r="H520" s="200">
        <f t="shared" si="695"/>
        <v>0</v>
      </c>
      <c r="I520" s="65"/>
      <c r="J520" s="143" t="str">
        <f>IF('Cronog. e Histog.'!G675&gt;0,'Cronog. e Histog.'!G675,"")</f>
        <v>AN SR. ENG/ARQ</v>
      </c>
      <c r="K520" s="65"/>
      <c r="L520" s="144">
        <f>'Cronog. e Histog.'!BT675</f>
        <v>0</v>
      </c>
      <c r="M520" s="144">
        <f>'Cronog. e Histog.'!BU675</f>
        <v>0</v>
      </c>
      <c r="N520" s="65"/>
      <c r="O520" s="109">
        <f>_xlfn.XLOOKUP(B520,Salários!B:B,Salários!K:K)</f>
        <v>7950</v>
      </c>
      <c r="P520" s="109">
        <f t="shared" si="710"/>
        <v>0</v>
      </c>
      <c r="Q520" s="109">
        <f t="shared" si="711"/>
        <v>0</v>
      </c>
      <c r="R520" s="65"/>
      <c r="S520" s="109">
        <f t="shared" si="712"/>
        <v>7950</v>
      </c>
      <c r="T520" s="201" t="str">
        <f>IF(_xlfn.XLOOKUP(B520,Salários!B:B,Salários!I:I)&gt;0,_xlfn.XLOOKUP(B520,Salários!B:B,Salários!I:I),"")</f>
        <v>Mensalista</v>
      </c>
      <c r="U520" s="117">
        <f t="shared" si="713"/>
        <v>0</v>
      </c>
      <c r="V520" s="65"/>
      <c r="W520" s="202"/>
      <c r="X520" s="65"/>
      <c r="Y520" s="69"/>
      <c r="Z520" s="65"/>
      <c r="AA520" s="518"/>
      <c r="AB520" s="65"/>
      <c r="AC520" s="81">
        <f t="shared" si="714"/>
        <v>0</v>
      </c>
      <c r="AD520" s="65"/>
      <c r="AE520" s="112"/>
      <c r="AF520" s="203">
        <v>0.3</v>
      </c>
      <c r="AG520" s="109">
        <f t="shared" si="715"/>
        <v>7950</v>
      </c>
      <c r="AH520" s="84">
        <f t="shared" si="716"/>
        <v>0</v>
      </c>
      <c r="AI520" s="65"/>
      <c r="AJ520" s="112"/>
      <c r="AK520" s="122"/>
      <c r="AL520" s="109">
        <v>1212</v>
      </c>
      <c r="AM520" s="84">
        <f t="shared" si="717"/>
        <v>0</v>
      </c>
      <c r="AN520" s="65"/>
      <c r="AO520" s="112"/>
      <c r="AP520" s="204"/>
      <c r="AQ520" s="109">
        <f>IFERROR((O520+AH520+AM520)/Dashboard!$D$15,0)*0.2</f>
        <v>8.2128099173553704</v>
      </c>
      <c r="AR520" s="84">
        <f t="shared" si="718"/>
        <v>0</v>
      </c>
      <c r="AS520" s="65"/>
      <c r="AT520" s="112"/>
      <c r="AU520" s="203">
        <v>0.33</v>
      </c>
      <c r="AV520" s="109">
        <f t="shared" si="704"/>
        <v>7950</v>
      </c>
      <c r="AW520" s="84">
        <f t="shared" si="719"/>
        <v>0</v>
      </c>
      <c r="AX520" s="65"/>
      <c r="AY520" s="112"/>
      <c r="AZ520" s="203">
        <v>0.25</v>
      </c>
      <c r="BA520" s="109">
        <f t="shared" si="720"/>
        <v>7950</v>
      </c>
      <c r="BB520" s="84">
        <f t="shared" si="721"/>
        <v>0</v>
      </c>
      <c r="BC520" s="65"/>
      <c r="BD520" s="112"/>
      <c r="BE520" s="203">
        <v>0.26</v>
      </c>
      <c r="BF520" s="109">
        <f t="shared" si="707"/>
        <v>7950</v>
      </c>
      <c r="BG520" s="84">
        <f t="shared" si="722"/>
        <v>0</v>
      </c>
      <c r="BH520" s="197"/>
      <c r="BI520" s="518"/>
      <c r="BJ520" s="65"/>
      <c r="BK520" s="81">
        <f t="shared" si="723"/>
        <v>0</v>
      </c>
      <c r="BL520" s="65"/>
      <c r="BM520" s="204"/>
      <c r="BN520" s="156">
        <f>IF(B520&lt;&gt;"",_xlfn.XLOOKUP(B520,'Cronog. e Histog.'!B:B,'Cronog. e Histog.'!EK:EK),0)</f>
        <v>0</v>
      </c>
      <c r="BO520" s="109">
        <f>($O520/Dashboard!$D$15)*(1+Dashboard!$D$19)</f>
        <v>61.596074380165277</v>
      </c>
      <c r="BP520" s="84">
        <f t="shared" si="724"/>
        <v>0</v>
      </c>
      <c r="BQ520" s="65"/>
      <c r="BR520" s="204"/>
      <c r="BS520" s="156">
        <f>IF(B520&lt;&gt;"",_xlfn.XLOOKUP(B520,'Cronog. e Histog.'!B:B,'Cronog. e Histog.'!EL:EL),0)</f>
        <v>0</v>
      </c>
      <c r="BT520" s="109">
        <f>($O520/Dashboard!$D$15)*(1+Dashboard!$D$20)</f>
        <v>71.862086776859499</v>
      </c>
      <c r="BU520" s="84">
        <f t="shared" si="725"/>
        <v>0</v>
      </c>
      <c r="BV520" s="65"/>
      <c r="BW520" s="204"/>
      <c r="BX520" s="156">
        <f>IF(B520&lt;&gt;"",_xlfn.XLOOKUP(B520,'Cronog. e Histog.'!B:B,'Cronog. e Histog.'!EM:EM),0)</f>
        <v>0</v>
      </c>
      <c r="BY520" s="109">
        <f>($O520/Dashboard!$D$15)*(1+Dashboard!$D$21)</f>
        <v>82.128099173553707</v>
      </c>
      <c r="BZ520" s="84">
        <f t="shared" si="726"/>
        <v>0</v>
      </c>
    </row>
    <row r="521" spans="2:78" ht="12" customHeight="1" outlineLevel="1">
      <c r="B521" s="137" t="str">
        <f>'Cronog. e Histog.'!B676</f>
        <v>AN PL. ENG/ARQ - Equipe_01</v>
      </c>
      <c r="C521" s="65"/>
      <c r="D521" s="200">
        <f t="shared" si="692"/>
        <v>0</v>
      </c>
      <c r="E521" s="200">
        <f t="shared" si="693"/>
        <v>0</v>
      </c>
      <c r="F521" s="65"/>
      <c r="G521" s="200">
        <f t="shared" si="694"/>
        <v>0</v>
      </c>
      <c r="H521" s="200">
        <f t="shared" si="695"/>
        <v>0</v>
      </c>
      <c r="I521" s="65"/>
      <c r="J521" s="143" t="str">
        <f>IF('Cronog. e Histog.'!G676&gt;0,'Cronog. e Histog.'!G676,"")</f>
        <v>AN PL. ENG/ARQ</v>
      </c>
      <c r="K521" s="65"/>
      <c r="L521" s="144">
        <f>'Cronog. e Histog.'!BT676</f>
        <v>0</v>
      </c>
      <c r="M521" s="144">
        <f>'Cronog. e Histog.'!BU676</f>
        <v>0</v>
      </c>
      <c r="N521" s="65"/>
      <c r="O521" s="109">
        <f>_xlfn.XLOOKUP(B521,Salários!B:B,Salários!K:K)</f>
        <v>6360</v>
      </c>
      <c r="P521" s="109">
        <f t="shared" si="710"/>
        <v>0</v>
      </c>
      <c r="Q521" s="109">
        <f t="shared" si="711"/>
        <v>0</v>
      </c>
      <c r="R521" s="65"/>
      <c r="S521" s="109">
        <f t="shared" si="712"/>
        <v>6360</v>
      </c>
      <c r="T521" s="201" t="str">
        <f>IF(_xlfn.XLOOKUP(B521,Salários!B:B,Salários!I:I)&gt;0,_xlfn.XLOOKUP(B521,Salários!B:B,Salários!I:I),"")</f>
        <v>Mensalista</v>
      </c>
      <c r="U521" s="117">
        <f t="shared" si="713"/>
        <v>0</v>
      </c>
      <c r="V521" s="65"/>
      <c r="W521" s="202"/>
      <c r="X521" s="65"/>
      <c r="Y521" s="69"/>
      <c r="Z521" s="65"/>
      <c r="AA521" s="518"/>
      <c r="AB521" s="65"/>
      <c r="AC521" s="81">
        <f t="shared" si="714"/>
        <v>0</v>
      </c>
      <c r="AD521" s="65"/>
      <c r="AE521" s="112"/>
      <c r="AF521" s="203">
        <v>0.3</v>
      </c>
      <c r="AG521" s="109">
        <f t="shared" si="715"/>
        <v>6360</v>
      </c>
      <c r="AH521" s="84">
        <f t="shared" si="716"/>
        <v>0</v>
      </c>
      <c r="AI521" s="65"/>
      <c r="AJ521" s="112"/>
      <c r="AK521" s="122"/>
      <c r="AL521" s="109">
        <v>1212</v>
      </c>
      <c r="AM521" s="84">
        <f t="shared" si="717"/>
        <v>0</v>
      </c>
      <c r="AN521" s="65"/>
      <c r="AO521" s="112"/>
      <c r="AP521" s="204"/>
      <c r="AQ521" s="109">
        <f>IFERROR((O521+AH521+AM521)/Dashboard!$D$15,0)*0.2</f>
        <v>6.5702479338842963</v>
      </c>
      <c r="AR521" s="84">
        <f t="shared" si="718"/>
        <v>0</v>
      </c>
      <c r="AS521" s="65"/>
      <c r="AT521" s="112"/>
      <c r="AU521" s="203">
        <v>0.33</v>
      </c>
      <c r="AV521" s="109">
        <f t="shared" si="704"/>
        <v>6360</v>
      </c>
      <c r="AW521" s="84">
        <f t="shared" si="719"/>
        <v>0</v>
      </c>
      <c r="AX521" s="65"/>
      <c r="AY521" s="112"/>
      <c r="AZ521" s="203">
        <v>0.25</v>
      </c>
      <c r="BA521" s="109">
        <f t="shared" si="720"/>
        <v>6360</v>
      </c>
      <c r="BB521" s="84">
        <f t="shared" si="721"/>
        <v>0</v>
      </c>
      <c r="BC521" s="65"/>
      <c r="BD521" s="112"/>
      <c r="BE521" s="203">
        <v>0.26</v>
      </c>
      <c r="BF521" s="109">
        <f t="shared" si="707"/>
        <v>6360</v>
      </c>
      <c r="BG521" s="84">
        <f t="shared" si="722"/>
        <v>0</v>
      </c>
      <c r="BH521" s="197"/>
      <c r="BI521" s="518"/>
      <c r="BJ521" s="65"/>
      <c r="BK521" s="81">
        <f t="shared" si="723"/>
        <v>0</v>
      </c>
      <c r="BL521" s="65"/>
      <c r="BM521" s="204"/>
      <c r="BN521" s="156">
        <f>IF(B521&lt;&gt;"",_xlfn.XLOOKUP(B521,'Cronog. e Histog.'!B:B,'Cronog. e Histog.'!EK:EK),0)</f>
        <v>0</v>
      </c>
      <c r="BO521" s="109">
        <f>($O521/Dashboard!$D$15)*(1+Dashboard!$D$19)</f>
        <v>49.276859504132219</v>
      </c>
      <c r="BP521" s="84">
        <f t="shared" si="724"/>
        <v>0</v>
      </c>
      <c r="BQ521" s="65"/>
      <c r="BR521" s="204"/>
      <c r="BS521" s="156">
        <f>IF(B521&lt;&gt;"",_xlfn.XLOOKUP(B521,'Cronog. e Histog.'!B:B,'Cronog. e Histog.'!EL:EL),0)</f>
        <v>0</v>
      </c>
      <c r="BT521" s="109">
        <f>($O521/Dashboard!$D$15)*(1+Dashboard!$D$20)</f>
        <v>57.489669421487591</v>
      </c>
      <c r="BU521" s="84">
        <f t="shared" si="725"/>
        <v>0</v>
      </c>
      <c r="BV521" s="65"/>
      <c r="BW521" s="204"/>
      <c r="BX521" s="156">
        <f>IF(B521&lt;&gt;"",_xlfn.XLOOKUP(B521,'Cronog. e Histog.'!B:B,'Cronog. e Histog.'!EM:EM),0)</f>
        <v>0</v>
      </c>
      <c r="BY521" s="109">
        <f>($O521/Dashboard!$D$15)*(1+Dashboard!$D$21)</f>
        <v>65.702479338842963</v>
      </c>
      <c r="BZ521" s="84">
        <f t="shared" si="726"/>
        <v>0</v>
      </c>
    </row>
    <row r="522" spans="2:78" ht="12" customHeight="1" outlineLevel="1">
      <c r="B522" s="137" t="str">
        <f>'Cronog. e Histog.'!B677</f>
        <v>AN JR. ENG/ARQ - Equipe_01</v>
      </c>
      <c r="C522" s="65"/>
      <c r="D522" s="200">
        <f t="shared" si="692"/>
        <v>0</v>
      </c>
      <c r="E522" s="200">
        <f t="shared" si="693"/>
        <v>0</v>
      </c>
      <c r="F522" s="65"/>
      <c r="G522" s="200">
        <f t="shared" si="694"/>
        <v>0</v>
      </c>
      <c r="H522" s="200">
        <f t="shared" si="695"/>
        <v>0</v>
      </c>
      <c r="I522" s="65"/>
      <c r="J522" s="143" t="str">
        <f>IF('Cronog. e Histog.'!G677&gt;0,'Cronog. e Histog.'!G677,"")</f>
        <v>AN JR. ENG/ARQ</v>
      </c>
      <c r="K522" s="65"/>
      <c r="L522" s="144">
        <f>'Cronog. e Histog.'!BT677</f>
        <v>0</v>
      </c>
      <c r="M522" s="144">
        <f>'Cronog. e Histog.'!BU677</f>
        <v>0</v>
      </c>
      <c r="N522" s="65"/>
      <c r="O522" s="109">
        <f>_xlfn.XLOOKUP(B522,Salários!B:B,Salários!K:K)</f>
        <v>4770</v>
      </c>
      <c r="P522" s="109">
        <f t="shared" si="710"/>
        <v>0</v>
      </c>
      <c r="Q522" s="109">
        <f t="shared" si="711"/>
        <v>0</v>
      </c>
      <c r="R522" s="65"/>
      <c r="S522" s="109">
        <f t="shared" si="712"/>
        <v>4770</v>
      </c>
      <c r="T522" s="201" t="str">
        <f>IF(_xlfn.XLOOKUP(B522,Salários!B:B,Salários!I:I)&gt;0,_xlfn.XLOOKUP(B522,Salários!B:B,Salários!I:I),"")</f>
        <v>Mensalista</v>
      </c>
      <c r="U522" s="117">
        <f t="shared" si="713"/>
        <v>0</v>
      </c>
      <c r="V522" s="65"/>
      <c r="W522" s="202"/>
      <c r="X522" s="65"/>
      <c r="Y522" s="69"/>
      <c r="Z522" s="65"/>
      <c r="AA522" s="518"/>
      <c r="AB522" s="65"/>
      <c r="AC522" s="81">
        <f t="shared" si="714"/>
        <v>0</v>
      </c>
      <c r="AD522" s="65"/>
      <c r="AE522" s="112"/>
      <c r="AF522" s="203">
        <v>0.3</v>
      </c>
      <c r="AG522" s="109">
        <f t="shared" si="715"/>
        <v>4770</v>
      </c>
      <c r="AH522" s="84">
        <f t="shared" si="716"/>
        <v>0</v>
      </c>
      <c r="AI522" s="65"/>
      <c r="AJ522" s="112"/>
      <c r="AK522" s="122"/>
      <c r="AL522" s="109">
        <v>1212</v>
      </c>
      <c r="AM522" s="84">
        <f t="shared" si="717"/>
        <v>0</v>
      </c>
      <c r="AN522" s="65"/>
      <c r="AO522" s="112"/>
      <c r="AP522" s="204"/>
      <c r="AQ522" s="109">
        <f>IFERROR((O522+AH522+AM522)/Dashboard!$D$15,0)*0.2</f>
        <v>4.9276859504132231</v>
      </c>
      <c r="AR522" s="84">
        <f t="shared" si="718"/>
        <v>0</v>
      </c>
      <c r="AS522" s="65"/>
      <c r="AT522" s="112"/>
      <c r="AU522" s="203">
        <v>0.33</v>
      </c>
      <c r="AV522" s="109">
        <f t="shared" si="704"/>
        <v>4770</v>
      </c>
      <c r="AW522" s="84">
        <f t="shared" si="719"/>
        <v>0</v>
      </c>
      <c r="AX522" s="65"/>
      <c r="AY522" s="112"/>
      <c r="AZ522" s="203">
        <v>0.25</v>
      </c>
      <c r="BA522" s="109">
        <f t="shared" si="720"/>
        <v>4770</v>
      </c>
      <c r="BB522" s="84">
        <f t="shared" si="721"/>
        <v>0</v>
      </c>
      <c r="BC522" s="65"/>
      <c r="BD522" s="112"/>
      <c r="BE522" s="203">
        <v>0.26</v>
      </c>
      <c r="BF522" s="109">
        <f t="shared" si="707"/>
        <v>4770</v>
      </c>
      <c r="BG522" s="84">
        <f t="shared" si="722"/>
        <v>0</v>
      </c>
      <c r="BH522" s="197"/>
      <c r="BI522" s="518"/>
      <c r="BJ522" s="65"/>
      <c r="BK522" s="81">
        <f t="shared" si="723"/>
        <v>0</v>
      </c>
      <c r="BL522" s="65"/>
      <c r="BM522" s="204"/>
      <c r="BN522" s="156">
        <f>IF(B522&lt;&gt;"",_xlfn.XLOOKUP(B522,'Cronog. e Histog.'!B:B,'Cronog. e Histog.'!EK:EK),0)</f>
        <v>0</v>
      </c>
      <c r="BO522" s="109">
        <f>($O522/Dashboard!$D$15)*(1+Dashboard!$D$19)</f>
        <v>36.957644628099168</v>
      </c>
      <c r="BP522" s="84">
        <f t="shared" si="724"/>
        <v>0</v>
      </c>
      <c r="BQ522" s="65"/>
      <c r="BR522" s="204"/>
      <c r="BS522" s="156">
        <f>IF(B522&lt;&gt;"",_xlfn.XLOOKUP(B522,'Cronog. e Histog.'!B:B,'Cronog. e Histog.'!EL:EL),0)</f>
        <v>0</v>
      </c>
      <c r="BT522" s="109">
        <f>($O522/Dashboard!$D$15)*(1+Dashboard!$D$20)</f>
        <v>43.117252066115697</v>
      </c>
      <c r="BU522" s="84">
        <f t="shared" si="725"/>
        <v>0</v>
      </c>
      <c r="BV522" s="65"/>
      <c r="BW522" s="204"/>
      <c r="BX522" s="156">
        <f>IF(B522&lt;&gt;"",_xlfn.XLOOKUP(B522,'Cronog. e Histog.'!B:B,'Cronog. e Histog.'!EM:EM),0)</f>
        <v>0</v>
      </c>
      <c r="BY522" s="109">
        <f>($O522/Dashboard!$D$15)*(1+Dashboard!$D$21)</f>
        <v>49.276859504132226</v>
      </c>
      <c r="BZ522" s="84">
        <f t="shared" si="726"/>
        <v>0</v>
      </c>
    </row>
    <row r="523" spans="2:78" ht="12" customHeight="1" outlineLevel="1">
      <c r="B523" s="137" t="str">
        <f>'Cronog. e Histog.'!B678</f>
        <v>AN SR. ADM/CRP - Equipe_01</v>
      </c>
      <c r="C523" s="65"/>
      <c r="D523" s="200">
        <f t="shared" si="692"/>
        <v>0</v>
      </c>
      <c r="E523" s="200">
        <f t="shared" si="693"/>
        <v>0</v>
      </c>
      <c r="F523" s="65"/>
      <c r="G523" s="200">
        <f t="shared" si="694"/>
        <v>0</v>
      </c>
      <c r="H523" s="200">
        <f t="shared" si="695"/>
        <v>0</v>
      </c>
      <c r="I523" s="65"/>
      <c r="J523" s="143" t="str">
        <f>IF('Cronog. e Histog.'!G678&gt;0,'Cronog. e Histog.'!G678,"")</f>
        <v>AN SR. ADM/CRP</v>
      </c>
      <c r="K523" s="65"/>
      <c r="L523" s="144">
        <f>'Cronog. e Histog.'!BT678</f>
        <v>0</v>
      </c>
      <c r="M523" s="144">
        <f>'Cronog. e Histog.'!BU678</f>
        <v>0</v>
      </c>
      <c r="N523" s="65"/>
      <c r="O523" s="109">
        <f>_xlfn.XLOOKUP(B523,Salários!B:B,Salários!K:K)</f>
        <v>7420</v>
      </c>
      <c r="P523" s="109">
        <f t="shared" si="710"/>
        <v>0</v>
      </c>
      <c r="Q523" s="109">
        <f t="shared" si="711"/>
        <v>0</v>
      </c>
      <c r="R523" s="65"/>
      <c r="S523" s="109">
        <f t="shared" si="712"/>
        <v>7420</v>
      </c>
      <c r="T523" s="201" t="str">
        <f>IF(_xlfn.XLOOKUP(B523,Salários!B:B,Salários!I:I)&gt;0,_xlfn.XLOOKUP(B523,Salários!B:B,Salários!I:I),"")</f>
        <v>Mensalista</v>
      </c>
      <c r="U523" s="117">
        <f t="shared" si="713"/>
        <v>0</v>
      </c>
      <c r="V523" s="65"/>
      <c r="W523" s="202"/>
      <c r="X523" s="65"/>
      <c r="Y523" s="69"/>
      <c r="Z523" s="65"/>
      <c r="AA523" s="518"/>
      <c r="AB523" s="65"/>
      <c r="AC523" s="81">
        <f t="shared" si="714"/>
        <v>0</v>
      </c>
      <c r="AD523" s="65"/>
      <c r="AE523" s="112"/>
      <c r="AF523" s="203">
        <v>0.3</v>
      </c>
      <c r="AG523" s="109">
        <f t="shared" si="715"/>
        <v>7420</v>
      </c>
      <c r="AH523" s="84">
        <f t="shared" si="716"/>
        <v>0</v>
      </c>
      <c r="AI523" s="65"/>
      <c r="AJ523" s="112"/>
      <c r="AK523" s="122"/>
      <c r="AL523" s="109">
        <v>1212</v>
      </c>
      <c r="AM523" s="84">
        <f t="shared" si="717"/>
        <v>0</v>
      </c>
      <c r="AN523" s="65"/>
      <c r="AO523" s="112"/>
      <c r="AP523" s="204"/>
      <c r="AQ523" s="109">
        <f>IFERROR((O523+AH523+AM523)/Dashboard!$D$15,0)*0.2</f>
        <v>7.6652892561983466</v>
      </c>
      <c r="AR523" s="84">
        <f t="shared" si="718"/>
        <v>0</v>
      </c>
      <c r="AS523" s="65"/>
      <c r="AT523" s="112"/>
      <c r="AU523" s="203">
        <v>0.33</v>
      </c>
      <c r="AV523" s="109">
        <f t="shared" si="704"/>
        <v>7420</v>
      </c>
      <c r="AW523" s="84">
        <f t="shared" si="719"/>
        <v>0</v>
      </c>
      <c r="AX523" s="65"/>
      <c r="AY523" s="112"/>
      <c r="AZ523" s="203">
        <v>0.25</v>
      </c>
      <c r="BA523" s="109">
        <f t="shared" si="720"/>
        <v>7420</v>
      </c>
      <c r="BB523" s="84">
        <f t="shared" si="721"/>
        <v>0</v>
      </c>
      <c r="BC523" s="65"/>
      <c r="BD523" s="112"/>
      <c r="BE523" s="203">
        <v>0.26</v>
      </c>
      <c r="BF523" s="109">
        <f t="shared" si="707"/>
        <v>7420</v>
      </c>
      <c r="BG523" s="84">
        <f t="shared" si="722"/>
        <v>0</v>
      </c>
      <c r="BH523" s="197"/>
      <c r="BI523" s="518"/>
      <c r="BJ523" s="65"/>
      <c r="BK523" s="81">
        <f t="shared" si="723"/>
        <v>0</v>
      </c>
      <c r="BL523" s="65"/>
      <c r="BM523" s="204"/>
      <c r="BN523" s="156">
        <f>IF(B523&lt;&gt;"",_xlfn.XLOOKUP(B523,'Cronog. e Histog.'!B:B,'Cronog. e Histog.'!EK:EK),0)</f>
        <v>0</v>
      </c>
      <c r="BO523" s="109">
        <f>($O523/Dashboard!$D$15)*(1+Dashboard!$D$19)</f>
        <v>57.489669421487598</v>
      </c>
      <c r="BP523" s="84">
        <f t="shared" si="724"/>
        <v>0</v>
      </c>
      <c r="BQ523" s="65"/>
      <c r="BR523" s="204"/>
      <c r="BS523" s="156">
        <f>IF(B523&lt;&gt;"",_xlfn.XLOOKUP(B523,'Cronog. e Histog.'!B:B,'Cronog. e Histog.'!EL:EL),0)</f>
        <v>0</v>
      </c>
      <c r="BT523" s="109">
        <f>($O523/Dashboard!$D$15)*(1+Dashboard!$D$20)</f>
        <v>67.071280991735534</v>
      </c>
      <c r="BU523" s="84">
        <f t="shared" si="725"/>
        <v>0</v>
      </c>
      <c r="BV523" s="65"/>
      <c r="BW523" s="204"/>
      <c r="BX523" s="156">
        <f>IF(B523&lt;&gt;"",_xlfn.XLOOKUP(B523,'Cronog. e Histog.'!B:B,'Cronog. e Histog.'!EM:EM),0)</f>
        <v>0</v>
      </c>
      <c r="BY523" s="109">
        <f>($O523/Dashboard!$D$15)*(1+Dashboard!$D$21)</f>
        <v>76.652892561983464</v>
      </c>
      <c r="BZ523" s="84">
        <f t="shared" si="726"/>
        <v>0</v>
      </c>
    </row>
    <row r="524" spans="2:78" ht="12" customHeight="1" outlineLevel="1">
      <c r="B524" s="137" t="str">
        <f>'Cronog. e Histog.'!B679</f>
        <v>AN PL. ADM/CRP - Equipe_01</v>
      </c>
      <c r="C524" s="65"/>
      <c r="D524" s="200">
        <f t="shared" si="692"/>
        <v>0</v>
      </c>
      <c r="E524" s="200">
        <f t="shared" si="693"/>
        <v>0</v>
      </c>
      <c r="F524" s="65"/>
      <c r="G524" s="200">
        <f t="shared" si="694"/>
        <v>0</v>
      </c>
      <c r="H524" s="200">
        <f t="shared" si="695"/>
        <v>0</v>
      </c>
      <c r="I524" s="65"/>
      <c r="J524" s="143" t="str">
        <f>IF('Cronog. e Histog.'!G679&gt;0,'Cronog. e Histog.'!G679,"")</f>
        <v>AN PL. ADM/CRP</v>
      </c>
      <c r="K524" s="65"/>
      <c r="L524" s="144">
        <f>'Cronog. e Histog.'!BT679</f>
        <v>0</v>
      </c>
      <c r="M524" s="144">
        <f>'Cronog. e Histog.'!BU679</f>
        <v>0</v>
      </c>
      <c r="N524" s="65"/>
      <c r="O524" s="109">
        <f>_xlfn.XLOOKUP(B524,Salários!B:B,Salários!K:K)</f>
        <v>5300</v>
      </c>
      <c r="P524" s="109">
        <f t="shared" si="710"/>
        <v>0</v>
      </c>
      <c r="Q524" s="109">
        <f t="shared" si="711"/>
        <v>0</v>
      </c>
      <c r="R524" s="65"/>
      <c r="S524" s="109">
        <f t="shared" si="712"/>
        <v>5300</v>
      </c>
      <c r="T524" s="201" t="str">
        <f>IF(_xlfn.XLOOKUP(B524,Salários!B:B,Salários!I:I)&gt;0,_xlfn.XLOOKUP(B524,Salários!B:B,Salários!I:I),"")</f>
        <v>Mensalista</v>
      </c>
      <c r="U524" s="117">
        <f t="shared" si="713"/>
        <v>0</v>
      </c>
      <c r="V524" s="65"/>
      <c r="W524" s="202"/>
      <c r="X524" s="65"/>
      <c r="Y524" s="69"/>
      <c r="Z524" s="65"/>
      <c r="AA524" s="518"/>
      <c r="AB524" s="65"/>
      <c r="AC524" s="81">
        <f t="shared" si="714"/>
        <v>0</v>
      </c>
      <c r="AD524" s="65"/>
      <c r="AE524" s="112"/>
      <c r="AF524" s="203">
        <v>0.3</v>
      </c>
      <c r="AG524" s="109">
        <f t="shared" si="715"/>
        <v>5300</v>
      </c>
      <c r="AH524" s="84">
        <f t="shared" si="716"/>
        <v>0</v>
      </c>
      <c r="AI524" s="65"/>
      <c r="AJ524" s="112"/>
      <c r="AK524" s="122"/>
      <c r="AL524" s="109">
        <v>1212</v>
      </c>
      <c r="AM524" s="84">
        <f t="shared" si="717"/>
        <v>0</v>
      </c>
      <c r="AN524" s="65"/>
      <c r="AO524" s="112"/>
      <c r="AP524" s="204"/>
      <c r="AQ524" s="109">
        <f>IFERROR((O524+AH524+AM524)/Dashboard!$D$15,0)*0.2</f>
        <v>5.4752066115702478</v>
      </c>
      <c r="AR524" s="84">
        <f t="shared" si="718"/>
        <v>0</v>
      </c>
      <c r="AS524" s="65"/>
      <c r="AT524" s="112"/>
      <c r="AU524" s="203">
        <v>0.33</v>
      </c>
      <c r="AV524" s="109">
        <f t="shared" si="704"/>
        <v>5300</v>
      </c>
      <c r="AW524" s="84">
        <f t="shared" si="719"/>
        <v>0</v>
      </c>
      <c r="AX524" s="65"/>
      <c r="AY524" s="112"/>
      <c r="AZ524" s="203">
        <v>0.25</v>
      </c>
      <c r="BA524" s="109">
        <f t="shared" si="720"/>
        <v>5300</v>
      </c>
      <c r="BB524" s="84">
        <f t="shared" si="721"/>
        <v>0</v>
      </c>
      <c r="BC524" s="65"/>
      <c r="BD524" s="112"/>
      <c r="BE524" s="203">
        <v>0.26</v>
      </c>
      <c r="BF524" s="109">
        <f t="shared" si="707"/>
        <v>5300</v>
      </c>
      <c r="BG524" s="84">
        <f t="shared" si="722"/>
        <v>0</v>
      </c>
      <c r="BH524" s="197"/>
      <c r="BI524" s="518"/>
      <c r="BJ524" s="65"/>
      <c r="BK524" s="81">
        <f t="shared" si="723"/>
        <v>0</v>
      </c>
      <c r="BL524" s="65"/>
      <c r="BM524" s="204"/>
      <c r="BN524" s="156">
        <f>IF(B524&lt;&gt;"",_xlfn.XLOOKUP(B524,'Cronog. e Histog.'!B:B,'Cronog. e Histog.'!EK:EK),0)</f>
        <v>0</v>
      </c>
      <c r="BO524" s="109">
        <f>($O524/Dashboard!$D$15)*(1+Dashboard!$D$19)</f>
        <v>41.064049586776861</v>
      </c>
      <c r="BP524" s="84">
        <f t="shared" si="724"/>
        <v>0</v>
      </c>
      <c r="BQ524" s="65"/>
      <c r="BR524" s="204"/>
      <c r="BS524" s="156">
        <f>IF(B524&lt;&gt;"",_xlfn.XLOOKUP(B524,'Cronog. e Histog.'!B:B,'Cronog. e Histog.'!EL:EL),0)</f>
        <v>0</v>
      </c>
      <c r="BT524" s="109">
        <f>($O524/Dashboard!$D$15)*(1+Dashboard!$D$20)</f>
        <v>47.908057851239668</v>
      </c>
      <c r="BU524" s="84">
        <f t="shared" si="725"/>
        <v>0</v>
      </c>
      <c r="BV524" s="65"/>
      <c r="BW524" s="204"/>
      <c r="BX524" s="156">
        <f>IF(B524&lt;&gt;"",_xlfn.XLOOKUP(B524,'Cronog. e Histog.'!B:B,'Cronog. e Histog.'!EM:EM),0)</f>
        <v>0</v>
      </c>
      <c r="BY524" s="109">
        <f>($O524/Dashboard!$D$15)*(1+Dashboard!$D$21)</f>
        <v>54.752066115702476</v>
      </c>
      <c r="BZ524" s="84">
        <f t="shared" si="726"/>
        <v>0</v>
      </c>
    </row>
    <row r="525" spans="2:78" ht="12" customHeight="1" outlineLevel="1">
      <c r="B525" s="137" t="str">
        <f>'Cronog. e Histog.'!B680</f>
        <v>AN JR. ADM/CRP - Equipe_01</v>
      </c>
      <c r="C525" s="65"/>
      <c r="D525" s="200">
        <f t="shared" si="692"/>
        <v>0</v>
      </c>
      <c r="E525" s="200">
        <f t="shared" si="693"/>
        <v>0</v>
      </c>
      <c r="F525" s="65"/>
      <c r="G525" s="200">
        <f t="shared" si="694"/>
        <v>0</v>
      </c>
      <c r="H525" s="200">
        <f t="shared" si="695"/>
        <v>0</v>
      </c>
      <c r="I525" s="65"/>
      <c r="J525" s="143" t="str">
        <f>IF('Cronog. e Histog.'!G680&gt;0,'Cronog. e Histog.'!G680,"")</f>
        <v>AN JR. ADM/CRP</v>
      </c>
      <c r="K525" s="65"/>
      <c r="L525" s="144">
        <f>'Cronog. e Histog.'!BT680</f>
        <v>0</v>
      </c>
      <c r="M525" s="144">
        <f>'Cronog. e Histog.'!BU680</f>
        <v>0</v>
      </c>
      <c r="N525" s="65"/>
      <c r="O525" s="109">
        <f>_xlfn.XLOOKUP(B525,Salários!B:B,Salários!K:K)</f>
        <v>3710</v>
      </c>
      <c r="P525" s="109">
        <f t="shared" si="710"/>
        <v>0</v>
      </c>
      <c r="Q525" s="109">
        <f t="shared" si="711"/>
        <v>0</v>
      </c>
      <c r="R525" s="65"/>
      <c r="S525" s="109">
        <f t="shared" si="712"/>
        <v>3710</v>
      </c>
      <c r="T525" s="201" t="str">
        <f>IF(_xlfn.XLOOKUP(B525,Salários!B:B,Salários!I:I)&gt;0,_xlfn.XLOOKUP(B525,Salários!B:B,Salários!I:I),"")</f>
        <v>Mensalista</v>
      </c>
      <c r="U525" s="117">
        <f t="shared" si="713"/>
        <v>0</v>
      </c>
      <c r="V525" s="65"/>
      <c r="W525" s="202"/>
      <c r="X525" s="65"/>
      <c r="Y525" s="69"/>
      <c r="Z525" s="65"/>
      <c r="AA525" s="518"/>
      <c r="AB525" s="65"/>
      <c r="AC525" s="81">
        <f t="shared" si="700"/>
        <v>0</v>
      </c>
      <c r="AD525" s="65"/>
      <c r="AE525" s="112"/>
      <c r="AF525" s="203">
        <v>0.3</v>
      </c>
      <c r="AG525" s="109">
        <f t="shared" si="44"/>
        <v>3710</v>
      </c>
      <c r="AH525" s="84">
        <f t="shared" si="701"/>
        <v>0</v>
      </c>
      <c r="AI525" s="65"/>
      <c r="AJ525" s="112"/>
      <c r="AK525" s="122"/>
      <c r="AL525" s="109">
        <v>1212</v>
      </c>
      <c r="AM525" s="84">
        <f t="shared" si="702"/>
        <v>0</v>
      </c>
      <c r="AN525" s="65"/>
      <c r="AO525" s="112"/>
      <c r="AP525" s="204"/>
      <c r="AQ525" s="109">
        <f>IFERROR((O525+AH525+AM525)/Dashboard!$D$15,0)*0.2</f>
        <v>3.8326446280991733</v>
      </c>
      <c r="AR525" s="84">
        <f t="shared" si="703"/>
        <v>0</v>
      </c>
      <c r="AS525" s="65"/>
      <c r="AT525" s="112"/>
      <c r="AU525" s="203">
        <v>0.33</v>
      </c>
      <c r="AV525" s="109">
        <f t="shared" si="704"/>
        <v>3710</v>
      </c>
      <c r="AW525" s="84">
        <f t="shared" si="705"/>
        <v>0</v>
      </c>
      <c r="AX525" s="65"/>
      <c r="AY525" s="112"/>
      <c r="AZ525" s="203">
        <v>0.25</v>
      </c>
      <c r="BA525" s="109">
        <f t="shared" si="50"/>
        <v>3710</v>
      </c>
      <c r="BB525" s="84">
        <f t="shared" si="706"/>
        <v>0</v>
      </c>
      <c r="BC525" s="65"/>
      <c r="BD525" s="112"/>
      <c r="BE525" s="203">
        <v>0.26</v>
      </c>
      <c r="BF525" s="109">
        <f t="shared" si="707"/>
        <v>3710</v>
      </c>
      <c r="BG525" s="84">
        <f t="shared" si="708"/>
        <v>0</v>
      </c>
      <c r="BH525" s="197"/>
      <c r="BI525" s="518"/>
      <c r="BJ525" s="65"/>
      <c r="BK525" s="81">
        <f t="shared" si="709"/>
        <v>0</v>
      </c>
      <c r="BL525" s="65"/>
      <c r="BM525" s="204"/>
      <c r="BN525" s="156">
        <f>IF(B525&lt;&gt;"",_xlfn.XLOOKUP(B525,'Cronog. e Histog.'!B:B,'Cronog. e Histog.'!EK:EK),0)</f>
        <v>0</v>
      </c>
      <c r="BO525" s="109">
        <f>($O525/Dashboard!$D$15)*(1+Dashboard!$D$19)</f>
        <v>28.744834710743799</v>
      </c>
      <c r="BP525" s="84">
        <f t="shared" si="724"/>
        <v>0</v>
      </c>
      <c r="BQ525" s="65"/>
      <c r="BR525" s="204"/>
      <c r="BS525" s="156">
        <f>IF(B525&lt;&gt;"",_xlfn.XLOOKUP(B525,'Cronog. e Histog.'!B:B,'Cronog. e Histog.'!EL:EL),0)</f>
        <v>0</v>
      </c>
      <c r="BT525" s="109">
        <f>($O525/Dashboard!$D$15)*(1+Dashboard!$D$20)</f>
        <v>33.535640495867767</v>
      </c>
      <c r="BU525" s="84">
        <f t="shared" si="725"/>
        <v>0</v>
      </c>
      <c r="BV525" s="65"/>
      <c r="BW525" s="204"/>
      <c r="BX525" s="156">
        <f>IF(B525&lt;&gt;"",_xlfn.XLOOKUP(B525,'Cronog. e Histog.'!B:B,'Cronog. e Histog.'!EM:EM),0)</f>
        <v>0</v>
      </c>
      <c r="BY525" s="109">
        <f>($O525/Dashboard!$D$15)*(1+Dashboard!$D$21)</f>
        <v>38.326446280991732</v>
      </c>
      <c r="BZ525" s="84">
        <f t="shared" si="726"/>
        <v>0</v>
      </c>
    </row>
    <row r="526" spans="2:78" ht="12" customHeight="1" outlineLevel="1">
      <c r="B526" s="137" t="str">
        <f>'Cronog. e Histog.'!B681</f>
        <v>TEC III - Equipe_01</v>
      </c>
      <c r="C526" s="65"/>
      <c r="D526" s="200">
        <f t="shared" si="692"/>
        <v>0</v>
      </c>
      <c r="E526" s="200">
        <f t="shared" si="693"/>
        <v>0</v>
      </c>
      <c r="F526" s="65"/>
      <c r="G526" s="200">
        <f t="shared" si="694"/>
        <v>0</v>
      </c>
      <c r="H526" s="200">
        <f t="shared" si="695"/>
        <v>0</v>
      </c>
      <c r="I526" s="65"/>
      <c r="J526" s="143" t="str">
        <f>IF('Cronog. e Histog.'!G681&gt;0,'Cronog. e Histog.'!G681,"")</f>
        <v>TEC III</v>
      </c>
      <c r="K526" s="65"/>
      <c r="L526" s="144">
        <f>'Cronog. e Histog.'!BT681</f>
        <v>0</v>
      </c>
      <c r="M526" s="144">
        <f>'Cronog. e Histog.'!BU681</f>
        <v>0</v>
      </c>
      <c r="N526" s="65"/>
      <c r="O526" s="109">
        <f>_xlfn.XLOOKUP(B526,Salários!B:B,Salários!K:K)</f>
        <v>6360</v>
      </c>
      <c r="P526" s="109">
        <f t="shared" si="710"/>
        <v>0</v>
      </c>
      <c r="Q526" s="109">
        <f t="shared" si="711"/>
        <v>0</v>
      </c>
      <c r="R526" s="65"/>
      <c r="S526" s="109">
        <f t="shared" si="712"/>
        <v>6360</v>
      </c>
      <c r="T526" s="201" t="str">
        <f>IF(_xlfn.XLOOKUP(B526,Salários!B:B,Salários!I:I)&gt;0,_xlfn.XLOOKUP(B526,Salários!B:B,Salários!I:I),"")</f>
        <v>Mensalista</v>
      </c>
      <c r="U526" s="117">
        <f t="shared" si="713"/>
        <v>0</v>
      </c>
      <c r="V526" s="65"/>
      <c r="W526" s="202"/>
      <c r="X526" s="65"/>
      <c r="Y526" s="69"/>
      <c r="Z526" s="65"/>
      <c r="AA526" s="518"/>
      <c r="AB526" s="65"/>
      <c r="AC526" s="81">
        <f t="shared" si="700"/>
        <v>0</v>
      </c>
      <c r="AD526" s="65"/>
      <c r="AE526" s="112"/>
      <c r="AF526" s="203">
        <v>0.3</v>
      </c>
      <c r="AG526" s="109">
        <f t="shared" si="44"/>
        <v>6360</v>
      </c>
      <c r="AH526" s="84">
        <f t="shared" si="701"/>
        <v>0</v>
      </c>
      <c r="AI526" s="65"/>
      <c r="AJ526" s="112"/>
      <c r="AK526" s="122"/>
      <c r="AL526" s="109">
        <v>1212</v>
      </c>
      <c r="AM526" s="84">
        <f t="shared" si="702"/>
        <v>0</v>
      </c>
      <c r="AN526" s="65"/>
      <c r="AO526" s="112"/>
      <c r="AP526" s="204"/>
      <c r="AQ526" s="109">
        <f>IFERROR((O526+AH526+AM526)/Dashboard!$D$15,0)*0.2</f>
        <v>6.5702479338842963</v>
      </c>
      <c r="AR526" s="84">
        <f t="shared" si="703"/>
        <v>0</v>
      </c>
      <c r="AS526" s="65"/>
      <c r="AT526" s="112"/>
      <c r="AU526" s="203">
        <v>0.33</v>
      </c>
      <c r="AV526" s="109">
        <f t="shared" si="704"/>
        <v>6360</v>
      </c>
      <c r="AW526" s="84">
        <f t="shared" si="705"/>
        <v>0</v>
      </c>
      <c r="AX526" s="65"/>
      <c r="AY526" s="112"/>
      <c r="AZ526" s="203">
        <v>0.25</v>
      </c>
      <c r="BA526" s="109">
        <f t="shared" si="50"/>
        <v>6360</v>
      </c>
      <c r="BB526" s="84">
        <f t="shared" si="706"/>
        <v>0</v>
      </c>
      <c r="BC526" s="65"/>
      <c r="BD526" s="112"/>
      <c r="BE526" s="203">
        <v>0.26</v>
      </c>
      <c r="BF526" s="109">
        <f t="shared" si="707"/>
        <v>6360</v>
      </c>
      <c r="BG526" s="84">
        <f t="shared" si="708"/>
        <v>0</v>
      </c>
      <c r="BH526" s="197"/>
      <c r="BI526" s="518"/>
      <c r="BJ526" s="65"/>
      <c r="BK526" s="81">
        <f t="shared" si="709"/>
        <v>0</v>
      </c>
      <c r="BL526" s="65"/>
      <c r="BM526" s="204"/>
      <c r="BN526" s="156">
        <f>IF(B526&lt;&gt;"",_xlfn.XLOOKUP(B526,'Cronog. e Histog.'!B:B,'Cronog. e Histog.'!EK:EK),0)</f>
        <v>0</v>
      </c>
      <c r="BO526" s="109">
        <f>($O526/Dashboard!$D$15)*(1+Dashboard!$D$19)</f>
        <v>49.276859504132219</v>
      </c>
      <c r="BP526" s="84">
        <f t="shared" si="724"/>
        <v>0</v>
      </c>
      <c r="BQ526" s="65"/>
      <c r="BR526" s="204"/>
      <c r="BS526" s="156">
        <f>IF(B526&lt;&gt;"",_xlfn.XLOOKUP(B526,'Cronog. e Histog.'!B:B,'Cronog. e Histog.'!EL:EL),0)</f>
        <v>0</v>
      </c>
      <c r="BT526" s="109">
        <f>($O526/Dashboard!$D$15)*(1+Dashboard!$D$20)</f>
        <v>57.489669421487591</v>
      </c>
      <c r="BU526" s="84">
        <f t="shared" si="725"/>
        <v>0</v>
      </c>
      <c r="BV526" s="65"/>
      <c r="BW526" s="204"/>
      <c r="BX526" s="156">
        <f>IF(B526&lt;&gt;"",_xlfn.XLOOKUP(B526,'Cronog. e Histog.'!B:B,'Cronog. e Histog.'!EM:EM),0)</f>
        <v>0</v>
      </c>
      <c r="BY526" s="109">
        <f>($O526/Dashboard!$D$15)*(1+Dashboard!$D$21)</f>
        <v>65.702479338842963</v>
      </c>
      <c r="BZ526" s="84">
        <f t="shared" si="726"/>
        <v>0</v>
      </c>
    </row>
    <row r="527" spans="2:78" ht="12" customHeight="1" outlineLevel="1">
      <c r="B527" s="137" t="str">
        <f>'Cronog. e Histog.'!B682</f>
        <v>TEC II - Equipe_01</v>
      </c>
      <c r="C527" s="65"/>
      <c r="D527" s="200">
        <f t="shared" si="692"/>
        <v>0</v>
      </c>
      <c r="E527" s="200">
        <f t="shared" si="693"/>
        <v>0</v>
      </c>
      <c r="F527" s="65"/>
      <c r="G527" s="200">
        <f t="shared" si="694"/>
        <v>0</v>
      </c>
      <c r="H527" s="200">
        <f t="shared" si="695"/>
        <v>0</v>
      </c>
      <c r="I527" s="65"/>
      <c r="J527" s="143" t="str">
        <f>IF('Cronog. e Histog.'!G682&gt;0,'Cronog. e Histog.'!G682,"")</f>
        <v>TEC II</v>
      </c>
      <c r="K527" s="65"/>
      <c r="L527" s="144">
        <f>'Cronog. e Histog.'!BT682</f>
        <v>0</v>
      </c>
      <c r="M527" s="144">
        <f>'Cronog. e Histog.'!BU682</f>
        <v>0</v>
      </c>
      <c r="N527" s="65"/>
      <c r="O527" s="109">
        <f>_xlfn.XLOOKUP(B527,Salários!B:B,Salários!K:K)</f>
        <v>4770</v>
      </c>
      <c r="P527" s="109">
        <f t="shared" si="710"/>
        <v>0</v>
      </c>
      <c r="Q527" s="109">
        <f t="shared" si="711"/>
        <v>0</v>
      </c>
      <c r="R527" s="65"/>
      <c r="S527" s="109">
        <f t="shared" si="712"/>
        <v>4770</v>
      </c>
      <c r="T527" s="201" t="str">
        <f>IF(_xlfn.XLOOKUP(B527,Salários!B:B,Salários!I:I)&gt;0,_xlfn.XLOOKUP(B527,Salários!B:B,Salários!I:I),"")</f>
        <v>Mensalista</v>
      </c>
      <c r="U527" s="117">
        <f t="shared" si="713"/>
        <v>0</v>
      </c>
      <c r="V527" s="65"/>
      <c r="W527" s="202"/>
      <c r="X527" s="65"/>
      <c r="Y527" s="69"/>
      <c r="Z527" s="65"/>
      <c r="AA527" s="518"/>
      <c r="AB527" s="65"/>
      <c r="AC527" s="81">
        <f t="shared" si="700"/>
        <v>0</v>
      </c>
      <c r="AD527" s="65"/>
      <c r="AE527" s="112"/>
      <c r="AF527" s="203">
        <v>0.3</v>
      </c>
      <c r="AG527" s="109">
        <f t="shared" si="44"/>
        <v>4770</v>
      </c>
      <c r="AH527" s="84">
        <f t="shared" si="701"/>
        <v>0</v>
      </c>
      <c r="AI527" s="65"/>
      <c r="AJ527" s="112"/>
      <c r="AK527" s="122"/>
      <c r="AL527" s="109">
        <v>1212</v>
      </c>
      <c r="AM527" s="84">
        <f t="shared" si="702"/>
        <v>0</v>
      </c>
      <c r="AN527" s="65"/>
      <c r="AO527" s="112"/>
      <c r="AP527" s="204"/>
      <c r="AQ527" s="109">
        <f>IFERROR((O527+AH527+AM527)/Dashboard!$D$15,0)*0.2</f>
        <v>4.9276859504132231</v>
      </c>
      <c r="AR527" s="84">
        <f t="shared" si="703"/>
        <v>0</v>
      </c>
      <c r="AS527" s="65"/>
      <c r="AT527" s="112"/>
      <c r="AU527" s="203">
        <v>0.33</v>
      </c>
      <c r="AV527" s="109">
        <f t="shared" si="704"/>
        <v>4770</v>
      </c>
      <c r="AW527" s="84">
        <f t="shared" si="705"/>
        <v>0</v>
      </c>
      <c r="AX527" s="65"/>
      <c r="AY527" s="112"/>
      <c r="AZ527" s="203">
        <v>0.25</v>
      </c>
      <c r="BA527" s="109">
        <f t="shared" si="50"/>
        <v>4770</v>
      </c>
      <c r="BB527" s="84">
        <f t="shared" si="706"/>
        <v>0</v>
      </c>
      <c r="BC527" s="65"/>
      <c r="BD527" s="112"/>
      <c r="BE527" s="203">
        <v>0.26</v>
      </c>
      <c r="BF527" s="109">
        <f t="shared" si="707"/>
        <v>4770</v>
      </c>
      <c r="BG527" s="84">
        <f t="shared" si="708"/>
        <v>0</v>
      </c>
      <c r="BH527" s="197"/>
      <c r="BI527" s="518"/>
      <c r="BJ527" s="65"/>
      <c r="BK527" s="81">
        <f t="shared" si="709"/>
        <v>0</v>
      </c>
      <c r="BL527" s="65"/>
      <c r="BM527" s="204"/>
      <c r="BN527" s="156">
        <f>IF(B527&lt;&gt;"",_xlfn.XLOOKUP(B527,'Cronog. e Histog.'!B:B,'Cronog. e Histog.'!EK:EK),0)</f>
        <v>0</v>
      </c>
      <c r="BO527" s="109">
        <f>($O527/Dashboard!$D$15)*(1+Dashboard!$D$19)</f>
        <v>36.957644628099168</v>
      </c>
      <c r="BP527" s="84">
        <f t="shared" si="724"/>
        <v>0</v>
      </c>
      <c r="BQ527" s="65"/>
      <c r="BR527" s="204"/>
      <c r="BS527" s="156">
        <f>IF(B527&lt;&gt;"",_xlfn.XLOOKUP(B527,'Cronog. e Histog.'!B:B,'Cronog. e Histog.'!EL:EL),0)</f>
        <v>0</v>
      </c>
      <c r="BT527" s="109">
        <f>($O527/Dashboard!$D$15)*(1+Dashboard!$D$20)</f>
        <v>43.117252066115697</v>
      </c>
      <c r="BU527" s="84">
        <f t="shared" si="725"/>
        <v>0</v>
      </c>
      <c r="BV527" s="65"/>
      <c r="BW527" s="204"/>
      <c r="BX527" s="156">
        <f>IF(B527&lt;&gt;"",_xlfn.XLOOKUP(B527,'Cronog. e Histog.'!B:B,'Cronog. e Histog.'!EM:EM),0)</f>
        <v>0</v>
      </c>
      <c r="BY527" s="109">
        <f>($O527/Dashboard!$D$15)*(1+Dashboard!$D$21)</f>
        <v>49.276859504132226</v>
      </c>
      <c r="BZ527" s="84">
        <f t="shared" si="726"/>
        <v>0</v>
      </c>
    </row>
    <row r="528" spans="2:78" ht="12" customHeight="1" outlineLevel="1">
      <c r="B528" s="137" t="str">
        <f>'Cronog. e Histog.'!B683</f>
        <v>TEC I - Equipe_01</v>
      </c>
      <c r="C528" s="65"/>
      <c r="D528" s="200">
        <f t="shared" si="692"/>
        <v>0</v>
      </c>
      <c r="E528" s="200">
        <f t="shared" si="693"/>
        <v>0</v>
      </c>
      <c r="F528" s="65"/>
      <c r="G528" s="200">
        <f t="shared" si="694"/>
        <v>0</v>
      </c>
      <c r="H528" s="200">
        <f t="shared" si="695"/>
        <v>0</v>
      </c>
      <c r="I528" s="65"/>
      <c r="J528" s="143" t="str">
        <f>IF('Cronog. e Histog.'!G683&gt;0,'Cronog. e Histog.'!G683,"")</f>
        <v>TEC I</v>
      </c>
      <c r="K528" s="65"/>
      <c r="L528" s="144">
        <f>'Cronog. e Histog.'!BT683</f>
        <v>0</v>
      </c>
      <c r="M528" s="144">
        <f>'Cronog. e Histog.'!BU683</f>
        <v>0</v>
      </c>
      <c r="N528" s="65"/>
      <c r="O528" s="109">
        <f>_xlfn.XLOOKUP(B528,Salários!B:B,Salários!K:K)</f>
        <v>3180</v>
      </c>
      <c r="P528" s="109">
        <f t="shared" si="710"/>
        <v>0</v>
      </c>
      <c r="Q528" s="109">
        <f t="shared" si="711"/>
        <v>0</v>
      </c>
      <c r="R528" s="65"/>
      <c r="S528" s="109">
        <f t="shared" si="712"/>
        <v>3180</v>
      </c>
      <c r="T528" s="201" t="str">
        <f>IF(_xlfn.XLOOKUP(B528,Salários!B:B,Salários!I:I)&gt;0,_xlfn.XLOOKUP(B528,Salários!B:B,Salários!I:I),"")</f>
        <v>Mensalista</v>
      </c>
      <c r="U528" s="117">
        <f t="shared" si="713"/>
        <v>0</v>
      </c>
      <c r="V528" s="65"/>
      <c r="W528" s="202"/>
      <c r="X528" s="65"/>
      <c r="Y528" s="69"/>
      <c r="Z528" s="65"/>
      <c r="AA528" s="518"/>
      <c r="AB528" s="65"/>
      <c r="AC528" s="81">
        <f t="shared" si="700"/>
        <v>0</v>
      </c>
      <c r="AD528" s="65"/>
      <c r="AE528" s="112"/>
      <c r="AF528" s="203">
        <v>0.3</v>
      </c>
      <c r="AG528" s="109">
        <f t="shared" si="44"/>
        <v>3180</v>
      </c>
      <c r="AH528" s="84">
        <f t="shared" si="701"/>
        <v>0</v>
      </c>
      <c r="AI528" s="65"/>
      <c r="AJ528" s="112"/>
      <c r="AK528" s="122"/>
      <c r="AL528" s="109">
        <v>1212</v>
      </c>
      <c r="AM528" s="84">
        <f t="shared" si="702"/>
        <v>0</v>
      </c>
      <c r="AN528" s="65"/>
      <c r="AO528" s="112"/>
      <c r="AP528" s="204"/>
      <c r="AQ528" s="109">
        <f>IFERROR((O528+AH528+AM528)/Dashboard!$D$15,0)*0.2</f>
        <v>3.2851239669421481</v>
      </c>
      <c r="AR528" s="84">
        <f t="shared" si="703"/>
        <v>0</v>
      </c>
      <c r="AS528" s="65"/>
      <c r="AT528" s="112"/>
      <c r="AU528" s="203">
        <v>0.33</v>
      </c>
      <c r="AV528" s="109">
        <f t="shared" si="704"/>
        <v>3180</v>
      </c>
      <c r="AW528" s="84">
        <f t="shared" si="705"/>
        <v>0</v>
      </c>
      <c r="AX528" s="65"/>
      <c r="AY528" s="112"/>
      <c r="AZ528" s="203">
        <v>0.25</v>
      </c>
      <c r="BA528" s="109">
        <f t="shared" si="50"/>
        <v>3180</v>
      </c>
      <c r="BB528" s="84">
        <f t="shared" si="706"/>
        <v>0</v>
      </c>
      <c r="BC528" s="65"/>
      <c r="BD528" s="112"/>
      <c r="BE528" s="203">
        <v>0.26</v>
      </c>
      <c r="BF528" s="109">
        <f t="shared" si="707"/>
        <v>3180</v>
      </c>
      <c r="BG528" s="84">
        <f t="shared" si="708"/>
        <v>0</v>
      </c>
      <c r="BH528" s="197"/>
      <c r="BI528" s="518"/>
      <c r="BJ528" s="65"/>
      <c r="BK528" s="81">
        <f t="shared" si="709"/>
        <v>0</v>
      </c>
      <c r="BL528" s="65"/>
      <c r="BM528" s="204"/>
      <c r="BN528" s="156">
        <f>IF(B528&lt;&gt;"",_xlfn.XLOOKUP(B528,'Cronog. e Histog.'!B:B,'Cronog. e Histog.'!EK:EK),0)</f>
        <v>0</v>
      </c>
      <c r="BO528" s="109">
        <f>($O528/Dashboard!$D$15)*(1+Dashboard!$D$19)</f>
        <v>24.638429752066109</v>
      </c>
      <c r="BP528" s="84">
        <f t="shared" si="724"/>
        <v>0</v>
      </c>
      <c r="BQ528" s="65"/>
      <c r="BR528" s="204"/>
      <c r="BS528" s="156">
        <f>IF(B528&lt;&gt;"",_xlfn.XLOOKUP(B528,'Cronog. e Histog.'!B:B,'Cronog. e Histog.'!EL:EL),0)</f>
        <v>0</v>
      </c>
      <c r="BT528" s="109">
        <f>($O528/Dashboard!$D$15)*(1+Dashboard!$D$20)</f>
        <v>28.744834710743795</v>
      </c>
      <c r="BU528" s="84">
        <f t="shared" si="725"/>
        <v>0</v>
      </c>
      <c r="BV528" s="65"/>
      <c r="BW528" s="204"/>
      <c r="BX528" s="156">
        <f>IF(B528&lt;&gt;"",_xlfn.XLOOKUP(B528,'Cronog. e Histog.'!B:B,'Cronog. e Histog.'!EM:EM),0)</f>
        <v>0</v>
      </c>
      <c r="BY528" s="109">
        <f>($O528/Dashboard!$D$15)*(1+Dashboard!$D$21)</f>
        <v>32.851239669421481</v>
      </c>
      <c r="BZ528" s="84">
        <f t="shared" si="726"/>
        <v>0</v>
      </c>
    </row>
    <row r="529" spans="2:78" ht="12" customHeight="1" outlineLevel="1">
      <c r="B529" s="137" t="str">
        <f>'Cronog. e Histog.'!B684</f>
        <v>AUX TEC - Equipe_01</v>
      </c>
      <c r="C529" s="65"/>
      <c r="D529" s="200">
        <f t="shared" si="692"/>
        <v>0</v>
      </c>
      <c r="E529" s="200">
        <f t="shared" si="693"/>
        <v>0</v>
      </c>
      <c r="F529" s="65"/>
      <c r="G529" s="200">
        <f t="shared" si="694"/>
        <v>0</v>
      </c>
      <c r="H529" s="200">
        <f t="shared" si="695"/>
        <v>0</v>
      </c>
      <c r="I529" s="65"/>
      <c r="J529" s="143" t="str">
        <f>IF('Cronog. e Histog.'!G684&gt;0,'Cronog. e Histog.'!G684,"")</f>
        <v>AUX TEC</v>
      </c>
      <c r="K529" s="65"/>
      <c r="L529" s="144">
        <f>'Cronog. e Histog.'!BT684</f>
        <v>0</v>
      </c>
      <c r="M529" s="144">
        <f>'Cronog. e Histog.'!BU684</f>
        <v>0</v>
      </c>
      <c r="N529" s="65"/>
      <c r="O529" s="109">
        <f>_xlfn.XLOOKUP(B529,Salários!B:B,Salários!K:K)</f>
        <v>3710</v>
      </c>
      <c r="P529" s="109">
        <f t="shared" si="710"/>
        <v>0</v>
      </c>
      <c r="Q529" s="109">
        <f t="shared" si="711"/>
        <v>0</v>
      </c>
      <c r="R529" s="65"/>
      <c r="S529" s="109">
        <f t="shared" si="712"/>
        <v>3710</v>
      </c>
      <c r="T529" s="201" t="str">
        <f>IF(_xlfn.XLOOKUP(B529,Salários!B:B,Salários!I:I)&gt;0,_xlfn.XLOOKUP(B529,Salários!B:B,Salários!I:I),"")</f>
        <v>Mensalista</v>
      </c>
      <c r="U529" s="117">
        <f t="shared" si="713"/>
        <v>0</v>
      </c>
      <c r="V529" s="65"/>
      <c r="W529" s="202"/>
      <c r="X529" s="65"/>
      <c r="Y529" s="69"/>
      <c r="Z529" s="65"/>
      <c r="AA529" s="518"/>
      <c r="AB529" s="65"/>
      <c r="AC529" s="81">
        <f t="shared" si="700"/>
        <v>0</v>
      </c>
      <c r="AD529" s="65"/>
      <c r="AE529" s="112"/>
      <c r="AF529" s="203">
        <v>0.3</v>
      </c>
      <c r="AG529" s="109">
        <f t="shared" si="44"/>
        <v>3710</v>
      </c>
      <c r="AH529" s="84">
        <f t="shared" si="701"/>
        <v>0</v>
      </c>
      <c r="AI529" s="65"/>
      <c r="AJ529" s="112"/>
      <c r="AK529" s="122"/>
      <c r="AL529" s="109">
        <v>1212</v>
      </c>
      <c r="AM529" s="84">
        <f t="shared" si="702"/>
        <v>0</v>
      </c>
      <c r="AN529" s="65"/>
      <c r="AO529" s="112"/>
      <c r="AP529" s="204"/>
      <c r="AQ529" s="109">
        <f>IFERROR((O529+AH529+AM529)/Dashboard!$D$15,0)*0.2</f>
        <v>3.8326446280991733</v>
      </c>
      <c r="AR529" s="84">
        <f t="shared" si="703"/>
        <v>0</v>
      </c>
      <c r="AS529" s="65"/>
      <c r="AT529" s="112"/>
      <c r="AU529" s="203">
        <v>0.33</v>
      </c>
      <c r="AV529" s="109">
        <f t="shared" si="704"/>
        <v>3710</v>
      </c>
      <c r="AW529" s="84">
        <f t="shared" si="705"/>
        <v>0</v>
      </c>
      <c r="AX529" s="65"/>
      <c r="AY529" s="112"/>
      <c r="AZ529" s="203">
        <v>0.25</v>
      </c>
      <c r="BA529" s="109">
        <f t="shared" si="50"/>
        <v>3710</v>
      </c>
      <c r="BB529" s="84">
        <f t="shared" si="706"/>
        <v>0</v>
      </c>
      <c r="BC529" s="65"/>
      <c r="BD529" s="112"/>
      <c r="BE529" s="203">
        <v>0.26</v>
      </c>
      <c r="BF529" s="109">
        <f t="shared" si="707"/>
        <v>3710</v>
      </c>
      <c r="BG529" s="84">
        <f t="shared" si="708"/>
        <v>0</v>
      </c>
      <c r="BH529" s="197"/>
      <c r="BI529" s="518"/>
      <c r="BJ529" s="65"/>
      <c r="BK529" s="81">
        <f t="shared" si="709"/>
        <v>0</v>
      </c>
      <c r="BL529" s="65"/>
      <c r="BM529" s="204"/>
      <c r="BN529" s="156">
        <f>IF(B529&lt;&gt;"",_xlfn.XLOOKUP(B529,'Cronog. e Histog.'!B:B,'Cronog. e Histog.'!EK:EK),0)</f>
        <v>0</v>
      </c>
      <c r="BO529" s="109">
        <f>($O529/Dashboard!$D$15)*(1+Dashboard!$D$19)</f>
        <v>28.744834710743799</v>
      </c>
      <c r="BP529" s="84">
        <f t="shared" si="724"/>
        <v>0</v>
      </c>
      <c r="BQ529" s="65"/>
      <c r="BR529" s="204"/>
      <c r="BS529" s="156">
        <f>IF(B529&lt;&gt;"",_xlfn.XLOOKUP(B529,'Cronog. e Histog.'!B:B,'Cronog. e Histog.'!EL:EL),0)</f>
        <v>0</v>
      </c>
      <c r="BT529" s="109">
        <f>($O529/Dashboard!$D$15)*(1+Dashboard!$D$20)</f>
        <v>33.535640495867767</v>
      </c>
      <c r="BU529" s="84">
        <f t="shared" si="725"/>
        <v>0</v>
      </c>
      <c r="BV529" s="65"/>
      <c r="BW529" s="204"/>
      <c r="BX529" s="156">
        <f>IF(B529&lt;&gt;"",_xlfn.XLOOKUP(B529,'Cronog. e Histog.'!B:B,'Cronog. e Histog.'!EM:EM),0)</f>
        <v>0</v>
      </c>
      <c r="BY529" s="109">
        <f>($O529/Dashboard!$D$15)*(1+Dashboard!$D$21)</f>
        <v>38.326446280991732</v>
      </c>
      <c r="BZ529" s="84">
        <f t="shared" si="726"/>
        <v>0</v>
      </c>
    </row>
    <row r="530" spans="2:78" ht="12" customHeight="1" outlineLevel="1">
      <c r="B530" s="137" t="str">
        <f>'Cronog. e Histog.'!B685</f>
        <v>AUX ADM - Equipe_01</v>
      </c>
      <c r="C530" s="65"/>
      <c r="D530" s="200">
        <f t="shared" si="692"/>
        <v>0</v>
      </c>
      <c r="E530" s="200">
        <f t="shared" si="693"/>
        <v>0</v>
      </c>
      <c r="F530" s="65"/>
      <c r="G530" s="200">
        <f t="shared" si="694"/>
        <v>0</v>
      </c>
      <c r="H530" s="200">
        <f t="shared" si="695"/>
        <v>0</v>
      </c>
      <c r="I530" s="65"/>
      <c r="J530" s="143" t="str">
        <f>IF('Cronog. e Histog.'!G685&gt;0,'Cronog. e Histog.'!G685,"")</f>
        <v>AUX ADM</v>
      </c>
      <c r="K530" s="65"/>
      <c r="L530" s="144">
        <f>'Cronog. e Histog.'!BT685</f>
        <v>0</v>
      </c>
      <c r="M530" s="144">
        <f>'Cronog. e Histog.'!BU685</f>
        <v>0</v>
      </c>
      <c r="N530" s="65"/>
      <c r="O530" s="109">
        <f>_xlfn.XLOOKUP(B530,Salários!B:B,Salários!K:K)</f>
        <v>1912.24</v>
      </c>
      <c r="P530" s="109">
        <f t="shared" si="710"/>
        <v>0</v>
      </c>
      <c r="Q530" s="109">
        <f t="shared" si="711"/>
        <v>0</v>
      </c>
      <c r="R530" s="65"/>
      <c r="S530" s="109">
        <f t="shared" si="712"/>
        <v>1912.24</v>
      </c>
      <c r="T530" s="201" t="str">
        <f>IF(_xlfn.XLOOKUP(B530,Salários!B:B,Salários!I:I)&gt;0,_xlfn.XLOOKUP(B530,Salários!B:B,Salários!I:I),"")</f>
        <v>Mensalista</v>
      </c>
      <c r="U530" s="117">
        <f t="shared" si="713"/>
        <v>0</v>
      </c>
      <c r="V530" s="65"/>
      <c r="W530" s="202"/>
      <c r="X530" s="65"/>
      <c r="Y530" s="69"/>
      <c r="Z530" s="65"/>
      <c r="AA530" s="518"/>
      <c r="AB530" s="65"/>
      <c r="AC530" s="81">
        <f t="shared" si="700"/>
        <v>0</v>
      </c>
      <c r="AD530" s="65"/>
      <c r="AE530" s="112"/>
      <c r="AF530" s="203">
        <v>0.3</v>
      </c>
      <c r="AG530" s="109">
        <f t="shared" si="44"/>
        <v>1912.24</v>
      </c>
      <c r="AH530" s="84">
        <f t="shared" si="701"/>
        <v>0</v>
      </c>
      <c r="AI530" s="65"/>
      <c r="AJ530" s="112"/>
      <c r="AK530" s="122"/>
      <c r="AL530" s="109">
        <v>1212</v>
      </c>
      <c r="AM530" s="84">
        <f t="shared" si="702"/>
        <v>0</v>
      </c>
      <c r="AN530" s="65"/>
      <c r="AO530" s="112"/>
      <c r="AP530" s="204"/>
      <c r="AQ530" s="109">
        <f>IFERROR((O530+AH530+AM530)/Dashboard!$D$15,0)*0.2</f>
        <v>1.9754545454545456</v>
      </c>
      <c r="AR530" s="84">
        <f t="shared" si="703"/>
        <v>0</v>
      </c>
      <c r="AS530" s="65"/>
      <c r="AT530" s="112"/>
      <c r="AU530" s="203">
        <v>0.33</v>
      </c>
      <c r="AV530" s="109">
        <f t="shared" si="704"/>
        <v>1912.24</v>
      </c>
      <c r="AW530" s="84">
        <f t="shared" si="705"/>
        <v>0</v>
      </c>
      <c r="AX530" s="65"/>
      <c r="AY530" s="112"/>
      <c r="AZ530" s="203">
        <v>0.25</v>
      </c>
      <c r="BA530" s="109">
        <f t="shared" si="50"/>
        <v>1912.24</v>
      </c>
      <c r="BB530" s="84">
        <f t="shared" si="706"/>
        <v>0</v>
      </c>
      <c r="BC530" s="65"/>
      <c r="BD530" s="112"/>
      <c r="BE530" s="203">
        <v>0.26</v>
      </c>
      <c r="BF530" s="109">
        <f t="shared" si="707"/>
        <v>1912.24</v>
      </c>
      <c r="BG530" s="84">
        <f t="shared" si="708"/>
        <v>0</v>
      </c>
      <c r="BH530" s="197"/>
      <c r="BI530" s="518"/>
      <c r="BJ530" s="65"/>
      <c r="BK530" s="81">
        <f t="shared" si="709"/>
        <v>0</v>
      </c>
      <c r="BL530" s="65"/>
      <c r="BM530" s="204"/>
      <c r="BN530" s="156">
        <f>IF(B530&lt;&gt;"",_xlfn.XLOOKUP(B530,'Cronog. e Histog.'!B:B,'Cronog. e Histog.'!EK:EK),0)</f>
        <v>0</v>
      </c>
      <c r="BO530" s="109">
        <f>($O530/Dashboard!$D$15)*(1+Dashboard!$D$19)</f>
        <v>14.815909090909091</v>
      </c>
      <c r="BP530" s="84">
        <f t="shared" si="724"/>
        <v>0</v>
      </c>
      <c r="BQ530" s="65"/>
      <c r="BR530" s="204"/>
      <c r="BS530" s="156">
        <f>IF(B530&lt;&gt;"",_xlfn.XLOOKUP(B530,'Cronog. e Histog.'!B:B,'Cronog. e Histog.'!EL:EL),0)</f>
        <v>0</v>
      </c>
      <c r="BT530" s="109">
        <f>($O530/Dashboard!$D$15)*(1+Dashboard!$D$20)</f>
        <v>17.285227272727273</v>
      </c>
      <c r="BU530" s="84">
        <f t="shared" si="725"/>
        <v>0</v>
      </c>
      <c r="BV530" s="65"/>
      <c r="BW530" s="204"/>
      <c r="BX530" s="156">
        <f>IF(B530&lt;&gt;"",_xlfn.XLOOKUP(B530,'Cronog. e Histog.'!B:B,'Cronog. e Histog.'!EM:EM),0)</f>
        <v>0</v>
      </c>
      <c r="BY530" s="109">
        <f>($O530/Dashboard!$D$15)*(1+Dashboard!$D$21)</f>
        <v>19.754545454545454</v>
      </c>
      <c r="BZ530" s="84">
        <f t="shared" si="726"/>
        <v>0</v>
      </c>
    </row>
    <row r="531" spans="2:78" ht="12" customHeight="1" outlineLevel="1">
      <c r="B531" s="137" t="str">
        <f>'Cronog. e Histog.'!B686</f>
        <v>EST - Equipe_01</v>
      </c>
      <c r="C531" s="65"/>
      <c r="D531" s="200">
        <f t="shared" si="692"/>
        <v>0</v>
      </c>
      <c r="E531" s="200">
        <f t="shared" si="693"/>
        <v>0</v>
      </c>
      <c r="F531" s="65"/>
      <c r="G531" s="200">
        <f t="shared" si="694"/>
        <v>0</v>
      </c>
      <c r="H531" s="200">
        <f t="shared" si="695"/>
        <v>0</v>
      </c>
      <c r="I531" s="65"/>
      <c r="J531" s="143" t="str">
        <f>IF('Cronog. e Histog.'!G686&gt;0,'Cronog. e Histog.'!G686,"")</f>
        <v>EST</v>
      </c>
      <c r="K531" s="65"/>
      <c r="L531" s="144">
        <f>'Cronog. e Histog.'!BT686</f>
        <v>0</v>
      </c>
      <c r="M531" s="144">
        <f>'Cronog. e Histog.'!BU686</f>
        <v>0</v>
      </c>
      <c r="N531" s="65"/>
      <c r="O531" s="109">
        <f>_xlfn.XLOOKUP(B531,Salários!B:B,Salários!K:K)</f>
        <v>1633</v>
      </c>
      <c r="P531" s="109">
        <f t="shared" si="710"/>
        <v>0</v>
      </c>
      <c r="Q531" s="109">
        <f t="shared" si="711"/>
        <v>0</v>
      </c>
      <c r="R531" s="65"/>
      <c r="S531" s="109">
        <f t="shared" si="712"/>
        <v>1633</v>
      </c>
      <c r="T531" s="201" t="str">
        <f>IF(_xlfn.XLOOKUP(B531,Salários!B:B,Salários!I:I)&gt;0,_xlfn.XLOOKUP(B531,Salários!B:B,Salários!I:I),"")</f>
        <v>PJ</v>
      </c>
      <c r="U531" s="117">
        <f t="shared" si="713"/>
        <v>0</v>
      </c>
      <c r="V531" s="65"/>
      <c r="W531" s="202"/>
      <c r="X531" s="65"/>
      <c r="Y531" s="69"/>
      <c r="Z531" s="65"/>
      <c r="AA531" s="518"/>
      <c r="AB531" s="65"/>
      <c r="AC531" s="81">
        <f t="shared" si="700"/>
        <v>0</v>
      </c>
      <c r="AD531" s="65"/>
      <c r="AE531" s="112"/>
      <c r="AF531" s="203">
        <v>0.3</v>
      </c>
      <c r="AG531" s="109">
        <f t="shared" si="44"/>
        <v>1633</v>
      </c>
      <c r="AH531" s="84">
        <f t="shared" si="701"/>
        <v>0</v>
      </c>
      <c r="AI531" s="65"/>
      <c r="AJ531" s="112"/>
      <c r="AK531" s="122"/>
      <c r="AL531" s="109">
        <v>1212</v>
      </c>
      <c r="AM531" s="84">
        <f t="shared" si="702"/>
        <v>0</v>
      </c>
      <c r="AN531" s="65"/>
      <c r="AO531" s="112"/>
      <c r="AP531" s="204"/>
      <c r="AQ531" s="109">
        <f>IFERROR((O531+AH531+AM531)/Dashboard!$D$15,0)*0.2</f>
        <v>1.6869834710743801</v>
      </c>
      <c r="AR531" s="84">
        <f t="shared" si="703"/>
        <v>0</v>
      </c>
      <c r="AS531" s="65"/>
      <c r="AT531" s="112"/>
      <c r="AU531" s="203">
        <v>0.33</v>
      </c>
      <c r="AV531" s="109">
        <f t="shared" si="704"/>
        <v>1633</v>
      </c>
      <c r="AW531" s="84">
        <f t="shared" si="705"/>
        <v>0</v>
      </c>
      <c r="AX531" s="65"/>
      <c r="AY531" s="112"/>
      <c r="AZ531" s="203">
        <v>0.25</v>
      </c>
      <c r="BA531" s="109">
        <f t="shared" si="50"/>
        <v>1633</v>
      </c>
      <c r="BB531" s="84">
        <f t="shared" si="706"/>
        <v>0</v>
      </c>
      <c r="BC531" s="65"/>
      <c r="BD531" s="112"/>
      <c r="BE531" s="203">
        <v>0.26</v>
      </c>
      <c r="BF531" s="109">
        <f t="shared" si="707"/>
        <v>1633</v>
      </c>
      <c r="BG531" s="84">
        <f t="shared" si="708"/>
        <v>0</v>
      </c>
      <c r="BH531" s="197"/>
      <c r="BI531" s="518"/>
      <c r="BJ531" s="65"/>
      <c r="BK531" s="81">
        <f t="shared" si="709"/>
        <v>0</v>
      </c>
      <c r="BL531" s="65"/>
      <c r="BM531" s="204"/>
      <c r="BN531" s="156">
        <f>IF(B531&lt;&gt;"",_xlfn.XLOOKUP(B531,'Cronog. e Histog.'!B:B,'Cronog. e Histog.'!EK:EK),0)</f>
        <v>0</v>
      </c>
      <c r="BO531" s="109">
        <f>($O531/Dashboard!$D$15)*(1+Dashboard!$D$19)</f>
        <v>12.652376033057848</v>
      </c>
      <c r="BP531" s="84">
        <f t="shared" si="724"/>
        <v>0</v>
      </c>
      <c r="BQ531" s="65"/>
      <c r="BR531" s="204"/>
      <c r="BS531" s="156">
        <f>IF(B531&lt;&gt;"",_xlfn.XLOOKUP(B531,'Cronog. e Histog.'!B:B,'Cronog. e Histog.'!EL:EL),0)</f>
        <v>0</v>
      </c>
      <c r="BT531" s="109">
        <f>($O531/Dashboard!$D$15)*(1+Dashboard!$D$20)</f>
        <v>14.761105371900824</v>
      </c>
      <c r="BU531" s="84">
        <f t="shared" si="725"/>
        <v>0</v>
      </c>
      <c r="BV531" s="65"/>
      <c r="BW531" s="204"/>
      <c r="BX531" s="156">
        <f>IF(B531&lt;&gt;"",_xlfn.XLOOKUP(B531,'Cronog. e Histog.'!B:B,'Cronog. e Histog.'!EM:EM),0)</f>
        <v>0</v>
      </c>
      <c r="BY531" s="109">
        <f>($O531/Dashboard!$D$15)*(1+Dashboard!$D$21)</f>
        <v>16.869834710743799</v>
      </c>
      <c r="BZ531" s="84">
        <f t="shared" si="726"/>
        <v>0</v>
      </c>
    </row>
    <row r="532" spans="2:78" ht="12" customHeight="1" outlineLevel="1">
      <c r="B532" s="137" t="str">
        <f>'Cronog. e Histog.'!B687</f>
        <v>EST_II - Equipe_01</v>
      </c>
      <c r="C532" s="65"/>
      <c r="D532" s="200">
        <f t="shared" si="692"/>
        <v>0</v>
      </c>
      <c r="E532" s="200">
        <f t="shared" si="693"/>
        <v>0</v>
      </c>
      <c r="F532" s="65"/>
      <c r="G532" s="200">
        <f t="shared" si="694"/>
        <v>0</v>
      </c>
      <c r="H532" s="200">
        <f t="shared" si="695"/>
        <v>0</v>
      </c>
      <c r="I532" s="65"/>
      <c r="J532" s="143" t="str">
        <f>IF('Cronog. e Histog.'!G687&gt;0,'Cronog. e Histog.'!G687,"")</f>
        <v>EST_II</v>
      </c>
      <c r="K532" s="65"/>
      <c r="L532" s="144">
        <f>'Cronog. e Histog.'!BT687</f>
        <v>0</v>
      </c>
      <c r="M532" s="144">
        <f>'Cronog. e Histog.'!BU687</f>
        <v>0</v>
      </c>
      <c r="N532" s="65"/>
      <c r="O532" s="109">
        <f>_xlfn.XLOOKUP(B532,Salários!B:B,Salários!K:K)</f>
        <v>1633</v>
      </c>
      <c r="P532" s="109">
        <f t="shared" si="710"/>
        <v>0</v>
      </c>
      <c r="Q532" s="109">
        <f t="shared" si="711"/>
        <v>0</v>
      </c>
      <c r="R532" s="65"/>
      <c r="S532" s="109">
        <f t="shared" si="712"/>
        <v>1633</v>
      </c>
      <c r="T532" s="201" t="str">
        <f>IF(_xlfn.XLOOKUP(B532,Salários!B:B,Salários!I:I)&gt;0,_xlfn.XLOOKUP(B532,Salários!B:B,Salários!I:I),"")</f>
        <v>PJ</v>
      </c>
      <c r="U532" s="117">
        <f t="shared" si="713"/>
        <v>0</v>
      </c>
      <c r="V532" s="65"/>
      <c r="W532" s="202"/>
      <c r="X532" s="65"/>
      <c r="Y532" s="69"/>
      <c r="Z532" s="65"/>
      <c r="AA532" s="518"/>
      <c r="AB532" s="65"/>
      <c r="AC532" s="81">
        <f t="shared" si="700"/>
        <v>0</v>
      </c>
      <c r="AD532" s="65"/>
      <c r="AE532" s="112"/>
      <c r="AF532" s="203">
        <v>0.3</v>
      </c>
      <c r="AG532" s="109">
        <f t="shared" si="44"/>
        <v>1633</v>
      </c>
      <c r="AH532" s="84">
        <f t="shared" si="701"/>
        <v>0</v>
      </c>
      <c r="AI532" s="65"/>
      <c r="AJ532" s="112"/>
      <c r="AK532" s="122"/>
      <c r="AL532" s="109">
        <v>1212</v>
      </c>
      <c r="AM532" s="84">
        <f t="shared" si="702"/>
        <v>0</v>
      </c>
      <c r="AN532" s="65"/>
      <c r="AO532" s="112"/>
      <c r="AP532" s="204"/>
      <c r="AQ532" s="109">
        <f>IFERROR((O532+AH532+AM532)/Dashboard!$D$15,0)*0.2</f>
        <v>1.6869834710743801</v>
      </c>
      <c r="AR532" s="84">
        <f t="shared" si="703"/>
        <v>0</v>
      </c>
      <c r="AS532" s="65"/>
      <c r="AT532" s="112"/>
      <c r="AU532" s="203">
        <v>0.33</v>
      </c>
      <c r="AV532" s="109">
        <f t="shared" si="704"/>
        <v>1633</v>
      </c>
      <c r="AW532" s="84">
        <f t="shared" si="705"/>
        <v>0</v>
      </c>
      <c r="AX532" s="65"/>
      <c r="AY532" s="112"/>
      <c r="AZ532" s="203">
        <v>0.25</v>
      </c>
      <c r="BA532" s="109">
        <f t="shared" si="50"/>
        <v>1633</v>
      </c>
      <c r="BB532" s="84">
        <f t="shared" si="706"/>
        <v>0</v>
      </c>
      <c r="BC532" s="65"/>
      <c r="BD532" s="112"/>
      <c r="BE532" s="203">
        <v>0.26</v>
      </c>
      <c r="BF532" s="109">
        <f t="shared" si="707"/>
        <v>1633</v>
      </c>
      <c r="BG532" s="84">
        <f t="shared" si="708"/>
        <v>0</v>
      </c>
      <c r="BH532" s="197"/>
      <c r="BI532" s="518"/>
      <c r="BJ532" s="65"/>
      <c r="BK532" s="81">
        <f t="shared" si="709"/>
        <v>0</v>
      </c>
      <c r="BL532" s="65"/>
      <c r="BM532" s="204"/>
      <c r="BN532" s="156">
        <f>IF(B532&lt;&gt;"",_xlfn.XLOOKUP(B532,'Cronog. e Histog.'!B:B,'Cronog. e Histog.'!EK:EK),0)</f>
        <v>0</v>
      </c>
      <c r="BO532" s="109">
        <f>($O532/Dashboard!$D$15)*(1+Dashboard!$D$19)</f>
        <v>12.652376033057848</v>
      </c>
      <c r="BP532" s="84">
        <f t="shared" si="724"/>
        <v>0</v>
      </c>
      <c r="BQ532" s="65"/>
      <c r="BR532" s="204"/>
      <c r="BS532" s="156">
        <f>IF(B532&lt;&gt;"",_xlfn.XLOOKUP(B532,'Cronog. e Histog.'!B:B,'Cronog. e Histog.'!EL:EL),0)</f>
        <v>0</v>
      </c>
      <c r="BT532" s="109">
        <f>($O532/Dashboard!$D$15)*(1+Dashboard!$D$20)</f>
        <v>14.761105371900824</v>
      </c>
      <c r="BU532" s="84">
        <f t="shared" si="725"/>
        <v>0</v>
      </c>
      <c r="BV532" s="65"/>
      <c r="BW532" s="204"/>
      <c r="BX532" s="156">
        <f>IF(B532&lt;&gt;"",_xlfn.XLOOKUP(B532,'Cronog. e Histog.'!B:B,'Cronog. e Histog.'!EM:EM),0)</f>
        <v>0</v>
      </c>
      <c r="BY532" s="109">
        <f>($O532/Dashboard!$D$15)*(1+Dashboard!$D$21)</f>
        <v>16.869834710743799</v>
      </c>
      <c r="BZ532" s="84">
        <f t="shared" si="726"/>
        <v>0</v>
      </c>
    </row>
    <row r="533" spans="2:78" ht="12" customHeight="1" outlineLevel="1">
      <c r="B533" s="137" t="str">
        <f>'Cronog. e Histog.'!B688</f>
        <v>EST_III - Equipe_01</v>
      </c>
      <c r="C533" s="65"/>
      <c r="D533" s="200">
        <f t="shared" si="692"/>
        <v>0</v>
      </c>
      <c r="E533" s="200">
        <f t="shared" si="693"/>
        <v>0</v>
      </c>
      <c r="F533" s="65"/>
      <c r="G533" s="200">
        <f t="shared" si="694"/>
        <v>0</v>
      </c>
      <c r="H533" s="200">
        <f t="shared" si="695"/>
        <v>0</v>
      </c>
      <c r="I533" s="65"/>
      <c r="J533" s="143" t="str">
        <f>IF('Cronog. e Histog.'!G688&gt;0,'Cronog. e Histog.'!G688,"")</f>
        <v>EST_III</v>
      </c>
      <c r="K533" s="65"/>
      <c r="L533" s="144">
        <f>'Cronog. e Histog.'!BT688</f>
        <v>0</v>
      </c>
      <c r="M533" s="144">
        <f>'Cronog. e Histog.'!BU688</f>
        <v>0</v>
      </c>
      <c r="N533" s="65"/>
      <c r="O533" s="109">
        <f>_xlfn.XLOOKUP(B533,Salários!B:B,Salários!K:K)</f>
        <v>1633</v>
      </c>
      <c r="P533" s="109">
        <f t="shared" si="710"/>
        <v>0</v>
      </c>
      <c r="Q533" s="109">
        <f t="shared" si="711"/>
        <v>0</v>
      </c>
      <c r="R533" s="65"/>
      <c r="S533" s="109">
        <f t="shared" si="712"/>
        <v>1633</v>
      </c>
      <c r="T533" s="201" t="str">
        <f>IF(_xlfn.XLOOKUP(B533,Salários!B:B,Salários!I:I)&gt;0,_xlfn.XLOOKUP(B533,Salários!B:B,Salários!I:I),"")</f>
        <v>PJ</v>
      </c>
      <c r="U533" s="117">
        <f t="shared" si="713"/>
        <v>0</v>
      </c>
      <c r="V533" s="65"/>
      <c r="W533" s="202"/>
      <c r="X533" s="65"/>
      <c r="Y533" s="69"/>
      <c r="Z533" s="65"/>
      <c r="AA533" s="518"/>
      <c r="AB533" s="65"/>
      <c r="AC533" s="81">
        <f t="shared" si="700"/>
        <v>0</v>
      </c>
      <c r="AD533" s="65"/>
      <c r="AE533" s="112"/>
      <c r="AF533" s="203">
        <v>0.3</v>
      </c>
      <c r="AG533" s="109">
        <f t="shared" si="44"/>
        <v>1633</v>
      </c>
      <c r="AH533" s="84">
        <f t="shared" si="701"/>
        <v>0</v>
      </c>
      <c r="AI533" s="65"/>
      <c r="AJ533" s="112"/>
      <c r="AK533" s="122"/>
      <c r="AL533" s="109">
        <v>1212</v>
      </c>
      <c r="AM533" s="84">
        <f t="shared" si="702"/>
        <v>0</v>
      </c>
      <c r="AN533" s="65"/>
      <c r="AO533" s="112"/>
      <c r="AP533" s="204"/>
      <c r="AQ533" s="109">
        <f>IFERROR((O533+AH533+AM533)/Dashboard!$D$15,0)*0.2</f>
        <v>1.6869834710743801</v>
      </c>
      <c r="AR533" s="84">
        <f t="shared" si="703"/>
        <v>0</v>
      </c>
      <c r="AS533" s="65"/>
      <c r="AT533" s="112"/>
      <c r="AU533" s="203">
        <v>0.33</v>
      </c>
      <c r="AV533" s="109">
        <f t="shared" si="704"/>
        <v>1633</v>
      </c>
      <c r="AW533" s="84">
        <f t="shared" si="705"/>
        <v>0</v>
      </c>
      <c r="AX533" s="65"/>
      <c r="AY533" s="112"/>
      <c r="AZ533" s="203">
        <v>0.25</v>
      </c>
      <c r="BA533" s="109">
        <f t="shared" si="50"/>
        <v>1633</v>
      </c>
      <c r="BB533" s="84">
        <f t="shared" si="706"/>
        <v>0</v>
      </c>
      <c r="BC533" s="65"/>
      <c r="BD533" s="112"/>
      <c r="BE533" s="203">
        <v>0.26</v>
      </c>
      <c r="BF533" s="109">
        <f t="shared" si="707"/>
        <v>1633</v>
      </c>
      <c r="BG533" s="84">
        <f t="shared" si="708"/>
        <v>0</v>
      </c>
      <c r="BH533" s="197"/>
      <c r="BI533" s="518"/>
      <c r="BJ533" s="65"/>
      <c r="BK533" s="81">
        <f t="shared" si="709"/>
        <v>0</v>
      </c>
      <c r="BL533" s="65"/>
      <c r="BM533" s="204"/>
      <c r="BN533" s="156">
        <f>IF(B533&lt;&gt;"",_xlfn.XLOOKUP(B533,'Cronog. e Histog.'!B:B,'Cronog. e Histog.'!EK:EK),0)</f>
        <v>0</v>
      </c>
      <c r="BO533" s="109">
        <f>($O533/Dashboard!$D$15)*(1+Dashboard!$D$19)</f>
        <v>12.652376033057848</v>
      </c>
      <c r="BP533" s="84">
        <f t="shared" si="724"/>
        <v>0</v>
      </c>
      <c r="BQ533" s="65"/>
      <c r="BR533" s="204"/>
      <c r="BS533" s="156">
        <f>IF(B533&lt;&gt;"",_xlfn.XLOOKUP(B533,'Cronog. e Histog.'!B:B,'Cronog. e Histog.'!EL:EL),0)</f>
        <v>0</v>
      </c>
      <c r="BT533" s="109">
        <f>($O533/Dashboard!$D$15)*(1+Dashboard!$D$20)</f>
        <v>14.761105371900824</v>
      </c>
      <c r="BU533" s="84">
        <f t="shared" si="725"/>
        <v>0</v>
      </c>
      <c r="BV533" s="65"/>
      <c r="BW533" s="204"/>
      <c r="BX533" s="156">
        <f>IF(B533&lt;&gt;"",_xlfn.XLOOKUP(B533,'Cronog. e Histog.'!B:B,'Cronog. e Histog.'!EM:EM),0)</f>
        <v>0</v>
      </c>
      <c r="BY533" s="109">
        <f>($O533/Dashboard!$D$15)*(1+Dashboard!$D$21)</f>
        <v>16.869834710743799</v>
      </c>
      <c r="BZ533" s="84">
        <f t="shared" si="726"/>
        <v>0</v>
      </c>
    </row>
    <row r="534" spans="2:78" ht="12" customHeight="1" outlineLevel="1"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9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5"/>
      <c r="AT534" s="65"/>
      <c r="AU534" s="65"/>
      <c r="AV534" s="65"/>
      <c r="AW534" s="65"/>
      <c r="AX534" s="65"/>
      <c r="AY534" s="65"/>
      <c r="AZ534" s="65"/>
      <c r="BA534" s="65"/>
      <c r="BB534" s="65"/>
      <c r="BC534" s="65"/>
      <c r="BD534" s="65"/>
      <c r="BE534" s="65"/>
      <c r="BF534" s="65"/>
      <c r="BG534" s="65"/>
      <c r="BH534" s="65"/>
      <c r="BI534" s="65"/>
      <c r="BJ534" s="65"/>
      <c r="BK534" s="65"/>
      <c r="BL534" s="65"/>
      <c r="BM534" s="65"/>
      <c r="BN534" s="65"/>
      <c r="BO534" s="65"/>
      <c r="BP534" s="65"/>
      <c r="BQ534" s="65"/>
      <c r="BR534" s="65"/>
      <c r="BS534" s="65"/>
      <c r="BT534" s="65"/>
      <c r="BU534" s="65"/>
      <c r="BV534" s="65"/>
      <c r="BW534" s="65"/>
      <c r="BX534" s="65"/>
      <c r="BY534" s="65"/>
      <c r="BZ534" s="65"/>
    </row>
    <row r="535" spans="2:78" s="196" customFormat="1" ht="24" customHeight="1" collapsed="1">
      <c r="B535" s="189"/>
      <c r="C535" s="189"/>
      <c r="D535" s="189"/>
      <c r="E535" s="189"/>
      <c r="F535" s="189"/>
      <c r="G535" s="189"/>
      <c r="H535" s="189"/>
      <c r="I535" s="189"/>
      <c r="J535" s="185" t="s">
        <v>541</v>
      </c>
      <c r="K535" s="190"/>
      <c r="L535" s="190"/>
      <c r="M535" s="190"/>
      <c r="N535" s="190"/>
      <c r="O535" s="190"/>
      <c r="P535" s="190"/>
      <c r="Q535" s="190"/>
      <c r="R535" s="190"/>
      <c r="S535" s="191"/>
      <c r="T535" s="192">
        <f>IFERROR(U535/$U$2,0)</f>
        <v>0</v>
      </c>
      <c r="U535" s="193">
        <f>SUM(U538:U587)</f>
        <v>0</v>
      </c>
      <c r="V535" s="190"/>
      <c r="W535" s="194"/>
      <c r="X535" s="189"/>
      <c r="Y535" s="69"/>
      <c r="Z535" s="189"/>
      <c r="AA535" s="65"/>
      <c r="AB535" s="189"/>
      <c r="AC535" s="65"/>
      <c r="AD535" s="195"/>
      <c r="AE535" s="513" t="s">
        <v>1170</v>
      </c>
      <c r="AF535" s="514"/>
      <c r="AG535" s="514"/>
      <c r="AH535" s="515"/>
      <c r="AI535" s="195"/>
      <c r="AJ535" s="513" t="s">
        <v>1171</v>
      </c>
      <c r="AK535" s="514"/>
      <c r="AL535" s="514"/>
      <c r="AM535" s="515"/>
      <c r="AN535" s="195"/>
      <c r="AO535" s="513" t="s">
        <v>1172</v>
      </c>
      <c r="AP535" s="514"/>
      <c r="AQ535" s="514"/>
      <c r="AR535" s="515"/>
      <c r="AS535" s="195"/>
      <c r="AT535" s="513" t="s">
        <v>1173</v>
      </c>
      <c r="AU535" s="514"/>
      <c r="AV535" s="514"/>
      <c r="AW535" s="515"/>
      <c r="AX535" s="195"/>
      <c r="AY535" s="513" t="s">
        <v>1174</v>
      </c>
      <c r="AZ535" s="514"/>
      <c r="BA535" s="514"/>
      <c r="BB535" s="515"/>
      <c r="BC535" s="195"/>
      <c r="BD535" s="513" t="s">
        <v>1175</v>
      </c>
      <c r="BE535" s="514"/>
      <c r="BF535" s="514"/>
      <c r="BG535" s="515"/>
      <c r="BH535" s="65"/>
      <c r="BI535" s="65"/>
      <c r="BJ535" s="189"/>
      <c r="BK535" s="65"/>
      <c r="BL535" s="65"/>
      <c r="BM535" s="512" t="s">
        <v>1176</v>
      </c>
      <c r="BN535" s="512"/>
      <c r="BO535" s="512"/>
      <c r="BP535" s="512"/>
      <c r="BQ535" s="65"/>
      <c r="BR535" s="512" t="s">
        <v>1177</v>
      </c>
      <c r="BS535" s="512"/>
      <c r="BT535" s="512"/>
      <c r="BU535" s="512"/>
      <c r="BV535" s="65"/>
      <c r="BW535" s="512" t="s">
        <v>1178</v>
      </c>
      <c r="BX535" s="512"/>
      <c r="BY535" s="512"/>
      <c r="BZ535" s="512"/>
    </row>
    <row r="536" spans="2:78" ht="12" hidden="1" customHeight="1" outlineLevel="1"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9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5"/>
      <c r="AT536" s="65"/>
      <c r="AU536" s="65"/>
      <c r="AV536" s="65"/>
      <c r="AW536" s="65"/>
      <c r="AX536" s="65"/>
      <c r="AY536" s="65"/>
      <c r="AZ536" s="65"/>
      <c r="BA536" s="65"/>
      <c r="BB536" s="65"/>
      <c r="BC536" s="65"/>
      <c r="BD536" s="65"/>
      <c r="BE536" s="65"/>
      <c r="BF536" s="65"/>
      <c r="BG536" s="65"/>
      <c r="BH536" s="197"/>
      <c r="BI536" s="65"/>
      <c r="BJ536" s="65"/>
      <c r="BK536" s="65"/>
      <c r="BL536" s="65"/>
      <c r="BM536" s="65"/>
      <c r="BN536" s="65"/>
      <c r="BO536" s="65"/>
      <c r="BP536" s="65"/>
      <c r="BQ536" s="65"/>
      <c r="BR536" s="65"/>
      <c r="BS536" s="65"/>
      <c r="BT536" s="65"/>
      <c r="BU536" s="65"/>
      <c r="BV536" s="65"/>
      <c r="BW536" s="65"/>
      <c r="BX536" s="65"/>
      <c r="BY536" s="65"/>
      <c r="BZ536" s="65"/>
    </row>
    <row r="537" spans="2:78" ht="24" hidden="1" customHeight="1" outlineLevel="1">
      <c r="B537" s="157" t="s">
        <v>395</v>
      </c>
      <c r="C537" s="65"/>
      <c r="D537" s="198" t="s">
        <v>250</v>
      </c>
      <c r="E537" s="198"/>
      <c r="F537" s="65"/>
      <c r="G537" s="198" t="s">
        <v>1130</v>
      </c>
      <c r="H537" s="198"/>
      <c r="I537" s="65"/>
      <c r="J537" s="199" t="s">
        <v>462</v>
      </c>
      <c r="K537" s="65"/>
      <c r="L537" s="142" t="s">
        <v>1179</v>
      </c>
      <c r="M537" s="142" t="s">
        <v>850</v>
      </c>
      <c r="N537" s="65"/>
      <c r="O537" s="142" t="s">
        <v>1180</v>
      </c>
      <c r="P537" s="142" t="s">
        <v>1181</v>
      </c>
      <c r="Q537" s="142" t="s">
        <v>375</v>
      </c>
      <c r="R537" s="189"/>
      <c r="S537" s="142" t="s">
        <v>1120</v>
      </c>
      <c r="T537" s="65"/>
      <c r="U537" s="142" t="s">
        <v>106</v>
      </c>
      <c r="V537" s="65"/>
      <c r="W537" s="142" t="s">
        <v>1111</v>
      </c>
      <c r="X537" s="65"/>
      <c r="Y537" s="69"/>
      <c r="Z537" s="65"/>
      <c r="AA537" s="65"/>
      <c r="AB537" s="65"/>
      <c r="AC537" s="142" t="s">
        <v>1182</v>
      </c>
      <c r="AD537" s="65"/>
      <c r="AE537" s="142" t="s">
        <v>1183</v>
      </c>
      <c r="AF537" s="142" t="s">
        <v>1184</v>
      </c>
      <c r="AG537" s="142" t="s">
        <v>1185</v>
      </c>
      <c r="AH537" s="142" t="s">
        <v>106</v>
      </c>
      <c r="AI537" s="65"/>
      <c r="AJ537" s="142" t="s">
        <v>1183</v>
      </c>
      <c r="AK537" s="142" t="s">
        <v>1184</v>
      </c>
      <c r="AL537" s="142" t="s">
        <v>1185</v>
      </c>
      <c r="AM537" s="142" t="s">
        <v>106</v>
      </c>
      <c r="AN537" s="65"/>
      <c r="AO537" s="142" t="s">
        <v>1183</v>
      </c>
      <c r="AP537" s="142" t="s">
        <v>1186</v>
      </c>
      <c r="AQ537" s="142" t="s">
        <v>1185</v>
      </c>
      <c r="AR537" s="142" t="s">
        <v>106</v>
      </c>
      <c r="AS537" s="65"/>
      <c r="AT537" s="142" t="s">
        <v>1183</v>
      </c>
      <c r="AU537" s="142" t="s">
        <v>1184</v>
      </c>
      <c r="AV537" s="142" t="s">
        <v>1185</v>
      </c>
      <c r="AW537" s="142" t="s">
        <v>106</v>
      </c>
      <c r="AX537" s="65"/>
      <c r="AY537" s="142" t="s">
        <v>1183</v>
      </c>
      <c r="AZ537" s="142" t="s">
        <v>1184</v>
      </c>
      <c r="BA537" s="142" t="s">
        <v>1185</v>
      </c>
      <c r="BB537" s="142" t="s">
        <v>106</v>
      </c>
      <c r="BC537" s="65"/>
      <c r="BD537" s="142" t="s">
        <v>1183</v>
      </c>
      <c r="BE537" s="142" t="s">
        <v>1184</v>
      </c>
      <c r="BF537" s="142" t="s">
        <v>1185</v>
      </c>
      <c r="BG537" s="142" t="s">
        <v>106</v>
      </c>
      <c r="BH537" s="197"/>
      <c r="BI537" s="65"/>
      <c r="BJ537" s="65"/>
      <c r="BK537" s="142" t="s">
        <v>1187</v>
      </c>
      <c r="BL537" s="65"/>
      <c r="BM537" s="65"/>
      <c r="BN537" s="142" t="s">
        <v>1116</v>
      </c>
      <c r="BO537" s="142" t="s">
        <v>1188</v>
      </c>
      <c r="BP537" s="142" t="s">
        <v>1189</v>
      </c>
      <c r="BQ537" s="65"/>
      <c r="BR537" s="65"/>
      <c r="BS537" s="142" t="s">
        <v>1190</v>
      </c>
      <c r="BT537" s="142" t="s">
        <v>1191</v>
      </c>
      <c r="BU537" s="142" t="s">
        <v>1192</v>
      </c>
      <c r="BV537" s="65"/>
      <c r="BW537" s="65"/>
      <c r="BX537" s="142" t="s">
        <v>1193</v>
      </c>
      <c r="BY537" s="142" t="s">
        <v>1194</v>
      </c>
      <c r="BZ537" s="142" t="s">
        <v>1195</v>
      </c>
    </row>
    <row r="538" spans="2:78" ht="12" hidden="1" customHeight="1" outlineLevel="1">
      <c r="B538" s="137" t="str">
        <f>'Cronog. e Histog.'!B698</f>
        <v/>
      </c>
      <c r="C538" s="65"/>
      <c r="D538" s="200">
        <f>IF(T538="mensalista",L538,0)</f>
        <v>0</v>
      </c>
      <c r="E538" s="200">
        <f>IF(T538="mensalista",M538,0)</f>
        <v>0</v>
      </c>
      <c r="F538" s="65"/>
      <c r="G538" s="200">
        <f>IF(T538="mensalista",L538,0)</f>
        <v>0</v>
      </c>
      <c r="H538" s="200">
        <f>IF(T538="mensalista",M538,0)</f>
        <v>0</v>
      </c>
      <c r="I538" s="65"/>
      <c r="J538" s="143" t="str">
        <f>IF('Cronog. e Histog.'!F698&gt;0,'Cronog. e Histog.'!F698,"")</f>
        <v/>
      </c>
      <c r="K538" s="65"/>
      <c r="L538" s="144">
        <f>'Cronog. e Histog.'!BT698</f>
        <v>0</v>
      </c>
      <c r="M538" s="144">
        <f>'Cronog. e Histog.'!BU698</f>
        <v>0</v>
      </c>
      <c r="N538" s="65"/>
      <c r="O538" s="109">
        <f>_xlfn.XLOOKUP(B538,Salários!B:B,Salários!K:K)</f>
        <v>0</v>
      </c>
      <c r="P538" s="109">
        <f t="shared" ref="P538" si="727">AC538</f>
        <v>0</v>
      </c>
      <c r="Q538" s="109">
        <f t="shared" ref="Q538" si="728">BK538</f>
        <v>0</v>
      </c>
      <c r="R538" s="65"/>
      <c r="S538" s="109">
        <f t="shared" ref="S538" si="729">SUM(O538:Q538)</f>
        <v>0</v>
      </c>
      <c r="T538" s="201" t="str">
        <f>IF(_xlfn.XLOOKUP(B538,Salários!B:B,Salários!I:I)&gt;0,_xlfn.XLOOKUP(B538,Salários!B:B,Salários!I:I),"")</f>
        <v/>
      </c>
      <c r="U538" s="117">
        <f t="shared" ref="U538" si="730">L538*M538*S538</f>
        <v>0</v>
      </c>
      <c r="V538" s="65"/>
      <c r="W538" s="202"/>
      <c r="X538" s="65"/>
      <c r="Y538" s="69"/>
      <c r="Z538" s="65"/>
      <c r="AA538" s="518" t="s">
        <v>1181</v>
      </c>
      <c r="AB538" s="65"/>
      <c r="AC538" s="81">
        <f t="shared" ref="AC538" si="731">AH538+AM538+AR538+AW538+BB538+BG538</f>
        <v>0</v>
      </c>
      <c r="AD538" s="65"/>
      <c r="AE538" s="112"/>
      <c r="AF538" s="203">
        <v>0.3</v>
      </c>
      <c r="AG538" s="109">
        <f t="shared" ref="AG538:AG587" si="732">$O538</f>
        <v>0</v>
      </c>
      <c r="AH538" s="84">
        <f t="shared" ref="AH538" si="733">IF(AE538="sim",AF538*AG538,0)</f>
        <v>0</v>
      </c>
      <c r="AI538" s="65"/>
      <c r="AJ538" s="112"/>
      <c r="AK538" s="122"/>
      <c r="AL538" s="109">
        <v>1212</v>
      </c>
      <c r="AM538" s="84">
        <f t="shared" ref="AM538" si="734">IF(AJ538="sim",AK538*AL538,0)</f>
        <v>0</v>
      </c>
      <c r="AN538" s="65"/>
      <c r="AO538" s="112"/>
      <c r="AP538" s="204"/>
      <c r="AQ538" s="109">
        <f>IFERROR((O538+AH538+AM538)/Dashboard!$D$15,0)*0.2</f>
        <v>0</v>
      </c>
      <c r="AR538" s="84">
        <f t="shared" ref="AR538" si="735">IF(AO538="sim",AP538*AQ538,0)</f>
        <v>0</v>
      </c>
      <c r="AS538" s="65"/>
      <c r="AT538" s="112"/>
      <c r="AU538" s="203">
        <v>0.33</v>
      </c>
      <c r="AV538" s="109">
        <f t="shared" ref="AV538:AV587" si="736">$O538</f>
        <v>0</v>
      </c>
      <c r="AW538" s="84">
        <f t="shared" ref="AW538" si="737">IF(AT538="sim",AU538*AV538,0)</f>
        <v>0</v>
      </c>
      <c r="AX538" s="65"/>
      <c r="AY538" s="112"/>
      <c r="AZ538" s="203">
        <v>0.25</v>
      </c>
      <c r="BA538" s="109">
        <f t="shared" ref="BA538:BA587" si="738">$O538</f>
        <v>0</v>
      </c>
      <c r="BB538" s="84">
        <f t="shared" ref="BB538" si="739">IF(AY538="sim",AZ538*BA538,0)</f>
        <v>0</v>
      </c>
      <c r="BC538" s="65"/>
      <c r="BD538" s="112"/>
      <c r="BE538" s="203">
        <v>0.26</v>
      </c>
      <c r="BF538" s="109">
        <f t="shared" ref="BF538:BF587" si="740">$O538</f>
        <v>0</v>
      </c>
      <c r="BG538" s="84">
        <f t="shared" ref="BG538" si="741">IF(BD538="sim",BE538*BF538,0)</f>
        <v>0</v>
      </c>
      <c r="BH538" s="197"/>
      <c r="BI538" s="518" t="s">
        <v>375</v>
      </c>
      <c r="BJ538" s="65"/>
      <c r="BK538" s="81">
        <f t="shared" ref="BK538" si="742">BP538+BU538+BZ538</f>
        <v>0</v>
      </c>
      <c r="BL538" s="65"/>
      <c r="BM538" s="65"/>
      <c r="BN538" s="204"/>
      <c r="BO538" s="109">
        <f>($O538/Dashboard!$D$15)*(1+Dashboard!$D$19)</f>
        <v>0</v>
      </c>
      <c r="BP538" s="84">
        <f t="shared" ref="BP538:BP587" si="743">BN538*BO538</f>
        <v>0</v>
      </c>
      <c r="BQ538" s="65"/>
      <c r="BR538" s="65"/>
      <c r="BS538" s="204"/>
      <c r="BT538" s="109">
        <f>($O538/Dashboard!$D$15)*(1+Dashboard!$D$20)</f>
        <v>0</v>
      </c>
      <c r="BU538" s="84">
        <f t="shared" ref="BU538:BU587" si="744">BS538*BT538</f>
        <v>0</v>
      </c>
      <c r="BV538" s="65"/>
      <c r="BW538" s="65"/>
      <c r="BX538" s="204"/>
      <c r="BY538" s="109">
        <f>($O538/Dashboard!$D$15)*(1+Dashboard!$D$21)</f>
        <v>0</v>
      </c>
      <c r="BZ538" s="84">
        <f t="shared" ref="BZ538:BZ587" si="745">BX538*BY538</f>
        <v>0</v>
      </c>
    </row>
    <row r="539" spans="2:78" ht="12" hidden="1" customHeight="1" outlineLevel="1">
      <c r="B539" s="137" t="str">
        <f>'Cronog. e Histog.'!B699</f>
        <v/>
      </c>
      <c r="C539" s="65"/>
      <c r="D539" s="200">
        <f t="shared" ref="D539:D587" si="746">IF(T539="mensalista",L539,0)</f>
        <v>0</v>
      </c>
      <c r="E539" s="200">
        <f t="shared" ref="E539:E587" si="747">IF(T539="mensalista",M539,0)</f>
        <v>0</v>
      </c>
      <c r="F539" s="65"/>
      <c r="G539" s="200">
        <f t="shared" ref="G539:G587" si="748">IF(T539="mensalista",L539,0)</f>
        <v>0</v>
      </c>
      <c r="H539" s="200">
        <f t="shared" ref="H539:H587" si="749">IF(T539="mensalista",M539,0)</f>
        <v>0</v>
      </c>
      <c r="I539" s="65"/>
      <c r="J539" s="143" t="str">
        <f>IF('Cronog. e Histog.'!F699&gt;0,'Cronog. e Histog.'!F699,"")</f>
        <v/>
      </c>
      <c r="K539" s="65"/>
      <c r="L539" s="144">
        <f>'Cronog. e Histog.'!BT699</f>
        <v>0</v>
      </c>
      <c r="M539" s="144">
        <f>'Cronog. e Histog.'!BU699</f>
        <v>0</v>
      </c>
      <c r="N539" s="65"/>
      <c r="O539" s="109">
        <f>_xlfn.XLOOKUP(B539,Salários!B:B,Salários!K:K)</f>
        <v>0</v>
      </c>
      <c r="P539" s="109">
        <f t="shared" ref="P539:P587" si="750">AC539</f>
        <v>0</v>
      </c>
      <c r="Q539" s="109">
        <f t="shared" ref="Q539:Q587" si="751">BK539</f>
        <v>0</v>
      </c>
      <c r="R539" s="65"/>
      <c r="S539" s="109">
        <f t="shared" ref="S539:S587" si="752">SUM(O539:Q539)</f>
        <v>0</v>
      </c>
      <c r="T539" s="201" t="str">
        <f>IF(_xlfn.XLOOKUP(B539,Salários!B:B,Salários!I:I)&gt;0,_xlfn.XLOOKUP(B539,Salários!B:B,Salários!I:I),"")</f>
        <v/>
      </c>
      <c r="U539" s="117">
        <f t="shared" ref="U539:U587" si="753">L539*M539*S539</f>
        <v>0</v>
      </c>
      <c r="V539" s="65"/>
      <c r="W539" s="202"/>
      <c r="X539" s="65"/>
      <c r="Y539" s="69"/>
      <c r="Z539" s="65"/>
      <c r="AA539" s="518"/>
      <c r="AB539" s="65"/>
      <c r="AC539" s="81">
        <f t="shared" ref="AC539:AC587" si="754">AH539+AM539+AR539+AW539+BB539+BG539</f>
        <v>0</v>
      </c>
      <c r="AD539" s="65"/>
      <c r="AE539" s="112"/>
      <c r="AF539" s="203">
        <v>0.3</v>
      </c>
      <c r="AG539" s="109">
        <f t="shared" si="732"/>
        <v>0</v>
      </c>
      <c r="AH539" s="84">
        <f t="shared" ref="AH539:AH587" si="755">IF(AE539="sim",AF539*AG539,0)</f>
        <v>0</v>
      </c>
      <c r="AI539" s="65"/>
      <c r="AJ539" s="112"/>
      <c r="AK539" s="122"/>
      <c r="AL539" s="109">
        <v>1212</v>
      </c>
      <c r="AM539" s="84">
        <f t="shared" ref="AM539:AM587" si="756">IF(AJ539="sim",AK539*AL539,0)</f>
        <v>0</v>
      </c>
      <c r="AN539" s="65"/>
      <c r="AO539" s="112"/>
      <c r="AP539" s="204"/>
      <c r="AQ539" s="109">
        <f>IFERROR((O539+AH539+AM539)/Dashboard!$D$15,0)*0.2</f>
        <v>0</v>
      </c>
      <c r="AR539" s="84">
        <f t="shared" ref="AR539:AR587" si="757">IF(AO539="sim",AP539*AQ539,0)</f>
        <v>0</v>
      </c>
      <c r="AS539" s="65"/>
      <c r="AT539" s="112"/>
      <c r="AU539" s="203">
        <v>0.33</v>
      </c>
      <c r="AV539" s="109">
        <f t="shared" si="736"/>
        <v>0</v>
      </c>
      <c r="AW539" s="84">
        <f t="shared" ref="AW539:AW587" si="758">IF(AT539="sim",AU539*AV539,0)</f>
        <v>0</v>
      </c>
      <c r="AX539" s="65"/>
      <c r="AY539" s="112"/>
      <c r="AZ539" s="203">
        <v>0.25</v>
      </c>
      <c r="BA539" s="109">
        <f t="shared" si="738"/>
        <v>0</v>
      </c>
      <c r="BB539" s="84">
        <f t="shared" ref="BB539:BB587" si="759">IF(AY539="sim",AZ539*BA539,0)</f>
        <v>0</v>
      </c>
      <c r="BC539" s="65"/>
      <c r="BD539" s="112"/>
      <c r="BE539" s="203">
        <v>0.26</v>
      </c>
      <c r="BF539" s="109">
        <f t="shared" si="740"/>
        <v>0</v>
      </c>
      <c r="BG539" s="84">
        <f t="shared" ref="BG539:BG587" si="760">IF(BD539="sim",BE539*BF539,0)</f>
        <v>0</v>
      </c>
      <c r="BH539" s="197"/>
      <c r="BI539" s="518"/>
      <c r="BJ539" s="65"/>
      <c r="BK539" s="81">
        <f t="shared" ref="BK539:BK587" si="761">BP539+BU539+BZ539</f>
        <v>0</v>
      </c>
      <c r="BL539" s="65"/>
      <c r="BM539" s="65"/>
      <c r="BN539" s="204"/>
      <c r="BO539" s="109">
        <f>($O539/Dashboard!$D$15)*(1+Dashboard!$D$19)</f>
        <v>0</v>
      </c>
      <c r="BP539" s="84">
        <f t="shared" si="743"/>
        <v>0</v>
      </c>
      <c r="BQ539" s="65"/>
      <c r="BR539" s="65"/>
      <c r="BS539" s="204"/>
      <c r="BT539" s="109">
        <f>($O539/Dashboard!$D$15)*(1+Dashboard!$D$20)</f>
        <v>0</v>
      </c>
      <c r="BU539" s="84">
        <f t="shared" si="744"/>
        <v>0</v>
      </c>
      <c r="BV539" s="65"/>
      <c r="BW539" s="65"/>
      <c r="BX539" s="204"/>
      <c r="BY539" s="109">
        <f>($O539/Dashboard!$D$15)*(1+Dashboard!$D$21)</f>
        <v>0</v>
      </c>
      <c r="BZ539" s="84">
        <f t="shared" si="745"/>
        <v>0</v>
      </c>
    </row>
    <row r="540" spans="2:78" ht="12" hidden="1" customHeight="1" outlineLevel="1">
      <c r="B540" s="137" t="str">
        <f>'Cronog. e Histog.'!B700</f>
        <v/>
      </c>
      <c r="C540" s="65"/>
      <c r="D540" s="200">
        <f t="shared" si="746"/>
        <v>0</v>
      </c>
      <c r="E540" s="200">
        <f t="shared" si="747"/>
        <v>0</v>
      </c>
      <c r="F540" s="65"/>
      <c r="G540" s="200">
        <f t="shared" si="748"/>
        <v>0</v>
      </c>
      <c r="H540" s="200">
        <f t="shared" si="749"/>
        <v>0</v>
      </c>
      <c r="I540" s="65"/>
      <c r="J540" s="143" t="str">
        <f>IF('Cronog. e Histog.'!F700&gt;0,'Cronog. e Histog.'!F700,"")</f>
        <v/>
      </c>
      <c r="K540" s="65"/>
      <c r="L540" s="144">
        <f>'Cronog. e Histog.'!BT700</f>
        <v>0</v>
      </c>
      <c r="M540" s="144">
        <f>'Cronog. e Histog.'!BU700</f>
        <v>0</v>
      </c>
      <c r="N540" s="65"/>
      <c r="O540" s="109">
        <f>_xlfn.XLOOKUP(B540,Salários!B:B,Salários!K:K)</f>
        <v>0</v>
      </c>
      <c r="P540" s="109">
        <f t="shared" si="750"/>
        <v>0</v>
      </c>
      <c r="Q540" s="109">
        <f t="shared" si="751"/>
        <v>0</v>
      </c>
      <c r="R540" s="65"/>
      <c r="S540" s="109">
        <f t="shared" si="752"/>
        <v>0</v>
      </c>
      <c r="T540" s="201" t="str">
        <f>IF(_xlfn.XLOOKUP(B540,Salários!B:B,Salários!I:I)&gt;0,_xlfn.XLOOKUP(B540,Salários!B:B,Salários!I:I),"")</f>
        <v/>
      </c>
      <c r="U540" s="117">
        <f t="shared" si="753"/>
        <v>0</v>
      </c>
      <c r="V540" s="65"/>
      <c r="W540" s="202"/>
      <c r="X540" s="65"/>
      <c r="Y540" s="69"/>
      <c r="Z540" s="65"/>
      <c r="AA540" s="518"/>
      <c r="AB540" s="65"/>
      <c r="AC540" s="81">
        <f t="shared" si="754"/>
        <v>0</v>
      </c>
      <c r="AD540" s="65"/>
      <c r="AE540" s="112"/>
      <c r="AF540" s="203">
        <v>0.3</v>
      </c>
      <c r="AG540" s="109">
        <f t="shared" si="732"/>
        <v>0</v>
      </c>
      <c r="AH540" s="84">
        <f t="shared" si="755"/>
        <v>0</v>
      </c>
      <c r="AI540" s="65"/>
      <c r="AJ540" s="112"/>
      <c r="AK540" s="122"/>
      <c r="AL540" s="109">
        <v>1212</v>
      </c>
      <c r="AM540" s="84">
        <f t="shared" si="756"/>
        <v>0</v>
      </c>
      <c r="AN540" s="65"/>
      <c r="AO540" s="112"/>
      <c r="AP540" s="204"/>
      <c r="AQ540" s="109">
        <f>IFERROR((O540+AH540+AM540)/Dashboard!$D$15,0)*0.2</f>
        <v>0</v>
      </c>
      <c r="AR540" s="84">
        <f t="shared" si="757"/>
        <v>0</v>
      </c>
      <c r="AS540" s="65"/>
      <c r="AT540" s="112"/>
      <c r="AU540" s="203">
        <v>0.33</v>
      </c>
      <c r="AV540" s="109">
        <f t="shared" si="736"/>
        <v>0</v>
      </c>
      <c r="AW540" s="84">
        <f t="shared" si="758"/>
        <v>0</v>
      </c>
      <c r="AX540" s="65"/>
      <c r="AY540" s="112"/>
      <c r="AZ540" s="203">
        <v>0.25</v>
      </c>
      <c r="BA540" s="109">
        <f t="shared" si="738"/>
        <v>0</v>
      </c>
      <c r="BB540" s="84">
        <f t="shared" si="759"/>
        <v>0</v>
      </c>
      <c r="BC540" s="65"/>
      <c r="BD540" s="112"/>
      <c r="BE540" s="203">
        <v>0.26</v>
      </c>
      <c r="BF540" s="109">
        <f t="shared" si="740"/>
        <v>0</v>
      </c>
      <c r="BG540" s="84">
        <f t="shared" si="760"/>
        <v>0</v>
      </c>
      <c r="BH540" s="197"/>
      <c r="BI540" s="518"/>
      <c r="BJ540" s="65"/>
      <c r="BK540" s="81">
        <f t="shared" si="761"/>
        <v>0</v>
      </c>
      <c r="BL540" s="65"/>
      <c r="BM540" s="65"/>
      <c r="BN540" s="204"/>
      <c r="BO540" s="109">
        <f>($O540/Dashboard!$D$15)*(1+Dashboard!$D$19)</f>
        <v>0</v>
      </c>
      <c r="BP540" s="84">
        <f t="shared" si="743"/>
        <v>0</v>
      </c>
      <c r="BQ540" s="65"/>
      <c r="BR540" s="65"/>
      <c r="BS540" s="204"/>
      <c r="BT540" s="109">
        <f>($O540/Dashboard!$D$15)*(1+Dashboard!$D$20)</f>
        <v>0</v>
      </c>
      <c r="BU540" s="84">
        <f t="shared" si="744"/>
        <v>0</v>
      </c>
      <c r="BV540" s="65"/>
      <c r="BW540" s="65"/>
      <c r="BX540" s="204"/>
      <c r="BY540" s="109">
        <f>($O540/Dashboard!$D$15)*(1+Dashboard!$D$21)</f>
        <v>0</v>
      </c>
      <c r="BZ540" s="84">
        <f t="shared" si="745"/>
        <v>0</v>
      </c>
    </row>
    <row r="541" spans="2:78" ht="12" hidden="1" customHeight="1" outlineLevel="1">
      <c r="B541" s="137" t="str">
        <f>'Cronog. e Histog.'!B701</f>
        <v/>
      </c>
      <c r="C541" s="65"/>
      <c r="D541" s="200">
        <f t="shared" si="746"/>
        <v>0</v>
      </c>
      <c r="E541" s="200">
        <f t="shared" si="747"/>
        <v>0</v>
      </c>
      <c r="F541" s="65"/>
      <c r="G541" s="200">
        <f t="shared" si="748"/>
        <v>0</v>
      </c>
      <c r="H541" s="200">
        <f t="shared" si="749"/>
        <v>0</v>
      </c>
      <c r="I541" s="65"/>
      <c r="J541" s="143" t="str">
        <f>IF('Cronog. e Histog.'!F701&gt;0,'Cronog. e Histog.'!F701,"")</f>
        <v/>
      </c>
      <c r="K541" s="65"/>
      <c r="L541" s="144">
        <f>'Cronog. e Histog.'!BT701</f>
        <v>0</v>
      </c>
      <c r="M541" s="144">
        <f>'Cronog. e Histog.'!BU701</f>
        <v>0</v>
      </c>
      <c r="N541" s="65"/>
      <c r="O541" s="109">
        <f>_xlfn.XLOOKUP(B541,Salários!B:B,Salários!K:K)</f>
        <v>0</v>
      </c>
      <c r="P541" s="109">
        <f t="shared" si="750"/>
        <v>0</v>
      </c>
      <c r="Q541" s="109">
        <f t="shared" si="751"/>
        <v>0</v>
      </c>
      <c r="R541" s="65"/>
      <c r="S541" s="109">
        <f t="shared" si="752"/>
        <v>0</v>
      </c>
      <c r="T541" s="201" t="str">
        <f>IF(_xlfn.XLOOKUP(B541,Salários!B:B,Salários!I:I)&gt;0,_xlfn.XLOOKUP(B541,Salários!B:B,Salários!I:I),"")</f>
        <v/>
      </c>
      <c r="U541" s="117">
        <f t="shared" si="753"/>
        <v>0</v>
      </c>
      <c r="V541" s="65"/>
      <c r="W541" s="202"/>
      <c r="X541" s="65"/>
      <c r="Y541" s="69"/>
      <c r="Z541" s="65"/>
      <c r="AA541" s="518"/>
      <c r="AB541" s="65"/>
      <c r="AC541" s="81">
        <f t="shared" si="754"/>
        <v>0</v>
      </c>
      <c r="AD541" s="65"/>
      <c r="AE541" s="112"/>
      <c r="AF541" s="203">
        <v>0.3</v>
      </c>
      <c r="AG541" s="109">
        <f t="shared" si="732"/>
        <v>0</v>
      </c>
      <c r="AH541" s="84">
        <f t="shared" si="755"/>
        <v>0</v>
      </c>
      <c r="AI541" s="65"/>
      <c r="AJ541" s="112"/>
      <c r="AK541" s="122"/>
      <c r="AL541" s="109">
        <v>1212</v>
      </c>
      <c r="AM541" s="84">
        <f t="shared" si="756"/>
        <v>0</v>
      </c>
      <c r="AN541" s="65"/>
      <c r="AO541" s="112"/>
      <c r="AP541" s="204"/>
      <c r="AQ541" s="109">
        <f>IFERROR((O541+AH541+AM541)/Dashboard!$D$15,0)*0.2</f>
        <v>0</v>
      </c>
      <c r="AR541" s="84">
        <f t="shared" si="757"/>
        <v>0</v>
      </c>
      <c r="AS541" s="65"/>
      <c r="AT541" s="112"/>
      <c r="AU541" s="203">
        <v>0.33</v>
      </c>
      <c r="AV541" s="109">
        <f t="shared" si="736"/>
        <v>0</v>
      </c>
      <c r="AW541" s="84">
        <f t="shared" si="758"/>
        <v>0</v>
      </c>
      <c r="AX541" s="65"/>
      <c r="AY541" s="112"/>
      <c r="AZ541" s="203">
        <v>0.25</v>
      </c>
      <c r="BA541" s="109">
        <f t="shared" si="738"/>
        <v>0</v>
      </c>
      <c r="BB541" s="84">
        <f t="shared" si="759"/>
        <v>0</v>
      </c>
      <c r="BC541" s="65"/>
      <c r="BD541" s="112"/>
      <c r="BE541" s="203">
        <v>0.26</v>
      </c>
      <c r="BF541" s="109">
        <f t="shared" si="740"/>
        <v>0</v>
      </c>
      <c r="BG541" s="84">
        <f t="shared" si="760"/>
        <v>0</v>
      </c>
      <c r="BH541" s="197"/>
      <c r="BI541" s="518"/>
      <c r="BJ541" s="65"/>
      <c r="BK541" s="81">
        <f t="shared" si="761"/>
        <v>0</v>
      </c>
      <c r="BL541" s="65"/>
      <c r="BM541" s="65"/>
      <c r="BN541" s="204"/>
      <c r="BO541" s="109">
        <f>($O541/Dashboard!$D$15)*(1+Dashboard!$D$19)</f>
        <v>0</v>
      </c>
      <c r="BP541" s="84">
        <f t="shared" si="743"/>
        <v>0</v>
      </c>
      <c r="BQ541" s="65"/>
      <c r="BR541" s="65"/>
      <c r="BS541" s="204"/>
      <c r="BT541" s="109">
        <f>($O541/Dashboard!$D$15)*(1+Dashboard!$D$20)</f>
        <v>0</v>
      </c>
      <c r="BU541" s="84">
        <f t="shared" si="744"/>
        <v>0</v>
      </c>
      <c r="BV541" s="65"/>
      <c r="BW541" s="65"/>
      <c r="BX541" s="204"/>
      <c r="BY541" s="109">
        <f>($O541/Dashboard!$D$15)*(1+Dashboard!$D$21)</f>
        <v>0</v>
      </c>
      <c r="BZ541" s="84">
        <f t="shared" si="745"/>
        <v>0</v>
      </c>
    </row>
    <row r="542" spans="2:78" ht="12" hidden="1" customHeight="1" outlineLevel="1">
      <c r="B542" s="137" t="str">
        <f>'Cronog. e Histog.'!B702</f>
        <v/>
      </c>
      <c r="C542" s="65"/>
      <c r="D542" s="200">
        <f t="shared" si="746"/>
        <v>0</v>
      </c>
      <c r="E542" s="200">
        <f t="shared" si="747"/>
        <v>0</v>
      </c>
      <c r="F542" s="65"/>
      <c r="G542" s="200">
        <f t="shared" si="748"/>
        <v>0</v>
      </c>
      <c r="H542" s="200">
        <f t="shared" si="749"/>
        <v>0</v>
      </c>
      <c r="I542" s="65"/>
      <c r="J542" s="143" t="str">
        <f>IF('Cronog. e Histog.'!F702&gt;0,'Cronog. e Histog.'!F702,"")</f>
        <v/>
      </c>
      <c r="K542" s="65"/>
      <c r="L542" s="144">
        <f>'Cronog. e Histog.'!BT702</f>
        <v>0</v>
      </c>
      <c r="M542" s="144">
        <f>'Cronog. e Histog.'!BU702</f>
        <v>0</v>
      </c>
      <c r="N542" s="65"/>
      <c r="O542" s="109">
        <f>_xlfn.XLOOKUP(B542,Salários!B:B,Salários!K:K)</f>
        <v>0</v>
      </c>
      <c r="P542" s="109">
        <f t="shared" si="750"/>
        <v>0</v>
      </c>
      <c r="Q542" s="109">
        <f t="shared" si="751"/>
        <v>0</v>
      </c>
      <c r="R542" s="65"/>
      <c r="S542" s="109">
        <f t="shared" si="752"/>
        <v>0</v>
      </c>
      <c r="T542" s="201" t="str">
        <f>IF(_xlfn.XLOOKUP(B542,Salários!B:B,Salários!I:I)&gt;0,_xlfn.XLOOKUP(B542,Salários!B:B,Salários!I:I),"")</f>
        <v/>
      </c>
      <c r="U542" s="117">
        <f t="shared" si="753"/>
        <v>0</v>
      </c>
      <c r="V542" s="65"/>
      <c r="W542" s="202"/>
      <c r="X542" s="65"/>
      <c r="Y542" s="69"/>
      <c r="Z542" s="65"/>
      <c r="AA542" s="518"/>
      <c r="AB542" s="65"/>
      <c r="AC542" s="81">
        <f t="shared" si="754"/>
        <v>0</v>
      </c>
      <c r="AD542" s="65"/>
      <c r="AE542" s="112"/>
      <c r="AF542" s="203">
        <v>0.3</v>
      </c>
      <c r="AG542" s="109">
        <f t="shared" si="732"/>
        <v>0</v>
      </c>
      <c r="AH542" s="84">
        <f t="shared" si="755"/>
        <v>0</v>
      </c>
      <c r="AI542" s="65"/>
      <c r="AJ542" s="112"/>
      <c r="AK542" s="122"/>
      <c r="AL542" s="109">
        <v>1212</v>
      </c>
      <c r="AM542" s="84">
        <f t="shared" si="756"/>
        <v>0</v>
      </c>
      <c r="AN542" s="65"/>
      <c r="AO542" s="112"/>
      <c r="AP542" s="204"/>
      <c r="AQ542" s="109">
        <f>IFERROR((O542+AH542+AM542)/Dashboard!$D$15,0)*0.2</f>
        <v>0</v>
      </c>
      <c r="AR542" s="84">
        <f t="shared" si="757"/>
        <v>0</v>
      </c>
      <c r="AS542" s="65"/>
      <c r="AT542" s="112"/>
      <c r="AU542" s="203">
        <v>0.33</v>
      </c>
      <c r="AV542" s="109">
        <f t="shared" si="736"/>
        <v>0</v>
      </c>
      <c r="AW542" s="84">
        <f t="shared" si="758"/>
        <v>0</v>
      </c>
      <c r="AX542" s="65"/>
      <c r="AY542" s="112"/>
      <c r="AZ542" s="203">
        <v>0.25</v>
      </c>
      <c r="BA542" s="109">
        <f t="shared" si="738"/>
        <v>0</v>
      </c>
      <c r="BB542" s="84">
        <f t="shared" si="759"/>
        <v>0</v>
      </c>
      <c r="BC542" s="65"/>
      <c r="BD542" s="112"/>
      <c r="BE542" s="203">
        <v>0.26</v>
      </c>
      <c r="BF542" s="109">
        <f t="shared" si="740"/>
        <v>0</v>
      </c>
      <c r="BG542" s="84">
        <f t="shared" si="760"/>
        <v>0</v>
      </c>
      <c r="BH542" s="197"/>
      <c r="BI542" s="518"/>
      <c r="BJ542" s="65"/>
      <c r="BK542" s="81">
        <f t="shared" si="761"/>
        <v>0</v>
      </c>
      <c r="BL542" s="65"/>
      <c r="BM542" s="65"/>
      <c r="BN542" s="204"/>
      <c r="BO542" s="109">
        <f>($O542/Dashboard!$D$15)*(1+Dashboard!$D$19)</f>
        <v>0</v>
      </c>
      <c r="BP542" s="84">
        <f t="shared" si="743"/>
        <v>0</v>
      </c>
      <c r="BQ542" s="65"/>
      <c r="BR542" s="65"/>
      <c r="BS542" s="204"/>
      <c r="BT542" s="109">
        <f>($O542/Dashboard!$D$15)*(1+Dashboard!$D$20)</f>
        <v>0</v>
      </c>
      <c r="BU542" s="84">
        <f t="shared" si="744"/>
        <v>0</v>
      </c>
      <c r="BV542" s="65"/>
      <c r="BW542" s="65"/>
      <c r="BX542" s="204"/>
      <c r="BY542" s="109">
        <f>($O542/Dashboard!$D$15)*(1+Dashboard!$D$21)</f>
        <v>0</v>
      </c>
      <c r="BZ542" s="84">
        <f t="shared" si="745"/>
        <v>0</v>
      </c>
    </row>
    <row r="543" spans="2:78" ht="12" hidden="1" customHeight="1" outlineLevel="1">
      <c r="B543" s="137" t="str">
        <f>'Cronog. e Histog.'!B703</f>
        <v/>
      </c>
      <c r="C543" s="65"/>
      <c r="D543" s="200">
        <f t="shared" si="746"/>
        <v>0</v>
      </c>
      <c r="E543" s="200">
        <f t="shared" si="747"/>
        <v>0</v>
      </c>
      <c r="F543" s="65"/>
      <c r="G543" s="200">
        <f t="shared" si="748"/>
        <v>0</v>
      </c>
      <c r="H543" s="200">
        <f t="shared" si="749"/>
        <v>0</v>
      </c>
      <c r="I543" s="65"/>
      <c r="J543" s="143" t="str">
        <f>IF('Cronog. e Histog.'!F703&gt;0,'Cronog. e Histog.'!F703,"")</f>
        <v/>
      </c>
      <c r="K543" s="65"/>
      <c r="L543" s="144">
        <f>'Cronog. e Histog.'!BT703</f>
        <v>0</v>
      </c>
      <c r="M543" s="144">
        <f>'Cronog. e Histog.'!BU703</f>
        <v>0</v>
      </c>
      <c r="N543" s="65"/>
      <c r="O543" s="109">
        <f>_xlfn.XLOOKUP(B543,Salários!B:B,Salários!K:K)</f>
        <v>0</v>
      </c>
      <c r="P543" s="109">
        <f t="shared" si="750"/>
        <v>0</v>
      </c>
      <c r="Q543" s="109">
        <f t="shared" si="751"/>
        <v>0</v>
      </c>
      <c r="R543" s="65"/>
      <c r="S543" s="109">
        <f t="shared" si="752"/>
        <v>0</v>
      </c>
      <c r="T543" s="201" t="str">
        <f>IF(_xlfn.XLOOKUP(B543,Salários!B:B,Salários!I:I)&gt;0,_xlfn.XLOOKUP(B543,Salários!B:B,Salários!I:I),"")</f>
        <v/>
      </c>
      <c r="U543" s="117">
        <f t="shared" si="753"/>
        <v>0</v>
      </c>
      <c r="V543" s="65"/>
      <c r="W543" s="202"/>
      <c r="X543" s="65"/>
      <c r="Y543" s="69"/>
      <c r="Z543" s="65"/>
      <c r="AA543" s="518"/>
      <c r="AB543" s="65"/>
      <c r="AC543" s="81">
        <f t="shared" si="754"/>
        <v>0</v>
      </c>
      <c r="AD543" s="65"/>
      <c r="AE543" s="112"/>
      <c r="AF543" s="203">
        <v>0.3</v>
      </c>
      <c r="AG543" s="109">
        <f t="shared" si="732"/>
        <v>0</v>
      </c>
      <c r="AH543" s="84">
        <f t="shared" si="755"/>
        <v>0</v>
      </c>
      <c r="AI543" s="65"/>
      <c r="AJ543" s="112"/>
      <c r="AK543" s="122"/>
      <c r="AL543" s="109">
        <v>1212</v>
      </c>
      <c r="AM543" s="84">
        <f t="shared" si="756"/>
        <v>0</v>
      </c>
      <c r="AN543" s="65"/>
      <c r="AO543" s="112"/>
      <c r="AP543" s="204"/>
      <c r="AQ543" s="109">
        <f>IFERROR((O543+AH543+AM543)/Dashboard!$D$15,0)*0.2</f>
        <v>0</v>
      </c>
      <c r="AR543" s="84">
        <f t="shared" si="757"/>
        <v>0</v>
      </c>
      <c r="AS543" s="65"/>
      <c r="AT543" s="112"/>
      <c r="AU543" s="203">
        <v>0.33</v>
      </c>
      <c r="AV543" s="109">
        <f t="shared" si="736"/>
        <v>0</v>
      </c>
      <c r="AW543" s="84">
        <f t="shared" si="758"/>
        <v>0</v>
      </c>
      <c r="AX543" s="65"/>
      <c r="AY543" s="112"/>
      <c r="AZ543" s="203">
        <v>0.25</v>
      </c>
      <c r="BA543" s="109">
        <f t="shared" si="738"/>
        <v>0</v>
      </c>
      <c r="BB543" s="84">
        <f t="shared" si="759"/>
        <v>0</v>
      </c>
      <c r="BC543" s="65"/>
      <c r="BD543" s="112"/>
      <c r="BE543" s="203">
        <v>0.26</v>
      </c>
      <c r="BF543" s="109">
        <f t="shared" si="740"/>
        <v>0</v>
      </c>
      <c r="BG543" s="84">
        <f t="shared" si="760"/>
        <v>0</v>
      </c>
      <c r="BH543" s="197"/>
      <c r="BI543" s="518"/>
      <c r="BJ543" s="65"/>
      <c r="BK543" s="81">
        <f t="shared" si="761"/>
        <v>0</v>
      </c>
      <c r="BL543" s="65"/>
      <c r="BM543" s="65"/>
      <c r="BN543" s="204"/>
      <c r="BO543" s="109">
        <f>($O543/Dashboard!$D$15)*(1+Dashboard!$D$19)</f>
        <v>0</v>
      </c>
      <c r="BP543" s="84">
        <f t="shared" si="743"/>
        <v>0</v>
      </c>
      <c r="BQ543" s="65"/>
      <c r="BR543" s="65"/>
      <c r="BS543" s="204"/>
      <c r="BT543" s="109">
        <f>($O543/Dashboard!$D$15)*(1+Dashboard!$D$20)</f>
        <v>0</v>
      </c>
      <c r="BU543" s="84">
        <f t="shared" si="744"/>
        <v>0</v>
      </c>
      <c r="BV543" s="65"/>
      <c r="BW543" s="65"/>
      <c r="BX543" s="204"/>
      <c r="BY543" s="109">
        <f>($O543/Dashboard!$D$15)*(1+Dashboard!$D$21)</f>
        <v>0</v>
      </c>
      <c r="BZ543" s="84">
        <f t="shared" si="745"/>
        <v>0</v>
      </c>
    </row>
    <row r="544" spans="2:78" ht="12" hidden="1" customHeight="1" outlineLevel="1">
      <c r="B544" s="137" t="str">
        <f>'Cronog. e Histog.'!B704</f>
        <v/>
      </c>
      <c r="C544" s="65"/>
      <c r="D544" s="200">
        <f t="shared" si="746"/>
        <v>0</v>
      </c>
      <c r="E544" s="200">
        <f t="shared" si="747"/>
        <v>0</v>
      </c>
      <c r="F544" s="65"/>
      <c r="G544" s="200">
        <f t="shared" si="748"/>
        <v>0</v>
      </c>
      <c r="H544" s="200">
        <f t="shared" si="749"/>
        <v>0</v>
      </c>
      <c r="I544" s="65"/>
      <c r="J544" s="143" t="str">
        <f>IF('Cronog. e Histog.'!F704&gt;0,'Cronog. e Histog.'!F704,"")</f>
        <v/>
      </c>
      <c r="K544" s="65"/>
      <c r="L544" s="144">
        <f>'Cronog. e Histog.'!BT704</f>
        <v>0</v>
      </c>
      <c r="M544" s="144">
        <f>'Cronog. e Histog.'!BU704</f>
        <v>0</v>
      </c>
      <c r="N544" s="65"/>
      <c r="O544" s="109">
        <f>_xlfn.XLOOKUP(B544,Salários!B:B,Salários!K:K)</f>
        <v>0</v>
      </c>
      <c r="P544" s="109">
        <f t="shared" si="750"/>
        <v>0</v>
      </c>
      <c r="Q544" s="109">
        <f t="shared" si="751"/>
        <v>0</v>
      </c>
      <c r="R544" s="65"/>
      <c r="S544" s="109">
        <f t="shared" si="752"/>
        <v>0</v>
      </c>
      <c r="T544" s="201" t="str">
        <f>IF(_xlfn.XLOOKUP(B544,Salários!B:B,Salários!I:I)&gt;0,_xlfn.XLOOKUP(B544,Salários!B:B,Salários!I:I),"")</f>
        <v/>
      </c>
      <c r="U544" s="117">
        <f t="shared" si="753"/>
        <v>0</v>
      </c>
      <c r="V544" s="65"/>
      <c r="W544" s="202"/>
      <c r="X544" s="65"/>
      <c r="Y544" s="69"/>
      <c r="Z544" s="65"/>
      <c r="AA544" s="518"/>
      <c r="AB544" s="65"/>
      <c r="AC544" s="81">
        <f t="shared" si="754"/>
        <v>0</v>
      </c>
      <c r="AD544" s="65"/>
      <c r="AE544" s="112"/>
      <c r="AF544" s="203">
        <v>0.3</v>
      </c>
      <c r="AG544" s="109">
        <f t="shared" si="732"/>
        <v>0</v>
      </c>
      <c r="AH544" s="84">
        <f t="shared" si="755"/>
        <v>0</v>
      </c>
      <c r="AI544" s="65"/>
      <c r="AJ544" s="112"/>
      <c r="AK544" s="122"/>
      <c r="AL544" s="109">
        <v>1212</v>
      </c>
      <c r="AM544" s="84">
        <f t="shared" si="756"/>
        <v>0</v>
      </c>
      <c r="AN544" s="65"/>
      <c r="AO544" s="112"/>
      <c r="AP544" s="204"/>
      <c r="AQ544" s="109">
        <f>IFERROR((O544+AH544+AM544)/Dashboard!$D$15,0)*0.2</f>
        <v>0</v>
      </c>
      <c r="AR544" s="84">
        <f t="shared" si="757"/>
        <v>0</v>
      </c>
      <c r="AS544" s="65"/>
      <c r="AT544" s="112"/>
      <c r="AU544" s="203">
        <v>0.33</v>
      </c>
      <c r="AV544" s="109">
        <f t="shared" si="736"/>
        <v>0</v>
      </c>
      <c r="AW544" s="84">
        <f t="shared" si="758"/>
        <v>0</v>
      </c>
      <c r="AX544" s="65"/>
      <c r="AY544" s="112"/>
      <c r="AZ544" s="203">
        <v>0.25</v>
      </c>
      <c r="BA544" s="109">
        <f t="shared" si="738"/>
        <v>0</v>
      </c>
      <c r="BB544" s="84">
        <f t="shared" si="759"/>
        <v>0</v>
      </c>
      <c r="BC544" s="65"/>
      <c r="BD544" s="112"/>
      <c r="BE544" s="203">
        <v>0.26</v>
      </c>
      <c r="BF544" s="109">
        <f t="shared" si="740"/>
        <v>0</v>
      </c>
      <c r="BG544" s="84">
        <f t="shared" si="760"/>
        <v>0</v>
      </c>
      <c r="BH544" s="197"/>
      <c r="BI544" s="518"/>
      <c r="BJ544" s="65"/>
      <c r="BK544" s="81">
        <f t="shared" si="761"/>
        <v>0</v>
      </c>
      <c r="BL544" s="65"/>
      <c r="BM544" s="65"/>
      <c r="BN544" s="204"/>
      <c r="BO544" s="109">
        <f>($O544/Dashboard!$D$15)*(1+Dashboard!$D$19)</f>
        <v>0</v>
      </c>
      <c r="BP544" s="84">
        <f t="shared" si="743"/>
        <v>0</v>
      </c>
      <c r="BQ544" s="65"/>
      <c r="BR544" s="65"/>
      <c r="BS544" s="204"/>
      <c r="BT544" s="109">
        <f>($O544/Dashboard!$D$15)*(1+Dashboard!$D$20)</f>
        <v>0</v>
      </c>
      <c r="BU544" s="84">
        <f t="shared" si="744"/>
        <v>0</v>
      </c>
      <c r="BV544" s="65"/>
      <c r="BW544" s="65"/>
      <c r="BX544" s="204"/>
      <c r="BY544" s="109">
        <f>($O544/Dashboard!$D$15)*(1+Dashboard!$D$21)</f>
        <v>0</v>
      </c>
      <c r="BZ544" s="84">
        <f t="shared" si="745"/>
        <v>0</v>
      </c>
    </row>
    <row r="545" spans="2:78" ht="12" hidden="1" customHeight="1" outlineLevel="1">
      <c r="B545" s="137" t="str">
        <f>'Cronog. e Histog.'!B705</f>
        <v/>
      </c>
      <c r="C545" s="65"/>
      <c r="D545" s="200">
        <f t="shared" si="746"/>
        <v>0</v>
      </c>
      <c r="E545" s="200">
        <f t="shared" si="747"/>
        <v>0</v>
      </c>
      <c r="F545" s="65"/>
      <c r="G545" s="200">
        <f t="shared" si="748"/>
        <v>0</v>
      </c>
      <c r="H545" s="200">
        <f t="shared" si="749"/>
        <v>0</v>
      </c>
      <c r="I545" s="65"/>
      <c r="J545" s="143" t="str">
        <f>IF('Cronog. e Histog.'!F705&gt;0,'Cronog. e Histog.'!F705,"")</f>
        <v/>
      </c>
      <c r="K545" s="65"/>
      <c r="L545" s="144">
        <f>'Cronog. e Histog.'!BT705</f>
        <v>0</v>
      </c>
      <c r="M545" s="144">
        <f>'Cronog. e Histog.'!BU705</f>
        <v>0</v>
      </c>
      <c r="N545" s="65"/>
      <c r="O545" s="109">
        <f>_xlfn.XLOOKUP(B545,Salários!B:B,Salários!K:K)</f>
        <v>0</v>
      </c>
      <c r="P545" s="109">
        <f t="shared" si="750"/>
        <v>0</v>
      </c>
      <c r="Q545" s="109">
        <f t="shared" si="751"/>
        <v>0</v>
      </c>
      <c r="R545" s="65"/>
      <c r="S545" s="109">
        <f t="shared" si="752"/>
        <v>0</v>
      </c>
      <c r="T545" s="201" t="str">
        <f>IF(_xlfn.XLOOKUP(B545,Salários!B:B,Salários!I:I)&gt;0,_xlfn.XLOOKUP(B545,Salários!B:B,Salários!I:I),"")</f>
        <v/>
      </c>
      <c r="U545" s="117">
        <f t="shared" si="753"/>
        <v>0</v>
      </c>
      <c r="V545" s="65"/>
      <c r="W545" s="202"/>
      <c r="X545" s="65"/>
      <c r="Y545" s="69"/>
      <c r="Z545" s="65"/>
      <c r="AA545" s="518"/>
      <c r="AB545" s="65"/>
      <c r="AC545" s="81">
        <f t="shared" si="754"/>
        <v>0</v>
      </c>
      <c r="AD545" s="65"/>
      <c r="AE545" s="112"/>
      <c r="AF545" s="203">
        <v>0.3</v>
      </c>
      <c r="AG545" s="109">
        <f t="shared" si="732"/>
        <v>0</v>
      </c>
      <c r="AH545" s="84">
        <f t="shared" si="755"/>
        <v>0</v>
      </c>
      <c r="AI545" s="65"/>
      <c r="AJ545" s="112"/>
      <c r="AK545" s="122"/>
      <c r="AL545" s="109">
        <v>1212</v>
      </c>
      <c r="AM545" s="84">
        <f t="shared" si="756"/>
        <v>0</v>
      </c>
      <c r="AN545" s="65"/>
      <c r="AO545" s="112"/>
      <c r="AP545" s="204"/>
      <c r="AQ545" s="109">
        <f>IFERROR((O545+AH545+AM545)/Dashboard!$D$15,0)*0.2</f>
        <v>0</v>
      </c>
      <c r="AR545" s="84">
        <f t="shared" si="757"/>
        <v>0</v>
      </c>
      <c r="AS545" s="65"/>
      <c r="AT545" s="112"/>
      <c r="AU545" s="203">
        <v>0.33</v>
      </c>
      <c r="AV545" s="109">
        <f t="shared" si="736"/>
        <v>0</v>
      </c>
      <c r="AW545" s="84">
        <f t="shared" si="758"/>
        <v>0</v>
      </c>
      <c r="AX545" s="65"/>
      <c r="AY545" s="112"/>
      <c r="AZ545" s="203">
        <v>0.25</v>
      </c>
      <c r="BA545" s="109">
        <f t="shared" si="738"/>
        <v>0</v>
      </c>
      <c r="BB545" s="84">
        <f t="shared" si="759"/>
        <v>0</v>
      </c>
      <c r="BC545" s="65"/>
      <c r="BD545" s="112"/>
      <c r="BE545" s="203">
        <v>0.26</v>
      </c>
      <c r="BF545" s="109">
        <f t="shared" si="740"/>
        <v>0</v>
      </c>
      <c r="BG545" s="84">
        <f t="shared" si="760"/>
        <v>0</v>
      </c>
      <c r="BH545" s="197"/>
      <c r="BI545" s="518"/>
      <c r="BJ545" s="65"/>
      <c r="BK545" s="81">
        <f t="shared" si="761"/>
        <v>0</v>
      </c>
      <c r="BL545" s="65"/>
      <c r="BM545" s="65"/>
      <c r="BN545" s="204"/>
      <c r="BO545" s="109">
        <f>($O545/Dashboard!$D$15)*(1+Dashboard!$D$19)</f>
        <v>0</v>
      </c>
      <c r="BP545" s="84">
        <f t="shared" si="743"/>
        <v>0</v>
      </c>
      <c r="BQ545" s="65"/>
      <c r="BR545" s="65"/>
      <c r="BS545" s="204"/>
      <c r="BT545" s="109">
        <f>($O545/Dashboard!$D$15)*(1+Dashboard!$D$20)</f>
        <v>0</v>
      </c>
      <c r="BU545" s="84">
        <f t="shared" si="744"/>
        <v>0</v>
      </c>
      <c r="BV545" s="65"/>
      <c r="BW545" s="65"/>
      <c r="BX545" s="204"/>
      <c r="BY545" s="109">
        <f>($O545/Dashboard!$D$15)*(1+Dashboard!$D$21)</f>
        <v>0</v>
      </c>
      <c r="BZ545" s="84">
        <f t="shared" si="745"/>
        <v>0</v>
      </c>
    </row>
    <row r="546" spans="2:78" ht="12" hidden="1" customHeight="1" outlineLevel="1">
      <c r="B546" s="137" t="str">
        <f>'Cronog. e Histog.'!B706</f>
        <v/>
      </c>
      <c r="C546" s="65"/>
      <c r="D546" s="200">
        <f t="shared" si="746"/>
        <v>0</v>
      </c>
      <c r="E546" s="200">
        <f t="shared" si="747"/>
        <v>0</v>
      </c>
      <c r="F546" s="65"/>
      <c r="G546" s="200">
        <f t="shared" si="748"/>
        <v>0</v>
      </c>
      <c r="H546" s="200">
        <f t="shared" si="749"/>
        <v>0</v>
      </c>
      <c r="I546" s="65"/>
      <c r="J546" s="143" t="str">
        <f>IF('Cronog. e Histog.'!F706&gt;0,'Cronog. e Histog.'!F706,"")</f>
        <v/>
      </c>
      <c r="K546" s="65"/>
      <c r="L546" s="144">
        <f>'Cronog. e Histog.'!BT706</f>
        <v>0</v>
      </c>
      <c r="M546" s="144">
        <f>'Cronog. e Histog.'!BU706</f>
        <v>0</v>
      </c>
      <c r="N546" s="65"/>
      <c r="O546" s="109">
        <f>_xlfn.XLOOKUP(B546,Salários!B:B,Salários!K:K)</f>
        <v>0</v>
      </c>
      <c r="P546" s="109">
        <f t="shared" si="750"/>
        <v>0</v>
      </c>
      <c r="Q546" s="109">
        <f t="shared" si="751"/>
        <v>0</v>
      </c>
      <c r="R546" s="65"/>
      <c r="S546" s="109">
        <f t="shared" si="752"/>
        <v>0</v>
      </c>
      <c r="T546" s="201" t="str">
        <f>IF(_xlfn.XLOOKUP(B546,Salários!B:B,Salários!I:I)&gt;0,_xlfn.XLOOKUP(B546,Salários!B:B,Salários!I:I),"")</f>
        <v/>
      </c>
      <c r="U546" s="117">
        <f t="shared" si="753"/>
        <v>0</v>
      </c>
      <c r="V546" s="65"/>
      <c r="W546" s="202"/>
      <c r="X546" s="65"/>
      <c r="Y546" s="69"/>
      <c r="Z546" s="65"/>
      <c r="AA546" s="518"/>
      <c r="AB546" s="65"/>
      <c r="AC546" s="81">
        <f t="shared" si="754"/>
        <v>0</v>
      </c>
      <c r="AD546" s="65"/>
      <c r="AE546" s="112"/>
      <c r="AF546" s="203">
        <v>0.3</v>
      </c>
      <c r="AG546" s="109">
        <f t="shared" si="732"/>
        <v>0</v>
      </c>
      <c r="AH546" s="84">
        <f t="shared" si="755"/>
        <v>0</v>
      </c>
      <c r="AI546" s="65"/>
      <c r="AJ546" s="112"/>
      <c r="AK546" s="122"/>
      <c r="AL546" s="109">
        <v>1212</v>
      </c>
      <c r="AM546" s="84">
        <f t="shared" si="756"/>
        <v>0</v>
      </c>
      <c r="AN546" s="65"/>
      <c r="AO546" s="112"/>
      <c r="AP546" s="204"/>
      <c r="AQ546" s="109">
        <f>IFERROR((O546+AH546+AM546)/Dashboard!$D$15,0)*0.2</f>
        <v>0</v>
      </c>
      <c r="AR546" s="84">
        <f t="shared" si="757"/>
        <v>0</v>
      </c>
      <c r="AS546" s="65"/>
      <c r="AT546" s="112"/>
      <c r="AU546" s="203">
        <v>0.33</v>
      </c>
      <c r="AV546" s="109">
        <f t="shared" si="736"/>
        <v>0</v>
      </c>
      <c r="AW546" s="84">
        <f t="shared" si="758"/>
        <v>0</v>
      </c>
      <c r="AX546" s="65"/>
      <c r="AY546" s="112"/>
      <c r="AZ546" s="203">
        <v>0.25</v>
      </c>
      <c r="BA546" s="109">
        <f t="shared" si="738"/>
        <v>0</v>
      </c>
      <c r="BB546" s="84">
        <f t="shared" si="759"/>
        <v>0</v>
      </c>
      <c r="BC546" s="65"/>
      <c r="BD546" s="112"/>
      <c r="BE546" s="203">
        <v>0.26</v>
      </c>
      <c r="BF546" s="109">
        <f t="shared" si="740"/>
        <v>0</v>
      </c>
      <c r="BG546" s="84">
        <f t="shared" si="760"/>
        <v>0</v>
      </c>
      <c r="BH546" s="197"/>
      <c r="BI546" s="518"/>
      <c r="BJ546" s="65"/>
      <c r="BK546" s="81">
        <f t="shared" si="761"/>
        <v>0</v>
      </c>
      <c r="BL546" s="65"/>
      <c r="BM546" s="65"/>
      <c r="BN546" s="204"/>
      <c r="BO546" s="109">
        <f>($O546/Dashboard!$D$15)*(1+Dashboard!$D$19)</f>
        <v>0</v>
      </c>
      <c r="BP546" s="84">
        <f t="shared" si="743"/>
        <v>0</v>
      </c>
      <c r="BQ546" s="65"/>
      <c r="BR546" s="65"/>
      <c r="BS546" s="204"/>
      <c r="BT546" s="109">
        <f>($O546/Dashboard!$D$15)*(1+Dashboard!$D$20)</f>
        <v>0</v>
      </c>
      <c r="BU546" s="84">
        <f t="shared" si="744"/>
        <v>0</v>
      </c>
      <c r="BV546" s="65"/>
      <c r="BW546" s="65"/>
      <c r="BX546" s="204"/>
      <c r="BY546" s="109">
        <f>($O546/Dashboard!$D$15)*(1+Dashboard!$D$21)</f>
        <v>0</v>
      </c>
      <c r="BZ546" s="84">
        <f t="shared" si="745"/>
        <v>0</v>
      </c>
    </row>
    <row r="547" spans="2:78" ht="12" hidden="1" customHeight="1" outlineLevel="1">
      <c r="B547" s="137" t="str">
        <f>'Cronog. e Histog.'!B707</f>
        <v/>
      </c>
      <c r="C547" s="65"/>
      <c r="D547" s="200">
        <f t="shared" si="746"/>
        <v>0</v>
      </c>
      <c r="E547" s="200">
        <f t="shared" si="747"/>
        <v>0</v>
      </c>
      <c r="F547" s="65"/>
      <c r="G547" s="200">
        <f t="shared" si="748"/>
        <v>0</v>
      </c>
      <c r="H547" s="200">
        <f t="shared" si="749"/>
        <v>0</v>
      </c>
      <c r="I547" s="65"/>
      <c r="J547" s="143" t="str">
        <f>IF('Cronog. e Histog.'!F707&gt;0,'Cronog. e Histog.'!F707,"")</f>
        <v/>
      </c>
      <c r="K547" s="65"/>
      <c r="L547" s="144">
        <f>'Cronog. e Histog.'!BT707</f>
        <v>0</v>
      </c>
      <c r="M547" s="144">
        <f>'Cronog. e Histog.'!BU707</f>
        <v>0</v>
      </c>
      <c r="N547" s="65"/>
      <c r="O547" s="109">
        <f>_xlfn.XLOOKUP(B547,Salários!B:B,Salários!K:K)</f>
        <v>0</v>
      </c>
      <c r="P547" s="109">
        <f t="shared" si="750"/>
        <v>0</v>
      </c>
      <c r="Q547" s="109">
        <f t="shared" si="751"/>
        <v>0</v>
      </c>
      <c r="R547" s="65"/>
      <c r="S547" s="109">
        <f t="shared" si="752"/>
        <v>0</v>
      </c>
      <c r="T547" s="201" t="str">
        <f>IF(_xlfn.XLOOKUP(B547,Salários!B:B,Salários!I:I)&gt;0,_xlfn.XLOOKUP(B547,Salários!B:B,Salários!I:I),"")</f>
        <v/>
      </c>
      <c r="U547" s="117">
        <f t="shared" si="753"/>
        <v>0</v>
      </c>
      <c r="V547" s="65"/>
      <c r="W547" s="202"/>
      <c r="X547" s="65"/>
      <c r="Y547" s="69"/>
      <c r="Z547" s="65"/>
      <c r="AA547" s="518"/>
      <c r="AB547" s="65"/>
      <c r="AC547" s="81">
        <f t="shared" si="754"/>
        <v>0</v>
      </c>
      <c r="AD547" s="65"/>
      <c r="AE547" s="112"/>
      <c r="AF547" s="203">
        <v>0.3</v>
      </c>
      <c r="AG547" s="109">
        <f t="shared" si="732"/>
        <v>0</v>
      </c>
      <c r="AH547" s="84">
        <f t="shared" si="755"/>
        <v>0</v>
      </c>
      <c r="AI547" s="65"/>
      <c r="AJ547" s="112"/>
      <c r="AK547" s="122"/>
      <c r="AL547" s="109">
        <v>1212</v>
      </c>
      <c r="AM547" s="84">
        <f t="shared" si="756"/>
        <v>0</v>
      </c>
      <c r="AN547" s="65"/>
      <c r="AO547" s="112"/>
      <c r="AP547" s="204"/>
      <c r="AQ547" s="109">
        <f>IFERROR((O547+AH547+AM547)/Dashboard!$D$15,0)*0.2</f>
        <v>0</v>
      </c>
      <c r="AR547" s="84">
        <f t="shared" si="757"/>
        <v>0</v>
      </c>
      <c r="AS547" s="65"/>
      <c r="AT547" s="112"/>
      <c r="AU547" s="203">
        <v>0.33</v>
      </c>
      <c r="AV547" s="109">
        <f t="shared" si="736"/>
        <v>0</v>
      </c>
      <c r="AW547" s="84">
        <f t="shared" si="758"/>
        <v>0</v>
      </c>
      <c r="AX547" s="65"/>
      <c r="AY547" s="112"/>
      <c r="AZ547" s="203">
        <v>0.25</v>
      </c>
      <c r="BA547" s="109">
        <f t="shared" si="738"/>
        <v>0</v>
      </c>
      <c r="BB547" s="84">
        <f t="shared" si="759"/>
        <v>0</v>
      </c>
      <c r="BC547" s="65"/>
      <c r="BD547" s="112"/>
      <c r="BE547" s="203">
        <v>0.26</v>
      </c>
      <c r="BF547" s="109">
        <f t="shared" si="740"/>
        <v>0</v>
      </c>
      <c r="BG547" s="84">
        <f t="shared" si="760"/>
        <v>0</v>
      </c>
      <c r="BH547" s="197"/>
      <c r="BI547" s="518"/>
      <c r="BJ547" s="65"/>
      <c r="BK547" s="81">
        <f t="shared" si="761"/>
        <v>0</v>
      </c>
      <c r="BL547" s="65"/>
      <c r="BM547" s="65"/>
      <c r="BN547" s="204"/>
      <c r="BO547" s="109">
        <f>($O547/Dashboard!$D$15)*(1+Dashboard!$D$19)</f>
        <v>0</v>
      </c>
      <c r="BP547" s="84">
        <f t="shared" si="743"/>
        <v>0</v>
      </c>
      <c r="BQ547" s="65"/>
      <c r="BR547" s="65"/>
      <c r="BS547" s="204"/>
      <c r="BT547" s="109">
        <f>($O547/Dashboard!$D$15)*(1+Dashboard!$D$20)</f>
        <v>0</v>
      </c>
      <c r="BU547" s="84">
        <f t="shared" si="744"/>
        <v>0</v>
      </c>
      <c r="BV547" s="65"/>
      <c r="BW547" s="65"/>
      <c r="BX547" s="204"/>
      <c r="BY547" s="109">
        <f>($O547/Dashboard!$D$15)*(1+Dashboard!$D$21)</f>
        <v>0</v>
      </c>
      <c r="BZ547" s="84">
        <f t="shared" si="745"/>
        <v>0</v>
      </c>
    </row>
    <row r="548" spans="2:78" ht="12" hidden="1" customHeight="1" outlineLevel="1">
      <c r="B548" s="137" t="str">
        <f>'Cronog. e Histog.'!B708</f>
        <v/>
      </c>
      <c r="C548" s="65"/>
      <c r="D548" s="200">
        <f t="shared" si="746"/>
        <v>0</v>
      </c>
      <c r="E548" s="200">
        <f t="shared" si="747"/>
        <v>0</v>
      </c>
      <c r="F548" s="65"/>
      <c r="G548" s="200">
        <f t="shared" si="748"/>
        <v>0</v>
      </c>
      <c r="H548" s="200">
        <f t="shared" si="749"/>
        <v>0</v>
      </c>
      <c r="I548" s="65"/>
      <c r="J548" s="143" t="str">
        <f>IF('Cronog. e Histog.'!F708&gt;0,'Cronog. e Histog.'!F708,"")</f>
        <v/>
      </c>
      <c r="K548" s="65"/>
      <c r="L548" s="144">
        <f>'Cronog. e Histog.'!BT708</f>
        <v>0</v>
      </c>
      <c r="M548" s="144">
        <f>'Cronog. e Histog.'!BU708</f>
        <v>0</v>
      </c>
      <c r="N548" s="65"/>
      <c r="O548" s="109">
        <f>_xlfn.XLOOKUP(B548,Salários!B:B,Salários!K:K)</f>
        <v>0</v>
      </c>
      <c r="P548" s="109">
        <f t="shared" si="750"/>
        <v>0</v>
      </c>
      <c r="Q548" s="109">
        <f t="shared" si="751"/>
        <v>0</v>
      </c>
      <c r="R548" s="65"/>
      <c r="S548" s="109">
        <f t="shared" si="752"/>
        <v>0</v>
      </c>
      <c r="T548" s="201" t="str">
        <f>IF(_xlfn.XLOOKUP(B548,Salários!B:B,Salários!I:I)&gt;0,_xlfn.XLOOKUP(B548,Salários!B:B,Salários!I:I),"")</f>
        <v/>
      </c>
      <c r="U548" s="117">
        <f t="shared" si="753"/>
        <v>0</v>
      </c>
      <c r="V548" s="65"/>
      <c r="W548" s="202"/>
      <c r="X548" s="65"/>
      <c r="Y548" s="69"/>
      <c r="Z548" s="65"/>
      <c r="AA548" s="518"/>
      <c r="AB548" s="65"/>
      <c r="AC548" s="81">
        <f t="shared" si="754"/>
        <v>0</v>
      </c>
      <c r="AD548" s="65"/>
      <c r="AE548" s="112"/>
      <c r="AF548" s="203">
        <v>0.3</v>
      </c>
      <c r="AG548" s="109">
        <f t="shared" si="732"/>
        <v>0</v>
      </c>
      <c r="AH548" s="84">
        <f t="shared" si="755"/>
        <v>0</v>
      </c>
      <c r="AI548" s="65"/>
      <c r="AJ548" s="112"/>
      <c r="AK548" s="122"/>
      <c r="AL548" s="109">
        <v>1212</v>
      </c>
      <c r="AM548" s="84">
        <f t="shared" si="756"/>
        <v>0</v>
      </c>
      <c r="AN548" s="65"/>
      <c r="AO548" s="112"/>
      <c r="AP548" s="204"/>
      <c r="AQ548" s="109">
        <f>IFERROR((O548+AH548+AM548)/Dashboard!$D$15,0)*0.2</f>
        <v>0</v>
      </c>
      <c r="AR548" s="84">
        <f t="shared" si="757"/>
        <v>0</v>
      </c>
      <c r="AS548" s="65"/>
      <c r="AT548" s="112"/>
      <c r="AU548" s="203">
        <v>0.33</v>
      </c>
      <c r="AV548" s="109">
        <f t="shared" si="736"/>
        <v>0</v>
      </c>
      <c r="AW548" s="84">
        <f t="shared" si="758"/>
        <v>0</v>
      </c>
      <c r="AX548" s="65"/>
      <c r="AY548" s="112"/>
      <c r="AZ548" s="203">
        <v>0.25</v>
      </c>
      <c r="BA548" s="109">
        <f t="shared" si="738"/>
        <v>0</v>
      </c>
      <c r="BB548" s="84">
        <f t="shared" si="759"/>
        <v>0</v>
      </c>
      <c r="BC548" s="65"/>
      <c r="BD548" s="112"/>
      <c r="BE548" s="203">
        <v>0.26</v>
      </c>
      <c r="BF548" s="109">
        <f t="shared" si="740"/>
        <v>0</v>
      </c>
      <c r="BG548" s="84">
        <f t="shared" si="760"/>
        <v>0</v>
      </c>
      <c r="BH548" s="197"/>
      <c r="BI548" s="518"/>
      <c r="BJ548" s="65"/>
      <c r="BK548" s="81">
        <f t="shared" si="761"/>
        <v>0</v>
      </c>
      <c r="BL548" s="65"/>
      <c r="BM548" s="65"/>
      <c r="BN548" s="204"/>
      <c r="BO548" s="109">
        <f>($O548/Dashboard!$D$15)*(1+Dashboard!$D$19)</f>
        <v>0</v>
      </c>
      <c r="BP548" s="84">
        <f t="shared" si="743"/>
        <v>0</v>
      </c>
      <c r="BQ548" s="65"/>
      <c r="BR548" s="65"/>
      <c r="BS548" s="204"/>
      <c r="BT548" s="109">
        <f>($O548/Dashboard!$D$15)*(1+Dashboard!$D$20)</f>
        <v>0</v>
      </c>
      <c r="BU548" s="84">
        <f t="shared" si="744"/>
        <v>0</v>
      </c>
      <c r="BV548" s="65"/>
      <c r="BW548" s="65"/>
      <c r="BX548" s="204"/>
      <c r="BY548" s="109">
        <f>($O548/Dashboard!$D$15)*(1+Dashboard!$D$21)</f>
        <v>0</v>
      </c>
      <c r="BZ548" s="84">
        <f t="shared" si="745"/>
        <v>0</v>
      </c>
    </row>
    <row r="549" spans="2:78" ht="12" hidden="1" customHeight="1" outlineLevel="1">
      <c r="B549" s="137" t="str">
        <f>'Cronog. e Histog.'!B709</f>
        <v/>
      </c>
      <c r="C549" s="65"/>
      <c r="D549" s="200">
        <f t="shared" si="746"/>
        <v>0</v>
      </c>
      <c r="E549" s="200">
        <f t="shared" si="747"/>
        <v>0</v>
      </c>
      <c r="F549" s="65"/>
      <c r="G549" s="200">
        <f t="shared" si="748"/>
        <v>0</v>
      </c>
      <c r="H549" s="200">
        <f t="shared" si="749"/>
        <v>0</v>
      </c>
      <c r="I549" s="65"/>
      <c r="J549" s="143" t="str">
        <f>IF('Cronog. e Histog.'!F709&gt;0,'Cronog. e Histog.'!F709,"")</f>
        <v/>
      </c>
      <c r="K549" s="65"/>
      <c r="L549" s="144">
        <f>'Cronog. e Histog.'!BT709</f>
        <v>0</v>
      </c>
      <c r="M549" s="144">
        <f>'Cronog. e Histog.'!BU709</f>
        <v>0</v>
      </c>
      <c r="N549" s="65"/>
      <c r="O549" s="109">
        <f>_xlfn.XLOOKUP(B549,Salários!B:B,Salários!K:K)</f>
        <v>0</v>
      </c>
      <c r="P549" s="109">
        <f t="shared" si="750"/>
        <v>0</v>
      </c>
      <c r="Q549" s="109">
        <f t="shared" si="751"/>
        <v>0</v>
      </c>
      <c r="R549" s="65"/>
      <c r="S549" s="109">
        <f t="shared" si="752"/>
        <v>0</v>
      </c>
      <c r="T549" s="201" t="str">
        <f>IF(_xlfn.XLOOKUP(B549,Salários!B:B,Salários!I:I)&gt;0,_xlfn.XLOOKUP(B549,Salários!B:B,Salários!I:I),"")</f>
        <v/>
      </c>
      <c r="U549" s="117">
        <f t="shared" si="753"/>
        <v>0</v>
      </c>
      <c r="V549" s="65"/>
      <c r="W549" s="202"/>
      <c r="X549" s="65"/>
      <c r="Y549" s="69"/>
      <c r="Z549" s="65"/>
      <c r="AA549" s="518"/>
      <c r="AB549" s="65"/>
      <c r="AC549" s="81">
        <f t="shared" si="754"/>
        <v>0</v>
      </c>
      <c r="AD549" s="65"/>
      <c r="AE549" s="112"/>
      <c r="AF549" s="203">
        <v>0.3</v>
      </c>
      <c r="AG549" s="109">
        <f t="shared" si="732"/>
        <v>0</v>
      </c>
      <c r="AH549" s="84">
        <f t="shared" si="755"/>
        <v>0</v>
      </c>
      <c r="AI549" s="65"/>
      <c r="AJ549" s="112"/>
      <c r="AK549" s="122"/>
      <c r="AL549" s="109">
        <v>1212</v>
      </c>
      <c r="AM549" s="84">
        <f t="shared" si="756"/>
        <v>0</v>
      </c>
      <c r="AN549" s="65"/>
      <c r="AO549" s="112"/>
      <c r="AP549" s="204"/>
      <c r="AQ549" s="109">
        <f>IFERROR((O549+AH549+AM549)/Dashboard!$D$15,0)*0.2</f>
        <v>0</v>
      </c>
      <c r="AR549" s="84">
        <f t="shared" si="757"/>
        <v>0</v>
      </c>
      <c r="AS549" s="65"/>
      <c r="AT549" s="112"/>
      <c r="AU549" s="203">
        <v>0.33</v>
      </c>
      <c r="AV549" s="109">
        <f t="shared" si="736"/>
        <v>0</v>
      </c>
      <c r="AW549" s="84">
        <f t="shared" si="758"/>
        <v>0</v>
      </c>
      <c r="AX549" s="65"/>
      <c r="AY549" s="112"/>
      <c r="AZ549" s="203">
        <v>0.25</v>
      </c>
      <c r="BA549" s="109">
        <f t="shared" si="738"/>
        <v>0</v>
      </c>
      <c r="BB549" s="84">
        <f t="shared" si="759"/>
        <v>0</v>
      </c>
      <c r="BC549" s="65"/>
      <c r="BD549" s="112"/>
      <c r="BE549" s="203">
        <v>0.26</v>
      </c>
      <c r="BF549" s="109">
        <f t="shared" si="740"/>
        <v>0</v>
      </c>
      <c r="BG549" s="84">
        <f t="shared" si="760"/>
        <v>0</v>
      </c>
      <c r="BH549" s="197"/>
      <c r="BI549" s="518"/>
      <c r="BJ549" s="65"/>
      <c r="BK549" s="81">
        <f t="shared" si="761"/>
        <v>0</v>
      </c>
      <c r="BL549" s="65"/>
      <c r="BM549" s="65"/>
      <c r="BN549" s="204"/>
      <c r="BO549" s="109">
        <f>($O549/Dashboard!$D$15)*(1+Dashboard!$D$19)</f>
        <v>0</v>
      </c>
      <c r="BP549" s="84">
        <f t="shared" si="743"/>
        <v>0</v>
      </c>
      <c r="BQ549" s="65"/>
      <c r="BR549" s="65"/>
      <c r="BS549" s="204"/>
      <c r="BT549" s="109">
        <f>($O549/Dashboard!$D$15)*(1+Dashboard!$D$20)</f>
        <v>0</v>
      </c>
      <c r="BU549" s="84">
        <f t="shared" si="744"/>
        <v>0</v>
      </c>
      <c r="BV549" s="65"/>
      <c r="BW549" s="65"/>
      <c r="BX549" s="204"/>
      <c r="BY549" s="109">
        <f>($O549/Dashboard!$D$15)*(1+Dashboard!$D$21)</f>
        <v>0</v>
      </c>
      <c r="BZ549" s="84">
        <f t="shared" si="745"/>
        <v>0</v>
      </c>
    </row>
    <row r="550" spans="2:78" ht="12" hidden="1" customHeight="1" outlineLevel="1">
      <c r="B550" s="137" t="str">
        <f>'Cronog. e Histog.'!B710</f>
        <v/>
      </c>
      <c r="C550" s="65"/>
      <c r="D550" s="200">
        <f t="shared" si="746"/>
        <v>0</v>
      </c>
      <c r="E550" s="200">
        <f t="shared" si="747"/>
        <v>0</v>
      </c>
      <c r="F550" s="65"/>
      <c r="G550" s="200">
        <f t="shared" si="748"/>
        <v>0</v>
      </c>
      <c r="H550" s="200">
        <f t="shared" si="749"/>
        <v>0</v>
      </c>
      <c r="I550" s="65"/>
      <c r="J550" s="143" t="str">
        <f>IF('Cronog. e Histog.'!F710&gt;0,'Cronog. e Histog.'!F710,"")</f>
        <v/>
      </c>
      <c r="K550" s="65"/>
      <c r="L550" s="144">
        <f>'Cronog. e Histog.'!BT710</f>
        <v>0</v>
      </c>
      <c r="M550" s="144">
        <f>'Cronog. e Histog.'!BU710</f>
        <v>0</v>
      </c>
      <c r="N550" s="65"/>
      <c r="O550" s="109">
        <f>_xlfn.XLOOKUP(B550,Salários!B:B,Salários!K:K)</f>
        <v>0</v>
      </c>
      <c r="P550" s="109">
        <f t="shared" si="750"/>
        <v>0</v>
      </c>
      <c r="Q550" s="109">
        <f t="shared" si="751"/>
        <v>0</v>
      </c>
      <c r="R550" s="65"/>
      <c r="S550" s="109">
        <f t="shared" si="752"/>
        <v>0</v>
      </c>
      <c r="T550" s="201" t="str">
        <f>IF(_xlfn.XLOOKUP(B550,Salários!B:B,Salários!I:I)&gt;0,_xlfn.XLOOKUP(B550,Salários!B:B,Salários!I:I),"")</f>
        <v/>
      </c>
      <c r="U550" s="117">
        <f t="shared" si="753"/>
        <v>0</v>
      </c>
      <c r="V550" s="65"/>
      <c r="W550" s="202"/>
      <c r="X550" s="65"/>
      <c r="Y550" s="69"/>
      <c r="Z550" s="65"/>
      <c r="AA550" s="518"/>
      <c r="AB550" s="65"/>
      <c r="AC550" s="81">
        <f t="shared" si="754"/>
        <v>0</v>
      </c>
      <c r="AD550" s="65"/>
      <c r="AE550" s="112"/>
      <c r="AF550" s="203">
        <v>0.3</v>
      </c>
      <c r="AG550" s="109">
        <f t="shared" si="732"/>
        <v>0</v>
      </c>
      <c r="AH550" s="84">
        <f t="shared" si="755"/>
        <v>0</v>
      </c>
      <c r="AI550" s="65"/>
      <c r="AJ550" s="112"/>
      <c r="AK550" s="122"/>
      <c r="AL550" s="109">
        <v>1212</v>
      </c>
      <c r="AM550" s="84">
        <f t="shared" si="756"/>
        <v>0</v>
      </c>
      <c r="AN550" s="65"/>
      <c r="AO550" s="112"/>
      <c r="AP550" s="204"/>
      <c r="AQ550" s="109">
        <f>IFERROR((O550+AH550+AM550)/Dashboard!$D$15,0)*0.2</f>
        <v>0</v>
      </c>
      <c r="AR550" s="84">
        <f t="shared" si="757"/>
        <v>0</v>
      </c>
      <c r="AS550" s="65"/>
      <c r="AT550" s="112"/>
      <c r="AU550" s="203">
        <v>0.33</v>
      </c>
      <c r="AV550" s="109">
        <f t="shared" si="736"/>
        <v>0</v>
      </c>
      <c r="AW550" s="84">
        <f t="shared" si="758"/>
        <v>0</v>
      </c>
      <c r="AX550" s="65"/>
      <c r="AY550" s="112"/>
      <c r="AZ550" s="203">
        <v>0.25</v>
      </c>
      <c r="BA550" s="109">
        <f t="shared" si="738"/>
        <v>0</v>
      </c>
      <c r="BB550" s="84">
        <f t="shared" si="759"/>
        <v>0</v>
      </c>
      <c r="BC550" s="65"/>
      <c r="BD550" s="112"/>
      <c r="BE550" s="203">
        <v>0.26</v>
      </c>
      <c r="BF550" s="109">
        <f t="shared" si="740"/>
        <v>0</v>
      </c>
      <c r="BG550" s="84">
        <f t="shared" si="760"/>
        <v>0</v>
      </c>
      <c r="BH550" s="197"/>
      <c r="BI550" s="518"/>
      <c r="BJ550" s="65"/>
      <c r="BK550" s="81">
        <f t="shared" si="761"/>
        <v>0</v>
      </c>
      <c r="BL550" s="65"/>
      <c r="BM550" s="65"/>
      <c r="BN550" s="204"/>
      <c r="BO550" s="109">
        <f>($O550/Dashboard!$D$15)*(1+Dashboard!$D$19)</f>
        <v>0</v>
      </c>
      <c r="BP550" s="84">
        <f t="shared" si="743"/>
        <v>0</v>
      </c>
      <c r="BQ550" s="65"/>
      <c r="BR550" s="65"/>
      <c r="BS550" s="204"/>
      <c r="BT550" s="109">
        <f>($O550/Dashboard!$D$15)*(1+Dashboard!$D$20)</f>
        <v>0</v>
      </c>
      <c r="BU550" s="84">
        <f t="shared" si="744"/>
        <v>0</v>
      </c>
      <c r="BV550" s="65"/>
      <c r="BW550" s="65"/>
      <c r="BX550" s="204"/>
      <c r="BY550" s="109">
        <f>($O550/Dashboard!$D$15)*(1+Dashboard!$D$21)</f>
        <v>0</v>
      </c>
      <c r="BZ550" s="84">
        <f t="shared" si="745"/>
        <v>0</v>
      </c>
    </row>
    <row r="551" spans="2:78" ht="12" hidden="1" customHeight="1" outlineLevel="1">
      <c r="B551" s="137" t="str">
        <f>'Cronog. e Histog.'!B711</f>
        <v/>
      </c>
      <c r="C551" s="65"/>
      <c r="D551" s="200">
        <f t="shared" si="746"/>
        <v>0</v>
      </c>
      <c r="E551" s="200">
        <f t="shared" si="747"/>
        <v>0</v>
      </c>
      <c r="F551" s="65"/>
      <c r="G551" s="200">
        <f t="shared" si="748"/>
        <v>0</v>
      </c>
      <c r="H551" s="200">
        <f t="shared" si="749"/>
        <v>0</v>
      </c>
      <c r="I551" s="65"/>
      <c r="J551" s="143" t="str">
        <f>IF('Cronog. e Histog.'!F711&gt;0,'Cronog. e Histog.'!F711,"")</f>
        <v/>
      </c>
      <c r="K551" s="65"/>
      <c r="L551" s="144">
        <f>'Cronog. e Histog.'!BT711</f>
        <v>0</v>
      </c>
      <c r="M551" s="144">
        <f>'Cronog. e Histog.'!BU711</f>
        <v>0</v>
      </c>
      <c r="N551" s="65"/>
      <c r="O551" s="109">
        <f>_xlfn.XLOOKUP(B551,Salários!B:B,Salários!K:K)</f>
        <v>0</v>
      </c>
      <c r="P551" s="109">
        <f t="shared" si="750"/>
        <v>0</v>
      </c>
      <c r="Q551" s="109">
        <f t="shared" si="751"/>
        <v>0</v>
      </c>
      <c r="R551" s="65"/>
      <c r="S551" s="109">
        <f t="shared" si="752"/>
        <v>0</v>
      </c>
      <c r="T551" s="201" t="str">
        <f>IF(_xlfn.XLOOKUP(B551,Salários!B:B,Salários!I:I)&gt;0,_xlfn.XLOOKUP(B551,Salários!B:B,Salários!I:I),"")</f>
        <v/>
      </c>
      <c r="U551" s="117">
        <f t="shared" si="753"/>
        <v>0</v>
      </c>
      <c r="V551" s="65"/>
      <c r="W551" s="202"/>
      <c r="X551" s="65"/>
      <c r="Y551" s="69"/>
      <c r="Z551" s="65"/>
      <c r="AA551" s="518"/>
      <c r="AB551" s="65"/>
      <c r="AC551" s="81">
        <f t="shared" si="754"/>
        <v>0</v>
      </c>
      <c r="AD551" s="65"/>
      <c r="AE551" s="112"/>
      <c r="AF551" s="203">
        <v>0.3</v>
      </c>
      <c r="AG551" s="109">
        <f t="shared" si="732"/>
        <v>0</v>
      </c>
      <c r="AH551" s="84">
        <f t="shared" si="755"/>
        <v>0</v>
      </c>
      <c r="AI551" s="65"/>
      <c r="AJ551" s="112"/>
      <c r="AK551" s="122"/>
      <c r="AL551" s="109">
        <v>1212</v>
      </c>
      <c r="AM551" s="84">
        <f t="shared" si="756"/>
        <v>0</v>
      </c>
      <c r="AN551" s="65"/>
      <c r="AO551" s="112"/>
      <c r="AP551" s="204"/>
      <c r="AQ551" s="109">
        <f>IFERROR((O551+AH551+AM551)/Dashboard!$D$15,0)*0.2</f>
        <v>0</v>
      </c>
      <c r="AR551" s="84">
        <f t="shared" si="757"/>
        <v>0</v>
      </c>
      <c r="AS551" s="65"/>
      <c r="AT551" s="112"/>
      <c r="AU551" s="203">
        <v>0.33</v>
      </c>
      <c r="AV551" s="109">
        <f t="shared" si="736"/>
        <v>0</v>
      </c>
      <c r="AW551" s="84">
        <f t="shared" si="758"/>
        <v>0</v>
      </c>
      <c r="AX551" s="65"/>
      <c r="AY551" s="112"/>
      <c r="AZ551" s="203">
        <v>0.25</v>
      </c>
      <c r="BA551" s="109">
        <f t="shared" si="738"/>
        <v>0</v>
      </c>
      <c r="BB551" s="84">
        <f t="shared" si="759"/>
        <v>0</v>
      </c>
      <c r="BC551" s="65"/>
      <c r="BD551" s="112"/>
      <c r="BE551" s="203">
        <v>0.26</v>
      </c>
      <c r="BF551" s="109">
        <f t="shared" si="740"/>
        <v>0</v>
      </c>
      <c r="BG551" s="84">
        <f t="shared" si="760"/>
        <v>0</v>
      </c>
      <c r="BH551" s="197"/>
      <c r="BI551" s="518"/>
      <c r="BJ551" s="65"/>
      <c r="BK551" s="81">
        <f t="shared" si="761"/>
        <v>0</v>
      </c>
      <c r="BL551" s="65"/>
      <c r="BM551" s="65"/>
      <c r="BN551" s="204"/>
      <c r="BO551" s="109">
        <f>($O551/Dashboard!$D$15)*(1+Dashboard!$D$19)</f>
        <v>0</v>
      </c>
      <c r="BP551" s="84">
        <f t="shared" si="743"/>
        <v>0</v>
      </c>
      <c r="BQ551" s="65"/>
      <c r="BR551" s="65"/>
      <c r="BS551" s="204"/>
      <c r="BT551" s="109">
        <f>($O551/Dashboard!$D$15)*(1+Dashboard!$D$20)</f>
        <v>0</v>
      </c>
      <c r="BU551" s="84">
        <f t="shared" si="744"/>
        <v>0</v>
      </c>
      <c r="BV551" s="65"/>
      <c r="BW551" s="65"/>
      <c r="BX551" s="204"/>
      <c r="BY551" s="109">
        <f>($O551/Dashboard!$D$15)*(1+Dashboard!$D$21)</f>
        <v>0</v>
      </c>
      <c r="BZ551" s="84">
        <f t="shared" si="745"/>
        <v>0</v>
      </c>
    </row>
    <row r="552" spans="2:78" ht="12" hidden="1" customHeight="1" outlineLevel="1">
      <c r="B552" s="137" t="str">
        <f>'Cronog. e Histog.'!B712</f>
        <v/>
      </c>
      <c r="C552" s="65"/>
      <c r="D552" s="200">
        <f t="shared" si="746"/>
        <v>0</v>
      </c>
      <c r="E552" s="200">
        <f t="shared" si="747"/>
        <v>0</v>
      </c>
      <c r="F552" s="65"/>
      <c r="G552" s="200">
        <f t="shared" si="748"/>
        <v>0</v>
      </c>
      <c r="H552" s="200">
        <f t="shared" si="749"/>
        <v>0</v>
      </c>
      <c r="I552" s="65"/>
      <c r="J552" s="143" t="str">
        <f>IF('Cronog. e Histog.'!F712&gt;0,'Cronog. e Histog.'!F712,"")</f>
        <v/>
      </c>
      <c r="K552" s="65"/>
      <c r="L552" s="144">
        <f>'Cronog. e Histog.'!BT712</f>
        <v>0</v>
      </c>
      <c r="M552" s="144">
        <f>'Cronog. e Histog.'!BU712</f>
        <v>0</v>
      </c>
      <c r="N552" s="65"/>
      <c r="O552" s="109">
        <f>_xlfn.XLOOKUP(B552,Salários!B:B,Salários!K:K)</f>
        <v>0</v>
      </c>
      <c r="P552" s="109">
        <f t="shared" si="750"/>
        <v>0</v>
      </c>
      <c r="Q552" s="109">
        <f t="shared" si="751"/>
        <v>0</v>
      </c>
      <c r="R552" s="65"/>
      <c r="S552" s="109">
        <f t="shared" si="752"/>
        <v>0</v>
      </c>
      <c r="T552" s="201" t="str">
        <f>IF(_xlfn.XLOOKUP(B552,Salários!B:B,Salários!I:I)&gt;0,_xlfn.XLOOKUP(B552,Salários!B:B,Salários!I:I),"")</f>
        <v/>
      </c>
      <c r="U552" s="117">
        <f t="shared" si="753"/>
        <v>0</v>
      </c>
      <c r="V552" s="65"/>
      <c r="W552" s="202"/>
      <c r="X552" s="65"/>
      <c r="Y552" s="69"/>
      <c r="Z552" s="65"/>
      <c r="AA552" s="518"/>
      <c r="AB552" s="65"/>
      <c r="AC552" s="81">
        <f t="shared" si="754"/>
        <v>0</v>
      </c>
      <c r="AD552" s="65"/>
      <c r="AE552" s="112"/>
      <c r="AF552" s="203">
        <v>0.3</v>
      </c>
      <c r="AG552" s="109">
        <f t="shared" si="732"/>
        <v>0</v>
      </c>
      <c r="AH552" s="84">
        <f t="shared" si="755"/>
        <v>0</v>
      </c>
      <c r="AI552" s="65"/>
      <c r="AJ552" s="112"/>
      <c r="AK552" s="122"/>
      <c r="AL552" s="109">
        <v>1212</v>
      </c>
      <c r="AM552" s="84">
        <f t="shared" si="756"/>
        <v>0</v>
      </c>
      <c r="AN552" s="65"/>
      <c r="AO552" s="112"/>
      <c r="AP552" s="204"/>
      <c r="AQ552" s="109">
        <f>IFERROR((O552+AH552+AM552)/Dashboard!$D$15,0)*0.2</f>
        <v>0</v>
      </c>
      <c r="AR552" s="84">
        <f t="shared" si="757"/>
        <v>0</v>
      </c>
      <c r="AS552" s="65"/>
      <c r="AT552" s="112"/>
      <c r="AU552" s="203">
        <v>0.33</v>
      </c>
      <c r="AV552" s="109">
        <f t="shared" si="736"/>
        <v>0</v>
      </c>
      <c r="AW552" s="84">
        <f t="shared" si="758"/>
        <v>0</v>
      </c>
      <c r="AX552" s="65"/>
      <c r="AY552" s="112"/>
      <c r="AZ552" s="203">
        <v>0.25</v>
      </c>
      <c r="BA552" s="109">
        <f t="shared" si="738"/>
        <v>0</v>
      </c>
      <c r="BB552" s="84">
        <f t="shared" si="759"/>
        <v>0</v>
      </c>
      <c r="BC552" s="65"/>
      <c r="BD552" s="112"/>
      <c r="BE552" s="203">
        <v>0.26</v>
      </c>
      <c r="BF552" s="109">
        <f t="shared" si="740"/>
        <v>0</v>
      </c>
      <c r="BG552" s="84">
        <f t="shared" si="760"/>
        <v>0</v>
      </c>
      <c r="BH552" s="197"/>
      <c r="BI552" s="518"/>
      <c r="BJ552" s="65"/>
      <c r="BK552" s="81">
        <f t="shared" si="761"/>
        <v>0</v>
      </c>
      <c r="BL552" s="65"/>
      <c r="BM552" s="65"/>
      <c r="BN552" s="204"/>
      <c r="BO552" s="109">
        <f>($O552/Dashboard!$D$15)*(1+Dashboard!$D$19)</f>
        <v>0</v>
      </c>
      <c r="BP552" s="84">
        <f t="shared" si="743"/>
        <v>0</v>
      </c>
      <c r="BQ552" s="65"/>
      <c r="BR552" s="65"/>
      <c r="BS552" s="204"/>
      <c r="BT552" s="109">
        <f>($O552/Dashboard!$D$15)*(1+Dashboard!$D$20)</f>
        <v>0</v>
      </c>
      <c r="BU552" s="84">
        <f t="shared" si="744"/>
        <v>0</v>
      </c>
      <c r="BV552" s="65"/>
      <c r="BW552" s="65"/>
      <c r="BX552" s="204"/>
      <c r="BY552" s="109">
        <f>($O552/Dashboard!$D$15)*(1+Dashboard!$D$21)</f>
        <v>0</v>
      </c>
      <c r="BZ552" s="84">
        <f t="shared" si="745"/>
        <v>0</v>
      </c>
    </row>
    <row r="553" spans="2:78" ht="12" hidden="1" customHeight="1" outlineLevel="1">
      <c r="B553" s="137" t="str">
        <f>'Cronog. e Histog.'!B713</f>
        <v/>
      </c>
      <c r="C553" s="65"/>
      <c r="D553" s="200">
        <f t="shared" si="746"/>
        <v>0</v>
      </c>
      <c r="E553" s="200">
        <f t="shared" si="747"/>
        <v>0</v>
      </c>
      <c r="F553" s="65"/>
      <c r="G553" s="200">
        <f t="shared" si="748"/>
        <v>0</v>
      </c>
      <c r="H553" s="200">
        <f t="shared" si="749"/>
        <v>0</v>
      </c>
      <c r="I553" s="65"/>
      <c r="J553" s="143" t="str">
        <f>IF('Cronog. e Histog.'!F713&gt;0,'Cronog. e Histog.'!F713,"")</f>
        <v/>
      </c>
      <c r="K553" s="65"/>
      <c r="L553" s="144">
        <f>'Cronog. e Histog.'!BT713</f>
        <v>0</v>
      </c>
      <c r="M553" s="144">
        <f>'Cronog. e Histog.'!BU713</f>
        <v>0</v>
      </c>
      <c r="N553" s="65"/>
      <c r="O553" s="109">
        <f>_xlfn.XLOOKUP(B553,Salários!B:B,Salários!K:K)</f>
        <v>0</v>
      </c>
      <c r="P553" s="109">
        <f t="shared" si="750"/>
        <v>0</v>
      </c>
      <c r="Q553" s="109">
        <f t="shared" si="751"/>
        <v>0</v>
      </c>
      <c r="R553" s="65"/>
      <c r="S553" s="109">
        <f t="shared" si="752"/>
        <v>0</v>
      </c>
      <c r="T553" s="201" t="str">
        <f>IF(_xlfn.XLOOKUP(B553,Salários!B:B,Salários!I:I)&gt;0,_xlfn.XLOOKUP(B553,Salários!B:B,Salários!I:I),"")</f>
        <v/>
      </c>
      <c r="U553" s="117">
        <f t="shared" si="753"/>
        <v>0</v>
      </c>
      <c r="V553" s="65"/>
      <c r="W553" s="202"/>
      <c r="X553" s="65"/>
      <c r="Y553" s="69"/>
      <c r="Z553" s="65"/>
      <c r="AA553" s="518"/>
      <c r="AB553" s="65"/>
      <c r="AC553" s="81">
        <f t="shared" si="754"/>
        <v>0</v>
      </c>
      <c r="AD553" s="65"/>
      <c r="AE553" s="112"/>
      <c r="AF553" s="203">
        <v>0.3</v>
      </c>
      <c r="AG553" s="109">
        <f t="shared" si="732"/>
        <v>0</v>
      </c>
      <c r="AH553" s="84">
        <f t="shared" si="755"/>
        <v>0</v>
      </c>
      <c r="AI553" s="65"/>
      <c r="AJ553" s="112"/>
      <c r="AK553" s="122"/>
      <c r="AL553" s="109">
        <v>1212</v>
      </c>
      <c r="AM553" s="84">
        <f t="shared" si="756"/>
        <v>0</v>
      </c>
      <c r="AN553" s="65"/>
      <c r="AO553" s="112"/>
      <c r="AP553" s="204"/>
      <c r="AQ553" s="109">
        <f>IFERROR((O553+AH553+AM553)/Dashboard!$D$15,0)*0.2</f>
        <v>0</v>
      </c>
      <c r="AR553" s="84">
        <f t="shared" si="757"/>
        <v>0</v>
      </c>
      <c r="AS553" s="65"/>
      <c r="AT553" s="112"/>
      <c r="AU553" s="203">
        <v>0.33</v>
      </c>
      <c r="AV553" s="109">
        <f t="shared" si="736"/>
        <v>0</v>
      </c>
      <c r="AW553" s="84">
        <f t="shared" si="758"/>
        <v>0</v>
      </c>
      <c r="AX553" s="65"/>
      <c r="AY553" s="112"/>
      <c r="AZ553" s="203">
        <v>0.25</v>
      </c>
      <c r="BA553" s="109">
        <f t="shared" si="738"/>
        <v>0</v>
      </c>
      <c r="BB553" s="84">
        <f t="shared" si="759"/>
        <v>0</v>
      </c>
      <c r="BC553" s="65"/>
      <c r="BD553" s="112"/>
      <c r="BE553" s="203">
        <v>0.26</v>
      </c>
      <c r="BF553" s="109">
        <f t="shared" si="740"/>
        <v>0</v>
      </c>
      <c r="BG553" s="84">
        <f t="shared" si="760"/>
        <v>0</v>
      </c>
      <c r="BH553" s="197"/>
      <c r="BI553" s="518"/>
      <c r="BJ553" s="65"/>
      <c r="BK553" s="81">
        <f t="shared" si="761"/>
        <v>0</v>
      </c>
      <c r="BL553" s="65"/>
      <c r="BM553" s="65"/>
      <c r="BN553" s="204"/>
      <c r="BO553" s="109">
        <f>($O553/Dashboard!$D$15)*(1+Dashboard!$D$19)</f>
        <v>0</v>
      </c>
      <c r="BP553" s="84">
        <f t="shared" si="743"/>
        <v>0</v>
      </c>
      <c r="BQ553" s="65"/>
      <c r="BR553" s="65"/>
      <c r="BS553" s="204"/>
      <c r="BT553" s="109">
        <f>($O553/Dashboard!$D$15)*(1+Dashboard!$D$20)</f>
        <v>0</v>
      </c>
      <c r="BU553" s="84">
        <f t="shared" si="744"/>
        <v>0</v>
      </c>
      <c r="BV553" s="65"/>
      <c r="BW553" s="65"/>
      <c r="BX553" s="204"/>
      <c r="BY553" s="109">
        <f>($O553/Dashboard!$D$15)*(1+Dashboard!$D$21)</f>
        <v>0</v>
      </c>
      <c r="BZ553" s="84">
        <f t="shared" si="745"/>
        <v>0</v>
      </c>
    </row>
    <row r="554" spans="2:78" ht="12" hidden="1" customHeight="1" outlineLevel="1">
      <c r="B554" s="137" t="str">
        <f>'Cronog. e Histog.'!B714</f>
        <v/>
      </c>
      <c r="C554" s="65"/>
      <c r="D554" s="200">
        <f t="shared" si="746"/>
        <v>0</v>
      </c>
      <c r="E554" s="200">
        <f t="shared" si="747"/>
        <v>0</v>
      </c>
      <c r="F554" s="65"/>
      <c r="G554" s="200">
        <f t="shared" si="748"/>
        <v>0</v>
      </c>
      <c r="H554" s="200">
        <f t="shared" si="749"/>
        <v>0</v>
      </c>
      <c r="I554" s="65"/>
      <c r="J554" s="143" t="str">
        <f>IF('Cronog. e Histog.'!F714&gt;0,'Cronog. e Histog.'!F714,"")</f>
        <v/>
      </c>
      <c r="K554" s="65"/>
      <c r="L554" s="144">
        <f>'Cronog. e Histog.'!BT714</f>
        <v>0</v>
      </c>
      <c r="M554" s="144">
        <f>'Cronog. e Histog.'!BU714</f>
        <v>0</v>
      </c>
      <c r="N554" s="65"/>
      <c r="O554" s="109">
        <f>_xlfn.XLOOKUP(B554,Salários!B:B,Salários!K:K)</f>
        <v>0</v>
      </c>
      <c r="P554" s="109">
        <f t="shared" si="750"/>
        <v>0</v>
      </c>
      <c r="Q554" s="109">
        <f t="shared" si="751"/>
        <v>0</v>
      </c>
      <c r="R554" s="65"/>
      <c r="S554" s="109">
        <f t="shared" si="752"/>
        <v>0</v>
      </c>
      <c r="T554" s="201" t="str">
        <f>IF(_xlfn.XLOOKUP(B554,Salários!B:B,Salários!I:I)&gt;0,_xlfn.XLOOKUP(B554,Salários!B:B,Salários!I:I),"")</f>
        <v/>
      </c>
      <c r="U554" s="117">
        <f t="shared" si="753"/>
        <v>0</v>
      </c>
      <c r="V554" s="65"/>
      <c r="W554" s="202"/>
      <c r="X554" s="65"/>
      <c r="Y554" s="69"/>
      <c r="Z554" s="65"/>
      <c r="AA554" s="518"/>
      <c r="AB554" s="65"/>
      <c r="AC554" s="81">
        <f t="shared" si="754"/>
        <v>0</v>
      </c>
      <c r="AD554" s="65"/>
      <c r="AE554" s="112"/>
      <c r="AF554" s="203">
        <v>0.3</v>
      </c>
      <c r="AG554" s="109">
        <f t="shared" si="732"/>
        <v>0</v>
      </c>
      <c r="AH554" s="84">
        <f t="shared" si="755"/>
        <v>0</v>
      </c>
      <c r="AI554" s="65"/>
      <c r="AJ554" s="112"/>
      <c r="AK554" s="122"/>
      <c r="AL554" s="109">
        <v>1212</v>
      </c>
      <c r="AM554" s="84">
        <f t="shared" si="756"/>
        <v>0</v>
      </c>
      <c r="AN554" s="65"/>
      <c r="AO554" s="112"/>
      <c r="AP554" s="204"/>
      <c r="AQ554" s="109">
        <f>IFERROR((O554+AH554+AM554)/Dashboard!$D$15,0)*0.2</f>
        <v>0</v>
      </c>
      <c r="AR554" s="84">
        <f t="shared" si="757"/>
        <v>0</v>
      </c>
      <c r="AS554" s="65"/>
      <c r="AT554" s="112"/>
      <c r="AU554" s="203">
        <v>0.33</v>
      </c>
      <c r="AV554" s="109">
        <f t="shared" si="736"/>
        <v>0</v>
      </c>
      <c r="AW554" s="84">
        <f t="shared" si="758"/>
        <v>0</v>
      </c>
      <c r="AX554" s="65"/>
      <c r="AY554" s="112"/>
      <c r="AZ554" s="203">
        <v>0.25</v>
      </c>
      <c r="BA554" s="109">
        <f t="shared" si="738"/>
        <v>0</v>
      </c>
      <c r="BB554" s="84">
        <f t="shared" si="759"/>
        <v>0</v>
      </c>
      <c r="BC554" s="65"/>
      <c r="BD554" s="112"/>
      <c r="BE554" s="203">
        <v>0.26</v>
      </c>
      <c r="BF554" s="109">
        <f t="shared" si="740"/>
        <v>0</v>
      </c>
      <c r="BG554" s="84">
        <f t="shared" si="760"/>
        <v>0</v>
      </c>
      <c r="BH554" s="197"/>
      <c r="BI554" s="518"/>
      <c r="BJ554" s="65"/>
      <c r="BK554" s="81">
        <f t="shared" si="761"/>
        <v>0</v>
      </c>
      <c r="BL554" s="65"/>
      <c r="BM554" s="65"/>
      <c r="BN554" s="204"/>
      <c r="BO554" s="109">
        <f>($O554/Dashboard!$D$15)*(1+Dashboard!$D$19)</f>
        <v>0</v>
      </c>
      <c r="BP554" s="84">
        <f t="shared" si="743"/>
        <v>0</v>
      </c>
      <c r="BQ554" s="65"/>
      <c r="BR554" s="65"/>
      <c r="BS554" s="204"/>
      <c r="BT554" s="109">
        <f>($O554/Dashboard!$D$15)*(1+Dashboard!$D$20)</f>
        <v>0</v>
      </c>
      <c r="BU554" s="84">
        <f t="shared" si="744"/>
        <v>0</v>
      </c>
      <c r="BV554" s="65"/>
      <c r="BW554" s="65"/>
      <c r="BX554" s="204"/>
      <c r="BY554" s="109">
        <f>($O554/Dashboard!$D$15)*(1+Dashboard!$D$21)</f>
        <v>0</v>
      </c>
      <c r="BZ554" s="84">
        <f t="shared" si="745"/>
        <v>0</v>
      </c>
    </row>
    <row r="555" spans="2:78" ht="12" hidden="1" customHeight="1" outlineLevel="1">
      <c r="B555" s="137" t="str">
        <f>'Cronog. e Histog.'!B715</f>
        <v/>
      </c>
      <c r="C555" s="65"/>
      <c r="D555" s="200">
        <f t="shared" si="746"/>
        <v>0</v>
      </c>
      <c r="E555" s="200">
        <f t="shared" si="747"/>
        <v>0</v>
      </c>
      <c r="F555" s="65"/>
      <c r="G555" s="200">
        <f t="shared" si="748"/>
        <v>0</v>
      </c>
      <c r="H555" s="200">
        <f t="shared" si="749"/>
        <v>0</v>
      </c>
      <c r="I555" s="65"/>
      <c r="J555" s="143" t="str">
        <f>IF('Cronog. e Histog.'!F715&gt;0,'Cronog. e Histog.'!F715,"")</f>
        <v/>
      </c>
      <c r="K555" s="65"/>
      <c r="L555" s="144">
        <f>'Cronog. e Histog.'!BT715</f>
        <v>0</v>
      </c>
      <c r="M555" s="144">
        <f>'Cronog. e Histog.'!BU715</f>
        <v>0</v>
      </c>
      <c r="N555" s="65"/>
      <c r="O555" s="109">
        <f>_xlfn.XLOOKUP(B555,Salários!B:B,Salários!K:K)</f>
        <v>0</v>
      </c>
      <c r="P555" s="109">
        <f t="shared" si="750"/>
        <v>0</v>
      </c>
      <c r="Q555" s="109">
        <f t="shared" si="751"/>
        <v>0</v>
      </c>
      <c r="R555" s="65"/>
      <c r="S555" s="109">
        <f t="shared" si="752"/>
        <v>0</v>
      </c>
      <c r="T555" s="201" t="str">
        <f>IF(_xlfn.XLOOKUP(B555,Salários!B:B,Salários!I:I)&gt;0,_xlfn.XLOOKUP(B555,Salários!B:B,Salários!I:I),"")</f>
        <v/>
      </c>
      <c r="U555" s="117">
        <f t="shared" si="753"/>
        <v>0</v>
      </c>
      <c r="V555" s="65"/>
      <c r="W555" s="202"/>
      <c r="X555" s="65"/>
      <c r="Y555" s="69"/>
      <c r="Z555" s="65"/>
      <c r="AA555" s="518"/>
      <c r="AB555" s="65"/>
      <c r="AC555" s="81">
        <f t="shared" si="754"/>
        <v>0</v>
      </c>
      <c r="AD555" s="65"/>
      <c r="AE555" s="112"/>
      <c r="AF555" s="203">
        <v>0.3</v>
      </c>
      <c r="AG555" s="109">
        <f t="shared" si="732"/>
        <v>0</v>
      </c>
      <c r="AH555" s="84">
        <f t="shared" si="755"/>
        <v>0</v>
      </c>
      <c r="AI555" s="65"/>
      <c r="AJ555" s="112"/>
      <c r="AK555" s="122"/>
      <c r="AL555" s="109">
        <v>1212</v>
      </c>
      <c r="AM555" s="84">
        <f t="shared" si="756"/>
        <v>0</v>
      </c>
      <c r="AN555" s="65"/>
      <c r="AO555" s="112"/>
      <c r="AP555" s="204"/>
      <c r="AQ555" s="109">
        <f>IFERROR((O555+AH555+AM555)/Dashboard!$D$15,0)*0.2</f>
        <v>0</v>
      </c>
      <c r="AR555" s="84">
        <f t="shared" si="757"/>
        <v>0</v>
      </c>
      <c r="AS555" s="65"/>
      <c r="AT555" s="112"/>
      <c r="AU555" s="203">
        <v>0.33</v>
      </c>
      <c r="AV555" s="109">
        <f t="shared" si="736"/>
        <v>0</v>
      </c>
      <c r="AW555" s="84">
        <f t="shared" si="758"/>
        <v>0</v>
      </c>
      <c r="AX555" s="65"/>
      <c r="AY555" s="112"/>
      <c r="AZ555" s="203">
        <v>0.25</v>
      </c>
      <c r="BA555" s="109">
        <f t="shared" si="738"/>
        <v>0</v>
      </c>
      <c r="BB555" s="84">
        <f t="shared" si="759"/>
        <v>0</v>
      </c>
      <c r="BC555" s="65"/>
      <c r="BD555" s="112"/>
      <c r="BE555" s="203">
        <v>0.26</v>
      </c>
      <c r="BF555" s="109">
        <f t="shared" si="740"/>
        <v>0</v>
      </c>
      <c r="BG555" s="84">
        <f t="shared" si="760"/>
        <v>0</v>
      </c>
      <c r="BH555" s="197"/>
      <c r="BI555" s="518"/>
      <c r="BJ555" s="65"/>
      <c r="BK555" s="81">
        <f t="shared" si="761"/>
        <v>0</v>
      </c>
      <c r="BL555" s="65"/>
      <c r="BM555" s="65"/>
      <c r="BN555" s="204"/>
      <c r="BO555" s="109">
        <f>($O555/Dashboard!$D$15)*(1+Dashboard!$D$19)</f>
        <v>0</v>
      </c>
      <c r="BP555" s="84">
        <f t="shared" si="743"/>
        <v>0</v>
      </c>
      <c r="BQ555" s="65"/>
      <c r="BR555" s="65"/>
      <c r="BS555" s="204"/>
      <c r="BT555" s="109">
        <f>($O555/Dashboard!$D$15)*(1+Dashboard!$D$20)</f>
        <v>0</v>
      </c>
      <c r="BU555" s="84">
        <f t="shared" si="744"/>
        <v>0</v>
      </c>
      <c r="BV555" s="65"/>
      <c r="BW555" s="65"/>
      <c r="BX555" s="204"/>
      <c r="BY555" s="109">
        <f>($O555/Dashboard!$D$15)*(1+Dashboard!$D$21)</f>
        <v>0</v>
      </c>
      <c r="BZ555" s="84">
        <f t="shared" si="745"/>
        <v>0</v>
      </c>
    </row>
    <row r="556" spans="2:78" ht="12" hidden="1" customHeight="1" outlineLevel="1">
      <c r="B556" s="137" t="str">
        <f>'Cronog. e Histog.'!B716</f>
        <v/>
      </c>
      <c r="C556" s="65"/>
      <c r="D556" s="200">
        <f t="shared" si="746"/>
        <v>0</v>
      </c>
      <c r="E556" s="200">
        <f t="shared" si="747"/>
        <v>0</v>
      </c>
      <c r="F556" s="65"/>
      <c r="G556" s="200">
        <f t="shared" si="748"/>
        <v>0</v>
      </c>
      <c r="H556" s="200">
        <f t="shared" si="749"/>
        <v>0</v>
      </c>
      <c r="I556" s="65"/>
      <c r="J556" s="143" t="str">
        <f>IF('Cronog. e Histog.'!F716&gt;0,'Cronog. e Histog.'!F716,"")</f>
        <v/>
      </c>
      <c r="K556" s="65"/>
      <c r="L556" s="144">
        <f>'Cronog. e Histog.'!BT716</f>
        <v>0</v>
      </c>
      <c r="M556" s="144">
        <f>'Cronog. e Histog.'!BU716</f>
        <v>0</v>
      </c>
      <c r="N556" s="65"/>
      <c r="O556" s="109">
        <f>_xlfn.XLOOKUP(B556,Salários!B:B,Salários!K:K)</f>
        <v>0</v>
      </c>
      <c r="P556" s="109">
        <f t="shared" si="750"/>
        <v>0</v>
      </c>
      <c r="Q556" s="109">
        <f t="shared" si="751"/>
        <v>0</v>
      </c>
      <c r="R556" s="65"/>
      <c r="S556" s="109">
        <f t="shared" si="752"/>
        <v>0</v>
      </c>
      <c r="T556" s="201" t="str">
        <f>IF(_xlfn.XLOOKUP(B556,Salários!B:B,Salários!I:I)&gt;0,_xlfn.XLOOKUP(B556,Salários!B:B,Salários!I:I),"")</f>
        <v/>
      </c>
      <c r="U556" s="117">
        <f t="shared" si="753"/>
        <v>0</v>
      </c>
      <c r="V556" s="65"/>
      <c r="W556" s="202"/>
      <c r="X556" s="65"/>
      <c r="Y556" s="69"/>
      <c r="Z556" s="65"/>
      <c r="AA556" s="518"/>
      <c r="AB556" s="65"/>
      <c r="AC556" s="81">
        <f t="shared" si="754"/>
        <v>0</v>
      </c>
      <c r="AD556" s="65"/>
      <c r="AE556" s="112"/>
      <c r="AF556" s="203">
        <v>0.3</v>
      </c>
      <c r="AG556" s="109">
        <f t="shared" si="732"/>
        <v>0</v>
      </c>
      <c r="AH556" s="84">
        <f t="shared" si="755"/>
        <v>0</v>
      </c>
      <c r="AI556" s="65"/>
      <c r="AJ556" s="112"/>
      <c r="AK556" s="122"/>
      <c r="AL556" s="109">
        <v>1212</v>
      </c>
      <c r="AM556" s="84">
        <f t="shared" si="756"/>
        <v>0</v>
      </c>
      <c r="AN556" s="65"/>
      <c r="AO556" s="112"/>
      <c r="AP556" s="204"/>
      <c r="AQ556" s="109">
        <f>IFERROR((O556+AH556+AM556)/Dashboard!$D$15,0)*0.2</f>
        <v>0</v>
      </c>
      <c r="AR556" s="84">
        <f t="shared" si="757"/>
        <v>0</v>
      </c>
      <c r="AS556" s="65"/>
      <c r="AT556" s="112"/>
      <c r="AU556" s="203">
        <v>0.33</v>
      </c>
      <c r="AV556" s="109">
        <f t="shared" si="736"/>
        <v>0</v>
      </c>
      <c r="AW556" s="84">
        <f t="shared" si="758"/>
        <v>0</v>
      </c>
      <c r="AX556" s="65"/>
      <c r="AY556" s="112"/>
      <c r="AZ556" s="203">
        <v>0.25</v>
      </c>
      <c r="BA556" s="109">
        <f t="shared" si="738"/>
        <v>0</v>
      </c>
      <c r="BB556" s="84">
        <f t="shared" si="759"/>
        <v>0</v>
      </c>
      <c r="BC556" s="65"/>
      <c r="BD556" s="112"/>
      <c r="BE556" s="203">
        <v>0.26</v>
      </c>
      <c r="BF556" s="109">
        <f t="shared" si="740"/>
        <v>0</v>
      </c>
      <c r="BG556" s="84">
        <f t="shared" si="760"/>
        <v>0</v>
      </c>
      <c r="BH556" s="197"/>
      <c r="BI556" s="518"/>
      <c r="BJ556" s="65"/>
      <c r="BK556" s="81">
        <f t="shared" si="761"/>
        <v>0</v>
      </c>
      <c r="BL556" s="65"/>
      <c r="BM556" s="65"/>
      <c r="BN556" s="204"/>
      <c r="BO556" s="109">
        <f>($O556/Dashboard!$D$15)*(1+Dashboard!$D$19)</f>
        <v>0</v>
      </c>
      <c r="BP556" s="84">
        <f t="shared" si="743"/>
        <v>0</v>
      </c>
      <c r="BQ556" s="65"/>
      <c r="BR556" s="65"/>
      <c r="BS556" s="204"/>
      <c r="BT556" s="109">
        <f>($O556/Dashboard!$D$15)*(1+Dashboard!$D$20)</f>
        <v>0</v>
      </c>
      <c r="BU556" s="84">
        <f t="shared" si="744"/>
        <v>0</v>
      </c>
      <c r="BV556" s="65"/>
      <c r="BW556" s="65"/>
      <c r="BX556" s="204"/>
      <c r="BY556" s="109">
        <f>($O556/Dashboard!$D$15)*(1+Dashboard!$D$21)</f>
        <v>0</v>
      </c>
      <c r="BZ556" s="84">
        <f t="shared" si="745"/>
        <v>0</v>
      </c>
    </row>
    <row r="557" spans="2:78" ht="12" hidden="1" customHeight="1" outlineLevel="1">
      <c r="B557" s="137" t="str">
        <f>'Cronog. e Histog.'!B717</f>
        <v/>
      </c>
      <c r="C557" s="65"/>
      <c r="D557" s="200">
        <f t="shared" si="746"/>
        <v>0</v>
      </c>
      <c r="E557" s="200">
        <f t="shared" si="747"/>
        <v>0</v>
      </c>
      <c r="F557" s="65"/>
      <c r="G557" s="200">
        <f t="shared" si="748"/>
        <v>0</v>
      </c>
      <c r="H557" s="200">
        <f t="shared" si="749"/>
        <v>0</v>
      </c>
      <c r="I557" s="65"/>
      <c r="J557" s="143" t="str">
        <f>IF('Cronog. e Histog.'!F717&gt;0,'Cronog. e Histog.'!F717,"")</f>
        <v/>
      </c>
      <c r="K557" s="65"/>
      <c r="L557" s="144">
        <f>'Cronog. e Histog.'!BT717</f>
        <v>0</v>
      </c>
      <c r="M557" s="144">
        <f>'Cronog. e Histog.'!BU717</f>
        <v>0</v>
      </c>
      <c r="N557" s="65"/>
      <c r="O557" s="109">
        <f>_xlfn.XLOOKUP(B557,Salários!B:B,Salários!K:K)</f>
        <v>0</v>
      </c>
      <c r="P557" s="109">
        <f t="shared" si="750"/>
        <v>0</v>
      </c>
      <c r="Q557" s="109">
        <f t="shared" si="751"/>
        <v>0</v>
      </c>
      <c r="R557" s="65"/>
      <c r="S557" s="109">
        <f t="shared" si="752"/>
        <v>0</v>
      </c>
      <c r="T557" s="201" t="str">
        <f>IF(_xlfn.XLOOKUP(B557,Salários!B:B,Salários!I:I)&gt;0,_xlfn.XLOOKUP(B557,Salários!B:B,Salários!I:I),"")</f>
        <v/>
      </c>
      <c r="U557" s="117">
        <f t="shared" si="753"/>
        <v>0</v>
      </c>
      <c r="V557" s="65"/>
      <c r="W557" s="202"/>
      <c r="X557" s="65"/>
      <c r="Y557" s="69"/>
      <c r="Z557" s="65"/>
      <c r="AA557" s="518"/>
      <c r="AB557" s="65"/>
      <c r="AC557" s="81">
        <f t="shared" si="754"/>
        <v>0</v>
      </c>
      <c r="AD557" s="65"/>
      <c r="AE557" s="112"/>
      <c r="AF557" s="203">
        <v>0.3</v>
      </c>
      <c r="AG557" s="109">
        <f t="shared" si="732"/>
        <v>0</v>
      </c>
      <c r="AH557" s="84">
        <f t="shared" si="755"/>
        <v>0</v>
      </c>
      <c r="AI557" s="65"/>
      <c r="AJ557" s="112"/>
      <c r="AK557" s="122"/>
      <c r="AL557" s="109">
        <v>1212</v>
      </c>
      <c r="AM557" s="84">
        <f t="shared" si="756"/>
        <v>0</v>
      </c>
      <c r="AN557" s="65"/>
      <c r="AO557" s="112"/>
      <c r="AP557" s="204"/>
      <c r="AQ557" s="109">
        <f>IFERROR((O557+AH557+AM557)/Dashboard!$D$15,0)*0.2</f>
        <v>0</v>
      </c>
      <c r="AR557" s="84">
        <f t="shared" si="757"/>
        <v>0</v>
      </c>
      <c r="AS557" s="65"/>
      <c r="AT557" s="112"/>
      <c r="AU557" s="203">
        <v>0.33</v>
      </c>
      <c r="AV557" s="109">
        <f t="shared" si="736"/>
        <v>0</v>
      </c>
      <c r="AW557" s="84">
        <f t="shared" si="758"/>
        <v>0</v>
      </c>
      <c r="AX557" s="65"/>
      <c r="AY557" s="112"/>
      <c r="AZ557" s="203">
        <v>0.25</v>
      </c>
      <c r="BA557" s="109">
        <f t="shared" si="738"/>
        <v>0</v>
      </c>
      <c r="BB557" s="84">
        <f t="shared" si="759"/>
        <v>0</v>
      </c>
      <c r="BC557" s="65"/>
      <c r="BD557" s="112"/>
      <c r="BE557" s="203">
        <v>0.26</v>
      </c>
      <c r="BF557" s="109">
        <f t="shared" si="740"/>
        <v>0</v>
      </c>
      <c r="BG557" s="84">
        <f t="shared" si="760"/>
        <v>0</v>
      </c>
      <c r="BH557" s="197"/>
      <c r="BI557" s="518"/>
      <c r="BJ557" s="65"/>
      <c r="BK557" s="81">
        <f t="shared" si="761"/>
        <v>0</v>
      </c>
      <c r="BL557" s="65"/>
      <c r="BM557" s="65"/>
      <c r="BN557" s="204"/>
      <c r="BO557" s="109">
        <f>($O557/Dashboard!$D$15)*(1+Dashboard!$D$19)</f>
        <v>0</v>
      </c>
      <c r="BP557" s="84">
        <f t="shared" si="743"/>
        <v>0</v>
      </c>
      <c r="BQ557" s="65"/>
      <c r="BR557" s="65"/>
      <c r="BS557" s="204"/>
      <c r="BT557" s="109">
        <f>($O557/Dashboard!$D$15)*(1+Dashboard!$D$20)</f>
        <v>0</v>
      </c>
      <c r="BU557" s="84">
        <f t="shared" si="744"/>
        <v>0</v>
      </c>
      <c r="BV557" s="65"/>
      <c r="BW557" s="65"/>
      <c r="BX557" s="204"/>
      <c r="BY557" s="109">
        <f>($O557/Dashboard!$D$15)*(1+Dashboard!$D$21)</f>
        <v>0</v>
      </c>
      <c r="BZ557" s="84">
        <f t="shared" si="745"/>
        <v>0</v>
      </c>
    </row>
    <row r="558" spans="2:78" ht="12" hidden="1" customHeight="1" outlineLevel="1">
      <c r="B558" s="137" t="str">
        <f>'Cronog. e Histog.'!B718</f>
        <v/>
      </c>
      <c r="C558" s="65"/>
      <c r="D558" s="200">
        <f t="shared" si="746"/>
        <v>0</v>
      </c>
      <c r="E558" s="200">
        <f t="shared" si="747"/>
        <v>0</v>
      </c>
      <c r="F558" s="65"/>
      <c r="G558" s="200">
        <f t="shared" si="748"/>
        <v>0</v>
      </c>
      <c r="H558" s="200">
        <f t="shared" si="749"/>
        <v>0</v>
      </c>
      <c r="I558" s="65"/>
      <c r="J558" s="143" t="str">
        <f>IF('Cronog. e Histog.'!F718&gt;0,'Cronog. e Histog.'!F718,"")</f>
        <v/>
      </c>
      <c r="K558" s="65"/>
      <c r="L558" s="144">
        <f>'Cronog. e Histog.'!BT718</f>
        <v>0</v>
      </c>
      <c r="M558" s="144">
        <f>'Cronog. e Histog.'!BU718</f>
        <v>0</v>
      </c>
      <c r="N558" s="65"/>
      <c r="O558" s="109">
        <f>_xlfn.XLOOKUP(B558,Salários!B:B,Salários!K:K)</f>
        <v>0</v>
      </c>
      <c r="P558" s="109">
        <f t="shared" si="750"/>
        <v>0</v>
      </c>
      <c r="Q558" s="109">
        <f t="shared" si="751"/>
        <v>0</v>
      </c>
      <c r="R558" s="65"/>
      <c r="S558" s="109">
        <f t="shared" si="752"/>
        <v>0</v>
      </c>
      <c r="T558" s="201" t="str">
        <f>IF(_xlfn.XLOOKUP(B558,Salários!B:B,Salários!I:I)&gt;0,_xlfn.XLOOKUP(B558,Salários!B:B,Salários!I:I),"")</f>
        <v/>
      </c>
      <c r="U558" s="117">
        <f t="shared" si="753"/>
        <v>0</v>
      </c>
      <c r="V558" s="65"/>
      <c r="W558" s="202"/>
      <c r="X558" s="65"/>
      <c r="Y558" s="69"/>
      <c r="Z558" s="65"/>
      <c r="AA558" s="518"/>
      <c r="AB558" s="65"/>
      <c r="AC558" s="81">
        <f t="shared" si="754"/>
        <v>0</v>
      </c>
      <c r="AD558" s="65"/>
      <c r="AE558" s="112"/>
      <c r="AF558" s="203">
        <v>0.3</v>
      </c>
      <c r="AG558" s="109">
        <f t="shared" si="732"/>
        <v>0</v>
      </c>
      <c r="AH558" s="84">
        <f t="shared" si="755"/>
        <v>0</v>
      </c>
      <c r="AI558" s="65"/>
      <c r="AJ558" s="112"/>
      <c r="AK558" s="122"/>
      <c r="AL558" s="109">
        <v>1212</v>
      </c>
      <c r="AM558" s="84">
        <f t="shared" si="756"/>
        <v>0</v>
      </c>
      <c r="AN558" s="65"/>
      <c r="AO558" s="112"/>
      <c r="AP558" s="204"/>
      <c r="AQ558" s="109">
        <f>IFERROR((O558+AH558+AM558)/Dashboard!$D$15,0)*0.2</f>
        <v>0</v>
      </c>
      <c r="AR558" s="84">
        <f t="shared" si="757"/>
        <v>0</v>
      </c>
      <c r="AS558" s="65"/>
      <c r="AT558" s="112"/>
      <c r="AU558" s="203">
        <v>0.33</v>
      </c>
      <c r="AV558" s="109">
        <f t="shared" si="736"/>
        <v>0</v>
      </c>
      <c r="AW558" s="84">
        <f t="shared" si="758"/>
        <v>0</v>
      </c>
      <c r="AX558" s="65"/>
      <c r="AY558" s="112"/>
      <c r="AZ558" s="203">
        <v>0.25</v>
      </c>
      <c r="BA558" s="109">
        <f t="shared" si="738"/>
        <v>0</v>
      </c>
      <c r="BB558" s="84">
        <f t="shared" si="759"/>
        <v>0</v>
      </c>
      <c r="BC558" s="65"/>
      <c r="BD558" s="112"/>
      <c r="BE558" s="203">
        <v>0.26</v>
      </c>
      <c r="BF558" s="109">
        <f t="shared" si="740"/>
        <v>0</v>
      </c>
      <c r="BG558" s="84">
        <f t="shared" si="760"/>
        <v>0</v>
      </c>
      <c r="BH558" s="197"/>
      <c r="BI558" s="518"/>
      <c r="BJ558" s="65"/>
      <c r="BK558" s="81">
        <f t="shared" si="761"/>
        <v>0</v>
      </c>
      <c r="BL558" s="65"/>
      <c r="BM558" s="65"/>
      <c r="BN558" s="204"/>
      <c r="BO558" s="109">
        <f>($O558/Dashboard!$D$15)*(1+Dashboard!$D$19)</f>
        <v>0</v>
      </c>
      <c r="BP558" s="84">
        <f t="shared" si="743"/>
        <v>0</v>
      </c>
      <c r="BQ558" s="65"/>
      <c r="BR558" s="65"/>
      <c r="BS558" s="204"/>
      <c r="BT558" s="109">
        <f>($O558/Dashboard!$D$15)*(1+Dashboard!$D$20)</f>
        <v>0</v>
      </c>
      <c r="BU558" s="84">
        <f t="shared" si="744"/>
        <v>0</v>
      </c>
      <c r="BV558" s="65"/>
      <c r="BW558" s="65"/>
      <c r="BX558" s="204"/>
      <c r="BY558" s="109">
        <f>($O558/Dashboard!$D$15)*(1+Dashboard!$D$21)</f>
        <v>0</v>
      </c>
      <c r="BZ558" s="84">
        <f t="shared" si="745"/>
        <v>0</v>
      </c>
    </row>
    <row r="559" spans="2:78" ht="12" hidden="1" customHeight="1" outlineLevel="1">
      <c r="B559" s="137" t="str">
        <f>'Cronog. e Histog.'!B719</f>
        <v/>
      </c>
      <c r="C559" s="65"/>
      <c r="D559" s="200">
        <f t="shared" si="746"/>
        <v>0</v>
      </c>
      <c r="E559" s="200">
        <f t="shared" si="747"/>
        <v>0</v>
      </c>
      <c r="F559" s="65"/>
      <c r="G559" s="200">
        <f t="shared" si="748"/>
        <v>0</v>
      </c>
      <c r="H559" s="200">
        <f t="shared" si="749"/>
        <v>0</v>
      </c>
      <c r="I559" s="65"/>
      <c r="J559" s="143" t="str">
        <f>IF('Cronog. e Histog.'!F719&gt;0,'Cronog. e Histog.'!F719,"")</f>
        <v/>
      </c>
      <c r="K559" s="65"/>
      <c r="L559" s="144">
        <f>'Cronog. e Histog.'!BT719</f>
        <v>0</v>
      </c>
      <c r="M559" s="144">
        <f>'Cronog. e Histog.'!BU719</f>
        <v>0</v>
      </c>
      <c r="N559" s="65"/>
      <c r="O559" s="109">
        <f>_xlfn.XLOOKUP(B559,Salários!B:B,Salários!K:K)</f>
        <v>0</v>
      </c>
      <c r="P559" s="109">
        <f t="shared" si="750"/>
        <v>0</v>
      </c>
      <c r="Q559" s="109">
        <f t="shared" si="751"/>
        <v>0</v>
      </c>
      <c r="R559" s="65"/>
      <c r="S559" s="109">
        <f t="shared" si="752"/>
        <v>0</v>
      </c>
      <c r="T559" s="201" t="str">
        <f>IF(_xlfn.XLOOKUP(B559,Salários!B:B,Salários!I:I)&gt;0,_xlfn.XLOOKUP(B559,Salários!B:B,Salários!I:I),"")</f>
        <v/>
      </c>
      <c r="U559" s="117">
        <f t="shared" si="753"/>
        <v>0</v>
      </c>
      <c r="V559" s="65"/>
      <c r="W559" s="202"/>
      <c r="X559" s="65"/>
      <c r="Y559" s="69"/>
      <c r="Z559" s="65"/>
      <c r="AA559" s="518"/>
      <c r="AB559" s="65"/>
      <c r="AC559" s="81">
        <f t="shared" si="754"/>
        <v>0</v>
      </c>
      <c r="AD559" s="65"/>
      <c r="AE559" s="112"/>
      <c r="AF559" s="203">
        <v>0.3</v>
      </c>
      <c r="AG559" s="109">
        <f t="shared" si="732"/>
        <v>0</v>
      </c>
      <c r="AH559" s="84">
        <f t="shared" si="755"/>
        <v>0</v>
      </c>
      <c r="AI559" s="65"/>
      <c r="AJ559" s="112"/>
      <c r="AK559" s="122"/>
      <c r="AL559" s="109">
        <v>1212</v>
      </c>
      <c r="AM559" s="84">
        <f t="shared" si="756"/>
        <v>0</v>
      </c>
      <c r="AN559" s="65"/>
      <c r="AO559" s="112"/>
      <c r="AP559" s="204"/>
      <c r="AQ559" s="109">
        <f>IFERROR((O559+AH559+AM559)/Dashboard!$D$15,0)*0.2</f>
        <v>0</v>
      </c>
      <c r="AR559" s="84">
        <f t="shared" si="757"/>
        <v>0</v>
      </c>
      <c r="AS559" s="65"/>
      <c r="AT559" s="112"/>
      <c r="AU559" s="203">
        <v>0.33</v>
      </c>
      <c r="AV559" s="109">
        <f t="shared" si="736"/>
        <v>0</v>
      </c>
      <c r="AW559" s="84">
        <f t="shared" si="758"/>
        <v>0</v>
      </c>
      <c r="AX559" s="65"/>
      <c r="AY559" s="112"/>
      <c r="AZ559" s="203">
        <v>0.25</v>
      </c>
      <c r="BA559" s="109">
        <f t="shared" si="738"/>
        <v>0</v>
      </c>
      <c r="BB559" s="84">
        <f t="shared" si="759"/>
        <v>0</v>
      </c>
      <c r="BC559" s="65"/>
      <c r="BD559" s="112"/>
      <c r="BE559" s="203">
        <v>0.26</v>
      </c>
      <c r="BF559" s="109">
        <f t="shared" si="740"/>
        <v>0</v>
      </c>
      <c r="BG559" s="84">
        <f t="shared" si="760"/>
        <v>0</v>
      </c>
      <c r="BH559" s="197"/>
      <c r="BI559" s="518"/>
      <c r="BJ559" s="65"/>
      <c r="BK559" s="81">
        <f t="shared" si="761"/>
        <v>0</v>
      </c>
      <c r="BL559" s="65"/>
      <c r="BM559" s="65"/>
      <c r="BN559" s="204"/>
      <c r="BO559" s="109">
        <f>($O559/Dashboard!$D$15)*(1+Dashboard!$D$19)</f>
        <v>0</v>
      </c>
      <c r="BP559" s="84">
        <f t="shared" si="743"/>
        <v>0</v>
      </c>
      <c r="BQ559" s="65"/>
      <c r="BR559" s="65"/>
      <c r="BS559" s="204"/>
      <c r="BT559" s="109">
        <f>($O559/Dashboard!$D$15)*(1+Dashboard!$D$20)</f>
        <v>0</v>
      </c>
      <c r="BU559" s="84">
        <f t="shared" si="744"/>
        <v>0</v>
      </c>
      <c r="BV559" s="65"/>
      <c r="BW559" s="65"/>
      <c r="BX559" s="204"/>
      <c r="BY559" s="109">
        <f>($O559/Dashboard!$D$15)*(1+Dashboard!$D$21)</f>
        <v>0</v>
      </c>
      <c r="BZ559" s="84">
        <f t="shared" si="745"/>
        <v>0</v>
      </c>
    </row>
    <row r="560" spans="2:78" ht="12" hidden="1" customHeight="1" outlineLevel="1">
      <c r="B560" s="137" t="str">
        <f>'Cronog. e Histog.'!B720</f>
        <v/>
      </c>
      <c r="C560" s="65"/>
      <c r="D560" s="200">
        <f t="shared" si="746"/>
        <v>0</v>
      </c>
      <c r="E560" s="200">
        <f t="shared" si="747"/>
        <v>0</v>
      </c>
      <c r="F560" s="65"/>
      <c r="G560" s="200">
        <f t="shared" si="748"/>
        <v>0</v>
      </c>
      <c r="H560" s="200">
        <f t="shared" si="749"/>
        <v>0</v>
      </c>
      <c r="I560" s="65"/>
      <c r="J560" s="143" t="str">
        <f>IF('Cronog. e Histog.'!F720&gt;0,'Cronog. e Histog.'!F720,"")</f>
        <v/>
      </c>
      <c r="K560" s="65"/>
      <c r="L560" s="144">
        <f>'Cronog. e Histog.'!BT720</f>
        <v>0</v>
      </c>
      <c r="M560" s="144">
        <f>'Cronog. e Histog.'!BU720</f>
        <v>0</v>
      </c>
      <c r="N560" s="65"/>
      <c r="O560" s="109">
        <f>_xlfn.XLOOKUP(B560,Salários!B:B,Salários!K:K)</f>
        <v>0</v>
      </c>
      <c r="P560" s="109">
        <f t="shared" si="750"/>
        <v>0</v>
      </c>
      <c r="Q560" s="109">
        <f t="shared" si="751"/>
        <v>0</v>
      </c>
      <c r="R560" s="65"/>
      <c r="S560" s="109">
        <f t="shared" si="752"/>
        <v>0</v>
      </c>
      <c r="T560" s="201" t="str">
        <f>IF(_xlfn.XLOOKUP(B560,Salários!B:B,Salários!I:I)&gt;0,_xlfn.XLOOKUP(B560,Salários!B:B,Salários!I:I),"")</f>
        <v/>
      </c>
      <c r="U560" s="117">
        <f t="shared" si="753"/>
        <v>0</v>
      </c>
      <c r="V560" s="65"/>
      <c r="W560" s="202"/>
      <c r="X560" s="65"/>
      <c r="Y560" s="69"/>
      <c r="Z560" s="65"/>
      <c r="AA560" s="518"/>
      <c r="AB560" s="65"/>
      <c r="AC560" s="81">
        <f t="shared" si="754"/>
        <v>0</v>
      </c>
      <c r="AD560" s="65"/>
      <c r="AE560" s="112"/>
      <c r="AF560" s="203">
        <v>0.3</v>
      </c>
      <c r="AG560" s="109">
        <f t="shared" si="732"/>
        <v>0</v>
      </c>
      <c r="AH560" s="84">
        <f t="shared" si="755"/>
        <v>0</v>
      </c>
      <c r="AI560" s="65"/>
      <c r="AJ560" s="112"/>
      <c r="AK560" s="122"/>
      <c r="AL560" s="109">
        <v>1212</v>
      </c>
      <c r="AM560" s="84">
        <f t="shared" si="756"/>
        <v>0</v>
      </c>
      <c r="AN560" s="65"/>
      <c r="AO560" s="112"/>
      <c r="AP560" s="204"/>
      <c r="AQ560" s="109">
        <f>IFERROR((O560+AH560+AM560)/Dashboard!$D$15,0)*0.2</f>
        <v>0</v>
      </c>
      <c r="AR560" s="84">
        <f t="shared" si="757"/>
        <v>0</v>
      </c>
      <c r="AS560" s="65"/>
      <c r="AT560" s="112"/>
      <c r="AU560" s="203">
        <v>0.33</v>
      </c>
      <c r="AV560" s="109">
        <f t="shared" si="736"/>
        <v>0</v>
      </c>
      <c r="AW560" s="84">
        <f t="shared" si="758"/>
        <v>0</v>
      </c>
      <c r="AX560" s="65"/>
      <c r="AY560" s="112"/>
      <c r="AZ560" s="203">
        <v>0.25</v>
      </c>
      <c r="BA560" s="109">
        <f t="shared" si="738"/>
        <v>0</v>
      </c>
      <c r="BB560" s="84">
        <f t="shared" si="759"/>
        <v>0</v>
      </c>
      <c r="BC560" s="65"/>
      <c r="BD560" s="112"/>
      <c r="BE560" s="203">
        <v>0.26</v>
      </c>
      <c r="BF560" s="109">
        <f t="shared" si="740"/>
        <v>0</v>
      </c>
      <c r="BG560" s="84">
        <f t="shared" si="760"/>
        <v>0</v>
      </c>
      <c r="BH560" s="197"/>
      <c r="BI560" s="518"/>
      <c r="BJ560" s="65"/>
      <c r="BK560" s="81">
        <f t="shared" si="761"/>
        <v>0</v>
      </c>
      <c r="BL560" s="65"/>
      <c r="BM560" s="65"/>
      <c r="BN560" s="204"/>
      <c r="BO560" s="109">
        <f>($O560/Dashboard!$D$15)*(1+Dashboard!$D$19)</f>
        <v>0</v>
      </c>
      <c r="BP560" s="84">
        <f t="shared" si="743"/>
        <v>0</v>
      </c>
      <c r="BQ560" s="65"/>
      <c r="BR560" s="65"/>
      <c r="BS560" s="204"/>
      <c r="BT560" s="109">
        <f>($O560/Dashboard!$D$15)*(1+Dashboard!$D$20)</f>
        <v>0</v>
      </c>
      <c r="BU560" s="84">
        <f t="shared" si="744"/>
        <v>0</v>
      </c>
      <c r="BV560" s="65"/>
      <c r="BW560" s="65"/>
      <c r="BX560" s="204"/>
      <c r="BY560" s="109">
        <f>($O560/Dashboard!$D$15)*(1+Dashboard!$D$21)</f>
        <v>0</v>
      </c>
      <c r="BZ560" s="84">
        <f t="shared" si="745"/>
        <v>0</v>
      </c>
    </row>
    <row r="561" spans="2:78" ht="12" hidden="1" customHeight="1" outlineLevel="1">
      <c r="B561" s="137" t="str">
        <f>'Cronog. e Histog.'!B721</f>
        <v/>
      </c>
      <c r="C561" s="65"/>
      <c r="D561" s="200">
        <f t="shared" si="746"/>
        <v>0</v>
      </c>
      <c r="E561" s="200">
        <f t="shared" si="747"/>
        <v>0</v>
      </c>
      <c r="F561" s="65"/>
      <c r="G561" s="200">
        <f t="shared" si="748"/>
        <v>0</v>
      </c>
      <c r="H561" s="200">
        <f t="shared" si="749"/>
        <v>0</v>
      </c>
      <c r="I561" s="65"/>
      <c r="J561" s="143" t="str">
        <f>IF('Cronog. e Histog.'!F721&gt;0,'Cronog. e Histog.'!F721,"")</f>
        <v/>
      </c>
      <c r="K561" s="65"/>
      <c r="L561" s="144">
        <f>'Cronog. e Histog.'!BT721</f>
        <v>0</v>
      </c>
      <c r="M561" s="144">
        <f>'Cronog. e Histog.'!BU721</f>
        <v>0</v>
      </c>
      <c r="N561" s="65"/>
      <c r="O561" s="109">
        <f>_xlfn.XLOOKUP(B561,Salários!B:B,Salários!K:K)</f>
        <v>0</v>
      </c>
      <c r="P561" s="109">
        <f t="shared" si="750"/>
        <v>0</v>
      </c>
      <c r="Q561" s="109">
        <f t="shared" si="751"/>
        <v>0</v>
      </c>
      <c r="R561" s="65"/>
      <c r="S561" s="109">
        <f t="shared" si="752"/>
        <v>0</v>
      </c>
      <c r="T561" s="201" t="str">
        <f>IF(_xlfn.XLOOKUP(B561,Salários!B:B,Salários!I:I)&gt;0,_xlfn.XLOOKUP(B561,Salários!B:B,Salários!I:I),"")</f>
        <v/>
      </c>
      <c r="U561" s="117">
        <f t="shared" si="753"/>
        <v>0</v>
      </c>
      <c r="V561" s="65"/>
      <c r="W561" s="202"/>
      <c r="X561" s="65"/>
      <c r="Y561" s="69"/>
      <c r="Z561" s="65"/>
      <c r="AA561" s="518"/>
      <c r="AB561" s="65"/>
      <c r="AC561" s="81">
        <f t="shared" si="754"/>
        <v>0</v>
      </c>
      <c r="AD561" s="65"/>
      <c r="AE561" s="112"/>
      <c r="AF561" s="203">
        <v>0.3</v>
      </c>
      <c r="AG561" s="109">
        <f t="shared" si="732"/>
        <v>0</v>
      </c>
      <c r="AH561" s="84">
        <f t="shared" si="755"/>
        <v>0</v>
      </c>
      <c r="AI561" s="65"/>
      <c r="AJ561" s="112"/>
      <c r="AK561" s="122"/>
      <c r="AL561" s="109">
        <v>1212</v>
      </c>
      <c r="AM561" s="84">
        <f t="shared" si="756"/>
        <v>0</v>
      </c>
      <c r="AN561" s="65"/>
      <c r="AO561" s="112"/>
      <c r="AP561" s="204"/>
      <c r="AQ561" s="109">
        <f>IFERROR((O561+AH561+AM561)/Dashboard!$D$15,0)*0.2</f>
        <v>0</v>
      </c>
      <c r="AR561" s="84">
        <f t="shared" si="757"/>
        <v>0</v>
      </c>
      <c r="AS561" s="65"/>
      <c r="AT561" s="112"/>
      <c r="AU561" s="203">
        <v>0.33</v>
      </c>
      <c r="AV561" s="109">
        <f t="shared" si="736"/>
        <v>0</v>
      </c>
      <c r="AW561" s="84">
        <f t="shared" si="758"/>
        <v>0</v>
      </c>
      <c r="AX561" s="65"/>
      <c r="AY561" s="112"/>
      <c r="AZ561" s="203">
        <v>0.25</v>
      </c>
      <c r="BA561" s="109">
        <f t="shared" si="738"/>
        <v>0</v>
      </c>
      <c r="BB561" s="84">
        <f t="shared" si="759"/>
        <v>0</v>
      </c>
      <c r="BC561" s="65"/>
      <c r="BD561" s="112"/>
      <c r="BE561" s="203">
        <v>0.26</v>
      </c>
      <c r="BF561" s="109">
        <f t="shared" si="740"/>
        <v>0</v>
      </c>
      <c r="BG561" s="84">
        <f t="shared" si="760"/>
        <v>0</v>
      </c>
      <c r="BH561" s="197"/>
      <c r="BI561" s="518"/>
      <c r="BJ561" s="65"/>
      <c r="BK561" s="81">
        <f t="shared" si="761"/>
        <v>0</v>
      </c>
      <c r="BL561" s="65"/>
      <c r="BM561" s="65"/>
      <c r="BN561" s="204"/>
      <c r="BO561" s="109">
        <f>($O561/Dashboard!$D$15)*(1+Dashboard!$D$19)</f>
        <v>0</v>
      </c>
      <c r="BP561" s="84">
        <f t="shared" si="743"/>
        <v>0</v>
      </c>
      <c r="BQ561" s="65"/>
      <c r="BR561" s="65"/>
      <c r="BS561" s="204"/>
      <c r="BT561" s="109">
        <f>($O561/Dashboard!$D$15)*(1+Dashboard!$D$20)</f>
        <v>0</v>
      </c>
      <c r="BU561" s="84">
        <f t="shared" si="744"/>
        <v>0</v>
      </c>
      <c r="BV561" s="65"/>
      <c r="BW561" s="65"/>
      <c r="BX561" s="204"/>
      <c r="BY561" s="109">
        <f>($O561/Dashboard!$D$15)*(1+Dashboard!$D$21)</f>
        <v>0</v>
      </c>
      <c r="BZ561" s="84">
        <f t="shared" si="745"/>
        <v>0</v>
      </c>
    </row>
    <row r="562" spans="2:78" ht="12" hidden="1" customHeight="1" outlineLevel="1">
      <c r="B562" s="137" t="str">
        <f>'Cronog. e Histog.'!B722</f>
        <v/>
      </c>
      <c r="C562" s="65"/>
      <c r="D562" s="200">
        <f t="shared" si="746"/>
        <v>0</v>
      </c>
      <c r="E562" s="200">
        <f t="shared" si="747"/>
        <v>0</v>
      </c>
      <c r="F562" s="65"/>
      <c r="G562" s="200">
        <f t="shared" si="748"/>
        <v>0</v>
      </c>
      <c r="H562" s="200">
        <f t="shared" si="749"/>
        <v>0</v>
      </c>
      <c r="I562" s="65"/>
      <c r="J562" s="143" t="str">
        <f>IF('Cronog. e Histog.'!F722&gt;0,'Cronog. e Histog.'!F722,"")</f>
        <v/>
      </c>
      <c r="K562" s="65"/>
      <c r="L562" s="144">
        <f>'Cronog. e Histog.'!BT722</f>
        <v>0</v>
      </c>
      <c r="M562" s="144">
        <f>'Cronog. e Histog.'!BU722</f>
        <v>0</v>
      </c>
      <c r="N562" s="65"/>
      <c r="O562" s="109">
        <f>_xlfn.XLOOKUP(B562,Salários!B:B,Salários!K:K)</f>
        <v>0</v>
      </c>
      <c r="P562" s="109">
        <f t="shared" si="750"/>
        <v>0</v>
      </c>
      <c r="Q562" s="109">
        <f t="shared" si="751"/>
        <v>0</v>
      </c>
      <c r="R562" s="65"/>
      <c r="S562" s="109">
        <f t="shared" si="752"/>
        <v>0</v>
      </c>
      <c r="T562" s="201" t="str">
        <f>IF(_xlfn.XLOOKUP(B562,Salários!B:B,Salários!I:I)&gt;0,_xlfn.XLOOKUP(B562,Salários!B:B,Salários!I:I),"")</f>
        <v/>
      </c>
      <c r="U562" s="117">
        <f t="shared" si="753"/>
        <v>0</v>
      </c>
      <c r="V562" s="65"/>
      <c r="W562" s="202"/>
      <c r="X562" s="65"/>
      <c r="Y562" s="69"/>
      <c r="Z562" s="65"/>
      <c r="AA562" s="518"/>
      <c r="AB562" s="65"/>
      <c r="AC562" s="81">
        <f t="shared" si="754"/>
        <v>0</v>
      </c>
      <c r="AD562" s="65"/>
      <c r="AE562" s="112"/>
      <c r="AF562" s="203">
        <v>0.3</v>
      </c>
      <c r="AG562" s="109">
        <f t="shared" si="732"/>
        <v>0</v>
      </c>
      <c r="AH562" s="84">
        <f t="shared" si="755"/>
        <v>0</v>
      </c>
      <c r="AI562" s="65"/>
      <c r="AJ562" s="112"/>
      <c r="AK562" s="122"/>
      <c r="AL562" s="109">
        <v>1212</v>
      </c>
      <c r="AM562" s="84">
        <f t="shared" si="756"/>
        <v>0</v>
      </c>
      <c r="AN562" s="65"/>
      <c r="AO562" s="112"/>
      <c r="AP562" s="204"/>
      <c r="AQ562" s="109">
        <f>IFERROR((O562+AH562+AM562)/Dashboard!$D$15,0)*0.2</f>
        <v>0</v>
      </c>
      <c r="AR562" s="84">
        <f t="shared" si="757"/>
        <v>0</v>
      </c>
      <c r="AS562" s="65"/>
      <c r="AT562" s="112"/>
      <c r="AU562" s="203">
        <v>0.33</v>
      </c>
      <c r="AV562" s="109">
        <f t="shared" si="736"/>
        <v>0</v>
      </c>
      <c r="AW562" s="84">
        <f t="shared" si="758"/>
        <v>0</v>
      </c>
      <c r="AX562" s="65"/>
      <c r="AY562" s="112"/>
      <c r="AZ562" s="203">
        <v>0.25</v>
      </c>
      <c r="BA562" s="109">
        <f t="shared" si="738"/>
        <v>0</v>
      </c>
      <c r="BB562" s="84">
        <f t="shared" si="759"/>
        <v>0</v>
      </c>
      <c r="BC562" s="65"/>
      <c r="BD562" s="112"/>
      <c r="BE562" s="203">
        <v>0.26</v>
      </c>
      <c r="BF562" s="109">
        <f t="shared" si="740"/>
        <v>0</v>
      </c>
      <c r="BG562" s="84">
        <f t="shared" si="760"/>
        <v>0</v>
      </c>
      <c r="BH562" s="197"/>
      <c r="BI562" s="518"/>
      <c r="BJ562" s="65"/>
      <c r="BK562" s="81">
        <f t="shared" si="761"/>
        <v>0</v>
      </c>
      <c r="BL562" s="65"/>
      <c r="BM562" s="65"/>
      <c r="BN562" s="204"/>
      <c r="BO562" s="109">
        <f>($O562/Dashboard!$D$15)*(1+Dashboard!$D$19)</f>
        <v>0</v>
      </c>
      <c r="BP562" s="84">
        <f t="shared" si="743"/>
        <v>0</v>
      </c>
      <c r="BQ562" s="65"/>
      <c r="BR562" s="65"/>
      <c r="BS562" s="204"/>
      <c r="BT562" s="109">
        <f>($O562/Dashboard!$D$15)*(1+Dashboard!$D$20)</f>
        <v>0</v>
      </c>
      <c r="BU562" s="84">
        <f t="shared" si="744"/>
        <v>0</v>
      </c>
      <c r="BV562" s="65"/>
      <c r="BW562" s="65"/>
      <c r="BX562" s="204"/>
      <c r="BY562" s="109">
        <f>($O562/Dashboard!$D$15)*(1+Dashboard!$D$21)</f>
        <v>0</v>
      </c>
      <c r="BZ562" s="84">
        <f t="shared" si="745"/>
        <v>0</v>
      </c>
    </row>
    <row r="563" spans="2:78" ht="12" hidden="1" customHeight="1" outlineLevel="1">
      <c r="B563" s="137" t="str">
        <f>'Cronog. e Histog.'!B723</f>
        <v/>
      </c>
      <c r="C563" s="65"/>
      <c r="D563" s="200">
        <f t="shared" si="746"/>
        <v>0</v>
      </c>
      <c r="E563" s="200">
        <f t="shared" si="747"/>
        <v>0</v>
      </c>
      <c r="F563" s="65"/>
      <c r="G563" s="200">
        <f t="shared" si="748"/>
        <v>0</v>
      </c>
      <c r="H563" s="200">
        <f t="shared" si="749"/>
        <v>0</v>
      </c>
      <c r="I563" s="65"/>
      <c r="J563" s="143" t="str">
        <f>IF('Cronog. e Histog.'!F723&gt;0,'Cronog. e Histog.'!F723,"")</f>
        <v/>
      </c>
      <c r="K563" s="65"/>
      <c r="L563" s="144">
        <f>'Cronog. e Histog.'!BT723</f>
        <v>0</v>
      </c>
      <c r="M563" s="144">
        <f>'Cronog. e Histog.'!BU723</f>
        <v>0</v>
      </c>
      <c r="N563" s="65"/>
      <c r="O563" s="109">
        <f>_xlfn.XLOOKUP(B563,Salários!B:B,Salários!K:K)</f>
        <v>0</v>
      </c>
      <c r="P563" s="109">
        <f t="shared" si="750"/>
        <v>0</v>
      </c>
      <c r="Q563" s="109">
        <f t="shared" si="751"/>
        <v>0</v>
      </c>
      <c r="R563" s="65"/>
      <c r="S563" s="109">
        <f t="shared" si="752"/>
        <v>0</v>
      </c>
      <c r="T563" s="201" t="str">
        <f>IF(_xlfn.XLOOKUP(B563,Salários!B:B,Salários!I:I)&gt;0,_xlfn.XLOOKUP(B563,Salários!B:B,Salários!I:I),"")</f>
        <v/>
      </c>
      <c r="U563" s="117">
        <f t="shared" si="753"/>
        <v>0</v>
      </c>
      <c r="V563" s="65"/>
      <c r="W563" s="202"/>
      <c r="X563" s="65"/>
      <c r="Y563" s="69"/>
      <c r="Z563" s="65"/>
      <c r="AA563" s="518"/>
      <c r="AB563" s="65"/>
      <c r="AC563" s="81">
        <f t="shared" si="754"/>
        <v>0</v>
      </c>
      <c r="AD563" s="65"/>
      <c r="AE563" s="112"/>
      <c r="AF563" s="203">
        <v>0.3</v>
      </c>
      <c r="AG563" s="109">
        <f t="shared" si="732"/>
        <v>0</v>
      </c>
      <c r="AH563" s="84">
        <f t="shared" si="755"/>
        <v>0</v>
      </c>
      <c r="AI563" s="65"/>
      <c r="AJ563" s="112"/>
      <c r="AK563" s="122"/>
      <c r="AL563" s="109">
        <v>1212</v>
      </c>
      <c r="AM563" s="84">
        <f t="shared" si="756"/>
        <v>0</v>
      </c>
      <c r="AN563" s="65"/>
      <c r="AO563" s="112"/>
      <c r="AP563" s="204"/>
      <c r="AQ563" s="109">
        <f>IFERROR((O563+AH563+AM563)/Dashboard!$D$15,0)*0.2</f>
        <v>0</v>
      </c>
      <c r="AR563" s="84">
        <f t="shared" si="757"/>
        <v>0</v>
      </c>
      <c r="AS563" s="65"/>
      <c r="AT563" s="112"/>
      <c r="AU563" s="203">
        <v>0.33</v>
      </c>
      <c r="AV563" s="109">
        <f t="shared" si="736"/>
        <v>0</v>
      </c>
      <c r="AW563" s="84">
        <f t="shared" si="758"/>
        <v>0</v>
      </c>
      <c r="AX563" s="65"/>
      <c r="AY563" s="112"/>
      <c r="AZ563" s="203">
        <v>0.25</v>
      </c>
      <c r="BA563" s="109">
        <f t="shared" si="738"/>
        <v>0</v>
      </c>
      <c r="BB563" s="84">
        <f t="shared" si="759"/>
        <v>0</v>
      </c>
      <c r="BC563" s="65"/>
      <c r="BD563" s="112"/>
      <c r="BE563" s="203">
        <v>0.26</v>
      </c>
      <c r="BF563" s="109">
        <f t="shared" si="740"/>
        <v>0</v>
      </c>
      <c r="BG563" s="84">
        <f t="shared" si="760"/>
        <v>0</v>
      </c>
      <c r="BH563" s="197"/>
      <c r="BI563" s="518"/>
      <c r="BJ563" s="65"/>
      <c r="BK563" s="81">
        <f t="shared" si="761"/>
        <v>0</v>
      </c>
      <c r="BL563" s="65"/>
      <c r="BM563" s="65"/>
      <c r="BN563" s="204"/>
      <c r="BO563" s="109">
        <f>($O563/Dashboard!$D$15)*(1+Dashboard!$D$19)</f>
        <v>0</v>
      </c>
      <c r="BP563" s="84">
        <f t="shared" si="743"/>
        <v>0</v>
      </c>
      <c r="BQ563" s="65"/>
      <c r="BR563" s="65"/>
      <c r="BS563" s="204"/>
      <c r="BT563" s="109">
        <f>($O563/Dashboard!$D$15)*(1+Dashboard!$D$20)</f>
        <v>0</v>
      </c>
      <c r="BU563" s="84">
        <f t="shared" si="744"/>
        <v>0</v>
      </c>
      <c r="BV563" s="65"/>
      <c r="BW563" s="65"/>
      <c r="BX563" s="204"/>
      <c r="BY563" s="109">
        <f>($O563/Dashboard!$D$15)*(1+Dashboard!$D$21)</f>
        <v>0</v>
      </c>
      <c r="BZ563" s="84">
        <f t="shared" si="745"/>
        <v>0</v>
      </c>
    </row>
    <row r="564" spans="2:78" ht="12" hidden="1" customHeight="1" outlineLevel="1">
      <c r="B564" s="137" t="str">
        <f>'Cronog. e Histog.'!B724</f>
        <v/>
      </c>
      <c r="C564" s="65"/>
      <c r="D564" s="200">
        <f t="shared" si="746"/>
        <v>0</v>
      </c>
      <c r="E564" s="200">
        <f t="shared" si="747"/>
        <v>0</v>
      </c>
      <c r="F564" s="65"/>
      <c r="G564" s="200">
        <f t="shared" si="748"/>
        <v>0</v>
      </c>
      <c r="H564" s="200">
        <f t="shared" si="749"/>
        <v>0</v>
      </c>
      <c r="I564" s="65"/>
      <c r="J564" s="143" t="str">
        <f>IF('Cronog. e Histog.'!F724&gt;0,'Cronog. e Histog.'!F724,"")</f>
        <v/>
      </c>
      <c r="K564" s="65"/>
      <c r="L564" s="144">
        <f>'Cronog. e Histog.'!BT724</f>
        <v>0</v>
      </c>
      <c r="M564" s="144">
        <f>'Cronog. e Histog.'!BU724</f>
        <v>0</v>
      </c>
      <c r="N564" s="65"/>
      <c r="O564" s="109">
        <f>_xlfn.XLOOKUP(B564,Salários!B:B,Salários!K:K)</f>
        <v>0</v>
      </c>
      <c r="P564" s="109">
        <f t="shared" si="750"/>
        <v>0</v>
      </c>
      <c r="Q564" s="109">
        <f t="shared" si="751"/>
        <v>0</v>
      </c>
      <c r="R564" s="65"/>
      <c r="S564" s="109">
        <f t="shared" si="752"/>
        <v>0</v>
      </c>
      <c r="T564" s="201" t="str">
        <f>IF(_xlfn.XLOOKUP(B564,Salários!B:B,Salários!I:I)&gt;0,_xlfn.XLOOKUP(B564,Salários!B:B,Salários!I:I),"")</f>
        <v/>
      </c>
      <c r="U564" s="117">
        <f t="shared" si="753"/>
        <v>0</v>
      </c>
      <c r="V564" s="65"/>
      <c r="W564" s="202"/>
      <c r="X564" s="65"/>
      <c r="Y564" s="69"/>
      <c r="Z564" s="65"/>
      <c r="AA564" s="518"/>
      <c r="AB564" s="65"/>
      <c r="AC564" s="81">
        <f t="shared" si="754"/>
        <v>0</v>
      </c>
      <c r="AD564" s="65"/>
      <c r="AE564" s="112"/>
      <c r="AF564" s="203">
        <v>0.3</v>
      </c>
      <c r="AG564" s="109">
        <f t="shared" si="732"/>
        <v>0</v>
      </c>
      <c r="AH564" s="84">
        <f t="shared" si="755"/>
        <v>0</v>
      </c>
      <c r="AI564" s="65"/>
      <c r="AJ564" s="112"/>
      <c r="AK564" s="122"/>
      <c r="AL564" s="109">
        <v>1212</v>
      </c>
      <c r="AM564" s="84">
        <f t="shared" si="756"/>
        <v>0</v>
      </c>
      <c r="AN564" s="65"/>
      <c r="AO564" s="112"/>
      <c r="AP564" s="204"/>
      <c r="AQ564" s="109">
        <f>IFERROR((O564+AH564+AM564)/Dashboard!$D$15,0)*0.2</f>
        <v>0</v>
      </c>
      <c r="AR564" s="84">
        <f t="shared" si="757"/>
        <v>0</v>
      </c>
      <c r="AS564" s="65"/>
      <c r="AT564" s="112"/>
      <c r="AU564" s="203">
        <v>0.33</v>
      </c>
      <c r="AV564" s="109">
        <f t="shared" si="736"/>
        <v>0</v>
      </c>
      <c r="AW564" s="84">
        <f t="shared" si="758"/>
        <v>0</v>
      </c>
      <c r="AX564" s="65"/>
      <c r="AY564" s="112"/>
      <c r="AZ564" s="203">
        <v>0.25</v>
      </c>
      <c r="BA564" s="109">
        <f t="shared" si="738"/>
        <v>0</v>
      </c>
      <c r="BB564" s="84">
        <f t="shared" si="759"/>
        <v>0</v>
      </c>
      <c r="BC564" s="65"/>
      <c r="BD564" s="112"/>
      <c r="BE564" s="203">
        <v>0.26</v>
      </c>
      <c r="BF564" s="109">
        <f t="shared" si="740"/>
        <v>0</v>
      </c>
      <c r="BG564" s="84">
        <f t="shared" si="760"/>
        <v>0</v>
      </c>
      <c r="BH564" s="197"/>
      <c r="BI564" s="518"/>
      <c r="BJ564" s="65"/>
      <c r="BK564" s="81">
        <f t="shared" si="761"/>
        <v>0</v>
      </c>
      <c r="BL564" s="65"/>
      <c r="BM564" s="65"/>
      <c r="BN564" s="204"/>
      <c r="BO564" s="109">
        <f>($O564/Dashboard!$D$15)*(1+Dashboard!$D$19)</f>
        <v>0</v>
      </c>
      <c r="BP564" s="84">
        <f t="shared" si="743"/>
        <v>0</v>
      </c>
      <c r="BQ564" s="65"/>
      <c r="BR564" s="65"/>
      <c r="BS564" s="204"/>
      <c r="BT564" s="109">
        <f>($O564/Dashboard!$D$15)*(1+Dashboard!$D$20)</f>
        <v>0</v>
      </c>
      <c r="BU564" s="84">
        <f t="shared" si="744"/>
        <v>0</v>
      </c>
      <c r="BV564" s="65"/>
      <c r="BW564" s="65"/>
      <c r="BX564" s="204"/>
      <c r="BY564" s="109">
        <f>($O564/Dashboard!$D$15)*(1+Dashboard!$D$21)</f>
        <v>0</v>
      </c>
      <c r="BZ564" s="84">
        <f t="shared" si="745"/>
        <v>0</v>
      </c>
    </row>
    <row r="565" spans="2:78" ht="12" hidden="1" customHeight="1" outlineLevel="1">
      <c r="B565" s="137" t="str">
        <f>'Cronog. e Histog.'!B725</f>
        <v/>
      </c>
      <c r="C565" s="65"/>
      <c r="D565" s="200">
        <f t="shared" si="746"/>
        <v>0</v>
      </c>
      <c r="E565" s="200">
        <f t="shared" si="747"/>
        <v>0</v>
      </c>
      <c r="F565" s="65"/>
      <c r="G565" s="200">
        <f t="shared" si="748"/>
        <v>0</v>
      </c>
      <c r="H565" s="200">
        <f t="shared" si="749"/>
        <v>0</v>
      </c>
      <c r="I565" s="65"/>
      <c r="J565" s="143" t="str">
        <f>IF('Cronog. e Histog.'!F725&gt;0,'Cronog. e Histog.'!F725,"")</f>
        <v/>
      </c>
      <c r="K565" s="65"/>
      <c r="L565" s="144">
        <f>'Cronog. e Histog.'!BT725</f>
        <v>0</v>
      </c>
      <c r="M565" s="144">
        <f>'Cronog. e Histog.'!BU725</f>
        <v>0</v>
      </c>
      <c r="N565" s="65"/>
      <c r="O565" s="109">
        <f>_xlfn.XLOOKUP(B565,Salários!B:B,Salários!K:K)</f>
        <v>0</v>
      </c>
      <c r="P565" s="109">
        <f t="shared" si="750"/>
        <v>0</v>
      </c>
      <c r="Q565" s="109">
        <f t="shared" si="751"/>
        <v>0</v>
      </c>
      <c r="R565" s="65"/>
      <c r="S565" s="109">
        <f t="shared" si="752"/>
        <v>0</v>
      </c>
      <c r="T565" s="201" t="str">
        <f>IF(_xlfn.XLOOKUP(B565,Salários!B:B,Salários!I:I)&gt;0,_xlfn.XLOOKUP(B565,Salários!B:B,Salários!I:I),"")</f>
        <v/>
      </c>
      <c r="U565" s="117">
        <f t="shared" si="753"/>
        <v>0</v>
      </c>
      <c r="V565" s="65"/>
      <c r="W565" s="202"/>
      <c r="X565" s="65"/>
      <c r="Y565" s="69"/>
      <c r="Z565" s="65"/>
      <c r="AA565" s="518"/>
      <c r="AB565" s="65"/>
      <c r="AC565" s="81">
        <f t="shared" si="754"/>
        <v>0</v>
      </c>
      <c r="AD565" s="65"/>
      <c r="AE565" s="112"/>
      <c r="AF565" s="203">
        <v>0.3</v>
      </c>
      <c r="AG565" s="109">
        <f t="shared" si="732"/>
        <v>0</v>
      </c>
      <c r="AH565" s="84">
        <f t="shared" si="755"/>
        <v>0</v>
      </c>
      <c r="AI565" s="65"/>
      <c r="AJ565" s="112"/>
      <c r="AK565" s="122"/>
      <c r="AL565" s="109">
        <v>1212</v>
      </c>
      <c r="AM565" s="84">
        <f t="shared" si="756"/>
        <v>0</v>
      </c>
      <c r="AN565" s="65"/>
      <c r="AO565" s="112"/>
      <c r="AP565" s="204"/>
      <c r="AQ565" s="109">
        <f>IFERROR((O565+AH565+AM565)/Dashboard!$D$15,0)*0.2</f>
        <v>0</v>
      </c>
      <c r="AR565" s="84">
        <f t="shared" si="757"/>
        <v>0</v>
      </c>
      <c r="AS565" s="65"/>
      <c r="AT565" s="112"/>
      <c r="AU565" s="203">
        <v>0.33</v>
      </c>
      <c r="AV565" s="109">
        <f t="shared" si="736"/>
        <v>0</v>
      </c>
      <c r="AW565" s="84">
        <f t="shared" si="758"/>
        <v>0</v>
      </c>
      <c r="AX565" s="65"/>
      <c r="AY565" s="112"/>
      <c r="AZ565" s="203">
        <v>0.25</v>
      </c>
      <c r="BA565" s="109">
        <f t="shared" si="738"/>
        <v>0</v>
      </c>
      <c r="BB565" s="84">
        <f t="shared" si="759"/>
        <v>0</v>
      </c>
      <c r="BC565" s="65"/>
      <c r="BD565" s="112"/>
      <c r="BE565" s="203">
        <v>0.26</v>
      </c>
      <c r="BF565" s="109">
        <f t="shared" si="740"/>
        <v>0</v>
      </c>
      <c r="BG565" s="84">
        <f t="shared" si="760"/>
        <v>0</v>
      </c>
      <c r="BH565" s="197"/>
      <c r="BI565" s="518"/>
      <c r="BJ565" s="65"/>
      <c r="BK565" s="81">
        <f t="shared" si="761"/>
        <v>0</v>
      </c>
      <c r="BL565" s="65"/>
      <c r="BM565" s="65"/>
      <c r="BN565" s="204"/>
      <c r="BO565" s="109">
        <f>($O565/Dashboard!$D$15)*(1+Dashboard!$D$19)</f>
        <v>0</v>
      </c>
      <c r="BP565" s="84">
        <f t="shared" si="743"/>
        <v>0</v>
      </c>
      <c r="BQ565" s="65"/>
      <c r="BR565" s="65"/>
      <c r="BS565" s="204"/>
      <c r="BT565" s="109">
        <f>($O565/Dashboard!$D$15)*(1+Dashboard!$D$20)</f>
        <v>0</v>
      </c>
      <c r="BU565" s="84">
        <f t="shared" si="744"/>
        <v>0</v>
      </c>
      <c r="BV565" s="65"/>
      <c r="BW565" s="65"/>
      <c r="BX565" s="204"/>
      <c r="BY565" s="109">
        <f>($O565/Dashboard!$D$15)*(1+Dashboard!$D$21)</f>
        <v>0</v>
      </c>
      <c r="BZ565" s="84">
        <f t="shared" si="745"/>
        <v>0</v>
      </c>
    </row>
    <row r="566" spans="2:78" ht="12" hidden="1" customHeight="1" outlineLevel="1">
      <c r="B566" s="137" t="str">
        <f>'Cronog. e Histog.'!B726</f>
        <v/>
      </c>
      <c r="C566" s="65"/>
      <c r="D566" s="200">
        <f t="shared" si="746"/>
        <v>0</v>
      </c>
      <c r="E566" s="200">
        <f t="shared" si="747"/>
        <v>0</v>
      </c>
      <c r="F566" s="65"/>
      <c r="G566" s="200">
        <f t="shared" si="748"/>
        <v>0</v>
      </c>
      <c r="H566" s="200">
        <f t="shared" si="749"/>
        <v>0</v>
      </c>
      <c r="I566" s="65"/>
      <c r="J566" s="143" t="str">
        <f>IF('Cronog. e Histog.'!F726&gt;0,'Cronog. e Histog.'!F726,"")</f>
        <v/>
      </c>
      <c r="K566" s="65"/>
      <c r="L566" s="144">
        <f>'Cronog. e Histog.'!BT726</f>
        <v>0</v>
      </c>
      <c r="M566" s="144">
        <f>'Cronog. e Histog.'!BU726</f>
        <v>0</v>
      </c>
      <c r="N566" s="65"/>
      <c r="O566" s="109">
        <f>_xlfn.XLOOKUP(B566,Salários!B:B,Salários!K:K)</f>
        <v>0</v>
      </c>
      <c r="P566" s="109">
        <f t="shared" si="750"/>
        <v>0</v>
      </c>
      <c r="Q566" s="109">
        <f t="shared" si="751"/>
        <v>0</v>
      </c>
      <c r="R566" s="65"/>
      <c r="S566" s="109">
        <f t="shared" si="752"/>
        <v>0</v>
      </c>
      <c r="T566" s="201" t="str">
        <f>IF(_xlfn.XLOOKUP(B566,Salários!B:B,Salários!I:I)&gt;0,_xlfn.XLOOKUP(B566,Salários!B:B,Salários!I:I),"")</f>
        <v/>
      </c>
      <c r="U566" s="117">
        <f t="shared" si="753"/>
        <v>0</v>
      </c>
      <c r="V566" s="65"/>
      <c r="W566" s="202"/>
      <c r="X566" s="65"/>
      <c r="Y566" s="69"/>
      <c r="Z566" s="65"/>
      <c r="AA566" s="518"/>
      <c r="AB566" s="65"/>
      <c r="AC566" s="81">
        <f t="shared" si="754"/>
        <v>0</v>
      </c>
      <c r="AD566" s="65"/>
      <c r="AE566" s="112"/>
      <c r="AF566" s="203">
        <v>0.3</v>
      </c>
      <c r="AG566" s="109">
        <f t="shared" si="732"/>
        <v>0</v>
      </c>
      <c r="AH566" s="84">
        <f t="shared" si="755"/>
        <v>0</v>
      </c>
      <c r="AI566" s="65"/>
      <c r="AJ566" s="112"/>
      <c r="AK566" s="122"/>
      <c r="AL566" s="109">
        <v>1212</v>
      </c>
      <c r="AM566" s="84">
        <f t="shared" si="756"/>
        <v>0</v>
      </c>
      <c r="AN566" s="65"/>
      <c r="AO566" s="112"/>
      <c r="AP566" s="204"/>
      <c r="AQ566" s="109">
        <f>IFERROR((O566+AH566+AM566)/Dashboard!$D$15,0)*0.2</f>
        <v>0</v>
      </c>
      <c r="AR566" s="84">
        <f t="shared" si="757"/>
        <v>0</v>
      </c>
      <c r="AS566" s="65"/>
      <c r="AT566" s="112"/>
      <c r="AU566" s="203">
        <v>0.33</v>
      </c>
      <c r="AV566" s="109">
        <f t="shared" si="736"/>
        <v>0</v>
      </c>
      <c r="AW566" s="84">
        <f t="shared" si="758"/>
        <v>0</v>
      </c>
      <c r="AX566" s="65"/>
      <c r="AY566" s="112"/>
      <c r="AZ566" s="203">
        <v>0.25</v>
      </c>
      <c r="BA566" s="109">
        <f t="shared" si="738"/>
        <v>0</v>
      </c>
      <c r="BB566" s="84">
        <f t="shared" si="759"/>
        <v>0</v>
      </c>
      <c r="BC566" s="65"/>
      <c r="BD566" s="112"/>
      <c r="BE566" s="203">
        <v>0.26</v>
      </c>
      <c r="BF566" s="109">
        <f t="shared" si="740"/>
        <v>0</v>
      </c>
      <c r="BG566" s="84">
        <f t="shared" si="760"/>
        <v>0</v>
      </c>
      <c r="BH566" s="197"/>
      <c r="BI566" s="518"/>
      <c r="BJ566" s="65"/>
      <c r="BK566" s="81">
        <f t="shared" si="761"/>
        <v>0</v>
      </c>
      <c r="BL566" s="65"/>
      <c r="BM566" s="65"/>
      <c r="BN566" s="204"/>
      <c r="BO566" s="109">
        <f>($O566/Dashboard!$D$15)*(1+Dashboard!$D$19)</f>
        <v>0</v>
      </c>
      <c r="BP566" s="84">
        <f t="shared" si="743"/>
        <v>0</v>
      </c>
      <c r="BQ566" s="65"/>
      <c r="BR566" s="65"/>
      <c r="BS566" s="204"/>
      <c r="BT566" s="109">
        <f>($O566/Dashboard!$D$15)*(1+Dashboard!$D$20)</f>
        <v>0</v>
      </c>
      <c r="BU566" s="84">
        <f t="shared" si="744"/>
        <v>0</v>
      </c>
      <c r="BV566" s="65"/>
      <c r="BW566" s="65"/>
      <c r="BX566" s="204"/>
      <c r="BY566" s="109">
        <f>($O566/Dashboard!$D$15)*(1+Dashboard!$D$21)</f>
        <v>0</v>
      </c>
      <c r="BZ566" s="84">
        <f t="shared" si="745"/>
        <v>0</v>
      </c>
    </row>
    <row r="567" spans="2:78" ht="12" hidden="1" customHeight="1" outlineLevel="1">
      <c r="B567" s="137" t="str">
        <f>'Cronog. e Histog.'!B727</f>
        <v/>
      </c>
      <c r="C567" s="65"/>
      <c r="D567" s="200">
        <f t="shared" si="746"/>
        <v>0</v>
      </c>
      <c r="E567" s="200">
        <f t="shared" si="747"/>
        <v>0</v>
      </c>
      <c r="F567" s="65"/>
      <c r="G567" s="200">
        <f t="shared" si="748"/>
        <v>0</v>
      </c>
      <c r="H567" s="200">
        <f t="shared" si="749"/>
        <v>0</v>
      </c>
      <c r="I567" s="65"/>
      <c r="J567" s="143" t="str">
        <f>IF('Cronog. e Histog.'!F727&gt;0,'Cronog. e Histog.'!F727,"")</f>
        <v/>
      </c>
      <c r="K567" s="65"/>
      <c r="L567" s="144">
        <f>'Cronog. e Histog.'!BT727</f>
        <v>0</v>
      </c>
      <c r="M567" s="144">
        <f>'Cronog. e Histog.'!BU727</f>
        <v>0</v>
      </c>
      <c r="N567" s="65"/>
      <c r="O567" s="109">
        <f>_xlfn.XLOOKUP(B567,Salários!B:B,Salários!K:K)</f>
        <v>0</v>
      </c>
      <c r="P567" s="109">
        <f t="shared" si="750"/>
        <v>0</v>
      </c>
      <c r="Q567" s="109">
        <f t="shared" si="751"/>
        <v>0</v>
      </c>
      <c r="R567" s="65"/>
      <c r="S567" s="109">
        <f t="shared" si="752"/>
        <v>0</v>
      </c>
      <c r="T567" s="201" t="str">
        <f>IF(_xlfn.XLOOKUP(B567,Salários!B:B,Salários!I:I)&gt;0,_xlfn.XLOOKUP(B567,Salários!B:B,Salários!I:I),"")</f>
        <v/>
      </c>
      <c r="U567" s="117">
        <f t="shared" si="753"/>
        <v>0</v>
      </c>
      <c r="V567" s="65"/>
      <c r="W567" s="202"/>
      <c r="X567" s="65"/>
      <c r="Y567" s="69"/>
      <c r="Z567" s="65"/>
      <c r="AA567" s="518"/>
      <c r="AB567" s="65"/>
      <c r="AC567" s="81">
        <f t="shared" si="754"/>
        <v>0</v>
      </c>
      <c r="AD567" s="65"/>
      <c r="AE567" s="112"/>
      <c r="AF567" s="203">
        <v>0.3</v>
      </c>
      <c r="AG567" s="109">
        <f t="shared" si="732"/>
        <v>0</v>
      </c>
      <c r="AH567" s="84">
        <f t="shared" si="755"/>
        <v>0</v>
      </c>
      <c r="AI567" s="65"/>
      <c r="AJ567" s="112"/>
      <c r="AK567" s="122"/>
      <c r="AL567" s="109">
        <v>1212</v>
      </c>
      <c r="AM567" s="84">
        <f t="shared" si="756"/>
        <v>0</v>
      </c>
      <c r="AN567" s="65"/>
      <c r="AO567" s="112"/>
      <c r="AP567" s="204"/>
      <c r="AQ567" s="109">
        <f>IFERROR((O567+AH567+AM567)/Dashboard!$D$15,0)*0.2</f>
        <v>0</v>
      </c>
      <c r="AR567" s="84">
        <f t="shared" si="757"/>
        <v>0</v>
      </c>
      <c r="AS567" s="65"/>
      <c r="AT567" s="112"/>
      <c r="AU567" s="203">
        <v>0.33</v>
      </c>
      <c r="AV567" s="109">
        <f t="shared" si="736"/>
        <v>0</v>
      </c>
      <c r="AW567" s="84">
        <f t="shared" si="758"/>
        <v>0</v>
      </c>
      <c r="AX567" s="65"/>
      <c r="AY567" s="112"/>
      <c r="AZ567" s="203">
        <v>0.25</v>
      </c>
      <c r="BA567" s="109">
        <f t="shared" si="738"/>
        <v>0</v>
      </c>
      <c r="BB567" s="84">
        <f t="shared" si="759"/>
        <v>0</v>
      </c>
      <c r="BC567" s="65"/>
      <c r="BD567" s="112"/>
      <c r="BE567" s="203">
        <v>0.26</v>
      </c>
      <c r="BF567" s="109">
        <f t="shared" si="740"/>
        <v>0</v>
      </c>
      <c r="BG567" s="84">
        <f t="shared" si="760"/>
        <v>0</v>
      </c>
      <c r="BH567" s="197"/>
      <c r="BI567" s="518"/>
      <c r="BJ567" s="65"/>
      <c r="BK567" s="81">
        <f t="shared" si="761"/>
        <v>0</v>
      </c>
      <c r="BL567" s="65"/>
      <c r="BM567" s="65"/>
      <c r="BN567" s="204"/>
      <c r="BO567" s="109">
        <f>($O567/Dashboard!$D$15)*(1+Dashboard!$D$19)</f>
        <v>0</v>
      </c>
      <c r="BP567" s="84">
        <f t="shared" si="743"/>
        <v>0</v>
      </c>
      <c r="BQ567" s="65"/>
      <c r="BR567" s="65"/>
      <c r="BS567" s="204"/>
      <c r="BT567" s="109">
        <f>($O567/Dashboard!$D$15)*(1+Dashboard!$D$20)</f>
        <v>0</v>
      </c>
      <c r="BU567" s="84">
        <f t="shared" si="744"/>
        <v>0</v>
      </c>
      <c r="BV567" s="65"/>
      <c r="BW567" s="65"/>
      <c r="BX567" s="204"/>
      <c r="BY567" s="109">
        <f>($O567/Dashboard!$D$15)*(1+Dashboard!$D$21)</f>
        <v>0</v>
      </c>
      <c r="BZ567" s="84">
        <f t="shared" si="745"/>
        <v>0</v>
      </c>
    </row>
    <row r="568" spans="2:78" ht="12" hidden="1" customHeight="1" outlineLevel="1">
      <c r="B568" s="137" t="str">
        <f>'Cronog. e Histog.'!B728</f>
        <v/>
      </c>
      <c r="C568" s="65"/>
      <c r="D568" s="200">
        <f t="shared" si="746"/>
        <v>0</v>
      </c>
      <c r="E568" s="200">
        <f t="shared" si="747"/>
        <v>0</v>
      </c>
      <c r="F568" s="65"/>
      <c r="G568" s="200">
        <f t="shared" si="748"/>
        <v>0</v>
      </c>
      <c r="H568" s="200">
        <f t="shared" si="749"/>
        <v>0</v>
      </c>
      <c r="I568" s="65"/>
      <c r="J568" s="143" t="str">
        <f>IF('Cronog. e Histog.'!F728&gt;0,'Cronog. e Histog.'!F728,"")</f>
        <v/>
      </c>
      <c r="K568" s="65"/>
      <c r="L568" s="144">
        <f>'Cronog. e Histog.'!BT728</f>
        <v>0</v>
      </c>
      <c r="M568" s="144">
        <f>'Cronog. e Histog.'!BU728</f>
        <v>0</v>
      </c>
      <c r="N568" s="65"/>
      <c r="O568" s="109">
        <f>_xlfn.XLOOKUP(B568,Salários!B:B,Salários!K:K)</f>
        <v>0</v>
      </c>
      <c r="P568" s="109">
        <f t="shared" si="750"/>
        <v>0</v>
      </c>
      <c r="Q568" s="109">
        <f t="shared" si="751"/>
        <v>0</v>
      </c>
      <c r="R568" s="65"/>
      <c r="S568" s="109">
        <f t="shared" si="752"/>
        <v>0</v>
      </c>
      <c r="T568" s="201" t="str">
        <f>IF(_xlfn.XLOOKUP(B568,Salários!B:B,Salários!I:I)&gt;0,_xlfn.XLOOKUP(B568,Salários!B:B,Salários!I:I),"")</f>
        <v/>
      </c>
      <c r="U568" s="117">
        <f t="shared" si="753"/>
        <v>0</v>
      </c>
      <c r="V568" s="65"/>
      <c r="W568" s="202"/>
      <c r="X568" s="65"/>
      <c r="Y568" s="69"/>
      <c r="Z568" s="65"/>
      <c r="AA568" s="518"/>
      <c r="AB568" s="65"/>
      <c r="AC568" s="81">
        <f t="shared" si="754"/>
        <v>0</v>
      </c>
      <c r="AD568" s="65"/>
      <c r="AE568" s="112"/>
      <c r="AF568" s="203">
        <v>0.3</v>
      </c>
      <c r="AG568" s="109">
        <f t="shared" si="732"/>
        <v>0</v>
      </c>
      <c r="AH568" s="84">
        <f t="shared" si="755"/>
        <v>0</v>
      </c>
      <c r="AI568" s="65"/>
      <c r="AJ568" s="112"/>
      <c r="AK568" s="122"/>
      <c r="AL568" s="109">
        <v>1212</v>
      </c>
      <c r="AM568" s="84">
        <f t="shared" si="756"/>
        <v>0</v>
      </c>
      <c r="AN568" s="65"/>
      <c r="AO568" s="112"/>
      <c r="AP568" s="204"/>
      <c r="AQ568" s="109">
        <f>IFERROR((O568+AH568+AM568)/Dashboard!$D$15,0)*0.2</f>
        <v>0</v>
      </c>
      <c r="AR568" s="84">
        <f t="shared" si="757"/>
        <v>0</v>
      </c>
      <c r="AS568" s="65"/>
      <c r="AT568" s="112"/>
      <c r="AU568" s="203">
        <v>0.33</v>
      </c>
      <c r="AV568" s="109">
        <f t="shared" si="736"/>
        <v>0</v>
      </c>
      <c r="AW568" s="84">
        <f t="shared" si="758"/>
        <v>0</v>
      </c>
      <c r="AX568" s="65"/>
      <c r="AY568" s="112"/>
      <c r="AZ568" s="203">
        <v>0.25</v>
      </c>
      <c r="BA568" s="109">
        <f t="shared" si="738"/>
        <v>0</v>
      </c>
      <c r="BB568" s="84">
        <f t="shared" si="759"/>
        <v>0</v>
      </c>
      <c r="BC568" s="65"/>
      <c r="BD568" s="112"/>
      <c r="BE568" s="203">
        <v>0.26</v>
      </c>
      <c r="BF568" s="109">
        <f t="shared" si="740"/>
        <v>0</v>
      </c>
      <c r="BG568" s="84">
        <f t="shared" si="760"/>
        <v>0</v>
      </c>
      <c r="BH568" s="197"/>
      <c r="BI568" s="518"/>
      <c r="BJ568" s="65"/>
      <c r="BK568" s="81">
        <f t="shared" si="761"/>
        <v>0</v>
      </c>
      <c r="BL568" s="65"/>
      <c r="BM568" s="65"/>
      <c r="BN568" s="204"/>
      <c r="BO568" s="109">
        <f>($O568/Dashboard!$D$15)*(1+Dashboard!$D$19)</f>
        <v>0</v>
      </c>
      <c r="BP568" s="84">
        <f t="shared" si="743"/>
        <v>0</v>
      </c>
      <c r="BQ568" s="65"/>
      <c r="BR568" s="65"/>
      <c r="BS568" s="204"/>
      <c r="BT568" s="109">
        <f>($O568/Dashboard!$D$15)*(1+Dashboard!$D$20)</f>
        <v>0</v>
      </c>
      <c r="BU568" s="84">
        <f t="shared" si="744"/>
        <v>0</v>
      </c>
      <c r="BV568" s="65"/>
      <c r="BW568" s="65"/>
      <c r="BX568" s="204"/>
      <c r="BY568" s="109">
        <f>($O568/Dashboard!$D$15)*(1+Dashboard!$D$21)</f>
        <v>0</v>
      </c>
      <c r="BZ568" s="84">
        <f t="shared" si="745"/>
        <v>0</v>
      </c>
    </row>
    <row r="569" spans="2:78" ht="12" hidden="1" customHeight="1" outlineLevel="1">
      <c r="B569" s="137" t="str">
        <f>'Cronog. e Histog.'!B729</f>
        <v/>
      </c>
      <c r="C569" s="65"/>
      <c r="D569" s="200">
        <f t="shared" si="746"/>
        <v>0</v>
      </c>
      <c r="E569" s="200">
        <f t="shared" si="747"/>
        <v>0</v>
      </c>
      <c r="F569" s="65"/>
      <c r="G569" s="200">
        <f t="shared" si="748"/>
        <v>0</v>
      </c>
      <c r="H569" s="200">
        <f t="shared" si="749"/>
        <v>0</v>
      </c>
      <c r="I569" s="65"/>
      <c r="J569" s="143" t="str">
        <f>IF('Cronog. e Histog.'!F729&gt;0,'Cronog. e Histog.'!F729,"")</f>
        <v/>
      </c>
      <c r="K569" s="65"/>
      <c r="L569" s="144">
        <f>'Cronog. e Histog.'!BT729</f>
        <v>0</v>
      </c>
      <c r="M569" s="144">
        <f>'Cronog. e Histog.'!BU729</f>
        <v>0</v>
      </c>
      <c r="N569" s="65"/>
      <c r="O569" s="109">
        <f>_xlfn.XLOOKUP(B569,Salários!B:B,Salários!K:K)</f>
        <v>0</v>
      </c>
      <c r="P569" s="109">
        <f t="shared" si="750"/>
        <v>0</v>
      </c>
      <c r="Q569" s="109">
        <f t="shared" si="751"/>
        <v>0</v>
      </c>
      <c r="R569" s="65"/>
      <c r="S569" s="109">
        <f t="shared" si="752"/>
        <v>0</v>
      </c>
      <c r="T569" s="201" t="str">
        <f>IF(_xlfn.XLOOKUP(B569,Salários!B:B,Salários!I:I)&gt;0,_xlfn.XLOOKUP(B569,Salários!B:B,Salários!I:I),"")</f>
        <v/>
      </c>
      <c r="U569" s="117">
        <f t="shared" si="753"/>
        <v>0</v>
      </c>
      <c r="V569" s="65"/>
      <c r="W569" s="202"/>
      <c r="X569" s="65"/>
      <c r="Y569" s="69"/>
      <c r="Z569" s="65"/>
      <c r="AA569" s="518"/>
      <c r="AB569" s="65"/>
      <c r="AC569" s="81">
        <f t="shared" si="754"/>
        <v>0</v>
      </c>
      <c r="AD569" s="65"/>
      <c r="AE569" s="112"/>
      <c r="AF569" s="203">
        <v>0.3</v>
      </c>
      <c r="AG569" s="109">
        <f t="shared" si="732"/>
        <v>0</v>
      </c>
      <c r="AH569" s="84">
        <f t="shared" si="755"/>
        <v>0</v>
      </c>
      <c r="AI569" s="65"/>
      <c r="AJ569" s="112"/>
      <c r="AK569" s="122"/>
      <c r="AL569" s="109">
        <v>1212</v>
      </c>
      <c r="AM569" s="84">
        <f t="shared" si="756"/>
        <v>0</v>
      </c>
      <c r="AN569" s="65"/>
      <c r="AO569" s="112"/>
      <c r="AP569" s="204"/>
      <c r="AQ569" s="109">
        <f>IFERROR((O569+AH569+AM569)/Dashboard!$D$15,0)*0.2</f>
        <v>0</v>
      </c>
      <c r="AR569" s="84">
        <f t="shared" si="757"/>
        <v>0</v>
      </c>
      <c r="AS569" s="65"/>
      <c r="AT569" s="112"/>
      <c r="AU569" s="203">
        <v>0.33</v>
      </c>
      <c r="AV569" s="109">
        <f t="shared" si="736"/>
        <v>0</v>
      </c>
      <c r="AW569" s="84">
        <f t="shared" si="758"/>
        <v>0</v>
      </c>
      <c r="AX569" s="65"/>
      <c r="AY569" s="112"/>
      <c r="AZ569" s="203">
        <v>0.25</v>
      </c>
      <c r="BA569" s="109">
        <f t="shared" si="738"/>
        <v>0</v>
      </c>
      <c r="BB569" s="84">
        <f t="shared" si="759"/>
        <v>0</v>
      </c>
      <c r="BC569" s="65"/>
      <c r="BD569" s="112"/>
      <c r="BE569" s="203">
        <v>0.26</v>
      </c>
      <c r="BF569" s="109">
        <f t="shared" si="740"/>
        <v>0</v>
      </c>
      <c r="BG569" s="84">
        <f t="shared" si="760"/>
        <v>0</v>
      </c>
      <c r="BH569" s="197"/>
      <c r="BI569" s="518"/>
      <c r="BJ569" s="65"/>
      <c r="BK569" s="81">
        <f t="shared" si="761"/>
        <v>0</v>
      </c>
      <c r="BL569" s="65"/>
      <c r="BM569" s="65"/>
      <c r="BN569" s="204"/>
      <c r="BO569" s="109">
        <f>($O569/Dashboard!$D$15)*(1+Dashboard!$D$19)</f>
        <v>0</v>
      </c>
      <c r="BP569" s="84">
        <f t="shared" si="743"/>
        <v>0</v>
      </c>
      <c r="BQ569" s="65"/>
      <c r="BR569" s="65"/>
      <c r="BS569" s="204"/>
      <c r="BT569" s="109">
        <f>($O569/Dashboard!$D$15)*(1+Dashboard!$D$20)</f>
        <v>0</v>
      </c>
      <c r="BU569" s="84">
        <f t="shared" si="744"/>
        <v>0</v>
      </c>
      <c r="BV569" s="65"/>
      <c r="BW569" s="65"/>
      <c r="BX569" s="204"/>
      <c r="BY569" s="109">
        <f>($O569/Dashboard!$D$15)*(1+Dashboard!$D$21)</f>
        <v>0</v>
      </c>
      <c r="BZ569" s="84">
        <f t="shared" si="745"/>
        <v>0</v>
      </c>
    </row>
    <row r="570" spans="2:78" ht="12" hidden="1" customHeight="1" outlineLevel="1">
      <c r="B570" s="137" t="str">
        <f>'Cronog. e Histog.'!B730</f>
        <v/>
      </c>
      <c r="C570" s="65"/>
      <c r="D570" s="200">
        <f t="shared" si="746"/>
        <v>0</v>
      </c>
      <c r="E570" s="200">
        <f t="shared" si="747"/>
        <v>0</v>
      </c>
      <c r="F570" s="65"/>
      <c r="G570" s="200">
        <f t="shared" si="748"/>
        <v>0</v>
      </c>
      <c r="H570" s="200">
        <f t="shared" si="749"/>
        <v>0</v>
      </c>
      <c r="I570" s="65"/>
      <c r="J570" s="143" t="str">
        <f>IF('Cronog. e Histog.'!F730&gt;0,'Cronog. e Histog.'!F730,"")</f>
        <v/>
      </c>
      <c r="K570" s="65"/>
      <c r="L570" s="144">
        <f>'Cronog. e Histog.'!BT730</f>
        <v>0</v>
      </c>
      <c r="M570" s="144">
        <f>'Cronog. e Histog.'!BU730</f>
        <v>0</v>
      </c>
      <c r="N570" s="65"/>
      <c r="O570" s="109">
        <f>_xlfn.XLOOKUP(B570,Salários!B:B,Salários!K:K)</f>
        <v>0</v>
      </c>
      <c r="P570" s="109">
        <f t="shared" si="750"/>
        <v>0</v>
      </c>
      <c r="Q570" s="109">
        <f t="shared" si="751"/>
        <v>0</v>
      </c>
      <c r="R570" s="65"/>
      <c r="S570" s="109">
        <f t="shared" si="752"/>
        <v>0</v>
      </c>
      <c r="T570" s="201" t="str">
        <f>IF(_xlfn.XLOOKUP(B570,Salários!B:B,Salários!I:I)&gt;0,_xlfn.XLOOKUP(B570,Salários!B:B,Salários!I:I),"")</f>
        <v/>
      </c>
      <c r="U570" s="117">
        <f t="shared" si="753"/>
        <v>0</v>
      </c>
      <c r="V570" s="65"/>
      <c r="W570" s="202"/>
      <c r="X570" s="65"/>
      <c r="Y570" s="69"/>
      <c r="Z570" s="65"/>
      <c r="AA570" s="518"/>
      <c r="AB570" s="65"/>
      <c r="AC570" s="81">
        <f t="shared" si="754"/>
        <v>0</v>
      </c>
      <c r="AD570" s="65"/>
      <c r="AE570" s="112"/>
      <c r="AF570" s="203">
        <v>0.3</v>
      </c>
      <c r="AG570" s="109">
        <f t="shared" si="732"/>
        <v>0</v>
      </c>
      <c r="AH570" s="84">
        <f t="shared" si="755"/>
        <v>0</v>
      </c>
      <c r="AI570" s="65"/>
      <c r="AJ570" s="112"/>
      <c r="AK570" s="122"/>
      <c r="AL570" s="109">
        <v>1212</v>
      </c>
      <c r="AM570" s="84">
        <f t="shared" si="756"/>
        <v>0</v>
      </c>
      <c r="AN570" s="65"/>
      <c r="AO570" s="112"/>
      <c r="AP570" s="204"/>
      <c r="AQ570" s="109">
        <f>IFERROR((O570+AH570+AM570)/Dashboard!$D$15,0)*0.2</f>
        <v>0</v>
      </c>
      <c r="AR570" s="84">
        <f t="shared" si="757"/>
        <v>0</v>
      </c>
      <c r="AS570" s="65"/>
      <c r="AT570" s="112"/>
      <c r="AU570" s="203">
        <v>0.33</v>
      </c>
      <c r="AV570" s="109">
        <f t="shared" si="736"/>
        <v>0</v>
      </c>
      <c r="AW570" s="84">
        <f t="shared" si="758"/>
        <v>0</v>
      </c>
      <c r="AX570" s="65"/>
      <c r="AY570" s="112"/>
      <c r="AZ570" s="203">
        <v>0.25</v>
      </c>
      <c r="BA570" s="109">
        <f t="shared" si="738"/>
        <v>0</v>
      </c>
      <c r="BB570" s="84">
        <f t="shared" si="759"/>
        <v>0</v>
      </c>
      <c r="BC570" s="65"/>
      <c r="BD570" s="112"/>
      <c r="BE570" s="203">
        <v>0.26</v>
      </c>
      <c r="BF570" s="109">
        <f t="shared" si="740"/>
        <v>0</v>
      </c>
      <c r="BG570" s="84">
        <f t="shared" si="760"/>
        <v>0</v>
      </c>
      <c r="BH570" s="197"/>
      <c r="BI570" s="518"/>
      <c r="BJ570" s="65"/>
      <c r="BK570" s="81">
        <f t="shared" si="761"/>
        <v>0</v>
      </c>
      <c r="BL570" s="65"/>
      <c r="BM570" s="65"/>
      <c r="BN570" s="204"/>
      <c r="BO570" s="109">
        <f>($O570/Dashboard!$D$15)*(1+Dashboard!$D$19)</f>
        <v>0</v>
      </c>
      <c r="BP570" s="84">
        <f t="shared" si="743"/>
        <v>0</v>
      </c>
      <c r="BQ570" s="65"/>
      <c r="BR570" s="65"/>
      <c r="BS570" s="204"/>
      <c r="BT570" s="109">
        <f>($O570/Dashboard!$D$15)*(1+Dashboard!$D$20)</f>
        <v>0</v>
      </c>
      <c r="BU570" s="84">
        <f t="shared" si="744"/>
        <v>0</v>
      </c>
      <c r="BV570" s="65"/>
      <c r="BW570" s="65"/>
      <c r="BX570" s="204"/>
      <c r="BY570" s="109">
        <f>($O570/Dashboard!$D$15)*(1+Dashboard!$D$21)</f>
        <v>0</v>
      </c>
      <c r="BZ570" s="84">
        <f t="shared" si="745"/>
        <v>0</v>
      </c>
    </row>
    <row r="571" spans="2:78" ht="12" hidden="1" customHeight="1" outlineLevel="1">
      <c r="B571" s="137" t="str">
        <f>'Cronog. e Histog.'!B731</f>
        <v/>
      </c>
      <c r="C571" s="65"/>
      <c r="D571" s="200">
        <f t="shared" si="746"/>
        <v>0</v>
      </c>
      <c r="E571" s="200">
        <f t="shared" si="747"/>
        <v>0</v>
      </c>
      <c r="F571" s="65"/>
      <c r="G571" s="200">
        <f t="shared" si="748"/>
        <v>0</v>
      </c>
      <c r="H571" s="200">
        <f t="shared" si="749"/>
        <v>0</v>
      </c>
      <c r="I571" s="65"/>
      <c r="J571" s="143" t="str">
        <f>IF('Cronog. e Histog.'!F731&gt;0,'Cronog. e Histog.'!F731,"")</f>
        <v/>
      </c>
      <c r="K571" s="65"/>
      <c r="L571" s="144">
        <f>'Cronog. e Histog.'!BT731</f>
        <v>0</v>
      </c>
      <c r="M571" s="144">
        <f>'Cronog. e Histog.'!BU731</f>
        <v>0</v>
      </c>
      <c r="N571" s="65"/>
      <c r="O571" s="109">
        <f>_xlfn.XLOOKUP(B571,Salários!B:B,Salários!K:K)</f>
        <v>0</v>
      </c>
      <c r="P571" s="109">
        <f t="shared" si="750"/>
        <v>0</v>
      </c>
      <c r="Q571" s="109">
        <f t="shared" si="751"/>
        <v>0</v>
      </c>
      <c r="R571" s="65"/>
      <c r="S571" s="109">
        <f t="shared" si="752"/>
        <v>0</v>
      </c>
      <c r="T571" s="201" t="str">
        <f>IF(_xlfn.XLOOKUP(B571,Salários!B:B,Salários!I:I)&gt;0,_xlfn.XLOOKUP(B571,Salários!B:B,Salários!I:I),"")</f>
        <v/>
      </c>
      <c r="U571" s="117">
        <f t="shared" si="753"/>
        <v>0</v>
      </c>
      <c r="V571" s="65"/>
      <c r="W571" s="202"/>
      <c r="X571" s="65"/>
      <c r="Y571" s="69"/>
      <c r="Z571" s="65"/>
      <c r="AA571" s="518"/>
      <c r="AB571" s="65"/>
      <c r="AC571" s="81">
        <f t="shared" si="754"/>
        <v>0</v>
      </c>
      <c r="AD571" s="65"/>
      <c r="AE571" s="112"/>
      <c r="AF571" s="203">
        <v>0.3</v>
      </c>
      <c r="AG571" s="109">
        <f t="shared" si="732"/>
        <v>0</v>
      </c>
      <c r="AH571" s="84">
        <f t="shared" si="755"/>
        <v>0</v>
      </c>
      <c r="AI571" s="65"/>
      <c r="AJ571" s="112"/>
      <c r="AK571" s="122"/>
      <c r="AL571" s="109">
        <v>1212</v>
      </c>
      <c r="AM571" s="84">
        <f t="shared" si="756"/>
        <v>0</v>
      </c>
      <c r="AN571" s="65"/>
      <c r="AO571" s="112"/>
      <c r="AP571" s="204"/>
      <c r="AQ571" s="109">
        <f>IFERROR((O571+AH571+AM571)/Dashboard!$D$15,0)*0.2</f>
        <v>0</v>
      </c>
      <c r="AR571" s="84">
        <f t="shared" si="757"/>
        <v>0</v>
      </c>
      <c r="AS571" s="65"/>
      <c r="AT571" s="112"/>
      <c r="AU571" s="203">
        <v>0.33</v>
      </c>
      <c r="AV571" s="109">
        <f t="shared" si="736"/>
        <v>0</v>
      </c>
      <c r="AW571" s="84">
        <f t="shared" si="758"/>
        <v>0</v>
      </c>
      <c r="AX571" s="65"/>
      <c r="AY571" s="112"/>
      <c r="AZ571" s="203">
        <v>0.25</v>
      </c>
      <c r="BA571" s="109">
        <f t="shared" si="738"/>
        <v>0</v>
      </c>
      <c r="BB571" s="84">
        <f t="shared" si="759"/>
        <v>0</v>
      </c>
      <c r="BC571" s="65"/>
      <c r="BD571" s="112"/>
      <c r="BE571" s="203">
        <v>0.26</v>
      </c>
      <c r="BF571" s="109">
        <f t="shared" si="740"/>
        <v>0</v>
      </c>
      <c r="BG571" s="84">
        <f t="shared" si="760"/>
        <v>0</v>
      </c>
      <c r="BH571" s="197"/>
      <c r="BI571" s="518"/>
      <c r="BJ571" s="65"/>
      <c r="BK571" s="81">
        <f t="shared" si="761"/>
        <v>0</v>
      </c>
      <c r="BL571" s="65"/>
      <c r="BM571" s="65"/>
      <c r="BN571" s="204"/>
      <c r="BO571" s="109">
        <f>($O571/Dashboard!$D$15)*(1+Dashboard!$D$19)</f>
        <v>0</v>
      </c>
      <c r="BP571" s="84">
        <f t="shared" si="743"/>
        <v>0</v>
      </c>
      <c r="BQ571" s="65"/>
      <c r="BR571" s="65"/>
      <c r="BS571" s="204"/>
      <c r="BT571" s="109">
        <f>($O571/Dashboard!$D$15)*(1+Dashboard!$D$20)</f>
        <v>0</v>
      </c>
      <c r="BU571" s="84">
        <f t="shared" si="744"/>
        <v>0</v>
      </c>
      <c r="BV571" s="65"/>
      <c r="BW571" s="65"/>
      <c r="BX571" s="204"/>
      <c r="BY571" s="109">
        <f>($O571/Dashboard!$D$15)*(1+Dashboard!$D$21)</f>
        <v>0</v>
      </c>
      <c r="BZ571" s="84">
        <f t="shared" si="745"/>
        <v>0</v>
      </c>
    </row>
    <row r="572" spans="2:78" ht="12" hidden="1" customHeight="1" outlineLevel="1">
      <c r="B572" s="137" t="str">
        <f>'Cronog. e Histog.'!B732</f>
        <v/>
      </c>
      <c r="C572" s="65"/>
      <c r="D572" s="200">
        <f t="shared" si="746"/>
        <v>0</v>
      </c>
      <c r="E572" s="200">
        <f t="shared" si="747"/>
        <v>0</v>
      </c>
      <c r="F572" s="65"/>
      <c r="G572" s="200">
        <f t="shared" si="748"/>
        <v>0</v>
      </c>
      <c r="H572" s="200">
        <f t="shared" si="749"/>
        <v>0</v>
      </c>
      <c r="I572" s="65"/>
      <c r="J572" s="143" t="str">
        <f>IF('Cronog. e Histog.'!F732&gt;0,'Cronog. e Histog.'!F732,"")</f>
        <v/>
      </c>
      <c r="K572" s="65"/>
      <c r="L572" s="144">
        <f>'Cronog. e Histog.'!BT732</f>
        <v>0</v>
      </c>
      <c r="M572" s="144">
        <f>'Cronog. e Histog.'!BU732</f>
        <v>0</v>
      </c>
      <c r="N572" s="65"/>
      <c r="O572" s="109">
        <f>_xlfn.XLOOKUP(B572,Salários!B:B,Salários!K:K)</f>
        <v>0</v>
      </c>
      <c r="P572" s="109">
        <f t="shared" si="750"/>
        <v>0</v>
      </c>
      <c r="Q572" s="109">
        <f t="shared" si="751"/>
        <v>0</v>
      </c>
      <c r="R572" s="65"/>
      <c r="S572" s="109">
        <f t="shared" si="752"/>
        <v>0</v>
      </c>
      <c r="T572" s="201" t="str">
        <f>IF(_xlfn.XLOOKUP(B572,Salários!B:B,Salários!I:I)&gt;0,_xlfn.XLOOKUP(B572,Salários!B:B,Salários!I:I),"")</f>
        <v/>
      </c>
      <c r="U572" s="117">
        <f t="shared" si="753"/>
        <v>0</v>
      </c>
      <c r="V572" s="65"/>
      <c r="W572" s="202"/>
      <c r="X572" s="65"/>
      <c r="Y572" s="69"/>
      <c r="Z572" s="65"/>
      <c r="AA572" s="518"/>
      <c r="AB572" s="65"/>
      <c r="AC572" s="81">
        <f t="shared" si="754"/>
        <v>0</v>
      </c>
      <c r="AD572" s="65"/>
      <c r="AE572" s="112"/>
      <c r="AF572" s="203">
        <v>0.3</v>
      </c>
      <c r="AG572" s="109">
        <f t="shared" si="732"/>
        <v>0</v>
      </c>
      <c r="AH572" s="84">
        <f t="shared" si="755"/>
        <v>0</v>
      </c>
      <c r="AI572" s="65"/>
      <c r="AJ572" s="112"/>
      <c r="AK572" s="122"/>
      <c r="AL572" s="109">
        <v>1212</v>
      </c>
      <c r="AM572" s="84">
        <f t="shared" si="756"/>
        <v>0</v>
      </c>
      <c r="AN572" s="65"/>
      <c r="AO572" s="112"/>
      <c r="AP572" s="204"/>
      <c r="AQ572" s="109">
        <f>IFERROR((O572+AH572+AM572)/Dashboard!$D$15,0)*0.2</f>
        <v>0</v>
      </c>
      <c r="AR572" s="84">
        <f t="shared" si="757"/>
        <v>0</v>
      </c>
      <c r="AS572" s="65"/>
      <c r="AT572" s="112"/>
      <c r="AU572" s="203">
        <v>0.33</v>
      </c>
      <c r="AV572" s="109">
        <f t="shared" si="736"/>
        <v>0</v>
      </c>
      <c r="AW572" s="84">
        <f t="shared" si="758"/>
        <v>0</v>
      </c>
      <c r="AX572" s="65"/>
      <c r="AY572" s="112"/>
      <c r="AZ572" s="203">
        <v>0.25</v>
      </c>
      <c r="BA572" s="109">
        <f t="shared" si="738"/>
        <v>0</v>
      </c>
      <c r="BB572" s="84">
        <f t="shared" si="759"/>
        <v>0</v>
      </c>
      <c r="BC572" s="65"/>
      <c r="BD572" s="112"/>
      <c r="BE572" s="203">
        <v>0.26</v>
      </c>
      <c r="BF572" s="109">
        <f t="shared" si="740"/>
        <v>0</v>
      </c>
      <c r="BG572" s="84">
        <f t="shared" si="760"/>
        <v>0</v>
      </c>
      <c r="BH572" s="197"/>
      <c r="BI572" s="518"/>
      <c r="BJ572" s="65"/>
      <c r="BK572" s="81">
        <f t="shared" si="761"/>
        <v>0</v>
      </c>
      <c r="BL572" s="65"/>
      <c r="BM572" s="65"/>
      <c r="BN572" s="204"/>
      <c r="BO572" s="109">
        <f>($O572/Dashboard!$D$15)*(1+Dashboard!$D$19)</f>
        <v>0</v>
      </c>
      <c r="BP572" s="84">
        <f t="shared" si="743"/>
        <v>0</v>
      </c>
      <c r="BQ572" s="65"/>
      <c r="BR572" s="65"/>
      <c r="BS572" s="204"/>
      <c r="BT572" s="109">
        <f>($O572/Dashboard!$D$15)*(1+Dashboard!$D$20)</f>
        <v>0</v>
      </c>
      <c r="BU572" s="84">
        <f t="shared" si="744"/>
        <v>0</v>
      </c>
      <c r="BV572" s="65"/>
      <c r="BW572" s="65"/>
      <c r="BX572" s="204"/>
      <c r="BY572" s="109">
        <f>($O572/Dashboard!$D$15)*(1+Dashboard!$D$21)</f>
        <v>0</v>
      </c>
      <c r="BZ572" s="84">
        <f t="shared" si="745"/>
        <v>0</v>
      </c>
    </row>
    <row r="573" spans="2:78" ht="12" hidden="1" customHeight="1" outlineLevel="1">
      <c r="B573" s="137" t="str">
        <f>'Cronog. e Histog.'!B733</f>
        <v/>
      </c>
      <c r="C573" s="65"/>
      <c r="D573" s="200">
        <f t="shared" si="746"/>
        <v>0</v>
      </c>
      <c r="E573" s="200">
        <f t="shared" si="747"/>
        <v>0</v>
      </c>
      <c r="F573" s="65"/>
      <c r="G573" s="200">
        <f t="shared" si="748"/>
        <v>0</v>
      </c>
      <c r="H573" s="200">
        <f t="shared" si="749"/>
        <v>0</v>
      </c>
      <c r="I573" s="65"/>
      <c r="J573" s="143" t="str">
        <f>IF('Cronog. e Histog.'!F733&gt;0,'Cronog. e Histog.'!F733,"")</f>
        <v/>
      </c>
      <c r="K573" s="65"/>
      <c r="L573" s="144">
        <f>'Cronog. e Histog.'!BT733</f>
        <v>0</v>
      </c>
      <c r="M573" s="144">
        <f>'Cronog. e Histog.'!BU733</f>
        <v>0</v>
      </c>
      <c r="N573" s="65"/>
      <c r="O573" s="109">
        <f>_xlfn.XLOOKUP(B573,Salários!B:B,Salários!K:K)</f>
        <v>0</v>
      </c>
      <c r="P573" s="109">
        <f t="shared" si="750"/>
        <v>0</v>
      </c>
      <c r="Q573" s="109">
        <f t="shared" si="751"/>
        <v>0</v>
      </c>
      <c r="R573" s="65"/>
      <c r="S573" s="109">
        <f t="shared" si="752"/>
        <v>0</v>
      </c>
      <c r="T573" s="201" t="str">
        <f>IF(_xlfn.XLOOKUP(B573,Salários!B:B,Salários!I:I)&gt;0,_xlfn.XLOOKUP(B573,Salários!B:B,Salários!I:I),"")</f>
        <v/>
      </c>
      <c r="U573" s="117">
        <f t="shared" si="753"/>
        <v>0</v>
      </c>
      <c r="V573" s="65"/>
      <c r="W573" s="202"/>
      <c r="X573" s="65"/>
      <c r="Y573" s="69"/>
      <c r="Z573" s="65"/>
      <c r="AA573" s="518"/>
      <c r="AB573" s="65"/>
      <c r="AC573" s="81">
        <f t="shared" si="754"/>
        <v>0</v>
      </c>
      <c r="AD573" s="65"/>
      <c r="AE573" s="112"/>
      <c r="AF573" s="203">
        <v>0.3</v>
      </c>
      <c r="AG573" s="109">
        <f t="shared" si="732"/>
        <v>0</v>
      </c>
      <c r="AH573" s="84">
        <f t="shared" si="755"/>
        <v>0</v>
      </c>
      <c r="AI573" s="65"/>
      <c r="AJ573" s="112"/>
      <c r="AK573" s="122"/>
      <c r="AL573" s="109">
        <v>1212</v>
      </c>
      <c r="AM573" s="84">
        <f t="shared" si="756"/>
        <v>0</v>
      </c>
      <c r="AN573" s="65"/>
      <c r="AO573" s="112"/>
      <c r="AP573" s="204"/>
      <c r="AQ573" s="109">
        <f>IFERROR((O573+AH573+AM573)/Dashboard!$D$15,0)*0.2</f>
        <v>0</v>
      </c>
      <c r="AR573" s="84">
        <f t="shared" si="757"/>
        <v>0</v>
      </c>
      <c r="AS573" s="65"/>
      <c r="AT573" s="112"/>
      <c r="AU573" s="203">
        <v>0.33</v>
      </c>
      <c r="AV573" s="109">
        <f t="shared" si="736"/>
        <v>0</v>
      </c>
      <c r="AW573" s="84">
        <f t="shared" si="758"/>
        <v>0</v>
      </c>
      <c r="AX573" s="65"/>
      <c r="AY573" s="112"/>
      <c r="AZ573" s="203">
        <v>0.25</v>
      </c>
      <c r="BA573" s="109">
        <f t="shared" si="738"/>
        <v>0</v>
      </c>
      <c r="BB573" s="84">
        <f t="shared" si="759"/>
        <v>0</v>
      </c>
      <c r="BC573" s="65"/>
      <c r="BD573" s="112"/>
      <c r="BE573" s="203">
        <v>0.26</v>
      </c>
      <c r="BF573" s="109">
        <f t="shared" si="740"/>
        <v>0</v>
      </c>
      <c r="BG573" s="84">
        <f t="shared" si="760"/>
        <v>0</v>
      </c>
      <c r="BH573" s="197"/>
      <c r="BI573" s="518"/>
      <c r="BJ573" s="65"/>
      <c r="BK573" s="81">
        <f t="shared" si="761"/>
        <v>0</v>
      </c>
      <c r="BL573" s="65"/>
      <c r="BM573" s="65"/>
      <c r="BN573" s="204"/>
      <c r="BO573" s="109">
        <f>($O573/Dashboard!$D$15)*(1+Dashboard!$D$19)</f>
        <v>0</v>
      </c>
      <c r="BP573" s="84">
        <f t="shared" si="743"/>
        <v>0</v>
      </c>
      <c r="BQ573" s="65"/>
      <c r="BR573" s="65"/>
      <c r="BS573" s="204"/>
      <c r="BT573" s="109">
        <f>($O573/Dashboard!$D$15)*(1+Dashboard!$D$20)</f>
        <v>0</v>
      </c>
      <c r="BU573" s="84">
        <f t="shared" si="744"/>
        <v>0</v>
      </c>
      <c r="BV573" s="65"/>
      <c r="BW573" s="65"/>
      <c r="BX573" s="204"/>
      <c r="BY573" s="109">
        <f>($O573/Dashboard!$D$15)*(1+Dashboard!$D$21)</f>
        <v>0</v>
      </c>
      <c r="BZ573" s="84">
        <f t="shared" si="745"/>
        <v>0</v>
      </c>
    </row>
    <row r="574" spans="2:78" ht="12" hidden="1" customHeight="1" outlineLevel="1">
      <c r="B574" s="137" t="str">
        <f>'Cronog. e Histog.'!B734</f>
        <v/>
      </c>
      <c r="C574" s="65"/>
      <c r="D574" s="200">
        <f t="shared" si="746"/>
        <v>0</v>
      </c>
      <c r="E574" s="200">
        <f t="shared" si="747"/>
        <v>0</v>
      </c>
      <c r="F574" s="65"/>
      <c r="G574" s="200">
        <f t="shared" si="748"/>
        <v>0</v>
      </c>
      <c r="H574" s="200">
        <f t="shared" si="749"/>
        <v>0</v>
      </c>
      <c r="I574" s="65"/>
      <c r="J574" s="143" t="str">
        <f>IF('Cronog. e Histog.'!F734&gt;0,'Cronog. e Histog.'!F734,"")</f>
        <v/>
      </c>
      <c r="K574" s="65"/>
      <c r="L574" s="144">
        <f>'Cronog. e Histog.'!BT734</f>
        <v>0</v>
      </c>
      <c r="M574" s="144">
        <f>'Cronog. e Histog.'!BU734</f>
        <v>0</v>
      </c>
      <c r="N574" s="65"/>
      <c r="O574" s="109">
        <f>_xlfn.XLOOKUP(B574,Salários!B:B,Salários!K:K)</f>
        <v>0</v>
      </c>
      <c r="P574" s="109">
        <f t="shared" si="750"/>
        <v>0</v>
      </c>
      <c r="Q574" s="109">
        <f t="shared" si="751"/>
        <v>0</v>
      </c>
      <c r="R574" s="65"/>
      <c r="S574" s="109">
        <f t="shared" si="752"/>
        <v>0</v>
      </c>
      <c r="T574" s="201" t="str">
        <f>IF(_xlfn.XLOOKUP(B574,Salários!B:B,Salários!I:I)&gt;0,_xlfn.XLOOKUP(B574,Salários!B:B,Salários!I:I),"")</f>
        <v/>
      </c>
      <c r="U574" s="117">
        <f t="shared" si="753"/>
        <v>0</v>
      </c>
      <c r="V574" s="65"/>
      <c r="W574" s="202"/>
      <c r="X574" s="65"/>
      <c r="Y574" s="69"/>
      <c r="Z574" s="65"/>
      <c r="AA574" s="518"/>
      <c r="AB574" s="65"/>
      <c r="AC574" s="81">
        <f t="shared" si="754"/>
        <v>0</v>
      </c>
      <c r="AD574" s="65"/>
      <c r="AE574" s="112"/>
      <c r="AF574" s="203">
        <v>0.3</v>
      </c>
      <c r="AG574" s="109">
        <f t="shared" si="732"/>
        <v>0</v>
      </c>
      <c r="AH574" s="84">
        <f t="shared" si="755"/>
        <v>0</v>
      </c>
      <c r="AI574" s="65"/>
      <c r="AJ574" s="112"/>
      <c r="AK574" s="122"/>
      <c r="AL574" s="109">
        <v>1212</v>
      </c>
      <c r="AM574" s="84">
        <f t="shared" si="756"/>
        <v>0</v>
      </c>
      <c r="AN574" s="65"/>
      <c r="AO574" s="112"/>
      <c r="AP574" s="204"/>
      <c r="AQ574" s="109">
        <f>IFERROR((O574+AH574+AM574)/Dashboard!$D$15,0)*0.2</f>
        <v>0</v>
      </c>
      <c r="AR574" s="84">
        <f t="shared" si="757"/>
        <v>0</v>
      </c>
      <c r="AS574" s="65"/>
      <c r="AT574" s="112"/>
      <c r="AU574" s="203">
        <v>0.33</v>
      </c>
      <c r="AV574" s="109">
        <f t="shared" si="736"/>
        <v>0</v>
      </c>
      <c r="AW574" s="84">
        <f t="shared" si="758"/>
        <v>0</v>
      </c>
      <c r="AX574" s="65"/>
      <c r="AY574" s="112"/>
      <c r="AZ574" s="203">
        <v>0.25</v>
      </c>
      <c r="BA574" s="109">
        <f t="shared" si="738"/>
        <v>0</v>
      </c>
      <c r="BB574" s="84">
        <f t="shared" si="759"/>
        <v>0</v>
      </c>
      <c r="BC574" s="65"/>
      <c r="BD574" s="112"/>
      <c r="BE574" s="203">
        <v>0.26</v>
      </c>
      <c r="BF574" s="109">
        <f t="shared" si="740"/>
        <v>0</v>
      </c>
      <c r="BG574" s="84">
        <f t="shared" si="760"/>
        <v>0</v>
      </c>
      <c r="BH574" s="197"/>
      <c r="BI574" s="518"/>
      <c r="BJ574" s="65"/>
      <c r="BK574" s="81">
        <f t="shared" si="761"/>
        <v>0</v>
      </c>
      <c r="BL574" s="65"/>
      <c r="BM574" s="65"/>
      <c r="BN574" s="204"/>
      <c r="BO574" s="109">
        <f>($O574/Dashboard!$D$15)*(1+Dashboard!$D$19)</f>
        <v>0</v>
      </c>
      <c r="BP574" s="84">
        <f t="shared" si="743"/>
        <v>0</v>
      </c>
      <c r="BQ574" s="65"/>
      <c r="BR574" s="65"/>
      <c r="BS574" s="204"/>
      <c r="BT574" s="109">
        <f>($O574/Dashboard!$D$15)*(1+Dashboard!$D$20)</f>
        <v>0</v>
      </c>
      <c r="BU574" s="84">
        <f t="shared" si="744"/>
        <v>0</v>
      </c>
      <c r="BV574" s="65"/>
      <c r="BW574" s="65"/>
      <c r="BX574" s="204"/>
      <c r="BY574" s="109">
        <f>($O574/Dashboard!$D$15)*(1+Dashboard!$D$21)</f>
        <v>0</v>
      </c>
      <c r="BZ574" s="84">
        <f t="shared" si="745"/>
        <v>0</v>
      </c>
    </row>
    <row r="575" spans="2:78" ht="12" hidden="1" customHeight="1" outlineLevel="1">
      <c r="B575" s="137" t="str">
        <f>'Cronog. e Histog.'!B735</f>
        <v/>
      </c>
      <c r="C575" s="65"/>
      <c r="D575" s="200">
        <f t="shared" si="746"/>
        <v>0</v>
      </c>
      <c r="E575" s="200">
        <f t="shared" si="747"/>
        <v>0</v>
      </c>
      <c r="F575" s="65"/>
      <c r="G575" s="200">
        <f t="shared" si="748"/>
        <v>0</v>
      </c>
      <c r="H575" s="200">
        <f t="shared" si="749"/>
        <v>0</v>
      </c>
      <c r="I575" s="65"/>
      <c r="J575" s="143" t="str">
        <f>IF('Cronog. e Histog.'!F735&gt;0,'Cronog. e Histog.'!F735,"")</f>
        <v/>
      </c>
      <c r="K575" s="65"/>
      <c r="L575" s="144">
        <f>'Cronog. e Histog.'!BT735</f>
        <v>0</v>
      </c>
      <c r="M575" s="144">
        <f>'Cronog. e Histog.'!BU735</f>
        <v>0</v>
      </c>
      <c r="N575" s="65"/>
      <c r="O575" s="109">
        <f>_xlfn.XLOOKUP(B575,Salários!B:B,Salários!K:K)</f>
        <v>0</v>
      </c>
      <c r="P575" s="109">
        <f t="shared" si="750"/>
        <v>0</v>
      </c>
      <c r="Q575" s="109">
        <f t="shared" si="751"/>
        <v>0</v>
      </c>
      <c r="R575" s="65"/>
      <c r="S575" s="109">
        <f t="shared" si="752"/>
        <v>0</v>
      </c>
      <c r="T575" s="201" t="str">
        <f>IF(_xlfn.XLOOKUP(B575,Salários!B:B,Salários!I:I)&gt;0,_xlfn.XLOOKUP(B575,Salários!B:B,Salários!I:I),"")</f>
        <v/>
      </c>
      <c r="U575" s="117">
        <f t="shared" si="753"/>
        <v>0</v>
      </c>
      <c r="V575" s="65"/>
      <c r="W575" s="202"/>
      <c r="X575" s="65"/>
      <c r="Y575" s="69"/>
      <c r="Z575" s="65"/>
      <c r="AA575" s="518"/>
      <c r="AB575" s="65"/>
      <c r="AC575" s="81">
        <f t="shared" si="754"/>
        <v>0</v>
      </c>
      <c r="AD575" s="65"/>
      <c r="AE575" s="112"/>
      <c r="AF575" s="203">
        <v>0.3</v>
      </c>
      <c r="AG575" s="109">
        <f t="shared" si="732"/>
        <v>0</v>
      </c>
      <c r="AH575" s="84">
        <f t="shared" si="755"/>
        <v>0</v>
      </c>
      <c r="AI575" s="65"/>
      <c r="AJ575" s="112"/>
      <c r="AK575" s="122"/>
      <c r="AL575" s="109">
        <v>1212</v>
      </c>
      <c r="AM575" s="84">
        <f t="shared" si="756"/>
        <v>0</v>
      </c>
      <c r="AN575" s="65"/>
      <c r="AO575" s="112"/>
      <c r="AP575" s="204"/>
      <c r="AQ575" s="109">
        <f>IFERROR((O575+AH575+AM575)/Dashboard!$D$15,0)*0.2</f>
        <v>0</v>
      </c>
      <c r="AR575" s="84">
        <f t="shared" si="757"/>
        <v>0</v>
      </c>
      <c r="AS575" s="65"/>
      <c r="AT575" s="112"/>
      <c r="AU575" s="203">
        <v>0.33</v>
      </c>
      <c r="AV575" s="109">
        <f t="shared" si="736"/>
        <v>0</v>
      </c>
      <c r="AW575" s="84">
        <f t="shared" si="758"/>
        <v>0</v>
      </c>
      <c r="AX575" s="65"/>
      <c r="AY575" s="112"/>
      <c r="AZ575" s="203">
        <v>0.25</v>
      </c>
      <c r="BA575" s="109">
        <f t="shared" si="738"/>
        <v>0</v>
      </c>
      <c r="BB575" s="84">
        <f t="shared" si="759"/>
        <v>0</v>
      </c>
      <c r="BC575" s="65"/>
      <c r="BD575" s="112"/>
      <c r="BE575" s="203">
        <v>0.26</v>
      </c>
      <c r="BF575" s="109">
        <f t="shared" si="740"/>
        <v>0</v>
      </c>
      <c r="BG575" s="84">
        <f t="shared" si="760"/>
        <v>0</v>
      </c>
      <c r="BH575" s="197"/>
      <c r="BI575" s="518"/>
      <c r="BJ575" s="65"/>
      <c r="BK575" s="81">
        <f t="shared" si="761"/>
        <v>0</v>
      </c>
      <c r="BL575" s="65"/>
      <c r="BM575" s="65"/>
      <c r="BN575" s="204"/>
      <c r="BO575" s="109">
        <f>($O575/Dashboard!$D$15)*(1+Dashboard!$D$19)</f>
        <v>0</v>
      </c>
      <c r="BP575" s="84">
        <f t="shared" si="743"/>
        <v>0</v>
      </c>
      <c r="BQ575" s="65"/>
      <c r="BR575" s="65"/>
      <c r="BS575" s="204"/>
      <c r="BT575" s="109">
        <f>($O575/Dashboard!$D$15)*(1+Dashboard!$D$20)</f>
        <v>0</v>
      </c>
      <c r="BU575" s="84">
        <f t="shared" si="744"/>
        <v>0</v>
      </c>
      <c r="BV575" s="65"/>
      <c r="BW575" s="65"/>
      <c r="BX575" s="204"/>
      <c r="BY575" s="109">
        <f>($O575/Dashboard!$D$15)*(1+Dashboard!$D$21)</f>
        <v>0</v>
      </c>
      <c r="BZ575" s="84">
        <f t="shared" si="745"/>
        <v>0</v>
      </c>
    </row>
    <row r="576" spans="2:78" ht="12" hidden="1" customHeight="1" outlineLevel="1">
      <c r="B576" s="137" t="str">
        <f>'Cronog. e Histog.'!B736</f>
        <v/>
      </c>
      <c r="C576" s="65"/>
      <c r="D576" s="200">
        <f t="shared" si="746"/>
        <v>0</v>
      </c>
      <c r="E576" s="200">
        <f t="shared" si="747"/>
        <v>0</v>
      </c>
      <c r="F576" s="65"/>
      <c r="G576" s="200">
        <f t="shared" si="748"/>
        <v>0</v>
      </c>
      <c r="H576" s="200">
        <f t="shared" si="749"/>
        <v>0</v>
      </c>
      <c r="I576" s="65"/>
      <c r="J576" s="143" t="str">
        <f>IF('Cronog. e Histog.'!F736&gt;0,'Cronog. e Histog.'!F736,"")</f>
        <v/>
      </c>
      <c r="K576" s="65"/>
      <c r="L576" s="144">
        <f>'Cronog. e Histog.'!BT736</f>
        <v>0</v>
      </c>
      <c r="M576" s="144">
        <f>'Cronog. e Histog.'!BU736</f>
        <v>0</v>
      </c>
      <c r="N576" s="65"/>
      <c r="O576" s="109">
        <f>_xlfn.XLOOKUP(B576,Salários!B:B,Salários!K:K)</f>
        <v>0</v>
      </c>
      <c r="P576" s="109">
        <f t="shared" si="750"/>
        <v>0</v>
      </c>
      <c r="Q576" s="109">
        <f t="shared" si="751"/>
        <v>0</v>
      </c>
      <c r="R576" s="65"/>
      <c r="S576" s="109">
        <f t="shared" si="752"/>
        <v>0</v>
      </c>
      <c r="T576" s="201" t="str">
        <f>IF(_xlfn.XLOOKUP(B576,Salários!B:B,Salários!I:I)&gt;0,_xlfn.XLOOKUP(B576,Salários!B:B,Salários!I:I),"")</f>
        <v/>
      </c>
      <c r="U576" s="117">
        <f t="shared" si="753"/>
        <v>0</v>
      </c>
      <c r="V576" s="65"/>
      <c r="W576" s="202"/>
      <c r="X576" s="65"/>
      <c r="Y576" s="69"/>
      <c r="Z576" s="65"/>
      <c r="AA576" s="518"/>
      <c r="AB576" s="65"/>
      <c r="AC576" s="81">
        <f t="shared" si="754"/>
        <v>0</v>
      </c>
      <c r="AD576" s="65"/>
      <c r="AE576" s="112"/>
      <c r="AF576" s="203">
        <v>0.3</v>
      </c>
      <c r="AG576" s="109">
        <f t="shared" si="732"/>
        <v>0</v>
      </c>
      <c r="AH576" s="84">
        <f t="shared" si="755"/>
        <v>0</v>
      </c>
      <c r="AI576" s="65"/>
      <c r="AJ576" s="112"/>
      <c r="AK576" s="122"/>
      <c r="AL576" s="109">
        <v>1212</v>
      </c>
      <c r="AM576" s="84">
        <f t="shared" si="756"/>
        <v>0</v>
      </c>
      <c r="AN576" s="65"/>
      <c r="AO576" s="112"/>
      <c r="AP576" s="204"/>
      <c r="AQ576" s="109">
        <f>IFERROR((O576+AH576+AM576)/Dashboard!$D$15,0)*0.2</f>
        <v>0</v>
      </c>
      <c r="AR576" s="84">
        <f t="shared" si="757"/>
        <v>0</v>
      </c>
      <c r="AS576" s="65"/>
      <c r="AT576" s="112"/>
      <c r="AU576" s="203">
        <v>0.33</v>
      </c>
      <c r="AV576" s="109">
        <f t="shared" si="736"/>
        <v>0</v>
      </c>
      <c r="AW576" s="84">
        <f t="shared" si="758"/>
        <v>0</v>
      </c>
      <c r="AX576" s="65"/>
      <c r="AY576" s="112"/>
      <c r="AZ576" s="203">
        <v>0.25</v>
      </c>
      <c r="BA576" s="109">
        <f t="shared" si="738"/>
        <v>0</v>
      </c>
      <c r="BB576" s="84">
        <f t="shared" si="759"/>
        <v>0</v>
      </c>
      <c r="BC576" s="65"/>
      <c r="BD576" s="112"/>
      <c r="BE576" s="203">
        <v>0.26</v>
      </c>
      <c r="BF576" s="109">
        <f t="shared" si="740"/>
        <v>0</v>
      </c>
      <c r="BG576" s="84">
        <f t="shared" si="760"/>
        <v>0</v>
      </c>
      <c r="BH576" s="197"/>
      <c r="BI576" s="518"/>
      <c r="BJ576" s="65"/>
      <c r="BK576" s="81">
        <f t="shared" si="761"/>
        <v>0</v>
      </c>
      <c r="BL576" s="65"/>
      <c r="BM576" s="65"/>
      <c r="BN576" s="204"/>
      <c r="BO576" s="109">
        <f>($O576/Dashboard!$D$15)*(1+Dashboard!$D$19)</f>
        <v>0</v>
      </c>
      <c r="BP576" s="84">
        <f t="shared" si="743"/>
        <v>0</v>
      </c>
      <c r="BQ576" s="65"/>
      <c r="BR576" s="65"/>
      <c r="BS576" s="204"/>
      <c r="BT576" s="109">
        <f>($O576/Dashboard!$D$15)*(1+Dashboard!$D$20)</f>
        <v>0</v>
      </c>
      <c r="BU576" s="84">
        <f t="shared" si="744"/>
        <v>0</v>
      </c>
      <c r="BV576" s="65"/>
      <c r="BW576" s="65"/>
      <c r="BX576" s="204"/>
      <c r="BY576" s="109">
        <f>($O576/Dashboard!$D$15)*(1+Dashboard!$D$21)</f>
        <v>0</v>
      </c>
      <c r="BZ576" s="84">
        <f t="shared" si="745"/>
        <v>0</v>
      </c>
    </row>
    <row r="577" spans="2:78" ht="12" hidden="1" customHeight="1" outlineLevel="1">
      <c r="B577" s="137" t="str">
        <f>'Cronog. e Histog.'!B737</f>
        <v/>
      </c>
      <c r="C577" s="65"/>
      <c r="D577" s="200">
        <f t="shared" si="746"/>
        <v>0</v>
      </c>
      <c r="E577" s="200">
        <f t="shared" si="747"/>
        <v>0</v>
      </c>
      <c r="F577" s="65"/>
      <c r="G577" s="200">
        <f t="shared" si="748"/>
        <v>0</v>
      </c>
      <c r="H577" s="200">
        <f t="shared" si="749"/>
        <v>0</v>
      </c>
      <c r="I577" s="65"/>
      <c r="J577" s="143" t="str">
        <f>IF('Cronog. e Histog.'!F737&gt;0,'Cronog. e Histog.'!F737,"")</f>
        <v/>
      </c>
      <c r="K577" s="65"/>
      <c r="L577" s="144">
        <f>'Cronog. e Histog.'!BT737</f>
        <v>0</v>
      </c>
      <c r="M577" s="144">
        <f>'Cronog. e Histog.'!BU737</f>
        <v>0</v>
      </c>
      <c r="N577" s="65"/>
      <c r="O577" s="109">
        <f>_xlfn.XLOOKUP(B577,Salários!B:B,Salários!K:K)</f>
        <v>0</v>
      </c>
      <c r="P577" s="109">
        <f t="shared" si="750"/>
        <v>0</v>
      </c>
      <c r="Q577" s="109">
        <f t="shared" si="751"/>
        <v>0</v>
      </c>
      <c r="R577" s="65"/>
      <c r="S577" s="109">
        <f t="shared" si="752"/>
        <v>0</v>
      </c>
      <c r="T577" s="201" t="str">
        <f>IF(_xlfn.XLOOKUP(B577,Salários!B:B,Salários!I:I)&gt;0,_xlfn.XLOOKUP(B577,Salários!B:B,Salários!I:I),"")</f>
        <v/>
      </c>
      <c r="U577" s="117">
        <f t="shared" si="753"/>
        <v>0</v>
      </c>
      <c r="V577" s="65"/>
      <c r="W577" s="202"/>
      <c r="X577" s="65"/>
      <c r="Y577" s="69"/>
      <c r="Z577" s="65"/>
      <c r="AA577" s="518"/>
      <c r="AB577" s="65"/>
      <c r="AC577" s="81">
        <f t="shared" si="754"/>
        <v>0</v>
      </c>
      <c r="AD577" s="65"/>
      <c r="AE577" s="112"/>
      <c r="AF577" s="203">
        <v>0.3</v>
      </c>
      <c r="AG577" s="109">
        <f t="shared" si="732"/>
        <v>0</v>
      </c>
      <c r="AH577" s="84">
        <f t="shared" si="755"/>
        <v>0</v>
      </c>
      <c r="AI577" s="65"/>
      <c r="AJ577" s="112"/>
      <c r="AK577" s="122"/>
      <c r="AL577" s="109">
        <v>1212</v>
      </c>
      <c r="AM577" s="84">
        <f t="shared" si="756"/>
        <v>0</v>
      </c>
      <c r="AN577" s="65"/>
      <c r="AO577" s="112"/>
      <c r="AP577" s="204"/>
      <c r="AQ577" s="109">
        <f>IFERROR((O577+AH577+AM577)/Dashboard!$D$15,0)*0.2</f>
        <v>0</v>
      </c>
      <c r="AR577" s="84">
        <f t="shared" si="757"/>
        <v>0</v>
      </c>
      <c r="AS577" s="65"/>
      <c r="AT577" s="112"/>
      <c r="AU577" s="203">
        <v>0.33</v>
      </c>
      <c r="AV577" s="109">
        <f t="shared" si="736"/>
        <v>0</v>
      </c>
      <c r="AW577" s="84">
        <f t="shared" si="758"/>
        <v>0</v>
      </c>
      <c r="AX577" s="65"/>
      <c r="AY577" s="112"/>
      <c r="AZ577" s="203">
        <v>0.25</v>
      </c>
      <c r="BA577" s="109">
        <f t="shared" si="738"/>
        <v>0</v>
      </c>
      <c r="BB577" s="84">
        <f t="shared" si="759"/>
        <v>0</v>
      </c>
      <c r="BC577" s="65"/>
      <c r="BD577" s="112"/>
      <c r="BE577" s="203">
        <v>0.26</v>
      </c>
      <c r="BF577" s="109">
        <f t="shared" si="740"/>
        <v>0</v>
      </c>
      <c r="BG577" s="84">
        <f t="shared" si="760"/>
        <v>0</v>
      </c>
      <c r="BH577" s="197"/>
      <c r="BI577" s="518"/>
      <c r="BJ577" s="65"/>
      <c r="BK577" s="81">
        <f t="shared" si="761"/>
        <v>0</v>
      </c>
      <c r="BL577" s="65"/>
      <c r="BM577" s="65"/>
      <c r="BN577" s="204"/>
      <c r="BO577" s="109">
        <f>($O577/Dashboard!$D$15)*(1+Dashboard!$D$19)</f>
        <v>0</v>
      </c>
      <c r="BP577" s="84">
        <f t="shared" si="743"/>
        <v>0</v>
      </c>
      <c r="BQ577" s="65"/>
      <c r="BR577" s="65"/>
      <c r="BS577" s="204"/>
      <c r="BT577" s="109">
        <f>($O577/Dashboard!$D$15)*(1+Dashboard!$D$20)</f>
        <v>0</v>
      </c>
      <c r="BU577" s="84">
        <f t="shared" si="744"/>
        <v>0</v>
      </c>
      <c r="BV577" s="65"/>
      <c r="BW577" s="65"/>
      <c r="BX577" s="204"/>
      <c r="BY577" s="109">
        <f>($O577/Dashboard!$D$15)*(1+Dashboard!$D$21)</f>
        <v>0</v>
      </c>
      <c r="BZ577" s="84">
        <f t="shared" si="745"/>
        <v>0</v>
      </c>
    </row>
    <row r="578" spans="2:78" ht="12" hidden="1" customHeight="1" outlineLevel="1">
      <c r="B578" s="137" t="str">
        <f>'Cronog. e Histog.'!B738</f>
        <v/>
      </c>
      <c r="C578" s="65"/>
      <c r="D578" s="200">
        <f t="shared" si="746"/>
        <v>0</v>
      </c>
      <c r="E578" s="200">
        <f t="shared" si="747"/>
        <v>0</v>
      </c>
      <c r="F578" s="65"/>
      <c r="G578" s="200">
        <f t="shared" si="748"/>
        <v>0</v>
      </c>
      <c r="H578" s="200">
        <f t="shared" si="749"/>
        <v>0</v>
      </c>
      <c r="I578" s="65"/>
      <c r="J578" s="143" t="str">
        <f>IF('Cronog. e Histog.'!F738&gt;0,'Cronog. e Histog.'!F738,"")</f>
        <v/>
      </c>
      <c r="K578" s="65"/>
      <c r="L578" s="144">
        <f>'Cronog. e Histog.'!BT738</f>
        <v>0</v>
      </c>
      <c r="M578" s="144">
        <f>'Cronog. e Histog.'!BU738</f>
        <v>0</v>
      </c>
      <c r="N578" s="65"/>
      <c r="O578" s="109">
        <f>_xlfn.XLOOKUP(B578,Salários!B:B,Salários!K:K)</f>
        <v>0</v>
      </c>
      <c r="P578" s="109">
        <f t="shared" si="750"/>
        <v>0</v>
      </c>
      <c r="Q578" s="109">
        <f t="shared" si="751"/>
        <v>0</v>
      </c>
      <c r="R578" s="65"/>
      <c r="S578" s="109">
        <f t="shared" si="752"/>
        <v>0</v>
      </c>
      <c r="T578" s="201" t="str">
        <f>IF(_xlfn.XLOOKUP(B578,Salários!B:B,Salários!I:I)&gt;0,_xlfn.XLOOKUP(B578,Salários!B:B,Salários!I:I),"")</f>
        <v/>
      </c>
      <c r="U578" s="117">
        <f t="shared" si="753"/>
        <v>0</v>
      </c>
      <c r="V578" s="65"/>
      <c r="W578" s="202"/>
      <c r="X578" s="65"/>
      <c r="Y578" s="69"/>
      <c r="Z578" s="65"/>
      <c r="AA578" s="518"/>
      <c r="AB578" s="65"/>
      <c r="AC578" s="81">
        <f t="shared" si="754"/>
        <v>0</v>
      </c>
      <c r="AD578" s="65"/>
      <c r="AE578" s="112"/>
      <c r="AF578" s="203">
        <v>0.3</v>
      </c>
      <c r="AG578" s="109">
        <f t="shared" si="732"/>
        <v>0</v>
      </c>
      <c r="AH578" s="84">
        <f t="shared" si="755"/>
        <v>0</v>
      </c>
      <c r="AI578" s="65"/>
      <c r="AJ578" s="112"/>
      <c r="AK578" s="122"/>
      <c r="AL578" s="109">
        <v>1212</v>
      </c>
      <c r="AM578" s="84">
        <f t="shared" si="756"/>
        <v>0</v>
      </c>
      <c r="AN578" s="65"/>
      <c r="AO578" s="112"/>
      <c r="AP578" s="204"/>
      <c r="AQ578" s="109">
        <f>IFERROR((O578+AH578+AM578)/Dashboard!$D$15,0)*0.2</f>
        <v>0</v>
      </c>
      <c r="AR578" s="84">
        <f t="shared" si="757"/>
        <v>0</v>
      </c>
      <c r="AS578" s="65"/>
      <c r="AT578" s="112"/>
      <c r="AU578" s="203">
        <v>0.33</v>
      </c>
      <c r="AV578" s="109">
        <f t="shared" si="736"/>
        <v>0</v>
      </c>
      <c r="AW578" s="84">
        <f t="shared" si="758"/>
        <v>0</v>
      </c>
      <c r="AX578" s="65"/>
      <c r="AY578" s="112"/>
      <c r="AZ578" s="203">
        <v>0.25</v>
      </c>
      <c r="BA578" s="109">
        <f t="shared" si="738"/>
        <v>0</v>
      </c>
      <c r="BB578" s="84">
        <f t="shared" si="759"/>
        <v>0</v>
      </c>
      <c r="BC578" s="65"/>
      <c r="BD578" s="112"/>
      <c r="BE578" s="203">
        <v>0.26</v>
      </c>
      <c r="BF578" s="109">
        <f t="shared" si="740"/>
        <v>0</v>
      </c>
      <c r="BG578" s="84">
        <f t="shared" si="760"/>
        <v>0</v>
      </c>
      <c r="BH578" s="197"/>
      <c r="BI578" s="518"/>
      <c r="BJ578" s="65"/>
      <c r="BK578" s="81">
        <f t="shared" si="761"/>
        <v>0</v>
      </c>
      <c r="BL578" s="65"/>
      <c r="BM578" s="65"/>
      <c r="BN578" s="204"/>
      <c r="BO578" s="109">
        <f>($O578/Dashboard!$D$15)*(1+Dashboard!$D$19)</f>
        <v>0</v>
      </c>
      <c r="BP578" s="84">
        <f t="shared" si="743"/>
        <v>0</v>
      </c>
      <c r="BQ578" s="65"/>
      <c r="BR578" s="65"/>
      <c r="BS578" s="204"/>
      <c r="BT578" s="109">
        <f>($O578/Dashboard!$D$15)*(1+Dashboard!$D$20)</f>
        <v>0</v>
      </c>
      <c r="BU578" s="84">
        <f t="shared" si="744"/>
        <v>0</v>
      </c>
      <c r="BV578" s="65"/>
      <c r="BW578" s="65"/>
      <c r="BX578" s="204"/>
      <c r="BY578" s="109">
        <f>($O578/Dashboard!$D$15)*(1+Dashboard!$D$21)</f>
        <v>0</v>
      </c>
      <c r="BZ578" s="84">
        <f t="shared" si="745"/>
        <v>0</v>
      </c>
    </row>
    <row r="579" spans="2:78" ht="12" hidden="1" customHeight="1" outlineLevel="1">
      <c r="B579" s="137" t="str">
        <f>'Cronog. e Histog.'!B739</f>
        <v/>
      </c>
      <c r="C579" s="65"/>
      <c r="D579" s="200">
        <f t="shared" si="746"/>
        <v>0</v>
      </c>
      <c r="E579" s="200">
        <f t="shared" si="747"/>
        <v>0</v>
      </c>
      <c r="F579" s="65"/>
      <c r="G579" s="200">
        <f t="shared" si="748"/>
        <v>0</v>
      </c>
      <c r="H579" s="200">
        <f t="shared" si="749"/>
        <v>0</v>
      </c>
      <c r="I579" s="65"/>
      <c r="J579" s="143" t="str">
        <f>IF('Cronog. e Histog.'!F739&gt;0,'Cronog. e Histog.'!F739,"")</f>
        <v/>
      </c>
      <c r="K579" s="65"/>
      <c r="L579" s="144">
        <f>'Cronog. e Histog.'!BT739</f>
        <v>0</v>
      </c>
      <c r="M579" s="144">
        <f>'Cronog. e Histog.'!BU739</f>
        <v>0</v>
      </c>
      <c r="N579" s="65"/>
      <c r="O579" s="109">
        <f>_xlfn.XLOOKUP(B579,Salários!B:B,Salários!K:K)</f>
        <v>0</v>
      </c>
      <c r="P579" s="109">
        <f t="shared" si="750"/>
        <v>0</v>
      </c>
      <c r="Q579" s="109">
        <f t="shared" si="751"/>
        <v>0</v>
      </c>
      <c r="R579" s="65"/>
      <c r="S579" s="109">
        <f t="shared" si="752"/>
        <v>0</v>
      </c>
      <c r="T579" s="201" t="str">
        <f>IF(_xlfn.XLOOKUP(B579,Salários!B:B,Salários!I:I)&gt;0,_xlfn.XLOOKUP(B579,Salários!B:B,Salários!I:I),"")</f>
        <v/>
      </c>
      <c r="U579" s="117">
        <f t="shared" si="753"/>
        <v>0</v>
      </c>
      <c r="V579" s="65"/>
      <c r="W579" s="202"/>
      <c r="X579" s="65"/>
      <c r="Y579" s="69"/>
      <c r="Z579" s="65"/>
      <c r="AA579" s="518"/>
      <c r="AB579" s="65"/>
      <c r="AC579" s="81">
        <f t="shared" si="754"/>
        <v>0</v>
      </c>
      <c r="AD579" s="65"/>
      <c r="AE579" s="112"/>
      <c r="AF579" s="203">
        <v>0.3</v>
      </c>
      <c r="AG579" s="109">
        <f t="shared" si="732"/>
        <v>0</v>
      </c>
      <c r="AH579" s="84">
        <f t="shared" si="755"/>
        <v>0</v>
      </c>
      <c r="AI579" s="65"/>
      <c r="AJ579" s="112"/>
      <c r="AK579" s="122"/>
      <c r="AL579" s="109">
        <v>1212</v>
      </c>
      <c r="AM579" s="84">
        <f t="shared" si="756"/>
        <v>0</v>
      </c>
      <c r="AN579" s="65"/>
      <c r="AO579" s="112"/>
      <c r="AP579" s="204"/>
      <c r="AQ579" s="109">
        <f>IFERROR((O579+AH579+AM579)/Dashboard!$D$15,0)*0.2</f>
        <v>0</v>
      </c>
      <c r="AR579" s="84">
        <f t="shared" si="757"/>
        <v>0</v>
      </c>
      <c r="AS579" s="65"/>
      <c r="AT579" s="112"/>
      <c r="AU579" s="203">
        <v>0.33</v>
      </c>
      <c r="AV579" s="109">
        <f t="shared" si="736"/>
        <v>0</v>
      </c>
      <c r="AW579" s="84">
        <f t="shared" si="758"/>
        <v>0</v>
      </c>
      <c r="AX579" s="65"/>
      <c r="AY579" s="112"/>
      <c r="AZ579" s="203">
        <v>0.25</v>
      </c>
      <c r="BA579" s="109">
        <f t="shared" si="738"/>
        <v>0</v>
      </c>
      <c r="BB579" s="84">
        <f t="shared" si="759"/>
        <v>0</v>
      </c>
      <c r="BC579" s="65"/>
      <c r="BD579" s="112"/>
      <c r="BE579" s="203">
        <v>0.26</v>
      </c>
      <c r="BF579" s="109">
        <f t="shared" si="740"/>
        <v>0</v>
      </c>
      <c r="BG579" s="84">
        <f t="shared" si="760"/>
        <v>0</v>
      </c>
      <c r="BH579" s="197"/>
      <c r="BI579" s="518"/>
      <c r="BJ579" s="65"/>
      <c r="BK579" s="81">
        <f t="shared" si="761"/>
        <v>0</v>
      </c>
      <c r="BL579" s="65"/>
      <c r="BM579" s="65"/>
      <c r="BN579" s="204"/>
      <c r="BO579" s="109">
        <f>($O579/Dashboard!$D$15)*(1+Dashboard!$D$19)</f>
        <v>0</v>
      </c>
      <c r="BP579" s="84">
        <f t="shared" si="743"/>
        <v>0</v>
      </c>
      <c r="BQ579" s="65"/>
      <c r="BR579" s="65"/>
      <c r="BS579" s="204"/>
      <c r="BT579" s="109">
        <f>($O579/Dashboard!$D$15)*(1+Dashboard!$D$20)</f>
        <v>0</v>
      </c>
      <c r="BU579" s="84">
        <f t="shared" si="744"/>
        <v>0</v>
      </c>
      <c r="BV579" s="65"/>
      <c r="BW579" s="65"/>
      <c r="BX579" s="204"/>
      <c r="BY579" s="109">
        <f>($O579/Dashboard!$D$15)*(1+Dashboard!$D$21)</f>
        <v>0</v>
      </c>
      <c r="BZ579" s="84">
        <f t="shared" si="745"/>
        <v>0</v>
      </c>
    </row>
    <row r="580" spans="2:78" ht="12" hidden="1" customHeight="1" outlineLevel="1">
      <c r="B580" s="137" t="str">
        <f>'Cronog. e Histog.'!B740</f>
        <v/>
      </c>
      <c r="C580" s="65"/>
      <c r="D580" s="200">
        <f t="shared" si="746"/>
        <v>0</v>
      </c>
      <c r="E580" s="200">
        <f t="shared" si="747"/>
        <v>0</v>
      </c>
      <c r="F580" s="65"/>
      <c r="G580" s="200">
        <f t="shared" si="748"/>
        <v>0</v>
      </c>
      <c r="H580" s="200">
        <f t="shared" si="749"/>
        <v>0</v>
      </c>
      <c r="I580" s="65"/>
      <c r="J580" s="143" t="str">
        <f>IF('Cronog. e Histog.'!F740&gt;0,'Cronog. e Histog.'!F740,"")</f>
        <v/>
      </c>
      <c r="K580" s="65"/>
      <c r="L580" s="144">
        <f>'Cronog. e Histog.'!BT740</f>
        <v>0</v>
      </c>
      <c r="M580" s="144">
        <f>'Cronog. e Histog.'!BU740</f>
        <v>0</v>
      </c>
      <c r="N580" s="65"/>
      <c r="O580" s="109">
        <f>_xlfn.XLOOKUP(B580,Salários!B:B,Salários!K:K)</f>
        <v>0</v>
      </c>
      <c r="P580" s="109">
        <f t="shared" si="750"/>
        <v>0</v>
      </c>
      <c r="Q580" s="109">
        <f t="shared" si="751"/>
        <v>0</v>
      </c>
      <c r="R580" s="65"/>
      <c r="S580" s="109">
        <f t="shared" si="752"/>
        <v>0</v>
      </c>
      <c r="T580" s="201" t="str">
        <f>IF(_xlfn.XLOOKUP(B580,Salários!B:B,Salários!I:I)&gt;0,_xlfn.XLOOKUP(B580,Salários!B:B,Salários!I:I),"")</f>
        <v/>
      </c>
      <c r="U580" s="117">
        <f t="shared" si="753"/>
        <v>0</v>
      </c>
      <c r="V580" s="65"/>
      <c r="W580" s="202"/>
      <c r="X580" s="65"/>
      <c r="Y580" s="69"/>
      <c r="Z580" s="65"/>
      <c r="AA580" s="518"/>
      <c r="AB580" s="65"/>
      <c r="AC580" s="81">
        <f t="shared" si="754"/>
        <v>0</v>
      </c>
      <c r="AD580" s="65"/>
      <c r="AE580" s="112"/>
      <c r="AF580" s="203">
        <v>0.3</v>
      </c>
      <c r="AG580" s="109">
        <f t="shared" si="732"/>
        <v>0</v>
      </c>
      <c r="AH580" s="84">
        <f t="shared" si="755"/>
        <v>0</v>
      </c>
      <c r="AI580" s="65"/>
      <c r="AJ580" s="112"/>
      <c r="AK580" s="122"/>
      <c r="AL580" s="109">
        <v>1212</v>
      </c>
      <c r="AM580" s="84">
        <f t="shared" si="756"/>
        <v>0</v>
      </c>
      <c r="AN580" s="65"/>
      <c r="AO580" s="112"/>
      <c r="AP580" s="204"/>
      <c r="AQ580" s="109">
        <f>IFERROR((O580+AH580+AM580)/Dashboard!$D$15,0)*0.2</f>
        <v>0</v>
      </c>
      <c r="AR580" s="84">
        <f t="shared" si="757"/>
        <v>0</v>
      </c>
      <c r="AS580" s="65"/>
      <c r="AT580" s="112"/>
      <c r="AU580" s="203">
        <v>0.33</v>
      </c>
      <c r="AV580" s="109">
        <f t="shared" si="736"/>
        <v>0</v>
      </c>
      <c r="AW580" s="84">
        <f t="shared" si="758"/>
        <v>0</v>
      </c>
      <c r="AX580" s="65"/>
      <c r="AY580" s="112"/>
      <c r="AZ580" s="203">
        <v>0.25</v>
      </c>
      <c r="BA580" s="109">
        <f t="shared" si="738"/>
        <v>0</v>
      </c>
      <c r="BB580" s="84">
        <f t="shared" si="759"/>
        <v>0</v>
      </c>
      <c r="BC580" s="65"/>
      <c r="BD580" s="112"/>
      <c r="BE580" s="203">
        <v>0.26</v>
      </c>
      <c r="BF580" s="109">
        <f t="shared" si="740"/>
        <v>0</v>
      </c>
      <c r="BG580" s="84">
        <f t="shared" si="760"/>
        <v>0</v>
      </c>
      <c r="BH580" s="197"/>
      <c r="BI580" s="518"/>
      <c r="BJ580" s="65"/>
      <c r="BK580" s="81">
        <f t="shared" si="761"/>
        <v>0</v>
      </c>
      <c r="BL580" s="65"/>
      <c r="BM580" s="65"/>
      <c r="BN580" s="204"/>
      <c r="BO580" s="109">
        <f>($O580/Dashboard!$D$15)*(1+Dashboard!$D$19)</f>
        <v>0</v>
      </c>
      <c r="BP580" s="84">
        <f t="shared" si="743"/>
        <v>0</v>
      </c>
      <c r="BQ580" s="65"/>
      <c r="BR580" s="65"/>
      <c r="BS580" s="204"/>
      <c r="BT580" s="109">
        <f>($O580/Dashboard!$D$15)*(1+Dashboard!$D$20)</f>
        <v>0</v>
      </c>
      <c r="BU580" s="84">
        <f t="shared" si="744"/>
        <v>0</v>
      </c>
      <c r="BV580" s="65"/>
      <c r="BW580" s="65"/>
      <c r="BX580" s="204"/>
      <c r="BY580" s="109">
        <f>($O580/Dashboard!$D$15)*(1+Dashboard!$D$21)</f>
        <v>0</v>
      </c>
      <c r="BZ580" s="84">
        <f t="shared" si="745"/>
        <v>0</v>
      </c>
    </row>
    <row r="581" spans="2:78" ht="12" hidden="1" customHeight="1" outlineLevel="1">
      <c r="B581" s="137" t="str">
        <f>'Cronog. e Histog.'!B741</f>
        <v/>
      </c>
      <c r="C581" s="65"/>
      <c r="D581" s="200">
        <f t="shared" si="746"/>
        <v>0</v>
      </c>
      <c r="E581" s="200">
        <f t="shared" si="747"/>
        <v>0</v>
      </c>
      <c r="F581" s="65"/>
      <c r="G581" s="200">
        <f t="shared" si="748"/>
        <v>0</v>
      </c>
      <c r="H581" s="200">
        <f t="shared" si="749"/>
        <v>0</v>
      </c>
      <c r="I581" s="65"/>
      <c r="J581" s="143" t="str">
        <f>IF('Cronog. e Histog.'!F741&gt;0,'Cronog. e Histog.'!F741,"")</f>
        <v/>
      </c>
      <c r="K581" s="65"/>
      <c r="L581" s="144">
        <f>'Cronog. e Histog.'!BT741</f>
        <v>0</v>
      </c>
      <c r="M581" s="144">
        <f>'Cronog. e Histog.'!BU741</f>
        <v>0</v>
      </c>
      <c r="N581" s="65"/>
      <c r="O581" s="109">
        <f>_xlfn.XLOOKUP(B581,Salários!B:B,Salários!K:K)</f>
        <v>0</v>
      </c>
      <c r="P581" s="109">
        <f t="shared" si="750"/>
        <v>0</v>
      </c>
      <c r="Q581" s="109">
        <f t="shared" si="751"/>
        <v>0</v>
      </c>
      <c r="R581" s="65"/>
      <c r="S581" s="109">
        <f t="shared" si="752"/>
        <v>0</v>
      </c>
      <c r="T581" s="201" t="str">
        <f>IF(_xlfn.XLOOKUP(B581,Salários!B:B,Salários!I:I)&gt;0,_xlfn.XLOOKUP(B581,Salários!B:B,Salários!I:I),"")</f>
        <v/>
      </c>
      <c r="U581" s="117">
        <f t="shared" si="753"/>
        <v>0</v>
      </c>
      <c r="V581" s="65"/>
      <c r="W581" s="202"/>
      <c r="X581" s="65"/>
      <c r="Y581" s="69"/>
      <c r="Z581" s="65"/>
      <c r="AA581" s="518"/>
      <c r="AB581" s="65"/>
      <c r="AC581" s="81">
        <f t="shared" si="754"/>
        <v>0</v>
      </c>
      <c r="AD581" s="65"/>
      <c r="AE581" s="112"/>
      <c r="AF581" s="203">
        <v>0.3</v>
      </c>
      <c r="AG581" s="109">
        <f t="shared" si="732"/>
        <v>0</v>
      </c>
      <c r="AH581" s="84">
        <f t="shared" si="755"/>
        <v>0</v>
      </c>
      <c r="AI581" s="65"/>
      <c r="AJ581" s="112"/>
      <c r="AK581" s="122"/>
      <c r="AL581" s="109">
        <v>1212</v>
      </c>
      <c r="AM581" s="84">
        <f t="shared" si="756"/>
        <v>0</v>
      </c>
      <c r="AN581" s="65"/>
      <c r="AO581" s="112"/>
      <c r="AP581" s="204"/>
      <c r="AQ581" s="109">
        <f>IFERROR((O581+AH581+AM581)/Dashboard!$D$15,0)*0.2</f>
        <v>0</v>
      </c>
      <c r="AR581" s="84">
        <f t="shared" si="757"/>
        <v>0</v>
      </c>
      <c r="AS581" s="65"/>
      <c r="AT581" s="112"/>
      <c r="AU581" s="203">
        <v>0.33</v>
      </c>
      <c r="AV581" s="109">
        <f t="shared" si="736"/>
        <v>0</v>
      </c>
      <c r="AW581" s="84">
        <f t="shared" si="758"/>
        <v>0</v>
      </c>
      <c r="AX581" s="65"/>
      <c r="AY581" s="112"/>
      <c r="AZ581" s="203">
        <v>0.25</v>
      </c>
      <c r="BA581" s="109">
        <f t="shared" si="738"/>
        <v>0</v>
      </c>
      <c r="BB581" s="84">
        <f t="shared" si="759"/>
        <v>0</v>
      </c>
      <c r="BC581" s="65"/>
      <c r="BD581" s="112"/>
      <c r="BE581" s="203">
        <v>0.26</v>
      </c>
      <c r="BF581" s="109">
        <f t="shared" si="740"/>
        <v>0</v>
      </c>
      <c r="BG581" s="84">
        <f t="shared" si="760"/>
        <v>0</v>
      </c>
      <c r="BH581" s="197"/>
      <c r="BI581" s="518"/>
      <c r="BJ581" s="65"/>
      <c r="BK581" s="81">
        <f t="shared" si="761"/>
        <v>0</v>
      </c>
      <c r="BL581" s="65"/>
      <c r="BM581" s="65"/>
      <c r="BN581" s="204"/>
      <c r="BO581" s="109">
        <f>($O581/Dashboard!$D$15)*(1+Dashboard!$D$19)</f>
        <v>0</v>
      </c>
      <c r="BP581" s="84">
        <f t="shared" si="743"/>
        <v>0</v>
      </c>
      <c r="BQ581" s="65"/>
      <c r="BR581" s="65"/>
      <c r="BS581" s="204"/>
      <c r="BT581" s="109">
        <f>($O581/Dashboard!$D$15)*(1+Dashboard!$D$20)</f>
        <v>0</v>
      </c>
      <c r="BU581" s="84">
        <f t="shared" si="744"/>
        <v>0</v>
      </c>
      <c r="BV581" s="65"/>
      <c r="BW581" s="65"/>
      <c r="BX581" s="204"/>
      <c r="BY581" s="109">
        <f>($O581/Dashboard!$D$15)*(1+Dashboard!$D$21)</f>
        <v>0</v>
      </c>
      <c r="BZ581" s="84">
        <f t="shared" si="745"/>
        <v>0</v>
      </c>
    </row>
    <row r="582" spans="2:78" ht="12" hidden="1" customHeight="1" outlineLevel="1">
      <c r="B582" s="137" t="str">
        <f>'Cronog. e Histog.'!B742</f>
        <v/>
      </c>
      <c r="C582" s="65"/>
      <c r="D582" s="200">
        <f t="shared" si="746"/>
        <v>0</v>
      </c>
      <c r="E582" s="200">
        <f t="shared" si="747"/>
        <v>0</v>
      </c>
      <c r="F582" s="65"/>
      <c r="G582" s="200">
        <f t="shared" si="748"/>
        <v>0</v>
      </c>
      <c r="H582" s="200">
        <f t="shared" si="749"/>
        <v>0</v>
      </c>
      <c r="I582" s="65"/>
      <c r="J582" s="143" t="str">
        <f>IF('Cronog. e Histog.'!F742&gt;0,'Cronog. e Histog.'!F742,"")</f>
        <v/>
      </c>
      <c r="K582" s="65"/>
      <c r="L582" s="144">
        <f>'Cronog. e Histog.'!BT742</f>
        <v>0</v>
      </c>
      <c r="M582" s="144">
        <f>'Cronog. e Histog.'!BU742</f>
        <v>0</v>
      </c>
      <c r="N582" s="65"/>
      <c r="O582" s="109">
        <f>_xlfn.XLOOKUP(B582,Salários!B:B,Salários!K:K)</f>
        <v>0</v>
      </c>
      <c r="P582" s="109">
        <f t="shared" si="750"/>
        <v>0</v>
      </c>
      <c r="Q582" s="109">
        <f t="shared" si="751"/>
        <v>0</v>
      </c>
      <c r="R582" s="65"/>
      <c r="S582" s="109">
        <f t="shared" si="752"/>
        <v>0</v>
      </c>
      <c r="T582" s="201" t="str">
        <f>IF(_xlfn.XLOOKUP(B582,Salários!B:B,Salários!I:I)&gt;0,_xlfn.XLOOKUP(B582,Salários!B:B,Salários!I:I),"")</f>
        <v/>
      </c>
      <c r="U582" s="117">
        <f t="shared" si="753"/>
        <v>0</v>
      </c>
      <c r="V582" s="65"/>
      <c r="W582" s="202"/>
      <c r="X582" s="65"/>
      <c r="Y582" s="69"/>
      <c r="Z582" s="65"/>
      <c r="AA582" s="518"/>
      <c r="AB582" s="65"/>
      <c r="AC582" s="81">
        <f t="shared" si="754"/>
        <v>0</v>
      </c>
      <c r="AD582" s="65"/>
      <c r="AE582" s="112"/>
      <c r="AF582" s="203">
        <v>0.3</v>
      </c>
      <c r="AG582" s="109">
        <f t="shared" si="732"/>
        <v>0</v>
      </c>
      <c r="AH582" s="84">
        <f t="shared" si="755"/>
        <v>0</v>
      </c>
      <c r="AI582" s="65"/>
      <c r="AJ582" s="112"/>
      <c r="AK582" s="122"/>
      <c r="AL582" s="109">
        <v>1212</v>
      </c>
      <c r="AM582" s="84">
        <f t="shared" si="756"/>
        <v>0</v>
      </c>
      <c r="AN582" s="65"/>
      <c r="AO582" s="112"/>
      <c r="AP582" s="204"/>
      <c r="AQ582" s="109">
        <f>IFERROR((O582+AH582+AM582)/Dashboard!$D$15,0)*0.2</f>
        <v>0</v>
      </c>
      <c r="AR582" s="84">
        <f t="shared" si="757"/>
        <v>0</v>
      </c>
      <c r="AS582" s="65"/>
      <c r="AT582" s="112"/>
      <c r="AU582" s="203">
        <v>0.33</v>
      </c>
      <c r="AV582" s="109">
        <f t="shared" si="736"/>
        <v>0</v>
      </c>
      <c r="AW582" s="84">
        <f t="shared" si="758"/>
        <v>0</v>
      </c>
      <c r="AX582" s="65"/>
      <c r="AY582" s="112"/>
      <c r="AZ582" s="203">
        <v>0.25</v>
      </c>
      <c r="BA582" s="109">
        <f t="shared" si="738"/>
        <v>0</v>
      </c>
      <c r="BB582" s="84">
        <f t="shared" si="759"/>
        <v>0</v>
      </c>
      <c r="BC582" s="65"/>
      <c r="BD582" s="112"/>
      <c r="BE582" s="203">
        <v>0.26</v>
      </c>
      <c r="BF582" s="109">
        <f t="shared" si="740"/>
        <v>0</v>
      </c>
      <c r="BG582" s="84">
        <f t="shared" si="760"/>
        <v>0</v>
      </c>
      <c r="BH582" s="197"/>
      <c r="BI582" s="518"/>
      <c r="BJ582" s="65"/>
      <c r="BK582" s="81">
        <f t="shared" si="761"/>
        <v>0</v>
      </c>
      <c r="BL582" s="65"/>
      <c r="BM582" s="65"/>
      <c r="BN582" s="204"/>
      <c r="BO582" s="109">
        <f>($O582/Dashboard!$D$15)*(1+Dashboard!$D$19)</f>
        <v>0</v>
      </c>
      <c r="BP582" s="84">
        <f t="shared" si="743"/>
        <v>0</v>
      </c>
      <c r="BQ582" s="65"/>
      <c r="BR582" s="65"/>
      <c r="BS582" s="204"/>
      <c r="BT582" s="109">
        <f>($O582/Dashboard!$D$15)*(1+Dashboard!$D$20)</f>
        <v>0</v>
      </c>
      <c r="BU582" s="84">
        <f t="shared" si="744"/>
        <v>0</v>
      </c>
      <c r="BV582" s="65"/>
      <c r="BW582" s="65"/>
      <c r="BX582" s="204"/>
      <c r="BY582" s="109">
        <f>($O582/Dashboard!$D$15)*(1+Dashboard!$D$21)</f>
        <v>0</v>
      </c>
      <c r="BZ582" s="84">
        <f t="shared" si="745"/>
        <v>0</v>
      </c>
    </row>
    <row r="583" spans="2:78" ht="12" hidden="1" customHeight="1" outlineLevel="1">
      <c r="B583" s="137" t="str">
        <f>'Cronog. e Histog.'!B743</f>
        <v/>
      </c>
      <c r="C583" s="65"/>
      <c r="D583" s="200">
        <f t="shared" si="746"/>
        <v>0</v>
      </c>
      <c r="E583" s="200">
        <f t="shared" si="747"/>
        <v>0</v>
      </c>
      <c r="F583" s="65"/>
      <c r="G583" s="200">
        <f t="shared" si="748"/>
        <v>0</v>
      </c>
      <c r="H583" s="200">
        <f t="shared" si="749"/>
        <v>0</v>
      </c>
      <c r="I583" s="65"/>
      <c r="J583" s="143" t="str">
        <f>IF('Cronog. e Histog.'!F743&gt;0,'Cronog. e Histog.'!F743,"")</f>
        <v/>
      </c>
      <c r="K583" s="65"/>
      <c r="L583" s="144">
        <f>'Cronog. e Histog.'!BT743</f>
        <v>0</v>
      </c>
      <c r="M583" s="144">
        <f>'Cronog. e Histog.'!BU743</f>
        <v>0</v>
      </c>
      <c r="N583" s="65"/>
      <c r="O583" s="109">
        <f>_xlfn.XLOOKUP(B583,Salários!B:B,Salários!K:K)</f>
        <v>0</v>
      </c>
      <c r="P583" s="109">
        <f t="shared" si="750"/>
        <v>0</v>
      </c>
      <c r="Q583" s="109">
        <f t="shared" si="751"/>
        <v>0</v>
      </c>
      <c r="R583" s="65"/>
      <c r="S583" s="109">
        <f t="shared" si="752"/>
        <v>0</v>
      </c>
      <c r="T583" s="201" t="str">
        <f>IF(_xlfn.XLOOKUP(B583,Salários!B:B,Salários!I:I)&gt;0,_xlfn.XLOOKUP(B583,Salários!B:B,Salários!I:I),"")</f>
        <v/>
      </c>
      <c r="U583" s="117">
        <f t="shared" si="753"/>
        <v>0</v>
      </c>
      <c r="V583" s="65"/>
      <c r="W583" s="202"/>
      <c r="X583" s="65"/>
      <c r="Y583" s="69"/>
      <c r="Z583" s="65"/>
      <c r="AA583" s="518"/>
      <c r="AB583" s="65"/>
      <c r="AC583" s="81">
        <f t="shared" si="754"/>
        <v>0</v>
      </c>
      <c r="AD583" s="65"/>
      <c r="AE583" s="112"/>
      <c r="AF583" s="203">
        <v>0.3</v>
      </c>
      <c r="AG583" s="109">
        <f t="shared" si="732"/>
        <v>0</v>
      </c>
      <c r="AH583" s="84">
        <f t="shared" si="755"/>
        <v>0</v>
      </c>
      <c r="AI583" s="65"/>
      <c r="AJ583" s="112"/>
      <c r="AK583" s="122"/>
      <c r="AL583" s="109">
        <v>1212</v>
      </c>
      <c r="AM583" s="84">
        <f t="shared" si="756"/>
        <v>0</v>
      </c>
      <c r="AN583" s="65"/>
      <c r="AO583" s="112"/>
      <c r="AP583" s="204"/>
      <c r="AQ583" s="109">
        <f>IFERROR((O583+AH583+AM583)/Dashboard!$D$15,0)*0.2</f>
        <v>0</v>
      </c>
      <c r="AR583" s="84">
        <f t="shared" si="757"/>
        <v>0</v>
      </c>
      <c r="AS583" s="65"/>
      <c r="AT583" s="112"/>
      <c r="AU583" s="203">
        <v>0.33</v>
      </c>
      <c r="AV583" s="109">
        <f t="shared" si="736"/>
        <v>0</v>
      </c>
      <c r="AW583" s="84">
        <f t="shared" si="758"/>
        <v>0</v>
      </c>
      <c r="AX583" s="65"/>
      <c r="AY583" s="112"/>
      <c r="AZ583" s="203">
        <v>0.25</v>
      </c>
      <c r="BA583" s="109">
        <f t="shared" si="738"/>
        <v>0</v>
      </c>
      <c r="BB583" s="84">
        <f t="shared" si="759"/>
        <v>0</v>
      </c>
      <c r="BC583" s="65"/>
      <c r="BD583" s="112"/>
      <c r="BE583" s="203">
        <v>0.26</v>
      </c>
      <c r="BF583" s="109">
        <f t="shared" si="740"/>
        <v>0</v>
      </c>
      <c r="BG583" s="84">
        <f t="shared" si="760"/>
        <v>0</v>
      </c>
      <c r="BH583" s="197"/>
      <c r="BI583" s="518"/>
      <c r="BJ583" s="65"/>
      <c r="BK583" s="81">
        <f t="shared" si="761"/>
        <v>0</v>
      </c>
      <c r="BL583" s="65"/>
      <c r="BM583" s="65"/>
      <c r="BN583" s="204"/>
      <c r="BO583" s="109">
        <f>($O583/Dashboard!$D$15)*(1+Dashboard!$D$19)</f>
        <v>0</v>
      </c>
      <c r="BP583" s="84">
        <f t="shared" si="743"/>
        <v>0</v>
      </c>
      <c r="BQ583" s="65"/>
      <c r="BR583" s="65"/>
      <c r="BS583" s="204"/>
      <c r="BT583" s="109">
        <f>($O583/Dashboard!$D$15)*(1+Dashboard!$D$20)</f>
        <v>0</v>
      </c>
      <c r="BU583" s="84">
        <f t="shared" si="744"/>
        <v>0</v>
      </c>
      <c r="BV583" s="65"/>
      <c r="BW583" s="65"/>
      <c r="BX583" s="204"/>
      <c r="BY583" s="109">
        <f>($O583/Dashboard!$D$15)*(1+Dashboard!$D$21)</f>
        <v>0</v>
      </c>
      <c r="BZ583" s="84">
        <f t="shared" si="745"/>
        <v>0</v>
      </c>
    </row>
    <row r="584" spans="2:78" ht="12" hidden="1" customHeight="1" outlineLevel="1">
      <c r="B584" s="137" t="str">
        <f>'Cronog. e Histog.'!B744</f>
        <v/>
      </c>
      <c r="C584" s="65"/>
      <c r="D584" s="200">
        <f t="shared" si="746"/>
        <v>0</v>
      </c>
      <c r="E584" s="200">
        <f t="shared" si="747"/>
        <v>0</v>
      </c>
      <c r="F584" s="65"/>
      <c r="G584" s="200">
        <f t="shared" si="748"/>
        <v>0</v>
      </c>
      <c r="H584" s="200">
        <f t="shared" si="749"/>
        <v>0</v>
      </c>
      <c r="I584" s="65"/>
      <c r="J584" s="143" t="str">
        <f>IF('Cronog. e Histog.'!F744&gt;0,'Cronog. e Histog.'!F744,"")</f>
        <v/>
      </c>
      <c r="K584" s="65"/>
      <c r="L584" s="144">
        <f>'Cronog. e Histog.'!BT744</f>
        <v>0</v>
      </c>
      <c r="M584" s="144">
        <f>'Cronog. e Histog.'!BU744</f>
        <v>0</v>
      </c>
      <c r="N584" s="65"/>
      <c r="O584" s="109">
        <f>_xlfn.XLOOKUP(B584,Salários!B:B,Salários!K:K)</f>
        <v>0</v>
      </c>
      <c r="P584" s="109">
        <f t="shared" si="750"/>
        <v>0</v>
      </c>
      <c r="Q584" s="109">
        <f t="shared" si="751"/>
        <v>0</v>
      </c>
      <c r="R584" s="65"/>
      <c r="S584" s="109">
        <f t="shared" si="752"/>
        <v>0</v>
      </c>
      <c r="T584" s="201" t="str">
        <f>IF(_xlfn.XLOOKUP(B584,Salários!B:B,Salários!I:I)&gt;0,_xlfn.XLOOKUP(B584,Salários!B:B,Salários!I:I),"")</f>
        <v/>
      </c>
      <c r="U584" s="117">
        <f t="shared" si="753"/>
        <v>0</v>
      </c>
      <c r="V584" s="65"/>
      <c r="W584" s="202"/>
      <c r="X584" s="65"/>
      <c r="Y584" s="69"/>
      <c r="Z584" s="65"/>
      <c r="AA584" s="518"/>
      <c r="AB584" s="65"/>
      <c r="AC584" s="81">
        <f t="shared" si="754"/>
        <v>0</v>
      </c>
      <c r="AD584" s="65"/>
      <c r="AE584" s="112"/>
      <c r="AF584" s="203">
        <v>0.3</v>
      </c>
      <c r="AG584" s="109">
        <f t="shared" si="732"/>
        <v>0</v>
      </c>
      <c r="AH584" s="84">
        <f t="shared" si="755"/>
        <v>0</v>
      </c>
      <c r="AI584" s="65"/>
      <c r="AJ584" s="112"/>
      <c r="AK584" s="122"/>
      <c r="AL584" s="109">
        <v>1212</v>
      </c>
      <c r="AM584" s="84">
        <f t="shared" si="756"/>
        <v>0</v>
      </c>
      <c r="AN584" s="65"/>
      <c r="AO584" s="112"/>
      <c r="AP584" s="204"/>
      <c r="AQ584" s="109">
        <f>IFERROR((O584+AH584+AM584)/Dashboard!$D$15,0)*0.2</f>
        <v>0</v>
      </c>
      <c r="AR584" s="84">
        <f t="shared" si="757"/>
        <v>0</v>
      </c>
      <c r="AS584" s="65"/>
      <c r="AT584" s="112"/>
      <c r="AU584" s="203">
        <v>0.33</v>
      </c>
      <c r="AV584" s="109">
        <f t="shared" si="736"/>
        <v>0</v>
      </c>
      <c r="AW584" s="84">
        <f t="shared" si="758"/>
        <v>0</v>
      </c>
      <c r="AX584" s="65"/>
      <c r="AY584" s="112"/>
      <c r="AZ584" s="203">
        <v>0.25</v>
      </c>
      <c r="BA584" s="109">
        <f t="shared" si="738"/>
        <v>0</v>
      </c>
      <c r="BB584" s="84">
        <f t="shared" si="759"/>
        <v>0</v>
      </c>
      <c r="BC584" s="65"/>
      <c r="BD584" s="112"/>
      <c r="BE584" s="203">
        <v>0.26</v>
      </c>
      <c r="BF584" s="109">
        <f t="shared" si="740"/>
        <v>0</v>
      </c>
      <c r="BG584" s="84">
        <f t="shared" si="760"/>
        <v>0</v>
      </c>
      <c r="BH584" s="197"/>
      <c r="BI584" s="518"/>
      <c r="BJ584" s="65"/>
      <c r="BK584" s="81">
        <f t="shared" si="761"/>
        <v>0</v>
      </c>
      <c r="BL584" s="65"/>
      <c r="BM584" s="65"/>
      <c r="BN584" s="204"/>
      <c r="BO584" s="109">
        <f>($O584/Dashboard!$D$15)*(1+Dashboard!$D$19)</f>
        <v>0</v>
      </c>
      <c r="BP584" s="84">
        <f t="shared" si="743"/>
        <v>0</v>
      </c>
      <c r="BQ584" s="65"/>
      <c r="BR584" s="65"/>
      <c r="BS584" s="204"/>
      <c r="BT584" s="109">
        <f>($O584/Dashboard!$D$15)*(1+Dashboard!$D$20)</f>
        <v>0</v>
      </c>
      <c r="BU584" s="84">
        <f t="shared" si="744"/>
        <v>0</v>
      </c>
      <c r="BV584" s="65"/>
      <c r="BW584" s="65"/>
      <c r="BX584" s="204"/>
      <c r="BY584" s="109">
        <f>($O584/Dashboard!$D$15)*(1+Dashboard!$D$21)</f>
        <v>0</v>
      </c>
      <c r="BZ584" s="84">
        <f t="shared" si="745"/>
        <v>0</v>
      </c>
    </row>
    <row r="585" spans="2:78" ht="12" hidden="1" customHeight="1" outlineLevel="1">
      <c r="B585" s="137" t="str">
        <f>'Cronog. e Histog.'!B745</f>
        <v/>
      </c>
      <c r="C585" s="65"/>
      <c r="D585" s="200">
        <f t="shared" si="746"/>
        <v>0</v>
      </c>
      <c r="E585" s="200">
        <f t="shared" si="747"/>
        <v>0</v>
      </c>
      <c r="F585" s="65"/>
      <c r="G585" s="200">
        <f t="shared" si="748"/>
        <v>0</v>
      </c>
      <c r="H585" s="200">
        <f t="shared" si="749"/>
        <v>0</v>
      </c>
      <c r="I585" s="65"/>
      <c r="J585" s="143" t="str">
        <f>IF('Cronog. e Histog.'!F745&gt;0,'Cronog. e Histog.'!F745,"")</f>
        <v/>
      </c>
      <c r="K585" s="65"/>
      <c r="L585" s="144">
        <f>'Cronog. e Histog.'!BT745</f>
        <v>0</v>
      </c>
      <c r="M585" s="144">
        <f>'Cronog. e Histog.'!BU745</f>
        <v>0</v>
      </c>
      <c r="N585" s="65"/>
      <c r="O585" s="109">
        <f>_xlfn.XLOOKUP(B585,Salários!B:B,Salários!K:K)</f>
        <v>0</v>
      </c>
      <c r="P585" s="109">
        <f t="shared" si="750"/>
        <v>0</v>
      </c>
      <c r="Q585" s="109">
        <f t="shared" si="751"/>
        <v>0</v>
      </c>
      <c r="R585" s="65"/>
      <c r="S585" s="109">
        <f t="shared" si="752"/>
        <v>0</v>
      </c>
      <c r="T585" s="201" t="str">
        <f>IF(_xlfn.XLOOKUP(B585,Salários!B:B,Salários!I:I)&gt;0,_xlfn.XLOOKUP(B585,Salários!B:B,Salários!I:I),"")</f>
        <v/>
      </c>
      <c r="U585" s="117">
        <f t="shared" si="753"/>
        <v>0</v>
      </c>
      <c r="V585" s="65"/>
      <c r="W585" s="202"/>
      <c r="X585" s="65"/>
      <c r="Y585" s="69"/>
      <c r="Z585" s="65"/>
      <c r="AA585" s="518"/>
      <c r="AB585" s="65"/>
      <c r="AC585" s="81">
        <f t="shared" si="754"/>
        <v>0</v>
      </c>
      <c r="AD585" s="65"/>
      <c r="AE585" s="112"/>
      <c r="AF585" s="203">
        <v>0.3</v>
      </c>
      <c r="AG585" s="109">
        <f t="shared" si="732"/>
        <v>0</v>
      </c>
      <c r="AH585" s="84">
        <f t="shared" si="755"/>
        <v>0</v>
      </c>
      <c r="AI585" s="65"/>
      <c r="AJ585" s="112"/>
      <c r="AK585" s="122"/>
      <c r="AL585" s="109">
        <v>1212</v>
      </c>
      <c r="AM585" s="84">
        <f t="shared" si="756"/>
        <v>0</v>
      </c>
      <c r="AN585" s="65"/>
      <c r="AO585" s="112"/>
      <c r="AP585" s="204"/>
      <c r="AQ585" s="109">
        <f>IFERROR((O585+AH585+AM585)/Dashboard!$D$15,0)*0.2</f>
        <v>0</v>
      </c>
      <c r="AR585" s="84">
        <f t="shared" si="757"/>
        <v>0</v>
      </c>
      <c r="AS585" s="65"/>
      <c r="AT585" s="112"/>
      <c r="AU585" s="203">
        <v>0.33</v>
      </c>
      <c r="AV585" s="109">
        <f t="shared" si="736"/>
        <v>0</v>
      </c>
      <c r="AW585" s="84">
        <f t="shared" si="758"/>
        <v>0</v>
      </c>
      <c r="AX585" s="65"/>
      <c r="AY585" s="112"/>
      <c r="AZ585" s="203">
        <v>0.25</v>
      </c>
      <c r="BA585" s="109">
        <f t="shared" si="738"/>
        <v>0</v>
      </c>
      <c r="BB585" s="84">
        <f t="shared" si="759"/>
        <v>0</v>
      </c>
      <c r="BC585" s="65"/>
      <c r="BD585" s="112"/>
      <c r="BE585" s="203">
        <v>0.26</v>
      </c>
      <c r="BF585" s="109">
        <f t="shared" si="740"/>
        <v>0</v>
      </c>
      <c r="BG585" s="84">
        <f t="shared" si="760"/>
        <v>0</v>
      </c>
      <c r="BH585" s="197"/>
      <c r="BI585" s="518"/>
      <c r="BJ585" s="65"/>
      <c r="BK585" s="81">
        <f t="shared" si="761"/>
        <v>0</v>
      </c>
      <c r="BL585" s="65"/>
      <c r="BM585" s="65"/>
      <c r="BN585" s="204"/>
      <c r="BO585" s="109">
        <f>($O585/Dashboard!$D$15)*(1+Dashboard!$D$19)</f>
        <v>0</v>
      </c>
      <c r="BP585" s="84">
        <f t="shared" si="743"/>
        <v>0</v>
      </c>
      <c r="BQ585" s="65"/>
      <c r="BR585" s="65"/>
      <c r="BS585" s="204"/>
      <c r="BT585" s="109">
        <f>($O585/Dashboard!$D$15)*(1+Dashboard!$D$20)</f>
        <v>0</v>
      </c>
      <c r="BU585" s="84">
        <f t="shared" si="744"/>
        <v>0</v>
      </c>
      <c r="BV585" s="65"/>
      <c r="BW585" s="65"/>
      <c r="BX585" s="204"/>
      <c r="BY585" s="109">
        <f>($O585/Dashboard!$D$15)*(1+Dashboard!$D$21)</f>
        <v>0</v>
      </c>
      <c r="BZ585" s="84">
        <f t="shared" si="745"/>
        <v>0</v>
      </c>
    </row>
    <row r="586" spans="2:78" ht="12" hidden="1" customHeight="1" outlineLevel="1">
      <c r="B586" s="137" t="str">
        <f>'Cronog. e Histog.'!B746</f>
        <v/>
      </c>
      <c r="C586" s="65"/>
      <c r="D586" s="200">
        <f t="shared" si="746"/>
        <v>0</v>
      </c>
      <c r="E586" s="200">
        <f t="shared" si="747"/>
        <v>0</v>
      </c>
      <c r="F586" s="65"/>
      <c r="G586" s="200">
        <f t="shared" si="748"/>
        <v>0</v>
      </c>
      <c r="H586" s="200">
        <f t="shared" si="749"/>
        <v>0</v>
      </c>
      <c r="I586" s="65"/>
      <c r="J586" s="143" t="str">
        <f>IF('Cronog. e Histog.'!F746&gt;0,'Cronog. e Histog.'!F746,"")</f>
        <v/>
      </c>
      <c r="K586" s="65"/>
      <c r="L586" s="144">
        <f>'Cronog. e Histog.'!BT746</f>
        <v>0</v>
      </c>
      <c r="M586" s="144">
        <f>'Cronog. e Histog.'!BU746</f>
        <v>0</v>
      </c>
      <c r="N586" s="65"/>
      <c r="O586" s="109">
        <f>_xlfn.XLOOKUP(B586,Salários!B:B,Salários!K:K)</f>
        <v>0</v>
      </c>
      <c r="P586" s="109">
        <f t="shared" si="750"/>
        <v>0</v>
      </c>
      <c r="Q586" s="109">
        <f t="shared" si="751"/>
        <v>0</v>
      </c>
      <c r="R586" s="65"/>
      <c r="S586" s="109">
        <f t="shared" si="752"/>
        <v>0</v>
      </c>
      <c r="T586" s="201" t="str">
        <f>IF(_xlfn.XLOOKUP(B586,Salários!B:B,Salários!I:I)&gt;0,_xlfn.XLOOKUP(B586,Salários!B:B,Salários!I:I),"")</f>
        <v/>
      </c>
      <c r="U586" s="117">
        <f t="shared" si="753"/>
        <v>0</v>
      </c>
      <c r="V586" s="65"/>
      <c r="W586" s="202"/>
      <c r="X586" s="65"/>
      <c r="Y586" s="69"/>
      <c r="Z586" s="65"/>
      <c r="AA586" s="518"/>
      <c r="AB586" s="65"/>
      <c r="AC586" s="81">
        <f t="shared" si="754"/>
        <v>0</v>
      </c>
      <c r="AD586" s="65"/>
      <c r="AE586" s="112"/>
      <c r="AF586" s="203">
        <v>0.3</v>
      </c>
      <c r="AG586" s="109">
        <f t="shared" si="732"/>
        <v>0</v>
      </c>
      <c r="AH586" s="84">
        <f t="shared" si="755"/>
        <v>0</v>
      </c>
      <c r="AI586" s="65"/>
      <c r="AJ586" s="112"/>
      <c r="AK586" s="122"/>
      <c r="AL586" s="109">
        <v>1212</v>
      </c>
      <c r="AM586" s="84">
        <f t="shared" si="756"/>
        <v>0</v>
      </c>
      <c r="AN586" s="65"/>
      <c r="AO586" s="112"/>
      <c r="AP586" s="204"/>
      <c r="AQ586" s="109">
        <f>IFERROR((O586+AH586+AM586)/Dashboard!$D$15,0)*0.2</f>
        <v>0</v>
      </c>
      <c r="AR586" s="84">
        <f t="shared" si="757"/>
        <v>0</v>
      </c>
      <c r="AS586" s="65"/>
      <c r="AT586" s="112"/>
      <c r="AU586" s="203">
        <v>0.33</v>
      </c>
      <c r="AV586" s="109">
        <f t="shared" si="736"/>
        <v>0</v>
      </c>
      <c r="AW586" s="84">
        <f t="shared" si="758"/>
        <v>0</v>
      </c>
      <c r="AX586" s="65"/>
      <c r="AY586" s="112"/>
      <c r="AZ586" s="203">
        <v>0.25</v>
      </c>
      <c r="BA586" s="109">
        <f t="shared" si="738"/>
        <v>0</v>
      </c>
      <c r="BB586" s="84">
        <f t="shared" si="759"/>
        <v>0</v>
      </c>
      <c r="BC586" s="65"/>
      <c r="BD586" s="112"/>
      <c r="BE586" s="203">
        <v>0.26</v>
      </c>
      <c r="BF586" s="109">
        <f t="shared" si="740"/>
        <v>0</v>
      </c>
      <c r="BG586" s="84">
        <f t="shared" si="760"/>
        <v>0</v>
      </c>
      <c r="BH586" s="197"/>
      <c r="BI586" s="518"/>
      <c r="BJ586" s="65"/>
      <c r="BK586" s="81">
        <f t="shared" si="761"/>
        <v>0</v>
      </c>
      <c r="BL586" s="65"/>
      <c r="BM586" s="65"/>
      <c r="BN586" s="204"/>
      <c r="BO586" s="109">
        <f>($O586/Dashboard!$D$15)*(1+Dashboard!$D$19)</f>
        <v>0</v>
      </c>
      <c r="BP586" s="84">
        <f t="shared" si="743"/>
        <v>0</v>
      </c>
      <c r="BQ586" s="65"/>
      <c r="BR586" s="65"/>
      <c r="BS586" s="204"/>
      <c r="BT586" s="109">
        <f>($O586/Dashboard!$D$15)*(1+Dashboard!$D$20)</f>
        <v>0</v>
      </c>
      <c r="BU586" s="84">
        <f t="shared" si="744"/>
        <v>0</v>
      </c>
      <c r="BV586" s="65"/>
      <c r="BW586" s="65"/>
      <c r="BX586" s="204"/>
      <c r="BY586" s="109">
        <f>($O586/Dashboard!$D$15)*(1+Dashboard!$D$21)</f>
        <v>0</v>
      </c>
      <c r="BZ586" s="84">
        <f t="shared" si="745"/>
        <v>0</v>
      </c>
    </row>
    <row r="587" spans="2:78" ht="12" hidden="1" customHeight="1" outlineLevel="1">
      <c r="B587" s="137" t="str">
        <f>'Cronog. e Histog.'!B747</f>
        <v/>
      </c>
      <c r="C587" s="65"/>
      <c r="D587" s="200">
        <f t="shared" si="746"/>
        <v>0</v>
      </c>
      <c r="E587" s="200">
        <f t="shared" si="747"/>
        <v>0</v>
      </c>
      <c r="F587" s="65"/>
      <c r="G587" s="200">
        <f t="shared" si="748"/>
        <v>0</v>
      </c>
      <c r="H587" s="200">
        <f t="shared" si="749"/>
        <v>0</v>
      </c>
      <c r="I587" s="65"/>
      <c r="J587" s="143" t="str">
        <f>IF('Cronog. e Histog.'!F747&gt;0,'Cronog. e Histog.'!F747,"")</f>
        <v/>
      </c>
      <c r="K587" s="65"/>
      <c r="L587" s="144">
        <f>'Cronog. e Histog.'!BT747</f>
        <v>0</v>
      </c>
      <c r="M587" s="144">
        <f>'Cronog. e Histog.'!BU747</f>
        <v>0</v>
      </c>
      <c r="N587" s="65"/>
      <c r="O587" s="109">
        <f>_xlfn.XLOOKUP(B587,Salários!B:B,Salários!K:K)</f>
        <v>0</v>
      </c>
      <c r="P587" s="109">
        <f t="shared" si="750"/>
        <v>0</v>
      </c>
      <c r="Q587" s="109">
        <f t="shared" si="751"/>
        <v>0</v>
      </c>
      <c r="R587" s="65"/>
      <c r="S587" s="109">
        <f t="shared" si="752"/>
        <v>0</v>
      </c>
      <c r="T587" s="201" t="str">
        <f>IF(_xlfn.XLOOKUP(B587,Salários!B:B,Salários!I:I)&gt;0,_xlfn.XLOOKUP(B587,Salários!B:B,Salários!I:I),"")</f>
        <v/>
      </c>
      <c r="U587" s="117">
        <f t="shared" si="753"/>
        <v>0</v>
      </c>
      <c r="V587" s="65"/>
      <c r="W587" s="202"/>
      <c r="X587" s="65"/>
      <c r="Y587" s="69"/>
      <c r="Z587" s="65"/>
      <c r="AA587" s="518"/>
      <c r="AB587" s="65"/>
      <c r="AC587" s="81">
        <f t="shared" si="754"/>
        <v>0</v>
      </c>
      <c r="AD587" s="65"/>
      <c r="AE587" s="112"/>
      <c r="AF587" s="203">
        <v>0.3</v>
      </c>
      <c r="AG587" s="109">
        <f t="shared" si="732"/>
        <v>0</v>
      </c>
      <c r="AH587" s="84">
        <f t="shared" si="755"/>
        <v>0</v>
      </c>
      <c r="AI587" s="65"/>
      <c r="AJ587" s="112"/>
      <c r="AK587" s="122"/>
      <c r="AL587" s="109">
        <v>1212</v>
      </c>
      <c r="AM587" s="84">
        <f t="shared" si="756"/>
        <v>0</v>
      </c>
      <c r="AN587" s="65"/>
      <c r="AO587" s="112"/>
      <c r="AP587" s="204"/>
      <c r="AQ587" s="109">
        <f>IFERROR((O587+AH587+AM587)/Dashboard!$D$15,0)*0.2</f>
        <v>0</v>
      </c>
      <c r="AR587" s="84">
        <f t="shared" si="757"/>
        <v>0</v>
      </c>
      <c r="AS587" s="65"/>
      <c r="AT587" s="112"/>
      <c r="AU587" s="203">
        <v>0.33</v>
      </c>
      <c r="AV587" s="109">
        <f t="shared" si="736"/>
        <v>0</v>
      </c>
      <c r="AW587" s="84">
        <f t="shared" si="758"/>
        <v>0</v>
      </c>
      <c r="AX587" s="65"/>
      <c r="AY587" s="112"/>
      <c r="AZ587" s="203">
        <v>0.25</v>
      </c>
      <c r="BA587" s="109">
        <f t="shared" si="738"/>
        <v>0</v>
      </c>
      <c r="BB587" s="84">
        <f t="shared" si="759"/>
        <v>0</v>
      </c>
      <c r="BC587" s="65"/>
      <c r="BD587" s="112"/>
      <c r="BE587" s="203">
        <v>0.26</v>
      </c>
      <c r="BF587" s="109">
        <f t="shared" si="740"/>
        <v>0</v>
      </c>
      <c r="BG587" s="84">
        <f t="shared" si="760"/>
        <v>0</v>
      </c>
      <c r="BH587" s="197"/>
      <c r="BI587" s="518"/>
      <c r="BJ587" s="65"/>
      <c r="BK587" s="81">
        <f t="shared" si="761"/>
        <v>0</v>
      </c>
      <c r="BL587" s="65"/>
      <c r="BM587" s="65"/>
      <c r="BN587" s="204"/>
      <c r="BO587" s="109">
        <f>($O587/Dashboard!$D$15)*(1+Dashboard!$D$19)</f>
        <v>0</v>
      </c>
      <c r="BP587" s="84">
        <f t="shared" si="743"/>
        <v>0</v>
      </c>
      <c r="BQ587" s="65"/>
      <c r="BR587" s="65"/>
      <c r="BS587" s="204"/>
      <c r="BT587" s="109">
        <f>($O587/Dashboard!$D$15)*(1+Dashboard!$D$20)</f>
        <v>0</v>
      </c>
      <c r="BU587" s="84">
        <f t="shared" si="744"/>
        <v>0</v>
      </c>
      <c r="BV587" s="65"/>
      <c r="BW587" s="65"/>
      <c r="BX587" s="204"/>
      <c r="BY587" s="109">
        <f>($O587/Dashboard!$D$15)*(1+Dashboard!$D$21)</f>
        <v>0</v>
      </c>
      <c r="BZ587" s="84">
        <f t="shared" si="745"/>
        <v>0</v>
      </c>
    </row>
    <row r="588" spans="2:78" ht="12" hidden="1" customHeight="1" outlineLevel="1"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9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5"/>
      <c r="AT588" s="65"/>
      <c r="AU588" s="65"/>
      <c r="AV588" s="65"/>
      <c r="AW588" s="65"/>
      <c r="AX588" s="65"/>
      <c r="AY588" s="65"/>
      <c r="AZ588" s="65"/>
      <c r="BA588" s="65"/>
      <c r="BB588" s="65"/>
      <c r="BC588" s="65"/>
      <c r="BD588" s="65"/>
      <c r="BE588" s="65"/>
      <c r="BF588" s="65"/>
      <c r="BG588" s="65"/>
      <c r="BH588" s="197"/>
      <c r="BI588" s="65"/>
      <c r="BJ588" s="65"/>
      <c r="BK588" s="65"/>
      <c r="BL588" s="65"/>
      <c r="BM588" s="65"/>
      <c r="BN588" s="65"/>
      <c r="BO588" s="65"/>
      <c r="BP588" s="65"/>
      <c r="BQ588" s="65"/>
      <c r="BR588" s="65"/>
      <c r="BS588" s="65"/>
      <c r="BT588" s="65"/>
      <c r="BU588" s="65"/>
      <c r="BV588" s="65"/>
      <c r="BW588" s="65"/>
      <c r="BX588" s="65"/>
      <c r="BY588" s="65"/>
      <c r="BZ588" s="65"/>
    </row>
    <row r="589" spans="2:78" s="196" customFormat="1" ht="24" customHeight="1" collapsed="1">
      <c r="B589" s="65"/>
      <c r="C589" s="189"/>
      <c r="D589" s="189"/>
      <c r="E589" s="189"/>
      <c r="F589" s="189"/>
      <c r="G589" s="189"/>
      <c r="H589" s="189"/>
      <c r="I589" s="189"/>
      <c r="J589" s="185" t="s">
        <v>24</v>
      </c>
      <c r="K589" s="190"/>
      <c r="L589" s="190"/>
      <c r="M589" s="190"/>
      <c r="N589" s="190"/>
      <c r="O589" s="190"/>
      <c r="P589" s="190"/>
      <c r="Q589" s="190"/>
      <c r="R589" s="190"/>
      <c r="S589" s="191"/>
      <c r="T589" s="192">
        <f>IFERROR(U589/$U$2,0)</f>
        <v>9.7343543475718511E-2</v>
      </c>
      <c r="U589" s="193">
        <f>SUM(U591:U624)</f>
        <v>85085.2506332989</v>
      </c>
      <c r="V589" s="190"/>
      <c r="W589" s="205">
        <f>L601+L613+L620+L625</f>
        <v>0.91214891330723502</v>
      </c>
      <c r="X589" s="189"/>
      <c r="Y589" s="69"/>
      <c r="Z589" s="189"/>
      <c r="AA589" s="65"/>
      <c r="AB589" s="189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5"/>
      <c r="AT589" s="65"/>
      <c r="AU589" s="65"/>
      <c r="AV589" s="65"/>
      <c r="AW589" s="65"/>
      <c r="AX589" s="65"/>
      <c r="AY589" s="65"/>
      <c r="AZ589" s="65"/>
      <c r="BA589" s="65"/>
      <c r="BB589" s="65"/>
      <c r="BC589" s="65"/>
      <c r="BD589" s="65"/>
      <c r="BE589" s="65"/>
      <c r="BF589" s="65"/>
      <c r="BG589" s="65"/>
      <c r="BH589" s="65"/>
      <c r="BI589" s="65"/>
      <c r="BJ589" s="65"/>
      <c r="BK589" s="65"/>
      <c r="BL589" s="65"/>
      <c r="BM589" s="65"/>
      <c r="BN589" s="65"/>
      <c r="BO589" s="65"/>
      <c r="BP589" s="65"/>
      <c r="BQ589" s="65"/>
      <c r="BR589" s="65"/>
      <c r="BS589" s="65"/>
      <c r="BT589" s="65"/>
      <c r="BU589" s="65"/>
      <c r="BV589" s="65"/>
      <c r="BW589" s="65"/>
      <c r="BX589" s="65"/>
      <c r="BY589" s="65"/>
      <c r="BZ589" s="65"/>
    </row>
    <row r="590" spans="2:78" ht="12" hidden="1" customHeight="1" outlineLevel="1"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9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5"/>
      <c r="AT590" s="65"/>
      <c r="AU590" s="65"/>
      <c r="AV590" s="65"/>
      <c r="AW590" s="65"/>
      <c r="AX590" s="65"/>
      <c r="AY590" s="65"/>
      <c r="AZ590" s="65"/>
      <c r="BA590" s="65"/>
      <c r="BB590" s="65"/>
      <c r="BC590" s="65"/>
      <c r="BD590" s="65"/>
      <c r="BE590" s="65"/>
      <c r="BF590" s="65"/>
      <c r="BG590" s="65"/>
      <c r="BH590" s="65"/>
      <c r="BI590" s="65"/>
      <c r="BJ590" s="65"/>
      <c r="BK590" s="65"/>
      <c r="BL590" s="65"/>
      <c r="BM590" s="65"/>
      <c r="BN590" s="65"/>
      <c r="BO590" s="65"/>
      <c r="BP590" s="65"/>
      <c r="BQ590" s="65"/>
      <c r="BR590" s="65"/>
      <c r="BS590" s="65"/>
      <c r="BT590" s="65"/>
      <c r="BU590" s="65"/>
      <c r="BV590" s="65"/>
      <c r="BW590" s="65"/>
      <c r="BX590" s="65"/>
      <c r="BY590" s="65"/>
      <c r="BZ590" s="65"/>
    </row>
    <row r="591" spans="2:78" ht="24" hidden="1" customHeight="1" outlineLevel="1">
      <c r="B591" s="65"/>
      <c r="C591" s="65"/>
      <c r="D591" s="65"/>
      <c r="E591" s="65"/>
      <c r="F591" s="65"/>
      <c r="G591" s="65"/>
      <c r="H591" s="65"/>
      <c r="I591" s="65"/>
      <c r="J591" s="142" t="s">
        <v>1196</v>
      </c>
      <c r="K591" s="65"/>
      <c r="L591" s="142" t="s">
        <v>1197</v>
      </c>
      <c r="M591" s="65"/>
      <c r="N591" s="65"/>
      <c r="O591" s="65"/>
      <c r="P591" s="65"/>
      <c r="Q591" s="65"/>
      <c r="R591" s="65"/>
      <c r="S591" s="142" t="s">
        <v>1198</v>
      </c>
      <c r="T591" s="65"/>
      <c r="U591" s="142" t="s">
        <v>106</v>
      </c>
      <c r="V591" s="65"/>
      <c r="W591" s="142" t="s">
        <v>1111</v>
      </c>
      <c r="X591" s="65"/>
      <c r="Y591" s="69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5"/>
      <c r="AT591" s="65"/>
      <c r="AU591" s="65"/>
      <c r="AV591" s="65"/>
      <c r="AW591" s="65"/>
      <c r="AX591" s="65"/>
      <c r="AY591" s="65"/>
      <c r="AZ591" s="65"/>
      <c r="BA591" s="65"/>
      <c r="BB591" s="65"/>
      <c r="BC591" s="65"/>
      <c r="BD591" s="65"/>
      <c r="BE591" s="65"/>
      <c r="BF591" s="65"/>
      <c r="BG591" s="65"/>
      <c r="BH591" s="65"/>
      <c r="BI591" s="65"/>
      <c r="BJ591" s="65"/>
      <c r="BK591" s="65"/>
      <c r="BL591" s="65"/>
      <c r="BM591" s="65"/>
      <c r="BN591" s="65"/>
      <c r="BO591" s="65"/>
      <c r="BP591" s="65"/>
      <c r="BQ591" s="65"/>
      <c r="BR591" s="65"/>
      <c r="BS591" s="65"/>
      <c r="BT591" s="65"/>
      <c r="BU591" s="65"/>
      <c r="BV591" s="65"/>
      <c r="BW591" s="65"/>
      <c r="BX591" s="65"/>
      <c r="BY591" s="65"/>
      <c r="BZ591" s="65"/>
    </row>
    <row r="592" spans="2:78" ht="12" hidden="1" customHeight="1" outlineLevel="1">
      <c r="B592" s="65"/>
      <c r="C592" s="65"/>
      <c r="D592" s="65"/>
      <c r="E592" s="65"/>
      <c r="F592" s="65"/>
      <c r="G592" s="65"/>
      <c r="H592" s="65"/>
      <c r="I592" s="65"/>
      <c r="J592" s="143" t="s">
        <v>1199</v>
      </c>
      <c r="K592" s="65"/>
      <c r="L592" s="111">
        <v>0.2</v>
      </c>
      <c r="M592" s="65"/>
      <c r="N592" s="65"/>
      <c r="O592" s="65"/>
      <c r="P592" s="65"/>
      <c r="Q592" s="65"/>
      <c r="R592" s="65"/>
      <c r="S592" s="109">
        <f t="shared" ref="S592:S600" si="762">SUMIF($T$7:$T$89,"mensalista",$U$7:$U$89)+SUMIF($T$96:$T$533,"mensalista",$U$96:$U$533)+SUMIF($T$538:$T$587,"mensalista",$U$538:$U$587)</f>
        <v>93280</v>
      </c>
      <c r="T592" s="65"/>
      <c r="U592" s="117">
        <f t="shared" ref="U592:U600" si="763">L592*S592</f>
        <v>18656</v>
      </c>
      <c r="V592" s="65"/>
      <c r="W592" s="202"/>
      <c r="X592" s="65"/>
      <c r="Y592" s="69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5"/>
      <c r="AT592" s="65"/>
      <c r="AU592" s="65"/>
      <c r="AV592" s="65"/>
      <c r="AW592" s="65"/>
      <c r="AX592" s="65"/>
      <c r="AY592" s="65"/>
      <c r="AZ592" s="65"/>
      <c r="BA592" s="65"/>
      <c r="BB592" s="65"/>
      <c r="BC592" s="65"/>
      <c r="BD592" s="65"/>
      <c r="BE592" s="65"/>
      <c r="BF592" s="65"/>
      <c r="BG592" s="65"/>
      <c r="BH592" s="65"/>
      <c r="BI592" s="65"/>
      <c r="BJ592" s="65"/>
      <c r="BK592" s="65"/>
      <c r="BL592" s="65"/>
      <c r="BM592" s="65"/>
      <c r="BN592" s="65"/>
      <c r="BO592" s="65"/>
      <c r="BP592" s="65"/>
      <c r="BQ592" s="65"/>
      <c r="BR592" s="65"/>
      <c r="BS592" s="65"/>
      <c r="BT592" s="65"/>
      <c r="BU592" s="65"/>
      <c r="BV592" s="65"/>
      <c r="BW592" s="65"/>
      <c r="BX592" s="65"/>
      <c r="BY592" s="65"/>
      <c r="BZ592" s="65"/>
    </row>
    <row r="593" spans="9:23" ht="12" hidden="1" customHeight="1" outlineLevel="1">
      <c r="I593" s="65"/>
      <c r="J593" s="143" t="s">
        <v>1200</v>
      </c>
      <c r="K593" s="65"/>
      <c r="L593" s="111">
        <v>1.4999999999999999E-2</v>
      </c>
      <c r="M593" s="65"/>
      <c r="N593" s="65"/>
      <c r="O593" s="65"/>
      <c r="P593" s="65"/>
      <c r="Q593" s="65"/>
      <c r="R593" s="65"/>
      <c r="S593" s="109">
        <f t="shared" si="762"/>
        <v>93280</v>
      </c>
      <c r="T593" s="65"/>
      <c r="U593" s="117">
        <f t="shared" si="763"/>
        <v>1399.2</v>
      </c>
      <c r="V593" s="65"/>
      <c r="W593" s="202"/>
    </row>
    <row r="594" spans="9:23" ht="12" hidden="1" customHeight="1" outlineLevel="1">
      <c r="I594" s="65"/>
      <c r="J594" s="143" t="s">
        <v>1201</v>
      </c>
      <c r="K594" s="65"/>
      <c r="L594" s="111">
        <v>0.01</v>
      </c>
      <c r="M594" s="65"/>
      <c r="N594" s="65"/>
      <c r="O594" s="65"/>
      <c r="P594" s="65"/>
      <c r="Q594" s="65"/>
      <c r="R594" s="65"/>
      <c r="S594" s="109">
        <f t="shared" si="762"/>
        <v>93280</v>
      </c>
      <c r="T594" s="65"/>
      <c r="U594" s="117">
        <f t="shared" si="763"/>
        <v>932.80000000000007</v>
      </c>
      <c r="V594" s="65"/>
      <c r="W594" s="202"/>
    </row>
    <row r="595" spans="9:23" ht="12" hidden="1" customHeight="1" outlineLevel="1">
      <c r="I595" s="65"/>
      <c r="J595" s="143" t="s">
        <v>1202</v>
      </c>
      <c r="K595" s="65"/>
      <c r="L595" s="111">
        <v>2E-3</v>
      </c>
      <c r="M595" s="65"/>
      <c r="N595" s="65"/>
      <c r="O595" s="65"/>
      <c r="P595" s="65"/>
      <c r="Q595" s="65"/>
      <c r="R595" s="65"/>
      <c r="S595" s="109">
        <f t="shared" si="762"/>
        <v>93280</v>
      </c>
      <c r="T595" s="65"/>
      <c r="U595" s="117">
        <f t="shared" si="763"/>
        <v>186.56</v>
      </c>
      <c r="V595" s="65"/>
      <c r="W595" s="202"/>
    </row>
    <row r="596" spans="9:23" ht="12" hidden="1" customHeight="1" outlineLevel="1">
      <c r="I596" s="65"/>
      <c r="J596" s="143" t="s">
        <v>1203</v>
      </c>
      <c r="K596" s="65"/>
      <c r="L596" s="111">
        <v>6.0000000000000001E-3</v>
      </c>
      <c r="M596" s="65"/>
      <c r="N596" s="65"/>
      <c r="O596" s="65"/>
      <c r="P596" s="65"/>
      <c r="Q596" s="65"/>
      <c r="R596" s="65"/>
      <c r="S596" s="109">
        <f t="shared" si="762"/>
        <v>93280</v>
      </c>
      <c r="T596" s="65"/>
      <c r="U596" s="117">
        <f t="shared" si="763"/>
        <v>559.68000000000006</v>
      </c>
      <c r="V596" s="65"/>
      <c r="W596" s="202"/>
    </row>
    <row r="597" spans="9:23" ht="12" hidden="1" customHeight="1" outlineLevel="1">
      <c r="I597" s="65"/>
      <c r="J597" s="143" t="s">
        <v>1204</v>
      </c>
      <c r="K597" s="65"/>
      <c r="L597" s="111">
        <v>2.5000000000000001E-2</v>
      </c>
      <c r="M597" s="65"/>
      <c r="N597" s="65"/>
      <c r="O597" s="65"/>
      <c r="P597" s="65"/>
      <c r="Q597" s="65"/>
      <c r="R597" s="65"/>
      <c r="S597" s="109">
        <f t="shared" si="762"/>
        <v>93280</v>
      </c>
      <c r="T597" s="65"/>
      <c r="U597" s="117">
        <f t="shared" si="763"/>
        <v>2332</v>
      </c>
      <c r="V597" s="65"/>
      <c r="W597" s="202"/>
    </row>
    <row r="598" spans="9:23" ht="12" hidden="1" customHeight="1" outlineLevel="1">
      <c r="I598" s="65"/>
      <c r="J598" s="143" t="s">
        <v>1205</v>
      </c>
      <c r="K598" s="65"/>
      <c r="L598" s="111">
        <f>3%*1.1288</f>
        <v>3.3863999999999998E-2</v>
      </c>
      <c r="M598" s="65"/>
      <c r="N598" s="65"/>
      <c r="O598" s="65"/>
      <c r="P598" s="65"/>
      <c r="Q598" s="65"/>
      <c r="R598" s="65"/>
      <c r="S598" s="109">
        <f t="shared" si="762"/>
        <v>93280</v>
      </c>
      <c r="T598" s="65"/>
      <c r="U598" s="117">
        <f t="shared" si="763"/>
        <v>3158.83392</v>
      </c>
      <c r="V598" s="65"/>
      <c r="W598" s="202"/>
    </row>
    <row r="599" spans="9:23" ht="12" hidden="1" customHeight="1" outlineLevel="1">
      <c r="I599" s="65"/>
      <c r="J599" s="143" t="s">
        <v>1206</v>
      </c>
      <c r="K599" s="65"/>
      <c r="L599" s="111">
        <v>0.08</v>
      </c>
      <c r="M599" s="65"/>
      <c r="N599" s="65"/>
      <c r="O599" s="65"/>
      <c r="P599" s="65"/>
      <c r="Q599" s="65"/>
      <c r="R599" s="65"/>
      <c r="S599" s="109">
        <f t="shared" si="762"/>
        <v>93280</v>
      </c>
      <c r="T599" s="65"/>
      <c r="U599" s="117">
        <f t="shared" si="763"/>
        <v>7462.4000000000005</v>
      </c>
      <c r="V599" s="65"/>
      <c r="W599" s="202"/>
    </row>
    <row r="600" spans="9:23" ht="12" hidden="1" customHeight="1" outlineLevel="1">
      <c r="I600" s="65"/>
      <c r="J600" s="143" t="s">
        <v>1207</v>
      </c>
      <c r="K600" s="65"/>
      <c r="L600" s="111">
        <f>IF($U$828&gt;0,0,0.01)</f>
        <v>0</v>
      </c>
      <c r="M600" s="65"/>
      <c r="N600" s="65"/>
      <c r="O600" s="65"/>
      <c r="P600" s="65"/>
      <c r="Q600" s="65"/>
      <c r="R600" s="65"/>
      <c r="S600" s="109">
        <f t="shared" si="762"/>
        <v>93280</v>
      </c>
      <c r="T600" s="65"/>
      <c r="U600" s="117">
        <f t="shared" si="763"/>
        <v>0</v>
      </c>
      <c r="V600" s="65"/>
      <c r="W600" s="202"/>
    </row>
    <row r="601" spans="9:23" ht="12" hidden="1" customHeight="1" outlineLevel="1">
      <c r="I601" s="65"/>
      <c r="J601" s="206" t="s">
        <v>1208</v>
      </c>
      <c r="K601" s="65"/>
      <c r="L601" s="207">
        <f>SUM(L592:L600)</f>
        <v>0.37186400000000008</v>
      </c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</row>
    <row r="602" spans="9:23" ht="12" hidden="1" customHeight="1" outlineLevel="1"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</row>
    <row r="603" spans="9:23" ht="24" hidden="1" customHeight="1" outlineLevel="1">
      <c r="I603" s="65"/>
      <c r="J603" s="142" t="s">
        <v>1209</v>
      </c>
      <c r="K603" s="65"/>
      <c r="L603" s="142" t="s">
        <v>1197</v>
      </c>
      <c r="M603" s="65"/>
      <c r="N603" s="65"/>
      <c r="O603" s="65"/>
      <c r="P603" s="65"/>
      <c r="Q603" s="65"/>
      <c r="R603" s="65"/>
      <c r="S603" s="142" t="s">
        <v>1198</v>
      </c>
      <c r="T603" s="65"/>
      <c r="U603" s="142" t="s">
        <v>106</v>
      </c>
      <c r="V603" s="65"/>
      <c r="W603" s="142" t="s">
        <v>1111</v>
      </c>
    </row>
    <row r="604" spans="9:23" ht="12" hidden="1" customHeight="1" outlineLevel="1">
      <c r="I604" s="65"/>
      <c r="J604" s="143" t="s">
        <v>1210</v>
      </c>
      <c r="K604" s="65"/>
      <c r="L604" s="111">
        <f>Calendário!$G$10/Calendário!$G$18</f>
        <v>0</v>
      </c>
      <c r="M604" s="65"/>
      <c r="N604" s="65"/>
      <c r="O604" s="65"/>
      <c r="P604" s="65"/>
      <c r="Q604" s="65"/>
      <c r="R604" s="65"/>
      <c r="S604" s="109">
        <f t="shared" ref="S604:S612" si="764">SUMIF($T$7:$T$89,"mensalista",$U$7:$U$89)+SUMIF($T$96:$T$533,"mensalista",$U$96:$U$533)+SUMIF($T$538:$T$587,"mensalista",$U$538:$U$587)</f>
        <v>93280</v>
      </c>
      <c r="T604" s="65"/>
      <c r="U604" s="117">
        <f t="shared" ref="U604:U612" si="765">L604*S604</f>
        <v>0</v>
      </c>
      <c r="V604" s="65"/>
      <c r="W604" s="202"/>
    </row>
    <row r="605" spans="9:23" ht="12" hidden="1" customHeight="1" outlineLevel="1">
      <c r="I605" s="65"/>
      <c r="J605" s="143" t="s">
        <v>1211</v>
      </c>
      <c r="K605" s="65"/>
      <c r="L605" s="111">
        <f>SUM(Calendário!$G$7:$G$8)/Calendário!$G$18</f>
        <v>0</v>
      </c>
      <c r="M605" s="65"/>
      <c r="N605" s="65"/>
      <c r="O605" s="65"/>
      <c r="P605" s="65"/>
      <c r="Q605" s="65"/>
      <c r="R605" s="65"/>
      <c r="S605" s="109">
        <f t="shared" si="764"/>
        <v>93280</v>
      </c>
      <c r="T605" s="65"/>
      <c r="U605" s="117">
        <f t="shared" si="765"/>
        <v>0</v>
      </c>
      <c r="V605" s="65"/>
      <c r="W605" s="202"/>
    </row>
    <row r="606" spans="9:23" ht="12" hidden="1" customHeight="1" outlineLevel="1">
      <c r="I606" s="65"/>
      <c r="J606" s="143" t="s">
        <v>1212</v>
      </c>
      <c r="K606" s="65"/>
      <c r="L606" s="111">
        <f>Calendário!$G$11/Calendário!$G$18</f>
        <v>0</v>
      </c>
      <c r="M606" s="65"/>
      <c r="N606" s="65"/>
      <c r="O606" s="65"/>
      <c r="P606" s="65"/>
      <c r="Q606" s="65"/>
      <c r="R606" s="65"/>
      <c r="S606" s="109">
        <f t="shared" si="764"/>
        <v>93280</v>
      </c>
      <c r="T606" s="65"/>
      <c r="U606" s="117">
        <f t="shared" si="765"/>
        <v>0</v>
      </c>
      <c r="V606" s="65"/>
      <c r="W606" s="202"/>
    </row>
    <row r="607" spans="9:23" ht="12" hidden="1" customHeight="1" outlineLevel="1">
      <c r="I607" s="65"/>
      <c r="J607" s="143" t="s">
        <v>1213</v>
      </c>
      <c r="K607" s="65"/>
      <c r="L607" s="111">
        <f>Calendário!$G$9/Calendário!$G$18</f>
        <v>8.9651256611780181E-2</v>
      </c>
      <c r="M607" s="65"/>
      <c r="N607" s="65"/>
      <c r="O607" s="65"/>
      <c r="P607" s="65"/>
      <c r="Q607" s="65"/>
      <c r="R607" s="65"/>
      <c r="S607" s="109">
        <f t="shared" si="764"/>
        <v>93280</v>
      </c>
      <c r="T607" s="65"/>
      <c r="U607" s="117">
        <f>L607*S607</f>
        <v>8362.6692167468555</v>
      </c>
      <c r="V607" s="65"/>
      <c r="W607" s="202"/>
    </row>
    <row r="608" spans="9:23" ht="12" hidden="1" customHeight="1" outlineLevel="1">
      <c r="I608" s="65"/>
      <c r="J608" s="143" t="s">
        <v>1214</v>
      </c>
      <c r="K608" s="65"/>
      <c r="L608" s="111">
        <f>Calendário!$G$14/Calendário!$G$18</f>
        <v>7.4709380509816814E-4</v>
      </c>
      <c r="M608" s="65"/>
      <c r="N608" s="65"/>
      <c r="O608" s="65"/>
      <c r="P608" s="65"/>
      <c r="Q608" s="65"/>
      <c r="R608" s="65"/>
      <c r="S608" s="109">
        <f t="shared" si="764"/>
        <v>93280</v>
      </c>
      <c r="T608" s="65"/>
      <c r="U608" s="117">
        <f t="shared" si="765"/>
        <v>69.688910139557123</v>
      </c>
      <c r="V608" s="65"/>
      <c r="W608" s="202"/>
    </row>
    <row r="609" spans="9:23" ht="12" hidden="1" customHeight="1" outlineLevel="1">
      <c r="I609" s="65"/>
      <c r="J609" s="143" t="s">
        <v>1215</v>
      </c>
      <c r="K609" s="65"/>
      <c r="L609" s="111">
        <f>Calendário!$G$13/Calendário!$G$18</f>
        <v>0</v>
      </c>
      <c r="M609" s="65"/>
      <c r="N609" s="65"/>
      <c r="O609" s="65"/>
      <c r="P609" s="65"/>
      <c r="Q609" s="65"/>
      <c r="R609" s="65"/>
      <c r="S609" s="109">
        <f t="shared" si="764"/>
        <v>93280</v>
      </c>
      <c r="T609" s="65"/>
      <c r="U609" s="117">
        <f t="shared" si="765"/>
        <v>0</v>
      </c>
      <c r="V609" s="65"/>
      <c r="W609" s="202"/>
    </row>
    <row r="610" spans="9:23" ht="12" hidden="1" customHeight="1" outlineLevel="1">
      <c r="I610" s="65"/>
      <c r="J610" s="143" t="s">
        <v>1216</v>
      </c>
      <c r="K610" s="65"/>
      <c r="L610" s="111">
        <f>Calendário!$G$12/Calendário!$G$18</f>
        <v>0</v>
      </c>
      <c r="M610" s="65"/>
      <c r="N610" s="65"/>
      <c r="O610" s="65"/>
      <c r="P610" s="65"/>
      <c r="Q610" s="65"/>
      <c r="R610" s="65"/>
      <c r="S610" s="109">
        <f t="shared" si="764"/>
        <v>93280</v>
      </c>
      <c r="T610" s="65"/>
      <c r="U610" s="117">
        <f t="shared" si="765"/>
        <v>0</v>
      </c>
      <c r="V610" s="65"/>
      <c r="W610" s="202"/>
    </row>
    <row r="611" spans="9:23" ht="12" hidden="1" customHeight="1" outlineLevel="1">
      <c r="I611" s="65"/>
      <c r="J611" s="143" t="s">
        <v>1217</v>
      </c>
      <c r="K611" s="65"/>
      <c r="L611" s="111">
        <f>(Calendário!$G$9/Calendário!$G$18)*(4/3)</f>
        <v>0.1195350088157069</v>
      </c>
      <c r="M611" s="65"/>
      <c r="N611" s="65"/>
      <c r="O611" s="65"/>
      <c r="P611" s="65"/>
      <c r="Q611" s="65"/>
      <c r="R611" s="65"/>
      <c r="S611" s="109">
        <f t="shared" si="764"/>
        <v>93280</v>
      </c>
      <c r="T611" s="65"/>
      <c r="U611" s="117">
        <f t="shared" si="765"/>
        <v>11150.225622329141</v>
      </c>
      <c r="V611" s="65"/>
      <c r="W611" s="202"/>
    </row>
    <row r="612" spans="9:23" ht="12" hidden="1" customHeight="1" outlineLevel="1">
      <c r="I612" s="65"/>
      <c r="J612" s="143" t="s">
        <v>1218</v>
      </c>
      <c r="K612" s="65"/>
      <c r="L612" s="111">
        <f>Calendário!$G$15/Calendário!$G$18</f>
        <v>3.5860502644712071E-4</v>
      </c>
      <c r="M612" s="65"/>
      <c r="N612" s="65"/>
      <c r="O612" s="65"/>
      <c r="P612" s="65"/>
      <c r="Q612" s="65"/>
      <c r="R612" s="65"/>
      <c r="S612" s="109">
        <f t="shared" si="764"/>
        <v>93280</v>
      </c>
      <c r="T612" s="65"/>
      <c r="U612" s="117">
        <f t="shared" si="765"/>
        <v>33.450676866987422</v>
      </c>
      <c r="V612" s="65"/>
      <c r="W612" s="202"/>
    </row>
    <row r="613" spans="9:23" ht="12" hidden="1" customHeight="1" outlineLevel="1">
      <c r="I613" s="65"/>
      <c r="J613" s="206" t="s">
        <v>1219</v>
      </c>
      <c r="K613" s="65"/>
      <c r="L613" s="207">
        <f>SUM(L604:L612)</f>
        <v>0.2102919642590324</v>
      </c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</row>
    <row r="614" spans="9:23" ht="12" hidden="1" customHeight="1" outlineLevel="1"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</row>
    <row r="615" spans="9:23" ht="31.5" hidden="1" outlineLevel="1">
      <c r="I615" s="65"/>
      <c r="J615" s="142" t="s">
        <v>1220</v>
      </c>
      <c r="K615" s="65"/>
      <c r="L615" s="142" t="s">
        <v>1197</v>
      </c>
      <c r="M615" s="142" t="s">
        <v>1221</v>
      </c>
      <c r="N615" s="142" t="s">
        <v>1222</v>
      </c>
      <c r="O615" s="142" t="s">
        <v>1223</v>
      </c>
      <c r="P615" s="142" t="s">
        <v>1224</v>
      </c>
      <c r="Q615" s="65"/>
      <c r="R615" s="65"/>
      <c r="S615" s="142" t="s">
        <v>1198</v>
      </c>
      <c r="T615" s="65"/>
      <c r="U615" s="142" t="s">
        <v>106</v>
      </c>
      <c r="V615" s="65"/>
      <c r="W615" s="142" t="s">
        <v>1111</v>
      </c>
    </row>
    <row r="616" spans="9:23" ht="12" hidden="1" customHeight="1" outlineLevel="1">
      <c r="I616" s="65"/>
      <c r="J616" s="143" t="s">
        <v>1225</v>
      </c>
      <c r="K616" s="65"/>
      <c r="L616" s="111">
        <f>IF(M616="SIM",IFERROR(((1/(SUMPRODUCT(D7:D587,E7:E587)/SUM(D7:D587)))),0),IFERROR(((1/(SUMPRODUCT(D7:D587,E7:E587)/SUM(D7:D587)))),0)*(Dashboard!D14/12))</f>
        <v>8.3333333333333343E-2</v>
      </c>
      <c r="M616" s="142" t="s">
        <v>1226</v>
      </c>
      <c r="N616" s="478">
        <f>U616/O616</f>
        <v>0.83333333333333337</v>
      </c>
      <c r="O616" s="477">
        <f>S616/Dashboard!D14</f>
        <v>9328</v>
      </c>
      <c r="P616" s="477">
        <f>U616</f>
        <v>7773.3333333333339</v>
      </c>
      <c r="Q616" s="65"/>
      <c r="R616" s="65"/>
      <c r="S616" s="109">
        <f>SUMIF($T$7:$T$89,"mensalista",$U$7:$U$89)+SUMIF($T$96:$T$533,"mensalista",$U$96:$U$533)+SUMIF($T$538:$T$587,"mensalista",$U$538:$U$587)</f>
        <v>93280</v>
      </c>
      <c r="T616" s="65"/>
      <c r="U616" s="117">
        <f>L616*S616</f>
        <v>7773.3333333333339</v>
      </c>
      <c r="V616" s="65"/>
      <c r="W616" s="202"/>
    </row>
    <row r="617" spans="9:23" ht="12" hidden="1" customHeight="1" outlineLevel="1">
      <c r="I617" s="65"/>
      <c r="J617" s="143" t="s">
        <v>1227</v>
      </c>
      <c r="K617" s="65"/>
      <c r="L617" s="111">
        <f>L599*(1+0.5)</f>
        <v>0.12</v>
      </c>
      <c r="M617" s="179" t="s">
        <v>1228</v>
      </c>
      <c r="N617" s="65"/>
      <c r="O617" s="65"/>
      <c r="P617" s="65"/>
      <c r="Q617" s="92"/>
      <c r="R617" s="65"/>
      <c r="S617" s="109">
        <f>SUMIF($T$7:$T$89,"mensalista",$U$7:$U$89)+SUMIF($T$96:$T$533,"mensalista",$U$96:$U$533)+SUMIF($T$538:$T$587,"mensalista",$U$538:$U$587)</f>
        <v>93280</v>
      </c>
      <c r="T617" s="65"/>
      <c r="U617" s="117">
        <f>L617*S617</f>
        <v>11193.6</v>
      </c>
      <c r="V617" s="65"/>
      <c r="W617" s="202"/>
    </row>
    <row r="618" spans="9:23" ht="12" hidden="1" customHeight="1" outlineLevel="1">
      <c r="I618" s="65"/>
      <c r="J618" s="143" t="s">
        <v>1229</v>
      </c>
      <c r="K618" s="65"/>
      <c r="L618" s="111">
        <f>(1/12)*(30/Calendário!$G$18)</f>
        <v>7.4709380509816814E-3</v>
      </c>
      <c r="M618" s="179" t="s">
        <v>1226</v>
      </c>
      <c r="N618" s="65"/>
      <c r="O618" s="65"/>
      <c r="P618" s="65"/>
      <c r="Q618" s="65"/>
      <c r="R618" s="65"/>
      <c r="S618" s="109">
        <f>SUMIF($T$7:$T$89,"mensalista",$U$7:$U$89)+SUMIF($T$96:$T$533,"mensalista",$U$96:$U$533)+SUMIF($T$538:$T$587,"mensalista",$U$538:$U$587)</f>
        <v>93280</v>
      </c>
      <c r="T618" s="65"/>
      <c r="U618" s="117">
        <f>L618*S618</f>
        <v>696.88910139557129</v>
      </c>
      <c r="V618" s="65"/>
      <c r="W618" s="202"/>
    </row>
    <row r="619" spans="9:23" ht="12" hidden="1" customHeight="1" outlineLevel="1">
      <c r="I619" s="65"/>
      <c r="J619" s="143" t="s">
        <v>1230</v>
      </c>
      <c r="K619" s="65"/>
      <c r="L619" s="111">
        <f>L616*12*0.01</f>
        <v>0.01</v>
      </c>
      <c r="M619" s="65"/>
      <c r="N619" s="65"/>
      <c r="O619" s="65"/>
      <c r="P619" s="65"/>
      <c r="Q619" s="65"/>
      <c r="R619" s="65"/>
      <c r="S619" s="109">
        <f>SUMIF($T$7:$T$89,"mensalista",$U$7:$U$89)+SUMIF($T$96:$T$533,"mensalista",$U$96:$U$533)+SUMIF($T$538:$T$587,"mensalista",$U$538:$U$587)</f>
        <v>93280</v>
      </c>
      <c r="T619" s="65"/>
      <c r="U619" s="117">
        <f>L619*S619</f>
        <v>932.80000000000007</v>
      </c>
      <c r="V619" s="65"/>
      <c r="W619" s="202"/>
    </row>
    <row r="620" spans="9:23" ht="12" hidden="1" customHeight="1" outlineLevel="1">
      <c r="I620" s="65"/>
      <c r="J620" s="206" t="s">
        <v>1231</v>
      </c>
      <c r="K620" s="65"/>
      <c r="L620" s="207">
        <f>SUM(L616:L619)</f>
        <v>0.22080427138431502</v>
      </c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</row>
    <row r="621" spans="9:23" ht="12" hidden="1" customHeight="1" outlineLevel="1"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</row>
    <row r="622" spans="9:23" ht="24" hidden="1" customHeight="1" outlineLevel="1">
      <c r="I622" s="65"/>
      <c r="J622" s="142" t="s">
        <v>1232</v>
      </c>
      <c r="K622" s="65"/>
      <c r="L622" s="142" t="s">
        <v>1197</v>
      </c>
      <c r="M622" s="65"/>
      <c r="N622" s="65"/>
      <c r="O622" s="65"/>
      <c r="P622" s="65"/>
      <c r="Q622" s="65"/>
      <c r="R622" s="65"/>
      <c r="S622" s="142" t="s">
        <v>1198</v>
      </c>
      <c r="T622" s="65"/>
      <c r="U622" s="142" t="s">
        <v>106</v>
      </c>
      <c r="V622" s="65"/>
      <c r="W622" s="142" t="s">
        <v>1111</v>
      </c>
    </row>
    <row r="623" spans="9:23" ht="12" hidden="1" customHeight="1" outlineLevel="1">
      <c r="I623" s="65"/>
      <c r="J623" s="143" t="s">
        <v>1233</v>
      </c>
      <c r="K623" s="65"/>
      <c r="L623" s="111">
        <f>L601*L613</f>
        <v>7.8200010997220848E-2</v>
      </c>
      <c r="M623" s="65"/>
      <c r="N623" s="65"/>
      <c r="O623" s="65"/>
      <c r="P623" s="65"/>
      <c r="Q623" s="65"/>
      <c r="R623" s="65"/>
      <c r="S623" s="109">
        <f>SUMIF($T$7:$T$89,"mensalista",$U$7:$U$89)+SUMIF($T$96:$T$533,"mensalista",$U$96:$U$533)+SUMIF($T$538:$T$587,"mensalista",$U$538:$U$587)</f>
        <v>93280</v>
      </c>
      <c r="T623" s="65"/>
      <c r="U623" s="117">
        <f>L623*S623</f>
        <v>7294.4970258207604</v>
      </c>
      <c r="V623" s="65"/>
      <c r="W623" s="202"/>
    </row>
    <row r="624" spans="9:23" ht="10.5" hidden="1" outlineLevel="1">
      <c r="I624" s="65"/>
      <c r="J624" s="208" t="s">
        <v>1234</v>
      </c>
      <c r="K624" s="65"/>
      <c r="L624" s="111">
        <f>L601*L616</f>
        <v>3.0988666666666678E-2</v>
      </c>
      <c r="M624" s="65"/>
      <c r="N624" s="65"/>
      <c r="O624" s="65"/>
      <c r="P624" s="65"/>
      <c r="Q624" s="65"/>
      <c r="R624" s="65"/>
      <c r="S624" s="109">
        <f>SUMIF($T$7:$T$89,"mensalista",$U$7:$U$89)+SUMIF($T$96:$T$533,"mensalista",$U$96:$U$533)+SUMIF($T$538:$T$587,"mensalista",$U$538:$U$587)</f>
        <v>93280</v>
      </c>
      <c r="T624" s="65"/>
      <c r="U624" s="117">
        <f>L624*S624</f>
        <v>2890.6228266666676</v>
      </c>
      <c r="V624" s="65"/>
      <c r="W624" s="202"/>
    </row>
    <row r="625" spans="9:23" ht="12" hidden="1" customHeight="1" outlineLevel="1">
      <c r="I625" s="65"/>
      <c r="J625" s="206" t="s">
        <v>1235</v>
      </c>
      <c r="K625" s="65"/>
      <c r="L625" s="207">
        <f>SUM(L623:L624)</f>
        <v>0.10918867766388753</v>
      </c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</row>
    <row r="626" spans="9:23" ht="12" hidden="1" customHeight="1" outlineLevel="1"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</row>
    <row r="627" spans="9:23" s="196" customFormat="1" ht="24" customHeight="1" collapsed="1">
      <c r="I627" s="189"/>
      <c r="J627" s="185" t="s">
        <v>27</v>
      </c>
      <c r="K627" s="190"/>
      <c r="L627" s="190"/>
      <c r="M627" s="190"/>
      <c r="N627" s="190"/>
      <c r="O627" s="190"/>
      <c r="P627" s="190"/>
      <c r="Q627" s="190"/>
      <c r="R627" s="190"/>
      <c r="S627" s="191"/>
      <c r="T627" s="192">
        <f>IFERROR(U627/$U$2,0)</f>
        <v>0</v>
      </c>
      <c r="U627" s="193">
        <f>SUM(U629:U662)</f>
        <v>0</v>
      </c>
      <c r="V627" s="190"/>
      <c r="W627" s="205">
        <f>L639+L651+L658+L663</f>
        <v>1.2739856370039575</v>
      </c>
    </row>
    <row r="628" spans="9:23" ht="12" hidden="1" customHeight="1" outlineLevel="1"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</row>
    <row r="629" spans="9:23" ht="24" hidden="1" customHeight="1" outlineLevel="1">
      <c r="I629" s="65"/>
      <c r="J629" s="142" t="s">
        <v>1196</v>
      </c>
      <c r="K629" s="65"/>
      <c r="L629" s="142" t="s">
        <v>1197</v>
      </c>
      <c r="M629" s="65"/>
      <c r="N629" s="65"/>
      <c r="O629" s="65"/>
      <c r="P629" s="65"/>
      <c r="Q629" s="65"/>
      <c r="R629" s="65"/>
      <c r="S629" s="142" t="s">
        <v>1198</v>
      </c>
      <c r="T629" s="65"/>
      <c r="U629" s="142" t="s">
        <v>106</v>
      </c>
      <c r="V629" s="65"/>
      <c r="W629" s="142" t="s">
        <v>1111</v>
      </c>
    </row>
    <row r="630" spans="9:23" ht="12" hidden="1" customHeight="1" outlineLevel="1">
      <c r="I630" s="65"/>
      <c r="J630" s="143" t="s">
        <v>1199</v>
      </c>
      <c r="K630" s="65"/>
      <c r="L630" s="111">
        <v>0.2</v>
      </c>
      <c r="M630" s="65"/>
      <c r="N630" s="65"/>
      <c r="O630" s="65"/>
      <c r="P630" s="65"/>
      <c r="Q630" s="65"/>
      <c r="R630" s="65"/>
      <c r="S630" s="109">
        <f t="shared" ref="S630:S638" si="766">SUMIF($T$7:$T$89,"horistas",$U$7:$U$89)+SUMIF($T$96:$T$533,"horistas",$U$96:$U$533)+SUMIF($T$538:$T$587,"horistas",$U$538:$U$587)</f>
        <v>0</v>
      </c>
      <c r="T630" s="65"/>
      <c r="U630" s="117">
        <f t="shared" ref="U630:U638" si="767">L630*S630</f>
        <v>0</v>
      </c>
      <c r="V630" s="65"/>
      <c r="W630" s="202"/>
    </row>
    <row r="631" spans="9:23" ht="12" hidden="1" customHeight="1" outlineLevel="1">
      <c r="I631" s="65"/>
      <c r="J631" s="143" t="s">
        <v>1200</v>
      </c>
      <c r="K631" s="65"/>
      <c r="L631" s="111">
        <v>1.4999999999999999E-2</v>
      </c>
      <c r="M631" s="65"/>
      <c r="N631" s="65"/>
      <c r="O631" s="65"/>
      <c r="P631" s="65"/>
      <c r="Q631" s="65"/>
      <c r="R631" s="65"/>
      <c r="S631" s="109">
        <f t="shared" si="766"/>
        <v>0</v>
      </c>
      <c r="T631" s="65"/>
      <c r="U631" s="117">
        <f t="shared" si="767"/>
        <v>0</v>
      </c>
      <c r="V631" s="65"/>
      <c r="W631" s="202"/>
    </row>
    <row r="632" spans="9:23" ht="12" hidden="1" customHeight="1" outlineLevel="1">
      <c r="I632" s="65"/>
      <c r="J632" s="143" t="s">
        <v>1201</v>
      </c>
      <c r="K632" s="65"/>
      <c r="L632" s="111">
        <v>0.01</v>
      </c>
      <c r="M632" s="65"/>
      <c r="N632" s="65"/>
      <c r="O632" s="65"/>
      <c r="P632" s="65"/>
      <c r="Q632" s="65"/>
      <c r="R632" s="65"/>
      <c r="S632" s="109">
        <f t="shared" si="766"/>
        <v>0</v>
      </c>
      <c r="T632" s="65"/>
      <c r="U632" s="117">
        <f t="shared" si="767"/>
        <v>0</v>
      </c>
      <c r="V632" s="65"/>
      <c r="W632" s="202"/>
    </row>
    <row r="633" spans="9:23" ht="12" hidden="1" customHeight="1" outlineLevel="1">
      <c r="I633" s="65"/>
      <c r="J633" s="143" t="s">
        <v>1202</v>
      </c>
      <c r="K633" s="65"/>
      <c r="L633" s="111">
        <v>2E-3</v>
      </c>
      <c r="M633" s="65"/>
      <c r="N633" s="65"/>
      <c r="O633" s="65"/>
      <c r="P633" s="65"/>
      <c r="Q633" s="65"/>
      <c r="R633" s="65"/>
      <c r="S633" s="109">
        <f t="shared" si="766"/>
        <v>0</v>
      </c>
      <c r="T633" s="65"/>
      <c r="U633" s="117">
        <f t="shared" si="767"/>
        <v>0</v>
      </c>
      <c r="V633" s="65"/>
      <c r="W633" s="202"/>
    </row>
    <row r="634" spans="9:23" ht="12" hidden="1" customHeight="1" outlineLevel="1">
      <c r="I634" s="65"/>
      <c r="J634" s="143" t="s">
        <v>1203</v>
      </c>
      <c r="K634" s="65"/>
      <c r="L634" s="111">
        <v>6.0000000000000001E-3</v>
      </c>
      <c r="M634" s="65"/>
      <c r="N634" s="65"/>
      <c r="O634" s="65"/>
      <c r="P634" s="65"/>
      <c r="Q634" s="65"/>
      <c r="R634" s="65"/>
      <c r="S634" s="109">
        <f t="shared" si="766"/>
        <v>0</v>
      </c>
      <c r="T634" s="65"/>
      <c r="U634" s="117">
        <f t="shared" si="767"/>
        <v>0</v>
      </c>
      <c r="V634" s="65"/>
      <c r="W634" s="202"/>
    </row>
    <row r="635" spans="9:23" ht="12" hidden="1" customHeight="1" outlineLevel="1">
      <c r="I635" s="65"/>
      <c r="J635" s="143" t="s">
        <v>1204</v>
      </c>
      <c r="K635" s="65"/>
      <c r="L635" s="111">
        <v>2.5000000000000001E-2</v>
      </c>
      <c r="M635" s="65"/>
      <c r="N635" s="65"/>
      <c r="O635" s="65"/>
      <c r="P635" s="65"/>
      <c r="Q635" s="65"/>
      <c r="R635" s="65"/>
      <c r="S635" s="109">
        <f t="shared" si="766"/>
        <v>0</v>
      </c>
      <c r="T635" s="65"/>
      <c r="U635" s="117">
        <f t="shared" si="767"/>
        <v>0</v>
      </c>
      <c r="V635" s="65"/>
      <c r="W635" s="202"/>
    </row>
    <row r="636" spans="9:23" ht="12" hidden="1" customHeight="1" outlineLevel="1">
      <c r="I636" s="65"/>
      <c r="J636" s="143" t="s">
        <v>1205</v>
      </c>
      <c r="K636" s="65"/>
      <c r="L636" s="111">
        <f>3%*1.1288</f>
        <v>3.3863999999999998E-2</v>
      </c>
      <c r="M636" s="65"/>
      <c r="N636" s="65"/>
      <c r="O636" s="65"/>
      <c r="P636" s="65"/>
      <c r="Q636" s="65"/>
      <c r="R636" s="65"/>
      <c r="S636" s="109">
        <f t="shared" si="766"/>
        <v>0</v>
      </c>
      <c r="T636" s="65"/>
      <c r="U636" s="117">
        <f t="shared" si="767"/>
        <v>0</v>
      </c>
      <c r="V636" s="65"/>
      <c r="W636" s="202"/>
    </row>
    <row r="637" spans="9:23" ht="12" hidden="1" customHeight="1" outlineLevel="1">
      <c r="I637" s="65"/>
      <c r="J637" s="143" t="s">
        <v>1206</v>
      </c>
      <c r="K637" s="65"/>
      <c r="L637" s="111">
        <v>0.08</v>
      </c>
      <c r="M637" s="65"/>
      <c r="N637" s="65"/>
      <c r="O637" s="65"/>
      <c r="P637" s="65"/>
      <c r="Q637" s="65"/>
      <c r="R637" s="65"/>
      <c r="S637" s="109">
        <f t="shared" si="766"/>
        <v>0</v>
      </c>
      <c r="T637" s="65"/>
      <c r="U637" s="117">
        <f t="shared" si="767"/>
        <v>0</v>
      </c>
      <c r="V637" s="65"/>
      <c r="W637" s="202"/>
    </row>
    <row r="638" spans="9:23" ht="12" hidden="1" customHeight="1" outlineLevel="1">
      <c r="I638" s="65"/>
      <c r="J638" s="143" t="s">
        <v>1207</v>
      </c>
      <c r="K638" s="65"/>
      <c r="L638" s="111">
        <f>IF($U$828&gt;0,0,0.01)</f>
        <v>0</v>
      </c>
      <c r="M638" s="65"/>
      <c r="N638" s="65"/>
      <c r="O638" s="65"/>
      <c r="P638" s="65"/>
      <c r="Q638" s="65"/>
      <c r="R638" s="65"/>
      <c r="S638" s="109">
        <f t="shared" si="766"/>
        <v>0</v>
      </c>
      <c r="T638" s="65"/>
      <c r="U638" s="117">
        <f t="shared" si="767"/>
        <v>0</v>
      </c>
      <c r="V638" s="65"/>
      <c r="W638" s="202"/>
    </row>
    <row r="639" spans="9:23" ht="12" hidden="1" customHeight="1" outlineLevel="1">
      <c r="I639" s="65"/>
      <c r="J639" s="206" t="s">
        <v>1208</v>
      </c>
      <c r="K639" s="65"/>
      <c r="L639" s="207">
        <f>SUM(L630:L638)</f>
        <v>0.37186400000000008</v>
      </c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</row>
    <row r="640" spans="9:23" ht="12" hidden="1" customHeight="1" outlineLevel="1"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</row>
    <row r="641" spans="9:23" ht="24" hidden="1" customHeight="1" outlineLevel="1">
      <c r="I641" s="65"/>
      <c r="J641" s="142" t="s">
        <v>1209</v>
      </c>
      <c r="K641" s="65"/>
      <c r="L641" s="142" t="s">
        <v>1197</v>
      </c>
      <c r="M641" s="65"/>
      <c r="N641" s="65"/>
      <c r="O641" s="65"/>
      <c r="P641" s="65"/>
      <c r="Q641" s="65"/>
      <c r="R641" s="65"/>
      <c r="S641" s="142" t="s">
        <v>1198</v>
      </c>
      <c r="T641" s="65"/>
      <c r="U641" s="142" t="s">
        <v>106</v>
      </c>
      <c r="V641" s="65"/>
      <c r="W641" s="142" t="s">
        <v>1111</v>
      </c>
    </row>
    <row r="642" spans="9:23" ht="12" hidden="1" customHeight="1" outlineLevel="1">
      <c r="I642" s="65"/>
      <c r="J642" s="143" t="s">
        <v>1210</v>
      </c>
      <c r="K642" s="65"/>
      <c r="L642" s="111">
        <f>Calendário!$F$10/Calendário!$F$18</f>
        <v>0.17427295501579348</v>
      </c>
      <c r="M642" s="65"/>
      <c r="N642" s="65"/>
      <c r="O642" s="65"/>
      <c r="P642" s="65"/>
      <c r="Q642" s="65"/>
      <c r="R642" s="65"/>
      <c r="S642" s="109">
        <f t="shared" ref="S642:S650" si="768">SUMIF($T$7:$T$89,"horistas",$U$7:$U$89)+SUMIF($T$96:$T$533,"horistas",$U$96:$U$533)+SUMIF($T$538:$T$587,"horistas",$U$538:$U$587)</f>
        <v>0</v>
      </c>
      <c r="T642" s="65"/>
      <c r="U642" s="117">
        <f t="shared" ref="U642:U644" si="769">L642*S642</f>
        <v>0</v>
      </c>
      <c r="V642" s="65"/>
      <c r="W642" s="202"/>
    </row>
    <row r="643" spans="9:23" ht="12" hidden="1" customHeight="1" outlineLevel="1">
      <c r="I643" s="65"/>
      <c r="J643" s="143" t="s">
        <v>1211</v>
      </c>
      <c r="K643" s="65"/>
      <c r="L643" s="111">
        <f>SUM(Calendário!$F$7:$F$8)/Calendário!$F$18</f>
        <v>3.6306865628290309E-2</v>
      </c>
      <c r="M643" s="65"/>
      <c r="N643" s="65"/>
      <c r="O643" s="65"/>
      <c r="P643" s="65"/>
      <c r="Q643" s="65"/>
      <c r="R643" s="65"/>
      <c r="S643" s="109">
        <f t="shared" si="768"/>
        <v>0</v>
      </c>
      <c r="T643" s="65"/>
      <c r="U643" s="117">
        <f t="shared" si="769"/>
        <v>0</v>
      </c>
      <c r="V643" s="65"/>
      <c r="W643" s="202"/>
    </row>
    <row r="644" spans="9:23" ht="12" hidden="1" customHeight="1" outlineLevel="1">
      <c r="I644" s="65"/>
      <c r="J644" s="143" t="s">
        <v>1212</v>
      </c>
      <c r="K644" s="65"/>
      <c r="L644" s="111">
        <f>Calendário!$F$11/Calendário!$F$18</f>
        <v>1.8153432814145155E-3</v>
      </c>
      <c r="M644" s="65"/>
      <c r="N644" s="65"/>
      <c r="O644" s="65"/>
      <c r="P644" s="65"/>
      <c r="Q644" s="65"/>
      <c r="R644" s="65"/>
      <c r="S644" s="109">
        <f t="shared" si="768"/>
        <v>0</v>
      </c>
      <c r="T644" s="65"/>
      <c r="U644" s="117">
        <f t="shared" si="769"/>
        <v>0</v>
      </c>
      <c r="V644" s="65"/>
      <c r="W644" s="202"/>
    </row>
    <row r="645" spans="9:23" ht="12" hidden="1" customHeight="1" outlineLevel="1">
      <c r="I645" s="65"/>
      <c r="J645" s="143" t="s">
        <v>1213</v>
      </c>
      <c r="K645" s="65"/>
      <c r="L645" s="111">
        <f>Calendário!$F$9/Calendário!$F$18</f>
        <v>0.10892059688487092</v>
      </c>
      <c r="M645" s="65"/>
      <c r="N645" s="65"/>
      <c r="O645" s="65"/>
      <c r="P645" s="65"/>
      <c r="Q645" s="65"/>
      <c r="R645" s="65"/>
      <c r="S645" s="109">
        <f t="shared" si="768"/>
        <v>0</v>
      </c>
      <c r="T645" s="65"/>
      <c r="U645" s="117">
        <f>L645*S645</f>
        <v>0</v>
      </c>
      <c r="V645" s="65"/>
      <c r="W645" s="202"/>
    </row>
    <row r="646" spans="9:23" ht="12" hidden="1" customHeight="1" outlineLevel="1">
      <c r="I646" s="65"/>
      <c r="J646" s="143" t="s">
        <v>1214</v>
      </c>
      <c r="K646" s="65"/>
      <c r="L646" s="111">
        <f>Calendário!$F$14/Calendário!$F$18</f>
        <v>9.0767164070725773E-4</v>
      </c>
      <c r="M646" s="65"/>
      <c r="N646" s="65"/>
      <c r="O646" s="65"/>
      <c r="P646" s="65"/>
      <c r="Q646" s="65"/>
      <c r="R646" s="65"/>
      <c r="S646" s="109">
        <f t="shared" si="768"/>
        <v>0</v>
      </c>
      <c r="T646" s="65"/>
      <c r="U646" s="117">
        <f t="shared" ref="U646:U650" si="770">L646*S646</f>
        <v>0</v>
      </c>
      <c r="V646" s="65"/>
      <c r="W646" s="202"/>
    </row>
    <row r="647" spans="9:23" ht="12" hidden="1" customHeight="1" outlineLevel="1">
      <c r="I647" s="65"/>
      <c r="J647" s="143" t="s">
        <v>1215</v>
      </c>
      <c r="K647" s="65"/>
      <c r="L647" s="111">
        <f>Calendário!$F$13/Calendário!$F$18</f>
        <v>1.8153432814145155E-3</v>
      </c>
      <c r="M647" s="65"/>
      <c r="N647" s="65"/>
      <c r="O647" s="65"/>
      <c r="P647" s="65"/>
      <c r="Q647" s="65"/>
      <c r="R647" s="65"/>
      <c r="S647" s="109">
        <f t="shared" si="768"/>
        <v>0</v>
      </c>
      <c r="T647" s="65"/>
      <c r="U647" s="117">
        <f t="shared" si="770"/>
        <v>0</v>
      </c>
      <c r="V647" s="65"/>
      <c r="W647" s="202"/>
    </row>
    <row r="648" spans="9:23" ht="12" hidden="1" customHeight="1" outlineLevel="1">
      <c r="I648" s="65"/>
      <c r="J648" s="143" t="s">
        <v>1216</v>
      </c>
      <c r="K648" s="65"/>
      <c r="L648" s="111">
        <f>Calendário!$F$12/Calendário!$F$18</f>
        <v>7.2613731256580621E-4</v>
      </c>
      <c r="M648" s="65"/>
      <c r="N648" s="65"/>
      <c r="O648" s="65"/>
      <c r="P648" s="65"/>
      <c r="Q648" s="65"/>
      <c r="R648" s="65"/>
      <c r="S648" s="109">
        <f t="shared" si="768"/>
        <v>0</v>
      </c>
      <c r="T648" s="65"/>
      <c r="U648" s="117">
        <f t="shared" si="770"/>
        <v>0</v>
      </c>
      <c r="V648" s="65"/>
      <c r="W648" s="202"/>
    </row>
    <row r="649" spans="9:23" ht="12" hidden="1" customHeight="1" outlineLevel="1">
      <c r="I649" s="65"/>
      <c r="J649" s="143" t="s">
        <v>1217</v>
      </c>
      <c r="K649" s="65"/>
      <c r="L649" s="111">
        <f>(Calendário!$F$9/Calendário!$F$18)*(4/3)</f>
        <v>0.14522746251316121</v>
      </c>
      <c r="M649" s="65"/>
      <c r="N649" s="65"/>
      <c r="O649" s="65"/>
      <c r="P649" s="65"/>
      <c r="Q649" s="65"/>
      <c r="R649" s="65"/>
      <c r="S649" s="109">
        <f t="shared" si="768"/>
        <v>0</v>
      </c>
      <c r="T649" s="65"/>
      <c r="U649" s="117">
        <f t="shared" si="770"/>
        <v>0</v>
      </c>
      <c r="V649" s="65"/>
      <c r="W649" s="202"/>
    </row>
    <row r="650" spans="9:23" ht="12" hidden="1" customHeight="1" outlineLevel="1">
      <c r="I650" s="65"/>
      <c r="J650" s="143" t="s">
        <v>1218</v>
      </c>
      <c r="K650" s="65"/>
      <c r="L650" s="111">
        <f>Calendário!$F$15/Calendário!$F$18</f>
        <v>4.3568238753948369E-4</v>
      </c>
      <c r="M650" s="65"/>
      <c r="N650" s="65"/>
      <c r="O650" s="65"/>
      <c r="P650" s="65"/>
      <c r="Q650" s="65"/>
      <c r="R650" s="65"/>
      <c r="S650" s="109">
        <f t="shared" si="768"/>
        <v>0</v>
      </c>
      <c r="T650" s="65"/>
      <c r="U650" s="117">
        <f t="shared" si="770"/>
        <v>0</v>
      </c>
      <c r="V650" s="65"/>
      <c r="W650" s="202"/>
    </row>
    <row r="651" spans="9:23" ht="12" hidden="1" customHeight="1" outlineLevel="1">
      <c r="I651" s="65"/>
      <c r="J651" s="206" t="s">
        <v>1219</v>
      </c>
      <c r="K651" s="65"/>
      <c r="L651" s="207">
        <f>SUM(L642:L650)</f>
        <v>0.47042805794575754</v>
      </c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</row>
    <row r="652" spans="9:23" ht="12" hidden="1" customHeight="1" outlineLevel="1"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</row>
    <row r="653" spans="9:23" ht="24" hidden="1" customHeight="1" outlineLevel="1">
      <c r="I653" s="65"/>
      <c r="J653" s="142" t="s">
        <v>1220</v>
      </c>
      <c r="K653" s="65"/>
      <c r="L653" s="142" t="s">
        <v>1197</v>
      </c>
      <c r="M653" s="65"/>
      <c r="N653" s="65"/>
      <c r="O653" s="65"/>
      <c r="P653" s="65"/>
      <c r="Q653" s="65"/>
      <c r="R653" s="65"/>
      <c r="S653" s="142" t="s">
        <v>1198</v>
      </c>
      <c r="T653" s="65"/>
      <c r="U653" s="142" t="s">
        <v>106</v>
      </c>
      <c r="V653" s="65"/>
      <c r="W653" s="142" t="s">
        <v>1111</v>
      </c>
    </row>
    <row r="654" spans="9:23" ht="12" hidden="1" customHeight="1" outlineLevel="1">
      <c r="I654" s="65"/>
      <c r="J654" s="143" t="s">
        <v>1225</v>
      </c>
      <c r="K654" s="65"/>
      <c r="L654" s="209">
        <f>IFERROR(((12/(SUMPRODUCT(G7:G587,H7:H587)/SUM(G7:G587)))/Calendário!$F$18)*30,0)</f>
        <v>0.1307047162618451</v>
      </c>
      <c r="M654" s="65"/>
      <c r="N654" s="65"/>
      <c r="O654" s="65"/>
      <c r="P654" s="65"/>
      <c r="Q654" s="65"/>
      <c r="R654" s="65"/>
      <c r="S654" s="109">
        <f>SUMIF($T$7:$T$89,"horistas",$U$7:$U$89)+SUMIF($T$96:$T$533,"horistas",$U$96:$U$533)+SUMIF($T$538:$T$587,"horistas",$U$538:$U$587)</f>
        <v>0</v>
      </c>
      <c r="T654" s="65"/>
      <c r="U654" s="117">
        <f>L654*S654</f>
        <v>0</v>
      </c>
      <c r="V654" s="65"/>
      <c r="W654" s="202"/>
    </row>
    <row r="655" spans="9:23" ht="12" hidden="1" customHeight="1" outlineLevel="1">
      <c r="I655" s="65"/>
      <c r="J655" s="143" t="s">
        <v>1227</v>
      </c>
      <c r="K655" s="65"/>
      <c r="L655" s="111">
        <f>L637*(1+0.4)*L651</f>
        <v>5.2687942489924838E-2</v>
      </c>
      <c r="M655" s="65"/>
      <c r="N655" s="65"/>
      <c r="O655" s="65"/>
      <c r="P655" s="65"/>
      <c r="Q655" s="65"/>
      <c r="R655" s="65"/>
      <c r="S655" s="109">
        <f>SUMIF($T$7:$T$89,"horistas",$U$7:$U$89)+SUMIF($T$96:$T$533,"horistas",$U$96:$U$533)+SUMIF($T$538:$T$587,"horistas",$U$538:$U$587)</f>
        <v>0</v>
      </c>
      <c r="T655" s="65"/>
      <c r="U655" s="117">
        <f>L655*S655</f>
        <v>0</v>
      </c>
      <c r="V655" s="65"/>
      <c r="W655" s="202"/>
    </row>
    <row r="656" spans="9:23" ht="12" hidden="1" customHeight="1" outlineLevel="1">
      <c r="I656" s="65"/>
      <c r="J656" s="143" t="s">
        <v>1229</v>
      </c>
      <c r="K656" s="65"/>
      <c r="L656" s="111">
        <f>(1/12)*(30/Calendário!$F$18)</f>
        <v>9.0767164070725756E-3</v>
      </c>
      <c r="M656" s="65"/>
      <c r="N656" s="65"/>
      <c r="O656" s="65"/>
      <c r="P656" s="65"/>
      <c r="Q656" s="65"/>
      <c r="R656" s="65"/>
      <c r="S656" s="109">
        <f>SUMIF($T$7:$T$89,"horistas",$U$7:$U$89)+SUMIF($T$96:$T$533,"horistas",$U$96:$U$533)+SUMIF($T$538:$T$587,"horistas",$U$538:$U$587)</f>
        <v>0</v>
      </c>
      <c r="T656" s="65"/>
      <c r="U656" s="117">
        <f>L656*S656</f>
        <v>0</v>
      </c>
      <c r="V656" s="65"/>
      <c r="W656" s="202"/>
    </row>
    <row r="657" spans="9:23" ht="12" hidden="1" customHeight="1" outlineLevel="1">
      <c r="I657" s="65"/>
      <c r="J657" s="143" t="s">
        <v>1230</v>
      </c>
      <c r="K657" s="65"/>
      <c r="L657" s="111">
        <f>L654*12*0.01</f>
        <v>1.5684565951421411E-2</v>
      </c>
      <c r="M657" s="65"/>
      <c r="N657" s="65"/>
      <c r="O657" s="65"/>
      <c r="P657" s="65"/>
      <c r="Q657" s="65"/>
      <c r="R657" s="65"/>
      <c r="S657" s="109">
        <f>SUMIF($T$7:$T$89,"horistas",$U$7:$U$89)+SUMIF($T$96:$T$533,"horistas",$U$96:$U$533)+SUMIF($T$538:$T$587,"horistas",$U$538:$U$587)</f>
        <v>0</v>
      </c>
      <c r="T657" s="65"/>
      <c r="U657" s="117">
        <f>L657*S657</f>
        <v>0</v>
      </c>
      <c r="V657" s="65"/>
      <c r="W657" s="202"/>
    </row>
    <row r="658" spans="9:23" ht="12" hidden="1" customHeight="1" outlineLevel="1">
      <c r="I658" s="65"/>
      <c r="J658" s="206" t="s">
        <v>1231</v>
      </c>
      <c r="K658" s="65"/>
      <c r="L658" s="207">
        <f>SUM(L654:L657)</f>
        <v>0.20815394111026392</v>
      </c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</row>
    <row r="659" spans="9:23" ht="12" hidden="1" customHeight="1" outlineLevel="1"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</row>
    <row r="660" spans="9:23" ht="24" hidden="1" customHeight="1" outlineLevel="1">
      <c r="I660" s="65"/>
      <c r="J660" s="142" t="s">
        <v>1232</v>
      </c>
      <c r="K660" s="65"/>
      <c r="L660" s="142" t="s">
        <v>1197</v>
      </c>
      <c r="M660" s="65"/>
      <c r="N660" s="65"/>
      <c r="O660" s="65"/>
      <c r="P660" s="65"/>
      <c r="Q660" s="65"/>
      <c r="R660" s="65"/>
      <c r="S660" s="142" t="s">
        <v>1198</v>
      </c>
      <c r="T660" s="65"/>
      <c r="U660" s="142" t="s">
        <v>106</v>
      </c>
      <c r="V660" s="65"/>
      <c r="W660" s="142" t="s">
        <v>1111</v>
      </c>
    </row>
    <row r="661" spans="9:23" ht="12" hidden="1" customHeight="1" outlineLevel="1">
      <c r="I661" s="65"/>
      <c r="J661" s="143" t="s">
        <v>1233</v>
      </c>
      <c r="K661" s="65"/>
      <c r="L661" s="111">
        <f>L639*L651</f>
        <v>0.17493525933994122</v>
      </c>
      <c r="M661" s="65"/>
      <c r="N661" s="65"/>
      <c r="O661" s="65"/>
      <c r="P661" s="65"/>
      <c r="Q661" s="65"/>
      <c r="R661" s="65"/>
      <c r="S661" s="109">
        <f>SUMIF($T$7:$T$89,"horistas",$U$7:$U$89)+SUMIF($T$96:$T$533,"horistas",$U$96:$U$533)+SUMIF($T$538:$T$587,"horistas",$U$538:$U$587)</f>
        <v>0</v>
      </c>
      <c r="T661" s="65"/>
      <c r="U661" s="117">
        <f>L661*S661</f>
        <v>0</v>
      </c>
      <c r="V661" s="65"/>
      <c r="W661" s="202"/>
    </row>
    <row r="662" spans="9:23" ht="10.5" hidden="1" outlineLevel="1">
      <c r="I662" s="65"/>
      <c r="J662" s="208" t="s">
        <v>1234</v>
      </c>
      <c r="K662" s="65"/>
      <c r="L662" s="111">
        <f>L639*L654</f>
        <v>4.8604378607994776E-2</v>
      </c>
      <c r="M662" s="65"/>
      <c r="N662" s="65"/>
      <c r="O662" s="65"/>
      <c r="P662" s="65"/>
      <c r="Q662" s="65"/>
      <c r="R662" s="65"/>
      <c r="S662" s="109">
        <f>SUMIF($T$7:$T$89,"horistas",$U$7:$U$89)+SUMIF($T$96:$T$533,"horistas",$U$96:$U$533)+SUMIF($T$538:$T$587,"horistas",$U$538:$U$587)</f>
        <v>0</v>
      </c>
      <c r="T662" s="65"/>
      <c r="U662" s="117">
        <f>L662*S662</f>
        <v>0</v>
      </c>
      <c r="V662" s="65"/>
      <c r="W662" s="202"/>
    </row>
    <row r="663" spans="9:23" ht="12" hidden="1" customHeight="1" outlineLevel="1">
      <c r="I663" s="65"/>
      <c r="J663" s="206" t="s">
        <v>1235</v>
      </c>
      <c r="K663" s="65"/>
      <c r="L663" s="207">
        <f>SUM(L661:L662)</f>
        <v>0.22353963794793599</v>
      </c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</row>
    <row r="664" spans="9:23" ht="12" hidden="1" customHeight="1" outlineLevel="1"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</row>
    <row r="665" spans="9:23" s="196" customFormat="1" ht="23.85" customHeight="1" collapsed="1">
      <c r="I665" s="189"/>
      <c r="J665" s="185" t="s">
        <v>32</v>
      </c>
      <c r="K665" s="190"/>
      <c r="L665" s="190"/>
      <c r="M665" s="190"/>
      <c r="N665" s="190"/>
      <c r="O665" s="190"/>
      <c r="P665" s="190"/>
      <c r="Q665" s="190"/>
      <c r="R665" s="190"/>
      <c r="S665" s="191"/>
      <c r="T665" s="192">
        <f>IFERROR(U665/$U$2,0)</f>
        <v>0</v>
      </c>
      <c r="U665" s="193">
        <f>SUM(U667:U681)</f>
        <v>0</v>
      </c>
      <c r="V665" s="190"/>
      <c r="W665" s="194"/>
    </row>
    <row r="666" spans="9:23" ht="12" hidden="1" customHeight="1" outlineLevel="1"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</row>
    <row r="667" spans="9:23" ht="24" hidden="1" customHeight="1" outlineLevel="1">
      <c r="I667" s="65"/>
      <c r="J667" s="142" t="s">
        <v>1236</v>
      </c>
      <c r="K667" s="65"/>
      <c r="L667" s="142" t="s">
        <v>1237</v>
      </c>
      <c r="M667" s="142" t="s">
        <v>1179</v>
      </c>
      <c r="N667" s="142" t="s">
        <v>1238</v>
      </c>
      <c r="O667" s="142" t="s">
        <v>1239</v>
      </c>
      <c r="P667" s="65"/>
      <c r="Q667" s="65"/>
      <c r="R667" s="65"/>
      <c r="S667" s="142" t="s">
        <v>1240</v>
      </c>
      <c r="T667" s="65"/>
      <c r="U667" s="142" t="s">
        <v>1241</v>
      </c>
      <c r="V667" s="65"/>
      <c r="W667" s="142" t="s">
        <v>1111</v>
      </c>
    </row>
    <row r="668" spans="9:23" ht="12" hidden="1" customHeight="1" outlineLevel="1">
      <c r="I668" s="65"/>
      <c r="J668" s="77" t="s">
        <v>1242</v>
      </c>
      <c r="K668" s="65"/>
      <c r="L668" s="107">
        <f>'Cronog. e Histog.'!$I$861</f>
        <v>4.3499999999999996</v>
      </c>
      <c r="M668" s="107">
        <v>44</v>
      </c>
      <c r="N668" s="78" t="s">
        <v>1243</v>
      </c>
      <c r="O668" s="111"/>
      <c r="P668" s="65"/>
      <c r="Q668" s="65"/>
      <c r="R668" s="65"/>
      <c r="S668" s="110">
        <f>IFERROR(((SUMPRODUCT($L$7:$L$587,$S$7:$S$587)/SUM($L$7:$L$587))/Dashboard!$D$15)*(1+$W$91),0)</f>
        <v>67.609480383775065</v>
      </c>
      <c r="T668" s="65"/>
      <c r="U668" s="117">
        <f>L668*M668*O668*S668</f>
        <v>0</v>
      </c>
      <c r="V668" s="65"/>
      <c r="W668" s="202"/>
    </row>
    <row r="669" spans="9:23" ht="12" hidden="1" customHeight="1" outlineLevel="1"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</row>
    <row r="670" spans="9:23" ht="24" hidden="1" customHeight="1" outlineLevel="1">
      <c r="I670" s="65"/>
      <c r="J670" s="142" t="s">
        <v>1244</v>
      </c>
      <c r="K670" s="65"/>
      <c r="L670" s="142" t="s">
        <v>1237</v>
      </c>
      <c r="M670" s="142" t="s">
        <v>1179</v>
      </c>
      <c r="N670" s="142" t="s">
        <v>1238</v>
      </c>
      <c r="O670" s="142" t="s">
        <v>1239</v>
      </c>
      <c r="P670" s="65"/>
      <c r="Q670" s="65"/>
      <c r="R670" s="65"/>
      <c r="S670" s="142" t="s">
        <v>1240</v>
      </c>
      <c r="T670" s="65"/>
      <c r="U670" s="142" t="s">
        <v>1241</v>
      </c>
      <c r="V670" s="65"/>
      <c r="W670" s="142" t="s">
        <v>1111</v>
      </c>
    </row>
    <row r="671" spans="9:23" ht="12" hidden="1" customHeight="1" outlineLevel="1">
      <c r="I671" s="65"/>
      <c r="J671" s="77" t="s">
        <v>1245</v>
      </c>
      <c r="K671" s="65"/>
      <c r="L671" s="107">
        <f>'Cronog. e Histog.'!$I$861</f>
        <v>4.3499999999999996</v>
      </c>
      <c r="M671" s="107">
        <f>ROUNDUP($M$668/Dashboard!$D$17,0)</f>
        <v>5</v>
      </c>
      <c r="N671" s="78" t="s">
        <v>1246</v>
      </c>
      <c r="O671" s="111"/>
      <c r="P671" s="65"/>
      <c r="Q671" s="65"/>
      <c r="R671" s="65"/>
      <c r="S671" s="110">
        <f>S818</f>
        <v>7</v>
      </c>
      <c r="T671" s="65"/>
      <c r="U671" s="117">
        <f t="shared" ref="U671:U675" si="771">L671*M671*O671*S671</f>
        <v>0</v>
      </c>
      <c r="V671" s="65"/>
      <c r="W671" s="202"/>
    </row>
    <row r="672" spans="9:23" ht="12" hidden="1" customHeight="1" outlineLevel="1">
      <c r="I672" s="65"/>
      <c r="J672" s="77" t="s">
        <v>1247</v>
      </c>
      <c r="K672" s="65"/>
      <c r="L672" s="107">
        <f>'Cronog. e Histog.'!$I$861</f>
        <v>4.3499999999999996</v>
      </c>
      <c r="M672" s="107">
        <f>ROUNDUP($M$668/Dashboard!$D$17,0)</f>
        <v>5</v>
      </c>
      <c r="N672" s="78" t="s">
        <v>1246</v>
      </c>
      <c r="O672" s="111"/>
      <c r="P672" s="65"/>
      <c r="Q672" s="65"/>
      <c r="R672" s="65"/>
      <c r="S672" s="110">
        <f t="shared" ref="S672:S675" si="772">S819</f>
        <v>38</v>
      </c>
      <c r="T672" s="65"/>
      <c r="U672" s="117">
        <f t="shared" si="771"/>
        <v>0</v>
      </c>
      <c r="V672" s="65"/>
      <c r="W672" s="202"/>
    </row>
    <row r="673" spans="9:23" ht="12" hidden="1" customHeight="1" outlineLevel="1">
      <c r="I673" s="65"/>
      <c r="J673" s="77" t="s">
        <v>1248</v>
      </c>
      <c r="K673" s="65"/>
      <c r="L673" s="107">
        <f>'Cronog. e Histog.'!$I$861</f>
        <v>4.3499999999999996</v>
      </c>
      <c r="M673" s="107">
        <f>ROUNDUP($M$668/Dashboard!$D$17,0)</f>
        <v>5</v>
      </c>
      <c r="N673" s="78" t="s">
        <v>1246</v>
      </c>
      <c r="O673" s="111"/>
      <c r="P673" s="65"/>
      <c r="Q673" s="65"/>
      <c r="R673" s="65"/>
      <c r="S673" s="110">
        <f t="shared" si="772"/>
        <v>12</v>
      </c>
      <c r="T673" s="65"/>
      <c r="U673" s="117">
        <f t="shared" si="771"/>
        <v>0</v>
      </c>
      <c r="V673" s="65"/>
      <c r="W673" s="202"/>
    </row>
    <row r="674" spans="9:23" ht="12" hidden="1" customHeight="1" outlineLevel="1">
      <c r="I674" s="65"/>
      <c r="J674" s="77" t="s">
        <v>1249</v>
      </c>
      <c r="K674" s="65"/>
      <c r="L674" s="107">
        <f>'Cronog. e Histog.'!$I$861</f>
        <v>4.3499999999999996</v>
      </c>
      <c r="M674" s="107">
        <f>ROUNDUP($M$668/Dashboard!$D$17,0)</f>
        <v>5</v>
      </c>
      <c r="N674" s="78" t="s">
        <v>1246</v>
      </c>
      <c r="O674" s="111"/>
      <c r="P674" s="65"/>
      <c r="Q674" s="65"/>
      <c r="R674" s="65"/>
      <c r="S674" s="110">
        <f t="shared" si="772"/>
        <v>25</v>
      </c>
      <c r="T674" s="65"/>
      <c r="U674" s="117">
        <f t="shared" si="771"/>
        <v>0</v>
      </c>
      <c r="V674" s="65"/>
      <c r="W674" s="202"/>
    </row>
    <row r="675" spans="9:23" ht="12" hidden="1" customHeight="1" outlineLevel="1">
      <c r="I675" s="65"/>
      <c r="J675" s="77" t="s">
        <v>1250</v>
      </c>
      <c r="K675" s="65"/>
      <c r="L675" s="107">
        <f>'Cronog. e Histog.'!$I$861</f>
        <v>4.3499999999999996</v>
      </c>
      <c r="M675" s="107">
        <f>ROUNDUP($M$668/Dashboard!$D$17,0)</f>
        <v>5</v>
      </c>
      <c r="N675" s="78" t="s">
        <v>1246</v>
      </c>
      <c r="O675" s="111"/>
      <c r="P675" s="65"/>
      <c r="Q675" s="65"/>
      <c r="R675" s="65"/>
      <c r="S675" s="110">
        <f t="shared" si="772"/>
        <v>28</v>
      </c>
      <c r="T675" s="65"/>
      <c r="U675" s="117">
        <f t="shared" si="771"/>
        <v>0</v>
      </c>
      <c r="V675" s="65"/>
      <c r="W675" s="202"/>
    </row>
    <row r="676" spans="9:23" ht="12" hidden="1" customHeight="1" outlineLevel="1"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</row>
    <row r="677" spans="9:23" ht="24" hidden="1" customHeight="1" outlineLevel="1">
      <c r="I677" s="65"/>
      <c r="J677" s="142" t="s">
        <v>1251</v>
      </c>
      <c r="K677" s="65"/>
      <c r="L677" s="142" t="s">
        <v>1237</v>
      </c>
      <c r="M677" s="142" t="s">
        <v>1179</v>
      </c>
      <c r="N677" s="142" t="s">
        <v>1238</v>
      </c>
      <c r="O677" s="142" t="s">
        <v>1239</v>
      </c>
      <c r="P677" s="65"/>
      <c r="Q677" s="65"/>
      <c r="R677" s="65"/>
      <c r="S677" s="142" t="s">
        <v>1240</v>
      </c>
      <c r="T677" s="65"/>
      <c r="U677" s="142" t="s">
        <v>1241</v>
      </c>
      <c r="V677" s="65"/>
      <c r="W677" s="142" t="s">
        <v>1111</v>
      </c>
    </row>
    <row r="678" spans="9:23" ht="12" hidden="1" customHeight="1" outlineLevel="1">
      <c r="I678" s="65"/>
      <c r="J678" s="77" t="s">
        <v>1252</v>
      </c>
      <c r="K678" s="65"/>
      <c r="L678" s="107">
        <f>'Cronog. e Histog.'!$I$861</f>
        <v>4.3499999999999996</v>
      </c>
      <c r="M678" s="107">
        <f>ROUNDUP($M$668/Dashboard!$D$17,0)</f>
        <v>5</v>
      </c>
      <c r="N678" s="78" t="s">
        <v>1246</v>
      </c>
      <c r="O678" s="111"/>
      <c r="P678" s="65"/>
      <c r="Q678" s="65"/>
      <c r="R678" s="65"/>
      <c r="S678" s="110">
        <f>$S$1231/Dashboard!$D$16/44</f>
        <v>14.462809917355372</v>
      </c>
      <c r="T678" s="65"/>
      <c r="U678" s="117">
        <f t="shared" ref="U678:U681" si="773">L678*M678*O678*S678</f>
        <v>0</v>
      </c>
      <c r="V678" s="65"/>
      <c r="W678" s="202"/>
    </row>
    <row r="679" spans="9:23" ht="12" hidden="1" customHeight="1" outlineLevel="1">
      <c r="I679" s="65"/>
      <c r="J679" s="77" t="s">
        <v>1253</v>
      </c>
      <c r="K679" s="65"/>
      <c r="L679" s="107">
        <f>'Cronog. e Histog.'!$I$861</f>
        <v>4.3499999999999996</v>
      </c>
      <c r="M679" s="107">
        <f>ROUNDUP($M$668/Dashboard!$D$17,0)</f>
        <v>5</v>
      </c>
      <c r="N679" s="78" t="s">
        <v>1246</v>
      </c>
      <c r="O679" s="111"/>
      <c r="P679" s="65"/>
      <c r="Q679" s="65"/>
      <c r="R679" s="65"/>
      <c r="S679" s="110">
        <f>$S$1232/Dashboard!$D$16/28</f>
        <v>21.915584415584416</v>
      </c>
      <c r="T679" s="65"/>
      <c r="U679" s="117">
        <f t="shared" si="773"/>
        <v>0</v>
      </c>
      <c r="V679" s="65"/>
      <c r="W679" s="202"/>
    </row>
    <row r="680" spans="9:23" ht="12" hidden="1" customHeight="1" outlineLevel="1">
      <c r="I680" s="65"/>
      <c r="J680" s="77" t="s">
        <v>1254</v>
      </c>
      <c r="K680" s="65"/>
      <c r="L680" s="107">
        <f>'Cronog. e Histog.'!$I$861</f>
        <v>4.3499999999999996</v>
      </c>
      <c r="M680" s="107">
        <f>ROUNDUP($M$668/Dashboard!$D$17,0)</f>
        <v>5</v>
      </c>
      <c r="N680" s="78" t="s">
        <v>1246</v>
      </c>
      <c r="O680" s="111"/>
      <c r="P680" s="65"/>
      <c r="Q680" s="65"/>
      <c r="R680" s="65"/>
      <c r="S680" s="110">
        <f>$S$1233/Dashboard!$D$16/15</f>
        <v>36.363636363636367</v>
      </c>
      <c r="T680" s="65"/>
      <c r="U680" s="117">
        <f t="shared" si="773"/>
        <v>0</v>
      </c>
      <c r="V680" s="65"/>
      <c r="W680" s="202"/>
    </row>
    <row r="681" spans="9:23" ht="12" hidden="1" customHeight="1" outlineLevel="1">
      <c r="I681" s="65"/>
      <c r="J681" s="77" t="s">
        <v>1255</v>
      </c>
      <c r="K681" s="65"/>
      <c r="L681" s="107">
        <f>'Cronog. e Histog.'!$I$861</f>
        <v>4.3499999999999996</v>
      </c>
      <c r="M681" s="107">
        <f>ROUNDUP($M$668/Dashboard!$D$17,0)</f>
        <v>5</v>
      </c>
      <c r="N681" s="78" t="s">
        <v>1246</v>
      </c>
      <c r="O681" s="111"/>
      <c r="P681" s="65"/>
      <c r="Q681" s="65"/>
      <c r="R681" s="65"/>
      <c r="S681" s="110">
        <f>$S$834</f>
        <v>7.8000000000000007</v>
      </c>
      <c r="T681" s="65"/>
      <c r="U681" s="117">
        <f t="shared" si="773"/>
        <v>0</v>
      </c>
      <c r="V681" s="65"/>
      <c r="W681" s="202"/>
    </row>
    <row r="682" spans="9:23" ht="12" hidden="1" customHeight="1" outlineLevel="1"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</row>
    <row r="683" spans="9:23" s="196" customFormat="1" ht="24" customHeight="1" collapsed="1">
      <c r="I683" s="189"/>
      <c r="J683" s="185" t="s">
        <v>36</v>
      </c>
      <c r="K683" s="190"/>
      <c r="L683" s="190"/>
      <c r="M683" s="190"/>
      <c r="N683" s="190"/>
      <c r="O683" s="190"/>
      <c r="P683" s="190"/>
      <c r="Q683" s="190"/>
      <c r="R683" s="190"/>
      <c r="S683" s="191"/>
      <c r="T683" s="192">
        <f>IFERROR(U683/$U$2,0)</f>
        <v>0</v>
      </c>
      <c r="U683" s="193">
        <f>SUM(U685:U695)</f>
        <v>0</v>
      </c>
      <c r="V683" s="190"/>
      <c r="W683" s="194"/>
    </row>
    <row r="684" spans="9:23" ht="12" hidden="1" customHeight="1" outlineLevel="1"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</row>
    <row r="685" spans="9:23" ht="24" hidden="1" customHeight="1" outlineLevel="1">
      <c r="I685" s="65"/>
      <c r="J685" s="142" t="s">
        <v>1256</v>
      </c>
      <c r="K685" s="65"/>
      <c r="L685" s="142" t="s">
        <v>1237</v>
      </c>
      <c r="M685" s="142" t="s">
        <v>1179</v>
      </c>
      <c r="N685" s="142" t="s">
        <v>1238</v>
      </c>
      <c r="O685" s="142" t="s">
        <v>1239</v>
      </c>
      <c r="P685" s="65"/>
      <c r="Q685" s="65"/>
      <c r="R685" s="65"/>
      <c r="S685" s="142" t="s">
        <v>1240</v>
      </c>
      <c r="T685" s="65"/>
      <c r="U685" s="142" t="s">
        <v>1241</v>
      </c>
      <c r="V685" s="65"/>
      <c r="W685" s="142" t="s">
        <v>1111</v>
      </c>
    </row>
    <row r="686" spans="9:23" ht="12" hidden="1" customHeight="1" outlineLevel="1">
      <c r="I686" s="65"/>
      <c r="J686" s="77" t="s">
        <v>1257</v>
      </c>
      <c r="K686" s="65"/>
      <c r="L686" s="107">
        <f>'Cronog. e Histog.'!$I$861</f>
        <v>4.3499999999999996</v>
      </c>
      <c r="M686" s="107"/>
      <c r="N686" s="78" t="s">
        <v>1258</v>
      </c>
      <c r="O686" s="111">
        <v>1</v>
      </c>
      <c r="P686" s="65"/>
      <c r="Q686" s="65"/>
      <c r="R686" s="65"/>
      <c r="S686" s="110">
        <f>IFERROR(((SUMPRODUCT($L$7:$L$587,$S$7:$S$587)/SUM($L$7:$L$587))/Dashboard!$D$15)*(1+$W$91),0)</f>
        <v>67.609480383775065</v>
      </c>
      <c r="T686" s="65"/>
      <c r="U686" s="117">
        <f>L686*M686*O686*S686</f>
        <v>0</v>
      </c>
      <c r="V686" s="65"/>
      <c r="W686" s="202"/>
    </row>
    <row r="687" spans="9:23" ht="12" hidden="1" customHeight="1" outlineLevel="1"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</row>
    <row r="688" spans="9:23" ht="24" hidden="1" customHeight="1" outlineLevel="1">
      <c r="I688" s="65"/>
      <c r="J688" s="142" t="s">
        <v>1244</v>
      </c>
      <c r="K688" s="65"/>
      <c r="L688" s="142" t="s">
        <v>1237</v>
      </c>
      <c r="M688" s="142" t="s">
        <v>1179</v>
      </c>
      <c r="N688" s="142" t="s">
        <v>1238</v>
      </c>
      <c r="O688" s="142" t="s">
        <v>1239</v>
      </c>
      <c r="P688" s="65"/>
      <c r="Q688" s="65"/>
      <c r="R688" s="65"/>
      <c r="S688" s="142" t="s">
        <v>1240</v>
      </c>
      <c r="T688" s="65"/>
      <c r="U688" s="142" t="s">
        <v>1241</v>
      </c>
      <c r="V688" s="65"/>
      <c r="W688" s="142" t="s">
        <v>1111</v>
      </c>
    </row>
    <row r="689" spans="9:23" ht="12" hidden="1" customHeight="1" outlineLevel="1">
      <c r="I689" s="65"/>
      <c r="J689" s="77" t="s">
        <v>1245</v>
      </c>
      <c r="K689" s="65"/>
      <c r="L689" s="107">
        <f>'Cronog. e Histog.'!$I$861</f>
        <v>4.3499999999999996</v>
      </c>
      <c r="M689" s="107">
        <f>ROUNDUP($M$686/Dashboard!$D$17,0)</f>
        <v>0</v>
      </c>
      <c r="N689" s="78" t="s">
        <v>1246</v>
      </c>
      <c r="O689" s="111">
        <v>1</v>
      </c>
      <c r="P689" s="65"/>
      <c r="Q689" s="65"/>
      <c r="R689" s="65"/>
      <c r="S689" s="110">
        <f>S818</f>
        <v>7</v>
      </c>
      <c r="T689" s="65"/>
      <c r="U689" s="117">
        <f t="shared" ref="U689:U693" si="774">L689*M689*O689*S689</f>
        <v>0</v>
      </c>
      <c r="V689" s="65"/>
      <c r="W689" s="202"/>
    </row>
    <row r="690" spans="9:23" ht="12" hidden="1" customHeight="1" outlineLevel="1">
      <c r="I690" s="65"/>
      <c r="J690" s="77" t="s">
        <v>1247</v>
      </c>
      <c r="K690" s="65"/>
      <c r="L690" s="107">
        <f>'Cronog. e Histog.'!$I$861</f>
        <v>4.3499999999999996</v>
      </c>
      <c r="M690" s="107">
        <f>ROUNDUP($M$686/Dashboard!$D$17,0)</f>
        <v>0</v>
      </c>
      <c r="N690" s="78" t="s">
        <v>1246</v>
      </c>
      <c r="O690" s="111">
        <v>1</v>
      </c>
      <c r="P690" s="65"/>
      <c r="Q690" s="65"/>
      <c r="R690" s="65"/>
      <c r="S690" s="110">
        <f t="shared" ref="S690:S693" si="775">S819</f>
        <v>38</v>
      </c>
      <c r="T690" s="65"/>
      <c r="U690" s="117">
        <f t="shared" si="774"/>
        <v>0</v>
      </c>
      <c r="V690" s="65"/>
      <c r="W690" s="202"/>
    </row>
    <row r="691" spans="9:23" ht="12" hidden="1" customHeight="1" outlineLevel="1">
      <c r="I691" s="65"/>
      <c r="J691" s="77" t="s">
        <v>1248</v>
      </c>
      <c r="K691" s="65"/>
      <c r="L691" s="107">
        <f>'Cronog. e Histog.'!$I$861</f>
        <v>4.3499999999999996</v>
      </c>
      <c r="M691" s="107">
        <f>ROUNDUP($M$686/Dashboard!$D$17,0)</f>
        <v>0</v>
      </c>
      <c r="N691" s="78" t="s">
        <v>1246</v>
      </c>
      <c r="O691" s="111"/>
      <c r="P691" s="65"/>
      <c r="Q691" s="65"/>
      <c r="R691" s="65"/>
      <c r="S691" s="110">
        <f t="shared" si="775"/>
        <v>12</v>
      </c>
      <c r="T691" s="65"/>
      <c r="U691" s="117">
        <f t="shared" si="774"/>
        <v>0</v>
      </c>
      <c r="V691" s="65"/>
      <c r="W691" s="202"/>
    </row>
    <row r="692" spans="9:23" ht="12" hidden="1" customHeight="1" outlineLevel="1">
      <c r="I692" s="65"/>
      <c r="J692" s="77" t="s">
        <v>1249</v>
      </c>
      <c r="K692" s="65"/>
      <c r="L692" s="107">
        <f>'Cronog. e Histog.'!$I$861</f>
        <v>4.3499999999999996</v>
      </c>
      <c r="M692" s="107">
        <f>ROUNDUP($M$686/Dashboard!$D$17,0)</f>
        <v>0</v>
      </c>
      <c r="N692" s="78" t="s">
        <v>1246</v>
      </c>
      <c r="O692" s="111"/>
      <c r="P692" s="65"/>
      <c r="Q692" s="65"/>
      <c r="R692" s="65"/>
      <c r="S692" s="110">
        <f t="shared" si="775"/>
        <v>25</v>
      </c>
      <c r="T692" s="65"/>
      <c r="U692" s="117">
        <f t="shared" si="774"/>
        <v>0</v>
      </c>
      <c r="V692" s="65"/>
      <c r="W692" s="202"/>
    </row>
    <row r="693" spans="9:23" ht="12" hidden="1" customHeight="1" outlineLevel="1">
      <c r="I693" s="65"/>
      <c r="J693" s="77" t="s">
        <v>1250</v>
      </c>
      <c r="K693" s="65"/>
      <c r="L693" s="107">
        <f>'Cronog. e Histog.'!$I$861</f>
        <v>4.3499999999999996</v>
      </c>
      <c r="M693" s="107">
        <f>ROUNDUP($M$686/Dashboard!$D$17,0)</f>
        <v>0</v>
      </c>
      <c r="N693" s="78" t="s">
        <v>1246</v>
      </c>
      <c r="O693" s="111"/>
      <c r="P693" s="65"/>
      <c r="Q693" s="65"/>
      <c r="R693" s="65"/>
      <c r="S693" s="110">
        <f t="shared" si="775"/>
        <v>28</v>
      </c>
      <c r="T693" s="65"/>
      <c r="U693" s="117">
        <f t="shared" si="774"/>
        <v>0</v>
      </c>
      <c r="V693" s="65"/>
      <c r="W693" s="202"/>
    </row>
    <row r="694" spans="9:23" ht="12" hidden="1" customHeight="1" outlineLevel="1"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</row>
    <row r="695" spans="9:23" ht="24" hidden="1" customHeight="1" outlineLevel="1">
      <c r="I695" s="65"/>
      <c r="J695" s="142" t="s">
        <v>1251</v>
      </c>
      <c r="K695" s="65"/>
      <c r="L695" s="142" t="s">
        <v>1237</v>
      </c>
      <c r="M695" s="142" t="s">
        <v>1179</v>
      </c>
      <c r="N695" s="142" t="s">
        <v>1238</v>
      </c>
      <c r="O695" s="142" t="s">
        <v>1239</v>
      </c>
      <c r="P695" s="65"/>
      <c r="Q695" s="65"/>
      <c r="R695" s="65"/>
      <c r="S695" s="142" t="s">
        <v>1240</v>
      </c>
      <c r="T695" s="65"/>
      <c r="U695" s="142" t="s">
        <v>1241</v>
      </c>
      <c r="V695" s="65"/>
      <c r="W695" s="142" t="s">
        <v>1111</v>
      </c>
    </row>
    <row r="696" spans="9:23" ht="12" hidden="1" customHeight="1" outlineLevel="1">
      <c r="I696" s="65"/>
      <c r="J696" s="77" t="s">
        <v>1252</v>
      </c>
      <c r="K696" s="65"/>
      <c r="L696" s="107">
        <f>'Cronog. e Histog.'!$I$861</f>
        <v>4.3499999999999996</v>
      </c>
      <c r="M696" s="107">
        <f>ROUNDUP($M$691/Dashboard!$D$17,0)</f>
        <v>0</v>
      </c>
      <c r="N696" s="78" t="s">
        <v>1246</v>
      </c>
      <c r="O696" s="111"/>
      <c r="P696" s="65"/>
      <c r="Q696" s="65"/>
      <c r="R696" s="65"/>
      <c r="S696" s="110">
        <f>$S$1231/Dashboard!$D$16/44</f>
        <v>14.462809917355372</v>
      </c>
      <c r="T696" s="65"/>
      <c r="U696" s="117">
        <f t="shared" ref="U696:U699" si="776">L696*M696*O696*S696</f>
        <v>0</v>
      </c>
      <c r="V696" s="65"/>
      <c r="W696" s="202"/>
    </row>
    <row r="697" spans="9:23" ht="12" hidden="1" customHeight="1" outlineLevel="1">
      <c r="I697" s="65"/>
      <c r="J697" s="77" t="s">
        <v>1253</v>
      </c>
      <c r="K697" s="65"/>
      <c r="L697" s="107">
        <f>'Cronog. e Histog.'!$I$861</f>
        <v>4.3499999999999996</v>
      </c>
      <c r="M697" s="107">
        <f>ROUNDUP($M$691/Dashboard!$D$17,0)</f>
        <v>0</v>
      </c>
      <c r="N697" s="78" t="s">
        <v>1246</v>
      </c>
      <c r="O697" s="111"/>
      <c r="P697" s="65"/>
      <c r="Q697" s="65"/>
      <c r="R697" s="65"/>
      <c r="S697" s="110">
        <f>$S$1232/Dashboard!$D$16/28</f>
        <v>21.915584415584416</v>
      </c>
      <c r="T697" s="65"/>
      <c r="U697" s="117">
        <f t="shared" si="776"/>
        <v>0</v>
      </c>
      <c r="V697" s="65"/>
      <c r="W697" s="202"/>
    </row>
    <row r="698" spans="9:23" ht="12" hidden="1" customHeight="1" outlineLevel="1">
      <c r="I698" s="65"/>
      <c r="J698" s="77" t="s">
        <v>1254</v>
      </c>
      <c r="K698" s="65"/>
      <c r="L698" s="107">
        <f>'Cronog. e Histog.'!$I$861</f>
        <v>4.3499999999999996</v>
      </c>
      <c r="M698" s="107">
        <f>ROUNDUP($M$691/Dashboard!$D$17,0)</f>
        <v>0</v>
      </c>
      <c r="N698" s="78" t="s">
        <v>1246</v>
      </c>
      <c r="O698" s="111"/>
      <c r="P698" s="65"/>
      <c r="Q698" s="65"/>
      <c r="R698" s="65"/>
      <c r="S698" s="110">
        <f>$S$1233/Dashboard!$D$16/15</f>
        <v>36.363636363636367</v>
      </c>
      <c r="T698" s="65"/>
      <c r="U698" s="117">
        <f t="shared" si="776"/>
        <v>0</v>
      </c>
      <c r="V698" s="65"/>
      <c r="W698" s="202"/>
    </row>
    <row r="699" spans="9:23" ht="12" hidden="1" customHeight="1" outlineLevel="1">
      <c r="I699" s="65"/>
      <c r="J699" s="77" t="s">
        <v>1255</v>
      </c>
      <c r="K699" s="65"/>
      <c r="L699" s="107">
        <f>'Cronog. e Histog.'!$I$861</f>
        <v>4.3499999999999996</v>
      </c>
      <c r="M699" s="107">
        <f>ROUNDUP($M$691/Dashboard!$D$17,0)</f>
        <v>0</v>
      </c>
      <c r="N699" s="78" t="s">
        <v>1246</v>
      </c>
      <c r="O699" s="111"/>
      <c r="P699" s="65"/>
      <c r="Q699" s="65"/>
      <c r="R699" s="65"/>
      <c r="S699" s="110">
        <f>$S$834</f>
        <v>7.8000000000000007</v>
      </c>
      <c r="T699" s="65"/>
      <c r="U699" s="117">
        <f t="shared" si="776"/>
        <v>0</v>
      </c>
      <c r="V699" s="65"/>
      <c r="W699" s="202"/>
    </row>
    <row r="700" spans="9:23" ht="12" hidden="1" customHeight="1" outlineLevel="1"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</row>
    <row r="701" spans="9:23" s="196" customFormat="1" ht="24" customHeight="1" collapsed="1">
      <c r="I701" s="189"/>
      <c r="J701" s="185" t="s">
        <v>38</v>
      </c>
      <c r="K701" s="190"/>
      <c r="L701" s="190"/>
      <c r="M701" s="190"/>
      <c r="N701" s="190"/>
      <c r="O701" s="190"/>
      <c r="P701" s="190"/>
      <c r="Q701" s="190"/>
      <c r="R701" s="190"/>
      <c r="S701" s="191"/>
      <c r="T701" s="192">
        <f>IFERROR(U701/$U$2,0)</f>
        <v>0</v>
      </c>
      <c r="U701" s="193">
        <f>SUM(U703:U813)</f>
        <v>0</v>
      </c>
      <c r="V701" s="190"/>
      <c r="W701" s="194"/>
    </row>
    <row r="702" spans="9:23" ht="12" hidden="1" customHeight="1" outlineLevel="1"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</row>
    <row r="703" spans="9:23" ht="24" hidden="1" customHeight="1" outlineLevel="1">
      <c r="I703" s="65"/>
      <c r="J703" s="142" t="s">
        <v>1259</v>
      </c>
      <c r="K703" s="65"/>
      <c r="L703" s="142" t="s">
        <v>1179</v>
      </c>
      <c r="M703" s="142" t="s">
        <v>1238</v>
      </c>
      <c r="N703" s="142" t="s">
        <v>1260</v>
      </c>
      <c r="O703" s="142" t="s">
        <v>1261</v>
      </c>
      <c r="P703" s="65"/>
      <c r="Q703" s="65"/>
      <c r="R703" s="65"/>
      <c r="S703" s="142" t="s">
        <v>1240</v>
      </c>
      <c r="T703" s="65"/>
      <c r="U703" s="142" t="s">
        <v>1241</v>
      </c>
      <c r="V703" s="65"/>
      <c r="W703" s="142" t="s">
        <v>1111</v>
      </c>
    </row>
    <row r="704" spans="9:23" ht="12" hidden="1" customHeight="1" outlineLevel="1">
      <c r="I704" s="65"/>
      <c r="J704" s="77" t="s">
        <v>1262</v>
      </c>
      <c r="K704" s="65"/>
      <c r="L704" s="107"/>
      <c r="M704" s="78" t="s">
        <v>1246</v>
      </c>
      <c r="N704" s="107">
        <f>Dashboard!$D$14</f>
        <v>10</v>
      </c>
      <c r="O704" s="78" t="s">
        <v>1263</v>
      </c>
      <c r="P704" s="65"/>
      <c r="Q704" s="65"/>
      <c r="R704" s="65"/>
      <c r="S704" s="110"/>
      <c r="T704" s="65"/>
      <c r="U704" s="117">
        <f>L704*N704*S704</f>
        <v>0</v>
      </c>
      <c r="V704" s="65"/>
      <c r="W704" s="202"/>
    </row>
    <row r="705" spans="9:23" ht="12" hidden="1" customHeight="1" outlineLevel="1">
      <c r="I705" s="65"/>
      <c r="J705" s="77" t="s">
        <v>1264</v>
      </c>
      <c r="K705" s="65"/>
      <c r="L705" s="107"/>
      <c r="M705" s="78" t="s">
        <v>1246</v>
      </c>
      <c r="N705" s="107">
        <f>Dashboard!$D$14</f>
        <v>10</v>
      </c>
      <c r="O705" s="78" t="s">
        <v>1263</v>
      </c>
      <c r="P705" s="65"/>
      <c r="Q705" s="65"/>
      <c r="R705" s="65"/>
      <c r="S705" s="110"/>
      <c r="T705" s="65"/>
      <c r="U705" s="117">
        <f t="shared" ref="U705:U714" si="777">L705*N705*S705</f>
        <v>0</v>
      </c>
      <c r="V705" s="65"/>
      <c r="W705" s="202"/>
    </row>
    <row r="706" spans="9:23" ht="12" hidden="1" customHeight="1" outlineLevel="1">
      <c r="I706" s="65"/>
      <c r="J706" s="77" t="s">
        <v>1265</v>
      </c>
      <c r="K706" s="65"/>
      <c r="L706" s="107"/>
      <c r="M706" s="78" t="s">
        <v>1246</v>
      </c>
      <c r="N706" s="107">
        <f>Dashboard!$D$14</f>
        <v>10</v>
      </c>
      <c r="O706" s="78" t="s">
        <v>1263</v>
      </c>
      <c r="P706" s="65"/>
      <c r="Q706" s="65"/>
      <c r="R706" s="65"/>
      <c r="S706" s="110"/>
      <c r="T706" s="65"/>
      <c r="U706" s="117">
        <f t="shared" si="777"/>
        <v>0</v>
      </c>
      <c r="V706" s="65"/>
      <c r="W706" s="202"/>
    </row>
    <row r="707" spans="9:23" ht="12" hidden="1" customHeight="1" outlineLevel="1">
      <c r="I707" s="65"/>
      <c r="J707" s="77" t="s">
        <v>1266</v>
      </c>
      <c r="K707" s="65"/>
      <c r="L707" s="107"/>
      <c r="M707" s="78" t="s">
        <v>1246</v>
      </c>
      <c r="N707" s="107">
        <f>Dashboard!$D$14</f>
        <v>10</v>
      </c>
      <c r="O707" s="78" t="s">
        <v>1263</v>
      </c>
      <c r="P707" s="65"/>
      <c r="Q707" s="65"/>
      <c r="R707" s="65"/>
      <c r="S707" s="110"/>
      <c r="T707" s="65"/>
      <c r="U707" s="117">
        <f t="shared" si="777"/>
        <v>0</v>
      </c>
      <c r="V707" s="65"/>
      <c r="W707" s="202"/>
    </row>
    <row r="708" spans="9:23" ht="12" hidden="1" customHeight="1" outlineLevel="1">
      <c r="I708" s="65"/>
      <c r="J708" s="77" t="s">
        <v>1267</v>
      </c>
      <c r="K708" s="65"/>
      <c r="L708" s="107"/>
      <c r="M708" s="78" t="s">
        <v>1268</v>
      </c>
      <c r="N708" s="107">
        <v>1</v>
      </c>
      <c r="O708" s="78" t="s">
        <v>1269</v>
      </c>
      <c r="P708" s="65"/>
      <c r="Q708" s="65"/>
      <c r="R708" s="65"/>
      <c r="S708" s="110"/>
      <c r="T708" s="65"/>
      <c r="U708" s="117">
        <f t="shared" si="777"/>
        <v>0</v>
      </c>
      <c r="V708" s="65"/>
      <c r="W708" s="202"/>
    </row>
    <row r="709" spans="9:23" ht="12" hidden="1" customHeight="1" outlineLevel="1">
      <c r="I709" s="65"/>
      <c r="J709" s="77" t="s">
        <v>1270</v>
      </c>
      <c r="K709" s="65"/>
      <c r="L709" s="107"/>
      <c r="M709" s="78" t="s">
        <v>1268</v>
      </c>
      <c r="N709" s="107">
        <v>1</v>
      </c>
      <c r="O709" s="78" t="s">
        <v>1269</v>
      </c>
      <c r="P709" s="65"/>
      <c r="Q709" s="65"/>
      <c r="R709" s="65"/>
      <c r="S709" s="110"/>
      <c r="T709" s="65"/>
      <c r="U709" s="117">
        <f t="shared" si="777"/>
        <v>0</v>
      </c>
      <c r="V709" s="65"/>
      <c r="W709" s="202"/>
    </row>
    <row r="710" spans="9:23" ht="12" hidden="1" customHeight="1" outlineLevel="1">
      <c r="I710" s="65"/>
      <c r="J710" s="77" t="s">
        <v>1271</v>
      </c>
      <c r="K710" s="65"/>
      <c r="L710" s="107"/>
      <c r="M710" s="78" t="s">
        <v>1268</v>
      </c>
      <c r="N710" s="107">
        <v>1</v>
      </c>
      <c r="O710" s="78" t="s">
        <v>1269</v>
      </c>
      <c r="P710" s="65"/>
      <c r="Q710" s="65"/>
      <c r="R710" s="65"/>
      <c r="S710" s="110"/>
      <c r="T710" s="65"/>
      <c r="U710" s="117">
        <f t="shared" si="777"/>
        <v>0</v>
      </c>
      <c r="V710" s="65"/>
      <c r="W710" s="202"/>
    </row>
    <row r="711" spans="9:23" ht="12" hidden="1" customHeight="1" outlineLevel="1">
      <c r="I711" s="65"/>
      <c r="J711" s="77" t="s">
        <v>1272</v>
      </c>
      <c r="K711" s="65"/>
      <c r="L711" s="107"/>
      <c r="M711" s="78" t="s">
        <v>1268</v>
      </c>
      <c r="N711" s="107">
        <v>1</v>
      </c>
      <c r="O711" s="78" t="s">
        <v>1269</v>
      </c>
      <c r="P711" s="65"/>
      <c r="Q711" s="65"/>
      <c r="R711" s="65"/>
      <c r="S711" s="110"/>
      <c r="T711" s="65"/>
      <c r="U711" s="117">
        <f t="shared" si="777"/>
        <v>0</v>
      </c>
      <c r="V711" s="65"/>
      <c r="W711" s="202"/>
    </row>
    <row r="712" spans="9:23" ht="12" hidden="1" customHeight="1" outlineLevel="1">
      <c r="I712" s="65"/>
      <c r="J712" s="77" t="s">
        <v>1273</v>
      </c>
      <c r="K712" s="65"/>
      <c r="L712" s="107"/>
      <c r="M712" s="78" t="s">
        <v>1268</v>
      </c>
      <c r="N712" s="107">
        <v>1</v>
      </c>
      <c r="O712" s="78" t="s">
        <v>1269</v>
      </c>
      <c r="P712" s="65"/>
      <c r="Q712" s="65"/>
      <c r="R712" s="65"/>
      <c r="S712" s="110"/>
      <c r="T712" s="65"/>
      <c r="U712" s="117">
        <f t="shared" si="777"/>
        <v>0</v>
      </c>
      <c r="V712" s="65"/>
      <c r="W712" s="202"/>
    </row>
    <row r="713" spans="9:23" ht="12" hidden="1" customHeight="1" outlineLevel="1">
      <c r="I713" s="65"/>
      <c r="J713" s="77" t="s">
        <v>1274</v>
      </c>
      <c r="K713" s="65"/>
      <c r="L713" s="107"/>
      <c r="M713" s="78" t="s">
        <v>1268</v>
      </c>
      <c r="N713" s="107">
        <v>1</v>
      </c>
      <c r="O713" s="78" t="s">
        <v>1269</v>
      </c>
      <c r="P713" s="65"/>
      <c r="Q713" s="65"/>
      <c r="R713" s="65"/>
      <c r="S713" s="110"/>
      <c r="T713" s="65"/>
      <c r="U713" s="117">
        <f t="shared" si="777"/>
        <v>0</v>
      </c>
      <c r="V713" s="65"/>
      <c r="W713" s="202"/>
    </row>
    <row r="714" spans="9:23" ht="12" hidden="1" customHeight="1" outlineLevel="1">
      <c r="I714" s="65"/>
      <c r="J714" s="77"/>
      <c r="K714" s="65"/>
      <c r="L714" s="107"/>
      <c r="M714" s="78" t="s">
        <v>1268</v>
      </c>
      <c r="N714" s="107">
        <v>1</v>
      </c>
      <c r="O714" s="78" t="s">
        <v>1269</v>
      </c>
      <c r="P714" s="65"/>
      <c r="Q714" s="65"/>
      <c r="R714" s="65"/>
      <c r="S714" s="110"/>
      <c r="T714" s="65"/>
      <c r="U714" s="117">
        <f t="shared" si="777"/>
        <v>0</v>
      </c>
      <c r="V714" s="65"/>
      <c r="W714" s="202"/>
    </row>
    <row r="715" spans="9:23" ht="12" hidden="1" customHeight="1" outlineLevel="1"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</row>
    <row r="716" spans="9:23" ht="24" hidden="1" customHeight="1" outlineLevel="1">
      <c r="I716" s="65"/>
      <c r="J716" s="142" t="s">
        <v>1275</v>
      </c>
      <c r="K716" s="65"/>
      <c r="L716" s="142" t="s">
        <v>1179</v>
      </c>
      <c r="M716" s="142" t="s">
        <v>1238</v>
      </c>
      <c r="N716" s="142" t="s">
        <v>1260</v>
      </c>
      <c r="O716" s="142" t="s">
        <v>1261</v>
      </c>
      <c r="P716" s="65"/>
      <c r="Q716" s="65"/>
      <c r="R716" s="65"/>
      <c r="S716" s="142" t="s">
        <v>1240</v>
      </c>
      <c r="T716" s="65"/>
      <c r="U716" s="142" t="s">
        <v>1241</v>
      </c>
      <c r="V716" s="65"/>
      <c r="W716" s="142" t="s">
        <v>1111</v>
      </c>
    </row>
    <row r="717" spans="9:23" ht="12" hidden="1" customHeight="1" outlineLevel="1">
      <c r="I717" s="65"/>
      <c r="J717" s="77" t="s">
        <v>1276</v>
      </c>
      <c r="K717" s="65"/>
      <c r="L717" s="107"/>
      <c r="M717" s="78" t="s">
        <v>1246</v>
      </c>
      <c r="N717" s="107">
        <f>Dashboard!$D$14</f>
        <v>10</v>
      </c>
      <c r="O717" s="78" t="s">
        <v>1263</v>
      </c>
      <c r="P717" s="65"/>
      <c r="Q717" s="65"/>
      <c r="R717" s="65"/>
      <c r="S717" s="110"/>
      <c r="T717" s="65"/>
      <c r="U717" s="117">
        <f>L717*N717*S717</f>
        <v>0</v>
      </c>
      <c r="V717" s="65"/>
      <c r="W717" s="202"/>
    </row>
    <row r="718" spans="9:23" ht="12" hidden="1" customHeight="1" outlineLevel="1">
      <c r="I718" s="65"/>
      <c r="J718" s="77" t="s">
        <v>1277</v>
      </c>
      <c r="K718" s="65"/>
      <c r="L718" s="107"/>
      <c r="M718" s="78" t="s">
        <v>1246</v>
      </c>
      <c r="N718" s="107">
        <f>Dashboard!$D$14</f>
        <v>10</v>
      </c>
      <c r="O718" s="78" t="s">
        <v>1263</v>
      </c>
      <c r="P718" s="65"/>
      <c r="Q718" s="65"/>
      <c r="R718" s="65"/>
      <c r="S718" s="110"/>
      <c r="T718" s="65"/>
      <c r="U718" s="117">
        <f t="shared" ref="U718:U727" si="778">L718*N718*S718</f>
        <v>0</v>
      </c>
      <c r="V718" s="65"/>
      <c r="W718" s="202"/>
    </row>
    <row r="719" spans="9:23" ht="12" hidden="1" customHeight="1" outlineLevel="1">
      <c r="I719" s="65"/>
      <c r="J719" s="77" t="s">
        <v>1278</v>
      </c>
      <c r="K719" s="65"/>
      <c r="L719" s="107"/>
      <c r="M719" s="78" t="s">
        <v>1246</v>
      </c>
      <c r="N719" s="107">
        <f>Dashboard!$D$14</f>
        <v>10</v>
      </c>
      <c r="O719" s="78" t="s">
        <v>1263</v>
      </c>
      <c r="P719" s="65"/>
      <c r="Q719" s="65"/>
      <c r="R719" s="65"/>
      <c r="S719" s="110"/>
      <c r="T719" s="65"/>
      <c r="U719" s="117">
        <f t="shared" si="778"/>
        <v>0</v>
      </c>
      <c r="V719" s="65"/>
      <c r="W719" s="202"/>
    </row>
    <row r="720" spans="9:23" ht="12" hidden="1" customHeight="1" outlineLevel="1">
      <c r="I720" s="65"/>
      <c r="J720" s="77" t="s">
        <v>1279</v>
      </c>
      <c r="K720" s="65"/>
      <c r="L720" s="107"/>
      <c r="M720" s="78" t="s">
        <v>1246</v>
      </c>
      <c r="N720" s="107">
        <f>Dashboard!$D$14</f>
        <v>10</v>
      </c>
      <c r="O720" s="78" t="s">
        <v>1263</v>
      </c>
      <c r="P720" s="65"/>
      <c r="Q720" s="65"/>
      <c r="R720" s="65"/>
      <c r="S720" s="110"/>
      <c r="T720" s="65"/>
      <c r="U720" s="117">
        <f t="shared" si="778"/>
        <v>0</v>
      </c>
      <c r="V720" s="65"/>
      <c r="W720" s="202"/>
    </row>
    <row r="721" spans="9:23" ht="12" hidden="1" customHeight="1" outlineLevel="1">
      <c r="I721" s="65"/>
      <c r="J721" s="77" t="s">
        <v>1267</v>
      </c>
      <c r="K721" s="65"/>
      <c r="L721" s="107"/>
      <c r="M721" s="78" t="s">
        <v>1268</v>
      </c>
      <c r="N721" s="107">
        <v>1</v>
      </c>
      <c r="O721" s="78" t="s">
        <v>1269</v>
      </c>
      <c r="P721" s="65"/>
      <c r="Q721" s="65"/>
      <c r="R721" s="65"/>
      <c r="S721" s="110"/>
      <c r="T721" s="65"/>
      <c r="U721" s="117">
        <f t="shared" si="778"/>
        <v>0</v>
      </c>
      <c r="V721" s="65"/>
      <c r="W721" s="202"/>
    </row>
    <row r="722" spans="9:23" ht="12" hidden="1" customHeight="1" outlineLevel="1">
      <c r="I722" s="65"/>
      <c r="J722" s="77" t="s">
        <v>1270</v>
      </c>
      <c r="K722" s="65"/>
      <c r="L722" s="107"/>
      <c r="M722" s="78" t="s">
        <v>1268</v>
      </c>
      <c r="N722" s="107">
        <v>1</v>
      </c>
      <c r="O722" s="78" t="s">
        <v>1269</v>
      </c>
      <c r="P722" s="65"/>
      <c r="Q722" s="65"/>
      <c r="R722" s="65"/>
      <c r="S722" s="110"/>
      <c r="T722" s="65"/>
      <c r="U722" s="117">
        <f t="shared" si="778"/>
        <v>0</v>
      </c>
      <c r="V722" s="65"/>
      <c r="W722" s="202"/>
    </row>
    <row r="723" spans="9:23" ht="12" hidden="1" customHeight="1" outlineLevel="1">
      <c r="I723" s="65"/>
      <c r="J723" s="77" t="s">
        <v>1271</v>
      </c>
      <c r="K723" s="65"/>
      <c r="L723" s="107"/>
      <c r="M723" s="78" t="s">
        <v>1268</v>
      </c>
      <c r="N723" s="107">
        <v>1</v>
      </c>
      <c r="O723" s="78" t="s">
        <v>1269</v>
      </c>
      <c r="P723" s="65"/>
      <c r="Q723" s="65"/>
      <c r="R723" s="65"/>
      <c r="S723" s="110"/>
      <c r="T723" s="65"/>
      <c r="U723" s="117">
        <f t="shared" si="778"/>
        <v>0</v>
      </c>
      <c r="V723" s="65"/>
      <c r="W723" s="202"/>
    </row>
    <row r="724" spans="9:23" ht="12" hidden="1" customHeight="1" outlineLevel="1">
      <c r="I724" s="65"/>
      <c r="J724" s="77" t="s">
        <v>1272</v>
      </c>
      <c r="K724" s="65"/>
      <c r="L724" s="107"/>
      <c r="M724" s="78" t="s">
        <v>1268</v>
      </c>
      <c r="N724" s="107">
        <v>1</v>
      </c>
      <c r="O724" s="78" t="s">
        <v>1269</v>
      </c>
      <c r="P724" s="65"/>
      <c r="Q724" s="65"/>
      <c r="R724" s="65"/>
      <c r="S724" s="110"/>
      <c r="T724" s="65"/>
      <c r="U724" s="117">
        <f t="shared" si="778"/>
        <v>0</v>
      </c>
      <c r="V724" s="65"/>
      <c r="W724" s="202"/>
    </row>
    <row r="725" spans="9:23" ht="12" hidden="1" customHeight="1" outlineLevel="1">
      <c r="I725" s="65"/>
      <c r="J725" s="77" t="s">
        <v>1273</v>
      </c>
      <c r="K725" s="65"/>
      <c r="L725" s="107"/>
      <c r="M725" s="78" t="s">
        <v>1268</v>
      </c>
      <c r="N725" s="107">
        <v>1</v>
      </c>
      <c r="O725" s="78" t="s">
        <v>1269</v>
      </c>
      <c r="P725" s="65"/>
      <c r="Q725" s="65"/>
      <c r="R725" s="65"/>
      <c r="S725" s="110"/>
      <c r="T725" s="65"/>
      <c r="U725" s="117">
        <f t="shared" si="778"/>
        <v>0</v>
      </c>
      <c r="V725" s="65"/>
      <c r="W725" s="202"/>
    </row>
    <row r="726" spans="9:23" ht="12" hidden="1" customHeight="1" outlineLevel="1">
      <c r="I726" s="65"/>
      <c r="J726" s="77" t="s">
        <v>1274</v>
      </c>
      <c r="K726" s="65"/>
      <c r="L726" s="107"/>
      <c r="M726" s="78" t="s">
        <v>1268</v>
      </c>
      <c r="N726" s="107">
        <v>1</v>
      </c>
      <c r="O726" s="78" t="s">
        <v>1269</v>
      </c>
      <c r="P726" s="65"/>
      <c r="Q726" s="65"/>
      <c r="R726" s="65"/>
      <c r="S726" s="110"/>
      <c r="T726" s="65"/>
      <c r="U726" s="117">
        <f t="shared" si="778"/>
        <v>0</v>
      </c>
      <c r="V726" s="65"/>
      <c r="W726" s="202"/>
    </row>
    <row r="727" spans="9:23" ht="12" hidden="1" customHeight="1" outlineLevel="1">
      <c r="I727" s="65"/>
      <c r="J727" s="77"/>
      <c r="K727" s="65"/>
      <c r="L727" s="107"/>
      <c r="M727" s="78" t="s">
        <v>1268</v>
      </c>
      <c r="N727" s="107">
        <v>1</v>
      </c>
      <c r="O727" s="78" t="s">
        <v>1269</v>
      </c>
      <c r="P727" s="65"/>
      <c r="Q727" s="65"/>
      <c r="R727" s="65"/>
      <c r="S727" s="110"/>
      <c r="T727" s="65"/>
      <c r="U727" s="117">
        <f t="shared" si="778"/>
        <v>0</v>
      </c>
      <c r="V727" s="65"/>
      <c r="W727" s="202"/>
    </row>
    <row r="728" spans="9:23" ht="12" hidden="1" customHeight="1" outlineLevel="1"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</row>
    <row r="729" spans="9:23" ht="24" hidden="1" customHeight="1" outlineLevel="1">
      <c r="I729" s="65"/>
      <c r="J729" s="142" t="s">
        <v>1280</v>
      </c>
      <c r="K729" s="65"/>
      <c r="L729" s="142" t="s">
        <v>1179</v>
      </c>
      <c r="M729" s="142" t="s">
        <v>1238</v>
      </c>
      <c r="N729" s="142" t="s">
        <v>1260</v>
      </c>
      <c r="O729" s="142" t="s">
        <v>1261</v>
      </c>
      <c r="P729" s="65"/>
      <c r="Q729" s="65"/>
      <c r="R729" s="65"/>
      <c r="S729" s="142" t="s">
        <v>1240</v>
      </c>
      <c r="T729" s="65"/>
      <c r="U729" s="142" t="s">
        <v>1241</v>
      </c>
      <c r="V729" s="65"/>
      <c r="W729" s="142" t="s">
        <v>1111</v>
      </c>
    </row>
    <row r="730" spans="9:23" ht="12" hidden="1" customHeight="1" outlineLevel="1">
      <c r="I730" s="65"/>
      <c r="J730" s="77" t="s">
        <v>1281</v>
      </c>
      <c r="K730" s="65"/>
      <c r="L730" s="107">
        <f>0.015*'Cronog. e Histog.'!$I$861</f>
        <v>6.5249999999999989E-2</v>
      </c>
      <c r="M730" s="78" t="s">
        <v>1282</v>
      </c>
      <c r="N730" s="107"/>
      <c r="O730" s="78" t="s">
        <v>1269</v>
      </c>
      <c r="P730" s="65"/>
      <c r="Q730" s="65"/>
      <c r="R730" s="65"/>
      <c r="S730" s="110">
        <v>1440.7</v>
      </c>
      <c r="T730" s="65"/>
      <c r="U730" s="117">
        <f>L730*N730*S730</f>
        <v>0</v>
      </c>
      <c r="V730" s="65"/>
      <c r="W730" s="202"/>
    </row>
    <row r="731" spans="9:23" ht="12" hidden="1" customHeight="1" outlineLevel="1">
      <c r="I731" s="65"/>
      <c r="J731" s="77" t="s">
        <v>1283</v>
      </c>
      <c r="K731" s="65"/>
      <c r="L731" s="107">
        <f>0.18*'Cronog. e Histog.'!$I$861</f>
        <v>0.78299999999999992</v>
      </c>
      <c r="M731" s="78" t="s">
        <v>1282</v>
      </c>
      <c r="N731" s="107"/>
      <c r="O731" s="78" t="s">
        <v>1269</v>
      </c>
      <c r="P731" s="65"/>
      <c r="Q731" s="65"/>
      <c r="R731" s="65"/>
      <c r="S731" s="110">
        <v>1287.01</v>
      </c>
      <c r="T731" s="65"/>
      <c r="U731" s="117">
        <f t="shared" ref="U731:U744" si="779">L731*N731*S731</f>
        <v>0</v>
      </c>
      <c r="V731" s="65"/>
      <c r="W731" s="202"/>
    </row>
    <row r="732" spans="9:23" ht="12" hidden="1" customHeight="1" outlineLevel="1">
      <c r="I732" s="65"/>
      <c r="J732" s="77" t="s">
        <v>1284</v>
      </c>
      <c r="K732" s="65"/>
      <c r="L732" s="107">
        <f>0.19*'Cronog. e Histog.'!$I$861</f>
        <v>0.8264999999999999</v>
      </c>
      <c r="M732" s="78" t="s">
        <v>1282</v>
      </c>
      <c r="N732" s="107"/>
      <c r="O732" s="78" t="s">
        <v>1269</v>
      </c>
      <c r="P732" s="65"/>
      <c r="Q732" s="65"/>
      <c r="R732" s="65"/>
      <c r="S732" s="110">
        <v>988.99</v>
      </c>
      <c r="T732" s="65"/>
      <c r="U732" s="117">
        <f t="shared" si="779"/>
        <v>0</v>
      </c>
      <c r="V732" s="65"/>
      <c r="W732" s="202"/>
    </row>
    <row r="733" spans="9:23" ht="12" hidden="1" customHeight="1" outlineLevel="1">
      <c r="I733" s="65"/>
      <c r="J733" s="77" t="s">
        <v>1285</v>
      </c>
      <c r="K733" s="65"/>
      <c r="L733" s="107">
        <f>0.58*'Cronog. e Histog.'!$I$861</f>
        <v>2.5229999999999997</v>
      </c>
      <c r="M733" s="78" t="s">
        <v>1282</v>
      </c>
      <c r="N733" s="107"/>
      <c r="O733" s="78" t="s">
        <v>1269</v>
      </c>
      <c r="P733" s="65"/>
      <c r="Q733" s="65"/>
      <c r="R733" s="65"/>
      <c r="S733" s="110">
        <v>988.99</v>
      </c>
      <c r="T733" s="65"/>
      <c r="U733" s="117">
        <f t="shared" ref="U733:U740" si="780">L733*N733*S733</f>
        <v>0</v>
      </c>
      <c r="V733" s="65"/>
      <c r="W733" s="202"/>
    </row>
    <row r="734" spans="9:23" ht="12" hidden="1" customHeight="1" outlineLevel="1">
      <c r="I734" s="65"/>
      <c r="J734" s="77" t="s">
        <v>1286</v>
      </c>
      <c r="K734" s="65"/>
      <c r="L734" s="107">
        <f>0.46*'Cronog. e Histog.'!$I$861</f>
        <v>2.0009999999999999</v>
      </c>
      <c r="M734" s="78" t="s">
        <v>1282</v>
      </c>
      <c r="N734" s="107"/>
      <c r="O734" s="78" t="s">
        <v>1269</v>
      </c>
      <c r="P734" s="65"/>
      <c r="Q734" s="65"/>
      <c r="R734" s="65"/>
      <c r="S734" s="110">
        <v>830.35</v>
      </c>
      <c r="T734" s="65"/>
      <c r="U734" s="117">
        <f t="shared" si="780"/>
        <v>0</v>
      </c>
      <c r="V734" s="65"/>
      <c r="W734" s="202"/>
    </row>
    <row r="735" spans="9:23" ht="12" hidden="1" customHeight="1" outlineLevel="1">
      <c r="I735" s="65"/>
      <c r="J735" s="77" t="s">
        <v>1287</v>
      </c>
      <c r="K735" s="65"/>
      <c r="L735" s="107">
        <f>0.1*'Cronog. e Histog.'!$I$861</f>
        <v>0.435</v>
      </c>
      <c r="M735" s="78" t="s">
        <v>1282</v>
      </c>
      <c r="N735" s="107"/>
      <c r="O735" s="78" t="s">
        <v>1269</v>
      </c>
      <c r="P735" s="65"/>
      <c r="Q735" s="65"/>
      <c r="R735" s="65"/>
      <c r="S735" s="110">
        <v>1287.01</v>
      </c>
      <c r="T735" s="65"/>
      <c r="U735" s="117">
        <f t="shared" si="780"/>
        <v>0</v>
      </c>
      <c r="V735" s="65"/>
      <c r="W735" s="202"/>
    </row>
    <row r="736" spans="9:23" ht="12" hidden="1" customHeight="1" outlineLevel="1">
      <c r="I736" s="65"/>
      <c r="J736" s="77" t="s">
        <v>1288</v>
      </c>
      <c r="K736" s="65"/>
      <c r="L736" s="107">
        <f>0.29*'Cronog. e Histog.'!$I$861</f>
        <v>1.2614999999999998</v>
      </c>
      <c r="M736" s="78" t="s">
        <v>1282</v>
      </c>
      <c r="N736" s="107"/>
      <c r="O736" s="78" t="s">
        <v>1269</v>
      </c>
      <c r="P736" s="65"/>
      <c r="Q736" s="65"/>
      <c r="R736" s="65"/>
      <c r="S736" s="110">
        <v>1287.01</v>
      </c>
      <c r="T736" s="65"/>
      <c r="U736" s="117">
        <f t="shared" si="780"/>
        <v>0</v>
      </c>
      <c r="V736" s="65"/>
      <c r="W736" s="202"/>
    </row>
    <row r="737" spans="9:23" ht="12" hidden="1" customHeight="1" outlineLevel="1">
      <c r="I737" s="65"/>
      <c r="J737" s="77" t="s">
        <v>1289</v>
      </c>
      <c r="K737" s="65"/>
      <c r="L737" s="107">
        <f>5.68*'Cronog. e Histog.'!$I$861</f>
        <v>24.707999999999998</v>
      </c>
      <c r="M737" s="78" t="s">
        <v>1282</v>
      </c>
      <c r="N737" s="107"/>
      <c r="O737" s="78" t="s">
        <v>1269</v>
      </c>
      <c r="P737" s="65"/>
      <c r="Q737" s="65"/>
      <c r="R737" s="65"/>
      <c r="S737" s="110">
        <v>1314.2</v>
      </c>
      <c r="T737" s="65"/>
      <c r="U737" s="117">
        <f t="shared" si="780"/>
        <v>0</v>
      </c>
      <c r="V737" s="65"/>
      <c r="W737" s="202"/>
    </row>
    <row r="738" spans="9:23" ht="12" hidden="1" customHeight="1" outlineLevel="1">
      <c r="I738" s="65"/>
      <c r="J738" s="77" t="s">
        <v>1290</v>
      </c>
      <c r="K738" s="65"/>
      <c r="L738" s="107">
        <f>0.13*'Cronog. e Histog.'!$I$861</f>
        <v>0.5655</v>
      </c>
      <c r="M738" s="78" t="s">
        <v>1282</v>
      </c>
      <c r="N738" s="107"/>
      <c r="O738" s="78" t="s">
        <v>1269</v>
      </c>
      <c r="P738" s="65"/>
      <c r="Q738" s="65"/>
      <c r="R738" s="65"/>
      <c r="S738" s="110">
        <v>1287.01</v>
      </c>
      <c r="T738" s="65"/>
      <c r="U738" s="117">
        <f t="shared" si="780"/>
        <v>0</v>
      </c>
      <c r="V738" s="65"/>
      <c r="W738" s="202"/>
    </row>
    <row r="739" spans="9:23" ht="12" hidden="1" customHeight="1" outlineLevel="1">
      <c r="I739" s="65"/>
      <c r="J739" s="77" t="s">
        <v>1291</v>
      </c>
      <c r="K739" s="65"/>
      <c r="L739" s="107">
        <f>ROUNDUP('Cronog. e Histog.'!$I$861/500,0)</f>
        <v>1</v>
      </c>
      <c r="M739" s="78" t="s">
        <v>1268</v>
      </c>
      <c r="N739" s="107"/>
      <c r="O739" s="78" t="s">
        <v>1269</v>
      </c>
      <c r="P739" s="65"/>
      <c r="Q739" s="65"/>
      <c r="R739" s="65"/>
      <c r="S739" s="110">
        <v>26056.34</v>
      </c>
      <c r="T739" s="65"/>
      <c r="U739" s="117">
        <f t="shared" si="780"/>
        <v>0</v>
      </c>
      <c r="V739" s="65"/>
      <c r="W739" s="202"/>
    </row>
    <row r="740" spans="9:23" ht="12" hidden="1" customHeight="1" outlineLevel="1">
      <c r="I740" s="65"/>
      <c r="J740" s="77" t="s">
        <v>1292</v>
      </c>
      <c r="K740" s="65"/>
      <c r="L740" s="107">
        <f>ROUNDUP(('Cronog. e Histog.'!I691+'Cronog. e Histog.'!I748)/2,0)</f>
        <v>3</v>
      </c>
      <c r="M740" s="78" t="s">
        <v>1246</v>
      </c>
      <c r="N740" s="107"/>
      <c r="O740" s="78" t="s">
        <v>1293</v>
      </c>
      <c r="P740" s="65"/>
      <c r="Q740" s="65"/>
      <c r="R740" s="65"/>
      <c r="S740" s="110">
        <v>450</v>
      </c>
      <c r="T740" s="65"/>
      <c r="U740" s="117">
        <f t="shared" si="780"/>
        <v>0</v>
      </c>
      <c r="V740" s="65"/>
      <c r="W740" s="202"/>
    </row>
    <row r="741" spans="9:23" ht="12" hidden="1" customHeight="1" outlineLevel="1">
      <c r="I741" s="65"/>
      <c r="J741" s="77" t="s">
        <v>1294</v>
      </c>
      <c r="K741" s="65"/>
      <c r="L741" s="107">
        <f>ROUNDUP('Cronog. e Histog.'!I851,0)</f>
        <v>1</v>
      </c>
      <c r="M741" s="78" t="s">
        <v>1246</v>
      </c>
      <c r="N741" s="107"/>
      <c r="O741" s="78" t="s">
        <v>1293</v>
      </c>
      <c r="P741" s="65"/>
      <c r="Q741" s="65"/>
      <c r="R741" s="65"/>
      <c r="S741" s="110">
        <v>200</v>
      </c>
      <c r="T741" s="65"/>
      <c r="U741" s="117">
        <f t="shared" si="779"/>
        <v>0</v>
      </c>
      <c r="V741" s="65"/>
      <c r="W741" s="202"/>
    </row>
    <row r="742" spans="9:23" ht="12" hidden="1" customHeight="1" outlineLevel="1">
      <c r="I742" s="65"/>
      <c r="J742" s="77" t="s">
        <v>1295</v>
      </c>
      <c r="K742" s="65"/>
      <c r="L742" s="107">
        <f>(L740*2)+L741</f>
        <v>7</v>
      </c>
      <c r="M742" s="78" t="s">
        <v>1246</v>
      </c>
      <c r="N742" s="107"/>
      <c r="O742" s="78" t="s">
        <v>1293</v>
      </c>
      <c r="P742" s="65"/>
      <c r="Q742" s="65"/>
      <c r="R742" s="65"/>
      <c r="S742" s="110">
        <v>670</v>
      </c>
      <c r="T742" s="65"/>
      <c r="U742" s="117">
        <f t="shared" si="779"/>
        <v>0</v>
      </c>
      <c r="V742" s="65"/>
      <c r="W742" s="202"/>
    </row>
    <row r="743" spans="9:23" ht="12" hidden="1" customHeight="1" outlineLevel="1">
      <c r="I743" s="65"/>
      <c r="J743" s="77" t="s">
        <v>1296</v>
      </c>
      <c r="K743" s="65"/>
      <c r="L743" s="107">
        <f>L740+L741</f>
        <v>4</v>
      </c>
      <c r="M743" s="78" t="s">
        <v>1268</v>
      </c>
      <c r="N743" s="107"/>
      <c r="O743" s="78" t="s">
        <v>1269</v>
      </c>
      <c r="P743" s="65"/>
      <c r="Q743" s="65"/>
      <c r="R743" s="65"/>
      <c r="S743" s="110">
        <v>200</v>
      </c>
      <c r="T743" s="65"/>
      <c r="U743" s="117">
        <f t="shared" si="779"/>
        <v>0</v>
      </c>
      <c r="V743" s="65"/>
      <c r="W743" s="202"/>
    </row>
    <row r="744" spans="9:23" ht="12" hidden="1" customHeight="1" outlineLevel="1">
      <c r="I744" s="65"/>
      <c r="J744" s="77"/>
      <c r="K744" s="65"/>
      <c r="L744" s="107"/>
      <c r="M744" s="78"/>
      <c r="N744" s="107"/>
      <c r="O744" s="78"/>
      <c r="P744" s="65"/>
      <c r="Q744" s="65"/>
      <c r="R744" s="65"/>
      <c r="S744" s="110"/>
      <c r="T744" s="65"/>
      <c r="U744" s="117">
        <f t="shared" si="779"/>
        <v>0</v>
      </c>
      <c r="V744" s="65"/>
      <c r="W744" s="202"/>
    </row>
    <row r="745" spans="9:23" ht="12" hidden="1" customHeight="1" outlineLevel="1"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</row>
    <row r="746" spans="9:23" ht="24" hidden="1" customHeight="1" outlineLevel="1">
      <c r="I746" s="65"/>
      <c r="J746" s="142" t="s">
        <v>1297</v>
      </c>
      <c r="K746" s="65"/>
      <c r="L746" s="142" t="s">
        <v>1179</v>
      </c>
      <c r="M746" s="142" t="s">
        <v>1238</v>
      </c>
      <c r="N746" s="142" t="s">
        <v>1260</v>
      </c>
      <c r="O746" s="142" t="s">
        <v>1261</v>
      </c>
      <c r="P746" s="65"/>
      <c r="Q746" s="65"/>
      <c r="R746" s="65"/>
      <c r="S746" s="142" t="s">
        <v>1240</v>
      </c>
      <c r="T746" s="65"/>
      <c r="U746" s="142" t="s">
        <v>1241</v>
      </c>
      <c r="V746" s="65"/>
      <c r="W746" s="142" t="s">
        <v>1111</v>
      </c>
    </row>
    <row r="747" spans="9:23" ht="12" hidden="1" customHeight="1" outlineLevel="1">
      <c r="I747" s="65"/>
      <c r="J747" s="77" t="s">
        <v>1298</v>
      </c>
      <c r="K747" s="65"/>
      <c r="L747" s="107"/>
      <c r="M747" s="78" t="s">
        <v>1246</v>
      </c>
      <c r="N747" s="107">
        <f>Dashboard!$D$14</f>
        <v>10</v>
      </c>
      <c r="O747" s="78" t="s">
        <v>1263</v>
      </c>
      <c r="P747" s="65"/>
      <c r="Q747" s="65"/>
      <c r="R747" s="65"/>
      <c r="S747" s="110">
        <v>600</v>
      </c>
      <c r="T747" s="65"/>
      <c r="U747" s="117">
        <f>L747*N747*S747</f>
        <v>0</v>
      </c>
      <c r="V747" s="65"/>
      <c r="W747" s="202"/>
    </row>
    <row r="748" spans="9:23" ht="12" hidden="1" customHeight="1" outlineLevel="1">
      <c r="I748" s="65"/>
      <c r="J748" s="77" t="s">
        <v>1299</v>
      </c>
      <c r="K748" s="65"/>
      <c r="L748" s="107"/>
      <c r="M748" s="78" t="s">
        <v>1246</v>
      </c>
      <c r="N748" s="107">
        <f>Dashboard!$D$14</f>
        <v>10</v>
      </c>
      <c r="O748" s="78" t="s">
        <v>1263</v>
      </c>
      <c r="P748" s="65"/>
      <c r="Q748" s="65"/>
      <c r="R748" s="65"/>
      <c r="S748" s="110">
        <v>750</v>
      </c>
      <c r="T748" s="65"/>
      <c r="U748" s="117">
        <f t="shared" ref="U748:U789" si="781">L748*N748*S748</f>
        <v>0</v>
      </c>
      <c r="V748" s="65"/>
      <c r="W748" s="202"/>
    </row>
    <row r="749" spans="9:23" ht="12" hidden="1" customHeight="1" outlineLevel="1">
      <c r="I749" s="65"/>
      <c r="J749" s="77" t="s">
        <v>1300</v>
      </c>
      <c r="K749" s="65"/>
      <c r="L749" s="107"/>
      <c r="M749" s="78" t="s">
        <v>1246</v>
      </c>
      <c r="N749" s="107">
        <f>Dashboard!$D$14</f>
        <v>10</v>
      </c>
      <c r="O749" s="78" t="s">
        <v>1263</v>
      </c>
      <c r="P749" s="65"/>
      <c r="Q749" s="65"/>
      <c r="R749" s="65"/>
      <c r="S749" s="110">
        <v>850</v>
      </c>
      <c r="T749" s="65"/>
      <c r="U749" s="117">
        <f t="shared" si="781"/>
        <v>0</v>
      </c>
      <c r="V749" s="65"/>
      <c r="W749" s="202"/>
    </row>
    <row r="750" spans="9:23" ht="12" hidden="1" customHeight="1" outlineLevel="1">
      <c r="I750" s="65"/>
      <c r="J750" s="77" t="s">
        <v>1301</v>
      </c>
      <c r="K750" s="65"/>
      <c r="L750" s="107"/>
      <c r="M750" s="78" t="s">
        <v>1246</v>
      </c>
      <c r="N750" s="107">
        <f>Dashboard!$D$14</f>
        <v>10</v>
      </c>
      <c r="O750" s="78" t="s">
        <v>1263</v>
      </c>
      <c r="P750" s="65"/>
      <c r="Q750" s="65"/>
      <c r="R750" s="65"/>
      <c r="S750" s="110">
        <v>1200</v>
      </c>
      <c r="T750" s="65"/>
      <c r="U750" s="117">
        <f t="shared" si="781"/>
        <v>0</v>
      </c>
      <c r="V750" s="65"/>
      <c r="W750" s="202"/>
    </row>
    <row r="751" spans="9:23" ht="12" hidden="1" customHeight="1" outlineLevel="1">
      <c r="I751" s="65"/>
      <c r="J751" s="77" t="s">
        <v>1302</v>
      </c>
      <c r="K751" s="65"/>
      <c r="L751" s="107"/>
      <c r="M751" s="78" t="s">
        <v>1246</v>
      </c>
      <c r="N751" s="107">
        <f>Dashboard!$D$14</f>
        <v>10</v>
      </c>
      <c r="O751" s="78" t="s">
        <v>1263</v>
      </c>
      <c r="P751" s="65"/>
      <c r="Q751" s="65"/>
      <c r="R751" s="65"/>
      <c r="S751" s="110">
        <v>1200</v>
      </c>
      <c r="T751" s="65"/>
      <c r="U751" s="117">
        <f t="shared" si="781"/>
        <v>0</v>
      </c>
      <c r="V751" s="65"/>
      <c r="W751" s="202"/>
    </row>
    <row r="752" spans="9:23" ht="12" hidden="1" customHeight="1" outlineLevel="1">
      <c r="I752" s="65"/>
      <c r="J752" s="77" t="s">
        <v>1303</v>
      </c>
      <c r="K752" s="65"/>
      <c r="L752" s="107"/>
      <c r="M752" s="78" t="s">
        <v>1246</v>
      </c>
      <c r="N752" s="107">
        <v>1</v>
      </c>
      <c r="O752" s="78" t="s">
        <v>1293</v>
      </c>
      <c r="P752" s="65"/>
      <c r="Q752" s="65"/>
      <c r="R752" s="65"/>
      <c r="S752" s="110">
        <v>11000</v>
      </c>
      <c r="T752" s="65"/>
      <c r="U752" s="117">
        <f t="shared" si="781"/>
        <v>0</v>
      </c>
      <c r="V752" s="65"/>
      <c r="W752" s="202"/>
    </row>
    <row r="753" spans="9:23" ht="12" hidden="1" customHeight="1" outlineLevel="1">
      <c r="I753" s="65"/>
      <c r="J753" s="77" t="s">
        <v>1281</v>
      </c>
      <c r="K753" s="65"/>
      <c r="L753" s="107"/>
      <c r="M753" s="78" t="s">
        <v>1246</v>
      </c>
      <c r="N753" s="107">
        <f>Dashboard!$D$14</f>
        <v>10</v>
      </c>
      <c r="O753" s="78" t="s">
        <v>1263</v>
      </c>
      <c r="P753" s="65"/>
      <c r="Q753" s="65"/>
      <c r="R753" s="65"/>
      <c r="S753" s="110">
        <v>500</v>
      </c>
      <c r="T753" s="65"/>
      <c r="U753" s="117">
        <f>L753*N753*S753</f>
        <v>0</v>
      </c>
      <c r="V753" s="65"/>
      <c r="W753" s="202"/>
    </row>
    <row r="754" spans="9:23" ht="12" hidden="1" customHeight="1" outlineLevel="1">
      <c r="I754" s="65"/>
      <c r="J754" s="77" t="s">
        <v>1304</v>
      </c>
      <c r="K754" s="65"/>
      <c r="L754" s="107"/>
      <c r="M754" s="78" t="s">
        <v>1268</v>
      </c>
      <c r="N754" s="107">
        <v>1</v>
      </c>
      <c r="O754" s="78" t="s">
        <v>1269</v>
      </c>
      <c r="P754" s="65"/>
      <c r="Q754" s="65"/>
      <c r="R754" s="65"/>
      <c r="S754" s="110"/>
      <c r="T754" s="65"/>
      <c r="U754" s="117">
        <f t="shared" ref="U754:U760" si="782">L754*N754*S754</f>
        <v>0</v>
      </c>
      <c r="V754" s="65"/>
      <c r="W754" s="202"/>
    </row>
    <row r="755" spans="9:23" ht="12" hidden="1" customHeight="1" outlineLevel="1">
      <c r="I755" s="65"/>
      <c r="J755" s="77" t="s">
        <v>1305</v>
      </c>
      <c r="K755" s="65"/>
      <c r="L755" s="107"/>
      <c r="M755" s="78" t="s">
        <v>1268</v>
      </c>
      <c r="N755" s="107">
        <v>1</v>
      </c>
      <c r="O755" s="78" t="s">
        <v>1269</v>
      </c>
      <c r="P755" s="65"/>
      <c r="Q755" s="65"/>
      <c r="R755" s="65"/>
      <c r="S755" s="110"/>
      <c r="T755" s="65"/>
      <c r="U755" s="117">
        <f t="shared" si="782"/>
        <v>0</v>
      </c>
      <c r="V755" s="65"/>
      <c r="W755" s="202"/>
    </row>
    <row r="756" spans="9:23" ht="12" hidden="1" customHeight="1" outlineLevel="1">
      <c r="I756" s="65"/>
      <c r="J756" s="77" t="s">
        <v>1306</v>
      </c>
      <c r="K756" s="65"/>
      <c r="L756" s="107"/>
      <c r="M756" s="78" t="s">
        <v>1268</v>
      </c>
      <c r="N756" s="107">
        <v>1</v>
      </c>
      <c r="O756" s="78" t="s">
        <v>1269</v>
      </c>
      <c r="P756" s="65"/>
      <c r="Q756" s="65"/>
      <c r="R756" s="65"/>
      <c r="S756" s="110"/>
      <c r="T756" s="65"/>
      <c r="U756" s="117">
        <f t="shared" si="782"/>
        <v>0</v>
      </c>
      <c r="V756" s="65"/>
      <c r="W756" s="202"/>
    </row>
    <row r="757" spans="9:23" ht="12" hidden="1" customHeight="1" outlineLevel="1">
      <c r="I757" s="65"/>
      <c r="J757" s="77" t="s">
        <v>1307</v>
      </c>
      <c r="K757" s="65"/>
      <c r="L757" s="107"/>
      <c r="M757" s="78" t="s">
        <v>1268</v>
      </c>
      <c r="N757" s="107">
        <v>1</v>
      </c>
      <c r="O757" s="78" t="s">
        <v>1269</v>
      </c>
      <c r="P757" s="65"/>
      <c r="Q757" s="65"/>
      <c r="R757" s="65"/>
      <c r="S757" s="110"/>
      <c r="T757" s="65"/>
      <c r="U757" s="117">
        <f t="shared" si="782"/>
        <v>0</v>
      </c>
      <c r="V757" s="65"/>
      <c r="W757" s="202"/>
    </row>
    <row r="758" spans="9:23" ht="12" hidden="1" customHeight="1" outlineLevel="1">
      <c r="I758" s="65"/>
      <c r="J758" s="77" t="s">
        <v>1308</v>
      </c>
      <c r="K758" s="65"/>
      <c r="L758" s="107"/>
      <c r="M758" s="78" t="s">
        <v>1268</v>
      </c>
      <c r="N758" s="107">
        <v>1</v>
      </c>
      <c r="O758" s="78" t="s">
        <v>1269</v>
      </c>
      <c r="P758" s="65"/>
      <c r="Q758" s="65"/>
      <c r="R758" s="65"/>
      <c r="S758" s="110"/>
      <c r="T758" s="65"/>
      <c r="U758" s="117">
        <f t="shared" si="782"/>
        <v>0</v>
      </c>
      <c r="V758" s="65"/>
      <c r="W758" s="202"/>
    </row>
    <row r="759" spans="9:23" ht="12" hidden="1" customHeight="1" outlineLevel="1">
      <c r="I759" s="65"/>
      <c r="J759" s="77" t="s">
        <v>1309</v>
      </c>
      <c r="K759" s="65"/>
      <c r="L759" s="107"/>
      <c r="M759" s="78" t="s">
        <v>1268</v>
      </c>
      <c r="N759" s="107">
        <v>1</v>
      </c>
      <c r="O759" s="78" t="s">
        <v>1269</v>
      </c>
      <c r="P759" s="65"/>
      <c r="Q759" s="65"/>
      <c r="R759" s="65"/>
      <c r="S759" s="110"/>
      <c r="T759" s="65"/>
      <c r="U759" s="117">
        <f t="shared" si="782"/>
        <v>0</v>
      </c>
      <c r="V759" s="65"/>
      <c r="W759" s="202"/>
    </row>
    <row r="760" spans="9:23" ht="12" hidden="1" customHeight="1" outlineLevel="1">
      <c r="I760" s="65"/>
      <c r="J760" s="77"/>
      <c r="K760" s="65"/>
      <c r="L760" s="107"/>
      <c r="M760" s="78"/>
      <c r="N760" s="107"/>
      <c r="O760" s="78"/>
      <c r="P760" s="65"/>
      <c r="Q760" s="65"/>
      <c r="R760" s="65"/>
      <c r="S760" s="110"/>
      <c r="T760" s="65"/>
      <c r="U760" s="117">
        <f t="shared" si="782"/>
        <v>0</v>
      </c>
      <c r="V760" s="65"/>
      <c r="W760" s="202"/>
    </row>
    <row r="761" spans="9:23" ht="12" hidden="1" customHeight="1" outlineLevel="1"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</row>
    <row r="762" spans="9:23" ht="24" hidden="1" customHeight="1" outlineLevel="1">
      <c r="I762" s="65"/>
      <c r="J762" s="142" t="s">
        <v>1310</v>
      </c>
      <c r="K762" s="65"/>
      <c r="L762" s="142" t="s">
        <v>1179</v>
      </c>
      <c r="M762" s="142" t="s">
        <v>1238</v>
      </c>
      <c r="N762" s="142" t="s">
        <v>1260</v>
      </c>
      <c r="O762" s="142" t="s">
        <v>1261</v>
      </c>
      <c r="P762" s="65"/>
      <c r="Q762" s="65"/>
      <c r="R762" s="65"/>
      <c r="S762" s="142" t="s">
        <v>1240</v>
      </c>
      <c r="T762" s="65"/>
      <c r="U762" s="142" t="s">
        <v>1241</v>
      </c>
      <c r="V762" s="65"/>
      <c r="W762" s="142" t="s">
        <v>1111</v>
      </c>
    </row>
    <row r="763" spans="9:23" ht="12" hidden="1" customHeight="1" outlineLevel="1">
      <c r="I763" s="65"/>
      <c r="J763" s="77" t="s">
        <v>1311</v>
      </c>
      <c r="K763" s="65"/>
      <c r="L763" s="107"/>
      <c r="M763" s="78" t="s">
        <v>1246</v>
      </c>
      <c r="N763" s="107">
        <v>1</v>
      </c>
      <c r="O763" s="78" t="s">
        <v>1293</v>
      </c>
      <c r="P763" s="65"/>
      <c r="Q763" s="65"/>
      <c r="R763" s="65"/>
      <c r="S763" s="110">
        <v>45000</v>
      </c>
      <c r="T763" s="65"/>
      <c r="U763" s="117">
        <f t="shared" si="781"/>
        <v>0</v>
      </c>
      <c r="V763" s="65"/>
      <c r="W763" s="202"/>
    </row>
    <row r="764" spans="9:23" ht="12" hidden="1" customHeight="1" outlineLevel="1">
      <c r="I764" s="65"/>
      <c r="J764" s="77" t="s">
        <v>1312</v>
      </c>
      <c r="K764" s="65"/>
      <c r="L764" s="107">
        <f>('Cronog. e Histog.'!$I$691+'Cronog. e Histog.'!$I$748)*0.3</f>
        <v>1.2809999999999999</v>
      </c>
      <c r="M764" s="78" t="s">
        <v>1282</v>
      </c>
      <c r="N764" s="107"/>
      <c r="O764" s="78" t="s">
        <v>1269</v>
      </c>
      <c r="P764" s="65"/>
      <c r="Q764" s="65"/>
      <c r="R764" s="65"/>
      <c r="S764" s="110">
        <v>920</v>
      </c>
      <c r="T764" s="65"/>
      <c r="U764" s="117">
        <f t="shared" ref="U764:U777" si="783">L764*N764*S764</f>
        <v>0</v>
      </c>
      <c r="V764" s="65"/>
      <c r="W764" s="202"/>
    </row>
    <row r="765" spans="9:23" ht="12" hidden="1" customHeight="1" outlineLevel="1">
      <c r="I765" s="65"/>
      <c r="J765" s="77" t="s">
        <v>1313</v>
      </c>
      <c r="K765" s="65"/>
      <c r="L765" s="107">
        <f>'Cronog. e Histog.'!$I$861*0.3</f>
        <v>1.3049999999999999</v>
      </c>
      <c r="M765" s="78" t="s">
        <v>1282</v>
      </c>
      <c r="N765" s="107"/>
      <c r="O765" s="78" t="s">
        <v>1269</v>
      </c>
      <c r="P765" s="65"/>
      <c r="Q765" s="65"/>
      <c r="R765" s="65"/>
      <c r="S765" s="110">
        <v>920</v>
      </c>
      <c r="T765" s="65"/>
      <c r="U765" s="117">
        <f t="shared" si="783"/>
        <v>0</v>
      </c>
      <c r="V765" s="65"/>
      <c r="W765" s="202"/>
    </row>
    <row r="766" spans="9:23" ht="12" hidden="1" customHeight="1" outlineLevel="1">
      <c r="I766" s="65"/>
      <c r="J766" s="77" t="s">
        <v>1314</v>
      </c>
      <c r="K766" s="65"/>
      <c r="L766" s="107">
        <f>'Cronog. e Histog.'!$I$861*0.02</f>
        <v>8.6999999999999994E-2</v>
      </c>
      <c r="M766" s="78" t="s">
        <v>1282</v>
      </c>
      <c r="N766" s="107"/>
      <c r="O766" s="78" t="s">
        <v>1269</v>
      </c>
      <c r="P766" s="65"/>
      <c r="Q766" s="65"/>
      <c r="R766" s="65"/>
      <c r="S766" s="110">
        <f t="shared" ref="S766:S770" si="784">920*0.8</f>
        <v>736</v>
      </c>
      <c r="T766" s="65"/>
      <c r="U766" s="117">
        <f t="shared" ref="U766:U772" si="785">L766*N766*S766</f>
        <v>0</v>
      </c>
      <c r="V766" s="65"/>
      <c r="W766" s="202"/>
    </row>
    <row r="767" spans="9:23" ht="12" hidden="1" customHeight="1" outlineLevel="1">
      <c r="I767" s="65"/>
      <c r="J767" s="77" t="s">
        <v>1315</v>
      </c>
      <c r="K767" s="65"/>
      <c r="L767" s="107">
        <f>'Cronog. e Histog.'!$I$861*0.04</f>
        <v>0.17399999999999999</v>
      </c>
      <c r="M767" s="78" t="s">
        <v>1282</v>
      </c>
      <c r="N767" s="107"/>
      <c r="O767" s="78" t="s">
        <v>1269</v>
      </c>
      <c r="P767" s="65"/>
      <c r="Q767" s="65"/>
      <c r="R767" s="65"/>
      <c r="S767" s="110">
        <f t="shared" si="784"/>
        <v>736</v>
      </c>
      <c r="T767" s="65"/>
      <c r="U767" s="117">
        <f t="shared" si="785"/>
        <v>0</v>
      </c>
      <c r="V767" s="65"/>
      <c r="W767" s="202"/>
    </row>
    <row r="768" spans="9:23" ht="12" hidden="1" customHeight="1" outlineLevel="1">
      <c r="I768" s="65"/>
      <c r="J768" s="77" t="s">
        <v>1316</v>
      </c>
      <c r="K768" s="65"/>
      <c r="L768" s="107">
        <f>('Cronog. e Histog.'!$I$691+'Cronog. e Histog.'!$I$748)*0.26</f>
        <v>1.1101999999999999</v>
      </c>
      <c r="M768" s="78" t="s">
        <v>1282</v>
      </c>
      <c r="N768" s="107"/>
      <c r="O768" s="78" t="s">
        <v>1269</v>
      </c>
      <c r="P768" s="65"/>
      <c r="Q768" s="65"/>
      <c r="R768" s="65"/>
      <c r="S768" s="110">
        <f t="shared" si="784"/>
        <v>736</v>
      </c>
      <c r="T768" s="65"/>
      <c r="U768" s="117">
        <f t="shared" si="785"/>
        <v>0</v>
      </c>
      <c r="V768" s="65"/>
      <c r="W768" s="202"/>
    </row>
    <row r="769" spans="9:23" ht="12" hidden="1" customHeight="1" outlineLevel="1">
      <c r="I769" s="65"/>
      <c r="J769" s="77" t="s">
        <v>1317</v>
      </c>
      <c r="K769" s="65"/>
      <c r="L769" s="107"/>
      <c r="M769" s="78" t="s">
        <v>1282</v>
      </c>
      <c r="N769" s="107"/>
      <c r="O769" s="78" t="s">
        <v>1269</v>
      </c>
      <c r="P769" s="65"/>
      <c r="Q769" s="65"/>
      <c r="R769" s="65"/>
      <c r="S769" s="110">
        <f t="shared" si="784"/>
        <v>736</v>
      </c>
      <c r="T769" s="65"/>
      <c r="U769" s="117">
        <f t="shared" si="785"/>
        <v>0</v>
      </c>
      <c r="V769" s="65"/>
      <c r="W769" s="202"/>
    </row>
    <row r="770" spans="9:23" ht="12" hidden="1" customHeight="1" outlineLevel="1">
      <c r="I770" s="65"/>
      <c r="J770" s="77" t="s">
        <v>1318</v>
      </c>
      <c r="K770" s="65"/>
      <c r="L770" s="107"/>
      <c r="M770" s="78" t="s">
        <v>1282</v>
      </c>
      <c r="N770" s="107"/>
      <c r="O770" s="78" t="s">
        <v>1269</v>
      </c>
      <c r="P770" s="65"/>
      <c r="Q770" s="65"/>
      <c r="R770" s="65"/>
      <c r="S770" s="110">
        <f t="shared" si="784"/>
        <v>736</v>
      </c>
      <c r="T770" s="65"/>
      <c r="U770" s="117">
        <f t="shared" si="785"/>
        <v>0</v>
      </c>
      <c r="V770" s="65"/>
      <c r="W770" s="202"/>
    </row>
    <row r="771" spans="9:23" ht="12" hidden="1" customHeight="1" outlineLevel="1">
      <c r="I771" s="65"/>
      <c r="J771" s="77" t="s">
        <v>1319</v>
      </c>
      <c r="K771" s="65"/>
      <c r="L771" s="107"/>
      <c r="M771" s="78" t="s">
        <v>1282</v>
      </c>
      <c r="N771" s="107"/>
      <c r="O771" s="78" t="s">
        <v>1269</v>
      </c>
      <c r="P771" s="65"/>
      <c r="Q771" s="65"/>
      <c r="R771" s="65"/>
      <c r="S771" s="110">
        <f>920*0.8</f>
        <v>736</v>
      </c>
      <c r="T771" s="65"/>
      <c r="U771" s="117">
        <f t="shared" si="785"/>
        <v>0</v>
      </c>
      <c r="V771" s="65"/>
      <c r="W771" s="202"/>
    </row>
    <row r="772" spans="9:23" ht="12" hidden="1" customHeight="1" outlineLevel="1">
      <c r="I772" s="65"/>
      <c r="J772" s="77" t="s">
        <v>1320</v>
      </c>
      <c r="K772" s="65"/>
      <c r="L772" s="107">
        <f>SUM('Cronog. e Histog.'!H757:H803,'Cronog. e Histog.'!H813:H819)*6</f>
        <v>0.48</v>
      </c>
      <c r="M772" s="78" t="s">
        <v>1282</v>
      </c>
      <c r="N772" s="107"/>
      <c r="O772" s="78" t="s">
        <v>1269</v>
      </c>
      <c r="P772" s="65"/>
      <c r="Q772" s="65"/>
      <c r="R772" s="65"/>
      <c r="S772" s="110">
        <f>920*1.2</f>
        <v>1104</v>
      </c>
      <c r="T772" s="65"/>
      <c r="U772" s="117">
        <f t="shared" si="785"/>
        <v>0</v>
      </c>
      <c r="V772" s="65"/>
      <c r="W772" s="202"/>
    </row>
    <row r="773" spans="9:23" ht="12" hidden="1" customHeight="1" outlineLevel="1">
      <c r="I773" s="65"/>
      <c r="J773" s="77" t="s">
        <v>1321</v>
      </c>
      <c r="K773" s="65"/>
      <c r="L773" s="107">
        <f>IF(N773&gt;0,14,0)</f>
        <v>0</v>
      </c>
      <c r="M773" s="78" t="s">
        <v>1282</v>
      </c>
      <c r="N773" s="107"/>
      <c r="O773" s="78" t="s">
        <v>1269</v>
      </c>
      <c r="P773" s="65"/>
      <c r="Q773" s="65"/>
      <c r="R773" s="65"/>
      <c r="S773" s="110">
        <v>920</v>
      </c>
      <c r="T773" s="65"/>
      <c r="U773" s="117">
        <f t="shared" si="783"/>
        <v>0</v>
      </c>
      <c r="V773" s="65"/>
      <c r="W773" s="202"/>
    </row>
    <row r="774" spans="9:23" ht="12" hidden="1" customHeight="1" outlineLevel="1">
      <c r="I774" s="65"/>
      <c r="J774" s="77" t="s">
        <v>1322</v>
      </c>
      <c r="K774" s="65"/>
      <c r="L774" s="107">
        <f>IF(N774&gt;0,53,0)</f>
        <v>0</v>
      </c>
      <c r="M774" s="78" t="s">
        <v>1282</v>
      </c>
      <c r="N774" s="107"/>
      <c r="O774" s="78" t="s">
        <v>1269</v>
      </c>
      <c r="P774" s="65"/>
      <c r="Q774" s="65"/>
      <c r="R774" s="65"/>
      <c r="S774" s="110">
        <f>920*1.2</f>
        <v>1104</v>
      </c>
      <c r="T774" s="65"/>
      <c r="U774" s="117">
        <f t="shared" si="783"/>
        <v>0</v>
      </c>
      <c r="V774" s="65"/>
      <c r="W774" s="202"/>
    </row>
    <row r="775" spans="9:23" ht="12" hidden="1" customHeight="1" outlineLevel="1">
      <c r="I775" s="65"/>
      <c r="J775" s="77" t="s">
        <v>1323</v>
      </c>
      <c r="K775" s="65"/>
      <c r="L775" s="107">
        <f>'Cronog. e Histog.'!$I$861*0.29</f>
        <v>1.2614999999999998</v>
      </c>
      <c r="M775" s="78" t="s">
        <v>1282</v>
      </c>
      <c r="N775" s="107"/>
      <c r="O775" s="78" t="s">
        <v>1269</v>
      </c>
      <c r="P775" s="65"/>
      <c r="Q775" s="65"/>
      <c r="R775" s="65"/>
      <c r="S775" s="110">
        <f>920*1.2</f>
        <v>1104</v>
      </c>
      <c r="T775" s="65"/>
      <c r="U775" s="117">
        <f t="shared" si="783"/>
        <v>0</v>
      </c>
      <c r="V775" s="65"/>
      <c r="W775" s="202"/>
    </row>
    <row r="776" spans="9:23" ht="12" hidden="1" customHeight="1" outlineLevel="1">
      <c r="I776" s="65"/>
      <c r="J776" s="77" t="s">
        <v>1324</v>
      </c>
      <c r="K776" s="65"/>
      <c r="L776" s="107">
        <f>'Cronog. e Histog.'!$I$861*0.37</f>
        <v>1.6094999999999999</v>
      </c>
      <c r="M776" s="78" t="s">
        <v>1282</v>
      </c>
      <c r="N776" s="107"/>
      <c r="O776" s="78" t="s">
        <v>1269</v>
      </c>
      <c r="P776" s="65"/>
      <c r="Q776" s="65"/>
      <c r="R776" s="65"/>
      <c r="S776" s="110">
        <f>920*1.2</f>
        <v>1104</v>
      </c>
      <c r="T776" s="65"/>
      <c r="U776" s="117">
        <f t="shared" si="783"/>
        <v>0</v>
      </c>
      <c r="V776" s="65"/>
      <c r="W776" s="202"/>
    </row>
    <row r="777" spans="9:23" ht="12" hidden="1" customHeight="1" outlineLevel="1">
      <c r="I777" s="65"/>
      <c r="J777" s="77" t="s">
        <v>1325</v>
      </c>
      <c r="K777" s="65"/>
      <c r="L777" s="107">
        <f>'Cronog. e Histog.'!$I$861*0.06</f>
        <v>0.26099999999999995</v>
      </c>
      <c r="M777" s="78" t="s">
        <v>1282</v>
      </c>
      <c r="N777" s="107"/>
      <c r="O777" s="78" t="s">
        <v>1269</v>
      </c>
      <c r="P777" s="65"/>
      <c r="Q777" s="65"/>
      <c r="R777" s="65"/>
      <c r="S777" s="110">
        <f>920*1.2</f>
        <v>1104</v>
      </c>
      <c r="T777" s="65"/>
      <c r="U777" s="117">
        <f t="shared" si="783"/>
        <v>0</v>
      </c>
      <c r="V777" s="65"/>
      <c r="W777" s="202"/>
    </row>
    <row r="778" spans="9:23" ht="12" hidden="1" customHeight="1" outlineLevel="1">
      <c r="I778" s="65"/>
      <c r="J778" s="77" t="s">
        <v>1326</v>
      </c>
      <c r="K778" s="65"/>
      <c r="L778" s="107">
        <f>SQRT(SUM(L764:L777))*4*1.5</f>
        <v>16.507307472752785</v>
      </c>
      <c r="M778" s="78" t="s">
        <v>1327</v>
      </c>
      <c r="N778" s="107"/>
      <c r="O778" s="78" t="s">
        <v>1293</v>
      </c>
      <c r="P778" s="65"/>
      <c r="Q778" s="65"/>
      <c r="R778" s="65"/>
      <c r="S778" s="110">
        <f>(21.8+26.23+25)*1.6</f>
        <v>116.84800000000001</v>
      </c>
      <c r="T778" s="65"/>
      <c r="U778" s="117">
        <f t="shared" si="781"/>
        <v>0</v>
      </c>
      <c r="V778" s="65"/>
      <c r="W778" s="202"/>
    </row>
    <row r="779" spans="9:23" ht="12" hidden="1" customHeight="1" outlineLevel="1">
      <c r="I779" s="65"/>
      <c r="J779" s="77" t="s">
        <v>1328</v>
      </c>
      <c r="K779" s="65"/>
      <c r="L779" s="107"/>
      <c r="M779" s="78" t="s">
        <v>1329</v>
      </c>
      <c r="N779" s="107">
        <v>1</v>
      </c>
      <c r="O779" s="78" t="s">
        <v>1293</v>
      </c>
      <c r="P779" s="65"/>
      <c r="Q779" s="65"/>
      <c r="R779" s="65"/>
      <c r="S779" s="110">
        <f>(391.15+68.4)*1.6</f>
        <v>735.28</v>
      </c>
      <c r="T779" s="65"/>
      <c r="U779" s="117">
        <f t="shared" si="781"/>
        <v>0</v>
      </c>
      <c r="V779" s="65"/>
      <c r="W779" s="202"/>
    </row>
    <row r="780" spans="9:23" ht="12" hidden="1" customHeight="1" outlineLevel="1">
      <c r="I780" s="65"/>
      <c r="J780" s="77" t="s">
        <v>1330</v>
      </c>
      <c r="K780" s="65"/>
      <c r="L780" s="107"/>
      <c r="M780" s="78" t="s">
        <v>1246</v>
      </c>
      <c r="N780" s="107">
        <v>1</v>
      </c>
      <c r="O780" s="78" t="s">
        <v>1293</v>
      </c>
      <c r="P780" s="65"/>
      <c r="Q780" s="65"/>
      <c r="R780" s="65"/>
      <c r="S780" s="110">
        <v>20000</v>
      </c>
      <c r="T780" s="65"/>
      <c r="U780" s="117">
        <f t="shared" ref="U780:U788" si="786">L780*N780*S780</f>
        <v>0</v>
      </c>
      <c r="V780" s="65"/>
      <c r="W780" s="202"/>
    </row>
    <row r="781" spans="9:23" ht="12" hidden="1" customHeight="1" outlineLevel="1">
      <c r="I781" s="65"/>
      <c r="J781" s="77" t="s">
        <v>1331</v>
      </c>
      <c r="K781" s="65"/>
      <c r="L781" s="107"/>
      <c r="M781" s="78" t="s">
        <v>1246</v>
      </c>
      <c r="N781" s="107">
        <v>1</v>
      </c>
      <c r="O781" s="78" t="s">
        <v>1293</v>
      </c>
      <c r="P781" s="65"/>
      <c r="Q781" s="65"/>
      <c r="R781" s="65"/>
      <c r="S781" s="110">
        <v>278000</v>
      </c>
      <c r="T781" s="65"/>
      <c r="U781" s="117">
        <f t="shared" si="786"/>
        <v>0</v>
      </c>
      <c r="V781" s="65"/>
      <c r="W781" s="202"/>
    </row>
    <row r="782" spans="9:23" ht="12" hidden="1" customHeight="1" outlineLevel="1">
      <c r="I782" s="65"/>
      <c r="J782" s="77" t="s">
        <v>1332</v>
      </c>
      <c r="K782" s="65"/>
      <c r="L782" s="107"/>
      <c r="M782" s="78" t="s">
        <v>1246</v>
      </c>
      <c r="N782" s="107">
        <v>1</v>
      </c>
      <c r="O782" s="78" t="s">
        <v>1293</v>
      </c>
      <c r="P782" s="65"/>
      <c r="Q782" s="65"/>
      <c r="R782" s="65"/>
      <c r="S782" s="110">
        <v>23500</v>
      </c>
      <c r="T782" s="65"/>
      <c r="U782" s="117">
        <f t="shared" si="786"/>
        <v>0</v>
      </c>
      <c r="V782" s="65"/>
      <c r="W782" s="202"/>
    </row>
    <row r="783" spans="9:23" ht="12" hidden="1" customHeight="1" outlineLevel="1">
      <c r="I783" s="65"/>
      <c r="J783" s="77" t="s">
        <v>1304</v>
      </c>
      <c r="K783" s="65"/>
      <c r="L783" s="107"/>
      <c r="M783" s="78" t="s">
        <v>1268</v>
      </c>
      <c r="N783" s="107">
        <v>1</v>
      </c>
      <c r="O783" s="78" t="s">
        <v>1269</v>
      </c>
      <c r="P783" s="65"/>
      <c r="Q783" s="65"/>
      <c r="R783" s="65"/>
      <c r="S783" s="110"/>
      <c r="T783" s="65"/>
      <c r="U783" s="117">
        <f t="shared" si="786"/>
        <v>0</v>
      </c>
      <c r="V783" s="65"/>
      <c r="W783" s="202"/>
    </row>
    <row r="784" spans="9:23" ht="12" hidden="1" customHeight="1" outlineLevel="1">
      <c r="I784" s="65"/>
      <c r="J784" s="77" t="s">
        <v>1305</v>
      </c>
      <c r="K784" s="65"/>
      <c r="L784" s="107"/>
      <c r="M784" s="78" t="s">
        <v>1268</v>
      </c>
      <c r="N784" s="107">
        <v>1</v>
      </c>
      <c r="O784" s="78" t="s">
        <v>1269</v>
      </c>
      <c r="P784" s="65"/>
      <c r="Q784" s="65"/>
      <c r="R784" s="65"/>
      <c r="S784" s="110"/>
      <c r="T784" s="65"/>
      <c r="U784" s="117">
        <f t="shared" si="786"/>
        <v>0</v>
      </c>
      <c r="V784" s="65"/>
      <c r="W784" s="202"/>
    </row>
    <row r="785" spans="9:23" ht="12" hidden="1" customHeight="1" outlineLevel="1">
      <c r="I785" s="65"/>
      <c r="J785" s="77" t="s">
        <v>1306</v>
      </c>
      <c r="K785" s="65"/>
      <c r="L785" s="107"/>
      <c r="M785" s="78" t="s">
        <v>1268</v>
      </c>
      <c r="N785" s="107">
        <v>1</v>
      </c>
      <c r="O785" s="78" t="s">
        <v>1269</v>
      </c>
      <c r="P785" s="65"/>
      <c r="Q785" s="65"/>
      <c r="R785" s="65"/>
      <c r="S785" s="110"/>
      <c r="T785" s="65"/>
      <c r="U785" s="117">
        <f t="shared" si="786"/>
        <v>0</v>
      </c>
      <c r="V785" s="65"/>
      <c r="W785" s="202"/>
    </row>
    <row r="786" spans="9:23" ht="12" hidden="1" customHeight="1" outlineLevel="1">
      <c r="I786" s="65"/>
      <c r="J786" s="77" t="s">
        <v>1307</v>
      </c>
      <c r="K786" s="65"/>
      <c r="L786" s="107"/>
      <c r="M786" s="78" t="s">
        <v>1268</v>
      </c>
      <c r="N786" s="107">
        <v>1</v>
      </c>
      <c r="O786" s="78" t="s">
        <v>1269</v>
      </c>
      <c r="P786" s="65"/>
      <c r="Q786" s="65"/>
      <c r="R786" s="65"/>
      <c r="S786" s="110"/>
      <c r="T786" s="65"/>
      <c r="U786" s="117">
        <f t="shared" si="786"/>
        <v>0</v>
      </c>
      <c r="V786" s="65"/>
      <c r="W786" s="202"/>
    </row>
    <row r="787" spans="9:23" ht="12" hidden="1" customHeight="1" outlineLevel="1">
      <c r="I787" s="65"/>
      <c r="J787" s="77" t="s">
        <v>1308</v>
      </c>
      <c r="K787" s="65"/>
      <c r="L787" s="107"/>
      <c r="M787" s="78" t="s">
        <v>1268</v>
      </c>
      <c r="N787" s="107">
        <v>1</v>
      </c>
      <c r="O787" s="78" t="s">
        <v>1269</v>
      </c>
      <c r="P787" s="65"/>
      <c r="Q787" s="65"/>
      <c r="R787" s="65"/>
      <c r="S787" s="110"/>
      <c r="T787" s="65"/>
      <c r="U787" s="117">
        <f t="shared" si="786"/>
        <v>0</v>
      </c>
      <c r="V787" s="65"/>
      <c r="W787" s="202"/>
    </row>
    <row r="788" spans="9:23" ht="12" hidden="1" customHeight="1" outlineLevel="1">
      <c r="I788" s="65"/>
      <c r="J788" s="77" t="s">
        <v>1309</v>
      </c>
      <c r="K788" s="65"/>
      <c r="L788" s="107"/>
      <c r="M788" s="78" t="s">
        <v>1268</v>
      </c>
      <c r="N788" s="107">
        <v>1</v>
      </c>
      <c r="O788" s="78" t="s">
        <v>1269</v>
      </c>
      <c r="P788" s="65"/>
      <c r="Q788" s="65"/>
      <c r="R788" s="65"/>
      <c r="S788" s="110"/>
      <c r="T788" s="65"/>
      <c r="U788" s="117">
        <f t="shared" si="786"/>
        <v>0</v>
      </c>
      <c r="V788" s="65"/>
      <c r="W788" s="202"/>
    </row>
    <row r="789" spans="9:23" ht="12" hidden="1" customHeight="1" outlineLevel="1">
      <c r="I789" s="65"/>
      <c r="J789" s="77"/>
      <c r="K789" s="65"/>
      <c r="L789" s="107"/>
      <c r="M789" s="78"/>
      <c r="N789" s="107"/>
      <c r="O789" s="78"/>
      <c r="P789" s="65"/>
      <c r="Q789" s="65"/>
      <c r="R789" s="65"/>
      <c r="S789" s="110"/>
      <c r="T789" s="65"/>
      <c r="U789" s="117">
        <f t="shared" si="781"/>
        <v>0</v>
      </c>
      <c r="V789" s="65"/>
      <c r="W789" s="202"/>
    </row>
    <row r="790" spans="9:23" ht="12" hidden="1" customHeight="1" outlineLevel="1"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</row>
    <row r="791" spans="9:23" ht="24" hidden="1" customHeight="1" outlineLevel="1">
      <c r="I791" s="65"/>
      <c r="J791" s="142" t="s">
        <v>1333</v>
      </c>
      <c r="K791" s="65"/>
      <c r="L791" s="142" t="s">
        <v>1179</v>
      </c>
      <c r="M791" s="142" t="s">
        <v>1238</v>
      </c>
      <c r="N791" s="142" t="s">
        <v>1260</v>
      </c>
      <c r="O791" s="142" t="s">
        <v>1261</v>
      </c>
      <c r="P791" s="142" t="s">
        <v>1334</v>
      </c>
      <c r="Q791" s="65"/>
      <c r="R791" s="65"/>
      <c r="S791" s="142" t="s">
        <v>1240</v>
      </c>
      <c r="T791" s="65"/>
      <c r="U791" s="142" t="s">
        <v>1241</v>
      </c>
      <c r="V791" s="65"/>
      <c r="W791" s="142" t="s">
        <v>1111</v>
      </c>
    </row>
    <row r="792" spans="9:23" ht="12" hidden="1" customHeight="1" outlineLevel="1">
      <c r="I792" s="65"/>
      <c r="J792" s="77" t="s">
        <v>1335</v>
      </c>
      <c r="K792" s="65"/>
      <c r="L792" s="107">
        <v>0</v>
      </c>
      <c r="M792" s="78" t="s">
        <v>1246</v>
      </c>
      <c r="N792" s="107">
        <f>Dashboard!$D$14</f>
        <v>10</v>
      </c>
      <c r="O792" s="78" t="s">
        <v>1263</v>
      </c>
      <c r="P792" s="107">
        <v>24</v>
      </c>
      <c r="Q792" s="65"/>
      <c r="R792" s="65"/>
      <c r="S792" s="110">
        <v>550</v>
      </c>
      <c r="T792" s="65"/>
      <c r="U792" s="117">
        <f>IFERROR(L792*N792*(S792/P792),0)</f>
        <v>0</v>
      </c>
      <c r="V792" s="65"/>
      <c r="W792" s="202"/>
    </row>
    <row r="793" spans="9:23" ht="12" hidden="1" customHeight="1" outlineLevel="1">
      <c r="I793" s="65"/>
      <c r="J793" s="77" t="s">
        <v>1336</v>
      </c>
      <c r="K793" s="65"/>
      <c r="L793" s="107">
        <v>0</v>
      </c>
      <c r="M793" s="78" t="s">
        <v>1246</v>
      </c>
      <c r="N793" s="107">
        <f>Dashboard!$D$14</f>
        <v>10</v>
      </c>
      <c r="O793" s="78" t="s">
        <v>1263</v>
      </c>
      <c r="P793" s="107">
        <v>24</v>
      </c>
      <c r="Q793" s="65"/>
      <c r="R793" s="65"/>
      <c r="S793" s="110">
        <v>600</v>
      </c>
      <c r="T793" s="65"/>
      <c r="U793" s="117">
        <f t="shared" ref="U793:U813" si="787">IFERROR(L793*N793*(S793/P793),0)</f>
        <v>0</v>
      </c>
      <c r="V793" s="65"/>
      <c r="W793" s="202"/>
    </row>
    <row r="794" spans="9:23" ht="12" hidden="1" customHeight="1" outlineLevel="1">
      <c r="I794" s="65"/>
      <c r="J794" s="77" t="s">
        <v>1337</v>
      </c>
      <c r="K794" s="65"/>
      <c r="L794" s="107">
        <v>0</v>
      </c>
      <c r="M794" s="78" t="s">
        <v>1246</v>
      </c>
      <c r="N794" s="107">
        <f>Dashboard!$D$14</f>
        <v>10</v>
      </c>
      <c r="O794" s="78" t="s">
        <v>1263</v>
      </c>
      <c r="P794" s="107">
        <v>24</v>
      </c>
      <c r="Q794" s="65"/>
      <c r="R794" s="65"/>
      <c r="S794" s="110">
        <v>180</v>
      </c>
      <c r="T794" s="65"/>
      <c r="U794" s="117">
        <f t="shared" si="787"/>
        <v>0</v>
      </c>
      <c r="V794" s="65"/>
      <c r="W794" s="202"/>
    </row>
    <row r="795" spans="9:23" ht="12" hidden="1" customHeight="1" outlineLevel="1">
      <c r="I795" s="65"/>
      <c r="J795" s="77" t="s">
        <v>1338</v>
      </c>
      <c r="K795" s="65"/>
      <c r="L795" s="107">
        <v>0</v>
      </c>
      <c r="M795" s="78" t="s">
        <v>1246</v>
      </c>
      <c r="N795" s="107">
        <f>Dashboard!$D$14</f>
        <v>10</v>
      </c>
      <c r="O795" s="78" t="s">
        <v>1263</v>
      </c>
      <c r="P795" s="107">
        <v>24</v>
      </c>
      <c r="Q795" s="65"/>
      <c r="R795" s="65"/>
      <c r="S795" s="110">
        <v>400</v>
      </c>
      <c r="T795" s="65"/>
      <c r="U795" s="117">
        <f t="shared" si="787"/>
        <v>0</v>
      </c>
      <c r="V795" s="65"/>
      <c r="W795" s="202"/>
    </row>
    <row r="796" spans="9:23" ht="12" hidden="1" customHeight="1" outlineLevel="1">
      <c r="I796" s="65"/>
      <c r="J796" s="77" t="s">
        <v>1339</v>
      </c>
      <c r="K796" s="65"/>
      <c r="L796" s="107">
        <v>0</v>
      </c>
      <c r="M796" s="78" t="s">
        <v>1246</v>
      </c>
      <c r="N796" s="107">
        <f>Dashboard!$D$14</f>
        <v>10</v>
      </c>
      <c r="O796" s="78" t="s">
        <v>1263</v>
      </c>
      <c r="P796" s="107">
        <v>24</v>
      </c>
      <c r="Q796" s="65"/>
      <c r="R796" s="65"/>
      <c r="S796" s="110">
        <v>1800</v>
      </c>
      <c r="T796" s="65"/>
      <c r="U796" s="117">
        <f t="shared" si="787"/>
        <v>0</v>
      </c>
      <c r="V796" s="65"/>
      <c r="W796" s="202"/>
    </row>
    <row r="797" spans="9:23" ht="12" hidden="1" customHeight="1" outlineLevel="1">
      <c r="I797" s="65"/>
      <c r="J797" s="77" t="s">
        <v>1340</v>
      </c>
      <c r="K797" s="65"/>
      <c r="L797" s="107">
        <v>0</v>
      </c>
      <c r="M797" s="78" t="s">
        <v>1246</v>
      </c>
      <c r="N797" s="107">
        <f>Dashboard!$D$14</f>
        <v>10</v>
      </c>
      <c r="O797" s="78" t="s">
        <v>1263</v>
      </c>
      <c r="P797" s="107">
        <v>24</v>
      </c>
      <c r="Q797" s="65"/>
      <c r="R797" s="65"/>
      <c r="S797" s="110">
        <v>2000</v>
      </c>
      <c r="T797" s="65"/>
      <c r="U797" s="117">
        <f t="shared" si="787"/>
        <v>0</v>
      </c>
      <c r="V797" s="65"/>
      <c r="W797" s="202"/>
    </row>
    <row r="798" spans="9:23" ht="12" hidden="1" customHeight="1" outlineLevel="1">
      <c r="I798" s="65"/>
      <c r="J798" s="77" t="s">
        <v>1341</v>
      </c>
      <c r="K798" s="65"/>
      <c r="L798" s="107">
        <v>0</v>
      </c>
      <c r="M798" s="78" t="s">
        <v>1246</v>
      </c>
      <c r="N798" s="107">
        <f>Dashboard!$D$14</f>
        <v>10</v>
      </c>
      <c r="O798" s="78" t="s">
        <v>1263</v>
      </c>
      <c r="P798" s="107">
        <v>24</v>
      </c>
      <c r="Q798" s="65"/>
      <c r="R798" s="65"/>
      <c r="S798" s="110">
        <v>65</v>
      </c>
      <c r="T798" s="65"/>
      <c r="U798" s="117">
        <f t="shared" si="787"/>
        <v>0</v>
      </c>
      <c r="V798" s="65"/>
      <c r="W798" s="202"/>
    </row>
    <row r="799" spans="9:23" ht="12" hidden="1" customHeight="1" outlineLevel="1">
      <c r="I799" s="65"/>
      <c r="J799" s="77" t="s">
        <v>1342</v>
      </c>
      <c r="K799" s="65"/>
      <c r="L799" s="107">
        <v>0</v>
      </c>
      <c r="M799" s="78" t="s">
        <v>1246</v>
      </c>
      <c r="N799" s="107">
        <f>Dashboard!$D$14</f>
        <v>10</v>
      </c>
      <c r="O799" s="78" t="s">
        <v>1263</v>
      </c>
      <c r="P799" s="107">
        <v>24</v>
      </c>
      <c r="Q799" s="65"/>
      <c r="R799" s="65"/>
      <c r="S799" s="110">
        <v>120</v>
      </c>
      <c r="T799" s="65"/>
      <c r="U799" s="117">
        <f t="shared" si="787"/>
        <v>0</v>
      </c>
      <c r="V799" s="65"/>
      <c r="W799" s="202"/>
    </row>
    <row r="800" spans="9:23" ht="12" hidden="1" customHeight="1" outlineLevel="1">
      <c r="I800" s="65"/>
      <c r="J800" s="77" t="s">
        <v>1343</v>
      </c>
      <c r="K800" s="65"/>
      <c r="L800" s="107">
        <v>0</v>
      </c>
      <c r="M800" s="78" t="s">
        <v>1246</v>
      </c>
      <c r="N800" s="107">
        <f>Dashboard!$D$14</f>
        <v>10</v>
      </c>
      <c r="O800" s="78" t="s">
        <v>1263</v>
      </c>
      <c r="P800" s="107">
        <v>24</v>
      </c>
      <c r="Q800" s="65"/>
      <c r="R800" s="65"/>
      <c r="S800" s="110">
        <v>1200</v>
      </c>
      <c r="T800" s="65"/>
      <c r="U800" s="117">
        <f t="shared" si="787"/>
        <v>0</v>
      </c>
      <c r="V800" s="65"/>
      <c r="W800" s="202"/>
    </row>
    <row r="801" spans="9:23" ht="12" hidden="1" customHeight="1" outlineLevel="1">
      <c r="I801" s="65"/>
      <c r="J801" s="77" t="s">
        <v>1344</v>
      </c>
      <c r="K801" s="65"/>
      <c r="L801" s="107">
        <v>0</v>
      </c>
      <c r="M801" s="78" t="s">
        <v>1246</v>
      </c>
      <c r="N801" s="107">
        <f>Dashboard!$D$14</f>
        <v>10</v>
      </c>
      <c r="O801" s="78" t="s">
        <v>1263</v>
      </c>
      <c r="P801" s="107">
        <v>24</v>
      </c>
      <c r="Q801" s="65"/>
      <c r="R801" s="65"/>
      <c r="S801" s="110">
        <v>450</v>
      </c>
      <c r="T801" s="65"/>
      <c r="U801" s="117">
        <f t="shared" si="787"/>
        <v>0</v>
      </c>
      <c r="V801" s="65"/>
      <c r="W801" s="202"/>
    </row>
    <row r="802" spans="9:23" ht="12" hidden="1" customHeight="1" outlineLevel="1">
      <c r="I802" s="65"/>
      <c r="J802" s="77" t="s">
        <v>1345</v>
      </c>
      <c r="K802" s="65"/>
      <c r="L802" s="107">
        <v>0</v>
      </c>
      <c r="M802" s="78" t="s">
        <v>1246</v>
      </c>
      <c r="N802" s="107">
        <f>Dashboard!$D$14</f>
        <v>10</v>
      </c>
      <c r="O802" s="78" t="s">
        <v>1263</v>
      </c>
      <c r="P802" s="107">
        <v>24</v>
      </c>
      <c r="Q802" s="65"/>
      <c r="R802" s="65"/>
      <c r="S802" s="110">
        <v>4500</v>
      </c>
      <c r="T802" s="65"/>
      <c r="U802" s="117">
        <f t="shared" si="787"/>
        <v>0</v>
      </c>
      <c r="V802" s="65"/>
      <c r="W802" s="202"/>
    </row>
    <row r="803" spans="9:23" ht="12" hidden="1" customHeight="1" outlineLevel="1">
      <c r="I803" s="65"/>
      <c r="J803" s="77" t="s">
        <v>1346</v>
      </c>
      <c r="K803" s="65"/>
      <c r="L803" s="107">
        <v>0</v>
      </c>
      <c r="M803" s="78" t="s">
        <v>1246</v>
      </c>
      <c r="N803" s="107">
        <f>Dashboard!$D$14</f>
        <v>10</v>
      </c>
      <c r="O803" s="78" t="s">
        <v>1263</v>
      </c>
      <c r="P803" s="107">
        <v>24</v>
      </c>
      <c r="Q803" s="65"/>
      <c r="R803" s="65"/>
      <c r="S803" s="110">
        <v>2200</v>
      </c>
      <c r="T803" s="65"/>
      <c r="U803" s="117">
        <f t="shared" ref="U803" si="788">IFERROR(L803*N803*(S803/P803),0)</f>
        <v>0</v>
      </c>
      <c r="V803" s="65"/>
      <c r="W803" s="202"/>
    </row>
    <row r="804" spans="9:23" ht="12" hidden="1" customHeight="1" outlineLevel="1">
      <c r="I804" s="65"/>
      <c r="J804" s="77" t="s">
        <v>1347</v>
      </c>
      <c r="K804" s="65"/>
      <c r="L804" s="107">
        <v>0</v>
      </c>
      <c r="M804" s="78" t="s">
        <v>1246</v>
      </c>
      <c r="N804" s="107">
        <f>Dashboard!$D$14</f>
        <v>10</v>
      </c>
      <c r="O804" s="78" t="s">
        <v>1263</v>
      </c>
      <c r="P804" s="107">
        <v>24</v>
      </c>
      <c r="Q804" s="65"/>
      <c r="R804" s="65"/>
      <c r="S804" s="110">
        <v>2600</v>
      </c>
      <c r="T804" s="65"/>
      <c r="U804" s="117">
        <f t="shared" ref="U804:U812" si="789">IFERROR(L804*N804*(S804/P804),0)</f>
        <v>0</v>
      </c>
      <c r="V804" s="65"/>
      <c r="W804" s="202"/>
    </row>
    <row r="805" spans="9:23" ht="12" hidden="1" customHeight="1" outlineLevel="1">
      <c r="I805" s="65"/>
      <c r="J805" s="77" t="s">
        <v>1348</v>
      </c>
      <c r="K805" s="65"/>
      <c r="L805" s="107">
        <v>0</v>
      </c>
      <c r="M805" s="78" t="s">
        <v>1246</v>
      </c>
      <c r="N805" s="107">
        <f>Dashboard!$D$14</f>
        <v>10</v>
      </c>
      <c r="O805" s="78" t="s">
        <v>1263</v>
      </c>
      <c r="P805" s="107">
        <v>24</v>
      </c>
      <c r="Q805" s="65"/>
      <c r="R805" s="65"/>
      <c r="S805" s="110">
        <v>1300</v>
      </c>
      <c r="T805" s="65"/>
      <c r="U805" s="117">
        <f t="shared" si="789"/>
        <v>0</v>
      </c>
      <c r="V805" s="65"/>
      <c r="W805" s="202"/>
    </row>
    <row r="806" spans="9:23" ht="12" hidden="1" customHeight="1" outlineLevel="1">
      <c r="I806" s="65"/>
      <c r="J806" s="77" t="s">
        <v>1349</v>
      </c>
      <c r="K806" s="65"/>
      <c r="L806" s="107">
        <v>0</v>
      </c>
      <c r="M806" s="78" t="s">
        <v>1246</v>
      </c>
      <c r="N806" s="107">
        <f>Dashboard!$D$14</f>
        <v>10</v>
      </c>
      <c r="O806" s="78" t="s">
        <v>1263</v>
      </c>
      <c r="P806" s="107">
        <v>24</v>
      </c>
      <c r="Q806" s="65"/>
      <c r="R806" s="65"/>
      <c r="S806" s="110">
        <v>3500</v>
      </c>
      <c r="T806" s="65"/>
      <c r="U806" s="117">
        <f t="shared" si="789"/>
        <v>0</v>
      </c>
      <c r="V806" s="65"/>
      <c r="W806" s="202"/>
    </row>
    <row r="807" spans="9:23" ht="12" hidden="1" customHeight="1" outlineLevel="1">
      <c r="I807" s="65"/>
      <c r="J807" s="77" t="s">
        <v>1350</v>
      </c>
      <c r="K807" s="65"/>
      <c r="L807" s="107">
        <v>0</v>
      </c>
      <c r="M807" s="78" t="s">
        <v>1246</v>
      </c>
      <c r="N807" s="107">
        <f>Dashboard!$D$14</f>
        <v>10</v>
      </c>
      <c r="O807" s="78" t="s">
        <v>1263</v>
      </c>
      <c r="P807" s="107">
        <v>24</v>
      </c>
      <c r="Q807" s="65"/>
      <c r="R807" s="65"/>
      <c r="S807" s="110">
        <v>2000</v>
      </c>
      <c r="T807" s="65"/>
      <c r="U807" s="117">
        <f t="shared" si="789"/>
        <v>0</v>
      </c>
      <c r="V807" s="65"/>
      <c r="W807" s="202"/>
    </row>
    <row r="808" spans="9:23" ht="12" hidden="1" customHeight="1" outlineLevel="1">
      <c r="I808" s="65"/>
      <c r="J808" s="77" t="s">
        <v>1351</v>
      </c>
      <c r="K808" s="65"/>
      <c r="L808" s="107">
        <v>0</v>
      </c>
      <c r="M808" s="78" t="s">
        <v>1246</v>
      </c>
      <c r="N808" s="107">
        <f>Dashboard!$D$14</f>
        <v>10</v>
      </c>
      <c r="O808" s="78" t="s">
        <v>1263</v>
      </c>
      <c r="P808" s="107">
        <v>24</v>
      </c>
      <c r="Q808" s="65"/>
      <c r="R808" s="65"/>
      <c r="S808" s="110">
        <v>2000</v>
      </c>
      <c r="T808" s="65"/>
      <c r="U808" s="117">
        <f t="shared" si="789"/>
        <v>0</v>
      </c>
      <c r="V808" s="65"/>
      <c r="W808" s="202"/>
    </row>
    <row r="809" spans="9:23" ht="12" hidden="1" customHeight="1" outlineLevel="1">
      <c r="I809" s="65"/>
      <c r="J809" s="77" t="s">
        <v>1352</v>
      </c>
      <c r="K809" s="65"/>
      <c r="L809" s="107">
        <v>0</v>
      </c>
      <c r="M809" s="78" t="s">
        <v>1246</v>
      </c>
      <c r="N809" s="107">
        <f>Dashboard!$D$14</f>
        <v>10</v>
      </c>
      <c r="O809" s="78" t="s">
        <v>1263</v>
      </c>
      <c r="P809" s="107">
        <v>24</v>
      </c>
      <c r="Q809" s="65"/>
      <c r="R809" s="65"/>
      <c r="S809" s="110">
        <v>2000</v>
      </c>
      <c r="T809" s="65"/>
      <c r="U809" s="117">
        <f t="shared" si="789"/>
        <v>0</v>
      </c>
      <c r="V809" s="65"/>
      <c r="W809" s="202"/>
    </row>
    <row r="810" spans="9:23" ht="12" hidden="1" customHeight="1" outlineLevel="1">
      <c r="I810" s="65"/>
      <c r="J810" s="77" t="s">
        <v>1353</v>
      </c>
      <c r="K810" s="65"/>
      <c r="L810" s="107">
        <v>0</v>
      </c>
      <c r="M810" s="78" t="s">
        <v>1246</v>
      </c>
      <c r="N810" s="107">
        <f>Dashboard!$D$14</f>
        <v>10</v>
      </c>
      <c r="O810" s="78" t="s">
        <v>1263</v>
      </c>
      <c r="P810" s="107">
        <v>24</v>
      </c>
      <c r="Q810" s="65"/>
      <c r="R810" s="65"/>
      <c r="S810" s="110">
        <v>200</v>
      </c>
      <c r="T810" s="65"/>
      <c r="U810" s="117">
        <f t="shared" si="789"/>
        <v>0</v>
      </c>
      <c r="V810" s="65"/>
      <c r="W810" s="202"/>
    </row>
    <row r="811" spans="9:23" ht="12" hidden="1" customHeight="1" outlineLevel="1">
      <c r="I811" s="65"/>
      <c r="J811" s="77" t="s">
        <v>1354</v>
      </c>
      <c r="K811" s="65"/>
      <c r="L811" s="107">
        <v>0</v>
      </c>
      <c r="M811" s="78" t="s">
        <v>1268</v>
      </c>
      <c r="N811" s="107">
        <f>Dashboard!$D$14</f>
        <v>10</v>
      </c>
      <c r="O811" s="78" t="s">
        <v>1263</v>
      </c>
      <c r="P811" s="107">
        <v>24</v>
      </c>
      <c r="Q811" s="65"/>
      <c r="R811" s="65"/>
      <c r="S811" s="110">
        <v>10000</v>
      </c>
      <c r="T811" s="65"/>
      <c r="U811" s="117">
        <f t="shared" si="789"/>
        <v>0</v>
      </c>
      <c r="V811" s="65"/>
      <c r="W811" s="202"/>
    </row>
    <row r="812" spans="9:23" ht="12" hidden="1" customHeight="1" outlineLevel="1">
      <c r="I812" s="65"/>
      <c r="J812" s="77" t="s">
        <v>1355</v>
      </c>
      <c r="K812" s="65"/>
      <c r="L812" s="107">
        <v>0</v>
      </c>
      <c r="M812" s="78" t="s">
        <v>1246</v>
      </c>
      <c r="N812" s="107">
        <f>Dashboard!$D$14</f>
        <v>10</v>
      </c>
      <c r="O812" s="78" t="s">
        <v>1263</v>
      </c>
      <c r="P812" s="107">
        <v>24</v>
      </c>
      <c r="Q812" s="65"/>
      <c r="R812" s="65"/>
      <c r="S812" s="110">
        <v>280</v>
      </c>
      <c r="T812" s="65"/>
      <c r="U812" s="117">
        <f t="shared" si="789"/>
        <v>0</v>
      </c>
      <c r="V812" s="65"/>
      <c r="W812" s="202"/>
    </row>
    <row r="813" spans="9:23" ht="12" hidden="1" customHeight="1" outlineLevel="1">
      <c r="I813" s="65"/>
      <c r="J813" s="77"/>
      <c r="K813" s="65"/>
      <c r="L813" s="107"/>
      <c r="M813" s="78" t="s">
        <v>1246</v>
      </c>
      <c r="N813" s="107">
        <f>Dashboard!$D$14</f>
        <v>10</v>
      </c>
      <c r="O813" s="78" t="s">
        <v>1263</v>
      </c>
      <c r="P813" s="107"/>
      <c r="Q813" s="65"/>
      <c r="R813" s="65"/>
      <c r="S813" s="110"/>
      <c r="T813" s="65"/>
      <c r="U813" s="117">
        <f t="shared" si="787"/>
        <v>0</v>
      </c>
      <c r="V813" s="65"/>
      <c r="W813" s="202"/>
    </row>
    <row r="814" spans="9:23" ht="12" hidden="1" customHeight="1" outlineLevel="1"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</row>
    <row r="815" spans="9:23" s="196" customFormat="1" ht="24" customHeight="1">
      <c r="I815" s="189"/>
      <c r="J815" s="185" t="s">
        <v>41</v>
      </c>
      <c r="K815" s="190"/>
      <c r="L815" s="190"/>
      <c r="M815" s="190"/>
      <c r="N815" s="190"/>
      <c r="O815" s="190"/>
      <c r="P815" s="190"/>
      <c r="Q815" s="190"/>
      <c r="R815" s="190"/>
      <c r="S815" s="191"/>
      <c r="T815" s="192">
        <f>IFERROR(U815/$U$2,0)</f>
        <v>7.1453805960697364E-2</v>
      </c>
      <c r="U815" s="193">
        <f>SUM(U817:U843)</f>
        <v>62455.760000000009</v>
      </c>
      <c r="V815" s="190"/>
      <c r="W815" s="194"/>
    </row>
    <row r="816" spans="9:23" ht="12" customHeight="1" outlineLevel="1"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</row>
    <row r="817" spans="9:23" ht="24" customHeight="1" outlineLevel="1">
      <c r="I817" s="65"/>
      <c r="J817" s="142" t="s">
        <v>1356</v>
      </c>
      <c r="K817" s="65"/>
      <c r="L817" s="142" t="s">
        <v>1357</v>
      </c>
      <c r="M817" s="142" t="s">
        <v>1179</v>
      </c>
      <c r="N817" s="142" t="s">
        <v>1238</v>
      </c>
      <c r="O817" s="142" t="s">
        <v>1239</v>
      </c>
      <c r="P817" s="65"/>
      <c r="Q817" s="65"/>
      <c r="R817" s="65"/>
      <c r="S817" s="142" t="s">
        <v>1240</v>
      </c>
      <c r="T817" s="65"/>
      <c r="U817" s="142" t="s">
        <v>1241</v>
      </c>
      <c r="V817" s="65"/>
      <c r="W817" s="142" t="s">
        <v>1111</v>
      </c>
    </row>
    <row r="818" spans="9:23" ht="12" customHeight="1" outlineLevel="1">
      <c r="I818" s="65"/>
      <c r="J818" s="77" t="s">
        <v>1245</v>
      </c>
      <c r="K818" s="65"/>
      <c r="L818" s="107">
        <f t="shared" ref="L818:L823" si="790">SUMPRODUCT($L$7:$L$587,$M$7:$M$587)</f>
        <v>43.660000000000011</v>
      </c>
      <c r="M818" s="107">
        <f>Dashboard!$D$16</f>
        <v>22</v>
      </c>
      <c r="N818" s="78" t="s">
        <v>1358</v>
      </c>
      <c r="O818" s="111"/>
      <c r="P818" s="65"/>
      <c r="Q818" s="65"/>
      <c r="R818" s="65"/>
      <c r="S818" s="110">
        <v>7</v>
      </c>
      <c r="T818" s="65"/>
      <c r="U818" s="117">
        <f>L818*M818*O818*S818</f>
        <v>0</v>
      </c>
      <c r="V818" s="65"/>
      <c r="W818" s="202"/>
    </row>
    <row r="819" spans="9:23" ht="12" customHeight="1" outlineLevel="1">
      <c r="I819" s="65"/>
      <c r="J819" s="77" t="s">
        <v>1247</v>
      </c>
      <c r="K819" s="65"/>
      <c r="L819" s="107">
        <f t="shared" si="790"/>
        <v>43.660000000000011</v>
      </c>
      <c r="M819" s="107">
        <f>Dashboard!$D$16</f>
        <v>22</v>
      </c>
      <c r="N819" s="78" t="s">
        <v>1358</v>
      </c>
      <c r="O819" s="111">
        <v>1</v>
      </c>
      <c r="P819" s="65"/>
      <c r="Q819" s="65"/>
      <c r="R819" s="65"/>
      <c r="S819" s="110">
        <v>38</v>
      </c>
      <c r="T819" s="65"/>
      <c r="U819" s="117">
        <f t="shared" ref="U819:U825" si="791">L819*M819*O819*S819</f>
        <v>36499.760000000009</v>
      </c>
      <c r="V819" s="65"/>
      <c r="W819" s="202"/>
    </row>
    <row r="820" spans="9:23" ht="12" customHeight="1" outlineLevel="1">
      <c r="I820" s="65"/>
      <c r="J820" s="77" t="s">
        <v>1359</v>
      </c>
      <c r="K820" s="65"/>
      <c r="L820" s="107">
        <f t="shared" si="790"/>
        <v>43.660000000000011</v>
      </c>
      <c r="M820" s="107">
        <f>Dashboard!$D$16</f>
        <v>22</v>
      </c>
      <c r="N820" s="78" t="s">
        <v>1358</v>
      </c>
      <c r="O820" s="111"/>
      <c r="P820" s="65"/>
      <c r="Q820" s="65"/>
      <c r="R820" s="65"/>
      <c r="S820" s="110">
        <v>12</v>
      </c>
      <c r="T820" s="65"/>
      <c r="U820" s="117">
        <f t="shared" si="791"/>
        <v>0</v>
      </c>
      <c r="V820" s="65"/>
      <c r="W820" s="202"/>
    </row>
    <row r="821" spans="9:23" ht="12" customHeight="1" outlineLevel="1">
      <c r="I821" s="65"/>
      <c r="J821" s="77" t="s">
        <v>1249</v>
      </c>
      <c r="K821" s="65"/>
      <c r="L821" s="107">
        <f t="shared" si="790"/>
        <v>43.660000000000011</v>
      </c>
      <c r="M821" s="107">
        <f>Dashboard!$D$16</f>
        <v>22</v>
      </c>
      <c r="N821" s="78" t="s">
        <v>1358</v>
      </c>
      <c r="O821" s="111"/>
      <c r="P821" s="65"/>
      <c r="Q821" s="65"/>
      <c r="R821" s="65"/>
      <c r="S821" s="110">
        <v>25</v>
      </c>
      <c r="T821" s="65"/>
      <c r="U821" s="117">
        <f t="shared" si="791"/>
        <v>0</v>
      </c>
      <c r="V821" s="65"/>
      <c r="W821" s="202"/>
    </row>
    <row r="822" spans="9:23" ht="12" customHeight="1" outlineLevel="1">
      <c r="I822" s="65"/>
      <c r="J822" s="77" t="s">
        <v>1250</v>
      </c>
      <c r="K822" s="65"/>
      <c r="L822" s="107">
        <f t="shared" si="790"/>
        <v>43.660000000000011</v>
      </c>
      <c r="M822" s="107">
        <f>Dashboard!$D$16</f>
        <v>22</v>
      </c>
      <c r="N822" s="78" t="s">
        <v>1358</v>
      </c>
      <c r="O822" s="111"/>
      <c r="P822" s="65"/>
      <c r="Q822" s="65"/>
      <c r="R822" s="65"/>
      <c r="S822" s="110">
        <v>28</v>
      </c>
      <c r="T822" s="65"/>
      <c r="U822" s="117">
        <f t="shared" si="791"/>
        <v>0</v>
      </c>
      <c r="V822" s="65"/>
      <c r="W822" s="202"/>
    </row>
    <row r="823" spans="9:23" ht="12" customHeight="1" outlineLevel="1">
      <c r="I823" s="65"/>
      <c r="J823" s="77" t="s">
        <v>1360</v>
      </c>
      <c r="K823" s="65"/>
      <c r="L823" s="107">
        <f t="shared" si="790"/>
        <v>43.660000000000011</v>
      </c>
      <c r="M823" s="107">
        <v>1</v>
      </c>
      <c r="N823" s="78" t="s">
        <v>1358</v>
      </c>
      <c r="O823" s="111"/>
      <c r="P823" s="65"/>
      <c r="Q823" s="65"/>
      <c r="R823" s="65"/>
      <c r="S823" s="110">
        <v>628</v>
      </c>
      <c r="T823" s="65"/>
      <c r="U823" s="117">
        <f t="shared" si="791"/>
        <v>0</v>
      </c>
      <c r="V823" s="65"/>
      <c r="W823" s="202"/>
    </row>
    <row r="824" spans="9:23" ht="12" customHeight="1" outlineLevel="1">
      <c r="I824" s="65"/>
      <c r="J824" s="77" t="s">
        <v>1361</v>
      </c>
      <c r="K824" s="65"/>
      <c r="L824" s="107">
        <f>IFERROR((SUMPRODUCT($L$7:$L$587,$M$7:$M$587))/Dashboard!$D$14,0)</f>
        <v>4.3660000000000014</v>
      </c>
      <c r="M824" s="107">
        <f>ROUNDUP(Dashboard!D14/12,0)</f>
        <v>1</v>
      </c>
      <c r="N824" s="78" t="s">
        <v>1362</v>
      </c>
      <c r="O824" s="111"/>
      <c r="P824" s="65"/>
      <c r="Q824" s="65"/>
      <c r="R824" s="65"/>
      <c r="S824" s="110">
        <v>628</v>
      </c>
      <c r="T824" s="65"/>
      <c r="U824" s="117">
        <f t="shared" si="791"/>
        <v>0</v>
      </c>
      <c r="V824" s="65"/>
      <c r="W824" s="202"/>
    </row>
    <row r="825" spans="9:23" ht="12" customHeight="1" outlineLevel="1">
      <c r="I825" s="65"/>
      <c r="J825" s="77"/>
      <c r="K825" s="65"/>
      <c r="L825" s="107"/>
      <c r="M825" s="107"/>
      <c r="N825" s="78"/>
      <c r="O825" s="111"/>
      <c r="P825" s="65"/>
      <c r="Q825" s="65"/>
      <c r="R825" s="65"/>
      <c r="S825" s="110"/>
      <c r="T825" s="65"/>
      <c r="U825" s="117">
        <f t="shared" si="791"/>
        <v>0</v>
      </c>
      <c r="V825" s="65"/>
      <c r="W825" s="202"/>
    </row>
    <row r="826" spans="9:23" ht="12" customHeight="1" outlineLevel="1"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</row>
    <row r="827" spans="9:23" ht="24" customHeight="1" outlineLevel="1">
      <c r="I827" s="65"/>
      <c r="J827" s="142" t="s">
        <v>1363</v>
      </c>
      <c r="K827" s="65"/>
      <c r="L827" s="142" t="s">
        <v>1357</v>
      </c>
      <c r="M827" s="142" t="s">
        <v>1179</v>
      </c>
      <c r="N827" s="142" t="s">
        <v>1238</v>
      </c>
      <c r="O827" s="142" t="s">
        <v>1239</v>
      </c>
      <c r="P827" s="65"/>
      <c r="Q827" s="65"/>
      <c r="R827" s="65"/>
      <c r="S827" s="142" t="s">
        <v>1240</v>
      </c>
      <c r="T827" s="65"/>
      <c r="U827" s="142" t="s">
        <v>1241</v>
      </c>
      <c r="V827" s="65"/>
      <c r="W827" s="142" t="s">
        <v>1111</v>
      </c>
    </row>
    <row r="828" spans="9:23" ht="12" customHeight="1" outlineLevel="1">
      <c r="I828" s="65"/>
      <c r="J828" s="77" t="s">
        <v>1364</v>
      </c>
      <c r="K828" s="65"/>
      <c r="L828" s="107" cm="1">
        <f t="array" ref="L828">SUMPRODUCT(($T$7:$T$89=$P$828)*($L$7:$L$89)*($M$7:$M$89))+SUMPRODUCT(($T$96:$T$533=$P$828)*($L$96:$L$533)*($M$96:$M$533))</f>
        <v>14</v>
      </c>
      <c r="M828" s="107">
        <v>2</v>
      </c>
      <c r="N828" s="78" t="s">
        <v>1365</v>
      </c>
      <c r="O828" s="111">
        <v>1</v>
      </c>
      <c r="P828" s="65" t="s">
        <v>250</v>
      </c>
      <c r="Q828" s="65"/>
      <c r="R828" s="65"/>
      <c r="S828" s="110">
        <v>840</v>
      </c>
      <c r="T828" s="65"/>
      <c r="U828" s="117">
        <f t="shared" ref="U828:U831" si="792">L828*M828*O828*S828</f>
        <v>23520</v>
      </c>
      <c r="V828" s="65"/>
      <c r="W828" s="202"/>
    </row>
    <row r="829" spans="9:23" ht="12" customHeight="1" outlineLevel="1">
      <c r="I829" s="65"/>
      <c r="J829" s="77" t="s">
        <v>1366</v>
      </c>
      <c r="K829" s="65"/>
      <c r="L829" s="107">
        <f>L828</f>
        <v>14</v>
      </c>
      <c r="M829" s="107">
        <v>2</v>
      </c>
      <c r="N829" s="78" t="s">
        <v>1365</v>
      </c>
      <c r="O829" s="111">
        <v>1</v>
      </c>
      <c r="P829" s="65"/>
      <c r="Q829" s="65"/>
      <c r="R829" s="65"/>
      <c r="S829" s="110">
        <v>45</v>
      </c>
      <c r="T829" s="65"/>
      <c r="U829" s="117">
        <f t="shared" si="792"/>
        <v>1260</v>
      </c>
      <c r="V829" s="65"/>
      <c r="W829" s="202"/>
    </row>
    <row r="830" spans="9:23" ht="12" customHeight="1" outlineLevel="1">
      <c r="I830" s="65"/>
      <c r="J830" s="77" t="s">
        <v>1367</v>
      </c>
      <c r="K830" s="65"/>
      <c r="L830" s="107">
        <f>L829</f>
        <v>14</v>
      </c>
      <c r="M830" s="107">
        <v>2</v>
      </c>
      <c r="N830" s="78" t="s">
        <v>1358</v>
      </c>
      <c r="O830" s="111">
        <v>1</v>
      </c>
      <c r="P830" s="65"/>
      <c r="Q830" s="65"/>
      <c r="R830" s="65"/>
      <c r="S830" s="110">
        <v>42</v>
      </c>
      <c r="T830" s="65"/>
      <c r="U830" s="117">
        <f t="shared" si="792"/>
        <v>1176</v>
      </c>
      <c r="V830" s="65"/>
      <c r="W830" s="202"/>
    </row>
    <row r="831" spans="9:23" ht="12" customHeight="1" outlineLevel="1">
      <c r="I831" s="65"/>
      <c r="J831" s="77"/>
      <c r="K831" s="65"/>
      <c r="L831" s="107"/>
      <c r="M831" s="107"/>
      <c r="N831" s="78"/>
      <c r="O831" s="111"/>
      <c r="P831" s="65"/>
      <c r="Q831" s="65"/>
      <c r="R831" s="65"/>
      <c r="S831" s="110"/>
      <c r="T831" s="65"/>
      <c r="U831" s="117">
        <f t="shared" si="792"/>
        <v>0</v>
      </c>
      <c r="V831" s="65"/>
      <c r="W831" s="202"/>
    </row>
    <row r="832" spans="9:23" ht="12" customHeight="1" outlineLevel="1"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</row>
    <row r="833" spans="9:23" ht="24" customHeight="1" outlineLevel="1">
      <c r="I833" s="65"/>
      <c r="J833" s="142" t="s">
        <v>1368</v>
      </c>
      <c r="K833" s="65"/>
      <c r="L833" s="142" t="s">
        <v>1357</v>
      </c>
      <c r="M833" s="142" t="s">
        <v>1179</v>
      </c>
      <c r="N833" s="142" t="s">
        <v>1238</v>
      </c>
      <c r="O833" s="142" t="s">
        <v>1239</v>
      </c>
      <c r="P833" s="65"/>
      <c r="Q833" s="65"/>
      <c r="R833" s="65"/>
      <c r="S833" s="142" t="s">
        <v>1240</v>
      </c>
      <c r="T833" s="65"/>
      <c r="U833" s="142" t="s">
        <v>1241</v>
      </c>
      <c r="V833" s="65"/>
      <c r="W833" s="142" t="s">
        <v>1111</v>
      </c>
    </row>
    <row r="834" spans="9:23" ht="12" customHeight="1" outlineLevel="1">
      <c r="I834" s="65"/>
      <c r="J834" s="77" t="s">
        <v>1369</v>
      </c>
      <c r="K834" s="65"/>
      <c r="L834" s="107">
        <f>SUMPRODUCT($L$7:$L$587,$M$7:$M$587)</f>
        <v>43.660000000000011</v>
      </c>
      <c r="M834" s="107">
        <f>Dashboard!$D$16</f>
        <v>22</v>
      </c>
      <c r="N834" s="78" t="s">
        <v>1370</v>
      </c>
      <c r="O834" s="111">
        <v>0</v>
      </c>
      <c r="P834" s="65"/>
      <c r="Q834" s="65"/>
      <c r="R834" s="65"/>
      <c r="S834" s="110">
        <f>5.2*1.5</f>
        <v>7.8000000000000007</v>
      </c>
      <c r="T834" s="65"/>
      <c r="U834" s="117">
        <f>L834*M834*O834*S834</f>
        <v>0</v>
      </c>
      <c r="V834" s="65"/>
      <c r="W834" s="202"/>
    </row>
    <row r="835" spans="9:23" ht="12" customHeight="1" outlineLevel="1">
      <c r="I835" s="65"/>
      <c r="J835" s="77"/>
      <c r="K835" s="65"/>
      <c r="L835" s="107"/>
      <c r="M835" s="107"/>
      <c r="N835" s="78"/>
      <c r="O835" s="111"/>
      <c r="P835" s="65"/>
      <c r="Q835" s="65"/>
      <c r="R835" s="65"/>
      <c r="S835" s="110"/>
      <c r="T835" s="65"/>
      <c r="U835" s="117">
        <f t="shared" ref="U835" si="793">L835*M835*O835*S835</f>
        <v>0</v>
      </c>
      <c r="V835" s="65"/>
      <c r="W835" s="202"/>
    </row>
    <row r="836" spans="9:23" ht="12" customHeight="1" outlineLevel="1"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</row>
    <row r="837" spans="9:23" ht="24" customHeight="1" outlineLevel="1">
      <c r="I837" s="65"/>
      <c r="J837" s="142" t="s">
        <v>1371</v>
      </c>
      <c r="K837" s="65"/>
      <c r="L837" s="142" t="s">
        <v>1237</v>
      </c>
      <c r="M837" s="142" t="s">
        <v>1179</v>
      </c>
      <c r="N837" s="142" t="s">
        <v>1238</v>
      </c>
      <c r="O837" s="142" t="s">
        <v>1239</v>
      </c>
      <c r="P837" s="65"/>
      <c r="Q837" s="65"/>
      <c r="R837" s="65"/>
      <c r="S837" s="142" t="s">
        <v>1240</v>
      </c>
      <c r="T837" s="65"/>
      <c r="U837" s="142" t="s">
        <v>1241</v>
      </c>
      <c r="V837" s="65"/>
      <c r="W837" s="142" t="s">
        <v>1111</v>
      </c>
    </row>
    <row r="838" spans="9:23" ht="12" customHeight="1" outlineLevel="1">
      <c r="I838" s="65"/>
      <c r="J838" s="77" t="s">
        <v>1372</v>
      </c>
      <c r="K838" s="65"/>
      <c r="L838" s="107">
        <f>IFERROR(ROUNDUP(SUMPRODUCT($L$7:$L$587,$M$7:$M$587)/Dashboard!D14,0),0)</f>
        <v>5</v>
      </c>
      <c r="M838" s="107">
        <f>Dashboard!D14/12</f>
        <v>0.83333333333333337</v>
      </c>
      <c r="N838" s="78" t="s">
        <v>1373</v>
      </c>
      <c r="O838" s="111"/>
      <c r="P838" s="65"/>
      <c r="Q838" s="65"/>
      <c r="R838" s="65"/>
      <c r="S838" s="110">
        <f>IFERROR((SUMPRODUCT(L96:L587,M96:M587,O96:O587)/SUMPRODUCT(L96:L587,M96:M587)),0)+IFERROR(SUMPRODUCT(L7:L89,M7:M89,O7:O89)/SUMPRODUCT(L7:L89,M7:M89),0)</f>
        <v>30874.531615925058</v>
      </c>
      <c r="T838" s="65"/>
      <c r="U838" s="117">
        <f t="shared" ref="U838" si="794">L838*M838*O838*S838</f>
        <v>0</v>
      </c>
      <c r="V838" s="65"/>
      <c r="W838" s="202"/>
    </row>
    <row r="839" spans="9:23" ht="12" customHeight="1" outlineLevel="1"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</row>
    <row r="840" spans="9:23" ht="24" customHeight="1" outlineLevel="1">
      <c r="I840" s="65"/>
      <c r="J840" s="142" t="s">
        <v>1374</v>
      </c>
      <c r="K840" s="65"/>
      <c r="L840" s="142" t="s">
        <v>1357</v>
      </c>
      <c r="M840" s="142" t="s">
        <v>1179</v>
      </c>
      <c r="N840" s="142" t="s">
        <v>1238</v>
      </c>
      <c r="O840" s="142" t="s">
        <v>1239</v>
      </c>
      <c r="P840" s="65"/>
      <c r="Q840" s="65"/>
      <c r="R840" s="65"/>
      <c r="S840" s="142" t="s">
        <v>1240</v>
      </c>
      <c r="T840" s="65"/>
      <c r="U840" s="142" t="s">
        <v>1241</v>
      </c>
      <c r="V840" s="65"/>
      <c r="W840" s="142" t="s">
        <v>1111</v>
      </c>
    </row>
    <row r="841" spans="9:23" ht="12" customHeight="1" outlineLevel="1">
      <c r="I841" s="65"/>
      <c r="J841" s="77" t="s">
        <v>1375</v>
      </c>
      <c r="K841" s="65"/>
      <c r="L841" s="107">
        <f>SUMPRODUCT($L$7:$L$587,$M$7:$M$587)</f>
        <v>43.660000000000011</v>
      </c>
      <c r="M841" s="107">
        <v>1</v>
      </c>
      <c r="N841" s="78" t="s">
        <v>1358</v>
      </c>
      <c r="O841" s="111"/>
      <c r="P841" s="65"/>
      <c r="Q841" s="65"/>
      <c r="R841" s="65"/>
      <c r="S841" s="110"/>
      <c r="T841" s="65"/>
      <c r="U841" s="117">
        <f>L841*M841*O841*S841</f>
        <v>0</v>
      </c>
      <c r="V841" s="65"/>
      <c r="W841" s="202"/>
    </row>
    <row r="842" spans="9:23" ht="12" customHeight="1" outlineLevel="1">
      <c r="I842" s="65"/>
      <c r="J842" s="77" t="s">
        <v>1376</v>
      </c>
      <c r="K842" s="65"/>
      <c r="L842" s="107">
        <f>SUMPRODUCT($L$7:$L$587,$M$7:$M$587)</f>
        <v>43.660000000000011</v>
      </c>
      <c r="M842" s="107">
        <v>1</v>
      </c>
      <c r="N842" s="78" t="s">
        <v>1358</v>
      </c>
      <c r="O842" s="111"/>
      <c r="P842" s="65"/>
      <c r="Q842" s="65"/>
      <c r="R842" s="65"/>
      <c r="S842" s="110"/>
      <c r="T842" s="65"/>
      <c r="U842" s="117">
        <f t="shared" ref="U842" si="795">L842*M842*O842*S842</f>
        <v>0</v>
      </c>
      <c r="V842" s="65"/>
      <c r="W842" s="202"/>
    </row>
    <row r="843" spans="9:23" ht="12" customHeight="1" outlineLevel="1">
      <c r="I843" s="65"/>
      <c r="J843" s="77"/>
      <c r="K843" s="65"/>
      <c r="L843" s="107"/>
      <c r="M843" s="107"/>
      <c r="N843" s="78"/>
      <c r="O843" s="111"/>
      <c r="P843" s="65"/>
      <c r="Q843" s="65"/>
      <c r="R843" s="65"/>
      <c r="S843" s="110"/>
      <c r="T843" s="65"/>
      <c r="U843" s="117">
        <f t="shared" ref="U843" si="796">L843*M843*O843*S843</f>
        <v>0</v>
      </c>
      <c r="V843" s="65"/>
      <c r="W843" s="202"/>
    </row>
    <row r="844" spans="9:23" ht="12" customHeight="1" outlineLevel="1"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</row>
    <row r="845" spans="9:23" s="196" customFormat="1" ht="24" customHeight="1">
      <c r="I845" s="189"/>
      <c r="J845" s="185" t="s">
        <v>42</v>
      </c>
      <c r="K845" s="190"/>
      <c r="L845" s="190"/>
      <c r="M845" s="190"/>
      <c r="N845" s="190"/>
      <c r="O845" s="190"/>
      <c r="P845" s="190"/>
      <c r="Q845" s="190"/>
      <c r="R845" s="190"/>
      <c r="S845" s="191"/>
      <c r="T845" s="192">
        <f>IFERROR(U845/$U$2,0)</f>
        <v>4.4790368468197346E-3</v>
      </c>
      <c r="U845" s="193">
        <f>SUM(U847:U855)</f>
        <v>3914.9999999999995</v>
      </c>
      <c r="V845" s="190"/>
      <c r="W845" s="194"/>
    </row>
    <row r="846" spans="9:23" ht="12" customHeight="1" outlineLevel="1"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</row>
    <row r="847" spans="9:23" ht="24" customHeight="1" outlineLevel="1">
      <c r="I847" s="65"/>
      <c r="J847" s="142" t="s">
        <v>1377</v>
      </c>
      <c r="K847" s="65"/>
      <c r="L847" s="142" t="s">
        <v>1237</v>
      </c>
      <c r="M847" s="142" t="s">
        <v>1179</v>
      </c>
      <c r="N847" s="142" t="s">
        <v>1238</v>
      </c>
      <c r="O847" s="142" t="s">
        <v>1239</v>
      </c>
      <c r="P847" s="65"/>
      <c r="Q847" s="65"/>
      <c r="R847" s="65"/>
      <c r="S847" s="142" t="s">
        <v>1240</v>
      </c>
      <c r="T847" s="65"/>
      <c r="U847" s="142" t="s">
        <v>1241</v>
      </c>
      <c r="V847" s="65"/>
      <c r="W847" s="142" t="s">
        <v>1111</v>
      </c>
    </row>
    <row r="848" spans="9:23" ht="12" customHeight="1" outlineLevel="1">
      <c r="I848" s="65"/>
      <c r="J848" s="77" t="s">
        <v>1378</v>
      </c>
      <c r="K848" s="65"/>
      <c r="L848" s="107">
        <f>'Cronog. e Histog.'!$I$861</f>
        <v>4.3499999999999996</v>
      </c>
      <c r="M848" s="107">
        <v>1</v>
      </c>
      <c r="N848" s="78" t="s">
        <v>1246</v>
      </c>
      <c r="O848" s="111">
        <v>1</v>
      </c>
      <c r="P848" s="65"/>
      <c r="Q848" s="65"/>
      <c r="R848" s="65"/>
      <c r="S848" s="110">
        <v>450</v>
      </c>
      <c r="T848" s="65"/>
      <c r="U848" s="117">
        <f t="shared" ref="U848" si="797">L848*M848*O848*S848</f>
        <v>1957.4999999999998</v>
      </c>
      <c r="V848" s="65"/>
      <c r="W848" s="202"/>
    </row>
    <row r="849" spans="9:23" ht="12" customHeight="1" outlineLevel="1">
      <c r="I849" s="65"/>
      <c r="J849" s="77" t="s">
        <v>1379</v>
      </c>
      <c r="K849" s="65"/>
      <c r="L849" s="107">
        <f>'Cronog. e Histog.'!$I$861</f>
        <v>4.3499999999999996</v>
      </c>
      <c r="M849" s="107">
        <f>IF(Dashboard!D14&gt;=12,ROUNDUP(Dashboard!D14/12,0),0)</f>
        <v>0</v>
      </c>
      <c r="N849" s="78" t="s">
        <v>1246</v>
      </c>
      <c r="O849" s="111">
        <v>1</v>
      </c>
      <c r="P849" s="65"/>
      <c r="Q849" s="65"/>
      <c r="R849" s="65"/>
      <c r="S849" s="110">
        <v>120</v>
      </c>
      <c r="T849" s="65"/>
      <c r="U849" s="117">
        <f t="shared" ref="U849:U852" si="798">L849*M849*O849*S849</f>
        <v>0</v>
      </c>
      <c r="V849" s="65"/>
      <c r="W849" s="202"/>
    </row>
    <row r="850" spans="9:23" ht="12" customHeight="1" outlineLevel="1">
      <c r="I850" s="65"/>
      <c r="J850" s="77" t="s">
        <v>1380</v>
      </c>
      <c r="K850" s="65"/>
      <c r="L850" s="107">
        <f>'Cronog. e Histog.'!$I$861</f>
        <v>4.3499999999999996</v>
      </c>
      <c r="M850" s="107">
        <f>IF(Dashboard!D14&gt;=12,ROUNDUP(Dashboard!D14/12,0)-1,0)</f>
        <v>0</v>
      </c>
      <c r="N850" s="78" t="s">
        <v>1246</v>
      </c>
      <c r="O850" s="111">
        <v>1</v>
      </c>
      <c r="P850" s="65"/>
      <c r="Q850" s="65"/>
      <c r="R850" s="65"/>
      <c r="S850" s="110">
        <v>170</v>
      </c>
      <c r="T850" s="65"/>
      <c r="U850" s="117">
        <f t="shared" si="798"/>
        <v>0</v>
      </c>
      <c r="V850" s="65"/>
      <c r="W850" s="202"/>
    </row>
    <row r="851" spans="9:23" ht="12" customHeight="1" outlineLevel="1">
      <c r="I851" s="65"/>
      <c r="J851" s="77" t="s">
        <v>1381</v>
      </c>
      <c r="K851" s="65"/>
      <c r="L851" s="107">
        <f>'Cronog. e Histog.'!$I$861</f>
        <v>4.3499999999999996</v>
      </c>
      <c r="M851" s="107">
        <f>IF(Dashboard!D14&gt;6,1,0)</f>
        <v>1</v>
      </c>
      <c r="N851" s="78" t="s">
        <v>1246</v>
      </c>
      <c r="O851" s="111">
        <v>1</v>
      </c>
      <c r="P851" s="65"/>
      <c r="Q851" s="65"/>
      <c r="R851" s="65"/>
      <c r="S851" s="110">
        <v>450</v>
      </c>
      <c r="T851" s="65"/>
      <c r="U851" s="117">
        <f t="shared" si="798"/>
        <v>1957.4999999999998</v>
      </c>
      <c r="V851" s="65"/>
      <c r="W851" s="202"/>
    </row>
    <row r="852" spans="9:23" ht="12" customHeight="1" outlineLevel="1">
      <c r="I852" s="65"/>
      <c r="J852" s="77"/>
      <c r="K852" s="65"/>
      <c r="L852" s="107"/>
      <c r="M852" s="107"/>
      <c r="N852" s="78"/>
      <c r="O852" s="111"/>
      <c r="P852" s="65"/>
      <c r="Q852" s="65"/>
      <c r="R852" s="65"/>
      <c r="S852" s="110"/>
      <c r="T852" s="65"/>
      <c r="U852" s="117">
        <f t="shared" si="798"/>
        <v>0</v>
      </c>
      <c r="V852" s="65"/>
      <c r="W852" s="202"/>
    </row>
    <row r="853" spans="9:23" ht="12" customHeight="1" outlineLevel="1"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</row>
    <row r="854" spans="9:23" ht="24" customHeight="1" outlineLevel="1">
      <c r="I854" s="65"/>
      <c r="J854" s="142" t="s">
        <v>1382</v>
      </c>
      <c r="K854" s="65"/>
      <c r="L854" s="142" t="s">
        <v>1357</v>
      </c>
      <c r="M854" s="142" t="s">
        <v>1179</v>
      </c>
      <c r="N854" s="142" t="s">
        <v>1238</v>
      </c>
      <c r="O854" s="142" t="s">
        <v>1239</v>
      </c>
      <c r="P854" s="65"/>
      <c r="Q854" s="65"/>
      <c r="R854" s="65"/>
      <c r="S854" s="142" t="s">
        <v>1240</v>
      </c>
      <c r="T854" s="65"/>
      <c r="U854" s="142" t="s">
        <v>1241</v>
      </c>
      <c r="V854" s="65"/>
      <c r="W854" s="142" t="s">
        <v>1111</v>
      </c>
    </row>
    <row r="855" spans="9:23" ht="12" customHeight="1" outlineLevel="1">
      <c r="I855" s="65"/>
      <c r="J855" s="77" t="s">
        <v>1383</v>
      </c>
      <c r="K855" s="65"/>
      <c r="L855" s="107">
        <f>SUMPRODUCT($L$7:$L$587,$M$7:$M$587)</f>
        <v>43.660000000000011</v>
      </c>
      <c r="M855" s="107">
        <v>1</v>
      </c>
      <c r="N855" s="78" t="s">
        <v>1358</v>
      </c>
      <c r="O855" s="111">
        <v>1</v>
      </c>
      <c r="P855" s="65"/>
      <c r="Q855" s="65"/>
      <c r="R855" s="65"/>
      <c r="S855" s="110"/>
      <c r="T855" s="65"/>
      <c r="U855" s="117">
        <f>L855*M855*O855*S855</f>
        <v>0</v>
      </c>
      <c r="V855" s="65"/>
      <c r="W855" s="202"/>
    </row>
    <row r="856" spans="9:23" ht="12" customHeight="1" outlineLevel="1"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</row>
    <row r="857" spans="9:23" s="196" customFormat="1" ht="24" customHeight="1" collapsed="1">
      <c r="I857" s="189"/>
      <c r="J857" s="185" t="s">
        <v>48</v>
      </c>
      <c r="K857" s="190"/>
      <c r="L857" s="190"/>
      <c r="M857" s="190"/>
      <c r="N857" s="190"/>
      <c r="O857" s="190"/>
      <c r="P857" s="190"/>
      <c r="Q857" s="190"/>
      <c r="R857" s="190"/>
      <c r="S857" s="191"/>
      <c r="T857" s="192">
        <f>IFERROR(U857/$U$2,0)</f>
        <v>1.6179886889299753E-2</v>
      </c>
      <c r="U857" s="193">
        <f>SUM(U859:U920)</f>
        <v>14142.383583333336</v>
      </c>
      <c r="V857" s="190"/>
      <c r="W857" s="194"/>
    </row>
    <row r="858" spans="9:23" ht="12" hidden="1" customHeight="1" outlineLevel="1"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</row>
    <row r="859" spans="9:23" ht="24" hidden="1" customHeight="1" outlineLevel="1">
      <c r="I859" s="65"/>
      <c r="J859" s="142" t="s">
        <v>1384</v>
      </c>
      <c r="K859" s="65"/>
      <c r="L859" s="142" t="s">
        <v>1357</v>
      </c>
      <c r="M859" s="142" t="s">
        <v>1179</v>
      </c>
      <c r="N859" s="142" t="s">
        <v>1238</v>
      </c>
      <c r="O859" s="142" t="s">
        <v>1239</v>
      </c>
      <c r="P859" s="142" t="s">
        <v>1334</v>
      </c>
      <c r="Q859" s="65"/>
      <c r="R859" s="65"/>
      <c r="S859" s="142" t="s">
        <v>1240</v>
      </c>
      <c r="T859" s="65"/>
      <c r="U859" s="142" t="s">
        <v>1241</v>
      </c>
      <c r="V859" s="65"/>
      <c r="W859" s="142" t="s">
        <v>1111</v>
      </c>
    </row>
    <row r="860" spans="9:23" ht="12" hidden="1" customHeight="1" outlineLevel="1">
      <c r="I860" s="65"/>
      <c r="J860" s="77" t="s">
        <v>1385</v>
      </c>
      <c r="K860" s="65"/>
      <c r="L860" s="107">
        <f t="shared" ref="L860:L891" si="799">SUMPRODUCT($L$7:$L$587,$M$7:$M$587)</f>
        <v>43.660000000000011</v>
      </c>
      <c r="M860" s="107">
        <v>3</v>
      </c>
      <c r="N860" s="78" t="s">
        <v>1386</v>
      </c>
      <c r="O860" s="111">
        <v>1</v>
      </c>
      <c r="P860" s="107">
        <v>6</v>
      </c>
      <c r="Q860" s="65"/>
      <c r="R860" s="65"/>
      <c r="S860" s="110">
        <v>70</v>
      </c>
      <c r="T860" s="65"/>
      <c r="U860" s="117">
        <f>IFERROR(L860*M860*O860*(S860/P860),0)</f>
        <v>1528.1000000000001</v>
      </c>
      <c r="V860" s="65"/>
      <c r="W860" s="202"/>
    </row>
    <row r="861" spans="9:23" ht="12" hidden="1" customHeight="1" outlineLevel="1">
      <c r="I861" s="65"/>
      <c r="J861" s="77" t="s">
        <v>1387</v>
      </c>
      <c r="K861" s="65"/>
      <c r="L861" s="107">
        <f t="shared" si="799"/>
        <v>43.660000000000011</v>
      </c>
      <c r="M861" s="107">
        <v>3</v>
      </c>
      <c r="N861" s="78" t="s">
        <v>1386</v>
      </c>
      <c r="O861" s="111">
        <v>1</v>
      </c>
      <c r="P861" s="107">
        <v>6</v>
      </c>
      <c r="Q861" s="65"/>
      <c r="R861" s="65"/>
      <c r="S861" s="110">
        <v>40</v>
      </c>
      <c r="T861" s="65"/>
      <c r="U861" s="117">
        <f t="shared" ref="U861:U920" si="800">IFERROR(L861*M861*O861*(S861/P861),0)</f>
        <v>873.20000000000016</v>
      </c>
      <c r="V861" s="65"/>
      <c r="W861" s="202"/>
    </row>
    <row r="862" spans="9:23" ht="12" hidden="1" customHeight="1" outlineLevel="1">
      <c r="I862" s="65"/>
      <c r="J862" s="77" t="s">
        <v>1388</v>
      </c>
      <c r="K862" s="65"/>
      <c r="L862" s="107">
        <f t="shared" si="799"/>
        <v>43.660000000000011</v>
      </c>
      <c r="M862" s="107">
        <v>3</v>
      </c>
      <c r="N862" s="78" t="s">
        <v>1386</v>
      </c>
      <c r="O862" s="111">
        <v>0</v>
      </c>
      <c r="P862" s="107">
        <v>6</v>
      </c>
      <c r="Q862" s="65"/>
      <c r="R862" s="65"/>
      <c r="S862" s="110">
        <v>147</v>
      </c>
      <c r="T862" s="65"/>
      <c r="U862" s="117">
        <f t="shared" si="800"/>
        <v>0</v>
      </c>
      <c r="V862" s="65"/>
      <c r="W862" s="202"/>
    </row>
    <row r="863" spans="9:23" ht="12" hidden="1" customHeight="1" outlineLevel="1">
      <c r="I863" s="65"/>
      <c r="J863" s="77" t="s">
        <v>1389</v>
      </c>
      <c r="K863" s="65"/>
      <c r="L863" s="107">
        <f t="shared" si="799"/>
        <v>43.660000000000011</v>
      </c>
      <c r="M863" s="107">
        <v>3</v>
      </c>
      <c r="N863" s="78" t="s">
        <v>1386</v>
      </c>
      <c r="O863" s="111">
        <v>0</v>
      </c>
      <c r="P863" s="107">
        <v>6</v>
      </c>
      <c r="Q863" s="65"/>
      <c r="R863" s="65"/>
      <c r="S863" s="110">
        <v>120</v>
      </c>
      <c r="T863" s="65"/>
      <c r="U863" s="117">
        <f t="shared" si="800"/>
        <v>0</v>
      </c>
      <c r="V863" s="65"/>
      <c r="W863" s="202"/>
    </row>
    <row r="864" spans="9:23" ht="12" hidden="1" customHeight="1" outlineLevel="1">
      <c r="I864" s="65"/>
      <c r="J864" s="77" t="s">
        <v>1390</v>
      </c>
      <c r="K864" s="65"/>
      <c r="L864" s="107">
        <f t="shared" si="799"/>
        <v>43.660000000000011</v>
      </c>
      <c r="M864" s="107">
        <v>3</v>
      </c>
      <c r="N864" s="78" t="s">
        <v>1386</v>
      </c>
      <c r="O864" s="111">
        <v>0</v>
      </c>
      <c r="P864" s="107">
        <v>6</v>
      </c>
      <c r="Q864" s="65"/>
      <c r="R864" s="65"/>
      <c r="S864" s="110">
        <v>120</v>
      </c>
      <c r="T864" s="65"/>
      <c r="U864" s="117">
        <f t="shared" si="800"/>
        <v>0</v>
      </c>
      <c r="V864" s="65"/>
      <c r="W864" s="202"/>
    </row>
    <row r="865" spans="9:23" ht="12" hidden="1" customHeight="1" outlineLevel="1">
      <c r="I865" s="65"/>
      <c r="J865" s="77" t="s">
        <v>1391</v>
      </c>
      <c r="K865" s="65"/>
      <c r="L865" s="107">
        <f t="shared" si="799"/>
        <v>43.660000000000011</v>
      </c>
      <c r="M865" s="107">
        <v>3</v>
      </c>
      <c r="N865" s="78" t="s">
        <v>1386</v>
      </c>
      <c r="O865" s="111">
        <v>0</v>
      </c>
      <c r="P865" s="107">
        <v>6</v>
      </c>
      <c r="Q865" s="65"/>
      <c r="R865" s="65"/>
      <c r="S865" s="110">
        <v>299</v>
      </c>
      <c r="T865" s="65"/>
      <c r="U865" s="117">
        <f t="shared" si="800"/>
        <v>0</v>
      </c>
      <c r="V865" s="65"/>
      <c r="W865" s="202"/>
    </row>
    <row r="866" spans="9:23" ht="12" hidden="1" customHeight="1" outlineLevel="1">
      <c r="I866" s="65"/>
      <c r="J866" s="77" t="s">
        <v>1392</v>
      </c>
      <c r="K866" s="65"/>
      <c r="L866" s="107">
        <f t="shared" si="799"/>
        <v>43.660000000000011</v>
      </c>
      <c r="M866" s="107">
        <v>1</v>
      </c>
      <c r="N866" s="78" t="s">
        <v>1386</v>
      </c>
      <c r="O866" s="111">
        <v>1</v>
      </c>
      <c r="P866" s="107">
        <v>6</v>
      </c>
      <c r="Q866" s="65"/>
      <c r="R866" s="65"/>
      <c r="S866" s="110">
        <v>16</v>
      </c>
      <c r="T866" s="65"/>
      <c r="U866" s="117">
        <f t="shared" si="800"/>
        <v>116.42666666666669</v>
      </c>
      <c r="V866" s="65"/>
      <c r="W866" s="202"/>
    </row>
    <row r="867" spans="9:23" ht="12" hidden="1" customHeight="1" outlineLevel="1">
      <c r="I867" s="65"/>
      <c r="J867" s="77" t="s">
        <v>1393</v>
      </c>
      <c r="K867" s="65"/>
      <c r="L867" s="107">
        <f t="shared" si="799"/>
        <v>43.660000000000011</v>
      </c>
      <c r="M867" s="107">
        <v>1</v>
      </c>
      <c r="N867" s="78" t="s">
        <v>1386</v>
      </c>
      <c r="O867" s="111">
        <v>0</v>
      </c>
      <c r="P867" s="107">
        <v>12</v>
      </c>
      <c r="Q867" s="65"/>
      <c r="R867" s="65"/>
      <c r="S867" s="110">
        <v>295</v>
      </c>
      <c r="T867" s="65"/>
      <c r="U867" s="117">
        <f t="shared" si="800"/>
        <v>0</v>
      </c>
      <c r="V867" s="65"/>
      <c r="W867" s="202"/>
    </row>
    <row r="868" spans="9:23" ht="12" hidden="1" customHeight="1" outlineLevel="1">
      <c r="I868" s="65"/>
      <c r="J868" s="77" t="s">
        <v>1394</v>
      </c>
      <c r="K868" s="65"/>
      <c r="L868" s="107">
        <f t="shared" si="799"/>
        <v>43.660000000000011</v>
      </c>
      <c r="M868" s="107">
        <v>1</v>
      </c>
      <c r="N868" s="78" t="s">
        <v>1386</v>
      </c>
      <c r="O868" s="111">
        <v>0</v>
      </c>
      <c r="P868" s="107">
        <v>2</v>
      </c>
      <c r="Q868" s="65"/>
      <c r="R868" s="65"/>
      <c r="S868" s="110">
        <v>15.5</v>
      </c>
      <c r="T868" s="65"/>
      <c r="U868" s="117">
        <f t="shared" si="800"/>
        <v>0</v>
      </c>
      <c r="V868" s="65"/>
      <c r="W868" s="202"/>
    </row>
    <row r="869" spans="9:23" ht="12" hidden="1" customHeight="1" outlineLevel="1">
      <c r="I869" s="65"/>
      <c r="J869" s="77" t="s">
        <v>1395</v>
      </c>
      <c r="K869" s="65"/>
      <c r="L869" s="107">
        <f t="shared" si="799"/>
        <v>43.660000000000011</v>
      </c>
      <c r="M869" s="107">
        <v>1</v>
      </c>
      <c r="N869" s="78" t="s">
        <v>1386</v>
      </c>
      <c r="O869" s="111">
        <v>1</v>
      </c>
      <c r="P869" s="107">
        <v>12</v>
      </c>
      <c r="Q869" s="65"/>
      <c r="R869" s="65"/>
      <c r="S869" s="110">
        <v>53.9</v>
      </c>
      <c r="T869" s="65"/>
      <c r="U869" s="117">
        <f t="shared" si="800"/>
        <v>196.1061666666667</v>
      </c>
      <c r="V869" s="65"/>
      <c r="W869" s="202"/>
    </row>
    <row r="870" spans="9:23" ht="12" hidden="1" customHeight="1" outlineLevel="1">
      <c r="I870" s="65"/>
      <c r="J870" s="77" t="s">
        <v>1396</v>
      </c>
      <c r="K870" s="65"/>
      <c r="L870" s="107">
        <f t="shared" si="799"/>
        <v>43.660000000000011</v>
      </c>
      <c r="M870" s="107">
        <v>1</v>
      </c>
      <c r="N870" s="78" t="s">
        <v>1386</v>
      </c>
      <c r="O870" s="111">
        <v>0</v>
      </c>
      <c r="P870" s="107">
        <v>6</v>
      </c>
      <c r="Q870" s="65"/>
      <c r="R870" s="65"/>
      <c r="S870" s="110">
        <v>29.5</v>
      </c>
      <c r="T870" s="65"/>
      <c r="U870" s="117">
        <f t="shared" si="800"/>
        <v>0</v>
      </c>
      <c r="V870" s="65"/>
      <c r="W870" s="202"/>
    </row>
    <row r="871" spans="9:23" ht="12" hidden="1" customHeight="1" outlineLevel="1">
      <c r="I871" s="65"/>
      <c r="J871" s="77" t="s">
        <v>1397</v>
      </c>
      <c r="K871" s="65"/>
      <c r="L871" s="107">
        <f t="shared" si="799"/>
        <v>43.660000000000011</v>
      </c>
      <c r="M871" s="107">
        <v>1</v>
      </c>
      <c r="N871" s="78" t="s">
        <v>1386</v>
      </c>
      <c r="O871" s="111">
        <v>0</v>
      </c>
      <c r="P871" s="107">
        <v>6</v>
      </c>
      <c r="Q871" s="65"/>
      <c r="R871" s="65"/>
      <c r="S871" s="110">
        <v>6.9</v>
      </c>
      <c r="T871" s="65"/>
      <c r="U871" s="117">
        <f t="shared" si="800"/>
        <v>0</v>
      </c>
      <c r="V871" s="65"/>
      <c r="W871" s="202"/>
    </row>
    <row r="872" spans="9:23" ht="12" hidden="1" customHeight="1" outlineLevel="1">
      <c r="I872" s="65"/>
      <c r="J872" s="77" t="s">
        <v>1398</v>
      </c>
      <c r="K872" s="65"/>
      <c r="L872" s="107">
        <f t="shared" si="799"/>
        <v>43.660000000000011</v>
      </c>
      <c r="M872" s="107">
        <v>1</v>
      </c>
      <c r="N872" s="78" t="s">
        <v>1386</v>
      </c>
      <c r="O872" s="111">
        <v>1</v>
      </c>
      <c r="P872" s="107">
        <v>6</v>
      </c>
      <c r="Q872" s="65"/>
      <c r="R872" s="65"/>
      <c r="S872" s="110">
        <v>70</v>
      </c>
      <c r="T872" s="65"/>
      <c r="U872" s="117">
        <f t="shared" si="800"/>
        <v>509.36666666666679</v>
      </c>
      <c r="V872" s="65"/>
      <c r="W872" s="202"/>
    </row>
    <row r="873" spans="9:23" ht="12" hidden="1" customHeight="1" outlineLevel="1">
      <c r="I873" s="65"/>
      <c r="J873" s="77" t="s">
        <v>1399</v>
      </c>
      <c r="K873" s="65"/>
      <c r="L873" s="107">
        <f t="shared" si="799"/>
        <v>43.660000000000011</v>
      </c>
      <c r="M873" s="107">
        <v>1</v>
      </c>
      <c r="N873" s="78" t="s">
        <v>1386</v>
      </c>
      <c r="O873" s="111">
        <v>1</v>
      </c>
      <c r="P873" s="107">
        <v>6</v>
      </c>
      <c r="Q873" s="65"/>
      <c r="R873" s="65"/>
      <c r="S873" s="110">
        <v>52</v>
      </c>
      <c r="T873" s="65"/>
      <c r="U873" s="117">
        <f t="shared" si="800"/>
        <v>378.38666666666671</v>
      </c>
      <c r="V873" s="65"/>
      <c r="W873" s="202"/>
    </row>
    <row r="874" spans="9:23" ht="12" hidden="1" customHeight="1" outlineLevel="1">
      <c r="I874" s="65"/>
      <c r="J874" s="77" t="s">
        <v>1400</v>
      </c>
      <c r="K874" s="65"/>
      <c r="L874" s="107">
        <f t="shared" si="799"/>
        <v>43.660000000000011</v>
      </c>
      <c r="M874" s="107">
        <v>1</v>
      </c>
      <c r="N874" s="78" t="s">
        <v>1386</v>
      </c>
      <c r="O874" s="111">
        <v>0</v>
      </c>
      <c r="P874" s="107">
        <v>0.15</v>
      </c>
      <c r="Q874" s="65"/>
      <c r="R874" s="65"/>
      <c r="S874" s="110">
        <v>2.73</v>
      </c>
      <c r="T874" s="65"/>
      <c r="U874" s="117">
        <f t="shared" si="800"/>
        <v>0</v>
      </c>
      <c r="V874" s="65"/>
      <c r="W874" s="202"/>
    </row>
    <row r="875" spans="9:23" ht="12" hidden="1" customHeight="1" outlineLevel="1">
      <c r="I875" s="65"/>
      <c r="J875" s="77" t="s">
        <v>1401</v>
      </c>
      <c r="K875" s="65"/>
      <c r="L875" s="107">
        <f t="shared" si="799"/>
        <v>43.660000000000011</v>
      </c>
      <c r="M875" s="107">
        <v>1</v>
      </c>
      <c r="N875" s="78" t="s">
        <v>1386</v>
      </c>
      <c r="O875" s="111">
        <v>1</v>
      </c>
      <c r="P875" s="107">
        <v>6</v>
      </c>
      <c r="Q875" s="65"/>
      <c r="R875" s="65"/>
      <c r="S875" s="110">
        <v>49.8</v>
      </c>
      <c r="T875" s="65"/>
      <c r="U875" s="117">
        <f t="shared" si="800"/>
        <v>362.37800000000004</v>
      </c>
      <c r="V875" s="65"/>
      <c r="W875" s="202"/>
    </row>
    <row r="876" spans="9:23" ht="12" hidden="1" customHeight="1" outlineLevel="1">
      <c r="I876" s="65"/>
      <c r="J876" s="77" t="s">
        <v>1402</v>
      </c>
      <c r="K876" s="65"/>
      <c r="L876" s="107">
        <f t="shared" si="799"/>
        <v>43.660000000000011</v>
      </c>
      <c r="M876" s="107">
        <v>1</v>
      </c>
      <c r="N876" s="78" t="s">
        <v>1386</v>
      </c>
      <c r="O876" s="111">
        <v>0</v>
      </c>
      <c r="P876" s="107">
        <v>6</v>
      </c>
      <c r="Q876" s="65"/>
      <c r="R876" s="65"/>
      <c r="S876" s="110">
        <v>43.9</v>
      </c>
      <c r="T876" s="65"/>
      <c r="U876" s="117">
        <f t="shared" ref="U876" si="801">IFERROR(L876*M876*O876*(S876/P876),0)</f>
        <v>0</v>
      </c>
      <c r="V876" s="65"/>
      <c r="W876" s="202"/>
    </row>
    <row r="877" spans="9:23" ht="12" hidden="1" customHeight="1" outlineLevel="1">
      <c r="I877" s="65"/>
      <c r="J877" s="77" t="s">
        <v>1403</v>
      </c>
      <c r="K877" s="65"/>
      <c r="L877" s="107">
        <f t="shared" si="799"/>
        <v>43.660000000000011</v>
      </c>
      <c r="M877" s="107">
        <v>1</v>
      </c>
      <c r="N877" s="78" t="s">
        <v>1386</v>
      </c>
      <c r="O877" s="111">
        <v>0</v>
      </c>
      <c r="P877" s="107">
        <v>6</v>
      </c>
      <c r="Q877" s="65"/>
      <c r="R877" s="65"/>
      <c r="S877" s="110">
        <v>78.900000000000006</v>
      </c>
      <c r="T877" s="65"/>
      <c r="U877" s="117">
        <f t="shared" si="800"/>
        <v>0</v>
      </c>
      <c r="V877" s="65"/>
      <c r="W877" s="202"/>
    </row>
    <row r="878" spans="9:23" ht="12" hidden="1" customHeight="1" outlineLevel="1">
      <c r="I878" s="65"/>
      <c r="J878" s="77" t="s">
        <v>1404</v>
      </c>
      <c r="K878" s="65"/>
      <c r="L878" s="107">
        <f t="shared" si="799"/>
        <v>43.660000000000011</v>
      </c>
      <c r="M878" s="107">
        <v>1</v>
      </c>
      <c r="N878" s="78" t="s">
        <v>1386</v>
      </c>
      <c r="O878" s="111">
        <v>1</v>
      </c>
      <c r="P878" s="107">
        <v>3</v>
      </c>
      <c r="Q878" s="65"/>
      <c r="R878" s="65"/>
      <c r="S878" s="110">
        <v>4</v>
      </c>
      <c r="T878" s="65"/>
      <c r="U878" s="117">
        <f t="shared" si="800"/>
        <v>58.213333333333345</v>
      </c>
      <c r="V878" s="65"/>
      <c r="W878" s="202"/>
    </row>
    <row r="879" spans="9:23" ht="12" hidden="1" customHeight="1" outlineLevel="1">
      <c r="I879" s="65"/>
      <c r="J879" s="77" t="s">
        <v>1405</v>
      </c>
      <c r="K879" s="65"/>
      <c r="L879" s="107">
        <f t="shared" si="799"/>
        <v>43.660000000000011</v>
      </c>
      <c r="M879" s="107">
        <v>1</v>
      </c>
      <c r="N879" s="78" t="s">
        <v>1386</v>
      </c>
      <c r="O879" s="111">
        <v>0</v>
      </c>
      <c r="P879" s="107">
        <v>3</v>
      </c>
      <c r="Q879" s="65"/>
      <c r="R879" s="65"/>
      <c r="S879" s="110">
        <v>19.899999999999999</v>
      </c>
      <c r="T879" s="65"/>
      <c r="U879" s="117">
        <f t="shared" si="800"/>
        <v>0</v>
      </c>
      <c r="V879" s="65"/>
      <c r="W879" s="202"/>
    </row>
    <row r="880" spans="9:23" ht="12" hidden="1" customHeight="1" outlineLevel="1">
      <c r="I880" s="65"/>
      <c r="J880" s="77" t="s">
        <v>1406</v>
      </c>
      <c r="K880" s="65"/>
      <c r="L880" s="107">
        <f t="shared" si="799"/>
        <v>43.660000000000011</v>
      </c>
      <c r="M880" s="107">
        <v>1</v>
      </c>
      <c r="N880" s="78" t="s">
        <v>1386</v>
      </c>
      <c r="O880" s="111">
        <v>0</v>
      </c>
      <c r="P880" s="107">
        <v>3</v>
      </c>
      <c r="Q880" s="65"/>
      <c r="R880" s="65"/>
      <c r="S880" s="110">
        <v>76</v>
      </c>
      <c r="T880" s="65"/>
      <c r="U880" s="117">
        <f t="shared" si="800"/>
        <v>0</v>
      </c>
      <c r="V880" s="65"/>
      <c r="W880" s="202"/>
    </row>
    <row r="881" spans="9:23" ht="12" hidden="1" customHeight="1" outlineLevel="1">
      <c r="I881" s="65"/>
      <c r="J881" s="77" t="s">
        <v>1407</v>
      </c>
      <c r="K881" s="65"/>
      <c r="L881" s="107">
        <f t="shared" si="799"/>
        <v>43.660000000000011</v>
      </c>
      <c r="M881" s="107">
        <v>1</v>
      </c>
      <c r="N881" s="78" t="s">
        <v>1386</v>
      </c>
      <c r="O881" s="111">
        <v>0</v>
      </c>
      <c r="P881" s="107">
        <v>3</v>
      </c>
      <c r="Q881" s="65"/>
      <c r="R881" s="65"/>
      <c r="S881" s="110">
        <v>35</v>
      </c>
      <c r="T881" s="65"/>
      <c r="U881" s="117">
        <f t="shared" si="800"/>
        <v>0</v>
      </c>
      <c r="V881" s="65"/>
      <c r="W881" s="202"/>
    </row>
    <row r="882" spans="9:23" ht="12" hidden="1" customHeight="1" outlineLevel="1">
      <c r="I882" s="65"/>
      <c r="J882" s="77" t="s">
        <v>1408</v>
      </c>
      <c r="K882" s="65"/>
      <c r="L882" s="107">
        <f t="shared" si="799"/>
        <v>43.660000000000011</v>
      </c>
      <c r="M882" s="107">
        <v>1</v>
      </c>
      <c r="N882" s="78" t="s">
        <v>1386</v>
      </c>
      <c r="O882" s="111">
        <v>0</v>
      </c>
      <c r="P882" s="107">
        <v>0.05</v>
      </c>
      <c r="Q882" s="65"/>
      <c r="R882" s="65"/>
      <c r="S882" s="110">
        <v>2.65</v>
      </c>
      <c r="T882" s="65"/>
      <c r="U882" s="117">
        <f t="shared" si="800"/>
        <v>0</v>
      </c>
      <c r="V882" s="65"/>
      <c r="W882" s="202"/>
    </row>
    <row r="883" spans="9:23" ht="12" hidden="1" customHeight="1" outlineLevel="1">
      <c r="I883" s="65"/>
      <c r="J883" s="77" t="s">
        <v>1409</v>
      </c>
      <c r="K883" s="65"/>
      <c r="L883" s="107">
        <f t="shared" si="799"/>
        <v>43.660000000000011</v>
      </c>
      <c r="M883" s="107">
        <v>4</v>
      </c>
      <c r="N883" s="78" t="s">
        <v>1386</v>
      </c>
      <c r="O883" s="111">
        <v>1</v>
      </c>
      <c r="P883" s="107">
        <v>3</v>
      </c>
      <c r="Q883" s="65"/>
      <c r="R883" s="65"/>
      <c r="S883" s="110">
        <v>5</v>
      </c>
      <c r="T883" s="65"/>
      <c r="U883" s="117">
        <f t="shared" ref="U883" si="802">IFERROR(L883*M883*O883*(S883/P883),0)</f>
        <v>291.06666666666678</v>
      </c>
      <c r="V883" s="65"/>
      <c r="W883" s="202"/>
    </row>
    <row r="884" spans="9:23" ht="12" hidden="1" customHeight="1" outlineLevel="1">
      <c r="I884" s="65"/>
      <c r="J884" s="77" t="s">
        <v>1410</v>
      </c>
      <c r="K884" s="65"/>
      <c r="L884" s="107">
        <f t="shared" si="799"/>
        <v>43.660000000000011</v>
      </c>
      <c r="M884" s="107">
        <v>1</v>
      </c>
      <c r="N884" s="78" t="s">
        <v>1386</v>
      </c>
      <c r="O884" s="111">
        <v>0</v>
      </c>
      <c r="P884" s="107">
        <v>1</v>
      </c>
      <c r="Q884" s="65"/>
      <c r="R884" s="65"/>
      <c r="S884" s="110">
        <v>4.0999999999999996</v>
      </c>
      <c r="T884" s="65"/>
      <c r="U884" s="117">
        <f t="shared" si="800"/>
        <v>0</v>
      </c>
      <c r="V884" s="65"/>
      <c r="W884" s="202"/>
    </row>
    <row r="885" spans="9:23" ht="12" hidden="1" customHeight="1" outlineLevel="1">
      <c r="I885" s="65"/>
      <c r="J885" s="77" t="s">
        <v>1411</v>
      </c>
      <c r="K885" s="65"/>
      <c r="L885" s="107">
        <f t="shared" si="799"/>
        <v>43.660000000000011</v>
      </c>
      <c r="M885" s="107">
        <v>1</v>
      </c>
      <c r="N885" s="78" t="s">
        <v>1386</v>
      </c>
      <c r="O885" s="111">
        <v>0</v>
      </c>
      <c r="P885" s="107">
        <v>3</v>
      </c>
      <c r="Q885" s="65"/>
      <c r="R885" s="65"/>
      <c r="S885" s="110">
        <v>9</v>
      </c>
      <c r="T885" s="65"/>
      <c r="U885" s="117">
        <f t="shared" si="800"/>
        <v>0</v>
      </c>
      <c r="V885" s="65"/>
      <c r="W885" s="202"/>
    </row>
    <row r="886" spans="9:23" ht="12" hidden="1" customHeight="1" outlineLevel="1">
      <c r="I886" s="65"/>
      <c r="J886" s="77" t="s">
        <v>1412</v>
      </c>
      <c r="K886" s="65"/>
      <c r="L886" s="107">
        <f t="shared" si="799"/>
        <v>43.660000000000011</v>
      </c>
      <c r="M886" s="107">
        <v>1</v>
      </c>
      <c r="N886" s="78" t="s">
        <v>1386</v>
      </c>
      <c r="O886" s="111">
        <v>1</v>
      </c>
      <c r="P886" s="107">
        <v>3</v>
      </c>
      <c r="Q886" s="65"/>
      <c r="R886" s="65"/>
      <c r="S886" s="110">
        <v>10.5</v>
      </c>
      <c r="T886" s="65"/>
      <c r="U886" s="117">
        <f t="shared" si="800"/>
        <v>152.81000000000003</v>
      </c>
      <c r="V886" s="65"/>
      <c r="W886" s="202"/>
    </row>
    <row r="887" spans="9:23" ht="12" hidden="1" customHeight="1" outlineLevel="1">
      <c r="I887" s="65"/>
      <c r="J887" s="77" t="s">
        <v>1413</v>
      </c>
      <c r="K887" s="65"/>
      <c r="L887" s="107">
        <f t="shared" si="799"/>
        <v>43.660000000000011</v>
      </c>
      <c r="M887" s="107">
        <v>1</v>
      </c>
      <c r="N887" s="78" t="s">
        <v>1386</v>
      </c>
      <c r="O887" s="111">
        <v>0</v>
      </c>
      <c r="P887" s="107">
        <v>3</v>
      </c>
      <c r="Q887" s="65"/>
      <c r="R887" s="65"/>
      <c r="S887" s="110">
        <v>28.3</v>
      </c>
      <c r="T887" s="65"/>
      <c r="U887" s="117">
        <f t="shared" si="800"/>
        <v>0</v>
      </c>
      <c r="V887" s="65"/>
      <c r="W887" s="202"/>
    </row>
    <row r="888" spans="9:23" ht="12" hidden="1" customHeight="1" outlineLevel="1">
      <c r="I888" s="65"/>
      <c r="J888" s="77" t="s">
        <v>1414</v>
      </c>
      <c r="K888" s="65"/>
      <c r="L888" s="107">
        <f t="shared" si="799"/>
        <v>43.660000000000011</v>
      </c>
      <c r="M888" s="107">
        <v>1</v>
      </c>
      <c r="N888" s="78" t="s">
        <v>1386</v>
      </c>
      <c r="O888" s="111">
        <v>1</v>
      </c>
      <c r="P888" s="107">
        <f>Dashboard!$D$14</f>
        <v>10</v>
      </c>
      <c r="Q888" s="65"/>
      <c r="R888" s="65"/>
      <c r="S888" s="110">
        <v>20</v>
      </c>
      <c r="T888" s="65"/>
      <c r="U888" s="117">
        <f t="shared" si="800"/>
        <v>87.320000000000022</v>
      </c>
      <c r="V888" s="65"/>
      <c r="W888" s="202"/>
    </row>
    <row r="889" spans="9:23" ht="12" hidden="1" customHeight="1" outlineLevel="1">
      <c r="I889" s="65"/>
      <c r="J889" s="77" t="s">
        <v>1415</v>
      </c>
      <c r="K889" s="65"/>
      <c r="L889" s="107">
        <f t="shared" si="799"/>
        <v>43.660000000000011</v>
      </c>
      <c r="M889" s="107">
        <v>1</v>
      </c>
      <c r="N889" s="78" t="s">
        <v>1386</v>
      </c>
      <c r="O889" s="111">
        <v>1</v>
      </c>
      <c r="P889" s="107">
        <v>12</v>
      </c>
      <c r="Q889" s="65"/>
      <c r="R889" s="65"/>
      <c r="S889" s="110">
        <v>60</v>
      </c>
      <c r="T889" s="65"/>
      <c r="U889" s="117">
        <f t="shared" si="800"/>
        <v>218.30000000000007</v>
      </c>
      <c r="V889" s="65"/>
      <c r="W889" s="202"/>
    </row>
    <row r="890" spans="9:23" ht="12" hidden="1" customHeight="1" outlineLevel="1">
      <c r="I890" s="65"/>
      <c r="J890" s="77" t="s">
        <v>1416</v>
      </c>
      <c r="K890" s="65"/>
      <c r="L890" s="107">
        <f t="shared" si="799"/>
        <v>43.660000000000011</v>
      </c>
      <c r="M890" s="107">
        <v>1</v>
      </c>
      <c r="N890" s="78" t="s">
        <v>1386</v>
      </c>
      <c r="O890" s="111">
        <v>0</v>
      </c>
      <c r="P890" s="107">
        <v>3</v>
      </c>
      <c r="Q890" s="65"/>
      <c r="R890" s="65"/>
      <c r="S890" s="110">
        <v>59</v>
      </c>
      <c r="T890" s="65"/>
      <c r="U890" s="117">
        <f t="shared" ref="U890" si="803">IFERROR(L890*M890*O890*(S890/P890),0)</f>
        <v>0</v>
      </c>
      <c r="V890" s="65"/>
      <c r="W890" s="202"/>
    </row>
    <row r="891" spans="9:23" ht="12" hidden="1" customHeight="1" outlineLevel="1">
      <c r="I891" s="65"/>
      <c r="J891" s="77" t="s">
        <v>1417</v>
      </c>
      <c r="K891" s="65"/>
      <c r="L891" s="107">
        <f t="shared" si="799"/>
        <v>43.660000000000011</v>
      </c>
      <c r="M891" s="107">
        <v>1</v>
      </c>
      <c r="N891" s="78" t="s">
        <v>1386</v>
      </c>
      <c r="O891" s="111">
        <v>0</v>
      </c>
      <c r="P891" s="107">
        <v>3</v>
      </c>
      <c r="Q891" s="65"/>
      <c r="R891" s="65"/>
      <c r="S891" s="110">
        <v>25</v>
      </c>
      <c r="T891" s="65"/>
      <c r="U891" s="117">
        <f t="shared" si="800"/>
        <v>0</v>
      </c>
      <c r="V891" s="65"/>
      <c r="W891" s="202"/>
    </row>
    <row r="892" spans="9:23" ht="12" hidden="1" customHeight="1" outlineLevel="1">
      <c r="I892" s="65"/>
      <c r="J892" s="77" t="s">
        <v>1418</v>
      </c>
      <c r="K892" s="65"/>
      <c r="L892" s="107">
        <f t="shared" ref="L892:L920" si="804">SUMPRODUCT($L$7:$L$587,$M$7:$M$587)</f>
        <v>43.660000000000011</v>
      </c>
      <c r="M892" s="107">
        <v>1</v>
      </c>
      <c r="N892" s="78" t="s">
        <v>1386</v>
      </c>
      <c r="O892" s="111">
        <v>0</v>
      </c>
      <c r="P892" s="107">
        <v>3</v>
      </c>
      <c r="Q892" s="65"/>
      <c r="R892" s="65"/>
      <c r="S892" s="110">
        <v>16.5</v>
      </c>
      <c r="T892" s="65"/>
      <c r="U892" s="117">
        <f t="shared" si="800"/>
        <v>0</v>
      </c>
      <c r="V892" s="65"/>
      <c r="W892" s="202"/>
    </row>
    <row r="893" spans="9:23" ht="12" hidden="1" customHeight="1" outlineLevel="1">
      <c r="I893" s="65"/>
      <c r="J893" s="77" t="s">
        <v>1419</v>
      </c>
      <c r="K893" s="65"/>
      <c r="L893" s="107">
        <f t="shared" si="804"/>
        <v>43.660000000000011</v>
      </c>
      <c r="M893" s="107">
        <v>1</v>
      </c>
      <c r="N893" s="78" t="s">
        <v>1386</v>
      </c>
      <c r="O893" s="111">
        <v>0</v>
      </c>
      <c r="P893" s="107">
        <v>3</v>
      </c>
      <c r="Q893" s="65"/>
      <c r="R893" s="65"/>
      <c r="S893" s="110">
        <v>21</v>
      </c>
      <c r="T893" s="65"/>
      <c r="U893" s="117">
        <f t="shared" si="800"/>
        <v>0</v>
      </c>
      <c r="V893" s="65"/>
      <c r="W893" s="202"/>
    </row>
    <row r="894" spans="9:23" ht="12" hidden="1" customHeight="1" outlineLevel="1">
      <c r="I894" s="65"/>
      <c r="J894" s="77" t="s">
        <v>1420</v>
      </c>
      <c r="K894" s="65"/>
      <c r="L894" s="107">
        <f t="shared" si="804"/>
        <v>43.660000000000011</v>
      </c>
      <c r="M894" s="107">
        <v>1</v>
      </c>
      <c r="N894" s="78" t="s">
        <v>1386</v>
      </c>
      <c r="O894" s="111">
        <v>0</v>
      </c>
      <c r="P894" s="107">
        <v>6</v>
      </c>
      <c r="Q894" s="65"/>
      <c r="R894" s="65"/>
      <c r="S894" s="110">
        <v>40</v>
      </c>
      <c r="T894" s="65"/>
      <c r="U894" s="117">
        <f t="shared" si="800"/>
        <v>0</v>
      </c>
      <c r="V894" s="65"/>
      <c r="W894" s="202"/>
    </row>
    <row r="895" spans="9:23" ht="12" hidden="1" customHeight="1" outlineLevel="1">
      <c r="I895" s="65"/>
      <c r="J895" s="77" t="s">
        <v>1421</v>
      </c>
      <c r="K895" s="65"/>
      <c r="L895" s="107">
        <f t="shared" si="804"/>
        <v>43.660000000000011</v>
      </c>
      <c r="M895" s="107">
        <v>1</v>
      </c>
      <c r="N895" s="78" t="s">
        <v>1386</v>
      </c>
      <c r="O895" s="111">
        <v>0</v>
      </c>
      <c r="P895" s="107">
        <v>12</v>
      </c>
      <c r="Q895" s="65"/>
      <c r="R895" s="65"/>
      <c r="S895" s="110">
        <v>135</v>
      </c>
      <c r="T895" s="65"/>
      <c r="U895" s="117">
        <f t="shared" si="800"/>
        <v>0</v>
      </c>
      <c r="V895" s="65"/>
      <c r="W895" s="202"/>
    </row>
    <row r="896" spans="9:23" ht="12" hidden="1" customHeight="1" outlineLevel="1">
      <c r="I896" s="65"/>
      <c r="J896" s="77" t="s">
        <v>1422</v>
      </c>
      <c r="K896" s="65"/>
      <c r="L896" s="107">
        <f t="shared" si="804"/>
        <v>43.660000000000011</v>
      </c>
      <c r="M896" s="107">
        <v>1</v>
      </c>
      <c r="N896" s="78" t="s">
        <v>1386</v>
      </c>
      <c r="O896" s="111">
        <v>0</v>
      </c>
      <c r="P896" s="107">
        <v>24</v>
      </c>
      <c r="Q896" s="65"/>
      <c r="R896" s="65"/>
      <c r="S896" s="110">
        <v>450</v>
      </c>
      <c r="T896" s="65"/>
      <c r="U896" s="117">
        <f t="shared" si="800"/>
        <v>0</v>
      </c>
      <c r="V896" s="65"/>
      <c r="W896" s="202"/>
    </row>
    <row r="897" spans="9:23" ht="12" hidden="1" customHeight="1" outlineLevel="1">
      <c r="I897" s="65"/>
      <c r="J897" s="77" t="s">
        <v>1423</v>
      </c>
      <c r="K897" s="65"/>
      <c r="L897" s="107">
        <f t="shared" si="804"/>
        <v>43.660000000000011</v>
      </c>
      <c r="M897" s="107">
        <v>1</v>
      </c>
      <c r="N897" s="78" t="s">
        <v>1386</v>
      </c>
      <c r="O897" s="111">
        <v>0</v>
      </c>
      <c r="P897" s="107">
        <v>12</v>
      </c>
      <c r="Q897" s="65"/>
      <c r="R897" s="65"/>
      <c r="S897" s="110">
        <v>500</v>
      </c>
      <c r="T897" s="65"/>
      <c r="U897" s="117">
        <f t="shared" ref="U897:U919" si="805">IFERROR(L897*M897*O897*(S897/P897),0)</f>
        <v>0</v>
      </c>
      <c r="V897" s="65"/>
      <c r="W897" s="202"/>
    </row>
    <row r="898" spans="9:23" ht="12" hidden="1" customHeight="1" outlineLevel="1">
      <c r="I898" s="65"/>
      <c r="J898" s="77" t="s">
        <v>1424</v>
      </c>
      <c r="K898" s="65"/>
      <c r="L898" s="107">
        <f t="shared" si="804"/>
        <v>43.660000000000011</v>
      </c>
      <c r="M898" s="107">
        <v>1</v>
      </c>
      <c r="N898" s="78" t="s">
        <v>1386</v>
      </c>
      <c r="O898" s="111">
        <v>0</v>
      </c>
      <c r="P898" s="107">
        <v>12</v>
      </c>
      <c r="Q898" s="65"/>
      <c r="R898" s="65"/>
      <c r="S898" s="110">
        <v>586</v>
      </c>
      <c r="T898" s="65"/>
      <c r="U898" s="117">
        <f t="shared" si="805"/>
        <v>0</v>
      </c>
      <c r="V898" s="65"/>
      <c r="W898" s="202"/>
    </row>
    <row r="899" spans="9:23" ht="12" hidden="1" customHeight="1" outlineLevel="1">
      <c r="I899" s="65"/>
      <c r="J899" s="77" t="s">
        <v>1425</v>
      </c>
      <c r="K899" s="65"/>
      <c r="L899" s="107">
        <f t="shared" si="804"/>
        <v>43.660000000000011</v>
      </c>
      <c r="M899" s="107">
        <v>1</v>
      </c>
      <c r="N899" s="78" t="s">
        <v>1386</v>
      </c>
      <c r="O899" s="111">
        <v>0</v>
      </c>
      <c r="P899" s="107">
        <v>12</v>
      </c>
      <c r="Q899" s="65"/>
      <c r="R899" s="65"/>
      <c r="S899" s="110">
        <v>140</v>
      </c>
      <c r="T899" s="65"/>
      <c r="U899" s="117">
        <f t="shared" si="805"/>
        <v>0</v>
      </c>
      <c r="V899" s="65"/>
      <c r="W899" s="202"/>
    </row>
    <row r="900" spans="9:23" ht="12" hidden="1" customHeight="1" outlineLevel="1">
      <c r="I900" s="65"/>
      <c r="J900" s="77" t="s">
        <v>1426</v>
      </c>
      <c r="K900" s="65"/>
      <c r="L900" s="107">
        <f t="shared" si="804"/>
        <v>43.660000000000011</v>
      </c>
      <c r="M900" s="107">
        <v>1</v>
      </c>
      <c r="N900" s="78" t="s">
        <v>1386</v>
      </c>
      <c r="O900" s="111">
        <v>0</v>
      </c>
      <c r="P900" s="107">
        <v>12</v>
      </c>
      <c r="Q900" s="65"/>
      <c r="R900" s="65"/>
      <c r="S900" s="110">
        <v>316</v>
      </c>
      <c r="T900" s="65"/>
      <c r="U900" s="117">
        <f t="shared" si="805"/>
        <v>0</v>
      </c>
      <c r="V900" s="65"/>
      <c r="W900" s="202"/>
    </row>
    <row r="901" spans="9:23" ht="12" hidden="1" customHeight="1" outlineLevel="1">
      <c r="I901" s="65"/>
      <c r="J901" s="77" t="s">
        <v>1427</v>
      </c>
      <c r="K901" s="65"/>
      <c r="L901" s="107">
        <f t="shared" si="804"/>
        <v>43.660000000000011</v>
      </c>
      <c r="M901" s="107">
        <v>1</v>
      </c>
      <c r="N901" s="78" t="s">
        <v>1386</v>
      </c>
      <c r="O901" s="111">
        <v>0</v>
      </c>
      <c r="P901" s="107">
        <v>12</v>
      </c>
      <c r="Q901" s="65"/>
      <c r="R901" s="65"/>
      <c r="S901" s="110">
        <v>760</v>
      </c>
      <c r="T901" s="65"/>
      <c r="U901" s="117">
        <f t="shared" si="805"/>
        <v>0</v>
      </c>
      <c r="V901" s="65"/>
      <c r="W901" s="202"/>
    </row>
    <row r="902" spans="9:23" ht="12" hidden="1" customHeight="1" outlineLevel="1">
      <c r="I902" s="65"/>
      <c r="J902" s="77" t="s">
        <v>1428</v>
      </c>
      <c r="K902" s="65"/>
      <c r="L902" s="107">
        <f t="shared" si="804"/>
        <v>43.660000000000011</v>
      </c>
      <c r="M902" s="107">
        <v>1</v>
      </c>
      <c r="N902" s="78" t="s">
        <v>1386</v>
      </c>
      <c r="O902" s="111">
        <v>1</v>
      </c>
      <c r="P902" s="107">
        <v>12</v>
      </c>
      <c r="Q902" s="65"/>
      <c r="R902" s="65"/>
      <c r="S902" s="110">
        <v>293.39999999999998</v>
      </c>
      <c r="T902" s="65"/>
      <c r="U902" s="117">
        <f t="shared" si="805"/>
        <v>1067.4870000000003</v>
      </c>
      <c r="V902" s="65"/>
      <c r="W902" s="202"/>
    </row>
    <row r="903" spans="9:23" ht="12" hidden="1" customHeight="1" outlineLevel="1">
      <c r="I903" s="65"/>
      <c r="J903" s="77" t="s">
        <v>1429</v>
      </c>
      <c r="K903" s="65"/>
      <c r="L903" s="107">
        <f t="shared" si="804"/>
        <v>43.660000000000011</v>
      </c>
      <c r="M903" s="107">
        <v>1</v>
      </c>
      <c r="N903" s="78" t="s">
        <v>1386</v>
      </c>
      <c r="O903" s="111">
        <v>1</v>
      </c>
      <c r="P903" s="107">
        <v>12</v>
      </c>
      <c r="Q903" s="65"/>
      <c r="R903" s="65"/>
      <c r="S903" s="110">
        <v>150.30000000000001</v>
      </c>
      <c r="T903" s="65"/>
      <c r="U903" s="117">
        <f t="shared" si="805"/>
        <v>546.84150000000011</v>
      </c>
      <c r="V903" s="65"/>
      <c r="W903" s="202"/>
    </row>
    <row r="904" spans="9:23" ht="12" hidden="1" customHeight="1" outlineLevel="1">
      <c r="I904" s="65"/>
      <c r="J904" s="77" t="s">
        <v>1430</v>
      </c>
      <c r="K904" s="65"/>
      <c r="L904" s="107">
        <f t="shared" si="804"/>
        <v>43.660000000000011</v>
      </c>
      <c r="M904" s="107">
        <v>1</v>
      </c>
      <c r="N904" s="78" t="s">
        <v>1386</v>
      </c>
      <c r="O904" s="111">
        <v>1</v>
      </c>
      <c r="P904" s="107">
        <v>12</v>
      </c>
      <c r="Q904" s="65"/>
      <c r="R904" s="65"/>
      <c r="S904" s="110">
        <v>134.52000000000001</v>
      </c>
      <c r="T904" s="65"/>
      <c r="U904" s="117">
        <f t="shared" si="805"/>
        <v>489.42860000000013</v>
      </c>
      <c r="V904" s="65"/>
      <c r="W904" s="202"/>
    </row>
    <row r="905" spans="9:23" ht="12" hidden="1" customHeight="1" outlineLevel="1">
      <c r="I905" s="65"/>
      <c r="J905" s="77" t="s">
        <v>1431</v>
      </c>
      <c r="K905" s="65"/>
      <c r="L905" s="107">
        <f t="shared" si="804"/>
        <v>43.660000000000011</v>
      </c>
      <c r="M905" s="107">
        <v>1</v>
      </c>
      <c r="N905" s="78" t="s">
        <v>1386</v>
      </c>
      <c r="O905" s="111">
        <v>0</v>
      </c>
      <c r="P905" s="107">
        <v>12</v>
      </c>
      <c r="Q905" s="65"/>
      <c r="R905" s="65"/>
      <c r="S905" s="110">
        <v>134.52000000000001</v>
      </c>
      <c r="T905" s="65"/>
      <c r="U905" s="117">
        <f t="shared" si="805"/>
        <v>0</v>
      </c>
      <c r="V905" s="65"/>
      <c r="W905" s="202"/>
    </row>
    <row r="906" spans="9:23" ht="12" hidden="1" customHeight="1" outlineLevel="1">
      <c r="I906" s="65"/>
      <c r="J906" s="77" t="s">
        <v>1432</v>
      </c>
      <c r="K906" s="65"/>
      <c r="L906" s="107">
        <f t="shared" si="804"/>
        <v>43.660000000000011</v>
      </c>
      <c r="M906" s="107">
        <v>1</v>
      </c>
      <c r="N906" s="78" t="s">
        <v>1386</v>
      </c>
      <c r="O906" s="111">
        <v>1</v>
      </c>
      <c r="P906" s="107">
        <v>12</v>
      </c>
      <c r="Q906" s="65"/>
      <c r="R906" s="65"/>
      <c r="S906" s="110">
        <v>134.52000000000001</v>
      </c>
      <c r="T906" s="65"/>
      <c r="U906" s="117">
        <f t="shared" si="805"/>
        <v>489.42860000000013</v>
      </c>
      <c r="V906" s="65"/>
      <c r="W906" s="202"/>
    </row>
    <row r="907" spans="9:23" ht="12" hidden="1" customHeight="1" outlineLevel="1">
      <c r="I907" s="65"/>
      <c r="J907" s="77" t="s">
        <v>1433</v>
      </c>
      <c r="K907" s="65"/>
      <c r="L907" s="107">
        <f t="shared" si="804"/>
        <v>43.660000000000011</v>
      </c>
      <c r="M907" s="107">
        <v>1</v>
      </c>
      <c r="N907" s="78" t="s">
        <v>1386</v>
      </c>
      <c r="O907" s="111">
        <v>1</v>
      </c>
      <c r="P907" s="107">
        <v>12</v>
      </c>
      <c r="Q907" s="65"/>
      <c r="R907" s="65"/>
      <c r="S907" s="110">
        <v>342.21</v>
      </c>
      <c r="T907" s="65"/>
      <c r="U907" s="117">
        <f t="shared" si="805"/>
        <v>1245.0740500000002</v>
      </c>
      <c r="V907" s="65"/>
      <c r="W907" s="202"/>
    </row>
    <row r="908" spans="9:23" ht="12" hidden="1" customHeight="1" outlineLevel="1">
      <c r="I908" s="65"/>
      <c r="J908" s="77" t="s">
        <v>1434</v>
      </c>
      <c r="K908" s="65"/>
      <c r="L908" s="107">
        <f t="shared" si="804"/>
        <v>43.660000000000011</v>
      </c>
      <c r="M908" s="107">
        <v>1</v>
      </c>
      <c r="N908" s="78" t="s">
        <v>1386</v>
      </c>
      <c r="O908" s="111">
        <v>0</v>
      </c>
      <c r="P908" s="107">
        <v>12</v>
      </c>
      <c r="Q908" s="65"/>
      <c r="R908" s="65"/>
      <c r="S908" s="110">
        <v>342.21</v>
      </c>
      <c r="T908" s="65"/>
      <c r="U908" s="117">
        <f t="shared" si="805"/>
        <v>0</v>
      </c>
      <c r="V908" s="65"/>
      <c r="W908" s="202"/>
    </row>
    <row r="909" spans="9:23" ht="12" hidden="1" customHeight="1" outlineLevel="1">
      <c r="I909" s="65"/>
      <c r="J909" s="77" t="s">
        <v>1435</v>
      </c>
      <c r="K909" s="65"/>
      <c r="L909" s="107">
        <f t="shared" si="804"/>
        <v>43.660000000000011</v>
      </c>
      <c r="M909" s="107">
        <v>1</v>
      </c>
      <c r="N909" s="78" t="s">
        <v>1386</v>
      </c>
      <c r="O909" s="111">
        <v>1</v>
      </c>
      <c r="P909" s="107">
        <v>12</v>
      </c>
      <c r="Q909" s="65"/>
      <c r="R909" s="65"/>
      <c r="S909" s="110">
        <v>604</v>
      </c>
      <c r="T909" s="65"/>
      <c r="U909" s="117">
        <f t="shared" ref="U909:U917" si="806">IFERROR(L909*M909*O909*(S909/P909),0)</f>
        <v>2197.5533333333342</v>
      </c>
      <c r="V909" s="65"/>
      <c r="W909" s="202"/>
    </row>
    <row r="910" spans="9:23" ht="12" hidden="1" customHeight="1" outlineLevel="1">
      <c r="I910" s="65"/>
      <c r="J910" s="77" t="s">
        <v>1436</v>
      </c>
      <c r="K910" s="65"/>
      <c r="L910" s="107">
        <f t="shared" si="804"/>
        <v>43.660000000000011</v>
      </c>
      <c r="M910" s="107">
        <v>1</v>
      </c>
      <c r="N910" s="78" t="s">
        <v>1386</v>
      </c>
      <c r="O910" s="111">
        <v>0</v>
      </c>
      <c r="P910" s="107">
        <v>12</v>
      </c>
      <c r="Q910" s="65"/>
      <c r="R910" s="65"/>
      <c r="S910" s="110">
        <v>268.89999999999998</v>
      </c>
      <c r="T910" s="65"/>
      <c r="U910" s="117">
        <f t="shared" si="806"/>
        <v>0</v>
      </c>
      <c r="V910" s="65"/>
      <c r="W910" s="202"/>
    </row>
    <row r="911" spans="9:23" ht="12" hidden="1" customHeight="1" outlineLevel="1">
      <c r="I911" s="65"/>
      <c r="J911" s="77" t="s">
        <v>1437</v>
      </c>
      <c r="K911" s="65"/>
      <c r="L911" s="107">
        <f t="shared" si="804"/>
        <v>43.660000000000011</v>
      </c>
      <c r="M911" s="107">
        <v>1</v>
      </c>
      <c r="N911" s="78" t="s">
        <v>1386</v>
      </c>
      <c r="O911" s="111">
        <v>1</v>
      </c>
      <c r="P911" s="107">
        <v>12</v>
      </c>
      <c r="Q911" s="65"/>
      <c r="R911" s="65"/>
      <c r="S911" s="110">
        <v>294.5</v>
      </c>
      <c r="T911" s="65"/>
      <c r="U911" s="117">
        <f t="shared" si="806"/>
        <v>1071.489166666667</v>
      </c>
      <c r="V911" s="65"/>
      <c r="W911" s="202"/>
    </row>
    <row r="912" spans="9:23" ht="12" hidden="1" customHeight="1" outlineLevel="1">
      <c r="I912" s="65"/>
      <c r="J912" s="77" t="s">
        <v>1438</v>
      </c>
      <c r="K912" s="65"/>
      <c r="L912" s="107">
        <f t="shared" si="804"/>
        <v>43.660000000000011</v>
      </c>
      <c r="M912" s="107">
        <v>1</v>
      </c>
      <c r="N912" s="78" t="s">
        <v>1386</v>
      </c>
      <c r="O912" s="111">
        <v>0</v>
      </c>
      <c r="P912" s="107">
        <v>12</v>
      </c>
      <c r="Q912" s="65"/>
      <c r="R912" s="65"/>
      <c r="S912" s="110">
        <v>294.5</v>
      </c>
      <c r="T912" s="65"/>
      <c r="U912" s="117">
        <f t="shared" si="806"/>
        <v>0</v>
      </c>
      <c r="V912" s="65"/>
      <c r="W912" s="202"/>
    </row>
    <row r="913" spans="9:23" ht="12" hidden="1" customHeight="1" outlineLevel="1">
      <c r="I913" s="65"/>
      <c r="J913" s="77" t="s">
        <v>1439</v>
      </c>
      <c r="K913" s="65"/>
      <c r="L913" s="107">
        <f t="shared" si="804"/>
        <v>43.660000000000011</v>
      </c>
      <c r="M913" s="107">
        <v>1</v>
      </c>
      <c r="N913" s="78" t="s">
        <v>1386</v>
      </c>
      <c r="O913" s="111">
        <v>0</v>
      </c>
      <c r="P913" s="107">
        <v>12</v>
      </c>
      <c r="Q913" s="65"/>
      <c r="R913" s="65"/>
      <c r="S913" s="110">
        <v>294.5</v>
      </c>
      <c r="T913" s="65"/>
      <c r="U913" s="117">
        <f t="shared" si="806"/>
        <v>0</v>
      </c>
      <c r="V913" s="65"/>
      <c r="W913" s="202"/>
    </row>
    <row r="914" spans="9:23" ht="12" hidden="1" customHeight="1" outlineLevel="1">
      <c r="I914" s="65"/>
      <c r="J914" s="77" t="s">
        <v>1440</v>
      </c>
      <c r="K914" s="65"/>
      <c r="L914" s="107">
        <f t="shared" si="804"/>
        <v>43.660000000000011</v>
      </c>
      <c r="M914" s="107">
        <v>1</v>
      </c>
      <c r="N914" s="78" t="s">
        <v>1386</v>
      </c>
      <c r="O914" s="111">
        <v>1</v>
      </c>
      <c r="P914" s="107">
        <v>12</v>
      </c>
      <c r="Q914" s="65"/>
      <c r="R914" s="65"/>
      <c r="S914" s="110">
        <v>330.73</v>
      </c>
      <c r="T914" s="65"/>
      <c r="U914" s="117">
        <f t="shared" si="806"/>
        <v>1203.3059833333336</v>
      </c>
      <c r="V914" s="65"/>
      <c r="W914" s="202"/>
    </row>
    <row r="915" spans="9:23" ht="12" hidden="1" customHeight="1" outlineLevel="1">
      <c r="I915" s="65"/>
      <c r="J915" s="77" t="s">
        <v>1441</v>
      </c>
      <c r="K915" s="65"/>
      <c r="L915" s="107">
        <f t="shared" si="804"/>
        <v>43.660000000000011</v>
      </c>
      <c r="M915" s="107">
        <v>1</v>
      </c>
      <c r="N915" s="78" t="s">
        <v>1386</v>
      </c>
      <c r="O915" s="111">
        <v>1</v>
      </c>
      <c r="P915" s="107">
        <v>12</v>
      </c>
      <c r="Q915" s="65"/>
      <c r="R915" s="65"/>
      <c r="S915" s="110">
        <v>67.37</v>
      </c>
      <c r="T915" s="65"/>
      <c r="U915" s="117">
        <f t="shared" si="806"/>
        <v>245.11451666666673</v>
      </c>
      <c r="V915" s="65"/>
      <c r="W915" s="202"/>
    </row>
    <row r="916" spans="9:23" ht="12" hidden="1" customHeight="1" outlineLevel="1">
      <c r="I916" s="65"/>
      <c r="J916" s="77" t="s">
        <v>1442</v>
      </c>
      <c r="K916" s="65"/>
      <c r="L916" s="107">
        <f t="shared" si="804"/>
        <v>43.660000000000011</v>
      </c>
      <c r="M916" s="107">
        <v>1</v>
      </c>
      <c r="N916" s="78" t="s">
        <v>1386</v>
      </c>
      <c r="O916" s="111">
        <v>0</v>
      </c>
      <c r="P916" s="107">
        <v>12</v>
      </c>
      <c r="Q916" s="65"/>
      <c r="R916" s="65"/>
      <c r="S916" s="110">
        <v>51.63</v>
      </c>
      <c r="T916" s="65"/>
      <c r="U916" s="117">
        <f t="shared" si="806"/>
        <v>0</v>
      </c>
      <c r="V916" s="65"/>
      <c r="W916" s="202"/>
    </row>
    <row r="917" spans="9:23" ht="12" hidden="1" customHeight="1" outlineLevel="1">
      <c r="I917" s="65"/>
      <c r="J917" s="77" t="s">
        <v>1443</v>
      </c>
      <c r="K917" s="65"/>
      <c r="L917" s="107">
        <f t="shared" si="804"/>
        <v>43.660000000000011</v>
      </c>
      <c r="M917" s="107">
        <v>1</v>
      </c>
      <c r="N917" s="78" t="s">
        <v>1386</v>
      </c>
      <c r="O917" s="111">
        <v>0</v>
      </c>
      <c r="P917" s="107">
        <v>12</v>
      </c>
      <c r="Q917" s="65"/>
      <c r="R917" s="65"/>
      <c r="S917" s="110">
        <v>24</v>
      </c>
      <c r="T917" s="65"/>
      <c r="U917" s="117">
        <f t="shared" si="806"/>
        <v>0</v>
      </c>
      <c r="V917" s="65"/>
      <c r="W917" s="202"/>
    </row>
    <row r="918" spans="9:23" ht="12" hidden="1" customHeight="1" outlineLevel="1">
      <c r="I918" s="65"/>
      <c r="J918" s="77" t="s">
        <v>1444</v>
      </c>
      <c r="K918" s="65"/>
      <c r="L918" s="107">
        <f t="shared" si="804"/>
        <v>43.660000000000011</v>
      </c>
      <c r="M918" s="107">
        <v>1</v>
      </c>
      <c r="N918" s="78" t="s">
        <v>1386</v>
      </c>
      <c r="O918" s="111">
        <v>1</v>
      </c>
      <c r="P918" s="107">
        <v>6</v>
      </c>
      <c r="Q918" s="65"/>
      <c r="R918" s="65"/>
      <c r="S918" s="110">
        <v>40</v>
      </c>
      <c r="T918" s="65"/>
      <c r="U918" s="117">
        <f t="shared" si="805"/>
        <v>291.06666666666678</v>
      </c>
      <c r="V918" s="65"/>
      <c r="W918" s="202"/>
    </row>
    <row r="919" spans="9:23" ht="12" hidden="1" customHeight="1" outlineLevel="1">
      <c r="I919" s="65"/>
      <c r="J919" s="77" t="s">
        <v>1445</v>
      </c>
      <c r="K919" s="65"/>
      <c r="L919" s="107">
        <f t="shared" si="804"/>
        <v>43.660000000000011</v>
      </c>
      <c r="M919" s="107">
        <v>1</v>
      </c>
      <c r="N919" s="78" t="s">
        <v>1386</v>
      </c>
      <c r="O919" s="111">
        <v>1</v>
      </c>
      <c r="P919" s="107">
        <v>1</v>
      </c>
      <c r="Q919" s="65"/>
      <c r="R919" s="65"/>
      <c r="S919" s="110">
        <v>12</v>
      </c>
      <c r="T919" s="65"/>
      <c r="U919" s="117">
        <f t="shared" si="805"/>
        <v>523.92000000000007</v>
      </c>
      <c r="V919" s="65"/>
      <c r="W919" s="202"/>
    </row>
    <row r="920" spans="9:23" ht="12" hidden="1" customHeight="1" outlineLevel="1">
      <c r="I920" s="65"/>
      <c r="J920" s="77"/>
      <c r="K920" s="65"/>
      <c r="L920" s="107">
        <f t="shared" si="804"/>
        <v>43.660000000000011</v>
      </c>
      <c r="M920" s="107"/>
      <c r="N920" s="78" t="s">
        <v>1386</v>
      </c>
      <c r="O920" s="111">
        <v>0</v>
      </c>
      <c r="P920" s="107"/>
      <c r="Q920" s="65"/>
      <c r="R920" s="65"/>
      <c r="S920" s="110"/>
      <c r="T920" s="65"/>
      <c r="U920" s="117">
        <f t="shared" si="800"/>
        <v>0</v>
      </c>
      <c r="V920" s="65"/>
      <c r="W920" s="202"/>
    </row>
    <row r="921" spans="9:23" ht="12" hidden="1" customHeight="1" outlineLevel="1"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</row>
    <row r="922" spans="9:23" s="196" customFormat="1" ht="24" customHeight="1" collapsed="1">
      <c r="I922" s="189"/>
      <c r="J922" s="185" t="s">
        <v>51</v>
      </c>
      <c r="K922" s="190"/>
      <c r="L922" s="190"/>
      <c r="M922" s="190"/>
      <c r="N922" s="190"/>
      <c r="O922" s="190"/>
      <c r="P922" s="190"/>
      <c r="Q922" s="190"/>
      <c r="R922" s="190"/>
      <c r="S922" s="191"/>
      <c r="T922" s="192">
        <f>IFERROR(U922/$U$2,0)</f>
        <v>2.819657614829578E-3</v>
      </c>
      <c r="U922" s="193">
        <f>SUM(U924:U939)</f>
        <v>2464.5833333333317</v>
      </c>
      <c r="V922" s="190"/>
      <c r="W922" s="194"/>
    </row>
    <row r="923" spans="9:23" ht="12" hidden="1" customHeight="1" outlineLevel="1"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</row>
    <row r="924" spans="9:23" ht="24" hidden="1" customHeight="1" outlineLevel="1">
      <c r="I924" s="65"/>
      <c r="J924" s="142" t="s">
        <v>1446</v>
      </c>
      <c r="K924" s="65"/>
      <c r="L924" s="142" t="s">
        <v>1179</v>
      </c>
      <c r="M924" s="142" t="s">
        <v>1238</v>
      </c>
      <c r="N924" s="142" t="s">
        <v>1260</v>
      </c>
      <c r="O924" s="142" t="s">
        <v>1261</v>
      </c>
      <c r="P924" s="142" t="s">
        <v>1334</v>
      </c>
      <c r="Q924" s="65"/>
      <c r="R924" s="65"/>
      <c r="S924" s="142" t="s">
        <v>1240</v>
      </c>
      <c r="T924" s="65"/>
      <c r="U924" s="142" t="s">
        <v>1241</v>
      </c>
      <c r="V924" s="65"/>
      <c r="W924" s="142" t="s">
        <v>1111</v>
      </c>
    </row>
    <row r="925" spans="9:23" ht="12" hidden="1" customHeight="1" outlineLevel="1">
      <c r="I925" s="65"/>
      <c r="J925" s="77" t="s">
        <v>1447</v>
      </c>
      <c r="K925" s="65"/>
      <c r="L925" s="107"/>
      <c r="M925" s="78" t="s">
        <v>1246</v>
      </c>
      <c r="N925" s="107">
        <f>Dashboard!$D$14</f>
        <v>10</v>
      </c>
      <c r="O925" s="78" t="s">
        <v>1263</v>
      </c>
      <c r="P925" s="107">
        <v>24</v>
      </c>
      <c r="Q925" s="65"/>
      <c r="R925" s="65"/>
      <c r="S925" s="110">
        <v>129</v>
      </c>
      <c r="T925" s="65"/>
      <c r="U925" s="117">
        <f>IFERROR(L925*N925*(S925/P925),0)</f>
        <v>0</v>
      </c>
      <c r="V925" s="65"/>
      <c r="W925" s="202"/>
    </row>
    <row r="926" spans="9:23" ht="12" hidden="1" customHeight="1" outlineLevel="1">
      <c r="I926" s="65"/>
      <c r="J926" s="77" t="s">
        <v>1448</v>
      </c>
      <c r="K926" s="65"/>
      <c r="L926" s="107"/>
      <c r="M926" s="78" t="s">
        <v>1449</v>
      </c>
      <c r="N926" s="107">
        <f>Dashboard!$D$14</f>
        <v>10</v>
      </c>
      <c r="O926" s="78" t="s">
        <v>1263</v>
      </c>
      <c r="P926" s="107">
        <v>1</v>
      </c>
      <c r="Q926" s="65"/>
      <c r="R926" s="65"/>
      <c r="S926" s="110">
        <f>12.5/200</f>
        <v>6.25E-2</v>
      </c>
      <c r="T926" s="65"/>
      <c r="U926" s="117">
        <f t="shared" ref="U926:U939" si="807">IFERROR(L926*N926*(S926/P926),0)</f>
        <v>0</v>
      </c>
      <c r="V926" s="65"/>
      <c r="W926" s="202"/>
    </row>
    <row r="927" spans="9:23" ht="12" hidden="1" customHeight="1" outlineLevel="1">
      <c r="I927" s="65"/>
      <c r="J927" s="77" t="s">
        <v>1450</v>
      </c>
      <c r="K927" s="65"/>
      <c r="L927" s="107"/>
      <c r="M927" s="78" t="s">
        <v>1449</v>
      </c>
      <c r="N927" s="107">
        <f>Dashboard!$D$14</f>
        <v>10</v>
      </c>
      <c r="O927" s="78" t="s">
        <v>1263</v>
      </c>
      <c r="P927" s="107">
        <v>12</v>
      </c>
      <c r="Q927" s="65"/>
      <c r="R927" s="65"/>
      <c r="S927" s="110">
        <v>2.74</v>
      </c>
      <c r="T927" s="65"/>
      <c r="U927" s="117">
        <f t="shared" si="807"/>
        <v>0</v>
      </c>
      <c r="V927" s="65"/>
      <c r="W927" s="202"/>
    </row>
    <row r="928" spans="9:23" ht="12" hidden="1" customHeight="1" outlineLevel="1">
      <c r="I928" s="65"/>
      <c r="J928" s="77" t="s">
        <v>1451</v>
      </c>
      <c r="K928" s="65"/>
      <c r="L928" s="107">
        <f>ROUNDUP(L927/2.5,0)</f>
        <v>0</v>
      </c>
      <c r="M928" s="78" t="s">
        <v>1246</v>
      </c>
      <c r="N928" s="107">
        <f>Dashboard!$D$14</f>
        <v>10</v>
      </c>
      <c r="O928" s="78" t="s">
        <v>1263</v>
      </c>
      <c r="P928" s="107">
        <v>24</v>
      </c>
      <c r="Q928" s="65"/>
      <c r="R928" s="65"/>
      <c r="S928" s="110">
        <v>21</v>
      </c>
      <c r="T928" s="65"/>
      <c r="U928" s="117">
        <f t="shared" si="807"/>
        <v>0</v>
      </c>
      <c r="V928" s="65"/>
      <c r="W928" s="202"/>
    </row>
    <row r="929" spans="9:23" ht="12" hidden="1" customHeight="1" outlineLevel="1">
      <c r="I929" s="65"/>
      <c r="J929" s="77" t="s">
        <v>1452</v>
      </c>
      <c r="K929" s="65"/>
      <c r="L929" s="107"/>
      <c r="M929" s="78" t="s">
        <v>1449</v>
      </c>
      <c r="N929" s="107">
        <f>Dashboard!$D$14</f>
        <v>10</v>
      </c>
      <c r="O929" s="78" t="s">
        <v>1263</v>
      </c>
      <c r="P929" s="107">
        <v>3</v>
      </c>
      <c r="Q929" s="65"/>
      <c r="R929" s="65"/>
      <c r="S929" s="110">
        <f>90/50</f>
        <v>1.8</v>
      </c>
      <c r="T929" s="65"/>
      <c r="U929" s="117">
        <f t="shared" si="807"/>
        <v>0</v>
      </c>
      <c r="V929" s="65"/>
      <c r="W929" s="202"/>
    </row>
    <row r="930" spans="9:23" ht="12" hidden="1" customHeight="1" outlineLevel="1">
      <c r="I930" s="65"/>
      <c r="J930" s="77" t="s">
        <v>1453</v>
      </c>
      <c r="K930" s="65"/>
      <c r="L930" s="107">
        <f>ROUNDUP(L929/3,0)</f>
        <v>0</v>
      </c>
      <c r="M930" s="78" t="s">
        <v>1246</v>
      </c>
      <c r="N930" s="107">
        <f>Dashboard!$D$14</f>
        <v>10</v>
      </c>
      <c r="O930" s="78" t="s">
        <v>1263</v>
      </c>
      <c r="P930" s="107">
        <v>24</v>
      </c>
      <c r="Q930" s="65"/>
      <c r="R930" s="65"/>
      <c r="S930" s="110">
        <v>10.45</v>
      </c>
      <c r="T930" s="65"/>
      <c r="U930" s="117">
        <f t="shared" si="807"/>
        <v>0</v>
      </c>
      <c r="V930" s="65"/>
      <c r="W930" s="202"/>
    </row>
    <row r="931" spans="9:23" ht="12" hidden="1" customHeight="1" outlineLevel="1">
      <c r="I931" s="65"/>
      <c r="J931" s="77" t="s">
        <v>1454</v>
      </c>
      <c r="K931" s="65"/>
      <c r="L931" s="107">
        <f>IFERROR(SUM('Cronog. e Histog.'!K289:BR302,'Cronog. e Histog.'!K312:BR313,'Cronog. e Histog.'!K347:BR349,'Cronog. e Histog.'!K370:BR372,'Cronog. e Histog.'!K395:BR397,'Cronog. e Histog.'!K418:BR420)/N931,0)</f>
        <v>0.90999999999999948</v>
      </c>
      <c r="M931" s="78" t="s">
        <v>1246</v>
      </c>
      <c r="N931" s="107">
        <f>Dashboard!$D$14</f>
        <v>10</v>
      </c>
      <c r="O931" s="78" t="s">
        <v>1263</v>
      </c>
      <c r="P931" s="107">
        <v>24</v>
      </c>
      <c r="Q931" s="65"/>
      <c r="R931" s="65"/>
      <c r="S931" s="110">
        <v>6500</v>
      </c>
      <c r="T931" s="65"/>
      <c r="U931" s="117">
        <f t="shared" ref="U931" si="808">IFERROR(L931*N931*(S931/P931),0)</f>
        <v>2464.5833333333317</v>
      </c>
      <c r="V931" s="65"/>
      <c r="W931" s="202"/>
    </row>
    <row r="932" spans="9:23" ht="12" hidden="1" customHeight="1" outlineLevel="1">
      <c r="I932" s="65"/>
      <c r="J932" s="77" t="s">
        <v>1455</v>
      </c>
      <c r="K932" s="65"/>
      <c r="L932" s="107"/>
      <c r="M932" s="78" t="s">
        <v>1246</v>
      </c>
      <c r="N932" s="107">
        <f>Dashboard!$D$14</f>
        <v>10</v>
      </c>
      <c r="O932" s="78" t="s">
        <v>1263</v>
      </c>
      <c r="P932" s="107">
        <v>24</v>
      </c>
      <c r="Q932" s="65"/>
      <c r="R932" s="65"/>
      <c r="S932" s="110">
        <v>740</v>
      </c>
      <c r="T932" s="65"/>
      <c r="U932" s="117">
        <f t="shared" si="807"/>
        <v>0</v>
      </c>
      <c r="V932" s="65"/>
      <c r="W932" s="202"/>
    </row>
    <row r="933" spans="9:23" ht="12" hidden="1" customHeight="1" outlineLevel="1">
      <c r="I933" s="65"/>
      <c r="J933" s="77" t="s">
        <v>1456</v>
      </c>
      <c r="K933" s="65"/>
      <c r="L933" s="107"/>
      <c r="M933" s="78" t="s">
        <v>1246</v>
      </c>
      <c r="N933" s="107">
        <f>Dashboard!$D$14</f>
        <v>10</v>
      </c>
      <c r="O933" s="78" t="s">
        <v>1263</v>
      </c>
      <c r="P933" s="107">
        <v>24</v>
      </c>
      <c r="Q933" s="65"/>
      <c r="R933" s="65"/>
      <c r="S933" s="110">
        <v>20.5</v>
      </c>
      <c r="T933" s="65"/>
      <c r="U933" s="117">
        <f t="shared" si="807"/>
        <v>0</v>
      </c>
      <c r="V933" s="65"/>
      <c r="W933" s="202"/>
    </row>
    <row r="934" spans="9:23" ht="12" hidden="1" customHeight="1" outlineLevel="1">
      <c r="I934" s="65"/>
      <c r="J934" s="77" t="s">
        <v>1457</v>
      </c>
      <c r="K934" s="65"/>
      <c r="L934" s="107"/>
      <c r="M934" s="78" t="s">
        <v>1246</v>
      </c>
      <c r="N934" s="107">
        <f>Dashboard!$D$14</f>
        <v>10</v>
      </c>
      <c r="O934" s="78" t="s">
        <v>1263</v>
      </c>
      <c r="P934" s="107">
        <v>24</v>
      </c>
      <c r="Q934" s="65"/>
      <c r="R934" s="65"/>
      <c r="S934" s="110">
        <v>70</v>
      </c>
      <c r="T934" s="65"/>
      <c r="U934" s="117">
        <f t="shared" si="807"/>
        <v>0</v>
      </c>
      <c r="V934" s="65"/>
      <c r="W934" s="202"/>
    </row>
    <row r="935" spans="9:23" ht="12" hidden="1" customHeight="1" outlineLevel="1">
      <c r="I935" s="65"/>
      <c r="J935" s="77" t="s">
        <v>1458</v>
      </c>
      <c r="K935" s="65"/>
      <c r="L935" s="107"/>
      <c r="M935" s="78" t="s">
        <v>1246</v>
      </c>
      <c r="N935" s="107">
        <f>Dashboard!$D$14</f>
        <v>10</v>
      </c>
      <c r="O935" s="78" t="s">
        <v>1263</v>
      </c>
      <c r="P935" s="107">
        <v>24</v>
      </c>
      <c r="Q935" s="65"/>
      <c r="R935" s="65"/>
      <c r="S935" s="110">
        <v>90</v>
      </c>
      <c r="T935" s="65"/>
      <c r="U935" s="117">
        <f t="shared" si="807"/>
        <v>0</v>
      </c>
      <c r="V935" s="65"/>
      <c r="W935" s="202"/>
    </row>
    <row r="936" spans="9:23" ht="12" hidden="1" customHeight="1" outlineLevel="1">
      <c r="I936" s="65"/>
      <c r="J936" s="77" t="s">
        <v>1459</v>
      </c>
      <c r="K936" s="65"/>
      <c r="L936" s="107"/>
      <c r="M936" s="78" t="s">
        <v>1246</v>
      </c>
      <c r="N936" s="107">
        <f>Dashboard!$D$14</f>
        <v>10</v>
      </c>
      <c r="O936" s="78" t="s">
        <v>1263</v>
      </c>
      <c r="P936" s="107">
        <v>24</v>
      </c>
      <c r="Q936" s="65"/>
      <c r="R936" s="65"/>
      <c r="S936" s="110">
        <v>75</v>
      </c>
      <c r="T936" s="65"/>
      <c r="U936" s="117">
        <f t="shared" si="807"/>
        <v>0</v>
      </c>
      <c r="V936" s="65"/>
      <c r="W936" s="202"/>
    </row>
    <row r="937" spans="9:23" ht="12" hidden="1" customHeight="1" outlineLevel="1">
      <c r="I937" s="65"/>
      <c r="J937" s="77" t="s">
        <v>1460</v>
      </c>
      <c r="K937" s="65"/>
      <c r="L937" s="107">
        <f>L936</f>
        <v>0</v>
      </c>
      <c r="M937" s="78" t="s">
        <v>1246</v>
      </c>
      <c r="N937" s="107">
        <f>Dashboard!$D$14</f>
        <v>10</v>
      </c>
      <c r="O937" s="78" t="s">
        <v>1263</v>
      </c>
      <c r="P937" s="107">
        <v>24</v>
      </c>
      <c r="Q937" s="65"/>
      <c r="R937" s="65"/>
      <c r="S937" s="110">
        <v>62</v>
      </c>
      <c r="T937" s="65"/>
      <c r="U937" s="117">
        <f t="shared" si="807"/>
        <v>0</v>
      </c>
      <c r="V937" s="65"/>
      <c r="W937" s="202"/>
    </row>
    <row r="938" spans="9:23" ht="12" hidden="1" customHeight="1" outlineLevel="1">
      <c r="I938" s="65"/>
      <c r="J938" s="77" t="s">
        <v>1461</v>
      </c>
      <c r="K938" s="65"/>
      <c r="L938" s="107"/>
      <c r="M938" s="78" t="s">
        <v>1246</v>
      </c>
      <c r="N938" s="107">
        <f>Dashboard!$D$14</f>
        <v>10</v>
      </c>
      <c r="O938" s="78" t="s">
        <v>1263</v>
      </c>
      <c r="P938" s="107">
        <v>12</v>
      </c>
      <c r="Q938" s="65"/>
      <c r="R938" s="65"/>
      <c r="S938" s="110">
        <v>170</v>
      </c>
      <c r="T938" s="65"/>
      <c r="U938" s="117">
        <f t="shared" si="807"/>
        <v>0</v>
      </c>
      <c r="V938" s="65"/>
      <c r="W938" s="202"/>
    </row>
    <row r="939" spans="9:23" ht="12" hidden="1" customHeight="1" outlineLevel="1">
      <c r="I939" s="65"/>
      <c r="J939" s="77"/>
      <c r="K939" s="65"/>
      <c r="L939" s="107"/>
      <c r="M939" s="78"/>
      <c r="N939" s="107"/>
      <c r="O939" s="78"/>
      <c r="P939" s="107"/>
      <c r="Q939" s="65"/>
      <c r="R939" s="65"/>
      <c r="S939" s="110"/>
      <c r="T939" s="65"/>
      <c r="U939" s="117">
        <f t="shared" si="807"/>
        <v>0</v>
      </c>
      <c r="V939" s="65"/>
      <c r="W939" s="202"/>
    </row>
    <row r="940" spans="9:23" ht="12" hidden="1" customHeight="1" outlineLevel="1"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</row>
    <row r="941" spans="9:23" s="196" customFormat="1" ht="24" customHeight="1" collapsed="1">
      <c r="I941" s="189"/>
      <c r="J941" s="185" t="s">
        <v>55</v>
      </c>
      <c r="K941" s="190"/>
      <c r="L941" s="190"/>
      <c r="M941" s="190"/>
      <c r="N941" s="190"/>
      <c r="O941" s="190"/>
      <c r="P941" s="190"/>
      <c r="Q941" s="190"/>
      <c r="R941" s="190"/>
      <c r="S941" s="191"/>
      <c r="T941" s="192">
        <f>IFERROR(U941/$U$2,0)</f>
        <v>0</v>
      </c>
      <c r="U941" s="193">
        <f>SUM(U943:U965)</f>
        <v>0</v>
      </c>
      <c r="V941" s="190"/>
      <c r="W941" s="194"/>
    </row>
    <row r="942" spans="9:23" ht="12" hidden="1" customHeight="1" outlineLevel="1"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</row>
    <row r="943" spans="9:23" ht="24" hidden="1" customHeight="1" outlineLevel="1">
      <c r="I943" s="65"/>
      <c r="J943" s="142" t="s">
        <v>1462</v>
      </c>
      <c r="K943" s="65"/>
      <c r="L943" s="142" t="s">
        <v>1237</v>
      </c>
      <c r="M943" s="142" t="s">
        <v>1179</v>
      </c>
      <c r="N943" s="142" t="s">
        <v>1238</v>
      </c>
      <c r="O943" s="142" t="s">
        <v>1239</v>
      </c>
      <c r="P943" s="142" t="s">
        <v>1463</v>
      </c>
      <c r="Q943" s="65"/>
      <c r="R943" s="65"/>
      <c r="S943" s="142" t="s">
        <v>1240</v>
      </c>
      <c r="T943" s="65"/>
      <c r="U943" s="142" t="s">
        <v>1241</v>
      </c>
      <c r="V943" s="65"/>
      <c r="W943" s="142" t="s">
        <v>1111</v>
      </c>
    </row>
    <row r="944" spans="9:23" ht="12" hidden="1" customHeight="1" outlineLevel="1">
      <c r="I944" s="65"/>
      <c r="J944" s="77" t="s">
        <v>1464</v>
      </c>
      <c r="K944" s="65"/>
      <c r="L944" s="107">
        <f>'Cronog. e Histog.'!$I$861</f>
        <v>4.3499999999999996</v>
      </c>
      <c r="M944" s="107">
        <f>IFERROR(ROUNDUP(Dashboard!$D$14/P944,0),0)</f>
        <v>1</v>
      </c>
      <c r="N944" s="78" t="s">
        <v>1246</v>
      </c>
      <c r="O944" s="111"/>
      <c r="P944" s="107">
        <v>12</v>
      </c>
      <c r="Q944" s="65"/>
      <c r="R944" s="65"/>
      <c r="S944" s="110">
        <v>80</v>
      </c>
      <c r="T944" s="65"/>
      <c r="U944" s="117">
        <f t="shared" ref="U944:U964" si="809">IFERROR(L944*M944*O944*S944,0)</f>
        <v>0</v>
      </c>
      <c r="V944" s="65"/>
      <c r="W944" s="202"/>
    </row>
    <row r="945" spans="9:23" ht="12" hidden="1" customHeight="1" outlineLevel="1">
      <c r="I945" s="65"/>
      <c r="J945" s="77" t="s">
        <v>1465</v>
      </c>
      <c r="K945" s="65"/>
      <c r="L945" s="107">
        <f>'Cronog. e Histog.'!$I$861</f>
        <v>4.3499999999999996</v>
      </c>
      <c r="M945" s="107">
        <f>IFERROR(ROUNDUP(Dashboard!$D$14/P945,0),0)</f>
        <v>1</v>
      </c>
      <c r="N945" s="78" t="s">
        <v>1246</v>
      </c>
      <c r="O945" s="111"/>
      <c r="P945" s="107">
        <v>12</v>
      </c>
      <c r="Q945" s="65"/>
      <c r="R945" s="65"/>
      <c r="S945" s="110">
        <v>275</v>
      </c>
      <c r="T945" s="65"/>
      <c r="U945" s="117">
        <f t="shared" ref="U945:U953" si="810">IFERROR(L945*M945*O945*S945,0)</f>
        <v>0</v>
      </c>
      <c r="V945" s="65"/>
      <c r="W945" s="202"/>
    </row>
    <row r="946" spans="9:23" ht="12" hidden="1" customHeight="1" outlineLevel="1">
      <c r="I946" s="65"/>
      <c r="J946" s="77" t="s">
        <v>1466</v>
      </c>
      <c r="K946" s="65"/>
      <c r="L946" s="107">
        <f>'Cronog. e Histog.'!$I$861</f>
        <v>4.3499999999999996</v>
      </c>
      <c r="M946" s="107">
        <f>IFERROR(ROUNDUP(Dashboard!$D$14/P946,0),0)</f>
        <v>1</v>
      </c>
      <c r="N946" s="78" t="s">
        <v>1246</v>
      </c>
      <c r="O946" s="111"/>
      <c r="P946" s="107">
        <v>24</v>
      </c>
      <c r="Q946" s="65"/>
      <c r="R946" s="65"/>
      <c r="S946" s="110">
        <v>550</v>
      </c>
      <c r="T946" s="65"/>
      <c r="U946" s="117">
        <f t="shared" si="810"/>
        <v>0</v>
      </c>
      <c r="V946" s="65"/>
      <c r="W946" s="202"/>
    </row>
    <row r="947" spans="9:23" ht="12" hidden="1" customHeight="1" outlineLevel="1">
      <c r="I947" s="65"/>
      <c r="J947" s="77" t="s">
        <v>1467</v>
      </c>
      <c r="K947" s="65"/>
      <c r="L947" s="107">
        <f>'Cronog. e Histog.'!$I$861</f>
        <v>4.3499999999999996</v>
      </c>
      <c r="M947" s="107">
        <f>IFERROR(ROUNDUP(Dashboard!$D$14/P947,0),0)</f>
        <v>1</v>
      </c>
      <c r="N947" s="78" t="s">
        <v>1246</v>
      </c>
      <c r="O947" s="111"/>
      <c r="P947" s="107">
        <v>12</v>
      </c>
      <c r="Q947" s="65"/>
      <c r="R947" s="65"/>
      <c r="S947" s="110">
        <v>150</v>
      </c>
      <c r="T947" s="65"/>
      <c r="U947" s="117">
        <f t="shared" si="810"/>
        <v>0</v>
      </c>
      <c r="V947" s="65"/>
      <c r="W947" s="202"/>
    </row>
    <row r="948" spans="9:23" ht="12" hidden="1" customHeight="1" outlineLevel="1">
      <c r="I948" s="65"/>
      <c r="J948" s="77" t="s">
        <v>1468</v>
      </c>
      <c r="K948" s="65"/>
      <c r="L948" s="107">
        <f>'Cronog. e Histog.'!$I$861</f>
        <v>4.3499999999999996</v>
      </c>
      <c r="M948" s="107">
        <f>IFERROR(ROUNDUP(Dashboard!$D$14/P948,0),0)</f>
        <v>1</v>
      </c>
      <c r="N948" s="78" t="s">
        <v>1246</v>
      </c>
      <c r="O948" s="111"/>
      <c r="P948" s="107">
        <v>12</v>
      </c>
      <c r="Q948" s="65"/>
      <c r="R948" s="65"/>
      <c r="S948" s="110">
        <f>IFERROR((SUMPRODUCT($L$7:$L$533,$S$7:$S$533)/SUM($L$7:$L$533))/Dashboard!$D$16,0)</f>
        <v>594.96342737722068</v>
      </c>
      <c r="T948" s="65"/>
      <c r="U948" s="117">
        <f t="shared" si="810"/>
        <v>0</v>
      </c>
      <c r="V948" s="65"/>
      <c r="W948" s="202"/>
    </row>
    <row r="949" spans="9:23" ht="12" hidden="1" customHeight="1" outlineLevel="1">
      <c r="I949" s="65"/>
      <c r="J949" s="77" t="s">
        <v>1469</v>
      </c>
      <c r="K949" s="65"/>
      <c r="L949" s="107">
        <f>'Cronog. e Histog.'!$I$861</f>
        <v>4.3499999999999996</v>
      </c>
      <c r="M949" s="107">
        <f>IFERROR(ROUNDUP(Dashboard!$D$14/P949,0),0)</f>
        <v>1</v>
      </c>
      <c r="N949" s="78" t="s">
        <v>1246</v>
      </c>
      <c r="O949" s="111"/>
      <c r="P949" s="107">
        <v>24</v>
      </c>
      <c r="Q949" s="65"/>
      <c r="R949" s="65"/>
      <c r="S949" s="110">
        <f>IFERROR((SUMPRODUCT($L$7:$L$533,$S$7:$S$533)/SUM($L$7:$L$533))/Dashboard!$D$16,0)</f>
        <v>594.96342737722068</v>
      </c>
      <c r="T949" s="65"/>
      <c r="U949" s="117">
        <f t="shared" si="810"/>
        <v>0</v>
      </c>
      <c r="V949" s="65"/>
      <c r="W949" s="202"/>
    </row>
    <row r="950" spans="9:23" ht="12" hidden="1" customHeight="1" outlineLevel="1">
      <c r="I950" s="65"/>
      <c r="J950" s="77" t="s">
        <v>1470</v>
      </c>
      <c r="K950" s="65"/>
      <c r="L950" s="107">
        <f>'Cronog. e Histog.'!$I$861</f>
        <v>4.3499999999999996</v>
      </c>
      <c r="M950" s="107">
        <f>IFERROR(ROUNDUP(Dashboard!$D$14/P950,0),0)</f>
        <v>1</v>
      </c>
      <c r="N950" s="78" t="s">
        <v>1246</v>
      </c>
      <c r="O950" s="111"/>
      <c r="P950" s="107">
        <v>12</v>
      </c>
      <c r="Q950" s="65"/>
      <c r="R950" s="65"/>
      <c r="S950" s="110">
        <v>100</v>
      </c>
      <c r="T950" s="65"/>
      <c r="U950" s="117">
        <f t="shared" si="810"/>
        <v>0</v>
      </c>
      <c r="V950" s="65"/>
      <c r="W950" s="202"/>
    </row>
    <row r="951" spans="9:23" ht="12" hidden="1" customHeight="1" outlineLevel="1">
      <c r="I951" s="65"/>
      <c r="J951" s="77" t="s">
        <v>1471</v>
      </c>
      <c r="K951" s="65"/>
      <c r="L951" s="107">
        <f>'Cronog. e Histog.'!$I$861</f>
        <v>4.3499999999999996</v>
      </c>
      <c r="M951" s="107">
        <f>IFERROR(ROUNDUP(Dashboard!$D$14/P951,0),0)</f>
        <v>1</v>
      </c>
      <c r="N951" s="78" t="s">
        <v>1246</v>
      </c>
      <c r="O951" s="111"/>
      <c r="P951" s="107">
        <v>24</v>
      </c>
      <c r="Q951" s="65"/>
      <c r="R951" s="65"/>
      <c r="S951" s="110">
        <v>100</v>
      </c>
      <c r="T951" s="65"/>
      <c r="U951" s="117">
        <f t="shared" si="810"/>
        <v>0</v>
      </c>
      <c r="V951" s="65"/>
      <c r="W951" s="202"/>
    </row>
    <row r="952" spans="9:23" ht="12" hidden="1" customHeight="1" outlineLevel="1">
      <c r="I952" s="65"/>
      <c r="J952" s="77" t="s">
        <v>1472</v>
      </c>
      <c r="K952" s="65"/>
      <c r="L952" s="107">
        <f>'Cronog. e Histog.'!$I$861</f>
        <v>4.3499999999999996</v>
      </c>
      <c r="M952" s="107">
        <f>IFERROR(ROUNDUP(Dashboard!$D$14/P952,0),0)</f>
        <v>1</v>
      </c>
      <c r="N952" s="78" t="s">
        <v>1246</v>
      </c>
      <c r="O952" s="111"/>
      <c r="P952" s="107">
        <v>24</v>
      </c>
      <c r="Q952" s="65"/>
      <c r="R952" s="65"/>
      <c r="S952" s="110">
        <v>190</v>
      </c>
      <c r="T952" s="65"/>
      <c r="U952" s="117">
        <f t="shared" si="810"/>
        <v>0</v>
      </c>
      <c r="V952" s="65"/>
      <c r="W952" s="202"/>
    </row>
    <row r="953" spans="9:23" ht="12" hidden="1" customHeight="1" outlineLevel="1">
      <c r="I953" s="65"/>
      <c r="J953" s="77" t="s">
        <v>1473</v>
      </c>
      <c r="K953" s="65"/>
      <c r="L953" s="107">
        <f>'Cronog. e Histog.'!$I$861</f>
        <v>4.3499999999999996</v>
      </c>
      <c r="M953" s="107">
        <f>IFERROR(ROUNDUP(Dashboard!$D$14/P953,0),0)</f>
        <v>1</v>
      </c>
      <c r="N953" s="78" t="s">
        <v>1246</v>
      </c>
      <c r="O953" s="111"/>
      <c r="P953" s="107">
        <v>24</v>
      </c>
      <c r="Q953" s="65"/>
      <c r="R953" s="65"/>
      <c r="S953" s="110">
        <v>150</v>
      </c>
      <c r="T953" s="65"/>
      <c r="U953" s="117">
        <f t="shared" si="810"/>
        <v>0</v>
      </c>
      <c r="V953" s="65"/>
      <c r="W953" s="202"/>
    </row>
    <row r="954" spans="9:23" ht="12" hidden="1" customHeight="1" outlineLevel="1">
      <c r="I954" s="65"/>
      <c r="J954" s="77" t="s">
        <v>1474</v>
      </c>
      <c r="K954" s="65"/>
      <c r="L954" s="107">
        <f>'Cronog. e Histog.'!$I$861</f>
        <v>4.3499999999999996</v>
      </c>
      <c r="M954" s="107">
        <f>IFERROR(ROUNDUP(Dashboard!$D$14/P954,0),0)</f>
        <v>1</v>
      </c>
      <c r="N954" s="78" t="s">
        <v>1246</v>
      </c>
      <c r="O954" s="111"/>
      <c r="P954" s="107">
        <v>24</v>
      </c>
      <c r="Q954" s="65"/>
      <c r="R954" s="65"/>
      <c r="S954" s="110">
        <v>175</v>
      </c>
      <c r="T954" s="65"/>
      <c r="U954" s="117">
        <f t="shared" si="809"/>
        <v>0</v>
      </c>
      <c r="V954" s="65"/>
      <c r="W954" s="202"/>
    </row>
    <row r="955" spans="9:23" ht="12" hidden="1" customHeight="1" outlineLevel="1">
      <c r="I955" s="65"/>
      <c r="J955" s="77" t="s">
        <v>1475</v>
      </c>
      <c r="K955" s="65"/>
      <c r="L955" s="107">
        <f>'Cronog. e Histog.'!$I$861</f>
        <v>4.3499999999999996</v>
      </c>
      <c r="M955" s="107">
        <f>IFERROR(ROUNDUP(Dashboard!$D$14/P955,0),0)</f>
        <v>1</v>
      </c>
      <c r="N955" s="78" t="s">
        <v>1246</v>
      </c>
      <c r="O955" s="111"/>
      <c r="P955" s="107">
        <v>24</v>
      </c>
      <c r="Q955" s="65"/>
      <c r="R955" s="65"/>
      <c r="S955" s="110">
        <v>210</v>
      </c>
      <c r="T955" s="65"/>
      <c r="U955" s="117">
        <f t="shared" si="809"/>
        <v>0</v>
      </c>
      <c r="V955" s="65"/>
      <c r="W955" s="202"/>
    </row>
    <row r="956" spans="9:23" ht="12" hidden="1" customHeight="1" outlineLevel="1">
      <c r="I956" s="65"/>
      <c r="J956" s="77" t="s">
        <v>1476</v>
      </c>
      <c r="K956" s="65"/>
      <c r="L956" s="107">
        <f>'Cronog. e Histog.'!$I$861</f>
        <v>4.3499999999999996</v>
      </c>
      <c r="M956" s="107">
        <f>IFERROR(ROUNDUP(Dashboard!$D$14/P956,0),0)</f>
        <v>1</v>
      </c>
      <c r="N956" s="78" t="s">
        <v>1246</v>
      </c>
      <c r="O956" s="111"/>
      <c r="P956" s="107">
        <v>24</v>
      </c>
      <c r="Q956" s="65"/>
      <c r="R956" s="65"/>
      <c r="S956" s="110">
        <v>150</v>
      </c>
      <c r="T956" s="65"/>
      <c r="U956" s="117">
        <f t="shared" si="809"/>
        <v>0</v>
      </c>
      <c r="V956" s="65"/>
      <c r="W956" s="202"/>
    </row>
    <row r="957" spans="9:23" ht="12" hidden="1" customHeight="1" outlineLevel="1">
      <c r="I957" s="65"/>
      <c r="J957" s="77" t="s">
        <v>1477</v>
      </c>
      <c r="K957" s="65"/>
      <c r="L957" s="107">
        <f>'Cronog. e Histog.'!$I$861</f>
        <v>4.3499999999999996</v>
      </c>
      <c r="M957" s="107">
        <f>IFERROR(ROUNDUP(Dashboard!$D$14/P957,0),0)</f>
        <v>1</v>
      </c>
      <c r="N957" s="78" t="s">
        <v>1246</v>
      </c>
      <c r="O957" s="111"/>
      <c r="P957" s="107">
        <v>24</v>
      </c>
      <c r="Q957" s="65"/>
      <c r="R957" s="65"/>
      <c r="S957" s="110">
        <v>190</v>
      </c>
      <c r="T957" s="65"/>
      <c r="U957" s="117">
        <f t="shared" si="809"/>
        <v>0</v>
      </c>
      <c r="V957" s="65"/>
      <c r="W957" s="202"/>
    </row>
    <row r="958" spans="9:23" ht="12" hidden="1" customHeight="1" outlineLevel="1">
      <c r="I958" s="65"/>
      <c r="J958" s="77" t="s">
        <v>1478</v>
      </c>
      <c r="K958" s="65"/>
      <c r="L958" s="107">
        <f>'Cronog. e Histog.'!$I$861</f>
        <v>4.3499999999999996</v>
      </c>
      <c r="M958" s="107">
        <f>IFERROR(ROUNDUP(Dashboard!$D$14/P958,0),0)</f>
        <v>1</v>
      </c>
      <c r="N958" s="78" t="s">
        <v>1246</v>
      </c>
      <c r="O958" s="111"/>
      <c r="P958" s="107">
        <v>24</v>
      </c>
      <c r="Q958" s="65"/>
      <c r="R958" s="65"/>
      <c r="S958" s="110">
        <v>190</v>
      </c>
      <c r="T958" s="65"/>
      <c r="U958" s="117">
        <f t="shared" si="809"/>
        <v>0</v>
      </c>
      <c r="V958" s="65"/>
      <c r="W958" s="202"/>
    </row>
    <row r="959" spans="9:23" ht="12" hidden="1" customHeight="1" outlineLevel="1">
      <c r="I959" s="65"/>
      <c r="J959" s="77" t="s">
        <v>1479</v>
      </c>
      <c r="K959" s="65"/>
      <c r="L959" s="107">
        <f>'Cronog. e Histog.'!$I$861</f>
        <v>4.3499999999999996</v>
      </c>
      <c r="M959" s="107">
        <f>IFERROR(ROUNDUP(Dashboard!$D$14/P959,0),0)</f>
        <v>1</v>
      </c>
      <c r="N959" s="78" t="s">
        <v>1246</v>
      </c>
      <c r="O959" s="111"/>
      <c r="P959" s="107">
        <v>24</v>
      </c>
      <c r="Q959" s="65"/>
      <c r="R959" s="65"/>
      <c r="S959" s="110">
        <v>150</v>
      </c>
      <c r="T959" s="65"/>
      <c r="U959" s="117">
        <f t="shared" si="809"/>
        <v>0</v>
      </c>
      <c r="V959" s="65"/>
      <c r="W959" s="202"/>
    </row>
    <row r="960" spans="9:23" ht="12" hidden="1" customHeight="1" outlineLevel="1">
      <c r="I960" s="65"/>
      <c r="J960" s="77" t="s">
        <v>1480</v>
      </c>
      <c r="K960" s="65"/>
      <c r="L960" s="107">
        <f>'Cronog. e Histog.'!$I$861</f>
        <v>4.3499999999999996</v>
      </c>
      <c r="M960" s="107">
        <f>IFERROR(ROUNDUP(Dashboard!$D$14/P960,0),0)</f>
        <v>1</v>
      </c>
      <c r="N960" s="78" t="s">
        <v>1246</v>
      </c>
      <c r="O960" s="111"/>
      <c r="P960" s="107">
        <v>24</v>
      </c>
      <c r="Q960" s="65"/>
      <c r="R960" s="65"/>
      <c r="S960" s="110">
        <v>125</v>
      </c>
      <c r="T960" s="65"/>
      <c r="U960" s="117">
        <f t="shared" si="809"/>
        <v>0</v>
      </c>
      <c r="V960" s="65"/>
      <c r="W960" s="202"/>
    </row>
    <row r="961" spans="9:23" ht="12" hidden="1" customHeight="1" outlineLevel="1">
      <c r="I961" s="65"/>
      <c r="J961" s="77" t="s">
        <v>1481</v>
      </c>
      <c r="K961" s="65"/>
      <c r="L961" s="107">
        <f>'Cronog. e Histog.'!$I$861</f>
        <v>4.3499999999999996</v>
      </c>
      <c r="M961" s="107">
        <f>IFERROR(ROUNDUP(Dashboard!$D$14/P961,0),0)</f>
        <v>1</v>
      </c>
      <c r="N961" s="78" t="s">
        <v>1246</v>
      </c>
      <c r="O961" s="111"/>
      <c r="P961" s="107">
        <v>24</v>
      </c>
      <c r="Q961" s="65"/>
      <c r="R961" s="65"/>
      <c r="S961" s="110">
        <v>150</v>
      </c>
      <c r="T961" s="65"/>
      <c r="U961" s="117">
        <f t="shared" si="809"/>
        <v>0</v>
      </c>
      <c r="V961" s="65"/>
      <c r="W961" s="202"/>
    </row>
    <row r="962" spans="9:23" ht="12" hidden="1" customHeight="1" outlineLevel="1">
      <c r="I962" s="65"/>
      <c r="J962" s="77" t="s">
        <v>1482</v>
      </c>
      <c r="K962" s="65"/>
      <c r="L962" s="107">
        <f>'Cronog. e Histog.'!$I$861</f>
        <v>4.3499999999999996</v>
      </c>
      <c r="M962" s="107">
        <f>IFERROR(ROUNDUP(Dashboard!$D$14/P962,0),0)</f>
        <v>1</v>
      </c>
      <c r="N962" s="78" t="s">
        <v>1246</v>
      </c>
      <c r="O962" s="111"/>
      <c r="P962" s="107">
        <v>24</v>
      </c>
      <c r="Q962" s="65"/>
      <c r="R962" s="65"/>
      <c r="S962" s="110">
        <v>190</v>
      </c>
      <c r="T962" s="65"/>
      <c r="U962" s="117">
        <f t="shared" si="809"/>
        <v>0</v>
      </c>
      <c r="V962" s="65"/>
      <c r="W962" s="202"/>
    </row>
    <row r="963" spans="9:23" ht="12" hidden="1" customHeight="1" outlineLevel="1">
      <c r="I963" s="65"/>
      <c r="J963" s="77" t="s">
        <v>1483</v>
      </c>
      <c r="K963" s="65"/>
      <c r="L963" s="107">
        <f>'Cronog. e Histog.'!$I$861</f>
        <v>4.3499999999999996</v>
      </c>
      <c r="M963" s="107">
        <f>IFERROR(ROUNDUP(Dashboard!$D$14/P963,0),0)</f>
        <v>1</v>
      </c>
      <c r="N963" s="78" t="s">
        <v>1246</v>
      </c>
      <c r="O963" s="111"/>
      <c r="P963" s="107">
        <v>24</v>
      </c>
      <c r="Q963" s="65"/>
      <c r="R963" s="65"/>
      <c r="S963" s="110">
        <v>190</v>
      </c>
      <c r="T963" s="65"/>
      <c r="U963" s="117">
        <f t="shared" si="809"/>
        <v>0</v>
      </c>
      <c r="V963" s="65"/>
      <c r="W963" s="202"/>
    </row>
    <row r="964" spans="9:23" ht="12" hidden="1" customHeight="1" outlineLevel="1">
      <c r="I964" s="65"/>
      <c r="J964" s="77"/>
      <c r="K964" s="65"/>
      <c r="L964" s="107"/>
      <c r="M964" s="107">
        <f>IFERROR(ROUNDUP(Dashboard!$D$14/P964,0),0)</f>
        <v>0</v>
      </c>
      <c r="N964" s="78" t="s">
        <v>1246</v>
      </c>
      <c r="O964" s="111"/>
      <c r="P964" s="107"/>
      <c r="Q964" s="65"/>
      <c r="R964" s="65"/>
      <c r="S964" s="110"/>
      <c r="T964" s="65"/>
      <c r="U964" s="117">
        <f t="shared" si="809"/>
        <v>0</v>
      </c>
      <c r="V964" s="65"/>
      <c r="W964" s="202"/>
    </row>
    <row r="965" spans="9:23" ht="12" hidden="1" customHeight="1" outlineLevel="1">
      <c r="I965" s="65"/>
      <c r="J965" s="77"/>
      <c r="K965" s="65"/>
      <c r="L965" s="107"/>
      <c r="M965" s="107">
        <f>IFERROR(ROUNDUP(Dashboard!$D$14/P965,0),0)</f>
        <v>0</v>
      </c>
      <c r="N965" s="78" t="s">
        <v>1246</v>
      </c>
      <c r="O965" s="111"/>
      <c r="P965" s="107"/>
      <c r="Q965" s="65"/>
      <c r="R965" s="65"/>
      <c r="S965" s="110"/>
      <c r="T965" s="65"/>
      <c r="U965" s="117">
        <f t="shared" ref="U965" si="811">IFERROR(L965*M965*O965*S965,0)</f>
        <v>0</v>
      </c>
      <c r="V965" s="65"/>
      <c r="W965" s="202"/>
    </row>
    <row r="966" spans="9:23" ht="12" hidden="1" customHeight="1" outlineLevel="1"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</row>
    <row r="967" spans="9:23" s="196" customFormat="1" ht="24" customHeight="1">
      <c r="I967" s="189"/>
      <c r="J967" s="185" t="s">
        <v>58</v>
      </c>
      <c r="K967" s="190"/>
      <c r="L967" s="190"/>
      <c r="M967" s="190"/>
      <c r="N967" s="190"/>
      <c r="O967" s="190"/>
      <c r="P967" s="190"/>
      <c r="Q967" s="190"/>
      <c r="R967" s="190"/>
      <c r="S967" s="191"/>
      <c r="T967" s="192">
        <f>IFERROR(U967/$U$2,0)</f>
        <v>9.9534152151549662E-2</v>
      </c>
      <c r="U967" s="193">
        <f>SUM(U969:U984)</f>
        <v>87000</v>
      </c>
      <c r="V967" s="190"/>
      <c r="W967" s="194"/>
    </row>
    <row r="968" spans="9:23" ht="12" customHeight="1" outlineLevel="1"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</row>
    <row r="969" spans="9:23" ht="24" customHeight="1" outlineLevel="1">
      <c r="I969" s="65"/>
      <c r="J969" s="142" t="s">
        <v>1484</v>
      </c>
      <c r="K969" s="65"/>
      <c r="L969" s="142" t="s">
        <v>1357</v>
      </c>
      <c r="M969" s="142" t="s">
        <v>1179</v>
      </c>
      <c r="N969" s="142" t="s">
        <v>1238</v>
      </c>
      <c r="O969" s="142" t="s">
        <v>1239</v>
      </c>
      <c r="P969" s="65"/>
      <c r="Q969" s="65"/>
      <c r="R969" s="65"/>
      <c r="S969" s="142" t="s">
        <v>1240</v>
      </c>
      <c r="T969" s="65"/>
      <c r="U969" s="142" t="s">
        <v>1241</v>
      </c>
      <c r="V969" s="65"/>
      <c r="W969" s="142" t="s">
        <v>1111</v>
      </c>
    </row>
    <row r="970" spans="9:23" ht="12" customHeight="1" outlineLevel="1">
      <c r="I970" s="65"/>
      <c r="J970" s="77" t="s">
        <v>1485</v>
      </c>
      <c r="K970" s="65"/>
      <c r="L970" s="107">
        <f>SUMPRODUCT($L$7:$L$89,$M$7:$M$89)</f>
        <v>0.96000000000000008</v>
      </c>
      <c r="M970" s="107"/>
      <c r="N970" s="78" t="s">
        <v>1486</v>
      </c>
      <c r="O970" s="111"/>
      <c r="P970" s="65"/>
      <c r="Q970" s="65"/>
      <c r="R970" s="65"/>
      <c r="S970" s="110"/>
      <c r="T970" s="65"/>
      <c r="U970" s="117">
        <f>L970*M970*O970*S970</f>
        <v>0</v>
      </c>
      <c r="V970" s="65"/>
      <c r="W970" s="202"/>
    </row>
    <row r="971" spans="9:23" ht="12" customHeight="1" outlineLevel="1">
      <c r="I971" s="65"/>
      <c r="J971" s="77" t="s">
        <v>1487</v>
      </c>
      <c r="K971" s="65"/>
      <c r="L971" s="107">
        <f>SUMPRODUCT($L$95:$L$587,$M$95:$M$587)</f>
        <v>42.7</v>
      </c>
      <c r="M971" s="107"/>
      <c r="N971" s="78" t="s">
        <v>1486</v>
      </c>
      <c r="O971" s="111"/>
      <c r="P971" s="65"/>
      <c r="Q971" s="65"/>
      <c r="R971" s="65"/>
      <c r="S971" s="110"/>
      <c r="T971" s="65"/>
      <c r="U971" s="117">
        <f t="shared" ref="U971:U974" si="812">L971*M971*O971*S971</f>
        <v>0</v>
      </c>
      <c r="V971" s="65"/>
      <c r="W971" s="202"/>
    </row>
    <row r="972" spans="9:23" ht="12" customHeight="1" outlineLevel="1">
      <c r="I972" s="65"/>
      <c r="J972" s="77" t="s">
        <v>1488</v>
      </c>
      <c r="K972" s="65"/>
      <c r="L972" s="107">
        <f>SUMPRODUCT($L$7:$L$89,$M$7:$M$89)</f>
        <v>0.96000000000000008</v>
      </c>
      <c r="M972" s="107"/>
      <c r="N972" s="78" t="s">
        <v>1486</v>
      </c>
      <c r="O972" s="111"/>
      <c r="P972" s="65"/>
      <c r="Q972" s="65"/>
      <c r="R972" s="65"/>
      <c r="S972" s="110"/>
      <c r="T972" s="65"/>
      <c r="U972" s="117">
        <f t="shared" si="812"/>
        <v>0</v>
      </c>
      <c r="V972" s="65"/>
      <c r="W972" s="202"/>
    </row>
    <row r="973" spans="9:23" ht="12" customHeight="1" outlineLevel="1">
      <c r="I973" s="65"/>
      <c r="J973" s="77" t="s">
        <v>1489</v>
      </c>
      <c r="K973" s="65"/>
      <c r="L973" s="107">
        <f>SUMPRODUCT($L$95:$L$587,$M$95:$M$587)</f>
        <v>42.7</v>
      </c>
      <c r="M973" s="107"/>
      <c r="N973" s="78" t="s">
        <v>1486</v>
      </c>
      <c r="O973" s="111"/>
      <c r="P973" s="65"/>
      <c r="Q973" s="65"/>
      <c r="R973" s="65"/>
      <c r="S973" s="110"/>
      <c r="T973" s="65"/>
      <c r="U973" s="117">
        <f t="shared" ref="U973" si="813">L973*M973*O973*S973</f>
        <v>0</v>
      </c>
      <c r="V973" s="65"/>
      <c r="W973" s="202"/>
    </row>
    <row r="974" spans="9:23" ht="12" customHeight="1" outlineLevel="1">
      <c r="I974" s="65"/>
      <c r="J974" s="77"/>
      <c r="K974" s="65"/>
      <c r="L974" s="107"/>
      <c r="M974" s="107"/>
      <c r="N974" s="78"/>
      <c r="O974" s="111"/>
      <c r="P974" s="65"/>
      <c r="Q974" s="65"/>
      <c r="R974" s="65"/>
      <c r="S974" s="110"/>
      <c r="T974" s="65"/>
      <c r="U974" s="117">
        <f t="shared" si="812"/>
        <v>0</v>
      </c>
      <c r="V974" s="65"/>
      <c r="W974" s="202"/>
    </row>
    <row r="975" spans="9:23" ht="12" customHeight="1" outlineLevel="1"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</row>
    <row r="976" spans="9:23" ht="24" customHeight="1" outlineLevel="1">
      <c r="I976" s="65"/>
      <c r="J976" s="142" t="s">
        <v>1490</v>
      </c>
      <c r="K976" s="65"/>
      <c r="L976" s="142" t="s">
        <v>1357</v>
      </c>
      <c r="M976" s="142" t="s">
        <v>1179</v>
      </c>
      <c r="N976" s="142" t="s">
        <v>1238</v>
      </c>
      <c r="O976" s="142" t="s">
        <v>1239</v>
      </c>
      <c r="P976" s="65"/>
      <c r="Q976" s="65"/>
      <c r="R976" s="65"/>
      <c r="S976" s="142" t="s">
        <v>1240</v>
      </c>
      <c r="T976" s="65"/>
      <c r="U976" s="142" t="s">
        <v>1241</v>
      </c>
      <c r="V976" s="65"/>
      <c r="W976" s="142" t="s">
        <v>1111</v>
      </c>
    </row>
    <row r="977" spans="9:23" ht="12" customHeight="1" outlineLevel="1">
      <c r="I977" s="65"/>
      <c r="J977" s="77" t="s">
        <v>1491</v>
      </c>
      <c r="K977" s="65"/>
      <c r="L977" s="107">
        <f>SUMPRODUCT($L$7:$L$587,$M$7:$M$587)</f>
        <v>43.660000000000011</v>
      </c>
      <c r="M977" s="107"/>
      <c r="N977" s="78" t="s">
        <v>1492</v>
      </c>
      <c r="O977" s="111"/>
      <c r="P977" s="65"/>
      <c r="Q977" s="65"/>
      <c r="R977" s="65"/>
      <c r="S977" s="110"/>
      <c r="T977" s="65"/>
      <c r="U977" s="117">
        <f>L977*M977*O977*S977</f>
        <v>0</v>
      </c>
      <c r="V977" s="65"/>
      <c r="W977" s="202"/>
    </row>
    <row r="978" spans="9:23" ht="12" customHeight="1" outlineLevel="1">
      <c r="I978" s="65"/>
      <c r="J978" s="77" t="s">
        <v>1493</v>
      </c>
      <c r="K978" s="65"/>
      <c r="L978" s="107">
        <f>SUMPRODUCT($L$95:$L$587,$M$95:$M$587)</f>
        <v>42.7</v>
      </c>
      <c r="M978" s="107"/>
      <c r="N978" s="78" t="s">
        <v>1492</v>
      </c>
      <c r="O978" s="111"/>
      <c r="P978" s="65"/>
      <c r="Q978" s="65"/>
      <c r="R978" s="65"/>
      <c r="S978" s="110"/>
      <c r="T978" s="65"/>
      <c r="U978" s="117">
        <f t="shared" ref="U978" si="814">L978*M978*O978*S978</f>
        <v>0</v>
      </c>
      <c r="V978" s="65"/>
      <c r="W978" s="202"/>
    </row>
    <row r="979" spans="9:23" ht="12" customHeight="1" outlineLevel="1"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</row>
    <row r="980" spans="9:23" ht="24" customHeight="1" outlineLevel="1">
      <c r="I980" s="65"/>
      <c r="J980" s="142" t="s">
        <v>1494</v>
      </c>
      <c r="K980" s="65"/>
      <c r="L980" s="142" t="s">
        <v>1357</v>
      </c>
      <c r="M980" s="142" t="s">
        <v>1179</v>
      </c>
      <c r="N980" s="142" t="s">
        <v>1238</v>
      </c>
      <c r="O980" s="142" t="s">
        <v>1239</v>
      </c>
      <c r="P980" s="65"/>
      <c r="Q980" s="65"/>
      <c r="R980" s="65"/>
      <c r="S980" s="142" t="s">
        <v>1240</v>
      </c>
      <c r="T980" s="65"/>
      <c r="U980" s="142" t="s">
        <v>1241</v>
      </c>
      <c r="V980" s="65"/>
      <c r="W980" s="142" t="s">
        <v>1111</v>
      </c>
    </row>
    <row r="981" spans="9:23" ht="12" customHeight="1" outlineLevel="1">
      <c r="I981" s="65"/>
      <c r="J981" s="77" t="s">
        <v>1495</v>
      </c>
      <c r="K981" s="65"/>
      <c r="L981" s="107">
        <f>SUMPRODUCT($L$7:$L$587,$M$7:$M$587)</f>
        <v>43.660000000000011</v>
      </c>
      <c r="M981" s="107"/>
      <c r="N981" s="78" t="s">
        <v>1496</v>
      </c>
      <c r="O981" s="111"/>
      <c r="P981" s="65"/>
      <c r="Q981" s="65"/>
      <c r="R981" s="65"/>
      <c r="S981" s="110"/>
      <c r="T981" s="65"/>
      <c r="U981" s="117">
        <f>L981*M981*O981*S981</f>
        <v>0</v>
      </c>
      <c r="V981" s="65"/>
      <c r="W981" s="202"/>
    </row>
    <row r="982" spans="9:23" ht="12" customHeight="1" outlineLevel="1">
      <c r="I982" s="65"/>
      <c r="J982" s="77" t="s">
        <v>1497</v>
      </c>
      <c r="K982" s="65"/>
      <c r="L982" s="107">
        <f>SUMPRODUCT($L$7:$L$587,$M$7:$M$587)</f>
        <v>43.660000000000011</v>
      </c>
      <c r="M982" s="107"/>
      <c r="N982" s="78" t="s">
        <v>1498</v>
      </c>
      <c r="O982" s="111"/>
      <c r="P982" s="65"/>
      <c r="Q982" s="65"/>
      <c r="R982" s="65"/>
      <c r="S982" s="110"/>
      <c r="T982" s="65"/>
      <c r="U982" s="117">
        <f t="shared" ref="U982" si="815">L982*M982*O982*S982</f>
        <v>0</v>
      </c>
      <c r="V982" s="65"/>
      <c r="W982" s="202"/>
    </row>
    <row r="983" spans="9:23" ht="12" customHeight="1" outlineLevel="1">
      <c r="I983" s="65"/>
      <c r="J983" s="77" t="s">
        <v>1499</v>
      </c>
      <c r="K983" s="65"/>
      <c r="L983" s="107">
        <v>1</v>
      </c>
      <c r="M983" s="107">
        <v>10</v>
      </c>
      <c r="N983" s="78" t="s">
        <v>288</v>
      </c>
      <c r="O983" s="111">
        <v>1</v>
      </c>
      <c r="P983" s="65"/>
      <c r="Q983" s="65"/>
      <c r="R983" s="65"/>
      <c r="S983" s="110">
        <f>(200*2+450*3*2)</f>
        <v>3100</v>
      </c>
      <c r="T983" s="65"/>
      <c r="U983" s="117">
        <f>L983*M983*O983*S983</f>
        <v>31000</v>
      </c>
      <c r="V983" s="65"/>
      <c r="W983" s="202" t="s">
        <v>1500</v>
      </c>
    </row>
    <row r="984" spans="9:23" ht="12" customHeight="1" outlineLevel="1">
      <c r="I984" s="65"/>
      <c r="J984" s="77" t="s">
        <v>1499</v>
      </c>
      <c r="K984" s="65"/>
      <c r="L984" s="107">
        <v>1</v>
      </c>
      <c r="M984" s="107">
        <v>10</v>
      </c>
      <c r="N984" s="78" t="s">
        <v>288</v>
      </c>
      <c r="O984" s="111">
        <v>1</v>
      </c>
      <c r="P984" s="65"/>
      <c r="Q984" s="65"/>
      <c r="R984" s="65"/>
      <c r="S984" s="110">
        <f>(200*2+1250*2+450*3*2)</f>
        <v>5600</v>
      </c>
      <c r="T984" s="65"/>
      <c r="U984" s="117">
        <f>L984*M984*O984*S984</f>
        <v>56000</v>
      </c>
      <c r="V984" s="65"/>
      <c r="W984" s="202" t="s">
        <v>1501</v>
      </c>
    </row>
    <row r="985" spans="9:23" ht="12" customHeight="1" outlineLevel="1"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</row>
    <row r="986" spans="9:23" s="196" customFormat="1" ht="24" customHeight="1" collapsed="1">
      <c r="I986" s="189"/>
      <c r="J986" s="185" t="s">
        <v>62</v>
      </c>
      <c r="K986" s="190"/>
      <c r="L986" s="190"/>
      <c r="M986" s="190"/>
      <c r="N986" s="190"/>
      <c r="O986" s="190"/>
      <c r="P986" s="190"/>
      <c r="Q986" s="190"/>
      <c r="R986" s="190"/>
      <c r="S986" s="191"/>
      <c r="T986" s="192">
        <f>IFERROR(U986/$U$2,0)</f>
        <v>2.2881414287712568E-3</v>
      </c>
      <c r="U986" s="193">
        <f>SUM(U988:U1189)</f>
        <v>2000</v>
      </c>
      <c r="V986" s="190"/>
      <c r="W986" s="194"/>
    </row>
    <row r="987" spans="9:23" ht="12" hidden="1" customHeight="1" outlineLevel="1"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</row>
    <row r="988" spans="9:23" ht="24" hidden="1" customHeight="1" outlineLevel="1">
      <c r="I988" s="65"/>
      <c r="J988" s="142" t="s">
        <v>1502</v>
      </c>
      <c r="K988" s="65"/>
      <c r="L988" s="142" t="s">
        <v>1179</v>
      </c>
      <c r="M988" s="142" t="s">
        <v>1238</v>
      </c>
      <c r="N988" s="142" t="s">
        <v>1260</v>
      </c>
      <c r="O988" s="142" t="s">
        <v>1261</v>
      </c>
      <c r="P988" s="142" t="s">
        <v>1334</v>
      </c>
      <c r="Q988" s="65"/>
      <c r="R988" s="65"/>
      <c r="S988" s="142" t="s">
        <v>1240</v>
      </c>
      <c r="T988" s="65"/>
      <c r="U988" s="142" t="s">
        <v>1241</v>
      </c>
      <c r="V988" s="65"/>
      <c r="W988" s="142" t="s">
        <v>1111</v>
      </c>
    </row>
    <row r="989" spans="9:23" ht="12" hidden="1" customHeight="1" outlineLevel="1">
      <c r="I989" s="65"/>
      <c r="J989" s="143" t="str">
        <f>IF(Equipamentos!C461&gt;0,Equipamentos!C461,"")</f>
        <v>Acessórios para fixação</v>
      </c>
      <c r="K989" s="65"/>
      <c r="L989" s="144">
        <f>Equipamentos!D461</f>
        <v>0</v>
      </c>
      <c r="M989" s="105" t="str">
        <f>Equipamentos!BP461</f>
        <v>Conjunto</v>
      </c>
      <c r="N989" s="144">
        <f>Equipamentos!E461</f>
        <v>0</v>
      </c>
      <c r="O989" s="105" t="s">
        <v>1263</v>
      </c>
      <c r="P989" s="107">
        <v>24</v>
      </c>
      <c r="Q989" s="65"/>
      <c r="R989" s="65"/>
      <c r="S989" s="110">
        <v>12500</v>
      </c>
      <c r="T989" s="65"/>
      <c r="U989" s="117">
        <f>IFERROR(L989*N989*(S989/P989),0)</f>
        <v>0</v>
      </c>
      <c r="V989" s="65"/>
      <c r="W989" s="202"/>
    </row>
    <row r="990" spans="9:23" ht="12" hidden="1" customHeight="1" outlineLevel="1">
      <c r="I990" s="65"/>
      <c r="J990" s="143" t="str">
        <f>IF(Equipamentos!C462&gt;0,Equipamentos!C462,"")</f>
        <v>Acessórios para montagem</v>
      </c>
      <c r="K990" s="65"/>
      <c r="L990" s="144">
        <f>Equipamentos!D462</f>
        <v>0</v>
      </c>
      <c r="M990" s="105" t="str">
        <f>Equipamentos!BP462</f>
        <v>Conjunto</v>
      </c>
      <c r="N990" s="144">
        <f>Equipamentos!E462</f>
        <v>0</v>
      </c>
      <c r="O990" s="105" t="s">
        <v>1263</v>
      </c>
      <c r="P990" s="107">
        <v>24</v>
      </c>
      <c r="Q990" s="65"/>
      <c r="R990" s="65"/>
      <c r="S990" s="110">
        <v>12500</v>
      </c>
      <c r="T990" s="65"/>
      <c r="U990" s="117">
        <f t="shared" ref="U990:U1013" si="816">IFERROR(L990*N990*(S990/P990),0)</f>
        <v>0</v>
      </c>
      <c r="V990" s="65"/>
      <c r="W990" s="202"/>
    </row>
    <row r="991" spans="9:23" ht="12" hidden="1" customHeight="1" outlineLevel="1">
      <c r="I991" s="65"/>
      <c r="J991" s="143" t="str">
        <f>IF(Equipamentos!C463&gt;0,Equipamentos!C463,"")</f>
        <v>Alicate volt-amperímetro - 600A AC CAT III 600V</v>
      </c>
      <c r="K991" s="65"/>
      <c r="L991" s="144">
        <f>Equipamentos!D463</f>
        <v>0</v>
      </c>
      <c r="M991" s="105" t="str">
        <f>Equipamentos!BP463</f>
        <v>Unidade</v>
      </c>
      <c r="N991" s="144">
        <f>Equipamentos!E463</f>
        <v>0</v>
      </c>
      <c r="O991" s="105" t="s">
        <v>1263</v>
      </c>
      <c r="P991" s="107">
        <v>24</v>
      </c>
      <c r="Q991" s="65"/>
      <c r="R991" s="65"/>
      <c r="S991" s="110">
        <v>1712</v>
      </c>
      <c r="T991" s="65"/>
      <c r="U991" s="117">
        <f t="shared" si="816"/>
        <v>0</v>
      </c>
      <c r="V991" s="65"/>
      <c r="W991" s="202"/>
    </row>
    <row r="992" spans="9:23" ht="12" hidden="1" customHeight="1" outlineLevel="1">
      <c r="I992" s="65"/>
      <c r="J992" s="143" t="str">
        <f>IF(Equipamentos!C464&gt;0,Equipamentos!C464,"")</f>
        <v>Alinhador a laser</v>
      </c>
      <c r="K992" s="65"/>
      <c r="L992" s="144">
        <f>Equipamentos!D464</f>
        <v>0</v>
      </c>
      <c r="M992" s="105" t="str">
        <f>Equipamentos!BP464</f>
        <v>Unidade</v>
      </c>
      <c r="N992" s="144">
        <f>Equipamentos!E464</f>
        <v>0</v>
      </c>
      <c r="O992" s="105" t="s">
        <v>1263</v>
      </c>
      <c r="P992" s="107">
        <v>24</v>
      </c>
      <c r="Q992" s="65"/>
      <c r="R992" s="65"/>
      <c r="S992" s="110">
        <v>15350</v>
      </c>
      <c r="T992" s="65"/>
      <c r="U992" s="117">
        <f t="shared" si="816"/>
        <v>0</v>
      </c>
      <c r="V992" s="65"/>
      <c r="W992" s="202"/>
    </row>
    <row r="993" spans="9:23" ht="12" hidden="1" customHeight="1" outlineLevel="1">
      <c r="I993" s="65"/>
      <c r="J993" s="143" t="str">
        <f>IF(Equipamentos!C465&gt;0,Equipamentos!C465,"")</f>
        <v>Andaime</v>
      </c>
      <c r="K993" s="65"/>
      <c r="L993" s="144">
        <f>Equipamentos!D465</f>
        <v>0</v>
      </c>
      <c r="M993" s="105" t="str">
        <f>Equipamentos!BP465</f>
        <v>Metro Linear</v>
      </c>
      <c r="N993" s="144">
        <f>Equipamentos!E465</f>
        <v>0</v>
      </c>
      <c r="O993" s="105" t="s">
        <v>1263</v>
      </c>
      <c r="P993" s="107">
        <v>1</v>
      </c>
      <c r="Q993" s="65"/>
      <c r="R993" s="65"/>
      <c r="S993" s="110">
        <v>6.5</v>
      </c>
      <c r="T993" s="65"/>
      <c r="U993" s="117">
        <f t="shared" si="816"/>
        <v>0</v>
      </c>
      <c r="V993" s="65"/>
      <c r="W993" s="202"/>
    </row>
    <row r="994" spans="9:23" ht="12" hidden="1" customHeight="1" outlineLevel="1">
      <c r="I994" s="65"/>
      <c r="J994" s="143" t="str">
        <f>IF(Equipamentos!C466&gt;0,Equipamentos!C466,"")</f>
        <v>Andaime tipo quadro - NR18</v>
      </c>
      <c r="K994" s="65"/>
      <c r="L994" s="144">
        <f>Equipamentos!D466</f>
        <v>0</v>
      </c>
      <c r="M994" s="105" t="str">
        <f>Equipamentos!BP466</f>
        <v>Unidade</v>
      </c>
      <c r="N994" s="144">
        <f>Equipamentos!E466</f>
        <v>0</v>
      </c>
      <c r="O994" s="105" t="s">
        <v>1263</v>
      </c>
      <c r="P994" s="107">
        <v>24</v>
      </c>
      <c r="Q994" s="65"/>
      <c r="R994" s="65"/>
      <c r="S994" s="110">
        <v>85</v>
      </c>
      <c r="T994" s="65"/>
      <c r="U994" s="117">
        <f t="shared" si="816"/>
        <v>0</v>
      </c>
      <c r="V994" s="65"/>
      <c r="W994" s="202"/>
    </row>
    <row r="995" spans="9:23" ht="12" hidden="1" customHeight="1" outlineLevel="1">
      <c r="I995" s="65"/>
      <c r="J995" s="143" t="str">
        <f>IF(Equipamentos!C467&gt;0,Equipamentos!C467,"")</f>
        <v>Aparafusadeira de torque controlado</v>
      </c>
      <c r="K995" s="65"/>
      <c r="L995" s="144">
        <f>Equipamentos!D467</f>
        <v>0</v>
      </c>
      <c r="M995" s="105" t="str">
        <f>Equipamentos!BP467</f>
        <v>Unidade</v>
      </c>
      <c r="N995" s="144">
        <f>Equipamentos!E467</f>
        <v>0</v>
      </c>
      <c r="O995" s="105" t="s">
        <v>1263</v>
      </c>
      <c r="P995" s="107">
        <v>24</v>
      </c>
      <c r="Q995" s="65"/>
      <c r="R995" s="65"/>
      <c r="S995" s="110">
        <v>4600</v>
      </c>
      <c r="T995" s="65"/>
      <c r="U995" s="117">
        <f t="shared" si="816"/>
        <v>0</v>
      </c>
      <c r="V995" s="65"/>
      <c r="W995" s="202"/>
    </row>
    <row r="996" spans="9:23" ht="12" hidden="1" customHeight="1" outlineLevel="1">
      <c r="I996" s="65"/>
      <c r="J996" s="143" t="str">
        <f>IF(Equipamentos!C468&gt;0,Equipamentos!C468,"")</f>
        <v>Aspirador de pó industrial</v>
      </c>
      <c r="K996" s="65"/>
      <c r="L996" s="144">
        <f>Equipamentos!D468</f>
        <v>0</v>
      </c>
      <c r="M996" s="105" t="str">
        <f>Equipamentos!BP468</f>
        <v>Unidade</v>
      </c>
      <c r="N996" s="144">
        <f>Equipamentos!E468</f>
        <v>0</v>
      </c>
      <c r="O996" s="105" t="s">
        <v>1263</v>
      </c>
      <c r="P996" s="107">
        <v>24</v>
      </c>
      <c r="Q996" s="65"/>
      <c r="R996" s="65"/>
      <c r="S996" s="110">
        <v>1200</v>
      </c>
      <c r="T996" s="65"/>
      <c r="U996" s="117">
        <f t="shared" si="816"/>
        <v>0</v>
      </c>
      <c r="V996" s="65"/>
      <c r="W996" s="202"/>
    </row>
    <row r="997" spans="9:23" ht="12" hidden="1" customHeight="1" outlineLevel="1">
      <c r="I997" s="65"/>
      <c r="J997" s="143" t="str">
        <f>IF(Equipamentos!C469&gt;0,Equipamentos!C469,"")</f>
        <v>Balanceador</v>
      </c>
      <c r="K997" s="65"/>
      <c r="L997" s="144">
        <f>Equipamentos!D469</f>
        <v>0</v>
      </c>
      <c r="M997" s="105" t="str">
        <f>Equipamentos!BP469</f>
        <v>Unidade</v>
      </c>
      <c r="N997" s="144">
        <f>Equipamentos!E469</f>
        <v>0</v>
      </c>
      <c r="O997" s="105" t="s">
        <v>1263</v>
      </c>
      <c r="P997" s="107">
        <v>24</v>
      </c>
      <c r="Q997" s="65"/>
      <c r="R997" s="65"/>
      <c r="S997" s="110">
        <v>3500</v>
      </c>
      <c r="T997" s="65"/>
      <c r="U997" s="117">
        <f t="shared" si="816"/>
        <v>0</v>
      </c>
      <c r="V997" s="65"/>
      <c r="W997" s="202"/>
    </row>
    <row r="998" spans="9:23" ht="12" hidden="1" customHeight="1" outlineLevel="1">
      <c r="I998" s="65"/>
      <c r="J998" s="143" t="str">
        <f>IF(Equipamentos!C470&gt;0,Equipamentos!C470,"")</f>
        <v>Balde plástico graduado</v>
      </c>
      <c r="K998" s="65"/>
      <c r="L998" s="144">
        <f>Equipamentos!D470</f>
        <v>0</v>
      </c>
      <c r="M998" s="105" t="str">
        <f>Equipamentos!BP470</f>
        <v>Unidade</v>
      </c>
      <c r="N998" s="144">
        <f>Equipamentos!E470</f>
        <v>0</v>
      </c>
      <c r="O998" s="105" t="s">
        <v>1263</v>
      </c>
      <c r="P998" s="107">
        <v>24</v>
      </c>
      <c r="Q998" s="65"/>
      <c r="R998" s="65"/>
      <c r="S998" s="110">
        <v>50</v>
      </c>
      <c r="T998" s="65"/>
      <c r="U998" s="117">
        <f t="shared" si="816"/>
        <v>0</v>
      </c>
      <c r="V998" s="65"/>
      <c r="W998" s="202"/>
    </row>
    <row r="999" spans="9:23" ht="12" hidden="1" customHeight="1" outlineLevel="1">
      <c r="I999" s="65"/>
      <c r="J999" s="143" t="str">
        <f>IF(Equipamentos!C471&gt;0,Equipamentos!C471,"")</f>
        <v>Bancada de oficina</v>
      </c>
      <c r="K999" s="65"/>
      <c r="L999" s="144">
        <f>Equipamentos!D471</f>
        <v>0</v>
      </c>
      <c r="M999" s="105" t="str">
        <f>Equipamentos!BP471</f>
        <v>Unidade</v>
      </c>
      <c r="N999" s="144">
        <f>Equipamentos!E471</f>
        <v>0</v>
      </c>
      <c r="O999" s="105" t="s">
        <v>1263</v>
      </c>
      <c r="P999" s="107">
        <v>24</v>
      </c>
      <c r="Q999" s="65"/>
      <c r="R999" s="65"/>
      <c r="S999" s="110">
        <v>750</v>
      </c>
      <c r="T999" s="65"/>
      <c r="U999" s="117">
        <f t="shared" si="816"/>
        <v>0</v>
      </c>
      <c r="V999" s="65"/>
      <c r="W999" s="202"/>
    </row>
    <row r="1000" spans="9:23" ht="12" hidden="1" customHeight="1" outlineLevel="1">
      <c r="I1000" s="65"/>
      <c r="J1000" s="143" t="str">
        <f>IF(Equipamentos!C472&gt;0,Equipamentos!C472,"")</f>
        <v>Bancada móvel</v>
      </c>
      <c r="K1000" s="65"/>
      <c r="L1000" s="144">
        <f>Equipamentos!D472</f>
        <v>0</v>
      </c>
      <c r="M1000" s="105" t="str">
        <f>Equipamentos!BP472</f>
        <v>Unidade</v>
      </c>
      <c r="N1000" s="144">
        <f>Equipamentos!E472</f>
        <v>0</v>
      </c>
      <c r="O1000" s="105" t="s">
        <v>1263</v>
      </c>
      <c r="P1000" s="107">
        <v>24</v>
      </c>
      <c r="Q1000" s="65"/>
      <c r="R1000" s="65"/>
      <c r="S1000" s="110">
        <v>1300</v>
      </c>
      <c r="T1000" s="65"/>
      <c r="U1000" s="117">
        <f t="shared" si="816"/>
        <v>0</v>
      </c>
      <c r="V1000" s="65"/>
      <c r="W1000" s="202"/>
    </row>
    <row r="1001" spans="9:23" ht="12" hidden="1" customHeight="1" outlineLevel="1">
      <c r="I1001" s="65"/>
      <c r="J1001" s="143" t="str">
        <f>IF(Equipamentos!C473&gt;0,Equipamentos!C473,"")</f>
        <v>Bandeja plástica</v>
      </c>
      <c r="K1001" s="65"/>
      <c r="L1001" s="144">
        <f>Equipamentos!D473</f>
        <v>0</v>
      </c>
      <c r="M1001" s="105" t="str">
        <f>Equipamentos!BP473</f>
        <v>Unidade</v>
      </c>
      <c r="N1001" s="144">
        <f>Equipamentos!E473</f>
        <v>0</v>
      </c>
      <c r="O1001" s="105" t="s">
        <v>1263</v>
      </c>
      <c r="P1001" s="107">
        <v>24</v>
      </c>
      <c r="Q1001" s="65"/>
      <c r="R1001" s="65"/>
      <c r="S1001" s="110">
        <v>24</v>
      </c>
      <c r="T1001" s="65"/>
      <c r="U1001" s="117">
        <f t="shared" si="816"/>
        <v>0</v>
      </c>
      <c r="V1001" s="65"/>
      <c r="W1001" s="202"/>
    </row>
    <row r="1002" spans="9:23" ht="12" hidden="1" customHeight="1" outlineLevel="1">
      <c r="I1002" s="65"/>
      <c r="J1002" s="143" t="str">
        <f>IF(Equipamentos!C474&gt;0,Equipamentos!C474,"")</f>
        <v>Biseladora de tubos fixa</v>
      </c>
      <c r="K1002" s="65"/>
      <c r="L1002" s="144">
        <f>Equipamentos!D474</f>
        <v>0</v>
      </c>
      <c r="M1002" s="105" t="str">
        <f>Equipamentos!BP474</f>
        <v>Unidade</v>
      </c>
      <c r="N1002" s="144">
        <f>Equipamentos!E474</f>
        <v>0</v>
      </c>
      <c r="O1002" s="105" t="s">
        <v>1263</v>
      </c>
      <c r="P1002" s="107">
        <v>24</v>
      </c>
      <c r="Q1002" s="65"/>
      <c r="R1002" s="65"/>
      <c r="S1002" s="110">
        <v>3500</v>
      </c>
      <c r="T1002" s="65"/>
      <c r="U1002" s="117">
        <f t="shared" si="816"/>
        <v>0</v>
      </c>
      <c r="V1002" s="65"/>
      <c r="W1002" s="202"/>
    </row>
    <row r="1003" spans="9:23" ht="12" hidden="1" customHeight="1" outlineLevel="1">
      <c r="I1003" s="65"/>
      <c r="J1003" s="143" t="str">
        <f>IF(Equipamentos!C475&gt;0,Equipamentos!C475,"")</f>
        <v>Biseladora de tubos manual (campo)</v>
      </c>
      <c r="K1003" s="65"/>
      <c r="L1003" s="144">
        <f>Equipamentos!D475</f>
        <v>0</v>
      </c>
      <c r="M1003" s="105" t="str">
        <f>Equipamentos!BP475</f>
        <v>Unidade</v>
      </c>
      <c r="N1003" s="144">
        <f>Equipamentos!E475</f>
        <v>0</v>
      </c>
      <c r="O1003" s="105" t="s">
        <v>1263</v>
      </c>
      <c r="P1003" s="107">
        <v>24</v>
      </c>
      <c r="Q1003" s="65"/>
      <c r="R1003" s="65"/>
      <c r="S1003" s="110">
        <v>1000</v>
      </c>
      <c r="T1003" s="65"/>
      <c r="U1003" s="117">
        <f t="shared" si="816"/>
        <v>0</v>
      </c>
      <c r="V1003" s="65"/>
      <c r="W1003" s="202"/>
    </row>
    <row r="1004" spans="9:23" ht="12" hidden="1" customHeight="1" outlineLevel="1">
      <c r="I1004" s="65"/>
      <c r="J1004" s="143" t="str">
        <f>IF(Equipamentos!C476&gt;0,Equipamentos!C476,"")</f>
        <v>Bomba de teste hidrostático elétrica</v>
      </c>
      <c r="K1004" s="65"/>
      <c r="L1004" s="144">
        <f>Equipamentos!D476</f>
        <v>0</v>
      </c>
      <c r="M1004" s="105" t="str">
        <f>Equipamentos!BP476</f>
        <v>Unidade</v>
      </c>
      <c r="N1004" s="144">
        <f>Equipamentos!E476</f>
        <v>0</v>
      </c>
      <c r="O1004" s="105" t="s">
        <v>1263</v>
      </c>
      <c r="P1004" s="107">
        <v>24</v>
      </c>
      <c r="Q1004" s="65"/>
      <c r="R1004" s="65"/>
      <c r="S1004" s="110">
        <v>40000</v>
      </c>
      <c r="T1004" s="65"/>
      <c r="U1004" s="117">
        <f t="shared" si="816"/>
        <v>0</v>
      </c>
      <c r="V1004" s="65"/>
      <c r="W1004" s="202"/>
    </row>
    <row r="1005" spans="9:23" ht="12" hidden="1" customHeight="1" outlineLevel="1">
      <c r="I1005" s="65"/>
      <c r="J1005" s="143" t="str">
        <f>IF(Equipamentos!C477&gt;0,Equipamentos!C477,"")</f>
        <v>Bomba de teste hidrostático manual</v>
      </c>
      <c r="K1005" s="65"/>
      <c r="L1005" s="144">
        <f>Equipamentos!D477</f>
        <v>0</v>
      </c>
      <c r="M1005" s="105" t="str">
        <f>Equipamentos!BP477</f>
        <v>Unidade</v>
      </c>
      <c r="N1005" s="144">
        <f>Equipamentos!E477</f>
        <v>0</v>
      </c>
      <c r="O1005" s="105" t="s">
        <v>1263</v>
      </c>
      <c r="P1005" s="107">
        <v>24</v>
      </c>
      <c r="Q1005" s="65"/>
      <c r="R1005" s="65"/>
      <c r="S1005" s="110">
        <v>2300</v>
      </c>
      <c r="T1005" s="65"/>
      <c r="U1005" s="117">
        <f t="shared" si="816"/>
        <v>0</v>
      </c>
      <c r="V1005" s="65"/>
      <c r="W1005" s="202"/>
    </row>
    <row r="1006" spans="9:23" ht="12" hidden="1" customHeight="1" outlineLevel="1">
      <c r="I1006" s="65"/>
      <c r="J1006" s="143" t="str">
        <f>IF(Equipamentos!C478&gt;0,Equipamentos!C478,"")</f>
        <v>Bomba rotativa de sucção manual</v>
      </c>
      <c r="K1006" s="65"/>
      <c r="L1006" s="144">
        <f>Equipamentos!D478</f>
        <v>0</v>
      </c>
      <c r="M1006" s="105" t="str">
        <f>Equipamentos!BP478</f>
        <v>Unidade</v>
      </c>
      <c r="N1006" s="144">
        <f>Equipamentos!E478</f>
        <v>0</v>
      </c>
      <c r="O1006" s="105" t="s">
        <v>1263</v>
      </c>
      <c r="P1006" s="107">
        <v>24</v>
      </c>
      <c r="Q1006" s="65"/>
      <c r="R1006" s="65"/>
      <c r="S1006" s="110">
        <v>200</v>
      </c>
      <c r="T1006" s="65"/>
      <c r="U1006" s="117">
        <f t="shared" si="816"/>
        <v>0</v>
      </c>
      <c r="V1006" s="65"/>
      <c r="W1006" s="202"/>
    </row>
    <row r="1007" spans="9:23" ht="12" hidden="1" customHeight="1" outlineLevel="1">
      <c r="I1007" s="65"/>
      <c r="J1007" s="143" t="str">
        <f>IF(Equipamentos!C479&gt;0,Equipamentos!C479,"")</f>
        <v>Cabine de jato e pintura</v>
      </c>
      <c r="K1007" s="65"/>
      <c r="L1007" s="144">
        <f>Equipamentos!D479</f>
        <v>0</v>
      </c>
      <c r="M1007" s="105" t="str">
        <f>Equipamentos!BP479</f>
        <v>Unidade</v>
      </c>
      <c r="N1007" s="144">
        <f>Equipamentos!E479</f>
        <v>0</v>
      </c>
      <c r="O1007" s="105" t="s">
        <v>1263</v>
      </c>
      <c r="P1007" s="107">
        <v>24</v>
      </c>
      <c r="Q1007" s="65"/>
      <c r="R1007" s="65"/>
      <c r="S1007" s="110">
        <v>75000</v>
      </c>
      <c r="T1007" s="65"/>
      <c r="U1007" s="117">
        <f t="shared" si="816"/>
        <v>0</v>
      </c>
      <c r="V1007" s="65"/>
      <c r="W1007" s="202"/>
    </row>
    <row r="1008" spans="9:23" ht="12" hidden="1" customHeight="1" outlineLevel="1">
      <c r="I1008" s="65"/>
      <c r="J1008" s="143" t="str">
        <f>IF(Equipamentos!C480&gt;0,Equipamentos!C480,"")</f>
        <v>Caçamba 5m³</v>
      </c>
      <c r="K1008" s="65"/>
      <c r="L1008" s="144">
        <f>Equipamentos!D480</f>
        <v>0</v>
      </c>
      <c r="M1008" s="105" t="str">
        <f>Equipamentos!BP480</f>
        <v>Unidade</v>
      </c>
      <c r="N1008" s="144">
        <f>Equipamentos!E480</f>
        <v>0</v>
      </c>
      <c r="O1008" s="105" t="s">
        <v>1263</v>
      </c>
      <c r="P1008" s="107">
        <v>24</v>
      </c>
      <c r="Q1008" s="65"/>
      <c r="R1008" s="65"/>
      <c r="S1008" s="110">
        <v>2000</v>
      </c>
      <c r="T1008" s="65"/>
      <c r="U1008" s="117">
        <f t="shared" si="816"/>
        <v>0</v>
      </c>
      <c r="V1008" s="65"/>
      <c r="W1008" s="202"/>
    </row>
    <row r="1009" spans="9:23" ht="12" hidden="1" customHeight="1" outlineLevel="1">
      <c r="I1009" s="65"/>
      <c r="J1009" s="143" t="str">
        <f>IF(Equipamentos!C481&gt;0,Equipamentos!C481,"")</f>
        <v>Cadeado para armário</v>
      </c>
      <c r="K1009" s="65"/>
      <c r="L1009" s="144">
        <f>Equipamentos!D481</f>
        <v>0</v>
      </c>
      <c r="M1009" s="105" t="str">
        <f>Equipamentos!BP481</f>
        <v>Unidade</v>
      </c>
      <c r="N1009" s="144">
        <f>Equipamentos!E481</f>
        <v>0</v>
      </c>
      <c r="O1009" s="105" t="s">
        <v>1263</v>
      </c>
      <c r="P1009" s="107">
        <v>24</v>
      </c>
      <c r="Q1009" s="65"/>
      <c r="R1009" s="65"/>
      <c r="S1009" s="110">
        <v>10</v>
      </c>
      <c r="T1009" s="65"/>
      <c r="U1009" s="117">
        <f t="shared" si="816"/>
        <v>0</v>
      </c>
      <c r="V1009" s="65"/>
      <c r="W1009" s="202"/>
    </row>
    <row r="1010" spans="9:23" ht="12" hidden="1" customHeight="1" outlineLevel="1">
      <c r="I1010" s="65"/>
      <c r="J1010" s="143" t="str">
        <f>IF(Equipamentos!C482&gt;0,Equipamentos!C482,"")</f>
        <v>Caixa de Ferramentas</v>
      </c>
      <c r="K1010" s="65"/>
      <c r="L1010" s="144">
        <f>Equipamentos!D482</f>
        <v>0</v>
      </c>
      <c r="M1010" s="105" t="str">
        <f>Equipamentos!BP482</f>
        <v>Unidade</v>
      </c>
      <c r="N1010" s="144">
        <f>Equipamentos!E482</f>
        <v>0</v>
      </c>
      <c r="O1010" s="105" t="s">
        <v>1263</v>
      </c>
      <c r="P1010" s="107">
        <v>24</v>
      </c>
      <c r="Q1010" s="65"/>
      <c r="R1010" s="65"/>
      <c r="S1010" s="110">
        <v>2100</v>
      </c>
      <c r="T1010" s="65"/>
      <c r="U1010" s="117">
        <f t="shared" si="816"/>
        <v>0</v>
      </c>
      <c r="V1010" s="65"/>
      <c r="W1010" s="202"/>
    </row>
    <row r="1011" spans="9:23" ht="12" hidden="1" customHeight="1" outlineLevel="1">
      <c r="I1011" s="65"/>
      <c r="J1011" s="143" t="str">
        <f>IF(Equipamentos!C483&gt;0,Equipamentos!C483,"")</f>
        <v>Carrinho de mão tipo plataforma</v>
      </c>
      <c r="K1011" s="65"/>
      <c r="L1011" s="144">
        <f>Equipamentos!D483</f>
        <v>0</v>
      </c>
      <c r="M1011" s="105" t="str">
        <f>Equipamentos!BP483</f>
        <v>Unidade</v>
      </c>
      <c r="N1011" s="144">
        <f>Equipamentos!E483</f>
        <v>0</v>
      </c>
      <c r="O1011" s="105" t="s">
        <v>1263</v>
      </c>
      <c r="P1011" s="107">
        <v>24</v>
      </c>
      <c r="Q1011" s="65"/>
      <c r="R1011" s="65"/>
      <c r="S1011" s="110">
        <v>425</v>
      </c>
      <c r="T1011" s="65"/>
      <c r="U1011" s="117">
        <f t="shared" si="816"/>
        <v>0</v>
      </c>
      <c r="V1011" s="65"/>
      <c r="W1011" s="202"/>
    </row>
    <row r="1012" spans="9:23" ht="12" hidden="1" customHeight="1" outlineLevel="1">
      <c r="I1012" s="65"/>
      <c r="J1012" s="143" t="str">
        <f>IF(Equipamentos!C484&gt;0,Equipamentos!C484,"")</f>
        <v>Carrinho para cilindro (01 cilindro)</v>
      </c>
      <c r="K1012" s="65"/>
      <c r="L1012" s="144">
        <f>Equipamentos!D484</f>
        <v>0</v>
      </c>
      <c r="M1012" s="105" t="str">
        <f>Equipamentos!BP484</f>
        <v>Unidade</v>
      </c>
      <c r="N1012" s="144">
        <f>Equipamentos!E484</f>
        <v>0</v>
      </c>
      <c r="O1012" s="105" t="s">
        <v>1263</v>
      </c>
      <c r="P1012" s="107">
        <v>24</v>
      </c>
      <c r="Q1012" s="65"/>
      <c r="R1012" s="65"/>
      <c r="S1012" s="110">
        <v>240</v>
      </c>
      <c r="T1012" s="65"/>
      <c r="U1012" s="117">
        <f t="shared" si="816"/>
        <v>0</v>
      </c>
      <c r="V1012" s="65"/>
      <c r="W1012" s="202"/>
    </row>
    <row r="1013" spans="9:23" ht="12" hidden="1" customHeight="1" outlineLevel="1">
      <c r="I1013" s="65"/>
      <c r="J1013" s="143" t="str">
        <f>IF(Equipamentos!C485&gt;0,Equipamentos!C485,"")</f>
        <v>Carrinho para cilindro (02 cilindro)</v>
      </c>
      <c r="K1013" s="65"/>
      <c r="L1013" s="144">
        <f>Equipamentos!D485</f>
        <v>0</v>
      </c>
      <c r="M1013" s="105" t="str">
        <f>Equipamentos!BP485</f>
        <v>Unidade</v>
      </c>
      <c r="N1013" s="144">
        <f>Equipamentos!E485</f>
        <v>0</v>
      </c>
      <c r="O1013" s="105" t="s">
        <v>1263</v>
      </c>
      <c r="P1013" s="107">
        <v>24</v>
      </c>
      <c r="Q1013" s="65"/>
      <c r="R1013" s="65"/>
      <c r="S1013" s="110">
        <v>370</v>
      </c>
      <c r="T1013" s="65"/>
      <c r="U1013" s="117">
        <f t="shared" si="816"/>
        <v>0</v>
      </c>
      <c r="V1013" s="65"/>
      <c r="W1013" s="202"/>
    </row>
    <row r="1014" spans="9:23" ht="12" hidden="1" customHeight="1" outlineLevel="1">
      <c r="I1014" s="65"/>
      <c r="J1014" s="143" t="str">
        <f>IF(Equipamentos!C486&gt;0,Equipamentos!C486,"")</f>
        <v>Carrinho para ferramentas</v>
      </c>
      <c r="K1014" s="65"/>
      <c r="L1014" s="144">
        <f>Equipamentos!D486</f>
        <v>0</v>
      </c>
      <c r="M1014" s="105" t="str">
        <f>Equipamentos!BP486</f>
        <v>Unidade</v>
      </c>
      <c r="N1014" s="144">
        <f>Equipamentos!E486</f>
        <v>0</v>
      </c>
      <c r="O1014" s="105" t="s">
        <v>1263</v>
      </c>
      <c r="P1014" s="107">
        <v>24</v>
      </c>
      <c r="Q1014" s="65"/>
      <c r="R1014" s="65"/>
      <c r="S1014" s="110">
        <v>2680</v>
      </c>
      <c r="T1014" s="65"/>
      <c r="U1014" s="117">
        <f t="shared" ref="U1014:U1022" si="817">IFERROR(L1014*N1014*(S1014/P1014),0)</f>
        <v>0</v>
      </c>
      <c r="V1014" s="65"/>
      <c r="W1014" s="202"/>
    </row>
    <row r="1015" spans="9:23" ht="12" hidden="1" customHeight="1" outlineLevel="1">
      <c r="I1015" s="65"/>
      <c r="J1015" s="143" t="str">
        <f>IF(Equipamentos!C487&gt;0,Equipamentos!C487,"")</f>
        <v>Carrinho para transporte de tambor</v>
      </c>
      <c r="K1015" s="65"/>
      <c r="L1015" s="144">
        <f>Equipamentos!D487</f>
        <v>0</v>
      </c>
      <c r="M1015" s="105" t="str">
        <f>Equipamentos!BP487</f>
        <v>Unidade</v>
      </c>
      <c r="N1015" s="144">
        <f>Equipamentos!E487</f>
        <v>0</v>
      </c>
      <c r="O1015" s="105" t="s">
        <v>1263</v>
      </c>
      <c r="P1015" s="107">
        <v>24</v>
      </c>
      <c r="Q1015" s="65"/>
      <c r="R1015" s="65"/>
      <c r="S1015" s="110">
        <v>261</v>
      </c>
      <c r="T1015" s="65"/>
      <c r="U1015" s="117">
        <f t="shared" si="817"/>
        <v>0</v>
      </c>
      <c r="V1015" s="65"/>
      <c r="W1015" s="202"/>
    </row>
    <row r="1016" spans="9:23" ht="12" hidden="1" customHeight="1" outlineLevel="1">
      <c r="I1016" s="65"/>
      <c r="J1016" s="143" t="str">
        <f>IF(Equipamentos!C488&gt;0,Equipamentos!C488,"")</f>
        <v>Carrinho plataforma</v>
      </c>
      <c r="K1016" s="65"/>
      <c r="L1016" s="144">
        <f>Equipamentos!D488</f>
        <v>0</v>
      </c>
      <c r="M1016" s="105" t="str">
        <f>Equipamentos!BP488</f>
        <v>Unidade</v>
      </c>
      <c r="N1016" s="144">
        <f>Equipamentos!E488</f>
        <v>0</v>
      </c>
      <c r="O1016" s="105" t="s">
        <v>1263</v>
      </c>
      <c r="P1016" s="107">
        <v>24</v>
      </c>
      <c r="Q1016" s="65"/>
      <c r="R1016" s="65"/>
      <c r="S1016" s="110">
        <v>425</v>
      </c>
      <c r="T1016" s="65"/>
      <c r="U1016" s="117">
        <f t="shared" ref="U1016:U1019" si="818">IFERROR(L1016*N1016*(S1016/P1016),0)</f>
        <v>0</v>
      </c>
      <c r="V1016" s="65"/>
      <c r="W1016" s="202"/>
    </row>
    <row r="1017" spans="9:23" ht="12" hidden="1" customHeight="1" outlineLevel="1">
      <c r="I1017" s="65"/>
      <c r="J1017" s="143" t="str">
        <f>IF(Equipamentos!C489&gt;0,Equipamentos!C489,"")</f>
        <v>Carro transpalet</v>
      </c>
      <c r="K1017" s="65"/>
      <c r="L1017" s="144">
        <f>Equipamentos!D489</f>
        <v>0</v>
      </c>
      <c r="M1017" s="105" t="str">
        <f>Equipamentos!BP489</f>
        <v>Unidade</v>
      </c>
      <c r="N1017" s="144">
        <f>Equipamentos!E489</f>
        <v>0</v>
      </c>
      <c r="O1017" s="105" t="s">
        <v>1263</v>
      </c>
      <c r="P1017" s="107">
        <v>24</v>
      </c>
      <c r="Q1017" s="65"/>
      <c r="R1017" s="65"/>
      <c r="S1017" s="110">
        <v>1950</v>
      </c>
      <c r="T1017" s="65"/>
      <c r="U1017" s="117">
        <f t="shared" si="818"/>
        <v>0</v>
      </c>
      <c r="V1017" s="65"/>
      <c r="W1017" s="202"/>
    </row>
    <row r="1018" spans="9:23" ht="12" hidden="1" customHeight="1" outlineLevel="1">
      <c r="I1018" s="65"/>
      <c r="J1018" s="143" t="str">
        <f>IF(Equipamentos!C490&gt;0,Equipamentos!C490,"")</f>
        <v>Catraca de corrente de 750 kg</v>
      </c>
      <c r="K1018" s="65"/>
      <c r="L1018" s="144">
        <f>Equipamentos!D490</f>
        <v>0</v>
      </c>
      <c r="M1018" s="105" t="str">
        <f>Equipamentos!BP490</f>
        <v>Unidade</v>
      </c>
      <c r="N1018" s="144">
        <f>Equipamentos!E490</f>
        <v>0</v>
      </c>
      <c r="O1018" s="105" t="s">
        <v>1263</v>
      </c>
      <c r="P1018" s="107">
        <v>24</v>
      </c>
      <c r="Q1018" s="65"/>
      <c r="R1018" s="65"/>
      <c r="S1018" s="110">
        <v>405</v>
      </c>
      <c r="T1018" s="65"/>
      <c r="U1018" s="117">
        <f t="shared" si="818"/>
        <v>0</v>
      </c>
      <c r="V1018" s="65"/>
      <c r="W1018" s="202"/>
    </row>
    <row r="1019" spans="9:23" ht="12" hidden="1" customHeight="1" outlineLevel="1">
      <c r="I1019" s="65"/>
      <c r="J1019" s="143" t="str">
        <f>IF(Equipamentos!C491&gt;0,Equipamentos!C491,"")</f>
        <v>Chave de impacto portátil</v>
      </c>
      <c r="K1019" s="65"/>
      <c r="L1019" s="144">
        <f>Equipamentos!D491</f>
        <v>0</v>
      </c>
      <c r="M1019" s="105" t="str">
        <f>Equipamentos!BP491</f>
        <v>Unidade</v>
      </c>
      <c r="N1019" s="144">
        <f>Equipamentos!E491</f>
        <v>0</v>
      </c>
      <c r="O1019" s="105" t="s">
        <v>1263</v>
      </c>
      <c r="P1019" s="107">
        <v>24</v>
      </c>
      <c r="Q1019" s="65"/>
      <c r="R1019" s="65"/>
      <c r="S1019" s="110">
        <v>1500</v>
      </c>
      <c r="T1019" s="65"/>
      <c r="U1019" s="117">
        <f t="shared" si="818"/>
        <v>0</v>
      </c>
      <c r="V1019" s="65"/>
      <c r="W1019" s="202"/>
    </row>
    <row r="1020" spans="9:23" ht="12" hidden="1" customHeight="1" outlineLevel="1">
      <c r="I1020" s="65"/>
      <c r="J1020" s="143" t="str">
        <f>IF(Equipamentos!C492&gt;0,Equipamentos!C492,"")</f>
        <v>Chaves especiais</v>
      </c>
      <c r="K1020" s="65"/>
      <c r="L1020" s="144">
        <f>Equipamentos!D492</f>
        <v>0</v>
      </c>
      <c r="M1020" s="105" t="str">
        <f>Equipamentos!BP492</f>
        <v>Unidade</v>
      </c>
      <c r="N1020" s="144">
        <f>Equipamentos!E492</f>
        <v>0</v>
      </c>
      <c r="O1020" s="105" t="s">
        <v>1263</v>
      </c>
      <c r="P1020" s="107">
        <v>24</v>
      </c>
      <c r="Q1020" s="65"/>
      <c r="R1020" s="65"/>
      <c r="S1020" s="110">
        <v>2500</v>
      </c>
      <c r="T1020" s="65"/>
      <c r="U1020" s="117">
        <f t="shared" si="817"/>
        <v>0</v>
      </c>
      <c r="V1020" s="65"/>
      <c r="W1020" s="202"/>
    </row>
    <row r="1021" spans="9:23" ht="12" hidden="1" customHeight="1" outlineLevel="1">
      <c r="I1021" s="65"/>
      <c r="J1021" s="143" t="str">
        <f>IF(Equipamentos!C493&gt;0,Equipamentos!C493,"")</f>
        <v>Cinta de polietileno</v>
      </c>
      <c r="K1021" s="65"/>
      <c r="L1021" s="144">
        <f>Equipamentos!D493</f>
        <v>0</v>
      </c>
      <c r="M1021" s="105" t="str">
        <f>Equipamentos!BP493</f>
        <v>Unidade</v>
      </c>
      <c r="N1021" s="144">
        <f>Equipamentos!E493</f>
        <v>0</v>
      </c>
      <c r="O1021" s="105" t="s">
        <v>1263</v>
      </c>
      <c r="P1021" s="107">
        <v>24</v>
      </c>
      <c r="Q1021" s="65"/>
      <c r="R1021" s="65"/>
      <c r="S1021" s="110">
        <v>70</v>
      </c>
      <c r="T1021" s="65"/>
      <c r="U1021" s="117">
        <f t="shared" si="817"/>
        <v>0</v>
      </c>
      <c r="V1021" s="65"/>
      <c r="W1021" s="202"/>
    </row>
    <row r="1022" spans="9:23" ht="12" hidden="1" customHeight="1" outlineLevel="1">
      <c r="I1022" s="65"/>
      <c r="J1022" s="143" t="str">
        <f>IF(Equipamentos!C494&gt;0,Equipamentos!C494,"")</f>
        <v>Compressor</v>
      </c>
      <c r="K1022" s="65"/>
      <c r="L1022" s="144">
        <f>Equipamentos!D494</f>
        <v>0</v>
      </c>
      <c r="M1022" s="105" t="str">
        <f>Equipamentos!BP494</f>
        <v>Unidade</v>
      </c>
      <c r="N1022" s="144">
        <f>Equipamentos!E494</f>
        <v>0</v>
      </c>
      <c r="O1022" s="105" t="s">
        <v>1263</v>
      </c>
      <c r="P1022" s="107">
        <v>24</v>
      </c>
      <c r="Q1022" s="65"/>
      <c r="R1022" s="65"/>
      <c r="S1022" s="110">
        <v>9000</v>
      </c>
      <c r="T1022" s="65"/>
      <c r="U1022" s="117">
        <f t="shared" si="817"/>
        <v>0</v>
      </c>
      <c r="V1022" s="65"/>
      <c r="W1022" s="202"/>
    </row>
    <row r="1023" spans="9:23" ht="12" hidden="1" customHeight="1" outlineLevel="1">
      <c r="I1023" s="65"/>
      <c r="J1023" s="143" t="str">
        <f>IF(Equipamentos!C495&gt;0,Equipamentos!C495,"")</f>
        <v>Conjunto oxicorte completo</v>
      </c>
      <c r="K1023" s="65"/>
      <c r="L1023" s="144">
        <f>Equipamentos!D495</f>
        <v>0</v>
      </c>
      <c r="M1023" s="105" t="str">
        <f>Equipamentos!BP495</f>
        <v>Unidade</v>
      </c>
      <c r="N1023" s="144">
        <f>Equipamentos!E495</f>
        <v>0</v>
      </c>
      <c r="O1023" s="105" t="s">
        <v>1263</v>
      </c>
      <c r="P1023" s="107">
        <v>24</v>
      </c>
      <c r="Q1023" s="65"/>
      <c r="R1023" s="65"/>
      <c r="S1023" s="110">
        <v>2100</v>
      </c>
      <c r="T1023" s="65"/>
      <c r="U1023" s="117">
        <f t="shared" ref="U1023:U1026" si="819">IFERROR(L1023*N1023*(S1023/P1023),0)</f>
        <v>0</v>
      </c>
      <c r="V1023" s="65"/>
      <c r="W1023" s="202"/>
    </row>
    <row r="1024" spans="9:23" ht="12" hidden="1" customHeight="1" outlineLevel="1">
      <c r="I1024" s="65"/>
      <c r="J1024" s="143" t="str">
        <f>IF(Equipamentos!C496&gt;0,Equipamentos!C496,"")</f>
        <v>Conjunto oxicorte tipo tartaruga</v>
      </c>
      <c r="K1024" s="65"/>
      <c r="L1024" s="144">
        <f>Equipamentos!D496</f>
        <v>0</v>
      </c>
      <c r="M1024" s="105" t="str">
        <f>Equipamentos!BP496</f>
        <v>Unidade</v>
      </c>
      <c r="N1024" s="144">
        <f>Equipamentos!E496</f>
        <v>0</v>
      </c>
      <c r="O1024" s="105" t="s">
        <v>1263</v>
      </c>
      <c r="P1024" s="107">
        <v>24</v>
      </c>
      <c r="Q1024" s="65"/>
      <c r="R1024" s="65"/>
      <c r="S1024" s="110">
        <v>3900</v>
      </c>
      <c r="T1024" s="65"/>
      <c r="U1024" s="117">
        <f t="shared" si="819"/>
        <v>0</v>
      </c>
      <c r="V1024" s="65"/>
      <c r="W1024" s="202"/>
    </row>
    <row r="1025" spans="9:23" ht="12" hidden="1" customHeight="1" outlineLevel="1">
      <c r="I1025" s="65"/>
      <c r="J1025" s="143" t="str">
        <f>IF(Equipamentos!C497&gt;0,Equipamentos!C497,"")</f>
        <v>Cortador pneumático de cabos</v>
      </c>
      <c r="K1025" s="65"/>
      <c r="L1025" s="144">
        <f>Equipamentos!D497</f>
        <v>0</v>
      </c>
      <c r="M1025" s="105" t="str">
        <f>Equipamentos!BP497</f>
        <v>Unidade</v>
      </c>
      <c r="N1025" s="144">
        <f>Equipamentos!E497</f>
        <v>0</v>
      </c>
      <c r="O1025" s="105" t="s">
        <v>1263</v>
      </c>
      <c r="P1025" s="107">
        <v>24</v>
      </c>
      <c r="Q1025" s="65"/>
      <c r="R1025" s="65"/>
      <c r="S1025" s="110">
        <v>750</v>
      </c>
      <c r="T1025" s="65"/>
      <c r="U1025" s="117">
        <f t="shared" si="819"/>
        <v>0</v>
      </c>
      <c r="V1025" s="65"/>
      <c r="W1025" s="202"/>
    </row>
    <row r="1026" spans="9:23" ht="12" hidden="1" customHeight="1" outlineLevel="1">
      <c r="I1026" s="65"/>
      <c r="J1026" s="143" t="str">
        <f>IF(Equipamentos!C498&gt;0,Equipamentos!C498,"")</f>
        <v>Decapador de cabos</v>
      </c>
      <c r="K1026" s="65"/>
      <c r="L1026" s="144">
        <f>Equipamentos!D498</f>
        <v>0</v>
      </c>
      <c r="M1026" s="105" t="str">
        <f>Equipamentos!BP498</f>
        <v>Unidade</v>
      </c>
      <c r="N1026" s="144">
        <f>Equipamentos!E498</f>
        <v>0</v>
      </c>
      <c r="O1026" s="105" t="s">
        <v>1263</v>
      </c>
      <c r="P1026" s="107">
        <v>24</v>
      </c>
      <c r="Q1026" s="65"/>
      <c r="R1026" s="65"/>
      <c r="S1026" s="110">
        <v>150</v>
      </c>
      <c r="T1026" s="65"/>
      <c r="U1026" s="117">
        <f t="shared" si="819"/>
        <v>0</v>
      </c>
      <c r="V1026" s="65"/>
      <c r="W1026" s="202"/>
    </row>
    <row r="1027" spans="9:23" ht="12" hidden="1" customHeight="1" outlineLevel="1">
      <c r="I1027" s="65"/>
      <c r="J1027" s="143" t="str">
        <f>IF(Equipamentos!C499&gt;0,Equipamentos!C499,"")</f>
        <v>Detector de tensão</v>
      </c>
      <c r="K1027" s="65"/>
      <c r="L1027" s="144">
        <f>Equipamentos!D499</f>
        <v>0</v>
      </c>
      <c r="M1027" s="105" t="str">
        <f>Equipamentos!BP499</f>
        <v>Unidade</v>
      </c>
      <c r="N1027" s="144">
        <f>Equipamentos!E499</f>
        <v>0</v>
      </c>
      <c r="O1027" s="105" t="s">
        <v>1263</v>
      </c>
      <c r="P1027" s="107">
        <v>24</v>
      </c>
      <c r="Q1027" s="65"/>
      <c r="R1027" s="65"/>
      <c r="S1027" s="110">
        <v>1600</v>
      </c>
      <c r="T1027" s="65"/>
      <c r="U1027" s="117">
        <f t="shared" ref="U1027:U1090" si="820">IFERROR(L1027*N1027*(S1027/P1027),0)</f>
        <v>0</v>
      </c>
      <c r="V1027" s="65"/>
      <c r="W1027" s="202"/>
    </row>
    <row r="1028" spans="9:23" ht="12" hidden="1" customHeight="1" outlineLevel="1">
      <c r="I1028" s="65"/>
      <c r="J1028" s="143" t="str">
        <f>IF(Equipamentos!C500&gt;0,Equipamentos!C500,"")</f>
        <v>Dobradeira, Guilhotina e Calandra</v>
      </c>
      <c r="K1028" s="65"/>
      <c r="L1028" s="144">
        <f>Equipamentos!D500</f>
        <v>0</v>
      </c>
      <c r="M1028" s="105" t="str">
        <f>Equipamentos!BP500</f>
        <v>Unidade</v>
      </c>
      <c r="N1028" s="144">
        <f>Equipamentos!E500</f>
        <v>0</v>
      </c>
      <c r="O1028" s="105" t="s">
        <v>1263</v>
      </c>
      <c r="P1028" s="107">
        <v>24</v>
      </c>
      <c r="Q1028" s="65"/>
      <c r="R1028" s="65"/>
      <c r="S1028" s="110">
        <v>12000</v>
      </c>
      <c r="T1028" s="65"/>
      <c r="U1028" s="117">
        <f t="shared" si="820"/>
        <v>0</v>
      </c>
      <c r="V1028" s="65"/>
      <c r="W1028" s="202"/>
    </row>
    <row r="1029" spans="9:23" ht="12" hidden="1" customHeight="1" outlineLevel="1">
      <c r="I1029" s="65"/>
      <c r="J1029" s="143" t="str">
        <f>IF(Equipamentos!C501&gt;0,Equipamentos!C501,"")</f>
        <v>Dobrador de tubos</v>
      </c>
      <c r="K1029" s="65"/>
      <c r="L1029" s="144">
        <f>Equipamentos!D501</f>
        <v>0</v>
      </c>
      <c r="M1029" s="105" t="str">
        <f>Equipamentos!BP501</f>
        <v>Unidade</v>
      </c>
      <c r="N1029" s="144">
        <f>Equipamentos!E501</f>
        <v>0</v>
      </c>
      <c r="O1029" s="105" t="s">
        <v>1263</v>
      </c>
      <c r="P1029" s="107">
        <v>24</v>
      </c>
      <c r="Q1029" s="65"/>
      <c r="R1029" s="65"/>
      <c r="S1029" s="110">
        <v>3000</v>
      </c>
      <c r="T1029" s="65"/>
      <c r="U1029" s="117">
        <f t="shared" si="820"/>
        <v>0</v>
      </c>
      <c r="V1029" s="65"/>
      <c r="W1029" s="202"/>
    </row>
    <row r="1030" spans="9:23" ht="12" hidden="1" customHeight="1" outlineLevel="1">
      <c r="I1030" s="65"/>
      <c r="J1030" s="143" t="str">
        <f>IF(Equipamentos!C502&gt;0,Equipamentos!C502,"")</f>
        <v>Escala de inox 2000mm</v>
      </c>
      <c r="K1030" s="65"/>
      <c r="L1030" s="144">
        <f>Equipamentos!D502</f>
        <v>0</v>
      </c>
      <c r="M1030" s="105" t="str">
        <f>Equipamentos!BP502</f>
        <v>Unidade</v>
      </c>
      <c r="N1030" s="144">
        <f>Equipamentos!E502</f>
        <v>0</v>
      </c>
      <c r="O1030" s="105" t="s">
        <v>1263</v>
      </c>
      <c r="P1030" s="107">
        <v>24</v>
      </c>
      <c r="Q1030" s="65"/>
      <c r="R1030" s="65"/>
      <c r="S1030" s="110">
        <v>350</v>
      </c>
      <c r="T1030" s="65"/>
      <c r="U1030" s="117">
        <f t="shared" si="820"/>
        <v>0</v>
      </c>
      <c r="V1030" s="65"/>
      <c r="W1030" s="202"/>
    </row>
    <row r="1031" spans="9:23" ht="12" hidden="1" customHeight="1" outlineLevel="1">
      <c r="I1031" s="65"/>
      <c r="J1031" s="143" t="str">
        <f>IF(Equipamentos!C503&gt;0,Equipamentos!C503,"")</f>
        <v>Escala de inox 500mm</v>
      </c>
      <c r="K1031" s="65"/>
      <c r="L1031" s="144">
        <f>Equipamentos!D503</f>
        <v>0</v>
      </c>
      <c r="M1031" s="105" t="str">
        <f>Equipamentos!BP503</f>
        <v>Unidade</v>
      </c>
      <c r="N1031" s="144">
        <f>Equipamentos!E503</f>
        <v>0</v>
      </c>
      <c r="O1031" s="105" t="s">
        <v>1263</v>
      </c>
      <c r="P1031" s="107">
        <v>24</v>
      </c>
      <c r="Q1031" s="65"/>
      <c r="R1031" s="65"/>
      <c r="S1031" s="110">
        <v>25</v>
      </c>
      <c r="T1031" s="65"/>
      <c r="U1031" s="117">
        <f t="shared" si="820"/>
        <v>0</v>
      </c>
      <c r="V1031" s="65"/>
      <c r="W1031" s="202"/>
    </row>
    <row r="1032" spans="9:23" ht="12" hidden="1" customHeight="1" outlineLevel="1">
      <c r="I1032" s="65"/>
      <c r="J1032" s="143" t="str">
        <f>IF(Equipamentos!C504&gt;0,Equipamentos!C504,"")</f>
        <v>Esmerilhadeira 4.1/2"</v>
      </c>
      <c r="K1032" s="65"/>
      <c r="L1032" s="144">
        <f>Equipamentos!D504</f>
        <v>0</v>
      </c>
      <c r="M1032" s="105" t="str">
        <f>Equipamentos!BP504</f>
        <v>Unidade</v>
      </c>
      <c r="N1032" s="144">
        <f>Equipamentos!E504</f>
        <v>0</v>
      </c>
      <c r="O1032" s="105" t="s">
        <v>1263</v>
      </c>
      <c r="P1032" s="107">
        <v>24</v>
      </c>
      <c r="Q1032" s="65"/>
      <c r="R1032" s="65"/>
      <c r="S1032" s="110">
        <v>400</v>
      </c>
      <c r="T1032" s="65"/>
      <c r="U1032" s="117">
        <f t="shared" si="820"/>
        <v>0</v>
      </c>
      <c r="V1032" s="65"/>
      <c r="W1032" s="202"/>
    </row>
    <row r="1033" spans="9:23" ht="12" hidden="1" customHeight="1" outlineLevel="1">
      <c r="I1033" s="65"/>
      <c r="J1033" s="143" t="str">
        <f>IF(Equipamentos!C505&gt;0,Equipamentos!C505,"")</f>
        <v>Esmerilhadeira 7.1/2"</v>
      </c>
      <c r="K1033" s="65"/>
      <c r="L1033" s="144">
        <f>Equipamentos!D505</f>
        <v>0</v>
      </c>
      <c r="M1033" s="105" t="str">
        <f>Equipamentos!BP505</f>
        <v>Unidade</v>
      </c>
      <c r="N1033" s="144">
        <f>Equipamentos!E505</f>
        <v>0</v>
      </c>
      <c r="O1033" s="105" t="s">
        <v>1263</v>
      </c>
      <c r="P1033" s="107">
        <v>24</v>
      </c>
      <c r="Q1033" s="65"/>
      <c r="R1033" s="65"/>
      <c r="S1033" s="110">
        <v>700</v>
      </c>
      <c r="T1033" s="65"/>
      <c r="U1033" s="117">
        <f t="shared" si="820"/>
        <v>0</v>
      </c>
      <c r="V1033" s="65"/>
      <c r="W1033" s="202"/>
    </row>
    <row r="1034" spans="9:23" ht="12" hidden="1" customHeight="1" outlineLevel="1">
      <c r="I1034" s="65"/>
      <c r="J1034" s="143" t="str">
        <f>IF(Equipamentos!C506&gt;0,Equipamentos!C506,"")</f>
        <v>Esmerilhadeira de bancada</v>
      </c>
      <c r="K1034" s="65"/>
      <c r="L1034" s="144">
        <f>Equipamentos!D506</f>
        <v>0</v>
      </c>
      <c r="M1034" s="105" t="str">
        <f>Equipamentos!BP506</f>
        <v>Unidade</v>
      </c>
      <c r="N1034" s="144">
        <f>Equipamentos!E506</f>
        <v>0</v>
      </c>
      <c r="O1034" s="105" t="s">
        <v>1263</v>
      </c>
      <c r="P1034" s="107">
        <v>24</v>
      </c>
      <c r="Q1034" s="65"/>
      <c r="R1034" s="65"/>
      <c r="S1034" s="110">
        <v>350</v>
      </c>
      <c r="T1034" s="65"/>
      <c r="U1034" s="117">
        <f t="shared" si="820"/>
        <v>0</v>
      </c>
      <c r="V1034" s="65"/>
      <c r="W1034" s="202"/>
    </row>
    <row r="1035" spans="9:23" ht="12" hidden="1" customHeight="1" outlineLevel="1">
      <c r="I1035" s="65"/>
      <c r="J1035" s="143" t="str">
        <f>IF(Equipamentos!C507&gt;0,Equipamentos!C507,"")</f>
        <v>Estropo</v>
      </c>
      <c r="K1035" s="65"/>
      <c r="L1035" s="144">
        <f>Equipamentos!D507</f>
        <v>0</v>
      </c>
      <c r="M1035" s="105" t="str">
        <f>Equipamentos!BP507</f>
        <v>Unidade</v>
      </c>
      <c r="N1035" s="144">
        <f>Equipamentos!E507</f>
        <v>0</v>
      </c>
      <c r="O1035" s="105" t="s">
        <v>1263</v>
      </c>
      <c r="P1035" s="107">
        <v>24</v>
      </c>
      <c r="Q1035" s="65"/>
      <c r="R1035" s="65"/>
      <c r="S1035" s="110">
        <v>70</v>
      </c>
      <c r="T1035" s="65"/>
      <c r="U1035" s="117">
        <f t="shared" si="820"/>
        <v>0</v>
      </c>
      <c r="V1035" s="65"/>
      <c r="W1035" s="202"/>
    </row>
    <row r="1036" spans="9:23" ht="12" hidden="1" customHeight="1" outlineLevel="1">
      <c r="I1036" s="65"/>
      <c r="J1036" s="143" t="str">
        <f>IF(Equipamentos!C508&gt;0,Equipamentos!C508,"")</f>
        <v>Estufa cochicho</v>
      </c>
      <c r="K1036" s="65"/>
      <c r="L1036" s="144">
        <f>Equipamentos!D508</f>
        <v>0</v>
      </c>
      <c r="M1036" s="105" t="str">
        <f>Equipamentos!BP508</f>
        <v>Unidade</v>
      </c>
      <c r="N1036" s="144">
        <f>Equipamentos!E508</f>
        <v>0</v>
      </c>
      <c r="O1036" s="105" t="s">
        <v>1263</v>
      </c>
      <c r="P1036" s="107">
        <v>24</v>
      </c>
      <c r="Q1036" s="65"/>
      <c r="R1036" s="65"/>
      <c r="S1036" s="110">
        <v>350</v>
      </c>
      <c r="T1036" s="65"/>
      <c r="U1036" s="117">
        <f t="shared" si="820"/>
        <v>0</v>
      </c>
      <c r="V1036" s="65"/>
      <c r="W1036" s="202"/>
    </row>
    <row r="1037" spans="9:23" ht="12" hidden="1" customHeight="1" outlineLevel="1">
      <c r="I1037" s="65"/>
      <c r="J1037" s="143" t="str">
        <f>IF(Equipamentos!C509&gt;0,Equipamentos!C509,"")</f>
        <v>Estufa para eletrodo</v>
      </c>
      <c r="K1037" s="65"/>
      <c r="L1037" s="144">
        <f>Equipamentos!D509</f>
        <v>0</v>
      </c>
      <c r="M1037" s="105" t="str">
        <f>Equipamentos!BP509</f>
        <v>Unidade</v>
      </c>
      <c r="N1037" s="144">
        <f>Equipamentos!E509</f>
        <v>0</v>
      </c>
      <c r="O1037" s="105" t="s">
        <v>1263</v>
      </c>
      <c r="P1037" s="107">
        <v>24</v>
      </c>
      <c r="Q1037" s="65"/>
      <c r="R1037" s="65"/>
      <c r="S1037" s="110">
        <v>3990</v>
      </c>
      <c r="T1037" s="65"/>
      <c r="U1037" s="117">
        <f t="shared" si="820"/>
        <v>0</v>
      </c>
      <c r="V1037" s="65"/>
      <c r="W1037" s="202"/>
    </row>
    <row r="1038" spans="9:23" ht="12" hidden="1" customHeight="1" outlineLevel="1">
      <c r="I1038" s="65"/>
      <c r="J1038" s="143" t="str">
        <f>IF(Equipamentos!C510&gt;0,Equipamentos!C510,"")</f>
        <v>Extensão elétrica - 50 metros</v>
      </c>
      <c r="K1038" s="65"/>
      <c r="L1038" s="144">
        <f>Equipamentos!D510</f>
        <v>0</v>
      </c>
      <c r="M1038" s="105" t="str">
        <f>Equipamentos!BP510</f>
        <v>Unidade</v>
      </c>
      <c r="N1038" s="144">
        <f>Equipamentos!E510</f>
        <v>0</v>
      </c>
      <c r="O1038" s="105" t="s">
        <v>1263</v>
      </c>
      <c r="P1038" s="107">
        <v>24</v>
      </c>
      <c r="Q1038" s="65"/>
      <c r="R1038" s="65"/>
      <c r="S1038" s="110">
        <v>435</v>
      </c>
      <c r="T1038" s="65"/>
      <c r="U1038" s="117">
        <f t="shared" si="820"/>
        <v>0</v>
      </c>
      <c r="V1038" s="65"/>
      <c r="W1038" s="202"/>
    </row>
    <row r="1039" spans="9:23" ht="12" hidden="1" customHeight="1" outlineLevel="1">
      <c r="I1039" s="65"/>
      <c r="J1039" s="143" t="str">
        <f>IF(Equipamentos!C511&gt;0,Equipamentos!C511,"")</f>
        <v>Fresadora</v>
      </c>
      <c r="K1039" s="65"/>
      <c r="L1039" s="144">
        <f>Equipamentos!D511</f>
        <v>0</v>
      </c>
      <c r="M1039" s="105" t="str">
        <f>Equipamentos!BP511</f>
        <v>Unidade</v>
      </c>
      <c r="N1039" s="144">
        <f>Equipamentos!E511</f>
        <v>0</v>
      </c>
      <c r="O1039" s="105" t="s">
        <v>1263</v>
      </c>
      <c r="P1039" s="107">
        <v>24</v>
      </c>
      <c r="Q1039" s="65"/>
      <c r="R1039" s="65"/>
      <c r="S1039" s="110">
        <v>25000</v>
      </c>
      <c r="T1039" s="65"/>
      <c r="U1039" s="117">
        <f t="shared" si="820"/>
        <v>0</v>
      </c>
      <c r="V1039" s="65"/>
      <c r="W1039" s="202"/>
    </row>
    <row r="1040" spans="9:23" ht="12" hidden="1" customHeight="1" outlineLevel="1">
      <c r="I1040" s="65"/>
      <c r="J1040" s="143" t="str">
        <f>IF(Equipamentos!C512&gt;0,Equipamentos!C512,"")</f>
        <v>Funil plástico</v>
      </c>
      <c r="K1040" s="65"/>
      <c r="L1040" s="144">
        <f>Equipamentos!D512</f>
        <v>0</v>
      </c>
      <c r="M1040" s="105" t="str">
        <f>Equipamentos!BP512</f>
        <v>Unidade</v>
      </c>
      <c r="N1040" s="144">
        <f>Equipamentos!E512</f>
        <v>0</v>
      </c>
      <c r="O1040" s="105" t="s">
        <v>1263</v>
      </c>
      <c r="P1040" s="107">
        <v>24</v>
      </c>
      <c r="Q1040" s="65"/>
      <c r="R1040" s="65"/>
      <c r="S1040" s="110">
        <v>16</v>
      </c>
      <c r="T1040" s="65"/>
      <c r="U1040" s="117">
        <f t="shared" si="820"/>
        <v>0</v>
      </c>
      <c r="V1040" s="65"/>
      <c r="W1040" s="202"/>
    </row>
    <row r="1041" spans="9:23" ht="12" hidden="1" customHeight="1" outlineLevel="1">
      <c r="I1041" s="65"/>
      <c r="J1041" s="143" t="str">
        <f>IF(Equipamentos!C513&gt;0,Equipamentos!C513,"")</f>
        <v>Furadeira base magnética</v>
      </c>
      <c r="K1041" s="65"/>
      <c r="L1041" s="144">
        <f>Equipamentos!D513</f>
        <v>0</v>
      </c>
      <c r="M1041" s="105" t="str">
        <f>Equipamentos!BP513</f>
        <v>Unidade</v>
      </c>
      <c r="N1041" s="144">
        <f>Equipamentos!E513</f>
        <v>0</v>
      </c>
      <c r="O1041" s="105" t="s">
        <v>1263</v>
      </c>
      <c r="P1041" s="107">
        <v>24</v>
      </c>
      <c r="Q1041" s="65"/>
      <c r="R1041" s="65"/>
      <c r="S1041" s="110">
        <v>5500</v>
      </c>
      <c r="T1041" s="65"/>
      <c r="U1041" s="117">
        <f t="shared" si="820"/>
        <v>0</v>
      </c>
      <c r="V1041" s="65"/>
      <c r="W1041" s="202"/>
    </row>
    <row r="1042" spans="9:23" ht="12" hidden="1" customHeight="1" outlineLevel="1">
      <c r="I1042" s="65"/>
      <c r="J1042" s="143" t="str">
        <f>IF(Equipamentos!C514&gt;0,Equipamentos!C514,"")</f>
        <v>Furadeira de bancada</v>
      </c>
      <c r="K1042" s="65"/>
      <c r="L1042" s="144">
        <f>Equipamentos!D514</f>
        <v>0</v>
      </c>
      <c r="M1042" s="105" t="str">
        <f>Equipamentos!BP514</f>
        <v>Unidade</v>
      </c>
      <c r="N1042" s="144">
        <f>Equipamentos!E514</f>
        <v>0</v>
      </c>
      <c r="O1042" s="105" t="s">
        <v>1263</v>
      </c>
      <c r="P1042" s="107">
        <v>24</v>
      </c>
      <c r="Q1042" s="65"/>
      <c r="R1042" s="65"/>
      <c r="S1042" s="110">
        <v>860</v>
      </c>
      <c r="T1042" s="65"/>
      <c r="U1042" s="117">
        <f t="shared" si="820"/>
        <v>0</v>
      </c>
      <c r="V1042" s="65"/>
      <c r="W1042" s="202"/>
    </row>
    <row r="1043" spans="9:23" ht="12" hidden="1" customHeight="1" outlineLevel="1">
      <c r="I1043" s="65"/>
      <c r="J1043" s="143" t="str">
        <f>IF(Equipamentos!C515&gt;0,Equipamentos!C515,"")</f>
        <v>Furadeira elétrica 1/2"</v>
      </c>
      <c r="K1043" s="65"/>
      <c r="L1043" s="144">
        <f>Equipamentos!D515</f>
        <v>0</v>
      </c>
      <c r="M1043" s="105" t="str">
        <f>Equipamentos!BP515</f>
        <v>Unidade</v>
      </c>
      <c r="N1043" s="144">
        <f>Equipamentos!E515</f>
        <v>0</v>
      </c>
      <c r="O1043" s="105" t="s">
        <v>1263</v>
      </c>
      <c r="P1043" s="107">
        <v>24</v>
      </c>
      <c r="Q1043" s="65"/>
      <c r="R1043" s="65"/>
      <c r="S1043" s="110">
        <v>490</v>
      </c>
      <c r="T1043" s="65"/>
      <c r="U1043" s="117">
        <f t="shared" si="820"/>
        <v>0</v>
      </c>
      <c r="V1043" s="65"/>
      <c r="W1043" s="202"/>
    </row>
    <row r="1044" spans="9:23" ht="12" hidden="1" customHeight="1" outlineLevel="1">
      <c r="I1044" s="65"/>
      <c r="J1044" s="143" t="str">
        <f>IF(Equipamentos!C516&gt;0,Equipamentos!C516,"")</f>
        <v>Furadeira impacto 5/8"</v>
      </c>
      <c r="K1044" s="65"/>
      <c r="L1044" s="144">
        <f>Equipamentos!D516</f>
        <v>0</v>
      </c>
      <c r="M1044" s="105" t="str">
        <f>Equipamentos!BP516</f>
        <v>Unidade</v>
      </c>
      <c r="N1044" s="144">
        <f>Equipamentos!E516</f>
        <v>0</v>
      </c>
      <c r="O1044" s="105" t="s">
        <v>1263</v>
      </c>
      <c r="P1044" s="107">
        <v>24</v>
      </c>
      <c r="Q1044" s="65"/>
      <c r="R1044" s="65"/>
      <c r="S1044" s="110">
        <v>1300</v>
      </c>
      <c r="T1044" s="65"/>
      <c r="U1044" s="117">
        <f t="shared" si="820"/>
        <v>0</v>
      </c>
      <c r="V1044" s="65"/>
      <c r="W1044" s="202"/>
    </row>
    <row r="1045" spans="9:23" ht="12" hidden="1" customHeight="1" outlineLevel="1">
      <c r="I1045" s="65"/>
      <c r="J1045" s="143" t="str">
        <f>IF(Equipamentos!C517&gt;0,Equipamentos!C517,"")</f>
        <v>Furadeira industrial</v>
      </c>
      <c r="K1045" s="65"/>
      <c r="L1045" s="144">
        <f>Equipamentos!D517</f>
        <v>0</v>
      </c>
      <c r="M1045" s="105" t="str">
        <f>Equipamentos!BP517</f>
        <v>Unidade</v>
      </c>
      <c r="N1045" s="144">
        <f>Equipamentos!E517</f>
        <v>0</v>
      </c>
      <c r="O1045" s="105" t="s">
        <v>1263</v>
      </c>
      <c r="P1045" s="107">
        <v>24</v>
      </c>
      <c r="Q1045" s="65"/>
      <c r="R1045" s="65"/>
      <c r="S1045" s="110">
        <v>3500</v>
      </c>
      <c r="T1045" s="65"/>
      <c r="U1045" s="117">
        <f t="shared" si="820"/>
        <v>0</v>
      </c>
      <c r="V1045" s="65"/>
      <c r="W1045" s="202"/>
    </row>
    <row r="1046" spans="9:23" ht="12" hidden="1" customHeight="1" outlineLevel="1">
      <c r="I1046" s="65"/>
      <c r="J1046" s="143" t="str">
        <f>IF(Equipamentos!C518&gt;0,Equipamentos!C518,"")</f>
        <v>Gerador de energia - 025 KVA</v>
      </c>
      <c r="K1046" s="65"/>
      <c r="L1046" s="144">
        <f>Equipamentos!D518</f>
        <v>0</v>
      </c>
      <c r="M1046" s="105" t="str">
        <f>Equipamentos!BP518</f>
        <v>Unidade</v>
      </c>
      <c r="N1046" s="144">
        <f>Equipamentos!E518</f>
        <v>0</v>
      </c>
      <c r="O1046" s="105" t="s">
        <v>1263</v>
      </c>
      <c r="P1046" s="107">
        <v>24</v>
      </c>
      <c r="Q1046" s="65"/>
      <c r="R1046" s="65"/>
      <c r="S1046" s="110">
        <v>18500</v>
      </c>
      <c r="T1046" s="65"/>
      <c r="U1046" s="117">
        <f t="shared" si="820"/>
        <v>0</v>
      </c>
      <c r="V1046" s="65"/>
      <c r="W1046" s="202"/>
    </row>
    <row r="1047" spans="9:23" ht="12" hidden="1" customHeight="1" outlineLevel="1">
      <c r="I1047" s="65"/>
      <c r="J1047" s="143" t="str">
        <f>IF(Equipamentos!C519&gt;0,Equipamentos!C519,"")</f>
        <v>Gerador de energia - 040 KVA</v>
      </c>
      <c r="K1047" s="65"/>
      <c r="L1047" s="144">
        <f>Equipamentos!D519</f>
        <v>0</v>
      </c>
      <c r="M1047" s="105" t="str">
        <f>Equipamentos!BP519</f>
        <v>Unidade</v>
      </c>
      <c r="N1047" s="144">
        <f>Equipamentos!E519</f>
        <v>0</v>
      </c>
      <c r="O1047" s="105" t="s">
        <v>1263</v>
      </c>
      <c r="P1047" s="107">
        <v>24</v>
      </c>
      <c r="Q1047" s="65"/>
      <c r="R1047" s="65"/>
      <c r="S1047" s="110">
        <v>29000</v>
      </c>
      <c r="T1047" s="65"/>
      <c r="U1047" s="117">
        <f t="shared" si="820"/>
        <v>0</v>
      </c>
      <c r="V1047" s="65"/>
      <c r="W1047" s="202"/>
    </row>
    <row r="1048" spans="9:23" ht="12" hidden="1" customHeight="1" outlineLevel="1">
      <c r="I1048" s="65"/>
      <c r="J1048" s="143" t="str">
        <f>IF(Equipamentos!C520&gt;0,Equipamentos!C520,"")</f>
        <v>Gerador de energia - 050 KVA</v>
      </c>
      <c r="K1048" s="65"/>
      <c r="L1048" s="144">
        <f>Equipamentos!D520</f>
        <v>0</v>
      </c>
      <c r="M1048" s="105" t="str">
        <f>Equipamentos!BP520</f>
        <v>Unidade</v>
      </c>
      <c r="N1048" s="144">
        <f>Equipamentos!E520</f>
        <v>0</v>
      </c>
      <c r="O1048" s="105" t="s">
        <v>1263</v>
      </c>
      <c r="P1048" s="107">
        <v>24</v>
      </c>
      <c r="Q1048" s="65"/>
      <c r="R1048" s="65"/>
      <c r="S1048" s="110">
        <v>38000</v>
      </c>
      <c r="T1048" s="65"/>
      <c r="U1048" s="117">
        <f t="shared" si="820"/>
        <v>0</v>
      </c>
      <c r="V1048" s="65"/>
      <c r="W1048" s="202"/>
    </row>
    <row r="1049" spans="9:23" ht="12" hidden="1" customHeight="1" outlineLevel="1">
      <c r="I1049" s="65"/>
      <c r="J1049" s="143" t="str">
        <f>IF(Equipamentos!C521&gt;0,Equipamentos!C521,"")</f>
        <v>Gerador de energia - 080 KVA</v>
      </c>
      <c r="K1049" s="65"/>
      <c r="L1049" s="144">
        <f>Equipamentos!D521</f>
        <v>0</v>
      </c>
      <c r="M1049" s="105" t="str">
        <f>Equipamentos!BP521</f>
        <v>Unidade</v>
      </c>
      <c r="N1049" s="144">
        <f>Equipamentos!E521</f>
        <v>0</v>
      </c>
      <c r="O1049" s="105" t="s">
        <v>1263</v>
      </c>
      <c r="P1049" s="107">
        <v>24</v>
      </c>
      <c r="Q1049" s="65"/>
      <c r="R1049" s="65"/>
      <c r="S1049" s="110">
        <v>41000</v>
      </c>
      <c r="T1049" s="65"/>
      <c r="U1049" s="117">
        <f t="shared" si="820"/>
        <v>0</v>
      </c>
      <c r="V1049" s="65"/>
      <c r="W1049" s="202"/>
    </row>
    <row r="1050" spans="9:23" ht="12" hidden="1" customHeight="1" outlineLevel="1">
      <c r="I1050" s="65"/>
      <c r="J1050" s="143" t="str">
        <f>IF(Equipamentos!C522&gt;0,Equipamentos!C522,"")</f>
        <v>Gerador de energia - 100 KVA</v>
      </c>
      <c r="K1050" s="65"/>
      <c r="L1050" s="144">
        <f>Equipamentos!D522</f>
        <v>0</v>
      </c>
      <c r="M1050" s="105" t="str">
        <f>Equipamentos!BP522</f>
        <v>Unidade</v>
      </c>
      <c r="N1050" s="144">
        <f>Equipamentos!E522</f>
        <v>0</v>
      </c>
      <c r="O1050" s="105" t="s">
        <v>1263</v>
      </c>
      <c r="P1050" s="107">
        <v>24</v>
      </c>
      <c r="Q1050" s="65"/>
      <c r="R1050" s="65"/>
      <c r="S1050" s="110">
        <v>80000</v>
      </c>
      <c r="T1050" s="65"/>
      <c r="U1050" s="117">
        <f t="shared" si="820"/>
        <v>0</v>
      </c>
      <c r="V1050" s="65"/>
      <c r="W1050" s="202"/>
    </row>
    <row r="1051" spans="9:23" ht="12" hidden="1" customHeight="1" outlineLevel="1">
      <c r="I1051" s="65"/>
      <c r="J1051" s="143" t="str">
        <f>IF(Equipamentos!C523&gt;0,Equipamentos!C523,"")</f>
        <v>Gerador de energia - 150 KVA</v>
      </c>
      <c r="K1051" s="65"/>
      <c r="L1051" s="144">
        <f>Equipamentos!D523</f>
        <v>0</v>
      </c>
      <c r="M1051" s="105" t="str">
        <f>Equipamentos!BP523</f>
        <v>Unidade</v>
      </c>
      <c r="N1051" s="144">
        <f>Equipamentos!E523</f>
        <v>0</v>
      </c>
      <c r="O1051" s="105" t="s">
        <v>1263</v>
      </c>
      <c r="P1051" s="107">
        <v>24</v>
      </c>
      <c r="Q1051" s="65"/>
      <c r="R1051" s="65"/>
      <c r="S1051" s="110">
        <v>115000</v>
      </c>
      <c r="T1051" s="65"/>
      <c r="U1051" s="117">
        <f t="shared" si="820"/>
        <v>0</v>
      </c>
      <c r="V1051" s="65"/>
      <c r="W1051" s="202"/>
    </row>
    <row r="1052" spans="9:23" ht="12" hidden="1" customHeight="1" outlineLevel="1">
      <c r="I1052" s="65"/>
      <c r="J1052" s="143" t="str">
        <f>IF(Equipamentos!C524&gt;0,Equipamentos!C524,"")</f>
        <v>Guincho hidráulico</v>
      </c>
      <c r="K1052" s="65"/>
      <c r="L1052" s="144">
        <f>Equipamentos!D524</f>
        <v>0</v>
      </c>
      <c r="M1052" s="105" t="str">
        <f>Equipamentos!BP524</f>
        <v>Unidade</v>
      </c>
      <c r="N1052" s="144">
        <f>Equipamentos!E524</f>
        <v>0</v>
      </c>
      <c r="O1052" s="105" t="s">
        <v>1263</v>
      </c>
      <c r="P1052" s="107">
        <v>24</v>
      </c>
      <c r="Q1052" s="65"/>
      <c r="R1052" s="65"/>
      <c r="S1052" s="110">
        <v>1500</v>
      </c>
      <c r="T1052" s="65"/>
      <c r="U1052" s="117">
        <f t="shared" si="820"/>
        <v>0</v>
      </c>
      <c r="V1052" s="65"/>
      <c r="W1052" s="202"/>
    </row>
    <row r="1053" spans="9:23" ht="12" hidden="1" customHeight="1" outlineLevel="1">
      <c r="I1053" s="65"/>
      <c r="J1053" s="143" t="str">
        <f>IF(Equipamentos!C525&gt;0,Equipamentos!C525,"")</f>
        <v>Hipot 5KV</v>
      </c>
      <c r="K1053" s="65"/>
      <c r="L1053" s="144">
        <f>Equipamentos!D525</f>
        <v>0</v>
      </c>
      <c r="M1053" s="105" t="str">
        <f>Equipamentos!BP525</f>
        <v>Unidade</v>
      </c>
      <c r="N1053" s="144">
        <f>Equipamentos!E525</f>
        <v>0</v>
      </c>
      <c r="O1053" s="105" t="s">
        <v>1263</v>
      </c>
      <c r="P1053" s="107">
        <v>24</v>
      </c>
      <c r="Q1053" s="65"/>
      <c r="R1053" s="65"/>
      <c r="S1053" s="110">
        <v>13510</v>
      </c>
      <c r="T1053" s="65"/>
      <c r="U1053" s="117">
        <f t="shared" si="820"/>
        <v>0</v>
      </c>
      <c r="V1053" s="65"/>
      <c r="W1053" s="202"/>
    </row>
    <row r="1054" spans="9:23" ht="12" hidden="1" customHeight="1" outlineLevel="1">
      <c r="I1054" s="65"/>
      <c r="J1054" s="143" t="str">
        <f>IF(Equipamentos!C526&gt;0,Equipamentos!C526,"")</f>
        <v>Jateador portátil sem geração de calor</v>
      </c>
      <c r="K1054" s="65"/>
      <c r="L1054" s="144">
        <f>Equipamentos!D526</f>
        <v>0</v>
      </c>
      <c r="M1054" s="105" t="str">
        <f>Equipamentos!BP526</f>
        <v>Unidade</v>
      </c>
      <c r="N1054" s="144">
        <f>Equipamentos!E526</f>
        <v>0</v>
      </c>
      <c r="O1054" s="105" t="s">
        <v>1263</v>
      </c>
      <c r="P1054" s="107">
        <v>24</v>
      </c>
      <c r="Q1054" s="65"/>
      <c r="R1054" s="65"/>
      <c r="S1054" s="110">
        <v>2300</v>
      </c>
      <c r="T1054" s="65"/>
      <c r="U1054" s="117">
        <f t="shared" si="820"/>
        <v>0</v>
      </c>
      <c r="V1054" s="65"/>
      <c r="W1054" s="202"/>
    </row>
    <row r="1055" spans="9:23" ht="12" hidden="1" customHeight="1" outlineLevel="1">
      <c r="I1055" s="65"/>
      <c r="J1055" s="143" t="str">
        <f>IF(Equipamentos!C527&gt;0,Equipamentos!C527,"")</f>
        <v>Kit para corte com plasma</v>
      </c>
      <c r="K1055" s="65"/>
      <c r="L1055" s="144">
        <f>Equipamentos!D527</f>
        <v>0</v>
      </c>
      <c r="M1055" s="105" t="str">
        <f>Equipamentos!BP527</f>
        <v>Unidade</v>
      </c>
      <c r="N1055" s="144">
        <f>Equipamentos!E527</f>
        <v>0</v>
      </c>
      <c r="O1055" s="105" t="s">
        <v>1263</v>
      </c>
      <c r="P1055" s="107">
        <v>24</v>
      </c>
      <c r="Q1055" s="65"/>
      <c r="R1055" s="65"/>
      <c r="S1055" s="110">
        <v>2100</v>
      </c>
      <c r="T1055" s="65"/>
      <c r="U1055" s="117">
        <f t="shared" si="820"/>
        <v>0</v>
      </c>
      <c r="V1055" s="65"/>
      <c r="W1055" s="202"/>
    </row>
    <row r="1056" spans="9:23" ht="12" hidden="1" customHeight="1" outlineLevel="1">
      <c r="I1056" s="65"/>
      <c r="J1056" s="143" t="str">
        <f>IF(Equipamentos!C528&gt;0,Equipamentos!C528,"")</f>
        <v>Lanterna anti-explosão</v>
      </c>
      <c r="K1056" s="65"/>
      <c r="L1056" s="144">
        <f>Equipamentos!D528</f>
        <v>0</v>
      </c>
      <c r="M1056" s="105" t="str">
        <f>Equipamentos!BP528</f>
        <v>Unidade</v>
      </c>
      <c r="N1056" s="144">
        <f>Equipamentos!E528</f>
        <v>0</v>
      </c>
      <c r="O1056" s="105" t="s">
        <v>1263</v>
      </c>
      <c r="P1056" s="107">
        <v>24</v>
      </c>
      <c r="Q1056" s="65"/>
      <c r="R1056" s="65"/>
      <c r="S1056" s="110">
        <v>250</v>
      </c>
      <c r="T1056" s="65"/>
      <c r="U1056" s="117">
        <f t="shared" si="820"/>
        <v>0</v>
      </c>
      <c r="V1056" s="65"/>
      <c r="W1056" s="202"/>
    </row>
    <row r="1057" spans="9:23" ht="12" hidden="1" customHeight="1" outlineLevel="1">
      <c r="I1057" s="65"/>
      <c r="J1057" s="143" t="str">
        <f>IF(Equipamentos!C529&gt;0,Equipamentos!C529,"")</f>
        <v>Lata para descarte de resíduos</v>
      </c>
      <c r="K1057" s="65"/>
      <c r="L1057" s="144">
        <f>Equipamentos!D529</f>
        <v>0</v>
      </c>
      <c r="M1057" s="105" t="str">
        <f>Equipamentos!BP529</f>
        <v>Unidade</v>
      </c>
      <c r="N1057" s="144">
        <f>Equipamentos!E529</f>
        <v>0</v>
      </c>
      <c r="O1057" s="105" t="s">
        <v>1263</v>
      </c>
      <c r="P1057" s="107">
        <v>24</v>
      </c>
      <c r="Q1057" s="65"/>
      <c r="R1057" s="65"/>
      <c r="S1057" s="110">
        <v>150</v>
      </c>
      <c r="T1057" s="65"/>
      <c r="U1057" s="117">
        <f t="shared" si="820"/>
        <v>0</v>
      </c>
      <c r="V1057" s="65"/>
      <c r="W1057" s="202"/>
    </row>
    <row r="1058" spans="9:23" ht="12" hidden="1" customHeight="1" outlineLevel="1">
      <c r="I1058" s="65"/>
      <c r="J1058" s="143" t="str">
        <f>IF(Equipamentos!C530&gt;0,Equipamentos!C530,"")</f>
        <v>Lavadora de alta pressão</v>
      </c>
      <c r="K1058" s="65"/>
      <c r="L1058" s="144">
        <f>Equipamentos!D530</f>
        <v>0</v>
      </c>
      <c r="M1058" s="105" t="str">
        <f>Equipamentos!BP530</f>
        <v>Unidade</v>
      </c>
      <c r="N1058" s="144">
        <f>Equipamentos!E530</f>
        <v>0</v>
      </c>
      <c r="O1058" s="105" t="s">
        <v>1263</v>
      </c>
      <c r="P1058" s="107">
        <v>24</v>
      </c>
      <c r="Q1058" s="65"/>
      <c r="R1058" s="65"/>
      <c r="S1058" s="110">
        <v>1950</v>
      </c>
      <c r="T1058" s="65"/>
      <c r="U1058" s="117">
        <f t="shared" si="820"/>
        <v>0</v>
      </c>
      <c r="V1058" s="65"/>
      <c r="W1058" s="202"/>
    </row>
    <row r="1059" spans="9:23" ht="12" hidden="1" customHeight="1" outlineLevel="1">
      <c r="I1059" s="65"/>
      <c r="J1059" s="143" t="str">
        <f>IF(Equipamentos!C531&gt;0,Equipamentos!C531,"")</f>
        <v>Lona plástica</v>
      </c>
      <c r="K1059" s="65"/>
      <c r="L1059" s="144">
        <f>Equipamentos!D531</f>
        <v>0</v>
      </c>
      <c r="M1059" s="105" t="str">
        <f>Equipamentos!BP531</f>
        <v>Unidade</v>
      </c>
      <c r="N1059" s="144">
        <f>Equipamentos!E531</f>
        <v>0</v>
      </c>
      <c r="O1059" s="105" t="s">
        <v>1263</v>
      </c>
      <c r="P1059" s="107">
        <v>24</v>
      </c>
      <c r="Q1059" s="65"/>
      <c r="R1059" s="65"/>
      <c r="S1059" s="110">
        <v>71</v>
      </c>
      <c r="T1059" s="65"/>
      <c r="U1059" s="117">
        <f t="shared" si="820"/>
        <v>0</v>
      </c>
      <c r="V1059" s="65"/>
      <c r="W1059" s="202"/>
    </row>
    <row r="1060" spans="9:23" ht="12" hidden="1" customHeight="1" outlineLevel="1">
      <c r="I1060" s="65"/>
      <c r="J1060" s="143" t="str">
        <f>IF(Equipamentos!C532&gt;0,Equipamentos!C532,"")</f>
        <v>Macaco Hidráulico 10 ton</v>
      </c>
      <c r="K1060" s="65"/>
      <c r="L1060" s="144">
        <f>Equipamentos!D532</f>
        <v>0</v>
      </c>
      <c r="M1060" s="105" t="str">
        <f>Equipamentos!BP532</f>
        <v>Unidade</v>
      </c>
      <c r="N1060" s="144">
        <f>Equipamentos!E532</f>
        <v>0</v>
      </c>
      <c r="O1060" s="105" t="s">
        <v>1263</v>
      </c>
      <c r="P1060" s="107">
        <v>24</v>
      </c>
      <c r="Q1060" s="65"/>
      <c r="R1060" s="65"/>
      <c r="S1060" s="110">
        <v>781</v>
      </c>
      <c r="T1060" s="65"/>
      <c r="U1060" s="117">
        <f t="shared" si="820"/>
        <v>0</v>
      </c>
      <c r="V1060" s="65"/>
      <c r="W1060" s="202"/>
    </row>
    <row r="1061" spans="9:23" ht="12" hidden="1" customHeight="1" outlineLevel="1">
      <c r="I1061" s="65"/>
      <c r="J1061" s="143" t="str">
        <f>IF(Equipamentos!C533&gt;0,Equipamentos!C533,"")</f>
        <v>Macaco Hidráulico 30 ton</v>
      </c>
      <c r="K1061" s="65"/>
      <c r="L1061" s="144">
        <f>Equipamentos!D533</f>
        <v>0</v>
      </c>
      <c r="M1061" s="105" t="str">
        <f>Equipamentos!BP533</f>
        <v>Unidade</v>
      </c>
      <c r="N1061" s="144">
        <f>Equipamentos!E533</f>
        <v>0</v>
      </c>
      <c r="O1061" s="105" t="s">
        <v>1263</v>
      </c>
      <c r="P1061" s="107">
        <v>24</v>
      </c>
      <c r="Q1061" s="65"/>
      <c r="R1061" s="65"/>
      <c r="S1061" s="110">
        <v>850</v>
      </c>
      <c r="T1061" s="65"/>
      <c r="U1061" s="117">
        <f t="shared" si="820"/>
        <v>0</v>
      </c>
      <c r="V1061" s="65"/>
      <c r="W1061" s="202"/>
    </row>
    <row r="1062" spans="9:23" ht="12" hidden="1" customHeight="1" outlineLevel="1">
      <c r="I1062" s="65"/>
      <c r="J1062" s="143" t="str">
        <f>IF(Equipamentos!C534&gt;0,Equipamentos!C534,"")</f>
        <v>Macaco Hidráulico 50 ton</v>
      </c>
      <c r="K1062" s="65"/>
      <c r="L1062" s="144">
        <f>Equipamentos!D534</f>
        <v>0</v>
      </c>
      <c r="M1062" s="105" t="str">
        <f>Equipamentos!BP534</f>
        <v>Unidade</v>
      </c>
      <c r="N1062" s="144">
        <f>Equipamentos!E534</f>
        <v>0</v>
      </c>
      <c r="O1062" s="105" t="s">
        <v>1263</v>
      </c>
      <c r="P1062" s="107">
        <v>24</v>
      </c>
      <c r="Q1062" s="65"/>
      <c r="R1062" s="65"/>
      <c r="S1062" s="110">
        <v>1107</v>
      </c>
      <c r="T1062" s="65"/>
      <c r="U1062" s="117">
        <f t="shared" si="820"/>
        <v>0</v>
      </c>
      <c r="V1062" s="65"/>
      <c r="W1062" s="202"/>
    </row>
    <row r="1063" spans="9:23" ht="12" hidden="1" customHeight="1" outlineLevel="1">
      <c r="I1063" s="65"/>
      <c r="J1063" s="143" t="str">
        <f>IF(Equipamentos!C535&gt;0,Equipamentos!C535,"")</f>
        <v>Maquina de solda - Eletrofusão</v>
      </c>
      <c r="K1063" s="65"/>
      <c r="L1063" s="144">
        <f>Equipamentos!D535</f>
        <v>0</v>
      </c>
      <c r="M1063" s="105" t="str">
        <f>Equipamentos!BP535</f>
        <v>Unidade</v>
      </c>
      <c r="N1063" s="144">
        <f>Equipamentos!E535</f>
        <v>0</v>
      </c>
      <c r="O1063" s="105" t="s">
        <v>1263</v>
      </c>
      <c r="P1063" s="107">
        <v>24</v>
      </c>
      <c r="Q1063" s="65"/>
      <c r="R1063" s="65"/>
      <c r="S1063" s="110">
        <v>11350</v>
      </c>
      <c r="T1063" s="65"/>
      <c r="U1063" s="117">
        <f t="shared" si="820"/>
        <v>0</v>
      </c>
      <c r="V1063" s="65"/>
      <c r="W1063" s="202"/>
    </row>
    <row r="1064" spans="9:23" ht="12" hidden="1" customHeight="1" outlineLevel="1">
      <c r="I1064" s="65"/>
      <c r="J1064" s="143" t="str">
        <f>IF(Equipamentos!C536&gt;0,Equipamentos!C536,"")</f>
        <v>Máquina de solda - ER</v>
      </c>
      <c r="K1064" s="65"/>
      <c r="L1064" s="144">
        <f>Equipamentos!D536</f>
        <v>0</v>
      </c>
      <c r="M1064" s="105" t="str">
        <f>Equipamentos!BP536</f>
        <v>Unidade</v>
      </c>
      <c r="N1064" s="144">
        <f>Equipamentos!E536</f>
        <v>0</v>
      </c>
      <c r="O1064" s="105" t="s">
        <v>1263</v>
      </c>
      <c r="P1064" s="107">
        <v>24</v>
      </c>
      <c r="Q1064" s="65"/>
      <c r="R1064" s="65"/>
      <c r="S1064" s="110">
        <v>5300</v>
      </c>
      <c r="T1064" s="65"/>
      <c r="U1064" s="117">
        <f t="shared" si="820"/>
        <v>0</v>
      </c>
      <c r="V1064" s="65"/>
      <c r="W1064" s="202"/>
    </row>
    <row r="1065" spans="9:23" ht="12" hidden="1" customHeight="1" outlineLevel="1">
      <c r="I1065" s="65"/>
      <c r="J1065" s="143" t="str">
        <f>IF(Equipamentos!C537&gt;0,Equipamentos!C537,"")</f>
        <v>Máquina de solda - MIG/ MAG</v>
      </c>
      <c r="K1065" s="65"/>
      <c r="L1065" s="144">
        <f>Equipamentos!D537</f>
        <v>0</v>
      </c>
      <c r="M1065" s="105" t="str">
        <f>Equipamentos!BP537</f>
        <v>Unidade</v>
      </c>
      <c r="N1065" s="144">
        <f>Equipamentos!E537</f>
        <v>0</v>
      </c>
      <c r="O1065" s="105" t="s">
        <v>1263</v>
      </c>
      <c r="P1065" s="107">
        <v>24</v>
      </c>
      <c r="Q1065" s="65"/>
      <c r="R1065" s="65"/>
      <c r="S1065" s="110">
        <v>12400</v>
      </c>
      <c r="T1065" s="65"/>
      <c r="U1065" s="117">
        <f t="shared" si="820"/>
        <v>0</v>
      </c>
      <c r="V1065" s="65"/>
      <c r="W1065" s="202"/>
    </row>
    <row r="1066" spans="9:23" ht="12" hidden="1" customHeight="1" outlineLevel="1">
      <c r="I1066" s="65"/>
      <c r="J1066" s="143" t="str">
        <f>IF(Equipamentos!C538&gt;0,Equipamentos!C538,"")</f>
        <v>Máquina de solda - TIG</v>
      </c>
      <c r="K1066" s="65"/>
      <c r="L1066" s="144">
        <f>Equipamentos!D538</f>
        <v>0</v>
      </c>
      <c r="M1066" s="105" t="str">
        <f>Equipamentos!BP538</f>
        <v>Unidade</v>
      </c>
      <c r="N1066" s="144">
        <f>Equipamentos!E538</f>
        <v>0</v>
      </c>
      <c r="O1066" s="105" t="s">
        <v>1263</v>
      </c>
      <c r="P1066" s="107">
        <v>24</v>
      </c>
      <c r="Q1066" s="65"/>
      <c r="R1066" s="65"/>
      <c r="S1066" s="110">
        <v>13000</v>
      </c>
      <c r="T1066" s="65"/>
      <c r="U1066" s="117">
        <f t="shared" si="820"/>
        <v>0</v>
      </c>
      <c r="V1066" s="65"/>
      <c r="W1066" s="202"/>
    </row>
    <row r="1067" spans="9:23" ht="12" hidden="1" customHeight="1" outlineLevel="1">
      <c r="I1067" s="65"/>
      <c r="J1067" s="143" t="str">
        <f>IF(Equipamentos!C539&gt;0,Equipamentos!C539,"")</f>
        <v>Máquina de solda - Tubo PP</v>
      </c>
      <c r="K1067" s="65"/>
      <c r="L1067" s="144">
        <f>Equipamentos!D539</f>
        <v>0</v>
      </c>
      <c r="M1067" s="105" t="str">
        <f>Equipamentos!BP539</f>
        <v>Unidade</v>
      </c>
      <c r="N1067" s="144">
        <f>Equipamentos!E539</f>
        <v>0</v>
      </c>
      <c r="O1067" s="105" t="s">
        <v>1263</v>
      </c>
      <c r="P1067" s="107">
        <v>24</v>
      </c>
      <c r="Q1067" s="65"/>
      <c r="R1067" s="65"/>
      <c r="S1067" s="110">
        <v>8000</v>
      </c>
      <c r="T1067" s="65"/>
      <c r="U1067" s="117">
        <f t="shared" si="820"/>
        <v>0</v>
      </c>
      <c r="V1067" s="65"/>
      <c r="W1067" s="202"/>
    </row>
    <row r="1068" spans="9:23" ht="12" hidden="1" customHeight="1" outlineLevel="1">
      <c r="I1068" s="65"/>
      <c r="J1068" s="143" t="str">
        <f>IF(Equipamentos!C540&gt;0,Equipamentos!C540,"")</f>
        <v>Máquina de torque controlado</v>
      </c>
      <c r="K1068" s="65"/>
      <c r="L1068" s="144">
        <f>Equipamentos!D540</f>
        <v>0</v>
      </c>
      <c r="M1068" s="105" t="str">
        <f>Equipamentos!BP540</f>
        <v>Unidade</v>
      </c>
      <c r="N1068" s="144">
        <f>Equipamentos!E540</f>
        <v>0</v>
      </c>
      <c r="O1068" s="105" t="s">
        <v>1263</v>
      </c>
      <c r="P1068" s="107">
        <v>24</v>
      </c>
      <c r="Q1068" s="65"/>
      <c r="R1068" s="65"/>
      <c r="S1068" s="110">
        <v>31405</v>
      </c>
      <c r="T1068" s="65"/>
      <c r="U1068" s="117">
        <f t="shared" si="820"/>
        <v>0</v>
      </c>
      <c r="V1068" s="65"/>
      <c r="W1068" s="202"/>
    </row>
    <row r="1069" spans="9:23" ht="12" hidden="1" customHeight="1" outlineLevel="1">
      <c r="I1069" s="65"/>
      <c r="J1069" s="143" t="str">
        <f>IF(Equipamentos!C541&gt;0,Equipamentos!C541,"")</f>
        <v>Martelete elétrico</v>
      </c>
      <c r="K1069" s="65"/>
      <c r="L1069" s="144">
        <f>Equipamentos!D541</f>
        <v>0</v>
      </c>
      <c r="M1069" s="105" t="str">
        <f>Equipamentos!BP541</f>
        <v>Unidade</v>
      </c>
      <c r="N1069" s="144">
        <f>Equipamentos!E541</f>
        <v>0</v>
      </c>
      <c r="O1069" s="105" t="s">
        <v>1263</v>
      </c>
      <c r="P1069" s="107">
        <v>24</v>
      </c>
      <c r="Q1069" s="65"/>
      <c r="R1069" s="65"/>
      <c r="S1069" s="110">
        <v>1300</v>
      </c>
      <c r="T1069" s="65"/>
      <c r="U1069" s="117">
        <f t="shared" si="820"/>
        <v>0</v>
      </c>
      <c r="V1069" s="65"/>
      <c r="W1069" s="202"/>
    </row>
    <row r="1070" spans="9:23" ht="12" hidden="1" customHeight="1" outlineLevel="1">
      <c r="I1070" s="65"/>
      <c r="J1070" s="143" t="str">
        <f>IF(Equipamentos!C542&gt;0,Equipamentos!C542,"")</f>
        <v>Medidor de relação de transformação</v>
      </c>
      <c r="K1070" s="65"/>
      <c r="L1070" s="144">
        <f>Equipamentos!D542</f>
        <v>0</v>
      </c>
      <c r="M1070" s="105" t="str">
        <f>Equipamentos!BP542</f>
        <v>Unidade</v>
      </c>
      <c r="N1070" s="144">
        <f>Equipamentos!E542</f>
        <v>0</v>
      </c>
      <c r="O1070" s="105" t="s">
        <v>1263</v>
      </c>
      <c r="P1070" s="107">
        <v>24</v>
      </c>
      <c r="Q1070" s="65"/>
      <c r="R1070" s="65"/>
      <c r="S1070" s="110">
        <v>4820</v>
      </c>
      <c r="T1070" s="65"/>
      <c r="U1070" s="117">
        <f t="shared" si="820"/>
        <v>0</v>
      </c>
      <c r="V1070" s="65"/>
      <c r="W1070" s="202"/>
    </row>
    <row r="1071" spans="9:23" ht="12" hidden="1" customHeight="1" outlineLevel="1">
      <c r="I1071" s="65"/>
      <c r="J1071" s="143" t="str">
        <f>IF(Equipamentos!C543&gt;0,Equipamentos!C543,"")</f>
        <v>Morsa</v>
      </c>
      <c r="K1071" s="65"/>
      <c r="L1071" s="144">
        <f>Equipamentos!D543</f>
        <v>0</v>
      </c>
      <c r="M1071" s="105" t="str">
        <f>Equipamentos!BP543</f>
        <v>Unidade</v>
      </c>
      <c r="N1071" s="144">
        <f>Equipamentos!E543</f>
        <v>0</v>
      </c>
      <c r="O1071" s="105" t="s">
        <v>1263</v>
      </c>
      <c r="P1071" s="107">
        <v>24</v>
      </c>
      <c r="Q1071" s="65"/>
      <c r="R1071" s="65"/>
      <c r="S1071" s="110">
        <v>280</v>
      </c>
      <c r="T1071" s="65"/>
      <c r="U1071" s="117">
        <f t="shared" si="820"/>
        <v>0</v>
      </c>
      <c r="V1071" s="65"/>
      <c r="W1071" s="202"/>
    </row>
    <row r="1072" spans="9:23" ht="12" hidden="1" customHeight="1" outlineLevel="1">
      <c r="I1072" s="65"/>
      <c r="J1072" s="143" t="str">
        <f>IF(Equipamentos!C544&gt;0,Equipamentos!C544,"")</f>
        <v>Multímetro digital</v>
      </c>
      <c r="K1072" s="65"/>
      <c r="L1072" s="144">
        <f>Equipamentos!D544</f>
        <v>0</v>
      </c>
      <c r="M1072" s="105" t="str">
        <f>Equipamentos!BP544</f>
        <v>Unidade</v>
      </c>
      <c r="N1072" s="144">
        <f>Equipamentos!E544</f>
        <v>0</v>
      </c>
      <c r="O1072" s="105" t="s">
        <v>1263</v>
      </c>
      <c r="P1072" s="107">
        <v>24</v>
      </c>
      <c r="Q1072" s="65"/>
      <c r="R1072" s="65"/>
      <c r="S1072" s="110">
        <v>570</v>
      </c>
      <c r="T1072" s="65"/>
      <c r="U1072" s="117">
        <f t="shared" si="820"/>
        <v>0</v>
      </c>
      <c r="V1072" s="65"/>
      <c r="W1072" s="202"/>
    </row>
    <row r="1073" spans="9:23" ht="12" hidden="1" customHeight="1" outlineLevel="1">
      <c r="I1073" s="65"/>
      <c r="J1073" s="143" t="str">
        <f>IF(Equipamentos!C545&gt;0,Equipamentos!C545,"")</f>
        <v>Nível a laser</v>
      </c>
      <c r="K1073" s="65"/>
      <c r="L1073" s="144">
        <f>Equipamentos!D545</f>
        <v>0</v>
      </c>
      <c r="M1073" s="105" t="str">
        <f>Equipamentos!BP545</f>
        <v>Unidade</v>
      </c>
      <c r="N1073" s="144">
        <f>Equipamentos!E545</f>
        <v>0</v>
      </c>
      <c r="O1073" s="105" t="s">
        <v>1263</v>
      </c>
      <c r="P1073" s="107">
        <v>24</v>
      </c>
      <c r="Q1073" s="65"/>
      <c r="R1073" s="65"/>
      <c r="S1073" s="110">
        <v>480</v>
      </c>
      <c r="T1073" s="65"/>
      <c r="U1073" s="117">
        <f t="shared" si="820"/>
        <v>0</v>
      </c>
      <c r="V1073" s="65"/>
      <c r="W1073" s="202"/>
    </row>
    <row r="1074" spans="9:23" ht="12" hidden="1" customHeight="1" outlineLevel="1">
      <c r="I1074" s="65"/>
      <c r="J1074" s="143" t="str">
        <f>IF(Equipamentos!C546&gt;0,Equipamentos!C546,"")</f>
        <v>Painel elétrico temporário</v>
      </c>
      <c r="K1074" s="65"/>
      <c r="L1074" s="144">
        <f>Equipamentos!D546</f>
        <v>0</v>
      </c>
      <c r="M1074" s="105" t="str">
        <f>Equipamentos!BP546</f>
        <v>Unidade</v>
      </c>
      <c r="N1074" s="144">
        <f>Equipamentos!E546</f>
        <v>0</v>
      </c>
      <c r="O1074" s="105" t="s">
        <v>1263</v>
      </c>
      <c r="P1074" s="107">
        <v>24</v>
      </c>
      <c r="Q1074" s="65"/>
      <c r="R1074" s="65"/>
      <c r="S1074" s="110">
        <v>500</v>
      </c>
      <c r="T1074" s="65"/>
      <c r="U1074" s="117">
        <f t="shared" si="820"/>
        <v>0</v>
      </c>
      <c r="V1074" s="65"/>
      <c r="W1074" s="202"/>
    </row>
    <row r="1075" spans="9:23" ht="12" hidden="1" customHeight="1" outlineLevel="1">
      <c r="I1075" s="65"/>
      <c r="J1075" s="143" t="str">
        <f>IF(Equipamentos!C547&gt;0,Equipamentos!C547,"")</f>
        <v>Painel para ferramentas de uso coletivo</v>
      </c>
      <c r="K1075" s="65"/>
      <c r="L1075" s="144">
        <f>Equipamentos!D547</f>
        <v>0</v>
      </c>
      <c r="M1075" s="105" t="str">
        <f>Equipamentos!BP547</f>
        <v>Unidade</v>
      </c>
      <c r="N1075" s="144">
        <f>Equipamentos!E547</f>
        <v>0</v>
      </c>
      <c r="O1075" s="105" t="s">
        <v>1263</v>
      </c>
      <c r="P1075" s="107">
        <v>24</v>
      </c>
      <c r="Q1075" s="65"/>
      <c r="R1075" s="65"/>
      <c r="S1075" s="110">
        <v>600</v>
      </c>
      <c r="T1075" s="65"/>
      <c r="U1075" s="117">
        <f t="shared" si="820"/>
        <v>0</v>
      </c>
      <c r="V1075" s="65"/>
      <c r="W1075" s="202"/>
    </row>
    <row r="1076" spans="9:23" ht="12" hidden="1" customHeight="1" outlineLevel="1">
      <c r="I1076" s="65"/>
      <c r="J1076" s="143" t="str">
        <f>IF(Equipamentos!C548&gt;0,Equipamentos!C548,"")</f>
        <v>Palete</v>
      </c>
      <c r="K1076" s="65"/>
      <c r="L1076" s="144">
        <f>Equipamentos!D548</f>
        <v>0</v>
      </c>
      <c r="M1076" s="105" t="str">
        <f>Equipamentos!BP548</f>
        <v>Unidade</v>
      </c>
      <c r="N1076" s="144">
        <f>Equipamentos!E548</f>
        <v>0</v>
      </c>
      <c r="O1076" s="105" t="s">
        <v>1263</v>
      </c>
      <c r="P1076" s="107">
        <v>24</v>
      </c>
      <c r="Q1076" s="65"/>
      <c r="R1076" s="65"/>
      <c r="S1076" s="110">
        <v>25</v>
      </c>
      <c r="T1076" s="65"/>
      <c r="U1076" s="117">
        <f t="shared" si="820"/>
        <v>0</v>
      </c>
      <c r="V1076" s="65"/>
      <c r="W1076" s="202"/>
    </row>
    <row r="1077" spans="9:23" ht="12" hidden="1" customHeight="1" outlineLevel="1">
      <c r="I1077" s="65"/>
      <c r="J1077" s="143" t="str">
        <f>IF(Equipamentos!C549&gt;0,Equipamentos!C549,"")</f>
        <v>Pandis girus</v>
      </c>
      <c r="K1077" s="65"/>
      <c r="L1077" s="144">
        <f>Equipamentos!D549</f>
        <v>0</v>
      </c>
      <c r="M1077" s="105" t="str">
        <f>Equipamentos!BP549</f>
        <v>Unidade</v>
      </c>
      <c r="N1077" s="144">
        <f>Equipamentos!E549</f>
        <v>0</v>
      </c>
      <c r="O1077" s="105" t="s">
        <v>1263</v>
      </c>
      <c r="P1077" s="107">
        <v>24</v>
      </c>
      <c r="Q1077" s="65"/>
      <c r="R1077" s="65"/>
      <c r="S1077" s="110">
        <v>9250</v>
      </c>
      <c r="T1077" s="65"/>
      <c r="U1077" s="117">
        <f t="shared" si="820"/>
        <v>0</v>
      </c>
      <c r="V1077" s="65"/>
      <c r="W1077" s="202"/>
    </row>
    <row r="1078" spans="9:23" ht="12" hidden="1" customHeight="1" outlineLevel="1">
      <c r="I1078" s="65"/>
      <c r="J1078" s="143" t="str">
        <f>IF(Equipamentos!C550&gt;0,Equipamentos!C550,"")</f>
        <v>Parafusadeira</v>
      </c>
      <c r="K1078" s="65"/>
      <c r="L1078" s="144">
        <f>Equipamentos!D550</f>
        <v>0</v>
      </c>
      <c r="M1078" s="105" t="str">
        <f>Equipamentos!BP550</f>
        <v>Unidade</v>
      </c>
      <c r="N1078" s="144">
        <f>Equipamentos!E550</f>
        <v>0</v>
      </c>
      <c r="O1078" s="105" t="s">
        <v>1263</v>
      </c>
      <c r="P1078" s="107">
        <v>24</v>
      </c>
      <c r="Q1078" s="65"/>
      <c r="R1078" s="65"/>
      <c r="S1078" s="110">
        <v>1300</v>
      </c>
      <c r="T1078" s="65"/>
      <c r="U1078" s="117">
        <f t="shared" si="820"/>
        <v>0</v>
      </c>
      <c r="V1078" s="65"/>
      <c r="W1078" s="202"/>
    </row>
    <row r="1079" spans="9:23" ht="12" hidden="1" customHeight="1" outlineLevel="1">
      <c r="I1079" s="65"/>
      <c r="J1079" s="143" t="str">
        <f>IF(Equipamentos!C551&gt;0,Equipamentos!C551,"")</f>
        <v>Pistola de pintura + acessórios</v>
      </c>
      <c r="K1079" s="65"/>
      <c r="L1079" s="144">
        <f>Equipamentos!D551</f>
        <v>0</v>
      </c>
      <c r="M1079" s="105" t="str">
        <f>Equipamentos!BP551</f>
        <v>Unidade</v>
      </c>
      <c r="N1079" s="144">
        <f>Equipamentos!E551</f>
        <v>0</v>
      </c>
      <c r="O1079" s="105" t="s">
        <v>1263</v>
      </c>
      <c r="P1079" s="107">
        <v>24</v>
      </c>
      <c r="Q1079" s="65"/>
      <c r="R1079" s="65"/>
      <c r="S1079" s="110">
        <v>650</v>
      </c>
      <c r="T1079" s="65"/>
      <c r="U1079" s="117">
        <f t="shared" si="820"/>
        <v>0</v>
      </c>
      <c r="V1079" s="65"/>
      <c r="W1079" s="202"/>
    </row>
    <row r="1080" spans="9:23" ht="12" hidden="1" customHeight="1" outlineLevel="1">
      <c r="I1080" s="65"/>
      <c r="J1080" s="143" t="str">
        <f>IF(Equipamentos!C552&gt;0,Equipamentos!C552,"")</f>
        <v>Plaina de bancada</v>
      </c>
      <c r="K1080" s="65"/>
      <c r="L1080" s="144">
        <f>Equipamentos!D552</f>
        <v>0</v>
      </c>
      <c r="M1080" s="105" t="str">
        <f>Equipamentos!BP552</f>
        <v>Unidade</v>
      </c>
      <c r="N1080" s="144">
        <f>Equipamentos!E552</f>
        <v>0</v>
      </c>
      <c r="O1080" s="105" t="s">
        <v>1263</v>
      </c>
      <c r="P1080" s="107">
        <v>24</v>
      </c>
      <c r="Q1080" s="65"/>
      <c r="R1080" s="65"/>
      <c r="S1080" s="110">
        <v>6000</v>
      </c>
      <c r="T1080" s="65"/>
      <c r="U1080" s="117">
        <f t="shared" si="820"/>
        <v>0</v>
      </c>
      <c r="V1080" s="65"/>
      <c r="W1080" s="202"/>
    </row>
    <row r="1081" spans="9:23" ht="12" hidden="1" customHeight="1" outlineLevel="1">
      <c r="I1081" s="65"/>
      <c r="J1081" s="143" t="str">
        <f>IF(Equipamentos!C553&gt;0,Equipamentos!C553,"")</f>
        <v>Pórtico móvel</v>
      </c>
      <c r="K1081" s="65"/>
      <c r="L1081" s="144">
        <f>Equipamentos!D553</f>
        <v>0</v>
      </c>
      <c r="M1081" s="105" t="str">
        <f>Equipamentos!BP553</f>
        <v>Unidade</v>
      </c>
      <c r="N1081" s="144">
        <f>Equipamentos!E553</f>
        <v>0</v>
      </c>
      <c r="O1081" s="105" t="s">
        <v>1263</v>
      </c>
      <c r="P1081" s="107">
        <v>24</v>
      </c>
      <c r="Q1081" s="65"/>
      <c r="R1081" s="65"/>
      <c r="S1081" s="110">
        <v>4745</v>
      </c>
      <c r="T1081" s="65"/>
      <c r="U1081" s="117">
        <f t="shared" si="820"/>
        <v>0</v>
      </c>
      <c r="V1081" s="65"/>
      <c r="W1081" s="202"/>
    </row>
    <row r="1082" spans="9:23" ht="12" hidden="1" customHeight="1" outlineLevel="1">
      <c r="I1082" s="65"/>
      <c r="J1082" s="143" t="str">
        <f>IF(Equipamentos!C554&gt;0,Equipamentos!C554,"")</f>
        <v>Prensa terminal hidráulico</v>
      </c>
      <c r="K1082" s="65"/>
      <c r="L1082" s="144">
        <f>Equipamentos!D554</f>
        <v>0</v>
      </c>
      <c r="M1082" s="105" t="str">
        <f>Equipamentos!BP554</f>
        <v>Unidade</v>
      </c>
      <c r="N1082" s="144">
        <f>Equipamentos!E554</f>
        <v>0</v>
      </c>
      <c r="O1082" s="105" t="s">
        <v>1263</v>
      </c>
      <c r="P1082" s="107">
        <v>24</v>
      </c>
      <c r="Q1082" s="65"/>
      <c r="R1082" s="65"/>
      <c r="S1082" s="110">
        <v>298</v>
      </c>
      <c r="T1082" s="65"/>
      <c r="U1082" s="117">
        <f t="shared" si="820"/>
        <v>0</v>
      </c>
      <c r="V1082" s="65"/>
      <c r="W1082" s="202"/>
    </row>
    <row r="1083" spans="9:23" ht="12" hidden="1" customHeight="1" outlineLevel="1">
      <c r="I1083" s="65"/>
      <c r="J1083" s="143" t="str">
        <f>IF(Equipamentos!C555&gt;0,Equipamentos!C555,"")</f>
        <v>Refrigerador para máscara de solda</v>
      </c>
      <c r="K1083" s="65"/>
      <c r="L1083" s="144">
        <f>Equipamentos!D555</f>
        <v>0</v>
      </c>
      <c r="M1083" s="105" t="str">
        <f>Equipamentos!BP555</f>
        <v>Unidade</v>
      </c>
      <c r="N1083" s="144">
        <f>Equipamentos!E555</f>
        <v>0</v>
      </c>
      <c r="O1083" s="105" t="s">
        <v>1263</v>
      </c>
      <c r="P1083" s="107">
        <v>24</v>
      </c>
      <c r="Q1083" s="65"/>
      <c r="R1083" s="65"/>
      <c r="S1083" s="110">
        <v>500</v>
      </c>
      <c r="T1083" s="65"/>
      <c r="U1083" s="117">
        <f t="shared" si="820"/>
        <v>0</v>
      </c>
      <c r="V1083" s="65"/>
      <c r="W1083" s="202"/>
    </row>
    <row r="1084" spans="9:23" ht="12" hidden="1" customHeight="1" outlineLevel="1">
      <c r="I1084" s="65"/>
      <c r="J1084" s="143" t="str">
        <f>IF(Equipamentos!C556&gt;0,Equipamentos!C556,"")</f>
        <v>Regulador de gases</v>
      </c>
      <c r="K1084" s="65"/>
      <c r="L1084" s="144">
        <f>Equipamentos!D556</f>
        <v>0</v>
      </c>
      <c r="M1084" s="105" t="str">
        <f>Equipamentos!BP556</f>
        <v>Unidade</v>
      </c>
      <c r="N1084" s="144">
        <f>Equipamentos!E556</f>
        <v>0</v>
      </c>
      <c r="O1084" s="105" t="s">
        <v>1263</v>
      </c>
      <c r="P1084" s="107">
        <v>24</v>
      </c>
      <c r="Q1084" s="65"/>
      <c r="R1084" s="65"/>
      <c r="S1084" s="110">
        <v>350</v>
      </c>
      <c r="T1084" s="65"/>
      <c r="U1084" s="117">
        <f t="shared" si="820"/>
        <v>0</v>
      </c>
      <c r="V1084" s="65"/>
      <c r="W1084" s="202"/>
    </row>
    <row r="1085" spans="9:23" ht="12" hidden="1" customHeight="1" outlineLevel="1">
      <c r="I1085" s="65"/>
      <c r="J1085" s="143" t="str">
        <f>IF(Equipamentos!C557&gt;0,Equipamentos!C557,"")</f>
        <v>Retífica manual</v>
      </c>
      <c r="K1085" s="65"/>
      <c r="L1085" s="144">
        <f>Equipamentos!D557</f>
        <v>0</v>
      </c>
      <c r="M1085" s="105" t="str">
        <f>Equipamentos!BP557</f>
        <v>Unidade</v>
      </c>
      <c r="N1085" s="144">
        <f>Equipamentos!E557</f>
        <v>0</v>
      </c>
      <c r="O1085" s="105" t="s">
        <v>1263</v>
      </c>
      <c r="P1085" s="107">
        <v>24</v>
      </c>
      <c r="Q1085" s="65"/>
      <c r="R1085" s="65"/>
      <c r="S1085" s="110">
        <v>450</v>
      </c>
      <c r="T1085" s="65"/>
      <c r="U1085" s="117">
        <f t="shared" si="820"/>
        <v>0</v>
      </c>
      <c r="V1085" s="65"/>
      <c r="W1085" s="202"/>
    </row>
    <row r="1086" spans="9:23" ht="12" hidden="1" customHeight="1" outlineLevel="1">
      <c r="I1086" s="65"/>
      <c r="J1086" s="143" t="str">
        <f>IF(Equipamentos!C558&gt;0,Equipamentos!C558,"")</f>
        <v>Rosqueadeira Elétrica 1/2" à 2"</v>
      </c>
      <c r="K1086" s="65"/>
      <c r="L1086" s="144">
        <f>Equipamentos!D558</f>
        <v>0</v>
      </c>
      <c r="M1086" s="105" t="str">
        <f>Equipamentos!BP558</f>
        <v>Unidade</v>
      </c>
      <c r="N1086" s="144">
        <f>Equipamentos!E558</f>
        <v>0</v>
      </c>
      <c r="O1086" s="105" t="s">
        <v>1263</v>
      </c>
      <c r="P1086" s="107">
        <v>24</v>
      </c>
      <c r="Q1086" s="65"/>
      <c r="R1086" s="65"/>
      <c r="S1086" s="110">
        <v>3330</v>
      </c>
      <c r="T1086" s="65"/>
      <c r="U1086" s="117">
        <f t="shared" si="820"/>
        <v>0</v>
      </c>
      <c r="V1086" s="65"/>
      <c r="W1086" s="202"/>
    </row>
    <row r="1087" spans="9:23" ht="12" hidden="1" customHeight="1" outlineLevel="1">
      <c r="I1087" s="65"/>
      <c r="J1087" s="143" t="str">
        <f>IF(Equipamentos!C559&gt;0,Equipamentos!C559,"")</f>
        <v>Rosqueadeira Elétrica 2.1/2" à 4" (tubo galvanizado)</v>
      </c>
      <c r="K1087" s="65"/>
      <c r="L1087" s="144">
        <f>Equipamentos!D559</f>
        <v>0</v>
      </c>
      <c r="M1087" s="105" t="str">
        <f>Equipamentos!BP559</f>
        <v>Unidade</v>
      </c>
      <c r="N1087" s="144">
        <f>Equipamentos!E559</f>
        <v>0</v>
      </c>
      <c r="O1087" s="105" t="s">
        <v>1263</v>
      </c>
      <c r="P1087" s="107">
        <v>24</v>
      </c>
      <c r="Q1087" s="65"/>
      <c r="R1087" s="65"/>
      <c r="S1087" s="110">
        <v>6570</v>
      </c>
      <c r="T1087" s="65"/>
      <c r="U1087" s="117">
        <f t="shared" si="820"/>
        <v>0</v>
      </c>
      <c r="V1087" s="65"/>
      <c r="W1087" s="202"/>
    </row>
    <row r="1088" spans="9:23" ht="12" hidden="1" customHeight="1" outlineLevel="1">
      <c r="I1088" s="65"/>
      <c r="J1088" s="143" t="str">
        <f>IF(Equipamentos!C560&gt;0,Equipamentos!C560,"")</f>
        <v>Serra circular manual</v>
      </c>
      <c r="K1088" s="65"/>
      <c r="L1088" s="144">
        <f>Equipamentos!D560</f>
        <v>0</v>
      </c>
      <c r="M1088" s="105" t="str">
        <f>Equipamentos!BP560</f>
        <v>Unidade</v>
      </c>
      <c r="N1088" s="144">
        <f>Equipamentos!E560</f>
        <v>0</v>
      </c>
      <c r="O1088" s="105" t="s">
        <v>1263</v>
      </c>
      <c r="P1088" s="107">
        <v>24</v>
      </c>
      <c r="Q1088" s="65"/>
      <c r="R1088" s="65"/>
      <c r="S1088" s="110">
        <v>680</v>
      </c>
      <c r="T1088" s="65"/>
      <c r="U1088" s="117">
        <f t="shared" si="820"/>
        <v>0</v>
      </c>
      <c r="V1088" s="65"/>
      <c r="W1088" s="202"/>
    </row>
    <row r="1089" spans="9:23" ht="12" hidden="1" customHeight="1" outlineLevel="1">
      <c r="I1089" s="65"/>
      <c r="J1089" s="143" t="str">
        <f>IF(Equipamentos!C561&gt;0,Equipamentos!C561,"")</f>
        <v>Serra de bancada</v>
      </c>
      <c r="K1089" s="65"/>
      <c r="L1089" s="144">
        <f>Equipamentos!D561</f>
        <v>0</v>
      </c>
      <c r="M1089" s="105" t="str">
        <f>Equipamentos!BP561</f>
        <v>Unidade</v>
      </c>
      <c r="N1089" s="144">
        <f>Equipamentos!E561</f>
        <v>0</v>
      </c>
      <c r="O1089" s="105" t="s">
        <v>1263</v>
      </c>
      <c r="P1089" s="107">
        <v>24</v>
      </c>
      <c r="Q1089" s="65"/>
      <c r="R1089" s="65"/>
      <c r="S1089" s="110">
        <v>2599</v>
      </c>
      <c r="T1089" s="65"/>
      <c r="U1089" s="117">
        <f t="shared" si="820"/>
        <v>0</v>
      </c>
      <c r="V1089" s="65"/>
      <c r="W1089" s="202"/>
    </row>
    <row r="1090" spans="9:23" ht="12" hidden="1" customHeight="1" outlineLevel="1">
      <c r="I1090" s="65"/>
      <c r="J1090" s="143" t="str">
        <f>IF(Equipamentos!C562&gt;0,Equipamentos!C562,"")</f>
        <v>Talha de alavanca - 3 Ton</v>
      </c>
      <c r="K1090" s="65"/>
      <c r="L1090" s="144">
        <f>Equipamentos!D562</f>
        <v>0</v>
      </c>
      <c r="M1090" s="105" t="str">
        <f>Equipamentos!BP562</f>
        <v>Unidade</v>
      </c>
      <c r="N1090" s="144">
        <f>Equipamentos!E562</f>
        <v>0</v>
      </c>
      <c r="O1090" s="105" t="s">
        <v>1263</v>
      </c>
      <c r="P1090" s="107">
        <v>24</v>
      </c>
      <c r="Q1090" s="65"/>
      <c r="R1090" s="65"/>
      <c r="S1090" s="110">
        <v>670</v>
      </c>
      <c r="T1090" s="65"/>
      <c r="U1090" s="117">
        <f t="shared" si="820"/>
        <v>0</v>
      </c>
      <c r="V1090" s="65"/>
      <c r="W1090" s="202"/>
    </row>
    <row r="1091" spans="9:23" ht="12" hidden="1" customHeight="1" outlineLevel="1">
      <c r="I1091" s="65"/>
      <c r="J1091" s="143" t="str">
        <f>IF(Equipamentos!C563&gt;0,Equipamentos!C563,"")</f>
        <v>Talha de corrente - 1 Ton</v>
      </c>
      <c r="K1091" s="65"/>
      <c r="L1091" s="144">
        <f>Equipamentos!D563</f>
        <v>0</v>
      </c>
      <c r="M1091" s="105" t="str">
        <f>Equipamentos!BP563</f>
        <v>Unidade</v>
      </c>
      <c r="N1091" s="144">
        <f>Equipamentos!E563</f>
        <v>0</v>
      </c>
      <c r="O1091" s="105" t="s">
        <v>1263</v>
      </c>
      <c r="P1091" s="107">
        <v>24</v>
      </c>
      <c r="Q1091" s="65"/>
      <c r="R1091" s="65"/>
      <c r="S1091" s="110">
        <v>400</v>
      </c>
      <c r="T1091" s="65"/>
      <c r="U1091" s="117">
        <f t="shared" ref="U1091:U1154" si="821">IFERROR(L1091*N1091*(S1091/P1091),0)</f>
        <v>0</v>
      </c>
      <c r="V1091" s="65"/>
      <c r="W1091" s="202"/>
    </row>
    <row r="1092" spans="9:23" ht="12" hidden="1" customHeight="1" outlineLevel="1">
      <c r="I1092" s="65"/>
      <c r="J1092" s="143" t="str">
        <f>IF(Equipamentos!C564&gt;0,Equipamentos!C564,"")</f>
        <v>Talha de corrente - 1,5 Ton</v>
      </c>
      <c r="K1092" s="65"/>
      <c r="L1092" s="144">
        <f>Equipamentos!D564</f>
        <v>0</v>
      </c>
      <c r="M1092" s="105" t="str">
        <f>Equipamentos!BP564</f>
        <v>Unidade</v>
      </c>
      <c r="N1092" s="144">
        <f>Equipamentos!E564</f>
        <v>0</v>
      </c>
      <c r="O1092" s="105" t="s">
        <v>1263</v>
      </c>
      <c r="P1092" s="107">
        <v>24</v>
      </c>
      <c r="Q1092" s="65"/>
      <c r="R1092" s="65"/>
      <c r="S1092" s="110">
        <v>580</v>
      </c>
      <c r="T1092" s="65"/>
      <c r="U1092" s="117">
        <f t="shared" si="821"/>
        <v>0</v>
      </c>
      <c r="V1092" s="65"/>
      <c r="W1092" s="202"/>
    </row>
    <row r="1093" spans="9:23" ht="12" hidden="1" customHeight="1" outlineLevel="1">
      <c r="I1093" s="65"/>
      <c r="J1093" s="143" t="str">
        <f>IF(Equipamentos!C565&gt;0,Equipamentos!C565,"")</f>
        <v>Talha de corrente - 3 Ton</v>
      </c>
      <c r="K1093" s="65"/>
      <c r="L1093" s="144">
        <f>Equipamentos!D565</f>
        <v>0</v>
      </c>
      <c r="M1093" s="105" t="str">
        <f>Equipamentos!BP565</f>
        <v>Unidade</v>
      </c>
      <c r="N1093" s="144">
        <f>Equipamentos!E565</f>
        <v>0</v>
      </c>
      <c r="O1093" s="105" t="s">
        <v>1263</v>
      </c>
      <c r="P1093" s="107">
        <v>24</v>
      </c>
      <c r="Q1093" s="65"/>
      <c r="R1093" s="65"/>
      <c r="S1093" s="110">
        <v>800</v>
      </c>
      <c r="T1093" s="65"/>
      <c r="U1093" s="117">
        <f t="shared" si="821"/>
        <v>0</v>
      </c>
      <c r="V1093" s="65"/>
      <c r="W1093" s="202"/>
    </row>
    <row r="1094" spans="9:23" ht="12" hidden="1" customHeight="1" outlineLevel="1">
      <c r="I1094" s="65"/>
      <c r="J1094" s="143" t="str">
        <f>IF(Equipamentos!C566&gt;0,Equipamentos!C566,"")</f>
        <v>Teodolito eletrônico</v>
      </c>
      <c r="K1094" s="65"/>
      <c r="L1094" s="144">
        <f>Equipamentos!D566</f>
        <v>0</v>
      </c>
      <c r="M1094" s="105" t="str">
        <f>Equipamentos!BP566</f>
        <v>Unidade</v>
      </c>
      <c r="N1094" s="144">
        <f>Equipamentos!E566</f>
        <v>0</v>
      </c>
      <c r="O1094" s="105" t="s">
        <v>1263</v>
      </c>
      <c r="P1094" s="107">
        <v>24</v>
      </c>
      <c r="Q1094" s="65"/>
      <c r="R1094" s="65"/>
      <c r="S1094" s="110">
        <v>5330</v>
      </c>
      <c r="T1094" s="65"/>
      <c r="U1094" s="117">
        <f t="shared" si="821"/>
        <v>0</v>
      </c>
      <c r="V1094" s="65"/>
      <c r="W1094" s="202"/>
    </row>
    <row r="1095" spans="9:23" ht="12" hidden="1" customHeight="1" outlineLevel="1">
      <c r="I1095" s="65"/>
      <c r="J1095" s="143" t="str">
        <f>IF(Equipamentos!C567&gt;0,Equipamentos!C567,"")</f>
        <v>Termômetro de IR visual</v>
      </c>
      <c r="K1095" s="65"/>
      <c r="L1095" s="144">
        <f>Equipamentos!D567</f>
        <v>0</v>
      </c>
      <c r="M1095" s="105" t="str">
        <f>Equipamentos!BP567</f>
        <v>Unidade</v>
      </c>
      <c r="N1095" s="144">
        <f>Equipamentos!E567</f>
        <v>0</v>
      </c>
      <c r="O1095" s="105" t="s">
        <v>1263</v>
      </c>
      <c r="P1095" s="107">
        <v>24</v>
      </c>
      <c r="Q1095" s="65"/>
      <c r="R1095" s="65"/>
      <c r="S1095" s="110">
        <v>4300</v>
      </c>
      <c r="T1095" s="65"/>
      <c r="U1095" s="117">
        <f t="shared" si="821"/>
        <v>0</v>
      </c>
      <c r="V1095" s="65"/>
      <c r="W1095" s="202"/>
    </row>
    <row r="1096" spans="9:23" ht="12" hidden="1" customHeight="1" outlineLevel="1">
      <c r="I1096" s="65"/>
      <c r="J1096" s="143" t="str">
        <f>IF(Equipamentos!C568&gt;0,Equipamentos!C568,"")</f>
        <v>Testador de bateria</v>
      </c>
      <c r="K1096" s="65"/>
      <c r="L1096" s="144">
        <f>Equipamentos!D568</f>
        <v>0</v>
      </c>
      <c r="M1096" s="105" t="str">
        <f>Equipamentos!BP568</f>
        <v>Unidade</v>
      </c>
      <c r="N1096" s="144">
        <f>Equipamentos!E568</f>
        <v>0</v>
      </c>
      <c r="O1096" s="105" t="s">
        <v>1263</v>
      </c>
      <c r="P1096" s="107">
        <v>24</v>
      </c>
      <c r="Q1096" s="65"/>
      <c r="R1096" s="65"/>
      <c r="S1096" s="110">
        <v>1200</v>
      </c>
      <c r="T1096" s="65"/>
      <c r="U1096" s="117">
        <f t="shared" si="821"/>
        <v>0</v>
      </c>
      <c r="V1096" s="65"/>
      <c r="W1096" s="202"/>
    </row>
    <row r="1097" spans="9:23" ht="12" hidden="1" customHeight="1" outlineLevel="1">
      <c r="I1097" s="65"/>
      <c r="J1097" s="143" t="str">
        <f>IF(Equipamentos!C569&gt;0,Equipamentos!C569,"")</f>
        <v>Testador de comando pneumático</v>
      </c>
      <c r="K1097" s="65"/>
      <c r="L1097" s="144">
        <f>Equipamentos!D569</f>
        <v>0</v>
      </c>
      <c r="M1097" s="105" t="str">
        <f>Equipamentos!BP569</f>
        <v>Unidade</v>
      </c>
      <c r="N1097" s="144">
        <f>Equipamentos!E569</f>
        <v>0</v>
      </c>
      <c r="O1097" s="105" t="s">
        <v>1263</v>
      </c>
      <c r="P1097" s="107">
        <v>24</v>
      </c>
      <c r="Q1097" s="65"/>
      <c r="R1097" s="65"/>
      <c r="S1097" s="110">
        <v>2500</v>
      </c>
      <c r="T1097" s="65"/>
      <c r="U1097" s="117">
        <f t="shared" si="821"/>
        <v>0</v>
      </c>
      <c r="V1097" s="65"/>
      <c r="W1097" s="202"/>
    </row>
    <row r="1098" spans="9:23" ht="12" hidden="1" customHeight="1" outlineLevel="1">
      <c r="I1098" s="65"/>
      <c r="J1098" s="143" t="str">
        <f>IF(Equipamentos!C570&gt;0,Equipamentos!C570,"")</f>
        <v>Tirfor 3,2 Ton</v>
      </c>
      <c r="K1098" s="65"/>
      <c r="L1098" s="144">
        <f>Equipamentos!D570</f>
        <v>0</v>
      </c>
      <c r="M1098" s="105" t="str">
        <f>Equipamentos!BP570</f>
        <v>Unidade</v>
      </c>
      <c r="N1098" s="144">
        <f>Equipamentos!E570</f>
        <v>0</v>
      </c>
      <c r="O1098" s="105" t="s">
        <v>1263</v>
      </c>
      <c r="P1098" s="107">
        <v>24</v>
      </c>
      <c r="Q1098" s="65"/>
      <c r="R1098" s="65"/>
      <c r="S1098" s="110">
        <v>2780</v>
      </c>
      <c r="T1098" s="65"/>
      <c r="U1098" s="117">
        <f t="shared" si="821"/>
        <v>0</v>
      </c>
      <c r="V1098" s="65"/>
      <c r="W1098" s="202"/>
    </row>
    <row r="1099" spans="9:23" ht="12" hidden="1" customHeight="1" outlineLevel="1">
      <c r="I1099" s="65"/>
      <c r="J1099" s="143" t="str">
        <f>IF(Equipamentos!C571&gt;0,Equipamentos!C571,"")</f>
        <v>Torno</v>
      </c>
      <c r="K1099" s="65"/>
      <c r="L1099" s="144">
        <f>Equipamentos!D571</f>
        <v>0</v>
      </c>
      <c r="M1099" s="105" t="str">
        <f>Equipamentos!BP571</f>
        <v>Unidade</v>
      </c>
      <c r="N1099" s="144">
        <f>Equipamentos!E571</f>
        <v>0</v>
      </c>
      <c r="O1099" s="105" t="s">
        <v>1263</v>
      </c>
      <c r="P1099" s="107">
        <v>24</v>
      </c>
      <c r="Q1099" s="65"/>
      <c r="R1099" s="65"/>
      <c r="S1099" s="110">
        <v>15200</v>
      </c>
      <c r="T1099" s="65"/>
      <c r="U1099" s="117">
        <f t="shared" si="821"/>
        <v>0</v>
      </c>
      <c r="V1099" s="65"/>
      <c r="W1099" s="202"/>
    </row>
    <row r="1100" spans="9:23" ht="12" hidden="1" customHeight="1" outlineLevel="1">
      <c r="I1100" s="65"/>
      <c r="J1100" s="143" t="str">
        <f>IF(Equipamentos!C572&gt;0,Equipamentos!C572,"")</f>
        <v>Torquimetro de estalo</v>
      </c>
      <c r="K1100" s="65"/>
      <c r="L1100" s="144">
        <f>Equipamentos!D572</f>
        <v>0</v>
      </c>
      <c r="M1100" s="105" t="str">
        <f>Equipamentos!BP572</f>
        <v>Unidade</v>
      </c>
      <c r="N1100" s="144">
        <f>Equipamentos!E572</f>
        <v>0</v>
      </c>
      <c r="O1100" s="105" t="s">
        <v>1263</v>
      </c>
      <c r="P1100" s="107">
        <v>24</v>
      </c>
      <c r="Q1100" s="65"/>
      <c r="R1100" s="65"/>
      <c r="S1100" s="110">
        <v>708</v>
      </c>
      <c r="T1100" s="65"/>
      <c r="U1100" s="117">
        <f t="shared" si="821"/>
        <v>0</v>
      </c>
      <c r="V1100" s="65"/>
      <c r="W1100" s="202"/>
    </row>
    <row r="1101" spans="9:23" ht="12" hidden="1" customHeight="1" outlineLevel="1">
      <c r="I1101" s="65"/>
      <c r="J1101" s="143" t="str">
        <f>IF(Equipamentos!C573&gt;0,Equipamentos!C573,"")</f>
        <v>Torre de Iluminação</v>
      </c>
      <c r="K1101" s="65"/>
      <c r="L1101" s="144">
        <f>Equipamentos!D573</f>
        <v>0</v>
      </c>
      <c r="M1101" s="105" t="str">
        <f>Equipamentos!BP573</f>
        <v>Unidade</v>
      </c>
      <c r="N1101" s="144">
        <f>Equipamentos!E573</f>
        <v>0</v>
      </c>
      <c r="O1101" s="105" t="s">
        <v>1263</v>
      </c>
      <c r="P1101" s="107">
        <v>24</v>
      </c>
      <c r="Q1101" s="65"/>
      <c r="R1101" s="65"/>
      <c r="S1101" s="110">
        <v>3800</v>
      </c>
      <c r="T1101" s="65"/>
      <c r="U1101" s="117">
        <f t="shared" si="821"/>
        <v>0</v>
      </c>
      <c r="V1101" s="65"/>
      <c r="W1101" s="202"/>
    </row>
    <row r="1102" spans="9:23" ht="12" hidden="1" customHeight="1" outlineLevel="1">
      <c r="I1102" s="65"/>
      <c r="J1102" s="143" t="str">
        <f>IF(Equipamentos!C574&gt;0,Equipamentos!C574,"")</f>
        <v>Trena a laser</v>
      </c>
      <c r="K1102" s="65"/>
      <c r="L1102" s="144">
        <f>Equipamentos!D574</f>
        <v>0</v>
      </c>
      <c r="M1102" s="105" t="str">
        <f>Equipamentos!BP574</f>
        <v>Unidade</v>
      </c>
      <c r="N1102" s="144">
        <f>Equipamentos!E574</f>
        <v>0</v>
      </c>
      <c r="O1102" s="105" t="s">
        <v>1263</v>
      </c>
      <c r="P1102" s="107">
        <v>24</v>
      </c>
      <c r="Q1102" s="65"/>
      <c r="R1102" s="65"/>
      <c r="S1102" s="110">
        <v>490</v>
      </c>
      <c r="T1102" s="65"/>
      <c r="U1102" s="117">
        <f t="shared" si="821"/>
        <v>0</v>
      </c>
      <c r="V1102" s="65"/>
      <c r="W1102" s="202"/>
    </row>
    <row r="1103" spans="9:23" ht="12" hidden="1" customHeight="1" outlineLevel="1">
      <c r="I1103" s="65"/>
      <c r="J1103" s="143" t="str">
        <f>IF(Equipamentos!C575&gt;0,Equipamentos!C575,"")</f>
        <v>Vara de manobra para alta tensão</v>
      </c>
      <c r="K1103" s="65"/>
      <c r="L1103" s="144">
        <f>Equipamentos!D575</f>
        <v>0</v>
      </c>
      <c r="M1103" s="105" t="str">
        <f>Equipamentos!BP575</f>
        <v>Unidade</v>
      </c>
      <c r="N1103" s="144">
        <f>Equipamentos!E575</f>
        <v>0</v>
      </c>
      <c r="O1103" s="105" t="s">
        <v>1263</v>
      </c>
      <c r="P1103" s="107">
        <v>24</v>
      </c>
      <c r="Q1103" s="65"/>
      <c r="R1103" s="65"/>
      <c r="S1103" s="110">
        <v>1200</v>
      </c>
      <c r="T1103" s="65"/>
      <c r="U1103" s="117">
        <f t="shared" si="821"/>
        <v>0</v>
      </c>
      <c r="V1103" s="65"/>
      <c r="W1103" s="202"/>
    </row>
    <row r="1104" spans="9:23" ht="12" hidden="1" customHeight="1" outlineLevel="1">
      <c r="I1104" s="65"/>
      <c r="J1104" s="143" t="str">
        <f>IF(Equipamentos!C576&gt;0,Equipamentos!C576,"")</f>
        <v>Hilti - Alicate Prensador Universal e de Corte NUN 54-A</v>
      </c>
      <c r="K1104" s="65"/>
      <c r="L1104" s="144">
        <f>Equipamentos!D576</f>
        <v>0</v>
      </c>
      <c r="M1104" s="105" t="str">
        <f>Equipamentos!BP576</f>
        <v>Unidade</v>
      </c>
      <c r="N1104" s="144">
        <f>Equipamentos!E576</f>
        <v>0</v>
      </c>
      <c r="O1104" s="105" t="s">
        <v>1263</v>
      </c>
      <c r="P1104" s="107">
        <v>24</v>
      </c>
      <c r="Q1104" s="65"/>
      <c r="R1104" s="65"/>
      <c r="S1104" s="110">
        <v>17235</v>
      </c>
      <c r="T1104" s="65"/>
      <c r="U1104" s="117">
        <f t="shared" si="821"/>
        <v>0</v>
      </c>
      <c r="V1104" s="65"/>
      <c r="W1104" s="202"/>
    </row>
    <row r="1105" spans="9:23" ht="12" hidden="1" customHeight="1" outlineLevel="1">
      <c r="I1105" s="65"/>
      <c r="J1105" s="143" t="str">
        <f>IF(Equipamentos!C577&gt;0,Equipamentos!C577,"")</f>
        <v>Hilti - Aparafusadeira a Bateria SBT 4A-22</v>
      </c>
      <c r="K1105" s="65"/>
      <c r="L1105" s="144">
        <f>Equipamentos!D577</f>
        <v>0</v>
      </c>
      <c r="M1105" s="105" t="str">
        <f>Equipamentos!BP577</f>
        <v>Unidade</v>
      </c>
      <c r="N1105" s="144">
        <f>Equipamentos!E577</f>
        <v>0</v>
      </c>
      <c r="O1105" s="105" t="s">
        <v>1263</v>
      </c>
      <c r="P1105" s="107">
        <v>24</v>
      </c>
      <c r="Q1105" s="65"/>
      <c r="R1105" s="65"/>
      <c r="S1105" s="110">
        <v>2392</v>
      </c>
      <c r="T1105" s="65"/>
      <c r="U1105" s="117">
        <f t="shared" si="821"/>
        <v>0</v>
      </c>
      <c r="V1105" s="65"/>
      <c r="W1105" s="202"/>
    </row>
    <row r="1106" spans="9:23" ht="12" hidden="1" customHeight="1" outlineLevel="1">
      <c r="I1106" s="65"/>
      <c r="J1106" s="143" t="str">
        <f>IF(Equipamentos!C578&gt;0,Equipamentos!C578,"")</f>
        <v>Hilti - Chave de Impacto a Bateria SIW 9-A22 ¾”</v>
      </c>
      <c r="K1106" s="65"/>
      <c r="L1106" s="144">
        <f>Equipamentos!D578</f>
        <v>0</v>
      </c>
      <c r="M1106" s="105" t="str">
        <f>Equipamentos!BP578</f>
        <v>Unidade</v>
      </c>
      <c r="N1106" s="144">
        <f>Equipamentos!E578</f>
        <v>0</v>
      </c>
      <c r="O1106" s="105" t="s">
        <v>1263</v>
      </c>
      <c r="P1106" s="107">
        <v>24</v>
      </c>
      <c r="Q1106" s="65"/>
      <c r="R1106" s="65"/>
      <c r="S1106" s="110">
        <v>3147</v>
      </c>
      <c r="T1106" s="65"/>
      <c r="U1106" s="117">
        <f t="shared" si="821"/>
        <v>0</v>
      </c>
      <c r="V1106" s="65"/>
      <c r="W1106" s="202"/>
    </row>
    <row r="1107" spans="9:23" ht="12" hidden="1" customHeight="1" outlineLevel="1">
      <c r="I1107" s="65"/>
      <c r="J1107" s="143" t="str">
        <f>IF(Equipamentos!C579&gt;0,Equipamentos!C579,"")</f>
        <v>Hilti - Desbastador a Bateria AG 125-A22</v>
      </c>
      <c r="K1107" s="65"/>
      <c r="L1107" s="144">
        <f>Equipamentos!D579</f>
        <v>0</v>
      </c>
      <c r="M1107" s="105" t="str">
        <f>Equipamentos!BP579</f>
        <v>Unidade</v>
      </c>
      <c r="N1107" s="144">
        <f>Equipamentos!E579</f>
        <v>0</v>
      </c>
      <c r="O1107" s="105" t="s">
        <v>1263</v>
      </c>
      <c r="P1107" s="107">
        <v>24</v>
      </c>
      <c r="Q1107" s="65"/>
      <c r="R1107" s="65"/>
      <c r="S1107" s="110">
        <v>2292</v>
      </c>
      <c r="T1107" s="65"/>
      <c r="U1107" s="117">
        <f t="shared" si="821"/>
        <v>0</v>
      </c>
      <c r="V1107" s="65"/>
      <c r="W1107" s="202"/>
    </row>
    <row r="1108" spans="9:23" ht="12" hidden="1" customHeight="1" outlineLevel="1">
      <c r="I1108" s="65"/>
      <c r="J1108" s="143" t="str">
        <f>IF(Equipamentos!C580&gt;0,Equipamentos!C580,"")</f>
        <v>Hilti - Dispensador a Bateria HDE 500-A22</v>
      </c>
      <c r="K1108" s="65"/>
      <c r="L1108" s="144">
        <f>Equipamentos!D580</f>
        <v>0</v>
      </c>
      <c r="M1108" s="105" t="str">
        <f>Equipamentos!BP580</f>
        <v>Unidade</v>
      </c>
      <c r="N1108" s="144">
        <f>Equipamentos!E580</f>
        <v>0</v>
      </c>
      <c r="O1108" s="105" t="s">
        <v>1263</v>
      </c>
      <c r="P1108" s="107">
        <v>24</v>
      </c>
      <c r="Q1108" s="65"/>
      <c r="R1108" s="65"/>
      <c r="S1108" s="110">
        <v>1556</v>
      </c>
      <c r="T1108" s="65"/>
      <c r="U1108" s="117">
        <f t="shared" si="821"/>
        <v>0</v>
      </c>
      <c r="V1108" s="65"/>
      <c r="W1108" s="202"/>
    </row>
    <row r="1109" spans="9:23" ht="12" hidden="1" customHeight="1" outlineLevel="1">
      <c r="I1109" s="65"/>
      <c r="J1109" s="143" t="str">
        <f>IF(Equipamentos!C581&gt;0,Equipamentos!C581,"")</f>
        <v>Hilti - Furadeira a Bateria SF 8M-A22</v>
      </c>
      <c r="K1109" s="65"/>
      <c r="L1109" s="144">
        <f>Equipamentos!D581</f>
        <v>0</v>
      </c>
      <c r="M1109" s="105" t="str">
        <f>Equipamentos!BP581</f>
        <v>Unidade</v>
      </c>
      <c r="N1109" s="144">
        <f>Equipamentos!E581</f>
        <v>0</v>
      </c>
      <c r="O1109" s="105" t="s">
        <v>1263</v>
      </c>
      <c r="P1109" s="107">
        <v>24</v>
      </c>
      <c r="Q1109" s="65"/>
      <c r="R1109" s="65"/>
      <c r="S1109" s="110">
        <v>2867</v>
      </c>
      <c r="T1109" s="65"/>
      <c r="U1109" s="117">
        <f t="shared" si="821"/>
        <v>0</v>
      </c>
      <c r="V1109" s="65"/>
      <c r="W1109" s="202"/>
    </row>
    <row r="1110" spans="9:23" ht="12" hidden="1" customHeight="1" outlineLevel="1">
      <c r="I1110" s="65"/>
      <c r="J1110" s="143" t="str">
        <f>IF(Equipamentos!C582&gt;0,Equipamentos!C582,"")</f>
        <v>Hilti - Laser Multilinhas a Bateria PM 40-MG</v>
      </c>
      <c r="K1110" s="65"/>
      <c r="L1110" s="144">
        <f>Equipamentos!D582</f>
        <v>0</v>
      </c>
      <c r="M1110" s="105" t="str">
        <f>Equipamentos!BP582</f>
        <v>Unidade</v>
      </c>
      <c r="N1110" s="144">
        <f>Equipamentos!E582</f>
        <v>0</v>
      </c>
      <c r="O1110" s="105" t="s">
        <v>1263</v>
      </c>
      <c r="P1110" s="107">
        <v>24</v>
      </c>
      <c r="Q1110" s="65"/>
      <c r="R1110" s="65"/>
      <c r="S1110" s="110">
        <v>5890</v>
      </c>
      <c r="T1110" s="65"/>
      <c r="U1110" s="117">
        <f t="shared" si="821"/>
        <v>0</v>
      </c>
      <c r="V1110" s="65"/>
      <c r="W1110" s="202"/>
    </row>
    <row r="1111" spans="9:23" ht="12" hidden="1" customHeight="1" outlineLevel="1">
      <c r="I1111" s="65"/>
      <c r="J1111" s="143" t="str">
        <f>IF(Equipamentos!C583&gt;0,Equipamentos!C583,"")</f>
        <v>Hilti - Martelo Combinado a Bateria TE 60-A36</v>
      </c>
      <c r="K1111" s="65"/>
      <c r="L1111" s="144">
        <f>Equipamentos!D583</f>
        <v>0</v>
      </c>
      <c r="M1111" s="105" t="str">
        <f>Equipamentos!BP583</f>
        <v>Unidade</v>
      </c>
      <c r="N1111" s="144">
        <f>Equipamentos!E583</f>
        <v>0</v>
      </c>
      <c r="O1111" s="105" t="s">
        <v>1263</v>
      </c>
      <c r="P1111" s="107">
        <v>24</v>
      </c>
      <c r="Q1111" s="65"/>
      <c r="R1111" s="65"/>
      <c r="S1111" s="110">
        <v>13367</v>
      </c>
      <c r="T1111" s="65"/>
      <c r="U1111" s="117">
        <f t="shared" si="821"/>
        <v>0</v>
      </c>
      <c r="V1111" s="65"/>
      <c r="W1111" s="202"/>
    </row>
    <row r="1112" spans="9:23" ht="12" hidden="1" customHeight="1" outlineLevel="1">
      <c r="I1112" s="65"/>
      <c r="J1112" s="143" t="str">
        <f>IF(Equipamentos!C584&gt;0,Equipamentos!C584,"")</f>
        <v>Hilti - Serra Circular a Bateria SC 70W-A22</v>
      </c>
      <c r="K1112" s="65"/>
      <c r="L1112" s="144">
        <f>Equipamentos!D584</f>
        <v>0</v>
      </c>
      <c r="M1112" s="105" t="str">
        <f>Equipamentos!BP584</f>
        <v>Unidade</v>
      </c>
      <c r="N1112" s="144">
        <f>Equipamentos!E584</f>
        <v>0</v>
      </c>
      <c r="O1112" s="105" t="s">
        <v>1263</v>
      </c>
      <c r="P1112" s="107">
        <v>24</v>
      </c>
      <c r="Q1112" s="65"/>
      <c r="R1112" s="65"/>
      <c r="S1112" s="110">
        <v>2627</v>
      </c>
      <c r="T1112" s="65"/>
      <c r="U1112" s="117">
        <f t="shared" si="821"/>
        <v>0</v>
      </c>
      <c r="V1112" s="65"/>
      <c r="W1112" s="202"/>
    </row>
    <row r="1113" spans="9:23" ht="12" hidden="1" customHeight="1" outlineLevel="1">
      <c r="I1113" s="65"/>
      <c r="J1113" s="143" t="str">
        <f>IF(Equipamentos!C585&gt;0,Equipamentos!C585,"")</f>
        <v>Hilti - Serra Sabre a Bateria SR 4-A22</v>
      </c>
      <c r="K1113" s="65"/>
      <c r="L1113" s="144">
        <f>Equipamentos!D585</f>
        <v>0</v>
      </c>
      <c r="M1113" s="105" t="str">
        <f>Equipamentos!BP585</f>
        <v>Unidade</v>
      </c>
      <c r="N1113" s="144">
        <f>Equipamentos!E585</f>
        <v>0</v>
      </c>
      <c r="O1113" s="105" t="s">
        <v>1263</v>
      </c>
      <c r="P1113" s="107">
        <v>24</v>
      </c>
      <c r="Q1113" s="65"/>
      <c r="R1113" s="65"/>
      <c r="S1113" s="110">
        <v>2802</v>
      </c>
      <c r="T1113" s="65"/>
      <c r="U1113" s="117">
        <f t="shared" si="821"/>
        <v>0</v>
      </c>
      <c r="V1113" s="65"/>
      <c r="W1113" s="202"/>
    </row>
    <row r="1114" spans="9:23" ht="12" hidden="1" customHeight="1" outlineLevel="1">
      <c r="I1114" s="65"/>
      <c r="J1114" s="143" t="str">
        <f>IF(Equipamentos!C586&gt;0,Equipamentos!C586,"")</f>
        <v>Hilti - Bateria B 22/8.0 Li-ion</v>
      </c>
      <c r="K1114" s="65"/>
      <c r="L1114" s="144">
        <f>Equipamentos!D586</f>
        <v>0</v>
      </c>
      <c r="M1114" s="105" t="str">
        <f>Equipamentos!BP586</f>
        <v>Unidade</v>
      </c>
      <c r="N1114" s="144">
        <f>Equipamentos!E586</f>
        <v>0</v>
      </c>
      <c r="O1114" s="105" t="s">
        <v>1263</v>
      </c>
      <c r="P1114" s="107">
        <v>24</v>
      </c>
      <c r="Q1114" s="65"/>
      <c r="R1114" s="65"/>
      <c r="S1114" s="110">
        <v>1672</v>
      </c>
      <c r="T1114" s="65"/>
      <c r="U1114" s="117">
        <f t="shared" si="821"/>
        <v>0</v>
      </c>
      <c r="V1114" s="65"/>
      <c r="W1114" s="202"/>
    </row>
    <row r="1115" spans="9:23" ht="12" hidden="1" customHeight="1" outlineLevel="1">
      <c r="I1115" s="65"/>
      <c r="J1115" s="143" t="str">
        <f>IF(Equipamentos!C587&gt;0,Equipamentos!C587,"")</f>
        <v>Hilti - Carregador de bateria C4/36-MC4</v>
      </c>
      <c r="K1115" s="65"/>
      <c r="L1115" s="144">
        <f>Equipamentos!D587</f>
        <v>0</v>
      </c>
      <c r="M1115" s="105" t="str">
        <f>Equipamentos!BP587</f>
        <v>Unidade</v>
      </c>
      <c r="N1115" s="144">
        <f>Equipamentos!E587</f>
        <v>0</v>
      </c>
      <c r="O1115" s="105" t="s">
        <v>1263</v>
      </c>
      <c r="P1115" s="107">
        <v>24</v>
      </c>
      <c r="Q1115" s="65"/>
      <c r="R1115" s="65"/>
      <c r="S1115" s="110">
        <v>2472</v>
      </c>
      <c r="T1115" s="65"/>
      <c r="U1115" s="117">
        <f t="shared" si="821"/>
        <v>0</v>
      </c>
      <c r="V1115" s="65"/>
      <c r="W1115" s="202"/>
    </row>
    <row r="1116" spans="9:23" ht="12" hidden="1" customHeight="1" outlineLevel="1">
      <c r="I1116" s="65"/>
      <c r="J1116" s="143" t="str">
        <f>IF(Equipamentos!C588&gt;0,Equipamentos!C588,"")</f>
        <v>Alisadora de piso de concreto à gasolina</v>
      </c>
      <c r="K1116" s="65"/>
      <c r="L1116" s="144">
        <f>Equipamentos!D588</f>
        <v>0</v>
      </c>
      <c r="M1116" s="105" t="str">
        <f>Equipamentos!BP588</f>
        <v>Unidade</v>
      </c>
      <c r="N1116" s="144">
        <f>Equipamentos!E588</f>
        <v>0</v>
      </c>
      <c r="O1116" s="105" t="s">
        <v>1263</v>
      </c>
      <c r="P1116" s="107">
        <v>24</v>
      </c>
      <c r="Q1116" s="65"/>
      <c r="R1116" s="65"/>
      <c r="S1116" s="110">
        <v>4500</v>
      </c>
      <c r="T1116" s="65"/>
      <c r="U1116" s="117">
        <f t="shared" si="821"/>
        <v>0</v>
      </c>
      <c r="V1116" s="65"/>
      <c r="W1116" s="202"/>
    </row>
    <row r="1117" spans="9:23" ht="12" hidden="1" customHeight="1" outlineLevel="1">
      <c r="I1117" s="65"/>
      <c r="J1117" s="143" t="str">
        <f>IF(Equipamentos!C589&gt;0,Equipamentos!C589,"")</f>
        <v>Betoneira 400 litros</v>
      </c>
      <c r="K1117" s="65"/>
      <c r="L1117" s="144">
        <f>Equipamentos!D589</f>
        <v>0</v>
      </c>
      <c r="M1117" s="105" t="str">
        <f>Equipamentos!BP589</f>
        <v>Unidade</v>
      </c>
      <c r="N1117" s="144">
        <f>Equipamentos!E589</f>
        <v>0</v>
      </c>
      <c r="O1117" s="105" t="s">
        <v>1263</v>
      </c>
      <c r="P1117" s="107">
        <v>24</v>
      </c>
      <c r="Q1117" s="65"/>
      <c r="R1117" s="65"/>
      <c r="S1117" s="110">
        <v>2800</v>
      </c>
      <c r="T1117" s="65"/>
      <c r="U1117" s="117">
        <f t="shared" si="821"/>
        <v>0</v>
      </c>
      <c r="V1117" s="65"/>
      <c r="W1117" s="202"/>
    </row>
    <row r="1118" spans="9:23" ht="12" hidden="1" customHeight="1" outlineLevel="1">
      <c r="I1118" s="65"/>
      <c r="J1118" s="143" t="str">
        <f>IF(Equipamentos!C590&gt;0,Equipamentos!C590,"")</f>
        <v>Bomba à gasolina submersível para recalque</v>
      </c>
      <c r="K1118" s="65"/>
      <c r="L1118" s="144">
        <f>Equipamentos!D590</f>
        <v>0</v>
      </c>
      <c r="M1118" s="105" t="str">
        <f>Equipamentos!BP590</f>
        <v>Unidade</v>
      </c>
      <c r="N1118" s="144">
        <f>Equipamentos!E590</f>
        <v>0</v>
      </c>
      <c r="O1118" s="105" t="s">
        <v>1263</v>
      </c>
      <c r="P1118" s="107">
        <v>24</v>
      </c>
      <c r="Q1118" s="65"/>
      <c r="R1118" s="65"/>
      <c r="S1118" s="110">
        <v>950</v>
      </c>
      <c r="T1118" s="65"/>
      <c r="U1118" s="117">
        <f t="shared" si="821"/>
        <v>0</v>
      </c>
      <c r="V1118" s="65"/>
      <c r="W1118" s="202"/>
    </row>
    <row r="1119" spans="9:23" ht="12" hidden="1" customHeight="1" outlineLevel="1">
      <c r="I1119" s="65"/>
      <c r="J1119" s="143" t="str">
        <f>IF(Equipamentos!C591&gt;0,Equipamentos!C591,"")</f>
        <v>Bomba elétrica submersível para recalque</v>
      </c>
      <c r="K1119" s="65"/>
      <c r="L1119" s="144">
        <f>Equipamentos!D591</f>
        <v>0</v>
      </c>
      <c r="M1119" s="105" t="str">
        <f>Equipamentos!BP591</f>
        <v>Unidade</v>
      </c>
      <c r="N1119" s="144">
        <f>Equipamentos!E591</f>
        <v>0</v>
      </c>
      <c r="O1119" s="105" t="s">
        <v>1263</v>
      </c>
      <c r="P1119" s="107">
        <v>24</v>
      </c>
      <c r="Q1119" s="65"/>
      <c r="R1119" s="65"/>
      <c r="S1119" s="110">
        <v>700</v>
      </c>
      <c r="T1119" s="65"/>
      <c r="U1119" s="117">
        <f t="shared" si="821"/>
        <v>0</v>
      </c>
      <c r="V1119" s="65"/>
      <c r="W1119" s="202"/>
    </row>
    <row r="1120" spans="9:23" ht="12" hidden="1" customHeight="1" outlineLevel="1">
      <c r="I1120" s="65"/>
      <c r="J1120" s="143" t="str">
        <f>IF(Equipamentos!C592&gt;0,Equipamentos!C592,"")</f>
        <v>Compactador de solo tipo sapo à gasolina</v>
      </c>
      <c r="K1120" s="65"/>
      <c r="L1120" s="144">
        <f>Equipamentos!D592</f>
        <v>0</v>
      </c>
      <c r="M1120" s="105" t="str">
        <f>Equipamentos!BP592</f>
        <v>Unidade</v>
      </c>
      <c r="N1120" s="144">
        <f>Equipamentos!E592</f>
        <v>0</v>
      </c>
      <c r="O1120" s="105" t="s">
        <v>1263</v>
      </c>
      <c r="P1120" s="107">
        <v>24</v>
      </c>
      <c r="Q1120" s="65"/>
      <c r="R1120" s="65"/>
      <c r="S1120" s="110">
        <v>7700</v>
      </c>
      <c r="T1120" s="65"/>
      <c r="U1120" s="117">
        <f t="shared" si="821"/>
        <v>0</v>
      </c>
      <c r="V1120" s="65"/>
      <c r="W1120" s="202"/>
    </row>
    <row r="1121" spans="9:23" ht="12" hidden="1" customHeight="1" outlineLevel="1">
      <c r="I1121" s="65"/>
      <c r="J1121" s="143" t="str">
        <f>IF(Equipamentos!C593&gt;0,Equipamentos!C593,"")</f>
        <v>Cortadora de piso de bancada</v>
      </c>
      <c r="K1121" s="65"/>
      <c r="L1121" s="144">
        <f>Equipamentos!D593</f>
        <v>0</v>
      </c>
      <c r="M1121" s="105" t="str">
        <f>Equipamentos!BP593</f>
        <v>Unidade</v>
      </c>
      <c r="N1121" s="144">
        <f>Equipamentos!E593</f>
        <v>0</v>
      </c>
      <c r="O1121" s="105" t="s">
        <v>1263</v>
      </c>
      <c r="P1121" s="107">
        <v>24</v>
      </c>
      <c r="Q1121" s="65"/>
      <c r="R1121" s="65"/>
      <c r="S1121" s="110">
        <v>4450</v>
      </c>
      <c r="T1121" s="65"/>
      <c r="U1121" s="117">
        <f t="shared" si="821"/>
        <v>0</v>
      </c>
      <c r="V1121" s="65"/>
      <c r="W1121" s="202"/>
    </row>
    <row r="1122" spans="9:23" ht="12" hidden="1" customHeight="1" outlineLevel="1">
      <c r="I1122" s="65"/>
      <c r="J1122" s="143" t="str">
        <f>IF(Equipamentos!C594&gt;0,Equipamentos!C594,"")</f>
        <v>Cortadora de pisos e asfalto</v>
      </c>
      <c r="K1122" s="65"/>
      <c r="L1122" s="144">
        <f>Equipamentos!D594</f>
        <v>0</v>
      </c>
      <c r="M1122" s="105" t="str">
        <f>Equipamentos!BP594</f>
        <v>Unidade</v>
      </c>
      <c r="N1122" s="144">
        <f>Equipamentos!E594</f>
        <v>0</v>
      </c>
      <c r="O1122" s="105" t="s">
        <v>1263</v>
      </c>
      <c r="P1122" s="107">
        <v>24</v>
      </c>
      <c r="Q1122" s="65"/>
      <c r="R1122" s="65"/>
      <c r="S1122" s="110">
        <v>6700</v>
      </c>
      <c r="T1122" s="65"/>
      <c r="U1122" s="117">
        <f t="shared" si="821"/>
        <v>0</v>
      </c>
      <c r="V1122" s="65"/>
      <c r="W1122" s="202"/>
    </row>
    <row r="1123" spans="9:23" ht="12" hidden="1" customHeight="1" outlineLevel="1">
      <c r="I1123" s="65"/>
      <c r="J1123" s="143" t="str">
        <f>IF(Equipamentos!C595&gt;0,Equipamentos!C595,"")</f>
        <v>Fresadora politriz</v>
      </c>
      <c r="K1123" s="65"/>
      <c r="L1123" s="144">
        <f>Equipamentos!D595</f>
        <v>0</v>
      </c>
      <c r="M1123" s="105" t="str">
        <f>Equipamentos!BP595</f>
        <v>Unidade</v>
      </c>
      <c r="N1123" s="144">
        <f>Equipamentos!E595</f>
        <v>0</v>
      </c>
      <c r="O1123" s="105" t="s">
        <v>1263</v>
      </c>
      <c r="P1123" s="107">
        <v>24</v>
      </c>
      <c r="Q1123" s="65"/>
      <c r="R1123" s="65"/>
      <c r="S1123" s="110">
        <v>1700</v>
      </c>
      <c r="T1123" s="65"/>
      <c r="U1123" s="117">
        <f t="shared" si="821"/>
        <v>0</v>
      </c>
      <c r="V1123" s="65"/>
      <c r="W1123" s="202"/>
    </row>
    <row r="1124" spans="9:23" ht="12" hidden="1" customHeight="1" outlineLevel="1">
      <c r="I1124" s="65"/>
      <c r="J1124" s="143" t="str">
        <f>IF(Equipamentos!C596&gt;0,Equipamentos!C596,"")</f>
        <v>Martelo demolidor 10 kg</v>
      </c>
      <c r="K1124" s="65"/>
      <c r="L1124" s="144">
        <f>Equipamentos!D596</f>
        <v>0</v>
      </c>
      <c r="M1124" s="105" t="str">
        <f>Equipamentos!BP596</f>
        <v>Unidade</v>
      </c>
      <c r="N1124" s="144">
        <f>Equipamentos!E596</f>
        <v>0</v>
      </c>
      <c r="O1124" s="105" t="s">
        <v>1263</v>
      </c>
      <c r="P1124" s="107">
        <v>24</v>
      </c>
      <c r="Q1124" s="65"/>
      <c r="R1124" s="65"/>
      <c r="S1124" s="110">
        <v>3000</v>
      </c>
      <c r="T1124" s="65"/>
      <c r="U1124" s="117">
        <f t="shared" si="821"/>
        <v>0</v>
      </c>
      <c r="V1124" s="65"/>
      <c r="W1124" s="202"/>
    </row>
    <row r="1125" spans="9:23" ht="12" hidden="1" customHeight="1" outlineLevel="1">
      <c r="I1125" s="65"/>
      <c r="J1125" s="143" t="str">
        <f>IF(Equipamentos!C597&gt;0,Equipamentos!C597,"")</f>
        <v>Martelo demolidor 16 kg</v>
      </c>
      <c r="K1125" s="65"/>
      <c r="L1125" s="144">
        <f>Equipamentos!D597</f>
        <v>0</v>
      </c>
      <c r="M1125" s="105" t="str">
        <f>Equipamentos!BP597</f>
        <v>Unidade</v>
      </c>
      <c r="N1125" s="144">
        <f>Equipamentos!E597</f>
        <v>0</v>
      </c>
      <c r="O1125" s="105" t="s">
        <v>1263</v>
      </c>
      <c r="P1125" s="107">
        <v>24</v>
      </c>
      <c r="Q1125" s="65"/>
      <c r="R1125" s="65"/>
      <c r="S1125" s="110">
        <v>6700</v>
      </c>
      <c r="T1125" s="65"/>
      <c r="U1125" s="117">
        <f t="shared" si="821"/>
        <v>0</v>
      </c>
      <c r="V1125" s="65"/>
      <c r="W1125" s="202"/>
    </row>
    <row r="1126" spans="9:23" ht="12" hidden="1" customHeight="1" outlineLevel="1">
      <c r="I1126" s="65"/>
      <c r="J1126" s="143" t="str">
        <f>IF(Equipamentos!C598&gt;0,Equipamentos!C598,"")</f>
        <v>Martelo demolidor 30 kg</v>
      </c>
      <c r="K1126" s="65"/>
      <c r="L1126" s="144">
        <f>Equipamentos!D598</f>
        <v>0</v>
      </c>
      <c r="M1126" s="105" t="str">
        <f>Equipamentos!BP598</f>
        <v>Unidade</v>
      </c>
      <c r="N1126" s="144">
        <f>Equipamentos!E598</f>
        <v>0</v>
      </c>
      <c r="O1126" s="105" t="s">
        <v>1263</v>
      </c>
      <c r="P1126" s="107">
        <v>24</v>
      </c>
      <c r="Q1126" s="65"/>
      <c r="R1126" s="65"/>
      <c r="S1126" s="110">
        <v>12500</v>
      </c>
      <c r="T1126" s="65"/>
      <c r="U1126" s="117">
        <f t="shared" si="821"/>
        <v>0</v>
      </c>
      <c r="V1126" s="65"/>
      <c r="W1126" s="202"/>
    </row>
    <row r="1127" spans="9:23" ht="12" hidden="1" customHeight="1" outlineLevel="1">
      <c r="I1127" s="65"/>
      <c r="J1127" s="143" t="str">
        <f>IF(Equipamentos!C599&gt;0,Equipamentos!C599,"")</f>
        <v>Motoserra à gasolina</v>
      </c>
      <c r="K1127" s="65"/>
      <c r="L1127" s="144">
        <f>Equipamentos!D599</f>
        <v>0</v>
      </c>
      <c r="M1127" s="105" t="str">
        <f>Equipamentos!BP599</f>
        <v>Unidade</v>
      </c>
      <c r="N1127" s="144">
        <f>Equipamentos!E599</f>
        <v>0</v>
      </c>
      <c r="O1127" s="105" t="s">
        <v>1263</v>
      </c>
      <c r="P1127" s="107">
        <v>24</v>
      </c>
      <c r="Q1127" s="65"/>
      <c r="R1127" s="65"/>
      <c r="S1127" s="110">
        <v>940</v>
      </c>
      <c r="T1127" s="65"/>
      <c r="U1127" s="117">
        <f t="shared" si="821"/>
        <v>0</v>
      </c>
      <c r="V1127" s="65"/>
      <c r="W1127" s="202"/>
    </row>
    <row r="1128" spans="9:23" ht="12" hidden="1" customHeight="1" outlineLevel="1">
      <c r="I1128" s="65"/>
      <c r="J1128" s="143" t="str">
        <f>IF(Equipamentos!C600&gt;0,Equipamentos!C600,"")</f>
        <v>Placa vibratória à gasolina</v>
      </c>
      <c r="K1128" s="65"/>
      <c r="L1128" s="144">
        <f>Equipamentos!D600</f>
        <v>0</v>
      </c>
      <c r="M1128" s="105" t="str">
        <f>Equipamentos!BP600</f>
        <v>Unidade</v>
      </c>
      <c r="N1128" s="144">
        <f>Equipamentos!E600</f>
        <v>0</v>
      </c>
      <c r="O1128" s="105" t="s">
        <v>1263</v>
      </c>
      <c r="P1128" s="107">
        <v>24</v>
      </c>
      <c r="Q1128" s="65"/>
      <c r="R1128" s="65"/>
      <c r="S1128" s="110">
        <v>3800</v>
      </c>
      <c r="T1128" s="65"/>
      <c r="U1128" s="117">
        <f t="shared" si="821"/>
        <v>0</v>
      </c>
      <c r="V1128" s="65"/>
      <c r="W1128" s="202"/>
    </row>
    <row r="1129" spans="9:23" ht="12" hidden="1" customHeight="1" outlineLevel="1">
      <c r="I1129" s="65"/>
      <c r="J1129" s="143" t="str">
        <f>IF(Equipamentos!C601&gt;0,Equipamentos!C601,"")</f>
        <v>Plaina elétrica</v>
      </c>
      <c r="K1129" s="65"/>
      <c r="L1129" s="144">
        <f>Equipamentos!D601</f>
        <v>0</v>
      </c>
      <c r="M1129" s="105" t="str">
        <f>Equipamentos!BP601</f>
        <v>Unidade</v>
      </c>
      <c r="N1129" s="144">
        <f>Equipamentos!E601</f>
        <v>0</v>
      </c>
      <c r="O1129" s="105" t="s">
        <v>1263</v>
      </c>
      <c r="P1129" s="107">
        <v>24</v>
      </c>
      <c r="Q1129" s="65"/>
      <c r="R1129" s="65"/>
      <c r="S1129" s="110">
        <v>620</v>
      </c>
      <c r="T1129" s="65"/>
      <c r="U1129" s="117">
        <f t="shared" si="821"/>
        <v>0</v>
      </c>
      <c r="V1129" s="65"/>
      <c r="W1129" s="202"/>
    </row>
    <row r="1130" spans="9:23" ht="12" hidden="1" customHeight="1" outlineLevel="1">
      <c r="I1130" s="65"/>
      <c r="J1130" s="143" t="str">
        <f>IF(Equipamentos!C602&gt;0,Equipamentos!C602,"")</f>
        <v>Vibrador de concreto com mangote</v>
      </c>
      <c r="K1130" s="65"/>
      <c r="L1130" s="144">
        <f>Equipamentos!D602</f>
        <v>0</v>
      </c>
      <c r="M1130" s="105" t="str">
        <f>Equipamentos!BP602</f>
        <v>Unidade</v>
      </c>
      <c r="N1130" s="144">
        <f>Equipamentos!E602</f>
        <v>0</v>
      </c>
      <c r="O1130" s="105" t="s">
        <v>1263</v>
      </c>
      <c r="P1130" s="107">
        <v>24</v>
      </c>
      <c r="Q1130" s="65"/>
      <c r="R1130" s="65"/>
      <c r="S1130" s="110">
        <v>2100</v>
      </c>
      <c r="T1130" s="65"/>
      <c r="U1130" s="117">
        <f t="shared" si="821"/>
        <v>0</v>
      </c>
      <c r="V1130" s="65"/>
      <c r="W1130" s="202"/>
    </row>
    <row r="1131" spans="9:23" ht="12" hidden="1" customHeight="1" outlineLevel="1">
      <c r="I1131" s="65"/>
      <c r="J1131" s="143" t="str">
        <f>IF(Equipamentos!C603&gt;0,Equipamentos!C603,"")</f>
        <v>Megger</v>
      </c>
      <c r="K1131" s="65"/>
      <c r="L1131" s="144">
        <f>Equipamentos!D603</f>
        <v>0</v>
      </c>
      <c r="M1131" s="105" t="str">
        <f>Equipamentos!BP603</f>
        <v>Unidade</v>
      </c>
      <c r="N1131" s="144">
        <f>Equipamentos!E603</f>
        <v>0</v>
      </c>
      <c r="O1131" s="105" t="s">
        <v>1263</v>
      </c>
      <c r="P1131" s="107">
        <v>24</v>
      </c>
      <c r="Q1131" s="65"/>
      <c r="R1131" s="65"/>
      <c r="S1131" s="110">
        <f>30705*1.35</f>
        <v>41451.75</v>
      </c>
      <c r="T1131" s="65"/>
      <c r="U1131" s="117">
        <f t="shared" si="821"/>
        <v>0</v>
      </c>
      <c r="V1131" s="65"/>
      <c r="W1131" s="202"/>
    </row>
    <row r="1132" spans="9:23" ht="12" hidden="1" customHeight="1" outlineLevel="1">
      <c r="I1132" s="65"/>
      <c r="J1132" s="143" t="str">
        <f>IF(Equipamentos!C604&gt;0,Equipamentos!C604,"")</f>
        <v>Jateadora de gelo seco</v>
      </c>
      <c r="K1132" s="65"/>
      <c r="L1132" s="144">
        <f>Equipamentos!D604</f>
        <v>0</v>
      </c>
      <c r="M1132" s="105" t="str">
        <f>Equipamentos!BP604</f>
        <v>Unidade</v>
      </c>
      <c r="N1132" s="144">
        <f>Equipamentos!E604</f>
        <v>0</v>
      </c>
      <c r="O1132" s="105" t="s">
        <v>1263</v>
      </c>
      <c r="P1132" s="107">
        <v>24</v>
      </c>
      <c r="Q1132" s="65"/>
      <c r="R1132" s="65"/>
      <c r="S1132" s="110">
        <v>29500</v>
      </c>
      <c r="T1132" s="65"/>
      <c r="U1132" s="117">
        <f t="shared" si="821"/>
        <v>0</v>
      </c>
      <c r="V1132" s="65"/>
      <c r="W1132" s="202"/>
    </row>
    <row r="1133" spans="9:23" ht="12" hidden="1" customHeight="1" outlineLevel="1">
      <c r="I1133" s="65"/>
      <c r="J1133" s="143" t="str">
        <f>IF(Equipamentos!C605&gt;0,Equipamentos!C605,"")</f>
        <v>Freezer para armazenamento de gelo seco</v>
      </c>
      <c r="K1133" s="65"/>
      <c r="L1133" s="144">
        <f>Equipamentos!D605</f>
        <v>0</v>
      </c>
      <c r="M1133" s="105" t="str">
        <f>Equipamentos!BP605</f>
        <v>Unidade</v>
      </c>
      <c r="N1133" s="144">
        <f>Equipamentos!E605</f>
        <v>0</v>
      </c>
      <c r="O1133" s="105" t="s">
        <v>1263</v>
      </c>
      <c r="P1133" s="107">
        <v>24</v>
      </c>
      <c r="Q1133" s="65"/>
      <c r="R1133" s="65"/>
      <c r="S1133" s="110">
        <v>4000</v>
      </c>
      <c r="T1133" s="65"/>
      <c r="U1133" s="117">
        <f t="shared" si="821"/>
        <v>0</v>
      </c>
      <c r="V1133" s="65"/>
      <c r="W1133" s="202"/>
    </row>
    <row r="1134" spans="9:23" ht="12" hidden="1" customHeight="1" outlineLevel="1">
      <c r="I1134" s="65"/>
      <c r="J1134" s="143" t="str">
        <f>IF(Equipamentos!C606&gt;0,Equipamentos!C606,"")</f>
        <v>Videoscopio</v>
      </c>
      <c r="K1134" s="65"/>
      <c r="L1134" s="144">
        <f>Equipamentos!D606</f>
        <v>0</v>
      </c>
      <c r="M1134" s="105" t="str">
        <f>Equipamentos!BP606</f>
        <v>Unidade</v>
      </c>
      <c r="N1134" s="144">
        <f>Equipamentos!E606</f>
        <v>0</v>
      </c>
      <c r="O1134" s="105" t="s">
        <v>1263</v>
      </c>
      <c r="P1134" s="107">
        <v>24</v>
      </c>
      <c r="Q1134" s="65"/>
      <c r="R1134" s="65"/>
      <c r="S1134" s="110">
        <v>53000</v>
      </c>
      <c r="T1134" s="65"/>
      <c r="U1134" s="117">
        <f t="shared" si="821"/>
        <v>0</v>
      </c>
      <c r="V1134" s="65"/>
      <c r="W1134" s="202"/>
    </row>
    <row r="1135" spans="9:23" ht="12" hidden="1" customHeight="1" outlineLevel="1">
      <c r="I1135" s="65"/>
      <c r="J1135" s="143" t="str">
        <f>IF(Equipamentos!C607&gt;0,Equipamentos!C607,"")</f>
        <v>Robo para limpeza de dutos</v>
      </c>
      <c r="K1135" s="65"/>
      <c r="L1135" s="144">
        <f>Equipamentos!D607</f>
        <v>0</v>
      </c>
      <c r="M1135" s="105" t="str">
        <f>Equipamentos!BP607</f>
        <v>Unidade</v>
      </c>
      <c r="N1135" s="144">
        <f>Equipamentos!E607</f>
        <v>0</v>
      </c>
      <c r="O1135" s="105" t="s">
        <v>1263</v>
      </c>
      <c r="P1135" s="107">
        <v>24</v>
      </c>
      <c r="Q1135" s="65"/>
      <c r="R1135" s="65"/>
      <c r="S1135" s="110">
        <v>30000</v>
      </c>
      <c r="T1135" s="65"/>
      <c r="U1135" s="117">
        <f t="shared" si="821"/>
        <v>0</v>
      </c>
      <c r="V1135" s="65"/>
      <c r="W1135" s="202"/>
    </row>
    <row r="1136" spans="9:23" ht="12" hidden="1" customHeight="1" outlineLevel="1">
      <c r="I1136" s="65"/>
      <c r="J1136" s="143" t="str">
        <f>IF(Equipamentos!C608&gt;0,Equipamentos!C608,"")</f>
        <v>Testador de Rigidez Dielétrica</v>
      </c>
      <c r="K1136" s="65"/>
      <c r="L1136" s="144">
        <f>Equipamentos!D608</f>
        <v>0</v>
      </c>
      <c r="M1136" s="105" t="str">
        <f>Equipamentos!BP608</f>
        <v>Unidade</v>
      </c>
      <c r="N1136" s="144">
        <f>Equipamentos!E608</f>
        <v>0</v>
      </c>
      <c r="O1136" s="105" t="s">
        <v>1263</v>
      </c>
      <c r="P1136" s="107">
        <v>24</v>
      </c>
      <c r="Q1136" s="65"/>
      <c r="R1136" s="65"/>
      <c r="S1136" s="110">
        <v>33000</v>
      </c>
      <c r="T1136" s="65"/>
      <c r="U1136" s="117">
        <f t="shared" si="821"/>
        <v>0</v>
      </c>
      <c r="V1136" s="65"/>
      <c r="W1136" s="202"/>
    </row>
    <row r="1137" spans="9:23" ht="12" hidden="1" customHeight="1" outlineLevel="1">
      <c r="I1137" s="65"/>
      <c r="J1137" s="143" t="str">
        <f>IF(Equipamentos!C609&gt;0,Equipamentos!C609,"")</f>
        <v>Medidor de relação de espiras TTR</v>
      </c>
      <c r="K1137" s="65"/>
      <c r="L1137" s="144">
        <f>Equipamentos!D609</f>
        <v>0</v>
      </c>
      <c r="M1137" s="105" t="str">
        <f>Equipamentos!BP609</f>
        <v>Unidade</v>
      </c>
      <c r="N1137" s="144">
        <f>Equipamentos!E609</f>
        <v>0</v>
      </c>
      <c r="O1137" s="105" t="s">
        <v>1263</v>
      </c>
      <c r="P1137" s="107">
        <v>24</v>
      </c>
      <c r="Q1137" s="65"/>
      <c r="R1137" s="65"/>
      <c r="S1137" s="110">
        <v>18800</v>
      </c>
      <c r="T1137" s="65"/>
      <c r="U1137" s="117">
        <f t="shared" si="821"/>
        <v>0</v>
      </c>
      <c r="V1137" s="65"/>
      <c r="W1137" s="202"/>
    </row>
    <row r="1138" spans="9:23" ht="12" hidden="1" customHeight="1" outlineLevel="1">
      <c r="I1138" s="65"/>
      <c r="J1138" s="143" t="str">
        <f>IF(Equipamentos!C610&gt;0,Equipamentos!C610,"")</f>
        <v/>
      </c>
      <c r="K1138" s="65"/>
      <c r="L1138" s="144">
        <f>Equipamentos!D610</f>
        <v>0</v>
      </c>
      <c r="M1138" s="105">
        <f>Equipamentos!BP610</f>
        <v>0</v>
      </c>
      <c r="N1138" s="144">
        <f>Equipamentos!E610</f>
        <v>0</v>
      </c>
      <c r="O1138" s="105" t="s">
        <v>1263</v>
      </c>
      <c r="P1138" s="107">
        <v>24</v>
      </c>
      <c r="Q1138" s="65"/>
      <c r="R1138" s="65"/>
      <c r="S1138" s="110"/>
      <c r="T1138" s="65"/>
      <c r="U1138" s="117">
        <f t="shared" si="821"/>
        <v>0</v>
      </c>
      <c r="V1138" s="65"/>
      <c r="W1138" s="202"/>
    </row>
    <row r="1139" spans="9:23" ht="12" hidden="1" customHeight="1" outlineLevel="1">
      <c r="I1139" s="65"/>
      <c r="J1139" s="143" t="str">
        <f>IF(Equipamentos!C611&gt;0,Equipamentos!C611,"")</f>
        <v/>
      </c>
      <c r="K1139" s="65"/>
      <c r="L1139" s="144">
        <f>Equipamentos!D611</f>
        <v>0</v>
      </c>
      <c r="M1139" s="105">
        <f>Equipamentos!BP611</f>
        <v>0</v>
      </c>
      <c r="N1139" s="144">
        <f>Equipamentos!E611</f>
        <v>0</v>
      </c>
      <c r="O1139" s="105" t="s">
        <v>1263</v>
      </c>
      <c r="P1139" s="107">
        <v>24</v>
      </c>
      <c r="Q1139" s="65"/>
      <c r="R1139" s="65"/>
      <c r="S1139" s="110"/>
      <c r="T1139" s="65"/>
      <c r="U1139" s="117">
        <f t="shared" si="821"/>
        <v>0</v>
      </c>
      <c r="V1139" s="65"/>
      <c r="W1139" s="202"/>
    </row>
    <row r="1140" spans="9:23" ht="12" hidden="1" customHeight="1" outlineLevel="1">
      <c r="I1140" s="65"/>
      <c r="J1140" s="143" t="str">
        <f>IF(Equipamentos!C612&gt;0,Equipamentos!C612,"")</f>
        <v/>
      </c>
      <c r="K1140" s="65"/>
      <c r="L1140" s="144">
        <f>Equipamentos!D612</f>
        <v>0</v>
      </c>
      <c r="M1140" s="105">
        <f>Equipamentos!BP612</f>
        <v>0</v>
      </c>
      <c r="N1140" s="144">
        <f>Equipamentos!E612</f>
        <v>0</v>
      </c>
      <c r="O1140" s="105" t="s">
        <v>1263</v>
      </c>
      <c r="P1140" s="107">
        <v>24</v>
      </c>
      <c r="Q1140" s="65"/>
      <c r="R1140" s="65"/>
      <c r="S1140" s="110"/>
      <c r="T1140" s="65"/>
      <c r="U1140" s="117">
        <f t="shared" si="821"/>
        <v>0</v>
      </c>
      <c r="V1140" s="65"/>
      <c r="W1140" s="202"/>
    </row>
    <row r="1141" spans="9:23" ht="12" hidden="1" customHeight="1" outlineLevel="1">
      <c r="I1141" s="65"/>
      <c r="J1141" s="143" t="str">
        <f>IF(Equipamentos!C613&gt;0,Equipamentos!C613,"")</f>
        <v/>
      </c>
      <c r="K1141" s="65"/>
      <c r="L1141" s="144">
        <f>Equipamentos!D613</f>
        <v>0</v>
      </c>
      <c r="M1141" s="105">
        <f>Equipamentos!BP613</f>
        <v>0</v>
      </c>
      <c r="N1141" s="144">
        <f>Equipamentos!E613</f>
        <v>0</v>
      </c>
      <c r="O1141" s="105" t="s">
        <v>1263</v>
      </c>
      <c r="P1141" s="107">
        <v>24</v>
      </c>
      <c r="Q1141" s="65"/>
      <c r="R1141" s="65"/>
      <c r="S1141" s="110"/>
      <c r="T1141" s="65"/>
      <c r="U1141" s="117">
        <f t="shared" si="821"/>
        <v>0</v>
      </c>
      <c r="V1141" s="65"/>
      <c r="W1141" s="202"/>
    </row>
    <row r="1142" spans="9:23" ht="12" hidden="1" customHeight="1" outlineLevel="1">
      <c r="I1142" s="65"/>
      <c r="J1142" s="143" t="str">
        <f>IF(Equipamentos!C614&gt;0,Equipamentos!C614,"")</f>
        <v/>
      </c>
      <c r="K1142" s="65"/>
      <c r="L1142" s="144">
        <f>Equipamentos!D614</f>
        <v>0</v>
      </c>
      <c r="M1142" s="105">
        <f>Equipamentos!BP614</f>
        <v>0</v>
      </c>
      <c r="N1142" s="144">
        <f>Equipamentos!E614</f>
        <v>0</v>
      </c>
      <c r="O1142" s="105" t="s">
        <v>1263</v>
      </c>
      <c r="P1142" s="107">
        <v>24</v>
      </c>
      <c r="Q1142" s="65"/>
      <c r="R1142" s="65"/>
      <c r="S1142" s="110"/>
      <c r="T1142" s="65"/>
      <c r="U1142" s="117">
        <f t="shared" si="821"/>
        <v>0</v>
      </c>
      <c r="V1142" s="65"/>
      <c r="W1142" s="202"/>
    </row>
    <row r="1143" spans="9:23" ht="12" hidden="1" customHeight="1" outlineLevel="1">
      <c r="I1143" s="65"/>
      <c r="J1143" s="143" t="str">
        <f>IF(Equipamentos!C615&gt;0,Equipamentos!C615,"")</f>
        <v/>
      </c>
      <c r="K1143" s="65"/>
      <c r="L1143" s="144">
        <f>Equipamentos!D615</f>
        <v>0</v>
      </c>
      <c r="M1143" s="105">
        <f>Equipamentos!BP615</f>
        <v>0</v>
      </c>
      <c r="N1143" s="144">
        <f>Equipamentos!E615</f>
        <v>0</v>
      </c>
      <c r="O1143" s="105" t="s">
        <v>1263</v>
      </c>
      <c r="P1143" s="107">
        <v>24</v>
      </c>
      <c r="Q1143" s="65"/>
      <c r="R1143" s="65"/>
      <c r="S1143" s="110"/>
      <c r="T1143" s="65"/>
      <c r="U1143" s="117">
        <f t="shared" si="821"/>
        <v>0</v>
      </c>
      <c r="V1143" s="65"/>
      <c r="W1143" s="202"/>
    </row>
    <row r="1144" spans="9:23" ht="12" hidden="1" customHeight="1" outlineLevel="1">
      <c r="I1144" s="65"/>
      <c r="J1144" s="143" t="str">
        <f>IF(Equipamentos!C616&gt;0,Equipamentos!C616,"")</f>
        <v/>
      </c>
      <c r="K1144" s="65"/>
      <c r="L1144" s="144">
        <f>Equipamentos!D616</f>
        <v>0</v>
      </c>
      <c r="M1144" s="105">
        <f>Equipamentos!BP616</f>
        <v>0</v>
      </c>
      <c r="N1144" s="144">
        <f>Equipamentos!E616</f>
        <v>0</v>
      </c>
      <c r="O1144" s="105" t="s">
        <v>1263</v>
      </c>
      <c r="P1144" s="107">
        <v>24</v>
      </c>
      <c r="Q1144" s="65"/>
      <c r="R1144" s="65"/>
      <c r="S1144" s="110"/>
      <c r="T1144" s="65"/>
      <c r="U1144" s="117">
        <f t="shared" si="821"/>
        <v>0</v>
      </c>
      <c r="V1144" s="65"/>
      <c r="W1144" s="202"/>
    </row>
    <row r="1145" spans="9:23" ht="12" hidden="1" customHeight="1" outlineLevel="1">
      <c r="I1145" s="65"/>
      <c r="J1145" s="143" t="str">
        <f>IF(Equipamentos!C617&gt;0,Equipamentos!C617,"")</f>
        <v/>
      </c>
      <c r="K1145" s="65"/>
      <c r="L1145" s="144">
        <f>Equipamentos!D617</f>
        <v>0</v>
      </c>
      <c r="M1145" s="105">
        <f>Equipamentos!BP617</f>
        <v>0</v>
      </c>
      <c r="N1145" s="144">
        <f>Equipamentos!E617</f>
        <v>0</v>
      </c>
      <c r="O1145" s="105" t="s">
        <v>1263</v>
      </c>
      <c r="P1145" s="107">
        <v>24</v>
      </c>
      <c r="Q1145" s="65"/>
      <c r="R1145" s="65"/>
      <c r="S1145" s="110"/>
      <c r="T1145" s="65"/>
      <c r="U1145" s="117">
        <f t="shared" si="821"/>
        <v>0</v>
      </c>
      <c r="V1145" s="65"/>
      <c r="W1145" s="202"/>
    </row>
    <row r="1146" spans="9:23" ht="12" hidden="1" customHeight="1" outlineLevel="1">
      <c r="I1146" s="65"/>
      <c r="J1146" s="143" t="str">
        <f>IF(Equipamentos!C618&gt;0,Equipamentos!C618,"")</f>
        <v/>
      </c>
      <c r="K1146" s="65"/>
      <c r="L1146" s="144">
        <f>Equipamentos!D618</f>
        <v>0</v>
      </c>
      <c r="M1146" s="105">
        <f>Equipamentos!BP618</f>
        <v>0</v>
      </c>
      <c r="N1146" s="144">
        <f>Equipamentos!E618</f>
        <v>0</v>
      </c>
      <c r="O1146" s="105" t="s">
        <v>1263</v>
      </c>
      <c r="P1146" s="107">
        <v>24</v>
      </c>
      <c r="Q1146" s="65"/>
      <c r="R1146" s="65"/>
      <c r="S1146" s="110"/>
      <c r="T1146" s="65"/>
      <c r="U1146" s="117">
        <f t="shared" si="821"/>
        <v>0</v>
      </c>
      <c r="V1146" s="65"/>
      <c r="W1146" s="202"/>
    </row>
    <row r="1147" spans="9:23" ht="12" hidden="1" customHeight="1" outlineLevel="1">
      <c r="I1147" s="65"/>
      <c r="J1147" s="143" t="str">
        <f>IF(Equipamentos!C619&gt;0,Equipamentos!C619,"")</f>
        <v/>
      </c>
      <c r="K1147" s="65"/>
      <c r="L1147" s="144">
        <f>Equipamentos!D619</f>
        <v>0</v>
      </c>
      <c r="M1147" s="105">
        <f>Equipamentos!BP619</f>
        <v>0</v>
      </c>
      <c r="N1147" s="144">
        <f>Equipamentos!E619</f>
        <v>0</v>
      </c>
      <c r="O1147" s="105" t="s">
        <v>1263</v>
      </c>
      <c r="P1147" s="107">
        <v>24</v>
      </c>
      <c r="Q1147" s="65"/>
      <c r="R1147" s="65"/>
      <c r="S1147" s="110"/>
      <c r="T1147" s="65"/>
      <c r="U1147" s="117">
        <f t="shared" si="821"/>
        <v>0</v>
      </c>
      <c r="V1147" s="65"/>
      <c r="W1147" s="202"/>
    </row>
    <row r="1148" spans="9:23" ht="12" hidden="1" customHeight="1" outlineLevel="1">
      <c r="I1148" s="65"/>
      <c r="J1148" s="143" t="str">
        <f>IF(Equipamentos!C620&gt;0,Equipamentos!C620,"")</f>
        <v/>
      </c>
      <c r="K1148" s="65"/>
      <c r="L1148" s="144">
        <f>Equipamentos!D620</f>
        <v>0</v>
      </c>
      <c r="M1148" s="105">
        <f>Equipamentos!BP620</f>
        <v>0</v>
      </c>
      <c r="N1148" s="144">
        <f>Equipamentos!E620</f>
        <v>0</v>
      </c>
      <c r="O1148" s="105" t="s">
        <v>1263</v>
      </c>
      <c r="P1148" s="107">
        <v>24</v>
      </c>
      <c r="Q1148" s="65"/>
      <c r="R1148" s="65"/>
      <c r="S1148" s="110"/>
      <c r="T1148" s="65"/>
      <c r="U1148" s="117">
        <f t="shared" si="821"/>
        <v>0</v>
      </c>
      <c r="V1148" s="65"/>
      <c r="W1148" s="202"/>
    </row>
    <row r="1149" spans="9:23" ht="12" hidden="1" customHeight="1" outlineLevel="1">
      <c r="I1149" s="65"/>
      <c r="J1149" s="143" t="str">
        <f>IF(Equipamentos!C621&gt;0,Equipamentos!C621,"")</f>
        <v/>
      </c>
      <c r="K1149" s="65"/>
      <c r="L1149" s="144">
        <f>Equipamentos!D621</f>
        <v>0</v>
      </c>
      <c r="M1149" s="105">
        <f>Equipamentos!BP621</f>
        <v>0</v>
      </c>
      <c r="N1149" s="144">
        <f>Equipamentos!E621</f>
        <v>0</v>
      </c>
      <c r="O1149" s="105" t="s">
        <v>1263</v>
      </c>
      <c r="P1149" s="107">
        <v>24</v>
      </c>
      <c r="Q1149" s="65"/>
      <c r="R1149" s="65"/>
      <c r="S1149" s="110"/>
      <c r="T1149" s="65"/>
      <c r="U1149" s="117">
        <f t="shared" si="821"/>
        <v>0</v>
      </c>
      <c r="V1149" s="65"/>
      <c r="W1149" s="202"/>
    </row>
    <row r="1150" spans="9:23" ht="12" hidden="1" customHeight="1" outlineLevel="1">
      <c r="I1150" s="65"/>
      <c r="J1150" s="143" t="str">
        <f>IF(Equipamentos!C622&gt;0,Equipamentos!C622,"")</f>
        <v/>
      </c>
      <c r="K1150" s="65"/>
      <c r="L1150" s="144">
        <f>Equipamentos!D622</f>
        <v>0</v>
      </c>
      <c r="M1150" s="105">
        <f>Equipamentos!BP622</f>
        <v>0</v>
      </c>
      <c r="N1150" s="144">
        <f>Equipamentos!E622</f>
        <v>0</v>
      </c>
      <c r="O1150" s="105" t="s">
        <v>1263</v>
      </c>
      <c r="P1150" s="107">
        <v>24</v>
      </c>
      <c r="Q1150" s="65"/>
      <c r="R1150" s="65"/>
      <c r="S1150" s="110"/>
      <c r="T1150" s="65"/>
      <c r="U1150" s="117">
        <f t="shared" si="821"/>
        <v>0</v>
      </c>
      <c r="V1150" s="65"/>
      <c r="W1150" s="202"/>
    </row>
    <row r="1151" spans="9:23" ht="12" hidden="1" customHeight="1" outlineLevel="1">
      <c r="I1151" s="65"/>
      <c r="J1151" s="143" t="str">
        <f>IF(Equipamentos!C623&gt;0,Equipamentos!C623,"")</f>
        <v/>
      </c>
      <c r="K1151" s="65"/>
      <c r="L1151" s="144">
        <f>Equipamentos!D623</f>
        <v>0</v>
      </c>
      <c r="M1151" s="105">
        <f>Equipamentos!BP623</f>
        <v>0</v>
      </c>
      <c r="N1151" s="144">
        <f>Equipamentos!E623</f>
        <v>0</v>
      </c>
      <c r="O1151" s="105" t="s">
        <v>1263</v>
      </c>
      <c r="P1151" s="107">
        <v>24</v>
      </c>
      <c r="Q1151" s="65"/>
      <c r="R1151" s="65"/>
      <c r="S1151" s="110"/>
      <c r="T1151" s="65"/>
      <c r="U1151" s="117">
        <f t="shared" si="821"/>
        <v>0</v>
      </c>
      <c r="V1151" s="65"/>
      <c r="W1151" s="202"/>
    </row>
    <row r="1152" spans="9:23" ht="12" hidden="1" customHeight="1" outlineLevel="1">
      <c r="I1152" s="65"/>
      <c r="J1152" s="143" t="str">
        <f>IF(Equipamentos!C624&gt;0,Equipamentos!C624,"")</f>
        <v/>
      </c>
      <c r="K1152" s="65"/>
      <c r="L1152" s="144">
        <f>Equipamentos!D624</f>
        <v>0</v>
      </c>
      <c r="M1152" s="105">
        <f>Equipamentos!BP624</f>
        <v>0</v>
      </c>
      <c r="N1152" s="144">
        <f>Equipamentos!E624</f>
        <v>0</v>
      </c>
      <c r="O1152" s="105" t="s">
        <v>1263</v>
      </c>
      <c r="P1152" s="107">
        <v>24</v>
      </c>
      <c r="Q1152" s="65"/>
      <c r="R1152" s="65"/>
      <c r="S1152" s="110"/>
      <c r="T1152" s="65"/>
      <c r="U1152" s="117">
        <f t="shared" si="821"/>
        <v>0</v>
      </c>
      <c r="V1152" s="65"/>
      <c r="W1152" s="202"/>
    </row>
    <row r="1153" spans="9:23" ht="12" hidden="1" customHeight="1" outlineLevel="1">
      <c r="I1153" s="65"/>
      <c r="J1153" s="143" t="str">
        <f>IF(Equipamentos!C625&gt;0,Equipamentos!C625,"")</f>
        <v/>
      </c>
      <c r="K1153" s="65"/>
      <c r="L1153" s="144">
        <f>Equipamentos!D625</f>
        <v>0</v>
      </c>
      <c r="M1153" s="105">
        <f>Equipamentos!BP625</f>
        <v>0</v>
      </c>
      <c r="N1153" s="144">
        <f>Equipamentos!E625</f>
        <v>0</v>
      </c>
      <c r="O1153" s="105" t="s">
        <v>1263</v>
      </c>
      <c r="P1153" s="107">
        <v>24</v>
      </c>
      <c r="Q1153" s="65"/>
      <c r="R1153" s="65"/>
      <c r="S1153" s="110"/>
      <c r="T1153" s="65"/>
      <c r="U1153" s="117">
        <f t="shared" si="821"/>
        <v>0</v>
      </c>
      <c r="V1153" s="65"/>
      <c r="W1153" s="202"/>
    </row>
    <row r="1154" spans="9:23" ht="12" hidden="1" customHeight="1" outlineLevel="1">
      <c r="I1154" s="65"/>
      <c r="J1154" s="143" t="str">
        <f>IF(Equipamentos!C626&gt;0,Equipamentos!C626,"")</f>
        <v/>
      </c>
      <c r="K1154" s="65"/>
      <c r="L1154" s="144">
        <f>Equipamentos!D626</f>
        <v>0</v>
      </c>
      <c r="M1154" s="105">
        <f>Equipamentos!BP626</f>
        <v>0</v>
      </c>
      <c r="N1154" s="144">
        <f>Equipamentos!E626</f>
        <v>0</v>
      </c>
      <c r="O1154" s="105" t="s">
        <v>1263</v>
      </c>
      <c r="P1154" s="107">
        <v>24</v>
      </c>
      <c r="Q1154" s="65"/>
      <c r="R1154" s="65"/>
      <c r="S1154" s="110"/>
      <c r="T1154" s="65"/>
      <c r="U1154" s="117">
        <f t="shared" si="821"/>
        <v>0</v>
      </c>
      <c r="V1154" s="65"/>
      <c r="W1154" s="202"/>
    </row>
    <row r="1155" spans="9:23" ht="12" hidden="1" customHeight="1" outlineLevel="1">
      <c r="I1155" s="65"/>
      <c r="J1155" s="143" t="str">
        <f>IF(Equipamentos!C627&gt;0,Equipamentos!C627,"")</f>
        <v/>
      </c>
      <c r="K1155" s="65"/>
      <c r="L1155" s="144">
        <f>Equipamentos!D627</f>
        <v>0</v>
      </c>
      <c r="M1155" s="105">
        <f>Equipamentos!BP627</f>
        <v>0</v>
      </c>
      <c r="N1155" s="144">
        <f>Equipamentos!E627</f>
        <v>0</v>
      </c>
      <c r="O1155" s="105" t="s">
        <v>1263</v>
      </c>
      <c r="P1155" s="107">
        <v>24</v>
      </c>
      <c r="Q1155" s="65"/>
      <c r="R1155" s="65"/>
      <c r="S1155" s="110"/>
      <c r="T1155" s="65"/>
      <c r="U1155" s="117">
        <f t="shared" ref="U1155:U1163" si="822">IFERROR(L1155*N1155*(S1155/P1155),0)</f>
        <v>0</v>
      </c>
      <c r="V1155" s="65"/>
      <c r="W1155" s="202"/>
    </row>
    <row r="1156" spans="9:23" ht="12" hidden="1" customHeight="1" outlineLevel="1">
      <c r="I1156" s="65"/>
      <c r="J1156" s="143" t="str">
        <f>IF(Equipamentos!C628&gt;0,Equipamentos!C628,"")</f>
        <v/>
      </c>
      <c r="K1156" s="65"/>
      <c r="L1156" s="144">
        <f>Equipamentos!D628</f>
        <v>0</v>
      </c>
      <c r="M1156" s="105">
        <f>Equipamentos!BP628</f>
        <v>0</v>
      </c>
      <c r="N1156" s="144">
        <f>Equipamentos!E628</f>
        <v>0</v>
      </c>
      <c r="O1156" s="105" t="s">
        <v>1263</v>
      </c>
      <c r="P1156" s="107">
        <v>24</v>
      </c>
      <c r="Q1156" s="65"/>
      <c r="R1156" s="65"/>
      <c r="S1156" s="110"/>
      <c r="T1156" s="65"/>
      <c r="U1156" s="117">
        <f t="shared" si="822"/>
        <v>0</v>
      </c>
      <c r="V1156" s="65"/>
      <c r="W1156" s="202"/>
    </row>
    <row r="1157" spans="9:23" ht="12" hidden="1" customHeight="1" outlineLevel="1">
      <c r="I1157" s="65"/>
      <c r="J1157" s="143" t="str">
        <f>IF(Equipamentos!C629&gt;0,Equipamentos!C629,"")</f>
        <v/>
      </c>
      <c r="K1157" s="65"/>
      <c r="L1157" s="144">
        <f>Equipamentos!D629</f>
        <v>0</v>
      </c>
      <c r="M1157" s="105">
        <f>Equipamentos!BP629</f>
        <v>0</v>
      </c>
      <c r="N1157" s="144">
        <f>Equipamentos!E629</f>
        <v>0</v>
      </c>
      <c r="O1157" s="105" t="s">
        <v>1263</v>
      </c>
      <c r="P1157" s="107">
        <v>24</v>
      </c>
      <c r="Q1157" s="65"/>
      <c r="R1157" s="65"/>
      <c r="S1157" s="110"/>
      <c r="T1157" s="65"/>
      <c r="U1157" s="117">
        <f t="shared" si="822"/>
        <v>0</v>
      </c>
      <c r="V1157" s="65"/>
      <c r="W1157" s="202"/>
    </row>
    <row r="1158" spans="9:23" ht="12" hidden="1" customHeight="1" outlineLevel="1">
      <c r="I1158" s="65"/>
      <c r="J1158" s="143" t="str">
        <f>IF(Equipamentos!C630&gt;0,Equipamentos!C630,"")</f>
        <v/>
      </c>
      <c r="K1158" s="65"/>
      <c r="L1158" s="144">
        <f>Equipamentos!D630</f>
        <v>0</v>
      </c>
      <c r="M1158" s="105">
        <f>Equipamentos!BP630</f>
        <v>0</v>
      </c>
      <c r="N1158" s="144">
        <f>Equipamentos!E630</f>
        <v>0</v>
      </c>
      <c r="O1158" s="105" t="s">
        <v>1263</v>
      </c>
      <c r="P1158" s="107">
        <v>24</v>
      </c>
      <c r="Q1158" s="65"/>
      <c r="R1158" s="65"/>
      <c r="S1158" s="110"/>
      <c r="T1158" s="65"/>
      <c r="U1158" s="117">
        <f t="shared" si="822"/>
        <v>0</v>
      </c>
      <c r="V1158" s="65"/>
      <c r="W1158" s="202"/>
    </row>
    <row r="1159" spans="9:23" ht="12" hidden="1" customHeight="1" outlineLevel="1">
      <c r="I1159" s="65"/>
      <c r="J1159" s="143" t="str">
        <f>IF(Equipamentos!C631&gt;0,Equipamentos!C631,"")</f>
        <v/>
      </c>
      <c r="K1159" s="65"/>
      <c r="L1159" s="144">
        <f>Equipamentos!D631</f>
        <v>0</v>
      </c>
      <c r="M1159" s="105">
        <f>Equipamentos!BP631</f>
        <v>0</v>
      </c>
      <c r="N1159" s="144">
        <f>Equipamentos!E631</f>
        <v>0</v>
      </c>
      <c r="O1159" s="105" t="s">
        <v>1263</v>
      </c>
      <c r="P1159" s="107">
        <v>24</v>
      </c>
      <c r="Q1159" s="65"/>
      <c r="R1159" s="65"/>
      <c r="S1159" s="110"/>
      <c r="T1159" s="65"/>
      <c r="U1159" s="117">
        <f t="shared" si="822"/>
        <v>0</v>
      </c>
      <c r="V1159" s="65"/>
      <c r="W1159" s="202"/>
    </row>
    <row r="1160" spans="9:23" ht="12" hidden="1" customHeight="1" outlineLevel="1">
      <c r="I1160" s="65"/>
      <c r="J1160" s="143" t="str">
        <f>IF(Equipamentos!C632&gt;0,Equipamentos!C632,"")</f>
        <v/>
      </c>
      <c r="K1160" s="65"/>
      <c r="L1160" s="144">
        <f>Equipamentos!D632</f>
        <v>0</v>
      </c>
      <c r="M1160" s="105">
        <f>Equipamentos!BP632</f>
        <v>0</v>
      </c>
      <c r="N1160" s="144">
        <f>Equipamentos!E632</f>
        <v>0</v>
      </c>
      <c r="O1160" s="105" t="s">
        <v>1263</v>
      </c>
      <c r="P1160" s="107">
        <v>24</v>
      </c>
      <c r="Q1160" s="65"/>
      <c r="R1160" s="65"/>
      <c r="S1160" s="110"/>
      <c r="T1160" s="65"/>
      <c r="U1160" s="117">
        <f t="shared" si="822"/>
        <v>0</v>
      </c>
      <c r="V1160" s="65"/>
      <c r="W1160" s="202"/>
    </row>
    <row r="1161" spans="9:23" ht="12" hidden="1" customHeight="1" outlineLevel="1">
      <c r="I1161" s="65"/>
      <c r="J1161" s="143" t="str">
        <f>IF(Equipamentos!C633&gt;0,Equipamentos!C633,"")</f>
        <v/>
      </c>
      <c r="K1161" s="65"/>
      <c r="L1161" s="144">
        <f>Equipamentos!D633</f>
        <v>0</v>
      </c>
      <c r="M1161" s="105">
        <f>Equipamentos!BP633</f>
        <v>0</v>
      </c>
      <c r="N1161" s="144">
        <f>Equipamentos!E633</f>
        <v>0</v>
      </c>
      <c r="O1161" s="105" t="s">
        <v>1263</v>
      </c>
      <c r="P1161" s="107">
        <v>24</v>
      </c>
      <c r="Q1161" s="65"/>
      <c r="R1161" s="65"/>
      <c r="S1161" s="110"/>
      <c r="T1161" s="65"/>
      <c r="U1161" s="117">
        <f t="shared" si="822"/>
        <v>0</v>
      </c>
      <c r="V1161" s="65"/>
      <c r="W1161" s="202"/>
    </row>
    <row r="1162" spans="9:23" ht="12" hidden="1" customHeight="1" outlineLevel="1">
      <c r="I1162" s="65"/>
      <c r="J1162" s="143" t="str">
        <f>IF(Equipamentos!C634&gt;0,Equipamentos!C634,"")</f>
        <v/>
      </c>
      <c r="K1162" s="65"/>
      <c r="L1162" s="144">
        <f>Equipamentos!D634</f>
        <v>0</v>
      </c>
      <c r="M1162" s="105">
        <f>Equipamentos!BP634</f>
        <v>0</v>
      </c>
      <c r="N1162" s="144">
        <f>Equipamentos!E634</f>
        <v>0</v>
      </c>
      <c r="O1162" s="105" t="s">
        <v>1263</v>
      </c>
      <c r="P1162" s="107">
        <v>24</v>
      </c>
      <c r="Q1162" s="65"/>
      <c r="R1162" s="65"/>
      <c r="S1162" s="110"/>
      <c r="T1162" s="65"/>
      <c r="U1162" s="117">
        <f t="shared" si="822"/>
        <v>0</v>
      </c>
      <c r="V1162" s="65"/>
      <c r="W1162" s="202"/>
    </row>
    <row r="1163" spans="9:23" ht="12" hidden="1" customHeight="1" outlineLevel="1">
      <c r="I1163" s="65"/>
      <c r="J1163" s="143" t="str">
        <f>IF(Equipamentos!C635&gt;0,Equipamentos!C635,"")</f>
        <v/>
      </c>
      <c r="K1163" s="65"/>
      <c r="L1163" s="144">
        <f>Equipamentos!D635</f>
        <v>0</v>
      </c>
      <c r="M1163" s="105">
        <f>Equipamentos!BP635</f>
        <v>0</v>
      </c>
      <c r="N1163" s="144">
        <f>Equipamentos!E635</f>
        <v>0</v>
      </c>
      <c r="O1163" s="105" t="s">
        <v>1263</v>
      </c>
      <c r="P1163" s="107">
        <v>24</v>
      </c>
      <c r="Q1163" s="65"/>
      <c r="R1163" s="65"/>
      <c r="S1163" s="110"/>
      <c r="T1163" s="65"/>
      <c r="U1163" s="117">
        <f t="shared" si="822"/>
        <v>0</v>
      </c>
      <c r="V1163" s="65"/>
      <c r="W1163" s="202"/>
    </row>
    <row r="1164" spans="9:23" ht="12" hidden="1" customHeight="1" outlineLevel="1">
      <c r="I1164" s="65"/>
      <c r="J1164" s="65"/>
      <c r="K1164" s="65"/>
      <c r="L1164" s="65"/>
      <c r="M1164" s="65"/>
      <c r="N1164" s="65"/>
      <c r="O1164" s="65"/>
      <c r="P1164" s="65"/>
      <c r="Q1164" s="65"/>
      <c r="R1164" s="65"/>
      <c r="S1164" s="65"/>
      <c r="T1164" s="65"/>
      <c r="U1164" s="65"/>
      <c r="V1164" s="65"/>
      <c r="W1164" s="65"/>
    </row>
    <row r="1165" spans="9:23" ht="24" hidden="1" customHeight="1" outlineLevel="1">
      <c r="I1165" s="65"/>
      <c r="J1165" s="142" t="s">
        <v>1503</v>
      </c>
      <c r="K1165" s="65"/>
      <c r="L1165" s="142" t="s">
        <v>1179</v>
      </c>
      <c r="M1165" s="142" t="s">
        <v>1238</v>
      </c>
      <c r="N1165" s="142" t="s">
        <v>1260</v>
      </c>
      <c r="O1165" s="142" t="s">
        <v>1261</v>
      </c>
      <c r="P1165" s="142" t="s">
        <v>1334</v>
      </c>
      <c r="Q1165" s="65"/>
      <c r="R1165" s="65"/>
      <c r="S1165" s="142" t="s">
        <v>1240</v>
      </c>
      <c r="T1165" s="65"/>
      <c r="U1165" s="142" t="s">
        <v>1241</v>
      </c>
      <c r="V1165" s="65"/>
      <c r="W1165" s="142" t="s">
        <v>1111</v>
      </c>
    </row>
    <row r="1166" spans="9:23" ht="12" hidden="1" customHeight="1" outlineLevel="1">
      <c r="I1166" s="65"/>
      <c r="J1166" s="143" t="str">
        <f>IF(Equipamentos!C642&gt;0,Equipamentos!C642,"")</f>
        <v>Caixa de Ferramentas - Equipe - PROJETO</v>
      </c>
      <c r="K1166" s="65"/>
      <c r="L1166" s="144">
        <f>Equipamentos!D642</f>
        <v>2</v>
      </c>
      <c r="M1166" s="105" t="str">
        <f>Equipamentos!BP642</f>
        <v>Unidades</v>
      </c>
      <c r="N1166" s="144">
        <f>Equipamentos!E642</f>
        <v>10</v>
      </c>
      <c r="O1166" s="105" t="s">
        <v>1263</v>
      </c>
      <c r="P1166" s="107"/>
      <c r="Q1166" s="65"/>
      <c r="R1166" s="65"/>
      <c r="S1166" s="110">
        <v>1600</v>
      </c>
      <c r="T1166" s="65"/>
      <c r="U1166" s="117">
        <f>IFERROR(L1166*N1166*(S1166/P1166),0)</f>
        <v>0</v>
      </c>
      <c r="V1166" s="65"/>
      <c r="W1166" s="202"/>
    </row>
    <row r="1167" spans="9:23" ht="12" hidden="1" customHeight="1" outlineLevel="1">
      <c r="I1167" s="65"/>
      <c r="J1167" s="143" t="str">
        <f>IF(Equipamentos!C643&gt;0,Equipamentos!C643,"")</f>
        <v>Caixa de Ferramentas - Equipe - PERMITS</v>
      </c>
      <c r="K1167" s="65"/>
      <c r="L1167" s="144">
        <f>Equipamentos!D643</f>
        <v>1</v>
      </c>
      <c r="M1167" s="105" t="str">
        <f>Equipamentos!BP643</f>
        <v>Unidades</v>
      </c>
      <c r="N1167" s="144">
        <f>Equipamentos!E643</f>
        <v>10</v>
      </c>
      <c r="O1167" s="105" t="s">
        <v>1263</v>
      </c>
      <c r="P1167" s="107"/>
      <c r="Q1167" s="65"/>
      <c r="R1167" s="65"/>
      <c r="S1167" s="110">
        <v>3800</v>
      </c>
      <c r="T1167" s="65"/>
      <c r="U1167" s="117">
        <f t="shared" ref="U1167" si="823">IFERROR(L1167*N1167*(S1167/P1167),0)</f>
        <v>0</v>
      </c>
      <c r="V1167" s="65"/>
      <c r="W1167" s="202"/>
    </row>
    <row r="1168" spans="9:23" ht="12" hidden="1" customHeight="1" outlineLevel="1">
      <c r="I1168" s="65"/>
      <c r="J1168" s="143" t="str">
        <f>IF(Equipamentos!C644&gt;0,Equipamentos!C644,"")</f>
        <v>Caixa de Ferramentas - Equipe - GERENCIMENTO</v>
      </c>
      <c r="K1168" s="65"/>
      <c r="L1168" s="144">
        <v>0</v>
      </c>
      <c r="M1168" s="105" t="str">
        <f>Equipamentos!BP644</f>
        <v>Unidades</v>
      </c>
      <c r="N1168" s="144">
        <f>Equipamentos!E644</f>
        <v>10</v>
      </c>
      <c r="O1168" s="105" t="s">
        <v>1263</v>
      </c>
      <c r="P1168" s="107"/>
      <c r="Q1168" s="65"/>
      <c r="R1168" s="65"/>
      <c r="S1168" s="110">
        <v>3000</v>
      </c>
      <c r="T1168" s="65"/>
      <c r="U1168" s="117">
        <f t="shared" ref="U1168:U1186" si="824">IFERROR(L1168*N1168*(S1168/P1168),0)</f>
        <v>0</v>
      </c>
      <c r="V1168" s="65"/>
      <c r="W1168" s="202"/>
    </row>
    <row r="1169" spans="9:23" ht="12" hidden="1" customHeight="1" outlineLevel="1">
      <c r="I1169" s="65"/>
      <c r="J1169" s="143" t="str">
        <f>IF(Equipamentos!C645&gt;0,Equipamentos!C645,"")</f>
        <v>Caixa de Ferramentas - Equipe - SUPRIMENTOS</v>
      </c>
      <c r="K1169" s="65"/>
      <c r="L1169" s="144">
        <f>Equipamentos!D645</f>
        <v>1</v>
      </c>
      <c r="M1169" s="105" t="str">
        <f>Equipamentos!BP645</f>
        <v>Unidades</v>
      </c>
      <c r="N1169" s="144">
        <f>Equipamentos!E645</f>
        <v>10</v>
      </c>
      <c r="O1169" s="105" t="s">
        <v>1263</v>
      </c>
      <c r="P1169" s="107"/>
      <c r="Q1169" s="65"/>
      <c r="R1169" s="65"/>
      <c r="S1169" s="110">
        <v>1800</v>
      </c>
      <c r="T1169" s="65"/>
      <c r="U1169" s="117">
        <f t="shared" si="824"/>
        <v>0</v>
      </c>
      <c r="V1169" s="65"/>
      <c r="W1169" s="202"/>
    </row>
    <row r="1170" spans="9:23" ht="12" hidden="1" customHeight="1" outlineLevel="1">
      <c r="I1170" s="65"/>
      <c r="J1170" s="143" t="str">
        <f>IF(Equipamentos!C646&gt;0,Equipamentos!C646,"")</f>
        <v>Caixa de Ferramentas - Equipe - ORÇAMENTOS</v>
      </c>
      <c r="K1170" s="65"/>
      <c r="L1170" s="144">
        <f>Equipamentos!D646</f>
        <v>1</v>
      </c>
      <c r="M1170" s="105" t="str">
        <f>Equipamentos!BP646</f>
        <v>Unidades</v>
      </c>
      <c r="N1170" s="144">
        <f>Equipamentos!E646</f>
        <v>10</v>
      </c>
      <c r="O1170" s="105" t="s">
        <v>1263</v>
      </c>
      <c r="P1170" s="107"/>
      <c r="Q1170" s="65"/>
      <c r="R1170" s="65"/>
      <c r="S1170" s="110">
        <v>1600</v>
      </c>
      <c r="T1170" s="65"/>
      <c r="U1170" s="117">
        <f t="shared" si="824"/>
        <v>0</v>
      </c>
      <c r="V1170" s="65"/>
      <c r="W1170" s="202"/>
    </row>
    <row r="1171" spans="9:23" ht="12" hidden="1" customHeight="1" outlineLevel="1">
      <c r="I1171" s="65"/>
      <c r="J1171" s="143" t="str">
        <f>IF(Equipamentos!C647&gt;0,Equipamentos!C647,"")</f>
        <v xml:space="preserve">Caixa de Ferramentas - Equipe - </v>
      </c>
      <c r="K1171" s="65"/>
      <c r="L1171" s="144">
        <f>Equipamentos!D647</f>
        <v>2</v>
      </c>
      <c r="M1171" s="105" t="str">
        <f>Equipamentos!BP647</f>
        <v>Unidades</v>
      </c>
      <c r="N1171" s="144">
        <f>Equipamentos!E647</f>
        <v>10</v>
      </c>
      <c r="O1171" s="105" t="s">
        <v>1263</v>
      </c>
      <c r="P1171" s="107">
        <v>24</v>
      </c>
      <c r="Q1171" s="65"/>
      <c r="R1171" s="65"/>
      <c r="S1171" s="110">
        <v>1800</v>
      </c>
      <c r="T1171" s="65"/>
      <c r="U1171" s="117">
        <f t="shared" si="824"/>
        <v>1500</v>
      </c>
      <c r="V1171" s="65"/>
      <c r="W1171" s="202"/>
    </row>
    <row r="1172" spans="9:23" ht="12" hidden="1" customHeight="1" outlineLevel="1">
      <c r="I1172" s="65"/>
      <c r="J1172" s="143" t="str">
        <f>IF(Equipamentos!C648&gt;0,Equipamentos!C648,"")</f>
        <v xml:space="preserve">Caixa de Ferramentas - Equipe - </v>
      </c>
      <c r="K1172" s="65"/>
      <c r="L1172" s="144">
        <f>Equipamentos!D648</f>
        <v>0</v>
      </c>
      <c r="M1172" s="105" t="str">
        <f>Equipamentos!BP648</f>
        <v>Unidades</v>
      </c>
      <c r="N1172" s="144">
        <f>Equipamentos!E648</f>
        <v>0</v>
      </c>
      <c r="O1172" s="105" t="s">
        <v>1263</v>
      </c>
      <c r="P1172" s="107">
        <v>24</v>
      </c>
      <c r="Q1172" s="65"/>
      <c r="R1172" s="65"/>
      <c r="S1172" s="110">
        <v>1600</v>
      </c>
      <c r="T1172" s="65"/>
      <c r="U1172" s="117">
        <f t="shared" si="824"/>
        <v>0</v>
      </c>
      <c r="V1172" s="65"/>
      <c r="W1172" s="202"/>
    </row>
    <row r="1173" spans="9:23" ht="12" hidden="1" customHeight="1" outlineLevel="1">
      <c r="I1173" s="65"/>
      <c r="J1173" s="143" t="str">
        <f>IF(Equipamentos!C649&gt;0,Equipamentos!C649,"")</f>
        <v xml:space="preserve">Caixa de Ferramentas - Equipe - </v>
      </c>
      <c r="K1173" s="65"/>
      <c r="L1173" s="144">
        <f>Equipamentos!D649</f>
        <v>0</v>
      </c>
      <c r="M1173" s="105" t="str">
        <f>Equipamentos!BP649</f>
        <v>Unidades</v>
      </c>
      <c r="N1173" s="144">
        <f>Equipamentos!E649</f>
        <v>0</v>
      </c>
      <c r="O1173" s="105" t="s">
        <v>1263</v>
      </c>
      <c r="P1173" s="107">
        <v>24</v>
      </c>
      <c r="Q1173" s="65"/>
      <c r="R1173" s="65"/>
      <c r="S1173" s="110">
        <v>1800</v>
      </c>
      <c r="T1173" s="65"/>
      <c r="U1173" s="117">
        <f t="shared" si="824"/>
        <v>0</v>
      </c>
      <c r="V1173" s="65"/>
      <c r="W1173" s="202"/>
    </row>
    <row r="1174" spans="9:23" ht="12" hidden="1" customHeight="1" outlineLevel="1">
      <c r="I1174" s="65"/>
      <c r="J1174" s="143" t="str">
        <f>IF(Equipamentos!C650&gt;0,Equipamentos!C650,"")</f>
        <v xml:space="preserve">Caixa de Ferramentas - Equipe - </v>
      </c>
      <c r="K1174" s="65"/>
      <c r="L1174" s="144">
        <f>Equipamentos!D650</f>
        <v>0</v>
      </c>
      <c r="M1174" s="105" t="str">
        <f>Equipamentos!BP650</f>
        <v>Unidades</v>
      </c>
      <c r="N1174" s="144">
        <f>Equipamentos!E650</f>
        <v>0</v>
      </c>
      <c r="O1174" s="105" t="s">
        <v>1263</v>
      </c>
      <c r="P1174" s="107">
        <v>24</v>
      </c>
      <c r="Q1174" s="65"/>
      <c r="R1174" s="65"/>
      <c r="S1174" s="110">
        <v>1600</v>
      </c>
      <c r="T1174" s="65"/>
      <c r="U1174" s="117">
        <f t="shared" si="824"/>
        <v>0</v>
      </c>
      <c r="V1174" s="65"/>
      <c r="W1174" s="202"/>
    </row>
    <row r="1175" spans="9:23" ht="12" hidden="1" customHeight="1" outlineLevel="1">
      <c r="I1175" s="65"/>
      <c r="J1175" s="143" t="str">
        <f>IF(Equipamentos!C651&gt;0,Equipamentos!C651,"")</f>
        <v xml:space="preserve">Caixa de Ferramentas - Equipe - </v>
      </c>
      <c r="K1175" s="65"/>
      <c r="L1175" s="144">
        <f>Equipamentos!D651</f>
        <v>1</v>
      </c>
      <c r="M1175" s="105" t="str">
        <f>Equipamentos!BP651</f>
        <v>Unidades</v>
      </c>
      <c r="N1175" s="144">
        <f>Equipamentos!E651</f>
        <v>10</v>
      </c>
      <c r="O1175" s="105" t="s">
        <v>1263</v>
      </c>
      <c r="P1175" s="107">
        <v>24</v>
      </c>
      <c r="Q1175" s="65"/>
      <c r="R1175" s="65"/>
      <c r="S1175" s="110">
        <v>1200</v>
      </c>
      <c r="T1175" s="65"/>
      <c r="U1175" s="117">
        <f t="shared" si="824"/>
        <v>500</v>
      </c>
      <c r="V1175" s="65"/>
      <c r="W1175" s="202"/>
    </row>
    <row r="1176" spans="9:23" ht="12" hidden="1" customHeight="1" outlineLevel="1">
      <c r="I1176" s="65"/>
      <c r="J1176" s="143" t="str">
        <f>IF(Equipamentos!C652&gt;0,Equipamentos!C652,"")</f>
        <v xml:space="preserve">Caixa de Ferramentas - Equipe - </v>
      </c>
      <c r="K1176" s="65"/>
      <c r="L1176" s="144">
        <f>Equipamentos!D652</f>
        <v>0</v>
      </c>
      <c r="M1176" s="105" t="str">
        <f>Equipamentos!BP652</f>
        <v>Unidades</v>
      </c>
      <c r="N1176" s="144">
        <f>Equipamentos!E652</f>
        <v>0</v>
      </c>
      <c r="O1176" s="105" t="s">
        <v>1263</v>
      </c>
      <c r="P1176" s="107">
        <v>24</v>
      </c>
      <c r="Q1176" s="65"/>
      <c r="R1176" s="65"/>
      <c r="S1176" s="110">
        <v>1000</v>
      </c>
      <c r="T1176" s="65"/>
      <c r="U1176" s="117">
        <f t="shared" si="824"/>
        <v>0</v>
      </c>
      <c r="V1176" s="65"/>
      <c r="W1176" s="202"/>
    </row>
    <row r="1177" spans="9:23" ht="12" hidden="1" customHeight="1" outlineLevel="1">
      <c r="I1177" s="65"/>
      <c r="J1177" s="143" t="str">
        <f>IF(Equipamentos!C653&gt;0,Equipamentos!C653,"")</f>
        <v xml:space="preserve">Caixa de Ferramentas - Equipe - </v>
      </c>
      <c r="K1177" s="65"/>
      <c r="L1177" s="144">
        <f>Equipamentos!D653</f>
        <v>0</v>
      </c>
      <c r="M1177" s="105" t="str">
        <f>Equipamentos!BP653</f>
        <v>Unidades</v>
      </c>
      <c r="N1177" s="144">
        <f>Equipamentos!E653</f>
        <v>0</v>
      </c>
      <c r="O1177" s="105" t="s">
        <v>1263</v>
      </c>
      <c r="P1177" s="107">
        <v>24</v>
      </c>
      <c r="Q1177" s="65"/>
      <c r="R1177" s="65"/>
      <c r="S1177" s="110">
        <v>1000</v>
      </c>
      <c r="T1177" s="65"/>
      <c r="U1177" s="117">
        <f t="shared" si="824"/>
        <v>0</v>
      </c>
      <c r="V1177" s="65"/>
      <c r="W1177" s="202"/>
    </row>
    <row r="1178" spans="9:23" ht="12" hidden="1" customHeight="1" outlineLevel="1">
      <c r="I1178" s="65"/>
      <c r="J1178" s="143" t="str">
        <f>IF(Equipamentos!C654&gt;0,Equipamentos!C654,"")</f>
        <v xml:space="preserve">Caixa de Ferramentas - Equipe - </v>
      </c>
      <c r="K1178" s="65"/>
      <c r="L1178" s="144">
        <f>Equipamentos!D654</f>
        <v>0</v>
      </c>
      <c r="M1178" s="105" t="str">
        <f>Equipamentos!BP654</f>
        <v>Unidades</v>
      </c>
      <c r="N1178" s="144">
        <f>Equipamentos!E654</f>
        <v>0</v>
      </c>
      <c r="O1178" s="105" t="s">
        <v>1263</v>
      </c>
      <c r="P1178" s="107">
        <v>24</v>
      </c>
      <c r="Q1178" s="65"/>
      <c r="R1178" s="65"/>
      <c r="S1178" s="110">
        <v>1200</v>
      </c>
      <c r="T1178" s="65"/>
      <c r="U1178" s="117">
        <f t="shared" si="824"/>
        <v>0</v>
      </c>
      <c r="V1178" s="65"/>
      <c r="W1178" s="202"/>
    </row>
    <row r="1179" spans="9:23" ht="12" hidden="1" customHeight="1" outlineLevel="1">
      <c r="I1179" s="65"/>
      <c r="J1179" s="143" t="str">
        <f>IF(Equipamentos!C655&gt;0,Equipamentos!C655,"")</f>
        <v xml:space="preserve">Caixa de Ferramentas - Equipe - </v>
      </c>
      <c r="K1179" s="65"/>
      <c r="L1179" s="144">
        <f>Equipamentos!D655</f>
        <v>0</v>
      </c>
      <c r="M1179" s="105" t="str">
        <f>Equipamentos!BP655</f>
        <v>Unidades</v>
      </c>
      <c r="N1179" s="144">
        <f>Equipamentos!E655</f>
        <v>0</v>
      </c>
      <c r="O1179" s="105" t="s">
        <v>1263</v>
      </c>
      <c r="P1179" s="107">
        <v>24</v>
      </c>
      <c r="Q1179" s="65"/>
      <c r="R1179" s="65"/>
      <c r="S1179" s="110">
        <v>1500</v>
      </c>
      <c r="T1179" s="65"/>
      <c r="U1179" s="117">
        <f t="shared" si="824"/>
        <v>0</v>
      </c>
      <c r="V1179" s="65"/>
      <c r="W1179" s="202"/>
    </row>
    <row r="1180" spans="9:23" ht="12" hidden="1" customHeight="1" outlineLevel="1">
      <c r="I1180" s="65"/>
      <c r="J1180" s="143" t="str">
        <f>IF(Equipamentos!C656&gt;0,Equipamentos!C656,"")</f>
        <v xml:space="preserve">Caixa de Ferramentas - Equipe - </v>
      </c>
      <c r="K1180" s="65"/>
      <c r="L1180" s="144">
        <f>Equipamentos!D656</f>
        <v>0</v>
      </c>
      <c r="M1180" s="105" t="str">
        <f>Equipamentos!BP656</f>
        <v>Unidades</v>
      </c>
      <c r="N1180" s="144">
        <f>Equipamentos!E656</f>
        <v>0</v>
      </c>
      <c r="O1180" s="105" t="s">
        <v>1263</v>
      </c>
      <c r="P1180" s="107">
        <v>24</v>
      </c>
      <c r="Q1180" s="65"/>
      <c r="R1180" s="65"/>
      <c r="S1180" s="110">
        <v>2000</v>
      </c>
      <c r="T1180" s="65"/>
      <c r="U1180" s="117">
        <f t="shared" si="824"/>
        <v>0</v>
      </c>
      <c r="V1180" s="65"/>
      <c r="W1180" s="202"/>
    </row>
    <row r="1181" spans="9:23" ht="12" hidden="1" customHeight="1" outlineLevel="1">
      <c r="I1181" s="65"/>
      <c r="J1181" s="143" t="str">
        <f>IF(Equipamentos!C657&gt;0,Equipamentos!C657,"")</f>
        <v xml:space="preserve">Caixa de Ferramentas - Equipe - </v>
      </c>
      <c r="K1181" s="65"/>
      <c r="L1181" s="144">
        <f>Equipamentos!D657</f>
        <v>1</v>
      </c>
      <c r="M1181" s="105" t="str">
        <f>Equipamentos!BP657</f>
        <v>Unidades</v>
      </c>
      <c r="N1181" s="144">
        <f>Equipamentos!E657</f>
        <v>10</v>
      </c>
      <c r="O1181" s="105" t="s">
        <v>1263</v>
      </c>
      <c r="P1181" s="107">
        <v>24</v>
      </c>
      <c r="Q1181" s="65"/>
      <c r="R1181" s="65"/>
      <c r="S1181" s="110"/>
      <c r="T1181" s="65"/>
      <c r="U1181" s="117">
        <f t="shared" si="824"/>
        <v>0</v>
      </c>
      <c r="V1181" s="65"/>
      <c r="W1181" s="202"/>
    </row>
    <row r="1182" spans="9:23" ht="12" hidden="1" customHeight="1" outlineLevel="1">
      <c r="I1182" s="65"/>
      <c r="J1182" s="143" t="str">
        <f>IF(Equipamentos!C658&gt;0,Equipamentos!C658,"")</f>
        <v xml:space="preserve">Caixa de Ferramentas - Equipe - </v>
      </c>
      <c r="K1182" s="65"/>
      <c r="L1182" s="144">
        <f>Equipamentos!D658</f>
        <v>1</v>
      </c>
      <c r="M1182" s="105" t="str">
        <f>Equipamentos!BP658</f>
        <v>Unidades</v>
      </c>
      <c r="N1182" s="144">
        <f>Equipamentos!E658</f>
        <v>10</v>
      </c>
      <c r="O1182" s="105" t="s">
        <v>1263</v>
      </c>
      <c r="P1182" s="107">
        <v>24</v>
      </c>
      <c r="Q1182" s="65"/>
      <c r="R1182" s="65"/>
      <c r="S1182" s="110"/>
      <c r="T1182" s="65"/>
      <c r="U1182" s="117">
        <f t="shared" si="824"/>
        <v>0</v>
      </c>
      <c r="V1182" s="65"/>
      <c r="W1182" s="202"/>
    </row>
    <row r="1183" spans="9:23" ht="12" hidden="1" customHeight="1" outlineLevel="1">
      <c r="I1183" s="65"/>
      <c r="J1183" s="143" t="str">
        <f>IF(Equipamentos!C659&gt;0,Equipamentos!C659,"")</f>
        <v xml:space="preserve">Caixa de Ferramentas - Equipe - </v>
      </c>
      <c r="K1183" s="65"/>
      <c r="L1183" s="144">
        <f>Equipamentos!D659</f>
        <v>1</v>
      </c>
      <c r="M1183" s="105" t="str">
        <f>Equipamentos!BP659</f>
        <v>Unidades</v>
      </c>
      <c r="N1183" s="144">
        <f>Equipamentos!E659</f>
        <v>10</v>
      </c>
      <c r="O1183" s="105" t="s">
        <v>1263</v>
      </c>
      <c r="P1183" s="107">
        <v>24</v>
      </c>
      <c r="Q1183" s="65"/>
      <c r="R1183" s="65"/>
      <c r="S1183" s="110"/>
      <c r="T1183" s="65"/>
      <c r="U1183" s="117">
        <f t="shared" si="824"/>
        <v>0</v>
      </c>
      <c r="V1183" s="65"/>
      <c r="W1183" s="202"/>
    </row>
    <row r="1184" spans="9:23" ht="12" hidden="1" customHeight="1" outlineLevel="1">
      <c r="I1184" s="65"/>
      <c r="J1184" s="143" t="str">
        <f>IF(Equipamentos!C660&gt;0,Equipamentos!C660,"")</f>
        <v xml:space="preserve">Caixa de Ferramentas - Equipe - </v>
      </c>
      <c r="K1184" s="65"/>
      <c r="L1184" s="144">
        <f>Equipamentos!D660</f>
        <v>1</v>
      </c>
      <c r="M1184" s="105" t="str">
        <f>Equipamentos!BP660</f>
        <v>Unidades</v>
      </c>
      <c r="N1184" s="144">
        <f>Equipamentos!E660</f>
        <v>10</v>
      </c>
      <c r="O1184" s="105" t="s">
        <v>1263</v>
      </c>
      <c r="P1184" s="107">
        <v>24</v>
      </c>
      <c r="Q1184" s="65"/>
      <c r="R1184" s="65"/>
      <c r="S1184" s="110"/>
      <c r="T1184" s="65"/>
      <c r="U1184" s="117">
        <f t="shared" si="824"/>
        <v>0</v>
      </c>
      <c r="V1184" s="65"/>
      <c r="W1184" s="202"/>
    </row>
    <row r="1185" spans="9:23" ht="12" hidden="1" customHeight="1" outlineLevel="1">
      <c r="I1185" s="65"/>
      <c r="J1185" s="143" t="str">
        <f>IF(Equipamentos!C661&gt;0,Equipamentos!C661,"")</f>
        <v xml:space="preserve">Caixa de Ferramentas - Equipe - </v>
      </c>
      <c r="K1185" s="65"/>
      <c r="L1185" s="144">
        <f>Equipamentos!D661</f>
        <v>1</v>
      </c>
      <c r="M1185" s="105" t="str">
        <f>Equipamentos!BP661</f>
        <v>Unidades</v>
      </c>
      <c r="N1185" s="144">
        <f>Equipamentos!E661</f>
        <v>10</v>
      </c>
      <c r="O1185" s="105" t="s">
        <v>1263</v>
      </c>
      <c r="P1185" s="107">
        <v>24</v>
      </c>
      <c r="Q1185" s="65"/>
      <c r="R1185" s="65"/>
      <c r="S1185" s="110"/>
      <c r="T1185" s="65"/>
      <c r="U1185" s="117">
        <f t="shared" ref="U1185" si="825">IFERROR(L1185*N1185*(S1185/P1185),0)</f>
        <v>0</v>
      </c>
      <c r="V1185" s="65"/>
      <c r="W1185" s="202"/>
    </row>
    <row r="1186" spans="9:23" ht="12" hidden="1" customHeight="1" outlineLevel="1">
      <c r="I1186" s="65"/>
      <c r="J1186" s="143" t="str">
        <f>IF(Equipamentos!C662&gt;0,Equipamentos!C662,"")</f>
        <v>Caixa de Ferramentas - Equipe de Rotina</v>
      </c>
      <c r="K1186" s="65"/>
      <c r="L1186" s="144">
        <f>Equipamentos!D662</f>
        <v>0</v>
      </c>
      <c r="M1186" s="105" t="str">
        <f>Equipamentos!BP662</f>
        <v>Unidades</v>
      </c>
      <c r="N1186" s="144">
        <f>Equipamentos!E662</f>
        <v>0</v>
      </c>
      <c r="O1186" s="105" t="s">
        <v>1263</v>
      </c>
      <c r="P1186" s="107">
        <v>24</v>
      </c>
      <c r="Q1186" s="65"/>
      <c r="R1186" s="65"/>
      <c r="S1186" s="110"/>
      <c r="T1186" s="65"/>
      <c r="U1186" s="117">
        <f t="shared" si="824"/>
        <v>0</v>
      </c>
      <c r="V1186" s="65"/>
      <c r="W1186" s="202"/>
    </row>
    <row r="1187" spans="9:23" ht="12" hidden="1" customHeight="1" outlineLevel="1">
      <c r="I1187" s="65"/>
      <c r="J1187" s="65"/>
      <c r="K1187" s="65"/>
      <c r="L1187" s="65"/>
      <c r="M1187" s="65"/>
      <c r="N1187" s="65"/>
      <c r="O1187" s="65"/>
      <c r="P1187" s="65"/>
      <c r="Q1187" s="65"/>
      <c r="R1187" s="65"/>
      <c r="S1187" s="65"/>
      <c r="T1187" s="65"/>
      <c r="U1187" s="65"/>
      <c r="V1187" s="65"/>
      <c r="W1187" s="65"/>
    </row>
    <row r="1188" spans="9:23" ht="24" hidden="1" customHeight="1" outlineLevel="1">
      <c r="I1188" s="65"/>
      <c r="J1188" s="142" t="s">
        <v>1504</v>
      </c>
      <c r="K1188" s="65"/>
      <c r="L1188" s="142" t="s">
        <v>368</v>
      </c>
      <c r="M1188" s="65"/>
      <c r="N1188" s="65"/>
      <c r="O1188" s="65"/>
      <c r="P1188" s="65"/>
      <c r="Q1188" s="65"/>
      <c r="R1188" s="65"/>
      <c r="S1188" s="142" t="s">
        <v>1240</v>
      </c>
      <c r="T1188" s="65"/>
      <c r="U1188" s="142" t="s">
        <v>1241</v>
      </c>
      <c r="V1188" s="65"/>
      <c r="W1188" s="142" t="s">
        <v>1111</v>
      </c>
    </row>
    <row r="1189" spans="9:23" ht="12" hidden="1" customHeight="1" outlineLevel="1">
      <c r="I1189" s="65"/>
      <c r="J1189" s="143" t="s">
        <v>1505</v>
      </c>
      <c r="K1189" s="65"/>
      <c r="L1189" s="203">
        <v>0.15</v>
      </c>
      <c r="M1189" s="65"/>
      <c r="N1189" s="65"/>
      <c r="O1189" s="65"/>
      <c r="P1189" s="65"/>
      <c r="Q1189" s="65"/>
      <c r="R1189" s="65"/>
      <c r="S1189" s="109">
        <f>SUM(U989:U1163)</f>
        <v>0</v>
      </c>
      <c r="T1189" s="65"/>
      <c r="U1189" s="117">
        <f>L1189*S1189</f>
        <v>0</v>
      </c>
      <c r="V1189" s="65"/>
      <c r="W1189" s="202"/>
    </row>
    <row r="1190" spans="9:23" ht="12" hidden="1" customHeight="1" outlineLevel="1">
      <c r="I1190" s="65"/>
      <c r="J1190" s="65"/>
      <c r="K1190" s="65"/>
      <c r="L1190" s="65"/>
      <c r="M1190" s="65"/>
      <c r="N1190" s="65"/>
      <c r="O1190" s="65"/>
      <c r="P1190" s="65"/>
      <c r="Q1190" s="65"/>
      <c r="R1190" s="65"/>
      <c r="S1190" s="65"/>
      <c r="T1190" s="65"/>
      <c r="U1190" s="65"/>
      <c r="V1190" s="65"/>
      <c r="W1190" s="65"/>
    </row>
    <row r="1191" spans="9:23" s="196" customFormat="1" ht="24" customHeight="1" collapsed="1">
      <c r="I1191" s="189"/>
      <c r="J1191" s="185" t="s">
        <v>63</v>
      </c>
      <c r="K1191" s="190"/>
      <c r="L1191" s="190"/>
      <c r="M1191" s="190"/>
      <c r="N1191" s="190"/>
      <c r="O1191" s="190"/>
      <c r="P1191" s="190"/>
      <c r="Q1191" s="190"/>
      <c r="R1191" s="190"/>
      <c r="S1191" s="191"/>
      <c r="T1191" s="192">
        <f>IFERROR(U1191/$U$2,0)</f>
        <v>4.5750778459947405E-2</v>
      </c>
      <c r="U1191" s="193">
        <f>SUM(U1193:U1217)</f>
        <v>39989.467333333327</v>
      </c>
      <c r="V1191" s="190"/>
      <c r="W1191" s="194"/>
    </row>
    <row r="1192" spans="9:23" ht="12" hidden="1" customHeight="1" outlineLevel="1">
      <c r="I1192" s="65"/>
      <c r="J1192" s="65"/>
      <c r="K1192" s="65"/>
      <c r="L1192" s="65"/>
      <c r="M1192" s="65"/>
      <c r="N1192" s="65"/>
      <c r="O1192" s="65"/>
      <c r="P1192" s="65"/>
      <c r="Q1192" s="65"/>
      <c r="R1192" s="65"/>
      <c r="S1192" s="65"/>
      <c r="T1192" s="65"/>
      <c r="U1192" s="65"/>
      <c r="V1192" s="65"/>
      <c r="W1192" s="65"/>
    </row>
    <row r="1193" spans="9:23" ht="24" hidden="1" customHeight="1" outlineLevel="1">
      <c r="I1193" s="65"/>
      <c r="J1193" s="142" t="s">
        <v>1506</v>
      </c>
      <c r="K1193" s="65"/>
      <c r="L1193" s="142" t="s">
        <v>1179</v>
      </c>
      <c r="M1193" s="142" t="s">
        <v>1238</v>
      </c>
      <c r="N1193" s="142" t="s">
        <v>1260</v>
      </c>
      <c r="O1193" s="142" t="s">
        <v>1261</v>
      </c>
      <c r="P1193" s="142" t="s">
        <v>1334</v>
      </c>
      <c r="Q1193" s="65"/>
      <c r="R1193" s="65"/>
      <c r="S1193" s="142" t="s">
        <v>1240</v>
      </c>
      <c r="T1193" s="65"/>
      <c r="U1193" s="142" t="s">
        <v>1241</v>
      </c>
      <c r="V1193" s="65"/>
      <c r="W1193" s="142" t="s">
        <v>1111</v>
      </c>
    </row>
    <row r="1194" spans="9:23" ht="12" hidden="1" customHeight="1" outlineLevel="1">
      <c r="I1194" s="65"/>
      <c r="J1194" s="143" t="str">
        <f>IF(Equipamentos!C669&gt;0,Equipamentos!C669,"")</f>
        <v>Notebook i5 - 4Gb  1Tb</v>
      </c>
      <c r="K1194" s="65"/>
      <c r="L1194" s="144">
        <f>Equipamentos!D669</f>
        <v>3.6399999999999997</v>
      </c>
      <c r="M1194" s="105" t="str">
        <f>Equipamentos!BP669</f>
        <v>Unidades</v>
      </c>
      <c r="N1194" s="144">
        <f>Equipamentos!E669</f>
        <v>12</v>
      </c>
      <c r="O1194" s="105" t="s">
        <v>1263</v>
      </c>
      <c r="P1194" s="107">
        <v>24</v>
      </c>
      <c r="Q1194" s="65"/>
      <c r="R1194" s="65"/>
      <c r="S1194" s="110">
        <v>8500</v>
      </c>
      <c r="T1194" s="65"/>
      <c r="U1194" s="117">
        <f>IFERROR(L1194*N1194*(S1194/P1194),0)</f>
        <v>15469.999999999998</v>
      </c>
      <c r="V1194" s="65"/>
      <c r="W1194" s="202"/>
    </row>
    <row r="1195" spans="9:23" ht="12" hidden="1" customHeight="1" outlineLevel="1">
      <c r="I1195" s="65"/>
      <c r="J1195" s="143" t="str">
        <f>IF(Equipamentos!C670&gt;0,Equipamentos!C670,"")</f>
        <v>Notebook i7 - 8Gb  1Tb</v>
      </c>
      <c r="K1195" s="65"/>
      <c r="L1195" s="144">
        <f>Equipamentos!D670</f>
        <v>0</v>
      </c>
      <c r="M1195" s="105" t="str">
        <f>Equipamentos!BP670</f>
        <v>Unidades</v>
      </c>
      <c r="N1195" s="144">
        <f>Equipamentos!E670</f>
        <v>0</v>
      </c>
      <c r="O1195" s="105" t="s">
        <v>1263</v>
      </c>
      <c r="P1195" s="107">
        <v>24</v>
      </c>
      <c r="Q1195" s="65"/>
      <c r="R1195" s="65"/>
      <c r="S1195" s="110">
        <v>12500</v>
      </c>
      <c r="T1195" s="65"/>
      <c r="U1195" s="117">
        <f t="shared" ref="U1195:U1206" si="826">IFERROR(L1195*N1195*(S1195/P1195),0)</f>
        <v>0</v>
      </c>
      <c r="V1195" s="65"/>
      <c r="W1195" s="202"/>
    </row>
    <row r="1196" spans="9:23" ht="12" hidden="1" customHeight="1" outlineLevel="1">
      <c r="I1196" s="65"/>
      <c r="J1196" s="143" t="str">
        <f>IF(Equipamentos!C671&gt;0,Equipamentos!C671,"")</f>
        <v>Tela de 21,5"</v>
      </c>
      <c r="K1196" s="65"/>
      <c r="L1196" s="144">
        <f>Equipamentos!D671</f>
        <v>0</v>
      </c>
      <c r="M1196" s="105" t="str">
        <f>Equipamentos!BP671</f>
        <v>Unidades</v>
      </c>
      <c r="N1196" s="144">
        <f>Equipamentos!E671</f>
        <v>0</v>
      </c>
      <c r="O1196" s="105" t="s">
        <v>1263</v>
      </c>
      <c r="P1196" s="107">
        <v>24</v>
      </c>
      <c r="Q1196" s="65"/>
      <c r="R1196" s="65"/>
      <c r="S1196" s="110">
        <v>1200</v>
      </c>
      <c r="T1196" s="65"/>
      <c r="U1196" s="117">
        <f t="shared" si="826"/>
        <v>0</v>
      </c>
      <c r="V1196" s="65"/>
      <c r="W1196" s="202"/>
    </row>
    <row r="1197" spans="9:23" ht="12" hidden="1" customHeight="1" outlineLevel="1">
      <c r="I1197" s="65"/>
      <c r="J1197" s="143" t="str">
        <f>IF(Equipamentos!C672&gt;0,Equipamentos!C672,"")</f>
        <v>Conjunto mouse e teclado sem fio</v>
      </c>
      <c r="K1197" s="65"/>
      <c r="L1197" s="144">
        <f>Equipamentos!D672</f>
        <v>0</v>
      </c>
      <c r="M1197" s="105" t="str">
        <f>Equipamentos!BP672</f>
        <v>Unidades</v>
      </c>
      <c r="N1197" s="144">
        <f>Equipamentos!E672</f>
        <v>0</v>
      </c>
      <c r="O1197" s="105" t="s">
        <v>1263</v>
      </c>
      <c r="P1197" s="107">
        <v>24</v>
      </c>
      <c r="Q1197" s="65"/>
      <c r="R1197" s="65"/>
      <c r="S1197" s="110">
        <v>170</v>
      </c>
      <c r="T1197" s="65"/>
      <c r="U1197" s="117">
        <f t="shared" si="826"/>
        <v>0</v>
      </c>
      <c r="V1197" s="65"/>
      <c r="W1197" s="202"/>
    </row>
    <row r="1198" spans="9:23" ht="12" hidden="1" customHeight="1" outlineLevel="1">
      <c r="I1198" s="65"/>
      <c r="J1198" s="143" t="str">
        <f>IF(Equipamentos!C673&gt;0,Equipamentos!C673,"")</f>
        <v>Filtro de linha 4 tomadas</v>
      </c>
      <c r="K1198" s="65"/>
      <c r="L1198" s="144">
        <f>Equipamentos!D673</f>
        <v>0</v>
      </c>
      <c r="M1198" s="105" t="str">
        <f>Equipamentos!BP673</f>
        <v>Unidades</v>
      </c>
      <c r="N1198" s="144">
        <f>Equipamentos!E673</f>
        <v>0</v>
      </c>
      <c r="O1198" s="105" t="s">
        <v>1263</v>
      </c>
      <c r="P1198" s="107">
        <v>24</v>
      </c>
      <c r="Q1198" s="65"/>
      <c r="R1198" s="65"/>
      <c r="S1198" s="110">
        <v>40</v>
      </c>
      <c r="T1198" s="65"/>
      <c r="U1198" s="117">
        <f t="shared" si="826"/>
        <v>0</v>
      </c>
      <c r="V1198" s="65"/>
      <c r="W1198" s="202"/>
    </row>
    <row r="1199" spans="9:23" ht="12" hidden="1" customHeight="1" outlineLevel="1">
      <c r="I1199" s="65"/>
      <c r="J1199" s="143" t="str">
        <f>IF(Equipamentos!C674&gt;0,Equipamentos!C674,"")</f>
        <v>Kit ergonomia</v>
      </c>
      <c r="K1199" s="65"/>
      <c r="L1199" s="144">
        <f>Equipamentos!D674</f>
        <v>0</v>
      </c>
      <c r="M1199" s="105" t="str">
        <f>Equipamentos!BP674</f>
        <v>Unidades</v>
      </c>
      <c r="N1199" s="144">
        <f>Equipamentos!E674</f>
        <v>0</v>
      </c>
      <c r="O1199" s="105" t="s">
        <v>1263</v>
      </c>
      <c r="P1199" s="107">
        <v>24</v>
      </c>
      <c r="Q1199" s="65"/>
      <c r="R1199" s="65"/>
      <c r="S1199" s="110">
        <v>120</v>
      </c>
      <c r="T1199" s="65"/>
      <c r="U1199" s="117">
        <f t="shared" si="826"/>
        <v>0</v>
      </c>
      <c r="V1199" s="65"/>
      <c r="W1199" s="202"/>
    </row>
    <row r="1200" spans="9:23" ht="12" hidden="1" customHeight="1" outlineLevel="1">
      <c r="I1200" s="65"/>
      <c r="J1200" s="143" t="str">
        <f>IF(Equipamentos!C675&gt;0,Equipamentos!C675,"")</f>
        <v>Telefone fixo IP</v>
      </c>
      <c r="K1200" s="65"/>
      <c r="L1200" s="144">
        <f>Equipamentos!D675</f>
        <v>0</v>
      </c>
      <c r="M1200" s="105" t="str">
        <f>Equipamentos!BP675</f>
        <v>Unidades</v>
      </c>
      <c r="N1200" s="144">
        <f>Equipamentos!E675</f>
        <v>0</v>
      </c>
      <c r="O1200" s="105" t="s">
        <v>1263</v>
      </c>
      <c r="P1200" s="107">
        <v>24</v>
      </c>
      <c r="Q1200" s="65"/>
      <c r="R1200" s="65"/>
      <c r="S1200" s="110">
        <v>350</v>
      </c>
      <c r="T1200" s="65"/>
      <c r="U1200" s="117">
        <f t="shared" si="826"/>
        <v>0</v>
      </c>
      <c r="V1200" s="65"/>
      <c r="W1200" s="202"/>
    </row>
    <row r="1201" spans="9:23" ht="12" hidden="1" customHeight="1" outlineLevel="1">
      <c r="I1201" s="65"/>
      <c r="J1201" s="143" t="str">
        <f>IF(Equipamentos!C676&gt;0,Equipamentos!C676,"")</f>
        <v>Telefone celular</v>
      </c>
      <c r="K1201" s="65"/>
      <c r="L1201" s="144">
        <f>Equipamentos!D676</f>
        <v>3.6399999999999997</v>
      </c>
      <c r="M1201" s="105" t="str">
        <f>Equipamentos!BP676</f>
        <v>Unidades</v>
      </c>
      <c r="N1201" s="144">
        <f>Equipamentos!E676</f>
        <v>12</v>
      </c>
      <c r="O1201" s="105" t="s">
        <v>1263</v>
      </c>
      <c r="P1201" s="107">
        <v>24</v>
      </c>
      <c r="Q1201" s="65"/>
      <c r="R1201" s="65"/>
      <c r="S1201" s="110">
        <v>1200</v>
      </c>
      <c r="T1201" s="65"/>
      <c r="U1201" s="117">
        <f t="shared" si="826"/>
        <v>2183.9999999999995</v>
      </c>
      <c r="V1201" s="65"/>
      <c r="W1201" s="202"/>
    </row>
    <row r="1202" spans="9:23" ht="12" hidden="1" customHeight="1" outlineLevel="1">
      <c r="I1202" s="65"/>
      <c r="J1202" s="143" t="str">
        <f>IF(Equipamentos!C677&gt;0,Equipamentos!C677,"")</f>
        <v>Relógio de ponto</v>
      </c>
      <c r="K1202" s="65"/>
      <c r="L1202" s="144">
        <f>Equipamentos!D677</f>
        <v>0</v>
      </c>
      <c r="M1202" s="105" t="str">
        <f>Equipamentos!BP677</f>
        <v>Unidades</v>
      </c>
      <c r="N1202" s="144">
        <f>Equipamentos!E677</f>
        <v>0</v>
      </c>
      <c r="O1202" s="105" t="s">
        <v>1263</v>
      </c>
      <c r="P1202" s="107">
        <v>24</v>
      </c>
      <c r="Q1202" s="65"/>
      <c r="R1202" s="65"/>
      <c r="S1202" s="110">
        <v>1500</v>
      </c>
      <c r="T1202" s="65"/>
      <c r="U1202" s="117">
        <f t="shared" si="826"/>
        <v>0</v>
      </c>
      <c r="V1202" s="65"/>
      <c r="W1202" s="202"/>
    </row>
    <row r="1203" spans="9:23" ht="12" hidden="1" customHeight="1" outlineLevel="1">
      <c r="I1203" s="65"/>
      <c r="J1203" s="143" t="str">
        <f>IF(Equipamentos!C678&gt;0,Equipamentos!C678,"")</f>
        <v>Impressora</v>
      </c>
      <c r="K1203" s="65"/>
      <c r="L1203" s="144">
        <f>Equipamentos!D678</f>
        <v>0</v>
      </c>
      <c r="M1203" s="105" t="str">
        <f>Equipamentos!BP678</f>
        <v>Unidades</v>
      </c>
      <c r="N1203" s="144">
        <f>Equipamentos!E678</f>
        <v>0</v>
      </c>
      <c r="O1203" s="105" t="s">
        <v>1263</v>
      </c>
      <c r="P1203" s="107">
        <v>1</v>
      </c>
      <c r="Q1203" s="65"/>
      <c r="R1203" s="65"/>
      <c r="S1203" s="110">
        <v>1000</v>
      </c>
      <c r="T1203" s="65"/>
      <c r="U1203" s="117">
        <f t="shared" si="826"/>
        <v>0</v>
      </c>
      <c r="V1203" s="65"/>
      <c r="W1203" s="202"/>
    </row>
    <row r="1204" spans="9:23" ht="12" hidden="1" customHeight="1" outlineLevel="1">
      <c r="I1204" s="65"/>
      <c r="J1204" s="143" t="str">
        <f>IF(Equipamentos!C679&gt;0,Equipamentos!C679,"")</f>
        <v>Rádio comunicador digital</v>
      </c>
      <c r="K1204" s="65"/>
      <c r="L1204" s="144">
        <f>Equipamentos!D679</f>
        <v>0</v>
      </c>
      <c r="M1204" s="105" t="str">
        <f>Equipamentos!BP679</f>
        <v>Unidades</v>
      </c>
      <c r="N1204" s="144">
        <f>Equipamentos!E679</f>
        <v>0</v>
      </c>
      <c r="O1204" s="105" t="s">
        <v>1263</v>
      </c>
      <c r="P1204" s="107">
        <v>1</v>
      </c>
      <c r="Q1204" s="65"/>
      <c r="R1204" s="65"/>
      <c r="S1204" s="110">
        <v>200</v>
      </c>
      <c r="T1204" s="65"/>
      <c r="U1204" s="117">
        <f t="shared" si="826"/>
        <v>0</v>
      </c>
      <c r="V1204" s="65"/>
      <c r="W1204" s="202"/>
    </row>
    <row r="1205" spans="9:23" ht="12" hidden="1" customHeight="1" outlineLevel="1">
      <c r="I1205" s="65"/>
      <c r="J1205" s="143" t="str">
        <f>IF(Equipamentos!C680&gt;0,Equipamentos!C680,"")</f>
        <v>Rack 5U 19"</v>
      </c>
      <c r="K1205" s="65"/>
      <c r="L1205" s="144">
        <f>Equipamentos!D680</f>
        <v>0</v>
      </c>
      <c r="M1205" s="105" t="str">
        <f>Equipamentos!BP680</f>
        <v>Unidades</v>
      </c>
      <c r="N1205" s="144">
        <f>Equipamentos!E680</f>
        <v>0</v>
      </c>
      <c r="O1205" s="105" t="s">
        <v>1263</v>
      </c>
      <c r="P1205" s="107">
        <v>24</v>
      </c>
      <c r="Q1205" s="65"/>
      <c r="R1205" s="65"/>
      <c r="S1205" s="110">
        <v>1000</v>
      </c>
      <c r="T1205" s="65"/>
      <c r="U1205" s="117">
        <f t="shared" si="826"/>
        <v>0</v>
      </c>
      <c r="V1205" s="65"/>
      <c r="W1205" s="202"/>
    </row>
    <row r="1206" spans="9:23" ht="12" hidden="1" customHeight="1" outlineLevel="1">
      <c r="I1206" s="65"/>
      <c r="J1206" s="143" t="str">
        <f>IF(Equipamentos!C681&gt;0,Equipamentos!C681,"")</f>
        <v>Switch Ethernet 24 portas</v>
      </c>
      <c r="K1206" s="65"/>
      <c r="L1206" s="144">
        <f>Equipamentos!D681</f>
        <v>0</v>
      </c>
      <c r="M1206" s="105" t="str">
        <f>Equipamentos!BP681</f>
        <v>Unidades</v>
      </c>
      <c r="N1206" s="144">
        <f>Equipamentos!E681</f>
        <v>0</v>
      </c>
      <c r="O1206" s="105" t="s">
        <v>1263</v>
      </c>
      <c r="P1206" s="107">
        <v>24</v>
      </c>
      <c r="Q1206" s="65"/>
      <c r="R1206" s="65"/>
      <c r="S1206" s="110">
        <v>4000</v>
      </c>
      <c r="T1206" s="65"/>
      <c r="U1206" s="117">
        <f t="shared" si="826"/>
        <v>0</v>
      </c>
      <c r="V1206" s="65"/>
      <c r="W1206" s="202"/>
    </row>
    <row r="1207" spans="9:23" ht="12" hidden="1" customHeight="1" outlineLevel="1">
      <c r="I1207" s="65"/>
      <c r="J1207" s="143" t="str">
        <f>IF(Equipamentos!C682&gt;0,Equipamentos!C682,"")</f>
        <v>Câmera fotográfica</v>
      </c>
      <c r="K1207" s="65"/>
      <c r="L1207" s="144">
        <f>Equipamentos!D682</f>
        <v>0</v>
      </c>
      <c r="M1207" s="105" t="str">
        <f>Equipamentos!BP682</f>
        <v>Unidades</v>
      </c>
      <c r="N1207" s="144">
        <f>Equipamentos!E682</f>
        <v>0</v>
      </c>
      <c r="O1207" s="105" t="s">
        <v>1263</v>
      </c>
      <c r="P1207" s="107">
        <v>24</v>
      </c>
      <c r="Q1207" s="65"/>
      <c r="R1207" s="65"/>
      <c r="S1207" s="110">
        <v>750</v>
      </c>
      <c r="T1207" s="65"/>
      <c r="U1207" s="117">
        <f t="shared" ref="U1207:U1208" si="827">IFERROR(L1207*N1207*(S1207/P1207),0)</f>
        <v>0</v>
      </c>
      <c r="V1207" s="65"/>
      <c r="W1207" s="202"/>
    </row>
    <row r="1208" spans="9:23" ht="12" hidden="1" customHeight="1" outlineLevel="1">
      <c r="I1208" s="65"/>
      <c r="J1208" s="143" t="str">
        <f>IF(Equipamentos!C683&gt;0,Equipamentos!C683,"")</f>
        <v/>
      </c>
      <c r="K1208" s="65"/>
      <c r="L1208" s="144">
        <f>Equipamentos!D683</f>
        <v>0</v>
      </c>
      <c r="M1208" s="105" t="str">
        <f>Equipamentos!BP683</f>
        <v>Unidades</v>
      </c>
      <c r="N1208" s="144">
        <f>Equipamentos!E683</f>
        <v>0</v>
      </c>
      <c r="O1208" s="105" t="s">
        <v>1263</v>
      </c>
      <c r="P1208" s="107"/>
      <c r="Q1208" s="65"/>
      <c r="R1208" s="65"/>
      <c r="S1208" s="110"/>
      <c r="T1208" s="65"/>
      <c r="U1208" s="117">
        <f t="shared" si="827"/>
        <v>0</v>
      </c>
      <c r="V1208" s="65"/>
      <c r="W1208" s="202"/>
    </row>
    <row r="1209" spans="9:23" ht="12" hidden="1" customHeight="1" outlineLevel="1">
      <c r="I1209" s="65"/>
      <c r="J1209" s="65"/>
      <c r="K1209" s="65"/>
      <c r="L1209" s="65"/>
      <c r="M1209" s="65"/>
      <c r="N1209" s="65"/>
      <c r="O1209" s="65"/>
      <c r="P1209" s="65"/>
      <c r="Q1209" s="65"/>
      <c r="R1209" s="65"/>
      <c r="S1209" s="65"/>
      <c r="T1209" s="65"/>
      <c r="U1209" s="65"/>
      <c r="V1209" s="65"/>
      <c r="W1209" s="65"/>
    </row>
    <row r="1210" spans="9:23" ht="24" hidden="1" customHeight="1" outlineLevel="1">
      <c r="I1210" s="65"/>
      <c r="J1210" s="142" t="s">
        <v>1507</v>
      </c>
      <c r="K1210" s="65"/>
      <c r="L1210" s="142" t="s">
        <v>1179</v>
      </c>
      <c r="M1210" s="142" t="s">
        <v>1238</v>
      </c>
      <c r="N1210" s="142" t="s">
        <v>1260</v>
      </c>
      <c r="O1210" s="142" t="s">
        <v>1261</v>
      </c>
      <c r="P1210" s="142" t="s">
        <v>1334</v>
      </c>
      <c r="Q1210" s="65"/>
      <c r="R1210" s="65"/>
      <c r="S1210" s="142" t="s">
        <v>1240</v>
      </c>
      <c r="T1210" s="65"/>
      <c r="U1210" s="142" t="s">
        <v>1241</v>
      </c>
      <c r="V1210" s="65"/>
      <c r="W1210" s="142" t="s">
        <v>1111</v>
      </c>
    </row>
    <row r="1211" spans="9:23" ht="12" hidden="1" customHeight="1" outlineLevel="1">
      <c r="I1211" s="65"/>
      <c r="J1211" s="77" t="s">
        <v>1508</v>
      </c>
      <c r="K1211" s="65"/>
      <c r="L1211" s="107">
        <f>(L1194+L1195)-L1212</f>
        <v>2.6399999999999997</v>
      </c>
      <c r="M1211" s="78" t="s">
        <v>1246</v>
      </c>
      <c r="N1211" s="107">
        <f>Dashboard!$D$14</f>
        <v>10</v>
      </c>
      <c r="O1211" s="78" t="s">
        <v>1263</v>
      </c>
      <c r="P1211" s="107">
        <v>12</v>
      </c>
      <c r="Q1211" s="65"/>
      <c r="R1211" s="65"/>
      <c r="S1211" s="110">
        <v>1032</v>
      </c>
      <c r="T1211" s="65"/>
      <c r="U1211" s="117">
        <f>IFERROR(L1211*N1211*(S1211/P1211),0)</f>
        <v>2270.4</v>
      </c>
      <c r="V1211" s="65"/>
      <c r="W1211" s="202"/>
    </row>
    <row r="1212" spans="9:23" ht="12" hidden="1" customHeight="1" outlineLevel="1">
      <c r="I1212" s="65"/>
      <c r="J1212" s="77" t="s">
        <v>1509</v>
      </c>
      <c r="K1212" s="65"/>
      <c r="L1212" s="107">
        <v>1</v>
      </c>
      <c r="M1212" s="78" t="s">
        <v>1246</v>
      </c>
      <c r="N1212" s="107">
        <f>Dashboard!$D$14</f>
        <v>10</v>
      </c>
      <c r="O1212" s="78" t="s">
        <v>1263</v>
      </c>
      <c r="P1212" s="107">
        <v>12</v>
      </c>
      <c r="Q1212" s="65"/>
      <c r="R1212" s="65"/>
      <c r="S1212" s="110">
        <f>95*12</f>
        <v>1140</v>
      </c>
      <c r="T1212" s="65"/>
      <c r="U1212" s="117">
        <f t="shared" ref="U1212:U1217" si="828">IFERROR(L1212*N1212*(S1212/P1212),0)</f>
        <v>950</v>
      </c>
      <c r="V1212" s="65"/>
      <c r="W1212" s="202"/>
    </row>
    <row r="1213" spans="9:23" ht="12" hidden="1" customHeight="1" outlineLevel="1">
      <c r="I1213" s="65"/>
      <c r="J1213" s="77" t="s">
        <v>1510</v>
      </c>
      <c r="K1213" s="65"/>
      <c r="L1213" s="107">
        <v>1</v>
      </c>
      <c r="M1213" s="78" t="s">
        <v>1246</v>
      </c>
      <c r="N1213" s="107">
        <f>Dashboard!$D$14</f>
        <v>10</v>
      </c>
      <c r="O1213" s="78" t="s">
        <v>1263</v>
      </c>
      <c r="P1213" s="107">
        <v>12</v>
      </c>
      <c r="Q1213" s="65"/>
      <c r="R1213" s="65"/>
      <c r="S1213" s="110">
        <v>17500</v>
      </c>
      <c r="T1213" s="65"/>
      <c r="U1213" s="117">
        <f t="shared" si="828"/>
        <v>14583.333333333332</v>
      </c>
      <c r="V1213" s="65"/>
      <c r="W1213" s="202"/>
    </row>
    <row r="1214" spans="9:23" ht="12" hidden="1" customHeight="1" outlineLevel="1">
      <c r="I1214" s="65"/>
      <c r="J1214" s="77" t="s">
        <v>1511</v>
      </c>
      <c r="K1214" s="65"/>
      <c r="L1214" s="107">
        <v>1</v>
      </c>
      <c r="M1214" s="78" t="s">
        <v>1246</v>
      </c>
      <c r="N1214" s="107">
        <f>Dashboard!$D$14</f>
        <v>10</v>
      </c>
      <c r="O1214" s="78" t="s">
        <v>1263</v>
      </c>
      <c r="P1214" s="107">
        <v>12</v>
      </c>
      <c r="Q1214" s="65"/>
      <c r="R1214" s="65"/>
      <c r="S1214" s="110">
        <v>7500</v>
      </c>
      <c r="T1214" s="65"/>
      <c r="U1214" s="117">
        <f t="shared" si="828"/>
        <v>6250</v>
      </c>
      <c r="V1214" s="65"/>
      <c r="W1214" s="202"/>
    </row>
    <row r="1215" spans="9:23" ht="12" hidden="1" customHeight="1" outlineLevel="1">
      <c r="I1215" s="65"/>
      <c r="J1215" s="77" t="s">
        <v>1512</v>
      </c>
      <c r="K1215" s="65"/>
      <c r="L1215" s="107">
        <f>L1211</f>
        <v>2.6399999999999997</v>
      </c>
      <c r="M1215" s="78" t="s">
        <v>1246</v>
      </c>
      <c r="N1215" s="107">
        <f>Dashboard!$D$14</f>
        <v>10</v>
      </c>
      <c r="O1215" s="78" t="s">
        <v>1263</v>
      </c>
      <c r="P1215" s="107">
        <v>12</v>
      </c>
      <c r="Q1215" s="65"/>
      <c r="R1215" s="65"/>
      <c r="S1215" s="110">
        <v>318.97000000000003</v>
      </c>
      <c r="T1215" s="65"/>
      <c r="U1215" s="117">
        <f t="shared" si="828"/>
        <v>701.73400000000004</v>
      </c>
      <c r="V1215" s="65"/>
      <c r="W1215" s="202"/>
    </row>
    <row r="1216" spans="9:23" ht="12" hidden="1" customHeight="1" outlineLevel="1">
      <c r="I1216" s="65"/>
      <c r="J1216" s="77" t="s">
        <v>1513</v>
      </c>
      <c r="K1216" s="65"/>
      <c r="L1216" s="107">
        <f>-L1215</f>
        <v>-2.6399999999999997</v>
      </c>
      <c r="M1216" s="78" t="s">
        <v>1246</v>
      </c>
      <c r="N1216" s="107">
        <f>Dashboard!$D$14</f>
        <v>10</v>
      </c>
      <c r="O1216" s="78" t="s">
        <v>1263</v>
      </c>
      <c r="P1216" s="107">
        <v>12</v>
      </c>
      <c r="Q1216" s="65"/>
      <c r="R1216" s="65"/>
      <c r="S1216" s="110">
        <v>1100</v>
      </c>
      <c r="T1216" s="65"/>
      <c r="U1216" s="117">
        <f t="shared" si="828"/>
        <v>-2420</v>
      </c>
      <c r="V1216" s="65"/>
      <c r="W1216" s="202"/>
    </row>
    <row r="1217" spans="9:23" ht="12" hidden="1" customHeight="1" outlineLevel="1">
      <c r="I1217" s="65"/>
      <c r="J1217" s="77"/>
      <c r="K1217" s="65"/>
      <c r="L1217" s="107"/>
      <c r="M1217" s="78" t="s">
        <v>1246</v>
      </c>
      <c r="N1217" s="107">
        <f>Dashboard!$D$14</f>
        <v>10</v>
      </c>
      <c r="O1217" s="78" t="s">
        <v>1263</v>
      </c>
      <c r="P1217" s="107"/>
      <c r="Q1217" s="65"/>
      <c r="R1217" s="65"/>
      <c r="S1217" s="110"/>
      <c r="T1217" s="65"/>
      <c r="U1217" s="117">
        <f t="shared" si="828"/>
        <v>0</v>
      </c>
      <c r="V1217" s="65"/>
      <c r="W1217" s="202"/>
    </row>
    <row r="1218" spans="9:23" ht="12" hidden="1" customHeight="1" outlineLevel="1">
      <c r="I1218" s="65"/>
      <c r="J1218" s="65"/>
      <c r="K1218" s="65"/>
      <c r="L1218" s="65"/>
      <c r="M1218" s="65"/>
      <c r="N1218" s="65"/>
      <c r="O1218" s="65"/>
      <c r="P1218" s="65"/>
      <c r="Q1218" s="65"/>
      <c r="R1218" s="65"/>
      <c r="S1218" s="65"/>
      <c r="T1218" s="65"/>
      <c r="U1218" s="65"/>
      <c r="V1218" s="65"/>
      <c r="W1218" s="65"/>
    </row>
    <row r="1219" spans="9:23" s="196" customFormat="1" ht="24" customHeight="1" collapsed="1">
      <c r="I1219" s="189"/>
      <c r="J1219" s="185" t="s">
        <v>1514</v>
      </c>
      <c r="K1219" s="190"/>
      <c r="L1219" s="190"/>
      <c r="M1219" s="190"/>
      <c r="N1219" s="190"/>
      <c r="O1219" s="190"/>
      <c r="P1219" s="190"/>
      <c r="Q1219" s="190"/>
      <c r="R1219" s="190"/>
      <c r="S1219" s="191"/>
      <c r="T1219" s="192">
        <f>IFERROR(U1219/$U$2,0)</f>
        <v>0</v>
      </c>
      <c r="U1219" s="193">
        <f>SUM(U1221:U1244)</f>
        <v>0</v>
      </c>
      <c r="V1219" s="190"/>
      <c r="W1219" s="194"/>
    </row>
    <row r="1220" spans="9:23" ht="12" hidden="1" customHeight="1" outlineLevel="1">
      <c r="I1220" s="65"/>
      <c r="J1220" s="65"/>
      <c r="K1220" s="65"/>
      <c r="L1220" s="65"/>
      <c r="M1220" s="65"/>
      <c r="N1220" s="65"/>
      <c r="O1220" s="65"/>
      <c r="P1220" s="65"/>
      <c r="Q1220" s="65"/>
      <c r="R1220" s="65"/>
      <c r="S1220" s="65"/>
      <c r="T1220" s="65"/>
      <c r="U1220" s="65"/>
      <c r="V1220" s="65"/>
      <c r="W1220" s="65"/>
    </row>
    <row r="1221" spans="9:23" ht="24" hidden="1" customHeight="1" outlineLevel="1">
      <c r="I1221" s="65"/>
      <c r="J1221" s="142" t="s">
        <v>1515</v>
      </c>
      <c r="K1221" s="65"/>
      <c r="L1221" s="142" t="s">
        <v>1179</v>
      </c>
      <c r="M1221" s="142" t="s">
        <v>1238</v>
      </c>
      <c r="N1221" s="142" t="s">
        <v>1260</v>
      </c>
      <c r="O1221" s="142" t="s">
        <v>1261</v>
      </c>
      <c r="P1221" s="65"/>
      <c r="Q1221" s="65"/>
      <c r="R1221" s="65"/>
      <c r="S1221" s="142" t="s">
        <v>1240</v>
      </c>
      <c r="T1221" s="65"/>
      <c r="U1221" s="142" t="s">
        <v>1241</v>
      </c>
      <c r="V1221" s="65"/>
      <c r="W1221" s="142" t="s">
        <v>1111</v>
      </c>
    </row>
    <row r="1222" spans="9:23" ht="12" hidden="1" customHeight="1" outlineLevel="1">
      <c r="I1222" s="65"/>
      <c r="J1222" s="143" t="str">
        <f>IF(Equipamentos!C690&gt;0,Equipamentos!C690,"")</f>
        <v>Pick-up 4x4</v>
      </c>
      <c r="K1222" s="65"/>
      <c r="L1222" s="144">
        <f>Equipamentos!D690</f>
        <v>0</v>
      </c>
      <c r="M1222" s="105" t="str">
        <f>Equipamentos!BP690</f>
        <v>Unidades</v>
      </c>
      <c r="N1222" s="144">
        <f>Equipamentos!E690</f>
        <v>0</v>
      </c>
      <c r="O1222" s="105" t="s">
        <v>1263</v>
      </c>
      <c r="P1222" s="65"/>
      <c r="Q1222" s="65"/>
      <c r="R1222" s="65"/>
      <c r="S1222" s="110">
        <v>4500</v>
      </c>
      <c r="T1222" s="65"/>
      <c r="U1222" s="117">
        <f>L1222*N1222*S1222</f>
        <v>0</v>
      </c>
      <c r="V1222" s="65"/>
      <c r="W1222" s="202"/>
    </row>
    <row r="1223" spans="9:23" ht="12" hidden="1" customHeight="1" outlineLevel="1">
      <c r="I1223" s="65"/>
      <c r="J1223" s="143" t="str">
        <f>IF(Equipamentos!C691&gt;0,Equipamentos!C691,"")</f>
        <v>Pick-up média</v>
      </c>
      <c r="K1223" s="65"/>
      <c r="L1223" s="144">
        <f>Equipamentos!D691</f>
        <v>0</v>
      </c>
      <c r="M1223" s="105" t="str">
        <f>Equipamentos!BP691</f>
        <v>Unidades</v>
      </c>
      <c r="N1223" s="144">
        <f>Equipamentos!E691</f>
        <v>0</v>
      </c>
      <c r="O1223" s="105" t="s">
        <v>1263</v>
      </c>
      <c r="P1223" s="65"/>
      <c r="Q1223" s="65"/>
      <c r="R1223" s="65"/>
      <c r="S1223" s="110">
        <v>3800</v>
      </c>
      <c r="T1223" s="65"/>
      <c r="U1223" s="117">
        <f t="shared" ref="U1223:U1228" si="829">L1223*N1223*S1223</f>
        <v>0</v>
      </c>
      <c r="V1223" s="65"/>
      <c r="W1223" s="202"/>
    </row>
    <row r="1224" spans="9:23" ht="12" hidden="1" customHeight="1" outlineLevel="1">
      <c r="I1224" s="65"/>
      <c r="J1224" s="143" t="str">
        <f>IF(Equipamentos!C692&gt;0,Equipamentos!C692,"")</f>
        <v>Pick-up utilitário</v>
      </c>
      <c r="K1224" s="65"/>
      <c r="L1224" s="144">
        <f>Equipamentos!D692</f>
        <v>0</v>
      </c>
      <c r="M1224" s="105" t="str">
        <f>Equipamentos!BP692</f>
        <v>Unidades</v>
      </c>
      <c r="N1224" s="144">
        <f>Equipamentos!E692</f>
        <v>0</v>
      </c>
      <c r="O1224" s="105" t="s">
        <v>1263</v>
      </c>
      <c r="P1224" s="65"/>
      <c r="Q1224" s="65"/>
      <c r="R1224" s="65"/>
      <c r="S1224" s="110">
        <v>2500</v>
      </c>
      <c r="T1224" s="65"/>
      <c r="U1224" s="117">
        <f t="shared" si="829"/>
        <v>0</v>
      </c>
      <c r="V1224" s="65"/>
      <c r="W1224" s="202"/>
    </row>
    <row r="1225" spans="9:23" ht="12" hidden="1" customHeight="1" outlineLevel="1">
      <c r="I1225" s="65"/>
      <c r="J1225" s="143" t="str">
        <f>IF(Equipamentos!C693&gt;0,Equipamentos!C693,"")</f>
        <v>Veículo 7 lugares</v>
      </c>
      <c r="K1225" s="65"/>
      <c r="L1225" s="144">
        <f>Equipamentos!D693</f>
        <v>0</v>
      </c>
      <c r="M1225" s="105" t="str">
        <f>Equipamentos!BP693</f>
        <v>Unidades</v>
      </c>
      <c r="N1225" s="144">
        <f>Equipamentos!E693</f>
        <v>0</v>
      </c>
      <c r="O1225" s="105" t="s">
        <v>1263</v>
      </c>
      <c r="P1225" s="65"/>
      <c r="Q1225" s="65"/>
      <c r="R1225" s="65"/>
      <c r="S1225" s="110">
        <v>3800</v>
      </c>
      <c r="T1225" s="65"/>
      <c r="U1225" s="117">
        <f t="shared" si="829"/>
        <v>0</v>
      </c>
      <c r="V1225" s="65"/>
      <c r="W1225" s="202"/>
    </row>
    <row r="1226" spans="9:23" ht="12" hidden="1" customHeight="1" outlineLevel="1">
      <c r="I1226" s="65"/>
      <c r="J1226" s="143" t="str">
        <f>IF(Equipamentos!C694&gt;0,Equipamentos!C694,"")</f>
        <v>Veículo leve sedan</v>
      </c>
      <c r="K1226" s="65"/>
      <c r="L1226" s="144">
        <f>Equipamentos!D694</f>
        <v>0</v>
      </c>
      <c r="M1226" s="105" t="str">
        <f>Equipamentos!BP694</f>
        <v>Unidades</v>
      </c>
      <c r="N1226" s="144">
        <f>Equipamentos!E694</f>
        <v>0</v>
      </c>
      <c r="O1226" s="105" t="s">
        <v>1263</v>
      </c>
      <c r="P1226" s="65"/>
      <c r="Q1226" s="65"/>
      <c r="R1226" s="65"/>
      <c r="S1226" s="110">
        <v>2200</v>
      </c>
      <c r="T1226" s="65"/>
      <c r="U1226" s="117">
        <f t="shared" si="829"/>
        <v>0</v>
      </c>
      <c r="V1226" s="65"/>
      <c r="W1226" s="202"/>
    </row>
    <row r="1227" spans="9:23" ht="12" hidden="1" customHeight="1" outlineLevel="1">
      <c r="I1227" s="65"/>
      <c r="J1227" s="143" t="str">
        <f>IF(Equipamentos!C695&gt;0,Equipamentos!C695,"")</f>
        <v>Veículo leve hatch</v>
      </c>
      <c r="K1227" s="65"/>
      <c r="L1227" s="144">
        <f>Equipamentos!D695</f>
        <v>0</v>
      </c>
      <c r="M1227" s="105" t="str">
        <f>Equipamentos!BP695</f>
        <v>Unidades</v>
      </c>
      <c r="N1227" s="144">
        <f>Equipamentos!E695</f>
        <v>0</v>
      </c>
      <c r="O1227" s="105" t="s">
        <v>1263</v>
      </c>
      <c r="P1227" s="65"/>
      <c r="Q1227" s="65"/>
      <c r="R1227" s="65"/>
      <c r="S1227" s="110">
        <v>2100</v>
      </c>
      <c r="T1227" s="65"/>
      <c r="U1227" s="117">
        <f t="shared" si="829"/>
        <v>0</v>
      </c>
      <c r="V1227" s="65"/>
      <c r="W1227" s="202"/>
    </row>
    <row r="1228" spans="9:23" ht="12" hidden="1" customHeight="1" outlineLevel="1">
      <c r="I1228" s="65"/>
      <c r="J1228" s="143" t="str">
        <f>IF(Equipamentos!C696&gt;0,Equipamentos!C696,"")</f>
        <v/>
      </c>
      <c r="K1228" s="65"/>
      <c r="L1228" s="144">
        <f>Equipamentos!D696</f>
        <v>0</v>
      </c>
      <c r="M1228" s="105" t="str">
        <f>Equipamentos!BP696</f>
        <v>Unidades</v>
      </c>
      <c r="N1228" s="144">
        <f>Equipamentos!E696</f>
        <v>0</v>
      </c>
      <c r="O1228" s="105" t="s">
        <v>1263</v>
      </c>
      <c r="P1228" s="65"/>
      <c r="Q1228" s="65"/>
      <c r="R1228" s="65"/>
      <c r="S1228" s="110"/>
      <c r="T1228" s="65"/>
      <c r="U1228" s="117">
        <f t="shared" si="829"/>
        <v>0</v>
      </c>
      <c r="V1228" s="65"/>
      <c r="W1228" s="202"/>
    </row>
    <row r="1229" spans="9:23" ht="12" hidden="1" customHeight="1" outlineLevel="1">
      <c r="I1229" s="65"/>
      <c r="J1229" s="65"/>
      <c r="K1229" s="65"/>
      <c r="L1229" s="65"/>
      <c r="M1229" s="65"/>
      <c r="N1229" s="65"/>
      <c r="O1229" s="65"/>
      <c r="P1229" s="65"/>
      <c r="Q1229" s="65"/>
      <c r="R1229" s="65"/>
      <c r="S1229" s="65"/>
      <c r="T1229" s="65"/>
      <c r="U1229" s="65"/>
      <c r="V1229" s="65"/>
      <c r="W1229" s="65"/>
    </row>
    <row r="1230" spans="9:23" ht="24" hidden="1" customHeight="1" outlineLevel="1">
      <c r="I1230" s="65"/>
      <c r="J1230" s="142" t="s">
        <v>1516</v>
      </c>
      <c r="K1230" s="65"/>
      <c r="L1230" s="142" t="s">
        <v>1179</v>
      </c>
      <c r="M1230" s="142" t="s">
        <v>1238</v>
      </c>
      <c r="N1230" s="142" t="s">
        <v>1260</v>
      </c>
      <c r="O1230" s="142" t="s">
        <v>1261</v>
      </c>
      <c r="P1230" s="65"/>
      <c r="Q1230" s="65"/>
      <c r="R1230" s="65"/>
      <c r="S1230" s="142" t="s">
        <v>1240</v>
      </c>
      <c r="T1230" s="65"/>
      <c r="U1230" s="142" t="s">
        <v>1241</v>
      </c>
      <c r="V1230" s="65"/>
      <c r="W1230" s="142" t="s">
        <v>1111</v>
      </c>
    </row>
    <row r="1231" spans="9:23" ht="12" hidden="1" customHeight="1" outlineLevel="1">
      <c r="I1231" s="65"/>
      <c r="J1231" s="143" t="str">
        <f>IF(Equipamentos!C700&gt;0,Equipamentos!C700,"")</f>
        <v>Locação de ônibus 44 lugares com motorista</v>
      </c>
      <c r="K1231" s="65"/>
      <c r="L1231" s="144">
        <f>Equipamentos!D700</f>
        <v>0</v>
      </c>
      <c r="M1231" s="105" t="str">
        <f>Equipamentos!BP700</f>
        <v>Unidades</v>
      </c>
      <c r="N1231" s="144">
        <f>Equipamentos!E700</f>
        <v>0</v>
      </c>
      <c r="O1231" s="105" t="s">
        <v>1263</v>
      </c>
      <c r="P1231" s="65"/>
      <c r="Q1231" s="65"/>
      <c r="R1231" s="65"/>
      <c r="S1231" s="110">
        <v>14000</v>
      </c>
      <c r="T1231" s="65"/>
      <c r="U1231" s="117">
        <f>L1231*N1231*S1231</f>
        <v>0</v>
      </c>
      <c r="V1231" s="65"/>
      <c r="W1231" s="202"/>
    </row>
    <row r="1232" spans="9:23" ht="12" hidden="1" customHeight="1" outlineLevel="1">
      <c r="I1232" s="65"/>
      <c r="J1232" s="143" t="str">
        <f>IF(Equipamentos!C701&gt;0,Equipamentos!C701,"")</f>
        <v>Locação de micro-ônibus 28 lugares com motorista</v>
      </c>
      <c r="K1232" s="65"/>
      <c r="L1232" s="144">
        <f>Equipamentos!D701</f>
        <v>0</v>
      </c>
      <c r="M1232" s="105" t="str">
        <f>Equipamentos!BP701</f>
        <v>Unidades</v>
      </c>
      <c r="N1232" s="144">
        <f>Equipamentos!E701</f>
        <v>0</v>
      </c>
      <c r="O1232" s="105" t="s">
        <v>1263</v>
      </c>
      <c r="P1232" s="65"/>
      <c r="Q1232" s="65"/>
      <c r="R1232" s="65"/>
      <c r="S1232" s="110">
        <v>13500</v>
      </c>
      <c r="T1232" s="65"/>
      <c r="U1232" s="117">
        <f t="shared" ref="U1232:U1234" si="830">L1232*N1232*S1232</f>
        <v>0</v>
      </c>
      <c r="V1232" s="65"/>
      <c r="W1232" s="202"/>
    </row>
    <row r="1233" spans="9:23" ht="12" hidden="1" customHeight="1" outlineLevel="1">
      <c r="I1233" s="65"/>
      <c r="J1233" s="143" t="str">
        <f>IF(Equipamentos!C702&gt;0,Equipamentos!C702,"")</f>
        <v>Locação de van 15 lugares com motorista</v>
      </c>
      <c r="K1233" s="65"/>
      <c r="L1233" s="144">
        <f>Equipamentos!D702</f>
        <v>0</v>
      </c>
      <c r="M1233" s="105" t="str">
        <f>Equipamentos!BP702</f>
        <v>Unidades</v>
      </c>
      <c r="N1233" s="144">
        <f>Equipamentos!E702</f>
        <v>0</v>
      </c>
      <c r="O1233" s="105" t="s">
        <v>1263</v>
      </c>
      <c r="P1233" s="65"/>
      <c r="Q1233" s="65"/>
      <c r="R1233" s="65"/>
      <c r="S1233" s="110">
        <v>12000</v>
      </c>
      <c r="T1233" s="65"/>
      <c r="U1233" s="117">
        <f t="shared" si="830"/>
        <v>0</v>
      </c>
      <c r="V1233" s="65"/>
      <c r="W1233" s="202"/>
    </row>
    <row r="1234" spans="9:23" ht="12" hidden="1" customHeight="1" outlineLevel="1">
      <c r="I1234" s="65"/>
      <c r="J1234" s="143" t="str">
        <f>IF(Equipamentos!C703&gt;0,Equipamentos!C703,"")</f>
        <v/>
      </c>
      <c r="K1234" s="65"/>
      <c r="L1234" s="144">
        <f>Equipamentos!D703</f>
        <v>0</v>
      </c>
      <c r="M1234" s="105" t="str">
        <f>Equipamentos!BP703</f>
        <v>Unidades</v>
      </c>
      <c r="N1234" s="144">
        <f>Equipamentos!E703</f>
        <v>0</v>
      </c>
      <c r="O1234" s="105" t="s">
        <v>1263</v>
      </c>
      <c r="P1234" s="65"/>
      <c r="Q1234" s="65"/>
      <c r="R1234" s="65"/>
      <c r="S1234" s="110"/>
      <c r="T1234" s="65"/>
      <c r="U1234" s="117">
        <f t="shared" si="830"/>
        <v>0</v>
      </c>
      <c r="V1234" s="65"/>
      <c r="W1234" s="202"/>
    </row>
    <row r="1235" spans="9:23" ht="12" hidden="1" customHeight="1" outlineLevel="1">
      <c r="I1235" s="65"/>
      <c r="J1235" s="65"/>
      <c r="K1235" s="65"/>
      <c r="L1235" s="65"/>
      <c r="M1235" s="65"/>
      <c r="N1235" s="65"/>
      <c r="O1235" s="65"/>
      <c r="P1235" s="65"/>
      <c r="Q1235" s="65"/>
      <c r="R1235" s="65"/>
      <c r="S1235" s="65"/>
      <c r="T1235" s="65"/>
      <c r="U1235" s="65"/>
      <c r="V1235" s="65"/>
      <c r="W1235" s="65"/>
    </row>
    <row r="1236" spans="9:23" ht="24" hidden="1" customHeight="1" outlineLevel="1">
      <c r="I1236" s="65"/>
      <c r="J1236" s="142" t="s">
        <v>1517</v>
      </c>
      <c r="K1236" s="65"/>
      <c r="L1236" s="142" t="s">
        <v>1179</v>
      </c>
      <c r="M1236" s="142" t="s">
        <v>1238</v>
      </c>
      <c r="N1236" s="142" t="s">
        <v>1260</v>
      </c>
      <c r="O1236" s="142" t="s">
        <v>1261</v>
      </c>
      <c r="P1236" s="65"/>
      <c r="Q1236" s="65"/>
      <c r="R1236" s="65"/>
      <c r="S1236" s="142" t="s">
        <v>1240</v>
      </c>
      <c r="T1236" s="65"/>
      <c r="U1236" s="142" t="s">
        <v>1241</v>
      </c>
      <c r="V1236" s="65"/>
      <c r="W1236" s="142" t="s">
        <v>1111</v>
      </c>
    </row>
    <row r="1237" spans="9:23" ht="12" hidden="1" customHeight="1" outlineLevel="1">
      <c r="I1237" s="65"/>
      <c r="J1237" s="77" t="s">
        <v>1518</v>
      </c>
      <c r="K1237" s="65"/>
      <c r="L1237" s="107">
        <f>SUM(L1222:L1228)*2000/10</f>
        <v>0</v>
      </c>
      <c r="M1237" s="78" t="s">
        <v>1519</v>
      </c>
      <c r="N1237" s="107">
        <f>Dashboard!$D$14</f>
        <v>10</v>
      </c>
      <c r="O1237" s="78" t="s">
        <v>1263</v>
      </c>
      <c r="P1237" s="65"/>
      <c r="Q1237" s="65"/>
      <c r="R1237" s="65"/>
      <c r="S1237" s="110">
        <v>6.2</v>
      </c>
      <c r="T1237" s="65"/>
      <c r="U1237" s="117">
        <f t="shared" ref="U1237:U1241" si="831">L1237*N1237*S1237</f>
        <v>0</v>
      </c>
      <c r="V1237" s="65"/>
      <c r="W1237" s="202"/>
    </row>
    <row r="1238" spans="9:23" ht="12" hidden="1" customHeight="1" outlineLevel="1">
      <c r="I1238" s="65"/>
      <c r="J1238" s="77" t="s">
        <v>1520</v>
      </c>
      <c r="K1238" s="65"/>
      <c r="L1238" s="107">
        <f>L1231*3000/6</f>
        <v>0</v>
      </c>
      <c r="M1238" s="78" t="s">
        <v>1519</v>
      </c>
      <c r="N1238" s="107">
        <f>Dashboard!$D$14</f>
        <v>10</v>
      </c>
      <c r="O1238" s="78" t="s">
        <v>1263</v>
      </c>
      <c r="P1238" s="65"/>
      <c r="Q1238" s="65"/>
      <c r="R1238" s="65"/>
      <c r="S1238" s="110">
        <v>7.2</v>
      </c>
      <c r="T1238" s="65"/>
      <c r="U1238" s="117">
        <f t="shared" si="831"/>
        <v>0</v>
      </c>
      <c r="V1238" s="65"/>
      <c r="W1238" s="202"/>
    </row>
    <row r="1239" spans="9:23" ht="12" hidden="1" customHeight="1" outlineLevel="1">
      <c r="I1239" s="65"/>
      <c r="J1239" s="77" t="s">
        <v>1521</v>
      </c>
      <c r="K1239" s="65"/>
      <c r="L1239" s="107">
        <f>L1232*3000/6</f>
        <v>0</v>
      </c>
      <c r="M1239" s="78" t="s">
        <v>1519</v>
      </c>
      <c r="N1239" s="107">
        <f>Dashboard!$D$14</f>
        <v>10</v>
      </c>
      <c r="O1239" s="78" t="s">
        <v>1263</v>
      </c>
      <c r="P1239" s="65"/>
      <c r="Q1239" s="65"/>
      <c r="R1239" s="65"/>
      <c r="S1239" s="110">
        <v>7.2</v>
      </c>
      <c r="T1239" s="65"/>
      <c r="U1239" s="117">
        <f t="shared" si="831"/>
        <v>0</v>
      </c>
      <c r="V1239" s="65"/>
      <c r="W1239" s="202"/>
    </row>
    <row r="1240" spans="9:23" ht="12" hidden="1" customHeight="1" outlineLevel="1">
      <c r="I1240" s="65"/>
      <c r="J1240" s="77" t="s">
        <v>1522</v>
      </c>
      <c r="K1240" s="65"/>
      <c r="L1240" s="107">
        <f>L1233*3000/6</f>
        <v>0</v>
      </c>
      <c r="M1240" s="78" t="s">
        <v>1519</v>
      </c>
      <c r="N1240" s="107">
        <f>Dashboard!$D$14</f>
        <v>10</v>
      </c>
      <c r="O1240" s="78" t="s">
        <v>1263</v>
      </c>
      <c r="P1240" s="65"/>
      <c r="Q1240" s="65"/>
      <c r="R1240" s="65"/>
      <c r="S1240" s="110">
        <v>7.2</v>
      </c>
      <c r="T1240" s="65"/>
      <c r="U1240" s="117">
        <f t="shared" si="831"/>
        <v>0</v>
      </c>
      <c r="V1240" s="65"/>
      <c r="W1240" s="202"/>
    </row>
    <row r="1241" spans="9:23" ht="12" hidden="1" customHeight="1" outlineLevel="1">
      <c r="I1241" s="65"/>
      <c r="J1241" s="77"/>
      <c r="K1241" s="65"/>
      <c r="L1241" s="107"/>
      <c r="M1241" s="78"/>
      <c r="N1241" s="107">
        <f>Dashboard!$D$14</f>
        <v>10</v>
      </c>
      <c r="O1241" s="78" t="s">
        <v>1263</v>
      </c>
      <c r="P1241" s="65"/>
      <c r="Q1241" s="65"/>
      <c r="R1241" s="65"/>
      <c r="S1241" s="110"/>
      <c r="T1241" s="65"/>
      <c r="U1241" s="117">
        <f t="shared" si="831"/>
        <v>0</v>
      </c>
      <c r="V1241" s="65"/>
      <c r="W1241" s="202"/>
    </row>
    <row r="1242" spans="9:23" ht="12" hidden="1" customHeight="1" outlineLevel="1">
      <c r="I1242" s="65"/>
      <c r="J1242" s="65"/>
      <c r="K1242" s="65"/>
      <c r="L1242" s="65"/>
      <c r="M1242" s="65"/>
      <c r="N1242" s="65"/>
      <c r="O1242" s="65"/>
      <c r="P1242" s="65"/>
      <c r="Q1242" s="65"/>
      <c r="R1242" s="65"/>
      <c r="S1242" s="65"/>
      <c r="T1242" s="65"/>
      <c r="U1242" s="65"/>
      <c r="V1242" s="65"/>
      <c r="W1242" s="65"/>
    </row>
    <row r="1243" spans="9:23" ht="24" hidden="1" customHeight="1" outlineLevel="1">
      <c r="I1243" s="65"/>
      <c r="J1243" s="142" t="s">
        <v>1523</v>
      </c>
      <c r="K1243" s="65"/>
      <c r="L1243" s="142" t="s">
        <v>1179</v>
      </c>
      <c r="M1243" s="142" t="s">
        <v>1238</v>
      </c>
      <c r="N1243" s="142" t="s">
        <v>1260</v>
      </c>
      <c r="O1243" s="142" t="s">
        <v>1261</v>
      </c>
      <c r="P1243" s="65"/>
      <c r="Q1243" s="65"/>
      <c r="R1243" s="65"/>
      <c r="S1243" s="142" t="s">
        <v>1240</v>
      </c>
      <c r="T1243" s="65"/>
      <c r="U1243" s="142" t="s">
        <v>1241</v>
      </c>
      <c r="V1243" s="65"/>
      <c r="W1243" s="142" t="s">
        <v>1111</v>
      </c>
    </row>
    <row r="1244" spans="9:23" ht="12" hidden="1" customHeight="1" outlineLevel="1">
      <c r="I1244" s="65"/>
      <c r="J1244" s="77" t="s">
        <v>1523</v>
      </c>
      <c r="K1244" s="65"/>
      <c r="L1244" s="107">
        <f>SUM(L1222:L1234)*20*2</f>
        <v>0</v>
      </c>
      <c r="M1244" s="78" t="s">
        <v>1524</v>
      </c>
      <c r="N1244" s="107">
        <f>Dashboard!$D$14</f>
        <v>10</v>
      </c>
      <c r="O1244" s="78" t="s">
        <v>1263</v>
      </c>
      <c r="P1244" s="65"/>
      <c r="Q1244" s="65"/>
      <c r="R1244" s="65"/>
      <c r="S1244" s="110"/>
      <c r="T1244" s="65"/>
      <c r="U1244" s="117">
        <f t="shared" ref="U1244" si="832">L1244*N1244*S1244</f>
        <v>0</v>
      </c>
      <c r="V1244" s="65"/>
      <c r="W1244" s="202"/>
    </row>
    <row r="1245" spans="9:23" ht="12" hidden="1" customHeight="1" outlineLevel="1">
      <c r="I1245" s="65"/>
      <c r="J1245" s="65"/>
      <c r="K1245" s="65"/>
      <c r="L1245" s="65"/>
      <c r="M1245" s="65"/>
      <c r="N1245" s="65"/>
      <c r="O1245" s="65"/>
      <c r="P1245" s="65"/>
      <c r="Q1245" s="65"/>
      <c r="R1245" s="65"/>
      <c r="S1245" s="65"/>
      <c r="T1245" s="65"/>
      <c r="U1245" s="65"/>
      <c r="V1245" s="65"/>
      <c r="W1245" s="65"/>
    </row>
    <row r="1246" spans="9:23" s="196" customFormat="1" ht="24" customHeight="1" collapsed="1">
      <c r="I1246" s="189"/>
      <c r="J1246" s="185" t="s">
        <v>72</v>
      </c>
      <c r="K1246" s="190"/>
      <c r="L1246" s="190"/>
      <c r="M1246" s="190"/>
      <c r="N1246" s="190"/>
      <c r="O1246" s="190"/>
      <c r="P1246" s="190"/>
      <c r="Q1246" s="190"/>
      <c r="R1246" s="190"/>
      <c r="S1246" s="191"/>
      <c r="T1246" s="192">
        <f>IFERROR(U1246/$U$2,0)</f>
        <v>0</v>
      </c>
      <c r="U1246" s="193">
        <f>SUM(U1248:U1376)</f>
        <v>0</v>
      </c>
      <c r="V1246" s="190"/>
      <c r="W1246" s="194"/>
    </row>
    <row r="1247" spans="9:23" ht="12" hidden="1" customHeight="1" outlineLevel="1">
      <c r="I1247" s="65"/>
      <c r="J1247" s="65"/>
      <c r="K1247" s="65"/>
      <c r="L1247" s="65"/>
      <c r="M1247" s="65"/>
      <c r="N1247" s="65"/>
      <c r="O1247" s="65"/>
      <c r="P1247" s="65"/>
      <c r="Q1247" s="65"/>
      <c r="R1247" s="65"/>
      <c r="S1247" s="65"/>
      <c r="T1247" s="65"/>
      <c r="U1247" s="65"/>
      <c r="V1247" s="65"/>
      <c r="W1247" s="65"/>
    </row>
    <row r="1248" spans="9:23" ht="24" hidden="1" customHeight="1" outlineLevel="1">
      <c r="I1248" s="65"/>
      <c r="J1248" s="142" t="s">
        <v>1515</v>
      </c>
      <c r="K1248" s="65"/>
      <c r="L1248" s="142" t="s">
        <v>1179</v>
      </c>
      <c r="M1248" s="142" t="s">
        <v>1238</v>
      </c>
      <c r="N1248" s="142" t="s">
        <v>1260</v>
      </c>
      <c r="O1248" s="142" t="s">
        <v>1261</v>
      </c>
      <c r="P1248" s="65"/>
      <c r="Q1248" s="65"/>
      <c r="R1248" s="65"/>
      <c r="S1248" s="142" t="s">
        <v>1240</v>
      </c>
      <c r="T1248" s="65"/>
      <c r="U1248" s="142" t="s">
        <v>1241</v>
      </c>
      <c r="V1248" s="65"/>
      <c r="W1248" s="142" t="s">
        <v>1111</v>
      </c>
    </row>
    <row r="1249" spans="9:23" ht="12" hidden="1" customHeight="1" outlineLevel="1">
      <c r="I1249" s="65"/>
      <c r="J1249" s="143" t="str">
        <f>IF(Equipamentos!C713&gt;0,Equipamentos!C713,"")</f>
        <v>Ambulância</v>
      </c>
      <c r="K1249" s="65"/>
      <c r="L1249" s="144">
        <f>Equipamentos!D713</f>
        <v>0</v>
      </c>
      <c r="M1249" s="105" t="s">
        <v>1004</v>
      </c>
      <c r="N1249" s="144">
        <f>Equipamentos!E713</f>
        <v>0</v>
      </c>
      <c r="O1249" s="105" t="s">
        <v>1263</v>
      </c>
      <c r="P1249" s="65"/>
      <c r="Q1249" s="65"/>
      <c r="R1249" s="65"/>
      <c r="S1249" s="110">
        <v>17000</v>
      </c>
      <c r="T1249" s="65"/>
      <c r="U1249" s="117">
        <f>L1249*N1249*S1249</f>
        <v>0</v>
      </c>
      <c r="V1249" s="65"/>
      <c r="W1249" s="202"/>
    </row>
    <row r="1250" spans="9:23" ht="12" hidden="1" customHeight="1" outlineLevel="1">
      <c r="I1250" s="65"/>
      <c r="J1250" s="143" t="str">
        <f>IF(Equipamentos!C714&gt;0,Equipamentos!C714,"")</f>
        <v>Caminhão comboio</v>
      </c>
      <c r="K1250" s="65"/>
      <c r="L1250" s="144">
        <f>Equipamentos!D714</f>
        <v>0</v>
      </c>
      <c r="M1250" s="105" t="s">
        <v>1004</v>
      </c>
      <c r="N1250" s="144">
        <f>Equipamentos!E714</f>
        <v>0</v>
      </c>
      <c r="O1250" s="105" t="s">
        <v>1263</v>
      </c>
      <c r="P1250" s="65"/>
      <c r="Q1250" s="65"/>
      <c r="R1250" s="65"/>
      <c r="S1250" s="110">
        <v>15800</v>
      </c>
      <c r="T1250" s="65"/>
      <c r="U1250" s="117">
        <f t="shared" ref="U1250:U1290" si="833">L1250*N1250*S1250</f>
        <v>0</v>
      </c>
      <c r="V1250" s="65"/>
      <c r="W1250" s="202"/>
    </row>
    <row r="1251" spans="9:23" ht="12" hidden="1" customHeight="1" outlineLevel="1">
      <c r="I1251" s="65"/>
      <c r="J1251" s="143" t="str">
        <f>IF(Equipamentos!C715&gt;0,Equipamentos!C715,"")</f>
        <v>Carreta prancha</v>
      </c>
      <c r="K1251" s="65"/>
      <c r="L1251" s="144">
        <f>Equipamentos!D715</f>
        <v>0</v>
      </c>
      <c r="M1251" s="105" t="s">
        <v>1004</v>
      </c>
      <c r="N1251" s="144">
        <f>Equipamentos!E715</f>
        <v>0</v>
      </c>
      <c r="O1251" s="105" t="s">
        <v>1263</v>
      </c>
      <c r="P1251" s="65"/>
      <c r="Q1251" s="65"/>
      <c r="R1251" s="65"/>
      <c r="S1251" s="110">
        <v>22000</v>
      </c>
      <c r="T1251" s="65"/>
      <c r="U1251" s="117">
        <f t="shared" si="833"/>
        <v>0</v>
      </c>
      <c r="V1251" s="65"/>
      <c r="W1251" s="202"/>
    </row>
    <row r="1252" spans="9:23" ht="12" hidden="1" customHeight="1" outlineLevel="1">
      <c r="I1252" s="65"/>
      <c r="J1252" s="143" t="str">
        <f>IF(Equipamentos!C716&gt;0,Equipamentos!C716,"")</f>
        <v>Caminhão truck</v>
      </c>
      <c r="K1252" s="65"/>
      <c r="L1252" s="144">
        <f>Equipamentos!D716</f>
        <v>0</v>
      </c>
      <c r="M1252" s="105" t="s">
        <v>1004</v>
      </c>
      <c r="N1252" s="144">
        <f>Equipamentos!E716</f>
        <v>0</v>
      </c>
      <c r="O1252" s="105" t="s">
        <v>1263</v>
      </c>
      <c r="P1252" s="65"/>
      <c r="Q1252" s="65"/>
      <c r="R1252" s="65"/>
      <c r="S1252" s="110">
        <f>153*220</f>
        <v>33660</v>
      </c>
      <c r="T1252" s="65"/>
      <c r="U1252" s="117">
        <f t="shared" si="833"/>
        <v>0</v>
      </c>
      <c r="V1252" s="65"/>
      <c r="W1252" s="202"/>
    </row>
    <row r="1253" spans="9:23" ht="12" hidden="1" customHeight="1" outlineLevel="1">
      <c r="I1253" s="65"/>
      <c r="J1253" s="143" t="str">
        <f>IF(Equipamentos!C717&gt;0,Equipamentos!C717,"")</f>
        <v>Caminhão munck 10 Ton</v>
      </c>
      <c r="K1253" s="65"/>
      <c r="L1253" s="144">
        <f>Equipamentos!D717</f>
        <v>0</v>
      </c>
      <c r="M1253" s="105" t="s">
        <v>1004</v>
      </c>
      <c r="N1253" s="144">
        <f>Equipamentos!E717</f>
        <v>0</v>
      </c>
      <c r="O1253" s="105" t="s">
        <v>1263</v>
      </c>
      <c r="P1253" s="65"/>
      <c r="Q1253" s="65"/>
      <c r="R1253" s="65"/>
      <c r="S1253" s="110">
        <v>16000</v>
      </c>
      <c r="T1253" s="65"/>
      <c r="U1253" s="117">
        <f t="shared" si="833"/>
        <v>0</v>
      </c>
      <c r="V1253" s="65"/>
      <c r="W1253" s="202"/>
    </row>
    <row r="1254" spans="9:23" ht="12" hidden="1" customHeight="1" outlineLevel="1">
      <c r="I1254" s="65"/>
      <c r="J1254" s="143" t="str">
        <f>IF(Equipamentos!C718&gt;0,Equipamentos!C718,"")</f>
        <v>Caminhão munck 15 Ton</v>
      </c>
      <c r="K1254" s="65"/>
      <c r="L1254" s="144">
        <f>Equipamentos!D718</f>
        <v>0</v>
      </c>
      <c r="M1254" s="105" t="s">
        <v>1004</v>
      </c>
      <c r="N1254" s="144">
        <f>Equipamentos!E718</f>
        <v>0</v>
      </c>
      <c r="O1254" s="105" t="s">
        <v>1263</v>
      </c>
      <c r="P1254" s="65"/>
      <c r="Q1254" s="65"/>
      <c r="R1254" s="65"/>
      <c r="S1254" s="110">
        <v>19000</v>
      </c>
      <c r="T1254" s="65"/>
      <c r="U1254" s="117">
        <f t="shared" si="833"/>
        <v>0</v>
      </c>
      <c r="V1254" s="65"/>
      <c r="W1254" s="202"/>
    </row>
    <row r="1255" spans="9:23" ht="12" hidden="1" customHeight="1" outlineLevel="1">
      <c r="I1255" s="65"/>
      <c r="J1255" s="143" t="str">
        <f>IF(Equipamentos!C719&gt;0,Equipamentos!C719,"")</f>
        <v>Caminhão munck 20 Ton</v>
      </c>
      <c r="K1255" s="65"/>
      <c r="L1255" s="144">
        <f>Equipamentos!D719</f>
        <v>0</v>
      </c>
      <c r="M1255" s="105" t="s">
        <v>1004</v>
      </c>
      <c r="N1255" s="144">
        <f>Equipamentos!E719</f>
        <v>0</v>
      </c>
      <c r="O1255" s="105" t="s">
        <v>1263</v>
      </c>
      <c r="P1255" s="65"/>
      <c r="Q1255" s="65"/>
      <c r="R1255" s="65"/>
      <c r="S1255" s="110">
        <v>22000</v>
      </c>
      <c r="T1255" s="65"/>
      <c r="U1255" s="117">
        <f t="shared" ref="U1255:U1269" si="834">L1255*N1255*S1255</f>
        <v>0</v>
      </c>
      <c r="V1255" s="65"/>
      <c r="W1255" s="202"/>
    </row>
    <row r="1256" spans="9:23" ht="12" hidden="1" customHeight="1" outlineLevel="1">
      <c r="I1256" s="65"/>
      <c r="J1256" s="143" t="str">
        <f>IF(Equipamentos!C720&gt;0,Equipamentos!C720,"")</f>
        <v>Caminhão pipa 10m³</v>
      </c>
      <c r="K1256" s="65"/>
      <c r="L1256" s="144">
        <f>Equipamentos!D720</f>
        <v>0</v>
      </c>
      <c r="M1256" s="105" t="s">
        <v>1004</v>
      </c>
      <c r="N1256" s="144">
        <f>Equipamentos!E720</f>
        <v>0</v>
      </c>
      <c r="O1256" s="105" t="s">
        <v>1263</v>
      </c>
      <c r="P1256" s="65"/>
      <c r="Q1256" s="65"/>
      <c r="R1256" s="65"/>
      <c r="S1256" s="110">
        <v>20500</v>
      </c>
      <c r="T1256" s="65"/>
      <c r="U1256" s="117">
        <f t="shared" si="834"/>
        <v>0</v>
      </c>
      <c r="V1256" s="65"/>
      <c r="W1256" s="202"/>
    </row>
    <row r="1257" spans="9:23" ht="12" hidden="1" customHeight="1" outlineLevel="1">
      <c r="I1257" s="65"/>
      <c r="J1257" s="143" t="str">
        <f>IF(Equipamentos!C721&gt;0,Equipamentos!C721,"")</f>
        <v>Empilhadeira 2,5 Ton</v>
      </c>
      <c r="K1257" s="65"/>
      <c r="L1257" s="144">
        <f>Equipamentos!D721</f>
        <v>0</v>
      </c>
      <c r="M1257" s="105" t="s">
        <v>1004</v>
      </c>
      <c r="N1257" s="144">
        <f>Equipamentos!E721</f>
        <v>0</v>
      </c>
      <c r="O1257" s="105" t="s">
        <v>1263</v>
      </c>
      <c r="P1257" s="65"/>
      <c r="Q1257" s="65"/>
      <c r="R1257" s="65"/>
      <c r="S1257" s="110">
        <v>13500</v>
      </c>
      <c r="T1257" s="65"/>
      <c r="U1257" s="117">
        <f t="shared" si="834"/>
        <v>0</v>
      </c>
      <c r="V1257" s="65"/>
      <c r="W1257" s="202"/>
    </row>
    <row r="1258" spans="9:23" ht="12" hidden="1" customHeight="1" outlineLevel="1">
      <c r="I1258" s="65"/>
      <c r="J1258" s="143" t="str">
        <f>IF(Equipamentos!C722&gt;0,Equipamentos!C722,"")</f>
        <v>Empilhadeira 5 Ton</v>
      </c>
      <c r="K1258" s="65"/>
      <c r="L1258" s="144">
        <f>Equipamentos!D722</f>
        <v>0</v>
      </c>
      <c r="M1258" s="105" t="s">
        <v>1004</v>
      </c>
      <c r="N1258" s="144">
        <f>Equipamentos!E722</f>
        <v>0</v>
      </c>
      <c r="O1258" s="105" t="s">
        <v>1263</v>
      </c>
      <c r="P1258" s="65"/>
      <c r="Q1258" s="65"/>
      <c r="R1258" s="65"/>
      <c r="S1258" s="110">
        <v>18700</v>
      </c>
      <c r="T1258" s="65"/>
      <c r="U1258" s="117">
        <f t="shared" si="834"/>
        <v>0</v>
      </c>
      <c r="V1258" s="65"/>
      <c r="W1258" s="202"/>
    </row>
    <row r="1259" spans="9:23" ht="12" hidden="1" customHeight="1" outlineLevel="1">
      <c r="I1259" s="65"/>
      <c r="J1259" s="143" t="str">
        <f>IF(Equipamentos!C723&gt;0,Equipamentos!C723,"")</f>
        <v>Empilhadeira 7 Ton</v>
      </c>
      <c r="K1259" s="65"/>
      <c r="L1259" s="144">
        <f>Equipamentos!D723</f>
        <v>0</v>
      </c>
      <c r="M1259" s="105" t="s">
        <v>1004</v>
      </c>
      <c r="N1259" s="144">
        <f>Equipamentos!E723</f>
        <v>0</v>
      </c>
      <c r="O1259" s="105" t="s">
        <v>1263</v>
      </c>
      <c r="P1259" s="65"/>
      <c r="Q1259" s="65"/>
      <c r="R1259" s="65"/>
      <c r="S1259" s="110">
        <v>33600</v>
      </c>
      <c r="T1259" s="65"/>
      <c r="U1259" s="117">
        <f t="shared" si="834"/>
        <v>0</v>
      </c>
      <c r="V1259" s="65"/>
      <c r="W1259" s="202"/>
    </row>
    <row r="1260" spans="9:23" ht="12" hidden="1" customHeight="1" outlineLevel="1">
      <c r="I1260" s="65"/>
      <c r="J1260" s="143" t="str">
        <f>IF(Equipamentos!C724&gt;0,Equipamentos!C724,"")</f>
        <v>Guindaste telescópico 20 Ton</v>
      </c>
      <c r="K1260" s="65"/>
      <c r="L1260" s="144">
        <f>Equipamentos!D724</f>
        <v>0</v>
      </c>
      <c r="M1260" s="105" t="s">
        <v>1004</v>
      </c>
      <c r="N1260" s="144">
        <f>Equipamentos!E724</f>
        <v>0</v>
      </c>
      <c r="O1260" s="105" t="s">
        <v>1263</v>
      </c>
      <c r="P1260" s="65"/>
      <c r="Q1260" s="65"/>
      <c r="R1260" s="65"/>
      <c r="S1260" s="110">
        <v>48000</v>
      </c>
      <c r="T1260" s="65"/>
      <c r="U1260" s="117">
        <f t="shared" si="834"/>
        <v>0</v>
      </c>
      <c r="V1260" s="65"/>
      <c r="W1260" s="202"/>
    </row>
    <row r="1261" spans="9:23" ht="12" hidden="1" customHeight="1" outlineLevel="1">
      <c r="I1261" s="65"/>
      <c r="J1261" s="143" t="str">
        <f>IF(Equipamentos!C725&gt;0,Equipamentos!C725,"")</f>
        <v>Guindaste telescópico 30 Ton</v>
      </c>
      <c r="K1261" s="65"/>
      <c r="L1261" s="144">
        <f>Equipamentos!D725</f>
        <v>0</v>
      </c>
      <c r="M1261" s="105" t="s">
        <v>1004</v>
      </c>
      <c r="N1261" s="144">
        <f>Equipamentos!E725</f>
        <v>0</v>
      </c>
      <c r="O1261" s="105" t="s">
        <v>1263</v>
      </c>
      <c r="P1261" s="65"/>
      <c r="Q1261" s="65"/>
      <c r="R1261" s="65"/>
      <c r="S1261" s="110">
        <v>48000</v>
      </c>
      <c r="T1261" s="65"/>
      <c r="U1261" s="117">
        <f t="shared" si="834"/>
        <v>0</v>
      </c>
      <c r="V1261" s="65"/>
      <c r="W1261" s="202"/>
    </row>
    <row r="1262" spans="9:23" ht="12" hidden="1" customHeight="1" outlineLevel="1">
      <c r="I1262" s="65"/>
      <c r="J1262" s="143" t="str">
        <f>IF(Equipamentos!C726&gt;0,Equipamentos!C726,"")</f>
        <v>Guindaste telescópico 50 Ton</v>
      </c>
      <c r="K1262" s="65"/>
      <c r="L1262" s="144">
        <f>Equipamentos!D726</f>
        <v>0</v>
      </c>
      <c r="M1262" s="105" t="s">
        <v>1004</v>
      </c>
      <c r="N1262" s="144">
        <f>Equipamentos!E726</f>
        <v>0</v>
      </c>
      <c r="O1262" s="105" t="s">
        <v>1263</v>
      </c>
      <c r="P1262" s="65"/>
      <c r="Q1262" s="65"/>
      <c r="R1262" s="65"/>
      <c r="S1262" s="110">
        <v>65000</v>
      </c>
      <c r="T1262" s="65"/>
      <c r="U1262" s="117">
        <f t="shared" si="834"/>
        <v>0</v>
      </c>
      <c r="V1262" s="65"/>
      <c r="W1262" s="202"/>
    </row>
    <row r="1263" spans="9:23" ht="12" hidden="1" customHeight="1" outlineLevel="1">
      <c r="I1263" s="65"/>
      <c r="J1263" s="143" t="str">
        <f>IF(Equipamentos!C727&gt;0,Equipamentos!C727,"")</f>
        <v>Guindaste telescópico 60 Ton</v>
      </c>
      <c r="K1263" s="65"/>
      <c r="L1263" s="144">
        <f>Equipamentos!D727</f>
        <v>0</v>
      </c>
      <c r="M1263" s="105" t="s">
        <v>1004</v>
      </c>
      <c r="N1263" s="144">
        <f>Equipamentos!E727</f>
        <v>0</v>
      </c>
      <c r="O1263" s="105" t="s">
        <v>1263</v>
      </c>
      <c r="P1263" s="65"/>
      <c r="Q1263" s="65"/>
      <c r="R1263" s="65"/>
      <c r="S1263" s="110">
        <v>65000</v>
      </c>
      <c r="T1263" s="65"/>
      <c r="U1263" s="117">
        <f t="shared" si="834"/>
        <v>0</v>
      </c>
      <c r="V1263" s="65"/>
      <c r="W1263" s="202"/>
    </row>
    <row r="1264" spans="9:23" ht="12" hidden="1" customHeight="1" outlineLevel="1">
      <c r="I1264" s="65"/>
      <c r="J1264" s="143" t="str">
        <f>IF(Equipamentos!C728&gt;0,Equipamentos!C728,"")</f>
        <v>Guindaste telescópico 80 Ton</v>
      </c>
      <c r="K1264" s="65"/>
      <c r="L1264" s="144">
        <f>Equipamentos!D728</f>
        <v>0</v>
      </c>
      <c r="M1264" s="105" t="s">
        <v>1004</v>
      </c>
      <c r="N1264" s="144">
        <f>Equipamentos!E728</f>
        <v>0</v>
      </c>
      <c r="O1264" s="105" t="s">
        <v>1263</v>
      </c>
      <c r="P1264" s="65"/>
      <c r="Q1264" s="65"/>
      <c r="R1264" s="65"/>
      <c r="S1264" s="110">
        <v>110000</v>
      </c>
      <c r="T1264" s="65"/>
      <c r="U1264" s="117">
        <f t="shared" si="834"/>
        <v>0</v>
      </c>
      <c r="V1264" s="65"/>
      <c r="W1264" s="202"/>
    </row>
    <row r="1265" spans="9:23" ht="12" hidden="1" customHeight="1" outlineLevel="1">
      <c r="I1265" s="65"/>
      <c r="J1265" s="143" t="str">
        <f>IF(Equipamentos!C729&gt;0,Equipamentos!C729,"")</f>
        <v>Guindaste telescópico 100 Ton</v>
      </c>
      <c r="K1265" s="65"/>
      <c r="L1265" s="144">
        <f>Equipamentos!D729</f>
        <v>0</v>
      </c>
      <c r="M1265" s="105" t="s">
        <v>1004</v>
      </c>
      <c r="N1265" s="144">
        <f>Equipamentos!E729</f>
        <v>0</v>
      </c>
      <c r="O1265" s="105" t="s">
        <v>1263</v>
      </c>
      <c r="P1265" s="65"/>
      <c r="Q1265" s="65"/>
      <c r="R1265" s="65"/>
      <c r="S1265" s="110">
        <v>121000</v>
      </c>
      <c r="T1265" s="65"/>
      <c r="U1265" s="117">
        <f t="shared" si="834"/>
        <v>0</v>
      </c>
      <c r="V1265" s="65"/>
      <c r="W1265" s="202"/>
    </row>
    <row r="1266" spans="9:23" ht="12" hidden="1" customHeight="1" outlineLevel="1">
      <c r="I1266" s="65"/>
      <c r="J1266" s="143" t="str">
        <f>IF(Equipamentos!C730&gt;0,Equipamentos!C730,"")</f>
        <v>Guindaste telescópico 120 Ton</v>
      </c>
      <c r="K1266" s="65"/>
      <c r="L1266" s="144">
        <f>Equipamentos!D730</f>
        <v>0</v>
      </c>
      <c r="M1266" s="105" t="s">
        <v>1004</v>
      </c>
      <c r="N1266" s="144">
        <f>Equipamentos!E730</f>
        <v>0</v>
      </c>
      <c r="O1266" s="105" t="s">
        <v>1263</v>
      </c>
      <c r="P1266" s="65"/>
      <c r="Q1266" s="65"/>
      <c r="R1266" s="65"/>
      <c r="S1266" s="110">
        <v>130000</v>
      </c>
      <c r="T1266" s="65"/>
      <c r="U1266" s="117">
        <f t="shared" si="834"/>
        <v>0</v>
      </c>
      <c r="V1266" s="65"/>
      <c r="W1266" s="202"/>
    </row>
    <row r="1267" spans="9:23" ht="12" hidden="1" customHeight="1" outlineLevel="1">
      <c r="I1267" s="65"/>
      <c r="J1267" s="143" t="str">
        <f>IF(Equipamentos!C731&gt;0,Equipamentos!C731,"")</f>
        <v>Guindaste telescópico 130 Ton</v>
      </c>
      <c r="K1267" s="65"/>
      <c r="L1267" s="144">
        <f>Equipamentos!D731</f>
        <v>0</v>
      </c>
      <c r="M1267" s="105" t="s">
        <v>1004</v>
      </c>
      <c r="N1267" s="144">
        <f>Equipamentos!E731</f>
        <v>0</v>
      </c>
      <c r="O1267" s="105" t="s">
        <v>1263</v>
      </c>
      <c r="P1267" s="65"/>
      <c r="Q1267" s="65"/>
      <c r="R1267" s="65"/>
      <c r="S1267" s="110">
        <v>130000</v>
      </c>
      <c r="T1267" s="65"/>
      <c r="U1267" s="117">
        <f t="shared" si="834"/>
        <v>0</v>
      </c>
      <c r="V1267" s="65"/>
      <c r="W1267" s="202"/>
    </row>
    <row r="1268" spans="9:23" ht="12" hidden="1" customHeight="1" outlineLevel="1">
      <c r="I1268" s="65"/>
      <c r="J1268" s="143" t="str">
        <f>IF(Equipamentos!C732&gt;0,Equipamentos!C732,"")</f>
        <v>Guindaste telescópico 250 Ton</v>
      </c>
      <c r="K1268" s="65"/>
      <c r="L1268" s="144">
        <f>Equipamentos!D732</f>
        <v>0</v>
      </c>
      <c r="M1268" s="105" t="s">
        <v>1004</v>
      </c>
      <c r="N1268" s="144">
        <f>Equipamentos!E732</f>
        <v>0</v>
      </c>
      <c r="O1268" s="105" t="s">
        <v>1263</v>
      </c>
      <c r="P1268" s="65"/>
      <c r="Q1268" s="65"/>
      <c r="R1268" s="65"/>
      <c r="S1268" s="110">
        <v>180000</v>
      </c>
      <c r="T1268" s="65"/>
      <c r="U1268" s="117">
        <f t="shared" si="834"/>
        <v>0</v>
      </c>
      <c r="V1268" s="65"/>
      <c r="W1268" s="202"/>
    </row>
    <row r="1269" spans="9:23" ht="12" hidden="1" customHeight="1" outlineLevel="1">
      <c r="I1269" s="65"/>
      <c r="J1269" s="143" t="str">
        <f>IF(Equipamentos!C733&gt;0,Equipamentos!C733,"")</f>
        <v>Guindaste telescópico 300 Ton</v>
      </c>
      <c r="K1269" s="65"/>
      <c r="L1269" s="144">
        <f>Equipamentos!D733</f>
        <v>0</v>
      </c>
      <c r="M1269" s="105" t="s">
        <v>1004</v>
      </c>
      <c r="N1269" s="144">
        <f>Equipamentos!E733</f>
        <v>0</v>
      </c>
      <c r="O1269" s="105" t="s">
        <v>1263</v>
      </c>
      <c r="P1269" s="65"/>
      <c r="Q1269" s="65"/>
      <c r="R1269" s="65"/>
      <c r="S1269" s="110">
        <v>392000</v>
      </c>
      <c r="T1269" s="65"/>
      <c r="U1269" s="117">
        <f t="shared" si="834"/>
        <v>0</v>
      </c>
      <c r="V1269" s="65"/>
      <c r="W1269" s="202"/>
    </row>
    <row r="1270" spans="9:23" ht="12" hidden="1" customHeight="1" outlineLevel="1">
      <c r="I1270" s="65"/>
      <c r="J1270" s="143" t="str">
        <f>IF(Equipamentos!C734&gt;0,Equipamentos!C734,"")</f>
        <v>Guindaste telescópico 400 Ton</v>
      </c>
      <c r="K1270" s="65"/>
      <c r="L1270" s="144">
        <f>Equipamentos!D734</f>
        <v>0</v>
      </c>
      <c r="M1270" s="105" t="s">
        <v>1004</v>
      </c>
      <c r="N1270" s="144">
        <f>Equipamentos!E734</f>
        <v>0</v>
      </c>
      <c r="O1270" s="105" t="s">
        <v>1263</v>
      </c>
      <c r="P1270" s="65"/>
      <c r="Q1270" s="65"/>
      <c r="R1270" s="65"/>
      <c r="S1270" s="110">
        <v>392000</v>
      </c>
      <c r="T1270" s="65"/>
      <c r="U1270" s="117">
        <f t="shared" si="833"/>
        <v>0</v>
      </c>
      <c r="V1270" s="65"/>
      <c r="W1270" s="202"/>
    </row>
    <row r="1271" spans="9:23" ht="12" hidden="1" customHeight="1" outlineLevel="1">
      <c r="I1271" s="65"/>
      <c r="J1271" s="143" t="str">
        <f>IF(Equipamentos!C735&gt;0,Equipamentos!C735,"")</f>
        <v>Guindaste telescópico 500 Ton</v>
      </c>
      <c r="K1271" s="65"/>
      <c r="L1271" s="144">
        <f>Equipamentos!D735</f>
        <v>0</v>
      </c>
      <c r="M1271" s="105" t="s">
        <v>1004</v>
      </c>
      <c r="N1271" s="144">
        <f>Equipamentos!E735</f>
        <v>0</v>
      </c>
      <c r="O1271" s="105" t="s">
        <v>1263</v>
      </c>
      <c r="P1271" s="65"/>
      <c r="Q1271" s="65"/>
      <c r="R1271" s="65"/>
      <c r="S1271" s="110">
        <v>392000</v>
      </c>
      <c r="T1271" s="65"/>
      <c r="U1271" s="117">
        <f t="shared" si="833"/>
        <v>0</v>
      </c>
      <c r="V1271" s="65"/>
      <c r="W1271" s="202"/>
    </row>
    <row r="1272" spans="9:23" ht="12" hidden="1" customHeight="1" outlineLevel="1">
      <c r="I1272" s="65"/>
      <c r="J1272" s="143" t="str">
        <f>IF(Equipamentos!C736&gt;0,Equipamentos!C736,"")</f>
        <v>Guindaste treliçado 20 Ton</v>
      </c>
      <c r="K1272" s="65"/>
      <c r="L1272" s="144">
        <f>Equipamentos!D736</f>
        <v>0</v>
      </c>
      <c r="M1272" s="105" t="s">
        <v>1004</v>
      </c>
      <c r="N1272" s="144">
        <f>Equipamentos!E736</f>
        <v>0</v>
      </c>
      <c r="O1272" s="105" t="s">
        <v>1263</v>
      </c>
      <c r="P1272" s="65"/>
      <c r="Q1272" s="65"/>
      <c r="R1272" s="65"/>
      <c r="S1272" s="110"/>
      <c r="T1272" s="65"/>
      <c r="U1272" s="117">
        <f t="shared" si="833"/>
        <v>0</v>
      </c>
      <c r="V1272" s="65"/>
      <c r="W1272" s="202"/>
    </row>
    <row r="1273" spans="9:23" ht="12" hidden="1" customHeight="1" outlineLevel="1">
      <c r="I1273" s="65"/>
      <c r="J1273" s="143" t="str">
        <f>IF(Equipamentos!C737&gt;0,Equipamentos!C737,"")</f>
        <v>Guindaste treliçado 30 Ton</v>
      </c>
      <c r="K1273" s="65"/>
      <c r="L1273" s="144">
        <f>Equipamentos!D737</f>
        <v>0</v>
      </c>
      <c r="M1273" s="105" t="s">
        <v>1004</v>
      </c>
      <c r="N1273" s="144">
        <f>Equipamentos!E737</f>
        <v>0</v>
      </c>
      <c r="O1273" s="105" t="s">
        <v>1263</v>
      </c>
      <c r="P1273" s="65"/>
      <c r="Q1273" s="65"/>
      <c r="R1273" s="65"/>
      <c r="S1273" s="110"/>
      <c r="T1273" s="65"/>
      <c r="U1273" s="117">
        <f t="shared" si="833"/>
        <v>0</v>
      </c>
      <c r="V1273" s="65"/>
      <c r="W1273" s="202"/>
    </row>
    <row r="1274" spans="9:23" ht="12" hidden="1" customHeight="1" outlineLevel="1">
      <c r="I1274" s="65"/>
      <c r="J1274" s="143" t="str">
        <f>IF(Equipamentos!C738&gt;0,Equipamentos!C738,"")</f>
        <v>Guindaste treliçado 50 Ton</v>
      </c>
      <c r="K1274" s="65"/>
      <c r="L1274" s="144">
        <f>Equipamentos!D738</f>
        <v>0</v>
      </c>
      <c r="M1274" s="105" t="s">
        <v>1004</v>
      </c>
      <c r="N1274" s="144">
        <f>Equipamentos!E738</f>
        <v>0</v>
      </c>
      <c r="O1274" s="105" t="s">
        <v>1263</v>
      </c>
      <c r="P1274" s="65"/>
      <c r="Q1274" s="65"/>
      <c r="R1274" s="65"/>
      <c r="S1274" s="110"/>
      <c r="T1274" s="65"/>
      <c r="U1274" s="117">
        <f t="shared" si="833"/>
        <v>0</v>
      </c>
      <c r="V1274" s="65"/>
      <c r="W1274" s="202"/>
    </row>
    <row r="1275" spans="9:23" ht="12" hidden="1" customHeight="1" outlineLevel="1">
      <c r="I1275" s="65"/>
      <c r="J1275" s="143" t="str">
        <f>IF(Equipamentos!C739&gt;0,Equipamentos!C739,"")</f>
        <v>Guindaste treliçado 60 Ton</v>
      </c>
      <c r="K1275" s="65"/>
      <c r="L1275" s="144">
        <f>Equipamentos!D739</f>
        <v>0</v>
      </c>
      <c r="M1275" s="105" t="s">
        <v>1004</v>
      </c>
      <c r="N1275" s="144">
        <f>Equipamentos!E739</f>
        <v>0</v>
      </c>
      <c r="O1275" s="105" t="s">
        <v>1263</v>
      </c>
      <c r="P1275" s="65"/>
      <c r="Q1275" s="65"/>
      <c r="R1275" s="65"/>
      <c r="S1275" s="110"/>
      <c r="T1275" s="65"/>
      <c r="U1275" s="117">
        <f t="shared" si="833"/>
        <v>0</v>
      </c>
      <c r="V1275" s="65"/>
      <c r="W1275" s="202"/>
    </row>
    <row r="1276" spans="9:23" ht="12" hidden="1" customHeight="1" outlineLevel="1">
      <c r="I1276" s="65"/>
      <c r="J1276" s="143" t="str">
        <f>IF(Equipamentos!C740&gt;0,Equipamentos!C740,"")</f>
        <v>Guindaste treliçado 80 Ton</v>
      </c>
      <c r="K1276" s="65"/>
      <c r="L1276" s="144">
        <f>Equipamentos!D740</f>
        <v>0</v>
      </c>
      <c r="M1276" s="105" t="s">
        <v>1004</v>
      </c>
      <c r="N1276" s="144">
        <f>Equipamentos!E740</f>
        <v>0</v>
      </c>
      <c r="O1276" s="105" t="s">
        <v>1263</v>
      </c>
      <c r="P1276" s="65"/>
      <c r="Q1276" s="65"/>
      <c r="R1276" s="65"/>
      <c r="S1276" s="110"/>
      <c r="T1276" s="65"/>
      <c r="U1276" s="117">
        <f t="shared" si="833"/>
        <v>0</v>
      </c>
      <c r="V1276" s="65"/>
      <c r="W1276" s="202"/>
    </row>
    <row r="1277" spans="9:23" ht="12" hidden="1" customHeight="1" outlineLevel="1">
      <c r="I1277" s="65"/>
      <c r="J1277" s="143" t="str">
        <f>IF(Equipamentos!C741&gt;0,Equipamentos!C741,"")</f>
        <v>Guindaste treliçado 100 Ton</v>
      </c>
      <c r="K1277" s="65"/>
      <c r="L1277" s="144">
        <f>Equipamentos!D741</f>
        <v>0</v>
      </c>
      <c r="M1277" s="105" t="s">
        <v>1004</v>
      </c>
      <c r="N1277" s="144">
        <f>Equipamentos!E741</f>
        <v>0</v>
      </c>
      <c r="O1277" s="105" t="s">
        <v>1263</v>
      </c>
      <c r="P1277" s="65"/>
      <c r="Q1277" s="65"/>
      <c r="R1277" s="65"/>
      <c r="S1277" s="110"/>
      <c r="T1277" s="65"/>
      <c r="U1277" s="117">
        <f t="shared" si="833"/>
        <v>0</v>
      </c>
      <c r="V1277" s="65"/>
      <c r="W1277" s="202"/>
    </row>
    <row r="1278" spans="9:23" ht="12" hidden="1" customHeight="1" outlineLevel="1">
      <c r="I1278" s="65"/>
      <c r="J1278" s="143" t="str">
        <f>IF(Equipamentos!C742&gt;0,Equipamentos!C742,"")</f>
        <v>Guindaste treliçado 120 Ton</v>
      </c>
      <c r="K1278" s="65"/>
      <c r="L1278" s="144">
        <f>Equipamentos!D742</f>
        <v>0</v>
      </c>
      <c r="M1278" s="105" t="s">
        <v>1004</v>
      </c>
      <c r="N1278" s="144">
        <f>Equipamentos!E742</f>
        <v>0</v>
      </c>
      <c r="O1278" s="105" t="s">
        <v>1263</v>
      </c>
      <c r="P1278" s="65"/>
      <c r="Q1278" s="65"/>
      <c r="R1278" s="65"/>
      <c r="S1278" s="110"/>
      <c r="T1278" s="65"/>
      <c r="U1278" s="117">
        <f t="shared" si="833"/>
        <v>0</v>
      </c>
      <c r="V1278" s="65"/>
      <c r="W1278" s="202"/>
    </row>
    <row r="1279" spans="9:23" ht="12" hidden="1" customHeight="1" outlineLevel="1">
      <c r="I1279" s="65"/>
      <c r="J1279" s="143" t="str">
        <f>IF(Equipamentos!C743&gt;0,Equipamentos!C743,"")</f>
        <v>Guindaste treliçado 130 Ton</v>
      </c>
      <c r="K1279" s="65"/>
      <c r="L1279" s="144">
        <f>Equipamentos!D743</f>
        <v>0</v>
      </c>
      <c r="M1279" s="105" t="s">
        <v>1004</v>
      </c>
      <c r="N1279" s="144">
        <f>Equipamentos!E743</f>
        <v>0</v>
      </c>
      <c r="O1279" s="105" t="s">
        <v>1263</v>
      </c>
      <c r="P1279" s="65"/>
      <c r="Q1279" s="65"/>
      <c r="R1279" s="65"/>
      <c r="S1279" s="110"/>
      <c r="T1279" s="65"/>
      <c r="U1279" s="117">
        <f t="shared" si="833"/>
        <v>0</v>
      </c>
      <c r="V1279" s="65"/>
      <c r="W1279" s="202"/>
    </row>
    <row r="1280" spans="9:23" ht="12" hidden="1" customHeight="1" outlineLevel="1">
      <c r="I1280" s="65"/>
      <c r="J1280" s="143" t="str">
        <f>IF(Equipamentos!C744&gt;0,Equipamentos!C744,"")</f>
        <v>Guindaste treliçado 250 Ton</v>
      </c>
      <c r="K1280" s="65"/>
      <c r="L1280" s="144">
        <f>Equipamentos!D744</f>
        <v>0</v>
      </c>
      <c r="M1280" s="105" t="s">
        <v>1004</v>
      </c>
      <c r="N1280" s="144">
        <f>Equipamentos!E744</f>
        <v>0</v>
      </c>
      <c r="O1280" s="105" t="s">
        <v>1263</v>
      </c>
      <c r="P1280" s="65"/>
      <c r="Q1280" s="65"/>
      <c r="R1280" s="65"/>
      <c r="S1280" s="110"/>
      <c r="T1280" s="65"/>
      <c r="U1280" s="117">
        <f t="shared" si="833"/>
        <v>0</v>
      </c>
      <c r="V1280" s="65"/>
      <c r="W1280" s="202"/>
    </row>
    <row r="1281" spans="9:23" ht="12" hidden="1" customHeight="1" outlineLevel="1">
      <c r="I1281" s="65"/>
      <c r="J1281" s="143" t="str">
        <f>IF(Equipamentos!C745&gt;0,Equipamentos!C745,"")</f>
        <v>Guindaste treliçado 300 Ton</v>
      </c>
      <c r="K1281" s="65"/>
      <c r="L1281" s="144">
        <f>Equipamentos!D745</f>
        <v>0</v>
      </c>
      <c r="M1281" s="105" t="s">
        <v>1004</v>
      </c>
      <c r="N1281" s="144">
        <f>Equipamentos!E745</f>
        <v>0</v>
      </c>
      <c r="O1281" s="105" t="s">
        <v>1263</v>
      </c>
      <c r="P1281" s="65"/>
      <c r="Q1281" s="65"/>
      <c r="R1281" s="65"/>
      <c r="S1281" s="110"/>
      <c r="T1281" s="65"/>
      <c r="U1281" s="117">
        <f t="shared" si="833"/>
        <v>0</v>
      </c>
      <c r="V1281" s="65"/>
      <c r="W1281" s="202"/>
    </row>
    <row r="1282" spans="9:23" ht="12" hidden="1" customHeight="1" outlineLevel="1">
      <c r="I1282" s="65"/>
      <c r="J1282" s="143" t="str">
        <f>IF(Equipamentos!C746&gt;0,Equipamentos!C746,"")</f>
        <v>Guindaste treliçado 400 Ton</v>
      </c>
      <c r="K1282" s="65"/>
      <c r="L1282" s="144">
        <f>Equipamentos!D746</f>
        <v>0</v>
      </c>
      <c r="M1282" s="105" t="s">
        <v>1004</v>
      </c>
      <c r="N1282" s="144">
        <f>Equipamentos!E746</f>
        <v>0</v>
      </c>
      <c r="O1282" s="105" t="s">
        <v>1263</v>
      </c>
      <c r="P1282" s="65"/>
      <c r="Q1282" s="65"/>
      <c r="R1282" s="65"/>
      <c r="S1282" s="110"/>
      <c r="T1282" s="65"/>
      <c r="U1282" s="117">
        <f t="shared" si="833"/>
        <v>0</v>
      </c>
      <c r="V1282" s="65"/>
      <c r="W1282" s="202"/>
    </row>
    <row r="1283" spans="9:23" ht="12" hidden="1" customHeight="1" outlineLevel="1">
      <c r="I1283" s="65"/>
      <c r="J1283" s="143" t="str">
        <f>IF(Equipamentos!C747&gt;0,Equipamentos!C747,"")</f>
        <v>Guindaste treliçado 500 Ton</v>
      </c>
      <c r="K1283" s="65"/>
      <c r="L1283" s="144">
        <f>Equipamentos!D747</f>
        <v>0</v>
      </c>
      <c r="M1283" s="105" t="s">
        <v>1004</v>
      </c>
      <c r="N1283" s="144">
        <f>Equipamentos!E747</f>
        <v>0</v>
      </c>
      <c r="O1283" s="105" t="s">
        <v>1263</v>
      </c>
      <c r="P1283" s="65"/>
      <c r="Q1283" s="65"/>
      <c r="R1283" s="65"/>
      <c r="S1283" s="110"/>
      <c r="T1283" s="65"/>
      <c r="U1283" s="117">
        <f t="shared" si="833"/>
        <v>0</v>
      </c>
      <c r="V1283" s="65"/>
      <c r="W1283" s="202"/>
    </row>
    <row r="1284" spans="9:23" ht="12" hidden="1" customHeight="1" outlineLevel="1">
      <c r="I1284" s="65"/>
      <c r="J1284" s="143" t="str">
        <f>IF(Equipamentos!C748&gt;0,Equipamentos!C748,"")</f>
        <v>Plataforma articulada de 6 m à 8 m</v>
      </c>
      <c r="K1284" s="65"/>
      <c r="L1284" s="144">
        <f>Equipamentos!D748</f>
        <v>0</v>
      </c>
      <c r="M1284" s="105" t="s">
        <v>1004</v>
      </c>
      <c r="N1284" s="144">
        <f>Equipamentos!E748</f>
        <v>0</v>
      </c>
      <c r="O1284" s="105" t="s">
        <v>1263</v>
      </c>
      <c r="P1284" s="65"/>
      <c r="Q1284" s="65"/>
      <c r="R1284" s="65"/>
      <c r="S1284" s="110"/>
      <c r="T1284" s="65"/>
      <c r="U1284" s="117">
        <f t="shared" si="833"/>
        <v>0</v>
      </c>
      <c r="V1284" s="65"/>
      <c r="W1284" s="202"/>
    </row>
    <row r="1285" spans="9:23" ht="12" hidden="1" customHeight="1" outlineLevel="1">
      <c r="I1285" s="65"/>
      <c r="J1285" s="143" t="str">
        <f>IF(Equipamentos!C749&gt;0,Equipamentos!C749,"")</f>
        <v>Plataforma articulada de 8 m à 10 m</v>
      </c>
      <c r="K1285" s="65"/>
      <c r="L1285" s="144">
        <f>Equipamentos!D749</f>
        <v>0</v>
      </c>
      <c r="M1285" s="105" t="s">
        <v>1004</v>
      </c>
      <c r="N1285" s="144">
        <f>Equipamentos!E749</f>
        <v>0</v>
      </c>
      <c r="O1285" s="105" t="s">
        <v>1263</v>
      </c>
      <c r="P1285" s="65"/>
      <c r="Q1285" s="65"/>
      <c r="R1285" s="65"/>
      <c r="S1285" s="110"/>
      <c r="T1285" s="65"/>
      <c r="U1285" s="117">
        <f t="shared" si="833"/>
        <v>0</v>
      </c>
      <c r="V1285" s="65"/>
      <c r="W1285" s="202"/>
    </row>
    <row r="1286" spans="9:23" ht="12" hidden="1" customHeight="1" outlineLevel="1">
      <c r="I1286" s="65"/>
      <c r="J1286" s="143" t="str">
        <f>IF(Equipamentos!C750&gt;0,Equipamentos!C750,"")</f>
        <v>Plataforma articulada de 10 m à 12 m</v>
      </c>
      <c r="K1286" s="65"/>
      <c r="L1286" s="144">
        <f>Equipamentos!D750</f>
        <v>0</v>
      </c>
      <c r="M1286" s="105" t="s">
        <v>1004</v>
      </c>
      <c r="N1286" s="144">
        <f>Equipamentos!E750</f>
        <v>0</v>
      </c>
      <c r="O1286" s="105" t="s">
        <v>1263</v>
      </c>
      <c r="P1286" s="65"/>
      <c r="Q1286" s="65"/>
      <c r="R1286" s="65"/>
      <c r="S1286" s="110"/>
      <c r="T1286" s="65"/>
      <c r="U1286" s="117">
        <f t="shared" si="833"/>
        <v>0</v>
      </c>
      <c r="V1286" s="65"/>
      <c r="W1286" s="202"/>
    </row>
    <row r="1287" spans="9:23" ht="11.85" hidden="1" customHeight="1" outlineLevel="1">
      <c r="I1287" s="65"/>
      <c r="J1287" s="143" t="str">
        <f>IF(Equipamentos!C751&gt;0,Equipamentos!C751,"")</f>
        <v>Plataforma articulada de 13 m à 16 m</v>
      </c>
      <c r="K1287" s="65"/>
      <c r="L1287" s="144">
        <f>Equipamentos!D751</f>
        <v>0</v>
      </c>
      <c r="M1287" s="105" t="s">
        <v>1004</v>
      </c>
      <c r="N1287" s="144">
        <f>Equipamentos!E751</f>
        <v>0</v>
      </c>
      <c r="O1287" s="105" t="s">
        <v>1263</v>
      </c>
      <c r="P1287" s="65"/>
      <c r="Q1287" s="65"/>
      <c r="R1287" s="65"/>
      <c r="S1287" s="110"/>
      <c r="T1287" s="65"/>
      <c r="U1287" s="117">
        <f t="shared" si="833"/>
        <v>0</v>
      </c>
      <c r="V1287" s="65"/>
      <c r="W1287" s="202"/>
    </row>
    <row r="1288" spans="9:23" ht="12" hidden="1" customHeight="1" outlineLevel="1">
      <c r="I1288" s="65"/>
      <c r="J1288" s="143" t="str">
        <f>IF(Equipamentos!C752&gt;0,Equipamentos!C752,"")</f>
        <v>Plataforma articulada de 18 m à 20 m</v>
      </c>
      <c r="K1288" s="65"/>
      <c r="L1288" s="144">
        <f>Equipamentos!D752</f>
        <v>0</v>
      </c>
      <c r="M1288" s="105" t="s">
        <v>1004</v>
      </c>
      <c r="N1288" s="144">
        <f>Equipamentos!E752</f>
        <v>0</v>
      </c>
      <c r="O1288" s="105" t="s">
        <v>1263</v>
      </c>
      <c r="P1288" s="65"/>
      <c r="Q1288" s="65"/>
      <c r="R1288" s="65"/>
      <c r="S1288" s="110"/>
      <c r="T1288" s="65"/>
      <c r="U1288" s="117">
        <f t="shared" si="833"/>
        <v>0</v>
      </c>
      <c r="V1288" s="65"/>
      <c r="W1288" s="202"/>
    </row>
    <row r="1289" spans="9:23" ht="12" hidden="1" customHeight="1" outlineLevel="1">
      <c r="I1289" s="65"/>
      <c r="J1289" s="143" t="str">
        <f>IF(Equipamentos!C753&gt;0,Equipamentos!C753,"")</f>
        <v>Plataforma articulada de 24 m à 26 m</v>
      </c>
      <c r="K1289" s="65"/>
      <c r="L1289" s="144">
        <f>Equipamentos!D753</f>
        <v>0</v>
      </c>
      <c r="M1289" s="105" t="s">
        <v>1004</v>
      </c>
      <c r="N1289" s="144">
        <f>Equipamentos!E753</f>
        <v>0</v>
      </c>
      <c r="O1289" s="105" t="s">
        <v>1263</v>
      </c>
      <c r="P1289" s="65"/>
      <c r="Q1289" s="65"/>
      <c r="R1289" s="65"/>
      <c r="S1289" s="110"/>
      <c r="T1289" s="65"/>
      <c r="U1289" s="117">
        <f t="shared" si="833"/>
        <v>0</v>
      </c>
      <c r="V1289" s="65"/>
      <c r="W1289" s="202"/>
    </row>
    <row r="1290" spans="9:23" ht="12" hidden="1" customHeight="1" outlineLevel="1">
      <c r="I1290" s="65"/>
      <c r="J1290" s="143" t="str">
        <f>IF(Equipamentos!C754&gt;0,Equipamentos!C754,"")</f>
        <v>Plataforma articulada de 38 m à 40 m</v>
      </c>
      <c r="K1290" s="65"/>
      <c r="L1290" s="144">
        <f>Equipamentos!D754</f>
        <v>0</v>
      </c>
      <c r="M1290" s="105" t="s">
        <v>1004</v>
      </c>
      <c r="N1290" s="144">
        <f>Equipamentos!E754</f>
        <v>0</v>
      </c>
      <c r="O1290" s="105" t="s">
        <v>1263</v>
      </c>
      <c r="P1290" s="65"/>
      <c r="Q1290" s="65"/>
      <c r="R1290" s="65"/>
      <c r="S1290" s="110"/>
      <c r="T1290" s="65"/>
      <c r="U1290" s="117">
        <f t="shared" si="833"/>
        <v>0</v>
      </c>
      <c r="V1290" s="65"/>
      <c r="W1290" s="202"/>
    </row>
    <row r="1291" spans="9:23" ht="12" hidden="1" customHeight="1" outlineLevel="1">
      <c r="I1291" s="65"/>
      <c r="J1291" s="143" t="str">
        <f>IF(Equipamentos!C755&gt;0,Equipamentos!C755,"")</f>
        <v>Plataforma articulada de 30 m à 41 m</v>
      </c>
      <c r="K1291" s="65"/>
      <c r="L1291" s="144">
        <f>Equipamentos!D755</f>
        <v>0</v>
      </c>
      <c r="M1291" s="105" t="s">
        <v>1004</v>
      </c>
      <c r="N1291" s="144">
        <f>Equipamentos!E755</f>
        <v>0</v>
      </c>
      <c r="O1291" s="105" t="s">
        <v>1263</v>
      </c>
      <c r="P1291" s="65"/>
      <c r="Q1291" s="65"/>
      <c r="R1291" s="65"/>
      <c r="S1291" s="110"/>
      <c r="T1291" s="65"/>
      <c r="U1291" s="117">
        <f t="shared" ref="U1291:U1308" si="835">L1291*N1291*S1291</f>
        <v>0</v>
      </c>
      <c r="V1291" s="65"/>
      <c r="W1291" s="202"/>
    </row>
    <row r="1292" spans="9:23" ht="12" hidden="1" customHeight="1" outlineLevel="1">
      <c r="I1292" s="65"/>
      <c r="J1292" s="143" t="str">
        <f>IF(Equipamentos!C756&gt;0,Equipamentos!C756,"")</f>
        <v>Caminhão vácuo</v>
      </c>
      <c r="K1292" s="65"/>
      <c r="L1292" s="144">
        <f>Equipamentos!D756</f>
        <v>0</v>
      </c>
      <c r="M1292" s="105" t="s">
        <v>1004</v>
      </c>
      <c r="N1292" s="144">
        <f>Equipamentos!E756</f>
        <v>0</v>
      </c>
      <c r="O1292" s="105" t="s">
        <v>1263</v>
      </c>
      <c r="P1292" s="65"/>
      <c r="Q1292" s="65"/>
      <c r="R1292" s="65"/>
      <c r="S1292" s="110">
        <v>35000</v>
      </c>
      <c r="T1292" s="65"/>
      <c r="U1292" s="117">
        <f t="shared" si="835"/>
        <v>0</v>
      </c>
      <c r="V1292" s="65"/>
      <c r="W1292" s="202"/>
    </row>
    <row r="1293" spans="9:23" ht="12" hidden="1" customHeight="1" outlineLevel="1">
      <c r="I1293" s="65"/>
      <c r="J1293" s="143" t="str">
        <f>IF(Equipamentos!C757&gt;0,Equipamentos!C757,"")</f>
        <v>Trator sobre rodas</v>
      </c>
      <c r="K1293" s="65"/>
      <c r="L1293" s="144">
        <f>Equipamentos!D757</f>
        <v>0</v>
      </c>
      <c r="M1293" s="105" t="s">
        <v>1004</v>
      </c>
      <c r="N1293" s="144">
        <f>Equipamentos!E757</f>
        <v>0</v>
      </c>
      <c r="O1293" s="105" t="s">
        <v>1263</v>
      </c>
      <c r="P1293" s="65"/>
      <c r="Q1293" s="65"/>
      <c r="R1293" s="65"/>
      <c r="S1293" s="110">
        <v>29500</v>
      </c>
      <c r="T1293" s="65"/>
      <c r="U1293" s="117">
        <f t="shared" si="835"/>
        <v>0</v>
      </c>
      <c r="V1293" s="65"/>
      <c r="W1293" s="202"/>
    </row>
    <row r="1294" spans="9:23" ht="12" hidden="1" customHeight="1" outlineLevel="1">
      <c r="I1294" s="65"/>
      <c r="J1294" s="143" t="str">
        <f>IF(Equipamentos!C758&gt;0,Equipamentos!C758,"")</f>
        <v>Trator sobre esteiras</v>
      </c>
      <c r="K1294" s="65"/>
      <c r="L1294" s="144">
        <f>Equipamentos!D758</f>
        <v>0</v>
      </c>
      <c r="M1294" s="105" t="s">
        <v>1004</v>
      </c>
      <c r="N1294" s="144">
        <f>Equipamentos!E758</f>
        <v>0</v>
      </c>
      <c r="O1294" s="105" t="s">
        <v>1263</v>
      </c>
      <c r="P1294" s="65"/>
      <c r="Q1294" s="65"/>
      <c r="R1294" s="65"/>
      <c r="S1294" s="110">
        <v>29500</v>
      </c>
      <c r="T1294" s="65"/>
      <c r="U1294" s="117">
        <f t="shared" si="835"/>
        <v>0</v>
      </c>
      <c r="V1294" s="65"/>
      <c r="W1294" s="202"/>
    </row>
    <row r="1295" spans="9:23" ht="12" hidden="1" customHeight="1" outlineLevel="1">
      <c r="I1295" s="65"/>
      <c r="J1295" s="143" t="str">
        <f>IF(Equipamentos!C759&gt;0,Equipamentos!C759,"")</f>
        <v>Escavadeira</v>
      </c>
      <c r="K1295" s="65"/>
      <c r="L1295" s="144">
        <f>Equipamentos!D759</f>
        <v>0</v>
      </c>
      <c r="M1295" s="105" t="s">
        <v>1004</v>
      </c>
      <c r="N1295" s="144">
        <f>Equipamentos!E759</f>
        <v>0</v>
      </c>
      <c r="O1295" s="105" t="s">
        <v>1263</v>
      </c>
      <c r="P1295" s="65"/>
      <c r="Q1295" s="65"/>
      <c r="R1295" s="65"/>
      <c r="S1295" s="110">
        <v>21000</v>
      </c>
      <c r="T1295" s="65"/>
      <c r="U1295" s="117">
        <f t="shared" ref="U1295:U1306" si="836">L1295*N1295*S1295</f>
        <v>0</v>
      </c>
      <c r="V1295" s="65"/>
      <c r="W1295" s="202"/>
    </row>
    <row r="1296" spans="9:23" ht="12" hidden="1" customHeight="1" outlineLevel="1">
      <c r="I1296" s="65"/>
      <c r="J1296" s="143" t="str">
        <f>IF(Equipamentos!C760&gt;0,Equipamentos!C760,"")</f>
        <v>Retroescavadeira</v>
      </c>
      <c r="K1296" s="65"/>
      <c r="L1296" s="144">
        <f>Equipamentos!D760</f>
        <v>0</v>
      </c>
      <c r="M1296" s="105" t="s">
        <v>1004</v>
      </c>
      <c r="N1296" s="144">
        <f>Equipamentos!E760</f>
        <v>0</v>
      </c>
      <c r="O1296" s="105" t="s">
        <v>1263</v>
      </c>
      <c r="P1296" s="65"/>
      <c r="Q1296" s="65"/>
      <c r="R1296" s="65"/>
      <c r="S1296" s="110">
        <v>26000</v>
      </c>
      <c r="T1296" s="65"/>
      <c r="U1296" s="117">
        <f t="shared" si="836"/>
        <v>0</v>
      </c>
      <c r="V1296" s="65"/>
      <c r="W1296" s="202"/>
    </row>
    <row r="1297" spans="9:23" ht="12" hidden="1" customHeight="1" outlineLevel="1">
      <c r="I1297" s="65"/>
      <c r="J1297" s="143" t="str">
        <f>IF(Equipamentos!C761&gt;0,Equipamentos!C761,"")</f>
        <v>Motoniveladora</v>
      </c>
      <c r="K1297" s="65"/>
      <c r="L1297" s="144">
        <f>Equipamentos!D761</f>
        <v>0</v>
      </c>
      <c r="M1297" s="105" t="s">
        <v>1004</v>
      </c>
      <c r="N1297" s="144">
        <f>Equipamentos!E761</f>
        <v>0</v>
      </c>
      <c r="O1297" s="105" t="s">
        <v>1263</v>
      </c>
      <c r="P1297" s="65"/>
      <c r="Q1297" s="65"/>
      <c r="R1297" s="65"/>
      <c r="S1297" s="110">
        <v>31500</v>
      </c>
      <c r="T1297" s="65"/>
      <c r="U1297" s="117">
        <f t="shared" si="836"/>
        <v>0</v>
      </c>
      <c r="V1297" s="65"/>
      <c r="W1297" s="202"/>
    </row>
    <row r="1298" spans="9:23" ht="12" hidden="1" customHeight="1" outlineLevel="1">
      <c r="I1298" s="65"/>
      <c r="J1298" s="143" t="str">
        <f>IF(Equipamentos!C762&gt;0,Equipamentos!C762,"")</f>
        <v>Caminhão basculante 6 m³</v>
      </c>
      <c r="K1298" s="65"/>
      <c r="L1298" s="144">
        <f>Equipamentos!D762</f>
        <v>0</v>
      </c>
      <c r="M1298" s="105" t="s">
        <v>1004</v>
      </c>
      <c r="N1298" s="144">
        <f>Equipamentos!E762</f>
        <v>0</v>
      </c>
      <c r="O1298" s="105" t="s">
        <v>1263</v>
      </c>
      <c r="P1298" s="65"/>
      <c r="Q1298" s="65"/>
      <c r="R1298" s="65"/>
      <c r="S1298" s="110">
        <v>19500</v>
      </c>
      <c r="T1298" s="65"/>
      <c r="U1298" s="117">
        <f t="shared" si="836"/>
        <v>0</v>
      </c>
      <c r="V1298" s="65"/>
      <c r="W1298" s="202"/>
    </row>
    <row r="1299" spans="9:23" ht="12" hidden="1" customHeight="1" outlineLevel="1">
      <c r="I1299" s="65"/>
      <c r="J1299" s="143" t="str">
        <f>IF(Equipamentos!C763&gt;0,Equipamentos!C763,"")</f>
        <v>Caminhão basculante 10 m³</v>
      </c>
      <c r="K1299" s="65"/>
      <c r="L1299" s="144">
        <f>Equipamentos!D763</f>
        <v>0</v>
      </c>
      <c r="M1299" s="105" t="s">
        <v>1004</v>
      </c>
      <c r="N1299" s="144">
        <f>Equipamentos!E763</f>
        <v>0</v>
      </c>
      <c r="O1299" s="105" t="s">
        <v>1263</v>
      </c>
      <c r="P1299" s="65"/>
      <c r="Q1299" s="65"/>
      <c r="R1299" s="65"/>
      <c r="S1299" s="110">
        <v>24000</v>
      </c>
      <c r="T1299" s="65"/>
      <c r="U1299" s="117">
        <f t="shared" si="836"/>
        <v>0</v>
      </c>
      <c r="V1299" s="65"/>
      <c r="W1299" s="202"/>
    </row>
    <row r="1300" spans="9:23" ht="12" hidden="1" customHeight="1" outlineLevel="1">
      <c r="I1300" s="65"/>
      <c r="J1300" s="143" t="str">
        <f>IF(Equipamentos!C764&gt;0,Equipamentos!C764,"")</f>
        <v>Caminhão basculante trucado 15 m³</v>
      </c>
      <c r="K1300" s="65"/>
      <c r="L1300" s="144">
        <f>Equipamentos!D764</f>
        <v>0</v>
      </c>
      <c r="M1300" s="105" t="s">
        <v>1004</v>
      </c>
      <c r="N1300" s="144">
        <f>Equipamentos!E764</f>
        <v>0</v>
      </c>
      <c r="O1300" s="105" t="s">
        <v>1263</v>
      </c>
      <c r="P1300" s="65"/>
      <c r="Q1300" s="65"/>
      <c r="R1300" s="65"/>
      <c r="S1300" s="110">
        <v>30000</v>
      </c>
      <c r="T1300" s="65"/>
      <c r="U1300" s="117">
        <f t="shared" si="836"/>
        <v>0</v>
      </c>
      <c r="V1300" s="65"/>
      <c r="W1300" s="202"/>
    </row>
    <row r="1301" spans="9:23" ht="12" hidden="1" customHeight="1" outlineLevel="1">
      <c r="I1301" s="65"/>
      <c r="J1301" s="143" t="str">
        <f>IF(Equipamentos!C765&gt;0,Equipamentos!C765,"")</f>
        <v>Rolo pé de carneiro</v>
      </c>
      <c r="K1301" s="65"/>
      <c r="L1301" s="144">
        <f>Equipamentos!D765</f>
        <v>0</v>
      </c>
      <c r="M1301" s="105" t="s">
        <v>1004</v>
      </c>
      <c r="N1301" s="144">
        <f>Equipamentos!E765</f>
        <v>0</v>
      </c>
      <c r="O1301" s="105" t="s">
        <v>1263</v>
      </c>
      <c r="P1301" s="65"/>
      <c r="Q1301" s="65"/>
      <c r="R1301" s="65"/>
      <c r="S1301" s="110">
        <v>19500</v>
      </c>
      <c r="T1301" s="65"/>
      <c r="U1301" s="117">
        <f t="shared" si="836"/>
        <v>0</v>
      </c>
      <c r="V1301" s="65"/>
      <c r="W1301" s="202"/>
    </row>
    <row r="1302" spans="9:23" ht="12" hidden="1" customHeight="1" outlineLevel="1">
      <c r="I1302" s="65"/>
      <c r="J1302" s="143" t="str">
        <f>IF(Equipamentos!C766&gt;0,Equipamentos!C766,"")</f>
        <v>Rolo compactador</v>
      </c>
      <c r="K1302" s="65"/>
      <c r="L1302" s="144">
        <f>Equipamentos!D766</f>
        <v>0</v>
      </c>
      <c r="M1302" s="105" t="s">
        <v>1004</v>
      </c>
      <c r="N1302" s="144">
        <f>Equipamentos!E766</f>
        <v>0</v>
      </c>
      <c r="O1302" s="105" t="s">
        <v>1263</v>
      </c>
      <c r="P1302" s="65"/>
      <c r="Q1302" s="65"/>
      <c r="R1302" s="65"/>
      <c r="S1302" s="110">
        <v>19500</v>
      </c>
      <c r="T1302" s="65"/>
      <c r="U1302" s="117">
        <f t="shared" si="836"/>
        <v>0</v>
      </c>
      <c r="V1302" s="65"/>
      <c r="W1302" s="202"/>
    </row>
    <row r="1303" spans="9:23" ht="12" hidden="1" customHeight="1" outlineLevel="1">
      <c r="I1303" s="65"/>
      <c r="J1303" s="143" t="str">
        <f>IF(Equipamentos!C767&gt;0,Equipamentos!C767,"")</f>
        <v>Side boom</v>
      </c>
      <c r="K1303" s="65"/>
      <c r="L1303" s="144">
        <f>Equipamentos!D767</f>
        <v>0</v>
      </c>
      <c r="M1303" s="105" t="s">
        <v>1004</v>
      </c>
      <c r="N1303" s="144">
        <f>Equipamentos!E767</f>
        <v>0</v>
      </c>
      <c r="O1303" s="105" t="s">
        <v>1263</v>
      </c>
      <c r="P1303" s="65"/>
      <c r="Q1303" s="65"/>
      <c r="R1303" s="65"/>
      <c r="S1303" s="110">
        <v>28500</v>
      </c>
      <c r="T1303" s="65"/>
      <c r="U1303" s="117">
        <f t="shared" si="836"/>
        <v>0</v>
      </c>
      <c r="V1303" s="65"/>
      <c r="W1303" s="202"/>
    </row>
    <row r="1304" spans="9:23" ht="12" hidden="1" customHeight="1" outlineLevel="1">
      <c r="I1304" s="65"/>
      <c r="J1304" s="143" t="str">
        <f>IF(Equipamentos!C768&gt;0,Equipamentos!C768,"")</f>
        <v>Curvadora de tubos</v>
      </c>
      <c r="K1304" s="65"/>
      <c r="L1304" s="144">
        <f>Equipamentos!D768</f>
        <v>0</v>
      </c>
      <c r="M1304" s="105" t="s">
        <v>1004</v>
      </c>
      <c r="N1304" s="144">
        <f>Equipamentos!E768</f>
        <v>0</v>
      </c>
      <c r="O1304" s="105" t="s">
        <v>1263</v>
      </c>
      <c r="P1304" s="65"/>
      <c r="Q1304" s="65"/>
      <c r="R1304" s="65"/>
      <c r="S1304" s="110">
        <v>35000</v>
      </c>
      <c r="T1304" s="65"/>
      <c r="U1304" s="117">
        <f t="shared" si="836"/>
        <v>0</v>
      </c>
      <c r="V1304" s="65"/>
      <c r="W1304" s="202"/>
    </row>
    <row r="1305" spans="9:23" ht="12" hidden="1" customHeight="1" outlineLevel="1">
      <c r="I1305" s="65"/>
      <c r="J1305" s="143" t="str">
        <f>IF(Equipamentos!C769&gt;0,Equipamentos!C769,"")</f>
        <v>Pá carregadeira</v>
      </c>
      <c r="K1305" s="65"/>
      <c r="L1305" s="144">
        <f>Equipamentos!D769</f>
        <v>0</v>
      </c>
      <c r="M1305" s="105" t="s">
        <v>1004</v>
      </c>
      <c r="N1305" s="144">
        <f>Equipamentos!E769</f>
        <v>0</v>
      </c>
      <c r="O1305" s="105" t="s">
        <v>1263</v>
      </c>
      <c r="P1305" s="65"/>
      <c r="Q1305" s="65"/>
      <c r="R1305" s="65"/>
      <c r="S1305" s="110">
        <v>18000</v>
      </c>
      <c r="T1305" s="65"/>
      <c r="U1305" s="117">
        <f t="shared" si="836"/>
        <v>0</v>
      </c>
      <c r="V1305" s="65"/>
      <c r="W1305" s="202"/>
    </row>
    <row r="1306" spans="9:23" ht="12" hidden="1" customHeight="1" outlineLevel="1">
      <c r="I1306" s="65"/>
      <c r="J1306" s="143" t="str">
        <f>IF(Equipamentos!C770&gt;0,Equipamentos!C770,"")</f>
        <v>Caminhão Espargidor</v>
      </c>
      <c r="K1306" s="65"/>
      <c r="L1306" s="144">
        <f>Equipamentos!D770</f>
        <v>0</v>
      </c>
      <c r="M1306" s="105" t="s">
        <v>1004</v>
      </c>
      <c r="N1306" s="144">
        <f>Equipamentos!E770</f>
        <v>0</v>
      </c>
      <c r="O1306" s="105" t="s">
        <v>1263</v>
      </c>
      <c r="P1306" s="65"/>
      <c r="Q1306" s="65"/>
      <c r="R1306" s="65"/>
      <c r="S1306" s="110">
        <v>22500</v>
      </c>
      <c r="T1306" s="65"/>
      <c r="U1306" s="117">
        <f t="shared" si="836"/>
        <v>0</v>
      </c>
      <c r="V1306" s="65"/>
      <c r="W1306" s="202"/>
    </row>
    <row r="1307" spans="9:23" ht="12" hidden="1" customHeight="1" outlineLevel="1">
      <c r="I1307" s="65"/>
      <c r="J1307" s="143" t="str">
        <f>IF(Equipamentos!C771&gt;0,Equipamentos!C771,"")</f>
        <v/>
      </c>
      <c r="K1307" s="65"/>
      <c r="L1307" s="144">
        <f>Equipamentos!D771</f>
        <v>0</v>
      </c>
      <c r="M1307" s="105" t="s">
        <v>1004</v>
      </c>
      <c r="N1307" s="144">
        <f>Equipamentos!E771</f>
        <v>0</v>
      </c>
      <c r="O1307" s="105" t="s">
        <v>1263</v>
      </c>
      <c r="P1307" s="65"/>
      <c r="Q1307" s="65"/>
      <c r="R1307" s="65"/>
      <c r="S1307" s="110"/>
      <c r="T1307" s="65"/>
      <c r="U1307" s="117">
        <f t="shared" si="835"/>
        <v>0</v>
      </c>
      <c r="V1307" s="65"/>
      <c r="W1307" s="202"/>
    </row>
    <row r="1308" spans="9:23" ht="12" hidden="1" customHeight="1" outlineLevel="1">
      <c r="I1308" s="65"/>
      <c r="J1308" s="143" t="str">
        <f>IF(Equipamentos!C772&gt;0,Equipamentos!C772,"")</f>
        <v/>
      </c>
      <c r="K1308" s="65"/>
      <c r="L1308" s="144">
        <f>Equipamentos!D772</f>
        <v>0</v>
      </c>
      <c r="M1308" s="105" t="s">
        <v>1004</v>
      </c>
      <c r="N1308" s="144">
        <f>Equipamentos!E772</f>
        <v>0</v>
      </c>
      <c r="O1308" s="105" t="s">
        <v>1263</v>
      </c>
      <c r="P1308" s="65"/>
      <c r="Q1308" s="65"/>
      <c r="R1308" s="65"/>
      <c r="S1308" s="110"/>
      <c r="T1308" s="65"/>
      <c r="U1308" s="117">
        <f t="shared" si="835"/>
        <v>0</v>
      </c>
      <c r="V1308" s="65"/>
      <c r="W1308" s="202"/>
    </row>
    <row r="1309" spans="9:23" ht="12" hidden="1" customHeight="1" outlineLevel="1">
      <c r="I1309" s="65"/>
      <c r="J1309" s="65"/>
      <c r="K1309" s="65"/>
      <c r="L1309" s="65"/>
      <c r="M1309" s="65"/>
      <c r="N1309" s="65"/>
      <c r="O1309" s="65"/>
      <c r="P1309" s="65"/>
      <c r="Q1309" s="65"/>
      <c r="R1309" s="65"/>
      <c r="S1309" s="65"/>
      <c r="T1309" s="65"/>
      <c r="U1309" s="65"/>
      <c r="V1309" s="65"/>
      <c r="W1309" s="65"/>
    </row>
    <row r="1310" spans="9:23" ht="24" hidden="1" customHeight="1" outlineLevel="1">
      <c r="I1310" s="65"/>
      <c r="J1310" s="142" t="s">
        <v>1517</v>
      </c>
      <c r="K1310" s="65"/>
      <c r="L1310" s="142" t="s">
        <v>1179</v>
      </c>
      <c r="M1310" s="142" t="s">
        <v>1238</v>
      </c>
      <c r="N1310" s="142" t="s">
        <v>1260</v>
      </c>
      <c r="O1310" s="142" t="s">
        <v>1261</v>
      </c>
      <c r="P1310" s="65"/>
      <c r="Q1310" s="65"/>
      <c r="R1310" s="65"/>
      <c r="S1310" s="142" t="s">
        <v>1240</v>
      </c>
      <c r="T1310" s="65"/>
      <c r="U1310" s="142" t="s">
        <v>1241</v>
      </c>
      <c r="V1310" s="65"/>
      <c r="W1310" s="142" t="s">
        <v>1111</v>
      </c>
    </row>
    <row r="1311" spans="9:23" ht="12" hidden="1" customHeight="1" outlineLevel="1">
      <c r="I1311" s="65"/>
      <c r="J1311" s="143" t="str">
        <f>"Combustível para "&amp;J1249</f>
        <v>Combustível para Ambulância</v>
      </c>
      <c r="K1311" s="65"/>
      <c r="L1311" s="107">
        <f>(SUM(L1249:L1308)*1000/8)</f>
        <v>0</v>
      </c>
      <c r="M1311" s="78" t="s">
        <v>1519</v>
      </c>
      <c r="N1311" s="107">
        <f t="shared" ref="N1311:N1358" si="837">N1249</f>
        <v>0</v>
      </c>
      <c r="O1311" s="78" t="s">
        <v>1263</v>
      </c>
      <c r="P1311" s="65"/>
      <c r="Q1311" s="65"/>
      <c r="R1311" s="65"/>
      <c r="S1311" s="110">
        <v>7.2</v>
      </c>
      <c r="T1311" s="65"/>
      <c r="U1311" s="117">
        <f t="shared" ref="U1311" si="838">L1311*N1311*S1311</f>
        <v>0</v>
      </c>
      <c r="V1311" s="65"/>
      <c r="W1311" s="202"/>
    </row>
    <row r="1312" spans="9:23" ht="12" hidden="1" customHeight="1" outlineLevel="1">
      <c r="I1312" s="65"/>
      <c r="J1312" s="143" t="str">
        <f t="shared" ref="J1312:J1370" si="839">"Combustível para "&amp;J1250</f>
        <v>Combustível para Caminhão comboio</v>
      </c>
      <c r="K1312" s="65"/>
      <c r="L1312" s="107">
        <f t="shared" ref="L1312:L1318" si="840">(L1250*3000/4)</f>
        <v>0</v>
      </c>
      <c r="M1312" s="78" t="s">
        <v>1519</v>
      </c>
      <c r="N1312" s="107">
        <f t="shared" si="837"/>
        <v>0</v>
      </c>
      <c r="O1312" s="78" t="s">
        <v>1263</v>
      </c>
      <c r="P1312" s="65"/>
      <c r="Q1312" s="65"/>
      <c r="R1312" s="65"/>
      <c r="S1312" s="110">
        <v>7.2</v>
      </c>
      <c r="T1312" s="65"/>
      <c r="U1312" s="117">
        <f t="shared" ref="U1312:U1358" si="841">L1312*N1312*S1312</f>
        <v>0</v>
      </c>
      <c r="V1312" s="65"/>
      <c r="W1312" s="202"/>
    </row>
    <row r="1313" spans="9:23" ht="12" hidden="1" customHeight="1" outlineLevel="1">
      <c r="I1313" s="65"/>
      <c r="J1313" s="143" t="str">
        <f t="shared" si="839"/>
        <v>Combustível para Carreta prancha</v>
      </c>
      <c r="K1313" s="65"/>
      <c r="L1313" s="107">
        <f t="shared" si="840"/>
        <v>0</v>
      </c>
      <c r="M1313" s="78" t="s">
        <v>1519</v>
      </c>
      <c r="N1313" s="107">
        <f t="shared" si="837"/>
        <v>0</v>
      </c>
      <c r="O1313" s="78" t="s">
        <v>1263</v>
      </c>
      <c r="P1313" s="65"/>
      <c r="Q1313" s="65"/>
      <c r="R1313" s="65"/>
      <c r="S1313" s="110">
        <v>7.2</v>
      </c>
      <c r="T1313" s="65"/>
      <c r="U1313" s="117">
        <f t="shared" si="841"/>
        <v>0</v>
      </c>
      <c r="V1313" s="65"/>
      <c r="W1313" s="202"/>
    </row>
    <row r="1314" spans="9:23" ht="12" hidden="1" customHeight="1" outlineLevel="1">
      <c r="I1314" s="65"/>
      <c r="J1314" s="143" t="str">
        <f t="shared" si="839"/>
        <v>Combustível para Caminhão truck</v>
      </c>
      <c r="K1314" s="65"/>
      <c r="L1314" s="107">
        <f t="shared" si="840"/>
        <v>0</v>
      </c>
      <c r="M1314" s="78" t="s">
        <v>1519</v>
      </c>
      <c r="N1314" s="107">
        <f t="shared" si="837"/>
        <v>0</v>
      </c>
      <c r="O1314" s="78" t="s">
        <v>1263</v>
      </c>
      <c r="P1314" s="65"/>
      <c r="Q1314" s="65"/>
      <c r="R1314" s="65"/>
      <c r="S1314" s="110">
        <v>7.2</v>
      </c>
      <c r="T1314" s="65"/>
      <c r="U1314" s="117">
        <f t="shared" si="841"/>
        <v>0</v>
      </c>
      <c r="V1314" s="65"/>
      <c r="W1314" s="202"/>
    </row>
    <row r="1315" spans="9:23" ht="12" hidden="1" customHeight="1" outlineLevel="1">
      <c r="I1315" s="65"/>
      <c r="J1315" s="143" t="str">
        <f t="shared" si="839"/>
        <v>Combustível para Caminhão munck 10 Ton</v>
      </c>
      <c r="K1315" s="65"/>
      <c r="L1315" s="107">
        <f t="shared" si="840"/>
        <v>0</v>
      </c>
      <c r="M1315" s="78" t="s">
        <v>1519</v>
      </c>
      <c r="N1315" s="107">
        <f t="shared" si="837"/>
        <v>0</v>
      </c>
      <c r="O1315" s="78" t="s">
        <v>1263</v>
      </c>
      <c r="P1315" s="65"/>
      <c r="Q1315" s="65"/>
      <c r="R1315" s="65"/>
      <c r="S1315" s="110">
        <v>7.2</v>
      </c>
      <c r="T1315" s="65"/>
      <c r="U1315" s="117">
        <f t="shared" si="841"/>
        <v>0</v>
      </c>
      <c r="V1315" s="65"/>
      <c r="W1315" s="202"/>
    </row>
    <row r="1316" spans="9:23" ht="12" hidden="1" customHeight="1" outlineLevel="1">
      <c r="I1316" s="65"/>
      <c r="J1316" s="143" t="str">
        <f t="shared" si="839"/>
        <v>Combustível para Caminhão munck 15 Ton</v>
      </c>
      <c r="K1316" s="65"/>
      <c r="L1316" s="107">
        <f t="shared" si="840"/>
        <v>0</v>
      </c>
      <c r="M1316" s="78" t="s">
        <v>1519</v>
      </c>
      <c r="N1316" s="107">
        <f t="shared" si="837"/>
        <v>0</v>
      </c>
      <c r="O1316" s="78" t="s">
        <v>1263</v>
      </c>
      <c r="P1316" s="65"/>
      <c r="Q1316" s="65"/>
      <c r="R1316" s="65"/>
      <c r="S1316" s="110">
        <v>7.2</v>
      </c>
      <c r="T1316" s="65"/>
      <c r="U1316" s="117">
        <f t="shared" si="841"/>
        <v>0</v>
      </c>
      <c r="V1316" s="65"/>
      <c r="W1316" s="202"/>
    </row>
    <row r="1317" spans="9:23" ht="12" hidden="1" customHeight="1" outlineLevel="1">
      <c r="I1317" s="65"/>
      <c r="J1317" s="143" t="str">
        <f t="shared" si="839"/>
        <v>Combustível para Caminhão munck 20 Ton</v>
      </c>
      <c r="K1317" s="65"/>
      <c r="L1317" s="107">
        <f t="shared" si="840"/>
        <v>0</v>
      </c>
      <c r="M1317" s="78" t="s">
        <v>1519</v>
      </c>
      <c r="N1317" s="107">
        <f t="shared" si="837"/>
        <v>0</v>
      </c>
      <c r="O1317" s="78" t="s">
        <v>1263</v>
      </c>
      <c r="P1317" s="65"/>
      <c r="Q1317" s="65"/>
      <c r="R1317" s="65"/>
      <c r="S1317" s="110">
        <v>7.2</v>
      </c>
      <c r="T1317" s="65"/>
      <c r="U1317" s="117">
        <f t="shared" si="841"/>
        <v>0</v>
      </c>
      <c r="V1317" s="65"/>
      <c r="W1317" s="202"/>
    </row>
    <row r="1318" spans="9:23" ht="12" hidden="1" customHeight="1" outlineLevel="1">
      <c r="I1318" s="65"/>
      <c r="J1318" s="143" t="str">
        <f t="shared" si="839"/>
        <v>Combustível para Caminhão pipa 10m³</v>
      </c>
      <c r="K1318" s="65"/>
      <c r="L1318" s="107">
        <f t="shared" si="840"/>
        <v>0</v>
      </c>
      <c r="M1318" s="78" t="s">
        <v>1519</v>
      </c>
      <c r="N1318" s="107">
        <f t="shared" si="837"/>
        <v>0</v>
      </c>
      <c r="O1318" s="78" t="s">
        <v>1263</v>
      </c>
      <c r="P1318" s="65"/>
      <c r="Q1318" s="65"/>
      <c r="R1318" s="65"/>
      <c r="S1318" s="110">
        <v>7.2</v>
      </c>
      <c r="T1318" s="65"/>
      <c r="U1318" s="117">
        <f t="shared" si="841"/>
        <v>0</v>
      </c>
      <c r="V1318" s="65"/>
      <c r="W1318" s="202"/>
    </row>
    <row r="1319" spans="9:23" ht="12" hidden="1" customHeight="1" outlineLevel="1">
      <c r="I1319" s="65"/>
      <c r="J1319" s="143" t="str">
        <f t="shared" si="839"/>
        <v>Combustível para Empilhadeira 2,5 Ton</v>
      </c>
      <c r="K1319" s="65"/>
      <c r="L1319" s="107">
        <f>(L1257*1000/6)</f>
        <v>0</v>
      </c>
      <c r="M1319" s="78" t="s">
        <v>1519</v>
      </c>
      <c r="N1319" s="107">
        <f t="shared" si="837"/>
        <v>0</v>
      </c>
      <c r="O1319" s="78" t="s">
        <v>1263</v>
      </c>
      <c r="P1319" s="65"/>
      <c r="Q1319" s="65"/>
      <c r="R1319" s="65"/>
      <c r="S1319" s="110">
        <v>7.2</v>
      </c>
      <c r="T1319" s="65"/>
      <c r="U1319" s="117">
        <f t="shared" si="841"/>
        <v>0</v>
      </c>
      <c r="V1319" s="65"/>
      <c r="W1319" s="202"/>
    </row>
    <row r="1320" spans="9:23" ht="12" hidden="1" customHeight="1" outlineLevel="1">
      <c r="I1320" s="65"/>
      <c r="J1320" s="143" t="str">
        <f t="shared" si="839"/>
        <v>Combustível para Empilhadeira 5 Ton</v>
      </c>
      <c r="K1320" s="65"/>
      <c r="L1320" s="107">
        <f>(L1258*1000/6)</f>
        <v>0</v>
      </c>
      <c r="M1320" s="78" t="s">
        <v>1519</v>
      </c>
      <c r="N1320" s="107">
        <f t="shared" si="837"/>
        <v>0</v>
      </c>
      <c r="O1320" s="78" t="s">
        <v>1263</v>
      </c>
      <c r="P1320" s="65"/>
      <c r="Q1320" s="65"/>
      <c r="R1320" s="65"/>
      <c r="S1320" s="110">
        <v>7.2</v>
      </c>
      <c r="T1320" s="65"/>
      <c r="U1320" s="117">
        <f t="shared" si="841"/>
        <v>0</v>
      </c>
      <c r="V1320" s="65"/>
      <c r="W1320" s="202"/>
    </row>
    <row r="1321" spans="9:23" ht="12" hidden="1" customHeight="1" outlineLevel="1">
      <c r="I1321" s="65"/>
      <c r="J1321" s="143" t="str">
        <f t="shared" si="839"/>
        <v>Combustível para Empilhadeira 7 Ton</v>
      </c>
      <c r="K1321" s="65"/>
      <c r="L1321" s="107">
        <f>(L1259*1000/6)</f>
        <v>0</v>
      </c>
      <c r="M1321" s="78" t="s">
        <v>1519</v>
      </c>
      <c r="N1321" s="107">
        <f t="shared" si="837"/>
        <v>0</v>
      </c>
      <c r="O1321" s="78" t="s">
        <v>1263</v>
      </c>
      <c r="P1321" s="65"/>
      <c r="Q1321" s="65"/>
      <c r="R1321" s="65"/>
      <c r="S1321" s="110">
        <v>7.2</v>
      </c>
      <c r="T1321" s="65"/>
      <c r="U1321" s="117">
        <f t="shared" si="841"/>
        <v>0</v>
      </c>
      <c r="V1321" s="65"/>
      <c r="W1321" s="202"/>
    </row>
    <row r="1322" spans="9:23" ht="12" hidden="1" customHeight="1" outlineLevel="1">
      <c r="I1322" s="65"/>
      <c r="J1322" s="143" t="str">
        <f t="shared" si="839"/>
        <v>Combustível para Guindaste telescópico 20 Ton</v>
      </c>
      <c r="K1322" s="65"/>
      <c r="L1322" s="107">
        <f t="shared" ref="L1322:L1333" si="842">(L1260*2000/4)</f>
        <v>0</v>
      </c>
      <c r="M1322" s="78" t="s">
        <v>1519</v>
      </c>
      <c r="N1322" s="107">
        <f t="shared" si="837"/>
        <v>0</v>
      </c>
      <c r="O1322" s="78" t="s">
        <v>1263</v>
      </c>
      <c r="P1322" s="65"/>
      <c r="Q1322" s="65"/>
      <c r="R1322" s="65"/>
      <c r="S1322" s="110">
        <v>7.2</v>
      </c>
      <c r="T1322" s="65"/>
      <c r="U1322" s="117">
        <f t="shared" si="841"/>
        <v>0</v>
      </c>
      <c r="V1322" s="65"/>
      <c r="W1322" s="202"/>
    </row>
    <row r="1323" spans="9:23" ht="12" hidden="1" customHeight="1" outlineLevel="1">
      <c r="I1323" s="65"/>
      <c r="J1323" s="143" t="str">
        <f t="shared" si="839"/>
        <v>Combustível para Guindaste telescópico 30 Ton</v>
      </c>
      <c r="K1323" s="65"/>
      <c r="L1323" s="107">
        <f t="shared" si="842"/>
        <v>0</v>
      </c>
      <c r="M1323" s="78" t="s">
        <v>1519</v>
      </c>
      <c r="N1323" s="107">
        <f t="shared" si="837"/>
        <v>0</v>
      </c>
      <c r="O1323" s="78" t="s">
        <v>1263</v>
      </c>
      <c r="P1323" s="65"/>
      <c r="Q1323" s="65"/>
      <c r="R1323" s="65"/>
      <c r="S1323" s="110">
        <v>7.2</v>
      </c>
      <c r="T1323" s="65"/>
      <c r="U1323" s="117">
        <f t="shared" si="841"/>
        <v>0</v>
      </c>
      <c r="V1323" s="65"/>
      <c r="W1323" s="202"/>
    </row>
    <row r="1324" spans="9:23" ht="12" hidden="1" customHeight="1" outlineLevel="1">
      <c r="I1324" s="65"/>
      <c r="J1324" s="143" t="str">
        <f t="shared" si="839"/>
        <v>Combustível para Guindaste telescópico 50 Ton</v>
      </c>
      <c r="K1324" s="65"/>
      <c r="L1324" s="107">
        <f t="shared" si="842"/>
        <v>0</v>
      </c>
      <c r="M1324" s="78" t="s">
        <v>1519</v>
      </c>
      <c r="N1324" s="107">
        <f t="shared" si="837"/>
        <v>0</v>
      </c>
      <c r="O1324" s="78" t="s">
        <v>1263</v>
      </c>
      <c r="P1324" s="65"/>
      <c r="Q1324" s="65"/>
      <c r="R1324" s="65"/>
      <c r="S1324" s="110">
        <v>7.2</v>
      </c>
      <c r="T1324" s="65"/>
      <c r="U1324" s="117">
        <f t="shared" si="841"/>
        <v>0</v>
      </c>
      <c r="V1324" s="65"/>
      <c r="W1324" s="202"/>
    </row>
    <row r="1325" spans="9:23" ht="12" hidden="1" customHeight="1" outlineLevel="1">
      <c r="I1325" s="65"/>
      <c r="J1325" s="143" t="str">
        <f t="shared" si="839"/>
        <v>Combustível para Guindaste telescópico 60 Ton</v>
      </c>
      <c r="K1325" s="65"/>
      <c r="L1325" s="107">
        <f t="shared" si="842"/>
        <v>0</v>
      </c>
      <c r="M1325" s="78" t="s">
        <v>1519</v>
      </c>
      <c r="N1325" s="107">
        <f t="shared" si="837"/>
        <v>0</v>
      </c>
      <c r="O1325" s="78" t="s">
        <v>1263</v>
      </c>
      <c r="P1325" s="65"/>
      <c r="Q1325" s="65"/>
      <c r="R1325" s="65"/>
      <c r="S1325" s="110">
        <v>7.2</v>
      </c>
      <c r="T1325" s="65"/>
      <c r="U1325" s="117">
        <f t="shared" si="841"/>
        <v>0</v>
      </c>
      <c r="V1325" s="65"/>
      <c r="W1325" s="202"/>
    </row>
    <row r="1326" spans="9:23" ht="12" hidden="1" customHeight="1" outlineLevel="1">
      <c r="I1326" s="65"/>
      <c r="J1326" s="143" t="str">
        <f t="shared" si="839"/>
        <v>Combustível para Guindaste telescópico 80 Ton</v>
      </c>
      <c r="K1326" s="65"/>
      <c r="L1326" s="107">
        <f t="shared" si="842"/>
        <v>0</v>
      </c>
      <c r="M1326" s="78" t="s">
        <v>1519</v>
      </c>
      <c r="N1326" s="107">
        <f t="shared" si="837"/>
        <v>0</v>
      </c>
      <c r="O1326" s="78" t="s">
        <v>1263</v>
      </c>
      <c r="P1326" s="65"/>
      <c r="Q1326" s="65"/>
      <c r="R1326" s="65"/>
      <c r="S1326" s="110">
        <v>7.2</v>
      </c>
      <c r="T1326" s="65"/>
      <c r="U1326" s="117">
        <f t="shared" si="841"/>
        <v>0</v>
      </c>
      <c r="V1326" s="65"/>
      <c r="W1326" s="202"/>
    </row>
    <row r="1327" spans="9:23" ht="12" hidden="1" customHeight="1" outlineLevel="1">
      <c r="I1327" s="65"/>
      <c r="J1327" s="143" t="str">
        <f t="shared" si="839"/>
        <v>Combustível para Guindaste telescópico 100 Ton</v>
      </c>
      <c r="K1327" s="65"/>
      <c r="L1327" s="107">
        <f t="shared" si="842"/>
        <v>0</v>
      </c>
      <c r="M1327" s="78" t="s">
        <v>1519</v>
      </c>
      <c r="N1327" s="107">
        <f t="shared" si="837"/>
        <v>0</v>
      </c>
      <c r="O1327" s="78" t="s">
        <v>1263</v>
      </c>
      <c r="P1327" s="65"/>
      <c r="Q1327" s="65"/>
      <c r="R1327" s="65"/>
      <c r="S1327" s="110">
        <v>7.2</v>
      </c>
      <c r="T1327" s="65"/>
      <c r="U1327" s="117">
        <f t="shared" si="841"/>
        <v>0</v>
      </c>
      <c r="V1327" s="65"/>
      <c r="W1327" s="202"/>
    </row>
    <row r="1328" spans="9:23" ht="12" hidden="1" customHeight="1" outlineLevel="1">
      <c r="I1328" s="65"/>
      <c r="J1328" s="143" t="str">
        <f t="shared" si="839"/>
        <v>Combustível para Guindaste telescópico 120 Ton</v>
      </c>
      <c r="K1328" s="65"/>
      <c r="L1328" s="107">
        <f t="shared" si="842"/>
        <v>0</v>
      </c>
      <c r="M1328" s="78" t="s">
        <v>1519</v>
      </c>
      <c r="N1328" s="107">
        <f t="shared" si="837"/>
        <v>0</v>
      </c>
      <c r="O1328" s="78" t="s">
        <v>1263</v>
      </c>
      <c r="P1328" s="65"/>
      <c r="Q1328" s="65"/>
      <c r="R1328" s="65"/>
      <c r="S1328" s="110">
        <v>7.2</v>
      </c>
      <c r="T1328" s="65"/>
      <c r="U1328" s="117">
        <f t="shared" si="841"/>
        <v>0</v>
      </c>
      <c r="V1328" s="65"/>
      <c r="W1328" s="202"/>
    </row>
    <row r="1329" spans="9:23" ht="12" hidden="1" customHeight="1" outlineLevel="1">
      <c r="I1329" s="65"/>
      <c r="J1329" s="143" t="str">
        <f t="shared" si="839"/>
        <v>Combustível para Guindaste telescópico 130 Ton</v>
      </c>
      <c r="K1329" s="65"/>
      <c r="L1329" s="107">
        <f t="shared" si="842"/>
        <v>0</v>
      </c>
      <c r="M1329" s="78" t="s">
        <v>1519</v>
      </c>
      <c r="N1329" s="107">
        <f t="shared" si="837"/>
        <v>0</v>
      </c>
      <c r="O1329" s="78" t="s">
        <v>1263</v>
      </c>
      <c r="P1329" s="65"/>
      <c r="Q1329" s="65"/>
      <c r="R1329" s="65"/>
      <c r="S1329" s="110">
        <v>7.2</v>
      </c>
      <c r="T1329" s="65"/>
      <c r="U1329" s="117">
        <f t="shared" si="841"/>
        <v>0</v>
      </c>
      <c r="V1329" s="65"/>
      <c r="W1329" s="202"/>
    </row>
    <row r="1330" spans="9:23" ht="12" hidden="1" customHeight="1" outlineLevel="1">
      <c r="I1330" s="65"/>
      <c r="J1330" s="143" t="str">
        <f t="shared" si="839"/>
        <v>Combustível para Guindaste telescópico 250 Ton</v>
      </c>
      <c r="K1330" s="65"/>
      <c r="L1330" s="107">
        <f t="shared" si="842"/>
        <v>0</v>
      </c>
      <c r="M1330" s="78" t="s">
        <v>1519</v>
      </c>
      <c r="N1330" s="107">
        <f t="shared" si="837"/>
        <v>0</v>
      </c>
      <c r="O1330" s="78" t="s">
        <v>1263</v>
      </c>
      <c r="P1330" s="65"/>
      <c r="Q1330" s="65"/>
      <c r="R1330" s="65"/>
      <c r="S1330" s="110">
        <v>7.2</v>
      </c>
      <c r="T1330" s="65"/>
      <c r="U1330" s="117">
        <f t="shared" si="841"/>
        <v>0</v>
      </c>
      <c r="V1330" s="65"/>
      <c r="W1330" s="202"/>
    </row>
    <row r="1331" spans="9:23" ht="12" hidden="1" customHeight="1" outlineLevel="1">
      <c r="I1331" s="65"/>
      <c r="J1331" s="143" t="str">
        <f t="shared" si="839"/>
        <v>Combustível para Guindaste telescópico 300 Ton</v>
      </c>
      <c r="K1331" s="65"/>
      <c r="L1331" s="107">
        <f t="shared" si="842"/>
        <v>0</v>
      </c>
      <c r="M1331" s="78" t="s">
        <v>1519</v>
      </c>
      <c r="N1331" s="107">
        <f t="shared" si="837"/>
        <v>0</v>
      </c>
      <c r="O1331" s="78" t="s">
        <v>1263</v>
      </c>
      <c r="P1331" s="65"/>
      <c r="Q1331" s="65"/>
      <c r="R1331" s="65"/>
      <c r="S1331" s="110">
        <v>7.2</v>
      </c>
      <c r="T1331" s="65"/>
      <c r="U1331" s="117">
        <f t="shared" si="841"/>
        <v>0</v>
      </c>
      <c r="V1331" s="65"/>
      <c r="W1331" s="202"/>
    </row>
    <row r="1332" spans="9:23" ht="12" hidden="1" customHeight="1" outlineLevel="1">
      <c r="I1332" s="65"/>
      <c r="J1332" s="143" t="str">
        <f t="shared" si="839"/>
        <v>Combustível para Guindaste telescópico 400 Ton</v>
      </c>
      <c r="K1332" s="65"/>
      <c r="L1332" s="107">
        <f t="shared" si="842"/>
        <v>0</v>
      </c>
      <c r="M1332" s="78" t="s">
        <v>1519</v>
      </c>
      <c r="N1332" s="107">
        <f t="shared" si="837"/>
        <v>0</v>
      </c>
      <c r="O1332" s="78" t="s">
        <v>1263</v>
      </c>
      <c r="P1332" s="65"/>
      <c r="Q1332" s="65"/>
      <c r="R1332" s="65"/>
      <c r="S1332" s="110">
        <v>7.2</v>
      </c>
      <c r="T1332" s="65"/>
      <c r="U1332" s="117">
        <f t="shared" si="841"/>
        <v>0</v>
      </c>
      <c r="V1332" s="65"/>
      <c r="W1332" s="202"/>
    </row>
    <row r="1333" spans="9:23" ht="12" hidden="1" customHeight="1" outlineLevel="1">
      <c r="I1333" s="65"/>
      <c r="J1333" s="143" t="str">
        <f t="shared" si="839"/>
        <v>Combustível para Guindaste telescópico 500 Ton</v>
      </c>
      <c r="K1333" s="65"/>
      <c r="L1333" s="107">
        <f t="shared" si="842"/>
        <v>0</v>
      </c>
      <c r="M1333" s="78" t="s">
        <v>1519</v>
      </c>
      <c r="N1333" s="107">
        <f t="shared" si="837"/>
        <v>0</v>
      </c>
      <c r="O1333" s="78" t="s">
        <v>1263</v>
      </c>
      <c r="P1333" s="65"/>
      <c r="Q1333" s="65"/>
      <c r="R1333" s="65"/>
      <c r="S1333" s="110">
        <v>7.2</v>
      </c>
      <c r="T1333" s="65"/>
      <c r="U1333" s="117">
        <f t="shared" si="841"/>
        <v>0</v>
      </c>
      <c r="V1333" s="65"/>
      <c r="W1333" s="202"/>
    </row>
    <row r="1334" spans="9:23" ht="12" hidden="1" customHeight="1" outlineLevel="1">
      <c r="I1334" s="65"/>
      <c r="J1334" s="143" t="str">
        <f t="shared" si="839"/>
        <v>Combustível para Guindaste treliçado 20 Ton</v>
      </c>
      <c r="K1334" s="65"/>
      <c r="L1334" s="107">
        <f t="shared" ref="L1334:L1345" si="843">(L1272*2000/4)</f>
        <v>0</v>
      </c>
      <c r="M1334" s="78" t="s">
        <v>1519</v>
      </c>
      <c r="N1334" s="107">
        <f t="shared" si="837"/>
        <v>0</v>
      </c>
      <c r="O1334" s="78" t="s">
        <v>1263</v>
      </c>
      <c r="P1334" s="65"/>
      <c r="Q1334" s="65"/>
      <c r="R1334" s="65"/>
      <c r="S1334" s="110">
        <v>7.2</v>
      </c>
      <c r="T1334" s="65"/>
      <c r="U1334" s="117">
        <f t="shared" si="841"/>
        <v>0</v>
      </c>
      <c r="V1334" s="65"/>
      <c r="W1334" s="202"/>
    </row>
    <row r="1335" spans="9:23" ht="12" hidden="1" customHeight="1" outlineLevel="1">
      <c r="I1335" s="65"/>
      <c r="J1335" s="143" t="str">
        <f t="shared" si="839"/>
        <v>Combustível para Guindaste treliçado 30 Ton</v>
      </c>
      <c r="K1335" s="65"/>
      <c r="L1335" s="107">
        <f t="shared" si="843"/>
        <v>0</v>
      </c>
      <c r="M1335" s="78" t="s">
        <v>1519</v>
      </c>
      <c r="N1335" s="107">
        <f t="shared" si="837"/>
        <v>0</v>
      </c>
      <c r="O1335" s="78" t="s">
        <v>1263</v>
      </c>
      <c r="P1335" s="65"/>
      <c r="Q1335" s="65"/>
      <c r="R1335" s="65"/>
      <c r="S1335" s="110">
        <v>7.2</v>
      </c>
      <c r="T1335" s="65"/>
      <c r="U1335" s="117">
        <f t="shared" si="841"/>
        <v>0</v>
      </c>
      <c r="V1335" s="65"/>
      <c r="W1335" s="202"/>
    </row>
    <row r="1336" spans="9:23" ht="12" hidden="1" customHeight="1" outlineLevel="1">
      <c r="I1336" s="65"/>
      <c r="J1336" s="143" t="str">
        <f t="shared" si="839"/>
        <v>Combustível para Guindaste treliçado 50 Ton</v>
      </c>
      <c r="K1336" s="65"/>
      <c r="L1336" s="107">
        <f t="shared" si="843"/>
        <v>0</v>
      </c>
      <c r="M1336" s="78" t="s">
        <v>1519</v>
      </c>
      <c r="N1336" s="107">
        <f t="shared" si="837"/>
        <v>0</v>
      </c>
      <c r="O1336" s="78" t="s">
        <v>1263</v>
      </c>
      <c r="P1336" s="65"/>
      <c r="Q1336" s="65"/>
      <c r="R1336" s="65"/>
      <c r="S1336" s="110">
        <v>7.2</v>
      </c>
      <c r="T1336" s="65"/>
      <c r="U1336" s="117">
        <f t="shared" si="841"/>
        <v>0</v>
      </c>
      <c r="V1336" s="65"/>
      <c r="W1336" s="202"/>
    </row>
    <row r="1337" spans="9:23" ht="12" hidden="1" customHeight="1" outlineLevel="1">
      <c r="I1337" s="65"/>
      <c r="J1337" s="143" t="str">
        <f t="shared" si="839"/>
        <v>Combustível para Guindaste treliçado 60 Ton</v>
      </c>
      <c r="K1337" s="65"/>
      <c r="L1337" s="107">
        <f t="shared" si="843"/>
        <v>0</v>
      </c>
      <c r="M1337" s="78" t="s">
        <v>1519</v>
      </c>
      <c r="N1337" s="107">
        <f t="shared" si="837"/>
        <v>0</v>
      </c>
      <c r="O1337" s="78" t="s">
        <v>1263</v>
      </c>
      <c r="P1337" s="65"/>
      <c r="Q1337" s="65"/>
      <c r="R1337" s="65"/>
      <c r="S1337" s="110">
        <v>7.2</v>
      </c>
      <c r="T1337" s="65"/>
      <c r="U1337" s="117">
        <f t="shared" si="841"/>
        <v>0</v>
      </c>
      <c r="V1337" s="65"/>
      <c r="W1337" s="202"/>
    </row>
    <row r="1338" spans="9:23" ht="12" hidden="1" customHeight="1" outlineLevel="1">
      <c r="I1338" s="65"/>
      <c r="J1338" s="143" t="str">
        <f t="shared" si="839"/>
        <v>Combustível para Guindaste treliçado 80 Ton</v>
      </c>
      <c r="K1338" s="65"/>
      <c r="L1338" s="107">
        <f t="shared" si="843"/>
        <v>0</v>
      </c>
      <c r="M1338" s="78" t="s">
        <v>1519</v>
      </c>
      <c r="N1338" s="107">
        <f t="shared" si="837"/>
        <v>0</v>
      </c>
      <c r="O1338" s="78" t="s">
        <v>1263</v>
      </c>
      <c r="P1338" s="65"/>
      <c r="Q1338" s="65"/>
      <c r="R1338" s="65"/>
      <c r="S1338" s="110">
        <v>7.2</v>
      </c>
      <c r="T1338" s="65"/>
      <c r="U1338" s="117">
        <f t="shared" si="841"/>
        <v>0</v>
      </c>
      <c r="V1338" s="65"/>
      <c r="W1338" s="202"/>
    </row>
    <row r="1339" spans="9:23" ht="12" hidden="1" customHeight="1" outlineLevel="1">
      <c r="I1339" s="65"/>
      <c r="J1339" s="143" t="str">
        <f t="shared" si="839"/>
        <v>Combustível para Guindaste treliçado 100 Ton</v>
      </c>
      <c r="K1339" s="65"/>
      <c r="L1339" s="107">
        <f t="shared" si="843"/>
        <v>0</v>
      </c>
      <c r="M1339" s="78" t="s">
        <v>1519</v>
      </c>
      <c r="N1339" s="107">
        <f t="shared" si="837"/>
        <v>0</v>
      </c>
      <c r="O1339" s="78" t="s">
        <v>1263</v>
      </c>
      <c r="P1339" s="65"/>
      <c r="Q1339" s="65"/>
      <c r="R1339" s="65"/>
      <c r="S1339" s="110">
        <v>7.2</v>
      </c>
      <c r="T1339" s="65"/>
      <c r="U1339" s="117">
        <f t="shared" si="841"/>
        <v>0</v>
      </c>
      <c r="V1339" s="65"/>
      <c r="W1339" s="202"/>
    </row>
    <row r="1340" spans="9:23" ht="12" hidden="1" customHeight="1" outlineLevel="1">
      <c r="I1340" s="65"/>
      <c r="J1340" s="143" t="str">
        <f t="shared" si="839"/>
        <v>Combustível para Guindaste treliçado 120 Ton</v>
      </c>
      <c r="K1340" s="65"/>
      <c r="L1340" s="107">
        <f t="shared" si="843"/>
        <v>0</v>
      </c>
      <c r="M1340" s="78" t="s">
        <v>1519</v>
      </c>
      <c r="N1340" s="107">
        <f t="shared" si="837"/>
        <v>0</v>
      </c>
      <c r="O1340" s="78" t="s">
        <v>1263</v>
      </c>
      <c r="P1340" s="65"/>
      <c r="Q1340" s="65"/>
      <c r="R1340" s="65"/>
      <c r="S1340" s="110">
        <v>7.2</v>
      </c>
      <c r="T1340" s="65"/>
      <c r="U1340" s="117">
        <f t="shared" si="841"/>
        <v>0</v>
      </c>
      <c r="V1340" s="65"/>
      <c r="W1340" s="202"/>
    </row>
    <row r="1341" spans="9:23" ht="12" hidden="1" customHeight="1" outlineLevel="1">
      <c r="I1341" s="65"/>
      <c r="J1341" s="143" t="str">
        <f t="shared" si="839"/>
        <v>Combustível para Guindaste treliçado 130 Ton</v>
      </c>
      <c r="K1341" s="65"/>
      <c r="L1341" s="107">
        <f t="shared" si="843"/>
        <v>0</v>
      </c>
      <c r="M1341" s="78" t="s">
        <v>1519</v>
      </c>
      <c r="N1341" s="107">
        <f t="shared" si="837"/>
        <v>0</v>
      </c>
      <c r="O1341" s="78" t="s">
        <v>1263</v>
      </c>
      <c r="P1341" s="65"/>
      <c r="Q1341" s="65"/>
      <c r="R1341" s="65"/>
      <c r="S1341" s="110">
        <v>7.2</v>
      </c>
      <c r="T1341" s="65"/>
      <c r="U1341" s="117">
        <f t="shared" si="841"/>
        <v>0</v>
      </c>
      <c r="V1341" s="65"/>
      <c r="W1341" s="202"/>
    </row>
    <row r="1342" spans="9:23" ht="12" hidden="1" customHeight="1" outlineLevel="1">
      <c r="I1342" s="65"/>
      <c r="J1342" s="143" t="str">
        <f t="shared" si="839"/>
        <v>Combustível para Guindaste treliçado 250 Ton</v>
      </c>
      <c r="K1342" s="65"/>
      <c r="L1342" s="107">
        <f t="shared" si="843"/>
        <v>0</v>
      </c>
      <c r="M1342" s="78" t="s">
        <v>1519</v>
      </c>
      <c r="N1342" s="107">
        <f t="shared" si="837"/>
        <v>0</v>
      </c>
      <c r="O1342" s="78" t="s">
        <v>1263</v>
      </c>
      <c r="P1342" s="65"/>
      <c r="Q1342" s="65"/>
      <c r="R1342" s="65"/>
      <c r="S1342" s="110">
        <v>7.2</v>
      </c>
      <c r="T1342" s="65"/>
      <c r="U1342" s="117">
        <f t="shared" si="841"/>
        <v>0</v>
      </c>
      <c r="V1342" s="65"/>
      <c r="W1342" s="202"/>
    </row>
    <row r="1343" spans="9:23" ht="12" hidden="1" customHeight="1" outlineLevel="1">
      <c r="I1343" s="65"/>
      <c r="J1343" s="143" t="str">
        <f t="shared" si="839"/>
        <v>Combustível para Guindaste treliçado 300 Ton</v>
      </c>
      <c r="K1343" s="65"/>
      <c r="L1343" s="107">
        <f t="shared" si="843"/>
        <v>0</v>
      </c>
      <c r="M1343" s="78" t="s">
        <v>1519</v>
      </c>
      <c r="N1343" s="107">
        <f t="shared" si="837"/>
        <v>0</v>
      </c>
      <c r="O1343" s="78" t="s">
        <v>1263</v>
      </c>
      <c r="P1343" s="65"/>
      <c r="Q1343" s="65"/>
      <c r="R1343" s="65"/>
      <c r="S1343" s="110">
        <v>7.2</v>
      </c>
      <c r="T1343" s="65"/>
      <c r="U1343" s="117">
        <f t="shared" si="841"/>
        <v>0</v>
      </c>
      <c r="V1343" s="65"/>
      <c r="W1343" s="202"/>
    </row>
    <row r="1344" spans="9:23" ht="12" hidden="1" customHeight="1" outlineLevel="1">
      <c r="I1344" s="65"/>
      <c r="J1344" s="143" t="str">
        <f t="shared" si="839"/>
        <v>Combustível para Guindaste treliçado 400 Ton</v>
      </c>
      <c r="K1344" s="65"/>
      <c r="L1344" s="107">
        <f t="shared" si="843"/>
        <v>0</v>
      </c>
      <c r="M1344" s="78" t="s">
        <v>1519</v>
      </c>
      <c r="N1344" s="107">
        <f t="shared" si="837"/>
        <v>0</v>
      </c>
      <c r="O1344" s="78" t="s">
        <v>1263</v>
      </c>
      <c r="P1344" s="65"/>
      <c r="Q1344" s="65"/>
      <c r="R1344" s="65"/>
      <c r="S1344" s="110">
        <v>7.2</v>
      </c>
      <c r="T1344" s="65"/>
      <c r="U1344" s="117">
        <f t="shared" si="841"/>
        <v>0</v>
      </c>
      <c r="V1344" s="65"/>
      <c r="W1344" s="202"/>
    </row>
    <row r="1345" spans="9:23" ht="12" hidden="1" customHeight="1" outlineLevel="1">
      <c r="I1345" s="65"/>
      <c r="J1345" s="143" t="str">
        <f t="shared" si="839"/>
        <v>Combustível para Guindaste treliçado 500 Ton</v>
      </c>
      <c r="K1345" s="65"/>
      <c r="L1345" s="107">
        <f t="shared" si="843"/>
        <v>0</v>
      </c>
      <c r="M1345" s="78" t="s">
        <v>1519</v>
      </c>
      <c r="N1345" s="107">
        <f t="shared" si="837"/>
        <v>0</v>
      </c>
      <c r="O1345" s="78" t="s">
        <v>1263</v>
      </c>
      <c r="P1345" s="65"/>
      <c r="Q1345" s="65"/>
      <c r="R1345" s="65"/>
      <c r="S1345" s="110">
        <v>7.2</v>
      </c>
      <c r="T1345" s="65"/>
      <c r="U1345" s="117">
        <f t="shared" si="841"/>
        <v>0</v>
      </c>
      <c r="V1345" s="65"/>
      <c r="W1345" s="202"/>
    </row>
    <row r="1346" spans="9:23" ht="12" hidden="1" customHeight="1" outlineLevel="1">
      <c r="I1346" s="65"/>
      <c r="J1346" s="143" t="str">
        <f t="shared" si="839"/>
        <v>Combustível para Plataforma articulada de 6 m à 8 m</v>
      </c>
      <c r="K1346" s="65"/>
      <c r="L1346" s="107">
        <f>(L1284*2000/7)</f>
        <v>0</v>
      </c>
      <c r="M1346" s="78" t="s">
        <v>1519</v>
      </c>
      <c r="N1346" s="107">
        <f t="shared" si="837"/>
        <v>0</v>
      </c>
      <c r="O1346" s="78" t="s">
        <v>1263</v>
      </c>
      <c r="P1346" s="65"/>
      <c r="Q1346" s="65"/>
      <c r="R1346" s="65"/>
      <c r="S1346" s="110">
        <v>7.2</v>
      </c>
      <c r="T1346" s="65"/>
      <c r="U1346" s="117">
        <f t="shared" si="841"/>
        <v>0</v>
      </c>
      <c r="V1346" s="65"/>
      <c r="W1346" s="202"/>
    </row>
    <row r="1347" spans="9:23" ht="12" hidden="1" customHeight="1" outlineLevel="1">
      <c r="I1347" s="65"/>
      <c r="J1347" s="143" t="str">
        <f t="shared" si="839"/>
        <v>Combustível para Plataforma articulada de 8 m à 10 m</v>
      </c>
      <c r="K1347" s="65"/>
      <c r="L1347" s="107">
        <f t="shared" ref="L1347:L1353" si="844">(L1285*2000/7)</f>
        <v>0</v>
      </c>
      <c r="M1347" s="78" t="s">
        <v>1519</v>
      </c>
      <c r="N1347" s="107">
        <f t="shared" si="837"/>
        <v>0</v>
      </c>
      <c r="O1347" s="78" t="s">
        <v>1263</v>
      </c>
      <c r="P1347" s="65"/>
      <c r="Q1347" s="65"/>
      <c r="R1347" s="65"/>
      <c r="S1347" s="110">
        <v>7.2</v>
      </c>
      <c r="T1347" s="65"/>
      <c r="U1347" s="117">
        <f t="shared" si="841"/>
        <v>0</v>
      </c>
      <c r="V1347" s="65"/>
      <c r="W1347" s="202"/>
    </row>
    <row r="1348" spans="9:23" ht="12" hidden="1" customHeight="1" outlineLevel="1">
      <c r="I1348" s="65"/>
      <c r="J1348" s="143" t="str">
        <f t="shared" si="839"/>
        <v>Combustível para Plataforma articulada de 10 m à 12 m</v>
      </c>
      <c r="K1348" s="65"/>
      <c r="L1348" s="107">
        <f t="shared" si="844"/>
        <v>0</v>
      </c>
      <c r="M1348" s="78" t="s">
        <v>1519</v>
      </c>
      <c r="N1348" s="107">
        <f t="shared" si="837"/>
        <v>0</v>
      </c>
      <c r="O1348" s="78" t="s">
        <v>1263</v>
      </c>
      <c r="P1348" s="65"/>
      <c r="Q1348" s="65"/>
      <c r="R1348" s="65"/>
      <c r="S1348" s="110">
        <v>7.2</v>
      </c>
      <c r="T1348" s="65"/>
      <c r="U1348" s="117">
        <f t="shared" si="841"/>
        <v>0</v>
      </c>
      <c r="V1348" s="65"/>
      <c r="W1348" s="202"/>
    </row>
    <row r="1349" spans="9:23" ht="12" hidden="1" customHeight="1" outlineLevel="1">
      <c r="I1349" s="65"/>
      <c r="J1349" s="143" t="str">
        <f t="shared" si="839"/>
        <v>Combustível para Plataforma articulada de 13 m à 16 m</v>
      </c>
      <c r="K1349" s="65"/>
      <c r="L1349" s="107">
        <f t="shared" si="844"/>
        <v>0</v>
      </c>
      <c r="M1349" s="78" t="s">
        <v>1519</v>
      </c>
      <c r="N1349" s="107">
        <f t="shared" si="837"/>
        <v>0</v>
      </c>
      <c r="O1349" s="78" t="s">
        <v>1263</v>
      </c>
      <c r="P1349" s="65"/>
      <c r="Q1349" s="65"/>
      <c r="R1349" s="65"/>
      <c r="S1349" s="110">
        <v>7.2</v>
      </c>
      <c r="T1349" s="65"/>
      <c r="U1349" s="117">
        <f t="shared" si="841"/>
        <v>0</v>
      </c>
      <c r="V1349" s="65"/>
      <c r="W1349" s="202"/>
    </row>
    <row r="1350" spans="9:23" ht="12" hidden="1" customHeight="1" outlineLevel="1">
      <c r="I1350" s="65"/>
      <c r="J1350" s="143" t="str">
        <f t="shared" si="839"/>
        <v>Combustível para Plataforma articulada de 18 m à 20 m</v>
      </c>
      <c r="K1350" s="65"/>
      <c r="L1350" s="107">
        <f t="shared" si="844"/>
        <v>0</v>
      </c>
      <c r="M1350" s="78" t="s">
        <v>1519</v>
      </c>
      <c r="N1350" s="107">
        <f t="shared" si="837"/>
        <v>0</v>
      </c>
      <c r="O1350" s="78" t="s">
        <v>1263</v>
      </c>
      <c r="P1350" s="65"/>
      <c r="Q1350" s="65"/>
      <c r="R1350" s="65"/>
      <c r="S1350" s="110">
        <v>7.2</v>
      </c>
      <c r="T1350" s="65"/>
      <c r="U1350" s="117">
        <f t="shared" si="841"/>
        <v>0</v>
      </c>
      <c r="V1350" s="65"/>
      <c r="W1350" s="202"/>
    </row>
    <row r="1351" spans="9:23" ht="12" hidden="1" customHeight="1" outlineLevel="1">
      <c r="I1351" s="65"/>
      <c r="J1351" s="143" t="str">
        <f t="shared" si="839"/>
        <v>Combustível para Plataforma articulada de 24 m à 26 m</v>
      </c>
      <c r="K1351" s="65"/>
      <c r="L1351" s="107">
        <f t="shared" si="844"/>
        <v>0</v>
      </c>
      <c r="M1351" s="78" t="s">
        <v>1519</v>
      </c>
      <c r="N1351" s="107">
        <f t="shared" si="837"/>
        <v>0</v>
      </c>
      <c r="O1351" s="78" t="s">
        <v>1263</v>
      </c>
      <c r="P1351" s="65"/>
      <c r="Q1351" s="65"/>
      <c r="R1351" s="65"/>
      <c r="S1351" s="110">
        <v>7.2</v>
      </c>
      <c r="T1351" s="65"/>
      <c r="U1351" s="117">
        <f t="shared" si="841"/>
        <v>0</v>
      </c>
      <c r="V1351" s="65"/>
      <c r="W1351" s="202"/>
    </row>
    <row r="1352" spans="9:23" ht="12" hidden="1" customHeight="1" outlineLevel="1">
      <c r="I1352" s="65"/>
      <c r="J1352" s="143" t="str">
        <f t="shared" si="839"/>
        <v>Combustível para Plataforma articulada de 38 m à 40 m</v>
      </c>
      <c r="K1352" s="65"/>
      <c r="L1352" s="107">
        <f t="shared" si="844"/>
        <v>0</v>
      </c>
      <c r="M1352" s="78" t="s">
        <v>1519</v>
      </c>
      <c r="N1352" s="107">
        <f t="shared" si="837"/>
        <v>0</v>
      </c>
      <c r="O1352" s="78" t="s">
        <v>1263</v>
      </c>
      <c r="P1352" s="65"/>
      <c r="Q1352" s="65"/>
      <c r="R1352" s="65"/>
      <c r="S1352" s="110">
        <v>7.2</v>
      </c>
      <c r="T1352" s="65"/>
      <c r="U1352" s="117">
        <f t="shared" si="841"/>
        <v>0</v>
      </c>
      <c r="V1352" s="65"/>
      <c r="W1352" s="202"/>
    </row>
    <row r="1353" spans="9:23" ht="12" hidden="1" customHeight="1" outlineLevel="1">
      <c r="I1353" s="65"/>
      <c r="J1353" s="143" t="str">
        <f t="shared" si="839"/>
        <v>Combustível para Plataforma articulada de 30 m à 41 m</v>
      </c>
      <c r="K1353" s="65"/>
      <c r="L1353" s="107">
        <f t="shared" si="844"/>
        <v>0</v>
      </c>
      <c r="M1353" s="78" t="s">
        <v>1519</v>
      </c>
      <c r="N1353" s="107">
        <f t="shared" si="837"/>
        <v>0</v>
      </c>
      <c r="O1353" s="78" t="s">
        <v>1263</v>
      </c>
      <c r="P1353" s="65"/>
      <c r="Q1353" s="65"/>
      <c r="R1353" s="65"/>
      <c r="S1353" s="110">
        <v>7.2</v>
      </c>
      <c r="T1353" s="65"/>
      <c r="U1353" s="117">
        <f t="shared" si="841"/>
        <v>0</v>
      </c>
      <c r="V1353" s="65"/>
      <c r="W1353" s="202"/>
    </row>
    <row r="1354" spans="9:23" ht="12" hidden="1" customHeight="1" outlineLevel="1">
      <c r="I1354" s="65"/>
      <c r="J1354" s="143" t="str">
        <f t="shared" si="839"/>
        <v>Combustível para Caminhão vácuo</v>
      </c>
      <c r="K1354" s="65"/>
      <c r="L1354" s="107">
        <f>(L1292*2000/4)</f>
        <v>0</v>
      </c>
      <c r="M1354" s="78" t="s">
        <v>1519</v>
      </c>
      <c r="N1354" s="107">
        <f t="shared" si="837"/>
        <v>0</v>
      </c>
      <c r="O1354" s="78" t="s">
        <v>1263</v>
      </c>
      <c r="P1354" s="65"/>
      <c r="Q1354" s="65"/>
      <c r="R1354" s="65"/>
      <c r="S1354" s="110">
        <v>7.2</v>
      </c>
      <c r="T1354" s="65"/>
      <c r="U1354" s="117">
        <f t="shared" si="841"/>
        <v>0</v>
      </c>
      <c r="V1354" s="65"/>
      <c r="W1354" s="202"/>
    </row>
    <row r="1355" spans="9:23" ht="12" hidden="1" customHeight="1" outlineLevel="1">
      <c r="I1355" s="65"/>
      <c r="J1355" s="143" t="str">
        <f t="shared" si="839"/>
        <v>Combustível para Trator sobre rodas</v>
      </c>
      <c r="K1355" s="65"/>
      <c r="L1355" s="107">
        <f>(L1293*3000/3)</f>
        <v>0</v>
      </c>
      <c r="M1355" s="78" t="s">
        <v>1519</v>
      </c>
      <c r="N1355" s="107">
        <f t="shared" si="837"/>
        <v>0</v>
      </c>
      <c r="O1355" s="78" t="s">
        <v>1263</v>
      </c>
      <c r="P1355" s="65"/>
      <c r="Q1355" s="65"/>
      <c r="R1355" s="65"/>
      <c r="S1355" s="110">
        <v>7.2</v>
      </c>
      <c r="T1355" s="65"/>
      <c r="U1355" s="117">
        <f t="shared" si="841"/>
        <v>0</v>
      </c>
      <c r="V1355" s="65"/>
      <c r="W1355" s="202"/>
    </row>
    <row r="1356" spans="9:23" ht="12" hidden="1" customHeight="1" outlineLevel="1">
      <c r="I1356" s="65"/>
      <c r="J1356" s="143" t="str">
        <f t="shared" si="839"/>
        <v>Combustível para Trator sobre esteiras</v>
      </c>
      <c r="K1356" s="65"/>
      <c r="L1356" s="107">
        <f t="shared" ref="L1356:L1359" si="845">(L1294*3000/3)</f>
        <v>0</v>
      </c>
      <c r="M1356" s="78" t="s">
        <v>1519</v>
      </c>
      <c r="N1356" s="107">
        <f t="shared" si="837"/>
        <v>0</v>
      </c>
      <c r="O1356" s="78" t="s">
        <v>1263</v>
      </c>
      <c r="P1356" s="65"/>
      <c r="Q1356" s="65"/>
      <c r="R1356" s="65"/>
      <c r="S1356" s="110">
        <v>7.2</v>
      </c>
      <c r="T1356" s="65"/>
      <c r="U1356" s="117">
        <f t="shared" si="841"/>
        <v>0</v>
      </c>
      <c r="V1356" s="65"/>
      <c r="W1356" s="202"/>
    </row>
    <row r="1357" spans="9:23" ht="12" hidden="1" customHeight="1" outlineLevel="1">
      <c r="I1357" s="65"/>
      <c r="J1357" s="143" t="str">
        <f t="shared" si="839"/>
        <v>Combustível para Escavadeira</v>
      </c>
      <c r="K1357" s="65"/>
      <c r="L1357" s="107">
        <f t="shared" si="845"/>
        <v>0</v>
      </c>
      <c r="M1357" s="78" t="s">
        <v>1519</v>
      </c>
      <c r="N1357" s="107">
        <f t="shared" si="837"/>
        <v>0</v>
      </c>
      <c r="O1357" s="78" t="s">
        <v>1263</v>
      </c>
      <c r="P1357" s="65"/>
      <c r="Q1357" s="65"/>
      <c r="R1357" s="65"/>
      <c r="S1357" s="110">
        <v>7.2</v>
      </c>
      <c r="T1357" s="65"/>
      <c r="U1357" s="117">
        <f t="shared" si="841"/>
        <v>0</v>
      </c>
      <c r="V1357" s="65"/>
      <c r="W1357" s="202"/>
    </row>
    <row r="1358" spans="9:23" ht="12" hidden="1" customHeight="1" outlineLevel="1">
      <c r="I1358" s="65"/>
      <c r="J1358" s="143" t="str">
        <f t="shared" si="839"/>
        <v>Combustível para Retroescavadeira</v>
      </c>
      <c r="K1358" s="65"/>
      <c r="L1358" s="107">
        <f t="shared" si="845"/>
        <v>0</v>
      </c>
      <c r="M1358" s="78" t="s">
        <v>1519</v>
      </c>
      <c r="N1358" s="107">
        <f t="shared" si="837"/>
        <v>0</v>
      </c>
      <c r="O1358" s="78" t="s">
        <v>1263</v>
      </c>
      <c r="P1358" s="65"/>
      <c r="Q1358" s="65"/>
      <c r="R1358" s="65"/>
      <c r="S1358" s="110">
        <v>7.2</v>
      </c>
      <c r="T1358" s="65"/>
      <c r="U1358" s="117">
        <f t="shared" si="841"/>
        <v>0</v>
      </c>
      <c r="V1358" s="65"/>
      <c r="W1358" s="202"/>
    </row>
    <row r="1359" spans="9:23" ht="12" hidden="1" customHeight="1" outlineLevel="1">
      <c r="I1359" s="65"/>
      <c r="J1359" s="143" t="str">
        <f t="shared" si="839"/>
        <v>Combustível para Motoniveladora</v>
      </c>
      <c r="K1359" s="65"/>
      <c r="L1359" s="107">
        <f t="shared" si="845"/>
        <v>0</v>
      </c>
      <c r="M1359" s="78" t="s">
        <v>1519</v>
      </c>
      <c r="N1359" s="107">
        <f t="shared" ref="N1359:N1370" si="846">N1142</f>
        <v>0</v>
      </c>
      <c r="O1359" s="78" t="s">
        <v>1263</v>
      </c>
      <c r="P1359" s="65"/>
      <c r="Q1359" s="65"/>
      <c r="R1359" s="65"/>
      <c r="S1359" s="110">
        <v>7.2</v>
      </c>
      <c r="T1359" s="65"/>
      <c r="U1359" s="117">
        <f t="shared" ref="U1359:U1370" si="847">L1359*N1359*S1359</f>
        <v>0</v>
      </c>
      <c r="V1359" s="65"/>
      <c r="W1359" s="202"/>
    </row>
    <row r="1360" spans="9:23" ht="12" hidden="1" customHeight="1" outlineLevel="1">
      <c r="I1360" s="65"/>
      <c r="J1360" s="143" t="str">
        <f t="shared" si="839"/>
        <v>Combustível para Caminhão basculante 6 m³</v>
      </c>
      <c r="K1360" s="65"/>
      <c r="L1360" s="107">
        <f>(L1298*3000/4)</f>
        <v>0</v>
      </c>
      <c r="M1360" s="78" t="s">
        <v>1519</v>
      </c>
      <c r="N1360" s="107">
        <f t="shared" si="846"/>
        <v>0</v>
      </c>
      <c r="O1360" s="78" t="s">
        <v>1263</v>
      </c>
      <c r="P1360" s="65"/>
      <c r="Q1360" s="65"/>
      <c r="R1360" s="65"/>
      <c r="S1360" s="110">
        <v>7.2</v>
      </c>
      <c r="T1360" s="65"/>
      <c r="U1360" s="117">
        <f t="shared" si="847"/>
        <v>0</v>
      </c>
      <c r="V1360" s="65"/>
      <c r="W1360" s="202"/>
    </row>
    <row r="1361" spans="9:23" ht="12" hidden="1" customHeight="1" outlineLevel="1">
      <c r="I1361" s="65"/>
      <c r="J1361" s="143" t="str">
        <f t="shared" si="839"/>
        <v>Combustível para Caminhão basculante 10 m³</v>
      </c>
      <c r="K1361" s="65"/>
      <c r="L1361" s="107">
        <f t="shared" ref="L1361:L1362" si="848">(L1299*3000/4)</f>
        <v>0</v>
      </c>
      <c r="M1361" s="78" t="s">
        <v>1519</v>
      </c>
      <c r="N1361" s="107">
        <f t="shared" si="846"/>
        <v>0</v>
      </c>
      <c r="O1361" s="78" t="s">
        <v>1263</v>
      </c>
      <c r="P1361" s="65"/>
      <c r="Q1361" s="65"/>
      <c r="R1361" s="65"/>
      <c r="S1361" s="110">
        <v>7.2</v>
      </c>
      <c r="T1361" s="65"/>
      <c r="U1361" s="117">
        <f t="shared" si="847"/>
        <v>0</v>
      </c>
      <c r="V1361" s="65"/>
      <c r="W1361" s="202"/>
    </row>
    <row r="1362" spans="9:23" ht="12" hidden="1" customHeight="1" outlineLevel="1">
      <c r="I1362" s="65"/>
      <c r="J1362" s="143" t="str">
        <f t="shared" si="839"/>
        <v>Combustível para Caminhão basculante trucado 15 m³</v>
      </c>
      <c r="K1362" s="65"/>
      <c r="L1362" s="107">
        <f t="shared" si="848"/>
        <v>0</v>
      </c>
      <c r="M1362" s="78" t="s">
        <v>1519</v>
      </c>
      <c r="N1362" s="107">
        <f t="shared" si="846"/>
        <v>0</v>
      </c>
      <c r="O1362" s="78" t="s">
        <v>1263</v>
      </c>
      <c r="P1362" s="65"/>
      <c r="Q1362" s="65"/>
      <c r="R1362" s="65"/>
      <c r="S1362" s="110">
        <v>7.2</v>
      </c>
      <c r="T1362" s="65"/>
      <c r="U1362" s="117">
        <f t="shared" si="847"/>
        <v>0</v>
      </c>
      <c r="V1362" s="65"/>
      <c r="W1362" s="202"/>
    </row>
    <row r="1363" spans="9:23" ht="12" hidden="1" customHeight="1" outlineLevel="1">
      <c r="I1363" s="65"/>
      <c r="J1363" s="143" t="str">
        <f t="shared" si="839"/>
        <v>Combustível para Rolo pé de carneiro</v>
      </c>
      <c r="K1363" s="65"/>
      <c r="L1363" s="107">
        <f>(L1301*3000/3)</f>
        <v>0</v>
      </c>
      <c r="M1363" s="78" t="s">
        <v>1519</v>
      </c>
      <c r="N1363" s="107">
        <f t="shared" si="846"/>
        <v>0</v>
      </c>
      <c r="O1363" s="78" t="s">
        <v>1263</v>
      </c>
      <c r="P1363" s="65"/>
      <c r="Q1363" s="65"/>
      <c r="R1363" s="65"/>
      <c r="S1363" s="110">
        <v>7.2</v>
      </c>
      <c r="T1363" s="65"/>
      <c r="U1363" s="117">
        <f t="shared" si="847"/>
        <v>0</v>
      </c>
      <c r="V1363" s="65"/>
      <c r="W1363" s="202"/>
    </row>
    <row r="1364" spans="9:23" ht="12" hidden="1" customHeight="1" outlineLevel="1">
      <c r="I1364" s="65"/>
      <c r="J1364" s="143" t="str">
        <f t="shared" si="839"/>
        <v>Combustível para Rolo compactador</v>
      </c>
      <c r="K1364" s="65"/>
      <c r="L1364" s="107">
        <f t="shared" ref="L1364:L1367" si="849">(L1302*3000/3)</f>
        <v>0</v>
      </c>
      <c r="M1364" s="78" t="s">
        <v>1519</v>
      </c>
      <c r="N1364" s="107">
        <f t="shared" si="846"/>
        <v>0</v>
      </c>
      <c r="O1364" s="78" t="s">
        <v>1263</v>
      </c>
      <c r="P1364" s="65"/>
      <c r="Q1364" s="65"/>
      <c r="R1364" s="65"/>
      <c r="S1364" s="110">
        <v>7.2</v>
      </c>
      <c r="T1364" s="65"/>
      <c r="U1364" s="117">
        <f t="shared" si="847"/>
        <v>0</v>
      </c>
      <c r="V1364" s="65"/>
      <c r="W1364" s="202"/>
    </row>
    <row r="1365" spans="9:23" ht="12" hidden="1" customHeight="1" outlineLevel="1">
      <c r="I1365" s="65"/>
      <c r="J1365" s="143" t="str">
        <f t="shared" si="839"/>
        <v>Combustível para Side boom</v>
      </c>
      <c r="K1365" s="65"/>
      <c r="L1365" s="107">
        <f t="shared" si="849"/>
        <v>0</v>
      </c>
      <c r="M1365" s="78" t="s">
        <v>1519</v>
      </c>
      <c r="N1365" s="107">
        <f t="shared" si="846"/>
        <v>0</v>
      </c>
      <c r="O1365" s="78" t="s">
        <v>1263</v>
      </c>
      <c r="P1365" s="65"/>
      <c r="Q1365" s="65"/>
      <c r="R1365" s="65"/>
      <c r="S1365" s="110">
        <v>7.2</v>
      </c>
      <c r="T1365" s="65"/>
      <c r="U1365" s="117">
        <f t="shared" si="847"/>
        <v>0</v>
      </c>
      <c r="V1365" s="65"/>
      <c r="W1365" s="202"/>
    </row>
    <row r="1366" spans="9:23" ht="12" hidden="1" customHeight="1" outlineLevel="1">
      <c r="I1366" s="65"/>
      <c r="J1366" s="143" t="str">
        <f t="shared" si="839"/>
        <v>Combustível para Curvadora de tubos</v>
      </c>
      <c r="K1366" s="65"/>
      <c r="L1366" s="107">
        <f t="shared" si="849"/>
        <v>0</v>
      </c>
      <c r="M1366" s="78" t="s">
        <v>1519</v>
      </c>
      <c r="N1366" s="107">
        <f t="shared" si="846"/>
        <v>0</v>
      </c>
      <c r="O1366" s="78" t="s">
        <v>1263</v>
      </c>
      <c r="P1366" s="65"/>
      <c r="Q1366" s="65"/>
      <c r="R1366" s="65"/>
      <c r="S1366" s="110">
        <v>7.2</v>
      </c>
      <c r="T1366" s="65"/>
      <c r="U1366" s="117">
        <f t="shared" si="847"/>
        <v>0</v>
      </c>
      <c r="V1366" s="65"/>
      <c r="W1366" s="202"/>
    </row>
    <row r="1367" spans="9:23" ht="12" hidden="1" customHeight="1" outlineLevel="1">
      <c r="I1367" s="65"/>
      <c r="J1367" s="143" t="str">
        <f t="shared" si="839"/>
        <v>Combustível para Pá carregadeira</v>
      </c>
      <c r="K1367" s="65"/>
      <c r="L1367" s="107">
        <f t="shared" si="849"/>
        <v>0</v>
      </c>
      <c r="M1367" s="78" t="s">
        <v>1519</v>
      </c>
      <c r="N1367" s="107">
        <f t="shared" si="846"/>
        <v>0</v>
      </c>
      <c r="O1367" s="78" t="s">
        <v>1263</v>
      </c>
      <c r="P1367" s="65"/>
      <c r="Q1367" s="65"/>
      <c r="R1367" s="65"/>
      <c r="S1367" s="110">
        <v>7.2</v>
      </c>
      <c r="T1367" s="65"/>
      <c r="U1367" s="117">
        <f t="shared" si="847"/>
        <v>0</v>
      </c>
      <c r="V1367" s="65"/>
      <c r="W1367" s="202"/>
    </row>
    <row r="1368" spans="9:23" ht="12" hidden="1" customHeight="1" outlineLevel="1">
      <c r="I1368" s="65"/>
      <c r="J1368" s="143" t="str">
        <f t="shared" si="839"/>
        <v>Combustível para Caminhão Espargidor</v>
      </c>
      <c r="K1368" s="65"/>
      <c r="L1368" s="107">
        <f>(L1306*3000/4)</f>
        <v>0</v>
      </c>
      <c r="M1368" s="78" t="s">
        <v>1519</v>
      </c>
      <c r="N1368" s="107">
        <f t="shared" si="846"/>
        <v>0</v>
      </c>
      <c r="O1368" s="78" t="s">
        <v>1263</v>
      </c>
      <c r="P1368" s="65"/>
      <c r="Q1368" s="65"/>
      <c r="R1368" s="65"/>
      <c r="S1368" s="110">
        <v>7.2</v>
      </c>
      <c r="T1368" s="65"/>
      <c r="U1368" s="117">
        <f t="shared" si="847"/>
        <v>0</v>
      </c>
      <c r="V1368" s="65"/>
      <c r="W1368" s="202"/>
    </row>
    <row r="1369" spans="9:23" ht="12" hidden="1" customHeight="1" outlineLevel="1">
      <c r="I1369" s="65"/>
      <c r="J1369" s="143" t="str">
        <f t="shared" si="839"/>
        <v xml:space="preserve">Combustível para </v>
      </c>
      <c r="K1369" s="65"/>
      <c r="L1369" s="107"/>
      <c r="M1369" s="78" t="s">
        <v>1519</v>
      </c>
      <c r="N1369" s="107">
        <f t="shared" si="846"/>
        <v>0</v>
      </c>
      <c r="O1369" s="78" t="s">
        <v>1263</v>
      </c>
      <c r="P1369" s="65"/>
      <c r="Q1369" s="65"/>
      <c r="R1369" s="65"/>
      <c r="S1369" s="110">
        <v>7.2</v>
      </c>
      <c r="T1369" s="65"/>
      <c r="U1369" s="117">
        <f t="shared" si="847"/>
        <v>0</v>
      </c>
      <c r="V1369" s="65"/>
      <c r="W1369" s="202"/>
    </row>
    <row r="1370" spans="9:23" ht="12" hidden="1" customHeight="1" outlineLevel="1">
      <c r="I1370" s="65"/>
      <c r="J1370" s="143" t="str">
        <f t="shared" si="839"/>
        <v xml:space="preserve">Combustível para </v>
      </c>
      <c r="K1370" s="65"/>
      <c r="L1370" s="107"/>
      <c r="M1370" s="78" t="s">
        <v>1519</v>
      </c>
      <c r="N1370" s="107">
        <f t="shared" si="846"/>
        <v>0</v>
      </c>
      <c r="O1370" s="78" t="s">
        <v>1263</v>
      </c>
      <c r="P1370" s="65"/>
      <c r="Q1370" s="65"/>
      <c r="R1370" s="65"/>
      <c r="S1370" s="110">
        <v>7.2</v>
      </c>
      <c r="T1370" s="65"/>
      <c r="U1370" s="117">
        <f t="shared" si="847"/>
        <v>0</v>
      </c>
      <c r="V1370" s="65"/>
      <c r="W1370" s="202"/>
    </row>
    <row r="1371" spans="9:23" ht="12" hidden="1" customHeight="1" outlineLevel="1">
      <c r="I1371" s="65"/>
      <c r="J1371" s="65"/>
      <c r="K1371" s="65"/>
      <c r="L1371" s="65"/>
      <c r="M1371" s="65"/>
      <c r="N1371" s="65"/>
      <c r="O1371" s="65"/>
      <c r="P1371" s="65"/>
      <c r="Q1371" s="65"/>
      <c r="R1371" s="65"/>
      <c r="S1371" s="65"/>
      <c r="T1371" s="65"/>
      <c r="U1371" s="65"/>
      <c r="V1371" s="65"/>
      <c r="W1371" s="65"/>
    </row>
    <row r="1372" spans="9:23" ht="24" hidden="1" customHeight="1" outlineLevel="1">
      <c r="I1372" s="65"/>
      <c r="J1372" s="142" t="s">
        <v>1523</v>
      </c>
      <c r="K1372" s="65"/>
      <c r="L1372" s="142" t="s">
        <v>1179</v>
      </c>
      <c r="M1372" s="142" t="s">
        <v>1238</v>
      </c>
      <c r="N1372" s="142" t="s">
        <v>1260</v>
      </c>
      <c r="O1372" s="142" t="s">
        <v>1261</v>
      </c>
      <c r="P1372" s="65"/>
      <c r="Q1372" s="65"/>
      <c r="R1372" s="65"/>
      <c r="S1372" s="142" t="s">
        <v>1240</v>
      </c>
      <c r="T1372" s="65"/>
      <c r="U1372" s="142" t="s">
        <v>1241</v>
      </c>
      <c r="V1372" s="65"/>
      <c r="W1372" s="142" t="s">
        <v>1111</v>
      </c>
    </row>
    <row r="1373" spans="9:23" ht="12" hidden="1" customHeight="1" outlineLevel="1">
      <c r="I1373" s="65"/>
      <c r="J1373" s="77" t="s">
        <v>1523</v>
      </c>
      <c r="K1373" s="65"/>
      <c r="L1373" s="107">
        <f>SUM(L1249:L1308)*20*2</f>
        <v>0</v>
      </c>
      <c r="M1373" s="78" t="s">
        <v>1524</v>
      </c>
      <c r="N1373" s="107">
        <f>Dashboard!$D$14</f>
        <v>10</v>
      </c>
      <c r="O1373" s="78" t="s">
        <v>1263</v>
      </c>
      <c r="P1373" s="65"/>
      <c r="Q1373" s="65"/>
      <c r="R1373" s="65"/>
      <c r="S1373" s="110"/>
      <c r="T1373" s="65"/>
      <c r="U1373" s="117">
        <f t="shared" ref="U1373" si="850">L1373*N1373*S1373</f>
        <v>0</v>
      </c>
      <c r="V1373" s="65"/>
      <c r="W1373" s="202"/>
    </row>
    <row r="1374" spans="9:23" ht="12" hidden="1" customHeight="1" outlineLevel="1">
      <c r="I1374" s="65"/>
      <c r="J1374" s="65"/>
      <c r="K1374" s="65"/>
      <c r="L1374" s="65"/>
      <c r="M1374" s="65"/>
      <c r="N1374" s="65"/>
      <c r="O1374" s="65"/>
      <c r="P1374" s="65"/>
      <c r="Q1374" s="65"/>
      <c r="R1374" s="65"/>
      <c r="S1374" s="65"/>
      <c r="T1374" s="65"/>
      <c r="U1374" s="65"/>
      <c r="V1374" s="65"/>
      <c r="W1374" s="65"/>
    </row>
    <row r="1375" spans="9:23" ht="24" hidden="1" customHeight="1" outlineLevel="1">
      <c r="I1375" s="65"/>
      <c r="J1375" s="142" t="s">
        <v>1504</v>
      </c>
      <c r="K1375" s="65"/>
      <c r="L1375" s="142" t="s">
        <v>368</v>
      </c>
      <c r="M1375" s="65"/>
      <c r="N1375" s="65"/>
      <c r="O1375" s="65"/>
      <c r="P1375" s="65"/>
      <c r="Q1375" s="65"/>
      <c r="R1375" s="65"/>
      <c r="S1375" s="142" t="s">
        <v>1240</v>
      </c>
      <c r="T1375" s="65"/>
      <c r="U1375" s="142" t="s">
        <v>1241</v>
      </c>
      <c r="V1375" s="65"/>
      <c r="W1375" s="142" t="s">
        <v>1111</v>
      </c>
    </row>
    <row r="1376" spans="9:23" ht="12" hidden="1" customHeight="1" outlineLevel="1">
      <c r="I1376" s="65"/>
      <c r="J1376" s="143" t="s">
        <v>1505</v>
      </c>
      <c r="K1376" s="65"/>
      <c r="L1376" s="203">
        <v>0.15</v>
      </c>
      <c r="M1376" s="65"/>
      <c r="N1376" s="65"/>
      <c r="O1376" s="65"/>
      <c r="P1376" s="65"/>
      <c r="Q1376" s="65"/>
      <c r="R1376" s="65"/>
      <c r="S1376" s="109">
        <f>SUM(U1249:U1308)</f>
        <v>0</v>
      </c>
      <c r="T1376" s="65"/>
      <c r="U1376" s="117">
        <f>L1376*S1376</f>
        <v>0</v>
      </c>
      <c r="V1376" s="65"/>
      <c r="W1376" s="202"/>
    </row>
    <row r="1377" spans="9:23" ht="12" hidden="1" customHeight="1" outlineLevel="1">
      <c r="I1377" s="65"/>
      <c r="J1377" s="65"/>
      <c r="K1377" s="65"/>
      <c r="L1377" s="65"/>
      <c r="M1377" s="65"/>
      <c r="N1377" s="65"/>
      <c r="O1377" s="65"/>
      <c r="P1377" s="65"/>
      <c r="Q1377" s="65"/>
      <c r="R1377" s="65"/>
      <c r="S1377" s="65"/>
      <c r="T1377" s="65"/>
      <c r="U1377" s="65"/>
      <c r="V1377" s="65"/>
      <c r="W1377" s="65"/>
    </row>
    <row r="1378" spans="9:23" s="196" customFormat="1" ht="24" customHeight="1" collapsed="1">
      <c r="I1378" s="189"/>
      <c r="J1378" s="185" t="s">
        <v>75</v>
      </c>
      <c r="K1378" s="190"/>
      <c r="L1378" s="190"/>
      <c r="M1378" s="190"/>
      <c r="N1378" s="190"/>
      <c r="O1378" s="190"/>
      <c r="P1378" s="190"/>
      <c r="Q1378" s="190"/>
      <c r="R1378" s="190"/>
      <c r="S1378" s="191"/>
      <c r="T1378" s="192">
        <f>IFERROR(U1378/$U$2,0)</f>
        <v>0</v>
      </c>
      <c r="U1378" s="193">
        <f>SUM(U1380:U1415)</f>
        <v>0</v>
      </c>
      <c r="V1378" s="190"/>
      <c r="W1378" s="194"/>
    </row>
    <row r="1379" spans="9:23" ht="12" hidden="1" customHeight="1" outlineLevel="1">
      <c r="I1379" s="65"/>
      <c r="J1379" s="65"/>
      <c r="K1379" s="65"/>
      <c r="L1379" s="65"/>
      <c r="M1379" s="65"/>
      <c r="N1379" s="65"/>
      <c r="O1379" s="65"/>
      <c r="P1379" s="65"/>
      <c r="Q1379" s="65"/>
      <c r="R1379" s="65"/>
      <c r="S1379" s="65"/>
      <c r="T1379" s="65"/>
      <c r="U1379" s="65"/>
      <c r="V1379" s="65"/>
      <c r="W1379" s="65"/>
    </row>
    <row r="1380" spans="9:23" ht="24" hidden="1" customHeight="1" outlineLevel="1">
      <c r="I1380" s="65"/>
      <c r="J1380" s="142" t="s">
        <v>1525</v>
      </c>
      <c r="K1380" s="65"/>
      <c r="L1380" s="142" t="s">
        <v>1179</v>
      </c>
      <c r="M1380" s="142" t="s">
        <v>1238</v>
      </c>
      <c r="N1380" s="142" t="s">
        <v>1260</v>
      </c>
      <c r="O1380" s="142" t="s">
        <v>1261</v>
      </c>
      <c r="P1380" s="65"/>
      <c r="Q1380" s="65"/>
      <c r="R1380" s="65"/>
      <c r="S1380" s="142" t="s">
        <v>1240</v>
      </c>
      <c r="T1380" s="65"/>
      <c r="U1380" s="142" t="s">
        <v>1241</v>
      </c>
      <c r="V1380" s="65"/>
      <c r="W1380" s="142" t="s">
        <v>1111</v>
      </c>
    </row>
    <row r="1381" spans="9:23" ht="12" hidden="1" customHeight="1" outlineLevel="1">
      <c r="I1381" s="65"/>
      <c r="J1381" s="77" t="s">
        <v>1526</v>
      </c>
      <c r="K1381" s="65"/>
      <c r="L1381" s="107">
        <v>0</v>
      </c>
      <c r="M1381" s="78" t="s">
        <v>542</v>
      </c>
      <c r="N1381" s="107">
        <f>Dashboard!$D$14</f>
        <v>10</v>
      </c>
      <c r="O1381" s="78" t="s">
        <v>1263</v>
      </c>
      <c r="P1381" s="65"/>
      <c r="Q1381" s="65"/>
      <c r="R1381" s="65"/>
      <c r="S1381" s="110">
        <v>50</v>
      </c>
      <c r="T1381" s="65"/>
      <c r="U1381" s="117">
        <f t="shared" ref="U1381:U1382" si="851">L1381*N1381*S1381</f>
        <v>0</v>
      </c>
      <c r="V1381" s="65"/>
      <c r="W1381" s="202"/>
    </row>
    <row r="1382" spans="9:23" ht="12" hidden="1" customHeight="1" outlineLevel="1">
      <c r="I1382" s="65"/>
      <c r="J1382" s="77"/>
      <c r="K1382" s="65"/>
      <c r="L1382" s="107"/>
      <c r="M1382" s="78"/>
      <c r="N1382" s="107">
        <f>Dashboard!$D$14</f>
        <v>10</v>
      </c>
      <c r="O1382" s="78" t="s">
        <v>1263</v>
      </c>
      <c r="P1382" s="65"/>
      <c r="Q1382" s="65"/>
      <c r="R1382" s="65"/>
      <c r="S1382" s="110"/>
      <c r="T1382" s="65"/>
      <c r="U1382" s="117">
        <f t="shared" si="851"/>
        <v>0</v>
      </c>
      <c r="V1382" s="65"/>
      <c r="W1382" s="202"/>
    </row>
    <row r="1383" spans="9:23" ht="12" hidden="1" customHeight="1" outlineLevel="1">
      <c r="I1383" s="65"/>
      <c r="J1383" s="65"/>
      <c r="K1383" s="65"/>
      <c r="L1383" s="65"/>
      <c r="M1383" s="65"/>
      <c r="N1383" s="65"/>
      <c r="O1383" s="65"/>
      <c r="P1383" s="65"/>
      <c r="Q1383" s="65"/>
      <c r="R1383" s="65"/>
      <c r="S1383" s="65"/>
      <c r="T1383" s="65"/>
      <c r="U1383" s="65"/>
      <c r="V1383" s="65"/>
      <c r="W1383" s="65"/>
    </row>
    <row r="1384" spans="9:23" ht="24" hidden="1" customHeight="1" outlineLevel="1">
      <c r="I1384" s="65"/>
      <c r="J1384" s="142" t="s">
        <v>1527</v>
      </c>
      <c r="K1384" s="65"/>
      <c r="L1384" s="142" t="s">
        <v>1179</v>
      </c>
      <c r="M1384" s="142" t="s">
        <v>1238</v>
      </c>
      <c r="N1384" s="142" t="s">
        <v>1260</v>
      </c>
      <c r="O1384" s="142" t="s">
        <v>1261</v>
      </c>
      <c r="P1384" s="65"/>
      <c r="Q1384" s="65"/>
      <c r="R1384" s="65"/>
      <c r="S1384" s="142" t="s">
        <v>1240</v>
      </c>
      <c r="T1384" s="65"/>
      <c r="U1384" s="142" t="s">
        <v>1241</v>
      </c>
      <c r="V1384" s="65"/>
      <c r="W1384" s="142" t="s">
        <v>1111</v>
      </c>
    </row>
    <row r="1385" spans="9:23" ht="12" hidden="1" customHeight="1" outlineLevel="1">
      <c r="I1385" s="65"/>
      <c r="J1385" s="143" t="str">
        <f>"Material de consumo - "&amp;Tarefas!H3</f>
        <v>Material de consumo - PROJETO</v>
      </c>
      <c r="K1385" s="65"/>
      <c r="L1385" s="144">
        <f>IFERROR('Cronog. e Histog.'!H51/'Cronog. e Histog.'!I51,0)</f>
        <v>199.24666666666667</v>
      </c>
      <c r="M1385" s="105" t="str">
        <f>"MOD - "&amp;Tarefas!H3</f>
        <v>MOD - PROJETO</v>
      </c>
      <c r="N1385" s="144">
        <f>'Cronog. e Histog.'!I51</f>
        <v>10</v>
      </c>
      <c r="O1385" s="105" t="s">
        <v>1263</v>
      </c>
      <c r="P1385" s="65"/>
      <c r="Q1385" s="65"/>
      <c r="R1385" s="65"/>
      <c r="S1385" s="110"/>
      <c r="T1385" s="65"/>
      <c r="U1385" s="117">
        <f t="shared" ref="U1385" si="852">L1385*N1385*S1385</f>
        <v>0</v>
      </c>
      <c r="V1385" s="65"/>
      <c r="W1385" s="202"/>
    </row>
    <row r="1386" spans="9:23" ht="12" hidden="1" customHeight="1" outlineLevel="1">
      <c r="I1386" s="65"/>
      <c r="J1386" s="143" t="str">
        <f>"Material de consumo - "&amp;Tarefas!H4</f>
        <v>Material de consumo - PERMITS</v>
      </c>
      <c r="K1386" s="65"/>
      <c r="L1386" s="144">
        <f>IFERROR('Cronog. e Histog.'!H52/'Cronog. e Histog.'!I52,0)</f>
        <v>139.4726666666667</v>
      </c>
      <c r="M1386" s="105" t="str">
        <f>"MOD - "&amp;Tarefas!H4</f>
        <v>MOD - PERMITS</v>
      </c>
      <c r="N1386" s="144">
        <f>'Cronog. e Histog.'!I52</f>
        <v>10</v>
      </c>
      <c r="O1386" s="105" t="s">
        <v>1263</v>
      </c>
      <c r="P1386" s="65"/>
      <c r="Q1386" s="65"/>
      <c r="R1386" s="65"/>
      <c r="S1386" s="110"/>
      <c r="T1386" s="65"/>
      <c r="U1386" s="117">
        <f t="shared" ref="U1386:U1404" si="853">L1386*N1386*S1386</f>
        <v>0</v>
      </c>
      <c r="V1386" s="65"/>
      <c r="W1386" s="202"/>
    </row>
    <row r="1387" spans="9:23" ht="12" hidden="1" customHeight="1" outlineLevel="1">
      <c r="I1387" s="65"/>
      <c r="J1387" s="143" t="str">
        <f>"Material de consumo - "&amp;Tarefas!H5</f>
        <v>Material de consumo - GERENCIMENTO</v>
      </c>
      <c r="K1387" s="65"/>
      <c r="L1387" s="144">
        <f>IFERROR('Cronog. e Histog.'!H53/'Cronog. e Histog.'!I53,0)</f>
        <v>24.200000000000003</v>
      </c>
      <c r="M1387" s="105" t="str">
        <f>"MOD - "&amp;Tarefas!H5</f>
        <v>MOD - GERENCIMENTO</v>
      </c>
      <c r="N1387" s="144">
        <f>'Cronog. e Histog.'!I53</f>
        <v>10</v>
      </c>
      <c r="O1387" s="105" t="s">
        <v>1263</v>
      </c>
      <c r="P1387" s="65"/>
      <c r="Q1387" s="65"/>
      <c r="R1387" s="65"/>
      <c r="S1387" s="110"/>
      <c r="T1387" s="65"/>
      <c r="U1387" s="117">
        <f t="shared" ref="U1387:U1401" si="854">L1387*N1387*S1387</f>
        <v>0</v>
      </c>
      <c r="V1387" s="65"/>
      <c r="W1387" s="202"/>
    </row>
    <row r="1388" spans="9:23" ht="12" hidden="1" customHeight="1" outlineLevel="1">
      <c r="I1388" s="65"/>
      <c r="J1388" s="143" t="str">
        <f>"Material de consumo - "&amp;Tarefas!H6</f>
        <v>Material de consumo - SUPRIMENTOS</v>
      </c>
      <c r="K1388" s="65"/>
      <c r="L1388" s="144">
        <f>IFERROR('Cronog. e Histog.'!H54/'Cronog. e Histog.'!I54,0)</f>
        <v>58.080000000000005</v>
      </c>
      <c r="M1388" s="105" t="str">
        <f>"MOD - "&amp;Tarefas!H6</f>
        <v>MOD - SUPRIMENTOS</v>
      </c>
      <c r="N1388" s="144">
        <f>'Cronog. e Histog.'!I54</f>
        <v>10</v>
      </c>
      <c r="O1388" s="105" t="s">
        <v>1263</v>
      </c>
      <c r="P1388" s="65"/>
      <c r="Q1388" s="65"/>
      <c r="R1388" s="65"/>
      <c r="S1388" s="110"/>
      <c r="T1388" s="65"/>
      <c r="U1388" s="117">
        <f t="shared" si="854"/>
        <v>0</v>
      </c>
      <c r="V1388" s="65"/>
      <c r="W1388" s="202"/>
    </row>
    <row r="1389" spans="9:23" ht="12" hidden="1" customHeight="1" outlineLevel="1">
      <c r="I1389" s="65"/>
      <c r="J1389" s="143" t="str">
        <f>"Material de consumo - "&amp;Tarefas!H7</f>
        <v>Material de consumo - ORÇAMENTOS</v>
      </c>
      <c r="K1389" s="65"/>
      <c r="L1389" s="144">
        <f>IFERROR('Cronog. e Histog.'!H55/'Cronog. e Histog.'!I55,0)</f>
        <v>117.61200000000001</v>
      </c>
      <c r="M1389" s="105" t="str">
        <f>"MOD - "&amp;Tarefas!H7</f>
        <v>MOD - ORÇAMENTOS</v>
      </c>
      <c r="N1389" s="144">
        <f>'Cronog. e Histog.'!I55</f>
        <v>10</v>
      </c>
      <c r="O1389" s="105" t="s">
        <v>1263</v>
      </c>
      <c r="P1389" s="65"/>
      <c r="Q1389" s="65"/>
      <c r="R1389" s="65"/>
      <c r="S1389" s="110"/>
      <c r="T1389" s="65"/>
      <c r="U1389" s="117">
        <f t="shared" si="854"/>
        <v>0</v>
      </c>
      <c r="V1389" s="65"/>
      <c r="W1389" s="202"/>
    </row>
    <row r="1390" spans="9:23" ht="12" hidden="1" customHeight="1" outlineLevel="1">
      <c r="I1390" s="65"/>
      <c r="J1390" s="143" t="str">
        <f>"Material de consumo - "&amp;Tarefas!H8</f>
        <v xml:space="preserve">Material de consumo - </v>
      </c>
      <c r="K1390" s="65"/>
      <c r="L1390" s="144">
        <f>IFERROR('Cronog. e Histog.'!H56/'Cronog. e Histog.'!I56,0)</f>
        <v>208.92666666666668</v>
      </c>
      <c r="M1390" s="105" t="str">
        <f>"MOD - "&amp;Tarefas!H8</f>
        <v xml:space="preserve">MOD - </v>
      </c>
      <c r="N1390" s="144">
        <f>'Cronog. e Histog.'!I56</f>
        <v>10</v>
      </c>
      <c r="O1390" s="105" t="s">
        <v>1263</v>
      </c>
      <c r="P1390" s="65"/>
      <c r="Q1390" s="65"/>
      <c r="R1390" s="65"/>
      <c r="S1390" s="110"/>
      <c r="T1390" s="65"/>
      <c r="U1390" s="117">
        <f t="shared" si="854"/>
        <v>0</v>
      </c>
      <c r="V1390" s="65"/>
      <c r="W1390" s="202"/>
    </row>
    <row r="1391" spans="9:23" ht="12" hidden="1" customHeight="1" outlineLevel="1">
      <c r="I1391" s="65"/>
      <c r="J1391" s="143" t="str">
        <f>"Material de consumo - "&amp;Tarefas!H9</f>
        <v xml:space="preserve">Material de consumo - </v>
      </c>
      <c r="K1391" s="65"/>
      <c r="L1391" s="144">
        <f>IFERROR('Cronog. e Histog.'!H57/'Cronog. e Histog.'!I57,0)</f>
        <v>0</v>
      </c>
      <c r="M1391" s="105" t="str">
        <f>"MOD - "&amp;Tarefas!H9</f>
        <v xml:space="preserve">MOD - </v>
      </c>
      <c r="N1391" s="144">
        <f>'Cronog. e Histog.'!I57</f>
        <v>10</v>
      </c>
      <c r="O1391" s="105" t="s">
        <v>1263</v>
      </c>
      <c r="P1391" s="65"/>
      <c r="Q1391" s="65"/>
      <c r="R1391" s="65"/>
      <c r="S1391" s="110"/>
      <c r="T1391" s="65"/>
      <c r="U1391" s="117">
        <f t="shared" si="854"/>
        <v>0</v>
      </c>
      <c r="V1391" s="65"/>
      <c r="W1391" s="202"/>
    </row>
    <row r="1392" spans="9:23" ht="12" hidden="1" customHeight="1" outlineLevel="1">
      <c r="I1392" s="65"/>
      <c r="J1392" s="143" t="str">
        <f>"Material de consumo - "&amp;Tarefas!H10</f>
        <v xml:space="preserve">Material de consumo - </v>
      </c>
      <c r="K1392" s="65"/>
      <c r="L1392" s="144">
        <f>IFERROR('Cronog. e Histog.'!H58/'Cronog. e Histog.'!I58,0)</f>
        <v>0</v>
      </c>
      <c r="M1392" s="105" t="str">
        <f>"MOD - "&amp;Tarefas!H10</f>
        <v xml:space="preserve">MOD - </v>
      </c>
      <c r="N1392" s="144">
        <f>'Cronog. e Histog.'!I58</f>
        <v>10</v>
      </c>
      <c r="O1392" s="105" t="s">
        <v>1263</v>
      </c>
      <c r="P1392" s="65"/>
      <c r="Q1392" s="65"/>
      <c r="R1392" s="65"/>
      <c r="S1392" s="110"/>
      <c r="T1392" s="65"/>
      <c r="U1392" s="117">
        <f t="shared" si="854"/>
        <v>0</v>
      </c>
      <c r="V1392" s="65"/>
      <c r="W1392" s="202"/>
    </row>
    <row r="1393" spans="9:23" ht="12" hidden="1" customHeight="1" outlineLevel="1">
      <c r="I1393" s="65"/>
      <c r="J1393" s="143" t="str">
        <f>"Material de consumo - "&amp;Tarefas!H11</f>
        <v xml:space="preserve">Material de consumo - </v>
      </c>
      <c r="K1393" s="65"/>
      <c r="L1393" s="144">
        <f>IFERROR('Cronog. e Histog.'!H59/'Cronog. e Histog.'!I59,0)</f>
        <v>0</v>
      </c>
      <c r="M1393" s="105" t="str">
        <f>"MOD - "&amp;Tarefas!H11</f>
        <v xml:space="preserve">MOD - </v>
      </c>
      <c r="N1393" s="144">
        <f>'Cronog. e Histog.'!I59</f>
        <v>10</v>
      </c>
      <c r="O1393" s="105" t="s">
        <v>1263</v>
      </c>
      <c r="P1393" s="65"/>
      <c r="Q1393" s="65"/>
      <c r="R1393" s="65"/>
      <c r="S1393" s="110"/>
      <c r="T1393" s="65"/>
      <c r="U1393" s="117">
        <f t="shared" si="854"/>
        <v>0</v>
      </c>
      <c r="V1393" s="65"/>
      <c r="W1393" s="202"/>
    </row>
    <row r="1394" spans="9:23" ht="12" hidden="1" customHeight="1" outlineLevel="1">
      <c r="I1394" s="65"/>
      <c r="J1394" s="143" t="str">
        <f>"Material de consumo - "&amp;Tarefas!H12</f>
        <v xml:space="preserve">Material de consumo - </v>
      </c>
      <c r="K1394" s="65"/>
      <c r="L1394" s="144">
        <f>IFERROR('Cronog. e Histog.'!H60/'Cronog. e Histog.'!I60,0)</f>
        <v>13.310000000000002</v>
      </c>
      <c r="M1394" s="105" t="str">
        <f>"MOD - "&amp;Tarefas!H12</f>
        <v xml:space="preserve">MOD - </v>
      </c>
      <c r="N1394" s="144">
        <f>'Cronog. e Histog.'!I60</f>
        <v>10</v>
      </c>
      <c r="O1394" s="105" t="s">
        <v>1263</v>
      </c>
      <c r="P1394" s="65"/>
      <c r="Q1394" s="65"/>
      <c r="R1394" s="65"/>
      <c r="S1394" s="110"/>
      <c r="T1394" s="65"/>
      <c r="U1394" s="117">
        <f t="shared" si="854"/>
        <v>0</v>
      </c>
      <c r="V1394" s="65"/>
      <c r="W1394" s="202"/>
    </row>
    <row r="1395" spans="9:23" ht="12" hidden="1" customHeight="1" outlineLevel="1">
      <c r="I1395" s="65"/>
      <c r="J1395" s="143" t="str">
        <f>"Material de consumo - "&amp;Tarefas!H13</f>
        <v xml:space="preserve">Material de consumo - </v>
      </c>
      <c r="K1395" s="65"/>
      <c r="L1395" s="144">
        <f>IFERROR('Cronog. e Histog.'!H61/'Cronog. e Histog.'!I61,0)</f>
        <v>0</v>
      </c>
      <c r="M1395" s="105" t="str">
        <f>"MOD - "&amp;Tarefas!H13</f>
        <v xml:space="preserve">MOD - </v>
      </c>
      <c r="N1395" s="144">
        <f>'Cronog. e Histog.'!I61</f>
        <v>10</v>
      </c>
      <c r="O1395" s="105" t="s">
        <v>1263</v>
      </c>
      <c r="P1395" s="65"/>
      <c r="Q1395" s="65"/>
      <c r="R1395" s="65"/>
      <c r="S1395" s="110"/>
      <c r="T1395" s="65"/>
      <c r="U1395" s="117">
        <f t="shared" si="854"/>
        <v>0</v>
      </c>
      <c r="V1395" s="65"/>
      <c r="W1395" s="202"/>
    </row>
    <row r="1396" spans="9:23" ht="12" hidden="1" customHeight="1" outlineLevel="1">
      <c r="I1396" s="65"/>
      <c r="J1396" s="143" t="str">
        <f>"Material de consumo - "&amp;Tarefas!H14</f>
        <v xml:space="preserve">Material de consumo - </v>
      </c>
      <c r="K1396" s="65"/>
      <c r="L1396" s="144">
        <f>IFERROR('Cronog. e Histog.'!H62/'Cronog. e Histog.'!I62,0)</f>
        <v>0</v>
      </c>
      <c r="M1396" s="105" t="str">
        <f>"MOD - "&amp;Tarefas!H14</f>
        <v xml:space="preserve">MOD - </v>
      </c>
      <c r="N1396" s="144">
        <f>'Cronog. e Histog.'!I62</f>
        <v>10</v>
      </c>
      <c r="O1396" s="105" t="s">
        <v>1263</v>
      </c>
      <c r="P1396" s="65"/>
      <c r="Q1396" s="65"/>
      <c r="R1396" s="65"/>
      <c r="S1396" s="110"/>
      <c r="T1396" s="65"/>
      <c r="U1396" s="117">
        <f t="shared" si="854"/>
        <v>0</v>
      </c>
      <c r="V1396" s="65"/>
      <c r="W1396" s="202"/>
    </row>
    <row r="1397" spans="9:23" ht="12" hidden="1" customHeight="1" outlineLevel="1">
      <c r="I1397" s="65"/>
      <c r="J1397" s="143" t="str">
        <f>"Material de consumo - "&amp;Tarefas!H15</f>
        <v xml:space="preserve">Material de consumo - </v>
      </c>
      <c r="K1397" s="65"/>
      <c r="L1397" s="144">
        <f>IFERROR('Cronog. e Histog.'!H63/'Cronog. e Histog.'!I63,0)</f>
        <v>0</v>
      </c>
      <c r="M1397" s="105" t="str">
        <f>"MOD - "&amp;Tarefas!H15</f>
        <v xml:space="preserve">MOD - </v>
      </c>
      <c r="N1397" s="144">
        <f>'Cronog. e Histog.'!I63</f>
        <v>10</v>
      </c>
      <c r="O1397" s="105" t="s">
        <v>1263</v>
      </c>
      <c r="P1397" s="65"/>
      <c r="Q1397" s="65"/>
      <c r="R1397" s="65"/>
      <c r="S1397" s="110"/>
      <c r="T1397" s="65"/>
      <c r="U1397" s="117">
        <f t="shared" si="854"/>
        <v>0</v>
      </c>
      <c r="V1397" s="65"/>
      <c r="W1397" s="202"/>
    </row>
    <row r="1398" spans="9:23" ht="12" hidden="1" customHeight="1" outlineLevel="1">
      <c r="I1398" s="65"/>
      <c r="J1398" s="143" t="str">
        <f>"Material de consumo - "&amp;Tarefas!H16</f>
        <v xml:space="preserve">Material de consumo - </v>
      </c>
      <c r="K1398" s="65"/>
      <c r="L1398" s="144">
        <f>IFERROR('Cronog. e Histog.'!H64/'Cronog. e Histog.'!I64,0)</f>
        <v>0</v>
      </c>
      <c r="M1398" s="105" t="str">
        <f>"MOD - "&amp;Tarefas!H16</f>
        <v xml:space="preserve">MOD - </v>
      </c>
      <c r="N1398" s="144">
        <f>'Cronog. e Histog.'!I64</f>
        <v>10</v>
      </c>
      <c r="O1398" s="105" t="s">
        <v>1263</v>
      </c>
      <c r="P1398" s="65"/>
      <c r="Q1398" s="65"/>
      <c r="R1398" s="65"/>
      <c r="S1398" s="110"/>
      <c r="T1398" s="65"/>
      <c r="U1398" s="117">
        <f t="shared" si="854"/>
        <v>0</v>
      </c>
      <c r="V1398" s="65"/>
      <c r="W1398" s="202"/>
    </row>
    <row r="1399" spans="9:23" ht="12" hidden="1" customHeight="1" outlineLevel="1">
      <c r="I1399" s="65"/>
      <c r="J1399" s="143" t="str">
        <f>"Material de consumo - "&amp;Tarefas!H17</f>
        <v xml:space="preserve">Material de consumo - </v>
      </c>
      <c r="K1399" s="65"/>
      <c r="L1399" s="144">
        <f>IFERROR('Cronog. e Histog.'!H65/'Cronog. e Histog.'!I65,0)</f>
        <v>0</v>
      </c>
      <c r="M1399" s="105" t="str">
        <f>"MOD - "&amp;Tarefas!H17</f>
        <v xml:space="preserve">MOD - </v>
      </c>
      <c r="N1399" s="144">
        <f>'Cronog. e Histog.'!I65</f>
        <v>10</v>
      </c>
      <c r="O1399" s="105" t="s">
        <v>1263</v>
      </c>
      <c r="P1399" s="65"/>
      <c r="Q1399" s="65"/>
      <c r="R1399" s="65"/>
      <c r="S1399" s="110"/>
      <c r="T1399" s="65"/>
      <c r="U1399" s="117">
        <f t="shared" si="854"/>
        <v>0</v>
      </c>
      <c r="V1399" s="65"/>
      <c r="W1399" s="202"/>
    </row>
    <row r="1400" spans="9:23" ht="12" hidden="1" customHeight="1" outlineLevel="1">
      <c r="I1400" s="65"/>
      <c r="J1400" s="143" t="str">
        <f>"Material de consumo - "&amp;Tarefas!H18</f>
        <v xml:space="preserve">Material de consumo - </v>
      </c>
      <c r="K1400" s="65"/>
      <c r="L1400" s="144">
        <f>IFERROR('Cronog. e Histog.'!H66/'Cronog. e Histog.'!I66,0)</f>
        <v>19.360000000000003</v>
      </c>
      <c r="M1400" s="105" t="str">
        <f>"MOD - "&amp;Tarefas!H18</f>
        <v xml:space="preserve">MOD - </v>
      </c>
      <c r="N1400" s="144">
        <f>'Cronog. e Histog.'!I66</f>
        <v>10</v>
      </c>
      <c r="O1400" s="105" t="s">
        <v>1263</v>
      </c>
      <c r="P1400" s="65"/>
      <c r="Q1400" s="65"/>
      <c r="R1400" s="65"/>
      <c r="S1400" s="110"/>
      <c r="T1400" s="65"/>
      <c r="U1400" s="117">
        <f t="shared" si="854"/>
        <v>0</v>
      </c>
      <c r="V1400" s="65"/>
      <c r="W1400" s="202"/>
    </row>
    <row r="1401" spans="9:23" ht="12" hidden="1" customHeight="1" outlineLevel="1">
      <c r="I1401" s="65"/>
      <c r="J1401" s="143" t="str">
        <f>"Material de consumo - "&amp;Tarefas!H19</f>
        <v xml:space="preserve">Material de consumo - </v>
      </c>
      <c r="K1401" s="65"/>
      <c r="L1401" s="144">
        <f>IFERROR('Cronog. e Histog.'!H67/'Cronog. e Histog.'!I67,0)</f>
        <v>7.7440000000000015</v>
      </c>
      <c r="M1401" s="105" t="str">
        <f>"MOD - "&amp;Tarefas!H19</f>
        <v xml:space="preserve">MOD - </v>
      </c>
      <c r="N1401" s="144">
        <f>'Cronog. e Histog.'!I67</f>
        <v>10</v>
      </c>
      <c r="O1401" s="105" t="s">
        <v>1263</v>
      </c>
      <c r="P1401" s="65"/>
      <c r="Q1401" s="65"/>
      <c r="R1401" s="65"/>
      <c r="S1401" s="110"/>
      <c r="T1401" s="65"/>
      <c r="U1401" s="117">
        <f t="shared" si="854"/>
        <v>0</v>
      </c>
      <c r="V1401" s="65"/>
      <c r="W1401" s="202"/>
    </row>
    <row r="1402" spans="9:23" ht="12" hidden="1" customHeight="1" outlineLevel="1">
      <c r="I1402" s="65"/>
      <c r="J1402" s="143" t="str">
        <f>"Material de consumo - "&amp;Tarefas!H20</f>
        <v xml:space="preserve">Material de consumo - </v>
      </c>
      <c r="K1402" s="65"/>
      <c r="L1402" s="144">
        <f>IFERROR('Cronog. e Histog.'!H68/'Cronog. e Histog.'!I68,0)</f>
        <v>3.8720000000000008</v>
      </c>
      <c r="M1402" s="105" t="str">
        <f>"MOD - "&amp;Tarefas!H20</f>
        <v xml:space="preserve">MOD - </v>
      </c>
      <c r="N1402" s="144">
        <f>'Cronog. e Histog.'!I68</f>
        <v>10</v>
      </c>
      <c r="O1402" s="105" t="s">
        <v>1263</v>
      </c>
      <c r="P1402" s="65"/>
      <c r="Q1402" s="65"/>
      <c r="R1402" s="65"/>
      <c r="S1402" s="110"/>
      <c r="T1402" s="65"/>
      <c r="U1402" s="117">
        <f t="shared" si="853"/>
        <v>0</v>
      </c>
      <c r="V1402" s="65"/>
      <c r="W1402" s="202"/>
    </row>
    <row r="1403" spans="9:23" ht="12" hidden="1" customHeight="1" outlineLevel="1">
      <c r="I1403" s="65"/>
      <c r="J1403" s="143" t="str">
        <f>"Material de consumo - "&amp;Tarefas!H21</f>
        <v xml:space="preserve">Material de consumo - </v>
      </c>
      <c r="K1403" s="65"/>
      <c r="L1403" s="144">
        <f>IFERROR('Cronog. e Histog.'!H69/'Cronog. e Histog.'!I69,0)</f>
        <v>9.6800000000000015</v>
      </c>
      <c r="M1403" s="105" t="str">
        <f>"MOD - "&amp;Tarefas!H21</f>
        <v xml:space="preserve">MOD - </v>
      </c>
      <c r="N1403" s="144">
        <f>'Cronog. e Histog.'!I69</f>
        <v>10</v>
      </c>
      <c r="O1403" s="105" t="s">
        <v>1263</v>
      </c>
      <c r="P1403" s="65"/>
      <c r="Q1403" s="65"/>
      <c r="R1403" s="65"/>
      <c r="S1403" s="110"/>
      <c r="T1403" s="65"/>
      <c r="U1403" s="117">
        <f t="shared" si="853"/>
        <v>0</v>
      </c>
      <c r="V1403" s="65"/>
      <c r="W1403" s="202"/>
    </row>
    <row r="1404" spans="9:23" ht="12" hidden="1" customHeight="1" outlineLevel="1">
      <c r="I1404" s="65"/>
      <c r="J1404" s="143" t="str">
        <f>"Material de consumo - "&amp;Tarefas!H22</f>
        <v xml:space="preserve">Material de consumo - </v>
      </c>
      <c r="K1404" s="65"/>
      <c r="L1404" s="144">
        <f>IFERROR('Cronog. e Histog.'!H70/'Cronog. e Histog.'!I70,0)</f>
        <v>19.844000000000001</v>
      </c>
      <c r="M1404" s="105" t="str">
        <f>"MOD - "&amp;Tarefas!H22</f>
        <v xml:space="preserve">MOD - </v>
      </c>
      <c r="N1404" s="144">
        <f>'Cronog. e Histog.'!I70</f>
        <v>10</v>
      </c>
      <c r="O1404" s="105" t="s">
        <v>1263</v>
      </c>
      <c r="P1404" s="65"/>
      <c r="Q1404" s="65"/>
      <c r="R1404" s="65"/>
      <c r="S1404" s="110"/>
      <c r="T1404" s="65"/>
      <c r="U1404" s="117">
        <f t="shared" si="853"/>
        <v>0</v>
      </c>
      <c r="V1404" s="65"/>
      <c r="W1404" s="202"/>
    </row>
    <row r="1405" spans="9:23" ht="12" hidden="1" customHeight="1" outlineLevel="1">
      <c r="I1405" s="65"/>
      <c r="J1405" s="143" t="s">
        <v>1528</v>
      </c>
      <c r="K1405" s="65"/>
      <c r="L1405" s="144">
        <f>IFERROR(SUMPRODUCT(L538:L587,M538:M587)/N1405,0)</f>
        <v>0</v>
      </c>
      <c r="M1405" s="105" t="s">
        <v>1122</v>
      </c>
      <c r="N1405" s="144">
        <f>Dashboard!$D$14</f>
        <v>10</v>
      </c>
      <c r="O1405" s="105" t="s">
        <v>1263</v>
      </c>
      <c r="P1405" s="65"/>
      <c r="Q1405" s="65"/>
      <c r="R1405" s="65"/>
      <c r="S1405" s="110"/>
      <c r="T1405" s="65"/>
      <c r="U1405" s="117">
        <f t="shared" ref="U1405" si="855">L1405*N1405*S1405</f>
        <v>0</v>
      </c>
      <c r="V1405" s="65"/>
      <c r="W1405" s="202"/>
    </row>
    <row r="1406" spans="9:23" ht="12" hidden="1" customHeight="1" outlineLevel="1">
      <c r="I1406" s="65"/>
      <c r="J1406" s="65"/>
      <c r="K1406" s="65"/>
      <c r="L1406" s="65"/>
      <c r="M1406" s="65"/>
      <c r="N1406" s="65"/>
      <c r="O1406" s="65"/>
      <c r="P1406" s="65"/>
      <c r="Q1406" s="65"/>
      <c r="R1406" s="65"/>
      <c r="S1406" s="65"/>
      <c r="T1406" s="65"/>
      <c r="U1406" s="65"/>
      <c r="V1406" s="65"/>
      <c r="W1406" s="65"/>
    </row>
    <row r="1407" spans="9:23" ht="24" hidden="1" customHeight="1" outlineLevel="1">
      <c r="I1407" s="65"/>
      <c r="J1407" s="142" t="s">
        <v>1529</v>
      </c>
      <c r="K1407" s="65"/>
      <c r="L1407" s="142" t="s">
        <v>1179</v>
      </c>
      <c r="M1407" s="142" t="s">
        <v>1238</v>
      </c>
      <c r="N1407" s="142" t="s">
        <v>1260</v>
      </c>
      <c r="O1407" s="142" t="s">
        <v>1261</v>
      </c>
      <c r="P1407" s="65"/>
      <c r="Q1407" s="65"/>
      <c r="R1407" s="65"/>
      <c r="S1407" s="142" t="s">
        <v>1240</v>
      </c>
      <c r="T1407" s="65"/>
      <c r="U1407" s="142" t="s">
        <v>1241</v>
      </c>
      <c r="V1407" s="65"/>
      <c r="W1407" s="142" t="s">
        <v>1111</v>
      </c>
    </row>
    <row r="1408" spans="9:23" ht="12" hidden="1" customHeight="1" outlineLevel="1">
      <c r="I1408" s="65"/>
      <c r="J1408" s="77" t="s">
        <v>1530</v>
      </c>
      <c r="K1408" s="65"/>
      <c r="L1408" s="107"/>
      <c r="M1408" s="78" t="s">
        <v>1531</v>
      </c>
      <c r="N1408" s="107">
        <f>Dashboard!$D$14</f>
        <v>10</v>
      </c>
      <c r="O1408" s="78" t="s">
        <v>1263</v>
      </c>
      <c r="P1408" s="65"/>
      <c r="Q1408" s="65"/>
      <c r="R1408" s="65"/>
      <c r="S1408" s="110"/>
      <c r="T1408" s="65"/>
      <c r="U1408" s="117">
        <f t="shared" ref="U1408:U1414" si="856">L1408*N1408*S1408</f>
        <v>0</v>
      </c>
      <c r="V1408" s="65"/>
      <c r="W1408" s="202"/>
    </row>
    <row r="1409" spans="9:23" ht="12" hidden="1" customHeight="1" outlineLevel="1">
      <c r="I1409" s="65"/>
      <c r="J1409" s="77" t="s">
        <v>1532</v>
      </c>
      <c r="K1409" s="65"/>
      <c r="L1409" s="107"/>
      <c r="M1409" s="78" t="s">
        <v>1531</v>
      </c>
      <c r="N1409" s="107">
        <f>Dashboard!$D$14</f>
        <v>10</v>
      </c>
      <c r="O1409" s="78" t="s">
        <v>1263</v>
      </c>
      <c r="P1409" s="65"/>
      <c r="Q1409" s="65"/>
      <c r="R1409" s="65"/>
      <c r="S1409" s="110"/>
      <c r="T1409" s="65"/>
      <c r="U1409" s="117">
        <f t="shared" si="856"/>
        <v>0</v>
      </c>
      <c r="V1409" s="65"/>
      <c r="W1409" s="202"/>
    </row>
    <row r="1410" spans="9:23" ht="12" hidden="1" customHeight="1" outlineLevel="1">
      <c r="I1410" s="65"/>
      <c r="J1410" s="77" t="s">
        <v>1533</v>
      </c>
      <c r="K1410" s="65"/>
      <c r="L1410" s="107"/>
      <c r="M1410" s="78" t="s">
        <v>1531</v>
      </c>
      <c r="N1410" s="107">
        <f>Dashboard!$D$14</f>
        <v>10</v>
      </c>
      <c r="O1410" s="78" t="s">
        <v>1263</v>
      </c>
      <c r="P1410" s="65"/>
      <c r="Q1410" s="65"/>
      <c r="R1410" s="65"/>
      <c r="S1410" s="110"/>
      <c r="T1410" s="65"/>
      <c r="U1410" s="117">
        <f t="shared" si="856"/>
        <v>0</v>
      </c>
      <c r="V1410" s="65"/>
      <c r="W1410" s="202"/>
    </row>
    <row r="1411" spans="9:23" ht="12" hidden="1" customHeight="1" outlineLevel="1">
      <c r="I1411" s="65"/>
      <c r="J1411" s="77" t="s">
        <v>1534</v>
      </c>
      <c r="K1411" s="65"/>
      <c r="L1411" s="107"/>
      <c r="M1411" s="78" t="s">
        <v>1535</v>
      </c>
      <c r="N1411" s="107">
        <f>Dashboard!$D$14</f>
        <v>10</v>
      </c>
      <c r="O1411" s="78" t="s">
        <v>1263</v>
      </c>
      <c r="P1411" s="65"/>
      <c r="Q1411" s="65"/>
      <c r="R1411" s="65"/>
      <c r="S1411" s="110">
        <f>300/5000</f>
        <v>0.06</v>
      </c>
      <c r="T1411" s="65"/>
      <c r="U1411" s="117">
        <f t="shared" si="856"/>
        <v>0</v>
      </c>
      <c r="V1411" s="65"/>
      <c r="W1411" s="202"/>
    </row>
    <row r="1412" spans="9:23" ht="12" hidden="1" customHeight="1" outlineLevel="1">
      <c r="I1412" s="65"/>
      <c r="J1412" s="77" t="s">
        <v>1536</v>
      </c>
      <c r="K1412" s="65"/>
      <c r="L1412" s="107"/>
      <c r="M1412" s="78" t="s">
        <v>1535</v>
      </c>
      <c r="N1412" s="107">
        <f>Dashboard!$D$14</f>
        <v>10</v>
      </c>
      <c r="O1412" s="78" t="s">
        <v>1263</v>
      </c>
      <c r="P1412" s="65"/>
      <c r="Q1412" s="65"/>
      <c r="R1412" s="65"/>
      <c r="S1412" s="110">
        <f>500/5000</f>
        <v>0.1</v>
      </c>
      <c r="T1412" s="65"/>
      <c r="U1412" s="117">
        <f t="shared" si="856"/>
        <v>0</v>
      </c>
      <c r="V1412" s="65"/>
      <c r="W1412" s="202"/>
    </row>
    <row r="1413" spans="9:23" ht="12" hidden="1" customHeight="1" outlineLevel="1">
      <c r="I1413" s="65"/>
      <c r="J1413" s="77" t="s">
        <v>1537</v>
      </c>
      <c r="K1413" s="65"/>
      <c r="L1413" s="107">
        <f>IFERROR(((L1046*(N1046/$N$1413))*8*Dashboard!$D$15*0.8)+((L1047*(N1047/$N$1413))*10*Dashboard!$D$15*0.8)+((L1051*(N1051/$N$1413))*33*Dashboard!$D$15*0.8)+((L1050*(N1050/$N$1413))*24*Dashboard!$D$15*0.8)+((L1049*(N1049/$N$1413))*18*Dashboard!$D$15*0.8)+((L1048*(N1048/$N$1413))*12*Dashboard!$D$15*0.8),0)</f>
        <v>0</v>
      </c>
      <c r="M1413" s="78" t="s">
        <v>1535</v>
      </c>
      <c r="N1413" s="107">
        <f>Dashboard!$D$14</f>
        <v>10</v>
      </c>
      <c r="O1413" s="78" t="s">
        <v>1263</v>
      </c>
      <c r="P1413" s="65"/>
      <c r="Q1413" s="65"/>
      <c r="R1413" s="65"/>
      <c r="S1413" s="110">
        <v>7.2</v>
      </c>
      <c r="T1413" s="65"/>
      <c r="U1413" s="117">
        <f t="shared" si="856"/>
        <v>0</v>
      </c>
      <c r="V1413" s="65"/>
      <c r="W1413" s="202"/>
    </row>
    <row r="1414" spans="9:23" ht="12" hidden="1" customHeight="1" outlineLevel="1">
      <c r="I1414" s="65"/>
      <c r="J1414" s="77" t="s">
        <v>1538</v>
      </c>
      <c r="K1414" s="65"/>
      <c r="L1414" s="107">
        <f>IFERROR(((L1022*(N1022/N1414))*8*Dashboard!$D$15*0.8),0)</f>
        <v>0</v>
      </c>
      <c r="M1414" s="78" t="s">
        <v>1535</v>
      </c>
      <c r="N1414" s="107">
        <f>Dashboard!$D$14</f>
        <v>10</v>
      </c>
      <c r="O1414" s="78" t="s">
        <v>1263</v>
      </c>
      <c r="P1414" s="65"/>
      <c r="Q1414" s="65"/>
      <c r="R1414" s="65"/>
      <c r="S1414" s="110">
        <v>7.2</v>
      </c>
      <c r="T1414" s="65"/>
      <c r="U1414" s="117">
        <f t="shared" si="856"/>
        <v>0</v>
      </c>
      <c r="V1414" s="65"/>
      <c r="W1414" s="202"/>
    </row>
    <row r="1415" spans="9:23" ht="12" hidden="1" customHeight="1" outlineLevel="1">
      <c r="I1415" s="65"/>
      <c r="J1415" s="77"/>
      <c r="K1415" s="65"/>
      <c r="L1415" s="107"/>
      <c r="M1415" s="78"/>
      <c r="N1415" s="107">
        <f>Dashboard!$D$14</f>
        <v>10</v>
      </c>
      <c r="O1415" s="78" t="s">
        <v>1263</v>
      </c>
      <c r="P1415" s="65"/>
      <c r="Q1415" s="65"/>
      <c r="R1415" s="65"/>
      <c r="S1415" s="110"/>
      <c r="T1415" s="65"/>
      <c r="U1415" s="117">
        <f t="shared" ref="U1415" si="857">L1415*N1415*S1415</f>
        <v>0</v>
      </c>
      <c r="V1415" s="65"/>
      <c r="W1415" s="202"/>
    </row>
    <row r="1416" spans="9:23" ht="12" hidden="1" customHeight="1" outlineLevel="1">
      <c r="I1416" s="65"/>
      <c r="J1416" s="65"/>
      <c r="K1416" s="65"/>
      <c r="L1416" s="65"/>
      <c r="M1416" s="65"/>
      <c r="N1416" s="65"/>
      <c r="O1416" s="65"/>
      <c r="P1416" s="65"/>
      <c r="Q1416" s="65"/>
      <c r="R1416" s="65"/>
      <c r="S1416" s="65"/>
      <c r="T1416" s="65"/>
      <c r="U1416" s="65"/>
      <c r="V1416" s="65"/>
      <c r="W1416" s="65"/>
    </row>
    <row r="1417" spans="9:23" s="196" customFormat="1" ht="24" customHeight="1" collapsed="1">
      <c r="I1417" s="189"/>
      <c r="J1417" s="185" t="s">
        <v>77</v>
      </c>
      <c r="K1417" s="190"/>
      <c r="L1417" s="190"/>
      <c r="M1417" s="190"/>
      <c r="N1417" s="190"/>
      <c r="O1417" s="190"/>
      <c r="P1417" s="190"/>
      <c r="Q1417" s="190"/>
      <c r="R1417" s="190"/>
      <c r="S1417" s="191"/>
      <c r="T1417" s="192">
        <f>IFERROR(U1417/$U$2,0)</f>
        <v>0</v>
      </c>
      <c r="U1417" s="193">
        <f>SUM(U1419:U1425)</f>
        <v>0</v>
      </c>
      <c r="V1417" s="190"/>
      <c r="W1417" s="194"/>
    </row>
    <row r="1418" spans="9:23" ht="12" hidden="1" customHeight="1" outlineLevel="1">
      <c r="I1418" s="65"/>
      <c r="J1418" s="65"/>
      <c r="K1418" s="65"/>
      <c r="L1418" s="65"/>
      <c r="M1418" s="65"/>
      <c r="N1418" s="65"/>
      <c r="O1418" s="65"/>
      <c r="P1418" s="65"/>
      <c r="Q1418" s="65"/>
      <c r="R1418" s="65"/>
      <c r="S1418" s="65"/>
      <c r="T1418" s="65"/>
      <c r="U1418" s="65"/>
      <c r="V1418" s="65"/>
      <c r="W1418" s="65"/>
    </row>
    <row r="1419" spans="9:23" ht="24" hidden="1" customHeight="1" outlineLevel="1">
      <c r="I1419" s="65"/>
      <c r="J1419" s="142" t="s">
        <v>77</v>
      </c>
      <c r="K1419" s="65"/>
      <c r="L1419" s="142" t="s">
        <v>1179</v>
      </c>
      <c r="M1419" s="142" t="s">
        <v>1238</v>
      </c>
      <c r="N1419" s="142" t="s">
        <v>1260</v>
      </c>
      <c r="O1419" s="142" t="s">
        <v>1261</v>
      </c>
      <c r="P1419" s="65"/>
      <c r="Q1419" s="65"/>
      <c r="R1419" s="65"/>
      <c r="S1419" s="142" t="s">
        <v>1240</v>
      </c>
      <c r="T1419" s="65"/>
      <c r="U1419" s="142" t="s">
        <v>1241</v>
      </c>
      <c r="V1419" s="65"/>
      <c r="W1419" s="142" t="s">
        <v>1111</v>
      </c>
    </row>
    <row r="1420" spans="9:23" ht="12" hidden="1" customHeight="1" outlineLevel="1">
      <c r="I1420" s="65"/>
      <c r="J1420" s="77"/>
      <c r="K1420" s="65"/>
      <c r="L1420" s="107"/>
      <c r="M1420" s="78"/>
      <c r="N1420" s="107"/>
      <c r="O1420" s="78"/>
      <c r="P1420" s="65"/>
      <c r="Q1420" s="65"/>
      <c r="R1420" s="65"/>
      <c r="S1420" s="110"/>
      <c r="T1420" s="65"/>
      <c r="U1420" s="117">
        <f t="shared" ref="U1420" si="858">L1420*N1420*S1420</f>
        <v>0</v>
      </c>
      <c r="V1420" s="65"/>
      <c r="W1420" s="202"/>
    </row>
    <row r="1421" spans="9:23" ht="12" hidden="1" customHeight="1" outlineLevel="1">
      <c r="I1421" s="65"/>
      <c r="J1421" s="77"/>
      <c r="K1421" s="65"/>
      <c r="L1421" s="107"/>
      <c r="M1421" s="78"/>
      <c r="N1421" s="107"/>
      <c r="O1421" s="78"/>
      <c r="P1421" s="65"/>
      <c r="Q1421" s="65"/>
      <c r="R1421" s="65"/>
      <c r="S1421" s="110"/>
      <c r="T1421" s="65"/>
      <c r="U1421" s="117">
        <f t="shared" ref="U1421:U1425" si="859">L1421*N1421*S1421</f>
        <v>0</v>
      </c>
      <c r="V1421" s="65"/>
      <c r="W1421" s="202"/>
    </row>
    <row r="1422" spans="9:23" ht="12" hidden="1" customHeight="1" outlineLevel="1">
      <c r="I1422" s="65"/>
      <c r="J1422" s="77"/>
      <c r="K1422" s="65"/>
      <c r="L1422" s="107"/>
      <c r="M1422" s="78"/>
      <c r="N1422" s="107"/>
      <c r="O1422" s="78"/>
      <c r="P1422" s="65"/>
      <c r="Q1422" s="65"/>
      <c r="R1422" s="65"/>
      <c r="S1422" s="110"/>
      <c r="T1422" s="65"/>
      <c r="U1422" s="117">
        <f t="shared" si="859"/>
        <v>0</v>
      </c>
      <c r="V1422" s="65"/>
      <c r="W1422" s="202"/>
    </row>
    <row r="1423" spans="9:23" ht="12" hidden="1" customHeight="1" outlineLevel="1">
      <c r="I1423" s="65"/>
      <c r="J1423" s="77"/>
      <c r="K1423" s="65"/>
      <c r="L1423" s="107"/>
      <c r="M1423" s="78"/>
      <c r="N1423" s="107"/>
      <c r="O1423" s="78"/>
      <c r="P1423" s="65"/>
      <c r="Q1423" s="65"/>
      <c r="R1423" s="65"/>
      <c r="S1423" s="110"/>
      <c r="T1423" s="65"/>
      <c r="U1423" s="117">
        <f t="shared" si="859"/>
        <v>0</v>
      </c>
      <c r="V1423" s="65"/>
      <c r="W1423" s="202"/>
    </row>
    <row r="1424" spans="9:23" ht="12" hidden="1" customHeight="1" outlineLevel="1">
      <c r="I1424" s="65"/>
      <c r="J1424" s="77"/>
      <c r="K1424" s="65"/>
      <c r="L1424" s="107"/>
      <c r="M1424" s="78"/>
      <c r="N1424" s="107"/>
      <c r="O1424" s="78"/>
      <c r="P1424" s="65"/>
      <c r="Q1424" s="65"/>
      <c r="R1424" s="65"/>
      <c r="S1424" s="110"/>
      <c r="T1424" s="65"/>
      <c r="U1424" s="117">
        <f t="shared" si="859"/>
        <v>0</v>
      </c>
      <c r="V1424" s="65"/>
      <c r="W1424" s="202"/>
    </row>
    <row r="1425" spans="9:23" ht="12" hidden="1" customHeight="1" outlineLevel="1">
      <c r="I1425" s="65"/>
      <c r="J1425" s="77"/>
      <c r="K1425" s="65"/>
      <c r="L1425" s="107"/>
      <c r="M1425" s="78"/>
      <c r="N1425" s="107"/>
      <c r="O1425" s="78"/>
      <c r="P1425" s="65"/>
      <c r="Q1425" s="65"/>
      <c r="R1425" s="65"/>
      <c r="S1425" s="110"/>
      <c r="T1425" s="65"/>
      <c r="U1425" s="117">
        <f t="shared" si="859"/>
        <v>0</v>
      </c>
      <c r="V1425" s="65"/>
      <c r="W1425" s="202"/>
    </row>
    <row r="1426" spans="9:23" ht="12" hidden="1" customHeight="1" outlineLevel="1">
      <c r="I1426" s="65"/>
      <c r="J1426" s="65"/>
      <c r="K1426" s="65"/>
      <c r="L1426" s="65"/>
      <c r="M1426" s="65"/>
      <c r="N1426" s="65"/>
      <c r="O1426" s="65"/>
      <c r="P1426" s="65"/>
      <c r="Q1426" s="65"/>
      <c r="R1426" s="65"/>
      <c r="S1426" s="65"/>
      <c r="T1426" s="65"/>
      <c r="U1426" s="65"/>
      <c r="V1426" s="65"/>
      <c r="W1426" s="65"/>
    </row>
    <row r="1427" spans="9:23" s="196" customFormat="1" ht="24" customHeight="1" collapsed="1">
      <c r="I1427" s="189"/>
      <c r="J1427" s="185" t="s">
        <v>81</v>
      </c>
      <c r="K1427" s="190"/>
      <c r="L1427" s="190"/>
      <c r="M1427" s="190"/>
      <c r="N1427" s="190"/>
      <c r="O1427" s="190"/>
      <c r="P1427" s="190"/>
      <c r="Q1427" s="190"/>
      <c r="R1427" s="190"/>
      <c r="S1427" s="191"/>
      <c r="T1427" s="192">
        <f>IFERROR(U1427/$U$2,0)</f>
        <v>4.4955114651068885E-3</v>
      </c>
      <c r="U1427" s="193">
        <f>SUM(U1429:U1458)</f>
        <v>3929.4000000000005</v>
      </c>
      <c r="V1427" s="190"/>
      <c r="W1427" s="194"/>
    </row>
    <row r="1428" spans="9:23" ht="12" hidden="1" customHeight="1" outlineLevel="1">
      <c r="I1428" s="65"/>
      <c r="J1428" s="65"/>
      <c r="K1428" s="65"/>
      <c r="L1428" s="65"/>
      <c r="M1428" s="65"/>
      <c r="N1428" s="65"/>
      <c r="O1428" s="65"/>
      <c r="P1428" s="65"/>
      <c r="Q1428" s="65"/>
      <c r="R1428" s="65"/>
      <c r="S1428" s="65"/>
      <c r="T1428" s="65"/>
      <c r="U1428" s="65"/>
      <c r="V1428" s="65"/>
      <c r="W1428" s="65"/>
    </row>
    <row r="1429" spans="9:23" ht="24" hidden="1" customHeight="1" outlineLevel="1">
      <c r="I1429" s="65"/>
      <c r="J1429" s="142" t="s">
        <v>1539</v>
      </c>
      <c r="K1429" s="65"/>
      <c r="L1429" s="142" t="s">
        <v>1179</v>
      </c>
      <c r="M1429" s="142" t="s">
        <v>1238</v>
      </c>
      <c r="N1429" s="142" t="s">
        <v>1260</v>
      </c>
      <c r="O1429" s="142" t="s">
        <v>1261</v>
      </c>
      <c r="P1429" s="65"/>
      <c r="Q1429" s="65"/>
      <c r="R1429" s="65"/>
      <c r="S1429" s="142" t="s">
        <v>1240</v>
      </c>
      <c r="T1429" s="65"/>
      <c r="U1429" s="142" t="s">
        <v>1241</v>
      </c>
      <c r="V1429" s="65"/>
      <c r="W1429" s="142" t="s">
        <v>1111</v>
      </c>
    </row>
    <row r="1430" spans="9:23" ht="12" hidden="1" customHeight="1" outlineLevel="1">
      <c r="I1430" s="65"/>
      <c r="J1430" s="77"/>
      <c r="K1430" s="65"/>
      <c r="L1430" s="107"/>
      <c r="M1430" s="78"/>
      <c r="N1430" s="107"/>
      <c r="O1430" s="78"/>
      <c r="P1430" s="65"/>
      <c r="Q1430" s="65"/>
      <c r="R1430" s="65"/>
      <c r="S1430" s="110"/>
      <c r="T1430" s="65"/>
      <c r="U1430" s="117">
        <f t="shared" ref="U1430" si="860">L1430*N1430*S1430</f>
        <v>0</v>
      </c>
      <c r="V1430" s="65"/>
      <c r="W1430" s="202"/>
    </row>
    <row r="1431" spans="9:23" ht="12" hidden="1" customHeight="1" outlineLevel="1">
      <c r="I1431" s="65"/>
      <c r="J1431" s="77"/>
      <c r="K1431" s="65"/>
      <c r="L1431" s="107"/>
      <c r="M1431" s="78"/>
      <c r="N1431" s="107"/>
      <c r="O1431" s="78"/>
      <c r="P1431" s="65"/>
      <c r="Q1431" s="65"/>
      <c r="R1431" s="65"/>
      <c r="S1431" s="110"/>
      <c r="T1431" s="65"/>
      <c r="U1431" s="117">
        <f t="shared" ref="U1431:U1432" si="861">L1431*N1431*S1431</f>
        <v>0</v>
      </c>
      <c r="V1431" s="65"/>
      <c r="W1431" s="202"/>
    </row>
    <row r="1432" spans="9:23" ht="12" hidden="1" customHeight="1" outlineLevel="1">
      <c r="I1432" s="65"/>
      <c r="J1432" s="77"/>
      <c r="K1432" s="65"/>
      <c r="L1432" s="107"/>
      <c r="M1432" s="78"/>
      <c r="N1432" s="107"/>
      <c r="O1432" s="78"/>
      <c r="P1432" s="65"/>
      <c r="Q1432" s="65"/>
      <c r="R1432" s="65"/>
      <c r="S1432" s="110"/>
      <c r="T1432" s="65"/>
      <c r="U1432" s="117">
        <f t="shared" si="861"/>
        <v>0</v>
      </c>
      <c r="V1432" s="65"/>
      <c r="W1432" s="202"/>
    </row>
    <row r="1433" spans="9:23" ht="12" hidden="1" customHeight="1" outlineLevel="1">
      <c r="I1433" s="65"/>
      <c r="J1433" s="65"/>
      <c r="K1433" s="65"/>
      <c r="L1433" s="65"/>
      <c r="M1433" s="65"/>
      <c r="N1433" s="65"/>
      <c r="O1433" s="65"/>
      <c r="P1433" s="65"/>
      <c r="Q1433" s="65"/>
      <c r="R1433" s="65"/>
      <c r="S1433" s="65"/>
      <c r="T1433" s="65"/>
      <c r="U1433" s="65"/>
      <c r="V1433" s="65"/>
      <c r="W1433" s="65"/>
    </row>
    <row r="1434" spans="9:23" ht="24" hidden="1" customHeight="1" outlineLevel="1">
      <c r="I1434" s="65"/>
      <c r="J1434" s="142" t="s">
        <v>28</v>
      </c>
      <c r="K1434" s="65"/>
      <c r="L1434" s="142" t="s">
        <v>1179</v>
      </c>
      <c r="M1434" s="142" t="s">
        <v>1238</v>
      </c>
      <c r="N1434" s="142" t="s">
        <v>1260</v>
      </c>
      <c r="O1434" s="142" t="s">
        <v>1261</v>
      </c>
      <c r="P1434" s="65"/>
      <c r="Q1434" s="65"/>
      <c r="R1434" s="65"/>
      <c r="S1434" s="142" t="s">
        <v>1240</v>
      </c>
      <c r="T1434" s="65"/>
      <c r="U1434" s="142" t="s">
        <v>1241</v>
      </c>
      <c r="V1434" s="65"/>
      <c r="W1434" s="142" t="s">
        <v>1111</v>
      </c>
    </row>
    <row r="1435" spans="9:23" ht="12" hidden="1" customHeight="1" outlineLevel="1">
      <c r="I1435" s="65"/>
      <c r="J1435" s="77"/>
      <c r="K1435" s="65"/>
      <c r="L1435" s="107"/>
      <c r="M1435" s="78"/>
      <c r="N1435" s="107"/>
      <c r="O1435" s="78"/>
      <c r="P1435" s="65"/>
      <c r="Q1435" s="65"/>
      <c r="R1435" s="65"/>
      <c r="S1435" s="110"/>
      <c r="T1435" s="65"/>
      <c r="U1435" s="117">
        <f t="shared" ref="U1435:U1439" si="862">L1435*N1435*S1435</f>
        <v>0</v>
      </c>
      <c r="V1435" s="65"/>
      <c r="W1435" s="202"/>
    </row>
    <row r="1436" spans="9:23" ht="12" hidden="1" customHeight="1" outlineLevel="1">
      <c r="I1436" s="65"/>
      <c r="J1436" s="77"/>
      <c r="K1436" s="65"/>
      <c r="L1436" s="107"/>
      <c r="M1436" s="78"/>
      <c r="N1436" s="107"/>
      <c r="O1436" s="78"/>
      <c r="P1436" s="65"/>
      <c r="Q1436" s="65"/>
      <c r="R1436" s="65"/>
      <c r="S1436" s="110"/>
      <c r="T1436" s="65"/>
      <c r="U1436" s="117">
        <f t="shared" ref="U1436:U1437" si="863">L1436*N1436*S1436</f>
        <v>0</v>
      </c>
      <c r="V1436" s="65"/>
      <c r="W1436" s="202"/>
    </row>
    <row r="1437" spans="9:23" ht="12" hidden="1" customHeight="1" outlineLevel="1">
      <c r="I1437" s="65"/>
      <c r="J1437" s="77"/>
      <c r="K1437" s="65"/>
      <c r="L1437" s="107"/>
      <c r="M1437" s="78"/>
      <c r="N1437" s="107"/>
      <c r="O1437" s="78"/>
      <c r="P1437" s="65"/>
      <c r="Q1437" s="65"/>
      <c r="R1437" s="65"/>
      <c r="S1437" s="110"/>
      <c r="T1437" s="65"/>
      <c r="U1437" s="117">
        <f t="shared" si="863"/>
        <v>0</v>
      </c>
      <c r="V1437" s="65"/>
      <c r="W1437" s="202"/>
    </row>
    <row r="1438" spans="9:23" ht="12" hidden="1" customHeight="1" outlineLevel="1">
      <c r="I1438" s="65"/>
      <c r="J1438" s="77"/>
      <c r="K1438" s="65"/>
      <c r="L1438" s="107"/>
      <c r="M1438" s="78"/>
      <c r="N1438" s="107"/>
      <c r="O1438" s="78"/>
      <c r="P1438" s="65"/>
      <c r="Q1438" s="65"/>
      <c r="R1438" s="65"/>
      <c r="S1438" s="110"/>
      <c r="T1438" s="65"/>
      <c r="U1438" s="117">
        <f t="shared" si="862"/>
        <v>0</v>
      </c>
      <c r="V1438" s="65"/>
      <c r="W1438" s="202"/>
    </row>
    <row r="1439" spans="9:23" ht="12" hidden="1" customHeight="1" outlineLevel="1">
      <c r="I1439" s="65"/>
      <c r="J1439" s="77"/>
      <c r="K1439" s="65"/>
      <c r="L1439" s="107"/>
      <c r="M1439" s="78"/>
      <c r="N1439" s="107"/>
      <c r="O1439" s="78"/>
      <c r="P1439" s="65"/>
      <c r="Q1439" s="65"/>
      <c r="R1439" s="65"/>
      <c r="S1439" s="110"/>
      <c r="T1439" s="65"/>
      <c r="U1439" s="117">
        <f t="shared" si="862"/>
        <v>0</v>
      </c>
      <c r="V1439" s="65"/>
      <c r="W1439" s="202"/>
    </row>
    <row r="1440" spans="9:23" ht="12" hidden="1" customHeight="1" outlineLevel="1">
      <c r="I1440" s="65"/>
      <c r="J1440" s="65"/>
      <c r="K1440" s="65"/>
      <c r="L1440" s="65"/>
      <c r="M1440" s="65"/>
      <c r="N1440" s="65"/>
      <c r="O1440" s="65"/>
      <c r="P1440" s="65"/>
      <c r="Q1440" s="65"/>
      <c r="R1440" s="65"/>
      <c r="S1440" s="65"/>
      <c r="T1440" s="65"/>
      <c r="U1440" s="65"/>
      <c r="V1440" s="65"/>
      <c r="W1440" s="65"/>
    </row>
    <row r="1441" spans="9:23" ht="24" hidden="1" customHeight="1" outlineLevel="1">
      <c r="I1441" s="65"/>
      <c r="J1441" s="142" t="s">
        <v>1540</v>
      </c>
      <c r="K1441" s="65"/>
      <c r="L1441" s="142" t="s">
        <v>1179</v>
      </c>
      <c r="M1441" s="142" t="s">
        <v>1238</v>
      </c>
      <c r="N1441" s="142" t="s">
        <v>1260</v>
      </c>
      <c r="O1441" s="142" t="s">
        <v>1261</v>
      </c>
      <c r="P1441" s="65"/>
      <c r="Q1441" s="65"/>
      <c r="R1441" s="65"/>
      <c r="S1441" s="142" t="s">
        <v>1240</v>
      </c>
      <c r="T1441" s="65"/>
      <c r="U1441" s="142" t="s">
        <v>1241</v>
      </c>
      <c r="V1441" s="65"/>
      <c r="W1441" s="142" t="s">
        <v>1111</v>
      </c>
    </row>
    <row r="1442" spans="9:23" ht="12" hidden="1" customHeight="1" outlineLevel="1">
      <c r="I1442" s="65"/>
      <c r="J1442" s="77" t="s">
        <v>1541</v>
      </c>
      <c r="K1442" s="65"/>
      <c r="L1442" s="107"/>
      <c r="M1442" s="78" t="s">
        <v>1268</v>
      </c>
      <c r="N1442" s="107">
        <v>1</v>
      </c>
      <c r="O1442" s="78" t="s">
        <v>1269</v>
      </c>
      <c r="P1442" s="65"/>
      <c r="Q1442" s="65"/>
      <c r="R1442" s="65"/>
      <c r="S1442" s="110"/>
      <c r="T1442" s="65"/>
      <c r="U1442" s="117">
        <f t="shared" ref="U1442:U1447" si="864">L1442*N1442*S1442</f>
        <v>0</v>
      </c>
      <c r="V1442" s="65"/>
      <c r="W1442" s="202"/>
    </row>
    <row r="1443" spans="9:23" ht="12" hidden="1" customHeight="1" outlineLevel="1">
      <c r="I1443" s="65"/>
      <c r="J1443" s="77" t="s">
        <v>1542</v>
      </c>
      <c r="K1443" s="65"/>
      <c r="L1443" s="107"/>
      <c r="M1443" s="78" t="s">
        <v>1268</v>
      </c>
      <c r="N1443" s="107">
        <v>1</v>
      </c>
      <c r="O1443" s="78" t="s">
        <v>1269</v>
      </c>
      <c r="P1443" s="65"/>
      <c r="Q1443" s="65"/>
      <c r="R1443" s="65"/>
      <c r="S1443" s="110"/>
      <c r="T1443" s="65"/>
      <c r="U1443" s="117">
        <f t="shared" si="864"/>
        <v>0</v>
      </c>
      <c r="V1443" s="65"/>
      <c r="W1443" s="202"/>
    </row>
    <row r="1444" spans="9:23" ht="12" hidden="1" customHeight="1" outlineLevel="1">
      <c r="I1444" s="65"/>
      <c r="J1444" s="77" t="s">
        <v>1543</v>
      </c>
      <c r="K1444" s="65"/>
      <c r="L1444" s="107"/>
      <c r="M1444" s="78" t="s">
        <v>1543</v>
      </c>
      <c r="N1444" s="107">
        <v>1</v>
      </c>
      <c r="O1444" s="78" t="s">
        <v>1269</v>
      </c>
      <c r="P1444" s="65"/>
      <c r="Q1444" s="65"/>
      <c r="R1444" s="65"/>
      <c r="S1444" s="110"/>
      <c r="T1444" s="65"/>
      <c r="U1444" s="117">
        <f t="shared" si="864"/>
        <v>0</v>
      </c>
      <c r="V1444" s="65"/>
      <c r="W1444" s="202"/>
    </row>
    <row r="1445" spans="9:23" ht="12" hidden="1" customHeight="1" outlineLevel="1">
      <c r="I1445" s="65"/>
      <c r="J1445" s="77" t="s">
        <v>1544</v>
      </c>
      <c r="K1445" s="65"/>
      <c r="L1445" s="107"/>
      <c r="M1445" s="78" t="s">
        <v>1268</v>
      </c>
      <c r="N1445" s="107">
        <v>1</v>
      </c>
      <c r="O1445" s="78" t="s">
        <v>1293</v>
      </c>
      <c r="P1445" s="65"/>
      <c r="Q1445" s="65"/>
      <c r="R1445" s="65"/>
      <c r="S1445" s="110"/>
      <c r="T1445" s="65"/>
      <c r="U1445" s="117">
        <f t="shared" si="864"/>
        <v>0</v>
      </c>
      <c r="V1445" s="65"/>
      <c r="W1445" s="202"/>
    </row>
    <row r="1446" spans="9:23" ht="12" hidden="1" customHeight="1" outlineLevel="1">
      <c r="I1446" s="65"/>
      <c r="J1446" s="77" t="s">
        <v>1545</v>
      </c>
      <c r="K1446" s="65"/>
      <c r="L1446" s="107"/>
      <c r="M1446" s="78" t="s">
        <v>1531</v>
      </c>
      <c r="N1446" s="107">
        <f>Dashboard!$D$14</f>
        <v>10</v>
      </c>
      <c r="O1446" s="78" t="s">
        <v>1263</v>
      </c>
      <c r="P1446" s="65"/>
      <c r="Q1446" s="65"/>
      <c r="R1446" s="65"/>
      <c r="S1446" s="110"/>
      <c r="T1446" s="65"/>
      <c r="U1446" s="117">
        <f t="shared" si="864"/>
        <v>0</v>
      </c>
      <c r="V1446" s="65"/>
      <c r="W1446" s="202"/>
    </row>
    <row r="1447" spans="9:23" ht="12" hidden="1" customHeight="1" outlineLevel="1">
      <c r="I1447" s="65"/>
      <c r="J1447" s="77"/>
      <c r="K1447" s="65"/>
      <c r="L1447" s="107"/>
      <c r="M1447" s="78"/>
      <c r="N1447" s="107"/>
      <c r="O1447" s="78"/>
      <c r="P1447" s="65"/>
      <c r="Q1447" s="65"/>
      <c r="R1447" s="65"/>
      <c r="S1447" s="110"/>
      <c r="T1447" s="65"/>
      <c r="U1447" s="117">
        <f t="shared" si="864"/>
        <v>0</v>
      </c>
      <c r="V1447" s="65"/>
      <c r="W1447" s="202"/>
    </row>
    <row r="1448" spans="9:23" ht="12" hidden="1" customHeight="1" outlineLevel="1">
      <c r="I1448" s="65"/>
      <c r="J1448" s="65"/>
      <c r="K1448" s="65"/>
      <c r="L1448" s="65"/>
      <c r="M1448" s="65"/>
      <c r="N1448" s="65"/>
      <c r="O1448" s="65"/>
      <c r="P1448" s="65"/>
      <c r="Q1448" s="65"/>
      <c r="R1448" s="65"/>
      <c r="S1448" s="65"/>
      <c r="T1448" s="65"/>
      <c r="U1448" s="65"/>
      <c r="V1448" s="65"/>
      <c r="W1448" s="65"/>
    </row>
    <row r="1449" spans="9:23" ht="24" hidden="1" customHeight="1" outlineLevel="1">
      <c r="I1449" s="65"/>
      <c r="J1449" s="142" t="s">
        <v>1546</v>
      </c>
      <c r="K1449" s="65"/>
      <c r="L1449" s="142" t="s">
        <v>1179</v>
      </c>
      <c r="M1449" s="142" t="s">
        <v>1238</v>
      </c>
      <c r="N1449" s="142" t="s">
        <v>1260</v>
      </c>
      <c r="O1449" s="142" t="s">
        <v>1261</v>
      </c>
      <c r="P1449" s="65"/>
      <c r="Q1449" s="65"/>
      <c r="R1449" s="65"/>
      <c r="S1449" s="142" t="s">
        <v>1240</v>
      </c>
      <c r="T1449" s="65"/>
      <c r="U1449" s="142" t="s">
        <v>1241</v>
      </c>
      <c r="V1449" s="65"/>
      <c r="W1449" s="142" t="s">
        <v>1111</v>
      </c>
    </row>
    <row r="1450" spans="9:23" ht="12" hidden="1" customHeight="1" outlineLevel="1">
      <c r="I1450" s="65"/>
      <c r="J1450" s="77" t="s">
        <v>1547</v>
      </c>
      <c r="K1450" s="65"/>
      <c r="L1450" s="107"/>
      <c r="M1450" s="78" t="s">
        <v>1531</v>
      </c>
      <c r="N1450" s="107">
        <f>Dashboard!$D$14</f>
        <v>10</v>
      </c>
      <c r="O1450" s="78" t="s">
        <v>1263</v>
      </c>
      <c r="P1450" s="65"/>
      <c r="Q1450" s="65"/>
      <c r="R1450" s="65"/>
      <c r="S1450" s="110"/>
      <c r="T1450" s="65"/>
      <c r="U1450" s="117">
        <f t="shared" ref="U1450" si="865">L1450*N1450*S1450</f>
        <v>0</v>
      </c>
      <c r="V1450" s="65"/>
      <c r="W1450" s="202"/>
    </row>
    <row r="1451" spans="9:23" ht="12" hidden="1" customHeight="1" outlineLevel="1">
      <c r="I1451" s="65"/>
      <c r="J1451" s="77" t="s">
        <v>1548</v>
      </c>
      <c r="K1451" s="65"/>
      <c r="L1451" s="107"/>
      <c r="M1451" s="78" t="s">
        <v>1549</v>
      </c>
      <c r="N1451" s="107">
        <f>Dashboard!$D$14</f>
        <v>10</v>
      </c>
      <c r="O1451" s="78" t="s">
        <v>1263</v>
      </c>
      <c r="P1451" s="65"/>
      <c r="Q1451" s="65"/>
      <c r="R1451" s="65"/>
      <c r="S1451" s="110">
        <f>20*2*3.5</f>
        <v>140</v>
      </c>
      <c r="T1451" s="65"/>
      <c r="U1451" s="117">
        <f t="shared" ref="U1451:U1458" si="866">L1451*N1451*S1451</f>
        <v>0</v>
      </c>
      <c r="V1451" s="65"/>
      <c r="W1451" s="202"/>
    </row>
    <row r="1452" spans="9:23" ht="11.85" hidden="1" customHeight="1" outlineLevel="1">
      <c r="I1452" s="65"/>
      <c r="J1452" s="77" t="s">
        <v>1550</v>
      </c>
      <c r="K1452" s="65"/>
      <c r="L1452" s="107">
        <f>IFERROR(SUM(Equipamentos!G676:BN676)/N1452,0)</f>
        <v>4.3660000000000005</v>
      </c>
      <c r="M1452" s="78" t="s">
        <v>1551</v>
      </c>
      <c r="N1452" s="107">
        <f>Dashboard!$D$14</f>
        <v>10</v>
      </c>
      <c r="O1452" s="78" t="s">
        <v>1263</v>
      </c>
      <c r="P1452" s="65"/>
      <c r="Q1452" s="65"/>
      <c r="R1452" s="65"/>
      <c r="S1452" s="110">
        <v>90</v>
      </c>
      <c r="T1452" s="65"/>
      <c r="U1452" s="117">
        <f t="shared" si="866"/>
        <v>3929.4000000000005</v>
      </c>
      <c r="V1452" s="65"/>
      <c r="W1452" s="202"/>
    </row>
    <row r="1453" spans="9:23" ht="12" hidden="1" customHeight="1" outlineLevel="1">
      <c r="I1453" s="65"/>
      <c r="J1453" s="77" t="s">
        <v>1552</v>
      </c>
      <c r="K1453" s="65"/>
      <c r="L1453" s="107">
        <f>L704</f>
        <v>0</v>
      </c>
      <c r="M1453" s="78" t="s">
        <v>1551</v>
      </c>
      <c r="N1453" s="107">
        <f>Dashboard!$D$14</f>
        <v>10</v>
      </c>
      <c r="O1453" s="78" t="s">
        <v>1263</v>
      </c>
      <c r="P1453" s="65"/>
      <c r="Q1453" s="65"/>
      <c r="R1453" s="65"/>
      <c r="S1453" s="110">
        <v>300</v>
      </c>
      <c r="T1453" s="65"/>
      <c r="U1453" s="117">
        <f t="shared" ref="U1453:U1456" si="867">L1453*N1453*S1453</f>
        <v>0</v>
      </c>
      <c r="V1453" s="65"/>
      <c r="W1453" s="202"/>
    </row>
    <row r="1454" spans="9:23" ht="12" hidden="1" customHeight="1" outlineLevel="1">
      <c r="I1454" s="65"/>
      <c r="J1454" s="77" t="s">
        <v>1553</v>
      </c>
      <c r="K1454" s="65"/>
      <c r="L1454" s="107">
        <f>L717</f>
        <v>0</v>
      </c>
      <c r="M1454" s="78" t="s">
        <v>1551</v>
      </c>
      <c r="N1454" s="107">
        <f>Dashboard!$D$14</f>
        <v>10</v>
      </c>
      <c r="O1454" s="78" t="s">
        <v>1263</v>
      </c>
      <c r="P1454" s="65"/>
      <c r="Q1454" s="65"/>
      <c r="R1454" s="65"/>
      <c r="S1454" s="110">
        <v>1500</v>
      </c>
      <c r="T1454" s="65"/>
      <c r="U1454" s="117">
        <f t="shared" ref="U1454:U1455" si="868">L1454*N1454*S1454</f>
        <v>0</v>
      </c>
      <c r="V1454" s="65"/>
      <c r="W1454" s="202"/>
    </row>
    <row r="1455" spans="9:23" ht="12" hidden="1" customHeight="1" outlineLevel="1">
      <c r="I1455" s="65"/>
      <c r="J1455" s="77" t="s">
        <v>1554</v>
      </c>
      <c r="K1455" s="65"/>
      <c r="L1455" s="107">
        <f>IF(SUM(U730:U744)&gt;0,1,0)</f>
        <v>0</v>
      </c>
      <c r="M1455" s="78" t="s">
        <v>1551</v>
      </c>
      <c r="N1455" s="107">
        <f>Dashboard!$D$14</f>
        <v>10</v>
      </c>
      <c r="O1455" s="78" t="s">
        <v>1263</v>
      </c>
      <c r="P1455" s="65"/>
      <c r="Q1455" s="65"/>
      <c r="R1455" s="65"/>
      <c r="S1455" s="110">
        <v>5000</v>
      </c>
      <c r="T1455" s="65"/>
      <c r="U1455" s="117">
        <f t="shared" si="868"/>
        <v>0</v>
      </c>
      <c r="V1455" s="65"/>
      <c r="W1455" s="202"/>
    </row>
    <row r="1456" spans="9:23" ht="12" hidden="1" customHeight="1" outlineLevel="1">
      <c r="I1456" s="65"/>
      <c r="J1456" s="77" t="s">
        <v>1555</v>
      </c>
      <c r="K1456" s="65"/>
      <c r="L1456" s="107"/>
      <c r="M1456" s="78" t="s">
        <v>1551</v>
      </c>
      <c r="N1456" s="107">
        <f>Dashboard!$D$14</f>
        <v>10</v>
      </c>
      <c r="O1456" s="78" t="s">
        <v>1263</v>
      </c>
      <c r="P1456" s="65"/>
      <c r="Q1456" s="65"/>
      <c r="R1456" s="65"/>
      <c r="S1456" s="110">
        <v>2500</v>
      </c>
      <c r="T1456" s="65"/>
      <c r="U1456" s="117">
        <f t="shared" si="867"/>
        <v>0</v>
      </c>
      <c r="V1456" s="65"/>
      <c r="W1456" s="202"/>
    </row>
    <row r="1457" spans="9:23" ht="12" hidden="1" customHeight="1" outlineLevel="1">
      <c r="I1457" s="65"/>
      <c r="J1457" s="77" t="s">
        <v>1556</v>
      </c>
      <c r="K1457" s="65"/>
      <c r="L1457" s="107"/>
      <c r="M1457" s="78" t="s">
        <v>1531</v>
      </c>
      <c r="N1457" s="107">
        <f>Dashboard!$D$14</f>
        <v>10</v>
      </c>
      <c r="O1457" s="78" t="s">
        <v>1263</v>
      </c>
      <c r="P1457" s="65"/>
      <c r="Q1457" s="65"/>
      <c r="R1457" s="65"/>
      <c r="S1457" s="110"/>
      <c r="T1457" s="65"/>
      <c r="U1457" s="117">
        <f t="shared" si="866"/>
        <v>0</v>
      </c>
      <c r="V1457" s="65"/>
      <c r="W1457" s="202"/>
    </row>
    <row r="1458" spans="9:23" ht="12" hidden="1" customHeight="1" outlineLevel="1">
      <c r="I1458" s="65"/>
      <c r="J1458" s="77"/>
      <c r="K1458" s="65"/>
      <c r="L1458" s="107"/>
      <c r="M1458" s="78"/>
      <c r="N1458" s="107"/>
      <c r="O1458" s="78"/>
      <c r="P1458" s="65"/>
      <c r="Q1458" s="65"/>
      <c r="R1458" s="65"/>
      <c r="S1458" s="110"/>
      <c r="T1458" s="65"/>
      <c r="U1458" s="117">
        <f t="shared" si="866"/>
        <v>0</v>
      </c>
      <c r="V1458" s="65"/>
      <c r="W1458" s="202"/>
    </row>
    <row r="1459" spans="9:23" ht="12" hidden="1" customHeight="1" outlineLevel="1">
      <c r="I1459" s="65"/>
      <c r="J1459" s="65"/>
      <c r="K1459" s="65"/>
      <c r="L1459" s="65"/>
      <c r="M1459" s="65"/>
      <c r="N1459" s="65"/>
      <c r="O1459" s="65"/>
      <c r="P1459" s="65"/>
      <c r="Q1459" s="65"/>
      <c r="R1459" s="65"/>
      <c r="S1459" s="65"/>
      <c r="T1459" s="65"/>
      <c r="U1459" s="65"/>
      <c r="V1459" s="65"/>
      <c r="W1459" s="65"/>
    </row>
    <row r="1460" spans="9:23" s="196" customFormat="1" ht="24" customHeight="1" collapsed="1">
      <c r="I1460" s="189"/>
      <c r="J1460" s="185" t="s">
        <v>85</v>
      </c>
      <c r="K1460" s="190"/>
      <c r="L1460" s="190"/>
      <c r="M1460" s="190"/>
      <c r="N1460" s="190"/>
      <c r="O1460" s="190"/>
      <c r="P1460" s="190"/>
      <c r="Q1460" s="190"/>
      <c r="R1460" s="190"/>
      <c r="S1460" s="191"/>
      <c r="T1460" s="192">
        <f>IFERROR(U1460/$U$2,0)</f>
        <v>0</v>
      </c>
      <c r="U1460" s="193">
        <f>SUM(U1462:U1472)</f>
        <v>0</v>
      </c>
      <c r="V1460" s="190"/>
      <c r="W1460" s="194"/>
    </row>
    <row r="1461" spans="9:23" ht="12" hidden="1" customHeight="1" outlineLevel="1">
      <c r="I1461" s="65"/>
      <c r="J1461" s="65"/>
      <c r="K1461" s="65"/>
      <c r="L1461" s="65"/>
      <c r="M1461" s="65"/>
      <c r="N1461" s="65"/>
      <c r="O1461" s="65"/>
      <c r="P1461" s="65"/>
      <c r="Q1461" s="65"/>
      <c r="R1461" s="65"/>
      <c r="S1461" s="65"/>
      <c r="T1461" s="65"/>
      <c r="U1461" s="65"/>
      <c r="V1461" s="65"/>
      <c r="W1461" s="65"/>
    </row>
    <row r="1462" spans="9:23" ht="24" hidden="1" customHeight="1" outlineLevel="1">
      <c r="I1462" s="65"/>
      <c r="J1462" s="142" t="s">
        <v>85</v>
      </c>
      <c r="K1462" s="65"/>
      <c r="L1462" s="142" t="s">
        <v>1179</v>
      </c>
      <c r="M1462" s="142" t="s">
        <v>1238</v>
      </c>
      <c r="N1462" s="142" t="s">
        <v>1260</v>
      </c>
      <c r="O1462" s="142" t="s">
        <v>1261</v>
      </c>
      <c r="P1462" s="65"/>
      <c r="Q1462" s="65"/>
      <c r="R1462" s="65"/>
      <c r="S1462" s="142" t="s">
        <v>1240</v>
      </c>
      <c r="T1462" s="65"/>
      <c r="U1462" s="142" t="s">
        <v>1241</v>
      </c>
      <c r="V1462" s="65"/>
      <c r="W1462" s="142" t="s">
        <v>1111</v>
      </c>
    </row>
    <row r="1463" spans="9:23" ht="12" hidden="1" customHeight="1" outlineLevel="1">
      <c r="I1463" s="65"/>
      <c r="J1463" s="77"/>
      <c r="K1463" s="65"/>
      <c r="L1463" s="107"/>
      <c r="M1463" s="78"/>
      <c r="N1463" s="107"/>
      <c r="O1463" s="78"/>
      <c r="P1463" s="65"/>
      <c r="Q1463" s="65"/>
      <c r="R1463" s="65"/>
      <c r="S1463" s="110"/>
      <c r="T1463" s="65"/>
      <c r="U1463" s="117">
        <f t="shared" ref="U1463:U1470" si="869">L1463*N1463*S1463</f>
        <v>0</v>
      </c>
      <c r="V1463" s="65"/>
      <c r="W1463" s="202"/>
    </row>
    <row r="1464" spans="9:23" ht="12" hidden="1" customHeight="1" outlineLevel="1">
      <c r="I1464" s="65"/>
      <c r="J1464" s="77"/>
      <c r="K1464" s="65"/>
      <c r="L1464" s="107"/>
      <c r="M1464" s="78"/>
      <c r="N1464" s="107"/>
      <c r="O1464" s="78"/>
      <c r="P1464" s="65"/>
      <c r="Q1464" s="65"/>
      <c r="R1464" s="65"/>
      <c r="S1464" s="110"/>
      <c r="T1464" s="65"/>
      <c r="U1464" s="117">
        <f t="shared" si="869"/>
        <v>0</v>
      </c>
      <c r="V1464" s="65"/>
      <c r="W1464" s="202"/>
    </row>
    <row r="1465" spans="9:23" ht="12" hidden="1" customHeight="1" outlineLevel="1">
      <c r="I1465" s="65"/>
      <c r="J1465" s="77"/>
      <c r="K1465" s="65"/>
      <c r="L1465" s="107"/>
      <c r="M1465" s="78"/>
      <c r="N1465" s="107"/>
      <c r="O1465" s="78"/>
      <c r="P1465" s="65"/>
      <c r="Q1465" s="65"/>
      <c r="R1465" s="65"/>
      <c r="S1465" s="110"/>
      <c r="T1465" s="65"/>
      <c r="U1465" s="117">
        <f t="shared" si="869"/>
        <v>0</v>
      </c>
      <c r="V1465" s="65"/>
      <c r="W1465" s="202"/>
    </row>
    <row r="1466" spans="9:23" ht="12" hidden="1" customHeight="1" outlineLevel="1">
      <c r="I1466" s="65"/>
      <c r="J1466" s="77"/>
      <c r="K1466" s="65"/>
      <c r="L1466" s="107"/>
      <c r="M1466" s="78"/>
      <c r="N1466" s="107"/>
      <c r="O1466" s="78"/>
      <c r="P1466" s="65"/>
      <c r="Q1466" s="65"/>
      <c r="R1466" s="65"/>
      <c r="S1466" s="110"/>
      <c r="T1466" s="65"/>
      <c r="U1466" s="117">
        <f t="shared" si="869"/>
        <v>0</v>
      </c>
      <c r="V1466" s="65"/>
      <c r="W1466" s="202"/>
    </row>
    <row r="1467" spans="9:23" ht="12" hidden="1" customHeight="1" outlineLevel="1">
      <c r="I1467" s="65"/>
      <c r="J1467" s="77"/>
      <c r="K1467" s="65"/>
      <c r="L1467" s="107"/>
      <c r="M1467" s="78"/>
      <c r="N1467" s="107"/>
      <c r="O1467" s="78"/>
      <c r="P1467" s="65"/>
      <c r="Q1467" s="65"/>
      <c r="R1467" s="65"/>
      <c r="S1467" s="110"/>
      <c r="T1467" s="65"/>
      <c r="U1467" s="117">
        <f t="shared" si="869"/>
        <v>0</v>
      </c>
      <c r="V1467" s="65"/>
      <c r="W1467" s="202"/>
    </row>
    <row r="1468" spans="9:23" ht="12" hidden="1" customHeight="1" outlineLevel="1">
      <c r="I1468" s="65"/>
      <c r="J1468" s="77"/>
      <c r="K1468" s="65"/>
      <c r="L1468" s="107"/>
      <c r="M1468" s="78"/>
      <c r="N1468" s="107"/>
      <c r="O1468" s="78"/>
      <c r="P1468" s="65"/>
      <c r="Q1468" s="65"/>
      <c r="R1468" s="65"/>
      <c r="S1468" s="110"/>
      <c r="T1468" s="65"/>
      <c r="U1468" s="117">
        <f t="shared" si="869"/>
        <v>0</v>
      </c>
      <c r="V1468" s="65"/>
      <c r="W1468" s="202"/>
    </row>
    <row r="1469" spans="9:23" ht="12" hidden="1" customHeight="1" outlineLevel="1">
      <c r="I1469" s="65"/>
      <c r="J1469" s="77"/>
      <c r="K1469" s="65"/>
      <c r="L1469" s="107"/>
      <c r="M1469" s="78"/>
      <c r="N1469" s="107"/>
      <c r="O1469" s="78"/>
      <c r="P1469" s="65"/>
      <c r="Q1469" s="65"/>
      <c r="R1469" s="65"/>
      <c r="S1469" s="110"/>
      <c r="T1469" s="65"/>
      <c r="U1469" s="117">
        <f t="shared" si="869"/>
        <v>0</v>
      </c>
      <c r="V1469" s="65"/>
      <c r="W1469" s="202"/>
    </row>
    <row r="1470" spans="9:23" ht="12" hidden="1" customHeight="1" outlineLevel="1">
      <c r="I1470" s="65"/>
      <c r="J1470" s="77"/>
      <c r="K1470" s="65"/>
      <c r="L1470" s="107"/>
      <c r="M1470" s="78"/>
      <c r="N1470" s="107"/>
      <c r="O1470" s="78"/>
      <c r="P1470" s="65"/>
      <c r="Q1470" s="65"/>
      <c r="R1470" s="65"/>
      <c r="S1470" s="110"/>
      <c r="T1470" s="65"/>
      <c r="U1470" s="117">
        <f t="shared" si="869"/>
        <v>0</v>
      </c>
      <c r="V1470" s="65"/>
      <c r="W1470" s="202"/>
    </row>
    <row r="1471" spans="9:23" ht="12" hidden="1" customHeight="1" outlineLevel="1">
      <c r="I1471" s="65"/>
      <c r="J1471" s="77"/>
      <c r="K1471" s="65"/>
      <c r="L1471" s="107"/>
      <c r="M1471" s="78"/>
      <c r="N1471" s="107"/>
      <c r="O1471" s="78"/>
      <c r="P1471" s="65"/>
      <c r="Q1471" s="65"/>
      <c r="R1471" s="65"/>
      <c r="S1471" s="110"/>
      <c r="T1471" s="65"/>
      <c r="U1471" s="117">
        <f t="shared" ref="U1471:U1472" si="870">L1471*N1471*S1471</f>
        <v>0</v>
      </c>
      <c r="V1471" s="65"/>
      <c r="W1471" s="202"/>
    </row>
    <row r="1472" spans="9:23" ht="12" hidden="1" customHeight="1" outlineLevel="1">
      <c r="I1472" s="65"/>
      <c r="J1472" s="77"/>
      <c r="K1472" s="65"/>
      <c r="L1472" s="107"/>
      <c r="M1472" s="78"/>
      <c r="N1472" s="107"/>
      <c r="O1472" s="78"/>
      <c r="P1472" s="65"/>
      <c r="Q1472" s="65"/>
      <c r="R1472" s="65"/>
      <c r="S1472" s="110"/>
      <c r="T1472" s="65"/>
      <c r="U1472" s="117">
        <f t="shared" si="870"/>
        <v>0</v>
      </c>
      <c r="V1472" s="65"/>
      <c r="W1472" s="202"/>
    </row>
    <row r="1473" spans="9:23" ht="12" hidden="1" customHeight="1" outlineLevel="1">
      <c r="I1473" s="65"/>
      <c r="J1473" s="65"/>
      <c r="K1473" s="65"/>
      <c r="L1473" s="65"/>
      <c r="M1473" s="65"/>
      <c r="N1473" s="65"/>
      <c r="O1473" s="65"/>
      <c r="P1473" s="65"/>
      <c r="Q1473" s="65"/>
      <c r="R1473" s="65"/>
      <c r="S1473" s="65"/>
      <c r="T1473" s="65"/>
      <c r="U1473" s="65"/>
      <c r="V1473" s="65"/>
      <c r="W1473" s="65"/>
    </row>
    <row r="1474" spans="9:23" s="196" customFormat="1" ht="24" customHeight="1" collapsed="1">
      <c r="I1474" s="189"/>
      <c r="J1474" s="185" t="s">
        <v>87</v>
      </c>
      <c r="K1474" s="190"/>
      <c r="L1474" s="190"/>
      <c r="M1474" s="190"/>
      <c r="N1474" s="190"/>
      <c r="O1474" s="190"/>
      <c r="P1474" s="190"/>
      <c r="Q1474" s="190"/>
      <c r="R1474" s="190"/>
      <c r="S1474" s="191"/>
      <c r="T1474" s="192">
        <f>IFERROR(U1474/$U$2,0)</f>
        <v>9.7246010722778413E-4</v>
      </c>
      <c r="U1474" s="193">
        <f>SUM(U1476:U1541)</f>
        <v>850</v>
      </c>
      <c r="V1474" s="190"/>
      <c r="W1474" s="194"/>
    </row>
    <row r="1475" spans="9:23" ht="12" hidden="1" customHeight="1" outlineLevel="1">
      <c r="I1475" s="65"/>
      <c r="J1475" s="65"/>
      <c r="K1475" s="65"/>
      <c r="L1475" s="65"/>
      <c r="M1475" s="65"/>
      <c r="N1475" s="65"/>
      <c r="O1475" s="65"/>
      <c r="P1475" s="65"/>
      <c r="Q1475" s="65"/>
      <c r="R1475" s="65"/>
      <c r="S1475" s="65"/>
      <c r="T1475" s="65"/>
      <c r="U1475" s="65"/>
      <c r="V1475" s="65"/>
      <c r="W1475" s="65"/>
    </row>
    <row r="1476" spans="9:23" ht="24" hidden="1" customHeight="1" outlineLevel="1">
      <c r="I1476" s="65"/>
      <c r="J1476" s="142" t="s">
        <v>87</v>
      </c>
      <c r="K1476" s="65"/>
      <c r="L1476" s="142" t="s">
        <v>1179</v>
      </c>
      <c r="M1476" s="142" t="s">
        <v>1238</v>
      </c>
      <c r="N1476" s="142" t="s">
        <v>1260</v>
      </c>
      <c r="O1476" s="142" t="s">
        <v>1261</v>
      </c>
      <c r="P1476" s="65"/>
      <c r="Q1476" s="65"/>
      <c r="R1476" s="65"/>
      <c r="S1476" s="142" t="s">
        <v>1240</v>
      </c>
      <c r="T1476" s="65"/>
      <c r="U1476" s="142" t="s">
        <v>1241</v>
      </c>
      <c r="V1476" s="65"/>
      <c r="W1476" s="142" t="s">
        <v>1111</v>
      </c>
    </row>
    <row r="1477" spans="9:23" ht="12" hidden="1" customHeight="1" outlineLevel="1">
      <c r="I1477" s="65"/>
      <c r="J1477" s="77" t="s">
        <v>1557</v>
      </c>
      <c r="K1477" s="65"/>
      <c r="L1477" s="107">
        <f>SUM(L747:L751)</f>
        <v>0</v>
      </c>
      <c r="M1477" s="78" t="s">
        <v>1268</v>
      </c>
      <c r="N1477" s="107">
        <v>1</v>
      </c>
      <c r="O1477" s="78" t="s">
        <v>1269</v>
      </c>
      <c r="P1477" s="65"/>
      <c r="Q1477" s="65"/>
      <c r="R1477" s="65"/>
      <c r="S1477" s="110">
        <v>1000</v>
      </c>
      <c r="T1477" s="65"/>
      <c r="U1477" s="117">
        <f t="shared" ref="U1477" si="871">L1477*N1477*S1477</f>
        <v>0</v>
      </c>
      <c r="V1477" s="65"/>
      <c r="W1477" s="202"/>
    </row>
    <row r="1478" spans="9:23" ht="12" hidden="1" customHeight="1" outlineLevel="1">
      <c r="I1478" s="65"/>
      <c r="J1478" s="77" t="s">
        <v>1558</v>
      </c>
      <c r="K1478" s="65"/>
      <c r="L1478" s="107">
        <f>L752</f>
        <v>0</v>
      </c>
      <c r="M1478" s="78" t="s">
        <v>1268</v>
      </c>
      <c r="N1478" s="107">
        <v>1</v>
      </c>
      <c r="O1478" s="78" t="s">
        <v>1269</v>
      </c>
      <c r="P1478" s="65"/>
      <c r="Q1478" s="65"/>
      <c r="R1478" s="65"/>
      <c r="S1478" s="110">
        <v>3500</v>
      </c>
      <c r="T1478" s="65"/>
      <c r="U1478" s="117">
        <f t="shared" ref="U1478:U1481" si="872">L1478*N1478*S1478</f>
        <v>0</v>
      </c>
      <c r="V1478" s="65"/>
      <c r="W1478" s="202"/>
    </row>
    <row r="1479" spans="9:23" ht="12" hidden="1" customHeight="1" outlineLevel="1">
      <c r="I1479" s="65"/>
      <c r="J1479" s="77" t="s">
        <v>1559</v>
      </c>
      <c r="K1479" s="65"/>
      <c r="L1479" s="107">
        <f>IF(SUM(U792:U813)&gt;0,1,0)</f>
        <v>0</v>
      </c>
      <c r="M1479" s="78" t="s">
        <v>1268</v>
      </c>
      <c r="N1479" s="107">
        <v>1</v>
      </c>
      <c r="O1479" s="78" t="s">
        <v>1269</v>
      </c>
      <c r="P1479" s="65"/>
      <c r="Q1479" s="65"/>
      <c r="R1479" s="65"/>
      <c r="S1479" s="110">
        <v>1000</v>
      </c>
      <c r="T1479" s="65"/>
      <c r="U1479" s="117">
        <f t="shared" si="872"/>
        <v>0</v>
      </c>
      <c r="V1479" s="65"/>
      <c r="W1479" s="202"/>
    </row>
    <row r="1480" spans="9:23" ht="12" hidden="1" customHeight="1" outlineLevel="1">
      <c r="I1480" s="65"/>
      <c r="J1480" s="77" t="s">
        <v>1560</v>
      </c>
      <c r="K1480" s="65"/>
      <c r="L1480" s="107">
        <v>1</v>
      </c>
      <c r="M1480" s="78" t="s">
        <v>1268</v>
      </c>
      <c r="N1480" s="107">
        <v>1</v>
      </c>
      <c r="O1480" s="78" t="s">
        <v>1269</v>
      </c>
      <c r="P1480" s="65"/>
      <c r="Q1480" s="65"/>
      <c r="R1480" s="65"/>
      <c r="S1480" s="110">
        <f>ROUND(0.025*U986,2)</f>
        <v>50</v>
      </c>
      <c r="T1480" s="65"/>
      <c r="U1480" s="117">
        <f t="shared" si="872"/>
        <v>50</v>
      </c>
      <c r="V1480" s="65"/>
      <c r="W1480" s="202"/>
    </row>
    <row r="1481" spans="9:23" ht="12" hidden="1" customHeight="1" outlineLevel="1">
      <c r="I1481" s="65"/>
      <c r="J1481" s="77" t="s">
        <v>1561</v>
      </c>
      <c r="K1481" s="65"/>
      <c r="L1481" s="107">
        <f>IF(U1191&gt;0,1,0)</f>
        <v>1</v>
      </c>
      <c r="M1481" s="78" t="s">
        <v>1268</v>
      </c>
      <c r="N1481" s="107">
        <v>1</v>
      </c>
      <c r="O1481" s="78" t="s">
        <v>1269</v>
      </c>
      <c r="P1481" s="65"/>
      <c r="Q1481" s="65"/>
      <c r="R1481" s="65"/>
      <c r="S1481" s="110">
        <v>800</v>
      </c>
      <c r="T1481" s="65"/>
      <c r="U1481" s="117">
        <f t="shared" si="872"/>
        <v>800</v>
      </c>
      <c r="V1481" s="65"/>
      <c r="W1481" s="202"/>
    </row>
    <row r="1482" spans="9:23" ht="12" hidden="1" customHeight="1" outlineLevel="1">
      <c r="I1482" s="65"/>
      <c r="J1482" s="77" t="str">
        <f t="shared" ref="J1482:J1513" si="873">"Mob. e Desmob. - "&amp;J1249</f>
        <v>Mob. e Desmob. - Ambulância</v>
      </c>
      <c r="K1482" s="65"/>
      <c r="L1482" s="107">
        <f>IFERROR(LARGE(Equipamentos!G713:BN713,1),0)</f>
        <v>0</v>
      </c>
      <c r="M1482" s="78" t="s">
        <v>1004</v>
      </c>
      <c r="N1482" s="107">
        <v>1</v>
      </c>
      <c r="O1482" s="78" t="s">
        <v>1562</v>
      </c>
      <c r="P1482" s="65"/>
      <c r="Q1482" s="65"/>
      <c r="R1482" s="65"/>
      <c r="S1482" s="110">
        <v>1000</v>
      </c>
      <c r="T1482" s="65"/>
      <c r="U1482" s="117">
        <f t="shared" ref="U1482:U1541" si="874">L1482*N1482*S1482</f>
        <v>0</v>
      </c>
      <c r="V1482" s="65"/>
      <c r="W1482" s="202"/>
    </row>
    <row r="1483" spans="9:23" ht="12" hidden="1" customHeight="1" outlineLevel="1">
      <c r="I1483" s="65"/>
      <c r="J1483" s="77" t="str">
        <f t="shared" si="873"/>
        <v>Mob. e Desmob. - Caminhão comboio</v>
      </c>
      <c r="K1483" s="65"/>
      <c r="L1483" s="107">
        <f>IFERROR(LARGE(Equipamentos!G714:BN714,1),0)</f>
        <v>0</v>
      </c>
      <c r="M1483" s="78" t="s">
        <v>1004</v>
      </c>
      <c r="N1483" s="107">
        <v>1</v>
      </c>
      <c r="O1483" s="78" t="s">
        <v>1562</v>
      </c>
      <c r="P1483" s="65"/>
      <c r="Q1483" s="65"/>
      <c r="R1483" s="65"/>
      <c r="S1483" s="110">
        <v>2000</v>
      </c>
      <c r="T1483" s="65"/>
      <c r="U1483" s="117">
        <f t="shared" si="874"/>
        <v>0</v>
      </c>
      <c r="V1483" s="65"/>
      <c r="W1483" s="202"/>
    </row>
    <row r="1484" spans="9:23" ht="12" hidden="1" customHeight="1" outlineLevel="1">
      <c r="I1484" s="65"/>
      <c r="J1484" s="77" t="str">
        <f t="shared" si="873"/>
        <v>Mob. e Desmob. - Carreta prancha</v>
      </c>
      <c r="K1484" s="65"/>
      <c r="L1484" s="107">
        <f>IFERROR(LARGE(Equipamentos!G715:BN715,1),0)</f>
        <v>0</v>
      </c>
      <c r="M1484" s="78" t="s">
        <v>1004</v>
      </c>
      <c r="N1484" s="107">
        <v>1</v>
      </c>
      <c r="O1484" s="78" t="s">
        <v>1562</v>
      </c>
      <c r="P1484" s="65"/>
      <c r="Q1484" s="65"/>
      <c r="R1484" s="65"/>
      <c r="S1484" s="110">
        <v>2500</v>
      </c>
      <c r="T1484" s="65"/>
      <c r="U1484" s="117">
        <f t="shared" si="874"/>
        <v>0</v>
      </c>
      <c r="V1484" s="65"/>
      <c r="W1484" s="202"/>
    </row>
    <row r="1485" spans="9:23" ht="12" hidden="1" customHeight="1" outlineLevel="1">
      <c r="I1485" s="65"/>
      <c r="J1485" s="77" t="str">
        <f t="shared" si="873"/>
        <v>Mob. e Desmob. - Caminhão truck</v>
      </c>
      <c r="K1485" s="65"/>
      <c r="L1485" s="107">
        <f>IFERROR(LARGE(Equipamentos!G716:BN716,1),0)</f>
        <v>0</v>
      </c>
      <c r="M1485" s="78" t="s">
        <v>1004</v>
      </c>
      <c r="N1485" s="107">
        <v>1</v>
      </c>
      <c r="O1485" s="78" t="s">
        <v>1562</v>
      </c>
      <c r="P1485" s="65"/>
      <c r="Q1485" s="65"/>
      <c r="R1485" s="65"/>
      <c r="S1485" s="110">
        <v>2000</v>
      </c>
      <c r="T1485" s="65"/>
      <c r="U1485" s="117">
        <f t="shared" si="874"/>
        <v>0</v>
      </c>
      <c r="V1485" s="65"/>
      <c r="W1485" s="202"/>
    </row>
    <row r="1486" spans="9:23" ht="12" hidden="1" customHeight="1" outlineLevel="1">
      <c r="I1486" s="65"/>
      <c r="J1486" s="77" t="str">
        <f t="shared" si="873"/>
        <v>Mob. e Desmob. - Caminhão munck 10 Ton</v>
      </c>
      <c r="K1486" s="65"/>
      <c r="L1486" s="107">
        <f>IFERROR(LARGE(Equipamentos!G717:BN717,1),0)</f>
        <v>0</v>
      </c>
      <c r="M1486" s="78" t="s">
        <v>1004</v>
      </c>
      <c r="N1486" s="107">
        <v>1</v>
      </c>
      <c r="O1486" s="78" t="s">
        <v>1562</v>
      </c>
      <c r="P1486" s="65"/>
      <c r="Q1486" s="65"/>
      <c r="R1486" s="65"/>
      <c r="S1486" s="110">
        <v>2000</v>
      </c>
      <c r="T1486" s="65"/>
      <c r="U1486" s="117">
        <f t="shared" si="874"/>
        <v>0</v>
      </c>
      <c r="V1486" s="65"/>
      <c r="W1486" s="202"/>
    </row>
    <row r="1487" spans="9:23" ht="12" hidden="1" customHeight="1" outlineLevel="1">
      <c r="I1487" s="65"/>
      <c r="J1487" s="77" t="str">
        <f t="shared" si="873"/>
        <v>Mob. e Desmob. - Caminhão munck 15 Ton</v>
      </c>
      <c r="K1487" s="65"/>
      <c r="L1487" s="107">
        <f>IFERROR(LARGE(Equipamentos!G718:BN718,1),0)</f>
        <v>0</v>
      </c>
      <c r="M1487" s="78" t="s">
        <v>1004</v>
      </c>
      <c r="N1487" s="107">
        <v>1</v>
      </c>
      <c r="O1487" s="78" t="s">
        <v>1562</v>
      </c>
      <c r="P1487" s="65"/>
      <c r="Q1487" s="65"/>
      <c r="R1487" s="65"/>
      <c r="S1487" s="110">
        <v>2000</v>
      </c>
      <c r="T1487" s="65"/>
      <c r="U1487" s="117">
        <f t="shared" si="874"/>
        <v>0</v>
      </c>
      <c r="V1487" s="65"/>
      <c r="W1487" s="202"/>
    </row>
    <row r="1488" spans="9:23" ht="12" hidden="1" customHeight="1" outlineLevel="1">
      <c r="I1488" s="65"/>
      <c r="J1488" s="77" t="str">
        <f t="shared" si="873"/>
        <v>Mob. e Desmob. - Caminhão munck 20 Ton</v>
      </c>
      <c r="K1488" s="65"/>
      <c r="L1488" s="107">
        <f>IFERROR(LARGE(Equipamentos!G719:BN719,1),0)</f>
        <v>0</v>
      </c>
      <c r="M1488" s="78" t="s">
        <v>1004</v>
      </c>
      <c r="N1488" s="107">
        <v>1</v>
      </c>
      <c r="O1488" s="78" t="s">
        <v>1562</v>
      </c>
      <c r="P1488" s="65"/>
      <c r="Q1488" s="65"/>
      <c r="R1488" s="65"/>
      <c r="S1488" s="110">
        <v>2000</v>
      </c>
      <c r="T1488" s="65"/>
      <c r="U1488" s="117">
        <f t="shared" si="874"/>
        <v>0</v>
      </c>
      <c r="V1488" s="65"/>
      <c r="W1488" s="202"/>
    </row>
    <row r="1489" spans="9:23" ht="12" hidden="1" customHeight="1" outlineLevel="1">
      <c r="I1489" s="65"/>
      <c r="J1489" s="77" t="str">
        <f t="shared" si="873"/>
        <v>Mob. e Desmob. - Caminhão pipa 10m³</v>
      </c>
      <c r="K1489" s="65"/>
      <c r="L1489" s="107">
        <f>IFERROR(LARGE(Equipamentos!G720:BN720,1),0)</f>
        <v>0</v>
      </c>
      <c r="M1489" s="78" t="s">
        <v>1004</v>
      </c>
      <c r="N1489" s="107">
        <v>1</v>
      </c>
      <c r="O1489" s="78" t="s">
        <v>1562</v>
      </c>
      <c r="P1489" s="65"/>
      <c r="Q1489" s="65"/>
      <c r="R1489" s="65"/>
      <c r="S1489" s="110">
        <v>2000</v>
      </c>
      <c r="T1489" s="65"/>
      <c r="U1489" s="117">
        <f t="shared" si="874"/>
        <v>0</v>
      </c>
      <c r="V1489" s="65"/>
      <c r="W1489" s="202"/>
    </row>
    <row r="1490" spans="9:23" ht="12" hidden="1" customHeight="1" outlineLevel="1">
      <c r="I1490" s="65"/>
      <c r="J1490" s="77" t="str">
        <f t="shared" si="873"/>
        <v>Mob. e Desmob. - Empilhadeira 2,5 Ton</v>
      </c>
      <c r="K1490" s="65"/>
      <c r="L1490" s="107">
        <f>IFERROR(LARGE(Equipamentos!G721:BN721,1),0)</f>
        <v>0</v>
      </c>
      <c r="M1490" s="78" t="s">
        <v>1004</v>
      </c>
      <c r="N1490" s="107">
        <v>1</v>
      </c>
      <c r="O1490" s="78" t="s">
        <v>1562</v>
      </c>
      <c r="P1490" s="65"/>
      <c r="Q1490" s="65"/>
      <c r="R1490" s="65"/>
      <c r="S1490" s="110">
        <v>6000</v>
      </c>
      <c r="T1490" s="65"/>
      <c r="U1490" s="117">
        <f t="shared" si="874"/>
        <v>0</v>
      </c>
      <c r="V1490" s="65"/>
      <c r="W1490" s="202"/>
    </row>
    <row r="1491" spans="9:23" ht="12" hidden="1" customHeight="1" outlineLevel="1">
      <c r="I1491" s="65"/>
      <c r="J1491" s="77" t="str">
        <f t="shared" si="873"/>
        <v>Mob. e Desmob. - Empilhadeira 5 Ton</v>
      </c>
      <c r="K1491" s="65"/>
      <c r="L1491" s="107">
        <f>IFERROR(LARGE(Equipamentos!G722:BN722,1),0)</f>
        <v>0</v>
      </c>
      <c r="M1491" s="78" t="s">
        <v>1004</v>
      </c>
      <c r="N1491" s="107">
        <v>1</v>
      </c>
      <c r="O1491" s="78" t="s">
        <v>1562</v>
      </c>
      <c r="P1491" s="65"/>
      <c r="Q1491" s="65"/>
      <c r="R1491" s="65"/>
      <c r="S1491" s="110">
        <v>6000</v>
      </c>
      <c r="T1491" s="65"/>
      <c r="U1491" s="117">
        <f t="shared" si="874"/>
        <v>0</v>
      </c>
      <c r="V1491" s="65"/>
      <c r="W1491" s="202"/>
    </row>
    <row r="1492" spans="9:23" ht="12" hidden="1" customHeight="1" outlineLevel="1">
      <c r="I1492" s="65"/>
      <c r="J1492" s="77" t="str">
        <f t="shared" si="873"/>
        <v>Mob. e Desmob. - Empilhadeira 7 Ton</v>
      </c>
      <c r="K1492" s="65"/>
      <c r="L1492" s="107">
        <f>IFERROR(LARGE(Equipamentos!G723:BN723,1),0)</f>
        <v>0</v>
      </c>
      <c r="M1492" s="78" t="s">
        <v>1004</v>
      </c>
      <c r="N1492" s="107">
        <v>1</v>
      </c>
      <c r="O1492" s="78" t="s">
        <v>1562</v>
      </c>
      <c r="P1492" s="65"/>
      <c r="Q1492" s="65"/>
      <c r="R1492" s="65"/>
      <c r="S1492" s="110">
        <v>6000</v>
      </c>
      <c r="T1492" s="65"/>
      <c r="U1492" s="117">
        <f t="shared" si="874"/>
        <v>0</v>
      </c>
      <c r="V1492" s="65"/>
      <c r="W1492" s="202"/>
    </row>
    <row r="1493" spans="9:23" ht="12" hidden="1" customHeight="1" outlineLevel="1">
      <c r="I1493" s="65"/>
      <c r="J1493" s="77" t="str">
        <f t="shared" si="873"/>
        <v>Mob. e Desmob. - Guindaste telescópico 20 Ton</v>
      </c>
      <c r="K1493" s="65"/>
      <c r="L1493" s="107">
        <f>IFERROR(LARGE(Equipamentos!G724:BN724,1),0)</f>
        <v>0</v>
      </c>
      <c r="M1493" s="78" t="s">
        <v>1004</v>
      </c>
      <c r="N1493" s="107">
        <v>1</v>
      </c>
      <c r="O1493" s="78" t="s">
        <v>1562</v>
      </c>
      <c r="P1493" s="65"/>
      <c r="Q1493" s="65"/>
      <c r="R1493" s="65"/>
      <c r="S1493" s="110">
        <v>5000</v>
      </c>
      <c r="T1493" s="65"/>
      <c r="U1493" s="117">
        <f t="shared" si="874"/>
        <v>0</v>
      </c>
      <c r="V1493" s="65"/>
      <c r="W1493" s="202"/>
    </row>
    <row r="1494" spans="9:23" ht="12" hidden="1" customHeight="1" outlineLevel="1">
      <c r="I1494" s="65"/>
      <c r="J1494" s="77" t="str">
        <f t="shared" si="873"/>
        <v>Mob. e Desmob. - Guindaste telescópico 30 Ton</v>
      </c>
      <c r="K1494" s="65"/>
      <c r="L1494" s="107">
        <f>IFERROR(LARGE(Equipamentos!G725:BN725,1),0)</f>
        <v>0</v>
      </c>
      <c r="M1494" s="78" t="s">
        <v>1004</v>
      </c>
      <c r="N1494" s="107">
        <v>1</v>
      </c>
      <c r="O1494" s="78" t="s">
        <v>1562</v>
      </c>
      <c r="P1494" s="65"/>
      <c r="Q1494" s="65"/>
      <c r="R1494" s="65"/>
      <c r="S1494" s="110">
        <v>5000</v>
      </c>
      <c r="T1494" s="65"/>
      <c r="U1494" s="117">
        <f t="shared" si="874"/>
        <v>0</v>
      </c>
      <c r="V1494" s="65"/>
      <c r="W1494" s="202"/>
    </row>
    <row r="1495" spans="9:23" ht="12" hidden="1" customHeight="1" outlineLevel="1">
      <c r="I1495" s="65"/>
      <c r="J1495" s="77" t="str">
        <f t="shared" si="873"/>
        <v>Mob. e Desmob. - Guindaste telescópico 50 Ton</v>
      </c>
      <c r="K1495" s="65"/>
      <c r="L1495" s="107">
        <f>IFERROR(LARGE(Equipamentos!G726:BN726,1),0)</f>
        <v>0</v>
      </c>
      <c r="M1495" s="78" t="s">
        <v>1004</v>
      </c>
      <c r="N1495" s="107">
        <v>1</v>
      </c>
      <c r="O1495" s="78" t="s">
        <v>1562</v>
      </c>
      <c r="P1495" s="65"/>
      <c r="Q1495" s="65"/>
      <c r="R1495" s="65"/>
      <c r="S1495" s="110">
        <v>5000</v>
      </c>
      <c r="T1495" s="65"/>
      <c r="U1495" s="117">
        <f t="shared" si="874"/>
        <v>0</v>
      </c>
      <c r="V1495" s="65"/>
      <c r="W1495" s="202"/>
    </row>
    <row r="1496" spans="9:23" ht="12" hidden="1" customHeight="1" outlineLevel="1">
      <c r="I1496" s="65"/>
      <c r="J1496" s="77" t="str">
        <f t="shared" si="873"/>
        <v>Mob. e Desmob. - Guindaste telescópico 60 Ton</v>
      </c>
      <c r="K1496" s="65"/>
      <c r="L1496" s="107">
        <f>IFERROR(LARGE(Equipamentos!G727:BN727,1),0)</f>
        <v>0</v>
      </c>
      <c r="M1496" s="78" t="s">
        <v>1004</v>
      </c>
      <c r="N1496" s="107">
        <v>1</v>
      </c>
      <c r="O1496" s="78" t="s">
        <v>1562</v>
      </c>
      <c r="P1496" s="65"/>
      <c r="Q1496" s="65"/>
      <c r="R1496" s="65"/>
      <c r="S1496" s="110">
        <v>12000</v>
      </c>
      <c r="T1496" s="65"/>
      <c r="U1496" s="117">
        <f t="shared" si="874"/>
        <v>0</v>
      </c>
      <c r="V1496" s="65"/>
      <c r="W1496" s="202"/>
    </row>
    <row r="1497" spans="9:23" ht="12" hidden="1" customHeight="1" outlineLevel="1">
      <c r="I1497" s="65"/>
      <c r="J1497" s="77" t="str">
        <f t="shared" si="873"/>
        <v>Mob. e Desmob. - Guindaste telescópico 80 Ton</v>
      </c>
      <c r="K1497" s="65"/>
      <c r="L1497" s="107">
        <f>IFERROR(LARGE(Equipamentos!G728:BN728,1),0)</f>
        <v>0</v>
      </c>
      <c r="M1497" s="78" t="s">
        <v>1004</v>
      </c>
      <c r="N1497" s="107">
        <v>1</v>
      </c>
      <c r="O1497" s="78" t="s">
        <v>1562</v>
      </c>
      <c r="P1497" s="65"/>
      <c r="Q1497" s="65"/>
      <c r="R1497" s="65"/>
      <c r="S1497" s="110">
        <v>12000</v>
      </c>
      <c r="T1497" s="65"/>
      <c r="U1497" s="117">
        <f t="shared" si="874"/>
        <v>0</v>
      </c>
      <c r="V1497" s="65"/>
      <c r="W1497" s="202"/>
    </row>
    <row r="1498" spans="9:23" ht="12" hidden="1" customHeight="1" outlineLevel="1">
      <c r="I1498" s="65"/>
      <c r="J1498" s="77" t="str">
        <f t="shared" si="873"/>
        <v>Mob. e Desmob. - Guindaste telescópico 100 Ton</v>
      </c>
      <c r="K1498" s="65"/>
      <c r="L1498" s="107">
        <f>IFERROR(LARGE(Equipamentos!G729:BN729,1),0)</f>
        <v>0</v>
      </c>
      <c r="M1498" s="78" t="s">
        <v>1004</v>
      </c>
      <c r="N1498" s="107">
        <v>1</v>
      </c>
      <c r="O1498" s="78" t="s">
        <v>1562</v>
      </c>
      <c r="P1498" s="65"/>
      <c r="Q1498" s="65"/>
      <c r="R1498" s="65"/>
      <c r="S1498" s="110">
        <v>12000</v>
      </c>
      <c r="T1498" s="65"/>
      <c r="U1498" s="117">
        <f t="shared" si="874"/>
        <v>0</v>
      </c>
      <c r="V1498" s="65"/>
      <c r="W1498" s="202"/>
    </row>
    <row r="1499" spans="9:23" ht="12" hidden="1" customHeight="1" outlineLevel="1">
      <c r="I1499" s="65"/>
      <c r="J1499" s="77" t="str">
        <f t="shared" si="873"/>
        <v>Mob. e Desmob. - Guindaste telescópico 120 Ton</v>
      </c>
      <c r="K1499" s="65"/>
      <c r="L1499" s="107">
        <f>IFERROR(LARGE(Equipamentos!G730:BN730,1),0)</f>
        <v>0</v>
      </c>
      <c r="M1499" s="78" t="s">
        <v>1004</v>
      </c>
      <c r="N1499" s="107">
        <v>1</v>
      </c>
      <c r="O1499" s="78" t="s">
        <v>1562</v>
      </c>
      <c r="P1499" s="65"/>
      <c r="Q1499" s="65"/>
      <c r="R1499" s="65"/>
      <c r="S1499" s="110">
        <v>12000</v>
      </c>
      <c r="T1499" s="65"/>
      <c r="U1499" s="117">
        <f t="shared" si="874"/>
        <v>0</v>
      </c>
      <c r="V1499" s="65"/>
      <c r="W1499" s="202"/>
    </row>
    <row r="1500" spans="9:23" ht="12" hidden="1" customHeight="1" outlineLevel="1">
      <c r="I1500" s="65"/>
      <c r="J1500" s="77" t="str">
        <f t="shared" si="873"/>
        <v>Mob. e Desmob. - Guindaste telescópico 130 Ton</v>
      </c>
      <c r="K1500" s="65"/>
      <c r="L1500" s="107">
        <f>IFERROR(LARGE(Equipamentos!G731:BN731,1),0)</f>
        <v>0</v>
      </c>
      <c r="M1500" s="78" t="s">
        <v>1004</v>
      </c>
      <c r="N1500" s="107">
        <v>1</v>
      </c>
      <c r="O1500" s="78" t="s">
        <v>1562</v>
      </c>
      <c r="P1500" s="65"/>
      <c r="Q1500" s="65"/>
      <c r="R1500" s="65"/>
      <c r="S1500" s="110">
        <v>12000</v>
      </c>
      <c r="T1500" s="65"/>
      <c r="U1500" s="117">
        <f t="shared" si="874"/>
        <v>0</v>
      </c>
      <c r="V1500" s="65"/>
      <c r="W1500" s="202"/>
    </row>
    <row r="1501" spans="9:23" ht="12" hidden="1" customHeight="1" outlineLevel="1">
      <c r="I1501" s="65"/>
      <c r="J1501" s="77" t="str">
        <f t="shared" si="873"/>
        <v>Mob. e Desmob. - Guindaste telescópico 250 Ton</v>
      </c>
      <c r="K1501" s="65"/>
      <c r="L1501" s="107">
        <f>IFERROR(LARGE(Equipamentos!G732:BN732,1),0)</f>
        <v>0</v>
      </c>
      <c r="M1501" s="78" t="s">
        <v>1004</v>
      </c>
      <c r="N1501" s="107">
        <v>1</v>
      </c>
      <c r="O1501" s="78" t="s">
        <v>1562</v>
      </c>
      <c r="P1501" s="65"/>
      <c r="Q1501" s="65"/>
      <c r="R1501" s="65"/>
      <c r="S1501" s="110">
        <v>36000</v>
      </c>
      <c r="T1501" s="65"/>
      <c r="U1501" s="117">
        <f t="shared" si="874"/>
        <v>0</v>
      </c>
      <c r="V1501" s="65"/>
      <c r="W1501" s="202"/>
    </row>
    <row r="1502" spans="9:23" ht="12" hidden="1" customHeight="1" outlineLevel="1">
      <c r="I1502" s="65"/>
      <c r="J1502" s="77" t="str">
        <f t="shared" si="873"/>
        <v>Mob. e Desmob. - Guindaste telescópico 300 Ton</v>
      </c>
      <c r="K1502" s="65"/>
      <c r="L1502" s="107">
        <f>IFERROR(LARGE(Equipamentos!G733:BN733,1),0)</f>
        <v>0</v>
      </c>
      <c r="M1502" s="78" t="s">
        <v>1004</v>
      </c>
      <c r="N1502" s="107">
        <v>1</v>
      </c>
      <c r="O1502" s="78" t="s">
        <v>1562</v>
      </c>
      <c r="P1502" s="65"/>
      <c r="Q1502" s="65"/>
      <c r="R1502" s="65"/>
      <c r="S1502" s="110">
        <v>45000</v>
      </c>
      <c r="T1502" s="65"/>
      <c r="U1502" s="117">
        <f t="shared" si="874"/>
        <v>0</v>
      </c>
      <c r="V1502" s="65"/>
      <c r="W1502" s="202"/>
    </row>
    <row r="1503" spans="9:23" ht="12" hidden="1" customHeight="1" outlineLevel="1">
      <c r="I1503" s="65"/>
      <c r="J1503" s="77" t="str">
        <f t="shared" si="873"/>
        <v>Mob. e Desmob. - Guindaste telescópico 400 Ton</v>
      </c>
      <c r="K1503" s="65"/>
      <c r="L1503" s="107">
        <f>IFERROR(LARGE(Equipamentos!G734:BN734,1),0)</f>
        <v>0</v>
      </c>
      <c r="M1503" s="78" t="s">
        <v>1004</v>
      </c>
      <c r="N1503" s="107">
        <v>1</v>
      </c>
      <c r="O1503" s="78" t="s">
        <v>1562</v>
      </c>
      <c r="P1503" s="65"/>
      <c r="Q1503" s="65"/>
      <c r="R1503" s="65"/>
      <c r="S1503" s="110">
        <v>90000</v>
      </c>
      <c r="T1503" s="65"/>
      <c r="U1503" s="117">
        <f t="shared" si="874"/>
        <v>0</v>
      </c>
      <c r="V1503" s="65"/>
      <c r="W1503" s="202"/>
    </row>
    <row r="1504" spans="9:23" ht="12" hidden="1" customHeight="1" outlineLevel="1">
      <c r="I1504" s="65"/>
      <c r="J1504" s="77" t="str">
        <f t="shared" si="873"/>
        <v>Mob. e Desmob. - Guindaste telescópico 500 Ton</v>
      </c>
      <c r="K1504" s="65"/>
      <c r="L1504" s="107">
        <f>IFERROR(LARGE(Equipamentos!G735:BN735,1),0)</f>
        <v>0</v>
      </c>
      <c r="M1504" s="78" t="s">
        <v>1004</v>
      </c>
      <c r="N1504" s="107">
        <v>1</v>
      </c>
      <c r="O1504" s="78" t="s">
        <v>1562</v>
      </c>
      <c r="P1504" s="65"/>
      <c r="Q1504" s="65"/>
      <c r="R1504" s="65"/>
      <c r="S1504" s="110">
        <v>100000</v>
      </c>
      <c r="T1504" s="65"/>
      <c r="U1504" s="117">
        <f t="shared" si="874"/>
        <v>0</v>
      </c>
      <c r="V1504" s="65"/>
      <c r="W1504" s="202"/>
    </row>
    <row r="1505" spans="9:23" ht="12" hidden="1" customHeight="1" outlineLevel="1">
      <c r="I1505" s="65"/>
      <c r="J1505" s="77" t="str">
        <f t="shared" si="873"/>
        <v>Mob. e Desmob. - Guindaste treliçado 20 Ton</v>
      </c>
      <c r="K1505" s="65"/>
      <c r="L1505" s="107">
        <f>IFERROR(LARGE(Equipamentos!G736:BN736,1),0)</f>
        <v>0</v>
      </c>
      <c r="M1505" s="78" t="s">
        <v>1004</v>
      </c>
      <c r="N1505" s="107">
        <v>1</v>
      </c>
      <c r="O1505" s="78" t="s">
        <v>1562</v>
      </c>
      <c r="P1505" s="65"/>
      <c r="Q1505" s="65"/>
      <c r="R1505" s="65"/>
      <c r="S1505" s="110">
        <v>3500</v>
      </c>
      <c r="T1505" s="65"/>
      <c r="U1505" s="117">
        <f t="shared" si="874"/>
        <v>0</v>
      </c>
      <c r="V1505" s="65"/>
      <c r="W1505" s="202"/>
    </row>
    <row r="1506" spans="9:23" ht="12" hidden="1" customHeight="1" outlineLevel="1">
      <c r="I1506" s="65"/>
      <c r="J1506" s="77" t="str">
        <f t="shared" si="873"/>
        <v>Mob. e Desmob. - Guindaste treliçado 30 Ton</v>
      </c>
      <c r="K1506" s="65"/>
      <c r="L1506" s="107">
        <f>IFERROR(LARGE(Equipamentos!G737:BN737,1),0)</f>
        <v>0</v>
      </c>
      <c r="M1506" s="78" t="s">
        <v>1004</v>
      </c>
      <c r="N1506" s="107">
        <v>1</v>
      </c>
      <c r="O1506" s="78" t="s">
        <v>1562</v>
      </c>
      <c r="P1506" s="65"/>
      <c r="Q1506" s="65"/>
      <c r="R1506" s="65"/>
      <c r="S1506" s="110">
        <v>3500</v>
      </c>
      <c r="T1506" s="65"/>
      <c r="U1506" s="117">
        <f t="shared" si="874"/>
        <v>0</v>
      </c>
      <c r="V1506" s="65"/>
      <c r="W1506" s="202"/>
    </row>
    <row r="1507" spans="9:23" ht="12" hidden="1" customHeight="1" outlineLevel="1">
      <c r="I1507" s="65"/>
      <c r="J1507" s="77" t="str">
        <f t="shared" si="873"/>
        <v>Mob. e Desmob. - Guindaste treliçado 50 Ton</v>
      </c>
      <c r="K1507" s="65"/>
      <c r="L1507" s="107">
        <f>IFERROR(LARGE(Equipamentos!G738:BN738,1),0)</f>
        <v>0</v>
      </c>
      <c r="M1507" s="78" t="s">
        <v>1004</v>
      </c>
      <c r="N1507" s="107">
        <v>1</v>
      </c>
      <c r="O1507" s="78" t="s">
        <v>1562</v>
      </c>
      <c r="P1507" s="65"/>
      <c r="Q1507" s="65"/>
      <c r="R1507" s="65"/>
      <c r="S1507" s="110">
        <v>3500</v>
      </c>
      <c r="T1507" s="65"/>
      <c r="U1507" s="117">
        <f t="shared" si="874"/>
        <v>0</v>
      </c>
      <c r="V1507" s="65"/>
      <c r="W1507" s="202"/>
    </row>
    <row r="1508" spans="9:23" ht="12" hidden="1" customHeight="1" outlineLevel="1">
      <c r="I1508" s="65"/>
      <c r="J1508" s="77" t="str">
        <f t="shared" si="873"/>
        <v>Mob. e Desmob. - Guindaste treliçado 60 Ton</v>
      </c>
      <c r="K1508" s="65"/>
      <c r="L1508" s="107">
        <f>IFERROR(LARGE(Equipamentos!G739:BN739,1),0)</f>
        <v>0</v>
      </c>
      <c r="M1508" s="78" t="s">
        <v>1004</v>
      </c>
      <c r="N1508" s="107">
        <v>1</v>
      </c>
      <c r="O1508" s="78" t="s">
        <v>1562</v>
      </c>
      <c r="P1508" s="65"/>
      <c r="Q1508" s="65"/>
      <c r="R1508" s="65"/>
      <c r="S1508" s="110">
        <v>3500</v>
      </c>
      <c r="T1508" s="65"/>
      <c r="U1508" s="117">
        <f t="shared" si="874"/>
        <v>0</v>
      </c>
      <c r="V1508" s="65"/>
      <c r="W1508" s="202"/>
    </row>
    <row r="1509" spans="9:23" ht="12" hidden="1" customHeight="1" outlineLevel="1">
      <c r="I1509" s="65"/>
      <c r="J1509" s="77" t="str">
        <f t="shared" si="873"/>
        <v>Mob. e Desmob. - Guindaste treliçado 80 Ton</v>
      </c>
      <c r="K1509" s="65"/>
      <c r="L1509" s="107">
        <f>IFERROR(LARGE(Equipamentos!G740:BN740,1),0)</f>
        <v>0</v>
      </c>
      <c r="M1509" s="78" t="s">
        <v>1004</v>
      </c>
      <c r="N1509" s="107">
        <v>1</v>
      </c>
      <c r="O1509" s="78" t="s">
        <v>1562</v>
      </c>
      <c r="P1509" s="65"/>
      <c r="Q1509" s="65"/>
      <c r="R1509" s="65"/>
      <c r="S1509" s="110">
        <v>3500</v>
      </c>
      <c r="T1509" s="65"/>
      <c r="U1509" s="117">
        <f t="shared" si="874"/>
        <v>0</v>
      </c>
      <c r="V1509" s="65"/>
      <c r="W1509" s="202"/>
    </row>
    <row r="1510" spans="9:23" ht="12" hidden="1" customHeight="1" outlineLevel="1">
      <c r="I1510" s="65"/>
      <c r="J1510" s="77" t="str">
        <f t="shared" si="873"/>
        <v>Mob. e Desmob. - Guindaste treliçado 100 Ton</v>
      </c>
      <c r="K1510" s="65"/>
      <c r="L1510" s="107">
        <f>IFERROR(LARGE(Equipamentos!G741:BN741,1),0)</f>
        <v>0</v>
      </c>
      <c r="M1510" s="78" t="s">
        <v>1004</v>
      </c>
      <c r="N1510" s="107">
        <v>1</v>
      </c>
      <c r="O1510" s="78" t="s">
        <v>1562</v>
      </c>
      <c r="P1510" s="65"/>
      <c r="Q1510" s="65"/>
      <c r="R1510" s="65"/>
      <c r="S1510" s="110">
        <v>3500</v>
      </c>
      <c r="T1510" s="65"/>
      <c r="U1510" s="117">
        <f t="shared" si="874"/>
        <v>0</v>
      </c>
      <c r="V1510" s="65"/>
      <c r="W1510" s="202"/>
    </row>
    <row r="1511" spans="9:23" ht="12" hidden="1" customHeight="1" outlineLevel="1">
      <c r="I1511" s="65"/>
      <c r="J1511" s="77" t="str">
        <f t="shared" si="873"/>
        <v>Mob. e Desmob. - Guindaste treliçado 120 Ton</v>
      </c>
      <c r="K1511" s="65"/>
      <c r="L1511" s="107">
        <f>IFERROR(LARGE(Equipamentos!G742:BN742,1),0)</f>
        <v>0</v>
      </c>
      <c r="M1511" s="78" t="s">
        <v>1004</v>
      </c>
      <c r="N1511" s="107">
        <v>1</v>
      </c>
      <c r="O1511" s="78" t="s">
        <v>1562</v>
      </c>
      <c r="P1511" s="65"/>
      <c r="Q1511" s="65"/>
      <c r="R1511" s="65"/>
      <c r="S1511" s="110">
        <v>3500</v>
      </c>
      <c r="T1511" s="65"/>
      <c r="U1511" s="117">
        <f t="shared" si="874"/>
        <v>0</v>
      </c>
      <c r="V1511" s="65"/>
      <c r="W1511" s="202"/>
    </row>
    <row r="1512" spans="9:23" ht="12" hidden="1" customHeight="1" outlineLevel="1">
      <c r="I1512" s="65"/>
      <c r="J1512" s="77" t="str">
        <f t="shared" si="873"/>
        <v>Mob. e Desmob. - Guindaste treliçado 130 Ton</v>
      </c>
      <c r="K1512" s="65"/>
      <c r="L1512" s="107">
        <f>IFERROR(LARGE(Equipamentos!G743:BN743,1),0)</f>
        <v>0</v>
      </c>
      <c r="M1512" s="78" t="s">
        <v>1004</v>
      </c>
      <c r="N1512" s="107">
        <v>1</v>
      </c>
      <c r="O1512" s="78" t="s">
        <v>1562</v>
      </c>
      <c r="P1512" s="65"/>
      <c r="Q1512" s="65"/>
      <c r="R1512" s="65"/>
      <c r="S1512" s="110">
        <v>3500</v>
      </c>
      <c r="T1512" s="65"/>
      <c r="U1512" s="117">
        <f t="shared" si="874"/>
        <v>0</v>
      </c>
      <c r="V1512" s="65"/>
      <c r="W1512" s="202"/>
    </row>
    <row r="1513" spans="9:23" ht="12" hidden="1" customHeight="1" outlineLevel="1">
      <c r="I1513" s="65"/>
      <c r="J1513" s="77" t="str">
        <f t="shared" si="873"/>
        <v>Mob. e Desmob. - Guindaste treliçado 250 Ton</v>
      </c>
      <c r="K1513" s="65"/>
      <c r="L1513" s="107">
        <f>IFERROR(LARGE(Equipamentos!G744:BN744,1),0)</f>
        <v>0</v>
      </c>
      <c r="M1513" s="78" t="s">
        <v>1004</v>
      </c>
      <c r="N1513" s="107">
        <v>1</v>
      </c>
      <c r="O1513" s="78" t="s">
        <v>1562</v>
      </c>
      <c r="P1513" s="65"/>
      <c r="Q1513" s="65"/>
      <c r="R1513" s="65"/>
      <c r="S1513" s="110">
        <v>3500</v>
      </c>
      <c r="T1513" s="65"/>
      <c r="U1513" s="117">
        <f t="shared" si="874"/>
        <v>0</v>
      </c>
      <c r="V1513" s="65"/>
      <c r="W1513" s="202"/>
    </row>
    <row r="1514" spans="9:23" ht="12" hidden="1" customHeight="1" outlineLevel="1">
      <c r="I1514" s="65"/>
      <c r="J1514" s="77" t="str">
        <f t="shared" ref="J1514:J1541" si="875">"Mob. e Desmob. - "&amp;J1281</f>
        <v>Mob. e Desmob. - Guindaste treliçado 300 Ton</v>
      </c>
      <c r="K1514" s="65"/>
      <c r="L1514" s="107">
        <f>IFERROR(LARGE(Equipamentos!G745:BN745,1),0)</f>
        <v>0</v>
      </c>
      <c r="M1514" s="78" t="s">
        <v>1004</v>
      </c>
      <c r="N1514" s="107">
        <v>1</v>
      </c>
      <c r="O1514" s="78" t="s">
        <v>1562</v>
      </c>
      <c r="P1514" s="65"/>
      <c r="Q1514" s="65"/>
      <c r="R1514" s="65"/>
      <c r="S1514" s="110">
        <v>2000</v>
      </c>
      <c r="T1514" s="65"/>
      <c r="U1514" s="117">
        <f t="shared" si="874"/>
        <v>0</v>
      </c>
      <c r="V1514" s="65"/>
      <c r="W1514" s="202"/>
    </row>
    <row r="1515" spans="9:23" ht="12" hidden="1" customHeight="1" outlineLevel="1">
      <c r="I1515" s="65"/>
      <c r="J1515" s="77" t="str">
        <f t="shared" si="875"/>
        <v>Mob. e Desmob. - Guindaste treliçado 400 Ton</v>
      </c>
      <c r="K1515" s="65"/>
      <c r="L1515" s="107">
        <f>IFERROR(LARGE(Equipamentos!G746:BN746,1),0)</f>
        <v>0</v>
      </c>
      <c r="M1515" s="78" t="s">
        <v>1004</v>
      </c>
      <c r="N1515" s="107">
        <v>1</v>
      </c>
      <c r="O1515" s="78" t="s">
        <v>1562</v>
      </c>
      <c r="P1515" s="65"/>
      <c r="Q1515" s="65"/>
      <c r="R1515" s="65"/>
      <c r="S1515" s="110">
        <v>3000</v>
      </c>
      <c r="T1515" s="65"/>
      <c r="U1515" s="117">
        <f t="shared" si="874"/>
        <v>0</v>
      </c>
      <c r="V1515" s="65"/>
      <c r="W1515" s="202"/>
    </row>
    <row r="1516" spans="9:23" ht="12" hidden="1" customHeight="1" outlineLevel="1">
      <c r="I1516" s="65"/>
      <c r="J1516" s="77" t="str">
        <f t="shared" si="875"/>
        <v>Mob. e Desmob. - Guindaste treliçado 500 Ton</v>
      </c>
      <c r="K1516" s="65"/>
      <c r="L1516" s="107">
        <f>IFERROR(LARGE(Equipamentos!G747:BN747,1),0)</f>
        <v>0</v>
      </c>
      <c r="M1516" s="78" t="s">
        <v>1004</v>
      </c>
      <c r="N1516" s="107">
        <v>1</v>
      </c>
      <c r="O1516" s="78" t="s">
        <v>1562</v>
      </c>
      <c r="P1516" s="65"/>
      <c r="Q1516" s="65"/>
      <c r="R1516" s="65"/>
      <c r="S1516" s="110">
        <v>3000</v>
      </c>
      <c r="T1516" s="65"/>
      <c r="U1516" s="117">
        <f t="shared" si="874"/>
        <v>0</v>
      </c>
      <c r="V1516" s="65"/>
      <c r="W1516" s="202"/>
    </row>
    <row r="1517" spans="9:23" ht="12" hidden="1" customHeight="1" outlineLevel="1">
      <c r="I1517" s="65"/>
      <c r="J1517" s="77" t="str">
        <f t="shared" si="875"/>
        <v>Mob. e Desmob. - Plataforma articulada de 6 m à 8 m</v>
      </c>
      <c r="K1517" s="65"/>
      <c r="L1517" s="107">
        <f>IFERROR(LARGE(Equipamentos!G748:BN748,1),0)</f>
        <v>0</v>
      </c>
      <c r="M1517" s="78" t="s">
        <v>1004</v>
      </c>
      <c r="N1517" s="107">
        <v>1</v>
      </c>
      <c r="O1517" s="78" t="s">
        <v>1562</v>
      </c>
      <c r="P1517" s="65"/>
      <c r="Q1517" s="65"/>
      <c r="R1517" s="65"/>
      <c r="S1517" s="110">
        <v>3000</v>
      </c>
      <c r="T1517" s="65"/>
      <c r="U1517" s="117">
        <f t="shared" si="874"/>
        <v>0</v>
      </c>
      <c r="V1517" s="65"/>
      <c r="W1517" s="202"/>
    </row>
    <row r="1518" spans="9:23" ht="12" hidden="1" customHeight="1" outlineLevel="1">
      <c r="I1518" s="65"/>
      <c r="J1518" s="77" t="str">
        <f t="shared" si="875"/>
        <v>Mob. e Desmob. - Plataforma articulada de 8 m à 10 m</v>
      </c>
      <c r="K1518" s="65"/>
      <c r="L1518" s="107">
        <f>IFERROR(LARGE(Equipamentos!G749:BN749,1),0)</f>
        <v>0</v>
      </c>
      <c r="M1518" s="78" t="s">
        <v>1004</v>
      </c>
      <c r="N1518" s="107">
        <v>1</v>
      </c>
      <c r="O1518" s="78" t="s">
        <v>1562</v>
      </c>
      <c r="P1518" s="65"/>
      <c r="Q1518" s="65"/>
      <c r="R1518" s="65"/>
      <c r="S1518" s="110">
        <v>3000</v>
      </c>
      <c r="T1518" s="65"/>
      <c r="U1518" s="117">
        <f t="shared" si="874"/>
        <v>0</v>
      </c>
      <c r="V1518" s="65"/>
      <c r="W1518" s="202"/>
    </row>
    <row r="1519" spans="9:23" ht="12" hidden="1" customHeight="1" outlineLevel="1">
      <c r="I1519" s="65"/>
      <c r="J1519" s="77" t="str">
        <f t="shared" si="875"/>
        <v>Mob. e Desmob. - Plataforma articulada de 10 m à 12 m</v>
      </c>
      <c r="K1519" s="65"/>
      <c r="L1519" s="107">
        <f>IFERROR(LARGE(Equipamentos!G750:BN750,1),0)</f>
        <v>0</v>
      </c>
      <c r="M1519" s="78" t="s">
        <v>1004</v>
      </c>
      <c r="N1519" s="107">
        <v>1</v>
      </c>
      <c r="O1519" s="78" t="s">
        <v>1562</v>
      </c>
      <c r="P1519" s="65"/>
      <c r="Q1519" s="65"/>
      <c r="R1519" s="65"/>
      <c r="S1519" s="110">
        <v>4500</v>
      </c>
      <c r="T1519" s="65"/>
      <c r="U1519" s="117">
        <f t="shared" si="874"/>
        <v>0</v>
      </c>
      <c r="V1519" s="65"/>
      <c r="W1519" s="202"/>
    </row>
    <row r="1520" spans="9:23" ht="12" hidden="1" customHeight="1" outlineLevel="1">
      <c r="I1520" s="65"/>
      <c r="J1520" s="77" t="str">
        <f t="shared" si="875"/>
        <v>Mob. e Desmob. - Plataforma articulada de 13 m à 16 m</v>
      </c>
      <c r="K1520" s="65"/>
      <c r="L1520" s="107">
        <f>IFERROR(LARGE(Equipamentos!G751:BN751,1),0)</f>
        <v>0</v>
      </c>
      <c r="M1520" s="78" t="s">
        <v>1004</v>
      </c>
      <c r="N1520" s="107">
        <v>1</v>
      </c>
      <c r="O1520" s="78" t="s">
        <v>1562</v>
      </c>
      <c r="P1520" s="65"/>
      <c r="Q1520" s="65"/>
      <c r="R1520" s="65"/>
      <c r="S1520" s="110">
        <v>2000</v>
      </c>
      <c r="T1520" s="65"/>
      <c r="U1520" s="117">
        <f t="shared" si="874"/>
        <v>0</v>
      </c>
      <c r="V1520" s="65"/>
      <c r="W1520" s="202"/>
    </row>
    <row r="1521" spans="9:23" ht="12" hidden="1" customHeight="1" outlineLevel="1">
      <c r="I1521" s="65"/>
      <c r="J1521" s="77" t="str">
        <f t="shared" si="875"/>
        <v>Mob. e Desmob. - Plataforma articulada de 18 m à 20 m</v>
      </c>
      <c r="K1521" s="65"/>
      <c r="L1521" s="107">
        <f>IFERROR(LARGE(Equipamentos!G752:BN752,1),0)</f>
        <v>0</v>
      </c>
      <c r="M1521" s="78" t="s">
        <v>1004</v>
      </c>
      <c r="N1521" s="107">
        <v>1</v>
      </c>
      <c r="O1521" s="78" t="s">
        <v>1562</v>
      </c>
      <c r="P1521" s="65"/>
      <c r="Q1521" s="65"/>
      <c r="R1521" s="65"/>
      <c r="S1521" s="110">
        <v>2000</v>
      </c>
      <c r="T1521" s="65"/>
      <c r="U1521" s="117">
        <f t="shared" si="874"/>
        <v>0</v>
      </c>
      <c r="V1521" s="65"/>
      <c r="W1521" s="202"/>
    </row>
    <row r="1522" spans="9:23" ht="12" hidden="1" customHeight="1" outlineLevel="1">
      <c r="I1522" s="65"/>
      <c r="J1522" s="77" t="str">
        <f t="shared" si="875"/>
        <v>Mob. e Desmob. - Plataforma articulada de 24 m à 26 m</v>
      </c>
      <c r="K1522" s="65"/>
      <c r="L1522" s="107">
        <f>IFERROR(LARGE(Equipamentos!G753:BN753,1),0)</f>
        <v>0</v>
      </c>
      <c r="M1522" s="78" t="s">
        <v>1004</v>
      </c>
      <c r="N1522" s="107">
        <v>1</v>
      </c>
      <c r="O1522" s="78" t="s">
        <v>1562</v>
      </c>
      <c r="P1522" s="65"/>
      <c r="Q1522" s="65"/>
      <c r="R1522" s="65"/>
      <c r="S1522" s="110">
        <v>2000</v>
      </c>
      <c r="T1522" s="65"/>
      <c r="U1522" s="117">
        <f t="shared" si="874"/>
        <v>0</v>
      </c>
      <c r="V1522" s="65"/>
      <c r="W1522" s="202"/>
    </row>
    <row r="1523" spans="9:23" ht="12" hidden="1" customHeight="1" outlineLevel="1">
      <c r="I1523" s="65"/>
      <c r="J1523" s="77" t="str">
        <f t="shared" si="875"/>
        <v>Mob. e Desmob. - Plataforma articulada de 38 m à 40 m</v>
      </c>
      <c r="K1523" s="65"/>
      <c r="L1523" s="107">
        <f>IFERROR(LARGE(Equipamentos!G754:BN754,1),0)</f>
        <v>0</v>
      </c>
      <c r="M1523" s="78" t="s">
        <v>1004</v>
      </c>
      <c r="N1523" s="107">
        <v>1</v>
      </c>
      <c r="O1523" s="78" t="s">
        <v>1562</v>
      </c>
      <c r="P1523" s="65"/>
      <c r="Q1523" s="65"/>
      <c r="R1523" s="65"/>
      <c r="S1523" s="110">
        <v>3000</v>
      </c>
      <c r="T1523" s="65"/>
      <c r="U1523" s="117">
        <f t="shared" si="874"/>
        <v>0</v>
      </c>
      <c r="V1523" s="65"/>
      <c r="W1523" s="202"/>
    </row>
    <row r="1524" spans="9:23" ht="12" hidden="1" customHeight="1" outlineLevel="1">
      <c r="I1524" s="65"/>
      <c r="J1524" s="77" t="str">
        <f t="shared" si="875"/>
        <v>Mob. e Desmob. - Plataforma articulada de 30 m à 41 m</v>
      </c>
      <c r="K1524" s="65"/>
      <c r="L1524" s="107">
        <f>IFERROR(LARGE(Equipamentos!G755:BN755,1),0)</f>
        <v>0</v>
      </c>
      <c r="M1524" s="78" t="s">
        <v>1004</v>
      </c>
      <c r="N1524" s="107">
        <v>1</v>
      </c>
      <c r="O1524" s="78" t="s">
        <v>1562</v>
      </c>
      <c r="P1524" s="65"/>
      <c r="Q1524" s="65"/>
      <c r="R1524" s="65"/>
      <c r="S1524" s="110">
        <v>3000</v>
      </c>
      <c r="T1524" s="65"/>
      <c r="U1524" s="117">
        <f t="shared" si="874"/>
        <v>0</v>
      </c>
      <c r="V1524" s="65"/>
      <c r="W1524" s="202"/>
    </row>
    <row r="1525" spans="9:23" ht="12" hidden="1" customHeight="1" outlineLevel="1">
      <c r="I1525" s="65"/>
      <c r="J1525" s="77" t="str">
        <f t="shared" si="875"/>
        <v>Mob. e Desmob. - Caminhão vácuo</v>
      </c>
      <c r="K1525" s="65"/>
      <c r="L1525" s="107">
        <f>IFERROR(LARGE(Equipamentos!G756:BN756,1),0)</f>
        <v>0</v>
      </c>
      <c r="M1525" s="78" t="s">
        <v>1004</v>
      </c>
      <c r="N1525" s="107">
        <v>1</v>
      </c>
      <c r="O1525" s="78" t="s">
        <v>1562</v>
      </c>
      <c r="P1525" s="65"/>
      <c r="Q1525" s="65"/>
      <c r="R1525" s="65"/>
      <c r="S1525" s="110">
        <v>4500</v>
      </c>
      <c r="T1525" s="65"/>
      <c r="U1525" s="117">
        <f t="shared" si="874"/>
        <v>0</v>
      </c>
      <c r="V1525" s="65"/>
      <c r="W1525" s="202"/>
    </row>
    <row r="1526" spans="9:23" ht="12" hidden="1" customHeight="1" outlineLevel="1">
      <c r="I1526" s="65"/>
      <c r="J1526" s="77" t="str">
        <f t="shared" si="875"/>
        <v>Mob. e Desmob. - Trator sobre rodas</v>
      </c>
      <c r="K1526" s="65"/>
      <c r="L1526" s="107">
        <f>IFERROR(LARGE(Equipamentos!G757:BN757,1),0)</f>
        <v>0</v>
      </c>
      <c r="M1526" s="78" t="s">
        <v>1004</v>
      </c>
      <c r="N1526" s="107">
        <v>1</v>
      </c>
      <c r="O1526" s="78" t="s">
        <v>1562</v>
      </c>
      <c r="P1526" s="65"/>
      <c r="Q1526" s="65"/>
      <c r="R1526" s="65"/>
      <c r="S1526" s="110">
        <v>3500</v>
      </c>
      <c r="T1526" s="65"/>
      <c r="U1526" s="117">
        <f t="shared" si="874"/>
        <v>0</v>
      </c>
      <c r="V1526" s="65"/>
      <c r="W1526" s="202"/>
    </row>
    <row r="1527" spans="9:23" ht="12" hidden="1" customHeight="1" outlineLevel="1">
      <c r="I1527" s="65"/>
      <c r="J1527" s="77" t="str">
        <f t="shared" si="875"/>
        <v>Mob. e Desmob. - Trator sobre esteiras</v>
      </c>
      <c r="K1527" s="65"/>
      <c r="L1527" s="107">
        <f>IFERROR(LARGE(Equipamentos!G758:BN758,1),0)</f>
        <v>0</v>
      </c>
      <c r="M1527" s="78" t="s">
        <v>1004</v>
      </c>
      <c r="N1527" s="107">
        <v>1</v>
      </c>
      <c r="O1527" s="78" t="s">
        <v>1562</v>
      </c>
      <c r="P1527" s="65"/>
      <c r="Q1527" s="65"/>
      <c r="R1527" s="65"/>
      <c r="S1527" s="110">
        <v>3000</v>
      </c>
      <c r="T1527" s="65"/>
      <c r="U1527" s="117">
        <f t="shared" si="874"/>
        <v>0</v>
      </c>
      <c r="V1527" s="65"/>
      <c r="W1527" s="202"/>
    </row>
    <row r="1528" spans="9:23" ht="12" hidden="1" customHeight="1" outlineLevel="1">
      <c r="I1528" s="65"/>
      <c r="J1528" s="77" t="str">
        <f t="shared" si="875"/>
        <v>Mob. e Desmob. - Escavadeira</v>
      </c>
      <c r="K1528" s="65"/>
      <c r="L1528" s="107">
        <f>IFERROR(LARGE(Equipamentos!G759:BN759,1),0)</f>
        <v>0</v>
      </c>
      <c r="M1528" s="78" t="s">
        <v>1004</v>
      </c>
      <c r="N1528" s="107">
        <v>1</v>
      </c>
      <c r="O1528" s="78" t="s">
        <v>1562</v>
      </c>
      <c r="P1528" s="65"/>
      <c r="Q1528" s="65"/>
      <c r="R1528" s="65"/>
      <c r="S1528" s="110">
        <v>2000</v>
      </c>
      <c r="T1528" s="65"/>
      <c r="U1528" s="117">
        <f t="shared" si="874"/>
        <v>0</v>
      </c>
      <c r="V1528" s="65"/>
      <c r="W1528" s="202"/>
    </row>
    <row r="1529" spans="9:23" ht="12" hidden="1" customHeight="1" outlineLevel="1">
      <c r="I1529" s="65"/>
      <c r="J1529" s="77" t="str">
        <f t="shared" si="875"/>
        <v>Mob. e Desmob. - Retroescavadeira</v>
      </c>
      <c r="K1529" s="65"/>
      <c r="L1529" s="107">
        <f>IFERROR(LARGE(Equipamentos!G760:BN760,1),0)</f>
        <v>0</v>
      </c>
      <c r="M1529" s="78" t="s">
        <v>1004</v>
      </c>
      <c r="N1529" s="107">
        <v>1</v>
      </c>
      <c r="O1529" s="78" t="s">
        <v>1562</v>
      </c>
      <c r="P1529" s="65"/>
      <c r="Q1529" s="65"/>
      <c r="R1529" s="65"/>
      <c r="S1529" s="110"/>
      <c r="T1529" s="65"/>
      <c r="U1529" s="117">
        <f t="shared" si="874"/>
        <v>0</v>
      </c>
      <c r="V1529" s="65"/>
      <c r="W1529" s="202"/>
    </row>
    <row r="1530" spans="9:23" ht="12" hidden="1" customHeight="1" outlineLevel="1">
      <c r="I1530" s="65"/>
      <c r="J1530" s="77" t="str">
        <f t="shared" si="875"/>
        <v>Mob. e Desmob. - Motoniveladora</v>
      </c>
      <c r="K1530" s="65"/>
      <c r="L1530" s="107">
        <f>IFERROR(LARGE(Equipamentos!G761:BN761,1),0)</f>
        <v>0</v>
      </c>
      <c r="M1530" s="78" t="s">
        <v>1004</v>
      </c>
      <c r="N1530" s="107">
        <v>1</v>
      </c>
      <c r="O1530" s="78" t="s">
        <v>1562</v>
      </c>
      <c r="P1530" s="65"/>
      <c r="Q1530" s="65"/>
      <c r="R1530" s="65"/>
      <c r="S1530" s="110"/>
      <c r="T1530" s="65"/>
      <c r="U1530" s="117">
        <f t="shared" si="874"/>
        <v>0</v>
      </c>
      <c r="V1530" s="65"/>
      <c r="W1530" s="202"/>
    </row>
    <row r="1531" spans="9:23" ht="12" hidden="1" customHeight="1" outlineLevel="1">
      <c r="I1531" s="65"/>
      <c r="J1531" s="77" t="str">
        <f t="shared" si="875"/>
        <v>Mob. e Desmob. - Caminhão basculante 6 m³</v>
      </c>
      <c r="K1531" s="65"/>
      <c r="L1531" s="107">
        <f>IFERROR(LARGE(Equipamentos!G762:BN762,1),0)</f>
        <v>0</v>
      </c>
      <c r="M1531" s="78" t="s">
        <v>1004</v>
      </c>
      <c r="N1531" s="107">
        <v>1</v>
      </c>
      <c r="O1531" s="78" t="s">
        <v>1562</v>
      </c>
      <c r="P1531" s="65"/>
      <c r="Q1531" s="65"/>
      <c r="R1531" s="65"/>
      <c r="S1531" s="110"/>
      <c r="T1531" s="65"/>
      <c r="U1531" s="117">
        <f t="shared" si="874"/>
        <v>0</v>
      </c>
      <c r="V1531" s="65"/>
      <c r="W1531" s="202"/>
    </row>
    <row r="1532" spans="9:23" ht="12" hidden="1" customHeight="1" outlineLevel="1">
      <c r="I1532" s="65"/>
      <c r="J1532" s="77" t="str">
        <f t="shared" si="875"/>
        <v>Mob. e Desmob. - Caminhão basculante 10 m³</v>
      </c>
      <c r="K1532" s="65"/>
      <c r="L1532" s="107">
        <f>IFERROR(LARGE(Equipamentos!G763:BN763,1),0)</f>
        <v>0</v>
      </c>
      <c r="M1532" s="78" t="s">
        <v>1004</v>
      </c>
      <c r="N1532" s="107">
        <v>1</v>
      </c>
      <c r="O1532" s="78" t="s">
        <v>1562</v>
      </c>
      <c r="P1532" s="65"/>
      <c r="Q1532" s="65"/>
      <c r="R1532" s="65"/>
      <c r="S1532" s="110"/>
      <c r="T1532" s="65"/>
      <c r="U1532" s="117">
        <f t="shared" si="874"/>
        <v>0</v>
      </c>
      <c r="V1532" s="65"/>
      <c r="W1532" s="202"/>
    </row>
    <row r="1533" spans="9:23" ht="12" hidden="1" customHeight="1" outlineLevel="1">
      <c r="I1533" s="65"/>
      <c r="J1533" s="77" t="str">
        <f t="shared" si="875"/>
        <v>Mob. e Desmob. - Caminhão basculante trucado 15 m³</v>
      </c>
      <c r="K1533" s="65"/>
      <c r="L1533" s="107">
        <f>IFERROR(LARGE(Equipamentos!G764:BN764,1),0)</f>
        <v>0</v>
      </c>
      <c r="M1533" s="78" t="s">
        <v>1004</v>
      </c>
      <c r="N1533" s="107">
        <v>1</v>
      </c>
      <c r="O1533" s="78" t="s">
        <v>1562</v>
      </c>
      <c r="P1533" s="65"/>
      <c r="Q1533" s="65"/>
      <c r="R1533" s="65"/>
      <c r="S1533" s="110"/>
      <c r="T1533" s="65"/>
      <c r="U1533" s="117">
        <f t="shared" si="874"/>
        <v>0</v>
      </c>
      <c r="V1533" s="65"/>
      <c r="W1533" s="202"/>
    </row>
    <row r="1534" spans="9:23" ht="12" hidden="1" customHeight="1" outlineLevel="1">
      <c r="I1534" s="65"/>
      <c r="J1534" s="77" t="str">
        <f t="shared" si="875"/>
        <v>Mob. e Desmob. - Rolo pé de carneiro</v>
      </c>
      <c r="K1534" s="65"/>
      <c r="L1534" s="107">
        <f>IFERROR(LARGE(Equipamentos!G765:BN765,1),0)</f>
        <v>0</v>
      </c>
      <c r="M1534" s="78" t="s">
        <v>1004</v>
      </c>
      <c r="N1534" s="107">
        <v>1</v>
      </c>
      <c r="O1534" s="78" t="s">
        <v>1562</v>
      </c>
      <c r="P1534" s="65"/>
      <c r="Q1534" s="65"/>
      <c r="R1534" s="65"/>
      <c r="S1534" s="110"/>
      <c r="T1534" s="65"/>
      <c r="U1534" s="117">
        <f t="shared" si="874"/>
        <v>0</v>
      </c>
      <c r="V1534" s="65"/>
      <c r="W1534" s="202"/>
    </row>
    <row r="1535" spans="9:23" ht="12" hidden="1" customHeight="1" outlineLevel="1">
      <c r="I1535" s="65"/>
      <c r="J1535" s="77" t="str">
        <f t="shared" si="875"/>
        <v>Mob. e Desmob. - Rolo compactador</v>
      </c>
      <c r="K1535" s="65"/>
      <c r="L1535" s="107">
        <f>IFERROR(LARGE(Equipamentos!G766:BN766,1),0)</f>
        <v>0</v>
      </c>
      <c r="M1535" s="78" t="s">
        <v>1004</v>
      </c>
      <c r="N1535" s="107">
        <v>1</v>
      </c>
      <c r="O1535" s="78" t="s">
        <v>1562</v>
      </c>
      <c r="P1535" s="65"/>
      <c r="Q1535" s="65"/>
      <c r="R1535" s="65"/>
      <c r="S1535" s="110"/>
      <c r="T1535" s="65"/>
      <c r="U1535" s="117">
        <f t="shared" si="874"/>
        <v>0</v>
      </c>
      <c r="V1535" s="65"/>
      <c r="W1535" s="202"/>
    </row>
    <row r="1536" spans="9:23" ht="12" hidden="1" customHeight="1" outlineLevel="1">
      <c r="I1536" s="65"/>
      <c r="J1536" s="77" t="str">
        <f t="shared" si="875"/>
        <v>Mob. e Desmob. - Side boom</v>
      </c>
      <c r="K1536" s="65"/>
      <c r="L1536" s="107">
        <f>IFERROR(LARGE(Equipamentos!G767:BN767,1),0)</f>
        <v>0</v>
      </c>
      <c r="M1536" s="78" t="s">
        <v>1004</v>
      </c>
      <c r="N1536" s="107">
        <v>1</v>
      </c>
      <c r="O1536" s="78" t="s">
        <v>1562</v>
      </c>
      <c r="P1536" s="65"/>
      <c r="Q1536" s="65"/>
      <c r="R1536" s="65"/>
      <c r="S1536" s="110"/>
      <c r="T1536" s="65"/>
      <c r="U1536" s="117">
        <f t="shared" si="874"/>
        <v>0</v>
      </c>
      <c r="V1536" s="65"/>
      <c r="W1536" s="202"/>
    </row>
    <row r="1537" spans="9:23" ht="12" hidden="1" customHeight="1" outlineLevel="1">
      <c r="I1537" s="65"/>
      <c r="J1537" s="77" t="str">
        <f t="shared" si="875"/>
        <v>Mob. e Desmob. - Curvadora de tubos</v>
      </c>
      <c r="K1537" s="65"/>
      <c r="L1537" s="107">
        <f>IFERROR(LARGE(Equipamentos!G768:BN768,1),0)</f>
        <v>0</v>
      </c>
      <c r="M1537" s="78" t="s">
        <v>1004</v>
      </c>
      <c r="N1537" s="107">
        <v>1</v>
      </c>
      <c r="O1537" s="78" t="s">
        <v>1562</v>
      </c>
      <c r="P1537" s="65"/>
      <c r="Q1537" s="65"/>
      <c r="R1537" s="65"/>
      <c r="S1537" s="110"/>
      <c r="T1537" s="65"/>
      <c r="U1537" s="117">
        <f t="shared" si="874"/>
        <v>0</v>
      </c>
      <c r="V1537" s="65"/>
      <c r="W1537" s="202"/>
    </row>
    <row r="1538" spans="9:23" ht="12" hidden="1" customHeight="1" outlineLevel="1">
      <c r="I1538" s="65"/>
      <c r="J1538" s="77" t="str">
        <f t="shared" si="875"/>
        <v>Mob. e Desmob. - Pá carregadeira</v>
      </c>
      <c r="K1538" s="65"/>
      <c r="L1538" s="107">
        <f>IFERROR(LARGE(Equipamentos!G769:BN769,1),0)</f>
        <v>0</v>
      </c>
      <c r="M1538" s="78" t="s">
        <v>1004</v>
      </c>
      <c r="N1538" s="107">
        <v>1</v>
      </c>
      <c r="O1538" s="78" t="s">
        <v>1562</v>
      </c>
      <c r="P1538" s="65"/>
      <c r="Q1538" s="65"/>
      <c r="R1538" s="65"/>
      <c r="S1538" s="110"/>
      <c r="T1538" s="65"/>
      <c r="U1538" s="117">
        <f t="shared" si="874"/>
        <v>0</v>
      </c>
      <c r="V1538" s="65"/>
      <c r="W1538" s="202"/>
    </row>
    <row r="1539" spans="9:23" ht="12" hidden="1" customHeight="1" outlineLevel="1">
      <c r="I1539" s="65"/>
      <c r="J1539" s="77" t="str">
        <f t="shared" si="875"/>
        <v>Mob. e Desmob. - Caminhão Espargidor</v>
      </c>
      <c r="K1539" s="65"/>
      <c r="L1539" s="107">
        <f>IFERROR(LARGE(Equipamentos!G770:BN770,1),0)</f>
        <v>0</v>
      </c>
      <c r="M1539" s="78" t="s">
        <v>1004</v>
      </c>
      <c r="N1539" s="107">
        <v>1</v>
      </c>
      <c r="O1539" s="78" t="s">
        <v>1562</v>
      </c>
      <c r="P1539" s="65"/>
      <c r="Q1539" s="65"/>
      <c r="R1539" s="65"/>
      <c r="S1539" s="110"/>
      <c r="T1539" s="65"/>
      <c r="U1539" s="117">
        <f t="shared" si="874"/>
        <v>0</v>
      </c>
      <c r="V1539" s="65"/>
      <c r="W1539" s="202"/>
    </row>
    <row r="1540" spans="9:23" ht="12" hidden="1" customHeight="1" outlineLevel="1">
      <c r="I1540" s="65"/>
      <c r="J1540" s="77" t="str">
        <f t="shared" si="875"/>
        <v xml:space="preserve">Mob. e Desmob. - </v>
      </c>
      <c r="K1540" s="65"/>
      <c r="L1540" s="107">
        <f>IFERROR(LARGE(Equipamentos!G771:BN771,1),0)</f>
        <v>0</v>
      </c>
      <c r="M1540" s="78" t="s">
        <v>1004</v>
      </c>
      <c r="N1540" s="107">
        <v>1</v>
      </c>
      <c r="O1540" s="78" t="s">
        <v>1562</v>
      </c>
      <c r="P1540" s="65"/>
      <c r="Q1540" s="65"/>
      <c r="R1540" s="65"/>
      <c r="S1540" s="110"/>
      <c r="T1540" s="65"/>
      <c r="U1540" s="117">
        <f t="shared" si="874"/>
        <v>0</v>
      </c>
      <c r="V1540" s="65"/>
      <c r="W1540" s="202"/>
    </row>
    <row r="1541" spans="9:23" ht="12" hidden="1" customHeight="1" outlineLevel="1">
      <c r="I1541" s="65"/>
      <c r="J1541" s="77" t="str">
        <f t="shared" si="875"/>
        <v xml:space="preserve">Mob. e Desmob. - </v>
      </c>
      <c r="K1541" s="65"/>
      <c r="L1541" s="107">
        <f>IFERROR(LARGE(Equipamentos!G772:BN772,1),0)</f>
        <v>0</v>
      </c>
      <c r="M1541" s="78" t="s">
        <v>1004</v>
      </c>
      <c r="N1541" s="107">
        <v>1</v>
      </c>
      <c r="O1541" s="78" t="s">
        <v>1562</v>
      </c>
      <c r="P1541" s="65"/>
      <c r="Q1541" s="65"/>
      <c r="R1541" s="65"/>
      <c r="S1541" s="110"/>
      <c r="T1541" s="65"/>
      <c r="U1541" s="117">
        <f t="shared" si="874"/>
        <v>0</v>
      </c>
      <c r="V1541" s="65"/>
      <c r="W1541" s="202"/>
    </row>
    <row r="1542" spans="9:23" ht="12" hidden="1" customHeight="1" outlineLevel="1">
      <c r="I1542" s="65"/>
      <c r="J1542" s="65"/>
      <c r="K1542" s="65"/>
      <c r="L1542" s="65"/>
      <c r="M1542" s="65"/>
      <c r="N1542" s="65"/>
      <c r="O1542" s="65"/>
      <c r="P1542" s="65"/>
      <c r="Q1542" s="65"/>
      <c r="R1542" s="65"/>
      <c r="S1542" s="65"/>
      <c r="T1542" s="65"/>
      <c r="U1542" s="65"/>
      <c r="V1542" s="65"/>
      <c r="W1542" s="65"/>
    </row>
    <row r="1543" spans="9:23" s="196" customFormat="1" ht="24" customHeight="1" collapsed="1">
      <c r="I1543" s="189"/>
      <c r="J1543" s="185" t="s">
        <v>1563</v>
      </c>
      <c r="K1543" s="190"/>
      <c r="L1543" s="190"/>
      <c r="M1543" s="190"/>
      <c r="N1543" s="190"/>
      <c r="O1543" s="190"/>
      <c r="P1543" s="190"/>
      <c r="Q1543" s="190"/>
      <c r="R1543" s="190"/>
      <c r="S1543" s="191"/>
      <c r="T1543" s="192">
        <f>IFERROR(U1543/$U$2,0)</f>
        <v>0</v>
      </c>
      <c r="U1543" s="193">
        <f>SUM(U1545:U1547)</f>
        <v>0</v>
      </c>
      <c r="V1543" s="190"/>
      <c r="W1543" s="205">
        <f>IFERROR(U1543/Dashboard!T9,0)</f>
        <v>0</v>
      </c>
    </row>
    <row r="1544" spans="9:23" ht="12" hidden="1" customHeight="1" outlineLevel="1">
      <c r="I1544" s="65"/>
      <c r="J1544" s="65"/>
      <c r="K1544" s="65"/>
      <c r="L1544" s="65"/>
      <c r="M1544" s="65"/>
      <c r="N1544" s="65"/>
      <c r="O1544" s="65"/>
      <c r="P1544" s="65"/>
      <c r="Q1544" s="65"/>
      <c r="R1544" s="65"/>
      <c r="S1544" s="65"/>
      <c r="T1544" s="65"/>
      <c r="U1544" s="65"/>
      <c r="V1544" s="65"/>
      <c r="W1544" s="65"/>
    </row>
    <row r="1545" spans="9:23" ht="24" hidden="1" customHeight="1" outlineLevel="1">
      <c r="I1545" s="65"/>
      <c r="J1545" s="142" t="s">
        <v>1564</v>
      </c>
      <c r="K1545" s="65"/>
      <c r="L1545" s="142" t="s">
        <v>1565</v>
      </c>
      <c r="M1545" s="142" t="s">
        <v>1566</v>
      </c>
      <c r="N1545" s="142" t="s">
        <v>1567</v>
      </c>
      <c r="O1545" s="142" t="s">
        <v>1568</v>
      </c>
      <c r="P1545" s="142" t="s">
        <v>1569</v>
      </c>
      <c r="Q1545" s="142" t="s">
        <v>1570</v>
      </c>
      <c r="R1545" s="65"/>
      <c r="S1545" s="142" t="s">
        <v>1240</v>
      </c>
      <c r="T1545" s="65"/>
      <c r="U1545" s="142" t="s">
        <v>1241</v>
      </c>
      <c r="V1545" s="65"/>
      <c r="W1545" s="142" t="s">
        <v>1111</v>
      </c>
    </row>
    <row r="1546" spans="9:23" ht="12" hidden="1" customHeight="1" outlineLevel="1">
      <c r="I1546" s="65"/>
      <c r="J1546" s="77" t="s">
        <v>1571</v>
      </c>
      <c r="K1546" s="65"/>
      <c r="L1546" s="111">
        <v>1</v>
      </c>
      <c r="M1546" s="107" t="s">
        <v>1572</v>
      </c>
      <c r="N1546" s="107">
        <v>1</v>
      </c>
      <c r="O1546" s="107" t="s">
        <v>1573</v>
      </c>
      <c r="P1546" s="122">
        <v>1</v>
      </c>
      <c r="Q1546" s="122">
        <v>1</v>
      </c>
      <c r="R1546" s="65"/>
      <c r="S1546" s="325">
        <v>0</v>
      </c>
      <c r="T1546" s="65"/>
      <c r="U1546" s="117">
        <f t="shared" ref="U1546:U1547" si="876">L1546*N1546*P1546*Q1546*S1546</f>
        <v>0</v>
      </c>
      <c r="V1546" s="65"/>
      <c r="W1546" s="202"/>
    </row>
    <row r="1547" spans="9:23" ht="12" hidden="1" customHeight="1" outlineLevel="1">
      <c r="I1547" s="65"/>
      <c r="J1547" s="77"/>
      <c r="K1547" s="65"/>
      <c r="L1547" s="111"/>
      <c r="M1547" s="107"/>
      <c r="N1547" s="107"/>
      <c r="O1547" s="107"/>
      <c r="P1547" s="122"/>
      <c r="Q1547" s="122"/>
      <c r="R1547" s="65"/>
      <c r="S1547" s="110"/>
      <c r="T1547" s="65"/>
      <c r="U1547" s="117">
        <f t="shared" si="876"/>
        <v>0</v>
      </c>
      <c r="V1547" s="65"/>
      <c r="W1547" s="202"/>
    </row>
    <row r="1548" spans="9:23" ht="12" hidden="1" customHeight="1" outlineLevel="1">
      <c r="I1548" s="65"/>
      <c r="J1548" s="65"/>
      <c r="K1548" s="65"/>
      <c r="L1548" s="65"/>
      <c r="M1548" s="65"/>
      <c r="N1548" s="65"/>
      <c r="O1548" s="65"/>
      <c r="P1548" s="65"/>
      <c r="Q1548" s="65"/>
      <c r="R1548" s="65"/>
      <c r="S1548" s="65"/>
      <c r="T1548" s="65"/>
      <c r="U1548" s="65"/>
      <c r="V1548" s="65"/>
      <c r="W1548" s="65"/>
    </row>
    <row r="1549" spans="9:23" s="196" customFormat="1" ht="24" customHeight="1" collapsed="1">
      <c r="I1549" s="189"/>
      <c r="J1549" s="185" t="s">
        <v>93</v>
      </c>
      <c r="K1549" s="190"/>
      <c r="L1549" s="190"/>
      <c r="M1549" s="190"/>
      <c r="N1549" s="190"/>
      <c r="O1549" s="190"/>
      <c r="P1549" s="190"/>
      <c r="Q1549" s="190"/>
      <c r="R1549" s="190"/>
      <c r="S1549" s="191"/>
      <c r="T1549" s="192">
        <f>IFERROR(U1549/$U$2,0)</f>
        <v>0</v>
      </c>
      <c r="U1549" s="193">
        <f>SUM(U1551:U1556)</f>
        <v>0</v>
      </c>
      <c r="V1549" s="190"/>
      <c r="W1549" s="194"/>
    </row>
    <row r="1550" spans="9:23" ht="12" hidden="1" customHeight="1" outlineLevel="1">
      <c r="I1550" s="65"/>
      <c r="J1550" s="65"/>
      <c r="K1550" s="65"/>
      <c r="L1550" s="65"/>
      <c r="M1550" s="65"/>
      <c r="N1550" s="65"/>
      <c r="O1550" s="65"/>
      <c r="P1550" s="65"/>
      <c r="Q1550" s="65"/>
      <c r="R1550" s="65"/>
      <c r="S1550" s="65"/>
      <c r="T1550" s="65"/>
      <c r="U1550" s="65"/>
      <c r="V1550" s="65"/>
      <c r="W1550" s="65"/>
    </row>
    <row r="1551" spans="9:23" ht="24" hidden="1" customHeight="1" outlineLevel="1">
      <c r="I1551" s="65"/>
      <c r="J1551" s="142" t="s">
        <v>93</v>
      </c>
      <c r="K1551" s="65"/>
      <c r="L1551" s="142" t="s">
        <v>1574</v>
      </c>
      <c r="M1551" s="142" t="s">
        <v>1238</v>
      </c>
      <c r="N1551" s="142" t="s">
        <v>1260</v>
      </c>
      <c r="O1551" s="142" t="s">
        <v>1261</v>
      </c>
      <c r="P1551" s="65"/>
      <c r="Q1551" s="65"/>
      <c r="R1551" s="65"/>
      <c r="S1551" s="142" t="s">
        <v>1240</v>
      </c>
      <c r="T1551" s="65"/>
      <c r="U1551" s="142" t="s">
        <v>1241</v>
      </c>
      <c r="V1551" s="65"/>
      <c r="W1551" s="142" t="s">
        <v>1111</v>
      </c>
    </row>
    <row r="1552" spans="9:23" ht="12" hidden="1" customHeight="1" outlineLevel="1">
      <c r="I1552" s="65"/>
      <c r="J1552" s="77" t="s">
        <v>1575</v>
      </c>
      <c r="K1552" s="65"/>
      <c r="L1552" s="107">
        <v>1</v>
      </c>
      <c r="M1552" s="78" t="s">
        <v>1576</v>
      </c>
      <c r="N1552" s="107">
        <v>1</v>
      </c>
      <c r="O1552" s="78" t="s">
        <v>1576</v>
      </c>
      <c r="P1552" s="65"/>
      <c r="Q1552" s="65"/>
      <c r="R1552" s="65"/>
      <c r="S1552" s="110">
        <f>(0*(((Dashboard!D14+2)/12)*0.03*0.1))</f>
        <v>0</v>
      </c>
      <c r="T1552" s="65"/>
      <c r="U1552" s="117">
        <f t="shared" ref="U1552" si="877">L1552*N1552*S1552</f>
        <v>0</v>
      </c>
      <c r="V1552" s="65"/>
      <c r="W1552" s="202"/>
    </row>
    <row r="1553" spans="9:23" ht="12" hidden="1" customHeight="1" outlineLevel="1">
      <c r="I1553" s="65"/>
      <c r="J1553" s="77" t="s">
        <v>1577</v>
      </c>
      <c r="K1553" s="65"/>
      <c r="L1553" s="107">
        <v>1</v>
      </c>
      <c r="M1553" s="78" t="s">
        <v>1576</v>
      </c>
      <c r="N1553" s="107">
        <v>1</v>
      </c>
      <c r="O1553" s="78" t="s">
        <v>1576</v>
      </c>
      <c r="P1553" s="65"/>
      <c r="Q1553" s="65"/>
      <c r="R1553" s="65"/>
      <c r="S1553" s="110">
        <f>(0.002*0)</f>
        <v>0</v>
      </c>
      <c r="T1553" s="65"/>
      <c r="U1553" s="117">
        <f t="shared" ref="U1553" si="878">L1553*N1553*S1553</f>
        <v>0</v>
      </c>
      <c r="V1553" s="65"/>
      <c r="W1553" s="202"/>
    </row>
    <row r="1554" spans="9:23" ht="12" hidden="1" customHeight="1" outlineLevel="1">
      <c r="I1554" s="65"/>
      <c r="J1554" s="77" t="s">
        <v>1578</v>
      </c>
      <c r="K1554" s="65"/>
      <c r="L1554" s="107">
        <v>-1</v>
      </c>
      <c r="M1554" s="78" t="s">
        <v>1268</v>
      </c>
      <c r="N1554" s="111">
        <f>SUM(Dashboard!D30:D31)</f>
        <v>3.6499999999999998E-2</v>
      </c>
      <c r="O1554" s="78" t="s">
        <v>1579</v>
      </c>
      <c r="P1554" s="65"/>
      <c r="Q1554" s="65"/>
      <c r="R1554" s="65"/>
      <c r="S1554" s="110"/>
      <c r="T1554" s="65"/>
      <c r="U1554" s="117">
        <f t="shared" ref="U1554:U1556" si="879">L1554*N1554*S1554</f>
        <v>0</v>
      </c>
      <c r="V1554" s="65"/>
      <c r="W1554" s="202"/>
    </row>
    <row r="1555" spans="9:23" ht="12" hidden="1" customHeight="1" outlineLevel="1">
      <c r="I1555" s="65"/>
      <c r="J1555" s="77" t="s">
        <v>1580</v>
      </c>
      <c r="K1555" s="65"/>
      <c r="L1555" s="107">
        <v>1</v>
      </c>
      <c r="M1555" s="78" t="s">
        <v>1581</v>
      </c>
      <c r="N1555" s="107">
        <v>1</v>
      </c>
      <c r="O1555" s="78" t="s">
        <v>1582</v>
      </c>
      <c r="P1555" s="65"/>
      <c r="Q1555" s="65"/>
      <c r="R1555" s="65"/>
      <c r="S1555" s="110"/>
      <c r="T1555" s="65"/>
      <c r="U1555" s="117">
        <f t="shared" ref="U1555" si="880">L1555*N1555*S1555</f>
        <v>0</v>
      </c>
      <c r="V1555" s="65"/>
      <c r="W1555" s="202"/>
    </row>
    <row r="1556" spans="9:23" ht="12" hidden="1" customHeight="1" outlineLevel="1">
      <c r="I1556" s="65"/>
      <c r="J1556" s="77"/>
      <c r="K1556" s="65"/>
      <c r="L1556" s="107"/>
      <c r="M1556" s="78"/>
      <c r="N1556" s="107"/>
      <c r="O1556" s="78"/>
      <c r="P1556" s="65"/>
      <c r="Q1556" s="65"/>
      <c r="R1556" s="65"/>
      <c r="S1556" s="110"/>
      <c r="T1556" s="65"/>
      <c r="U1556" s="117">
        <f t="shared" si="879"/>
        <v>0</v>
      </c>
      <c r="V1556" s="65"/>
      <c r="W1556" s="202"/>
    </row>
    <row r="1557" spans="9:23" ht="12" hidden="1" customHeight="1" outlineLevel="1">
      <c r="I1557" s="65"/>
      <c r="J1557" s="65"/>
      <c r="K1557" s="65"/>
      <c r="L1557" s="65"/>
      <c r="M1557" s="65"/>
      <c r="N1557" s="65"/>
      <c r="O1557" s="65"/>
      <c r="P1557" s="65"/>
      <c r="Q1557" s="65"/>
      <c r="R1557" s="65"/>
      <c r="S1557" s="65"/>
      <c r="T1557" s="65"/>
      <c r="U1557" s="65"/>
      <c r="V1557" s="65"/>
      <c r="W1557" s="65"/>
    </row>
    <row r="1558" spans="9:23" ht="12" customHeight="1">
      <c r="I1558" s="65"/>
      <c r="J1558" s="65"/>
      <c r="K1558" s="65"/>
      <c r="L1558" s="65"/>
      <c r="M1558" s="65"/>
      <c r="N1558" s="65"/>
      <c r="O1558" s="65"/>
      <c r="P1558" s="65"/>
      <c r="Q1558" s="65"/>
      <c r="R1558" s="65"/>
      <c r="S1558" s="65"/>
      <c r="T1558" s="65"/>
      <c r="U1558" s="65"/>
      <c r="V1558" s="65"/>
      <c r="W1558" s="65"/>
    </row>
    <row r="1559" spans="9:23" ht="5.0999999999999996" customHeight="1">
      <c r="I1559" s="69"/>
      <c r="J1559" s="69"/>
      <c r="K1559" s="69"/>
      <c r="L1559" s="69"/>
      <c r="M1559" s="69"/>
      <c r="N1559" s="69"/>
      <c r="O1559" s="69"/>
      <c r="P1559" s="69"/>
      <c r="Q1559" s="69"/>
      <c r="R1559" s="69"/>
      <c r="S1559" s="69"/>
      <c r="T1559" s="69"/>
      <c r="U1559" s="69"/>
      <c r="V1559" s="69"/>
      <c r="W1559" s="69"/>
    </row>
  </sheetData>
  <sortState xmlns:xlrd2="http://schemas.microsoft.com/office/spreadsheetml/2017/richdata2" ref="J1385:J1404">
    <sortCondition ref="J1385:J1404"/>
  </sortState>
  <mergeCells count="36">
    <mergeCell ref="BD535:BG535"/>
    <mergeCell ref="BM535:BP535"/>
    <mergeCell ref="BR535:BU535"/>
    <mergeCell ref="BW535:BZ535"/>
    <mergeCell ref="AA538:AA587"/>
    <mergeCell ref="BI538:BI587"/>
    <mergeCell ref="AE535:AH535"/>
    <mergeCell ref="AJ535:AM535"/>
    <mergeCell ref="AO535:AR535"/>
    <mergeCell ref="AT535:AW535"/>
    <mergeCell ref="AY535:BB535"/>
    <mergeCell ref="AA7:AA89"/>
    <mergeCell ref="AA94:AA533"/>
    <mergeCell ref="BI7:BI89"/>
    <mergeCell ref="BI94:BI533"/>
    <mergeCell ref="BR4:BU4"/>
    <mergeCell ref="AY4:BB4"/>
    <mergeCell ref="AY91:BB91"/>
    <mergeCell ref="BM93:BN93"/>
    <mergeCell ref="BR93:BS93"/>
    <mergeCell ref="BW93:BX93"/>
    <mergeCell ref="BW4:BZ4"/>
    <mergeCell ref="AE91:AH91"/>
    <mergeCell ref="AJ91:AM91"/>
    <mergeCell ref="AO91:AR91"/>
    <mergeCell ref="BM91:BP91"/>
    <mergeCell ref="BR91:BU91"/>
    <mergeCell ref="BW91:BZ91"/>
    <mergeCell ref="AE4:AH4"/>
    <mergeCell ref="AJ4:AM4"/>
    <mergeCell ref="AO4:AR4"/>
    <mergeCell ref="BM4:BP4"/>
    <mergeCell ref="AT4:AW4"/>
    <mergeCell ref="AT91:AW91"/>
    <mergeCell ref="BD4:BG4"/>
    <mergeCell ref="BD91:BG91"/>
  </mergeCells>
  <dataValidations count="1">
    <dataValidation type="list" allowBlank="1" showInputMessage="1" showErrorMessage="1" sqref="M616" xr:uid="{9576E55B-EA16-48A3-AB92-212C8DDBC37A}">
      <formula1>$M$617:$M$618</formula1>
    </dataValidation>
  </dataValidations>
  <pageMargins left="0.511811024" right="0.511811024" top="0.78740157499999996" bottom="0.78740157499999996" header="0.31496062000000002" footer="0.31496062000000002"/>
  <pageSetup paperSize="9" scale="38" orientation="portrait" r:id="rId1"/>
  <rowBreaks count="6" manualBreakCount="6">
    <brk id="588" min="8" max="23" man="1"/>
    <brk id="700" min="8" max="23" man="1"/>
    <brk id="844" min="8" max="23" man="1"/>
    <brk id="985" min="8" max="23" man="1"/>
    <brk id="1377" min="8" max="23" man="1"/>
    <brk id="1473" min="8" max="23" man="1"/>
  </rowBreaks>
  <ignoredErrors>
    <ignoredError sqref="L971:L972" formula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CF05AB4C-4958-4E8D-BE04-CD7DDD11B680}">
          <x14:formula1>
            <xm:f>'Listas de apoio'!$A$2:$A$4</xm:f>
          </x14:formula1>
          <xm:sqref>AK7:AK89 AK538:AK587 AK96:AK115 AK118:AK137 AK140:AK159 AK162:AK181 AK184:AK203 AK206:AK225 AK228:AK247 AK250:AK269 AK272:AK291 AK294:AK313 AK316:AK335 AK338:AK357 AK360:AK379 AK382:AK401 AK404:AK423 AK426:AK445 AK448:AK467 AK470:AK489 AK492:AK511 AK514:AK533</xm:sqref>
        </x14:dataValidation>
        <x14:dataValidation type="list" allowBlank="1" xr:uid="{8639D0AF-5594-4849-AE7C-550610B84FFD}">
          <x14:formula1>
            <xm:f>'Listas de apoio'!$B$2:$B$3</xm:f>
          </x14:formula1>
          <xm:sqref>AT7:AT89 AJ7:AJ89 AO7:AO89 BD7:BD89 AE7:AE89 AO162:AO181 AO118:AO137 AO538:AO587 AO96:AO115 AY7:AY89 AE140:AE159 AE184:AE203 AO470:AO489 AO206:AO225 AO228:AO247 AO250:AO269 AO492:AO511 AO272:AO291 AO294:AO313 AT316:AT335 AT338:AT357 AO360:AO379 AO382:AO401 AO404:AO423 AO426:AO445 AO448:AO467 AY538:AY587 BD538:BD587 AT538:AT587 AJ538:AJ587 AE538:AE587 AY96:AY115 BD96:BD115 AT96:AT115 AE96:AE115 AJ96:AJ115 AY118:AY137 BD118:BD137 AT118:AT137 AE118:AE137 AJ118:AJ137 AY140:AY159 BD140:BD159 AT140:AT159 AJ140:AJ159 AO140:AO159 AY162:AY181 BD162:BD181 AT162:AT181 AE162:AE181 AJ162:AJ181 AY184:AY203 BD184:BD203 AT184:AT203 AJ184:AJ203 AO184:AO203 AY206:AY225 BD206:BD225 AT206:AT225 AJ206:AJ225 AE206:AE225 AY228:AY247 BD228:BD247 AT228:AT247 AJ228:AJ247 AE228:AE247 AY250:AY269 BD250:BD269 AT250:AT269 AJ250:AJ269 AE250:AE269 AY272:AY291 BD272:BD291 AT272:AT291 AJ272:AJ291 AE272:AE291 AY294:AY313 BD294:BD313 AT294:AT313 AJ294:AJ313 AE294:AE313 AY316:AY335 AJ316:AJ335 AE316:AE335 AO316:AO335 BD316:BD335 AY338:AY357 AJ338:AJ357 AE338:AE357 AO338:AO357 BD338:BD357 AY360:AY379 BD360:BD379 AT360:AT379 AJ360:AJ379 AE360:AE379 AY382:AY401 BD382:BD401 AT382:AT401 AJ382:AJ401 AE382:AE401 AY404:AY423 BD404:BD423 AT404:AT423 AJ404:AJ423 AE404:AE423 AY426:AY445 BD426:BD445 AT426:AT445 AJ426:AJ445 AE426:AE445 AY448:AY467 BD448:BD467 AT448:AT467 AJ448:AJ467 AE448:AE467 AY470:AY489 BD470:BD489 AT470:AT489 AJ470:AJ489 AE470:AE489 AY492:AY511 BD492:BD511 AT492:AT511 AJ492:AJ511 AE492:AE511 AY514:AY533 BD514:BD533 AT514:AT533 AJ514:AJ533 AE514:AE533 AO514:AO533</xm:sqref>
        </x14:dataValidation>
        <x14:dataValidation type="list" allowBlank="1" xr:uid="{D239666D-E322-440F-A145-757EB8FD4D9A}">
          <x14:formula1>
            <xm:f>Salários!$E$32:$E$114</xm:f>
          </x14:formula1>
          <xm:sqref>J7:J89</xm:sqref>
        </x14:dataValidation>
        <x14:dataValidation type="list" allowBlank="1" xr:uid="{2C4914C8-D31E-4851-946E-83E36DC10961}">
          <x14:formula1>
            <xm:f>Salários!#REF!</xm:f>
          </x14:formula1>
          <xm:sqref>J470:J489 J538:J587 J96:J115 J118:J137 J140:J159 J162:J181 J184:J203 J206:J225 J228:J247 J250:J269 J272:J291 J294:J313 J316:J335 J338:J357 J360:J379 J382:J401 J404:J423 J426:J445 J448:J467 J492:J511 J514:J533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44D-CAF1-4691-8B41-DE067641DACE}">
  <sheetPr>
    <outlinePr summaryBelow="0" summaryRight="0"/>
  </sheetPr>
  <dimension ref="A1:BF19"/>
  <sheetViews>
    <sheetView showGridLines="0" topLeftCell="A6" zoomScale="70" zoomScaleNormal="70" workbookViewId="0">
      <selection activeCell="F11" sqref="F11"/>
    </sheetView>
  </sheetViews>
  <sheetFormatPr defaultColWidth="8.85546875" defaultRowHeight="24" customHeight="1" outlineLevelCol="1"/>
  <cols>
    <col min="1" max="1" width="6.85546875" style="210" customWidth="1"/>
    <col min="2" max="2" width="40.85546875" style="210" customWidth="1"/>
    <col min="3" max="3" width="0.85546875" style="210" customWidth="1"/>
    <col min="4" max="4" width="12.85546875" style="210" customWidth="1"/>
    <col min="5" max="5" width="0.85546875" style="210" customWidth="1" outlineLevel="1"/>
    <col min="6" max="6" width="10.85546875" style="210" customWidth="1" outlineLevel="1"/>
    <col min="7" max="7" width="16.85546875" style="210" customWidth="1" outlineLevel="1"/>
    <col min="8" max="8" width="0.85546875" style="210" customWidth="1" outlineLevel="1"/>
    <col min="9" max="9" width="10.85546875" style="210" customWidth="1" outlineLevel="1"/>
    <col min="10" max="10" width="16.85546875" style="210" customWidth="1" outlineLevel="1"/>
    <col min="11" max="11" width="0.85546875" style="210" customWidth="1" outlineLevel="1"/>
    <col min="12" max="12" width="10.85546875" style="210" customWidth="1" outlineLevel="1"/>
    <col min="13" max="13" width="16.85546875" style="210" customWidth="1" outlineLevel="1"/>
    <col min="14" max="14" width="0.85546875" style="210" customWidth="1" outlineLevel="1"/>
    <col min="15" max="15" width="12.140625" style="210" bestFit="1" customWidth="1"/>
    <col min="16" max="16" width="0.85546875" style="210" customWidth="1"/>
    <col min="17" max="17" width="12.85546875" style="210" customWidth="1"/>
    <col min="18" max="37" width="5.85546875" style="210" customWidth="1" outlineLevel="1"/>
    <col min="38" max="38" width="0.85546875" style="210" customWidth="1"/>
    <col min="39" max="58" width="5.85546875" style="210" hidden="1" customWidth="1"/>
    <col min="59" max="16384" width="8.85546875" style="210"/>
  </cols>
  <sheetData>
    <row r="1" spans="1:58" ht="48" customHeight="1">
      <c r="A1" s="73" t="s">
        <v>196</v>
      </c>
      <c r="B1" s="73" t="s">
        <v>1583</v>
      </c>
      <c r="D1" s="73" t="s">
        <v>1584</v>
      </c>
      <c r="F1" s="73" t="s">
        <v>255</v>
      </c>
      <c r="G1" s="73" t="s">
        <v>1585</v>
      </c>
      <c r="I1" s="73" t="s">
        <v>546</v>
      </c>
      <c r="J1" s="73" t="s">
        <v>1586</v>
      </c>
      <c r="L1" s="73" t="s">
        <v>1587</v>
      </c>
      <c r="M1" s="73" t="s">
        <v>1588</v>
      </c>
      <c r="O1" s="73" t="s">
        <v>1589</v>
      </c>
      <c r="Q1" s="73" t="s">
        <v>1590</v>
      </c>
      <c r="R1" s="87" t="str">
        <f>Tarefas!G3</f>
        <v>Equipe_01</v>
      </c>
      <c r="S1" s="87" t="str">
        <f>Tarefas!G4</f>
        <v>Equipe_02</v>
      </c>
      <c r="T1" s="87" t="str">
        <f>Tarefas!G5</f>
        <v>Equipe_03</v>
      </c>
      <c r="U1" s="87" t="str">
        <f>Tarefas!G6</f>
        <v>Equipe_04</v>
      </c>
      <c r="V1" s="87" t="str">
        <f>Tarefas!G7</f>
        <v>Equipe_05</v>
      </c>
      <c r="W1" s="87" t="str">
        <f>Tarefas!G8</f>
        <v>Equipe_06</v>
      </c>
      <c r="X1" s="87" t="str">
        <f>Tarefas!G9</f>
        <v>Equipe_07</v>
      </c>
      <c r="Y1" s="87" t="str">
        <f>Tarefas!G10</f>
        <v>Equipe_08</v>
      </c>
      <c r="Z1" s="87" t="str">
        <f>Tarefas!G11</f>
        <v>Equipe_09</v>
      </c>
      <c r="AA1" s="87" t="str">
        <f>Tarefas!G12</f>
        <v>Equipe_10</v>
      </c>
      <c r="AB1" s="87" t="str">
        <f>Tarefas!G13</f>
        <v>Equipe_11</v>
      </c>
      <c r="AC1" s="87" t="str">
        <f>Tarefas!G14</f>
        <v>Equipe_12</v>
      </c>
      <c r="AD1" s="87" t="str">
        <f>Tarefas!G15</f>
        <v>Equipe_13</v>
      </c>
      <c r="AE1" s="87" t="str">
        <f>Tarefas!G16</f>
        <v>Equipe_14</v>
      </c>
      <c r="AF1" s="87" t="str">
        <f>Tarefas!G17</f>
        <v>Equipe_15</v>
      </c>
      <c r="AG1" s="87" t="str">
        <f>Tarefas!G18</f>
        <v>Equipe_16</v>
      </c>
      <c r="AH1" s="87" t="str">
        <f>Tarefas!G19</f>
        <v>Equipe_17</v>
      </c>
      <c r="AI1" s="87" t="str">
        <f>Tarefas!G20</f>
        <v>Equipe_18</v>
      </c>
      <c r="AJ1" s="87" t="str">
        <f>Tarefas!G21</f>
        <v>Equipe_19</v>
      </c>
      <c r="AK1" s="87" t="str">
        <f>Tarefas!G22</f>
        <v>Equipe_20</v>
      </c>
      <c r="AM1" s="211" t="str">
        <f>R1</f>
        <v>Equipe_01</v>
      </c>
      <c r="AN1" s="211" t="str">
        <f t="shared" ref="AN1:BF1" si="0">S1</f>
        <v>Equipe_02</v>
      </c>
      <c r="AO1" s="211" t="str">
        <f t="shared" si="0"/>
        <v>Equipe_03</v>
      </c>
      <c r="AP1" s="211" t="str">
        <f t="shared" si="0"/>
        <v>Equipe_04</v>
      </c>
      <c r="AQ1" s="211" t="str">
        <f t="shared" si="0"/>
        <v>Equipe_05</v>
      </c>
      <c r="AR1" s="211" t="str">
        <f t="shared" si="0"/>
        <v>Equipe_06</v>
      </c>
      <c r="AS1" s="211" t="str">
        <f t="shared" si="0"/>
        <v>Equipe_07</v>
      </c>
      <c r="AT1" s="211" t="str">
        <f t="shared" si="0"/>
        <v>Equipe_08</v>
      </c>
      <c r="AU1" s="211" t="str">
        <f t="shared" si="0"/>
        <v>Equipe_09</v>
      </c>
      <c r="AV1" s="211" t="str">
        <f t="shared" si="0"/>
        <v>Equipe_10</v>
      </c>
      <c r="AW1" s="211" t="str">
        <f t="shared" si="0"/>
        <v>Equipe_11</v>
      </c>
      <c r="AX1" s="211" t="str">
        <f t="shared" si="0"/>
        <v>Equipe_12</v>
      </c>
      <c r="AY1" s="211" t="str">
        <f t="shared" si="0"/>
        <v>Equipe_13</v>
      </c>
      <c r="AZ1" s="211" t="str">
        <f t="shared" si="0"/>
        <v>Equipe_14</v>
      </c>
      <c r="BA1" s="211" t="str">
        <f t="shared" si="0"/>
        <v>Equipe_15</v>
      </c>
      <c r="BB1" s="211" t="str">
        <f t="shared" si="0"/>
        <v>Equipe_16</v>
      </c>
      <c r="BC1" s="211" t="str">
        <f t="shared" si="0"/>
        <v>Equipe_17</v>
      </c>
      <c r="BD1" s="211" t="str">
        <f t="shared" si="0"/>
        <v>Equipe_18</v>
      </c>
      <c r="BE1" s="211" t="str">
        <f t="shared" si="0"/>
        <v>Equipe_19</v>
      </c>
      <c r="BF1" s="211" t="str">
        <f t="shared" si="0"/>
        <v>Equipe_20</v>
      </c>
    </row>
    <row r="2" spans="1:58" ht="24" customHeight="1">
      <c r="A2" s="212">
        <v>1</v>
      </c>
      <c r="B2" s="213" t="s">
        <v>1591</v>
      </c>
      <c r="F2" s="214">
        <v>60</v>
      </c>
      <c r="G2" s="215" t="s">
        <v>1592</v>
      </c>
      <c r="I2" s="214">
        <v>253</v>
      </c>
      <c r="J2" s="215" t="s">
        <v>1593</v>
      </c>
      <c r="L2" s="216">
        <f>5/24</f>
        <v>0.20833333333333334</v>
      </c>
      <c r="M2" s="215" t="s">
        <v>1594</v>
      </c>
      <c r="O2" s="217">
        <f>IFERROR(F2/I2*L2,0)</f>
        <v>4.9407114624505928E-2</v>
      </c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M2" s="219">
        <f>IF(R2="S",$O2,0)</f>
        <v>0</v>
      </c>
      <c r="AN2" s="219">
        <f t="shared" ref="AN2:AN16" si="1">IF(S2="S",$O2,0)</f>
        <v>0</v>
      </c>
      <c r="AO2" s="219">
        <f t="shared" ref="AO2:AO16" si="2">IF(T2="S",$O2,0)</f>
        <v>0</v>
      </c>
      <c r="AP2" s="219">
        <f t="shared" ref="AP2:AP16" si="3">IF(U2="S",$O2,0)</f>
        <v>0</v>
      </c>
      <c r="AQ2" s="219">
        <f t="shared" ref="AQ2:AQ16" si="4">IF(V2="S",$O2,0)</f>
        <v>0</v>
      </c>
      <c r="AR2" s="219">
        <f t="shared" ref="AR2:AR16" si="5">IF(W2="S",$O2,0)</f>
        <v>0</v>
      </c>
      <c r="AS2" s="219">
        <f t="shared" ref="AS2:AS16" si="6">IF(X2="S",$O2,0)</f>
        <v>0</v>
      </c>
      <c r="AT2" s="219">
        <f t="shared" ref="AT2:AT16" si="7">IF(Y2="S",$O2,0)</f>
        <v>0</v>
      </c>
      <c r="AU2" s="219">
        <f t="shared" ref="AU2:AU16" si="8">IF(Z2="S",$O2,0)</f>
        <v>0</v>
      </c>
      <c r="AV2" s="219">
        <f t="shared" ref="AV2:AV16" si="9">IF(AA2="S",$O2,0)</f>
        <v>0</v>
      </c>
      <c r="AW2" s="219">
        <f t="shared" ref="AW2:AW16" si="10">IF(AB2="S",$O2,0)</f>
        <v>0</v>
      </c>
      <c r="AX2" s="219">
        <f t="shared" ref="AX2:AX16" si="11">IF(AC2="S",$O2,0)</f>
        <v>0</v>
      </c>
      <c r="AY2" s="219">
        <f t="shared" ref="AY2:AY16" si="12">IF(AD2="S",$O2,0)</f>
        <v>0</v>
      </c>
      <c r="AZ2" s="219">
        <f t="shared" ref="AZ2:AZ16" si="13">IF(AE2="S",$O2,0)</f>
        <v>0</v>
      </c>
      <c r="BA2" s="219">
        <f t="shared" ref="BA2:BA16" si="14">IF(AF2="S",$O2,0)</f>
        <v>0</v>
      </c>
      <c r="BB2" s="219">
        <f t="shared" ref="BB2:BB16" si="15">IF(AG2="S",$O2,0)</f>
        <v>0</v>
      </c>
      <c r="BC2" s="219">
        <f t="shared" ref="BC2:BC16" si="16">IF(AH2="S",$O2,0)</f>
        <v>0</v>
      </c>
      <c r="BD2" s="219">
        <f t="shared" ref="BD2:BD16" si="17">IF(AI2="S",$O2,0)</f>
        <v>0</v>
      </c>
      <c r="BE2" s="219">
        <f t="shared" ref="BE2:BE16" si="18">IF(AJ2="S",$O2,0)</f>
        <v>0</v>
      </c>
      <c r="BF2" s="219">
        <f t="shared" ref="BF2:BF16" si="19">IF(AK2="S",$O2,0)</f>
        <v>0</v>
      </c>
    </row>
    <row r="3" spans="1:58" ht="24" customHeight="1">
      <c r="A3" s="212">
        <v>2</v>
      </c>
      <c r="B3" s="213" t="s">
        <v>1251</v>
      </c>
      <c r="F3" s="214">
        <f>(40/60)*12*20</f>
        <v>160</v>
      </c>
      <c r="G3" s="215" t="s">
        <v>1595</v>
      </c>
      <c r="I3" s="214">
        <f t="shared" ref="I3:I10" si="20">176*12</f>
        <v>2112</v>
      </c>
      <c r="J3" s="215" t="s">
        <v>1596</v>
      </c>
      <c r="L3" s="216">
        <v>1</v>
      </c>
      <c r="M3" s="215" t="s">
        <v>1594</v>
      </c>
      <c r="O3" s="217">
        <f t="shared" ref="O3:O16" si="21">IFERROR(F3/I3*L3,0)</f>
        <v>7.575757575757576E-2</v>
      </c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M3" s="219">
        <f t="shared" ref="AM3:AM16" si="22">IF(R3="S",$O3,0)</f>
        <v>0</v>
      </c>
      <c r="AN3" s="219">
        <f t="shared" si="1"/>
        <v>0</v>
      </c>
      <c r="AO3" s="219">
        <f t="shared" si="2"/>
        <v>0</v>
      </c>
      <c r="AP3" s="219">
        <f t="shared" si="3"/>
        <v>0</v>
      </c>
      <c r="AQ3" s="219">
        <f t="shared" si="4"/>
        <v>0</v>
      </c>
      <c r="AR3" s="219">
        <f t="shared" si="5"/>
        <v>0</v>
      </c>
      <c r="AS3" s="219">
        <f t="shared" si="6"/>
        <v>0</v>
      </c>
      <c r="AT3" s="219">
        <f t="shared" si="7"/>
        <v>0</v>
      </c>
      <c r="AU3" s="219">
        <f t="shared" si="8"/>
        <v>0</v>
      </c>
      <c r="AV3" s="219">
        <f t="shared" si="9"/>
        <v>0</v>
      </c>
      <c r="AW3" s="219">
        <f t="shared" si="10"/>
        <v>0</v>
      </c>
      <c r="AX3" s="219">
        <f t="shared" si="11"/>
        <v>0</v>
      </c>
      <c r="AY3" s="219">
        <f t="shared" si="12"/>
        <v>0</v>
      </c>
      <c r="AZ3" s="219">
        <f t="shared" si="13"/>
        <v>0</v>
      </c>
      <c r="BA3" s="219">
        <f t="shared" si="14"/>
        <v>0</v>
      </c>
      <c r="BB3" s="219">
        <f t="shared" si="15"/>
        <v>0</v>
      </c>
      <c r="BC3" s="219">
        <f t="shared" si="16"/>
        <v>0</v>
      </c>
      <c r="BD3" s="219">
        <f t="shared" si="17"/>
        <v>0</v>
      </c>
      <c r="BE3" s="219">
        <f t="shared" si="18"/>
        <v>0</v>
      </c>
      <c r="BF3" s="219">
        <f t="shared" si="19"/>
        <v>0</v>
      </c>
    </row>
    <row r="4" spans="1:58" ht="24" customHeight="1">
      <c r="A4" s="212">
        <v>3</v>
      </c>
      <c r="B4" s="213" t="s">
        <v>1597</v>
      </c>
      <c r="F4" s="214">
        <f>(10/60)*12*20</f>
        <v>40</v>
      </c>
      <c r="G4" s="215" t="s">
        <v>1598</v>
      </c>
      <c r="I4" s="214">
        <f t="shared" si="20"/>
        <v>2112</v>
      </c>
      <c r="J4" s="215" t="s">
        <v>1596</v>
      </c>
      <c r="L4" s="216">
        <v>1</v>
      </c>
      <c r="M4" s="215" t="s">
        <v>1594</v>
      </c>
      <c r="O4" s="217">
        <f t="shared" si="21"/>
        <v>1.893939393939394E-2</v>
      </c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M4" s="219">
        <f t="shared" si="22"/>
        <v>0</v>
      </c>
      <c r="AN4" s="219">
        <f t="shared" si="1"/>
        <v>0</v>
      </c>
      <c r="AO4" s="219">
        <f t="shared" si="2"/>
        <v>0</v>
      </c>
      <c r="AP4" s="219">
        <f t="shared" si="3"/>
        <v>0</v>
      </c>
      <c r="AQ4" s="219">
        <f t="shared" si="4"/>
        <v>0</v>
      </c>
      <c r="AR4" s="219">
        <f t="shared" si="5"/>
        <v>0</v>
      </c>
      <c r="AS4" s="219">
        <f t="shared" si="6"/>
        <v>0</v>
      </c>
      <c r="AT4" s="219">
        <f t="shared" si="7"/>
        <v>0</v>
      </c>
      <c r="AU4" s="219">
        <f t="shared" si="8"/>
        <v>0</v>
      </c>
      <c r="AV4" s="219">
        <f t="shared" si="9"/>
        <v>0</v>
      </c>
      <c r="AW4" s="219">
        <f t="shared" si="10"/>
        <v>0</v>
      </c>
      <c r="AX4" s="219">
        <f t="shared" si="11"/>
        <v>0</v>
      </c>
      <c r="AY4" s="219">
        <f t="shared" si="12"/>
        <v>0</v>
      </c>
      <c r="AZ4" s="219">
        <f t="shared" si="13"/>
        <v>0</v>
      </c>
      <c r="BA4" s="219">
        <f t="shared" si="14"/>
        <v>0</v>
      </c>
      <c r="BB4" s="219">
        <f t="shared" si="15"/>
        <v>0</v>
      </c>
      <c r="BC4" s="219">
        <f t="shared" si="16"/>
        <v>0</v>
      </c>
      <c r="BD4" s="219">
        <f t="shared" si="17"/>
        <v>0</v>
      </c>
      <c r="BE4" s="219">
        <f t="shared" si="18"/>
        <v>0</v>
      </c>
      <c r="BF4" s="219">
        <f t="shared" si="19"/>
        <v>0</v>
      </c>
    </row>
    <row r="5" spans="1:58" ht="24" customHeight="1">
      <c r="A5" s="212">
        <v>4</v>
      </c>
      <c r="B5" s="213" t="s">
        <v>1599</v>
      </c>
      <c r="F5" s="214">
        <f>(30/60)*12*20</f>
        <v>120</v>
      </c>
      <c r="G5" s="215" t="s">
        <v>1600</v>
      </c>
      <c r="I5" s="214">
        <f t="shared" si="20"/>
        <v>2112</v>
      </c>
      <c r="J5" s="215" t="s">
        <v>1596</v>
      </c>
      <c r="L5" s="216">
        <v>1</v>
      </c>
      <c r="M5" s="215" t="s">
        <v>1594</v>
      </c>
      <c r="O5" s="217">
        <f t="shared" si="21"/>
        <v>5.6818181818181816E-2</v>
      </c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M5" s="219">
        <f t="shared" si="22"/>
        <v>0</v>
      </c>
      <c r="AN5" s="219">
        <f t="shared" si="1"/>
        <v>0</v>
      </c>
      <c r="AO5" s="219">
        <f t="shared" si="2"/>
        <v>0</v>
      </c>
      <c r="AP5" s="219">
        <f t="shared" si="3"/>
        <v>0</v>
      </c>
      <c r="AQ5" s="219">
        <f t="shared" si="4"/>
        <v>0</v>
      </c>
      <c r="AR5" s="219">
        <f t="shared" si="5"/>
        <v>0</v>
      </c>
      <c r="AS5" s="219">
        <f t="shared" si="6"/>
        <v>0</v>
      </c>
      <c r="AT5" s="219">
        <f t="shared" si="7"/>
        <v>0</v>
      </c>
      <c r="AU5" s="219">
        <f t="shared" si="8"/>
        <v>0</v>
      </c>
      <c r="AV5" s="219">
        <f t="shared" si="9"/>
        <v>0</v>
      </c>
      <c r="AW5" s="219">
        <f t="shared" si="10"/>
        <v>0</v>
      </c>
      <c r="AX5" s="219">
        <f t="shared" si="11"/>
        <v>0</v>
      </c>
      <c r="AY5" s="219">
        <f t="shared" si="12"/>
        <v>0</v>
      </c>
      <c r="AZ5" s="219">
        <f t="shared" si="13"/>
        <v>0</v>
      </c>
      <c r="BA5" s="219">
        <f t="shared" si="14"/>
        <v>0</v>
      </c>
      <c r="BB5" s="219">
        <f t="shared" si="15"/>
        <v>0</v>
      </c>
      <c r="BC5" s="219">
        <f t="shared" si="16"/>
        <v>0</v>
      </c>
      <c r="BD5" s="219">
        <f t="shared" si="17"/>
        <v>0</v>
      </c>
      <c r="BE5" s="219">
        <f t="shared" si="18"/>
        <v>0</v>
      </c>
      <c r="BF5" s="219">
        <f t="shared" si="19"/>
        <v>0</v>
      </c>
    </row>
    <row r="6" spans="1:58" ht="24" customHeight="1">
      <c r="A6" s="212">
        <v>5</v>
      </c>
      <c r="B6" s="213" t="s">
        <v>1601</v>
      </c>
      <c r="F6" s="214">
        <f>(60/60)*12*20</f>
        <v>240</v>
      </c>
      <c r="G6" s="215" t="s">
        <v>1602</v>
      </c>
      <c r="I6" s="214">
        <f t="shared" si="20"/>
        <v>2112</v>
      </c>
      <c r="J6" s="215" t="s">
        <v>1596</v>
      </c>
      <c r="L6" s="216">
        <f>5/250</f>
        <v>0.02</v>
      </c>
      <c r="M6" s="215" t="s">
        <v>1603</v>
      </c>
      <c r="O6" s="217">
        <f t="shared" si="21"/>
        <v>2.2727272727272726E-3</v>
      </c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M6" s="219">
        <f t="shared" si="22"/>
        <v>0</v>
      </c>
      <c r="AN6" s="219">
        <f t="shared" si="1"/>
        <v>0</v>
      </c>
      <c r="AO6" s="219">
        <f t="shared" si="2"/>
        <v>0</v>
      </c>
      <c r="AP6" s="219">
        <f t="shared" si="3"/>
        <v>0</v>
      </c>
      <c r="AQ6" s="219">
        <f t="shared" si="4"/>
        <v>0</v>
      </c>
      <c r="AR6" s="219">
        <f t="shared" si="5"/>
        <v>0</v>
      </c>
      <c r="AS6" s="219">
        <f t="shared" si="6"/>
        <v>0</v>
      </c>
      <c r="AT6" s="219">
        <f t="shared" si="7"/>
        <v>0</v>
      </c>
      <c r="AU6" s="219">
        <f t="shared" si="8"/>
        <v>0</v>
      </c>
      <c r="AV6" s="219">
        <f t="shared" si="9"/>
        <v>0</v>
      </c>
      <c r="AW6" s="219">
        <f t="shared" si="10"/>
        <v>0</v>
      </c>
      <c r="AX6" s="219">
        <f t="shared" si="11"/>
        <v>0</v>
      </c>
      <c r="AY6" s="219">
        <f t="shared" si="12"/>
        <v>0</v>
      </c>
      <c r="AZ6" s="219">
        <f t="shared" si="13"/>
        <v>0</v>
      </c>
      <c r="BA6" s="219">
        <f t="shared" si="14"/>
        <v>0</v>
      </c>
      <c r="BB6" s="219">
        <f t="shared" si="15"/>
        <v>0</v>
      </c>
      <c r="BC6" s="219">
        <f t="shared" si="16"/>
        <v>0</v>
      </c>
      <c r="BD6" s="219">
        <f t="shared" si="17"/>
        <v>0</v>
      </c>
      <c r="BE6" s="219">
        <f t="shared" si="18"/>
        <v>0</v>
      </c>
      <c r="BF6" s="219">
        <f t="shared" si="19"/>
        <v>0</v>
      </c>
    </row>
    <row r="7" spans="1:58" ht="24" customHeight="1">
      <c r="A7" s="212">
        <v>6</v>
      </c>
      <c r="B7" s="213" t="s">
        <v>1604</v>
      </c>
      <c r="F7" s="214">
        <f>(20/60)*12*20</f>
        <v>80</v>
      </c>
      <c r="G7" s="215" t="s">
        <v>1605</v>
      </c>
      <c r="I7" s="214">
        <f t="shared" si="20"/>
        <v>2112</v>
      </c>
      <c r="J7" s="215" t="s">
        <v>1596</v>
      </c>
      <c r="L7" s="216">
        <v>1</v>
      </c>
      <c r="M7" s="215" t="s">
        <v>1594</v>
      </c>
      <c r="O7" s="217">
        <f t="shared" si="21"/>
        <v>3.787878787878788E-2</v>
      </c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M7" s="219">
        <f t="shared" si="22"/>
        <v>0</v>
      </c>
      <c r="AN7" s="219">
        <f t="shared" si="1"/>
        <v>0</v>
      </c>
      <c r="AO7" s="219">
        <f t="shared" si="2"/>
        <v>0</v>
      </c>
      <c r="AP7" s="219">
        <f t="shared" si="3"/>
        <v>0</v>
      </c>
      <c r="AQ7" s="219">
        <f t="shared" si="4"/>
        <v>0</v>
      </c>
      <c r="AR7" s="219">
        <f t="shared" si="5"/>
        <v>0</v>
      </c>
      <c r="AS7" s="219">
        <f t="shared" si="6"/>
        <v>0</v>
      </c>
      <c r="AT7" s="219">
        <f t="shared" si="7"/>
        <v>0</v>
      </c>
      <c r="AU7" s="219">
        <f t="shared" si="8"/>
        <v>0</v>
      </c>
      <c r="AV7" s="219">
        <f t="shared" si="9"/>
        <v>0</v>
      </c>
      <c r="AW7" s="219">
        <f t="shared" si="10"/>
        <v>0</v>
      </c>
      <c r="AX7" s="219">
        <f t="shared" si="11"/>
        <v>0</v>
      </c>
      <c r="AY7" s="219">
        <f t="shared" si="12"/>
        <v>0</v>
      </c>
      <c r="AZ7" s="219">
        <f t="shared" si="13"/>
        <v>0</v>
      </c>
      <c r="BA7" s="219">
        <f t="shared" si="14"/>
        <v>0</v>
      </c>
      <c r="BB7" s="219">
        <f t="shared" si="15"/>
        <v>0</v>
      </c>
      <c r="BC7" s="219">
        <f t="shared" si="16"/>
        <v>0</v>
      </c>
      <c r="BD7" s="219">
        <f t="shared" si="17"/>
        <v>0</v>
      </c>
      <c r="BE7" s="219">
        <f t="shared" si="18"/>
        <v>0</v>
      </c>
      <c r="BF7" s="219">
        <f t="shared" si="19"/>
        <v>0</v>
      </c>
    </row>
    <row r="8" spans="1:58" ht="24" customHeight="1">
      <c r="A8" s="212">
        <v>7</v>
      </c>
      <c r="B8" s="213" t="s">
        <v>1606</v>
      </c>
      <c r="F8" s="214">
        <f>(15/60)*12*20</f>
        <v>60</v>
      </c>
      <c r="G8" s="215" t="s">
        <v>1607</v>
      </c>
      <c r="I8" s="214">
        <f t="shared" si="20"/>
        <v>2112</v>
      </c>
      <c r="J8" s="215" t="s">
        <v>1596</v>
      </c>
      <c r="L8" s="216">
        <v>1</v>
      </c>
      <c r="M8" s="215" t="s">
        <v>1594</v>
      </c>
      <c r="O8" s="217">
        <f t="shared" si="21"/>
        <v>2.8409090909090908E-2</v>
      </c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M8" s="219">
        <f t="shared" si="22"/>
        <v>0</v>
      </c>
      <c r="AN8" s="219">
        <f t="shared" si="1"/>
        <v>0</v>
      </c>
      <c r="AO8" s="219">
        <f t="shared" si="2"/>
        <v>0</v>
      </c>
      <c r="AP8" s="219">
        <f t="shared" si="3"/>
        <v>0</v>
      </c>
      <c r="AQ8" s="219">
        <f t="shared" si="4"/>
        <v>0</v>
      </c>
      <c r="AR8" s="219">
        <f t="shared" si="5"/>
        <v>0</v>
      </c>
      <c r="AS8" s="219">
        <f t="shared" si="6"/>
        <v>0</v>
      </c>
      <c r="AT8" s="219">
        <f t="shared" si="7"/>
        <v>0</v>
      </c>
      <c r="AU8" s="219">
        <f t="shared" si="8"/>
        <v>0</v>
      </c>
      <c r="AV8" s="219">
        <f t="shared" si="9"/>
        <v>0</v>
      </c>
      <c r="AW8" s="219">
        <f t="shared" si="10"/>
        <v>0</v>
      </c>
      <c r="AX8" s="219">
        <f t="shared" si="11"/>
        <v>0</v>
      </c>
      <c r="AY8" s="219">
        <f t="shared" si="12"/>
        <v>0</v>
      </c>
      <c r="AZ8" s="219">
        <f t="shared" si="13"/>
        <v>0</v>
      </c>
      <c r="BA8" s="219">
        <f t="shared" si="14"/>
        <v>0</v>
      </c>
      <c r="BB8" s="219">
        <f t="shared" si="15"/>
        <v>0</v>
      </c>
      <c r="BC8" s="219">
        <f t="shared" si="16"/>
        <v>0</v>
      </c>
      <c r="BD8" s="219">
        <f t="shared" si="17"/>
        <v>0</v>
      </c>
      <c r="BE8" s="219">
        <f t="shared" si="18"/>
        <v>0</v>
      </c>
      <c r="BF8" s="219">
        <f t="shared" si="19"/>
        <v>0</v>
      </c>
    </row>
    <row r="9" spans="1:58" ht="24" customHeight="1">
      <c r="A9" s="212">
        <v>8</v>
      </c>
      <c r="B9" s="213" t="s">
        <v>1608</v>
      </c>
      <c r="F9" s="214">
        <f>8.8*2</f>
        <v>17.600000000000001</v>
      </c>
      <c r="G9" s="215" t="s">
        <v>1609</v>
      </c>
      <c r="I9" s="214">
        <f t="shared" si="20"/>
        <v>2112</v>
      </c>
      <c r="J9" s="215" t="s">
        <v>1596</v>
      </c>
      <c r="L9" s="216">
        <v>1</v>
      </c>
      <c r="M9" s="215" t="s">
        <v>1594</v>
      </c>
      <c r="O9" s="217">
        <f>IFERROR(F9/I9*L9,0)</f>
        <v>8.3333333333333332E-3</v>
      </c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M9" s="219">
        <f t="shared" si="22"/>
        <v>0</v>
      </c>
      <c r="AN9" s="219">
        <f t="shared" si="1"/>
        <v>0</v>
      </c>
      <c r="AO9" s="219">
        <f t="shared" si="2"/>
        <v>0</v>
      </c>
      <c r="AP9" s="219">
        <f t="shared" si="3"/>
        <v>0</v>
      </c>
      <c r="AQ9" s="219">
        <f t="shared" si="4"/>
        <v>0</v>
      </c>
      <c r="AR9" s="219">
        <f t="shared" si="5"/>
        <v>0</v>
      </c>
      <c r="AS9" s="219">
        <f t="shared" si="6"/>
        <v>0</v>
      </c>
      <c r="AT9" s="219">
        <f t="shared" si="7"/>
        <v>0</v>
      </c>
      <c r="AU9" s="219">
        <f t="shared" si="8"/>
        <v>0</v>
      </c>
      <c r="AV9" s="219">
        <f t="shared" si="9"/>
        <v>0</v>
      </c>
      <c r="AW9" s="219">
        <f t="shared" si="10"/>
        <v>0</v>
      </c>
      <c r="AX9" s="219">
        <f t="shared" si="11"/>
        <v>0</v>
      </c>
      <c r="AY9" s="219">
        <f t="shared" si="12"/>
        <v>0</v>
      </c>
      <c r="AZ9" s="219">
        <f t="shared" si="13"/>
        <v>0</v>
      </c>
      <c r="BA9" s="219">
        <f t="shared" si="14"/>
        <v>0</v>
      </c>
      <c r="BB9" s="219">
        <f t="shared" si="15"/>
        <v>0</v>
      </c>
      <c r="BC9" s="219">
        <f t="shared" si="16"/>
        <v>0</v>
      </c>
      <c r="BD9" s="219">
        <f t="shared" si="17"/>
        <v>0</v>
      </c>
      <c r="BE9" s="219">
        <f t="shared" si="18"/>
        <v>0</v>
      </c>
      <c r="BF9" s="219">
        <f t="shared" si="19"/>
        <v>0</v>
      </c>
    </row>
    <row r="10" spans="1:58" ht="24" customHeight="1">
      <c r="A10" s="212">
        <v>9</v>
      </c>
      <c r="B10" s="213" t="s">
        <v>1610</v>
      </c>
      <c r="F10" s="214">
        <f>(15/60)*12*20</f>
        <v>60</v>
      </c>
      <c r="G10" s="215" t="s">
        <v>1611</v>
      </c>
      <c r="I10" s="214">
        <f t="shared" si="20"/>
        <v>2112</v>
      </c>
      <c r="J10" s="215" t="s">
        <v>1596</v>
      </c>
      <c r="L10" s="216">
        <v>1</v>
      </c>
      <c r="M10" s="215" t="s">
        <v>1594</v>
      </c>
      <c r="O10" s="217">
        <f t="shared" si="21"/>
        <v>2.8409090909090908E-2</v>
      </c>
      <c r="R10" s="218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M10" s="219">
        <f t="shared" si="22"/>
        <v>0</v>
      </c>
      <c r="AN10" s="219">
        <f t="shared" si="1"/>
        <v>0</v>
      </c>
      <c r="AO10" s="219">
        <f t="shared" si="2"/>
        <v>0</v>
      </c>
      <c r="AP10" s="219">
        <f t="shared" si="3"/>
        <v>0</v>
      </c>
      <c r="AQ10" s="219">
        <f t="shared" si="4"/>
        <v>0</v>
      </c>
      <c r="AR10" s="219">
        <f t="shared" si="5"/>
        <v>0</v>
      </c>
      <c r="AS10" s="219">
        <f t="shared" si="6"/>
        <v>0</v>
      </c>
      <c r="AT10" s="219">
        <f t="shared" si="7"/>
        <v>0</v>
      </c>
      <c r="AU10" s="219">
        <f t="shared" si="8"/>
        <v>0</v>
      </c>
      <c r="AV10" s="219">
        <f t="shared" si="9"/>
        <v>0</v>
      </c>
      <c r="AW10" s="219">
        <f t="shared" si="10"/>
        <v>0</v>
      </c>
      <c r="AX10" s="219">
        <f t="shared" si="11"/>
        <v>0</v>
      </c>
      <c r="AY10" s="219">
        <f t="shared" si="12"/>
        <v>0</v>
      </c>
      <c r="AZ10" s="219">
        <f t="shared" si="13"/>
        <v>0</v>
      </c>
      <c r="BA10" s="219">
        <f t="shared" si="14"/>
        <v>0</v>
      </c>
      <c r="BB10" s="219">
        <f t="shared" si="15"/>
        <v>0</v>
      </c>
      <c r="BC10" s="219">
        <f t="shared" si="16"/>
        <v>0</v>
      </c>
      <c r="BD10" s="219">
        <f t="shared" si="17"/>
        <v>0</v>
      </c>
      <c r="BE10" s="219">
        <f t="shared" si="18"/>
        <v>0</v>
      </c>
      <c r="BF10" s="219">
        <f t="shared" si="19"/>
        <v>0</v>
      </c>
    </row>
    <row r="11" spans="1:58" ht="24" customHeight="1">
      <c r="A11" s="212">
        <v>10</v>
      </c>
      <c r="B11" s="213"/>
      <c r="F11" s="214"/>
      <c r="G11" s="215"/>
      <c r="I11" s="214"/>
      <c r="J11" s="215"/>
      <c r="L11" s="216"/>
      <c r="M11" s="215"/>
      <c r="O11" s="217">
        <f t="shared" si="21"/>
        <v>0</v>
      </c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M11" s="219">
        <f t="shared" si="22"/>
        <v>0</v>
      </c>
      <c r="AN11" s="219">
        <f t="shared" si="1"/>
        <v>0</v>
      </c>
      <c r="AO11" s="219">
        <f t="shared" si="2"/>
        <v>0</v>
      </c>
      <c r="AP11" s="219">
        <f t="shared" si="3"/>
        <v>0</v>
      </c>
      <c r="AQ11" s="219">
        <f t="shared" si="4"/>
        <v>0</v>
      </c>
      <c r="AR11" s="219">
        <f t="shared" si="5"/>
        <v>0</v>
      </c>
      <c r="AS11" s="219">
        <f t="shared" si="6"/>
        <v>0</v>
      </c>
      <c r="AT11" s="219">
        <f t="shared" si="7"/>
        <v>0</v>
      </c>
      <c r="AU11" s="219">
        <f t="shared" si="8"/>
        <v>0</v>
      </c>
      <c r="AV11" s="219">
        <f t="shared" si="9"/>
        <v>0</v>
      </c>
      <c r="AW11" s="219">
        <f t="shared" si="10"/>
        <v>0</v>
      </c>
      <c r="AX11" s="219">
        <f t="shared" si="11"/>
        <v>0</v>
      </c>
      <c r="AY11" s="219">
        <f t="shared" si="12"/>
        <v>0</v>
      </c>
      <c r="AZ11" s="219">
        <f t="shared" si="13"/>
        <v>0</v>
      </c>
      <c r="BA11" s="219">
        <f t="shared" si="14"/>
        <v>0</v>
      </c>
      <c r="BB11" s="219">
        <f t="shared" si="15"/>
        <v>0</v>
      </c>
      <c r="BC11" s="219">
        <f t="shared" si="16"/>
        <v>0</v>
      </c>
      <c r="BD11" s="219">
        <f t="shared" si="17"/>
        <v>0</v>
      </c>
      <c r="BE11" s="219">
        <f t="shared" si="18"/>
        <v>0</v>
      </c>
      <c r="BF11" s="219">
        <f t="shared" si="19"/>
        <v>0</v>
      </c>
    </row>
    <row r="12" spans="1:58" ht="24" customHeight="1">
      <c r="A12" s="212">
        <v>11</v>
      </c>
      <c r="B12" s="213"/>
      <c r="F12" s="214"/>
      <c r="G12" s="215"/>
      <c r="I12" s="214"/>
      <c r="J12" s="215"/>
      <c r="L12" s="216"/>
      <c r="M12" s="215"/>
      <c r="O12" s="217">
        <f t="shared" si="21"/>
        <v>0</v>
      </c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M12" s="219">
        <f t="shared" si="22"/>
        <v>0</v>
      </c>
      <c r="AN12" s="219">
        <f t="shared" si="1"/>
        <v>0</v>
      </c>
      <c r="AO12" s="219">
        <f t="shared" si="2"/>
        <v>0</v>
      </c>
      <c r="AP12" s="219">
        <f t="shared" si="3"/>
        <v>0</v>
      </c>
      <c r="AQ12" s="219">
        <f t="shared" si="4"/>
        <v>0</v>
      </c>
      <c r="AR12" s="219">
        <f t="shared" si="5"/>
        <v>0</v>
      </c>
      <c r="AS12" s="219">
        <f t="shared" si="6"/>
        <v>0</v>
      </c>
      <c r="AT12" s="219">
        <f t="shared" si="7"/>
        <v>0</v>
      </c>
      <c r="AU12" s="219">
        <f t="shared" si="8"/>
        <v>0</v>
      </c>
      <c r="AV12" s="219">
        <f t="shared" si="9"/>
        <v>0</v>
      </c>
      <c r="AW12" s="219">
        <f t="shared" si="10"/>
        <v>0</v>
      </c>
      <c r="AX12" s="219">
        <f t="shared" si="11"/>
        <v>0</v>
      </c>
      <c r="AY12" s="219">
        <f t="shared" si="12"/>
        <v>0</v>
      </c>
      <c r="AZ12" s="219">
        <f t="shared" si="13"/>
        <v>0</v>
      </c>
      <c r="BA12" s="219">
        <f t="shared" si="14"/>
        <v>0</v>
      </c>
      <c r="BB12" s="219">
        <f t="shared" si="15"/>
        <v>0</v>
      </c>
      <c r="BC12" s="219">
        <f t="shared" si="16"/>
        <v>0</v>
      </c>
      <c r="BD12" s="219">
        <f t="shared" si="17"/>
        <v>0</v>
      </c>
      <c r="BE12" s="219">
        <f t="shared" si="18"/>
        <v>0</v>
      </c>
      <c r="BF12" s="219">
        <f t="shared" si="19"/>
        <v>0</v>
      </c>
    </row>
    <row r="13" spans="1:58" ht="24" customHeight="1">
      <c r="A13" s="212">
        <v>12</v>
      </c>
      <c r="B13" s="213"/>
      <c r="F13" s="214"/>
      <c r="G13" s="215"/>
      <c r="I13" s="214"/>
      <c r="J13" s="215"/>
      <c r="L13" s="216"/>
      <c r="M13" s="215"/>
      <c r="O13" s="217">
        <f t="shared" si="21"/>
        <v>0</v>
      </c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M13" s="219">
        <f t="shared" si="22"/>
        <v>0</v>
      </c>
      <c r="AN13" s="219">
        <f t="shared" si="1"/>
        <v>0</v>
      </c>
      <c r="AO13" s="219">
        <f t="shared" si="2"/>
        <v>0</v>
      </c>
      <c r="AP13" s="219">
        <f t="shared" si="3"/>
        <v>0</v>
      </c>
      <c r="AQ13" s="219">
        <f t="shared" si="4"/>
        <v>0</v>
      </c>
      <c r="AR13" s="219">
        <f t="shared" si="5"/>
        <v>0</v>
      </c>
      <c r="AS13" s="219">
        <f t="shared" si="6"/>
        <v>0</v>
      </c>
      <c r="AT13" s="219">
        <f t="shared" si="7"/>
        <v>0</v>
      </c>
      <c r="AU13" s="219">
        <f t="shared" si="8"/>
        <v>0</v>
      </c>
      <c r="AV13" s="219">
        <f t="shared" si="9"/>
        <v>0</v>
      </c>
      <c r="AW13" s="219">
        <f t="shared" si="10"/>
        <v>0</v>
      </c>
      <c r="AX13" s="219">
        <f t="shared" si="11"/>
        <v>0</v>
      </c>
      <c r="AY13" s="219">
        <f t="shared" si="12"/>
        <v>0</v>
      </c>
      <c r="AZ13" s="219">
        <f t="shared" si="13"/>
        <v>0</v>
      </c>
      <c r="BA13" s="219">
        <f t="shared" si="14"/>
        <v>0</v>
      </c>
      <c r="BB13" s="219">
        <f t="shared" si="15"/>
        <v>0</v>
      </c>
      <c r="BC13" s="219">
        <f t="shared" si="16"/>
        <v>0</v>
      </c>
      <c r="BD13" s="219">
        <f t="shared" si="17"/>
        <v>0</v>
      </c>
      <c r="BE13" s="219">
        <f t="shared" si="18"/>
        <v>0</v>
      </c>
      <c r="BF13" s="219">
        <f t="shared" si="19"/>
        <v>0</v>
      </c>
    </row>
    <row r="14" spans="1:58" ht="24" customHeight="1">
      <c r="A14" s="212">
        <v>13</v>
      </c>
      <c r="B14" s="213"/>
      <c r="F14" s="214"/>
      <c r="G14" s="215"/>
      <c r="I14" s="214"/>
      <c r="J14" s="215"/>
      <c r="L14" s="216"/>
      <c r="M14" s="215"/>
      <c r="O14" s="217">
        <f t="shared" si="21"/>
        <v>0</v>
      </c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M14" s="219">
        <f t="shared" si="22"/>
        <v>0</v>
      </c>
      <c r="AN14" s="219">
        <f t="shared" si="1"/>
        <v>0</v>
      </c>
      <c r="AO14" s="219">
        <f t="shared" si="2"/>
        <v>0</v>
      </c>
      <c r="AP14" s="219">
        <f t="shared" si="3"/>
        <v>0</v>
      </c>
      <c r="AQ14" s="219">
        <f t="shared" si="4"/>
        <v>0</v>
      </c>
      <c r="AR14" s="219">
        <f t="shared" si="5"/>
        <v>0</v>
      </c>
      <c r="AS14" s="219">
        <f t="shared" si="6"/>
        <v>0</v>
      </c>
      <c r="AT14" s="219">
        <f t="shared" si="7"/>
        <v>0</v>
      </c>
      <c r="AU14" s="219">
        <f t="shared" si="8"/>
        <v>0</v>
      </c>
      <c r="AV14" s="219">
        <f t="shared" si="9"/>
        <v>0</v>
      </c>
      <c r="AW14" s="219">
        <f t="shared" si="10"/>
        <v>0</v>
      </c>
      <c r="AX14" s="219">
        <f t="shared" si="11"/>
        <v>0</v>
      </c>
      <c r="AY14" s="219">
        <f t="shared" si="12"/>
        <v>0</v>
      </c>
      <c r="AZ14" s="219">
        <f t="shared" si="13"/>
        <v>0</v>
      </c>
      <c r="BA14" s="219">
        <f t="shared" si="14"/>
        <v>0</v>
      </c>
      <c r="BB14" s="219">
        <f t="shared" si="15"/>
        <v>0</v>
      </c>
      <c r="BC14" s="219">
        <f t="shared" si="16"/>
        <v>0</v>
      </c>
      <c r="BD14" s="219">
        <f t="shared" si="17"/>
        <v>0</v>
      </c>
      <c r="BE14" s="219">
        <f t="shared" si="18"/>
        <v>0</v>
      </c>
      <c r="BF14" s="219">
        <f t="shared" si="19"/>
        <v>0</v>
      </c>
    </row>
    <row r="15" spans="1:58" ht="24" customHeight="1">
      <c r="A15" s="212">
        <v>14</v>
      </c>
      <c r="B15" s="213"/>
      <c r="F15" s="214"/>
      <c r="G15" s="215"/>
      <c r="I15" s="214"/>
      <c r="J15" s="215"/>
      <c r="L15" s="216"/>
      <c r="M15" s="215"/>
      <c r="O15" s="217">
        <f t="shared" si="21"/>
        <v>0</v>
      </c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M15" s="219">
        <f t="shared" si="22"/>
        <v>0</v>
      </c>
      <c r="AN15" s="219">
        <f t="shared" si="1"/>
        <v>0</v>
      </c>
      <c r="AO15" s="219">
        <f t="shared" si="2"/>
        <v>0</v>
      </c>
      <c r="AP15" s="219">
        <f t="shared" si="3"/>
        <v>0</v>
      </c>
      <c r="AQ15" s="219">
        <f t="shared" si="4"/>
        <v>0</v>
      </c>
      <c r="AR15" s="219">
        <f t="shared" si="5"/>
        <v>0</v>
      </c>
      <c r="AS15" s="219">
        <f t="shared" si="6"/>
        <v>0</v>
      </c>
      <c r="AT15" s="219">
        <f t="shared" si="7"/>
        <v>0</v>
      </c>
      <c r="AU15" s="219">
        <f t="shared" si="8"/>
        <v>0</v>
      </c>
      <c r="AV15" s="219">
        <f t="shared" si="9"/>
        <v>0</v>
      </c>
      <c r="AW15" s="219">
        <f t="shared" si="10"/>
        <v>0</v>
      </c>
      <c r="AX15" s="219">
        <f t="shared" si="11"/>
        <v>0</v>
      </c>
      <c r="AY15" s="219">
        <f t="shared" si="12"/>
        <v>0</v>
      </c>
      <c r="AZ15" s="219">
        <f t="shared" si="13"/>
        <v>0</v>
      </c>
      <c r="BA15" s="219">
        <f t="shared" si="14"/>
        <v>0</v>
      </c>
      <c r="BB15" s="219">
        <f t="shared" si="15"/>
        <v>0</v>
      </c>
      <c r="BC15" s="219">
        <f t="shared" si="16"/>
        <v>0</v>
      </c>
      <c r="BD15" s="219">
        <f t="shared" si="17"/>
        <v>0</v>
      </c>
      <c r="BE15" s="219">
        <f t="shared" si="18"/>
        <v>0</v>
      </c>
      <c r="BF15" s="219">
        <f t="shared" si="19"/>
        <v>0</v>
      </c>
    </row>
    <row r="16" spans="1:58" ht="24" customHeight="1">
      <c r="A16" s="212">
        <v>15</v>
      </c>
      <c r="B16" s="213"/>
      <c r="F16" s="214"/>
      <c r="G16" s="215"/>
      <c r="I16" s="214"/>
      <c r="J16" s="215"/>
      <c r="L16" s="216"/>
      <c r="M16" s="215"/>
      <c r="O16" s="217">
        <f t="shared" si="21"/>
        <v>0</v>
      </c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M16" s="219">
        <f t="shared" si="22"/>
        <v>0</v>
      </c>
      <c r="AN16" s="219">
        <f t="shared" si="1"/>
        <v>0</v>
      </c>
      <c r="AO16" s="219">
        <f t="shared" si="2"/>
        <v>0</v>
      </c>
      <c r="AP16" s="219">
        <f t="shared" si="3"/>
        <v>0</v>
      </c>
      <c r="AQ16" s="219">
        <f t="shared" si="4"/>
        <v>0</v>
      </c>
      <c r="AR16" s="219">
        <f t="shared" si="5"/>
        <v>0</v>
      </c>
      <c r="AS16" s="219">
        <f t="shared" si="6"/>
        <v>0</v>
      </c>
      <c r="AT16" s="219">
        <f t="shared" si="7"/>
        <v>0</v>
      </c>
      <c r="AU16" s="219">
        <f t="shared" si="8"/>
        <v>0</v>
      </c>
      <c r="AV16" s="219">
        <f t="shared" si="9"/>
        <v>0</v>
      </c>
      <c r="AW16" s="219">
        <f t="shared" si="10"/>
        <v>0</v>
      </c>
      <c r="AX16" s="219">
        <f t="shared" si="11"/>
        <v>0</v>
      </c>
      <c r="AY16" s="219">
        <f t="shared" si="12"/>
        <v>0</v>
      </c>
      <c r="AZ16" s="219">
        <f t="shared" si="13"/>
        <v>0</v>
      </c>
      <c r="BA16" s="219">
        <f t="shared" si="14"/>
        <v>0</v>
      </c>
      <c r="BB16" s="219">
        <f t="shared" si="15"/>
        <v>0</v>
      </c>
      <c r="BC16" s="219">
        <f t="shared" si="16"/>
        <v>0</v>
      </c>
      <c r="BD16" s="219">
        <f t="shared" si="17"/>
        <v>0</v>
      </c>
      <c r="BE16" s="219">
        <f t="shared" si="18"/>
        <v>0</v>
      </c>
      <c r="BF16" s="219">
        <f t="shared" si="19"/>
        <v>0</v>
      </c>
    </row>
    <row r="17" spans="4:58" ht="24" customHeight="1">
      <c r="D17" s="150" t="s">
        <v>1612</v>
      </c>
      <c r="E17" s="221" t="s">
        <v>1613</v>
      </c>
      <c r="F17" s="221" t="s">
        <v>1613</v>
      </c>
      <c r="G17" s="221" t="s">
        <v>1613</v>
      </c>
      <c r="H17" s="221" t="s">
        <v>1613</v>
      </c>
      <c r="I17" s="221" t="s">
        <v>1613</v>
      </c>
      <c r="J17" s="221" t="s">
        <v>1613</v>
      </c>
      <c r="K17" s="221" t="s">
        <v>1613</v>
      </c>
      <c r="L17" s="221" t="s">
        <v>1613</v>
      </c>
      <c r="M17" s="221" t="s">
        <v>1613</v>
      </c>
      <c r="N17" s="221" t="s">
        <v>1613</v>
      </c>
      <c r="O17" s="222">
        <f>SUM(O2:O16)</f>
        <v>0.30622529644268776</v>
      </c>
      <c r="R17" s="222">
        <f>AM17</f>
        <v>0</v>
      </c>
      <c r="S17" s="222">
        <f t="shared" ref="S17:AK17" si="23">AN17</f>
        <v>0</v>
      </c>
      <c r="T17" s="222">
        <f t="shared" si="23"/>
        <v>0</v>
      </c>
      <c r="U17" s="222">
        <f t="shared" si="23"/>
        <v>0</v>
      </c>
      <c r="V17" s="222">
        <f t="shared" si="23"/>
        <v>0</v>
      </c>
      <c r="W17" s="222">
        <f t="shared" si="23"/>
        <v>0</v>
      </c>
      <c r="X17" s="222">
        <f t="shared" si="23"/>
        <v>0</v>
      </c>
      <c r="Y17" s="222">
        <f t="shared" si="23"/>
        <v>0</v>
      </c>
      <c r="Z17" s="222">
        <f t="shared" si="23"/>
        <v>0</v>
      </c>
      <c r="AA17" s="222">
        <f t="shared" si="23"/>
        <v>0</v>
      </c>
      <c r="AB17" s="222">
        <f t="shared" si="23"/>
        <v>0</v>
      </c>
      <c r="AC17" s="222">
        <f t="shared" si="23"/>
        <v>0</v>
      </c>
      <c r="AD17" s="222">
        <f t="shared" si="23"/>
        <v>0</v>
      </c>
      <c r="AE17" s="222">
        <f t="shared" si="23"/>
        <v>0</v>
      </c>
      <c r="AF17" s="222">
        <f t="shared" si="23"/>
        <v>0</v>
      </c>
      <c r="AG17" s="222">
        <f t="shared" si="23"/>
        <v>0</v>
      </c>
      <c r="AH17" s="222">
        <f t="shared" si="23"/>
        <v>0</v>
      </c>
      <c r="AI17" s="222">
        <f t="shared" si="23"/>
        <v>0</v>
      </c>
      <c r="AJ17" s="222">
        <f t="shared" si="23"/>
        <v>0</v>
      </c>
      <c r="AK17" s="222">
        <f t="shared" si="23"/>
        <v>0</v>
      </c>
      <c r="AM17" s="223">
        <f t="shared" ref="AM17" si="24">SUM(AM2:AM16)</f>
        <v>0</v>
      </c>
      <c r="AN17" s="223">
        <f t="shared" ref="AN17" si="25">SUM(AN2:AN16)</f>
        <v>0</v>
      </c>
      <c r="AO17" s="223">
        <f t="shared" ref="AO17" si="26">SUM(AO2:AO16)</f>
        <v>0</v>
      </c>
      <c r="AP17" s="223">
        <f t="shared" ref="AP17" si="27">SUM(AP2:AP16)</f>
        <v>0</v>
      </c>
      <c r="AQ17" s="223">
        <f t="shared" ref="AQ17" si="28">SUM(AQ2:AQ16)</f>
        <v>0</v>
      </c>
      <c r="AR17" s="223">
        <f t="shared" ref="AR17" si="29">SUM(AR2:AR16)</f>
        <v>0</v>
      </c>
      <c r="AS17" s="223">
        <f t="shared" ref="AS17" si="30">SUM(AS2:AS16)</f>
        <v>0</v>
      </c>
      <c r="AT17" s="223">
        <f t="shared" ref="AT17" si="31">SUM(AT2:AT16)</f>
        <v>0</v>
      </c>
      <c r="AU17" s="223">
        <f t="shared" ref="AU17" si="32">SUM(AU2:AU16)</f>
        <v>0</v>
      </c>
      <c r="AV17" s="223">
        <f t="shared" ref="AV17" si="33">SUM(AV2:AV16)</f>
        <v>0</v>
      </c>
      <c r="AW17" s="223">
        <f t="shared" ref="AW17" si="34">SUM(AW2:AW16)</f>
        <v>0</v>
      </c>
      <c r="AX17" s="223">
        <f t="shared" ref="AX17" si="35">SUM(AX2:AX16)</f>
        <v>0</v>
      </c>
      <c r="AY17" s="223">
        <f t="shared" ref="AY17" si="36">SUM(AY2:AY16)</f>
        <v>0</v>
      </c>
      <c r="AZ17" s="223">
        <f t="shared" ref="AZ17" si="37">SUM(AZ2:AZ16)</f>
        <v>0</v>
      </c>
      <c r="BA17" s="223">
        <f t="shared" ref="BA17" si="38">SUM(BA2:BA16)</f>
        <v>0</v>
      </c>
      <c r="BB17" s="223">
        <f t="shared" ref="BB17" si="39">SUM(BB2:BB16)</f>
        <v>0</v>
      </c>
      <c r="BC17" s="223">
        <f t="shared" ref="BC17" si="40">SUM(BC2:BC16)</f>
        <v>0</v>
      </c>
      <c r="BD17" s="223">
        <f t="shared" ref="BD17" si="41">SUM(BD2:BD16)</f>
        <v>0</v>
      </c>
      <c r="BE17" s="223">
        <f t="shared" ref="BE17" si="42">SUM(BE2:BE16)</f>
        <v>0</v>
      </c>
      <c r="BF17" s="223">
        <f t="shared" ref="BF17" si="43">SUM(BF2:BF16)</f>
        <v>0</v>
      </c>
    </row>
    <row r="18" spans="4:58" ht="6" customHeight="1">
      <c r="D18" s="224"/>
      <c r="F18" s="220"/>
      <c r="G18" s="220"/>
      <c r="I18" s="220"/>
      <c r="J18" s="220"/>
      <c r="L18" s="220"/>
      <c r="O18" s="220"/>
    </row>
    <row r="19" spans="4:58" ht="24" customHeight="1">
      <c r="D19" s="150" t="s">
        <v>1614</v>
      </c>
      <c r="E19" s="221" t="s">
        <v>1613</v>
      </c>
      <c r="F19" s="221" t="s">
        <v>1613</v>
      </c>
      <c r="G19" s="221" t="s">
        <v>1613</v>
      </c>
      <c r="H19" s="221" t="s">
        <v>1613</v>
      </c>
      <c r="I19" s="221" t="s">
        <v>1613</v>
      </c>
      <c r="J19" s="221" t="s">
        <v>1613</v>
      </c>
      <c r="K19" s="221" t="s">
        <v>1613</v>
      </c>
      <c r="L19" s="221" t="s">
        <v>1613</v>
      </c>
      <c r="M19" s="221" t="s">
        <v>1613</v>
      </c>
      <c r="N19" s="221" t="s">
        <v>1613</v>
      </c>
      <c r="O19" s="222">
        <f>1-O17</f>
        <v>0.6937747035573123</v>
      </c>
      <c r="R19" s="225">
        <f t="shared" ref="R19:AK19" si="44">1-R17</f>
        <v>1</v>
      </c>
      <c r="S19" s="225">
        <f t="shared" si="44"/>
        <v>1</v>
      </c>
      <c r="T19" s="225">
        <f t="shared" si="44"/>
        <v>1</v>
      </c>
      <c r="U19" s="225">
        <f t="shared" si="44"/>
        <v>1</v>
      </c>
      <c r="V19" s="225">
        <f t="shared" si="44"/>
        <v>1</v>
      </c>
      <c r="W19" s="225">
        <f t="shared" si="44"/>
        <v>1</v>
      </c>
      <c r="X19" s="225">
        <f t="shared" si="44"/>
        <v>1</v>
      </c>
      <c r="Y19" s="225">
        <f t="shared" si="44"/>
        <v>1</v>
      </c>
      <c r="Z19" s="225">
        <f t="shared" si="44"/>
        <v>1</v>
      </c>
      <c r="AA19" s="225">
        <f t="shared" si="44"/>
        <v>1</v>
      </c>
      <c r="AB19" s="225">
        <f t="shared" si="44"/>
        <v>1</v>
      </c>
      <c r="AC19" s="225">
        <f t="shared" si="44"/>
        <v>1</v>
      </c>
      <c r="AD19" s="225">
        <f t="shared" si="44"/>
        <v>1</v>
      </c>
      <c r="AE19" s="225">
        <f t="shared" si="44"/>
        <v>1</v>
      </c>
      <c r="AF19" s="225">
        <f t="shared" si="44"/>
        <v>1</v>
      </c>
      <c r="AG19" s="225">
        <f t="shared" si="44"/>
        <v>1</v>
      </c>
      <c r="AH19" s="225">
        <f t="shared" si="44"/>
        <v>1</v>
      </c>
      <c r="AI19" s="225">
        <f t="shared" si="44"/>
        <v>1</v>
      </c>
      <c r="AJ19" s="225">
        <f t="shared" si="44"/>
        <v>1</v>
      </c>
      <c r="AK19" s="225">
        <f t="shared" si="44"/>
        <v>1</v>
      </c>
    </row>
  </sheetData>
  <conditionalFormatting sqref="R2:AK16">
    <cfRule type="cellIs" dxfId="16" priority="1" operator="equal">
      <formula>"N"</formula>
    </cfRule>
    <cfRule type="cellIs" dxfId="15" priority="2" operator="equal">
      <formula>"S"</formula>
    </cfRule>
  </conditionalFormatting>
  <dataValidations count="1">
    <dataValidation type="list" allowBlank="1" sqref="R2:AK16" xr:uid="{AAF8F0C2-F8A1-4BFC-874A-56CBF4DEAE0D}">
      <formula1>"S, N,"</formula1>
    </dataValidation>
  </dataValidation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2547-7846-4BA0-ADC0-109CBA6E49A3}">
  <sheetPr codeName="Planilha8">
    <tabColor rgb="FF0070C0"/>
    <outlinePr summaryBelow="0" summaryRight="0"/>
  </sheetPr>
  <dimension ref="A1:AV55"/>
  <sheetViews>
    <sheetView showGridLines="0" zoomScale="55" zoomScaleNormal="55" workbookViewId="0">
      <pane xSplit="5" ySplit="4" topLeftCell="AE5" activePane="bottomRight" state="frozen"/>
      <selection pane="bottomRight" activeCell="AT6" sqref="AT6"/>
      <selection pane="bottomLeft" activeCell="A5" sqref="A5"/>
      <selection pane="topRight" activeCell="F1" sqref="F1"/>
    </sheetView>
  </sheetViews>
  <sheetFormatPr defaultColWidth="8.85546875" defaultRowHeight="24" customHeight="1" outlineLevelCol="1"/>
  <cols>
    <col min="1" max="1" width="6.85546875" style="210" customWidth="1"/>
    <col min="2" max="4" width="10.85546875" style="210" customWidth="1"/>
    <col min="5" max="5" width="30.85546875" style="226" customWidth="1"/>
    <col min="6" max="7" width="30.85546875" style="227" customWidth="1" outlineLevel="1"/>
    <col min="8" max="8" width="12.85546875" style="210" customWidth="1" outlineLevel="1"/>
    <col min="9" max="9" width="0.85546875" style="210" customWidth="1"/>
    <col min="10" max="10" width="6.85546875" style="210" customWidth="1"/>
    <col min="11" max="11" width="14.85546875" style="210" customWidth="1" outlineLevel="1"/>
    <col min="12" max="12" width="20.85546875" style="210" customWidth="1" outlineLevel="1"/>
    <col min="13" max="13" width="14.85546875" style="210" customWidth="1" outlineLevel="1"/>
    <col min="14" max="15" width="20.85546875" style="210" customWidth="1" outlineLevel="1"/>
    <col min="16" max="17" width="6.85546875" style="228" hidden="1" customWidth="1"/>
    <col min="18" max="20" width="12.85546875" style="229" hidden="1" customWidth="1"/>
    <col min="21" max="21" width="0.85546875" style="210" customWidth="1"/>
    <col min="22" max="22" width="6.85546875" style="210" customWidth="1"/>
    <col min="23" max="23" width="10.85546875" style="210" customWidth="1" outlineLevel="1"/>
    <col min="24" max="24" width="30.85546875" style="226" customWidth="1" outlineLevel="1"/>
    <col min="25" max="25" width="12.85546875" style="210" customWidth="1" outlineLevel="1"/>
    <col min="26" max="26" width="14.85546875" style="210" customWidth="1" outlineLevel="1"/>
    <col min="27" max="27" width="20.85546875" style="210" customWidth="1" outlineLevel="1"/>
    <col min="28" max="28" width="14.85546875" style="210" customWidth="1" outlineLevel="1"/>
    <col min="29" max="30" width="20.85546875" style="210" customWidth="1" outlineLevel="1"/>
    <col min="31" max="35" width="10.85546875" style="210" customWidth="1"/>
    <col min="36" max="37" width="6.85546875" style="228" customWidth="1"/>
    <col min="38" max="40" width="12.85546875" style="229" customWidth="1"/>
    <col min="41" max="41" width="0.85546875" style="210" customWidth="1"/>
    <col min="42" max="42" width="6.85546875" style="210" customWidth="1"/>
    <col min="43" max="43" width="30.85546875" style="226" customWidth="1" outlineLevel="1"/>
    <col min="44" max="44" width="12.85546875" style="228" customWidth="1" outlineLevel="1"/>
    <col min="45" max="46" width="16.85546875" style="229" customWidth="1" outlineLevel="1"/>
    <col min="47" max="47" width="16.85546875" style="229" customWidth="1"/>
    <col min="48" max="48" width="12.140625" style="210" bestFit="1" customWidth="1"/>
    <col min="49" max="16384" width="8.85546875" style="210"/>
  </cols>
  <sheetData>
    <row r="1" spans="1:48" ht="24" customHeight="1">
      <c r="S1" s="230" t="s">
        <v>1615</v>
      </c>
      <c r="T1" s="231">
        <f>SUM(T6:T55)</f>
        <v>18750</v>
      </c>
      <c r="AM1" s="230" t="s">
        <v>1615</v>
      </c>
      <c r="AN1" s="231">
        <f>SUM(AN6:AN55)</f>
        <v>18750</v>
      </c>
      <c r="AU1" s="232">
        <f ca="1">SUM(AU6:AU55)</f>
        <v>0</v>
      </c>
      <c r="AV1" s="233">
        <f ca="1">IFERROR(AU1/Dashboard!T9,0)</f>
        <v>0</v>
      </c>
    </row>
    <row r="2" spans="1:48" ht="24" customHeight="1">
      <c r="A2" s="642" t="s">
        <v>1616</v>
      </c>
      <c r="B2" s="635" t="s">
        <v>1616</v>
      </c>
      <c r="C2" s="635"/>
      <c r="D2" s="635"/>
      <c r="E2" s="635"/>
      <c r="F2" s="635"/>
      <c r="G2" s="635"/>
      <c r="H2" s="635"/>
      <c r="J2" s="642" t="s">
        <v>1617</v>
      </c>
      <c r="K2" s="635" t="s">
        <v>1617</v>
      </c>
      <c r="L2" s="635"/>
      <c r="M2" s="635"/>
      <c r="N2" s="635"/>
      <c r="O2" s="635"/>
      <c r="P2" s="638" t="s">
        <v>1618</v>
      </c>
      <c r="Q2" s="639"/>
      <c r="R2" s="639"/>
      <c r="S2" s="639"/>
      <c r="T2" s="639"/>
      <c r="V2" s="642" t="s">
        <v>1619</v>
      </c>
      <c r="W2" s="635" t="s">
        <v>1619</v>
      </c>
      <c r="X2" s="635"/>
      <c r="Y2" s="635"/>
      <c r="Z2" s="635"/>
      <c r="AA2" s="635"/>
      <c r="AB2" s="635"/>
      <c r="AC2" s="635"/>
      <c r="AD2" s="635"/>
      <c r="AE2" s="638" t="s">
        <v>1618</v>
      </c>
      <c r="AF2" s="638"/>
      <c r="AG2" s="638"/>
      <c r="AH2" s="638"/>
      <c r="AI2" s="638"/>
      <c r="AJ2" s="638"/>
      <c r="AK2" s="638"/>
      <c r="AL2" s="638"/>
      <c r="AM2" s="638"/>
      <c r="AN2" s="638"/>
      <c r="AP2" s="636" t="s">
        <v>1620</v>
      </c>
      <c r="AQ2" s="637" t="s">
        <v>1620</v>
      </c>
      <c r="AR2" s="637"/>
      <c r="AS2" s="637"/>
      <c r="AT2" s="637"/>
      <c r="AU2" s="235" t="s">
        <v>1621</v>
      </c>
    </row>
    <row r="3" spans="1:48" ht="24" customHeight="1">
      <c r="A3" s="642"/>
      <c r="J3" s="642"/>
      <c r="K3" s="641" t="s">
        <v>1622</v>
      </c>
      <c r="L3" s="641"/>
      <c r="M3" s="641"/>
      <c r="N3" s="641"/>
      <c r="O3" s="641"/>
      <c r="V3" s="642"/>
      <c r="Z3" s="641" t="s">
        <v>1623</v>
      </c>
      <c r="AA3" s="641"/>
      <c r="AB3" s="641"/>
      <c r="AC3" s="641"/>
      <c r="AD3" s="641"/>
      <c r="AP3" s="636"/>
    </row>
    <row r="4" spans="1:48" s="237" customFormat="1" ht="24" customHeight="1">
      <c r="A4" s="642"/>
      <c r="B4" s="236" t="s">
        <v>1624</v>
      </c>
      <c r="C4" s="236" t="s">
        <v>1625</v>
      </c>
      <c r="D4" s="236" t="s">
        <v>1626</v>
      </c>
      <c r="E4" s="236" t="s">
        <v>1564</v>
      </c>
      <c r="F4" s="236" t="s">
        <v>1627</v>
      </c>
      <c r="G4" s="236" t="s">
        <v>1628</v>
      </c>
      <c r="H4" s="236" t="s">
        <v>1629</v>
      </c>
      <c r="J4" s="642"/>
      <c r="K4" s="236" t="s">
        <v>1630</v>
      </c>
      <c r="L4" s="236" t="s">
        <v>1631</v>
      </c>
      <c r="M4" s="236" t="s">
        <v>1632</v>
      </c>
      <c r="N4" s="236" t="s">
        <v>1633</v>
      </c>
      <c r="O4" s="236" t="s">
        <v>1634</v>
      </c>
      <c r="P4" s="238" t="s">
        <v>1635</v>
      </c>
      <c r="Q4" s="238" t="s">
        <v>1636</v>
      </c>
      <c r="R4" s="239" t="s">
        <v>1637</v>
      </c>
      <c r="S4" s="239" t="s">
        <v>1638</v>
      </c>
      <c r="T4" s="239" t="s">
        <v>1639</v>
      </c>
      <c r="V4" s="642"/>
      <c r="W4" s="236" t="s">
        <v>1640</v>
      </c>
      <c r="X4" s="236" t="s">
        <v>1641</v>
      </c>
      <c r="Y4" s="236" t="s">
        <v>1642</v>
      </c>
      <c r="Z4" s="236" t="s">
        <v>1630</v>
      </c>
      <c r="AA4" s="236" t="s">
        <v>1631</v>
      </c>
      <c r="AB4" s="236" t="s">
        <v>1632</v>
      </c>
      <c r="AC4" s="236" t="s">
        <v>1633</v>
      </c>
      <c r="AD4" s="236" t="s">
        <v>1634</v>
      </c>
      <c r="AE4" s="640" t="s">
        <v>1643</v>
      </c>
      <c r="AF4" s="640"/>
      <c r="AG4" s="640"/>
      <c r="AH4" s="640"/>
      <c r="AI4" s="640"/>
      <c r="AJ4" s="238" t="s">
        <v>1635</v>
      </c>
      <c r="AK4" s="238" t="s">
        <v>1636</v>
      </c>
      <c r="AL4" s="239" t="s">
        <v>1637</v>
      </c>
      <c r="AM4" s="239" t="s">
        <v>1638</v>
      </c>
      <c r="AN4" s="239" t="s">
        <v>1639</v>
      </c>
      <c r="AP4" s="636"/>
      <c r="AQ4" s="240" t="s">
        <v>1644</v>
      </c>
      <c r="AR4" s="241" t="s">
        <v>1645</v>
      </c>
      <c r="AS4" s="242" t="s">
        <v>1637</v>
      </c>
      <c r="AT4" s="242" t="s">
        <v>1638</v>
      </c>
      <c r="AU4" s="242" t="s">
        <v>1646</v>
      </c>
    </row>
    <row r="5" spans="1:48" ht="6" customHeight="1">
      <c r="AV5" s="237"/>
    </row>
    <row r="6" spans="1:48" ht="24" customHeight="1">
      <c r="A6" s="243">
        <v>1</v>
      </c>
      <c r="B6" s="244" t="s">
        <v>1647</v>
      </c>
      <c r="C6" s="244" t="s">
        <v>1648</v>
      </c>
      <c r="H6" s="244" t="s">
        <v>1649</v>
      </c>
      <c r="K6" s="244">
        <v>1</v>
      </c>
      <c r="L6" s="245" t="str">
        <f>IFERROR(_xlfn.XLOOKUP(K6,'Listas de apoio'!$K$2:$K$5,'Listas de apoio'!$N$2:$N$5),"")</f>
        <v>Raro
(Prob. &lt;15%)</v>
      </c>
      <c r="M6" s="244">
        <v>1</v>
      </c>
      <c r="N6" s="245" t="str">
        <f>IFERROR(_xlfn.XLOOKUP(M6,'Listas de apoio'!$O$2:$O$5,'Listas de apoio'!$R$2:$R$5),"")</f>
        <v>Insignificante
(de 0,0 a 500,0 R$mil)</v>
      </c>
      <c r="O6" s="246" t="str">
        <f>IFERROR(_xlfn.XLOOKUP((K6*M6),'Listas de apoio'!$S$2:$S$10,'Listas de apoio'!$T$2:$T$10),"")</f>
        <v>Desprezível</v>
      </c>
      <c r="P6" s="247">
        <f>IFERROR(_xlfn.XLOOKUP(K6,'Listas de apoio'!$K$2:$K$5,'Listas de apoio'!$L$2:$L$5),0)</f>
        <v>0</v>
      </c>
      <c r="Q6" s="247">
        <f>IFERROR(_xlfn.XLOOKUP(K6,'Listas de apoio'!$K$2:$K$5,'Listas de apoio'!$M$2:$M$5),0)</f>
        <v>0.15</v>
      </c>
      <c r="R6" s="248">
        <f>IFERROR(_xlfn.XLOOKUP(M6,'Listas de apoio'!$O$2:$O$5,'Listas de apoio'!$P$2:$P$5),0)</f>
        <v>0</v>
      </c>
      <c r="S6" s="248">
        <f>IFERROR(_xlfn.XLOOKUP(M6,'Listas de apoio'!$O$2:$O$5,'Listas de apoio'!$Q$2:$Q$5),0)</f>
        <v>500000</v>
      </c>
      <c r="T6" s="248">
        <f>AVERAGE(P6:Q6)*AVERAGE(R6:S6)</f>
        <v>18750</v>
      </c>
      <c r="W6" s="244" t="s">
        <v>1650</v>
      </c>
      <c r="Z6" s="244">
        <v>1</v>
      </c>
      <c r="AA6" s="245" t="str">
        <f>IFERROR(_xlfn.XLOOKUP(Z6,'Listas de apoio'!$K$2:$K$5,'Listas de apoio'!$N$2:$N$5),"")</f>
        <v>Raro
(Prob. &lt;15%)</v>
      </c>
      <c r="AB6" s="244">
        <v>1</v>
      </c>
      <c r="AC6" s="245" t="str">
        <f>IFERROR(_xlfn.XLOOKUP(AB6,'Listas de apoio'!$O$2:$O$5,'Listas de apoio'!$R$2:$R$5),"")</f>
        <v>Insignificante
(de 0,0 a 500,0 R$mil)</v>
      </c>
      <c r="AD6" s="246" t="str">
        <f>IFERROR(_xlfn.XLOOKUP((Z6*AB6),'Listas de apoio'!$S$2:$S$10,'Listas de apoio'!$T$2:$T$10),"")</f>
        <v>Desprezível</v>
      </c>
      <c r="AE6" s="71" t="str">
        <f>IF($B6="Ameaça","Escalar",IF($B6="Oportunidade","Escalar",""))</f>
        <v>Escalar</v>
      </c>
      <c r="AF6" s="71" t="str">
        <f>IF($B6="Ameaça","Aceitar",IF($B6="Oportunidade","Aceitar",""))</f>
        <v>Aceitar</v>
      </c>
      <c r="AG6" s="71" t="str">
        <f>IF($B6="Ameaça","Mitigar",IF($B6="Oportunidade","Melhorar",""))</f>
        <v>Mitigar</v>
      </c>
      <c r="AH6" s="71" t="str">
        <f>IF($B6="Ameaça","Transferir",IF($B6="Oportunidade","Compartilhar",""))</f>
        <v>Transferir</v>
      </c>
      <c r="AI6" s="71" t="str">
        <f>IF($B6="Ameaça","Eliminar",IF($B6="Oportunidade","Explorar",""))</f>
        <v>Eliminar</v>
      </c>
      <c r="AJ6" s="247">
        <f>IFERROR(_xlfn.XLOOKUP(Z6,'Listas de apoio'!$K$2:$K$5,'Listas de apoio'!$L$2:$L$5),0)</f>
        <v>0</v>
      </c>
      <c r="AK6" s="247">
        <f>IFERROR(_xlfn.XLOOKUP(Z6,'Listas de apoio'!$K$2:$K$5,'Listas de apoio'!$M$2:$M$5),0)</f>
        <v>0.15</v>
      </c>
      <c r="AL6" s="248">
        <f>IFERROR(_xlfn.XLOOKUP(AB6,'Listas de apoio'!$O$2:$O$5,'Listas de apoio'!$P$2:$P$5),0)</f>
        <v>0</v>
      </c>
      <c r="AM6" s="248">
        <f>IFERROR(_xlfn.XLOOKUP(AB6,'Listas de apoio'!$O$2:$O$5,'Listas de apoio'!$Q$2:$Q$5),0)</f>
        <v>500000</v>
      </c>
      <c r="AN6" s="248">
        <f>AVERAGE(AJ6:AK6)*AVERAGE(AL6:AM6)</f>
        <v>18750</v>
      </c>
      <c r="AR6" s="228">
        <v>0.5</v>
      </c>
      <c r="AS6" s="229">
        <v>0</v>
      </c>
      <c r="AU6" s="232">
        <f ca="1">IFERROR(AVERAGE(AVERAGE((RANDBETWEEN(AJ6*100,AK6*100)/100),AR6))*AVERAGE(AS6:AT6),0)</f>
        <v>0</v>
      </c>
      <c r="AV6" s="249">
        <f ca="1">IFERROR(AU6/$AU$1,0)</f>
        <v>0</v>
      </c>
    </row>
    <row r="7" spans="1:48" ht="24" customHeight="1">
      <c r="A7" s="243">
        <v>2</v>
      </c>
      <c r="B7" s="244"/>
      <c r="C7" s="244"/>
      <c r="H7" s="244"/>
      <c r="K7" s="244"/>
      <c r="L7" s="245" t="str">
        <f>IFERROR(_xlfn.XLOOKUP(K7,'Listas de apoio'!$K$2:$K$5,'Listas de apoio'!$N$2:$N$5),"")</f>
        <v/>
      </c>
      <c r="M7" s="244"/>
      <c r="N7" s="245" t="str">
        <f>IFERROR(_xlfn.XLOOKUP(M7,'Listas de apoio'!$O$2:$O$5,'Listas de apoio'!$R$2:$R$5),"")</f>
        <v/>
      </c>
      <c r="O7" s="246" t="str">
        <f>IFERROR(_xlfn.XLOOKUP((K7*M7),'Listas de apoio'!$S$2:$S$10,'Listas de apoio'!$T$2:$T$10),"")</f>
        <v/>
      </c>
      <c r="P7" s="247">
        <f>IFERROR(_xlfn.XLOOKUP(K7,'Listas de apoio'!$K$2:$K$5,'Listas de apoio'!$L$2:$L$5),0)</f>
        <v>0</v>
      </c>
      <c r="Q7" s="247">
        <f>IFERROR(_xlfn.XLOOKUP(K7,'Listas de apoio'!$K$2:$K$5,'Listas de apoio'!$M$2:$M$5),0)</f>
        <v>0</v>
      </c>
      <c r="R7" s="248">
        <f>IFERROR(_xlfn.XLOOKUP(M7,'Listas de apoio'!$O$2:$O$5,'Listas de apoio'!$P$2:$P$5),0)</f>
        <v>0</v>
      </c>
      <c r="S7" s="248">
        <f>IFERROR(_xlfn.XLOOKUP(M7,'Listas de apoio'!$O$2:$O$5,'Listas de apoio'!$Q$2:$Q$5),0)</f>
        <v>0</v>
      </c>
      <c r="T7" s="248">
        <f>AVERAGE(P7:Q7)*AVERAGE(R7:S7)</f>
        <v>0</v>
      </c>
      <c r="W7" s="244"/>
      <c r="Z7" s="244">
        <v>2</v>
      </c>
      <c r="AA7" s="245" t="str">
        <f>IFERROR(_xlfn.XLOOKUP(Z7,'Listas de apoio'!$K$2:$K$5,'Listas de apoio'!$N$2:$N$5),"")</f>
        <v>Improvável
(15% &lt; Prob. &lt; 25%)</v>
      </c>
      <c r="AB7" s="244"/>
      <c r="AC7" s="245" t="str">
        <f>IFERROR(_xlfn.XLOOKUP(AB7,'Listas de apoio'!$O$2:$O$5,'Listas de apoio'!$R$2:$R$5),"")</f>
        <v/>
      </c>
      <c r="AD7" s="246" t="str">
        <f>IFERROR(_xlfn.XLOOKUP((Z7*AB7),'Listas de apoio'!$S$2:$S$10,'Listas de apoio'!$T$2:$T$10),"")</f>
        <v/>
      </c>
      <c r="AE7" s="71" t="str">
        <f>IF($B7="Ameaça","Escalar",IF($B7="Oportunidade","Escalar",""))</f>
        <v/>
      </c>
      <c r="AF7" s="71" t="str">
        <f>IF($B7="Ameaça","Aceitar",IF($B7="Oportunidade","Aceitar",""))</f>
        <v/>
      </c>
      <c r="AG7" s="71" t="str">
        <f>IF($B7="Ameaça","Mitigar",IF($B7="Oportunidade","Melhorar",""))</f>
        <v/>
      </c>
      <c r="AH7" s="71" t="str">
        <f>IF($B7="Ameaça","Transferir",IF($B7="Oportunidade","Compartilhar",""))</f>
        <v/>
      </c>
      <c r="AI7" s="71" t="str">
        <f>IF($B7="Ameaça","Eliminar",IF($B7="Oportunidade","Explorar",""))</f>
        <v/>
      </c>
      <c r="AJ7" s="247">
        <f>IFERROR(_xlfn.XLOOKUP(Z7,'Listas de apoio'!$K$2:$K$5,'Listas de apoio'!$L$2:$L$5),0)</f>
        <v>0.15</v>
      </c>
      <c r="AK7" s="247">
        <f>IFERROR(_xlfn.XLOOKUP(Z7,'Listas de apoio'!$K$2:$K$5,'Listas de apoio'!$M$2:$M$5),0)</f>
        <v>0.25</v>
      </c>
      <c r="AL7" s="248">
        <f>IFERROR(_xlfn.XLOOKUP(AB7,'Listas de apoio'!$O$2:$O$5,'Listas de apoio'!$P$2:$P$5),0)</f>
        <v>0</v>
      </c>
      <c r="AM7" s="248">
        <f>IFERROR(_xlfn.XLOOKUP(AB7,'Listas de apoio'!$O$2:$O$5,'Listas de apoio'!$Q$2:$Q$5),0)</f>
        <v>0</v>
      </c>
      <c r="AN7" s="248">
        <f>AVERAGE(AJ7:AK7)*AVERAGE(AL7:AM7)</f>
        <v>0</v>
      </c>
      <c r="AU7" s="232">
        <f t="shared" ref="AU7:AU55" ca="1" si="0">IFERROR(AVERAGE(AVERAGE((RANDBETWEEN(AJ7*100,AK7*100)/100),AR7))*AVERAGE(AS7:AT7),0)</f>
        <v>0</v>
      </c>
      <c r="AV7" s="249">
        <f t="shared" ref="AV7:AV55" ca="1" si="1">IFERROR(AU7/$AU$1,0)</f>
        <v>0</v>
      </c>
    </row>
    <row r="8" spans="1:48" ht="24" customHeight="1">
      <c r="A8" s="243">
        <v>3</v>
      </c>
      <c r="B8" s="244"/>
      <c r="C8" s="244"/>
      <c r="H8" s="244"/>
      <c r="K8" s="244"/>
      <c r="L8" s="245" t="str">
        <f>IFERROR(_xlfn.XLOOKUP(K8,'Listas de apoio'!$K$2:$K$5,'Listas de apoio'!$N$2:$N$5),"")</f>
        <v/>
      </c>
      <c r="M8" s="244"/>
      <c r="N8" s="245" t="str">
        <f>IFERROR(_xlfn.XLOOKUP(M8,'Listas de apoio'!$O$2:$O$5,'Listas de apoio'!$R$2:$R$5),"")</f>
        <v/>
      </c>
      <c r="O8" s="246" t="str">
        <f>IFERROR(_xlfn.XLOOKUP((K8*M8),'Listas de apoio'!$S$2:$S$10,'Listas de apoio'!$T$2:$T$10),"")</f>
        <v/>
      </c>
      <c r="P8" s="247">
        <f>IFERROR(_xlfn.XLOOKUP(K8,'Listas de apoio'!$K$2:$K$5,'Listas de apoio'!$L$2:$L$5),0)</f>
        <v>0</v>
      </c>
      <c r="Q8" s="247">
        <f>IFERROR(_xlfn.XLOOKUP(K8,'Listas de apoio'!$K$2:$K$5,'Listas de apoio'!$M$2:$M$5),0)</f>
        <v>0</v>
      </c>
      <c r="R8" s="248">
        <f>IFERROR(_xlfn.XLOOKUP(M8,'Listas de apoio'!$O$2:$O$5,'Listas de apoio'!$P$2:$P$5),0)</f>
        <v>0</v>
      </c>
      <c r="S8" s="248">
        <f>IFERROR(_xlfn.XLOOKUP(M8,'Listas de apoio'!$O$2:$O$5,'Listas de apoio'!$Q$2:$Q$5),0)</f>
        <v>0</v>
      </c>
      <c r="T8" s="248">
        <f t="shared" ref="T8:T55" si="2">AVERAGE(P8:Q8)*AVERAGE(R8:S8)</f>
        <v>0</v>
      </c>
      <c r="W8" s="244"/>
      <c r="Z8" s="244">
        <v>3</v>
      </c>
      <c r="AA8" s="245" t="str">
        <f>IFERROR(_xlfn.XLOOKUP(Z8,'Listas de apoio'!$K$2:$K$5,'Listas de apoio'!$N$2:$N$5),"")</f>
        <v>Possível
(25% &lt; Prob. &lt; 50%)</v>
      </c>
      <c r="AB8" s="244"/>
      <c r="AC8" s="245" t="str">
        <f>IFERROR(_xlfn.XLOOKUP(AB8,'Listas de apoio'!$O$2:$O$5,'Listas de apoio'!$R$2:$R$5),"")</f>
        <v/>
      </c>
      <c r="AD8" s="246" t="str">
        <f>IFERROR(_xlfn.XLOOKUP((Z8*AB8),'Listas de apoio'!$S$2:$S$10,'Listas de apoio'!$T$2:$T$10),"")</f>
        <v/>
      </c>
      <c r="AE8" s="71" t="str">
        <f t="shared" ref="AE8:AE55" si="3">IF($B8="Ameaça","Escalar",IF($B8="Oportunidade","Escalar",""))</f>
        <v/>
      </c>
      <c r="AF8" s="71" t="str">
        <f t="shared" ref="AF8:AF55" si="4">IF($B8="Ameaça","Aceitar",IF($B8="Oportunidade","Aceitar",""))</f>
        <v/>
      </c>
      <c r="AG8" s="71" t="str">
        <f t="shared" ref="AG8:AG55" si="5">IF($B8="Ameaça","Mitigar",IF($B8="Oportunidade","Melhorar",""))</f>
        <v/>
      </c>
      <c r="AH8" s="71" t="str">
        <f t="shared" ref="AH8:AH55" si="6">IF($B8="Ameaça","Transferir",IF($B8="Oportunidade","Compartilhar",""))</f>
        <v/>
      </c>
      <c r="AI8" s="71" t="str">
        <f t="shared" ref="AI8:AI55" si="7">IF($B8="Ameaça","Eliminar",IF($B8="Oportunidade","Explorar",""))</f>
        <v/>
      </c>
      <c r="AJ8" s="247">
        <f>IFERROR(_xlfn.XLOOKUP(Z8,'Listas de apoio'!$K$2:$K$5,'Listas de apoio'!$L$2:$L$5),0)</f>
        <v>0.25</v>
      </c>
      <c r="AK8" s="247">
        <f>IFERROR(_xlfn.XLOOKUP(Z8,'Listas de apoio'!$K$2:$K$5,'Listas de apoio'!$M$2:$M$5),0)</f>
        <v>0.5</v>
      </c>
      <c r="AL8" s="248">
        <f>IFERROR(_xlfn.XLOOKUP(AB8,'Listas de apoio'!$O$2:$O$5,'Listas de apoio'!$P$2:$P$5),0)</f>
        <v>0</v>
      </c>
      <c r="AM8" s="248">
        <f>IFERROR(_xlfn.XLOOKUP(AB8,'Listas de apoio'!$O$2:$O$5,'Listas de apoio'!$Q$2:$Q$5),0)</f>
        <v>0</v>
      </c>
      <c r="AN8" s="248">
        <f t="shared" ref="AN8:AN55" si="8">AVERAGE(AJ8:AK8)*AVERAGE(AL8:AM8)</f>
        <v>0</v>
      </c>
      <c r="AU8" s="232">
        <f t="shared" ca="1" si="0"/>
        <v>0</v>
      </c>
      <c r="AV8" s="249">
        <f t="shared" ca="1" si="1"/>
        <v>0</v>
      </c>
    </row>
    <row r="9" spans="1:48" ht="24" customHeight="1">
      <c r="A9" s="243">
        <v>4</v>
      </c>
      <c r="B9" s="244"/>
      <c r="C9" s="244"/>
      <c r="H9" s="244"/>
      <c r="K9" s="244"/>
      <c r="L9" s="245" t="str">
        <f>IFERROR(_xlfn.XLOOKUP(K9,'Listas de apoio'!$K$2:$K$5,'Listas de apoio'!$N$2:$N$5),"")</f>
        <v/>
      </c>
      <c r="M9" s="244"/>
      <c r="N9" s="245" t="str">
        <f>IFERROR(_xlfn.XLOOKUP(M9,'Listas de apoio'!$O$2:$O$5,'Listas de apoio'!$R$2:$R$5),"")</f>
        <v/>
      </c>
      <c r="O9" s="246" t="str">
        <f>IFERROR(_xlfn.XLOOKUP((K9*M9),'Listas de apoio'!$S$2:$S$10,'Listas de apoio'!$T$2:$T$10),"")</f>
        <v/>
      </c>
      <c r="P9" s="247">
        <f>IFERROR(_xlfn.XLOOKUP(K9,'Listas de apoio'!$K$2:$K$5,'Listas de apoio'!$L$2:$L$5),0)</f>
        <v>0</v>
      </c>
      <c r="Q9" s="247">
        <f>IFERROR(_xlfn.XLOOKUP(K9,'Listas de apoio'!$K$2:$K$5,'Listas de apoio'!$M$2:$M$5),0)</f>
        <v>0</v>
      </c>
      <c r="R9" s="248">
        <f>IFERROR(_xlfn.XLOOKUP(M9,'Listas de apoio'!$O$2:$O$5,'Listas de apoio'!$P$2:$P$5),0)</f>
        <v>0</v>
      </c>
      <c r="S9" s="248">
        <f>IFERROR(_xlfn.XLOOKUP(M9,'Listas de apoio'!$O$2:$O$5,'Listas de apoio'!$Q$2:$Q$5),0)</f>
        <v>0</v>
      </c>
      <c r="T9" s="248">
        <f t="shared" si="2"/>
        <v>0</v>
      </c>
      <c r="W9" s="244"/>
      <c r="Z9" s="244">
        <v>4</v>
      </c>
      <c r="AA9" s="245" t="str">
        <f>IFERROR(_xlfn.XLOOKUP(Z9,'Listas de apoio'!$K$2:$K$5,'Listas de apoio'!$N$2:$N$5),"")</f>
        <v>Provável
(50% &lt; Prob.)</v>
      </c>
      <c r="AB9" s="244"/>
      <c r="AC9" s="245" t="str">
        <f>IFERROR(_xlfn.XLOOKUP(AB9,'Listas de apoio'!$O$2:$O$5,'Listas de apoio'!$R$2:$R$5),"")</f>
        <v/>
      </c>
      <c r="AD9" s="246" t="str">
        <f>IFERROR(_xlfn.XLOOKUP((Z9*AB9),'Listas de apoio'!$S$2:$S$10,'Listas de apoio'!$T$2:$T$10),"")</f>
        <v/>
      </c>
      <c r="AE9" s="71" t="str">
        <f t="shared" si="3"/>
        <v/>
      </c>
      <c r="AF9" s="71" t="str">
        <f t="shared" si="4"/>
        <v/>
      </c>
      <c r="AG9" s="71" t="str">
        <f t="shared" si="5"/>
        <v/>
      </c>
      <c r="AH9" s="71" t="str">
        <f t="shared" si="6"/>
        <v/>
      </c>
      <c r="AI9" s="71" t="str">
        <f t="shared" si="7"/>
        <v/>
      </c>
      <c r="AJ9" s="247">
        <f>IFERROR(_xlfn.XLOOKUP(Z9,'Listas de apoio'!$K$2:$K$5,'Listas de apoio'!$L$2:$L$5),0)</f>
        <v>0.5</v>
      </c>
      <c r="AK9" s="247">
        <f>IFERROR(_xlfn.XLOOKUP(Z9,'Listas de apoio'!$K$2:$K$5,'Listas de apoio'!$M$2:$M$5),0)</f>
        <v>1</v>
      </c>
      <c r="AL9" s="248">
        <f>IFERROR(_xlfn.XLOOKUP(AB9,'Listas de apoio'!$O$2:$O$5,'Listas de apoio'!$P$2:$P$5),0)</f>
        <v>0</v>
      </c>
      <c r="AM9" s="248">
        <f>IFERROR(_xlfn.XLOOKUP(AB9,'Listas de apoio'!$O$2:$O$5,'Listas de apoio'!$Q$2:$Q$5),0)</f>
        <v>0</v>
      </c>
      <c r="AN9" s="248">
        <f t="shared" si="8"/>
        <v>0</v>
      </c>
      <c r="AU9" s="232">
        <f t="shared" ca="1" si="0"/>
        <v>0</v>
      </c>
      <c r="AV9" s="249">
        <f t="shared" ca="1" si="1"/>
        <v>0</v>
      </c>
    </row>
    <row r="10" spans="1:48" ht="24" customHeight="1">
      <c r="A10" s="243">
        <v>5</v>
      </c>
      <c r="B10" s="244"/>
      <c r="C10" s="244"/>
      <c r="H10" s="244"/>
      <c r="K10" s="244"/>
      <c r="L10" s="245" t="str">
        <f>IFERROR(_xlfn.XLOOKUP(K10,'Listas de apoio'!$K$2:$K$5,'Listas de apoio'!$N$2:$N$5),"")</f>
        <v/>
      </c>
      <c r="M10" s="244"/>
      <c r="N10" s="245" t="str">
        <f>IFERROR(_xlfn.XLOOKUP(M10,'Listas de apoio'!$O$2:$O$5,'Listas de apoio'!$R$2:$R$5),"")</f>
        <v/>
      </c>
      <c r="O10" s="246" t="str">
        <f>IFERROR(_xlfn.XLOOKUP((K10*M10),'Listas de apoio'!$S$2:$S$10,'Listas de apoio'!$T$2:$T$10),"")</f>
        <v/>
      </c>
      <c r="P10" s="247">
        <f>IFERROR(_xlfn.XLOOKUP(K10,'Listas de apoio'!$K$2:$K$5,'Listas de apoio'!$L$2:$L$5),0)</f>
        <v>0</v>
      </c>
      <c r="Q10" s="247">
        <f>IFERROR(_xlfn.XLOOKUP(K10,'Listas de apoio'!$K$2:$K$5,'Listas de apoio'!$M$2:$M$5),0)</f>
        <v>0</v>
      </c>
      <c r="R10" s="248">
        <f>IFERROR(_xlfn.XLOOKUP(M10,'Listas de apoio'!$O$2:$O$5,'Listas de apoio'!$P$2:$P$5),0)</f>
        <v>0</v>
      </c>
      <c r="S10" s="248">
        <f>IFERROR(_xlfn.XLOOKUP(M10,'Listas de apoio'!$O$2:$O$5,'Listas de apoio'!$Q$2:$Q$5),0)</f>
        <v>0</v>
      </c>
      <c r="T10" s="248">
        <f t="shared" si="2"/>
        <v>0</v>
      </c>
      <c r="W10" s="244"/>
      <c r="Z10" s="244"/>
      <c r="AA10" s="245" t="str">
        <f>IFERROR(_xlfn.XLOOKUP(Z10,'Listas de apoio'!$K$2:$K$5,'Listas de apoio'!$N$2:$N$5),"")</f>
        <v/>
      </c>
      <c r="AB10" s="244"/>
      <c r="AC10" s="245" t="str">
        <f>IFERROR(_xlfn.XLOOKUP(AB10,'Listas de apoio'!$O$2:$O$5,'Listas de apoio'!$R$2:$R$5),"")</f>
        <v/>
      </c>
      <c r="AD10" s="246" t="str">
        <f>IFERROR(_xlfn.XLOOKUP((Z10*AB10),'Listas de apoio'!$S$2:$S$10,'Listas de apoio'!$T$2:$T$10),"")</f>
        <v/>
      </c>
      <c r="AE10" s="71" t="str">
        <f t="shared" si="3"/>
        <v/>
      </c>
      <c r="AF10" s="71" t="str">
        <f t="shared" si="4"/>
        <v/>
      </c>
      <c r="AG10" s="71" t="str">
        <f t="shared" si="5"/>
        <v/>
      </c>
      <c r="AH10" s="71" t="str">
        <f t="shared" si="6"/>
        <v/>
      </c>
      <c r="AI10" s="71" t="str">
        <f t="shared" si="7"/>
        <v/>
      </c>
      <c r="AJ10" s="247">
        <f>IFERROR(_xlfn.XLOOKUP(Z10,'Listas de apoio'!$K$2:$K$5,'Listas de apoio'!$L$2:$L$5),0)</f>
        <v>0</v>
      </c>
      <c r="AK10" s="247">
        <f>IFERROR(_xlfn.XLOOKUP(Z10,'Listas de apoio'!$K$2:$K$5,'Listas de apoio'!$M$2:$M$5),0)</f>
        <v>0</v>
      </c>
      <c r="AL10" s="248">
        <f>IFERROR(_xlfn.XLOOKUP(AB10,'Listas de apoio'!$O$2:$O$5,'Listas de apoio'!$P$2:$P$5),0)</f>
        <v>0</v>
      </c>
      <c r="AM10" s="248">
        <f>IFERROR(_xlfn.XLOOKUP(AB10,'Listas de apoio'!$O$2:$O$5,'Listas de apoio'!$Q$2:$Q$5),0)</f>
        <v>0</v>
      </c>
      <c r="AN10" s="248">
        <f t="shared" si="8"/>
        <v>0</v>
      </c>
      <c r="AU10" s="232">
        <f t="shared" ca="1" si="0"/>
        <v>0</v>
      </c>
      <c r="AV10" s="249">
        <f t="shared" ca="1" si="1"/>
        <v>0</v>
      </c>
    </row>
    <row r="11" spans="1:48" ht="24" customHeight="1">
      <c r="A11" s="243">
        <v>6</v>
      </c>
      <c r="B11" s="244"/>
      <c r="C11" s="244"/>
      <c r="H11" s="244"/>
      <c r="K11" s="244"/>
      <c r="L11" s="245" t="str">
        <f>IFERROR(_xlfn.XLOOKUP(K11,'Listas de apoio'!$K$2:$K$5,'Listas de apoio'!$N$2:$N$5),"")</f>
        <v/>
      </c>
      <c r="M11" s="244"/>
      <c r="N11" s="245" t="str">
        <f>IFERROR(_xlfn.XLOOKUP(M11,'Listas de apoio'!$O$2:$O$5,'Listas de apoio'!$R$2:$R$5),"")</f>
        <v/>
      </c>
      <c r="O11" s="246" t="str">
        <f>IFERROR(_xlfn.XLOOKUP((K11*M11),'Listas de apoio'!$S$2:$S$10,'Listas de apoio'!$T$2:$T$10),"")</f>
        <v/>
      </c>
      <c r="P11" s="247">
        <f>IFERROR(_xlfn.XLOOKUP(K11,'Listas de apoio'!$K$2:$K$5,'Listas de apoio'!$L$2:$L$5),0)</f>
        <v>0</v>
      </c>
      <c r="Q11" s="247">
        <f>IFERROR(_xlfn.XLOOKUP(K11,'Listas de apoio'!$K$2:$K$5,'Listas de apoio'!$M$2:$M$5),0)</f>
        <v>0</v>
      </c>
      <c r="R11" s="248">
        <f>IFERROR(_xlfn.XLOOKUP(M11,'Listas de apoio'!$O$2:$O$5,'Listas de apoio'!$P$2:$P$5),0)</f>
        <v>0</v>
      </c>
      <c r="S11" s="248">
        <f>IFERROR(_xlfn.XLOOKUP(M11,'Listas de apoio'!$O$2:$O$5,'Listas de apoio'!$Q$2:$Q$5),0)</f>
        <v>0</v>
      </c>
      <c r="T11" s="248">
        <f t="shared" si="2"/>
        <v>0</v>
      </c>
      <c r="W11" s="244"/>
      <c r="Z11" s="244"/>
      <c r="AA11" s="245" t="str">
        <f>IFERROR(_xlfn.XLOOKUP(Z11,'Listas de apoio'!$K$2:$K$5,'Listas de apoio'!$N$2:$N$5),"")</f>
        <v/>
      </c>
      <c r="AB11" s="244"/>
      <c r="AC11" s="245" t="str">
        <f>IFERROR(_xlfn.XLOOKUP(AB11,'Listas de apoio'!$O$2:$O$5,'Listas de apoio'!$R$2:$R$5),"")</f>
        <v/>
      </c>
      <c r="AD11" s="246" t="str">
        <f>IFERROR(_xlfn.XLOOKUP((Z11*AB11),'Listas de apoio'!$S$2:$S$10,'Listas de apoio'!$T$2:$T$10),"")</f>
        <v/>
      </c>
      <c r="AE11" s="71" t="str">
        <f t="shared" si="3"/>
        <v/>
      </c>
      <c r="AF11" s="71" t="str">
        <f t="shared" si="4"/>
        <v/>
      </c>
      <c r="AG11" s="71" t="str">
        <f t="shared" si="5"/>
        <v/>
      </c>
      <c r="AH11" s="71" t="str">
        <f t="shared" si="6"/>
        <v/>
      </c>
      <c r="AI11" s="71" t="str">
        <f t="shared" si="7"/>
        <v/>
      </c>
      <c r="AJ11" s="247">
        <f>IFERROR(_xlfn.XLOOKUP(Z11,'Listas de apoio'!$K$2:$K$5,'Listas de apoio'!$L$2:$L$5),0)</f>
        <v>0</v>
      </c>
      <c r="AK11" s="247">
        <f>IFERROR(_xlfn.XLOOKUP(Z11,'Listas de apoio'!$K$2:$K$5,'Listas de apoio'!$M$2:$M$5),0)</f>
        <v>0</v>
      </c>
      <c r="AL11" s="248">
        <f>IFERROR(_xlfn.XLOOKUP(AB11,'Listas de apoio'!$O$2:$O$5,'Listas de apoio'!$P$2:$P$5),0)</f>
        <v>0</v>
      </c>
      <c r="AM11" s="248">
        <f>IFERROR(_xlfn.XLOOKUP(AB11,'Listas de apoio'!$O$2:$O$5,'Listas de apoio'!$Q$2:$Q$5),0)</f>
        <v>0</v>
      </c>
      <c r="AN11" s="248">
        <f t="shared" si="8"/>
        <v>0</v>
      </c>
      <c r="AU11" s="232">
        <f t="shared" ca="1" si="0"/>
        <v>0</v>
      </c>
      <c r="AV11" s="249">
        <f t="shared" ca="1" si="1"/>
        <v>0</v>
      </c>
    </row>
    <row r="12" spans="1:48" ht="24" customHeight="1">
      <c r="A12" s="243">
        <v>7</v>
      </c>
      <c r="B12" s="244"/>
      <c r="C12" s="244"/>
      <c r="H12" s="244"/>
      <c r="K12" s="244"/>
      <c r="L12" s="245" t="str">
        <f>IFERROR(_xlfn.XLOOKUP(K12,'Listas de apoio'!$K$2:$K$5,'Listas de apoio'!$N$2:$N$5),"")</f>
        <v/>
      </c>
      <c r="M12" s="244"/>
      <c r="N12" s="245" t="str">
        <f>IFERROR(_xlfn.XLOOKUP(M12,'Listas de apoio'!$O$2:$O$5,'Listas de apoio'!$R$2:$R$5),"")</f>
        <v/>
      </c>
      <c r="O12" s="246" t="str">
        <f>IFERROR(_xlfn.XLOOKUP((K12*M12),'Listas de apoio'!$S$2:$S$10,'Listas de apoio'!$T$2:$T$10),"")</f>
        <v/>
      </c>
      <c r="P12" s="247">
        <f>IFERROR(_xlfn.XLOOKUP(K12,'Listas de apoio'!$K$2:$K$5,'Listas de apoio'!$L$2:$L$5),0)</f>
        <v>0</v>
      </c>
      <c r="Q12" s="247">
        <f>IFERROR(_xlfn.XLOOKUP(K12,'Listas de apoio'!$K$2:$K$5,'Listas de apoio'!$M$2:$M$5),0)</f>
        <v>0</v>
      </c>
      <c r="R12" s="248">
        <f>IFERROR(_xlfn.XLOOKUP(M12,'Listas de apoio'!$O$2:$O$5,'Listas de apoio'!$P$2:$P$5),0)</f>
        <v>0</v>
      </c>
      <c r="S12" s="248">
        <f>IFERROR(_xlfn.XLOOKUP(M12,'Listas de apoio'!$O$2:$O$5,'Listas de apoio'!$Q$2:$Q$5),0)</f>
        <v>0</v>
      </c>
      <c r="T12" s="248">
        <f t="shared" si="2"/>
        <v>0</v>
      </c>
      <c r="W12" s="244"/>
      <c r="Z12" s="244"/>
      <c r="AA12" s="245" t="str">
        <f>IFERROR(_xlfn.XLOOKUP(Z12,'Listas de apoio'!$K$2:$K$5,'Listas de apoio'!$N$2:$N$5),"")</f>
        <v/>
      </c>
      <c r="AB12" s="244"/>
      <c r="AC12" s="245" t="str">
        <f>IFERROR(_xlfn.XLOOKUP(AB12,'Listas de apoio'!$O$2:$O$5,'Listas de apoio'!$R$2:$R$5),"")</f>
        <v/>
      </c>
      <c r="AD12" s="246" t="str">
        <f>IFERROR(_xlfn.XLOOKUP((Z12*AB12),'Listas de apoio'!$S$2:$S$10,'Listas de apoio'!$T$2:$T$10),"")</f>
        <v/>
      </c>
      <c r="AE12" s="71" t="str">
        <f t="shared" si="3"/>
        <v/>
      </c>
      <c r="AF12" s="71" t="str">
        <f t="shared" si="4"/>
        <v/>
      </c>
      <c r="AG12" s="71" t="str">
        <f t="shared" si="5"/>
        <v/>
      </c>
      <c r="AH12" s="71" t="str">
        <f t="shared" si="6"/>
        <v/>
      </c>
      <c r="AI12" s="71" t="str">
        <f t="shared" si="7"/>
        <v/>
      </c>
      <c r="AJ12" s="247">
        <f>IFERROR(_xlfn.XLOOKUP(Z12,'Listas de apoio'!$K$2:$K$5,'Listas de apoio'!$L$2:$L$5),0)</f>
        <v>0</v>
      </c>
      <c r="AK12" s="247">
        <f>IFERROR(_xlfn.XLOOKUP(Z12,'Listas de apoio'!$K$2:$K$5,'Listas de apoio'!$M$2:$M$5),0)</f>
        <v>0</v>
      </c>
      <c r="AL12" s="248">
        <f>IFERROR(_xlfn.XLOOKUP(AB12,'Listas de apoio'!$O$2:$O$5,'Listas de apoio'!$P$2:$P$5),0)</f>
        <v>0</v>
      </c>
      <c r="AM12" s="248">
        <f>IFERROR(_xlfn.XLOOKUP(AB12,'Listas de apoio'!$O$2:$O$5,'Listas de apoio'!$Q$2:$Q$5),0)</f>
        <v>0</v>
      </c>
      <c r="AN12" s="248">
        <f t="shared" si="8"/>
        <v>0</v>
      </c>
      <c r="AU12" s="232">
        <f t="shared" ca="1" si="0"/>
        <v>0</v>
      </c>
      <c r="AV12" s="249">
        <f t="shared" ca="1" si="1"/>
        <v>0</v>
      </c>
    </row>
    <row r="13" spans="1:48" ht="24" customHeight="1">
      <c r="A13" s="243">
        <v>8</v>
      </c>
      <c r="B13" s="244"/>
      <c r="C13" s="244"/>
      <c r="H13" s="244"/>
      <c r="K13" s="244"/>
      <c r="L13" s="245" t="str">
        <f>IFERROR(_xlfn.XLOOKUP(K13,'Listas de apoio'!$K$2:$K$5,'Listas de apoio'!$N$2:$N$5),"")</f>
        <v/>
      </c>
      <c r="M13" s="244"/>
      <c r="N13" s="245" t="str">
        <f>IFERROR(_xlfn.XLOOKUP(M13,'Listas de apoio'!$O$2:$O$5,'Listas de apoio'!$R$2:$R$5),"")</f>
        <v/>
      </c>
      <c r="O13" s="246" t="str">
        <f>IFERROR(_xlfn.XLOOKUP((K13*M13),'Listas de apoio'!$S$2:$S$10,'Listas de apoio'!$T$2:$T$10),"")</f>
        <v/>
      </c>
      <c r="P13" s="247">
        <f>IFERROR(_xlfn.XLOOKUP(K13,'Listas de apoio'!$K$2:$K$5,'Listas de apoio'!$L$2:$L$5),0)</f>
        <v>0</v>
      </c>
      <c r="Q13" s="247">
        <f>IFERROR(_xlfn.XLOOKUP(K13,'Listas de apoio'!$K$2:$K$5,'Listas de apoio'!$M$2:$M$5),0)</f>
        <v>0</v>
      </c>
      <c r="R13" s="248">
        <f>IFERROR(_xlfn.XLOOKUP(M13,'Listas de apoio'!$O$2:$O$5,'Listas de apoio'!$P$2:$P$5),0)</f>
        <v>0</v>
      </c>
      <c r="S13" s="248">
        <f>IFERROR(_xlfn.XLOOKUP(M13,'Listas de apoio'!$O$2:$O$5,'Listas de apoio'!$Q$2:$Q$5),0)</f>
        <v>0</v>
      </c>
      <c r="T13" s="248">
        <f t="shared" si="2"/>
        <v>0</v>
      </c>
      <c r="W13" s="244"/>
      <c r="Z13" s="244"/>
      <c r="AA13" s="245" t="str">
        <f>IFERROR(_xlfn.XLOOKUP(Z13,'Listas de apoio'!$K$2:$K$5,'Listas de apoio'!$N$2:$N$5),"")</f>
        <v/>
      </c>
      <c r="AB13" s="244"/>
      <c r="AC13" s="245" t="str">
        <f>IFERROR(_xlfn.XLOOKUP(AB13,'Listas de apoio'!$O$2:$O$5,'Listas de apoio'!$R$2:$R$5),"")</f>
        <v/>
      </c>
      <c r="AD13" s="246" t="str">
        <f>IFERROR(_xlfn.XLOOKUP((Z13*AB13),'Listas de apoio'!$S$2:$S$10,'Listas de apoio'!$T$2:$T$10),"")</f>
        <v/>
      </c>
      <c r="AE13" s="71" t="str">
        <f t="shared" si="3"/>
        <v/>
      </c>
      <c r="AF13" s="71" t="str">
        <f t="shared" si="4"/>
        <v/>
      </c>
      <c r="AG13" s="71" t="str">
        <f t="shared" si="5"/>
        <v/>
      </c>
      <c r="AH13" s="71" t="str">
        <f t="shared" si="6"/>
        <v/>
      </c>
      <c r="AI13" s="71" t="str">
        <f t="shared" si="7"/>
        <v/>
      </c>
      <c r="AJ13" s="247">
        <f>IFERROR(_xlfn.XLOOKUP(Z13,'Listas de apoio'!$K$2:$K$5,'Listas de apoio'!$L$2:$L$5),0)</f>
        <v>0</v>
      </c>
      <c r="AK13" s="247">
        <f>IFERROR(_xlfn.XLOOKUP(Z13,'Listas de apoio'!$K$2:$K$5,'Listas de apoio'!$M$2:$M$5),0)</f>
        <v>0</v>
      </c>
      <c r="AL13" s="248">
        <f>IFERROR(_xlfn.XLOOKUP(AB13,'Listas de apoio'!$O$2:$O$5,'Listas de apoio'!$P$2:$P$5),0)</f>
        <v>0</v>
      </c>
      <c r="AM13" s="248">
        <f>IFERROR(_xlfn.XLOOKUP(AB13,'Listas de apoio'!$O$2:$O$5,'Listas de apoio'!$Q$2:$Q$5),0)</f>
        <v>0</v>
      </c>
      <c r="AN13" s="248">
        <f t="shared" si="8"/>
        <v>0</v>
      </c>
      <c r="AU13" s="232">
        <f t="shared" ca="1" si="0"/>
        <v>0</v>
      </c>
      <c r="AV13" s="249">
        <f t="shared" ca="1" si="1"/>
        <v>0</v>
      </c>
    </row>
    <row r="14" spans="1:48" ht="24" customHeight="1">
      <c r="A14" s="243">
        <v>9</v>
      </c>
      <c r="B14" s="244"/>
      <c r="C14" s="244"/>
      <c r="H14" s="244"/>
      <c r="K14" s="244"/>
      <c r="L14" s="245" t="str">
        <f>IFERROR(_xlfn.XLOOKUP(K14,'Listas de apoio'!$K$2:$K$5,'Listas de apoio'!$N$2:$N$5),"")</f>
        <v/>
      </c>
      <c r="M14" s="244"/>
      <c r="N14" s="245" t="str">
        <f>IFERROR(_xlfn.XLOOKUP(M14,'Listas de apoio'!$O$2:$O$5,'Listas de apoio'!$R$2:$R$5),"")</f>
        <v/>
      </c>
      <c r="O14" s="246" t="str">
        <f>IFERROR(_xlfn.XLOOKUP((K14*M14),'Listas de apoio'!$S$2:$S$10,'Listas de apoio'!$T$2:$T$10),"")</f>
        <v/>
      </c>
      <c r="P14" s="247">
        <f>IFERROR(_xlfn.XLOOKUP(K14,'Listas de apoio'!$K$2:$K$5,'Listas de apoio'!$L$2:$L$5),0)</f>
        <v>0</v>
      </c>
      <c r="Q14" s="247">
        <f>IFERROR(_xlfn.XLOOKUP(K14,'Listas de apoio'!$K$2:$K$5,'Listas de apoio'!$M$2:$M$5),0)</f>
        <v>0</v>
      </c>
      <c r="R14" s="248">
        <f>IFERROR(_xlfn.XLOOKUP(M14,'Listas de apoio'!$O$2:$O$5,'Listas de apoio'!$P$2:$P$5),0)</f>
        <v>0</v>
      </c>
      <c r="S14" s="248">
        <f>IFERROR(_xlfn.XLOOKUP(M14,'Listas de apoio'!$O$2:$O$5,'Listas de apoio'!$Q$2:$Q$5),0)</f>
        <v>0</v>
      </c>
      <c r="T14" s="248">
        <f t="shared" si="2"/>
        <v>0</v>
      </c>
      <c r="W14" s="244"/>
      <c r="Z14" s="244"/>
      <c r="AA14" s="245" t="str">
        <f>IFERROR(_xlfn.XLOOKUP(Z14,'Listas de apoio'!$K$2:$K$5,'Listas de apoio'!$N$2:$N$5),"")</f>
        <v/>
      </c>
      <c r="AB14" s="244"/>
      <c r="AC14" s="245" t="str">
        <f>IFERROR(_xlfn.XLOOKUP(AB14,'Listas de apoio'!$O$2:$O$5,'Listas de apoio'!$R$2:$R$5),"")</f>
        <v/>
      </c>
      <c r="AD14" s="246" t="str">
        <f>IFERROR(_xlfn.XLOOKUP((Z14*AB14),'Listas de apoio'!$S$2:$S$10,'Listas de apoio'!$T$2:$T$10),"")</f>
        <v/>
      </c>
      <c r="AE14" s="71" t="str">
        <f t="shared" si="3"/>
        <v/>
      </c>
      <c r="AF14" s="71" t="str">
        <f t="shared" si="4"/>
        <v/>
      </c>
      <c r="AG14" s="71" t="str">
        <f t="shared" si="5"/>
        <v/>
      </c>
      <c r="AH14" s="71" t="str">
        <f t="shared" si="6"/>
        <v/>
      </c>
      <c r="AI14" s="71" t="str">
        <f t="shared" si="7"/>
        <v/>
      </c>
      <c r="AJ14" s="247">
        <f>IFERROR(_xlfn.XLOOKUP(Z14,'Listas de apoio'!$K$2:$K$5,'Listas de apoio'!$L$2:$L$5),0)</f>
        <v>0</v>
      </c>
      <c r="AK14" s="247">
        <f>IFERROR(_xlfn.XLOOKUP(Z14,'Listas de apoio'!$K$2:$K$5,'Listas de apoio'!$M$2:$M$5),0)</f>
        <v>0</v>
      </c>
      <c r="AL14" s="248">
        <f>IFERROR(_xlfn.XLOOKUP(AB14,'Listas de apoio'!$O$2:$O$5,'Listas de apoio'!$P$2:$P$5),0)</f>
        <v>0</v>
      </c>
      <c r="AM14" s="248">
        <f>IFERROR(_xlfn.XLOOKUP(AB14,'Listas de apoio'!$O$2:$O$5,'Listas de apoio'!$Q$2:$Q$5),0)</f>
        <v>0</v>
      </c>
      <c r="AN14" s="248">
        <f t="shared" si="8"/>
        <v>0</v>
      </c>
      <c r="AU14" s="232">
        <f t="shared" ca="1" si="0"/>
        <v>0</v>
      </c>
      <c r="AV14" s="249">
        <f t="shared" ca="1" si="1"/>
        <v>0</v>
      </c>
    </row>
    <row r="15" spans="1:48" ht="24" customHeight="1">
      <c r="A15" s="243">
        <v>10</v>
      </c>
      <c r="B15" s="244"/>
      <c r="C15" s="244"/>
      <c r="H15" s="244"/>
      <c r="K15" s="244"/>
      <c r="L15" s="245" t="str">
        <f>IFERROR(_xlfn.XLOOKUP(K15,'Listas de apoio'!$K$2:$K$5,'Listas de apoio'!$N$2:$N$5),"")</f>
        <v/>
      </c>
      <c r="M15" s="244"/>
      <c r="N15" s="245" t="str">
        <f>IFERROR(_xlfn.XLOOKUP(M15,'Listas de apoio'!$O$2:$O$5,'Listas de apoio'!$R$2:$R$5),"")</f>
        <v/>
      </c>
      <c r="O15" s="246" t="str">
        <f>IFERROR(_xlfn.XLOOKUP((K15*M15),'Listas de apoio'!$S$2:$S$10,'Listas de apoio'!$T$2:$T$10),"")</f>
        <v/>
      </c>
      <c r="P15" s="247">
        <f>IFERROR(_xlfn.XLOOKUP(K15,'Listas de apoio'!$K$2:$K$5,'Listas de apoio'!$L$2:$L$5),0)</f>
        <v>0</v>
      </c>
      <c r="Q15" s="247">
        <f>IFERROR(_xlfn.XLOOKUP(K15,'Listas de apoio'!$K$2:$K$5,'Listas de apoio'!$M$2:$M$5),0)</f>
        <v>0</v>
      </c>
      <c r="R15" s="248">
        <f>IFERROR(_xlfn.XLOOKUP(M15,'Listas de apoio'!$O$2:$O$5,'Listas de apoio'!$P$2:$P$5),0)</f>
        <v>0</v>
      </c>
      <c r="S15" s="248">
        <f>IFERROR(_xlfn.XLOOKUP(M15,'Listas de apoio'!$O$2:$O$5,'Listas de apoio'!$Q$2:$Q$5),0)</f>
        <v>0</v>
      </c>
      <c r="T15" s="248">
        <f t="shared" si="2"/>
        <v>0</v>
      </c>
      <c r="W15" s="244"/>
      <c r="Z15" s="244"/>
      <c r="AA15" s="245" t="str">
        <f>IFERROR(_xlfn.XLOOKUP(Z15,'Listas de apoio'!$K$2:$K$5,'Listas de apoio'!$N$2:$N$5),"")</f>
        <v/>
      </c>
      <c r="AB15" s="244"/>
      <c r="AC15" s="245" t="str">
        <f>IFERROR(_xlfn.XLOOKUP(AB15,'Listas de apoio'!$O$2:$O$5,'Listas de apoio'!$R$2:$R$5),"")</f>
        <v/>
      </c>
      <c r="AD15" s="246" t="str">
        <f>IFERROR(_xlfn.XLOOKUP((Z15*AB15),'Listas de apoio'!$S$2:$S$10,'Listas de apoio'!$T$2:$T$10),"")</f>
        <v/>
      </c>
      <c r="AE15" s="71" t="str">
        <f t="shared" si="3"/>
        <v/>
      </c>
      <c r="AF15" s="71" t="str">
        <f t="shared" si="4"/>
        <v/>
      </c>
      <c r="AG15" s="71" t="str">
        <f t="shared" si="5"/>
        <v/>
      </c>
      <c r="AH15" s="71" t="str">
        <f t="shared" si="6"/>
        <v/>
      </c>
      <c r="AI15" s="71" t="str">
        <f t="shared" si="7"/>
        <v/>
      </c>
      <c r="AJ15" s="247">
        <f>IFERROR(_xlfn.XLOOKUP(Z15,'Listas de apoio'!$K$2:$K$5,'Listas de apoio'!$L$2:$L$5),0)</f>
        <v>0</v>
      </c>
      <c r="AK15" s="247">
        <f>IFERROR(_xlfn.XLOOKUP(Z15,'Listas de apoio'!$K$2:$K$5,'Listas de apoio'!$M$2:$M$5),0)</f>
        <v>0</v>
      </c>
      <c r="AL15" s="248">
        <f>IFERROR(_xlfn.XLOOKUP(AB15,'Listas de apoio'!$O$2:$O$5,'Listas de apoio'!$P$2:$P$5),0)</f>
        <v>0</v>
      </c>
      <c r="AM15" s="248">
        <f>IFERROR(_xlfn.XLOOKUP(AB15,'Listas de apoio'!$O$2:$O$5,'Listas de apoio'!$Q$2:$Q$5),0)</f>
        <v>0</v>
      </c>
      <c r="AN15" s="248">
        <f t="shared" si="8"/>
        <v>0</v>
      </c>
      <c r="AU15" s="232">
        <f t="shared" ca="1" si="0"/>
        <v>0</v>
      </c>
      <c r="AV15" s="249">
        <f t="shared" ca="1" si="1"/>
        <v>0</v>
      </c>
    </row>
    <row r="16" spans="1:48" ht="24" customHeight="1">
      <c r="A16" s="243">
        <v>11</v>
      </c>
      <c r="B16" s="244"/>
      <c r="C16" s="244"/>
      <c r="H16" s="244"/>
      <c r="K16" s="244"/>
      <c r="L16" s="245" t="str">
        <f>IFERROR(_xlfn.XLOOKUP(K16,'Listas de apoio'!$K$2:$K$5,'Listas de apoio'!$N$2:$N$5),"")</f>
        <v/>
      </c>
      <c r="M16" s="244"/>
      <c r="N16" s="245" t="str">
        <f>IFERROR(_xlfn.XLOOKUP(M16,'Listas de apoio'!$O$2:$O$5,'Listas de apoio'!$R$2:$R$5),"")</f>
        <v/>
      </c>
      <c r="O16" s="246" t="str">
        <f>IFERROR(_xlfn.XLOOKUP((K16*M16),'Listas de apoio'!$S$2:$S$10,'Listas de apoio'!$T$2:$T$10),"")</f>
        <v/>
      </c>
      <c r="P16" s="247">
        <f>IFERROR(_xlfn.XLOOKUP(K16,'Listas de apoio'!$K$2:$K$5,'Listas de apoio'!$L$2:$L$5),0)</f>
        <v>0</v>
      </c>
      <c r="Q16" s="247">
        <f>IFERROR(_xlfn.XLOOKUP(K16,'Listas de apoio'!$K$2:$K$5,'Listas de apoio'!$M$2:$M$5),0)</f>
        <v>0</v>
      </c>
      <c r="R16" s="248">
        <f>IFERROR(_xlfn.XLOOKUP(M16,'Listas de apoio'!$O$2:$O$5,'Listas de apoio'!$P$2:$P$5),0)</f>
        <v>0</v>
      </c>
      <c r="S16" s="248">
        <f>IFERROR(_xlfn.XLOOKUP(M16,'Listas de apoio'!$O$2:$O$5,'Listas de apoio'!$Q$2:$Q$5),0)</f>
        <v>0</v>
      </c>
      <c r="T16" s="248">
        <f t="shared" si="2"/>
        <v>0</v>
      </c>
      <c r="W16" s="244"/>
      <c r="Z16" s="244"/>
      <c r="AA16" s="245" t="str">
        <f>IFERROR(_xlfn.XLOOKUP(Z16,'Listas de apoio'!$K$2:$K$5,'Listas de apoio'!$N$2:$N$5),"")</f>
        <v/>
      </c>
      <c r="AB16" s="244"/>
      <c r="AC16" s="245" t="str">
        <f>IFERROR(_xlfn.XLOOKUP(AB16,'Listas de apoio'!$O$2:$O$5,'Listas de apoio'!$R$2:$R$5),"")</f>
        <v/>
      </c>
      <c r="AD16" s="246" t="str">
        <f>IFERROR(_xlfn.XLOOKUP((Z16*AB16),'Listas de apoio'!$S$2:$S$10,'Listas de apoio'!$T$2:$T$10),"")</f>
        <v/>
      </c>
      <c r="AE16" s="71" t="str">
        <f t="shared" si="3"/>
        <v/>
      </c>
      <c r="AF16" s="71" t="str">
        <f t="shared" si="4"/>
        <v/>
      </c>
      <c r="AG16" s="71" t="str">
        <f t="shared" si="5"/>
        <v/>
      </c>
      <c r="AH16" s="71" t="str">
        <f t="shared" si="6"/>
        <v/>
      </c>
      <c r="AI16" s="71" t="str">
        <f t="shared" si="7"/>
        <v/>
      </c>
      <c r="AJ16" s="247">
        <f>IFERROR(_xlfn.XLOOKUP(Z16,'Listas de apoio'!$K$2:$K$5,'Listas de apoio'!$L$2:$L$5),0)</f>
        <v>0</v>
      </c>
      <c r="AK16" s="247">
        <f>IFERROR(_xlfn.XLOOKUP(Z16,'Listas de apoio'!$K$2:$K$5,'Listas de apoio'!$M$2:$M$5),0)</f>
        <v>0</v>
      </c>
      <c r="AL16" s="248">
        <f>IFERROR(_xlfn.XLOOKUP(AB16,'Listas de apoio'!$O$2:$O$5,'Listas de apoio'!$P$2:$P$5),0)</f>
        <v>0</v>
      </c>
      <c r="AM16" s="248">
        <f>IFERROR(_xlfn.XLOOKUP(AB16,'Listas de apoio'!$O$2:$O$5,'Listas de apoio'!$Q$2:$Q$5),0)</f>
        <v>0</v>
      </c>
      <c r="AN16" s="248">
        <f t="shared" si="8"/>
        <v>0</v>
      </c>
      <c r="AU16" s="232">
        <f t="shared" ca="1" si="0"/>
        <v>0</v>
      </c>
      <c r="AV16" s="249">
        <f t="shared" ca="1" si="1"/>
        <v>0</v>
      </c>
    </row>
    <row r="17" spans="1:48" ht="24" customHeight="1">
      <c r="A17" s="243">
        <v>12</v>
      </c>
      <c r="B17" s="244"/>
      <c r="C17" s="244"/>
      <c r="H17" s="244"/>
      <c r="K17" s="244"/>
      <c r="L17" s="245" t="str">
        <f>IFERROR(_xlfn.XLOOKUP(K17,'Listas de apoio'!$K$2:$K$5,'Listas de apoio'!$N$2:$N$5),"")</f>
        <v/>
      </c>
      <c r="M17" s="244"/>
      <c r="N17" s="245" t="str">
        <f>IFERROR(_xlfn.XLOOKUP(M17,'Listas de apoio'!$O$2:$O$5,'Listas de apoio'!$R$2:$R$5),"")</f>
        <v/>
      </c>
      <c r="O17" s="246" t="str">
        <f>IFERROR(_xlfn.XLOOKUP((K17*M17),'Listas de apoio'!$S$2:$S$10,'Listas de apoio'!$T$2:$T$10),"")</f>
        <v/>
      </c>
      <c r="P17" s="247">
        <f>IFERROR(_xlfn.XLOOKUP(K17,'Listas de apoio'!$K$2:$K$5,'Listas de apoio'!$L$2:$L$5),0)</f>
        <v>0</v>
      </c>
      <c r="Q17" s="247">
        <f>IFERROR(_xlfn.XLOOKUP(K17,'Listas de apoio'!$K$2:$K$5,'Listas de apoio'!$M$2:$M$5),0)</f>
        <v>0</v>
      </c>
      <c r="R17" s="248">
        <f>IFERROR(_xlfn.XLOOKUP(M17,'Listas de apoio'!$O$2:$O$5,'Listas de apoio'!$P$2:$P$5),0)</f>
        <v>0</v>
      </c>
      <c r="S17" s="248">
        <f>IFERROR(_xlfn.XLOOKUP(M17,'Listas de apoio'!$O$2:$O$5,'Listas de apoio'!$Q$2:$Q$5),0)</f>
        <v>0</v>
      </c>
      <c r="T17" s="248">
        <f t="shared" si="2"/>
        <v>0</v>
      </c>
      <c r="W17" s="244"/>
      <c r="Z17" s="244"/>
      <c r="AA17" s="245" t="str">
        <f>IFERROR(_xlfn.XLOOKUP(Z17,'Listas de apoio'!$K$2:$K$5,'Listas de apoio'!$N$2:$N$5),"")</f>
        <v/>
      </c>
      <c r="AB17" s="244"/>
      <c r="AC17" s="245" t="str">
        <f>IFERROR(_xlfn.XLOOKUP(AB17,'Listas de apoio'!$O$2:$O$5,'Listas de apoio'!$R$2:$R$5),"")</f>
        <v/>
      </c>
      <c r="AD17" s="246" t="str">
        <f>IFERROR(_xlfn.XLOOKUP((Z17*AB17),'Listas de apoio'!$S$2:$S$10,'Listas de apoio'!$T$2:$T$10),"")</f>
        <v/>
      </c>
      <c r="AE17" s="71" t="str">
        <f t="shared" si="3"/>
        <v/>
      </c>
      <c r="AF17" s="71" t="str">
        <f t="shared" si="4"/>
        <v/>
      </c>
      <c r="AG17" s="71" t="str">
        <f t="shared" si="5"/>
        <v/>
      </c>
      <c r="AH17" s="71" t="str">
        <f t="shared" si="6"/>
        <v/>
      </c>
      <c r="AI17" s="71" t="str">
        <f t="shared" si="7"/>
        <v/>
      </c>
      <c r="AJ17" s="247">
        <f>IFERROR(_xlfn.XLOOKUP(Z17,'Listas de apoio'!$K$2:$K$5,'Listas de apoio'!$L$2:$L$5),0)</f>
        <v>0</v>
      </c>
      <c r="AK17" s="247">
        <f>IFERROR(_xlfn.XLOOKUP(Z17,'Listas de apoio'!$K$2:$K$5,'Listas de apoio'!$M$2:$M$5),0)</f>
        <v>0</v>
      </c>
      <c r="AL17" s="248">
        <f>IFERROR(_xlfn.XLOOKUP(AB17,'Listas de apoio'!$O$2:$O$5,'Listas de apoio'!$P$2:$P$5),0)</f>
        <v>0</v>
      </c>
      <c r="AM17" s="248">
        <f>IFERROR(_xlfn.XLOOKUP(AB17,'Listas de apoio'!$O$2:$O$5,'Listas de apoio'!$Q$2:$Q$5),0)</f>
        <v>0</v>
      </c>
      <c r="AN17" s="248">
        <f t="shared" si="8"/>
        <v>0</v>
      </c>
      <c r="AU17" s="232">
        <f t="shared" ca="1" si="0"/>
        <v>0</v>
      </c>
      <c r="AV17" s="249">
        <f t="shared" ca="1" si="1"/>
        <v>0</v>
      </c>
    </row>
    <row r="18" spans="1:48" ht="24" customHeight="1">
      <c r="A18" s="243">
        <v>13</v>
      </c>
      <c r="B18" s="244"/>
      <c r="C18" s="244"/>
      <c r="H18" s="244"/>
      <c r="K18" s="244"/>
      <c r="L18" s="245" t="str">
        <f>IFERROR(_xlfn.XLOOKUP(K18,'Listas de apoio'!$K$2:$K$5,'Listas de apoio'!$N$2:$N$5),"")</f>
        <v/>
      </c>
      <c r="M18" s="244"/>
      <c r="N18" s="245" t="str">
        <f>IFERROR(_xlfn.XLOOKUP(M18,'Listas de apoio'!$O$2:$O$5,'Listas de apoio'!$R$2:$R$5),"")</f>
        <v/>
      </c>
      <c r="O18" s="246" t="str">
        <f>IFERROR(_xlfn.XLOOKUP((K18*M18),'Listas de apoio'!$S$2:$S$10,'Listas de apoio'!$T$2:$T$10),"")</f>
        <v/>
      </c>
      <c r="P18" s="247">
        <f>IFERROR(_xlfn.XLOOKUP(K18,'Listas de apoio'!$K$2:$K$5,'Listas de apoio'!$L$2:$L$5),0)</f>
        <v>0</v>
      </c>
      <c r="Q18" s="247">
        <f>IFERROR(_xlfn.XLOOKUP(K18,'Listas de apoio'!$K$2:$K$5,'Listas de apoio'!$M$2:$M$5),0)</f>
        <v>0</v>
      </c>
      <c r="R18" s="248">
        <f>IFERROR(_xlfn.XLOOKUP(M18,'Listas de apoio'!$O$2:$O$5,'Listas de apoio'!$P$2:$P$5),0)</f>
        <v>0</v>
      </c>
      <c r="S18" s="248">
        <f>IFERROR(_xlfn.XLOOKUP(M18,'Listas de apoio'!$O$2:$O$5,'Listas de apoio'!$Q$2:$Q$5),0)</f>
        <v>0</v>
      </c>
      <c r="T18" s="248">
        <f t="shared" si="2"/>
        <v>0</v>
      </c>
      <c r="W18" s="244"/>
      <c r="Z18" s="244"/>
      <c r="AA18" s="245" t="str">
        <f>IFERROR(_xlfn.XLOOKUP(Z18,'Listas de apoio'!$K$2:$K$5,'Listas de apoio'!$N$2:$N$5),"")</f>
        <v/>
      </c>
      <c r="AB18" s="244"/>
      <c r="AC18" s="245" t="str">
        <f>IFERROR(_xlfn.XLOOKUP(AB18,'Listas de apoio'!$O$2:$O$5,'Listas de apoio'!$R$2:$R$5),"")</f>
        <v/>
      </c>
      <c r="AD18" s="246" t="str">
        <f>IFERROR(_xlfn.XLOOKUP((Z18*AB18),'Listas de apoio'!$S$2:$S$10,'Listas de apoio'!$T$2:$T$10),"")</f>
        <v/>
      </c>
      <c r="AE18" s="71" t="str">
        <f t="shared" si="3"/>
        <v/>
      </c>
      <c r="AF18" s="71" t="str">
        <f t="shared" si="4"/>
        <v/>
      </c>
      <c r="AG18" s="71" t="str">
        <f t="shared" si="5"/>
        <v/>
      </c>
      <c r="AH18" s="71" t="str">
        <f t="shared" si="6"/>
        <v/>
      </c>
      <c r="AI18" s="71" t="str">
        <f t="shared" si="7"/>
        <v/>
      </c>
      <c r="AJ18" s="247">
        <f>IFERROR(_xlfn.XLOOKUP(Z18,'Listas de apoio'!$K$2:$K$5,'Listas de apoio'!$L$2:$L$5),0)</f>
        <v>0</v>
      </c>
      <c r="AK18" s="247">
        <f>IFERROR(_xlfn.XLOOKUP(Z18,'Listas de apoio'!$K$2:$K$5,'Listas de apoio'!$M$2:$M$5),0)</f>
        <v>0</v>
      </c>
      <c r="AL18" s="248">
        <f>IFERROR(_xlfn.XLOOKUP(AB18,'Listas de apoio'!$O$2:$O$5,'Listas de apoio'!$P$2:$P$5),0)</f>
        <v>0</v>
      </c>
      <c r="AM18" s="248">
        <f>IFERROR(_xlfn.XLOOKUP(AB18,'Listas de apoio'!$O$2:$O$5,'Listas de apoio'!$Q$2:$Q$5),0)</f>
        <v>0</v>
      </c>
      <c r="AN18" s="248">
        <f t="shared" si="8"/>
        <v>0</v>
      </c>
      <c r="AU18" s="232">
        <f t="shared" ca="1" si="0"/>
        <v>0</v>
      </c>
      <c r="AV18" s="249">
        <f t="shared" ca="1" si="1"/>
        <v>0</v>
      </c>
    </row>
    <row r="19" spans="1:48" ht="24" customHeight="1">
      <c r="A19" s="243">
        <v>14</v>
      </c>
      <c r="B19" s="244"/>
      <c r="C19" s="244"/>
      <c r="H19" s="244"/>
      <c r="K19" s="244"/>
      <c r="L19" s="245" t="str">
        <f>IFERROR(_xlfn.XLOOKUP(K19,'Listas de apoio'!$K$2:$K$5,'Listas de apoio'!$N$2:$N$5),"")</f>
        <v/>
      </c>
      <c r="M19" s="244"/>
      <c r="N19" s="245" t="str">
        <f>IFERROR(_xlfn.XLOOKUP(M19,'Listas de apoio'!$O$2:$O$5,'Listas de apoio'!$R$2:$R$5),"")</f>
        <v/>
      </c>
      <c r="O19" s="246" t="str">
        <f>IFERROR(_xlfn.XLOOKUP((K19*M19),'Listas de apoio'!$S$2:$S$10,'Listas de apoio'!$T$2:$T$10),"")</f>
        <v/>
      </c>
      <c r="P19" s="247">
        <f>IFERROR(_xlfn.XLOOKUP(K19,'Listas de apoio'!$K$2:$K$5,'Listas de apoio'!$L$2:$L$5),0)</f>
        <v>0</v>
      </c>
      <c r="Q19" s="247">
        <f>IFERROR(_xlfn.XLOOKUP(K19,'Listas de apoio'!$K$2:$K$5,'Listas de apoio'!$M$2:$M$5),0)</f>
        <v>0</v>
      </c>
      <c r="R19" s="248">
        <f>IFERROR(_xlfn.XLOOKUP(M19,'Listas de apoio'!$O$2:$O$5,'Listas de apoio'!$P$2:$P$5),0)</f>
        <v>0</v>
      </c>
      <c r="S19" s="248">
        <f>IFERROR(_xlfn.XLOOKUP(M19,'Listas de apoio'!$O$2:$O$5,'Listas de apoio'!$Q$2:$Q$5),0)</f>
        <v>0</v>
      </c>
      <c r="T19" s="248">
        <f t="shared" si="2"/>
        <v>0</v>
      </c>
      <c r="W19" s="244"/>
      <c r="Z19" s="244"/>
      <c r="AA19" s="245" t="str">
        <f>IFERROR(_xlfn.XLOOKUP(Z19,'Listas de apoio'!$K$2:$K$5,'Listas de apoio'!$N$2:$N$5),"")</f>
        <v/>
      </c>
      <c r="AB19" s="244"/>
      <c r="AC19" s="245" t="str">
        <f>IFERROR(_xlfn.XLOOKUP(AB19,'Listas de apoio'!$O$2:$O$5,'Listas de apoio'!$R$2:$R$5),"")</f>
        <v/>
      </c>
      <c r="AD19" s="246" t="str">
        <f>IFERROR(_xlfn.XLOOKUP((Z19*AB19),'Listas de apoio'!$S$2:$S$10,'Listas de apoio'!$T$2:$T$10),"")</f>
        <v/>
      </c>
      <c r="AE19" s="71" t="str">
        <f t="shared" si="3"/>
        <v/>
      </c>
      <c r="AF19" s="71" t="str">
        <f t="shared" si="4"/>
        <v/>
      </c>
      <c r="AG19" s="71" t="str">
        <f t="shared" si="5"/>
        <v/>
      </c>
      <c r="AH19" s="71" t="str">
        <f t="shared" si="6"/>
        <v/>
      </c>
      <c r="AI19" s="71" t="str">
        <f t="shared" si="7"/>
        <v/>
      </c>
      <c r="AJ19" s="247">
        <f>IFERROR(_xlfn.XLOOKUP(Z19,'Listas de apoio'!$K$2:$K$5,'Listas de apoio'!$L$2:$L$5),0)</f>
        <v>0</v>
      </c>
      <c r="AK19" s="247">
        <f>IFERROR(_xlfn.XLOOKUP(Z19,'Listas de apoio'!$K$2:$K$5,'Listas de apoio'!$M$2:$M$5),0)</f>
        <v>0</v>
      </c>
      <c r="AL19" s="248">
        <f>IFERROR(_xlfn.XLOOKUP(AB19,'Listas de apoio'!$O$2:$O$5,'Listas de apoio'!$P$2:$P$5),0)</f>
        <v>0</v>
      </c>
      <c r="AM19" s="248">
        <f>IFERROR(_xlfn.XLOOKUP(AB19,'Listas de apoio'!$O$2:$O$5,'Listas de apoio'!$Q$2:$Q$5),0)</f>
        <v>0</v>
      </c>
      <c r="AN19" s="248">
        <f t="shared" si="8"/>
        <v>0</v>
      </c>
      <c r="AU19" s="232">
        <f t="shared" ca="1" si="0"/>
        <v>0</v>
      </c>
      <c r="AV19" s="249">
        <f t="shared" ca="1" si="1"/>
        <v>0</v>
      </c>
    </row>
    <row r="20" spans="1:48" ht="24" customHeight="1">
      <c r="A20" s="243">
        <v>15</v>
      </c>
      <c r="B20" s="244"/>
      <c r="C20" s="244"/>
      <c r="H20" s="244"/>
      <c r="K20" s="244"/>
      <c r="L20" s="245" t="str">
        <f>IFERROR(_xlfn.XLOOKUP(K20,'Listas de apoio'!$K$2:$K$5,'Listas de apoio'!$N$2:$N$5),"")</f>
        <v/>
      </c>
      <c r="M20" s="244"/>
      <c r="N20" s="245" t="str">
        <f>IFERROR(_xlfn.XLOOKUP(M20,'Listas de apoio'!$O$2:$O$5,'Listas de apoio'!$R$2:$R$5),"")</f>
        <v/>
      </c>
      <c r="O20" s="246" t="str">
        <f>IFERROR(_xlfn.XLOOKUP((K20*M20),'Listas de apoio'!$S$2:$S$10,'Listas de apoio'!$T$2:$T$10),"")</f>
        <v/>
      </c>
      <c r="P20" s="247">
        <f>IFERROR(_xlfn.XLOOKUP(K20,'Listas de apoio'!$K$2:$K$5,'Listas de apoio'!$L$2:$L$5),0)</f>
        <v>0</v>
      </c>
      <c r="Q20" s="247">
        <f>IFERROR(_xlfn.XLOOKUP(K20,'Listas de apoio'!$K$2:$K$5,'Listas de apoio'!$M$2:$M$5),0)</f>
        <v>0</v>
      </c>
      <c r="R20" s="248">
        <f>IFERROR(_xlfn.XLOOKUP(M20,'Listas de apoio'!$O$2:$O$5,'Listas de apoio'!$P$2:$P$5),0)</f>
        <v>0</v>
      </c>
      <c r="S20" s="248">
        <f>IFERROR(_xlfn.XLOOKUP(M20,'Listas de apoio'!$O$2:$O$5,'Listas de apoio'!$Q$2:$Q$5),0)</f>
        <v>0</v>
      </c>
      <c r="T20" s="248">
        <f t="shared" si="2"/>
        <v>0</v>
      </c>
      <c r="W20" s="244"/>
      <c r="Z20" s="244"/>
      <c r="AA20" s="245" t="str">
        <f>IFERROR(_xlfn.XLOOKUP(Z20,'Listas de apoio'!$K$2:$K$5,'Listas de apoio'!$N$2:$N$5),"")</f>
        <v/>
      </c>
      <c r="AB20" s="244"/>
      <c r="AC20" s="245" t="str">
        <f>IFERROR(_xlfn.XLOOKUP(AB20,'Listas de apoio'!$O$2:$O$5,'Listas de apoio'!$R$2:$R$5),"")</f>
        <v/>
      </c>
      <c r="AD20" s="246" t="str">
        <f>IFERROR(_xlfn.XLOOKUP((Z20*AB20),'Listas de apoio'!$S$2:$S$10,'Listas de apoio'!$T$2:$T$10),"")</f>
        <v/>
      </c>
      <c r="AE20" s="71" t="str">
        <f t="shared" si="3"/>
        <v/>
      </c>
      <c r="AF20" s="71" t="str">
        <f t="shared" si="4"/>
        <v/>
      </c>
      <c r="AG20" s="71" t="str">
        <f t="shared" si="5"/>
        <v/>
      </c>
      <c r="AH20" s="71" t="str">
        <f t="shared" si="6"/>
        <v/>
      </c>
      <c r="AI20" s="71" t="str">
        <f t="shared" si="7"/>
        <v/>
      </c>
      <c r="AJ20" s="247">
        <f>IFERROR(_xlfn.XLOOKUP(Z20,'Listas de apoio'!$K$2:$K$5,'Listas de apoio'!$L$2:$L$5),0)</f>
        <v>0</v>
      </c>
      <c r="AK20" s="247">
        <f>IFERROR(_xlfn.XLOOKUP(Z20,'Listas de apoio'!$K$2:$K$5,'Listas de apoio'!$M$2:$M$5),0)</f>
        <v>0</v>
      </c>
      <c r="AL20" s="248">
        <f>IFERROR(_xlfn.XLOOKUP(AB20,'Listas de apoio'!$O$2:$O$5,'Listas de apoio'!$P$2:$P$5),0)</f>
        <v>0</v>
      </c>
      <c r="AM20" s="248">
        <f>IFERROR(_xlfn.XLOOKUP(AB20,'Listas de apoio'!$O$2:$O$5,'Listas de apoio'!$Q$2:$Q$5),0)</f>
        <v>0</v>
      </c>
      <c r="AN20" s="248">
        <f t="shared" si="8"/>
        <v>0</v>
      </c>
      <c r="AU20" s="232">
        <f t="shared" ca="1" si="0"/>
        <v>0</v>
      </c>
      <c r="AV20" s="249">
        <f t="shared" ca="1" si="1"/>
        <v>0</v>
      </c>
    </row>
    <row r="21" spans="1:48" ht="24" customHeight="1">
      <c r="A21" s="243">
        <v>16</v>
      </c>
      <c r="B21" s="244"/>
      <c r="C21" s="244"/>
      <c r="H21" s="244"/>
      <c r="K21" s="244"/>
      <c r="L21" s="245" t="str">
        <f>IFERROR(_xlfn.XLOOKUP(K21,'Listas de apoio'!$K$2:$K$5,'Listas de apoio'!$N$2:$N$5),"")</f>
        <v/>
      </c>
      <c r="M21" s="244"/>
      <c r="N21" s="245" t="str">
        <f>IFERROR(_xlfn.XLOOKUP(M21,'Listas de apoio'!$O$2:$O$5,'Listas de apoio'!$R$2:$R$5),"")</f>
        <v/>
      </c>
      <c r="O21" s="246" t="str">
        <f>IFERROR(_xlfn.XLOOKUP((K21*M21),'Listas de apoio'!$S$2:$S$10,'Listas de apoio'!$T$2:$T$10),"")</f>
        <v/>
      </c>
      <c r="P21" s="247">
        <f>IFERROR(_xlfn.XLOOKUP(K21,'Listas de apoio'!$K$2:$K$5,'Listas de apoio'!$L$2:$L$5),0)</f>
        <v>0</v>
      </c>
      <c r="Q21" s="247">
        <f>IFERROR(_xlfn.XLOOKUP(K21,'Listas de apoio'!$K$2:$K$5,'Listas de apoio'!$M$2:$M$5),0)</f>
        <v>0</v>
      </c>
      <c r="R21" s="248">
        <f>IFERROR(_xlfn.XLOOKUP(M21,'Listas de apoio'!$O$2:$O$5,'Listas de apoio'!$P$2:$P$5),0)</f>
        <v>0</v>
      </c>
      <c r="S21" s="248">
        <f>IFERROR(_xlfn.XLOOKUP(M21,'Listas de apoio'!$O$2:$O$5,'Listas de apoio'!$Q$2:$Q$5),0)</f>
        <v>0</v>
      </c>
      <c r="T21" s="248">
        <f t="shared" si="2"/>
        <v>0</v>
      </c>
      <c r="W21" s="244"/>
      <c r="Z21" s="244"/>
      <c r="AA21" s="245" t="str">
        <f>IFERROR(_xlfn.XLOOKUP(Z21,'Listas de apoio'!$K$2:$K$5,'Listas de apoio'!$N$2:$N$5),"")</f>
        <v/>
      </c>
      <c r="AB21" s="244"/>
      <c r="AC21" s="245" t="str">
        <f>IFERROR(_xlfn.XLOOKUP(AB21,'Listas de apoio'!$O$2:$O$5,'Listas de apoio'!$R$2:$R$5),"")</f>
        <v/>
      </c>
      <c r="AD21" s="246" t="str">
        <f>IFERROR(_xlfn.XLOOKUP((Z21*AB21),'Listas de apoio'!$S$2:$S$10,'Listas de apoio'!$T$2:$T$10),"")</f>
        <v/>
      </c>
      <c r="AE21" s="71" t="str">
        <f t="shared" si="3"/>
        <v/>
      </c>
      <c r="AF21" s="71" t="str">
        <f t="shared" si="4"/>
        <v/>
      </c>
      <c r="AG21" s="71" t="str">
        <f t="shared" si="5"/>
        <v/>
      </c>
      <c r="AH21" s="71" t="str">
        <f t="shared" si="6"/>
        <v/>
      </c>
      <c r="AI21" s="71" t="str">
        <f t="shared" si="7"/>
        <v/>
      </c>
      <c r="AJ21" s="247">
        <f>IFERROR(_xlfn.XLOOKUP(Z21,'Listas de apoio'!$K$2:$K$5,'Listas de apoio'!$L$2:$L$5),0)</f>
        <v>0</v>
      </c>
      <c r="AK21" s="247">
        <f>IFERROR(_xlfn.XLOOKUP(Z21,'Listas de apoio'!$K$2:$K$5,'Listas de apoio'!$M$2:$M$5),0)</f>
        <v>0</v>
      </c>
      <c r="AL21" s="248">
        <f>IFERROR(_xlfn.XLOOKUP(AB21,'Listas de apoio'!$O$2:$O$5,'Listas de apoio'!$P$2:$P$5),0)</f>
        <v>0</v>
      </c>
      <c r="AM21" s="248">
        <f>IFERROR(_xlfn.XLOOKUP(AB21,'Listas de apoio'!$O$2:$O$5,'Listas de apoio'!$Q$2:$Q$5),0)</f>
        <v>0</v>
      </c>
      <c r="AN21" s="248">
        <f t="shared" si="8"/>
        <v>0</v>
      </c>
      <c r="AU21" s="232">
        <f t="shared" ca="1" si="0"/>
        <v>0</v>
      </c>
      <c r="AV21" s="249">
        <f t="shared" ca="1" si="1"/>
        <v>0</v>
      </c>
    </row>
    <row r="22" spans="1:48" ht="24" customHeight="1">
      <c r="A22" s="243">
        <v>17</v>
      </c>
      <c r="B22" s="244"/>
      <c r="C22" s="244"/>
      <c r="H22" s="244"/>
      <c r="K22" s="244"/>
      <c r="L22" s="245" t="str">
        <f>IFERROR(_xlfn.XLOOKUP(K22,'Listas de apoio'!$K$2:$K$5,'Listas de apoio'!$N$2:$N$5),"")</f>
        <v/>
      </c>
      <c r="M22" s="244"/>
      <c r="N22" s="245" t="str">
        <f>IFERROR(_xlfn.XLOOKUP(M22,'Listas de apoio'!$O$2:$O$5,'Listas de apoio'!$R$2:$R$5),"")</f>
        <v/>
      </c>
      <c r="O22" s="246" t="str">
        <f>IFERROR(_xlfn.XLOOKUP((K22*M22),'Listas de apoio'!$S$2:$S$10,'Listas de apoio'!$T$2:$T$10),"")</f>
        <v/>
      </c>
      <c r="P22" s="247">
        <f>IFERROR(_xlfn.XLOOKUP(K22,'Listas de apoio'!$K$2:$K$5,'Listas de apoio'!$L$2:$L$5),0)</f>
        <v>0</v>
      </c>
      <c r="Q22" s="247">
        <f>IFERROR(_xlfn.XLOOKUP(K22,'Listas de apoio'!$K$2:$K$5,'Listas de apoio'!$M$2:$M$5),0)</f>
        <v>0</v>
      </c>
      <c r="R22" s="248">
        <f>IFERROR(_xlfn.XLOOKUP(M22,'Listas de apoio'!$O$2:$O$5,'Listas de apoio'!$P$2:$P$5),0)</f>
        <v>0</v>
      </c>
      <c r="S22" s="248">
        <f>IFERROR(_xlfn.XLOOKUP(M22,'Listas de apoio'!$O$2:$O$5,'Listas de apoio'!$Q$2:$Q$5),0)</f>
        <v>0</v>
      </c>
      <c r="T22" s="248">
        <f t="shared" si="2"/>
        <v>0</v>
      </c>
      <c r="W22" s="244"/>
      <c r="Z22" s="244"/>
      <c r="AA22" s="245" t="str">
        <f>IFERROR(_xlfn.XLOOKUP(Z22,'Listas de apoio'!$K$2:$K$5,'Listas de apoio'!$N$2:$N$5),"")</f>
        <v/>
      </c>
      <c r="AB22" s="244"/>
      <c r="AC22" s="245" t="str">
        <f>IFERROR(_xlfn.XLOOKUP(AB22,'Listas de apoio'!$O$2:$O$5,'Listas de apoio'!$R$2:$R$5),"")</f>
        <v/>
      </c>
      <c r="AD22" s="246" t="str">
        <f>IFERROR(_xlfn.XLOOKUP((Z22*AB22),'Listas de apoio'!$S$2:$S$10,'Listas de apoio'!$T$2:$T$10),"")</f>
        <v/>
      </c>
      <c r="AE22" s="71" t="str">
        <f t="shared" si="3"/>
        <v/>
      </c>
      <c r="AF22" s="71" t="str">
        <f t="shared" si="4"/>
        <v/>
      </c>
      <c r="AG22" s="71" t="str">
        <f t="shared" si="5"/>
        <v/>
      </c>
      <c r="AH22" s="71" t="str">
        <f t="shared" si="6"/>
        <v/>
      </c>
      <c r="AI22" s="71" t="str">
        <f t="shared" si="7"/>
        <v/>
      </c>
      <c r="AJ22" s="247">
        <f>IFERROR(_xlfn.XLOOKUP(Z22,'Listas de apoio'!$K$2:$K$5,'Listas de apoio'!$L$2:$L$5),0)</f>
        <v>0</v>
      </c>
      <c r="AK22" s="247">
        <f>IFERROR(_xlfn.XLOOKUP(Z22,'Listas de apoio'!$K$2:$K$5,'Listas de apoio'!$M$2:$M$5),0)</f>
        <v>0</v>
      </c>
      <c r="AL22" s="248">
        <f>IFERROR(_xlfn.XLOOKUP(AB22,'Listas de apoio'!$O$2:$O$5,'Listas de apoio'!$P$2:$P$5),0)</f>
        <v>0</v>
      </c>
      <c r="AM22" s="248">
        <f>IFERROR(_xlfn.XLOOKUP(AB22,'Listas de apoio'!$O$2:$O$5,'Listas de apoio'!$Q$2:$Q$5),0)</f>
        <v>0</v>
      </c>
      <c r="AN22" s="248">
        <f t="shared" si="8"/>
        <v>0</v>
      </c>
      <c r="AU22" s="232">
        <f t="shared" ca="1" si="0"/>
        <v>0</v>
      </c>
      <c r="AV22" s="249">
        <f t="shared" ca="1" si="1"/>
        <v>0</v>
      </c>
    </row>
    <row r="23" spans="1:48" ht="24" customHeight="1">
      <c r="A23" s="243">
        <v>18</v>
      </c>
      <c r="B23" s="244"/>
      <c r="C23" s="244"/>
      <c r="H23" s="244"/>
      <c r="K23" s="244"/>
      <c r="L23" s="245" t="str">
        <f>IFERROR(_xlfn.XLOOKUP(K23,'Listas de apoio'!$K$2:$K$5,'Listas de apoio'!$N$2:$N$5),"")</f>
        <v/>
      </c>
      <c r="M23" s="244"/>
      <c r="N23" s="245" t="str">
        <f>IFERROR(_xlfn.XLOOKUP(M23,'Listas de apoio'!$O$2:$O$5,'Listas de apoio'!$R$2:$R$5),"")</f>
        <v/>
      </c>
      <c r="O23" s="246" t="str">
        <f>IFERROR(_xlfn.XLOOKUP((K23*M23),'Listas de apoio'!$S$2:$S$10,'Listas de apoio'!$T$2:$T$10),"")</f>
        <v/>
      </c>
      <c r="P23" s="247">
        <f>IFERROR(_xlfn.XLOOKUP(K23,'Listas de apoio'!$K$2:$K$5,'Listas de apoio'!$L$2:$L$5),0)</f>
        <v>0</v>
      </c>
      <c r="Q23" s="247">
        <f>IFERROR(_xlfn.XLOOKUP(K23,'Listas de apoio'!$K$2:$K$5,'Listas de apoio'!$M$2:$M$5),0)</f>
        <v>0</v>
      </c>
      <c r="R23" s="248">
        <f>IFERROR(_xlfn.XLOOKUP(M23,'Listas de apoio'!$O$2:$O$5,'Listas de apoio'!$P$2:$P$5),0)</f>
        <v>0</v>
      </c>
      <c r="S23" s="248">
        <f>IFERROR(_xlfn.XLOOKUP(M23,'Listas de apoio'!$O$2:$O$5,'Listas de apoio'!$Q$2:$Q$5),0)</f>
        <v>0</v>
      </c>
      <c r="T23" s="248">
        <f t="shared" si="2"/>
        <v>0</v>
      </c>
      <c r="W23" s="244"/>
      <c r="Z23" s="244"/>
      <c r="AA23" s="245" t="str">
        <f>IFERROR(_xlfn.XLOOKUP(Z23,'Listas de apoio'!$K$2:$K$5,'Listas de apoio'!$N$2:$N$5),"")</f>
        <v/>
      </c>
      <c r="AB23" s="244"/>
      <c r="AC23" s="245" t="str">
        <f>IFERROR(_xlfn.XLOOKUP(AB23,'Listas de apoio'!$O$2:$O$5,'Listas de apoio'!$R$2:$R$5),"")</f>
        <v/>
      </c>
      <c r="AD23" s="246" t="str">
        <f>IFERROR(_xlfn.XLOOKUP((Z23*AB23),'Listas de apoio'!$S$2:$S$10,'Listas de apoio'!$T$2:$T$10),"")</f>
        <v/>
      </c>
      <c r="AE23" s="71" t="str">
        <f t="shared" si="3"/>
        <v/>
      </c>
      <c r="AF23" s="71" t="str">
        <f t="shared" si="4"/>
        <v/>
      </c>
      <c r="AG23" s="71" t="str">
        <f t="shared" si="5"/>
        <v/>
      </c>
      <c r="AH23" s="71" t="str">
        <f t="shared" si="6"/>
        <v/>
      </c>
      <c r="AI23" s="71" t="str">
        <f t="shared" si="7"/>
        <v/>
      </c>
      <c r="AJ23" s="247">
        <f>IFERROR(_xlfn.XLOOKUP(Z23,'Listas de apoio'!$K$2:$K$5,'Listas de apoio'!$L$2:$L$5),0)</f>
        <v>0</v>
      </c>
      <c r="AK23" s="247">
        <f>IFERROR(_xlfn.XLOOKUP(Z23,'Listas de apoio'!$K$2:$K$5,'Listas de apoio'!$M$2:$M$5),0)</f>
        <v>0</v>
      </c>
      <c r="AL23" s="248">
        <f>IFERROR(_xlfn.XLOOKUP(AB23,'Listas de apoio'!$O$2:$O$5,'Listas de apoio'!$P$2:$P$5),0)</f>
        <v>0</v>
      </c>
      <c r="AM23" s="248">
        <f>IFERROR(_xlfn.XLOOKUP(AB23,'Listas de apoio'!$O$2:$O$5,'Listas de apoio'!$Q$2:$Q$5),0)</f>
        <v>0</v>
      </c>
      <c r="AN23" s="248">
        <f t="shared" si="8"/>
        <v>0</v>
      </c>
      <c r="AU23" s="232">
        <f t="shared" ca="1" si="0"/>
        <v>0</v>
      </c>
      <c r="AV23" s="249">
        <f t="shared" ca="1" si="1"/>
        <v>0</v>
      </c>
    </row>
    <row r="24" spans="1:48" ht="24" customHeight="1">
      <c r="A24" s="243">
        <v>19</v>
      </c>
      <c r="B24" s="244"/>
      <c r="C24" s="244"/>
      <c r="H24" s="244"/>
      <c r="K24" s="244"/>
      <c r="L24" s="245" t="str">
        <f>IFERROR(_xlfn.XLOOKUP(K24,'Listas de apoio'!$K$2:$K$5,'Listas de apoio'!$N$2:$N$5),"")</f>
        <v/>
      </c>
      <c r="M24" s="244"/>
      <c r="N24" s="245" t="str">
        <f>IFERROR(_xlfn.XLOOKUP(M24,'Listas de apoio'!$O$2:$O$5,'Listas de apoio'!$R$2:$R$5),"")</f>
        <v/>
      </c>
      <c r="O24" s="246" t="str">
        <f>IFERROR(_xlfn.XLOOKUP((K24*M24),'Listas de apoio'!$S$2:$S$10,'Listas de apoio'!$T$2:$T$10),"")</f>
        <v/>
      </c>
      <c r="P24" s="247">
        <f>IFERROR(_xlfn.XLOOKUP(K24,'Listas de apoio'!$K$2:$K$5,'Listas de apoio'!$L$2:$L$5),0)</f>
        <v>0</v>
      </c>
      <c r="Q24" s="247">
        <f>IFERROR(_xlfn.XLOOKUP(K24,'Listas de apoio'!$K$2:$K$5,'Listas de apoio'!$M$2:$M$5),0)</f>
        <v>0</v>
      </c>
      <c r="R24" s="248">
        <f>IFERROR(_xlfn.XLOOKUP(M24,'Listas de apoio'!$O$2:$O$5,'Listas de apoio'!$P$2:$P$5),0)</f>
        <v>0</v>
      </c>
      <c r="S24" s="248">
        <f>IFERROR(_xlfn.XLOOKUP(M24,'Listas de apoio'!$O$2:$O$5,'Listas de apoio'!$Q$2:$Q$5),0)</f>
        <v>0</v>
      </c>
      <c r="T24" s="248">
        <f t="shared" si="2"/>
        <v>0</v>
      </c>
      <c r="W24" s="244"/>
      <c r="Z24" s="244"/>
      <c r="AA24" s="245" t="str">
        <f>IFERROR(_xlfn.XLOOKUP(Z24,'Listas de apoio'!$K$2:$K$5,'Listas de apoio'!$N$2:$N$5),"")</f>
        <v/>
      </c>
      <c r="AB24" s="244"/>
      <c r="AC24" s="245" t="str">
        <f>IFERROR(_xlfn.XLOOKUP(AB24,'Listas de apoio'!$O$2:$O$5,'Listas de apoio'!$R$2:$R$5),"")</f>
        <v/>
      </c>
      <c r="AD24" s="246" t="str">
        <f>IFERROR(_xlfn.XLOOKUP((Z24*AB24),'Listas de apoio'!$S$2:$S$10,'Listas de apoio'!$T$2:$T$10),"")</f>
        <v/>
      </c>
      <c r="AE24" s="71" t="str">
        <f t="shared" si="3"/>
        <v/>
      </c>
      <c r="AF24" s="71" t="str">
        <f t="shared" si="4"/>
        <v/>
      </c>
      <c r="AG24" s="71" t="str">
        <f t="shared" si="5"/>
        <v/>
      </c>
      <c r="AH24" s="71" t="str">
        <f t="shared" si="6"/>
        <v/>
      </c>
      <c r="AI24" s="71" t="str">
        <f t="shared" si="7"/>
        <v/>
      </c>
      <c r="AJ24" s="247">
        <f>IFERROR(_xlfn.XLOOKUP(Z24,'Listas de apoio'!$K$2:$K$5,'Listas de apoio'!$L$2:$L$5),0)</f>
        <v>0</v>
      </c>
      <c r="AK24" s="247">
        <f>IFERROR(_xlfn.XLOOKUP(Z24,'Listas de apoio'!$K$2:$K$5,'Listas de apoio'!$M$2:$M$5),0)</f>
        <v>0</v>
      </c>
      <c r="AL24" s="248">
        <f>IFERROR(_xlfn.XLOOKUP(AB24,'Listas de apoio'!$O$2:$O$5,'Listas de apoio'!$P$2:$P$5),0)</f>
        <v>0</v>
      </c>
      <c r="AM24" s="248">
        <f>IFERROR(_xlfn.XLOOKUP(AB24,'Listas de apoio'!$O$2:$O$5,'Listas de apoio'!$Q$2:$Q$5),0)</f>
        <v>0</v>
      </c>
      <c r="AN24" s="248">
        <f t="shared" si="8"/>
        <v>0</v>
      </c>
      <c r="AU24" s="232">
        <f t="shared" ca="1" si="0"/>
        <v>0</v>
      </c>
      <c r="AV24" s="249">
        <f t="shared" ca="1" si="1"/>
        <v>0</v>
      </c>
    </row>
    <row r="25" spans="1:48" ht="24" customHeight="1">
      <c r="A25" s="243">
        <v>20</v>
      </c>
      <c r="B25" s="244"/>
      <c r="C25" s="244"/>
      <c r="H25" s="244"/>
      <c r="K25" s="244"/>
      <c r="L25" s="245" t="str">
        <f>IFERROR(_xlfn.XLOOKUP(K25,'Listas de apoio'!$K$2:$K$5,'Listas de apoio'!$N$2:$N$5),"")</f>
        <v/>
      </c>
      <c r="M25" s="244"/>
      <c r="N25" s="245" t="str">
        <f>IFERROR(_xlfn.XLOOKUP(M25,'Listas de apoio'!$O$2:$O$5,'Listas de apoio'!$R$2:$R$5),"")</f>
        <v/>
      </c>
      <c r="O25" s="246" t="str">
        <f>IFERROR(_xlfn.XLOOKUP((K25*M25),'Listas de apoio'!$S$2:$S$10,'Listas de apoio'!$T$2:$T$10),"")</f>
        <v/>
      </c>
      <c r="P25" s="247">
        <f>IFERROR(_xlfn.XLOOKUP(K25,'Listas de apoio'!$K$2:$K$5,'Listas de apoio'!$L$2:$L$5),0)</f>
        <v>0</v>
      </c>
      <c r="Q25" s="247">
        <f>IFERROR(_xlfn.XLOOKUP(K25,'Listas de apoio'!$K$2:$K$5,'Listas de apoio'!$M$2:$M$5),0)</f>
        <v>0</v>
      </c>
      <c r="R25" s="248">
        <f>IFERROR(_xlfn.XLOOKUP(M25,'Listas de apoio'!$O$2:$O$5,'Listas de apoio'!$P$2:$P$5),0)</f>
        <v>0</v>
      </c>
      <c r="S25" s="248">
        <f>IFERROR(_xlfn.XLOOKUP(M25,'Listas de apoio'!$O$2:$O$5,'Listas de apoio'!$Q$2:$Q$5),0)</f>
        <v>0</v>
      </c>
      <c r="T25" s="248">
        <f t="shared" si="2"/>
        <v>0</v>
      </c>
      <c r="W25" s="244"/>
      <c r="Z25" s="244"/>
      <c r="AA25" s="245" t="str">
        <f>IFERROR(_xlfn.XLOOKUP(Z25,'Listas de apoio'!$K$2:$K$5,'Listas de apoio'!$N$2:$N$5),"")</f>
        <v/>
      </c>
      <c r="AB25" s="244"/>
      <c r="AC25" s="245" t="str">
        <f>IFERROR(_xlfn.XLOOKUP(AB25,'Listas de apoio'!$O$2:$O$5,'Listas de apoio'!$R$2:$R$5),"")</f>
        <v/>
      </c>
      <c r="AD25" s="246" t="str">
        <f>IFERROR(_xlfn.XLOOKUP((Z25*AB25),'Listas de apoio'!$S$2:$S$10,'Listas de apoio'!$T$2:$T$10),"")</f>
        <v/>
      </c>
      <c r="AE25" s="71" t="str">
        <f t="shared" si="3"/>
        <v/>
      </c>
      <c r="AF25" s="71" t="str">
        <f t="shared" si="4"/>
        <v/>
      </c>
      <c r="AG25" s="71" t="str">
        <f t="shared" si="5"/>
        <v/>
      </c>
      <c r="AH25" s="71" t="str">
        <f t="shared" si="6"/>
        <v/>
      </c>
      <c r="AI25" s="71" t="str">
        <f t="shared" si="7"/>
        <v/>
      </c>
      <c r="AJ25" s="247">
        <f>IFERROR(_xlfn.XLOOKUP(Z25,'Listas de apoio'!$K$2:$K$5,'Listas de apoio'!$L$2:$L$5),0)</f>
        <v>0</v>
      </c>
      <c r="AK25" s="247">
        <f>IFERROR(_xlfn.XLOOKUP(Z25,'Listas de apoio'!$K$2:$K$5,'Listas de apoio'!$M$2:$M$5),0)</f>
        <v>0</v>
      </c>
      <c r="AL25" s="248">
        <f>IFERROR(_xlfn.XLOOKUP(AB25,'Listas de apoio'!$O$2:$O$5,'Listas de apoio'!$P$2:$P$5),0)</f>
        <v>0</v>
      </c>
      <c r="AM25" s="248">
        <f>IFERROR(_xlfn.XLOOKUP(AB25,'Listas de apoio'!$O$2:$O$5,'Listas de apoio'!$Q$2:$Q$5),0)</f>
        <v>0</v>
      </c>
      <c r="AN25" s="248">
        <f t="shared" si="8"/>
        <v>0</v>
      </c>
      <c r="AU25" s="232">
        <f t="shared" ca="1" si="0"/>
        <v>0</v>
      </c>
      <c r="AV25" s="249">
        <f t="shared" ca="1" si="1"/>
        <v>0</v>
      </c>
    </row>
    <row r="26" spans="1:48" ht="24" customHeight="1">
      <c r="A26" s="243">
        <v>21</v>
      </c>
      <c r="B26" s="244"/>
      <c r="C26" s="244"/>
      <c r="H26" s="244"/>
      <c r="K26" s="244"/>
      <c r="L26" s="245" t="str">
        <f>IFERROR(_xlfn.XLOOKUP(K26,'Listas de apoio'!$K$2:$K$5,'Listas de apoio'!$N$2:$N$5),"")</f>
        <v/>
      </c>
      <c r="M26" s="244"/>
      <c r="N26" s="245" t="str">
        <f>IFERROR(_xlfn.XLOOKUP(M26,'Listas de apoio'!$O$2:$O$5,'Listas de apoio'!$R$2:$R$5),"")</f>
        <v/>
      </c>
      <c r="O26" s="246" t="str">
        <f>IFERROR(_xlfn.XLOOKUP((K26*M26),'Listas de apoio'!$S$2:$S$10,'Listas de apoio'!$T$2:$T$10),"")</f>
        <v/>
      </c>
      <c r="P26" s="247">
        <f>IFERROR(_xlfn.XLOOKUP(K26,'Listas de apoio'!$K$2:$K$5,'Listas de apoio'!$L$2:$L$5),0)</f>
        <v>0</v>
      </c>
      <c r="Q26" s="247">
        <f>IFERROR(_xlfn.XLOOKUP(K26,'Listas de apoio'!$K$2:$K$5,'Listas de apoio'!$M$2:$M$5),0)</f>
        <v>0</v>
      </c>
      <c r="R26" s="248">
        <f>IFERROR(_xlfn.XLOOKUP(M26,'Listas de apoio'!$O$2:$O$5,'Listas de apoio'!$P$2:$P$5),0)</f>
        <v>0</v>
      </c>
      <c r="S26" s="248">
        <f>IFERROR(_xlfn.XLOOKUP(M26,'Listas de apoio'!$O$2:$O$5,'Listas de apoio'!$Q$2:$Q$5),0)</f>
        <v>0</v>
      </c>
      <c r="T26" s="248">
        <f t="shared" si="2"/>
        <v>0</v>
      </c>
      <c r="W26" s="244"/>
      <c r="Z26" s="244"/>
      <c r="AA26" s="245" t="str">
        <f>IFERROR(_xlfn.XLOOKUP(Z26,'Listas de apoio'!$K$2:$K$5,'Listas de apoio'!$N$2:$N$5),"")</f>
        <v/>
      </c>
      <c r="AB26" s="244"/>
      <c r="AC26" s="245" t="str">
        <f>IFERROR(_xlfn.XLOOKUP(AB26,'Listas de apoio'!$O$2:$O$5,'Listas de apoio'!$R$2:$R$5),"")</f>
        <v/>
      </c>
      <c r="AD26" s="246" t="str">
        <f>IFERROR(_xlfn.XLOOKUP((Z26*AB26),'Listas de apoio'!$S$2:$S$10,'Listas de apoio'!$T$2:$T$10),"")</f>
        <v/>
      </c>
      <c r="AE26" s="71" t="str">
        <f t="shared" si="3"/>
        <v/>
      </c>
      <c r="AF26" s="71" t="str">
        <f t="shared" si="4"/>
        <v/>
      </c>
      <c r="AG26" s="71" t="str">
        <f t="shared" si="5"/>
        <v/>
      </c>
      <c r="AH26" s="71" t="str">
        <f t="shared" si="6"/>
        <v/>
      </c>
      <c r="AI26" s="71" t="str">
        <f t="shared" si="7"/>
        <v/>
      </c>
      <c r="AJ26" s="247">
        <f>IFERROR(_xlfn.XLOOKUP(Z26,'Listas de apoio'!$K$2:$K$5,'Listas de apoio'!$L$2:$L$5),0)</f>
        <v>0</v>
      </c>
      <c r="AK26" s="247">
        <f>IFERROR(_xlfn.XLOOKUP(Z26,'Listas de apoio'!$K$2:$K$5,'Listas de apoio'!$M$2:$M$5),0)</f>
        <v>0</v>
      </c>
      <c r="AL26" s="248">
        <f>IFERROR(_xlfn.XLOOKUP(AB26,'Listas de apoio'!$O$2:$O$5,'Listas de apoio'!$P$2:$P$5),0)</f>
        <v>0</v>
      </c>
      <c r="AM26" s="248">
        <f>IFERROR(_xlfn.XLOOKUP(AB26,'Listas de apoio'!$O$2:$O$5,'Listas de apoio'!$Q$2:$Q$5),0)</f>
        <v>0</v>
      </c>
      <c r="AN26" s="248">
        <f t="shared" si="8"/>
        <v>0</v>
      </c>
      <c r="AU26" s="232">
        <f t="shared" ca="1" si="0"/>
        <v>0</v>
      </c>
      <c r="AV26" s="249">
        <f t="shared" ca="1" si="1"/>
        <v>0</v>
      </c>
    </row>
    <row r="27" spans="1:48" ht="24" customHeight="1">
      <c r="A27" s="243">
        <v>22</v>
      </c>
      <c r="B27" s="244"/>
      <c r="C27" s="244"/>
      <c r="H27" s="244"/>
      <c r="K27" s="244"/>
      <c r="L27" s="245" t="str">
        <f>IFERROR(_xlfn.XLOOKUP(K27,'Listas de apoio'!$K$2:$K$5,'Listas de apoio'!$N$2:$N$5),"")</f>
        <v/>
      </c>
      <c r="M27" s="244"/>
      <c r="N27" s="245" t="str">
        <f>IFERROR(_xlfn.XLOOKUP(M27,'Listas de apoio'!$O$2:$O$5,'Listas de apoio'!$R$2:$R$5),"")</f>
        <v/>
      </c>
      <c r="O27" s="246" t="str">
        <f>IFERROR(_xlfn.XLOOKUP((K27*M27),'Listas de apoio'!$S$2:$S$10,'Listas de apoio'!$T$2:$T$10),"")</f>
        <v/>
      </c>
      <c r="P27" s="247">
        <f>IFERROR(_xlfn.XLOOKUP(K27,'Listas de apoio'!$K$2:$K$5,'Listas de apoio'!$L$2:$L$5),0)</f>
        <v>0</v>
      </c>
      <c r="Q27" s="247">
        <f>IFERROR(_xlfn.XLOOKUP(K27,'Listas de apoio'!$K$2:$K$5,'Listas de apoio'!$M$2:$M$5),0)</f>
        <v>0</v>
      </c>
      <c r="R27" s="248">
        <f>IFERROR(_xlfn.XLOOKUP(M27,'Listas de apoio'!$O$2:$O$5,'Listas de apoio'!$P$2:$P$5),0)</f>
        <v>0</v>
      </c>
      <c r="S27" s="248">
        <f>IFERROR(_xlfn.XLOOKUP(M27,'Listas de apoio'!$O$2:$O$5,'Listas de apoio'!$Q$2:$Q$5),0)</f>
        <v>0</v>
      </c>
      <c r="T27" s="248">
        <f t="shared" si="2"/>
        <v>0</v>
      </c>
      <c r="W27" s="244"/>
      <c r="Z27" s="244"/>
      <c r="AA27" s="245" t="str">
        <f>IFERROR(_xlfn.XLOOKUP(Z27,'Listas de apoio'!$K$2:$K$5,'Listas de apoio'!$N$2:$N$5),"")</f>
        <v/>
      </c>
      <c r="AB27" s="244"/>
      <c r="AC27" s="245" t="str">
        <f>IFERROR(_xlfn.XLOOKUP(AB27,'Listas de apoio'!$O$2:$O$5,'Listas de apoio'!$R$2:$R$5),"")</f>
        <v/>
      </c>
      <c r="AD27" s="246" t="str">
        <f>IFERROR(_xlfn.XLOOKUP((Z27*AB27),'Listas de apoio'!$S$2:$S$10,'Listas de apoio'!$T$2:$T$10),"")</f>
        <v/>
      </c>
      <c r="AE27" s="71" t="str">
        <f t="shared" si="3"/>
        <v/>
      </c>
      <c r="AF27" s="71" t="str">
        <f t="shared" si="4"/>
        <v/>
      </c>
      <c r="AG27" s="71" t="str">
        <f t="shared" si="5"/>
        <v/>
      </c>
      <c r="AH27" s="71" t="str">
        <f t="shared" si="6"/>
        <v/>
      </c>
      <c r="AI27" s="71" t="str">
        <f t="shared" si="7"/>
        <v/>
      </c>
      <c r="AJ27" s="247">
        <f>IFERROR(_xlfn.XLOOKUP(Z27,'Listas de apoio'!$K$2:$K$5,'Listas de apoio'!$L$2:$L$5),0)</f>
        <v>0</v>
      </c>
      <c r="AK27" s="247">
        <f>IFERROR(_xlfn.XLOOKUP(Z27,'Listas de apoio'!$K$2:$K$5,'Listas de apoio'!$M$2:$M$5),0)</f>
        <v>0</v>
      </c>
      <c r="AL27" s="248">
        <f>IFERROR(_xlfn.XLOOKUP(AB27,'Listas de apoio'!$O$2:$O$5,'Listas de apoio'!$P$2:$P$5),0)</f>
        <v>0</v>
      </c>
      <c r="AM27" s="248">
        <f>IFERROR(_xlfn.XLOOKUP(AB27,'Listas de apoio'!$O$2:$O$5,'Listas de apoio'!$Q$2:$Q$5),0)</f>
        <v>0</v>
      </c>
      <c r="AN27" s="248">
        <f t="shared" si="8"/>
        <v>0</v>
      </c>
      <c r="AU27" s="232">
        <f t="shared" ca="1" si="0"/>
        <v>0</v>
      </c>
      <c r="AV27" s="249">
        <f t="shared" ca="1" si="1"/>
        <v>0</v>
      </c>
    </row>
    <row r="28" spans="1:48" ht="24" customHeight="1">
      <c r="A28" s="243">
        <v>23</v>
      </c>
      <c r="B28" s="244"/>
      <c r="C28" s="244"/>
      <c r="H28" s="244"/>
      <c r="K28" s="244"/>
      <c r="L28" s="245" t="str">
        <f>IFERROR(_xlfn.XLOOKUP(K28,'Listas de apoio'!$K$2:$K$5,'Listas de apoio'!$N$2:$N$5),"")</f>
        <v/>
      </c>
      <c r="M28" s="244"/>
      <c r="N28" s="245" t="str">
        <f>IFERROR(_xlfn.XLOOKUP(M28,'Listas de apoio'!$O$2:$O$5,'Listas de apoio'!$R$2:$R$5),"")</f>
        <v/>
      </c>
      <c r="O28" s="246" t="str">
        <f>IFERROR(_xlfn.XLOOKUP((K28*M28),'Listas de apoio'!$S$2:$S$10,'Listas de apoio'!$T$2:$T$10),"")</f>
        <v/>
      </c>
      <c r="P28" s="247">
        <f>IFERROR(_xlfn.XLOOKUP(K28,'Listas de apoio'!$K$2:$K$5,'Listas de apoio'!$L$2:$L$5),0)</f>
        <v>0</v>
      </c>
      <c r="Q28" s="247">
        <f>IFERROR(_xlfn.XLOOKUP(K28,'Listas de apoio'!$K$2:$K$5,'Listas de apoio'!$M$2:$M$5),0)</f>
        <v>0</v>
      </c>
      <c r="R28" s="248">
        <f>IFERROR(_xlfn.XLOOKUP(M28,'Listas de apoio'!$O$2:$O$5,'Listas de apoio'!$P$2:$P$5),0)</f>
        <v>0</v>
      </c>
      <c r="S28" s="248">
        <f>IFERROR(_xlfn.XLOOKUP(M28,'Listas de apoio'!$O$2:$O$5,'Listas de apoio'!$Q$2:$Q$5),0)</f>
        <v>0</v>
      </c>
      <c r="T28" s="248">
        <f t="shared" si="2"/>
        <v>0</v>
      </c>
      <c r="W28" s="244"/>
      <c r="Z28" s="244"/>
      <c r="AA28" s="245" t="str">
        <f>IFERROR(_xlfn.XLOOKUP(Z28,'Listas de apoio'!$K$2:$K$5,'Listas de apoio'!$N$2:$N$5),"")</f>
        <v/>
      </c>
      <c r="AB28" s="244"/>
      <c r="AC28" s="245" t="str">
        <f>IFERROR(_xlfn.XLOOKUP(AB28,'Listas de apoio'!$O$2:$O$5,'Listas de apoio'!$R$2:$R$5),"")</f>
        <v/>
      </c>
      <c r="AD28" s="246" t="str">
        <f>IFERROR(_xlfn.XLOOKUP((Z28*AB28),'Listas de apoio'!$S$2:$S$10,'Listas de apoio'!$T$2:$T$10),"")</f>
        <v/>
      </c>
      <c r="AE28" s="71" t="str">
        <f t="shared" si="3"/>
        <v/>
      </c>
      <c r="AF28" s="71" t="str">
        <f t="shared" si="4"/>
        <v/>
      </c>
      <c r="AG28" s="71" t="str">
        <f t="shared" si="5"/>
        <v/>
      </c>
      <c r="AH28" s="71" t="str">
        <f t="shared" si="6"/>
        <v/>
      </c>
      <c r="AI28" s="71" t="str">
        <f t="shared" si="7"/>
        <v/>
      </c>
      <c r="AJ28" s="247">
        <f>IFERROR(_xlfn.XLOOKUP(Z28,'Listas de apoio'!$K$2:$K$5,'Listas de apoio'!$L$2:$L$5),0)</f>
        <v>0</v>
      </c>
      <c r="AK28" s="247">
        <f>IFERROR(_xlfn.XLOOKUP(Z28,'Listas de apoio'!$K$2:$K$5,'Listas de apoio'!$M$2:$M$5),0)</f>
        <v>0</v>
      </c>
      <c r="AL28" s="248">
        <f>IFERROR(_xlfn.XLOOKUP(AB28,'Listas de apoio'!$O$2:$O$5,'Listas de apoio'!$P$2:$P$5),0)</f>
        <v>0</v>
      </c>
      <c r="AM28" s="248">
        <f>IFERROR(_xlfn.XLOOKUP(AB28,'Listas de apoio'!$O$2:$O$5,'Listas de apoio'!$Q$2:$Q$5),0)</f>
        <v>0</v>
      </c>
      <c r="AN28" s="248">
        <f t="shared" si="8"/>
        <v>0</v>
      </c>
      <c r="AU28" s="232">
        <f t="shared" ca="1" si="0"/>
        <v>0</v>
      </c>
      <c r="AV28" s="249">
        <f t="shared" ca="1" si="1"/>
        <v>0</v>
      </c>
    </row>
    <row r="29" spans="1:48" ht="24" customHeight="1">
      <c r="A29" s="243">
        <v>24</v>
      </c>
      <c r="B29" s="244"/>
      <c r="C29" s="244"/>
      <c r="H29" s="244"/>
      <c r="K29" s="244"/>
      <c r="L29" s="245" t="str">
        <f>IFERROR(_xlfn.XLOOKUP(K29,'Listas de apoio'!$K$2:$K$5,'Listas de apoio'!$N$2:$N$5),"")</f>
        <v/>
      </c>
      <c r="M29" s="244"/>
      <c r="N29" s="245" t="str">
        <f>IFERROR(_xlfn.XLOOKUP(M29,'Listas de apoio'!$O$2:$O$5,'Listas de apoio'!$R$2:$R$5),"")</f>
        <v/>
      </c>
      <c r="O29" s="246" t="str">
        <f>IFERROR(_xlfn.XLOOKUP((K29*M29),'Listas de apoio'!$S$2:$S$10,'Listas de apoio'!$T$2:$T$10),"")</f>
        <v/>
      </c>
      <c r="P29" s="247">
        <f>IFERROR(_xlfn.XLOOKUP(K29,'Listas de apoio'!$K$2:$K$5,'Listas de apoio'!$L$2:$L$5),0)</f>
        <v>0</v>
      </c>
      <c r="Q29" s="247">
        <f>IFERROR(_xlfn.XLOOKUP(K29,'Listas de apoio'!$K$2:$K$5,'Listas de apoio'!$M$2:$M$5),0)</f>
        <v>0</v>
      </c>
      <c r="R29" s="248">
        <f>IFERROR(_xlfn.XLOOKUP(M29,'Listas de apoio'!$O$2:$O$5,'Listas de apoio'!$P$2:$P$5),0)</f>
        <v>0</v>
      </c>
      <c r="S29" s="248">
        <f>IFERROR(_xlfn.XLOOKUP(M29,'Listas de apoio'!$O$2:$O$5,'Listas de apoio'!$Q$2:$Q$5),0)</f>
        <v>0</v>
      </c>
      <c r="T29" s="248">
        <f t="shared" si="2"/>
        <v>0</v>
      </c>
      <c r="W29" s="244"/>
      <c r="Z29" s="244"/>
      <c r="AA29" s="245" t="str">
        <f>IFERROR(_xlfn.XLOOKUP(Z29,'Listas de apoio'!$K$2:$K$5,'Listas de apoio'!$N$2:$N$5),"")</f>
        <v/>
      </c>
      <c r="AB29" s="244"/>
      <c r="AC29" s="245" t="str">
        <f>IFERROR(_xlfn.XLOOKUP(AB29,'Listas de apoio'!$O$2:$O$5,'Listas de apoio'!$R$2:$R$5),"")</f>
        <v/>
      </c>
      <c r="AD29" s="246" t="str">
        <f>IFERROR(_xlfn.XLOOKUP((Z29*AB29),'Listas de apoio'!$S$2:$S$10,'Listas de apoio'!$T$2:$T$10),"")</f>
        <v/>
      </c>
      <c r="AE29" s="71" t="str">
        <f t="shared" si="3"/>
        <v/>
      </c>
      <c r="AF29" s="71" t="str">
        <f t="shared" si="4"/>
        <v/>
      </c>
      <c r="AG29" s="71" t="str">
        <f t="shared" si="5"/>
        <v/>
      </c>
      <c r="AH29" s="71" t="str">
        <f t="shared" si="6"/>
        <v/>
      </c>
      <c r="AI29" s="71" t="str">
        <f t="shared" si="7"/>
        <v/>
      </c>
      <c r="AJ29" s="247">
        <f>IFERROR(_xlfn.XLOOKUP(Z29,'Listas de apoio'!$K$2:$K$5,'Listas de apoio'!$L$2:$L$5),0)</f>
        <v>0</v>
      </c>
      <c r="AK29" s="247">
        <f>IFERROR(_xlfn.XLOOKUP(Z29,'Listas de apoio'!$K$2:$K$5,'Listas de apoio'!$M$2:$M$5),0)</f>
        <v>0</v>
      </c>
      <c r="AL29" s="248">
        <f>IFERROR(_xlfn.XLOOKUP(AB29,'Listas de apoio'!$O$2:$O$5,'Listas de apoio'!$P$2:$P$5),0)</f>
        <v>0</v>
      </c>
      <c r="AM29" s="248">
        <f>IFERROR(_xlfn.XLOOKUP(AB29,'Listas de apoio'!$O$2:$O$5,'Listas de apoio'!$Q$2:$Q$5),0)</f>
        <v>0</v>
      </c>
      <c r="AN29" s="248">
        <f t="shared" si="8"/>
        <v>0</v>
      </c>
      <c r="AU29" s="232">
        <f t="shared" ca="1" si="0"/>
        <v>0</v>
      </c>
      <c r="AV29" s="249">
        <f t="shared" ca="1" si="1"/>
        <v>0</v>
      </c>
    </row>
    <row r="30" spans="1:48" ht="24" customHeight="1">
      <c r="A30" s="243">
        <v>25</v>
      </c>
      <c r="B30" s="244"/>
      <c r="C30" s="244"/>
      <c r="H30" s="244"/>
      <c r="K30" s="244"/>
      <c r="L30" s="245" t="str">
        <f>IFERROR(_xlfn.XLOOKUP(K30,'Listas de apoio'!$K$2:$K$5,'Listas de apoio'!$N$2:$N$5),"")</f>
        <v/>
      </c>
      <c r="M30" s="244"/>
      <c r="N30" s="245" t="str">
        <f>IFERROR(_xlfn.XLOOKUP(M30,'Listas de apoio'!$O$2:$O$5,'Listas de apoio'!$R$2:$R$5),"")</f>
        <v/>
      </c>
      <c r="O30" s="246" t="str">
        <f>IFERROR(_xlfn.XLOOKUP((K30*M30),'Listas de apoio'!$S$2:$S$10,'Listas de apoio'!$T$2:$T$10),"")</f>
        <v/>
      </c>
      <c r="P30" s="247">
        <f>IFERROR(_xlfn.XLOOKUP(K30,'Listas de apoio'!$K$2:$K$5,'Listas de apoio'!$L$2:$L$5),0)</f>
        <v>0</v>
      </c>
      <c r="Q30" s="247">
        <f>IFERROR(_xlfn.XLOOKUP(K30,'Listas de apoio'!$K$2:$K$5,'Listas de apoio'!$M$2:$M$5),0)</f>
        <v>0</v>
      </c>
      <c r="R30" s="248">
        <f>IFERROR(_xlfn.XLOOKUP(M30,'Listas de apoio'!$O$2:$O$5,'Listas de apoio'!$P$2:$P$5),0)</f>
        <v>0</v>
      </c>
      <c r="S30" s="248">
        <f>IFERROR(_xlfn.XLOOKUP(M30,'Listas de apoio'!$O$2:$O$5,'Listas de apoio'!$Q$2:$Q$5),0)</f>
        <v>0</v>
      </c>
      <c r="T30" s="248">
        <f t="shared" si="2"/>
        <v>0</v>
      </c>
      <c r="W30" s="244"/>
      <c r="Z30" s="244"/>
      <c r="AA30" s="245" t="str">
        <f>IFERROR(_xlfn.XLOOKUP(Z30,'Listas de apoio'!$K$2:$K$5,'Listas de apoio'!$N$2:$N$5),"")</f>
        <v/>
      </c>
      <c r="AB30" s="244"/>
      <c r="AC30" s="245" t="str">
        <f>IFERROR(_xlfn.XLOOKUP(AB30,'Listas de apoio'!$O$2:$O$5,'Listas de apoio'!$R$2:$R$5),"")</f>
        <v/>
      </c>
      <c r="AD30" s="246" t="str">
        <f>IFERROR(_xlfn.XLOOKUP((Z30*AB30),'Listas de apoio'!$S$2:$S$10,'Listas de apoio'!$T$2:$T$10),"")</f>
        <v/>
      </c>
      <c r="AE30" s="71" t="str">
        <f t="shared" si="3"/>
        <v/>
      </c>
      <c r="AF30" s="71" t="str">
        <f t="shared" si="4"/>
        <v/>
      </c>
      <c r="AG30" s="71" t="str">
        <f t="shared" si="5"/>
        <v/>
      </c>
      <c r="AH30" s="71" t="str">
        <f t="shared" si="6"/>
        <v/>
      </c>
      <c r="AI30" s="71" t="str">
        <f t="shared" si="7"/>
        <v/>
      </c>
      <c r="AJ30" s="247">
        <f>IFERROR(_xlfn.XLOOKUP(Z30,'Listas de apoio'!$K$2:$K$5,'Listas de apoio'!$L$2:$L$5),0)</f>
        <v>0</v>
      </c>
      <c r="AK30" s="247">
        <f>IFERROR(_xlfn.XLOOKUP(Z30,'Listas de apoio'!$K$2:$K$5,'Listas de apoio'!$M$2:$M$5),0)</f>
        <v>0</v>
      </c>
      <c r="AL30" s="248">
        <f>IFERROR(_xlfn.XLOOKUP(AB30,'Listas de apoio'!$O$2:$O$5,'Listas de apoio'!$P$2:$P$5),0)</f>
        <v>0</v>
      </c>
      <c r="AM30" s="248">
        <f>IFERROR(_xlfn.XLOOKUP(AB30,'Listas de apoio'!$O$2:$O$5,'Listas de apoio'!$Q$2:$Q$5),0)</f>
        <v>0</v>
      </c>
      <c r="AN30" s="248">
        <f t="shared" si="8"/>
        <v>0</v>
      </c>
      <c r="AU30" s="232">
        <f t="shared" ca="1" si="0"/>
        <v>0</v>
      </c>
      <c r="AV30" s="249">
        <f t="shared" ca="1" si="1"/>
        <v>0</v>
      </c>
    </row>
    <row r="31" spans="1:48" ht="24" customHeight="1">
      <c r="A31" s="243">
        <v>26</v>
      </c>
      <c r="B31" s="244"/>
      <c r="C31" s="244"/>
      <c r="H31" s="244"/>
      <c r="K31" s="244"/>
      <c r="L31" s="245" t="str">
        <f>IFERROR(_xlfn.XLOOKUP(K31,'Listas de apoio'!$K$2:$K$5,'Listas de apoio'!$N$2:$N$5),"")</f>
        <v/>
      </c>
      <c r="M31" s="244"/>
      <c r="N31" s="245" t="str">
        <f>IFERROR(_xlfn.XLOOKUP(M31,'Listas de apoio'!$O$2:$O$5,'Listas de apoio'!$R$2:$R$5),"")</f>
        <v/>
      </c>
      <c r="O31" s="246" t="str">
        <f>IFERROR(_xlfn.XLOOKUP((K31*M31),'Listas de apoio'!$S$2:$S$10,'Listas de apoio'!$T$2:$T$10),"")</f>
        <v/>
      </c>
      <c r="P31" s="247">
        <f>IFERROR(_xlfn.XLOOKUP(K31,'Listas de apoio'!$K$2:$K$5,'Listas de apoio'!$L$2:$L$5),0)</f>
        <v>0</v>
      </c>
      <c r="Q31" s="247">
        <f>IFERROR(_xlfn.XLOOKUP(K31,'Listas de apoio'!$K$2:$K$5,'Listas de apoio'!$M$2:$M$5),0)</f>
        <v>0</v>
      </c>
      <c r="R31" s="248">
        <f>IFERROR(_xlfn.XLOOKUP(M31,'Listas de apoio'!$O$2:$O$5,'Listas de apoio'!$P$2:$P$5),0)</f>
        <v>0</v>
      </c>
      <c r="S31" s="248">
        <f>IFERROR(_xlfn.XLOOKUP(M31,'Listas de apoio'!$O$2:$O$5,'Listas de apoio'!$Q$2:$Q$5),0)</f>
        <v>0</v>
      </c>
      <c r="T31" s="248">
        <f t="shared" si="2"/>
        <v>0</v>
      </c>
      <c r="W31" s="244"/>
      <c r="Z31" s="244"/>
      <c r="AA31" s="245" t="str">
        <f>IFERROR(_xlfn.XLOOKUP(Z31,'Listas de apoio'!$K$2:$K$5,'Listas de apoio'!$N$2:$N$5),"")</f>
        <v/>
      </c>
      <c r="AB31" s="244"/>
      <c r="AC31" s="245" t="str">
        <f>IFERROR(_xlfn.XLOOKUP(AB31,'Listas de apoio'!$O$2:$O$5,'Listas de apoio'!$R$2:$R$5),"")</f>
        <v/>
      </c>
      <c r="AD31" s="246" t="str">
        <f>IFERROR(_xlfn.XLOOKUP((Z31*AB31),'Listas de apoio'!$S$2:$S$10,'Listas de apoio'!$T$2:$T$10),"")</f>
        <v/>
      </c>
      <c r="AE31" s="71" t="str">
        <f t="shared" si="3"/>
        <v/>
      </c>
      <c r="AF31" s="71" t="str">
        <f t="shared" si="4"/>
        <v/>
      </c>
      <c r="AG31" s="71" t="str">
        <f t="shared" si="5"/>
        <v/>
      </c>
      <c r="AH31" s="71" t="str">
        <f t="shared" si="6"/>
        <v/>
      </c>
      <c r="AI31" s="71" t="str">
        <f t="shared" si="7"/>
        <v/>
      </c>
      <c r="AJ31" s="247">
        <f>IFERROR(_xlfn.XLOOKUP(Z31,'Listas de apoio'!$K$2:$K$5,'Listas de apoio'!$L$2:$L$5),0)</f>
        <v>0</v>
      </c>
      <c r="AK31" s="247">
        <f>IFERROR(_xlfn.XLOOKUP(Z31,'Listas de apoio'!$K$2:$K$5,'Listas de apoio'!$M$2:$M$5),0)</f>
        <v>0</v>
      </c>
      <c r="AL31" s="248">
        <f>IFERROR(_xlfn.XLOOKUP(AB31,'Listas de apoio'!$O$2:$O$5,'Listas de apoio'!$P$2:$P$5),0)</f>
        <v>0</v>
      </c>
      <c r="AM31" s="248">
        <f>IFERROR(_xlfn.XLOOKUP(AB31,'Listas de apoio'!$O$2:$O$5,'Listas de apoio'!$Q$2:$Q$5),0)</f>
        <v>0</v>
      </c>
      <c r="AN31" s="248">
        <f t="shared" si="8"/>
        <v>0</v>
      </c>
      <c r="AU31" s="232">
        <f t="shared" ca="1" si="0"/>
        <v>0</v>
      </c>
      <c r="AV31" s="249">
        <f t="shared" ca="1" si="1"/>
        <v>0</v>
      </c>
    </row>
    <row r="32" spans="1:48" ht="24" customHeight="1">
      <c r="A32" s="243">
        <v>27</v>
      </c>
      <c r="B32" s="244"/>
      <c r="C32" s="244"/>
      <c r="H32" s="244"/>
      <c r="K32" s="244"/>
      <c r="L32" s="245" t="str">
        <f>IFERROR(_xlfn.XLOOKUP(K32,'Listas de apoio'!$K$2:$K$5,'Listas de apoio'!$N$2:$N$5),"")</f>
        <v/>
      </c>
      <c r="M32" s="244"/>
      <c r="N32" s="245" t="str">
        <f>IFERROR(_xlfn.XLOOKUP(M32,'Listas de apoio'!$O$2:$O$5,'Listas de apoio'!$R$2:$R$5),"")</f>
        <v/>
      </c>
      <c r="O32" s="246" t="str">
        <f>IFERROR(_xlfn.XLOOKUP((K32*M32),'Listas de apoio'!$S$2:$S$10,'Listas de apoio'!$T$2:$T$10),"")</f>
        <v/>
      </c>
      <c r="P32" s="247">
        <f>IFERROR(_xlfn.XLOOKUP(K32,'Listas de apoio'!$K$2:$K$5,'Listas de apoio'!$L$2:$L$5),0)</f>
        <v>0</v>
      </c>
      <c r="Q32" s="247">
        <f>IFERROR(_xlfn.XLOOKUP(K32,'Listas de apoio'!$K$2:$K$5,'Listas de apoio'!$M$2:$M$5),0)</f>
        <v>0</v>
      </c>
      <c r="R32" s="248">
        <f>IFERROR(_xlfn.XLOOKUP(M32,'Listas de apoio'!$O$2:$O$5,'Listas de apoio'!$P$2:$P$5),0)</f>
        <v>0</v>
      </c>
      <c r="S32" s="248">
        <f>IFERROR(_xlfn.XLOOKUP(M32,'Listas de apoio'!$O$2:$O$5,'Listas de apoio'!$Q$2:$Q$5),0)</f>
        <v>0</v>
      </c>
      <c r="T32" s="248">
        <f t="shared" si="2"/>
        <v>0</v>
      </c>
      <c r="W32" s="244"/>
      <c r="Z32" s="244"/>
      <c r="AA32" s="245" t="str">
        <f>IFERROR(_xlfn.XLOOKUP(Z32,'Listas de apoio'!$K$2:$K$5,'Listas de apoio'!$N$2:$N$5),"")</f>
        <v/>
      </c>
      <c r="AB32" s="244"/>
      <c r="AC32" s="245" t="str">
        <f>IFERROR(_xlfn.XLOOKUP(AB32,'Listas de apoio'!$O$2:$O$5,'Listas de apoio'!$R$2:$R$5),"")</f>
        <v/>
      </c>
      <c r="AD32" s="246" t="str">
        <f>IFERROR(_xlfn.XLOOKUP((Z32*AB32),'Listas de apoio'!$S$2:$S$10,'Listas de apoio'!$T$2:$T$10),"")</f>
        <v/>
      </c>
      <c r="AE32" s="71" t="str">
        <f t="shared" si="3"/>
        <v/>
      </c>
      <c r="AF32" s="71" t="str">
        <f t="shared" si="4"/>
        <v/>
      </c>
      <c r="AG32" s="71" t="str">
        <f t="shared" si="5"/>
        <v/>
      </c>
      <c r="AH32" s="71" t="str">
        <f t="shared" si="6"/>
        <v/>
      </c>
      <c r="AI32" s="71" t="str">
        <f t="shared" si="7"/>
        <v/>
      </c>
      <c r="AJ32" s="247">
        <f>IFERROR(_xlfn.XLOOKUP(Z32,'Listas de apoio'!$K$2:$K$5,'Listas de apoio'!$L$2:$L$5),0)</f>
        <v>0</v>
      </c>
      <c r="AK32" s="247">
        <f>IFERROR(_xlfn.XLOOKUP(Z32,'Listas de apoio'!$K$2:$K$5,'Listas de apoio'!$M$2:$M$5),0)</f>
        <v>0</v>
      </c>
      <c r="AL32" s="248">
        <f>IFERROR(_xlfn.XLOOKUP(AB32,'Listas de apoio'!$O$2:$O$5,'Listas de apoio'!$P$2:$P$5),0)</f>
        <v>0</v>
      </c>
      <c r="AM32" s="248">
        <f>IFERROR(_xlfn.XLOOKUP(AB32,'Listas de apoio'!$O$2:$O$5,'Listas de apoio'!$Q$2:$Q$5),0)</f>
        <v>0</v>
      </c>
      <c r="AN32" s="248">
        <f t="shared" si="8"/>
        <v>0</v>
      </c>
      <c r="AU32" s="232">
        <f t="shared" ca="1" si="0"/>
        <v>0</v>
      </c>
      <c r="AV32" s="249">
        <f t="shared" ca="1" si="1"/>
        <v>0</v>
      </c>
    </row>
    <row r="33" spans="1:48" ht="24" customHeight="1">
      <c r="A33" s="243">
        <v>28</v>
      </c>
      <c r="B33" s="244"/>
      <c r="C33" s="244"/>
      <c r="H33" s="244"/>
      <c r="K33" s="244"/>
      <c r="L33" s="245" t="str">
        <f>IFERROR(_xlfn.XLOOKUP(K33,'Listas de apoio'!$K$2:$K$5,'Listas de apoio'!$N$2:$N$5),"")</f>
        <v/>
      </c>
      <c r="M33" s="244"/>
      <c r="N33" s="245" t="str">
        <f>IFERROR(_xlfn.XLOOKUP(M33,'Listas de apoio'!$O$2:$O$5,'Listas de apoio'!$R$2:$R$5),"")</f>
        <v/>
      </c>
      <c r="O33" s="246" t="str">
        <f>IFERROR(_xlfn.XLOOKUP((K33*M33),'Listas de apoio'!$S$2:$S$10,'Listas de apoio'!$T$2:$T$10),"")</f>
        <v/>
      </c>
      <c r="P33" s="247">
        <f>IFERROR(_xlfn.XLOOKUP(K33,'Listas de apoio'!$K$2:$K$5,'Listas de apoio'!$L$2:$L$5),0)</f>
        <v>0</v>
      </c>
      <c r="Q33" s="247">
        <f>IFERROR(_xlfn.XLOOKUP(K33,'Listas de apoio'!$K$2:$K$5,'Listas de apoio'!$M$2:$M$5),0)</f>
        <v>0</v>
      </c>
      <c r="R33" s="248">
        <f>IFERROR(_xlfn.XLOOKUP(M33,'Listas de apoio'!$O$2:$O$5,'Listas de apoio'!$P$2:$P$5),0)</f>
        <v>0</v>
      </c>
      <c r="S33" s="248">
        <f>IFERROR(_xlfn.XLOOKUP(M33,'Listas de apoio'!$O$2:$O$5,'Listas de apoio'!$Q$2:$Q$5),0)</f>
        <v>0</v>
      </c>
      <c r="T33" s="248">
        <f t="shared" si="2"/>
        <v>0</v>
      </c>
      <c r="W33" s="244"/>
      <c r="Z33" s="244"/>
      <c r="AA33" s="245" t="str">
        <f>IFERROR(_xlfn.XLOOKUP(Z33,'Listas de apoio'!$K$2:$K$5,'Listas de apoio'!$N$2:$N$5),"")</f>
        <v/>
      </c>
      <c r="AB33" s="244"/>
      <c r="AC33" s="245" t="str">
        <f>IFERROR(_xlfn.XLOOKUP(AB33,'Listas de apoio'!$O$2:$O$5,'Listas de apoio'!$R$2:$R$5),"")</f>
        <v/>
      </c>
      <c r="AD33" s="246" t="str">
        <f>IFERROR(_xlfn.XLOOKUP((Z33*AB33),'Listas de apoio'!$S$2:$S$10,'Listas de apoio'!$T$2:$T$10),"")</f>
        <v/>
      </c>
      <c r="AE33" s="71" t="str">
        <f t="shared" si="3"/>
        <v/>
      </c>
      <c r="AF33" s="71" t="str">
        <f t="shared" si="4"/>
        <v/>
      </c>
      <c r="AG33" s="71" t="str">
        <f t="shared" si="5"/>
        <v/>
      </c>
      <c r="AH33" s="71" t="str">
        <f t="shared" si="6"/>
        <v/>
      </c>
      <c r="AI33" s="71" t="str">
        <f t="shared" si="7"/>
        <v/>
      </c>
      <c r="AJ33" s="247">
        <f>IFERROR(_xlfn.XLOOKUP(Z33,'Listas de apoio'!$K$2:$K$5,'Listas de apoio'!$L$2:$L$5),0)</f>
        <v>0</v>
      </c>
      <c r="AK33" s="247">
        <f>IFERROR(_xlfn.XLOOKUP(Z33,'Listas de apoio'!$K$2:$K$5,'Listas de apoio'!$M$2:$M$5),0)</f>
        <v>0</v>
      </c>
      <c r="AL33" s="248">
        <f>IFERROR(_xlfn.XLOOKUP(AB33,'Listas de apoio'!$O$2:$O$5,'Listas de apoio'!$P$2:$P$5),0)</f>
        <v>0</v>
      </c>
      <c r="AM33" s="248">
        <f>IFERROR(_xlfn.XLOOKUP(AB33,'Listas de apoio'!$O$2:$O$5,'Listas de apoio'!$Q$2:$Q$5),0)</f>
        <v>0</v>
      </c>
      <c r="AN33" s="248">
        <f t="shared" si="8"/>
        <v>0</v>
      </c>
      <c r="AU33" s="232">
        <f t="shared" ca="1" si="0"/>
        <v>0</v>
      </c>
      <c r="AV33" s="249">
        <f t="shared" ca="1" si="1"/>
        <v>0</v>
      </c>
    </row>
    <row r="34" spans="1:48" ht="24" customHeight="1">
      <c r="A34" s="243">
        <v>29</v>
      </c>
      <c r="B34" s="244"/>
      <c r="C34" s="244"/>
      <c r="H34" s="244"/>
      <c r="K34" s="244"/>
      <c r="L34" s="245" t="str">
        <f>IFERROR(_xlfn.XLOOKUP(K34,'Listas de apoio'!$K$2:$K$5,'Listas de apoio'!$N$2:$N$5),"")</f>
        <v/>
      </c>
      <c r="M34" s="244"/>
      <c r="N34" s="245" t="str">
        <f>IFERROR(_xlfn.XLOOKUP(M34,'Listas de apoio'!$O$2:$O$5,'Listas de apoio'!$R$2:$R$5),"")</f>
        <v/>
      </c>
      <c r="O34" s="246" t="str">
        <f>IFERROR(_xlfn.XLOOKUP((K34*M34),'Listas de apoio'!$S$2:$S$10,'Listas de apoio'!$T$2:$T$10),"")</f>
        <v/>
      </c>
      <c r="P34" s="247">
        <f>IFERROR(_xlfn.XLOOKUP(K34,'Listas de apoio'!$K$2:$K$5,'Listas de apoio'!$L$2:$L$5),0)</f>
        <v>0</v>
      </c>
      <c r="Q34" s="247">
        <f>IFERROR(_xlfn.XLOOKUP(K34,'Listas de apoio'!$K$2:$K$5,'Listas de apoio'!$M$2:$M$5),0)</f>
        <v>0</v>
      </c>
      <c r="R34" s="248">
        <f>IFERROR(_xlfn.XLOOKUP(M34,'Listas de apoio'!$O$2:$O$5,'Listas de apoio'!$P$2:$P$5),0)</f>
        <v>0</v>
      </c>
      <c r="S34" s="248">
        <f>IFERROR(_xlfn.XLOOKUP(M34,'Listas de apoio'!$O$2:$O$5,'Listas de apoio'!$Q$2:$Q$5),0)</f>
        <v>0</v>
      </c>
      <c r="T34" s="248">
        <f t="shared" si="2"/>
        <v>0</v>
      </c>
      <c r="W34" s="244"/>
      <c r="Z34" s="244"/>
      <c r="AA34" s="245" t="str">
        <f>IFERROR(_xlfn.XLOOKUP(Z34,'Listas de apoio'!$K$2:$K$5,'Listas de apoio'!$N$2:$N$5),"")</f>
        <v/>
      </c>
      <c r="AB34" s="244"/>
      <c r="AC34" s="245" t="str">
        <f>IFERROR(_xlfn.XLOOKUP(AB34,'Listas de apoio'!$O$2:$O$5,'Listas de apoio'!$R$2:$R$5),"")</f>
        <v/>
      </c>
      <c r="AD34" s="246" t="str">
        <f>IFERROR(_xlfn.XLOOKUP((Z34*AB34),'Listas de apoio'!$S$2:$S$10,'Listas de apoio'!$T$2:$T$10),"")</f>
        <v/>
      </c>
      <c r="AE34" s="71" t="str">
        <f t="shared" si="3"/>
        <v/>
      </c>
      <c r="AF34" s="71" t="str">
        <f t="shared" si="4"/>
        <v/>
      </c>
      <c r="AG34" s="71" t="str">
        <f t="shared" si="5"/>
        <v/>
      </c>
      <c r="AH34" s="71" t="str">
        <f t="shared" si="6"/>
        <v/>
      </c>
      <c r="AI34" s="71" t="str">
        <f t="shared" si="7"/>
        <v/>
      </c>
      <c r="AJ34" s="247">
        <f>IFERROR(_xlfn.XLOOKUP(Z34,'Listas de apoio'!$K$2:$K$5,'Listas de apoio'!$L$2:$L$5),0)</f>
        <v>0</v>
      </c>
      <c r="AK34" s="247">
        <f>IFERROR(_xlfn.XLOOKUP(Z34,'Listas de apoio'!$K$2:$K$5,'Listas de apoio'!$M$2:$M$5),0)</f>
        <v>0</v>
      </c>
      <c r="AL34" s="248">
        <f>IFERROR(_xlfn.XLOOKUP(AB34,'Listas de apoio'!$O$2:$O$5,'Listas de apoio'!$P$2:$P$5),0)</f>
        <v>0</v>
      </c>
      <c r="AM34" s="248">
        <f>IFERROR(_xlfn.XLOOKUP(AB34,'Listas de apoio'!$O$2:$O$5,'Listas de apoio'!$Q$2:$Q$5),0)</f>
        <v>0</v>
      </c>
      <c r="AN34" s="248">
        <f t="shared" si="8"/>
        <v>0</v>
      </c>
      <c r="AU34" s="232">
        <f t="shared" ca="1" si="0"/>
        <v>0</v>
      </c>
      <c r="AV34" s="249">
        <f t="shared" ca="1" si="1"/>
        <v>0</v>
      </c>
    </row>
    <row r="35" spans="1:48" ht="24" customHeight="1">
      <c r="A35" s="243">
        <v>30</v>
      </c>
      <c r="B35" s="244"/>
      <c r="C35" s="244"/>
      <c r="H35" s="244"/>
      <c r="K35" s="244"/>
      <c r="L35" s="245" t="str">
        <f>IFERROR(_xlfn.XLOOKUP(K35,'Listas de apoio'!$K$2:$K$5,'Listas de apoio'!$N$2:$N$5),"")</f>
        <v/>
      </c>
      <c r="M35" s="244"/>
      <c r="N35" s="245" t="str">
        <f>IFERROR(_xlfn.XLOOKUP(M35,'Listas de apoio'!$O$2:$O$5,'Listas de apoio'!$R$2:$R$5),"")</f>
        <v/>
      </c>
      <c r="O35" s="246" t="str">
        <f>IFERROR(_xlfn.XLOOKUP((K35*M35),'Listas de apoio'!$S$2:$S$10,'Listas de apoio'!$T$2:$T$10),"")</f>
        <v/>
      </c>
      <c r="P35" s="247">
        <f>IFERROR(_xlfn.XLOOKUP(K35,'Listas de apoio'!$K$2:$K$5,'Listas de apoio'!$L$2:$L$5),0)</f>
        <v>0</v>
      </c>
      <c r="Q35" s="247">
        <f>IFERROR(_xlfn.XLOOKUP(K35,'Listas de apoio'!$K$2:$K$5,'Listas de apoio'!$M$2:$M$5),0)</f>
        <v>0</v>
      </c>
      <c r="R35" s="248">
        <f>IFERROR(_xlfn.XLOOKUP(M35,'Listas de apoio'!$O$2:$O$5,'Listas de apoio'!$P$2:$P$5),0)</f>
        <v>0</v>
      </c>
      <c r="S35" s="248">
        <f>IFERROR(_xlfn.XLOOKUP(M35,'Listas de apoio'!$O$2:$O$5,'Listas de apoio'!$Q$2:$Q$5),0)</f>
        <v>0</v>
      </c>
      <c r="T35" s="248">
        <f t="shared" si="2"/>
        <v>0</v>
      </c>
      <c r="W35" s="244"/>
      <c r="Z35" s="244"/>
      <c r="AA35" s="245" t="str">
        <f>IFERROR(_xlfn.XLOOKUP(Z35,'Listas de apoio'!$K$2:$K$5,'Listas de apoio'!$N$2:$N$5),"")</f>
        <v/>
      </c>
      <c r="AB35" s="244"/>
      <c r="AC35" s="245" t="str">
        <f>IFERROR(_xlfn.XLOOKUP(AB35,'Listas de apoio'!$O$2:$O$5,'Listas de apoio'!$R$2:$R$5),"")</f>
        <v/>
      </c>
      <c r="AD35" s="246" t="str">
        <f>IFERROR(_xlfn.XLOOKUP((Z35*AB35),'Listas de apoio'!$S$2:$S$10,'Listas de apoio'!$T$2:$T$10),"")</f>
        <v/>
      </c>
      <c r="AE35" s="71" t="str">
        <f t="shared" si="3"/>
        <v/>
      </c>
      <c r="AF35" s="71" t="str">
        <f t="shared" si="4"/>
        <v/>
      </c>
      <c r="AG35" s="71" t="str">
        <f t="shared" si="5"/>
        <v/>
      </c>
      <c r="AH35" s="71" t="str">
        <f t="shared" si="6"/>
        <v/>
      </c>
      <c r="AI35" s="71" t="str">
        <f t="shared" si="7"/>
        <v/>
      </c>
      <c r="AJ35" s="247">
        <f>IFERROR(_xlfn.XLOOKUP(Z35,'Listas de apoio'!$K$2:$K$5,'Listas de apoio'!$L$2:$L$5),0)</f>
        <v>0</v>
      </c>
      <c r="AK35" s="247">
        <f>IFERROR(_xlfn.XLOOKUP(Z35,'Listas de apoio'!$K$2:$K$5,'Listas de apoio'!$M$2:$M$5),0)</f>
        <v>0</v>
      </c>
      <c r="AL35" s="248">
        <f>IFERROR(_xlfn.XLOOKUP(AB35,'Listas de apoio'!$O$2:$O$5,'Listas de apoio'!$P$2:$P$5),0)</f>
        <v>0</v>
      </c>
      <c r="AM35" s="248">
        <f>IFERROR(_xlfn.XLOOKUP(AB35,'Listas de apoio'!$O$2:$O$5,'Listas de apoio'!$Q$2:$Q$5),0)</f>
        <v>0</v>
      </c>
      <c r="AN35" s="248">
        <f t="shared" si="8"/>
        <v>0</v>
      </c>
      <c r="AU35" s="232">
        <f t="shared" ca="1" si="0"/>
        <v>0</v>
      </c>
      <c r="AV35" s="249">
        <f t="shared" ca="1" si="1"/>
        <v>0</v>
      </c>
    </row>
    <row r="36" spans="1:48" ht="24" customHeight="1">
      <c r="A36" s="243">
        <v>31</v>
      </c>
      <c r="B36" s="244"/>
      <c r="C36" s="244"/>
      <c r="H36" s="244"/>
      <c r="K36" s="244"/>
      <c r="L36" s="245" t="str">
        <f>IFERROR(_xlfn.XLOOKUP(K36,'Listas de apoio'!$K$2:$K$5,'Listas de apoio'!$N$2:$N$5),"")</f>
        <v/>
      </c>
      <c r="M36" s="244"/>
      <c r="N36" s="245" t="str">
        <f>IFERROR(_xlfn.XLOOKUP(M36,'Listas de apoio'!$O$2:$O$5,'Listas de apoio'!$R$2:$R$5),"")</f>
        <v/>
      </c>
      <c r="O36" s="246" t="str">
        <f>IFERROR(_xlfn.XLOOKUP((K36*M36),'Listas de apoio'!$S$2:$S$10,'Listas de apoio'!$T$2:$T$10),"")</f>
        <v/>
      </c>
      <c r="P36" s="247">
        <f>IFERROR(_xlfn.XLOOKUP(K36,'Listas de apoio'!$K$2:$K$5,'Listas de apoio'!$L$2:$L$5),0)</f>
        <v>0</v>
      </c>
      <c r="Q36" s="247">
        <f>IFERROR(_xlfn.XLOOKUP(K36,'Listas de apoio'!$K$2:$K$5,'Listas de apoio'!$M$2:$M$5),0)</f>
        <v>0</v>
      </c>
      <c r="R36" s="248">
        <f>IFERROR(_xlfn.XLOOKUP(M36,'Listas de apoio'!$O$2:$O$5,'Listas de apoio'!$P$2:$P$5),0)</f>
        <v>0</v>
      </c>
      <c r="S36" s="248">
        <f>IFERROR(_xlfn.XLOOKUP(M36,'Listas de apoio'!$O$2:$O$5,'Listas de apoio'!$Q$2:$Q$5),0)</f>
        <v>0</v>
      </c>
      <c r="T36" s="248">
        <f t="shared" si="2"/>
        <v>0</v>
      </c>
      <c r="W36" s="244"/>
      <c r="Z36" s="244"/>
      <c r="AA36" s="245" t="str">
        <f>IFERROR(_xlfn.XLOOKUP(Z36,'Listas de apoio'!$K$2:$K$5,'Listas de apoio'!$N$2:$N$5),"")</f>
        <v/>
      </c>
      <c r="AB36" s="244"/>
      <c r="AC36" s="245" t="str">
        <f>IFERROR(_xlfn.XLOOKUP(AB36,'Listas de apoio'!$O$2:$O$5,'Listas de apoio'!$R$2:$R$5),"")</f>
        <v/>
      </c>
      <c r="AD36" s="246" t="str">
        <f>IFERROR(_xlfn.XLOOKUP((Z36*AB36),'Listas de apoio'!$S$2:$S$10,'Listas de apoio'!$T$2:$T$10),"")</f>
        <v/>
      </c>
      <c r="AE36" s="71" t="str">
        <f t="shared" si="3"/>
        <v/>
      </c>
      <c r="AF36" s="71" t="str">
        <f t="shared" si="4"/>
        <v/>
      </c>
      <c r="AG36" s="71" t="str">
        <f t="shared" si="5"/>
        <v/>
      </c>
      <c r="AH36" s="71" t="str">
        <f t="shared" si="6"/>
        <v/>
      </c>
      <c r="AI36" s="71" t="str">
        <f t="shared" si="7"/>
        <v/>
      </c>
      <c r="AJ36" s="247">
        <f>IFERROR(_xlfn.XLOOKUP(Z36,'Listas de apoio'!$K$2:$K$5,'Listas de apoio'!$L$2:$L$5),0)</f>
        <v>0</v>
      </c>
      <c r="AK36" s="247">
        <f>IFERROR(_xlfn.XLOOKUP(Z36,'Listas de apoio'!$K$2:$K$5,'Listas de apoio'!$M$2:$M$5),0)</f>
        <v>0</v>
      </c>
      <c r="AL36" s="248">
        <f>IFERROR(_xlfn.XLOOKUP(AB36,'Listas de apoio'!$O$2:$O$5,'Listas de apoio'!$P$2:$P$5),0)</f>
        <v>0</v>
      </c>
      <c r="AM36" s="248">
        <f>IFERROR(_xlfn.XLOOKUP(AB36,'Listas de apoio'!$O$2:$O$5,'Listas de apoio'!$Q$2:$Q$5),0)</f>
        <v>0</v>
      </c>
      <c r="AN36" s="248">
        <f t="shared" si="8"/>
        <v>0</v>
      </c>
      <c r="AU36" s="232">
        <f t="shared" ca="1" si="0"/>
        <v>0</v>
      </c>
      <c r="AV36" s="249">
        <f t="shared" ca="1" si="1"/>
        <v>0</v>
      </c>
    </row>
    <row r="37" spans="1:48" ht="24" customHeight="1">
      <c r="A37" s="243">
        <v>32</v>
      </c>
      <c r="B37" s="244"/>
      <c r="C37" s="244"/>
      <c r="H37" s="244"/>
      <c r="K37" s="244"/>
      <c r="L37" s="245" t="str">
        <f>IFERROR(_xlfn.XLOOKUP(K37,'Listas de apoio'!$K$2:$K$5,'Listas de apoio'!$N$2:$N$5),"")</f>
        <v/>
      </c>
      <c r="M37" s="244"/>
      <c r="N37" s="245" t="str">
        <f>IFERROR(_xlfn.XLOOKUP(M37,'Listas de apoio'!$O$2:$O$5,'Listas de apoio'!$R$2:$R$5),"")</f>
        <v/>
      </c>
      <c r="O37" s="246" t="str">
        <f>IFERROR(_xlfn.XLOOKUP((K37*M37),'Listas de apoio'!$S$2:$S$10,'Listas de apoio'!$T$2:$T$10),"")</f>
        <v/>
      </c>
      <c r="P37" s="247">
        <f>IFERROR(_xlfn.XLOOKUP(K37,'Listas de apoio'!$K$2:$K$5,'Listas de apoio'!$L$2:$L$5),0)</f>
        <v>0</v>
      </c>
      <c r="Q37" s="247">
        <f>IFERROR(_xlfn.XLOOKUP(K37,'Listas de apoio'!$K$2:$K$5,'Listas de apoio'!$M$2:$M$5),0)</f>
        <v>0</v>
      </c>
      <c r="R37" s="248">
        <f>IFERROR(_xlfn.XLOOKUP(M37,'Listas de apoio'!$O$2:$O$5,'Listas de apoio'!$P$2:$P$5),0)</f>
        <v>0</v>
      </c>
      <c r="S37" s="248">
        <f>IFERROR(_xlfn.XLOOKUP(M37,'Listas de apoio'!$O$2:$O$5,'Listas de apoio'!$Q$2:$Q$5),0)</f>
        <v>0</v>
      </c>
      <c r="T37" s="248">
        <f t="shared" si="2"/>
        <v>0</v>
      </c>
      <c r="W37" s="244"/>
      <c r="Z37" s="244"/>
      <c r="AA37" s="245" t="str">
        <f>IFERROR(_xlfn.XLOOKUP(Z37,'Listas de apoio'!$K$2:$K$5,'Listas de apoio'!$N$2:$N$5),"")</f>
        <v/>
      </c>
      <c r="AB37" s="244"/>
      <c r="AC37" s="245" t="str">
        <f>IFERROR(_xlfn.XLOOKUP(AB37,'Listas de apoio'!$O$2:$O$5,'Listas de apoio'!$R$2:$R$5),"")</f>
        <v/>
      </c>
      <c r="AD37" s="246" t="str">
        <f>IFERROR(_xlfn.XLOOKUP((Z37*AB37),'Listas de apoio'!$S$2:$S$10,'Listas de apoio'!$T$2:$T$10),"")</f>
        <v/>
      </c>
      <c r="AE37" s="71" t="str">
        <f t="shared" si="3"/>
        <v/>
      </c>
      <c r="AF37" s="71" t="str">
        <f t="shared" si="4"/>
        <v/>
      </c>
      <c r="AG37" s="71" t="str">
        <f t="shared" si="5"/>
        <v/>
      </c>
      <c r="AH37" s="71" t="str">
        <f t="shared" si="6"/>
        <v/>
      </c>
      <c r="AI37" s="71" t="str">
        <f t="shared" si="7"/>
        <v/>
      </c>
      <c r="AJ37" s="247">
        <f>IFERROR(_xlfn.XLOOKUP(Z37,'Listas de apoio'!$K$2:$K$5,'Listas de apoio'!$L$2:$L$5),0)</f>
        <v>0</v>
      </c>
      <c r="AK37" s="247">
        <f>IFERROR(_xlfn.XLOOKUP(Z37,'Listas de apoio'!$K$2:$K$5,'Listas de apoio'!$M$2:$M$5),0)</f>
        <v>0</v>
      </c>
      <c r="AL37" s="248">
        <f>IFERROR(_xlfn.XLOOKUP(AB37,'Listas de apoio'!$O$2:$O$5,'Listas de apoio'!$P$2:$P$5),0)</f>
        <v>0</v>
      </c>
      <c r="AM37" s="248">
        <f>IFERROR(_xlfn.XLOOKUP(AB37,'Listas de apoio'!$O$2:$O$5,'Listas de apoio'!$Q$2:$Q$5),0)</f>
        <v>0</v>
      </c>
      <c r="AN37" s="248">
        <f t="shared" si="8"/>
        <v>0</v>
      </c>
      <c r="AU37" s="232">
        <f t="shared" ca="1" si="0"/>
        <v>0</v>
      </c>
      <c r="AV37" s="249">
        <f t="shared" ca="1" si="1"/>
        <v>0</v>
      </c>
    </row>
    <row r="38" spans="1:48" ht="24" customHeight="1">
      <c r="A38" s="243">
        <v>33</v>
      </c>
      <c r="B38" s="244"/>
      <c r="C38" s="244"/>
      <c r="H38" s="244"/>
      <c r="K38" s="244"/>
      <c r="L38" s="245" t="str">
        <f>IFERROR(_xlfn.XLOOKUP(K38,'Listas de apoio'!$K$2:$K$5,'Listas de apoio'!$N$2:$N$5),"")</f>
        <v/>
      </c>
      <c r="M38" s="244"/>
      <c r="N38" s="245" t="str">
        <f>IFERROR(_xlfn.XLOOKUP(M38,'Listas de apoio'!$O$2:$O$5,'Listas de apoio'!$R$2:$R$5),"")</f>
        <v/>
      </c>
      <c r="O38" s="246" t="str">
        <f>IFERROR(_xlfn.XLOOKUP((K38*M38),'Listas de apoio'!$S$2:$S$10,'Listas de apoio'!$T$2:$T$10),"")</f>
        <v/>
      </c>
      <c r="P38" s="247">
        <f>IFERROR(_xlfn.XLOOKUP(K38,'Listas de apoio'!$K$2:$K$5,'Listas de apoio'!$L$2:$L$5),0)</f>
        <v>0</v>
      </c>
      <c r="Q38" s="247">
        <f>IFERROR(_xlfn.XLOOKUP(K38,'Listas de apoio'!$K$2:$K$5,'Listas de apoio'!$M$2:$M$5),0)</f>
        <v>0</v>
      </c>
      <c r="R38" s="248">
        <f>IFERROR(_xlfn.XLOOKUP(M38,'Listas de apoio'!$O$2:$O$5,'Listas de apoio'!$P$2:$P$5),0)</f>
        <v>0</v>
      </c>
      <c r="S38" s="248">
        <f>IFERROR(_xlfn.XLOOKUP(M38,'Listas de apoio'!$O$2:$O$5,'Listas de apoio'!$Q$2:$Q$5),0)</f>
        <v>0</v>
      </c>
      <c r="T38" s="248">
        <f t="shared" si="2"/>
        <v>0</v>
      </c>
      <c r="W38" s="244"/>
      <c r="Z38" s="244"/>
      <c r="AA38" s="245" t="str">
        <f>IFERROR(_xlfn.XLOOKUP(Z38,'Listas de apoio'!$K$2:$K$5,'Listas de apoio'!$N$2:$N$5),"")</f>
        <v/>
      </c>
      <c r="AB38" s="244"/>
      <c r="AC38" s="245" t="str">
        <f>IFERROR(_xlfn.XLOOKUP(AB38,'Listas de apoio'!$O$2:$O$5,'Listas de apoio'!$R$2:$R$5),"")</f>
        <v/>
      </c>
      <c r="AD38" s="246" t="str">
        <f>IFERROR(_xlfn.XLOOKUP((Z38*AB38),'Listas de apoio'!$S$2:$S$10,'Listas de apoio'!$T$2:$T$10),"")</f>
        <v/>
      </c>
      <c r="AE38" s="71" t="str">
        <f t="shared" si="3"/>
        <v/>
      </c>
      <c r="AF38" s="71" t="str">
        <f t="shared" si="4"/>
        <v/>
      </c>
      <c r="AG38" s="71" t="str">
        <f t="shared" si="5"/>
        <v/>
      </c>
      <c r="AH38" s="71" t="str">
        <f t="shared" si="6"/>
        <v/>
      </c>
      <c r="AI38" s="71" t="str">
        <f t="shared" si="7"/>
        <v/>
      </c>
      <c r="AJ38" s="247">
        <f>IFERROR(_xlfn.XLOOKUP(Z38,'Listas de apoio'!$K$2:$K$5,'Listas de apoio'!$L$2:$L$5),0)</f>
        <v>0</v>
      </c>
      <c r="AK38" s="247">
        <f>IFERROR(_xlfn.XLOOKUP(Z38,'Listas de apoio'!$K$2:$K$5,'Listas de apoio'!$M$2:$M$5),0)</f>
        <v>0</v>
      </c>
      <c r="AL38" s="248">
        <f>IFERROR(_xlfn.XLOOKUP(AB38,'Listas de apoio'!$O$2:$O$5,'Listas de apoio'!$P$2:$P$5),0)</f>
        <v>0</v>
      </c>
      <c r="AM38" s="248">
        <f>IFERROR(_xlfn.XLOOKUP(AB38,'Listas de apoio'!$O$2:$O$5,'Listas de apoio'!$Q$2:$Q$5),0)</f>
        <v>0</v>
      </c>
      <c r="AN38" s="248">
        <f t="shared" si="8"/>
        <v>0</v>
      </c>
      <c r="AU38" s="232">
        <f t="shared" ca="1" si="0"/>
        <v>0</v>
      </c>
      <c r="AV38" s="249">
        <f t="shared" ca="1" si="1"/>
        <v>0</v>
      </c>
    </row>
    <row r="39" spans="1:48" ht="24" customHeight="1">
      <c r="A39" s="243">
        <v>34</v>
      </c>
      <c r="B39" s="244"/>
      <c r="C39" s="244"/>
      <c r="H39" s="244"/>
      <c r="K39" s="244"/>
      <c r="L39" s="245" t="str">
        <f>IFERROR(_xlfn.XLOOKUP(K39,'Listas de apoio'!$K$2:$K$5,'Listas de apoio'!$N$2:$N$5),"")</f>
        <v/>
      </c>
      <c r="M39" s="244"/>
      <c r="N39" s="245" t="str">
        <f>IFERROR(_xlfn.XLOOKUP(M39,'Listas de apoio'!$O$2:$O$5,'Listas de apoio'!$R$2:$R$5),"")</f>
        <v/>
      </c>
      <c r="O39" s="246" t="str">
        <f>IFERROR(_xlfn.XLOOKUP((K39*M39),'Listas de apoio'!$S$2:$S$10,'Listas de apoio'!$T$2:$T$10),"")</f>
        <v/>
      </c>
      <c r="P39" s="247">
        <f>IFERROR(_xlfn.XLOOKUP(K39,'Listas de apoio'!$K$2:$K$5,'Listas de apoio'!$L$2:$L$5),0)</f>
        <v>0</v>
      </c>
      <c r="Q39" s="247">
        <f>IFERROR(_xlfn.XLOOKUP(K39,'Listas de apoio'!$K$2:$K$5,'Listas de apoio'!$M$2:$M$5),0)</f>
        <v>0</v>
      </c>
      <c r="R39" s="248">
        <f>IFERROR(_xlfn.XLOOKUP(M39,'Listas de apoio'!$O$2:$O$5,'Listas de apoio'!$P$2:$P$5),0)</f>
        <v>0</v>
      </c>
      <c r="S39" s="248">
        <f>IFERROR(_xlfn.XLOOKUP(M39,'Listas de apoio'!$O$2:$O$5,'Listas de apoio'!$Q$2:$Q$5),0)</f>
        <v>0</v>
      </c>
      <c r="T39" s="248">
        <f t="shared" si="2"/>
        <v>0</v>
      </c>
      <c r="W39" s="244"/>
      <c r="Z39" s="244"/>
      <c r="AA39" s="245" t="str">
        <f>IFERROR(_xlfn.XLOOKUP(Z39,'Listas de apoio'!$K$2:$K$5,'Listas de apoio'!$N$2:$N$5),"")</f>
        <v/>
      </c>
      <c r="AB39" s="244"/>
      <c r="AC39" s="245" t="str">
        <f>IFERROR(_xlfn.XLOOKUP(AB39,'Listas de apoio'!$O$2:$O$5,'Listas de apoio'!$R$2:$R$5),"")</f>
        <v/>
      </c>
      <c r="AD39" s="246" t="str">
        <f>IFERROR(_xlfn.XLOOKUP((Z39*AB39),'Listas de apoio'!$S$2:$S$10,'Listas de apoio'!$T$2:$T$10),"")</f>
        <v/>
      </c>
      <c r="AE39" s="71" t="str">
        <f t="shared" si="3"/>
        <v/>
      </c>
      <c r="AF39" s="71" t="str">
        <f t="shared" si="4"/>
        <v/>
      </c>
      <c r="AG39" s="71" t="str">
        <f t="shared" si="5"/>
        <v/>
      </c>
      <c r="AH39" s="71" t="str">
        <f t="shared" si="6"/>
        <v/>
      </c>
      <c r="AI39" s="71" t="str">
        <f t="shared" si="7"/>
        <v/>
      </c>
      <c r="AJ39" s="247">
        <f>IFERROR(_xlfn.XLOOKUP(Z39,'Listas de apoio'!$K$2:$K$5,'Listas de apoio'!$L$2:$L$5),0)</f>
        <v>0</v>
      </c>
      <c r="AK39" s="247">
        <f>IFERROR(_xlfn.XLOOKUP(Z39,'Listas de apoio'!$K$2:$K$5,'Listas de apoio'!$M$2:$M$5),0)</f>
        <v>0</v>
      </c>
      <c r="AL39" s="248">
        <f>IFERROR(_xlfn.XLOOKUP(AB39,'Listas de apoio'!$O$2:$O$5,'Listas de apoio'!$P$2:$P$5),0)</f>
        <v>0</v>
      </c>
      <c r="AM39" s="248">
        <f>IFERROR(_xlfn.XLOOKUP(AB39,'Listas de apoio'!$O$2:$O$5,'Listas de apoio'!$Q$2:$Q$5),0)</f>
        <v>0</v>
      </c>
      <c r="AN39" s="248">
        <f t="shared" si="8"/>
        <v>0</v>
      </c>
      <c r="AU39" s="232">
        <f t="shared" ca="1" si="0"/>
        <v>0</v>
      </c>
      <c r="AV39" s="249">
        <f t="shared" ca="1" si="1"/>
        <v>0</v>
      </c>
    </row>
    <row r="40" spans="1:48" ht="24" customHeight="1">
      <c r="A40" s="243">
        <v>35</v>
      </c>
      <c r="B40" s="244"/>
      <c r="C40" s="244"/>
      <c r="H40" s="244"/>
      <c r="K40" s="244"/>
      <c r="L40" s="245" t="str">
        <f>IFERROR(_xlfn.XLOOKUP(K40,'Listas de apoio'!$K$2:$K$5,'Listas de apoio'!$N$2:$N$5),"")</f>
        <v/>
      </c>
      <c r="M40" s="244"/>
      <c r="N40" s="245" t="str">
        <f>IFERROR(_xlfn.XLOOKUP(M40,'Listas de apoio'!$O$2:$O$5,'Listas de apoio'!$R$2:$R$5),"")</f>
        <v/>
      </c>
      <c r="O40" s="246" t="str">
        <f>IFERROR(_xlfn.XLOOKUP((K40*M40),'Listas de apoio'!$S$2:$S$10,'Listas de apoio'!$T$2:$T$10),"")</f>
        <v/>
      </c>
      <c r="P40" s="247">
        <f>IFERROR(_xlfn.XLOOKUP(K40,'Listas de apoio'!$K$2:$K$5,'Listas de apoio'!$L$2:$L$5),0)</f>
        <v>0</v>
      </c>
      <c r="Q40" s="247">
        <f>IFERROR(_xlfn.XLOOKUP(K40,'Listas de apoio'!$K$2:$K$5,'Listas de apoio'!$M$2:$M$5),0)</f>
        <v>0</v>
      </c>
      <c r="R40" s="248">
        <f>IFERROR(_xlfn.XLOOKUP(M40,'Listas de apoio'!$O$2:$O$5,'Listas de apoio'!$P$2:$P$5),0)</f>
        <v>0</v>
      </c>
      <c r="S40" s="248">
        <f>IFERROR(_xlfn.XLOOKUP(M40,'Listas de apoio'!$O$2:$O$5,'Listas de apoio'!$Q$2:$Q$5),0)</f>
        <v>0</v>
      </c>
      <c r="T40" s="248">
        <f t="shared" si="2"/>
        <v>0</v>
      </c>
      <c r="W40" s="244"/>
      <c r="Z40" s="244"/>
      <c r="AA40" s="245" t="str">
        <f>IFERROR(_xlfn.XLOOKUP(Z40,'Listas de apoio'!$K$2:$K$5,'Listas de apoio'!$N$2:$N$5),"")</f>
        <v/>
      </c>
      <c r="AB40" s="244"/>
      <c r="AC40" s="245" t="str">
        <f>IFERROR(_xlfn.XLOOKUP(AB40,'Listas de apoio'!$O$2:$O$5,'Listas de apoio'!$R$2:$R$5),"")</f>
        <v/>
      </c>
      <c r="AD40" s="246" t="str">
        <f>IFERROR(_xlfn.XLOOKUP((Z40*AB40),'Listas de apoio'!$S$2:$S$10,'Listas de apoio'!$T$2:$T$10),"")</f>
        <v/>
      </c>
      <c r="AE40" s="71" t="str">
        <f t="shared" si="3"/>
        <v/>
      </c>
      <c r="AF40" s="71" t="str">
        <f t="shared" si="4"/>
        <v/>
      </c>
      <c r="AG40" s="71" t="str">
        <f t="shared" si="5"/>
        <v/>
      </c>
      <c r="AH40" s="71" t="str">
        <f t="shared" si="6"/>
        <v/>
      </c>
      <c r="AI40" s="71" t="str">
        <f t="shared" si="7"/>
        <v/>
      </c>
      <c r="AJ40" s="247">
        <f>IFERROR(_xlfn.XLOOKUP(Z40,'Listas de apoio'!$K$2:$K$5,'Listas de apoio'!$L$2:$L$5),0)</f>
        <v>0</v>
      </c>
      <c r="AK40" s="247">
        <f>IFERROR(_xlfn.XLOOKUP(Z40,'Listas de apoio'!$K$2:$K$5,'Listas de apoio'!$M$2:$M$5),0)</f>
        <v>0</v>
      </c>
      <c r="AL40" s="248">
        <f>IFERROR(_xlfn.XLOOKUP(AB40,'Listas de apoio'!$O$2:$O$5,'Listas de apoio'!$P$2:$P$5),0)</f>
        <v>0</v>
      </c>
      <c r="AM40" s="248">
        <f>IFERROR(_xlfn.XLOOKUP(AB40,'Listas de apoio'!$O$2:$O$5,'Listas de apoio'!$Q$2:$Q$5),0)</f>
        <v>0</v>
      </c>
      <c r="AN40" s="248">
        <f t="shared" si="8"/>
        <v>0</v>
      </c>
      <c r="AU40" s="232">
        <f t="shared" ca="1" si="0"/>
        <v>0</v>
      </c>
      <c r="AV40" s="249">
        <f t="shared" ca="1" si="1"/>
        <v>0</v>
      </c>
    </row>
    <row r="41" spans="1:48" ht="24" customHeight="1">
      <c r="A41" s="243">
        <v>36</v>
      </c>
      <c r="B41" s="244"/>
      <c r="C41" s="244"/>
      <c r="H41" s="244"/>
      <c r="K41" s="244"/>
      <c r="L41" s="245" t="str">
        <f>IFERROR(_xlfn.XLOOKUP(K41,'Listas de apoio'!$K$2:$K$5,'Listas de apoio'!$N$2:$N$5),"")</f>
        <v/>
      </c>
      <c r="M41" s="244"/>
      <c r="N41" s="245" t="str">
        <f>IFERROR(_xlfn.XLOOKUP(M41,'Listas de apoio'!$O$2:$O$5,'Listas de apoio'!$R$2:$R$5),"")</f>
        <v/>
      </c>
      <c r="O41" s="246" t="str">
        <f>IFERROR(_xlfn.XLOOKUP((K41*M41),'Listas de apoio'!$S$2:$S$10,'Listas de apoio'!$T$2:$T$10),"")</f>
        <v/>
      </c>
      <c r="P41" s="247">
        <f>IFERROR(_xlfn.XLOOKUP(K41,'Listas de apoio'!$K$2:$K$5,'Listas de apoio'!$L$2:$L$5),0)</f>
        <v>0</v>
      </c>
      <c r="Q41" s="247">
        <f>IFERROR(_xlfn.XLOOKUP(K41,'Listas de apoio'!$K$2:$K$5,'Listas de apoio'!$M$2:$M$5),0)</f>
        <v>0</v>
      </c>
      <c r="R41" s="248">
        <f>IFERROR(_xlfn.XLOOKUP(M41,'Listas de apoio'!$O$2:$O$5,'Listas de apoio'!$P$2:$P$5),0)</f>
        <v>0</v>
      </c>
      <c r="S41" s="248">
        <f>IFERROR(_xlfn.XLOOKUP(M41,'Listas de apoio'!$O$2:$O$5,'Listas de apoio'!$Q$2:$Q$5),0)</f>
        <v>0</v>
      </c>
      <c r="T41" s="248">
        <f t="shared" si="2"/>
        <v>0</v>
      </c>
      <c r="W41" s="244"/>
      <c r="Z41" s="244"/>
      <c r="AA41" s="245" t="str">
        <f>IFERROR(_xlfn.XLOOKUP(Z41,'Listas de apoio'!$K$2:$K$5,'Listas de apoio'!$N$2:$N$5),"")</f>
        <v/>
      </c>
      <c r="AB41" s="244"/>
      <c r="AC41" s="245" t="str">
        <f>IFERROR(_xlfn.XLOOKUP(AB41,'Listas de apoio'!$O$2:$O$5,'Listas de apoio'!$R$2:$R$5),"")</f>
        <v/>
      </c>
      <c r="AD41" s="246" t="str">
        <f>IFERROR(_xlfn.XLOOKUP((Z41*AB41),'Listas de apoio'!$S$2:$S$10,'Listas de apoio'!$T$2:$T$10),"")</f>
        <v/>
      </c>
      <c r="AE41" s="71" t="str">
        <f t="shared" si="3"/>
        <v/>
      </c>
      <c r="AF41" s="71" t="str">
        <f t="shared" si="4"/>
        <v/>
      </c>
      <c r="AG41" s="71" t="str">
        <f t="shared" si="5"/>
        <v/>
      </c>
      <c r="AH41" s="71" t="str">
        <f t="shared" si="6"/>
        <v/>
      </c>
      <c r="AI41" s="71" t="str">
        <f t="shared" si="7"/>
        <v/>
      </c>
      <c r="AJ41" s="247">
        <f>IFERROR(_xlfn.XLOOKUP(Z41,'Listas de apoio'!$K$2:$K$5,'Listas de apoio'!$L$2:$L$5),0)</f>
        <v>0</v>
      </c>
      <c r="AK41" s="247">
        <f>IFERROR(_xlfn.XLOOKUP(Z41,'Listas de apoio'!$K$2:$K$5,'Listas de apoio'!$M$2:$M$5),0)</f>
        <v>0</v>
      </c>
      <c r="AL41" s="248">
        <f>IFERROR(_xlfn.XLOOKUP(AB41,'Listas de apoio'!$O$2:$O$5,'Listas de apoio'!$P$2:$P$5),0)</f>
        <v>0</v>
      </c>
      <c r="AM41" s="248">
        <f>IFERROR(_xlfn.XLOOKUP(AB41,'Listas de apoio'!$O$2:$O$5,'Listas de apoio'!$Q$2:$Q$5),0)</f>
        <v>0</v>
      </c>
      <c r="AN41" s="248">
        <f t="shared" si="8"/>
        <v>0</v>
      </c>
      <c r="AU41" s="232">
        <f t="shared" ca="1" si="0"/>
        <v>0</v>
      </c>
      <c r="AV41" s="249">
        <f t="shared" ca="1" si="1"/>
        <v>0</v>
      </c>
    </row>
    <row r="42" spans="1:48" ht="24" customHeight="1">
      <c r="A42" s="243">
        <v>37</v>
      </c>
      <c r="B42" s="244"/>
      <c r="C42" s="244"/>
      <c r="H42" s="244"/>
      <c r="K42" s="244"/>
      <c r="L42" s="245" t="str">
        <f>IFERROR(_xlfn.XLOOKUP(K42,'Listas de apoio'!$K$2:$K$5,'Listas de apoio'!$N$2:$N$5),"")</f>
        <v/>
      </c>
      <c r="M42" s="244"/>
      <c r="N42" s="245" t="str">
        <f>IFERROR(_xlfn.XLOOKUP(M42,'Listas de apoio'!$O$2:$O$5,'Listas de apoio'!$R$2:$R$5),"")</f>
        <v/>
      </c>
      <c r="O42" s="246" t="str">
        <f>IFERROR(_xlfn.XLOOKUP((K42*M42),'Listas de apoio'!$S$2:$S$10,'Listas de apoio'!$T$2:$T$10),"")</f>
        <v/>
      </c>
      <c r="P42" s="247">
        <f>IFERROR(_xlfn.XLOOKUP(K42,'Listas de apoio'!$K$2:$K$5,'Listas de apoio'!$L$2:$L$5),0)</f>
        <v>0</v>
      </c>
      <c r="Q42" s="247">
        <f>IFERROR(_xlfn.XLOOKUP(K42,'Listas de apoio'!$K$2:$K$5,'Listas de apoio'!$M$2:$M$5),0)</f>
        <v>0</v>
      </c>
      <c r="R42" s="248">
        <f>IFERROR(_xlfn.XLOOKUP(M42,'Listas de apoio'!$O$2:$O$5,'Listas de apoio'!$P$2:$P$5),0)</f>
        <v>0</v>
      </c>
      <c r="S42" s="248">
        <f>IFERROR(_xlfn.XLOOKUP(M42,'Listas de apoio'!$O$2:$O$5,'Listas de apoio'!$Q$2:$Q$5),0)</f>
        <v>0</v>
      </c>
      <c r="T42" s="248">
        <f t="shared" si="2"/>
        <v>0</v>
      </c>
      <c r="W42" s="244"/>
      <c r="Z42" s="244"/>
      <c r="AA42" s="245" t="str">
        <f>IFERROR(_xlfn.XLOOKUP(Z42,'Listas de apoio'!$K$2:$K$5,'Listas de apoio'!$N$2:$N$5),"")</f>
        <v/>
      </c>
      <c r="AB42" s="244"/>
      <c r="AC42" s="245" t="str">
        <f>IFERROR(_xlfn.XLOOKUP(AB42,'Listas de apoio'!$O$2:$O$5,'Listas de apoio'!$R$2:$R$5),"")</f>
        <v/>
      </c>
      <c r="AD42" s="246" t="str">
        <f>IFERROR(_xlfn.XLOOKUP((Z42*AB42),'Listas de apoio'!$S$2:$S$10,'Listas de apoio'!$T$2:$T$10),"")</f>
        <v/>
      </c>
      <c r="AE42" s="71" t="str">
        <f t="shared" si="3"/>
        <v/>
      </c>
      <c r="AF42" s="71" t="str">
        <f t="shared" si="4"/>
        <v/>
      </c>
      <c r="AG42" s="71" t="str">
        <f t="shared" si="5"/>
        <v/>
      </c>
      <c r="AH42" s="71" t="str">
        <f t="shared" si="6"/>
        <v/>
      </c>
      <c r="AI42" s="71" t="str">
        <f t="shared" si="7"/>
        <v/>
      </c>
      <c r="AJ42" s="247">
        <f>IFERROR(_xlfn.XLOOKUP(Z42,'Listas de apoio'!$K$2:$K$5,'Listas de apoio'!$L$2:$L$5),0)</f>
        <v>0</v>
      </c>
      <c r="AK42" s="247">
        <f>IFERROR(_xlfn.XLOOKUP(Z42,'Listas de apoio'!$K$2:$K$5,'Listas de apoio'!$M$2:$M$5),0)</f>
        <v>0</v>
      </c>
      <c r="AL42" s="248">
        <f>IFERROR(_xlfn.XLOOKUP(AB42,'Listas de apoio'!$O$2:$O$5,'Listas de apoio'!$P$2:$P$5),0)</f>
        <v>0</v>
      </c>
      <c r="AM42" s="248">
        <f>IFERROR(_xlfn.XLOOKUP(AB42,'Listas de apoio'!$O$2:$O$5,'Listas de apoio'!$Q$2:$Q$5),0)</f>
        <v>0</v>
      </c>
      <c r="AN42" s="248">
        <f t="shared" si="8"/>
        <v>0</v>
      </c>
      <c r="AU42" s="232">
        <f t="shared" ca="1" si="0"/>
        <v>0</v>
      </c>
      <c r="AV42" s="249">
        <f t="shared" ca="1" si="1"/>
        <v>0</v>
      </c>
    </row>
    <row r="43" spans="1:48" ht="24" customHeight="1">
      <c r="A43" s="243">
        <v>38</v>
      </c>
      <c r="B43" s="244"/>
      <c r="C43" s="244"/>
      <c r="H43" s="244"/>
      <c r="K43" s="244"/>
      <c r="L43" s="245" t="str">
        <f>IFERROR(_xlfn.XLOOKUP(K43,'Listas de apoio'!$K$2:$K$5,'Listas de apoio'!$N$2:$N$5),"")</f>
        <v/>
      </c>
      <c r="M43" s="244"/>
      <c r="N43" s="245" t="str">
        <f>IFERROR(_xlfn.XLOOKUP(M43,'Listas de apoio'!$O$2:$O$5,'Listas de apoio'!$R$2:$R$5),"")</f>
        <v/>
      </c>
      <c r="O43" s="246" t="str">
        <f>IFERROR(_xlfn.XLOOKUP((K43*M43),'Listas de apoio'!$S$2:$S$10,'Listas de apoio'!$T$2:$T$10),"")</f>
        <v/>
      </c>
      <c r="P43" s="247">
        <f>IFERROR(_xlfn.XLOOKUP(K43,'Listas de apoio'!$K$2:$K$5,'Listas de apoio'!$L$2:$L$5),0)</f>
        <v>0</v>
      </c>
      <c r="Q43" s="247">
        <f>IFERROR(_xlfn.XLOOKUP(K43,'Listas de apoio'!$K$2:$K$5,'Listas de apoio'!$M$2:$M$5),0)</f>
        <v>0</v>
      </c>
      <c r="R43" s="248">
        <f>IFERROR(_xlfn.XLOOKUP(M43,'Listas de apoio'!$O$2:$O$5,'Listas de apoio'!$P$2:$P$5),0)</f>
        <v>0</v>
      </c>
      <c r="S43" s="248">
        <f>IFERROR(_xlfn.XLOOKUP(M43,'Listas de apoio'!$O$2:$O$5,'Listas de apoio'!$Q$2:$Q$5),0)</f>
        <v>0</v>
      </c>
      <c r="T43" s="248">
        <f t="shared" si="2"/>
        <v>0</v>
      </c>
      <c r="W43" s="244"/>
      <c r="Z43" s="244"/>
      <c r="AA43" s="245" t="str">
        <f>IFERROR(_xlfn.XLOOKUP(Z43,'Listas de apoio'!$K$2:$K$5,'Listas de apoio'!$N$2:$N$5),"")</f>
        <v/>
      </c>
      <c r="AB43" s="244"/>
      <c r="AC43" s="245" t="str">
        <f>IFERROR(_xlfn.XLOOKUP(AB43,'Listas de apoio'!$O$2:$O$5,'Listas de apoio'!$R$2:$R$5),"")</f>
        <v/>
      </c>
      <c r="AD43" s="246" t="str">
        <f>IFERROR(_xlfn.XLOOKUP((Z43*AB43),'Listas de apoio'!$S$2:$S$10,'Listas de apoio'!$T$2:$T$10),"")</f>
        <v/>
      </c>
      <c r="AE43" s="71" t="str">
        <f t="shared" si="3"/>
        <v/>
      </c>
      <c r="AF43" s="71" t="str">
        <f t="shared" si="4"/>
        <v/>
      </c>
      <c r="AG43" s="71" t="str">
        <f t="shared" si="5"/>
        <v/>
      </c>
      <c r="AH43" s="71" t="str">
        <f t="shared" si="6"/>
        <v/>
      </c>
      <c r="AI43" s="71" t="str">
        <f t="shared" si="7"/>
        <v/>
      </c>
      <c r="AJ43" s="247">
        <f>IFERROR(_xlfn.XLOOKUP(Z43,'Listas de apoio'!$K$2:$K$5,'Listas de apoio'!$L$2:$L$5),0)</f>
        <v>0</v>
      </c>
      <c r="AK43" s="247">
        <f>IFERROR(_xlfn.XLOOKUP(Z43,'Listas de apoio'!$K$2:$K$5,'Listas de apoio'!$M$2:$M$5),0)</f>
        <v>0</v>
      </c>
      <c r="AL43" s="248">
        <f>IFERROR(_xlfn.XLOOKUP(AB43,'Listas de apoio'!$O$2:$O$5,'Listas de apoio'!$P$2:$P$5),0)</f>
        <v>0</v>
      </c>
      <c r="AM43" s="248">
        <f>IFERROR(_xlfn.XLOOKUP(AB43,'Listas de apoio'!$O$2:$O$5,'Listas de apoio'!$Q$2:$Q$5),0)</f>
        <v>0</v>
      </c>
      <c r="AN43" s="248">
        <f t="shared" si="8"/>
        <v>0</v>
      </c>
      <c r="AU43" s="232">
        <f t="shared" ca="1" si="0"/>
        <v>0</v>
      </c>
      <c r="AV43" s="249">
        <f t="shared" ca="1" si="1"/>
        <v>0</v>
      </c>
    </row>
    <row r="44" spans="1:48" ht="24" customHeight="1">
      <c r="A44" s="243">
        <v>39</v>
      </c>
      <c r="B44" s="244"/>
      <c r="C44" s="244"/>
      <c r="H44" s="244"/>
      <c r="K44" s="244"/>
      <c r="L44" s="245" t="str">
        <f>IFERROR(_xlfn.XLOOKUP(K44,'Listas de apoio'!$K$2:$K$5,'Listas de apoio'!$N$2:$N$5),"")</f>
        <v/>
      </c>
      <c r="M44" s="244"/>
      <c r="N44" s="245" t="str">
        <f>IFERROR(_xlfn.XLOOKUP(M44,'Listas de apoio'!$O$2:$O$5,'Listas de apoio'!$R$2:$R$5),"")</f>
        <v/>
      </c>
      <c r="O44" s="246" t="str">
        <f>IFERROR(_xlfn.XLOOKUP((K44*M44),'Listas de apoio'!$S$2:$S$10,'Listas de apoio'!$T$2:$T$10),"")</f>
        <v/>
      </c>
      <c r="P44" s="247">
        <f>IFERROR(_xlfn.XLOOKUP(K44,'Listas de apoio'!$K$2:$K$5,'Listas de apoio'!$L$2:$L$5),0)</f>
        <v>0</v>
      </c>
      <c r="Q44" s="247">
        <f>IFERROR(_xlfn.XLOOKUP(K44,'Listas de apoio'!$K$2:$K$5,'Listas de apoio'!$M$2:$M$5),0)</f>
        <v>0</v>
      </c>
      <c r="R44" s="248">
        <f>IFERROR(_xlfn.XLOOKUP(M44,'Listas de apoio'!$O$2:$O$5,'Listas de apoio'!$P$2:$P$5),0)</f>
        <v>0</v>
      </c>
      <c r="S44" s="248">
        <f>IFERROR(_xlfn.XLOOKUP(M44,'Listas de apoio'!$O$2:$O$5,'Listas de apoio'!$Q$2:$Q$5),0)</f>
        <v>0</v>
      </c>
      <c r="T44" s="248">
        <f t="shared" si="2"/>
        <v>0</v>
      </c>
      <c r="W44" s="244"/>
      <c r="Z44" s="244"/>
      <c r="AA44" s="245" t="str">
        <f>IFERROR(_xlfn.XLOOKUP(Z44,'Listas de apoio'!$K$2:$K$5,'Listas de apoio'!$N$2:$N$5),"")</f>
        <v/>
      </c>
      <c r="AB44" s="244"/>
      <c r="AC44" s="245" t="str">
        <f>IFERROR(_xlfn.XLOOKUP(AB44,'Listas de apoio'!$O$2:$O$5,'Listas de apoio'!$R$2:$R$5),"")</f>
        <v/>
      </c>
      <c r="AD44" s="246" t="str">
        <f>IFERROR(_xlfn.XLOOKUP((Z44*AB44),'Listas de apoio'!$S$2:$S$10,'Listas de apoio'!$T$2:$T$10),"")</f>
        <v/>
      </c>
      <c r="AE44" s="71" t="str">
        <f t="shared" si="3"/>
        <v/>
      </c>
      <c r="AF44" s="71" t="str">
        <f t="shared" si="4"/>
        <v/>
      </c>
      <c r="AG44" s="71" t="str">
        <f t="shared" si="5"/>
        <v/>
      </c>
      <c r="AH44" s="71" t="str">
        <f t="shared" si="6"/>
        <v/>
      </c>
      <c r="AI44" s="71" t="str">
        <f t="shared" si="7"/>
        <v/>
      </c>
      <c r="AJ44" s="247">
        <f>IFERROR(_xlfn.XLOOKUP(Z44,'Listas de apoio'!$K$2:$K$5,'Listas de apoio'!$L$2:$L$5),0)</f>
        <v>0</v>
      </c>
      <c r="AK44" s="247">
        <f>IFERROR(_xlfn.XLOOKUP(Z44,'Listas de apoio'!$K$2:$K$5,'Listas de apoio'!$M$2:$M$5),0)</f>
        <v>0</v>
      </c>
      <c r="AL44" s="248">
        <f>IFERROR(_xlfn.XLOOKUP(AB44,'Listas de apoio'!$O$2:$O$5,'Listas de apoio'!$P$2:$P$5),0)</f>
        <v>0</v>
      </c>
      <c r="AM44" s="248">
        <f>IFERROR(_xlfn.XLOOKUP(AB44,'Listas de apoio'!$O$2:$O$5,'Listas de apoio'!$Q$2:$Q$5),0)</f>
        <v>0</v>
      </c>
      <c r="AN44" s="248">
        <f t="shared" si="8"/>
        <v>0</v>
      </c>
      <c r="AU44" s="232">
        <f t="shared" ca="1" si="0"/>
        <v>0</v>
      </c>
      <c r="AV44" s="249">
        <f t="shared" ca="1" si="1"/>
        <v>0</v>
      </c>
    </row>
    <row r="45" spans="1:48" ht="24" customHeight="1">
      <c r="A45" s="243">
        <v>40</v>
      </c>
      <c r="B45" s="244"/>
      <c r="C45" s="244"/>
      <c r="H45" s="244"/>
      <c r="K45" s="244"/>
      <c r="L45" s="245" t="str">
        <f>IFERROR(_xlfn.XLOOKUP(K45,'Listas de apoio'!$K$2:$K$5,'Listas de apoio'!$N$2:$N$5),"")</f>
        <v/>
      </c>
      <c r="M45" s="244"/>
      <c r="N45" s="245" t="str">
        <f>IFERROR(_xlfn.XLOOKUP(M45,'Listas de apoio'!$O$2:$O$5,'Listas de apoio'!$R$2:$R$5),"")</f>
        <v/>
      </c>
      <c r="O45" s="246" t="str">
        <f>IFERROR(_xlfn.XLOOKUP((K45*M45),'Listas de apoio'!$S$2:$S$10,'Listas de apoio'!$T$2:$T$10),"")</f>
        <v/>
      </c>
      <c r="P45" s="247">
        <f>IFERROR(_xlfn.XLOOKUP(K45,'Listas de apoio'!$K$2:$K$5,'Listas de apoio'!$L$2:$L$5),0)</f>
        <v>0</v>
      </c>
      <c r="Q45" s="247">
        <f>IFERROR(_xlfn.XLOOKUP(K45,'Listas de apoio'!$K$2:$K$5,'Listas de apoio'!$M$2:$M$5),0)</f>
        <v>0</v>
      </c>
      <c r="R45" s="248">
        <f>IFERROR(_xlfn.XLOOKUP(M45,'Listas de apoio'!$O$2:$O$5,'Listas de apoio'!$P$2:$P$5),0)</f>
        <v>0</v>
      </c>
      <c r="S45" s="248">
        <f>IFERROR(_xlfn.XLOOKUP(M45,'Listas de apoio'!$O$2:$O$5,'Listas de apoio'!$Q$2:$Q$5),0)</f>
        <v>0</v>
      </c>
      <c r="T45" s="248">
        <f t="shared" si="2"/>
        <v>0</v>
      </c>
      <c r="W45" s="244"/>
      <c r="Z45" s="244"/>
      <c r="AA45" s="245" t="str">
        <f>IFERROR(_xlfn.XLOOKUP(Z45,'Listas de apoio'!$K$2:$K$5,'Listas de apoio'!$N$2:$N$5),"")</f>
        <v/>
      </c>
      <c r="AB45" s="244"/>
      <c r="AC45" s="245" t="str">
        <f>IFERROR(_xlfn.XLOOKUP(AB45,'Listas de apoio'!$O$2:$O$5,'Listas de apoio'!$R$2:$R$5),"")</f>
        <v/>
      </c>
      <c r="AD45" s="246" t="str">
        <f>IFERROR(_xlfn.XLOOKUP((Z45*AB45),'Listas de apoio'!$S$2:$S$10,'Listas de apoio'!$T$2:$T$10),"")</f>
        <v/>
      </c>
      <c r="AE45" s="71" t="str">
        <f t="shared" si="3"/>
        <v/>
      </c>
      <c r="AF45" s="71" t="str">
        <f t="shared" si="4"/>
        <v/>
      </c>
      <c r="AG45" s="71" t="str">
        <f t="shared" si="5"/>
        <v/>
      </c>
      <c r="AH45" s="71" t="str">
        <f t="shared" si="6"/>
        <v/>
      </c>
      <c r="AI45" s="71" t="str">
        <f t="shared" si="7"/>
        <v/>
      </c>
      <c r="AJ45" s="247">
        <f>IFERROR(_xlfn.XLOOKUP(Z45,'Listas de apoio'!$K$2:$K$5,'Listas de apoio'!$L$2:$L$5),0)</f>
        <v>0</v>
      </c>
      <c r="AK45" s="247">
        <f>IFERROR(_xlfn.XLOOKUP(Z45,'Listas de apoio'!$K$2:$K$5,'Listas de apoio'!$M$2:$M$5),0)</f>
        <v>0</v>
      </c>
      <c r="AL45" s="248">
        <f>IFERROR(_xlfn.XLOOKUP(AB45,'Listas de apoio'!$O$2:$O$5,'Listas de apoio'!$P$2:$P$5),0)</f>
        <v>0</v>
      </c>
      <c r="AM45" s="248">
        <f>IFERROR(_xlfn.XLOOKUP(AB45,'Listas de apoio'!$O$2:$O$5,'Listas de apoio'!$Q$2:$Q$5),0)</f>
        <v>0</v>
      </c>
      <c r="AN45" s="248">
        <f t="shared" si="8"/>
        <v>0</v>
      </c>
      <c r="AU45" s="232">
        <f t="shared" ca="1" si="0"/>
        <v>0</v>
      </c>
      <c r="AV45" s="249">
        <f t="shared" ca="1" si="1"/>
        <v>0</v>
      </c>
    </row>
    <row r="46" spans="1:48" ht="24" customHeight="1">
      <c r="A46" s="243">
        <v>41</v>
      </c>
      <c r="B46" s="244"/>
      <c r="C46" s="244"/>
      <c r="H46" s="244"/>
      <c r="K46" s="244"/>
      <c r="L46" s="245" t="str">
        <f>IFERROR(_xlfn.XLOOKUP(K46,'Listas de apoio'!$K$2:$K$5,'Listas de apoio'!$N$2:$N$5),"")</f>
        <v/>
      </c>
      <c r="M46" s="244"/>
      <c r="N46" s="245" t="str">
        <f>IFERROR(_xlfn.XLOOKUP(M46,'Listas de apoio'!$O$2:$O$5,'Listas de apoio'!$R$2:$R$5),"")</f>
        <v/>
      </c>
      <c r="O46" s="246" t="str">
        <f>IFERROR(_xlfn.XLOOKUP((K46*M46),'Listas de apoio'!$S$2:$S$10,'Listas de apoio'!$T$2:$T$10),"")</f>
        <v/>
      </c>
      <c r="P46" s="247">
        <f>IFERROR(_xlfn.XLOOKUP(K46,'Listas de apoio'!$K$2:$K$5,'Listas de apoio'!$L$2:$L$5),0)</f>
        <v>0</v>
      </c>
      <c r="Q46" s="247">
        <f>IFERROR(_xlfn.XLOOKUP(K46,'Listas de apoio'!$K$2:$K$5,'Listas de apoio'!$M$2:$M$5),0)</f>
        <v>0</v>
      </c>
      <c r="R46" s="248">
        <f>IFERROR(_xlfn.XLOOKUP(M46,'Listas de apoio'!$O$2:$O$5,'Listas de apoio'!$P$2:$P$5),0)</f>
        <v>0</v>
      </c>
      <c r="S46" s="248">
        <f>IFERROR(_xlfn.XLOOKUP(M46,'Listas de apoio'!$O$2:$O$5,'Listas de apoio'!$Q$2:$Q$5),0)</f>
        <v>0</v>
      </c>
      <c r="T46" s="248">
        <f t="shared" si="2"/>
        <v>0</v>
      </c>
      <c r="W46" s="244"/>
      <c r="Z46" s="244"/>
      <c r="AA46" s="245" t="str">
        <f>IFERROR(_xlfn.XLOOKUP(Z46,'Listas de apoio'!$K$2:$K$5,'Listas de apoio'!$N$2:$N$5),"")</f>
        <v/>
      </c>
      <c r="AB46" s="244"/>
      <c r="AC46" s="245" t="str">
        <f>IFERROR(_xlfn.XLOOKUP(AB46,'Listas de apoio'!$O$2:$O$5,'Listas de apoio'!$R$2:$R$5),"")</f>
        <v/>
      </c>
      <c r="AD46" s="246" t="str">
        <f>IFERROR(_xlfn.XLOOKUP((Z46*AB46),'Listas de apoio'!$S$2:$S$10,'Listas de apoio'!$T$2:$T$10),"")</f>
        <v/>
      </c>
      <c r="AE46" s="71" t="str">
        <f t="shared" si="3"/>
        <v/>
      </c>
      <c r="AF46" s="71" t="str">
        <f t="shared" si="4"/>
        <v/>
      </c>
      <c r="AG46" s="71" t="str">
        <f t="shared" si="5"/>
        <v/>
      </c>
      <c r="AH46" s="71" t="str">
        <f t="shared" si="6"/>
        <v/>
      </c>
      <c r="AI46" s="71" t="str">
        <f t="shared" si="7"/>
        <v/>
      </c>
      <c r="AJ46" s="247">
        <f>IFERROR(_xlfn.XLOOKUP(Z46,'Listas de apoio'!$K$2:$K$5,'Listas de apoio'!$L$2:$L$5),0)</f>
        <v>0</v>
      </c>
      <c r="AK46" s="247">
        <f>IFERROR(_xlfn.XLOOKUP(Z46,'Listas de apoio'!$K$2:$K$5,'Listas de apoio'!$M$2:$M$5),0)</f>
        <v>0</v>
      </c>
      <c r="AL46" s="248">
        <f>IFERROR(_xlfn.XLOOKUP(AB46,'Listas de apoio'!$O$2:$O$5,'Listas de apoio'!$P$2:$P$5),0)</f>
        <v>0</v>
      </c>
      <c r="AM46" s="248">
        <f>IFERROR(_xlfn.XLOOKUP(AB46,'Listas de apoio'!$O$2:$O$5,'Listas de apoio'!$Q$2:$Q$5),0)</f>
        <v>0</v>
      </c>
      <c r="AN46" s="248">
        <f t="shared" si="8"/>
        <v>0</v>
      </c>
      <c r="AU46" s="232">
        <f t="shared" ca="1" si="0"/>
        <v>0</v>
      </c>
      <c r="AV46" s="249">
        <f t="shared" ca="1" si="1"/>
        <v>0</v>
      </c>
    </row>
    <row r="47" spans="1:48" ht="24" customHeight="1">
      <c r="A47" s="243">
        <v>42</v>
      </c>
      <c r="B47" s="244"/>
      <c r="C47" s="244"/>
      <c r="H47" s="244"/>
      <c r="K47" s="244"/>
      <c r="L47" s="245" t="str">
        <f>IFERROR(_xlfn.XLOOKUP(K47,'Listas de apoio'!$K$2:$K$5,'Listas de apoio'!$N$2:$N$5),"")</f>
        <v/>
      </c>
      <c r="M47" s="244"/>
      <c r="N47" s="245" t="str">
        <f>IFERROR(_xlfn.XLOOKUP(M47,'Listas de apoio'!$O$2:$O$5,'Listas de apoio'!$R$2:$R$5),"")</f>
        <v/>
      </c>
      <c r="O47" s="246" t="str">
        <f>IFERROR(_xlfn.XLOOKUP((K47*M47),'Listas de apoio'!$S$2:$S$10,'Listas de apoio'!$T$2:$T$10),"")</f>
        <v/>
      </c>
      <c r="P47" s="247">
        <f>IFERROR(_xlfn.XLOOKUP(K47,'Listas de apoio'!$K$2:$K$5,'Listas de apoio'!$L$2:$L$5),0)</f>
        <v>0</v>
      </c>
      <c r="Q47" s="247">
        <f>IFERROR(_xlfn.XLOOKUP(K47,'Listas de apoio'!$K$2:$K$5,'Listas de apoio'!$M$2:$M$5),0)</f>
        <v>0</v>
      </c>
      <c r="R47" s="248">
        <f>IFERROR(_xlfn.XLOOKUP(M47,'Listas de apoio'!$O$2:$O$5,'Listas de apoio'!$P$2:$P$5),0)</f>
        <v>0</v>
      </c>
      <c r="S47" s="248">
        <f>IFERROR(_xlfn.XLOOKUP(M47,'Listas de apoio'!$O$2:$O$5,'Listas de apoio'!$Q$2:$Q$5),0)</f>
        <v>0</v>
      </c>
      <c r="T47" s="248">
        <f t="shared" si="2"/>
        <v>0</v>
      </c>
      <c r="W47" s="244"/>
      <c r="Z47" s="244"/>
      <c r="AA47" s="245" t="str">
        <f>IFERROR(_xlfn.XLOOKUP(Z47,'Listas de apoio'!$K$2:$K$5,'Listas de apoio'!$N$2:$N$5),"")</f>
        <v/>
      </c>
      <c r="AB47" s="244"/>
      <c r="AC47" s="245" t="str">
        <f>IFERROR(_xlfn.XLOOKUP(AB47,'Listas de apoio'!$O$2:$O$5,'Listas de apoio'!$R$2:$R$5),"")</f>
        <v/>
      </c>
      <c r="AD47" s="246" t="str">
        <f>IFERROR(_xlfn.XLOOKUP((Z47*AB47),'Listas de apoio'!$S$2:$S$10,'Listas de apoio'!$T$2:$T$10),"")</f>
        <v/>
      </c>
      <c r="AE47" s="71" t="str">
        <f t="shared" si="3"/>
        <v/>
      </c>
      <c r="AF47" s="71" t="str">
        <f t="shared" si="4"/>
        <v/>
      </c>
      <c r="AG47" s="71" t="str">
        <f t="shared" si="5"/>
        <v/>
      </c>
      <c r="AH47" s="71" t="str">
        <f t="shared" si="6"/>
        <v/>
      </c>
      <c r="AI47" s="71" t="str">
        <f t="shared" si="7"/>
        <v/>
      </c>
      <c r="AJ47" s="247">
        <f>IFERROR(_xlfn.XLOOKUP(Z47,'Listas de apoio'!$K$2:$K$5,'Listas de apoio'!$L$2:$L$5),0)</f>
        <v>0</v>
      </c>
      <c r="AK47" s="247">
        <f>IFERROR(_xlfn.XLOOKUP(Z47,'Listas de apoio'!$K$2:$K$5,'Listas de apoio'!$M$2:$M$5),0)</f>
        <v>0</v>
      </c>
      <c r="AL47" s="248">
        <f>IFERROR(_xlfn.XLOOKUP(AB47,'Listas de apoio'!$O$2:$O$5,'Listas de apoio'!$P$2:$P$5),0)</f>
        <v>0</v>
      </c>
      <c r="AM47" s="248">
        <f>IFERROR(_xlfn.XLOOKUP(AB47,'Listas de apoio'!$O$2:$O$5,'Listas de apoio'!$Q$2:$Q$5),0)</f>
        <v>0</v>
      </c>
      <c r="AN47" s="248">
        <f t="shared" si="8"/>
        <v>0</v>
      </c>
      <c r="AU47" s="232">
        <f t="shared" ca="1" si="0"/>
        <v>0</v>
      </c>
      <c r="AV47" s="249">
        <f t="shared" ca="1" si="1"/>
        <v>0</v>
      </c>
    </row>
    <row r="48" spans="1:48" ht="24" customHeight="1">
      <c r="A48" s="243">
        <v>43</v>
      </c>
      <c r="B48" s="244"/>
      <c r="C48" s="244"/>
      <c r="H48" s="244"/>
      <c r="K48" s="244"/>
      <c r="L48" s="245" t="str">
        <f>IFERROR(_xlfn.XLOOKUP(K48,'Listas de apoio'!$K$2:$K$5,'Listas de apoio'!$N$2:$N$5),"")</f>
        <v/>
      </c>
      <c r="M48" s="244"/>
      <c r="N48" s="245" t="str">
        <f>IFERROR(_xlfn.XLOOKUP(M48,'Listas de apoio'!$O$2:$O$5,'Listas de apoio'!$R$2:$R$5),"")</f>
        <v/>
      </c>
      <c r="O48" s="246" t="str">
        <f>IFERROR(_xlfn.XLOOKUP((K48*M48),'Listas de apoio'!$S$2:$S$10,'Listas de apoio'!$T$2:$T$10),"")</f>
        <v/>
      </c>
      <c r="P48" s="247">
        <f>IFERROR(_xlfn.XLOOKUP(K48,'Listas de apoio'!$K$2:$K$5,'Listas de apoio'!$L$2:$L$5),0)</f>
        <v>0</v>
      </c>
      <c r="Q48" s="247">
        <f>IFERROR(_xlfn.XLOOKUP(K48,'Listas de apoio'!$K$2:$K$5,'Listas de apoio'!$M$2:$M$5),0)</f>
        <v>0</v>
      </c>
      <c r="R48" s="248">
        <f>IFERROR(_xlfn.XLOOKUP(M48,'Listas de apoio'!$O$2:$O$5,'Listas de apoio'!$P$2:$P$5),0)</f>
        <v>0</v>
      </c>
      <c r="S48" s="248">
        <f>IFERROR(_xlfn.XLOOKUP(M48,'Listas de apoio'!$O$2:$O$5,'Listas de apoio'!$Q$2:$Q$5),0)</f>
        <v>0</v>
      </c>
      <c r="T48" s="248">
        <f t="shared" si="2"/>
        <v>0</v>
      </c>
      <c r="W48" s="244"/>
      <c r="Z48" s="244"/>
      <c r="AA48" s="245" t="str">
        <f>IFERROR(_xlfn.XLOOKUP(Z48,'Listas de apoio'!$K$2:$K$5,'Listas de apoio'!$N$2:$N$5),"")</f>
        <v/>
      </c>
      <c r="AB48" s="244"/>
      <c r="AC48" s="245" t="str">
        <f>IFERROR(_xlfn.XLOOKUP(AB48,'Listas de apoio'!$O$2:$O$5,'Listas de apoio'!$R$2:$R$5),"")</f>
        <v/>
      </c>
      <c r="AD48" s="246" t="str">
        <f>IFERROR(_xlfn.XLOOKUP((Z48*AB48),'Listas de apoio'!$S$2:$S$10,'Listas de apoio'!$T$2:$T$10),"")</f>
        <v/>
      </c>
      <c r="AE48" s="71" t="str">
        <f t="shared" si="3"/>
        <v/>
      </c>
      <c r="AF48" s="71" t="str">
        <f t="shared" si="4"/>
        <v/>
      </c>
      <c r="AG48" s="71" t="str">
        <f t="shared" si="5"/>
        <v/>
      </c>
      <c r="AH48" s="71" t="str">
        <f t="shared" si="6"/>
        <v/>
      </c>
      <c r="AI48" s="71" t="str">
        <f t="shared" si="7"/>
        <v/>
      </c>
      <c r="AJ48" s="247">
        <f>IFERROR(_xlfn.XLOOKUP(Z48,'Listas de apoio'!$K$2:$K$5,'Listas de apoio'!$L$2:$L$5),0)</f>
        <v>0</v>
      </c>
      <c r="AK48" s="247">
        <f>IFERROR(_xlfn.XLOOKUP(Z48,'Listas de apoio'!$K$2:$K$5,'Listas de apoio'!$M$2:$M$5),0)</f>
        <v>0</v>
      </c>
      <c r="AL48" s="248">
        <f>IFERROR(_xlfn.XLOOKUP(AB48,'Listas de apoio'!$O$2:$O$5,'Listas de apoio'!$P$2:$P$5),0)</f>
        <v>0</v>
      </c>
      <c r="AM48" s="248">
        <f>IFERROR(_xlfn.XLOOKUP(AB48,'Listas de apoio'!$O$2:$O$5,'Listas de apoio'!$Q$2:$Q$5),0)</f>
        <v>0</v>
      </c>
      <c r="AN48" s="248">
        <f t="shared" si="8"/>
        <v>0</v>
      </c>
      <c r="AU48" s="232">
        <f t="shared" ca="1" si="0"/>
        <v>0</v>
      </c>
      <c r="AV48" s="249">
        <f t="shared" ca="1" si="1"/>
        <v>0</v>
      </c>
    </row>
    <row r="49" spans="1:48" ht="24" customHeight="1">
      <c r="A49" s="243">
        <v>44</v>
      </c>
      <c r="B49" s="244"/>
      <c r="C49" s="244"/>
      <c r="H49" s="244"/>
      <c r="K49" s="244"/>
      <c r="L49" s="245" t="str">
        <f>IFERROR(_xlfn.XLOOKUP(K49,'Listas de apoio'!$K$2:$K$5,'Listas de apoio'!$N$2:$N$5),"")</f>
        <v/>
      </c>
      <c r="M49" s="244"/>
      <c r="N49" s="245" t="str">
        <f>IFERROR(_xlfn.XLOOKUP(M49,'Listas de apoio'!$O$2:$O$5,'Listas de apoio'!$R$2:$R$5),"")</f>
        <v/>
      </c>
      <c r="O49" s="246" t="str">
        <f>IFERROR(_xlfn.XLOOKUP((K49*M49),'Listas de apoio'!$S$2:$S$10,'Listas de apoio'!$T$2:$T$10),"")</f>
        <v/>
      </c>
      <c r="P49" s="247">
        <f>IFERROR(_xlfn.XLOOKUP(K49,'Listas de apoio'!$K$2:$K$5,'Listas de apoio'!$L$2:$L$5),0)</f>
        <v>0</v>
      </c>
      <c r="Q49" s="247">
        <f>IFERROR(_xlfn.XLOOKUP(K49,'Listas de apoio'!$K$2:$K$5,'Listas de apoio'!$M$2:$M$5),0)</f>
        <v>0</v>
      </c>
      <c r="R49" s="248">
        <f>IFERROR(_xlfn.XLOOKUP(M49,'Listas de apoio'!$O$2:$O$5,'Listas de apoio'!$P$2:$P$5),0)</f>
        <v>0</v>
      </c>
      <c r="S49" s="248">
        <f>IFERROR(_xlfn.XLOOKUP(M49,'Listas de apoio'!$O$2:$O$5,'Listas de apoio'!$Q$2:$Q$5),0)</f>
        <v>0</v>
      </c>
      <c r="T49" s="248">
        <f t="shared" si="2"/>
        <v>0</v>
      </c>
      <c r="W49" s="244"/>
      <c r="Z49" s="244"/>
      <c r="AA49" s="245" t="str">
        <f>IFERROR(_xlfn.XLOOKUP(Z49,'Listas de apoio'!$K$2:$K$5,'Listas de apoio'!$N$2:$N$5),"")</f>
        <v/>
      </c>
      <c r="AB49" s="244"/>
      <c r="AC49" s="245" t="str">
        <f>IFERROR(_xlfn.XLOOKUP(AB49,'Listas de apoio'!$O$2:$O$5,'Listas de apoio'!$R$2:$R$5),"")</f>
        <v/>
      </c>
      <c r="AD49" s="246" t="str">
        <f>IFERROR(_xlfn.XLOOKUP((Z49*AB49),'Listas de apoio'!$S$2:$S$10,'Listas de apoio'!$T$2:$T$10),"")</f>
        <v/>
      </c>
      <c r="AE49" s="71" t="str">
        <f t="shared" si="3"/>
        <v/>
      </c>
      <c r="AF49" s="71" t="str">
        <f t="shared" si="4"/>
        <v/>
      </c>
      <c r="AG49" s="71" t="str">
        <f t="shared" si="5"/>
        <v/>
      </c>
      <c r="AH49" s="71" t="str">
        <f t="shared" si="6"/>
        <v/>
      </c>
      <c r="AI49" s="71" t="str">
        <f t="shared" si="7"/>
        <v/>
      </c>
      <c r="AJ49" s="247">
        <f>IFERROR(_xlfn.XLOOKUP(Z49,'Listas de apoio'!$K$2:$K$5,'Listas de apoio'!$L$2:$L$5),0)</f>
        <v>0</v>
      </c>
      <c r="AK49" s="247">
        <f>IFERROR(_xlfn.XLOOKUP(Z49,'Listas de apoio'!$K$2:$K$5,'Listas de apoio'!$M$2:$M$5),0)</f>
        <v>0</v>
      </c>
      <c r="AL49" s="248">
        <f>IFERROR(_xlfn.XLOOKUP(AB49,'Listas de apoio'!$O$2:$O$5,'Listas de apoio'!$P$2:$P$5),0)</f>
        <v>0</v>
      </c>
      <c r="AM49" s="248">
        <f>IFERROR(_xlfn.XLOOKUP(AB49,'Listas de apoio'!$O$2:$O$5,'Listas de apoio'!$Q$2:$Q$5),0)</f>
        <v>0</v>
      </c>
      <c r="AN49" s="248">
        <f t="shared" si="8"/>
        <v>0</v>
      </c>
      <c r="AU49" s="232">
        <f t="shared" ca="1" si="0"/>
        <v>0</v>
      </c>
      <c r="AV49" s="249">
        <f t="shared" ca="1" si="1"/>
        <v>0</v>
      </c>
    </row>
    <row r="50" spans="1:48" ht="24" customHeight="1">
      <c r="A50" s="243">
        <v>45</v>
      </c>
      <c r="B50" s="244"/>
      <c r="C50" s="244"/>
      <c r="H50" s="244"/>
      <c r="K50" s="244"/>
      <c r="L50" s="245" t="str">
        <f>IFERROR(_xlfn.XLOOKUP(K50,'Listas de apoio'!$K$2:$K$5,'Listas de apoio'!$N$2:$N$5),"")</f>
        <v/>
      </c>
      <c r="M50" s="244"/>
      <c r="N50" s="245" t="str">
        <f>IFERROR(_xlfn.XLOOKUP(M50,'Listas de apoio'!$O$2:$O$5,'Listas de apoio'!$R$2:$R$5),"")</f>
        <v/>
      </c>
      <c r="O50" s="246" t="str">
        <f>IFERROR(_xlfn.XLOOKUP((K50*M50),'Listas de apoio'!$S$2:$S$10,'Listas de apoio'!$T$2:$T$10),"")</f>
        <v/>
      </c>
      <c r="P50" s="247">
        <f>IFERROR(_xlfn.XLOOKUP(K50,'Listas de apoio'!$K$2:$K$5,'Listas de apoio'!$L$2:$L$5),0)</f>
        <v>0</v>
      </c>
      <c r="Q50" s="247">
        <f>IFERROR(_xlfn.XLOOKUP(K50,'Listas de apoio'!$K$2:$K$5,'Listas de apoio'!$M$2:$M$5),0)</f>
        <v>0</v>
      </c>
      <c r="R50" s="248">
        <f>IFERROR(_xlfn.XLOOKUP(M50,'Listas de apoio'!$O$2:$O$5,'Listas de apoio'!$P$2:$P$5),0)</f>
        <v>0</v>
      </c>
      <c r="S50" s="248">
        <f>IFERROR(_xlfn.XLOOKUP(M50,'Listas de apoio'!$O$2:$O$5,'Listas de apoio'!$Q$2:$Q$5),0)</f>
        <v>0</v>
      </c>
      <c r="T50" s="248">
        <f t="shared" si="2"/>
        <v>0</v>
      </c>
      <c r="W50" s="244"/>
      <c r="Z50" s="244"/>
      <c r="AA50" s="245" t="str">
        <f>IFERROR(_xlfn.XLOOKUP(Z50,'Listas de apoio'!$K$2:$K$5,'Listas de apoio'!$N$2:$N$5),"")</f>
        <v/>
      </c>
      <c r="AB50" s="244"/>
      <c r="AC50" s="245" t="str">
        <f>IFERROR(_xlfn.XLOOKUP(AB50,'Listas de apoio'!$O$2:$O$5,'Listas de apoio'!$R$2:$R$5),"")</f>
        <v/>
      </c>
      <c r="AD50" s="246" t="str">
        <f>IFERROR(_xlfn.XLOOKUP((Z50*AB50),'Listas de apoio'!$S$2:$S$10,'Listas de apoio'!$T$2:$T$10),"")</f>
        <v/>
      </c>
      <c r="AE50" s="71" t="str">
        <f t="shared" si="3"/>
        <v/>
      </c>
      <c r="AF50" s="71" t="str">
        <f t="shared" si="4"/>
        <v/>
      </c>
      <c r="AG50" s="71" t="str">
        <f t="shared" si="5"/>
        <v/>
      </c>
      <c r="AH50" s="71" t="str">
        <f t="shared" si="6"/>
        <v/>
      </c>
      <c r="AI50" s="71" t="str">
        <f t="shared" si="7"/>
        <v/>
      </c>
      <c r="AJ50" s="247">
        <f>IFERROR(_xlfn.XLOOKUP(Z50,'Listas de apoio'!$K$2:$K$5,'Listas de apoio'!$L$2:$L$5),0)</f>
        <v>0</v>
      </c>
      <c r="AK50" s="247">
        <f>IFERROR(_xlfn.XLOOKUP(Z50,'Listas de apoio'!$K$2:$K$5,'Listas de apoio'!$M$2:$M$5),0)</f>
        <v>0</v>
      </c>
      <c r="AL50" s="248">
        <f>IFERROR(_xlfn.XLOOKUP(AB50,'Listas de apoio'!$O$2:$O$5,'Listas de apoio'!$P$2:$P$5),0)</f>
        <v>0</v>
      </c>
      <c r="AM50" s="248">
        <f>IFERROR(_xlfn.XLOOKUP(AB50,'Listas de apoio'!$O$2:$O$5,'Listas de apoio'!$Q$2:$Q$5),0)</f>
        <v>0</v>
      </c>
      <c r="AN50" s="248">
        <f t="shared" si="8"/>
        <v>0</v>
      </c>
      <c r="AU50" s="232">
        <f t="shared" ca="1" si="0"/>
        <v>0</v>
      </c>
      <c r="AV50" s="249">
        <f t="shared" ca="1" si="1"/>
        <v>0</v>
      </c>
    </row>
    <row r="51" spans="1:48" ht="24" customHeight="1">
      <c r="A51" s="243">
        <v>46</v>
      </c>
      <c r="B51" s="244"/>
      <c r="C51" s="244"/>
      <c r="H51" s="244"/>
      <c r="K51" s="244"/>
      <c r="L51" s="245" t="str">
        <f>IFERROR(_xlfn.XLOOKUP(K51,'Listas de apoio'!$K$2:$K$5,'Listas de apoio'!$N$2:$N$5),"")</f>
        <v/>
      </c>
      <c r="M51" s="244"/>
      <c r="N51" s="245" t="str">
        <f>IFERROR(_xlfn.XLOOKUP(M51,'Listas de apoio'!$O$2:$O$5,'Listas de apoio'!$R$2:$R$5),"")</f>
        <v/>
      </c>
      <c r="O51" s="246" t="str">
        <f>IFERROR(_xlfn.XLOOKUP((K51*M51),'Listas de apoio'!$S$2:$S$10,'Listas de apoio'!$T$2:$T$10),"")</f>
        <v/>
      </c>
      <c r="P51" s="247">
        <f>IFERROR(_xlfn.XLOOKUP(K51,'Listas de apoio'!$K$2:$K$5,'Listas de apoio'!$L$2:$L$5),0)</f>
        <v>0</v>
      </c>
      <c r="Q51" s="247">
        <f>IFERROR(_xlfn.XLOOKUP(K51,'Listas de apoio'!$K$2:$K$5,'Listas de apoio'!$M$2:$M$5),0)</f>
        <v>0</v>
      </c>
      <c r="R51" s="248">
        <f>IFERROR(_xlfn.XLOOKUP(M51,'Listas de apoio'!$O$2:$O$5,'Listas de apoio'!$P$2:$P$5),0)</f>
        <v>0</v>
      </c>
      <c r="S51" s="248">
        <f>IFERROR(_xlfn.XLOOKUP(M51,'Listas de apoio'!$O$2:$O$5,'Listas de apoio'!$Q$2:$Q$5),0)</f>
        <v>0</v>
      </c>
      <c r="T51" s="248">
        <f t="shared" si="2"/>
        <v>0</v>
      </c>
      <c r="W51" s="244"/>
      <c r="Z51" s="244"/>
      <c r="AA51" s="245" t="str">
        <f>IFERROR(_xlfn.XLOOKUP(Z51,'Listas de apoio'!$K$2:$K$5,'Listas de apoio'!$N$2:$N$5),"")</f>
        <v/>
      </c>
      <c r="AB51" s="244"/>
      <c r="AC51" s="245" t="str">
        <f>IFERROR(_xlfn.XLOOKUP(AB51,'Listas de apoio'!$O$2:$O$5,'Listas de apoio'!$R$2:$R$5),"")</f>
        <v/>
      </c>
      <c r="AD51" s="246" t="str">
        <f>IFERROR(_xlfn.XLOOKUP((Z51*AB51),'Listas de apoio'!$S$2:$S$10,'Listas de apoio'!$T$2:$T$10),"")</f>
        <v/>
      </c>
      <c r="AE51" s="71" t="str">
        <f t="shared" si="3"/>
        <v/>
      </c>
      <c r="AF51" s="71" t="str">
        <f t="shared" si="4"/>
        <v/>
      </c>
      <c r="AG51" s="71" t="str">
        <f t="shared" si="5"/>
        <v/>
      </c>
      <c r="AH51" s="71" t="str">
        <f t="shared" si="6"/>
        <v/>
      </c>
      <c r="AI51" s="71" t="str">
        <f t="shared" si="7"/>
        <v/>
      </c>
      <c r="AJ51" s="247">
        <f>IFERROR(_xlfn.XLOOKUP(Z51,'Listas de apoio'!$K$2:$K$5,'Listas de apoio'!$L$2:$L$5),0)</f>
        <v>0</v>
      </c>
      <c r="AK51" s="247">
        <f>IFERROR(_xlfn.XLOOKUP(Z51,'Listas de apoio'!$K$2:$K$5,'Listas de apoio'!$M$2:$M$5),0)</f>
        <v>0</v>
      </c>
      <c r="AL51" s="248">
        <f>IFERROR(_xlfn.XLOOKUP(AB51,'Listas de apoio'!$O$2:$O$5,'Listas de apoio'!$P$2:$P$5),0)</f>
        <v>0</v>
      </c>
      <c r="AM51" s="248">
        <f>IFERROR(_xlfn.XLOOKUP(AB51,'Listas de apoio'!$O$2:$O$5,'Listas de apoio'!$Q$2:$Q$5),0)</f>
        <v>0</v>
      </c>
      <c r="AN51" s="248">
        <f t="shared" si="8"/>
        <v>0</v>
      </c>
      <c r="AU51" s="232">
        <f t="shared" ca="1" si="0"/>
        <v>0</v>
      </c>
      <c r="AV51" s="249">
        <f t="shared" ca="1" si="1"/>
        <v>0</v>
      </c>
    </row>
    <row r="52" spans="1:48" ht="24" customHeight="1">
      <c r="A52" s="243">
        <v>47</v>
      </c>
      <c r="B52" s="244"/>
      <c r="C52" s="244"/>
      <c r="H52" s="244"/>
      <c r="K52" s="244"/>
      <c r="L52" s="245" t="str">
        <f>IFERROR(_xlfn.XLOOKUP(K52,'Listas de apoio'!$K$2:$K$5,'Listas de apoio'!$N$2:$N$5),"")</f>
        <v/>
      </c>
      <c r="M52" s="244"/>
      <c r="N52" s="245" t="str">
        <f>IFERROR(_xlfn.XLOOKUP(M52,'Listas de apoio'!$O$2:$O$5,'Listas de apoio'!$R$2:$R$5),"")</f>
        <v/>
      </c>
      <c r="O52" s="246" t="str">
        <f>IFERROR(_xlfn.XLOOKUP((K52*M52),'Listas de apoio'!$S$2:$S$10,'Listas de apoio'!$T$2:$T$10),"")</f>
        <v/>
      </c>
      <c r="P52" s="247">
        <f>IFERROR(_xlfn.XLOOKUP(K52,'Listas de apoio'!$K$2:$K$5,'Listas de apoio'!$L$2:$L$5),0)</f>
        <v>0</v>
      </c>
      <c r="Q52" s="247">
        <f>IFERROR(_xlfn.XLOOKUP(K52,'Listas de apoio'!$K$2:$K$5,'Listas de apoio'!$M$2:$M$5),0)</f>
        <v>0</v>
      </c>
      <c r="R52" s="248">
        <f>IFERROR(_xlfn.XLOOKUP(M52,'Listas de apoio'!$O$2:$O$5,'Listas de apoio'!$P$2:$P$5),0)</f>
        <v>0</v>
      </c>
      <c r="S52" s="248">
        <f>IFERROR(_xlfn.XLOOKUP(M52,'Listas de apoio'!$O$2:$O$5,'Listas de apoio'!$Q$2:$Q$5),0)</f>
        <v>0</v>
      </c>
      <c r="T52" s="248">
        <f t="shared" si="2"/>
        <v>0</v>
      </c>
      <c r="W52" s="244"/>
      <c r="Z52" s="244"/>
      <c r="AA52" s="245" t="str">
        <f>IFERROR(_xlfn.XLOOKUP(Z52,'Listas de apoio'!$K$2:$K$5,'Listas de apoio'!$N$2:$N$5),"")</f>
        <v/>
      </c>
      <c r="AB52" s="244"/>
      <c r="AC52" s="245" t="str">
        <f>IFERROR(_xlfn.XLOOKUP(AB52,'Listas de apoio'!$O$2:$O$5,'Listas de apoio'!$R$2:$R$5),"")</f>
        <v/>
      </c>
      <c r="AD52" s="246" t="str">
        <f>IFERROR(_xlfn.XLOOKUP((Z52*AB52),'Listas de apoio'!$S$2:$S$10,'Listas de apoio'!$T$2:$T$10),"")</f>
        <v/>
      </c>
      <c r="AE52" s="71" t="str">
        <f t="shared" si="3"/>
        <v/>
      </c>
      <c r="AF52" s="71" t="str">
        <f t="shared" si="4"/>
        <v/>
      </c>
      <c r="AG52" s="71" t="str">
        <f t="shared" si="5"/>
        <v/>
      </c>
      <c r="AH52" s="71" t="str">
        <f t="shared" si="6"/>
        <v/>
      </c>
      <c r="AI52" s="71" t="str">
        <f t="shared" si="7"/>
        <v/>
      </c>
      <c r="AJ52" s="247">
        <f>IFERROR(_xlfn.XLOOKUP(Z52,'Listas de apoio'!$K$2:$K$5,'Listas de apoio'!$L$2:$L$5),0)</f>
        <v>0</v>
      </c>
      <c r="AK52" s="247">
        <f>IFERROR(_xlfn.XLOOKUP(Z52,'Listas de apoio'!$K$2:$K$5,'Listas de apoio'!$M$2:$M$5),0)</f>
        <v>0</v>
      </c>
      <c r="AL52" s="248">
        <f>IFERROR(_xlfn.XLOOKUP(AB52,'Listas de apoio'!$O$2:$O$5,'Listas de apoio'!$P$2:$P$5),0)</f>
        <v>0</v>
      </c>
      <c r="AM52" s="248">
        <f>IFERROR(_xlfn.XLOOKUP(AB52,'Listas de apoio'!$O$2:$O$5,'Listas de apoio'!$Q$2:$Q$5),0)</f>
        <v>0</v>
      </c>
      <c r="AN52" s="248">
        <f t="shared" si="8"/>
        <v>0</v>
      </c>
      <c r="AU52" s="232">
        <f t="shared" ca="1" si="0"/>
        <v>0</v>
      </c>
      <c r="AV52" s="249">
        <f t="shared" ca="1" si="1"/>
        <v>0</v>
      </c>
    </row>
    <row r="53" spans="1:48" ht="24" customHeight="1">
      <c r="A53" s="243">
        <v>48</v>
      </c>
      <c r="B53" s="244"/>
      <c r="C53" s="244"/>
      <c r="H53" s="244"/>
      <c r="K53" s="244"/>
      <c r="L53" s="245" t="str">
        <f>IFERROR(_xlfn.XLOOKUP(K53,'Listas de apoio'!$K$2:$K$5,'Listas de apoio'!$N$2:$N$5),"")</f>
        <v/>
      </c>
      <c r="M53" s="244"/>
      <c r="N53" s="245" t="str">
        <f>IFERROR(_xlfn.XLOOKUP(M53,'Listas de apoio'!$O$2:$O$5,'Listas de apoio'!$R$2:$R$5),"")</f>
        <v/>
      </c>
      <c r="O53" s="246" t="str">
        <f>IFERROR(_xlfn.XLOOKUP((K53*M53),'Listas de apoio'!$S$2:$S$10,'Listas de apoio'!$T$2:$T$10),"")</f>
        <v/>
      </c>
      <c r="P53" s="247">
        <f>IFERROR(_xlfn.XLOOKUP(K53,'Listas de apoio'!$K$2:$K$5,'Listas de apoio'!$L$2:$L$5),0)</f>
        <v>0</v>
      </c>
      <c r="Q53" s="247">
        <f>IFERROR(_xlfn.XLOOKUP(K53,'Listas de apoio'!$K$2:$K$5,'Listas de apoio'!$M$2:$M$5),0)</f>
        <v>0</v>
      </c>
      <c r="R53" s="248">
        <f>IFERROR(_xlfn.XLOOKUP(M53,'Listas de apoio'!$O$2:$O$5,'Listas de apoio'!$P$2:$P$5),0)</f>
        <v>0</v>
      </c>
      <c r="S53" s="248">
        <f>IFERROR(_xlfn.XLOOKUP(M53,'Listas de apoio'!$O$2:$O$5,'Listas de apoio'!$Q$2:$Q$5),0)</f>
        <v>0</v>
      </c>
      <c r="T53" s="248">
        <f t="shared" si="2"/>
        <v>0</v>
      </c>
      <c r="W53" s="244"/>
      <c r="Z53" s="244"/>
      <c r="AA53" s="245" t="str">
        <f>IFERROR(_xlfn.XLOOKUP(Z53,'Listas de apoio'!$K$2:$K$5,'Listas de apoio'!$N$2:$N$5),"")</f>
        <v/>
      </c>
      <c r="AB53" s="244"/>
      <c r="AC53" s="245" t="str">
        <f>IFERROR(_xlfn.XLOOKUP(AB53,'Listas de apoio'!$O$2:$O$5,'Listas de apoio'!$R$2:$R$5),"")</f>
        <v/>
      </c>
      <c r="AD53" s="246" t="str">
        <f>IFERROR(_xlfn.XLOOKUP((Z53*AB53),'Listas de apoio'!$S$2:$S$10,'Listas de apoio'!$T$2:$T$10),"")</f>
        <v/>
      </c>
      <c r="AE53" s="71" t="str">
        <f t="shared" si="3"/>
        <v/>
      </c>
      <c r="AF53" s="71" t="str">
        <f t="shared" si="4"/>
        <v/>
      </c>
      <c r="AG53" s="71" t="str">
        <f t="shared" si="5"/>
        <v/>
      </c>
      <c r="AH53" s="71" t="str">
        <f t="shared" si="6"/>
        <v/>
      </c>
      <c r="AI53" s="71" t="str">
        <f t="shared" si="7"/>
        <v/>
      </c>
      <c r="AJ53" s="247">
        <f>IFERROR(_xlfn.XLOOKUP(Z53,'Listas de apoio'!$K$2:$K$5,'Listas de apoio'!$L$2:$L$5),0)</f>
        <v>0</v>
      </c>
      <c r="AK53" s="247">
        <f>IFERROR(_xlfn.XLOOKUP(Z53,'Listas de apoio'!$K$2:$K$5,'Listas de apoio'!$M$2:$M$5),0)</f>
        <v>0</v>
      </c>
      <c r="AL53" s="248">
        <f>IFERROR(_xlfn.XLOOKUP(AB53,'Listas de apoio'!$O$2:$O$5,'Listas de apoio'!$P$2:$P$5),0)</f>
        <v>0</v>
      </c>
      <c r="AM53" s="248">
        <f>IFERROR(_xlfn.XLOOKUP(AB53,'Listas de apoio'!$O$2:$O$5,'Listas de apoio'!$Q$2:$Q$5),0)</f>
        <v>0</v>
      </c>
      <c r="AN53" s="248">
        <f t="shared" si="8"/>
        <v>0</v>
      </c>
      <c r="AU53" s="232">
        <f t="shared" ca="1" si="0"/>
        <v>0</v>
      </c>
      <c r="AV53" s="249">
        <f t="shared" ca="1" si="1"/>
        <v>0</v>
      </c>
    </row>
    <row r="54" spans="1:48" ht="24" customHeight="1">
      <c r="A54" s="243">
        <v>49</v>
      </c>
      <c r="B54" s="244"/>
      <c r="C54" s="244"/>
      <c r="H54" s="244"/>
      <c r="K54" s="244"/>
      <c r="L54" s="245" t="str">
        <f>IFERROR(_xlfn.XLOOKUP(K54,'Listas de apoio'!$K$2:$K$5,'Listas de apoio'!$N$2:$N$5),"")</f>
        <v/>
      </c>
      <c r="M54" s="244"/>
      <c r="N54" s="245" t="str">
        <f>IFERROR(_xlfn.XLOOKUP(M54,'Listas de apoio'!$O$2:$O$5,'Listas de apoio'!$R$2:$R$5),"")</f>
        <v/>
      </c>
      <c r="O54" s="246" t="str">
        <f>IFERROR(_xlfn.XLOOKUP((K54*M54),'Listas de apoio'!$S$2:$S$10,'Listas de apoio'!$T$2:$T$10),"")</f>
        <v/>
      </c>
      <c r="P54" s="247">
        <f>IFERROR(_xlfn.XLOOKUP(K54,'Listas de apoio'!$K$2:$K$5,'Listas de apoio'!$L$2:$L$5),0)</f>
        <v>0</v>
      </c>
      <c r="Q54" s="247">
        <f>IFERROR(_xlfn.XLOOKUP(K54,'Listas de apoio'!$K$2:$K$5,'Listas de apoio'!$M$2:$M$5),0)</f>
        <v>0</v>
      </c>
      <c r="R54" s="248">
        <f>IFERROR(_xlfn.XLOOKUP(M54,'Listas de apoio'!$O$2:$O$5,'Listas de apoio'!$P$2:$P$5),0)</f>
        <v>0</v>
      </c>
      <c r="S54" s="248">
        <f>IFERROR(_xlfn.XLOOKUP(M54,'Listas de apoio'!$O$2:$O$5,'Listas de apoio'!$Q$2:$Q$5),0)</f>
        <v>0</v>
      </c>
      <c r="T54" s="248">
        <f t="shared" si="2"/>
        <v>0</v>
      </c>
      <c r="W54" s="244"/>
      <c r="Z54" s="244"/>
      <c r="AA54" s="245" t="str">
        <f>IFERROR(_xlfn.XLOOKUP(Z54,'Listas de apoio'!$K$2:$K$5,'Listas de apoio'!$N$2:$N$5),"")</f>
        <v/>
      </c>
      <c r="AB54" s="244"/>
      <c r="AC54" s="245" t="str">
        <f>IFERROR(_xlfn.XLOOKUP(AB54,'Listas de apoio'!$O$2:$O$5,'Listas de apoio'!$R$2:$R$5),"")</f>
        <v/>
      </c>
      <c r="AD54" s="246" t="str">
        <f>IFERROR(_xlfn.XLOOKUP((Z54*AB54),'Listas de apoio'!$S$2:$S$10,'Listas de apoio'!$T$2:$T$10),"")</f>
        <v/>
      </c>
      <c r="AE54" s="71" t="str">
        <f t="shared" si="3"/>
        <v/>
      </c>
      <c r="AF54" s="71" t="str">
        <f t="shared" si="4"/>
        <v/>
      </c>
      <c r="AG54" s="71" t="str">
        <f t="shared" si="5"/>
        <v/>
      </c>
      <c r="AH54" s="71" t="str">
        <f t="shared" si="6"/>
        <v/>
      </c>
      <c r="AI54" s="71" t="str">
        <f t="shared" si="7"/>
        <v/>
      </c>
      <c r="AJ54" s="247">
        <f>IFERROR(_xlfn.XLOOKUP(Z54,'Listas de apoio'!$K$2:$K$5,'Listas de apoio'!$L$2:$L$5),0)</f>
        <v>0</v>
      </c>
      <c r="AK54" s="247">
        <f>IFERROR(_xlfn.XLOOKUP(Z54,'Listas de apoio'!$K$2:$K$5,'Listas de apoio'!$M$2:$M$5),0)</f>
        <v>0</v>
      </c>
      <c r="AL54" s="248">
        <f>IFERROR(_xlfn.XLOOKUP(AB54,'Listas de apoio'!$O$2:$O$5,'Listas de apoio'!$P$2:$P$5),0)</f>
        <v>0</v>
      </c>
      <c r="AM54" s="248">
        <f>IFERROR(_xlfn.XLOOKUP(AB54,'Listas de apoio'!$O$2:$O$5,'Listas de apoio'!$Q$2:$Q$5),0)</f>
        <v>0</v>
      </c>
      <c r="AN54" s="248">
        <f t="shared" si="8"/>
        <v>0</v>
      </c>
      <c r="AU54" s="232">
        <f t="shared" ca="1" si="0"/>
        <v>0</v>
      </c>
      <c r="AV54" s="249">
        <f t="shared" ca="1" si="1"/>
        <v>0</v>
      </c>
    </row>
    <row r="55" spans="1:48" ht="24" customHeight="1">
      <c r="A55" s="243">
        <v>50</v>
      </c>
      <c r="B55" s="244"/>
      <c r="C55" s="244"/>
      <c r="H55" s="244"/>
      <c r="K55" s="244"/>
      <c r="L55" s="245" t="str">
        <f>IFERROR(_xlfn.XLOOKUP(K55,'Listas de apoio'!$K$2:$K$5,'Listas de apoio'!$N$2:$N$5),"")</f>
        <v/>
      </c>
      <c r="M55" s="244"/>
      <c r="N55" s="245" t="str">
        <f>IFERROR(_xlfn.XLOOKUP(M55,'Listas de apoio'!$O$2:$O$5,'Listas de apoio'!$R$2:$R$5),"")</f>
        <v/>
      </c>
      <c r="O55" s="246" t="str">
        <f>IFERROR(_xlfn.XLOOKUP((K55*M55),'Listas de apoio'!$S$2:$S$10,'Listas de apoio'!$T$2:$T$10),"")</f>
        <v/>
      </c>
      <c r="P55" s="247">
        <f>IFERROR(_xlfn.XLOOKUP(K55,'Listas de apoio'!$K$2:$K$5,'Listas de apoio'!$L$2:$L$5),0)</f>
        <v>0</v>
      </c>
      <c r="Q55" s="247">
        <f>IFERROR(_xlfn.XLOOKUP(K55,'Listas de apoio'!$K$2:$K$5,'Listas de apoio'!$M$2:$M$5),0)</f>
        <v>0</v>
      </c>
      <c r="R55" s="248">
        <f>IFERROR(_xlfn.XLOOKUP(M55,'Listas de apoio'!$O$2:$O$5,'Listas de apoio'!$P$2:$P$5),0)</f>
        <v>0</v>
      </c>
      <c r="S55" s="248">
        <f>IFERROR(_xlfn.XLOOKUP(M55,'Listas de apoio'!$O$2:$O$5,'Listas de apoio'!$Q$2:$Q$5),0)</f>
        <v>0</v>
      </c>
      <c r="T55" s="248">
        <f t="shared" si="2"/>
        <v>0</v>
      </c>
      <c r="W55" s="244"/>
      <c r="Z55" s="244"/>
      <c r="AA55" s="245" t="str">
        <f>IFERROR(_xlfn.XLOOKUP(Z55,'Listas de apoio'!$K$2:$K$5,'Listas de apoio'!$N$2:$N$5),"")</f>
        <v/>
      </c>
      <c r="AB55" s="244"/>
      <c r="AC55" s="245" t="str">
        <f>IFERROR(_xlfn.XLOOKUP(AB55,'Listas de apoio'!$O$2:$O$5,'Listas de apoio'!$R$2:$R$5),"")</f>
        <v/>
      </c>
      <c r="AD55" s="246" t="str">
        <f>IFERROR(_xlfn.XLOOKUP((Z55*AB55),'Listas de apoio'!$S$2:$S$10,'Listas de apoio'!$T$2:$T$10),"")</f>
        <v/>
      </c>
      <c r="AE55" s="71" t="str">
        <f t="shared" si="3"/>
        <v/>
      </c>
      <c r="AF55" s="71" t="str">
        <f t="shared" si="4"/>
        <v/>
      </c>
      <c r="AG55" s="71" t="str">
        <f t="shared" si="5"/>
        <v/>
      </c>
      <c r="AH55" s="71" t="str">
        <f t="shared" si="6"/>
        <v/>
      </c>
      <c r="AI55" s="71" t="str">
        <f t="shared" si="7"/>
        <v/>
      </c>
      <c r="AJ55" s="247">
        <f>IFERROR(_xlfn.XLOOKUP(Z55,'Listas de apoio'!$K$2:$K$5,'Listas de apoio'!$L$2:$L$5),0)</f>
        <v>0</v>
      </c>
      <c r="AK55" s="247">
        <f>IFERROR(_xlfn.XLOOKUP(Z55,'Listas de apoio'!$K$2:$K$5,'Listas de apoio'!$M$2:$M$5),0)</f>
        <v>0</v>
      </c>
      <c r="AL55" s="248">
        <f>IFERROR(_xlfn.XLOOKUP(AB55,'Listas de apoio'!$O$2:$O$5,'Listas de apoio'!$P$2:$P$5),0)</f>
        <v>0</v>
      </c>
      <c r="AM55" s="248">
        <f>IFERROR(_xlfn.XLOOKUP(AB55,'Listas de apoio'!$O$2:$O$5,'Listas de apoio'!$Q$2:$Q$5),0)</f>
        <v>0</v>
      </c>
      <c r="AN55" s="248">
        <f t="shared" si="8"/>
        <v>0</v>
      </c>
      <c r="AU55" s="232">
        <f t="shared" ca="1" si="0"/>
        <v>0</v>
      </c>
      <c r="AV55" s="249">
        <f t="shared" ca="1" si="1"/>
        <v>0</v>
      </c>
    </row>
  </sheetData>
  <mergeCells count="13">
    <mergeCell ref="A2:A4"/>
    <mergeCell ref="J2:J4"/>
    <mergeCell ref="B2:H2"/>
    <mergeCell ref="K2:O2"/>
    <mergeCell ref="V2:V4"/>
    <mergeCell ref="K3:O3"/>
    <mergeCell ref="W2:AD2"/>
    <mergeCell ref="AP2:AP4"/>
    <mergeCell ref="AQ2:AT2"/>
    <mergeCell ref="P2:T2"/>
    <mergeCell ref="AE2:AN2"/>
    <mergeCell ref="AE4:AI4"/>
    <mergeCell ref="Z3:AD3"/>
  </mergeCells>
  <conditionalFormatting sqref="AU6:AU55">
    <cfRule type="cellIs" dxfId="14" priority="1" operator="lessThan">
      <formula>0</formula>
    </cfRule>
  </conditionalFormatting>
  <dataValidations count="1">
    <dataValidation type="list" allowBlank="1" sqref="W6:W55" xr:uid="{30ACE6B3-8FA1-4A0D-BEE3-43589784231F}">
      <formula1>$AE6:$AI6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9CC1744C-51B6-494A-8429-49561C54C81B}">
          <x14:formula1>
            <xm:f>'Listas de apoio'!$H$2:$H$3</xm:f>
          </x14:formula1>
          <xm:sqref>B6:B55</xm:sqref>
        </x14:dataValidation>
        <x14:dataValidation type="list" allowBlank="1" xr:uid="{827340FC-86C7-4DB0-9D7D-9DB9F423F4D8}">
          <x14:formula1>
            <xm:f>'Listas de apoio'!$I$2:$I$16</xm:f>
          </x14:formula1>
          <xm:sqref>C6:C55</xm:sqref>
        </x14:dataValidation>
        <x14:dataValidation type="list" allowBlank="1" xr:uid="{0DECBBC6-F00F-4675-B4DA-AB05DD10EE10}">
          <x14:formula1>
            <xm:f>'Listas de apoio'!$J$2:$J$9</xm:f>
          </x14:formula1>
          <xm:sqref>H6:H55</xm:sqref>
        </x14:dataValidation>
        <x14:dataValidation type="list" allowBlank="1" xr:uid="{1CE34629-6476-485F-8735-2E6BD94CBEE1}">
          <x14:formula1>
            <xm:f>'Listas de apoio'!$K$2:$K$5</xm:f>
          </x14:formula1>
          <xm:sqref>K6:K55 Z6:Z55</xm:sqref>
        </x14:dataValidation>
        <x14:dataValidation type="list" allowBlank="1" xr:uid="{A7BF0E48-E786-422B-AF2D-7F7470AAE6A5}">
          <x14:formula1>
            <xm:f>'Listas de apoio'!$O$2:$O$5</xm:f>
          </x14:formula1>
          <xm:sqref>M6:M55 AB6:AB55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0B08-2FFC-4CCF-84AB-668DFE79C257}">
  <sheetPr codeName="Planilha11">
    <tabColor rgb="FF92D050"/>
    <outlinePr summaryBelow="0" summaryRight="0"/>
  </sheetPr>
  <dimension ref="A1:BP107"/>
  <sheetViews>
    <sheetView showGridLines="0" zoomScale="85" zoomScaleNormal="85" workbookViewId="0">
      <selection activeCell="E40" sqref="E40"/>
    </sheetView>
  </sheetViews>
  <sheetFormatPr defaultColWidth="8.85546875" defaultRowHeight="12" customHeight="1" outlineLevelRow="2"/>
  <cols>
    <col min="1" max="1" width="1.85546875" style="258" customWidth="1"/>
    <col min="2" max="2" width="37.140625" style="227" bestFit="1" customWidth="1"/>
    <col min="3" max="3" width="10.85546875" style="210" customWidth="1"/>
    <col min="4" max="4" width="0.85546875" style="210" customWidth="1"/>
    <col min="5" max="5" width="10.85546875" style="71" customWidth="1"/>
    <col min="6" max="68" width="10.85546875" style="210" customWidth="1"/>
    <col min="69" max="16384" width="8.85546875" style="210"/>
  </cols>
  <sheetData>
    <row r="1" spans="2:68" ht="12" customHeight="1">
      <c r="B1" s="251" t="s">
        <v>1092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</row>
    <row r="2" spans="2:68" ht="12" customHeight="1">
      <c r="E2" s="65">
        <f>IF(E35&lt;=Dashboard!$D$14,IF(OR(E35=12,E35=24,E35=36,E35=48,E35=60,E35=Dashboard!$D$14),12,0),0)</f>
        <v>0</v>
      </c>
      <c r="F2" s="65">
        <f>IF(F35&lt;=Dashboard!$D$14,IF(OR(F35=12,F35=24,F35=36,F35=48,F35=60,F35=Dashboard!$D$14),1,0),0)</f>
        <v>0</v>
      </c>
      <c r="G2" s="65">
        <f>IF(G35&lt;=Dashboard!$D$14,IF(OR(G35=12,G35=24,G35=36,G35=48,G35=60,G35=Dashboard!$D$14),1,0),0)</f>
        <v>0</v>
      </c>
      <c r="H2" s="65">
        <f>IF(H35&lt;=Dashboard!$D$14,IF(OR(H35=12,H35=24,H35=36,H35=48,H35=60,H35=Dashboard!$D$14),1,0),0)</f>
        <v>0</v>
      </c>
      <c r="I2" s="65">
        <f>IF(I35&lt;=Dashboard!$D$14,IF(OR(I35=12,I35=24,I35=36,I35=48,I35=60,I35=Dashboard!$D$14),1,0),0)</f>
        <v>0</v>
      </c>
      <c r="J2" s="65">
        <f>IF(J35&lt;=Dashboard!$D$14,IF(OR(J35=12,J35=24,J35=36,J35=48,J35=60,J35=Dashboard!$D$14),1,0),0)</f>
        <v>0</v>
      </c>
      <c r="K2" s="65">
        <f>IF(K35&lt;=Dashboard!$D$14,IF(OR(K35=12,K35=24,K35=36,K35=48,K35=60,K35=Dashboard!$D$14),1,0),0)</f>
        <v>0</v>
      </c>
      <c r="L2" s="65">
        <f>IF(L35&lt;=Dashboard!$D$14,IF(OR(L35=12,L35=24,L35=36,L35=48,L35=60,L35=Dashboard!$D$14),1,0),0)</f>
        <v>0</v>
      </c>
      <c r="M2" s="65">
        <f>IF(M35&lt;=Dashboard!$D$14,IF(OR(M35=12,M35=24,M35=36,M35=48,M35=60,M35=Dashboard!$D$14),1,0),0)</f>
        <v>0</v>
      </c>
      <c r="N2" s="65">
        <f>IF(N35&lt;=Dashboard!$D$14,IF(OR(N35=12,N35=24,N35=36,N35=48,N35=60,N35=Dashboard!$D$14),1,0),0)</f>
        <v>1</v>
      </c>
      <c r="O2" s="65">
        <f>IF(O35&lt;=Dashboard!$D$14,IF(OR(O35=12,O35=24,O35=36,O35=48,O35=60,O35=Dashboard!$D$14),1,0),0)</f>
        <v>0</v>
      </c>
      <c r="P2" s="65">
        <f>IF(P35&lt;=Dashboard!$D$14,IF(OR(P35=12,P35=24,P35=36,P35=48,P35=60,P35=Dashboard!$D$14),1,0),0)</f>
        <v>0</v>
      </c>
      <c r="Q2" s="65">
        <f>IF(Q35&lt;=Dashboard!$D$14,IF(OR(Q35=12,Q35=24,Q35=36,Q35=48,Q35=60,Q35=Dashboard!$D$14),1,0),0)</f>
        <v>0</v>
      </c>
      <c r="R2" s="65">
        <f>IF(R35&lt;=Dashboard!$D$14,IF(OR(R35=12,R35=24,R35=36,R35=48,R35=60,R35=Dashboard!$D$14),1,0),0)</f>
        <v>0</v>
      </c>
      <c r="S2" s="65">
        <f>IF(S35&lt;=Dashboard!$D$14,IF(OR(S35=12,S35=24,S35=36,S35=48,S35=60,S35=Dashboard!$D$14),1,0),0)</f>
        <v>0</v>
      </c>
      <c r="T2" s="65">
        <f>IF(T35&lt;=Dashboard!$D$14,IF(OR(T35=12,T35=24,T35=36,T35=48,T35=60,T35=Dashboard!$D$14),1,0),0)</f>
        <v>0</v>
      </c>
      <c r="U2" s="65">
        <f>IF(U35&lt;=Dashboard!$D$14,IF(OR(U35=12,U35=24,U35=36,U35=48,U35=60,U35=Dashboard!$D$14),1,0),0)</f>
        <v>0</v>
      </c>
      <c r="V2" s="65">
        <f>IF(V35&lt;=Dashboard!$D$14,IF(OR(V35=12,V35=24,V35=36,V35=48,V35=60,V35=Dashboard!$D$14),1,0),0)</f>
        <v>0</v>
      </c>
      <c r="W2" s="65">
        <f>IF(W35&lt;=Dashboard!$D$14,IF(OR(W35=12,W35=24,W35=36,W35=48,W35=60,W35=Dashboard!$D$14),1,0),0)</f>
        <v>0</v>
      </c>
      <c r="X2" s="65">
        <f>IF(X35&lt;=Dashboard!$D$14,IF(OR(X35=12,X35=24,X35=36,X35=48,X35=60,X35=Dashboard!$D$14),1,0),0)</f>
        <v>0</v>
      </c>
      <c r="Y2" s="65">
        <f>IF(Y35&lt;=Dashboard!$D$14,IF(OR(Y35=12,Y35=24,Y35=36,Y35=48,Y35=60,Y35=Dashboard!$D$14),1,0),0)</f>
        <v>0</v>
      </c>
      <c r="Z2" s="65">
        <f>IF(Z35&lt;=Dashboard!$D$14,IF(OR(Z35=12,Z35=24,Z35=36,Z35=48,Z35=60,Z35=Dashboard!$D$14),1,0),0)</f>
        <v>0</v>
      </c>
      <c r="AA2" s="65">
        <f>IF(AA35&lt;=Dashboard!$D$14,IF(OR(AA35=12,AA35=24,AA35=36,AA35=48,AA35=60,AA35=Dashboard!$D$14),1,0),0)</f>
        <v>0</v>
      </c>
      <c r="AB2" s="65">
        <f>IF(AB35&lt;=Dashboard!$D$14,IF(OR(AB35=12,AB35=24,AB35=36,AB35=48,AB35=60,AB35=Dashboard!$D$14),1,0),0)</f>
        <v>0</v>
      </c>
      <c r="AC2" s="65">
        <f>IF(AC35&lt;=Dashboard!$D$14,IF(OR(AC35=12,AC35=24,AC35=36,AC35=48,AC35=60,AC35=Dashboard!$D$14),1,0),0)</f>
        <v>0</v>
      </c>
      <c r="AD2" s="65">
        <f>IF(AD35&lt;=Dashboard!$D$14,IF(OR(AD35=12,AD35=24,AD35=36,AD35=48,AD35=60,AD35=Dashboard!$D$14),1,0),0)</f>
        <v>0</v>
      </c>
      <c r="AE2" s="65">
        <f>IF(AE35&lt;=Dashboard!$D$14,IF(OR(AE35=12,AE35=24,AE35=36,AE35=48,AE35=60,AE35=Dashboard!$D$14),1,0),0)</f>
        <v>0</v>
      </c>
      <c r="AF2" s="65">
        <f>IF(AF35&lt;=Dashboard!$D$14,IF(OR(AF35=12,AF35=24,AF35=36,AF35=48,AF35=60,AF35=Dashboard!$D$14),1,0),0)</f>
        <v>0</v>
      </c>
      <c r="AG2" s="65">
        <f>IF(AG35&lt;=Dashboard!$D$14,IF(OR(AG35=12,AG35=24,AG35=36,AG35=48,AG35=60,AG35=Dashboard!$D$14),1,0),0)</f>
        <v>0</v>
      </c>
      <c r="AH2" s="65">
        <f>IF(AH35&lt;=Dashboard!$D$14,IF(OR(AH35=12,AH35=24,AH35=36,AH35=48,AH35=60,AH35=Dashboard!$D$14),1,0),0)</f>
        <v>0</v>
      </c>
      <c r="AI2" s="65">
        <f>IF(AI35&lt;=Dashboard!$D$14,IF(OR(AI35=12,AI35=24,AI35=36,AI35=48,AI35=60,AI35=Dashboard!$D$14),1,0),0)</f>
        <v>0</v>
      </c>
      <c r="AJ2" s="65">
        <f>IF(AJ35&lt;=Dashboard!$D$14,IF(OR(AJ35=12,AJ35=24,AJ35=36,AJ35=48,AJ35=60,AJ35=Dashboard!$D$14),1,0),0)</f>
        <v>0</v>
      </c>
      <c r="AK2" s="65">
        <f>IF(AK35&lt;=Dashboard!$D$14,IF(OR(AK35=12,AK35=24,AK35=36,AK35=48,AK35=60,AK35=Dashboard!$D$14),1,0),0)</f>
        <v>0</v>
      </c>
      <c r="AL2" s="65">
        <f>IF(AL35&lt;=Dashboard!$D$14,IF(OR(AL35=12,AL35=24,AL35=36,AL35=48,AL35=60,AL35=Dashboard!$D$14),1,0),0)</f>
        <v>0</v>
      </c>
      <c r="AM2" s="65">
        <f>IF(AM35&lt;=Dashboard!$D$14,IF(OR(AM35=12,AM35=24,AM35=36,AM35=48,AM35=60,AM35=Dashboard!$D$14),1,0),0)</f>
        <v>0</v>
      </c>
      <c r="AN2" s="65">
        <f>IF(AN35&lt;=Dashboard!$D$14,IF(OR(AN35=12,AN35=24,AN35=36,AN35=48,AN35=60,AN35=Dashboard!$D$14),1,0),0)</f>
        <v>0</v>
      </c>
      <c r="AO2" s="65">
        <f>IF(AO35&lt;=Dashboard!$D$14,IF(OR(AO35=12,AO35=24,AO35=36,AO35=48,AO35=60,AO35=Dashboard!$D$14),1,0),0)</f>
        <v>0</v>
      </c>
      <c r="AP2" s="65">
        <f>IF(AP35&lt;=Dashboard!$D$14,IF(OR(AP35=12,AP35=24,AP35=36,AP35=48,AP35=60,AP35=Dashboard!$D$14),1,0),0)</f>
        <v>0</v>
      </c>
      <c r="AQ2" s="65">
        <f>IF(AQ35&lt;=Dashboard!$D$14,IF(OR(AQ35=12,AQ35=24,AQ35=36,AQ35=48,AQ35=60,AQ35=Dashboard!$D$14),1,0),0)</f>
        <v>0</v>
      </c>
      <c r="AR2" s="65">
        <f>IF(AR35&lt;=Dashboard!$D$14,IF(OR(AR35=12,AR35=24,AR35=36,AR35=48,AR35=60,AR35=Dashboard!$D$14),1,0),0)</f>
        <v>0</v>
      </c>
      <c r="AS2" s="65">
        <f>IF(AS35&lt;=Dashboard!$D$14,IF(OR(AS35=12,AS35=24,AS35=36,AS35=48,AS35=60,AS35=Dashboard!$D$14),1,0),0)</f>
        <v>0</v>
      </c>
      <c r="AT2" s="65">
        <f>IF(AT35&lt;=Dashboard!$D$14,IF(OR(AT35=12,AT35=24,AT35=36,AT35=48,AT35=60,AT35=Dashboard!$D$14),1,0),0)</f>
        <v>0</v>
      </c>
      <c r="AU2" s="65">
        <f>IF(AU35&lt;=Dashboard!$D$14,IF(OR(AU35=12,AU35=24,AU35=36,AU35=48,AU35=60,AU35=Dashboard!$D$14),1,0),0)</f>
        <v>0</v>
      </c>
      <c r="AV2" s="65">
        <f>IF(AV35&lt;=Dashboard!$D$14,IF(OR(AV35=12,AV35=24,AV35=36,AV35=48,AV35=60,AV35=Dashboard!$D$14),1,0),0)</f>
        <v>0</v>
      </c>
      <c r="AW2" s="65">
        <f>IF(AW35&lt;=Dashboard!$D$14,IF(OR(AW35=12,AW35=24,AW35=36,AW35=48,AW35=60,AW35=Dashboard!$D$14),1,0),0)</f>
        <v>0</v>
      </c>
      <c r="AX2" s="65">
        <f>IF(AX35&lt;=Dashboard!$D$14,IF(OR(AX35=12,AX35=24,AX35=36,AX35=48,AX35=60,AX35=Dashboard!$D$14),1,0),0)</f>
        <v>0</v>
      </c>
      <c r="AY2" s="65">
        <f>IF(AY35&lt;=Dashboard!$D$14,IF(OR(AY35=12,AY35=24,AY35=36,AY35=48,AY35=60,AY35=Dashboard!$D$14),1,0),0)</f>
        <v>0</v>
      </c>
      <c r="AZ2" s="65">
        <f>IF(AZ35&lt;=Dashboard!$D$14,IF(OR(AZ35=12,AZ35=24,AZ35=36,AZ35=48,AZ35=60,AZ35=Dashboard!$D$14),1,0),0)</f>
        <v>0</v>
      </c>
      <c r="BA2" s="65">
        <f>IF(BA35&lt;=Dashboard!$D$14,IF(OR(BA35=12,BA35=24,BA35=36,BA35=48,BA35=60,BA35=Dashboard!$D$14),1,0),0)</f>
        <v>0</v>
      </c>
      <c r="BB2" s="65">
        <f>IF(BB35&lt;=Dashboard!$D$14,IF(OR(BB35=12,BB35=24,BB35=36,BB35=48,BB35=60,BB35=Dashboard!$D$14),1,0),0)</f>
        <v>0</v>
      </c>
      <c r="BC2" s="65">
        <f>IF(BC35&lt;=Dashboard!$D$14,IF(OR(BC35=12,BC35=24,BC35=36,BC35=48,BC35=60,BC35=Dashboard!$D$14),1,0),0)</f>
        <v>0</v>
      </c>
      <c r="BD2" s="65">
        <f>IF(BD35&lt;=Dashboard!$D$14,IF(OR(BD35=12,BD35=24,BD35=36,BD35=48,BD35=60,BD35=Dashboard!$D$14),1,0),0)</f>
        <v>0</v>
      </c>
      <c r="BE2" s="65">
        <f>IF(BE35&lt;=Dashboard!$D$14,IF(OR(BE35=12,BE35=24,BE35=36,BE35=48,BE35=60,BE35=Dashboard!$D$14),1,0),0)</f>
        <v>0</v>
      </c>
      <c r="BF2" s="65">
        <f>IF(BF35&lt;=Dashboard!$D$14,IF(OR(BF35=12,BF35=24,BF35=36,BF35=48,BF35=60,BF35=Dashboard!$D$14),1,0),0)</f>
        <v>0</v>
      </c>
      <c r="BG2" s="65">
        <f>IF(BG35&lt;=Dashboard!$D$14,IF(OR(BG35=12,BG35=24,BG35=36,BG35=48,BG35=60,BG35=Dashboard!$D$14),1,0),0)</f>
        <v>0</v>
      </c>
      <c r="BH2" s="65">
        <f>IF(BH35&lt;=Dashboard!$D$14,IF(OR(BH35=12,BH35=24,BH35=36,BH35=48,BH35=60,BH35=Dashboard!$D$14),1,0),0)</f>
        <v>0</v>
      </c>
      <c r="BI2" s="65">
        <f>IF(BI35&lt;=Dashboard!$D$14,IF(OR(BI35=12,BI35=24,BI35=36,BI35=48,BI35=60,BI35=Dashboard!$D$14),1,0),0)</f>
        <v>0</v>
      </c>
      <c r="BJ2" s="65">
        <f>IF(BJ35&lt;=Dashboard!$D$14,IF(OR(BJ35=12,BJ35=24,BJ35=36,BJ35=48,BJ35=60,BJ35=Dashboard!$D$14),1,0),0)</f>
        <v>0</v>
      </c>
      <c r="BK2" s="65">
        <f>IF(BK35&lt;=Dashboard!$D$14,IF(OR(BK35=12,BK35=24,BK35=36,BK35=48,BK35=60,BK35=Dashboard!$D$14),1,0),0)</f>
        <v>0</v>
      </c>
      <c r="BL2" s="65">
        <f>IF(BL35&lt;=Dashboard!$D$14,IF(OR(BL35=12,BL35=24,BL35=36,BL35=48,BL35=60,BL35=Dashboard!$D$14),1,0),0)</f>
        <v>0</v>
      </c>
      <c r="BM2" s="65">
        <f>IF(BM35&lt;=Dashboard!$D$14,IF(OR(BM35=12,BM35=24,BM35=36,BM35=48,BM35=60,BM35=Dashboard!$D$14),1,0),0)</f>
        <v>0</v>
      </c>
      <c r="BN2" s="65">
        <f>IF(BN35&lt;=Dashboard!$D$14,IF(OR(BN35=12,BN35=24,BN35=36,BN35=48,BN35=60,BN35=Dashboard!$D$14),1,0),0)</f>
        <v>0</v>
      </c>
      <c r="BO2" s="65">
        <f>IF(BO35&lt;=Dashboard!$D$14,IF(OR(BO35=12,BO35=24,BO35=36,BO35=48,BO35=60,BO35=Dashboard!$D$14),1,0),0)</f>
        <v>0</v>
      </c>
      <c r="BP2" s="65">
        <f>IF(BP35&lt;=Dashboard!$D$14,IF(OR(BP35=12,BP35=24,BP35=36,BP35=48,BP35=60,BP35=Dashboard!$D$14),1,0),0)</f>
        <v>0</v>
      </c>
    </row>
    <row r="3" spans="2:68" ht="12" customHeight="1">
      <c r="E3" s="152">
        <f t="shared" ref="E3:AJ3" si="0">IF(E2&gt;0,IF(OR(E24=12,E24=24,E24=36,E24=48,E24=60),12,E24/12),0)</f>
        <v>0</v>
      </c>
      <c r="F3" s="152">
        <f t="shared" si="0"/>
        <v>0</v>
      </c>
      <c r="G3" s="152">
        <f t="shared" si="0"/>
        <v>0</v>
      </c>
      <c r="H3" s="152">
        <f t="shared" si="0"/>
        <v>0</v>
      </c>
      <c r="I3" s="152">
        <f t="shared" si="0"/>
        <v>0</v>
      </c>
      <c r="J3" s="152">
        <f t="shared" si="0"/>
        <v>0</v>
      </c>
      <c r="K3" s="152">
        <f t="shared" si="0"/>
        <v>0</v>
      </c>
      <c r="L3" s="152">
        <f t="shared" si="0"/>
        <v>0</v>
      </c>
      <c r="M3" s="152">
        <f t="shared" si="0"/>
        <v>0</v>
      </c>
      <c r="N3" s="152">
        <f t="shared" si="0"/>
        <v>0.83333333333333337</v>
      </c>
      <c r="O3" s="152">
        <f t="shared" si="0"/>
        <v>0</v>
      </c>
      <c r="P3" s="152">
        <f t="shared" si="0"/>
        <v>0</v>
      </c>
      <c r="Q3" s="152">
        <f t="shared" si="0"/>
        <v>0</v>
      </c>
      <c r="R3" s="152">
        <f t="shared" si="0"/>
        <v>0</v>
      </c>
      <c r="S3" s="152">
        <f t="shared" si="0"/>
        <v>0</v>
      </c>
      <c r="T3" s="152">
        <f t="shared" si="0"/>
        <v>0</v>
      </c>
      <c r="U3" s="152">
        <f t="shared" si="0"/>
        <v>0</v>
      </c>
      <c r="V3" s="152">
        <f t="shared" si="0"/>
        <v>0</v>
      </c>
      <c r="W3" s="152">
        <f t="shared" si="0"/>
        <v>0</v>
      </c>
      <c r="X3" s="152">
        <f t="shared" si="0"/>
        <v>0</v>
      </c>
      <c r="Y3" s="152">
        <f t="shared" si="0"/>
        <v>0</v>
      </c>
      <c r="Z3" s="152">
        <f t="shared" si="0"/>
        <v>0</v>
      </c>
      <c r="AA3" s="152">
        <f t="shared" si="0"/>
        <v>0</v>
      </c>
      <c r="AB3" s="152">
        <f t="shared" si="0"/>
        <v>0</v>
      </c>
      <c r="AC3" s="152">
        <f t="shared" si="0"/>
        <v>0</v>
      </c>
      <c r="AD3" s="152">
        <f t="shared" si="0"/>
        <v>0</v>
      </c>
      <c r="AE3" s="152">
        <f t="shared" si="0"/>
        <v>0</v>
      </c>
      <c r="AF3" s="152">
        <f t="shared" si="0"/>
        <v>0</v>
      </c>
      <c r="AG3" s="152">
        <f t="shared" si="0"/>
        <v>0</v>
      </c>
      <c r="AH3" s="152">
        <f t="shared" si="0"/>
        <v>0</v>
      </c>
      <c r="AI3" s="152">
        <f t="shared" si="0"/>
        <v>0</v>
      </c>
      <c r="AJ3" s="152">
        <f t="shared" si="0"/>
        <v>0</v>
      </c>
      <c r="AK3" s="152">
        <f t="shared" ref="AK3:BP3" si="1">IF(AK2&gt;0,IF(OR(AK24=12,AK24=24,AK24=36,AK24=48,AK24=60),12,AK24/12),0)</f>
        <v>0</v>
      </c>
      <c r="AL3" s="152">
        <f t="shared" si="1"/>
        <v>0</v>
      </c>
      <c r="AM3" s="152">
        <f t="shared" si="1"/>
        <v>0</v>
      </c>
      <c r="AN3" s="152">
        <f t="shared" si="1"/>
        <v>0</v>
      </c>
      <c r="AO3" s="152">
        <f t="shared" si="1"/>
        <v>0</v>
      </c>
      <c r="AP3" s="152">
        <f t="shared" si="1"/>
        <v>0</v>
      </c>
      <c r="AQ3" s="152">
        <f t="shared" si="1"/>
        <v>0</v>
      </c>
      <c r="AR3" s="152">
        <f t="shared" si="1"/>
        <v>0</v>
      </c>
      <c r="AS3" s="152">
        <f t="shared" si="1"/>
        <v>0</v>
      </c>
      <c r="AT3" s="152">
        <f t="shared" si="1"/>
        <v>0</v>
      </c>
      <c r="AU3" s="152">
        <f t="shared" si="1"/>
        <v>0</v>
      </c>
      <c r="AV3" s="152">
        <f t="shared" si="1"/>
        <v>0</v>
      </c>
      <c r="AW3" s="152">
        <f t="shared" si="1"/>
        <v>0</v>
      </c>
      <c r="AX3" s="152">
        <f t="shared" si="1"/>
        <v>0</v>
      </c>
      <c r="AY3" s="152">
        <f t="shared" si="1"/>
        <v>0</v>
      </c>
      <c r="AZ3" s="152">
        <f t="shared" si="1"/>
        <v>0</v>
      </c>
      <c r="BA3" s="152">
        <f t="shared" si="1"/>
        <v>0</v>
      </c>
      <c r="BB3" s="152">
        <f t="shared" si="1"/>
        <v>0</v>
      </c>
      <c r="BC3" s="152">
        <f t="shared" si="1"/>
        <v>0</v>
      </c>
      <c r="BD3" s="152">
        <f t="shared" si="1"/>
        <v>0</v>
      </c>
      <c r="BE3" s="152">
        <f t="shared" si="1"/>
        <v>0</v>
      </c>
      <c r="BF3" s="152">
        <f t="shared" si="1"/>
        <v>0</v>
      </c>
      <c r="BG3" s="152">
        <f t="shared" si="1"/>
        <v>0</v>
      </c>
      <c r="BH3" s="152">
        <f t="shared" si="1"/>
        <v>0</v>
      </c>
      <c r="BI3" s="152">
        <f t="shared" si="1"/>
        <v>0</v>
      </c>
      <c r="BJ3" s="152">
        <f t="shared" si="1"/>
        <v>0</v>
      </c>
      <c r="BK3" s="152">
        <f t="shared" si="1"/>
        <v>0</v>
      </c>
      <c r="BL3" s="152">
        <f t="shared" si="1"/>
        <v>0</v>
      </c>
      <c r="BM3" s="152">
        <f t="shared" si="1"/>
        <v>0</v>
      </c>
      <c r="BN3" s="152">
        <f t="shared" si="1"/>
        <v>0</v>
      </c>
      <c r="BO3" s="152">
        <f t="shared" si="1"/>
        <v>0</v>
      </c>
      <c r="BP3" s="152">
        <f t="shared" si="1"/>
        <v>0</v>
      </c>
    </row>
    <row r="4" spans="2:68" ht="12" customHeight="1">
      <c r="E4" s="253">
        <f>IFERROR(E3/SUM($E$3:$BP$3),0)</f>
        <v>0</v>
      </c>
      <c r="F4" s="253">
        <f t="shared" ref="F4:BP4" si="2">IFERROR(F3/SUM($E$3:$BP$3),0)</f>
        <v>0</v>
      </c>
      <c r="G4" s="253">
        <f t="shared" si="2"/>
        <v>0</v>
      </c>
      <c r="H4" s="253">
        <f t="shared" si="2"/>
        <v>0</v>
      </c>
      <c r="I4" s="253">
        <f t="shared" si="2"/>
        <v>0</v>
      </c>
      <c r="J4" s="253">
        <f t="shared" si="2"/>
        <v>0</v>
      </c>
      <c r="K4" s="253">
        <f t="shared" si="2"/>
        <v>0</v>
      </c>
      <c r="L4" s="253">
        <f t="shared" si="2"/>
        <v>0</v>
      </c>
      <c r="M4" s="253">
        <f t="shared" si="2"/>
        <v>0</v>
      </c>
      <c r="N4" s="253">
        <f t="shared" si="2"/>
        <v>1</v>
      </c>
      <c r="O4" s="253">
        <f t="shared" si="2"/>
        <v>0</v>
      </c>
      <c r="P4" s="253">
        <f t="shared" si="2"/>
        <v>0</v>
      </c>
      <c r="Q4" s="253">
        <f t="shared" si="2"/>
        <v>0</v>
      </c>
      <c r="R4" s="253">
        <f t="shared" si="2"/>
        <v>0</v>
      </c>
      <c r="S4" s="253">
        <f t="shared" si="2"/>
        <v>0</v>
      </c>
      <c r="T4" s="253">
        <f t="shared" si="2"/>
        <v>0</v>
      </c>
      <c r="U4" s="253">
        <f t="shared" si="2"/>
        <v>0</v>
      </c>
      <c r="V4" s="253">
        <f t="shared" si="2"/>
        <v>0</v>
      </c>
      <c r="W4" s="253">
        <f t="shared" si="2"/>
        <v>0</v>
      </c>
      <c r="X4" s="253">
        <f t="shared" si="2"/>
        <v>0</v>
      </c>
      <c r="Y4" s="253">
        <f t="shared" si="2"/>
        <v>0</v>
      </c>
      <c r="Z4" s="253">
        <f t="shared" si="2"/>
        <v>0</v>
      </c>
      <c r="AA4" s="253">
        <f t="shared" si="2"/>
        <v>0</v>
      </c>
      <c r="AB4" s="253">
        <f t="shared" si="2"/>
        <v>0</v>
      </c>
      <c r="AC4" s="253">
        <f t="shared" si="2"/>
        <v>0</v>
      </c>
      <c r="AD4" s="253">
        <f t="shared" si="2"/>
        <v>0</v>
      </c>
      <c r="AE4" s="253">
        <f t="shared" si="2"/>
        <v>0</v>
      </c>
      <c r="AF4" s="253">
        <f t="shared" si="2"/>
        <v>0</v>
      </c>
      <c r="AG4" s="253">
        <f t="shared" si="2"/>
        <v>0</v>
      </c>
      <c r="AH4" s="253">
        <f t="shared" si="2"/>
        <v>0</v>
      </c>
      <c r="AI4" s="253">
        <f t="shared" si="2"/>
        <v>0</v>
      </c>
      <c r="AJ4" s="253">
        <f t="shared" si="2"/>
        <v>0</v>
      </c>
      <c r="AK4" s="253">
        <f t="shared" si="2"/>
        <v>0</v>
      </c>
      <c r="AL4" s="253">
        <f t="shared" si="2"/>
        <v>0</v>
      </c>
      <c r="AM4" s="253">
        <f t="shared" si="2"/>
        <v>0</v>
      </c>
      <c r="AN4" s="253">
        <f t="shared" si="2"/>
        <v>0</v>
      </c>
      <c r="AO4" s="253">
        <f t="shared" si="2"/>
        <v>0</v>
      </c>
      <c r="AP4" s="253">
        <f t="shared" si="2"/>
        <v>0</v>
      </c>
      <c r="AQ4" s="253">
        <f t="shared" si="2"/>
        <v>0</v>
      </c>
      <c r="AR4" s="253">
        <f t="shared" si="2"/>
        <v>0</v>
      </c>
      <c r="AS4" s="253">
        <f t="shared" si="2"/>
        <v>0</v>
      </c>
      <c r="AT4" s="253">
        <f t="shared" si="2"/>
        <v>0</v>
      </c>
      <c r="AU4" s="253">
        <f t="shared" si="2"/>
        <v>0</v>
      </c>
      <c r="AV4" s="253">
        <f t="shared" si="2"/>
        <v>0</v>
      </c>
      <c r="AW4" s="253">
        <f t="shared" si="2"/>
        <v>0</v>
      </c>
      <c r="AX4" s="253">
        <f t="shared" si="2"/>
        <v>0</v>
      </c>
      <c r="AY4" s="253">
        <f t="shared" si="2"/>
        <v>0</v>
      </c>
      <c r="AZ4" s="253">
        <f t="shared" si="2"/>
        <v>0</v>
      </c>
      <c r="BA4" s="253">
        <f t="shared" si="2"/>
        <v>0</v>
      </c>
      <c r="BB4" s="253">
        <f t="shared" si="2"/>
        <v>0</v>
      </c>
      <c r="BC4" s="253">
        <f t="shared" si="2"/>
        <v>0</v>
      </c>
      <c r="BD4" s="253">
        <f t="shared" si="2"/>
        <v>0</v>
      </c>
      <c r="BE4" s="253">
        <f t="shared" si="2"/>
        <v>0</v>
      </c>
      <c r="BF4" s="253">
        <f t="shared" si="2"/>
        <v>0</v>
      </c>
      <c r="BG4" s="253">
        <f t="shared" si="2"/>
        <v>0</v>
      </c>
      <c r="BH4" s="253">
        <f t="shared" si="2"/>
        <v>0</v>
      </c>
      <c r="BI4" s="253">
        <f t="shared" si="2"/>
        <v>0</v>
      </c>
      <c r="BJ4" s="253">
        <f t="shared" si="2"/>
        <v>0</v>
      </c>
      <c r="BK4" s="253">
        <f t="shared" si="2"/>
        <v>0</v>
      </c>
      <c r="BL4" s="253">
        <f t="shared" si="2"/>
        <v>0</v>
      </c>
      <c r="BM4" s="253">
        <f t="shared" si="2"/>
        <v>0</v>
      </c>
      <c r="BN4" s="253">
        <f t="shared" si="2"/>
        <v>0</v>
      </c>
      <c r="BO4" s="253">
        <f t="shared" si="2"/>
        <v>0</v>
      </c>
      <c r="BP4" s="253">
        <f t="shared" si="2"/>
        <v>0</v>
      </c>
    </row>
    <row r="6" spans="2:68" s="71" customFormat="1" ht="12" customHeight="1">
      <c r="B6" s="254" t="s">
        <v>1651</v>
      </c>
      <c r="E6" s="255" t="e">
        <f>E$27*SUM(Precificação!#REF!,Precificação!#REF!,Precificação!#REF!,Precificação!#REF!,Precificação!#REF!)</f>
        <v>#REF!</v>
      </c>
      <c r="F6" s="255" t="e">
        <f>F$27*SUM(Precificação!#REF!,Precificação!#REF!,Precificação!#REF!,Precificação!#REF!,Precificação!#REF!)</f>
        <v>#REF!</v>
      </c>
      <c r="G6" s="255" t="e">
        <f>G$27*SUM(Precificação!#REF!,Precificação!#REF!,Precificação!#REF!,Precificação!#REF!,Precificação!#REF!)</f>
        <v>#REF!</v>
      </c>
      <c r="H6" s="255" t="e">
        <f>H$27*SUM(Precificação!#REF!,Precificação!#REF!,Precificação!#REF!,Precificação!#REF!,Precificação!#REF!)</f>
        <v>#REF!</v>
      </c>
      <c r="I6" s="255" t="e">
        <f>I$27*SUM(Precificação!#REF!,Precificação!#REF!,Precificação!#REF!,Precificação!#REF!,Precificação!#REF!)</f>
        <v>#REF!</v>
      </c>
      <c r="J6" s="255" t="e">
        <f>J$27*SUM(Precificação!#REF!,Precificação!#REF!,Precificação!#REF!,Precificação!#REF!,Precificação!#REF!)</f>
        <v>#REF!</v>
      </c>
      <c r="K6" s="255" t="e">
        <f>K$27*SUM(Precificação!#REF!,Precificação!#REF!,Precificação!#REF!,Precificação!#REF!,Precificação!#REF!)</f>
        <v>#REF!</v>
      </c>
      <c r="L6" s="255" t="e">
        <f>L$27*SUM(Precificação!#REF!,Precificação!#REF!,Precificação!#REF!,Precificação!#REF!,Precificação!#REF!)</f>
        <v>#REF!</v>
      </c>
      <c r="M6" s="255" t="e">
        <f>M$27*SUM(Precificação!#REF!,Precificação!#REF!,Precificação!#REF!,Precificação!#REF!,Precificação!#REF!)</f>
        <v>#REF!</v>
      </c>
      <c r="N6" s="255" t="e">
        <f>N$27*SUM(Precificação!#REF!,Precificação!#REF!,Precificação!#REF!,Precificação!#REF!,Precificação!#REF!)</f>
        <v>#REF!</v>
      </c>
      <c r="O6" s="255" t="e">
        <f>O$27*SUM(Precificação!#REF!,Precificação!#REF!,Precificação!#REF!,Precificação!#REF!,Precificação!#REF!)</f>
        <v>#REF!</v>
      </c>
      <c r="P6" s="255" t="e">
        <f>P$27*SUM(Precificação!#REF!,Precificação!#REF!,Precificação!#REF!,Precificação!#REF!,Precificação!#REF!)</f>
        <v>#REF!</v>
      </c>
      <c r="Q6" s="255" t="e">
        <f>Q$27*SUM(Precificação!#REF!,Precificação!#REF!,Precificação!#REF!,Precificação!#REF!,Precificação!#REF!)</f>
        <v>#REF!</v>
      </c>
      <c r="R6" s="255" t="e">
        <f>R$27*SUM(Precificação!#REF!,Precificação!#REF!,Precificação!#REF!,Precificação!#REF!,Precificação!#REF!)</f>
        <v>#REF!</v>
      </c>
      <c r="S6" s="255" t="e">
        <f>S$27*SUM(Precificação!#REF!,Precificação!#REF!,Precificação!#REF!,Precificação!#REF!,Precificação!#REF!)</f>
        <v>#REF!</v>
      </c>
      <c r="T6" s="255" t="e">
        <f>T$27*SUM(Precificação!#REF!,Precificação!#REF!,Precificação!#REF!,Precificação!#REF!,Precificação!#REF!)</f>
        <v>#REF!</v>
      </c>
      <c r="U6" s="255" t="e">
        <f>U$27*SUM(Precificação!#REF!,Precificação!#REF!,Precificação!#REF!,Precificação!#REF!,Precificação!#REF!)</f>
        <v>#REF!</v>
      </c>
      <c r="V6" s="255" t="e">
        <f>V$27*SUM(Precificação!#REF!,Precificação!#REF!,Precificação!#REF!,Precificação!#REF!,Precificação!#REF!)</f>
        <v>#REF!</v>
      </c>
      <c r="W6" s="255" t="e">
        <f>W$27*SUM(Precificação!#REF!,Precificação!#REF!,Precificação!#REF!,Precificação!#REF!,Precificação!#REF!)</f>
        <v>#REF!</v>
      </c>
      <c r="X6" s="255" t="e">
        <f>X$27*SUM(Precificação!#REF!,Precificação!#REF!,Precificação!#REF!,Precificação!#REF!,Precificação!#REF!)</f>
        <v>#REF!</v>
      </c>
      <c r="Y6" s="255" t="e">
        <f>Y$27*SUM(Precificação!#REF!,Precificação!#REF!,Precificação!#REF!,Precificação!#REF!,Precificação!#REF!)</f>
        <v>#REF!</v>
      </c>
      <c r="Z6" s="255" t="e">
        <f>Z$27*SUM(Precificação!#REF!,Precificação!#REF!,Precificação!#REF!,Precificação!#REF!,Precificação!#REF!)</f>
        <v>#REF!</v>
      </c>
      <c r="AA6" s="255" t="e">
        <f>AA$27*SUM(Precificação!#REF!,Precificação!#REF!,Precificação!#REF!,Precificação!#REF!,Precificação!#REF!)</f>
        <v>#REF!</v>
      </c>
      <c r="AB6" s="255" t="e">
        <f>AB$27*SUM(Precificação!#REF!,Precificação!#REF!,Precificação!#REF!,Precificação!#REF!,Precificação!#REF!)</f>
        <v>#REF!</v>
      </c>
      <c r="AC6" s="255" t="e">
        <f>AC$27*SUM(Precificação!#REF!,Precificação!#REF!,Precificação!#REF!,Precificação!#REF!,Precificação!#REF!)</f>
        <v>#REF!</v>
      </c>
      <c r="AD6" s="255" t="e">
        <f>AD$27*SUM(Precificação!#REF!,Precificação!#REF!,Precificação!#REF!,Precificação!#REF!,Precificação!#REF!)</f>
        <v>#REF!</v>
      </c>
      <c r="AE6" s="255" t="e">
        <f>AE$27*SUM(Precificação!#REF!,Precificação!#REF!,Precificação!#REF!,Precificação!#REF!,Precificação!#REF!)</f>
        <v>#REF!</v>
      </c>
      <c r="AF6" s="255" t="e">
        <f>AF$27*SUM(Precificação!#REF!,Precificação!#REF!,Precificação!#REF!,Precificação!#REF!,Precificação!#REF!)</f>
        <v>#REF!</v>
      </c>
      <c r="AG6" s="255" t="e">
        <f>AG$27*SUM(Precificação!#REF!,Precificação!#REF!,Precificação!#REF!,Precificação!#REF!,Precificação!#REF!)</f>
        <v>#REF!</v>
      </c>
      <c r="AH6" s="255" t="e">
        <f>AH$27*SUM(Precificação!#REF!,Precificação!#REF!,Precificação!#REF!,Precificação!#REF!,Precificação!#REF!)</f>
        <v>#REF!</v>
      </c>
      <c r="AI6" s="255" t="e">
        <f>AI$27*SUM(Precificação!#REF!,Precificação!#REF!,Precificação!#REF!,Precificação!#REF!,Precificação!#REF!)</f>
        <v>#REF!</v>
      </c>
      <c r="AJ6" s="255" t="e">
        <f>AJ$27*SUM(Precificação!#REF!,Precificação!#REF!,Precificação!#REF!,Precificação!#REF!,Precificação!#REF!)</f>
        <v>#REF!</v>
      </c>
      <c r="AK6" s="255" t="e">
        <f>AK$27*SUM(Precificação!#REF!,Precificação!#REF!,Precificação!#REF!,Precificação!#REF!,Precificação!#REF!)</f>
        <v>#REF!</v>
      </c>
      <c r="AL6" s="255" t="e">
        <f>AL$27*SUM(Precificação!#REF!,Precificação!#REF!,Precificação!#REF!,Precificação!#REF!,Precificação!#REF!)</f>
        <v>#REF!</v>
      </c>
      <c r="AM6" s="255" t="e">
        <f>AM$27*SUM(Precificação!#REF!,Precificação!#REF!,Precificação!#REF!,Precificação!#REF!,Precificação!#REF!)</f>
        <v>#REF!</v>
      </c>
      <c r="AN6" s="255" t="e">
        <f>AN$27*SUM(Precificação!#REF!,Precificação!#REF!,Precificação!#REF!,Precificação!#REF!,Precificação!#REF!)</f>
        <v>#REF!</v>
      </c>
      <c r="AO6" s="255" t="e">
        <f>AO$27*SUM(Precificação!#REF!,Precificação!#REF!,Precificação!#REF!,Precificação!#REF!,Precificação!#REF!)</f>
        <v>#REF!</v>
      </c>
      <c r="AP6" s="255" t="e">
        <f>AP$27*SUM(Precificação!#REF!,Precificação!#REF!,Precificação!#REF!,Precificação!#REF!,Precificação!#REF!)</f>
        <v>#REF!</v>
      </c>
      <c r="AQ6" s="255" t="e">
        <f>AQ$27*SUM(Precificação!#REF!,Precificação!#REF!,Precificação!#REF!,Precificação!#REF!,Precificação!#REF!)</f>
        <v>#REF!</v>
      </c>
      <c r="AR6" s="255" t="e">
        <f>AR$27*SUM(Precificação!#REF!,Precificação!#REF!,Precificação!#REF!,Precificação!#REF!,Precificação!#REF!)</f>
        <v>#REF!</v>
      </c>
      <c r="AS6" s="255" t="e">
        <f>AS$27*SUM(Precificação!#REF!,Precificação!#REF!,Precificação!#REF!,Precificação!#REF!,Precificação!#REF!)</f>
        <v>#REF!</v>
      </c>
      <c r="AT6" s="255" t="e">
        <f>AT$27*SUM(Precificação!#REF!,Precificação!#REF!,Precificação!#REF!,Precificação!#REF!,Precificação!#REF!)</f>
        <v>#REF!</v>
      </c>
      <c r="AU6" s="255" t="e">
        <f>AU$27*SUM(Precificação!#REF!,Precificação!#REF!,Precificação!#REF!,Precificação!#REF!,Precificação!#REF!)</f>
        <v>#REF!</v>
      </c>
      <c r="AV6" s="255" t="e">
        <f>AV$27*SUM(Precificação!#REF!,Precificação!#REF!,Precificação!#REF!,Precificação!#REF!,Precificação!#REF!)</f>
        <v>#REF!</v>
      </c>
      <c r="AW6" s="255" t="e">
        <f>AW$27*SUM(Precificação!#REF!,Precificação!#REF!,Precificação!#REF!,Precificação!#REF!,Precificação!#REF!)</f>
        <v>#REF!</v>
      </c>
      <c r="AX6" s="255" t="e">
        <f>AX$27*SUM(Precificação!#REF!,Precificação!#REF!,Precificação!#REF!,Precificação!#REF!,Precificação!#REF!)</f>
        <v>#REF!</v>
      </c>
      <c r="AY6" s="255" t="e">
        <f>AY$27*SUM(Precificação!#REF!,Precificação!#REF!,Precificação!#REF!,Precificação!#REF!,Precificação!#REF!)</f>
        <v>#REF!</v>
      </c>
      <c r="AZ6" s="255" t="e">
        <f>AZ$27*SUM(Precificação!#REF!,Precificação!#REF!,Precificação!#REF!,Precificação!#REF!,Precificação!#REF!)</f>
        <v>#REF!</v>
      </c>
      <c r="BA6" s="255" t="e">
        <f>BA$27*SUM(Precificação!#REF!,Precificação!#REF!,Precificação!#REF!,Precificação!#REF!,Precificação!#REF!)</f>
        <v>#REF!</v>
      </c>
      <c r="BB6" s="255" t="e">
        <f>BB$27*SUM(Precificação!#REF!,Precificação!#REF!,Precificação!#REF!,Precificação!#REF!,Precificação!#REF!)</f>
        <v>#REF!</v>
      </c>
      <c r="BC6" s="255" t="e">
        <f>BC$27*SUM(Precificação!#REF!,Precificação!#REF!,Precificação!#REF!,Precificação!#REF!,Precificação!#REF!)</f>
        <v>#REF!</v>
      </c>
      <c r="BD6" s="255" t="e">
        <f>BD$27*SUM(Precificação!#REF!,Precificação!#REF!,Precificação!#REF!,Precificação!#REF!,Precificação!#REF!)</f>
        <v>#REF!</v>
      </c>
      <c r="BE6" s="255" t="e">
        <f>BE$27*SUM(Precificação!#REF!,Precificação!#REF!,Precificação!#REF!,Precificação!#REF!,Precificação!#REF!)</f>
        <v>#REF!</v>
      </c>
      <c r="BF6" s="255" t="e">
        <f>BF$27*SUM(Precificação!#REF!,Precificação!#REF!,Precificação!#REF!,Precificação!#REF!,Precificação!#REF!)</f>
        <v>#REF!</v>
      </c>
      <c r="BG6" s="255" t="e">
        <f>BG$27*SUM(Precificação!#REF!,Precificação!#REF!,Precificação!#REF!,Precificação!#REF!,Precificação!#REF!)</f>
        <v>#REF!</v>
      </c>
      <c r="BH6" s="255" t="e">
        <f>BH$27*SUM(Precificação!#REF!,Precificação!#REF!,Precificação!#REF!,Precificação!#REF!,Precificação!#REF!)</f>
        <v>#REF!</v>
      </c>
      <c r="BI6" s="255" t="e">
        <f>BI$27*SUM(Precificação!#REF!,Precificação!#REF!,Precificação!#REF!,Precificação!#REF!,Precificação!#REF!)</f>
        <v>#REF!</v>
      </c>
      <c r="BJ6" s="255" t="e">
        <f>BJ$27*SUM(Precificação!#REF!,Precificação!#REF!,Precificação!#REF!,Precificação!#REF!,Precificação!#REF!)</f>
        <v>#REF!</v>
      </c>
      <c r="BK6" s="255" t="e">
        <f>BK$27*SUM(Precificação!#REF!,Precificação!#REF!,Precificação!#REF!,Precificação!#REF!,Precificação!#REF!)</f>
        <v>#REF!</v>
      </c>
      <c r="BL6" s="255" t="e">
        <f>BL$27*SUM(Precificação!#REF!,Precificação!#REF!,Precificação!#REF!,Precificação!#REF!,Precificação!#REF!)</f>
        <v>#REF!</v>
      </c>
      <c r="BM6" s="255" t="e">
        <f>BM$27*SUM(Precificação!#REF!,Precificação!#REF!,Precificação!#REF!,Precificação!#REF!,Precificação!#REF!)</f>
        <v>#REF!</v>
      </c>
      <c r="BN6" s="255" t="e">
        <f>BN$27*SUM(Precificação!#REF!,Precificação!#REF!,Precificação!#REF!,Precificação!#REF!,Precificação!#REF!)</f>
        <v>#REF!</v>
      </c>
      <c r="BO6" s="255" t="e">
        <f>BO$27*SUM(Precificação!#REF!,Precificação!#REF!,Precificação!#REF!,Precificação!#REF!,Precificação!#REF!)</f>
        <v>#REF!</v>
      </c>
      <c r="BP6" s="255" t="e">
        <f>BP$27*SUM(Precificação!#REF!,Precificação!#REF!,Precificação!#REF!,Precificação!#REF!,Precificação!#REF!)</f>
        <v>#REF!</v>
      </c>
    </row>
    <row r="7" spans="2:68" s="71" customFormat="1" ht="12" customHeight="1">
      <c r="B7" s="254" t="s">
        <v>1652</v>
      </c>
      <c r="E7" s="255" t="e">
        <f>IF(AND(E$35&lt;=12,E$35=Dashboard!$D$14),(Precificação!#REF!+Precificação!#REF!),(Precificação!#REF!+Precificação!#REF!)*E$4)</f>
        <v>#REF!</v>
      </c>
      <c r="F7" s="255" t="e">
        <f>IF(AND(F$35&lt;=12,F$35=Dashboard!$D$14),(Precificação!#REF!+Precificação!#REF!),(Precificação!#REF!+Precificação!#REF!)*F$4)</f>
        <v>#REF!</v>
      </c>
      <c r="G7" s="255" t="e">
        <f>IF(AND(G$35&lt;=12,G$35=Dashboard!$D$14),(Precificação!#REF!+Precificação!#REF!),(Precificação!#REF!+Precificação!#REF!)*G$4)</f>
        <v>#REF!</v>
      </c>
      <c r="H7" s="255" t="e">
        <f>IF(AND(H$35&lt;=12,H$35=Dashboard!$D$14),(Precificação!#REF!+Precificação!#REF!),(Precificação!#REF!+Precificação!#REF!)*H$4)</f>
        <v>#REF!</v>
      </c>
      <c r="I7" s="255" t="e">
        <f>IF(AND(I$35&lt;=12,I$35=Dashboard!$D$14),(Precificação!#REF!+Precificação!#REF!),(Precificação!#REF!+Precificação!#REF!)*I$4)</f>
        <v>#REF!</v>
      </c>
      <c r="J7" s="255" t="e">
        <f>IF(AND(J$35&lt;=12,J$35=Dashboard!$D$14),(Precificação!#REF!+Precificação!#REF!),(Precificação!#REF!+Precificação!#REF!)*J$4)</f>
        <v>#REF!</v>
      </c>
      <c r="K7" s="255" t="e">
        <f>IF(AND(K$35&lt;=12,K$35=Dashboard!$D$14),(Precificação!#REF!+Precificação!#REF!),(Precificação!#REF!+Precificação!#REF!)*K$4)</f>
        <v>#REF!</v>
      </c>
      <c r="L7" s="255" t="e">
        <f>IF(AND(L$35&lt;=12,L$35=Dashboard!$D$14),(Precificação!#REF!+Precificação!#REF!),(Precificação!#REF!+Precificação!#REF!)*L$4)</f>
        <v>#REF!</v>
      </c>
      <c r="M7" s="255" t="e">
        <f>IF(AND(M$35&lt;=12,M$35=Dashboard!$D$14),(Precificação!#REF!+Precificação!#REF!),(Precificação!#REF!+Precificação!#REF!)*M$4)</f>
        <v>#REF!</v>
      </c>
      <c r="N7" s="255" t="e">
        <f>IF(AND(N$35&lt;=12,N$35=Dashboard!$D$14),(Precificação!#REF!+Precificação!#REF!),(Precificação!#REF!+Precificação!#REF!)*N$4)</f>
        <v>#REF!</v>
      </c>
      <c r="O7" s="255" t="e">
        <f>IF(AND(O$35&lt;=12,O$35=Dashboard!$D$14),(Precificação!#REF!+Precificação!#REF!),(Precificação!#REF!+Precificação!#REF!)*O$4)</f>
        <v>#REF!</v>
      </c>
      <c r="P7" s="255" t="e">
        <f>IF(AND(P$35&lt;=12,P$35=Dashboard!$D$14),(Precificação!#REF!+Precificação!#REF!),(Precificação!#REF!+Precificação!#REF!)*P$4)</f>
        <v>#REF!</v>
      </c>
      <c r="Q7" s="255" t="e">
        <f>IF(AND(Q$35&lt;=12,Q$35=Dashboard!$D$14),(Precificação!#REF!+Precificação!#REF!),(Precificação!#REF!+Precificação!#REF!)*Q$4)</f>
        <v>#REF!</v>
      </c>
      <c r="R7" s="255" t="e">
        <f>IF(AND(R$35&lt;=12,R$35=Dashboard!$D$14),(Precificação!#REF!+Precificação!#REF!),(Precificação!#REF!+Precificação!#REF!)*R$4)</f>
        <v>#REF!</v>
      </c>
      <c r="S7" s="255" t="e">
        <f>IF(AND(S$35&lt;=12,S$35=Dashboard!$D$14),(Precificação!#REF!+Precificação!#REF!),(Precificação!#REF!+Precificação!#REF!)*S$4)</f>
        <v>#REF!</v>
      </c>
      <c r="T7" s="255" t="e">
        <f>IF(AND(T$35&lt;=12,T$35=Dashboard!$D$14),(Precificação!#REF!+Precificação!#REF!),(Precificação!#REF!+Precificação!#REF!)*T$4)</f>
        <v>#REF!</v>
      </c>
      <c r="U7" s="255" t="e">
        <f>IF(AND(U$35&lt;=12,U$35=Dashboard!$D$14),(Precificação!#REF!+Precificação!#REF!),(Precificação!#REF!+Precificação!#REF!)*U$4)</f>
        <v>#REF!</v>
      </c>
      <c r="V7" s="255" t="e">
        <f>IF(AND(V$35&lt;=12,V$35=Dashboard!$D$14),(Precificação!#REF!+Precificação!#REF!),(Precificação!#REF!+Precificação!#REF!)*V$4)</f>
        <v>#REF!</v>
      </c>
      <c r="W7" s="255" t="e">
        <f>IF(AND(W$35&lt;=12,W$35=Dashboard!$D$14),(Precificação!#REF!+Precificação!#REF!),(Precificação!#REF!+Precificação!#REF!)*W$4)</f>
        <v>#REF!</v>
      </c>
      <c r="X7" s="255" t="e">
        <f>IF(AND(X$35&lt;=12,X$35=Dashboard!$D$14),(Precificação!#REF!+Precificação!#REF!),(Precificação!#REF!+Precificação!#REF!)*X$4)</f>
        <v>#REF!</v>
      </c>
      <c r="Y7" s="255" t="e">
        <f>IF(AND(Y$35&lt;=12,Y$35=Dashboard!$D$14),(Precificação!#REF!+Precificação!#REF!),(Precificação!#REF!+Precificação!#REF!)*Y$4)</f>
        <v>#REF!</v>
      </c>
      <c r="Z7" s="255" t="e">
        <f>IF(AND(Z$35&lt;=12,Z$35=Dashboard!$D$14),(Precificação!#REF!+Precificação!#REF!),(Precificação!#REF!+Precificação!#REF!)*Z$4)</f>
        <v>#REF!</v>
      </c>
      <c r="AA7" s="255" t="e">
        <f>IF(AND(AA$35&lt;=12,AA$35=Dashboard!$D$14),(Precificação!#REF!+Precificação!#REF!),(Precificação!#REF!+Precificação!#REF!)*AA$4)</f>
        <v>#REF!</v>
      </c>
      <c r="AB7" s="255" t="e">
        <f>IF(AND(AB$35&lt;=12,AB$35=Dashboard!$D$14),(Precificação!#REF!+Precificação!#REF!),(Precificação!#REF!+Precificação!#REF!)*AB$4)</f>
        <v>#REF!</v>
      </c>
      <c r="AC7" s="255" t="e">
        <f>IF(AND(AC$35&lt;=12,AC$35=Dashboard!$D$14),(Precificação!#REF!+Precificação!#REF!),(Precificação!#REF!+Precificação!#REF!)*AC$4)</f>
        <v>#REF!</v>
      </c>
      <c r="AD7" s="255" t="e">
        <f>IF(AND(AD$35&lt;=12,AD$35=Dashboard!$D$14),(Precificação!#REF!+Precificação!#REF!),(Precificação!#REF!+Precificação!#REF!)*AD$4)</f>
        <v>#REF!</v>
      </c>
      <c r="AE7" s="255" t="e">
        <f>IF(AND(AE$35&lt;=12,AE$35=Dashboard!$D$14),(Precificação!#REF!+Precificação!#REF!),(Precificação!#REF!+Precificação!#REF!)*AE$4)</f>
        <v>#REF!</v>
      </c>
      <c r="AF7" s="255" t="e">
        <f>IF(AND(AF$35&lt;=12,AF$35=Dashboard!$D$14),(Precificação!#REF!+Precificação!#REF!),(Precificação!#REF!+Precificação!#REF!)*AF$4)</f>
        <v>#REF!</v>
      </c>
      <c r="AG7" s="255" t="e">
        <f>IF(AND(AG$35&lt;=12,AG$35=Dashboard!$D$14),(Precificação!#REF!+Precificação!#REF!),(Precificação!#REF!+Precificação!#REF!)*AG$4)</f>
        <v>#REF!</v>
      </c>
      <c r="AH7" s="255" t="e">
        <f>IF(AND(AH$35&lt;=12,AH$35=Dashboard!$D$14),(Precificação!#REF!+Precificação!#REF!),(Precificação!#REF!+Precificação!#REF!)*AH$4)</f>
        <v>#REF!</v>
      </c>
      <c r="AI7" s="255" t="e">
        <f>IF(AND(AI$35&lt;=12,AI$35=Dashboard!$D$14),(Precificação!#REF!+Precificação!#REF!),(Precificação!#REF!+Precificação!#REF!)*AI$4)</f>
        <v>#REF!</v>
      </c>
      <c r="AJ7" s="255" t="e">
        <f>IF(AND(AJ$35&lt;=12,AJ$35=Dashboard!$D$14),(Precificação!#REF!+Precificação!#REF!),(Precificação!#REF!+Precificação!#REF!)*AJ$4)</f>
        <v>#REF!</v>
      </c>
      <c r="AK7" s="255" t="e">
        <f>IF(AND(AK$35&lt;=12,AK$35=Dashboard!$D$14),(Precificação!#REF!+Precificação!#REF!),(Precificação!#REF!+Precificação!#REF!)*AK$4)</f>
        <v>#REF!</v>
      </c>
      <c r="AL7" s="255" t="e">
        <f>IF(AND(AL$35&lt;=12,AL$35=Dashboard!$D$14),(Precificação!#REF!+Precificação!#REF!),(Precificação!#REF!+Precificação!#REF!)*AL$4)</f>
        <v>#REF!</v>
      </c>
      <c r="AM7" s="255" t="e">
        <f>IF(AND(AM$35&lt;=12,AM$35=Dashboard!$D$14),(Precificação!#REF!+Precificação!#REF!),(Precificação!#REF!+Precificação!#REF!)*AM$4)</f>
        <v>#REF!</v>
      </c>
      <c r="AN7" s="255" t="e">
        <f>IF(AND(AN$35&lt;=12,AN$35=Dashboard!$D$14),(Precificação!#REF!+Precificação!#REF!),(Precificação!#REF!+Precificação!#REF!)*AN$4)</f>
        <v>#REF!</v>
      </c>
      <c r="AO7" s="255" t="e">
        <f>IF(AND(AO$35&lt;=12,AO$35=Dashboard!$D$14),(Precificação!#REF!+Precificação!#REF!),(Precificação!#REF!+Precificação!#REF!)*AO$4)</f>
        <v>#REF!</v>
      </c>
      <c r="AP7" s="255" t="e">
        <f>IF(AND(AP$35&lt;=12,AP$35=Dashboard!$D$14),(Precificação!#REF!+Precificação!#REF!),(Precificação!#REF!+Precificação!#REF!)*AP$4)</f>
        <v>#REF!</v>
      </c>
      <c r="AQ7" s="255" t="e">
        <f>IF(AND(AQ$35&lt;=12,AQ$35=Dashboard!$D$14),(Precificação!#REF!+Precificação!#REF!),(Precificação!#REF!+Precificação!#REF!)*AQ$4)</f>
        <v>#REF!</v>
      </c>
      <c r="AR7" s="255" t="e">
        <f>IF(AND(AR$35&lt;=12,AR$35=Dashboard!$D$14),(Precificação!#REF!+Precificação!#REF!),(Precificação!#REF!+Precificação!#REF!)*AR$4)</f>
        <v>#REF!</v>
      </c>
      <c r="AS7" s="255" t="e">
        <f>IF(AND(AS$35&lt;=12,AS$35=Dashboard!$D$14),(Precificação!#REF!+Precificação!#REF!),(Precificação!#REF!+Precificação!#REF!)*AS$4)</f>
        <v>#REF!</v>
      </c>
      <c r="AT7" s="255" t="e">
        <f>IF(AND(AT$35&lt;=12,AT$35=Dashboard!$D$14),(Precificação!#REF!+Precificação!#REF!),(Precificação!#REF!+Precificação!#REF!)*AT$4)</f>
        <v>#REF!</v>
      </c>
      <c r="AU7" s="255" t="e">
        <f>IF(AND(AU$35&lt;=12,AU$35=Dashboard!$D$14),(Precificação!#REF!+Precificação!#REF!),(Precificação!#REF!+Precificação!#REF!)*AU$4)</f>
        <v>#REF!</v>
      </c>
      <c r="AV7" s="255" t="e">
        <f>IF(AND(AV$35&lt;=12,AV$35=Dashboard!$D$14),(Precificação!#REF!+Precificação!#REF!),(Precificação!#REF!+Precificação!#REF!)*AV$4)</f>
        <v>#REF!</v>
      </c>
      <c r="AW7" s="255" t="e">
        <f>IF(AND(AW$35&lt;=12,AW$35=Dashboard!$D$14),(Precificação!#REF!+Precificação!#REF!),(Precificação!#REF!+Precificação!#REF!)*AW$4)</f>
        <v>#REF!</v>
      </c>
      <c r="AX7" s="255" t="e">
        <f>IF(AND(AX$35&lt;=12,AX$35=Dashboard!$D$14),(Precificação!#REF!+Precificação!#REF!),(Precificação!#REF!+Precificação!#REF!)*AX$4)</f>
        <v>#REF!</v>
      </c>
      <c r="AY7" s="255" t="e">
        <f>IF(AND(AY$35&lt;=12,AY$35=Dashboard!$D$14),(Precificação!#REF!+Precificação!#REF!),(Precificação!#REF!+Precificação!#REF!)*AY$4)</f>
        <v>#REF!</v>
      </c>
      <c r="AZ7" s="255" t="e">
        <f>IF(AND(AZ$35&lt;=12,AZ$35=Dashboard!$D$14),(Precificação!#REF!+Precificação!#REF!),(Precificação!#REF!+Precificação!#REF!)*AZ$4)</f>
        <v>#REF!</v>
      </c>
      <c r="BA7" s="255" t="e">
        <f>IF(AND(BA$35&lt;=12,BA$35=Dashboard!$D$14),(Precificação!#REF!+Precificação!#REF!),(Precificação!#REF!+Precificação!#REF!)*BA$4)</f>
        <v>#REF!</v>
      </c>
      <c r="BB7" s="255" t="e">
        <f>IF(AND(BB$35&lt;=12,BB$35=Dashboard!$D$14),(Precificação!#REF!+Precificação!#REF!),(Precificação!#REF!+Precificação!#REF!)*BB$4)</f>
        <v>#REF!</v>
      </c>
      <c r="BC7" s="255" t="e">
        <f>IF(AND(BC$35&lt;=12,BC$35=Dashboard!$D$14),(Precificação!#REF!+Precificação!#REF!),(Precificação!#REF!+Precificação!#REF!)*BC$4)</f>
        <v>#REF!</v>
      </c>
      <c r="BD7" s="255" t="e">
        <f>IF(AND(BD$35&lt;=12,BD$35=Dashboard!$D$14),(Precificação!#REF!+Precificação!#REF!),(Precificação!#REF!+Precificação!#REF!)*BD$4)</f>
        <v>#REF!</v>
      </c>
      <c r="BE7" s="255" t="e">
        <f>IF(AND(BE$35&lt;=12,BE$35=Dashboard!$D$14),(Precificação!#REF!+Precificação!#REF!),(Precificação!#REF!+Precificação!#REF!)*BE$4)</f>
        <v>#REF!</v>
      </c>
      <c r="BF7" s="255" t="e">
        <f>IF(AND(BF$35&lt;=12,BF$35=Dashboard!$D$14),(Precificação!#REF!+Precificação!#REF!),(Precificação!#REF!+Precificação!#REF!)*BF$4)</f>
        <v>#REF!</v>
      </c>
      <c r="BG7" s="255" t="e">
        <f>IF(AND(BG$35&lt;=12,BG$35=Dashboard!$D$14),(Precificação!#REF!+Precificação!#REF!),(Precificação!#REF!+Precificação!#REF!)*BG$4)</f>
        <v>#REF!</v>
      </c>
      <c r="BH7" s="255" t="e">
        <f>IF(AND(BH$35&lt;=12,BH$35=Dashboard!$D$14),(Precificação!#REF!+Precificação!#REF!),(Precificação!#REF!+Precificação!#REF!)*BH$4)</f>
        <v>#REF!</v>
      </c>
      <c r="BI7" s="255" t="e">
        <f>IF(AND(BI$35&lt;=12,BI$35=Dashboard!$D$14),(Precificação!#REF!+Precificação!#REF!),(Precificação!#REF!+Precificação!#REF!)*BI$4)</f>
        <v>#REF!</v>
      </c>
      <c r="BJ7" s="255" t="e">
        <f>IF(AND(BJ$35&lt;=12,BJ$35=Dashboard!$D$14),(Precificação!#REF!+Precificação!#REF!),(Precificação!#REF!+Precificação!#REF!)*BJ$4)</f>
        <v>#REF!</v>
      </c>
      <c r="BK7" s="255" t="e">
        <f>IF(AND(BK$35&lt;=12,BK$35=Dashboard!$D$14),(Precificação!#REF!+Precificação!#REF!),(Precificação!#REF!+Precificação!#REF!)*BK$4)</f>
        <v>#REF!</v>
      </c>
      <c r="BL7" s="255" t="e">
        <f>IF(AND(BL$35&lt;=12,BL$35=Dashboard!$D$14),(Precificação!#REF!+Precificação!#REF!),(Precificação!#REF!+Precificação!#REF!)*BL$4)</f>
        <v>#REF!</v>
      </c>
      <c r="BM7" s="255" t="e">
        <f>IF(AND(BM$35&lt;=12,BM$35=Dashboard!$D$14),(Precificação!#REF!+Precificação!#REF!),(Precificação!#REF!+Precificação!#REF!)*BM$4)</f>
        <v>#REF!</v>
      </c>
      <c r="BN7" s="255" t="e">
        <f>IF(AND(BN$35&lt;=12,BN$35=Dashboard!$D$14),(Precificação!#REF!+Precificação!#REF!),(Precificação!#REF!+Precificação!#REF!)*BN$4)</f>
        <v>#REF!</v>
      </c>
      <c r="BO7" s="255" t="e">
        <f>IF(AND(BO$35&lt;=12,BO$35=Dashboard!$D$14),(Precificação!#REF!+Precificação!#REF!),(Precificação!#REF!+Precificação!#REF!)*BO$4)</f>
        <v>#REF!</v>
      </c>
      <c r="BP7" s="255" t="e">
        <f>IF(AND(BP$35&lt;=12,BP$35=Dashboard!$D$14),(Precificação!#REF!+Precificação!#REF!),(Precificação!#REF!+Precificação!#REF!)*BP$4)</f>
        <v>#REF!</v>
      </c>
    </row>
    <row r="8" spans="2:68" s="71" customFormat="1" ht="12" customHeight="1">
      <c r="B8" s="254" t="s">
        <v>1653</v>
      </c>
      <c r="E8" s="255">
        <f>IF(E$24=Dashboard!$D$14,(Precificação!#REF!+Precificação!#REF!+Precificação!#REF!+Precificação!#REF!+Precificação!#REF!),0)</f>
        <v>0</v>
      </c>
      <c r="F8" s="255">
        <f>IF(F$24=Dashboard!$D$14,(Precificação!$U$616+Precificação!$U$617+Precificação!$U$618+Precificação!$U$624),0)</f>
        <v>0</v>
      </c>
      <c r="G8" s="255">
        <f>IF(G$24=Dashboard!$D$14,(Precificação!$U$616+Precificação!$U$617+Precificação!$U$618+Precificação!$U$624),0)</f>
        <v>0</v>
      </c>
      <c r="H8" s="255">
        <f>IF(H$24=Dashboard!$D$14,(Precificação!$U$616+Precificação!$U$617+Precificação!$U$618+Precificação!$U$624),0)</f>
        <v>0</v>
      </c>
      <c r="I8" s="255">
        <f>IF(I$24=Dashboard!$D$14,(Precificação!$U$616+Precificação!$U$617+Precificação!$U$618+Precificação!$U$624),0)</f>
        <v>0</v>
      </c>
      <c r="J8" s="255">
        <f>IF(J$24=Dashboard!$D$14,(Precificação!$U$616+Precificação!$U$617+Precificação!$U$618+Precificação!$U$624),0)</f>
        <v>0</v>
      </c>
      <c r="K8" s="255">
        <f>IF(K$24=Dashboard!$D$14,(Precificação!$U$616+Precificação!$U$617+Precificação!$U$618+Precificação!$U$624),0)</f>
        <v>0</v>
      </c>
      <c r="L8" s="255">
        <f>IF(L$24=Dashboard!$D$14,(Precificação!$U$616+Precificação!$U$617+Precificação!$U$618+Precificação!$U$624),0)</f>
        <v>0</v>
      </c>
      <c r="M8" s="255">
        <f>IF(M$24=Dashboard!$D$14,(Precificação!$U$616+Precificação!$U$617+Precificação!$U$618+Precificação!$U$624),0)</f>
        <v>0</v>
      </c>
      <c r="N8" s="255">
        <f>IF(N$24=Dashboard!$D$14,(Precificação!$U$616+Precificação!$U$617+Precificação!$U$618+Precificação!$U$624),0)</f>
        <v>22554.445261395573</v>
      </c>
      <c r="O8" s="255">
        <f>IF(O$24=Dashboard!$D$14,(Precificação!$U$616+Precificação!$U$617+Precificação!$U$618+Precificação!$U$624),0)</f>
        <v>0</v>
      </c>
      <c r="P8" s="255">
        <f>IF(P$24=Dashboard!$D$14,(Precificação!$U$616+Precificação!$U$617+Precificação!$U$618+Precificação!$U$624),0)</f>
        <v>0</v>
      </c>
      <c r="Q8" s="255">
        <f>IF(Q$24=Dashboard!$D$14,(Precificação!$U$616+Precificação!$U$617+Precificação!$U$618+Precificação!$U$624),0)</f>
        <v>0</v>
      </c>
      <c r="R8" s="255">
        <f>IF(R$24=Dashboard!$D$14,(Precificação!$U$616+Precificação!$U$617+Precificação!$U$618+Precificação!$U$624),0)</f>
        <v>0</v>
      </c>
      <c r="S8" s="255">
        <f>IF(S$24=Dashboard!$D$14,(Precificação!$U$616+Precificação!$U$617+Precificação!$U$618+Precificação!$U$624),0)</f>
        <v>0</v>
      </c>
      <c r="T8" s="255">
        <f>IF(T$24=Dashboard!$D$14,(Precificação!$U$616+Precificação!$U$617+Precificação!$U$618+Precificação!$U$624),0)</f>
        <v>0</v>
      </c>
      <c r="U8" s="255">
        <f>IF(U$24=Dashboard!$D$14,(Precificação!$U$616+Precificação!$U$617+Precificação!$U$618+Precificação!$U$624),0)</f>
        <v>0</v>
      </c>
      <c r="V8" s="255">
        <f>IF(V$24=Dashboard!$D$14,(Precificação!$U$616+Precificação!$U$617+Precificação!$U$618+Precificação!$U$624),0)</f>
        <v>0</v>
      </c>
      <c r="W8" s="255">
        <f>IF(W$24=Dashboard!$D$14,(Precificação!$U$616+Precificação!$U$617+Precificação!$U$618+Precificação!$U$624),0)</f>
        <v>0</v>
      </c>
      <c r="X8" s="255">
        <f>IF(X$24=Dashboard!$D$14,(Precificação!$U$616+Precificação!$U$617+Precificação!$U$618+Precificação!$U$624),0)</f>
        <v>0</v>
      </c>
      <c r="Y8" s="255">
        <f>IF(Y$24=Dashboard!$D$14,(Precificação!$U$616+Precificação!$U$617+Precificação!$U$618+Precificação!$U$624),0)</f>
        <v>0</v>
      </c>
      <c r="Z8" s="255">
        <f>IF(Z$24=Dashboard!$D$14,(Precificação!$U$616+Precificação!$U$617+Precificação!$U$618+Precificação!$U$624),0)</f>
        <v>0</v>
      </c>
      <c r="AA8" s="255">
        <f>IF(AA$24=Dashboard!$D$14,(Precificação!$U$616+Precificação!$U$617+Precificação!$U$618+Precificação!$U$624),0)</f>
        <v>0</v>
      </c>
      <c r="AB8" s="255">
        <f>IF(AB$24=Dashboard!$D$14,(Precificação!$U$616+Precificação!$U$617+Precificação!$U$618+Precificação!$U$624),0)</f>
        <v>0</v>
      </c>
      <c r="AC8" s="255">
        <f>IF(AC$24=Dashboard!$D$14,(Precificação!$U$616+Precificação!$U$617+Precificação!$U$618+Precificação!$U$624),0)</f>
        <v>0</v>
      </c>
      <c r="AD8" s="255">
        <f>IF(AD$24=Dashboard!$D$14,(Precificação!$U$616+Precificação!$U$617+Precificação!$U$618+Precificação!$U$624),0)</f>
        <v>0</v>
      </c>
      <c r="AE8" s="255">
        <f>IF(AE$24=Dashboard!$D$14,(Precificação!$U$616+Precificação!$U$617+Precificação!$U$618+Precificação!$U$624),0)</f>
        <v>0</v>
      </c>
      <c r="AF8" s="255">
        <f>IF(AF$24=Dashboard!$D$14,(Precificação!$U$616+Precificação!$U$617+Precificação!$U$618+Precificação!$U$624),0)</f>
        <v>0</v>
      </c>
      <c r="AG8" s="255">
        <f>IF(AG$24=Dashboard!$D$14,(Precificação!$U$616+Precificação!$U$617+Precificação!$U$618+Precificação!$U$624),0)</f>
        <v>0</v>
      </c>
      <c r="AH8" s="255">
        <f>IF(AH$24=Dashboard!$D$14,(Precificação!$U$616+Precificação!$U$617+Precificação!$U$618+Precificação!$U$624),0)</f>
        <v>0</v>
      </c>
      <c r="AI8" s="255">
        <f>IF(AI$24=Dashboard!$D$14,(Precificação!$U$616+Precificação!$U$617+Precificação!$U$618+Precificação!$U$624),0)</f>
        <v>0</v>
      </c>
      <c r="AJ8" s="255">
        <f>IF(AJ$24=Dashboard!$D$14,(Precificação!$U$616+Precificação!$U$617+Precificação!$U$618+Precificação!$U$624),0)</f>
        <v>0</v>
      </c>
      <c r="AK8" s="255">
        <f>IF(AK$24=Dashboard!$D$14,(Precificação!$U$616+Precificação!$U$617+Precificação!$U$618+Precificação!$U$624),0)</f>
        <v>0</v>
      </c>
      <c r="AL8" s="255">
        <f>IF(AL$24=Dashboard!$D$14,(Precificação!$U$616+Precificação!$U$617+Precificação!$U$618+Precificação!$U$624),0)</f>
        <v>0</v>
      </c>
      <c r="AM8" s="255">
        <f>IF(AM$24=Dashboard!$D$14,(Precificação!$U$616+Precificação!$U$617+Precificação!$U$618+Precificação!$U$624),0)</f>
        <v>0</v>
      </c>
      <c r="AN8" s="255">
        <f>IF(AN$24=Dashboard!$D$14,(Precificação!$U$616+Precificação!$U$617+Precificação!$U$618+Precificação!$U$624),0)</f>
        <v>0</v>
      </c>
      <c r="AO8" s="255">
        <f>IF(AO$24=Dashboard!$D$14,(Precificação!$U$616+Precificação!$U$617+Precificação!$U$618+Precificação!$U$624),0)</f>
        <v>0</v>
      </c>
      <c r="AP8" s="255">
        <f>IF(AP$24=Dashboard!$D$14,(Precificação!$U$616+Precificação!$U$617+Precificação!$U$618+Precificação!$U$624),0)</f>
        <v>0</v>
      </c>
      <c r="AQ8" s="255">
        <f>IF(AQ$24=Dashboard!$D$14,(Precificação!$U$616+Precificação!$U$617+Precificação!$U$618+Precificação!$U$624),0)</f>
        <v>0</v>
      </c>
      <c r="AR8" s="255">
        <f>IF(AR$24=Dashboard!$D$14,(Precificação!$U$616+Precificação!$U$617+Precificação!$U$618+Precificação!$U$624),0)</f>
        <v>0</v>
      </c>
      <c r="AS8" s="255">
        <f>IF(AS$24=Dashboard!$D$14,(Precificação!$U$616+Precificação!$U$617+Precificação!$U$618+Precificação!$U$624),0)</f>
        <v>0</v>
      </c>
      <c r="AT8" s="255">
        <f>IF(AT$24=Dashboard!$D$14,(Precificação!$U$616+Precificação!$U$617+Precificação!$U$618+Precificação!$U$624),0)</f>
        <v>0</v>
      </c>
      <c r="AU8" s="255">
        <f>IF(AU$24=Dashboard!$D$14,(Precificação!$U$616+Precificação!$U$617+Precificação!$U$618+Precificação!$U$624),0)</f>
        <v>0</v>
      </c>
      <c r="AV8" s="255">
        <f>IF(AV$24=Dashboard!$D$14,(Precificação!$U$616+Precificação!$U$617+Precificação!$U$618+Precificação!$U$624),0)</f>
        <v>0</v>
      </c>
      <c r="AW8" s="255">
        <f>IF(AW$24=Dashboard!$D$14,(Precificação!$U$616+Precificação!$U$617+Precificação!$U$618+Precificação!$U$624),0)</f>
        <v>0</v>
      </c>
      <c r="AX8" s="255">
        <f>IF(AX$24=Dashboard!$D$14,(Precificação!$U$616+Precificação!$U$617+Precificação!$U$618+Precificação!$U$624),0)</f>
        <v>0</v>
      </c>
      <c r="AY8" s="255">
        <f>IF(AY$24=Dashboard!$D$14,(Precificação!$U$616+Precificação!$U$617+Precificação!$U$618+Precificação!$U$624),0)</f>
        <v>0</v>
      </c>
      <c r="AZ8" s="255">
        <f>IF(AZ$24=Dashboard!$D$14,(Precificação!$U$616+Precificação!$U$617+Precificação!$U$618+Precificação!$U$624),0)</f>
        <v>0</v>
      </c>
      <c r="BA8" s="255">
        <f>IF(BA$24=Dashboard!$D$14,(Precificação!$U$616+Precificação!$U$617+Precificação!$U$618+Precificação!$U$624),0)</f>
        <v>0</v>
      </c>
      <c r="BB8" s="255">
        <f>IF(BB$24=Dashboard!$D$14,(Precificação!$U$616+Precificação!$U$617+Precificação!$U$618+Precificação!$U$624),0)</f>
        <v>0</v>
      </c>
      <c r="BC8" s="255">
        <f>IF(BC$24=Dashboard!$D$14,(Precificação!$U$616+Precificação!$U$617+Precificação!$U$618+Precificação!$U$624),0)</f>
        <v>0</v>
      </c>
      <c r="BD8" s="255">
        <f>IF(BD$24=Dashboard!$D$14,(Precificação!$U$616+Precificação!$U$617+Precificação!$U$618+Precificação!$U$624),0)</f>
        <v>0</v>
      </c>
      <c r="BE8" s="255">
        <f>IF(BE$24=Dashboard!$D$14,(Precificação!$U$616+Precificação!$U$617+Precificação!$U$618+Precificação!$U$624),0)</f>
        <v>0</v>
      </c>
      <c r="BF8" s="255">
        <f>IF(BF$24=Dashboard!$D$14,(Precificação!$U$616+Precificação!$U$617+Precificação!$U$618+Precificação!$U$624),0)</f>
        <v>0</v>
      </c>
      <c r="BG8" s="255">
        <f>IF(BG$24=Dashboard!$D$14,(Precificação!$U$616+Precificação!$U$617+Precificação!$U$618+Precificação!$U$624),0)</f>
        <v>0</v>
      </c>
      <c r="BH8" s="255">
        <f>IF(BH$24=Dashboard!$D$14,(Precificação!$U$616+Precificação!$U$617+Precificação!$U$618+Precificação!$U$624),0)</f>
        <v>0</v>
      </c>
      <c r="BI8" s="255">
        <f>IF(BI$24=Dashboard!$D$14,(Precificação!$U$616+Precificação!$U$617+Precificação!$U$618+Precificação!$U$624),0)</f>
        <v>0</v>
      </c>
      <c r="BJ8" s="255">
        <f>IF(BJ$24=Dashboard!$D$14,(Precificação!$U$616+Precificação!$U$617+Precificação!$U$618+Precificação!$U$624),0)</f>
        <v>0</v>
      </c>
      <c r="BK8" s="255">
        <f>IF(BK$24=Dashboard!$D$14,(Precificação!$U$616+Precificação!$U$617+Precificação!$U$618+Precificação!$U$624),0)</f>
        <v>0</v>
      </c>
      <c r="BL8" s="255">
        <f>IF(BL$24=Dashboard!$D$14,(Precificação!$U$616+Precificação!$U$617+Precificação!$U$618+Precificação!$U$624),0)</f>
        <v>0</v>
      </c>
      <c r="BM8" s="255">
        <f>IF(BM$24=Dashboard!$D$14,(Precificação!$U$616+Precificação!$U$617+Precificação!$U$618+Precificação!$U$624),0)</f>
        <v>0</v>
      </c>
      <c r="BN8" s="255">
        <f>IF(BN$24=Dashboard!$D$14,(Precificação!$U$616+Precificação!$U$617+Precificação!$U$618+Precificação!$U$624),0)</f>
        <v>0</v>
      </c>
      <c r="BO8" s="255">
        <f>IF(BO$24=Dashboard!$D$14,(Precificação!$U$616+Precificação!$U$617+Precificação!$U$618+Precificação!$U$624),0)</f>
        <v>0</v>
      </c>
      <c r="BP8" s="255">
        <f>IF(BP$24=Dashboard!$D$14,(Precificação!$U$616+Precificação!$U$617+Precificação!$U$618+Precificação!$U$624),0)</f>
        <v>0</v>
      </c>
    </row>
    <row r="9" spans="2:68" s="71" customFormat="1" ht="12" customHeight="1">
      <c r="B9" s="256"/>
    </row>
    <row r="10" spans="2:68" s="71" customFormat="1" ht="12" customHeight="1">
      <c r="B10" s="254" t="s">
        <v>1654</v>
      </c>
      <c r="C10" s="257"/>
      <c r="E10" s="255">
        <f>E$27*SUM(Precificação!$U$592:$U$600,Precificação!$U$604:$U$606,Precificação!$U$608:$U$610,Precificação!$U$612,Precificação!$U$623)</f>
        <v>4208.5110532827312</v>
      </c>
      <c r="F10" s="255">
        <f>F$27*SUM(Precificação!$U$592:$U$600,Precificação!$U$604:$U$606,Precificação!$U$608:$U$610,Precificação!$U$612,Precificação!$U$623)</f>
        <v>4208.5110532827312</v>
      </c>
      <c r="G10" s="255">
        <f>G$27*SUM(Precificação!$U$592:$U$600,Precificação!$U$604:$U$606,Precificação!$U$608:$U$610,Precificação!$U$612,Precificação!$U$623)</f>
        <v>4208.5110532827312</v>
      </c>
      <c r="H10" s="255">
        <f>H$27*SUM(Precificação!$U$592:$U$600,Precificação!$U$604:$U$606,Precificação!$U$608:$U$610,Precificação!$U$612,Precificação!$U$623)</f>
        <v>4208.5110532827312</v>
      </c>
      <c r="I10" s="255">
        <f>I$27*SUM(Precificação!$U$592:$U$600,Precificação!$U$604:$U$606,Precificação!$U$608:$U$610,Precificação!$U$612,Precificação!$U$623)</f>
        <v>4208.5110532827312</v>
      </c>
      <c r="J10" s="255">
        <f>J$27*SUM(Precificação!$U$592:$U$600,Precificação!$U$604:$U$606,Precificação!$U$608:$U$610,Precificação!$U$612,Precificação!$U$623)</f>
        <v>4208.5110532827312</v>
      </c>
      <c r="K10" s="255">
        <f>K$27*SUM(Precificação!$U$592:$U$600,Precificação!$U$604:$U$606,Precificação!$U$608:$U$610,Precificação!$U$612,Precificação!$U$623)</f>
        <v>4208.5110532827312</v>
      </c>
      <c r="L10" s="255">
        <f>L$27*SUM(Precificação!$U$592:$U$600,Precificação!$U$604:$U$606,Precificação!$U$608:$U$610,Precificação!$U$612,Precificação!$U$623)</f>
        <v>4208.5110532827312</v>
      </c>
      <c r="M10" s="255">
        <f>M$27*SUM(Precificação!$U$592:$U$600,Precificação!$U$604:$U$606,Precificação!$U$608:$U$610,Precificação!$U$612,Precificação!$U$623)</f>
        <v>4208.5110532827312</v>
      </c>
      <c r="N10" s="255">
        <f>N$27*SUM(Precificação!$U$592:$U$600,Precificação!$U$604:$U$606,Precificação!$U$608:$U$610,Precificação!$U$612,Precificação!$U$623)</f>
        <v>4208.5110532827312</v>
      </c>
      <c r="O10" s="255">
        <f>O$27*SUM(Precificação!$U$592:$U$600,Precificação!$U$604:$U$606,Precificação!$U$608:$U$610,Precificação!$U$612,Precificação!$U$623)</f>
        <v>0</v>
      </c>
      <c r="P10" s="255">
        <f>P$27*SUM(Precificação!$U$592:$U$600,Precificação!$U$604:$U$606,Precificação!$U$608:$U$610,Precificação!$U$612,Precificação!$U$623)</f>
        <v>0</v>
      </c>
      <c r="Q10" s="255">
        <f>Q$27*SUM(Precificação!$U$592:$U$600,Precificação!$U$604:$U$606,Precificação!$U$608:$U$610,Precificação!$U$612,Precificação!$U$623)</f>
        <v>0</v>
      </c>
      <c r="R10" s="255">
        <f>R$27*SUM(Precificação!$U$592:$U$600,Precificação!$U$604:$U$606,Precificação!$U$608:$U$610,Precificação!$U$612,Precificação!$U$623)</f>
        <v>0</v>
      </c>
      <c r="S10" s="255">
        <f>S$27*SUM(Precificação!$U$592:$U$600,Precificação!$U$604:$U$606,Precificação!$U$608:$U$610,Precificação!$U$612,Precificação!$U$623)</f>
        <v>0</v>
      </c>
      <c r="T10" s="255">
        <f>T$27*SUM(Precificação!$U$592:$U$600,Precificação!$U$604:$U$606,Precificação!$U$608:$U$610,Precificação!$U$612,Precificação!$U$623)</f>
        <v>0</v>
      </c>
      <c r="U10" s="255">
        <f>U$27*SUM(Precificação!$U$592:$U$600,Precificação!$U$604:$U$606,Precificação!$U$608:$U$610,Precificação!$U$612,Precificação!$U$623)</f>
        <v>0</v>
      </c>
      <c r="V10" s="255">
        <f>V$27*SUM(Precificação!$U$592:$U$600,Precificação!$U$604:$U$606,Precificação!$U$608:$U$610,Precificação!$U$612,Precificação!$U$623)</f>
        <v>0</v>
      </c>
      <c r="W10" s="255">
        <f>W$27*SUM(Precificação!$U$592:$U$600,Precificação!$U$604:$U$606,Precificação!$U$608:$U$610,Precificação!$U$612,Precificação!$U$623)</f>
        <v>0</v>
      </c>
      <c r="X10" s="255">
        <f>X$27*SUM(Precificação!$U$592:$U$600,Precificação!$U$604:$U$606,Precificação!$U$608:$U$610,Precificação!$U$612,Precificação!$U$623)</f>
        <v>0</v>
      </c>
      <c r="Y10" s="255">
        <f>Y$27*SUM(Precificação!$U$592:$U$600,Precificação!$U$604:$U$606,Precificação!$U$608:$U$610,Precificação!$U$612,Precificação!$U$623)</f>
        <v>0</v>
      </c>
      <c r="Z10" s="255">
        <f>Z$27*SUM(Precificação!$U$592:$U$600,Precificação!$U$604:$U$606,Precificação!$U$608:$U$610,Precificação!$U$612,Precificação!$U$623)</f>
        <v>0</v>
      </c>
      <c r="AA10" s="255">
        <f>AA$27*SUM(Precificação!$U$592:$U$600,Precificação!$U$604:$U$606,Precificação!$U$608:$U$610,Precificação!$U$612,Precificação!$U$623)</f>
        <v>0</v>
      </c>
      <c r="AB10" s="255">
        <f>AB$27*SUM(Precificação!$U$592:$U$600,Precificação!$U$604:$U$606,Precificação!$U$608:$U$610,Precificação!$U$612,Precificação!$U$623)</f>
        <v>0</v>
      </c>
      <c r="AC10" s="255">
        <f>AC$27*SUM(Precificação!$U$592:$U$600,Precificação!$U$604:$U$606,Precificação!$U$608:$U$610,Precificação!$U$612,Precificação!$U$623)</f>
        <v>0</v>
      </c>
      <c r="AD10" s="255">
        <f>AD$27*SUM(Precificação!$U$592:$U$600,Precificação!$U$604:$U$606,Precificação!$U$608:$U$610,Precificação!$U$612,Precificação!$U$623)</f>
        <v>0</v>
      </c>
      <c r="AE10" s="255">
        <f>AE$27*SUM(Precificação!$U$592:$U$600,Precificação!$U$604:$U$606,Precificação!$U$608:$U$610,Precificação!$U$612,Precificação!$U$623)</f>
        <v>0</v>
      </c>
      <c r="AF10" s="255">
        <f>AF$27*SUM(Precificação!$U$592:$U$600,Precificação!$U$604:$U$606,Precificação!$U$608:$U$610,Precificação!$U$612,Precificação!$U$623)</f>
        <v>0</v>
      </c>
      <c r="AG10" s="255">
        <f>AG$27*SUM(Precificação!$U$592:$U$600,Precificação!$U$604:$U$606,Precificação!$U$608:$U$610,Precificação!$U$612,Precificação!$U$623)</f>
        <v>0</v>
      </c>
      <c r="AH10" s="255">
        <f>AH$27*SUM(Precificação!$U$592:$U$600,Precificação!$U$604:$U$606,Precificação!$U$608:$U$610,Precificação!$U$612,Precificação!$U$623)</f>
        <v>0</v>
      </c>
      <c r="AI10" s="255">
        <f>AI$27*SUM(Precificação!$U$592:$U$600,Precificação!$U$604:$U$606,Precificação!$U$608:$U$610,Precificação!$U$612,Precificação!$U$623)</f>
        <v>0</v>
      </c>
      <c r="AJ10" s="255">
        <f>AJ$27*SUM(Precificação!$U$592:$U$600,Precificação!$U$604:$U$606,Precificação!$U$608:$U$610,Precificação!$U$612,Precificação!$U$623)</f>
        <v>0</v>
      </c>
      <c r="AK10" s="255">
        <f>AK$27*SUM(Precificação!$U$592:$U$600,Precificação!$U$604:$U$606,Precificação!$U$608:$U$610,Precificação!$U$612,Precificação!$U$623)</f>
        <v>0</v>
      </c>
      <c r="AL10" s="255">
        <f>AL$27*SUM(Precificação!$U$592:$U$600,Precificação!$U$604:$U$606,Precificação!$U$608:$U$610,Precificação!$U$612,Precificação!$U$623)</f>
        <v>0</v>
      </c>
      <c r="AM10" s="255">
        <f>AM$27*SUM(Precificação!$U$592:$U$600,Precificação!$U$604:$U$606,Precificação!$U$608:$U$610,Precificação!$U$612,Precificação!$U$623)</f>
        <v>0</v>
      </c>
      <c r="AN10" s="255">
        <f>AN$27*SUM(Precificação!$U$592:$U$600,Precificação!$U$604:$U$606,Precificação!$U$608:$U$610,Precificação!$U$612,Precificação!$U$623)</f>
        <v>0</v>
      </c>
      <c r="AO10" s="255">
        <f>AO$27*SUM(Precificação!$U$592:$U$600,Precificação!$U$604:$U$606,Precificação!$U$608:$U$610,Precificação!$U$612,Precificação!$U$623)</f>
        <v>0</v>
      </c>
      <c r="AP10" s="255">
        <f>AP$27*SUM(Precificação!$U$592:$U$600,Precificação!$U$604:$U$606,Precificação!$U$608:$U$610,Precificação!$U$612,Precificação!$U$623)</f>
        <v>0</v>
      </c>
      <c r="AQ10" s="255">
        <f>AQ$27*SUM(Precificação!$U$592:$U$600,Precificação!$U$604:$U$606,Precificação!$U$608:$U$610,Precificação!$U$612,Precificação!$U$623)</f>
        <v>0</v>
      </c>
      <c r="AR10" s="255">
        <f>AR$27*SUM(Precificação!$U$592:$U$600,Precificação!$U$604:$U$606,Precificação!$U$608:$U$610,Precificação!$U$612,Precificação!$U$623)</f>
        <v>0</v>
      </c>
      <c r="AS10" s="255">
        <f>AS$27*SUM(Precificação!$U$592:$U$600,Precificação!$U$604:$U$606,Precificação!$U$608:$U$610,Precificação!$U$612,Precificação!$U$623)</f>
        <v>0</v>
      </c>
      <c r="AT10" s="255">
        <f>AT$27*SUM(Precificação!$U$592:$U$600,Precificação!$U$604:$U$606,Precificação!$U$608:$U$610,Precificação!$U$612,Precificação!$U$623)</f>
        <v>0</v>
      </c>
      <c r="AU10" s="255">
        <f>AU$27*SUM(Precificação!$U$592:$U$600,Precificação!$U$604:$U$606,Precificação!$U$608:$U$610,Precificação!$U$612,Precificação!$U$623)</f>
        <v>0</v>
      </c>
      <c r="AV10" s="255">
        <f>AV$27*SUM(Precificação!$U$592:$U$600,Precificação!$U$604:$U$606,Precificação!$U$608:$U$610,Precificação!$U$612,Precificação!$U$623)</f>
        <v>0</v>
      </c>
      <c r="AW10" s="255">
        <f>AW$27*SUM(Precificação!$U$592:$U$600,Precificação!$U$604:$U$606,Precificação!$U$608:$U$610,Precificação!$U$612,Precificação!$U$623)</f>
        <v>0</v>
      </c>
      <c r="AX10" s="255">
        <f>AX$27*SUM(Precificação!$U$592:$U$600,Precificação!$U$604:$U$606,Precificação!$U$608:$U$610,Precificação!$U$612,Precificação!$U$623)</f>
        <v>0</v>
      </c>
      <c r="AY10" s="255">
        <f>AY$27*SUM(Precificação!$U$592:$U$600,Precificação!$U$604:$U$606,Precificação!$U$608:$U$610,Precificação!$U$612,Precificação!$U$623)</f>
        <v>0</v>
      </c>
      <c r="AZ10" s="255">
        <f>AZ$27*SUM(Precificação!$U$592:$U$600,Precificação!$U$604:$U$606,Precificação!$U$608:$U$610,Precificação!$U$612,Precificação!$U$623)</f>
        <v>0</v>
      </c>
      <c r="BA10" s="255">
        <f>BA$27*SUM(Precificação!$U$592:$U$600,Precificação!$U$604:$U$606,Precificação!$U$608:$U$610,Precificação!$U$612,Precificação!$U$623)</f>
        <v>0</v>
      </c>
      <c r="BB10" s="255">
        <f>BB$27*SUM(Precificação!$U$592:$U$600,Precificação!$U$604:$U$606,Precificação!$U$608:$U$610,Precificação!$U$612,Precificação!$U$623)</f>
        <v>0</v>
      </c>
      <c r="BC10" s="255">
        <f>BC$27*SUM(Precificação!$U$592:$U$600,Precificação!$U$604:$U$606,Precificação!$U$608:$U$610,Precificação!$U$612,Precificação!$U$623)</f>
        <v>0</v>
      </c>
      <c r="BD10" s="255">
        <f>BD$27*SUM(Precificação!$U$592:$U$600,Precificação!$U$604:$U$606,Precificação!$U$608:$U$610,Precificação!$U$612,Precificação!$U$623)</f>
        <v>0</v>
      </c>
      <c r="BE10" s="255">
        <f>BE$27*SUM(Precificação!$U$592:$U$600,Precificação!$U$604:$U$606,Precificação!$U$608:$U$610,Precificação!$U$612,Precificação!$U$623)</f>
        <v>0</v>
      </c>
      <c r="BF10" s="255">
        <f>BF$27*SUM(Precificação!$U$592:$U$600,Precificação!$U$604:$U$606,Precificação!$U$608:$U$610,Precificação!$U$612,Precificação!$U$623)</f>
        <v>0</v>
      </c>
      <c r="BG10" s="255">
        <f>BG$27*SUM(Precificação!$U$592:$U$600,Precificação!$U$604:$U$606,Precificação!$U$608:$U$610,Precificação!$U$612,Precificação!$U$623)</f>
        <v>0</v>
      </c>
      <c r="BH10" s="255">
        <f>BH$27*SUM(Precificação!$U$592:$U$600,Precificação!$U$604:$U$606,Precificação!$U$608:$U$610,Precificação!$U$612,Precificação!$U$623)</f>
        <v>0</v>
      </c>
      <c r="BI10" s="255">
        <f>BI$27*SUM(Precificação!$U$592:$U$600,Precificação!$U$604:$U$606,Precificação!$U$608:$U$610,Precificação!$U$612,Precificação!$U$623)</f>
        <v>0</v>
      </c>
      <c r="BJ10" s="255">
        <f>BJ$27*SUM(Precificação!$U$592:$U$600,Precificação!$U$604:$U$606,Precificação!$U$608:$U$610,Precificação!$U$612,Precificação!$U$623)</f>
        <v>0</v>
      </c>
      <c r="BK10" s="255">
        <f>BK$27*SUM(Precificação!$U$592:$U$600,Precificação!$U$604:$U$606,Precificação!$U$608:$U$610,Precificação!$U$612,Precificação!$U$623)</f>
        <v>0</v>
      </c>
      <c r="BL10" s="255">
        <f>BL$27*SUM(Precificação!$U$592:$U$600,Precificação!$U$604:$U$606,Precificação!$U$608:$U$610,Precificação!$U$612,Precificação!$U$623)</f>
        <v>0</v>
      </c>
      <c r="BM10" s="255">
        <f>BM$27*SUM(Precificação!$U$592:$U$600,Precificação!$U$604:$U$606,Precificação!$U$608:$U$610,Precificação!$U$612,Precificação!$U$623)</f>
        <v>0</v>
      </c>
      <c r="BN10" s="255">
        <f>BN$27*SUM(Precificação!$U$592:$U$600,Precificação!$U$604:$U$606,Precificação!$U$608:$U$610,Precificação!$U$612,Precificação!$U$623)</f>
        <v>0</v>
      </c>
      <c r="BO10" s="255">
        <f>BO$27*SUM(Precificação!$U$592:$U$600,Precificação!$U$604:$U$606,Precificação!$U$608:$U$610,Precificação!$U$612,Precificação!$U$623)</f>
        <v>0</v>
      </c>
      <c r="BP10" s="255">
        <f>BP$27*SUM(Precificação!$U$592:$U$600,Precificação!$U$604:$U$606,Precificação!$U$608:$U$610,Precificação!$U$612,Precificação!$U$623)</f>
        <v>0</v>
      </c>
    </row>
    <row r="11" spans="2:68" s="71" customFormat="1" ht="12" customHeight="1">
      <c r="B11" s="254" t="s">
        <v>1655</v>
      </c>
      <c r="C11" s="257"/>
      <c r="E11" s="255">
        <f>IF(AND(E$35&lt;=12,E$35=Dashboard!$D$14),(Precificação!$U$607+Precificação!$U$611),(Precificação!$U$607+Precificação!$U$611)*E$4)</f>
        <v>0</v>
      </c>
      <c r="F11" s="255">
        <f>IF(AND(F$35&lt;=12,F$35=Dashboard!$D$14),(Precificação!$U$607+Precificação!$U$611),(Precificação!$U$607+Precificação!$U$611)*F$4)</f>
        <v>0</v>
      </c>
      <c r="G11" s="255">
        <f>IF(AND(G$35&lt;=12,G$35=Dashboard!$D$14),(Precificação!$U$607+Precificação!$U$611),(Precificação!$U$607+Precificação!$U$611)*G$4)</f>
        <v>0</v>
      </c>
      <c r="H11" s="255">
        <f>IF(AND(H$35&lt;=12,H$35=Dashboard!$D$14),(Precificação!$U$607+Precificação!$U$611),(Precificação!$U$607+Precificação!$U$611)*H$4)</f>
        <v>0</v>
      </c>
      <c r="I11" s="255">
        <f>IF(AND(I$35&lt;=12,I$35=Dashboard!$D$14),(Precificação!$U$607+Precificação!$U$611),(Precificação!$U$607+Precificação!$U$611)*I$4)</f>
        <v>0</v>
      </c>
      <c r="J11" s="255">
        <f>IF(AND(J$35&lt;=12,J$35=Dashboard!$D$14),(Precificação!$U$607+Precificação!$U$611),(Precificação!$U$607+Precificação!$U$611)*J$4)</f>
        <v>0</v>
      </c>
      <c r="K11" s="255">
        <f>IF(AND(K$35&lt;=12,K$35=Dashboard!$D$14),(Precificação!$U$607+Precificação!$U$611),(Precificação!$U$607+Precificação!$U$611)*K$4)</f>
        <v>0</v>
      </c>
      <c r="L11" s="255">
        <f>IF(AND(L$35&lt;=12,L$35=Dashboard!$D$14),(Precificação!$U$607+Precificação!$U$611),(Precificação!$U$607+Precificação!$U$611)*L$4)</f>
        <v>0</v>
      </c>
      <c r="M11" s="255">
        <f>IF(AND(M$35&lt;=12,M$35=Dashboard!$D$14),(Precificação!$U$607+Precificação!$U$611),(Precificação!$U$607+Precificação!$U$611)*M$4)</f>
        <v>0</v>
      </c>
      <c r="N11" s="255">
        <f>IF(AND(N$35&lt;=12,N$35=Dashboard!$D$14),(Precificação!$U$607+Precificação!$U$611),(Precificação!$U$607+Precificação!$U$611)*N$4)</f>
        <v>19512.894839075998</v>
      </c>
      <c r="O11" s="255">
        <f>IF(AND(O$35&lt;=12,O$35=Dashboard!$D$14),(Precificação!$U$607+Precificação!$U$611),(Precificação!$U$607+Precificação!$U$611)*O$4)</f>
        <v>0</v>
      </c>
      <c r="P11" s="255">
        <f>IF(AND(P$35&lt;=12,P$35=Dashboard!$D$14),(Precificação!$U$607+Precificação!$U$611),(Precificação!$U$607+Precificação!$U$611)*P$4)</f>
        <v>0</v>
      </c>
      <c r="Q11" s="255">
        <f>IF(AND(Q$35&lt;=12,Q$35=Dashboard!$D$14),(Precificação!$U$607+Precificação!$U$611),(Precificação!$U$607+Precificação!$U$611)*Q$4)</f>
        <v>0</v>
      </c>
      <c r="R11" s="255">
        <f>IF(AND(R$35&lt;=12,R$35=Dashboard!$D$14),(Precificação!$U$607+Precificação!$U$611),(Precificação!$U$607+Precificação!$U$611)*R$4)</f>
        <v>0</v>
      </c>
      <c r="S11" s="255">
        <f>IF(AND(S$35&lt;=12,S$35=Dashboard!$D$14),(Precificação!$U$607+Precificação!$U$611),(Precificação!$U$607+Precificação!$U$611)*S$4)</f>
        <v>0</v>
      </c>
      <c r="T11" s="255">
        <f>IF(AND(T$35&lt;=12,T$35=Dashboard!$D$14),(Precificação!$U$607+Precificação!$U$611),(Precificação!$U$607+Precificação!$U$611)*T$4)</f>
        <v>0</v>
      </c>
      <c r="U11" s="255">
        <f>IF(AND(U$35&lt;=12,U$35=Dashboard!$D$14),(Precificação!$U$607+Precificação!$U$611),(Precificação!$U$607+Precificação!$U$611)*U$4)</f>
        <v>0</v>
      </c>
      <c r="V11" s="255">
        <f>IF(AND(V$35&lt;=12,V$35=Dashboard!$D$14),(Precificação!$U$607+Precificação!$U$611),(Precificação!$U$607+Precificação!$U$611)*V$4)</f>
        <v>0</v>
      </c>
      <c r="W11" s="255">
        <f>IF(AND(W$35&lt;=12,W$35=Dashboard!$D$14),(Precificação!$U$607+Precificação!$U$611),(Precificação!$U$607+Precificação!$U$611)*W$4)</f>
        <v>0</v>
      </c>
      <c r="X11" s="255">
        <f>IF(AND(X$35&lt;=12,X$35=Dashboard!$D$14),(Precificação!$U$607+Precificação!$U$611),(Precificação!$U$607+Precificação!$U$611)*X$4)</f>
        <v>0</v>
      </c>
      <c r="Y11" s="255">
        <f>IF(AND(Y$35&lt;=12,Y$35=Dashboard!$D$14),(Precificação!$U$607+Precificação!$U$611),(Precificação!$U$607+Precificação!$U$611)*Y$4)</f>
        <v>0</v>
      </c>
      <c r="Z11" s="255">
        <f>IF(AND(Z$35&lt;=12,Z$35=Dashboard!$D$14),(Precificação!$U$607+Precificação!$U$611),(Precificação!$U$607+Precificação!$U$611)*Z$4)</f>
        <v>0</v>
      </c>
      <c r="AA11" s="255">
        <f>IF(AND(AA$35&lt;=12,AA$35=Dashboard!$D$14),(Precificação!$U$607+Precificação!$U$611),(Precificação!$U$607+Precificação!$U$611)*AA$4)</f>
        <v>0</v>
      </c>
      <c r="AB11" s="255">
        <f>IF(AND(AB$35&lt;=12,AB$35=Dashboard!$D$14),(Precificação!$U$607+Precificação!$U$611),(Precificação!$U$607+Precificação!$U$611)*AB$4)</f>
        <v>0</v>
      </c>
      <c r="AC11" s="255">
        <f>IF(AND(AC$35&lt;=12,AC$35=Dashboard!$D$14),(Precificação!$U$607+Precificação!$U$611),(Precificação!$U$607+Precificação!$U$611)*AC$4)</f>
        <v>0</v>
      </c>
      <c r="AD11" s="255">
        <f>IF(AND(AD$35&lt;=12,AD$35=Dashboard!$D$14),(Precificação!$U$607+Precificação!$U$611),(Precificação!$U$607+Precificação!$U$611)*AD$4)</f>
        <v>0</v>
      </c>
      <c r="AE11" s="255">
        <f>IF(AND(AE$35&lt;=12,AE$35=Dashboard!$D$14),(Precificação!$U$607+Precificação!$U$611),(Precificação!$U$607+Precificação!$U$611)*AE$4)</f>
        <v>0</v>
      </c>
      <c r="AF11" s="255">
        <f>IF(AND(AF$35&lt;=12,AF$35=Dashboard!$D$14),(Precificação!$U$607+Precificação!$U$611),(Precificação!$U$607+Precificação!$U$611)*AF$4)</f>
        <v>0</v>
      </c>
      <c r="AG11" s="255">
        <f>IF(AND(AG$35&lt;=12,AG$35=Dashboard!$D$14),(Precificação!$U$607+Precificação!$U$611),(Precificação!$U$607+Precificação!$U$611)*AG$4)</f>
        <v>0</v>
      </c>
      <c r="AH11" s="255">
        <f>IF(AND(AH$35&lt;=12,AH$35=Dashboard!$D$14),(Precificação!$U$607+Precificação!$U$611),(Precificação!$U$607+Precificação!$U$611)*AH$4)</f>
        <v>0</v>
      </c>
      <c r="AI11" s="255">
        <f>IF(AND(AI$35&lt;=12,AI$35=Dashboard!$D$14),(Precificação!$U$607+Precificação!$U$611),(Precificação!$U$607+Precificação!$U$611)*AI$4)</f>
        <v>0</v>
      </c>
      <c r="AJ11" s="255">
        <f>IF(AND(AJ$35&lt;=12,AJ$35=Dashboard!$D$14),(Precificação!$U$607+Precificação!$U$611),(Precificação!$U$607+Precificação!$U$611)*AJ$4)</f>
        <v>0</v>
      </c>
      <c r="AK11" s="255">
        <f>IF(AND(AK$35&lt;=12,AK$35=Dashboard!$D$14),(Precificação!$U$607+Precificação!$U$611),(Precificação!$U$607+Precificação!$U$611)*AK$4)</f>
        <v>0</v>
      </c>
      <c r="AL11" s="255">
        <f>IF(AND(AL$35&lt;=12,AL$35=Dashboard!$D$14),(Precificação!$U$607+Precificação!$U$611),(Precificação!$U$607+Precificação!$U$611)*AL$4)</f>
        <v>0</v>
      </c>
      <c r="AM11" s="255">
        <f>IF(AND(AM$35&lt;=12,AM$35=Dashboard!$D$14),(Precificação!$U$607+Precificação!$U$611),(Precificação!$U$607+Precificação!$U$611)*AM$4)</f>
        <v>0</v>
      </c>
      <c r="AN11" s="255">
        <f>IF(AND(AN$35&lt;=12,AN$35=Dashboard!$D$14),(Precificação!$U$607+Precificação!$U$611),(Precificação!$U$607+Precificação!$U$611)*AN$4)</f>
        <v>0</v>
      </c>
      <c r="AO11" s="255">
        <f>IF(AND(AO$35&lt;=12,AO$35=Dashboard!$D$14),(Precificação!$U$607+Precificação!$U$611),(Precificação!$U$607+Precificação!$U$611)*AO$4)</f>
        <v>0</v>
      </c>
      <c r="AP11" s="255">
        <f>IF(AND(AP$35&lt;=12,AP$35=Dashboard!$D$14),(Precificação!$U$607+Precificação!$U$611),(Precificação!$U$607+Precificação!$U$611)*AP$4)</f>
        <v>0</v>
      </c>
      <c r="AQ11" s="255">
        <f>IF(AND(AQ$35&lt;=12,AQ$35=Dashboard!$D$14),(Precificação!$U$607+Precificação!$U$611),(Precificação!$U$607+Precificação!$U$611)*AQ$4)</f>
        <v>0</v>
      </c>
      <c r="AR11" s="255">
        <f>IF(AND(AR$35&lt;=12,AR$35=Dashboard!$D$14),(Precificação!$U$607+Precificação!$U$611),(Precificação!$U$607+Precificação!$U$611)*AR$4)</f>
        <v>0</v>
      </c>
      <c r="AS11" s="255">
        <f>IF(AND(AS$35&lt;=12,AS$35=Dashboard!$D$14),(Precificação!$U$607+Precificação!$U$611),(Precificação!$U$607+Precificação!$U$611)*AS$4)</f>
        <v>0</v>
      </c>
      <c r="AT11" s="255">
        <f>IF(AND(AT$35&lt;=12,AT$35=Dashboard!$D$14),(Precificação!$U$607+Precificação!$U$611),(Precificação!$U$607+Precificação!$U$611)*AT$4)</f>
        <v>0</v>
      </c>
      <c r="AU11" s="255">
        <f>IF(AND(AU$35&lt;=12,AU$35=Dashboard!$D$14),(Precificação!$U$607+Precificação!$U$611),(Precificação!$U$607+Precificação!$U$611)*AU$4)</f>
        <v>0</v>
      </c>
      <c r="AV11" s="255">
        <f>IF(AND(AV$35&lt;=12,AV$35=Dashboard!$D$14),(Precificação!$U$607+Precificação!$U$611),(Precificação!$U$607+Precificação!$U$611)*AV$4)</f>
        <v>0</v>
      </c>
      <c r="AW11" s="255">
        <f>IF(AND(AW$35&lt;=12,AW$35=Dashboard!$D$14),(Precificação!$U$607+Precificação!$U$611),(Precificação!$U$607+Precificação!$U$611)*AW$4)</f>
        <v>0</v>
      </c>
      <c r="AX11" s="255">
        <f>IF(AND(AX$35&lt;=12,AX$35=Dashboard!$D$14),(Precificação!$U$607+Precificação!$U$611),(Precificação!$U$607+Precificação!$U$611)*AX$4)</f>
        <v>0</v>
      </c>
      <c r="AY11" s="255">
        <f>IF(AND(AY$35&lt;=12,AY$35=Dashboard!$D$14),(Precificação!$U$607+Precificação!$U$611),(Precificação!$U$607+Precificação!$U$611)*AY$4)</f>
        <v>0</v>
      </c>
      <c r="AZ11" s="255">
        <f>IF(AND(AZ$35&lt;=12,AZ$35=Dashboard!$D$14),(Precificação!$U$607+Precificação!$U$611),(Precificação!$U$607+Precificação!$U$611)*AZ$4)</f>
        <v>0</v>
      </c>
      <c r="BA11" s="255">
        <f>IF(AND(BA$35&lt;=12,BA$35=Dashboard!$D$14),(Precificação!$U$607+Precificação!$U$611),(Precificação!$U$607+Precificação!$U$611)*BA$4)</f>
        <v>0</v>
      </c>
      <c r="BB11" s="255">
        <f>IF(AND(BB$35&lt;=12,BB$35=Dashboard!$D$14),(Precificação!$U$607+Precificação!$U$611),(Precificação!$U$607+Precificação!$U$611)*BB$4)</f>
        <v>0</v>
      </c>
      <c r="BC11" s="255">
        <f>IF(AND(BC$35&lt;=12,BC$35=Dashboard!$D$14),(Precificação!$U$607+Precificação!$U$611),(Precificação!$U$607+Precificação!$U$611)*BC$4)</f>
        <v>0</v>
      </c>
      <c r="BD11" s="255">
        <f>IF(AND(BD$35&lt;=12,BD$35=Dashboard!$D$14),(Precificação!$U$607+Precificação!$U$611),(Precificação!$U$607+Precificação!$U$611)*BD$4)</f>
        <v>0</v>
      </c>
      <c r="BE11" s="255">
        <f>IF(AND(BE$35&lt;=12,BE$35=Dashboard!$D$14),(Precificação!$U$607+Precificação!$U$611),(Precificação!$U$607+Precificação!$U$611)*BE$4)</f>
        <v>0</v>
      </c>
      <c r="BF11" s="255">
        <f>IF(AND(BF$35&lt;=12,BF$35=Dashboard!$D$14),(Precificação!$U$607+Precificação!$U$611),(Precificação!$U$607+Precificação!$U$611)*BF$4)</f>
        <v>0</v>
      </c>
      <c r="BG11" s="255">
        <f>IF(AND(BG$35&lt;=12,BG$35=Dashboard!$D$14),(Precificação!$U$607+Precificação!$U$611),(Precificação!$U$607+Precificação!$U$611)*BG$4)</f>
        <v>0</v>
      </c>
      <c r="BH11" s="255">
        <f>IF(AND(BH$35&lt;=12,BH$35=Dashboard!$D$14),(Precificação!$U$607+Precificação!$U$611),(Precificação!$U$607+Precificação!$U$611)*BH$4)</f>
        <v>0</v>
      </c>
      <c r="BI11" s="255">
        <f>IF(AND(BI$35&lt;=12,BI$35=Dashboard!$D$14),(Precificação!$U$607+Precificação!$U$611),(Precificação!$U$607+Precificação!$U$611)*BI$4)</f>
        <v>0</v>
      </c>
      <c r="BJ11" s="255">
        <f>IF(AND(BJ$35&lt;=12,BJ$35=Dashboard!$D$14),(Precificação!$U$607+Precificação!$U$611),(Precificação!$U$607+Precificação!$U$611)*BJ$4)</f>
        <v>0</v>
      </c>
      <c r="BK11" s="255">
        <f>IF(AND(BK$35&lt;=12,BK$35=Dashboard!$D$14),(Precificação!$U$607+Precificação!$U$611),(Precificação!$U$607+Precificação!$U$611)*BK$4)</f>
        <v>0</v>
      </c>
      <c r="BL11" s="255">
        <f>IF(AND(BL$35&lt;=12,BL$35=Dashboard!$D$14),(Precificação!$U$607+Precificação!$U$611),(Precificação!$U$607+Precificação!$U$611)*BL$4)</f>
        <v>0</v>
      </c>
      <c r="BM11" s="255">
        <f>IF(AND(BM$35&lt;=12,BM$35=Dashboard!$D$14),(Precificação!$U$607+Precificação!$U$611),(Precificação!$U$607+Precificação!$U$611)*BM$4)</f>
        <v>0</v>
      </c>
      <c r="BN11" s="255">
        <f>IF(AND(BN$35&lt;=12,BN$35=Dashboard!$D$14),(Precificação!$U$607+Precificação!$U$611),(Precificação!$U$607+Precificação!$U$611)*BN$4)</f>
        <v>0</v>
      </c>
      <c r="BO11" s="255">
        <f>IF(AND(BO$35&lt;=12,BO$35=Dashboard!$D$14),(Precificação!$U$607+Precificação!$U$611),(Precificação!$U$607+Precificação!$U$611)*BO$4)</f>
        <v>0</v>
      </c>
      <c r="BP11" s="255">
        <f>IF(AND(BP$35&lt;=12,BP$35=Dashboard!$D$14),(Precificação!$U$607+Precificação!$U$611),(Precificação!$U$607+Precificação!$U$611)*BP$4)</f>
        <v>0</v>
      </c>
    </row>
    <row r="12" spans="2:68" s="71" customFormat="1" ht="12" customHeight="1">
      <c r="B12" s="254" t="s">
        <v>1656</v>
      </c>
      <c r="C12" s="257"/>
      <c r="E12" s="255">
        <f>IF(E$24=Dashboard!$D$14,(Precificação!$U$616+Precificação!$U$617+Precificação!$U$618+Precificação!$U$624),0)</f>
        <v>0</v>
      </c>
      <c r="F12" s="255">
        <f>IF(F$24=Dashboard!$D$14,(Precificação!$U$616+Precificação!$U$617+Precificação!$U$618+Precificação!$U$624),0)</f>
        <v>0</v>
      </c>
      <c r="G12" s="255">
        <f>IF(G$24=Dashboard!$D$14,(Precificação!$U$616+Precificação!$U$617+Precificação!$U$618+Precificação!$U$624),0)</f>
        <v>0</v>
      </c>
      <c r="H12" s="255">
        <f>IF(H$24=Dashboard!$D$14,(Precificação!$U$616+Precificação!$U$617+Precificação!$U$618+Precificação!$U$624),0)</f>
        <v>0</v>
      </c>
      <c r="I12" s="255">
        <f>IF(I$24=Dashboard!$D$14,(Precificação!$U$616+Precificação!$U$617+Precificação!$U$618+Precificação!$U$624),0)</f>
        <v>0</v>
      </c>
      <c r="J12" s="255">
        <f>IF(J$24=Dashboard!$D$14,(Precificação!$U$616+Precificação!$U$617+Precificação!$U$618+Precificação!$U$624),0)</f>
        <v>0</v>
      </c>
      <c r="K12" s="255">
        <f>IF(K$24=Dashboard!$D$14,(Precificação!$U$616+Precificação!$U$617+Precificação!$U$618+Precificação!$U$624),0)</f>
        <v>0</v>
      </c>
      <c r="L12" s="255">
        <f>IF(L$24=Dashboard!$D$14,(Precificação!$U$616+Precificação!$U$617+Precificação!$U$618+Precificação!$U$624),0)</f>
        <v>0</v>
      </c>
      <c r="M12" s="255">
        <f>IF(M$24=Dashboard!$D$14,(Precificação!$U$616+Precificação!$U$617+Precificação!$U$618+Precificação!$U$624),0)</f>
        <v>0</v>
      </c>
      <c r="N12" s="255">
        <f>IF(N$24=Dashboard!$D$14,(Precificação!$U$616+Precificação!$U$617+Precificação!$U$618+Precificação!$U$624),0)</f>
        <v>22554.445261395573</v>
      </c>
      <c r="O12" s="255">
        <f>IF(O$24=Dashboard!$D$14,(Precificação!$U$616+Precificação!$U$617+Precificação!$U$618+Precificação!$U$624),0)</f>
        <v>0</v>
      </c>
      <c r="P12" s="255">
        <f>IF(P$24=Dashboard!$D$14,(Precificação!$U$616+Precificação!$U$617+Precificação!$U$618+Precificação!$U$624),0)</f>
        <v>0</v>
      </c>
      <c r="Q12" s="255">
        <f>IF(Q$24=Dashboard!$D$14,(Precificação!$U$616+Precificação!$U$617+Precificação!$U$618+Precificação!$U$624),0)</f>
        <v>0</v>
      </c>
      <c r="R12" s="255">
        <f>IF(R$24=Dashboard!$D$14,(Precificação!$U$616+Precificação!$U$617+Precificação!$U$618+Precificação!$U$624),0)</f>
        <v>0</v>
      </c>
      <c r="S12" s="255">
        <f>IF(S$24=Dashboard!$D$14,(Precificação!$U$616+Precificação!$U$617+Precificação!$U$618+Precificação!$U$624),0)</f>
        <v>0</v>
      </c>
      <c r="T12" s="255">
        <f>IF(T$24=Dashboard!$D$14,(Precificação!$U$616+Precificação!$U$617+Precificação!$U$618+Precificação!$U$624),0)</f>
        <v>0</v>
      </c>
      <c r="U12" s="255">
        <f>IF(U$24=Dashboard!$D$14,(Precificação!$U$616+Precificação!$U$617+Precificação!$U$618+Precificação!$U$624),0)</f>
        <v>0</v>
      </c>
      <c r="V12" s="255">
        <f>IF(V$24=Dashboard!$D$14,(Precificação!$U$616+Precificação!$U$617+Precificação!$U$618+Precificação!$U$624),0)</f>
        <v>0</v>
      </c>
      <c r="W12" s="255">
        <f>IF(W$24=Dashboard!$D$14,(Precificação!$U$616+Precificação!$U$617+Precificação!$U$618+Precificação!$U$624),0)</f>
        <v>0</v>
      </c>
      <c r="X12" s="255">
        <f>IF(X$24=Dashboard!$D$14,(Precificação!$U$616+Precificação!$U$617+Precificação!$U$618+Precificação!$U$624),0)</f>
        <v>0</v>
      </c>
      <c r="Y12" s="255">
        <f>IF(Y$24=Dashboard!$D$14,(Precificação!$U$616+Precificação!$U$617+Precificação!$U$618+Precificação!$U$624),0)</f>
        <v>0</v>
      </c>
      <c r="Z12" s="255">
        <f>IF(Z$24=Dashboard!$D$14,(Precificação!$U$616+Precificação!$U$617+Precificação!$U$618+Precificação!$U$624),0)</f>
        <v>0</v>
      </c>
      <c r="AA12" s="255">
        <f>IF(AA$24=Dashboard!$D$14,(Precificação!$U$616+Precificação!$U$617+Precificação!$U$618+Precificação!$U$624),0)</f>
        <v>0</v>
      </c>
      <c r="AB12" s="255">
        <f>IF(AB$24=Dashboard!$D$14,(Precificação!$U$616+Precificação!$U$617+Precificação!$U$618+Precificação!$U$624),0)</f>
        <v>0</v>
      </c>
      <c r="AC12" s="255">
        <f>IF(AC$24=Dashboard!$D$14,(Precificação!$U$616+Precificação!$U$617+Precificação!$U$618+Precificação!$U$624),0)</f>
        <v>0</v>
      </c>
      <c r="AD12" s="255">
        <f>IF(AD$24=Dashboard!$D$14,(Precificação!$U$616+Precificação!$U$617+Precificação!$U$618+Precificação!$U$624),0)</f>
        <v>0</v>
      </c>
      <c r="AE12" s="255">
        <f>IF(AE$24=Dashboard!$D$14,(Precificação!$U$616+Precificação!$U$617+Precificação!$U$618+Precificação!$U$624),0)</f>
        <v>0</v>
      </c>
      <c r="AF12" s="255">
        <f>IF(AF$24=Dashboard!$D$14,(Precificação!$U$616+Precificação!$U$617+Precificação!$U$618+Precificação!$U$624),0)</f>
        <v>0</v>
      </c>
      <c r="AG12" s="255">
        <f>IF(AG$24=Dashboard!$D$14,(Precificação!$U$616+Precificação!$U$617+Precificação!$U$618+Precificação!$U$624),0)</f>
        <v>0</v>
      </c>
      <c r="AH12" s="255">
        <f>IF(AH$24=Dashboard!$D$14,(Precificação!$U$616+Precificação!$U$617+Precificação!$U$618+Precificação!$U$624),0)</f>
        <v>0</v>
      </c>
      <c r="AI12" s="255">
        <f>IF(AI$24=Dashboard!$D$14,(Precificação!$U$616+Precificação!$U$617+Precificação!$U$618+Precificação!$U$624),0)</f>
        <v>0</v>
      </c>
      <c r="AJ12" s="255">
        <f>IF(AJ$24=Dashboard!$D$14,(Precificação!$U$616+Precificação!$U$617+Precificação!$U$618+Precificação!$U$624),0)</f>
        <v>0</v>
      </c>
      <c r="AK12" s="255">
        <f>IF(AK$24=Dashboard!$D$14,(Precificação!$U$616+Precificação!$U$617+Precificação!$U$618+Precificação!$U$624),0)</f>
        <v>0</v>
      </c>
      <c r="AL12" s="255">
        <f>IF(AL$24=Dashboard!$D$14,(Precificação!$U$616+Precificação!$U$617+Precificação!$U$618+Precificação!$U$624),0)</f>
        <v>0</v>
      </c>
      <c r="AM12" s="255">
        <f>IF(AM$24=Dashboard!$D$14,(Precificação!$U$616+Precificação!$U$617+Precificação!$U$618+Precificação!$U$624),0)</f>
        <v>0</v>
      </c>
      <c r="AN12" s="255">
        <f>IF(AN$24=Dashboard!$D$14,(Precificação!$U$616+Precificação!$U$617+Precificação!$U$618+Precificação!$U$624),0)</f>
        <v>0</v>
      </c>
      <c r="AO12" s="255">
        <f>IF(AO$24=Dashboard!$D$14,(Precificação!$U$616+Precificação!$U$617+Precificação!$U$618+Precificação!$U$624),0)</f>
        <v>0</v>
      </c>
      <c r="AP12" s="255">
        <f>IF(AP$24=Dashboard!$D$14,(Precificação!$U$616+Precificação!$U$617+Precificação!$U$618+Precificação!$U$624),0)</f>
        <v>0</v>
      </c>
      <c r="AQ12" s="255">
        <f>IF(AQ$24=Dashboard!$D$14,(Precificação!$U$616+Precificação!$U$617+Precificação!$U$618+Precificação!$U$624),0)</f>
        <v>0</v>
      </c>
      <c r="AR12" s="255">
        <f>IF(AR$24=Dashboard!$D$14,(Precificação!$U$616+Precificação!$U$617+Precificação!$U$618+Precificação!$U$624),0)</f>
        <v>0</v>
      </c>
      <c r="AS12" s="255">
        <f>IF(AS$24=Dashboard!$D$14,(Precificação!$U$616+Precificação!$U$617+Precificação!$U$618+Precificação!$U$624),0)</f>
        <v>0</v>
      </c>
      <c r="AT12" s="255">
        <f>IF(AT$24=Dashboard!$D$14,(Precificação!$U$616+Precificação!$U$617+Precificação!$U$618+Precificação!$U$624),0)</f>
        <v>0</v>
      </c>
      <c r="AU12" s="255">
        <f>IF(AU$24=Dashboard!$D$14,(Precificação!$U$616+Precificação!$U$617+Precificação!$U$618+Precificação!$U$624),0)</f>
        <v>0</v>
      </c>
      <c r="AV12" s="255">
        <f>IF(AV$24=Dashboard!$D$14,(Precificação!$U$616+Precificação!$U$617+Precificação!$U$618+Precificação!$U$624),0)</f>
        <v>0</v>
      </c>
      <c r="AW12" s="255">
        <f>IF(AW$24=Dashboard!$D$14,(Precificação!$U$616+Precificação!$U$617+Precificação!$U$618+Precificação!$U$624),0)</f>
        <v>0</v>
      </c>
      <c r="AX12" s="255">
        <f>IF(AX$24=Dashboard!$D$14,(Precificação!$U$616+Precificação!$U$617+Precificação!$U$618+Precificação!$U$624),0)</f>
        <v>0</v>
      </c>
      <c r="AY12" s="255">
        <f>IF(AY$24=Dashboard!$D$14,(Precificação!$U$616+Precificação!$U$617+Precificação!$U$618+Precificação!$U$624),0)</f>
        <v>0</v>
      </c>
      <c r="AZ12" s="255">
        <f>IF(AZ$24=Dashboard!$D$14,(Precificação!$U$616+Precificação!$U$617+Precificação!$U$618+Precificação!$U$624),0)</f>
        <v>0</v>
      </c>
      <c r="BA12" s="255">
        <f>IF(BA$24=Dashboard!$D$14,(Precificação!$U$616+Precificação!$U$617+Precificação!$U$618+Precificação!$U$624),0)</f>
        <v>0</v>
      </c>
      <c r="BB12" s="255">
        <f>IF(BB$24=Dashboard!$D$14,(Precificação!$U$616+Precificação!$U$617+Precificação!$U$618+Precificação!$U$624),0)</f>
        <v>0</v>
      </c>
      <c r="BC12" s="255">
        <f>IF(BC$24=Dashboard!$D$14,(Precificação!$U$616+Precificação!$U$617+Precificação!$U$618+Precificação!$U$624),0)</f>
        <v>0</v>
      </c>
      <c r="BD12" s="255">
        <f>IF(BD$24=Dashboard!$D$14,(Precificação!$U$616+Precificação!$U$617+Precificação!$U$618+Precificação!$U$624),0)</f>
        <v>0</v>
      </c>
      <c r="BE12" s="255">
        <f>IF(BE$24=Dashboard!$D$14,(Precificação!$U$616+Precificação!$U$617+Precificação!$U$618+Precificação!$U$624),0)</f>
        <v>0</v>
      </c>
      <c r="BF12" s="255">
        <f>IF(BF$24=Dashboard!$D$14,(Precificação!$U$616+Precificação!$U$617+Precificação!$U$618+Precificação!$U$624),0)</f>
        <v>0</v>
      </c>
      <c r="BG12" s="255">
        <f>IF(BG$24=Dashboard!$D$14,(Precificação!$U$616+Precificação!$U$617+Precificação!$U$618+Precificação!$U$624),0)</f>
        <v>0</v>
      </c>
      <c r="BH12" s="255">
        <f>IF(BH$24=Dashboard!$D$14,(Precificação!$U$616+Precificação!$U$617+Precificação!$U$618+Precificação!$U$624),0)</f>
        <v>0</v>
      </c>
      <c r="BI12" s="255">
        <f>IF(BI$24=Dashboard!$D$14,(Precificação!$U$616+Precificação!$U$617+Precificação!$U$618+Precificação!$U$624),0)</f>
        <v>0</v>
      </c>
      <c r="BJ12" s="255">
        <f>IF(BJ$24=Dashboard!$D$14,(Precificação!$U$616+Precificação!$U$617+Precificação!$U$618+Precificação!$U$624),0)</f>
        <v>0</v>
      </c>
      <c r="BK12" s="255">
        <f>IF(BK$24=Dashboard!$D$14,(Precificação!$U$616+Precificação!$U$617+Precificação!$U$618+Precificação!$U$624),0)</f>
        <v>0</v>
      </c>
      <c r="BL12" s="255">
        <f>IF(BL$24=Dashboard!$D$14,(Precificação!$U$616+Precificação!$U$617+Precificação!$U$618+Precificação!$U$624),0)</f>
        <v>0</v>
      </c>
      <c r="BM12" s="255">
        <f>IF(BM$24=Dashboard!$D$14,(Precificação!$U$616+Precificação!$U$617+Precificação!$U$618+Precificação!$U$624),0)</f>
        <v>0</v>
      </c>
      <c r="BN12" s="255">
        <f>IF(BN$24=Dashboard!$D$14,(Precificação!$U$616+Precificação!$U$617+Precificação!$U$618+Precificação!$U$624),0)</f>
        <v>0</v>
      </c>
      <c r="BO12" s="255">
        <f>IF(BO$24=Dashboard!$D$14,(Precificação!$U$616+Precificação!$U$617+Precificação!$U$618+Precificação!$U$624),0)</f>
        <v>0</v>
      </c>
      <c r="BP12" s="255">
        <f>IF(BP$24=Dashboard!$D$14,(Precificação!$U$616+Precificação!$U$617+Precificação!$U$618+Precificação!$U$624),0)</f>
        <v>0</v>
      </c>
    </row>
    <row r="14" spans="2:68" ht="12" customHeight="1">
      <c r="B14" s="251" t="s">
        <v>38</v>
      </c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2"/>
      <c r="AN14" s="252"/>
      <c r="AO14" s="252"/>
      <c r="AP14" s="252"/>
      <c r="AQ14" s="252"/>
      <c r="AR14" s="252"/>
      <c r="AS14" s="252"/>
      <c r="AT14" s="252"/>
      <c r="AU14" s="252"/>
      <c r="AV14" s="252"/>
      <c r="AW14" s="252"/>
      <c r="AX14" s="252"/>
      <c r="AY14" s="252"/>
      <c r="AZ14" s="252"/>
      <c r="BA14" s="252"/>
      <c r="BB14" s="252"/>
      <c r="BC14" s="252"/>
      <c r="BD14" s="252"/>
      <c r="BE14" s="252"/>
      <c r="BF14" s="252"/>
      <c r="BG14" s="252"/>
      <c r="BH14" s="252"/>
      <c r="BI14" s="252"/>
      <c r="BJ14" s="252"/>
      <c r="BK14" s="252"/>
      <c r="BL14" s="252"/>
      <c r="BM14" s="252"/>
      <c r="BN14" s="252"/>
      <c r="BO14" s="252"/>
      <c r="BP14" s="252"/>
    </row>
    <row r="15" spans="2:68" ht="12" customHeight="1">
      <c r="B15" s="254" t="s">
        <v>1657</v>
      </c>
      <c r="E15" s="255">
        <f>SUM(Precificação!$U$704:$U$714,Precificação!$U$717:$U$727,Precificação!$U$747:$U$760)*E27</f>
        <v>0</v>
      </c>
      <c r="F15" s="255">
        <f>SUM(Precificação!$U$704:$U$714,Precificação!$U$717:$U$727,Precificação!$U$747:$U$760)*F27</f>
        <v>0</v>
      </c>
      <c r="G15" s="255">
        <f>SUM(Precificação!$U$704:$U$714,Precificação!$U$717:$U$727,Precificação!$U$747:$U$760)*G27</f>
        <v>0</v>
      </c>
      <c r="H15" s="255">
        <f>SUM(Precificação!$U$704:$U$714,Precificação!$U$717:$U$727,Precificação!$U$747:$U$760)*H27</f>
        <v>0</v>
      </c>
      <c r="I15" s="255">
        <f>SUM(Precificação!$U$704:$U$714,Precificação!$U$717:$U$727,Precificação!$U$747:$U$760)*I27</f>
        <v>0</v>
      </c>
      <c r="J15" s="255">
        <f>SUM(Precificação!$U$704:$U$714,Precificação!$U$717:$U$727,Precificação!$U$747:$U$760)*J27</f>
        <v>0</v>
      </c>
      <c r="K15" s="255">
        <f>SUM(Precificação!$U$704:$U$714,Precificação!$U$717:$U$727,Precificação!$U$747:$U$760)*K27</f>
        <v>0</v>
      </c>
      <c r="L15" s="255">
        <f>SUM(Precificação!$U$704:$U$714,Precificação!$U$717:$U$727,Precificação!$U$747:$U$760)*L27</f>
        <v>0</v>
      </c>
      <c r="M15" s="255">
        <f>SUM(Precificação!$U$704:$U$714,Precificação!$U$717:$U$727,Precificação!$U$747:$U$760)*M27</f>
        <v>0</v>
      </c>
      <c r="N15" s="255">
        <f>SUM(Precificação!$U$704:$U$714,Precificação!$U$717:$U$727,Precificação!$U$747:$U$760)*N27</f>
        <v>0</v>
      </c>
      <c r="O15" s="255">
        <f>SUM(Precificação!$U$704:$U$714,Precificação!$U$717:$U$727,Precificação!$U$747:$U$760)*O27</f>
        <v>0</v>
      </c>
      <c r="P15" s="255">
        <f>SUM(Precificação!$U$704:$U$714,Precificação!$U$717:$U$727,Precificação!$U$747:$U$760)*P27</f>
        <v>0</v>
      </c>
      <c r="Q15" s="255">
        <f>SUM(Precificação!$U$704:$U$714,Precificação!$U$717:$U$727,Precificação!$U$747:$U$760)*Q27</f>
        <v>0</v>
      </c>
      <c r="R15" s="255">
        <f>SUM(Precificação!$U$704:$U$714,Precificação!$U$717:$U$727,Precificação!$U$747:$U$760)*R27</f>
        <v>0</v>
      </c>
      <c r="S15" s="255">
        <f>SUM(Precificação!$U$704:$U$714,Precificação!$U$717:$U$727,Precificação!$U$747:$U$760)*S27</f>
        <v>0</v>
      </c>
      <c r="T15" s="255">
        <f>SUM(Precificação!$U$704:$U$714,Precificação!$U$717:$U$727,Precificação!$U$747:$U$760)*T27</f>
        <v>0</v>
      </c>
      <c r="U15" s="255">
        <f>SUM(Precificação!$U$704:$U$714,Precificação!$U$717:$U$727,Precificação!$U$747:$U$760)*U27</f>
        <v>0</v>
      </c>
      <c r="V15" s="255">
        <f>SUM(Precificação!$U$704:$U$714,Precificação!$U$717:$U$727,Precificação!$U$747:$U$760)*V27</f>
        <v>0</v>
      </c>
      <c r="W15" s="255">
        <f>SUM(Precificação!$U$704:$U$714,Precificação!$U$717:$U$727,Precificação!$U$747:$U$760)*W27</f>
        <v>0</v>
      </c>
      <c r="X15" s="255">
        <f>SUM(Precificação!$U$704:$U$714,Precificação!$U$717:$U$727,Precificação!$U$747:$U$760)*X27</f>
        <v>0</v>
      </c>
      <c r="Y15" s="255">
        <f>SUM(Precificação!$U$704:$U$714,Precificação!$U$717:$U$727,Precificação!$U$747:$U$760)*Y27</f>
        <v>0</v>
      </c>
      <c r="Z15" s="255">
        <f>SUM(Precificação!$U$704:$U$714,Precificação!$U$717:$U$727,Precificação!$U$747:$U$760)*Z27</f>
        <v>0</v>
      </c>
      <c r="AA15" s="255">
        <f>SUM(Precificação!$U$704:$U$714,Precificação!$U$717:$U$727,Precificação!$U$747:$U$760)*AA27</f>
        <v>0</v>
      </c>
      <c r="AB15" s="255">
        <f>SUM(Precificação!$U$704:$U$714,Precificação!$U$717:$U$727,Precificação!$U$747:$U$760)*AB27</f>
        <v>0</v>
      </c>
      <c r="AC15" s="255">
        <f>SUM(Precificação!$U$704:$U$714,Precificação!$U$717:$U$727,Precificação!$U$747:$U$760)*AC27</f>
        <v>0</v>
      </c>
      <c r="AD15" s="255">
        <f>SUM(Precificação!$U$704:$U$714,Precificação!$U$717:$U$727,Precificação!$U$747:$U$760)*AD27</f>
        <v>0</v>
      </c>
      <c r="AE15" s="255">
        <f>SUM(Precificação!$U$704:$U$714,Precificação!$U$717:$U$727,Precificação!$U$747:$U$760)*AE27</f>
        <v>0</v>
      </c>
      <c r="AF15" s="255">
        <f>SUM(Precificação!$U$704:$U$714,Precificação!$U$717:$U$727,Precificação!$U$747:$U$760)*AF27</f>
        <v>0</v>
      </c>
      <c r="AG15" s="255">
        <f>SUM(Precificação!$U$704:$U$714,Precificação!$U$717:$U$727,Precificação!$U$747:$U$760)*AG27</f>
        <v>0</v>
      </c>
      <c r="AH15" s="255">
        <f>SUM(Precificação!$U$704:$U$714,Precificação!$U$717:$U$727,Precificação!$U$747:$U$760)*AH27</f>
        <v>0</v>
      </c>
      <c r="AI15" s="255">
        <f>SUM(Precificação!$U$704:$U$714,Precificação!$U$717:$U$727,Precificação!$U$747:$U$760)*AI27</f>
        <v>0</v>
      </c>
      <c r="AJ15" s="255">
        <f>SUM(Precificação!$U$704:$U$714,Precificação!$U$717:$U$727,Precificação!$U$747:$U$760)*AJ27</f>
        <v>0</v>
      </c>
      <c r="AK15" s="255">
        <f>SUM(Precificação!$U$704:$U$714,Precificação!$U$717:$U$727,Precificação!$U$747:$U$760)*AK27</f>
        <v>0</v>
      </c>
      <c r="AL15" s="255">
        <f>SUM(Precificação!$U$704:$U$714,Precificação!$U$717:$U$727,Precificação!$U$747:$U$760)*AL27</f>
        <v>0</v>
      </c>
      <c r="AM15" s="255">
        <f>SUM(Precificação!$U$704:$U$714,Precificação!$U$717:$U$727,Precificação!$U$747:$U$760)*AM27</f>
        <v>0</v>
      </c>
      <c r="AN15" s="255">
        <f>SUM(Precificação!$U$704:$U$714,Precificação!$U$717:$U$727,Precificação!$U$747:$U$760)*AN27</f>
        <v>0</v>
      </c>
      <c r="AO15" s="255">
        <f>SUM(Precificação!$U$704:$U$714,Precificação!$U$717:$U$727,Precificação!$U$747:$U$760)*AO27</f>
        <v>0</v>
      </c>
      <c r="AP15" s="255">
        <f>SUM(Precificação!$U$704:$U$714,Precificação!$U$717:$U$727,Precificação!$U$747:$U$760)*AP27</f>
        <v>0</v>
      </c>
      <c r="AQ15" s="255">
        <f>SUM(Precificação!$U$704:$U$714,Precificação!$U$717:$U$727,Precificação!$U$747:$U$760)*AQ27</f>
        <v>0</v>
      </c>
      <c r="AR15" s="255">
        <f>SUM(Precificação!$U$704:$U$714,Precificação!$U$717:$U$727,Precificação!$U$747:$U$760)*AR27</f>
        <v>0</v>
      </c>
      <c r="AS15" s="255">
        <f>SUM(Precificação!$U$704:$U$714,Precificação!$U$717:$U$727,Precificação!$U$747:$U$760)*AS27</f>
        <v>0</v>
      </c>
      <c r="AT15" s="255">
        <f>SUM(Precificação!$U$704:$U$714,Precificação!$U$717:$U$727,Precificação!$U$747:$U$760)*AT27</f>
        <v>0</v>
      </c>
      <c r="AU15" s="255">
        <f>SUM(Precificação!$U$704:$U$714,Precificação!$U$717:$U$727,Precificação!$U$747:$U$760)*AU27</f>
        <v>0</v>
      </c>
      <c r="AV15" s="255">
        <f>SUM(Precificação!$U$704:$U$714,Precificação!$U$717:$U$727,Precificação!$U$747:$U$760)*AV27</f>
        <v>0</v>
      </c>
      <c r="AW15" s="255">
        <f>SUM(Precificação!$U$704:$U$714,Precificação!$U$717:$U$727,Precificação!$U$747:$U$760)*AW27</f>
        <v>0</v>
      </c>
      <c r="AX15" s="255">
        <f>SUM(Precificação!$U$704:$U$714,Precificação!$U$717:$U$727,Precificação!$U$747:$U$760)*AX27</f>
        <v>0</v>
      </c>
      <c r="AY15" s="255">
        <f>SUM(Precificação!$U$704:$U$714,Precificação!$U$717:$U$727,Precificação!$U$747:$U$760)*AY27</f>
        <v>0</v>
      </c>
      <c r="AZ15" s="255">
        <f>SUM(Precificação!$U$704:$U$714,Precificação!$U$717:$U$727,Precificação!$U$747:$U$760)*AZ27</f>
        <v>0</v>
      </c>
      <c r="BA15" s="255">
        <f>SUM(Precificação!$U$704:$U$714,Precificação!$U$717:$U$727,Precificação!$U$747:$U$760)*BA27</f>
        <v>0</v>
      </c>
      <c r="BB15" s="255">
        <f>SUM(Precificação!$U$704:$U$714,Precificação!$U$717:$U$727,Precificação!$U$747:$U$760)*BB27</f>
        <v>0</v>
      </c>
      <c r="BC15" s="255">
        <f>SUM(Precificação!$U$704:$U$714,Precificação!$U$717:$U$727,Precificação!$U$747:$U$760)*BC27</f>
        <v>0</v>
      </c>
      <c r="BD15" s="255">
        <f>SUM(Precificação!$U$704:$U$714,Precificação!$U$717:$U$727,Precificação!$U$747:$U$760)*BD27</f>
        <v>0</v>
      </c>
      <c r="BE15" s="255">
        <f>SUM(Precificação!$U$704:$U$714,Precificação!$U$717:$U$727,Precificação!$U$747:$U$760)*BE27</f>
        <v>0</v>
      </c>
      <c r="BF15" s="255">
        <f>SUM(Precificação!$U$704:$U$714,Precificação!$U$717:$U$727,Precificação!$U$747:$U$760)*BF27</f>
        <v>0</v>
      </c>
      <c r="BG15" s="255">
        <f>SUM(Precificação!$U$704:$U$714,Precificação!$U$717:$U$727,Precificação!$U$747:$U$760)*BG27</f>
        <v>0</v>
      </c>
      <c r="BH15" s="255">
        <f>SUM(Precificação!$U$704:$U$714,Precificação!$U$717:$U$727,Precificação!$U$747:$U$760)*BH27</f>
        <v>0</v>
      </c>
      <c r="BI15" s="255">
        <f>SUM(Precificação!$U$704:$U$714,Precificação!$U$717:$U$727,Precificação!$U$747:$U$760)*BI27</f>
        <v>0</v>
      </c>
      <c r="BJ15" s="255">
        <f>SUM(Precificação!$U$704:$U$714,Precificação!$U$717:$U$727,Precificação!$U$747:$U$760)*BJ27</f>
        <v>0</v>
      </c>
      <c r="BK15" s="255">
        <f>SUM(Precificação!$U$704:$U$714,Precificação!$U$717:$U$727,Precificação!$U$747:$U$760)*BK27</f>
        <v>0</v>
      </c>
      <c r="BL15" s="255">
        <f>SUM(Precificação!$U$704:$U$714,Precificação!$U$717:$U$727,Precificação!$U$747:$U$760)*BL27</f>
        <v>0</v>
      </c>
      <c r="BM15" s="255">
        <f>SUM(Precificação!$U$704:$U$714,Precificação!$U$717:$U$727,Precificação!$U$747:$U$760)*BM27</f>
        <v>0</v>
      </c>
      <c r="BN15" s="255">
        <f>SUM(Precificação!$U$704:$U$714,Precificação!$U$717:$U$727,Precificação!$U$747:$U$760)*BN27</f>
        <v>0</v>
      </c>
      <c r="BO15" s="255">
        <f>SUM(Precificação!$U$704:$U$714,Precificação!$U$717:$U$727,Precificação!$U$747:$U$760)*BO27</f>
        <v>0</v>
      </c>
      <c r="BP15" s="255">
        <f>SUM(Precificação!$U$704:$U$714,Precificação!$U$717:$U$727,Precificação!$U$747:$U$760)*BP27</f>
        <v>0</v>
      </c>
    </row>
    <row r="16" spans="2:68" ht="12" customHeight="1">
      <c r="B16" s="254" t="s">
        <v>1658</v>
      </c>
      <c r="E16" s="255">
        <f>SUM(Precificação!$U$730:$U$744,Precificação!$U$763:$U$789,Precificação!$U$792:$U$813)</f>
        <v>0</v>
      </c>
      <c r="F16" s="255">
        <v>0</v>
      </c>
      <c r="G16" s="255">
        <v>0</v>
      </c>
      <c r="H16" s="255">
        <v>0</v>
      </c>
      <c r="I16" s="255">
        <v>0</v>
      </c>
      <c r="J16" s="255">
        <v>0</v>
      </c>
      <c r="K16" s="255">
        <v>0</v>
      </c>
      <c r="L16" s="255">
        <v>0</v>
      </c>
      <c r="M16" s="255">
        <v>0</v>
      </c>
      <c r="N16" s="255">
        <v>0</v>
      </c>
      <c r="O16" s="255">
        <v>0</v>
      </c>
      <c r="P16" s="255">
        <v>0</v>
      </c>
      <c r="Q16" s="255">
        <v>0</v>
      </c>
      <c r="R16" s="255">
        <v>0</v>
      </c>
      <c r="S16" s="255">
        <v>0</v>
      </c>
      <c r="T16" s="255">
        <v>0</v>
      </c>
      <c r="U16" s="255">
        <v>0</v>
      </c>
      <c r="V16" s="255">
        <v>0</v>
      </c>
      <c r="W16" s="255">
        <v>0</v>
      </c>
      <c r="X16" s="255">
        <v>0</v>
      </c>
      <c r="Y16" s="255">
        <v>0</v>
      </c>
      <c r="Z16" s="255">
        <v>0</v>
      </c>
      <c r="AA16" s="255">
        <v>0</v>
      </c>
      <c r="AB16" s="255">
        <v>0</v>
      </c>
      <c r="AC16" s="255">
        <v>0</v>
      </c>
      <c r="AD16" s="255">
        <v>0</v>
      </c>
      <c r="AE16" s="255">
        <v>0</v>
      </c>
      <c r="AF16" s="255">
        <v>0</v>
      </c>
      <c r="AG16" s="255">
        <v>0</v>
      </c>
      <c r="AH16" s="255">
        <v>0</v>
      </c>
      <c r="AI16" s="255">
        <v>0</v>
      </c>
      <c r="AJ16" s="255">
        <v>0</v>
      </c>
      <c r="AK16" s="255">
        <v>0</v>
      </c>
      <c r="AL16" s="255">
        <v>0</v>
      </c>
      <c r="AM16" s="255">
        <v>0</v>
      </c>
      <c r="AN16" s="255">
        <v>0</v>
      </c>
      <c r="AO16" s="255">
        <v>0</v>
      </c>
      <c r="AP16" s="255">
        <v>0</v>
      </c>
      <c r="AQ16" s="255">
        <v>0</v>
      </c>
      <c r="AR16" s="255">
        <v>0</v>
      </c>
      <c r="AS16" s="255">
        <v>0</v>
      </c>
      <c r="AT16" s="255">
        <v>0</v>
      </c>
      <c r="AU16" s="255">
        <v>0</v>
      </c>
      <c r="AV16" s="255">
        <v>0</v>
      </c>
      <c r="AW16" s="255">
        <v>0</v>
      </c>
      <c r="AX16" s="255">
        <v>0</v>
      </c>
      <c r="AY16" s="255">
        <v>0</v>
      </c>
      <c r="AZ16" s="255">
        <v>0</v>
      </c>
      <c r="BA16" s="255">
        <v>0</v>
      </c>
      <c r="BB16" s="255">
        <v>0</v>
      </c>
      <c r="BC16" s="255">
        <v>0</v>
      </c>
      <c r="BD16" s="255">
        <v>0</v>
      </c>
      <c r="BE16" s="255">
        <v>0</v>
      </c>
      <c r="BF16" s="255">
        <v>0</v>
      </c>
      <c r="BG16" s="255">
        <v>0</v>
      </c>
      <c r="BH16" s="255">
        <v>0</v>
      </c>
      <c r="BI16" s="255">
        <v>0</v>
      </c>
      <c r="BJ16" s="255">
        <v>0</v>
      </c>
      <c r="BK16" s="255">
        <v>0</v>
      </c>
      <c r="BL16" s="255">
        <v>0</v>
      </c>
      <c r="BM16" s="255">
        <v>0</v>
      </c>
      <c r="BN16" s="255">
        <v>0</v>
      </c>
      <c r="BO16" s="255">
        <v>0</v>
      </c>
      <c r="BP16" s="255">
        <v>0</v>
      </c>
    </row>
    <row r="19" spans="2:68" ht="12" customHeight="1">
      <c r="B19" s="234" t="s">
        <v>1659</v>
      </c>
      <c r="C19" s="259"/>
      <c r="E19" s="635"/>
      <c r="F19" s="644" t="s">
        <v>1660</v>
      </c>
      <c r="G19" s="644"/>
      <c r="H19" s="644"/>
      <c r="I19" s="644"/>
      <c r="J19" s="644"/>
      <c r="K19" s="644"/>
      <c r="L19" s="644"/>
      <c r="P19" s="643" t="s">
        <v>1661</v>
      </c>
    </row>
    <row r="20" spans="2:68" ht="12" customHeight="1">
      <c r="B20" s="260" t="s">
        <v>1662</v>
      </c>
      <c r="C20" s="261">
        <v>0.03</v>
      </c>
      <c r="E20" s="635"/>
      <c r="F20" s="644"/>
      <c r="G20" s="644"/>
      <c r="H20" s="644"/>
      <c r="I20" s="644"/>
      <c r="J20" s="644"/>
      <c r="K20" s="644"/>
      <c r="L20" s="644"/>
      <c r="P20" s="643"/>
    </row>
    <row r="21" spans="2:68" ht="12" customHeight="1">
      <c r="B21" s="260" t="s">
        <v>1663</v>
      </c>
      <c r="C21" s="261">
        <v>0.05</v>
      </c>
      <c r="E21" s="635"/>
      <c r="F21" s="645" t="str">
        <f>IF(AND(Dashboard!D2&gt;0,Dashboard!D4&gt;0),Dashboard!D2&amp;" - "&amp;Dashboard!D4,"")</f>
        <v>FRIGELAR - FRIGELAR_GERENCIAMENTO DE OBRA</v>
      </c>
      <c r="G21" s="645"/>
      <c r="H21" s="645"/>
      <c r="I21" s="645"/>
      <c r="J21" s="645"/>
      <c r="K21" s="645"/>
      <c r="L21" s="645"/>
      <c r="P21" s="646">
        <f>IFERROR(SUM($E$100:$BP$100)/SUM($E$92:$BP$92),0)</f>
        <v>0</v>
      </c>
    </row>
    <row r="22" spans="2:68" ht="12" customHeight="1">
      <c r="B22" s="260" t="s">
        <v>1664</v>
      </c>
      <c r="C22" s="263">
        <v>1</v>
      </c>
      <c r="E22" s="635"/>
      <c r="F22" s="645"/>
      <c r="G22" s="645"/>
      <c r="H22" s="645"/>
      <c r="I22" s="645"/>
      <c r="J22" s="645"/>
      <c r="K22" s="645"/>
      <c r="L22" s="645"/>
      <c r="P22" s="646"/>
    </row>
    <row r="24" spans="2:68" ht="12" customHeight="1">
      <c r="B24" s="234" t="s">
        <v>1665</v>
      </c>
      <c r="C24" s="259"/>
      <c r="E24" s="259">
        <v>1</v>
      </c>
      <c r="F24" s="259">
        <v>2</v>
      </c>
      <c r="G24" s="259">
        <v>3</v>
      </c>
      <c r="H24" s="259">
        <v>4</v>
      </c>
      <c r="I24" s="259">
        <v>5</v>
      </c>
      <c r="J24" s="259">
        <v>6</v>
      </c>
      <c r="K24" s="259">
        <v>7</v>
      </c>
      <c r="L24" s="259">
        <v>8</v>
      </c>
      <c r="M24" s="259">
        <v>9</v>
      </c>
      <c r="N24" s="259">
        <v>10</v>
      </c>
      <c r="O24" s="259">
        <v>11</v>
      </c>
      <c r="P24" s="259">
        <v>12</v>
      </c>
      <c r="Q24" s="259">
        <v>13</v>
      </c>
      <c r="R24" s="259">
        <v>14</v>
      </c>
      <c r="S24" s="259">
        <v>15</v>
      </c>
      <c r="T24" s="259">
        <v>16</v>
      </c>
      <c r="U24" s="259">
        <v>17</v>
      </c>
      <c r="V24" s="259">
        <v>18</v>
      </c>
      <c r="W24" s="259">
        <v>19</v>
      </c>
      <c r="X24" s="259">
        <v>20</v>
      </c>
      <c r="Y24" s="259">
        <v>21</v>
      </c>
      <c r="Z24" s="259">
        <v>22</v>
      </c>
      <c r="AA24" s="259">
        <v>23</v>
      </c>
      <c r="AB24" s="259">
        <v>24</v>
      </c>
      <c r="AC24" s="259">
        <v>25</v>
      </c>
      <c r="AD24" s="259">
        <v>26</v>
      </c>
      <c r="AE24" s="259">
        <v>27</v>
      </c>
      <c r="AF24" s="259">
        <v>28</v>
      </c>
      <c r="AG24" s="259">
        <v>29</v>
      </c>
      <c r="AH24" s="259">
        <v>30</v>
      </c>
      <c r="AI24" s="259">
        <v>31</v>
      </c>
      <c r="AJ24" s="259">
        <v>32</v>
      </c>
      <c r="AK24" s="259">
        <v>33</v>
      </c>
      <c r="AL24" s="259">
        <v>34</v>
      </c>
      <c r="AM24" s="259">
        <v>35</v>
      </c>
      <c r="AN24" s="259">
        <v>36</v>
      </c>
      <c r="AO24" s="259">
        <v>37</v>
      </c>
      <c r="AP24" s="259">
        <v>38</v>
      </c>
      <c r="AQ24" s="259">
        <v>39</v>
      </c>
      <c r="AR24" s="259">
        <v>40</v>
      </c>
      <c r="AS24" s="259">
        <v>41</v>
      </c>
      <c r="AT24" s="259">
        <v>42</v>
      </c>
      <c r="AU24" s="259">
        <v>43</v>
      </c>
      <c r="AV24" s="259">
        <v>44</v>
      </c>
      <c r="AW24" s="259">
        <v>45</v>
      </c>
      <c r="AX24" s="259">
        <v>46</v>
      </c>
      <c r="AY24" s="259">
        <v>47</v>
      </c>
      <c r="AZ24" s="259">
        <v>48</v>
      </c>
      <c r="BA24" s="259">
        <v>49</v>
      </c>
      <c r="BB24" s="259">
        <v>50</v>
      </c>
      <c r="BC24" s="259">
        <v>51</v>
      </c>
      <c r="BD24" s="259">
        <v>52</v>
      </c>
      <c r="BE24" s="259">
        <v>53</v>
      </c>
      <c r="BF24" s="259">
        <v>54</v>
      </c>
      <c r="BG24" s="259">
        <v>55</v>
      </c>
      <c r="BH24" s="259">
        <v>56</v>
      </c>
      <c r="BI24" s="259">
        <v>57</v>
      </c>
      <c r="BJ24" s="259">
        <v>58</v>
      </c>
      <c r="BK24" s="259">
        <v>59</v>
      </c>
      <c r="BL24" s="259">
        <v>60</v>
      </c>
      <c r="BM24" s="259">
        <v>61</v>
      </c>
      <c r="BN24" s="259">
        <v>62</v>
      </c>
      <c r="BO24" s="259">
        <v>63</v>
      </c>
      <c r="BP24" s="259">
        <v>64</v>
      </c>
    </row>
    <row r="25" spans="2:68" ht="12" customHeight="1">
      <c r="B25" s="264" t="s">
        <v>1666</v>
      </c>
      <c r="E25" s="265">
        <f>IF(E24&lt;=Dashboard!$D$14,1/Dashboard!$D$14,0)</f>
        <v>0.1</v>
      </c>
      <c r="F25" s="266">
        <f>IF(F24&lt;=Dashboard!$D$14,1/Dashboard!$D$14,0)</f>
        <v>0.1</v>
      </c>
      <c r="G25" s="266">
        <f>IF(G24&lt;=Dashboard!$D$14,1/Dashboard!$D$14,0)</f>
        <v>0.1</v>
      </c>
      <c r="H25" s="266">
        <f>IF(H24&lt;=Dashboard!$D$14,1/Dashboard!$D$14,0)</f>
        <v>0.1</v>
      </c>
      <c r="I25" s="266">
        <f>IF(I24&lt;=Dashboard!$D$14,1/Dashboard!$D$14,0)</f>
        <v>0.1</v>
      </c>
      <c r="J25" s="266">
        <f>IF(J24&lt;=Dashboard!$D$14,1/Dashboard!$D$14,0)</f>
        <v>0.1</v>
      </c>
      <c r="K25" s="266">
        <f>IF(K24&lt;=Dashboard!$D$14,1/Dashboard!$D$14,0)</f>
        <v>0.1</v>
      </c>
      <c r="L25" s="266">
        <f>IF(L24&lt;=Dashboard!$D$14,1/Dashboard!$D$14,0)</f>
        <v>0.1</v>
      </c>
      <c r="M25" s="266">
        <f>IF(M24&lt;=Dashboard!$D$14,1/Dashboard!$D$14,0)</f>
        <v>0.1</v>
      </c>
      <c r="N25" s="266">
        <f>IF(N24&lt;=Dashboard!$D$14,1/Dashboard!$D$14,0)</f>
        <v>0.1</v>
      </c>
      <c r="O25" s="266">
        <f>IF(O24&lt;=Dashboard!$D$14,1/Dashboard!$D$14,0)</f>
        <v>0</v>
      </c>
      <c r="P25" s="266">
        <f>IF(P24&lt;=Dashboard!$D$14,1/Dashboard!$D$14,0)</f>
        <v>0</v>
      </c>
      <c r="Q25" s="266">
        <f>IF(Q24&lt;=Dashboard!$D$14,1/Dashboard!$D$14,0)</f>
        <v>0</v>
      </c>
      <c r="R25" s="266">
        <f>IF(R24&lt;=Dashboard!$D$14,1/Dashboard!$D$14,0)</f>
        <v>0</v>
      </c>
      <c r="S25" s="266">
        <f>IF(S24&lt;=Dashboard!$D$14,1/Dashboard!$D$14,0)</f>
        <v>0</v>
      </c>
      <c r="T25" s="266">
        <f>IF(T24&lt;=Dashboard!$D$14,1/Dashboard!$D$14,0)</f>
        <v>0</v>
      </c>
      <c r="U25" s="266">
        <f>IF(U24&lt;=Dashboard!$D$14,1/Dashboard!$D$14,0)</f>
        <v>0</v>
      </c>
      <c r="V25" s="266">
        <f>IF(V24&lt;=Dashboard!$D$14,1/Dashboard!$D$14,0)</f>
        <v>0</v>
      </c>
      <c r="W25" s="266">
        <f>IF(W24&lt;=Dashboard!$D$14,1/Dashboard!$D$14,0)</f>
        <v>0</v>
      </c>
      <c r="X25" s="266">
        <f>IF(X24&lt;=Dashboard!$D$14,1/Dashboard!$D$14,0)</f>
        <v>0</v>
      </c>
      <c r="Y25" s="266">
        <f>IF(Y24&lt;=Dashboard!$D$14,1/Dashboard!$D$14,0)</f>
        <v>0</v>
      </c>
      <c r="Z25" s="266">
        <f>IF(Z24&lt;=Dashboard!$D$14,1/Dashboard!$D$14,0)</f>
        <v>0</v>
      </c>
      <c r="AA25" s="266">
        <f>IF(AA24&lt;=Dashboard!$D$14,1/Dashboard!$D$14,0)</f>
        <v>0</v>
      </c>
      <c r="AB25" s="266">
        <f>IF(AB24&lt;=Dashboard!$D$14,1/Dashboard!$D$14,0)</f>
        <v>0</v>
      </c>
      <c r="AC25" s="266">
        <f>IF(AC24&lt;=Dashboard!$D$14,1/Dashboard!$D$14,0)</f>
        <v>0</v>
      </c>
      <c r="AD25" s="266">
        <f>IF(AD24&lt;=Dashboard!$D$14,1/Dashboard!$D$14,0)</f>
        <v>0</v>
      </c>
      <c r="AE25" s="266">
        <f>IF(AE24&lt;=Dashboard!$D$14,1/Dashboard!$D$14,0)</f>
        <v>0</v>
      </c>
      <c r="AF25" s="266">
        <f>IF(AF24&lt;=Dashboard!$D$14,1/Dashboard!$D$14,0)</f>
        <v>0</v>
      </c>
      <c r="AG25" s="266">
        <f>IF(AG24&lt;=Dashboard!$D$14,1/Dashboard!$D$14,0)</f>
        <v>0</v>
      </c>
      <c r="AH25" s="266">
        <f>IF(AH24&lt;=Dashboard!$D$14,1/Dashboard!$D$14,0)</f>
        <v>0</v>
      </c>
      <c r="AI25" s="266">
        <f>IF(AI24&lt;=Dashboard!$D$14,1/Dashboard!$D$14,0)</f>
        <v>0</v>
      </c>
      <c r="AJ25" s="266">
        <f>IF(AJ24&lt;=Dashboard!$D$14,1/Dashboard!$D$14,0)</f>
        <v>0</v>
      </c>
      <c r="AK25" s="266">
        <f>IF(AK24&lt;=Dashboard!$D$14,1/Dashboard!$D$14,0)</f>
        <v>0</v>
      </c>
      <c r="AL25" s="266">
        <f>IF(AL24&lt;=Dashboard!$D$14,1/Dashboard!$D$14,0)</f>
        <v>0</v>
      </c>
      <c r="AM25" s="266">
        <f>IF(AM24&lt;=Dashboard!$D$14,1/Dashboard!$D$14,0)</f>
        <v>0</v>
      </c>
      <c r="AN25" s="266">
        <f>IF(AN24&lt;=Dashboard!$D$14,1/Dashboard!$D$14,0)</f>
        <v>0</v>
      </c>
      <c r="AO25" s="266">
        <f>IF(AO24&lt;=Dashboard!$D$14,1/Dashboard!$D$14,0)</f>
        <v>0</v>
      </c>
      <c r="AP25" s="266">
        <f>IF(AP24&lt;=Dashboard!$D$14,1/Dashboard!$D$14,0)</f>
        <v>0</v>
      </c>
      <c r="AQ25" s="266">
        <f>IF(AQ24&lt;=Dashboard!$D$14,1/Dashboard!$D$14,0)</f>
        <v>0</v>
      </c>
      <c r="AR25" s="266">
        <f>IF(AR24&lt;=Dashboard!$D$14,1/Dashboard!$D$14,0)</f>
        <v>0</v>
      </c>
      <c r="AS25" s="266">
        <f>IF(AS24&lt;=Dashboard!$D$14,1/Dashboard!$D$14,0)</f>
        <v>0</v>
      </c>
      <c r="AT25" s="266">
        <f>IF(AT24&lt;=Dashboard!$D$14,1/Dashboard!$D$14,0)</f>
        <v>0</v>
      </c>
      <c r="AU25" s="266">
        <f>IF(AU24&lt;=Dashboard!$D$14,1/Dashboard!$D$14,0)</f>
        <v>0</v>
      </c>
      <c r="AV25" s="266">
        <f>IF(AV24&lt;=Dashboard!$D$14,1/Dashboard!$D$14,0)</f>
        <v>0</v>
      </c>
      <c r="AW25" s="266">
        <f>IF(AW24&lt;=Dashboard!$D$14,1/Dashboard!$D$14,0)</f>
        <v>0</v>
      </c>
      <c r="AX25" s="266">
        <f>IF(AX24&lt;=Dashboard!$D$14,1/Dashboard!$D$14,0)</f>
        <v>0</v>
      </c>
      <c r="AY25" s="266">
        <f>IF(AY24&lt;=Dashboard!$D$14,1/Dashboard!$D$14,0)</f>
        <v>0</v>
      </c>
      <c r="AZ25" s="266">
        <f>IF(AZ24&lt;=Dashboard!$D$14,1/Dashboard!$D$14,0)</f>
        <v>0</v>
      </c>
      <c r="BA25" s="266">
        <f>IF(BA24&lt;=Dashboard!$D$14,1/Dashboard!$D$14,0)</f>
        <v>0</v>
      </c>
      <c r="BB25" s="266">
        <f>IF(BB24&lt;=Dashboard!$D$14,1/Dashboard!$D$14,0)</f>
        <v>0</v>
      </c>
      <c r="BC25" s="266">
        <f>IF(BC24&lt;=Dashboard!$D$14,1/Dashboard!$D$14,0)</f>
        <v>0</v>
      </c>
      <c r="BD25" s="266">
        <f>IF(BD24&lt;=Dashboard!$D$14,1/Dashboard!$D$14,0)</f>
        <v>0</v>
      </c>
      <c r="BE25" s="266">
        <f>IF(BE24&lt;=Dashboard!$D$14,1/Dashboard!$D$14,0)</f>
        <v>0</v>
      </c>
      <c r="BF25" s="266">
        <f>IF(BF24&lt;=Dashboard!$D$14,1/Dashboard!$D$14,0)</f>
        <v>0</v>
      </c>
      <c r="BG25" s="266">
        <f>IF(BG24&lt;=Dashboard!$D$14,1/Dashboard!$D$14,0)</f>
        <v>0</v>
      </c>
      <c r="BH25" s="266">
        <f>IF(BH24&lt;=Dashboard!$D$14,1/Dashboard!$D$14,0)</f>
        <v>0</v>
      </c>
      <c r="BI25" s="266">
        <f>IF(BI24&lt;=Dashboard!$D$14,1/Dashboard!$D$14,0)</f>
        <v>0</v>
      </c>
      <c r="BJ25" s="266">
        <f>IF(BJ24&lt;=Dashboard!$D$14,1/Dashboard!$D$14,0)</f>
        <v>0</v>
      </c>
      <c r="BK25" s="266">
        <f>IF(BK24&lt;=Dashboard!$D$14,1/Dashboard!$D$14,0)</f>
        <v>0</v>
      </c>
      <c r="BL25" s="266">
        <f>IF(BL24&lt;=Dashboard!$D$14,1/Dashboard!$D$14,0)</f>
        <v>0</v>
      </c>
      <c r="BM25" s="266">
        <f>IF(BM24&lt;=Dashboard!$D$14,1/Dashboard!$D$14,0)</f>
        <v>0</v>
      </c>
      <c r="BN25" s="266">
        <f>IF(BN24&lt;=Dashboard!$D$14,1/Dashboard!$D$14,0)</f>
        <v>0</v>
      </c>
      <c r="BO25" s="266">
        <f>IF(BO24&lt;=Dashboard!$D$14,1/Dashboard!$D$14,0)</f>
        <v>0</v>
      </c>
      <c r="BP25" s="266">
        <f>IF(BP24&lt;=Dashboard!$D$14,1/Dashboard!$D$14,0)</f>
        <v>0</v>
      </c>
    </row>
    <row r="26" spans="2:68" ht="12" customHeight="1">
      <c r="B26" s="264" t="s">
        <v>1667</v>
      </c>
      <c r="E26" s="265">
        <f>'Cronog. e Histog.'!K97</f>
        <v>9.999999999999995E-2</v>
      </c>
      <c r="F26" s="266">
        <f>'Cronog. e Histog.'!L97</f>
        <v>9.999999999999995E-2</v>
      </c>
      <c r="G26" s="266">
        <f>'Cronog. e Histog.'!M97</f>
        <v>9.999999999999995E-2</v>
      </c>
      <c r="H26" s="266">
        <f>'Cronog. e Histog.'!N97</f>
        <v>9.999999999999995E-2</v>
      </c>
      <c r="I26" s="266">
        <f>'Cronog. e Histog.'!O97</f>
        <v>9.999999999999995E-2</v>
      </c>
      <c r="J26" s="266">
        <f>'Cronog. e Histog.'!P97</f>
        <v>9.999999999999995E-2</v>
      </c>
      <c r="K26" s="266">
        <f>'Cronog. e Histog.'!Q97</f>
        <v>9.999999999999995E-2</v>
      </c>
      <c r="L26" s="266">
        <f>'Cronog. e Histog.'!R97</f>
        <v>9.999999999999995E-2</v>
      </c>
      <c r="M26" s="266">
        <f>'Cronog. e Histog.'!S97</f>
        <v>9.999999999999995E-2</v>
      </c>
      <c r="N26" s="266">
        <f>'Cronog. e Histog.'!T97</f>
        <v>9.999999999999995E-2</v>
      </c>
      <c r="O26" s="266">
        <f>'Cronog. e Histog.'!U97</f>
        <v>0</v>
      </c>
      <c r="P26" s="266">
        <f>'Cronog. e Histog.'!V97</f>
        <v>0</v>
      </c>
      <c r="Q26" s="266">
        <f>'Cronog. e Histog.'!W97</f>
        <v>0</v>
      </c>
      <c r="R26" s="266">
        <f>'Cronog. e Histog.'!X97</f>
        <v>0</v>
      </c>
      <c r="S26" s="266">
        <f>'Cronog. e Histog.'!Y97</f>
        <v>0</v>
      </c>
      <c r="T26" s="266">
        <f>'Cronog. e Histog.'!Z97</f>
        <v>0</v>
      </c>
      <c r="U26" s="266">
        <f>'Cronog. e Histog.'!AA97</f>
        <v>0</v>
      </c>
      <c r="V26" s="266">
        <f>'Cronog. e Histog.'!AB97</f>
        <v>0</v>
      </c>
      <c r="W26" s="266">
        <f>'Cronog. e Histog.'!AC97</f>
        <v>0</v>
      </c>
      <c r="X26" s="266">
        <f>'Cronog. e Histog.'!AD97</f>
        <v>0</v>
      </c>
      <c r="Y26" s="266">
        <f>'Cronog. e Histog.'!AE97</f>
        <v>0</v>
      </c>
      <c r="Z26" s="266">
        <f>'Cronog. e Histog.'!AF97</f>
        <v>0</v>
      </c>
      <c r="AA26" s="266">
        <f>'Cronog. e Histog.'!AG97</f>
        <v>0</v>
      </c>
      <c r="AB26" s="266">
        <f>'Cronog. e Histog.'!AH97</f>
        <v>0</v>
      </c>
      <c r="AC26" s="266">
        <f>'Cronog. e Histog.'!AI97</f>
        <v>0</v>
      </c>
      <c r="AD26" s="266">
        <f>'Cronog. e Histog.'!AJ97</f>
        <v>0</v>
      </c>
      <c r="AE26" s="266">
        <f>'Cronog. e Histog.'!AK97</f>
        <v>0</v>
      </c>
      <c r="AF26" s="266">
        <f>'Cronog. e Histog.'!AL97</f>
        <v>0</v>
      </c>
      <c r="AG26" s="266">
        <f>'Cronog. e Histog.'!AM97</f>
        <v>0</v>
      </c>
      <c r="AH26" s="266">
        <f>'Cronog. e Histog.'!AN97</f>
        <v>0</v>
      </c>
      <c r="AI26" s="266">
        <f>'Cronog. e Histog.'!AO97</f>
        <v>0</v>
      </c>
      <c r="AJ26" s="266">
        <f>'Cronog. e Histog.'!AP97</f>
        <v>0</v>
      </c>
      <c r="AK26" s="266">
        <f>'Cronog. e Histog.'!AQ97</f>
        <v>0</v>
      </c>
      <c r="AL26" s="266">
        <f>'Cronog. e Histog.'!AR97</f>
        <v>0</v>
      </c>
      <c r="AM26" s="266">
        <f>'Cronog. e Histog.'!AS97</f>
        <v>0</v>
      </c>
      <c r="AN26" s="266">
        <f>'Cronog. e Histog.'!AT97</f>
        <v>0</v>
      </c>
      <c r="AO26" s="266">
        <f>'Cronog. e Histog.'!AU97</f>
        <v>0</v>
      </c>
      <c r="AP26" s="266">
        <f>'Cronog. e Histog.'!AV97</f>
        <v>0</v>
      </c>
      <c r="AQ26" s="266">
        <f>'Cronog. e Histog.'!AW97</f>
        <v>0</v>
      </c>
      <c r="AR26" s="266">
        <f>'Cronog. e Histog.'!AX97</f>
        <v>0</v>
      </c>
      <c r="AS26" s="266">
        <f>'Cronog. e Histog.'!AY97</f>
        <v>0</v>
      </c>
      <c r="AT26" s="266">
        <f>'Cronog. e Histog.'!AZ97</f>
        <v>0</v>
      </c>
      <c r="AU26" s="266">
        <f>'Cronog. e Histog.'!BA97</f>
        <v>0</v>
      </c>
      <c r="AV26" s="266">
        <f>'Cronog. e Histog.'!BB97</f>
        <v>0</v>
      </c>
      <c r="AW26" s="266">
        <f>'Cronog. e Histog.'!BC97</f>
        <v>0</v>
      </c>
      <c r="AX26" s="266">
        <f>'Cronog. e Histog.'!BD97</f>
        <v>0</v>
      </c>
      <c r="AY26" s="266">
        <f>'Cronog. e Histog.'!BE97</f>
        <v>0</v>
      </c>
      <c r="AZ26" s="266">
        <f>'Cronog. e Histog.'!BF97</f>
        <v>0</v>
      </c>
      <c r="BA26" s="266">
        <f>'Cronog. e Histog.'!BG97</f>
        <v>0</v>
      </c>
      <c r="BB26" s="266">
        <f>'Cronog. e Histog.'!BH97</f>
        <v>0</v>
      </c>
      <c r="BC26" s="266">
        <f>'Cronog. e Histog.'!BI97</f>
        <v>0</v>
      </c>
      <c r="BD26" s="266">
        <f>'Cronog. e Histog.'!BJ97</f>
        <v>0</v>
      </c>
      <c r="BE26" s="266">
        <f>'Cronog. e Histog.'!BK97</f>
        <v>0</v>
      </c>
      <c r="BF26" s="266">
        <f>'Cronog. e Histog.'!BL97</f>
        <v>0</v>
      </c>
      <c r="BG26" s="266">
        <f>'Cronog. e Histog.'!BM97</f>
        <v>0</v>
      </c>
      <c r="BH26" s="266">
        <f>'Cronog. e Histog.'!BN97</f>
        <v>0</v>
      </c>
      <c r="BI26" s="266">
        <f>'Cronog. e Histog.'!BO97</f>
        <v>0</v>
      </c>
      <c r="BJ26" s="266">
        <f>'Cronog. e Histog.'!BP97</f>
        <v>0</v>
      </c>
      <c r="BK26" s="266">
        <f>'Cronog. e Histog.'!BQ97</f>
        <v>0</v>
      </c>
      <c r="BL26" s="266">
        <f>'Cronog. e Histog.'!BR97</f>
        <v>0</v>
      </c>
      <c r="BM26" s="266">
        <f>'Cronog. e Histog.'!BS97</f>
        <v>0</v>
      </c>
      <c r="BN26" s="266">
        <f>'Cronog. e Histog.'!BT97</f>
        <v>0</v>
      </c>
      <c r="BO26" s="266">
        <f>'Cronog. e Histog.'!BU97</f>
        <v>0</v>
      </c>
      <c r="BP26" s="266">
        <f>'Cronog. e Histog.'!BV97</f>
        <v>0</v>
      </c>
    </row>
    <row r="27" spans="2:68" ht="12" customHeight="1">
      <c r="B27" s="260" t="s">
        <v>1668</v>
      </c>
      <c r="C27" s="267" t="s">
        <v>1666</v>
      </c>
      <c r="E27" s="268">
        <f t="shared" ref="E27:AJ27" si="3">IF($C$27=$B$25,E25,IF($C$27=$B$26,E26,0))</f>
        <v>0.1</v>
      </c>
      <c r="F27" s="269">
        <f t="shared" si="3"/>
        <v>0.1</v>
      </c>
      <c r="G27" s="269">
        <f t="shared" si="3"/>
        <v>0.1</v>
      </c>
      <c r="H27" s="269">
        <f t="shared" si="3"/>
        <v>0.1</v>
      </c>
      <c r="I27" s="269">
        <f t="shared" si="3"/>
        <v>0.1</v>
      </c>
      <c r="J27" s="269">
        <f t="shared" si="3"/>
        <v>0.1</v>
      </c>
      <c r="K27" s="269">
        <f t="shared" si="3"/>
        <v>0.1</v>
      </c>
      <c r="L27" s="269">
        <f t="shared" si="3"/>
        <v>0.1</v>
      </c>
      <c r="M27" s="269">
        <f t="shared" si="3"/>
        <v>0.1</v>
      </c>
      <c r="N27" s="269">
        <f t="shared" si="3"/>
        <v>0.1</v>
      </c>
      <c r="O27" s="269">
        <f t="shared" si="3"/>
        <v>0</v>
      </c>
      <c r="P27" s="269">
        <f t="shared" si="3"/>
        <v>0</v>
      </c>
      <c r="Q27" s="269">
        <f t="shared" si="3"/>
        <v>0</v>
      </c>
      <c r="R27" s="269">
        <f t="shared" si="3"/>
        <v>0</v>
      </c>
      <c r="S27" s="269">
        <f t="shared" si="3"/>
        <v>0</v>
      </c>
      <c r="T27" s="269">
        <f t="shared" si="3"/>
        <v>0</v>
      </c>
      <c r="U27" s="269">
        <f t="shared" si="3"/>
        <v>0</v>
      </c>
      <c r="V27" s="269">
        <f t="shared" si="3"/>
        <v>0</v>
      </c>
      <c r="W27" s="269">
        <f t="shared" si="3"/>
        <v>0</v>
      </c>
      <c r="X27" s="269">
        <f t="shared" si="3"/>
        <v>0</v>
      </c>
      <c r="Y27" s="269">
        <f t="shared" si="3"/>
        <v>0</v>
      </c>
      <c r="Z27" s="269">
        <f t="shared" si="3"/>
        <v>0</v>
      </c>
      <c r="AA27" s="269">
        <f t="shared" si="3"/>
        <v>0</v>
      </c>
      <c r="AB27" s="269">
        <f t="shared" si="3"/>
        <v>0</v>
      </c>
      <c r="AC27" s="269">
        <f t="shared" si="3"/>
        <v>0</v>
      </c>
      <c r="AD27" s="269">
        <f t="shared" si="3"/>
        <v>0</v>
      </c>
      <c r="AE27" s="269">
        <f t="shared" si="3"/>
        <v>0</v>
      </c>
      <c r="AF27" s="269">
        <f t="shared" si="3"/>
        <v>0</v>
      </c>
      <c r="AG27" s="269">
        <f t="shared" si="3"/>
        <v>0</v>
      </c>
      <c r="AH27" s="269">
        <f t="shared" si="3"/>
        <v>0</v>
      </c>
      <c r="AI27" s="269">
        <f t="shared" si="3"/>
        <v>0</v>
      </c>
      <c r="AJ27" s="269">
        <f t="shared" si="3"/>
        <v>0</v>
      </c>
      <c r="AK27" s="269">
        <f t="shared" ref="AK27:BP27" si="4">IF($C$27=$B$25,AK25,IF($C$27=$B$26,AK26,0))</f>
        <v>0</v>
      </c>
      <c r="AL27" s="269">
        <f t="shared" si="4"/>
        <v>0</v>
      </c>
      <c r="AM27" s="269">
        <f t="shared" si="4"/>
        <v>0</v>
      </c>
      <c r="AN27" s="269">
        <f t="shared" si="4"/>
        <v>0</v>
      </c>
      <c r="AO27" s="269">
        <f t="shared" si="4"/>
        <v>0</v>
      </c>
      <c r="AP27" s="269">
        <f t="shared" si="4"/>
        <v>0</v>
      </c>
      <c r="AQ27" s="269">
        <f t="shared" si="4"/>
        <v>0</v>
      </c>
      <c r="AR27" s="269">
        <f t="shared" si="4"/>
        <v>0</v>
      </c>
      <c r="AS27" s="269">
        <f t="shared" si="4"/>
        <v>0</v>
      </c>
      <c r="AT27" s="269">
        <f t="shared" si="4"/>
        <v>0</v>
      </c>
      <c r="AU27" s="269">
        <f t="shared" si="4"/>
        <v>0</v>
      </c>
      <c r="AV27" s="269">
        <f t="shared" si="4"/>
        <v>0</v>
      </c>
      <c r="AW27" s="269">
        <f t="shared" si="4"/>
        <v>0</v>
      </c>
      <c r="AX27" s="269">
        <f t="shared" si="4"/>
        <v>0</v>
      </c>
      <c r="AY27" s="269">
        <f t="shared" si="4"/>
        <v>0</v>
      </c>
      <c r="AZ27" s="269">
        <f t="shared" si="4"/>
        <v>0</v>
      </c>
      <c r="BA27" s="269">
        <f t="shared" si="4"/>
        <v>0</v>
      </c>
      <c r="BB27" s="269">
        <f t="shared" si="4"/>
        <v>0</v>
      </c>
      <c r="BC27" s="269">
        <f t="shared" si="4"/>
        <v>0</v>
      </c>
      <c r="BD27" s="269">
        <f t="shared" si="4"/>
        <v>0</v>
      </c>
      <c r="BE27" s="269">
        <f t="shared" si="4"/>
        <v>0</v>
      </c>
      <c r="BF27" s="269">
        <f t="shared" si="4"/>
        <v>0</v>
      </c>
      <c r="BG27" s="269">
        <f t="shared" si="4"/>
        <v>0</v>
      </c>
      <c r="BH27" s="269">
        <f t="shared" si="4"/>
        <v>0</v>
      </c>
      <c r="BI27" s="269">
        <f t="shared" si="4"/>
        <v>0</v>
      </c>
      <c r="BJ27" s="269">
        <f t="shared" si="4"/>
        <v>0</v>
      </c>
      <c r="BK27" s="269">
        <f t="shared" si="4"/>
        <v>0</v>
      </c>
      <c r="BL27" s="269">
        <f t="shared" si="4"/>
        <v>0</v>
      </c>
      <c r="BM27" s="269">
        <f t="shared" si="4"/>
        <v>0</v>
      </c>
      <c r="BN27" s="269">
        <f t="shared" si="4"/>
        <v>0</v>
      </c>
      <c r="BO27" s="269">
        <f t="shared" si="4"/>
        <v>0</v>
      </c>
      <c r="BP27" s="269">
        <f t="shared" si="4"/>
        <v>0</v>
      </c>
    </row>
    <row r="28" spans="2:68" ht="12" customHeight="1">
      <c r="B28" s="260" t="s">
        <v>1669</v>
      </c>
      <c r="C28" s="267">
        <v>0</v>
      </c>
      <c r="E28" s="270">
        <v>0</v>
      </c>
      <c r="F28" s="270">
        <v>30</v>
      </c>
      <c r="G28" s="270">
        <v>60</v>
      </c>
      <c r="H28" s="270">
        <v>90</v>
      </c>
      <c r="I28" s="270">
        <v>120</v>
      </c>
    </row>
    <row r="29" spans="2:68" ht="12" customHeight="1">
      <c r="C29" s="271">
        <v>0</v>
      </c>
      <c r="E29" s="272">
        <f>E27</f>
        <v>0.1</v>
      </c>
      <c r="F29" s="272">
        <f t="shared" ref="F29:BL29" si="5">F27</f>
        <v>0.1</v>
      </c>
      <c r="G29" s="272">
        <f t="shared" si="5"/>
        <v>0.1</v>
      </c>
      <c r="H29" s="272">
        <f t="shared" si="5"/>
        <v>0.1</v>
      </c>
      <c r="I29" s="272">
        <f t="shared" si="5"/>
        <v>0.1</v>
      </c>
      <c r="J29" s="272">
        <f t="shared" si="5"/>
        <v>0.1</v>
      </c>
      <c r="K29" s="272">
        <f t="shared" si="5"/>
        <v>0.1</v>
      </c>
      <c r="L29" s="272">
        <f t="shared" si="5"/>
        <v>0.1</v>
      </c>
      <c r="M29" s="272">
        <f t="shared" si="5"/>
        <v>0.1</v>
      </c>
      <c r="N29" s="272">
        <f t="shared" si="5"/>
        <v>0.1</v>
      </c>
      <c r="O29" s="272">
        <f t="shared" si="5"/>
        <v>0</v>
      </c>
      <c r="P29" s="272">
        <f t="shared" si="5"/>
        <v>0</v>
      </c>
      <c r="Q29" s="272">
        <f t="shared" si="5"/>
        <v>0</v>
      </c>
      <c r="R29" s="272">
        <f t="shared" si="5"/>
        <v>0</v>
      </c>
      <c r="S29" s="272">
        <f t="shared" si="5"/>
        <v>0</v>
      </c>
      <c r="T29" s="272">
        <f t="shared" si="5"/>
        <v>0</v>
      </c>
      <c r="U29" s="272">
        <f t="shared" si="5"/>
        <v>0</v>
      </c>
      <c r="V29" s="272">
        <f t="shared" si="5"/>
        <v>0</v>
      </c>
      <c r="W29" s="272">
        <f t="shared" si="5"/>
        <v>0</v>
      </c>
      <c r="X29" s="272">
        <f t="shared" si="5"/>
        <v>0</v>
      </c>
      <c r="Y29" s="272">
        <f t="shared" si="5"/>
        <v>0</v>
      </c>
      <c r="Z29" s="272">
        <f t="shared" si="5"/>
        <v>0</v>
      </c>
      <c r="AA29" s="272">
        <f t="shared" si="5"/>
        <v>0</v>
      </c>
      <c r="AB29" s="272">
        <f t="shared" si="5"/>
        <v>0</v>
      </c>
      <c r="AC29" s="272">
        <f t="shared" si="5"/>
        <v>0</v>
      </c>
      <c r="AD29" s="272">
        <f t="shared" si="5"/>
        <v>0</v>
      </c>
      <c r="AE29" s="272">
        <f t="shared" si="5"/>
        <v>0</v>
      </c>
      <c r="AF29" s="272">
        <f t="shared" si="5"/>
        <v>0</v>
      </c>
      <c r="AG29" s="272">
        <f t="shared" si="5"/>
        <v>0</v>
      </c>
      <c r="AH29" s="272">
        <f t="shared" si="5"/>
        <v>0</v>
      </c>
      <c r="AI29" s="272">
        <f t="shared" si="5"/>
        <v>0</v>
      </c>
      <c r="AJ29" s="272">
        <f t="shared" si="5"/>
        <v>0</v>
      </c>
      <c r="AK29" s="272">
        <f t="shared" si="5"/>
        <v>0</v>
      </c>
      <c r="AL29" s="272">
        <f t="shared" si="5"/>
        <v>0</v>
      </c>
      <c r="AM29" s="272">
        <f t="shared" si="5"/>
        <v>0</v>
      </c>
      <c r="AN29" s="272">
        <f t="shared" si="5"/>
        <v>0</v>
      </c>
      <c r="AO29" s="272">
        <f t="shared" si="5"/>
        <v>0</v>
      </c>
      <c r="AP29" s="272">
        <f t="shared" si="5"/>
        <v>0</v>
      </c>
      <c r="AQ29" s="272">
        <f t="shared" si="5"/>
        <v>0</v>
      </c>
      <c r="AR29" s="272">
        <f t="shared" si="5"/>
        <v>0</v>
      </c>
      <c r="AS29" s="272">
        <f t="shared" si="5"/>
        <v>0</v>
      </c>
      <c r="AT29" s="272">
        <f t="shared" si="5"/>
        <v>0</v>
      </c>
      <c r="AU29" s="272">
        <f t="shared" si="5"/>
        <v>0</v>
      </c>
      <c r="AV29" s="272">
        <f t="shared" si="5"/>
        <v>0</v>
      </c>
      <c r="AW29" s="272">
        <f t="shared" si="5"/>
        <v>0</v>
      </c>
      <c r="AX29" s="272">
        <f t="shared" si="5"/>
        <v>0</v>
      </c>
      <c r="AY29" s="272">
        <f t="shared" si="5"/>
        <v>0</v>
      </c>
      <c r="AZ29" s="272">
        <f t="shared" si="5"/>
        <v>0</v>
      </c>
      <c r="BA29" s="272">
        <f t="shared" si="5"/>
        <v>0</v>
      </c>
      <c r="BB29" s="272">
        <f t="shared" si="5"/>
        <v>0</v>
      </c>
      <c r="BC29" s="272">
        <f t="shared" si="5"/>
        <v>0</v>
      </c>
      <c r="BD29" s="272">
        <f t="shared" si="5"/>
        <v>0</v>
      </c>
      <c r="BE29" s="272">
        <f t="shared" si="5"/>
        <v>0</v>
      </c>
      <c r="BF29" s="272">
        <f t="shared" si="5"/>
        <v>0</v>
      </c>
      <c r="BG29" s="272">
        <f t="shared" si="5"/>
        <v>0</v>
      </c>
      <c r="BH29" s="272">
        <f t="shared" si="5"/>
        <v>0</v>
      </c>
      <c r="BI29" s="272">
        <f t="shared" si="5"/>
        <v>0</v>
      </c>
      <c r="BJ29" s="272">
        <f t="shared" si="5"/>
        <v>0</v>
      </c>
      <c r="BK29" s="272">
        <f t="shared" si="5"/>
        <v>0</v>
      </c>
      <c r="BL29" s="272">
        <f t="shared" si="5"/>
        <v>0</v>
      </c>
      <c r="BM29" s="273">
        <v>0</v>
      </c>
      <c r="BN29" s="273">
        <v>0</v>
      </c>
      <c r="BO29" s="273">
        <v>0</v>
      </c>
      <c r="BP29" s="273">
        <v>0</v>
      </c>
    </row>
    <row r="30" spans="2:68" ht="12" customHeight="1">
      <c r="C30" s="271">
        <v>30</v>
      </c>
      <c r="E30" s="273">
        <v>0</v>
      </c>
      <c r="F30" s="272">
        <f>E27</f>
        <v>0.1</v>
      </c>
      <c r="G30" s="272">
        <f t="shared" ref="G30:BM30" si="6">F27</f>
        <v>0.1</v>
      </c>
      <c r="H30" s="272">
        <f t="shared" si="6"/>
        <v>0.1</v>
      </c>
      <c r="I30" s="272">
        <f t="shared" si="6"/>
        <v>0.1</v>
      </c>
      <c r="J30" s="272">
        <f t="shared" si="6"/>
        <v>0.1</v>
      </c>
      <c r="K30" s="272">
        <f t="shared" si="6"/>
        <v>0.1</v>
      </c>
      <c r="L30" s="272">
        <f t="shared" si="6"/>
        <v>0.1</v>
      </c>
      <c r="M30" s="272">
        <f t="shared" si="6"/>
        <v>0.1</v>
      </c>
      <c r="N30" s="272">
        <f t="shared" si="6"/>
        <v>0.1</v>
      </c>
      <c r="O30" s="272">
        <f t="shared" si="6"/>
        <v>0.1</v>
      </c>
      <c r="P30" s="272">
        <f t="shared" si="6"/>
        <v>0</v>
      </c>
      <c r="Q30" s="272">
        <f t="shared" si="6"/>
        <v>0</v>
      </c>
      <c r="R30" s="272">
        <f t="shared" si="6"/>
        <v>0</v>
      </c>
      <c r="S30" s="272">
        <f t="shared" si="6"/>
        <v>0</v>
      </c>
      <c r="T30" s="272">
        <f t="shared" si="6"/>
        <v>0</v>
      </c>
      <c r="U30" s="272">
        <f t="shared" si="6"/>
        <v>0</v>
      </c>
      <c r="V30" s="272">
        <f t="shared" si="6"/>
        <v>0</v>
      </c>
      <c r="W30" s="272">
        <f t="shared" si="6"/>
        <v>0</v>
      </c>
      <c r="X30" s="272">
        <f t="shared" si="6"/>
        <v>0</v>
      </c>
      <c r="Y30" s="272">
        <f t="shared" si="6"/>
        <v>0</v>
      </c>
      <c r="Z30" s="272">
        <f t="shared" si="6"/>
        <v>0</v>
      </c>
      <c r="AA30" s="272">
        <f t="shared" si="6"/>
        <v>0</v>
      </c>
      <c r="AB30" s="272">
        <f t="shared" si="6"/>
        <v>0</v>
      </c>
      <c r="AC30" s="272">
        <f t="shared" si="6"/>
        <v>0</v>
      </c>
      <c r="AD30" s="272">
        <f t="shared" si="6"/>
        <v>0</v>
      </c>
      <c r="AE30" s="272">
        <f t="shared" si="6"/>
        <v>0</v>
      </c>
      <c r="AF30" s="272">
        <f t="shared" si="6"/>
        <v>0</v>
      </c>
      <c r="AG30" s="272">
        <f t="shared" si="6"/>
        <v>0</v>
      </c>
      <c r="AH30" s="272">
        <f t="shared" si="6"/>
        <v>0</v>
      </c>
      <c r="AI30" s="272">
        <f t="shared" si="6"/>
        <v>0</v>
      </c>
      <c r="AJ30" s="272">
        <f t="shared" si="6"/>
        <v>0</v>
      </c>
      <c r="AK30" s="272">
        <f t="shared" si="6"/>
        <v>0</v>
      </c>
      <c r="AL30" s="272">
        <f t="shared" si="6"/>
        <v>0</v>
      </c>
      <c r="AM30" s="272">
        <f t="shared" si="6"/>
        <v>0</v>
      </c>
      <c r="AN30" s="272">
        <f t="shared" si="6"/>
        <v>0</v>
      </c>
      <c r="AO30" s="272">
        <f t="shared" si="6"/>
        <v>0</v>
      </c>
      <c r="AP30" s="272">
        <f t="shared" si="6"/>
        <v>0</v>
      </c>
      <c r="AQ30" s="272">
        <f t="shared" si="6"/>
        <v>0</v>
      </c>
      <c r="AR30" s="272">
        <f t="shared" si="6"/>
        <v>0</v>
      </c>
      <c r="AS30" s="272">
        <f t="shared" si="6"/>
        <v>0</v>
      </c>
      <c r="AT30" s="272">
        <f t="shared" si="6"/>
        <v>0</v>
      </c>
      <c r="AU30" s="272">
        <f t="shared" si="6"/>
        <v>0</v>
      </c>
      <c r="AV30" s="272">
        <f t="shared" si="6"/>
        <v>0</v>
      </c>
      <c r="AW30" s="272">
        <f t="shared" si="6"/>
        <v>0</v>
      </c>
      <c r="AX30" s="272">
        <f t="shared" si="6"/>
        <v>0</v>
      </c>
      <c r="AY30" s="272">
        <f t="shared" si="6"/>
        <v>0</v>
      </c>
      <c r="AZ30" s="272">
        <f t="shared" si="6"/>
        <v>0</v>
      </c>
      <c r="BA30" s="272">
        <f t="shared" si="6"/>
        <v>0</v>
      </c>
      <c r="BB30" s="272">
        <f t="shared" si="6"/>
        <v>0</v>
      </c>
      <c r="BC30" s="272">
        <f t="shared" si="6"/>
        <v>0</v>
      </c>
      <c r="BD30" s="272">
        <f t="shared" si="6"/>
        <v>0</v>
      </c>
      <c r="BE30" s="272">
        <f t="shared" si="6"/>
        <v>0</v>
      </c>
      <c r="BF30" s="272">
        <f t="shared" si="6"/>
        <v>0</v>
      </c>
      <c r="BG30" s="272">
        <f t="shared" si="6"/>
        <v>0</v>
      </c>
      <c r="BH30" s="272">
        <f t="shared" si="6"/>
        <v>0</v>
      </c>
      <c r="BI30" s="272">
        <f t="shared" si="6"/>
        <v>0</v>
      </c>
      <c r="BJ30" s="272">
        <f t="shared" si="6"/>
        <v>0</v>
      </c>
      <c r="BK30" s="272">
        <f t="shared" si="6"/>
        <v>0</v>
      </c>
      <c r="BL30" s="272">
        <f t="shared" si="6"/>
        <v>0</v>
      </c>
      <c r="BM30" s="272">
        <f t="shared" si="6"/>
        <v>0</v>
      </c>
      <c r="BN30" s="273">
        <v>0</v>
      </c>
      <c r="BO30" s="273">
        <v>0</v>
      </c>
      <c r="BP30" s="273">
        <v>0</v>
      </c>
    </row>
    <row r="31" spans="2:68" ht="12" customHeight="1">
      <c r="C31" s="271">
        <v>60</v>
      </c>
      <c r="E31" s="273">
        <v>0</v>
      </c>
      <c r="F31" s="273">
        <v>0</v>
      </c>
      <c r="G31" s="272">
        <f>E27</f>
        <v>0.1</v>
      </c>
      <c r="H31" s="272">
        <f t="shared" ref="H31:BN31" si="7">F27</f>
        <v>0.1</v>
      </c>
      <c r="I31" s="272">
        <f t="shared" si="7"/>
        <v>0.1</v>
      </c>
      <c r="J31" s="272">
        <f t="shared" si="7"/>
        <v>0.1</v>
      </c>
      <c r="K31" s="272">
        <f t="shared" si="7"/>
        <v>0.1</v>
      </c>
      <c r="L31" s="272">
        <f t="shared" si="7"/>
        <v>0.1</v>
      </c>
      <c r="M31" s="272">
        <f t="shared" si="7"/>
        <v>0.1</v>
      </c>
      <c r="N31" s="272">
        <f t="shared" si="7"/>
        <v>0.1</v>
      </c>
      <c r="O31" s="272">
        <f t="shared" si="7"/>
        <v>0.1</v>
      </c>
      <c r="P31" s="272">
        <f t="shared" si="7"/>
        <v>0.1</v>
      </c>
      <c r="Q31" s="272">
        <f t="shared" si="7"/>
        <v>0</v>
      </c>
      <c r="R31" s="272">
        <f t="shared" si="7"/>
        <v>0</v>
      </c>
      <c r="S31" s="272">
        <f t="shared" si="7"/>
        <v>0</v>
      </c>
      <c r="T31" s="272">
        <f t="shared" si="7"/>
        <v>0</v>
      </c>
      <c r="U31" s="272">
        <f t="shared" si="7"/>
        <v>0</v>
      </c>
      <c r="V31" s="272">
        <f t="shared" si="7"/>
        <v>0</v>
      </c>
      <c r="W31" s="272">
        <f t="shared" si="7"/>
        <v>0</v>
      </c>
      <c r="X31" s="272">
        <f t="shared" si="7"/>
        <v>0</v>
      </c>
      <c r="Y31" s="272">
        <f t="shared" si="7"/>
        <v>0</v>
      </c>
      <c r="Z31" s="272">
        <f t="shared" si="7"/>
        <v>0</v>
      </c>
      <c r="AA31" s="272">
        <f t="shared" si="7"/>
        <v>0</v>
      </c>
      <c r="AB31" s="272">
        <f t="shared" si="7"/>
        <v>0</v>
      </c>
      <c r="AC31" s="272">
        <f t="shared" si="7"/>
        <v>0</v>
      </c>
      <c r="AD31" s="272">
        <f t="shared" si="7"/>
        <v>0</v>
      </c>
      <c r="AE31" s="272">
        <f t="shared" si="7"/>
        <v>0</v>
      </c>
      <c r="AF31" s="272">
        <f t="shared" si="7"/>
        <v>0</v>
      </c>
      <c r="AG31" s="272">
        <f t="shared" si="7"/>
        <v>0</v>
      </c>
      <c r="AH31" s="272">
        <f t="shared" si="7"/>
        <v>0</v>
      </c>
      <c r="AI31" s="272">
        <f t="shared" si="7"/>
        <v>0</v>
      </c>
      <c r="AJ31" s="272">
        <f t="shared" si="7"/>
        <v>0</v>
      </c>
      <c r="AK31" s="272">
        <f t="shared" si="7"/>
        <v>0</v>
      </c>
      <c r="AL31" s="272">
        <f t="shared" si="7"/>
        <v>0</v>
      </c>
      <c r="AM31" s="272">
        <f t="shared" si="7"/>
        <v>0</v>
      </c>
      <c r="AN31" s="272">
        <f t="shared" si="7"/>
        <v>0</v>
      </c>
      <c r="AO31" s="272">
        <f t="shared" si="7"/>
        <v>0</v>
      </c>
      <c r="AP31" s="272">
        <f t="shared" si="7"/>
        <v>0</v>
      </c>
      <c r="AQ31" s="272">
        <f t="shared" si="7"/>
        <v>0</v>
      </c>
      <c r="AR31" s="272">
        <f t="shared" si="7"/>
        <v>0</v>
      </c>
      <c r="AS31" s="272">
        <f t="shared" si="7"/>
        <v>0</v>
      </c>
      <c r="AT31" s="272">
        <f t="shared" si="7"/>
        <v>0</v>
      </c>
      <c r="AU31" s="272">
        <f t="shared" si="7"/>
        <v>0</v>
      </c>
      <c r="AV31" s="272">
        <f t="shared" si="7"/>
        <v>0</v>
      </c>
      <c r="AW31" s="272">
        <f t="shared" si="7"/>
        <v>0</v>
      </c>
      <c r="AX31" s="272">
        <f t="shared" si="7"/>
        <v>0</v>
      </c>
      <c r="AY31" s="272">
        <f t="shared" si="7"/>
        <v>0</v>
      </c>
      <c r="AZ31" s="272">
        <f t="shared" si="7"/>
        <v>0</v>
      </c>
      <c r="BA31" s="272">
        <f t="shared" si="7"/>
        <v>0</v>
      </c>
      <c r="BB31" s="272">
        <f t="shared" si="7"/>
        <v>0</v>
      </c>
      <c r="BC31" s="272">
        <f t="shared" si="7"/>
        <v>0</v>
      </c>
      <c r="BD31" s="272">
        <f t="shared" si="7"/>
        <v>0</v>
      </c>
      <c r="BE31" s="272">
        <f t="shared" si="7"/>
        <v>0</v>
      </c>
      <c r="BF31" s="272">
        <f t="shared" si="7"/>
        <v>0</v>
      </c>
      <c r="BG31" s="272">
        <f t="shared" si="7"/>
        <v>0</v>
      </c>
      <c r="BH31" s="272">
        <f t="shared" si="7"/>
        <v>0</v>
      </c>
      <c r="BI31" s="272">
        <f t="shared" si="7"/>
        <v>0</v>
      </c>
      <c r="BJ31" s="272">
        <f t="shared" si="7"/>
        <v>0</v>
      </c>
      <c r="BK31" s="272">
        <f t="shared" si="7"/>
        <v>0</v>
      </c>
      <c r="BL31" s="272">
        <f t="shared" si="7"/>
        <v>0</v>
      </c>
      <c r="BM31" s="272">
        <f t="shared" si="7"/>
        <v>0</v>
      </c>
      <c r="BN31" s="272">
        <f t="shared" si="7"/>
        <v>0</v>
      </c>
      <c r="BO31" s="273">
        <v>0</v>
      </c>
      <c r="BP31" s="273">
        <v>0</v>
      </c>
    </row>
    <row r="32" spans="2:68" ht="12" customHeight="1">
      <c r="C32" s="271">
        <v>90</v>
      </c>
      <c r="E32" s="273">
        <v>0</v>
      </c>
      <c r="F32" s="273">
        <v>0</v>
      </c>
      <c r="G32" s="273">
        <v>0</v>
      </c>
      <c r="H32" s="272">
        <f>E27</f>
        <v>0.1</v>
      </c>
      <c r="I32" s="272">
        <f t="shared" ref="I32:BO32" si="8">F27</f>
        <v>0.1</v>
      </c>
      <c r="J32" s="272">
        <f t="shared" si="8"/>
        <v>0.1</v>
      </c>
      <c r="K32" s="272">
        <f t="shared" si="8"/>
        <v>0.1</v>
      </c>
      <c r="L32" s="272">
        <f t="shared" si="8"/>
        <v>0.1</v>
      </c>
      <c r="M32" s="272">
        <f t="shared" si="8"/>
        <v>0.1</v>
      </c>
      <c r="N32" s="272">
        <f t="shared" si="8"/>
        <v>0.1</v>
      </c>
      <c r="O32" s="272">
        <f t="shared" si="8"/>
        <v>0.1</v>
      </c>
      <c r="P32" s="272">
        <f t="shared" si="8"/>
        <v>0.1</v>
      </c>
      <c r="Q32" s="272">
        <f t="shared" si="8"/>
        <v>0.1</v>
      </c>
      <c r="R32" s="272">
        <f t="shared" si="8"/>
        <v>0</v>
      </c>
      <c r="S32" s="272">
        <f t="shared" si="8"/>
        <v>0</v>
      </c>
      <c r="T32" s="272">
        <f t="shared" si="8"/>
        <v>0</v>
      </c>
      <c r="U32" s="272">
        <f t="shared" si="8"/>
        <v>0</v>
      </c>
      <c r="V32" s="272">
        <f t="shared" si="8"/>
        <v>0</v>
      </c>
      <c r="W32" s="272">
        <f t="shared" si="8"/>
        <v>0</v>
      </c>
      <c r="X32" s="272">
        <f t="shared" si="8"/>
        <v>0</v>
      </c>
      <c r="Y32" s="272">
        <f t="shared" si="8"/>
        <v>0</v>
      </c>
      <c r="Z32" s="272">
        <f t="shared" si="8"/>
        <v>0</v>
      </c>
      <c r="AA32" s="272">
        <f t="shared" si="8"/>
        <v>0</v>
      </c>
      <c r="AB32" s="272">
        <f t="shared" si="8"/>
        <v>0</v>
      </c>
      <c r="AC32" s="272">
        <f t="shared" si="8"/>
        <v>0</v>
      </c>
      <c r="AD32" s="272">
        <f t="shared" si="8"/>
        <v>0</v>
      </c>
      <c r="AE32" s="272">
        <f t="shared" si="8"/>
        <v>0</v>
      </c>
      <c r="AF32" s="272">
        <f t="shared" si="8"/>
        <v>0</v>
      </c>
      <c r="AG32" s="272">
        <f t="shared" si="8"/>
        <v>0</v>
      </c>
      <c r="AH32" s="272">
        <f t="shared" si="8"/>
        <v>0</v>
      </c>
      <c r="AI32" s="272">
        <f t="shared" si="8"/>
        <v>0</v>
      </c>
      <c r="AJ32" s="272">
        <f t="shared" si="8"/>
        <v>0</v>
      </c>
      <c r="AK32" s="272">
        <f t="shared" si="8"/>
        <v>0</v>
      </c>
      <c r="AL32" s="272">
        <f t="shared" si="8"/>
        <v>0</v>
      </c>
      <c r="AM32" s="272">
        <f t="shared" si="8"/>
        <v>0</v>
      </c>
      <c r="AN32" s="272">
        <f t="shared" si="8"/>
        <v>0</v>
      </c>
      <c r="AO32" s="272">
        <f t="shared" si="8"/>
        <v>0</v>
      </c>
      <c r="AP32" s="272">
        <f t="shared" si="8"/>
        <v>0</v>
      </c>
      <c r="AQ32" s="272">
        <f t="shared" si="8"/>
        <v>0</v>
      </c>
      <c r="AR32" s="272">
        <f t="shared" si="8"/>
        <v>0</v>
      </c>
      <c r="AS32" s="272">
        <f t="shared" si="8"/>
        <v>0</v>
      </c>
      <c r="AT32" s="272">
        <f t="shared" si="8"/>
        <v>0</v>
      </c>
      <c r="AU32" s="272">
        <f t="shared" si="8"/>
        <v>0</v>
      </c>
      <c r="AV32" s="272">
        <f t="shared" si="8"/>
        <v>0</v>
      </c>
      <c r="AW32" s="272">
        <f t="shared" si="8"/>
        <v>0</v>
      </c>
      <c r="AX32" s="272">
        <f t="shared" si="8"/>
        <v>0</v>
      </c>
      <c r="AY32" s="272">
        <f t="shared" si="8"/>
        <v>0</v>
      </c>
      <c r="AZ32" s="272">
        <f t="shared" si="8"/>
        <v>0</v>
      </c>
      <c r="BA32" s="272">
        <f t="shared" si="8"/>
        <v>0</v>
      </c>
      <c r="BB32" s="272">
        <f t="shared" si="8"/>
        <v>0</v>
      </c>
      <c r="BC32" s="272">
        <f t="shared" si="8"/>
        <v>0</v>
      </c>
      <c r="BD32" s="272">
        <f t="shared" si="8"/>
        <v>0</v>
      </c>
      <c r="BE32" s="272">
        <f t="shared" si="8"/>
        <v>0</v>
      </c>
      <c r="BF32" s="272">
        <f t="shared" si="8"/>
        <v>0</v>
      </c>
      <c r="BG32" s="272">
        <f t="shared" si="8"/>
        <v>0</v>
      </c>
      <c r="BH32" s="272">
        <f t="shared" si="8"/>
        <v>0</v>
      </c>
      <c r="BI32" s="272">
        <f t="shared" si="8"/>
        <v>0</v>
      </c>
      <c r="BJ32" s="272">
        <f t="shared" si="8"/>
        <v>0</v>
      </c>
      <c r="BK32" s="272">
        <f t="shared" si="8"/>
        <v>0</v>
      </c>
      <c r="BL32" s="272">
        <f t="shared" si="8"/>
        <v>0</v>
      </c>
      <c r="BM32" s="272">
        <f t="shared" si="8"/>
        <v>0</v>
      </c>
      <c r="BN32" s="272">
        <f t="shared" si="8"/>
        <v>0</v>
      </c>
      <c r="BO32" s="272">
        <f t="shared" si="8"/>
        <v>0</v>
      </c>
      <c r="BP32" s="273">
        <v>0</v>
      </c>
    </row>
    <row r="33" spans="1:68" ht="12" customHeight="1">
      <c r="A33" s="250"/>
      <c r="C33" s="271">
        <v>120</v>
      </c>
      <c r="E33" s="273">
        <v>0</v>
      </c>
      <c r="F33" s="273">
        <v>0</v>
      </c>
      <c r="G33" s="273">
        <v>0</v>
      </c>
      <c r="H33" s="273">
        <v>0</v>
      </c>
      <c r="I33" s="272">
        <f>E27</f>
        <v>0.1</v>
      </c>
      <c r="J33" s="272">
        <f t="shared" ref="J33:BP33" si="9">F27</f>
        <v>0.1</v>
      </c>
      <c r="K33" s="272">
        <f t="shared" si="9"/>
        <v>0.1</v>
      </c>
      <c r="L33" s="272">
        <f t="shared" si="9"/>
        <v>0.1</v>
      </c>
      <c r="M33" s="272">
        <f t="shared" si="9"/>
        <v>0.1</v>
      </c>
      <c r="N33" s="272">
        <f t="shared" si="9"/>
        <v>0.1</v>
      </c>
      <c r="O33" s="272">
        <f t="shared" si="9"/>
        <v>0.1</v>
      </c>
      <c r="P33" s="272">
        <f t="shared" si="9"/>
        <v>0.1</v>
      </c>
      <c r="Q33" s="272">
        <f t="shared" si="9"/>
        <v>0.1</v>
      </c>
      <c r="R33" s="272">
        <f t="shared" si="9"/>
        <v>0.1</v>
      </c>
      <c r="S33" s="272">
        <f t="shared" si="9"/>
        <v>0</v>
      </c>
      <c r="T33" s="272">
        <f t="shared" si="9"/>
        <v>0</v>
      </c>
      <c r="U33" s="272">
        <f t="shared" si="9"/>
        <v>0</v>
      </c>
      <c r="V33" s="272">
        <f t="shared" si="9"/>
        <v>0</v>
      </c>
      <c r="W33" s="272">
        <f t="shared" si="9"/>
        <v>0</v>
      </c>
      <c r="X33" s="272">
        <f t="shared" si="9"/>
        <v>0</v>
      </c>
      <c r="Y33" s="272">
        <f t="shared" si="9"/>
        <v>0</v>
      </c>
      <c r="Z33" s="272">
        <f t="shared" si="9"/>
        <v>0</v>
      </c>
      <c r="AA33" s="272">
        <f t="shared" si="9"/>
        <v>0</v>
      </c>
      <c r="AB33" s="272">
        <f t="shared" si="9"/>
        <v>0</v>
      </c>
      <c r="AC33" s="272">
        <f t="shared" si="9"/>
        <v>0</v>
      </c>
      <c r="AD33" s="272">
        <f t="shared" si="9"/>
        <v>0</v>
      </c>
      <c r="AE33" s="272">
        <f t="shared" si="9"/>
        <v>0</v>
      </c>
      <c r="AF33" s="272">
        <f t="shared" si="9"/>
        <v>0</v>
      </c>
      <c r="AG33" s="272">
        <f t="shared" si="9"/>
        <v>0</v>
      </c>
      <c r="AH33" s="272">
        <f t="shared" si="9"/>
        <v>0</v>
      </c>
      <c r="AI33" s="272">
        <f t="shared" si="9"/>
        <v>0</v>
      </c>
      <c r="AJ33" s="272">
        <f t="shared" si="9"/>
        <v>0</v>
      </c>
      <c r="AK33" s="272">
        <f t="shared" si="9"/>
        <v>0</v>
      </c>
      <c r="AL33" s="272">
        <f t="shared" si="9"/>
        <v>0</v>
      </c>
      <c r="AM33" s="272">
        <f t="shared" si="9"/>
        <v>0</v>
      </c>
      <c r="AN33" s="272">
        <f t="shared" si="9"/>
        <v>0</v>
      </c>
      <c r="AO33" s="272">
        <f t="shared" si="9"/>
        <v>0</v>
      </c>
      <c r="AP33" s="272">
        <f t="shared" si="9"/>
        <v>0</v>
      </c>
      <c r="AQ33" s="272">
        <f t="shared" si="9"/>
        <v>0</v>
      </c>
      <c r="AR33" s="272">
        <f t="shared" si="9"/>
        <v>0</v>
      </c>
      <c r="AS33" s="272">
        <f t="shared" si="9"/>
        <v>0</v>
      </c>
      <c r="AT33" s="272">
        <f t="shared" si="9"/>
        <v>0</v>
      </c>
      <c r="AU33" s="272">
        <f t="shared" si="9"/>
        <v>0</v>
      </c>
      <c r="AV33" s="272">
        <f t="shared" si="9"/>
        <v>0</v>
      </c>
      <c r="AW33" s="272">
        <f t="shared" si="9"/>
        <v>0</v>
      </c>
      <c r="AX33" s="272">
        <f t="shared" si="9"/>
        <v>0</v>
      </c>
      <c r="AY33" s="272">
        <f t="shared" si="9"/>
        <v>0</v>
      </c>
      <c r="AZ33" s="272">
        <f t="shared" si="9"/>
        <v>0</v>
      </c>
      <c r="BA33" s="272">
        <f t="shared" si="9"/>
        <v>0</v>
      </c>
      <c r="BB33" s="272">
        <f t="shared" si="9"/>
        <v>0</v>
      </c>
      <c r="BC33" s="272">
        <f t="shared" si="9"/>
        <v>0</v>
      </c>
      <c r="BD33" s="272">
        <f t="shared" si="9"/>
        <v>0</v>
      </c>
      <c r="BE33" s="272">
        <f t="shared" si="9"/>
        <v>0</v>
      </c>
      <c r="BF33" s="272">
        <f t="shared" si="9"/>
        <v>0</v>
      </c>
      <c r="BG33" s="272">
        <f t="shared" si="9"/>
        <v>0</v>
      </c>
      <c r="BH33" s="272">
        <f t="shared" si="9"/>
        <v>0</v>
      </c>
      <c r="BI33" s="272">
        <f t="shared" si="9"/>
        <v>0</v>
      </c>
      <c r="BJ33" s="272">
        <f t="shared" si="9"/>
        <v>0</v>
      </c>
      <c r="BK33" s="272">
        <f t="shared" si="9"/>
        <v>0</v>
      </c>
      <c r="BL33" s="272">
        <f t="shared" si="9"/>
        <v>0</v>
      </c>
      <c r="BM33" s="272">
        <f t="shared" si="9"/>
        <v>0</v>
      </c>
      <c r="BN33" s="272">
        <f t="shared" si="9"/>
        <v>0</v>
      </c>
      <c r="BO33" s="272">
        <f t="shared" si="9"/>
        <v>0</v>
      </c>
      <c r="BP33" s="272">
        <f t="shared" si="9"/>
        <v>0</v>
      </c>
    </row>
    <row r="34" spans="1:68" ht="12" customHeight="1">
      <c r="E34" s="274"/>
    </row>
    <row r="35" spans="1:68" ht="24" customHeight="1">
      <c r="B35" s="262" t="s">
        <v>1670</v>
      </c>
      <c r="C35" s="259"/>
      <c r="E35" s="259">
        <v>1</v>
      </c>
      <c r="F35" s="259">
        <v>2</v>
      </c>
      <c r="G35" s="259">
        <v>3</v>
      </c>
      <c r="H35" s="259">
        <v>4</v>
      </c>
      <c r="I35" s="259">
        <v>5</v>
      </c>
      <c r="J35" s="259">
        <v>6</v>
      </c>
      <c r="K35" s="259">
        <v>7</v>
      </c>
      <c r="L35" s="259">
        <v>8</v>
      </c>
      <c r="M35" s="259">
        <v>9</v>
      </c>
      <c r="N35" s="259">
        <v>10</v>
      </c>
      <c r="O35" s="259">
        <v>11</v>
      </c>
      <c r="P35" s="259">
        <v>12</v>
      </c>
      <c r="Q35" s="259">
        <v>13</v>
      </c>
      <c r="R35" s="259">
        <v>14</v>
      </c>
      <c r="S35" s="259">
        <v>15</v>
      </c>
      <c r="T35" s="259">
        <v>16</v>
      </c>
      <c r="U35" s="259">
        <v>17</v>
      </c>
      <c r="V35" s="259">
        <v>18</v>
      </c>
      <c r="W35" s="259">
        <v>19</v>
      </c>
      <c r="X35" s="259">
        <v>20</v>
      </c>
      <c r="Y35" s="259">
        <v>21</v>
      </c>
      <c r="Z35" s="259">
        <v>22</v>
      </c>
      <c r="AA35" s="259">
        <v>23</v>
      </c>
      <c r="AB35" s="259">
        <v>24</v>
      </c>
      <c r="AC35" s="259">
        <v>25</v>
      </c>
      <c r="AD35" s="259">
        <v>26</v>
      </c>
      <c r="AE35" s="259">
        <v>27</v>
      </c>
      <c r="AF35" s="259">
        <v>28</v>
      </c>
      <c r="AG35" s="259">
        <v>29</v>
      </c>
      <c r="AH35" s="259">
        <v>30</v>
      </c>
      <c r="AI35" s="259">
        <v>31</v>
      </c>
      <c r="AJ35" s="259">
        <v>32</v>
      </c>
      <c r="AK35" s="259">
        <v>33</v>
      </c>
      <c r="AL35" s="259">
        <v>34</v>
      </c>
      <c r="AM35" s="259">
        <v>35</v>
      </c>
      <c r="AN35" s="259">
        <v>36</v>
      </c>
      <c r="AO35" s="259">
        <v>37</v>
      </c>
      <c r="AP35" s="259">
        <v>38</v>
      </c>
      <c r="AQ35" s="259">
        <v>39</v>
      </c>
      <c r="AR35" s="259">
        <v>40</v>
      </c>
      <c r="AS35" s="259">
        <v>41</v>
      </c>
      <c r="AT35" s="259">
        <v>42</v>
      </c>
      <c r="AU35" s="259">
        <v>43</v>
      </c>
      <c r="AV35" s="259">
        <v>44</v>
      </c>
      <c r="AW35" s="259">
        <v>45</v>
      </c>
      <c r="AX35" s="259">
        <v>46</v>
      </c>
      <c r="AY35" s="259">
        <v>47</v>
      </c>
      <c r="AZ35" s="259">
        <v>48</v>
      </c>
      <c r="BA35" s="259">
        <v>49</v>
      </c>
      <c r="BB35" s="259">
        <v>50</v>
      </c>
      <c r="BC35" s="259">
        <v>51</v>
      </c>
      <c r="BD35" s="259">
        <v>52</v>
      </c>
      <c r="BE35" s="259">
        <v>53</v>
      </c>
      <c r="BF35" s="259">
        <v>54</v>
      </c>
      <c r="BG35" s="259">
        <v>55</v>
      </c>
      <c r="BH35" s="259">
        <v>56</v>
      </c>
      <c r="BI35" s="259">
        <v>57</v>
      </c>
      <c r="BJ35" s="259">
        <v>58</v>
      </c>
      <c r="BK35" s="259">
        <v>59</v>
      </c>
      <c r="BL35" s="259">
        <v>60</v>
      </c>
      <c r="BM35" s="259">
        <v>61</v>
      </c>
      <c r="BN35" s="259">
        <v>62</v>
      </c>
      <c r="BO35" s="259">
        <v>63</v>
      </c>
      <c r="BP35" s="259">
        <v>64</v>
      </c>
    </row>
    <row r="36" spans="1:68" s="277" customFormat="1" ht="12" customHeight="1" outlineLevel="1">
      <c r="A36" s="275" t="s">
        <v>1671</v>
      </c>
      <c r="B36" s="276" t="s">
        <v>1672</v>
      </c>
      <c r="E36" s="278">
        <f>E27*(Dashboard!$T$9)</f>
        <v>153631.57911777619</v>
      </c>
      <c r="F36" s="278">
        <f>F27*(Dashboard!$T$9)</f>
        <v>153631.57911777619</v>
      </c>
      <c r="G36" s="278">
        <f>G27*(Dashboard!$T$9)</f>
        <v>153631.57911777619</v>
      </c>
      <c r="H36" s="278">
        <f>H27*(Dashboard!$T$9)</f>
        <v>153631.57911777619</v>
      </c>
      <c r="I36" s="278">
        <f>I27*(Dashboard!$T$9)</f>
        <v>153631.57911777619</v>
      </c>
      <c r="J36" s="278">
        <f>J27*(Dashboard!$T$9)</f>
        <v>153631.57911777619</v>
      </c>
      <c r="K36" s="278">
        <f>K27*(Dashboard!$T$9)</f>
        <v>153631.57911777619</v>
      </c>
      <c r="L36" s="278">
        <f>L27*(Dashboard!$T$9)</f>
        <v>153631.57911777619</v>
      </c>
      <c r="M36" s="278">
        <f>M27*(Dashboard!$T$9)</f>
        <v>153631.57911777619</v>
      </c>
      <c r="N36" s="278">
        <f>N27*(Dashboard!$T$9)</f>
        <v>153631.57911777619</v>
      </c>
      <c r="O36" s="278">
        <f>O27*(Dashboard!$T$9)</f>
        <v>0</v>
      </c>
      <c r="P36" s="278">
        <f>P27*(Dashboard!$T$9)</f>
        <v>0</v>
      </c>
      <c r="Q36" s="278">
        <f>Q27*(Dashboard!$T$9)</f>
        <v>0</v>
      </c>
      <c r="R36" s="278">
        <f>R27*(Dashboard!$T$9)</f>
        <v>0</v>
      </c>
      <c r="S36" s="278">
        <f>S27*(Dashboard!$T$9)</f>
        <v>0</v>
      </c>
      <c r="T36" s="278">
        <f>T27*(Dashboard!$T$9)</f>
        <v>0</v>
      </c>
      <c r="U36" s="278">
        <f>U27*(Dashboard!$T$9)</f>
        <v>0</v>
      </c>
      <c r="V36" s="278">
        <f>V27*(Dashboard!$T$9)</f>
        <v>0</v>
      </c>
      <c r="W36" s="278">
        <f>W27*(Dashboard!$T$9)</f>
        <v>0</v>
      </c>
      <c r="X36" s="278">
        <f>X27*(Dashboard!$T$9)</f>
        <v>0</v>
      </c>
      <c r="Y36" s="278">
        <f>Y27*(Dashboard!$T$9)</f>
        <v>0</v>
      </c>
      <c r="Z36" s="278">
        <f>Z27*(Dashboard!$T$9)</f>
        <v>0</v>
      </c>
      <c r="AA36" s="278">
        <f>AA27*(Dashboard!$T$9)</f>
        <v>0</v>
      </c>
      <c r="AB36" s="278">
        <f>AB27*(Dashboard!$T$9)</f>
        <v>0</v>
      </c>
      <c r="AC36" s="278">
        <f>AC27*(Dashboard!$T$9)</f>
        <v>0</v>
      </c>
      <c r="AD36" s="278">
        <f>AD27*(Dashboard!$T$9)</f>
        <v>0</v>
      </c>
      <c r="AE36" s="278">
        <f>AE27*(Dashboard!$T$9)</f>
        <v>0</v>
      </c>
      <c r="AF36" s="278">
        <f>AF27*(Dashboard!$T$9)</f>
        <v>0</v>
      </c>
      <c r="AG36" s="278">
        <f>AG27*(Dashboard!$T$9)</f>
        <v>0</v>
      </c>
      <c r="AH36" s="278">
        <f>AH27*(Dashboard!$T$9)</f>
        <v>0</v>
      </c>
      <c r="AI36" s="278">
        <f>AI27*(Dashboard!$T$9)</f>
        <v>0</v>
      </c>
      <c r="AJ36" s="278">
        <f>AJ27*(Dashboard!$T$9)</f>
        <v>0</v>
      </c>
      <c r="AK36" s="278">
        <f>AK27*(Dashboard!$T$9)</f>
        <v>0</v>
      </c>
      <c r="AL36" s="278">
        <f>AL27*(Dashboard!$T$9)</f>
        <v>0</v>
      </c>
      <c r="AM36" s="278">
        <f>AM27*(Dashboard!$T$9)</f>
        <v>0</v>
      </c>
      <c r="AN36" s="278">
        <f>AN27*(Dashboard!$T$9)</f>
        <v>0</v>
      </c>
      <c r="AO36" s="278">
        <f>AO27*(Dashboard!$T$9)</f>
        <v>0</v>
      </c>
      <c r="AP36" s="278">
        <f>AP27*(Dashboard!$T$9)</f>
        <v>0</v>
      </c>
      <c r="AQ36" s="278">
        <f>AQ27*(Dashboard!$T$9)</f>
        <v>0</v>
      </c>
      <c r="AR36" s="278">
        <f>AR27*(Dashboard!$T$9)</f>
        <v>0</v>
      </c>
      <c r="AS36" s="278">
        <f>AS27*(Dashboard!$T$9)</f>
        <v>0</v>
      </c>
      <c r="AT36" s="278">
        <f>AT27*(Dashboard!$T$9)</f>
        <v>0</v>
      </c>
      <c r="AU36" s="278">
        <f>AU27*(Dashboard!$T$9)</f>
        <v>0</v>
      </c>
      <c r="AV36" s="278">
        <f>AV27*(Dashboard!$T$9)</f>
        <v>0</v>
      </c>
      <c r="AW36" s="278">
        <f>AW27*(Dashboard!$T$9)</f>
        <v>0</v>
      </c>
      <c r="AX36" s="278">
        <f>AX27*(Dashboard!$T$9)</f>
        <v>0</v>
      </c>
      <c r="AY36" s="278">
        <f>AY27*(Dashboard!$T$9)</f>
        <v>0</v>
      </c>
      <c r="AZ36" s="278">
        <f>AZ27*(Dashboard!$T$9)</f>
        <v>0</v>
      </c>
      <c r="BA36" s="278">
        <f>BA27*(Dashboard!$T$9)</f>
        <v>0</v>
      </c>
      <c r="BB36" s="278">
        <f>BB27*(Dashboard!$T$9)</f>
        <v>0</v>
      </c>
      <c r="BC36" s="278">
        <f>BC27*(Dashboard!$T$9)</f>
        <v>0</v>
      </c>
      <c r="BD36" s="278">
        <f>BD27*(Dashboard!$T$9)</f>
        <v>0</v>
      </c>
      <c r="BE36" s="278">
        <f>BE27*(Dashboard!$T$9)</f>
        <v>0</v>
      </c>
      <c r="BF36" s="278">
        <f>BF27*(Dashboard!$T$9)</f>
        <v>0</v>
      </c>
      <c r="BG36" s="278">
        <f>BG27*(Dashboard!$T$9)</f>
        <v>0</v>
      </c>
      <c r="BH36" s="278">
        <f>BH27*(Dashboard!$T$9)</f>
        <v>0</v>
      </c>
      <c r="BI36" s="278">
        <f>BI27*(Dashboard!$T$9)</f>
        <v>0</v>
      </c>
      <c r="BJ36" s="278">
        <f>BJ27*(Dashboard!$T$9)</f>
        <v>0</v>
      </c>
      <c r="BK36" s="278">
        <f>BK27*(Dashboard!$T$9)</f>
        <v>0</v>
      </c>
      <c r="BL36" s="278">
        <f>BL27*(Dashboard!$T$9)</f>
        <v>0</v>
      </c>
      <c r="BM36" s="278">
        <f>BM27*(Dashboard!$T$9)</f>
        <v>0</v>
      </c>
      <c r="BN36" s="278">
        <f>BN27*(Dashboard!$T$9)</f>
        <v>0</v>
      </c>
      <c r="BO36" s="278">
        <f>BO27*(Dashboard!$T$9)</f>
        <v>0</v>
      </c>
      <c r="BP36" s="278">
        <f>BP27*(Dashboard!$T$9)</f>
        <v>0</v>
      </c>
    </row>
    <row r="37" spans="1:68" ht="12" customHeight="1" outlineLevel="1">
      <c r="B37" s="260" t="s">
        <v>1673</v>
      </c>
      <c r="E37" s="279">
        <f>Dashboard!$L32*E27</f>
        <v>0</v>
      </c>
      <c r="F37" s="279">
        <f>Dashboard!$L32*F27</f>
        <v>0</v>
      </c>
      <c r="G37" s="279">
        <f>Dashboard!$L32*G27</f>
        <v>0</v>
      </c>
      <c r="H37" s="279">
        <f>Dashboard!$L32*H27</f>
        <v>0</v>
      </c>
      <c r="I37" s="279">
        <f>Dashboard!$L32*I27</f>
        <v>0</v>
      </c>
      <c r="J37" s="279">
        <f>Dashboard!$L32*J27</f>
        <v>0</v>
      </c>
      <c r="K37" s="279">
        <f>Dashboard!$L32*K27</f>
        <v>0</v>
      </c>
      <c r="L37" s="279">
        <f>Dashboard!$L32*L27</f>
        <v>0</v>
      </c>
      <c r="M37" s="279">
        <f>Dashboard!$L32*M27</f>
        <v>0</v>
      </c>
      <c r="N37" s="279">
        <f>Dashboard!$L32*N27</f>
        <v>0</v>
      </c>
      <c r="O37" s="279">
        <f>Dashboard!$L32*O27</f>
        <v>0</v>
      </c>
      <c r="P37" s="279">
        <f>Dashboard!$L32*P27</f>
        <v>0</v>
      </c>
      <c r="Q37" s="279">
        <f>Dashboard!$L32*Q27</f>
        <v>0</v>
      </c>
      <c r="R37" s="279">
        <f>Dashboard!$L32*R27</f>
        <v>0</v>
      </c>
      <c r="S37" s="279">
        <f>Dashboard!$L32*S27</f>
        <v>0</v>
      </c>
      <c r="T37" s="279">
        <f>Dashboard!$L32*T27</f>
        <v>0</v>
      </c>
      <c r="U37" s="279">
        <f>Dashboard!$L32*U27</f>
        <v>0</v>
      </c>
      <c r="V37" s="279">
        <f>Dashboard!$L32*V27</f>
        <v>0</v>
      </c>
      <c r="W37" s="279">
        <f>Dashboard!$L32*W27</f>
        <v>0</v>
      </c>
      <c r="X37" s="279">
        <f>Dashboard!$L32*X27</f>
        <v>0</v>
      </c>
      <c r="Y37" s="279">
        <f>Dashboard!$L32*Y27</f>
        <v>0</v>
      </c>
      <c r="Z37" s="279">
        <f>Dashboard!$L32*Z27</f>
        <v>0</v>
      </c>
      <c r="AA37" s="279">
        <f>Dashboard!$L32*AA27</f>
        <v>0</v>
      </c>
      <c r="AB37" s="279">
        <f>Dashboard!$L32*AB27</f>
        <v>0</v>
      </c>
      <c r="AC37" s="279">
        <f>Dashboard!$L32*AC27</f>
        <v>0</v>
      </c>
      <c r="AD37" s="279">
        <f>Dashboard!$L32*AD27</f>
        <v>0</v>
      </c>
      <c r="AE37" s="279">
        <f>Dashboard!$L32*AE27</f>
        <v>0</v>
      </c>
      <c r="AF37" s="279">
        <f>Dashboard!$L32*AF27</f>
        <v>0</v>
      </c>
      <c r="AG37" s="279">
        <f>Dashboard!$L32*AG27</f>
        <v>0</v>
      </c>
      <c r="AH37" s="279">
        <f>Dashboard!$L32*AH27</f>
        <v>0</v>
      </c>
      <c r="AI37" s="279">
        <f>Dashboard!$L32*AI27</f>
        <v>0</v>
      </c>
      <c r="AJ37" s="279">
        <f>Dashboard!$L32*AJ27</f>
        <v>0</v>
      </c>
      <c r="AK37" s="279">
        <f>Dashboard!$L32*AK27</f>
        <v>0</v>
      </c>
      <c r="AL37" s="279">
        <f>Dashboard!$L32*AL27</f>
        <v>0</v>
      </c>
      <c r="AM37" s="279">
        <f>Dashboard!$L32*AM27</f>
        <v>0</v>
      </c>
      <c r="AN37" s="279">
        <f>Dashboard!$L32*AN27</f>
        <v>0</v>
      </c>
      <c r="AO37" s="279">
        <f>Dashboard!$L32*AO27</f>
        <v>0</v>
      </c>
      <c r="AP37" s="279">
        <f>Dashboard!$L32*AP27</f>
        <v>0</v>
      </c>
      <c r="AQ37" s="279">
        <f>Dashboard!$L32*AQ27</f>
        <v>0</v>
      </c>
      <c r="AR37" s="279">
        <f>Dashboard!$L32*AR27</f>
        <v>0</v>
      </c>
      <c r="AS37" s="279">
        <f>Dashboard!$L32*AS27</f>
        <v>0</v>
      </c>
      <c r="AT37" s="279">
        <f>Dashboard!$L32*AT27</f>
        <v>0</v>
      </c>
      <c r="AU37" s="279">
        <f>Dashboard!$L32*AU27</f>
        <v>0</v>
      </c>
      <c r="AV37" s="279">
        <f>Dashboard!$L32*AV27</f>
        <v>0</v>
      </c>
      <c r="AW37" s="279">
        <f>Dashboard!$L32*AW27</f>
        <v>0</v>
      </c>
      <c r="AX37" s="279">
        <f>Dashboard!$L32*AX27</f>
        <v>0</v>
      </c>
      <c r="AY37" s="279">
        <f>Dashboard!$L32*AY27</f>
        <v>0</v>
      </c>
      <c r="AZ37" s="279">
        <f>Dashboard!$L32*AZ27</f>
        <v>0</v>
      </c>
      <c r="BA37" s="279">
        <f>Dashboard!$L32*BA27</f>
        <v>0</v>
      </c>
      <c r="BB37" s="279">
        <f>Dashboard!$L32*BB27</f>
        <v>0</v>
      </c>
      <c r="BC37" s="279">
        <f>Dashboard!$L32*BC27</f>
        <v>0</v>
      </c>
      <c r="BD37" s="279">
        <f>Dashboard!$L32*BD27</f>
        <v>0</v>
      </c>
      <c r="BE37" s="279">
        <f>Dashboard!$L32*BE27</f>
        <v>0</v>
      </c>
      <c r="BF37" s="279">
        <f>Dashboard!$L32*BF27</f>
        <v>0</v>
      </c>
      <c r="BG37" s="279">
        <f>Dashboard!$L32*BG27</f>
        <v>0</v>
      </c>
      <c r="BH37" s="279">
        <f>Dashboard!$L32*BH27</f>
        <v>0</v>
      </c>
      <c r="BI37" s="279">
        <f>Dashboard!$L32*BI27</f>
        <v>0</v>
      </c>
      <c r="BJ37" s="279">
        <f>Dashboard!$L32*BJ27</f>
        <v>0</v>
      </c>
      <c r="BK37" s="279">
        <f>Dashboard!$L32*BK27</f>
        <v>0</v>
      </c>
      <c r="BL37" s="279">
        <f>Dashboard!$L32*BL27</f>
        <v>0</v>
      </c>
      <c r="BM37" s="279">
        <f>Dashboard!$L32*BM27</f>
        <v>0</v>
      </c>
      <c r="BN37" s="279">
        <f>Dashboard!$L32*BN27</f>
        <v>0</v>
      </c>
      <c r="BO37" s="279">
        <f>Dashboard!$L32*BO27</f>
        <v>0</v>
      </c>
      <c r="BP37" s="279">
        <f>Dashboard!$L32*BP27</f>
        <v>0</v>
      </c>
    </row>
    <row r="38" spans="1:68" ht="6" customHeight="1" outlineLevel="1">
      <c r="A38" s="280"/>
      <c r="B38" s="281"/>
      <c r="C38" s="282"/>
      <c r="D38" s="282"/>
      <c r="E38" s="283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</row>
    <row r="39" spans="1:68" ht="12" customHeight="1" outlineLevel="1">
      <c r="A39" s="275" t="s">
        <v>1671</v>
      </c>
      <c r="B39" s="276" t="s">
        <v>139</v>
      </c>
      <c r="E39" s="278">
        <f>E36-E37</f>
        <v>153631.57911777619</v>
      </c>
      <c r="F39" s="278">
        <f t="shared" ref="F39:BP39" si="10">F36-F37</f>
        <v>153631.57911777619</v>
      </c>
      <c r="G39" s="278">
        <f t="shared" si="10"/>
        <v>153631.57911777619</v>
      </c>
      <c r="H39" s="278">
        <f t="shared" si="10"/>
        <v>153631.57911777619</v>
      </c>
      <c r="I39" s="278">
        <f t="shared" si="10"/>
        <v>153631.57911777619</v>
      </c>
      <c r="J39" s="278">
        <f t="shared" si="10"/>
        <v>153631.57911777619</v>
      </c>
      <c r="K39" s="278">
        <f t="shared" si="10"/>
        <v>153631.57911777619</v>
      </c>
      <c r="L39" s="278">
        <f t="shared" si="10"/>
        <v>153631.57911777619</v>
      </c>
      <c r="M39" s="278">
        <f t="shared" si="10"/>
        <v>153631.57911777619</v>
      </c>
      <c r="N39" s="278">
        <f t="shared" si="10"/>
        <v>153631.57911777619</v>
      </c>
      <c r="O39" s="278">
        <f t="shared" si="10"/>
        <v>0</v>
      </c>
      <c r="P39" s="278">
        <f t="shared" si="10"/>
        <v>0</v>
      </c>
      <c r="Q39" s="278">
        <f t="shared" si="10"/>
        <v>0</v>
      </c>
      <c r="R39" s="278">
        <f t="shared" si="10"/>
        <v>0</v>
      </c>
      <c r="S39" s="278">
        <f t="shared" si="10"/>
        <v>0</v>
      </c>
      <c r="T39" s="278">
        <f t="shared" si="10"/>
        <v>0</v>
      </c>
      <c r="U39" s="278">
        <f t="shared" si="10"/>
        <v>0</v>
      </c>
      <c r="V39" s="278">
        <f t="shared" si="10"/>
        <v>0</v>
      </c>
      <c r="W39" s="278">
        <f t="shared" si="10"/>
        <v>0</v>
      </c>
      <c r="X39" s="278">
        <f t="shared" si="10"/>
        <v>0</v>
      </c>
      <c r="Y39" s="278">
        <f t="shared" si="10"/>
        <v>0</v>
      </c>
      <c r="Z39" s="278">
        <f t="shared" si="10"/>
        <v>0</v>
      </c>
      <c r="AA39" s="278">
        <f t="shared" si="10"/>
        <v>0</v>
      </c>
      <c r="AB39" s="278">
        <f t="shared" si="10"/>
        <v>0</v>
      </c>
      <c r="AC39" s="278">
        <f t="shared" si="10"/>
        <v>0</v>
      </c>
      <c r="AD39" s="278">
        <f t="shared" si="10"/>
        <v>0</v>
      </c>
      <c r="AE39" s="278">
        <f t="shared" si="10"/>
        <v>0</v>
      </c>
      <c r="AF39" s="278">
        <f t="shared" si="10"/>
        <v>0</v>
      </c>
      <c r="AG39" s="278">
        <f t="shared" si="10"/>
        <v>0</v>
      </c>
      <c r="AH39" s="278">
        <f t="shared" si="10"/>
        <v>0</v>
      </c>
      <c r="AI39" s="278">
        <f t="shared" si="10"/>
        <v>0</v>
      </c>
      <c r="AJ39" s="278">
        <f t="shared" si="10"/>
        <v>0</v>
      </c>
      <c r="AK39" s="278">
        <f t="shared" si="10"/>
        <v>0</v>
      </c>
      <c r="AL39" s="278">
        <f t="shared" si="10"/>
        <v>0</v>
      </c>
      <c r="AM39" s="278">
        <f t="shared" si="10"/>
        <v>0</v>
      </c>
      <c r="AN39" s="278">
        <f t="shared" si="10"/>
        <v>0</v>
      </c>
      <c r="AO39" s="278">
        <f t="shared" si="10"/>
        <v>0</v>
      </c>
      <c r="AP39" s="278">
        <f t="shared" si="10"/>
        <v>0</v>
      </c>
      <c r="AQ39" s="278">
        <f t="shared" si="10"/>
        <v>0</v>
      </c>
      <c r="AR39" s="278">
        <f t="shared" si="10"/>
        <v>0</v>
      </c>
      <c r="AS39" s="278">
        <f t="shared" si="10"/>
        <v>0</v>
      </c>
      <c r="AT39" s="278">
        <f t="shared" si="10"/>
        <v>0</v>
      </c>
      <c r="AU39" s="278">
        <f t="shared" si="10"/>
        <v>0</v>
      </c>
      <c r="AV39" s="278">
        <f t="shared" si="10"/>
        <v>0</v>
      </c>
      <c r="AW39" s="278">
        <f t="shared" si="10"/>
        <v>0</v>
      </c>
      <c r="AX39" s="278">
        <f t="shared" si="10"/>
        <v>0</v>
      </c>
      <c r="AY39" s="278">
        <f t="shared" si="10"/>
        <v>0</v>
      </c>
      <c r="AZ39" s="278">
        <f t="shared" si="10"/>
        <v>0</v>
      </c>
      <c r="BA39" s="278">
        <f t="shared" si="10"/>
        <v>0</v>
      </c>
      <c r="BB39" s="278">
        <f t="shared" si="10"/>
        <v>0</v>
      </c>
      <c r="BC39" s="278">
        <f t="shared" si="10"/>
        <v>0</v>
      </c>
      <c r="BD39" s="278">
        <f t="shared" si="10"/>
        <v>0</v>
      </c>
      <c r="BE39" s="278">
        <f t="shared" si="10"/>
        <v>0</v>
      </c>
      <c r="BF39" s="278">
        <f t="shared" si="10"/>
        <v>0</v>
      </c>
      <c r="BG39" s="278">
        <f t="shared" si="10"/>
        <v>0</v>
      </c>
      <c r="BH39" s="278">
        <f t="shared" si="10"/>
        <v>0</v>
      </c>
      <c r="BI39" s="278">
        <f t="shared" si="10"/>
        <v>0</v>
      </c>
      <c r="BJ39" s="278">
        <f t="shared" si="10"/>
        <v>0</v>
      </c>
      <c r="BK39" s="278">
        <f t="shared" si="10"/>
        <v>0</v>
      </c>
      <c r="BL39" s="278">
        <f t="shared" si="10"/>
        <v>0</v>
      </c>
      <c r="BM39" s="278">
        <f t="shared" si="10"/>
        <v>0</v>
      </c>
      <c r="BN39" s="278">
        <f t="shared" si="10"/>
        <v>0</v>
      </c>
      <c r="BO39" s="278">
        <f t="shared" si="10"/>
        <v>0</v>
      </c>
      <c r="BP39" s="278">
        <f t="shared" si="10"/>
        <v>0</v>
      </c>
    </row>
    <row r="40" spans="1:68" ht="12" customHeight="1" outlineLevel="1">
      <c r="B40" s="260" t="s">
        <v>1674</v>
      </c>
      <c r="E40" s="284">
        <v>0</v>
      </c>
      <c r="F40" s="284">
        <f>E39</f>
        <v>153631.57911777619</v>
      </c>
      <c r="G40" s="284">
        <f t="shared" ref="G40:BP40" si="11">F39</f>
        <v>153631.57911777619</v>
      </c>
      <c r="H40" s="284">
        <f t="shared" si="11"/>
        <v>153631.57911777619</v>
      </c>
      <c r="I40" s="284">
        <f t="shared" si="11"/>
        <v>153631.57911777619</v>
      </c>
      <c r="J40" s="284">
        <f t="shared" si="11"/>
        <v>153631.57911777619</v>
      </c>
      <c r="K40" s="284">
        <f t="shared" si="11"/>
        <v>153631.57911777619</v>
      </c>
      <c r="L40" s="284">
        <f t="shared" si="11"/>
        <v>153631.57911777619</v>
      </c>
      <c r="M40" s="284">
        <f t="shared" si="11"/>
        <v>153631.57911777619</v>
      </c>
      <c r="N40" s="284">
        <f t="shared" si="11"/>
        <v>153631.57911777619</v>
      </c>
      <c r="O40" s="284">
        <f t="shared" si="11"/>
        <v>153631.57911777619</v>
      </c>
      <c r="P40" s="284">
        <f t="shared" si="11"/>
        <v>0</v>
      </c>
      <c r="Q40" s="284">
        <f t="shared" si="11"/>
        <v>0</v>
      </c>
      <c r="R40" s="284">
        <f t="shared" si="11"/>
        <v>0</v>
      </c>
      <c r="S40" s="284">
        <f t="shared" si="11"/>
        <v>0</v>
      </c>
      <c r="T40" s="284">
        <f t="shared" si="11"/>
        <v>0</v>
      </c>
      <c r="U40" s="284">
        <f t="shared" si="11"/>
        <v>0</v>
      </c>
      <c r="V40" s="284">
        <f t="shared" si="11"/>
        <v>0</v>
      </c>
      <c r="W40" s="284">
        <f t="shared" si="11"/>
        <v>0</v>
      </c>
      <c r="X40" s="284">
        <f t="shared" si="11"/>
        <v>0</v>
      </c>
      <c r="Y40" s="284">
        <f t="shared" si="11"/>
        <v>0</v>
      </c>
      <c r="Z40" s="284">
        <f t="shared" si="11"/>
        <v>0</v>
      </c>
      <c r="AA40" s="284">
        <f t="shared" si="11"/>
        <v>0</v>
      </c>
      <c r="AB40" s="284">
        <f t="shared" si="11"/>
        <v>0</v>
      </c>
      <c r="AC40" s="284">
        <f t="shared" si="11"/>
        <v>0</v>
      </c>
      <c r="AD40" s="284">
        <f t="shared" si="11"/>
        <v>0</v>
      </c>
      <c r="AE40" s="284">
        <f t="shared" si="11"/>
        <v>0</v>
      </c>
      <c r="AF40" s="284">
        <f t="shared" si="11"/>
        <v>0</v>
      </c>
      <c r="AG40" s="284">
        <f t="shared" si="11"/>
        <v>0</v>
      </c>
      <c r="AH40" s="284">
        <f t="shared" si="11"/>
        <v>0</v>
      </c>
      <c r="AI40" s="284">
        <f t="shared" si="11"/>
        <v>0</v>
      </c>
      <c r="AJ40" s="284">
        <f t="shared" si="11"/>
        <v>0</v>
      </c>
      <c r="AK40" s="284">
        <f t="shared" si="11"/>
        <v>0</v>
      </c>
      <c r="AL40" s="284">
        <f t="shared" si="11"/>
        <v>0</v>
      </c>
      <c r="AM40" s="284">
        <f t="shared" si="11"/>
        <v>0</v>
      </c>
      <c r="AN40" s="284">
        <f t="shared" si="11"/>
        <v>0</v>
      </c>
      <c r="AO40" s="284">
        <f t="shared" si="11"/>
        <v>0</v>
      </c>
      <c r="AP40" s="284">
        <f t="shared" si="11"/>
        <v>0</v>
      </c>
      <c r="AQ40" s="284">
        <f t="shared" si="11"/>
        <v>0</v>
      </c>
      <c r="AR40" s="284">
        <f t="shared" si="11"/>
        <v>0</v>
      </c>
      <c r="AS40" s="284">
        <f t="shared" si="11"/>
        <v>0</v>
      </c>
      <c r="AT40" s="284">
        <f t="shared" si="11"/>
        <v>0</v>
      </c>
      <c r="AU40" s="284">
        <f t="shared" si="11"/>
        <v>0</v>
      </c>
      <c r="AV40" s="284">
        <f t="shared" si="11"/>
        <v>0</v>
      </c>
      <c r="AW40" s="284">
        <f t="shared" si="11"/>
        <v>0</v>
      </c>
      <c r="AX40" s="284">
        <f t="shared" si="11"/>
        <v>0</v>
      </c>
      <c r="AY40" s="284">
        <f t="shared" si="11"/>
        <v>0</v>
      </c>
      <c r="AZ40" s="284">
        <f t="shared" si="11"/>
        <v>0</v>
      </c>
      <c r="BA40" s="284">
        <f t="shared" si="11"/>
        <v>0</v>
      </c>
      <c r="BB40" s="284">
        <f t="shared" si="11"/>
        <v>0</v>
      </c>
      <c r="BC40" s="284">
        <f t="shared" si="11"/>
        <v>0</v>
      </c>
      <c r="BD40" s="284">
        <f t="shared" si="11"/>
        <v>0</v>
      </c>
      <c r="BE40" s="284">
        <f t="shared" si="11"/>
        <v>0</v>
      </c>
      <c r="BF40" s="284">
        <f t="shared" si="11"/>
        <v>0</v>
      </c>
      <c r="BG40" s="284">
        <f t="shared" si="11"/>
        <v>0</v>
      </c>
      <c r="BH40" s="284">
        <f t="shared" si="11"/>
        <v>0</v>
      </c>
      <c r="BI40" s="284">
        <f t="shared" si="11"/>
        <v>0</v>
      </c>
      <c r="BJ40" s="284">
        <f t="shared" si="11"/>
        <v>0</v>
      </c>
      <c r="BK40" s="284">
        <f t="shared" si="11"/>
        <v>0</v>
      </c>
      <c r="BL40" s="284">
        <f t="shared" si="11"/>
        <v>0</v>
      </c>
      <c r="BM40" s="284">
        <f t="shared" si="11"/>
        <v>0</v>
      </c>
      <c r="BN40" s="284">
        <f t="shared" si="11"/>
        <v>0</v>
      </c>
      <c r="BO40" s="284">
        <f t="shared" si="11"/>
        <v>0</v>
      </c>
      <c r="BP40" s="284">
        <f t="shared" si="11"/>
        <v>0</v>
      </c>
    </row>
    <row r="41" spans="1:68" ht="12" customHeight="1" outlineLevel="1">
      <c r="B41" s="260" t="s">
        <v>1675</v>
      </c>
      <c r="E41" s="284">
        <f>E39-E40-E42</f>
        <v>153631.57911777619</v>
      </c>
      <c r="F41" s="284">
        <f t="shared" ref="F41:BP41" si="12">F39-F40-F42</f>
        <v>0</v>
      </c>
      <c r="G41" s="284">
        <f t="shared" si="12"/>
        <v>0</v>
      </c>
      <c r="H41" s="284">
        <f t="shared" si="12"/>
        <v>0</v>
      </c>
      <c r="I41" s="284">
        <f t="shared" si="12"/>
        <v>0</v>
      </c>
      <c r="J41" s="284">
        <f t="shared" si="12"/>
        <v>0</v>
      </c>
      <c r="K41" s="284">
        <f t="shared" si="12"/>
        <v>0</v>
      </c>
      <c r="L41" s="284">
        <f t="shared" si="12"/>
        <v>0</v>
      </c>
      <c r="M41" s="284">
        <f t="shared" si="12"/>
        <v>0</v>
      </c>
      <c r="N41" s="284">
        <f t="shared" si="12"/>
        <v>0</v>
      </c>
      <c r="O41" s="284">
        <f t="shared" si="12"/>
        <v>-153631.57911777619</v>
      </c>
      <c r="P41" s="284">
        <f t="shared" si="12"/>
        <v>0</v>
      </c>
      <c r="Q41" s="284">
        <f t="shared" si="12"/>
        <v>0</v>
      </c>
      <c r="R41" s="284">
        <f t="shared" si="12"/>
        <v>0</v>
      </c>
      <c r="S41" s="284">
        <f t="shared" si="12"/>
        <v>0</v>
      </c>
      <c r="T41" s="284">
        <f t="shared" si="12"/>
        <v>0</v>
      </c>
      <c r="U41" s="284">
        <f t="shared" si="12"/>
        <v>0</v>
      </c>
      <c r="V41" s="284">
        <f t="shared" si="12"/>
        <v>0</v>
      </c>
      <c r="W41" s="284">
        <f t="shared" si="12"/>
        <v>0</v>
      </c>
      <c r="X41" s="284">
        <f t="shared" si="12"/>
        <v>0</v>
      </c>
      <c r="Y41" s="284">
        <f t="shared" si="12"/>
        <v>0</v>
      </c>
      <c r="Z41" s="284">
        <f t="shared" si="12"/>
        <v>0</v>
      </c>
      <c r="AA41" s="284">
        <f t="shared" si="12"/>
        <v>0</v>
      </c>
      <c r="AB41" s="284">
        <f t="shared" si="12"/>
        <v>0</v>
      </c>
      <c r="AC41" s="284">
        <f t="shared" si="12"/>
        <v>0</v>
      </c>
      <c r="AD41" s="284">
        <f t="shared" si="12"/>
        <v>0</v>
      </c>
      <c r="AE41" s="284">
        <f t="shared" si="12"/>
        <v>0</v>
      </c>
      <c r="AF41" s="284">
        <f t="shared" si="12"/>
        <v>0</v>
      </c>
      <c r="AG41" s="284">
        <f t="shared" si="12"/>
        <v>0</v>
      </c>
      <c r="AH41" s="284">
        <f t="shared" si="12"/>
        <v>0</v>
      </c>
      <c r="AI41" s="284">
        <f t="shared" si="12"/>
        <v>0</v>
      </c>
      <c r="AJ41" s="284">
        <f t="shared" si="12"/>
        <v>0</v>
      </c>
      <c r="AK41" s="284">
        <f t="shared" si="12"/>
        <v>0</v>
      </c>
      <c r="AL41" s="284">
        <f t="shared" si="12"/>
        <v>0</v>
      </c>
      <c r="AM41" s="284">
        <f t="shared" si="12"/>
        <v>0</v>
      </c>
      <c r="AN41" s="284">
        <f t="shared" si="12"/>
        <v>0</v>
      </c>
      <c r="AO41" s="284">
        <f t="shared" si="12"/>
        <v>0</v>
      </c>
      <c r="AP41" s="284">
        <f t="shared" si="12"/>
        <v>0</v>
      </c>
      <c r="AQ41" s="284">
        <f t="shared" si="12"/>
        <v>0</v>
      </c>
      <c r="AR41" s="284">
        <f t="shared" si="12"/>
        <v>0</v>
      </c>
      <c r="AS41" s="284">
        <f t="shared" si="12"/>
        <v>0</v>
      </c>
      <c r="AT41" s="284">
        <f t="shared" si="12"/>
        <v>0</v>
      </c>
      <c r="AU41" s="284">
        <f t="shared" si="12"/>
        <v>0</v>
      </c>
      <c r="AV41" s="284">
        <f t="shared" si="12"/>
        <v>0</v>
      </c>
      <c r="AW41" s="284">
        <f t="shared" si="12"/>
        <v>0</v>
      </c>
      <c r="AX41" s="284">
        <f t="shared" si="12"/>
        <v>0</v>
      </c>
      <c r="AY41" s="284">
        <f t="shared" si="12"/>
        <v>0</v>
      </c>
      <c r="AZ41" s="284">
        <f t="shared" si="12"/>
        <v>0</v>
      </c>
      <c r="BA41" s="284">
        <f t="shared" si="12"/>
        <v>0</v>
      </c>
      <c r="BB41" s="284">
        <f t="shared" si="12"/>
        <v>0</v>
      </c>
      <c r="BC41" s="284">
        <f t="shared" si="12"/>
        <v>0</v>
      </c>
      <c r="BD41" s="284">
        <f t="shared" si="12"/>
        <v>0</v>
      </c>
      <c r="BE41" s="284">
        <f t="shared" si="12"/>
        <v>0</v>
      </c>
      <c r="BF41" s="284">
        <f t="shared" si="12"/>
        <v>0</v>
      </c>
      <c r="BG41" s="284">
        <f t="shared" si="12"/>
        <v>0</v>
      </c>
      <c r="BH41" s="284">
        <f t="shared" si="12"/>
        <v>0</v>
      </c>
      <c r="BI41" s="284">
        <f t="shared" si="12"/>
        <v>0</v>
      </c>
      <c r="BJ41" s="284">
        <f t="shared" si="12"/>
        <v>0</v>
      </c>
      <c r="BK41" s="284">
        <f t="shared" si="12"/>
        <v>0</v>
      </c>
      <c r="BL41" s="284">
        <f t="shared" si="12"/>
        <v>0</v>
      </c>
      <c r="BM41" s="284">
        <f t="shared" si="12"/>
        <v>0</v>
      </c>
      <c r="BN41" s="284">
        <f t="shared" si="12"/>
        <v>0</v>
      </c>
      <c r="BO41" s="284">
        <f t="shared" si="12"/>
        <v>0</v>
      </c>
      <c r="BP41" s="284">
        <f t="shared" si="12"/>
        <v>0</v>
      </c>
    </row>
    <row r="42" spans="1:68" ht="12" customHeight="1" outlineLevel="1">
      <c r="B42" s="260" t="s">
        <v>1676</v>
      </c>
      <c r="E42" s="284">
        <f>Dashboard!$T$4*E27</f>
        <v>0</v>
      </c>
      <c r="F42" s="284">
        <f>Dashboard!$T$4*F27</f>
        <v>0</v>
      </c>
      <c r="G42" s="284">
        <f>Dashboard!$T$4*G27</f>
        <v>0</v>
      </c>
      <c r="H42" s="284">
        <f>Dashboard!$T$4*H27</f>
        <v>0</v>
      </c>
      <c r="I42" s="284">
        <f>Dashboard!$T$4*I27</f>
        <v>0</v>
      </c>
      <c r="J42" s="284">
        <f>Dashboard!$T$4*J27</f>
        <v>0</v>
      </c>
      <c r="K42" s="284">
        <f>Dashboard!$T$4*K27</f>
        <v>0</v>
      </c>
      <c r="L42" s="284">
        <f>Dashboard!$T$4*L27</f>
        <v>0</v>
      </c>
      <c r="M42" s="284">
        <f>Dashboard!$T$4*M27</f>
        <v>0</v>
      </c>
      <c r="N42" s="284">
        <f>Dashboard!$T$4*N27</f>
        <v>0</v>
      </c>
      <c r="O42" s="284">
        <f>Dashboard!$T$4*O27</f>
        <v>0</v>
      </c>
      <c r="P42" s="284">
        <f>Dashboard!$T$4*P27</f>
        <v>0</v>
      </c>
      <c r="Q42" s="284">
        <f>Dashboard!$T$4*Q27</f>
        <v>0</v>
      </c>
      <c r="R42" s="284">
        <f>Dashboard!$T$4*R27</f>
        <v>0</v>
      </c>
      <c r="S42" s="284">
        <f>Dashboard!$T$4*S27</f>
        <v>0</v>
      </c>
      <c r="T42" s="284">
        <f>Dashboard!$T$4*T27</f>
        <v>0</v>
      </c>
      <c r="U42" s="284">
        <f>Dashboard!$T$4*U27</f>
        <v>0</v>
      </c>
      <c r="V42" s="284">
        <f>Dashboard!$T$4*V27</f>
        <v>0</v>
      </c>
      <c r="W42" s="284">
        <f>Dashboard!$T$4*W27</f>
        <v>0</v>
      </c>
      <c r="X42" s="284">
        <f>Dashboard!$T$4*X27</f>
        <v>0</v>
      </c>
      <c r="Y42" s="284">
        <f>Dashboard!$T$4*Y27</f>
        <v>0</v>
      </c>
      <c r="Z42" s="284">
        <f>Dashboard!$T$4*Z27</f>
        <v>0</v>
      </c>
      <c r="AA42" s="284">
        <f>Dashboard!$T$4*AA27</f>
        <v>0</v>
      </c>
      <c r="AB42" s="284">
        <f>Dashboard!$T$4*AB27</f>
        <v>0</v>
      </c>
      <c r="AC42" s="284">
        <f>Dashboard!$T$4*AC27</f>
        <v>0</v>
      </c>
      <c r="AD42" s="284">
        <f>Dashboard!$T$4*AD27</f>
        <v>0</v>
      </c>
      <c r="AE42" s="284">
        <f>Dashboard!$T$4*AE27</f>
        <v>0</v>
      </c>
      <c r="AF42" s="284">
        <f>Dashboard!$T$4*AF27</f>
        <v>0</v>
      </c>
      <c r="AG42" s="284">
        <f>Dashboard!$T$4*AG27</f>
        <v>0</v>
      </c>
      <c r="AH42" s="284">
        <f>Dashboard!$T$4*AH27</f>
        <v>0</v>
      </c>
      <c r="AI42" s="284">
        <f>Dashboard!$T$4*AI27</f>
        <v>0</v>
      </c>
      <c r="AJ42" s="284">
        <f>Dashboard!$T$4*AJ27</f>
        <v>0</v>
      </c>
      <c r="AK42" s="284">
        <f>Dashboard!$T$4*AK27</f>
        <v>0</v>
      </c>
      <c r="AL42" s="284">
        <f>Dashboard!$T$4*AL27</f>
        <v>0</v>
      </c>
      <c r="AM42" s="284">
        <f>Dashboard!$T$4*AM27</f>
        <v>0</v>
      </c>
      <c r="AN42" s="284">
        <f>Dashboard!$T$4*AN27</f>
        <v>0</v>
      </c>
      <c r="AO42" s="284">
        <f>Dashboard!$T$4*AO27</f>
        <v>0</v>
      </c>
      <c r="AP42" s="284">
        <f>Dashboard!$T$4*AP27</f>
        <v>0</v>
      </c>
      <c r="AQ42" s="284">
        <f>Dashboard!$T$4*AQ27</f>
        <v>0</v>
      </c>
      <c r="AR42" s="284">
        <f>Dashboard!$T$4*AR27</f>
        <v>0</v>
      </c>
      <c r="AS42" s="284">
        <f>Dashboard!$T$4*AS27</f>
        <v>0</v>
      </c>
      <c r="AT42" s="284">
        <f>Dashboard!$T$4*AT27</f>
        <v>0</v>
      </c>
      <c r="AU42" s="284">
        <f>Dashboard!$T$4*AU27</f>
        <v>0</v>
      </c>
      <c r="AV42" s="284">
        <f>Dashboard!$T$4*AV27</f>
        <v>0</v>
      </c>
      <c r="AW42" s="284">
        <f>Dashboard!$T$4*AW27</f>
        <v>0</v>
      </c>
      <c r="AX42" s="284">
        <f>Dashboard!$T$4*AX27</f>
        <v>0</v>
      </c>
      <c r="AY42" s="284">
        <f>Dashboard!$T$4*AY27</f>
        <v>0</v>
      </c>
      <c r="AZ42" s="284">
        <f>Dashboard!$T$4*AZ27</f>
        <v>0</v>
      </c>
      <c r="BA42" s="284">
        <f>Dashboard!$T$4*BA27</f>
        <v>0</v>
      </c>
      <c r="BB42" s="284">
        <f>Dashboard!$T$4*BB27</f>
        <v>0</v>
      </c>
      <c r="BC42" s="284">
        <f>Dashboard!$T$4*BC27</f>
        <v>0</v>
      </c>
      <c r="BD42" s="284">
        <f>Dashboard!$T$4*BD27</f>
        <v>0</v>
      </c>
      <c r="BE42" s="284">
        <f>Dashboard!$T$4*BE27</f>
        <v>0</v>
      </c>
      <c r="BF42" s="284">
        <f>Dashboard!$T$4*BF27</f>
        <v>0</v>
      </c>
      <c r="BG42" s="284">
        <f>Dashboard!$T$4*BG27</f>
        <v>0</v>
      </c>
      <c r="BH42" s="284">
        <f>Dashboard!$T$4*BH27</f>
        <v>0</v>
      </c>
      <c r="BI42" s="284">
        <f>Dashboard!$T$4*BI27</f>
        <v>0</v>
      </c>
      <c r="BJ42" s="284">
        <f>Dashboard!$T$4*BJ27</f>
        <v>0</v>
      </c>
      <c r="BK42" s="284">
        <f>Dashboard!$T$4*BK27</f>
        <v>0</v>
      </c>
      <c r="BL42" s="284">
        <f>Dashboard!$T$4*BL27</f>
        <v>0</v>
      </c>
      <c r="BM42" s="284">
        <f>Dashboard!$T$4*BM27</f>
        <v>0</v>
      </c>
      <c r="BN42" s="284">
        <f>Dashboard!$T$4*BN27</f>
        <v>0</v>
      </c>
      <c r="BO42" s="284">
        <f>Dashboard!$T$4*BO27</f>
        <v>0</v>
      </c>
      <c r="BP42" s="284">
        <f>Dashboard!$T$4*BP27</f>
        <v>0</v>
      </c>
    </row>
    <row r="43" spans="1:68" ht="6" customHeight="1" outlineLevel="1">
      <c r="A43" s="280"/>
      <c r="B43" s="281"/>
      <c r="C43" s="282"/>
      <c r="D43" s="282"/>
      <c r="E43" s="283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</row>
    <row r="44" spans="1:68" ht="12" customHeight="1" outlineLevel="1">
      <c r="A44" s="285" t="s">
        <v>1677</v>
      </c>
      <c r="B44" s="276" t="s">
        <v>134</v>
      </c>
      <c r="E44" s="278">
        <f t="shared" ref="E44:AJ44" si="13">SUM(E45:E46)</f>
        <v>13289.131593687638</v>
      </c>
      <c r="F44" s="278">
        <f t="shared" si="13"/>
        <v>13289.131593687638</v>
      </c>
      <c r="G44" s="278">
        <f t="shared" si="13"/>
        <v>13289.131593687638</v>
      </c>
      <c r="H44" s="278">
        <f t="shared" si="13"/>
        <v>13289.131593687638</v>
      </c>
      <c r="I44" s="278">
        <f t="shared" si="13"/>
        <v>13289.131593687638</v>
      </c>
      <c r="J44" s="278">
        <f t="shared" si="13"/>
        <v>13289.131593687638</v>
      </c>
      <c r="K44" s="278">
        <f t="shared" si="13"/>
        <v>13289.131593687638</v>
      </c>
      <c r="L44" s="278">
        <f t="shared" si="13"/>
        <v>13289.131593687638</v>
      </c>
      <c r="M44" s="278">
        <f t="shared" si="13"/>
        <v>13289.131593687638</v>
      </c>
      <c r="N44" s="278">
        <f t="shared" si="13"/>
        <v>13289.131593687638</v>
      </c>
      <c r="O44" s="278">
        <f t="shared" si="13"/>
        <v>0</v>
      </c>
      <c r="P44" s="278">
        <f t="shared" si="13"/>
        <v>0</v>
      </c>
      <c r="Q44" s="278">
        <f t="shared" si="13"/>
        <v>0</v>
      </c>
      <c r="R44" s="278">
        <f t="shared" si="13"/>
        <v>0</v>
      </c>
      <c r="S44" s="278">
        <f t="shared" si="13"/>
        <v>0</v>
      </c>
      <c r="T44" s="278">
        <f t="shared" si="13"/>
        <v>0</v>
      </c>
      <c r="U44" s="278">
        <f t="shared" si="13"/>
        <v>0</v>
      </c>
      <c r="V44" s="278">
        <f t="shared" si="13"/>
        <v>0</v>
      </c>
      <c r="W44" s="278">
        <f t="shared" si="13"/>
        <v>0</v>
      </c>
      <c r="X44" s="278">
        <f t="shared" si="13"/>
        <v>0</v>
      </c>
      <c r="Y44" s="278">
        <f t="shared" si="13"/>
        <v>0</v>
      </c>
      <c r="Z44" s="278">
        <f t="shared" si="13"/>
        <v>0</v>
      </c>
      <c r="AA44" s="278">
        <f t="shared" si="13"/>
        <v>0</v>
      </c>
      <c r="AB44" s="278">
        <f t="shared" si="13"/>
        <v>0</v>
      </c>
      <c r="AC44" s="278">
        <f t="shared" si="13"/>
        <v>0</v>
      </c>
      <c r="AD44" s="278">
        <f t="shared" si="13"/>
        <v>0</v>
      </c>
      <c r="AE44" s="278">
        <f t="shared" si="13"/>
        <v>0</v>
      </c>
      <c r="AF44" s="278">
        <f t="shared" si="13"/>
        <v>0</v>
      </c>
      <c r="AG44" s="278">
        <f t="shared" si="13"/>
        <v>0</v>
      </c>
      <c r="AH44" s="278">
        <f t="shared" si="13"/>
        <v>0</v>
      </c>
      <c r="AI44" s="278">
        <f t="shared" si="13"/>
        <v>0</v>
      </c>
      <c r="AJ44" s="278">
        <f t="shared" si="13"/>
        <v>0</v>
      </c>
      <c r="AK44" s="278">
        <f t="shared" ref="AK44:BP44" si="14">SUM(AK45:AK46)</f>
        <v>0</v>
      </c>
      <c r="AL44" s="278">
        <f t="shared" si="14"/>
        <v>0</v>
      </c>
      <c r="AM44" s="278">
        <f t="shared" si="14"/>
        <v>0</v>
      </c>
      <c r="AN44" s="278">
        <f t="shared" si="14"/>
        <v>0</v>
      </c>
      <c r="AO44" s="278">
        <f t="shared" si="14"/>
        <v>0</v>
      </c>
      <c r="AP44" s="278">
        <f t="shared" si="14"/>
        <v>0</v>
      </c>
      <c r="AQ44" s="278">
        <f t="shared" si="14"/>
        <v>0</v>
      </c>
      <c r="AR44" s="278">
        <f t="shared" si="14"/>
        <v>0</v>
      </c>
      <c r="AS44" s="278">
        <f t="shared" si="14"/>
        <v>0</v>
      </c>
      <c r="AT44" s="278">
        <f t="shared" si="14"/>
        <v>0</v>
      </c>
      <c r="AU44" s="278">
        <f t="shared" si="14"/>
        <v>0</v>
      </c>
      <c r="AV44" s="278">
        <f t="shared" si="14"/>
        <v>0</v>
      </c>
      <c r="AW44" s="278">
        <f t="shared" si="14"/>
        <v>0</v>
      </c>
      <c r="AX44" s="278">
        <f t="shared" si="14"/>
        <v>0</v>
      </c>
      <c r="AY44" s="278">
        <f t="shared" si="14"/>
        <v>0</v>
      </c>
      <c r="AZ44" s="278">
        <f t="shared" si="14"/>
        <v>0</v>
      </c>
      <c r="BA44" s="278">
        <f t="shared" si="14"/>
        <v>0</v>
      </c>
      <c r="BB44" s="278">
        <f t="shared" si="14"/>
        <v>0</v>
      </c>
      <c r="BC44" s="278">
        <f t="shared" si="14"/>
        <v>0</v>
      </c>
      <c r="BD44" s="278">
        <f t="shared" si="14"/>
        <v>0</v>
      </c>
      <c r="BE44" s="278">
        <f t="shared" si="14"/>
        <v>0</v>
      </c>
      <c r="BF44" s="278">
        <f t="shared" si="14"/>
        <v>0</v>
      </c>
      <c r="BG44" s="278">
        <f t="shared" si="14"/>
        <v>0</v>
      </c>
      <c r="BH44" s="278">
        <f t="shared" si="14"/>
        <v>0</v>
      </c>
      <c r="BI44" s="278">
        <f t="shared" si="14"/>
        <v>0</v>
      </c>
      <c r="BJ44" s="278">
        <f t="shared" si="14"/>
        <v>0</v>
      </c>
      <c r="BK44" s="278">
        <f t="shared" si="14"/>
        <v>0</v>
      </c>
      <c r="BL44" s="278">
        <f t="shared" si="14"/>
        <v>0</v>
      </c>
      <c r="BM44" s="278">
        <f t="shared" si="14"/>
        <v>0</v>
      </c>
      <c r="BN44" s="278">
        <f t="shared" si="14"/>
        <v>0</v>
      </c>
      <c r="BO44" s="278">
        <f t="shared" si="14"/>
        <v>0</v>
      </c>
      <c r="BP44" s="278">
        <f t="shared" si="14"/>
        <v>0</v>
      </c>
    </row>
    <row r="45" spans="1:68" ht="12" customHeight="1" outlineLevel="2">
      <c r="B45" s="286" t="s">
        <v>111</v>
      </c>
      <c r="C45" s="287"/>
      <c r="D45" s="287"/>
      <c r="E45" s="288">
        <f>Dashboard!$T$3*Dashboard!$E$30*E27</f>
        <v>11061.772413000001</v>
      </c>
      <c r="F45" s="288">
        <f>Dashboard!$T$3*Dashboard!$E$30*F27</f>
        <v>11061.772413000001</v>
      </c>
      <c r="G45" s="288">
        <f>Dashboard!$T$3*Dashboard!$E$30*G27</f>
        <v>11061.772413000001</v>
      </c>
      <c r="H45" s="288">
        <f>Dashboard!$T$3*Dashboard!$E$30*H27</f>
        <v>11061.772413000001</v>
      </c>
      <c r="I45" s="288">
        <f>Dashboard!$T$3*Dashboard!$E$30*I27</f>
        <v>11061.772413000001</v>
      </c>
      <c r="J45" s="288">
        <f>Dashboard!$T$3*Dashboard!$E$30*J27</f>
        <v>11061.772413000001</v>
      </c>
      <c r="K45" s="288">
        <f>Dashboard!$T$3*Dashboard!$E$30*K27</f>
        <v>11061.772413000001</v>
      </c>
      <c r="L45" s="288">
        <f>Dashboard!$T$3*Dashboard!$E$30*L27</f>
        <v>11061.772413000001</v>
      </c>
      <c r="M45" s="288">
        <f>Dashboard!$T$3*Dashboard!$E$30*M27</f>
        <v>11061.772413000001</v>
      </c>
      <c r="N45" s="288">
        <f>Dashboard!$T$3*Dashboard!$E$30*N27</f>
        <v>11061.772413000001</v>
      </c>
      <c r="O45" s="288">
        <f>Dashboard!$T$3*Dashboard!$E$30*O27</f>
        <v>0</v>
      </c>
      <c r="P45" s="288">
        <f>Dashboard!$T$3*Dashboard!$E$30*P27</f>
        <v>0</v>
      </c>
      <c r="Q45" s="288">
        <f>Dashboard!$T$3*Dashboard!$E$30*Q27</f>
        <v>0</v>
      </c>
      <c r="R45" s="288">
        <f>Dashboard!$T$3*Dashboard!$E$30*R27</f>
        <v>0</v>
      </c>
      <c r="S45" s="288">
        <f>Dashboard!$T$3*Dashboard!$E$30*S27</f>
        <v>0</v>
      </c>
      <c r="T45" s="288">
        <f>Dashboard!$T$3*Dashboard!$E$30*T27</f>
        <v>0</v>
      </c>
      <c r="U45" s="288">
        <f>Dashboard!$T$3*Dashboard!$E$30*U27</f>
        <v>0</v>
      </c>
      <c r="V45" s="288">
        <f>Dashboard!$T$3*Dashboard!$E$30*V27</f>
        <v>0</v>
      </c>
      <c r="W45" s="288">
        <f>Dashboard!$T$3*Dashboard!$E$30*W27</f>
        <v>0</v>
      </c>
      <c r="X45" s="288">
        <f>Dashboard!$T$3*Dashboard!$E$30*X27</f>
        <v>0</v>
      </c>
      <c r="Y45" s="288">
        <f>Dashboard!$T$3*Dashboard!$E$30*Y27</f>
        <v>0</v>
      </c>
      <c r="Z45" s="288">
        <f>Dashboard!$T$3*Dashboard!$E$30*Z27</f>
        <v>0</v>
      </c>
      <c r="AA45" s="288">
        <f>Dashboard!$T$3*Dashboard!$E$30*AA27</f>
        <v>0</v>
      </c>
      <c r="AB45" s="288">
        <f>Dashboard!$T$3*Dashboard!$E$30*AB27</f>
        <v>0</v>
      </c>
      <c r="AC45" s="288">
        <f>Dashboard!$T$3*Dashboard!$E$30*AC27</f>
        <v>0</v>
      </c>
      <c r="AD45" s="288">
        <f>Dashboard!$T$3*Dashboard!$E$30*AD27</f>
        <v>0</v>
      </c>
      <c r="AE45" s="288">
        <f>Dashboard!$T$3*Dashboard!$E$30*AE27</f>
        <v>0</v>
      </c>
      <c r="AF45" s="288">
        <f>Dashboard!$T$3*Dashboard!$E$30*AF27</f>
        <v>0</v>
      </c>
      <c r="AG45" s="288">
        <f>Dashboard!$T$3*Dashboard!$E$30*AG27</f>
        <v>0</v>
      </c>
      <c r="AH45" s="288">
        <f>Dashboard!$T$3*Dashboard!$E$30*AH27</f>
        <v>0</v>
      </c>
      <c r="AI45" s="288">
        <f>Dashboard!$T$3*Dashboard!$E$30*AI27</f>
        <v>0</v>
      </c>
      <c r="AJ45" s="288">
        <f>Dashboard!$T$3*Dashboard!$E$30*AJ27</f>
        <v>0</v>
      </c>
      <c r="AK45" s="288">
        <f>Dashboard!$T$3*Dashboard!$E$30*AK27</f>
        <v>0</v>
      </c>
      <c r="AL45" s="288">
        <f>Dashboard!$T$3*Dashboard!$E$30*AL27</f>
        <v>0</v>
      </c>
      <c r="AM45" s="288">
        <f>Dashboard!$T$3*Dashboard!$E$30*AM27</f>
        <v>0</v>
      </c>
      <c r="AN45" s="288">
        <f>Dashboard!$T$3*Dashboard!$E$30*AN27</f>
        <v>0</v>
      </c>
      <c r="AO45" s="288">
        <f>Dashboard!$T$3*Dashboard!$E$30*AO27</f>
        <v>0</v>
      </c>
      <c r="AP45" s="288">
        <f>Dashboard!$T$3*Dashboard!$E$30*AP27</f>
        <v>0</v>
      </c>
      <c r="AQ45" s="288">
        <f>Dashboard!$T$3*Dashboard!$E$30*AQ27</f>
        <v>0</v>
      </c>
      <c r="AR45" s="288">
        <f>Dashboard!$T$3*Dashboard!$E$30*AR27</f>
        <v>0</v>
      </c>
      <c r="AS45" s="288">
        <f>Dashboard!$T$3*Dashboard!$E$30*AS27</f>
        <v>0</v>
      </c>
      <c r="AT45" s="288">
        <f>Dashboard!$T$3*Dashboard!$E$30*AT27</f>
        <v>0</v>
      </c>
      <c r="AU45" s="288">
        <f>Dashboard!$T$3*Dashboard!$E$30*AU27</f>
        <v>0</v>
      </c>
      <c r="AV45" s="288">
        <f>Dashboard!$T$3*Dashboard!$E$30*AV27</f>
        <v>0</v>
      </c>
      <c r="AW45" s="288">
        <f>Dashboard!$T$3*Dashboard!$E$30*AW27</f>
        <v>0</v>
      </c>
      <c r="AX45" s="288">
        <f>Dashboard!$T$3*Dashboard!$E$30*AX27</f>
        <v>0</v>
      </c>
      <c r="AY45" s="288">
        <f>Dashboard!$T$3*Dashboard!$E$30*AY27</f>
        <v>0</v>
      </c>
      <c r="AZ45" s="288">
        <f>Dashboard!$T$3*Dashboard!$E$30*AZ27</f>
        <v>0</v>
      </c>
      <c r="BA45" s="288">
        <f>Dashboard!$T$3*Dashboard!$E$30*BA27</f>
        <v>0</v>
      </c>
      <c r="BB45" s="288">
        <f>Dashboard!$T$3*Dashboard!$E$30*BB27</f>
        <v>0</v>
      </c>
      <c r="BC45" s="288">
        <f>Dashboard!$T$3*Dashboard!$E$30*BC27</f>
        <v>0</v>
      </c>
      <c r="BD45" s="288">
        <f>Dashboard!$T$3*Dashboard!$E$30*BD27</f>
        <v>0</v>
      </c>
      <c r="BE45" s="288">
        <f>Dashboard!$T$3*Dashboard!$E$30*BE27</f>
        <v>0</v>
      </c>
      <c r="BF45" s="288">
        <f>Dashboard!$T$3*Dashboard!$E$30*BF27</f>
        <v>0</v>
      </c>
      <c r="BG45" s="288">
        <f>Dashboard!$T$3*Dashboard!$E$30*BG27</f>
        <v>0</v>
      </c>
      <c r="BH45" s="288">
        <f>Dashboard!$T$3*Dashboard!$E$30*BH27</f>
        <v>0</v>
      </c>
      <c r="BI45" s="288">
        <f>Dashboard!$T$3*Dashboard!$E$30*BI27</f>
        <v>0</v>
      </c>
      <c r="BJ45" s="288">
        <f>Dashboard!$T$3*Dashboard!$E$30*BJ27</f>
        <v>0</v>
      </c>
      <c r="BK45" s="288">
        <f>Dashboard!$T$3*Dashboard!$E$30*BK27</f>
        <v>0</v>
      </c>
      <c r="BL45" s="288">
        <f>Dashboard!$T$3*Dashboard!$E$30*BL27</f>
        <v>0</v>
      </c>
      <c r="BM45" s="288">
        <f>Dashboard!$T$3*Dashboard!$E$30*BM27</f>
        <v>0</v>
      </c>
      <c r="BN45" s="288">
        <f>Dashboard!$T$3*Dashboard!$E$30*BN27</f>
        <v>0</v>
      </c>
      <c r="BO45" s="288">
        <f>Dashboard!$T$3*Dashboard!$E$30*BO27</f>
        <v>0</v>
      </c>
      <c r="BP45" s="288">
        <f>Dashboard!$T$3*Dashboard!$E$30*BP27</f>
        <v>0</v>
      </c>
    </row>
    <row r="46" spans="1:68" ht="12" customHeight="1" outlineLevel="2">
      <c r="B46" s="286" t="s">
        <v>113</v>
      </c>
      <c r="C46" s="287"/>
      <c r="D46" s="287"/>
      <c r="E46" s="288">
        <f>Tarefas!$BE$28*E27</f>
        <v>2227.3591806876379</v>
      </c>
      <c r="F46" s="288">
        <f>Tarefas!$BE$28*F27</f>
        <v>2227.3591806876379</v>
      </c>
      <c r="G46" s="288">
        <f>Tarefas!$BE$28*G27</f>
        <v>2227.3591806876379</v>
      </c>
      <c r="H46" s="288">
        <f>Tarefas!$BE$28*H27</f>
        <v>2227.3591806876379</v>
      </c>
      <c r="I46" s="288">
        <f>Tarefas!$BE$28*I27</f>
        <v>2227.3591806876379</v>
      </c>
      <c r="J46" s="288">
        <f>Tarefas!$BE$28*J27</f>
        <v>2227.3591806876379</v>
      </c>
      <c r="K46" s="288">
        <f>Tarefas!$BE$28*K27</f>
        <v>2227.3591806876379</v>
      </c>
      <c r="L46" s="288">
        <f>Tarefas!$BE$28*L27</f>
        <v>2227.3591806876379</v>
      </c>
      <c r="M46" s="288">
        <f>Tarefas!$BE$28*M27</f>
        <v>2227.3591806876379</v>
      </c>
      <c r="N46" s="288">
        <f>Tarefas!$BE$28*N27</f>
        <v>2227.3591806876379</v>
      </c>
      <c r="O46" s="288">
        <f>Tarefas!$BE$28*O27</f>
        <v>0</v>
      </c>
      <c r="P46" s="288">
        <f>Tarefas!$BE$28*P27</f>
        <v>0</v>
      </c>
      <c r="Q46" s="288">
        <f>Tarefas!$BE$28*Q27</f>
        <v>0</v>
      </c>
      <c r="R46" s="288">
        <f>Tarefas!$BE$28*R27</f>
        <v>0</v>
      </c>
      <c r="S46" s="288">
        <f>Tarefas!$BE$28*S27</f>
        <v>0</v>
      </c>
      <c r="T46" s="288">
        <f>Tarefas!$BE$28*T27</f>
        <v>0</v>
      </c>
      <c r="U46" s="288">
        <f>Tarefas!$BE$28*U27</f>
        <v>0</v>
      </c>
      <c r="V46" s="288">
        <f>Tarefas!$BE$28*V27</f>
        <v>0</v>
      </c>
      <c r="W46" s="288">
        <f>Tarefas!$BE$28*W27</f>
        <v>0</v>
      </c>
      <c r="X46" s="288">
        <f>Tarefas!$BE$28*X27</f>
        <v>0</v>
      </c>
      <c r="Y46" s="288">
        <f>Tarefas!$BE$28*Y27</f>
        <v>0</v>
      </c>
      <c r="Z46" s="288">
        <f>Tarefas!$BE$28*Z27</f>
        <v>0</v>
      </c>
      <c r="AA46" s="288">
        <f>Tarefas!$BE$28*AA27</f>
        <v>0</v>
      </c>
      <c r="AB46" s="288">
        <f>Tarefas!$BE$28*AB27</f>
        <v>0</v>
      </c>
      <c r="AC46" s="288">
        <f>Tarefas!$BE$28*AC27</f>
        <v>0</v>
      </c>
      <c r="AD46" s="288">
        <f>Tarefas!$BE$28*AD27</f>
        <v>0</v>
      </c>
      <c r="AE46" s="288">
        <f>Tarefas!$BE$28*AE27</f>
        <v>0</v>
      </c>
      <c r="AF46" s="288">
        <f>Tarefas!$BE$28*AF27</f>
        <v>0</v>
      </c>
      <c r="AG46" s="288">
        <f>Tarefas!$BE$28*AG27</f>
        <v>0</v>
      </c>
      <c r="AH46" s="288">
        <f>Tarefas!$BE$28*AH27</f>
        <v>0</v>
      </c>
      <c r="AI46" s="288">
        <f>Tarefas!$BE$28*AI27</f>
        <v>0</v>
      </c>
      <c r="AJ46" s="288">
        <f>Tarefas!$BE$28*AJ27</f>
        <v>0</v>
      </c>
      <c r="AK46" s="288">
        <f>Tarefas!$BE$28*AK27</f>
        <v>0</v>
      </c>
      <c r="AL46" s="288">
        <f>Tarefas!$BE$28*AL27</f>
        <v>0</v>
      </c>
      <c r="AM46" s="288">
        <f>Tarefas!$BE$28*AM27</f>
        <v>0</v>
      </c>
      <c r="AN46" s="288">
        <f>Tarefas!$BE$28*AN27</f>
        <v>0</v>
      </c>
      <c r="AO46" s="288">
        <f>Tarefas!$BE$28*AO27</f>
        <v>0</v>
      </c>
      <c r="AP46" s="288">
        <f>Tarefas!$BE$28*AP27</f>
        <v>0</v>
      </c>
      <c r="AQ46" s="288">
        <f>Tarefas!$BE$28*AQ27</f>
        <v>0</v>
      </c>
      <c r="AR46" s="288">
        <f>Tarefas!$BE$28*AR27</f>
        <v>0</v>
      </c>
      <c r="AS46" s="288">
        <f>Tarefas!$BE$28*AS27</f>
        <v>0</v>
      </c>
      <c r="AT46" s="288">
        <f>Tarefas!$BE$28*AT27</f>
        <v>0</v>
      </c>
      <c r="AU46" s="288">
        <f>Tarefas!$BE$28*AU27</f>
        <v>0</v>
      </c>
      <c r="AV46" s="288">
        <f>Tarefas!$BE$28*AV27</f>
        <v>0</v>
      </c>
      <c r="AW46" s="288">
        <f>Tarefas!$BE$28*AW27</f>
        <v>0</v>
      </c>
      <c r="AX46" s="288">
        <f>Tarefas!$BE$28*AX27</f>
        <v>0</v>
      </c>
      <c r="AY46" s="288">
        <f>Tarefas!$BE$28*AY27</f>
        <v>0</v>
      </c>
      <c r="AZ46" s="288">
        <f>Tarefas!$BE$28*AZ27</f>
        <v>0</v>
      </c>
      <c r="BA46" s="288">
        <f>Tarefas!$BE$28*BA27</f>
        <v>0</v>
      </c>
      <c r="BB46" s="288">
        <f>Tarefas!$BE$28*BB27</f>
        <v>0</v>
      </c>
      <c r="BC46" s="288">
        <f>Tarefas!$BE$28*BC27</f>
        <v>0</v>
      </c>
      <c r="BD46" s="288">
        <f>Tarefas!$BE$28*BD27</f>
        <v>0</v>
      </c>
      <c r="BE46" s="288">
        <f>Tarefas!$BE$28*BE27</f>
        <v>0</v>
      </c>
      <c r="BF46" s="288">
        <f>Tarefas!$BE$28*BF27</f>
        <v>0</v>
      </c>
      <c r="BG46" s="288">
        <f>Tarefas!$BE$28*BG27</f>
        <v>0</v>
      </c>
      <c r="BH46" s="288">
        <f>Tarefas!$BE$28*BH27</f>
        <v>0</v>
      </c>
      <c r="BI46" s="288">
        <f>Tarefas!$BE$28*BI27</f>
        <v>0</v>
      </c>
      <c r="BJ46" s="288">
        <f>Tarefas!$BE$28*BJ27</f>
        <v>0</v>
      </c>
      <c r="BK46" s="288">
        <f>Tarefas!$BE$28*BK27</f>
        <v>0</v>
      </c>
      <c r="BL46" s="288">
        <f>Tarefas!$BE$28*BL27</f>
        <v>0</v>
      </c>
      <c r="BM46" s="288">
        <f>Tarefas!$BE$28*BM27</f>
        <v>0</v>
      </c>
      <c r="BN46" s="288">
        <f>Tarefas!$BE$28*BN27</f>
        <v>0</v>
      </c>
      <c r="BO46" s="288">
        <f>Tarefas!$BE$28*BO27</f>
        <v>0</v>
      </c>
      <c r="BP46" s="288">
        <f>Tarefas!$BE$28*BP27</f>
        <v>0</v>
      </c>
    </row>
    <row r="47" spans="1:68" ht="6" customHeight="1" outlineLevel="1">
      <c r="A47" s="280"/>
      <c r="B47" s="281"/>
      <c r="C47" s="282"/>
      <c r="D47" s="282"/>
      <c r="E47" s="283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  <c r="AI47" s="282"/>
      <c r="AJ47" s="282"/>
      <c r="AK47" s="282"/>
      <c r="AL47" s="282"/>
      <c r="AM47" s="282"/>
      <c r="AN47" s="282"/>
      <c r="AO47" s="282"/>
      <c r="AP47" s="282"/>
      <c r="AQ47" s="282"/>
      <c r="AR47" s="282"/>
      <c r="AS47" s="282"/>
      <c r="AT47" s="282"/>
      <c r="AU47" s="282"/>
      <c r="AV47" s="282"/>
      <c r="AW47" s="282"/>
      <c r="AX47" s="282"/>
      <c r="AY47" s="282"/>
      <c r="AZ47" s="282"/>
      <c r="BA47" s="282"/>
      <c r="BB47" s="282"/>
      <c r="BC47" s="282"/>
      <c r="BD47" s="282"/>
      <c r="BE47" s="282"/>
      <c r="BF47" s="282"/>
      <c r="BG47" s="282"/>
      <c r="BH47" s="282"/>
      <c r="BI47" s="282"/>
      <c r="BJ47" s="282"/>
      <c r="BK47" s="282"/>
      <c r="BL47" s="282"/>
      <c r="BM47" s="282"/>
      <c r="BN47" s="282"/>
      <c r="BO47" s="282"/>
      <c r="BP47" s="282"/>
    </row>
    <row r="48" spans="1:68" ht="12" customHeight="1" outlineLevel="1">
      <c r="A48" s="285" t="s">
        <v>1677</v>
      </c>
      <c r="B48" s="276" t="s">
        <v>130</v>
      </c>
      <c r="E48" s="289" t="e">
        <f>SUM(E49:E76)</f>
        <v>#REF!</v>
      </c>
      <c r="F48" s="289" t="e">
        <f t="shared" ref="F48:AJ48" si="15">SUM(F49:F76)</f>
        <v>#REF!</v>
      </c>
      <c r="G48" s="289" t="e">
        <f t="shared" si="15"/>
        <v>#REF!</v>
      </c>
      <c r="H48" s="289" t="e">
        <f t="shared" si="15"/>
        <v>#REF!</v>
      </c>
      <c r="I48" s="289" t="e">
        <f t="shared" si="15"/>
        <v>#REF!</v>
      </c>
      <c r="J48" s="289" t="e">
        <f t="shared" si="15"/>
        <v>#REF!</v>
      </c>
      <c r="K48" s="289" t="e">
        <f t="shared" si="15"/>
        <v>#REF!</v>
      </c>
      <c r="L48" s="289" t="e">
        <f t="shared" si="15"/>
        <v>#REF!</v>
      </c>
      <c r="M48" s="289" t="e">
        <f t="shared" si="15"/>
        <v>#REF!</v>
      </c>
      <c r="N48" s="289" t="e">
        <f t="shared" si="15"/>
        <v>#REF!</v>
      </c>
      <c r="O48" s="289" t="e">
        <f t="shared" si="15"/>
        <v>#REF!</v>
      </c>
      <c r="P48" s="289" t="e">
        <f t="shared" si="15"/>
        <v>#REF!</v>
      </c>
      <c r="Q48" s="289" t="e">
        <f t="shared" si="15"/>
        <v>#REF!</v>
      </c>
      <c r="R48" s="289" t="e">
        <f t="shared" si="15"/>
        <v>#REF!</v>
      </c>
      <c r="S48" s="289" t="e">
        <f t="shared" si="15"/>
        <v>#REF!</v>
      </c>
      <c r="T48" s="289" t="e">
        <f t="shared" si="15"/>
        <v>#REF!</v>
      </c>
      <c r="U48" s="289" t="e">
        <f t="shared" si="15"/>
        <v>#REF!</v>
      </c>
      <c r="V48" s="289" t="e">
        <f t="shared" si="15"/>
        <v>#REF!</v>
      </c>
      <c r="W48" s="289" t="e">
        <f t="shared" si="15"/>
        <v>#REF!</v>
      </c>
      <c r="X48" s="289" t="e">
        <f t="shared" si="15"/>
        <v>#REF!</v>
      </c>
      <c r="Y48" s="289" t="e">
        <f t="shared" si="15"/>
        <v>#REF!</v>
      </c>
      <c r="Z48" s="289" t="e">
        <f t="shared" si="15"/>
        <v>#REF!</v>
      </c>
      <c r="AA48" s="289" t="e">
        <f t="shared" si="15"/>
        <v>#REF!</v>
      </c>
      <c r="AB48" s="289" t="e">
        <f t="shared" si="15"/>
        <v>#REF!</v>
      </c>
      <c r="AC48" s="289" t="e">
        <f t="shared" si="15"/>
        <v>#REF!</v>
      </c>
      <c r="AD48" s="289" t="e">
        <f t="shared" si="15"/>
        <v>#REF!</v>
      </c>
      <c r="AE48" s="289" t="e">
        <f t="shared" si="15"/>
        <v>#REF!</v>
      </c>
      <c r="AF48" s="289" t="e">
        <f t="shared" si="15"/>
        <v>#REF!</v>
      </c>
      <c r="AG48" s="289" t="e">
        <f t="shared" si="15"/>
        <v>#REF!</v>
      </c>
      <c r="AH48" s="289" t="e">
        <f t="shared" si="15"/>
        <v>#REF!</v>
      </c>
      <c r="AI48" s="289" t="e">
        <f t="shared" si="15"/>
        <v>#REF!</v>
      </c>
      <c r="AJ48" s="289" t="e">
        <f t="shared" si="15"/>
        <v>#REF!</v>
      </c>
      <c r="AK48" s="289" t="e">
        <f t="shared" ref="AK48:BP48" si="16">SUM(AK49:AK76)</f>
        <v>#REF!</v>
      </c>
      <c r="AL48" s="289" t="e">
        <f t="shared" si="16"/>
        <v>#REF!</v>
      </c>
      <c r="AM48" s="289" t="e">
        <f t="shared" si="16"/>
        <v>#REF!</v>
      </c>
      <c r="AN48" s="289" t="e">
        <f t="shared" si="16"/>
        <v>#REF!</v>
      </c>
      <c r="AO48" s="289" t="e">
        <f t="shared" si="16"/>
        <v>#REF!</v>
      </c>
      <c r="AP48" s="289" t="e">
        <f t="shared" si="16"/>
        <v>#REF!</v>
      </c>
      <c r="AQ48" s="289" t="e">
        <f t="shared" si="16"/>
        <v>#REF!</v>
      </c>
      <c r="AR48" s="289" t="e">
        <f t="shared" si="16"/>
        <v>#REF!</v>
      </c>
      <c r="AS48" s="289" t="e">
        <f t="shared" si="16"/>
        <v>#REF!</v>
      </c>
      <c r="AT48" s="289" t="e">
        <f t="shared" si="16"/>
        <v>#REF!</v>
      </c>
      <c r="AU48" s="289" t="e">
        <f t="shared" si="16"/>
        <v>#REF!</v>
      </c>
      <c r="AV48" s="289" t="e">
        <f t="shared" si="16"/>
        <v>#REF!</v>
      </c>
      <c r="AW48" s="289" t="e">
        <f t="shared" si="16"/>
        <v>#REF!</v>
      </c>
      <c r="AX48" s="289" t="e">
        <f t="shared" si="16"/>
        <v>#REF!</v>
      </c>
      <c r="AY48" s="289" t="e">
        <f t="shared" si="16"/>
        <v>#REF!</v>
      </c>
      <c r="AZ48" s="289" t="e">
        <f t="shared" si="16"/>
        <v>#REF!</v>
      </c>
      <c r="BA48" s="289" t="e">
        <f t="shared" si="16"/>
        <v>#REF!</v>
      </c>
      <c r="BB48" s="289" t="e">
        <f t="shared" si="16"/>
        <v>#REF!</v>
      </c>
      <c r="BC48" s="289" t="e">
        <f t="shared" si="16"/>
        <v>#REF!</v>
      </c>
      <c r="BD48" s="289" t="e">
        <f t="shared" si="16"/>
        <v>#REF!</v>
      </c>
      <c r="BE48" s="289" t="e">
        <f t="shared" si="16"/>
        <v>#REF!</v>
      </c>
      <c r="BF48" s="289" t="e">
        <f t="shared" si="16"/>
        <v>#REF!</v>
      </c>
      <c r="BG48" s="289" t="e">
        <f t="shared" si="16"/>
        <v>#REF!</v>
      </c>
      <c r="BH48" s="289" t="e">
        <f t="shared" si="16"/>
        <v>#REF!</v>
      </c>
      <c r="BI48" s="289" t="e">
        <f t="shared" si="16"/>
        <v>#REF!</v>
      </c>
      <c r="BJ48" s="289" t="e">
        <f t="shared" si="16"/>
        <v>#REF!</v>
      </c>
      <c r="BK48" s="289" t="e">
        <f t="shared" si="16"/>
        <v>#REF!</v>
      </c>
      <c r="BL48" s="289" t="e">
        <f t="shared" si="16"/>
        <v>#REF!</v>
      </c>
      <c r="BM48" s="289" t="e">
        <f t="shared" si="16"/>
        <v>#REF!</v>
      </c>
      <c r="BN48" s="289" t="e">
        <f t="shared" si="16"/>
        <v>#REF!</v>
      </c>
      <c r="BO48" s="289" t="e">
        <f t="shared" si="16"/>
        <v>#REF!</v>
      </c>
      <c r="BP48" s="289" t="e">
        <f t="shared" si="16"/>
        <v>#REF!</v>
      </c>
    </row>
    <row r="49" spans="2:68" ht="12" customHeight="1" outlineLevel="2">
      <c r="B49" s="290" t="s">
        <v>11</v>
      </c>
      <c r="C49" s="291"/>
      <c r="D49" s="292"/>
      <c r="E49" s="293">
        <f>Dashboard!$L3*E$27</f>
        <v>1716</v>
      </c>
      <c r="F49" s="293">
        <f>Dashboard!$L3*F$27</f>
        <v>1716</v>
      </c>
      <c r="G49" s="293">
        <f>Dashboard!$L3*G$27</f>
        <v>1716</v>
      </c>
      <c r="H49" s="293">
        <f>Dashboard!$L3*H$27</f>
        <v>1716</v>
      </c>
      <c r="I49" s="293">
        <f>Dashboard!$L3*I$27</f>
        <v>1716</v>
      </c>
      <c r="J49" s="293">
        <f>Dashboard!$L3*J$27</f>
        <v>1716</v>
      </c>
      <c r="K49" s="293">
        <f>Dashboard!$L3*K$27</f>
        <v>1716</v>
      </c>
      <c r="L49" s="293">
        <f>Dashboard!$L3*L$27</f>
        <v>1716</v>
      </c>
      <c r="M49" s="293">
        <f>Dashboard!$L3*M$27</f>
        <v>1716</v>
      </c>
      <c r="N49" s="293">
        <f>Dashboard!$L3*N$27</f>
        <v>1716</v>
      </c>
      <c r="O49" s="293">
        <f>Dashboard!$L3*O$27</f>
        <v>0</v>
      </c>
      <c r="P49" s="293">
        <f>Dashboard!$L3*P$27</f>
        <v>0</v>
      </c>
      <c r="Q49" s="293">
        <f>Dashboard!$L3*Q$27</f>
        <v>0</v>
      </c>
      <c r="R49" s="293">
        <f>Dashboard!$L3*R$27</f>
        <v>0</v>
      </c>
      <c r="S49" s="293">
        <f>Dashboard!$L3*S$27</f>
        <v>0</v>
      </c>
      <c r="T49" s="293">
        <f>Dashboard!$L3*T$27</f>
        <v>0</v>
      </c>
      <c r="U49" s="293">
        <f>Dashboard!$L3*U$27</f>
        <v>0</v>
      </c>
      <c r="V49" s="293">
        <f>Dashboard!$L3*V$27</f>
        <v>0</v>
      </c>
      <c r="W49" s="293">
        <f>Dashboard!$L3*W$27</f>
        <v>0</v>
      </c>
      <c r="X49" s="293">
        <f>Dashboard!$L3*X$27</f>
        <v>0</v>
      </c>
      <c r="Y49" s="293">
        <f>Dashboard!$L3*Y$27</f>
        <v>0</v>
      </c>
      <c r="Z49" s="293">
        <f>Dashboard!$L3*Z$27</f>
        <v>0</v>
      </c>
      <c r="AA49" s="293">
        <f>Dashboard!$L3*AA$27</f>
        <v>0</v>
      </c>
      <c r="AB49" s="293">
        <f>Dashboard!$L3*AB$27</f>
        <v>0</v>
      </c>
      <c r="AC49" s="293">
        <f>Dashboard!$L3*AC$27</f>
        <v>0</v>
      </c>
      <c r="AD49" s="293">
        <f>Dashboard!$L3*AD$27</f>
        <v>0</v>
      </c>
      <c r="AE49" s="293">
        <f>Dashboard!$L3*AE$27</f>
        <v>0</v>
      </c>
      <c r="AF49" s="293">
        <f>Dashboard!$L3*AF$27</f>
        <v>0</v>
      </c>
      <c r="AG49" s="293">
        <f>Dashboard!$L3*AG$27</f>
        <v>0</v>
      </c>
      <c r="AH49" s="293">
        <f>Dashboard!$L3*AH$27</f>
        <v>0</v>
      </c>
      <c r="AI49" s="293">
        <f>Dashboard!$L3*AI$27</f>
        <v>0</v>
      </c>
      <c r="AJ49" s="293">
        <f>Dashboard!$L3*AJ$27</f>
        <v>0</v>
      </c>
      <c r="AK49" s="293">
        <f>Dashboard!$L3*AK$27</f>
        <v>0</v>
      </c>
      <c r="AL49" s="293">
        <f>Dashboard!$L3*AL$27</f>
        <v>0</v>
      </c>
      <c r="AM49" s="293">
        <f>Dashboard!$L3*AM$27</f>
        <v>0</v>
      </c>
      <c r="AN49" s="293">
        <f>Dashboard!$L3*AN$27</f>
        <v>0</v>
      </c>
      <c r="AO49" s="293">
        <f>Dashboard!$L3*AO$27</f>
        <v>0</v>
      </c>
      <c r="AP49" s="293">
        <f>Dashboard!$L3*AP$27</f>
        <v>0</v>
      </c>
      <c r="AQ49" s="293">
        <f>Dashboard!$L3*AQ$27</f>
        <v>0</v>
      </c>
      <c r="AR49" s="293">
        <f>Dashboard!$L3*AR$27</f>
        <v>0</v>
      </c>
      <c r="AS49" s="293">
        <f>Dashboard!$L3*AS$27</f>
        <v>0</v>
      </c>
      <c r="AT49" s="293">
        <f>Dashboard!$L3*AT$27</f>
        <v>0</v>
      </c>
      <c r="AU49" s="293">
        <f>Dashboard!$L3*AU$27</f>
        <v>0</v>
      </c>
      <c r="AV49" s="293">
        <f>Dashboard!$L3*AV$27</f>
        <v>0</v>
      </c>
      <c r="AW49" s="293">
        <f>Dashboard!$L3*AW$27</f>
        <v>0</v>
      </c>
      <c r="AX49" s="293">
        <f>Dashboard!$L3*AX$27</f>
        <v>0</v>
      </c>
      <c r="AY49" s="293">
        <f>Dashboard!$L3*AY$27</f>
        <v>0</v>
      </c>
      <c r="AZ49" s="293">
        <f>Dashboard!$L3*AZ$27</f>
        <v>0</v>
      </c>
      <c r="BA49" s="293">
        <f>Dashboard!$L3*BA$27</f>
        <v>0</v>
      </c>
      <c r="BB49" s="293">
        <f>Dashboard!$L3*BB$27</f>
        <v>0</v>
      </c>
      <c r="BC49" s="293">
        <f>Dashboard!$L3*BC$27</f>
        <v>0</v>
      </c>
      <c r="BD49" s="293">
        <f>Dashboard!$L3*BD$27</f>
        <v>0</v>
      </c>
      <c r="BE49" s="293">
        <f>Dashboard!$L3*BE$27</f>
        <v>0</v>
      </c>
      <c r="BF49" s="293">
        <f>Dashboard!$L3*BF$27</f>
        <v>0</v>
      </c>
      <c r="BG49" s="293">
        <f>Dashboard!$L3*BG$27</f>
        <v>0</v>
      </c>
      <c r="BH49" s="293">
        <f>Dashboard!$L3*BH$27</f>
        <v>0</v>
      </c>
      <c r="BI49" s="293">
        <f>Dashboard!$L3*BI$27</f>
        <v>0</v>
      </c>
      <c r="BJ49" s="293">
        <f>Dashboard!$L3*BJ$27</f>
        <v>0</v>
      </c>
      <c r="BK49" s="293">
        <f>Dashboard!$L3*BK$27</f>
        <v>0</v>
      </c>
      <c r="BL49" s="293">
        <f>Dashboard!$L3*BL$27</f>
        <v>0</v>
      </c>
      <c r="BM49" s="293">
        <f>Dashboard!$L3*BM$27</f>
        <v>0</v>
      </c>
      <c r="BN49" s="293">
        <f>Dashboard!$L3*BN$27</f>
        <v>0</v>
      </c>
      <c r="BO49" s="293">
        <f>Dashboard!$L3*BO$27</f>
        <v>0</v>
      </c>
      <c r="BP49" s="293">
        <f>Dashboard!$L3*BP$27</f>
        <v>0</v>
      </c>
    </row>
    <row r="50" spans="2:68" ht="12" customHeight="1" outlineLevel="2">
      <c r="B50" s="290" t="s">
        <v>1678</v>
      </c>
      <c r="C50" s="291"/>
      <c r="D50" s="292"/>
      <c r="E50" s="293" t="e">
        <f t="shared" ref="E50:AJ50" si="17">SUM(E6:E8)</f>
        <v>#REF!</v>
      </c>
      <c r="F50" s="293" t="e">
        <f t="shared" si="17"/>
        <v>#REF!</v>
      </c>
      <c r="G50" s="293" t="e">
        <f t="shared" si="17"/>
        <v>#REF!</v>
      </c>
      <c r="H50" s="293" t="e">
        <f t="shared" si="17"/>
        <v>#REF!</v>
      </c>
      <c r="I50" s="293" t="e">
        <f t="shared" si="17"/>
        <v>#REF!</v>
      </c>
      <c r="J50" s="293" t="e">
        <f t="shared" si="17"/>
        <v>#REF!</v>
      </c>
      <c r="K50" s="293" t="e">
        <f t="shared" si="17"/>
        <v>#REF!</v>
      </c>
      <c r="L50" s="293" t="e">
        <f t="shared" si="17"/>
        <v>#REF!</v>
      </c>
      <c r="M50" s="293" t="e">
        <f t="shared" si="17"/>
        <v>#REF!</v>
      </c>
      <c r="N50" s="293" t="e">
        <f t="shared" si="17"/>
        <v>#REF!</v>
      </c>
      <c r="O50" s="293" t="e">
        <f t="shared" si="17"/>
        <v>#REF!</v>
      </c>
      <c r="P50" s="293" t="e">
        <f t="shared" si="17"/>
        <v>#REF!</v>
      </c>
      <c r="Q50" s="293" t="e">
        <f t="shared" si="17"/>
        <v>#REF!</v>
      </c>
      <c r="R50" s="293" t="e">
        <f t="shared" si="17"/>
        <v>#REF!</v>
      </c>
      <c r="S50" s="293" t="e">
        <f t="shared" si="17"/>
        <v>#REF!</v>
      </c>
      <c r="T50" s="293" t="e">
        <f t="shared" si="17"/>
        <v>#REF!</v>
      </c>
      <c r="U50" s="293" t="e">
        <f t="shared" si="17"/>
        <v>#REF!</v>
      </c>
      <c r="V50" s="293" t="e">
        <f t="shared" si="17"/>
        <v>#REF!</v>
      </c>
      <c r="W50" s="293" t="e">
        <f t="shared" si="17"/>
        <v>#REF!</v>
      </c>
      <c r="X50" s="293" t="e">
        <f t="shared" si="17"/>
        <v>#REF!</v>
      </c>
      <c r="Y50" s="293" t="e">
        <f t="shared" si="17"/>
        <v>#REF!</v>
      </c>
      <c r="Z50" s="293" t="e">
        <f t="shared" si="17"/>
        <v>#REF!</v>
      </c>
      <c r="AA50" s="293" t="e">
        <f t="shared" si="17"/>
        <v>#REF!</v>
      </c>
      <c r="AB50" s="293" t="e">
        <f t="shared" si="17"/>
        <v>#REF!</v>
      </c>
      <c r="AC50" s="293" t="e">
        <f t="shared" si="17"/>
        <v>#REF!</v>
      </c>
      <c r="AD50" s="293" t="e">
        <f t="shared" si="17"/>
        <v>#REF!</v>
      </c>
      <c r="AE50" s="293" t="e">
        <f t="shared" si="17"/>
        <v>#REF!</v>
      </c>
      <c r="AF50" s="293" t="e">
        <f t="shared" si="17"/>
        <v>#REF!</v>
      </c>
      <c r="AG50" s="293" t="e">
        <f t="shared" si="17"/>
        <v>#REF!</v>
      </c>
      <c r="AH50" s="293" t="e">
        <f t="shared" si="17"/>
        <v>#REF!</v>
      </c>
      <c r="AI50" s="293" t="e">
        <f t="shared" si="17"/>
        <v>#REF!</v>
      </c>
      <c r="AJ50" s="293" t="e">
        <f t="shared" si="17"/>
        <v>#REF!</v>
      </c>
      <c r="AK50" s="293" t="e">
        <f t="shared" ref="AK50:BP50" si="18">SUM(AK6:AK8)</f>
        <v>#REF!</v>
      </c>
      <c r="AL50" s="293" t="e">
        <f t="shared" si="18"/>
        <v>#REF!</v>
      </c>
      <c r="AM50" s="293" t="e">
        <f t="shared" si="18"/>
        <v>#REF!</v>
      </c>
      <c r="AN50" s="293" t="e">
        <f t="shared" si="18"/>
        <v>#REF!</v>
      </c>
      <c r="AO50" s="293" t="e">
        <f t="shared" si="18"/>
        <v>#REF!</v>
      </c>
      <c r="AP50" s="293" t="e">
        <f t="shared" si="18"/>
        <v>#REF!</v>
      </c>
      <c r="AQ50" s="293" t="e">
        <f t="shared" si="18"/>
        <v>#REF!</v>
      </c>
      <c r="AR50" s="293" t="e">
        <f t="shared" si="18"/>
        <v>#REF!</v>
      </c>
      <c r="AS50" s="293" t="e">
        <f t="shared" si="18"/>
        <v>#REF!</v>
      </c>
      <c r="AT50" s="293" t="e">
        <f t="shared" si="18"/>
        <v>#REF!</v>
      </c>
      <c r="AU50" s="293" t="e">
        <f t="shared" si="18"/>
        <v>#REF!</v>
      </c>
      <c r="AV50" s="293" t="e">
        <f t="shared" si="18"/>
        <v>#REF!</v>
      </c>
      <c r="AW50" s="293" t="e">
        <f t="shared" si="18"/>
        <v>#REF!</v>
      </c>
      <c r="AX50" s="293" t="e">
        <f t="shared" si="18"/>
        <v>#REF!</v>
      </c>
      <c r="AY50" s="293" t="e">
        <f t="shared" si="18"/>
        <v>#REF!</v>
      </c>
      <c r="AZ50" s="293" t="e">
        <f t="shared" si="18"/>
        <v>#REF!</v>
      </c>
      <c r="BA50" s="293" t="e">
        <f t="shared" si="18"/>
        <v>#REF!</v>
      </c>
      <c r="BB50" s="293" t="e">
        <f t="shared" si="18"/>
        <v>#REF!</v>
      </c>
      <c r="BC50" s="293" t="e">
        <f t="shared" si="18"/>
        <v>#REF!</v>
      </c>
      <c r="BD50" s="293" t="e">
        <f t="shared" si="18"/>
        <v>#REF!</v>
      </c>
      <c r="BE50" s="293" t="e">
        <f t="shared" si="18"/>
        <v>#REF!</v>
      </c>
      <c r="BF50" s="293" t="e">
        <f t="shared" si="18"/>
        <v>#REF!</v>
      </c>
      <c r="BG50" s="293" t="e">
        <f t="shared" si="18"/>
        <v>#REF!</v>
      </c>
      <c r="BH50" s="293" t="e">
        <f t="shared" si="18"/>
        <v>#REF!</v>
      </c>
      <c r="BI50" s="293" t="e">
        <f t="shared" si="18"/>
        <v>#REF!</v>
      </c>
      <c r="BJ50" s="293" t="e">
        <f t="shared" si="18"/>
        <v>#REF!</v>
      </c>
      <c r="BK50" s="293" t="e">
        <f t="shared" si="18"/>
        <v>#REF!</v>
      </c>
      <c r="BL50" s="293" t="e">
        <f t="shared" si="18"/>
        <v>#REF!</v>
      </c>
      <c r="BM50" s="293" t="e">
        <f t="shared" si="18"/>
        <v>#REF!</v>
      </c>
      <c r="BN50" s="293" t="e">
        <f t="shared" si="18"/>
        <v>#REF!</v>
      </c>
      <c r="BO50" s="293" t="e">
        <f t="shared" si="18"/>
        <v>#REF!</v>
      </c>
      <c r="BP50" s="293" t="e">
        <f t="shared" si="18"/>
        <v>#REF!</v>
      </c>
    </row>
    <row r="51" spans="2:68" ht="12" customHeight="1" outlineLevel="2">
      <c r="B51" s="290" t="s">
        <v>15</v>
      </c>
      <c r="C51" s="291"/>
      <c r="D51" s="292"/>
      <c r="E51" s="293">
        <f>Dashboard!$L5*E$27</f>
        <v>0</v>
      </c>
      <c r="F51" s="293">
        <f>Dashboard!$L5*F$27</f>
        <v>0</v>
      </c>
      <c r="G51" s="293">
        <f>Dashboard!$L5*G$27</f>
        <v>0</v>
      </c>
      <c r="H51" s="293">
        <f>Dashboard!$L5*H$27</f>
        <v>0</v>
      </c>
      <c r="I51" s="293">
        <f>Dashboard!$L5*I$27</f>
        <v>0</v>
      </c>
      <c r="J51" s="293">
        <f>Dashboard!$L5*J$27</f>
        <v>0</v>
      </c>
      <c r="K51" s="293">
        <f>Dashboard!$L5*K$27</f>
        <v>0</v>
      </c>
      <c r="L51" s="293">
        <f>Dashboard!$L5*L$27</f>
        <v>0</v>
      </c>
      <c r="M51" s="293">
        <f>Dashboard!$L5*M$27</f>
        <v>0</v>
      </c>
      <c r="N51" s="293">
        <f>Dashboard!$L5*N$27</f>
        <v>0</v>
      </c>
      <c r="O51" s="293">
        <f>Dashboard!$L5*O$27</f>
        <v>0</v>
      </c>
      <c r="P51" s="293">
        <f>Dashboard!$L5*P$27</f>
        <v>0</v>
      </c>
      <c r="Q51" s="293">
        <f>Dashboard!$L5*Q$27</f>
        <v>0</v>
      </c>
      <c r="R51" s="293">
        <f>Dashboard!$L5*R$27</f>
        <v>0</v>
      </c>
      <c r="S51" s="293">
        <f>Dashboard!$L5*S$27</f>
        <v>0</v>
      </c>
      <c r="T51" s="293">
        <f>Dashboard!$L5*T$27</f>
        <v>0</v>
      </c>
      <c r="U51" s="293">
        <f>Dashboard!$L5*U$27</f>
        <v>0</v>
      </c>
      <c r="V51" s="293">
        <f>Dashboard!$L5*V$27</f>
        <v>0</v>
      </c>
      <c r="W51" s="293">
        <f>Dashboard!$L5*W$27</f>
        <v>0</v>
      </c>
      <c r="X51" s="293">
        <f>Dashboard!$L5*X$27</f>
        <v>0</v>
      </c>
      <c r="Y51" s="293">
        <f>Dashboard!$L5*Y$27</f>
        <v>0</v>
      </c>
      <c r="Z51" s="293">
        <f>Dashboard!$L5*Z$27</f>
        <v>0</v>
      </c>
      <c r="AA51" s="293">
        <f>Dashboard!$L5*AA$27</f>
        <v>0</v>
      </c>
      <c r="AB51" s="293">
        <f>Dashboard!$L5*AB$27</f>
        <v>0</v>
      </c>
      <c r="AC51" s="293">
        <f>Dashboard!$L5*AC$27</f>
        <v>0</v>
      </c>
      <c r="AD51" s="293">
        <f>Dashboard!$L5*AD$27</f>
        <v>0</v>
      </c>
      <c r="AE51" s="293">
        <f>Dashboard!$L5*AE$27</f>
        <v>0</v>
      </c>
      <c r="AF51" s="293">
        <f>Dashboard!$L5*AF$27</f>
        <v>0</v>
      </c>
      <c r="AG51" s="293">
        <f>Dashboard!$L5*AG$27</f>
        <v>0</v>
      </c>
      <c r="AH51" s="293">
        <f>Dashboard!$L5*AH$27</f>
        <v>0</v>
      </c>
      <c r="AI51" s="293">
        <f>Dashboard!$L5*AI$27</f>
        <v>0</v>
      </c>
      <c r="AJ51" s="293">
        <f>Dashboard!$L5*AJ$27</f>
        <v>0</v>
      </c>
      <c r="AK51" s="293">
        <f>Dashboard!$L5*AK$27</f>
        <v>0</v>
      </c>
      <c r="AL51" s="293">
        <f>Dashboard!$L5*AL$27</f>
        <v>0</v>
      </c>
      <c r="AM51" s="293">
        <f>Dashboard!$L5*AM$27</f>
        <v>0</v>
      </c>
      <c r="AN51" s="293">
        <f>Dashboard!$L5*AN$27</f>
        <v>0</v>
      </c>
      <c r="AO51" s="293">
        <f>Dashboard!$L5*AO$27</f>
        <v>0</v>
      </c>
      <c r="AP51" s="293">
        <f>Dashboard!$L5*AP$27</f>
        <v>0</v>
      </c>
      <c r="AQ51" s="293">
        <f>Dashboard!$L5*AQ$27</f>
        <v>0</v>
      </c>
      <c r="AR51" s="293">
        <f>Dashboard!$L5*AR$27</f>
        <v>0</v>
      </c>
      <c r="AS51" s="293">
        <f>Dashboard!$L5*AS$27</f>
        <v>0</v>
      </c>
      <c r="AT51" s="293">
        <f>Dashboard!$L5*AT$27</f>
        <v>0</v>
      </c>
      <c r="AU51" s="293">
        <f>Dashboard!$L5*AU$27</f>
        <v>0</v>
      </c>
      <c r="AV51" s="293">
        <f>Dashboard!$L5*AV$27</f>
        <v>0</v>
      </c>
      <c r="AW51" s="293">
        <f>Dashboard!$L5*AW$27</f>
        <v>0</v>
      </c>
      <c r="AX51" s="293">
        <f>Dashboard!$L5*AX$27</f>
        <v>0</v>
      </c>
      <c r="AY51" s="293">
        <f>Dashboard!$L5*AY$27</f>
        <v>0</v>
      </c>
      <c r="AZ51" s="293">
        <f>Dashboard!$L5*AZ$27</f>
        <v>0</v>
      </c>
      <c r="BA51" s="293">
        <f>Dashboard!$L5*BA$27</f>
        <v>0</v>
      </c>
      <c r="BB51" s="293">
        <f>Dashboard!$L5*BB$27</f>
        <v>0</v>
      </c>
      <c r="BC51" s="293">
        <f>Dashboard!$L5*BC$27</f>
        <v>0</v>
      </c>
      <c r="BD51" s="293">
        <f>Dashboard!$L5*BD$27</f>
        <v>0</v>
      </c>
      <c r="BE51" s="293">
        <f>Dashboard!$L5*BE$27</f>
        <v>0</v>
      </c>
      <c r="BF51" s="293">
        <f>Dashboard!$L5*BF$27</f>
        <v>0</v>
      </c>
      <c r="BG51" s="293">
        <f>Dashboard!$L5*BG$27</f>
        <v>0</v>
      </c>
      <c r="BH51" s="293">
        <f>Dashboard!$L5*BH$27</f>
        <v>0</v>
      </c>
      <c r="BI51" s="293">
        <f>Dashboard!$L5*BI$27</f>
        <v>0</v>
      </c>
      <c r="BJ51" s="293">
        <f>Dashboard!$L5*BJ$27</f>
        <v>0</v>
      </c>
      <c r="BK51" s="293">
        <f>Dashboard!$L5*BK$27</f>
        <v>0</v>
      </c>
      <c r="BL51" s="293">
        <f>Dashboard!$L5*BL$27</f>
        <v>0</v>
      </c>
      <c r="BM51" s="293">
        <f>Dashboard!$L5*BM$27</f>
        <v>0</v>
      </c>
      <c r="BN51" s="293">
        <f>Dashboard!$L5*BN$27</f>
        <v>0</v>
      </c>
      <c r="BO51" s="293">
        <f>Dashboard!$L5*BO$27</f>
        <v>0</v>
      </c>
      <c r="BP51" s="293">
        <f>Dashboard!$L5*BP$27</f>
        <v>0</v>
      </c>
    </row>
    <row r="52" spans="2:68" ht="12" customHeight="1" outlineLevel="2">
      <c r="B52" s="290" t="s">
        <v>19</v>
      </c>
      <c r="C52" s="291"/>
      <c r="D52" s="292"/>
      <c r="E52" s="293">
        <f>Dashboard!$L6*E$27</f>
        <v>8508.5250633298911</v>
      </c>
      <c r="F52" s="293">
        <f>Dashboard!$L6*F$27</f>
        <v>8508.5250633298911</v>
      </c>
      <c r="G52" s="293">
        <f>Dashboard!$L6*G$27</f>
        <v>8508.5250633298911</v>
      </c>
      <c r="H52" s="293">
        <f>Dashboard!$L6*H$27</f>
        <v>8508.5250633298911</v>
      </c>
      <c r="I52" s="293">
        <f>Dashboard!$L6*I$27</f>
        <v>8508.5250633298911</v>
      </c>
      <c r="J52" s="293">
        <f>Dashboard!$L6*J$27</f>
        <v>8508.5250633298911</v>
      </c>
      <c r="K52" s="293">
        <f>Dashboard!$L6*K$27</f>
        <v>8508.5250633298911</v>
      </c>
      <c r="L52" s="293">
        <f>Dashboard!$L6*L$27</f>
        <v>8508.5250633298911</v>
      </c>
      <c r="M52" s="293">
        <f>Dashboard!$L6*M$27</f>
        <v>8508.5250633298911</v>
      </c>
      <c r="N52" s="293">
        <f>Dashboard!$L6*N$27</f>
        <v>8508.5250633298911</v>
      </c>
      <c r="O52" s="293">
        <f>Dashboard!$L6*O$27</f>
        <v>0</v>
      </c>
      <c r="P52" s="293">
        <f>Dashboard!$L6*P$27</f>
        <v>0</v>
      </c>
      <c r="Q52" s="293">
        <f>Dashboard!$L6*Q$27</f>
        <v>0</v>
      </c>
      <c r="R52" s="293">
        <f>Dashboard!$L6*R$27</f>
        <v>0</v>
      </c>
      <c r="S52" s="293">
        <f>Dashboard!$L6*S$27</f>
        <v>0</v>
      </c>
      <c r="T52" s="293">
        <f>Dashboard!$L6*T$27</f>
        <v>0</v>
      </c>
      <c r="U52" s="293">
        <f>Dashboard!$L6*U$27</f>
        <v>0</v>
      </c>
      <c r="V52" s="293">
        <f>Dashboard!$L6*V$27</f>
        <v>0</v>
      </c>
      <c r="W52" s="293">
        <f>Dashboard!$L6*W$27</f>
        <v>0</v>
      </c>
      <c r="X52" s="293">
        <f>Dashboard!$L6*X$27</f>
        <v>0</v>
      </c>
      <c r="Y52" s="293">
        <f>Dashboard!$L6*Y$27</f>
        <v>0</v>
      </c>
      <c r="Z52" s="293">
        <f>Dashboard!$L6*Z$27</f>
        <v>0</v>
      </c>
      <c r="AA52" s="293">
        <f>Dashboard!$L6*AA$27</f>
        <v>0</v>
      </c>
      <c r="AB52" s="293">
        <f>Dashboard!$L6*AB$27</f>
        <v>0</v>
      </c>
      <c r="AC52" s="293">
        <f>Dashboard!$L6*AC$27</f>
        <v>0</v>
      </c>
      <c r="AD52" s="293">
        <f>Dashboard!$L6*AD$27</f>
        <v>0</v>
      </c>
      <c r="AE52" s="293">
        <f>Dashboard!$L6*AE$27</f>
        <v>0</v>
      </c>
      <c r="AF52" s="293">
        <f>Dashboard!$L6*AF$27</f>
        <v>0</v>
      </c>
      <c r="AG52" s="293">
        <f>Dashboard!$L6*AG$27</f>
        <v>0</v>
      </c>
      <c r="AH52" s="293">
        <f>Dashboard!$L6*AH$27</f>
        <v>0</v>
      </c>
      <c r="AI52" s="293">
        <f>Dashboard!$L6*AI$27</f>
        <v>0</v>
      </c>
      <c r="AJ52" s="293">
        <f>Dashboard!$L6*AJ$27</f>
        <v>0</v>
      </c>
      <c r="AK52" s="293">
        <f>Dashboard!$L6*AK$27</f>
        <v>0</v>
      </c>
      <c r="AL52" s="293">
        <f>Dashboard!$L6*AL$27</f>
        <v>0</v>
      </c>
      <c r="AM52" s="293">
        <f>Dashboard!$L6*AM$27</f>
        <v>0</v>
      </c>
      <c r="AN52" s="293">
        <f>Dashboard!$L6*AN$27</f>
        <v>0</v>
      </c>
      <c r="AO52" s="293">
        <f>Dashboard!$L6*AO$27</f>
        <v>0</v>
      </c>
      <c r="AP52" s="293">
        <f>Dashboard!$L6*AP$27</f>
        <v>0</v>
      </c>
      <c r="AQ52" s="293">
        <f>Dashboard!$L6*AQ$27</f>
        <v>0</v>
      </c>
      <c r="AR52" s="293">
        <f>Dashboard!$L6*AR$27</f>
        <v>0</v>
      </c>
      <c r="AS52" s="293">
        <f>Dashboard!$L6*AS$27</f>
        <v>0</v>
      </c>
      <c r="AT52" s="293">
        <f>Dashboard!$L6*AT$27</f>
        <v>0</v>
      </c>
      <c r="AU52" s="293">
        <f>Dashboard!$L6*AU$27</f>
        <v>0</v>
      </c>
      <c r="AV52" s="293">
        <f>Dashboard!$L6*AV$27</f>
        <v>0</v>
      </c>
      <c r="AW52" s="293">
        <f>Dashboard!$L6*AW$27</f>
        <v>0</v>
      </c>
      <c r="AX52" s="293">
        <f>Dashboard!$L6*AX$27</f>
        <v>0</v>
      </c>
      <c r="AY52" s="293">
        <f>Dashboard!$L6*AY$27</f>
        <v>0</v>
      </c>
      <c r="AZ52" s="293">
        <f>Dashboard!$L6*AZ$27</f>
        <v>0</v>
      </c>
      <c r="BA52" s="293">
        <f>Dashboard!$L6*BA$27</f>
        <v>0</v>
      </c>
      <c r="BB52" s="293">
        <f>Dashboard!$L6*BB$27</f>
        <v>0</v>
      </c>
      <c r="BC52" s="293">
        <f>Dashboard!$L6*BC$27</f>
        <v>0</v>
      </c>
      <c r="BD52" s="293">
        <f>Dashboard!$L6*BD$27</f>
        <v>0</v>
      </c>
      <c r="BE52" s="293">
        <f>Dashboard!$L6*BE$27</f>
        <v>0</v>
      </c>
      <c r="BF52" s="293">
        <f>Dashboard!$L6*BF$27</f>
        <v>0</v>
      </c>
      <c r="BG52" s="293">
        <f>Dashboard!$L6*BG$27</f>
        <v>0</v>
      </c>
      <c r="BH52" s="293">
        <f>Dashboard!$L6*BH$27</f>
        <v>0</v>
      </c>
      <c r="BI52" s="293">
        <f>Dashboard!$L6*BI$27</f>
        <v>0</v>
      </c>
      <c r="BJ52" s="293">
        <f>Dashboard!$L6*BJ$27</f>
        <v>0</v>
      </c>
      <c r="BK52" s="293">
        <f>Dashboard!$L6*BK$27</f>
        <v>0</v>
      </c>
      <c r="BL52" s="293">
        <f>Dashboard!$L6*BL$27</f>
        <v>0</v>
      </c>
      <c r="BM52" s="293">
        <f>Dashboard!$L6*BM$27</f>
        <v>0</v>
      </c>
      <c r="BN52" s="293">
        <f>Dashboard!$L6*BN$27</f>
        <v>0</v>
      </c>
      <c r="BO52" s="293">
        <f>Dashboard!$L6*BO$27</f>
        <v>0</v>
      </c>
      <c r="BP52" s="293">
        <f>Dashboard!$L6*BP$27</f>
        <v>0</v>
      </c>
    </row>
    <row r="53" spans="2:68" ht="12" customHeight="1" outlineLevel="2">
      <c r="B53" s="290" t="s">
        <v>1679</v>
      </c>
      <c r="C53" s="291"/>
      <c r="D53" s="292"/>
      <c r="E53" s="293">
        <f t="shared" ref="E53:AJ53" si="19">SUM(E10:E12)</f>
        <v>4208.5110532827312</v>
      </c>
      <c r="F53" s="293">
        <f t="shared" si="19"/>
        <v>4208.5110532827312</v>
      </c>
      <c r="G53" s="293">
        <f t="shared" si="19"/>
        <v>4208.5110532827312</v>
      </c>
      <c r="H53" s="293">
        <f t="shared" si="19"/>
        <v>4208.5110532827312</v>
      </c>
      <c r="I53" s="293">
        <f t="shared" si="19"/>
        <v>4208.5110532827312</v>
      </c>
      <c r="J53" s="293">
        <f t="shared" si="19"/>
        <v>4208.5110532827312</v>
      </c>
      <c r="K53" s="293">
        <f t="shared" si="19"/>
        <v>4208.5110532827312</v>
      </c>
      <c r="L53" s="293">
        <f t="shared" si="19"/>
        <v>4208.5110532827312</v>
      </c>
      <c r="M53" s="293">
        <f t="shared" si="19"/>
        <v>4208.5110532827312</v>
      </c>
      <c r="N53" s="293">
        <f t="shared" si="19"/>
        <v>46275.851153754302</v>
      </c>
      <c r="O53" s="293">
        <f t="shared" si="19"/>
        <v>0</v>
      </c>
      <c r="P53" s="293">
        <f t="shared" si="19"/>
        <v>0</v>
      </c>
      <c r="Q53" s="293">
        <f t="shared" si="19"/>
        <v>0</v>
      </c>
      <c r="R53" s="293">
        <f t="shared" si="19"/>
        <v>0</v>
      </c>
      <c r="S53" s="293">
        <f t="shared" si="19"/>
        <v>0</v>
      </c>
      <c r="T53" s="293">
        <f t="shared" si="19"/>
        <v>0</v>
      </c>
      <c r="U53" s="293">
        <f t="shared" si="19"/>
        <v>0</v>
      </c>
      <c r="V53" s="293">
        <f t="shared" si="19"/>
        <v>0</v>
      </c>
      <c r="W53" s="293">
        <f t="shared" si="19"/>
        <v>0</v>
      </c>
      <c r="X53" s="293">
        <f t="shared" si="19"/>
        <v>0</v>
      </c>
      <c r="Y53" s="293">
        <f t="shared" si="19"/>
        <v>0</v>
      </c>
      <c r="Z53" s="293">
        <f t="shared" si="19"/>
        <v>0</v>
      </c>
      <c r="AA53" s="293">
        <f t="shared" si="19"/>
        <v>0</v>
      </c>
      <c r="AB53" s="293">
        <f t="shared" si="19"/>
        <v>0</v>
      </c>
      <c r="AC53" s="293">
        <f t="shared" si="19"/>
        <v>0</v>
      </c>
      <c r="AD53" s="293">
        <f t="shared" si="19"/>
        <v>0</v>
      </c>
      <c r="AE53" s="293">
        <f t="shared" si="19"/>
        <v>0</v>
      </c>
      <c r="AF53" s="293">
        <f t="shared" si="19"/>
        <v>0</v>
      </c>
      <c r="AG53" s="293">
        <f t="shared" si="19"/>
        <v>0</v>
      </c>
      <c r="AH53" s="293">
        <f t="shared" si="19"/>
        <v>0</v>
      </c>
      <c r="AI53" s="293">
        <f t="shared" si="19"/>
        <v>0</v>
      </c>
      <c r="AJ53" s="293">
        <f t="shared" si="19"/>
        <v>0</v>
      </c>
      <c r="AK53" s="293">
        <f t="shared" ref="AK53:BP53" si="20">SUM(AK10:AK12)</f>
        <v>0</v>
      </c>
      <c r="AL53" s="293">
        <f t="shared" si="20"/>
        <v>0</v>
      </c>
      <c r="AM53" s="293">
        <f t="shared" si="20"/>
        <v>0</v>
      </c>
      <c r="AN53" s="293">
        <f t="shared" si="20"/>
        <v>0</v>
      </c>
      <c r="AO53" s="293">
        <f t="shared" si="20"/>
        <v>0</v>
      </c>
      <c r="AP53" s="293">
        <f t="shared" si="20"/>
        <v>0</v>
      </c>
      <c r="AQ53" s="293">
        <f t="shared" si="20"/>
        <v>0</v>
      </c>
      <c r="AR53" s="293">
        <f t="shared" si="20"/>
        <v>0</v>
      </c>
      <c r="AS53" s="293">
        <f t="shared" si="20"/>
        <v>0</v>
      </c>
      <c r="AT53" s="293">
        <f t="shared" si="20"/>
        <v>0</v>
      </c>
      <c r="AU53" s="293">
        <f t="shared" si="20"/>
        <v>0</v>
      </c>
      <c r="AV53" s="293">
        <f t="shared" si="20"/>
        <v>0</v>
      </c>
      <c r="AW53" s="293">
        <f t="shared" si="20"/>
        <v>0</v>
      </c>
      <c r="AX53" s="293">
        <f t="shared" si="20"/>
        <v>0</v>
      </c>
      <c r="AY53" s="293">
        <f t="shared" si="20"/>
        <v>0</v>
      </c>
      <c r="AZ53" s="293">
        <f t="shared" si="20"/>
        <v>0</v>
      </c>
      <c r="BA53" s="293">
        <f t="shared" si="20"/>
        <v>0</v>
      </c>
      <c r="BB53" s="293">
        <f t="shared" si="20"/>
        <v>0</v>
      </c>
      <c r="BC53" s="293">
        <f t="shared" si="20"/>
        <v>0</v>
      </c>
      <c r="BD53" s="293">
        <f t="shared" si="20"/>
        <v>0</v>
      </c>
      <c r="BE53" s="293">
        <f t="shared" si="20"/>
        <v>0</v>
      </c>
      <c r="BF53" s="293">
        <f t="shared" si="20"/>
        <v>0</v>
      </c>
      <c r="BG53" s="293">
        <f t="shared" si="20"/>
        <v>0</v>
      </c>
      <c r="BH53" s="293">
        <f t="shared" si="20"/>
        <v>0</v>
      </c>
      <c r="BI53" s="293">
        <f t="shared" si="20"/>
        <v>0</v>
      </c>
      <c r="BJ53" s="293">
        <f t="shared" si="20"/>
        <v>0</v>
      </c>
      <c r="BK53" s="293">
        <f t="shared" si="20"/>
        <v>0</v>
      </c>
      <c r="BL53" s="293">
        <f t="shared" si="20"/>
        <v>0</v>
      </c>
      <c r="BM53" s="293">
        <f t="shared" si="20"/>
        <v>0</v>
      </c>
      <c r="BN53" s="293">
        <f t="shared" si="20"/>
        <v>0</v>
      </c>
      <c r="BO53" s="293">
        <f t="shared" si="20"/>
        <v>0</v>
      </c>
      <c r="BP53" s="293">
        <f t="shared" si="20"/>
        <v>0</v>
      </c>
    </row>
    <row r="54" spans="2:68" ht="12" customHeight="1" outlineLevel="2">
      <c r="B54" s="290" t="s">
        <v>32</v>
      </c>
      <c r="C54" s="291"/>
      <c r="D54" s="292"/>
      <c r="E54" s="293">
        <f>Dashboard!$L8</f>
        <v>0</v>
      </c>
      <c r="F54" s="293">
        <v>0</v>
      </c>
      <c r="G54" s="293">
        <v>0</v>
      </c>
      <c r="H54" s="293">
        <v>0</v>
      </c>
      <c r="I54" s="293">
        <v>0</v>
      </c>
      <c r="J54" s="293">
        <v>0</v>
      </c>
      <c r="K54" s="293">
        <v>0</v>
      </c>
      <c r="L54" s="293">
        <v>0</v>
      </c>
      <c r="M54" s="293">
        <v>0</v>
      </c>
      <c r="N54" s="293">
        <v>0</v>
      </c>
      <c r="O54" s="293">
        <v>0</v>
      </c>
      <c r="P54" s="293">
        <v>0</v>
      </c>
      <c r="Q54" s="293">
        <v>0</v>
      </c>
      <c r="R54" s="293">
        <v>0</v>
      </c>
      <c r="S54" s="293">
        <v>0</v>
      </c>
      <c r="T54" s="293">
        <v>0</v>
      </c>
      <c r="U54" s="293">
        <v>0</v>
      </c>
      <c r="V54" s="293">
        <v>0</v>
      </c>
      <c r="W54" s="293">
        <v>0</v>
      </c>
      <c r="X54" s="293">
        <v>0</v>
      </c>
      <c r="Y54" s="293">
        <v>0</v>
      </c>
      <c r="Z54" s="293">
        <v>0</v>
      </c>
      <c r="AA54" s="293">
        <v>0</v>
      </c>
      <c r="AB54" s="293">
        <v>0</v>
      </c>
      <c r="AC54" s="293">
        <v>0</v>
      </c>
      <c r="AD54" s="293">
        <v>0</v>
      </c>
      <c r="AE54" s="293">
        <v>0</v>
      </c>
      <c r="AF54" s="293">
        <v>0</v>
      </c>
      <c r="AG54" s="293">
        <v>0</v>
      </c>
      <c r="AH54" s="293">
        <v>0</v>
      </c>
      <c r="AI54" s="293">
        <v>0</v>
      </c>
      <c r="AJ54" s="293">
        <v>0</v>
      </c>
      <c r="AK54" s="293">
        <v>0</v>
      </c>
      <c r="AL54" s="293">
        <v>0</v>
      </c>
      <c r="AM54" s="293">
        <v>0</v>
      </c>
      <c r="AN54" s="293">
        <v>0</v>
      </c>
      <c r="AO54" s="293">
        <v>0</v>
      </c>
      <c r="AP54" s="293">
        <v>0</v>
      </c>
      <c r="AQ54" s="293">
        <v>0</v>
      </c>
      <c r="AR54" s="293">
        <v>0</v>
      </c>
      <c r="AS54" s="293">
        <v>0</v>
      </c>
      <c r="AT54" s="293">
        <v>0</v>
      </c>
      <c r="AU54" s="293">
        <v>0</v>
      </c>
      <c r="AV54" s="293">
        <v>0</v>
      </c>
      <c r="AW54" s="293">
        <v>0</v>
      </c>
      <c r="AX54" s="293">
        <v>0</v>
      </c>
      <c r="AY54" s="293">
        <v>0</v>
      </c>
      <c r="AZ54" s="293">
        <v>0</v>
      </c>
      <c r="BA54" s="293">
        <v>0</v>
      </c>
      <c r="BB54" s="293">
        <v>0</v>
      </c>
      <c r="BC54" s="293">
        <v>0</v>
      </c>
      <c r="BD54" s="293">
        <v>0</v>
      </c>
      <c r="BE54" s="293">
        <v>0</v>
      </c>
      <c r="BF54" s="293">
        <v>0</v>
      </c>
      <c r="BG54" s="293">
        <v>0</v>
      </c>
      <c r="BH54" s="293">
        <v>0</v>
      </c>
      <c r="BI54" s="293">
        <v>0</v>
      </c>
      <c r="BJ54" s="293">
        <v>0</v>
      </c>
      <c r="BK54" s="293">
        <v>0</v>
      </c>
      <c r="BL54" s="293">
        <v>0</v>
      </c>
      <c r="BM54" s="293">
        <v>0</v>
      </c>
      <c r="BN54" s="293">
        <v>0</v>
      </c>
      <c r="BO54" s="293">
        <v>0</v>
      </c>
      <c r="BP54" s="293">
        <v>0</v>
      </c>
    </row>
    <row r="55" spans="2:68" ht="12" customHeight="1" outlineLevel="2">
      <c r="B55" s="290" t="s">
        <v>36</v>
      </c>
      <c r="C55" s="291"/>
      <c r="D55" s="292"/>
      <c r="E55" s="293">
        <f>IF(E24=Dashboard!$D$14,Dashboard!$L9,0)</f>
        <v>0</v>
      </c>
      <c r="F55" s="293">
        <f>IF(F24=Dashboard!$D$14,Dashboard!$L9,0)</f>
        <v>0</v>
      </c>
      <c r="G55" s="293">
        <f>IF(G24=Dashboard!$D$14,Dashboard!$L9,0)</f>
        <v>0</v>
      </c>
      <c r="H55" s="293">
        <f>IF(H24=Dashboard!$D$14,Dashboard!$L9,0)</f>
        <v>0</v>
      </c>
      <c r="I55" s="293">
        <f>IF(I24=Dashboard!$D$14,Dashboard!$L9,0)</f>
        <v>0</v>
      </c>
      <c r="J55" s="293">
        <f>IF(J24=Dashboard!$D$14,Dashboard!$L9,0)</f>
        <v>0</v>
      </c>
      <c r="K55" s="293">
        <f>IF(K24=Dashboard!$D$14,Dashboard!$L9,0)</f>
        <v>0</v>
      </c>
      <c r="L55" s="293">
        <f>IF(L24=Dashboard!$D$14,Dashboard!$L9,0)</f>
        <v>0</v>
      </c>
      <c r="M55" s="293">
        <f>IF(M24=Dashboard!$D$14,Dashboard!$L9,0)</f>
        <v>0</v>
      </c>
      <c r="N55" s="293">
        <f>IF(N24=Dashboard!$D$14,Dashboard!$L9,0)</f>
        <v>0</v>
      </c>
      <c r="O55" s="293">
        <f>IF(O24=Dashboard!$D$14,Dashboard!$L9,0)</f>
        <v>0</v>
      </c>
      <c r="P55" s="293">
        <f>IF(P24=Dashboard!$D$14,Dashboard!$L9,0)</f>
        <v>0</v>
      </c>
      <c r="Q55" s="293">
        <f>IF(Q24=Dashboard!$D$14,Dashboard!$L9,0)</f>
        <v>0</v>
      </c>
      <c r="R55" s="293">
        <f>IF(R24=Dashboard!$D$14,Dashboard!$L9,0)</f>
        <v>0</v>
      </c>
      <c r="S55" s="293">
        <f>IF(S24=Dashboard!$D$14,Dashboard!$L9,0)</f>
        <v>0</v>
      </c>
      <c r="T55" s="293">
        <f>IF(T24=Dashboard!$D$14,Dashboard!$L9,0)</f>
        <v>0</v>
      </c>
      <c r="U55" s="293">
        <f>IF(U24=Dashboard!$D$14,Dashboard!$L9,0)</f>
        <v>0</v>
      </c>
      <c r="V55" s="293">
        <f>IF(V24=Dashboard!$D$14,Dashboard!$L9,0)</f>
        <v>0</v>
      </c>
      <c r="W55" s="293">
        <f>IF(W24=Dashboard!$D$14,Dashboard!$L9,0)</f>
        <v>0</v>
      </c>
      <c r="X55" s="293">
        <f>IF(X24=Dashboard!$D$14,Dashboard!$L9,0)</f>
        <v>0</v>
      </c>
      <c r="Y55" s="293">
        <f>IF(Y24=Dashboard!$D$14,Dashboard!$L9,0)</f>
        <v>0</v>
      </c>
      <c r="Z55" s="293">
        <f>IF(Z24=Dashboard!$D$14,Dashboard!$L9,0)</f>
        <v>0</v>
      </c>
      <c r="AA55" s="293">
        <f>IF(AA24=Dashboard!$D$14,Dashboard!$L9,0)</f>
        <v>0</v>
      </c>
      <c r="AB55" s="293">
        <f>IF(AB24=Dashboard!$D$14,Dashboard!$L9,0)</f>
        <v>0</v>
      </c>
      <c r="AC55" s="293">
        <f>IF(AC24=Dashboard!$D$14,Dashboard!$L9,0)</f>
        <v>0</v>
      </c>
      <c r="AD55" s="293">
        <f>IF(AD24=Dashboard!$D$14,Dashboard!$L9,0)</f>
        <v>0</v>
      </c>
      <c r="AE55" s="293">
        <f>IF(AE24=Dashboard!$D$14,Dashboard!$L9,0)</f>
        <v>0</v>
      </c>
      <c r="AF55" s="293">
        <f>IF(AF24=Dashboard!$D$14,Dashboard!$L9,0)</f>
        <v>0</v>
      </c>
      <c r="AG55" s="293">
        <f>IF(AG24=Dashboard!$D$14,Dashboard!$L9,0)</f>
        <v>0</v>
      </c>
      <c r="AH55" s="293">
        <f>IF(AH24=Dashboard!$D$14,Dashboard!$L9,0)</f>
        <v>0</v>
      </c>
      <c r="AI55" s="293">
        <f>IF(AI24=Dashboard!$D$14,Dashboard!$L9,0)</f>
        <v>0</v>
      </c>
      <c r="AJ55" s="293">
        <f>IF(AJ24=Dashboard!$D$14,Dashboard!$L9,0)</f>
        <v>0</v>
      </c>
      <c r="AK55" s="293">
        <f>IF(AK24=Dashboard!$D$14,Dashboard!$L9,0)</f>
        <v>0</v>
      </c>
      <c r="AL55" s="293">
        <f>IF(AL24=Dashboard!$D$14,Dashboard!$L9,0)</f>
        <v>0</v>
      </c>
      <c r="AM55" s="293">
        <f>IF(AM24=Dashboard!$D$14,Dashboard!$L9,0)</f>
        <v>0</v>
      </c>
      <c r="AN55" s="293">
        <f>IF(AN24=Dashboard!$D$14,Dashboard!$L9,0)</f>
        <v>0</v>
      </c>
      <c r="AO55" s="293">
        <f>IF(AO24=Dashboard!$D$14,Dashboard!$L9,0)</f>
        <v>0</v>
      </c>
      <c r="AP55" s="293">
        <f>IF(AP24=Dashboard!$D$14,Dashboard!$L9,0)</f>
        <v>0</v>
      </c>
      <c r="AQ55" s="293">
        <f>IF(AQ24=Dashboard!$D$14,Dashboard!$L9,0)</f>
        <v>0</v>
      </c>
      <c r="AR55" s="293">
        <f>IF(AR24=Dashboard!$D$14,Dashboard!$L9,0)</f>
        <v>0</v>
      </c>
      <c r="AS55" s="293">
        <f>IF(AS24=Dashboard!$D$14,Dashboard!$L9,0)</f>
        <v>0</v>
      </c>
      <c r="AT55" s="293">
        <f>IF(AT24=Dashboard!$D$14,Dashboard!$L9,0)</f>
        <v>0</v>
      </c>
      <c r="AU55" s="293">
        <f>IF(AU24=Dashboard!$D$14,Dashboard!$L9,0)</f>
        <v>0</v>
      </c>
      <c r="AV55" s="293">
        <f>IF(AV24=Dashboard!$D$14,Dashboard!$L9,0)</f>
        <v>0</v>
      </c>
      <c r="AW55" s="293">
        <f>IF(AW24=Dashboard!$D$14,Dashboard!$L9,0)</f>
        <v>0</v>
      </c>
      <c r="AX55" s="293">
        <f>IF(AX24=Dashboard!$D$14,Dashboard!$L9,0)</f>
        <v>0</v>
      </c>
      <c r="AY55" s="293">
        <f>IF(AY24=Dashboard!$D$14,Dashboard!$L9,0)</f>
        <v>0</v>
      </c>
      <c r="AZ55" s="293">
        <f>IF(AZ24=Dashboard!$D$14,Dashboard!$L9,0)</f>
        <v>0</v>
      </c>
      <c r="BA55" s="293">
        <f>IF(BA24=Dashboard!$D$14,Dashboard!$L9,0)</f>
        <v>0</v>
      </c>
      <c r="BB55" s="293">
        <f>IF(BB24=Dashboard!$D$14,Dashboard!$L9,0)</f>
        <v>0</v>
      </c>
      <c r="BC55" s="293">
        <f>IF(BC24=Dashboard!$D$14,Dashboard!$L9,0)</f>
        <v>0</v>
      </c>
      <c r="BD55" s="293">
        <f>IF(BD24=Dashboard!$D$14,Dashboard!$L9,0)</f>
        <v>0</v>
      </c>
      <c r="BE55" s="293">
        <f>IF(BE24=Dashboard!$D$14,Dashboard!$L9,0)</f>
        <v>0</v>
      </c>
      <c r="BF55" s="293">
        <f>IF(BF24=Dashboard!$D$14,Dashboard!$L9,0)</f>
        <v>0</v>
      </c>
      <c r="BG55" s="293">
        <f>IF(BG24=Dashboard!$D$14,Dashboard!$L9,0)</f>
        <v>0</v>
      </c>
      <c r="BH55" s="293">
        <f>IF(BH24=Dashboard!$D$14,Dashboard!$L9,0)</f>
        <v>0</v>
      </c>
      <c r="BI55" s="293">
        <f>IF(BI24=Dashboard!$D$14,Dashboard!$L9,0)</f>
        <v>0</v>
      </c>
      <c r="BJ55" s="293">
        <f>IF(BJ24=Dashboard!$D$14,Dashboard!$L9,0)</f>
        <v>0</v>
      </c>
      <c r="BK55" s="293">
        <f>IF(BK24=Dashboard!$D$14,Dashboard!$L9,0)</f>
        <v>0</v>
      </c>
      <c r="BL55" s="293">
        <f>IF(BL24=Dashboard!$D$14,Dashboard!$L9,0)</f>
        <v>0</v>
      </c>
      <c r="BM55" s="293">
        <f>IF(BM24=Dashboard!$D$14,Dashboard!$L9,0)</f>
        <v>0</v>
      </c>
      <c r="BN55" s="293">
        <f>IF(BN24=Dashboard!$D$14,Dashboard!$L9,0)</f>
        <v>0</v>
      </c>
      <c r="BO55" s="293">
        <f>IF(BO24=Dashboard!$D$14,Dashboard!$L9,0)</f>
        <v>0</v>
      </c>
      <c r="BP55" s="293">
        <f>IF(BP24=Dashboard!$D$14,Dashboard!$L9,0)</f>
        <v>0</v>
      </c>
    </row>
    <row r="56" spans="2:68" ht="12" customHeight="1" outlineLevel="2">
      <c r="B56" s="290" t="s">
        <v>38</v>
      </c>
      <c r="C56" s="291"/>
      <c r="D56" s="292"/>
      <c r="E56" s="293">
        <f t="shared" ref="E56:AJ56" si="21">SUM(E15:E16)</f>
        <v>0</v>
      </c>
      <c r="F56" s="293">
        <f t="shared" si="21"/>
        <v>0</v>
      </c>
      <c r="G56" s="293">
        <f t="shared" si="21"/>
        <v>0</v>
      </c>
      <c r="H56" s="293">
        <f t="shared" si="21"/>
        <v>0</v>
      </c>
      <c r="I56" s="293">
        <f t="shared" si="21"/>
        <v>0</v>
      </c>
      <c r="J56" s="293">
        <f t="shared" si="21"/>
        <v>0</v>
      </c>
      <c r="K56" s="293">
        <f t="shared" si="21"/>
        <v>0</v>
      </c>
      <c r="L56" s="293">
        <f t="shared" si="21"/>
        <v>0</v>
      </c>
      <c r="M56" s="293">
        <f t="shared" si="21"/>
        <v>0</v>
      </c>
      <c r="N56" s="293">
        <f t="shared" si="21"/>
        <v>0</v>
      </c>
      <c r="O56" s="293">
        <f t="shared" si="21"/>
        <v>0</v>
      </c>
      <c r="P56" s="293">
        <f t="shared" si="21"/>
        <v>0</v>
      </c>
      <c r="Q56" s="293">
        <f t="shared" si="21"/>
        <v>0</v>
      </c>
      <c r="R56" s="293">
        <f t="shared" si="21"/>
        <v>0</v>
      </c>
      <c r="S56" s="293">
        <f t="shared" si="21"/>
        <v>0</v>
      </c>
      <c r="T56" s="293">
        <f t="shared" si="21"/>
        <v>0</v>
      </c>
      <c r="U56" s="293">
        <f t="shared" si="21"/>
        <v>0</v>
      </c>
      <c r="V56" s="293">
        <f t="shared" si="21"/>
        <v>0</v>
      </c>
      <c r="W56" s="293">
        <f t="shared" si="21"/>
        <v>0</v>
      </c>
      <c r="X56" s="293">
        <f t="shared" si="21"/>
        <v>0</v>
      </c>
      <c r="Y56" s="293">
        <f t="shared" si="21"/>
        <v>0</v>
      </c>
      <c r="Z56" s="293">
        <f t="shared" si="21"/>
        <v>0</v>
      </c>
      <c r="AA56" s="293">
        <f t="shared" si="21"/>
        <v>0</v>
      </c>
      <c r="AB56" s="293">
        <f t="shared" si="21"/>
        <v>0</v>
      </c>
      <c r="AC56" s="293">
        <f t="shared" si="21"/>
        <v>0</v>
      </c>
      <c r="AD56" s="293">
        <f t="shared" si="21"/>
        <v>0</v>
      </c>
      <c r="AE56" s="293">
        <f t="shared" si="21"/>
        <v>0</v>
      </c>
      <c r="AF56" s="293">
        <f t="shared" si="21"/>
        <v>0</v>
      </c>
      <c r="AG56" s="293">
        <f t="shared" si="21"/>
        <v>0</v>
      </c>
      <c r="AH56" s="293">
        <f t="shared" si="21"/>
        <v>0</v>
      </c>
      <c r="AI56" s="293">
        <f t="shared" si="21"/>
        <v>0</v>
      </c>
      <c r="AJ56" s="293">
        <f t="shared" si="21"/>
        <v>0</v>
      </c>
      <c r="AK56" s="293">
        <f t="shared" ref="AK56:BP56" si="22">SUM(AK15:AK16)</f>
        <v>0</v>
      </c>
      <c r="AL56" s="293">
        <f t="shared" si="22"/>
        <v>0</v>
      </c>
      <c r="AM56" s="293">
        <f t="shared" si="22"/>
        <v>0</v>
      </c>
      <c r="AN56" s="293">
        <f t="shared" si="22"/>
        <v>0</v>
      </c>
      <c r="AO56" s="293">
        <f t="shared" si="22"/>
        <v>0</v>
      </c>
      <c r="AP56" s="293">
        <f t="shared" si="22"/>
        <v>0</v>
      </c>
      <c r="AQ56" s="293">
        <f t="shared" si="22"/>
        <v>0</v>
      </c>
      <c r="AR56" s="293">
        <f t="shared" si="22"/>
        <v>0</v>
      </c>
      <c r="AS56" s="293">
        <f t="shared" si="22"/>
        <v>0</v>
      </c>
      <c r="AT56" s="293">
        <f t="shared" si="22"/>
        <v>0</v>
      </c>
      <c r="AU56" s="293">
        <f t="shared" si="22"/>
        <v>0</v>
      </c>
      <c r="AV56" s="293">
        <f t="shared" si="22"/>
        <v>0</v>
      </c>
      <c r="AW56" s="293">
        <f t="shared" si="22"/>
        <v>0</v>
      </c>
      <c r="AX56" s="293">
        <f t="shared" si="22"/>
        <v>0</v>
      </c>
      <c r="AY56" s="293">
        <f t="shared" si="22"/>
        <v>0</v>
      </c>
      <c r="AZ56" s="293">
        <f t="shared" si="22"/>
        <v>0</v>
      </c>
      <c r="BA56" s="293">
        <f t="shared" si="22"/>
        <v>0</v>
      </c>
      <c r="BB56" s="293">
        <f t="shared" si="22"/>
        <v>0</v>
      </c>
      <c r="BC56" s="293">
        <f t="shared" si="22"/>
        <v>0</v>
      </c>
      <c r="BD56" s="293">
        <f t="shared" si="22"/>
        <v>0</v>
      </c>
      <c r="BE56" s="293">
        <f t="shared" si="22"/>
        <v>0</v>
      </c>
      <c r="BF56" s="293">
        <f t="shared" si="22"/>
        <v>0</v>
      </c>
      <c r="BG56" s="293">
        <f t="shared" si="22"/>
        <v>0</v>
      </c>
      <c r="BH56" s="293">
        <f t="shared" si="22"/>
        <v>0</v>
      </c>
      <c r="BI56" s="293">
        <f t="shared" si="22"/>
        <v>0</v>
      </c>
      <c r="BJ56" s="293">
        <f t="shared" si="22"/>
        <v>0</v>
      </c>
      <c r="BK56" s="293">
        <f t="shared" si="22"/>
        <v>0</v>
      </c>
      <c r="BL56" s="293">
        <f t="shared" si="22"/>
        <v>0</v>
      </c>
      <c r="BM56" s="293">
        <f t="shared" si="22"/>
        <v>0</v>
      </c>
      <c r="BN56" s="293">
        <f t="shared" si="22"/>
        <v>0</v>
      </c>
      <c r="BO56" s="293">
        <f t="shared" si="22"/>
        <v>0</v>
      </c>
      <c r="BP56" s="293">
        <f t="shared" si="22"/>
        <v>0</v>
      </c>
    </row>
    <row r="57" spans="2:68" ht="12" customHeight="1" outlineLevel="2">
      <c r="B57" s="290" t="s">
        <v>41</v>
      </c>
      <c r="C57" s="291"/>
      <c r="D57" s="292"/>
      <c r="E57" s="293">
        <f>Dashboard!$L11*E$27</f>
        <v>6245.5760000000009</v>
      </c>
      <c r="F57" s="293">
        <f>Dashboard!$L11*F$27</f>
        <v>6245.5760000000009</v>
      </c>
      <c r="G57" s="293">
        <f>Dashboard!$L11*G$27</f>
        <v>6245.5760000000009</v>
      </c>
      <c r="H57" s="293">
        <f>Dashboard!$L11*H$27</f>
        <v>6245.5760000000009</v>
      </c>
      <c r="I57" s="293">
        <f>Dashboard!$L11*I$27</f>
        <v>6245.5760000000009</v>
      </c>
      <c r="J57" s="293">
        <f>Dashboard!$L11*J$27</f>
        <v>6245.5760000000009</v>
      </c>
      <c r="K57" s="293">
        <f>Dashboard!$L11*K$27</f>
        <v>6245.5760000000009</v>
      </c>
      <c r="L57" s="293">
        <f>Dashboard!$L11*L$27</f>
        <v>6245.5760000000009</v>
      </c>
      <c r="M57" s="293">
        <f>Dashboard!$L11*M$27</f>
        <v>6245.5760000000009</v>
      </c>
      <c r="N57" s="293">
        <f>Dashboard!$L11*N$27</f>
        <v>6245.5760000000009</v>
      </c>
      <c r="O57" s="293">
        <f>Dashboard!$L11*O$27</f>
        <v>0</v>
      </c>
      <c r="P57" s="293">
        <f>Dashboard!$L11*P$27</f>
        <v>0</v>
      </c>
      <c r="Q57" s="293">
        <f>Dashboard!$L11*Q$27</f>
        <v>0</v>
      </c>
      <c r="R57" s="293">
        <f>Dashboard!$L11*R$27</f>
        <v>0</v>
      </c>
      <c r="S57" s="293">
        <f>Dashboard!$L11*S$27</f>
        <v>0</v>
      </c>
      <c r="T57" s="293">
        <f>Dashboard!$L11*T$27</f>
        <v>0</v>
      </c>
      <c r="U57" s="293">
        <f>Dashboard!$L11*U$27</f>
        <v>0</v>
      </c>
      <c r="V57" s="293">
        <f>Dashboard!$L11*V$27</f>
        <v>0</v>
      </c>
      <c r="W57" s="293">
        <f>Dashboard!$L11*W$27</f>
        <v>0</v>
      </c>
      <c r="X57" s="293">
        <f>Dashboard!$L11*X$27</f>
        <v>0</v>
      </c>
      <c r="Y57" s="293">
        <f>Dashboard!$L11*Y$27</f>
        <v>0</v>
      </c>
      <c r="Z57" s="293">
        <f>Dashboard!$L11*Z$27</f>
        <v>0</v>
      </c>
      <c r="AA57" s="293">
        <f>Dashboard!$L11*AA$27</f>
        <v>0</v>
      </c>
      <c r="AB57" s="293">
        <f>Dashboard!$L11*AB$27</f>
        <v>0</v>
      </c>
      <c r="AC57" s="293">
        <f>Dashboard!$L11*AC$27</f>
        <v>0</v>
      </c>
      <c r="AD57" s="293">
        <f>Dashboard!$L11*AD$27</f>
        <v>0</v>
      </c>
      <c r="AE57" s="293">
        <f>Dashboard!$L11*AE$27</f>
        <v>0</v>
      </c>
      <c r="AF57" s="293">
        <f>Dashboard!$L11*AF$27</f>
        <v>0</v>
      </c>
      <c r="AG57" s="293">
        <f>Dashboard!$L11*AG$27</f>
        <v>0</v>
      </c>
      <c r="AH57" s="293">
        <f>Dashboard!$L11*AH$27</f>
        <v>0</v>
      </c>
      <c r="AI57" s="293">
        <f>Dashboard!$L11*AI$27</f>
        <v>0</v>
      </c>
      <c r="AJ57" s="293">
        <f>Dashboard!$L11*AJ$27</f>
        <v>0</v>
      </c>
      <c r="AK57" s="293">
        <f>Dashboard!$L11*AK$27</f>
        <v>0</v>
      </c>
      <c r="AL57" s="293">
        <f>Dashboard!$L11*AL$27</f>
        <v>0</v>
      </c>
      <c r="AM57" s="293">
        <f>Dashboard!$L11*AM$27</f>
        <v>0</v>
      </c>
      <c r="AN57" s="293">
        <f>Dashboard!$L11*AN$27</f>
        <v>0</v>
      </c>
      <c r="AO57" s="293">
        <f>Dashboard!$L11*AO$27</f>
        <v>0</v>
      </c>
      <c r="AP57" s="293">
        <f>Dashboard!$L11*AP$27</f>
        <v>0</v>
      </c>
      <c r="AQ57" s="293">
        <f>Dashboard!$L11*AQ$27</f>
        <v>0</v>
      </c>
      <c r="AR57" s="293">
        <f>Dashboard!$L11*AR$27</f>
        <v>0</v>
      </c>
      <c r="AS57" s="293">
        <f>Dashboard!$L11*AS$27</f>
        <v>0</v>
      </c>
      <c r="AT57" s="293">
        <f>Dashboard!$L11*AT$27</f>
        <v>0</v>
      </c>
      <c r="AU57" s="293">
        <f>Dashboard!$L11*AU$27</f>
        <v>0</v>
      </c>
      <c r="AV57" s="293">
        <f>Dashboard!$L11*AV$27</f>
        <v>0</v>
      </c>
      <c r="AW57" s="293">
        <f>Dashboard!$L11*AW$27</f>
        <v>0</v>
      </c>
      <c r="AX57" s="293">
        <f>Dashboard!$L11*AX$27</f>
        <v>0</v>
      </c>
      <c r="AY57" s="293">
        <f>Dashboard!$L11*AY$27</f>
        <v>0</v>
      </c>
      <c r="AZ57" s="293">
        <f>Dashboard!$L11*AZ$27</f>
        <v>0</v>
      </c>
      <c r="BA57" s="293">
        <f>Dashboard!$L11*BA$27</f>
        <v>0</v>
      </c>
      <c r="BB57" s="293">
        <f>Dashboard!$L11*BB$27</f>
        <v>0</v>
      </c>
      <c r="BC57" s="293">
        <f>Dashboard!$L11*BC$27</f>
        <v>0</v>
      </c>
      <c r="BD57" s="293">
        <f>Dashboard!$L11*BD$27</f>
        <v>0</v>
      </c>
      <c r="BE57" s="293">
        <f>Dashboard!$L11*BE$27</f>
        <v>0</v>
      </c>
      <c r="BF57" s="293">
        <f>Dashboard!$L11*BF$27</f>
        <v>0</v>
      </c>
      <c r="BG57" s="293">
        <f>Dashboard!$L11*BG$27</f>
        <v>0</v>
      </c>
      <c r="BH57" s="293">
        <f>Dashboard!$L11*BH$27</f>
        <v>0</v>
      </c>
      <c r="BI57" s="293">
        <f>Dashboard!$L11*BI$27</f>
        <v>0</v>
      </c>
      <c r="BJ57" s="293">
        <f>Dashboard!$L11*BJ$27</f>
        <v>0</v>
      </c>
      <c r="BK57" s="293">
        <f>Dashboard!$L11*BK$27</f>
        <v>0</v>
      </c>
      <c r="BL57" s="293">
        <f>Dashboard!$L11*BL$27</f>
        <v>0</v>
      </c>
      <c r="BM57" s="293">
        <f>Dashboard!$L11*BM$27</f>
        <v>0</v>
      </c>
      <c r="BN57" s="293">
        <f>Dashboard!$L11*BN$27</f>
        <v>0</v>
      </c>
      <c r="BO57" s="293">
        <f>Dashboard!$L11*BO$27</f>
        <v>0</v>
      </c>
      <c r="BP57" s="293">
        <f>Dashboard!$L11*BP$27</f>
        <v>0</v>
      </c>
    </row>
    <row r="58" spans="2:68" ht="12" customHeight="1" outlineLevel="2">
      <c r="B58" s="290" t="s">
        <v>42</v>
      </c>
      <c r="C58" s="291"/>
      <c r="D58" s="292"/>
      <c r="E58" s="293">
        <f>(Dashboard!$L12*0.6)+IF(E35=1,0,Dashboard!$L12*0.4*E$27)</f>
        <v>2348.9999999999995</v>
      </c>
      <c r="F58" s="293">
        <f>(Dashboard!$L12*0.6)+IF(F35=1,0,Dashboard!$L12*0.4*F$27)</f>
        <v>2505.5999999999995</v>
      </c>
      <c r="G58" s="293">
        <f>(Dashboard!$L12*0.6)+IF(G35=1,0,Dashboard!$L12*0.4*G$27)</f>
        <v>2505.5999999999995</v>
      </c>
      <c r="H58" s="293">
        <f>(Dashboard!$L12*0.6)+IF(H35=1,0,Dashboard!$L12*0.4*H$27)</f>
        <v>2505.5999999999995</v>
      </c>
      <c r="I58" s="293">
        <f>(Dashboard!$L12*0.6)+IF(I35=1,0,Dashboard!$L12*0.4*I$27)</f>
        <v>2505.5999999999995</v>
      </c>
      <c r="J58" s="293">
        <f>(Dashboard!$L12*0.6)+IF(J35=1,0,Dashboard!$L12*0.4*J$27)</f>
        <v>2505.5999999999995</v>
      </c>
      <c r="K58" s="293">
        <f>(Dashboard!$L12*0.6)+IF(K35=1,0,Dashboard!$L12*0.4*K$27)</f>
        <v>2505.5999999999995</v>
      </c>
      <c r="L58" s="293">
        <f>(Dashboard!$L12*0.6)+IF(L35=1,0,Dashboard!$L12*0.4*L$27)</f>
        <v>2505.5999999999995</v>
      </c>
      <c r="M58" s="293">
        <f>(Dashboard!$L12*0.6)+IF(M35=1,0,Dashboard!$L12*0.4*M$27)</f>
        <v>2505.5999999999995</v>
      </c>
      <c r="N58" s="293">
        <f>(Dashboard!$L12*0.6)+IF(N35=1,0,Dashboard!$L12*0.4*N$27)</f>
        <v>2505.5999999999995</v>
      </c>
      <c r="O58" s="293">
        <f>(Dashboard!$L12*0.6)+IF(O35=1,0,Dashboard!$L12*0.4*O$27)</f>
        <v>2348.9999999999995</v>
      </c>
      <c r="P58" s="293">
        <f>(Dashboard!$L12*0.6)+IF(P35=1,0,Dashboard!$L12*0.4*P$27)</f>
        <v>2348.9999999999995</v>
      </c>
      <c r="Q58" s="293">
        <f>(Dashboard!$L12*0.6)+IF(Q35=1,0,Dashboard!$L12*0.4*Q$27)</f>
        <v>2348.9999999999995</v>
      </c>
      <c r="R58" s="293">
        <f>(Dashboard!$L12*0.6)+IF(R35=1,0,Dashboard!$L12*0.4*R$27)</f>
        <v>2348.9999999999995</v>
      </c>
      <c r="S58" s="293">
        <f>(Dashboard!$L12*0.6)+IF(S35=1,0,Dashboard!$L12*0.4*S$27)</f>
        <v>2348.9999999999995</v>
      </c>
      <c r="T58" s="293">
        <f>(Dashboard!$L12*0.6)+IF(T35=1,0,Dashboard!$L12*0.4*T$27)</f>
        <v>2348.9999999999995</v>
      </c>
      <c r="U58" s="293">
        <f>(Dashboard!$L12*0.6)+IF(U35=1,0,Dashboard!$L12*0.4*U$27)</f>
        <v>2348.9999999999995</v>
      </c>
      <c r="V58" s="293">
        <f>(Dashboard!$L12*0.6)+IF(V35=1,0,Dashboard!$L12*0.4*V$27)</f>
        <v>2348.9999999999995</v>
      </c>
      <c r="W58" s="293">
        <f>(Dashboard!$L12*0.6)+IF(W35=1,0,Dashboard!$L12*0.4*W$27)</f>
        <v>2348.9999999999995</v>
      </c>
      <c r="X58" s="293">
        <f>(Dashboard!$L12*0.6)+IF(X35=1,0,Dashboard!$L12*0.4*X$27)</f>
        <v>2348.9999999999995</v>
      </c>
      <c r="Y58" s="293">
        <f>(Dashboard!$L12*0.6)+IF(Y35=1,0,Dashboard!$L12*0.4*Y$27)</f>
        <v>2348.9999999999995</v>
      </c>
      <c r="Z58" s="293">
        <f>(Dashboard!$L12*0.6)+IF(Z35=1,0,Dashboard!$L12*0.4*Z$27)</f>
        <v>2348.9999999999995</v>
      </c>
      <c r="AA58" s="293">
        <f>(Dashboard!$L12*0.6)+IF(AA35=1,0,Dashboard!$L12*0.4*AA$27)</f>
        <v>2348.9999999999995</v>
      </c>
      <c r="AB58" s="293">
        <f>(Dashboard!$L12*0.6)+IF(AB35=1,0,Dashboard!$L12*0.4*AB$27)</f>
        <v>2348.9999999999995</v>
      </c>
      <c r="AC58" s="293">
        <f>(Dashboard!$L12*0.6)+IF(AC35=1,0,Dashboard!$L12*0.4*AC$27)</f>
        <v>2348.9999999999995</v>
      </c>
      <c r="AD58" s="293">
        <f>(Dashboard!$L12*0.6)+IF(AD35=1,0,Dashboard!$L12*0.4*AD$27)</f>
        <v>2348.9999999999995</v>
      </c>
      <c r="AE58" s="293">
        <f>(Dashboard!$L12*0.6)+IF(AE35=1,0,Dashboard!$L12*0.4*AE$27)</f>
        <v>2348.9999999999995</v>
      </c>
      <c r="AF58" s="293">
        <f>(Dashboard!$L12*0.6)+IF(AF35=1,0,Dashboard!$L12*0.4*AF$27)</f>
        <v>2348.9999999999995</v>
      </c>
      <c r="AG58" s="293">
        <f>(Dashboard!$L12*0.6)+IF(AG35=1,0,Dashboard!$L12*0.4*AG$27)</f>
        <v>2348.9999999999995</v>
      </c>
      <c r="AH58" s="293">
        <f>(Dashboard!$L12*0.6)+IF(AH35=1,0,Dashboard!$L12*0.4*AH$27)</f>
        <v>2348.9999999999995</v>
      </c>
      <c r="AI58" s="293">
        <f>(Dashboard!$L12*0.6)+IF(AI35=1,0,Dashboard!$L12*0.4*AI$27)</f>
        <v>2348.9999999999995</v>
      </c>
      <c r="AJ58" s="293">
        <f>(Dashboard!$L12*0.6)+IF(AJ35=1,0,Dashboard!$L12*0.4*AJ$27)</f>
        <v>2348.9999999999995</v>
      </c>
      <c r="AK58" s="293">
        <f>(Dashboard!$L12*0.6)+IF(AK35=1,0,Dashboard!$L12*0.4*AK$27)</f>
        <v>2348.9999999999995</v>
      </c>
      <c r="AL58" s="293">
        <f>(Dashboard!$L12*0.6)+IF(AL35=1,0,Dashboard!$L12*0.4*AL$27)</f>
        <v>2348.9999999999995</v>
      </c>
      <c r="AM58" s="293">
        <f>(Dashboard!$L12*0.6)+IF(AM35=1,0,Dashboard!$L12*0.4*AM$27)</f>
        <v>2348.9999999999995</v>
      </c>
      <c r="AN58" s="293">
        <f>(Dashboard!$L12*0.6)+IF(AN35=1,0,Dashboard!$L12*0.4*AN$27)</f>
        <v>2348.9999999999995</v>
      </c>
      <c r="AO58" s="293">
        <f>(Dashboard!$L12*0.6)+IF(AO35=1,0,Dashboard!$L12*0.4*AO$27)</f>
        <v>2348.9999999999995</v>
      </c>
      <c r="AP58" s="293">
        <f>(Dashboard!$L12*0.6)+IF(AP35=1,0,Dashboard!$L12*0.4*AP$27)</f>
        <v>2348.9999999999995</v>
      </c>
      <c r="AQ58" s="293">
        <f>(Dashboard!$L12*0.6)+IF(AQ35=1,0,Dashboard!$L12*0.4*AQ$27)</f>
        <v>2348.9999999999995</v>
      </c>
      <c r="AR58" s="293">
        <f>(Dashboard!$L12*0.6)+IF(AR35=1,0,Dashboard!$L12*0.4*AR$27)</f>
        <v>2348.9999999999995</v>
      </c>
      <c r="AS58" s="293">
        <f>(Dashboard!$L12*0.6)+IF(AS35=1,0,Dashboard!$L12*0.4*AS$27)</f>
        <v>2348.9999999999995</v>
      </c>
      <c r="AT58" s="293">
        <f>(Dashboard!$L12*0.6)+IF(AT35=1,0,Dashboard!$L12*0.4*AT$27)</f>
        <v>2348.9999999999995</v>
      </c>
      <c r="AU58" s="293">
        <f>(Dashboard!$L12*0.6)+IF(AU35=1,0,Dashboard!$L12*0.4*AU$27)</f>
        <v>2348.9999999999995</v>
      </c>
      <c r="AV58" s="293">
        <f>(Dashboard!$L12*0.6)+IF(AV35=1,0,Dashboard!$L12*0.4*AV$27)</f>
        <v>2348.9999999999995</v>
      </c>
      <c r="AW58" s="293">
        <f>(Dashboard!$L12*0.6)+IF(AW35=1,0,Dashboard!$L12*0.4*AW$27)</f>
        <v>2348.9999999999995</v>
      </c>
      <c r="AX58" s="293">
        <f>(Dashboard!$L12*0.6)+IF(AX35=1,0,Dashboard!$L12*0.4*AX$27)</f>
        <v>2348.9999999999995</v>
      </c>
      <c r="AY58" s="293">
        <f>(Dashboard!$L12*0.6)+IF(AY35=1,0,Dashboard!$L12*0.4*AY$27)</f>
        <v>2348.9999999999995</v>
      </c>
      <c r="AZ58" s="293">
        <f>(Dashboard!$L12*0.6)+IF(AZ35=1,0,Dashboard!$L12*0.4*AZ$27)</f>
        <v>2348.9999999999995</v>
      </c>
      <c r="BA58" s="293">
        <f>(Dashboard!$L12*0.6)+IF(BA35=1,0,Dashboard!$L12*0.4*BA$27)</f>
        <v>2348.9999999999995</v>
      </c>
      <c r="BB58" s="293">
        <f>(Dashboard!$L12*0.6)+IF(BB35=1,0,Dashboard!$L12*0.4*BB$27)</f>
        <v>2348.9999999999995</v>
      </c>
      <c r="BC58" s="293">
        <f>(Dashboard!$L12*0.6)+IF(BC35=1,0,Dashboard!$L12*0.4*BC$27)</f>
        <v>2348.9999999999995</v>
      </c>
      <c r="BD58" s="293">
        <f>(Dashboard!$L12*0.6)+IF(BD35=1,0,Dashboard!$L12*0.4*BD$27)</f>
        <v>2348.9999999999995</v>
      </c>
      <c r="BE58" s="293">
        <f>(Dashboard!$L12*0.6)+IF(BE35=1,0,Dashboard!$L12*0.4*BE$27)</f>
        <v>2348.9999999999995</v>
      </c>
      <c r="BF58" s="293">
        <f>(Dashboard!$L12*0.6)+IF(BF35=1,0,Dashboard!$L12*0.4*BF$27)</f>
        <v>2348.9999999999995</v>
      </c>
      <c r="BG58" s="293">
        <f>(Dashboard!$L12*0.6)+IF(BG35=1,0,Dashboard!$L12*0.4*BG$27)</f>
        <v>2348.9999999999995</v>
      </c>
      <c r="BH58" s="293">
        <f>(Dashboard!$L12*0.6)+IF(BH35=1,0,Dashboard!$L12*0.4*BH$27)</f>
        <v>2348.9999999999995</v>
      </c>
      <c r="BI58" s="293">
        <f>(Dashboard!$L12*0.6)+IF(BI35=1,0,Dashboard!$L12*0.4*BI$27)</f>
        <v>2348.9999999999995</v>
      </c>
      <c r="BJ58" s="293">
        <f>(Dashboard!$L12*0.6)+IF(BJ35=1,0,Dashboard!$L12*0.4*BJ$27)</f>
        <v>2348.9999999999995</v>
      </c>
      <c r="BK58" s="293">
        <f>(Dashboard!$L12*0.6)+IF(BK35=1,0,Dashboard!$L12*0.4*BK$27)</f>
        <v>2348.9999999999995</v>
      </c>
      <c r="BL58" s="293">
        <f>(Dashboard!$L12*0.6)+IF(BL35=1,0,Dashboard!$L12*0.4*BL$27)</f>
        <v>2348.9999999999995</v>
      </c>
      <c r="BM58" s="293">
        <f>(Dashboard!$L12*0.6)+IF(BM35=1,0,Dashboard!$L12*0.4*BM$27)</f>
        <v>2348.9999999999995</v>
      </c>
      <c r="BN58" s="293">
        <f>(Dashboard!$L12*0.6)+IF(BN35=1,0,Dashboard!$L12*0.4*BN$27)</f>
        <v>2348.9999999999995</v>
      </c>
      <c r="BO58" s="293">
        <f>(Dashboard!$L12*0.6)+IF(BO35=1,0,Dashboard!$L12*0.4*BO$27)</f>
        <v>2348.9999999999995</v>
      </c>
      <c r="BP58" s="293">
        <f>(Dashboard!$L12*0.6)+IF(BP35=1,0,Dashboard!$L12*0.4*BP$27)</f>
        <v>2348.9999999999995</v>
      </c>
    </row>
    <row r="59" spans="2:68" ht="12" customHeight="1" outlineLevel="2">
      <c r="B59" s="290" t="s">
        <v>48</v>
      </c>
      <c r="C59" s="291"/>
      <c r="D59" s="292"/>
      <c r="E59" s="293">
        <f>Dashboard!$L13*E$27</f>
        <v>1414.2383583333337</v>
      </c>
      <c r="F59" s="293">
        <f>Dashboard!$L13*F$27</f>
        <v>1414.2383583333337</v>
      </c>
      <c r="G59" s="293">
        <f>Dashboard!$L13*G$27</f>
        <v>1414.2383583333337</v>
      </c>
      <c r="H59" s="293">
        <f>Dashboard!$L13*H$27</f>
        <v>1414.2383583333337</v>
      </c>
      <c r="I59" s="293">
        <f>Dashboard!$L13*I$27</f>
        <v>1414.2383583333337</v>
      </c>
      <c r="J59" s="293">
        <f>Dashboard!$L13*J$27</f>
        <v>1414.2383583333337</v>
      </c>
      <c r="K59" s="293">
        <f>Dashboard!$L13*K$27</f>
        <v>1414.2383583333337</v>
      </c>
      <c r="L59" s="293">
        <f>Dashboard!$L13*L$27</f>
        <v>1414.2383583333337</v>
      </c>
      <c r="M59" s="293">
        <f>Dashboard!$L13*M$27</f>
        <v>1414.2383583333337</v>
      </c>
      <c r="N59" s="293">
        <f>Dashboard!$L13*N$27</f>
        <v>1414.2383583333337</v>
      </c>
      <c r="O59" s="293">
        <f>Dashboard!$L13*O$27</f>
        <v>0</v>
      </c>
      <c r="P59" s="293">
        <f>Dashboard!$L13*P$27</f>
        <v>0</v>
      </c>
      <c r="Q59" s="293">
        <f>Dashboard!$L13*Q$27</f>
        <v>0</v>
      </c>
      <c r="R59" s="293">
        <f>Dashboard!$L13*R$27</f>
        <v>0</v>
      </c>
      <c r="S59" s="293">
        <f>Dashboard!$L13*S$27</f>
        <v>0</v>
      </c>
      <c r="T59" s="293">
        <f>Dashboard!$L13*T$27</f>
        <v>0</v>
      </c>
      <c r="U59" s="293">
        <f>Dashboard!$L13*U$27</f>
        <v>0</v>
      </c>
      <c r="V59" s="293">
        <f>Dashboard!$L13*V$27</f>
        <v>0</v>
      </c>
      <c r="W59" s="293">
        <f>Dashboard!$L13*W$27</f>
        <v>0</v>
      </c>
      <c r="X59" s="293">
        <f>Dashboard!$L13*X$27</f>
        <v>0</v>
      </c>
      <c r="Y59" s="293">
        <f>Dashboard!$L13*Y$27</f>
        <v>0</v>
      </c>
      <c r="Z59" s="293">
        <f>Dashboard!$L13*Z$27</f>
        <v>0</v>
      </c>
      <c r="AA59" s="293">
        <f>Dashboard!$L13*AA$27</f>
        <v>0</v>
      </c>
      <c r="AB59" s="293">
        <f>Dashboard!$L13*AB$27</f>
        <v>0</v>
      </c>
      <c r="AC59" s="293">
        <f>Dashboard!$L13*AC$27</f>
        <v>0</v>
      </c>
      <c r="AD59" s="293">
        <f>Dashboard!$L13*AD$27</f>
        <v>0</v>
      </c>
      <c r="AE59" s="293">
        <f>Dashboard!$L13*AE$27</f>
        <v>0</v>
      </c>
      <c r="AF59" s="293">
        <f>Dashboard!$L13*AF$27</f>
        <v>0</v>
      </c>
      <c r="AG59" s="293">
        <f>Dashboard!$L13*AG$27</f>
        <v>0</v>
      </c>
      <c r="AH59" s="293">
        <f>Dashboard!$L13*AH$27</f>
        <v>0</v>
      </c>
      <c r="AI59" s="293">
        <f>Dashboard!$L13*AI$27</f>
        <v>0</v>
      </c>
      <c r="AJ59" s="293">
        <f>Dashboard!$L13*AJ$27</f>
        <v>0</v>
      </c>
      <c r="AK59" s="293">
        <f>Dashboard!$L13*AK$27</f>
        <v>0</v>
      </c>
      <c r="AL59" s="293">
        <f>Dashboard!$L13*AL$27</f>
        <v>0</v>
      </c>
      <c r="AM59" s="293">
        <f>Dashboard!$L13*AM$27</f>
        <v>0</v>
      </c>
      <c r="AN59" s="293">
        <f>Dashboard!$L13*AN$27</f>
        <v>0</v>
      </c>
      <c r="AO59" s="293">
        <f>Dashboard!$L13*AO$27</f>
        <v>0</v>
      </c>
      <c r="AP59" s="293">
        <f>Dashboard!$L13*AP$27</f>
        <v>0</v>
      </c>
      <c r="AQ59" s="293">
        <f>Dashboard!$L13*AQ$27</f>
        <v>0</v>
      </c>
      <c r="AR59" s="293">
        <f>Dashboard!$L13*AR$27</f>
        <v>0</v>
      </c>
      <c r="AS59" s="293">
        <f>Dashboard!$L13*AS$27</f>
        <v>0</v>
      </c>
      <c r="AT59" s="293">
        <f>Dashboard!$L13*AT$27</f>
        <v>0</v>
      </c>
      <c r="AU59" s="293">
        <f>Dashboard!$L13*AU$27</f>
        <v>0</v>
      </c>
      <c r="AV59" s="293">
        <f>Dashboard!$L13*AV$27</f>
        <v>0</v>
      </c>
      <c r="AW59" s="293">
        <f>Dashboard!$L13*AW$27</f>
        <v>0</v>
      </c>
      <c r="AX59" s="293">
        <f>Dashboard!$L13*AX$27</f>
        <v>0</v>
      </c>
      <c r="AY59" s="293">
        <f>Dashboard!$L13*AY$27</f>
        <v>0</v>
      </c>
      <c r="AZ59" s="293">
        <f>Dashboard!$L13*AZ$27</f>
        <v>0</v>
      </c>
      <c r="BA59" s="293">
        <f>Dashboard!$L13*BA$27</f>
        <v>0</v>
      </c>
      <c r="BB59" s="293">
        <f>Dashboard!$L13*BB$27</f>
        <v>0</v>
      </c>
      <c r="BC59" s="293">
        <f>Dashboard!$L13*BC$27</f>
        <v>0</v>
      </c>
      <c r="BD59" s="293">
        <f>Dashboard!$L13*BD$27</f>
        <v>0</v>
      </c>
      <c r="BE59" s="293">
        <f>Dashboard!$L13*BE$27</f>
        <v>0</v>
      </c>
      <c r="BF59" s="293">
        <f>Dashboard!$L13*BF$27</f>
        <v>0</v>
      </c>
      <c r="BG59" s="293">
        <f>Dashboard!$L13*BG$27</f>
        <v>0</v>
      </c>
      <c r="BH59" s="293">
        <f>Dashboard!$L13*BH$27</f>
        <v>0</v>
      </c>
      <c r="BI59" s="293">
        <f>Dashboard!$L13*BI$27</f>
        <v>0</v>
      </c>
      <c r="BJ59" s="293">
        <f>Dashboard!$L13*BJ$27</f>
        <v>0</v>
      </c>
      <c r="BK59" s="293">
        <f>Dashboard!$L13*BK$27</f>
        <v>0</v>
      </c>
      <c r="BL59" s="293">
        <f>Dashboard!$L13*BL$27</f>
        <v>0</v>
      </c>
      <c r="BM59" s="293">
        <f>Dashboard!$L13*BM$27</f>
        <v>0</v>
      </c>
      <c r="BN59" s="293">
        <f>Dashboard!$L13*BN$27</f>
        <v>0</v>
      </c>
      <c r="BO59" s="293">
        <f>Dashboard!$L13*BO$27</f>
        <v>0</v>
      </c>
      <c r="BP59" s="293">
        <f>Dashboard!$L13*BP$27</f>
        <v>0</v>
      </c>
    </row>
    <row r="60" spans="2:68" ht="12" customHeight="1" outlineLevel="2">
      <c r="B60" s="290" t="s">
        <v>51</v>
      </c>
      <c r="C60" s="291"/>
      <c r="D60" s="292"/>
      <c r="E60" s="293">
        <f>Dashboard!$L14*E$27</f>
        <v>246.45833333333317</v>
      </c>
      <c r="F60" s="293">
        <f>Dashboard!$L14*F$27</f>
        <v>246.45833333333317</v>
      </c>
      <c r="G60" s="293">
        <f>Dashboard!$L14*G$27</f>
        <v>246.45833333333317</v>
      </c>
      <c r="H60" s="293">
        <f>Dashboard!$L14*H$27</f>
        <v>246.45833333333317</v>
      </c>
      <c r="I60" s="293">
        <f>Dashboard!$L14*I$27</f>
        <v>246.45833333333317</v>
      </c>
      <c r="J60" s="293">
        <f>Dashboard!$L14*J$27</f>
        <v>246.45833333333317</v>
      </c>
      <c r="K60" s="293">
        <f>Dashboard!$L14*K$27</f>
        <v>246.45833333333317</v>
      </c>
      <c r="L60" s="293">
        <f>Dashboard!$L14*L$27</f>
        <v>246.45833333333317</v>
      </c>
      <c r="M60" s="293">
        <f>Dashboard!$L14*M$27</f>
        <v>246.45833333333317</v>
      </c>
      <c r="N60" s="293">
        <f>Dashboard!$L14*N$27</f>
        <v>246.45833333333317</v>
      </c>
      <c r="O60" s="293">
        <f>Dashboard!$L14*O$27</f>
        <v>0</v>
      </c>
      <c r="P60" s="293">
        <f>Dashboard!$L14*P$27</f>
        <v>0</v>
      </c>
      <c r="Q60" s="293">
        <f>Dashboard!$L14*Q$27</f>
        <v>0</v>
      </c>
      <c r="R60" s="293">
        <f>Dashboard!$L14*R$27</f>
        <v>0</v>
      </c>
      <c r="S60" s="293">
        <f>Dashboard!$L14*S$27</f>
        <v>0</v>
      </c>
      <c r="T60" s="293">
        <f>Dashboard!$L14*T$27</f>
        <v>0</v>
      </c>
      <c r="U60" s="293">
        <f>Dashboard!$L14*U$27</f>
        <v>0</v>
      </c>
      <c r="V60" s="293">
        <f>Dashboard!$L14*V$27</f>
        <v>0</v>
      </c>
      <c r="W60" s="293">
        <f>Dashboard!$L14*W$27</f>
        <v>0</v>
      </c>
      <c r="X60" s="293">
        <f>Dashboard!$L14*X$27</f>
        <v>0</v>
      </c>
      <c r="Y60" s="293">
        <f>Dashboard!$L14*Y$27</f>
        <v>0</v>
      </c>
      <c r="Z60" s="293">
        <f>Dashboard!$L14*Z$27</f>
        <v>0</v>
      </c>
      <c r="AA60" s="293">
        <f>Dashboard!$L14*AA$27</f>
        <v>0</v>
      </c>
      <c r="AB60" s="293">
        <f>Dashboard!$L14*AB$27</f>
        <v>0</v>
      </c>
      <c r="AC60" s="293">
        <f>Dashboard!$L14*AC$27</f>
        <v>0</v>
      </c>
      <c r="AD60" s="293">
        <f>Dashboard!$L14*AD$27</f>
        <v>0</v>
      </c>
      <c r="AE60" s="293">
        <f>Dashboard!$L14*AE$27</f>
        <v>0</v>
      </c>
      <c r="AF60" s="293">
        <f>Dashboard!$L14*AF$27</f>
        <v>0</v>
      </c>
      <c r="AG60" s="293">
        <f>Dashboard!$L14*AG$27</f>
        <v>0</v>
      </c>
      <c r="AH60" s="293">
        <f>Dashboard!$L14*AH$27</f>
        <v>0</v>
      </c>
      <c r="AI60" s="293">
        <f>Dashboard!$L14*AI$27</f>
        <v>0</v>
      </c>
      <c r="AJ60" s="293">
        <f>Dashboard!$L14*AJ$27</f>
        <v>0</v>
      </c>
      <c r="AK60" s="293">
        <f>Dashboard!$L14*AK$27</f>
        <v>0</v>
      </c>
      <c r="AL60" s="293">
        <f>Dashboard!$L14*AL$27</f>
        <v>0</v>
      </c>
      <c r="AM60" s="293">
        <f>Dashboard!$L14*AM$27</f>
        <v>0</v>
      </c>
      <c r="AN60" s="293">
        <f>Dashboard!$L14*AN$27</f>
        <v>0</v>
      </c>
      <c r="AO60" s="293">
        <f>Dashboard!$L14*AO$27</f>
        <v>0</v>
      </c>
      <c r="AP60" s="293">
        <f>Dashboard!$L14*AP$27</f>
        <v>0</v>
      </c>
      <c r="AQ60" s="293">
        <f>Dashboard!$L14*AQ$27</f>
        <v>0</v>
      </c>
      <c r="AR60" s="293">
        <f>Dashboard!$L14*AR$27</f>
        <v>0</v>
      </c>
      <c r="AS60" s="293">
        <f>Dashboard!$L14*AS$27</f>
        <v>0</v>
      </c>
      <c r="AT60" s="293">
        <f>Dashboard!$L14*AT$27</f>
        <v>0</v>
      </c>
      <c r="AU60" s="293">
        <f>Dashboard!$L14*AU$27</f>
        <v>0</v>
      </c>
      <c r="AV60" s="293">
        <f>Dashboard!$L14*AV$27</f>
        <v>0</v>
      </c>
      <c r="AW60" s="293">
        <f>Dashboard!$L14*AW$27</f>
        <v>0</v>
      </c>
      <c r="AX60" s="293">
        <f>Dashboard!$L14*AX$27</f>
        <v>0</v>
      </c>
      <c r="AY60" s="293">
        <f>Dashboard!$L14*AY$27</f>
        <v>0</v>
      </c>
      <c r="AZ60" s="293">
        <f>Dashboard!$L14*AZ$27</f>
        <v>0</v>
      </c>
      <c r="BA60" s="293">
        <f>Dashboard!$L14*BA$27</f>
        <v>0</v>
      </c>
      <c r="BB60" s="293">
        <f>Dashboard!$L14*BB$27</f>
        <v>0</v>
      </c>
      <c r="BC60" s="293">
        <f>Dashboard!$L14*BC$27</f>
        <v>0</v>
      </c>
      <c r="BD60" s="293">
        <f>Dashboard!$L14*BD$27</f>
        <v>0</v>
      </c>
      <c r="BE60" s="293">
        <f>Dashboard!$L14*BE$27</f>
        <v>0</v>
      </c>
      <c r="BF60" s="293">
        <f>Dashboard!$L14*BF$27</f>
        <v>0</v>
      </c>
      <c r="BG60" s="293">
        <f>Dashboard!$L14*BG$27</f>
        <v>0</v>
      </c>
      <c r="BH60" s="293">
        <f>Dashboard!$L14*BH$27</f>
        <v>0</v>
      </c>
      <c r="BI60" s="293">
        <f>Dashboard!$L14*BI$27</f>
        <v>0</v>
      </c>
      <c r="BJ60" s="293">
        <f>Dashboard!$L14*BJ$27</f>
        <v>0</v>
      </c>
      <c r="BK60" s="293">
        <f>Dashboard!$L14*BK$27</f>
        <v>0</v>
      </c>
      <c r="BL60" s="293">
        <f>Dashboard!$L14*BL$27</f>
        <v>0</v>
      </c>
      <c r="BM60" s="293">
        <f>Dashboard!$L14*BM$27</f>
        <v>0</v>
      </c>
      <c r="BN60" s="293">
        <f>Dashboard!$L14*BN$27</f>
        <v>0</v>
      </c>
      <c r="BO60" s="293">
        <f>Dashboard!$L14*BO$27</f>
        <v>0</v>
      </c>
      <c r="BP60" s="293">
        <f>Dashboard!$L14*BP$27</f>
        <v>0</v>
      </c>
    </row>
    <row r="61" spans="2:68" ht="12" customHeight="1" outlineLevel="2">
      <c r="B61" s="290" t="s">
        <v>55</v>
      </c>
      <c r="C61" s="291"/>
      <c r="D61" s="292"/>
      <c r="E61" s="293">
        <f>Dashboard!$L15*E$27</f>
        <v>0</v>
      </c>
      <c r="F61" s="293">
        <f>Dashboard!$L15*F$27</f>
        <v>0</v>
      </c>
      <c r="G61" s="293">
        <f>Dashboard!$L15*G$27</f>
        <v>0</v>
      </c>
      <c r="H61" s="293">
        <f>Dashboard!$L15*H$27</f>
        <v>0</v>
      </c>
      <c r="I61" s="293">
        <f>Dashboard!$L15*I$27</f>
        <v>0</v>
      </c>
      <c r="J61" s="293">
        <f>Dashboard!$L15*J$27</f>
        <v>0</v>
      </c>
      <c r="K61" s="293">
        <f>Dashboard!$L15*K$27</f>
        <v>0</v>
      </c>
      <c r="L61" s="293">
        <f>Dashboard!$L15*L$27</f>
        <v>0</v>
      </c>
      <c r="M61" s="293">
        <f>Dashboard!$L15*M$27</f>
        <v>0</v>
      </c>
      <c r="N61" s="293">
        <f>Dashboard!$L15*N$27</f>
        <v>0</v>
      </c>
      <c r="O61" s="293">
        <f>Dashboard!$L15*O$27</f>
        <v>0</v>
      </c>
      <c r="P61" s="293">
        <f>Dashboard!$L15*P$27</f>
        <v>0</v>
      </c>
      <c r="Q61" s="293">
        <f>Dashboard!$L15*Q$27</f>
        <v>0</v>
      </c>
      <c r="R61" s="293">
        <f>Dashboard!$L15*R$27</f>
        <v>0</v>
      </c>
      <c r="S61" s="293">
        <f>Dashboard!$L15*S$27</f>
        <v>0</v>
      </c>
      <c r="T61" s="293">
        <f>Dashboard!$L15*T$27</f>
        <v>0</v>
      </c>
      <c r="U61" s="293">
        <f>Dashboard!$L15*U$27</f>
        <v>0</v>
      </c>
      <c r="V61" s="293">
        <f>Dashboard!$L15*V$27</f>
        <v>0</v>
      </c>
      <c r="W61" s="293">
        <f>Dashboard!$L15*W$27</f>
        <v>0</v>
      </c>
      <c r="X61" s="293">
        <f>Dashboard!$L15*X$27</f>
        <v>0</v>
      </c>
      <c r="Y61" s="293">
        <f>Dashboard!$L15*Y$27</f>
        <v>0</v>
      </c>
      <c r="Z61" s="293">
        <f>Dashboard!$L15*Z$27</f>
        <v>0</v>
      </c>
      <c r="AA61" s="293">
        <f>Dashboard!$L15*AA$27</f>
        <v>0</v>
      </c>
      <c r="AB61" s="293">
        <f>Dashboard!$L15*AB$27</f>
        <v>0</v>
      </c>
      <c r="AC61" s="293">
        <f>Dashboard!$L15*AC$27</f>
        <v>0</v>
      </c>
      <c r="AD61" s="293">
        <f>Dashboard!$L15*AD$27</f>
        <v>0</v>
      </c>
      <c r="AE61" s="293">
        <f>Dashboard!$L15*AE$27</f>
        <v>0</v>
      </c>
      <c r="AF61" s="293">
        <f>Dashboard!$L15*AF$27</f>
        <v>0</v>
      </c>
      <c r="AG61" s="293">
        <f>Dashboard!$L15*AG$27</f>
        <v>0</v>
      </c>
      <c r="AH61" s="293">
        <f>Dashboard!$L15*AH$27</f>
        <v>0</v>
      </c>
      <c r="AI61" s="293">
        <f>Dashboard!$L15*AI$27</f>
        <v>0</v>
      </c>
      <c r="AJ61" s="293">
        <f>Dashboard!$L15*AJ$27</f>
        <v>0</v>
      </c>
      <c r="AK61" s="293">
        <f>Dashboard!$L15*AK$27</f>
        <v>0</v>
      </c>
      <c r="AL61" s="293">
        <f>Dashboard!$L15*AL$27</f>
        <v>0</v>
      </c>
      <c r="AM61" s="293">
        <f>Dashboard!$L15*AM$27</f>
        <v>0</v>
      </c>
      <c r="AN61" s="293">
        <f>Dashboard!$L15*AN$27</f>
        <v>0</v>
      </c>
      <c r="AO61" s="293">
        <f>Dashboard!$L15*AO$27</f>
        <v>0</v>
      </c>
      <c r="AP61" s="293">
        <f>Dashboard!$L15*AP$27</f>
        <v>0</v>
      </c>
      <c r="AQ61" s="293">
        <f>Dashboard!$L15*AQ$27</f>
        <v>0</v>
      </c>
      <c r="AR61" s="293">
        <f>Dashboard!$L15*AR$27</f>
        <v>0</v>
      </c>
      <c r="AS61" s="293">
        <f>Dashboard!$L15*AS$27</f>
        <v>0</v>
      </c>
      <c r="AT61" s="293">
        <f>Dashboard!$L15*AT$27</f>
        <v>0</v>
      </c>
      <c r="AU61" s="293">
        <f>Dashboard!$L15*AU$27</f>
        <v>0</v>
      </c>
      <c r="AV61" s="293">
        <f>Dashboard!$L15*AV$27</f>
        <v>0</v>
      </c>
      <c r="AW61" s="293">
        <f>Dashboard!$L15*AW$27</f>
        <v>0</v>
      </c>
      <c r="AX61" s="293">
        <f>Dashboard!$L15*AX$27</f>
        <v>0</v>
      </c>
      <c r="AY61" s="293">
        <f>Dashboard!$L15*AY$27</f>
        <v>0</v>
      </c>
      <c r="AZ61" s="293">
        <f>Dashboard!$L15*AZ$27</f>
        <v>0</v>
      </c>
      <c r="BA61" s="293">
        <f>Dashboard!$L15*BA$27</f>
        <v>0</v>
      </c>
      <c r="BB61" s="293">
        <f>Dashboard!$L15*BB$27</f>
        <v>0</v>
      </c>
      <c r="BC61" s="293">
        <f>Dashboard!$L15*BC$27</f>
        <v>0</v>
      </c>
      <c r="BD61" s="293">
        <f>Dashboard!$L15*BD$27</f>
        <v>0</v>
      </c>
      <c r="BE61" s="293">
        <f>Dashboard!$L15*BE$27</f>
        <v>0</v>
      </c>
      <c r="BF61" s="293">
        <f>Dashboard!$L15*BF$27</f>
        <v>0</v>
      </c>
      <c r="BG61" s="293">
        <f>Dashboard!$L15*BG$27</f>
        <v>0</v>
      </c>
      <c r="BH61" s="293">
        <f>Dashboard!$L15*BH$27</f>
        <v>0</v>
      </c>
      <c r="BI61" s="293">
        <f>Dashboard!$L15*BI$27</f>
        <v>0</v>
      </c>
      <c r="BJ61" s="293">
        <f>Dashboard!$L15*BJ$27</f>
        <v>0</v>
      </c>
      <c r="BK61" s="293">
        <f>Dashboard!$L15*BK$27</f>
        <v>0</v>
      </c>
      <c r="BL61" s="293">
        <f>Dashboard!$L15*BL$27</f>
        <v>0</v>
      </c>
      <c r="BM61" s="293">
        <f>Dashboard!$L15*BM$27</f>
        <v>0</v>
      </c>
      <c r="BN61" s="293">
        <f>Dashboard!$L15*BN$27</f>
        <v>0</v>
      </c>
      <c r="BO61" s="293">
        <f>Dashboard!$L15*BO$27</f>
        <v>0</v>
      </c>
      <c r="BP61" s="293">
        <f>Dashboard!$L15*BP$27</f>
        <v>0</v>
      </c>
    </row>
    <row r="62" spans="2:68" ht="12" customHeight="1" outlineLevel="2">
      <c r="B62" s="290" t="s">
        <v>58</v>
      </c>
      <c r="C62" s="291"/>
      <c r="D62" s="292"/>
      <c r="E62" s="293">
        <f>Dashboard!$L16*E$27</f>
        <v>8700</v>
      </c>
      <c r="F62" s="293">
        <f>Dashboard!$L16*F$27</f>
        <v>8700</v>
      </c>
      <c r="G62" s="293">
        <f>Dashboard!$L16*G$27</f>
        <v>8700</v>
      </c>
      <c r="H62" s="293">
        <f>Dashboard!$L16*H$27</f>
        <v>8700</v>
      </c>
      <c r="I62" s="293">
        <f>Dashboard!$L16*I$27</f>
        <v>8700</v>
      </c>
      <c r="J62" s="293">
        <f>Dashboard!$L16*J$27</f>
        <v>8700</v>
      </c>
      <c r="K62" s="293">
        <f>Dashboard!$L16*K$27</f>
        <v>8700</v>
      </c>
      <c r="L62" s="293">
        <f>Dashboard!$L16*L$27</f>
        <v>8700</v>
      </c>
      <c r="M62" s="293">
        <f>Dashboard!$L16*M$27</f>
        <v>8700</v>
      </c>
      <c r="N62" s="293">
        <f>Dashboard!$L16*N$27</f>
        <v>8700</v>
      </c>
      <c r="O62" s="293">
        <f>Dashboard!$L16*O$27</f>
        <v>0</v>
      </c>
      <c r="P62" s="293">
        <f>Dashboard!$L16*P$27</f>
        <v>0</v>
      </c>
      <c r="Q62" s="293">
        <f>Dashboard!$L16*Q$27</f>
        <v>0</v>
      </c>
      <c r="R62" s="293">
        <f>Dashboard!$L16*R$27</f>
        <v>0</v>
      </c>
      <c r="S62" s="293">
        <f>Dashboard!$L16*S$27</f>
        <v>0</v>
      </c>
      <c r="T62" s="293">
        <f>Dashboard!$L16*T$27</f>
        <v>0</v>
      </c>
      <c r="U62" s="293">
        <f>Dashboard!$L16*U$27</f>
        <v>0</v>
      </c>
      <c r="V62" s="293">
        <f>Dashboard!$L16*V$27</f>
        <v>0</v>
      </c>
      <c r="W62" s="293">
        <f>Dashboard!$L16*W$27</f>
        <v>0</v>
      </c>
      <c r="X62" s="293">
        <f>Dashboard!$L16*X$27</f>
        <v>0</v>
      </c>
      <c r="Y62" s="293">
        <f>Dashboard!$L16*Y$27</f>
        <v>0</v>
      </c>
      <c r="Z62" s="293">
        <f>Dashboard!$L16*Z$27</f>
        <v>0</v>
      </c>
      <c r="AA62" s="293">
        <f>Dashboard!$L16*AA$27</f>
        <v>0</v>
      </c>
      <c r="AB62" s="293">
        <f>Dashboard!$L16*AB$27</f>
        <v>0</v>
      </c>
      <c r="AC62" s="293">
        <f>Dashboard!$L16*AC$27</f>
        <v>0</v>
      </c>
      <c r="AD62" s="293">
        <f>Dashboard!$L16*AD$27</f>
        <v>0</v>
      </c>
      <c r="AE62" s="293">
        <f>Dashboard!$L16*AE$27</f>
        <v>0</v>
      </c>
      <c r="AF62" s="293">
        <f>Dashboard!$L16*AF$27</f>
        <v>0</v>
      </c>
      <c r="AG62" s="293">
        <f>Dashboard!$L16*AG$27</f>
        <v>0</v>
      </c>
      <c r="AH62" s="293">
        <f>Dashboard!$L16*AH$27</f>
        <v>0</v>
      </c>
      <c r="AI62" s="293">
        <f>Dashboard!$L16*AI$27</f>
        <v>0</v>
      </c>
      <c r="AJ62" s="293">
        <f>Dashboard!$L16*AJ$27</f>
        <v>0</v>
      </c>
      <c r="AK62" s="293">
        <f>Dashboard!$L16*AK$27</f>
        <v>0</v>
      </c>
      <c r="AL62" s="293">
        <f>Dashboard!$L16*AL$27</f>
        <v>0</v>
      </c>
      <c r="AM62" s="293">
        <f>Dashboard!$L16*AM$27</f>
        <v>0</v>
      </c>
      <c r="AN62" s="293">
        <f>Dashboard!$L16*AN$27</f>
        <v>0</v>
      </c>
      <c r="AO62" s="293">
        <f>Dashboard!$L16*AO$27</f>
        <v>0</v>
      </c>
      <c r="AP62" s="293">
        <f>Dashboard!$L16*AP$27</f>
        <v>0</v>
      </c>
      <c r="AQ62" s="293">
        <f>Dashboard!$L16*AQ$27</f>
        <v>0</v>
      </c>
      <c r="AR62" s="293">
        <f>Dashboard!$L16*AR$27</f>
        <v>0</v>
      </c>
      <c r="AS62" s="293">
        <f>Dashboard!$L16*AS$27</f>
        <v>0</v>
      </c>
      <c r="AT62" s="293">
        <f>Dashboard!$L16*AT$27</f>
        <v>0</v>
      </c>
      <c r="AU62" s="293">
        <f>Dashboard!$L16*AU$27</f>
        <v>0</v>
      </c>
      <c r="AV62" s="293">
        <f>Dashboard!$L16*AV$27</f>
        <v>0</v>
      </c>
      <c r="AW62" s="293">
        <f>Dashboard!$L16*AW$27</f>
        <v>0</v>
      </c>
      <c r="AX62" s="293">
        <f>Dashboard!$L16*AX$27</f>
        <v>0</v>
      </c>
      <c r="AY62" s="293">
        <f>Dashboard!$L16*AY$27</f>
        <v>0</v>
      </c>
      <c r="AZ62" s="293">
        <f>Dashboard!$L16*AZ$27</f>
        <v>0</v>
      </c>
      <c r="BA62" s="293">
        <f>Dashboard!$L16*BA$27</f>
        <v>0</v>
      </c>
      <c r="BB62" s="293">
        <f>Dashboard!$L16*BB$27</f>
        <v>0</v>
      </c>
      <c r="BC62" s="293">
        <f>Dashboard!$L16*BC$27</f>
        <v>0</v>
      </c>
      <c r="BD62" s="293">
        <f>Dashboard!$L16*BD$27</f>
        <v>0</v>
      </c>
      <c r="BE62" s="293">
        <f>Dashboard!$L16*BE$27</f>
        <v>0</v>
      </c>
      <c r="BF62" s="293">
        <f>Dashboard!$L16*BF$27</f>
        <v>0</v>
      </c>
      <c r="BG62" s="293">
        <f>Dashboard!$L16*BG$27</f>
        <v>0</v>
      </c>
      <c r="BH62" s="293">
        <f>Dashboard!$L16*BH$27</f>
        <v>0</v>
      </c>
      <c r="BI62" s="293">
        <f>Dashboard!$L16*BI$27</f>
        <v>0</v>
      </c>
      <c r="BJ62" s="293">
        <f>Dashboard!$L16*BJ$27</f>
        <v>0</v>
      </c>
      <c r="BK62" s="293">
        <f>Dashboard!$L16*BK$27</f>
        <v>0</v>
      </c>
      <c r="BL62" s="293">
        <f>Dashboard!$L16*BL$27</f>
        <v>0</v>
      </c>
      <c r="BM62" s="293">
        <f>Dashboard!$L16*BM$27</f>
        <v>0</v>
      </c>
      <c r="BN62" s="293">
        <f>Dashboard!$L16*BN$27</f>
        <v>0</v>
      </c>
      <c r="BO62" s="293">
        <f>Dashboard!$L16*BO$27</f>
        <v>0</v>
      </c>
      <c r="BP62" s="293">
        <f>Dashboard!$L16*BP$27</f>
        <v>0</v>
      </c>
    </row>
    <row r="63" spans="2:68" ht="12" customHeight="1" outlineLevel="2">
      <c r="B63" s="290" t="s">
        <v>62</v>
      </c>
      <c r="C63" s="291"/>
      <c r="D63" s="292"/>
      <c r="E63" s="293">
        <f>Dashboard!$L17*E$27</f>
        <v>200</v>
      </c>
      <c r="F63" s="293">
        <f>Dashboard!$L17*F$27</f>
        <v>200</v>
      </c>
      <c r="G63" s="293">
        <f>Dashboard!$L17*G$27</f>
        <v>200</v>
      </c>
      <c r="H63" s="293">
        <f>Dashboard!$L17*H$27</f>
        <v>200</v>
      </c>
      <c r="I63" s="293">
        <f>Dashboard!$L17*I$27</f>
        <v>200</v>
      </c>
      <c r="J63" s="293">
        <f>Dashboard!$L17*J$27</f>
        <v>200</v>
      </c>
      <c r="K63" s="293">
        <f>Dashboard!$L17*K$27</f>
        <v>200</v>
      </c>
      <c r="L63" s="293">
        <f>Dashboard!$L17*L$27</f>
        <v>200</v>
      </c>
      <c r="M63" s="293">
        <f>Dashboard!$L17*M$27</f>
        <v>200</v>
      </c>
      <c r="N63" s="293">
        <f>Dashboard!$L17*N$27</f>
        <v>200</v>
      </c>
      <c r="O63" s="293">
        <f>Dashboard!$L17*O$27</f>
        <v>0</v>
      </c>
      <c r="P63" s="293">
        <f>Dashboard!$L17*P$27</f>
        <v>0</v>
      </c>
      <c r="Q63" s="293">
        <f>Dashboard!$L17*Q$27</f>
        <v>0</v>
      </c>
      <c r="R63" s="293">
        <f>Dashboard!$L17*R$27</f>
        <v>0</v>
      </c>
      <c r="S63" s="293">
        <f>Dashboard!$L17*S$27</f>
        <v>0</v>
      </c>
      <c r="T63" s="293">
        <f>Dashboard!$L17*T$27</f>
        <v>0</v>
      </c>
      <c r="U63" s="293">
        <f>Dashboard!$L17*U$27</f>
        <v>0</v>
      </c>
      <c r="V63" s="293">
        <f>Dashboard!$L17*V$27</f>
        <v>0</v>
      </c>
      <c r="W63" s="293">
        <f>Dashboard!$L17*W$27</f>
        <v>0</v>
      </c>
      <c r="X63" s="293">
        <f>Dashboard!$L17*X$27</f>
        <v>0</v>
      </c>
      <c r="Y63" s="293">
        <f>Dashboard!$L17*Y$27</f>
        <v>0</v>
      </c>
      <c r="Z63" s="293">
        <f>Dashboard!$L17*Z$27</f>
        <v>0</v>
      </c>
      <c r="AA63" s="293">
        <f>Dashboard!$L17*AA$27</f>
        <v>0</v>
      </c>
      <c r="AB63" s="293">
        <f>Dashboard!$L17*AB$27</f>
        <v>0</v>
      </c>
      <c r="AC63" s="293">
        <f>Dashboard!$L17*AC$27</f>
        <v>0</v>
      </c>
      <c r="AD63" s="293">
        <f>Dashboard!$L17*AD$27</f>
        <v>0</v>
      </c>
      <c r="AE63" s="293">
        <f>Dashboard!$L17*AE$27</f>
        <v>0</v>
      </c>
      <c r="AF63" s="293">
        <f>Dashboard!$L17*AF$27</f>
        <v>0</v>
      </c>
      <c r="AG63" s="293">
        <f>Dashboard!$L17*AG$27</f>
        <v>0</v>
      </c>
      <c r="AH63" s="293">
        <f>Dashboard!$L17*AH$27</f>
        <v>0</v>
      </c>
      <c r="AI63" s="293">
        <f>Dashboard!$L17*AI$27</f>
        <v>0</v>
      </c>
      <c r="AJ63" s="293">
        <f>Dashboard!$L17*AJ$27</f>
        <v>0</v>
      </c>
      <c r="AK63" s="293">
        <f>Dashboard!$L17*AK$27</f>
        <v>0</v>
      </c>
      <c r="AL63" s="293">
        <f>Dashboard!$L17*AL$27</f>
        <v>0</v>
      </c>
      <c r="AM63" s="293">
        <f>Dashboard!$L17*AM$27</f>
        <v>0</v>
      </c>
      <c r="AN63" s="293">
        <f>Dashboard!$L17*AN$27</f>
        <v>0</v>
      </c>
      <c r="AO63" s="293">
        <f>Dashboard!$L17*AO$27</f>
        <v>0</v>
      </c>
      <c r="AP63" s="293">
        <f>Dashboard!$L17*AP$27</f>
        <v>0</v>
      </c>
      <c r="AQ63" s="293">
        <f>Dashboard!$L17*AQ$27</f>
        <v>0</v>
      </c>
      <c r="AR63" s="293">
        <f>Dashboard!$L17*AR$27</f>
        <v>0</v>
      </c>
      <c r="AS63" s="293">
        <f>Dashboard!$L17*AS$27</f>
        <v>0</v>
      </c>
      <c r="AT63" s="293">
        <f>Dashboard!$L17*AT$27</f>
        <v>0</v>
      </c>
      <c r="AU63" s="293">
        <f>Dashboard!$L17*AU$27</f>
        <v>0</v>
      </c>
      <c r="AV63" s="293">
        <f>Dashboard!$L17*AV$27</f>
        <v>0</v>
      </c>
      <c r="AW63" s="293">
        <f>Dashboard!$L17*AW$27</f>
        <v>0</v>
      </c>
      <c r="AX63" s="293">
        <f>Dashboard!$L17*AX$27</f>
        <v>0</v>
      </c>
      <c r="AY63" s="293">
        <f>Dashboard!$L17*AY$27</f>
        <v>0</v>
      </c>
      <c r="AZ63" s="293">
        <f>Dashboard!$L17*AZ$27</f>
        <v>0</v>
      </c>
      <c r="BA63" s="293">
        <f>Dashboard!$L17*BA$27</f>
        <v>0</v>
      </c>
      <c r="BB63" s="293">
        <f>Dashboard!$L17*BB$27</f>
        <v>0</v>
      </c>
      <c r="BC63" s="293">
        <f>Dashboard!$L17*BC$27</f>
        <v>0</v>
      </c>
      <c r="BD63" s="293">
        <f>Dashboard!$L17*BD$27</f>
        <v>0</v>
      </c>
      <c r="BE63" s="293">
        <f>Dashboard!$L17*BE$27</f>
        <v>0</v>
      </c>
      <c r="BF63" s="293">
        <f>Dashboard!$L17*BF$27</f>
        <v>0</v>
      </c>
      <c r="BG63" s="293">
        <f>Dashboard!$L17*BG$27</f>
        <v>0</v>
      </c>
      <c r="BH63" s="293">
        <f>Dashboard!$L17*BH$27</f>
        <v>0</v>
      </c>
      <c r="BI63" s="293">
        <f>Dashboard!$L17*BI$27</f>
        <v>0</v>
      </c>
      <c r="BJ63" s="293">
        <f>Dashboard!$L17*BJ$27</f>
        <v>0</v>
      </c>
      <c r="BK63" s="293">
        <f>Dashboard!$L17*BK$27</f>
        <v>0</v>
      </c>
      <c r="BL63" s="293">
        <f>Dashboard!$L17*BL$27</f>
        <v>0</v>
      </c>
      <c r="BM63" s="293">
        <f>Dashboard!$L17*BM$27</f>
        <v>0</v>
      </c>
      <c r="BN63" s="293">
        <f>Dashboard!$L17*BN$27</f>
        <v>0</v>
      </c>
      <c r="BO63" s="293">
        <f>Dashboard!$L17*BO$27</f>
        <v>0</v>
      </c>
      <c r="BP63" s="293">
        <f>Dashboard!$L17*BP$27</f>
        <v>0</v>
      </c>
    </row>
    <row r="64" spans="2:68" ht="12" customHeight="1" outlineLevel="2">
      <c r="B64" s="290" t="s">
        <v>63</v>
      </c>
      <c r="C64" s="291"/>
      <c r="D64" s="292"/>
      <c r="E64" s="293">
        <f>Dashboard!$L18*E$27</f>
        <v>3998.9467333333328</v>
      </c>
      <c r="F64" s="293">
        <f>Dashboard!$L18*F$27</f>
        <v>3998.9467333333328</v>
      </c>
      <c r="G64" s="293">
        <f>Dashboard!$L18*G$27</f>
        <v>3998.9467333333328</v>
      </c>
      <c r="H64" s="293">
        <f>Dashboard!$L18*H$27</f>
        <v>3998.9467333333328</v>
      </c>
      <c r="I64" s="293">
        <f>Dashboard!$L18*I$27</f>
        <v>3998.9467333333328</v>
      </c>
      <c r="J64" s="293">
        <f>Dashboard!$L18*J$27</f>
        <v>3998.9467333333328</v>
      </c>
      <c r="K64" s="293">
        <f>Dashboard!$L18*K$27</f>
        <v>3998.9467333333328</v>
      </c>
      <c r="L64" s="293">
        <f>Dashboard!$L18*L$27</f>
        <v>3998.9467333333328</v>
      </c>
      <c r="M64" s="293">
        <f>Dashboard!$L18*M$27</f>
        <v>3998.9467333333328</v>
      </c>
      <c r="N64" s="293">
        <f>Dashboard!$L18*N$27</f>
        <v>3998.9467333333328</v>
      </c>
      <c r="O64" s="293">
        <f>Dashboard!$L18*O$27</f>
        <v>0</v>
      </c>
      <c r="P64" s="293">
        <f>Dashboard!$L18*P$27</f>
        <v>0</v>
      </c>
      <c r="Q64" s="293">
        <f>Dashboard!$L18*Q$27</f>
        <v>0</v>
      </c>
      <c r="R64" s="293">
        <f>Dashboard!$L18*R$27</f>
        <v>0</v>
      </c>
      <c r="S64" s="293">
        <f>Dashboard!$L18*S$27</f>
        <v>0</v>
      </c>
      <c r="T64" s="293">
        <f>Dashboard!$L18*T$27</f>
        <v>0</v>
      </c>
      <c r="U64" s="293">
        <f>Dashboard!$L18*U$27</f>
        <v>0</v>
      </c>
      <c r="V64" s="293">
        <f>Dashboard!$L18*V$27</f>
        <v>0</v>
      </c>
      <c r="W64" s="293">
        <f>Dashboard!$L18*W$27</f>
        <v>0</v>
      </c>
      <c r="X64" s="293">
        <f>Dashboard!$L18*X$27</f>
        <v>0</v>
      </c>
      <c r="Y64" s="293">
        <f>Dashboard!$L18*Y$27</f>
        <v>0</v>
      </c>
      <c r="Z64" s="293">
        <f>Dashboard!$L18*Z$27</f>
        <v>0</v>
      </c>
      <c r="AA64" s="293">
        <f>Dashboard!$L18*AA$27</f>
        <v>0</v>
      </c>
      <c r="AB64" s="293">
        <f>Dashboard!$L18*AB$27</f>
        <v>0</v>
      </c>
      <c r="AC64" s="293">
        <f>Dashboard!$L18*AC$27</f>
        <v>0</v>
      </c>
      <c r="AD64" s="293">
        <f>Dashboard!$L18*AD$27</f>
        <v>0</v>
      </c>
      <c r="AE64" s="293">
        <f>Dashboard!$L18*AE$27</f>
        <v>0</v>
      </c>
      <c r="AF64" s="293">
        <f>Dashboard!$L18*AF$27</f>
        <v>0</v>
      </c>
      <c r="AG64" s="293">
        <f>Dashboard!$L18*AG$27</f>
        <v>0</v>
      </c>
      <c r="AH64" s="293">
        <f>Dashboard!$L18*AH$27</f>
        <v>0</v>
      </c>
      <c r="AI64" s="293">
        <f>Dashboard!$L18*AI$27</f>
        <v>0</v>
      </c>
      <c r="AJ64" s="293">
        <f>Dashboard!$L18*AJ$27</f>
        <v>0</v>
      </c>
      <c r="AK64" s="293">
        <f>Dashboard!$L18*AK$27</f>
        <v>0</v>
      </c>
      <c r="AL64" s="293">
        <f>Dashboard!$L18*AL$27</f>
        <v>0</v>
      </c>
      <c r="AM64" s="293">
        <f>Dashboard!$L18*AM$27</f>
        <v>0</v>
      </c>
      <c r="AN64" s="293">
        <f>Dashboard!$L18*AN$27</f>
        <v>0</v>
      </c>
      <c r="AO64" s="293">
        <f>Dashboard!$L18*AO$27</f>
        <v>0</v>
      </c>
      <c r="AP64" s="293">
        <f>Dashboard!$L18*AP$27</f>
        <v>0</v>
      </c>
      <c r="AQ64" s="293">
        <f>Dashboard!$L18*AQ$27</f>
        <v>0</v>
      </c>
      <c r="AR64" s="293">
        <f>Dashboard!$L18*AR$27</f>
        <v>0</v>
      </c>
      <c r="AS64" s="293">
        <f>Dashboard!$L18*AS$27</f>
        <v>0</v>
      </c>
      <c r="AT64" s="293">
        <f>Dashboard!$L18*AT$27</f>
        <v>0</v>
      </c>
      <c r="AU64" s="293">
        <f>Dashboard!$L18*AU$27</f>
        <v>0</v>
      </c>
      <c r="AV64" s="293">
        <f>Dashboard!$L18*AV$27</f>
        <v>0</v>
      </c>
      <c r="AW64" s="293">
        <f>Dashboard!$L18*AW$27</f>
        <v>0</v>
      </c>
      <c r="AX64" s="293">
        <f>Dashboard!$L18*AX$27</f>
        <v>0</v>
      </c>
      <c r="AY64" s="293">
        <f>Dashboard!$L18*AY$27</f>
        <v>0</v>
      </c>
      <c r="AZ64" s="293">
        <f>Dashboard!$L18*AZ$27</f>
        <v>0</v>
      </c>
      <c r="BA64" s="293">
        <f>Dashboard!$L18*BA$27</f>
        <v>0</v>
      </c>
      <c r="BB64" s="293">
        <f>Dashboard!$L18*BB$27</f>
        <v>0</v>
      </c>
      <c r="BC64" s="293">
        <f>Dashboard!$L18*BC$27</f>
        <v>0</v>
      </c>
      <c r="BD64" s="293">
        <f>Dashboard!$L18*BD$27</f>
        <v>0</v>
      </c>
      <c r="BE64" s="293">
        <f>Dashboard!$L18*BE$27</f>
        <v>0</v>
      </c>
      <c r="BF64" s="293">
        <f>Dashboard!$L18*BF$27</f>
        <v>0</v>
      </c>
      <c r="BG64" s="293">
        <f>Dashboard!$L18*BG$27</f>
        <v>0</v>
      </c>
      <c r="BH64" s="293">
        <f>Dashboard!$L18*BH$27</f>
        <v>0</v>
      </c>
      <c r="BI64" s="293">
        <f>Dashboard!$L18*BI$27</f>
        <v>0</v>
      </c>
      <c r="BJ64" s="293">
        <f>Dashboard!$L18*BJ$27</f>
        <v>0</v>
      </c>
      <c r="BK64" s="293">
        <f>Dashboard!$L18*BK$27</f>
        <v>0</v>
      </c>
      <c r="BL64" s="293">
        <f>Dashboard!$L18*BL$27</f>
        <v>0</v>
      </c>
      <c r="BM64" s="293">
        <f>Dashboard!$L18*BM$27</f>
        <v>0</v>
      </c>
      <c r="BN64" s="293">
        <f>Dashboard!$L18*BN$27</f>
        <v>0</v>
      </c>
      <c r="BO64" s="293">
        <f>Dashboard!$L18*BO$27</f>
        <v>0</v>
      </c>
      <c r="BP64" s="293">
        <f>Dashboard!$L18*BP$27</f>
        <v>0</v>
      </c>
    </row>
    <row r="65" spans="1:68" ht="12" customHeight="1" outlineLevel="2">
      <c r="B65" s="290" t="s">
        <v>69</v>
      </c>
      <c r="C65" s="291"/>
      <c r="D65" s="292"/>
      <c r="E65" s="293">
        <f>Dashboard!$L19*E$27</f>
        <v>0</v>
      </c>
      <c r="F65" s="293">
        <f>Dashboard!$L19*F$27</f>
        <v>0</v>
      </c>
      <c r="G65" s="293">
        <f>Dashboard!$L19*G$27</f>
        <v>0</v>
      </c>
      <c r="H65" s="293">
        <f>Dashboard!$L19*H$27</f>
        <v>0</v>
      </c>
      <c r="I65" s="293">
        <f>Dashboard!$L19*I$27</f>
        <v>0</v>
      </c>
      <c r="J65" s="293">
        <f>Dashboard!$L19*J$27</f>
        <v>0</v>
      </c>
      <c r="K65" s="293">
        <f>Dashboard!$L19*K$27</f>
        <v>0</v>
      </c>
      <c r="L65" s="293">
        <f>Dashboard!$L19*L$27</f>
        <v>0</v>
      </c>
      <c r="M65" s="293">
        <f>Dashboard!$L19*M$27</f>
        <v>0</v>
      </c>
      <c r="N65" s="293">
        <f>Dashboard!$L19*N$27</f>
        <v>0</v>
      </c>
      <c r="O65" s="293">
        <f>Dashboard!$L19*O$27</f>
        <v>0</v>
      </c>
      <c r="P65" s="293">
        <f>Dashboard!$L19*P$27</f>
        <v>0</v>
      </c>
      <c r="Q65" s="293">
        <f>Dashboard!$L19*Q$27</f>
        <v>0</v>
      </c>
      <c r="R65" s="293">
        <f>Dashboard!$L19*R$27</f>
        <v>0</v>
      </c>
      <c r="S65" s="293">
        <f>Dashboard!$L19*S$27</f>
        <v>0</v>
      </c>
      <c r="T65" s="293">
        <f>Dashboard!$L19*T$27</f>
        <v>0</v>
      </c>
      <c r="U65" s="293">
        <f>Dashboard!$L19*U$27</f>
        <v>0</v>
      </c>
      <c r="V65" s="293">
        <f>Dashboard!$L19*V$27</f>
        <v>0</v>
      </c>
      <c r="W65" s="293">
        <f>Dashboard!$L19*W$27</f>
        <v>0</v>
      </c>
      <c r="X65" s="293">
        <f>Dashboard!$L19*X$27</f>
        <v>0</v>
      </c>
      <c r="Y65" s="293">
        <f>Dashboard!$L19*Y$27</f>
        <v>0</v>
      </c>
      <c r="Z65" s="293">
        <f>Dashboard!$L19*Z$27</f>
        <v>0</v>
      </c>
      <c r="AA65" s="293">
        <f>Dashboard!$L19*AA$27</f>
        <v>0</v>
      </c>
      <c r="AB65" s="293">
        <f>Dashboard!$L19*AB$27</f>
        <v>0</v>
      </c>
      <c r="AC65" s="293">
        <f>Dashboard!$L19*AC$27</f>
        <v>0</v>
      </c>
      <c r="AD65" s="293">
        <f>Dashboard!$L19*AD$27</f>
        <v>0</v>
      </c>
      <c r="AE65" s="293">
        <f>Dashboard!$L19*AE$27</f>
        <v>0</v>
      </c>
      <c r="AF65" s="293">
        <f>Dashboard!$L19*AF$27</f>
        <v>0</v>
      </c>
      <c r="AG65" s="293">
        <f>Dashboard!$L19*AG$27</f>
        <v>0</v>
      </c>
      <c r="AH65" s="293">
        <f>Dashboard!$L19*AH$27</f>
        <v>0</v>
      </c>
      <c r="AI65" s="293">
        <f>Dashboard!$L19*AI$27</f>
        <v>0</v>
      </c>
      <c r="AJ65" s="293">
        <f>Dashboard!$L19*AJ$27</f>
        <v>0</v>
      </c>
      <c r="AK65" s="293">
        <f>Dashboard!$L19*AK$27</f>
        <v>0</v>
      </c>
      <c r="AL65" s="293">
        <f>Dashboard!$L19*AL$27</f>
        <v>0</v>
      </c>
      <c r="AM65" s="293">
        <f>Dashboard!$L19*AM$27</f>
        <v>0</v>
      </c>
      <c r="AN65" s="293">
        <f>Dashboard!$L19*AN$27</f>
        <v>0</v>
      </c>
      <c r="AO65" s="293">
        <f>Dashboard!$L19*AO$27</f>
        <v>0</v>
      </c>
      <c r="AP65" s="293">
        <f>Dashboard!$L19*AP$27</f>
        <v>0</v>
      </c>
      <c r="AQ65" s="293">
        <f>Dashboard!$L19*AQ$27</f>
        <v>0</v>
      </c>
      <c r="AR65" s="293">
        <f>Dashboard!$L19*AR$27</f>
        <v>0</v>
      </c>
      <c r="AS65" s="293">
        <f>Dashboard!$L19*AS$27</f>
        <v>0</v>
      </c>
      <c r="AT65" s="293">
        <f>Dashboard!$L19*AT$27</f>
        <v>0</v>
      </c>
      <c r="AU65" s="293">
        <f>Dashboard!$L19*AU$27</f>
        <v>0</v>
      </c>
      <c r="AV65" s="293">
        <f>Dashboard!$L19*AV$27</f>
        <v>0</v>
      </c>
      <c r="AW65" s="293">
        <f>Dashboard!$L19*AW$27</f>
        <v>0</v>
      </c>
      <c r="AX65" s="293">
        <f>Dashboard!$L19*AX$27</f>
        <v>0</v>
      </c>
      <c r="AY65" s="293">
        <f>Dashboard!$L19*AY$27</f>
        <v>0</v>
      </c>
      <c r="AZ65" s="293">
        <f>Dashboard!$L19*AZ$27</f>
        <v>0</v>
      </c>
      <c r="BA65" s="293">
        <f>Dashboard!$L19*BA$27</f>
        <v>0</v>
      </c>
      <c r="BB65" s="293">
        <f>Dashboard!$L19*BB$27</f>
        <v>0</v>
      </c>
      <c r="BC65" s="293">
        <f>Dashboard!$L19*BC$27</f>
        <v>0</v>
      </c>
      <c r="BD65" s="293">
        <f>Dashboard!$L19*BD$27</f>
        <v>0</v>
      </c>
      <c r="BE65" s="293">
        <f>Dashboard!$L19*BE$27</f>
        <v>0</v>
      </c>
      <c r="BF65" s="293">
        <f>Dashboard!$L19*BF$27</f>
        <v>0</v>
      </c>
      <c r="BG65" s="293">
        <f>Dashboard!$L19*BG$27</f>
        <v>0</v>
      </c>
      <c r="BH65" s="293">
        <f>Dashboard!$L19*BH$27</f>
        <v>0</v>
      </c>
      <c r="BI65" s="293">
        <f>Dashboard!$L19*BI$27</f>
        <v>0</v>
      </c>
      <c r="BJ65" s="293">
        <f>Dashboard!$L19*BJ$27</f>
        <v>0</v>
      </c>
      <c r="BK65" s="293">
        <f>Dashboard!$L19*BK$27</f>
        <v>0</v>
      </c>
      <c r="BL65" s="293">
        <f>Dashboard!$L19*BL$27</f>
        <v>0</v>
      </c>
      <c r="BM65" s="293">
        <f>Dashboard!$L19*BM$27</f>
        <v>0</v>
      </c>
      <c r="BN65" s="293">
        <f>Dashboard!$L19*BN$27</f>
        <v>0</v>
      </c>
      <c r="BO65" s="293">
        <f>Dashboard!$L19*BO$27</f>
        <v>0</v>
      </c>
      <c r="BP65" s="293">
        <f>Dashboard!$L19*BP$27</f>
        <v>0</v>
      </c>
    </row>
    <row r="66" spans="1:68" ht="12" customHeight="1" outlineLevel="2">
      <c r="B66" s="290" t="s">
        <v>72</v>
      </c>
      <c r="C66" s="291"/>
      <c r="D66" s="292"/>
      <c r="E66" s="293">
        <f>Dashboard!$L20*E$27</f>
        <v>0</v>
      </c>
      <c r="F66" s="293">
        <f>Dashboard!$L20*F$27</f>
        <v>0</v>
      </c>
      <c r="G66" s="293">
        <f>Dashboard!$L20*G$27</f>
        <v>0</v>
      </c>
      <c r="H66" s="293">
        <f>Dashboard!$L20*H$27</f>
        <v>0</v>
      </c>
      <c r="I66" s="293">
        <f>Dashboard!$L20*I$27</f>
        <v>0</v>
      </c>
      <c r="J66" s="293">
        <f>Dashboard!$L20*J$27</f>
        <v>0</v>
      </c>
      <c r="K66" s="293">
        <f>Dashboard!$L20*K$27</f>
        <v>0</v>
      </c>
      <c r="L66" s="293">
        <f>Dashboard!$L20*L$27</f>
        <v>0</v>
      </c>
      <c r="M66" s="293">
        <f>Dashboard!$L20*M$27</f>
        <v>0</v>
      </c>
      <c r="N66" s="293">
        <f>Dashboard!$L20*N$27</f>
        <v>0</v>
      </c>
      <c r="O66" s="293">
        <f>Dashboard!$L20*O$27</f>
        <v>0</v>
      </c>
      <c r="P66" s="293">
        <f>Dashboard!$L20*P$27</f>
        <v>0</v>
      </c>
      <c r="Q66" s="293">
        <f>Dashboard!$L20*Q$27</f>
        <v>0</v>
      </c>
      <c r="R66" s="293">
        <f>Dashboard!$L20*R$27</f>
        <v>0</v>
      </c>
      <c r="S66" s="293">
        <f>Dashboard!$L20*S$27</f>
        <v>0</v>
      </c>
      <c r="T66" s="293">
        <f>Dashboard!$L20*T$27</f>
        <v>0</v>
      </c>
      <c r="U66" s="293">
        <f>Dashboard!$L20*U$27</f>
        <v>0</v>
      </c>
      <c r="V66" s="293">
        <f>Dashboard!$L20*V$27</f>
        <v>0</v>
      </c>
      <c r="W66" s="293">
        <f>Dashboard!$L20*W$27</f>
        <v>0</v>
      </c>
      <c r="X66" s="293">
        <f>Dashboard!$L20*X$27</f>
        <v>0</v>
      </c>
      <c r="Y66" s="293">
        <f>Dashboard!$L20*Y$27</f>
        <v>0</v>
      </c>
      <c r="Z66" s="293">
        <f>Dashboard!$L20*Z$27</f>
        <v>0</v>
      </c>
      <c r="AA66" s="293">
        <f>Dashboard!$L20*AA$27</f>
        <v>0</v>
      </c>
      <c r="AB66" s="293">
        <f>Dashboard!$L20*AB$27</f>
        <v>0</v>
      </c>
      <c r="AC66" s="293">
        <f>Dashboard!$L20*AC$27</f>
        <v>0</v>
      </c>
      <c r="AD66" s="293">
        <f>Dashboard!$L20*AD$27</f>
        <v>0</v>
      </c>
      <c r="AE66" s="293">
        <f>Dashboard!$L20*AE$27</f>
        <v>0</v>
      </c>
      <c r="AF66" s="293">
        <f>Dashboard!$L20*AF$27</f>
        <v>0</v>
      </c>
      <c r="AG66" s="293">
        <f>Dashboard!$L20*AG$27</f>
        <v>0</v>
      </c>
      <c r="AH66" s="293">
        <f>Dashboard!$L20*AH$27</f>
        <v>0</v>
      </c>
      <c r="AI66" s="293">
        <f>Dashboard!$L20*AI$27</f>
        <v>0</v>
      </c>
      <c r="AJ66" s="293">
        <f>Dashboard!$L20*AJ$27</f>
        <v>0</v>
      </c>
      <c r="AK66" s="293">
        <f>Dashboard!$L20*AK$27</f>
        <v>0</v>
      </c>
      <c r="AL66" s="293">
        <f>Dashboard!$L20*AL$27</f>
        <v>0</v>
      </c>
      <c r="AM66" s="293">
        <f>Dashboard!$L20*AM$27</f>
        <v>0</v>
      </c>
      <c r="AN66" s="293">
        <f>Dashboard!$L20*AN$27</f>
        <v>0</v>
      </c>
      <c r="AO66" s="293">
        <f>Dashboard!$L20*AO$27</f>
        <v>0</v>
      </c>
      <c r="AP66" s="293">
        <f>Dashboard!$L20*AP$27</f>
        <v>0</v>
      </c>
      <c r="AQ66" s="293">
        <f>Dashboard!$L20*AQ$27</f>
        <v>0</v>
      </c>
      <c r="AR66" s="293">
        <f>Dashboard!$L20*AR$27</f>
        <v>0</v>
      </c>
      <c r="AS66" s="293">
        <f>Dashboard!$L20*AS$27</f>
        <v>0</v>
      </c>
      <c r="AT66" s="293">
        <f>Dashboard!$L20*AT$27</f>
        <v>0</v>
      </c>
      <c r="AU66" s="293">
        <f>Dashboard!$L20*AU$27</f>
        <v>0</v>
      </c>
      <c r="AV66" s="293">
        <f>Dashboard!$L20*AV$27</f>
        <v>0</v>
      </c>
      <c r="AW66" s="293">
        <f>Dashboard!$L20*AW$27</f>
        <v>0</v>
      </c>
      <c r="AX66" s="293">
        <f>Dashboard!$L20*AX$27</f>
        <v>0</v>
      </c>
      <c r="AY66" s="293">
        <f>Dashboard!$L20*AY$27</f>
        <v>0</v>
      </c>
      <c r="AZ66" s="293">
        <f>Dashboard!$L20*AZ$27</f>
        <v>0</v>
      </c>
      <c r="BA66" s="293">
        <f>Dashboard!$L20*BA$27</f>
        <v>0</v>
      </c>
      <c r="BB66" s="293">
        <f>Dashboard!$L20*BB$27</f>
        <v>0</v>
      </c>
      <c r="BC66" s="293">
        <f>Dashboard!$L20*BC$27</f>
        <v>0</v>
      </c>
      <c r="BD66" s="293">
        <f>Dashboard!$L20*BD$27</f>
        <v>0</v>
      </c>
      <c r="BE66" s="293">
        <f>Dashboard!$L20*BE$27</f>
        <v>0</v>
      </c>
      <c r="BF66" s="293">
        <f>Dashboard!$L20*BF$27</f>
        <v>0</v>
      </c>
      <c r="BG66" s="293">
        <f>Dashboard!$L20*BG$27</f>
        <v>0</v>
      </c>
      <c r="BH66" s="293">
        <f>Dashboard!$L20*BH$27</f>
        <v>0</v>
      </c>
      <c r="BI66" s="293">
        <f>Dashboard!$L20*BI$27</f>
        <v>0</v>
      </c>
      <c r="BJ66" s="293">
        <f>Dashboard!$L20*BJ$27</f>
        <v>0</v>
      </c>
      <c r="BK66" s="293">
        <f>Dashboard!$L20*BK$27</f>
        <v>0</v>
      </c>
      <c r="BL66" s="293">
        <f>Dashboard!$L20*BL$27</f>
        <v>0</v>
      </c>
      <c r="BM66" s="293">
        <f>Dashboard!$L20*BM$27</f>
        <v>0</v>
      </c>
      <c r="BN66" s="293">
        <f>Dashboard!$L20*BN$27</f>
        <v>0</v>
      </c>
      <c r="BO66" s="293">
        <f>Dashboard!$L20*BO$27</f>
        <v>0</v>
      </c>
      <c r="BP66" s="293">
        <f>Dashboard!$L20*BP$27</f>
        <v>0</v>
      </c>
    </row>
    <row r="67" spans="1:68" ht="12" customHeight="1" outlineLevel="2">
      <c r="B67" s="290" t="s">
        <v>75</v>
      </c>
      <c r="C67" s="291"/>
      <c r="D67" s="292"/>
      <c r="E67" s="293">
        <f>Dashboard!$L21*E$27</f>
        <v>0</v>
      </c>
      <c r="F67" s="293">
        <f>Dashboard!$L21*F$27</f>
        <v>0</v>
      </c>
      <c r="G67" s="293">
        <f>Dashboard!$L21*G$27</f>
        <v>0</v>
      </c>
      <c r="H67" s="293">
        <f>Dashboard!$L21*H$27</f>
        <v>0</v>
      </c>
      <c r="I67" s="293">
        <f>Dashboard!$L21*I$27</f>
        <v>0</v>
      </c>
      <c r="J67" s="293">
        <f>Dashboard!$L21*J$27</f>
        <v>0</v>
      </c>
      <c r="K67" s="293">
        <f>Dashboard!$L21*K$27</f>
        <v>0</v>
      </c>
      <c r="L67" s="293">
        <f>Dashboard!$L21*L$27</f>
        <v>0</v>
      </c>
      <c r="M67" s="293">
        <f>Dashboard!$L21*M$27</f>
        <v>0</v>
      </c>
      <c r="N67" s="293">
        <f>Dashboard!$L21*N$27</f>
        <v>0</v>
      </c>
      <c r="O67" s="293">
        <f>Dashboard!$L21*O$27</f>
        <v>0</v>
      </c>
      <c r="P67" s="293">
        <f>Dashboard!$L21*P$27</f>
        <v>0</v>
      </c>
      <c r="Q67" s="293">
        <f>Dashboard!$L21*Q$27</f>
        <v>0</v>
      </c>
      <c r="R67" s="293">
        <f>Dashboard!$L21*R$27</f>
        <v>0</v>
      </c>
      <c r="S67" s="293">
        <f>Dashboard!$L21*S$27</f>
        <v>0</v>
      </c>
      <c r="T67" s="293">
        <f>Dashboard!$L21*T$27</f>
        <v>0</v>
      </c>
      <c r="U67" s="293">
        <f>Dashboard!$L21*U$27</f>
        <v>0</v>
      </c>
      <c r="V67" s="293">
        <f>Dashboard!$L21*V$27</f>
        <v>0</v>
      </c>
      <c r="W67" s="293">
        <f>Dashboard!$L21*W$27</f>
        <v>0</v>
      </c>
      <c r="X67" s="293">
        <f>Dashboard!$L21*X$27</f>
        <v>0</v>
      </c>
      <c r="Y67" s="293">
        <f>Dashboard!$L21*Y$27</f>
        <v>0</v>
      </c>
      <c r="Z67" s="293">
        <f>Dashboard!$L21*Z$27</f>
        <v>0</v>
      </c>
      <c r="AA67" s="293">
        <f>Dashboard!$L21*AA$27</f>
        <v>0</v>
      </c>
      <c r="AB67" s="293">
        <f>Dashboard!$L21*AB$27</f>
        <v>0</v>
      </c>
      <c r="AC67" s="293">
        <f>Dashboard!$L21*AC$27</f>
        <v>0</v>
      </c>
      <c r="AD67" s="293">
        <f>Dashboard!$L21*AD$27</f>
        <v>0</v>
      </c>
      <c r="AE67" s="293">
        <f>Dashboard!$L21*AE$27</f>
        <v>0</v>
      </c>
      <c r="AF67" s="293">
        <f>Dashboard!$L21*AF$27</f>
        <v>0</v>
      </c>
      <c r="AG67" s="293">
        <f>Dashboard!$L21*AG$27</f>
        <v>0</v>
      </c>
      <c r="AH67" s="293">
        <f>Dashboard!$L21*AH$27</f>
        <v>0</v>
      </c>
      <c r="AI67" s="293">
        <f>Dashboard!$L21*AI$27</f>
        <v>0</v>
      </c>
      <c r="AJ67" s="293">
        <f>Dashboard!$L21*AJ$27</f>
        <v>0</v>
      </c>
      <c r="AK67" s="293">
        <f>Dashboard!$L21*AK$27</f>
        <v>0</v>
      </c>
      <c r="AL67" s="293">
        <f>Dashboard!$L21*AL$27</f>
        <v>0</v>
      </c>
      <c r="AM67" s="293">
        <f>Dashboard!$L21*AM$27</f>
        <v>0</v>
      </c>
      <c r="AN67" s="293">
        <f>Dashboard!$L21*AN$27</f>
        <v>0</v>
      </c>
      <c r="AO67" s="293">
        <f>Dashboard!$L21*AO$27</f>
        <v>0</v>
      </c>
      <c r="AP67" s="293">
        <f>Dashboard!$L21*AP$27</f>
        <v>0</v>
      </c>
      <c r="AQ67" s="293">
        <f>Dashboard!$L21*AQ$27</f>
        <v>0</v>
      </c>
      <c r="AR67" s="293">
        <f>Dashboard!$L21*AR$27</f>
        <v>0</v>
      </c>
      <c r="AS67" s="293">
        <f>Dashboard!$L21*AS$27</f>
        <v>0</v>
      </c>
      <c r="AT67" s="293">
        <f>Dashboard!$L21*AT$27</f>
        <v>0</v>
      </c>
      <c r="AU67" s="293">
        <f>Dashboard!$L21*AU$27</f>
        <v>0</v>
      </c>
      <c r="AV67" s="293">
        <f>Dashboard!$L21*AV$27</f>
        <v>0</v>
      </c>
      <c r="AW67" s="293">
        <f>Dashboard!$L21*AW$27</f>
        <v>0</v>
      </c>
      <c r="AX67" s="293">
        <f>Dashboard!$L21*AX$27</f>
        <v>0</v>
      </c>
      <c r="AY67" s="293">
        <f>Dashboard!$L21*AY$27</f>
        <v>0</v>
      </c>
      <c r="AZ67" s="293">
        <f>Dashboard!$L21*AZ$27</f>
        <v>0</v>
      </c>
      <c r="BA67" s="293">
        <f>Dashboard!$L21*BA$27</f>
        <v>0</v>
      </c>
      <c r="BB67" s="293">
        <f>Dashboard!$L21*BB$27</f>
        <v>0</v>
      </c>
      <c r="BC67" s="293">
        <f>Dashboard!$L21*BC$27</f>
        <v>0</v>
      </c>
      <c r="BD67" s="293">
        <f>Dashboard!$L21*BD$27</f>
        <v>0</v>
      </c>
      <c r="BE67" s="293">
        <f>Dashboard!$L21*BE$27</f>
        <v>0</v>
      </c>
      <c r="BF67" s="293">
        <f>Dashboard!$L21*BF$27</f>
        <v>0</v>
      </c>
      <c r="BG67" s="293">
        <f>Dashboard!$L21*BG$27</f>
        <v>0</v>
      </c>
      <c r="BH67" s="293">
        <f>Dashboard!$L21*BH$27</f>
        <v>0</v>
      </c>
      <c r="BI67" s="293">
        <f>Dashboard!$L21*BI$27</f>
        <v>0</v>
      </c>
      <c r="BJ67" s="293">
        <f>Dashboard!$L21*BJ$27</f>
        <v>0</v>
      </c>
      <c r="BK67" s="293">
        <f>Dashboard!$L21*BK$27</f>
        <v>0</v>
      </c>
      <c r="BL67" s="293">
        <f>Dashboard!$L21*BL$27</f>
        <v>0</v>
      </c>
      <c r="BM67" s="293">
        <f>Dashboard!$L21*BM$27</f>
        <v>0</v>
      </c>
      <c r="BN67" s="293">
        <f>Dashboard!$L21*BN$27</f>
        <v>0</v>
      </c>
      <c r="BO67" s="293">
        <f>Dashboard!$L21*BO$27</f>
        <v>0</v>
      </c>
      <c r="BP67" s="293">
        <f>Dashboard!$L21*BP$27</f>
        <v>0</v>
      </c>
    </row>
    <row r="68" spans="1:68" ht="12" customHeight="1" outlineLevel="2">
      <c r="B68" s="290" t="s">
        <v>77</v>
      </c>
      <c r="C68" s="291"/>
      <c r="D68" s="292"/>
      <c r="E68" s="293">
        <f>Dashboard!$L22*E$27</f>
        <v>0</v>
      </c>
      <c r="F68" s="293">
        <f>Dashboard!$L22*F$27</f>
        <v>0</v>
      </c>
      <c r="G68" s="293">
        <f>Dashboard!$L22*G$27</f>
        <v>0</v>
      </c>
      <c r="H68" s="293">
        <f>Dashboard!$L22*H$27</f>
        <v>0</v>
      </c>
      <c r="I68" s="293">
        <f>Dashboard!$L22*I$27</f>
        <v>0</v>
      </c>
      <c r="J68" s="293">
        <f>Dashboard!$L22*J$27</f>
        <v>0</v>
      </c>
      <c r="K68" s="293">
        <f>Dashboard!$L22*K$27</f>
        <v>0</v>
      </c>
      <c r="L68" s="293">
        <f>Dashboard!$L22*L$27</f>
        <v>0</v>
      </c>
      <c r="M68" s="293">
        <f>Dashboard!$L22*M$27</f>
        <v>0</v>
      </c>
      <c r="N68" s="293">
        <f>Dashboard!$L22*N$27</f>
        <v>0</v>
      </c>
      <c r="O68" s="293">
        <f>Dashboard!$L22*O$27</f>
        <v>0</v>
      </c>
      <c r="P68" s="293">
        <f>Dashboard!$L22*P$27</f>
        <v>0</v>
      </c>
      <c r="Q68" s="293">
        <f>Dashboard!$L22*Q$27</f>
        <v>0</v>
      </c>
      <c r="R68" s="293">
        <f>Dashboard!$L22*R$27</f>
        <v>0</v>
      </c>
      <c r="S68" s="293">
        <f>Dashboard!$L22*S$27</f>
        <v>0</v>
      </c>
      <c r="T68" s="293">
        <f>Dashboard!$L22*T$27</f>
        <v>0</v>
      </c>
      <c r="U68" s="293">
        <f>Dashboard!$L22*U$27</f>
        <v>0</v>
      </c>
      <c r="V68" s="293">
        <f>Dashboard!$L22*V$27</f>
        <v>0</v>
      </c>
      <c r="W68" s="293">
        <f>Dashboard!$L22*W$27</f>
        <v>0</v>
      </c>
      <c r="X68" s="293">
        <f>Dashboard!$L22*X$27</f>
        <v>0</v>
      </c>
      <c r="Y68" s="293">
        <f>Dashboard!$L22*Y$27</f>
        <v>0</v>
      </c>
      <c r="Z68" s="293">
        <f>Dashboard!$L22*Z$27</f>
        <v>0</v>
      </c>
      <c r="AA68" s="293">
        <f>Dashboard!$L22*AA$27</f>
        <v>0</v>
      </c>
      <c r="AB68" s="293">
        <f>Dashboard!$L22*AB$27</f>
        <v>0</v>
      </c>
      <c r="AC68" s="293">
        <f>Dashboard!$L22*AC$27</f>
        <v>0</v>
      </c>
      <c r="AD68" s="293">
        <f>Dashboard!$L22*AD$27</f>
        <v>0</v>
      </c>
      <c r="AE68" s="293">
        <f>Dashboard!$L22*AE$27</f>
        <v>0</v>
      </c>
      <c r="AF68" s="293">
        <f>Dashboard!$L22*AF$27</f>
        <v>0</v>
      </c>
      <c r="AG68" s="293">
        <f>Dashboard!$L22*AG$27</f>
        <v>0</v>
      </c>
      <c r="AH68" s="293">
        <f>Dashboard!$L22*AH$27</f>
        <v>0</v>
      </c>
      <c r="AI68" s="293">
        <f>Dashboard!$L22*AI$27</f>
        <v>0</v>
      </c>
      <c r="AJ68" s="293">
        <f>Dashboard!$L22*AJ$27</f>
        <v>0</v>
      </c>
      <c r="AK68" s="293">
        <f>Dashboard!$L22*AK$27</f>
        <v>0</v>
      </c>
      <c r="AL68" s="293">
        <f>Dashboard!$L22*AL$27</f>
        <v>0</v>
      </c>
      <c r="AM68" s="293">
        <f>Dashboard!$L22*AM$27</f>
        <v>0</v>
      </c>
      <c r="AN68" s="293">
        <f>Dashboard!$L22*AN$27</f>
        <v>0</v>
      </c>
      <c r="AO68" s="293">
        <f>Dashboard!$L22*AO$27</f>
        <v>0</v>
      </c>
      <c r="AP68" s="293">
        <f>Dashboard!$L22*AP$27</f>
        <v>0</v>
      </c>
      <c r="AQ68" s="293">
        <f>Dashboard!$L22*AQ$27</f>
        <v>0</v>
      </c>
      <c r="AR68" s="293">
        <f>Dashboard!$L22*AR$27</f>
        <v>0</v>
      </c>
      <c r="AS68" s="293">
        <f>Dashboard!$L22*AS$27</f>
        <v>0</v>
      </c>
      <c r="AT68" s="293">
        <f>Dashboard!$L22*AT$27</f>
        <v>0</v>
      </c>
      <c r="AU68" s="293">
        <f>Dashboard!$L22*AU$27</f>
        <v>0</v>
      </c>
      <c r="AV68" s="293">
        <f>Dashboard!$L22*AV$27</f>
        <v>0</v>
      </c>
      <c r="AW68" s="293">
        <f>Dashboard!$L22*AW$27</f>
        <v>0</v>
      </c>
      <c r="AX68" s="293">
        <f>Dashboard!$L22*AX$27</f>
        <v>0</v>
      </c>
      <c r="AY68" s="293">
        <f>Dashboard!$L22*AY$27</f>
        <v>0</v>
      </c>
      <c r="AZ68" s="293">
        <f>Dashboard!$L22*AZ$27</f>
        <v>0</v>
      </c>
      <c r="BA68" s="293">
        <f>Dashboard!$L22*BA$27</f>
        <v>0</v>
      </c>
      <c r="BB68" s="293">
        <f>Dashboard!$L22*BB$27</f>
        <v>0</v>
      </c>
      <c r="BC68" s="293">
        <f>Dashboard!$L22*BC$27</f>
        <v>0</v>
      </c>
      <c r="BD68" s="293">
        <f>Dashboard!$L22*BD$27</f>
        <v>0</v>
      </c>
      <c r="BE68" s="293">
        <f>Dashboard!$L22*BE$27</f>
        <v>0</v>
      </c>
      <c r="BF68" s="293">
        <f>Dashboard!$L22*BF$27</f>
        <v>0</v>
      </c>
      <c r="BG68" s="293">
        <f>Dashboard!$L22*BG$27</f>
        <v>0</v>
      </c>
      <c r="BH68" s="293">
        <f>Dashboard!$L22*BH$27</f>
        <v>0</v>
      </c>
      <c r="BI68" s="293">
        <f>Dashboard!$L22*BI$27</f>
        <v>0</v>
      </c>
      <c r="BJ68" s="293">
        <f>Dashboard!$L22*BJ$27</f>
        <v>0</v>
      </c>
      <c r="BK68" s="293">
        <f>Dashboard!$L22*BK$27</f>
        <v>0</v>
      </c>
      <c r="BL68" s="293">
        <f>Dashboard!$L22*BL$27</f>
        <v>0</v>
      </c>
      <c r="BM68" s="293">
        <f>Dashboard!$L22*BM$27</f>
        <v>0</v>
      </c>
      <c r="BN68" s="293">
        <f>Dashboard!$L22*BN$27</f>
        <v>0</v>
      </c>
      <c r="BO68" s="293">
        <f>Dashboard!$L22*BO$27</f>
        <v>0</v>
      </c>
      <c r="BP68" s="293">
        <f>Dashboard!$L22*BP$27</f>
        <v>0</v>
      </c>
    </row>
    <row r="69" spans="1:68" ht="12" customHeight="1" outlineLevel="2">
      <c r="B69" s="290" t="s">
        <v>81</v>
      </c>
      <c r="C69" s="291"/>
      <c r="D69" s="292"/>
      <c r="E69" s="293">
        <f>Dashboard!$L23*E$27</f>
        <v>392.94000000000005</v>
      </c>
      <c r="F69" s="293">
        <f>Dashboard!$L23*F$27</f>
        <v>392.94000000000005</v>
      </c>
      <c r="G69" s="293">
        <f>Dashboard!$L23*G$27</f>
        <v>392.94000000000005</v>
      </c>
      <c r="H69" s="293">
        <f>Dashboard!$L23*H$27</f>
        <v>392.94000000000005</v>
      </c>
      <c r="I69" s="293">
        <f>Dashboard!$L23*I$27</f>
        <v>392.94000000000005</v>
      </c>
      <c r="J69" s="293">
        <f>Dashboard!$L23*J$27</f>
        <v>392.94000000000005</v>
      </c>
      <c r="K69" s="293">
        <f>Dashboard!$L23*K$27</f>
        <v>392.94000000000005</v>
      </c>
      <c r="L69" s="293">
        <f>Dashboard!$L23*L$27</f>
        <v>392.94000000000005</v>
      </c>
      <c r="M69" s="293">
        <f>Dashboard!$L23*M$27</f>
        <v>392.94000000000005</v>
      </c>
      <c r="N69" s="293">
        <f>Dashboard!$L23*N$27</f>
        <v>392.94000000000005</v>
      </c>
      <c r="O69" s="293">
        <f>Dashboard!$L23*O$27</f>
        <v>0</v>
      </c>
      <c r="P69" s="293">
        <f>Dashboard!$L23*P$27</f>
        <v>0</v>
      </c>
      <c r="Q69" s="293">
        <f>Dashboard!$L23*Q$27</f>
        <v>0</v>
      </c>
      <c r="R69" s="293">
        <f>Dashboard!$L23*R$27</f>
        <v>0</v>
      </c>
      <c r="S69" s="293">
        <f>Dashboard!$L23*S$27</f>
        <v>0</v>
      </c>
      <c r="T69" s="293">
        <f>Dashboard!$L23*T$27</f>
        <v>0</v>
      </c>
      <c r="U69" s="293">
        <f>Dashboard!$L23*U$27</f>
        <v>0</v>
      </c>
      <c r="V69" s="293">
        <f>Dashboard!$L23*V$27</f>
        <v>0</v>
      </c>
      <c r="W69" s="293">
        <f>Dashboard!$L23*W$27</f>
        <v>0</v>
      </c>
      <c r="X69" s="293">
        <f>Dashboard!$L23*X$27</f>
        <v>0</v>
      </c>
      <c r="Y69" s="293">
        <f>Dashboard!$L23*Y$27</f>
        <v>0</v>
      </c>
      <c r="Z69" s="293">
        <f>Dashboard!$L23*Z$27</f>
        <v>0</v>
      </c>
      <c r="AA69" s="293">
        <f>Dashboard!$L23*AA$27</f>
        <v>0</v>
      </c>
      <c r="AB69" s="293">
        <f>Dashboard!$L23*AB$27</f>
        <v>0</v>
      </c>
      <c r="AC69" s="293">
        <f>Dashboard!$L23*AC$27</f>
        <v>0</v>
      </c>
      <c r="AD69" s="293">
        <f>Dashboard!$L23*AD$27</f>
        <v>0</v>
      </c>
      <c r="AE69" s="293">
        <f>Dashboard!$L23*AE$27</f>
        <v>0</v>
      </c>
      <c r="AF69" s="293">
        <f>Dashboard!$L23*AF$27</f>
        <v>0</v>
      </c>
      <c r="AG69" s="293">
        <f>Dashboard!$L23*AG$27</f>
        <v>0</v>
      </c>
      <c r="AH69" s="293">
        <f>Dashboard!$L23*AH$27</f>
        <v>0</v>
      </c>
      <c r="AI69" s="293">
        <f>Dashboard!$L23*AI$27</f>
        <v>0</v>
      </c>
      <c r="AJ69" s="293">
        <f>Dashboard!$L23*AJ$27</f>
        <v>0</v>
      </c>
      <c r="AK69" s="293">
        <f>Dashboard!$L23*AK$27</f>
        <v>0</v>
      </c>
      <c r="AL69" s="293">
        <f>Dashboard!$L23*AL$27</f>
        <v>0</v>
      </c>
      <c r="AM69" s="293">
        <f>Dashboard!$L23*AM$27</f>
        <v>0</v>
      </c>
      <c r="AN69" s="293">
        <f>Dashboard!$L23*AN$27</f>
        <v>0</v>
      </c>
      <c r="AO69" s="293">
        <f>Dashboard!$L23*AO$27</f>
        <v>0</v>
      </c>
      <c r="AP69" s="293">
        <f>Dashboard!$L23*AP$27</f>
        <v>0</v>
      </c>
      <c r="AQ69" s="293">
        <f>Dashboard!$L23*AQ$27</f>
        <v>0</v>
      </c>
      <c r="AR69" s="293">
        <f>Dashboard!$L23*AR$27</f>
        <v>0</v>
      </c>
      <c r="AS69" s="293">
        <f>Dashboard!$L23*AS$27</f>
        <v>0</v>
      </c>
      <c r="AT69" s="293">
        <f>Dashboard!$L23*AT$27</f>
        <v>0</v>
      </c>
      <c r="AU69" s="293">
        <f>Dashboard!$L23*AU$27</f>
        <v>0</v>
      </c>
      <c r="AV69" s="293">
        <f>Dashboard!$L23*AV$27</f>
        <v>0</v>
      </c>
      <c r="AW69" s="293">
        <f>Dashboard!$L23*AW$27</f>
        <v>0</v>
      </c>
      <c r="AX69" s="293">
        <f>Dashboard!$L23*AX$27</f>
        <v>0</v>
      </c>
      <c r="AY69" s="293">
        <f>Dashboard!$L23*AY$27</f>
        <v>0</v>
      </c>
      <c r="AZ69" s="293">
        <f>Dashboard!$L23*AZ$27</f>
        <v>0</v>
      </c>
      <c r="BA69" s="293">
        <f>Dashboard!$L23*BA$27</f>
        <v>0</v>
      </c>
      <c r="BB69" s="293">
        <f>Dashboard!$L23*BB$27</f>
        <v>0</v>
      </c>
      <c r="BC69" s="293">
        <f>Dashboard!$L23*BC$27</f>
        <v>0</v>
      </c>
      <c r="BD69" s="293">
        <f>Dashboard!$L23*BD$27</f>
        <v>0</v>
      </c>
      <c r="BE69" s="293">
        <f>Dashboard!$L23*BE$27</f>
        <v>0</v>
      </c>
      <c r="BF69" s="293">
        <f>Dashboard!$L23*BF$27</f>
        <v>0</v>
      </c>
      <c r="BG69" s="293">
        <f>Dashboard!$L23*BG$27</f>
        <v>0</v>
      </c>
      <c r="BH69" s="293">
        <f>Dashboard!$L23*BH$27</f>
        <v>0</v>
      </c>
      <c r="BI69" s="293">
        <f>Dashboard!$L23*BI$27</f>
        <v>0</v>
      </c>
      <c r="BJ69" s="293">
        <f>Dashboard!$L23*BJ$27</f>
        <v>0</v>
      </c>
      <c r="BK69" s="293">
        <f>Dashboard!$L23*BK$27</f>
        <v>0</v>
      </c>
      <c r="BL69" s="293">
        <f>Dashboard!$L23*BL$27</f>
        <v>0</v>
      </c>
      <c r="BM69" s="293">
        <f>Dashboard!$L23*BM$27</f>
        <v>0</v>
      </c>
      <c r="BN69" s="293">
        <f>Dashboard!$L23*BN$27</f>
        <v>0</v>
      </c>
      <c r="BO69" s="293">
        <f>Dashboard!$L23*BO$27</f>
        <v>0</v>
      </c>
      <c r="BP69" s="293">
        <f>Dashboard!$L23*BP$27</f>
        <v>0</v>
      </c>
    </row>
    <row r="70" spans="1:68" ht="12" customHeight="1" outlineLevel="2">
      <c r="B70" s="290" t="s">
        <v>85</v>
      </c>
      <c r="C70" s="291"/>
      <c r="D70" s="292"/>
      <c r="E70" s="293">
        <f>Dashboard!$L24*E$27</f>
        <v>0</v>
      </c>
      <c r="F70" s="293">
        <f>Dashboard!$L24*F$27</f>
        <v>0</v>
      </c>
      <c r="G70" s="293">
        <f>Dashboard!$L24*G$27</f>
        <v>0</v>
      </c>
      <c r="H70" s="293">
        <f>Dashboard!$L24*H$27</f>
        <v>0</v>
      </c>
      <c r="I70" s="293">
        <f>Dashboard!$L24*I$27</f>
        <v>0</v>
      </c>
      <c r="J70" s="293">
        <f>Dashboard!$L24*J$27</f>
        <v>0</v>
      </c>
      <c r="K70" s="293">
        <f>Dashboard!$L24*K$27</f>
        <v>0</v>
      </c>
      <c r="L70" s="293">
        <f>Dashboard!$L24*L$27</f>
        <v>0</v>
      </c>
      <c r="M70" s="293">
        <f>Dashboard!$L24*M$27</f>
        <v>0</v>
      </c>
      <c r="N70" s="293">
        <f>Dashboard!$L24*N$27</f>
        <v>0</v>
      </c>
      <c r="O70" s="293">
        <f>Dashboard!$L24*O$27</f>
        <v>0</v>
      </c>
      <c r="P70" s="293">
        <f>Dashboard!$L24*P$27</f>
        <v>0</v>
      </c>
      <c r="Q70" s="293">
        <f>Dashboard!$L24*Q$27</f>
        <v>0</v>
      </c>
      <c r="R70" s="293">
        <f>Dashboard!$L24*R$27</f>
        <v>0</v>
      </c>
      <c r="S70" s="293">
        <f>Dashboard!$L24*S$27</f>
        <v>0</v>
      </c>
      <c r="T70" s="293">
        <f>Dashboard!$L24*T$27</f>
        <v>0</v>
      </c>
      <c r="U70" s="293">
        <f>Dashboard!$L24*U$27</f>
        <v>0</v>
      </c>
      <c r="V70" s="293">
        <f>Dashboard!$L24*V$27</f>
        <v>0</v>
      </c>
      <c r="W70" s="293">
        <f>Dashboard!$L24*W$27</f>
        <v>0</v>
      </c>
      <c r="X70" s="293">
        <f>Dashboard!$L24*X$27</f>
        <v>0</v>
      </c>
      <c r="Y70" s="293">
        <f>Dashboard!$L24*Y$27</f>
        <v>0</v>
      </c>
      <c r="Z70" s="293">
        <f>Dashboard!$L24*Z$27</f>
        <v>0</v>
      </c>
      <c r="AA70" s="293">
        <f>Dashboard!$L24*AA$27</f>
        <v>0</v>
      </c>
      <c r="AB70" s="293">
        <f>Dashboard!$L24*AB$27</f>
        <v>0</v>
      </c>
      <c r="AC70" s="293">
        <f>Dashboard!$L24*AC$27</f>
        <v>0</v>
      </c>
      <c r="AD70" s="293">
        <f>Dashboard!$L24*AD$27</f>
        <v>0</v>
      </c>
      <c r="AE70" s="293">
        <f>Dashboard!$L24*AE$27</f>
        <v>0</v>
      </c>
      <c r="AF70" s="293">
        <f>Dashboard!$L24*AF$27</f>
        <v>0</v>
      </c>
      <c r="AG70" s="293">
        <f>Dashboard!$L24*AG$27</f>
        <v>0</v>
      </c>
      <c r="AH70" s="293">
        <f>Dashboard!$L24*AH$27</f>
        <v>0</v>
      </c>
      <c r="AI70" s="293">
        <f>Dashboard!$L24*AI$27</f>
        <v>0</v>
      </c>
      <c r="AJ70" s="293">
        <f>Dashboard!$L24*AJ$27</f>
        <v>0</v>
      </c>
      <c r="AK70" s="293">
        <f>Dashboard!$L24*AK$27</f>
        <v>0</v>
      </c>
      <c r="AL70" s="293">
        <f>Dashboard!$L24*AL$27</f>
        <v>0</v>
      </c>
      <c r="AM70" s="293">
        <f>Dashboard!$L24*AM$27</f>
        <v>0</v>
      </c>
      <c r="AN70" s="293">
        <f>Dashboard!$L24*AN$27</f>
        <v>0</v>
      </c>
      <c r="AO70" s="293">
        <f>Dashboard!$L24*AO$27</f>
        <v>0</v>
      </c>
      <c r="AP70" s="293">
        <f>Dashboard!$L24*AP$27</f>
        <v>0</v>
      </c>
      <c r="AQ70" s="293">
        <f>Dashboard!$L24*AQ$27</f>
        <v>0</v>
      </c>
      <c r="AR70" s="293">
        <f>Dashboard!$L24*AR$27</f>
        <v>0</v>
      </c>
      <c r="AS70" s="293">
        <f>Dashboard!$L24*AS$27</f>
        <v>0</v>
      </c>
      <c r="AT70" s="293">
        <f>Dashboard!$L24*AT$27</f>
        <v>0</v>
      </c>
      <c r="AU70" s="293">
        <f>Dashboard!$L24*AU$27</f>
        <v>0</v>
      </c>
      <c r="AV70" s="293">
        <f>Dashboard!$L24*AV$27</f>
        <v>0</v>
      </c>
      <c r="AW70" s="293">
        <f>Dashboard!$L24*AW$27</f>
        <v>0</v>
      </c>
      <c r="AX70" s="293">
        <f>Dashboard!$L24*AX$27</f>
        <v>0</v>
      </c>
      <c r="AY70" s="293">
        <f>Dashboard!$L24*AY$27</f>
        <v>0</v>
      </c>
      <c r="AZ70" s="293">
        <f>Dashboard!$L24*AZ$27</f>
        <v>0</v>
      </c>
      <c r="BA70" s="293">
        <f>Dashboard!$L24*BA$27</f>
        <v>0</v>
      </c>
      <c r="BB70" s="293">
        <f>Dashboard!$L24*BB$27</f>
        <v>0</v>
      </c>
      <c r="BC70" s="293">
        <f>Dashboard!$L24*BC$27</f>
        <v>0</v>
      </c>
      <c r="BD70" s="293">
        <f>Dashboard!$L24*BD$27</f>
        <v>0</v>
      </c>
      <c r="BE70" s="293">
        <f>Dashboard!$L24*BE$27</f>
        <v>0</v>
      </c>
      <c r="BF70" s="293">
        <f>Dashboard!$L24*BF$27</f>
        <v>0</v>
      </c>
      <c r="BG70" s="293">
        <f>Dashboard!$L24*BG$27</f>
        <v>0</v>
      </c>
      <c r="BH70" s="293">
        <f>Dashboard!$L24*BH$27</f>
        <v>0</v>
      </c>
      <c r="BI70" s="293">
        <f>Dashboard!$L24*BI$27</f>
        <v>0</v>
      </c>
      <c r="BJ70" s="293">
        <f>Dashboard!$L24*BJ$27</f>
        <v>0</v>
      </c>
      <c r="BK70" s="293">
        <f>Dashboard!$L24*BK$27</f>
        <v>0</v>
      </c>
      <c r="BL70" s="293">
        <f>Dashboard!$L24*BL$27</f>
        <v>0</v>
      </c>
      <c r="BM70" s="293">
        <f>Dashboard!$L24*BM$27</f>
        <v>0</v>
      </c>
      <c r="BN70" s="293">
        <f>Dashboard!$L24*BN$27</f>
        <v>0</v>
      </c>
      <c r="BO70" s="293">
        <f>Dashboard!$L24*BO$27</f>
        <v>0</v>
      </c>
      <c r="BP70" s="293">
        <f>Dashboard!$L24*BP$27</f>
        <v>0</v>
      </c>
    </row>
    <row r="71" spans="1:68" ht="12" customHeight="1" outlineLevel="2">
      <c r="B71" s="290" t="s">
        <v>87</v>
      </c>
      <c r="C71" s="291"/>
      <c r="D71" s="292"/>
      <c r="E71" s="293">
        <f>IF(E24=1,Dashboard!$L25*0.75,IF(E24=Dashboard!$D$14,Dashboard!$L25*0.25,0))</f>
        <v>637.5</v>
      </c>
      <c r="F71" s="293">
        <f>IF(F24=1,Dashboard!$L25*0.75,IF(F24=Dashboard!$D$14,Dashboard!$L25*0.25,0))</f>
        <v>0</v>
      </c>
      <c r="G71" s="293">
        <f>IF(G24=1,Dashboard!$L25*0.75,IF(G24=Dashboard!$D$14,Dashboard!$L25*0.25,0))</f>
        <v>0</v>
      </c>
      <c r="H71" s="293">
        <f>IF(H24=1,Dashboard!$L25*0.75,IF(H24=Dashboard!$D$14,Dashboard!$L25*0.25,0))</f>
        <v>0</v>
      </c>
      <c r="I71" s="293">
        <f>IF(I24=1,Dashboard!$L25*0.75,IF(I24=Dashboard!$D$14,Dashboard!$L25*0.25,0))</f>
        <v>0</v>
      </c>
      <c r="J71" s="293">
        <f>IF(J24=1,Dashboard!$L25*0.75,IF(J24=Dashboard!$D$14,Dashboard!$L25*0.25,0))</f>
        <v>0</v>
      </c>
      <c r="K71" s="293">
        <f>IF(K24=1,Dashboard!$L25*0.75,IF(K24=Dashboard!$D$14,Dashboard!$L25*0.25,0))</f>
        <v>0</v>
      </c>
      <c r="L71" s="293">
        <f>IF(L24=1,Dashboard!$L25*0.75,IF(L24=Dashboard!$D$14,Dashboard!$L25*0.25,0))</f>
        <v>0</v>
      </c>
      <c r="M71" s="293">
        <f>IF(M24=1,Dashboard!$L25*0.75,IF(M24=Dashboard!$D$14,Dashboard!$L25*0.25,0))</f>
        <v>0</v>
      </c>
      <c r="N71" s="293">
        <f>IF(N24=1,Dashboard!$L25*0.75,IF(N24=Dashboard!$D$14,Dashboard!$L25*0.25,0))</f>
        <v>212.5</v>
      </c>
      <c r="O71" s="293">
        <f>IF(O24=1,Dashboard!$L25*0.75,IF(O24=Dashboard!$D$14,Dashboard!$L25*0.25,0))</f>
        <v>0</v>
      </c>
      <c r="P71" s="293">
        <f>IF(P24=1,Dashboard!$L25*0.75,IF(P24=Dashboard!$D$14,Dashboard!$L25*0.25,0))</f>
        <v>0</v>
      </c>
      <c r="Q71" s="293">
        <f>IF(Q24=1,Dashboard!$L25*0.75,IF(Q24=Dashboard!$D$14,Dashboard!$L25*0.25,0))</f>
        <v>0</v>
      </c>
      <c r="R71" s="293">
        <f>IF(R24=1,Dashboard!$L25*0.75,IF(R24=Dashboard!$D$14,Dashboard!$L25*0.25,0))</f>
        <v>0</v>
      </c>
      <c r="S71" s="293">
        <f>IF(S24=1,Dashboard!$L25*0.75,IF(S24=Dashboard!$D$14,Dashboard!$L25*0.25,0))</f>
        <v>0</v>
      </c>
      <c r="T71" s="293">
        <f>IF(T24=1,Dashboard!$L25*0.75,IF(T24=Dashboard!$D$14,Dashboard!$L25*0.25,0))</f>
        <v>0</v>
      </c>
      <c r="U71" s="293">
        <f>IF(U24=1,Dashboard!$L25*0.75,IF(U24=Dashboard!$D$14,Dashboard!$L25*0.25,0))</f>
        <v>0</v>
      </c>
      <c r="V71" s="293">
        <f>IF(V24=1,Dashboard!$L25*0.75,IF(V24=Dashboard!$D$14,Dashboard!$L25*0.25,0))</f>
        <v>0</v>
      </c>
      <c r="W71" s="293">
        <f>IF(W24=1,Dashboard!$L25*0.75,IF(W24=Dashboard!$D$14,Dashboard!$L25*0.25,0))</f>
        <v>0</v>
      </c>
      <c r="X71" s="293">
        <f>IF(X24=1,Dashboard!$L25*0.75,IF(X24=Dashboard!$D$14,Dashboard!$L25*0.25,0))</f>
        <v>0</v>
      </c>
      <c r="Y71" s="293">
        <f>IF(Y24=1,Dashboard!$L25*0.75,IF(Y24=Dashboard!$D$14,Dashboard!$L25*0.25,0))</f>
        <v>0</v>
      </c>
      <c r="Z71" s="293">
        <f>IF(Z24=1,Dashboard!$L25*0.75,IF(Z24=Dashboard!$D$14,Dashboard!$L25*0.25,0))</f>
        <v>0</v>
      </c>
      <c r="AA71" s="293">
        <f>IF(AA24=1,Dashboard!$L25*0.75,IF(AA24=Dashboard!$D$14,Dashboard!$L25*0.25,0))</f>
        <v>0</v>
      </c>
      <c r="AB71" s="293">
        <f>IF(AB24=1,Dashboard!$L25*0.75,IF(AB24=Dashboard!$D$14,Dashboard!$L25*0.25,0))</f>
        <v>0</v>
      </c>
      <c r="AC71" s="293">
        <f>IF(AC24=1,Dashboard!$L25*0.75,IF(AC24=Dashboard!$D$14,Dashboard!$L25*0.25,0))</f>
        <v>0</v>
      </c>
      <c r="AD71" s="293">
        <f>IF(AD24=1,Dashboard!$L25*0.75,IF(AD24=Dashboard!$D$14,Dashboard!$L25*0.25,0))</f>
        <v>0</v>
      </c>
      <c r="AE71" s="293">
        <f>IF(AE24=1,Dashboard!$L25*0.75,IF(AE24=Dashboard!$D$14,Dashboard!$L25*0.25,0))</f>
        <v>0</v>
      </c>
      <c r="AF71" s="293">
        <f>IF(AF24=1,Dashboard!$L25*0.75,IF(AF24=Dashboard!$D$14,Dashboard!$L25*0.25,0))</f>
        <v>0</v>
      </c>
      <c r="AG71" s="293">
        <f>IF(AG24=1,Dashboard!$L25*0.75,IF(AG24=Dashboard!$D$14,Dashboard!$L25*0.25,0))</f>
        <v>0</v>
      </c>
      <c r="AH71" s="293">
        <f>IF(AH24=1,Dashboard!$L25*0.75,IF(AH24=Dashboard!$D$14,Dashboard!$L25*0.25,0))</f>
        <v>0</v>
      </c>
      <c r="AI71" s="293">
        <f>IF(AI24=1,Dashboard!$L25*0.75,IF(AI24=Dashboard!$D$14,Dashboard!$L25*0.25,0))</f>
        <v>0</v>
      </c>
      <c r="AJ71" s="293">
        <f>IF(AJ24=1,Dashboard!$L25*0.75,IF(AJ24=Dashboard!$D$14,Dashboard!$L25*0.25,0))</f>
        <v>0</v>
      </c>
      <c r="AK71" s="293">
        <f>IF(AK24=1,Dashboard!$L25*0.75,IF(AK24=Dashboard!$D$14,Dashboard!$L25*0.25,0))</f>
        <v>0</v>
      </c>
      <c r="AL71" s="293">
        <f>IF(AL24=1,Dashboard!$L25*0.75,IF(AL24=Dashboard!$D$14,Dashboard!$L25*0.25,0))</f>
        <v>0</v>
      </c>
      <c r="AM71" s="293">
        <f>IF(AM24=1,Dashboard!$L25*0.75,IF(AM24=Dashboard!$D$14,Dashboard!$L25*0.25,0))</f>
        <v>0</v>
      </c>
      <c r="AN71" s="293">
        <f>IF(AN24=1,Dashboard!$L25*0.75,IF(AN24=Dashboard!$D$14,Dashboard!$L25*0.25,0))</f>
        <v>0</v>
      </c>
      <c r="AO71" s="293">
        <f>IF(AO24=1,Dashboard!$L25*0.75,IF(AO24=Dashboard!$D$14,Dashboard!$L25*0.25,0))</f>
        <v>0</v>
      </c>
      <c r="AP71" s="293">
        <f>IF(AP24=1,Dashboard!$L25*0.75,IF(AP24=Dashboard!$D$14,Dashboard!$L25*0.25,0))</f>
        <v>0</v>
      </c>
      <c r="AQ71" s="293">
        <f>IF(AQ24=1,Dashboard!$L25*0.75,IF(AQ24=Dashboard!$D$14,Dashboard!$L25*0.25,0))</f>
        <v>0</v>
      </c>
      <c r="AR71" s="293">
        <f>IF(AR24=1,Dashboard!$L25*0.75,IF(AR24=Dashboard!$D$14,Dashboard!$L25*0.25,0))</f>
        <v>0</v>
      </c>
      <c r="AS71" s="293">
        <f>IF(AS24=1,Dashboard!$L25*0.75,IF(AS24=Dashboard!$D$14,Dashboard!$L25*0.25,0))</f>
        <v>0</v>
      </c>
      <c r="AT71" s="293">
        <f>IF(AT24=1,Dashboard!$L25*0.75,IF(AT24=Dashboard!$D$14,Dashboard!$L25*0.25,0))</f>
        <v>0</v>
      </c>
      <c r="AU71" s="293">
        <f>IF(AU24=1,Dashboard!$L25*0.75,IF(AU24=Dashboard!$D$14,Dashboard!$L25*0.25,0))</f>
        <v>0</v>
      </c>
      <c r="AV71" s="293">
        <f>IF(AV24=1,Dashboard!$L25*0.75,IF(AV24=Dashboard!$D$14,Dashboard!$L25*0.25,0))</f>
        <v>0</v>
      </c>
      <c r="AW71" s="293">
        <f>IF(AW24=1,Dashboard!$L25*0.75,IF(AW24=Dashboard!$D$14,Dashboard!$L25*0.25,0))</f>
        <v>0</v>
      </c>
      <c r="AX71" s="293">
        <f>IF(AX24=1,Dashboard!$L25*0.75,IF(AX24=Dashboard!$D$14,Dashboard!$L25*0.25,0))</f>
        <v>0</v>
      </c>
      <c r="AY71" s="293">
        <f>IF(AY24=1,Dashboard!$L25*0.75,IF(AY24=Dashboard!$D$14,Dashboard!$L25*0.25,0))</f>
        <v>0</v>
      </c>
      <c r="AZ71" s="293">
        <f>IF(AZ24=1,Dashboard!$L25*0.75,IF(AZ24=Dashboard!$D$14,Dashboard!$L25*0.25,0))</f>
        <v>0</v>
      </c>
      <c r="BA71" s="293">
        <f>IF(BA24=1,Dashboard!$L25*0.75,IF(BA24=Dashboard!$D$14,Dashboard!$L25*0.25,0))</f>
        <v>0</v>
      </c>
      <c r="BB71" s="293">
        <f>IF(BB24=1,Dashboard!$L25*0.75,IF(BB24=Dashboard!$D$14,Dashboard!$L25*0.25,0))</f>
        <v>0</v>
      </c>
      <c r="BC71" s="293">
        <f>IF(BC24=1,Dashboard!$L25*0.75,IF(BC24=Dashboard!$D$14,Dashboard!$L25*0.25,0))</f>
        <v>0</v>
      </c>
      <c r="BD71" s="293">
        <f>IF(BD24=1,Dashboard!$L25*0.75,IF(BD24=Dashboard!$D$14,Dashboard!$L25*0.25,0))</f>
        <v>0</v>
      </c>
      <c r="BE71" s="293">
        <f>IF(BE24=1,Dashboard!$L25*0.75,IF(BE24=Dashboard!$D$14,Dashboard!$L25*0.25,0))</f>
        <v>0</v>
      </c>
      <c r="BF71" s="293">
        <f>IF(BF24=1,Dashboard!$L25*0.75,IF(BF24=Dashboard!$D$14,Dashboard!$L25*0.25,0))</f>
        <v>0</v>
      </c>
      <c r="BG71" s="293">
        <f>IF(BG24=1,Dashboard!$L25*0.75,IF(BG24=Dashboard!$D$14,Dashboard!$L25*0.25,0))</f>
        <v>0</v>
      </c>
      <c r="BH71" s="293">
        <f>IF(BH24=1,Dashboard!$L25*0.75,IF(BH24=Dashboard!$D$14,Dashboard!$L25*0.25,0))</f>
        <v>0</v>
      </c>
      <c r="BI71" s="293">
        <f>IF(BI24=1,Dashboard!$L25*0.75,IF(BI24=Dashboard!$D$14,Dashboard!$L25*0.25,0))</f>
        <v>0</v>
      </c>
      <c r="BJ71" s="293">
        <f>IF(BJ24=1,Dashboard!$L25*0.75,IF(BJ24=Dashboard!$D$14,Dashboard!$L25*0.25,0))</f>
        <v>0</v>
      </c>
      <c r="BK71" s="293">
        <f>IF(BK24=1,Dashboard!$L25*0.75,IF(BK24=Dashboard!$D$14,Dashboard!$L25*0.25,0))</f>
        <v>0</v>
      </c>
      <c r="BL71" s="293">
        <f>IF(BL24=1,Dashboard!$L25*0.75,IF(BL24=Dashboard!$D$14,Dashboard!$L25*0.25,0))</f>
        <v>0</v>
      </c>
      <c r="BM71" s="293">
        <f>IF(BM24=1,Dashboard!$L25*0.75,IF(BM24=Dashboard!$D$14,Dashboard!$L25*0.25,0))</f>
        <v>0</v>
      </c>
      <c r="BN71" s="293">
        <f>IF(BN24=1,Dashboard!$L25*0.75,IF(BN24=Dashboard!$D$14,Dashboard!$L25*0.25,0))</f>
        <v>0</v>
      </c>
      <c r="BO71" s="293">
        <f>IF(BO24=1,Dashboard!$L25*0.75,IF(BO24=Dashboard!$D$14,Dashboard!$L25*0.25,0))</f>
        <v>0</v>
      </c>
      <c r="BP71" s="293">
        <f>IF(BP24=1,Dashboard!$L25*0.75,IF(BP24=Dashboard!$D$14,Dashboard!$L25*0.25,0))</f>
        <v>0</v>
      </c>
    </row>
    <row r="72" spans="1:68" ht="12" customHeight="1" outlineLevel="2">
      <c r="B72" s="290" t="s">
        <v>91</v>
      </c>
      <c r="C72" s="291"/>
      <c r="D72" s="292"/>
      <c r="E72" s="293">
        <f>Dashboard!$L26*E$27</f>
        <v>0</v>
      </c>
      <c r="F72" s="293">
        <f>Dashboard!$L26*F$27</f>
        <v>0</v>
      </c>
      <c r="G72" s="293">
        <f>Dashboard!$L26*G$27</f>
        <v>0</v>
      </c>
      <c r="H72" s="293">
        <f>Dashboard!$L26*H$27</f>
        <v>0</v>
      </c>
      <c r="I72" s="293">
        <f>Dashboard!$L26*I$27</f>
        <v>0</v>
      </c>
      <c r="J72" s="293">
        <f>Dashboard!$L26*J$27</f>
        <v>0</v>
      </c>
      <c r="K72" s="293">
        <f>Dashboard!$L26*K$27</f>
        <v>0</v>
      </c>
      <c r="L72" s="293">
        <f>Dashboard!$L26*L$27</f>
        <v>0</v>
      </c>
      <c r="M72" s="293">
        <f>Dashboard!$L26*M$27</f>
        <v>0</v>
      </c>
      <c r="N72" s="293">
        <f>Dashboard!$L26*N$27</f>
        <v>0</v>
      </c>
      <c r="O72" s="293">
        <f>Dashboard!$L26*O$27</f>
        <v>0</v>
      </c>
      <c r="P72" s="293">
        <f>Dashboard!$L26*P$27</f>
        <v>0</v>
      </c>
      <c r="Q72" s="293">
        <f>Dashboard!$L26*Q$27</f>
        <v>0</v>
      </c>
      <c r="R72" s="293">
        <f>Dashboard!$L26*R$27</f>
        <v>0</v>
      </c>
      <c r="S72" s="293">
        <f>Dashboard!$L26*S$27</f>
        <v>0</v>
      </c>
      <c r="T72" s="293">
        <f>Dashboard!$L26*T$27</f>
        <v>0</v>
      </c>
      <c r="U72" s="293">
        <f>Dashboard!$L26*U$27</f>
        <v>0</v>
      </c>
      <c r="V72" s="293">
        <f>Dashboard!$L26*V$27</f>
        <v>0</v>
      </c>
      <c r="W72" s="293">
        <f>Dashboard!$L26*W$27</f>
        <v>0</v>
      </c>
      <c r="X72" s="293">
        <f>Dashboard!$L26*X$27</f>
        <v>0</v>
      </c>
      <c r="Y72" s="293">
        <f>Dashboard!$L26*Y$27</f>
        <v>0</v>
      </c>
      <c r="Z72" s="293">
        <f>Dashboard!$L26*Z$27</f>
        <v>0</v>
      </c>
      <c r="AA72" s="293">
        <f>Dashboard!$L26*AA$27</f>
        <v>0</v>
      </c>
      <c r="AB72" s="293">
        <f>Dashboard!$L26*AB$27</f>
        <v>0</v>
      </c>
      <c r="AC72" s="293">
        <f>Dashboard!$L26*AC$27</f>
        <v>0</v>
      </c>
      <c r="AD72" s="293">
        <f>Dashboard!$L26*AD$27</f>
        <v>0</v>
      </c>
      <c r="AE72" s="293">
        <f>Dashboard!$L26*AE$27</f>
        <v>0</v>
      </c>
      <c r="AF72" s="293">
        <f>Dashboard!$L26*AF$27</f>
        <v>0</v>
      </c>
      <c r="AG72" s="293">
        <f>Dashboard!$L26*AG$27</f>
        <v>0</v>
      </c>
      <c r="AH72" s="293">
        <f>Dashboard!$L26*AH$27</f>
        <v>0</v>
      </c>
      <c r="AI72" s="293">
        <f>Dashboard!$L26*AI$27</f>
        <v>0</v>
      </c>
      <c r="AJ72" s="293">
        <f>Dashboard!$L26*AJ$27</f>
        <v>0</v>
      </c>
      <c r="AK72" s="293">
        <f>Dashboard!$L26*AK$27</f>
        <v>0</v>
      </c>
      <c r="AL72" s="293">
        <f>Dashboard!$L26*AL$27</f>
        <v>0</v>
      </c>
      <c r="AM72" s="293">
        <f>Dashboard!$L26*AM$27</f>
        <v>0</v>
      </c>
      <c r="AN72" s="293">
        <f>Dashboard!$L26*AN$27</f>
        <v>0</v>
      </c>
      <c r="AO72" s="293">
        <f>Dashboard!$L26*AO$27</f>
        <v>0</v>
      </c>
      <c r="AP72" s="293">
        <f>Dashboard!$L26*AP$27</f>
        <v>0</v>
      </c>
      <c r="AQ72" s="293">
        <f>Dashboard!$L26*AQ$27</f>
        <v>0</v>
      </c>
      <c r="AR72" s="293">
        <f>Dashboard!$L26*AR$27</f>
        <v>0</v>
      </c>
      <c r="AS72" s="293">
        <f>Dashboard!$L26*AS$27</f>
        <v>0</v>
      </c>
      <c r="AT72" s="293">
        <f>Dashboard!$L26*AT$27</f>
        <v>0</v>
      </c>
      <c r="AU72" s="293">
        <f>Dashboard!$L26*AU$27</f>
        <v>0</v>
      </c>
      <c r="AV72" s="293">
        <f>Dashboard!$L26*AV$27</f>
        <v>0</v>
      </c>
      <c r="AW72" s="293">
        <f>Dashboard!$L26*AW$27</f>
        <v>0</v>
      </c>
      <c r="AX72" s="293">
        <f>Dashboard!$L26*AX$27</f>
        <v>0</v>
      </c>
      <c r="AY72" s="293">
        <f>Dashboard!$L26*AY$27</f>
        <v>0</v>
      </c>
      <c r="AZ72" s="293">
        <f>Dashboard!$L26*AZ$27</f>
        <v>0</v>
      </c>
      <c r="BA72" s="293">
        <f>Dashboard!$L26*BA$27</f>
        <v>0</v>
      </c>
      <c r="BB72" s="293">
        <f>Dashboard!$L26*BB$27</f>
        <v>0</v>
      </c>
      <c r="BC72" s="293">
        <f>Dashboard!$L26*BC$27</f>
        <v>0</v>
      </c>
      <c r="BD72" s="293">
        <f>Dashboard!$L26*BD$27</f>
        <v>0</v>
      </c>
      <c r="BE72" s="293">
        <f>Dashboard!$L26*BE$27</f>
        <v>0</v>
      </c>
      <c r="BF72" s="293">
        <f>Dashboard!$L26*BF$27</f>
        <v>0</v>
      </c>
      <c r="BG72" s="293">
        <f>Dashboard!$L26*BG$27</f>
        <v>0</v>
      </c>
      <c r="BH72" s="293">
        <f>Dashboard!$L26*BH$27</f>
        <v>0</v>
      </c>
      <c r="BI72" s="293">
        <f>Dashboard!$L26*BI$27</f>
        <v>0</v>
      </c>
      <c r="BJ72" s="293">
        <f>Dashboard!$L26*BJ$27</f>
        <v>0</v>
      </c>
      <c r="BK72" s="293">
        <f>Dashboard!$L26*BK$27</f>
        <v>0</v>
      </c>
      <c r="BL72" s="293">
        <f>Dashboard!$L26*BL$27</f>
        <v>0</v>
      </c>
      <c r="BM72" s="293">
        <f>Dashboard!$L26*BM$27</f>
        <v>0</v>
      </c>
      <c r="BN72" s="293">
        <f>Dashboard!$L26*BN$27</f>
        <v>0</v>
      </c>
      <c r="BO72" s="293">
        <f>Dashboard!$L26*BO$27</f>
        <v>0</v>
      </c>
      <c r="BP72" s="293">
        <f>Dashboard!$L26*BP$27</f>
        <v>0</v>
      </c>
    </row>
    <row r="73" spans="1:68" ht="12" customHeight="1" outlineLevel="2">
      <c r="B73" s="290" t="s">
        <v>93</v>
      </c>
      <c r="C73" s="291"/>
      <c r="D73" s="292"/>
      <c r="E73" s="293">
        <f>Dashboard!$L27*E$27</f>
        <v>0</v>
      </c>
      <c r="F73" s="293">
        <f>Dashboard!$L27*F$27</f>
        <v>0</v>
      </c>
      <c r="G73" s="293">
        <f>Dashboard!$L27*G$27</f>
        <v>0</v>
      </c>
      <c r="H73" s="293">
        <f>Dashboard!$L27*H$27</f>
        <v>0</v>
      </c>
      <c r="I73" s="293">
        <f>Dashboard!$L27*I$27</f>
        <v>0</v>
      </c>
      <c r="J73" s="293">
        <f>Dashboard!$L27*J$27</f>
        <v>0</v>
      </c>
      <c r="K73" s="293">
        <f>Dashboard!$L27*K$27</f>
        <v>0</v>
      </c>
      <c r="L73" s="293">
        <f>Dashboard!$L27*L$27</f>
        <v>0</v>
      </c>
      <c r="M73" s="293">
        <f>Dashboard!$L27*M$27</f>
        <v>0</v>
      </c>
      <c r="N73" s="293">
        <f>Dashboard!$L27*N$27</f>
        <v>0</v>
      </c>
      <c r="O73" s="293">
        <f>Dashboard!$L27*O$27</f>
        <v>0</v>
      </c>
      <c r="P73" s="293">
        <f>Dashboard!$L27*P$27</f>
        <v>0</v>
      </c>
      <c r="Q73" s="293">
        <f>Dashboard!$L27*Q$27</f>
        <v>0</v>
      </c>
      <c r="R73" s="293">
        <f>Dashboard!$L27*R$27</f>
        <v>0</v>
      </c>
      <c r="S73" s="293">
        <f>Dashboard!$L27*S$27</f>
        <v>0</v>
      </c>
      <c r="T73" s="293">
        <f>Dashboard!$L27*T$27</f>
        <v>0</v>
      </c>
      <c r="U73" s="293">
        <f>Dashboard!$L27*U$27</f>
        <v>0</v>
      </c>
      <c r="V73" s="293">
        <f>Dashboard!$L27*V$27</f>
        <v>0</v>
      </c>
      <c r="W73" s="293">
        <f>Dashboard!$L27*W$27</f>
        <v>0</v>
      </c>
      <c r="X73" s="293">
        <f>Dashboard!$L27*X$27</f>
        <v>0</v>
      </c>
      <c r="Y73" s="293">
        <f>Dashboard!$L27*Y$27</f>
        <v>0</v>
      </c>
      <c r="Z73" s="293">
        <f>Dashboard!$L27*Z$27</f>
        <v>0</v>
      </c>
      <c r="AA73" s="293">
        <f>Dashboard!$L27*AA$27</f>
        <v>0</v>
      </c>
      <c r="AB73" s="293">
        <f>Dashboard!$L27*AB$27</f>
        <v>0</v>
      </c>
      <c r="AC73" s="293">
        <f>Dashboard!$L27*AC$27</f>
        <v>0</v>
      </c>
      <c r="AD73" s="293">
        <f>Dashboard!$L27*AD$27</f>
        <v>0</v>
      </c>
      <c r="AE73" s="293">
        <f>Dashboard!$L27*AE$27</f>
        <v>0</v>
      </c>
      <c r="AF73" s="293">
        <f>Dashboard!$L27*AF$27</f>
        <v>0</v>
      </c>
      <c r="AG73" s="293">
        <f>Dashboard!$L27*AG$27</f>
        <v>0</v>
      </c>
      <c r="AH73" s="293">
        <f>Dashboard!$L27*AH$27</f>
        <v>0</v>
      </c>
      <c r="AI73" s="293">
        <f>Dashboard!$L27*AI$27</f>
        <v>0</v>
      </c>
      <c r="AJ73" s="293">
        <f>Dashboard!$L27*AJ$27</f>
        <v>0</v>
      </c>
      <c r="AK73" s="293">
        <f>Dashboard!$L27*AK$27</f>
        <v>0</v>
      </c>
      <c r="AL73" s="293">
        <f>Dashboard!$L27*AL$27</f>
        <v>0</v>
      </c>
      <c r="AM73" s="293">
        <f>Dashboard!$L27*AM$27</f>
        <v>0</v>
      </c>
      <c r="AN73" s="293">
        <f>Dashboard!$L27*AN$27</f>
        <v>0</v>
      </c>
      <c r="AO73" s="293">
        <f>Dashboard!$L27*AO$27</f>
        <v>0</v>
      </c>
      <c r="AP73" s="293">
        <f>Dashboard!$L27*AP$27</f>
        <v>0</v>
      </c>
      <c r="AQ73" s="293">
        <f>Dashboard!$L27*AQ$27</f>
        <v>0</v>
      </c>
      <c r="AR73" s="293">
        <f>Dashboard!$L27*AR$27</f>
        <v>0</v>
      </c>
      <c r="AS73" s="293">
        <f>Dashboard!$L27*AS$27</f>
        <v>0</v>
      </c>
      <c r="AT73" s="293">
        <f>Dashboard!$L27*AT$27</f>
        <v>0</v>
      </c>
      <c r="AU73" s="293">
        <f>Dashboard!$L27*AU$27</f>
        <v>0</v>
      </c>
      <c r="AV73" s="293">
        <f>Dashboard!$L27*AV$27</f>
        <v>0</v>
      </c>
      <c r="AW73" s="293">
        <f>Dashboard!$L27*AW$27</f>
        <v>0</v>
      </c>
      <c r="AX73" s="293">
        <f>Dashboard!$L27*AX$27</f>
        <v>0</v>
      </c>
      <c r="AY73" s="293">
        <f>Dashboard!$L27*AY$27</f>
        <v>0</v>
      </c>
      <c r="AZ73" s="293">
        <f>Dashboard!$L27*AZ$27</f>
        <v>0</v>
      </c>
      <c r="BA73" s="293">
        <f>Dashboard!$L27*BA$27</f>
        <v>0</v>
      </c>
      <c r="BB73" s="293">
        <f>Dashboard!$L27*BB$27</f>
        <v>0</v>
      </c>
      <c r="BC73" s="293">
        <f>Dashboard!$L27*BC$27</f>
        <v>0</v>
      </c>
      <c r="BD73" s="293">
        <f>Dashboard!$L27*BD$27</f>
        <v>0</v>
      </c>
      <c r="BE73" s="293">
        <f>Dashboard!$L27*BE$27</f>
        <v>0</v>
      </c>
      <c r="BF73" s="293">
        <f>Dashboard!$L27*BF$27</f>
        <v>0</v>
      </c>
      <c r="BG73" s="293">
        <f>Dashboard!$L27*BG$27</f>
        <v>0</v>
      </c>
      <c r="BH73" s="293">
        <f>Dashboard!$L27*BH$27</f>
        <v>0</v>
      </c>
      <c r="BI73" s="293">
        <f>Dashboard!$L27*BI$27</f>
        <v>0</v>
      </c>
      <c r="BJ73" s="293">
        <f>Dashboard!$L27*BJ$27</f>
        <v>0</v>
      </c>
      <c r="BK73" s="293">
        <f>Dashboard!$L27*BK$27</f>
        <v>0</v>
      </c>
      <c r="BL73" s="293">
        <f>Dashboard!$L27*BL$27</f>
        <v>0</v>
      </c>
      <c r="BM73" s="293">
        <f>Dashboard!$L27*BM$27</f>
        <v>0</v>
      </c>
      <c r="BN73" s="293">
        <f>Dashboard!$L27*BN$27</f>
        <v>0</v>
      </c>
      <c r="BO73" s="293">
        <f>Dashboard!$L27*BO$27</f>
        <v>0</v>
      </c>
      <c r="BP73" s="293">
        <f>Dashboard!$L27*BP$27</f>
        <v>0</v>
      </c>
    </row>
    <row r="74" spans="1:68" ht="12" customHeight="1" outlineLevel="2">
      <c r="B74" s="290" t="s">
        <v>16</v>
      </c>
      <c r="C74" s="291"/>
      <c r="D74" s="292"/>
      <c r="E74" s="293">
        <f>Dashboard!$L30*E$27</f>
        <v>0</v>
      </c>
      <c r="F74" s="293">
        <f>Dashboard!$L30*F$27</f>
        <v>0</v>
      </c>
      <c r="G74" s="293">
        <f>Dashboard!$L30*G$27</f>
        <v>0</v>
      </c>
      <c r="H74" s="293">
        <f>Dashboard!$L30*H$27</f>
        <v>0</v>
      </c>
      <c r="I74" s="293">
        <f>Dashboard!$L30*I$27</f>
        <v>0</v>
      </c>
      <c r="J74" s="293">
        <f>Dashboard!$L30*J$27</f>
        <v>0</v>
      </c>
      <c r="K74" s="293">
        <f>Dashboard!$L30*K$27</f>
        <v>0</v>
      </c>
      <c r="L74" s="293">
        <f>Dashboard!$L30*L$27</f>
        <v>0</v>
      </c>
      <c r="M74" s="293">
        <f>Dashboard!$L30*M$27</f>
        <v>0</v>
      </c>
      <c r="N74" s="293">
        <f>Dashboard!$L30*N$27</f>
        <v>0</v>
      </c>
      <c r="O74" s="293">
        <f>Dashboard!$L30*O$27</f>
        <v>0</v>
      </c>
      <c r="P74" s="293">
        <f>Dashboard!$L30*P$27</f>
        <v>0</v>
      </c>
      <c r="Q74" s="293">
        <f>Dashboard!$L30*Q$27</f>
        <v>0</v>
      </c>
      <c r="R74" s="293">
        <f>Dashboard!$L30*R$27</f>
        <v>0</v>
      </c>
      <c r="S74" s="293">
        <f>Dashboard!$L30*S$27</f>
        <v>0</v>
      </c>
      <c r="T74" s="293">
        <f>Dashboard!$L30*T$27</f>
        <v>0</v>
      </c>
      <c r="U74" s="293">
        <f>Dashboard!$L30*U$27</f>
        <v>0</v>
      </c>
      <c r="V74" s="293">
        <f>Dashboard!$L30*V$27</f>
        <v>0</v>
      </c>
      <c r="W74" s="293">
        <f>Dashboard!$L30*W$27</f>
        <v>0</v>
      </c>
      <c r="X74" s="293">
        <f>Dashboard!$L30*X$27</f>
        <v>0</v>
      </c>
      <c r="Y74" s="293">
        <f>Dashboard!$L30*Y$27</f>
        <v>0</v>
      </c>
      <c r="Z74" s="293">
        <f>Dashboard!$L30*Z$27</f>
        <v>0</v>
      </c>
      <c r="AA74" s="293">
        <f>Dashboard!$L30*AA$27</f>
        <v>0</v>
      </c>
      <c r="AB74" s="293">
        <f>Dashboard!$L30*AB$27</f>
        <v>0</v>
      </c>
      <c r="AC74" s="293">
        <f>Dashboard!$L30*AC$27</f>
        <v>0</v>
      </c>
      <c r="AD74" s="293">
        <f>Dashboard!$L30*AD$27</f>
        <v>0</v>
      </c>
      <c r="AE74" s="293">
        <f>Dashboard!$L30*AE$27</f>
        <v>0</v>
      </c>
      <c r="AF74" s="293">
        <f>Dashboard!$L30*AF$27</f>
        <v>0</v>
      </c>
      <c r="AG74" s="293">
        <f>Dashboard!$L30*AG$27</f>
        <v>0</v>
      </c>
      <c r="AH74" s="293">
        <f>Dashboard!$L30*AH$27</f>
        <v>0</v>
      </c>
      <c r="AI74" s="293">
        <f>Dashboard!$L30*AI$27</f>
        <v>0</v>
      </c>
      <c r="AJ74" s="293">
        <f>Dashboard!$L30*AJ$27</f>
        <v>0</v>
      </c>
      <c r="AK74" s="293">
        <f>Dashboard!$L30*AK$27</f>
        <v>0</v>
      </c>
      <c r="AL74" s="293">
        <f>Dashboard!$L30*AL$27</f>
        <v>0</v>
      </c>
      <c r="AM74" s="293">
        <f>Dashboard!$L30*AM$27</f>
        <v>0</v>
      </c>
      <c r="AN74" s="293">
        <f>Dashboard!$L30*AN$27</f>
        <v>0</v>
      </c>
      <c r="AO74" s="293">
        <f>Dashboard!$L30*AO$27</f>
        <v>0</v>
      </c>
      <c r="AP74" s="293">
        <f>Dashboard!$L30*AP$27</f>
        <v>0</v>
      </c>
      <c r="AQ74" s="293">
        <f>Dashboard!$L30*AQ$27</f>
        <v>0</v>
      </c>
      <c r="AR74" s="293">
        <f>Dashboard!$L30*AR$27</f>
        <v>0</v>
      </c>
      <c r="AS74" s="293">
        <f>Dashboard!$L30*AS$27</f>
        <v>0</v>
      </c>
      <c r="AT74" s="293">
        <f>Dashboard!$L30*AT$27</f>
        <v>0</v>
      </c>
      <c r="AU74" s="293">
        <f>Dashboard!$L30*AU$27</f>
        <v>0</v>
      </c>
      <c r="AV74" s="293">
        <f>Dashboard!$L30*AV$27</f>
        <v>0</v>
      </c>
      <c r="AW74" s="293">
        <f>Dashboard!$L30*AW$27</f>
        <v>0</v>
      </c>
      <c r="AX74" s="293">
        <f>Dashboard!$L30*AX$27</f>
        <v>0</v>
      </c>
      <c r="AY74" s="293">
        <f>Dashboard!$L30*AY$27</f>
        <v>0</v>
      </c>
      <c r="AZ74" s="293">
        <f>Dashboard!$L30*AZ$27</f>
        <v>0</v>
      </c>
      <c r="BA74" s="293">
        <f>Dashboard!$L30*BA$27</f>
        <v>0</v>
      </c>
      <c r="BB74" s="293">
        <f>Dashboard!$L30*BB$27</f>
        <v>0</v>
      </c>
      <c r="BC74" s="293">
        <f>Dashboard!$L30*BC$27</f>
        <v>0</v>
      </c>
      <c r="BD74" s="293">
        <f>Dashboard!$L30*BD$27</f>
        <v>0</v>
      </c>
      <c r="BE74" s="293">
        <f>Dashboard!$L30*BE$27</f>
        <v>0</v>
      </c>
      <c r="BF74" s="293">
        <f>Dashboard!$L30*BF$27</f>
        <v>0</v>
      </c>
      <c r="BG74" s="293">
        <f>Dashboard!$L30*BG$27</f>
        <v>0</v>
      </c>
      <c r="BH74" s="293">
        <f>Dashboard!$L30*BH$27</f>
        <v>0</v>
      </c>
      <c r="BI74" s="293">
        <f>Dashboard!$L30*BI$27</f>
        <v>0</v>
      </c>
      <c r="BJ74" s="293">
        <f>Dashboard!$L30*BJ$27</f>
        <v>0</v>
      </c>
      <c r="BK74" s="293">
        <f>Dashboard!$L30*BK$27</f>
        <v>0</v>
      </c>
      <c r="BL74" s="293">
        <f>Dashboard!$L30*BL$27</f>
        <v>0</v>
      </c>
      <c r="BM74" s="293">
        <f>Dashboard!$L30*BM$27</f>
        <v>0</v>
      </c>
      <c r="BN74" s="293">
        <f>Dashboard!$L30*BN$27</f>
        <v>0</v>
      </c>
      <c r="BO74" s="293">
        <f>Dashboard!$L30*BO$27</f>
        <v>0</v>
      </c>
      <c r="BP74" s="293">
        <f>Dashboard!$L30*BP$27</f>
        <v>0</v>
      </c>
    </row>
    <row r="75" spans="1:68" ht="12" customHeight="1" outlineLevel="2">
      <c r="B75" s="290" t="s">
        <v>20</v>
      </c>
      <c r="C75" s="291"/>
      <c r="D75" s="292"/>
      <c r="E75" s="293">
        <f>Dashboard!$L31*E$27</f>
        <v>0</v>
      </c>
      <c r="F75" s="293">
        <f>Dashboard!$L31*F$27</f>
        <v>0</v>
      </c>
      <c r="G75" s="293">
        <f>Dashboard!$L31*G$27</f>
        <v>0</v>
      </c>
      <c r="H75" s="293">
        <f>Dashboard!$L31*H$27</f>
        <v>0</v>
      </c>
      <c r="I75" s="293">
        <f>Dashboard!$L31*I$27</f>
        <v>0</v>
      </c>
      <c r="J75" s="293">
        <f>Dashboard!$L31*J$27</f>
        <v>0</v>
      </c>
      <c r="K75" s="293">
        <f>Dashboard!$L31*K$27</f>
        <v>0</v>
      </c>
      <c r="L75" s="293">
        <f>Dashboard!$L31*L$27</f>
        <v>0</v>
      </c>
      <c r="M75" s="293">
        <f>Dashboard!$L31*M$27</f>
        <v>0</v>
      </c>
      <c r="N75" s="293">
        <f>Dashboard!$L31*N$27</f>
        <v>0</v>
      </c>
      <c r="O75" s="293">
        <f>Dashboard!$L31*O$27</f>
        <v>0</v>
      </c>
      <c r="P75" s="293">
        <f>Dashboard!$L31*P$27</f>
        <v>0</v>
      </c>
      <c r="Q75" s="293">
        <f>Dashboard!$L31*Q$27</f>
        <v>0</v>
      </c>
      <c r="R75" s="293">
        <f>Dashboard!$L31*R$27</f>
        <v>0</v>
      </c>
      <c r="S75" s="293">
        <f>Dashboard!$L31*S$27</f>
        <v>0</v>
      </c>
      <c r="T75" s="293">
        <f>Dashboard!$L31*T$27</f>
        <v>0</v>
      </c>
      <c r="U75" s="293">
        <f>Dashboard!$L31*U$27</f>
        <v>0</v>
      </c>
      <c r="V75" s="293">
        <f>Dashboard!$L31*V$27</f>
        <v>0</v>
      </c>
      <c r="W75" s="293">
        <f>Dashboard!$L31*W$27</f>
        <v>0</v>
      </c>
      <c r="X75" s="293">
        <f>Dashboard!$L31*X$27</f>
        <v>0</v>
      </c>
      <c r="Y75" s="293">
        <f>Dashboard!$L31*Y$27</f>
        <v>0</v>
      </c>
      <c r="Z75" s="293">
        <f>Dashboard!$L31*Z$27</f>
        <v>0</v>
      </c>
      <c r="AA75" s="293">
        <f>Dashboard!$L31*AA$27</f>
        <v>0</v>
      </c>
      <c r="AB75" s="293">
        <f>Dashboard!$L31*AB$27</f>
        <v>0</v>
      </c>
      <c r="AC75" s="293">
        <f>Dashboard!$L31*AC$27</f>
        <v>0</v>
      </c>
      <c r="AD75" s="293">
        <f>Dashboard!$L31*AD$27</f>
        <v>0</v>
      </c>
      <c r="AE75" s="293">
        <f>Dashboard!$L31*AE$27</f>
        <v>0</v>
      </c>
      <c r="AF75" s="293">
        <f>Dashboard!$L31*AF$27</f>
        <v>0</v>
      </c>
      <c r="AG75" s="293">
        <f>Dashboard!$L31*AG$27</f>
        <v>0</v>
      </c>
      <c r="AH75" s="293">
        <f>Dashboard!$L31*AH$27</f>
        <v>0</v>
      </c>
      <c r="AI75" s="293">
        <f>Dashboard!$L31*AI$27</f>
        <v>0</v>
      </c>
      <c r="AJ75" s="293">
        <f>Dashboard!$L31*AJ$27</f>
        <v>0</v>
      </c>
      <c r="AK75" s="293">
        <f>Dashboard!$L31*AK$27</f>
        <v>0</v>
      </c>
      <c r="AL75" s="293">
        <f>Dashboard!$L31*AL$27</f>
        <v>0</v>
      </c>
      <c r="AM75" s="293">
        <f>Dashboard!$L31*AM$27</f>
        <v>0</v>
      </c>
      <c r="AN75" s="293">
        <f>Dashboard!$L31*AN$27</f>
        <v>0</v>
      </c>
      <c r="AO75" s="293">
        <f>Dashboard!$L31*AO$27</f>
        <v>0</v>
      </c>
      <c r="AP75" s="293">
        <f>Dashboard!$L31*AP$27</f>
        <v>0</v>
      </c>
      <c r="AQ75" s="293">
        <f>Dashboard!$L31*AQ$27</f>
        <v>0</v>
      </c>
      <c r="AR75" s="293">
        <f>Dashboard!$L31*AR$27</f>
        <v>0</v>
      </c>
      <c r="AS75" s="293">
        <f>Dashboard!$L31*AS$27</f>
        <v>0</v>
      </c>
      <c r="AT75" s="293">
        <f>Dashboard!$L31*AT$27</f>
        <v>0</v>
      </c>
      <c r="AU75" s="293">
        <f>Dashboard!$L31*AU$27</f>
        <v>0</v>
      </c>
      <c r="AV75" s="293">
        <f>Dashboard!$L31*AV$27</f>
        <v>0</v>
      </c>
      <c r="AW75" s="293">
        <f>Dashboard!$L31*AW$27</f>
        <v>0</v>
      </c>
      <c r="AX75" s="293">
        <f>Dashboard!$L31*AX$27</f>
        <v>0</v>
      </c>
      <c r="AY75" s="293">
        <f>Dashboard!$L31*AY$27</f>
        <v>0</v>
      </c>
      <c r="AZ75" s="293">
        <f>Dashboard!$L31*AZ$27</f>
        <v>0</v>
      </c>
      <c r="BA75" s="293">
        <f>Dashboard!$L31*BA$27</f>
        <v>0</v>
      </c>
      <c r="BB75" s="293">
        <f>Dashboard!$L31*BB$27</f>
        <v>0</v>
      </c>
      <c r="BC75" s="293">
        <f>Dashboard!$L31*BC$27</f>
        <v>0</v>
      </c>
      <c r="BD75" s="293">
        <f>Dashboard!$L31*BD$27</f>
        <v>0</v>
      </c>
      <c r="BE75" s="293">
        <f>Dashboard!$L31*BE$27</f>
        <v>0</v>
      </c>
      <c r="BF75" s="293">
        <f>Dashboard!$L31*BF$27</f>
        <v>0</v>
      </c>
      <c r="BG75" s="293">
        <f>Dashboard!$L31*BG$27</f>
        <v>0</v>
      </c>
      <c r="BH75" s="293">
        <f>Dashboard!$L31*BH$27</f>
        <v>0</v>
      </c>
      <c r="BI75" s="293">
        <f>Dashboard!$L31*BI$27</f>
        <v>0</v>
      </c>
      <c r="BJ75" s="293">
        <f>Dashboard!$L31*BJ$27</f>
        <v>0</v>
      </c>
      <c r="BK75" s="293">
        <f>Dashboard!$L31*BK$27</f>
        <v>0</v>
      </c>
      <c r="BL75" s="293">
        <f>Dashboard!$L31*BL$27</f>
        <v>0</v>
      </c>
      <c r="BM75" s="293">
        <f>Dashboard!$L31*BM$27</f>
        <v>0</v>
      </c>
      <c r="BN75" s="293">
        <f>Dashboard!$L31*BN$27</f>
        <v>0</v>
      </c>
      <c r="BO75" s="293">
        <f>Dashboard!$L31*BO$27</f>
        <v>0</v>
      </c>
      <c r="BP75" s="293">
        <f>Dashboard!$L31*BP$27</f>
        <v>0</v>
      </c>
    </row>
    <row r="76" spans="1:68" ht="12" customHeight="1" outlineLevel="2">
      <c r="B76" s="290" t="s">
        <v>28</v>
      </c>
      <c r="C76" s="291"/>
      <c r="D76" s="292"/>
      <c r="E76" s="293">
        <f>Dashboard!$L33*E$27</f>
        <v>17600</v>
      </c>
      <c r="F76" s="293">
        <f>Dashboard!$L33*F$27</f>
        <v>17600</v>
      </c>
      <c r="G76" s="293">
        <f>Dashboard!$L33*G$27</f>
        <v>17600</v>
      </c>
      <c r="H76" s="293">
        <f>Dashboard!$L33*H$27</f>
        <v>17600</v>
      </c>
      <c r="I76" s="293">
        <f>Dashboard!$L33*I$27</f>
        <v>17600</v>
      </c>
      <c r="J76" s="293">
        <f>Dashboard!$L33*J$27</f>
        <v>17600</v>
      </c>
      <c r="K76" s="293">
        <f>Dashboard!$L33*K$27</f>
        <v>17600</v>
      </c>
      <c r="L76" s="293">
        <f>Dashboard!$L33*L$27</f>
        <v>17600</v>
      </c>
      <c r="M76" s="293">
        <f>Dashboard!$L33*M$27</f>
        <v>17600</v>
      </c>
      <c r="N76" s="293">
        <f>Dashboard!$L33*N$27</f>
        <v>17600</v>
      </c>
      <c r="O76" s="293">
        <f>Dashboard!$L33*O$27</f>
        <v>0</v>
      </c>
      <c r="P76" s="293">
        <f>Dashboard!$L33*P$27</f>
        <v>0</v>
      </c>
      <c r="Q76" s="293">
        <f>Dashboard!$L33*Q$27</f>
        <v>0</v>
      </c>
      <c r="R76" s="293">
        <f>Dashboard!$L33*R$27</f>
        <v>0</v>
      </c>
      <c r="S76" s="293">
        <f>Dashboard!$L33*S$27</f>
        <v>0</v>
      </c>
      <c r="T76" s="293">
        <f>Dashboard!$L33*T$27</f>
        <v>0</v>
      </c>
      <c r="U76" s="293">
        <f>Dashboard!$L33*U$27</f>
        <v>0</v>
      </c>
      <c r="V76" s="293">
        <f>Dashboard!$L33*V$27</f>
        <v>0</v>
      </c>
      <c r="W76" s="293">
        <f>Dashboard!$L33*W$27</f>
        <v>0</v>
      </c>
      <c r="X76" s="293">
        <f>Dashboard!$L33*X$27</f>
        <v>0</v>
      </c>
      <c r="Y76" s="293">
        <f>Dashboard!$L33*Y$27</f>
        <v>0</v>
      </c>
      <c r="Z76" s="293">
        <f>Dashboard!$L33*Z$27</f>
        <v>0</v>
      </c>
      <c r="AA76" s="293">
        <f>Dashboard!$L33*AA$27</f>
        <v>0</v>
      </c>
      <c r="AB76" s="293">
        <f>Dashboard!$L33*AB$27</f>
        <v>0</v>
      </c>
      <c r="AC76" s="293">
        <f>Dashboard!$L33*AC$27</f>
        <v>0</v>
      </c>
      <c r="AD76" s="293">
        <f>Dashboard!$L33*AD$27</f>
        <v>0</v>
      </c>
      <c r="AE76" s="293">
        <f>Dashboard!$L33*AE$27</f>
        <v>0</v>
      </c>
      <c r="AF76" s="293">
        <f>Dashboard!$L33*AF$27</f>
        <v>0</v>
      </c>
      <c r="AG76" s="293">
        <f>Dashboard!$L33*AG$27</f>
        <v>0</v>
      </c>
      <c r="AH76" s="293">
        <f>Dashboard!$L33*AH$27</f>
        <v>0</v>
      </c>
      <c r="AI76" s="293">
        <f>Dashboard!$L33*AI$27</f>
        <v>0</v>
      </c>
      <c r="AJ76" s="293">
        <f>Dashboard!$L33*AJ$27</f>
        <v>0</v>
      </c>
      <c r="AK76" s="293">
        <f>Dashboard!$L33*AK$27</f>
        <v>0</v>
      </c>
      <c r="AL76" s="293">
        <f>Dashboard!$L33*AL$27</f>
        <v>0</v>
      </c>
      <c r="AM76" s="293">
        <f>Dashboard!$L33*AM$27</f>
        <v>0</v>
      </c>
      <c r="AN76" s="293">
        <f>Dashboard!$L33*AN$27</f>
        <v>0</v>
      </c>
      <c r="AO76" s="293">
        <f>Dashboard!$L33*AO$27</f>
        <v>0</v>
      </c>
      <c r="AP76" s="293">
        <f>Dashboard!$L33*AP$27</f>
        <v>0</v>
      </c>
      <c r="AQ76" s="293">
        <f>Dashboard!$L33*AQ$27</f>
        <v>0</v>
      </c>
      <c r="AR76" s="293">
        <f>Dashboard!$L33*AR$27</f>
        <v>0</v>
      </c>
      <c r="AS76" s="293">
        <f>Dashboard!$L33*AS$27</f>
        <v>0</v>
      </c>
      <c r="AT76" s="293">
        <f>Dashboard!$L33*AT$27</f>
        <v>0</v>
      </c>
      <c r="AU76" s="293">
        <f>Dashboard!$L33*AU$27</f>
        <v>0</v>
      </c>
      <c r="AV76" s="293">
        <f>Dashboard!$L33*AV$27</f>
        <v>0</v>
      </c>
      <c r="AW76" s="293">
        <f>Dashboard!$L33*AW$27</f>
        <v>0</v>
      </c>
      <c r="AX76" s="293">
        <f>Dashboard!$L33*AX$27</f>
        <v>0</v>
      </c>
      <c r="AY76" s="293">
        <f>Dashboard!$L33*AY$27</f>
        <v>0</v>
      </c>
      <c r="AZ76" s="293">
        <f>Dashboard!$L33*AZ$27</f>
        <v>0</v>
      </c>
      <c r="BA76" s="293">
        <f>Dashboard!$L33*BA$27</f>
        <v>0</v>
      </c>
      <c r="BB76" s="293">
        <f>Dashboard!$L33*BB$27</f>
        <v>0</v>
      </c>
      <c r="BC76" s="293">
        <f>Dashboard!$L33*BC$27</f>
        <v>0</v>
      </c>
      <c r="BD76" s="293">
        <f>Dashboard!$L33*BD$27</f>
        <v>0</v>
      </c>
      <c r="BE76" s="293">
        <f>Dashboard!$L33*BE$27</f>
        <v>0</v>
      </c>
      <c r="BF76" s="293">
        <f>Dashboard!$L33*BF$27</f>
        <v>0</v>
      </c>
      <c r="BG76" s="293">
        <f>Dashboard!$L33*BG$27</f>
        <v>0</v>
      </c>
      <c r="BH76" s="293">
        <f>Dashboard!$L33*BH$27</f>
        <v>0</v>
      </c>
      <c r="BI76" s="293">
        <f>Dashboard!$L33*BI$27</f>
        <v>0</v>
      </c>
      <c r="BJ76" s="293">
        <f>Dashboard!$L33*BJ$27</f>
        <v>0</v>
      </c>
      <c r="BK76" s="293">
        <f>Dashboard!$L33*BK$27</f>
        <v>0</v>
      </c>
      <c r="BL76" s="293">
        <f>Dashboard!$L33*BL$27</f>
        <v>0</v>
      </c>
      <c r="BM76" s="293">
        <f>Dashboard!$L33*BM$27</f>
        <v>0</v>
      </c>
      <c r="BN76" s="293">
        <f>Dashboard!$L33*BN$27</f>
        <v>0</v>
      </c>
      <c r="BO76" s="293">
        <f>Dashboard!$L33*BO$27</f>
        <v>0</v>
      </c>
      <c r="BP76" s="293">
        <f>Dashboard!$L33*BP$27</f>
        <v>0</v>
      </c>
    </row>
    <row r="77" spans="1:68" ht="6" customHeight="1" outlineLevel="1">
      <c r="A77" s="280"/>
      <c r="B77" s="281"/>
      <c r="C77" s="282"/>
      <c r="D77" s="282"/>
      <c r="E77" s="283"/>
      <c r="F77" s="282"/>
      <c r="G77" s="282"/>
      <c r="H77" s="282"/>
      <c r="I77" s="282"/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  <c r="AI77" s="282"/>
      <c r="AJ77" s="282"/>
      <c r="AK77" s="282"/>
      <c r="AL77" s="282"/>
      <c r="AM77" s="282"/>
      <c r="AN77" s="282"/>
      <c r="AO77" s="282"/>
      <c r="AP77" s="282"/>
      <c r="AQ77" s="282"/>
      <c r="AR77" s="282"/>
      <c r="AS77" s="282"/>
      <c r="AT77" s="282"/>
      <c r="AU77" s="282"/>
      <c r="AV77" s="282"/>
      <c r="AW77" s="282"/>
      <c r="AX77" s="282"/>
      <c r="AY77" s="282"/>
      <c r="AZ77" s="282"/>
      <c r="BA77" s="282"/>
      <c r="BB77" s="282"/>
      <c r="BC77" s="282"/>
      <c r="BD77" s="282"/>
      <c r="BE77" s="282"/>
      <c r="BF77" s="282"/>
      <c r="BG77" s="282"/>
      <c r="BH77" s="282"/>
      <c r="BI77" s="282"/>
      <c r="BJ77" s="282"/>
      <c r="BK77" s="282"/>
      <c r="BL77" s="282"/>
      <c r="BM77" s="282"/>
      <c r="BN77" s="282"/>
      <c r="BO77" s="282"/>
      <c r="BP77" s="282"/>
    </row>
    <row r="78" spans="1:68" ht="12" customHeight="1" outlineLevel="1">
      <c r="B78" s="276" t="s">
        <v>1680</v>
      </c>
      <c r="E78" s="278" t="e">
        <f>E39-E44-E48</f>
        <v>#REF!</v>
      </c>
      <c r="F78" s="278" t="e">
        <f t="shared" ref="F78:AJ78" si="23">F39-F44-F48</f>
        <v>#REF!</v>
      </c>
      <c r="G78" s="278" t="e">
        <f t="shared" si="23"/>
        <v>#REF!</v>
      </c>
      <c r="H78" s="278" t="e">
        <f t="shared" si="23"/>
        <v>#REF!</v>
      </c>
      <c r="I78" s="278" t="e">
        <f t="shared" si="23"/>
        <v>#REF!</v>
      </c>
      <c r="J78" s="278" t="e">
        <f t="shared" si="23"/>
        <v>#REF!</v>
      </c>
      <c r="K78" s="278" t="e">
        <f t="shared" si="23"/>
        <v>#REF!</v>
      </c>
      <c r="L78" s="278" t="e">
        <f t="shared" si="23"/>
        <v>#REF!</v>
      </c>
      <c r="M78" s="278" t="e">
        <f t="shared" si="23"/>
        <v>#REF!</v>
      </c>
      <c r="N78" s="278" t="e">
        <f t="shared" si="23"/>
        <v>#REF!</v>
      </c>
      <c r="O78" s="278" t="e">
        <f t="shared" si="23"/>
        <v>#REF!</v>
      </c>
      <c r="P78" s="278" t="e">
        <f t="shared" si="23"/>
        <v>#REF!</v>
      </c>
      <c r="Q78" s="278" t="e">
        <f t="shared" si="23"/>
        <v>#REF!</v>
      </c>
      <c r="R78" s="278" t="e">
        <f t="shared" si="23"/>
        <v>#REF!</v>
      </c>
      <c r="S78" s="278" t="e">
        <f t="shared" si="23"/>
        <v>#REF!</v>
      </c>
      <c r="T78" s="278" t="e">
        <f t="shared" si="23"/>
        <v>#REF!</v>
      </c>
      <c r="U78" s="278" t="e">
        <f t="shared" si="23"/>
        <v>#REF!</v>
      </c>
      <c r="V78" s="278" t="e">
        <f t="shared" si="23"/>
        <v>#REF!</v>
      </c>
      <c r="W78" s="278" t="e">
        <f t="shared" si="23"/>
        <v>#REF!</v>
      </c>
      <c r="X78" s="278" t="e">
        <f t="shared" si="23"/>
        <v>#REF!</v>
      </c>
      <c r="Y78" s="278" t="e">
        <f t="shared" si="23"/>
        <v>#REF!</v>
      </c>
      <c r="Z78" s="278" t="e">
        <f t="shared" si="23"/>
        <v>#REF!</v>
      </c>
      <c r="AA78" s="278" t="e">
        <f t="shared" si="23"/>
        <v>#REF!</v>
      </c>
      <c r="AB78" s="278" t="e">
        <f t="shared" si="23"/>
        <v>#REF!</v>
      </c>
      <c r="AC78" s="278" t="e">
        <f t="shared" si="23"/>
        <v>#REF!</v>
      </c>
      <c r="AD78" s="278" t="e">
        <f t="shared" si="23"/>
        <v>#REF!</v>
      </c>
      <c r="AE78" s="278" t="e">
        <f t="shared" si="23"/>
        <v>#REF!</v>
      </c>
      <c r="AF78" s="278" t="e">
        <f t="shared" si="23"/>
        <v>#REF!</v>
      </c>
      <c r="AG78" s="278" t="e">
        <f t="shared" si="23"/>
        <v>#REF!</v>
      </c>
      <c r="AH78" s="278" t="e">
        <f t="shared" si="23"/>
        <v>#REF!</v>
      </c>
      <c r="AI78" s="278" t="e">
        <f t="shared" si="23"/>
        <v>#REF!</v>
      </c>
      <c r="AJ78" s="278" t="e">
        <f t="shared" si="23"/>
        <v>#REF!</v>
      </c>
      <c r="AK78" s="278" t="e">
        <f t="shared" ref="AK78:BP78" si="24">AK39-AK44-AK48</f>
        <v>#REF!</v>
      </c>
      <c r="AL78" s="278" t="e">
        <f t="shared" si="24"/>
        <v>#REF!</v>
      </c>
      <c r="AM78" s="278" t="e">
        <f t="shared" si="24"/>
        <v>#REF!</v>
      </c>
      <c r="AN78" s="278" t="e">
        <f t="shared" si="24"/>
        <v>#REF!</v>
      </c>
      <c r="AO78" s="278" t="e">
        <f t="shared" si="24"/>
        <v>#REF!</v>
      </c>
      <c r="AP78" s="278" t="e">
        <f t="shared" si="24"/>
        <v>#REF!</v>
      </c>
      <c r="AQ78" s="278" t="e">
        <f t="shared" si="24"/>
        <v>#REF!</v>
      </c>
      <c r="AR78" s="278" t="e">
        <f t="shared" si="24"/>
        <v>#REF!</v>
      </c>
      <c r="AS78" s="278" t="e">
        <f t="shared" si="24"/>
        <v>#REF!</v>
      </c>
      <c r="AT78" s="278" t="e">
        <f t="shared" si="24"/>
        <v>#REF!</v>
      </c>
      <c r="AU78" s="278" t="e">
        <f t="shared" si="24"/>
        <v>#REF!</v>
      </c>
      <c r="AV78" s="278" t="e">
        <f t="shared" si="24"/>
        <v>#REF!</v>
      </c>
      <c r="AW78" s="278" t="e">
        <f t="shared" si="24"/>
        <v>#REF!</v>
      </c>
      <c r="AX78" s="278" t="e">
        <f t="shared" si="24"/>
        <v>#REF!</v>
      </c>
      <c r="AY78" s="278" t="e">
        <f t="shared" si="24"/>
        <v>#REF!</v>
      </c>
      <c r="AZ78" s="278" t="e">
        <f t="shared" si="24"/>
        <v>#REF!</v>
      </c>
      <c r="BA78" s="278" t="e">
        <f t="shared" si="24"/>
        <v>#REF!</v>
      </c>
      <c r="BB78" s="278" t="e">
        <f t="shared" si="24"/>
        <v>#REF!</v>
      </c>
      <c r="BC78" s="278" t="e">
        <f t="shared" si="24"/>
        <v>#REF!</v>
      </c>
      <c r="BD78" s="278" t="e">
        <f t="shared" si="24"/>
        <v>#REF!</v>
      </c>
      <c r="BE78" s="278" t="e">
        <f t="shared" si="24"/>
        <v>#REF!</v>
      </c>
      <c r="BF78" s="278" t="e">
        <f t="shared" si="24"/>
        <v>#REF!</v>
      </c>
      <c r="BG78" s="278" t="e">
        <f t="shared" si="24"/>
        <v>#REF!</v>
      </c>
      <c r="BH78" s="278" t="e">
        <f t="shared" si="24"/>
        <v>#REF!</v>
      </c>
      <c r="BI78" s="278" t="e">
        <f t="shared" si="24"/>
        <v>#REF!</v>
      </c>
      <c r="BJ78" s="278" t="e">
        <f t="shared" si="24"/>
        <v>#REF!</v>
      </c>
      <c r="BK78" s="278" t="e">
        <f t="shared" si="24"/>
        <v>#REF!</v>
      </c>
      <c r="BL78" s="278" t="e">
        <f t="shared" si="24"/>
        <v>#REF!</v>
      </c>
      <c r="BM78" s="278" t="e">
        <f t="shared" si="24"/>
        <v>#REF!</v>
      </c>
      <c r="BN78" s="278" t="e">
        <f t="shared" si="24"/>
        <v>#REF!</v>
      </c>
      <c r="BO78" s="278" t="e">
        <f t="shared" si="24"/>
        <v>#REF!</v>
      </c>
      <c r="BP78" s="278" t="e">
        <f t="shared" si="24"/>
        <v>#REF!</v>
      </c>
    </row>
    <row r="79" spans="1:68" ht="12" customHeight="1" outlineLevel="1">
      <c r="B79" s="276" t="s">
        <v>1681</v>
      </c>
      <c r="E79" s="294">
        <f t="shared" ref="E79:AJ79" si="25">IFERROR(E78/E36,0)</f>
        <v>0</v>
      </c>
      <c r="F79" s="294">
        <f t="shared" si="25"/>
        <v>0</v>
      </c>
      <c r="G79" s="294">
        <f t="shared" si="25"/>
        <v>0</v>
      </c>
      <c r="H79" s="294">
        <f t="shared" si="25"/>
        <v>0</v>
      </c>
      <c r="I79" s="294">
        <f t="shared" si="25"/>
        <v>0</v>
      </c>
      <c r="J79" s="294">
        <f t="shared" si="25"/>
        <v>0</v>
      </c>
      <c r="K79" s="294">
        <f t="shared" si="25"/>
        <v>0</v>
      </c>
      <c r="L79" s="294">
        <f t="shared" si="25"/>
        <v>0</v>
      </c>
      <c r="M79" s="294">
        <f t="shared" si="25"/>
        <v>0</v>
      </c>
      <c r="N79" s="294">
        <f t="shared" si="25"/>
        <v>0</v>
      </c>
      <c r="O79" s="294">
        <f t="shared" si="25"/>
        <v>0</v>
      </c>
      <c r="P79" s="294">
        <f t="shared" si="25"/>
        <v>0</v>
      </c>
      <c r="Q79" s="294">
        <f t="shared" si="25"/>
        <v>0</v>
      </c>
      <c r="R79" s="294">
        <f t="shared" si="25"/>
        <v>0</v>
      </c>
      <c r="S79" s="294">
        <f t="shared" si="25"/>
        <v>0</v>
      </c>
      <c r="T79" s="294">
        <f t="shared" si="25"/>
        <v>0</v>
      </c>
      <c r="U79" s="294">
        <f t="shared" si="25"/>
        <v>0</v>
      </c>
      <c r="V79" s="294">
        <f t="shared" si="25"/>
        <v>0</v>
      </c>
      <c r="W79" s="294">
        <f t="shared" si="25"/>
        <v>0</v>
      </c>
      <c r="X79" s="294">
        <f t="shared" si="25"/>
        <v>0</v>
      </c>
      <c r="Y79" s="294">
        <f t="shared" si="25"/>
        <v>0</v>
      </c>
      <c r="Z79" s="294">
        <f t="shared" si="25"/>
        <v>0</v>
      </c>
      <c r="AA79" s="294">
        <f t="shared" si="25"/>
        <v>0</v>
      </c>
      <c r="AB79" s="294">
        <f t="shared" si="25"/>
        <v>0</v>
      </c>
      <c r="AC79" s="294">
        <f t="shared" si="25"/>
        <v>0</v>
      </c>
      <c r="AD79" s="294">
        <f t="shared" si="25"/>
        <v>0</v>
      </c>
      <c r="AE79" s="294">
        <f t="shared" si="25"/>
        <v>0</v>
      </c>
      <c r="AF79" s="294">
        <f t="shared" si="25"/>
        <v>0</v>
      </c>
      <c r="AG79" s="294">
        <f t="shared" si="25"/>
        <v>0</v>
      </c>
      <c r="AH79" s="294">
        <f t="shared" si="25"/>
        <v>0</v>
      </c>
      <c r="AI79" s="294">
        <f t="shared" si="25"/>
        <v>0</v>
      </c>
      <c r="AJ79" s="294">
        <f t="shared" si="25"/>
        <v>0</v>
      </c>
      <c r="AK79" s="294">
        <f t="shared" ref="AK79:BP79" si="26">IFERROR(AK78/AK36,0)</f>
        <v>0</v>
      </c>
      <c r="AL79" s="294">
        <f t="shared" si="26"/>
        <v>0</v>
      </c>
      <c r="AM79" s="294">
        <f t="shared" si="26"/>
        <v>0</v>
      </c>
      <c r="AN79" s="294">
        <f t="shared" si="26"/>
        <v>0</v>
      </c>
      <c r="AO79" s="294">
        <f t="shared" si="26"/>
        <v>0</v>
      </c>
      <c r="AP79" s="294">
        <f t="shared" si="26"/>
        <v>0</v>
      </c>
      <c r="AQ79" s="294">
        <f t="shared" si="26"/>
        <v>0</v>
      </c>
      <c r="AR79" s="294">
        <f t="shared" si="26"/>
        <v>0</v>
      </c>
      <c r="AS79" s="294">
        <f t="shared" si="26"/>
        <v>0</v>
      </c>
      <c r="AT79" s="294">
        <f t="shared" si="26"/>
        <v>0</v>
      </c>
      <c r="AU79" s="294">
        <f t="shared" si="26"/>
        <v>0</v>
      </c>
      <c r="AV79" s="294">
        <f t="shared" si="26"/>
        <v>0</v>
      </c>
      <c r="AW79" s="294">
        <f t="shared" si="26"/>
        <v>0</v>
      </c>
      <c r="AX79" s="294">
        <f t="shared" si="26"/>
        <v>0</v>
      </c>
      <c r="AY79" s="294">
        <f t="shared" si="26"/>
        <v>0</v>
      </c>
      <c r="AZ79" s="294">
        <f t="shared" si="26"/>
        <v>0</v>
      </c>
      <c r="BA79" s="294">
        <f t="shared" si="26"/>
        <v>0</v>
      </c>
      <c r="BB79" s="294">
        <f t="shared" si="26"/>
        <v>0</v>
      </c>
      <c r="BC79" s="294">
        <f t="shared" si="26"/>
        <v>0</v>
      </c>
      <c r="BD79" s="294">
        <f t="shared" si="26"/>
        <v>0</v>
      </c>
      <c r="BE79" s="294">
        <f t="shared" si="26"/>
        <v>0</v>
      </c>
      <c r="BF79" s="294">
        <f t="shared" si="26"/>
        <v>0</v>
      </c>
      <c r="BG79" s="294">
        <f t="shared" si="26"/>
        <v>0</v>
      </c>
      <c r="BH79" s="294">
        <f t="shared" si="26"/>
        <v>0</v>
      </c>
      <c r="BI79" s="294">
        <f t="shared" si="26"/>
        <v>0</v>
      </c>
      <c r="BJ79" s="294">
        <f t="shared" si="26"/>
        <v>0</v>
      </c>
      <c r="BK79" s="294">
        <f t="shared" si="26"/>
        <v>0</v>
      </c>
      <c r="BL79" s="294">
        <f t="shared" si="26"/>
        <v>0</v>
      </c>
      <c r="BM79" s="294">
        <f t="shared" si="26"/>
        <v>0</v>
      </c>
      <c r="BN79" s="294">
        <f t="shared" si="26"/>
        <v>0</v>
      </c>
      <c r="BO79" s="294">
        <f t="shared" si="26"/>
        <v>0</v>
      </c>
      <c r="BP79" s="294">
        <f t="shared" si="26"/>
        <v>0</v>
      </c>
    </row>
    <row r="80" spans="1:68" ht="6" customHeight="1" outlineLevel="1"/>
    <row r="81" spans="1:68" ht="12" customHeight="1" outlineLevel="1">
      <c r="A81" s="285" t="s">
        <v>1677</v>
      </c>
      <c r="B81" s="260" t="s">
        <v>90</v>
      </c>
      <c r="E81" s="284">
        <f>E36*Dashboard!$D$26</f>
        <v>15363.15791177762</v>
      </c>
      <c r="F81" s="284">
        <f>F36*Dashboard!$D$26</f>
        <v>15363.15791177762</v>
      </c>
      <c r="G81" s="284">
        <f>G36*Dashboard!$D$26</f>
        <v>15363.15791177762</v>
      </c>
      <c r="H81" s="284">
        <f>H36*Dashboard!$D$26</f>
        <v>15363.15791177762</v>
      </c>
      <c r="I81" s="284">
        <f>I36*Dashboard!$D$26</f>
        <v>15363.15791177762</v>
      </c>
      <c r="J81" s="284">
        <f>J36*Dashboard!$D$26</f>
        <v>15363.15791177762</v>
      </c>
      <c r="K81" s="284">
        <f>K36*Dashboard!$D$26</f>
        <v>15363.15791177762</v>
      </c>
      <c r="L81" s="284">
        <f>L36*Dashboard!$D$26</f>
        <v>15363.15791177762</v>
      </c>
      <c r="M81" s="284">
        <f>M36*Dashboard!$D$26</f>
        <v>15363.15791177762</v>
      </c>
      <c r="N81" s="284">
        <f>N36*Dashboard!$D$26</f>
        <v>15363.15791177762</v>
      </c>
      <c r="O81" s="284">
        <f>O36*Dashboard!$D$26</f>
        <v>0</v>
      </c>
      <c r="P81" s="284">
        <f>P36*Dashboard!$D$26</f>
        <v>0</v>
      </c>
      <c r="Q81" s="284">
        <f>Q36*Dashboard!$D$26</f>
        <v>0</v>
      </c>
      <c r="R81" s="284">
        <f>R36*Dashboard!$D$26</f>
        <v>0</v>
      </c>
      <c r="S81" s="284">
        <f>S36*Dashboard!$D$26</f>
        <v>0</v>
      </c>
      <c r="T81" s="284">
        <f>T36*Dashboard!$D$26</f>
        <v>0</v>
      </c>
      <c r="U81" s="284">
        <f>U36*Dashboard!$D$26</f>
        <v>0</v>
      </c>
      <c r="V81" s="284">
        <f>V36*Dashboard!$D$26</f>
        <v>0</v>
      </c>
      <c r="W81" s="284">
        <f>W36*Dashboard!$D$26</f>
        <v>0</v>
      </c>
      <c r="X81" s="284">
        <f>X36*Dashboard!$D$26</f>
        <v>0</v>
      </c>
      <c r="Y81" s="284">
        <f>Y36*Dashboard!$D$26</f>
        <v>0</v>
      </c>
      <c r="Z81" s="284">
        <f>Z36*Dashboard!$D$26</f>
        <v>0</v>
      </c>
      <c r="AA81" s="284">
        <f>AA36*Dashboard!$D$26</f>
        <v>0</v>
      </c>
      <c r="AB81" s="284">
        <f>AB36*Dashboard!$D$26</f>
        <v>0</v>
      </c>
      <c r="AC81" s="284">
        <f>AC36*Dashboard!$D$26</f>
        <v>0</v>
      </c>
      <c r="AD81" s="284">
        <f>AD36*Dashboard!$D$26</f>
        <v>0</v>
      </c>
      <c r="AE81" s="284">
        <f>AE36*Dashboard!$D$26</f>
        <v>0</v>
      </c>
      <c r="AF81" s="284">
        <f>AF36*Dashboard!$D$26</f>
        <v>0</v>
      </c>
      <c r="AG81" s="284">
        <f>AG36*Dashboard!$D$26</f>
        <v>0</v>
      </c>
      <c r="AH81" s="284">
        <f>AH36*Dashboard!$D$26</f>
        <v>0</v>
      </c>
      <c r="AI81" s="284">
        <f>AI36*Dashboard!$D$26</f>
        <v>0</v>
      </c>
      <c r="AJ81" s="284">
        <f>AJ36*Dashboard!$D$26</f>
        <v>0</v>
      </c>
      <c r="AK81" s="284">
        <f>AK36*Dashboard!$D$26</f>
        <v>0</v>
      </c>
      <c r="AL81" s="284">
        <f>AL36*Dashboard!$D$26</f>
        <v>0</v>
      </c>
      <c r="AM81" s="284">
        <f>AM36*Dashboard!$D$26</f>
        <v>0</v>
      </c>
      <c r="AN81" s="284">
        <f>AN36*Dashboard!$D$26</f>
        <v>0</v>
      </c>
      <c r="AO81" s="284">
        <f>AO36*Dashboard!$D$26</f>
        <v>0</v>
      </c>
      <c r="AP81" s="284">
        <f>AP36*Dashboard!$D$26</f>
        <v>0</v>
      </c>
      <c r="AQ81" s="284">
        <f>AQ36*Dashboard!$D$26</f>
        <v>0</v>
      </c>
      <c r="AR81" s="284">
        <f>AR36*Dashboard!$D$26</f>
        <v>0</v>
      </c>
      <c r="AS81" s="284">
        <f>AS36*Dashboard!$D$26</f>
        <v>0</v>
      </c>
      <c r="AT81" s="284">
        <f>AT36*Dashboard!$D$26</f>
        <v>0</v>
      </c>
      <c r="AU81" s="284">
        <f>AU36*Dashboard!$D$26</f>
        <v>0</v>
      </c>
      <c r="AV81" s="284">
        <f>AV36*Dashboard!$D$26</f>
        <v>0</v>
      </c>
      <c r="AW81" s="284">
        <f>AW36*Dashboard!$D$26</f>
        <v>0</v>
      </c>
      <c r="AX81" s="284">
        <f>AX36*Dashboard!$D$26</f>
        <v>0</v>
      </c>
      <c r="AY81" s="284">
        <f>AY36*Dashboard!$D$26</f>
        <v>0</v>
      </c>
      <c r="AZ81" s="284">
        <f>AZ36*Dashboard!$D$26</f>
        <v>0</v>
      </c>
      <c r="BA81" s="284">
        <f>BA36*Dashboard!$D$26</f>
        <v>0</v>
      </c>
      <c r="BB81" s="284">
        <f>BB36*Dashboard!$D$26</f>
        <v>0</v>
      </c>
      <c r="BC81" s="284">
        <f>BC36*Dashboard!$D$26</f>
        <v>0</v>
      </c>
      <c r="BD81" s="284">
        <f>BD36*Dashboard!$D$26</f>
        <v>0</v>
      </c>
      <c r="BE81" s="284">
        <f>BE36*Dashboard!$D$26</f>
        <v>0</v>
      </c>
      <c r="BF81" s="284">
        <f>BF36*Dashboard!$D$26</f>
        <v>0</v>
      </c>
      <c r="BG81" s="284">
        <f>BG36*Dashboard!$D$26</f>
        <v>0</v>
      </c>
      <c r="BH81" s="284">
        <f>BH36*Dashboard!$D$26</f>
        <v>0</v>
      </c>
      <c r="BI81" s="284">
        <f>BI36*Dashboard!$D$26</f>
        <v>0</v>
      </c>
      <c r="BJ81" s="284">
        <f>BJ36*Dashboard!$D$26</f>
        <v>0</v>
      </c>
      <c r="BK81" s="284">
        <f>BK36*Dashboard!$D$26</f>
        <v>0</v>
      </c>
      <c r="BL81" s="284">
        <f>BL36*Dashboard!$D$26</f>
        <v>0</v>
      </c>
      <c r="BM81" s="284">
        <f>BM36*Dashboard!$D$26</f>
        <v>0</v>
      </c>
      <c r="BN81" s="284">
        <f>BN36*Dashboard!$D$26</f>
        <v>0</v>
      </c>
      <c r="BO81" s="284">
        <f>BO36*Dashboard!$D$26</f>
        <v>0</v>
      </c>
      <c r="BP81" s="284">
        <f>BP36*Dashboard!$D$26</f>
        <v>0</v>
      </c>
    </row>
    <row r="82" spans="1:68" ht="12" customHeight="1" outlineLevel="1">
      <c r="A82" s="285" t="s">
        <v>1677</v>
      </c>
      <c r="B82" s="260" t="s">
        <v>94</v>
      </c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  <c r="AA82" s="284"/>
      <c r="AB82" s="284"/>
      <c r="AC82" s="284"/>
      <c r="AD82" s="284"/>
      <c r="AE82" s="284"/>
      <c r="AF82" s="284"/>
      <c r="AG82" s="284"/>
      <c r="AH82" s="284"/>
      <c r="AI82" s="284"/>
      <c r="AJ82" s="284"/>
      <c r="AK82" s="284"/>
      <c r="AL82" s="284"/>
      <c r="AM82" s="284"/>
      <c r="AN82" s="284"/>
      <c r="AO82" s="284"/>
      <c r="AP82" s="284"/>
      <c r="AQ82" s="284"/>
      <c r="AR82" s="284"/>
      <c r="AS82" s="284"/>
      <c r="AT82" s="284"/>
      <c r="AU82" s="284"/>
      <c r="AV82" s="284"/>
      <c r="AW82" s="284"/>
      <c r="AX82" s="284"/>
      <c r="AY82" s="284"/>
      <c r="AZ82" s="284"/>
      <c r="BA82" s="284"/>
      <c r="BB82" s="284"/>
      <c r="BC82" s="284"/>
      <c r="BD82" s="284"/>
      <c r="BE82" s="284"/>
      <c r="BF82" s="284"/>
      <c r="BG82" s="284"/>
      <c r="BH82" s="284"/>
      <c r="BI82" s="284"/>
      <c r="BJ82" s="284"/>
      <c r="BK82" s="284"/>
      <c r="BL82" s="284"/>
      <c r="BM82" s="284"/>
      <c r="BN82" s="284"/>
      <c r="BO82" s="284"/>
      <c r="BP82" s="284"/>
    </row>
    <row r="83" spans="1:68" ht="6" customHeight="1" outlineLevel="1">
      <c r="A83" s="280"/>
      <c r="B83" s="281"/>
      <c r="C83" s="282"/>
      <c r="D83" s="282"/>
      <c r="E83" s="283"/>
      <c r="F83" s="282"/>
      <c r="G83" s="282"/>
      <c r="H83" s="282"/>
      <c r="I83" s="282"/>
      <c r="J83" s="282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2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  <c r="AK83" s="282"/>
      <c r="AL83" s="282"/>
      <c r="AM83" s="282"/>
      <c r="AN83" s="282"/>
      <c r="AO83" s="282"/>
      <c r="AP83" s="282"/>
      <c r="AQ83" s="282"/>
      <c r="AR83" s="282"/>
      <c r="AS83" s="282"/>
      <c r="AT83" s="282"/>
      <c r="AU83" s="282"/>
      <c r="AV83" s="282"/>
      <c r="AW83" s="282"/>
      <c r="AX83" s="282"/>
      <c r="AY83" s="282"/>
      <c r="AZ83" s="282"/>
      <c r="BA83" s="282"/>
      <c r="BB83" s="282"/>
      <c r="BC83" s="282"/>
      <c r="BD83" s="282"/>
      <c r="BE83" s="282"/>
      <c r="BF83" s="282"/>
      <c r="BG83" s="282"/>
      <c r="BH83" s="282"/>
      <c r="BI83" s="282"/>
      <c r="BJ83" s="282"/>
      <c r="BK83" s="282"/>
      <c r="BL83" s="282"/>
      <c r="BM83" s="282"/>
      <c r="BN83" s="282"/>
      <c r="BO83" s="282"/>
      <c r="BP83" s="282"/>
    </row>
    <row r="84" spans="1:68" ht="12" customHeight="1" outlineLevel="1">
      <c r="B84" s="276" t="s">
        <v>1682</v>
      </c>
      <c r="E84" s="278" t="e">
        <f>E78-E81+E82</f>
        <v>#REF!</v>
      </c>
      <c r="F84" s="278" t="e">
        <f t="shared" ref="F84:BP84" si="27">F78-F81+F82</f>
        <v>#REF!</v>
      </c>
      <c r="G84" s="278" t="e">
        <f t="shared" si="27"/>
        <v>#REF!</v>
      </c>
      <c r="H84" s="278" t="e">
        <f t="shared" si="27"/>
        <v>#REF!</v>
      </c>
      <c r="I84" s="278" t="e">
        <f t="shared" si="27"/>
        <v>#REF!</v>
      </c>
      <c r="J84" s="278" t="e">
        <f t="shared" si="27"/>
        <v>#REF!</v>
      </c>
      <c r="K84" s="278" t="e">
        <f t="shared" si="27"/>
        <v>#REF!</v>
      </c>
      <c r="L84" s="278" t="e">
        <f t="shared" si="27"/>
        <v>#REF!</v>
      </c>
      <c r="M84" s="278" t="e">
        <f t="shared" si="27"/>
        <v>#REF!</v>
      </c>
      <c r="N84" s="278" t="e">
        <f t="shared" si="27"/>
        <v>#REF!</v>
      </c>
      <c r="O84" s="278" t="e">
        <f t="shared" si="27"/>
        <v>#REF!</v>
      </c>
      <c r="P84" s="278" t="e">
        <f t="shared" si="27"/>
        <v>#REF!</v>
      </c>
      <c r="Q84" s="278" t="e">
        <f t="shared" si="27"/>
        <v>#REF!</v>
      </c>
      <c r="R84" s="278" t="e">
        <f t="shared" si="27"/>
        <v>#REF!</v>
      </c>
      <c r="S84" s="278" t="e">
        <f t="shared" si="27"/>
        <v>#REF!</v>
      </c>
      <c r="T84" s="278" t="e">
        <f t="shared" si="27"/>
        <v>#REF!</v>
      </c>
      <c r="U84" s="278" t="e">
        <f t="shared" si="27"/>
        <v>#REF!</v>
      </c>
      <c r="V84" s="278" t="e">
        <f t="shared" si="27"/>
        <v>#REF!</v>
      </c>
      <c r="W84" s="278" t="e">
        <f t="shared" si="27"/>
        <v>#REF!</v>
      </c>
      <c r="X84" s="278" t="e">
        <f t="shared" si="27"/>
        <v>#REF!</v>
      </c>
      <c r="Y84" s="278" t="e">
        <f t="shared" si="27"/>
        <v>#REF!</v>
      </c>
      <c r="Z84" s="278" t="e">
        <f t="shared" si="27"/>
        <v>#REF!</v>
      </c>
      <c r="AA84" s="278" t="e">
        <f t="shared" si="27"/>
        <v>#REF!</v>
      </c>
      <c r="AB84" s="278" t="e">
        <f t="shared" si="27"/>
        <v>#REF!</v>
      </c>
      <c r="AC84" s="278" t="e">
        <f t="shared" si="27"/>
        <v>#REF!</v>
      </c>
      <c r="AD84" s="278" t="e">
        <f t="shared" si="27"/>
        <v>#REF!</v>
      </c>
      <c r="AE84" s="278" t="e">
        <f t="shared" si="27"/>
        <v>#REF!</v>
      </c>
      <c r="AF84" s="278" t="e">
        <f t="shared" si="27"/>
        <v>#REF!</v>
      </c>
      <c r="AG84" s="278" t="e">
        <f t="shared" si="27"/>
        <v>#REF!</v>
      </c>
      <c r="AH84" s="278" t="e">
        <f t="shared" si="27"/>
        <v>#REF!</v>
      </c>
      <c r="AI84" s="278" t="e">
        <f t="shared" si="27"/>
        <v>#REF!</v>
      </c>
      <c r="AJ84" s="278" t="e">
        <f t="shared" si="27"/>
        <v>#REF!</v>
      </c>
      <c r="AK84" s="278" t="e">
        <f t="shared" si="27"/>
        <v>#REF!</v>
      </c>
      <c r="AL84" s="278" t="e">
        <f t="shared" si="27"/>
        <v>#REF!</v>
      </c>
      <c r="AM84" s="278" t="e">
        <f t="shared" si="27"/>
        <v>#REF!</v>
      </c>
      <c r="AN84" s="278" t="e">
        <f t="shared" si="27"/>
        <v>#REF!</v>
      </c>
      <c r="AO84" s="278" t="e">
        <f t="shared" si="27"/>
        <v>#REF!</v>
      </c>
      <c r="AP84" s="278" t="e">
        <f t="shared" si="27"/>
        <v>#REF!</v>
      </c>
      <c r="AQ84" s="278" t="e">
        <f t="shared" si="27"/>
        <v>#REF!</v>
      </c>
      <c r="AR84" s="278" t="e">
        <f t="shared" si="27"/>
        <v>#REF!</v>
      </c>
      <c r="AS84" s="278" t="e">
        <f t="shared" si="27"/>
        <v>#REF!</v>
      </c>
      <c r="AT84" s="278" t="e">
        <f t="shared" si="27"/>
        <v>#REF!</v>
      </c>
      <c r="AU84" s="278" t="e">
        <f t="shared" si="27"/>
        <v>#REF!</v>
      </c>
      <c r="AV84" s="278" t="e">
        <f t="shared" si="27"/>
        <v>#REF!</v>
      </c>
      <c r="AW84" s="278" t="e">
        <f t="shared" si="27"/>
        <v>#REF!</v>
      </c>
      <c r="AX84" s="278" t="e">
        <f t="shared" si="27"/>
        <v>#REF!</v>
      </c>
      <c r="AY84" s="278" t="e">
        <f t="shared" si="27"/>
        <v>#REF!</v>
      </c>
      <c r="AZ84" s="278" t="e">
        <f t="shared" si="27"/>
        <v>#REF!</v>
      </c>
      <c r="BA84" s="278" t="e">
        <f t="shared" si="27"/>
        <v>#REF!</v>
      </c>
      <c r="BB84" s="278" t="e">
        <f t="shared" si="27"/>
        <v>#REF!</v>
      </c>
      <c r="BC84" s="278" t="e">
        <f t="shared" si="27"/>
        <v>#REF!</v>
      </c>
      <c r="BD84" s="278" t="e">
        <f t="shared" si="27"/>
        <v>#REF!</v>
      </c>
      <c r="BE84" s="278" t="e">
        <f t="shared" si="27"/>
        <v>#REF!</v>
      </c>
      <c r="BF84" s="278" t="e">
        <f t="shared" si="27"/>
        <v>#REF!</v>
      </c>
      <c r="BG84" s="278" t="e">
        <f t="shared" si="27"/>
        <v>#REF!</v>
      </c>
      <c r="BH84" s="278" t="e">
        <f t="shared" si="27"/>
        <v>#REF!</v>
      </c>
      <c r="BI84" s="278" t="e">
        <f t="shared" si="27"/>
        <v>#REF!</v>
      </c>
      <c r="BJ84" s="278" t="e">
        <f t="shared" si="27"/>
        <v>#REF!</v>
      </c>
      <c r="BK84" s="278" t="e">
        <f t="shared" si="27"/>
        <v>#REF!</v>
      </c>
      <c r="BL84" s="278" t="e">
        <f t="shared" si="27"/>
        <v>#REF!</v>
      </c>
      <c r="BM84" s="278" t="e">
        <f t="shared" si="27"/>
        <v>#REF!</v>
      </c>
      <c r="BN84" s="278" t="e">
        <f t="shared" si="27"/>
        <v>#REF!</v>
      </c>
      <c r="BO84" s="278" t="e">
        <f t="shared" si="27"/>
        <v>#REF!</v>
      </c>
      <c r="BP84" s="278" t="e">
        <f t="shared" si="27"/>
        <v>#REF!</v>
      </c>
    </row>
    <row r="85" spans="1:68" ht="12" customHeight="1" outlineLevel="1">
      <c r="B85" s="276" t="s">
        <v>1683</v>
      </c>
      <c r="E85" s="294">
        <f t="shared" ref="E85:AJ85" si="28">IFERROR(E84/E36,0)</f>
        <v>0</v>
      </c>
      <c r="F85" s="294">
        <f t="shared" si="28"/>
        <v>0</v>
      </c>
      <c r="G85" s="294">
        <f t="shared" si="28"/>
        <v>0</v>
      </c>
      <c r="H85" s="294">
        <f t="shared" si="28"/>
        <v>0</v>
      </c>
      <c r="I85" s="294">
        <f t="shared" si="28"/>
        <v>0</v>
      </c>
      <c r="J85" s="294">
        <f t="shared" si="28"/>
        <v>0</v>
      </c>
      <c r="K85" s="294">
        <f t="shared" si="28"/>
        <v>0</v>
      </c>
      <c r="L85" s="294">
        <f t="shared" si="28"/>
        <v>0</v>
      </c>
      <c r="M85" s="294">
        <f t="shared" si="28"/>
        <v>0</v>
      </c>
      <c r="N85" s="294">
        <f t="shared" si="28"/>
        <v>0</v>
      </c>
      <c r="O85" s="294">
        <f t="shared" si="28"/>
        <v>0</v>
      </c>
      <c r="P85" s="294">
        <f t="shared" si="28"/>
        <v>0</v>
      </c>
      <c r="Q85" s="294">
        <f t="shared" si="28"/>
        <v>0</v>
      </c>
      <c r="R85" s="294">
        <f t="shared" si="28"/>
        <v>0</v>
      </c>
      <c r="S85" s="294">
        <f t="shared" si="28"/>
        <v>0</v>
      </c>
      <c r="T85" s="294">
        <f t="shared" si="28"/>
        <v>0</v>
      </c>
      <c r="U85" s="294">
        <f t="shared" si="28"/>
        <v>0</v>
      </c>
      <c r="V85" s="294">
        <f t="shared" si="28"/>
        <v>0</v>
      </c>
      <c r="W85" s="294">
        <f t="shared" si="28"/>
        <v>0</v>
      </c>
      <c r="X85" s="294">
        <f t="shared" si="28"/>
        <v>0</v>
      </c>
      <c r="Y85" s="294">
        <f t="shared" si="28"/>
        <v>0</v>
      </c>
      <c r="Z85" s="294">
        <f t="shared" si="28"/>
        <v>0</v>
      </c>
      <c r="AA85" s="294">
        <f t="shared" si="28"/>
        <v>0</v>
      </c>
      <c r="AB85" s="294">
        <f t="shared" si="28"/>
        <v>0</v>
      </c>
      <c r="AC85" s="294">
        <f t="shared" si="28"/>
        <v>0</v>
      </c>
      <c r="AD85" s="294">
        <f t="shared" si="28"/>
        <v>0</v>
      </c>
      <c r="AE85" s="294">
        <f t="shared" si="28"/>
        <v>0</v>
      </c>
      <c r="AF85" s="294">
        <f t="shared" si="28"/>
        <v>0</v>
      </c>
      <c r="AG85" s="294">
        <f t="shared" si="28"/>
        <v>0</v>
      </c>
      <c r="AH85" s="294">
        <f t="shared" si="28"/>
        <v>0</v>
      </c>
      <c r="AI85" s="294">
        <f t="shared" si="28"/>
        <v>0</v>
      </c>
      <c r="AJ85" s="294">
        <f t="shared" si="28"/>
        <v>0</v>
      </c>
      <c r="AK85" s="294">
        <f t="shared" ref="AK85:BP85" si="29">IFERROR(AK84/AK36,0)</f>
        <v>0</v>
      </c>
      <c r="AL85" s="294">
        <f t="shared" si="29"/>
        <v>0</v>
      </c>
      <c r="AM85" s="294">
        <f t="shared" si="29"/>
        <v>0</v>
      </c>
      <c r="AN85" s="294">
        <f t="shared" si="29"/>
        <v>0</v>
      </c>
      <c r="AO85" s="294">
        <f t="shared" si="29"/>
        <v>0</v>
      </c>
      <c r="AP85" s="294">
        <f t="shared" si="29"/>
        <v>0</v>
      </c>
      <c r="AQ85" s="294">
        <f t="shared" si="29"/>
        <v>0</v>
      </c>
      <c r="AR85" s="294">
        <f t="shared" si="29"/>
        <v>0</v>
      </c>
      <c r="AS85" s="294">
        <f t="shared" si="29"/>
        <v>0</v>
      </c>
      <c r="AT85" s="294">
        <f t="shared" si="29"/>
        <v>0</v>
      </c>
      <c r="AU85" s="294">
        <f t="shared" si="29"/>
        <v>0</v>
      </c>
      <c r="AV85" s="294">
        <f t="shared" si="29"/>
        <v>0</v>
      </c>
      <c r="AW85" s="294">
        <f t="shared" si="29"/>
        <v>0</v>
      </c>
      <c r="AX85" s="294">
        <f t="shared" si="29"/>
        <v>0</v>
      </c>
      <c r="AY85" s="294">
        <f t="shared" si="29"/>
        <v>0</v>
      </c>
      <c r="AZ85" s="294">
        <f t="shared" si="29"/>
        <v>0</v>
      </c>
      <c r="BA85" s="294">
        <f t="shared" si="29"/>
        <v>0</v>
      </c>
      <c r="BB85" s="294">
        <f t="shared" si="29"/>
        <v>0</v>
      </c>
      <c r="BC85" s="294">
        <f t="shared" si="29"/>
        <v>0</v>
      </c>
      <c r="BD85" s="294">
        <f t="shared" si="29"/>
        <v>0</v>
      </c>
      <c r="BE85" s="294">
        <f t="shared" si="29"/>
        <v>0</v>
      </c>
      <c r="BF85" s="294">
        <f t="shared" si="29"/>
        <v>0</v>
      </c>
      <c r="BG85" s="294">
        <f t="shared" si="29"/>
        <v>0</v>
      </c>
      <c r="BH85" s="294">
        <f t="shared" si="29"/>
        <v>0</v>
      </c>
      <c r="BI85" s="294">
        <f t="shared" si="29"/>
        <v>0</v>
      </c>
      <c r="BJ85" s="294">
        <f t="shared" si="29"/>
        <v>0</v>
      </c>
      <c r="BK85" s="294">
        <f t="shared" si="29"/>
        <v>0</v>
      </c>
      <c r="BL85" s="294">
        <f t="shared" si="29"/>
        <v>0</v>
      </c>
      <c r="BM85" s="294">
        <f t="shared" si="29"/>
        <v>0</v>
      </c>
      <c r="BN85" s="294">
        <f t="shared" si="29"/>
        <v>0</v>
      </c>
      <c r="BO85" s="294">
        <f t="shared" si="29"/>
        <v>0</v>
      </c>
      <c r="BP85" s="294">
        <f t="shared" si="29"/>
        <v>0</v>
      </c>
    </row>
    <row r="86" spans="1:68" ht="11.85" customHeight="1" outlineLevel="1">
      <c r="B86" s="276"/>
      <c r="E86" s="294"/>
      <c r="F86" s="294"/>
      <c r="G86" s="294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4"/>
      <c r="AB86" s="294"/>
      <c r="AC86" s="294"/>
      <c r="AD86" s="294"/>
      <c r="AE86" s="294"/>
      <c r="AF86" s="294"/>
      <c r="AG86" s="294"/>
      <c r="AH86" s="294"/>
      <c r="AI86" s="294"/>
      <c r="AJ86" s="294"/>
      <c r="AK86" s="294"/>
      <c r="AL86" s="294"/>
      <c r="AM86" s="294"/>
      <c r="AN86" s="294"/>
      <c r="AO86" s="294"/>
      <c r="AP86" s="294"/>
      <c r="AQ86" s="294"/>
      <c r="AR86" s="294"/>
      <c r="AS86" s="294"/>
      <c r="AT86" s="294"/>
      <c r="AU86" s="294"/>
      <c r="AV86" s="294"/>
      <c r="AW86" s="294"/>
      <c r="AX86" s="294"/>
      <c r="AY86" s="294"/>
      <c r="AZ86" s="294"/>
      <c r="BA86" s="294"/>
      <c r="BB86" s="294"/>
      <c r="BC86" s="294"/>
      <c r="BD86" s="294"/>
      <c r="BE86" s="294"/>
      <c r="BF86" s="294"/>
      <c r="BG86" s="294"/>
      <c r="BH86" s="294"/>
      <c r="BI86" s="294"/>
      <c r="BJ86" s="294"/>
      <c r="BK86" s="294"/>
      <c r="BL86" s="294"/>
      <c r="BM86" s="294"/>
      <c r="BN86" s="294"/>
      <c r="BO86" s="294"/>
      <c r="BP86" s="294"/>
    </row>
    <row r="87" spans="1:68" ht="24" customHeight="1">
      <c r="B87" s="262" t="s">
        <v>1684</v>
      </c>
      <c r="C87" s="259"/>
      <c r="E87" s="259">
        <v>1</v>
      </c>
      <c r="F87" s="259">
        <v>2</v>
      </c>
      <c r="G87" s="259">
        <v>3</v>
      </c>
      <c r="H87" s="259">
        <v>4</v>
      </c>
      <c r="I87" s="259">
        <v>5</v>
      </c>
      <c r="J87" s="259">
        <v>6</v>
      </c>
      <c r="K87" s="259">
        <v>7</v>
      </c>
      <c r="L87" s="259">
        <v>8</v>
      </c>
      <c r="M87" s="259">
        <v>9</v>
      </c>
      <c r="N87" s="259">
        <v>10</v>
      </c>
      <c r="O87" s="259">
        <v>11</v>
      </c>
      <c r="P87" s="259">
        <v>12</v>
      </c>
      <c r="Q87" s="259">
        <v>13</v>
      </c>
      <c r="R87" s="259">
        <v>14</v>
      </c>
      <c r="S87" s="259">
        <v>15</v>
      </c>
      <c r="T87" s="259">
        <v>16</v>
      </c>
      <c r="U87" s="259">
        <v>17</v>
      </c>
      <c r="V87" s="259">
        <v>18</v>
      </c>
      <c r="W87" s="259">
        <v>19</v>
      </c>
      <c r="X87" s="259">
        <v>20</v>
      </c>
      <c r="Y87" s="259">
        <v>21</v>
      </c>
      <c r="Z87" s="259">
        <v>22</v>
      </c>
      <c r="AA87" s="259">
        <v>23</v>
      </c>
      <c r="AB87" s="259">
        <v>24</v>
      </c>
      <c r="AC87" s="259">
        <v>25</v>
      </c>
      <c r="AD87" s="259">
        <v>26</v>
      </c>
      <c r="AE87" s="259">
        <v>27</v>
      </c>
      <c r="AF87" s="259">
        <v>28</v>
      </c>
      <c r="AG87" s="259">
        <v>29</v>
      </c>
      <c r="AH87" s="259">
        <v>30</v>
      </c>
      <c r="AI87" s="259">
        <v>31</v>
      </c>
      <c r="AJ87" s="259">
        <v>32</v>
      </c>
      <c r="AK87" s="259">
        <v>33</v>
      </c>
      <c r="AL87" s="259">
        <v>34</v>
      </c>
      <c r="AM87" s="259">
        <v>35</v>
      </c>
      <c r="AN87" s="259">
        <v>36</v>
      </c>
      <c r="AO87" s="259">
        <v>37</v>
      </c>
      <c r="AP87" s="259">
        <v>38</v>
      </c>
      <c r="AQ87" s="259">
        <v>39</v>
      </c>
      <c r="AR87" s="259">
        <v>40</v>
      </c>
      <c r="AS87" s="259">
        <v>41</v>
      </c>
      <c r="AT87" s="259">
        <v>42</v>
      </c>
      <c r="AU87" s="259">
        <v>43</v>
      </c>
      <c r="AV87" s="259">
        <v>44</v>
      </c>
      <c r="AW87" s="259">
        <v>45</v>
      </c>
      <c r="AX87" s="259">
        <v>46</v>
      </c>
      <c r="AY87" s="259">
        <v>47</v>
      </c>
      <c r="AZ87" s="259">
        <v>48</v>
      </c>
      <c r="BA87" s="259">
        <v>49</v>
      </c>
      <c r="BB87" s="259">
        <v>50</v>
      </c>
      <c r="BC87" s="259">
        <v>51</v>
      </c>
      <c r="BD87" s="259">
        <v>52</v>
      </c>
      <c r="BE87" s="259">
        <v>53</v>
      </c>
      <c r="BF87" s="259">
        <v>54</v>
      </c>
      <c r="BG87" s="259">
        <v>55</v>
      </c>
      <c r="BH87" s="259">
        <v>56</v>
      </c>
      <c r="BI87" s="259">
        <v>57</v>
      </c>
      <c r="BJ87" s="259">
        <v>58</v>
      </c>
      <c r="BK87" s="259">
        <v>59</v>
      </c>
      <c r="BL87" s="259">
        <v>60</v>
      </c>
      <c r="BM87" s="259">
        <v>61</v>
      </c>
      <c r="BN87" s="259">
        <v>62</v>
      </c>
      <c r="BO87" s="259">
        <v>63</v>
      </c>
      <c r="BP87" s="259">
        <v>64</v>
      </c>
    </row>
    <row r="88" spans="1:68" ht="12" customHeight="1" outlineLevel="1">
      <c r="A88" s="295" t="s">
        <v>1685</v>
      </c>
      <c r="B88" s="276" t="s">
        <v>1686</v>
      </c>
      <c r="E88" s="278">
        <f>(IF($C$28=$C$29,E29,IF($C$28=$C$30,E30,IF($C$28=$C$31,E31,IF($C$28=$C$32,E32,IF($C$28=$C$33,E33,0))))))*(Dashboard!$T$9)</f>
        <v>153631.57911777619</v>
      </c>
      <c r="F88" s="278">
        <f>(IF($C$28=$C$29,F29,IF($C$28=$C$30,F30,IF($C$28=$C$31,F31,IF($C$28=$C$32,F32,IF($C$28=$C$33,F33,0))))))*(Dashboard!$T$9)</f>
        <v>153631.57911777619</v>
      </c>
      <c r="G88" s="278">
        <f>(IF($C$28=$C$29,G29,IF($C$28=$C$30,G30,IF($C$28=$C$31,G31,IF($C$28=$C$32,G32,IF($C$28=$C$33,G33,0))))))*(Dashboard!$T$9)</f>
        <v>153631.57911777619</v>
      </c>
      <c r="H88" s="278">
        <f>(IF($C$28=$C$29,H29,IF($C$28=$C$30,H30,IF($C$28=$C$31,H31,IF($C$28=$C$32,H32,IF($C$28=$C$33,H33,0))))))*(Dashboard!$T$9)</f>
        <v>153631.57911777619</v>
      </c>
      <c r="I88" s="278">
        <f>(IF($C$28=$C$29,I29,IF($C$28=$C$30,I30,IF($C$28=$C$31,I31,IF($C$28=$C$32,I32,IF($C$28=$C$33,I33,0))))))*(Dashboard!$T$9)</f>
        <v>153631.57911777619</v>
      </c>
      <c r="J88" s="278">
        <f>(IF($C$28=$C$29,J29,IF($C$28=$C$30,J30,IF($C$28=$C$31,J31,IF($C$28=$C$32,J32,IF($C$28=$C$33,J33,0))))))*(Dashboard!$T$9)</f>
        <v>153631.57911777619</v>
      </c>
      <c r="K88" s="278">
        <f>(IF($C$28=$C$29,K29,IF($C$28=$C$30,K30,IF($C$28=$C$31,K31,IF($C$28=$C$32,K32,IF($C$28=$C$33,K33,0))))))*(Dashboard!$T$9)</f>
        <v>153631.57911777619</v>
      </c>
      <c r="L88" s="278">
        <f>(IF($C$28=$C$29,L29,IF($C$28=$C$30,L30,IF($C$28=$C$31,L31,IF($C$28=$C$32,L32,IF($C$28=$C$33,L33,0))))))*(Dashboard!$T$9)</f>
        <v>153631.57911777619</v>
      </c>
      <c r="M88" s="278">
        <f>(IF($C$28=$C$29,M29,IF($C$28=$C$30,M30,IF($C$28=$C$31,M31,IF($C$28=$C$32,M32,IF($C$28=$C$33,M33,0))))))*(Dashboard!$T$9)</f>
        <v>153631.57911777619</v>
      </c>
      <c r="N88" s="278">
        <f>(IF($C$28=$C$29,N29,IF($C$28=$C$30,N30,IF($C$28=$C$31,N31,IF($C$28=$C$32,N32,IF($C$28=$C$33,N33,0))))))*(Dashboard!$T$9)</f>
        <v>153631.57911777619</v>
      </c>
      <c r="O88" s="278">
        <f>(IF($C$28=$C$29,O29,IF($C$28=$C$30,O30,IF($C$28=$C$31,O31,IF($C$28=$C$32,O32,IF($C$28=$C$33,O33,0))))))*(Dashboard!$T$9)</f>
        <v>0</v>
      </c>
      <c r="P88" s="278">
        <f>(IF($C$28=$C$29,P29,IF($C$28=$C$30,P30,IF($C$28=$C$31,P31,IF($C$28=$C$32,P32,IF($C$28=$C$33,P33,0))))))*(Dashboard!$T$9)</f>
        <v>0</v>
      </c>
      <c r="Q88" s="278">
        <f>(IF($C$28=$C$29,Q29,IF($C$28=$C$30,Q30,IF($C$28=$C$31,Q31,IF($C$28=$C$32,Q32,IF($C$28=$C$33,Q33,0))))))*(Dashboard!$T$9)</f>
        <v>0</v>
      </c>
      <c r="R88" s="278">
        <f>(IF($C$28=$C$29,R29,IF($C$28=$C$30,R30,IF($C$28=$C$31,R31,IF($C$28=$C$32,R32,IF($C$28=$C$33,R33,0))))))*(Dashboard!$T$9)</f>
        <v>0</v>
      </c>
      <c r="S88" s="278">
        <f>(IF($C$28=$C$29,S29,IF($C$28=$C$30,S30,IF($C$28=$C$31,S31,IF($C$28=$C$32,S32,IF($C$28=$C$33,S33,0))))))*(Dashboard!$T$9)</f>
        <v>0</v>
      </c>
      <c r="T88" s="278">
        <f>(IF($C$28=$C$29,T29,IF($C$28=$C$30,T30,IF($C$28=$C$31,T31,IF($C$28=$C$32,T32,IF($C$28=$C$33,T33,0))))))*(Dashboard!$T$9)</f>
        <v>0</v>
      </c>
      <c r="U88" s="278">
        <f>(IF($C$28=$C$29,U29,IF($C$28=$C$30,U30,IF($C$28=$C$31,U31,IF($C$28=$C$32,U32,IF($C$28=$C$33,U33,0))))))*(Dashboard!$T$9)</f>
        <v>0</v>
      </c>
      <c r="V88" s="278">
        <f>(IF($C$28=$C$29,V29,IF($C$28=$C$30,V30,IF($C$28=$C$31,V31,IF($C$28=$C$32,V32,IF($C$28=$C$33,V33,0))))))*(Dashboard!$T$9)</f>
        <v>0</v>
      </c>
      <c r="W88" s="278">
        <f>(IF($C$28=$C$29,W29,IF($C$28=$C$30,W30,IF($C$28=$C$31,W31,IF($C$28=$C$32,W32,IF($C$28=$C$33,W33,0))))))*(Dashboard!$T$9)</f>
        <v>0</v>
      </c>
      <c r="X88" s="278">
        <f>(IF($C$28=$C$29,X29,IF($C$28=$C$30,X30,IF($C$28=$C$31,X31,IF($C$28=$C$32,X32,IF($C$28=$C$33,X33,0))))))*(Dashboard!$T$9)</f>
        <v>0</v>
      </c>
      <c r="Y88" s="278">
        <f>(IF($C$28=$C$29,Y29,IF($C$28=$C$30,Y30,IF($C$28=$C$31,Y31,IF($C$28=$C$32,Y32,IF($C$28=$C$33,Y33,0))))))*(Dashboard!$T$9)</f>
        <v>0</v>
      </c>
      <c r="Z88" s="278">
        <f>(IF($C$28=$C$29,Z29,IF($C$28=$C$30,Z30,IF($C$28=$C$31,Z31,IF($C$28=$C$32,Z32,IF($C$28=$C$33,Z33,0))))))*(Dashboard!$T$9)</f>
        <v>0</v>
      </c>
      <c r="AA88" s="278">
        <f>(IF($C$28=$C$29,AA29,IF($C$28=$C$30,AA30,IF($C$28=$C$31,AA31,IF($C$28=$C$32,AA32,IF($C$28=$C$33,AA33,0))))))*(Dashboard!$T$9)</f>
        <v>0</v>
      </c>
      <c r="AB88" s="278">
        <f>(IF($C$28=$C$29,AB29,IF($C$28=$C$30,AB30,IF($C$28=$C$31,AB31,IF($C$28=$C$32,AB32,IF($C$28=$C$33,AB33,0))))))*(Dashboard!$T$9)</f>
        <v>0</v>
      </c>
      <c r="AC88" s="278">
        <f>(IF($C$28=$C$29,AC29,IF($C$28=$C$30,AC30,IF($C$28=$C$31,AC31,IF($C$28=$C$32,AC32,IF($C$28=$C$33,AC33,0))))))*(Dashboard!$T$9)</f>
        <v>0</v>
      </c>
      <c r="AD88" s="278">
        <f>(IF($C$28=$C$29,AD29,IF($C$28=$C$30,AD30,IF($C$28=$C$31,AD31,IF($C$28=$C$32,AD32,IF($C$28=$C$33,AD33,0))))))*(Dashboard!$T$9)</f>
        <v>0</v>
      </c>
      <c r="AE88" s="278">
        <f>(IF($C$28=$C$29,AE29,IF($C$28=$C$30,AE30,IF($C$28=$C$31,AE31,IF($C$28=$C$32,AE32,IF($C$28=$C$33,AE33,0))))))*(Dashboard!$T$9)</f>
        <v>0</v>
      </c>
      <c r="AF88" s="278">
        <f>(IF($C$28=$C$29,AF29,IF($C$28=$C$30,AF30,IF($C$28=$C$31,AF31,IF($C$28=$C$32,AF32,IF($C$28=$C$33,AF33,0))))))*(Dashboard!$T$9)</f>
        <v>0</v>
      </c>
      <c r="AG88" s="278">
        <f>(IF($C$28=$C$29,AG29,IF($C$28=$C$30,AG30,IF($C$28=$C$31,AG31,IF($C$28=$C$32,AG32,IF($C$28=$C$33,AG33,0))))))*(Dashboard!$T$9)</f>
        <v>0</v>
      </c>
      <c r="AH88" s="278">
        <f>(IF($C$28=$C$29,AH29,IF($C$28=$C$30,AH30,IF($C$28=$C$31,AH31,IF($C$28=$C$32,AH32,IF($C$28=$C$33,AH33,0))))))*(Dashboard!$T$9)</f>
        <v>0</v>
      </c>
      <c r="AI88" s="278">
        <f>(IF($C$28=$C$29,AI29,IF($C$28=$C$30,AI30,IF($C$28=$C$31,AI31,IF($C$28=$C$32,AI32,IF($C$28=$C$33,AI33,0))))))*(Dashboard!$T$9)</f>
        <v>0</v>
      </c>
      <c r="AJ88" s="278">
        <f>(IF($C$28=$C$29,AJ29,IF($C$28=$C$30,AJ30,IF($C$28=$C$31,AJ31,IF($C$28=$C$32,AJ32,IF($C$28=$C$33,AJ33,0))))))*(Dashboard!$T$9)</f>
        <v>0</v>
      </c>
      <c r="AK88" s="278">
        <f>(IF($C$28=$C$29,AK29,IF($C$28=$C$30,AK30,IF($C$28=$C$31,AK31,IF($C$28=$C$32,AK32,IF($C$28=$C$33,AK33,0))))))*(Dashboard!$T$9)</f>
        <v>0</v>
      </c>
      <c r="AL88" s="278">
        <f>(IF($C$28=$C$29,AL29,IF($C$28=$C$30,AL30,IF($C$28=$C$31,AL31,IF($C$28=$C$32,AL32,IF($C$28=$C$33,AL33,0))))))*(Dashboard!$T$9)</f>
        <v>0</v>
      </c>
      <c r="AM88" s="278">
        <f>(IF($C$28=$C$29,AM29,IF($C$28=$C$30,AM30,IF($C$28=$C$31,AM31,IF($C$28=$C$32,AM32,IF($C$28=$C$33,AM33,0))))))*(Dashboard!$T$9)</f>
        <v>0</v>
      </c>
      <c r="AN88" s="278">
        <f>(IF($C$28=$C$29,AN29,IF($C$28=$C$30,AN30,IF($C$28=$C$31,AN31,IF($C$28=$C$32,AN32,IF($C$28=$C$33,AN33,0))))))*(Dashboard!$T$9)</f>
        <v>0</v>
      </c>
      <c r="AO88" s="278">
        <f>(IF($C$28=$C$29,AO29,IF($C$28=$C$30,AO30,IF($C$28=$C$31,AO31,IF($C$28=$C$32,AO32,IF($C$28=$C$33,AO33,0))))))*(Dashboard!$T$9)</f>
        <v>0</v>
      </c>
      <c r="AP88" s="278">
        <f>(IF($C$28=$C$29,AP29,IF($C$28=$C$30,AP30,IF($C$28=$C$31,AP31,IF($C$28=$C$32,AP32,IF($C$28=$C$33,AP33,0))))))*(Dashboard!$T$9)</f>
        <v>0</v>
      </c>
      <c r="AQ88" s="278">
        <f>(IF($C$28=$C$29,AQ29,IF($C$28=$C$30,AQ30,IF($C$28=$C$31,AQ31,IF($C$28=$C$32,AQ32,IF($C$28=$C$33,AQ33,0))))))*(Dashboard!$T$9)</f>
        <v>0</v>
      </c>
      <c r="AR88" s="278">
        <f>(IF($C$28=$C$29,AR29,IF($C$28=$C$30,AR30,IF($C$28=$C$31,AR31,IF($C$28=$C$32,AR32,IF($C$28=$C$33,AR33,0))))))*(Dashboard!$T$9)</f>
        <v>0</v>
      </c>
      <c r="AS88" s="278">
        <f>(IF($C$28=$C$29,AS29,IF($C$28=$C$30,AS30,IF($C$28=$C$31,AS31,IF($C$28=$C$32,AS32,IF($C$28=$C$33,AS33,0))))))*(Dashboard!$T$9)</f>
        <v>0</v>
      </c>
      <c r="AT88" s="278">
        <f>(IF($C$28=$C$29,AT29,IF($C$28=$C$30,AT30,IF($C$28=$C$31,AT31,IF($C$28=$C$32,AT32,IF($C$28=$C$33,AT33,0))))))*(Dashboard!$T$9)</f>
        <v>0</v>
      </c>
      <c r="AU88" s="278">
        <f>(IF($C$28=$C$29,AU29,IF($C$28=$C$30,AU30,IF($C$28=$C$31,AU31,IF($C$28=$C$32,AU32,IF($C$28=$C$33,AU33,0))))))*(Dashboard!$T$9)</f>
        <v>0</v>
      </c>
      <c r="AV88" s="278">
        <f>(IF($C$28=$C$29,AV29,IF($C$28=$C$30,AV30,IF($C$28=$C$31,AV31,IF($C$28=$C$32,AV32,IF($C$28=$C$33,AV33,0))))))*(Dashboard!$T$9)</f>
        <v>0</v>
      </c>
      <c r="AW88" s="278">
        <f>(IF($C$28=$C$29,AW29,IF($C$28=$C$30,AW30,IF($C$28=$C$31,AW31,IF($C$28=$C$32,AW32,IF($C$28=$C$33,AW33,0))))))*(Dashboard!$T$9)</f>
        <v>0</v>
      </c>
      <c r="AX88" s="278">
        <f>(IF($C$28=$C$29,AX29,IF($C$28=$C$30,AX30,IF($C$28=$C$31,AX31,IF($C$28=$C$32,AX32,IF($C$28=$C$33,AX33,0))))))*(Dashboard!$T$9)</f>
        <v>0</v>
      </c>
      <c r="AY88" s="278">
        <f>(IF($C$28=$C$29,AY29,IF($C$28=$C$30,AY30,IF($C$28=$C$31,AY31,IF($C$28=$C$32,AY32,IF($C$28=$C$33,AY33,0))))))*(Dashboard!$T$9)</f>
        <v>0</v>
      </c>
      <c r="AZ88" s="278">
        <f>(IF($C$28=$C$29,AZ29,IF($C$28=$C$30,AZ30,IF($C$28=$C$31,AZ31,IF($C$28=$C$32,AZ32,IF($C$28=$C$33,AZ33,0))))))*(Dashboard!$T$9)</f>
        <v>0</v>
      </c>
      <c r="BA88" s="278">
        <f>(IF($C$28=$C$29,BA29,IF($C$28=$C$30,BA30,IF($C$28=$C$31,BA31,IF($C$28=$C$32,BA32,IF($C$28=$C$33,BA33,0))))))*(Dashboard!$T$9)</f>
        <v>0</v>
      </c>
      <c r="BB88" s="278">
        <f>(IF($C$28=$C$29,BB29,IF($C$28=$C$30,BB30,IF($C$28=$C$31,BB31,IF($C$28=$C$32,BB32,IF($C$28=$C$33,BB33,0))))))*(Dashboard!$T$9)</f>
        <v>0</v>
      </c>
      <c r="BC88" s="278">
        <f>(IF($C$28=$C$29,BC29,IF($C$28=$C$30,BC30,IF($C$28=$C$31,BC31,IF($C$28=$C$32,BC32,IF($C$28=$C$33,BC33,0))))))*(Dashboard!$T$9)</f>
        <v>0</v>
      </c>
      <c r="BD88" s="278">
        <f>(IF($C$28=$C$29,BD29,IF($C$28=$C$30,BD30,IF($C$28=$C$31,BD31,IF($C$28=$C$32,BD32,IF($C$28=$C$33,BD33,0))))))*(Dashboard!$T$9)</f>
        <v>0</v>
      </c>
      <c r="BE88" s="278">
        <f>(IF($C$28=$C$29,BE29,IF($C$28=$C$30,BE30,IF($C$28=$C$31,BE31,IF($C$28=$C$32,BE32,IF($C$28=$C$33,BE33,0))))))*(Dashboard!$T$9)</f>
        <v>0</v>
      </c>
      <c r="BF88" s="278">
        <f>(IF($C$28=$C$29,BF29,IF($C$28=$C$30,BF30,IF($C$28=$C$31,BF31,IF($C$28=$C$32,BF32,IF($C$28=$C$33,BF33,0))))))*(Dashboard!$T$9)</f>
        <v>0</v>
      </c>
      <c r="BG88" s="278">
        <f>(IF($C$28=$C$29,BG29,IF($C$28=$C$30,BG30,IF($C$28=$C$31,BG31,IF($C$28=$C$32,BG32,IF($C$28=$C$33,BG33,0))))))*(Dashboard!$T$9)</f>
        <v>0</v>
      </c>
      <c r="BH88" s="278">
        <f>(IF($C$28=$C$29,BH29,IF($C$28=$C$30,BH30,IF($C$28=$C$31,BH31,IF($C$28=$C$32,BH32,IF($C$28=$C$33,BH33,0))))))*(Dashboard!$T$9)</f>
        <v>0</v>
      </c>
      <c r="BI88" s="278">
        <f>(IF($C$28=$C$29,BI29,IF($C$28=$C$30,BI30,IF($C$28=$C$31,BI31,IF($C$28=$C$32,BI32,IF($C$28=$C$33,BI33,0))))))*(Dashboard!$T$9)</f>
        <v>0</v>
      </c>
      <c r="BJ88" s="278">
        <f>(IF($C$28=$C$29,BJ29,IF($C$28=$C$30,BJ30,IF($C$28=$C$31,BJ31,IF($C$28=$C$32,BJ32,IF($C$28=$C$33,BJ33,0))))))*(Dashboard!$T$9)</f>
        <v>0</v>
      </c>
      <c r="BK88" s="278">
        <f>(IF($C$28=$C$29,BK29,IF($C$28=$C$30,BK30,IF($C$28=$C$31,BK31,IF($C$28=$C$32,BK32,IF($C$28=$C$33,BK33,0))))))*(Dashboard!$T$9)</f>
        <v>0</v>
      </c>
      <c r="BL88" s="278">
        <f>(IF($C$28=$C$29,BL29,IF($C$28=$C$30,BL30,IF($C$28=$C$31,BL31,IF($C$28=$C$32,BL32,IF($C$28=$C$33,BL33,0))))))*(Dashboard!$T$9)</f>
        <v>0</v>
      </c>
      <c r="BM88" s="278">
        <f>(IF($C$28=$C$29,BM29,IF($C$28=$C$30,BM30,IF($C$28=$C$31,BM31,IF($C$28=$C$32,BM32,IF($C$28=$C$33,BM33,0))))))*(Dashboard!$T$9)</f>
        <v>0</v>
      </c>
      <c r="BN88" s="278">
        <f>(IF($C$28=$C$29,BN29,IF($C$28=$C$30,BN30,IF($C$28=$C$31,BN31,IF($C$28=$C$32,BN32,IF($C$28=$C$33,BN33,0))))))*(Dashboard!$T$9)</f>
        <v>0</v>
      </c>
      <c r="BO88" s="278">
        <f>(IF($C$28=$C$29,BO29,IF($C$28=$C$30,BO30,IF($C$28=$C$31,BO31,IF($C$28=$C$32,BO32,IF($C$28=$C$33,BO33,0))))))*(Dashboard!$T$9)</f>
        <v>0</v>
      </c>
      <c r="BP88" s="278">
        <f>(IF($C$28=$C$29,BP29,IF($C$28=$C$30,BP30,IF($C$28=$C$31,BP31,IF($C$28=$C$32,BP32,IF($C$28=$C$33,BP33,0))))))*(Dashboard!$T$9)</f>
        <v>0</v>
      </c>
    </row>
    <row r="89" spans="1:68" ht="12" customHeight="1" outlineLevel="1">
      <c r="A89" s="275" t="s">
        <v>1671</v>
      </c>
      <c r="B89" s="260" t="s">
        <v>1687</v>
      </c>
      <c r="C89" s="261"/>
      <c r="E89" s="284">
        <f>Dashboard!$T$9*$C$89</f>
        <v>0</v>
      </c>
      <c r="F89" s="284">
        <f>IFERROR(-$E$89*(F88/Dashboard!$T$9),0)</f>
        <v>0</v>
      </c>
      <c r="G89" s="284">
        <f>IFERROR(-$E$89*(G88/Dashboard!$T$9),0)</f>
        <v>0</v>
      </c>
      <c r="H89" s="284">
        <f>IFERROR(-$E$89*(H88/Dashboard!$T$9),0)</f>
        <v>0</v>
      </c>
      <c r="I89" s="284">
        <f>IFERROR(-$E$89*(I88/Dashboard!$T$9),0)</f>
        <v>0</v>
      </c>
      <c r="J89" s="284">
        <f>IFERROR(-$E$89*(J88/Dashboard!$T$9),0)</f>
        <v>0</v>
      </c>
      <c r="K89" s="284">
        <f>IFERROR(-$E$89*(K88/Dashboard!$T$9),0)</f>
        <v>0</v>
      </c>
      <c r="L89" s="284">
        <f>IFERROR(-$E$89*(L88/Dashboard!$T$9),0)</f>
        <v>0</v>
      </c>
      <c r="M89" s="284">
        <f>IFERROR(-$E$89*(M88/Dashboard!$T$9),0)</f>
        <v>0</v>
      </c>
      <c r="N89" s="284">
        <f>IFERROR(-$E$89*(N88/Dashboard!$T$9),0)</f>
        <v>0</v>
      </c>
      <c r="O89" s="284">
        <f>IFERROR(-$E$89*(O88/Dashboard!$T$9),0)</f>
        <v>0</v>
      </c>
      <c r="P89" s="284">
        <f>IFERROR(-$E$89*(P88/Dashboard!$T$9),0)</f>
        <v>0</v>
      </c>
      <c r="Q89" s="284">
        <f>IFERROR(-$E$89*(Q88/Dashboard!$T$9),0)</f>
        <v>0</v>
      </c>
      <c r="R89" s="284">
        <f>IFERROR(-$E$89*(R88/Dashboard!$T$9),0)</f>
        <v>0</v>
      </c>
      <c r="S89" s="284">
        <f>IFERROR(-$E$89*(S88/Dashboard!$T$9),0)</f>
        <v>0</v>
      </c>
      <c r="T89" s="284">
        <f>IFERROR(-$E$89*(T88/Dashboard!$T$9),0)</f>
        <v>0</v>
      </c>
      <c r="U89" s="284">
        <f>IFERROR(-$E$89*(U88/Dashboard!$T$9),0)</f>
        <v>0</v>
      </c>
      <c r="V89" s="284">
        <f>IFERROR(-$E$89*(V88/Dashboard!$T$9),0)</f>
        <v>0</v>
      </c>
      <c r="W89" s="284">
        <f>IFERROR(-$E$89*(W88/Dashboard!$T$9),0)</f>
        <v>0</v>
      </c>
      <c r="X89" s="284">
        <f>IFERROR(-$E$89*(X88/Dashboard!$T$9),0)</f>
        <v>0</v>
      </c>
      <c r="Y89" s="284">
        <f>IFERROR(-$E$89*(Y88/Dashboard!$T$9),0)</f>
        <v>0</v>
      </c>
      <c r="Z89" s="284">
        <f>IFERROR(-$E$89*(Z88/Dashboard!$T$9),0)</f>
        <v>0</v>
      </c>
      <c r="AA89" s="284">
        <f>IFERROR(-$E$89*(AA88/Dashboard!$T$9),0)</f>
        <v>0</v>
      </c>
      <c r="AB89" s="284">
        <f>IFERROR(-$E$89*(AB88/Dashboard!$T$9),0)</f>
        <v>0</v>
      </c>
      <c r="AC89" s="284">
        <f>IFERROR(-$E$89*(AC88/Dashboard!$T$9),0)</f>
        <v>0</v>
      </c>
      <c r="AD89" s="284">
        <f>IFERROR(-$E$89*(AD88/Dashboard!$T$9),0)</f>
        <v>0</v>
      </c>
      <c r="AE89" s="284">
        <f>IFERROR(-$E$89*(AE88/Dashboard!$T$9),0)</f>
        <v>0</v>
      </c>
      <c r="AF89" s="284">
        <f>IFERROR(-$E$89*(AF88/Dashboard!$T$9),0)</f>
        <v>0</v>
      </c>
      <c r="AG89" s="284">
        <f>IFERROR(-$E$89*(AG88/Dashboard!$T$9),0)</f>
        <v>0</v>
      </c>
      <c r="AH89" s="284">
        <f>IFERROR(-$E$89*(AH88/Dashboard!$T$9),0)</f>
        <v>0</v>
      </c>
      <c r="AI89" s="284">
        <f>IFERROR(-$E$89*(AI88/Dashboard!$T$9),0)</f>
        <v>0</v>
      </c>
      <c r="AJ89" s="284">
        <f>IFERROR(-$E$89*(AJ88/Dashboard!$T$9),0)</f>
        <v>0</v>
      </c>
      <c r="AK89" s="284">
        <f>IFERROR(-$E$89*(AK88/Dashboard!$T$9),0)</f>
        <v>0</v>
      </c>
      <c r="AL89" s="284">
        <f>IFERROR(-$E$89*(AL88/Dashboard!$T$9),0)</f>
        <v>0</v>
      </c>
      <c r="AM89" s="284">
        <f>IFERROR(-$E$89*(AM88/Dashboard!$T$9),0)</f>
        <v>0</v>
      </c>
      <c r="AN89" s="284">
        <f>IFERROR(-$E$89*(AN88/Dashboard!$T$9),0)</f>
        <v>0</v>
      </c>
      <c r="AO89" s="284">
        <f>IFERROR(-$E$89*(AO88/Dashboard!$T$9),0)</f>
        <v>0</v>
      </c>
      <c r="AP89" s="284">
        <f>IFERROR(-$E$89*(AP88/Dashboard!$T$9),0)</f>
        <v>0</v>
      </c>
      <c r="AQ89" s="284">
        <f>IFERROR(-$E$89*(AQ88/Dashboard!$T$9),0)</f>
        <v>0</v>
      </c>
      <c r="AR89" s="284">
        <f>IFERROR(-$E$89*(AR88/Dashboard!$T$9),0)</f>
        <v>0</v>
      </c>
      <c r="AS89" s="284">
        <f>IFERROR(-$E$89*(AS88/Dashboard!$T$9),0)</f>
        <v>0</v>
      </c>
      <c r="AT89" s="284">
        <f>IFERROR(-$E$89*(AT88/Dashboard!$T$9),0)</f>
        <v>0</v>
      </c>
      <c r="AU89" s="284">
        <f>IFERROR(-$E$89*(AU88/Dashboard!$T$9),0)</f>
        <v>0</v>
      </c>
      <c r="AV89" s="284">
        <f>IFERROR(-$E$89*(AV88/Dashboard!$T$9),0)</f>
        <v>0</v>
      </c>
      <c r="AW89" s="284">
        <f>IFERROR(-$E$89*(AW88/Dashboard!$T$9),0)</f>
        <v>0</v>
      </c>
      <c r="AX89" s="284">
        <f>IFERROR(-$E$89*(AX88/Dashboard!$T$9),0)</f>
        <v>0</v>
      </c>
      <c r="AY89" s="284">
        <f>IFERROR(-$E$89*(AY88/Dashboard!$T$9),0)</f>
        <v>0</v>
      </c>
      <c r="AZ89" s="284">
        <f>IFERROR(-$E$89*(AZ88/Dashboard!$T$9),0)</f>
        <v>0</v>
      </c>
      <c r="BA89" s="284">
        <f>IFERROR(-$E$89*(BA88/Dashboard!$T$9),0)</f>
        <v>0</v>
      </c>
      <c r="BB89" s="284">
        <f>IFERROR(-$E$89*(BB88/Dashboard!$T$9),0)</f>
        <v>0</v>
      </c>
      <c r="BC89" s="284">
        <f>IFERROR(-$E$89*(BC88/Dashboard!$T$9),0)</f>
        <v>0</v>
      </c>
      <c r="BD89" s="284">
        <f>IFERROR(-$E$89*(BD88/Dashboard!$T$9),0)</f>
        <v>0</v>
      </c>
      <c r="BE89" s="284">
        <f>IFERROR(-$E$89*(BE88/Dashboard!$T$9),0)</f>
        <v>0</v>
      </c>
      <c r="BF89" s="284">
        <f>IFERROR(-$E$89*(BF88/Dashboard!$T$9),0)</f>
        <v>0</v>
      </c>
      <c r="BG89" s="284">
        <f>IFERROR(-$E$89*(BG88/Dashboard!$T$9),0)</f>
        <v>0</v>
      </c>
      <c r="BH89" s="284">
        <f>IFERROR(-$E$89*(BH88/Dashboard!$T$9),0)</f>
        <v>0</v>
      </c>
      <c r="BI89" s="284">
        <f>IFERROR(-$E$89*(BI88/Dashboard!$T$9),0)</f>
        <v>0</v>
      </c>
      <c r="BJ89" s="284">
        <f>IFERROR(-$E$89*(BJ88/Dashboard!$T$9),0)</f>
        <v>0</v>
      </c>
      <c r="BK89" s="284">
        <f>IFERROR(-$E$89*(BK88/Dashboard!$T$9),0)</f>
        <v>0</v>
      </c>
      <c r="BL89" s="284">
        <f>IFERROR(-$E$89*(BL88/Dashboard!$T$9),0)</f>
        <v>0</v>
      </c>
      <c r="BM89" s="284">
        <f>IFERROR(-$E$89*(BM88/Dashboard!$T$9),0)</f>
        <v>0</v>
      </c>
      <c r="BN89" s="284">
        <f>IFERROR(-$E$89*(BN88/Dashboard!$T$9),0)</f>
        <v>0</v>
      </c>
      <c r="BO89" s="284">
        <f>IFERROR(-$E$89*(BO88/Dashboard!$T$9),0)</f>
        <v>0</v>
      </c>
      <c r="BP89" s="284">
        <f>IFERROR(-$E$89*(BP88/Dashboard!$T$9),0)</f>
        <v>0</v>
      </c>
    </row>
    <row r="90" spans="1:68" ht="12" customHeight="1" outlineLevel="1">
      <c r="B90" s="260" t="s">
        <v>1688</v>
      </c>
      <c r="C90" s="296">
        <f>C21</f>
        <v>0.05</v>
      </c>
      <c r="E90" s="284">
        <f>(-$C90*E$88)+IF(E87=(Dashboard!$D$14+$C$22),$C90*Dashboard!$T$9,0)</f>
        <v>-7681.57895588881</v>
      </c>
      <c r="F90" s="284">
        <f>(-$C90*F$88)+IF(F87=(Dashboard!$D$14+$C$22),$C90*Dashboard!$T$9,0)</f>
        <v>-7681.57895588881</v>
      </c>
      <c r="G90" s="284">
        <f>(-$C90*G$88)+IF(G87=(Dashboard!$D$14+$C$22),$C90*Dashboard!$T$9,0)</f>
        <v>-7681.57895588881</v>
      </c>
      <c r="H90" s="284">
        <f>(-$C90*H$88)+IF(H87=(Dashboard!$D$14+$C$22),$C90*Dashboard!$T$9,0)</f>
        <v>-7681.57895588881</v>
      </c>
      <c r="I90" s="284">
        <f>(-$C90*I$88)+IF(I87=(Dashboard!$D$14+$C$22),$C90*Dashboard!$T$9,0)</f>
        <v>-7681.57895588881</v>
      </c>
      <c r="J90" s="284">
        <f>(-$C90*J$88)+IF(J87=(Dashboard!$D$14+$C$22),$C90*Dashboard!$T$9,0)</f>
        <v>-7681.57895588881</v>
      </c>
      <c r="K90" s="284">
        <f>(-$C90*K$88)+IF(K87=(Dashboard!$D$14+$C$22),$C90*Dashboard!$T$9,0)</f>
        <v>-7681.57895588881</v>
      </c>
      <c r="L90" s="284">
        <f>(-$C90*L$88)+IF(L87=(Dashboard!$D$14+$C$22),$C90*Dashboard!$T$9,0)</f>
        <v>-7681.57895588881</v>
      </c>
      <c r="M90" s="284">
        <f>(-$C90*M$88)+IF(M87=(Dashboard!$D$14+$C$22),$C90*Dashboard!$T$9,0)</f>
        <v>-7681.57895588881</v>
      </c>
      <c r="N90" s="284">
        <f>(-$C90*N$88)+IF(N87=(Dashboard!$D$14+$C$22),$C90*Dashboard!$T$9,0)</f>
        <v>-7681.57895588881</v>
      </c>
      <c r="O90" s="284">
        <f>(-$C90*O$88)+IF(O87=(Dashboard!$D$14+$C$22),$C90*Dashboard!$T$9,0)</f>
        <v>76815.789558888093</v>
      </c>
      <c r="P90" s="284">
        <f>(-$C90*P$88)+IF(P87=(Dashboard!$D$14+$C$22),$C90*Dashboard!$T$9,0)</f>
        <v>0</v>
      </c>
      <c r="Q90" s="284">
        <f>(-$C90*Q$88)+IF(Q87=(Dashboard!$D$14+$C$22),$C90*Dashboard!$T$9,0)</f>
        <v>0</v>
      </c>
      <c r="R90" s="284">
        <f>(-$C90*R$88)+IF(R87=(Dashboard!$D$14+$C$22),$C90*Dashboard!$T$9,0)</f>
        <v>0</v>
      </c>
      <c r="S90" s="284">
        <f>(-$C90*S$88)+IF(S87=(Dashboard!$D$14+$C$22),$C90*Dashboard!$T$9,0)</f>
        <v>0</v>
      </c>
      <c r="T90" s="284">
        <f>(-$C90*T$88)+IF(T87=(Dashboard!$D$14+$C$22),$C90*Dashboard!$T$9,0)</f>
        <v>0</v>
      </c>
      <c r="U90" s="284">
        <f>(-$C90*U$88)+IF(U87=(Dashboard!$D$14+$C$22),$C90*Dashboard!$T$9,0)</f>
        <v>0</v>
      </c>
      <c r="V90" s="284">
        <f>(-$C90*V$88)+IF(V87=(Dashboard!$D$14+$C$22),$C90*Dashboard!$T$9,0)</f>
        <v>0</v>
      </c>
      <c r="W90" s="284">
        <f>(-$C90*W$88)+IF(W87=(Dashboard!$D$14+$C$22),$C90*Dashboard!$T$9,0)</f>
        <v>0</v>
      </c>
      <c r="X90" s="284">
        <f>(-$C90*X$88)+IF(X87=(Dashboard!$D$14+$C$22),$C90*Dashboard!$T$9,0)</f>
        <v>0</v>
      </c>
      <c r="Y90" s="284">
        <f>(-$C90*Y$88)+IF(Y87=(Dashboard!$D$14+$C$22),$C90*Dashboard!$T$9,0)</f>
        <v>0</v>
      </c>
      <c r="Z90" s="284">
        <f>(-$C90*Z$88)+IF(Z87=(Dashboard!$D$14+$C$22),$C90*Dashboard!$T$9,0)</f>
        <v>0</v>
      </c>
      <c r="AA90" s="284">
        <f>(-$C90*AA$88)+IF(AA87=(Dashboard!$D$14+$C$22),$C90*Dashboard!$T$9,0)</f>
        <v>0</v>
      </c>
      <c r="AB90" s="284">
        <f>(-$C90*AB$88)+IF(AB87=(Dashboard!$D$14+$C$22),$C90*Dashboard!$T$9,0)</f>
        <v>0</v>
      </c>
      <c r="AC90" s="284">
        <f>(-$C90*AC$88)+IF(AC87=(Dashboard!$D$14+$C$22),$C90*Dashboard!$T$9,0)</f>
        <v>0</v>
      </c>
      <c r="AD90" s="284">
        <f>(-$C90*AD$88)+IF(AD87=(Dashboard!$D$14+$C$22),$C90*Dashboard!$T$9,0)</f>
        <v>0</v>
      </c>
      <c r="AE90" s="284">
        <f>(-$C90*AE$88)+IF(AE87=(Dashboard!$D$14+$C$22),$C90*Dashboard!$T$9,0)</f>
        <v>0</v>
      </c>
      <c r="AF90" s="284">
        <f>(-$C90*AF$88)+IF(AF87=(Dashboard!$D$14+$C$22),$C90*Dashboard!$T$9,0)</f>
        <v>0</v>
      </c>
      <c r="AG90" s="284">
        <f>(-$C90*AG$88)+IF(AG87=(Dashboard!$D$14+$C$22),$C90*Dashboard!$T$9,0)</f>
        <v>0</v>
      </c>
      <c r="AH90" s="284">
        <f>(-$C90*AH$88)+IF(AH87=(Dashboard!$D$14+$C$22),$C90*Dashboard!$T$9,0)</f>
        <v>0</v>
      </c>
      <c r="AI90" s="284">
        <f>(-$C90*AI$88)+IF(AI87=(Dashboard!$D$14+$C$22),$C90*Dashboard!$T$9,0)</f>
        <v>0</v>
      </c>
      <c r="AJ90" s="284">
        <f>(-$C90*AJ$88)+IF(AJ87=(Dashboard!$D$14+$C$22),$C90*Dashboard!$T$9,0)</f>
        <v>0</v>
      </c>
      <c r="AK90" s="284">
        <f>(-$C90*AK$88)+IF(AK87=(Dashboard!$D$14+$C$22),$C90*Dashboard!$T$9,0)</f>
        <v>0</v>
      </c>
      <c r="AL90" s="284">
        <f>(-$C90*AL$88)+IF(AL87=(Dashboard!$D$14+$C$22),$C90*Dashboard!$T$9,0)</f>
        <v>0</v>
      </c>
      <c r="AM90" s="284">
        <f>(-$C90*AM$88)+IF(AM87=(Dashboard!$D$14+$C$22),$C90*Dashboard!$T$9,0)</f>
        <v>0</v>
      </c>
      <c r="AN90" s="284">
        <f>(-$C90*AN$88)+IF(AN87=(Dashboard!$D$14+$C$22),$C90*Dashboard!$T$9,0)</f>
        <v>0</v>
      </c>
      <c r="AO90" s="284">
        <f>(-$C90*AO$88)+IF(AO87=(Dashboard!$D$14+$C$22),$C90*Dashboard!$T$9,0)</f>
        <v>0</v>
      </c>
      <c r="AP90" s="284">
        <f>(-$C90*AP$88)+IF(AP87=(Dashboard!$D$14+$C$22),$C90*Dashboard!$T$9,0)</f>
        <v>0</v>
      </c>
      <c r="AQ90" s="284">
        <f>(-$C90*AQ$88)+IF(AQ87=(Dashboard!$D$14+$C$22),$C90*Dashboard!$T$9,0)</f>
        <v>0</v>
      </c>
      <c r="AR90" s="284">
        <f>(-$C90*AR$88)+IF(AR87=(Dashboard!$D$14+$C$22),$C90*Dashboard!$T$9,0)</f>
        <v>0</v>
      </c>
      <c r="AS90" s="284">
        <f>(-$C90*AS$88)+IF(AS87=(Dashboard!$D$14+$C$22),$C90*Dashboard!$T$9,0)</f>
        <v>0</v>
      </c>
      <c r="AT90" s="284">
        <f>(-$C90*AT$88)+IF(AT87=(Dashboard!$D$14+$C$22),$C90*Dashboard!$T$9,0)</f>
        <v>0</v>
      </c>
      <c r="AU90" s="284">
        <f>(-$C90*AU$88)+IF(AU87=(Dashboard!$D$14+$C$22),$C90*Dashboard!$T$9,0)</f>
        <v>0</v>
      </c>
      <c r="AV90" s="284">
        <f>(-$C90*AV$88)+IF(AV87=(Dashboard!$D$14+$C$22),$C90*Dashboard!$T$9,0)</f>
        <v>0</v>
      </c>
      <c r="AW90" s="284">
        <f>(-$C90*AW$88)+IF(AW87=(Dashboard!$D$14+$C$22),$C90*Dashboard!$T$9,0)</f>
        <v>0</v>
      </c>
      <c r="AX90" s="284">
        <f>(-$C90*AX$88)+IF(AX87=(Dashboard!$D$14+$C$22),$C90*Dashboard!$T$9,0)</f>
        <v>0</v>
      </c>
      <c r="AY90" s="284">
        <f>(-$C90*AY$88)+IF(AY87=(Dashboard!$D$14+$C$22),$C90*Dashboard!$T$9,0)</f>
        <v>0</v>
      </c>
      <c r="AZ90" s="284">
        <f>(-$C90*AZ$88)+IF(AZ87=(Dashboard!$D$14+$C$22),$C90*Dashboard!$T$9,0)</f>
        <v>0</v>
      </c>
      <c r="BA90" s="284">
        <f>(-$C90*BA$88)+IF(BA87=(Dashboard!$D$14+$C$22),$C90*Dashboard!$T$9,0)</f>
        <v>0</v>
      </c>
      <c r="BB90" s="284">
        <f>(-$C90*BB$88)+IF(BB87=(Dashboard!$D$14+$C$22),$C90*Dashboard!$T$9,0)</f>
        <v>0</v>
      </c>
      <c r="BC90" s="284">
        <f>(-$C90*BC$88)+IF(BC87=(Dashboard!$D$14+$C$22),$C90*Dashboard!$T$9,0)</f>
        <v>0</v>
      </c>
      <c r="BD90" s="284">
        <f>(-$C90*BD$88)+IF(BD87=(Dashboard!$D$14+$C$22),$C90*Dashboard!$T$9,0)</f>
        <v>0</v>
      </c>
      <c r="BE90" s="284">
        <f>(-$C90*BE$88)+IF(BE87=(Dashboard!$D$14+$C$22),$C90*Dashboard!$T$9,0)</f>
        <v>0</v>
      </c>
      <c r="BF90" s="284">
        <f>(-$C90*BF$88)+IF(BF87=(Dashboard!$D$14+$C$22),$C90*Dashboard!$T$9,0)</f>
        <v>0</v>
      </c>
      <c r="BG90" s="284">
        <f>(-$C90*BG$88)+IF(BG87=(Dashboard!$D$14+$C$22),$C90*Dashboard!$T$9,0)</f>
        <v>0</v>
      </c>
      <c r="BH90" s="284">
        <f>(-$C90*BH$88)+IF(BH87=(Dashboard!$D$14+$C$22),$C90*Dashboard!$T$9,0)</f>
        <v>0</v>
      </c>
      <c r="BI90" s="284">
        <f>(-$C90*BI$88)+IF(BI87=(Dashboard!$D$14+$C$22),$C90*Dashboard!$T$9,0)</f>
        <v>0</v>
      </c>
      <c r="BJ90" s="284">
        <f>(-$C90*BJ$88)+IF(BJ87=(Dashboard!$D$14+$C$22),$C90*Dashboard!$T$9,0)</f>
        <v>0</v>
      </c>
      <c r="BK90" s="284">
        <f>(-$C90*BK$88)+IF(BK87=(Dashboard!$D$14+$C$22),$C90*Dashboard!$T$9,0)</f>
        <v>0</v>
      </c>
      <c r="BL90" s="284">
        <f>(-$C90*BL$88)+IF(BL87=(Dashboard!$D$14+$C$22),$C90*Dashboard!$T$9,0)</f>
        <v>0</v>
      </c>
      <c r="BM90" s="284">
        <f>(-$C90*BM$88)+IF(BM87=(Dashboard!$D$14+$C$22),$C90*Dashboard!$T$9,0)</f>
        <v>0</v>
      </c>
      <c r="BN90" s="284">
        <f>(-$C90*BN$88)+IF(BN87=(Dashboard!$D$14+$C$22),$C90*Dashboard!$T$9,0)</f>
        <v>0</v>
      </c>
      <c r="BO90" s="284">
        <f>(-$C90*BO$88)+IF(BO87=(Dashboard!$D$14+$C$22),$C90*Dashboard!$T$9,0)</f>
        <v>0</v>
      </c>
      <c r="BP90" s="284">
        <f>(-$C90*BP$88)+IF(BP87=(Dashboard!$D$14+$C$22),$C90*Dashboard!$T$9,0)</f>
        <v>0</v>
      </c>
    </row>
    <row r="91" spans="1:68" ht="6" customHeight="1" outlineLevel="1">
      <c r="A91" s="280"/>
      <c r="B91" s="281"/>
      <c r="C91" s="282"/>
      <c r="D91" s="282"/>
      <c r="E91" s="283"/>
      <c r="F91" s="282"/>
      <c r="G91" s="282"/>
      <c r="H91" s="282"/>
      <c r="I91" s="282"/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282"/>
      <c r="Y91" s="282"/>
      <c r="Z91" s="282"/>
      <c r="AA91" s="282"/>
      <c r="AB91" s="282"/>
      <c r="AC91" s="282"/>
      <c r="AD91" s="282"/>
      <c r="AE91" s="282"/>
      <c r="AF91" s="282"/>
      <c r="AG91" s="282"/>
      <c r="AH91" s="282"/>
      <c r="AI91" s="282"/>
      <c r="AJ91" s="282"/>
      <c r="AK91" s="282"/>
      <c r="AL91" s="282"/>
      <c r="AM91" s="282"/>
      <c r="AN91" s="282"/>
      <c r="AO91" s="282"/>
      <c r="AP91" s="282"/>
      <c r="AQ91" s="282"/>
      <c r="AR91" s="282"/>
      <c r="AS91" s="282"/>
      <c r="AT91" s="282"/>
      <c r="AU91" s="282"/>
      <c r="AV91" s="282"/>
      <c r="AW91" s="282"/>
      <c r="AX91" s="282"/>
      <c r="AY91" s="282"/>
      <c r="AZ91" s="282"/>
      <c r="BA91" s="282"/>
      <c r="BB91" s="282"/>
      <c r="BC91" s="282"/>
      <c r="BD91" s="282"/>
      <c r="BE91" s="282"/>
      <c r="BF91" s="282"/>
      <c r="BG91" s="282"/>
      <c r="BH91" s="282"/>
      <c r="BI91" s="282"/>
      <c r="BJ91" s="282"/>
      <c r="BK91" s="282"/>
      <c r="BL91" s="282"/>
      <c r="BM91" s="282"/>
      <c r="BN91" s="282"/>
      <c r="BO91" s="282"/>
      <c r="BP91" s="282"/>
    </row>
    <row r="92" spans="1:68" ht="12" customHeight="1" outlineLevel="1">
      <c r="B92" s="276" t="s">
        <v>1689</v>
      </c>
      <c r="E92" s="278">
        <f>SUM(E88:E90)</f>
        <v>145950.00016188738</v>
      </c>
      <c r="F92" s="278">
        <f t="shared" ref="F92:BP92" si="30">SUM(F88:F90)</f>
        <v>145950.00016188738</v>
      </c>
      <c r="G92" s="278">
        <f t="shared" si="30"/>
        <v>145950.00016188738</v>
      </c>
      <c r="H92" s="278">
        <f t="shared" si="30"/>
        <v>145950.00016188738</v>
      </c>
      <c r="I92" s="278">
        <f t="shared" si="30"/>
        <v>145950.00016188738</v>
      </c>
      <c r="J92" s="278">
        <f t="shared" si="30"/>
        <v>145950.00016188738</v>
      </c>
      <c r="K92" s="278">
        <f t="shared" si="30"/>
        <v>145950.00016188738</v>
      </c>
      <c r="L92" s="278">
        <f t="shared" si="30"/>
        <v>145950.00016188738</v>
      </c>
      <c r="M92" s="278">
        <f t="shared" si="30"/>
        <v>145950.00016188738</v>
      </c>
      <c r="N92" s="278">
        <f t="shared" si="30"/>
        <v>145950.00016188738</v>
      </c>
      <c r="O92" s="278">
        <f t="shared" si="30"/>
        <v>76815.789558888093</v>
      </c>
      <c r="P92" s="278">
        <f t="shared" si="30"/>
        <v>0</v>
      </c>
      <c r="Q92" s="278">
        <f t="shared" si="30"/>
        <v>0</v>
      </c>
      <c r="R92" s="278">
        <f t="shared" si="30"/>
        <v>0</v>
      </c>
      <c r="S92" s="278">
        <f t="shared" si="30"/>
        <v>0</v>
      </c>
      <c r="T92" s="278">
        <f t="shared" si="30"/>
        <v>0</v>
      </c>
      <c r="U92" s="278">
        <f t="shared" si="30"/>
        <v>0</v>
      </c>
      <c r="V92" s="278">
        <f t="shared" si="30"/>
        <v>0</v>
      </c>
      <c r="W92" s="278">
        <f t="shared" si="30"/>
        <v>0</v>
      </c>
      <c r="X92" s="278">
        <f t="shared" si="30"/>
        <v>0</v>
      </c>
      <c r="Y92" s="278">
        <f t="shared" si="30"/>
        <v>0</v>
      </c>
      <c r="Z92" s="278">
        <f t="shared" si="30"/>
        <v>0</v>
      </c>
      <c r="AA92" s="278">
        <f t="shared" si="30"/>
        <v>0</v>
      </c>
      <c r="AB92" s="278">
        <f t="shared" si="30"/>
        <v>0</v>
      </c>
      <c r="AC92" s="278">
        <f t="shared" si="30"/>
        <v>0</v>
      </c>
      <c r="AD92" s="278">
        <f t="shared" si="30"/>
        <v>0</v>
      </c>
      <c r="AE92" s="278">
        <f t="shared" si="30"/>
        <v>0</v>
      </c>
      <c r="AF92" s="278">
        <f t="shared" si="30"/>
        <v>0</v>
      </c>
      <c r="AG92" s="278">
        <f t="shared" si="30"/>
        <v>0</v>
      </c>
      <c r="AH92" s="278">
        <f t="shared" si="30"/>
        <v>0</v>
      </c>
      <c r="AI92" s="278">
        <f t="shared" si="30"/>
        <v>0</v>
      </c>
      <c r="AJ92" s="278">
        <f t="shared" si="30"/>
        <v>0</v>
      </c>
      <c r="AK92" s="278">
        <f t="shared" si="30"/>
        <v>0</v>
      </c>
      <c r="AL92" s="278">
        <f t="shared" si="30"/>
        <v>0</v>
      </c>
      <c r="AM92" s="278">
        <f t="shared" si="30"/>
        <v>0</v>
      </c>
      <c r="AN92" s="278">
        <f t="shared" si="30"/>
        <v>0</v>
      </c>
      <c r="AO92" s="278">
        <f t="shared" si="30"/>
        <v>0</v>
      </c>
      <c r="AP92" s="278">
        <f t="shared" si="30"/>
        <v>0</v>
      </c>
      <c r="AQ92" s="278">
        <f t="shared" si="30"/>
        <v>0</v>
      </c>
      <c r="AR92" s="278">
        <f t="shared" si="30"/>
        <v>0</v>
      </c>
      <c r="AS92" s="278">
        <f t="shared" si="30"/>
        <v>0</v>
      </c>
      <c r="AT92" s="278">
        <f t="shared" si="30"/>
        <v>0</v>
      </c>
      <c r="AU92" s="278">
        <f t="shared" si="30"/>
        <v>0</v>
      </c>
      <c r="AV92" s="278">
        <f t="shared" si="30"/>
        <v>0</v>
      </c>
      <c r="AW92" s="278">
        <f t="shared" si="30"/>
        <v>0</v>
      </c>
      <c r="AX92" s="278">
        <f t="shared" si="30"/>
        <v>0</v>
      </c>
      <c r="AY92" s="278">
        <f t="shared" si="30"/>
        <v>0</v>
      </c>
      <c r="AZ92" s="278">
        <f t="shared" si="30"/>
        <v>0</v>
      </c>
      <c r="BA92" s="278">
        <f t="shared" si="30"/>
        <v>0</v>
      </c>
      <c r="BB92" s="278">
        <f t="shared" si="30"/>
        <v>0</v>
      </c>
      <c r="BC92" s="278">
        <f t="shared" si="30"/>
        <v>0</v>
      </c>
      <c r="BD92" s="278">
        <f t="shared" si="30"/>
        <v>0</v>
      </c>
      <c r="BE92" s="278">
        <f t="shared" si="30"/>
        <v>0</v>
      </c>
      <c r="BF92" s="278">
        <f t="shared" si="30"/>
        <v>0</v>
      </c>
      <c r="BG92" s="278">
        <f t="shared" si="30"/>
        <v>0</v>
      </c>
      <c r="BH92" s="278">
        <f t="shared" si="30"/>
        <v>0</v>
      </c>
      <c r="BI92" s="278">
        <f t="shared" si="30"/>
        <v>0</v>
      </c>
      <c r="BJ92" s="278">
        <f t="shared" si="30"/>
        <v>0</v>
      </c>
      <c r="BK92" s="278">
        <f t="shared" si="30"/>
        <v>0</v>
      </c>
      <c r="BL92" s="278">
        <f t="shared" si="30"/>
        <v>0</v>
      </c>
      <c r="BM92" s="278">
        <f t="shared" si="30"/>
        <v>0</v>
      </c>
      <c r="BN92" s="278">
        <f t="shared" si="30"/>
        <v>0</v>
      </c>
      <c r="BO92" s="278">
        <f t="shared" si="30"/>
        <v>0</v>
      </c>
      <c r="BP92" s="278">
        <f t="shared" si="30"/>
        <v>0</v>
      </c>
    </row>
    <row r="93" spans="1:68" ht="6" customHeight="1" outlineLevel="1">
      <c r="A93" s="280"/>
      <c r="B93" s="281"/>
      <c r="C93" s="282"/>
      <c r="D93" s="282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  <c r="Z93" s="283"/>
      <c r="AA93" s="283"/>
      <c r="AB93" s="283"/>
      <c r="AC93" s="283"/>
      <c r="AD93" s="283"/>
      <c r="AE93" s="283"/>
      <c r="AF93" s="283"/>
      <c r="AG93" s="283"/>
      <c r="AH93" s="283"/>
      <c r="AI93" s="283"/>
      <c r="AJ93" s="283"/>
      <c r="AK93" s="283"/>
      <c r="AL93" s="283"/>
      <c r="AM93" s="283"/>
      <c r="AN93" s="283"/>
      <c r="AO93" s="283"/>
      <c r="AP93" s="283"/>
      <c r="AQ93" s="283"/>
      <c r="AR93" s="283"/>
      <c r="AS93" s="283"/>
      <c r="AT93" s="283"/>
      <c r="AU93" s="283"/>
      <c r="AV93" s="283"/>
      <c r="AW93" s="283"/>
      <c r="AX93" s="283"/>
      <c r="AY93" s="283"/>
      <c r="AZ93" s="283"/>
      <c r="BA93" s="283"/>
      <c r="BB93" s="283"/>
      <c r="BC93" s="283"/>
      <c r="BD93" s="283"/>
      <c r="BE93" s="283"/>
      <c r="BF93" s="283"/>
      <c r="BG93" s="283"/>
      <c r="BH93" s="283"/>
      <c r="BI93" s="283"/>
      <c r="BJ93" s="283"/>
      <c r="BK93" s="283"/>
      <c r="BL93" s="283"/>
      <c r="BM93" s="283"/>
      <c r="BN93" s="283"/>
      <c r="BO93" s="283"/>
      <c r="BP93" s="283"/>
    </row>
    <row r="94" spans="1:68" ht="12" customHeight="1" outlineLevel="1">
      <c r="B94" s="276" t="s">
        <v>1690</v>
      </c>
      <c r="E94" s="278" t="e">
        <f>E48</f>
        <v>#REF!</v>
      </c>
      <c r="F94" s="278" t="e">
        <f t="shared" ref="F94:BP94" si="31">F48</f>
        <v>#REF!</v>
      </c>
      <c r="G94" s="278" t="e">
        <f t="shared" si="31"/>
        <v>#REF!</v>
      </c>
      <c r="H94" s="278" t="e">
        <f t="shared" si="31"/>
        <v>#REF!</v>
      </c>
      <c r="I94" s="278" t="e">
        <f t="shared" si="31"/>
        <v>#REF!</v>
      </c>
      <c r="J94" s="278" t="e">
        <f t="shared" si="31"/>
        <v>#REF!</v>
      </c>
      <c r="K94" s="278" t="e">
        <f t="shared" si="31"/>
        <v>#REF!</v>
      </c>
      <c r="L94" s="278" t="e">
        <f t="shared" si="31"/>
        <v>#REF!</v>
      </c>
      <c r="M94" s="278" t="e">
        <f t="shared" si="31"/>
        <v>#REF!</v>
      </c>
      <c r="N94" s="278" t="e">
        <f t="shared" si="31"/>
        <v>#REF!</v>
      </c>
      <c r="O94" s="278" t="e">
        <f t="shared" si="31"/>
        <v>#REF!</v>
      </c>
      <c r="P94" s="278" t="e">
        <f t="shared" si="31"/>
        <v>#REF!</v>
      </c>
      <c r="Q94" s="278" t="e">
        <f t="shared" si="31"/>
        <v>#REF!</v>
      </c>
      <c r="R94" s="278" t="e">
        <f t="shared" si="31"/>
        <v>#REF!</v>
      </c>
      <c r="S94" s="278" t="e">
        <f t="shared" si="31"/>
        <v>#REF!</v>
      </c>
      <c r="T94" s="278" t="e">
        <f t="shared" si="31"/>
        <v>#REF!</v>
      </c>
      <c r="U94" s="278" t="e">
        <f t="shared" si="31"/>
        <v>#REF!</v>
      </c>
      <c r="V94" s="278" t="e">
        <f t="shared" si="31"/>
        <v>#REF!</v>
      </c>
      <c r="W94" s="278" t="e">
        <f t="shared" si="31"/>
        <v>#REF!</v>
      </c>
      <c r="X94" s="278" t="e">
        <f t="shared" si="31"/>
        <v>#REF!</v>
      </c>
      <c r="Y94" s="278" t="e">
        <f t="shared" si="31"/>
        <v>#REF!</v>
      </c>
      <c r="Z94" s="278" t="e">
        <f t="shared" si="31"/>
        <v>#REF!</v>
      </c>
      <c r="AA94" s="278" t="e">
        <f t="shared" si="31"/>
        <v>#REF!</v>
      </c>
      <c r="AB94" s="278" t="e">
        <f t="shared" si="31"/>
        <v>#REF!</v>
      </c>
      <c r="AC94" s="278" t="e">
        <f t="shared" si="31"/>
        <v>#REF!</v>
      </c>
      <c r="AD94" s="278" t="e">
        <f t="shared" si="31"/>
        <v>#REF!</v>
      </c>
      <c r="AE94" s="278" t="e">
        <f t="shared" si="31"/>
        <v>#REF!</v>
      </c>
      <c r="AF94" s="278" t="e">
        <f t="shared" si="31"/>
        <v>#REF!</v>
      </c>
      <c r="AG94" s="278" t="e">
        <f t="shared" si="31"/>
        <v>#REF!</v>
      </c>
      <c r="AH94" s="278" t="e">
        <f t="shared" si="31"/>
        <v>#REF!</v>
      </c>
      <c r="AI94" s="278" t="e">
        <f t="shared" si="31"/>
        <v>#REF!</v>
      </c>
      <c r="AJ94" s="278" t="e">
        <f t="shared" si="31"/>
        <v>#REF!</v>
      </c>
      <c r="AK94" s="278" t="e">
        <f t="shared" si="31"/>
        <v>#REF!</v>
      </c>
      <c r="AL94" s="278" t="e">
        <f t="shared" si="31"/>
        <v>#REF!</v>
      </c>
      <c r="AM94" s="278" t="e">
        <f t="shared" si="31"/>
        <v>#REF!</v>
      </c>
      <c r="AN94" s="278" t="e">
        <f t="shared" si="31"/>
        <v>#REF!</v>
      </c>
      <c r="AO94" s="278" t="e">
        <f t="shared" si="31"/>
        <v>#REF!</v>
      </c>
      <c r="AP94" s="278" t="e">
        <f t="shared" si="31"/>
        <v>#REF!</v>
      </c>
      <c r="AQ94" s="278" t="e">
        <f t="shared" si="31"/>
        <v>#REF!</v>
      </c>
      <c r="AR94" s="278" t="e">
        <f t="shared" si="31"/>
        <v>#REF!</v>
      </c>
      <c r="AS94" s="278" t="e">
        <f t="shared" si="31"/>
        <v>#REF!</v>
      </c>
      <c r="AT94" s="278" t="e">
        <f t="shared" si="31"/>
        <v>#REF!</v>
      </c>
      <c r="AU94" s="278" t="e">
        <f t="shared" si="31"/>
        <v>#REF!</v>
      </c>
      <c r="AV94" s="278" t="e">
        <f t="shared" si="31"/>
        <v>#REF!</v>
      </c>
      <c r="AW94" s="278" t="e">
        <f t="shared" si="31"/>
        <v>#REF!</v>
      </c>
      <c r="AX94" s="278" t="e">
        <f t="shared" si="31"/>
        <v>#REF!</v>
      </c>
      <c r="AY94" s="278" t="e">
        <f t="shared" si="31"/>
        <v>#REF!</v>
      </c>
      <c r="AZ94" s="278" t="e">
        <f t="shared" si="31"/>
        <v>#REF!</v>
      </c>
      <c r="BA94" s="278" t="e">
        <f t="shared" si="31"/>
        <v>#REF!</v>
      </c>
      <c r="BB94" s="278" t="e">
        <f t="shared" si="31"/>
        <v>#REF!</v>
      </c>
      <c r="BC94" s="278" t="e">
        <f t="shared" si="31"/>
        <v>#REF!</v>
      </c>
      <c r="BD94" s="278" t="e">
        <f t="shared" si="31"/>
        <v>#REF!</v>
      </c>
      <c r="BE94" s="278" t="e">
        <f t="shared" si="31"/>
        <v>#REF!</v>
      </c>
      <c r="BF94" s="278" t="e">
        <f t="shared" si="31"/>
        <v>#REF!</v>
      </c>
      <c r="BG94" s="278" t="e">
        <f t="shared" si="31"/>
        <v>#REF!</v>
      </c>
      <c r="BH94" s="278" t="e">
        <f t="shared" si="31"/>
        <v>#REF!</v>
      </c>
      <c r="BI94" s="278" t="e">
        <f t="shared" si="31"/>
        <v>#REF!</v>
      </c>
      <c r="BJ94" s="278" t="e">
        <f t="shared" si="31"/>
        <v>#REF!</v>
      </c>
      <c r="BK94" s="278" t="e">
        <f t="shared" si="31"/>
        <v>#REF!</v>
      </c>
      <c r="BL94" s="278" t="e">
        <f t="shared" si="31"/>
        <v>#REF!</v>
      </c>
      <c r="BM94" s="278" t="e">
        <f t="shared" si="31"/>
        <v>#REF!</v>
      </c>
      <c r="BN94" s="278" t="e">
        <f t="shared" si="31"/>
        <v>#REF!</v>
      </c>
      <c r="BO94" s="278" t="e">
        <f t="shared" si="31"/>
        <v>#REF!</v>
      </c>
      <c r="BP94" s="278" t="e">
        <f t="shared" si="31"/>
        <v>#REF!</v>
      </c>
    </row>
    <row r="95" spans="1:68" ht="6" customHeight="1" outlineLevel="1">
      <c r="A95" s="280"/>
      <c r="B95" s="281"/>
      <c r="C95" s="282"/>
      <c r="D95" s="282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83"/>
      <c r="AB95" s="283"/>
      <c r="AC95" s="283"/>
      <c r="AD95" s="283"/>
      <c r="AE95" s="283"/>
      <c r="AF95" s="283"/>
      <c r="AG95" s="283"/>
      <c r="AH95" s="283"/>
      <c r="AI95" s="283"/>
      <c r="AJ95" s="283"/>
      <c r="AK95" s="283"/>
      <c r="AL95" s="283"/>
      <c r="AM95" s="283"/>
      <c r="AN95" s="283"/>
      <c r="AO95" s="283"/>
      <c r="AP95" s="283"/>
      <c r="AQ95" s="283"/>
      <c r="AR95" s="283"/>
      <c r="AS95" s="283"/>
      <c r="AT95" s="283"/>
      <c r="AU95" s="283"/>
      <c r="AV95" s="283"/>
      <c r="AW95" s="283"/>
      <c r="AX95" s="283"/>
      <c r="AY95" s="283"/>
      <c r="AZ95" s="283"/>
      <c r="BA95" s="283"/>
      <c r="BB95" s="283"/>
      <c r="BC95" s="283"/>
      <c r="BD95" s="283"/>
      <c r="BE95" s="283"/>
      <c r="BF95" s="283"/>
      <c r="BG95" s="283"/>
      <c r="BH95" s="283"/>
      <c r="BI95" s="283"/>
      <c r="BJ95" s="283"/>
      <c r="BK95" s="283"/>
      <c r="BL95" s="283"/>
      <c r="BM95" s="283"/>
      <c r="BN95" s="283"/>
      <c r="BO95" s="283"/>
      <c r="BP95" s="283"/>
    </row>
    <row r="96" spans="1:68" ht="12" customHeight="1" outlineLevel="1">
      <c r="B96" s="276" t="s">
        <v>1691</v>
      </c>
      <c r="E96" s="278">
        <v>0</v>
      </c>
      <c r="F96" s="278">
        <f>E44</f>
        <v>13289.131593687638</v>
      </c>
      <c r="G96" s="278">
        <f t="shared" ref="G96:BP96" si="32">F44</f>
        <v>13289.131593687638</v>
      </c>
      <c r="H96" s="278">
        <f t="shared" si="32"/>
        <v>13289.131593687638</v>
      </c>
      <c r="I96" s="278">
        <f t="shared" si="32"/>
        <v>13289.131593687638</v>
      </c>
      <c r="J96" s="278">
        <f t="shared" si="32"/>
        <v>13289.131593687638</v>
      </c>
      <c r="K96" s="278">
        <f t="shared" si="32"/>
        <v>13289.131593687638</v>
      </c>
      <c r="L96" s="278">
        <f t="shared" si="32"/>
        <v>13289.131593687638</v>
      </c>
      <c r="M96" s="278">
        <f t="shared" si="32"/>
        <v>13289.131593687638</v>
      </c>
      <c r="N96" s="278">
        <f t="shared" si="32"/>
        <v>13289.131593687638</v>
      </c>
      <c r="O96" s="278">
        <f t="shared" si="32"/>
        <v>13289.131593687638</v>
      </c>
      <c r="P96" s="278">
        <f t="shared" si="32"/>
        <v>0</v>
      </c>
      <c r="Q96" s="278">
        <f t="shared" si="32"/>
        <v>0</v>
      </c>
      <c r="R96" s="278">
        <f t="shared" si="32"/>
        <v>0</v>
      </c>
      <c r="S96" s="278">
        <f t="shared" si="32"/>
        <v>0</v>
      </c>
      <c r="T96" s="278">
        <f t="shared" si="32"/>
        <v>0</v>
      </c>
      <c r="U96" s="278">
        <f t="shared" si="32"/>
        <v>0</v>
      </c>
      <c r="V96" s="278">
        <f t="shared" si="32"/>
        <v>0</v>
      </c>
      <c r="W96" s="278">
        <f t="shared" si="32"/>
        <v>0</v>
      </c>
      <c r="X96" s="278">
        <f t="shared" si="32"/>
        <v>0</v>
      </c>
      <c r="Y96" s="278">
        <f t="shared" si="32"/>
        <v>0</v>
      </c>
      <c r="Z96" s="278">
        <f t="shared" si="32"/>
        <v>0</v>
      </c>
      <c r="AA96" s="278">
        <f t="shared" si="32"/>
        <v>0</v>
      </c>
      <c r="AB96" s="278">
        <f t="shared" si="32"/>
        <v>0</v>
      </c>
      <c r="AC96" s="278">
        <f t="shared" si="32"/>
        <v>0</v>
      </c>
      <c r="AD96" s="278">
        <f t="shared" si="32"/>
        <v>0</v>
      </c>
      <c r="AE96" s="278">
        <f t="shared" si="32"/>
        <v>0</v>
      </c>
      <c r="AF96" s="278">
        <f t="shared" si="32"/>
        <v>0</v>
      </c>
      <c r="AG96" s="278">
        <f t="shared" si="32"/>
        <v>0</v>
      </c>
      <c r="AH96" s="278">
        <f t="shared" si="32"/>
        <v>0</v>
      </c>
      <c r="AI96" s="278">
        <f t="shared" si="32"/>
        <v>0</v>
      </c>
      <c r="AJ96" s="278">
        <f t="shared" si="32"/>
        <v>0</v>
      </c>
      <c r="AK96" s="278">
        <f t="shared" si="32"/>
        <v>0</v>
      </c>
      <c r="AL96" s="278">
        <f t="shared" si="32"/>
        <v>0</v>
      </c>
      <c r="AM96" s="278">
        <f t="shared" si="32"/>
        <v>0</v>
      </c>
      <c r="AN96" s="278">
        <f t="shared" si="32"/>
        <v>0</v>
      </c>
      <c r="AO96" s="278">
        <f t="shared" si="32"/>
        <v>0</v>
      </c>
      <c r="AP96" s="278">
        <f t="shared" si="32"/>
        <v>0</v>
      </c>
      <c r="AQ96" s="278">
        <f t="shared" si="32"/>
        <v>0</v>
      </c>
      <c r="AR96" s="278">
        <f t="shared" si="32"/>
        <v>0</v>
      </c>
      <c r="AS96" s="278">
        <f t="shared" si="32"/>
        <v>0</v>
      </c>
      <c r="AT96" s="278">
        <f t="shared" si="32"/>
        <v>0</v>
      </c>
      <c r="AU96" s="278">
        <f t="shared" si="32"/>
        <v>0</v>
      </c>
      <c r="AV96" s="278">
        <f t="shared" si="32"/>
        <v>0</v>
      </c>
      <c r="AW96" s="278">
        <f t="shared" si="32"/>
        <v>0</v>
      </c>
      <c r="AX96" s="278">
        <f t="shared" si="32"/>
        <v>0</v>
      </c>
      <c r="AY96" s="278">
        <f t="shared" si="32"/>
        <v>0</v>
      </c>
      <c r="AZ96" s="278">
        <f t="shared" si="32"/>
        <v>0</v>
      </c>
      <c r="BA96" s="278">
        <f t="shared" si="32"/>
        <v>0</v>
      </c>
      <c r="BB96" s="278">
        <f t="shared" si="32"/>
        <v>0</v>
      </c>
      <c r="BC96" s="278">
        <f t="shared" si="32"/>
        <v>0</v>
      </c>
      <c r="BD96" s="278">
        <f t="shared" si="32"/>
        <v>0</v>
      </c>
      <c r="BE96" s="278">
        <f t="shared" si="32"/>
        <v>0</v>
      </c>
      <c r="BF96" s="278">
        <f t="shared" si="32"/>
        <v>0</v>
      </c>
      <c r="BG96" s="278">
        <f t="shared" si="32"/>
        <v>0</v>
      </c>
      <c r="BH96" s="278">
        <f t="shared" si="32"/>
        <v>0</v>
      </c>
      <c r="BI96" s="278">
        <f t="shared" si="32"/>
        <v>0</v>
      </c>
      <c r="BJ96" s="278">
        <f t="shared" si="32"/>
        <v>0</v>
      </c>
      <c r="BK96" s="278">
        <f t="shared" si="32"/>
        <v>0</v>
      </c>
      <c r="BL96" s="278">
        <f t="shared" si="32"/>
        <v>0</v>
      </c>
      <c r="BM96" s="278">
        <f t="shared" si="32"/>
        <v>0</v>
      </c>
      <c r="BN96" s="278">
        <f t="shared" si="32"/>
        <v>0</v>
      </c>
      <c r="BO96" s="278">
        <f t="shared" si="32"/>
        <v>0</v>
      </c>
      <c r="BP96" s="278">
        <f t="shared" si="32"/>
        <v>0</v>
      </c>
    </row>
    <row r="97" spans="1:68" ht="6" customHeight="1" outlineLevel="1"/>
    <row r="98" spans="1:68" ht="12" customHeight="1" outlineLevel="1">
      <c r="A98" s="295" t="s">
        <v>1685</v>
      </c>
      <c r="B98" s="276" t="s">
        <v>1692</v>
      </c>
      <c r="E98" s="278" t="e">
        <f>E92-E94-E96</f>
        <v>#REF!</v>
      </c>
      <c r="F98" s="278" t="e">
        <f t="shared" ref="F98" si="33">F92-F94-F96</f>
        <v>#REF!</v>
      </c>
      <c r="G98" s="278" t="e">
        <f t="shared" ref="G98:BP98" si="34">G92-G94-G96</f>
        <v>#REF!</v>
      </c>
      <c r="H98" s="278" t="e">
        <f t="shared" si="34"/>
        <v>#REF!</v>
      </c>
      <c r="I98" s="278" t="e">
        <f t="shared" si="34"/>
        <v>#REF!</v>
      </c>
      <c r="J98" s="278" t="e">
        <f t="shared" si="34"/>
        <v>#REF!</v>
      </c>
      <c r="K98" s="278" t="e">
        <f t="shared" si="34"/>
        <v>#REF!</v>
      </c>
      <c r="L98" s="278" t="e">
        <f t="shared" si="34"/>
        <v>#REF!</v>
      </c>
      <c r="M98" s="278" t="e">
        <f t="shared" si="34"/>
        <v>#REF!</v>
      </c>
      <c r="N98" s="278" t="e">
        <f t="shared" si="34"/>
        <v>#REF!</v>
      </c>
      <c r="O98" s="278" t="e">
        <f t="shared" si="34"/>
        <v>#REF!</v>
      </c>
      <c r="P98" s="278" t="e">
        <f t="shared" si="34"/>
        <v>#REF!</v>
      </c>
      <c r="Q98" s="278" t="e">
        <f t="shared" si="34"/>
        <v>#REF!</v>
      </c>
      <c r="R98" s="278" t="e">
        <f t="shared" si="34"/>
        <v>#REF!</v>
      </c>
      <c r="S98" s="278" t="e">
        <f t="shared" si="34"/>
        <v>#REF!</v>
      </c>
      <c r="T98" s="278" t="e">
        <f t="shared" si="34"/>
        <v>#REF!</v>
      </c>
      <c r="U98" s="278" t="e">
        <f t="shared" si="34"/>
        <v>#REF!</v>
      </c>
      <c r="V98" s="278" t="e">
        <f t="shared" si="34"/>
        <v>#REF!</v>
      </c>
      <c r="W98" s="278" t="e">
        <f t="shared" si="34"/>
        <v>#REF!</v>
      </c>
      <c r="X98" s="278" t="e">
        <f t="shared" si="34"/>
        <v>#REF!</v>
      </c>
      <c r="Y98" s="278" t="e">
        <f t="shared" si="34"/>
        <v>#REF!</v>
      </c>
      <c r="Z98" s="278" t="e">
        <f t="shared" si="34"/>
        <v>#REF!</v>
      </c>
      <c r="AA98" s="278" t="e">
        <f t="shared" si="34"/>
        <v>#REF!</v>
      </c>
      <c r="AB98" s="278" t="e">
        <f t="shared" si="34"/>
        <v>#REF!</v>
      </c>
      <c r="AC98" s="278" t="e">
        <f t="shared" si="34"/>
        <v>#REF!</v>
      </c>
      <c r="AD98" s="278" t="e">
        <f t="shared" si="34"/>
        <v>#REF!</v>
      </c>
      <c r="AE98" s="278" t="e">
        <f t="shared" si="34"/>
        <v>#REF!</v>
      </c>
      <c r="AF98" s="278" t="e">
        <f t="shared" si="34"/>
        <v>#REF!</v>
      </c>
      <c r="AG98" s="278" t="e">
        <f t="shared" si="34"/>
        <v>#REF!</v>
      </c>
      <c r="AH98" s="278" t="e">
        <f t="shared" si="34"/>
        <v>#REF!</v>
      </c>
      <c r="AI98" s="278" t="e">
        <f t="shared" si="34"/>
        <v>#REF!</v>
      </c>
      <c r="AJ98" s="278" t="e">
        <f t="shared" si="34"/>
        <v>#REF!</v>
      </c>
      <c r="AK98" s="278" t="e">
        <f t="shared" si="34"/>
        <v>#REF!</v>
      </c>
      <c r="AL98" s="278" t="e">
        <f t="shared" si="34"/>
        <v>#REF!</v>
      </c>
      <c r="AM98" s="278" t="e">
        <f t="shared" si="34"/>
        <v>#REF!</v>
      </c>
      <c r="AN98" s="278" t="e">
        <f t="shared" si="34"/>
        <v>#REF!</v>
      </c>
      <c r="AO98" s="278" t="e">
        <f t="shared" si="34"/>
        <v>#REF!</v>
      </c>
      <c r="AP98" s="278" t="e">
        <f t="shared" si="34"/>
        <v>#REF!</v>
      </c>
      <c r="AQ98" s="278" t="e">
        <f t="shared" si="34"/>
        <v>#REF!</v>
      </c>
      <c r="AR98" s="278" t="e">
        <f t="shared" si="34"/>
        <v>#REF!</v>
      </c>
      <c r="AS98" s="278" t="e">
        <f t="shared" si="34"/>
        <v>#REF!</v>
      </c>
      <c r="AT98" s="278" t="e">
        <f t="shared" si="34"/>
        <v>#REF!</v>
      </c>
      <c r="AU98" s="278" t="e">
        <f t="shared" si="34"/>
        <v>#REF!</v>
      </c>
      <c r="AV98" s="278" t="e">
        <f t="shared" si="34"/>
        <v>#REF!</v>
      </c>
      <c r="AW98" s="278" t="e">
        <f t="shared" si="34"/>
        <v>#REF!</v>
      </c>
      <c r="AX98" s="278" t="e">
        <f t="shared" si="34"/>
        <v>#REF!</v>
      </c>
      <c r="AY98" s="278" t="e">
        <f t="shared" si="34"/>
        <v>#REF!</v>
      </c>
      <c r="AZ98" s="278" t="e">
        <f t="shared" si="34"/>
        <v>#REF!</v>
      </c>
      <c r="BA98" s="278" t="e">
        <f t="shared" si="34"/>
        <v>#REF!</v>
      </c>
      <c r="BB98" s="278" t="e">
        <f t="shared" si="34"/>
        <v>#REF!</v>
      </c>
      <c r="BC98" s="278" t="e">
        <f t="shared" si="34"/>
        <v>#REF!</v>
      </c>
      <c r="BD98" s="278" t="e">
        <f t="shared" si="34"/>
        <v>#REF!</v>
      </c>
      <c r="BE98" s="278" t="e">
        <f t="shared" si="34"/>
        <v>#REF!</v>
      </c>
      <c r="BF98" s="278" t="e">
        <f t="shared" si="34"/>
        <v>#REF!</v>
      </c>
      <c r="BG98" s="278" t="e">
        <f t="shared" si="34"/>
        <v>#REF!</v>
      </c>
      <c r="BH98" s="278" t="e">
        <f t="shared" si="34"/>
        <v>#REF!</v>
      </c>
      <c r="BI98" s="278" t="e">
        <f t="shared" si="34"/>
        <v>#REF!</v>
      </c>
      <c r="BJ98" s="278" t="e">
        <f t="shared" si="34"/>
        <v>#REF!</v>
      </c>
      <c r="BK98" s="278" t="e">
        <f t="shared" si="34"/>
        <v>#REF!</v>
      </c>
      <c r="BL98" s="278" t="e">
        <f t="shared" si="34"/>
        <v>#REF!</v>
      </c>
      <c r="BM98" s="278" t="e">
        <f t="shared" si="34"/>
        <v>#REF!</v>
      </c>
      <c r="BN98" s="278" t="e">
        <f t="shared" si="34"/>
        <v>#REF!</v>
      </c>
      <c r="BO98" s="278" t="e">
        <f t="shared" si="34"/>
        <v>#REF!</v>
      </c>
      <c r="BP98" s="278" t="e">
        <f t="shared" si="34"/>
        <v>#REF!</v>
      </c>
    </row>
    <row r="99" spans="1:68" ht="12" customHeight="1" outlineLevel="1">
      <c r="A99" s="285" t="s">
        <v>1677</v>
      </c>
      <c r="B99" s="260" t="s">
        <v>90</v>
      </c>
      <c r="E99" s="284">
        <f>E81</f>
        <v>15363.15791177762</v>
      </c>
      <c r="F99" s="284">
        <f>F81</f>
        <v>15363.15791177762</v>
      </c>
      <c r="G99" s="284">
        <f t="shared" ref="G99:BP99" si="35">G81</f>
        <v>15363.15791177762</v>
      </c>
      <c r="H99" s="284">
        <f t="shared" si="35"/>
        <v>15363.15791177762</v>
      </c>
      <c r="I99" s="284">
        <f t="shared" si="35"/>
        <v>15363.15791177762</v>
      </c>
      <c r="J99" s="284">
        <f t="shared" si="35"/>
        <v>15363.15791177762</v>
      </c>
      <c r="K99" s="284">
        <f t="shared" si="35"/>
        <v>15363.15791177762</v>
      </c>
      <c r="L99" s="284">
        <f t="shared" si="35"/>
        <v>15363.15791177762</v>
      </c>
      <c r="M99" s="284">
        <f t="shared" si="35"/>
        <v>15363.15791177762</v>
      </c>
      <c r="N99" s="284">
        <f t="shared" si="35"/>
        <v>15363.15791177762</v>
      </c>
      <c r="O99" s="284">
        <f t="shared" si="35"/>
        <v>0</v>
      </c>
      <c r="P99" s="284">
        <f t="shared" si="35"/>
        <v>0</v>
      </c>
      <c r="Q99" s="284">
        <f t="shared" si="35"/>
        <v>0</v>
      </c>
      <c r="R99" s="284">
        <f t="shared" si="35"/>
        <v>0</v>
      </c>
      <c r="S99" s="284">
        <f t="shared" si="35"/>
        <v>0</v>
      </c>
      <c r="T99" s="284">
        <f t="shared" si="35"/>
        <v>0</v>
      </c>
      <c r="U99" s="284">
        <f t="shared" si="35"/>
        <v>0</v>
      </c>
      <c r="V99" s="284">
        <f t="shared" si="35"/>
        <v>0</v>
      </c>
      <c r="W99" s="284">
        <f t="shared" si="35"/>
        <v>0</v>
      </c>
      <c r="X99" s="284">
        <f t="shared" si="35"/>
        <v>0</v>
      </c>
      <c r="Y99" s="284">
        <f t="shared" si="35"/>
        <v>0</v>
      </c>
      <c r="Z99" s="284">
        <f t="shared" si="35"/>
        <v>0</v>
      </c>
      <c r="AA99" s="284">
        <f t="shared" si="35"/>
        <v>0</v>
      </c>
      <c r="AB99" s="284">
        <f t="shared" si="35"/>
        <v>0</v>
      </c>
      <c r="AC99" s="284">
        <f t="shared" si="35"/>
        <v>0</v>
      </c>
      <c r="AD99" s="284">
        <f t="shared" si="35"/>
        <v>0</v>
      </c>
      <c r="AE99" s="284">
        <f t="shared" si="35"/>
        <v>0</v>
      </c>
      <c r="AF99" s="284">
        <f t="shared" si="35"/>
        <v>0</v>
      </c>
      <c r="AG99" s="284">
        <f t="shared" si="35"/>
        <v>0</v>
      </c>
      <c r="AH99" s="284">
        <f t="shared" si="35"/>
        <v>0</v>
      </c>
      <c r="AI99" s="284">
        <f t="shared" si="35"/>
        <v>0</v>
      </c>
      <c r="AJ99" s="284">
        <f t="shared" si="35"/>
        <v>0</v>
      </c>
      <c r="AK99" s="284">
        <f t="shared" si="35"/>
        <v>0</v>
      </c>
      <c r="AL99" s="284">
        <f t="shared" si="35"/>
        <v>0</v>
      </c>
      <c r="AM99" s="284">
        <f t="shared" si="35"/>
        <v>0</v>
      </c>
      <c r="AN99" s="284">
        <f t="shared" si="35"/>
        <v>0</v>
      </c>
      <c r="AO99" s="284">
        <f t="shared" si="35"/>
        <v>0</v>
      </c>
      <c r="AP99" s="284">
        <f t="shared" si="35"/>
        <v>0</v>
      </c>
      <c r="AQ99" s="284">
        <f t="shared" si="35"/>
        <v>0</v>
      </c>
      <c r="AR99" s="284">
        <f t="shared" si="35"/>
        <v>0</v>
      </c>
      <c r="AS99" s="284">
        <f t="shared" si="35"/>
        <v>0</v>
      </c>
      <c r="AT99" s="284">
        <f t="shared" si="35"/>
        <v>0</v>
      </c>
      <c r="AU99" s="284">
        <f t="shared" si="35"/>
        <v>0</v>
      </c>
      <c r="AV99" s="284">
        <f t="shared" si="35"/>
        <v>0</v>
      </c>
      <c r="AW99" s="284">
        <f t="shared" si="35"/>
        <v>0</v>
      </c>
      <c r="AX99" s="284">
        <f t="shared" si="35"/>
        <v>0</v>
      </c>
      <c r="AY99" s="284">
        <f t="shared" si="35"/>
        <v>0</v>
      </c>
      <c r="AZ99" s="284">
        <f t="shared" si="35"/>
        <v>0</v>
      </c>
      <c r="BA99" s="284">
        <f t="shared" si="35"/>
        <v>0</v>
      </c>
      <c r="BB99" s="284">
        <f t="shared" si="35"/>
        <v>0</v>
      </c>
      <c r="BC99" s="284">
        <f t="shared" si="35"/>
        <v>0</v>
      </c>
      <c r="BD99" s="284">
        <f t="shared" si="35"/>
        <v>0</v>
      </c>
      <c r="BE99" s="284">
        <f t="shared" si="35"/>
        <v>0</v>
      </c>
      <c r="BF99" s="284">
        <f t="shared" si="35"/>
        <v>0</v>
      </c>
      <c r="BG99" s="284">
        <f t="shared" si="35"/>
        <v>0</v>
      </c>
      <c r="BH99" s="284">
        <f t="shared" si="35"/>
        <v>0</v>
      </c>
      <c r="BI99" s="284">
        <f t="shared" si="35"/>
        <v>0</v>
      </c>
      <c r="BJ99" s="284">
        <f t="shared" si="35"/>
        <v>0</v>
      </c>
      <c r="BK99" s="284">
        <f t="shared" si="35"/>
        <v>0</v>
      </c>
      <c r="BL99" s="284">
        <f t="shared" si="35"/>
        <v>0</v>
      </c>
      <c r="BM99" s="284">
        <f t="shared" si="35"/>
        <v>0</v>
      </c>
      <c r="BN99" s="284">
        <f t="shared" si="35"/>
        <v>0</v>
      </c>
      <c r="BO99" s="284">
        <f t="shared" si="35"/>
        <v>0</v>
      </c>
      <c r="BP99" s="284">
        <f t="shared" si="35"/>
        <v>0</v>
      </c>
    </row>
    <row r="100" spans="1:68" ht="12" customHeight="1" outlineLevel="1">
      <c r="A100" s="285" t="s">
        <v>1677</v>
      </c>
      <c r="B100" s="260" t="s">
        <v>94</v>
      </c>
      <c r="E100" s="284">
        <f>IF(D102&lt;0,-D102*$C$20,0)</f>
        <v>0</v>
      </c>
      <c r="F100" s="284" t="e">
        <f t="shared" ref="F100" si="36">IF(E102&lt;0,-E102*$C$20,0)</f>
        <v>#REF!</v>
      </c>
      <c r="G100" s="284" t="e">
        <f t="shared" ref="G100:BP100" si="37">IF(F102&lt;0,-F102*$C$20,0)</f>
        <v>#REF!</v>
      </c>
      <c r="H100" s="284" t="e">
        <f t="shared" si="37"/>
        <v>#REF!</v>
      </c>
      <c r="I100" s="284" t="e">
        <f t="shared" si="37"/>
        <v>#REF!</v>
      </c>
      <c r="J100" s="284" t="e">
        <f t="shared" si="37"/>
        <v>#REF!</v>
      </c>
      <c r="K100" s="284" t="e">
        <f t="shared" si="37"/>
        <v>#REF!</v>
      </c>
      <c r="L100" s="284" t="e">
        <f t="shared" si="37"/>
        <v>#REF!</v>
      </c>
      <c r="M100" s="284" t="e">
        <f t="shared" si="37"/>
        <v>#REF!</v>
      </c>
      <c r="N100" s="284" t="e">
        <f t="shared" si="37"/>
        <v>#REF!</v>
      </c>
      <c r="O100" s="284" t="e">
        <f t="shared" si="37"/>
        <v>#REF!</v>
      </c>
      <c r="P100" s="284" t="e">
        <f t="shared" si="37"/>
        <v>#REF!</v>
      </c>
      <c r="Q100" s="284" t="e">
        <f t="shared" si="37"/>
        <v>#REF!</v>
      </c>
      <c r="R100" s="284" t="e">
        <f t="shared" si="37"/>
        <v>#REF!</v>
      </c>
      <c r="S100" s="284" t="e">
        <f t="shared" si="37"/>
        <v>#REF!</v>
      </c>
      <c r="T100" s="284" t="e">
        <f t="shared" si="37"/>
        <v>#REF!</v>
      </c>
      <c r="U100" s="284" t="e">
        <f t="shared" si="37"/>
        <v>#REF!</v>
      </c>
      <c r="V100" s="284" t="e">
        <f t="shared" si="37"/>
        <v>#REF!</v>
      </c>
      <c r="W100" s="284" t="e">
        <f t="shared" si="37"/>
        <v>#REF!</v>
      </c>
      <c r="X100" s="284" t="e">
        <f t="shared" si="37"/>
        <v>#REF!</v>
      </c>
      <c r="Y100" s="284" t="e">
        <f t="shared" si="37"/>
        <v>#REF!</v>
      </c>
      <c r="Z100" s="284" t="e">
        <f t="shared" si="37"/>
        <v>#REF!</v>
      </c>
      <c r="AA100" s="284" t="e">
        <f t="shared" si="37"/>
        <v>#REF!</v>
      </c>
      <c r="AB100" s="284" t="e">
        <f t="shared" si="37"/>
        <v>#REF!</v>
      </c>
      <c r="AC100" s="284" t="e">
        <f t="shared" si="37"/>
        <v>#REF!</v>
      </c>
      <c r="AD100" s="284" t="e">
        <f t="shared" si="37"/>
        <v>#REF!</v>
      </c>
      <c r="AE100" s="284" t="e">
        <f t="shared" si="37"/>
        <v>#REF!</v>
      </c>
      <c r="AF100" s="284" t="e">
        <f t="shared" si="37"/>
        <v>#REF!</v>
      </c>
      <c r="AG100" s="284" t="e">
        <f t="shared" si="37"/>
        <v>#REF!</v>
      </c>
      <c r="AH100" s="284" t="e">
        <f t="shared" si="37"/>
        <v>#REF!</v>
      </c>
      <c r="AI100" s="284" t="e">
        <f t="shared" si="37"/>
        <v>#REF!</v>
      </c>
      <c r="AJ100" s="284" t="e">
        <f t="shared" si="37"/>
        <v>#REF!</v>
      </c>
      <c r="AK100" s="284" t="e">
        <f t="shared" si="37"/>
        <v>#REF!</v>
      </c>
      <c r="AL100" s="284" t="e">
        <f t="shared" si="37"/>
        <v>#REF!</v>
      </c>
      <c r="AM100" s="284" t="e">
        <f t="shared" si="37"/>
        <v>#REF!</v>
      </c>
      <c r="AN100" s="284" t="e">
        <f t="shared" si="37"/>
        <v>#REF!</v>
      </c>
      <c r="AO100" s="284" t="e">
        <f t="shared" si="37"/>
        <v>#REF!</v>
      </c>
      <c r="AP100" s="284" t="e">
        <f t="shared" si="37"/>
        <v>#REF!</v>
      </c>
      <c r="AQ100" s="284" t="e">
        <f t="shared" si="37"/>
        <v>#REF!</v>
      </c>
      <c r="AR100" s="284" t="e">
        <f t="shared" si="37"/>
        <v>#REF!</v>
      </c>
      <c r="AS100" s="284" t="e">
        <f t="shared" si="37"/>
        <v>#REF!</v>
      </c>
      <c r="AT100" s="284" t="e">
        <f t="shared" si="37"/>
        <v>#REF!</v>
      </c>
      <c r="AU100" s="284" t="e">
        <f t="shared" si="37"/>
        <v>#REF!</v>
      </c>
      <c r="AV100" s="284" t="e">
        <f t="shared" si="37"/>
        <v>#REF!</v>
      </c>
      <c r="AW100" s="284" t="e">
        <f t="shared" si="37"/>
        <v>#REF!</v>
      </c>
      <c r="AX100" s="284" t="e">
        <f t="shared" si="37"/>
        <v>#REF!</v>
      </c>
      <c r="AY100" s="284" t="e">
        <f t="shared" si="37"/>
        <v>#REF!</v>
      </c>
      <c r="AZ100" s="284" t="e">
        <f t="shared" si="37"/>
        <v>#REF!</v>
      </c>
      <c r="BA100" s="284" t="e">
        <f t="shared" si="37"/>
        <v>#REF!</v>
      </c>
      <c r="BB100" s="284" t="e">
        <f t="shared" si="37"/>
        <v>#REF!</v>
      </c>
      <c r="BC100" s="284" t="e">
        <f t="shared" si="37"/>
        <v>#REF!</v>
      </c>
      <c r="BD100" s="284" t="e">
        <f t="shared" si="37"/>
        <v>#REF!</v>
      </c>
      <c r="BE100" s="284" t="e">
        <f t="shared" si="37"/>
        <v>#REF!</v>
      </c>
      <c r="BF100" s="284" t="e">
        <f t="shared" si="37"/>
        <v>#REF!</v>
      </c>
      <c r="BG100" s="284" t="e">
        <f t="shared" si="37"/>
        <v>#REF!</v>
      </c>
      <c r="BH100" s="284" t="e">
        <f t="shared" si="37"/>
        <v>#REF!</v>
      </c>
      <c r="BI100" s="284" t="e">
        <f t="shared" si="37"/>
        <v>#REF!</v>
      </c>
      <c r="BJ100" s="284" t="e">
        <f t="shared" si="37"/>
        <v>#REF!</v>
      </c>
      <c r="BK100" s="284" t="e">
        <f t="shared" si="37"/>
        <v>#REF!</v>
      </c>
      <c r="BL100" s="284" t="e">
        <f t="shared" si="37"/>
        <v>#REF!</v>
      </c>
      <c r="BM100" s="284" t="e">
        <f t="shared" si="37"/>
        <v>#REF!</v>
      </c>
      <c r="BN100" s="284" t="e">
        <f t="shared" si="37"/>
        <v>#REF!</v>
      </c>
      <c r="BO100" s="284" t="e">
        <f t="shared" si="37"/>
        <v>#REF!</v>
      </c>
      <c r="BP100" s="284" t="e">
        <f t="shared" si="37"/>
        <v>#REF!</v>
      </c>
    </row>
    <row r="101" spans="1:68" ht="12" customHeight="1" outlineLevel="1">
      <c r="A101" s="295" t="s">
        <v>1685</v>
      </c>
      <c r="B101" s="276" t="s">
        <v>1693</v>
      </c>
      <c r="E101" s="278" t="e">
        <f>E98-E99-E100</f>
        <v>#REF!</v>
      </c>
      <c r="F101" s="278" t="e">
        <f>F98-F99-F100</f>
        <v>#REF!</v>
      </c>
      <c r="G101" s="278" t="e">
        <f t="shared" ref="G101:BP101" si="38">G98-G99-G100</f>
        <v>#REF!</v>
      </c>
      <c r="H101" s="278" t="e">
        <f t="shared" si="38"/>
        <v>#REF!</v>
      </c>
      <c r="I101" s="278" t="e">
        <f t="shared" si="38"/>
        <v>#REF!</v>
      </c>
      <c r="J101" s="278" t="e">
        <f t="shared" si="38"/>
        <v>#REF!</v>
      </c>
      <c r="K101" s="278" t="e">
        <f t="shared" si="38"/>
        <v>#REF!</v>
      </c>
      <c r="L101" s="278" t="e">
        <f t="shared" si="38"/>
        <v>#REF!</v>
      </c>
      <c r="M101" s="278" t="e">
        <f t="shared" si="38"/>
        <v>#REF!</v>
      </c>
      <c r="N101" s="278" t="e">
        <f t="shared" si="38"/>
        <v>#REF!</v>
      </c>
      <c r="O101" s="278" t="e">
        <f t="shared" si="38"/>
        <v>#REF!</v>
      </c>
      <c r="P101" s="278" t="e">
        <f t="shared" si="38"/>
        <v>#REF!</v>
      </c>
      <c r="Q101" s="278" t="e">
        <f t="shared" si="38"/>
        <v>#REF!</v>
      </c>
      <c r="R101" s="278" t="e">
        <f t="shared" si="38"/>
        <v>#REF!</v>
      </c>
      <c r="S101" s="278" t="e">
        <f t="shared" si="38"/>
        <v>#REF!</v>
      </c>
      <c r="T101" s="278" t="e">
        <f t="shared" si="38"/>
        <v>#REF!</v>
      </c>
      <c r="U101" s="278" t="e">
        <f t="shared" si="38"/>
        <v>#REF!</v>
      </c>
      <c r="V101" s="278" t="e">
        <f t="shared" si="38"/>
        <v>#REF!</v>
      </c>
      <c r="W101" s="278" t="e">
        <f t="shared" si="38"/>
        <v>#REF!</v>
      </c>
      <c r="X101" s="278" t="e">
        <f t="shared" si="38"/>
        <v>#REF!</v>
      </c>
      <c r="Y101" s="278" t="e">
        <f t="shared" si="38"/>
        <v>#REF!</v>
      </c>
      <c r="Z101" s="278" t="e">
        <f t="shared" si="38"/>
        <v>#REF!</v>
      </c>
      <c r="AA101" s="278" t="e">
        <f t="shared" si="38"/>
        <v>#REF!</v>
      </c>
      <c r="AB101" s="278" t="e">
        <f t="shared" si="38"/>
        <v>#REF!</v>
      </c>
      <c r="AC101" s="278" t="e">
        <f t="shared" si="38"/>
        <v>#REF!</v>
      </c>
      <c r="AD101" s="278" t="e">
        <f t="shared" si="38"/>
        <v>#REF!</v>
      </c>
      <c r="AE101" s="278" t="e">
        <f t="shared" si="38"/>
        <v>#REF!</v>
      </c>
      <c r="AF101" s="278" t="e">
        <f t="shared" si="38"/>
        <v>#REF!</v>
      </c>
      <c r="AG101" s="278" t="e">
        <f t="shared" si="38"/>
        <v>#REF!</v>
      </c>
      <c r="AH101" s="278" t="e">
        <f t="shared" si="38"/>
        <v>#REF!</v>
      </c>
      <c r="AI101" s="278" t="e">
        <f t="shared" si="38"/>
        <v>#REF!</v>
      </c>
      <c r="AJ101" s="278" t="e">
        <f t="shared" si="38"/>
        <v>#REF!</v>
      </c>
      <c r="AK101" s="278" t="e">
        <f t="shared" si="38"/>
        <v>#REF!</v>
      </c>
      <c r="AL101" s="278" t="e">
        <f t="shared" si="38"/>
        <v>#REF!</v>
      </c>
      <c r="AM101" s="278" t="e">
        <f t="shared" si="38"/>
        <v>#REF!</v>
      </c>
      <c r="AN101" s="278" t="e">
        <f t="shared" si="38"/>
        <v>#REF!</v>
      </c>
      <c r="AO101" s="278" t="e">
        <f t="shared" si="38"/>
        <v>#REF!</v>
      </c>
      <c r="AP101" s="278" t="e">
        <f t="shared" si="38"/>
        <v>#REF!</v>
      </c>
      <c r="AQ101" s="278" t="e">
        <f t="shared" si="38"/>
        <v>#REF!</v>
      </c>
      <c r="AR101" s="278" t="e">
        <f t="shared" si="38"/>
        <v>#REF!</v>
      </c>
      <c r="AS101" s="278" t="e">
        <f t="shared" si="38"/>
        <v>#REF!</v>
      </c>
      <c r="AT101" s="278" t="e">
        <f t="shared" si="38"/>
        <v>#REF!</v>
      </c>
      <c r="AU101" s="278" t="e">
        <f t="shared" si="38"/>
        <v>#REF!</v>
      </c>
      <c r="AV101" s="278" t="e">
        <f t="shared" si="38"/>
        <v>#REF!</v>
      </c>
      <c r="AW101" s="278" t="e">
        <f t="shared" si="38"/>
        <v>#REF!</v>
      </c>
      <c r="AX101" s="278" t="e">
        <f t="shared" si="38"/>
        <v>#REF!</v>
      </c>
      <c r="AY101" s="278" t="e">
        <f t="shared" si="38"/>
        <v>#REF!</v>
      </c>
      <c r="AZ101" s="278" t="e">
        <f t="shared" si="38"/>
        <v>#REF!</v>
      </c>
      <c r="BA101" s="278" t="e">
        <f t="shared" si="38"/>
        <v>#REF!</v>
      </c>
      <c r="BB101" s="278" t="e">
        <f t="shared" si="38"/>
        <v>#REF!</v>
      </c>
      <c r="BC101" s="278" t="e">
        <f t="shared" si="38"/>
        <v>#REF!</v>
      </c>
      <c r="BD101" s="278" t="e">
        <f t="shared" si="38"/>
        <v>#REF!</v>
      </c>
      <c r="BE101" s="278" t="e">
        <f t="shared" si="38"/>
        <v>#REF!</v>
      </c>
      <c r="BF101" s="278" t="e">
        <f t="shared" si="38"/>
        <v>#REF!</v>
      </c>
      <c r="BG101" s="278" t="e">
        <f t="shared" si="38"/>
        <v>#REF!</v>
      </c>
      <c r="BH101" s="278" t="e">
        <f t="shared" si="38"/>
        <v>#REF!</v>
      </c>
      <c r="BI101" s="278" t="e">
        <f t="shared" si="38"/>
        <v>#REF!</v>
      </c>
      <c r="BJ101" s="278" t="e">
        <f t="shared" si="38"/>
        <v>#REF!</v>
      </c>
      <c r="BK101" s="278" t="e">
        <f t="shared" si="38"/>
        <v>#REF!</v>
      </c>
      <c r="BL101" s="278" t="e">
        <f t="shared" si="38"/>
        <v>#REF!</v>
      </c>
      <c r="BM101" s="278" t="e">
        <f t="shared" si="38"/>
        <v>#REF!</v>
      </c>
      <c r="BN101" s="278" t="e">
        <f t="shared" si="38"/>
        <v>#REF!</v>
      </c>
      <c r="BO101" s="278" t="e">
        <f t="shared" si="38"/>
        <v>#REF!</v>
      </c>
      <c r="BP101" s="278" t="e">
        <f t="shared" si="38"/>
        <v>#REF!</v>
      </c>
    </row>
    <row r="102" spans="1:68" ht="12" customHeight="1" outlineLevel="1">
      <c r="A102" s="295" t="s">
        <v>1685</v>
      </c>
      <c r="B102" s="276" t="s">
        <v>1694</v>
      </c>
      <c r="E102" s="297" t="e">
        <f>SUM($E$101:E101)</f>
        <v>#REF!</v>
      </c>
      <c r="F102" s="297" t="e">
        <f>SUM($E$101:F101)</f>
        <v>#REF!</v>
      </c>
      <c r="G102" s="297" t="e">
        <f>SUM($E$101:G101)</f>
        <v>#REF!</v>
      </c>
      <c r="H102" s="297" t="e">
        <f>SUM($E$101:H101)</f>
        <v>#REF!</v>
      </c>
      <c r="I102" s="297" t="e">
        <f>SUM($E$101:I101)</f>
        <v>#REF!</v>
      </c>
      <c r="J102" s="297" t="e">
        <f>SUM($E$101:J101)</f>
        <v>#REF!</v>
      </c>
      <c r="K102" s="297" t="e">
        <f>SUM($E$101:K101)</f>
        <v>#REF!</v>
      </c>
      <c r="L102" s="297" t="e">
        <f>SUM($E$101:L101)</f>
        <v>#REF!</v>
      </c>
      <c r="M102" s="297" t="e">
        <f>SUM($E$101:M101)</f>
        <v>#REF!</v>
      </c>
      <c r="N102" s="297" t="e">
        <f>SUM($E$101:N101)</f>
        <v>#REF!</v>
      </c>
      <c r="O102" s="297" t="e">
        <f>SUM($E$101:O101)</f>
        <v>#REF!</v>
      </c>
      <c r="P102" s="297" t="e">
        <f>SUM($E$101:P101)</f>
        <v>#REF!</v>
      </c>
      <c r="Q102" s="297" t="e">
        <f>SUM($E$101:Q101)</f>
        <v>#REF!</v>
      </c>
      <c r="R102" s="297" t="e">
        <f>SUM($E$101:R101)</f>
        <v>#REF!</v>
      </c>
      <c r="S102" s="297" t="e">
        <f>SUM($E$101:S101)</f>
        <v>#REF!</v>
      </c>
      <c r="T102" s="297" t="e">
        <f>SUM($E$101:T101)</f>
        <v>#REF!</v>
      </c>
      <c r="U102" s="297" t="e">
        <f>SUM($E$101:U101)</f>
        <v>#REF!</v>
      </c>
      <c r="V102" s="297" t="e">
        <f>SUM($E$101:V101)</f>
        <v>#REF!</v>
      </c>
      <c r="W102" s="297" t="e">
        <f>SUM($E$101:W101)</f>
        <v>#REF!</v>
      </c>
      <c r="X102" s="297" t="e">
        <f>SUM($E$101:X101)</f>
        <v>#REF!</v>
      </c>
      <c r="Y102" s="297" t="e">
        <f>SUM($E$101:Y101)</f>
        <v>#REF!</v>
      </c>
      <c r="Z102" s="297" t="e">
        <f>SUM($E$101:Z101)</f>
        <v>#REF!</v>
      </c>
      <c r="AA102" s="297" t="e">
        <f>SUM($E$101:AA101)</f>
        <v>#REF!</v>
      </c>
      <c r="AB102" s="297" t="e">
        <f>SUM($E$101:AB101)</f>
        <v>#REF!</v>
      </c>
      <c r="AC102" s="297" t="e">
        <f>SUM($E$101:AC101)</f>
        <v>#REF!</v>
      </c>
      <c r="AD102" s="297" t="e">
        <f>SUM($E$101:AD101)</f>
        <v>#REF!</v>
      </c>
      <c r="AE102" s="297" t="e">
        <f>SUM($E$101:AE101)</f>
        <v>#REF!</v>
      </c>
      <c r="AF102" s="297" t="e">
        <f>SUM($E$101:AF101)</f>
        <v>#REF!</v>
      </c>
      <c r="AG102" s="297" t="e">
        <f>SUM($E$101:AG101)</f>
        <v>#REF!</v>
      </c>
      <c r="AH102" s="297" t="e">
        <f>SUM($E$101:AH101)</f>
        <v>#REF!</v>
      </c>
      <c r="AI102" s="297" t="e">
        <f>SUM($E$101:AI101)</f>
        <v>#REF!</v>
      </c>
      <c r="AJ102" s="297" t="e">
        <f>SUM($E$101:AJ101)</f>
        <v>#REF!</v>
      </c>
      <c r="AK102" s="297" t="e">
        <f>SUM($E$101:AK101)</f>
        <v>#REF!</v>
      </c>
      <c r="AL102" s="297" t="e">
        <f>SUM($E$101:AL101)</f>
        <v>#REF!</v>
      </c>
      <c r="AM102" s="297" t="e">
        <f>SUM($E$101:AM101)</f>
        <v>#REF!</v>
      </c>
      <c r="AN102" s="297" t="e">
        <f>SUM($E$101:AN101)</f>
        <v>#REF!</v>
      </c>
      <c r="AO102" s="297" t="e">
        <f>SUM($E$101:AO101)</f>
        <v>#REF!</v>
      </c>
      <c r="AP102" s="297" t="e">
        <f>SUM($E$101:AP101)</f>
        <v>#REF!</v>
      </c>
      <c r="AQ102" s="297" t="e">
        <f>SUM($E$101:AQ101)</f>
        <v>#REF!</v>
      </c>
      <c r="AR102" s="297" t="e">
        <f>SUM($E$101:AR101)</f>
        <v>#REF!</v>
      </c>
      <c r="AS102" s="297" t="e">
        <f>SUM($E$101:AS101)</f>
        <v>#REF!</v>
      </c>
      <c r="AT102" s="297" t="e">
        <f>SUM($E$101:AT101)</f>
        <v>#REF!</v>
      </c>
      <c r="AU102" s="297" t="e">
        <f>SUM($E$101:AU101)</f>
        <v>#REF!</v>
      </c>
      <c r="AV102" s="297" t="e">
        <f>SUM($E$101:AV101)</f>
        <v>#REF!</v>
      </c>
      <c r="AW102" s="297" t="e">
        <f>SUM($E$101:AW101)</f>
        <v>#REF!</v>
      </c>
      <c r="AX102" s="297" t="e">
        <f>SUM($E$101:AX101)</f>
        <v>#REF!</v>
      </c>
      <c r="AY102" s="297" t="e">
        <f>SUM($E$101:AY101)</f>
        <v>#REF!</v>
      </c>
      <c r="AZ102" s="297" t="e">
        <f>SUM($E$101:AZ101)</f>
        <v>#REF!</v>
      </c>
      <c r="BA102" s="297" t="e">
        <f>SUM($E$101:BA101)</f>
        <v>#REF!</v>
      </c>
      <c r="BB102" s="297" t="e">
        <f>SUM($E$101:BB101)</f>
        <v>#REF!</v>
      </c>
      <c r="BC102" s="297" t="e">
        <f>SUM($E$101:BC101)</f>
        <v>#REF!</v>
      </c>
      <c r="BD102" s="297" t="e">
        <f>SUM($E$101:BD101)</f>
        <v>#REF!</v>
      </c>
      <c r="BE102" s="297" t="e">
        <f>SUM($E$101:BE101)</f>
        <v>#REF!</v>
      </c>
      <c r="BF102" s="297" t="e">
        <f>SUM($E$101:BF101)</f>
        <v>#REF!</v>
      </c>
      <c r="BG102" s="297" t="e">
        <f>SUM($E$101:BG101)</f>
        <v>#REF!</v>
      </c>
      <c r="BH102" s="297" t="e">
        <f>SUM($E$101:BH101)</f>
        <v>#REF!</v>
      </c>
      <c r="BI102" s="297" t="e">
        <f>SUM($E$101:BI101)</f>
        <v>#REF!</v>
      </c>
      <c r="BJ102" s="297" t="e">
        <f>SUM($E$101:BJ101)</f>
        <v>#REF!</v>
      </c>
      <c r="BK102" s="297" t="e">
        <f>SUM($E$101:BK101)</f>
        <v>#REF!</v>
      </c>
      <c r="BL102" s="297" t="e">
        <f>SUM($E$101:BL101)</f>
        <v>#REF!</v>
      </c>
      <c r="BM102" s="297" t="e">
        <f>SUM($E$101:BM101)</f>
        <v>#REF!</v>
      </c>
      <c r="BN102" s="297" t="e">
        <f>SUM($E$101:BN101)</f>
        <v>#REF!</v>
      </c>
      <c r="BO102" s="297" t="e">
        <f>SUM($E$101:BO101)</f>
        <v>#REF!</v>
      </c>
      <c r="BP102" s="297" t="e">
        <f>SUM($E$101:BP101)</f>
        <v>#REF!</v>
      </c>
    </row>
    <row r="103" spans="1:68" ht="12" customHeight="1" outlineLevel="1"/>
    <row r="104" spans="1:68" ht="12" customHeight="1" outlineLevel="1"/>
    <row r="105" spans="1:68" ht="12" customHeight="1" outlineLevel="1"/>
    <row r="106" spans="1:68" ht="12" customHeight="1" outlineLevel="1"/>
    <row r="107" spans="1:68" ht="12" customHeight="1" outlineLevel="1"/>
  </sheetData>
  <mergeCells count="5">
    <mergeCell ref="P19:P20"/>
    <mergeCell ref="F19:L20"/>
    <mergeCell ref="F21:L22"/>
    <mergeCell ref="E19:E22"/>
    <mergeCell ref="P21:P22"/>
  </mergeCells>
  <conditionalFormatting sqref="E2:BP4">
    <cfRule type="cellIs" dxfId="13" priority="4" operator="greaterThan">
      <formula>0</formula>
    </cfRule>
  </conditionalFormatting>
  <dataValidations count="2">
    <dataValidation type="list" allowBlank="1" sqref="C27" xr:uid="{9BEDDD35-8BC9-4036-B2B5-B0E1BF520C1A}">
      <formula1>$B$25:$B$26</formula1>
    </dataValidation>
    <dataValidation type="list" allowBlank="1" sqref="C28" xr:uid="{5B355DC3-C656-477E-A424-378E76121AB8}">
      <formula1>$C$29:$C$33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11E90-B95D-4A9D-9475-08728CB2F060}">
  <sheetPr codeName="Planilha13">
    <tabColor rgb="FFFF0000"/>
  </sheetPr>
  <dimension ref="B1:I1847"/>
  <sheetViews>
    <sheetView showGridLines="0" workbookViewId="0">
      <selection activeCell="G5" sqref="G5"/>
    </sheetView>
  </sheetViews>
  <sheetFormatPr defaultColWidth="8.85546875" defaultRowHeight="12" customHeight="1"/>
  <cols>
    <col min="1" max="1" width="0.85546875" style="4" customWidth="1"/>
    <col min="2" max="2" width="4.85546875" style="45" customWidth="1"/>
    <col min="3" max="3" width="10.85546875" style="4" customWidth="1"/>
    <col min="4" max="4" width="2.85546875" style="4" customWidth="1"/>
    <col min="5" max="8" width="16.85546875" style="4" customWidth="1"/>
    <col min="9" max="9" width="50.85546875" style="4" customWidth="1"/>
    <col min="10" max="16384" width="8.85546875" style="4"/>
  </cols>
  <sheetData>
    <row r="1" spans="3:9" ht="12" customHeight="1">
      <c r="C1" s="648" t="s">
        <v>253</v>
      </c>
      <c r="D1" s="648"/>
      <c r="E1" s="648"/>
      <c r="F1" s="32" t="s">
        <v>1130</v>
      </c>
      <c r="G1" s="32" t="s">
        <v>250</v>
      </c>
      <c r="I1" s="32" t="s">
        <v>1695</v>
      </c>
    </row>
    <row r="2" spans="3:9" ht="24" customHeight="1">
      <c r="C2" s="649" t="s">
        <v>1696</v>
      </c>
      <c r="D2" s="649"/>
      <c r="E2" s="649"/>
      <c r="F2" s="39">
        <f>ROUND(COUNTIF($E$22:$E$1847,C2)/5,0)</f>
        <v>52</v>
      </c>
      <c r="G2" s="39">
        <f>ROUND(COUNTIF($E$22:$E$1847,C2)/5,0)</f>
        <v>52</v>
      </c>
      <c r="H2" s="40"/>
      <c r="I2" s="47" t="s">
        <v>1697</v>
      </c>
    </row>
    <row r="3" spans="3:9" ht="24" customHeight="1">
      <c r="C3" s="649" t="s">
        <v>1698</v>
      </c>
      <c r="D3" s="649"/>
      <c r="E3" s="649"/>
      <c r="F3" s="39">
        <f t="shared" ref="F3:F4" si="0">ROUND(COUNTIF($E$22:$E$1847,C3)/5,0)</f>
        <v>52</v>
      </c>
      <c r="G3" s="39">
        <f>ROUND(COUNTIF($E$22:$E$1847,C3)/5,0)</f>
        <v>52</v>
      </c>
      <c r="H3" s="40"/>
      <c r="I3" s="47" t="s">
        <v>1699</v>
      </c>
    </row>
    <row r="4" spans="3:9" ht="24" customHeight="1">
      <c r="C4" s="647" t="s">
        <v>1700</v>
      </c>
      <c r="D4" s="647"/>
      <c r="E4" s="647"/>
      <c r="F4" s="39">
        <f t="shared" si="0"/>
        <v>261</v>
      </c>
      <c r="G4" s="39">
        <f>ROUND(COUNTIF($E$22:$E$1847,C4)/5,0)</f>
        <v>261</v>
      </c>
      <c r="H4" s="40"/>
      <c r="I4" s="47" t="s">
        <v>1701</v>
      </c>
    </row>
    <row r="5" spans="3:9" ht="24" customHeight="1">
      <c r="C5" s="650" t="s">
        <v>1702</v>
      </c>
      <c r="D5" s="650"/>
      <c r="E5" s="650"/>
      <c r="F5" s="32">
        <f>SUM(F2:F4)</f>
        <v>365</v>
      </c>
      <c r="G5" s="32">
        <f>SUM(G2:G4)</f>
        <v>365</v>
      </c>
      <c r="H5" s="40"/>
    </row>
    <row r="7" spans="3:9" ht="24" customHeight="1">
      <c r="C7" s="647" t="s">
        <v>1703</v>
      </c>
      <c r="D7" s="647"/>
      <c r="E7" s="647"/>
      <c r="F7" s="39">
        <f>ROUND(COUNTIF($G$22:$G$1847,"Feriado")/5,0)</f>
        <v>6</v>
      </c>
      <c r="G7" s="62">
        <v>0</v>
      </c>
      <c r="H7" s="40"/>
      <c r="I7" s="47" t="s">
        <v>1704</v>
      </c>
    </row>
    <row r="8" spans="3:9" ht="24" customHeight="1">
      <c r="C8" s="647" t="s">
        <v>1705</v>
      </c>
      <c r="D8" s="647"/>
      <c r="E8" s="647"/>
      <c r="F8" s="41">
        <v>4</v>
      </c>
      <c r="G8" s="62">
        <v>0</v>
      </c>
      <c r="H8" s="42" t="s">
        <v>1706</v>
      </c>
      <c r="I8" s="47" t="s">
        <v>1707</v>
      </c>
    </row>
    <row r="9" spans="3:9" ht="24" customHeight="1">
      <c r="C9" s="647" t="s">
        <v>1708</v>
      </c>
      <c r="D9" s="647"/>
      <c r="E9" s="647"/>
      <c r="F9" s="39">
        <v>30</v>
      </c>
      <c r="G9" s="39">
        <v>30</v>
      </c>
      <c r="H9" s="40"/>
      <c r="I9" s="47" t="s">
        <v>1704</v>
      </c>
    </row>
    <row r="10" spans="3:9" ht="24" customHeight="1">
      <c r="C10" s="647" t="s">
        <v>1709</v>
      </c>
      <c r="D10" s="647"/>
      <c r="E10" s="647"/>
      <c r="F10" s="39">
        <f>IF(F3&gt;0,F3-4,0)</f>
        <v>48</v>
      </c>
      <c r="G10" s="39">
        <v>0</v>
      </c>
      <c r="H10" s="40"/>
      <c r="I10" s="47" t="s">
        <v>1704</v>
      </c>
    </row>
    <row r="11" spans="3:9" ht="24" customHeight="1">
      <c r="C11" s="647" t="s">
        <v>1710</v>
      </c>
      <c r="D11" s="647"/>
      <c r="E11" s="647"/>
      <c r="F11" s="41">
        <v>0.5</v>
      </c>
      <c r="G11" s="62">
        <v>0</v>
      </c>
      <c r="H11" s="42" t="s">
        <v>1706</v>
      </c>
      <c r="I11" s="47" t="s">
        <v>1704</v>
      </c>
    </row>
    <row r="12" spans="3:9" ht="24" customHeight="1">
      <c r="C12" s="647" t="s">
        <v>1711</v>
      </c>
      <c r="D12" s="647"/>
      <c r="E12" s="647"/>
      <c r="F12" s="41">
        <v>0.2</v>
      </c>
      <c r="G12" s="62">
        <v>0</v>
      </c>
      <c r="H12" s="42" t="s">
        <v>1706</v>
      </c>
      <c r="I12" s="47" t="s">
        <v>1712</v>
      </c>
    </row>
    <row r="13" spans="3:9" ht="24" customHeight="1">
      <c r="C13" s="647" t="s">
        <v>1215</v>
      </c>
      <c r="D13" s="647"/>
      <c r="E13" s="647"/>
      <c r="F13" s="41">
        <v>0.5</v>
      </c>
      <c r="G13" s="62">
        <v>0</v>
      </c>
      <c r="H13" s="42" t="s">
        <v>1706</v>
      </c>
      <c r="I13" s="47" t="s">
        <v>1713</v>
      </c>
    </row>
    <row r="14" spans="3:9" ht="24" customHeight="1">
      <c r="C14" s="647" t="s">
        <v>1714</v>
      </c>
      <c r="D14" s="647"/>
      <c r="E14" s="647"/>
      <c r="F14" s="41">
        <f>0.05*5</f>
        <v>0.25</v>
      </c>
      <c r="G14" s="41">
        <f>0.05*5</f>
        <v>0.25</v>
      </c>
      <c r="H14" s="42" t="s">
        <v>1706</v>
      </c>
      <c r="I14" s="47" t="s">
        <v>1715</v>
      </c>
    </row>
    <row r="15" spans="3:9" ht="24" customHeight="1">
      <c r="C15" s="647" t="s">
        <v>1716</v>
      </c>
      <c r="D15" s="647"/>
      <c r="E15" s="647"/>
      <c r="F15" s="41">
        <f>0.001*120</f>
        <v>0.12</v>
      </c>
      <c r="G15" s="41">
        <f>0.001*120</f>
        <v>0.12</v>
      </c>
      <c r="H15" s="42" t="s">
        <v>1706</v>
      </c>
      <c r="I15" s="47" t="s">
        <v>1717</v>
      </c>
    </row>
    <row r="16" spans="3:9" ht="24" customHeight="1">
      <c r="C16" s="650" t="s">
        <v>1718</v>
      </c>
      <c r="D16" s="650"/>
      <c r="E16" s="650"/>
      <c r="F16" s="32">
        <f>SUM(F7:F15)</f>
        <v>89.570000000000007</v>
      </c>
      <c r="G16" s="32">
        <f>SUM(G7:G15)</f>
        <v>30.37</v>
      </c>
    </row>
    <row r="18" spans="2:7" ht="24" customHeight="1">
      <c r="C18" s="650" t="s">
        <v>1719</v>
      </c>
      <c r="D18" s="650"/>
      <c r="E18" s="650"/>
      <c r="F18" s="32">
        <f>F5-F16</f>
        <v>275.43</v>
      </c>
      <c r="G18" s="32">
        <f>G5-G16</f>
        <v>334.63</v>
      </c>
    </row>
    <row r="20" spans="2:7" ht="12" customHeight="1">
      <c r="B20" s="651" t="s">
        <v>1720</v>
      </c>
      <c r="C20" s="652" t="s">
        <v>1721</v>
      </c>
      <c r="D20" s="652" t="s">
        <v>1722</v>
      </c>
      <c r="E20" s="652"/>
      <c r="F20" s="652"/>
      <c r="G20" s="652"/>
    </row>
    <row r="21" spans="2:7" ht="12" customHeight="1">
      <c r="B21" s="651"/>
      <c r="C21" s="652"/>
      <c r="D21" s="652" t="s">
        <v>1723</v>
      </c>
      <c r="E21" s="652"/>
      <c r="F21" s="32" t="s">
        <v>1723</v>
      </c>
      <c r="G21" s="32" t="s">
        <v>1724</v>
      </c>
    </row>
    <row r="22" spans="2:7" ht="12" customHeight="1">
      <c r="B22" s="43">
        <v>1</v>
      </c>
      <c r="C22" s="44">
        <v>44562</v>
      </c>
      <c r="D22" s="36">
        <f>WEEKDAY(C22,1)</f>
        <v>7</v>
      </c>
      <c r="E22" s="36" t="str">
        <f t="shared" ref="E22:E23" si="1">IF(D22=1,"Dom",IF(D22=7,"Sáb","Dia útil"))</f>
        <v>Sáb</v>
      </c>
      <c r="F22" s="36" t="str">
        <f>E22</f>
        <v>Sáb</v>
      </c>
      <c r="G22" s="36" t="str">
        <f>IF(AND(F22="Feriado",OR(E22="Sáb",E22="Dom")),E22,IF(AND(F22="Feriado",E22="Dia útil"),"Feriado",E22))</f>
        <v>Sáb</v>
      </c>
    </row>
    <row r="23" spans="2:7" ht="12" customHeight="1">
      <c r="B23" s="43">
        <v>2</v>
      </c>
      <c r="C23" s="44">
        <v>44563</v>
      </c>
      <c r="D23" s="36">
        <f t="shared" ref="D23:D86" si="2">WEEKDAY(C23,1)</f>
        <v>1</v>
      </c>
      <c r="E23" s="36" t="str">
        <f t="shared" si="1"/>
        <v>Dom</v>
      </c>
      <c r="F23" s="36" t="str">
        <f t="shared" ref="F23:F86" si="3">E23</f>
        <v>Dom</v>
      </c>
      <c r="G23" s="36" t="str">
        <f t="shared" ref="G23:G86" si="4">IF(AND(F23="Feriado",OR(E23="Sáb",E23="Dom")),E23,IF(AND(F23="Feriado",E23="Dia útil"),"Feriado",E23))</f>
        <v>Dom</v>
      </c>
    </row>
    <row r="24" spans="2:7" ht="12" customHeight="1">
      <c r="B24" s="43">
        <v>3</v>
      </c>
      <c r="C24" s="44">
        <v>44564</v>
      </c>
      <c r="D24" s="36">
        <f t="shared" si="2"/>
        <v>2</v>
      </c>
      <c r="E24" s="36" t="str">
        <f>IF(D24=1,"Dom",IF(D24=7,"Sáb","Dia útil"))</f>
        <v>Dia útil</v>
      </c>
      <c r="F24" s="36" t="str">
        <f t="shared" si="3"/>
        <v>Dia útil</v>
      </c>
      <c r="G24" s="36" t="str">
        <f t="shared" si="4"/>
        <v>Dia útil</v>
      </c>
    </row>
    <row r="25" spans="2:7" ht="12" customHeight="1">
      <c r="B25" s="43">
        <v>4</v>
      </c>
      <c r="C25" s="44">
        <v>44565</v>
      </c>
      <c r="D25" s="36">
        <f t="shared" si="2"/>
        <v>3</v>
      </c>
      <c r="E25" s="36" t="str">
        <f t="shared" ref="E25:E88" si="5">IF(D25=1,"Dom",IF(D25=7,"Sáb","Dia útil"))</f>
        <v>Dia útil</v>
      </c>
      <c r="F25" s="36" t="str">
        <f t="shared" si="3"/>
        <v>Dia útil</v>
      </c>
      <c r="G25" s="36" t="str">
        <f t="shared" si="4"/>
        <v>Dia útil</v>
      </c>
    </row>
    <row r="26" spans="2:7" ht="12" customHeight="1">
      <c r="B26" s="43">
        <v>5</v>
      </c>
      <c r="C26" s="44">
        <v>44566</v>
      </c>
      <c r="D26" s="36">
        <f t="shared" si="2"/>
        <v>4</v>
      </c>
      <c r="E26" s="36" t="str">
        <f t="shared" si="5"/>
        <v>Dia útil</v>
      </c>
      <c r="F26" s="36" t="str">
        <f t="shared" si="3"/>
        <v>Dia útil</v>
      </c>
      <c r="G26" s="36" t="str">
        <f t="shared" si="4"/>
        <v>Dia útil</v>
      </c>
    </row>
    <row r="27" spans="2:7" ht="12" customHeight="1">
      <c r="B27" s="43">
        <v>6</v>
      </c>
      <c r="C27" s="44">
        <v>44567</v>
      </c>
      <c r="D27" s="36">
        <f t="shared" si="2"/>
        <v>5</v>
      </c>
      <c r="E27" s="36" t="str">
        <f t="shared" si="5"/>
        <v>Dia útil</v>
      </c>
      <c r="F27" s="36" t="str">
        <f t="shared" si="3"/>
        <v>Dia útil</v>
      </c>
      <c r="G27" s="36" t="str">
        <f t="shared" si="4"/>
        <v>Dia útil</v>
      </c>
    </row>
    <row r="28" spans="2:7" ht="12" customHeight="1">
      <c r="B28" s="43">
        <v>7</v>
      </c>
      <c r="C28" s="44">
        <v>44568</v>
      </c>
      <c r="D28" s="36">
        <f t="shared" si="2"/>
        <v>6</v>
      </c>
      <c r="E28" s="36" t="str">
        <f t="shared" si="5"/>
        <v>Dia útil</v>
      </c>
      <c r="F28" s="36" t="str">
        <f t="shared" si="3"/>
        <v>Dia útil</v>
      </c>
      <c r="G28" s="36" t="str">
        <f t="shared" si="4"/>
        <v>Dia útil</v>
      </c>
    </row>
    <row r="29" spans="2:7" ht="12" customHeight="1">
      <c r="B29" s="43">
        <v>8</v>
      </c>
      <c r="C29" s="44">
        <v>44569</v>
      </c>
      <c r="D29" s="36">
        <f t="shared" si="2"/>
        <v>7</v>
      </c>
      <c r="E29" s="36" t="str">
        <f t="shared" si="5"/>
        <v>Sáb</v>
      </c>
      <c r="F29" s="36" t="str">
        <f t="shared" si="3"/>
        <v>Sáb</v>
      </c>
      <c r="G29" s="36" t="str">
        <f t="shared" si="4"/>
        <v>Sáb</v>
      </c>
    </row>
    <row r="30" spans="2:7" ht="12" customHeight="1">
      <c r="B30" s="43">
        <v>9</v>
      </c>
      <c r="C30" s="44">
        <v>44570</v>
      </c>
      <c r="D30" s="36">
        <f t="shared" si="2"/>
        <v>1</v>
      </c>
      <c r="E30" s="36" t="str">
        <f t="shared" si="5"/>
        <v>Dom</v>
      </c>
      <c r="F30" s="36" t="str">
        <f t="shared" si="3"/>
        <v>Dom</v>
      </c>
      <c r="G30" s="36" t="str">
        <f t="shared" si="4"/>
        <v>Dom</v>
      </c>
    </row>
    <row r="31" spans="2:7" ht="12" customHeight="1">
      <c r="B31" s="43">
        <v>10</v>
      </c>
      <c r="C31" s="44">
        <v>44571</v>
      </c>
      <c r="D31" s="36">
        <f t="shared" si="2"/>
        <v>2</v>
      </c>
      <c r="E31" s="36" t="str">
        <f t="shared" si="5"/>
        <v>Dia útil</v>
      </c>
      <c r="F31" s="36" t="str">
        <f t="shared" si="3"/>
        <v>Dia útil</v>
      </c>
      <c r="G31" s="36" t="str">
        <f t="shared" si="4"/>
        <v>Dia útil</v>
      </c>
    </row>
    <row r="32" spans="2:7" ht="12" customHeight="1">
      <c r="B32" s="43">
        <v>11</v>
      </c>
      <c r="C32" s="44">
        <v>44572</v>
      </c>
      <c r="D32" s="36">
        <f t="shared" si="2"/>
        <v>3</v>
      </c>
      <c r="E32" s="36" t="str">
        <f t="shared" si="5"/>
        <v>Dia útil</v>
      </c>
      <c r="F32" s="36" t="str">
        <f t="shared" si="3"/>
        <v>Dia útil</v>
      </c>
      <c r="G32" s="36" t="str">
        <f t="shared" si="4"/>
        <v>Dia útil</v>
      </c>
    </row>
    <row r="33" spans="2:7" ht="12" customHeight="1">
      <c r="B33" s="43">
        <v>12</v>
      </c>
      <c r="C33" s="44">
        <v>44573</v>
      </c>
      <c r="D33" s="36">
        <f t="shared" si="2"/>
        <v>4</v>
      </c>
      <c r="E33" s="36" t="str">
        <f t="shared" si="5"/>
        <v>Dia útil</v>
      </c>
      <c r="F33" s="36" t="str">
        <f t="shared" si="3"/>
        <v>Dia útil</v>
      </c>
      <c r="G33" s="36" t="str">
        <f t="shared" si="4"/>
        <v>Dia útil</v>
      </c>
    </row>
    <row r="34" spans="2:7" ht="12" customHeight="1">
      <c r="B34" s="43">
        <v>13</v>
      </c>
      <c r="C34" s="44">
        <v>44574</v>
      </c>
      <c r="D34" s="36">
        <f t="shared" si="2"/>
        <v>5</v>
      </c>
      <c r="E34" s="36" t="str">
        <f t="shared" si="5"/>
        <v>Dia útil</v>
      </c>
      <c r="F34" s="36" t="str">
        <f t="shared" si="3"/>
        <v>Dia útil</v>
      </c>
      <c r="G34" s="36" t="str">
        <f t="shared" si="4"/>
        <v>Dia útil</v>
      </c>
    </row>
    <row r="35" spans="2:7" ht="12" customHeight="1">
      <c r="B35" s="43">
        <v>14</v>
      </c>
      <c r="C35" s="44">
        <v>44575</v>
      </c>
      <c r="D35" s="36">
        <f t="shared" si="2"/>
        <v>6</v>
      </c>
      <c r="E35" s="36" t="str">
        <f t="shared" si="5"/>
        <v>Dia útil</v>
      </c>
      <c r="F35" s="36" t="str">
        <f t="shared" si="3"/>
        <v>Dia útil</v>
      </c>
      <c r="G35" s="36" t="str">
        <f t="shared" si="4"/>
        <v>Dia útil</v>
      </c>
    </row>
    <row r="36" spans="2:7" ht="12" customHeight="1">
      <c r="B36" s="43">
        <v>15</v>
      </c>
      <c r="C36" s="44">
        <v>44576</v>
      </c>
      <c r="D36" s="36">
        <f t="shared" si="2"/>
        <v>7</v>
      </c>
      <c r="E36" s="36" t="str">
        <f t="shared" si="5"/>
        <v>Sáb</v>
      </c>
      <c r="F36" s="36" t="str">
        <f t="shared" si="3"/>
        <v>Sáb</v>
      </c>
      <c r="G36" s="36" t="str">
        <f t="shared" si="4"/>
        <v>Sáb</v>
      </c>
    </row>
    <row r="37" spans="2:7" ht="12" customHeight="1">
      <c r="B37" s="43">
        <v>16</v>
      </c>
      <c r="C37" s="44">
        <v>44577</v>
      </c>
      <c r="D37" s="36">
        <f t="shared" si="2"/>
        <v>1</v>
      </c>
      <c r="E37" s="36" t="str">
        <f t="shared" si="5"/>
        <v>Dom</v>
      </c>
      <c r="F37" s="36" t="str">
        <f t="shared" si="3"/>
        <v>Dom</v>
      </c>
      <c r="G37" s="36" t="str">
        <f t="shared" si="4"/>
        <v>Dom</v>
      </c>
    </row>
    <row r="38" spans="2:7" ht="12" customHeight="1">
      <c r="B38" s="43">
        <v>17</v>
      </c>
      <c r="C38" s="44">
        <v>44578</v>
      </c>
      <c r="D38" s="36">
        <f t="shared" si="2"/>
        <v>2</v>
      </c>
      <c r="E38" s="36" t="str">
        <f t="shared" si="5"/>
        <v>Dia útil</v>
      </c>
      <c r="F38" s="36" t="str">
        <f t="shared" si="3"/>
        <v>Dia útil</v>
      </c>
      <c r="G38" s="36" t="str">
        <f t="shared" si="4"/>
        <v>Dia útil</v>
      </c>
    </row>
    <row r="39" spans="2:7" ht="12" customHeight="1">
      <c r="B39" s="43">
        <v>18</v>
      </c>
      <c r="C39" s="44">
        <v>44579</v>
      </c>
      <c r="D39" s="36">
        <f t="shared" si="2"/>
        <v>3</v>
      </c>
      <c r="E39" s="36" t="str">
        <f t="shared" si="5"/>
        <v>Dia útil</v>
      </c>
      <c r="F39" s="36" t="str">
        <f t="shared" si="3"/>
        <v>Dia útil</v>
      </c>
      <c r="G39" s="36" t="str">
        <f t="shared" si="4"/>
        <v>Dia útil</v>
      </c>
    </row>
    <row r="40" spans="2:7" ht="12" customHeight="1">
      <c r="B40" s="43">
        <v>19</v>
      </c>
      <c r="C40" s="44">
        <v>44580</v>
      </c>
      <c r="D40" s="36">
        <f t="shared" si="2"/>
        <v>4</v>
      </c>
      <c r="E40" s="36" t="str">
        <f t="shared" si="5"/>
        <v>Dia útil</v>
      </c>
      <c r="F40" s="36" t="str">
        <f t="shared" si="3"/>
        <v>Dia útil</v>
      </c>
      <c r="G40" s="36" t="str">
        <f t="shared" si="4"/>
        <v>Dia útil</v>
      </c>
    </row>
    <row r="41" spans="2:7" ht="12" customHeight="1">
      <c r="B41" s="43">
        <v>20</v>
      </c>
      <c r="C41" s="44">
        <v>44581</v>
      </c>
      <c r="D41" s="36">
        <f t="shared" si="2"/>
        <v>5</v>
      </c>
      <c r="E41" s="36" t="str">
        <f t="shared" si="5"/>
        <v>Dia útil</v>
      </c>
      <c r="F41" s="36" t="str">
        <f t="shared" si="3"/>
        <v>Dia útil</v>
      </c>
      <c r="G41" s="36" t="str">
        <f t="shared" si="4"/>
        <v>Dia útil</v>
      </c>
    </row>
    <row r="42" spans="2:7" ht="12" customHeight="1">
      <c r="B42" s="43">
        <v>21</v>
      </c>
      <c r="C42" s="44">
        <v>44582</v>
      </c>
      <c r="D42" s="36">
        <f t="shared" si="2"/>
        <v>6</v>
      </c>
      <c r="E42" s="36" t="str">
        <f t="shared" si="5"/>
        <v>Dia útil</v>
      </c>
      <c r="F42" s="36" t="str">
        <f t="shared" si="3"/>
        <v>Dia útil</v>
      </c>
      <c r="G42" s="36" t="str">
        <f t="shared" si="4"/>
        <v>Dia útil</v>
      </c>
    </row>
    <row r="43" spans="2:7" ht="12" customHeight="1">
      <c r="B43" s="43">
        <v>22</v>
      </c>
      <c r="C43" s="44">
        <v>44583</v>
      </c>
      <c r="D43" s="36">
        <f t="shared" si="2"/>
        <v>7</v>
      </c>
      <c r="E43" s="36" t="str">
        <f t="shared" si="5"/>
        <v>Sáb</v>
      </c>
      <c r="F43" s="36" t="str">
        <f t="shared" si="3"/>
        <v>Sáb</v>
      </c>
      <c r="G43" s="36" t="str">
        <f t="shared" si="4"/>
        <v>Sáb</v>
      </c>
    </row>
    <row r="44" spans="2:7" ht="12" customHeight="1">
      <c r="B44" s="43">
        <v>23</v>
      </c>
      <c r="C44" s="44">
        <v>44584</v>
      </c>
      <c r="D44" s="36">
        <f t="shared" si="2"/>
        <v>1</v>
      </c>
      <c r="E44" s="36" t="str">
        <f t="shared" si="5"/>
        <v>Dom</v>
      </c>
      <c r="F44" s="36" t="str">
        <f t="shared" si="3"/>
        <v>Dom</v>
      </c>
      <c r="G44" s="36" t="str">
        <f t="shared" si="4"/>
        <v>Dom</v>
      </c>
    </row>
    <row r="45" spans="2:7" ht="12" customHeight="1">
      <c r="B45" s="43">
        <v>24</v>
      </c>
      <c r="C45" s="44">
        <v>44585</v>
      </c>
      <c r="D45" s="36">
        <f t="shared" si="2"/>
        <v>2</v>
      </c>
      <c r="E45" s="36" t="str">
        <f t="shared" si="5"/>
        <v>Dia útil</v>
      </c>
      <c r="F45" s="36" t="str">
        <f t="shared" si="3"/>
        <v>Dia útil</v>
      </c>
      <c r="G45" s="36" t="str">
        <f t="shared" si="4"/>
        <v>Dia útil</v>
      </c>
    </row>
    <row r="46" spans="2:7" ht="12" customHeight="1">
      <c r="B46" s="43">
        <v>25</v>
      </c>
      <c r="C46" s="44">
        <v>44586</v>
      </c>
      <c r="D46" s="36">
        <f t="shared" si="2"/>
        <v>3</v>
      </c>
      <c r="E46" s="36" t="str">
        <f t="shared" si="5"/>
        <v>Dia útil</v>
      </c>
      <c r="F46" s="36" t="str">
        <f t="shared" si="3"/>
        <v>Dia útil</v>
      </c>
      <c r="G46" s="36" t="str">
        <f t="shared" si="4"/>
        <v>Dia útil</v>
      </c>
    </row>
    <row r="47" spans="2:7" ht="12" customHeight="1">
      <c r="B47" s="43">
        <v>26</v>
      </c>
      <c r="C47" s="44">
        <v>44587</v>
      </c>
      <c r="D47" s="36">
        <f t="shared" si="2"/>
        <v>4</v>
      </c>
      <c r="E47" s="36" t="str">
        <f t="shared" si="5"/>
        <v>Dia útil</v>
      </c>
      <c r="F47" s="36" t="str">
        <f t="shared" si="3"/>
        <v>Dia útil</v>
      </c>
      <c r="G47" s="36" t="str">
        <f t="shared" si="4"/>
        <v>Dia útil</v>
      </c>
    </row>
    <row r="48" spans="2:7" ht="12" customHeight="1">
      <c r="B48" s="43">
        <v>27</v>
      </c>
      <c r="C48" s="44">
        <v>44588</v>
      </c>
      <c r="D48" s="36">
        <f t="shared" si="2"/>
        <v>5</v>
      </c>
      <c r="E48" s="36" t="str">
        <f t="shared" si="5"/>
        <v>Dia útil</v>
      </c>
      <c r="F48" s="36" t="str">
        <f t="shared" si="3"/>
        <v>Dia útil</v>
      </c>
      <c r="G48" s="36" t="str">
        <f t="shared" si="4"/>
        <v>Dia útil</v>
      </c>
    </row>
    <row r="49" spans="2:7" ht="12" customHeight="1">
      <c r="B49" s="43">
        <v>28</v>
      </c>
      <c r="C49" s="44">
        <v>44589</v>
      </c>
      <c r="D49" s="36">
        <f t="shared" si="2"/>
        <v>6</v>
      </c>
      <c r="E49" s="36" t="str">
        <f t="shared" si="5"/>
        <v>Dia útil</v>
      </c>
      <c r="F49" s="36" t="str">
        <f t="shared" si="3"/>
        <v>Dia útil</v>
      </c>
      <c r="G49" s="36" t="str">
        <f t="shared" si="4"/>
        <v>Dia útil</v>
      </c>
    </row>
    <row r="50" spans="2:7" ht="12" customHeight="1">
      <c r="B50" s="43">
        <v>29</v>
      </c>
      <c r="C50" s="44">
        <v>44590</v>
      </c>
      <c r="D50" s="36">
        <f t="shared" si="2"/>
        <v>7</v>
      </c>
      <c r="E50" s="36" t="str">
        <f t="shared" si="5"/>
        <v>Sáb</v>
      </c>
      <c r="F50" s="36" t="str">
        <f t="shared" si="3"/>
        <v>Sáb</v>
      </c>
      <c r="G50" s="36" t="str">
        <f t="shared" si="4"/>
        <v>Sáb</v>
      </c>
    </row>
    <row r="51" spans="2:7" ht="12" customHeight="1">
      <c r="B51" s="43">
        <v>30</v>
      </c>
      <c r="C51" s="44">
        <v>44591</v>
      </c>
      <c r="D51" s="36">
        <f t="shared" si="2"/>
        <v>1</v>
      </c>
      <c r="E51" s="36" t="str">
        <f t="shared" si="5"/>
        <v>Dom</v>
      </c>
      <c r="F51" s="36" t="str">
        <f t="shared" si="3"/>
        <v>Dom</v>
      </c>
      <c r="G51" s="36" t="str">
        <f t="shared" si="4"/>
        <v>Dom</v>
      </c>
    </row>
    <row r="52" spans="2:7" ht="12" customHeight="1">
      <c r="B52" s="43">
        <v>31</v>
      </c>
      <c r="C52" s="44">
        <v>44592</v>
      </c>
      <c r="D52" s="36">
        <f t="shared" si="2"/>
        <v>2</v>
      </c>
      <c r="E52" s="36" t="str">
        <f t="shared" si="5"/>
        <v>Dia útil</v>
      </c>
      <c r="F52" s="36" t="str">
        <f t="shared" si="3"/>
        <v>Dia útil</v>
      </c>
      <c r="G52" s="36" t="str">
        <f t="shared" si="4"/>
        <v>Dia útil</v>
      </c>
    </row>
    <row r="53" spans="2:7" ht="12" customHeight="1">
      <c r="B53" s="43">
        <v>32</v>
      </c>
      <c r="C53" s="44">
        <v>44593</v>
      </c>
      <c r="D53" s="36">
        <f t="shared" si="2"/>
        <v>3</v>
      </c>
      <c r="E53" s="36" t="str">
        <f t="shared" si="5"/>
        <v>Dia útil</v>
      </c>
      <c r="F53" s="36" t="str">
        <f t="shared" si="3"/>
        <v>Dia útil</v>
      </c>
      <c r="G53" s="36" t="str">
        <f t="shared" si="4"/>
        <v>Dia útil</v>
      </c>
    </row>
    <row r="54" spans="2:7" ht="12" customHeight="1">
      <c r="B54" s="43">
        <v>33</v>
      </c>
      <c r="C54" s="44">
        <v>44594</v>
      </c>
      <c r="D54" s="36">
        <f t="shared" si="2"/>
        <v>4</v>
      </c>
      <c r="E54" s="36" t="str">
        <f t="shared" si="5"/>
        <v>Dia útil</v>
      </c>
      <c r="F54" s="36" t="str">
        <f t="shared" si="3"/>
        <v>Dia útil</v>
      </c>
      <c r="G54" s="36" t="str">
        <f t="shared" si="4"/>
        <v>Dia útil</v>
      </c>
    </row>
    <row r="55" spans="2:7" ht="12" customHeight="1">
      <c r="B55" s="43">
        <v>34</v>
      </c>
      <c r="C55" s="44">
        <v>44595</v>
      </c>
      <c r="D55" s="36">
        <f t="shared" si="2"/>
        <v>5</v>
      </c>
      <c r="E55" s="36" t="str">
        <f t="shared" si="5"/>
        <v>Dia útil</v>
      </c>
      <c r="F55" s="36" t="str">
        <f t="shared" si="3"/>
        <v>Dia útil</v>
      </c>
      <c r="G55" s="36" t="str">
        <f t="shared" si="4"/>
        <v>Dia útil</v>
      </c>
    </row>
    <row r="56" spans="2:7" ht="12" customHeight="1">
      <c r="B56" s="43">
        <v>35</v>
      </c>
      <c r="C56" s="44">
        <v>44596</v>
      </c>
      <c r="D56" s="36">
        <f t="shared" si="2"/>
        <v>6</v>
      </c>
      <c r="E56" s="36" t="str">
        <f t="shared" si="5"/>
        <v>Dia útil</v>
      </c>
      <c r="F56" s="36" t="str">
        <f t="shared" si="3"/>
        <v>Dia útil</v>
      </c>
      <c r="G56" s="36" t="str">
        <f t="shared" si="4"/>
        <v>Dia útil</v>
      </c>
    </row>
    <row r="57" spans="2:7" ht="12" customHeight="1">
      <c r="B57" s="43">
        <v>36</v>
      </c>
      <c r="C57" s="44">
        <v>44597</v>
      </c>
      <c r="D57" s="36">
        <f t="shared" si="2"/>
        <v>7</v>
      </c>
      <c r="E57" s="36" t="str">
        <f t="shared" si="5"/>
        <v>Sáb</v>
      </c>
      <c r="F57" s="36" t="str">
        <f t="shared" si="3"/>
        <v>Sáb</v>
      </c>
      <c r="G57" s="36" t="str">
        <f t="shared" si="4"/>
        <v>Sáb</v>
      </c>
    </row>
    <row r="58" spans="2:7" ht="12" customHeight="1">
      <c r="B58" s="43">
        <v>37</v>
      </c>
      <c r="C58" s="44">
        <v>44598</v>
      </c>
      <c r="D58" s="36">
        <f t="shared" si="2"/>
        <v>1</v>
      </c>
      <c r="E58" s="36" t="str">
        <f t="shared" si="5"/>
        <v>Dom</v>
      </c>
      <c r="F58" s="36" t="str">
        <f t="shared" si="3"/>
        <v>Dom</v>
      </c>
      <c r="G58" s="36" t="str">
        <f t="shared" si="4"/>
        <v>Dom</v>
      </c>
    </row>
    <row r="59" spans="2:7" ht="12" customHeight="1">
      <c r="B59" s="43">
        <v>38</v>
      </c>
      <c r="C59" s="44">
        <v>44599</v>
      </c>
      <c r="D59" s="36">
        <f t="shared" si="2"/>
        <v>2</v>
      </c>
      <c r="E59" s="36" t="str">
        <f t="shared" si="5"/>
        <v>Dia útil</v>
      </c>
      <c r="F59" s="36" t="str">
        <f t="shared" si="3"/>
        <v>Dia útil</v>
      </c>
      <c r="G59" s="36" t="str">
        <f t="shared" si="4"/>
        <v>Dia útil</v>
      </c>
    </row>
    <row r="60" spans="2:7" ht="12" customHeight="1">
      <c r="B60" s="43">
        <v>39</v>
      </c>
      <c r="C60" s="44">
        <v>44600</v>
      </c>
      <c r="D60" s="36">
        <f t="shared" si="2"/>
        <v>3</v>
      </c>
      <c r="E60" s="36" t="str">
        <f t="shared" si="5"/>
        <v>Dia útil</v>
      </c>
      <c r="F60" s="36" t="str">
        <f t="shared" si="3"/>
        <v>Dia útil</v>
      </c>
      <c r="G60" s="36" t="str">
        <f t="shared" si="4"/>
        <v>Dia útil</v>
      </c>
    </row>
    <row r="61" spans="2:7" ht="12" customHeight="1">
      <c r="B61" s="43">
        <v>40</v>
      </c>
      <c r="C61" s="44">
        <v>44601</v>
      </c>
      <c r="D61" s="36">
        <f t="shared" si="2"/>
        <v>4</v>
      </c>
      <c r="E61" s="36" t="str">
        <f t="shared" si="5"/>
        <v>Dia útil</v>
      </c>
      <c r="F61" s="36" t="str">
        <f t="shared" si="3"/>
        <v>Dia útil</v>
      </c>
      <c r="G61" s="36" t="str">
        <f t="shared" si="4"/>
        <v>Dia útil</v>
      </c>
    </row>
    <row r="62" spans="2:7" ht="12" customHeight="1">
      <c r="B62" s="43">
        <v>41</v>
      </c>
      <c r="C62" s="44">
        <v>44602</v>
      </c>
      <c r="D62" s="36">
        <f t="shared" si="2"/>
        <v>5</v>
      </c>
      <c r="E62" s="36" t="str">
        <f t="shared" si="5"/>
        <v>Dia útil</v>
      </c>
      <c r="F62" s="36" t="str">
        <f t="shared" si="3"/>
        <v>Dia útil</v>
      </c>
      <c r="G62" s="36" t="str">
        <f t="shared" si="4"/>
        <v>Dia útil</v>
      </c>
    </row>
    <row r="63" spans="2:7" ht="12" customHeight="1">
      <c r="B63" s="43">
        <v>42</v>
      </c>
      <c r="C63" s="44">
        <v>44603</v>
      </c>
      <c r="D63" s="36">
        <f t="shared" si="2"/>
        <v>6</v>
      </c>
      <c r="E63" s="36" t="str">
        <f t="shared" si="5"/>
        <v>Dia útil</v>
      </c>
      <c r="F63" s="36" t="str">
        <f t="shared" si="3"/>
        <v>Dia útil</v>
      </c>
      <c r="G63" s="36" t="str">
        <f t="shared" si="4"/>
        <v>Dia útil</v>
      </c>
    </row>
    <row r="64" spans="2:7" ht="12" customHeight="1">
      <c r="B64" s="43">
        <v>43</v>
      </c>
      <c r="C64" s="44">
        <v>44604</v>
      </c>
      <c r="D64" s="36">
        <f t="shared" si="2"/>
        <v>7</v>
      </c>
      <c r="E64" s="36" t="str">
        <f t="shared" si="5"/>
        <v>Sáb</v>
      </c>
      <c r="F64" s="36" t="str">
        <f t="shared" si="3"/>
        <v>Sáb</v>
      </c>
      <c r="G64" s="36" t="str">
        <f t="shared" si="4"/>
        <v>Sáb</v>
      </c>
    </row>
    <row r="65" spans="2:7" ht="12" customHeight="1">
      <c r="B65" s="43">
        <v>44</v>
      </c>
      <c r="C65" s="44">
        <v>44605</v>
      </c>
      <c r="D65" s="36">
        <f t="shared" si="2"/>
        <v>1</v>
      </c>
      <c r="E65" s="36" t="str">
        <f t="shared" si="5"/>
        <v>Dom</v>
      </c>
      <c r="F65" s="36" t="str">
        <f t="shared" si="3"/>
        <v>Dom</v>
      </c>
      <c r="G65" s="36" t="str">
        <f t="shared" si="4"/>
        <v>Dom</v>
      </c>
    </row>
    <row r="66" spans="2:7" ht="12" customHeight="1">
      <c r="B66" s="43">
        <v>45</v>
      </c>
      <c r="C66" s="44">
        <v>44606</v>
      </c>
      <c r="D66" s="36">
        <f t="shared" si="2"/>
        <v>2</v>
      </c>
      <c r="E66" s="36" t="str">
        <f t="shared" si="5"/>
        <v>Dia útil</v>
      </c>
      <c r="F66" s="36" t="str">
        <f t="shared" si="3"/>
        <v>Dia útil</v>
      </c>
      <c r="G66" s="36" t="str">
        <f t="shared" si="4"/>
        <v>Dia útil</v>
      </c>
    </row>
    <row r="67" spans="2:7" ht="12" customHeight="1">
      <c r="B67" s="43">
        <v>46</v>
      </c>
      <c r="C67" s="44">
        <v>44607</v>
      </c>
      <c r="D67" s="36">
        <f t="shared" si="2"/>
        <v>3</v>
      </c>
      <c r="E67" s="36" t="str">
        <f t="shared" si="5"/>
        <v>Dia útil</v>
      </c>
      <c r="F67" s="36" t="str">
        <f t="shared" si="3"/>
        <v>Dia útil</v>
      </c>
      <c r="G67" s="36" t="str">
        <f t="shared" si="4"/>
        <v>Dia útil</v>
      </c>
    </row>
    <row r="68" spans="2:7" ht="12" customHeight="1">
      <c r="B68" s="43">
        <v>47</v>
      </c>
      <c r="C68" s="44">
        <v>44608</v>
      </c>
      <c r="D68" s="36">
        <f t="shared" si="2"/>
        <v>4</v>
      </c>
      <c r="E68" s="36" t="str">
        <f t="shared" si="5"/>
        <v>Dia útil</v>
      </c>
      <c r="F68" s="36" t="str">
        <f t="shared" si="3"/>
        <v>Dia útil</v>
      </c>
      <c r="G68" s="36" t="str">
        <f t="shared" si="4"/>
        <v>Dia útil</v>
      </c>
    </row>
    <row r="69" spans="2:7" ht="12" customHeight="1">
      <c r="B69" s="43">
        <v>48</v>
      </c>
      <c r="C69" s="44">
        <v>44609</v>
      </c>
      <c r="D69" s="36">
        <f t="shared" si="2"/>
        <v>5</v>
      </c>
      <c r="E69" s="36" t="str">
        <f t="shared" si="5"/>
        <v>Dia útil</v>
      </c>
      <c r="F69" s="36" t="str">
        <f t="shared" si="3"/>
        <v>Dia útil</v>
      </c>
      <c r="G69" s="36" t="str">
        <f t="shared" si="4"/>
        <v>Dia útil</v>
      </c>
    </row>
    <row r="70" spans="2:7" ht="12" customHeight="1">
      <c r="B70" s="43">
        <v>49</v>
      </c>
      <c r="C70" s="44">
        <v>44610</v>
      </c>
      <c r="D70" s="36">
        <f t="shared" si="2"/>
        <v>6</v>
      </c>
      <c r="E70" s="36" t="str">
        <f t="shared" si="5"/>
        <v>Dia útil</v>
      </c>
      <c r="F70" s="36" t="str">
        <f t="shared" si="3"/>
        <v>Dia útil</v>
      </c>
      <c r="G70" s="36" t="str">
        <f t="shared" si="4"/>
        <v>Dia útil</v>
      </c>
    </row>
    <row r="71" spans="2:7" ht="12" customHeight="1">
      <c r="B71" s="43">
        <v>50</v>
      </c>
      <c r="C71" s="44">
        <v>44611</v>
      </c>
      <c r="D71" s="36">
        <f t="shared" si="2"/>
        <v>7</v>
      </c>
      <c r="E71" s="36" t="str">
        <f t="shared" si="5"/>
        <v>Sáb</v>
      </c>
      <c r="F71" s="36" t="str">
        <f t="shared" si="3"/>
        <v>Sáb</v>
      </c>
      <c r="G71" s="36" t="str">
        <f t="shared" si="4"/>
        <v>Sáb</v>
      </c>
    </row>
    <row r="72" spans="2:7" ht="12" customHeight="1">
      <c r="B72" s="43">
        <v>51</v>
      </c>
      <c r="C72" s="44">
        <v>44612</v>
      </c>
      <c r="D72" s="36">
        <f t="shared" si="2"/>
        <v>1</v>
      </c>
      <c r="E72" s="36" t="str">
        <f t="shared" si="5"/>
        <v>Dom</v>
      </c>
      <c r="F72" s="36" t="str">
        <f t="shared" si="3"/>
        <v>Dom</v>
      </c>
      <c r="G72" s="36" t="str">
        <f t="shared" si="4"/>
        <v>Dom</v>
      </c>
    </row>
    <row r="73" spans="2:7" ht="12" customHeight="1">
      <c r="B73" s="43">
        <v>52</v>
      </c>
      <c r="C73" s="44">
        <v>44613</v>
      </c>
      <c r="D73" s="36">
        <f t="shared" si="2"/>
        <v>2</v>
      </c>
      <c r="E73" s="36" t="str">
        <f t="shared" si="5"/>
        <v>Dia útil</v>
      </c>
      <c r="F73" s="36" t="str">
        <f t="shared" si="3"/>
        <v>Dia útil</v>
      </c>
      <c r="G73" s="36" t="str">
        <f t="shared" si="4"/>
        <v>Dia útil</v>
      </c>
    </row>
    <row r="74" spans="2:7" ht="12" customHeight="1">
      <c r="B74" s="43">
        <v>53</v>
      </c>
      <c r="C74" s="44">
        <v>44614</v>
      </c>
      <c r="D74" s="36">
        <f t="shared" si="2"/>
        <v>3</v>
      </c>
      <c r="E74" s="36" t="str">
        <f t="shared" si="5"/>
        <v>Dia útil</v>
      </c>
      <c r="F74" s="36" t="str">
        <f t="shared" si="3"/>
        <v>Dia útil</v>
      </c>
      <c r="G74" s="36" t="str">
        <f t="shared" si="4"/>
        <v>Dia útil</v>
      </c>
    </row>
    <row r="75" spans="2:7" ht="12" customHeight="1">
      <c r="B75" s="43">
        <v>54</v>
      </c>
      <c r="C75" s="44">
        <v>44615</v>
      </c>
      <c r="D75" s="36">
        <f t="shared" si="2"/>
        <v>4</v>
      </c>
      <c r="E75" s="36" t="str">
        <f t="shared" si="5"/>
        <v>Dia útil</v>
      </c>
      <c r="F75" s="36" t="str">
        <f t="shared" si="3"/>
        <v>Dia útil</v>
      </c>
      <c r="G75" s="36" t="str">
        <f t="shared" si="4"/>
        <v>Dia útil</v>
      </c>
    </row>
    <row r="76" spans="2:7" ht="12" customHeight="1">
      <c r="B76" s="43">
        <v>55</v>
      </c>
      <c r="C76" s="44">
        <v>44616</v>
      </c>
      <c r="D76" s="36">
        <f t="shared" si="2"/>
        <v>5</v>
      </c>
      <c r="E76" s="36" t="str">
        <f t="shared" si="5"/>
        <v>Dia útil</v>
      </c>
      <c r="F76" s="36" t="str">
        <f t="shared" si="3"/>
        <v>Dia útil</v>
      </c>
      <c r="G76" s="36" t="str">
        <f t="shared" si="4"/>
        <v>Dia útil</v>
      </c>
    </row>
    <row r="77" spans="2:7" ht="12" customHeight="1">
      <c r="B77" s="43">
        <v>56</v>
      </c>
      <c r="C77" s="44">
        <v>44617</v>
      </c>
      <c r="D77" s="36">
        <f t="shared" si="2"/>
        <v>6</v>
      </c>
      <c r="E77" s="36" t="str">
        <f t="shared" si="5"/>
        <v>Dia útil</v>
      </c>
      <c r="F77" s="36" t="str">
        <f t="shared" si="3"/>
        <v>Dia útil</v>
      </c>
      <c r="G77" s="36" t="str">
        <f t="shared" si="4"/>
        <v>Dia útil</v>
      </c>
    </row>
    <row r="78" spans="2:7" ht="12" customHeight="1">
      <c r="B78" s="43">
        <v>57</v>
      </c>
      <c r="C78" s="44">
        <v>44618</v>
      </c>
      <c r="D78" s="36">
        <f t="shared" si="2"/>
        <v>7</v>
      </c>
      <c r="E78" s="36" t="str">
        <f t="shared" si="5"/>
        <v>Sáb</v>
      </c>
      <c r="F78" s="36" t="str">
        <f t="shared" si="3"/>
        <v>Sáb</v>
      </c>
      <c r="G78" s="36" t="str">
        <f t="shared" si="4"/>
        <v>Sáb</v>
      </c>
    </row>
    <row r="79" spans="2:7" ht="12" customHeight="1">
      <c r="B79" s="43">
        <v>58</v>
      </c>
      <c r="C79" s="44">
        <v>44619</v>
      </c>
      <c r="D79" s="36">
        <f t="shared" si="2"/>
        <v>1</v>
      </c>
      <c r="E79" s="36" t="str">
        <f t="shared" si="5"/>
        <v>Dom</v>
      </c>
      <c r="F79" s="36" t="str">
        <f t="shared" si="3"/>
        <v>Dom</v>
      </c>
      <c r="G79" s="36" t="str">
        <f t="shared" si="4"/>
        <v>Dom</v>
      </c>
    </row>
    <row r="80" spans="2:7" ht="12" customHeight="1">
      <c r="B80" s="43">
        <v>59</v>
      </c>
      <c r="C80" s="44">
        <v>44620</v>
      </c>
      <c r="D80" s="36">
        <f t="shared" si="2"/>
        <v>2</v>
      </c>
      <c r="E80" s="36" t="str">
        <f t="shared" si="5"/>
        <v>Dia útil</v>
      </c>
      <c r="F80" s="36" t="str">
        <f t="shared" si="3"/>
        <v>Dia útil</v>
      </c>
      <c r="G80" s="36" t="str">
        <f t="shared" si="4"/>
        <v>Dia útil</v>
      </c>
    </row>
    <row r="81" spans="2:7" ht="12" customHeight="1">
      <c r="B81" s="43">
        <v>60</v>
      </c>
      <c r="C81" s="44">
        <v>44621</v>
      </c>
      <c r="D81" s="36">
        <f t="shared" si="2"/>
        <v>3</v>
      </c>
      <c r="E81" s="36" t="str">
        <f t="shared" si="5"/>
        <v>Dia útil</v>
      </c>
      <c r="F81" s="36" t="str">
        <f t="shared" si="3"/>
        <v>Dia útil</v>
      </c>
      <c r="G81" s="36" t="str">
        <f t="shared" si="4"/>
        <v>Dia útil</v>
      </c>
    </row>
    <row r="82" spans="2:7" ht="12" customHeight="1">
      <c r="B82" s="43">
        <v>61</v>
      </c>
      <c r="C82" s="44">
        <v>44622</v>
      </c>
      <c r="D82" s="36">
        <f t="shared" si="2"/>
        <v>4</v>
      </c>
      <c r="E82" s="36" t="str">
        <f t="shared" si="5"/>
        <v>Dia útil</v>
      </c>
      <c r="F82" s="36" t="str">
        <f t="shared" si="3"/>
        <v>Dia útil</v>
      </c>
      <c r="G82" s="36" t="str">
        <f t="shared" si="4"/>
        <v>Dia útil</v>
      </c>
    </row>
    <row r="83" spans="2:7" ht="12" customHeight="1">
      <c r="B83" s="43">
        <v>62</v>
      </c>
      <c r="C83" s="44">
        <v>44623</v>
      </c>
      <c r="D83" s="36">
        <f t="shared" si="2"/>
        <v>5</v>
      </c>
      <c r="E83" s="36" t="str">
        <f t="shared" si="5"/>
        <v>Dia útil</v>
      </c>
      <c r="F83" s="36" t="str">
        <f t="shared" si="3"/>
        <v>Dia útil</v>
      </c>
      <c r="G83" s="36" t="str">
        <f t="shared" si="4"/>
        <v>Dia útil</v>
      </c>
    </row>
    <row r="84" spans="2:7" ht="12" customHeight="1">
      <c r="B84" s="43">
        <v>63</v>
      </c>
      <c r="C84" s="44">
        <v>44624</v>
      </c>
      <c r="D84" s="36">
        <f t="shared" si="2"/>
        <v>6</v>
      </c>
      <c r="E84" s="36" t="str">
        <f t="shared" si="5"/>
        <v>Dia útil</v>
      </c>
      <c r="F84" s="36" t="str">
        <f t="shared" si="3"/>
        <v>Dia útil</v>
      </c>
      <c r="G84" s="36" t="str">
        <f t="shared" si="4"/>
        <v>Dia útil</v>
      </c>
    </row>
    <row r="85" spans="2:7" ht="12" customHeight="1">
      <c r="B85" s="43">
        <v>64</v>
      </c>
      <c r="C85" s="44">
        <v>44625</v>
      </c>
      <c r="D85" s="36">
        <f t="shared" si="2"/>
        <v>7</v>
      </c>
      <c r="E85" s="36" t="str">
        <f t="shared" si="5"/>
        <v>Sáb</v>
      </c>
      <c r="F85" s="36" t="str">
        <f t="shared" si="3"/>
        <v>Sáb</v>
      </c>
      <c r="G85" s="36" t="str">
        <f t="shared" si="4"/>
        <v>Sáb</v>
      </c>
    </row>
    <row r="86" spans="2:7" ht="12" customHeight="1">
      <c r="B86" s="43">
        <v>65</v>
      </c>
      <c r="C86" s="44">
        <v>44626</v>
      </c>
      <c r="D86" s="36">
        <f t="shared" si="2"/>
        <v>1</v>
      </c>
      <c r="E86" s="36" t="str">
        <f t="shared" si="5"/>
        <v>Dom</v>
      </c>
      <c r="F86" s="36" t="str">
        <f t="shared" si="3"/>
        <v>Dom</v>
      </c>
      <c r="G86" s="36" t="str">
        <f t="shared" si="4"/>
        <v>Dom</v>
      </c>
    </row>
    <row r="87" spans="2:7" ht="12" customHeight="1">
      <c r="B87" s="43">
        <v>66</v>
      </c>
      <c r="C87" s="44">
        <v>44627</v>
      </c>
      <c r="D87" s="36">
        <f t="shared" ref="D87:D150" si="6">WEEKDAY(C87,1)</f>
        <v>2</v>
      </c>
      <c r="E87" s="36" t="str">
        <f t="shared" si="5"/>
        <v>Dia útil</v>
      </c>
      <c r="F87" s="36" t="str">
        <f t="shared" ref="F87:F150" si="7">E87</f>
        <v>Dia útil</v>
      </c>
      <c r="G87" s="36" t="str">
        <f t="shared" ref="G87:G150" si="8">IF(AND(F87="Feriado",OR(E87="Sáb",E87="Dom")),E87,IF(AND(F87="Feriado",E87="Dia útil"),"Feriado",E87))</f>
        <v>Dia útil</v>
      </c>
    </row>
    <row r="88" spans="2:7" ht="12" customHeight="1">
      <c r="B88" s="43">
        <v>67</v>
      </c>
      <c r="C88" s="44">
        <v>44628</v>
      </c>
      <c r="D88" s="36">
        <f t="shared" si="6"/>
        <v>3</v>
      </c>
      <c r="E88" s="36" t="str">
        <f t="shared" si="5"/>
        <v>Dia útil</v>
      </c>
      <c r="F88" s="36" t="str">
        <f t="shared" si="7"/>
        <v>Dia útil</v>
      </c>
      <c r="G88" s="36" t="str">
        <f t="shared" si="8"/>
        <v>Dia útil</v>
      </c>
    </row>
    <row r="89" spans="2:7" ht="12" customHeight="1">
      <c r="B89" s="43">
        <v>68</v>
      </c>
      <c r="C89" s="44">
        <v>44629</v>
      </c>
      <c r="D89" s="36">
        <f t="shared" si="6"/>
        <v>4</v>
      </c>
      <c r="E89" s="36" t="str">
        <f t="shared" ref="E89:E152" si="9">IF(D89=1,"Dom",IF(D89=7,"Sáb","Dia útil"))</f>
        <v>Dia útil</v>
      </c>
      <c r="F89" s="36" t="str">
        <f t="shared" si="7"/>
        <v>Dia útil</v>
      </c>
      <c r="G89" s="36" t="str">
        <f t="shared" si="8"/>
        <v>Dia útil</v>
      </c>
    </row>
    <row r="90" spans="2:7" ht="12" customHeight="1">
      <c r="B90" s="43">
        <v>69</v>
      </c>
      <c r="C90" s="44">
        <v>44630</v>
      </c>
      <c r="D90" s="36">
        <f t="shared" si="6"/>
        <v>5</v>
      </c>
      <c r="E90" s="36" t="str">
        <f t="shared" si="9"/>
        <v>Dia útil</v>
      </c>
      <c r="F90" s="36" t="str">
        <f t="shared" si="7"/>
        <v>Dia útil</v>
      </c>
      <c r="G90" s="36" t="str">
        <f t="shared" si="8"/>
        <v>Dia útil</v>
      </c>
    </row>
    <row r="91" spans="2:7" ht="12" customHeight="1">
      <c r="B91" s="43">
        <v>70</v>
      </c>
      <c r="C91" s="44">
        <v>44631</v>
      </c>
      <c r="D91" s="36">
        <f t="shared" si="6"/>
        <v>6</v>
      </c>
      <c r="E91" s="36" t="str">
        <f t="shared" si="9"/>
        <v>Dia útil</v>
      </c>
      <c r="F91" s="36" t="str">
        <f t="shared" si="7"/>
        <v>Dia útil</v>
      </c>
      <c r="G91" s="36" t="str">
        <f t="shared" si="8"/>
        <v>Dia útil</v>
      </c>
    </row>
    <row r="92" spans="2:7" ht="12" customHeight="1">
      <c r="B92" s="43">
        <v>71</v>
      </c>
      <c r="C92" s="44">
        <v>44632</v>
      </c>
      <c r="D92" s="36">
        <f t="shared" si="6"/>
        <v>7</v>
      </c>
      <c r="E92" s="36" t="str">
        <f t="shared" si="9"/>
        <v>Sáb</v>
      </c>
      <c r="F92" s="36" t="str">
        <f t="shared" si="7"/>
        <v>Sáb</v>
      </c>
      <c r="G92" s="36" t="str">
        <f t="shared" si="8"/>
        <v>Sáb</v>
      </c>
    </row>
    <row r="93" spans="2:7" ht="12" customHeight="1">
      <c r="B93" s="43">
        <v>72</v>
      </c>
      <c r="C93" s="44">
        <v>44633</v>
      </c>
      <c r="D93" s="36">
        <f t="shared" si="6"/>
        <v>1</v>
      </c>
      <c r="E93" s="36" t="str">
        <f t="shared" si="9"/>
        <v>Dom</v>
      </c>
      <c r="F93" s="36" t="str">
        <f t="shared" si="7"/>
        <v>Dom</v>
      </c>
      <c r="G93" s="36" t="str">
        <f t="shared" si="8"/>
        <v>Dom</v>
      </c>
    </row>
    <row r="94" spans="2:7" ht="12" customHeight="1">
      <c r="B94" s="43">
        <v>73</v>
      </c>
      <c r="C94" s="44">
        <v>44634</v>
      </c>
      <c r="D94" s="36">
        <f t="shared" si="6"/>
        <v>2</v>
      </c>
      <c r="E94" s="36" t="str">
        <f t="shared" si="9"/>
        <v>Dia útil</v>
      </c>
      <c r="F94" s="36" t="str">
        <f t="shared" si="7"/>
        <v>Dia útil</v>
      </c>
      <c r="G94" s="36" t="str">
        <f t="shared" si="8"/>
        <v>Dia útil</v>
      </c>
    </row>
    <row r="95" spans="2:7" ht="12" customHeight="1">
      <c r="B95" s="43">
        <v>74</v>
      </c>
      <c r="C95" s="44">
        <v>44635</v>
      </c>
      <c r="D95" s="36">
        <f t="shared" si="6"/>
        <v>3</v>
      </c>
      <c r="E95" s="36" t="str">
        <f t="shared" si="9"/>
        <v>Dia útil</v>
      </c>
      <c r="F95" s="36" t="str">
        <f t="shared" si="7"/>
        <v>Dia útil</v>
      </c>
      <c r="G95" s="36" t="str">
        <f t="shared" si="8"/>
        <v>Dia útil</v>
      </c>
    </row>
    <row r="96" spans="2:7" ht="12" customHeight="1">
      <c r="B96" s="43">
        <v>75</v>
      </c>
      <c r="C96" s="44">
        <v>44636</v>
      </c>
      <c r="D96" s="36">
        <f t="shared" si="6"/>
        <v>4</v>
      </c>
      <c r="E96" s="36" t="str">
        <f t="shared" si="9"/>
        <v>Dia útil</v>
      </c>
      <c r="F96" s="36" t="str">
        <f t="shared" si="7"/>
        <v>Dia útil</v>
      </c>
      <c r="G96" s="36" t="str">
        <f t="shared" si="8"/>
        <v>Dia útil</v>
      </c>
    </row>
    <row r="97" spans="2:7" ht="12" customHeight="1">
      <c r="B97" s="43">
        <v>76</v>
      </c>
      <c r="C97" s="44">
        <v>44637</v>
      </c>
      <c r="D97" s="36">
        <f t="shared" si="6"/>
        <v>5</v>
      </c>
      <c r="E97" s="36" t="str">
        <f t="shared" si="9"/>
        <v>Dia útil</v>
      </c>
      <c r="F97" s="36" t="str">
        <f t="shared" si="7"/>
        <v>Dia útil</v>
      </c>
      <c r="G97" s="36" t="str">
        <f t="shared" si="8"/>
        <v>Dia útil</v>
      </c>
    </row>
    <row r="98" spans="2:7" ht="12" customHeight="1">
      <c r="B98" s="43">
        <v>77</v>
      </c>
      <c r="C98" s="44">
        <v>44638</v>
      </c>
      <c r="D98" s="36">
        <f t="shared" si="6"/>
        <v>6</v>
      </c>
      <c r="E98" s="36" t="str">
        <f t="shared" si="9"/>
        <v>Dia útil</v>
      </c>
      <c r="F98" s="36" t="str">
        <f t="shared" si="7"/>
        <v>Dia útil</v>
      </c>
      <c r="G98" s="36" t="str">
        <f t="shared" si="8"/>
        <v>Dia útil</v>
      </c>
    </row>
    <row r="99" spans="2:7" ht="12" customHeight="1">
      <c r="B99" s="43">
        <v>78</v>
      </c>
      <c r="C99" s="44">
        <v>44639</v>
      </c>
      <c r="D99" s="36">
        <f t="shared" si="6"/>
        <v>7</v>
      </c>
      <c r="E99" s="36" t="str">
        <f t="shared" si="9"/>
        <v>Sáb</v>
      </c>
      <c r="F99" s="36" t="str">
        <f t="shared" si="7"/>
        <v>Sáb</v>
      </c>
      <c r="G99" s="36" t="str">
        <f t="shared" si="8"/>
        <v>Sáb</v>
      </c>
    </row>
    <row r="100" spans="2:7" ht="12" customHeight="1">
      <c r="B100" s="43">
        <v>79</v>
      </c>
      <c r="C100" s="44">
        <v>44640</v>
      </c>
      <c r="D100" s="36">
        <f t="shared" si="6"/>
        <v>1</v>
      </c>
      <c r="E100" s="36" t="str">
        <f t="shared" si="9"/>
        <v>Dom</v>
      </c>
      <c r="F100" s="36" t="str">
        <f t="shared" si="7"/>
        <v>Dom</v>
      </c>
      <c r="G100" s="36" t="str">
        <f t="shared" si="8"/>
        <v>Dom</v>
      </c>
    </row>
    <row r="101" spans="2:7" ht="12" customHeight="1">
      <c r="B101" s="43">
        <v>80</v>
      </c>
      <c r="C101" s="44">
        <v>44641</v>
      </c>
      <c r="D101" s="36">
        <f t="shared" si="6"/>
        <v>2</v>
      </c>
      <c r="E101" s="36" t="str">
        <f t="shared" si="9"/>
        <v>Dia útil</v>
      </c>
      <c r="F101" s="36" t="str">
        <f t="shared" si="7"/>
        <v>Dia útil</v>
      </c>
      <c r="G101" s="36" t="str">
        <f t="shared" si="8"/>
        <v>Dia útil</v>
      </c>
    </row>
    <row r="102" spans="2:7" ht="12" customHeight="1">
      <c r="B102" s="43">
        <v>81</v>
      </c>
      <c r="C102" s="44">
        <v>44642</v>
      </c>
      <c r="D102" s="36">
        <f t="shared" si="6"/>
        <v>3</v>
      </c>
      <c r="E102" s="36" t="str">
        <f t="shared" si="9"/>
        <v>Dia útil</v>
      </c>
      <c r="F102" s="36" t="str">
        <f t="shared" si="7"/>
        <v>Dia útil</v>
      </c>
      <c r="G102" s="36" t="str">
        <f t="shared" si="8"/>
        <v>Dia útil</v>
      </c>
    </row>
    <row r="103" spans="2:7" ht="12" customHeight="1">
      <c r="B103" s="43">
        <v>82</v>
      </c>
      <c r="C103" s="44">
        <v>44643</v>
      </c>
      <c r="D103" s="36">
        <f t="shared" si="6"/>
        <v>4</v>
      </c>
      <c r="E103" s="36" t="str">
        <f t="shared" si="9"/>
        <v>Dia útil</v>
      </c>
      <c r="F103" s="36" t="str">
        <f t="shared" si="7"/>
        <v>Dia útil</v>
      </c>
      <c r="G103" s="36" t="str">
        <f t="shared" si="8"/>
        <v>Dia útil</v>
      </c>
    </row>
    <row r="104" spans="2:7" ht="12" customHeight="1">
      <c r="B104" s="43">
        <v>83</v>
      </c>
      <c r="C104" s="44">
        <v>44644</v>
      </c>
      <c r="D104" s="36">
        <f t="shared" si="6"/>
        <v>5</v>
      </c>
      <c r="E104" s="36" t="str">
        <f t="shared" si="9"/>
        <v>Dia útil</v>
      </c>
      <c r="F104" s="36" t="str">
        <f t="shared" si="7"/>
        <v>Dia útil</v>
      </c>
      <c r="G104" s="36" t="str">
        <f t="shared" si="8"/>
        <v>Dia útil</v>
      </c>
    </row>
    <row r="105" spans="2:7" ht="12" customHeight="1">
      <c r="B105" s="43">
        <v>84</v>
      </c>
      <c r="C105" s="44">
        <v>44645</v>
      </c>
      <c r="D105" s="36">
        <f t="shared" si="6"/>
        <v>6</v>
      </c>
      <c r="E105" s="36" t="str">
        <f t="shared" si="9"/>
        <v>Dia útil</v>
      </c>
      <c r="F105" s="36" t="str">
        <f t="shared" si="7"/>
        <v>Dia útil</v>
      </c>
      <c r="G105" s="36" t="str">
        <f t="shared" si="8"/>
        <v>Dia útil</v>
      </c>
    </row>
    <row r="106" spans="2:7" ht="12" customHeight="1">
      <c r="B106" s="43">
        <v>85</v>
      </c>
      <c r="C106" s="44">
        <v>44646</v>
      </c>
      <c r="D106" s="36">
        <f t="shared" si="6"/>
        <v>7</v>
      </c>
      <c r="E106" s="36" t="str">
        <f t="shared" si="9"/>
        <v>Sáb</v>
      </c>
      <c r="F106" s="36" t="str">
        <f t="shared" si="7"/>
        <v>Sáb</v>
      </c>
      <c r="G106" s="36" t="str">
        <f t="shared" si="8"/>
        <v>Sáb</v>
      </c>
    </row>
    <row r="107" spans="2:7" ht="12" customHeight="1">
      <c r="B107" s="43">
        <v>86</v>
      </c>
      <c r="C107" s="44">
        <v>44647</v>
      </c>
      <c r="D107" s="36">
        <f t="shared" si="6"/>
        <v>1</v>
      </c>
      <c r="E107" s="36" t="str">
        <f t="shared" si="9"/>
        <v>Dom</v>
      </c>
      <c r="F107" s="36" t="str">
        <f t="shared" si="7"/>
        <v>Dom</v>
      </c>
      <c r="G107" s="36" t="str">
        <f t="shared" si="8"/>
        <v>Dom</v>
      </c>
    </row>
    <row r="108" spans="2:7" ht="12" customHeight="1">
      <c r="B108" s="43">
        <v>87</v>
      </c>
      <c r="C108" s="44">
        <v>44648</v>
      </c>
      <c r="D108" s="36">
        <f t="shared" si="6"/>
        <v>2</v>
      </c>
      <c r="E108" s="36" t="str">
        <f t="shared" si="9"/>
        <v>Dia útil</v>
      </c>
      <c r="F108" s="36" t="str">
        <f t="shared" si="7"/>
        <v>Dia útil</v>
      </c>
      <c r="G108" s="36" t="str">
        <f t="shared" si="8"/>
        <v>Dia útil</v>
      </c>
    </row>
    <row r="109" spans="2:7" ht="12" customHeight="1">
      <c r="B109" s="43">
        <v>88</v>
      </c>
      <c r="C109" s="44">
        <v>44649</v>
      </c>
      <c r="D109" s="36">
        <f t="shared" si="6"/>
        <v>3</v>
      </c>
      <c r="E109" s="36" t="str">
        <f t="shared" si="9"/>
        <v>Dia útil</v>
      </c>
      <c r="F109" s="36" t="str">
        <f t="shared" si="7"/>
        <v>Dia útil</v>
      </c>
      <c r="G109" s="36" t="str">
        <f t="shared" si="8"/>
        <v>Dia útil</v>
      </c>
    </row>
    <row r="110" spans="2:7" ht="12" customHeight="1">
      <c r="B110" s="43">
        <v>89</v>
      </c>
      <c r="C110" s="44">
        <v>44650</v>
      </c>
      <c r="D110" s="36">
        <f t="shared" si="6"/>
        <v>4</v>
      </c>
      <c r="E110" s="36" t="str">
        <f t="shared" si="9"/>
        <v>Dia útil</v>
      </c>
      <c r="F110" s="36" t="str">
        <f t="shared" si="7"/>
        <v>Dia útil</v>
      </c>
      <c r="G110" s="36" t="str">
        <f t="shared" si="8"/>
        <v>Dia útil</v>
      </c>
    </row>
    <row r="111" spans="2:7" ht="12" customHeight="1">
      <c r="B111" s="43">
        <v>90</v>
      </c>
      <c r="C111" s="44">
        <v>44651</v>
      </c>
      <c r="D111" s="36">
        <f t="shared" si="6"/>
        <v>5</v>
      </c>
      <c r="E111" s="36" t="str">
        <f t="shared" si="9"/>
        <v>Dia útil</v>
      </c>
      <c r="F111" s="36" t="str">
        <f t="shared" si="7"/>
        <v>Dia útil</v>
      </c>
      <c r="G111" s="36" t="str">
        <f t="shared" si="8"/>
        <v>Dia útil</v>
      </c>
    </row>
    <row r="112" spans="2:7" ht="12" customHeight="1">
      <c r="B112" s="43">
        <v>91</v>
      </c>
      <c r="C112" s="44">
        <v>44652</v>
      </c>
      <c r="D112" s="36">
        <f t="shared" si="6"/>
        <v>6</v>
      </c>
      <c r="E112" s="36" t="str">
        <f t="shared" si="9"/>
        <v>Dia útil</v>
      </c>
      <c r="F112" s="36" t="str">
        <f t="shared" si="7"/>
        <v>Dia útil</v>
      </c>
      <c r="G112" s="36" t="str">
        <f t="shared" si="8"/>
        <v>Dia útil</v>
      </c>
    </row>
    <row r="113" spans="2:7" ht="12" customHeight="1">
      <c r="B113" s="43">
        <v>92</v>
      </c>
      <c r="C113" s="44">
        <v>44653</v>
      </c>
      <c r="D113" s="36">
        <f t="shared" si="6"/>
        <v>7</v>
      </c>
      <c r="E113" s="36" t="str">
        <f t="shared" si="9"/>
        <v>Sáb</v>
      </c>
      <c r="F113" s="36" t="str">
        <f t="shared" si="7"/>
        <v>Sáb</v>
      </c>
      <c r="G113" s="36" t="str">
        <f t="shared" si="8"/>
        <v>Sáb</v>
      </c>
    </row>
    <row r="114" spans="2:7" ht="12" customHeight="1">
      <c r="B114" s="43">
        <v>93</v>
      </c>
      <c r="C114" s="44">
        <v>44654</v>
      </c>
      <c r="D114" s="36">
        <f t="shared" si="6"/>
        <v>1</v>
      </c>
      <c r="E114" s="36" t="str">
        <f t="shared" si="9"/>
        <v>Dom</v>
      </c>
      <c r="F114" s="36" t="str">
        <f t="shared" si="7"/>
        <v>Dom</v>
      </c>
      <c r="G114" s="36" t="str">
        <f t="shared" si="8"/>
        <v>Dom</v>
      </c>
    </row>
    <row r="115" spans="2:7" ht="12" customHeight="1">
      <c r="B115" s="43">
        <v>94</v>
      </c>
      <c r="C115" s="44">
        <v>44655</v>
      </c>
      <c r="D115" s="36">
        <f t="shared" si="6"/>
        <v>2</v>
      </c>
      <c r="E115" s="36" t="str">
        <f t="shared" si="9"/>
        <v>Dia útil</v>
      </c>
      <c r="F115" s="36" t="str">
        <f t="shared" si="7"/>
        <v>Dia útil</v>
      </c>
      <c r="G115" s="36" t="str">
        <f t="shared" si="8"/>
        <v>Dia útil</v>
      </c>
    </row>
    <row r="116" spans="2:7" ht="12" customHeight="1">
      <c r="B116" s="43">
        <v>95</v>
      </c>
      <c r="C116" s="44">
        <v>44656</v>
      </c>
      <c r="D116" s="36">
        <f t="shared" si="6"/>
        <v>3</v>
      </c>
      <c r="E116" s="36" t="str">
        <f t="shared" si="9"/>
        <v>Dia útil</v>
      </c>
      <c r="F116" s="36" t="str">
        <f t="shared" si="7"/>
        <v>Dia útil</v>
      </c>
      <c r="G116" s="36" t="str">
        <f t="shared" si="8"/>
        <v>Dia útil</v>
      </c>
    </row>
    <row r="117" spans="2:7" ht="12" customHeight="1">
      <c r="B117" s="43">
        <v>96</v>
      </c>
      <c r="C117" s="44">
        <v>44657</v>
      </c>
      <c r="D117" s="36">
        <f t="shared" si="6"/>
        <v>4</v>
      </c>
      <c r="E117" s="36" t="str">
        <f t="shared" si="9"/>
        <v>Dia útil</v>
      </c>
      <c r="F117" s="36" t="str">
        <f t="shared" si="7"/>
        <v>Dia útil</v>
      </c>
      <c r="G117" s="36" t="str">
        <f t="shared" si="8"/>
        <v>Dia útil</v>
      </c>
    </row>
    <row r="118" spans="2:7" ht="12" customHeight="1">
      <c r="B118" s="43">
        <v>97</v>
      </c>
      <c r="C118" s="44">
        <v>44658</v>
      </c>
      <c r="D118" s="36">
        <f t="shared" si="6"/>
        <v>5</v>
      </c>
      <c r="E118" s="36" t="str">
        <f t="shared" si="9"/>
        <v>Dia útil</v>
      </c>
      <c r="F118" s="36" t="str">
        <f t="shared" si="7"/>
        <v>Dia útil</v>
      </c>
      <c r="G118" s="36" t="str">
        <f t="shared" si="8"/>
        <v>Dia útil</v>
      </c>
    </row>
    <row r="119" spans="2:7" ht="12" customHeight="1">
      <c r="B119" s="43">
        <v>98</v>
      </c>
      <c r="C119" s="44">
        <v>44659</v>
      </c>
      <c r="D119" s="36">
        <f t="shared" si="6"/>
        <v>6</v>
      </c>
      <c r="E119" s="36" t="str">
        <f t="shared" si="9"/>
        <v>Dia útil</v>
      </c>
      <c r="F119" s="46" t="s">
        <v>1725</v>
      </c>
      <c r="G119" s="36" t="str">
        <f t="shared" si="8"/>
        <v>Feriado</v>
      </c>
    </row>
    <row r="120" spans="2:7" ht="12" customHeight="1">
      <c r="B120" s="43">
        <v>99</v>
      </c>
      <c r="C120" s="44">
        <v>44660</v>
      </c>
      <c r="D120" s="36">
        <f t="shared" si="6"/>
        <v>7</v>
      </c>
      <c r="E120" s="36" t="str">
        <f t="shared" si="9"/>
        <v>Sáb</v>
      </c>
      <c r="F120" s="36" t="str">
        <f t="shared" si="7"/>
        <v>Sáb</v>
      </c>
      <c r="G120" s="36" t="str">
        <f t="shared" si="8"/>
        <v>Sáb</v>
      </c>
    </row>
    <row r="121" spans="2:7" ht="12" customHeight="1">
      <c r="B121" s="43">
        <v>100</v>
      </c>
      <c r="C121" s="44">
        <v>44661</v>
      </c>
      <c r="D121" s="36">
        <f t="shared" si="6"/>
        <v>1</v>
      </c>
      <c r="E121" s="36" t="str">
        <f t="shared" si="9"/>
        <v>Dom</v>
      </c>
      <c r="F121" s="46" t="s">
        <v>1725</v>
      </c>
      <c r="G121" s="36" t="str">
        <f t="shared" si="8"/>
        <v>Dom</v>
      </c>
    </row>
    <row r="122" spans="2:7" ht="12" customHeight="1">
      <c r="B122" s="43">
        <v>101</v>
      </c>
      <c r="C122" s="44">
        <v>44662</v>
      </c>
      <c r="D122" s="36">
        <f t="shared" si="6"/>
        <v>2</v>
      </c>
      <c r="E122" s="36" t="str">
        <f t="shared" si="9"/>
        <v>Dia útil</v>
      </c>
      <c r="F122" s="36" t="str">
        <f t="shared" si="7"/>
        <v>Dia útil</v>
      </c>
      <c r="G122" s="36" t="str">
        <f t="shared" si="8"/>
        <v>Dia útil</v>
      </c>
    </row>
    <row r="123" spans="2:7" ht="12" customHeight="1">
      <c r="B123" s="43">
        <v>102</v>
      </c>
      <c r="C123" s="44">
        <v>44663</v>
      </c>
      <c r="D123" s="36">
        <f t="shared" si="6"/>
        <v>3</v>
      </c>
      <c r="E123" s="36" t="str">
        <f t="shared" si="9"/>
        <v>Dia útil</v>
      </c>
      <c r="F123" s="36" t="str">
        <f t="shared" si="7"/>
        <v>Dia útil</v>
      </c>
      <c r="G123" s="36" t="str">
        <f t="shared" si="8"/>
        <v>Dia útil</v>
      </c>
    </row>
    <row r="124" spans="2:7" ht="12" customHeight="1">
      <c r="B124" s="43">
        <v>103</v>
      </c>
      <c r="C124" s="44">
        <v>44664</v>
      </c>
      <c r="D124" s="36">
        <f t="shared" si="6"/>
        <v>4</v>
      </c>
      <c r="E124" s="36" t="str">
        <f t="shared" si="9"/>
        <v>Dia útil</v>
      </c>
      <c r="F124" s="36" t="str">
        <f t="shared" si="7"/>
        <v>Dia útil</v>
      </c>
      <c r="G124" s="36" t="str">
        <f t="shared" si="8"/>
        <v>Dia útil</v>
      </c>
    </row>
    <row r="125" spans="2:7" ht="12" customHeight="1">
      <c r="B125" s="43">
        <v>104</v>
      </c>
      <c r="C125" s="44">
        <v>44665</v>
      </c>
      <c r="D125" s="36">
        <f t="shared" si="6"/>
        <v>5</v>
      </c>
      <c r="E125" s="36" t="str">
        <f t="shared" si="9"/>
        <v>Dia útil</v>
      </c>
      <c r="F125" s="36" t="str">
        <f t="shared" si="7"/>
        <v>Dia útil</v>
      </c>
      <c r="G125" s="36" t="str">
        <f t="shared" si="8"/>
        <v>Dia útil</v>
      </c>
    </row>
    <row r="126" spans="2:7" ht="12" customHeight="1">
      <c r="B126" s="43">
        <v>105</v>
      </c>
      <c r="C126" s="44">
        <v>44666</v>
      </c>
      <c r="D126" s="36">
        <f t="shared" si="6"/>
        <v>6</v>
      </c>
      <c r="E126" s="36" t="str">
        <f t="shared" si="9"/>
        <v>Dia útil</v>
      </c>
      <c r="F126" s="36" t="str">
        <f t="shared" si="7"/>
        <v>Dia útil</v>
      </c>
      <c r="G126" s="36" t="str">
        <f t="shared" si="8"/>
        <v>Dia útil</v>
      </c>
    </row>
    <row r="127" spans="2:7" ht="12" customHeight="1">
      <c r="B127" s="43">
        <v>106</v>
      </c>
      <c r="C127" s="44">
        <v>44667</v>
      </c>
      <c r="D127" s="36">
        <f t="shared" si="6"/>
        <v>7</v>
      </c>
      <c r="E127" s="36" t="str">
        <f t="shared" si="9"/>
        <v>Sáb</v>
      </c>
      <c r="F127" s="36" t="str">
        <f t="shared" si="7"/>
        <v>Sáb</v>
      </c>
      <c r="G127" s="36" t="str">
        <f t="shared" si="8"/>
        <v>Sáb</v>
      </c>
    </row>
    <row r="128" spans="2:7" ht="12" customHeight="1">
      <c r="B128" s="43">
        <v>107</v>
      </c>
      <c r="C128" s="44">
        <v>44668</v>
      </c>
      <c r="D128" s="36">
        <f t="shared" si="6"/>
        <v>1</v>
      </c>
      <c r="E128" s="36" t="str">
        <f t="shared" si="9"/>
        <v>Dom</v>
      </c>
      <c r="F128" s="36" t="str">
        <f t="shared" si="7"/>
        <v>Dom</v>
      </c>
      <c r="G128" s="36" t="str">
        <f t="shared" si="8"/>
        <v>Dom</v>
      </c>
    </row>
    <row r="129" spans="2:7" ht="12" customHeight="1">
      <c r="B129" s="43">
        <v>108</v>
      </c>
      <c r="C129" s="44">
        <v>44669</v>
      </c>
      <c r="D129" s="36">
        <f t="shared" si="6"/>
        <v>2</v>
      </c>
      <c r="E129" s="36" t="str">
        <f t="shared" si="9"/>
        <v>Dia útil</v>
      </c>
      <c r="F129" s="36" t="str">
        <f t="shared" si="7"/>
        <v>Dia útil</v>
      </c>
      <c r="G129" s="36" t="str">
        <f t="shared" si="8"/>
        <v>Dia útil</v>
      </c>
    </row>
    <row r="130" spans="2:7" ht="12" customHeight="1">
      <c r="B130" s="43">
        <v>109</v>
      </c>
      <c r="C130" s="44">
        <v>44670</v>
      </c>
      <c r="D130" s="36">
        <f t="shared" si="6"/>
        <v>3</v>
      </c>
      <c r="E130" s="36" t="str">
        <f t="shared" si="9"/>
        <v>Dia útil</v>
      </c>
      <c r="F130" s="36" t="str">
        <f t="shared" si="7"/>
        <v>Dia útil</v>
      </c>
      <c r="G130" s="36" t="str">
        <f t="shared" si="8"/>
        <v>Dia útil</v>
      </c>
    </row>
    <row r="131" spans="2:7" ht="12" customHeight="1">
      <c r="B131" s="43">
        <v>110</v>
      </c>
      <c r="C131" s="44">
        <v>44671</v>
      </c>
      <c r="D131" s="36">
        <f t="shared" si="6"/>
        <v>4</v>
      </c>
      <c r="E131" s="36" t="str">
        <f t="shared" si="9"/>
        <v>Dia útil</v>
      </c>
      <c r="F131" s="36" t="str">
        <f t="shared" si="7"/>
        <v>Dia útil</v>
      </c>
      <c r="G131" s="36" t="str">
        <f t="shared" si="8"/>
        <v>Dia útil</v>
      </c>
    </row>
    <row r="132" spans="2:7" ht="12" customHeight="1">
      <c r="B132" s="43">
        <v>111</v>
      </c>
      <c r="C132" s="44">
        <v>44672</v>
      </c>
      <c r="D132" s="36">
        <f t="shared" si="6"/>
        <v>5</v>
      </c>
      <c r="E132" s="36" t="str">
        <f t="shared" si="9"/>
        <v>Dia útil</v>
      </c>
      <c r="F132" s="46" t="s">
        <v>1725</v>
      </c>
      <c r="G132" s="36" t="str">
        <f t="shared" si="8"/>
        <v>Feriado</v>
      </c>
    </row>
    <row r="133" spans="2:7" ht="12" customHeight="1">
      <c r="B133" s="43">
        <v>112</v>
      </c>
      <c r="C133" s="44">
        <v>44673</v>
      </c>
      <c r="D133" s="36">
        <f t="shared" si="6"/>
        <v>6</v>
      </c>
      <c r="E133" s="36" t="str">
        <f t="shared" si="9"/>
        <v>Dia útil</v>
      </c>
      <c r="F133" s="36" t="str">
        <f t="shared" si="7"/>
        <v>Dia útil</v>
      </c>
      <c r="G133" s="36" t="str">
        <f t="shared" si="8"/>
        <v>Dia útil</v>
      </c>
    </row>
    <row r="134" spans="2:7" ht="12" customHeight="1">
      <c r="B134" s="43">
        <v>113</v>
      </c>
      <c r="C134" s="44">
        <v>44674</v>
      </c>
      <c r="D134" s="36">
        <f t="shared" si="6"/>
        <v>7</v>
      </c>
      <c r="E134" s="36" t="str">
        <f t="shared" si="9"/>
        <v>Sáb</v>
      </c>
      <c r="F134" s="36" t="str">
        <f t="shared" si="7"/>
        <v>Sáb</v>
      </c>
      <c r="G134" s="36" t="str">
        <f t="shared" si="8"/>
        <v>Sáb</v>
      </c>
    </row>
    <row r="135" spans="2:7" ht="12" customHeight="1">
      <c r="B135" s="43">
        <v>114</v>
      </c>
      <c r="C135" s="44">
        <v>44675</v>
      </c>
      <c r="D135" s="36">
        <f t="shared" si="6"/>
        <v>1</v>
      </c>
      <c r="E135" s="36" t="str">
        <f t="shared" si="9"/>
        <v>Dom</v>
      </c>
      <c r="F135" s="36" t="str">
        <f t="shared" si="7"/>
        <v>Dom</v>
      </c>
      <c r="G135" s="36" t="str">
        <f t="shared" si="8"/>
        <v>Dom</v>
      </c>
    </row>
    <row r="136" spans="2:7" ht="12" customHeight="1">
      <c r="B136" s="43">
        <v>115</v>
      </c>
      <c r="C136" s="44">
        <v>44676</v>
      </c>
      <c r="D136" s="36">
        <f t="shared" si="6"/>
        <v>2</v>
      </c>
      <c r="E136" s="36" t="str">
        <f t="shared" si="9"/>
        <v>Dia útil</v>
      </c>
      <c r="F136" s="36" t="str">
        <f t="shared" si="7"/>
        <v>Dia útil</v>
      </c>
      <c r="G136" s="36" t="str">
        <f t="shared" si="8"/>
        <v>Dia útil</v>
      </c>
    </row>
    <row r="137" spans="2:7" ht="12" customHeight="1">
      <c r="B137" s="43">
        <v>116</v>
      </c>
      <c r="C137" s="44">
        <v>44677</v>
      </c>
      <c r="D137" s="36">
        <f t="shared" si="6"/>
        <v>3</v>
      </c>
      <c r="E137" s="36" t="str">
        <f t="shared" si="9"/>
        <v>Dia útil</v>
      </c>
      <c r="F137" s="36" t="str">
        <f t="shared" si="7"/>
        <v>Dia útil</v>
      </c>
      <c r="G137" s="36" t="str">
        <f t="shared" si="8"/>
        <v>Dia útil</v>
      </c>
    </row>
    <row r="138" spans="2:7" ht="12" customHeight="1">
      <c r="B138" s="43">
        <v>117</v>
      </c>
      <c r="C138" s="44">
        <v>44678</v>
      </c>
      <c r="D138" s="36">
        <f t="shared" si="6"/>
        <v>4</v>
      </c>
      <c r="E138" s="36" t="str">
        <f t="shared" si="9"/>
        <v>Dia útil</v>
      </c>
      <c r="F138" s="36" t="str">
        <f t="shared" si="7"/>
        <v>Dia útil</v>
      </c>
      <c r="G138" s="36" t="str">
        <f t="shared" si="8"/>
        <v>Dia útil</v>
      </c>
    </row>
    <row r="139" spans="2:7" ht="12" customHeight="1">
      <c r="B139" s="43">
        <v>118</v>
      </c>
      <c r="C139" s="44">
        <v>44679</v>
      </c>
      <c r="D139" s="36">
        <f t="shared" si="6"/>
        <v>5</v>
      </c>
      <c r="E139" s="36" t="str">
        <f t="shared" si="9"/>
        <v>Dia útil</v>
      </c>
      <c r="F139" s="36" t="str">
        <f t="shared" si="7"/>
        <v>Dia útil</v>
      </c>
      <c r="G139" s="36" t="str">
        <f t="shared" si="8"/>
        <v>Dia útil</v>
      </c>
    </row>
    <row r="140" spans="2:7" ht="12" customHeight="1">
      <c r="B140" s="43">
        <v>119</v>
      </c>
      <c r="C140" s="44">
        <v>44680</v>
      </c>
      <c r="D140" s="36">
        <f t="shared" si="6"/>
        <v>6</v>
      </c>
      <c r="E140" s="36" t="str">
        <f t="shared" si="9"/>
        <v>Dia útil</v>
      </c>
      <c r="F140" s="36" t="str">
        <f t="shared" si="7"/>
        <v>Dia útil</v>
      </c>
      <c r="G140" s="36" t="str">
        <f t="shared" si="8"/>
        <v>Dia útil</v>
      </c>
    </row>
    <row r="141" spans="2:7" ht="12" customHeight="1">
      <c r="B141" s="43">
        <v>120</v>
      </c>
      <c r="C141" s="44">
        <v>44681</v>
      </c>
      <c r="D141" s="36">
        <f t="shared" si="6"/>
        <v>7</v>
      </c>
      <c r="E141" s="36" t="str">
        <f t="shared" si="9"/>
        <v>Sáb</v>
      </c>
      <c r="F141" s="36" t="str">
        <f t="shared" si="7"/>
        <v>Sáb</v>
      </c>
      <c r="G141" s="36" t="str">
        <f t="shared" si="8"/>
        <v>Sáb</v>
      </c>
    </row>
    <row r="142" spans="2:7" ht="12" customHeight="1">
      <c r="B142" s="43">
        <v>121</v>
      </c>
      <c r="C142" s="44">
        <v>44682</v>
      </c>
      <c r="D142" s="36">
        <f t="shared" si="6"/>
        <v>1</v>
      </c>
      <c r="E142" s="36" t="str">
        <f t="shared" si="9"/>
        <v>Dom</v>
      </c>
      <c r="F142" s="46" t="s">
        <v>1725</v>
      </c>
      <c r="G142" s="36" t="str">
        <f t="shared" si="8"/>
        <v>Dom</v>
      </c>
    </row>
    <row r="143" spans="2:7" ht="12" customHeight="1">
      <c r="B143" s="43">
        <v>122</v>
      </c>
      <c r="C143" s="44">
        <v>44683</v>
      </c>
      <c r="D143" s="36">
        <f t="shared" si="6"/>
        <v>2</v>
      </c>
      <c r="E143" s="36" t="str">
        <f t="shared" si="9"/>
        <v>Dia útil</v>
      </c>
      <c r="F143" s="36" t="str">
        <f t="shared" si="7"/>
        <v>Dia útil</v>
      </c>
      <c r="G143" s="36" t="str">
        <f t="shared" si="8"/>
        <v>Dia útil</v>
      </c>
    </row>
    <row r="144" spans="2:7" ht="12" customHeight="1">
      <c r="B144" s="43">
        <v>123</v>
      </c>
      <c r="C144" s="44">
        <v>44684</v>
      </c>
      <c r="D144" s="36">
        <f t="shared" si="6"/>
        <v>3</v>
      </c>
      <c r="E144" s="36" t="str">
        <f t="shared" si="9"/>
        <v>Dia útil</v>
      </c>
      <c r="F144" s="36" t="str">
        <f t="shared" si="7"/>
        <v>Dia útil</v>
      </c>
      <c r="G144" s="36" t="str">
        <f t="shared" si="8"/>
        <v>Dia útil</v>
      </c>
    </row>
    <row r="145" spans="2:7" ht="12" customHeight="1">
      <c r="B145" s="43">
        <v>124</v>
      </c>
      <c r="C145" s="44">
        <v>44685</v>
      </c>
      <c r="D145" s="36">
        <f t="shared" si="6"/>
        <v>4</v>
      </c>
      <c r="E145" s="36" t="str">
        <f t="shared" si="9"/>
        <v>Dia útil</v>
      </c>
      <c r="F145" s="36" t="str">
        <f t="shared" si="7"/>
        <v>Dia útil</v>
      </c>
      <c r="G145" s="36" t="str">
        <f t="shared" si="8"/>
        <v>Dia útil</v>
      </c>
    </row>
    <row r="146" spans="2:7" ht="12" customHeight="1">
      <c r="B146" s="43">
        <v>125</v>
      </c>
      <c r="C146" s="44">
        <v>44686</v>
      </c>
      <c r="D146" s="36">
        <f t="shared" si="6"/>
        <v>5</v>
      </c>
      <c r="E146" s="36" t="str">
        <f t="shared" si="9"/>
        <v>Dia útil</v>
      </c>
      <c r="F146" s="36" t="str">
        <f t="shared" si="7"/>
        <v>Dia útil</v>
      </c>
      <c r="G146" s="36" t="str">
        <f t="shared" si="8"/>
        <v>Dia útil</v>
      </c>
    </row>
    <row r="147" spans="2:7" ht="12" customHeight="1">
      <c r="B147" s="43">
        <v>126</v>
      </c>
      <c r="C147" s="44">
        <v>44687</v>
      </c>
      <c r="D147" s="36">
        <f t="shared" si="6"/>
        <v>6</v>
      </c>
      <c r="E147" s="36" t="str">
        <f t="shared" si="9"/>
        <v>Dia útil</v>
      </c>
      <c r="F147" s="36" t="str">
        <f t="shared" si="7"/>
        <v>Dia útil</v>
      </c>
      <c r="G147" s="36" t="str">
        <f t="shared" si="8"/>
        <v>Dia útil</v>
      </c>
    </row>
    <row r="148" spans="2:7" ht="12" customHeight="1">
      <c r="B148" s="43">
        <v>127</v>
      </c>
      <c r="C148" s="44">
        <v>44688</v>
      </c>
      <c r="D148" s="36">
        <f t="shared" si="6"/>
        <v>7</v>
      </c>
      <c r="E148" s="36" t="str">
        <f t="shared" si="9"/>
        <v>Sáb</v>
      </c>
      <c r="F148" s="36" t="str">
        <f t="shared" si="7"/>
        <v>Sáb</v>
      </c>
      <c r="G148" s="36" t="str">
        <f t="shared" si="8"/>
        <v>Sáb</v>
      </c>
    </row>
    <row r="149" spans="2:7" ht="12" customHeight="1">
      <c r="B149" s="43">
        <v>128</v>
      </c>
      <c r="C149" s="44">
        <v>44689</v>
      </c>
      <c r="D149" s="36">
        <f t="shared" si="6"/>
        <v>1</v>
      </c>
      <c r="E149" s="36" t="str">
        <f t="shared" si="9"/>
        <v>Dom</v>
      </c>
      <c r="F149" s="36" t="str">
        <f t="shared" si="7"/>
        <v>Dom</v>
      </c>
      <c r="G149" s="36" t="str">
        <f t="shared" si="8"/>
        <v>Dom</v>
      </c>
    </row>
    <row r="150" spans="2:7" ht="12" customHeight="1">
      <c r="B150" s="43">
        <v>129</v>
      </c>
      <c r="C150" s="44">
        <v>44690</v>
      </c>
      <c r="D150" s="36">
        <f t="shared" si="6"/>
        <v>2</v>
      </c>
      <c r="E150" s="36" t="str">
        <f t="shared" si="9"/>
        <v>Dia útil</v>
      </c>
      <c r="F150" s="36" t="str">
        <f t="shared" si="7"/>
        <v>Dia útil</v>
      </c>
      <c r="G150" s="36" t="str">
        <f t="shared" si="8"/>
        <v>Dia útil</v>
      </c>
    </row>
    <row r="151" spans="2:7" ht="12" customHeight="1">
      <c r="B151" s="43">
        <v>130</v>
      </c>
      <c r="C151" s="44">
        <v>44691</v>
      </c>
      <c r="D151" s="36">
        <f t="shared" ref="D151:D214" si="10">WEEKDAY(C151,1)</f>
        <v>3</v>
      </c>
      <c r="E151" s="36" t="str">
        <f t="shared" si="9"/>
        <v>Dia útil</v>
      </c>
      <c r="F151" s="36" t="str">
        <f t="shared" ref="F151:F214" si="11">E151</f>
        <v>Dia útil</v>
      </c>
      <c r="G151" s="36" t="str">
        <f t="shared" ref="G151:G214" si="12">IF(AND(F151="Feriado",OR(E151="Sáb",E151="Dom")),E151,IF(AND(F151="Feriado",E151="Dia útil"),"Feriado",E151))</f>
        <v>Dia útil</v>
      </c>
    </row>
    <row r="152" spans="2:7" ht="12" customHeight="1">
      <c r="B152" s="43">
        <v>131</v>
      </c>
      <c r="C152" s="44">
        <v>44692</v>
      </c>
      <c r="D152" s="36">
        <f t="shared" si="10"/>
        <v>4</v>
      </c>
      <c r="E152" s="36" t="str">
        <f t="shared" si="9"/>
        <v>Dia útil</v>
      </c>
      <c r="F152" s="36" t="str">
        <f t="shared" si="11"/>
        <v>Dia útil</v>
      </c>
      <c r="G152" s="36" t="str">
        <f t="shared" si="12"/>
        <v>Dia útil</v>
      </c>
    </row>
    <row r="153" spans="2:7" ht="12" customHeight="1">
      <c r="B153" s="43">
        <v>132</v>
      </c>
      <c r="C153" s="44">
        <v>44693</v>
      </c>
      <c r="D153" s="36">
        <f t="shared" si="10"/>
        <v>5</v>
      </c>
      <c r="E153" s="36" t="str">
        <f t="shared" ref="E153:E216" si="13">IF(D153=1,"Dom",IF(D153=7,"Sáb","Dia útil"))</f>
        <v>Dia útil</v>
      </c>
      <c r="F153" s="36" t="str">
        <f t="shared" si="11"/>
        <v>Dia útil</v>
      </c>
      <c r="G153" s="36" t="str">
        <f t="shared" si="12"/>
        <v>Dia útil</v>
      </c>
    </row>
    <row r="154" spans="2:7" ht="12" customHeight="1">
      <c r="B154" s="43">
        <v>133</v>
      </c>
      <c r="C154" s="44">
        <v>44694</v>
      </c>
      <c r="D154" s="36">
        <f t="shared" si="10"/>
        <v>6</v>
      </c>
      <c r="E154" s="36" t="str">
        <f t="shared" si="13"/>
        <v>Dia útil</v>
      </c>
      <c r="F154" s="36" t="str">
        <f t="shared" si="11"/>
        <v>Dia útil</v>
      </c>
      <c r="G154" s="36" t="str">
        <f t="shared" si="12"/>
        <v>Dia útil</v>
      </c>
    </row>
    <row r="155" spans="2:7" ht="12" customHeight="1">
      <c r="B155" s="43">
        <v>134</v>
      </c>
      <c r="C155" s="44">
        <v>44695</v>
      </c>
      <c r="D155" s="36">
        <f t="shared" si="10"/>
        <v>7</v>
      </c>
      <c r="E155" s="36" t="str">
        <f t="shared" si="13"/>
        <v>Sáb</v>
      </c>
      <c r="F155" s="36" t="str">
        <f t="shared" si="11"/>
        <v>Sáb</v>
      </c>
      <c r="G155" s="36" t="str">
        <f t="shared" si="12"/>
        <v>Sáb</v>
      </c>
    </row>
    <row r="156" spans="2:7" ht="12" customHeight="1">
      <c r="B156" s="43">
        <v>135</v>
      </c>
      <c r="C156" s="44">
        <v>44696</v>
      </c>
      <c r="D156" s="36">
        <f t="shared" si="10"/>
        <v>1</v>
      </c>
      <c r="E156" s="36" t="str">
        <f t="shared" si="13"/>
        <v>Dom</v>
      </c>
      <c r="F156" s="36" t="str">
        <f t="shared" si="11"/>
        <v>Dom</v>
      </c>
      <c r="G156" s="36" t="str">
        <f t="shared" si="12"/>
        <v>Dom</v>
      </c>
    </row>
    <row r="157" spans="2:7" ht="12" customHeight="1">
      <c r="B157" s="43">
        <v>136</v>
      </c>
      <c r="C157" s="44">
        <v>44697</v>
      </c>
      <c r="D157" s="36">
        <f t="shared" si="10"/>
        <v>2</v>
      </c>
      <c r="E157" s="36" t="str">
        <f t="shared" si="13"/>
        <v>Dia útil</v>
      </c>
      <c r="F157" s="36" t="str">
        <f t="shared" si="11"/>
        <v>Dia útil</v>
      </c>
      <c r="G157" s="36" t="str">
        <f t="shared" si="12"/>
        <v>Dia útil</v>
      </c>
    </row>
    <row r="158" spans="2:7" ht="12" customHeight="1">
      <c r="B158" s="43">
        <v>137</v>
      </c>
      <c r="C158" s="44">
        <v>44698</v>
      </c>
      <c r="D158" s="36">
        <f t="shared" si="10"/>
        <v>3</v>
      </c>
      <c r="E158" s="36" t="str">
        <f t="shared" si="13"/>
        <v>Dia útil</v>
      </c>
      <c r="F158" s="36" t="str">
        <f t="shared" si="11"/>
        <v>Dia útil</v>
      </c>
      <c r="G158" s="36" t="str">
        <f t="shared" si="12"/>
        <v>Dia útil</v>
      </c>
    </row>
    <row r="159" spans="2:7" ht="12" customHeight="1">
      <c r="B159" s="43">
        <v>138</v>
      </c>
      <c r="C159" s="44">
        <v>44699</v>
      </c>
      <c r="D159" s="36">
        <f t="shared" si="10"/>
        <v>4</v>
      </c>
      <c r="E159" s="36" t="str">
        <f t="shared" si="13"/>
        <v>Dia útil</v>
      </c>
      <c r="F159" s="36" t="str">
        <f t="shared" si="11"/>
        <v>Dia útil</v>
      </c>
      <c r="G159" s="36" t="str">
        <f t="shared" si="12"/>
        <v>Dia útil</v>
      </c>
    </row>
    <row r="160" spans="2:7" ht="12" customHeight="1">
      <c r="B160" s="43">
        <v>139</v>
      </c>
      <c r="C160" s="44">
        <v>44700</v>
      </c>
      <c r="D160" s="36">
        <f t="shared" si="10"/>
        <v>5</v>
      </c>
      <c r="E160" s="36" t="str">
        <f t="shared" si="13"/>
        <v>Dia útil</v>
      </c>
      <c r="F160" s="36" t="str">
        <f t="shared" si="11"/>
        <v>Dia útil</v>
      </c>
      <c r="G160" s="36" t="str">
        <f t="shared" si="12"/>
        <v>Dia útil</v>
      </c>
    </row>
    <row r="161" spans="2:7" ht="12" customHeight="1">
      <c r="B161" s="43">
        <v>140</v>
      </c>
      <c r="C161" s="44">
        <v>44701</v>
      </c>
      <c r="D161" s="36">
        <f t="shared" si="10"/>
        <v>6</v>
      </c>
      <c r="E161" s="36" t="str">
        <f t="shared" si="13"/>
        <v>Dia útil</v>
      </c>
      <c r="F161" s="36" t="str">
        <f t="shared" si="11"/>
        <v>Dia útil</v>
      </c>
      <c r="G161" s="36" t="str">
        <f t="shared" si="12"/>
        <v>Dia útil</v>
      </c>
    </row>
    <row r="162" spans="2:7" ht="12" customHeight="1">
      <c r="B162" s="43">
        <v>141</v>
      </c>
      <c r="C162" s="44">
        <v>44702</v>
      </c>
      <c r="D162" s="36">
        <f t="shared" si="10"/>
        <v>7</v>
      </c>
      <c r="E162" s="36" t="str">
        <f t="shared" si="13"/>
        <v>Sáb</v>
      </c>
      <c r="F162" s="36" t="str">
        <f t="shared" si="11"/>
        <v>Sáb</v>
      </c>
      <c r="G162" s="36" t="str">
        <f t="shared" si="12"/>
        <v>Sáb</v>
      </c>
    </row>
    <row r="163" spans="2:7" ht="12" customHeight="1">
      <c r="B163" s="43">
        <v>142</v>
      </c>
      <c r="C163" s="44">
        <v>44703</v>
      </c>
      <c r="D163" s="36">
        <f t="shared" si="10"/>
        <v>1</v>
      </c>
      <c r="E163" s="36" t="str">
        <f t="shared" si="13"/>
        <v>Dom</v>
      </c>
      <c r="F163" s="36" t="str">
        <f t="shared" si="11"/>
        <v>Dom</v>
      </c>
      <c r="G163" s="36" t="str">
        <f t="shared" si="12"/>
        <v>Dom</v>
      </c>
    </row>
    <row r="164" spans="2:7" ht="12" customHeight="1">
      <c r="B164" s="43">
        <v>143</v>
      </c>
      <c r="C164" s="44">
        <v>44704</v>
      </c>
      <c r="D164" s="36">
        <f t="shared" si="10"/>
        <v>2</v>
      </c>
      <c r="E164" s="36" t="str">
        <f t="shared" si="13"/>
        <v>Dia útil</v>
      </c>
      <c r="F164" s="36" t="str">
        <f t="shared" si="11"/>
        <v>Dia útil</v>
      </c>
      <c r="G164" s="36" t="str">
        <f t="shared" si="12"/>
        <v>Dia útil</v>
      </c>
    </row>
    <row r="165" spans="2:7" ht="12" customHeight="1">
      <c r="B165" s="43">
        <v>144</v>
      </c>
      <c r="C165" s="44">
        <v>44705</v>
      </c>
      <c r="D165" s="36">
        <f t="shared" si="10"/>
        <v>3</v>
      </c>
      <c r="E165" s="36" t="str">
        <f t="shared" si="13"/>
        <v>Dia útil</v>
      </c>
      <c r="F165" s="36" t="str">
        <f t="shared" si="11"/>
        <v>Dia útil</v>
      </c>
      <c r="G165" s="36" t="str">
        <f t="shared" si="12"/>
        <v>Dia útil</v>
      </c>
    </row>
    <row r="166" spans="2:7" ht="12" customHeight="1">
      <c r="B166" s="43">
        <v>145</v>
      </c>
      <c r="C166" s="44">
        <v>44706</v>
      </c>
      <c r="D166" s="36">
        <f t="shared" si="10"/>
        <v>4</v>
      </c>
      <c r="E166" s="36" t="str">
        <f t="shared" si="13"/>
        <v>Dia útil</v>
      </c>
      <c r="F166" s="36" t="str">
        <f t="shared" si="11"/>
        <v>Dia útil</v>
      </c>
      <c r="G166" s="36" t="str">
        <f t="shared" si="12"/>
        <v>Dia útil</v>
      </c>
    </row>
    <row r="167" spans="2:7" ht="12" customHeight="1">
      <c r="B167" s="43">
        <v>146</v>
      </c>
      <c r="C167" s="44">
        <v>44707</v>
      </c>
      <c r="D167" s="36">
        <f t="shared" si="10"/>
        <v>5</v>
      </c>
      <c r="E167" s="36" t="str">
        <f t="shared" si="13"/>
        <v>Dia útil</v>
      </c>
      <c r="F167" s="36" t="str">
        <f t="shared" si="11"/>
        <v>Dia útil</v>
      </c>
      <c r="G167" s="36" t="str">
        <f t="shared" si="12"/>
        <v>Dia útil</v>
      </c>
    </row>
    <row r="168" spans="2:7" ht="12" customHeight="1">
      <c r="B168" s="43">
        <v>147</v>
      </c>
      <c r="C168" s="44">
        <v>44708</v>
      </c>
      <c r="D168" s="36">
        <f t="shared" si="10"/>
        <v>6</v>
      </c>
      <c r="E168" s="36" t="str">
        <f t="shared" si="13"/>
        <v>Dia útil</v>
      </c>
      <c r="F168" s="36" t="str">
        <f t="shared" si="11"/>
        <v>Dia útil</v>
      </c>
      <c r="G168" s="36" t="str">
        <f t="shared" si="12"/>
        <v>Dia útil</v>
      </c>
    </row>
    <row r="169" spans="2:7" ht="12" customHeight="1">
      <c r="B169" s="43">
        <v>148</v>
      </c>
      <c r="C169" s="44">
        <v>44709</v>
      </c>
      <c r="D169" s="36">
        <f t="shared" si="10"/>
        <v>7</v>
      </c>
      <c r="E169" s="36" t="str">
        <f t="shared" si="13"/>
        <v>Sáb</v>
      </c>
      <c r="F169" s="36" t="str">
        <f t="shared" si="11"/>
        <v>Sáb</v>
      </c>
      <c r="G169" s="36" t="str">
        <f t="shared" si="12"/>
        <v>Sáb</v>
      </c>
    </row>
    <row r="170" spans="2:7" ht="12" customHeight="1">
      <c r="B170" s="43">
        <v>149</v>
      </c>
      <c r="C170" s="44">
        <v>44710</v>
      </c>
      <c r="D170" s="36">
        <f t="shared" si="10"/>
        <v>1</v>
      </c>
      <c r="E170" s="36" t="str">
        <f t="shared" si="13"/>
        <v>Dom</v>
      </c>
      <c r="F170" s="36" t="str">
        <f t="shared" si="11"/>
        <v>Dom</v>
      </c>
      <c r="G170" s="36" t="str">
        <f t="shared" si="12"/>
        <v>Dom</v>
      </c>
    </row>
    <row r="171" spans="2:7" ht="12" customHeight="1">
      <c r="B171" s="43">
        <v>150</v>
      </c>
      <c r="C171" s="44">
        <v>44711</v>
      </c>
      <c r="D171" s="36">
        <f t="shared" si="10"/>
        <v>2</v>
      </c>
      <c r="E171" s="36" t="str">
        <f t="shared" si="13"/>
        <v>Dia útil</v>
      </c>
      <c r="F171" s="36" t="str">
        <f t="shared" si="11"/>
        <v>Dia útil</v>
      </c>
      <c r="G171" s="36" t="str">
        <f t="shared" si="12"/>
        <v>Dia útil</v>
      </c>
    </row>
    <row r="172" spans="2:7" ht="12" customHeight="1">
      <c r="B172" s="43">
        <v>151</v>
      </c>
      <c r="C172" s="44">
        <v>44712</v>
      </c>
      <c r="D172" s="36">
        <f t="shared" si="10"/>
        <v>3</v>
      </c>
      <c r="E172" s="36" t="str">
        <f t="shared" si="13"/>
        <v>Dia útil</v>
      </c>
      <c r="F172" s="36" t="str">
        <f t="shared" si="11"/>
        <v>Dia útil</v>
      </c>
      <c r="G172" s="36" t="str">
        <f t="shared" si="12"/>
        <v>Dia útil</v>
      </c>
    </row>
    <row r="173" spans="2:7" ht="12" customHeight="1">
      <c r="B173" s="43">
        <v>152</v>
      </c>
      <c r="C173" s="44">
        <v>44713</v>
      </c>
      <c r="D173" s="36">
        <f t="shared" si="10"/>
        <v>4</v>
      </c>
      <c r="E173" s="36" t="str">
        <f t="shared" si="13"/>
        <v>Dia útil</v>
      </c>
      <c r="F173" s="36" t="str">
        <f t="shared" si="11"/>
        <v>Dia útil</v>
      </c>
      <c r="G173" s="36" t="str">
        <f t="shared" si="12"/>
        <v>Dia útil</v>
      </c>
    </row>
    <row r="174" spans="2:7" ht="12" customHeight="1">
      <c r="B174" s="43">
        <v>153</v>
      </c>
      <c r="C174" s="44">
        <v>44714</v>
      </c>
      <c r="D174" s="36">
        <f t="shared" si="10"/>
        <v>5</v>
      </c>
      <c r="E174" s="36" t="str">
        <f t="shared" si="13"/>
        <v>Dia útil</v>
      </c>
      <c r="F174" s="36" t="str">
        <f t="shared" si="11"/>
        <v>Dia útil</v>
      </c>
      <c r="G174" s="36" t="str">
        <f t="shared" si="12"/>
        <v>Dia útil</v>
      </c>
    </row>
    <row r="175" spans="2:7" ht="12" customHeight="1">
      <c r="B175" s="43">
        <v>154</v>
      </c>
      <c r="C175" s="44">
        <v>44715</v>
      </c>
      <c r="D175" s="36">
        <f t="shared" si="10"/>
        <v>6</v>
      </c>
      <c r="E175" s="36" t="str">
        <f t="shared" si="13"/>
        <v>Dia útil</v>
      </c>
      <c r="F175" s="36" t="str">
        <f t="shared" si="11"/>
        <v>Dia útil</v>
      </c>
      <c r="G175" s="36" t="str">
        <f t="shared" si="12"/>
        <v>Dia útil</v>
      </c>
    </row>
    <row r="176" spans="2:7" ht="12" customHeight="1">
      <c r="B176" s="43">
        <v>155</v>
      </c>
      <c r="C176" s="44">
        <v>44716</v>
      </c>
      <c r="D176" s="36">
        <f t="shared" si="10"/>
        <v>7</v>
      </c>
      <c r="E176" s="36" t="str">
        <f t="shared" si="13"/>
        <v>Sáb</v>
      </c>
      <c r="F176" s="36" t="str">
        <f t="shared" si="11"/>
        <v>Sáb</v>
      </c>
      <c r="G176" s="36" t="str">
        <f t="shared" si="12"/>
        <v>Sáb</v>
      </c>
    </row>
    <row r="177" spans="2:7" ht="12" customHeight="1">
      <c r="B177" s="43">
        <v>156</v>
      </c>
      <c r="C177" s="44">
        <v>44717</v>
      </c>
      <c r="D177" s="36">
        <f t="shared" si="10"/>
        <v>1</v>
      </c>
      <c r="E177" s="36" t="str">
        <f t="shared" si="13"/>
        <v>Dom</v>
      </c>
      <c r="F177" s="36" t="str">
        <f t="shared" si="11"/>
        <v>Dom</v>
      </c>
      <c r="G177" s="36" t="str">
        <f t="shared" si="12"/>
        <v>Dom</v>
      </c>
    </row>
    <row r="178" spans="2:7" ht="12" customHeight="1">
      <c r="B178" s="43">
        <v>157</v>
      </c>
      <c r="C178" s="44">
        <v>44718</v>
      </c>
      <c r="D178" s="36">
        <f t="shared" si="10"/>
        <v>2</v>
      </c>
      <c r="E178" s="36" t="str">
        <f t="shared" si="13"/>
        <v>Dia útil</v>
      </c>
      <c r="F178" s="36" t="str">
        <f t="shared" si="11"/>
        <v>Dia útil</v>
      </c>
      <c r="G178" s="36" t="str">
        <f t="shared" si="12"/>
        <v>Dia útil</v>
      </c>
    </row>
    <row r="179" spans="2:7" ht="12" customHeight="1">
      <c r="B179" s="43">
        <v>158</v>
      </c>
      <c r="C179" s="44">
        <v>44719</v>
      </c>
      <c r="D179" s="36">
        <f t="shared" si="10"/>
        <v>3</v>
      </c>
      <c r="E179" s="36" t="str">
        <f t="shared" si="13"/>
        <v>Dia útil</v>
      </c>
      <c r="F179" s="36" t="str">
        <f t="shared" si="11"/>
        <v>Dia útil</v>
      </c>
      <c r="G179" s="36" t="str">
        <f t="shared" si="12"/>
        <v>Dia útil</v>
      </c>
    </row>
    <row r="180" spans="2:7" ht="12" customHeight="1">
      <c r="B180" s="43">
        <v>159</v>
      </c>
      <c r="C180" s="44">
        <v>44720</v>
      </c>
      <c r="D180" s="36">
        <f t="shared" si="10"/>
        <v>4</v>
      </c>
      <c r="E180" s="36" t="str">
        <f t="shared" si="13"/>
        <v>Dia útil</v>
      </c>
      <c r="F180" s="46" t="s">
        <v>1725</v>
      </c>
      <c r="G180" s="36" t="str">
        <f t="shared" si="12"/>
        <v>Feriado</v>
      </c>
    </row>
    <row r="181" spans="2:7" ht="12" customHeight="1">
      <c r="B181" s="43">
        <v>160</v>
      </c>
      <c r="C181" s="44">
        <v>44721</v>
      </c>
      <c r="D181" s="36">
        <f t="shared" si="10"/>
        <v>5</v>
      </c>
      <c r="E181" s="36" t="str">
        <f t="shared" si="13"/>
        <v>Dia útil</v>
      </c>
      <c r="F181" s="36" t="str">
        <f t="shared" si="11"/>
        <v>Dia útil</v>
      </c>
      <c r="G181" s="36" t="str">
        <f t="shared" si="12"/>
        <v>Dia útil</v>
      </c>
    </row>
    <row r="182" spans="2:7" ht="12" customHeight="1">
      <c r="B182" s="43">
        <v>161</v>
      </c>
      <c r="C182" s="44">
        <v>44722</v>
      </c>
      <c r="D182" s="36">
        <f t="shared" si="10"/>
        <v>6</v>
      </c>
      <c r="E182" s="36" t="str">
        <f t="shared" si="13"/>
        <v>Dia útil</v>
      </c>
      <c r="F182" s="36" t="str">
        <f t="shared" si="11"/>
        <v>Dia útil</v>
      </c>
      <c r="G182" s="36" t="str">
        <f t="shared" si="12"/>
        <v>Dia útil</v>
      </c>
    </row>
    <row r="183" spans="2:7" ht="12" customHeight="1">
      <c r="B183" s="43">
        <v>162</v>
      </c>
      <c r="C183" s="44">
        <v>44723</v>
      </c>
      <c r="D183" s="36">
        <f t="shared" si="10"/>
        <v>7</v>
      </c>
      <c r="E183" s="36" t="str">
        <f t="shared" si="13"/>
        <v>Sáb</v>
      </c>
      <c r="F183" s="36" t="str">
        <f t="shared" si="11"/>
        <v>Sáb</v>
      </c>
      <c r="G183" s="36" t="str">
        <f t="shared" si="12"/>
        <v>Sáb</v>
      </c>
    </row>
    <row r="184" spans="2:7" ht="12" customHeight="1">
      <c r="B184" s="43">
        <v>163</v>
      </c>
      <c r="C184" s="44">
        <v>44724</v>
      </c>
      <c r="D184" s="36">
        <f t="shared" si="10"/>
        <v>1</v>
      </c>
      <c r="E184" s="36" t="str">
        <f t="shared" si="13"/>
        <v>Dom</v>
      </c>
      <c r="F184" s="36" t="str">
        <f t="shared" si="11"/>
        <v>Dom</v>
      </c>
      <c r="G184" s="36" t="str">
        <f t="shared" si="12"/>
        <v>Dom</v>
      </c>
    </row>
    <row r="185" spans="2:7" ht="12" customHeight="1">
      <c r="B185" s="43">
        <v>164</v>
      </c>
      <c r="C185" s="44">
        <v>44725</v>
      </c>
      <c r="D185" s="36">
        <f t="shared" si="10"/>
        <v>2</v>
      </c>
      <c r="E185" s="36" t="str">
        <f t="shared" si="13"/>
        <v>Dia útil</v>
      </c>
      <c r="F185" s="36" t="str">
        <f t="shared" si="11"/>
        <v>Dia útil</v>
      </c>
      <c r="G185" s="36" t="str">
        <f t="shared" si="12"/>
        <v>Dia útil</v>
      </c>
    </row>
    <row r="186" spans="2:7" ht="12" customHeight="1">
      <c r="B186" s="43">
        <v>165</v>
      </c>
      <c r="C186" s="44">
        <v>44726</v>
      </c>
      <c r="D186" s="36">
        <f t="shared" si="10"/>
        <v>3</v>
      </c>
      <c r="E186" s="36" t="str">
        <f t="shared" si="13"/>
        <v>Dia útil</v>
      </c>
      <c r="F186" s="36" t="str">
        <f t="shared" si="11"/>
        <v>Dia útil</v>
      </c>
      <c r="G186" s="36" t="str">
        <f t="shared" si="12"/>
        <v>Dia útil</v>
      </c>
    </row>
    <row r="187" spans="2:7" ht="12" customHeight="1">
      <c r="B187" s="43">
        <v>166</v>
      </c>
      <c r="C187" s="44">
        <v>44727</v>
      </c>
      <c r="D187" s="36">
        <f t="shared" si="10"/>
        <v>4</v>
      </c>
      <c r="E187" s="36" t="str">
        <f t="shared" si="13"/>
        <v>Dia útil</v>
      </c>
      <c r="F187" s="36" t="str">
        <f t="shared" si="11"/>
        <v>Dia útil</v>
      </c>
      <c r="G187" s="36" t="str">
        <f t="shared" si="12"/>
        <v>Dia útil</v>
      </c>
    </row>
    <row r="188" spans="2:7" ht="12" customHeight="1">
      <c r="B188" s="43">
        <v>167</v>
      </c>
      <c r="C188" s="44">
        <v>44728</v>
      </c>
      <c r="D188" s="36">
        <f t="shared" si="10"/>
        <v>5</v>
      </c>
      <c r="E188" s="36" t="str">
        <f t="shared" si="13"/>
        <v>Dia útil</v>
      </c>
      <c r="F188" s="36" t="str">
        <f t="shared" si="11"/>
        <v>Dia útil</v>
      </c>
      <c r="G188" s="36" t="str">
        <f t="shared" si="12"/>
        <v>Dia útil</v>
      </c>
    </row>
    <row r="189" spans="2:7" ht="12" customHeight="1">
      <c r="B189" s="43">
        <v>168</v>
      </c>
      <c r="C189" s="44">
        <v>44729</v>
      </c>
      <c r="D189" s="36">
        <f t="shared" si="10"/>
        <v>6</v>
      </c>
      <c r="E189" s="36" t="str">
        <f t="shared" si="13"/>
        <v>Dia útil</v>
      </c>
      <c r="F189" s="36" t="str">
        <f t="shared" si="11"/>
        <v>Dia útil</v>
      </c>
      <c r="G189" s="36" t="str">
        <f t="shared" si="12"/>
        <v>Dia útil</v>
      </c>
    </row>
    <row r="190" spans="2:7" ht="12" customHeight="1">
      <c r="B190" s="43">
        <v>169</v>
      </c>
      <c r="C190" s="44">
        <v>44730</v>
      </c>
      <c r="D190" s="36">
        <f t="shared" si="10"/>
        <v>7</v>
      </c>
      <c r="E190" s="36" t="str">
        <f t="shared" si="13"/>
        <v>Sáb</v>
      </c>
      <c r="F190" s="36" t="str">
        <f t="shared" si="11"/>
        <v>Sáb</v>
      </c>
      <c r="G190" s="36" t="str">
        <f t="shared" si="12"/>
        <v>Sáb</v>
      </c>
    </row>
    <row r="191" spans="2:7" ht="12" customHeight="1">
      <c r="B191" s="43">
        <v>170</v>
      </c>
      <c r="C191" s="44">
        <v>44731</v>
      </c>
      <c r="D191" s="36">
        <f t="shared" si="10"/>
        <v>1</v>
      </c>
      <c r="E191" s="36" t="str">
        <f t="shared" si="13"/>
        <v>Dom</v>
      </c>
      <c r="F191" s="36" t="str">
        <f t="shared" si="11"/>
        <v>Dom</v>
      </c>
      <c r="G191" s="36" t="str">
        <f t="shared" si="12"/>
        <v>Dom</v>
      </c>
    </row>
    <row r="192" spans="2:7" ht="12" customHeight="1">
      <c r="B192" s="43">
        <v>171</v>
      </c>
      <c r="C192" s="44">
        <v>44732</v>
      </c>
      <c r="D192" s="36">
        <f t="shared" si="10"/>
        <v>2</v>
      </c>
      <c r="E192" s="36" t="str">
        <f t="shared" si="13"/>
        <v>Dia útil</v>
      </c>
      <c r="F192" s="36" t="str">
        <f t="shared" si="11"/>
        <v>Dia útil</v>
      </c>
      <c r="G192" s="36" t="str">
        <f t="shared" si="12"/>
        <v>Dia útil</v>
      </c>
    </row>
    <row r="193" spans="2:7" ht="12" customHeight="1">
      <c r="B193" s="43">
        <v>172</v>
      </c>
      <c r="C193" s="44">
        <v>44733</v>
      </c>
      <c r="D193" s="36">
        <f t="shared" si="10"/>
        <v>3</v>
      </c>
      <c r="E193" s="36" t="str">
        <f t="shared" si="13"/>
        <v>Dia útil</v>
      </c>
      <c r="F193" s="36" t="str">
        <f t="shared" si="11"/>
        <v>Dia útil</v>
      </c>
      <c r="G193" s="36" t="str">
        <f t="shared" si="12"/>
        <v>Dia útil</v>
      </c>
    </row>
    <row r="194" spans="2:7" ht="12" customHeight="1">
      <c r="B194" s="43">
        <v>173</v>
      </c>
      <c r="C194" s="44">
        <v>44734</v>
      </c>
      <c r="D194" s="36">
        <f t="shared" si="10"/>
        <v>4</v>
      </c>
      <c r="E194" s="36" t="str">
        <f t="shared" si="13"/>
        <v>Dia útil</v>
      </c>
      <c r="F194" s="36" t="str">
        <f t="shared" si="11"/>
        <v>Dia útil</v>
      </c>
      <c r="G194" s="36" t="str">
        <f t="shared" si="12"/>
        <v>Dia útil</v>
      </c>
    </row>
    <row r="195" spans="2:7" ht="12" customHeight="1">
      <c r="B195" s="43">
        <v>174</v>
      </c>
      <c r="C195" s="44">
        <v>44735</v>
      </c>
      <c r="D195" s="36">
        <f t="shared" si="10"/>
        <v>5</v>
      </c>
      <c r="E195" s="36" t="str">
        <f t="shared" si="13"/>
        <v>Dia útil</v>
      </c>
      <c r="F195" s="36" t="str">
        <f t="shared" si="11"/>
        <v>Dia útil</v>
      </c>
      <c r="G195" s="36" t="str">
        <f t="shared" si="12"/>
        <v>Dia útil</v>
      </c>
    </row>
    <row r="196" spans="2:7" ht="12" customHeight="1">
      <c r="B196" s="43">
        <v>175</v>
      </c>
      <c r="C196" s="44">
        <v>44736</v>
      </c>
      <c r="D196" s="36">
        <f t="shared" si="10"/>
        <v>6</v>
      </c>
      <c r="E196" s="36" t="str">
        <f t="shared" si="13"/>
        <v>Dia útil</v>
      </c>
      <c r="F196" s="36" t="str">
        <f t="shared" si="11"/>
        <v>Dia útil</v>
      </c>
      <c r="G196" s="36" t="str">
        <f t="shared" si="12"/>
        <v>Dia útil</v>
      </c>
    </row>
    <row r="197" spans="2:7" ht="12" customHeight="1">
      <c r="B197" s="43">
        <v>176</v>
      </c>
      <c r="C197" s="44">
        <v>44737</v>
      </c>
      <c r="D197" s="36">
        <f t="shared" si="10"/>
        <v>7</v>
      </c>
      <c r="E197" s="36" t="str">
        <f t="shared" si="13"/>
        <v>Sáb</v>
      </c>
      <c r="F197" s="36" t="str">
        <f t="shared" si="11"/>
        <v>Sáb</v>
      </c>
      <c r="G197" s="36" t="str">
        <f t="shared" si="12"/>
        <v>Sáb</v>
      </c>
    </row>
    <row r="198" spans="2:7" ht="12" customHeight="1">
      <c r="B198" s="43">
        <v>177</v>
      </c>
      <c r="C198" s="44">
        <v>44738</v>
      </c>
      <c r="D198" s="36">
        <f t="shared" si="10"/>
        <v>1</v>
      </c>
      <c r="E198" s="36" t="str">
        <f t="shared" si="13"/>
        <v>Dom</v>
      </c>
      <c r="F198" s="36" t="str">
        <f t="shared" si="11"/>
        <v>Dom</v>
      </c>
      <c r="G198" s="36" t="str">
        <f t="shared" si="12"/>
        <v>Dom</v>
      </c>
    </row>
    <row r="199" spans="2:7" ht="12" customHeight="1">
      <c r="B199" s="43">
        <v>178</v>
      </c>
      <c r="C199" s="44">
        <v>44739</v>
      </c>
      <c r="D199" s="36">
        <f t="shared" si="10"/>
        <v>2</v>
      </c>
      <c r="E199" s="36" t="str">
        <f t="shared" si="13"/>
        <v>Dia útil</v>
      </c>
      <c r="F199" s="36" t="str">
        <f t="shared" si="11"/>
        <v>Dia útil</v>
      </c>
      <c r="G199" s="36" t="str">
        <f t="shared" si="12"/>
        <v>Dia útil</v>
      </c>
    </row>
    <row r="200" spans="2:7" ht="12" customHeight="1">
      <c r="B200" s="43">
        <v>179</v>
      </c>
      <c r="C200" s="44">
        <v>44740</v>
      </c>
      <c r="D200" s="36">
        <f t="shared" si="10"/>
        <v>3</v>
      </c>
      <c r="E200" s="36" t="str">
        <f t="shared" si="13"/>
        <v>Dia útil</v>
      </c>
      <c r="F200" s="36" t="str">
        <f t="shared" si="11"/>
        <v>Dia útil</v>
      </c>
      <c r="G200" s="36" t="str">
        <f t="shared" si="12"/>
        <v>Dia útil</v>
      </c>
    </row>
    <row r="201" spans="2:7" ht="12" customHeight="1">
      <c r="B201" s="43">
        <v>180</v>
      </c>
      <c r="C201" s="44">
        <v>44741</v>
      </c>
      <c r="D201" s="36">
        <f t="shared" si="10"/>
        <v>4</v>
      </c>
      <c r="E201" s="36" t="str">
        <f t="shared" si="13"/>
        <v>Dia útil</v>
      </c>
      <c r="F201" s="36" t="str">
        <f t="shared" si="11"/>
        <v>Dia útil</v>
      </c>
      <c r="G201" s="36" t="str">
        <f t="shared" si="12"/>
        <v>Dia útil</v>
      </c>
    </row>
    <row r="202" spans="2:7" ht="12" customHeight="1">
      <c r="B202" s="43">
        <v>181</v>
      </c>
      <c r="C202" s="44">
        <v>44742</v>
      </c>
      <c r="D202" s="36">
        <f t="shared" si="10"/>
        <v>5</v>
      </c>
      <c r="E202" s="36" t="str">
        <f t="shared" si="13"/>
        <v>Dia útil</v>
      </c>
      <c r="F202" s="36" t="str">
        <f t="shared" si="11"/>
        <v>Dia útil</v>
      </c>
      <c r="G202" s="36" t="str">
        <f t="shared" si="12"/>
        <v>Dia útil</v>
      </c>
    </row>
    <row r="203" spans="2:7" ht="12" customHeight="1">
      <c r="B203" s="43">
        <v>182</v>
      </c>
      <c r="C203" s="44">
        <v>44743</v>
      </c>
      <c r="D203" s="36">
        <f t="shared" si="10"/>
        <v>6</v>
      </c>
      <c r="E203" s="36" t="str">
        <f t="shared" si="13"/>
        <v>Dia útil</v>
      </c>
      <c r="F203" s="36" t="str">
        <f t="shared" si="11"/>
        <v>Dia útil</v>
      </c>
      <c r="G203" s="36" t="str">
        <f t="shared" si="12"/>
        <v>Dia útil</v>
      </c>
    </row>
    <row r="204" spans="2:7" ht="12" customHeight="1">
      <c r="B204" s="43">
        <v>183</v>
      </c>
      <c r="C204" s="44">
        <v>44744</v>
      </c>
      <c r="D204" s="36">
        <f t="shared" si="10"/>
        <v>7</v>
      </c>
      <c r="E204" s="36" t="str">
        <f t="shared" si="13"/>
        <v>Sáb</v>
      </c>
      <c r="F204" s="36" t="str">
        <f t="shared" si="11"/>
        <v>Sáb</v>
      </c>
      <c r="G204" s="36" t="str">
        <f t="shared" si="12"/>
        <v>Sáb</v>
      </c>
    </row>
    <row r="205" spans="2:7" ht="12" customHeight="1">
      <c r="B205" s="43">
        <v>184</v>
      </c>
      <c r="C205" s="44">
        <v>44745</v>
      </c>
      <c r="D205" s="36">
        <f t="shared" si="10"/>
        <v>1</v>
      </c>
      <c r="E205" s="36" t="str">
        <f t="shared" si="13"/>
        <v>Dom</v>
      </c>
      <c r="F205" s="36" t="str">
        <f t="shared" si="11"/>
        <v>Dom</v>
      </c>
      <c r="G205" s="36" t="str">
        <f t="shared" si="12"/>
        <v>Dom</v>
      </c>
    </row>
    <row r="206" spans="2:7" ht="12" customHeight="1">
      <c r="B206" s="43">
        <v>185</v>
      </c>
      <c r="C206" s="44">
        <v>44746</v>
      </c>
      <c r="D206" s="36">
        <f t="shared" si="10"/>
        <v>2</v>
      </c>
      <c r="E206" s="36" t="str">
        <f t="shared" si="13"/>
        <v>Dia útil</v>
      </c>
      <c r="F206" s="36" t="str">
        <f t="shared" si="11"/>
        <v>Dia útil</v>
      </c>
      <c r="G206" s="36" t="str">
        <f t="shared" si="12"/>
        <v>Dia útil</v>
      </c>
    </row>
    <row r="207" spans="2:7" ht="12" customHeight="1">
      <c r="B207" s="43">
        <v>186</v>
      </c>
      <c r="C207" s="44">
        <v>44747</v>
      </c>
      <c r="D207" s="36">
        <f t="shared" si="10"/>
        <v>3</v>
      </c>
      <c r="E207" s="36" t="str">
        <f t="shared" si="13"/>
        <v>Dia útil</v>
      </c>
      <c r="F207" s="36" t="str">
        <f t="shared" si="11"/>
        <v>Dia útil</v>
      </c>
      <c r="G207" s="36" t="str">
        <f t="shared" si="12"/>
        <v>Dia útil</v>
      </c>
    </row>
    <row r="208" spans="2:7" ht="12" customHeight="1">
      <c r="B208" s="43">
        <v>187</v>
      </c>
      <c r="C208" s="44">
        <v>44748</v>
      </c>
      <c r="D208" s="36">
        <f t="shared" si="10"/>
        <v>4</v>
      </c>
      <c r="E208" s="36" t="str">
        <f t="shared" si="13"/>
        <v>Dia útil</v>
      </c>
      <c r="F208" s="36" t="str">
        <f t="shared" si="11"/>
        <v>Dia útil</v>
      </c>
      <c r="G208" s="36" t="str">
        <f t="shared" si="12"/>
        <v>Dia útil</v>
      </c>
    </row>
    <row r="209" spans="2:7" ht="12" customHeight="1">
      <c r="B209" s="43">
        <v>188</v>
      </c>
      <c r="C209" s="44">
        <v>44749</v>
      </c>
      <c r="D209" s="36">
        <f t="shared" si="10"/>
        <v>5</v>
      </c>
      <c r="E209" s="36" t="str">
        <f t="shared" si="13"/>
        <v>Dia útil</v>
      </c>
      <c r="F209" s="36" t="str">
        <f t="shared" si="11"/>
        <v>Dia útil</v>
      </c>
      <c r="G209" s="36" t="str">
        <f t="shared" si="12"/>
        <v>Dia útil</v>
      </c>
    </row>
    <row r="210" spans="2:7" ht="12" customHeight="1">
      <c r="B210" s="43">
        <v>189</v>
      </c>
      <c r="C210" s="44">
        <v>44750</v>
      </c>
      <c r="D210" s="36">
        <f t="shared" si="10"/>
        <v>6</v>
      </c>
      <c r="E210" s="36" t="str">
        <f t="shared" si="13"/>
        <v>Dia útil</v>
      </c>
      <c r="F210" s="36" t="str">
        <f t="shared" si="11"/>
        <v>Dia útil</v>
      </c>
      <c r="G210" s="36" t="str">
        <f t="shared" si="12"/>
        <v>Dia útil</v>
      </c>
    </row>
    <row r="211" spans="2:7" ht="12" customHeight="1">
      <c r="B211" s="43">
        <v>190</v>
      </c>
      <c r="C211" s="44">
        <v>44751</v>
      </c>
      <c r="D211" s="36">
        <f t="shared" si="10"/>
        <v>7</v>
      </c>
      <c r="E211" s="36" t="str">
        <f t="shared" si="13"/>
        <v>Sáb</v>
      </c>
      <c r="F211" s="36" t="str">
        <f t="shared" si="11"/>
        <v>Sáb</v>
      </c>
      <c r="G211" s="36" t="str">
        <f t="shared" si="12"/>
        <v>Sáb</v>
      </c>
    </row>
    <row r="212" spans="2:7" ht="12" customHeight="1">
      <c r="B212" s="43">
        <v>191</v>
      </c>
      <c r="C212" s="44">
        <v>44752</v>
      </c>
      <c r="D212" s="36">
        <f t="shared" si="10"/>
        <v>1</v>
      </c>
      <c r="E212" s="36" t="str">
        <f t="shared" si="13"/>
        <v>Dom</v>
      </c>
      <c r="F212" s="36" t="str">
        <f t="shared" si="11"/>
        <v>Dom</v>
      </c>
      <c r="G212" s="36" t="str">
        <f t="shared" si="12"/>
        <v>Dom</v>
      </c>
    </row>
    <row r="213" spans="2:7" ht="12" customHeight="1">
      <c r="B213" s="43">
        <v>192</v>
      </c>
      <c r="C213" s="44">
        <v>44753</v>
      </c>
      <c r="D213" s="36">
        <f t="shared" si="10"/>
        <v>2</v>
      </c>
      <c r="E213" s="36" t="str">
        <f t="shared" si="13"/>
        <v>Dia útil</v>
      </c>
      <c r="F213" s="36" t="str">
        <f t="shared" si="11"/>
        <v>Dia útil</v>
      </c>
      <c r="G213" s="36" t="str">
        <f t="shared" si="12"/>
        <v>Dia útil</v>
      </c>
    </row>
    <row r="214" spans="2:7" ht="12" customHeight="1">
      <c r="B214" s="43">
        <v>193</v>
      </c>
      <c r="C214" s="44">
        <v>44754</v>
      </c>
      <c r="D214" s="36">
        <f t="shared" si="10"/>
        <v>3</v>
      </c>
      <c r="E214" s="36" t="str">
        <f t="shared" si="13"/>
        <v>Dia útil</v>
      </c>
      <c r="F214" s="36" t="str">
        <f t="shared" si="11"/>
        <v>Dia útil</v>
      </c>
      <c r="G214" s="36" t="str">
        <f t="shared" si="12"/>
        <v>Dia útil</v>
      </c>
    </row>
    <row r="215" spans="2:7" ht="12" customHeight="1">
      <c r="B215" s="43">
        <v>194</v>
      </c>
      <c r="C215" s="44">
        <v>44755</v>
      </c>
      <c r="D215" s="36">
        <f t="shared" ref="D215:D278" si="14">WEEKDAY(C215,1)</f>
        <v>4</v>
      </c>
      <c r="E215" s="36" t="str">
        <f t="shared" si="13"/>
        <v>Dia útil</v>
      </c>
      <c r="F215" s="36" t="str">
        <f t="shared" ref="F215:F278" si="15">E215</f>
        <v>Dia útil</v>
      </c>
      <c r="G215" s="36" t="str">
        <f t="shared" ref="G215:G278" si="16">IF(AND(F215="Feriado",OR(E215="Sáb",E215="Dom")),E215,IF(AND(F215="Feriado",E215="Dia útil"),"Feriado",E215))</f>
        <v>Dia útil</v>
      </c>
    </row>
    <row r="216" spans="2:7" ht="12" customHeight="1">
      <c r="B216" s="43">
        <v>195</v>
      </c>
      <c r="C216" s="44">
        <v>44756</v>
      </c>
      <c r="D216" s="36">
        <f t="shared" si="14"/>
        <v>5</v>
      </c>
      <c r="E216" s="36" t="str">
        <f t="shared" si="13"/>
        <v>Dia útil</v>
      </c>
      <c r="F216" s="36" t="str">
        <f t="shared" si="15"/>
        <v>Dia útil</v>
      </c>
      <c r="G216" s="36" t="str">
        <f t="shared" si="16"/>
        <v>Dia útil</v>
      </c>
    </row>
    <row r="217" spans="2:7" ht="12" customHeight="1">
      <c r="B217" s="43">
        <v>196</v>
      </c>
      <c r="C217" s="44">
        <v>44757</v>
      </c>
      <c r="D217" s="36">
        <f t="shared" si="14"/>
        <v>6</v>
      </c>
      <c r="E217" s="36" t="str">
        <f t="shared" ref="E217:E280" si="17">IF(D217=1,"Dom",IF(D217=7,"Sáb","Dia útil"))</f>
        <v>Dia útil</v>
      </c>
      <c r="F217" s="36" t="str">
        <f t="shared" si="15"/>
        <v>Dia útil</v>
      </c>
      <c r="G217" s="36" t="str">
        <f t="shared" si="16"/>
        <v>Dia útil</v>
      </c>
    </row>
    <row r="218" spans="2:7" ht="12" customHeight="1">
      <c r="B218" s="43">
        <v>197</v>
      </c>
      <c r="C218" s="44">
        <v>44758</v>
      </c>
      <c r="D218" s="36">
        <f t="shared" si="14"/>
        <v>7</v>
      </c>
      <c r="E218" s="36" t="str">
        <f t="shared" si="17"/>
        <v>Sáb</v>
      </c>
      <c r="F218" s="36" t="str">
        <f t="shared" si="15"/>
        <v>Sáb</v>
      </c>
      <c r="G218" s="36" t="str">
        <f t="shared" si="16"/>
        <v>Sáb</v>
      </c>
    </row>
    <row r="219" spans="2:7" ht="12" customHeight="1">
      <c r="B219" s="43">
        <v>198</v>
      </c>
      <c r="C219" s="44">
        <v>44759</v>
      </c>
      <c r="D219" s="36">
        <f t="shared" si="14"/>
        <v>1</v>
      </c>
      <c r="E219" s="36" t="str">
        <f t="shared" si="17"/>
        <v>Dom</v>
      </c>
      <c r="F219" s="36" t="str">
        <f t="shared" si="15"/>
        <v>Dom</v>
      </c>
      <c r="G219" s="36" t="str">
        <f t="shared" si="16"/>
        <v>Dom</v>
      </c>
    </row>
    <row r="220" spans="2:7" ht="12" customHeight="1">
      <c r="B220" s="43">
        <v>199</v>
      </c>
      <c r="C220" s="44">
        <v>44760</v>
      </c>
      <c r="D220" s="36">
        <f t="shared" si="14"/>
        <v>2</v>
      </c>
      <c r="E220" s="36" t="str">
        <f t="shared" si="17"/>
        <v>Dia útil</v>
      </c>
      <c r="F220" s="36" t="str">
        <f t="shared" si="15"/>
        <v>Dia útil</v>
      </c>
      <c r="G220" s="36" t="str">
        <f t="shared" si="16"/>
        <v>Dia útil</v>
      </c>
    </row>
    <row r="221" spans="2:7" ht="12" customHeight="1">
      <c r="B221" s="43">
        <v>200</v>
      </c>
      <c r="C221" s="44">
        <v>44761</v>
      </c>
      <c r="D221" s="36">
        <f t="shared" si="14"/>
        <v>3</v>
      </c>
      <c r="E221" s="36" t="str">
        <f t="shared" si="17"/>
        <v>Dia útil</v>
      </c>
      <c r="F221" s="36" t="str">
        <f t="shared" si="15"/>
        <v>Dia útil</v>
      </c>
      <c r="G221" s="36" t="str">
        <f t="shared" si="16"/>
        <v>Dia útil</v>
      </c>
    </row>
    <row r="222" spans="2:7" ht="12" customHeight="1">
      <c r="B222" s="43">
        <v>201</v>
      </c>
      <c r="C222" s="44">
        <v>44762</v>
      </c>
      <c r="D222" s="36">
        <f t="shared" si="14"/>
        <v>4</v>
      </c>
      <c r="E222" s="36" t="str">
        <f t="shared" si="17"/>
        <v>Dia útil</v>
      </c>
      <c r="F222" s="36" t="str">
        <f t="shared" si="15"/>
        <v>Dia útil</v>
      </c>
      <c r="G222" s="36" t="str">
        <f t="shared" si="16"/>
        <v>Dia útil</v>
      </c>
    </row>
    <row r="223" spans="2:7" ht="12" customHeight="1">
      <c r="B223" s="43">
        <v>202</v>
      </c>
      <c r="C223" s="44">
        <v>44763</v>
      </c>
      <c r="D223" s="36">
        <f t="shared" si="14"/>
        <v>5</v>
      </c>
      <c r="E223" s="36" t="str">
        <f t="shared" si="17"/>
        <v>Dia útil</v>
      </c>
      <c r="F223" s="36" t="str">
        <f t="shared" si="15"/>
        <v>Dia útil</v>
      </c>
      <c r="G223" s="36" t="str">
        <f t="shared" si="16"/>
        <v>Dia útil</v>
      </c>
    </row>
    <row r="224" spans="2:7" ht="12" customHeight="1">
      <c r="B224" s="43">
        <v>203</v>
      </c>
      <c r="C224" s="44">
        <v>44764</v>
      </c>
      <c r="D224" s="36">
        <f t="shared" si="14"/>
        <v>6</v>
      </c>
      <c r="E224" s="36" t="str">
        <f t="shared" si="17"/>
        <v>Dia útil</v>
      </c>
      <c r="F224" s="36" t="str">
        <f t="shared" si="15"/>
        <v>Dia útil</v>
      </c>
      <c r="G224" s="36" t="str">
        <f t="shared" si="16"/>
        <v>Dia útil</v>
      </c>
    </row>
    <row r="225" spans="2:7" ht="12" customHeight="1">
      <c r="B225" s="43">
        <v>204</v>
      </c>
      <c r="C225" s="44">
        <v>44765</v>
      </c>
      <c r="D225" s="36">
        <f t="shared" si="14"/>
        <v>7</v>
      </c>
      <c r="E225" s="36" t="str">
        <f t="shared" si="17"/>
        <v>Sáb</v>
      </c>
      <c r="F225" s="36" t="str">
        <f t="shared" si="15"/>
        <v>Sáb</v>
      </c>
      <c r="G225" s="36" t="str">
        <f t="shared" si="16"/>
        <v>Sáb</v>
      </c>
    </row>
    <row r="226" spans="2:7" ht="12" customHeight="1">
      <c r="B226" s="43">
        <v>205</v>
      </c>
      <c r="C226" s="44">
        <v>44766</v>
      </c>
      <c r="D226" s="36">
        <f t="shared" si="14"/>
        <v>1</v>
      </c>
      <c r="E226" s="36" t="str">
        <f t="shared" si="17"/>
        <v>Dom</v>
      </c>
      <c r="F226" s="36" t="str">
        <f t="shared" si="15"/>
        <v>Dom</v>
      </c>
      <c r="G226" s="36" t="str">
        <f t="shared" si="16"/>
        <v>Dom</v>
      </c>
    </row>
    <row r="227" spans="2:7" ht="12" customHeight="1">
      <c r="B227" s="43">
        <v>206</v>
      </c>
      <c r="C227" s="44">
        <v>44767</v>
      </c>
      <c r="D227" s="36">
        <f t="shared" si="14"/>
        <v>2</v>
      </c>
      <c r="E227" s="36" t="str">
        <f t="shared" si="17"/>
        <v>Dia útil</v>
      </c>
      <c r="F227" s="36" t="str">
        <f t="shared" si="15"/>
        <v>Dia útil</v>
      </c>
      <c r="G227" s="36" t="str">
        <f t="shared" si="16"/>
        <v>Dia útil</v>
      </c>
    </row>
    <row r="228" spans="2:7" ht="12" customHeight="1">
      <c r="B228" s="43">
        <v>207</v>
      </c>
      <c r="C228" s="44">
        <v>44768</v>
      </c>
      <c r="D228" s="36">
        <f t="shared" si="14"/>
        <v>3</v>
      </c>
      <c r="E228" s="36" t="str">
        <f t="shared" si="17"/>
        <v>Dia útil</v>
      </c>
      <c r="F228" s="36" t="str">
        <f t="shared" si="15"/>
        <v>Dia útil</v>
      </c>
      <c r="G228" s="36" t="str">
        <f t="shared" si="16"/>
        <v>Dia útil</v>
      </c>
    </row>
    <row r="229" spans="2:7" ht="12" customHeight="1">
      <c r="B229" s="43">
        <v>208</v>
      </c>
      <c r="C229" s="44">
        <v>44769</v>
      </c>
      <c r="D229" s="36">
        <f t="shared" si="14"/>
        <v>4</v>
      </c>
      <c r="E229" s="36" t="str">
        <f t="shared" si="17"/>
        <v>Dia útil</v>
      </c>
      <c r="F229" s="36" t="str">
        <f t="shared" si="15"/>
        <v>Dia útil</v>
      </c>
      <c r="G229" s="36" t="str">
        <f t="shared" si="16"/>
        <v>Dia útil</v>
      </c>
    </row>
    <row r="230" spans="2:7" ht="12" customHeight="1">
      <c r="B230" s="43">
        <v>209</v>
      </c>
      <c r="C230" s="44">
        <v>44770</v>
      </c>
      <c r="D230" s="36">
        <f t="shared" si="14"/>
        <v>5</v>
      </c>
      <c r="E230" s="36" t="str">
        <f t="shared" si="17"/>
        <v>Dia útil</v>
      </c>
      <c r="F230" s="36" t="str">
        <f t="shared" si="15"/>
        <v>Dia útil</v>
      </c>
      <c r="G230" s="36" t="str">
        <f t="shared" si="16"/>
        <v>Dia útil</v>
      </c>
    </row>
    <row r="231" spans="2:7" ht="12" customHeight="1">
      <c r="B231" s="43">
        <v>210</v>
      </c>
      <c r="C231" s="44">
        <v>44771</v>
      </c>
      <c r="D231" s="36">
        <f t="shared" si="14"/>
        <v>6</v>
      </c>
      <c r="E231" s="36" t="str">
        <f t="shared" si="17"/>
        <v>Dia útil</v>
      </c>
      <c r="F231" s="36" t="str">
        <f t="shared" si="15"/>
        <v>Dia útil</v>
      </c>
      <c r="G231" s="36" t="str">
        <f t="shared" si="16"/>
        <v>Dia útil</v>
      </c>
    </row>
    <row r="232" spans="2:7" ht="12" customHeight="1">
      <c r="B232" s="43">
        <v>211</v>
      </c>
      <c r="C232" s="44">
        <v>44772</v>
      </c>
      <c r="D232" s="36">
        <f t="shared" si="14"/>
        <v>7</v>
      </c>
      <c r="E232" s="36" t="str">
        <f t="shared" si="17"/>
        <v>Sáb</v>
      </c>
      <c r="F232" s="36" t="str">
        <f t="shared" si="15"/>
        <v>Sáb</v>
      </c>
      <c r="G232" s="36" t="str">
        <f t="shared" si="16"/>
        <v>Sáb</v>
      </c>
    </row>
    <row r="233" spans="2:7" ht="12" customHeight="1">
      <c r="B233" s="43">
        <v>212</v>
      </c>
      <c r="C233" s="44">
        <v>44773</v>
      </c>
      <c r="D233" s="36">
        <f t="shared" si="14"/>
        <v>1</v>
      </c>
      <c r="E233" s="36" t="str">
        <f t="shared" si="17"/>
        <v>Dom</v>
      </c>
      <c r="F233" s="36" t="str">
        <f t="shared" si="15"/>
        <v>Dom</v>
      </c>
      <c r="G233" s="36" t="str">
        <f t="shared" si="16"/>
        <v>Dom</v>
      </c>
    </row>
    <row r="234" spans="2:7" ht="12" customHeight="1">
      <c r="B234" s="43">
        <v>213</v>
      </c>
      <c r="C234" s="44">
        <v>44774</v>
      </c>
      <c r="D234" s="36">
        <f t="shared" si="14"/>
        <v>2</v>
      </c>
      <c r="E234" s="36" t="str">
        <f t="shared" si="17"/>
        <v>Dia útil</v>
      </c>
      <c r="F234" s="36" t="str">
        <f t="shared" si="15"/>
        <v>Dia útil</v>
      </c>
      <c r="G234" s="36" t="str">
        <f t="shared" si="16"/>
        <v>Dia útil</v>
      </c>
    </row>
    <row r="235" spans="2:7" ht="12" customHeight="1">
      <c r="B235" s="43">
        <v>214</v>
      </c>
      <c r="C235" s="44">
        <v>44775</v>
      </c>
      <c r="D235" s="36">
        <f t="shared" si="14"/>
        <v>3</v>
      </c>
      <c r="E235" s="36" t="str">
        <f t="shared" si="17"/>
        <v>Dia útil</v>
      </c>
      <c r="F235" s="36" t="str">
        <f t="shared" si="15"/>
        <v>Dia útil</v>
      </c>
      <c r="G235" s="36" t="str">
        <f t="shared" si="16"/>
        <v>Dia útil</v>
      </c>
    </row>
    <row r="236" spans="2:7" ht="12" customHeight="1">
      <c r="B236" s="43">
        <v>215</v>
      </c>
      <c r="C236" s="44">
        <v>44776</v>
      </c>
      <c r="D236" s="36">
        <f t="shared" si="14"/>
        <v>4</v>
      </c>
      <c r="E236" s="36" t="str">
        <f t="shared" si="17"/>
        <v>Dia útil</v>
      </c>
      <c r="F236" s="36" t="str">
        <f t="shared" si="15"/>
        <v>Dia útil</v>
      </c>
      <c r="G236" s="36" t="str">
        <f t="shared" si="16"/>
        <v>Dia útil</v>
      </c>
    </row>
    <row r="237" spans="2:7" ht="12" customHeight="1">
      <c r="B237" s="43">
        <v>216</v>
      </c>
      <c r="C237" s="44">
        <v>44777</v>
      </c>
      <c r="D237" s="36">
        <f t="shared" si="14"/>
        <v>5</v>
      </c>
      <c r="E237" s="36" t="str">
        <f t="shared" si="17"/>
        <v>Dia útil</v>
      </c>
      <c r="F237" s="36" t="str">
        <f t="shared" si="15"/>
        <v>Dia útil</v>
      </c>
      <c r="G237" s="36" t="str">
        <f t="shared" si="16"/>
        <v>Dia útil</v>
      </c>
    </row>
    <row r="238" spans="2:7" ht="12" customHeight="1">
      <c r="B238" s="43">
        <v>217</v>
      </c>
      <c r="C238" s="44">
        <v>44778</v>
      </c>
      <c r="D238" s="36">
        <f t="shared" si="14"/>
        <v>6</v>
      </c>
      <c r="E238" s="36" t="str">
        <f t="shared" si="17"/>
        <v>Dia útil</v>
      </c>
      <c r="F238" s="36" t="str">
        <f t="shared" si="15"/>
        <v>Dia útil</v>
      </c>
      <c r="G238" s="36" t="str">
        <f t="shared" si="16"/>
        <v>Dia útil</v>
      </c>
    </row>
    <row r="239" spans="2:7" ht="12" customHeight="1">
      <c r="B239" s="43">
        <v>218</v>
      </c>
      <c r="C239" s="44">
        <v>44779</v>
      </c>
      <c r="D239" s="36">
        <f t="shared" si="14"/>
        <v>7</v>
      </c>
      <c r="E239" s="36" t="str">
        <f t="shared" si="17"/>
        <v>Sáb</v>
      </c>
      <c r="F239" s="36" t="str">
        <f t="shared" si="15"/>
        <v>Sáb</v>
      </c>
      <c r="G239" s="36" t="str">
        <f t="shared" si="16"/>
        <v>Sáb</v>
      </c>
    </row>
    <row r="240" spans="2:7" ht="12" customHeight="1">
      <c r="B240" s="43">
        <v>219</v>
      </c>
      <c r="C240" s="44">
        <v>44780</v>
      </c>
      <c r="D240" s="36">
        <f t="shared" si="14"/>
        <v>1</v>
      </c>
      <c r="E240" s="36" t="str">
        <f t="shared" si="17"/>
        <v>Dom</v>
      </c>
      <c r="F240" s="36" t="str">
        <f t="shared" si="15"/>
        <v>Dom</v>
      </c>
      <c r="G240" s="36" t="str">
        <f t="shared" si="16"/>
        <v>Dom</v>
      </c>
    </row>
    <row r="241" spans="2:7" ht="12" customHeight="1">
      <c r="B241" s="43">
        <v>220</v>
      </c>
      <c r="C241" s="44">
        <v>44781</v>
      </c>
      <c r="D241" s="36">
        <f t="shared" si="14"/>
        <v>2</v>
      </c>
      <c r="E241" s="36" t="str">
        <f t="shared" si="17"/>
        <v>Dia útil</v>
      </c>
      <c r="F241" s="36" t="str">
        <f t="shared" si="15"/>
        <v>Dia útil</v>
      </c>
      <c r="G241" s="36" t="str">
        <f t="shared" si="16"/>
        <v>Dia útil</v>
      </c>
    </row>
    <row r="242" spans="2:7" ht="12" customHeight="1">
      <c r="B242" s="43">
        <v>221</v>
      </c>
      <c r="C242" s="44">
        <v>44782</v>
      </c>
      <c r="D242" s="36">
        <f t="shared" si="14"/>
        <v>3</v>
      </c>
      <c r="E242" s="36" t="str">
        <f t="shared" si="17"/>
        <v>Dia útil</v>
      </c>
      <c r="F242" s="36" t="str">
        <f t="shared" si="15"/>
        <v>Dia útil</v>
      </c>
      <c r="G242" s="36" t="str">
        <f t="shared" si="16"/>
        <v>Dia útil</v>
      </c>
    </row>
    <row r="243" spans="2:7" ht="12" customHeight="1">
      <c r="B243" s="43">
        <v>222</v>
      </c>
      <c r="C243" s="44">
        <v>44783</v>
      </c>
      <c r="D243" s="36">
        <f t="shared" si="14"/>
        <v>4</v>
      </c>
      <c r="E243" s="36" t="str">
        <f t="shared" si="17"/>
        <v>Dia útil</v>
      </c>
      <c r="F243" s="36" t="str">
        <f t="shared" si="15"/>
        <v>Dia útil</v>
      </c>
      <c r="G243" s="36" t="str">
        <f t="shared" si="16"/>
        <v>Dia útil</v>
      </c>
    </row>
    <row r="244" spans="2:7" ht="12" customHeight="1">
      <c r="B244" s="43">
        <v>223</v>
      </c>
      <c r="C244" s="44">
        <v>44784</v>
      </c>
      <c r="D244" s="36">
        <f t="shared" si="14"/>
        <v>5</v>
      </c>
      <c r="E244" s="36" t="str">
        <f t="shared" si="17"/>
        <v>Dia útil</v>
      </c>
      <c r="F244" s="36" t="str">
        <f t="shared" si="15"/>
        <v>Dia útil</v>
      </c>
      <c r="G244" s="36" t="str">
        <f t="shared" si="16"/>
        <v>Dia útil</v>
      </c>
    </row>
    <row r="245" spans="2:7" ht="12" customHeight="1">
      <c r="B245" s="43">
        <v>224</v>
      </c>
      <c r="C245" s="44">
        <v>44785</v>
      </c>
      <c r="D245" s="36">
        <f t="shared" si="14"/>
        <v>6</v>
      </c>
      <c r="E245" s="36" t="str">
        <f t="shared" si="17"/>
        <v>Dia útil</v>
      </c>
      <c r="F245" s="36" t="str">
        <f t="shared" si="15"/>
        <v>Dia útil</v>
      </c>
      <c r="G245" s="36" t="str">
        <f t="shared" si="16"/>
        <v>Dia útil</v>
      </c>
    </row>
    <row r="246" spans="2:7" ht="12" customHeight="1">
      <c r="B246" s="43">
        <v>225</v>
      </c>
      <c r="C246" s="44">
        <v>44786</v>
      </c>
      <c r="D246" s="36">
        <f t="shared" si="14"/>
        <v>7</v>
      </c>
      <c r="E246" s="36" t="str">
        <f t="shared" si="17"/>
        <v>Sáb</v>
      </c>
      <c r="F246" s="36" t="str">
        <f t="shared" si="15"/>
        <v>Sáb</v>
      </c>
      <c r="G246" s="36" t="str">
        <f t="shared" si="16"/>
        <v>Sáb</v>
      </c>
    </row>
    <row r="247" spans="2:7" ht="12" customHeight="1">
      <c r="B247" s="43">
        <v>226</v>
      </c>
      <c r="C247" s="44">
        <v>44787</v>
      </c>
      <c r="D247" s="36">
        <f t="shared" si="14"/>
        <v>1</v>
      </c>
      <c r="E247" s="36" t="str">
        <f t="shared" si="17"/>
        <v>Dom</v>
      </c>
      <c r="F247" s="36" t="str">
        <f t="shared" si="15"/>
        <v>Dom</v>
      </c>
      <c r="G247" s="36" t="str">
        <f t="shared" si="16"/>
        <v>Dom</v>
      </c>
    </row>
    <row r="248" spans="2:7" ht="12" customHeight="1">
      <c r="B248" s="43">
        <v>227</v>
      </c>
      <c r="C248" s="44">
        <v>44788</v>
      </c>
      <c r="D248" s="36">
        <f t="shared" si="14"/>
        <v>2</v>
      </c>
      <c r="E248" s="36" t="str">
        <f t="shared" si="17"/>
        <v>Dia útil</v>
      </c>
      <c r="F248" s="36" t="str">
        <f t="shared" si="15"/>
        <v>Dia útil</v>
      </c>
      <c r="G248" s="36" t="str">
        <f t="shared" si="16"/>
        <v>Dia útil</v>
      </c>
    </row>
    <row r="249" spans="2:7" ht="12" customHeight="1">
      <c r="B249" s="43">
        <v>228</v>
      </c>
      <c r="C249" s="44">
        <v>44789</v>
      </c>
      <c r="D249" s="36">
        <f t="shared" si="14"/>
        <v>3</v>
      </c>
      <c r="E249" s="36" t="str">
        <f t="shared" si="17"/>
        <v>Dia útil</v>
      </c>
      <c r="F249" s="36" t="str">
        <f t="shared" si="15"/>
        <v>Dia útil</v>
      </c>
      <c r="G249" s="36" t="str">
        <f t="shared" si="16"/>
        <v>Dia útil</v>
      </c>
    </row>
    <row r="250" spans="2:7" ht="12" customHeight="1">
      <c r="B250" s="43">
        <v>229</v>
      </c>
      <c r="C250" s="44">
        <v>44790</v>
      </c>
      <c r="D250" s="36">
        <f t="shared" si="14"/>
        <v>4</v>
      </c>
      <c r="E250" s="36" t="str">
        <f t="shared" si="17"/>
        <v>Dia útil</v>
      </c>
      <c r="F250" s="36" t="str">
        <f t="shared" si="15"/>
        <v>Dia útil</v>
      </c>
      <c r="G250" s="36" t="str">
        <f t="shared" si="16"/>
        <v>Dia útil</v>
      </c>
    </row>
    <row r="251" spans="2:7" ht="12" customHeight="1">
      <c r="B251" s="43">
        <v>230</v>
      </c>
      <c r="C251" s="44">
        <v>44791</v>
      </c>
      <c r="D251" s="36">
        <f t="shared" si="14"/>
        <v>5</v>
      </c>
      <c r="E251" s="36" t="str">
        <f t="shared" si="17"/>
        <v>Dia útil</v>
      </c>
      <c r="F251" s="36" t="str">
        <f t="shared" si="15"/>
        <v>Dia útil</v>
      </c>
      <c r="G251" s="36" t="str">
        <f t="shared" si="16"/>
        <v>Dia útil</v>
      </c>
    </row>
    <row r="252" spans="2:7" ht="12" customHeight="1">
      <c r="B252" s="43">
        <v>231</v>
      </c>
      <c r="C252" s="44">
        <v>44792</v>
      </c>
      <c r="D252" s="36">
        <f t="shared" si="14"/>
        <v>6</v>
      </c>
      <c r="E252" s="36" t="str">
        <f t="shared" si="17"/>
        <v>Dia útil</v>
      </c>
      <c r="F252" s="36" t="str">
        <f t="shared" si="15"/>
        <v>Dia útil</v>
      </c>
      <c r="G252" s="36" t="str">
        <f t="shared" si="16"/>
        <v>Dia útil</v>
      </c>
    </row>
    <row r="253" spans="2:7" ht="12" customHeight="1">
      <c r="B253" s="43">
        <v>232</v>
      </c>
      <c r="C253" s="44">
        <v>44793</v>
      </c>
      <c r="D253" s="36">
        <f t="shared" si="14"/>
        <v>7</v>
      </c>
      <c r="E253" s="36" t="str">
        <f t="shared" si="17"/>
        <v>Sáb</v>
      </c>
      <c r="F253" s="36" t="str">
        <f t="shared" si="15"/>
        <v>Sáb</v>
      </c>
      <c r="G253" s="36" t="str">
        <f t="shared" si="16"/>
        <v>Sáb</v>
      </c>
    </row>
    <row r="254" spans="2:7" ht="12" customHeight="1">
      <c r="B254" s="43">
        <v>233</v>
      </c>
      <c r="C254" s="44">
        <v>44794</v>
      </c>
      <c r="D254" s="36">
        <f t="shared" si="14"/>
        <v>1</v>
      </c>
      <c r="E254" s="36" t="str">
        <f t="shared" si="17"/>
        <v>Dom</v>
      </c>
      <c r="F254" s="36" t="str">
        <f t="shared" si="15"/>
        <v>Dom</v>
      </c>
      <c r="G254" s="36" t="str">
        <f t="shared" si="16"/>
        <v>Dom</v>
      </c>
    </row>
    <row r="255" spans="2:7" ht="12" customHeight="1">
      <c r="B255" s="43">
        <v>234</v>
      </c>
      <c r="C255" s="44">
        <v>44795</v>
      </c>
      <c r="D255" s="36">
        <f t="shared" si="14"/>
        <v>2</v>
      </c>
      <c r="E255" s="36" t="str">
        <f t="shared" si="17"/>
        <v>Dia útil</v>
      </c>
      <c r="F255" s="36" t="str">
        <f t="shared" si="15"/>
        <v>Dia útil</v>
      </c>
      <c r="G255" s="36" t="str">
        <f t="shared" si="16"/>
        <v>Dia útil</v>
      </c>
    </row>
    <row r="256" spans="2:7" ht="12" customHeight="1">
      <c r="B256" s="43">
        <v>235</v>
      </c>
      <c r="C256" s="44">
        <v>44796</v>
      </c>
      <c r="D256" s="36">
        <f t="shared" si="14"/>
        <v>3</v>
      </c>
      <c r="E256" s="36" t="str">
        <f t="shared" si="17"/>
        <v>Dia útil</v>
      </c>
      <c r="F256" s="36" t="str">
        <f t="shared" si="15"/>
        <v>Dia útil</v>
      </c>
      <c r="G256" s="36" t="str">
        <f t="shared" si="16"/>
        <v>Dia útil</v>
      </c>
    </row>
    <row r="257" spans="2:7" ht="12" customHeight="1">
      <c r="B257" s="43">
        <v>236</v>
      </c>
      <c r="C257" s="44">
        <v>44797</v>
      </c>
      <c r="D257" s="36">
        <f t="shared" si="14"/>
        <v>4</v>
      </c>
      <c r="E257" s="36" t="str">
        <f t="shared" si="17"/>
        <v>Dia útil</v>
      </c>
      <c r="F257" s="36" t="str">
        <f t="shared" si="15"/>
        <v>Dia útil</v>
      </c>
      <c r="G257" s="36" t="str">
        <f t="shared" si="16"/>
        <v>Dia útil</v>
      </c>
    </row>
    <row r="258" spans="2:7" ht="12" customHeight="1">
      <c r="B258" s="43">
        <v>237</v>
      </c>
      <c r="C258" s="44">
        <v>44798</v>
      </c>
      <c r="D258" s="36">
        <f t="shared" si="14"/>
        <v>5</v>
      </c>
      <c r="E258" s="36" t="str">
        <f t="shared" si="17"/>
        <v>Dia útil</v>
      </c>
      <c r="F258" s="36" t="str">
        <f t="shared" si="15"/>
        <v>Dia útil</v>
      </c>
      <c r="G258" s="36" t="str">
        <f t="shared" si="16"/>
        <v>Dia útil</v>
      </c>
    </row>
    <row r="259" spans="2:7" ht="12" customHeight="1">
      <c r="B259" s="43">
        <v>238</v>
      </c>
      <c r="C259" s="44">
        <v>44799</v>
      </c>
      <c r="D259" s="36">
        <f t="shared" si="14"/>
        <v>6</v>
      </c>
      <c r="E259" s="36" t="str">
        <f t="shared" si="17"/>
        <v>Dia útil</v>
      </c>
      <c r="F259" s="36" t="str">
        <f t="shared" si="15"/>
        <v>Dia útil</v>
      </c>
      <c r="G259" s="36" t="str">
        <f t="shared" si="16"/>
        <v>Dia útil</v>
      </c>
    </row>
    <row r="260" spans="2:7" ht="12" customHeight="1">
      <c r="B260" s="43">
        <v>239</v>
      </c>
      <c r="C260" s="44">
        <v>44800</v>
      </c>
      <c r="D260" s="36">
        <f t="shared" si="14"/>
        <v>7</v>
      </c>
      <c r="E260" s="36" t="str">
        <f t="shared" si="17"/>
        <v>Sáb</v>
      </c>
      <c r="F260" s="36" t="str">
        <f t="shared" si="15"/>
        <v>Sáb</v>
      </c>
      <c r="G260" s="36" t="str">
        <f t="shared" si="16"/>
        <v>Sáb</v>
      </c>
    </row>
    <row r="261" spans="2:7" ht="12" customHeight="1">
      <c r="B261" s="43">
        <v>240</v>
      </c>
      <c r="C261" s="44">
        <v>44801</v>
      </c>
      <c r="D261" s="36">
        <f t="shared" si="14"/>
        <v>1</v>
      </c>
      <c r="E261" s="36" t="str">
        <f t="shared" si="17"/>
        <v>Dom</v>
      </c>
      <c r="F261" s="36" t="str">
        <f t="shared" si="15"/>
        <v>Dom</v>
      </c>
      <c r="G261" s="36" t="str">
        <f t="shared" si="16"/>
        <v>Dom</v>
      </c>
    </row>
    <row r="262" spans="2:7" ht="12" customHeight="1">
      <c r="B262" s="43">
        <v>241</v>
      </c>
      <c r="C262" s="44">
        <v>44802</v>
      </c>
      <c r="D262" s="36">
        <f t="shared" si="14"/>
        <v>2</v>
      </c>
      <c r="E262" s="36" t="str">
        <f t="shared" si="17"/>
        <v>Dia útil</v>
      </c>
      <c r="F262" s="36" t="str">
        <f t="shared" si="15"/>
        <v>Dia útil</v>
      </c>
      <c r="G262" s="36" t="str">
        <f t="shared" si="16"/>
        <v>Dia útil</v>
      </c>
    </row>
    <row r="263" spans="2:7" ht="12" customHeight="1">
      <c r="B263" s="43">
        <v>242</v>
      </c>
      <c r="C263" s="44">
        <v>44803</v>
      </c>
      <c r="D263" s="36">
        <f t="shared" si="14"/>
        <v>3</v>
      </c>
      <c r="E263" s="36" t="str">
        <f t="shared" si="17"/>
        <v>Dia útil</v>
      </c>
      <c r="F263" s="36" t="str">
        <f t="shared" si="15"/>
        <v>Dia útil</v>
      </c>
      <c r="G263" s="36" t="str">
        <f t="shared" si="16"/>
        <v>Dia útil</v>
      </c>
    </row>
    <row r="264" spans="2:7" ht="12" customHeight="1">
      <c r="B264" s="43">
        <v>243</v>
      </c>
      <c r="C264" s="44">
        <v>44804</v>
      </c>
      <c r="D264" s="36">
        <f t="shared" si="14"/>
        <v>4</v>
      </c>
      <c r="E264" s="36" t="str">
        <f t="shared" si="17"/>
        <v>Dia útil</v>
      </c>
      <c r="F264" s="36" t="str">
        <f t="shared" si="15"/>
        <v>Dia útil</v>
      </c>
      <c r="G264" s="36" t="str">
        <f t="shared" si="16"/>
        <v>Dia útil</v>
      </c>
    </row>
    <row r="265" spans="2:7" ht="12" customHeight="1">
      <c r="B265" s="43">
        <v>244</v>
      </c>
      <c r="C265" s="44">
        <v>44805</v>
      </c>
      <c r="D265" s="36">
        <f t="shared" si="14"/>
        <v>5</v>
      </c>
      <c r="E265" s="36" t="str">
        <f t="shared" si="17"/>
        <v>Dia útil</v>
      </c>
      <c r="F265" s="36" t="str">
        <f t="shared" si="15"/>
        <v>Dia útil</v>
      </c>
      <c r="G265" s="36" t="str">
        <f t="shared" si="16"/>
        <v>Dia útil</v>
      </c>
    </row>
    <row r="266" spans="2:7" ht="12" customHeight="1">
      <c r="B266" s="43">
        <v>245</v>
      </c>
      <c r="C266" s="44">
        <v>44806</v>
      </c>
      <c r="D266" s="36">
        <f t="shared" si="14"/>
        <v>6</v>
      </c>
      <c r="E266" s="36" t="str">
        <f t="shared" si="17"/>
        <v>Dia útil</v>
      </c>
      <c r="F266" s="36" t="str">
        <f t="shared" si="15"/>
        <v>Dia útil</v>
      </c>
      <c r="G266" s="36" t="str">
        <f t="shared" si="16"/>
        <v>Dia útil</v>
      </c>
    </row>
    <row r="267" spans="2:7" ht="12" customHeight="1">
      <c r="B267" s="43">
        <v>246</v>
      </c>
      <c r="C267" s="44">
        <v>44807</v>
      </c>
      <c r="D267" s="36">
        <f t="shared" si="14"/>
        <v>7</v>
      </c>
      <c r="E267" s="36" t="str">
        <f t="shared" si="17"/>
        <v>Sáb</v>
      </c>
      <c r="F267" s="36" t="str">
        <f t="shared" si="15"/>
        <v>Sáb</v>
      </c>
      <c r="G267" s="36" t="str">
        <f t="shared" si="16"/>
        <v>Sáb</v>
      </c>
    </row>
    <row r="268" spans="2:7" ht="12" customHeight="1">
      <c r="B268" s="43">
        <v>247</v>
      </c>
      <c r="C268" s="44">
        <v>44808</v>
      </c>
      <c r="D268" s="36">
        <f t="shared" si="14"/>
        <v>1</v>
      </c>
      <c r="E268" s="36" t="str">
        <f t="shared" si="17"/>
        <v>Dom</v>
      </c>
      <c r="F268" s="36" t="str">
        <f t="shared" si="15"/>
        <v>Dom</v>
      </c>
      <c r="G268" s="36" t="str">
        <f t="shared" si="16"/>
        <v>Dom</v>
      </c>
    </row>
    <row r="269" spans="2:7" ht="12" customHeight="1">
      <c r="B269" s="43">
        <v>248</v>
      </c>
      <c r="C269" s="44">
        <v>44809</v>
      </c>
      <c r="D269" s="36">
        <f t="shared" si="14"/>
        <v>2</v>
      </c>
      <c r="E269" s="36" t="str">
        <f t="shared" si="17"/>
        <v>Dia útil</v>
      </c>
      <c r="F269" s="36" t="str">
        <f t="shared" si="15"/>
        <v>Dia útil</v>
      </c>
      <c r="G269" s="36" t="str">
        <f t="shared" si="16"/>
        <v>Dia útil</v>
      </c>
    </row>
    <row r="270" spans="2:7" ht="12" customHeight="1">
      <c r="B270" s="43">
        <v>249</v>
      </c>
      <c r="C270" s="44">
        <v>44810</v>
      </c>
      <c r="D270" s="36">
        <f t="shared" si="14"/>
        <v>3</v>
      </c>
      <c r="E270" s="36" t="str">
        <f t="shared" si="17"/>
        <v>Dia útil</v>
      </c>
      <c r="F270" s="36" t="str">
        <f t="shared" si="15"/>
        <v>Dia útil</v>
      </c>
      <c r="G270" s="36" t="str">
        <f t="shared" si="16"/>
        <v>Dia útil</v>
      </c>
    </row>
    <row r="271" spans="2:7" ht="12" customHeight="1">
      <c r="B271" s="43">
        <v>250</v>
      </c>
      <c r="C271" s="44">
        <v>44811</v>
      </c>
      <c r="D271" s="36">
        <f t="shared" si="14"/>
        <v>4</v>
      </c>
      <c r="E271" s="36" t="str">
        <f t="shared" si="17"/>
        <v>Dia útil</v>
      </c>
      <c r="F271" s="46" t="s">
        <v>1725</v>
      </c>
      <c r="G271" s="36" t="str">
        <f t="shared" si="16"/>
        <v>Feriado</v>
      </c>
    </row>
    <row r="272" spans="2:7" ht="12" customHeight="1">
      <c r="B272" s="43">
        <v>251</v>
      </c>
      <c r="C272" s="44">
        <v>44812</v>
      </c>
      <c r="D272" s="36">
        <f t="shared" si="14"/>
        <v>5</v>
      </c>
      <c r="E272" s="36" t="str">
        <f t="shared" si="17"/>
        <v>Dia útil</v>
      </c>
      <c r="F272" s="36" t="str">
        <f t="shared" si="15"/>
        <v>Dia útil</v>
      </c>
      <c r="G272" s="36" t="str">
        <f t="shared" si="16"/>
        <v>Dia útil</v>
      </c>
    </row>
    <row r="273" spans="2:7" ht="12" customHeight="1">
      <c r="B273" s="43">
        <v>252</v>
      </c>
      <c r="C273" s="44">
        <v>44813</v>
      </c>
      <c r="D273" s="36">
        <f t="shared" si="14"/>
        <v>6</v>
      </c>
      <c r="E273" s="36" t="str">
        <f t="shared" si="17"/>
        <v>Dia útil</v>
      </c>
      <c r="F273" s="36" t="str">
        <f t="shared" si="15"/>
        <v>Dia útil</v>
      </c>
      <c r="G273" s="36" t="str">
        <f t="shared" si="16"/>
        <v>Dia útil</v>
      </c>
    </row>
    <row r="274" spans="2:7" ht="12" customHeight="1">
      <c r="B274" s="43">
        <v>253</v>
      </c>
      <c r="C274" s="44">
        <v>44814</v>
      </c>
      <c r="D274" s="36">
        <f t="shared" si="14"/>
        <v>7</v>
      </c>
      <c r="E274" s="36" t="str">
        <f t="shared" si="17"/>
        <v>Sáb</v>
      </c>
      <c r="F274" s="36" t="str">
        <f t="shared" si="15"/>
        <v>Sáb</v>
      </c>
      <c r="G274" s="36" t="str">
        <f t="shared" si="16"/>
        <v>Sáb</v>
      </c>
    </row>
    <row r="275" spans="2:7" ht="12" customHeight="1">
      <c r="B275" s="43">
        <v>254</v>
      </c>
      <c r="C275" s="44">
        <v>44815</v>
      </c>
      <c r="D275" s="36">
        <f t="shared" si="14"/>
        <v>1</v>
      </c>
      <c r="E275" s="36" t="str">
        <f t="shared" si="17"/>
        <v>Dom</v>
      </c>
      <c r="F275" s="36" t="str">
        <f t="shared" si="15"/>
        <v>Dom</v>
      </c>
      <c r="G275" s="36" t="str">
        <f t="shared" si="16"/>
        <v>Dom</v>
      </c>
    </row>
    <row r="276" spans="2:7" ht="12" customHeight="1">
      <c r="B276" s="43">
        <v>255</v>
      </c>
      <c r="C276" s="44">
        <v>44816</v>
      </c>
      <c r="D276" s="36">
        <f t="shared" si="14"/>
        <v>2</v>
      </c>
      <c r="E276" s="36" t="str">
        <f t="shared" si="17"/>
        <v>Dia útil</v>
      </c>
      <c r="F276" s="36" t="str">
        <f t="shared" si="15"/>
        <v>Dia útil</v>
      </c>
      <c r="G276" s="36" t="str">
        <f t="shared" si="16"/>
        <v>Dia útil</v>
      </c>
    </row>
    <row r="277" spans="2:7" ht="12" customHeight="1">
      <c r="B277" s="43">
        <v>256</v>
      </c>
      <c r="C277" s="44">
        <v>44817</v>
      </c>
      <c r="D277" s="36">
        <f t="shared" si="14"/>
        <v>3</v>
      </c>
      <c r="E277" s="36" t="str">
        <f t="shared" si="17"/>
        <v>Dia útil</v>
      </c>
      <c r="F277" s="36" t="str">
        <f t="shared" si="15"/>
        <v>Dia útil</v>
      </c>
      <c r="G277" s="36" t="str">
        <f t="shared" si="16"/>
        <v>Dia útil</v>
      </c>
    </row>
    <row r="278" spans="2:7" ht="12" customHeight="1">
      <c r="B278" s="43">
        <v>257</v>
      </c>
      <c r="C278" s="44">
        <v>44818</v>
      </c>
      <c r="D278" s="36">
        <f t="shared" si="14"/>
        <v>4</v>
      </c>
      <c r="E278" s="36" t="str">
        <f t="shared" si="17"/>
        <v>Dia útil</v>
      </c>
      <c r="F278" s="36" t="str">
        <f t="shared" si="15"/>
        <v>Dia útil</v>
      </c>
      <c r="G278" s="36" t="str">
        <f t="shared" si="16"/>
        <v>Dia útil</v>
      </c>
    </row>
    <row r="279" spans="2:7" ht="12" customHeight="1">
      <c r="B279" s="43">
        <v>258</v>
      </c>
      <c r="C279" s="44">
        <v>44819</v>
      </c>
      <c r="D279" s="36">
        <f t="shared" ref="D279:D342" si="18">WEEKDAY(C279,1)</f>
        <v>5</v>
      </c>
      <c r="E279" s="36" t="str">
        <f t="shared" si="17"/>
        <v>Dia útil</v>
      </c>
      <c r="F279" s="36" t="str">
        <f t="shared" ref="F279:F342" si="19">E279</f>
        <v>Dia útil</v>
      </c>
      <c r="G279" s="36" t="str">
        <f t="shared" ref="G279:G342" si="20">IF(AND(F279="Feriado",OR(E279="Sáb",E279="Dom")),E279,IF(AND(F279="Feriado",E279="Dia útil"),"Feriado",E279))</f>
        <v>Dia útil</v>
      </c>
    </row>
    <row r="280" spans="2:7" ht="12" customHeight="1">
      <c r="B280" s="43">
        <v>259</v>
      </c>
      <c r="C280" s="44">
        <v>44820</v>
      </c>
      <c r="D280" s="36">
        <f t="shared" si="18"/>
        <v>6</v>
      </c>
      <c r="E280" s="36" t="str">
        <f t="shared" si="17"/>
        <v>Dia útil</v>
      </c>
      <c r="F280" s="36" t="str">
        <f t="shared" si="19"/>
        <v>Dia útil</v>
      </c>
      <c r="G280" s="36" t="str">
        <f t="shared" si="20"/>
        <v>Dia útil</v>
      </c>
    </row>
    <row r="281" spans="2:7" ht="12" customHeight="1">
      <c r="B281" s="43">
        <v>260</v>
      </c>
      <c r="C281" s="44">
        <v>44821</v>
      </c>
      <c r="D281" s="36">
        <f t="shared" si="18"/>
        <v>7</v>
      </c>
      <c r="E281" s="36" t="str">
        <f t="shared" ref="E281:E344" si="21">IF(D281=1,"Dom",IF(D281=7,"Sáb","Dia útil"))</f>
        <v>Sáb</v>
      </c>
      <c r="F281" s="36" t="str">
        <f t="shared" si="19"/>
        <v>Sáb</v>
      </c>
      <c r="G281" s="36" t="str">
        <f t="shared" si="20"/>
        <v>Sáb</v>
      </c>
    </row>
    <row r="282" spans="2:7" ht="12" customHeight="1">
      <c r="B282" s="43">
        <v>261</v>
      </c>
      <c r="C282" s="44">
        <v>44822</v>
      </c>
      <c r="D282" s="36">
        <f t="shared" si="18"/>
        <v>1</v>
      </c>
      <c r="E282" s="36" t="str">
        <f t="shared" si="21"/>
        <v>Dom</v>
      </c>
      <c r="F282" s="36" t="str">
        <f t="shared" si="19"/>
        <v>Dom</v>
      </c>
      <c r="G282" s="36" t="str">
        <f t="shared" si="20"/>
        <v>Dom</v>
      </c>
    </row>
    <row r="283" spans="2:7" ht="12" customHeight="1">
      <c r="B283" s="43">
        <v>262</v>
      </c>
      <c r="C283" s="44">
        <v>44823</v>
      </c>
      <c r="D283" s="36">
        <f t="shared" si="18"/>
        <v>2</v>
      </c>
      <c r="E283" s="36" t="str">
        <f t="shared" si="21"/>
        <v>Dia útil</v>
      </c>
      <c r="F283" s="36" t="str">
        <f t="shared" si="19"/>
        <v>Dia útil</v>
      </c>
      <c r="G283" s="36" t="str">
        <f t="shared" si="20"/>
        <v>Dia útil</v>
      </c>
    </row>
    <row r="284" spans="2:7" ht="12" customHeight="1">
      <c r="B284" s="43">
        <v>263</v>
      </c>
      <c r="C284" s="44">
        <v>44824</v>
      </c>
      <c r="D284" s="36">
        <f t="shared" si="18"/>
        <v>3</v>
      </c>
      <c r="E284" s="36" t="str">
        <f t="shared" si="21"/>
        <v>Dia útil</v>
      </c>
      <c r="F284" s="36" t="str">
        <f t="shared" si="19"/>
        <v>Dia útil</v>
      </c>
      <c r="G284" s="36" t="str">
        <f t="shared" si="20"/>
        <v>Dia útil</v>
      </c>
    </row>
    <row r="285" spans="2:7" ht="12" customHeight="1">
      <c r="B285" s="43">
        <v>264</v>
      </c>
      <c r="C285" s="44">
        <v>44825</v>
      </c>
      <c r="D285" s="36">
        <f t="shared" si="18"/>
        <v>4</v>
      </c>
      <c r="E285" s="36" t="str">
        <f t="shared" si="21"/>
        <v>Dia útil</v>
      </c>
      <c r="F285" s="36" t="str">
        <f t="shared" si="19"/>
        <v>Dia útil</v>
      </c>
      <c r="G285" s="36" t="str">
        <f t="shared" si="20"/>
        <v>Dia útil</v>
      </c>
    </row>
    <row r="286" spans="2:7" ht="12" customHeight="1">
      <c r="B286" s="43">
        <v>265</v>
      </c>
      <c r="C286" s="44">
        <v>44826</v>
      </c>
      <c r="D286" s="36">
        <f t="shared" si="18"/>
        <v>5</v>
      </c>
      <c r="E286" s="36" t="str">
        <f t="shared" si="21"/>
        <v>Dia útil</v>
      </c>
      <c r="F286" s="36" t="str">
        <f t="shared" si="19"/>
        <v>Dia útil</v>
      </c>
      <c r="G286" s="36" t="str">
        <f t="shared" si="20"/>
        <v>Dia útil</v>
      </c>
    </row>
    <row r="287" spans="2:7" ht="12" customHeight="1">
      <c r="B287" s="43">
        <v>266</v>
      </c>
      <c r="C287" s="44">
        <v>44827</v>
      </c>
      <c r="D287" s="36">
        <f t="shared" si="18"/>
        <v>6</v>
      </c>
      <c r="E287" s="36" t="str">
        <f t="shared" si="21"/>
        <v>Dia útil</v>
      </c>
      <c r="F287" s="36" t="str">
        <f t="shared" si="19"/>
        <v>Dia útil</v>
      </c>
      <c r="G287" s="36" t="str">
        <f t="shared" si="20"/>
        <v>Dia útil</v>
      </c>
    </row>
    <row r="288" spans="2:7" ht="12" customHeight="1">
      <c r="B288" s="43">
        <v>267</v>
      </c>
      <c r="C288" s="44">
        <v>44828</v>
      </c>
      <c r="D288" s="36">
        <f t="shared" si="18"/>
        <v>7</v>
      </c>
      <c r="E288" s="36" t="str">
        <f t="shared" si="21"/>
        <v>Sáb</v>
      </c>
      <c r="F288" s="36" t="str">
        <f t="shared" si="19"/>
        <v>Sáb</v>
      </c>
      <c r="G288" s="36" t="str">
        <f t="shared" si="20"/>
        <v>Sáb</v>
      </c>
    </row>
    <row r="289" spans="2:7" ht="12" customHeight="1">
      <c r="B289" s="43">
        <v>268</v>
      </c>
      <c r="C289" s="44">
        <v>44829</v>
      </c>
      <c r="D289" s="36">
        <f t="shared" si="18"/>
        <v>1</v>
      </c>
      <c r="E289" s="36" t="str">
        <f t="shared" si="21"/>
        <v>Dom</v>
      </c>
      <c r="F289" s="36" t="str">
        <f t="shared" si="19"/>
        <v>Dom</v>
      </c>
      <c r="G289" s="36" t="str">
        <f t="shared" si="20"/>
        <v>Dom</v>
      </c>
    </row>
    <row r="290" spans="2:7" ht="12" customHeight="1">
      <c r="B290" s="43">
        <v>269</v>
      </c>
      <c r="C290" s="44">
        <v>44830</v>
      </c>
      <c r="D290" s="36">
        <f t="shared" si="18"/>
        <v>2</v>
      </c>
      <c r="E290" s="36" t="str">
        <f t="shared" si="21"/>
        <v>Dia útil</v>
      </c>
      <c r="F290" s="36" t="str">
        <f t="shared" si="19"/>
        <v>Dia útil</v>
      </c>
      <c r="G290" s="36" t="str">
        <f t="shared" si="20"/>
        <v>Dia útil</v>
      </c>
    </row>
    <row r="291" spans="2:7" ht="12" customHeight="1">
      <c r="B291" s="43">
        <v>270</v>
      </c>
      <c r="C291" s="44">
        <v>44831</v>
      </c>
      <c r="D291" s="36">
        <f t="shared" si="18"/>
        <v>3</v>
      </c>
      <c r="E291" s="36" t="str">
        <f t="shared" si="21"/>
        <v>Dia útil</v>
      </c>
      <c r="F291" s="36" t="str">
        <f t="shared" si="19"/>
        <v>Dia útil</v>
      </c>
      <c r="G291" s="36" t="str">
        <f t="shared" si="20"/>
        <v>Dia útil</v>
      </c>
    </row>
    <row r="292" spans="2:7" ht="12" customHeight="1">
      <c r="B292" s="43">
        <v>271</v>
      </c>
      <c r="C292" s="44">
        <v>44832</v>
      </c>
      <c r="D292" s="36">
        <f t="shared" si="18"/>
        <v>4</v>
      </c>
      <c r="E292" s="36" t="str">
        <f t="shared" si="21"/>
        <v>Dia útil</v>
      </c>
      <c r="F292" s="36" t="str">
        <f t="shared" si="19"/>
        <v>Dia útil</v>
      </c>
      <c r="G292" s="36" t="str">
        <f t="shared" si="20"/>
        <v>Dia útil</v>
      </c>
    </row>
    <row r="293" spans="2:7" ht="12" customHeight="1">
      <c r="B293" s="43">
        <v>272</v>
      </c>
      <c r="C293" s="44">
        <v>44833</v>
      </c>
      <c r="D293" s="36">
        <f t="shared" si="18"/>
        <v>5</v>
      </c>
      <c r="E293" s="36" t="str">
        <f t="shared" si="21"/>
        <v>Dia útil</v>
      </c>
      <c r="F293" s="36" t="str">
        <f t="shared" si="19"/>
        <v>Dia útil</v>
      </c>
      <c r="G293" s="36" t="str">
        <f t="shared" si="20"/>
        <v>Dia útil</v>
      </c>
    </row>
    <row r="294" spans="2:7" ht="12" customHeight="1">
      <c r="B294" s="43">
        <v>273</v>
      </c>
      <c r="C294" s="44">
        <v>44834</v>
      </c>
      <c r="D294" s="36">
        <f t="shared" si="18"/>
        <v>6</v>
      </c>
      <c r="E294" s="36" t="str">
        <f t="shared" si="21"/>
        <v>Dia útil</v>
      </c>
      <c r="F294" s="36" t="str">
        <f t="shared" si="19"/>
        <v>Dia útil</v>
      </c>
      <c r="G294" s="36" t="str">
        <f t="shared" si="20"/>
        <v>Dia útil</v>
      </c>
    </row>
    <row r="295" spans="2:7" ht="12" customHeight="1">
      <c r="B295" s="43">
        <v>274</v>
      </c>
      <c r="C295" s="44">
        <v>44835</v>
      </c>
      <c r="D295" s="36">
        <f t="shared" si="18"/>
        <v>7</v>
      </c>
      <c r="E295" s="36" t="str">
        <f t="shared" si="21"/>
        <v>Sáb</v>
      </c>
      <c r="F295" s="36" t="str">
        <f t="shared" si="19"/>
        <v>Sáb</v>
      </c>
      <c r="G295" s="36" t="str">
        <f t="shared" si="20"/>
        <v>Sáb</v>
      </c>
    </row>
    <row r="296" spans="2:7" ht="12" customHeight="1">
      <c r="B296" s="43">
        <v>275</v>
      </c>
      <c r="C296" s="44">
        <v>44836</v>
      </c>
      <c r="D296" s="36">
        <f t="shared" si="18"/>
        <v>1</v>
      </c>
      <c r="E296" s="36" t="str">
        <f t="shared" si="21"/>
        <v>Dom</v>
      </c>
      <c r="F296" s="36" t="str">
        <f t="shared" si="19"/>
        <v>Dom</v>
      </c>
      <c r="G296" s="36" t="str">
        <f t="shared" si="20"/>
        <v>Dom</v>
      </c>
    </row>
    <row r="297" spans="2:7" ht="12" customHeight="1">
      <c r="B297" s="43">
        <v>276</v>
      </c>
      <c r="C297" s="44">
        <v>44837</v>
      </c>
      <c r="D297" s="36">
        <f t="shared" si="18"/>
        <v>2</v>
      </c>
      <c r="E297" s="36" t="str">
        <f t="shared" si="21"/>
        <v>Dia útil</v>
      </c>
      <c r="F297" s="36" t="str">
        <f t="shared" si="19"/>
        <v>Dia útil</v>
      </c>
      <c r="G297" s="36" t="str">
        <f t="shared" si="20"/>
        <v>Dia útil</v>
      </c>
    </row>
    <row r="298" spans="2:7" ht="12" customHeight="1">
      <c r="B298" s="43">
        <v>277</v>
      </c>
      <c r="C298" s="44">
        <v>44838</v>
      </c>
      <c r="D298" s="36">
        <f t="shared" si="18"/>
        <v>3</v>
      </c>
      <c r="E298" s="36" t="str">
        <f t="shared" si="21"/>
        <v>Dia útil</v>
      </c>
      <c r="F298" s="36" t="str">
        <f t="shared" si="19"/>
        <v>Dia útil</v>
      </c>
      <c r="G298" s="36" t="str">
        <f t="shared" si="20"/>
        <v>Dia útil</v>
      </c>
    </row>
    <row r="299" spans="2:7" ht="12" customHeight="1">
      <c r="B299" s="43">
        <v>278</v>
      </c>
      <c r="C299" s="44">
        <v>44839</v>
      </c>
      <c r="D299" s="36">
        <f t="shared" si="18"/>
        <v>4</v>
      </c>
      <c r="E299" s="36" t="str">
        <f t="shared" si="21"/>
        <v>Dia útil</v>
      </c>
      <c r="F299" s="36" t="str">
        <f t="shared" si="19"/>
        <v>Dia útil</v>
      </c>
      <c r="G299" s="36" t="str">
        <f t="shared" si="20"/>
        <v>Dia útil</v>
      </c>
    </row>
    <row r="300" spans="2:7" ht="12" customHeight="1">
      <c r="B300" s="43">
        <v>279</v>
      </c>
      <c r="C300" s="44">
        <v>44840</v>
      </c>
      <c r="D300" s="36">
        <f t="shared" si="18"/>
        <v>5</v>
      </c>
      <c r="E300" s="36" t="str">
        <f t="shared" si="21"/>
        <v>Dia útil</v>
      </c>
      <c r="F300" s="36" t="str">
        <f t="shared" si="19"/>
        <v>Dia útil</v>
      </c>
      <c r="G300" s="36" t="str">
        <f t="shared" si="20"/>
        <v>Dia útil</v>
      </c>
    </row>
    <row r="301" spans="2:7" ht="12" customHeight="1">
      <c r="B301" s="43">
        <v>280</v>
      </c>
      <c r="C301" s="44">
        <v>44841</v>
      </c>
      <c r="D301" s="36">
        <f t="shared" si="18"/>
        <v>6</v>
      </c>
      <c r="E301" s="36" t="str">
        <f t="shared" si="21"/>
        <v>Dia útil</v>
      </c>
      <c r="F301" s="36" t="str">
        <f t="shared" si="19"/>
        <v>Dia útil</v>
      </c>
      <c r="G301" s="36" t="str">
        <f t="shared" si="20"/>
        <v>Dia útil</v>
      </c>
    </row>
    <row r="302" spans="2:7" ht="12" customHeight="1">
      <c r="B302" s="43">
        <v>281</v>
      </c>
      <c r="C302" s="44">
        <v>44842</v>
      </c>
      <c r="D302" s="36">
        <f t="shared" si="18"/>
        <v>7</v>
      </c>
      <c r="E302" s="36" t="str">
        <f t="shared" si="21"/>
        <v>Sáb</v>
      </c>
      <c r="F302" s="36" t="str">
        <f t="shared" si="19"/>
        <v>Sáb</v>
      </c>
      <c r="G302" s="36" t="str">
        <f t="shared" si="20"/>
        <v>Sáb</v>
      </c>
    </row>
    <row r="303" spans="2:7" ht="12" customHeight="1">
      <c r="B303" s="43">
        <v>282</v>
      </c>
      <c r="C303" s="44">
        <v>44843</v>
      </c>
      <c r="D303" s="36">
        <f t="shared" si="18"/>
        <v>1</v>
      </c>
      <c r="E303" s="36" t="str">
        <f t="shared" si="21"/>
        <v>Dom</v>
      </c>
      <c r="F303" s="36" t="str">
        <f t="shared" si="19"/>
        <v>Dom</v>
      </c>
      <c r="G303" s="36" t="str">
        <f t="shared" si="20"/>
        <v>Dom</v>
      </c>
    </row>
    <row r="304" spans="2:7" ht="12" customHeight="1">
      <c r="B304" s="43">
        <v>283</v>
      </c>
      <c r="C304" s="44">
        <v>44844</v>
      </c>
      <c r="D304" s="36">
        <f t="shared" si="18"/>
        <v>2</v>
      </c>
      <c r="E304" s="36" t="str">
        <f t="shared" si="21"/>
        <v>Dia útil</v>
      </c>
      <c r="F304" s="36" t="str">
        <f t="shared" si="19"/>
        <v>Dia útil</v>
      </c>
      <c r="G304" s="36" t="str">
        <f t="shared" si="20"/>
        <v>Dia útil</v>
      </c>
    </row>
    <row r="305" spans="2:7" ht="12" customHeight="1">
      <c r="B305" s="43">
        <v>284</v>
      </c>
      <c r="C305" s="44">
        <v>44845</v>
      </c>
      <c r="D305" s="36">
        <f t="shared" si="18"/>
        <v>3</v>
      </c>
      <c r="E305" s="36" t="str">
        <f t="shared" si="21"/>
        <v>Dia útil</v>
      </c>
      <c r="F305" s="36" t="str">
        <f t="shared" si="19"/>
        <v>Dia útil</v>
      </c>
      <c r="G305" s="36" t="str">
        <f t="shared" si="20"/>
        <v>Dia útil</v>
      </c>
    </row>
    <row r="306" spans="2:7" ht="12" customHeight="1">
      <c r="B306" s="43">
        <v>285</v>
      </c>
      <c r="C306" s="44">
        <v>44846</v>
      </c>
      <c r="D306" s="36">
        <f t="shared" si="18"/>
        <v>4</v>
      </c>
      <c r="E306" s="36" t="str">
        <f t="shared" si="21"/>
        <v>Dia útil</v>
      </c>
      <c r="F306" s="46" t="s">
        <v>1725</v>
      </c>
      <c r="G306" s="36" t="str">
        <f t="shared" si="20"/>
        <v>Feriado</v>
      </c>
    </row>
    <row r="307" spans="2:7" ht="12" customHeight="1">
      <c r="B307" s="43">
        <v>286</v>
      </c>
      <c r="C307" s="44">
        <v>44847</v>
      </c>
      <c r="D307" s="36">
        <f t="shared" si="18"/>
        <v>5</v>
      </c>
      <c r="E307" s="36" t="str">
        <f t="shared" si="21"/>
        <v>Dia útil</v>
      </c>
      <c r="F307" s="36" t="str">
        <f t="shared" si="19"/>
        <v>Dia útil</v>
      </c>
      <c r="G307" s="36" t="str">
        <f t="shared" si="20"/>
        <v>Dia útil</v>
      </c>
    </row>
    <row r="308" spans="2:7" ht="12" customHeight="1">
      <c r="B308" s="43">
        <v>287</v>
      </c>
      <c r="C308" s="44">
        <v>44848</v>
      </c>
      <c r="D308" s="36">
        <f t="shared" si="18"/>
        <v>6</v>
      </c>
      <c r="E308" s="36" t="str">
        <f t="shared" si="21"/>
        <v>Dia útil</v>
      </c>
      <c r="F308" s="36" t="str">
        <f t="shared" si="19"/>
        <v>Dia útil</v>
      </c>
      <c r="G308" s="36" t="str">
        <f t="shared" si="20"/>
        <v>Dia útil</v>
      </c>
    </row>
    <row r="309" spans="2:7" ht="12" customHeight="1">
      <c r="B309" s="43">
        <v>288</v>
      </c>
      <c r="C309" s="44">
        <v>44849</v>
      </c>
      <c r="D309" s="36">
        <f t="shared" si="18"/>
        <v>7</v>
      </c>
      <c r="E309" s="36" t="str">
        <f t="shared" si="21"/>
        <v>Sáb</v>
      </c>
      <c r="F309" s="36" t="str">
        <f t="shared" si="19"/>
        <v>Sáb</v>
      </c>
      <c r="G309" s="36" t="str">
        <f t="shared" si="20"/>
        <v>Sáb</v>
      </c>
    </row>
    <row r="310" spans="2:7" ht="12" customHeight="1">
      <c r="B310" s="43">
        <v>289</v>
      </c>
      <c r="C310" s="44">
        <v>44850</v>
      </c>
      <c r="D310" s="36">
        <f t="shared" si="18"/>
        <v>1</v>
      </c>
      <c r="E310" s="36" t="str">
        <f t="shared" si="21"/>
        <v>Dom</v>
      </c>
      <c r="F310" s="36" t="str">
        <f t="shared" si="19"/>
        <v>Dom</v>
      </c>
      <c r="G310" s="36" t="str">
        <f t="shared" si="20"/>
        <v>Dom</v>
      </c>
    </row>
    <row r="311" spans="2:7" ht="12" customHeight="1">
      <c r="B311" s="43">
        <v>290</v>
      </c>
      <c r="C311" s="44">
        <v>44851</v>
      </c>
      <c r="D311" s="36">
        <f t="shared" si="18"/>
        <v>2</v>
      </c>
      <c r="E311" s="36" t="str">
        <f t="shared" si="21"/>
        <v>Dia útil</v>
      </c>
      <c r="F311" s="36" t="str">
        <f t="shared" si="19"/>
        <v>Dia útil</v>
      </c>
      <c r="G311" s="36" t="str">
        <f t="shared" si="20"/>
        <v>Dia útil</v>
      </c>
    </row>
    <row r="312" spans="2:7" ht="12" customHeight="1">
      <c r="B312" s="43">
        <v>291</v>
      </c>
      <c r="C312" s="44">
        <v>44852</v>
      </c>
      <c r="D312" s="36">
        <f t="shared" si="18"/>
        <v>3</v>
      </c>
      <c r="E312" s="36" t="str">
        <f t="shared" si="21"/>
        <v>Dia útil</v>
      </c>
      <c r="F312" s="36" t="str">
        <f t="shared" si="19"/>
        <v>Dia útil</v>
      </c>
      <c r="G312" s="36" t="str">
        <f t="shared" si="20"/>
        <v>Dia útil</v>
      </c>
    </row>
    <row r="313" spans="2:7" ht="12" customHeight="1">
      <c r="B313" s="43">
        <v>292</v>
      </c>
      <c r="C313" s="44">
        <v>44853</v>
      </c>
      <c r="D313" s="36">
        <f t="shared" si="18"/>
        <v>4</v>
      </c>
      <c r="E313" s="36" t="str">
        <f t="shared" si="21"/>
        <v>Dia útil</v>
      </c>
      <c r="F313" s="36" t="str">
        <f t="shared" si="19"/>
        <v>Dia útil</v>
      </c>
      <c r="G313" s="36" t="str">
        <f t="shared" si="20"/>
        <v>Dia útil</v>
      </c>
    </row>
    <row r="314" spans="2:7" ht="12" customHeight="1">
      <c r="B314" s="43">
        <v>293</v>
      </c>
      <c r="C314" s="44">
        <v>44854</v>
      </c>
      <c r="D314" s="36">
        <f t="shared" si="18"/>
        <v>5</v>
      </c>
      <c r="E314" s="36" t="str">
        <f t="shared" si="21"/>
        <v>Dia útil</v>
      </c>
      <c r="F314" s="36" t="str">
        <f t="shared" si="19"/>
        <v>Dia útil</v>
      </c>
      <c r="G314" s="36" t="str">
        <f t="shared" si="20"/>
        <v>Dia útil</v>
      </c>
    </row>
    <row r="315" spans="2:7" ht="12" customHeight="1">
      <c r="B315" s="43">
        <v>294</v>
      </c>
      <c r="C315" s="44">
        <v>44855</v>
      </c>
      <c r="D315" s="36">
        <f t="shared" si="18"/>
        <v>6</v>
      </c>
      <c r="E315" s="36" t="str">
        <f t="shared" si="21"/>
        <v>Dia útil</v>
      </c>
      <c r="F315" s="36" t="str">
        <f t="shared" si="19"/>
        <v>Dia útil</v>
      </c>
      <c r="G315" s="36" t="str">
        <f t="shared" si="20"/>
        <v>Dia útil</v>
      </c>
    </row>
    <row r="316" spans="2:7" ht="12" customHeight="1">
      <c r="B316" s="43">
        <v>295</v>
      </c>
      <c r="C316" s="44">
        <v>44856</v>
      </c>
      <c r="D316" s="36">
        <f t="shared" si="18"/>
        <v>7</v>
      </c>
      <c r="E316" s="36" t="str">
        <f t="shared" si="21"/>
        <v>Sáb</v>
      </c>
      <c r="F316" s="36" t="str">
        <f t="shared" si="19"/>
        <v>Sáb</v>
      </c>
      <c r="G316" s="36" t="str">
        <f t="shared" si="20"/>
        <v>Sáb</v>
      </c>
    </row>
    <row r="317" spans="2:7" ht="12" customHeight="1">
      <c r="B317" s="43">
        <v>296</v>
      </c>
      <c r="C317" s="44">
        <v>44857</v>
      </c>
      <c r="D317" s="36">
        <f t="shared" si="18"/>
        <v>1</v>
      </c>
      <c r="E317" s="36" t="str">
        <f t="shared" si="21"/>
        <v>Dom</v>
      </c>
      <c r="F317" s="36" t="str">
        <f t="shared" si="19"/>
        <v>Dom</v>
      </c>
      <c r="G317" s="36" t="str">
        <f t="shared" si="20"/>
        <v>Dom</v>
      </c>
    </row>
    <row r="318" spans="2:7" ht="12" customHeight="1">
      <c r="B318" s="43">
        <v>297</v>
      </c>
      <c r="C318" s="44">
        <v>44858</v>
      </c>
      <c r="D318" s="36">
        <f t="shared" si="18"/>
        <v>2</v>
      </c>
      <c r="E318" s="36" t="str">
        <f t="shared" si="21"/>
        <v>Dia útil</v>
      </c>
      <c r="F318" s="36" t="str">
        <f t="shared" si="19"/>
        <v>Dia útil</v>
      </c>
      <c r="G318" s="36" t="str">
        <f t="shared" si="20"/>
        <v>Dia útil</v>
      </c>
    </row>
    <row r="319" spans="2:7" ht="12" customHeight="1">
      <c r="B319" s="43">
        <v>298</v>
      </c>
      <c r="C319" s="44">
        <v>44859</v>
      </c>
      <c r="D319" s="36">
        <f t="shared" si="18"/>
        <v>3</v>
      </c>
      <c r="E319" s="36" t="str">
        <f t="shared" si="21"/>
        <v>Dia útil</v>
      </c>
      <c r="F319" s="36" t="str">
        <f t="shared" si="19"/>
        <v>Dia útil</v>
      </c>
      <c r="G319" s="36" t="str">
        <f t="shared" si="20"/>
        <v>Dia útil</v>
      </c>
    </row>
    <row r="320" spans="2:7" ht="12" customHeight="1">
      <c r="B320" s="43">
        <v>299</v>
      </c>
      <c r="C320" s="44">
        <v>44860</v>
      </c>
      <c r="D320" s="36">
        <f t="shared" si="18"/>
        <v>4</v>
      </c>
      <c r="E320" s="36" t="str">
        <f t="shared" si="21"/>
        <v>Dia útil</v>
      </c>
      <c r="F320" s="36" t="str">
        <f t="shared" si="19"/>
        <v>Dia útil</v>
      </c>
      <c r="G320" s="36" t="str">
        <f t="shared" si="20"/>
        <v>Dia útil</v>
      </c>
    </row>
    <row r="321" spans="2:7" ht="12" customHeight="1">
      <c r="B321" s="43">
        <v>300</v>
      </c>
      <c r="C321" s="44">
        <v>44861</v>
      </c>
      <c r="D321" s="36">
        <f t="shared" si="18"/>
        <v>5</v>
      </c>
      <c r="E321" s="36" t="str">
        <f t="shared" si="21"/>
        <v>Dia útil</v>
      </c>
      <c r="F321" s="36" t="str">
        <f t="shared" si="19"/>
        <v>Dia útil</v>
      </c>
      <c r="G321" s="36" t="str">
        <f t="shared" si="20"/>
        <v>Dia útil</v>
      </c>
    </row>
    <row r="322" spans="2:7" ht="12" customHeight="1">
      <c r="B322" s="43">
        <v>301</v>
      </c>
      <c r="C322" s="44">
        <v>44862</v>
      </c>
      <c r="D322" s="36">
        <f t="shared" si="18"/>
        <v>6</v>
      </c>
      <c r="E322" s="36" t="str">
        <f t="shared" si="21"/>
        <v>Dia útil</v>
      </c>
      <c r="F322" s="36" t="str">
        <f t="shared" si="19"/>
        <v>Dia útil</v>
      </c>
      <c r="G322" s="36" t="str">
        <f t="shared" si="20"/>
        <v>Dia útil</v>
      </c>
    </row>
    <row r="323" spans="2:7" ht="12" customHeight="1">
      <c r="B323" s="43">
        <v>302</v>
      </c>
      <c r="C323" s="44">
        <v>44863</v>
      </c>
      <c r="D323" s="36">
        <f t="shared" si="18"/>
        <v>7</v>
      </c>
      <c r="E323" s="36" t="str">
        <f t="shared" si="21"/>
        <v>Sáb</v>
      </c>
      <c r="F323" s="36" t="str">
        <f t="shared" si="19"/>
        <v>Sáb</v>
      </c>
      <c r="G323" s="36" t="str">
        <f t="shared" si="20"/>
        <v>Sáb</v>
      </c>
    </row>
    <row r="324" spans="2:7" ht="12" customHeight="1">
      <c r="B324" s="43">
        <v>303</v>
      </c>
      <c r="C324" s="44">
        <v>44864</v>
      </c>
      <c r="D324" s="36">
        <f t="shared" si="18"/>
        <v>1</v>
      </c>
      <c r="E324" s="36" t="str">
        <f t="shared" si="21"/>
        <v>Dom</v>
      </c>
      <c r="F324" s="36" t="str">
        <f t="shared" si="19"/>
        <v>Dom</v>
      </c>
      <c r="G324" s="36" t="str">
        <f t="shared" si="20"/>
        <v>Dom</v>
      </c>
    </row>
    <row r="325" spans="2:7" ht="12" customHeight="1">
      <c r="B325" s="43">
        <v>304</v>
      </c>
      <c r="C325" s="44">
        <v>44865</v>
      </c>
      <c r="D325" s="36">
        <f t="shared" si="18"/>
        <v>2</v>
      </c>
      <c r="E325" s="36" t="str">
        <f t="shared" si="21"/>
        <v>Dia útil</v>
      </c>
      <c r="F325" s="36" t="str">
        <f t="shared" si="19"/>
        <v>Dia útil</v>
      </c>
      <c r="G325" s="36" t="str">
        <f t="shared" si="20"/>
        <v>Dia útil</v>
      </c>
    </row>
    <row r="326" spans="2:7" ht="12" customHeight="1">
      <c r="B326" s="43">
        <v>305</v>
      </c>
      <c r="C326" s="44">
        <v>44866</v>
      </c>
      <c r="D326" s="36">
        <f t="shared" si="18"/>
        <v>3</v>
      </c>
      <c r="E326" s="36" t="str">
        <f t="shared" si="21"/>
        <v>Dia útil</v>
      </c>
      <c r="F326" s="36" t="str">
        <f t="shared" si="19"/>
        <v>Dia útil</v>
      </c>
      <c r="G326" s="36" t="str">
        <f t="shared" si="20"/>
        <v>Dia útil</v>
      </c>
    </row>
    <row r="327" spans="2:7" ht="12" customHeight="1">
      <c r="B327" s="43">
        <v>306</v>
      </c>
      <c r="C327" s="44">
        <v>44867</v>
      </c>
      <c r="D327" s="36">
        <f t="shared" si="18"/>
        <v>4</v>
      </c>
      <c r="E327" s="36" t="str">
        <f t="shared" si="21"/>
        <v>Dia útil</v>
      </c>
      <c r="F327" s="46" t="s">
        <v>1725</v>
      </c>
      <c r="G327" s="36" t="str">
        <f t="shared" si="20"/>
        <v>Feriado</v>
      </c>
    </row>
    <row r="328" spans="2:7" ht="12" customHeight="1">
      <c r="B328" s="43">
        <v>307</v>
      </c>
      <c r="C328" s="44">
        <v>44868</v>
      </c>
      <c r="D328" s="36">
        <f t="shared" si="18"/>
        <v>5</v>
      </c>
      <c r="E328" s="36" t="str">
        <f t="shared" si="21"/>
        <v>Dia útil</v>
      </c>
      <c r="F328" s="36" t="str">
        <f t="shared" si="19"/>
        <v>Dia útil</v>
      </c>
      <c r="G328" s="36" t="str">
        <f t="shared" si="20"/>
        <v>Dia útil</v>
      </c>
    </row>
    <row r="329" spans="2:7" ht="12" customHeight="1">
      <c r="B329" s="43">
        <v>308</v>
      </c>
      <c r="C329" s="44">
        <v>44869</v>
      </c>
      <c r="D329" s="36">
        <f t="shared" si="18"/>
        <v>6</v>
      </c>
      <c r="E329" s="36" t="str">
        <f t="shared" si="21"/>
        <v>Dia útil</v>
      </c>
      <c r="F329" s="36" t="str">
        <f t="shared" si="19"/>
        <v>Dia útil</v>
      </c>
      <c r="G329" s="36" t="str">
        <f t="shared" si="20"/>
        <v>Dia útil</v>
      </c>
    </row>
    <row r="330" spans="2:7" ht="12" customHeight="1">
      <c r="B330" s="43">
        <v>309</v>
      </c>
      <c r="C330" s="44">
        <v>44870</v>
      </c>
      <c r="D330" s="36">
        <f t="shared" si="18"/>
        <v>7</v>
      </c>
      <c r="E330" s="36" t="str">
        <f t="shared" si="21"/>
        <v>Sáb</v>
      </c>
      <c r="F330" s="36" t="str">
        <f t="shared" si="19"/>
        <v>Sáb</v>
      </c>
      <c r="G330" s="36" t="str">
        <f t="shared" si="20"/>
        <v>Sáb</v>
      </c>
    </row>
    <row r="331" spans="2:7" ht="12" customHeight="1">
      <c r="B331" s="43">
        <v>310</v>
      </c>
      <c r="C331" s="44">
        <v>44871</v>
      </c>
      <c r="D331" s="36">
        <f t="shared" si="18"/>
        <v>1</v>
      </c>
      <c r="E331" s="36" t="str">
        <f t="shared" si="21"/>
        <v>Dom</v>
      </c>
      <c r="F331" s="36" t="str">
        <f t="shared" si="19"/>
        <v>Dom</v>
      </c>
      <c r="G331" s="36" t="str">
        <f t="shared" si="20"/>
        <v>Dom</v>
      </c>
    </row>
    <row r="332" spans="2:7" ht="12" customHeight="1">
      <c r="B332" s="43">
        <v>311</v>
      </c>
      <c r="C332" s="44">
        <v>44872</v>
      </c>
      <c r="D332" s="36">
        <f t="shared" si="18"/>
        <v>2</v>
      </c>
      <c r="E332" s="36" t="str">
        <f t="shared" si="21"/>
        <v>Dia útil</v>
      </c>
      <c r="F332" s="36" t="str">
        <f t="shared" si="19"/>
        <v>Dia útil</v>
      </c>
      <c r="G332" s="36" t="str">
        <f t="shared" si="20"/>
        <v>Dia útil</v>
      </c>
    </row>
    <row r="333" spans="2:7" ht="12" customHeight="1">
      <c r="B333" s="43">
        <v>312</v>
      </c>
      <c r="C333" s="44">
        <v>44873</v>
      </c>
      <c r="D333" s="36">
        <f t="shared" si="18"/>
        <v>3</v>
      </c>
      <c r="E333" s="36" t="str">
        <f t="shared" si="21"/>
        <v>Dia útil</v>
      </c>
      <c r="F333" s="36" t="str">
        <f t="shared" si="19"/>
        <v>Dia útil</v>
      </c>
      <c r="G333" s="36" t="str">
        <f t="shared" si="20"/>
        <v>Dia útil</v>
      </c>
    </row>
    <row r="334" spans="2:7" ht="12" customHeight="1">
      <c r="B334" s="43">
        <v>313</v>
      </c>
      <c r="C334" s="44">
        <v>44874</v>
      </c>
      <c r="D334" s="36">
        <f t="shared" si="18"/>
        <v>4</v>
      </c>
      <c r="E334" s="36" t="str">
        <f t="shared" si="21"/>
        <v>Dia útil</v>
      </c>
      <c r="F334" s="36" t="str">
        <f t="shared" si="19"/>
        <v>Dia útil</v>
      </c>
      <c r="G334" s="36" t="str">
        <f t="shared" si="20"/>
        <v>Dia útil</v>
      </c>
    </row>
    <row r="335" spans="2:7" ht="12" customHeight="1">
      <c r="B335" s="43">
        <v>314</v>
      </c>
      <c r="C335" s="44">
        <v>44875</v>
      </c>
      <c r="D335" s="36">
        <f t="shared" si="18"/>
        <v>5</v>
      </c>
      <c r="E335" s="36" t="str">
        <f t="shared" si="21"/>
        <v>Dia útil</v>
      </c>
      <c r="F335" s="36" t="str">
        <f t="shared" si="19"/>
        <v>Dia útil</v>
      </c>
      <c r="G335" s="36" t="str">
        <f t="shared" si="20"/>
        <v>Dia útil</v>
      </c>
    </row>
    <row r="336" spans="2:7" ht="12" customHeight="1">
      <c r="B336" s="43">
        <v>315</v>
      </c>
      <c r="C336" s="44">
        <v>44876</v>
      </c>
      <c r="D336" s="36">
        <f t="shared" si="18"/>
        <v>6</v>
      </c>
      <c r="E336" s="36" t="str">
        <f t="shared" si="21"/>
        <v>Dia útil</v>
      </c>
      <c r="F336" s="36" t="str">
        <f t="shared" si="19"/>
        <v>Dia útil</v>
      </c>
      <c r="G336" s="36" t="str">
        <f t="shared" si="20"/>
        <v>Dia útil</v>
      </c>
    </row>
    <row r="337" spans="2:7" ht="12" customHeight="1">
      <c r="B337" s="43">
        <v>316</v>
      </c>
      <c r="C337" s="44">
        <v>44877</v>
      </c>
      <c r="D337" s="36">
        <f t="shared" si="18"/>
        <v>7</v>
      </c>
      <c r="E337" s="36" t="str">
        <f t="shared" si="21"/>
        <v>Sáb</v>
      </c>
      <c r="F337" s="36" t="str">
        <f t="shared" si="19"/>
        <v>Sáb</v>
      </c>
      <c r="G337" s="36" t="str">
        <f t="shared" si="20"/>
        <v>Sáb</v>
      </c>
    </row>
    <row r="338" spans="2:7" ht="12" customHeight="1">
      <c r="B338" s="43">
        <v>317</v>
      </c>
      <c r="C338" s="44">
        <v>44878</v>
      </c>
      <c r="D338" s="36">
        <f t="shared" si="18"/>
        <v>1</v>
      </c>
      <c r="E338" s="36" t="str">
        <f t="shared" si="21"/>
        <v>Dom</v>
      </c>
      <c r="F338" s="36" t="str">
        <f t="shared" si="19"/>
        <v>Dom</v>
      </c>
      <c r="G338" s="36" t="str">
        <f t="shared" si="20"/>
        <v>Dom</v>
      </c>
    </row>
    <row r="339" spans="2:7" ht="12" customHeight="1">
      <c r="B339" s="43">
        <v>318</v>
      </c>
      <c r="C339" s="44">
        <v>44879</v>
      </c>
      <c r="D339" s="36">
        <f t="shared" si="18"/>
        <v>2</v>
      </c>
      <c r="E339" s="36" t="str">
        <f t="shared" si="21"/>
        <v>Dia útil</v>
      </c>
      <c r="F339" s="36" t="str">
        <f t="shared" si="19"/>
        <v>Dia útil</v>
      </c>
      <c r="G339" s="36" t="str">
        <f t="shared" si="20"/>
        <v>Dia útil</v>
      </c>
    </row>
    <row r="340" spans="2:7" ht="12" customHeight="1">
      <c r="B340" s="43">
        <v>319</v>
      </c>
      <c r="C340" s="44">
        <v>44880</v>
      </c>
      <c r="D340" s="36">
        <f t="shared" si="18"/>
        <v>3</v>
      </c>
      <c r="E340" s="36" t="str">
        <f t="shared" si="21"/>
        <v>Dia útil</v>
      </c>
      <c r="F340" s="46" t="s">
        <v>1725</v>
      </c>
      <c r="G340" s="36" t="str">
        <f t="shared" si="20"/>
        <v>Feriado</v>
      </c>
    </row>
    <row r="341" spans="2:7" ht="12" customHeight="1">
      <c r="B341" s="43">
        <v>320</v>
      </c>
      <c r="C341" s="44">
        <v>44881</v>
      </c>
      <c r="D341" s="36">
        <f t="shared" si="18"/>
        <v>4</v>
      </c>
      <c r="E341" s="36" t="str">
        <f t="shared" si="21"/>
        <v>Dia útil</v>
      </c>
      <c r="F341" s="36" t="str">
        <f t="shared" si="19"/>
        <v>Dia útil</v>
      </c>
      <c r="G341" s="36" t="str">
        <f t="shared" si="20"/>
        <v>Dia útil</v>
      </c>
    </row>
    <row r="342" spans="2:7" ht="12" customHeight="1">
      <c r="B342" s="43">
        <v>321</v>
      </c>
      <c r="C342" s="44">
        <v>44882</v>
      </c>
      <c r="D342" s="36">
        <f t="shared" si="18"/>
        <v>5</v>
      </c>
      <c r="E342" s="36" t="str">
        <f t="shared" si="21"/>
        <v>Dia útil</v>
      </c>
      <c r="F342" s="36" t="str">
        <f t="shared" si="19"/>
        <v>Dia útil</v>
      </c>
      <c r="G342" s="36" t="str">
        <f t="shared" si="20"/>
        <v>Dia útil</v>
      </c>
    </row>
    <row r="343" spans="2:7" ht="12" customHeight="1">
      <c r="B343" s="43">
        <v>322</v>
      </c>
      <c r="C343" s="44">
        <v>44883</v>
      </c>
      <c r="D343" s="36">
        <f t="shared" ref="D343:D406" si="22">WEEKDAY(C343,1)</f>
        <v>6</v>
      </c>
      <c r="E343" s="36" t="str">
        <f t="shared" si="21"/>
        <v>Dia útil</v>
      </c>
      <c r="F343" s="36" t="str">
        <f t="shared" ref="F343:F406" si="23">E343</f>
        <v>Dia útil</v>
      </c>
      <c r="G343" s="36" t="str">
        <f t="shared" ref="G343:G406" si="24">IF(AND(F343="Feriado",OR(E343="Sáb",E343="Dom")),E343,IF(AND(F343="Feriado",E343="Dia útil"),"Feriado",E343))</f>
        <v>Dia útil</v>
      </c>
    </row>
    <row r="344" spans="2:7" ht="12" customHeight="1">
      <c r="B344" s="43">
        <v>323</v>
      </c>
      <c r="C344" s="44">
        <v>44884</v>
      </c>
      <c r="D344" s="36">
        <f t="shared" si="22"/>
        <v>7</v>
      </c>
      <c r="E344" s="36" t="str">
        <f t="shared" si="21"/>
        <v>Sáb</v>
      </c>
      <c r="F344" s="36" t="str">
        <f t="shared" si="23"/>
        <v>Sáb</v>
      </c>
      <c r="G344" s="36" t="str">
        <f t="shared" si="24"/>
        <v>Sáb</v>
      </c>
    </row>
    <row r="345" spans="2:7" ht="12" customHeight="1">
      <c r="B345" s="43">
        <v>324</v>
      </c>
      <c r="C345" s="44">
        <v>44885</v>
      </c>
      <c r="D345" s="36">
        <f t="shared" si="22"/>
        <v>1</v>
      </c>
      <c r="E345" s="36" t="str">
        <f t="shared" ref="E345:E408" si="25">IF(D345=1,"Dom",IF(D345=7,"Sáb","Dia útil"))</f>
        <v>Dom</v>
      </c>
      <c r="F345" s="36" t="str">
        <f t="shared" si="23"/>
        <v>Dom</v>
      </c>
      <c r="G345" s="36" t="str">
        <f t="shared" si="24"/>
        <v>Dom</v>
      </c>
    </row>
    <row r="346" spans="2:7" ht="12" customHeight="1">
      <c r="B346" s="43">
        <v>325</v>
      </c>
      <c r="C346" s="44">
        <v>44886</v>
      </c>
      <c r="D346" s="36">
        <f t="shared" si="22"/>
        <v>2</v>
      </c>
      <c r="E346" s="36" t="str">
        <f t="shared" si="25"/>
        <v>Dia útil</v>
      </c>
      <c r="F346" s="36" t="str">
        <f t="shared" si="23"/>
        <v>Dia útil</v>
      </c>
      <c r="G346" s="36" t="str">
        <f t="shared" si="24"/>
        <v>Dia útil</v>
      </c>
    </row>
    <row r="347" spans="2:7" ht="12" customHeight="1">
      <c r="B347" s="43">
        <v>326</v>
      </c>
      <c r="C347" s="44">
        <v>44887</v>
      </c>
      <c r="D347" s="36">
        <f t="shared" si="22"/>
        <v>3</v>
      </c>
      <c r="E347" s="36" t="str">
        <f t="shared" si="25"/>
        <v>Dia útil</v>
      </c>
      <c r="F347" s="36" t="str">
        <f t="shared" si="23"/>
        <v>Dia útil</v>
      </c>
      <c r="G347" s="36" t="str">
        <f t="shared" si="24"/>
        <v>Dia útil</v>
      </c>
    </row>
    <row r="348" spans="2:7" ht="12" customHeight="1">
      <c r="B348" s="43">
        <v>327</v>
      </c>
      <c r="C348" s="44">
        <v>44888</v>
      </c>
      <c r="D348" s="36">
        <f t="shared" si="22"/>
        <v>4</v>
      </c>
      <c r="E348" s="36" t="str">
        <f t="shared" si="25"/>
        <v>Dia útil</v>
      </c>
      <c r="F348" s="36" t="str">
        <f t="shared" si="23"/>
        <v>Dia útil</v>
      </c>
      <c r="G348" s="36" t="str">
        <f t="shared" si="24"/>
        <v>Dia útil</v>
      </c>
    </row>
    <row r="349" spans="2:7" ht="12" customHeight="1">
      <c r="B349" s="43">
        <v>328</v>
      </c>
      <c r="C349" s="44">
        <v>44889</v>
      </c>
      <c r="D349" s="36">
        <f t="shared" si="22"/>
        <v>5</v>
      </c>
      <c r="E349" s="36" t="str">
        <f t="shared" si="25"/>
        <v>Dia útil</v>
      </c>
      <c r="F349" s="36" t="str">
        <f t="shared" si="23"/>
        <v>Dia útil</v>
      </c>
      <c r="G349" s="36" t="str">
        <f t="shared" si="24"/>
        <v>Dia útil</v>
      </c>
    </row>
    <row r="350" spans="2:7" ht="12" customHeight="1">
      <c r="B350" s="43">
        <v>329</v>
      </c>
      <c r="C350" s="44">
        <v>44890</v>
      </c>
      <c r="D350" s="36">
        <f t="shared" si="22"/>
        <v>6</v>
      </c>
      <c r="E350" s="36" t="str">
        <f t="shared" si="25"/>
        <v>Dia útil</v>
      </c>
      <c r="F350" s="36" t="str">
        <f t="shared" si="23"/>
        <v>Dia útil</v>
      </c>
      <c r="G350" s="36" t="str">
        <f t="shared" si="24"/>
        <v>Dia útil</v>
      </c>
    </row>
    <row r="351" spans="2:7" ht="12" customHeight="1">
      <c r="B351" s="43">
        <v>330</v>
      </c>
      <c r="C351" s="44">
        <v>44891</v>
      </c>
      <c r="D351" s="36">
        <f t="shared" si="22"/>
        <v>7</v>
      </c>
      <c r="E351" s="36" t="str">
        <f t="shared" si="25"/>
        <v>Sáb</v>
      </c>
      <c r="F351" s="36" t="str">
        <f t="shared" si="23"/>
        <v>Sáb</v>
      </c>
      <c r="G351" s="36" t="str">
        <f t="shared" si="24"/>
        <v>Sáb</v>
      </c>
    </row>
    <row r="352" spans="2:7" ht="12" customHeight="1">
      <c r="B352" s="43">
        <v>331</v>
      </c>
      <c r="C352" s="44">
        <v>44892</v>
      </c>
      <c r="D352" s="36">
        <f t="shared" si="22"/>
        <v>1</v>
      </c>
      <c r="E352" s="36" t="str">
        <f t="shared" si="25"/>
        <v>Dom</v>
      </c>
      <c r="F352" s="36" t="str">
        <f t="shared" si="23"/>
        <v>Dom</v>
      </c>
      <c r="G352" s="36" t="str">
        <f t="shared" si="24"/>
        <v>Dom</v>
      </c>
    </row>
    <row r="353" spans="2:7" ht="12" customHeight="1">
      <c r="B353" s="43">
        <v>332</v>
      </c>
      <c r="C353" s="44">
        <v>44893</v>
      </c>
      <c r="D353" s="36">
        <f t="shared" si="22"/>
        <v>2</v>
      </c>
      <c r="E353" s="36" t="str">
        <f t="shared" si="25"/>
        <v>Dia útil</v>
      </c>
      <c r="F353" s="36" t="str">
        <f t="shared" si="23"/>
        <v>Dia útil</v>
      </c>
      <c r="G353" s="36" t="str">
        <f t="shared" si="24"/>
        <v>Dia útil</v>
      </c>
    </row>
    <row r="354" spans="2:7" ht="12" customHeight="1">
      <c r="B354" s="43">
        <v>333</v>
      </c>
      <c r="C354" s="44">
        <v>44894</v>
      </c>
      <c r="D354" s="36">
        <f t="shared" si="22"/>
        <v>3</v>
      </c>
      <c r="E354" s="36" t="str">
        <f t="shared" si="25"/>
        <v>Dia útil</v>
      </c>
      <c r="F354" s="36" t="str">
        <f t="shared" si="23"/>
        <v>Dia útil</v>
      </c>
      <c r="G354" s="36" t="str">
        <f t="shared" si="24"/>
        <v>Dia útil</v>
      </c>
    </row>
    <row r="355" spans="2:7" ht="12" customHeight="1">
      <c r="B355" s="43">
        <v>334</v>
      </c>
      <c r="C355" s="44">
        <v>44895</v>
      </c>
      <c r="D355" s="36">
        <f t="shared" si="22"/>
        <v>4</v>
      </c>
      <c r="E355" s="36" t="str">
        <f t="shared" si="25"/>
        <v>Dia útil</v>
      </c>
      <c r="F355" s="36" t="str">
        <f t="shared" si="23"/>
        <v>Dia útil</v>
      </c>
      <c r="G355" s="36" t="str">
        <f t="shared" si="24"/>
        <v>Dia útil</v>
      </c>
    </row>
    <row r="356" spans="2:7" ht="12" customHeight="1">
      <c r="B356" s="43">
        <v>335</v>
      </c>
      <c r="C356" s="44">
        <v>44896</v>
      </c>
      <c r="D356" s="36">
        <f t="shared" si="22"/>
        <v>5</v>
      </c>
      <c r="E356" s="36" t="str">
        <f t="shared" si="25"/>
        <v>Dia útil</v>
      </c>
      <c r="F356" s="36" t="str">
        <f t="shared" si="23"/>
        <v>Dia útil</v>
      </c>
      <c r="G356" s="36" t="str">
        <f t="shared" si="24"/>
        <v>Dia útil</v>
      </c>
    </row>
    <row r="357" spans="2:7" ht="12" customHeight="1">
      <c r="B357" s="43">
        <v>336</v>
      </c>
      <c r="C357" s="44">
        <v>44897</v>
      </c>
      <c r="D357" s="36">
        <f t="shared" si="22"/>
        <v>6</v>
      </c>
      <c r="E357" s="36" t="str">
        <f t="shared" si="25"/>
        <v>Dia útil</v>
      </c>
      <c r="F357" s="36" t="str">
        <f t="shared" si="23"/>
        <v>Dia útil</v>
      </c>
      <c r="G357" s="36" t="str">
        <f t="shared" si="24"/>
        <v>Dia útil</v>
      </c>
    </row>
    <row r="358" spans="2:7" ht="12" customHeight="1">
      <c r="B358" s="43">
        <v>337</v>
      </c>
      <c r="C358" s="44">
        <v>44898</v>
      </c>
      <c r="D358" s="36">
        <f t="shared" si="22"/>
        <v>7</v>
      </c>
      <c r="E358" s="36" t="str">
        <f t="shared" si="25"/>
        <v>Sáb</v>
      </c>
      <c r="F358" s="36" t="str">
        <f t="shared" si="23"/>
        <v>Sáb</v>
      </c>
      <c r="G358" s="36" t="str">
        <f t="shared" si="24"/>
        <v>Sáb</v>
      </c>
    </row>
    <row r="359" spans="2:7" ht="12" customHeight="1">
      <c r="B359" s="43">
        <v>338</v>
      </c>
      <c r="C359" s="44">
        <v>44899</v>
      </c>
      <c r="D359" s="36">
        <f t="shared" si="22"/>
        <v>1</v>
      </c>
      <c r="E359" s="36" t="str">
        <f t="shared" si="25"/>
        <v>Dom</v>
      </c>
      <c r="F359" s="36" t="str">
        <f t="shared" si="23"/>
        <v>Dom</v>
      </c>
      <c r="G359" s="36" t="str">
        <f t="shared" si="24"/>
        <v>Dom</v>
      </c>
    </row>
    <row r="360" spans="2:7" ht="12" customHeight="1">
      <c r="B360" s="43">
        <v>339</v>
      </c>
      <c r="C360" s="44">
        <v>44900</v>
      </c>
      <c r="D360" s="36">
        <f t="shared" si="22"/>
        <v>2</v>
      </c>
      <c r="E360" s="36" t="str">
        <f t="shared" si="25"/>
        <v>Dia útil</v>
      </c>
      <c r="F360" s="36" t="str">
        <f t="shared" si="23"/>
        <v>Dia útil</v>
      </c>
      <c r="G360" s="36" t="str">
        <f t="shared" si="24"/>
        <v>Dia útil</v>
      </c>
    </row>
    <row r="361" spans="2:7" ht="12" customHeight="1">
      <c r="B361" s="43">
        <v>340</v>
      </c>
      <c r="C361" s="44">
        <v>44901</v>
      </c>
      <c r="D361" s="36">
        <f t="shared" si="22"/>
        <v>3</v>
      </c>
      <c r="E361" s="36" t="str">
        <f t="shared" si="25"/>
        <v>Dia útil</v>
      </c>
      <c r="F361" s="36" t="str">
        <f t="shared" si="23"/>
        <v>Dia útil</v>
      </c>
      <c r="G361" s="36" t="str">
        <f t="shared" si="24"/>
        <v>Dia útil</v>
      </c>
    </row>
    <row r="362" spans="2:7" ht="12" customHeight="1">
      <c r="B362" s="43">
        <v>341</v>
      </c>
      <c r="C362" s="44">
        <v>44902</v>
      </c>
      <c r="D362" s="36">
        <f t="shared" si="22"/>
        <v>4</v>
      </c>
      <c r="E362" s="36" t="str">
        <f t="shared" si="25"/>
        <v>Dia útil</v>
      </c>
      <c r="F362" s="36" t="str">
        <f t="shared" si="23"/>
        <v>Dia útil</v>
      </c>
      <c r="G362" s="36" t="str">
        <f t="shared" si="24"/>
        <v>Dia útil</v>
      </c>
    </row>
    <row r="363" spans="2:7" ht="12" customHeight="1">
      <c r="B363" s="43">
        <v>342</v>
      </c>
      <c r="C363" s="44">
        <v>44903</v>
      </c>
      <c r="D363" s="36">
        <f t="shared" si="22"/>
        <v>5</v>
      </c>
      <c r="E363" s="36" t="str">
        <f t="shared" si="25"/>
        <v>Dia útil</v>
      </c>
      <c r="F363" s="36" t="str">
        <f t="shared" si="23"/>
        <v>Dia útil</v>
      </c>
      <c r="G363" s="36" t="str">
        <f t="shared" si="24"/>
        <v>Dia útil</v>
      </c>
    </row>
    <row r="364" spans="2:7" ht="12" customHeight="1">
      <c r="B364" s="43">
        <v>343</v>
      </c>
      <c r="C364" s="44">
        <v>44904</v>
      </c>
      <c r="D364" s="36">
        <f t="shared" si="22"/>
        <v>6</v>
      </c>
      <c r="E364" s="36" t="str">
        <f t="shared" si="25"/>
        <v>Dia útil</v>
      </c>
      <c r="F364" s="36" t="str">
        <f t="shared" si="23"/>
        <v>Dia útil</v>
      </c>
      <c r="G364" s="36" t="str">
        <f t="shared" si="24"/>
        <v>Dia útil</v>
      </c>
    </row>
    <row r="365" spans="2:7" ht="12" customHeight="1">
      <c r="B365" s="43">
        <v>344</v>
      </c>
      <c r="C365" s="44">
        <v>44905</v>
      </c>
      <c r="D365" s="36">
        <f t="shared" si="22"/>
        <v>7</v>
      </c>
      <c r="E365" s="36" t="str">
        <f t="shared" si="25"/>
        <v>Sáb</v>
      </c>
      <c r="F365" s="36" t="str">
        <f t="shared" si="23"/>
        <v>Sáb</v>
      </c>
      <c r="G365" s="36" t="str">
        <f t="shared" si="24"/>
        <v>Sáb</v>
      </c>
    </row>
    <row r="366" spans="2:7" ht="12" customHeight="1">
      <c r="B366" s="43">
        <v>345</v>
      </c>
      <c r="C366" s="44">
        <v>44906</v>
      </c>
      <c r="D366" s="36">
        <f t="shared" si="22"/>
        <v>1</v>
      </c>
      <c r="E366" s="36" t="str">
        <f t="shared" si="25"/>
        <v>Dom</v>
      </c>
      <c r="F366" s="36" t="str">
        <f t="shared" si="23"/>
        <v>Dom</v>
      </c>
      <c r="G366" s="36" t="str">
        <f t="shared" si="24"/>
        <v>Dom</v>
      </c>
    </row>
    <row r="367" spans="2:7" ht="12" customHeight="1">
      <c r="B367" s="43">
        <v>346</v>
      </c>
      <c r="C367" s="44">
        <v>44907</v>
      </c>
      <c r="D367" s="36">
        <f t="shared" si="22"/>
        <v>2</v>
      </c>
      <c r="E367" s="36" t="str">
        <f t="shared" si="25"/>
        <v>Dia útil</v>
      </c>
      <c r="F367" s="36" t="str">
        <f t="shared" si="23"/>
        <v>Dia útil</v>
      </c>
      <c r="G367" s="36" t="str">
        <f t="shared" si="24"/>
        <v>Dia útil</v>
      </c>
    </row>
    <row r="368" spans="2:7" ht="12" customHeight="1">
      <c r="B368" s="43">
        <v>347</v>
      </c>
      <c r="C368" s="44">
        <v>44908</v>
      </c>
      <c r="D368" s="36">
        <f t="shared" si="22"/>
        <v>3</v>
      </c>
      <c r="E368" s="36" t="str">
        <f t="shared" si="25"/>
        <v>Dia útil</v>
      </c>
      <c r="F368" s="36" t="str">
        <f t="shared" si="23"/>
        <v>Dia útil</v>
      </c>
      <c r="G368" s="36" t="str">
        <f t="shared" si="24"/>
        <v>Dia útil</v>
      </c>
    </row>
    <row r="369" spans="2:7" ht="12" customHeight="1">
      <c r="B369" s="43">
        <v>348</v>
      </c>
      <c r="C369" s="44">
        <v>44909</v>
      </c>
      <c r="D369" s="36">
        <f t="shared" si="22"/>
        <v>4</v>
      </c>
      <c r="E369" s="36" t="str">
        <f t="shared" si="25"/>
        <v>Dia útil</v>
      </c>
      <c r="F369" s="36" t="str">
        <f t="shared" si="23"/>
        <v>Dia útil</v>
      </c>
      <c r="G369" s="36" t="str">
        <f t="shared" si="24"/>
        <v>Dia útil</v>
      </c>
    </row>
    <row r="370" spans="2:7" ht="12" customHeight="1">
      <c r="B370" s="43">
        <v>349</v>
      </c>
      <c r="C370" s="44">
        <v>44910</v>
      </c>
      <c r="D370" s="36">
        <f t="shared" si="22"/>
        <v>5</v>
      </c>
      <c r="E370" s="36" t="str">
        <f t="shared" si="25"/>
        <v>Dia útil</v>
      </c>
      <c r="F370" s="36" t="str">
        <f t="shared" si="23"/>
        <v>Dia útil</v>
      </c>
      <c r="G370" s="36" t="str">
        <f t="shared" si="24"/>
        <v>Dia útil</v>
      </c>
    </row>
    <row r="371" spans="2:7" ht="12" customHeight="1">
      <c r="B371" s="43">
        <v>350</v>
      </c>
      <c r="C371" s="44">
        <v>44911</v>
      </c>
      <c r="D371" s="36">
        <f t="shared" si="22"/>
        <v>6</v>
      </c>
      <c r="E371" s="36" t="str">
        <f t="shared" si="25"/>
        <v>Dia útil</v>
      </c>
      <c r="F371" s="36" t="str">
        <f t="shared" si="23"/>
        <v>Dia útil</v>
      </c>
      <c r="G371" s="36" t="str">
        <f t="shared" si="24"/>
        <v>Dia útil</v>
      </c>
    </row>
    <row r="372" spans="2:7" ht="12" customHeight="1">
      <c r="B372" s="43">
        <v>351</v>
      </c>
      <c r="C372" s="44">
        <v>44912</v>
      </c>
      <c r="D372" s="36">
        <f t="shared" si="22"/>
        <v>7</v>
      </c>
      <c r="E372" s="36" t="str">
        <f t="shared" si="25"/>
        <v>Sáb</v>
      </c>
      <c r="F372" s="36" t="str">
        <f t="shared" si="23"/>
        <v>Sáb</v>
      </c>
      <c r="G372" s="36" t="str">
        <f t="shared" si="24"/>
        <v>Sáb</v>
      </c>
    </row>
    <row r="373" spans="2:7" ht="12" customHeight="1">
      <c r="B373" s="43">
        <v>352</v>
      </c>
      <c r="C373" s="44">
        <v>44913</v>
      </c>
      <c r="D373" s="36">
        <f t="shared" si="22"/>
        <v>1</v>
      </c>
      <c r="E373" s="36" t="str">
        <f t="shared" si="25"/>
        <v>Dom</v>
      </c>
      <c r="F373" s="36" t="str">
        <f t="shared" si="23"/>
        <v>Dom</v>
      </c>
      <c r="G373" s="36" t="str">
        <f t="shared" si="24"/>
        <v>Dom</v>
      </c>
    </row>
    <row r="374" spans="2:7" ht="12" customHeight="1">
      <c r="B374" s="43">
        <v>353</v>
      </c>
      <c r="C374" s="44">
        <v>44914</v>
      </c>
      <c r="D374" s="36">
        <f t="shared" si="22"/>
        <v>2</v>
      </c>
      <c r="E374" s="36" t="str">
        <f t="shared" si="25"/>
        <v>Dia útil</v>
      </c>
      <c r="F374" s="36" t="str">
        <f t="shared" si="23"/>
        <v>Dia útil</v>
      </c>
      <c r="G374" s="36" t="str">
        <f t="shared" si="24"/>
        <v>Dia útil</v>
      </c>
    </row>
    <row r="375" spans="2:7" ht="12" customHeight="1">
      <c r="B375" s="43">
        <v>354</v>
      </c>
      <c r="C375" s="44">
        <v>44915</v>
      </c>
      <c r="D375" s="36">
        <f t="shared" si="22"/>
        <v>3</v>
      </c>
      <c r="E375" s="36" t="str">
        <f t="shared" si="25"/>
        <v>Dia útil</v>
      </c>
      <c r="F375" s="36" t="str">
        <f t="shared" si="23"/>
        <v>Dia útil</v>
      </c>
      <c r="G375" s="36" t="str">
        <f t="shared" si="24"/>
        <v>Dia útil</v>
      </c>
    </row>
    <row r="376" spans="2:7" ht="12" customHeight="1">
      <c r="B376" s="43">
        <v>355</v>
      </c>
      <c r="C376" s="44">
        <v>44916</v>
      </c>
      <c r="D376" s="36">
        <f t="shared" si="22"/>
        <v>4</v>
      </c>
      <c r="E376" s="36" t="str">
        <f t="shared" si="25"/>
        <v>Dia útil</v>
      </c>
      <c r="F376" s="36" t="str">
        <f t="shared" si="23"/>
        <v>Dia útil</v>
      </c>
      <c r="G376" s="36" t="str">
        <f t="shared" si="24"/>
        <v>Dia útil</v>
      </c>
    </row>
    <row r="377" spans="2:7" ht="12" customHeight="1">
      <c r="B377" s="43">
        <v>356</v>
      </c>
      <c r="C377" s="44">
        <v>44917</v>
      </c>
      <c r="D377" s="36">
        <f t="shared" si="22"/>
        <v>5</v>
      </c>
      <c r="E377" s="36" t="str">
        <f t="shared" si="25"/>
        <v>Dia útil</v>
      </c>
      <c r="F377" s="36" t="str">
        <f t="shared" si="23"/>
        <v>Dia útil</v>
      </c>
      <c r="G377" s="36" t="str">
        <f t="shared" si="24"/>
        <v>Dia útil</v>
      </c>
    </row>
    <row r="378" spans="2:7" ht="12" customHeight="1">
      <c r="B378" s="43">
        <v>357</v>
      </c>
      <c r="C378" s="44">
        <v>44918</v>
      </c>
      <c r="D378" s="36">
        <f t="shared" si="22"/>
        <v>6</v>
      </c>
      <c r="E378" s="36" t="str">
        <f t="shared" si="25"/>
        <v>Dia útil</v>
      </c>
      <c r="F378" s="36" t="str">
        <f t="shared" si="23"/>
        <v>Dia útil</v>
      </c>
      <c r="G378" s="36" t="str">
        <f t="shared" si="24"/>
        <v>Dia útil</v>
      </c>
    </row>
    <row r="379" spans="2:7" ht="12" customHeight="1">
      <c r="B379" s="43">
        <v>358</v>
      </c>
      <c r="C379" s="44">
        <v>44919</v>
      </c>
      <c r="D379" s="36">
        <f t="shared" si="22"/>
        <v>7</v>
      </c>
      <c r="E379" s="36" t="str">
        <f t="shared" si="25"/>
        <v>Sáb</v>
      </c>
      <c r="F379" s="36" t="str">
        <f t="shared" si="23"/>
        <v>Sáb</v>
      </c>
      <c r="G379" s="36" t="str">
        <f t="shared" si="24"/>
        <v>Sáb</v>
      </c>
    </row>
    <row r="380" spans="2:7" ht="12" customHeight="1">
      <c r="B380" s="43">
        <v>359</v>
      </c>
      <c r="C380" s="44">
        <v>44920</v>
      </c>
      <c r="D380" s="36">
        <f t="shared" si="22"/>
        <v>1</v>
      </c>
      <c r="E380" s="36" t="str">
        <f t="shared" si="25"/>
        <v>Dom</v>
      </c>
      <c r="F380" s="46" t="s">
        <v>1725</v>
      </c>
      <c r="G380" s="36" t="str">
        <f t="shared" si="24"/>
        <v>Dom</v>
      </c>
    </row>
    <row r="381" spans="2:7" ht="12" customHeight="1">
      <c r="B381" s="43">
        <v>360</v>
      </c>
      <c r="C381" s="44">
        <v>44921</v>
      </c>
      <c r="D381" s="36">
        <f t="shared" si="22"/>
        <v>2</v>
      </c>
      <c r="E381" s="36" t="str">
        <f t="shared" si="25"/>
        <v>Dia útil</v>
      </c>
      <c r="F381" s="36" t="str">
        <f t="shared" si="23"/>
        <v>Dia útil</v>
      </c>
      <c r="G381" s="36" t="str">
        <f t="shared" si="24"/>
        <v>Dia útil</v>
      </c>
    </row>
    <row r="382" spans="2:7" ht="12" customHeight="1">
      <c r="B382" s="43">
        <v>361</v>
      </c>
      <c r="C382" s="44">
        <v>44922</v>
      </c>
      <c r="D382" s="36">
        <f t="shared" si="22"/>
        <v>3</v>
      </c>
      <c r="E382" s="36" t="str">
        <f t="shared" si="25"/>
        <v>Dia útil</v>
      </c>
      <c r="F382" s="36" t="str">
        <f t="shared" si="23"/>
        <v>Dia útil</v>
      </c>
      <c r="G382" s="36" t="str">
        <f t="shared" si="24"/>
        <v>Dia útil</v>
      </c>
    </row>
    <row r="383" spans="2:7" ht="12" customHeight="1">
      <c r="B383" s="43">
        <v>362</v>
      </c>
      <c r="C383" s="44">
        <v>44923</v>
      </c>
      <c r="D383" s="36">
        <f t="shared" si="22"/>
        <v>4</v>
      </c>
      <c r="E383" s="36" t="str">
        <f t="shared" si="25"/>
        <v>Dia útil</v>
      </c>
      <c r="F383" s="36" t="str">
        <f t="shared" si="23"/>
        <v>Dia útil</v>
      </c>
      <c r="G383" s="36" t="str">
        <f t="shared" si="24"/>
        <v>Dia útil</v>
      </c>
    </row>
    <row r="384" spans="2:7" ht="12" customHeight="1">
      <c r="B384" s="43">
        <v>363</v>
      </c>
      <c r="C384" s="44">
        <v>44924</v>
      </c>
      <c r="D384" s="36">
        <f t="shared" si="22"/>
        <v>5</v>
      </c>
      <c r="E384" s="36" t="str">
        <f t="shared" si="25"/>
        <v>Dia útil</v>
      </c>
      <c r="F384" s="36" t="str">
        <f t="shared" si="23"/>
        <v>Dia útil</v>
      </c>
      <c r="G384" s="36" t="str">
        <f t="shared" si="24"/>
        <v>Dia útil</v>
      </c>
    </row>
    <row r="385" spans="2:7" ht="12" customHeight="1">
      <c r="B385" s="43">
        <v>364</v>
      </c>
      <c r="C385" s="44">
        <v>44925</v>
      </c>
      <c r="D385" s="36">
        <f t="shared" si="22"/>
        <v>6</v>
      </c>
      <c r="E385" s="36" t="str">
        <f t="shared" si="25"/>
        <v>Dia útil</v>
      </c>
      <c r="F385" s="36" t="str">
        <f t="shared" si="23"/>
        <v>Dia útil</v>
      </c>
      <c r="G385" s="36" t="str">
        <f t="shared" si="24"/>
        <v>Dia útil</v>
      </c>
    </row>
    <row r="386" spans="2:7" ht="12" customHeight="1">
      <c r="B386" s="43">
        <v>365</v>
      </c>
      <c r="C386" s="44">
        <v>44926</v>
      </c>
      <c r="D386" s="36">
        <f t="shared" si="22"/>
        <v>7</v>
      </c>
      <c r="E386" s="36" t="str">
        <f t="shared" si="25"/>
        <v>Sáb</v>
      </c>
      <c r="F386" s="36" t="str">
        <f t="shared" si="23"/>
        <v>Sáb</v>
      </c>
      <c r="G386" s="36" t="str">
        <f t="shared" si="24"/>
        <v>Sáb</v>
      </c>
    </row>
    <row r="387" spans="2:7" ht="12" customHeight="1">
      <c r="B387" s="43">
        <v>366</v>
      </c>
      <c r="C387" s="44">
        <v>44927</v>
      </c>
      <c r="D387" s="36">
        <f t="shared" si="22"/>
        <v>1</v>
      </c>
      <c r="E387" s="36" t="str">
        <f t="shared" si="25"/>
        <v>Dom</v>
      </c>
      <c r="F387" s="36" t="str">
        <f t="shared" si="23"/>
        <v>Dom</v>
      </c>
      <c r="G387" s="36" t="str">
        <f t="shared" si="24"/>
        <v>Dom</v>
      </c>
    </row>
    <row r="388" spans="2:7" ht="12" customHeight="1">
      <c r="B388" s="43">
        <v>367</v>
      </c>
      <c r="C388" s="44">
        <v>44928</v>
      </c>
      <c r="D388" s="36">
        <f t="shared" si="22"/>
        <v>2</v>
      </c>
      <c r="E388" s="36" t="str">
        <f t="shared" si="25"/>
        <v>Dia útil</v>
      </c>
      <c r="F388" s="36" t="str">
        <f t="shared" si="23"/>
        <v>Dia útil</v>
      </c>
      <c r="G388" s="36" t="str">
        <f t="shared" si="24"/>
        <v>Dia útil</v>
      </c>
    </row>
    <row r="389" spans="2:7" ht="12" customHeight="1">
      <c r="B389" s="43">
        <v>368</v>
      </c>
      <c r="C389" s="44">
        <v>44929</v>
      </c>
      <c r="D389" s="36">
        <f t="shared" si="22"/>
        <v>3</v>
      </c>
      <c r="E389" s="36" t="str">
        <f t="shared" si="25"/>
        <v>Dia útil</v>
      </c>
      <c r="F389" s="36" t="str">
        <f t="shared" si="23"/>
        <v>Dia útil</v>
      </c>
      <c r="G389" s="36" t="str">
        <f t="shared" si="24"/>
        <v>Dia útil</v>
      </c>
    </row>
    <row r="390" spans="2:7" ht="12" customHeight="1">
      <c r="B390" s="43">
        <v>369</v>
      </c>
      <c r="C390" s="44">
        <v>44930</v>
      </c>
      <c r="D390" s="36">
        <f t="shared" si="22"/>
        <v>4</v>
      </c>
      <c r="E390" s="36" t="str">
        <f t="shared" si="25"/>
        <v>Dia útil</v>
      </c>
      <c r="F390" s="36" t="str">
        <f t="shared" si="23"/>
        <v>Dia útil</v>
      </c>
      <c r="G390" s="36" t="str">
        <f t="shared" si="24"/>
        <v>Dia útil</v>
      </c>
    </row>
    <row r="391" spans="2:7" ht="12" customHeight="1">
      <c r="B391" s="43">
        <v>370</v>
      </c>
      <c r="C391" s="44">
        <v>44931</v>
      </c>
      <c r="D391" s="36">
        <f t="shared" si="22"/>
        <v>5</v>
      </c>
      <c r="E391" s="36" t="str">
        <f t="shared" si="25"/>
        <v>Dia útil</v>
      </c>
      <c r="F391" s="36" t="str">
        <f t="shared" si="23"/>
        <v>Dia útil</v>
      </c>
      <c r="G391" s="36" t="str">
        <f t="shared" si="24"/>
        <v>Dia útil</v>
      </c>
    </row>
    <row r="392" spans="2:7" ht="12" customHeight="1">
      <c r="B392" s="43">
        <v>371</v>
      </c>
      <c r="C392" s="44">
        <v>44932</v>
      </c>
      <c r="D392" s="36">
        <f t="shared" si="22"/>
        <v>6</v>
      </c>
      <c r="E392" s="36" t="str">
        <f t="shared" si="25"/>
        <v>Dia útil</v>
      </c>
      <c r="F392" s="36" t="str">
        <f t="shared" si="23"/>
        <v>Dia útil</v>
      </c>
      <c r="G392" s="36" t="str">
        <f t="shared" si="24"/>
        <v>Dia útil</v>
      </c>
    </row>
    <row r="393" spans="2:7" ht="12" customHeight="1">
      <c r="B393" s="43">
        <v>372</v>
      </c>
      <c r="C393" s="44">
        <v>44933</v>
      </c>
      <c r="D393" s="36">
        <f t="shared" si="22"/>
        <v>7</v>
      </c>
      <c r="E393" s="36" t="str">
        <f t="shared" si="25"/>
        <v>Sáb</v>
      </c>
      <c r="F393" s="36" t="str">
        <f t="shared" si="23"/>
        <v>Sáb</v>
      </c>
      <c r="G393" s="36" t="str">
        <f t="shared" si="24"/>
        <v>Sáb</v>
      </c>
    </row>
    <row r="394" spans="2:7" ht="12" customHeight="1">
      <c r="B394" s="43">
        <v>373</v>
      </c>
      <c r="C394" s="44">
        <v>44934</v>
      </c>
      <c r="D394" s="36">
        <f t="shared" si="22"/>
        <v>1</v>
      </c>
      <c r="E394" s="36" t="str">
        <f t="shared" si="25"/>
        <v>Dom</v>
      </c>
      <c r="F394" s="36" t="str">
        <f t="shared" si="23"/>
        <v>Dom</v>
      </c>
      <c r="G394" s="36" t="str">
        <f t="shared" si="24"/>
        <v>Dom</v>
      </c>
    </row>
    <row r="395" spans="2:7" ht="12" customHeight="1">
      <c r="B395" s="43">
        <v>374</v>
      </c>
      <c r="C395" s="44">
        <v>44935</v>
      </c>
      <c r="D395" s="36">
        <f t="shared" si="22"/>
        <v>2</v>
      </c>
      <c r="E395" s="36" t="str">
        <f t="shared" si="25"/>
        <v>Dia útil</v>
      </c>
      <c r="F395" s="36" t="str">
        <f t="shared" si="23"/>
        <v>Dia útil</v>
      </c>
      <c r="G395" s="36" t="str">
        <f t="shared" si="24"/>
        <v>Dia útil</v>
      </c>
    </row>
    <row r="396" spans="2:7" ht="12" customHeight="1">
      <c r="B396" s="43">
        <v>375</v>
      </c>
      <c r="C396" s="44">
        <v>44936</v>
      </c>
      <c r="D396" s="36">
        <f t="shared" si="22"/>
        <v>3</v>
      </c>
      <c r="E396" s="36" t="str">
        <f t="shared" si="25"/>
        <v>Dia útil</v>
      </c>
      <c r="F396" s="36" t="str">
        <f t="shared" si="23"/>
        <v>Dia útil</v>
      </c>
      <c r="G396" s="36" t="str">
        <f t="shared" si="24"/>
        <v>Dia útil</v>
      </c>
    </row>
    <row r="397" spans="2:7" ht="12" customHeight="1">
      <c r="B397" s="43">
        <v>376</v>
      </c>
      <c r="C397" s="44">
        <v>44937</v>
      </c>
      <c r="D397" s="36">
        <f t="shared" si="22"/>
        <v>4</v>
      </c>
      <c r="E397" s="36" t="str">
        <f t="shared" si="25"/>
        <v>Dia útil</v>
      </c>
      <c r="F397" s="36" t="str">
        <f t="shared" si="23"/>
        <v>Dia útil</v>
      </c>
      <c r="G397" s="36" t="str">
        <f t="shared" si="24"/>
        <v>Dia útil</v>
      </c>
    </row>
    <row r="398" spans="2:7" ht="12" customHeight="1">
      <c r="B398" s="43">
        <v>377</v>
      </c>
      <c r="C398" s="44">
        <v>44938</v>
      </c>
      <c r="D398" s="36">
        <f t="shared" si="22"/>
        <v>5</v>
      </c>
      <c r="E398" s="36" t="str">
        <f t="shared" si="25"/>
        <v>Dia útil</v>
      </c>
      <c r="F398" s="36" t="str">
        <f t="shared" si="23"/>
        <v>Dia útil</v>
      </c>
      <c r="G398" s="36" t="str">
        <f t="shared" si="24"/>
        <v>Dia útil</v>
      </c>
    </row>
    <row r="399" spans="2:7" ht="12" customHeight="1">
      <c r="B399" s="43">
        <v>378</v>
      </c>
      <c r="C399" s="44">
        <v>44939</v>
      </c>
      <c r="D399" s="36">
        <f t="shared" si="22"/>
        <v>6</v>
      </c>
      <c r="E399" s="36" t="str">
        <f t="shared" si="25"/>
        <v>Dia útil</v>
      </c>
      <c r="F399" s="36" t="str">
        <f t="shared" si="23"/>
        <v>Dia útil</v>
      </c>
      <c r="G399" s="36" t="str">
        <f t="shared" si="24"/>
        <v>Dia útil</v>
      </c>
    </row>
    <row r="400" spans="2:7" ht="12" customHeight="1">
      <c r="B400" s="43">
        <v>379</v>
      </c>
      <c r="C400" s="44">
        <v>44940</v>
      </c>
      <c r="D400" s="36">
        <f t="shared" si="22"/>
        <v>7</v>
      </c>
      <c r="E400" s="36" t="str">
        <f t="shared" si="25"/>
        <v>Sáb</v>
      </c>
      <c r="F400" s="36" t="str">
        <f t="shared" si="23"/>
        <v>Sáb</v>
      </c>
      <c r="G400" s="36" t="str">
        <f t="shared" si="24"/>
        <v>Sáb</v>
      </c>
    </row>
    <row r="401" spans="2:7" ht="12" customHeight="1">
      <c r="B401" s="43">
        <v>380</v>
      </c>
      <c r="C401" s="44">
        <v>44941</v>
      </c>
      <c r="D401" s="36">
        <f t="shared" si="22"/>
        <v>1</v>
      </c>
      <c r="E401" s="36" t="str">
        <f t="shared" si="25"/>
        <v>Dom</v>
      </c>
      <c r="F401" s="36" t="str">
        <f t="shared" si="23"/>
        <v>Dom</v>
      </c>
      <c r="G401" s="36" t="str">
        <f t="shared" si="24"/>
        <v>Dom</v>
      </c>
    </row>
    <row r="402" spans="2:7" ht="12" customHeight="1">
      <c r="B402" s="43">
        <v>381</v>
      </c>
      <c r="C402" s="44">
        <v>44942</v>
      </c>
      <c r="D402" s="36">
        <f t="shared" si="22"/>
        <v>2</v>
      </c>
      <c r="E402" s="36" t="str">
        <f t="shared" si="25"/>
        <v>Dia útil</v>
      </c>
      <c r="F402" s="36" t="str">
        <f t="shared" si="23"/>
        <v>Dia útil</v>
      </c>
      <c r="G402" s="36" t="str">
        <f t="shared" si="24"/>
        <v>Dia útil</v>
      </c>
    </row>
    <row r="403" spans="2:7" ht="12" customHeight="1">
      <c r="B403" s="43">
        <v>382</v>
      </c>
      <c r="C403" s="44">
        <v>44943</v>
      </c>
      <c r="D403" s="36">
        <f t="shared" si="22"/>
        <v>3</v>
      </c>
      <c r="E403" s="36" t="str">
        <f t="shared" si="25"/>
        <v>Dia útil</v>
      </c>
      <c r="F403" s="36" t="str">
        <f t="shared" si="23"/>
        <v>Dia útil</v>
      </c>
      <c r="G403" s="36" t="str">
        <f t="shared" si="24"/>
        <v>Dia útil</v>
      </c>
    </row>
    <row r="404" spans="2:7" ht="12" customHeight="1">
      <c r="B404" s="43">
        <v>383</v>
      </c>
      <c r="C404" s="44">
        <v>44944</v>
      </c>
      <c r="D404" s="36">
        <f t="shared" si="22"/>
        <v>4</v>
      </c>
      <c r="E404" s="36" t="str">
        <f t="shared" si="25"/>
        <v>Dia útil</v>
      </c>
      <c r="F404" s="36" t="str">
        <f t="shared" si="23"/>
        <v>Dia útil</v>
      </c>
      <c r="G404" s="36" t="str">
        <f t="shared" si="24"/>
        <v>Dia útil</v>
      </c>
    </row>
    <row r="405" spans="2:7" ht="12" customHeight="1">
      <c r="B405" s="43">
        <v>384</v>
      </c>
      <c r="C405" s="44">
        <v>44945</v>
      </c>
      <c r="D405" s="36">
        <f t="shared" si="22"/>
        <v>5</v>
      </c>
      <c r="E405" s="36" t="str">
        <f t="shared" si="25"/>
        <v>Dia útil</v>
      </c>
      <c r="F405" s="36" t="str">
        <f t="shared" si="23"/>
        <v>Dia útil</v>
      </c>
      <c r="G405" s="36" t="str">
        <f t="shared" si="24"/>
        <v>Dia útil</v>
      </c>
    </row>
    <row r="406" spans="2:7" ht="12" customHeight="1">
      <c r="B406" s="43">
        <v>385</v>
      </c>
      <c r="C406" s="44">
        <v>44946</v>
      </c>
      <c r="D406" s="36">
        <f t="shared" si="22"/>
        <v>6</v>
      </c>
      <c r="E406" s="36" t="str">
        <f t="shared" si="25"/>
        <v>Dia útil</v>
      </c>
      <c r="F406" s="36" t="str">
        <f t="shared" si="23"/>
        <v>Dia útil</v>
      </c>
      <c r="G406" s="36" t="str">
        <f t="shared" si="24"/>
        <v>Dia útil</v>
      </c>
    </row>
    <row r="407" spans="2:7" ht="12" customHeight="1">
      <c r="B407" s="43">
        <v>386</v>
      </c>
      <c r="C407" s="44">
        <v>44947</v>
      </c>
      <c r="D407" s="36">
        <f t="shared" ref="D407:D470" si="26">WEEKDAY(C407,1)</f>
        <v>7</v>
      </c>
      <c r="E407" s="36" t="str">
        <f t="shared" si="25"/>
        <v>Sáb</v>
      </c>
      <c r="F407" s="36" t="str">
        <f t="shared" ref="F407:F470" si="27">E407</f>
        <v>Sáb</v>
      </c>
      <c r="G407" s="36" t="str">
        <f t="shared" ref="G407:G470" si="28">IF(AND(F407="Feriado",OR(E407="Sáb",E407="Dom")),E407,IF(AND(F407="Feriado",E407="Dia útil"),"Feriado",E407))</f>
        <v>Sáb</v>
      </c>
    </row>
    <row r="408" spans="2:7" ht="12" customHeight="1">
      <c r="B408" s="43">
        <v>387</v>
      </c>
      <c r="C408" s="44">
        <v>44948</v>
      </c>
      <c r="D408" s="36">
        <f t="shared" si="26"/>
        <v>1</v>
      </c>
      <c r="E408" s="36" t="str">
        <f t="shared" si="25"/>
        <v>Dom</v>
      </c>
      <c r="F408" s="36" t="str">
        <f t="shared" si="27"/>
        <v>Dom</v>
      </c>
      <c r="G408" s="36" t="str">
        <f t="shared" si="28"/>
        <v>Dom</v>
      </c>
    </row>
    <row r="409" spans="2:7" ht="12" customHeight="1">
      <c r="B409" s="43">
        <v>388</v>
      </c>
      <c r="C409" s="44">
        <v>44949</v>
      </c>
      <c r="D409" s="36">
        <f t="shared" si="26"/>
        <v>2</v>
      </c>
      <c r="E409" s="36" t="str">
        <f t="shared" ref="E409:E472" si="29">IF(D409=1,"Dom",IF(D409=7,"Sáb","Dia útil"))</f>
        <v>Dia útil</v>
      </c>
      <c r="F409" s="36" t="str">
        <f t="shared" si="27"/>
        <v>Dia útil</v>
      </c>
      <c r="G409" s="36" t="str">
        <f t="shared" si="28"/>
        <v>Dia útil</v>
      </c>
    </row>
    <row r="410" spans="2:7" ht="12" customHeight="1">
      <c r="B410" s="43">
        <v>389</v>
      </c>
      <c r="C410" s="44">
        <v>44950</v>
      </c>
      <c r="D410" s="36">
        <f t="shared" si="26"/>
        <v>3</v>
      </c>
      <c r="E410" s="36" t="str">
        <f t="shared" si="29"/>
        <v>Dia útil</v>
      </c>
      <c r="F410" s="36" t="str">
        <f t="shared" si="27"/>
        <v>Dia útil</v>
      </c>
      <c r="G410" s="36" t="str">
        <f t="shared" si="28"/>
        <v>Dia útil</v>
      </c>
    </row>
    <row r="411" spans="2:7" ht="12" customHeight="1">
      <c r="B411" s="43">
        <v>390</v>
      </c>
      <c r="C411" s="44">
        <v>44951</v>
      </c>
      <c r="D411" s="36">
        <f t="shared" si="26"/>
        <v>4</v>
      </c>
      <c r="E411" s="36" t="str">
        <f t="shared" si="29"/>
        <v>Dia útil</v>
      </c>
      <c r="F411" s="36" t="str">
        <f t="shared" si="27"/>
        <v>Dia útil</v>
      </c>
      <c r="G411" s="36" t="str">
        <f t="shared" si="28"/>
        <v>Dia útil</v>
      </c>
    </row>
    <row r="412" spans="2:7" ht="12" customHeight="1">
      <c r="B412" s="43">
        <v>391</v>
      </c>
      <c r="C412" s="44">
        <v>44952</v>
      </c>
      <c r="D412" s="36">
        <f t="shared" si="26"/>
        <v>5</v>
      </c>
      <c r="E412" s="36" t="str">
        <f t="shared" si="29"/>
        <v>Dia útil</v>
      </c>
      <c r="F412" s="36" t="str">
        <f t="shared" si="27"/>
        <v>Dia útil</v>
      </c>
      <c r="G412" s="36" t="str">
        <f t="shared" si="28"/>
        <v>Dia útil</v>
      </c>
    </row>
    <row r="413" spans="2:7" ht="12" customHeight="1">
      <c r="B413" s="43">
        <v>392</v>
      </c>
      <c r="C413" s="44">
        <v>44953</v>
      </c>
      <c r="D413" s="36">
        <f t="shared" si="26"/>
        <v>6</v>
      </c>
      <c r="E413" s="36" t="str">
        <f t="shared" si="29"/>
        <v>Dia útil</v>
      </c>
      <c r="F413" s="36" t="str">
        <f t="shared" si="27"/>
        <v>Dia útil</v>
      </c>
      <c r="G413" s="36" t="str">
        <f t="shared" si="28"/>
        <v>Dia útil</v>
      </c>
    </row>
    <row r="414" spans="2:7" ht="12" customHeight="1">
      <c r="B414" s="43">
        <v>393</v>
      </c>
      <c r="C414" s="44">
        <v>44954</v>
      </c>
      <c r="D414" s="36">
        <f t="shared" si="26"/>
        <v>7</v>
      </c>
      <c r="E414" s="36" t="str">
        <f t="shared" si="29"/>
        <v>Sáb</v>
      </c>
      <c r="F414" s="36" t="str">
        <f t="shared" si="27"/>
        <v>Sáb</v>
      </c>
      <c r="G414" s="36" t="str">
        <f t="shared" si="28"/>
        <v>Sáb</v>
      </c>
    </row>
    <row r="415" spans="2:7" ht="12" customHeight="1">
      <c r="B415" s="43">
        <v>394</v>
      </c>
      <c r="C415" s="44">
        <v>44955</v>
      </c>
      <c r="D415" s="36">
        <f t="shared" si="26"/>
        <v>1</v>
      </c>
      <c r="E415" s="36" t="str">
        <f t="shared" si="29"/>
        <v>Dom</v>
      </c>
      <c r="F415" s="36" t="str">
        <f t="shared" si="27"/>
        <v>Dom</v>
      </c>
      <c r="G415" s="36" t="str">
        <f t="shared" si="28"/>
        <v>Dom</v>
      </c>
    </row>
    <row r="416" spans="2:7" ht="12" customHeight="1">
      <c r="B416" s="43">
        <v>395</v>
      </c>
      <c r="C416" s="44">
        <v>44956</v>
      </c>
      <c r="D416" s="36">
        <f t="shared" si="26"/>
        <v>2</v>
      </c>
      <c r="E416" s="36" t="str">
        <f t="shared" si="29"/>
        <v>Dia útil</v>
      </c>
      <c r="F416" s="36" t="str">
        <f t="shared" si="27"/>
        <v>Dia útil</v>
      </c>
      <c r="G416" s="36" t="str">
        <f t="shared" si="28"/>
        <v>Dia útil</v>
      </c>
    </row>
    <row r="417" spans="2:7" ht="12" customHeight="1">
      <c r="B417" s="43">
        <v>396</v>
      </c>
      <c r="C417" s="44">
        <v>44957</v>
      </c>
      <c r="D417" s="36">
        <f t="shared" si="26"/>
        <v>3</v>
      </c>
      <c r="E417" s="36" t="str">
        <f t="shared" si="29"/>
        <v>Dia útil</v>
      </c>
      <c r="F417" s="36" t="str">
        <f t="shared" si="27"/>
        <v>Dia útil</v>
      </c>
      <c r="G417" s="36" t="str">
        <f t="shared" si="28"/>
        <v>Dia útil</v>
      </c>
    </row>
    <row r="418" spans="2:7" ht="12" customHeight="1">
      <c r="B418" s="43">
        <v>397</v>
      </c>
      <c r="C418" s="44">
        <v>44958</v>
      </c>
      <c r="D418" s="36">
        <f t="shared" si="26"/>
        <v>4</v>
      </c>
      <c r="E418" s="36" t="str">
        <f t="shared" si="29"/>
        <v>Dia útil</v>
      </c>
      <c r="F418" s="36" t="str">
        <f t="shared" si="27"/>
        <v>Dia útil</v>
      </c>
      <c r="G418" s="36" t="str">
        <f t="shared" si="28"/>
        <v>Dia útil</v>
      </c>
    </row>
    <row r="419" spans="2:7" ht="12" customHeight="1">
      <c r="B419" s="43">
        <v>398</v>
      </c>
      <c r="C419" s="44">
        <v>44959</v>
      </c>
      <c r="D419" s="36">
        <f t="shared" si="26"/>
        <v>5</v>
      </c>
      <c r="E419" s="36" t="str">
        <f t="shared" si="29"/>
        <v>Dia útil</v>
      </c>
      <c r="F419" s="36" t="str">
        <f t="shared" si="27"/>
        <v>Dia útil</v>
      </c>
      <c r="G419" s="36" t="str">
        <f t="shared" si="28"/>
        <v>Dia útil</v>
      </c>
    </row>
    <row r="420" spans="2:7" ht="12" customHeight="1">
      <c r="B420" s="43">
        <v>399</v>
      </c>
      <c r="C420" s="44">
        <v>44960</v>
      </c>
      <c r="D420" s="36">
        <f t="shared" si="26"/>
        <v>6</v>
      </c>
      <c r="E420" s="36" t="str">
        <f t="shared" si="29"/>
        <v>Dia útil</v>
      </c>
      <c r="F420" s="36" t="str">
        <f t="shared" si="27"/>
        <v>Dia útil</v>
      </c>
      <c r="G420" s="36" t="str">
        <f t="shared" si="28"/>
        <v>Dia útil</v>
      </c>
    </row>
    <row r="421" spans="2:7" ht="12" customHeight="1">
      <c r="B421" s="43">
        <v>400</v>
      </c>
      <c r="C421" s="44">
        <v>44961</v>
      </c>
      <c r="D421" s="36">
        <f t="shared" si="26"/>
        <v>7</v>
      </c>
      <c r="E421" s="36" t="str">
        <f t="shared" si="29"/>
        <v>Sáb</v>
      </c>
      <c r="F421" s="36" t="str">
        <f t="shared" si="27"/>
        <v>Sáb</v>
      </c>
      <c r="G421" s="36" t="str">
        <f t="shared" si="28"/>
        <v>Sáb</v>
      </c>
    </row>
    <row r="422" spans="2:7" ht="12" customHeight="1">
      <c r="B422" s="43">
        <v>401</v>
      </c>
      <c r="C422" s="44">
        <v>44962</v>
      </c>
      <c r="D422" s="36">
        <f t="shared" si="26"/>
        <v>1</v>
      </c>
      <c r="E422" s="36" t="str">
        <f t="shared" si="29"/>
        <v>Dom</v>
      </c>
      <c r="F422" s="36" t="str">
        <f t="shared" si="27"/>
        <v>Dom</v>
      </c>
      <c r="G422" s="36" t="str">
        <f t="shared" si="28"/>
        <v>Dom</v>
      </c>
    </row>
    <row r="423" spans="2:7" ht="12" customHeight="1">
      <c r="B423" s="43">
        <v>402</v>
      </c>
      <c r="C423" s="44">
        <v>44963</v>
      </c>
      <c r="D423" s="36">
        <f t="shared" si="26"/>
        <v>2</v>
      </c>
      <c r="E423" s="36" t="str">
        <f t="shared" si="29"/>
        <v>Dia útil</v>
      </c>
      <c r="F423" s="36" t="str">
        <f t="shared" si="27"/>
        <v>Dia útil</v>
      </c>
      <c r="G423" s="36" t="str">
        <f t="shared" si="28"/>
        <v>Dia útil</v>
      </c>
    </row>
    <row r="424" spans="2:7" ht="12" customHeight="1">
      <c r="B424" s="43">
        <v>403</v>
      </c>
      <c r="C424" s="44">
        <v>44964</v>
      </c>
      <c r="D424" s="36">
        <f t="shared" si="26"/>
        <v>3</v>
      </c>
      <c r="E424" s="36" t="str">
        <f t="shared" si="29"/>
        <v>Dia útil</v>
      </c>
      <c r="F424" s="36" t="str">
        <f t="shared" si="27"/>
        <v>Dia útil</v>
      </c>
      <c r="G424" s="36" t="str">
        <f t="shared" si="28"/>
        <v>Dia útil</v>
      </c>
    </row>
    <row r="425" spans="2:7" ht="12" customHeight="1">
      <c r="B425" s="43">
        <v>404</v>
      </c>
      <c r="C425" s="44">
        <v>44965</v>
      </c>
      <c r="D425" s="36">
        <f t="shared" si="26"/>
        <v>4</v>
      </c>
      <c r="E425" s="36" t="str">
        <f t="shared" si="29"/>
        <v>Dia útil</v>
      </c>
      <c r="F425" s="36" t="str">
        <f t="shared" si="27"/>
        <v>Dia útil</v>
      </c>
      <c r="G425" s="36" t="str">
        <f t="shared" si="28"/>
        <v>Dia útil</v>
      </c>
    </row>
    <row r="426" spans="2:7" ht="12" customHeight="1">
      <c r="B426" s="43">
        <v>405</v>
      </c>
      <c r="C426" s="44">
        <v>44966</v>
      </c>
      <c r="D426" s="36">
        <f t="shared" si="26"/>
        <v>5</v>
      </c>
      <c r="E426" s="36" t="str">
        <f t="shared" si="29"/>
        <v>Dia útil</v>
      </c>
      <c r="F426" s="36" t="str">
        <f t="shared" si="27"/>
        <v>Dia útil</v>
      </c>
      <c r="G426" s="36" t="str">
        <f t="shared" si="28"/>
        <v>Dia útil</v>
      </c>
    </row>
    <row r="427" spans="2:7" ht="12" customHeight="1">
      <c r="B427" s="43">
        <v>406</v>
      </c>
      <c r="C427" s="44">
        <v>44967</v>
      </c>
      <c r="D427" s="36">
        <f t="shared" si="26"/>
        <v>6</v>
      </c>
      <c r="E427" s="36" t="str">
        <f t="shared" si="29"/>
        <v>Dia útil</v>
      </c>
      <c r="F427" s="36" t="str">
        <f t="shared" si="27"/>
        <v>Dia útil</v>
      </c>
      <c r="G427" s="36" t="str">
        <f t="shared" si="28"/>
        <v>Dia útil</v>
      </c>
    </row>
    <row r="428" spans="2:7" ht="12" customHeight="1">
      <c r="B428" s="43">
        <v>407</v>
      </c>
      <c r="C428" s="44">
        <v>44968</v>
      </c>
      <c r="D428" s="36">
        <f t="shared" si="26"/>
        <v>7</v>
      </c>
      <c r="E428" s="36" t="str">
        <f t="shared" si="29"/>
        <v>Sáb</v>
      </c>
      <c r="F428" s="36" t="str">
        <f t="shared" si="27"/>
        <v>Sáb</v>
      </c>
      <c r="G428" s="36" t="str">
        <f t="shared" si="28"/>
        <v>Sáb</v>
      </c>
    </row>
    <row r="429" spans="2:7" ht="12" customHeight="1">
      <c r="B429" s="43">
        <v>408</v>
      </c>
      <c r="C429" s="44">
        <v>44969</v>
      </c>
      <c r="D429" s="36">
        <f t="shared" si="26"/>
        <v>1</v>
      </c>
      <c r="E429" s="36" t="str">
        <f t="shared" si="29"/>
        <v>Dom</v>
      </c>
      <c r="F429" s="36" t="str">
        <f t="shared" si="27"/>
        <v>Dom</v>
      </c>
      <c r="G429" s="36" t="str">
        <f t="shared" si="28"/>
        <v>Dom</v>
      </c>
    </row>
    <row r="430" spans="2:7" ht="12" customHeight="1">
      <c r="B430" s="43">
        <v>409</v>
      </c>
      <c r="C430" s="44">
        <v>44970</v>
      </c>
      <c r="D430" s="36">
        <f t="shared" si="26"/>
        <v>2</v>
      </c>
      <c r="E430" s="36" t="str">
        <f t="shared" si="29"/>
        <v>Dia útil</v>
      </c>
      <c r="F430" s="36" t="str">
        <f t="shared" si="27"/>
        <v>Dia útil</v>
      </c>
      <c r="G430" s="36" t="str">
        <f t="shared" si="28"/>
        <v>Dia útil</v>
      </c>
    </row>
    <row r="431" spans="2:7" ht="12" customHeight="1">
      <c r="B431" s="43">
        <v>410</v>
      </c>
      <c r="C431" s="44">
        <v>44971</v>
      </c>
      <c r="D431" s="36">
        <f t="shared" si="26"/>
        <v>3</v>
      </c>
      <c r="E431" s="36" t="str">
        <f t="shared" si="29"/>
        <v>Dia útil</v>
      </c>
      <c r="F431" s="36" t="str">
        <f t="shared" si="27"/>
        <v>Dia útil</v>
      </c>
      <c r="G431" s="36" t="str">
        <f t="shared" si="28"/>
        <v>Dia útil</v>
      </c>
    </row>
    <row r="432" spans="2:7" ht="12" customHeight="1">
      <c r="B432" s="43">
        <v>411</v>
      </c>
      <c r="C432" s="44">
        <v>44972</v>
      </c>
      <c r="D432" s="36">
        <f t="shared" si="26"/>
        <v>4</v>
      </c>
      <c r="E432" s="36" t="str">
        <f t="shared" si="29"/>
        <v>Dia útil</v>
      </c>
      <c r="F432" s="36" t="str">
        <f t="shared" si="27"/>
        <v>Dia útil</v>
      </c>
      <c r="G432" s="36" t="str">
        <f t="shared" si="28"/>
        <v>Dia útil</v>
      </c>
    </row>
    <row r="433" spans="2:7" ht="12" customHeight="1">
      <c r="B433" s="43">
        <v>412</v>
      </c>
      <c r="C433" s="44">
        <v>44973</v>
      </c>
      <c r="D433" s="36">
        <f t="shared" si="26"/>
        <v>5</v>
      </c>
      <c r="E433" s="36" t="str">
        <f t="shared" si="29"/>
        <v>Dia útil</v>
      </c>
      <c r="F433" s="36" t="str">
        <f t="shared" si="27"/>
        <v>Dia útil</v>
      </c>
      <c r="G433" s="36" t="str">
        <f t="shared" si="28"/>
        <v>Dia útil</v>
      </c>
    </row>
    <row r="434" spans="2:7" ht="12" customHeight="1">
      <c r="B434" s="43">
        <v>413</v>
      </c>
      <c r="C434" s="44">
        <v>44974</v>
      </c>
      <c r="D434" s="36">
        <f t="shared" si="26"/>
        <v>6</v>
      </c>
      <c r="E434" s="36" t="str">
        <f t="shared" si="29"/>
        <v>Dia útil</v>
      </c>
      <c r="F434" s="36" t="str">
        <f t="shared" si="27"/>
        <v>Dia útil</v>
      </c>
      <c r="G434" s="36" t="str">
        <f t="shared" si="28"/>
        <v>Dia útil</v>
      </c>
    </row>
    <row r="435" spans="2:7" ht="12" customHeight="1">
      <c r="B435" s="43">
        <v>414</v>
      </c>
      <c r="C435" s="44">
        <v>44975</v>
      </c>
      <c r="D435" s="36">
        <f t="shared" si="26"/>
        <v>7</v>
      </c>
      <c r="E435" s="36" t="str">
        <f t="shared" si="29"/>
        <v>Sáb</v>
      </c>
      <c r="F435" s="46" t="s">
        <v>1725</v>
      </c>
      <c r="G435" s="36" t="str">
        <f t="shared" si="28"/>
        <v>Sáb</v>
      </c>
    </row>
    <row r="436" spans="2:7" ht="12" customHeight="1">
      <c r="B436" s="43">
        <v>415</v>
      </c>
      <c r="C436" s="44">
        <v>44976</v>
      </c>
      <c r="D436" s="36">
        <f t="shared" si="26"/>
        <v>1</v>
      </c>
      <c r="E436" s="36" t="str">
        <f t="shared" si="29"/>
        <v>Dom</v>
      </c>
      <c r="F436" s="36" t="str">
        <f t="shared" si="27"/>
        <v>Dom</v>
      </c>
      <c r="G436" s="36" t="str">
        <f t="shared" si="28"/>
        <v>Dom</v>
      </c>
    </row>
    <row r="437" spans="2:7" ht="12" customHeight="1">
      <c r="B437" s="43">
        <v>416</v>
      </c>
      <c r="C437" s="44">
        <v>44977</v>
      </c>
      <c r="D437" s="36">
        <f t="shared" si="26"/>
        <v>2</v>
      </c>
      <c r="E437" s="36" t="str">
        <f t="shared" si="29"/>
        <v>Dia útil</v>
      </c>
      <c r="F437" s="36" t="str">
        <f t="shared" si="27"/>
        <v>Dia útil</v>
      </c>
      <c r="G437" s="36" t="str">
        <f t="shared" si="28"/>
        <v>Dia útil</v>
      </c>
    </row>
    <row r="438" spans="2:7" ht="12" customHeight="1">
      <c r="B438" s="43">
        <v>417</v>
      </c>
      <c r="C438" s="44">
        <v>44978</v>
      </c>
      <c r="D438" s="36">
        <f t="shared" si="26"/>
        <v>3</v>
      </c>
      <c r="E438" s="36" t="str">
        <f t="shared" si="29"/>
        <v>Dia útil</v>
      </c>
      <c r="F438" s="36" t="str">
        <f t="shared" si="27"/>
        <v>Dia útil</v>
      </c>
      <c r="G438" s="36" t="str">
        <f t="shared" si="28"/>
        <v>Dia útil</v>
      </c>
    </row>
    <row r="439" spans="2:7" ht="12" customHeight="1">
      <c r="B439" s="43">
        <v>418</v>
      </c>
      <c r="C439" s="44">
        <v>44979</v>
      </c>
      <c r="D439" s="36">
        <f t="shared" si="26"/>
        <v>4</v>
      </c>
      <c r="E439" s="36" t="str">
        <f t="shared" si="29"/>
        <v>Dia útil</v>
      </c>
      <c r="F439" s="36" t="str">
        <f t="shared" si="27"/>
        <v>Dia útil</v>
      </c>
      <c r="G439" s="36" t="str">
        <f t="shared" si="28"/>
        <v>Dia útil</v>
      </c>
    </row>
    <row r="440" spans="2:7" ht="12" customHeight="1">
      <c r="B440" s="43">
        <v>419</v>
      </c>
      <c r="C440" s="44">
        <v>44980</v>
      </c>
      <c r="D440" s="36">
        <f t="shared" si="26"/>
        <v>5</v>
      </c>
      <c r="E440" s="36" t="str">
        <f t="shared" si="29"/>
        <v>Dia útil</v>
      </c>
      <c r="F440" s="36" t="str">
        <f t="shared" si="27"/>
        <v>Dia útil</v>
      </c>
      <c r="G440" s="36" t="str">
        <f t="shared" si="28"/>
        <v>Dia útil</v>
      </c>
    </row>
    <row r="441" spans="2:7" ht="12" customHeight="1">
      <c r="B441" s="43">
        <v>420</v>
      </c>
      <c r="C441" s="44">
        <v>44981</v>
      </c>
      <c r="D441" s="36">
        <f t="shared" si="26"/>
        <v>6</v>
      </c>
      <c r="E441" s="36" t="str">
        <f t="shared" si="29"/>
        <v>Dia útil</v>
      </c>
      <c r="F441" s="36" t="str">
        <f t="shared" si="27"/>
        <v>Dia útil</v>
      </c>
      <c r="G441" s="36" t="str">
        <f t="shared" si="28"/>
        <v>Dia útil</v>
      </c>
    </row>
    <row r="442" spans="2:7" ht="12" customHeight="1">
      <c r="B442" s="43">
        <v>421</v>
      </c>
      <c r="C442" s="44">
        <v>44982</v>
      </c>
      <c r="D442" s="36">
        <f t="shared" si="26"/>
        <v>7</v>
      </c>
      <c r="E442" s="36" t="str">
        <f t="shared" si="29"/>
        <v>Sáb</v>
      </c>
      <c r="F442" s="36" t="str">
        <f t="shared" si="27"/>
        <v>Sáb</v>
      </c>
      <c r="G442" s="36" t="str">
        <f t="shared" si="28"/>
        <v>Sáb</v>
      </c>
    </row>
    <row r="443" spans="2:7" ht="12" customHeight="1">
      <c r="B443" s="43">
        <v>422</v>
      </c>
      <c r="C443" s="44">
        <v>44983</v>
      </c>
      <c r="D443" s="36">
        <f t="shared" si="26"/>
        <v>1</v>
      </c>
      <c r="E443" s="36" t="str">
        <f t="shared" si="29"/>
        <v>Dom</v>
      </c>
      <c r="F443" s="36" t="str">
        <f t="shared" si="27"/>
        <v>Dom</v>
      </c>
      <c r="G443" s="36" t="str">
        <f t="shared" si="28"/>
        <v>Dom</v>
      </c>
    </row>
    <row r="444" spans="2:7" ht="12" customHeight="1">
      <c r="B444" s="43">
        <v>423</v>
      </c>
      <c r="C444" s="44">
        <v>44984</v>
      </c>
      <c r="D444" s="36">
        <f t="shared" si="26"/>
        <v>2</v>
      </c>
      <c r="E444" s="36" t="str">
        <f t="shared" si="29"/>
        <v>Dia útil</v>
      </c>
      <c r="F444" s="36" t="str">
        <f t="shared" si="27"/>
        <v>Dia útil</v>
      </c>
      <c r="G444" s="36" t="str">
        <f t="shared" si="28"/>
        <v>Dia útil</v>
      </c>
    </row>
    <row r="445" spans="2:7" ht="12" customHeight="1">
      <c r="B445" s="43">
        <v>424</v>
      </c>
      <c r="C445" s="44">
        <v>44985</v>
      </c>
      <c r="D445" s="36">
        <f t="shared" si="26"/>
        <v>3</v>
      </c>
      <c r="E445" s="36" t="str">
        <f t="shared" si="29"/>
        <v>Dia útil</v>
      </c>
      <c r="F445" s="36" t="str">
        <f t="shared" si="27"/>
        <v>Dia útil</v>
      </c>
      <c r="G445" s="36" t="str">
        <f t="shared" si="28"/>
        <v>Dia útil</v>
      </c>
    </row>
    <row r="446" spans="2:7" ht="12" customHeight="1">
      <c r="B446" s="43">
        <v>425</v>
      </c>
      <c r="C446" s="44">
        <v>44986</v>
      </c>
      <c r="D446" s="36">
        <f t="shared" si="26"/>
        <v>4</v>
      </c>
      <c r="E446" s="36" t="str">
        <f t="shared" si="29"/>
        <v>Dia útil</v>
      </c>
      <c r="F446" s="36" t="str">
        <f t="shared" si="27"/>
        <v>Dia útil</v>
      </c>
      <c r="G446" s="36" t="str">
        <f t="shared" si="28"/>
        <v>Dia útil</v>
      </c>
    </row>
    <row r="447" spans="2:7" ht="12" customHeight="1">
      <c r="B447" s="43">
        <v>426</v>
      </c>
      <c r="C447" s="44">
        <v>44987</v>
      </c>
      <c r="D447" s="36">
        <f t="shared" si="26"/>
        <v>5</v>
      </c>
      <c r="E447" s="36" t="str">
        <f t="shared" si="29"/>
        <v>Dia útil</v>
      </c>
      <c r="F447" s="36" t="str">
        <f t="shared" si="27"/>
        <v>Dia útil</v>
      </c>
      <c r="G447" s="36" t="str">
        <f t="shared" si="28"/>
        <v>Dia útil</v>
      </c>
    </row>
    <row r="448" spans="2:7" ht="12" customHeight="1">
      <c r="B448" s="43">
        <v>427</v>
      </c>
      <c r="C448" s="44">
        <v>44988</v>
      </c>
      <c r="D448" s="36">
        <f t="shared" si="26"/>
        <v>6</v>
      </c>
      <c r="E448" s="36" t="str">
        <f t="shared" si="29"/>
        <v>Dia útil</v>
      </c>
      <c r="F448" s="36" t="str">
        <f t="shared" si="27"/>
        <v>Dia útil</v>
      </c>
      <c r="G448" s="36" t="str">
        <f t="shared" si="28"/>
        <v>Dia útil</v>
      </c>
    </row>
    <row r="449" spans="2:7" ht="12" customHeight="1">
      <c r="B449" s="43">
        <v>428</v>
      </c>
      <c r="C449" s="44">
        <v>44989</v>
      </c>
      <c r="D449" s="36">
        <f t="shared" si="26"/>
        <v>7</v>
      </c>
      <c r="E449" s="36" t="str">
        <f t="shared" si="29"/>
        <v>Sáb</v>
      </c>
      <c r="F449" s="36" t="str">
        <f t="shared" si="27"/>
        <v>Sáb</v>
      </c>
      <c r="G449" s="36" t="str">
        <f t="shared" si="28"/>
        <v>Sáb</v>
      </c>
    </row>
    <row r="450" spans="2:7" ht="12" customHeight="1">
      <c r="B450" s="43">
        <v>429</v>
      </c>
      <c r="C450" s="44">
        <v>44990</v>
      </c>
      <c r="D450" s="36">
        <f t="shared" si="26"/>
        <v>1</v>
      </c>
      <c r="E450" s="36" t="str">
        <f t="shared" si="29"/>
        <v>Dom</v>
      </c>
      <c r="F450" s="36" t="str">
        <f t="shared" si="27"/>
        <v>Dom</v>
      </c>
      <c r="G450" s="36" t="str">
        <f t="shared" si="28"/>
        <v>Dom</v>
      </c>
    </row>
    <row r="451" spans="2:7" ht="12" customHeight="1">
      <c r="B451" s="43">
        <v>430</v>
      </c>
      <c r="C451" s="44">
        <v>44991</v>
      </c>
      <c r="D451" s="36">
        <f t="shared" si="26"/>
        <v>2</v>
      </c>
      <c r="E451" s="36" t="str">
        <f t="shared" si="29"/>
        <v>Dia útil</v>
      </c>
      <c r="F451" s="36" t="str">
        <f t="shared" si="27"/>
        <v>Dia útil</v>
      </c>
      <c r="G451" s="36" t="str">
        <f t="shared" si="28"/>
        <v>Dia útil</v>
      </c>
    </row>
    <row r="452" spans="2:7" ht="12" customHeight="1">
      <c r="B452" s="43">
        <v>431</v>
      </c>
      <c r="C452" s="44">
        <v>44992</v>
      </c>
      <c r="D452" s="36">
        <f t="shared" si="26"/>
        <v>3</v>
      </c>
      <c r="E452" s="36" t="str">
        <f t="shared" si="29"/>
        <v>Dia útil</v>
      </c>
      <c r="F452" s="36" t="str">
        <f t="shared" si="27"/>
        <v>Dia útil</v>
      </c>
      <c r="G452" s="36" t="str">
        <f t="shared" si="28"/>
        <v>Dia útil</v>
      </c>
    </row>
    <row r="453" spans="2:7" ht="12" customHeight="1">
      <c r="B453" s="43">
        <v>432</v>
      </c>
      <c r="C453" s="44">
        <v>44993</v>
      </c>
      <c r="D453" s="36">
        <f t="shared" si="26"/>
        <v>4</v>
      </c>
      <c r="E453" s="36" t="str">
        <f t="shared" si="29"/>
        <v>Dia útil</v>
      </c>
      <c r="F453" s="36" t="str">
        <f t="shared" si="27"/>
        <v>Dia útil</v>
      </c>
      <c r="G453" s="36" t="str">
        <f t="shared" si="28"/>
        <v>Dia útil</v>
      </c>
    </row>
    <row r="454" spans="2:7" ht="12" customHeight="1">
      <c r="B454" s="43">
        <v>433</v>
      </c>
      <c r="C454" s="44">
        <v>44994</v>
      </c>
      <c r="D454" s="36">
        <f t="shared" si="26"/>
        <v>5</v>
      </c>
      <c r="E454" s="36" t="str">
        <f t="shared" si="29"/>
        <v>Dia útil</v>
      </c>
      <c r="F454" s="36" t="str">
        <f t="shared" si="27"/>
        <v>Dia útil</v>
      </c>
      <c r="G454" s="36" t="str">
        <f t="shared" si="28"/>
        <v>Dia útil</v>
      </c>
    </row>
    <row r="455" spans="2:7" ht="12" customHeight="1">
      <c r="B455" s="43">
        <v>434</v>
      </c>
      <c r="C455" s="44">
        <v>44995</v>
      </c>
      <c r="D455" s="36">
        <f t="shared" si="26"/>
        <v>6</v>
      </c>
      <c r="E455" s="36" t="str">
        <f t="shared" si="29"/>
        <v>Dia útil</v>
      </c>
      <c r="F455" s="36" t="str">
        <f t="shared" si="27"/>
        <v>Dia útil</v>
      </c>
      <c r="G455" s="36" t="str">
        <f t="shared" si="28"/>
        <v>Dia útil</v>
      </c>
    </row>
    <row r="456" spans="2:7" ht="12" customHeight="1">
      <c r="B456" s="43">
        <v>435</v>
      </c>
      <c r="C456" s="44">
        <v>44996</v>
      </c>
      <c r="D456" s="36">
        <f t="shared" si="26"/>
        <v>7</v>
      </c>
      <c r="E456" s="36" t="str">
        <f t="shared" si="29"/>
        <v>Sáb</v>
      </c>
      <c r="F456" s="36" t="str">
        <f t="shared" si="27"/>
        <v>Sáb</v>
      </c>
      <c r="G456" s="36" t="str">
        <f t="shared" si="28"/>
        <v>Sáb</v>
      </c>
    </row>
    <row r="457" spans="2:7" ht="12" customHeight="1">
      <c r="B457" s="43">
        <v>436</v>
      </c>
      <c r="C457" s="44">
        <v>44997</v>
      </c>
      <c r="D457" s="36">
        <f t="shared" si="26"/>
        <v>1</v>
      </c>
      <c r="E457" s="36" t="str">
        <f t="shared" si="29"/>
        <v>Dom</v>
      </c>
      <c r="F457" s="36" t="str">
        <f t="shared" si="27"/>
        <v>Dom</v>
      </c>
      <c r="G457" s="36" t="str">
        <f t="shared" si="28"/>
        <v>Dom</v>
      </c>
    </row>
    <row r="458" spans="2:7" ht="12" customHeight="1">
      <c r="B458" s="43">
        <v>437</v>
      </c>
      <c r="C458" s="44">
        <v>44998</v>
      </c>
      <c r="D458" s="36">
        <f t="shared" si="26"/>
        <v>2</v>
      </c>
      <c r="E458" s="36" t="str">
        <f t="shared" si="29"/>
        <v>Dia útil</v>
      </c>
      <c r="F458" s="36" t="str">
        <f t="shared" si="27"/>
        <v>Dia útil</v>
      </c>
      <c r="G458" s="36" t="str">
        <f t="shared" si="28"/>
        <v>Dia útil</v>
      </c>
    </row>
    <row r="459" spans="2:7" ht="12" customHeight="1">
      <c r="B459" s="43">
        <v>438</v>
      </c>
      <c r="C459" s="44">
        <v>44999</v>
      </c>
      <c r="D459" s="36">
        <f t="shared" si="26"/>
        <v>3</v>
      </c>
      <c r="E459" s="36" t="str">
        <f t="shared" si="29"/>
        <v>Dia útil</v>
      </c>
      <c r="F459" s="36" t="str">
        <f t="shared" si="27"/>
        <v>Dia útil</v>
      </c>
      <c r="G459" s="36" t="str">
        <f t="shared" si="28"/>
        <v>Dia útil</v>
      </c>
    </row>
    <row r="460" spans="2:7" ht="12" customHeight="1">
      <c r="B460" s="43">
        <v>439</v>
      </c>
      <c r="C460" s="44">
        <v>45000</v>
      </c>
      <c r="D460" s="36">
        <f t="shared" si="26"/>
        <v>4</v>
      </c>
      <c r="E460" s="36" t="str">
        <f t="shared" si="29"/>
        <v>Dia útil</v>
      </c>
      <c r="F460" s="36" t="str">
        <f t="shared" si="27"/>
        <v>Dia útil</v>
      </c>
      <c r="G460" s="36" t="str">
        <f t="shared" si="28"/>
        <v>Dia útil</v>
      </c>
    </row>
    <row r="461" spans="2:7" ht="12" customHeight="1">
      <c r="B461" s="43">
        <v>440</v>
      </c>
      <c r="C461" s="44">
        <v>45001</v>
      </c>
      <c r="D461" s="36">
        <f t="shared" si="26"/>
        <v>5</v>
      </c>
      <c r="E461" s="36" t="str">
        <f t="shared" si="29"/>
        <v>Dia útil</v>
      </c>
      <c r="F461" s="36" t="str">
        <f t="shared" si="27"/>
        <v>Dia útil</v>
      </c>
      <c r="G461" s="36" t="str">
        <f t="shared" si="28"/>
        <v>Dia útil</v>
      </c>
    </row>
    <row r="462" spans="2:7" ht="12" customHeight="1">
      <c r="B462" s="43">
        <v>441</v>
      </c>
      <c r="C462" s="44">
        <v>45002</v>
      </c>
      <c r="D462" s="36">
        <f t="shared" si="26"/>
        <v>6</v>
      </c>
      <c r="E462" s="36" t="str">
        <f t="shared" si="29"/>
        <v>Dia útil</v>
      </c>
      <c r="F462" s="36" t="str">
        <f t="shared" si="27"/>
        <v>Dia útil</v>
      </c>
      <c r="G462" s="36" t="str">
        <f t="shared" si="28"/>
        <v>Dia útil</v>
      </c>
    </row>
    <row r="463" spans="2:7" ht="12" customHeight="1">
      <c r="B463" s="43">
        <v>442</v>
      </c>
      <c r="C463" s="44">
        <v>45003</v>
      </c>
      <c r="D463" s="36">
        <f t="shared" si="26"/>
        <v>7</v>
      </c>
      <c r="E463" s="36" t="str">
        <f t="shared" si="29"/>
        <v>Sáb</v>
      </c>
      <c r="F463" s="36" t="str">
        <f t="shared" si="27"/>
        <v>Sáb</v>
      </c>
      <c r="G463" s="36" t="str">
        <f t="shared" si="28"/>
        <v>Sáb</v>
      </c>
    </row>
    <row r="464" spans="2:7" ht="12" customHeight="1">
      <c r="B464" s="43">
        <v>443</v>
      </c>
      <c r="C464" s="44">
        <v>45004</v>
      </c>
      <c r="D464" s="36">
        <f t="shared" si="26"/>
        <v>1</v>
      </c>
      <c r="E464" s="36" t="str">
        <f t="shared" si="29"/>
        <v>Dom</v>
      </c>
      <c r="F464" s="36" t="str">
        <f t="shared" si="27"/>
        <v>Dom</v>
      </c>
      <c r="G464" s="36" t="str">
        <f t="shared" si="28"/>
        <v>Dom</v>
      </c>
    </row>
    <row r="465" spans="2:7" ht="12" customHeight="1">
      <c r="B465" s="43">
        <v>444</v>
      </c>
      <c r="C465" s="44">
        <v>45005</v>
      </c>
      <c r="D465" s="36">
        <f t="shared" si="26"/>
        <v>2</v>
      </c>
      <c r="E465" s="36" t="str">
        <f t="shared" si="29"/>
        <v>Dia útil</v>
      </c>
      <c r="F465" s="36" t="str">
        <f t="shared" si="27"/>
        <v>Dia útil</v>
      </c>
      <c r="G465" s="36" t="str">
        <f t="shared" si="28"/>
        <v>Dia útil</v>
      </c>
    </row>
    <row r="466" spans="2:7" ht="12" customHeight="1">
      <c r="B466" s="43">
        <v>445</v>
      </c>
      <c r="C466" s="44">
        <v>45006</v>
      </c>
      <c r="D466" s="36">
        <f t="shared" si="26"/>
        <v>3</v>
      </c>
      <c r="E466" s="36" t="str">
        <f t="shared" si="29"/>
        <v>Dia útil</v>
      </c>
      <c r="F466" s="36" t="str">
        <f t="shared" si="27"/>
        <v>Dia útil</v>
      </c>
      <c r="G466" s="36" t="str">
        <f t="shared" si="28"/>
        <v>Dia útil</v>
      </c>
    </row>
    <row r="467" spans="2:7" ht="12" customHeight="1">
      <c r="B467" s="43">
        <v>446</v>
      </c>
      <c r="C467" s="44">
        <v>45007</v>
      </c>
      <c r="D467" s="36">
        <f t="shared" si="26"/>
        <v>4</v>
      </c>
      <c r="E467" s="36" t="str">
        <f t="shared" si="29"/>
        <v>Dia útil</v>
      </c>
      <c r="F467" s="36" t="str">
        <f t="shared" si="27"/>
        <v>Dia útil</v>
      </c>
      <c r="G467" s="36" t="str">
        <f t="shared" si="28"/>
        <v>Dia útil</v>
      </c>
    </row>
    <row r="468" spans="2:7" ht="12" customHeight="1">
      <c r="B468" s="43">
        <v>447</v>
      </c>
      <c r="C468" s="44">
        <v>45008</v>
      </c>
      <c r="D468" s="36">
        <f t="shared" si="26"/>
        <v>5</v>
      </c>
      <c r="E468" s="36" t="str">
        <f t="shared" si="29"/>
        <v>Dia útil</v>
      </c>
      <c r="F468" s="36" t="str">
        <f t="shared" si="27"/>
        <v>Dia útil</v>
      </c>
      <c r="G468" s="36" t="str">
        <f t="shared" si="28"/>
        <v>Dia útil</v>
      </c>
    </row>
    <row r="469" spans="2:7" ht="12" customHeight="1">
      <c r="B469" s="43">
        <v>448</v>
      </c>
      <c r="C469" s="44">
        <v>45009</v>
      </c>
      <c r="D469" s="36">
        <f t="shared" si="26"/>
        <v>6</v>
      </c>
      <c r="E469" s="36" t="str">
        <f t="shared" si="29"/>
        <v>Dia útil</v>
      </c>
      <c r="F469" s="36" t="str">
        <f t="shared" si="27"/>
        <v>Dia útil</v>
      </c>
      <c r="G469" s="36" t="str">
        <f t="shared" si="28"/>
        <v>Dia útil</v>
      </c>
    </row>
    <row r="470" spans="2:7" ht="12" customHeight="1">
      <c r="B470" s="43">
        <v>449</v>
      </c>
      <c r="C470" s="44">
        <v>45010</v>
      </c>
      <c r="D470" s="36">
        <f t="shared" si="26"/>
        <v>7</v>
      </c>
      <c r="E470" s="36" t="str">
        <f t="shared" si="29"/>
        <v>Sáb</v>
      </c>
      <c r="F470" s="36" t="str">
        <f t="shared" si="27"/>
        <v>Sáb</v>
      </c>
      <c r="G470" s="36" t="str">
        <f t="shared" si="28"/>
        <v>Sáb</v>
      </c>
    </row>
    <row r="471" spans="2:7" ht="12" customHeight="1">
      <c r="B471" s="43">
        <v>450</v>
      </c>
      <c r="C471" s="44">
        <v>45011</v>
      </c>
      <c r="D471" s="36">
        <f t="shared" ref="D471:D534" si="30">WEEKDAY(C471,1)</f>
        <v>1</v>
      </c>
      <c r="E471" s="36" t="str">
        <f t="shared" si="29"/>
        <v>Dom</v>
      </c>
      <c r="F471" s="36" t="str">
        <f t="shared" ref="F471:F534" si="31">E471</f>
        <v>Dom</v>
      </c>
      <c r="G471" s="36" t="str">
        <f t="shared" ref="G471:G534" si="32">IF(AND(F471="Feriado",OR(E471="Sáb",E471="Dom")),E471,IF(AND(F471="Feriado",E471="Dia útil"),"Feriado",E471))</f>
        <v>Dom</v>
      </c>
    </row>
    <row r="472" spans="2:7" ht="12" customHeight="1">
      <c r="B472" s="43">
        <v>451</v>
      </c>
      <c r="C472" s="44">
        <v>45012</v>
      </c>
      <c r="D472" s="36">
        <f t="shared" si="30"/>
        <v>2</v>
      </c>
      <c r="E472" s="36" t="str">
        <f t="shared" si="29"/>
        <v>Dia útil</v>
      </c>
      <c r="F472" s="36" t="str">
        <f t="shared" si="31"/>
        <v>Dia útil</v>
      </c>
      <c r="G472" s="36" t="str">
        <f t="shared" si="32"/>
        <v>Dia útil</v>
      </c>
    </row>
    <row r="473" spans="2:7" ht="12" customHeight="1">
      <c r="B473" s="43">
        <v>452</v>
      </c>
      <c r="C473" s="44">
        <v>45013</v>
      </c>
      <c r="D473" s="36">
        <f t="shared" si="30"/>
        <v>3</v>
      </c>
      <c r="E473" s="36" t="str">
        <f t="shared" ref="E473:E536" si="33">IF(D473=1,"Dom",IF(D473=7,"Sáb","Dia útil"))</f>
        <v>Dia útil</v>
      </c>
      <c r="F473" s="36" t="str">
        <f t="shared" si="31"/>
        <v>Dia útil</v>
      </c>
      <c r="G473" s="36" t="str">
        <f t="shared" si="32"/>
        <v>Dia útil</v>
      </c>
    </row>
    <row r="474" spans="2:7" ht="12" customHeight="1">
      <c r="B474" s="43">
        <v>453</v>
      </c>
      <c r="C474" s="44">
        <v>45014</v>
      </c>
      <c r="D474" s="36">
        <f t="shared" si="30"/>
        <v>4</v>
      </c>
      <c r="E474" s="36" t="str">
        <f t="shared" si="33"/>
        <v>Dia útil</v>
      </c>
      <c r="F474" s="36" t="str">
        <f t="shared" si="31"/>
        <v>Dia útil</v>
      </c>
      <c r="G474" s="36" t="str">
        <f t="shared" si="32"/>
        <v>Dia útil</v>
      </c>
    </row>
    <row r="475" spans="2:7" ht="12" customHeight="1">
      <c r="B475" s="43">
        <v>454</v>
      </c>
      <c r="C475" s="44">
        <v>45015</v>
      </c>
      <c r="D475" s="36">
        <f t="shared" si="30"/>
        <v>5</v>
      </c>
      <c r="E475" s="36" t="str">
        <f t="shared" si="33"/>
        <v>Dia útil</v>
      </c>
      <c r="F475" s="36" t="str">
        <f t="shared" si="31"/>
        <v>Dia útil</v>
      </c>
      <c r="G475" s="36" t="str">
        <f t="shared" si="32"/>
        <v>Dia útil</v>
      </c>
    </row>
    <row r="476" spans="2:7" ht="12" customHeight="1">
      <c r="B476" s="43">
        <v>455</v>
      </c>
      <c r="C476" s="44">
        <v>45016</v>
      </c>
      <c r="D476" s="36">
        <f t="shared" si="30"/>
        <v>6</v>
      </c>
      <c r="E476" s="36" t="str">
        <f t="shared" si="33"/>
        <v>Dia útil</v>
      </c>
      <c r="F476" s="36" t="str">
        <f t="shared" si="31"/>
        <v>Dia útil</v>
      </c>
      <c r="G476" s="36" t="str">
        <f t="shared" si="32"/>
        <v>Dia útil</v>
      </c>
    </row>
    <row r="477" spans="2:7" ht="12" customHeight="1">
      <c r="B477" s="43">
        <v>456</v>
      </c>
      <c r="C477" s="44">
        <v>45017</v>
      </c>
      <c r="D477" s="36">
        <f t="shared" si="30"/>
        <v>7</v>
      </c>
      <c r="E477" s="36" t="str">
        <f t="shared" si="33"/>
        <v>Sáb</v>
      </c>
      <c r="F477" s="36" t="str">
        <f t="shared" si="31"/>
        <v>Sáb</v>
      </c>
      <c r="G477" s="36" t="str">
        <f t="shared" si="32"/>
        <v>Sáb</v>
      </c>
    </row>
    <row r="478" spans="2:7" ht="12" customHeight="1">
      <c r="B478" s="43">
        <v>457</v>
      </c>
      <c r="C478" s="44">
        <v>45018</v>
      </c>
      <c r="D478" s="36">
        <f t="shared" si="30"/>
        <v>1</v>
      </c>
      <c r="E478" s="36" t="str">
        <f t="shared" si="33"/>
        <v>Dom</v>
      </c>
      <c r="F478" s="36" t="str">
        <f t="shared" si="31"/>
        <v>Dom</v>
      </c>
      <c r="G478" s="36" t="str">
        <f t="shared" si="32"/>
        <v>Dom</v>
      </c>
    </row>
    <row r="479" spans="2:7" ht="12" customHeight="1">
      <c r="B479" s="43">
        <v>458</v>
      </c>
      <c r="C479" s="44">
        <v>45019</v>
      </c>
      <c r="D479" s="36">
        <f t="shared" si="30"/>
        <v>2</v>
      </c>
      <c r="E479" s="36" t="str">
        <f t="shared" si="33"/>
        <v>Dia útil</v>
      </c>
      <c r="F479" s="36" t="str">
        <f t="shared" si="31"/>
        <v>Dia útil</v>
      </c>
      <c r="G479" s="36" t="str">
        <f t="shared" si="32"/>
        <v>Dia útil</v>
      </c>
    </row>
    <row r="480" spans="2:7" ht="12" customHeight="1">
      <c r="B480" s="43">
        <v>459</v>
      </c>
      <c r="C480" s="44">
        <v>45020</v>
      </c>
      <c r="D480" s="36">
        <f t="shared" si="30"/>
        <v>3</v>
      </c>
      <c r="E480" s="36" t="str">
        <f t="shared" si="33"/>
        <v>Dia útil</v>
      </c>
      <c r="F480" s="36" t="str">
        <f t="shared" si="31"/>
        <v>Dia útil</v>
      </c>
      <c r="G480" s="36" t="str">
        <f t="shared" si="32"/>
        <v>Dia útil</v>
      </c>
    </row>
    <row r="481" spans="2:7" ht="12" customHeight="1">
      <c r="B481" s="43">
        <v>460</v>
      </c>
      <c r="C481" s="44">
        <v>45021</v>
      </c>
      <c r="D481" s="36">
        <f t="shared" si="30"/>
        <v>4</v>
      </c>
      <c r="E481" s="36" t="str">
        <f t="shared" si="33"/>
        <v>Dia útil</v>
      </c>
      <c r="F481" s="36" t="str">
        <f t="shared" si="31"/>
        <v>Dia útil</v>
      </c>
      <c r="G481" s="36" t="str">
        <f t="shared" si="32"/>
        <v>Dia útil</v>
      </c>
    </row>
    <row r="482" spans="2:7" ht="12" customHeight="1">
      <c r="B482" s="43">
        <v>461</v>
      </c>
      <c r="C482" s="44">
        <v>45022</v>
      </c>
      <c r="D482" s="36">
        <f t="shared" si="30"/>
        <v>5</v>
      </c>
      <c r="E482" s="36" t="str">
        <f t="shared" si="33"/>
        <v>Dia útil</v>
      </c>
      <c r="F482" s="36" t="str">
        <f t="shared" si="31"/>
        <v>Dia útil</v>
      </c>
      <c r="G482" s="36" t="str">
        <f t="shared" si="32"/>
        <v>Dia útil</v>
      </c>
    </row>
    <row r="483" spans="2:7" ht="12" customHeight="1">
      <c r="B483" s="43">
        <v>462</v>
      </c>
      <c r="C483" s="44">
        <v>45023</v>
      </c>
      <c r="D483" s="36">
        <f t="shared" si="30"/>
        <v>6</v>
      </c>
      <c r="E483" s="36" t="str">
        <f t="shared" si="33"/>
        <v>Dia útil</v>
      </c>
      <c r="F483" s="46" t="s">
        <v>1725</v>
      </c>
      <c r="G483" s="36" t="str">
        <f t="shared" si="32"/>
        <v>Feriado</v>
      </c>
    </row>
    <row r="484" spans="2:7" ht="12" customHeight="1">
      <c r="B484" s="43">
        <v>463</v>
      </c>
      <c r="C484" s="44">
        <v>45024</v>
      </c>
      <c r="D484" s="36">
        <f t="shared" si="30"/>
        <v>7</v>
      </c>
      <c r="E484" s="36" t="str">
        <f t="shared" si="33"/>
        <v>Sáb</v>
      </c>
      <c r="F484" s="36" t="str">
        <f t="shared" si="31"/>
        <v>Sáb</v>
      </c>
      <c r="G484" s="36" t="str">
        <f t="shared" si="32"/>
        <v>Sáb</v>
      </c>
    </row>
    <row r="485" spans="2:7" ht="12" customHeight="1">
      <c r="B485" s="43">
        <v>464</v>
      </c>
      <c r="C485" s="44">
        <v>45025</v>
      </c>
      <c r="D485" s="36">
        <f t="shared" si="30"/>
        <v>1</v>
      </c>
      <c r="E485" s="36" t="str">
        <f t="shared" si="33"/>
        <v>Dom</v>
      </c>
      <c r="F485" s="46" t="s">
        <v>1725</v>
      </c>
      <c r="G485" s="36" t="str">
        <f t="shared" si="32"/>
        <v>Dom</v>
      </c>
    </row>
    <row r="486" spans="2:7" ht="12" customHeight="1">
      <c r="B486" s="43">
        <v>465</v>
      </c>
      <c r="C486" s="44">
        <v>45026</v>
      </c>
      <c r="D486" s="36">
        <f t="shared" si="30"/>
        <v>2</v>
      </c>
      <c r="E486" s="36" t="str">
        <f t="shared" si="33"/>
        <v>Dia útil</v>
      </c>
      <c r="F486" s="36" t="str">
        <f t="shared" si="31"/>
        <v>Dia útil</v>
      </c>
      <c r="G486" s="36" t="str">
        <f t="shared" si="32"/>
        <v>Dia útil</v>
      </c>
    </row>
    <row r="487" spans="2:7" ht="12" customHeight="1">
      <c r="B487" s="43">
        <v>466</v>
      </c>
      <c r="C487" s="44">
        <v>45027</v>
      </c>
      <c r="D487" s="36">
        <f t="shared" si="30"/>
        <v>3</v>
      </c>
      <c r="E487" s="36" t="str">
        <f t="shared" si="33"/>
        <v>Dia útil</v>
      </c>
      <c r="F487" s="36" t="str">
        <f t="shared" si="31"/>
        <v>Dia útil</v>
      </c>
      <c r="G487" s="36" t="str">
        <f t="shared" si="32"/>
        <v>Dia útil</v>
      </c>
    </row>
    <row r="488" spans="2:7" ht="12" customHeight="1">
      <c r="B488" s="43">
        <v>467</v>
      </c>
      <c r="C488" s="44">
        <v>45028</v>
      </c>
      <c r="D488" s="36">
        <f t="shared" si="30"/>
        <v>4</v>
      </c>
      <c r="E488" s="36" t="str">
        <f t="shared" si="33"/>
        <v>Dia útil</v>
      </c>
      <c r="F488" s="36" t="str">
        <f t="shared" si="31"/>
        <v>Dia útil</v>
      </c>
      <c r="G488" s="36" t="str">
        <f t="shared" si="32"/>
        <v>Dia útil</v>
      </c>
    </row>
    <row r="489" spans="2:7" ht="12" customHeight="1">
      <c r="B489" s="43">
        <v>468</v>
      </c>
      <c r="C489" s="44">
        <v>45029</v>
      </c>
      <c r="D489" s="36">
        <f t="shared" si="30"/>
        <v>5</v>
      </c>
      <c r="E489" s="36" t="str">
        <f t="shared" si="33"/>
        <v>Dia útil</v>
      </c>
      <c r="F489" s="36" t="str">
        <f t="shared" si="31"/>
        <v>Dia útil</v>
      </c>
      <c r="G489" s="36" t="str">
        <f t="shared" si="32"/>
        <v>Dia útil</v>
      </c>
    </row>
    <row r="490" spans="2:7" ht="12" customHeight="1">
      <c r="B490" s="43">
        <v>469</v>
      </c>
      <c r="C490" s="44">
        <v>45030</v>
      </c>
      <c r="D490" s="36">
        <f t="shared" si="30"/>
        <v>6</v>
      </c>
      <c r="E490" s="36" t="str">
        <f t="shared" si="33"/>
        <v>Dia útil</v>
      </c>
      <c r="F490" s="36" t="str">
        <f t="shared" si="31"/>
        <v>Dia útil</v>
      </c>
      <c r="G490" s="36" t="str">
        <f t="shared" si="32"/>
        <v>Dia útil</v>
      </c>
    </row>
    <row r="491" spans="2:7" ht="12" customHeight="1">
      <c r="B491" s="43">
        <v>470</v>
      </c>
      <c r="C491" s="44">
        <v>45031</v>
      </c>
      <c r="D491" s="36">
        <f t="shared" si="30"/>
        <v>7</v>
      </c>
      <c r="E491" s="36" t="str">
        <f t="shared" si="33"/>
        <v>Sáb</v>
      </c>
      <c r="F491" s="36" t="str">
        <f t="shared" si="31"/>
        <v>Sáb</v>
      </c>
      <c r="G491" s="36" t="str">
        <f t="shared" si="32"/>
        <v>Sáb</v>
      </c>
    </row>
    <row r="492" spans="2:7" ht="12" customHeight="1">
      <c r="B492" s="43">
        <v>471</v>
      </c>
      <c r="C492" s="44">
        <v>45032</v>
      </c>
      <c r="D492" s="36">
        <f t="shared" si="30"/>
        <v>1</v>
      </c>
      <c r="E492" s="36" t="str">
        <f t="shared" si="33"/>
        <v>Dom</v>
      </c>
      <c r="F492" s="36" t="str">
        <f t="shared" si="31"/>
        <v>Dom</v>
      </c>
      <c r="G492" s="36" t="str">
        <f t="shared" si="32"/>
        <v>Dom</v>
      </c>
    </row>
    <row r="493" spans="2:7" ht="12" customHeight="1">
      <c r="B493" s="43">
        <v>472</v>
      </c>
      <c r="C493" s="44">
        <v>45033</v>
      </c>
      <c r="D493" s="36">
        <f t="shared" si="30"/>
        <v>2</v>
      </c>
      <c r="E493" s="36" t="str">
        <f t="shared" si="33"/>
        <v>Dia útil</v>
      </c>
      <c r="F493" s="36" t="str">
        <f t="shared" si="31"/>
        <v>Dia útil</v>
      </c>
      <c r="G493" s="36" t="str">
        <f t="shared" si="32"/>
        <v>Dia útil</v>
      </c>
    </row>
    <row r="494" spans="2:7" ht="12" customHeight="1">
      <c r="B494" s="43">
        <v>473</v>
      </c>
      <c r="C494" s="44">
        <v>45034</v>
      </c>
      <c r="D494" s="36">
        <f t="shared" si="30"/>
        <v>3</v>
      </c>
      <c r="E494" s="36" t="str">
        <f t="shared" si="33"/>
        <v>Dia útil</v>
      </c>
      <c r="F494" s="36" t="str">
        <f t="shared" si="31"/>
        <v>Dia útil</v>
      </c>
      <c r="G494" s="36" t="str">
        <f t="shared" si="32"/>
        <v>Dia útil</v>
      </c>
    </row>
    <row r="495" spans="2:7" ht="12" customHeight="1">
      <c r="B495" s="43">
        <v>474</v>
      </c>
      <c r="C495" s="44">
        <v>45035</v>
      </c>
      <c r="D495" s="36">
        <f t="shared" si="30"/>
        <v>4</v>
      </c>
      <c r="E495" s="36" t="str">
        <f t="shared" si="33"/>
        <v>Dia útil</v>
      </c>
      <c r="F495" s="36" t="str">
        <f t="shared" si="31"/>
        <v>Dia útil</v>
      </c>
      <c r="G495" s="36" t="str">
        <f t="shared" si="32"/>
        <v>Dia útil</v>
      </c>
    </row>
    <row r="496" spans="2:7" ht="12" customHeight="1">
      <c r="B496" s="43">
        <v>475</v>
      </c>
      <c r="C496" s="44">
        <v>45036</v>
      </c>
      <c r="D496" s="36">
        <f t="shared" si="30"/>
        <v>5</v>
      </c>
      <c r="E496" s="36" t="str">
        <f t="shared" si="33"/>
        <v>Dia útil</v>
      </c>
      <c r="F496" s="36" t="str">
        <f t="shared" si="31"/>
        <v>Dia útil</v>
      </c>
      <c r="G496" s="36" t="str">
        <f t="shared" si="32"/>
        <v>Dia útil</v>
      </c>
    </row>
    <row r="497" spans="2:7" ht="12" customHeight="1">
      <c r="B497" s="43">
        <v>476</v>
      </c>
      <c r="C497" s="44">
        <v>45037</v>
      </c>
      <c r="D497" s="36">
        <f t="shared" si="30"/>
        <v>6</v>
      </c>
      <c r="E497" s="36" t="str">
        <f t="shared" si="33"/>
        <v>Dia útil</v>
      </c>
      <c r="F497" s="46" t="s">
        <v>1725</v>
      </c>
      <c r="G497" s="36" t="str">
        <f t="shared" si="32"/>
        <v>Feriado</v>
      </c>
    </row>
    <row r="498" spans="2:7" ht="12" customHeight="1">
      <c r="B498" s="43">
        <v>477</v>
      </c>
      <c r="C498" s="44">
        <v>45038</v>
      </c>
      <c r="D498" s="36">
        <f t="shared" si="30"/>
        <v>7</v>
      </c>
      <c r="E498" s="36" t="str">
        <f t="shared" si="33"/>
        <v>Sáb</v>
      </c>
      <c r="F498" s="36" t="str">
        <f t="shared" si="31"/>
        <v>Sáb</v>
      </c>
      <c r="G498" s="36" t="str">
        <f t="shared" si="32"/>
        <v>Sáb</v>
      </c>
    </row>
    <row r="499" spans="2:7" ht="12" customHeight="1">
      <c r="B499" s="43">
        <v>478</v>
      </c>
      <c r="C499" s="44">
        <v>45039</v>
      </c>
      <c r="D499" s="36">
        <f t="shared" si="30"/>
        <v>1</v>
      </c>
      <c r="E499" s="36" t="str">
        <f t="shared" si="33"/>
        <v>Dom</v>
      </c>
      <c r="F499" s="36" t="str">
        <f t="shared" si="31"/>
        <v>Dom</v>
      </c>
      <c r="G499" s="36" t="str">
        <f t="shared" si="32"/>
        <v>Dom</v>
      </c>
    </row>
    <row r="500" spans="2:7" ht="12" customHeight="1">
      <c r="B500" s="43">
        <v>479</v>
      </c>
      <c r="C500" s="44">
        <v>45040</v>
      </c>
      <c r="D500" s="36">
        <f t="shared" si="30"/>
        <v>2</v>
      </c>
      <c r="E500" s="36" t="str">
        <f t="shared" si="33"/>
        <v>Dia útil</v>
      </c>
      <c r="F500" s="36" t="str">
        <f t="shared" si="31"/>
        <v>Dia útil</v>
      </c>
      <c r="G500" s="36" t="str">
        <f t="shared" si="32"/>
        <v>Dia útil</v>
      </c>
    </row>
    <row r="501" spans="2:7" ht="12" customHeight="1">
      <c r="B501" s="43">
        <v>480</v>
      </c>
      <c r="C501" s="44">
        <v>45041</v>
      </c>
      <c r="D501" s="36">
        <f t="shared" si="30"/>
        <v>3</v>
      </c>
      <c r="E501" s="36" t="str">
        <f t="shared" si="33"/>
        <v>Dia útil</v>
      </c>
      <c r="F501" s="36" t="str">
        <f t="shared" si="31"/>
        <v>Dia útil</v>
      </c>
      <c r="G501" s="36" t="str">
        <f t="shared" si="32"/>
        <v>Dia útil</v>
      </c>
    </row>
    <row r="502" spans="2:7" ht="12" customHeight="1">
      <c r="B502" s="43">
        <v>481</v>
      </c>
      <c r="C502" s="44">
        <v>45042</v>
      </c>
      <c r="D502" s="36">
        <f t="shared" si="30"/>
        <v>4</v>
      </c>
      <c r="E502" s="36" t="str">
        <f t="shared" si="33"/>
        <v>Dia útil</v>
      </c>
      <c r="F502" s="36" t="str">
        <f t="shared" si="31"/>
        <v>Dia útil</v>
      </c>
      <c r="G502" s="36" t="str">
        <f t="shared" si="32"/>
        <v>Dia útil</v>
      </c>
    </row>
    <row r="503" spans="2:7" ht="12" customHeight="1">
      <c r="B503" s="43">
        <v>482</v>
      </c>
      <c r="C503" s="44">
        <v>45043</v>
      </c>
      <c r="D503" s="36">
        <f t="shared" si="30"/>
        <v>5</v>
      </c>
      <c r="E503" s="36" t="str">
        <f t="shared" si="33"/>
        <v>Dia útil</v>
      </c>
      <c r="F503" s="36" t="str">
        <f t="shared" si="31"/>
        <v>Dia útil</v>
      </c>
      <c r="G503" s="36" t="str">
        <f t="shared" si="32"/>
        <v>Dia útil</v>
      </c>
    </row>
    <row r="504" spans="2:7" ht="12" customHeight="1">
      <c r="B504" s="43">
        <v>483</v>
      </c>
      <c r="C504" s="44">
        <v>45044</v>
      </c>
      <c r="D504" s="36">
        <f t="shared" si="30"/>
        <v>6</v>
      </c>
      <c r="E504" s="36" t="str">
        <f t="shared" si="33"/>
        <v>Dia útil</v>
      </c>
      <c r="F504" s="36" t="str">
        <f t="shared" si="31"/>
        <v>Dia útil</v>
      </c>
      <c r="G504" s="36" t="str">
        <f t="shared" si="32"/>
        <v>Dia útil</v>
      </c>
    </row>
    <row r="505" spans="2:7" ht="12" customHeight="1">
      <c r="B505" s="43">
        <v>484</v>
      </c>
      <c r="C505" s="44">
        <v>45045</v>
      </c>
      <c r="D505" s="36">
        <f t="shared" si="30"/>
        <v>7</v>
      </c>
      <c r="E505" s="36" t="str">
        <f t="shared" si="33"/>
        <v>Sáb</v>
      </c>
      <c r="F505" s="36" t="str">
        <f t="shared" si="31"/>
        <v>Sáb</v>
      </c>
      <c r="G505" s="36" t="str">
        <f t="shared" si="32"/>
        <v>Sáb</v>
      </c>
    </row>
    <row r="506" spans="2:7" ht="12" customHeight="1">
      <c r="B506" s="43">
        <v>485</v>
      </c>
      <c r="C506" s="44">
        <v>45046</v>
      </c>
      <c r="D506" s="36">
        <f t="shared" si="30"/>
        <v>1</v>
      </c>
      <c r="E506" s="36" t="str">
        <f t="shared" si="33"/>
        <v>Dom</v>
      </c>
      <c r="F506" s="36" t="str">
        <f t="shared" si="31"/>
        <v>Dom</v>
      </c>
      <c r="G506" s="36" t="str">
        <f t="shared" si="32"/>
        <v>Dom</v>
      </c>
    </row>
    <row r="507" spans="2:7" ht="12" customHeight="1">
      <c r="B507" s="43">
        <v>486</v>
      </c>
      <c r="C507" s="44">
        <v>45047</v>
      </c>
      <c r="D507" s="36">
        <f t="shared" si="30"/>
        <v>2</v>
      </c>
      <c r="E507" s="36" t="str">
        <f t="shared" si="33"/>
        <v>Dia útil</v>
      </c>
      <c r="F507" s="46" t="s">
        <v>1725</v>
      </c>
      <c r="G507" s="36" t="str">
        <f t="shared" si="32"/>
        <v>Feriado</v>
      </c>
    </row>
    <row r="508" spans="2:7" ht="12" customHeight="1">
      <c r="B508" s="43">
        <v>487</v>
      </c>
      <c r="C508" s="44">
        <v>45048</v>
      </c>
      <c r="D508" s="36">
        <f t="shared" si="30"/>
        <v>3</v>
      </c>
      <c r="E508" s="36" t="str">
        <f t="shared" si="33"/>
        <v>Dia útil</v>
      </c>
      <c r="F508" s="36" t="str">
        <f t="shared" si="31"/>
        <v>Dia útil</v>
      </c>
      <c r="G508" s="36" t="str">
        <f t="shared" si="32"/>
        <v>Dia útil</v>
      </c>
    </row>
    <row r="509" spans="2:7" ht="12" customHeight="1">
      <c r="B509" s="43">
        <v>488</v>
      </c>
      <c r="C509" s="44">
        <v>45049</v>
      </c>
      <c r="D509" s="36">
        <f t="shared" si="30"/>
        <v>4</v>
      </c>
      <c r="E509" s="36" t="str">
        <f t="shared" si="33"/>
        <v>Dia útil</v>
      </c>
      <c r="F509" s="36" t="str">
        <f t="shared" si="31"/>
        <v>Dia útil</v>
      </c>
      <c r="G509" s="36" t="str">
        <f t="shared" si="32"/>
        <v>Dia útil</v>
      </c>
    </row>
    <row r="510" spans="2:7" ht="12" customHeight="1">
      <c r="B510" s="43">
        <v>489</v>
      </c>
      <c r="C510" s="44">
        <v>45050</v>
      </c>
      <c r="D510" s="36">
        <f t="shared" si="30"/>
        <v>5</v>
      </c>
      <c r="E510" s="36" t="str">
        <f t="shared" si="33"/>
        <v>Dia útil</v>
      </c>
      <c r="F510" s="36" t="str">
        <f t="shared" si="31"/>
        <v>Dia útil</v>
      </c>
      <c r="G510" s="36" t="str">
        <f t="shared" si="32"/>
        <v>Dia útil</v>
      </c>
    </row>
    <row r="511" spans="2:7" ht="12" customHeight="1">
      <c r="B511" s="43">
        <v>490</v>
      </c>
      <c r="C511" s="44">
        <v>45051</v>
      </c>
      <c r="D511" s="36">
        <f t="shared" si="30"/>
        <v>6</v>
      </c>
      <c r="E511" s="36" t="str">
        <f t="shared" si="33"/>
        <v>Dia útil</v>
      </c>
      <c r="F511" s="36" t="str">
        <f t="shared" si="31"/>
        <v>Dia útil</v>
      </c>
      <c r="G511" s="36" t="str">
        <f t="shared" si="32"/>
        <v>Dia útil</v>
      </c>
    </row>
    <row r="512" spans="2:7" ht="12" customHeight="1">
      <c r="B512" s="43">
        <v>491</v>
      </c>
      <c r="C512" s="44">
        <v>45052</v>
      </c>
      <c r="D512" s="36">
        <f t="shared" si="30"/>
        <v>7</v>
      </c>
      <c r="E512" s="36" t="str">
        <f t="shared" si="33"/>
        <v>Sáb</v>
      </c>
      <c r="F512" s="36" t="str">
        <f t="shared" si="31"/>
        <v>Sáb</v>
      </c>
      <c r="G512" s="36" t="str">
        <f t="shared" si="32"/>
        <v>Sáb</v>
      </c>
    </row>
    <row r="513" spans="2:7" ht="12" customHeight="1">
      <c r="B513" s="43">
        <v>492</v>
      </c>
      <c r="C513" s="44">
        <v>45053</v>
      </c>
      <c r="D513" s="36">
        <f t="shared" si="30"/>
        <v>1</v>
      </c>
      <c r="E513" s="36" t="str">
        <f t="shared" si="33"/>
        <v>Dom</v>
      </c>
      <c r="F513" s="36" t="str">
        <f t="shared" si="31"/>
        <v>Dom</v>
      </c>
      <c r="G513" s="36" t="str">
        <f t="shared" si="32"/>
        <v>Dom</v>
      </c>
    </row>
    <row r="514" spans="2:7" ht="12" customHeight="1">
      <c r="B514" s="43">
        <v>493</v>
      </c>
      <c r="C514" s="44">
        <v>45054</v>
      </c>
      <c r="D514" s="36">
        <f t="shared" si="30"/>
        <v>2</v>
      </c>
      <c r="E514" s="36" t="str">
        <f t="shared" si="33"/>
        <v>Dia útil</v>
      </c>
      <c r="F514" s="36" t="str">
        <f t="shared" si="31"/>
        <v>Dia útil</v>
      </c>
      <c r="G514" s="36" t="str">
        <f t="shared" si="32"/>
        <v>Dia útil</v>
      </c>
    </row>
    <row r="515" spans="2:7" ht="12" customHeight="1">
      <c r="B515" s="43">
        <v>494</v>
      </c>
      <c r="C515" s="44">
        <v>45055</v>
      </c>
      <c r="D515" s="36">
        <f t="shared" si="30"/>
        <v>3</v>
      </c>
      <c r="E515" s="36" t="str">
        <f t="shared" si="33"/>
        <v>Dia útil</v>
      </c>
      <c r="F515" s="36" t="str">
        <f t="shared" si="31"/>
        <v>Dia útil</v>
      </c>
      <c r="G515" s="36" t="str">
        <f t="shared" si="32"/>
        <v>Dia útil</v>
      </c>
    </row>
    <row r="516" spans="2:7" ht="12" customHeight="1">
      <c r="B516" s="43">
        <v>495</v>
      </c>
      <c r="C516" s="44">
        <v>45056</v>
      </c>
      <c r="D516" s="36">
        <f t="shared" si="30"/>
        <v>4</v>
      </c>
      <c r="E516" s="36" t="str">
        <f t="shared" si="33"/>
        <v>Dia útil</v>
      </c>
      <c r="F516" s="36" t="str">
        <f t="shared" si="31"/>
        <v>Dia útil</v>
      </c>
      <c r="G516" s="36" t="str">
        <f t="shared" si="32"/>
        <v>Dia útil</v>
      </c>
    </row>
    <row r="517" spans="2:7" ht="12" customHeight="1">
      <c r="B517" s="43">
        <v>496</v>
      </c>
      <c r="C517" s="44">
        <v>45057</v>
      </c>
      <c r="D517" s="36">
        <f t="shared" si="30"/>
        <v>5</v>
      </c>
      <c r="E517" s="36" t="str">
        <f t="shared" si="33"/>
        <v>Dia útil</v>
      </c>
      <c r="F517" s="36" t="str">
        <f t="shared" si="31"/>
        <v>Dia útil</v>
      </c>
      <c r="G517" s="36" t="str">
        <f t="shared" si="32"/>
        <v>Dia útil</v>
      </c>
    </row>
    <row r="518" spans="2:7" ht="12" customHeight="1">
      <c r="B518" s="43">
        <v>497</v>
      </c>
      <c r="C518" s="44">
        <v>45058</v>
      </c>
      <c r="D518" s="36">
        <f t="shared" si="30"/>
        <v>6</v>
      </c>
      <c r="E518" s="36" t="str">
        <f t="shared" si="33"/>
        <v>Dia útil</v>
      </c>
      <c r="F518" s="36" t="str">
        <f t="shared" si="31"/>
        <v>Dia útil</v>
      </c>
      <c r="G518" s="36" t="str">
        <f t="shared" si="32"/>
        <v>Dia útil</v>
      </c>
    </row>
    <row r="519" spans="2:7" ht="12" customHeight="1">
      <c r="B519" s="43">
        <v>498</v>
      </c>
      <c r="C519" s="44">
        <v>45059</v>
      </c>
      <c r="D519" s="36">
        <f t="shared" si="30"/>
        <v>7</v>
      </c>
      <c r="E519" s="36" t="str">
        <f t="shared" si="33"/>
        <v>Sáb</v>
      </c>
      <c r="F519" s="36" t="str">
        <f t="shared" si="31"/>
        <v>Sáb</v>
      </c>
      <c r="G519" s="36" t="str">
        <f t="shared" si="32"/>
        <v>Sáb</v>
      </c>
    </row>
    <row r="520" spans="2:7" ht="12" customHeight="1">
      <c r="B520" s="43">
        <v>499</v>
      </c>
      <c r="C520" s="44">
        <v>45060</v>
      </c>
      <c r="D520" s="36">
        <f t="shared" si="30"/>
        <v>1</v>
      </c>
      <c r="E520" s="36" t="str">
        <f t="shared" si="33"/>
        <v>Dom</v>
      </c>
      <c r="F520" s="36" t="str">
        <f t="shared" si="31"/>
        <v>Dom</v>
      </c>
      <c r="G520" s="36" t="str">
        <f t="shared" si="32"/>
        <v>Dom</v>
      </c>
    </row>
    <row r="521" spans="2:7" ht="12" customHeight="1">
      <c r="B521" s="43">
        <v>500</v>
      </c>
      <c r="C521" s="44">
        <v>45061</v>
      </c>
      <c r="D521" s="36">
        <f t="shared" si="30"/>
        <v>2</v>
      </c>
      <c r="E521" s="36" t="str">
        <f t="shared" si="33"/>
        <v>Dia útil</v>
      </c>
      <c r="F521" s="36" t="str">
        <f t="shared" si="31"/>
        <v>Dia útil</v>
      </c>
      <c r="G521" s="36" t="str">
        <f t="shared" si="32"/>
        <v>Dia útil</v>
      </c>
    </row>
    <row r="522" spans="2:7" ht="12" customHeight="1">
      <c r="B522" s="43">
        <v>501</v>
      </c>
      <c r="C522" s="44">
        <v>45062</v>
      </c>
      <c r="D522" s="36">
        <f t="shared" si="30"/>
        <v>3</v>
      </c>
      <c r="E522" s="36" t="str">
        <f t="shared" si="33"/>
        <v>Dia útil</v>
      </c>
      <c r="F522" s="36" t="str">
        <f t="shared" si="31"/>
        <v>Dia útil</v>
      </c>
      <c r="G522" s="36" t="str">
        <f t="shared" si="32"/>
        <v>Dia útil</v>
      </c>
    </row>
    <row r="523" spans="2:7" ht="12" customHeight="1">
      <c r="B523" s="43">
        <v>502</v>
      </c>
      <c r="C523" s="44">
        <v>45063</v>
      </c>
      <c r="D523" s="36">
        <f t="shared" si="30"/>
        <v>4</v>
      </c>
      <c r="E523" s="36" t="str">
        <f t="shared" si="33"/>
        <v>Dia útil</v>
      </c>
      <c r="F523" s="36" t="str">
        <f t="shared" si="31"/>
        <v>Dia útil</v>
      </c>
      <c r="G523" s="36" t="str">
        <f t="shared" si="32"/>
        <v>Dia útil</v>
      </c>
    </row>
    <row r="524" spans="2:7" ht="12" customHeight="1">
      <c r="B524" s="43">
        <v>503</v>
      </c>
      <c r="C524" s="44">
        <v>45064</v>
      </c>
      <c r="D524" s="36">
        <f t="shared" si="30"/>
        <v>5</v>
      </c>
      <c r="E524" s="36" t="str">
        <f t="shared" si="33"/>
        <v>Dia útil</v>
      </c>
      <c r="F524" s="36" t="str">
        <f t="shared" si="31"/>
        <v>Dia útil</v>
      </c>
      <c r="G524" s="36" t="str">
        <f t="shared" si="32"/>
        <v>Dia útil</v>
      </c>
    </row>
    <row r="525" spans="2:7" ht="12" customHeight="1">
      <c r="B525" s="43">
        <v>504</v>
      </c>
      <c r="C525" s="44">
        <v>45065</v>
      </c>
      <c r="D525" s="36">
        <f t="shared" si="30"/>
        <v>6</v>
      </c>
      <c r="E525" s="36" t="str">
        <f t="shared" si="33"/>
        <v>Dia útil</v>
      </c>
      <c r="F525" s="36" t="str">
        <f t="shared" si="31"/>
        <v>Dia útil</v>
      </c>
      <c r="G525" s="36" t="str">
        <f t="shared" si="32"/>
        <v>Dia útil</v>
      </c>
    </row>
    <row r="526" spans="2:7" ht="12" customHeight="1">
      <c r="B526" s="43">
        <v>505</v>
      </c>
      <c r="C526" s="44">
        <v>45066</v>
      </c>
      <c r="D526" s="36">
        <f t="shared" si="30"/>
        <v>7</v>
      </c>
      <c r="E526" s="36" t="str">
        <f t="shared" si="33"/>
        <v>Sáb</v>
      </c>
      <c r="F526" s="36" t="str">
        <f t="shared" si="31"/>
        <v>Sáb</v>
      </c>
      <c r="G526" s="36" t="str">
        <f t="shared" si="32"/>
        <v>Sáb</v>
      </c>
    </row>
    <row r="527" spans="2:7" ht="12" customHeight="1">
      <c r="B527" s="43">
        <v>506</v>
      </c>
      <c r="C527" s="44">
        <v>45067</v>
      </c>
      <c r="D527" s="36">
        <f t="shared" si="30"/>
        <v>1</v>
      </c>
      <c r="E527" s="36" t="str">
        <f t="shared" si="33"/>
        <v>Dom</v>
      </c>
      <c r="F527" s="36" t="str">
        <f t="shared" si="31"/>
        <v>Dom</v>
      </c>
      <c r="G527" s="36" t="str">
        <f t="shared" si="32"/>
        <v>Dom</v>
      </c>
    </row>
    <row r="528" spans="2:7" ht="12" customHeight="1">
      <c r="B528" s="43">
        <v>507</v>
      </c>
      <c r="C528" s="44">
        <v>45068</v>
      </c>
      <c r="D528" s="36">
        <f t="shared" si="30"/>
        <v>2</v>
      </c>
      <c r="E528" s="36" t="str">
        <f t="shared" si="33"/>
        <v>Dia útil</v>
      </c>
      <c r="F528" s="36" t="str">
        <f t="shared" si="31"/>
        <v>Dia útil</v>
      </c>
      <c r="G528" s="36" t="str">
        <f t="shared" si="32"/>
        <v>Dia útil</v>
      </c>
    </row>
    <row r="529" spans="2:7" ht="12" customHeight="1">
      <c r="B529" s="43">
        <v>508</v>
      </c>
      <c r="C529" s="44">
        <v>45069</v>
      </c>
      <c r="D529" s="36">
        <f t="shared" si="30"/>
        <v>3</v>
      </c>
      <c r="E529" s="36" t="str">
        <f t="shared" si="33"/>
        <v>Dia útil</v>
      </c>
      <c r="F529" s="36" t="str">
        <f t="shared" si="31"/>
        <v>Dia útil</v>
      </c>
      <c r="G529" s="36" t="str">
        <f t="shared" si="32"/>
        <v>Dia útil</v>
      </c>
    </row>
    <row r="530" spans="2:7" ht="12" customHeight="1">
      <c r="B530" s="43">
        <v>509</v>
      </c>
      <c r="C530" s="44">
        <v>45070</v>
      </c>
      <c r="D530" s="36">
        <f t="shared" si="30"/>
        <v>4</v>
      </c>
      <c r="E530" s="36" t="str">
        <f t="shared" si="33"/>
        <v>Dia útil</v>
      </c>
      <c r="F530" s="36" t="str">
        <f t="shared" si="31"/>
        <v>Dia útil</v>
      </c>
      <c r="G530" s="36" t="str">
        <f t="shared" si="32"/>
        <v>Dia útil</v>
      </c>
    </row>
    <row r="531" spans="2:7" ht="12" customHeight="1">
      <c r="B531" s="43">
        <v>510</v>
      </c>
      <c r="C531" s="44">
        <v>45071</v>
      </c>
      <c r="D531" s="36">
        <f t="shared" si="30"/>
        <v>5</v>
      </c>
      <c r="E531" s="36" t="str">
        <f t="shared" si="33"/>
        <v>Dia útil</v>
      </c>
      <c r="F531" s="36" t="str">
        <f t="shared" si="31"/>
        <v>Dia útil</v>
      </c>
      <c r="G531" s="36" t="str">
        <f t="shared" si="32"/>
        <v>Dia útil</v>
      </c>
    </row>
    <row r="532" spans="2:7" ht="12" customHeight="1">
      <c r="B532" s="43">
        <v>511</v>
      </c>
      <c r="C532" s="44">
        <v>45072</v>
      </c>
      <c r="D532" s="36">
        <f t="shared" si="30"/>
        <v>6</v>
      </c>
      <c r="E532" s="36" t="str">
        <f t="shared" si="33"/>
        <v>Dia útil</v>
      </c>
      <c r="F532" s="36" t="str">
        <f t="shared" si="31"/>
        <v>Dia útil</v>
      </c>
      <c r="G532" s="36" t="str">
        <f t="shared" si="32"/>
        <v>Dia útil</v>
      </c>
    </row>
    <row r="533" spans="2:7" ht="12" customHeight="1">
      <c r="B533" s="43">
        <v>512</v>
      </c>
      <c r="C533" s="44">
        <v>45073</v>
      </c>
      <c r="D533" s="36">
        <f t="shared" si="30"/>
        <v>7</v>
      </c>
      <c r="E533" s="36" t="str">
        <f t="shared" si="33"/>
        <v>Sáb</v>
      </c>
      <c r="F533" s="36" t="str">
        <f t="shared" si="31"/>
        <v>Sáb</v>
      </c>
      <c r="G533" s="36" t="str">
        <f t="shared" si="32"/>
        <v>Sáb</v>
      </c>
    </row>
    <row r="534" spans="2:7" ht="12" customHeight="1">
      <c r="B534" s="43">
        <v>513</v>
      </c>
      <c r="C534" s="44">
        <v>45074</v>
      </c>
      <c r="D534" s="36">
        <f t="shared" si="30"/>
        <v>1</v>
      </c>
      <c r="E534" s="36" t="str">
        <f t="shared" si="33"/>
        <v>Dom</v>
      </c>
      <c r="F534" s="36" t="str">
        <f t="shared" si="31"/>
        <v>Dom</v>
      </c>
      <c r="G534" s="36" t="str">
        <f t="shared" si="32"/>
        <v>Dom</v>
      </c>
    </row>
    <row r="535" spans="2:7" ht="12" customHeight="1">
      <c r="B535" s="43">
        <v>514</v>
      </c>
      <c r="C535" s="44">
        <v>45075</v>
      </c>
      <c r="D535" s="36">
        <f t="shared" ref="D535:D598" si="34">WEEKDAY(C535,1)</f>
        <v>2</v>
      </c>
      <c r="E535" s="36" t="str">
        <f t="shared" si="33"/>
        <v>Dia útil</v>
      </c>
      <c r="F535" s="36" t="str">
        <f t="shared" ref="F535:F598" si="35">E535</f>
        <v>Dia útil</v>
      </c>
      <c r="G535" s="36" t="str">
        <f t="shared" ref="G535:G598" si="36">IF(AND(F535="Feriado",OR(E535="Sáb",E535="Dom")),E535,IF(AND(F535="Feriado",E535="Dia útil"),"Feriado",E535))</f>
        <v>Dia útil</v>
      </c>
    </row>
    <row r="536" spans="2:7" ht="12" customHeight="1">
      <c r="B536" s="43">
        <v>515</v>
      </c>
      <c r="C536" s="44">
        <v>45076</v>
      </c>
      <c r="D536" s="36">
        <f t="shared" si="34"/>
        <v>3</v>
      </c>
      <c r="E536" s="36" t="str">
        <f t="shared" si="33"/>
        <v>Dia útil</v>
      </c>
      <c r="F536" s="36" t="str">
        <f t="shared" si="35"/>
        <v>Dia útil</v>
      </c>
      <c r="G536" s="36" t="str">
        <f t="shared" si="36"/>
        <v>Dia útil</v>
      </c>
    </row>
    <row r="537" spans="2:7" ht="12" customHeight="1">
      <c r="B537" s="43">
        <v>516</v>
      </c>
      <c r="C537" s="44">
        <v>45077</v>
      </c>
      <c r="D537" s="36">
        <f t="shared" si="34"/>
        <v>4</v>
      </c>
      <c r="E537" s="36" t="str">
        <f t="shared" ref="E537:E600" si="37">IF(D537=1,"Dom",IF(D537=7,"Sáb","Dia útil"))</f>
        <v>Dia útil</v>
      </c>
      <c r="F537" s="36" t="str">
        <f t="shared" si="35"/>
        <v>Dia útil</v>
      </c>
      <c r="G537" s="36" t="str">
        <f t="shared" si="36"/>
        <v>Dia útil</v>
      </c>
    </row>
    <row r="538" spans="2:7" ht="12" customHeight="1">
      <c r="B538" s="43">
        <v>517</v>
      </c>
      <c r="C538" s="44">
        <v>45078</v>
      </c>
      <c r="D538" s="36">
        <f t="shared" si="34"/>
        <v>5</v>
      </c>
      <c r="E538" s="36" t="str">
        <f t="shared" si="37"/>
        <v>Dia útil</v>
      </c>
      <c r="F538" s="36" t="str">
        <f t="shared" si="35"/>
        <v>Dia útil</v>
      </c>
      <c r="G538" s="36" t="str">
        <f t="shared" si="36"/>
        <v>Dia útil</v>
      </c>
    </row>
    <row r="539" spans="2:7" ht="12" customHeight="1">
      <c r="B539" s="43">
        <v>518</v>
      </c>
      <c r="C539" s="44">
        <v>45079</v>
      </c>
      <c r="D539" s="36">
        <f t="shared" si="34"/>
        <v>6</v>
      </c>
      <c r="E539" s="36" t="str">
        <f t="shared" si="37"/>
        <v>Dia útil</v>
      </c>
      <c r="F539" s="36" t="str">
        <f t="shared" si="35"/>
        <v>Dia útil</v>
      </c>
      <c r="G539" s="36" t="str">
        <f t="shared" si="36"/>
        <v>Dia útil</v>
      </c>
    </row>
    <row r="540" spans="2:7" ht="12" customHeight="1">
      <c r="B540" s="43">
        <v>519</v>
      </c>
      <c r="C540" s="44">
        <v>45080</v>
      </c>
      <c r="D540" s="36">
        <f t="shared" si="34"/>
        <v>7</v>
      </c>
      <c r="E540" s="36" t="str">
        <f t="shared" si="37"/>
        <v>Sáb</v>
      </c>
      <c r="F540" s="36" t="str">
        <f t="shared" si="35"/>
        <v>Sáb</v>
      </c>
      <c r="G540" s="36" t="str">
        <f t="shared" si="36"/>
        <v>Sáb</v>
      </c>
    </row>
    <row r="541" spans="2:7" ht="12" customHeight="1">
      <c r="B541" s="43">
        <v>520</v>
      </c>
      <c r="C541" s="44">
        <v>45081</v>
      </c>
      <c r="D541" s="36">
        <f t="shared" si="34"/>
        <v>1</v>
      </c>
      <c r="E541" s="36" t="str">
        <f t="shared" si="37"/>
        <v>Dom</v>
      </c>
      <c r="F541" s="36" t="str">
        <f t="shared" si="35"/>
        <v>Dom</v>
      </c>
      <c r="G541" s="36" t="str">
        <f t="shared" si="36"/>
        <v>Dom</v>
      </c>
    </row>
    <row r="542" spans="2:7" ht="12" customHeight="1">
      <c r="B542" s="43">
        <v>521</v>
      </c>
      <c r="C542" s="44">
        <v>45082</v>
      </c>
      <c r="D542" s="36">
        <f t="shared" si="34"/>
        <v>2</v>
      </c>
      <c r="E542" s="36" t="str">
        <f t="shared" si="37"/>
        <v>Dia útil</v>
      </c>
      <c r="F542" s="36" t="str">
        <f t="shared" si="35"/>
        <v>Dia útil</v>
      </c>
      <c r="G542" s="36" t="str">
        <f t="shared" si="36"/>
        <v>Dia útil</v>
      </c>
    </row>
    <row r="543" spans="2:7" ht="12" customHeight="1">
      <c r="B543" s="43">
        <v>522</v>
      </c>
      <c r="C543" s="44">
        <v>45083</v>
      </c>
      <c r="D543" s="36">
        <f t="shared" si="34"/>
        <v>3</v>
      </c>
      <c r="E543" s="36" t="str">
        <f t="shared" si="37"/>
        <v>Dia útil</v>
      </c>
      <c r="F543" s="36" t="str">
        <f t="shared" si="35"/>
        <v>Dia útil</v>
      </c>
      <c r="G543" s="36" t="str">
        <f t="shared" si="36"/>
        <v>Dia útil</v>
      </c>
    </row>
    <row r="544" spans="2:7" ht="12" customHeight="1">
      <c r="B544" s="43">
        <v>523</v>
      </c>
      <c r="C544" s="44">
        <v>45084</v>
      </c>
      <c r="D544" s="36">
        <f t="shared" si="34"/>
        <v>4</v>
      </c>
      <c r="E544" s="36" t="str">
        <f t="shared" si="37"/>
        <v>Dia útil</v>
      </c>
      <c r="F544" s="36" t="str">
        <f t="shared" si="35"/>
        <v>Dia útil</v>
      </c>
      <c r="G544" s="36" t="str">
        <f t="shared" si="36"/>
        <v>Dia útil</v>
      </c>
    </row>
    <row r="545" spans="2:7" ht="12" customHeight="1">
      <c r="B545" s="43">
        <v>524</v>
      </c>
      <c r="C545" s="44">
        <v>45085</v>
      </c>
      <c r="D545" s="36">
        <f t="shared" si="34"/>
        <v>5</v>
      </c>
      <c r="E545" s="36" t="str">
        <f t="shared" si="37"/>
        <v>Dia útil</v>
      </c>
      <c r="F545" s="46" t="s">
        <v>1725</v>
      </c>
      <c r="G545" s="36" t="str">
        <f t="shared" si="36"/>
        <v>Feriado</v>
      </c>
    </row>
    <row r="546" spans="2:7" ht="12" customHeight="1">
      <c r="B546" s="43">
        <v>525</v>
      </c>
      <c r="C546" s="44">
        <v>45086</v>
      </c>
      <c r="D546" s="36">
        <f t="shared" si="34"/>
        <v>6</v>
      </c>
      <c r="E546" s="36" t="str">
        <f t="shared" si="37"/>
        <v>Dia útil</v>
      </c>
      <c r="F546" s="36" t="str">
        <f t="shared" si="35"/>
        <v>Dia útil</v>
      </c>
      <c r="G546" s="36" t="str">
        <f t="shared" si="36"/>
        <v>Dia útil</v>
      </c>
    </row>
    <row r="547" spans="2:7" ht="12" customHeight="1">
      <c r="B547" s="43">
        <v>526</v>
      </c>
      <c r="C547" s="44">
        <v>45087</v>
      </c>
      <c r="D547" s="36">
        <f t="shared" si="34"/>
        <v>7</v>
      </c>
      <c r="E547" s="36" t="str">
        <f t="shared" si="37"/>
        <v>Sáb</v>
      </c>
      <c r="F547" s="36" t="str">
        <f t="shared" si="35"/>
        <v>Sáb</v>
      </c>
      <c r="G547" s="36" t="str">
        <f t="shared" si="36"/>
        <v>Sáb</v>
      </c>
    </row>
    <row r="548" spans="2:7" ht="12" customHeight="1">
      <c r="B548" s="43">
        <v>527</v>
      </c>
      <c r="C548" s="44">
        <v>45088</v>
      </c>
      <c r="D548" s="36">
        <f t="shared" si="34"/>
        <v>1</v>
      </c>
      <c r="E548" s="36" t="str">
        <f t="shared" si="37"/>
        <v>Dom</v>
      </c>
      <c r="F548" s="36" t="str">
        <f t="shared" si="35"/>
        <v>Dom</v>
      </c>
      <c r="G548" s="36" t="str">
        <f t="shared" si="36"/>
        <v>Dom</v>
      </c>
    </row>
    <row r="549" spans="2:7" ht="12" customHeight="1">
      <c r="B549" s="43">
        <v>528</v>
      </c>
      <c r="C549" s="44">
        <v>45089</v>
      </c>
      <c r="D549" s="36">
        <f t="shared" si="34"/>
        <v>2</v>
      </c>
      <c r="E549" s="36" t="str">
        <f t="shared" si="37"/>
        <v>Dia útil</v>
      </c>
      <c r="F549" s="36" t="str">
        <f t="shared" si="35"/>
        <v>Dia útil</v>
      </c>
      <c r="G549" s="36" t="str">
        <f t="shared" si="36"/>
        <v>Dia útil</v>
      </c>
    </row>
    <row r="550" spans="2:7" ht="12" customHeight="1">
      <c r="B550" s="43">
        <v>529</v>
      </c>
      <c r="C550" s="44">
        <v>45090</v>
      </c>
      <c r="D550" s="36">
        <f t="shared" si="34"/>
        <v>3</v>
      </c>
      <c r="E550" s="36" t="str">
        <f t="shared" si="37"/>
        <v>Dia útil</v>
      </c>
      <c r="F550" s="36" t="str">
        <f t="shared" si="35"/>
        <v>Dia útil</v>
      </c>
      <c r="G550" s="36" t="str">
        <f t="shared" si="36"/>
        <v>Dia útil</v>
      </c>
    </row>
    <row r="551" spans="2:7" ht="12" customHeight="1">
      <c r="B551" s="43">
        <v>530</v>
      </c>
      <c r="C551" s="44">
        <v>45091</v>
      </c>
      <c r="D551" s="36">
        <f t="shared" si="34"/>
        <v>4</v>
      </c>
      <c r="E551" s="36" t="str">
        <f t="shared" si="37"/>
        <v>Dia útil</v>
      </c>
      <c r="F551" s="36" t="str">
        <f t="shared" si="35"/>
        <v>Dia útil</v>
      </c>
      <c r="G551" s="36" t="str">
        <f t="shared" si="36"/>
        <v>Dia útil</v>
      </c>
    </row>
    <row r="552" spans="2:7" ht="12" customHeight="1">
      <c r="B552" s="43">
        <v>531</v>
      </c>
      <c r="C552" s="44">
        <v>45092</v>
      </c>
      <c r="D552" s="36">
        <f t="shared" si="34"/>
        <v>5</v>
      </c>
      <c r="E552" s="36" t="str">
        <f t="shared" si="37"/>
        <v>Dia útil</v>
      </c>
      <c r="F552" s="36" t="str">
        <f t="shared" si="35"/>
        <v>Dia útil</v>
      </c>
      <c r="G552" s="36" t="str">
        <f t="shared" si="36"/>
        <v>Dia útil</v>
      </c>
    </row>
    <row r="553" spans="2:7" ht="12" customHeight="1">
      <c r="B553" s="43">
        <v>532</v>
      </c>
      <c r="C553" s="44">
        <v>45093</v>
      </c>
      <c r="D553" s="36">
        <f t="shared" si="34"/>
        <v>6</v>
      </c>
      <c r="E553" s="36" t="str">
        <f t="shared" si="37"/>
        <v>Dia útil</v>
      </c>
      <c r="F553" s="36" t="str">
        <f t="shared" si="35"/>
        <v>Dia útil</v>
      </c>
      <c r="G553" s="36" t="str">
        <f t="shared" si="36"/>
        <v>Dia útil</v>
      </c>
    </row>
    <row r="554" spans="2:7" ht="12" customHeight="1">
      <c r="B554" s="43">
        <v>533</v>
      </c>
      <c r="C554" s="44">
        <v>45094</v>
      </c>
      <c r="D554" s="36">
        <f t="shared" si="34"/>
        <v>7</v>
      </c>
      <c r="E554" s="36" t="str">
        <f t="shared" si="37"/>
        <v>Sáb</v>
      </c>
      <c r="F554" s="36" t="str">
        <f t="shared" si="35"/>
        <v>Sáb</v>
      </c>
      <c r="G554" s="36" t="str">
        <f t="shared" si="36"/>
        <v>Sáb</v>
      </c>
    </row>
    <row r="555" spans="2:7" ht="12" customHeight="1">
      <c r="B555" s="43">
        <v>534</v>
      </c>
      <c r="C555" s="44">
        <v>45095</v>
      </c>
      <c r="D555" s="36">
        <f t="shared" si="34"/>
        <v>1</v>
      </c>
      <c r="E555" s="36" t="str">
        <f t="shared" si="37"/>
        <v>Dom</v>
      </c>
      <c r="F555" s="36" t="str">
        <f t="shared" si="35"/>
        <v>Dom</v>
      </c>
      <c r="G555" s="36" t="str">
        <f t="shared" si="36"/>
        <v>Dom</v>
      </c>
    </row>
    <row r="556" spans="2:7" ht="12" customHeight="1">
      <c r="B556" s="43">
        <v>535</v>
      </c>
      <c r="C556" s="44">
        <v>45096</v>
      </c>
      <c r="D556" s="36">
        <f t="shared" si="34"/>
        <v>2</v>
      </c>
      <c r="E556" s="36" t="str">
        <f t="shared" si="37"/>
        <v>Dia útil</v>
      </c>
      <c r="F556" s="36" t="str">
        <f t="shared" si="35"/>
        <v>Dia útil</v>
      </c>
      <c r="G556" s="36" t="str">
        <f t="shared" si="36"/>
        <v>Dia útil</v>
      </c>
    </row>
    <row r="557" spans="2:7" ht="12" customHeight="1">
      <c r="B557" s="43">
        <v>536</v>
      </c>
      <c r="C557" s="44">
        <v>45097</v>
      </c>
      <c r="D557" s="36">
        <f t="shared" si="34"/>
        <v>3</v>
      </c>
      <c r="E557" s="36" t="str">
        <f t="shared" si="37"/>
        <v>Dia útil</v>
      </c>
      <c r="F557" s="36" t="str">
        <f t="shared" si="35"/>
        <v>Dia útil</v>
      </c>
      <c r="G557" s="36" t="str">
        <f t="shared" si="36"/>
        <v>Dia útil</v>
      </c>
    </row>
    <row r="558" spans="2:7" ht="12" customHeight="1">
      <c r="B558" s="43">
        <v>537</v>
      </c>
      <c r="C558" s="44">
        <v>45098</v>
      </c>
      <c r="D558" s="36">
        <f t="shared" si="34"/>
        <v>4</v>
      </c>
      <c r="E558" s="36" t="str">
        <f t="shared" si="37"/>
        <v>Dia útil</v>
      </c>
      <c r="F558" s="36" t="str">
        <f t="shared" si="35"/>
        <v>Dia útil</v>
      </c>
      <c r="G558" s="36" t="str">
        <f t="shared" si="36"/>
        <v>Dia útil</v>
      </c>
    </row>
    <row r="559" spans="2:7" ht="12" customHeight="1">
      <c r="B559" s="43">
        <v>538</v>
      </c>
      <c r="C559" s="44">
        <v>45099</v>
      </c>
      <c r="D559" s="36">
        <f t="shared" si="34"/>
        <v>5</v>
      </c>
      <c r="E559" s="36" t="str">
        <f t="shared" si="37"/>
        <v>Dia útil</v>
      </c>
      <c r="F559" s="36" t="str">
        <f t="shared" si="35"/>
        <v>Dia útil</v>
      </c>
      <c r="G559" s="36" t="str">
        <f t="shared" si="36"/>
        <v>Dia útil</v>
      </c>
    </row>
    <row r="560" spans="2:7" ht="12" customHeight="1">
      <c r="B560" s="43">
        <v>539</v>
      </c>
      <c r="C560" s="44">
        <v>45100</v>
      </c>
      <c r="D560" s="36">
        <f t="shared" si="34"/>
        <v>6</v>
      </c>
      <c r="E560" s="36" t="str">
        <f t="shared" si="37"/>
        <v>Dia útil</v>
      </c>
      <c r="F560" s="36" t="str">
        <f t="shared" si="35"/>
        <v>Dia útil</v>
      </c>
      <c r="G560" s="36" t="str">
        <f t="shared" si="36"/>
        <v>Dia útil</v>
      </c>
    </row>
    <row r="561" spans="2:7" ht="12" customHeight="1">
      <c r="B561" s="43">
        <v>540</v>
      </c>
      <c r="C561" s="44">
        <v>45101</v>
      </c>
      <c r="D561" s="36">
        <f t="shared" si="34"/>
        <v>7</v>
      </c>
      <c r="E561" s="36" t="str">
        <f t="shared" si="37"/>
        <v>Sáb</v>
      </c>
      <c r="F561" s="36" t="str">
        <f t="shared" si="35"/>
        <v>Sáb</v>
      </c>
      <c r="G561" s="36" t="str">
        <f t="shared" si="36"/>
        <v>Sáb</v>
      </c>
    </row>
    <row r="562" spans="2:7" ht="12" customHeight="1">
      <c r="B562" s="43">
        <v>541</v>
      </c>
      <c r="C562" s="44">
        <v>45102</v>
      </c>
      <c r="D562" s="36">
        <f t="shared" si="34"/>
        <v>1</v>
      </c>
      <c r="E562" s="36" t="str">
        <f t="shared" si="37"/>
        <v>Dom</v>
      </c>
      <c r="F562" s="36" t="str">
        <f t="shared" si="35"/>
        <v>Dom</v>
      </c>
      <c r="G562" s="36" t="str">
        <f t="shared" si="36"/>
        <v>Dom</v>
      </c>
    </row>
    <row r="563" spans="2:7" ht="12" customHeight="1">
      <c r="B563" s="43">
        <v>542</v>
      </c>
      <c r="C563" s="44">
        <v>45103</v>
      </c>
      <c r="D563" s="36">
        <f t="shared" si="34"/>
        <v>2</v>
      </c>
      <c r="E563" s="36" t="str">
        <f t="shared" si="37"/>
        <v>Dia útil</v>
      </c>
      <c r="F563" s="36" t="str">
        <f t="shared" si="35"/>
        <v>Dia útil</v>
      </c>
      <c r="G563" s="36" t="str">
        <f t="shared" si="36"/>
        <v>Dia útil</v>
      </c>
    </row>
    <row r="564" spans="2:7" ht="12" customHeight="1">
      <c r="B564" s="43">
        <v>543</v>
      </c>
      <c r="C564" s="44">
        <v>45104</v>
      </c>
      <c r="D564" s="36">
        <f t="shared" si="34"/>
        <v>3</v>
      </c>
      <c r="E564" s="36" t="str">
        <f t="shared" si="37"/>
        <v>Dia útil</v>
      </c>
      <c r="F564" s="36" t="str">
        <f t="shared" si="35"/>
        <v>Dia útil</v>
      </c>
      <c r="G564" s="36" t="str">
        <f t="shared" si="36"/>
        <v>Dia útil</v>
      </c>
    </row>
    <row r="565" spans="2:7" ht="12" customHeight="1">
      <c r="B565" s="43">
        <v>544</v>
      </c>
      <c r="C565" s="44">
        <v>45105</v>
      </c>
      <c r="D565" s="36">
        <f t="shared" si="34"/>
        <v>4</v>
      </c>
      <c r="E565" s="36" t="str">
        <f t="shared" si="37"/>
        <v>Dia útil</v>
      </c>
      <c r="F565" s="36" t="str">
        <f t="shared" si="35"/>
        <v>Dia útil</v>
      </c>
      <c r="G565" s="36" t="str">
        <f t="shared" si="36"/>
        <v>Dia útil</v>
      </c>
    </row>
    <row r="566" spans="2:7" ht="12" customHeight="1">
      <c r="B566" s="43">
        <v>545</v>
      </c>
      <c r="C566" s="44">
        <v>45106</v>
      </c>
      <c r="D566" s="36">
        <f t="shared" si="34"/>
        <v>5</v>
      </c>
      <c r="E566" s="36" t="str">
        <f t="shared" si="37"/>
        <v>Dia útil</v>
      </c>
      <c r="F566" s="36" t="str">
        <f t="shared" si="35"/>
        <v>Dia útil</v>
      </c>
      <c r="G566" s="36" t="str">
        <f t="shared" si="36"/>
        <v>Dia útil</v>
      </c>
    </row>
    <row r="567" spans="2:7" ht="12" customHeight="1">
      <c r="B567" s="43">
        <v>546</v>
      </c>
      <c r="C567" s="44">
        <v>45107</v>
      </c>
      <c r="D567" s="36">
        <f t="shared" si="34"/>
        <v>6</v>
      </c>
      <c r="E567" s="36" t="str">
        <f t="shared" si="37"/>
        <v>Dia útil</v>
      </c>
      <c r="F567" s="36" t="str">
        <f t="shared" si="35"/>
        <v>Dia útil</v>
      </c>
      <c r="G567" s="36" t="str">
        <f t="shared" si="36"/>
        <v>Dia útil</v>
      </c>
    </row>
    <row r="568" spans="2:7" ht="12" customHeight="1">
      <c r="B568" s="43">
        <v>547</v>
      </c>
      <c r="C568" s="44">
        <v>45108</v>
      </c>
      <c r="D568" s="36">
        <f t="shared" si="34"/>
        <v>7</v>
      </c>
      <c r="E568" s="36" t="str">
        <f t="shared" si="37"/>
        <v>Sáb</v>
      </c>
      <c r="F568" s="36" t="str">
        <f t="shared" si="35"/>
        <v>Sáb</v>
      </c>
      <c r="G568" s="36" t="str">
        <f t="shared" si="36"/>
        <v>Sáb</v>
      </c>
    </row>
    <row r="569" spans="2:7" ht="12" customHeight="1">
      <c r="B569" s="43">
        <v>548</v>
      </c>
      <c r="C569" s="44">
        <v>45109</v>
      </c>
      <c r="D569" s="36">
        <f t="shared" si="34"/>
        <v>1</v>
      </c>
      <c r="E569" s="36" t="str">
        <f t="shared" si="37"/>
        <v>Dom</v>
      </c>
      <c r="F569" s="36" t="str">
        <f t="shared" si="35"/>
        <v>Dom</v>
      </c>
      <c r="G569" s="36" t="str">
        <f t="shared" si="36"/>
        <v>Dom</v>
      </c>
    </row>
    <row r="570" spans="2:7" ht="12" customHeight="1">
      <c r="B570" s="43">
        <v>549</v>
      </c>
      <c r="C570" s="44">
        <v>45110</v>
      </c>
      <c r="D570" s="36">
        <f t="shared" si="34"/>
        <v>2</v>
      </c>
      <c r="E570" s="36" t="str">
        <f t="shared" si="37"/>
        <v>Dia útil</v>
      </c>
      <c r="F570" s="36" t="str">
        <f t="shared" si="35"/>
        <v>Dia útil</v>
      </c>
      <c r="G570" s="36" t="str">
        <f t="shared" si="36"/>
        <v>Dia útil</v>
      </c>
    </row>
    <row r="571" spans="2:7" ht="12" customHeight="1">
      <c r="B571" s="43">
        <v>550</v>
      </c>
      <c r="C571" s="44">
        <v>45111</v>
      </c>
      <c r="D571" s="36">
        <f t="shared" si="34"/>
        <v>3</v>
      </c>
      <c r="E571" s="36" t="str">
        <f t="shared" si="37"/>
        <v>Dia útil</v>
      </c>
      <c r="F571" s="36" t="str">
        <f t="shared" si="35"/>
        <v>Dia útil</v>
      </c>
      <c r="G571" s="36" t="str">
        <f t="shared" si="36"/>
        <v>Dia útil</v>
      </c>
    </row>
    <row r="572" spans="2:7" ht="12" customHeight="1">
      <c r="B572" s="43">
        <v>551</v>
      </c>
      <c r="C572" s="44">
        <v>45112</v>
      </c>
      <c r="D572" s="36">
        <f t="shared" si="34"/>
        <v>4</v>
      </c>
      <c r="E572" s="36" t="str">
        <f t="shared" si="37"/>
        <v>Dia útil</v>
      </c>
      <c r="F572" s="36" t="str">
        <f t="shared" si="35"/>
        <v>Dia útil</v>
      </c>
      <c r="G572" s="36" t="str">
        <f t="shared" si="36"/>
        <v>Dia útil</v>
      </c>
    </row>
    <row r="573" spans="2:7" ht="12" customHeight="1">
      <c r="B573" s="43">
        <v>552</v>
      </c>
      <c r="C573" s="44">
        <v>45113</v>
      </c>
      <c r="D573" s="36">
        <f t="shared" si="34"/>
        <v>5</v>
      </c>
      <c r="E573" s="36" t="str">
        <f t="shared" si="37"/>
        <v>Dia útil</v>
      </c>
      <c r="F573" s="36" t="str">
        <f t="shared" si="35"/>
        <v>Dia útil</v>
      </c>
      <c r="G573" s="36" t="str">
        <f t="shared" si="36"/>
        <v>Dia útil</v>
      </c>
    </row>
    <row r="574" spans="2:7" ht="12" customHeight="1">
      <c r="B574" s="43">
        <v>553</v>
      </c>
      <c r="C574" s="44">
        <v>45114</v>
      </c>
      <c r="D574" s="36">
        <f t="shared" si="34"/>
        <v>6</v>
      </c>
      <c r="E574" s="36" t="str">
        <f t="shared" si="37"/>
        <v>Dia útil</v>
      </c>
      <c r="F574" s="36" t="str">
        <f t="shared" si="35"/>
        <v>Dia útil</v>
      </c>
      <c r="G574" s="36" t="str">
        <f t="shared" si="36"/>
        <v>Dia útil</v>
      </c>
    </row>
    <row r="575" spans="2:7" ht="12" customHeight="1">
      <c r="B575" s="43">
        <v>554</v>
      </c>
      <c r="C575" s="44">
        <v>45115</v>
      </c>
      <c r="D575" s="36">
        <f t="shared" si="34"/>
        <v>7</v>
      </c>
      <c r="E575" s="36" t="str">
        <f t="shared" si="37"/>
        <v>Sáb</v>
      </c>
      <c r="F575" s="36" t="str">
        <f t="shared" si="35"/>
        <v>Sáb</v>
      </c>
      <c r="G575" s="36" t="str">
        <f t="shared" si="36"/>
        <v>Sáb</v>
      </c>
    </row>
    <row r="576" spans="2:7" ht="12" customHeight="1">
      <c r="B576" s="43">
        <v>555</v>
      </c>
      <c r="C576" s="44">
        <v>45116</v>
      </c>
      <c r="D576" s="36">
        <f t="shared" si="34"/>
        <v>1</v>
      </c>
      <c r="E576" s="36" t="str">
        <f t="shared" si="37"/>
        <v>Dom</v>
      </c>
      <c r="F576" s="36" t="str">
        <f t="shared" si="35"/>
        <v>Dom</v>
      </c>
      <c r="G576" s="36" t="str">
        <f t="shared" si="36"/>
        <v>Dom</v>
      </c>
    </row>
    <row r="577" spans="2:7" ht="12" customHeight="1">
      <c r="B577" s="43">
        <v>556</v>
      </c>
      <c r="C577" s="44">
        <v>45117</v>
      </c>
      <c r="D577" s="36">
        <f t="shared" si="34"/>
        <v>2</v>
      </c>
      <c r="E577" s="36" t="str">
        <f t="shared" si="37"/>
        <v>Dia útil</v>
      </c>
      <c r="F577" s="36" t="str">
        <f t="shared" si="35"/>
        <v>Dia útil</v>
      </c>
      <c r="G577" s="36" t="str">
        <f t="shared" si="36"/>
        <v>Dia útil</v>
      </c>
    </row>
    <row r="578" spans="2:7" ht="12" customHeight="1">
      <c r="B578" s="43">
        <v>557</v>
      </c>
      <c r="C578" s="44">
        <v>45118</v>
      </c>
      <c r="D578" s="36">
        <f t="shared" si="34"/>
        <v>3</v>
      </c>
      <c r="E578" s="36" t="str">
        <f t="shared" si="37"/>
        <v>Dia útil</v>
      </c>
      <c r="F578" s="36" t="str">
        <f t="shared" si="35"/>
        <v>Dia útil</v>
      </c>
      <c r="G578" s="36" t="str">
        <f t="shared" si="36"/>
        <v>Dia útil</v>
      </c>
    </row>
    <row r="579" spans="2:7" ht="12" customHeight="1">
      <c r="B579" s="43">
        <v>558</v>
      </c>
      <c r="C579" s="44">
        <v>45119</v>
      </c>
      <c r="D579" s="36">
        <f t="shared" si="34"/>
        <v>4</v>
      </c>
      <c r="E579" s="36" t="str">
        <f t="shared" si="37"/>
        <v>Dia útil</v>
      </c>
      <c r="F579" s="36" t="str">
        <f t="shared" si="35"/>
        <v>Dia útil</v>
      </c>
      <c r="G579" s="36" t="str">
        <f t="shared" si="36"/>
        <v>Dia útil</v>
      </c>
    </row>
    <row r="580" spans="2:7" ht="12" customHeight="1">
      <c r="B580" s="43">
        <v>559</v>
      </c>
      <c r="C580" s="44">
        <v>45120</v>
      </c>
      <c r="D580" s="36">
        <f t="shared" si="34"/>
        <v>5</v>
      </c>
      <c r="E580" s="36" t="str">
        <f t="shared" si="37"/>
        <v>Dia útil</v>
      </c>
      <c r="F580" s="36" t="str">
        <f t="shared" si="35"/>
        <v>Dia útil</v>
      </c>
      <c r="G580" s="36" t="str">
        <f t="shared" si="36"/>
        <v>Dia útil</v>
      </c>
    </row>
    <row r="581" spans="2:7" ht="12" customHeight="1">
      <c r="B581" s="43">
        <v>560</v>
      </c>
      <c r="C581" s="44">
        <v>45121</v>
      </c>
      <c r="D581" s="36">
        <f t="shared" si="34"/>
        <v>6</v>
      </c>
      <c r="E581" s="36" t="str">
        <f t="shared" si="37"/>
        <v>Dia útil</v>
      </c>
      <c r="F581" s="36" t="str">
        <f t="shared" si="35"/>
        <v>Dia útil</v>
      </c>
      <c r="G581" s="36" t="str">
        <f t="shared" si="36"/>
        <v>Dia útil</v>
      </c>
    </row>
    <row r="582" spans="2:7" ht="12" customHeight="1">
      <c r="B582" s="43">
        <v>561</v>
      </c>
      <c r="C582" s="44">
        <v>45122</v>
      </c>
      <c r="D582" s="36">
        <f t="shared" si="34"/>
        <v>7</v>
      </c>
      <c r="E582" s="36" t="str">
        <f t="shared" si="37"/>
        <v>Sáb</v>
      </c>
      <c r="F582" s="36" t="str">
        <f t="shared" si="35"/>
        <v>Sáb</v>
      </c>
      <c r="G582" s="36" t="str">
        <f t="shared" si="36"/>
        <v>Sáb</v>
      </c>
    </row>
    <row r="583" spans="2:7" ht="12" customHeight="1">
      <c r="B583" s="43">
        <v>562</v>
      </c>
      <c r="C583" s="44">
        <v>45123</v>
      </c>
      <c r="D583" s="36">
        <f t="shared" si="34"/>
        <v>1</v>
      </c>
      <c r="E583" s="36" t="str">
        <f t="shared" si="37"/>
        <v>Dom</v>
      </c>
      <c r="F583" s="36" t="str">
        <f t="shared" si="35"/>
        <v>Dom</v>
      </c>
      <c r="G583" s="36" t="str">
        <f t="shared" si="36"/>
        <v>Dom</v>
      </c>
    </row>
    <row r="584" spans="2:7" ht="12" customHeight="1">
      <c r="B584" s="43">
        <v>563</v>
      </c>
      <c r="C584" s="44">
        <v>45124</v>
      </c>
      <c r="D584" s="36">
        <f t="shared" si="34"/>
        <v>2</v>
      </c>
      <c r="E584" s="36" t="str">
        <f t="shared" si="37"/>
        <v>Dia útil</v>
      </c>
      <c r="F584" s="36" t="str">
        <f t="shared" si="35"/>
        <v>Dia útil</v>
      </c>
      <c r="G584" s="36" t="str">
        <f t="shared" si="36"/>
        <v>Dia útil</v>
      </c>
    </row>
    <row r="585" spans="2:7" ht="12" customHeight="1">
      <c r="B585" s="43">
        <v>564</v>
      </c>
      <c r="C585" s="44">
        <v>45125</v>
      </c>
      <c r="D585" s="36">
        <f t="shared" si="34"/>
        <v>3</v>
      </c>
      <c r="E585" s="36" t="str">
        <f t="shared" si="37"/>
        <v>Dia útil</v>
      </c>
      <c r="F585" s="36" t="str">
        <f t="shared" si="35"/>
        <v>Dia útil</v>
      </c>
      <c r="G585" s="36" t="str">
        <f t="shared" si="36"/>
        <v>Dia útil</v>
      </c>
    </row>
    <row r="586" spans="2:7" ht="12" customHeight="1">
      <c r="B586" s="43">
        <v>565</v>
      </c>
      <c r="C586" s="44">
        <v>45126</v>
      </c>
      <c r="D586" s="36">
        <f t="shared" si="34"/>
        <v>4</v>
      </c>
      <c r="E586" s="36" t="str">
        <f t="shared" si="37"/>
        <v>Dia útil</v>
      </c>
      <c r="F586" s="36" t="str">
        <f t="shared" si="35"/>
        <v>Dia útil</v>
      </c>
      <c r="G586" s="36" t="str">
        <f t="shared" si="36"/>
        <v>Dia útil</v>
      </c>
    </row>
    <row r="587" spans="2:7" ht="12" customHeight="1">
      <c r="B587" s="43">
        <v>566</v>
      </c>
      <c r="C587" s="44">
        <v>45127</v>
      </c>
      <c r="D587" s="36">
        <f t="shared" si="34"/>
        <v>5</v>
      </c>
      <c r="E587" s="36" t="str">
        <f t="shared" si="37"/>
        <v>Dia útil</v>
      </c>
      <c r="F587" s="36" t="str">
        <f t="shared" si="35"/>
        <v>Dia útil</v>
      </c>
      <c r="G587" s="36" t="str">
        <f t="shared" si="36"/>
        <v>Dia útil</v>
      </c>
    </row>
    <row r="588" spans="2:7" ht="12" customHeight="1">
      <c r="B588" s="43">
        <v>567</v>
      </c>
      <c r="C588" s="44">
        <v>45128</v>
      </c>
      <c r="D588" s="36">
        <f t="shared" si="34"/>
        <v>6</v>
      </c>
      <c r="E588" s="36" t="str">
        <f t="shared" si="37"/>
        <v>Dia útil</v>
      </c>
      <c r="F588" s="36" t="str">
        <f t="shared" si="35"/>
        <v>Dia útil</v>
      </c>
      <c r="G588" s="36" t="str">
        <f t="shared" si="36"/>
        <v>Dia útil</v>
      </c>
    </row>
    <row r="589" spans="2:7" ht="12" customHeight="1">
      <c r="B589" s="43">
        <v>568</v>
      </c>
      <c r="C589" s="44">
        <v>45129</v>
      </c>
      <c r="D589" s="36">
        <f t="shared" si="34"/>
        <v>7</v>
      </c>
      <c r="E589" s="36" t="str">
        <f t="shared" si="37"/>
        <v>Sáb</v>
      </c>
      <c r="F589" s="36" t="str">
        <f t="shared" si="35"/>
        <v>Sáb</v>
      </c>
      <c r="G589" s="36" t="str">
        <f t="shared" si="36"/>
        <v>Sáb</v>
      </c>
    </row>
    <row r="590" spans="2:7" ht="12" customHeight="1">
      <c r="B590" s="43">
        <v>569</v>
      </c>
      <c r="C590" s="44">
        <v>45130</v>
      </c>
      <c r="D590" s="36">
        <f t="shared" si="34"/>
        <v>1</v>
      </c>
      <c r="E590" s="36" t="str">
        <f t="shared" si="37"/>
        <v>Dom</v>
      </c>
      <c r="F590" s="36" t="str">
        <f t="shared" si="35"/>
        <v>Dom</v>
      </c>
      <c r="G590" s="36" t="str">
        <f t="shared" si="36"/>
        <v>Dom</v>
      </c>
    </row>
    <row r="591" spans="2:7" ht="12" customHeight="1">
      <c r="B591" s="43">
        <v>570</v>
      </c>
      <c r="C591" s="44">
        <v>45131</v>
      </c>
      <c r="D591" s="36">
        <f t="shared" si="34"/>
        <v>2</v>
      </c>
      <c r="E591" s="36" t="str">
        <f t="shared" si="37"/>
        <v>Dia útil</v>
      </c>
      <c r="F591" s="36" t="str">
        <f t="shared" si="35"/>
        <v>Dia útil</v>
      </c>
      <c r="G591" s="36" t="str">
        <f t="shared" si="36"/>
        <v>Dia útil</v>
      </c>
    </row>
    <row r="592" spans="2:7" ht="12" customHeight="1">
      <c r="B592" s="43">
        <v>571</v>
      </c>
      <c r="C592" s="44">
        <v>45132</v>
      </c>
      <c r="D592" s="36">
        <f t="shared" si="34"/>
        <v>3</v>
      </c>
      <c r="E592" s="36" t="str">
        <f t="shared" si="37"/>
        <v>Dia útil</v>
      </c>
      <c r="F592" s="36" t="str">
        <f t="shared" si="35"/>
        <v>Dia útil</v>
      </c>
      <c r="G592" s="36" t="str">
        <f t="shared" si="36"/>
        <v>Dia útil</v>
      </c>
    </row>
    <row r="593" spans="2:7" ht="12" customHeight="1">
      <c r="B593" s="43">
        <v>572</v>
      </c>
      <c r="C593" s="44">
        <v>45133</v>
      </c>
      <c r="D593" s="36">
        <f t="shared" si="34"/>
        <v>4</v>
      </c>
      <c r="E593" s="36" t="str">
        <f t="shared" si="37"/>
        <v>Dia útil</v>
      </c>
      <c r="F593" s="36" t="str">
        <f t="shared" si="35"/>
        <v>Dia útil</v>
      </c>
      <c r="G593" s="36" t="str">
        <f t="shared" si="36"/>
        <v>Dia útil</v>
      </c>
    </row>
    <row r="594" spans="2:7" ht="12" customHeight="1">
      <c r="B594" s="43">
        <v>573</v>
      </c>
      <c r="C594" s="44">
        <v>45134</v>
      </c>
      <c r="D594" s="36">
        <f t="shared" si="34"/>
        <v>5</v>
      </c>
      <c r="E594" s="36" t="str">
        <f t="shared" si="37"/>
        <v>Dia útil</v>
      </c>
      <c r="F594" s="36" t="str">
        <f t="shared" si="35"/>
        <v>Dia útil</v>
      </c>
      <c r="G594" s="36" t="str">
        <f t="shared" si="36"/>
        <v>Dia útil</v>
      </c>
    </row>
    <row r="595" spans="2:7" ht="12" customHeight="1">
      <c r="B595" s="43">
        <v>574</v>
      </c>
      <c r="C595" s="44">
        <v>45135</v>
      </c>
      <c r="D595" s="36">
        <f t="shared" si="34"/>
        <v>6</v>
      </c>
      <c r="E595" s="36" t="str">
        <f t="shared" si="37"/>
        <v>Dia útil</v>
      </c>
      <c r="F595" s="36" t="str">
        <f t="shared" si="35"/>
        <v>Dia útil</v>
      </c>
      <c r="G595" s="36" t="str">
        <f t="shared" si="36"/>
        <v>Dia útil</v>
      </c>
    </row>
    <row r="596" spans="2:7" ht="12" customHeight="1">
      <c r="B596" s="43">
        <v>575</v>
      </c>
      <c r="C596" s="44">
        <v>45136</v>
      </c>
      <c r="D596" s="36">
        <f t="shared" si="34"/>
        <v>7</v>
      </c>
      <c r="E596" s="36" t="str">
        <f t="shared" si="37"/>
        <v>Sáb</v>
      </c>
      <c r="F596" s="36" t="str">
        <f t="shared" si="35"/>
        <v>Sáb</v>
      </c>
      <c r="G596" s="36" t="str">
        <f t="shared" si="36"/>
        <v>Sáb</v>
      </c>
    </row>
    <row r="597" spans="2:7" ht="12" customHeight="1">
      <c r="B597" s="43">
        <v>576</v>
      </c>
      <c r="C597" s="44">
        <v>45137</v>
      </c>
      <c r="D597" s="36">
        <f t="shared" si="34"/>
        <v>1</v>
      </c>
      <c r="E597" s="36" t="str">
        <f t="shared" si="37"/>
        <v>Dom</v>
      </c>
      <c r="F597" s="36" t="str">
        <f t="shared" si="35"/>
        <v>Dom</v>
      </c>
      <c r="G597" s="36" t="str">
        <f t="shared" si="36"/>
        <v>Dom</v>
      </c>
    </row>
    <row r="598" spans="2:7" ht="12" customHeight="1">
      <c r="B598" s="43">
        <v>577</v>
      </c>
      <c r="C598" s="44">
        <v>45138</v>
      </c>
      <c r="D598" s="36">
        <f t="shared" si="34"/>
        <v>2</v>
      </c>
      <c r="E598" s="36" t="str">
        <f t="shared" si="37"/>
        <v>Dia útil</v>
      </c>
      <c r="F598" s="36" t="str">
        <f t="shared" si="35"/>
        <v>Dia útil</v>
      </c>
      <c r="G598" s="36" t="str">
        <f t="shared" si="36"/>
        <v>Dia útil</v>
      </c>
    </row>
    <row r="599" spans="2:7" ht="12" customHeight="1">
      <c r="B599" s="43">
        <v>578</v>
      </c>
      <c r="C599" s="44">
        <v>45139</v>
      </c>
      <c r="D599" s="36">
        <f t="shared" ref="D599:D662" si="38">WEEKDAY(C599,1)</f>
        <v>3</v>
      </c>
      <c r="E599" s="36" t="str">
        <f t="shared" si="37"/>
        <v>Dia útil</v>
      </c>
      <c r="F599" s="36" t="str">
        <f t="shared" ref="F599:F662" si="39">E599</f>
        <v>Dia útil</v>
      </c>
      <c r="G599" s="36" t="str">
        <f t="shared" ref="G599:G662" si="40">IF(AND(F599="Feriado",OR(E599="Sáb",E599="Dom")),E599,IF(AND(F599="Feriado",E599="Dia útil"),"Feriado",E599))</f>
        <v>Dia útil</v>
      </c>
    </row>
    <row r="600" spans="2:7" ht="12" customHeight="1">
      <c r="B600" s="43">
        <v>579</v>
      </c>
      <c r="C600" s="44">
        <v>45140</v>
      </c>
      <c r="D600" s="36">
        <f t="shared" si="38"/>
        <v>4</v>
      </c>
      <c r="E600" s="36" t="str">
        <f t="shared" si="37"/>
        <v>Dia útil</v>
      </c>
      <c r="F600" s="36" t="str">
        <f t="shared" si="39"/>
        <v>Dia útil</v>
      </c>
      <c r="G600" s="36" t="str">
        <f t="shared" si="40"/>
        <v>Dia útil</v>
      </c>
    </row>
    <row r="601" spans="2:7" ht="12" customHeight="1">
      <c r="B601" s="43">
        <v>580</v>
      </c>
      <c r="C601" s="44">
        <v>45141</v>
      </c>
      <c r="D601" s="36">
        <f t="shared" si="38"/>
        <v>5</v>
      </c>
      <c r="E601" s="36" t="str">
        <f t="shared" ref="E601:E664" si="41">IF(D601=1,"Dom",IF(D601=7,"Sáb","Dia útil"))</f>
        <v>Dia útil</v>
      </c>
      <c r="F601" s="36" t="str">
        <f t="shared" si="39"/>
        <v>Dia útil</v>
      </c>
      <c r="G601" s="36" t="str">
        <f t="shared" si="40"/>
        <v>Dia útil</v>
      </c>
    </row>
    <row r="602" spans="2:7" ht="12" customHeight="1">
      <c r="B602" s="43">
        <v>581</v>
      </c>
      <c r="C602" s="44">
        <v>45142</v>
      </c>
      <c r="D602" s="36">
        <f t="shared" si="38"/>
        <v>6</v>
      </c>
      <c r="E602" s="36" t="str">
        <f t="shared" si="41"/>
        <v>Dia útil</v>
      </c>
      <c r="F602" s="36" t="str">
        <f t="shared" si="39"/>
        <v>Dia útil</v>
      </c>
      <c r="G602" s="36" t="str">
        <f t="shared" si="40"/>
        <v>Dia útil</v>
      </c>
    </row>
    <row r="603" spans="2:7" ht="12" customHeight="1">
      <c r="B603" s="43">
        <v>582</v>
      </c>
      <c r="C603" s="44">
        <v>45143</v>
      </c>
      <c r="D603" s="36">
        <f t="shared" si="38"/>
        <v>7</v>
      </c>
      <c r="E603" s="36" t="str">
        <f t="shared" si="41"/>
        <v>Sáb</v>
      </c>
      <c r="F603" s="36" t="str">
        <f t="shared" si="39"/>
        <v>Sáb</v>
      </c>
      <c r="G603" s="36" t="str">
        <f t="shared" si="40"/>
        <v>Sáb</v>
      </c>
    </row>
    <row r="604" spans="2:7" ht="12" customHeight="1">
      <c r="B604" s="43">
        <v>583</v>
      </c>
      <c r="C604" s="44">
        <v>45144</v>
      </c>
      <c r="D604" s="36">
        <f t="shared" si="38"/>
        <v>1</v>
      </c>
      <c r="E604" s="36" t="str">
        <f t="shared" si="41"/>
        <v>Dom</v>
      </c>
      <c r="F604" s="36" t="str">
        <f t="shared" si="39"/>
        <v>Dom</v>
      </c>
      <c r="G604" s="36" t="str">
        <f t="shared" si="40"/>
        <v>Dom</v>
      </c>
    </row>
    <row r="605" spans="2:7" ht="12" customHeight="1">
      <c r="B605" s="43">
        <v>584</v>
      </c>
      <c r="C605" s="44">
        <v>45145</v>
      </c>
      <c r="D605" s="36">
        <f t="shared" si="38"/>
        <v>2</v>
      </c>
      <c r="E605" s="36" t="str">
        <f t="shared" si="41"/>
        <v>Dia útil</v>
      </c>
      <c r="F605" s="36" t="str">
        <f t="shared" si="39"/>
        <v>Dia útil</v>
      </c>
      <c r="G605" s="36" t="str">
        <f t="shared" si="40"/>
        <v>Dia útil</v>
      </c>
    </row>
    <row r="606" spans="2:7" ht="12" customHeight="1">
      <c r="B606" s="43">
        <v>585</v>
      </c>
      <c r="C606" s="44">
        <v>45146</v>
      </c>
      <c r="D606" s="36">
        <f t="shared" si="38"/>
        <v>3</v>
      </c>
      <c r="E606" s="36" t="str">
        <f t="shared" si="41"/>
        <v>Dia útil</v>
      </c>
      <c r="F606" s="36" t="str">
        <f t="shared" si="39"/>
        <v>Dia útil</v>
      </c>
      <c r="G606" s="36" t="str">
        <f t="shared" si="40"/>
        <v>Dia útil</v>
      </c>
    </row>
    <row r="607" spans="2:7" ht="12" customHeight="1">
      <c r="B607" s="43">
        <v>586</v>
      </c>
      <c r="C607" s="44">
        <v>45147</v>
      </c>
      <c r="D607" s="36">
        <f t="shared" si="38"/>
        <v>4</v>
      </c>
      <c r="E607" s="36" t="str">
        <f t="shared" si="41"/>
        <v>Dia útil</v>
      </c>
      <c r="F607" s="36" t="str">
        <f t="shared" si="39"/>
        <v>Dia útil</v>
      </c>
      <c r="G607" s="36" t="str">
        <f t="shared" si="40"/>
        <v>Dia útil</v>
      </c>
    </row>
    <row r="608" spans="2:7" ht="12" customHeight="1">
      <c r="B608" s="43">
        <v>587</v>
      </c>
      <c r="C608" s="44">
        <v>45148</v>
      </c>
      <c r="D608" s="36">
        <f t="shared" si="38"/>
        <v>5</v>
      </c>
      <c r="E608" s="36" t="str">
        <f t="shared" si="41"/>
        <v>Dia útil</v>
      </c>
      <c r="F608" s="36" t="str">
        <f t="shared" si="39"/>
        <v>Dia útil</v>
      </c>
      <c r="G608" s="36" t="str">
        <f t="shared" si="40"/>
        <v>Dia útil</v>
      </c>
    </row>
    <row r="609" spans="2:7" ht="12" customHeight="1">
      <c r="B609" s="43">
        <v>588</v>
      </c>
      <c r="C609" s="44">
        <v>45149</v>
      </c>
      <c r="D609" s="36">
        <f t="shared" si="38"/>
        <v>6</v>
      </c>
      <c r="E609" s="36" t="str">
        <f t="shared" si="41"/>
        <v>Dia útil</v>
      </c>
      <c r="F609" s="36" t="str">
        <f t="shared" si="39"/>
        <v>Dia útil</v>
      </c>
      <c r="G609" s="36" t="str">
        <f t="shared" si="40"/>
        <v>Dia útil</v>
      </c>
    </row>
    <row r="610" spans="2:7" ht="12" customHeight="1">
      <c r="B610" s="43">
        <v>589</v>
      </c>
      <c r="C610" s="44">
        <v>45150</v>
      </c>
      <c r="D610" s="36">
        <f t="shared" si="38"/>
        <v>7</v>
      </c>
      <c r="E610" s="36" t="str">
        <f t="shared" si="41"/>
        <v>Sáb</v>
      </c>
      <c r="F610" s="36" t="str">
        <f t="shared" si="39"/>
        <v>Sáb</v>
      </c>
      <c r="G610" s="36" t="str">
        <f t="shared" si="40"/>
        <v>Sáb</v>
      </c>
    </row>
    <row r="611" spans="2:7" ht="12" customHeight="1">
      <c r="B611" s="43">
        <v>590</v>
      </c>
      <c r="C611" s="44">
        <v>45151</v>
      </c>
      <c r="D611" s="36">
        <f t="shared" si="38"/>
        <v>1</v>
      </c>
      <c r="E611" s="36" t="str">
        <f t="shared" si="41"/>
        <v>Dom</v>
      </c>
      <c r="F611" s="36" t="str">
        <f t="shared" si="39"/>
        <v>Dom</v>
      </c>
      <c r="G611" s="36" t="str">
        <f t="shared" si="40"/>
        <v>Dom</v>
      </c>
    </row>
    <row r="612" spans="2:7" ht="12" customHeight="1">
      <c r="B612" s="43">
        <v>591</v>
      </c>
      <c r="C612" s="44">
        <v>45152</v>
      </c>
      <c r="D612" s="36">
        <f t="shared" si="38"/>
        <v>2</v>
      </c>
      <c r="E612" s="36" t="str">
        <f t="shared" si="41"/>
        <v>Dia útil</v>
      </c>
      <c r="F612" s="36" t="str">
        <f t="shared" si="39"/>
        <v>Dia útil</v>
      </c>
      <c r="G612" s="36" t="str">
        <f t="shared" si="40"/>
        <v>Dia útil</v>
      </c>
    </row>
    <row r="613" spans="2:7" ht="12" customHeight="1">
      <c r="B613" s="43">
        <v>592</v>
      </c>
      <c r="C613" s="44">
        <v>45153</v>
      </c>
      <c r="D613" s="36">
        <f t="shared" si="38"/>
        <v>3</v>
      </c>
      <c r="E613" s="36" t="str">
        <f t="shared" si="41"/>
        <v>Dia útil</v>
      </c>
      <c r="F613" s="36" t="str">
        <f t="shared" si="39"/>
        <v>Dia útil</v>
      </c>
      <c r="G613" s="36" t="str">
        <f t="shared" si="40"/>
        <v>Dia útil</v>
      </c>
    </row>
    <row r="614" spans="2:7" ht="12" customHeight="1">
      <c r="B614" s="43">
        <v>593</v>
      </c>
      <c r="C614" s="44">
        <v>45154</v>
      </c>
      <c r="D614" s="36">
        <f t="shared" si="38"/>
        <v>4</v>
      </c>
      <c r="E614" s="36" t="str">
        <f t="shared" si="41"/>
        <v>Dia útil</v>
      </c>
      <c r="F614" s="36" t="str">
        <f t="shared" si="39"/>
        <v>Dia útil</v>
      </c>
      <c r="G614" s="36" t="str">
        <f t="shared" si="40"/>
        <v>Dia útil</v>
      </c>
    </row>
    <row r="615" spans="2:7" ht="12" customHeight="1">
      <c r="B615" s="43">
        <v>594</v>
      </c>
      <c r="C615" s="44">
        <v>45155</v>
      </c>
      <c r="D615" s="36">
        <f t="shared" si="38"/>
        <v>5</v>
      </c>
      <c r="E615" s="36" t="str">
        <f t="shared" si="41"/>
        <v>Dia útil</v>
      </c>
      <c r="F615" s="36" t="str">
        <f t="shared" si="39"/>
        <v>Dia útil</v>
      </c>
      <c r="G615" s="36" t="str">
        <f t="shared" si="40"/>
        <v>Dia útil</v>
      </c>
    </row>
    <row r="616" spans="2:7" ht="12" customHeight="1">
      <c r="B616" s="43">
        <v>595</v>
      </c>
      <c r="C616" s="44">
        <v>45156</v>
      </c>
      <c r="D616" s="36">
        <f t="shared" si="38"/>
        <v>6</v>
      </c>
      <c r="E616" s="36" t="str">
        <f t="shared" si="41"/>
        <v>Dia útil</v>
      </c>
      <c r="F616" s="36" t="str">
        <f t="shared" si="39"/>
        <v>Dia útil</v>
      </c>
      <c r="G616" s="36" t="str">
        <f t="shared" si="40"/>
        <v>Dia útil</v>
      </c>
    </row>
    <row r="617" spans="2:7" ht="12" customHeight="1">
      <c r="B617" s="43">
        <v>596</v>
      </c>
      <c r="C617" s="44">
        <v>45157</v>
      </c>
      <c r="D617" s="36">
        <f t="shared" si="38"/>
        <v>7</v>
      </c>
      <c r="E617" s="36" t="str">
        <f t="shared" si="41"/>
        <v>Sáb</v>
      </c>
      <c r="F617" s="36" t="str">
        <f t="shared" si="39"/>
        <v>Sáb</v>
      </c>
      <c r="G617" s="36" t="str">
        <f t="shared" si="40"/>
        <v>Sáb</v>
      </c>
    </row>
    <row r="618" spans="2:7" ht="12" customHeight="1">
      <c r="B618" s="43">
        <v>597</v>
      </c>
      <c r="C618" s="44">
        <v>45158</v>
      </c>
      <c r="D618" s="36">
        <f t="shared" si="38"/>
        <v>1</v>
      </c>
      <c r="E618" s="36" t="str">
        <f t="shared" si="41"/>
        <v>Dom</v>
      </c>
      <c r="F618" s="36" t="str">
        <f t="shared" si="39"/>
        <v>Dom</v>
      </c>
      <c r="G618" s="36" t="str">
        <f t="shared" si="40"/>
        <v>Dom</v>
      </c>
    </row>
    <row r="619" spans="2:7" ht="12" customHeight="1">
      <c r="B619" s="43">
        <v>598</v>
      </c>
      <c r="C619" s="44">
        <v>45159</v>
      </c>
      <c r="D619" s="36">
        <f t="shared" si="38"/>
        <v>2</v>
      </c>
      <c r="E619" s="36" t="str">
        <f t="shared" si="41"/>
        <v>Dia útil</v>
      </c>
      <c r="F619" s="36" t="str">
        <f t="shared" si="39"/>
        <v>Dia útil</v>
      </c>
      <c r="G619" s="36" t="str">
        <f t="shared" si="40"/>
        <v>Dia útil</v>
      </c>
    </row>
    <row r="620" spans="2:7" ht="12" customHeight="1">
      <c r="B620" s="43">
        <v>599</v>
      </c>
      <c r="C620" s="44">
        <v>45160</v>
      </c>
      <c r="D620" s="36">
        <f t="shared" si="38"/>
        <v>3</v>
      </c>
      <c r="E620" s="36" t="str">
        <f t="shared" si="41"/>
        <v>Dia útil</v>
      </c>
      <c r="F620" s="36" t="str">
        <f t="shared" si="39"/>
        <v>Dia útil</v>
      </c>
      <c r="G620" s="36" t="str">
        <f t="shared" si="40"/>
        <v>Dia útil</v>
      </c>
    </row>
    <row r="621" spans="2:7" ht="12" customHeight="1">
      <c r="B621" s="43">
        <v>600</v>
      </c>
      <c r="C621" s="44">
        <v>45161</v>
      </c>
      <c r="D621" s="36">
        <f t="shared" si="38"/>
        <v>4</v>
      </c>
      <c r="E621" s="36" t="str">
        <f t="shared" si="41"/>
        <v>Dia útil</v>
      </c>
      <c r="F621" s="36" t="str">
        <f t="shared" si="39"/>
        <v>Dia útil</v>
      </c>
      <c r="G621" s="36" t="str">
        <f t="shared" si="40"/>
        <v>Dia útil</v>
      </c>
    </row>
    <row r="622" spans="2:7" ht="12" customHeight="1">
      <c r="B622" s="43">
        <v>601</v>
      </c>
      <c r="C622" s="44">
        <v>45162</v>
      </c>
      <c r="D622" s="36">
        <f t="shared" si="38"/>
        <v>5</v>
      </c>
      <c r="E622" s="36" t="str">
        <f t="shared" si="41"/>
        <v>Dia útil</v>
      </c>
      <c r="F622" s="36" t="str">
        <f t="shared" si="39"/>
        <v>Dia útil</v>
      </c>
      <c r="G622" s="36" t="str">
        <f t="shared" si="40"/>
        <v>Dia útil</v>
      </c>
    </row>
    <row r="623" spans="2:7" ht="12" customHeight="1">
      <c r="B623" s="43">
        <v>602</v>
      </c>
      <c r="C623" s="44">
        <v>45163</v>
      </c>
      <c r="D623" s="36">
        <f t="shared" si="38"/>
        <v>6</v>
      </c>
      <c r="E623" s="36" t="str">
        <f t="shared" si="41"/>
        <v>Dia útil</v>
      </c>
      <c r="F623" s="36" t="str">
        <f t="shared" si="39"/>
        <v>Dia útil</v>
      </c>
      <c r="G623" s="36" t="str">
        <f t="shared" si="40"/>
        <v>Dia útil</v>
      </c>
    </row>
    <row r="624" spans="2:7" ht="12" customHeight="1">
      <c r="B624" s="43">
        <v>603</v>
      </c>
      <c r="C624" s="44">
        <v>45164</v>
      </c>
      <c r="D624" s="36">
        <f t="shared" si="38"/>
        <v>7</v>
      </c>
      <c r="E624" s="36" t="str">
        <f t="shared" si="41"/>
        <v>Sáb</v>
      </c>
      <c r="F624" s="36" t="str">
        <f t="shared" si="39"/>
        <v>Sáb</v>
      </c>
      <c r="G624" s="36" t="str">
        <f t="shared" si="40"/>
        <v>Sáb</v>
      </c>
    </row>
    <row r="625" spans="2:7" ht="12" customHeight="1">
      <c r="B625" s="43">
        <v>604</v>
      </c>
      <c r="C625" s="44">
        <v>45165</v>
      </c>
      <c r="D625" s="36">
        <f t="shared" si="38"/>
        <v>1</v>
      </c>
      <c r="E625" s="36" t="str">
        <f t="shared" si="41"/>
        <v>Dom</v>
      </c>
      <c r="F625" s="36" t="str">
        <f t="shared" si="39"/>
        <v>Dom</v>
      </c>
      <c r="G625" s="36" t="str">
        <f t="shared" si="40"/>
        <v>Dom</v>
      </c>
    </row>
    <row r="626" spans="2:7" ht="12" customHeight="1">
      <c r="B626" s="43">
        <v>605</v>
      </c>
      <c r="C626" s="44">
        <v>45166</v>
      </c>
      <c r="D626" s="36">
        <f t="shared" si="38"/>
        <v>2</v>
      </c>
      <c r="E626" s="36" t="str">
        <f t="shared" si="41"/>
        <v>Dia útil</v>
      </c>
      <c r="F626" s="36" t="str">
        <f t="shared" si="39"/>
        <v>Dia útil</v>
      </c>
      <c r="G626" s="36" t="str">
        <f t="shared" si="40"/>
        <v>Dia útil</v>
      </c>
    </row>
    <row r="627" spans="2:7" ht="12" customHeight="1">
      <c r="B627" s="43">
        <v>606</v>
      </c>
      <c r="C627" s="44">
        <v>45167</v>
      </c>
      <c r="D627" s="36">
        <f t="shared" si="38"/>
        <v>3</v>
      </c>
      <c r="E627" s="36" t="str">
        <f t="shared" si="41"/>
        <v>Dia útil</v>
      </c>
      <c r="F627" s="36" t="str">
        <f t="shared" si="39"/>
        <v>Dia útil</v>
      </c>
      <c r="G627" s="36" t="str">
        <f t="shared" si="40"/>
        <v>Dia útil</v>
      </c>
    </row>
    <row r="628" spans="2:7" ht="12" customHeight="1">
      <c r="B628" s="43">
        <v>607</v>
      </c>
      <c r="C628" s="44">
        <v>45168</v>
      </c>
      <c r="D628" s="36">
        <f t="shared" si="38"/>
        <v>4</v>
      </c>
      <c r="E628" s="36" t="str">
        <f t="shared" si="41"/>
        <v>Dia útil</v>
      </c>
      <c r="F628" s="36" t="str">
        <f t="shared" si="39"/>
        <v>Dia útil</v>
      </c>
      <c r="G628" s="36" t="str">
        <f t="shared" si="40"/>
        <v>Dia útil</v>
      </c>
    </row>
    <row r="629" spans="2:7" ht="12" customHeight="1">
      <c r="B629" s="43">
        <v>608</v>
      </c>
      <c r="C629" s="44">
        <v>45169</v>
      </c>
      <c r="D629" s="36">
        <f t="shared" si="38"/>
        <v>5</v>
      </c>
      <c r="E629" s="36" t="str">
        <f t="shared" si="41"/>
        <v>Dia útil</v>
      </c>
      <c r="F629" s="36" t="str">
        <f t="shared" si="39"/>
        <v>Dia útil</v>
      </c>
      <c r="G629" s="36" t="str">
        <f t="shared" si="40"/>
        <v>Dia útil</v>
      </c>
    </row>
    <row r="630" spans="2:7" ht="12" customHeight="1">
      <c r="B630" s="43">
        <v>609</v>
      </c>
      <c r="C630" s="44">
        <v>45170</v>
      </c>
      <c r="D630" s="36">
        <f t="shared" si="38"/>
        <v>6</v>
      </c>
      <c r="E630" s="36" t="str">
        <f t="shared" si="41"/>
        <v>Dia útil</v>
      </c>
      <c r="F630" s="36" t="str">
        <f t="shared" si="39"/>
        <v>Dia útil</v>
      </c>
      <c r="G630" s="36" t="str">
        <f t="shared" si="40"/>
        <v>Dia útil</v>
      </c>
    </row>
    <row r="631" spans="2:7" ht="12" customHeight="1">
      <c r="B631" s="43">
        <v>610</v>
      </c>
      <c r="C631" s="44">
        <v>45171</v>
      </c>
      <c r="D631" s="36">
        <f t="shared" si="38"/>
        <v>7</v>
      </c>
      <c r="E631" s="36" t="str">
        <f t="shared" si="41"/>
        <v>Sáb</v>
      </c>
      <c r="F631" s="36" t="str">
        <f t="shared" si="39"/>
        <v>Sáb</v>
      </c>
      <c r="G631" s="36" t="str">
        <f t="shared" si="40"/>
        <v>Sáb</v>
      </c>
    </row>
    <row r="632" spans="2:7" ht="12" customHeight="1">
      <c r="B632" s="43">
        <v>611</v>
      </c>
      <c r="C632" s="44">
        <v>45172</v>
      </c>
      <c r="D632" s="36">
        <f t="shared" si="38"/>
        <v>1</v>
      </c>
      <c r="E632" s="36" t="str">
        <f t="shared" si="41"/>
        <v>Dom</v>
      </c>
      <c r="F632" s="36" t="str">
        <f t="shared" si="39"/>
        <v>Dom</v>
      </c>
      <c r="G632" s="36" t="str">
        <f t="shared" si="40"/>
        <v>Dom</v>
      </c>
    </row>
    <row r="633" spans="2:7" ht="12" customHeight="1">
      <c r="B633" s="43">
        <v>612</v>
      </c>
      <c r="C633" s="44">
        <v>45173</v>
      </c>
      <c r="D633" s="36">
        <f t="shared" si="38"/>
        <v>2</v>
      </c>
      <c r="E633" s="36" t="str">
        <f t="shared" si="41"/>
        <v>Dia útil</v>
      </c>
      <c r="F633" s="36" t="str">
        <f t="shared" si="39"/>
        <v>Dia útil</v>
      </c>
      <c r="G633" s="36" t="str">
        <f t="shared" si="40"/>
        <v>Dia útil</v>
      </c>
    </row>
    <row r="634" spans="2:7" ht="12" customHeight="1">
      <c r="B634" s="43">
        <v>613</v>
      </c>
      <c r="C634" s="44">
        <v>45174</v>
      </c>
      <c r="D634" s="36">
        <f t="shared" si="38"/>
        <v>3</v>
      </c>
      <c r="E634" s="36" t="str">
        <f t="shared" si="41"/>
        <v>Dia útil</v>
      </c>
      <c r="F634" s="36" t="str">
        <f t="shared" si="39"/>
        <v>Dia útil</v>
      </c>
      <c r="G634" s="36" t="str">
        <f t="shared" si="40"/>
        <v>Dia útil</v>
      </c>
    </row>
    <row r="635" spans="2:7" ht="12" customHeight="1">
      <c r="B635" s="43">
        <v>614</v>
      </c>
      <c r="C635" s="44">
        <v>45175</v>
      </c>
      <c r="D635" s="36">
        <f t="shared" si="38"/>
        <v>4</v>
      </c>
      <c r="E635" s="36" t="str">
        <f t="shared" si="41"/>
        <v>Dia útil</v>
      </c>
      <c r="F635" s="36" t="str">
        <f t="shared" si="39"/>
        <v>Dia útil</v>
      </c>
      <c r="G635" s="36" t="str">
        <f t="shared" si="40"/>
        <v>Dia útil</v>
      </c>
    </row>
    <row r="636" spans="2:7" ht="12" customHeight="1">
      <c r="B636" s="43">
        <v>615</v>
      </c>
      <c r="C636" s="44">
        <v>45176</v>
      </c>
      <c r="D636" s="36">
        <f t="shared" si="38"/>
        <v>5</v>
      </c>
      <c r="E636" s="36" t="str">
        <f t="shared" si="41"/>
        <v>Dia útil</v>
      </c>
      <c r="F636" s="46" t="s">
        <v>1725</v>
      </c>
      <c r="G636" s="36" t="str">
        <f t="shared" si="40"/>
        <v>Feriado</v>
      </c>
    </row>
    <row r="637" spans="2:7" ht="12" customHeight="1">
      <c r="B637" s="43">
        <v>616</v>
      </c>
      <c r="C637" s="44">
        <v>45177</v>
      </c>
      <c r="D637" s="36">
        <f t="shared" si="38"/>
        <v>6</v>
      </c>
      <c r="E637" s="36" t="str">
        <f t="shared" si="41"/>
        <v>Dia útil</v>
      </c>
      <c r="F637" s="36" t="str">
        <f t="shared" si="39"/>
        <v>Dia útil</v>
      </c>
      <c r="G637" s="36" t="str">
        <f t="shared" si="40"/>
        <v>Dia útil</v>
      </c>
    </row>
    <row r="638" spans="2:7" ht="12" customHeight="1">
      <c r="B638" s="43">
        <v>617</v>
      </c>
      <c r="C638" s="44">
        <v>45178</v>
      </c>
      <c r="D638" s="36">
        <f t="shared" si="38"/>
        <v>7</v>
      </c>
      <c r="E638" s="36" t="str">
        <f t="shared" si="41"/>
        <v>Sáb</v>
      </c>
      <c r="F638" s="36" t="str">
        <f t="shared" si="39"/>
        <v>Sáb</v>
      </c>
      <c r="G638" s="36" t="str">
        <f t="shared" si="40"/>
        <v>Sáb</v>
      </c>
    </row>
    <row r="639" spans="2:7" ht="12" customHeight="1">
      <c r="B639" s="43">
        <v>618</v>
      </c>
      <c r="C639" s="44">
        <v>45179</v>
      </c>
      <c r="D639" s="36">
        <f t="shared" si="38"/>
        <v>1</v>
      </c>
      <c r="E639" s="36" t="str">
        <f t="shared" si="41"/>
        <v>Dom</v>
      </c>
      <c r="F639" s="36" t="str">
        <f t="shared" si="39"/>
        <v>Dom</v>
      </c>
      <c r="G639" s="36" t="str">
        <f t="shared" si="40"/>
        <v>Dom</v>
      </c>
    </row>
    <row r="640" spans="2:7" ht="12" customHeight="1">
      <c r="B640" s="43">
        <v>619</v>
      </c>
      <c r="C640" s="44">
        <v>45180</v>
      </c>
      <c r="D640" s="36">
        <f t="shared" si="38"/>
        <v>2</v>
      </c>
      <c r="E640" s="36" t="str">
        <f t="shared" si="41"/>
        <v>Dia útil</v>
      </c>
      <c r="F640" s="36" t="str">
        <f t="shared" si="39"/>
        <v>Dia útil</v>
      </c>
      <c r="G640" s="36" t="str">
        <f t="shared" si="40"/>
        <v>Dia útil</v>
      </c>
    </row>
    <row r="641" spans="2:7" ht="12" customHeight="1">
      <c r="B641" s="43">
        <v>620</v>
      </c>
      <c r="C641" s="44">
        <v>45181</v>
      </c>
      <c r="D641" s="36">
        <f t="shared" si="38"/>
        <v>3</v>
      </c>
      <c r="E641" s="36" t="str">
        <f t="shared" si="41"/>
        <v>Dia útil</v>
      </c>
      <c r="F641" s="36" t="str">
        <f t="shared" si="39"/>
        <v>Dia útil</v>
      </c>
      <c r="G641" s="36" t="str">
        <f t="shared" si="40"/>
        <v>Dia útil</v>
      </c>
    </row>
    <row r="642" spans="2:7" ht="12" customHeight="1">
      <c r="B642" s="43">
        <v>621</v>
      </c>
      <c r="C642" s="44">
        <v>45182</v>
      </c>
      <c r="D642" s="36">
        <f t="shared" si="38"/>
        <v>4</v>
      </c>
      <c r="E642" s="36" t="str">
        <f t="shared" si="41"/>
        <v>Dia útil</v>
      </c>
      <c r="F642" s="36" t="str">
        <f t="shared" si="39"/>
        <v>Dia útil</v>
      </c>
      <c r="G642" s="36" t="str">
        <f t="shared" si="40"/>
        <v>Dia útil</v>
      </c>
    </row>
    <row r="643" spans="2:7" ht="12" customHeight="1">
      <c r="B643" s="43">
        <v>622</v>
      </c>
      <c r="C643" s="44">
        <v>45183</v>
      </c>
      <c r="D643" s="36">
        <f t="shared" si="38"/>
        <v>5</v>
      </c>
      <c r="E643" s="36" t="str">
        <f t="shared" si="41"/>
        <v>Dia útil</v>
      </c>
      <c r="F643" s="36" t="str">
        <f t="shared" si="39"/>
        <v>Dia útil</v>
      </c>
      <c r="G643" s="36" t="str">
        <f t="shared" si="40"/>
        <v>Dia útil</v>
      </c>
    </row>
    <row r="644" spans="2:7" ht="12" customHeight="1">
      <c r="B644" s="43">
        <v>623</v>
      </c>
      <c r="C644" s="44">
        <v>45184</v>
      </c>
      <c r="D644" s="36">
        <f t="shared" si="38"/>
        <v>6</v>
      </c>
      <c r="E644" s="36" t="str">
        <f t="shared" si="41"/>
        <v>Dia útil</v>
      </c>
      <c r="F644" s="36" t="str">
        <f t="shared" si="39"/>
        <v>Dia útil</v>
      </c>
      <c r="G644" s="36" t="str">
        <f t="shared" si="40"/>
        <v>Dia útil</v>
      </c>
    </row>
    <row r="645" spans="2:7" ht="12" customHeight="1">
      <c r="B645" s="43">
        <v>624</v>
      </c>
      <c r="C645" s="44">
        <v>45185</v>
      </c>
      <c r="D645" s="36">
        <f t="shared" si="38"/>
        <v>7</v>
      </c>
      <c r="E645" s="36" t="str">
        <f t="shared" si="41"/>
        <v>Sáb</v>
      </c>
      <c r="F645" s="36" t="str">
        <f t="shared" si="39"/>
        <v>Sáb</v>
      </c>
      <c r="G645" s="36" t="str">
        <f t="shared" si="40"/>
        <v>Sáb</v>
      </c>
    </row>
    <row r="646" spans="2:7" ht="12" customHeight="1">
      <c r="B646" s="43">
        <v>625</v>
      </c>
      <c r="C646" s="44">
        <v>45186</v>
      </c>
      <c r="D646" s="36">
        <f t="shared" si="38"/>
        <v>1</v>
      </c>
      <c r="E646" s="36" t="str">
        <f t="shared" si="41"/>
        <v>Dom</v>
      </c>
      <c r="F646" s="36" t="str">
        <f t="shared" si="39"/>
        <v>Dom</v>
      </c>
      <c r="G646" s="36" t="str">
        <f t="shared" si="40"/>
        <v>Dom</v>
      </c>
    </row>
    <row r="647" spans="2:7" ht="12" customHeight="1">
      <c r="B647" s="43">
        <v>626</v>
      </c>
      <c r="C647" s="44">
        <v>45187</v>
      </c>
      <c r="D647" s="36">
        <f t="shared" si="38"/>
        <v>2</v>
      </c>
      <c r="E647" s="36" t="str">
        <f t="shared" si="41"/>
        <v>Dia útil</v>
      </c>
      <c r="F647" s="36" t="str">
        <f t="shared" si="39"/>
        <v>Dia útil</v>
      </c>
      <c r="G647" s="36" t="str">
        <f t="shared" si="40"/>
        <v>Dia útil</v>
      </c>
    </row>
    <row r="648" spans="2:7" ht="12" customHeight="1">
      <c r="B648" s="43">
        <v>627</v>
      </c>
      <c r="C648" s="44">
        <v>45188</v>
      </c>
      <c r="D648" s="36">
        <f t="shared" si="38"/>
        <v>3</v>
      </c>
      <c r="E648" s="36" t="str">
        <f t="shared" si="41"/>
        <v>Dia útil</v>
      </c>
      <c r="F648" s="36" t="str">
        <f t="shared" si="39"/>
        <v>Dia útil</v>
      </c>
      <c r="G648" s="36" t="str">
        <f t="shared" si="40"/>
        <v>Dia útil</v>
      </c>
    </row>
    <row r="649" spans="2:7" ht="12" customHeight="1">
      <c r="B649" s="43">
        <v>628</v>
      </c>
      <c r="C649" s="44">
        <v>45189</v>
      </c>
      <c r="D649" s="36">
        <f t="shared" si="38"/>
        <v>4</v>
      </c>
      <c r="E649" s="36" t="str">
        <f t="shared" si="41"/>
        <v>Dia útil</v>
      </c>
      <c r="F649" s="36" t="str">
        <f t="shared" si="39"/>
        <v>Dia útil</v>
      </c>
      <c r="G649" s="36" t="str">
        <f t="shared" si="40"/>
        <v>Dia útil</v>
      </c>
    </row>
    <row r="650" spans="2:7" ht="12" customHeight="1">
      <c r="B650" s="43">
        <v>629</v>
      </c>
      <c r="C650" s="44">
        <v>45190</v>
      </c>
      <c r="D650" s="36">
        <f t="shared" si="38"/>
        <v>5</v>
      </c>
      <c r="E650" s="36" t="str">
        <f t="shared" si="41"/>
        <v>Dia útil</v>
      </c>
      <c r="F650" s="36" t="str">
        <f t="shared" si="39"/>
        <v>Dia útil</v>
      </c>
      <c r="G650" s="36" t="str">
        <f t="shared" si="40"/>
        <v>Dia útil</v>
      </c>
    </row>
    <row r="651" spans="2:7" ht="12" customHeight="1">
      <c r="B651" s="43">
        <v>630</v>
      </c>
      <c r="C651" s="44">
        <v>45191</v>
      </c>
      <c r="D651" s="36">
        <f t="shared" si="38"/>
        <v>6</v>
      </c>
      <c r="E651" s="36" t="str">
        <f t="shared" si="41"/>
        <v>Dia útil</v>
      </c>
      <c r="F651" s="36" t="str">
        <f t="shared" si="39"/>
        <v>Dia útil</v>
      </c>
      <c r="G651" s="36" t="str">
        <f t="shared" si="40"/>
        <v>Dia útil</v>
      </c>
    </row>
    <row r="652" spans="2:7" ht="12" customHeight="1">
      <c r="B652" s="43">
        <v>631</v>
      </c>
      <c r="C652" s="44">
        <v>45192</v>
      </c>
      <c r="D652" s="36">
        <f t="shared" si="38"/>
        <v>7</v>
      </c>
      <c r="E652" s="36" t="str">
        <f t="shared" si="41"/>
        <v>Sáb</v>
      </c>
      <c r="F652" s="36" t="str">
        <f t="shared" si="39"/>
        <v>Sáb</v>
      </c>
      <c r="G652" s="36" t="str">
        <f t="shared" si="40"/>
        <v>Sáb</v>
      </c>
    </row>
    <row r="653" spans="2:7" ht="12" customHeight="1">
      <c r="B653" s="43">
        <v>632</v>
      </c>
      <c r="C653" s="44">
        <v>45193</v>
      </c>
      <c r="D653" s="36">
        <f t="shared" si="38"/>
        <v>1</v>
      </c>
      <c r="E653" s="36" t="str">
        <f t="shared" si="41"/>
        <v>Dom</v>
      </c>
      <c r="F653" s="36" t="str">
        <f t="shared" si="39"/>
        <v>Dom</v>
      </c>
      <c r="G653" s="36" t="str">
        <f t="shared" si="40"/>
        <v>Dom</v>
      </c>
    </row>
    <row r="654" spans="2:7" ht="12" customHeight="1">
      <c r="B654" s="43">
        <v>633</v>
      </c>
      <c r="C654" s="44">
        <v>45194</v>
      </c>
      <c r="D654" s="36">
        <f t="shared" si="38"/>
        <v>2</v>
      </c>
      <c r="E654" s="36" t="str">
        <f t="shared" si="41"/>
        <v>Dia útil</v>
      </c>
      <c r="F654" s="36" t="str">
        <f t="shared" si="39"/>
        <v>Dia útil</v>
      </c>
      <c r="G654" s="36" t="str">
        <f t="shared" si="40"/>
        <v>Dia útil</v>
      </c>
    </row>
    <row r="655" spans="2:7" ht="12" customHeight="1">
      <c r="B655" s="43">
        <v>634</v>
      </c>
      <c r="C655" s="44">
        <v>45195</v>
      </c>
      <c r="D655" s="36">
        <f t="shared" si="38"/>
        <v>3</v>
      </c>
      <c r="E655" s="36" t="str">
        <f t="shared" si="41"/>
        <v>Dia útil</v>
      </c>
      <c r="F655" s="36" t="str">
        <f t="shared" si="39"/>
        <v>Dia útil</v>
      </c>
      <c r="G655" s="36" t="str">
        <f t="shared" si="40"/>
        <v>Dia útil</v>
      </c>
    </row>
    <row r="656" spans="2:7" ht="12" customHeight="1">
      <c r="B656" s="43">
        <v>635</v>
      </c>
      <c r="C656" s="44">
        <v>45196</v>
      </c>
      <c r="D656" s="36">
        <f t="shared" si="38"/>
        <v>4</v>
      </c>
      <c r="E656" s="36" t="str">
        <f t="shared" si="41"/>
        <v>Dia útil</v>
      </c>
      <c r="F656" s="36" t="str">
        <f t="shared" si="39"/>
        <v>Dia útil</v>
      </c>
      <c r="G656" s="36" t="str">
        <f t="shared" si="40"/>
        <v>Dia útil</v>
      </c>
    </row>
    <row r="657" spans="2:7" ht="12" customHeight="1">
      <c r="B657" s="43">
        <v>636</v>
      </c>
      <c r="C657" s="44">
        <v>45197</v>
      </c>
      <c r="D657" s="36">
        <f t="shared" si="38"/>
        <v>5</v>
      </c>
      <c r="E657" s="36" t="str">
        <f t="shared" si="41"/>
        <v>Dia útil</v>
      </c>
      <c r="F657" s="36" t="str">
        <f t="shared" si="39"/>
        <v>Dia útil</v>
      </c>
      <c r="G657" s="36" t="str">
        <f t="shared" si="40"/>
        <v>Dia útil</v>
      </c>
    </row>
    <row r="658" spans="2:7" ht="12" customHeight="1">
      <c r="B658" s="43">
        <v>637</v>
      </c>
      <c r="C658" s="44">
        <v>45198</v>
      </c>
      <c r="D658" s="36">
        <f t="shared" si="38"/>
        <v>6</v>
      </c>
      <c r="E658" s="36" t="str">
        <f t="shared" si="41"/>
        <v>Dia útil</v>
      </c>
      <c r="F658" s="36" t="str">
        <f t="shared" si="39"/>
        <v>Dia útil</v>
      </c>
      <c r="G658" s="36" t="str">
        <f t="shared" si="40"/>
        <v>Dia útil</v>
      </c>
    </row>
    <row r="659" spans="2:7" ht="12" customHeight="1">
      <c r="B659" s="43">
        <v>638</v>
      </c>
      <c r="C659" s="44">
        <v>45199</v>
      </c>
      <c r="D659" s="36">
        <f t="shared" si="38"/>
        <v>7</v>
      </c>
      <c r="E659" s="36" t="str">
        <f t="shared" si="41"/>
        <v>Sáb</v>
      </c>
      <c r="F659" s="36" t="str">
        <f t="shared" si="39"/>
        <v>Sáb</v>
      </c>
      <c r="G659" s="36" t="str">
        <f t="shared" si="40"/>
        <v>Sáb</v>
      </c>
    </row>
    <row r="660" spans="2:7" ht="12" customHeight="1">
      <c r="B660" s="43">
        <v>639</v>
      </c>
      <c r="C660" s="44">
        <v>45200</v>
      </c>
      <c r="D660" s="36">
        <f t="shared" si="38"/>
        <v>1</v>
      </c>
      <c r="E660" s="36" t="str">
        <f t="shared" si="41"/>
        <v>Dom</v>
      </c>
      <c r="F660" s="36" t="str">
        <f t="shared" si="39"/>
        <v>Dom</v>
      </c>
      <c r="G660" s="36" t="str">
        <f t="shared" si="40"/>
        <v>Dom</v>
      </c>
    </row>
    <row r="661" spans="2:7" ht="12" customHeight="1">
      <c r="B661" s="43">
        <v>640</v>
      </c>
      <c r="C661" s="44">
        <v>45201</v>
      </c>
      <c r="D661" s="36">
        <f t="shared" si="38"/>
        <v>2</v>
      </c>
      <c r="E661" s="36" t="str">
        <f t="shared" si="41"/>
        <v>Dia útil</v>
      </c>
      <c r="F661" s="36" t="str">
        <f t="shared" si="39"/>
        <v>Dia útil</v>
      </c>
      <c r="G661" s="36" t="str">
        <f t="shared" si="40"/>
        <v>Dia útil</v>
      </c>
    </row>
    <row r="662" spans="2:7" ht="12" customHeight="1">
      <c r="B662" s="43">
        <v>641</v>
      </c>
      <c r="C662" s="44">
        <v>45202</v>
      </c>
      <c r="D662" s="36">
        <f t="shared" si="38"/>
        <v>3</v>
      </c>
      <c r="E662" s="36" t="str">
        <f t="shared" si="41"/>
        <v>Dia útil</v>
      </c>
      <c r="F662" s="36" t="str">
        <f t="shared" si="39"/>
        <v>Dia útil</v>
      </c>
      <c r="G662" s="36" t="str">
        <f t="shared" si="40"/>
        <v>Dia útil</v>
      </c>
    </row>
    <row r="663" spans="2:7" ht="12" customHeight="1">
      <c r="B663" s="43">
        <v>642</v>
      </c>
      <c r="C663" s="44">
        <v>45203</v>
      </c>
      <c r="D663" s="36">
        <f t="shared" ref="D663:D726" si="42">WEEKDAY(C663,1)</f>
        <v>4</v>
      </c>
      <c r="E663" s="36" t="str">
        <f t="shared" si="41"/>
        <v>Dia útil</v>
      </c>
      <c r="F663" s="36" t="str">
        <f t="shared" ref="F663:F726" si="43">E663</f>
        <v>Dia útil</v>
      </c>
      <c r="G663" s="36" t="str">
        <f t="shared" ref="G663:G726" si="44">IF(AND(F663="Feriado",OR(E663="Sáb",E663="Dom")),E663,IF(AND(F663="Feriado",E663="Dia útil"),"Feriado",E663))</f>
        <v>Dia útil</v>
      </c>
    </row>
    <row r="664" spans="2:7" ht="12" customHeight="1">
      <c r="B664" s="43">
        <v>643</v>
      </c>
      <c r="C664" s="44">
        <v>45204</v>
      </c>
      <c r="D664" s="36">
        <f t="shared" si="42"/>
        <v>5</v>
      </c>
      <c r="E664" s="36" t="str">
        <f t="shared" si="41"/>
        <v>Dia útil</v>
      </c>
      <c r="F664" s="36" t="str">
        <f t="shared" si="43"/>
        <v>Dia útil</v>
      </c>
      <c r="G664" s="36" t="str">
        <f t="shared" si="44"/>
        <v>Dia útil</v>
      </c>
    </row>
    <row r="665" spans="2:7" ht="12" customHeight="1">
      <c r="B665" s="43">
        <v>644</v>
      </c>
      <c r="C665" s="44">
        <v>45205</v>
      </c>
      <c r="D665" s="36">
        <f t="shared" si="42"/>
        <v>6</v>
      </c>
      <c r="E665" s="36" t="str">
        <f t="shared" ref="E665:E728" si="45">IF(D665=1,"Dom",IF(D665=7,"Sáb","Dia útil"))</f>
        <v>Dia útil</v>
      </c>
      <c r="F665" s="36" t="str">
        <f t="shared" si="43"/>
        <v>Dia útil</v>
      </c>
      <c r="G665" s="36" t="str">
        <f t="shared" si="44"/>
        <v>Dia útil</v>
      </c>
    </row>
    <row r="666" spans="2:7" ht="12" customHeight="1">
      <c r="B666" s="43">
        <v>645</v>
      </c>
      <c r="C666" s="44">
        <v>45206</v>
      </c>
      <c r="D666" s="36">
        <f t="shared" si="42"/>
        <v>7</v>
      </c>
      <c r="E666" s="36" t="str">
        <f t="shared" si="45"/>
        <v>Sáb</v>
      </c>
      <c r="F666" s="36" t="str">
        <f t="shared" si="43"/>
        <v>Sáb</v>
      </c>
      <c r="G666" s="36" t="str">
        <f t="shared" si="44"/>
        <v>Sáb</v>
      </c>
    </row>
    <row r="667" spans="2:7" ht="12" customHeight="1">
      <c r="B667" s="43">
        <v>646</v>
      </c>
      <c r="C667" s="44">
        <v>45207</v>
      </c>
      <c r="D667" s="36">
        <f t="shared" si="42"/>
        <v>1</v>
      </c>
      <c r="E667" s="36" t="str">
        <f t="shared" si="45"/>
        <v>Dom</v>
      </c>
      <c r="F667" s="36" t="str">
        <f t="shared" si="43"/>
        <v>Dom</v>
      </c>
      <c r="G667" s="36" t="str">
        <f t="shared" si="44"/>
        <v>Dom</v>
      </c>
    </row>
    <row r="668" spans="2:7" ht="12" customHeight="1">
      <c r="B668" s="43">
        <v>647</v>
      </c>
      <c r="C668" s="44">
        <v>45208</v>
      </c>
      <c r="D668" s="36">
        <f t="shared" si="42"/>
        <v>2</v>
      </c>
      <c r="E668" s="36" t="str">
        <f t="shared" si="45"/>
        <v>Dia útil</v>
      </c>
      <c r="F668" s="36" t="str">
        <f t="shared" si="43"/>
        <v>Dia útil</v>
      </c>
      <c r="G668" s="36" t="str">
        <f t="shared" si="44"/>
        <v>Dia útil</v>
      </c>
    </row>
    <row r="669" spans="2:7" ht="12" customHeight="1">
      <c r="B669" s="43">
        <v>648</v>
      </c>
      <c r="C669" s="44">
        <v>45209</v>
      </c>
      <c r="D669" s="36">
        <f t="shared" si="42"/>
        <v>3</v>
      </c>
      <c r="E669" s="36" t="str">
        <f t="shared" si="45"/>
        <v>Dia útil</v>
      </c>
      <c r="F669" s="36" t="str">
        <f t="shared" si="43"/>
        <v>Dia útil</v>
      </c>
      <c r="G669" s="36" t="str">
        <f t="shared" si="44"/>
        <v>Dia útil</v>
      </c>
    </row>
    <row r="670" spans="2:7" ht="12" customHeight="1">
      <c r="B670" s="43">
        <v>649</v>
      </c>
      <c r="C670" s="44">
        <v>45210</v>
      </c>
      <c r="D670" s="36">
        <f t="shared" si="42"/>
        <v>4</v>
      </c>
      <c r="E670" s="36" t="str">
        <f t="shared" si="45"/>
        <v>Dia útil</v>
      </c>
      <c r="F670" s="36" t="str">
        <f t="shared" si="43"/>
        <v>Dia útil</v>
      </c>
      <c r="G670" s="36" t="str">
        <f t="shared" si="44"/>
        <v>Dia útil</v>
      </c>
    </row>
    <row r="671" spans="2:7" ht="12" customHeight="1">
      <c r="B671" s="43">
        <v>650</v>
      </c>
      <c r="C671" s="44">
        <v>45211</v>
      </c>
      <c r="D671" s="36">
        <f t="shared" si="42"/>
        <v>5</v>
      </c>
      <c r="E671" s="36" t="str">
        <f t="shared" si="45"/>
        <v>Dia útil</v>
      </c>
      <c r="F671" s="46" t="s">
        <v>1725</v>
      </c>
      <c r="G671" s="36" t="str">
        <f t="shared" si="44"/>
        <v>Feriado</v>
      </c>
    </row>
    <row r="672" spans="2:7" ht="12" customHeight="1">
      <c r="B672" s="43">
        <v>651</v>
      </c>
      <c r="C672" s="44">
        <v>45212</v>
      </c>
      <c r="D672" s="36">
        <f t="shared" si="42"/>
        <v>6</v>
      </c>
      <c r="E672" s="36" t="str">
        <f t="shared" si="45"/>
        <v>Dia útil</v>
      </c>
      <c r="F672" s="36" t="str">
        <f t="shared" si="43"/>
        <v>Dia útil</v>
      </c>
      <c r="G672" s="36" t="str">
        <f t="shared" si="44"/>
        <v>Dia útil</v>
      </c>
    </row>
    <row r="673" spans="2:7" ht="12" customHeight="1">
      <c r="B673" s="43">
        <v>652</v>
      </c>
      <c r="C673" s="44">
        <v>45213</v>
      </c>
      <c r="D673" s="36">
        <f t="shared" si="42"/>
        <v>7</v>
      </c>
      <c r="E673" s="36" t="str">
        <f t="shared" si="45"/>
        <v>Sáb</v>
      </c>
      <c r="F673" s="36" t="str">
        <f t="shared" si="43"/>
        <v>Sáb</v>
      </c>
      <c r="G673" s="36" t="str">
        <f t="shared" si="44"/>
        <v>Sáb</v>
      </c>
    </row>
    <row r="674" spans="2:7" ht="12" customHeight="1">
      <c r="B674" s="43">
        <v>653</v>
      </c>
      <c r="C674" s="44">
        <v>45214</v>
      </c>
      <c r="D674" s="36">
        <f t="shared" si="42"/>
        <v>1</v>
      </c>
      <c r="E674" s="36" t="str">
        <f t="shared" si="45"/>
        <v>Dom</v>
      </c>
      <c r="F674" s="36" t="str">
        <f t="shared" si="43"/>
        <v>Dom</v>
      </c>
      <c r="G674" s="36" t="str">
        <f t="shared" si="44"/>
        <v>Dom</v>
      </c>
    </row>
    <row r="675" spans="2:7" ht="12" customHeight="1">
      <c r="B675" s="43">
        <v>654</v>
      </c>
      <c r="C675" s="44">
        <v>45215</v>
      </c>
      <c r="D675" s="36">
        <f t="shared" si="42"/>
        <v>2</v>
      </c>
      <c r="E675" s="36" t="str">
        <f t="shared" si="45"/>
        <v>Dia útil</v>
      </c>
      <c r="F675" s="36" t="str">
        <f t="shared" si="43"/>
        <v>Dia útil</v>
      </c>
      <c r="G675" s="36" t="str">
        <f t="shared" si="44"/>
        <v>Dia útil</v>
      </c>
    </row>
    <row r="676" spans="2:7" ht="12" customHeight="1">
      <c r="B676" s="43">
        <v>655</v>
      </c>
      <c r="C676" s="44">
        <v>45216</v>
      </c>
      <c r="D676" s="36">
        <f t="shared" si="42"/>
        <v>3</v>
      </c>
      <c r="E676" s="36" t="str">
        <f t="shared" si="45"/>
        <v>Dia útil</v>
      </c>
      <c r="F676" s="36" t="str">
        <f t="shared" si="43"/>
        <v>Dia útil</v>
      </c>
      <c r="G676" s="36" t="str">
        <f t="shared" si="44"/>
        <v>Dia útil</v>
      </c>
    </row>
    <row r="677" spans="2:7" ht="12" customHeight="1">
      <c r="B677" s="43">
        <v>656</v>
      </c>
      <c r="C677" s="44">
        <v>45217</v>
      </c>
      <c r="D677" s="36">
        <f t="shared" si="42"/>
        <v>4</v>
      </c>
      <c r="E677" s="36" t="str">
        <f t="shared" si="45"/>
        <v>Dia útil</v>
      </c>
      <c r="F677" s="36" t="str">
        <f t="shared" si="43"/>
        <v>Dia útil</v>
      </c>
      <c r="G677" s="36" t="str">
        <f t="shared" si="44"/>
        <v>Dia útil</v>
      </c>
    </row>
    <row r="678" spans="2:7" ht="12" customHeight="1">
      <c r="B678" s="43">
        <v>657</v>
      </c>
      <c r="C678" s="44">
        <v>45218</v>
      </c>
      <c r="D678" s="36">
        <f t="shared" si="42"/>
        <v>5</v>
      </c>
      <c r="E678" s="36" t="str">
        <f t="shared" si="45"/>
        <v>Dia útil</v>
      </c>
      <c r="F678" s="36" t="str">
        <f t="shared" si="43"/>
        <v>Dia útil</v>
      </c>
      <c r="G678" s="36" t="str">
        <f t="shared" si="44"/>
        <v>Dia útil</v>
      </c>
    </row>
    <row r="679" spans="2:7" ht="12" customHeight="1">
      <c r="B679" s="43">
        <v>658</v>
      </c>
      <c r="C679" s="44">
        <v>45219</v>
      </c>
      <c r="D679" s="36">
        <f t="shared" si="42"/>
        <v>6</v>
      </c>
      <c r="E679" s="36" t="str">
        <f t="shared" si="45"/>
        <v>Dia útil</v>
      </c>
      <c r="F679" s="36" t="str">
        <f t="shared" si="43"/>
        <v>Dia útil</v>
      </c>
      <c r="G679" s="36" t="str">
        <f t="shared" si="44"/>
        <v>Dia útil</v>
      </c>
    </row>
    <row r="680" spans="2:7" ht="12" customHeight="1">
      <c r="B680" s="43">
        <v>659</v>
      </c>
      <c r="C680" s="44">
        <v>45220</v>
      </c>
      <c r="D680" s="36">
        <f t="shared" si="42"/>
        <v>7</v>
      </c>
      <c r="E680" s="36" t="str">
        <f t="shared" si="45"/>
        <v>Sáb</v>
      </c>
      <c r="F680" s="36" t="str">
        <f t="shared" si="43"/>
        <v>Sáb</v>
      </c>
      <c r="G680" s="36" t="str">
        <f t="shared" si="44"/>
        <v>Sáb</v>
      </c>
    </row>
    <row r="681" spans="2:7" ht="12" customHeight="1">
      <c r="B681" s="43">
        <v>660</v>
      </c>
      <c r="C681" s="44">
        <v>45221</v>
      </c>
      <c r="D681" s="36">
        <f t="shared" si="42"/>
        <v>1</v>
      </c>
      <c r="E681" s="36" t="str">
        <f t="shared" si="45"/>
        <v>Dom</v>
      </c>
      <c r="F681" s="36" t="str">
        <f t="shared" si="43"/>
        <v>Dom</v>
      </c>
      <c r="G681" s="36" t="str">
        <f t="shared" si="44"/>
        <v>Dom</v>
      </c>
    </row>
    <row r="682" spans="2:7" ht="12" customHeight="1">
      <c r="B682" s="43">
        <v>661</v>
      </c>
      <c r="C682" s="44">
        <v>45222</v>
      </c>
      <c r="D682" s="36">
        <f t="shared" si="42"/>
        <v>2</v>
      </c>
      <c r="E682" s="36" t="str">
        <f t="shared" si="45"/>
        <v>Dia útil</v>
      </c>
      <c r="F682" s="36" t="str">
        <f t="shared" si="43"/>
        <v>Dia útil</v>
      </c>
      <c r="G682" s="36" t="str">
        <f t="shared" si="44"/>
        <v>Dia útil</v>
      </c>
    </row>
    <row r="683" spans="2:7" ht="12" customHeight="1">
      <c r="B683" s="43">
        <v>662</v>
      </c>
      <c r="C683" s="44">
        <v>45223</v>
      </c>
      <c r="D683" s="36">
        <f t="shared" si="42"/>
        <v>3</v>
      </c>
      <c r="E683" s="36" t="str">
        <f t="shared" si="45"/>
        <v>Dia útil</v>
      </c>
      <c r="F683" s="36" t="str">
        <f t="shared" si="43"/>
        <v>Dia útil</v>
      </c>
      <c r="G683" s="36" t="str">
        <f t="shared" si="44"/>
        <v>Dia útil</v>
      </c>
    </row>
    <row r="684" spans="2:7" ht="12" customHeight="1">
      <c r="B684" s="43">
        <v>663</v>
      </c>
      <c r="C684" s="44">
        <v>45224</v>
      </c>
      <c r="D684" s="36">
        <f t="shared" si="42"/>
        <v>4</v>
      </c>
      <c r="E684" s="36" t="str">
        <f t="shared" si="45"/>
        <v>Dia útil</v>
      </c>
      <c r="F684" s="36" t="str">
        <f t="shared" si="43"/>
        <v>Dia útil</v>
      </c>
      <c r="G684" s="36" t="str">
        <f t="shared" si="44"/>
        <v>Dia útil</v>
      </c>
    </row>
    <row r="685" spans="2:7" ht="12" customHeight="1">
      <c r="B685" s="43">
        <v>664</v>
      </c>
      <c r="C685" s="44">
        <v>45225</v>
      </c>
      <c r="D685" s="36">
        <f t="shared" si="42"/>
        <v>5</v>
      </c>
      <c r="E685" s="36" t="str">
        <f t="shared" si="45"/>
        <v>Dia útil</v>
      </c>
      <c r="F685" s="36" t="str">
        <f t="shared" si="43"/>
        <v>Dia útil</v>
      </c>
      <c r="G685" s="36" t="str">
        <f t="shared" si="44"/>
        <v>Dia útil</v>
      </c>
    </row>
    <row r="686" spans="2:7" ht="12" customHeight="1">
      <c r="B686" s="43">
        <v>665</v>
      </c>
      <c r="C686" s="44">
        <v>45226</v>
      </c>
      <c r="D686" s="36">
        <f t="shared" si="42"/>
        <v>6</v>
      </c>
      <c r="E686" s="36" t="str">
        <f t="shared" si="45"/>
        <v>Dia útil</v>
      </c>
      <c r="F686" s="36" t="str">
        <f t="shared" si="43"/>
        <v>Dia útil</v>
      </c>
      <c r="G686" s="36" t="str">
        <f t="shared" si="44"/>
        <v>Dia útil</v>
      </c>
    </row>
    <row r="687" spans="2:7" ht="12" customHeight="1">
      <c r="B687" s="43">
        <v>666</v>
      </c>
      <c r="C687" s="44">
        <v>45227</v>
      </c>
      <c r="D687" s="36">
        <f t="shared" si="42"/>
        <v>7</v>
      </c>
      <c r="E687" s="36" t="str">
        <f t="shared" si="45"/>
        <v>Sáb</v>
      </c>
      <c r="F687" s="36" t="str">
        <f t="shared" si="43"/>
        <v>Sáb</v>
      </c>
      <c r="G687" s="36" t="str">
        <f t="shared" si="44"/>
        <v>Sáb</v>
      </c>
    </row>
    <row r="688" spans="2:7" ht="12" customHeight="1">
      <c r="B688" s="43">
        <v>667</v>
      </c>
      <c r="C688" s="44">
        <v>45228</v>
      </c>
      <c r="D688" s="36">
        <f t="shared" si="42"/>
        <v>1</v>
      </c>
      <c r="E688" s="36" t="str">
        <f t="shared" si="45"/>
        <v>Dom</v>
      </c>
      <c r="F688" s="36" t="str">
        <f t="shared" si="43"/>
        <v>Dom</v>
      </c>
      <c r="G688" s="36" t="str">
        <f t="shared" si="44"/>
        <v>Dom</v>
      </c>
    </row>
    <row r="689" spans="2:7" ht="12" customHeight="1">
      <c r="B689" s="43">
        <v>668</v>
      </c>
      <c r="C689" s="44">
        <v>45229</v>
      </c>
      <c r="D689" s="36">
        <f t="shared" si="42"/>
        <v>2</v>
      </c>
      <c r="E689" s="36" t="str">
        <f t="shared" si="45"/>
        <v>Dia útil</v>
      </c>
      <c r="F689" s="36" t="str">
        <f t="shared" si="43"/>
        <v>Dia útil</v>
      </c>
      <c r="G689" s="36" t="str">
        <f t="shared" si="44"/>
        <v>Dia útil</v>
      </c>
    </row>
    <row r="690" spans="2:7" ht="12" customHeight="1">
      <c r="B690" s="43">
        <v>669</v>
      </c>
      <c r="C690" s="44">
        <v>45230</v>
      </c>
      <c r="D690" s="36">
        <f t="shared" si="42"/>
        <v>3</v>
      </c>
      <c r="E690" s="36" t="str">
        <f t="shared" si="45"/>
        <v>Dia útil</v>
      </c>
      <c r="F690" s="36" t="str">
        <f t="shared" si="43"/>
        <v>Dia útil</v>
      </c>
      <c r="G690" s="36" t="str">
        <f t="shared" si="44"/>
        <v>Dia útil</v>
      </c>
    </row>
    <row r="691" spans="2:7" ht="12" customHeight="1">
      <c r="B691" s="43">
        <v>670</v>
      </c>
      <c r="C691" s="44">
        <v>45231</v>
      </c>
      <c r="D691" s="36">
        <f t="shared" si="42"/>
        <v>4</v>
      </c>
      <c r="E691" s="36" t="str">
        <f t="shared" si="45"/>
        <v>Dia útil</v>
      </c>
      <c r="F691" s="36" t="str">
        <f t="shared" si="43"/>
        <v>Dia útil</v>
      </c>
      <c r="G691" s="36" t="str">
        <f t="shared" si="44"/>
        <v>Dia útil</v>
      </c>
    </row>
    <row r="692" spans="2:7" ht="12" customHeight="1">
      <c r="B692" s="43">
        <v>671</v>
      </c>
      <c r="C692" s="44">
        <v>45232</v>
      </c>
      <c r="D692" s="36">
        <f t="shared" si="42"/>
        <v>5</v>
      </c>
      <c r="E692" s="36" t="str">
        <f t="shared" si="45"/>
        <v>Dia útil</v>
      </c>
      <c r="F692" s="46" t="s">
        <v>1725</v>
      </c>
      <c r="G692" s="36" t="str">
        <f t="shared" si="44"/>
        <v>Feriado</v>
      </c>
    </row>
    <row r="693" spans="2:7" ht="12" customHeight="1">
      <c r="B693" s="43">
        <v>672</v>
      </c>
      <c r="C693" s="44">
        <v>45233</v>
      </c>
      <c r="D693" s="36">
        <f t="shared" si="42"/>
        <v>6</v>
      </c>
      <c r="E693" s="36" t="str">
        <f t="shared" si="45"/>
        <v>Dia útil</v>
      </c>
      <c r="F693" s="36" t="str">
        <f t="shared" si="43"/>
        <v>Dia útil</v>
      </c>
      <c r="G693" s="36" t="str">
        <f t="shared" si="44"/>
        <v>Dia útil</v>
      </c>
    </row>
    <row r="694" spans="2:7" ht="12" customHeight="1">
      <c r="B694" s="43">
        <v>673</v>
      </c>
      <c r="C694" s="44">
        <v>45234</v>
      </c>
      <c r="D694" s="36">
        <f t="shared" si="42"/>
        <v>7</v>
      </c>
      <c r="E694" s="36" t="str">
        <f t="shared" si="45"/>
        <v>Sáb</v>
      </c>
      <c r="F694" s="36" t="str">
        <f t="shared" si="43"/>
        <v>Sáb</v>
      </c>
      <c r="G694" s="36" t="str">
        <f t="shared" si="44"/>
        <v>Sáb</v>
      </c>
    </row>
    <row r="695" spans="2:7" ht="12" customHeight="1">
      <c r="B695" s="43">
        <v>674</v>
      </c>
      <c r="C695" s="44">
        <v>45235</v>
      </c>
      <c r="D695" s="36">
        <f t="shared" si="42"/>
        <v>1</v>
      </c>
      <c r="E695" s="36" t="str">
        <f t="shared" si="45"/>
        <v>Dom</v>
      </c>
      <c r="F695" s="36" t="str">
        <f t="shared" si="43"/>
        <v>Dom</v>
      </c>
      <c r="G695" s="36" t="str">
        <f t="shared" si="44"/>
        <v>Dom</v>
      </c>
    </row>
    <row r="696" spans="2:7" ht="12" customHeight="1">
      <c r="B696" s="43">
        <v>675</v>
      </c>
      <c r="C696" s="44">
        <v>45236</v>
      </c>
      <c r="D696" s="36">
        <f t="shared" si="42"/>
        <v>2</v>
      </c>
      <c r="E696" s="36" t="str">
        <f t="shared" si="45"/>
        <v>Dia útil</v>
      </c>
      <c r="F696" s="36" t="str">
        <f t="shared" si="43"/>
        <v>Dia útil</v>
      </c>
      <c r="G696" s="36" t="str">
        <f t="shared" si="44"/>
        <v>Dia útil</v>
      </c>
    </row>
    <row r="697" spans="2:7" ht="12" customHeight="1">
      <c r="B697" s="43">
        <v>676</v>
      </c>
      <c r="C697" s="44">
        <v>45237</v>
      </c>
      <c r="D697" s="36">
        <f t="shared" si="42"/>
        <v>3</v>
      </c>
      <c r="E697" s="36" t="str">
        <f t="shared" si="45"/>
        <v>Dia útil</v>
      </c>
      <c r="F697" s="36" t="str">
        <f t="shared" si="43"/>
        <v>Dia útil</v>
      </c>
      <c r="G697" s="36" t="str">
        <f t="shared" si="44"/>
        <v>Dia útil</v>
      </c>
    </row>
    <row r="698" spans="2:7" ht="12" customHeight="1">
      <c r="B698" s="43">
        <v>677</v>
      </c>
      <c r="C698" s="44">
        <v>45238</v>
      </c>
      <c r="D698" s="36">
        <f t="shared" si="42"/>
        <v>4</v>
      </c>
      <c r="E698" s="36" t="str">
        <f t="shared" si="45"/>
        <v>Dia útil</v>
      </c>
      <c r="F698" s="36" t="str">
        <f t="shared" si="43"/>
        <v>Dia útil</v>
      </c>
      <c r="G698" s="36" t="str">
        <f t="shared" si="44"/>
        <v>Dia útil</v>
      </c>
    </row>
    <row r="699" spans="2:7" ht="12" customHeight="1">
      <c r="B699" s="43">
        <v>678</v>
      </c>
      <c r="C699" s="44">
        <v>45239</v>
      </c>
      <c r="D699" s="36">
        <f t="shared" si="42"/>
        <v>5</v>
      </c>
      <c r="E699" s="36" t="str">
        <f t="shared" si="45"/>
        <v>Dia útil</v>
      </c>
      <c r="F699" s="36" t="str">
        <f t="shared" si="43"/>
        <v>Dia útil</v>
      </c>
      <c r="G699" s="36" t="str">
        <f t="shared" si="44"/>
        <v>Dia útil</v>
      </c>
    </row>
    <row r="700" spans="2:7" ht="12" customHeight="1">
      <c r="B700" s="43">
        <v>679</v>
      </c>
      <c r="C700" s="44">
        <v>45240</v>
      </c>
      <c r="D700" s="36">
        <f t="shared" si="42"/>
        <v>6</v>
      </c>
      <c r="E700" s="36" t="str">
        <f t="shared" si="45"/>
        <v>Dia útil</v>
      </c>
      <c r="F700" s="36" t="str">
        <f t="shared" si="43"/>
        <v>Dia útil</v>
      </c>
      <c r="G700" s="36" t="str">
        <f t="shared" si="44"/>
        <v>Dia útil</v>
      </c>
    </row>
    <row r="701" spans="2:7" ht="12" customHeight="1">
      <c r="B701" s="43">
        <v>680</v>
      </c>
      <c r="C701" s="44">
        <v>45241</v>
      </c>
      <c r="D701" s="36">
        <f t="shared" si="42"/>
        <v>7</v>
      </c>
      <c r="E701" s="36" t="str">
        <f t="shared" si="45"/>
        <v>Sáb</v>
      </c>
      <c r="F701" s="36" t="str">
        <f t="shared" si="43"/>
        <v>Sáb</v>
      </c>
      <c r="G701" s="36" t="str">
        <f t="shared" si="44"/>
        <v>Sáb</v>
      </c>
    </row>
    <row r="702" spans="2:7" ht="12" customHeight="1">
      <c r="B702" s="43">
        <v>681</v>
      </c>
      <c r="C702" s="44">
        <v>45242</v>
      </c>
      <c r="D702" s="36">
        <f t="shared" si="42"/>
        <v>1</v>
      </c>
      <c r="E702" s="36" t="str">
        <f t="shared" si="45"/>
        <v>Dom</v>
      </c>
      <c r="F702" s="36" t="str">
        <f t="shared" si="43"/>
        <v>Dom</v>
      </c>
      <c r="G702" s="36" t="str">
        <f t="shared" si="44"/>
        <v>Dom</v>
      </c>
    </row>
    <row r="703" spans="2:7" ht="12" customHeight="1">
      <c r="B703" s="43">
        <v>682</v>
      </c>
      <c r="C703" s="44">
        <v>45243</v>
      </c>
      <c r="D703" s="36">
        <f t="shared" si="42"/>
        <v>2</v>
      </c>
      <c r="E703" s="36" t="str">
        <f t="shared" si="45"/>
        <v>Dia útil</v>
      </c>
      <c r="F703" s="36" t="str">
        <f t="shared" si="43"/>
        <v>Dia útil</v>
      </c>
      <c r="G703" s="36" t="str">
        <f t="shared" si="44"/>
        <v>Dia útil</v>
      </c>
    </row>
    <row r="704" spans="2:7" ht="12" customHeight="1">
      <c r="B704" s="43">
        <v>683</v>
      </c>
      <c r="C704" s="44">
        <v>45244</v>
      </c>
      <c r="D704" s="36">
        <f t="shared" si="42"/>
        <v>3</v>
      </c>
      <c r="E704" s="36" t="str">
        <f t="shared" si="45"/>
        <v>Dia útil</v>
      </c>
      <c r="F704" s="36" t="str">
        <f t="shared" si="43"/>
        <v>Dia útil</v>
      </c>
      <c r="G704" s="36" t="str">
        <f t="shared" si="44"/>
        <v>Dia útil</v>
      </c>
    </row>
    <row r="705" spans="2:7" ht="12" customHeight="1">
      <c r="B705" s="43">
        <v>684</v>
      </c>
      <c r="C705" s="44">
        <v>45245</v>
      </c>
      <c r="D705" s="36">
        <f t="shared" si="42"/>
        <v>4</v>
      </c>
      <c r="E705" s="36" t="str">
        <f t="shared" si="45"/>
        <v>Dia útil</v>
      </c>
      <c r="F705" s="46" t="s">
        <v>1725</v>
      </c>
      <c r="G705" s="36" t="str">
        <f t="shared" si="44"/>
        <v>Feriado</v>
      </c>
    </row>
    <row r="706" spans="2:7" ht="12" customHeight="1">
      <c r="B706" s="43">
        <v>685</v>
      </c>
      <c r="C706" s="44">
        <v>45246</v>
      </c>
      <c r="D706" s="36">
        <f t="shared" si="42"/>
        <v>5</v>
      </c>
      <c r="E706" s="36" t="str">
        <f t="shared" si="45"/>
        <v>Dia útil</v>
      </c>
      <c r="F706" s="36" t="str">
        <f t="shared" si="43"/>
        <v>Dia útil</v>
      </c>
      <c r="G706" s="36" t="str">
        <f t="shared" si="44"/>
        <v>Dia útil</v>
      </c>
    </row>
    <row r="707" spans="2:7" ht="12" customHeight="1">
      <c r="B707" s="43">
        <v>686</v>
      </c>
      <c r="C707" s="44">
        <v>45247</v>
      </c>
      <c r="D707" s="36">
        <f t="shared" si="42"/>
        <v>6</v>
      </c>
      <c r="E707" s="36" t="str">
        <f t="shared" si="45"/>
        <v>Dia útil</v>
      </c>
      <c r="F707" s="36" t="str">
        <f t="shared" si="43"/>
        <v>Dia útil</v>
      </c>
      <c r="G707" s="36" t="str">
        <f t="shared" si="44"/>
        <v>Dia útil</v>
      </c>
    </row>
    <row r="708" spans="2:7" ht="12" customHeight="1">
      <c r="B708" s="43">
        <v>687</v>
      </c>
      <c r="C708" s="44">
        <v>45248</v>
      </c>
      <c r="D708" s="36">
        <f t="shared" si="42"/>
        <v>7</v>
      </c>
      <c r="E708" s="36" t="str">
        <f t="shared" si="45"/>
        <v>Sáb</v>
      </c>
      <c r="F708" s="36" t="str">
        <f t="shared" si="43"/>
        <v>Sáb</v>
      </c>
      <c r="G708" s="36" t="str">
        <f t="shared" si="44"/>
        <v>Sáb</v>
      </c>
    </row>
    <row r="709" spans="2:7" ht="12" customHeight="1">
      <c r="B709" s="43">
        <v>688</v>
      </c>
      <c r="C709" s="44">
        <v>45249</v>
      </c>
      <c r="D709" s="36">
        <f t="shared" si="42"/>
        <v>1</v>
      </c>
      <c r="E709" s="36" t="str">
        <f t="shared" si="45"/>
        <v>Dom</v>
      </c>
      <c r="F709" s="36" t="str">
        <f t="shared" si="43"/>
        <v>Dom</v>
      </c>
      <c r="G709" s="36" t="str">
        <f t="shared" si="44"/>
        <v>Dom</v>
      </c>
    </row>
    <row r="710" spans="2:7" ht="12" customHeight="1">
      <c r="B710" s="43">
        <v>689</v>
      </c>
      <c r="C710" s="44">
        <v>45250</v>
      </c>
      <c r="D710" s="36">
        <f t="shared" si="42"/>
        <v>2</v>
      </c>
      <c r="E710" s="36" t="str">
        <f t="shared" si="45"/>
        <v>Dia útil</v>
      </c>
      <c r="F710" s="36" t="str">
        <f t="shared" si="43"/>
        <v>Dia útil</v>
      </c>
      <c r="G710" s="36" t="str">
        <f t="shared" si="44"/>
        <v>Dia útil</v>
      </c>
    </row>
    <row r="711" spans="2:7" ht="12" customHeight="1">
      <c r="B711" s="43">
        <v>690</v>
      </c>
      <c r="C711" s="44">
        <v>45251</v>
      </c>
      <c r="D711" s="36">
        <f t="shared" si="42"/>
        <v>3</v>
      </c>
      <c r="E711" s="36" t="str">
        <f t="shared" si="45"/>
        <v>Dia útil</v>
      </c>
      <c r="F711" s="36" t="str">
        <f t="shared" si="43"/>
        <v>Dia útil</v>
      </c>
      <c r="G711" s="36" t="str">
        <f t="shared" si="44"/>
        <v>Dia útil</v>
      </c>
    </row>
    <row r="712" spans="2:7" ht="12" customHeight="1">
      <c r="B712" s="43">
        <v>691</v>
      </c>
      <c r="C712" s="44">
        <v>45252</v>
      </c>
      <c r="D712" s="36">
        <f t="shared" si="42"/>
        <v>4</v>
      </c>
      <c r="E712" s="36" t="str">
        <f t="shared" si="45"/>
        <v>Dia útil</v>
      </c>
      <c r="F712" s="36" t="str">
        <f t="shared" si="43"/>
        <v>Dia útil</v>
      </c>
      <c r="G712" s="36" t="str">
        <f t="shared" si="44"/>
        <v>Dia útil</v>
      </c>
    </row>
    <row r="713" spans="2:7" ht="12" customHeight="1">
      <c r="B713" s="43">
        <v>692</v>
      </c>
      <c r="C713" s="44">
        <v>45253</v>
      </c>
      <c r="D713" s="36">
        <f t="shared" si="42"/>
        <v>5</v>
      </c>
      <c r="E713" s="36" t="str">
        <f t="shared" si="45"/>
        <v>Dia útil</v>
      </c>
      <c r="F713" s="36" t="str">
        <f t="shared" si="43"/>
        <v>Dia útil</v>
      </c>
      <c r="G713" s="36" t="str">
        <f t="shared" si="44"/>
        <v>Dia útil</v>
      </c>
    </row>
    <row r="714" spans="2:7" ht="12" customHeight="1">
      <c r="B714" s="43">
        <v>693</v>
      </c>
      <c r="C714" s="44">
        <v>45254</v>
      </c>
      <c r="D714" s="36">
        <f t="shared" si="42"/>
        <v>6</v>
      </c>
      <c r="E714" s="36" t="str">
        <f t="shared" si="45"/>
        <v>Dia útil</v>
      </c>
      <c r="F714" s="36" t="str">
        <f t="shared" si="43"/>
        <v>Dia útil</v>
      </c>
      <c r="G714" s="36" t="str">
        <f t="shared" si="44"/>
        <v>Dia útil</v>
      </c>
    </row>
    <row r="715" spans="2:7" ht="12" customHeight="1">
      <c r="B715" s="43">
        <v>694</v>
      </c>
      <c r="C715" s="44">
        <v>45255</v>
      </c>
      <c r="D715" s="36">
        <f t="shared" si="42"/>
        <v>7</v>
      </c>
      <c r="E715" s="36" t="str">
        <f t="shared" si="45"/>
        <v>Sáb</v>
      </c>
      <c r="F715" s="36" t="str">
        <f t="shared" si="43"/>
        <v>Sáb</v>
      </c>
      <c r="G715" s="36" t="str">
        <f t="shared" si="44"/>
        <v>Sáb</v>
      </c>
    </row>
    <row r="716" spans="2:7" ht="12" customHeight="1">
      <c r="B716" s="43">
        <v>695</v>
      </c>
      <c r="C716" s="44">
        <v>45256</v>
      </c>
      <c r="D716" s="36">
        <f t="shared" si="42"/>
        <v>1</v>
      </c>
      <c r="E716" s="36" t="str">
        <f t="shared" si="45"/>
        <v>Dom</v>
      </c>
      <c r="F716" s="36" t="str">
        <f t="shared" si="43"/>
        <v>Dom</v>
      </c>
      <c r="G716" s="36" t="str">
        <f t="shared" si="44"/>
        <v>Dom</v>
      </c>
    </row>
    <row r="717" spans="2:7" ht="12" customHeight="1">
      <c r="B717" s="43">
        <v>696</v>
      </c>
      <c r="C717" s="44">
        <v>45257</v>
      </c>
      <c r="D717" s="36">
        <f t="shared" si="42"/>
        <v>2</v>
      </c>
      <c r="E717" s="36" t="str">
        <f t="shared" si="45"/>
        <v>Dia útil</v>
      </c>
      <c r="F717" s="36" t="str">
        <f t="shared" si="43"/>
        <v>Dia útil</v>
      </c>
      <c r="G717" s="36" t="str">
        <f t="shared" si="44"/>
        <v>Dia útil</v>
      </c>
    </row>
    <row r="718" spans="2:7" ht="12" customHeight="1">
      <c r="B718" s="43">
        <v>697</v>
      </c>
      <c r="C718" s="44">
        <v>45258</v>
      </c>
      <c r="D718" s="36">
        <f t="shared" si="42"/>
        <v>3</v>
      </c>
      <c r="E718" s="36" t="str">
        <f t="shared" si="45"/>
        <v>Dia útil</v>
      </c>
      <c r="F718" s="36" t="str">
        <f t="shared" si="43"/>
        <v>Dia útil</v>
      </c>
      <c r="G718" s="36" t="str">
        <f t="shared" si="44"/>
        <v>Dia útil</v>
      </c>
    </row>
    <row r="719" spans="2:7" ht="12" customHeight="1">
      <c r="B719" s="43">
        <v>698</v>
      </c>
      <c r="C719" s="44">
        <v>45259</v>
      </c>
      <c r="D719" s="36">
        <f t="shared" si="42"/>
        <v>4</v>
      </c>
      <c r="E719" s="36" t="str">
        <f t="shared" si="45"/>
        <v>Dia útil</v>
      </c>
      <c r="F719" s="36" t="str">
        <f t="shared" si="43"/>
        <v>Dia útil</v>
      </c>
      <c r="G719" s="36" t="str">
        <f t="shared" si="44"/>
        <v>Dia útil</v>
      </c>
    </row>
    <row r="720" spans="2:7" ht="12" customHeight="1">
      <c r="B720" s="43">
        <v>699</v>
      </c>
      <c r="C720" s="44">
        <v>45260</v>
      </c>
      <c r="D720" s="36">
        <f t="shared" si="42"/>
        <v>5</v>
      </c>
      <c r="E720" s="36" t="str">
        <f t="shared" si="45"/>
        <v>Dia útil</v>
      </c>
      <c r="F720" s="36" t="str">
        <f t="shared" si="43"/>
        <v>Dia útil</v>
      </c>
      <c r="G720" s="36" t="str">
        <f t="shared" si="44"/>
        <v>Dia útil</v>
      </c>
    </row>
    <row r="721" spans="2:7" ht="12" customHeight="1">
      <c r="B721" s="43">
        <v>700</v>
      </c>
      <c r="C721" s="44">
        <v>45261</v>
      </c>
      <c r="D721" s="36">
        <f t="shared" si="42"/>
        <v>6</v>
      </c>
      <c r="E721" s="36" t="str">
        <f t="shared" si="45"/>
        <v>Dia útil</v>
      </c>
      <c r="F721" s="36" t="str">
        <f t="shared" si="43"/>
        <v>Dia útil</v>
      </c>
      <c r="G721" s="36" t="str">
        <f t="shared" si="44"/>
        <v>Dia útil</v>
      </c>
    </row>
    <row r="722" spans="2:7" ht="12" customHeight="1">
      <c r="B722" s="43">
        <v>701</v>
      </c>
      <c r="C722" s="44">
        <v>45262</v>
      </c>
      <c r="D722" s="36">
        <f t="shared" si="42"/>
        <v>7</v>
      </c>
      <c r="E722" s="36" t="str">
        <f t="shared" si="45"/>
        <v>Sáb</v>
      </c>
      <c r="F722" s="36" t="str">
        <f t="shared" si="43"/>
        <v>Sáb</v>
      </c>
      <c r="G722" s="36" t="str">
        <f t="shared" si="44"/>
        <v>Sáb</v>
      </c>
    </row>
    <row r="723" spans="2:7" ht="12" customHeight="1">
      <c r="B723" s="43">
        <v>702</v>
      </c>
      <c r="C723" s="44">
        <v>45263</v>
      </c>
      <c r="D723" s="36">
        <f t="shared" si="42"/>
        <v>1</v>
      </c>
      <c r="E723" s="36" t="str">
        <f t="shared" si="45"/>
        <v>Dom</v>
      </c>
      <c r="F723" s="36" t="str">
        <f t="shared" si="43"/>
        <v>Dom</v>
      </c>
      <c r="G723" s="36" t="str">
        <f t="shared" si="44"/>
        <v>Dom</v>
      </c>
    </row>
    <row r="724" spans="2:7" ht="12" customHeight="1">
      <c r="B724" s="43">
        <v>703</v>
      </c>
      <c r="C724" s="44">
        <v>45264</v>
      </c>
      <c r="D724" s="36">
        <f t="shared" si="42"/>
        <v>2</v>
      </c>
      <c r="E724" s="36" t="str">
        <f t="shared" si="45"/>
        <v>Dia útil</v>
      </c>
      <c r="F724" s="36" t="str">
        <f t="shared" si="43"/>
        <v>Dia útil</v>
      </c>
      <c r="G724" s="36" t="str">
        <f t="shared" si="44"/>
        <v>Dia útil</v>
      </c>
    </row>
    <row r="725" spans="2:7" ht="12" customHeight="1">
      <c r="B725" s="43">
        <v>704</v>
      </c>
      <c r="C725" s="44">
        <v>45265</v>
      </c>
      <c r="D725" s="36">
        <f t="shared" si="42"/>
        <v>3</v>
      </c>
      <c r="E725" s="36" t="str">
        <f t="shared" si="45"/>
        <v>Dia útil</v>
      </c>
      <c r="F725" s="36" t="str">
        <f t="shared" si="43"/>
        <v>Dia útil</v>
      </c>
      <c r="G725" s="36" t="str">
        <f t="shared" si="44"/>
        <v>Dia útil</v>
      </c>
    </row>
    <row r="726" spans="2:7" ht="12" customHeight="1">
      <c r="B726" s="43">
        <v>705</v>
      </c>
      <c r="C726" s="44">
        <v>45266</v>
      </c>
      <c r="D726" s="36">
        <f t="shared" si="42"/>
        <v>4</v>
      </c>
      <c r="E726" s="36" t="str">
        <f t="shared" si="45"/>
        <v>Dia útil</v>
      </c>
      <c r="F726" s="36" t="str">
        <f t="shared" si="43"/>
        <v>Dia útil</v>
      </c>
      <c r="G726" s="36" t="str">
        <f t="shared" si="44"/>
        <v>Dia útil</v>
      </c>
    </row>
    <row r="727" spans="2:7" ht="12" customHeight="1">
      <c r="B727" s="43">
        <v>706</v>
      </c>
      <c r="C727" s="44">
        <v>45267</v>
      </c>
      <c r="D727" s="36">
        <f t="shared" ref="D727:D790" si="46">WEEKDAY(C727,1)</f>
        <v>5</v>
      </c>
      <c r="E727" s="36" t="str">
        <f t="shared" si="45"/>
        <v>Dia útil</v>
      </c>
      <c r="F727" s="36" t="str">
        <f t="shared" ref="F727:F790" si="47">E727</f>
        <v>Dia útil</v>
      </c>
      <c r="G727" s="36" t="str">
        <f t="shared" ref="G727:G790" si="48">IF(AND(F727="Feriado",OR(E727="Sáb",E727="Dom")),E727,IF(AND(F727="Feriado",E727="Dia útil"),"Feriado",E727))</f>
        <v>Dia útil</v>
      </c>
    </row>
    <row r="728" spans="2:7" ht="12" customHeight="1">
      <c r="B728" s="43">
        <v>707</v>
      </c>
      <c r="C728" s="44">
        <v>45268</v>
      </c>
      <c r="D728" s="36">
        <f t="shared" si="46"/>
        <v>6</v>
      </c>
      <c r="E728" s="36" t="str">
        <f t="shared" si="45"/>
        <v>Dia útil</v>
      </c>
      <c r="F728" s="36" t="str">
        <f t="shared" si="47"/>
        <v>Dia útil</v>
      </c>
      <c r="G728" s="36" t="str">
        <f t="shared" si="48"/>
        <v>Dia útil</v>
      </c>
    </row>
    <row r="729" spans="2:7" ht="12" customHeight="1">
      <c r="B729" s="43">
        <v>708</v>
      </c>
      <c r="C729" s="44">
        <v>45269</v>
      </c>
      <c r="D729" s="36">
        <f t="shared" si="46"/>
        <v>7</v>
      </c>
      <c r="E729" s="36" t="str">
        <f t="shared" ref="E729:E792" si="49">IF(D729=1,"Dom",IF(D729=7,"Sáb","Dia útil"))</f>
        <v>Sáb</v>
      </c>
      <c r="F729" s="36" t="str">
        <f t="shared" si="47"/>
        <v>Sáb</v>
      </c>
      <c r="G729" s="36" t="str">
        <f t="shared" si="48"/>
        <v>Sáb</v>
      </c>
    </row>
    <row r="730" spans="2:7" ht="12" customHeight="1">
      <c r="B730" s="43">
        <v>709</v>
      </c>
      <c r="C730" s="44">
        <v>45270</v>
      </c>
      <c r="D730" s="36">
        <f t="shared" si="46"/>
        <v>1</v>
      </c>
      <c r="E730" s="36" t="str">
        <f t="shared" si="49"/>
        <v>Dom</v>
      </c>
      <c r="F730" s="36" t="str">
        <f t="shared" si="47"/>
        <v>Dom</v>
      </c>
      <c r="G730" s="36" t="str">
        <f t="shared" si="48"/>
        <v>Dom</v>
      </c>
    </row>
    <row r="731" spans="2:7" ht="12" customHeight="1">
      <c r="B731" s="43">
        <v>710</v>
      </c>
      <c r="C731" s="44">
        <v>45271</v>
      </c>
      <c r="D731" s="36">
        <f t="shared" si="46"/>
        <v>2</v>
      </c>
      <c r="E731" s="36" t="str">
        <f t="shared" si="49"/>
        <v>Dia útil</v>
      </c>
      <c r="F731" s="36" t="str">
        <f t="shared" si="47"/>
        <v>Dia útil</v>
      </c>
      <c r="G731" s="36" t="str">
        <f t="shared" si="48"/>
        <v>Dia útil</v>
      </c>
    </row>
    <row r="732" spans="2:7" ht="12" customHeight="1">
      <c r="B732" s="43">
        <v>711</v>
      </c>
      <c r="C732" s="44">
        <v>45272</v>
      </c>
      <c r="D732" s="36">
        <f t="shared" si="46"/>
        <v>3</v>
      </c>
      <c r="E732" s="36" t="str">
        <f t="shared" si="49"/>
        <v>Dia útil</v>
      </c>
      <c r="F732" s="36" t="str">
        <f t="shared" si="47"/>
        <v>Dia útil</v>
      </c>
      <c r="G732" s="36" t="str">
        <f t="shared" si="48"/>
        <v>Dia útil</v>
      </c>
    </row>
    <row r="733" spans="2:7" ht="12" customHeight="1">
      <c r="B733" s="43">
        <v>712</v>
      </c>
      <c r="C733" s="44">
        <v>45273</v>
      </c>
      <c r="D733" s="36">
        <f t="shared" si="46"/>
        <v>4</v>
      </c>
      <c r="E733" s="36" t="str">
        <f t="shared" si="49"/>
        <v>Dia útil</v>
      </c>
      <c r="F733" s="36" t="str">
        <f t="shared" si="47"/>
        <v>Dia útil</v>
      </c>
      <c r="G733" s="36" t="str">
        <f t="shared" si="48"/>
        <v>Dia útil</v>
      </c>
    </row>
    <row r="734" spans="2:7" ht="12" customHeight="1">
      <c r="B734" s="43">
        <v>713</v>
      </c>
      <c r="C734" s="44">
        <v>45274</v>
      </c>
      <c r="D734" s="36">
        <f t="shared" si="46"/>
        <v>5</v>
      </c>
      <c r="E734" s="36" t="str">
        <f t="shared" si="49"/>
        <v>Dia útil</v>
      </c>
      <c r="F734" s="36" t="str">
        <f t="shared" si="47"/>
        <v>Dia útil</v>
      </c>
      <c r="G734" s="36" t="str">
        <f t="shared" si="48"/>
        <v>Dia útil</v>
      </c>
    </row>
    <row r="735" spans="2:7" ht="12" customHeight="1">
      <c r="B735" s="43">
        <v>714</v>
      </c>
      <c r="C735" s="44">
        <v>45275</v>
      </c>
      <c r="D735" s="36">
        <f t="shared" si="46"/>
        <v>6</v>
      </c>
      <c r="E735" s="36" t="str">
        <f t="shared" si="49"/>
        <v>Dia útil</v>
      </c>
      <c r="F735" s="36" t="str">
        <f t="shared" si="47"/>
        <v>Dia útil</v>
      </c>
      <c r="G735" s="36" t="str">
        <f t="shared" si="48"/>
        <v>Dia útil</v>
      </c>
    </row>
    <row r="736" spans="2:7" ht="12" customHeight="1">
      <c r="B736" s="43">
        <v>715</v>
      </c>
      <c r="C736" s="44">
        <v>45276</v>
      </c>
      <c r="D736" s="36">
        <f t="shared" si="46"/>
        <v>7</v>
      </c>
      <c r="E736" s="36" t="str">
        <f t="shared" si="49"/>
        <v>Sáb</v>
      </c>
      <c r="F736" s="36" t="str">
        <f t="shared" si="47"/>
        <v>Sáb</v>
      </c>
      <c r="G736" s="36" t="str">
        <f t="shared" si="48"/>
        <v>Sáb</v>
      </c>
    </row>
    <row r="737" spans="2:7" ht="12" customHeight="1">
      <c r="B737" s="43">
        <v>716</v>
      </c>
      <c r="C737" s="44">
        <v>45277</v>
      </c>
      <c r="D737" s="36">
        <f t="shared" si="46"/>
        <v>1</v>
      </c>
      <c r="E737" s="36" t="str">
        <f t="shared" si="49"/>
        <v>Dom</v>
      </c>
      <c r="F737" s="36" t="str">
        <f t="shared" si="47"/>
        <v>Dom</v>
      </c>
      <c r="G737" s="36" t="str">
        <f t="shared" si="48"/>
        <v>Dom</v>
      </c>
    </row>
    <row r="738" spans="2:7" ht="12" customHeight="1">
      <c r="B738" s="43">
        <v>717</v>
      </c>
      <c r="C738" s="44">
        <v>45278</v>
      </c>
      <c r="D738" s="36">
        <f t="shared" si="46"/>
        <v>2</v>
      </c>
      <c r="E738" s="36" t="str">
        <f t="shared" si="49"/>
        <v>Dia útil</v>
      </c>
      <c r="F738" s="36" t="str">
        <f t="shared" si="47"/>
        <v>Dia útil</v>
      </c>
      <c r="G738" s="36" t="str">
        <f t="shared" si="48"/>
        <v>Dia útil</v>
      </c>
    </row>
    <row r="739" spans="2:7" ht="12" customHeight="1">
      <c r="B739" s="43">
        <v>718</v>
      </c>
      <c r="C739" s="44">
        <v>45279</v>
      </c>
      <c r="D739" s="36">
        <f t="shared" si="46"/>
        <v>3</v>
      </c>
      <c r="E739" s="36" t="str">
        <f t="shared" si="49"/>
        <v>Dia útil</v>
      </c>
      <c r="F739" s="36" t="str">
        <f t="shared" si="47"/>
        <v>Dia útil</v>
      </c>
      <c r="G739" s="36" t="str">
        <f t="shared" si="48"/>
        <v>Dia útil</v>
      </c>
    </row>
    <row r="740" spans="2:7" ht="12" customHeight="1">
      <c r="B740" s="43">
        <v>719</v>
      </c>
      <c r="C740" s="44">
        <v>45280</v>
      </c>
      <c r="D740" s="36">
        <f t="shared" si="46"/>
        <v>4</v>
      </c>
      <c r="E740" s="36" t="str">
        <f t="shared" si="49"/>
        <v>Dia útil</v>
      </c>
      <c r="F740" s="36" t="str">
        <f t="shared" si="47"/>
        <v>Dia útil</v>
      </c>
      <c r="G740" s="36" t="str">
        <f t="shared" si="48"/>
        <v>Dia útil</v>
      </c>
    </row>
    <row r="741" spans="2:7" ht="12" customHeight="1">
      <c r="B741" s="43">
        <v>720</v>
      </c>
      <c r="C741" s="44">
        <v>45281</v>
      </c>
      <c r="D741" s="36">
        <f t="shared" si="46"/>
        <v>5</v>
      </c>
      <c r="E741" s="36" t="str">
        <f t="shared" si="49"/>
        <v>Dia útil</v>
      </c>
      <c r="F741" s="36" t="str">
        <f t="shared" si="47"/>
        <v>Dia útil</v>
      </c>
      <c r="G741" s="36" t="str">
        <f t="shared" si="48"/>
        <v>Dia útil</v>
      </c>
    </row>
    <row r="742" spans="2:7" ht="12" customHeight="1">
      <c r="B742" s="43">
        <v>721</v>
      </c>
      <c r="C742" s="44">
        <v>45282</v>
      </c>
      <c r="D742" s="36">
        <f t="shared" si="46"/>
        <v>6</v>
      </c>
      <c r="E742" s="36" t="str">
        <f t="shared" si="49"/>
        <v>Dia útil</v>
      </c>
      <c r="F742" s="36" t="str">
        <f t="shared" si="47"/>
        <v>Dia útil</v>
      </c>
      <c r="G742" s="36" t="str">
        <f t="shared" si="48"/>
        <v>Dia útil</v>
      </c>
    </row>
    <row r="743" spans="2:7" ht="12" customHeight="1">
      <c r="B743" s="43">
        <v>722</v>
      </c>
      <c r="C743" s="44">
        <v>45283</v>
      </c>
      <c r="D743" s="36">
        <f t="shared" si="46"/>
        <v>7</v>
      </c>
      <c r="E743" s="36" t="str">
        <f t="shared" si="49"/>
        <v>Sáb</v>
      </c>
      <c r="F743" s="36" t="str">
        <f t="shared" si="47"/>
        <v>Sáb</v>
      </c>
      <c r="G743" s="36" t="str">
        <f t="shared" si="48"/>
        <v>Sáb</v>
      </c>
    </row>
    <row r="744" spans="2:7" ht="12" customHeight="1">
      <c r="B744" s="43">
        <v>723</v>
      </c>
      <c r="C744" s="44">
        <v>45284</v>
      </c>
      <c r="D744" s="36">
        <f t="shared" si="46"/>
        <v>1</v>
      </c>
      <c r="E744" s="36" t="str">
        <f t="shared" si="49"/>
        <v>Dom</v>
      </c>
      <c r="F744" s="36" t="str">
        <f t="shared" si="47"/>
        <v>Dom</v>
      </c>
      <c r="G744" s="36" t="str">
        <f t="shared" si="48"/>
        <v>Dom</v>
      </c>
    </row>
    <row r="745" spans="2:7" ht="12" customHeight="1">
      <c r="B745" s="43">
        <v>724</v>
      </c>
      <c r="C745" s="44">
        <v>45285</v>
      </c>
      <c r="D745" s="36">
        <f t="shared" si="46"/>
        <v>2</v>
      </c>
      <c r="E745" s="36" t="str">
        <f t="shared" si="49"/>
        <v>Dia útil</v>
      </c>
      <c r="F745" s="46" t="s">
        <v>1725</v>
      </c>
      <c r="G745" s="36" t="str">
        <f t="shared" si="48"/>
        <v>Feriado</v>
      </c>
    </row>
    <row r="746" spans="2:7" ht="12" customHeight="1">
      <c r="B746" s="43">
        <v>725</v>
      </c>
      <c r="C746" s="44">
        <v>45286</v>
      </c>
      <c r="D746" s="36">
        <f t="shared" si="46"/>
        <v>3</v>
      </c>
      <c r="E746" s="36" t="str">
        <f t="shared" si="49"/>
        <v>Dia útil</v>
      </c>
      <c r="F746" s="36" t="str">
        <f t="shared" si="47"/>
        <v>Dia útil</v>
      </c>
      <c r="G746" s="36" t="str">
        <f t="shared" si="48"/>
        <v>Dia útil</v>
      </c>
    </row>
    <row r="747" spans="2:7" ht="12" customHeight="1">
      <c r="B747" s="43">
        <v>726</v>
      </c>
      <c r="C747" s="44">
        <v>45287</v>
      </c>
      <c r="D747" s="36">
        <f t="shared" si="46"/>
        <v>4</v>
      </c>
      <c r="E747" s="36" t="str">
        <f t="shared" si="49"/>
        <v>Dia útil</v>
      </c>
      <c r="F747" s="36" t="str">
        <f t="shared" si="47"/>
        <v>Dia útil</v>
      </c>
      <c r="G747" s="36" t="str">
        <f t="shared" si="48"/>
        <v>Dia útil</v>
      </c>
    </row>
    <row r="748" spans="2:7" ht="12" customHeight="1">
      <c r="B748" s="43">
        <v>727</v>
      </c>
      <c r="C748" s="44">
        <v>45288</v>
      </c>
      <c r="D748" s="36">
        <f t="shared" si="46"/>
        <v>5</v>
      </c>
      <c r="E748" s="36" t="str">
        <f t="shared" si="49"/>
        <v>Dia útil</v>
      </c>
      <c r="F748" s="36" t="str">
        <f t="shared" si="47"/>
        <v>Dia útil</v>
      </c>
      <c r="G748" s="36" t="str">
        <f t="shared" si="48"/>
        <v>Dia útil</v>
      </c>
    </row>
    <row r="749" spans="2:7" ht="12" customHeight="1">
      <c r="B749" s="43">
        <v>728</v>
      </c>
      <c r="C749" s="44">
        <v>45289</v>
      </c>
      <c r="D749" s="36">
        <f t="shared" si="46"/>
        <v>6</v>
      </c>
      <c r="E749" s="36" t="str">
        <f t="shared" si="49"/>
        <v>Dia útil</v>
      </c>
      <c r="F749" s="36" t="str">
        <f t="shared" si="47"/>
        <v>Dia útil</v>
      </c>
      <c r="G749" s="36" t="str">
        <f t="shared" si="48"/>
        <v>Dia útil</v>
      </c>
    </row>
    <row r="750" spans="2:7" ht="12" customHeight="1">
      <c r="B750" s="43">
        <v>729</v>
      </c>
      <c r="C750" s="44">
        <v>45290</v>
      </c>
      <c r="D750" s="36">
        <f t="shared" si="46"/>
        <v>7</v>
      </c>
      <c r="E750" s="36" t="str">
        <f t="shared" si="49"/>
        <v>Sáb</v>
      </c>
      <c r="F750" s="36" t="str">
        <f t="shared" si="47"/>
        <v>Sáb</v>
      </c>
      <c r="G750" s="36" t="str">
        <f t="shared" si="48"/>
        <v>Sáb</v>
      </c>
    </row>
    <row r="751" spans="2:7" ht="12" customHeight="1">
      <c r="B751" s="43">
        <v>730</v>
      </c>
      <c r="C751" s="44">
        <v>45291</v>
      </c>
      <c r="D751" s="36">
        <f t="shared" si="46"/>
        <v>1</v>
      </c>
      <c r="E751" s="36" t="str">
        <f t="shared" si="49"/>
        <v>Dom</v>
      </c>
      <c r="F751" s="36" t="str">
        <f t="shared" si="47"/>
        <v>Dom</v>
      </c>
      <c r="G751" s="36" t="str">
        <f t="shared" si="48"/>
        <v>Dom</v>
      </c>
    </row>
    <row r="752" spans="2:7" ht="12" customHeight="1">
      <c r="B752" s="43">
        <v>731</v>
      </c>
      <c r="C752" s="44">
        <v>45292</v>
      </c>
      <c r="D752" s="36">
        <f t="shared" si="46"/>
        <v>2</v>
      </c>
      <c r="E752" s="36" t="str">
        <f t="shared" si="49"/>
        <v>Dia útil</v>
      </c>
      <c r="F752" s="36" t="str">
        <f t="shared" si="47"/>
        <v>Dia útil</v>
      </c>
      <c r="G752" s="36" t="str">
        <f t="shared" si="48"/>
        <v>Dia útil</v>
      </c>
    </row>
    <row r="753" spans="2:7" ht="12" customHeight="1">
      <c r="B753" s="43">
        <v>732</v>
      </c>
      <c r="C753" s="44">
        <v>45293</v>
      </c>
      <c r="D753" s="36">
        <f t="shared" si="46"/>
        <v>3</v>
      </c>
      <c r="E753" s="36" t="str">
        <f t="shared" si="49"/>
        <v>Dia útil</v>
      </c>
      <c r="F753" s="36" t="str">
        <f t="shared" si="47"/>
        <v>Dia útil</v>
      </c>
      <c r="G753" s="36" t="str">
        <f t="shared" si="48"/>
        <v>Dia útil</v>
      </c>
    </row>
    <row r="754" spans="2:7" ht="12" customHeight="1">
      <c r="B754" s="43">
        <v>733</v>
      </c>
      <c r="C754" s="44">
        <v>45294</v>
      </c>
      <c r="D754" s="36">
        <f t="shared" si="46"/>
        <v>4</v>
      </c>
      <c r="E754" s="36" t="str">
        <f t="shared" si="49"/>
        <v>Dia útil</v>
      </c>
      <c r="F754" s="36" t="str">
        <f t="shared" si="47"/>
        <v>Dia útil</v>
      </c>
      <c r="G754" s="36" t="str">
        <f t="shared" si="48"/>
        <v>Dia útil</v>
      </c>
    </row>
    <row r="755" spans="2:7" ht="12" customHeight="1">
      <c r="B755" s="43">
        <v>734</v>
      </c>
      <c r="C755" s="44">
        <v>45295</v>
      </c>
      <c r="D755" s="36">
        <f t="shared" si="46"/>
        <v>5</v>
      </c>
      <c r="E755" s="36" t="str">
        <f t="shared" si="49"/>
        <v>Dia útil</v>
      </c>
      <c r="F755" s="36" t="str">
        <f t="shared" si="47"/>
        <v>Dia útil</v>
      </c>
      <c r="G755" s="36" t="str">
        <f t="shared" si="48"/>
        <v>Dia útil</v>
      </c>
    </row>
    <row r="756" spans="2:7" ht="12" customHeight="1">
      <c r="B756" s="43">
        <v>735</v>
      </c>
      <c r="C756" s="44">
        <v>45296</v>
      </c>
      <c r="D756" s="36">
        <f t="shared" si="46"/>
        <v>6</v>
      </c>
      <c r="E756" s="36" t="str">
        <f t="shared" si="49"/>
        <v>Dia útil</v>
      </c>
      <c r="F756" s="36" t="str">
        <f t="shared" si="47"/>
        <v>Dia útil</v>
      </c>
      <c r="G756" s="36" t="str">
        <f t="shared" si="48"/>
        <v>Dia útil</v>
      </c>
    </row>
    <row r="757" spans="2:7" ht="12" customHeight="1">
      <c r="B757" s="43">
        <v>736</v>
      </c>
      <c r="C757" s="44">
        <v>45297</v>
      </c>
      <c r="D757" s="36">
        <f t="shared" si="46"/>
        <v>7</v>
      </c>
      <c r="E757" s="36" t="str">
        <f t="shared" si="49"/>
        <v>Sáb</v>
      </c>
      <c r="F757" s="36" t="str">
        <f t="shared" si="47"/>
        <v>Sáb</v>
      </c>
      <c r="G757" s="36" t="str">
        <f t="shared" si="48"/>
        <v>Sáb</v>
      </c>
    </row>
    <row r="758" spans="2:7" ht="12" customHeight="1">
      <c r="B758" s="43">
        <v>737</v>
      </c>
      <c r="C758" s="44">
        <v>45298</v>
      </c>
      <c r="D758" s="36">
        <f t="shared" si="46"/>
        <v>1</v>
      </c>
      <c r="E758" s="36" t="str">
        <f t="shared" si="49"/>
        <v>Dom</v>
      </c>
      <c r="F758" s="36" t="str">
        <f t="shared" si="47"/>
        <v>Dom</v>
      </c>
      <c r="G758" s="36" t="str">
        <f t="shared" si="48"/>
        <v>Dom</v>
      </c>
    </row>
    <row r="759" spans="2:7" ht="12" customHeight="1">
      <c r="B759" s="43">
        <v>738</v>
      </c>
      <c r="C759" s="44">
        <v>45299</v>
      </c>
      <c r="D759" s="36">
        <f t="shared" si="46"/>
        <v>2</v>
      </c>
      <c r="E759" s="36" t="str">
        <f t="shared" si="49"/>
        <v>Dia útil</v>
      </c>
      <c r="F759" s="36" t="str">
        <f t="shared" si="47"/>
        <v>Dia útil</v>
      </c>
      <c r="G759" s="36" t="str">
        <f t="shared" si="48"/>
        <v>Dia útil</v>
      </c>
    </row>
    <row r="760" spans="2:7" ht="12" customHeight="1">
      <c r="B760" s="43">
        <v>739</v>
      </c>
      <c r="C760" s="44">
        <v>45300</v>
      </c>
      <c r="D760" s="36">
        <f t="shared" si="46"/>
        <v>3</v>
      </c>
      <c r="E760" s="36" t="str">
        <f t="shared" si="49"/>
        <v>Dia útil</v>
      </c>
      <c r="F760" s="36" t="str">
        <f t="shared" si="47"/>
        <v>Dia útil</v>
      </c>
      <c r="G760" s="36" t="str">
        <f t="shared" si="48"/>
        <v>Dia útil</v>
      </c>
    </row>
    <row r="761" spans="2:7" ht="12" customHeight="1">
      <c r="B761" s="43">
        <v>740</v>
      </c>
      <c r="C761" s="44">
        <v>45301</v>
      </c>
      <c r="D761" s="36">
        <f t="shared" si="46"/>
        <v>4</v>
      </c>
      <c r="E761" s="36" t="str">
        <f t="shared" si="49"/>
        <v>Dia útil</v>
      </c>
      <c r="F761" s="36" t="str">
        <f t="shared" si="47"/>
        <v>Dia útil</v>
      </c>
      <c r="G761" s="36" t="str">
        <f t="shared" si="48"/>
        <v>Dia útil</v>
      </c>
    </row>
    <row r="762" spans="2:7" ht="12" customHeight="1">
      <c r="B762" s="43">
        <v>741</v>
      </c>
      <c r="C762" s="44">
        <v>45302</v>
      </c>
      <c r="D762" s="36">
        <f t="shared" si="46"/>
        <v>5</v>
      </c>
      <c r="E762" s="36" t="str">
        <f t="shared" si="49"/>
        <v>Dia útil</v>
      </c>
      <c r="F762" s="36" t="str">
        <f t="shared" si="47"/>
        <v>Dia útil</v>
      </c>
      <c r="G762" s="36" t="str">
        <f t="shared" si="48"/>
        <v>Dia útil</v>
      </c>
    </row>
    <row r="763" spans="2:7" ht="12" customHeight="1">
      <c r="B763" s="43">
        <v>742</v>
      </c>
      <c r="C763" s="44">
        <v>45303</v>
      </c>
      <c r="D763" s="36">
        <f t="shared" si="46"/>
        <v>6</v>
      </c>
      <c r="E763" s="36" t="str">
        <f t="shared" si="49"/>
        <v>Dia útil</v>
      </c>
      <c r="F763" s="36" t="str">
        <f t="shared" si="47"/>
        <v>Dia útil</v>
      </c>
      <c r="G763" s="36" t="str">
        <f t="shared" si="48"/>
        <v>Dia útil</v>
      </c>
    </row>
    <row r="764" spans="2:7" ht="12" customHeight="1">
      <c r="B764" s="43">
        <v>743</v>
      </c>
      <c r="C764" s="44">
        <v>45304</v>
      </c>
      <c r="D764" s="36">
        <f t="shared" si="46"/>
        <v>7</v>
      </c>
      <c r="E764" s="36" t="str">
        <f t="shared" si="49"/>
        <v>Sáb</v>
      </c>
      <c r="F764" s="36" t="str">
        <f t="shared" si="47"/>
        <v>Sáb</v>
      </c>
      <c r="G764" s="36" t="str">
        <f t="shared" si="48"/>
        <v>Sáb</v>
      </c>
    </row>
    <row r="765" spans="2:7" ht="12" customHeight="1">
      <c r="B765" s="43">
        <v>744</v>
      </c>
      <c r="C765" s="44">
        <v>45305</v>
      </c>
      <c r="D765" s="36">
        <f t="shared" si="46"/>
        <v>1</v>
      </c>
      <c r="E765" s="36" t="str">
        <f t="shared" si="49"/>
        <v>Dom</v>
      </c>
      <c r="F765" s="36" t="str">
        <f t="shared" si="47"/>
        <v>Dom</v>
      </c>
      <c r="G765" s="36" t="str">
        <f t="shared" si="48"/>
        <v>Dom</v>
      </c>
    </row>
    <row r="766" spans="2:7" ht="12" customHeight="1">
      <c r="B766" s="43">
        <v>745</v>
      </c>
      <c r="C766" s="44">
        <v>45306</v>
      </c>
      <c r="D766" s="36">
        <f t="shared" si="46"/>
        <v>2</v>
      </c>
      <c r="E766" s="36" t="str">
        <f t="shared" si="49"/>
        <v>Dia útil</v>
      </c>
      <c r="F766" s="36" t="str">
        <f t="shared" si="47"/>
        <v>Dia útil</v>
      </c>
      <c r="G766" s="36" t="str">
        <f t="shared" si="48"/>
        <v>Dia útil</v>
      </c>
    </row>
    <row r="767" spans="2:7" ht="12" customHeight="1">
      <c r="B767" s="43">
        <v>746</v>
      </c>
      <c r="C767" s="44">
        <v>45307</v>
      </c>
      <c r="D767" s="36">
        <f t="shared" si="46"/>
        <v>3</v>
      </c>
      <c r="E767" s="36" t="str">
        <f t="shared" si="49"/>
        <v>Dia útil</v>
      </c>
      <c r="F767" s="36" t="str">
        <f t="shared" si="47"/>
        <v>Dia útil</v>
      </c>
      <c r="G767" s="36" t="str">
        <f t="shared" si="48"/>
        <v>Dia útil</v>
      </c>
    </row>
    <row r="768" spans="2:7" ht="12" customHeight="1">
      <c r="B768" s="43">
        <v>747</v>
      </c>
      <c r="C768" s="44">
        <v>45308</v>
      </c>
      <c r="D768" s="36">
        <f t="shared" si="46"/>
        <v>4</v>
      </c>
      <c r="E768" s="36" t="str">
        <f t="shared" si="49"/>
        <v>Dia útil</v>
      </c>
      <c r="F768" s="36" t="str">
        <f t="shared" si="47"/>
        <v>Dia útil</v>
      </c>
      <c r="G768" s="36" t="str">
        <f t="shared" si="48"/>
        <v>Dia útil</v>
      </c>
    </row>
    <row r="769" spans="2:7" ht="12" customHeight="1">
      <c r="B769" s="43">
        <v>748</v>
      </c>
      <c r="C769" s="44">
        <v>45309</v>
      </c>
      <c r="D769" s="36">
        <f t="shared" si="46"/>
        <v>5</v>
      </c>
      <c r="E769" s="36" t="str">
        <f t="shared" si="49"/>
        <v>Dia útil</v>
      </c>
      <c r="F769" s="36" t="str">
        <f t="shared" si="47"/>
        <v>Dia útil</v>
      </c>
      <c r="G769" s="36" t="str">
        <f t="shared" si="48"/>
        <v>Dia útil</v>
      </c>
    </row>
    <row r="770" spans="2:7" ht="12" customHeight="1">
      <c r="B770" s="43">
        <v>749</v>
      </c>
      <c r="C770" s="44">
        <v>45310</v>
      </c>
      <c r="D770" s="36">
        <f t="shared" si="46"/>
        <v>6</v>
      </c>
      <c r="E770" s="36" t="str">
        <f t="shared" si="49"/>
        <v>Dia útil</v>
      </c>
      <c r="F770" s="36" t="str">
        <f t="shared" si="47"/>
        <v>Dia útil</v>
      </c>
      <c r="G770" s="36" t="str">
        <f t="shared" si="48"/>
        <v>Dia útil</v>
      </c>
    </row>
    <row r="771" spans="2:7" ht="12" customHeight="1">
      <c r="B771" s="43">
        <v>750</v>
      </c>
      <c r="C771" s="44">
        <v>45311</v>
      </c>
      <c r="D771" s="36">
        <f t="shared" si="46"/>
        <v>7</v>
      </c>
      <c r="E771" s="36" t="str">
        <f t="shared" si="49"/>
        <v>Sáb</v>
      </c>
      <c r="F771" s="36" t="str">
        <f t="shared" si="47"/>
        <v>Sáb</v>
      </c>
      <c r="G771" s="36" t="str">
        <f t="shared" si="48"/>
        <v>Sáb</v>
      </c>
    </row>
    <row r="772" spans="2:7" ht="12" customHeight="1">
      <c r="B772" s="43">
        <v>751</v>
      </c>
      <c r="C772" s="44">
        <v>45312</v>
      </c>
      <c r="D772" s="36">
        <f t="shared" si="46"/>
        <v>1</v>
      </c>
      <c r="E772" s="36" t="str">
        <f t="shared" si="49"/>
        <v>Dom</v>
      </c>
      <c r="F772" s="36" t="str">
        <f t="shared" si="47"/>
        <v>Dom</v>
      </c>
      <c r="G772" s="36" t="str">
        <f t="shared" si="48"/>
        <v>Dom</v>
      </c>
    </row>
    <row r="773" spans="2:7" ht="12" customHeight="1">
      <c r="B773" s="43">
        <v>752</v>
      </c>
      <c r="C773" s="44">
        <v>45313</v>
      </c>
      <c r="D773" s="36">
        <f t="shared" si="46"/>
        <v>2</v>
      </c>
      <c r="E773" s="36" t="str">
        <f t="shared" si="49"/>
        <v>Dia útil</v>
      </c>
      <c r="F773" s="36" t="str">
        <f t="shared" si="47"/>
        <v>Dia útil</v>
      </c>
      <c r="G773" s="36" t="str">
        <f t="shared" si="48"/>
        <v>Dia útil</v>
      </c>
    </row>
    <row r="774" spans="2:7" ht="12" customHeight="1">
      <c r="B774" s="43">
        <v>753</v>
      </c>
      <c r="C774" s="44">
        <v>45314</v>
      </c>
      <c r="D774" s="36">
        <f t="shared" si="46"/>
        <v>3</v>
      </c>
      <c r="E774" s="36" t="str">
        <f t="shared" si="49"/>
        <v>Dia útil</v>
      </c>
      <c r="F774" s="36" t="str">
        <f t="shared" si="47"/>
        <v>Dia útil</v>
      </c>
      <c r="G774" s="36" t="str">
        <f t="shared" si="48"/>
        <v>Dia útil</v>
      </c>
    </row>
    <row r="775" spans="2:7" ht="12" customHeight="1">
      <c r="B775" s="43">
        <v>754</v>
      </c>
      <c r="C775" s="44">
        <v>45315</v>
      </c>
      <c r="D775" s="36">
        <f t="shared" si="46"/>
        <v>4</v>
      </c>
      <c r="E775" s="36" t="str">
        <f t="shared" si="49"/>
        <v>Dia útil</v>
      </c>
      <c r="F775" s="36" t="str">
        <f t="shared" si="47"/>
        <v>Dia útil</v>
      </c>
      <c r="G775" s="36" t="str">
        <f t="shared" si="48"/>
        <v>Dia útil</v>
      </c>
    </row>
    <row r="776" spans="2:7" ht="12" customHeight="1">
      <c r="B776" s="43">
        <v>755</v>
      </c>
      <c r="C776" s="44">
        <v>45316</v>
      </c>
      <c r="D776" s="36">
        <f t="shared" si="46"/>
        <v>5</v>
      </c>
      <c r="E776" s="36" t="str">
        <f t="shared" si="49"/>
        <v>Dia útil</v>
      </c>
      <c r="F776" s="36" t="str">
        <f t="shared" si="47"/>
        <v>Dia útil</v>
      </c>
      <c r="G776" s="36" t="str">
        <f t="shared" si="48"/>
        <v>Dia útil</v>
      </c>
    </row>
    <row r="777" spans="2:7" ht="12" customHeight="1">
      <c r="B777" s="43">
        <v>756</v>
      </c>
      <c r="C777" s="44">
        <v>45317</v>
      </c>
      <c r="D777" s="36">
        <f t="shared" si="46"/>
        <v>6</v>
      </c>
      <c r="E777" s="36" t="str">
        <f t="shared" si="49"/>
        <v>Dia útil</v>
      </c>
      <c r="F777" s="36" t="str">
        <f t="shared" si="47"/>
        <v>Dia útil</v>
      </c>
      <c r="G777" s="36" t="str">
        <f t="shared" si="48"/>
        <v>Dia útil</v>
      </c>
    </row>
    <row r="778" spans="2:7" ht="12" customHeight="1">
      <c r="B778" s="43">
        <v>757</v>
      </c>
      <c r="C778" s="44">
        <v>45318</v>
      </c>
      <c r="D778" s="36">
        <f t="shared" si="46"/>
        <v>7</v>
      </c>
      <c r="E778" s="36" t="str">
        <f t="shared" si="49"/>
        <v>Sáb</v>
      </c>
      <c r="F778" s="36" t="str">
        <f t="shared" si="47"/>
        <v>Sáb</v>
      </c>
      <c r="G778" s="36" t="str">
        <f t="shared" si="48"/>
        <v>Sáb</v>
      </c>
    </row>
    <row r="779" spans="2:7" ht="12" customHeight="1">
      <c r="B779" s="43">
        <v>758</v>
      </c>
      <c r="C779" s="44">
        <v>45319</v>
      </c>
      <c r="D779" s="36">
        <f t="shared" si="46"/>
        <v>1</v>
      </c>
      <c r="E779" s="36" t="str">
        <f t="shared" si="49"/>
        <v>Dom</v>
      </c>
      <c r="F779" s="36" t="str">
        <f t="shared" si="47"/>
        <v>Dom</v>
      </c>
      <c r="G779" s="36" t="str">
        <f t="shared" si="48"/>
        <v>Dom</v>
      </c>
    </row>
    <row r="780" spans="2:7" ht="12" customHeight="1">
      <c r="B780" s="43">
        <v>759</v>
      </c>
      <c r="C780" s="44">
        <v>45320</v>
      </c>
      <c r="D780" s="36">
        <f t="shared" si="46"/>
        <v>2</v>
      </c>
      <c r="E780" s="36" t="str">
        <f t="shared" si="49"/>
        <v>Dia útil</v>
      </c>
      <c r="F780" s="36" t="str">
        <f t="shared" si="47"/>
        <v>Dia útil</v>
      </c>
      <c r="G780" s="36" t="str">
        <f t="shared" si="48"/>
        <v>Dia útil</v>
      </c>
    </row>
    <row r="781" spans="2:7" ht="12" customHeight="1">
      <c r="B781" s="43">
        <v>760</v>
      </c>
      <c r="C781" s="44">
        <v>45321</v>
      </c>
      <c r="D781" s="36">
        <f t="shared" si="46"/>
        <v>3</v>
      </c>
      <c r="E781" s="36" t="str">
        <f t="shared" si="49"/>
        <v>Dia útil</v>
      </c>
      <c r="F781" s="36" t="str">
        <f t="shared" si="47"/>
        <v>Dia útil</v>
      </c>
      <c r="G781" s="36" t="str">
        <f t="shared" si="48"/>
        <v>Dia útil</v>
      </c>
    </row>
    <row r="782" spans="2:7" ht="12" customHeight="1">
      <c r="B782" s="43">
        <v>761</v>
      </c>
      <c r="C782" s="44">
        <v>45322</v>
      </c>
      <c r="D782" s="36">
        <f t="shared" si="46"/>
        <v>4</v>
      </c>
      <c r="E782" s="36" t="str">
        <f t="shared" si="49"/>
        <v>Dia útil</v>
      </c>
      <c r="F782" s="36" t="str">
        <f t="shared" si="47"/>
        <v>Dia útil</v>
      </c>
      <c r="G782" s="36" t="str">
        <f t="shared" si="48"/>
        <v>Dia útil</v>
      </c>
    </row>
    <row r="783" spans="2:7" ht="12" customHeight="1">
      <c r="B783" s="43">
        <v>762</v>
      </c>
      <c r="C783" s="44">
        <v>45323</v>
      </c>
      <c r="D783" s="36">
        <f t="shared" si="46"/>
        <v>5</v>
      </c>
      <c r="E783" s="36" t="str">
        <f t="shared" si="49"/>
        <v>Dia útil</v>
      </c>
      <c r="F783" s="36" t="str">
        <f t="shared" si="47"/>
        <v>Dia útil</v>
      </c>
      <c r="G783" s="36" t="str">
        <f t="shared" si="48"/>
        <v>Dia útil</v>
      </c>
    </row>
    <row r="784" spans="2:7" ht="12" customHeight="1">
      <c r="B784" s="43">
        <v>763</v>
      </c>
      <c r="C784" s="44">
        <v>45324</v>
      </c>
      <c r="D784" s="36">
        <f t="shared" si="46"/>
        <v>6</v>
      </c>
      <c r="E784" s="36" t="str">
        <f t="shared" si="49"/>
        <v>Dia útil</v>
      </c>
      <c r="F784" s="36" t="str">
        <f t="shared" si="47"/>
        <v>Dia útil</v>
      </c>
      <c r="G784" s="36" t="str">
        <f t="shared" si="48"/>
        <v>Dia útil</v>
      </c>
    </row>
    <row r="785" spans="2:7" ht="12" customHeight="1">
      <c r="B785" s="43">
        <v>764</v>
      </c>
      <c r="C785" s="44">
        <v>45325</v>
      </c>
      <c r="D785" s="36">
        <f t="shared" si="46"/>
        <v>7</v>
      </c>
      <c r="E785" s="36" t="str">
        <f t="shared" si="49"/>
        <v>Sáb</v>
      </c>
      <c r="F785" s="36" t="str">
        <f t="shared" si="47"/>
        <v>Sáb</v>
      </c>
      <c r="G785" s="36" t="str">
        <f t="shared" si="48"/>
        <v>Sáb</v>
      </c>
    </row>
    <row r="786" spans="2:7" ht="12" customHeight="1">
      <c r="B786" s="43">
        <v>765</v>
      </c>
      <c r="C786" s="44">
        <v>45326</v>
      </c>
      <c r="D786" s="36">
        <f t="shared" si="46"/>
        <v>1</v>
      </c>
      <c r="E786" s="36" t="str">
        <f t="shared" si="49"/>
        <v>Dom</v>
      </c>
      <c r="F786" s="36" t="str">
        <f t="shared" si="47"/>
        <v>Dom</v>
      </c>
      <c r="G786" s="36" t="str">
        <f t="shared" si="48"/>
        <v>Dom</v>
      </c>
    </row>
    <row r="787" spans="2:7" ht="12" customHeight="1">
      <c r="B787" s="43">
        <v>766</v>
      </c>
      <c r="C787" s="44">
        <v>45327</v>
      </c>
      <c r="D787" s="36">
        <f t="shared" si="46"/>
        <v>2</v>
      </c>
      <c r="E787" s="36" t="str">
        <f t="shared" si="49"/>
        <v>Dia útil</v>
      </c>
      <c r="F787" s="36" t="str">
        <f t="shared" si="47"/>
        <v>Dia útil</v>
      </c>
      <c r="G787" s="36" t="str">
        <f t="shared" si="48"/>
        <v>Dia útil</v>
      </c>
    </row>
    <row r="788" spans="2:7" ht="12" customHeight="1">
      <c r="B788" s="43">
        <v>767</v>
      </c>
      <c r="C788" s="44">
        <v>45328</v>
      </c>
      <c r="D788" s="36">
        <f t="shared" si="46"/>
        <v>3</v>
      </c>
      <c r="E788" s="36" t="str">
        <f t="shared" si="49"/>
        <v>Dia útil</v>
      </c>
      <c r="F788" s="36" t="str">
        <f t="shared" si="47"/>
        <v>Dia útil</v>
      </c>
      <c r="G788" s="36" t="str">
        <f t="shared" si="48"/>
        <v>Dia útil</v>
      </c>
    </row>
    <row r="789" spans="2:7" ht="12" customHeight="1">
      <c r="B789" s="43">
        <v>768</v>
      </c>
      <c r="C789" s="44">
        <v>45329</v>
      </c>
      <c r="D789" s="36">
        <f t="shared" si="46"/>
        <v>4</v>
      </c>
      <c r="E789" s="36" t="str">
        <f t="shared" si="49"/>
        <v>Dia útil</v>
      </c>
      <c r="F789" s="36" t="str">
        <f t="shared" si="47"/>
        <v>Dia útil</v>
      </c>
      <c r="G789" s="36" t="str">
        <f t="shared" si="48"/>
        <v>Dia útil</v>
      </c>
    </row>
    <row r="790" spans="2:7" ht="12" customHeight="1">
      <c r="B790" s="43">
        <v>769</v>
      </c>
      <c r="C790" s="44">
        <v>45330</v>
      </c>
      <c r="D790" s="36">
        <f t="shared" si="46"/>
        <v>5</v>
      </c>
      <c r="E790" s="36" t="str">
        <f t="shared" si="49"/>
        <v>Dia útil</v>
      </c>
      <c r="F790" s="36" t="str">
        <f t="shared" si="47"/>
        <v>Dia útil</v>
      </c>
      <c r="G790" s="36" t="str">
        <f t="shared" si="48"/>
        <v>Dia útil</v>
      </c>
    </row>
    <row r="791" spans="2:7" ht="12" customHeight="1">
      <c r="B791" s="43">
        <v>770</v>
      </c>
      <c r="C791" s="44">
        <v>45331</v>
      </c>
      <c r="D791" s="36">
        <f t="shared" ref="D791:D854" si="50">WEEKDAY(C791,1)</f>
        <v>6</v>
      </c>
      <c r="E791" s="36" t="str">
        <f t="shared" si="49"/>
        <v>Dia útil</v>
      </c>
      <c r="F791" s="36" t="str">
        <f t="shared" ref="F791:F854" si="51">E791</f>
        <v>Dia útil</v>
      </c>
      <c r="G791" s="36" t="str">
        <f t="shared" ref="G791:G854" si="52">IF(AND(F791="Feriado",OR(E791="Sáb",E791="Dom")),E791,IF(AND(F791="Feriado",E791="Dia útil"),"Feriado",E791))</f>
        <v>Dia útil</v>
      </c>
    </row>
    <row r="792" spans="2:7" ht="12" customHeight="1">
      <c r="B792" s="43">
        <v>771</v>
      </c>
      <c r="C792" s="44">
        <v>45332</v>
      </c>
      <c r="D792" s="36">
        <f t="shared" si="50"/>
        <v>7</v>
      </c>
      <c r="E792" s="36" t="str">
        <f t="shared" si="49"/>
        <v>Sáb</v>
      </c>
      <c r="F792" s="36" t="str">
        <f t="shared" si="51"/>
        <v>Sáb</v>
      </c>
      <c r="G792" s="36" t="str">
        <f t="shared" si="52"/>
        <v>Sáb</v>
      </c>
    </row>
    <row r="793" spans="2:7" ht="12" customHeight="1">
      <c r="B793" s="43">
        <v>772</v>
      </c>
      <c r="C793" s="44">
        <v>45333</v>
      </c>
      <c r="D793" s="36">
        <f t="shared" si="50"/>
        <v>1</v>
      </c>
      <c r="E793" s="36" t="str">
        <f t="shared" ref="E793:E856" si="53">IF(D793=1,"Dom",IF(D793=7,"Sáb","Dia útil"))</f>
        <v>Dom</v>
      </c>
      <c r="F793" s="36" t="str">
        <f t="shared" si="51"/>
        <v>Dom</v>
      </c>
      <c r="G793" s="36" t="str">
        <f t="shared" si="52"/>
        <v>Dom</v>
      </c>
    </row>
    <row r="794" spans="2:7" ht="12" customHeight="1">
      <c r="B794" s="43">
        <v>773</v>
      </c>
      <c r="C794" s="44">
        <v>45334</v>
      </c>
      <c r="D794" s="36">
        <f t="shared" si="50"/>
        <v>2</v>
      </c>
      <c r="E794" s="36" t="str">
        <f t="shared" si="53"/>
        <v>Dia útil</v>
      </c>
      <c r="F794" s="36" t="str">
        <f t="shared" si="51"/>
        <v>Dia útil</v>
      </c>
      <c r="G794" s="36" t="str">
        <f t="shared" si="52"/>
        <v>Dia útil</v>
      </c>
    </row>
    <row r="795" spans="2:7" ht="12" customHeight="1">
      <c r="B795" s="43">
        <v>774</v>
      </c>
      <c r="C795" s="44">
        <v>45335</v>
      </c>
      <c r="D795" s="36">
        <f t="shared" si="50"/>
        <v>3</v>
      </c>
      <c r="E795" s="36" t="str">
        <f t="shared" si="53"/>
        <v>Dia útil</v>
      </c>
      <c r="F795" s="36" t="str">
        <f t="shared" si="51"/>
        <v>Dia útil</v>
      </c>
      <c r="G795" s="36" t="str">
        <f t="shared" si="52"/>
        <v>Dia útil</v>
      </c>
    </row>
    <row r="796" spans="2:7" ht="12" customHeight="1">
      <c r="B796" s="43">
        <v>775</v>
      </c>
      <c r="C796" s="44">
        <v>45336</v>
      </c>
      <c r="D796" s="36">
        <f t="shared" si="50"/>
        <v>4</v>
      </c>
      <c r="E796" s="36" t="str">
        <f t="shared" si="53"/>
        <v>Dia útil</v>
      </c>
      <c r="F796" s="36" t="str">
        <f t="shared" si="51"/>
        <v>Dia útil</v>
      </c>
      <c r="G796" s="36" t="str">
        <f t="shared" si="52"/>
        <v>Dia útil</v>
      </c>
    </row>
    <row r="797" spans="2:7" ht="12" customHeight="1">
      <c r="B797" s="43">
        <v>776</v>
      </c>
      <c r="C797" s="44">
        <v>45337</v>
      </c>
      <c r="D797" s="36">
        <f t="shared" si="50"/>
        <v>5</v>
      </c>
      <c r="E797" s="36" t="str">
        <f t="shared" si="53"/>
        <v>Dia útil</v>
      </c>
      <c r="F797" s="36" t="str">
        <f t="shared" si="51"/>
        <v>Dia útil</v>
      </c>
      <c r="G797" s="36" t="str">
        <f t="shared" si="52"/>
        <v>Dia útil</v>
      </c>
    </row>
    <row r="798" spans="2:7" ht="12" customHeight="1">
      <c r="B798" s="43">
        <v>777</v>
      </c>
      <c r="C798" s="44">
        <v>45338</v>
      </c>
      <c r="D798" s="36">
        <f t="shared" si="50"/>
        <v>6</v>
      </c>
      <c r="E798" s="36" t="str">
        <f t="shared" si="53"/>
        <v>Dia útil</v>
      </c>
      <c r="F798" s="36" t="str">
        <f t="shared" si="51"/>
        <v>Dia útil</v>
      </c>
      <c r="G798" s="36" t="str">
        <f t="shared" si="52"/>
        <v>Dia útil</v>
      </c>
    </row>
    <row r="799" spans="2:7" ht="12" customHeight="1">
      <c r="B799" s="43">
        <v>778</v>
      </c>
      <c r="C799" s="44">
        <v>45339</v>
      </c>
      <c r="D799" s="36">
        <f t="shared" si="50"/>
        <v>7</v>
      </c>
      <c r="E799" s="36" t="str">
        <f t="shared" si="53"/>
        <v>Sáb</v>
      </c>
      <c r="F799" s="36" t="str">
        <f t="shared" si="51"/>
        <v>Sáb</v>
      </c>
      <c r="G799" s="36" t="str">
        <f t="shared" si="52"/>
        <v>Sáb</v>
      </c>
    </row>
    <row r="800" spans="2:7" ht="12" customHeight="1">
      <c r="B800" s="43">
        <v>779</v>
      </c>
      <c r="C800" s="44">
        <v>45340</v>
      </c>
      <c r="D800" s="36">
        <f t="shared" si="50"/>
        <v>1</v>
      </c>
      <c r="E800" s="36" t="str">
        <f t="shared" si="53"/>
        <v>Dom</v>
      </c>
      <c r="F800" s="36" t="str">
        <f t="shared" si="51"/>
        <v>Dom</v>
      </c>
      <c r="G800" s="36" t="str">
        <f t="shared" si="52"/>
        <v>Dom</v>
      </c>
    </row>
    <row r="801" spans="2:7" ht="12" customHeight="1">
      <c r="B801" s="43">
        <v>780</v>
      </c>
      <c r="C801" s="44">
        <v>45341</v>
      </c>
      <c r="D801" s="36">
        <f t="shared" si="50"/>
        <v>2</v>
      </c>
      <c r="E801" s="36" t="str">
        <f t="shared" si="53"/>
        <v>Dia útil</v>
      </c>
      <c r="F801" s="36" t="str">
        <f t="shared" si="51"/>
        <v>Dia útil</v>
      </c>
      <c r="G801" s="36" t="str">
        <f t="shared" si="52"/>
        <v>Dia útil</v>
      </c>
    </row>
    <row r="802" spans="2:7" ht="12" customHeight="1">
      <c r="B802" s="43">
        <v>781</v>
      </c>
      <c r="C802" s="44">
        <v>45342</v>
      </c>
      <c r="D802" s="36">
        <f t="shared" si="50"/>
        <v>3</v>
      </c>
      <c r="E802" s="36" t="str">
        <f t="shared" si="53"/>
        <v>Dia útil</v>
      </c>
      <c r="F802" s="36" t="str">
        <f t="shared" si="51"/>
        <v>Dia útil</v>
      </c>
      <c r="G802" s="36" t="str">
        <f t="shared" si="52"/>
        <v>Dia útil</v>
      </c>
    </row>
    <row r="803" spans="2:7" ht="12" customHeight="1">
      <c r="B803" s="43">
        <v>782</v>
      </c>
      <c r="C803" s="44">
        <v>45343</v>
      </c>
      <c r="D803" s="36">
        <f t="shared" si="50"/>
        <v>4</v>
      </c>
      <c r="E803" s="36" t="str">
        <f t="shared" si="53"/>
        <v>Dia útil</v>
      </c>
      <c r="F803" s="36" t="str">
        <f t="shared" si="51"/>
        <v>Dia útil</v>
      </c>
      <c r="G803" s="36" t="str">
        <f t="shared" si="52"/>
        <v>Dia útil</v>
      </c>
    </row>
    <row r="804" spans="2:7" ht="12" customHeight="1">
      <c r="B804" s="43">
        <v>783</v>
      </c>
      <c r="C804" s="44">
        <v>45344</v>
      </c>
      <c r="D804" s="36">
        <f t="shared" si="50"/>
        <v>5</v>
      </c>
      <c r="E804" s="36" t="str">
        <f t="shared" si="53"/>
        <v>Dia útil</v>
      </c>
      <c r="F804" s="36" t="str">
        <f t="shared" si="51"/>
        <v>Dia útil</v>
      </c>
      <c r="G804" s="36" t="str">
        <f t="shared" si="52"/>
        <v>Dia útil</v>
      </c>
    </row>
    <row r="805" spans="2:7" ht="12" customHeight="1">
      <c r="B805" s="43">
        <v>784</v>
      </c>
      <c r="C805" s="44">
        <v>45345</v>
      </c>
      <c r="D805" s="36">
        <f t="shared" si="50"/>
        <v>6</v>
      </c>
      <c r="E805" s="36" t="str">
        <f t="shared" si="53"/>
        <v>Dia útil</v>
      </c>
      <c r="F805" s="36" t="str">
        <f t="shared" si="51"/>
        <v>Dia útil</v>
      </c>
      <c r="G805" s="36" t="str">
        <f t="shared" si="52"/>
        <v>Dia útil</v>
      </c>
    </row>
    <row r="806" spans="2:7" ht="12" customHeight="1">
      <c r="B806" s="43">
        <v>785</v>
      </c>
      <c r="C806" s="44">
        <v>45346</v>
      </c>
      <c r="D806" s="36">
        <f t="shared" si="50"/>
        <v>7</v>
      </c>
      <c r="E806" s="36" t="str">
        <f t="shared" si="53"/>
        <v>Sáb</v>
      </c>
      <c r="F806" s="36" t="str">
        <f t="shared" si="51"/>
        <v>Sáb</v>
      </c>
      <c r="G806" s="36" t="str">
        <f t="shared" si="52"/>
        <v>Sáb</v>
      </c>
    </row>
    <row r="807" spans="2:7" ht="12" customHeight="1">
      <c r="B807" s="43">
        <v>786</v>
      </c>
      <c r="C807" s="44">
        <v>45347</v>
      </c>
      <c r="D807" s="36">
        <f t="shared" si="50"/>
        <v>1</v>
      </c>
      <c r="E807" s="36" t="str">
        <f t="shared" si="53"/>
        <v>Dom</v>
      </c>
      <c r="F807" s="36" t="str">
        <f t="shared" si="51"/>
        <v>Dom</v>
      </c>
      <c r="G807" s="36" t="str">
        <f t="shared" si="52"/>
        <v>Dom</v>
      </c>
    </row>
    <row r="808" spans="2:7" ht="12" customHeight="1">
      <c r="B808" s="43">
        <v>787</v>
      </c>
      <c r="C808" s="44">
        <v>45348</v>
      </c>
      <c r="D808" s="36">
        <f t="shared" si="50"/>
        <v>2</v>
      </c>
      <c r="E808" s="36" t="str">
        <f t="shared" si="53"/>
        <v>Dia útil</v>
      </c>
      <c r="F808" s="36" t="str">
        <f t="shared" si="51"/>
        <v>Dia útil</v>
      </c>
      <c r="G808" s="36" t="str">
        <f t="shared" si="52"/>
        <v>Dia útil</v>
      </c>
    </row>
    <row r="809" spans="2:7" ht="12" customHeight="1">
      <c r="B809" s="43">
        <v>788</v>
      </c>
      <c r="C809" s="44">
        <v>45349</v>
      </c>
      <c r="D809" s="36">
        <f t="shared" si="50"/>
        <v>3</v>
      </c>
      <c r="E809" s="36" t="str">
        <f t="shared" si="53"/>
        <v>Dia útil</v>
      </c>
      <c r="F809" s="36" t="str">
        <f t="shared" si="51"/>
        <v>Dia útil</v>
      </c>
      <c r="G809" s="36" t="str">
        <f t="shared" si="52"/>
        <v>Dia útil</v>
      </c>
    </row>
    <row r="810" spans="2:7" ht="12" customHeight="1">
      <c r="B810" s="43">
        <v>789</v>
      </c>
      <c r="C810" s="44">
        <v>45350</v>
      </c>
      <c r="D810" s="36">
        <f t="shared" si="50"/>
        <v>4</v>
      </c>
      <c r="E810" s="36" t="str">
        <f t="shared" si="53"/>
        <v>Dia útil</v>
      </c>
      <c r="F810" s="36" t="str">
        <f t="shared" si="51"/>
        <v>Dia útil</v>
      </c>
      <c r="G810" s="36" t="str">
        <f t="shared" si="52"/>
        <v>Dia útil</v>
      </c>
    </row>
    <row r="811" spans="2:7" ht="12" customHeight="1">
      <c r="B811" s="43">
        <v>790</v>
      </c>
      <c r="C811" s="44">
        <v>45351</v>
      </c>
      <c r="D811" s="36">
        <f t="shared" si="50"/>
        <v>5</v>
      </c>
      <c r="E811" s="36" t="str">
        <f t="shared" si="53"/>
        <v>Dia útil</v>
      </c>
      <c r="F811" s="36" t="str">
        <f t="shared" si="51"/>
        <v>Dia útil</v>
      </c>
      <c r="G811" s="36" t="str">
        <f t="shared" si="52"/>
        <v>Dia útil</v>
      </c>
    </row>
    <row r="812" spans="2:7" ht="12" customHeight="1">
      <c r="B812" s="43">
        <v>791</v>
      </c>
      <c r="C812" s="44">
        <v>45352</v>
      </c>
      <c r="D812" s="36">
        <f t="shared" si="50"/>
        <v>6</v>
      </c>
      <c r="E812" s="36" t="str">
        <f t="shared" si="53"/>
        <v>Dia útil</v>
      </c>
      <c r="F812" s="36" t="str">
        <f t="shared" si="51"/>
        <v>Dia útil</v>
      </c>
      <c r="G812" s="36" t="str">
        <f t="shared" si="52"/>
        <v>Dia útil</v>
      </c>
    </row>
    <row r="813" spans="2:7" ht="12" customHeight="1">
      <c r="B813" s="43">
        <v>792</v>
      </c>
      <c r="C813" s="44">
        <v>45353</v>
      </c>
      <c r="D813" s="36">
        <f t="shared" si="50"/>
        <v>7</v>
      </c>
      <c r="E813" s="36" t="str">
        <f t="shared" si="53"/>
        <v>Sáb</v>
      </c>
      <c r="F813" s="36" t="str">
        <f t="shared" si="51"/>
        <v>Sáb</v>
      </c>
      <c r="G813" s="36" t="str">
        <f t="shared" si="52"/>
        <v>Sáb</v>
      </c>
    </row>
    <row r="814" spans="2:7" ht="12" customHeight="1">
      <c r="B814" s="43">
        <v>793</v>
      </c>
      <c r="C814" s="44">
        <v>45354</v>
      </c>
      <c r="D814" s="36">
        <f t="shared" si="50"/>
        <v>1</v>
      </c>
      <c r="E814" s="36" t="str">
        <f t="shared" si="53"/>
        <v>Dom</v>
      </c>
      <c r="F814" s="36" t="str">
        <f t="shared" si="51"/>
        <v>Dom</v>
      </c>
      <c r="G814" s="36" t="str">
        <f t="shared" si="52"/>
        <v>Dom</v>
      </c>
    </row>
    <row r="815" spans="2:7" ht="12" customHeight="1">
      <c r="B815" s="43">
        <v>794</v>
      </c>
      <c r="C815" s="44">
        <v>45355</v>
      </c>
      <c r="D815" s="36">
        <f t="shared" si="50"/>
        <v>2</v>
      </c>
      <c r="E815" s="36" t="str">
        <f t="shared" si="53"/>
        <v>Dia útil</v>
      </c>
      <c r="F815" s="36" t="str">
        <f t="shared" si="51"/>
        <v>Dia útil</v>
      </c>
      <c r="G815" s="36" t="str">
        <f t="shared" si="52"/>
        <v>Dia útil</v>
      </c>
    </row>
    <row r="816" spans="2:7" ht="12" customHeight="1">
      <c r="B816" s="43">
        <v>795</v>
      </c>
      <c r="C816" s="44">
        <v>45356</v>
      </c>
      <c r="D816" s="36">
        <f t="shared" si="50"/>
        <v>3</v>
      </c>
      <c r="E816" s="36" t="str">
        <f t="shared" si="53"/>
        <v>Dia útil</v>
      </c>
      <c r="F816" s="36" t="str">
        <f t="shared" si="51"/>
        <v>Dia útil</v>
      </c>
      <c r="G816" s="36" t="str">
        <f t="shared" si="52"/>
        <v>Dia útil</v>
      </c>
    </row>
    <row r="817" spans="2:7" ht="12" customHeight="1">
      <c r="B817" s="43">
        <v>796</v>
      </c>
      <c r="C817" s="44">
        <v>45357</v>
      </c>
      <c r="D817" s="36">
        <f t="shared" si="50"/>
        <v>4</v>
      </c>
      <c r="E817" s="36" t="str">
        <f t="shared" si="53"/>
        <v>Dia útil</v>
      </c>
      <c r="F817" s="36" t="str">
        <f t="shared" si="51"/>
        <v>Dia útil</v>
      </c>
      <c r="G817" s="36" t="str">
        <f t="shared" si="52"/>
        <v>Dia útil</v>
      </c>
    </row>
    <row r="818" spans="2:7" ht="12" customHeight="1">
      <c r="B818" s="43">
        <v>797</v>
      </c>
      <c r="C818" s="44">
        <v>45358</v>
      </c>
      <c r="D818" s="36">
        <f t="shared" si="50"/>
        <v>5</v>
      </c>
      <c r="E818" s="36" t="str">
        <f t="shared" si="53"/>
        <v>Dia útil</v>
      </c>
      <c r="F818" s="36" t="str">
        <f t="shared" si="51"/>
        <v>Dia útil</v>
      </c>
      <c r="G818" s="36" t="str">
        <f t="shared" si="52"/>
        <v>Dia útil</v>
      </c>
    </row>
    <row r="819" spans="2:7" ht="12" customHeight="1">
      <c r="B819" s="43">
        <v>798</v>
      </c>
      <c r="C819" s="44">
        <v>45359</v>
      </c>
      <c r="D819" s="36">
        <f t="shared" si="50"/>
        <v>6</v>
      </c>
      <c r="E819" s="36" t="str">
        <f t="shared" si="53"/>
        <v>Dia útil</v>
      </c>
      <c r="F819" s="36" t="str">
        <f t="shared" si="51"/>
        <v>Dia útil</v>
      </c>
      <c r="G819" s="36" t="str">
        <f t="shared" si="52"/>
        <v>Dia útil</v>
      </c>
    </row>
    <row r="820" spans="2:7" ht="12" customHeight="1">
      <c r="B820" s="43">
        <v>799</v>
      </c>
      <c r="C820" s="44">
        <v>45360</v>
      </c>
      <c r="D820" s="36">
        <f t="shared" si="50"/>
        <v>7</v>
      </c>
      <c r="E820" s="36" t="str">
        <f t="shared" si="53"/>
        <v>Sáb</v>
      </c>
      <c r="F820" s="36" t="str">
        <f t="shared" si="51"/>
        <v>Sáb</v>
      </c>
      <c r="G820" s="36" t="str">
        <f t="shared" si="52"/>
        <v>Sáb</v>
      </c>
    </row>
    <row r="821" spans="2:7" ht="12" customHeight="1">
      <c r="B821" s="43">
        <v>800</v>
      </c>
      <c r="C821" s="44">
        <v>45361</v>
      </c>
      <c r="D821" s="36">
        <f t="shared" si="50"/>
        <v>1</v>
      </c>
      <c r="E821" s="36" t="str">
        <f t="shared" si="53"/>
        <v>Dom</v>
      </c>
      <c r="F821" s="36" t="str">
        <f t="shared" si="51"/>
        <v>Dom</v>
      </c>
      <c r="G821" s="36" t="str">
        <f t="shared" si="52"/>
        <v>Dom</v>
      </c>
    </row>
    <row r="822" spans="2:7" ht="12" customHeight="1">
      <c r="B822" s="43">
        <v>801</v>
      </c>
      <c r="C822" s="44">
        <v>45362</v>
      </c>
      <c r="D822" s="36">
        <f t="shared" si="50"/>
        <v>2</v>
      </c>
      <c r="E822" s="36" t="str">
        <f t="shared" si="53"/>
        <v>Dia útil</v>
      </c>
      <c r="F822" s="36" t="str">
        <f t="shared" si="51"/>
        <v>Dia útil</v>
      </c>
      <c r="G822" s="36" t="str">
        <f t="shared" si="52"/>
        <v>Dia útil</v>
      </c>
    </row>
    <row r="823" spans="2:7" ht="12" customHeight="1">
      <c r="B823" s="43">
        <v>802</v>
      </c>
      <c r="C823" s="44">
        <v>45363</v>
      </c>
      <c r="D823" s="36">
        <f t="shared" si="50"/>
        <v>3</v>
      </c>
      <c r="E823" s="36" t="str">
        <f t="shared" si="53"/>
        <v>Dia útil</v>
      </c>
      <c r="F823" s="36" t="str">
        <f t="shared" si="51"/>
        <v>Dia útil</v>
      </c>
      <c r="G823" s="36" t="str">
        <f t="shared" si="52"/>
        <v>Dia útil</v>
      </c>
    </row>
    <row r="824" spans="2:7" ht="12" customHeight="1">
      <c r="B824" s="43">
        <v>803</v>
      </c>
      <c r="C824" s="44">
        <v>45364</v>
      </c>
      <c r="D824" s="36">
        <f t="shared" si="50"/>
        <v>4</v>
      </c>
      <c r="E824" s="36" t="str">
        <f t="shared" si="53"/>
        <v>Dia útil</v>
      </c>
      <c r="F824" s="36" t="str">
        <f t="shared" si="51"/>
        <v>Dia útil</v>
      </c>
      <c r="G824" s="36" t="str">
        <f t="shared" si="52"/>
        <v>Dia útil</v>
      </c>
    </row>
    <row r="825" spans="2:7" ht="12" customHeight="1">
      <c r="B825" s="43">
        <v>804</v>
      </c>
      <c r="C825" s="44">
        <v>45365</v>
      </c>
      <c r="D825" s="36">
        <f t="shared" si="50"/>
        <v>5</v>
      </c>
      <c r="E825" s="36" t="str">
        <f t="shared" si="53"/>
        <v>Dia útil</v>
      </c>
      <c r="F825" s="36" t="str">
        <f t="shared" si="51"/>
        <v>Dia útil</v>
      </c>
      <c r="G825" s="36" t="str">
        <f t="shared" si="52"/>
        <v>Dia útil</v>
      </c>
    </row>
    <row r="826" spans="2:7" ht="12" customHeight="1">
      <c r="B826" s="43">
        <v>805</v>
      </c>
      <c r="C826" s="44">
        <v>45366</v>
      </c>
      <c r="D826" s="36">
        <f t="shared" si="50"/>
        <v>6</v>
      </c>
      <c r="E826" s="36" t="str">
        <f t="shared" si="53"/>
        <v>Dia útil</v>
      </c>
      <c r="F826" s="36" t="str">
        <f t="shared" si="51"/>
        <v>Dia útil</v>
      </c>
      <c r="G826" s="36" t="str">
        <f t="shared" si="52"/>
        <v>Dia útil</v>
      </c>
    </row>
    <row r="827" spans="2:7" ht="12" customHeight="1">
      <c r="B827" s="43">
        <v>806</v>
      </c>
      <c r="C827" s="44">
        <v>45367</v>
      </c>
      <c r="D827" s="36">
        <f t="shared" si="50"/>
        <v>7</v>
      </c>
      <c r="E827" s="36" t="str">
        <f t="shared" si="53"/>
        <v>Sáb</v>
      </c>
      <c r="F827" s="36" t="str">
        <f t="shared" si="51"/>
        <v>Sáb</v>
      </c>
      <c r="G827" s="36" t="str">
        <f t="shared" si="52"/>
        <v>Sáb</v>
      </c>
    </row>
    <row r="828" spans="2:7" ht="12" customHeight="1">
      <c r="B828" s="43">
        <v>807</v>
      </c>
      <c r="C828" s="44">
        <v>45368</v>
      </c>
      <c r="D828" s="36">
        <f t="shared" si="50"/>
        <v>1</v>
      </c>
      <c r="E828" s="36" t="str">
        <f t="shared" si="53"/>
        <v>Dom</v>
      </c>
      <c r="F828" s="36" t="str">
        <f t="shared" si="51"/>
        <v>Dom</v>
      </c>
      <c r="G828" s="36" t="str">
        <f t="shared" si="52"/>
        <v>Dom</v>
      </c>
    </row>
    <row r="829" spans="2:7" ht="12" customHeight="1">
      <c r="B829" s="43">
        <v>808</v>
      </c>
      <c r="C829" s="44">
        <v>45369</v>
      </c>
      <c r="D829" s="36">
        <f t="shared" si="50"/>
        <v>2</v>
      </c>
      <c r="E829" s="36" t="str">
        <f t="shared" si="53"/>
        <v>Dia útil</v>
      </c>
      <c r="F829" s="36" t="str">
        <f t="shared" si="51"/>
        <v>Dia útil</v>
      </c>
      <c r="G829" s="36" t="str">
        <f t="shared" si="52"/>
        <v>Dia útil</v>
      </c>
    </row>
    <row r="830" spans="2:7" ht="12" customHeight="1">
      <c r="B830" s="43">
        <v>809</v>
      </c>
      <c r="C830" s="44">
        <v>45370</v>
      </c>
      <c r="D830" s="36">
        <f t="shared" si="50"/>
        <v>3</v>
      </c>
      <c r="E830" s="36" t="str">
        <f t="shared" si="53"/>
        <v>Dia útil</v>
      </c>
      <c r="F830" s="36" t="str">
        <f t="shared" si="51"/>
        <v>Dia útil</v>
      </c>
      <c r="G830" s="36" t="str">
        <f t="shared" si="52"/>
        <v>Dia útil</v>
      </c>
    </row>
    <row r="831" spans="2:7" ht="12" customHeight="1">
      <c r="B831" s="43">
        <v>810</v>
      </c>
      <c r="C831" s="44">
        <v>45371</v>
      </c>
      <c r="D831" s="36">
        <f t="shared" si="50"/>
        <v>4</v>
      </c>
      <c r="E831" s="36" t="str">
        <f t="shared" si="53"/>
        <v>Dia útil</v>
      </c>
      <c r="F831" s="36" t="str">
        <f t="shared" si="51"/>
        <v>Dia útil</v>
      </c>
      <c r="G831" s="36" t="str">
        <f t="shared" si="52"/>
        <v>Dia útil</v>
      </c>
    </row>
    <row r="832" spans="2:7" ht="12" customHeight="1">
      <c r="B832" s="43">
        <v>811</v>
      </c>
      <c r="C832" s="44">
        <v>45372</v>
      </c>
      <c r="D832" s="36">
        <f t="shared" si="50"/>
        <v>5</v>
      </c>
      <c r="E832" s="36" t="str">
        <f t="shared" si="53"/>
        <v>Dia útil</v>
      </c>
      <c r="F832" s="36" t="str">
        <f t="shared" si="51"/>
        <v>Dia útil</v>
      </c>
      <c r="G832" s="36" t="str">
        <f t="shared" si="52"/>
        <v>Dia útil</v>
      </c>
    </row>
    <row r="833" spans="2:7" ht="12" customHeight="1">
      <c r="B833" s="43">
        <v>812</v>
      </c>
      <c r="C833" s="44">
        <v>45373</v>
      </c>
      <c r="D833" s="36">
        <f t="shared" si="50"/>
        <v>6</v>
      </c>
      <c r="E833" s="36" t="str">
        <f t="shared" si="53"/>
        <v>Dia útil</v>
      </c>
      <c r="F833" s="36" t="str">
        <f t="shared" si="51"/>
        <v>Dia útil</v>
      </c>
      <c r="G833" s="36" t="str">
        <f t="shared" si="52"/>
        <v>Dia útil</v>
      </c>
    </row>
    <row r="834" spans="2:7" ht="12" customHeight="1">
      <c r="B834" s="43">
        <v>813</v>
      </c>
      <c r="C834" s="44">
        <v>45374</v>
      </c>
      <c r="D834" s="36">
        <f t="shared" si="50"/>
        <v>7</v>
      </c>
      <c r="E834" s="36" t="str">
        <f t="shared" si="53"/>
        <v>Sáb</v>
      </c>
      <c r="F834" s="36" t="str">
        <f t="shared" si="51"/>
        <v>Sáb</v>
      </c>
      <c r="G834" s="36" t="str">
        <f t="shared" si="52"/>
        <v>Sáb</v>
      </c>
    </row>
    <row r="835" spans="2:7" ht="12" customHeight="1">
      <c r="B835" s="43">
        <v>814</v>
      </c>
      <c r="C835" s="44">
        <v>45375</v>
      </c>
      <c r="D835" s="36">
        <f t="shared" si="50"/>
        <v>1</v>
      </c>
      <c r="E835" s="36" t="str">
        <f t="shared" si="53"/>
        <v>Dom</v>
      </c>
      <c r="F835" s="36" t="str">
        <f t="shared" si="51"/>
        <v>Dom</v>
      </c>
      <c r="G835" s="36" t="str">
        <f t="shared" si="52"/>
        <v>Dom</v>
      </c>
    </row>
    <row r="836" spans="2:7" ht="12" customHeight="1">
      <c r="B836" s="43">
        <v>815</v>
      </c>
      <c r="C836" s="44">
        <v>45376</v>
      </c>
      <c r="D836" s="36">
        <f t="shared" si="50"/>
        <v>2</v>
      </c>
      <c r="E836" s="36" t="str">
        <f t="shared" si="53"/>
        <v>Dia útil</v>
      </c>
      <c r="F836" s="36" t="str">
        <f t="shared" si="51"/>
        <v>Dia útil</v>
      </c>
      <c r="G836" s="36" t="str">
        <f t="shared" si="52"/>
        <v>Dia útil</v>
      </c>
    </row>
    <row r="837" spans="2:7" ht="12" customHeight="1">
      <c r="B837" s="43">
        <v>816</v>
      </c>
      <c r="C837" s="44">
        <v>45377</v>
      </c>
      <c r="D837" s="36">
        <f t="shared" si="50"/>
        <v>3</v>
      </c>
      <c r="E837" s="36" t="str">
        <f t="shared" si="53"/>
        <v>Dia útil</v>
      </c>
      <c r="F837" s="36" t="str">
        <f t="shared" si="51"/>
        <v>Dia útil</v>
      </c>
      <c r="G837" s="36" t="str">
        <f t="shared" si="52"/>
        <v>Dia útil</v>
      </c>
    </row>
    <row r="838" spans="2:7" ht="12" customHeight="1">
      <c r="B838" s="43">
        <v>817</v>
      </c>
      <c r="C838" s="44">
        <v>45378</v>
      </c>
      <c r="D838" s="36">
        <f t="shared" si="50"/>
        <v>4</v>
      </c>
      <c r="E838" s="36" t="str">
        <f t="shared" si="53"/>
        <v>Dia útil</v>
      </c>
      <c r="F838" s="36" t="str">
        <f t="shared" si="51"/>
        <v>Dia útil</v>
      </c>
      <c r="G838" s="36" t="str">
        <f t="shared" si="52"/>
        <v>Dia útil</v>
      </c>
    </row>
    <row r="839" spans="2:7" ht="12" customHeight="1">
      <c r="B839" s="43">
        <v>818</v>
      </c>
      <c r="C839" s="44">
        <v>45379</v>
      </c>
      <c r="D839" s="36">
        <f t="shared" si="50"/>
        <v>5</v>
      </c>
      <c r="E839" s="36" t="str">
        <f t="shared" si="53"/>
        <v>Dia útil</v>
      </c>
      <c r="F839" s="36" t="str">
        <f t="shared" si="51"/>
        <v>Dia útil</v>
      </c>
      <c r="G839" s="36" t="str">
        <f t="shared" si="52"/>
        <v>Dia útil</v>
      </c>
    </row>
    <row r="840" spans="2:7" ht="12" customHeight="1">
      <c r="B840" s="43">
        <v>819</v>
      </c>
      <c r="C840" s="44">
        <v>45380</v>
      </c>
      <c r="D840" s="36">
        <f t="shared" si="50"/>
        <v>6</v>
      </c>
      <c r="E840" s="36" t="str">
        <f t="shared" si="53"/>
        <v>Dia útil</v>
      </c>
      <c r="F840" s="46" t="s">
        <v>1725</v>
      </c>
      <c r="G840" s="36" t="str">
        <f t="shared" si="52"/>
        <v>Feriado</v>
      </c>
    </row>
    <row r="841" spans="2:7" ht="12" customHeight="1">
      <c r="B841" s="43">
        <v>820</v>
      </c>
      <c r="C841" s="44">
        <v>45381</v>
      </c>
      <c r="D841" s="36">
        <f t="shared" si="50"/>
        <v>7</v>
      </c>
      <c r="E841" s="36" t="str">
        <f t="shared" si="53"/>
        <v>Sáb</v>
      </c>
      <c r="F841" s="36" t="str">
        <f t="shared" si="51"/>
        <v>Sáb</v>
      </c>
      <c r="G841" s="36" t="str">
        <f t="shared" si="52"/>
        <v>Sáb</v>
      </c>
    </row>
    <row r="842" spans="2:7" ht="12" customHeight="1">
      <c r="B842" s="43">
        <v>821</v>
      </c>
      <c r="C842" s="44">
        <v>45382</v>
      </c>
      <c r="D842" s="36">
        <f t="shared" si="50"/>
        <v>1</v>
      </c>
      <c r="E842" s="36" t="str">
        <f t="shared" si="53"/>
        <v>Dom</v>
      </c>
      <c r="F842" s="46" t="s">
        <v>1725</v>
      </c>
      <c r="G842" s="36" t="str">
        <f t="shared" si="52"/>
        <v>Dom</v>
      </c>
    </row>
    <row r="843" spans="2:7" ht="12" customHeight="1">
      <c r="B843" s="43">
        <v>822</v>
      </c>
      <c r="C843" s="44">
        <v>45383</v>
      </c>
      <c r="D843" s="36">
        <f t="shared" si="50"/>
        <v>2</v>
      </c>
      <c r="E843" s="36" t="str">
        <f t="shared" si="53"/>
        <v>Dia útil</v>
      </c>
      <c r="F843" s="36" t="str">
        <f t="shared" si="51"/>
        <v>Dia útil</v>
      </c>
      <c r="G843" s="36" t="str">
        <f t="shared" si="52"/>
        <v>Dia útil</v>
      </c>
    </row>
    <row r="844" spans="2:7" ht="12" customHeight="1">
      <c r="B844" s="43">
        <v>823</v>
      </c>
      <c r="C844" s="44">
        <v>45384</v>
      </c>
      <c r="D844" s="36">
        <f t="shared" si="50"/>
        <v>3</v>
      </c>
      <c r="E844" s="36" t="str">
        <f t="shared" si="53"/>
        <v>Dia útil</v>
      </c>
      <c r="F844" s="36" t="str">
        <f t="shared" si="51"/>
        <v>Dia útil</v>
      </c>
      <c r="G844" s="36" t="str">
        <f t="shared" si="52"/>
        <v>Dia útil</v>
      </c>
    </row>
    <row r="845" spans="2:7" ht="12" customHeight="1">
      <c r="B845" s="43">
        <v>824</v>
      </c>
      <c r="C845" s="44">
        <v>45385</v>
      </c>
      <c r="D845" s="36">
        <f t="shared" si="50"/>
        <v>4</v>
      </c>
      <c r="E845" s="36" t="str">
        <f t="shared" si="53"/>
        <v>Dia útil</v>
      </c>
      <c r="F845" s="36" t="str">
        <f t="shared" si="51"/>
        <v>Dia útil</v>
      </c>
      <c r="G845" s="36" t="str">
        <f t="shared" si="52"/>
        <v>Dia útil</v>
      </c>
    </row>
    <row r="846" spans="2:7" ht="12" customHeight="1">
      <c r="B846" s="43">
        <v>825</v>
      </c>
      <c r="C846" s="44">
        <v>45386</v>
      </c>
      <c r="D846" s="36">
        <f t="shared" si="50"/>
        <v>5</v>
      </c>
      <c r="E846" s="36" t="str">
        <f t="shared" si="53"/>
        <v>Dia útil</v>
      </c>
      <c r="F846" s="36" t="str">
        <f t="shared" si="51"/>
        <v>Dia útil</v>
      </c>
      <c r="G846" s="36" t="str">
        <f t="shared" si="52"/>
        <v>Dia útil</v>
      </c>
    </row>
    <row r="847" spans="2:7" ht="12" customHeight="1">
      <c r="B847" s="43">
        <v>826</v>
      </c>
      <c r="C847" s="44">
        <v>45387</v>
      </c>
      <c r="D847" s="36">
        <f t="shared" si="50"/>
        <v>6</v>
      </c>
      <c r="E847" s="36" t="str">
        <f t="shared" si="53"/>
        <v>Dia útil</v>
      </c>
      <c r="F847" s="36" t="str">
        <f t="shared" si="51"/>
        <v>Dia útil</v>
      </c>
      <c r="G847" s="36" t="str">
        <f t="shared" si="52"/>
        <v>Dia útil</v>
      </c>
    </row>
    <row r="848" spans="2:7" ht="12" customHeight="1">
      <c r="B848" s="43">
        <v>827</v>
      </c>
      <c r="C848" s="44">
        <v>45388</v>
      </c>
      <c r="D848" s="36">
        <f t="shared" si="50"/>
        <v>7</v>
      </c>
      <c r="E848" s="36" t="str">
        <f t="shared" si="53"/>
        <v>Sáb</v>
      </c>
      <c r="F848" s="36" t="str">
        <f t="shared" si="51"/>
        <v>Sáb</v>
      </c>
      <c r="G848" s="36" t="str">
        <f t="shared" si="52"/>
        <v>Sáb</v>
      </c>
    </row>
    <row r="849" spans="2:7" ht="12" customHeight="1">
      <c r="B849" s="43">
        <v>828</v>
      </c>
      <c r="C849" s="44">
        <v>45389</v>
      </c>
      <c r="D849" s="36">
        <f t="shared" si="50"/>
        <v>1</v>
      </c>
      <c r="E849" s="36" t="str">
        <f t="shared" si="53"/>
        <v>Dom</v>
      </c>
      <c r="F849" s="36" t="str">
        <f t="shared" si="51"/>
        <v>Dom</v>
      </c>
      <c r="G849" s="36" t="str">
        <f t="shared" si="52"/>
        <v>Dom</v>
      </c>
    </row>
    <row r="850" spans="2:7" ht="12" customHeight="1">
      <c r="B850" s="43">
        <v>829</v>
      </c>
      <c r="C850" s="44">
        <v>45390</v>
      </c>
      <c r="D850" s="36">
        <f t="shared" si="50"/>
        <v>2</v>
      </c>
      <c r="E850" s="36" t="str">
        <f t="shared" si="53"/>
        <v>Dia útil</v>
      </c>
      <c r="F850" s="36" t="str">
        <f t="shared" si="51"/>
        <v>Dia útil</v>
      </c>
      <c r="G850" s="36" t="str">
        <f t="shared" si="52"/>
        <v>Dia útil</v>
      </c>
    </row>
    <row r="851" spans="2:7" ht="12" customHeight="1">
      <c r="B851" s="43">
        <v>830</v>
      </c>
      <c r="C851" s="44">
        <v>45391</v>
      </c>
      <c r="D851" s="36">
        <f t="shared" si="50"/>
        <v>3</v>
      </c>
      <c r="E851" s="36" t="str">
        <f t="shared" si="53"/>
        <v>Dia útil</v>
      </c>
      <c r="F851" s="36" t="str">
        <f t="shared" si="51"/>
        <v>Dia útil</v>
      </c>
      <c r="G851" s="36" t="str">
        <f t="shared" si="52"/>
        <v>Dia útil</v>
      </c>
    </row>
    <row r="852" spans="2:7" ht="12" customHeight="1">
      <c r="B852" s="43">
        <v>831</v>
      </c>
      <c r="C852" s="44">
        <v>45392</v>
      </c>
      <c r="D852" s="36">
        <f t="shared" si="50"/>
        <v>4</v>
      </c>
      <c r="E852" s="36" t="str">
        <f t="shared" si="53"/>
        <v>Dia útil</v>
      </c>
      <c r="F852" s="36" t="str">
        <f t="shared" si="51"/>
        <v>Dia útil</v>
      </c>
      <c r="G852" s="36" t="str">
        <f t="shared" si="52"/>
        <v>Dia útil</v>
      </c>
    </row>
    <row r="853" spans="2:7" ht="12" customHeight="1">
      <c r="B853" s="43">
        <v>832</v>
      </c>
      <c r="C853" s="44">
        <v>45393</v>
      </c>
      <c r="D853" s="36">
        <f t="shared" si="50"/>
        <v>5</v>
      </c>
      <c r="E853" s="36" t="str">
        <f t="shared" si="53"/>
        <v>Dia útil</v>
      </c>
      <c r="F853" s="36" t="str">
        <f t="shared" si="51"/>
        <v>Dia útil</v>
      </c>
      <c r="G853" s="36" t="str">
        <f t="shared" si="52"/>
        <v>Dia útil</v>
      </c>
    </row>
    <row r="854" spans="2:7" ht="12" customHeight="1">
      <c r="B854" s="43">
        <v>833</v>
      </c>
      <c r="C854" s="44">
        <v>45394</v>
      </c>
      <c r="D854" s="36">
        <f t="shared" si="50"/>
        <v>6</v>
      </c>
      <c r="E854" s="36" t="str">
        <f t="shared" si="53"/>
        <v>Dia útil</v>
      </c>
      <c r="F854" s="36" t="str">
        <f t="shared" si="51"/>
        <v>Dia útil</v>
      </c>
      <c r="G854" s="36" t="str">
        <f t="shared" si="52"/>
        <v>Dia útil</v>
      </c>
    </row>
    <row r="855" spans="2:7" ht="12" customHeight="1">
      <c r="B855" s="43">
        <v>834</v>
      </c>
      <c r="C855" s="44">
        <v>45395</v>
      </c>
      <c r="D855" s="36">
        <f t="shared" ref="D855:D918" si="54">WEEKDAY(C855,1)</f>
        <v>7</v>
      </c>
      <c r="E855" s="36" t="str">
        <f t="shared" si="53"/>
        <v>Sáb</v>
      </c>
      <c r="F855" s="36" t="str">
        <f t="shared" ref="F855:F918" si="55">E855</f>
        <v>Sáb</v>
      </c>
      <c r="G855" s="36" t="str">
        <f t="shared" ref="G855:G918" si="56">IF(AND(F855="Feriado",OR(E855="Sáb",E855="Dom")),E855,IF(AND(F855="Feriado",E855="Dia útil"),"Feriado",E855))</f>
        <v>Sáb</v>
      </c>
    </row>
    <row r="856" spans="2:7" ht="12" customHeight="1">
      <c r="B856" s="43">
        <v>835</v>
      </c>
      <c r="C856" s="44">
        <v>45396</v>
      </c>
      <c r="D856" s="36">
        <f t="shared" si="54"/>
        <v>1</v>
      </c>
      <c r="E856" s="36" t="str">
        <f t="shared" si="53"/>
        <v>Dom</v>
      </c>
      <c r="F856" s="36" t="str">
        <f t="shared" si="55"/>
        <v>Dom</v>
      </c>
      <c r="G856" s="36" t="str">
        <f t="shared" si="56"/>
        <v>Dom</v>
      </c>
    </row>
    <row r="857" spans="2:7" ht="12" customHeight="1">
      <c r="B857" s="43">
        <v>836</v>
      </c>
      <c r="C857" s="44">
        <v>45397</v>
      </c>
      <c r="D857" s="36">
        <f t="shared" si="54"/>
        <v>2</v>
      </c>
      <c r="E857" s="36" t="str">
        <f t="shared" ref="E857:E920" si="57">IF(D857=1,"Dom",IF(D857=7,"Sáb","Dia útil"))</f>
        <v>Dia útil</v>
      </c>
      <c r="F857" s="36" t="str">
        <f t="shared" si="55"/>
        <v>Dia útil</v>
      </c>
      <c r="G857" s="36" t="str">
        <f t="shared" si="56"/>
        <v>Dia útil</v>
      </c>
    </row>
    <row r="858" spans="2:7" ht="12" customHeight="1">
      <c r="B858" s="43">
        <v>837</v>
      </c>
      <c r="C858" s="44">
        <v>45398</v>
      </c>
      <c r="D858" s="36">
        <f t="shared" si="54"/>
        <v>3</v>
      </c>
      <c r="E858" s="36" t="str">
        <f t="shared" si="57"/>
        <v>Dia útil</v>
      </c>
      <c r="F858" s="36" t="str">
        <f t="shared" si="55"/>
        <v>Dia útil</v>
      </c>
      <c r="G858" s="36" t="str">
        <f t="shared" si="56"/>
        <v>Dia útil</v>
      </c>
    </row>
    <row r="859" spans="2:7" ht="12" customHeight="1">
      <c r="B859" s="43">
        <v>838</v>
      </c>
      <c r="C859" s="44">
        <v>45399</v>
      </c>
      <c r="D859" s="36">
        <f t="shared" si="54"/>
        <v>4</v>
      </c>
      <c r="E859" s="36" t="str">
        <f t="shared" si="57"/>
        <v>Dia útil</v>
      </c>
      <c r="F859" s="36" t="str">
        <f t="shared" si="55"/>
        <v>Dia útil</v>
      </c>
      <c r="G859" s="36" t="str">
        <f t="shared" si="56"/>
        <v>Dia útil</v>
      </c>
    </row>
    <row r="860" spans="2:7" ht="12" customHeight="1">
      <c r="B860" s="43">
        <v>839</v>
      </c>
      <c r="C860" s="44">
        <v>45400</v>
      </c>
      <c r="D860" s="36">
        <f t="shared" si="54"/>
        <v>5</v>
      </c>
      <c r="E860" s="36" t="str">
        <f t="shared" si="57"/>
        <v>Dia útil</v>
      </c>
      <c r="F860" s="36" t="str">
        <f t="shared" si="55"/>
        <v>Dia útil</v>
      </c>
      <c r="G860" s="36" t="str">
        <f t="shared" si="56"/>
        <v>Dia útil</v>
      </c>
    </row>
    <row r="861" spans="2:7" ht="12" customHeight="1">
      <c r="B861" s="43">
        <v>840</v>
      </c>
      <c r="C861" s="44">
        <v>45401</v>
      </c>
      <c r="D861" s="36">
        <f t="shared" si="54"/>
        <v>6</v>
      </c>
      <c r="E861" s="36" t="str">
        <f t="shared" si="57"/>
        <v>Dia útil</v>
      </c>
      <c r="F861" s="36" t="str">
        <f t="shared" si="55"/>
        <v>Dia útil</v>
      </c>
      <c r="G861" s="36" t="str">
        <f t="shared" si="56"/>
        <v>Dia útil</v>
      </c>
    </row>
    <row r="862" spans="2:7" ht="12" customHeight="1">
      <c r="B862" s="43">
        <v>841</v>
      </c>
      <c r="C862" s="44">
        <v>45402</v>
      </c>
      <c r="D862" s="36">
        <f t="shared" si="54"/>
        <v>7</v>
      </c>
      <c r="E862" s="36" t="str">
        <f t="shared" si="57"/>
        <v>Sáb</v>
      </c>
      <c r="F862" s="36" t="str">
        <f t="shared" si="55"/>
        <v>Sáb</v>
      </c>
      <c r="G862" s="36" t="str">
        <f t="shared" si="56"/>
        <v>Sáb</v>
      </c>
    </row>
    <row r="863" spans="2:7" ht="12" customHeight="1">
      <c r="B863" s="43">
        <v>842</v>
      </c>
      <c r="C863" s="44">
        <v>45403</v>
      </c>
      <c r="D863" s="36">
        <f t="shared" si="54"/>
        <v>1</v>
      </c>
      <c r="E863" s="36" t="str">
        <f t="shared" si="57"/>
        <v>Dom</v>
      </c>
      <c r="F863" s="46" t="s">
        <v>1725</v>
      </c>
      <c r="G863" s="36" t="str">
        <f t="shared" si="56"/>
        <v>Dom</v>
      </c>
    </row>
    <row r="864" spans="2:7" ht="12" customHeight="1">
      <c r="B864" s="43">
        <v>843</v>
      </c>
      <c r="C864" s="44">
        <v>45404</v>
      </c>
      <c r="D864" s="36">
        <f t="shared" si="54"/>
        <v>2</v>
      </c>
      <c r="E864" s="36" t="str">
        <f t="shared" si="57"/>
        <v>Dia útil</v>
      </c>
      <c r="F864" s="36" t="str">
        <f t="shared" si="55"/>
        <v>Dia útil</v>
      </c>
      <c r="G864" s="36" t="str">
        <f t="shared" si="56"/>
        <v>Dia útil</v>
      </c>
    </row>
    <row r="865" spans="2:7" ht="12" customHeight="1">
      <c r="B865" s="43">
        <v>844</v>
      </c>
      <c r="C865" s="44">
        <v>45405</v>
      </c>
      <c r="D865" s="36">
        <f t="shared" si="54"/>
        <v>3</v>
      </c>
      <c r="E865" s="36" t="str">
        <f t="shared" si="57"/>
        <v>Dia útil</v>
      </c>
      <c r="F865" s="36" t="str">
        <f t="shared" si="55"/>
        <v>Dia útil</v>
      </c>
      <c r="G865" s="36" t="str">
        <f t="shared" si="56"/>
        <v>Dia útil</v>
      </c>
    </row>
    <row r="866" spans="2:7" ht="12" customHeight="1">
      <c r="B866" s="43">
        <v>845</v>
      </c>
      <c r="C866" s="44">
        <v>45406</v>
      </c>
      <c r="D866" s="36">
        <f t="shared" si="54"/>
        <v>4</v>
      </c>
      <c r="E866" s="36" t="str">
        <f t="shared" si="57"/>
        <v>Dia útil</v>
      </c>
      <c r="F866" s="36" t="str">
        <f t="shared" si="55"/>
        <v>Dia útil</v>
      </c>
      <c r="G866" s="36" t="str">
        <f t="shared" si="56"/>
        <v>Dia útil</v>
      </c>
    </row>
    <row r="867" spans="2:7" ht="12" customHeight="1">
      <c r="B867" s="43">
        <v>846</v>
      </c>
      <c r="C867" s="44">
        <v>45407</v>
      </c>
      <c r="D867" s="36">
        <f t="shared" si="54"/>
        <v>5</v>
      </c>
      <c r="E867" s="36" t="str">
        <f t="shared" si="57"/>
        <v>Dia útil</v>
      </c>
      <c r="F867" s="36" t="str">
        <f t="shared" si="55"/>
        <v>Dia útil</v>
      </c>
      <c r="G867" s="36" t="str">
        <f t="shared" si="56"/>
        <v>Dia útil</v>
      </c>
    </row>
    <row r="868" spans="2:7" ht="12" customHeight="1">
      <c r="B868" s="43">
        <v>847</v>
      </c>
      <c r="C868" s="44">
        <v>45408</v>
      </c>
      <c r="D868" s="36">
        <f t="shared" si="54"/>
        <v>6</v>
      </c>
      <c r="E868" s="36" t="str">
        <f t="shared" si="57"/>
        <v>Dia útil</v>
      </c>
      <c r="F868" s="36" t="str">
        <f t="shared" si="55"/>
        <v>Dia útil</v>
      </c>
      <c r="G868" s="36" t="str">
        <f t="shared" si="56"/>
        <v>Dia útil</v>
      </c>
    </row>
    <row r="869" spans="2:7" ht="12" customHeight="1">
      <c r="B869" s="43">
        <v>848</v>
      </c>
      <c r="C869" s="44">
        <v>45409</v>
      </c>
      <c r="D869" s="36">
        <f t="shared" si="54"/>
        <v>7</v>
      </c>
      <c r="E869" s="36" t="str">
        <f t="shared" si="57"/>
        <v>Sáb</v>
      </c>
      <c r="F869" s="36" t="str">
        <f t="shared" si="55"/>
        <v>Sáb</v>
      </c>
      <c r="G869" s="36" t="str">
        <f t="shared" si="56"/>
        <v>Sáb</v>
      </c>
    </row>
    <row r="870" spans="2:7" ht="12" customHeight="1">
      <c r="B870" s="43">
        <v>849</v>
      </c>
      <c r="C870" s="44">
        <v>45410</v>
      </c>
      <c r="D870" s="36">
        <f t="shared" si="54"/>
        <v>1</v>
      </c>
      <c r="E870" s="36" t="str">
        <f t="shared" si="57"/>
        <v>Dom</v>
      </c>
      <c r="F870" s="36" t="str">
        <f t="shared" si="55"/>
        <v>Dom</v>
      </c>
      <c r="G870" s="36" t="str">
        <f t="shared" si="56"/>
        <v>Dom</v>
      </c>
    </row>
    <row r="871" spans="2:7" ht="12" customHeight="1">
      <c r="B871" s="43">
        <v>850</v>
      </c>
      <c r="C871" s="44">
        <v>45411</v>
      </c>
      <c r="D871" s="36">
        <f t="shared" si="54"/>
        <v>2</v>
      </c>
      <c r="E871" s="36" t="str">
        <f t="shared" si="57"/>
        <v>Dia útil</v>
      </c>
      <c r="F871" s="36" t="str">
        <f t="shared" si="55"/>
        <v>Dia útil</v>
      </c>
      <c r="G871" s="36" t="str">
        <f t="shared" si="56"/>
        <v>Dia útil</v>
      </c>
    </row>
    <row r="872" spans="2:7" ht="12" customHeight="1">
      <c r="B872" s="43">
        <v>851</v>
      </c>
      <c r="C872" s="44">
        <v>45412</v>
      </c>
      <c r="D872" s="36">
        <f t="shared" si="54"/>
        <v>3</v>
      </c>
      <c r="E872" s="36" t="str">
        <f t="shared" si="57"/>
        <v>Dia útil</v>
      </c>
      <c r="F872" s="36" t="str">
        <f t="shared" si="55"/>
        <v>Dia útil</v>
      </c>
      <c r="G872" s="36" t="str">
        <f t="shared" si="56"/>
        <v>Dia útil</v>
      </c>
    </row>
    <row r="873" spans="2:7" ht="12" customHeight="1">
      <c r="B873" s="43">
        <v>852</v>
      </c>
      <c r="C873" s="44">
        <v>45413</v>
      </c>
      <c r="D873" s="36">
        <f t="shared" si="54"/>
        <v>4</v>
      </c>
      <c r="E873" s="36" t="str">
        <f t="shared" si="57"/>
        <v>Dia útil</v>
      </c>
      <c r="F873" s="46" t="s">
        <v>1725</v>
      </c>
      <c r="G873" s="36" t="str">
        <f t="shared" si="56"/>
        <v>Feriado</v>
      </c>
    </row>
    <row r="874" spans="2:7" ht="12" customHeight="1">
      <c r="B874" s="43">
        <v>853</v>
      </c>
      <c r="C874" s="44">
        <v>45414</v>
      </c>
      <c r="D874" s="36">
        <f t="shared" si="54"/>
        <v>5</v>
      </c>
      <c r="E874" s="36" t="str">
        <f t="shared" si="57"/>
        <v>Dia útil</v>
      </c>
      <c r="F874" s="36" t="str">
        <f t="shared" si="55"/>
        <v>Dia útil</v>
      </c>
      <c r="G874" s="36" t="str">
        <f t="shared" si="56"/>
        <v>Dia útil</v>
      </c>
    </row>
    <row r="875" spans="2:7" ht="12" customHeight="1">
      <c r="B875" s="43">
        <v>854</v>
      </c>
      <c r="C875" s="44">
        <v>45415</v>
      </c>
      <c r="D875" s="36">
        <f t="shared" si="54"/>
        <v>6</v>
      </c>
      <c r="E875" s="36" t="str">
        <f t="shared" si="57"/>
        <v>Dia útil</v>
      </c>
      <c r="F875" s="36" t="str">
        <f t="shared" si="55"/>
        <v>Dia útil</v>
      </c>
      <c r="G875" s="36" t="str">
        <f t="shared" si="56"/>
        <v>Dia útil</v>
      </c>
    </row>
    <row r="876" spans="2:7" ht="12" customHeight="1">
      <c r="B876" s="43">
        <v>855</v>
      </c>
      <c r="C876" s="44">
        <v>45416</v>
      </c>
      <c r="D876" s="36">
        <f t="shared" si="54"/>
        <v>7</v>
      </c>
      <c r="E876" s="36" t="str">
        <f t="shared" si="57"/>
        <v>Sáb</v>
      </c>
      <c r="F876" s="36" t="str">
        <f t="shared" si="55"/>
        <v>Sáb</v>
      </c>
      <c r="G876" s="36" t="str">
        <f t="shared" si="56"/>
        <v>Sáb</v>
      </c>
    </row>
    <row r="877" spans="2:7" ht="12" customHeight="1">
      <c r="B877" s="43">
        <v>856</v>
      </c>
      <c r="C877" s="44">
        <v>45417</v>
      </c>
      <c r="D877" s="36">
        <f t="shared" si="54"/>
        <v>1</v>
      </c>
      <c r="E877" s="36" t="str">
        <f t="shared" si="57"/>
        <v>Dom</v>
      </c>
      <c r="F877" s="36" t="str">
        <f t="shared" si="55"/>
        <v>Dom</v>
      </c>
      <c r="G877" s="36" t="str">
        <f t="shared" si="56"/>
        <v>Dom</v>
      </c>
    </row>
    <row r="878" spans="2:7" ht="12" customHeight="1">
      <c r="B878" s="43">
        <v>857</v>
      </c>
      <c r="C878" s="44">
        <v>45418</v>
      </c>
      <c r="D878" s="36">
        <f t="shared" si="54"/>
        <v>2</v>
      </c>
      <c r="E878" s="36" t="str">
        <f t="shared" si="57"/>
        <v>Dia útil</v>
      </c>
      <c r="F878" s="36" t="str">
        <f t="shared" si="55"/>
        <v>Dia útil</v>
      </c>
      <c r="G878" s="36" t="str">
        <f t="shared" si="56"/>
        <v>Dia útil</v>
      </c>
    </row>
    <row r="879" spans="2:7" ht="12" customHeight="1">
      <c r="B879" s="43">
        <v>858</v>
      </c>
      <c r="C879" s="44">
        <v>45419</v>
      </c>
      <c r="D879" s="36">
        <f t="shared" si="54"/>
        <v>3</v>
      </c>
      <c r="E879" s="36" t="str">
        <f t="shared" si="57"/>
        <v>Dia útil</v>
      </c>
      <c r="F879" s="36" t="str">
        <f t="shared" si="55"/>
        <v>Dia útil</v>
      </c>
      <c r="G879" s="36" t="str">
        <f t="shared" si="56"/>
        <v>Dia útil</v>
      </c>
    </row>
    <row r="880" spans="2:7" ht="12" customHeight="1">
      <c r="B880" s="43">
        <v>859</v>
      </c>
      <c r="C880" s="44">
        <v>45420</v>
      </c>
      <c r="D880" s="36">
        <f t="shared" si="54"/>
        <v>4</v>
      </c>
      <c r="E880" s="36" t="str">
        <f t="shared" si="57"/>
        <v>Dia útil</v>
      </c>
      <c r="F880" s="36" t="str">
        <f t="shared" si="55"/>
        <v>Dia útil</v>
      </c>
      <c r="G880" s="36" t="str">
        <f t="shared" si="56"/>
        <v>Dia útil</v>
      </c>
    </row>
    <row r="881" spans="2:7" ht="12" customHeight="1">
      <c r="B881" s="43">
        <v>860</v>
      </c>
      <c r="C881" s="44">
        <v>45421</v>
      </c>
      <c r="D881" s="36">
        <f t="shared" si="54"/>
        <v>5</v>
      </c>
      <c r="E881" s="36" t="str">
        <f t="shared" si="57"/>
        <v>Dia útil</v>
      </c>
      <c r="F881" s="36" t="str">
        <f t="shared" si="55"/>
        <v>Dia útil</v>
      </c>
      <c r="G881" s="36" t="str">
        <f t="shared" si="56"/>
        <v>Dia útil</v>
      </c>
    </row>
    <row r="882" spans="2:7" ht="12" customHeight="1">
      <c r="B882" s="43">
        <v>861</v>
      </c>
      <c r="C882" s="44">
        <v>45422</v>
      </c>
      <c r="D882" s="36">
        <f t="shared" si="54"/>
        <v>6</v>
      </c>
      <c r="E882" s="36" t="str">
        <f t="shared" si="57"/>
        <v>Dia útil</v>
      </c>
      <c r="F882" s="36" t="str">
        <f t="shared" si="55"/>
        <v>Dia útil</v>
      </c>
      <c r="G882" s="36" t="str">
        <f t="shared" si="56"/>
        <v>Dia útil</v>
      </c>
    </row>
    <row r="883" spans="2:7" ht="12" customHeight="1">
      <c r="B883" s="43">
        <v>862</v>
      </c>
      <c r="C883" s="44">
        <v>45423</v>
      </c>
      <c r="D883" s="36">
        <f t="shared" si="54"/>
        <v>7</v>
      </c>
      <c r="E883" s="36" t="str">
        <f t="shared" si="57"/>
        <v>Sáb</v>
      </c>
      <c r="F883" s="36" t="str">
        <f t="shared" si="55"/>
        <v>Sáb</v>
      </c>
      <c r="G883" s="36" t="str">
        <f t="shared" si="56"/>
        <v>Sáb</v>
      </c>
    </row>
    <row r="884" spans="2:7" ht="12" customHeight="1">
      <c r="B884" s="43">
        <v>863</v>
      </c>
      <c r="C884" s="44">
        <v>45424</v>
      </c>
      <c r="D884" s="36">
        <f t="shared" si="54"/>
        <v>1</v>
      </c>
      <c r="E884" s="36" t="str">
        <f t="shared" si="57"/>
        <v>Dom</v>
      </c>
      <c r="F884" s="36" t="str">
        <f t="shared" si="55"/>
        <v>Dom</v>
      </c>
      <c r="G884" s="36" t="str">
        <f t="shared" si="56"/>
        <v>Dom</v>
      </c>
    </row>
    <row r="885" spans="2:7" ht="12" customHeight="1">
      <c r="B885" s="43">
        <v>864</v>
      </c>
      <c r="C885" s="44">
        <v>45425</v>
      </c>
      <c r="D885" s="36">
        <f t="shared" si="54"/>
        <v>2</v>
      </c>
      <c r="E885" s="36" t="str">
        <f t="shared" si="57"/>
        <v>Dia útil</v>
      </c>
      <c r="F885" s="36" t="str">
        <f t="shared" si="55"/>
        <v>Dia útil</v>
      </c>
      <c r="G885" s="36" t="str">
        <f t="shared" si="56"/>
        <v>Dia útil</v>
      </c>
    </row>
    <row r="886" spans="2:7" ht="12" customHeight="1">
      <c r="B886" s="43">
        <v>865</v>
      </c>
      <c r="C886" s="44">
        <v>45426</v>
      </c>
      <c r="D886" s="36">
        <f t="shared" si="54"/>
        <v>3</v>
      </c>
      <c r="E886" s="36" t="str">
        <f t="shared" si="57"/>
        <v>Dia útil</v>
      </c>
      <c r="F886" s="36" t="str">
        <f t="shared" si="55"/>
        <v>Dia útil</v>
      </c>
      <c r="G886" s="36" t="str">
        <f t="shared" si="56"/>
        <v>Dia útil</v>
      </c>
    </row>
    <row r="887" spans="2:7" ht="12" customHeight="1">
      <c r="B887" s="43">
        <v>866</v>
      </c>
      <c r="C887" s="44">
        <v>45427</v>
      </c>
      <c r="D887" s="36">
        <f t="shared" si="54"/>
        <v>4</v>
      </c>
      <c r="E887" s="36" t="str">
        <f t="shared" si="57"/>
        <v>Dia útil</v>
      </c>
      <c r="F887" s="36" t="str">
        <f t="shared" si="55"/>
        <v>Dia útil</v>
      </c>
      <c r="G887" s="36" t="str">
        <f t="shared" si="56"/>
        <v>Dia útil</v>
      </c>
    </row>
    <row r="888" spans="2:7" ht="12" customHeight="1">
      <c r="B888" s="43">
        <v>867</v>
      </c>
      <c r="C888" s="44">
        <v>45428</v>
      </c>
      <c r="D888" s="36">
        <f t="shared" si="54"/>
        <v>5</v>
      </c>
      <c r="E888" s="36" t="str">
        <f t="shared" si="57"/>
        <v>Dia útil</v>
      </c>
      <c r="F888" s="36" t="str">
        <f t="shared" si="55"/>
        <v>Dia útil</v>
      </c>
      <c r="G888" s="36" t="str">
        <f t="shared" si="56"/>
        <v>Dia útil</v>
      </c>
    </row>
    <row r="889" spans="2:7" ht="12" customHeight="1">
      <c r="B889" s="43">
        <v>868</v>
      </c>
      <c r="C889" s="44">
        <v>45429</v>
      </c>
      <c r="D889" s="36">
        <f t="shared" si="54"/>
        <v>6</v>
      </c>
      <c r="E889" s="36" t="str">
        <f t="shared" si="57"/>
        <v>Dia útil</v>
      </c>
      <c r="F889" s="36" t="str">
        <f t="shared" si="55"/>
        <v>Dia útil</v>
      </c>
      <c r="G889" s="36" t="str">
        <f t="shared" si="56"/>
        <v>Dia útil</v>
      </c>
    </row>
    <row r="890" spans="2:7" ht="12" customHeight="1">
      <c r="B890" s="43">
        <v>869</v>
      </c>
      <c r="C890" s="44">
        <v>45430</v>
      </c>
      <c r="D890" s="36">
        <f t="shared" si="54"/>
        <v>7</v>
      </c>
      <c r="E890" s="36" t="str">
        <f t="shared" si="57"/>
        <v>Sáb</v>
      </c>
      <c r="F890" s="36" t="str">
        <f t="shared" si="55"/>
        <v>Sáb</v>
      </c>
      <c r="G890" s="36" t="str">
        <f t="shared" si="56"/>
        <v>Sáb</v>
      </c>
    </row>
    <row r="891" spans="2:7" ht="12" customHeight="1">
      <c r="B891" s="43">
        <v>870</v>
      </c>
      <c r="C891" s="44">
        <v>45431</v>
      </c>
      <c r="D891" s="36">
        <f t="shared" si="54"/>
        <v>1</v>
      </c>
      <c r="E891" s="36" t="str">
        <f t="shared" si="57"/>
        <v>Dom</v>
      </c>
      <c r="F891" s="36" t="str">
        <f t="shared" si="55"/>
        <v>Dom</v>
      </c>
      <c r="G891" s="36" t="str">
        <f t="shared" si="56"/>
        <v>Dom</v>
      </c>
    </row>
    <row r="892" spans="2:7" ht="12" customHeight="1">
      <c r="B892" s="43">
        <v>871</v>
      </c>
      <c r="C892" s="44">
        <v>45432</v>
      </c>
      <c r="D892" s="36">
        <f t="shared" si="54"/>
        <v>2</v>
      </c>
      <c r="E892" s="36" t="str">
        <f t="shared" si="57"/>
        <v>Dia útil</v>
      </c>
      <c r="F892" s="36" t="str">
        <f t="shared" si="55"/>
        <v>Dia útil</v>
      </c>
      <c r="G892" s="36" t="str">
        <f t="shared" si="56"/>
        <v>Dia útil</v>
      </c>
    </row>
    <row r="893" spans="2:7" ht="12" customHeight="1">
      <c r="B893" s="43">
        <v>872</v>
      </c>
      <c r="C893" s="44">
        <v>45433</v>
      </c>
      <c r="D893" s="36">
        <f t="shared" si="54"/>
        <v>3</v>
      </c>
      <c r="E893" s="36" t="str">
        <f t="shared" si="57"/>
        <v>Dia útil</v>
      </c>
      <c r="F893" s="36" t="str">
        <f t="shared" si="55"/>
        <v>Dia útil</v>
      </c>
      <c r="G893" s="36" t="str">
        <f t="shared" si="56"/>
        <v>Dia útil</v>
      </c>
    </row>
    <row r="894" spans="2:7" ht="12" customHeight="1">
      <c r="B894" s="43">
        <v>873</v>
      </c>
      <c r="C894" s="44">
        <v>45434</v>
      </c>
      <c r="D894" s="36">
        <f t="shared" si="54"/>
        <v>4</v>
      </c>
      <c r="E894" s="36" t="str">
        <f t="shared" si="57"/>
        <v>Dia útil</v>
      </c>
      <c r="F894" s="36" t="str">
        <f t="shared" si="55"/>
        <v>Dia útil</v>
      </c>
      <c r="G894" s="36" t="str">
        <f t="shared" si="56"/>
        <v>Dia útil</v>
      </c>
    </row>
    <row r="895" spans="2:7" ht="12" customHeight="1">
      <c r="B895" s="43">
        <v>874</v>
      </c>
      <c r="C895" s="44">
        <v>45435</v>
      </c>
      <c r="D895" s="36">
        <f t="shared" si="54"/>
        <v>5</v>
      </c>
      <c r="E895" s="36" t="str">
        <f t="shared" si="57"/>
        <v>Dia útil</v>
      </c>
      <c r="F895" s="36" t="str">
        <f t="shared" si="55"/>
        <v>Dia útil</v>
      </c>
      <c r="G895" s="36" t="str">
        <f t="shared" si="56"/>
        <v>Dia útil</v>
      </c>
    </row>
    <row r="896" spans="2:7" ht="12" customHeight="1">
      <c r="B896" s="43">
        <v>875</v>
      </c>
      <c r="C896" s="44">
        <v>45436</v>
      </c>
      <c r="D896" s="36">
        <f t="shared" si="54"/>
        <v>6</v>
      </c>
      <c r="E896" s="36" t="str">
        <f t="shared" si="57"/>
        <v>Dia útil</v>
      </c>
      <c r="F896" s="36" t="str">
        <f t="shared" si="55"/>
        <v>Dia útil</v>
      </c>
      <c r="G896" s="36" t="str">
        <f t="shared" si="56"/>
        <v>Dia útil</v>
      </c>
    </row>
    <row r="897" spans="2:7" ht="12" customHeight="1">
      <c r="B897" s="43">
        <v>876</v>
      </c>
      <c r="C897" s="44">
        <v>45437</v>
      </c>
      <c r="D897" s="36">
        <f t="shared" si="54"/>
        <v>7</v>
      </c>
      <c r="E897" s="36" t="str">
        <f t="shared" si="57"/>
        <v>Sáb</v>
      </c>
      <c r="F897" s="36" t="str">
        <f t="shared" si="55"/>
        <v>Sáb</v>
      </c>
      <c r="G897" s="36" t="str">
        <f t="shared" si="56"/>
        <v>Sáb</v>
      </c>
    </row>
    <row r="898" spans="2:7" ht="12" customHeight="1">
      <c r="B898" s="43">
        <v>877</v>
      </c>
      <c r="C898" s="44">
        <v>45438</v>
      </c>
      <c r="D898" s="36">
        <f t="shared" si="54"/>
        <v>1</v>
      </c>
      <c r="E898" s="36" t="str">
        <f t="shared" si="57"/>
        <v>Dom</v>
      </c>
      <c r="F898" s="36" t="str">
        <f t="shared" si="55"/>
        <v>Dom</v>
      </c>
      <c r="G898" s="36" t="str">
        <f t="shared" si="56"/>
        <v>Dom</v>
      </c>
    </row>
    <row r="899" spans="2:7" ht="12" customHeight="1">
      <c r="B899" s="43">
        <v>878</v>
      </c>
      <c r="C899" s="44">
        <v>45439</v>
      </c>
      <c r="D899" s="36">
        <f t="shared" si="54"/>
        <v>2</v>
      </c>
      <c r="E899" s="36" t="str">
        <f t="shared" si="57"/>
        <v>Dia útil</v>
      </c>
      <c r="F899" s="36" t="str">
        <f t="shared" si="55"/>
        <v>Dia útil</v>
      </c>
      <c r="G899" s="36" t="str">
        <f t="shared" si="56"/>
        <v>Dia útil</v>
      </c>
    </row>
    <row r="900" spans="2:7" ht="12" customHeight="1">
      <c r="B900" s="43">
        <v>879</v>
      </c>
      <c r="C900" s="44">
        <v>45440</v>
      </c>
      <c r="D900" s="36">
        <f t="shared" si="54"/>
        <v>3</v>
      </c>
      <c r="E900" s="36" t="str">
        <f t="shared" si="57"/>
        <v>Dia útil</v>
      </c>
      <c r="F900" s="36" t="str">
        <f t="shared" si="55"/>
        <v>Dia útil</v>
      </c>
      <c r="G900" s="36" t="str">
        <f t="shared" si="56"/>
        <v>Dia útil</v>
      </c>
    </row>
    <row r="901" spans="2:7" ht="12" customHeight="1">
      <c r="B901" s="43">
        <v>880</v>
      </c>
      <c r="C901" s="44">
        <v>45441</v>
      </c>
      <c r="D901" s="36">
        <f t="shared" si="54"/>
        <v>4</v>
      </c>
      <c r="E901" s="36" t="str">
        <f t="shared" si="57"/>
        <v>Dia útil</v>
      </c>
      <c r="F901" s="36" t="str">
        <f t="shared" si="55"/>
        <v>Dia útil</v>
      </c>
      <c r="G901" s="36" t="str">
        <f t="shared" si="56"/>
        <v>Dia útil</v>
      </c>
    </row>
    <row r="902" spans="2:7" ht="12" customHeight="1">
      <c r="B902" s="43">
        <v>881</v>
      </c>
      <c r="C902" s="44">
        <v>45442</v>
      </c>
      <c r="D902" s="36">
        <f t="shared" si="54"/>
        <v>5</v>
      </c>
      <c r="E902" s="36" t="str">
        <f t="shared" si="57"/>
        <v>Dia útil</v>
      </c>
      <c r="F902" s="36" t="str">
        <f t="shared" si="55"/>
        <v>Dia útil</v>
      </c>
      <c r="G902" s="36" t="str">
        <f t="shared" si="56"/>
        <v>Dia útil</v>
      </c>
    </row>
    <row r="903" spans="2:7" ht="12" customHeight="1">
      <c r="B903" s="43">
        <v>882</v>
      </c>
      <c r="C903" s="44">
        <v>45443</v>
      </c>
      <c r="D903" s="36">
        <f t="shared" si="54"/>
        <v>6</v>
      </c>
      <c r="E903" s="36" t="str">
        <f t="shared" si="57"/>
        <v>Dia útil</v>
      </c>
      <c r="F903" s="36" t="str">
        <f t="shared" si="55"/>
        <v>Dia útil</v>
      </c>
      <c r="G903" s="36" t="str">
        <f t="shared" si="56"/>
        <v>Dia útil</v>
      </c>
    </row>
    <row r="904" spans="2:7" ht="12" customHeight="1">
      <c r="B904" s="43">
        <v>883</v>
      </c>
      <c r="C904" s="44">
        <v>45444</v>
      </c>
      <c r="D904" s="36">
        <f t="shared" si="54"/>
        <v>7</v>
      </c>
      <c r="E904" s="36" t="str">
        <f t="shared" si="57"/>
        <v>Sáb</v>
      </c>
      <c r="F904" s="36" t="str">
        <f t="shared" si="55"/>
        <v>Sáb</v>
      </c>
      <c r="G904" s="36" t="str">
        <f t="shared" si="56"/>
        <v>Sáb</v>
      </c>
    </row>
    <row r="905" spans="2:7" ht="12" customHeight="1">
      <c r="B905" s="43">
        <v>884</v>
      </c>
      <c r="C905" s="44">
        <v>45445</v>
      </c>
      <c r="D905" s="36">
        <f t="shared" si="54"/>
        <v>1</v>
      </c>
      <c r="E905" s="36" t="str">
        <f t="shared" si="57"/>
        <v>Dom</v>
      </c>
      <c r="F905" s="36" t="str">
        <f t="shared" si="55"/>
        <v>Dom</v>
      </c>
      <c r="G905" s="36" t="str">
        <f t="shared" si="56"/>
        <v>Dom</v>
      </c>
    </row>
    <row r="906" spans="2:7" ht="12" customHeight="1">
      <c r="B906" s="43">
        <v>885</v>
      </c>
      <c r="C906" s="44">
        <v>45446</v>
      </c>
      <c r="D906" s="36">
        <f t="shared" si="54"/>
        <v>2</v>
      </c>
      <c r="E906" s="36" t="str">
        <f t="shared" si="57"/>
        <v>Dia útil</v>
      </c>
      <c r="F906" s="36" t="str">
        <f t="shared" si="55"/>
        <v>Dia útil</v>
      </c>
      <c r="G906" s="36" t="str">
        <f t="shared" si="56"/>
        <v>Dia útil</v>
      </c>
    </row>
    <row r="907" spans="2:7" ht="12" customHeight="1">
      <c r="B907" s="43">
        <v>886</v>
      </c>
      <c r="C907" s="44">
        <v>45447</v>
      </c>
      <c r="D907" s="36">
        <f t="shared" si="54"/>
        <v>3</v>
      </c>
      <c r="E907" s="36" t="str">
        <f t="shared" si="57"/>
        <v>Dia útil</v>
      </c>
      <c r="F907" s="36" t="str">
        <f t="shared" si="55"/>
        <v>Dia útil</v>
      </c>
      <c r="G907" s="36" t="str">
        <f t="shared" si="56"/>
        <v>Dia útil</v>
      </c>
    </row>
    <row r="908" spans="2:7" ht="12" customHeight="1">
      <c r="B908" s="43">
        <v>887</v>
      </c>
      <c r="C908" s="44">
        <v>45448</v>
      </c>
      <c r="D908" s="36">
        <f t="shared" si="54"/>
        <v>4</v>
      </c>
      <c r="E908" s="36" t="str">
        <f t="shared" si="57"/>
        <v>Dia útil</v>
      </c>
      <c r="F908" s="36" t="str">
        <f t="shared" si="55"/>
        <v>Dia útil</v>
      </c>
      <c r="G908" s="36" t="str">
        <f t="shared" si="56"/>
        <v>Dia útil</v>
      </c>
    </row>
    <row r="909" spans="2:7" ht="12" customHeight="1">
      <c r="B909" s="43">
        <v>888</v>
      </c>
      <c r="C909" s="44">
        <v>45449</v>
      </c>
      <c r="D909" s="36">
        <f t="shared" si="54"/>
        <v>5</v>
      </c>
      <c r="E909" s="36" t="str">
        <f t="shared" si="57"/>
        <v>Dia útil</v>
      </c>
      <c r="F909" s="36" t="str">
        <f t="shared" si="55"/>
        <v>Dia útil</v>
      </c>
      <c r="G909" s="36" t="str">
        <f t="shared" si="56"/>
        <v>Dia útil</v>
      </c>
    </row>
    <row r="910" spans="2:7" ht="12" customHeight="1">
      <c r="B910" s="43">
        <v>889</v>
      </c>
      <c r="C910" s="44">
        <v>45450</v>
      </c>
      <c r="D910" s="36">
        <f t="shared" si="54"/>
        <v>6</v>
      </c>
      <c r="E910" s="36" t="str">
        <f t="shared" si="57"/>
        <v>Dia útil</v>
      </c>
      <c r="F910" s="36" t="str">
        <f t="shared" si="55"/>
        <v>Dia útil</v>
      </c>
      <c r="G910" s="36" t="str">
        <f t="shared" si="56"/>
        <v>Dia útil</v>
      </c>
    </row>
    <row r="911" spans="2:7" ht="12" customHeight="1">
      <c r="B911" s="43">
        <v>890</v>
      </c>
      <c r="C911" s="44">
        <v>45451</v>
      </c>
      <c r="D911" s="36">
        <f t="shared" si="54"/>
        <v>7</v>
      </c>
      <c r="E911" s="36" t="str">
        <f t="shared" si="57"/>
        <v>Sáb</v>
      </c>
      <c r="F911" s="46" t="s">
        <v>1725</v>
      </c>
      <c r="G911" s="36" t="str">
        <f t="shared" si="56"/>
        <v>Sáb</v>
      </c>
    </row>
    <row r="912" spans="2:7" ht="12" customHeight="1">
      <c r="B912" s="43">
        <v>891</v>
      </c>
      <c r="C912" s="44">
        <v>45452</v>
      </c>
      <c r="D912" s="36">
        <f t="shared" si="54"/>
        <v>1</v>
      </c>
      <c r="E912" s="36" t="str">
        <f t="shared" si="57"/>
        <v>Dom</v>
      </c>
      <c r="F912" s="36" t="str">
        <f t="shared" si="55"/>
        <v>Dom</v>
      </c>
      <c r="G912" s="36" t="str">
        <f t="shared" si="56"/>
        <v>Dom</v>
      </c>
    </row>
    <row r="913" spans="2:7" ht="12" customHeight="1">
      <c r="B913" s="43">
        <v>892</v>
      </c>
      <c r="C913" s="44">
        <v>45453</v>
      </c>
      <c r="D913" s="36">
        <f t="shared" si="54"/>
        <v>2</v>
      </c>
      <c r="E913" s="36" t="str">
        <f t="shared" si="57"/>
        <v>Dia útil</v>
      </c>
      <c r="F913" s="36" t="str">
        <f t="shared" si="55"/>
        <v>Dia útil</v>
      </c>
      <c r="G913" s="36" t="str">
        <f t="shared" si="56"/>
        <v>Dia útil</v>
      </c>
    </row>
    <row r="914" spans="2:7" ht="12" customHeight="1">
      <c r="B914" s="43">
        <v>893</v>
      </c>
      <c r="C914" s="44">
        <v>45454</v>
      </c>
      <c r="D914" s="36">
        <f t="shared" si="54"/>
        <v>3</v>
      </c>
      <c r="E914" s="36" t="str">
        <f t="shared" si="57"/>
        <v>Dia útil</v>
      </c>
      <c r="F914" s="36" t="str">
        <f t="shared" si="55"/>
        <v>Dia útil</v>
      </c>
      <c r="G914" s="36" t="str">
        <f t="shared" si="56"/>
        <v>Dia útil</v>
      </c>
    </row>
    <row r="915" spans="2:7" ht="12" customHeight="1">
      <c r="B915" s="43">
        <v>894</v>
      </c>
      <c r="C915" s="44">
        <v>45455</v>
      </c>
      <c r="D915" s="36">
        <f t="shared" si="54"/>
        <v>4</v>
      </c>
      <c r="E915" s="36" t="str">
        <f t="shared" si="57"/>
        <v>Dia útil</v>
      </c>
      <c r="F915" s="36" t="str">
        <f t="shared" si="55"/>
        <v>Dia útil</v>
      </c>
      <c r="G915" s="36" t="str">
        <f t="shared" si="56"/>
        <v>Dia útil</v>
      </c>
    </row>
    <row r="916" spans="2:7" ht="12" customHeight="1">
      <c r="B916" s="43">
        <v>895</v>
      </c>
      <c r="C916" s="44">
        <v>45456</v>
      </c>
      <c r="D916" s="36">
        <f t="shared" si="54"/>
        <v>5</v>
      </c>
      <c r="E916" s="36" t="str">
        <f t="shared" si="57"/>
        <v>Dia útil</v>
      </c>
      <c r="F916" s="36" t="str">
        <f t="shared" si="55"/>
        <v>Dia útil</v>
      </c>
      <c r="G916" s="36" t="str">
        <f t="shared" si="56"/>
        <v>Dia útil</v>
      </c>
    </row>
    <row r="917" spans="2:7" ht="12" customHeight="1">
      <c r="B917" s="43">
        <v>896</v>
      </c>
      <c r="C917" s="44">
        <v>45457</v>
      </c>
      <c r="D917" s="36">
        <f t="shared" si="54"/>
        <v>6</v>
      </c>
      <c r="E917" s="36" t="str">
        <f t="shared" si="57"/>
        <v>Dia útil</v>
      </c>
      <c r="F917" s="36" t="str">
        <f t="shared" si="55"/>
        <v>Dia útil</v>
      </c>
      <c r="G917" s="36" t="str">
        <f t="shared" si="56"/>
        <v>Dia útil</v>
      </c>
    </row>
    <row r="918" spans="2:7" ht="12" customHeight="1">
      <c r="B918" s="43">
        <v>897</v>
      </c>
      <c r="C918" s="44">
        <v>45458</v>
      </c>
      <c r="D918" s="36">
        <f t="shared" si="54"/>
        <v>7</v>
      </c>
      <c r="E918" s="36" t="str">
        <f t="shared" si="57"/>
        <v>Sáb</v>
      </c>
      <c r="F918" s="36" t="str">
        <f t="shared" si="55"/>
        <v>Sáb</v>
      </c>
      <c r="G918" s="36" t="str">
        <f t="shared" si="56"/>
        <v>Sáb</v>
      </c>
    </row>
    <row r="919" spans="2:7" ht="12" customHeight="1">
      <c r="B919" s="43">
        <v>898</v>
      </c>
      <c r="C919" s="44">
        <v>45459</v>
      </c>
      <c r="D919" s="36">
        <f t="shared" ref="D919:D982" si="58">WEEKDAY(C919,1)</f>
        <v>1</v>
      </c>
      <c r="E919" s="36" t="str">
        <f t="shared" si="57"/>
        <v>Dom</v>
      </c>
      <c r="F919" s="36" t="str">
        <f t="shared" ref="F919:F982" si="59">E919</f>
        <v>Dom</v>
      </c>
      <c r="G919" s="36" t="str">
        <f t="shared" ref="G919:G982" si="60">IF(AND(F919="Feriado",OR(E919="Sáb",E919="Dom")),E919,IF(AND(F919="Feriado",E919="Dia útil"),"Feriado",E919))</f>
        <v>Dom</v>
      </c>
    </row>
    <row r="920" spans="2:7" ht="12" customHeight="1">
      <c r="B920" s="43">
        <v>899</v>
      </c>
      <c r="C920" s="44">
        <v>45460</v>
      </c>
      <c r="D920" s="36">
        <f t="shared" si="58"/>
        <v>2</v>
      </c>
      <c r="E920" s="36" t="str">
        <f t="shared" si="57"/>
        <v>Dia útil</v>
      </c>
      <c r="F920" s="36" t="str">
        <f t="shared" si="59"/>
        <v>Dia útil</v>
      </c>
      <c r="G920" s="36" t="str">
        <f t="shared" si="60"/>
        <v>Dia útil</v>
      </c>
    </row>
    <row r="921" spans="2:7" ht="12" customHeight="1">
      <c r="B921" s="43">
        <v>900</v>
      </c>
      <c r="C921" s="44">
        <v>45461</v>
      </c>
      <c r="D921" s="36">
        <f t="shared" si="58"/>
        <v>3</v>
      </c>
      <c r="E921" s="36" t="str">
        <f t="shared" ref="E921:E984" si="61">IF(D921=1,"Dom",IF(D921=7,"Sáb","Dia útil"))</f>
        <v>Dia útil</v>
      </c>
      <c r="F921" s="36" t="str">
        <f t="shared" si="59"/>
        <v>Dia útil</v>
      </c>
      <c r="G921" s="36" t="str">
        <f t="shared" si="60"/>
        <v>Dia útil</v>
      </c>
    </row>
    <row r="922" spans="2:7" ht="12" customHeight="1">
      <c r="B922" s="43">
        <v>901</v>
      </c>
      <c r="C922" s="44">
        <v>45462</v>
      </c>
      <c r="D922" s="36">
        <f t="shared" si="58"/>
        <v>4</v>
      </c>
      <c r="E922" s="36" t="str">
        <f t="shared" si="61"/>
        <v>Dia útil</v>
      </c>
      <c r="F922" s="36" t="str">
        <f t="shared" si="59"/>
        <v>Dia útil</v>
      </c>
      <c r="G922" s="36" t="str">
        <f t="shared" si="60"/>
        <v>Dia útil</v>
      </c>
    </row>
    <row r="923" spans="2:7" ht="12" customHeight="1">
      <c r="B923" s="43">
        <v>902</v>
      </c>
      <c r="C923" s="44">
        <v>45463</v>
      </c>
      <c r="D923" s="36">
        <f t="shared" si="58"/>
        <v>5</v>
      </c>
      <c r="E923" s="36" t="str">
        <f t="shared" si="61"/>
        <v>Dia útil</v>
      </c>
      <c r="F923" s="36" t="str">
        <f t="shared" si="59"/>
        <v>Dia útil</v>
      </c>
      <c r="G923" s="36" t="str">
        <f t="shared" si="60"/>
        <v>Dia útil</v>
      </c>
    </row>
    <row r="924" spans="2:7" ht="12" customHeight="1">
      <c r="B924" s="43">
        <v>903</v>
      </c>
      <c r="C924" s="44">
        <v>45464</v>
      </c>
      <c r="D924" s="36">
        <f t="shared" si="58"/>
        <v>6</v>
      </c>
      <c r="E924" s="36" t="str">
        <f t="shared" si="61"/>
        <v>Dia útil</v>
      </c>
      <c r="F924" s="36" t="str">
        <f t="shared" si="59"/>
        <v>Dia útil</v>
      </c>
      <c r="G924" s="36" t="str">
        <f t="shared" si="60"/>
        <v>Dia útil</v>
      </c>
    </row>
    <row r="925" spans="2:7" ht="12" customHeight="1">
      <c r="B925" s="43">
        <v>904</v>
      </c>
      <c r="C925" s="44">
        <v>45465</v>
      </c>
      <c r="D925" s="36">
        <f t="shared" si="58"/>
        <v>7</v>
      </c>
      <c r="E925" s="36" t="str">
        <f t="shared" si="61"/>
        <v>Sáb</v>
      </c>
      <c r="F925" s="36" t="str">
        <f t="shared" si="59"/>
        <v>Sáb</v>
      </c>
      <c r="G925" s="36" t="str">
        <f t="shared" si="60"/>
        <v>Sáb</v>
      </c>
    </row>
    <row r="926" spans="2:7" ht="12" customHeight="1">
      <c r="B926" s="43">
        <v>905</v>
      </c>
      <c r="C926" s="44">
        <v>45466</v>
      </c>
      <c r="D926" s="36">
        <f t="shared" si="58"/>
        <v>1</v>
      </c>
      <c r="E926" s="36" t="str">
        <f t="shared" si="61"/>
        <v>Dom</v>
      </c>
      <c r="F926" s="36" t="str">
        <f t="shared" si="59"/>
        <v>Dom</v>
      </c>
      <c r="G926" s="36" t="str">
        <f t="shared" si="60"/>
        <v>Dom</v>
      </c>
    </row>
    <row r="927" spans="2:7" ht="12" customHeight="1">
      <c r="B927" s="43">
        <v>906</v>
      </c>
      <c r="C927" s="44">
        <v>45467</v>
      </c>
      <c r="D927" s="36">
        <f t="shared" si="58"/>
        <v>2</v>
      </c>
      <c r="E927" s="36" t="str">
        <f t="shared" si="61"/>
        <v>Dia útil</v>
      </c>
      <c r="F927" s="36" t="str">
        <f t="shared" si="59"/>
        <v>Dia útil</v>
      </c>
      <c r="G927" s="36" t="str">
        <f t="shared" si="60"/>
        <v>Dia útil</v>
      </c>
    </row>
    <row r="928" spans="2:7" ht="12" customHeight="1">
      <c r="B928" s="43">
        <v>907</v>
      </c>
      <c r="C928" s="44">
        <v>45468</v>
      </c>
      <c r="D928" s="36">
        <f t="shared" si="58"/>
        <v>3</v>
      </c>
      <c r="E928" s="36" t="str">
        <f t="shared" si="61"/>
        <v>Dia útil</v>
      </c>
      <c r="F928" s="36" t="str">
        <f t="shared" si="59"/>
        <v>Dia útil</v>
      </c>
      <c r="G928" s="36" t="str">
        <f t="shared" si="60"/>
        <v>Dia útil</v>
      </c>
    </row>
    <row r="929" spans="2:7" ht="12" customHeight="1">
      <c r="B929" s="43">
        <v>908</v>
      </c>
      <c r="C929" s="44">
        <v>45469</v>
      </c>
      <c r="D929" s="36">
        <f t="shared" si="58"/>
        <v>4</v>
      </c>
      <c r="E929" s="36" t="str">
        <f t="shared" si="61"/>
        <v>Dia útil</v>
      </c>
      <c r="F929" s="36" t="str">
        <f t="shared" si="59"/>
        <v>Dia útil</v>
      </c>
      <c r="G929" s="36" t="str">
        <f t="shared" si="60"/>
        <v>Dia útil</v>
      </c>
    </row>
    <row r="930" spans="2:7" ht="12" customHeight="1">
      <c r="B930" s="43">
        <v>909</v>
      </c>
      <c r="C930" s="44">
        <v>45470</v>
      </c>
      <c r="D930" s="36">
        <f t="shared" si="58"/>
        <v>5</v>
      </c>
      <c r="E930" s="36" t="str">
        <f t="shared" si="61"/>
        <v>Dia útil</v>
      </c>
      <c r="F930" s="36" t="str">
        <f t="shared" si="59"/>
        <v>Dia útil</v>
      </c>
      <c r="G930" s="36" t="str">
        <f t="shared" si="60"/>
        <v>Dia útil</v>
      </c>
    </row>
    <row r="931" spans="2:7" ht="12" customHeight="1">
      <c r="B931" s="43">
        <v>910</v>
      </c>
      <c r="C931" s="44">
        <v>45471</v>
      </c>
      <c r="D931" s="36">
        <f t="shared" si="58"/>
        <v>6</v>
      </c>
      <c r="E931" s="36" t="str">
        <f t="shared" si="61"/>
        <v>Dia útil</v>
      </c>
      <c r="F931" s="36" t="str">
        <f t="shared" si="59"/>
        <v>Dia útil</v>
      </c>
      <c r="G931" s="36" t="str">
        <f t="shared" si="60"/>
        <v>Dia útil</v>
      </c>
    </row>
    <row r="932" spans="2:7" ht="12" customHeight="1">
      <c r="B932" s="43">
        <v>911</v>
      </c>
      <c r="C932" s="44">
        <v>45472</v>
      </c>
      <c r="D932" s="36">
        <f t="shared" si="58"/>
        <v>7</v>
      </c>
      <c r="E932" s="36" t="str">
        <f t="shared" si="61"/>
        <v>Sáb</v>
      </c>
      <c r="F932" s="36" t="str">
        <f t="shared" si="59"/>
        <v>Sáb</v>
      </c>
      <c r="G932" s="36" t="str">
        <f t="shared" si="60"/>
        <v>Sáb</v>
      </c>
    </row>
    <row r="933" spans="2:7" ht="12" customHeight="1">
      <c r="B933" s="43">
        <v>912</v>
      </c>
      <c r="C933" s="44">
        <v>45473</v>
      </c>
      <c r="D933" s="36">
        <f t="shared" si="58"/>
        <v>1</v>
      </c>
      <c r="E933" s="36" t="str">
        <f t="shared" si="61"/>
        <v>Dom</v>
      </c>
      <c r="F933" s="36" t="str">
        <f t="shared" si="59"/>
        <v>Dom</v>
      </c>
      <c r="G933" s="36" t="str">
        <f t="shared" si="60"/>
        <v>Dom</v>
      </c>
    </row>
    <row r="934" spans="2:7" ht="12" customHeight="1">
      <c r="B934" s="43">
        <v>913</v>
      </c>
      <c r="C934" s="44">
        <v>45474</v>
      </c>
      <c r="D934" s="36">
        <f t="shared" si="58"/>
        <v>2</v>
      </c>
      <c r="E934" s="36" t="str">
        <f t="shared" si="61"/>
        <v>Dia útil</v>
      </c>
      <c r="F934" s="36" t="str">
        <f t="shared" si="59"/>
        <v>Dia útil</v>
      </c>
      <c r="G934" s="36" t="str">
        <f t="shared" si="60"/>
        <v>Dia útil</v>
      </c>
    </row>
    <row r="935" spans="2:7" ht="12" customHeight="1">
      <c r="B935" s="43">
        <v>914</v>
      </c>
      <c r="C935" s="44">
        <v>45475</v>
      </c>
      <c r="D935" s="36">
        <f t="shared" si="58"/>
        <v>3</v>
      </c>
      <c r="E935" s="36" t="str">
        <f t="shared" si="61"/>
        <v>Dia útil</v>
      </c>
      <c r="F935" s="36" t="str">
        <f t="shared" si="59"/>
        <v>Dia útil</v>
      </c>
      <c r="G935" s="36" t="str">
        <f t="shared" si="60"/>
        <v>Dia útil</v>
      </c>
    </row>
    <row r="936" spans="2:7" ht="12" customHeight="1">
      <c r="B936" s="43">
        <v>915</v>
      </c>
      <c r="C936" s="44">
        <v>45476</v>
      </c>
      <c r="D936" s="36">
        <f t="shared" si="58"/>
        <v>4</v>
      </c>
      <c r="E936" s="36" t="str">
        <f t="shared" si="61"/>
        <v>Dia útil</v>
      </c>
      <c r="F936" s="36" t="str">
        <f t="shared" si="59"/>
        <v>Dia útil</v>
      </c>
      <c r="G936" s="36" t="str">
        <f t="shared" si="60"/>
        <v>Dia útil</v>
      </c>
    </row>
    <row r="937" spans="2:7" ht="12" customHeight="1">
      <c r="B937" s="43">
        <v>916</v>
      </c>
      <c r="C937" s="44">
        <v>45477</v>
      </c>
      <c r="D937" s="36">
        <f t="shared" si="58"/>
        <v>5</v>
      </c>
      <c r="E937" s="36" t="str">
        <f t="shared" si="61"/>
        <v>Dia útil</v>
      </c>
      <c r="F937" s="36" t="str">
        <f t="shared" si="59"/>
        <v>Dia útil</v>
      </c>
      <c r="G937" s="36" t="str">
        <f t="shared" si="60"/>
        <v>Dia útil</v>
      </c>
    </row>
    <row r="938" spans="2:7" ht="12" customHeight="1">
      <c r="B938" s="43">
        <v>917</v>
      </c>
      <c r="C938" s="44">
        <v>45478</v>
      </c>
      <c r="D938" s="36">
        <f t="shared" si="58"/>
        <v>6</v>
      </c>
      <c r="E938" s="36" t="str">
        <f t="shared" si="61"/>
        <v>Dia útil</v>
      </c>
      <c r="F938" s="36" t="str">
        <f t="shared" si="59"/>
        <v>Dia útil</v>
      </c>
      <c r="G938" s="36" t="str">
        <f t="shared" si="60"/>
        <v>Dia útil</v>
      </c>
    </row>
    <row r="939" spans="2:7" ht="12" customHeight="1">
      <c r="B939" s="43">
        <v>918</v>
      </c>
      <c r="C939" s="44">
        <v>45479</v>
      </c>
      <c r="D939" s="36">
        <f t="shared" si="58"/>
        <v>7</v>
      </c>
      <c r="E939" s="36" t="str">
        <f t="shared" si="61"/>
        <v>Sáb</v>
      </c>
      <c r="F939" s="36" t="str">
        <f t="shared" si="59"/>
        <v>Sáb</v>
      </c>
      <c r="G939" s="36" t="str">
        <f t="shared" si="60"/>
        <v>Sáb</v>
      </c>
    </row>
    <row r="940" spans="2:7" ht="12" customHeight="1">
      <c r="B940" s="43">
        <v>919</v>
      </c>
      <c r="C940" s="44">
        <v>45480</v>
      </c>
      <c r="D940" s="36">
        <f t="shared" si="58"/>
        <v>1</v>
      </c>
      <c r="E940" s="36" t="str">
        <f t="shared" si="61"/>
        <v>Dom</v>
      </c>
      <c r="F940" s="36" t="str">
        <f t="shared" si="59"/>
        <v>Dom</v>
      </c>
      <c r="G940" s="36" t="str">
        <f t="shared" si="60"/>
        <v>Dom</v>
      </c>
    </row>
    <row r="941" spans="2:7" ht="12" customHeight="1">
      <c r="B941" s="43">
        <v>920</v>
      </c>
      <c r="C941" s="44">
        <v>45481</v>
      </c>
      <c r="D941" s="36">
        <f t="shared" si="58"/>
        <v>2</v>
      </c>
      <c r="E941" s="36" t="str">
        <f t="shared" si="61"/>
        <v>Dia útil</v>
      </c>
      <c r="F941" s="36" t="str">
        <f t="shared" si="59"/>
        <v>Dia útil</v>
      </c>
      <c r="G941" s="36" t="str">
        <f t="shared" si="60"/>
        <v>Dia útil</v>
      </c>
    </row>
    <row r="942" spans="2:7" ht="12" customHeight="1">
      <c r="B942" s="43">
        <v>921</v>
      </c>
      <c r="C942" s="44">
        <v>45482</v>
      </c>
      <c r="D942" s="36">
        <f t="shared" si="58"/>
        <v>3</v>
      </c>
      <c r="E942" s="36" t="str">
        <f t="shared" si="61"/>
        <v>Dia útil</v>
      </c>
      <c r="F942" s="36" t="str">
        <f t="shared" si="59"/>
        <v>Dia útil</v>
      </c>
      <c r="G942" s="36" t="str">
        <f t="shared" si="60"/>
        <v>Dia útil</v>
      </c>
    </row>
    <row r="943" spans="2:7" ht="12" customHeight="1">
      <c r="B943" s="43">
        <v>922</v>
      </c>
      <c r="C943" s="44">
        <v>45483</v>
      </c>
      <c r="D943" s="36">
        <f t="shared" si="58"/>
        <v>4</v>
      </c>
      <c r="E943" s="36" t="str">
        <f t="shared" si="61"/>
        <v>Dia útil</v>
      </c>
      <c r="F943" s="36" t="str">
        <f t="shared" si="59"/>
        <v>Dia útil</v>
      </c>
      <c r="G943" s="36" t="str">
        <f t="shared" si="60"/>
        <v>Dia útil</v>
      </c>
    </row>
    <row r="944" spans="2:7" ht="12" customHeight="1">
      <c r="B944" s="43">
        <v>923</v>
      </c>
      <c r="C944" s="44">
        <v>45484</v>
      </c>
      <c r="D944" s="36">
        <f t="shared" si="58"/>
        <v>5</v>
      </c>
      <c r="E944" s="36" t="str">
        <f t="shared" si="61"/>
        <v>Dia útil</v>
      </c>
      <c r="F944" s="36" t="str">
        <f t="shared" si="59"/>
        <v>Dia útil</v>
      </c>
      <c r="G944" s="36" t="str">
        <f t="shared" si="60"/>
        <v>Dia útil</v>
      </c>
    </row>
    <row r="945" spans="2:7" ht="12" customHeight="1">
      <c r="B945" s="43">
        <v>924</v>
      </c>
      <c r="C945" s="44">
        <v>45485</v>
      </c>
      <c r="D945" s="36">
        <f t="shared" si="58"/>
        <v>6</v>
      </c>
      <c r="E945" s="36" t="str">
        <f t="shared" si="61"/>
        <v>Dia útil</v>
      </c>
      <c r="F945" s="36" t="str">
        <f t="shared" si="59"/>
        <v>Dia útil</v>
      </c>
      <c r="G945" s="36" t="str">
        <f t="shared" si="60"/>
        <v>Dia útil</v>
      </c>
    </row>
    <row r="946" spans="2:7" ht="12" customHeight="1">
      <c r="B946" s="43">
        <v>925</v>
      </c>
      <c r="C946" s="44">
        <v>45486</v>
      </c>
      <c r="D946" s="36">
        <f t="shared" si="58"/>
        <v>7</v>
      </c>
      <c r="E946" s="36" t="str">
        <f t="shared" si="61"/>
        <v>Sáb</v>
      </c>
      <c r="F946" s="36" t="str">
        <f t="shared" si="59"/>
        <v>Sáb</v>
      </c>
      <c r="G946" s="36" t="str">
        <f t="shared" si="60"/>
        <v>Sáb</v>
      </c>
    </row>
    <row r="947" spans="2:7" ht="12" customHeight="1">
      <c r="B947" s="43">
        <v>926</v>
      </c>
      <c r="C947" s="44">
        <v>45487</v>
      </c>
      <c r="D947" s="36">
        <f t="shared" si="58"/>
        <v>1</v>
      </c>
      <c r="E947" s="36" t="str">
        <f t="shared" si="61"/>
        <v>Dom</v>
      </c>
      <c r="F947" s="36" t="str">
        <f t="shared" si="59"/>
        <v>Dom</v>
      </c>
      <c r="G947" s="36" t="str">
        <f t="shared" si="60"/>
        <v>Dom</v>
      </c>
    </row>
    <row r="948" spans="2:7" ht="12" customHeight="1">
      <c r="B948" s="43">
        <v>927</v>
      </c>
      <c r="C948" s="44">
        <v>45488</v>
      </c>
      <c r="D948" s="36">
        <f t="shared" si="58"/>
        <v>2</v>
      </c>
      <c r="E948" s="36" t="str">
        <f t="shared" si="61"/>
        <v>Dia útil</v>
      </c>
      <c r="F948" s="36" t="str">
        <f t="shared" si="59"/>
        <v>Dia útil</v>
      </c>
      <c r="G948" s="36" t="str">
        <f t="shared" si="60"/>
        <v>Dia útil</v>
      </c>
    </row>
    <row r="949" spans="2:7" ht="12" customHeight="1">
      <c r="B949" s="43">
        <v>928</v>
      </c>
      <c r="C949" s="44">
        <v>45489</v>
      </c>
      <c r="D949" s="36">
        <f t="shared" si="58"/>
        <v>3</v>
      </c>
      <c r="E949" s="36" t="str">
        <f t="shared" si="61"/>
        <v>Dia útil</v>
      </c>
      <c r="F949" s="36" t="str">
        <f t="shared" si="59"/>
        <v>Dia útil</v>
      </c>
      <c r="G949" s="36" t="str">
        <f t="shared" si="60"/>
        <v>Dia útil</v>
      </c>
    </row>
    <row r="950" spans="2:7" ht="12" customHeight="1">
      <c r="B950" s="43">
        <v>929</v>
      </c>
      <c r="C950" s="44">
        <v>45490</v>
      </c>
      <c r="D950" s="36">
        <f t="shared" si="58"/>
        <v>4</v>
      </c>
      <c r="E950" s="36" t="str">
        <f t="shared" si="61"/>
        <v>Dia útil</v>
      </c>
      <c r="F950" s="36" t="str">
        <f t="shared" si="59"/>
        <v>Dia útil</v>
      </c>
      <c r="G950" s="36" t="str">
        <f t="shared" si="60"/>
        <v>Dia útil</v>
      </c>
    </row>
    <row r="951" spans="2:7" ht="12" customHeight="1">
      <c r="B951" s="43">
        <v>930</v>
      </c>
      <c r="C951" s="44">
        <v>45491</v>
      </c>
      <c r="D951" s="36">
        <f t="shared" si="58"/>
        <v>5</v>
      </c>
      <c r="E951" s="36" t="str">
        <f t="shared" si="61"/>
        <v>Dia útil</v>
      </c>
      <c r="F951" s="36" t="str">
        <f t="shared" si="59"/>
        <v>Dia útil</v>
      </c>
      <c r="G951" s="36" t="str">
        <f t="shared" si="60"/>
        <v>Dia útil</v>
      </c>
    </row>
    <row r="952" spans="2:7" ht="12" customHeight="1">
      <c r="B952" s="43">
        <v>931</v>
      </c>
      <c r="C952" s="44">
        <v>45492</v>
      </c>
      <c r="D952" s="36">
        <f t="shared" si="58"/>
        <v>6</v>
      </c>
      <c r="E952" s="36" t="str">
        <f t="shared" si="61"/>
        <v>Dia útil</v>
      </c>
      <c r="F952" s="36" t="str">
        <f t="shared" si="59"/>
        <v>Dia útil</v>
      </c>
      <c r="G952" s="36" t="str">
        <f t="shared" si="60"/>
        <v>Dia útil</v>
      </c>
    </row>
    <row r="953" spans="2:7" ht="12" customHeight="1">
      <c r="B953" s="43">
        <v>932</v>
      </c>
      <c r="C953" s="44">
        <v>45493</v>
      </c>
      <c r="D953" s="36">
        <f t="shared" si="58"/>
        <v>7</v>
      </c>
      <c r="E953" s="36" t="str">
        <f t="shared" si="61"/>
        <v>Sáb</v>
      </c>
      <c r="F953" s="36" t="str">
        <f t="shared" si="59"/>
        <v>Sáb</v>
      </c>
      <c r="G953" s="36" t="str">
        <f t="shared" si="60"/>
        <v>Sáb</v>
      </c>
    </row>
    <row r="954" spans="2:7" ht="12" customHeight="1">
      <c r="B954" s="43">
        <v>933</v>
      </c>
      <c r="C954" s="44">
        <v>45494</v>
      </c>
      <c r="D954" s="36">
        <f t="shared" si="58"/>
        <v>1</v>
      </c>
      <c r="E954" s="36" t="str">
        <f t="shared" si="61"/>
        <v>Dom</v>
      </c>
      <c r="F954" s="36" t="str">
        <f t="shared" si="59"/>
        <v>Dom</v>
      </c>
      <c r="G954" s="36" t="str">
        <f t="shared" si="60"/>
        <v>Dom</v>
      </c>
    </row>
    <row r="955" spans="2:7" ht="12" customHeight="1">
      <c r="B955" s="43">
        <v>934</v>
      </c>
      <c r="C955" s="44">
        <v>45495</v>
      </c>
      <c r="D955" s="36">
        <f t="shared" si="58"/>
        <v>2</v>
      </c>
      <c r="E955" s="36" t="str">
        <f t="shared" si="61"/>
        <v>Dia útil</v>
      </c>
      <c r="F955" s="36" t="str">
        <f t="shared" si="59"/>
        <v>Dia útil</v>
      </c>
      <c r="G955" s="36" t="str">
        <f t="shared" si="60"/>
        <v>Dia útil</v>
      </c>
    </row>
    <row r="956" spans="2:7" ht="12" customHeight="1">
      <c r="B956" s="43">
        <v>935</v>
      </c>
      <c r="C956" s="44">
        <v>45496</v>
      </c>
      <c r="D956" s="36">
        <f t="shared" si="58"/>
        <v>3</v>
      </c>
      <c r="E956" s="36" t="str">
        <f t="shared" si="61"/>
        <v>Dia útil</v>
      </c>
      <c r="F956" s="36" t="str">
        <f t="shared" si="59"/>
        <v>Dia útil</v>
      </c>
      <c r="G956" s="36" t="str">
        <f t="shared" si="60"/>
        <v>Dia útil</v>
      </c>
    </row>
    <row r="957" spans="2:7" ht="12" customHeight="1">
      <c r="B957" s="43">
        <v>936</v>
      </c>
      <c r="C957" s="44">
        <v>45497</v>
      </c>
      <c r="D957" s="36">
        <f t="shared" si="58"/>
        <v>4</v>
      </c>
      <c r="E957" s="36" t="str">
        <f t="shared" si="61"/>
        <v>Dia útil</v>
      </c>
      <c r="F957" s="36" t="str">
        <f t="shared" si="59"/>
        <v>Dia útil</v>
      </c>
      <c r="G957" s="36" t="str">
        <f t="shared" si="60"/>
        <v>Dia útil</v>
      </c>
    </row>
    <row r="958" spans="2:7" ht="12" customHeight="1">
      <c r="B958" s="43">
        <v>937</v>
      </c>
      <c r="C958" s="44">
        <v>45498</v>
      </c>
      <c r="D958" s="36">
        <f t="shared" si="58"/>
        <v>5</v>
      </c>
      <c r="E958" s="36" t="str">
        <f t="shared" si="61"/>
        <v>Dia útil</v>
      </c>
      <c r="F958" s="36" t="str">
        <f t="shared" si="59"/>
        <v>Dia útil</v>
      </c>
      <c r="G958" s="36" t="str">
        <f t="shared" si="60"/>
        <v>Dia útil</v>
      </c>
    </row>
    <row r="959" spans="2:7" ht="12" customHeight="1">
      <c r="B959" s="43">
        <v>938</v>
      </c>
      <c r="C959" s="44">
        <v>45499</v>
      </c>
      <c r="D959" s="36">
        <f t="shared" si="58"/>
        <v>6</v>
      </c>
      <c r="E959" s="36" t="str">
        <f t="shared" si="61"/>
        <v>Dia útil</v>
      </c>
      <c r="F959" s="36" t="str">
        <f t="shared" si="59"/>
        <v>Dia útil</v>
      </c>
      <c r="G959" s="36" t="str">
        <f t="shared" si="60"/>
        <v>Dia útil</v>
      </c>
    </row>
    <row r="960" spans="2:7" ht="12" customHeight="1">
      <c r="B960" s="43">
        <v>939</v>
      </c>
      <c r="C960" s="44">
        <v>45500</v>
      </c>
      <c r="D960" s="36">
        <f t="shared" si="58"/>
        <v>7</v>
      </c>
      <c r="E960" s="36" t="str">
        <f t="shared" si="61"/>
        <v>Sáb</v>
      </c>
      <c r="F960" s="36" t="str">
        <f t="shared" si="59"/>
        <v>Sáb</v>
      </c>
      <c r="G960" s="36" t="str">
        <f t="shared" si="60"/>
        <v>Sáb</v>
      </c>
    </row>
    <row r="961" spans="2:7" ht="12" customHeight="1">
      <c r="B961" s="43">
        <v>940</v>
      </c>
      <c r="C961" s="44">
        <v>45501</v>
      </c>
      <c r="D961" s="36">
        <f t="shared" si="58"/>
        <v>1</v>
      </c>
      <c r="E961" s="36" t="str">
        <f t="shared" si="61"/>
        <v>Dom</v>
      </c>
      <c r="F961" s="36" t="str">
        <f t="shared" si="59"/>
        <v>Dom</v>
      </c>
      <c r="G961" s="36" t="str">
        <f t="shared" si="60"/>
        <v>Dom</v>
      </c>
    </row>
    <row r="962" spans="2:7" ht="12" customHeight="1">
      <c r="B962" s="43">
        <v>941</v>
      </c>
      <c r="C962" s="44">
        <v>45502</v>
      </c>
      <c r="D962" s="36">
        <f t="shared" si="58"/>
        <v>2</v>
      </c>
      <c r="E962" s="36" t="str">
        <f t="shared" si="61"/>
        <v>Dia útil</v>
      </c>
      <c r="F962" s="36" t="str">
        <f t="shared" si="59"/>
        <v>Dia útil</v>
      </c>
      <c r="G962" s="36" t="str">
        <f t="shared" si="60"/>
        <v>Dia útil</v>
      </c>
    </row>
    <row r="963" spans="2:7" ht="12" customHeight="1">
      <c r="B963" s="43">
        <v>942</v>
      </c>
      <c r="C963" s="44">
        <v>45503</v>
      </c>
      <c r="D963" s="36">
        <f t="shared" si="58"/>
        <v>3</v>
      </c>
      <c r="E963" s="36" t="str">
        <f t="shared" si="61"/>
        <v>Dia útil</v>
      </c>
      <c r="F963" s="36" t="str">
        <f t="shared" si="59"/>
        <v>Dia útil</v>
      </c>
      <c r="G963" s="36" t="str">
        <f t="shared" si="60"/>
        <v>Dia útil</v>
      </c>
    </row>
    <row r="964" spans="2:7" ht="12" customHeight="1">
      <c r="B964" s="43">
        <v>943</v>
      </c>
      <c r="C964" s="44">
        <v>45504</v>
      </c>
      <c r="D964" s="36">
        <f t="shared" si="58"/>
        <v>4</v>
      </c>
      <c r="E964" s="36" t="str">
        <f t="shared" si="61"/>
        <v>Dia útil</v>
      </c>
      <c r="F964" s="36" t="str">
        <f t="shared" si="59"/>
        <v>Dia útil</v>
      </c>
      <c r="G964" s="36" t="str">
        <f t="shared" si="60"/>
        <v>Dia útil</v>
      </c>
    </row>
    <row r="965" spans="2:7" ht="12" customHeight="1">
      <c r="B965" s="43">
        <v>944</v>
      </c>
      <c r="C965" s="44">
        <v>45505</v>
      </c>
      <c r="D965" s="36">
        <f t="shared" si="58"/>
        <v>5</v>
      </c>
      <c r="E965" s="36" t="str">
        <f t="shared" si="61"/>
        <v>Dia útil</v>
      </c>
      <c r="F965" s="36" t="str">
        <f t="shared" si="59"/>
        <v>Dia útil</v>
      </c>
      <c r="G965" s="36" t="str">
        <f t="shared" si="60"/>
        <v>Dia útil</v>
      </c>
    </row>
    <row r="966" spans="2:7" ht="12" customHeight="1">
      <c r="B966" s="43">
        <v>945</v>
      </c>
      <c r="C966" s="44">
        <v>45506</v>
      </c>
      <c r="D966" s="36">
        <f t="shared" si="58"/>
        <v>6</v>
      </c>
      <c r="E966" s="36" t="str">
        <f t="shared" si="61"/>
        <v>Dia útil</v>
      </c>
      <c r="F966" s="36" t="str">
        <f t="shared" si="59"/>
        <v>Dia útil</v>
      </c>
      <c r="G966" s="36" t="str">
        <f t="shared" si="60"/>
        <v>Dia útil</v>
      </c>
    </row>
    <row r="967" spans="2:7" ht="12" customHeight="1">
      <c r="B967" s="43">
        <v>946</v>
      </c>
      <c r="C967" s="44">
        <v>45507</v>
      </c>
      <c r="D967" s="36">
        <f t="shared" si="58"/>
        <v>7</v>
      </c>
      <c r="E967" s="36" t="str">
        <f t="shared" si="61"/>
        <v>Sáb</v>
      </c>
      <c r="F967" s="36" t="str">
        <f t="shared" si="59"/>
        <v>Sáb</v>
      </c>
      <c r="G967" s="36" t="str">
        <f t="shared" si="60"/>
        <v>Sáb</v>
      </c>
    </row>
    <row r="968" spans="2:7" ht="12" customHeight="1">
      <c r="B968" s="43">
        <v>947</v>
      </c>
      <c r="C968" s="44">
        <v>45508</v>
      </c>
      <c r="D968" s="36">
        <f t="shared" si="58"/>
        <v>1</v>
      </c>
      <c r="E968" s="36" t="str">
        <f t="shared" si="61"/>
        <v>Dom</v>
      </c>
      <c r="F968" s="36" t="str">
        <f t="shared" si="59"/>
        <v>Dom</v>
      </c>
      <c r="G968" s="36" t="str">
        <f t="shared" si="60"/>
        <v>Dom</v>
      </c>
    </row>
    <row r="969" spans="2:7" ht="12" customHeight="1">
      <c r="B969" s="43">
        <v>948</v>
      </c>
      <c r="C969" s="44">
        <v>45509</v>
      </c>
      <c r="D969" s="36">
        <f t="shared" si="58"/>
        <v>2</v>
      </c>
      <c r="E969" s="36" t="str">
        <f t="shared" si="61"/>
        <v>Dia útil</v>
      </c>
      <c r="F969" s="36" t="str">
        <f t="shared" si="59"/>
        <v>Dia útil</v>
      </c>
      <c r="G969" s="36" t="str">
        <f t="shared" si="60"/>
        <v>Dia útil</v>
      </c>
    </row>
    <row r="970" spans="2:7" ht="12" customHeight="1">
      <c r="B970" s="43">
        <v>949</v>
      </c>
      <c r="C970" s="44">
        <v>45510</v>
      </c>
      <c r="D970" s="36">
        <f t="shared" si="58"/>
        <v>3</v>
      </c>
      <c r="E970" s="36" t="str">
        <f t="shared" si="61"/>
        <v>Dia útil</v>
      </c>
      <c r="F970" s="36" t="str">
        <f t="shared" si="59"/>
        <v>Dia útil</v>
      </c>
      <c r="G970" s="36" t="str">
        <f t="shared" si="60"/>
        <v>Dia útil</v>
      </c>
    </row>
    <row r="971" spans="2:7" ht="12" customHeight="1">
      <c r="B971" s="43">
        <v>950</v>
      </c>
      <c r="C971" s="44">
        <v>45511</v>
      </c>
      <c r="D971" s="36">
        <f t="shared" si="58"/>
        <v>4</v>
      </c>
      <c r="E971" s="36" t="str">
        <f t="shared" si="61"/>
        <v>Dia útil</v>
      </c>
      <c r="F971" s="36" t="str">
        <f t="shared" si="59"/>
        <v>Dia útil</v>
      </c>
      <c r="G971" s="36" t="str">
        <f t="shared" si="60"/>
        <v>Dia útil</v>
      </c>
    </row>
    <row r="972" spans="2:7" ht="12" customHeight="1">
      <c r="B972" s="43">
        <v>951</v>
      </c>
      <c r="C972" s="44">
        <v>45512</v>
      </c>
      <c r="D972" s="36">
        <f t="shared" si="58"/>
        <v>5</v>
      </c>
      <c r="E972" s="36" t="str">
        <f t="shared" si="61"/>
        <v>Dia útil</v>
      </c>
      <c r="F972" s="36" t="str">
        <f t="shared" si="59"/>
        <v>Dia útil</v>
      </c>
      <c r="G972" s="36" t="str">
        <f t="shared" si="60"/>
        <v>Dia útil</v>
      </c>
    </row>
    <row r="973" spans="2:7" ht="12" customHeight="1">
      <c r="B973" s="43">
        <v>952</v>
      </c>
      <c r="C973" s="44">
        <v>45513</v>
      </c>
      <c r="D973" s="36">
        <f t="shared" si="58"/>
        <v>6</v>
      </c>
      <c r="E973" s="36" t="str">
        <f t="shared" si="61"/>
        <v>Dia útil</v>
      </c>
      <c r="F973" s="36" t="str">
        <f t="shared" si="59"/>
        <v>Dia útil</v>
      </c>
      <c r="G973" s="36" t="str">
        <f t="shared" si="60"/>
        <v>Dia útil</v>
      </c>
    </row>
    <row r="974" spans="2:7" ht="12" customHeight="1">
      <c r="B974" s="43">
        <v>953</v>
      </c>
      <c r="C974" s="44">
        <v>45514</v>
      </c>
      <c r="D974" s="36">
        <f t="shared" si="58"/>
        <v>7</v>
      </c>
      <c r="E974" s="36" t="str">
        <f t="shared" si="61"/>
        <v>Sáb</v>
      </c>
      <c r="F974" s="36" t="str">
        <f t="shared" si="59"/>
        <v>Sáb</v>
      </c>
      <c r="G974" s="36" t="str">
        <f t="shared" si="60"/>
        <v>Sáb</v>
      </c>
    </row>
    <row r="975" spans="2:7" ht="12" customHeight="1">
      <c r="B975" s="43">
        <v>954</v>
      </c>
      <c r="C975" s="44">
        <v>45515</v>
      </c>
      <c r="D975" s="36">
        <f t="shared" si="58"/>
        <v>1</v>
      </c>
      <c r="E975" s="36" t="str">
        <f t="shared" si="61"/>
        <v>Dom</v>
      </c>
      <c r="F975" s="36" t="str">
        <f t="shared" si="59"/>
        <v>Dom</v>
      </c>
      <c r="G975" s="36" t="str">
        <f t="shared" si="60"/>
        <v>Dom</v>
      </c>
    </row>
    <row r="976" spans="2:7" ht="12" customHeight="1">
      <c r="B976" s="43">
        <v>955</v>
      </c>
      <c r="C976" s="44">
        <v>45516</v>
      </c>
      <c r="D976" s="36">
        <f t="shared" si="58"/>
        <v>2</v>
      </c>
      <c r="E976" s="36" t="str">
        <f t="shared" si="61"/>
        <v>Dia útil</v>
      </c>
      <c r="F976" s="36" t="str">
        <f t="shared" si="59"/>
        <v>Dia útil</v>
      </c>
      <c r="G976" s="36" t="str">
        <f t="shared" si="60"/>
        <v>Dia útil</v>
      </c>
    </row>
    <row r="977" spans="2:7" ht="12" customHeight="1">
      <c r="B977" s="43">
        <v>956</v>
      </c>
      <c r="C977" s="44">
        <v>45517</v>
      </c>
      <c r="D977" s="36">
        <f t="shared" si="58"/>
        <v>3</v>
      </c>
      <c r="E977" s="36" t="str">
        <f t="shared" si="61"/>
        <v>Dia útil</v>
      </c>
      <c r="F977" s="36" t="str">
        <f t="shared" si="59"/>
        <v>Dia útil</v>
      </c>
      <c r="G977" s="36" t="str">
        <f t="shared" si="60"/>
        <v>Dia útil</v>
      </c>
    </row>
    <row r="978" spans="2:7" ht="12" customHeight="1">
      <c r="B978" s="43">
        <v>957</v>
      </c>
      <c r="C978" s="44">
        <v>45518</v>
      </c>
      <c r="D978" s="36">
        <f t="shared" si="58"/>
        <v>4</v>
      </c>
      <c r="E978" s="36" t="str">
        <f t="shared" si="61"/>
        <v>Dia útil</v>
      </c>
      <c r="F978" s="36" t="str">
        <f t="shared" si="59"/>
        <v>Dia útil</v>
      </c>
      <c r="G978" s="36" t="str">
        <f t="shared" si="60"/>
        <v>Dia útil</v>
      </c>
    </row>
    <row r="979" spans="2:7" ht="12" customHeight="1">
      <c r="B979" s="43">
        <v>958</v>
      </c>
      <c r="C979" s="44">
        <v>45519</v>
      </c>
      <c r="D979" s="36">
        <f t="shared" si="58"/>
        <v>5</v>
      </c>
      <c r="E979" s="36" t="str">
        <f t="shared" si="61"/>
        <v>Dia útil</v>
      </c>
      <c r="F979" s="36" t="str">
        <f t="shared" si="59"/>
        <v>Dia útil</v>
      </c>
      <c r="G979" s="36" t="str">
        <f t="shared" si="60"/>
        <v>Dia útil</v>
      </c>
    </row>
    <row r="980" spans="2:7" ht="12" customHeight="1">
      <c r="B980" s="43">
        <v>959</v>
      </c>
      <c r="C980" s="44">
        <v>45520</v>
      </c>
      <c r="D980" s="36">
        <f t="shared" si="58"/>
        <v>6</v>
      </c>
      <c r="E980" s="36" t="str">
        <f t="shared" si="61"/>
        <v>Dia útil</v>
      </c>
      <c r="F980" s="36" t="str">
        <f t="shared" si="59"/>
        <v>Dia útil</v>
      </c>
      <c r="G980" s="36" t="str">
        <f t="shared" si="60"/>
        <v>Dia útil</v>
      </c>
    </row>
    <row r="981" spans="2:7" ht="12" customHeight="1">
      <c r="B981" s="43">
        <v>960</v>
      </c>
      <c r="C981" s="44">
        <v>45521</v>
      </c>
      <c r="D981" s="36">
        <f t="shared" si="58"/>
        <v>7</v>
      </c>
      <c r="E981" s="36" t="str">
        <f t="shared" si="61"/>
        <v>Sáb</v>
      </c>
      <c r="F981" s="36" t="str">
        <f t="shared" si="59"/>
        <v>Sáb</v>
      </c>
      <c r="G981" s="36" t="str">
        <f t="shared" si="60"/>
        <v>Sáb</v>
      </c>
    </row>
    <row r="982" spans="2:7" ht="12" customHeight="1">
      <c r="B982" s="43">
        <v>961</v>
      </c>
      <c r="C982" s="44">
        <v>45522</v>
      </c>
      <c r="D982" s="36">
        <f t="shared" si="58"/>
        <v>1</v>
      </c>
      <c r="E982" s="36" t="str">
        <f t="shared" si="61"/>
        <v>Dom</v>
      </c>
      <c r="F982" s="36" t="str">
        <f t="shared" si="59"/>
        <v>Dom</v>
      </c>
      <c r="G982" s="36" t="str">
        <f t="shared" si="60"/>
        <v>Dom</v>
      </c>
    </row>
    <row r="983" spans="2:7" ht="12" customHeight="1">
      <c r="B983" s="43">
        <v>962</v>
      </c>
      <c r="C983" s="44">
        <v>45523</v>
      </c>
      <c r="D983" s="36">
        <f t="shared" ref="D983:D1046" si="62">WEEKDAY(C983,1)</f>
        <v>2</v>
      </c>
      <c r="E983" s="36" t="str">
        <f t="shared" si="61"/>
        <v>Dia útil</v>
      </c>
      <c r="F983" s="36" t="str">
        <f t="shared" ref="F983:F1046" si="63">E983</f>
        <v>Dia útil</v>
      </c>
      <c r="G983" s="36" t="str">
        <f t="shared" ref="G983:G1046" si="64">IF(AND(F983="Feriado",OR(E983="Sáb",E983="Dom")),E983,IF(AND(F983="Feriado",E983="Dia útil"),"Feriado",E983))</f>
        <v>Dia útil</v>
      </c>
    </row>
    <row r="984" spans="2:7" ht="12" customHeight="1">
      <c r="B984" s="43">
        <v>963</v>
      </c>
      <c r="C984" s="44">
        <v>45524</v>
      </c>
      <c r="D984" s="36">
        <f t="shared" si="62"/>
        <v>3</v>
      </c>
      <c r="E984" s="36" t="str">
        <f t="shared" si="61"/>
        <v>Dia útil</v>
      </c>
      <c r="F984" s="36" t="str">
        <f t="shared" si="63"/>
        <v>Dia útil</v>
      </c>
      <c r="G984" s="36" t="str">
        <f t="shared" si="64"/>
        <v>Dia útil</v>
      </c>
    </row>
    <row r="985" spans="2:7" ht="12" customHeight="1">
      <c r="B985" s="43">
        <v>964</v>
      </c>
      <c r="C985" s="44">
        <v>45525</v>
      </c>
      <c r="D985" s="36">
        <f t="shared" si="62"/>
        <v>4</v>
      </c>
      <c r="E985" s="36" t="str">
        <f t="shared" ref="E985:E1048" si="65">IF(D985=1,"Dom",IF(D985=7,"Sáb","Dia útil"))</f>
        <v>Dia útil</v>
      </c>
      <c r="F985" s="36" t="str">
        <f t="shared" si="63"/>
        <v>Dia útil</v>
      </c>
      <c r="G985" s="36" t="str">
        <f t="shared" si="64"/>
        <v>Dia útil</v>
      </c>
    </row>
    <row r="986" spans="2:7" ht="12" customHeight="1">
      <c r="B986" s="43">
        <v>965</v>
      </c>
      <c r="C986" s="44">
        <v>45526</v>
      </c>
      <c r="D986" s="36">
        <f t="shared" si="62"/>
        <v>5</v>
      </c>
      <c r="E986" s="36" t="str">
        <f t="shared" si="65"/>
        <v>Dia útil</v>
      </c>
      <c r="F986" s="36" t="str">
        <f t="shared" si="63"/>
        <v>Dia útil</v>
      </c>
      <c r="G986" s="36" t="str">
        <f t="shared" si="64"/>
        <v>Dia útil</v>
      </c>
    </row>
    <row r="987" spans="2:7" ht="12" customHeight="1">
      <c r="B987" s="43">
        <v>966</v>
      </c>
      <c r="C987" s="44">
        <v>45527</v>
      </c>
      <c r="D987" s="36">
        <f t="shared" si="62"/>
        <v>6</v>
      </c>
      <c r="E987" s="36" t="str">
        <f t="shared" si="65"/>
        <v>Dia útil</v>
      </c>
      <c r="F987" s="36" t="str">
        <f t="shared" si="63"/>
        <v>Dia útil</v>
      </c>
      <c r="G987" s="36" t="str">
        <f t="shared" si="64"/>
        <v>Dia útil</v>
      </c>
    </row>
    <row r="988" spans="2:7" ht="12" customHeight="1">
      <c r="B988" s="43">
        <v>967</v>
      </c>
      <c r="C988" s="44">
        <v>45528</v>
      </c>
      <c r="D988" s="36">
        <f t="shared" si="62"/>
        <v>7</v>
      </c>
      <c r="E988" s="36" t="str">
        <f t="shared" si="65"/>
        <v>Sáb</v>
      </c>
      <c r="F988" s="36" t="str">
        <f t="shared" si="63"/>
        <v>Sáb</v>
      </c>
      <c r="G988" s="36" t="str">
        <f t="shared" si="64"/>
        <v>Sáb</v>
      </c>
    </row>
    <row r="989" spans="2:7" ht="12" customHeight="1">
      <c r="B989" s="43">
        <v>968</v>
      </c>
      <c r="C989" s="44">
        <v>45529</v>
      </c>
      <c r="D989" s="36">
        <f t="shared" si="62"/>
        <v>1</v>
      </c>
      <c r="E989" s="36" t="str">
        <f t="shared" si="65"/>
        <v>Dom</v>
      </c>
      <c r="F989" s="36" t="str">
        <f t="shared" si="63"/>
        <v>Dom</v>
      </c>
      <c r="G989" s="36" t="str">
        <f t="shared" si="64"/>
        <v>Dom</v>
      </c>
    </row>
    <row r="990" spans="2:7" ht="12" customHeight="1">
      <c r="B990" s="43">
        <v>969</v>
      </c>
      <c r="C990" s="44">
        <v>45530</v>
      </c>
      <c r="D990" s="36">
        <f t="shared" si="62"/>
        <v>2</v>
      </c>
      <c r="E990" s="36" t="str">
        <f t="shared" si="65"/>
        <v>Dia útil</v>
      </c>
      <c r="F990" s="36" t="str">
        <f t="shared" si="63"/>
        <v>Dia útil</v>
      </c>
      <c r="G990" s="36" t="str">
        <f t="shared" si="64"/>
        <v>Dia útil</v>
      </c>
    </row>
    <row r="991" spans="2:7" ht="12" customHeight="1">
      <c r="B991" s="43">
        <v>970</v>
      </c>
      <c r="C991" s="44">
        <v>45531</v>
      </c>
      <c r="D991" s="36">
        <f t="shared" si="62"/>
        <v>3</v>
      </c>
      <c r="E991" s="36" t="str">
        <f t="shared" si="65"/>
        <v>Dia útil</v>
      </c>
      <c r="F991" s="36" t="str">
        <f t="shared" si="63"/>
        <v>Dia útil</v>
      </c>
      <c r="G991" s="36" t="str">
        <f t="shared" si="64"/>
        <v>Dia útil</v>
      </c>
    </row>
    <row r="992" spans="2:7" ht="12" customHeight="1">
      <c r="B992" s="43">
        <v>971</v>
      </c>
      <c r="C992" s="44">
        <v>45532</v>
      </c>
      <c r="D992" s="36">
        <f t="shared" si="62"/>
        <v>4</v>
      </c>
      <c r="E992" s="36" t="str">
        <f t="shared" si="65"/>
        <v>Dia útil</v>
      </c>
      <c r="F992" s="36" t="str">
        <f t="shared" si="63"/>
        <v>Dia útil</v>
      </c>
      <c r="G992" s="36" t="str">
        <f t="shared" si="64"/>
        <v>Dia útil</v>
      </c>
    </row>
    <row r="993" spans="2:7" ht="12" customHeight="1">
      <c r="B993" s="43">
        <v>972</v>
      </c>
      <c r="C993" s="44">
        <v>45533</v>
      </c>
      <c r="D993" s="36">
        <f t="shared" si="62"/>
        <v>5</v>
      </c>
      <c r="E993" s="36" t="str">
        <f t="shared" si="65"/>
        <v>Dia útil</v>
      </c>
      <c r="F993" s="36" t="str">
        <f t="shared" si="63"/>
        <v>Dia útil</v>
      </c>
      <c r="G993" s="36" t="str">
        <f t="shared" si="64"/>
        <v>Dia útil</v>
      </c>
    </row>
    <row r="994" spans="2:7" ht="12" customHeight="1">
      <c r="B994" s="43">
        <v>973</v>
      </c>
      <c r="C994" s="44">
        <v>45534</v>
      </c>
      <c r="D994" s="36">
        <f t="shared" si="62"/>
        <v>6</v>
      </c>
      <c r="E994" s="36" t="str">
        <f t="shared" si="65"/>
        <v>Dia útil</v>
      </c>
      <c r="F994" s="36" t="str">
        <f t="shared" si="63"/>
        <v>Dia útil</v>
      </c>
      <c r="G994" s="36" t="str">
        <f t="shared" si="64"/>
        <v>Dia útil</v>
      </c>
    </row>
    <row r="995" spans="2:7" ht="12" customHeight="1">
      <c r="B995" s="43">
        <v>974</v>
      </c>
      <c r="C995" s="44">
        <v>45535</v>
      </c>
      <c r="D995" s="36">
        <f t="shared" si="62"/>
        <v>7</v>
      </c>
      <c r="E995" s="36" t="str">
        <f t="shared" si="65"/>
        <v>Sáb</v>
      </c>
      <c r="F995" s="36" t="str">
        <f t="shared" si="63"/>
        <v>Sáb</v>
      </c>
      <c r="G995" s="36" t="str">
        <f t="shared" si="64"/>
        <v>Sáb</v>
      </c>
    </row>
    <row r="996" spans="2:7" ht="12" customHeight="1">
      <c r="B996" s="43">
        <v>975</v>
      </c>
      <c r="C996" s="44">
        <v>45536</v>
      </c>
      <c r="D996" s="36">
        <f t="shared" si="62"/>
        <v>1</v>
      </c>
      <c r="E996" s="36" t="str">
        <f t="shared" si="65"/>
        <v>Dom</v>
      </c>
      <c r="F996" s="36" t="str">
        <f t="shared" si="63"/>
        <v>Dom</v>
      </c>
      <c r="G996" s="36" t="str">
        <f t="shared" si="64"/>
        <v>Dom</v>
      </c>
    </row>
    <row r="997" spans="2:7" ht="12" customHeight="1">
      <c r="B997" s="43">
        <v>976</v>
      </c>
      <c r="C997" s="44">
        <v>45537</v>
      </c>
      <c r="D997" s="36">
        <f t="shared" si="62"/>
        <v>2</v>
      </c>
      <c r="E997" s="36" t="str">
        <f t="shared" si="65"/>
        <v>Dia útil</v>
      </c>
      <c r="F997" s="36" t="str">
        <f t="shared" si="63"/>
        <v>Dia útil</v>
      </c>
      <c r="G997" s="36" t="str">
        <f t="shared" si="64"/>
        <v>Dia útil</v>
      </c>
    </row>
    <row r="998" spans="2:7" ht="12" customHeight="1">
      <c r="B998" s="43">
        <v>977</v>
      </c>
      <c r="C998" s="44">
        <v>45538</v>
      </c>
      <c r="D998" s="36">
        <f t="shared" si="62"/>
        <v>3</v>
      </c>
      <c r="E998" s="36" t="str">
        <f t="shared" si="65"/>
        <v>Dia útil</v>
      </c>
      <c r="F998" s="36" t="str">
        <f t="shared" si="63"/>
        <v>Dia útil</v>
      </c>
      <c r="G998" s="36" t="str">
        <f t="shared" si="64"/>
        <v>Dia útil</v>
      </c>
    </row>
    <row r="999" spans="2:7" ht="12" customHeight="1">
      <c r="B999" s="43">
        <v>978</v>
      </c>
      <c r="C999" s="44">
        <v>45539</v>
      </c>
      <c r="D999" s="36">
        <f t="shared" si="62"/>
        <v>4</v>
      </c>
      <c r="E999" s="36" t="str">
        <f t="shared" si="65"/>
        <v>Dia útil</v>
      </c>
      <c r="F999" s="36" t="str">
        <f t="shared" si="63"/>
        <v>Dia útil</v>
      </c>
      <c r="G999" s="36" t="str">
        <f t="shared" si="64"/>
        <v>Dia útil</v>
      </c>
    </row>
    <row r="1000" spans="2:7" ht="12" customHeight="1">
      <c r="B1000" s="43">
        <v>979</v>
      </c>
      <c r="C1000" s="44">
        <v>45540</v>
      </c>
      <c r="D1000" s="36">
        <f t="shared" si="62"/>
        <v>5</v>
      </c>
      <c r="E1000" s="36" t="str">
        <f t="shared" si="65"/>
        <v>Dia útil</v>
      </c>
      <c r="F1000" s="36" t="str">
        <f t="shared" si="63"/>
        <v>Dia útil</v>
      </c>
      <c r="G1000" s="36" t="str">
        <f t="shared" si="64"/>
        <v>Dia útil</v>
      </c>
    </row>
    <row r="1001" spans="2:7" ht="12" customHeight="1">
      <c r="B1001" s="43">
        <v>980</v>
      </c>
      <c r="C1001" s="44">
        <v>45541</v>
      </c>
      <c r="D1001" s="36">
        <f t="shared" si="62"/>
        <v>6</v>
      </c>
      <c r="E1001" s="36" t="str">
        <f t="shared" si="65"/>
        <v>Dia útil</v>
      </c>
      <c r="F1001" s="36" t="str">
        <f t="shared" si="63"/>
        <v>Dia útil</v>
      </c>
      <c r="G1001" s="36" t="str">
        <f t="shared" si="64"/>
        <v>Dia útil</v>
      </c>
    </row>
    <row r="1002" spans="2:7" ht="12" customHeight="1">
      <c r="B1002" s="43">
        <v>981</v>
      </c>
      <c r="C1002" s="44">
        <v>45542</v>
      </c>
      <c r="D1002" s="36">
        <f t="shared" si="62"/>
        <v>7</v>
      </c>
      <c r="E1002" s="36" t="str">
        <f t="shared" si="65"/>
        <v>Sáb</v>
      </c>
      <c r="F1002" s="46" t="s">
        <v>1725</v>
      </c>
      <c r="G1002" s="36" t="str">
        <f t="shared" si="64"/>
        <v>Sáb</v>
      </c>
    </row>
    <row r="1003" spans="2:7" ht="12" customHeight="1">
      <c r="B1003" s="43">
        <v>982</v>
      </c>
      <c r="C1003" s="44">
        <v>45543</v>
      </c>
      <c r="D1003" s="36">
        <f t="shared" si="62"/>
        <v>1</v>
      </c>
      <c r="E1003" s="36" t="str">
        <f t="shared" si="65"/>
        <v>Dom</v>
      </c>
      <c r="F1003" s="36" t="str">
        <f t="shared" si="63"/>
        <v>Dom</v>
      </c>
      <c r="G1003" s="36" t="str">
        <f t="shared" si="64"/>
        <v>Dom</v>
      </c>
    </row>
    <row r="1004" spans="2:7" ht="12" customHeight="1">
      <c r="B1004" s="43">
        <v>983</v>
      </c>
      <c r="C1004" s="44">
        <v>45544</v>
      </c>
      <c r="D1004" s="36">
        <f t="shared" si="62"/>
        <v>2</v>
      </c>
      <c r="E1004" s="36" t="str">
        <f t="shared" si="65"/>
        <v>Dia útil</v>
      </c>
      <c r="F1004" s="36" t="str">
        <f t="shared" si="63"/>
        <v>Dia útil</v>
      </c>
      <c r="G1004" s="36" t="str">
        <f t="shared" si="64"/>
        <v>Dia útil</v>
      </c>
    </row>
    <row r="1005" spans="2:7" ht="12" customHeight="1">
      <c r="B1005" s="43">
        <v>984</v>
      </c>
      <c r="C1005" s="44">
        <v>45545</v>
      </c>
      <c r="D1005" s="36">
        <f t="shared" si="62"/>
        <v>3</v>
      </c>
      <c r="E1005" s="36" t="str">
        <f t="shared" si="65"/>
        <v>Dia útil</v>
      </c>
      <c r="F1005" s="36" t="str">
        <f t="shared" si="63"/>
        <v>Dia útil</v>
      </c>
      <c r="G1005" s="36" t="str">
        <f t="shared" si="64"/>
        <v>Dia útil</v>
      </c>
    </row>
    <row r="1006" spans="2:7" ht="12" customHeight="1">
      <c r="B1006" s="43">
        <v>985</v>
      </c>
      <c r="C1006" s="44">
        <v>45546</v>
      </c>
      <c r="D1006" s="36">
        <f t="shared" si="62"/>
        <v>4</v>
      </c>
      <c r="E1006" s="36" t="str">
        <f t="shared" si="65"/>
        <v>Dia útil</v>
      </c>
      <c r="F1006" s="36" t="str">
        <f t="shared" si="63"/>
        <v>Dia útil</v>
      </c>
      <c r="G1006" s="36" t="str">
        <f t="shared" si="64"/>
        <v>Dia útil</v>
      </c>
    </row>
    <row r="1007" spans="2:7" ht="12" customHeight="1">
      <c r="B1007" s="43">
        <v>986</v>
      </c>
      <c r="C1007" s="44">
        <v>45547</v>
      </c>
      <c r="D1007" s="36">
        <f t="shared" si="62"/>
        <v>5</v>
      </c>
      <c r="E1007" s="36" t="str">
        <f t="shared" si="65"/>
        <v>Dia útil</v>
      </c>
      <c r="F1007" s="36" t="str">
        <f t="shared" si="63"/>
        <v>Dia útil</v>
      </c>
      <c r="G1007" s="36" t="str">
        <f t="shared" si="64"/>
        <v>Dia útil</v>
      </c>
    </row>
    <row r="1008" spans="2:7" ht="12" customHeight="1">
      <c r="B1008" s="43">
        <v>987</v>
      </c>
      <c r="C1008" s="44">
        <v>45548</v>
      </c>
      <c r="D1008" s="36">
        <f t="shared" si="62"/>
        <v>6</v>
      </c>
      <c r="E1008" s="36" t="str">
        <f t="shared" si="65"/>
        <v>Dia útil</v>
      </c>
      <c r="F1008" s="36" t="str">
        <f t="shared" si="63"/>
        <v>Dia útil</v>
      </c>
      <c r="G1008" s="36" t="str">
        <f t="shared" si="64"/>
        <v>Dia útil</v>
      </c>
    </row>
    <row r="1009" spans="2:7" ht="12" customHeight="1">
      <c r="B1009" s="43">
        <v>988</v>
      </c>
      <c r="C1009" s="44">
        <v>45549</v>
      </c>
      <c r="D1009" s="36">
        <f t="shared" si="62"/>
        <v>7</v>
      </c>
      <c r="E1009" s="36" t="str">
        <f t="shared" si="65"/>
        <v>Sáb</v>
      </c>
      <c r="F1009" s="36" t="str">
        <f t="shared" si="63"/>
        <v>Sáb</v>
      </c>
      <c r="G1009" s="36" t="str">
        <f t="shared" si="64"/>
        <v>Sáb</v>
      </c>
    </row>
    <row r="1010" spans="2:7" ht="12" customHeight="1">
      <c r="B1010" s="43">
        <v>989</v>
      </c>
      <c r="C1010" s="44">
        <v>45550</v>
      </c>
      <c r="D1010" s="36">
        <f t="shared" si="62"/>
        <v>1</v>
      </c>
      <c r="E1010" s="36" t="str">
        <f t="shared" si="65"/>
        <v>Dom</v>
      </c>
      <c r="F1010" s="36" t="str">
        <f t="shared" si="63"/>
        <v>Dom</v>
      </c>
      <c r="G1010" s="36" t="str">
        <f t="shared" si="64"/>
        <v>Dom</v>
      </c>
    </row>
    <row r="1011" spans="2:7" ht="12" customHeight="1">
      <c r="B1011" s="43">
        <v>990</v>
      </c>
      <c r="C1011" s="44">
        <v>45551</v>
      </c>
      <c r="D1011" s="36">
        <f t="shared" si="62"/>
        <v>2</v>
      </c>
      <c r="E1011" s="36" t="str">
        <f t="shared" si="65"/>
        <v>Dia útil</v>
      </c>
      <c r="F1011" s="36" t="str">
        <f t="shared" si="63"/>
        <v>Dia útil</v>
      </c>
      <c r="G1011" s="36" t="str">
        <f t="shared" si="64"/>
        <v>Dia útil</v>
      </c>
    </row>
    <row r="1012" spans="2:7" ht="12" customHeight="1">
      <c r="B1012" s="43">
        <v>991</v>
      </c>
      <c r="C1012" s="44">
        <v>45552</v>
      </c>
      <c r="D1012" s="36">
        <f t="shared" si="62"/>
        <v>3</v>
      </c>
      <c r="E1012" s="36" t="str">
        <f t="shared" si="65"/>
        <v>Dia útil</v>
      </c>
      <c r="F1012" s="36" t="str">
        <f t="shared" si="63"/>
        <v>Dia útil</v>
      </c>
      <c r="G1012" s="36" t="str">
        <f t="shared" si="64"/>
        <v>Dia útil</v>
      </c>
    </row>
    <row r="1013" spans="2:7" ht="12" customHeight="1">
      <c r="B1013" s="43">
        <v>992</v>
      </c>
      <c r="C1013" s="44">
        <v>45553</v>
      </c>
      <c r="D1013" s="36">
        <f t="shared" si="62"/>
        <v>4</v>
      </c>
      <c r="E1013" s="36" t="str">
        <f t="shared" si="65"/>
        <v>Dia útil</v>
      </c>
      <c r="F1013" s="36" t="str">
        <f t="shared" si="63"/>
        <v>Dia útil</v>
      </c>
      <c r="G1013" s="36" t="str">
        <f t="shared" si="64"/>
        <v>Dia útil</v>
      </c>
    </row>
    <row r="1014" spans="2:7" ht="12" customHeight="1">
      <c r="B1014" s="43">
        <v>993</v>
      </c>
      <c r="C1014" s="44">
        <v>45554</v>
      </c>
      <c r="D1014" s="36">
        <f t="shared" si="62"/>
        <v>5</v>
      </c>
      <c r="E1014" s="36" t="str">
        <f t="shared" si="65"/>
        <v>Dia útil</v>
      </c>
      <c r="F1014" s="36" t="str">
        <f t="shared" si="63"/>
        <v>Dia útil</v>
      </c>
      <c r="G1014" s="36" t="str">
        <f t="shared" si="64"/>
        <v>Dia útil</v>
      </c>
    </row>
    <row r="1015" spans="2:7" ht="12" customHeight="1">
      <c r="B1015" s="43">
        <v>994</v>
      </c>
      <c r="C1015" s="44">
        <v>45555</v>
      </c>
      <c r="D1015" s="36">
        <f t="shared" si="62"/>
        <v>6</v>
      </c>
      <c r="E1015" s="36" t="str">
        <f t="shared" si="65"/>
        <v>Dia útil</v>
      </c>
      <c r="F1015" s="36" t="str">
        <f t="shared" si="63"/>
        <v>Dia útil</v>
      </c>
      <c r="G1015" s="36" t="str">
        <f t="shared" si="64"/>
        <v>Dia útil</v>
      </c>
    </row>
    <row r="1016" spans="2:7" ht="12" customHeight="1">
      <c r="B1016" s="43">
        <v>995</v>
      </c>
      <c r="C1016" s="44">
        <v>45556</v>
      </c>
      <c r="D1016" s="36">
        <f t="shared" si="62"/>
        <v>7</v>
      </c>
      <c r="E1016" s="36" t="str">
        <f t="shared" si="65"/>
        <v>Sáb</v>
      </c>
      <c r="F1016" s="36" t="str">
        <f t="shared" si="63"/>
        <v>Sáb</v>
      </c>
      <c r="G1016" s="36" t="str">
        <f t="shared" si="64"/>
        <v>Sáb</v>
      </c>
    </row>
    <row r="1017" spans="2:7" ht="12" customHeight="1">
      <c r="B1017" s="43">
        <v>996</v>
      </c>
      <c r="C1017" s="44">
        <v>45557</v>
      </c>
      <c r="D1017" s="36">
        <f t="shared" si="62"/>
        <v>1</v>
      </c>
      <c r="E1017" s="36" t="str">
        <f t="shared" si="65"/>
        <v>Dom</v>
      </c>
      <c r="F1017" s="36" t="str">
        <f t="shared" si="63"/>
        <v>Dom</v>
      </c>
      <c r="G1017" s="36" t="str">
        <f t="shared" si="64"/>
        <v>Dom</v>
      </c>
    </row>
    <row r="1018" spans="2:7" ht="12" customHeight="1">
      <c r="B1018" s="43">
        <v>997</v>
      </c>
      <c r="C1018" s="44">
        <v>45558</v>
      </c>
      <c r="D1018" s="36">
        <f t="shared" si="62"/>
        <v>2</v>
      </c>
      <c r="E1018" s="36" t="str">
        <f t="shared" si="65"/>
        <v>Dia útil</v>
      </c>
      <c r="F1018" s="36" t="str">
        <f t="shared" si="63"/>
        <v>Dia útil</v>
      </c>
      <c r="G1018" s="36" t="str">
        <f t="shared" si="64"/>
        <v>Dia útil</v>
      </c>
    </row>
    <row r="1019" spans="2:7" ht="12" customHeight="1">
      <c r="B1019" s="43">
        <v>998</v>
      </c>
      <c r="C1019" s="44">
        <v>45559</v>
      </c>
      <c r="D1019" s="36">
        <f t="shared" si="62"/>
        <v>3</v>
      </c>
      <c r="E1019" s="36" t="str">
        <f t="shared" si="65"/>
        <v>Dia útil</v>
      </c>
      <c r="F1019" s="36" t="str">
        <f t="shared" si="63"/>
        <v>Dia útil</v>
      </c>
      <c r="G1019" s="36" t="str">
        <f t="shared" si="64"/>
        <v>Dia útil</v>
      </c>
    </row>
    <row r="1020" spans="2:7" ht="12" customHeight="1">
      <c r="B1020" s="43">
        <v>999</v>
      </c>
      <c r="C1020" s="44">
        <v>45560</v>
      </c>
      <c r="D1020" s="36">
        <f t="shared" si="62"/>
        <v>4</v>
      </c>
      <c r="E1020" s="36" t="str">
        <f t="shared" si="65"/>
        <v>Dia útil</v>
      </c>
      <c r="F1020" s="36" t="str">
        <f t="shared" si="63"/>
        <v>Dia útil</v>
      </c>
      <c r="G1020" s="36" t="str">
        <f t="shared" si="64"/>
        <v>Dia útil</v>
      </c>
    </row>
    <row r="1021" spans="2:7" ht="12" customHeight="1">
      <c r="B1021" s="43">
        <v>1000</v>
      </c>
      <c r="C1021" s="44">
        <v>45561</v>
      </c>
      <c r="D1021" s="36">
        <f t="shared" si="62"/>
        <v>5</v>
      </c>
      <c r="E1021" s="36" t="str">
        <f t="shared" si="65"/>
        <v>Dia útil</v>
      </c>
      <c r="F1021" s="36" t="str">
        <f t="shared" si="63"/>
        <v>Dia útil</v>
      </c>
      <c r="G1021" s="36" t="str">
        <f t="shared" si="64"/>
        <v>Dia útil</v>
      </c>
    </row>
    <row r="1022" spans="2:7" ht="12" customHeight="1">
      <c r="B1022" s="43">
        <v>1001</v>
      </c>
      <c r="C1022" s="44">
        <v>45562</v>
      </c>
      <c r="D1022" s="36">
        <f t="shared" si="62"/>
        <v>6</v>
      </c>
      <c r="E1022" s="36" t="str">
        <f t="shared" si="65"/>
        <v>Dia útil</v>
      </c>
      <c r="F1022" s="36" t="str">
        <f t="shared" si="63"/>
        <v>Dia útil</v>
      </c>
      <c r="G1022" s="36" t="str">
        <f t="shared" si="64"/>
        <v>Dia útil</v>
      </c>
    </row>
    <row r="1023" spans="2:7" ht="12" customHeight="1">
      <c r="B1023" s="43">
        <v>1002</v>
      </c>
      <c r="C1023" s="44">
        <v>45563</v>
      </c>
      <c r="D1023" s="36">
        <f t="shared" si="62"/>
        <v>7</v>
      </c>
      <c r="E1023" s="36" t="str">
        <f t="shared" si="65"/>
        <v>Sáb</v>
      </c>
      <c r="F1023" s="36" t="str">
        <f t="shared" si="63"/>
        <v>Sáb</v>
      </c>
      <c r="G1023" s="36" t="str">
        <f t="shared" si="64"/>
        <v>Sáb</v>
      </c>
    </row>
    <row r="1024" spans="2:7" ht="12" customHeight="1">
      <c r="B1024" s="43">
        <v>1003</v>
      </c>
      <c r="C1024" s="44">
        <v>45564</v>
      </c>
      <c r="D1024" s="36">
        <f t="shared" si="62"/>
        <v>1</v>
      </c>
      <c r="E1024" s="36" t="str">
        <f t="shared" si="65"/>
        <v>Dom</v>
      </c>
      <c r="F1024" s="36" t="str">
        <f t="shared" si="63"/>
        <v>Dom</v>
      </c>
      <c r="G1024" s="36" t="str">
        <f t="shared" si="64"/>
        <v>Dom</v>
      </c>
    </row>
    <row r="1025" spans="2:7" ht="12" customHeight="1">
      <c r="B1025" s="43">
        <v>1004</v>
      </c>
      <c r="C1025" s="44">
        <v>45565</v>
      </c>
      <c r="D1025" s="36">
        <f t="shared" si="62"/>
        <v>2</v>
      </c>
      <c r="E1025" s="36" t="str">
        <f t="shared" si="65"/>
        <v>Dia útil</v>
      </c>
      <c r="F1025" s="36" t="str">
        <f t="shared" si="63"/>
        <v>Dia útil</v>
      </c>
      <c r="G1025" s="36" t="str">
        <f t="shared" si="64"/>
        <v>Dia útil</v>
      </c>
    </row>
    <row r="1026" spans="2:7" ht="12" customHeight="1">
      <c r="B1026" s="43">
        <v>1005</v>
      </c>
      <c r="C1026" s="44">
        <v>45566</v>
      </c>
      <c r="D1026" s="36">
        <f t="shared" si="62"/>
        <v>3</v>
      </c>
      <c r="E1026" s="36" t="str">
        <f t="shared" si="65"/>
        <v>Dia útil</v>
      </c>
      <c r="F1026" s="36" t="str">
        <f t="shared" si="63"/>
        <v>Dia útil</v>
      </c>
      <c r="G1026" s="36" t="str">
        <f t="shared" si="64"/>
        <v>Dia útil</v>
      </c>
    </row>
    <row r="1027" spans="2:7" ht="12" customHeight="1">
      <c r="B1027" s="43">
        <v>1006</v>
      </c>
      <c r="C1027" s="44">
        <v>45567</v>
      </c>
      <c r="D1027" s="36">
        <f t="shared" si="62"/>
        <v>4</v>
      </c>
      <c r="E1027" s="36" t="str">
        <f t="shared" si="65"/>
        <v>Dia útil</v>
      </c>
      <c r="F1027" s="36" t="str">
        <f t="shared" si="63"/>
        <v>Dia útil</v>
      </c>
      <c r="G1027" s="36" t="str">
        <f t="shared" si="64"/>
        <v>Dia útil</v>
      </c>
    </row>
    <row r="1028" spans="2:7" ht="12" customHeight="1">
      <c r="B1028" s="43">
        <v>1007</v>
      </c>
      <c r="C1028" s="44">
        <v>45568</v>
      </c>
      <c r="D1028" s="36">
        <f t="shared" si="62"/>
        <v>5</v>
      </c>
      <c r="E1028" s="36" t="str">
        <f t="shared" si="65"/>
        <v>Dia útil</v>
      </c>
      <c r="F1028" s="36" t="str">
        <f t="shared" si="63"/>
        <v>Dia útil</v>
      </c>
      <c r="G1028" s="36" t="str">
        <f t="shared" si="64"/>
        <v>Dia útil</v>
      </c>
    </row>
    <row r="1029" spans="2:7" ht="12" customHeight="1">
      <c r="B1029" s="43">
        <v>1008</v>
      </c>
      <c r="C1029" s="44">
        <v>45569</v>
      </c>
      <c r="D1029" s="36">
        <f t="shared" si="62"/>
        <v>6</v>
      </c>
      <c r="E1029" s="36" t="str">
        <f t="shared" si="65"/>
        <v>Dia útil</v>
      </c>
      <c r="F1029" s="36" t="str">
        <f t="shared" si="63"/>
        <v>Dia útil</v>
      </c>
      <c r="G1029" s="36" t="str">
        <f t="shared" si="64"/>
        <v>Dia útil</v>
      </c>
    </row>
    <row r="1030" spans="2:7" ht="12" customHeight="1">
      <c r="B1030" s="43">
        <v>1009</v>
      </c>
      <c r="C1030" s="44">
        <v>45570</v>
      </c>
      <c r="D1030" s="36">
        <f t="shared" si="62"/>
        <v>7</v>
      </c>
      <c r="E1030" s="36" t="str">
        <f t="shared" si="65"/>
        <v>Sáb</v>
      </c>
      <c r="F1030" s="36" t="str">
        <f t="shared" si="63"/>
        <v>Sáb</v>
      </c>
      <c r="G1030" s="36" t="str">
        <f t="shared" si="64"/>
        <v>Sáb</v>
      </c>
    </row>
    <row r="1031" spans="2:7" ht="12" customHeight="1">
      <c r="B1031" s="43">
        <v>1010</v>
      </c>
      <c r="C1031" s="44">
        <v>45571</v>
      </c>
      <c r="D1031" s="36">
        <f t="shared" si="62"/>
        <v>1</v>
      </c>
      <c r="E1031" s="36" t="str">
        <f t="shared" si="65"/>
        <v>Dom</v>
      </c>
      <c r="F1031" s="36" t="str">
        <f t="shared" si="63"/>
        <v>Dom</v>
      </c>
      <c r="G1031" s="36" t="str">
        <f t="shared" si="64"/>
        <v>Dom</v>
      </c>
    </row>
    <row r="1032" spans="2:7" ht="12" customHeight="1">
      <c r="B1032" s="43">
        <v>1011</v>
      </c>
      <c r="C1032" s="44">
        <v>45572</v>
      </c>
      <c r="D1032" s="36">
        <f t="shared" si="62"/>
        <v>2</v>
      </c>
      <c r="E1032" s="36" t="str">
        <f t="shared" si="65"/>
        <v>Dia útil</v>
      </c>
      <c r="F1032" s="36" t="str">
        <f t="shared" si="63"/>
        <v>Dia útil</v>
      </c>
      <c r="G1032" s="36" t="str">
        <f t="shared" si="64"/>
        <v>Dia útil</v>
      </c>
    </row>
    <row r="1033" spans="2:7" ht="12" customHeight="1">
      <c r="B1033" s="43">
        <v>1012</v>
      </c>
      <c r="C1033" s="44">
        <v>45573</v>
      </c>
      <c r="D1033" s="36">
        <f t="shared" si="62"/>
        <v>3</v>
      </c>
      <c r="E1033" s="36" t="str">
        <f t="shared" si="65"/>
        <v>Dia útil</v>
      </c>
      <c r="F1033" s="36" t="str">
        <f t="shared" si="63"/>
        <v>Dia útil</v>
      </c>
      <c r="G1033" s="36" t="str">
        <f t="shared" si="64"/>
        <v>Dia útil</v>
      </c>
    </row>
    <row r="1034" spans="2:7" ht="12" customHeight="1">
      <c r="B1034" s="43">
        <v>1013</v>
      </c>
      <c r="C1034" s="44">
        <v>45574</v>
      </c>
      <c r="D1034" s="36">
        <f t="shared" si="62"/>
        <v>4</v>
      </c>
      <c r="E1034" s="36" t="str">
        <f t="shared" si="65"/>
        <v>Dia útil</v>
      </c>
      <c r="F1034" s="36" t="str">
        <f t="shared" si="63"/>
        <v>Dia útil</v>
      </c>
      <c r="G1034" s="36" t="str">
        <f t="shared" si="64"/>
        <v>Dia útil</v>
      </c>
    </row>
    <row r="1035" spans="2:7" ht="12" customHeight="1">
      <c r="B1035" s="43">
        <v>1014</v>
      </c>
      <c r="C1035" s="44">
        <v>45575</v>
      </c>
      <c r="D1035" s="36">
        <f t="shared" si="62"/>
        <v>5</v>
      </c>
      <c r="E1035" s="36" t="str">
        <f t="shared" si="65"/>
        <v>Dia útil</v>
      </c>
      <c r="F1035" s="36" t="str">
        <f t="shared" si="63"/>
        <v>Dia útil</v>
      </c>
      <c r="G1035" s="36" t="str">
        <f t="shared" si="64"/>
        <v>Dia útil</v>
      </c>
    </row>
    <row r="1036" spans="2:7" ht="12" customHeight="1">
      <c r="B1036" s="43">
        <v>1015</v>
      </c>
      <c r="C1036" s="44">
        <v>45576</v>
      </c>
      <c r="D1036" s="36">
        <f t="shared" si="62"/>
        <v>6</v>
      </c>
      <c r="E1036" s="36" t="str">
        <f t="shared" si="65"/>
        <v>Dia útil</v>
      </c>
      <c r="F1036" s="36" t="str">
        <f t="shared" si="63"/>
        <v>Dia útil</v>
      </c>
      <c r="G1036" s="36" t="str">
        <f t="shared" si="64"/>
        <v>Dia útil</v>
      </c>
    </row>
    <row r="1037" spans="2:7" ht="12" customHeight="1">
      <c r="B1037" s="43">
        <v>1016</v>
      </c>
      <c r="C1037" s="44">
        <v>45577</v>
      </c>
      <c r="D1037" s="36">
        <f t="shared" si="62"/>
        <v>7</v>
      </c>
      <c r="E1037" s="36" t="str">
        <f t="shared" si="65"/>
        <v>Sáb</v>
      </c>
      <c r="F1037" s="46" t="s">
        <v>1725</v>
      </c>
      <c r="G1037" s="36" t="str">
        <f t="shared" si="64"/>
        <v>Sáb</v>
      </c>
    </row>
    <row r="1038" spans="2:7" ht="12" customHeight="1">
      <c r="B1038" s="43">
        <v>1017</v>
      </c>
      <c r="C1038" s="44">
        <v>45578</v>
      </c>
      <c r="D1038" s="36">
        <f t="shared" si="62"/>
        <v>1</v>
      </c>
      <c r="E1038" s="36" t="str">
        <f t="shared" si="65"/>
        <v>Dom</v>
      </c>
      <c r="F1038" s="36" t="str">
        <f t="shared" si="63"/>
        <v>Dom</v>
      </c>
      <c r="G1038" s="36" t="str">
        <f t="shared" si="64"/>
        <v>Dom</v>
      </c>
    </row>
    <row r="1039" spans="2:7" ht="12" customHeight="1">
      <c r="B1039" s="43">
        <v>1018</v>
      </c>
      <c r="C1039" s="44">
        <v>45579</v>
      </c>
      <c r="D1039" s="36">
        <f t="shared" si="62"/>
        <v>2</v>
      </c>
      <c r="E1039" s="36" t="str">
        <f t="shared" si="65"/>
        <v>Dia útil</v>
      </c>
      <c r="F1039" s="36" t="str">
        <f t="shared" si="63"/>
        <v>Dia útil</v>
      </c>
      <c r="G1039" s="36" t="str">
        <f t="shared" si="64"/>
        <v>Dia útil</v>
      </c>
    </row>
    <row r="1040" spans="2:7" ht="12" customHeight="1">
      <c r="B1040" s="43">
        <v>1019</v>
      </c>
      <c r="C1040" s="44">
        <v>45580</v>
      </c>
      <c r="D1040" s="36">
        <f t="shared" si="62"/>
        <v>3</v>
      </c>
      <c r="E1040" s="36" t="str">
        <f t="shared" si="65"/>
        <v>Dia útil</v>
      </c>
      <c r="F1040" s="36" t="str">
        <f t="shared" si="63"/>
        <v>Dia útil</v>
      </c>
      <c r="G1040" s="36" t="str">
        <f t="shared" si="64"/>
        <v>Dia útil</v>
      </c>
    </row>
    <row r="1041" spans="2:7" ht="12" customHeight="1">
      <c r="B1041" s="43">
        <v>1020</v>
      </c>
      <c r="C1041" s="44">
        <v>45581</v>
      </c>
      <c r="D1041" s="36">
        <f t="shared" si="62"/>
        <v>4</v>
      </c>
      <c r="E1041" s="36" t="str">
        <f t="shared" si="65"/>
        <v>Dia útil</v>
      </c>
      <c r="F1041" s="36" t="str">
        <f t="shared" si="63"/>
        <v>Dia útil</v>
      </c>
      <c r="G1041" s="36" t="str">
        <f t="shared" si="64"/>
        <v>Dia útil</v>
      </c>
    </row>
    <row r="1042" spans="2:7" ht="12" customHeight="1">
      <c r="B1042" s="43">
        <v>1021</v>
      </c>
      <c r="C1042" s="44">
        <v>45582</v>
      </c>
      <c r="D1042" s="36">
        <f t="shared" si="62"/>
        <v>5</v>
      </c>
      <c r="E1042" s="36" t="str">
        <f t="shared" si="65"/>
        <v>Dia útil</v>
      </c>
      <c r="F1042" s="36" t="str">
        <f t="shared" si="63"/>
        <v>Dia útil</v>
      </c>
      <c r="G1042" s="36" t="str">
        <f t="shared" si="64"/>
        <v>Dia útil</v>
      </c>
    </row>
    <row r="1043" spans="2:7" ht="12" customHeight="1">
      <c r="B1043" s="43">
        <v>1022</v>
      </c>
      <c r="C1043" s="44">
        <v>45583</v>
      </c>
      <c r="D1043" s="36">
        <f t="shared" si="62"/>
        <v>6</v>
      </c>
      <c r="E1043" s="36" t="str">
        <f t="shared" si="65"/>
        <v>Dia útil</v>
      </c>
      <c r="F1043" s="36" t="str">
        <f t="shared" si="63"/>
        <v>Dia útil</v>
      </c>
      <c r="G1043" s="36" t="str">
        <f t="shared" si="64"/>
        <v>Dia útil</v>
      </c>
    </row>
    <row r="1044" spans="2:7" ht="12" customHeight="1">
      <c r="B1044" s="43">
        <v>1023</v>
      </c>
      <c r="C1044" s="44">
        <v>45584</v>
      </c>
      <c r="D1044" s="36">
        <f t="shared" si="62"/>
        <v>7</v>
      </c>
      <c r="E1044" s="36" t="str">
        <f t="shared" si="65"/>
        <v>Sáb</v>
      </c>
      <c r="F1044" s="36" t="str">
        <f t="shared" si="63"/>
        <v>Sáb</v>
      </c>
      <c r="G1044" s="36" t="str">
        <f t="shared" si="64"/>
        <v>Sáb</v>
      </c>
    </row>
    <row r="1045" spans="2:7" ht="12" customHeight="1">
      <c r="B1045" s="43">
        <v>1024</v>
      </c>
      <c r="C1045" s="44">
        <v>45585</v>
      </c>
      <c r="D1045" s="36">
        <f t="shared" si="62"/>
        <v>1</v>
      </c>
      <c r="E1045" s="36" t="str">
        <f t="shared" si="65"/>
        <v>Dom</v>
      </c>
      <c r="F1045" s="36" t="str">
        <f t="shared" si="63"/>
        <v>Dom</v>
      </c>
      <c r="G1045" s="36" t="str">
        <f t="shared" si="64"/>
        <v>Dom</v>
      </c>
    </row>
    <row r="1046" spans="2:7" ht="12" customHeight="1">
      <c r="B1046" s="43">
        <v>1025</v>
      </c>
      <c r="C1046" s="44">
        <v>45586</v>
      </c>
      <c r="D1046" s="36">
        <f t="shared" si="62"/>
        <v>2</v>
      </c>
      <c r="E1046" s="36" t="str">
        <f t="shared" si="65"/>
        <v>Dia útil</v>
      </c>
      <c r="F1046" s="36" t="str">
        <f t="shared" si="63"/>
        <v>Dia útil</v>
      </c>
      <c r="G1046" s="36" t="str">
        <f t="shared" si="64"/>
        <v>Dia útil</v>
      </c>
    </row>
    <row r="1047" spans="2:7" ht="12" customHeight="1">
      <c r="B1047" s="43">
        <v>1026</v>
      </c>
      <c r="C1047" s="44">
        <v>45587</v>
      </c>
      <c r="D1047" s="36">
        <f t="shared" ref="D1047:D1110" si="66">WEEKDAY(C1047,1)</f>
        <v>3</v>
      </c>
      <c r="E1047" s="36" t="str">
        <f t="shared" si="65"/>
        <v>Dia útil</v>
      </c>
      <c r="F1047" s="36" t="str">
        <f t="shared" ref="F1047:F1110" si="67">E1047</f>
        <v>Dia útil</v>
      </c>
      <c r="G1047" s="36" t="str">
        <f t="shared" ref="G1047:G1110" si="68">IF(AND(F1047="Feriado",OR(E1047="Sáb",E1047="Dom")),E1047,IF(AND(F1047="Feriado",E1047="Dia útil"),"Feriado",E1047))</f>
        <v>Dia útil</v>
      </c>
    </row>
    <row r="1048" spans="2:7" ht="12" customHeight="1">
      <c r="B1048" s="43">
        <v>1027</v>
      </c>
      <c r="C1048" s="44">
        <v>45588</v>
      </c>
      <c r="D1048" s="36">
        <f t="shared" si="66"/>
        <v>4</v>
      </c>
      <c r="E1048" s="36" t="str">
        <f t="shared" si="65"/>
        <v>Dia útil</v>
      </c>
      <c r="F1048" s="36" t="str">
        <f t="shared" si="67"/>
        <v>Dia útil</v>
      </c>
      <c r="G1048" s="36" t="str">
        <f t="shared" si="68"/>
        <v>Dia útil</v>
      </c>
    </row>
    <row r="1049" spans="2:7" ht="12" customHeight="1">
      <c r="B1049" s="43">
        <v>1028</v>
      </c>
      <c r="C1049" s="44">
        <v>45589</v>
      </c>
      <c r="D1049" s="36">
        <f t="shared" si="66"/>
        <v>5</v>
      </c>
      <c r="E1049" s="36" t="str">
        <f t="shared" ref="E1049:E1112" si="69">IF(D1049=1,"Dom",IF(D1049=7,"Sáb","Dia útil"))</f>
        <v>Dia útil</v>
      </c>
      <c r="F1049" s="36" t="str">
        <f t="shared" si="67"/>
        <v>Dia útil</v>
      </c>
      <c r="G1049" s="36" t="str">
        <f t="shared" si="68"/>
        <v>Dia útil</v>
      </c>
    </row>
    <row r="1050" spans="2:7" ht="12" customHeight="1">
      <c r="B1050" s="43">
        <v>1029</v>
      </c>
      <c r="C1050" s="44">
        <v>45590</v>
      </c>
      <c r="D1050" s="36">
        <f t="shared" si="66"/>
        <v>6</v>
      </c>
      <c r="E1050" s="36" t="str">
        <f t="shared" si="69"/>
        <v>Dia útil</v>
      </c>
      <c r="F1050" s="36" t="str">
        <f t="shared" si="67"/>
        <v>Dia útil</v>
      </c>
      <c r="G1050" s="36" t="str">
        <f t="shared" si="68"/>
        <v>Dia útil</v>
      </c>
    </row>
    <row r="1051" spans="2:7" ht="12" customHeight="1">
      <c r="B1051" s="43">
        <v>1030</v>
      </c>
      <c r="C1051" s="44">
        <v>45591</v>
      </c>
      <c r="D1051" s="36">
        <f t="shared" si="66"/>
        <v>7</v>
      </c>
      <c r="E1051" s="36" t="str">
        <f t="shared" si="69"/>
        <v>Sáb</v>
      </c>
      <c r="F1051" s="36" t="str">
        <f t="shared" si="67"/>
        <v>Sáb</v>
      </c>
      <c r="G1051" s="36" t="str">
        <f t="shared" si="68"/>
        <v>Sáb</v>
      </c>
    </row>
    <row r="1052" spans="2:7" ht="12" customHeight="1">
      <c r="B1052" s="43">
        <v>1031</v>
      </c>
      <c r="C1052" s="44">
        <v>45592</v>
      </c>
      <c r="D1052" s="36">
        <f t="shared" si="66"/>
        <v>1</v>
      </c>
      <c r="E1052" s="36" t="str">
        <f t="shared" si="69"/>
        <v>Dom</v>
      </c>
      <c r="F1052" s="36" t="str">
        <f t="shared" si="67"/>
        <v>Dom</v>
      </c>
      <c r="G1052" s="36" t="str">
        <f t="shared" si="68"/>
        <v>Dom</v>
      </c>
    </row>
    <row r="1053" spans="2:7" ht="12" customHeight="1">
      <c r="B1053" s="43">
        <v>1032</v>
      </c>
      <c r="C1053" s="44">
        <v>45593</v>
      </c>
      <c r="D1053" s="36">
        <f t="shared" si="66"/>
        <v>2</v>
      </c>
      <c r="E1053" s="36" t="str">
        <f t="shared" si="69"/>
        <v>Dia útil</v>
      </c>
      <c r="F1053" s="36" t="str">
        <f t="shared" si="67"/>
        <v>Dia útil</v>
      </c>
      <c r="G1053" s="36" t="str">
        <f t="shared" si="68"/>
        <v>Dia útil</v>
      </c>
    </row>
    <row r="1054" spans="2:7" ht="12" customHeight="1">
      <c r="B1054" s="43">
        <v>1033</v>
      </c>
      <c r="C1054" s="44">
        <v>45594</v>
      </c>
      <c r="D1054" s="36">
        <f t="shared" si="66"/>
        <v>3</v>
      </c>
      <c r="E1054" s="36" t="str">
        <f t="shared" si="69"/>
        <v>Dia útil</v>
      </c>
      <c r="F1054" s="36" t="str">
        <f t="shared" si="67"/>
        <v>Dia útil</v>
      </c>
      <c r="G1054" s="36" t="str">
        <f t="shared" si="68"/>
        <v>Dia útil</v>
      </c>
    </row>
    <row r="1055" spans="2:7" ht="12" customHeight="1">
      <c r="B1055" s="43">
        <v>1034</v>
      </c>
      <c r="C1055" s="44">
        <v>45595</v>
      </c>
      <c r="D1055" s="36">
        <f t="shared" si="66"/>
        <v>4</v>
      </c>
      <c r="E1055" s="36" t="str">
        <f t="shared" si="69"/>
        <v>Dia útil</v>
      </c>
      <c r="F1055" s="36" t="str">
        <f t="shared" si="67"/>
        <v>Dia útil</v>
      </c>
      <c r="G1055" s="36" t="str">
        <f t="shared" si="68"/>
        <v>Dia útil</v>
      </c>
    </row>
    <row r="1056" spans="2:7" ht="12" customHeight="1">
      <c r="B1056" s="43">
        <v>1035</v>
      </c>
      <c r="C1056" s="44">
        <v>45596</v>
      </c>
      <c r="D1056" s="36">
        <f t="shared" si="66"/>
        <v>5</v>
      </c>
      <c r="E1056" s="36" t="str">
        <f t="shared" si="69"/>
        <v>Dia útil</v>
      </c>
      <c r="F1056" s="36" t="str">
        <f t="shared" si="67"/>
        <v>Dia útil</v>
      </c>
      <c r="G1056" s="36" t="str">
        <f t="shared" si="68"/>
        <v>Dia útil</v>
      </c>
    </row>
    <row r="1057" spans="2:7" ht="12" customHeight="1">
      <c r="B1057" s="43">
        <v>1036</v>
      </c>
      <c r="C1057" s="44">
        <v>45597</v>
      </c>
      <c r="D1057" s="36">
        <f t="shared" si="66"/>
        <v>6</v>
      </c>
      <c r="E1057" s="36" t="str">
        <f t="shared" si="69"/>
        <v>Dia útil</v>
      </c>
      <c r="F1057" s="36" t="str">
        <f t="shared" si="67"/>
        <v>Dia útil</v>
      </c>
      <c r="G1057" s="36" t="str">
        <f t="shared" si="68"/>
        <v>Dia útil</v>
      </c>
    </row>
    <row r="1058" spans="2:7" ht="12" customHeight="1">
      <c r="B1058" s="43">
        <v>1037</v>
      </c>
      <c r="C1058" s="44">
        <v>45598</v>
      </c>
      <c r="D1058" s="36">
        <f t="shared" si="66"/>
        <v>7</v>
      </c>
      <c r="E1058" s="36" t="str">
        <f t="shared" si="69"/>
        <v>Sáb</v>
      </c>
      <c r="F1058" s="46" t="s">
        <v>1725</v>
      </c>
      <c r="G1058" s="36" t="str">
        <f t="shared" si="68"/>
        <v>Sáb</v>
      </c>
    </row>
    <row r="1059" spans="2:7" ht="12" customHeight="1">
      <c r="B1059" s="43">
        <v>1038</v>
      </c>
      <c r="C1059" s="44">
        <v>45599</v>
      </c>
      <c r="D1059" s="36">
        <f t="shared" si="66"/>
        <v>1</v>
      </c>
      <c r="E1059" s="36" t="str">
        <f t="shared" si="69"/>
        <v>Dom</v>
      </c>
      <c r="F1059" s="36" t="str">
        <f t="shared" si="67"/>
        <v>Dom</v>
      </c>
      <c r="G1059" s="36" t="str">
        <f t="shared" si="68"/>
        <v>Dom</v>
      </c>
    </row>
    <row r="1060" spans="2:7" ht="12" customHeight="1">
      <c r="B1060" s="43">
        <v>1039</v>
      </c>
      <c r="C1060" s="44">
        <v>45600</v>
      </c>
      <c r="D1060" s="36">
        <f t="shared" si="66"/>
        <v>2</v>
      </c>
      <c r="E1060" s="36" t="str">
        <f t="shared" si="69"/>
        <v>Dia útil</v>
      </c>
      <c r="F1060" s="36" t="str">
        <f t="shared" si="67"/>
        <v>Dia útil</v>
      </c>
      <c r="G1060" s="36" t="str">
        <f t="shared" si="68"/>
        <v>Dia útil</v>
      </c>
    </row>
    <row r="1061" spans="2:7" ht="12" customHeight="1">
      <c r="B1061" s="43">
        <v>1040</v>
      </c>
      <c r="C1061" s="44">
        <v>45601</v>
      </c>
      <c r="D1061" s="36">
        <f t="shared" si="66"/>
        <v>3</v>
      </c>
      <c r="E1061" s="36" t="str">
        <f t="shared" si="69"/>
        <v>Dia útil</v>
      </c>
      <c r="F1061" s="36" t="str">
        <f t="shared" si="67"/>
        <v>Dia útil</v>
      </c>
      <c r="G1061" s="36" t="str">
        <f t="shared" si="68"/>
        <v>Dia útil</v>
      </c>
    </row>
    <row r="1062" spans="2:7" ht="12" customHeight="1">
      <c r="B1062" s="43">
        <v>1041</v>
      </c>
      <c r="C1062" s="44">
        <v>45602</v>
      </c>
      <c r="D1062" s="36">
        <f t="shared" si="66"/>
        <v>4</v>
      </c>
      <c r="E1062" s="36" t="str">
        <f t="shared" si="69"/>
        <v>Dia útil</v>
      </c>
      <c r="F1062" s="36" t="str">
        <f t="shared" si="67"/>
        <v>Dia útil</v>
      </c>
      <c r="G1062" s="36" t="str">
        <f t="shared" si="68"/>
        <v>Dia útil</v>
      </c>
    </row>
    <row r="1063" spans="2:7" ht="12" customHeight="1">
      <c r="B1063" s="43">
        <v>1042</v>
      </c>
      <c r="C1063" s="44">
        <v>45603</v>
      </c>
      <c r="D1063" s="36">
        <f t="shared" si="66"/>
        <v>5</v>
      </c>
      <c r="E1063" s="36" t="str">
        <f t="shared" si="69"/>
        <v>Dia útil</v>
      </c>
      <c r="F1063" s="36" t="str">
        <f t="shared" si="67"/>
        <v>Dia útil</v>
      </c>
      <c r="G1063" s="36" t="str">
        <f t="shared" si="68"/>
        <v>Dia útil</v>
      </c>
    </row>
    <row r="1064" spans="2:7" ht="12" customHeight="1">
      <c r="B1064" s="43">
        <v>1043</v>
      </c>
      <c r="C1064" s="44">
        <v>45604</v>
      </c>
      <c r="D1064" s="36">
        <f t="shared" si="66"/>
        <v>6</v>
      </c>
      <c r="E1064" s="36" t="str">
        <f t="shared" si="69"/>
        <v>Dia útil</v>
      </c>
      <c r="F1064" s="36" t="str">
        <f t="shared" si="67"/>
        <v>Dia útil</v>
      </c>
      <c r="G1064" s="36" t="str">
        <f t="shared" si="68"/>
        <v>Dia útil</v>
      </c>
    </row>
    <row r="1065" spans="2:7" ht="12" customHeight="1">
      <c r="B1065" s="43">
        <v>1044</v>
      </c>
      <c r="C1065" s="44">
        <v>45605</v>
      </c>
      <c r="D1065" s="36">
        <f t="shared" si="66"/>
        <v>7</v>
      </c>
      <c r="E1065" s="36" t="str">
        <f t="shared" si="69"/>
        <v>Sáb</v>
      </c>
      <c r="F1065" s="36" t="str">
        <f t="shared" si="67"/>
        <v>Sáb</v>
      </c>
      <c r="G1065" s="36" t="str">
        <f t="shared" si="68"/>
        <v>Sáb</v>
      </c>
    </row>
    <row r="1066" spans="2:7" ht="12" customHeight="1">
      <c r="B1066" s="43">
        <v>1045</v>
      </c>
      <c r="C1066" s="44">
        <v>45606</v>
      </c>
      <c r="D1066" s="36">
        <f t="shared" si="66"/>
        <v>1</v>
      </c>
      <c r="E1066" s="36" t="str">
        <f t="shared" si="69"/>
        <v>Dom</v>
      </c>
      <c r="F1066" s="36" t="str">
        <f t="shared" si="67"/>
        <v>Dom</v>
      </c>
      <c r="G1066" s="36" t="str">
        <f t="shared" si="68"/>
        <v>Dom</v>
      </c>
    </row>
    <row r="1067" spans="2:7" ht="12" customHeight="1">
      <c r="B1067" s="43">
        <v>1046</v>
      </c>
      <c r="C1067" s="44">
        <v>45607</v>
      </c>
      <c r="D1067" s="36">
        <f t="shared" si="66"/>
        <v>2</v>
      </c>
      <c r="E1067" s="36" t="str">
        <f t="shared" si="69"/>
        <v>Dia útil</v>
      </c>
      <c r="F1067" s="36" t="str">
        <f t="shared" si="67"/>
        <v>Dia útil</v>
      </c>
      <c r="G1067" s="36" t="str">
        <f t="shared" si="68"/>
        <v>Dia útil</v>
      </c>
    </row>
    <row r="1068" spans="2:7" ht="12" customHeight="1">
      <c r="B1068" s="43">
        <v>1047</v>
      </c>
      <c r="C1068" s="44">
        <v>45608</v>
      </c>
      <c r="D1068" s="36">
        <f t="shared" si="66"/>
        <v>3</v>
      </c>
      <c r="E1068" s="36" t="str">
        <f t="shared" si="69"/>
        <v>Dia útil</v>
      </c>
      <c r="F1068" s="36" t="str">
        <f t="shared" si="67"/>
        <v>Dia útil</v>
      </c>
      <c r="G1068" s="36" t="str">
        <f t="shared" si="68"/>
        <v>Dia útil</v>
      </c>
    </row>
    <row r="1069" spans="2:7" ht="12" customHeight="1">
      <c r="B1069" s="43">
        <v>1048</v>
      </c>
      <c r="C1069" s="44">
        <v>45609</v>
      </c>
      <c r="D1069" s="36">
        <f t="shared" si="66"/>
        <v>4</v>
      </c>
      <c r="E1069" s="36" t="str">
        <f t="shared" si="69"/>
        <v>Dia útil</v>
      </c>
      <c r="F1069" s="36" t="str">
        <f t="shared" si="67"/>
        <v>Dia útil</v>
      </c>
      <c r="G1069" s="36" t="str">
        <f t="shared" si="68"/>
        <v>Dia útil</v>
      </c>
    </row>
    <row r="1070" spans="2:7" ht="12" customHeight="1">
      <c r="B1070" s="43">
        <v>1049</v>
      </c>
      <c r="C1070" s="44">
        <v>45610</v>
      </c>
      <c r="D1070" s="36">
        <f t="shared" si="66"/>
        <v>5</v>
      </c>
      <c r="E1070" s="36" t="str">
        <f t="shared" si="69"/>
        <v>Dia útil</v>
      </c>
      <c r="F1070" s="36" t="str">
        <f t="shared" si="67"/>
        <v>Dia útil</v>
      </c>
      <c r="G1070" s="36" t="str">
        <f t="shared" si="68"/>
        <v>Dia útil</v>
      </c>
    </row>
    <row r="1071" spans="2:7" ht="12" customHeight="1">
      <c r="B1071" s="43">
        <v>1050</v>
      </c>
      <c r="C1071" s="44">
        <v>45611</v>
      </c>
      <c r="D1071" s="36">
        <f t="shared" si="66"/>
        <v>6</v>
      </c>
      <c r="E1071" s="36" t="str">
        <f t="shared" si="69"/>
        <v>Dia útil</v>
      </c>
      <c r="F1071" s="46" t="s">
        <v>1725</v>
      </c>
      <c r="G1071" s="36" t="str">
        <f t="shared" si="68"/>
        <v>Feriado</v>
      </c>
    </row>
    <row r="1072" spans="2:7" ht="12" customHeight="1">
      <c r="B1072" s="43">
        <v>1051</v>
      </c>
      <c r="C1072" s="44">
        <v>45612</v>
      </c>
      <c r="D1072" s="36">
        <f t="shared" si="66"/>
        <v>7</v>
      </c>
      <c r="E1072" s="36" t="str">
        <f t="shared" si="69"/>
        <v>Sáb</v>
      </c>
      <c r="F1072" s="36" t="str">
        <f t="shared" si="67"/>
        <v>Sáb</v>
      </c>
      <c r="G1072" s="36" t="str">
        <f t="shared" si="68"/>
        <v>Sáb</v>
      </c>
    </row>
    <row r="1073" spans="2:7" ht="12" customHeight="1">
      <c r="B1073" s="43">
        <v>1052</v>
      </c>
      <c r="C1073" s="44">
        <v>45613</v>
      </c>
      <c r="D1073" s="36">
        <f t="shared" si="66"/>
        <v>1</v>
      </c>
      <c r="E1073" s="36" t="str">
        <f t="shared" si="69"/>
        <v>Dom</v>
      </c>
      <c r="F1073" s="36" t="str">
        <f t="shared" si="67"/>
        <v>Dom</v>
      </c>
      <c r="G1073" s="36" t="str">
        <f t="shared" si="68"/>
        <v>Dom</v>
      </c>
    </row>
    <row r="1074" spans="2:7" ht="12" customHeight="1">
      <c r="B1074" s="43">
        <v>1053</v>
      </c>
      <c r="C1074" s="44">
        <v>45614</v>
      </c>
      <c r="D1074" s="36">
        <f t="shared" si="66"/>
        <v>2</v>
      </c>
      <c r="E1074" s="36" t="str">
        <f t="shared" si="69"/>
        <v>Dia útil</v>
      </c>
      <c r="F1074" s="36" t="str">
        <f t="shared" si="67"/>
        <v>Dia útil</v>
      </c>
      <c r="G1074" s="36" t="str">
        <f t="shared" si="68"/>
        <v>Dia útil</v>
      </c>
    </row>
    <row r="1075" spans="2:7" ht="12" customHeight="1">
      <c r="B1075" s="43">
        <v>1054</v>
      </c>
      <c r="C1075" s="44">
        <v>45615</v>
      </c>
      <c r="D1075" s="36">
        <f t="shared" si="66"/>
        <v>3</v>
      </c>
      <c r="E1075" s="36" t="str">
        <f t="shared" si="69"/>
        <v>Dia útil</v>
      </c>
      <c r="F1075" s="36" t="str">
        <f t="shared" si="67"/>
        <v>Dia útil</v>
      </c>
      <c r="G1075" s="36" t="str">
        <f t="shared" si="68"/>
        <v>Dia útil</v>
      </c>
    </row>
    <row r="1076" spans="2:7" ht="12" customHeight="1">
      <c r="B1076" s="43">
        <v>1055</v>
      </c>
      <c r="C1076" s="44">
        <v>45616</v>
      </c>
      <c r="D1076" s="36">
        <f t="shared" si="66"/>
        <v>4</v>
      </c>
      <c r="E1076" s="36" t="str">
        <f t="shared" si="69"/>
        <v>Dia útil</v>
      </c>
      <c r="F1076" s="36" t="str">
        <f t="shared" si="67"/>
        <v>Dia útil</v>
      </c>
      <c r="G1076" s="36" t="str">
        <f t="shared" si="68"/>
        <v>Dia útil</v>
      </c>
    </row>
    <row r="1077" spans="2:7" ht="12" customHeight="1">
      <c r="B1077" s="43">
        <v>1056</v>
      </c>
      <c r="C1077" s="44">
        <v>45617</v>
      </c>
      <c r="D1077" s="36">
        <f t="shared" si="66"/>
        <v>5</v>
      </c>
      <c r="E1077" s="36" t="str">
        <f t="shared" si="69"/>
        <v>Dia útil</v>
      </c>
      <c r="F1077" s="36" t="str">
        <f t="shared" si="67"/>
        <v>Dia útil</v>
      </c>
      <c r="G1077" s="36" t="str">
        <f t="shared" si="68"/>
        <v>Dia útil</v>
      </c>
    </row>
    <row r="1078" spans="2:7" ht="12" customHeight="1">
      <c r="B1078" s="43">
        <v>1057</v>
      </c>
      <c r="C1078" s="44">
        <v>45618</v>
      </c>
      <c r="D1078" s="36">
        <f t="shared" si="66"/>
        <v>6</v>
      </c>
      <c r="E1078" s="36" t="str">
        <f t="shared" si="69"/>
        <v>Dia útil</v>
      </c>
      <c r="F1078" s="36" t="str">
        <f t="shared" si="67"/>
        <v>Dia útil</v>
      </c>
      <c r="G1078" s="36" t="str">
        <f t="shared" si="68"/>
        <v>Dia útil</v>
      </c>
    </row>
    <row r="1079" spans="2:7" ht="12" customHeight="1">
      <c r="B1079" s="43">
        <v>1058</v>
      </c>
      <c r="C1079" s="44">
        <v>45619</v>
      </c>
      <c r="D1079" s="36">
        <f t="shared" si="66"/>
        <v>7</v>
      </c>
      <c r="E1079" s="36" t="str">
        <f t="shared" si="69"/>
        <v>Sáb</v>
      </c>
      <c r="F1079" s="36" t="str">
        <f t="shared" si="67"/>
        <v>Sáb</v>
      </c>
      <c r="G1079" s="36" t="str">
        <f t="shared" si="68"/>
        <v>Sáb</v>
      </c>
    </row>
    <row r="1080" spans="2:7" ht="12" customHeight="1">
      <c r="B1080" s="43">
        <v>1059</v>
      </c>
      <c r="C1080" s="44">
        <v>45620</v>
      </c>
      <c r="D1080" s="36">
        <f t="shared" si="66"/>
        <v>1</v>
      </c>
      <c r="E1080" s="36" t="str">
        <f t="shared" si="69"/>
        <v>Dom</v>
      </c>
      <c r="F1080" s="36" t="str">
        <f t="shared" si="67"/>
        <v>Dom</v>
      </c>
      <c r="G1080" s="36" t="str">
        <f t="shared" si="68"/>
        <v>Dom</v>
      </c>
    </row>
    <row r="1081" spans="2:7" ht="12" customHeight="1">
      <c r="B1081" s="43">
        <v>1060</v>
      </c>
      <c r="C1081" s="44">
        <v>45621</v>
      </c>
      <c r="D1081" s="36">
        <f t="shared" si="66"/>
        <v>2</v>
      </c>
      <c r="E1081" s="36" t="str">
        <f t="shared" si="69"/>
        <v>Dia útil</v>
      </c>
      <c r="F1081" s="36" t="str">
        <f t="shared" si="67"/>
        <v>Dia útil</v>
      </c>
      <c r="G1081" s="36" t="str">
        <f t="shared" si="68"/>
        <v>Dia útil</v>
      </c>
    </row>
    <row r="1082" spans="2:7" ht="12" customHeight="1">
      <c r="B1082" s="43">
        <v>1061</v>
      </c>
      <c r="C1082" s="44">
        <v>45622</v>
      </c>
      <c r="D1082" s="36">
        <f t="shared" si="66"/>
        <v>3</v>
      </c>
      <c r="E1082" s="36" t="str">
        <f t="shared" si="69"/>
        <v>Dia útil</v>
      </c>
      <c r="F1082" s="36" t="str">
        <f t="shared" si="67"/>
        <v>Dia útil</v>
      </c>
      <c r="G1082" s="36" t="str">
        <f t="shared" si="68"/>
        <v>Dia útil</v>
      </c>
    </row>
    <row r="1083" spans="2:7" ht="12" customHeight="1">
      <c r="B1083" s="43">
        <v>1062</v>
      </c>
      <c r="C1083" s="44">
        <v>45623</v>
      </c>
      <c r="D1083" s="36">
        <f t="shared" si="66"/>
        <v>4</v>
      </c>
      <c r="E1083" s="36" t="str">
        <f t="shared" si="69"/>
        <v>Dia útil</v>
      </c>
      <c r="F1083" s="36" t="str">
        <f t="shared" si="67"/>
        <v>Dia útil</v>
      </c>
      <c r="G1083" s="36" t="str">
        <f t="shared" si="68"/>
        <v>Dia útil</v>
      </c>
    </row>
    <row r="1084" spans="2:7" ht="12" customHeight="1">
      <c r="B1084" s="43">
        <v>1063</v>
      </c>
      <c r="C1084" s="44">
        <v>45624</v>
      </c>
      <c r="D1084" s="36">
        <f t="shared" si="66"/>
        <v>5</v>
      </c>
      <c r="E1084" s="36" t="str">
        <f t="shared" si="69"/>
        <v>Dia útil</v>
      </c>
      <c r="F1084" s="36" t="str">
        <f t="shared" si="67"/>
        <v>Dia útil</v>
      </c>
      <c r="G1084" s="36" t="str">
        <f t="shared" si="68"/>
        <v>Dia útil</v>
      </c>
    </row>
    <row r="1085" spans="2:7" ht="12" customHeight="1">
      <c r="B1085" s="43">
        <v>1064</v>
      </c>
      <c r="C1085" s="44">
        <v>45625</v>
      </c>
      <c r="D1085" s="36">
        <f t="shared" si="66"/>
        <v>6</v>
      </c>
      <c r="E1085" s="36" t="str">
        <f t="shared" si="69"/>
        <v>Dia útil</v>
      </c>
      <c r="F1085" s="36" t="str">
        <f t="shared" si="67"/>
        <v>Dia útil</v>
      </c>
      <c r="G1085" s="36" t="str">
        <f t="shared" si="68"/>
        <v>Dia útil</v>
      </c>
    </row>
    <row r="1086" spans="2:7" ht="12" customHeight="1">
      <c r="B1086" s="43">
        <v>1065</v>
      </c>
      <c r="C1086" s="44">
        <v>45626</v>
      </c>
      <c r="D1086" s="36">
        <f t="shared" si="66"/>
        <v>7</v>
      </c>
      <c r="E1086" s="36" t="str">
        <f t="shared" si="69"/>
        <v>Sáb</v>
      </c>
      <c r="F1086" s="36" t="str">
        <f t="shared" si="67"/>
        <v>Sáb</v>
      </c>
      <c r="G1086" s="36" t="str">
        <f t="shared" si="68"/>
        <v>Sáb</v>
      </c>
    </row>
    <row r="1087" spans="2:7" ht="12" customHeight="1">
      <c r="B1087" s="43">
        <v>1066</v>
      </c>
      <c r="C1087" s="44">
        <v>45627</v>
      </c>
      <c r="D1087" s="36">
        <f t="shared" si="66"/>
        <v>1</v>
      </c>
      <c r="E1087" s="36" t="str">
        <f t="shared" si="69"/>
        <v>Dom</v>
      </c>
      <c r="F1087" s="36" t="str">
        <f t="shared" si="67"/>
        <v>Dom</v>
      </c>
      <c r="G1087" s="36" t="str">
        <f t="shared" si="68"/>
        <v>Dom</v>
      </c>
    </row>
    <row r="1088" spans="2:7" ht="12" customHeight="1">
      <c r="B1088" s="43">
        <v>1067</v>
      </c>
      <c r="C1088" s="44">
        <v>45628</v>
      </c>
      <c r="D1088" s="36">
        <f t="shared" si="66"/>
        <v>2</v>
      </c>
      <c r="E1088" s="36" t="str">
        <f t="shared" si="69"/>
        <v>Dia útil</v>
      </c>
      <c r="F1088" s="36" t="str">
        <f t="shared" si="67"/>
        <v>Dia útil</v>
      </c>
      <c r="G1088" s="36" t="str">
        <f t="shared" si="68"/>
        <v>Dia útil</v>
      </c>
    </row>
    <row r="1089" spans="2:7" ht="12" customHeight="1">
      <c r="B1089" s="43">
        <v>1068</v>
      </c>
      <c r="C1089" s="44">
        <v>45629</v>
      </c>
      <c r="D1089" s="36">
        <f t="shared" si="66"/>
        <v>3</v>
      </c>
      <c r="E1089" s="36" t="str">
        <f t="shared" si="69"/>
        <v>Dia útil</v>
      </c>
      <c r="F1089" s="36" t="str">
        <f t="shared" si="67"/>
        <v>Dia útil</v>
      </c>
      <c r="G1089" s="36" t="str">
        <f t="shared" si="68"/>
        <v>Dia útil</v>
      </c>
    </row>
    <row r="1090" spans="2:7" ht="12" customHeight="1">
      <c r="B1090" s="43">
        <v>1069</v>
      </c>
      <c r="C1090" s="44">
        <v>45630</v>
      </c>
      <c r="D1090" s="36">
        <f t="shared" si="66"/>
        <v>4</v>
      </c>
      <c r="E1090" s="36" t="str">
        <f t="shared" si="69"/>
        <v>Dia útil</v>
      </c>
      <c r="F1090" s="36" t="str">
        <f t="shared" si="67"/>
        <v>Dia útil</v>
      </c>
      <c r="G1090" s="36" t="str">
        <f t="shared" si="68"/>
        <v>Dia útil</v>
      </c>
    </row>
    <row r="1091" spans="2:7" ht="12" customHeight="1">
      <c r="B1091" s="43">
        <v>1070</v>
      </c>
      <c r="C1091" s="44">
        <v>45631</v>
      </c>
      <c r="D1091" s="36">
        <f t="shared" si="66"/>
        <v>5</v>
      </c>
      <c r="E1091" s="36" t="str">
        <f t="shared" si="69"/>
        <v>Dia útil</v>
      </c>
      <c r="F1091" s="36" t="str">
        <f t="shared" si="67"/>
        <v>Dia útil</v>
      </c>
      <c r="G1091" s="36" t="str">
        <f t="shared" si="68"/>
        <v>Dia útil</v>
      </c>
    </row>
    <row r="1092" spans="2:7" ht="12" customHeight="1">
      <c r="B1092" s="43">
        <v>1071</v>
      </c>
      <c r="C1092" s="44">
        <v>45632</v>
      </c>
      <c r="D1092" s="36">
        <f t="shared" si="66"/>
        <v>6</v>
      </c>
      <c r="E1092" s="36" t="str">
        <f t="shared" si="69"/>
        <v>Dia útil</v>
      </c>
      <c r="F1092" s="36" t="str">
        <f t="shared" si="67"/>
        <v>Dia útil</v>
      </c>
      <c r="G1092" s="36" t="str">
        <f t="shared" si="68"/>
        <v>Dia útil</v>
      </c>
    </row>
    <row r="1093" spans="2:7" ht="12" customHeight="1">
      <c r="B1093" s="43">
        <v>1072</v>
      </c>
      <c r="C1093" s="44">
        <v>45633</v>
      </c>
      <c r="D1093" s="36">
        <f t="shared" si="66"/>
        <v>7</v>
      </c>
      <c r="E1093" s="36" t="str">
        <f t="shared" si="69"/>
        <v>Sáb</v>
      </c>
      <c r="F1093" s="36" t="str">
        <f t="shared" si="67"/>
        <v>Sáb</v>
      </c>
      <c r="G1093" s="36" t="str">
        <f t="shared" si="68"/>
        <v>Sáb</v>
      </c>
    </row>
    <row r="1094" spans="2:7" ht="12" customHeight="1">
      <c r="B1094" s="43">
        <v>1073</v>
      </c>
      <c r="C1094" s="44">
        <v>45634</v>
      </c>
      <c r="D1094" s="36">
        <f t="shared" si="66"/>
        <v>1</v>
      </c>
      <c r="E1094" s="36" t="str">
        <f t="shared" si="69"/>
        <v>Dom</v>
      </c>
      <c r="F1094" s="36" t="str">
        <f t="shared" si="67"/>
        <v>Dom</v>
      </c>
      <c r="G1094" s="36" t="str">
        <f t="shared" si="68"/>
        <v>Dom</v>
      </c>
    </row>
    <row r="1095" spans="2:7" ht="12" customHeight="1">
      <c r="B1095" s="43">
        <v>1074</v>
      </c>
      <c r="C1095" s="44">
        <v>45635</v>
      </c>
      <c r="D1095" s="36">
        <f t="shared" si="66"/>
        <v>2</v>
      </c>
      <c r="E1095" s="36" t="str">
        <f t="shared" si="69"/>
        <v>Dia útil</v>
      </c>
      <c r="F1095" s="36" t="str">
        <f t="shared" si="67"/>
        <v>Dia útil</v>
      </c>
      <c r="G1095" s="36" t="str">
        <f t="shared" si="68"/>
        <v>Dia útil</v>
      </c>
    </row>
    <row r="1096" spans="2:7" ht="12" customHeight="1">
      <c r="B1096" s="43">
        <v>1075</v>
      </c>
      <c r="C1096" s="44">
        <v>45636</v>
      </c>
      <c r="D1096" s="36">
        <f t="shared" si="66"/>
        <v>3</v>
      </c>
      <c r="E1096" s="36" t="str">
        <f t="shared" si="69"/>
        <v>Dia útil</v>
      </c>
      <c r="F1096" s="36" t="str">
        <f t="shared" si="67"/>
        <v>Dia útil</v>
      </c>
      <c r="G1096" s="36" t="str">
        <f t="shared" si="68"/>
        <v>Dia útil</v>
      </c>
    </row>
    <row r="1097" spans="2:7" ht="12" customHeight="1">
      <c r="B1097" s="43">
        <v>1076</v>
      </c>
      <c r="C1097" s="44">
        <v>45637</v>
      </c>
      <c r="D1097" s="36">
        <f t="shared" si="66"/>
        <v>4</v>
      </c>
      <c r="E1097" s="36" t="str">
        <f t="shared" si="69"/>
        <v>Dia útil</v>
      </c>
      <c r="F1097" s="36" t="str">
        <f t="shared" si="67"/>
        <v>Dia útil</v>
      </c>
      <c r="G1097" s="36" t="str">
        <f t="shared" si="68"/>
        <v>Dia útil</v>
      </c>
    </row>
    <row r="1098" spans="2:7" ht="12" customHeight="1">
      <c r="B1098" s="43">
        <v>1077</v>
      </c>
      <c r="C1098" s="44">
        <v>45638</v>
      </c>
      <c r="D1098" s="36">
        <f t="shared" si="66"/>
        <v>5</v>
      </c>
      <c r="E1098" s="36" t="str">
        <f t="shared" si="69"/>
        <v>Dia útil</v>
      </c>
      <c r="F1098" s="36" t="str">
        <f t="shared" si="67"/>
        <v>Dia útil</v>
      </c>
      <c r="G1098" s="36" t="str">
        <f t="shared" si="68"/>
        <v>Dia útil</v>
      </c>
    </row>
    <row r="1099" spans="2:7" ht="12" customHeight="1">
      <c r="B1099" s="43">
        <v>1078</v>
      </c>
      <c r="C1099" s="44">
        <v>45639</v>
      </c>
      <c r="D1099" s="36">
        <f t="shared" si="66"/>
        <v>6</v>
      </c>
      <c r="E1099" s="36" t="str">
        <f t="shared" si="69"/>
        <v>Dia útil</v>
      </c>
      <c r="F1099" s="36" t="str">
        <f t="shared" si="67"/>
        <v>Dia útil</v>
      </c>
      <c r="G1099" s="36" t="str">
        <f t="shared" si="68"/>
        <v>Dia útil</v>
      </c>
    </row>
    <row r="1100" spans="2:7" ht="12" customHeight="1">
      <c r="B1100" s="43">
        <v>1079</v>
      </c>
      <c r="C1100" s="44">
        <v>45640</v>
      </c>
      <c r="D1100" s="36">
        <f t="shared" si="66"/>
        <v>7</v>
      </c>
      <c r="E1100" s="36" t="str">
        <f t="shared" si="69"/>
        <v>Sáb</v>
      </c>
      <c r="F1100" s="36" t="str">
        <f t="shared" si="67"/>
        <v>Sáb</v>
      </c>
      <c r="G1100" s="36" t="str">
        <f t="shared" si="68"/>
        <v>Sáb</v>
      </c>
    </row>
    <row r="1101" spans="2:7" ht="12" customHeight="1">
      <c r="B1101" s="43">
        <v>1080</v>
      </c>
      <c r="C1101" s="44">
        <v>45641</v>
      </c>
      <c r="D1101" s="36">
        <f t="shared" si="66"/>
        <v>1</v>
      </c>
      <c r="E1101" s="36" t="str">
        <f t="shared" si="69"/>
        <v>Dom</v>
      </c>
      <c r="F1101" s="36" t="str">
        <f t="shared" si="67"/>
        <v>Dom</v>
      </c>
      <c r="G1101" s="36" t="str">
        <f t="shared" si="68"/>
        <v>Dom</v>
      </c>
    </row>
    <row r="1102" spans="2:7" ht="12" customHeight="1">
      <c r="B1102" s="43">
        <v>1081</v>
      </c>
      <c r="C1102" s="44">
        <v>45642</v>
      </c>
      <c r="D1102" s="36">
        <f t="shared" si="66"/>
        <v>2</v>
      </c>
      <c r="E1102" s="36" t="str">
        <f t="shared" si="69"/>
        <v>Dia útil</v>
      </c>
      <c r="F1102" s="36" t="str">
        <f t="shared" si="67"/>
        <v>Dia útil</v>
      </c>
      <c r="G1102" s="36" t="str">
        <f t="shared" si="68"/>
        <v>Dia útil</v>
      </c>
    </row>
    <row r="1103" spans="2:7" ht="12" customHeight="1">
      <c r="B1103" s="43">
        <v>1082</v>
      </c>
      <c r="C1103" s="44">
        <v>45643</v>
      </c>
      <c r="D1103" s="36">
        <f t="shared" si="66"/>
        <v>3</v>
      </c>
      <c r="E1103" s="36" t="str">
        <f t="shared" si="69"/>
        <v>Dia útil</v>
      </c>
      <c r="F1103" s="36" t="str">
        <f t="shared" si="67"/>
        <v>Dia útil</v>
      </c>
      <c r="G1103" s="36" t="str">
        <f t="shared" si="68"/>
        <v>Dia útil</v>
      </c>
    </row>
    <row r="1104" spans="2:7" ht="12" customHeight="1">
      <c r="B1104" s="43">
        <v>1083</v>
      </c>
      <c r="C1104" s="44">
        <v>45644</v>
      </c>
      <c r="D1104" s="36">
        <f t="shared" si="66"/>
        <v>4</v>
      </c>
      <c r="E1104" s="36" t="str">
        <f t="shared" si="69"/>
        <v>Dia útil</v>
      </c>
      <c r="F1104" s="36" t="str">
        <f t="shared" si="67"/>
        <v>Dia útil</v>
      </c>
      <c r="G1104" s="36" t="str">
        <f t="shared" si="68"/>
        <v>Dia útil</v>
      </c>
    </row>
    <row r="1105" spans="2:7" ht="12" customHeight="1">
      <c r="B1105" s="43">
        <v>1084</v>
      </c>
      <c r="C1105" s="44">
        <v>45645</v>
      </c>
      <c r="D1105" s="36">
        <f t="shared" si="66"/>
        <v>5</v>
      </c>
      <c r="E1105" s="36" t="str">
        <f t="shared" si="69"/>
        <v>Dia útil</v>
      </c>
      <c r="F1105" s="36" t="str">
        <f t="shared" si="67"/>
        <v>Dia útil</v>
      </c>
      <c r="G1105" s="36" t="str">
        <f t="shared" si="68"/>
        <v>Dia útil</v>
      </c>
    </row>
    <row r="1106" spans="2:7" ht="12" customHeight="1">
      <c r="B1106" s="43">
        <v>1085</v>
      </c>
      <c r="C1106" s="44">
        <v>45646</v>
      </c>
      <c r="D1106" s="36">
        <f t="shared" si="66"/>
        <v>6</v>
      </c>
      <c r="E1106" s="36" t="str">
        <f t="shared" si="69"/>
        <v>Dia útil</v>
      </c>
      <c r="F1106" s="36" t="str">
        <f t="shared" si="67"/>
        <v>Dia útil</v>
      </c>
      <c r="G1106" s="36" t="str">
        <f t="shared" si="68"/>
        <v>Dia útil</v>
      </c>
    </row>
    <row r="1107" spans="2:7" ht="12" customHeight="1">
      <c r="B1107" s="43">
        <v>1086</v>
      </c>
      <c r="C1107" s="44">
        <v>45647</v>
      </c>
      <c r="D1107" s="36">
        <f t="shared" si="66"/>
        <v>7</v>
      </c>
      <c r="E1107" s="36" t="str">
        <f t="shared" si="69"/>
        <v>Sáb</v>
      </c>
      <c r="F1107" s="36" t="str">
        <f t="shared" si="67"/>
        <v>Sáb</v>
      </c>
      <c r="G1107" s="36" t="str">
        <f t="shared" si="68"/>
        <v>Sáb</v>
      </c>
    </row>
    <row r="1108" spans="2:7" ht="12" customHeight="1">
      <c r="B1108" s="43">
        <v>1087</v>
      </c>
      <c r="C1108" s="44">
        <v>45648</v>
      </c>
      <c r="D1108" s="36">
        <f t="shared" si="66"/>
        <v>1</v>
      </c>
      <c r="E1108" s="36" t="str">
        <f t="shared" si="69"/>
        <v>Dom</v>
      </c>
      <c r="F1108" s="36" t="str">
        <f t="shared" si="67"/>
        <v>Dom</v>
      </c>
      <c r="G1108" s="36" t="str">
        <f t="shared" si="68"/>
        <v>Dom</v>
      </c>
    </row>
    <row r="1109" spans="2:7" ht="12" customHeight="1">
      <c r="B1109" s="43">
        <v>1088</v>
      </c>
      <c r="C1109" s="44">
        <v>45649</v>
      </c>
      <c r="D1109" s="36">
        <f t="shared" si="66"/>
        <v>2</v>
      </c>
      <c r="E1109" s="36" t="str">
        <f t="shared" si="69"/>
        <v>Dia útil</v>
      </c>
      <c r="F1109" s="36" t="str">
        <f t="shared" si="67"/>
        <v>Dia útil</v>
      </c>
      <c r="G1109" s="36" t="str">
        <f t="shared" si="68"/>
        <v>Dia útil</v>
      </c>
    </row>
    <row r="1110" spans="2:7" ht="12" customHeight="1">
      <c r="B1110" s="43">
        <v>1089</v>
      </c>
      <c r="C1110" s="44">
        <v>45650</v>
      </c>
      <c r="D1110" s="36">
        <f t="shared" si="66"/>
        <v>3</v>
      </c>
      <c r="E1110" s="36" t="str">
        <f t="shared" si="69"/>
        <v>Dia útil</v>
      </c>
      <c r="F1110" s="36" t="str">
        <f t="shared" si="67"/>
        <v>Dia útil</v>
      </c>
      <c r="G1110" s="36" t="str">
        <f t="shared" si="68"/>
        <v>Dia útil</v>
      </c>
    </row>
    <row r="1111" spans="2:7" ht="12" customHeight="1">
      <c r="B1111" s="43">
        <v>1090</v>
      </c>
      <c r="C1111" s="44">
        <v>45651</v>
      </c>
      <c r="D1111" s="36">
        <f t="shared" ref="D1111:D1174" si="70">WEEKDAY(C1111,1)</f>
        <v>4</v>
      </c>
      <c r="E1111" s="36" t="str">
        <f t="shared" si="69"/>
        <v>Dia útil</v>
      </c>
      <c r="F1111" s="46" t="s">
        <v>1725</v>
      </c>
      <c r="G1111" s="36" t="str">
        <f t="shared" ref="G1111:G1174" si="71">IF(AND(F1111="Feriado",OR(E1111="Sáb",E1111="Dom")),E1111,IF(AND(F1111="Feriado",E1111="Dia útil"),"Feriado",E1111))</f>
        <v>Feriado</v>
      </c>
    </row>
    <row r="1112" spans="2:7" ht="12" customHeight="1">
      <c r="B1112" s="43">
        <v>1091</v>
      </c>
      <c r="C1112" s="44">
        <v>45652</v>
      </c>
      <c r="D1112" s="36">
        <f t="shared" si="70"/>
        <v>5</v>
      </c>
      <c r="E1112" s="36" t="str">
        <f t="shared" si="69"/>
        <v>Dia útil</v>
      </c>
      <c r="F1112" s="36" t="str">
        <f t="shared" ref="F1112:F1174" si="72">E1112</f>
        <v>Dia útil</v>
      </c>
      <c r="G1112" s="36" t="str">
        <f t="shared" si="71"/>
        <v>Dia útil</v>
      </c>
    </row>
    <row r="1113" spans="2:7" ht="12" customHeight="1">
      <c r="B1113" s="43">
        <v>1092</v>
      </c>
      <c r="C1113" s="44">
        <v>45653</v>
      </c>
      <c r="D1113" s="36">
        <f t="shared" si="70"/>
        <v>6</v>
      </c>
      <c r="E1113" s="36" t="str">
        <f t="shared" ref="E1113:E1176" si="73">IF(D1113=1,"Dom",IF(D1113=7,"Sáb","Dia útil"))</f>
        <v>Dia útil</v>
      </c>
      <c r="F1113" s="36" t="str">
        <f t="shared" si="72"/>
        <v>Dia útil</v>
      </c>
      <c r="G1113" s="36" t="str">
        <f t="shared" si="71"/>
        <v>Dia útil</v>
      </c>
    </row>
    <row r="1114" spans="2:7" ht="12" customHeight="1">
      <c r="B1114" s="43">
        <v>1093</v>
      </c>
      <c r="C1114" s="44">
        <v>45654</v>
      </c>
      <c r="D1114" s="36">
        <f t="shared" si="70"/>
        <v>7</v>
      </c>
      <c r="E1114" s="36" t="str">
        <f t="shared" si="73"/>
        <v>Sáb</v>
      </c>
      <c r="F1114" s="36" t="str">
        <f t="shared" si="72"/>
        <v>Sáb</v>
      </c>
      <c r="G1114" s="36" t="str">
        <f t="shared" si="71"/>
        <v>Sáb</v>
      </c>
    </row>
    <row r="1115" spans="2:7" ht="12" customHeight="1">
      <c r="B1115" s="43">
        <v>1094</v>
      </c>
      <c r="C1115" s="44">
        <v>45655</v>
      </c>
      <c r="D1115" s="36">
        <f t="shared" si="70"/>
        <v>1</v>
      </c>
      <c r="E1115" s="36" t="str">
        <f t="shared" si="73"/>
        <v>Dom</v>
      </c>
      <c r="F1115" s="36" t="str">
        <f t="shared" si="72"/>
        <v>Dom</v>
      </c>
      <c r="G1115" s="36" t="str">
        <f t="shared" si="71"/>
        <v>Dom</v>
      </c>
    </row>
    <row r="1116" spans="2:7" ht="12" customHeight="1">
      <c r="B1116" s="43">
        <v>1095</v>
      </c>
      <c r="C1116" s="44">
        <v>45656</v>
      </c>
      <c r="D1116" s="36">
        <f t="shared" si="70"/>
        <v>2</v>
      </c>
      <c r="E1116" s="36" t="str">
        <f t="shared" si="73"/>
        <v>Dia útil</v>
      </c>
      <c r="F1116" s="36" t="str">
        <f t="shared" si="72"/>
        <v>Dia útil</v>
      </c>
      <c r="G1116" s="36" t="str">
        <f t="shared" si="71"/>
        <v>Dia útil</v>
      </c>
    </row>
    <row r="1117" spans="2:7" ht="12" customHeight="1">
      <c r="B1117" s="43">
        <v>1096</v>
      </c>
      <c r="C1117" s="44">
        <v>45657</v>
      </c>
      <c r="D1117" s="36">
        <f t="shared" si="70"/>
        <v>3</v>
      </c>
      <c r="E1117" s="36" t="str">
        <f t="shared" si="73"/>
        <v>Dia útil</v>
      </c>
      <c r="F1117" s="36" t="str">
        <f t="shared" si="72"/>
        <v>Dia útil</v>
      </c>
      <c r="G1117" s="36" t="str">
        <f t="shared" si="71"/>
        <v>Dia útil</v>
      </c>
    </row>
    <row r="1118" spans="2:7" ht="12" customHeight="1">
      <c r="B1118" s="43">
        <v>1097</v>
      </c>
      <c r="C1118" s="44">
        <v>45658</v>
      </c>
      <c r="D1118" s="36">
        <f t="shared" si="70"/>
        <v>4</v>
      </c>
      <c r="E1118" s="36" t="str">
        <f t="shared" si="73"/>
        <v>Dia útil</v>
      </c>
      <c r="F1118" s="36" t="str">
        <f t="shared" si="72"/>
        <v>Dia útil</v>
      </c>
      <c r="G1118" s="36" t="str">
        <f t="shared" si="71"/>
        <v>Dia útil</v>
      </c>
    </row>
    <row r="1119" spans="2:7" ht="12" customHeight="1">
      <c r="B1119" s="43">
        <v>1098</v>
      </c>
      <c r="C1119" s="44">
        <v>45659</v>
      </c>
      <c r="D1119" s="36">
        <f t="shared" si="70"/>
        <v>5</v>
      </c>
      <c r="E1119" s="36" t="str">
        <f t="shared" si="73"/>
        <v>Dia útil</v>
      </c>
      <c r="F1119" s="36" t="str">
        <f t="shared" si="72"/>
        <v>Dia útil</v>
      </c>
      <c r="G1119" s="36" t="str">
        <f t="shared" si="71"/>
        <v>Dia útil</v>
      </c>
    </row>
    <row r="1120" spans="2:7" ht="12" customHeight="1">
      <c r="B1120" s="43">
        <v>1099</v>
      </c>
      <c r="C1120" s="44">
        <v>45660</v>
      </c>
      <c r="D1120" s="36">
        <f t="shared" si="70"/>
        <v>6</v>
      </c>
      <c r="E1120" s="36" t="str">
        <f t="shared" si="73"/>
        <v>Dia útil</v>
      </c>
      <c r="F1120" s="36" t="str">
        <f t="shared" si="72"/>
        <v>Dia útil</v>
      </c>
      <c r="G1120" s="36" t="str">
        <f t="shared" si="71"/>
        <v>Dia útil</v>
      </c>
    </row>
    <row r="1121" spans="2:7" ht="12" customHeight="1">
      <c r="B1121" s="43">
        <v>1100</v>
      </c>
      <c r="C1121" s="44">
        <v>45661</v>
      </c>
      <c r="D1121" s="36">
        <f t="shared" si="70"/>
        <v>7</v>
      </c>
      <c r="E1121" s="36" t="str">
        <f t="shared" si="73"/>
        <v>Sáb</v>
      </c>
      <c r="F1121" s="36" t="str">
        <f t="shared" si="72"/>
        <v>Sáb</v>
      </c>
      <c r="G1121" s="36" t="str">
        <f t="shared" si="71"/>
        <v>Sáb</v>
      </c>
    </row>
    <row r="1122" spans="2:7" ht="12" customHeight="1">
      <c r="B1122" s="43">
        <v>1101</v>
      </c>
      <c r="C1122" s="44">
        <v>45662</v>
      </c>
      <c r="D1122" s="36">
        <f t="shared" si="70"/>
        <v>1</v>
      </c>
      <c r="E1122" s="36" t="str">
        <f t="shared" si="73"/>
        <v>Dom</v>
      </c>
      <c r="F1122" s="36" t="str">
        <f t="shared" si="72"/>
        <v>Dom</v>
      </c>
      <c r="G1122" s="36" t="str">
        <f t="shared" si="71"/>
        <v>Dom</v>
      </c>
    </row>
    <row r="1123" spans="2:7" ht="12" customHeight="1">
      <c r="B1123" s="43">
        <v>1102</v>
      </c>
      <c r="C1123" s="44">
        <v>45663</v>
      </c>
      <c r="D1123" s="36">
        <f t="shared" si="70"/>
        <v>2</v>
      </c>
      <c r="E1123" s="36" t="str">
        <f t="shared" si="73"/>
        <v>Dia útil</v>
      </c>
      <c r="F1123" s="36" t="str">
        <f t="shared" si="72"/>
        <v>Dia útil</v>
      </c>
      <c r="G1123" s="36" t="str">
        <f t="shared" si="71"/>
        <v>Dia útil</v>
      </c>
    </row>
    <row r="1124" spans="2:7" ht="12" customHeight="1">
      <c r="B1124" s="43">
        <v>1103</v>
      </c>
      <c r="C1124" s="44">
        <v>45664</v>
      </c>
      <c r="D1124" s="36">
        <f t="shared" si="70"/>
        <v>3</v>
      </c>
      <c r="E1124" s="36" t="str">
        <f t="shared" si="73"/>
        <v>Dia útil</v>
      </c>
      <c r="F1124" s="36" t="str">
        <f t="shared" si="72"/>
        <v>Dia útil</v>
      </c>
      <c r="G1124" s="36" t="str">
        <f t="shared" si="71"/>
        <v>Dia útil</v>
      </c>
    </row>
    <row r="1125" spans="2:7" ht="12" customHeight="1">
      <c r="B1125" s="43">
        <v>1104</v>
      </c>
      <c r="C1125" s="44">
        <v>45665</v>
      </c>
      <c r="D1125" s="36">
        <f t="shared" si="70"/>
        <v>4</v>
      </c>
      <c r="E1125" s="36" t="str">
        <f t="shared" si="73"/>
        <v>Dia útil</v>
      </c>
      <c r="F1125" s="36" t="str">
        <f t="shared" si="72"/>
        <v>Dia útil</v>
      </c>
      <c r="G1125" s="36" t="str">
        <f t="shared" si="71"/>
        <v>Dia útil</v>
      </c>
    </row>
    <row r="1126" spans="2:7" ht="12" customHeight="1">
      <c r="B1126" s="43">
        <v>1105</v>
      </c>
      <c r="C1126" s="44">
        <v>45666</v>
      </c>
      <c r="D1126" s="36">
        <f t="shared" si="70"/>
        <v>5</v>
      </c>
      <c r="E1126" s="36" t="str">
        <f t="shared" si="73"/>
        <v>Dia útil</v>
      </c>
      <c r="F1126" s="36" t="str">
        <f t="shared" si="72"/>
        <v>Dia útil</v>
      </c>
      <c r="G1126" s="36" t="str">
        <f t="shared" si="71"/>
        <v>Dia útil</v>
      </c>
    </row>
    <row r="1127" spans="2:7" ht="12" customHeight="1">
      <c r="B1127" s="43">
        <v>1106</v>
      </c>
      <c r="C1127" s="44">
        <v>45667</v>
      </c>
      <c r="D1127" s="36">
        <f t="shared" si="70"/>
        <v>6</v>
      </c>
      <c r="E1127" s="36" t="str">
        <f t="shared" si="73"/>
        <v>Dia útil</v>
      </c>
      <c r="F1127" s="36" t="str">
        <f t="shared" si="72"/>
        <v>Dia útil</v>
      </c>
      <c r="G1127" s="36" t="str">
        <f t="shared" si="71"/>
        <v>Dia útil</v>
      </c>
    </row>
    <row r="1128" spans="2:7" ht="12" customHeight="1">
      <c r="B1128" s="43">
        <v>1107</v>
      </c>
      <c r="C1128" s="44">
        <v>45668</v>
      </c>
      <c r="D1128" s="36">
        <f t="shared" si="70"/>
        <v>7</v>
      </c>
      <c r="E1128" s="36" t="str">
        <f t="shared" si="73"/>
        <v>Sáb</v>
      </c>
      <c r="F1128" s="36" t="str">
        <f t="shared" si="72"/>
        <v>Sáb</v>
      </c>
      <c r="G1128" s="36" t="str">
        <f t="shared" si="71"/>
        <v>Sáb</v>
      </c>
    </row>
    <row r="1129" spans="2:7" ht="12" customHeight="1">
      <c r="B1129" s="43">
        <v>1108</v>
      </c>
      <c r="C1129" s="44">
        <v>45669</v>
      </c>
      <c r="D1129" s="36">
        <f t="shared" si="70"/>
        <v>1</v>
      </c>
      <c r="E1129" s="36" t="str">
        <f t="shared" si="73"/>
        <v>Dom</v>
      </c>
      <c r="F1129" s="36" t="str">
        <f t="shared" si="72"/>
        <v>Dom</v>
      </c>
      <c r="G1129" s="36" t="str">
        <f t="shared" si="71"/>
        <v>Dom</v>
      </c>
    </row>
    <row r="1130" spans="2:7" ht="12" customHeight="1">
      <c r="B1130" s="43">
        <v>1109</v>
      </c>
      <c r="C1130" s="44">
        <v>45670</v>
      </c>
      <c r="D1130" s="36">
        <f t="shared" si="70"/>
        <v>2</v>
      </c>
      <c r="E1130" s="36" t="str">
        <f t="shared" si="73"/>
        <v>Dia útil</v>
      </c>
      <c r="F1130" s="36" t="str">
        <f t="shared" si="72"/>
        <v>Dia útil</v>
      </c>
      <c r="G1130" s="36" t="str">
        <f t="shared" si="71"/>
        <v>Dia útil</v>
      </c>
    </row>
    <row r="1131" spans="2:7" ht="12" customHeight="1">
      <c r="B1131" s="43">
        <v>1110</v>
      </c>
      <c r="C1131" s="44">
        <v>45671</v>
      </c>
      <c r="D1131" s="36">
        <f t="shared" si="70"/>
        <v>3</v>
      </c>
      <c r="E1131" s="36" t="str">
        <f t="shared" si="73"/>
        <v>Dia útil</v>
      </c>
      <c r="F1131" s="36" t="str">
        <f t="shared" si="72"/>
        <v>Dia útil</v>
      </c>
      <c r="G1131" s="36" t="str">
        <f t="shared" si="71"/>
        <v>Dia útil</v>
      </c>
    </row>
    <row r="1132" spans="2:7" ht="12" customHeight="1">
      <c r="B1132" s="43">
        <v>1111</v>
      </c>
      <c r="C1132" s="44">
        <v>45672</v>
      </c>
      <c r="D1132" s="36">
        <f t="shared" si="70"/>
        <v>4</v>
      </c>
      <c r="E1132" s="36" t="str">
        <f t="shared" si="73"/>
        <v>Dia útil</v>
      </c>
      <c r="F1132" s="36" t="str">
        <f t="shared" si="72"/>
        <v>Dia útil</v>
      </c>
      <c r="G1132" s="36" t="str">
        <f t="shared" si="71"/>
        <v>Dia útil</v>
      </c>
    </row>
    <row r="1133" spans="2:7" ht="12" customHeight="1">
      <c r="B1133" s="43">
        <v>1112</v>
      </c>
      <c r="C1133" s="44">
        <v>45673</v>
      </c>
      <c r="D1133" s="36">
        <f t="shared" si="70"/>
        <v>5</v>
      </c>
      <c r="E1133" s="36" t="str">
        <f t="shared" si="73"/>
        <v>Dia útil</v>
      </c>
      <c r="F1133" s="36" t="str">
        <f t="shared" si="72"/>
        <v>Dia útil</v>
      </c>
      <c r="G1133" s="36" t="str">
        <f t="shared" si="71"/>
        <v>Dia útil</v>
      </c>
    </row>
    <row r="1134" spans="2:7" ht="12" customHeight="1">
      <c r="B1134" s="43">
        <v>1113</v>
      </c>
      <c r="C1134" s="44">
        <v>45674</v>
      </c>
      <c r="D1134" s="36">
        <f t="shared" si="70"/>
        <v>6</v>
      </c>
      <c r="E1134" s="36" t="str">
        <f t="shared" si="73"/>
        <v>Dia útil</v>
      </c>
      <c r="F1134" s="36" t="str">
        <f t="shared" si="72"/>
        <v>Dia útil</v>
      </c>
      <c r="G1134" s="36" t="str">
        <f t="shared" si="71"/>
        <v>Dia útil</v>
      </c>
    </row>
    <row r="1135" spans="2:7" ht="12" customHeight="1">
      <c r="B1135" s="43">
        <v>1114</v>
      </c>
      <c r="C1135" s="44">
        <v>45675</v>
      </c>
      <c r="D1135" s="36">
        <f t="shared" si="70"/>
        <v>7</v>
      </c>
      <c r="E1135" s="36" t="str">
        <f t="shared" si="73"/>
        <v>Sáb</v>
      </c>
      <c r="F1135" s="36" t="str">
        <f t="shared" si="72"/>
        <v>Sáb</v>
      </c>
      <c r="G1135" s="36" t="str">
        <f t="shared" si="71"/>
        <v>Sáb</v>
      </c>
    </row>
    <row r="1136" spans="2:7" ht="12" customHeight="1">
      <c r="B1136" s="43">
        <v>1115</v>
      </c>
      <c r="C1136" s="44">
        <v>45676</v>
      </c>
      <c r="D1136" s="36">
        <f t="shared" si="70"/>
        <v>1</v>
      </c>
      <c r="E1136" s="36" t="str">
        <f t="shared" si="73"/>
        <v>Dom</v>
      </c>
      <c r="F1136" s="36" t="str">
        <f t="shared" si="72"/>
        <v>Dom</v>
      </c>
      <c r="G1136" s="36" t="str">
        <f t="shared" si="71"/>
        <v>Dom</v>
      </c>
    </row>
    <row r="1137" spans="2:7" ht="12" customHeight="1">
      <c r="B1137" s="43">
        <v>1116</v>
      </c>
      <c r="C1137" s="44">
        <v>45677</v>
      </c>
      <c r="D1137" s="36">
        <f t="shared" si="70"/>
        <v>2</v>
      </c>
      <c r="E1137" s="36" t="str">
        <f t="shared" si="73"/>
        <v>Dia útil</v>
      </c>
      <c r="F1137" s="36" t="str">
        <f t="shared" si="72"/>
        <v>Dia útil</v>
      </c>
      <c r="G1137" s="36" t="str">
        <f t="shared" si="71"/>
        <v>Dia útil</v>
      </c>
    </row>
    <row r="1138" spans="2:7" ht="12" customHeight="1">
      <c r="B1138" s="43">
        <v>1117</v>
      </c>
      <c r="C1138" s="44">
        <v>45678</v>
      </c>
      <c r="D1138" s="36">
        <f t="shared" si="70"/>
        <v>3</v>
      </c>
      <c r="E1138" s="36" t="str">
        <f t="shared" si="73"/>
        <v>Dia útil</v>
      </c>
      <c r="F1138" s="36" t="str">
        <f t="shared" si="72"/>
        <v>Dia útil</v>
      </c>
      <c r="G1138" s="36" t="str">
        <f t="shared" si="71"/>
        <v>Dia útil</v>
      </c>
    </row>
    <row r="1139" spans="2:7" ht="12" customHeight="1">
      <c r="B1139" s="43">
        <v>1118</v>
      </c>
      <c r="C1139" s="44">
        <v>45679</v>
      </c>
      <c r="D1139" s="36">
        <f t="shared" si="70"/>
        <v>4</v>
      </c>
      <c r="E1139" s="36" t="str">
        <f t="shared" si="73"/>
        <v>Dia útil</v>
      </c>
      <c r="F1139" s="36" t="str">
        <f t="shared" si="72"/>
        <v>Dia útil</v>
      </c>
      <c r="G1139" s="36" t="str">
        <f t="shared" si="71"/>
        <v>Dia útil</v>
      </c>
    </row>
    <row r="1140" spans="2:7" ht="12" customHeight="1">
      <c r="B1140" s="43">
        <v>1119</v>
      </c>
      <c r="C1140" s="44">
        <v>45680</v>
      </c>
      <c r="D1140" s="36">
        <f t="shared" si="70"/>
        <v>5</v>
      </c>
      <c r="E1140" s="36" t="str">
        <f t="shared" si="73"/>
        <v>Dia útil</v>
      </c>
      <c r="F1140" s="36" t="str">
        <f t="shared" si="72"/>
        <v>Dia útil</v>
      </c>
      <c r="G1140" s="36" t="str">
        <f t="shared" si="71"/>
        <v>Dia útil</v>
      </c>
    </row>
    <row r="1141" spans="2:7" ht="12" customHeight="1">
      <c r="B1141" s="43">
        <v>1120</v>
      </c>
      <c r="C1141" s="44">
        <v>45681</v>
      </c>
      <c r="D1141" s="36">
        <f t="shared" si="70"/>
        <v>6</v>
      </c>
      <c r="E1141" s="36" t="str">
        <f t="shared" si="73"/>
        <v>Dia útil</v>
      </c>
      <c r="F1141" s="36" t="str">
        <f t="shared" si="72"/>
        <v>Dia útil</v>
      </c>
      <c r="G1141" s="36" t="str">
        <f t="shared" si="71"/>
        <v>Dia útil</v>
      </c>
    </row>
    <row r="1142" spans="2:7" ht="12" customHeight="1">
      <c r="B1142" s="43">
        <v>1121</v>
      </c>
      <c r="C1142" s="44">
        <v>45682</v>
      </c>
      <c r="D1142" s="36">
        <f t="shared" si="70"/>
        <v>7</v>
      </c>
      <c r="E1142" s="36" t="str">
        <f t="shared" si="73"/>
        <v>Sáb</v>
      </c>
      <c r="F1142" s="36" t="str">
        <f t="shared" si="72"/>
        <v>Sáb</v>
      </c>
      <c r="G1142" s="36" t="str">
        <f t="shared" si="71"/>
        <v>Sáb</v>
      </c>
    </row>
    <row r="1143" spans="2:7" ht="12" customHeight="1">
      <c r="B1143" s="43">
        <v>1122</v>
      </c>
      <c r="C1143" s="44">
        <v>45683</v>
      </c>
      <c r="D1143" s="36">
        <f t="shared" si="70"/>
        <v>1</v>
      </c>
      <c r="E1143" s="36" t="str">
        <f t="shared" si="73"/>
        <v>Dom</v>
      </c>
      <c r="F1143" s="36" t="str">
        <f t="shared" si="72"/>
        <v>Dom</v>
      </c>
      <c r="G1143" s="36" t="str">
        <f t="shared" si="71"/>
        <v>Dom</v>
      </c>
    </row>
    <row r="1144" spans="2:7" ht="12" customHeight="1">
      <c r="B1144" s="43">
        <v>1123</v>
      </c>
      <c r="C1144" s="44">
        <v>45684</v>
      </c>
      <c r="D1144" s="36">
        <f t="shared" si="70"/>
        <v>2</v>
      </c>
      <c r="E1144" s="36" t="str">
        <f t="shared" si="73"/>
        <v>Dia útil</v>
      </c>
      <c r="F1144" s="36" t="str">
        <f t="shared" si="72"/>
        <v>Dia útil</v>
      </c>
      <c r="G1144" s="36" t="str">
        <f t="shared" si="71"/>
        <v>Dia útil</v>
      </c>
    </row>
    <row r="1145" spans="2:7" ht="12" customHeight="1">
      <c r="B1145" s="43">
        <v>1124</v>
      </c>
      <c r="C1145" s="44">
        <v>45685</v>
      </c>
      <c r="D1145" s="36">
        <f t="shared" si="70"/>
        <v>3</v>
      </c>
      <c r="E1145" s="36" t="str">
        <f t="shared" si="73"/>
        <v>Dia útil</v>
      </c>
      <c r="F1145" s="36" t="str">
        <f t="shared" si="72"/>
        <v>Dia útil</v>
      </c>
      <c r="G1145" s="36" t="str">
        <f t="shared" si="71"/>
        <v>Dia útil</v>
      </c>
    </row>
    <row r="1146" spans="2:7" ht="12" customHeight="1">
      <c r="B1146" s="43">
        <v>1125</v>
      </c>
      <c r="C1146" s="44">
        <v>45686</v>
      </c>
      <c r="D1146" s="36">
        <f t="shared" si="70"/>
        <v>4</v>
      </c>
      <c r="E1146" s="36" t="str">
        <f t="shared" si="73"/>
        <v>Dia útil</v>
      </c>
      <c r="F1146" s="36" t="str">
        <f t="shared" si="72"/>
        <v>Dia útil</v>
      </c>
      <c r="G1146" s="36" t="str">
        <f t="shared" si="71"/>
        <v>Dia útil</v>
      </c>
    </row>
    <row r="1147" spans="2:7" ht="12" customHeight="1">
      <c r="B1147" s="43">
        <v>1126</v>
      </c>
      <c r="C1147" s="44">
        <v>45687</v>
      </c>
      <c r="D1147" s="36">
        <f t="shared" si="70"/>
        <v>5</v>
      </c>
      <c r="E1147" s="36" t="str">
        <f t="shared" si="73"/>
        <v>Dia útil</v>
      </c>
      <c r="F1147" s="36" t="str">
        <f t="shared" si="72"/>
        <v>Dia útil</v>
      </c>
      <c r="G1147" s="36" t="str">
        <f t="shared" si="71"/>
        <v>Dia útil</v>
      </c>
    </row>
    <row r="1148" spans="2:7" ht="12" customHeight="1">
      <c r="B1148" s="43">
        <v>1127</v>
      </c>
      <c r="C1148" s="44">
        <v>45688</v>
      </c>
      <c r="D1148" s="36">
        <f t="shared" si="70"/>
        <v>6</v>
      </c>
      <c r="E1148" s="36" t="str">
        <f t="shared" si="73"/>
        <v>Dia útil</v>
      </c>
      <c r="F1148" s="36" t="str">
        <f t="shared" si="72"/>
        <v>Dia útil</v>
      </c>
      <c r="G1148" s="36" t="str">
        <f t="shared" si="71"/>
        <v>Dia útil</v>
      </c>
    </row>
    <row r="1149" spans="2:7" ht="12" customHeight="1">
      <c r="B1149" s="43">
        <v>1128</v>
      </c>
      <c r="C1149" s="44">
        <v>45689</v>
      </c>
      <c r="D1149" s="36">
        <f t="shared" si="70"/>
        <v>7</v>
      </c>
      <c r="E1149" s="36" t="str">
        <f t="shared" si="73"/>
        <v>Sáb</v>
      </c>
      <c r="F1149" s="36" t="str">
        <f t="shared" si="72"/>
        <v>Sáb</v>
      </c>
      <c r="G1149" s="36" t="str">
        <f t="shared" si="71"/>
        <v>Sáb</v>
      </c>
    </row>
    <row r="1150" spans="2:7" ht="12" customHeight="1">
      <c r="B1150" s="43">
        <v>1129</v>
      </c>
      <c r="C1150" s="44">
        <v>45690</v>
      </c>
      <c r="D1150" s="36">
        <f t="shared" si="70"/>
        <v>1</v>
      </c>
      <c r="E1150" s="36" t="str">
        <f t="shared" si="73"/>
        <v>Dom</v>
      </c>
      <c r="F1150" s="36" t="str">
        <f t="shared" si="72"/>
        <v>Dom</v>
      </c>
      <c r="G1150" s="36" t="str">
        <f t="shared" si="71"/>
        <v>Dom</v>
      </c>
    </row>
    <row r="1151" spans="2:7" ht="12" customHeight="1">
      <c r="B1151" s="43">
        <v>1130</v>
      </c>
      <c r="C1151" s="44">
        <v>45691</v>
      </c>
      <c r="D1151" s="36">
        <f t="shared" si="70"/>
        <v>2</v>
      </c>
      <c r="E1151" s="36" t="str">
        <f t="shared" si="73"/>
        <v>Dia útil</v>
      </c>
      <c r="F1151" s="36" t="str">
        <f t="shared" si="72"/>
        <v>Dia útil</v>
      </c>
      <c r="G1151" s="36" t="str">
        <f t="shared" si="71"/>
        <v>Dia útil</v>
      </c>
    </row>
    <row r="1152" spans="2:7" ht="12" customHeight="1">
      <c r="B1152" s="43">
        <v>1131</v>
      </c>
      <c r="C1152" s="44">
        <v>45692</v>
      </c>
      <c r="D1152" s="36">
        <f t="shared" si="70"/>
        <v>3</v>
      </c>
      <c r="E1152" s="36" t="str">
        <f t="shared" si="73"/>
        <v>Dia útil</v>
      </c>
      <c r="F1152" s="36" t="str">
        <f t="shared" si="72"/>
        <v>Dia útil</v>
      </c>
      <c r="G1152" s="36" t="str">
        <f t="shared" si="71"/>
        <v>Dia útil</v>
      </c>
    </row>
    <row r="1153" spans="2:7" ht="12" customHeight="1">
      <c r="B1153" s="43">
        <v>1132</v>
      </c>
      <c r="C1153" s="44">
        <v>45693</v>
      </c>
      <c r="D1153" s="36">
        <f t="shared" si="70"/>
        <v>4</v>
      </c>
      <c r="E1153" s="36" t="str">
        <f t="shared" si="73"/>
        <v>Dia útil</v>
      </c>
      <c r="F1153" s="36" t="str">
        <f t="shared" si="72"/>
        <v>Dia útil</v>
      </c>
      <c r="G1153" s="36" t="str">
        <f t="shared" si="71"/>
        <v>Dia útil</v>
      </c>
    </row>
    <row r="1154" spans="2:7" ht="12" customHeight="1">
      <c r="B1154" s="43">
        <v>1133</v>
      </c>
      <c r="C1154" s="44">
        <v>45694</v>
      </c>
      <c r="D1154" s="36">
        <f t="shared" si="70"/>
        <v>5</v>
      </c>
      <c r="E1154" s="36" t="str">
        <f t="shared" si="73"/>
        <v>Dia útil</v>
      </c>
      <c r="F1154" s="36" t="str">
        <f t="shared" si="72"/>
        <v>Dia útil</v>
      </c>
      <c r="G1154" s="36" t="str">
        <f t="shared" si="71"/>
        <v>Dia útil</v>
      </c>
    </row>
    <row r="1155" spans="2:7" ht="12" customHeight="1">
      <c r="B1155" s="43">
        <v>1134</v>
      </c>
      <c r="C1155" s="44">
        <v>45695</v>
      </c>
      <c r="D1155" s="36">
        <f t="shared" si="70"/>
        <v>6</v>
      </c>
      <c r="E1155" s="36" t="str">
        <f t="shared" si="73"/>
        <v>Dia útil</v>
      </c>
      <c r="F1155" s="36" t="str">
        <f t="shared" si="72"/>
        <v>Dia útil</v>
      </c>
      <c r="G1155" s="36" t="str">
        <f t="shared" si="71"/>
        <v>Dia útil</v>
      </c>
    </row>
    <row r="1156" spans="2:7" ht="12" customHeight="1">
      <c r="B1156" s="43">
        <v>1135</v>
      </c>
      <c r="C1156" s="44">
        <v>45696</v>
      </c>
      <c r="D1156" s="36">
        <f t="shared" si="70"/>
        <v>7</v>
      </c>
      <c r="E1156" s="36" t="str">
        <f t="shared" si="73"/>
        <v>Sáb</v>
      </c>
      <c r="F1156" s="36" t="str">
        <f t="shared" si="72"/>
        <v>Sáb</v>
      </c>
      <c r="G1156" s="36" t="str">
        <f t="shared" si="71"/>
        <v>Sáb</v>
      </c>
    </row>
    <row r="1157" spans="2:7" ht="12" customHeight="1">
      <c r="B1157" s="43">
        <v>1136</v>
      </c>
      <c r="C1157" s="44">
        <v>45697</v>
      </c>
      <c r="D1157" s="36">
        <f t="shared" si="70"/>
        <v>1</v>
      </c>
      <c r="E1157" s="36" t="str">
        <f t="shared" si="73"/>
        <v>Dom</v>
      </c>
      <c r="F1157" s="36" t="str">
        <f t="shared" si="72"/>
        <v>Dom</v>
      </c>
      <c r="G1157" s="36" t="str">
        <f t="shared" si="71"/>
        <v>Dom</v>
      </c>
    </row>
    <row r="1158" spans="2:7" ht="12" customHeight="1">
      <c r="B1158" s="43">
        <v>1137</v>
      </c>
      <c r="C1158" s="44">
        <v>45698</v>
      </c>
      <c r="D1158" s="36">
        <f t="shared" si="70"/>
        <v>2</v>
      </c>
      <c r="E1158" s="36" t="str">
        <f t="shared" si="73"/>
        <v>Dia útil</v>
      </c>
      <c r="F1158" s="36" t="str">
        <f t="shared" si="72"/>
        <v>Dia útil</v>
      </c>
      <c r="G1158" s="36" t="str">
        <f t="shared" si="71"/>
        <v>Dia útil</v>
      </c>
    </row>
    <row r="1159" spans="2:7" ht="12" customHeight="1">
      <c r="B1159" s="43">
        <v>1138</v>
      </c>
      <c r="C1159" s="44">
        <v>45699</v>
      </c>
      <c r="D1159" s="36">
        <f t="shared" si="70"/>
        <v>3</v>
      </c>
      <c r="E1159" s="36" t="str">
        <f t="shared" si="73"/>
        <v>Dia útil</v>
      </c>
      <c r="F1159" s="36" t="str">
        <f t="shared" si="72"/>
        <v>Dia útil</v>
      </c>
      <c r="G1159" s="36" t="str">
        <f t="shared" si="71"/>
        <v>Dia útil</v>
      </c>
    </row>
    <row r="1160" spans="2:7" ht="12" customHeight="1">
      <c r="B1160" s="43">
        <v>1139</v>
      </c>
      <c r="C1160" s="44">
        <v>45700</v>
      </c>
      <c r="D1160" s="36">
        <f t="shared" si="70"/>
        <v>4</v>
      </c>
      <c r="E1160" s="36" t="str">
        <f t="shared" si="73"/>
        <v>Dia útil</v>
      </c>
      <c r="F1160" s="36" t="str">
        <f t="shared" si="72"/>
        <v>Dia útil</v>
      </c>
      <c r="G1160" s="36" t="str">
        <f t="shared" si="71"/>
        <v>Dia útil</v>
      </c>
    </row>
    <row r="1161" spans="2:7" ht="12" customHeight="1">
      <c r="B1161" s="43">
        <v>1140</v>
      </c>
      <c r="C1161" s="44">
        <v>45701</v>
      </c>
      <c r="D1161" s="36">
        <f t="shared" si="70"/>
        <v>5</v>
      </c>
      <c r="E1161" s="36" t="str">
        <f t="shared" si="73"/>
        <v>Dia útil</v>
      </c>
      <c r="F1161" s="36" t="str">
        <f t="shared" si="72"/>
        <v>Dia útil</v>
      </c>
      <c r="G1161" s="36" t="str">
        <f t="shared" si="71"/>
        <v>Dia útil</v>
      </c>
    </row>
    <row r="1162" spans="2:7" ht="12" customHeight="1">
      <c r="B1162" s="43">
        <v>1141</v>
      </c>
      <c r="C1162" s="44">
        <v>45702</v>
      </c>
      <c r="D1162" s="36">
        <f t="shared" si="70"/>
        <v>6</v>
      </c>
      <c r="E1162" s="36" t="str">
        <f t="shared" si="73"/>
        <v>Dia útil</v>
      </c>
      <c r="F1162" s="36" t="str">
        <f t="shared" si="72"/>
        <v>Dia útil</v>
      </c>
      <c r="G1162" s="36" t="str">
        <f t="shared" si="71"/>
        <v>Dia útil</v>
      </c>
    </row>
    <row r="1163" spans="2:7" ht="12" customHeight="1">
      <c r="B1163" s="43">
        <v>1142</v>
      </c>
      <c r="C1163" s="44">
        <v>45703</v>
      </c>
      <c r="D1163" s="36">
        <f t="shared" si="70"/>
        <v>7</v>
      </c>
      <c r="E1163" s="36" t="str">
        <f t="shared" si="73"/>
        <v>Sáb</v>
      </c>
      <c r="F1163" s="36" t="str">
        <f t="shared" si="72"/>
        <v>Sáb</v>
      </c>
      <c r="G1163" s="36" t="str">
        <f t="shared" si="71"/>
        <v>Sáb</v>
      </c>
    </row>
    <row r="1164" spans="2:7" ht="12" customHeight="1">
      <c r="B1164" s="43">
        <v>1143</v>
      </c>
      <c r="C1164" s="44">
        <v>45704</v>
      </c>
      <c r="D1164" s="36">
        <f t="shared" si="70"/>
        <v>1</v>
      </c>
      <c r="E1164" s="36" t="str">
        <f t="shared" si="73"/>
        <v>Dom</v>
      </c>
      <c r="F1164" s="36" t="str">
        <f t="shared" si="72"/>
        <v>Dom</v>
      </c>
      <c r="G1164" s="36" t="str">
        <f t="shared" si="71"/>
        <v>Dom</v>
      </c>
    </row>
    <row r="1165" spans="2:7" ht="12" customHeight="1">
      <c r="B1165" s="43">
        <v>1144</v>
      </c>
      <c r="C1165" s="44">
        <v>45705</v>
      </c>
      <c r="D1165" s="36">
        <f t="shared" si="70"/>
        <v>2</v>
      </c>
      <c r="E1165" s="36" t="str">
        <f t="shared" si="73"/>
        <v>Dia útil</v>
      </c>
      <c r="F1165" s="36" t="str">
        <f t="shared" si="72"/>
        <v>Dia útil</v>
      </c>
      <c r="G1165" s="36" t="str">
        <f t="shared" si="71"/>
        <v>Dia útil</v>
      </c>
    </row>
    <row r="1166" spans="2:7" ht="12" customHeight="1">
      <c r="B1166" s="43">
        <v>1145</v>
      </c>
      <c r="C1166" s="44">
        <v>45706</v>
      </c>
      <c r="D1166" s="36">
        <f t="shared" si="70"/>
        <v>3</v>
      </c>
      <c r="E1166" s="36" t="str">
        <f t="shared" si="73"/>
        <v>Dia útil</v>
      </c>
      <c r="F1166" s="36" t="str">
        <f t="shared" si="72"/>
        <v>Dia útil</v>
      </c>
      <c r="G1166" s="36" t="str">
        <f t="shared" si="71"/>
        <v>Dia útil</v>
      </c>
    </row>
    <row r="1167" spans="2:7" ht="12" customHeight="1">
      <c r="B1167" s="43">
        <v>1146</v>
      </c>
      <c r="C1167" s="44">
        <v>45707</v>
      </c>
      <c r="D1167" s="36">
        <f t="shared" si="70"/>
        <v>4</v>
      </c>
      <c r="E1167" s="36" t="str">
        <f t="shared" si="73"/>
        <v>Dia útil</v>
      </c>
      <c r="F1167" s="36" t="str">
        <f t="shared" si="72"/>
        <v>Dia útil</v>
      </c>
      <c r="G1167" s="36" t="str">
        <f t="shared" si="71"/>
        <v>Dia útil</v>
      </c>
    </row>
    <row r="1168" spans="2:7" ht="12" customHeight="1">
      <c r="B1168" s="43">
        <v>1147</v>
      </c>
      <c r="C1168" s="44">
        <v>45708</v>
      </c>
      <c r="D1168" s="36">
        <f t="shared" si="70"/>
        <v>5</v>
      </c>
      <c r="E1168" s="36" t="str">
        <f t="shared" si="73"/>
        <v>Dia útil</v>
      </c>
      <c r="F1168" s="36" t="str">
        <f t="shared" si="72"/>
        <v>Dia útil</v>
      </c>
      <c r="G1168" s="36" t="str">
        <f t="shared" si="71"/>
        <v>Dia útil</v>
      </c>
    </row>
    <row r="1169" spans="2:7" ht="12" customHeight="1">
      <c r="B1169" s="43">
        <v>1148</v>
      </c>
      <c r="C1169" s="44">
        <v>45709</v>
      </c>
      <c r="D1169" s="36">
        <f t="shared" si="70"/>
        <v>6</v>
      </c>
      <c r="E1169" s="36" t="str">
        <f t="shared" si="73"/>
        <v>Dia útil</v>
      </c>
      <c r="F1169" s="36" t="str">
        <f t="shared" si="72"/>
        <v>Dia útil</v>
      </c>
      <c r="G1169" s="36" t="str">
        <f t="shared" si="71"/>
        <v>Dia útil</v>
      </c>
    </row>
    <row r="1170" spans="2:7" ht="12" customHeight="1">
      <c r="B1170" s="43">
        <v>1149</v>
      </c>
      <c r="C1170" s="44">
        <v>45710</v>
      </c>
      <c r="D1170" s="36">
        <f t="shared" si="70"/>
        <v>7</v>
      </c>
      <c r="E1170" s="36" t="str">
        <f t="shared" si="73"/>
        <v>Sáb</v>
      </c>
      <c r="F1170" s="36" t="str">
        <f t="shared" si="72"/>
        <v>Sáb</v>
      </c>
      <c r="G1170" s="36" t="str">
        <f t="shared" si="71"/>
        <v>Sáb</v>
      </c>
    </row>
    <row r="1171" spans="2:7" ht="12" customHeight="1">
      <c r="B1171" s="43">
        <v>1150</v>
      </c>
      <c r="C1171" s="44">
        <v>45711</v>
      </c>
      <c r="D1171" s="36">
        <f t="shared" si="70"/>
        <v>1</v>
      </c>
      <c r="E1171" s="36" t="str">
        <f t="shared" si="73"/>
        <v>Dom</v>
      </c>
      <c r="F1171" s="36" t="str">
        <f t="shared" si="72"/>
        <v>Dom</v>
      </c>
      <c r="G1171" s="36" t="str">
        <f t="shared" si="71"/>
        <v>Dom</v>
      </c>
    </row>
    <row r="1172" spans="2:7" ht="12" customHeight="1">
      <c r="B1172" s="43">
        <v>1151</v>
      </c>
      <c r="C1172" s="44">
        <v>45712</v>
      </c>
      <c r="D1172" s="36">
        <f t="shared" si="70"/>
        <v>2</v>
      </c>
      <c r="E1172" s="36" t="str">
        <f t="shared" si="73"/>
        <v>Dia útil</v>
      </c>
      <c r="F1172" s="36" t="str">
        <f t="shared" si="72"/>
        <v>Dia útil</v>
      </c>
      <c r="G1172" s="36" t="str">
        <f t="shared" si="71"/>
        <v>Dia útil</v>
      </c>
    </row>
    <row r="1173" spans="2:7" ht="12" customHeight="1">
      <c r="B1173" s="43">
        <v>1152</v>
      </c>
      <c r="C1173" s="44">
        <v>45713</v>
      </c>
      <c r="D1173" s="36">
        <f t="shared" si="70"/>
        <v>3</v>
      </c>
      <c r="E1173" s="36" t="str">
        <f t="shared" si="73"/>
        <v>Dia útil</v>
      </c>
      <c r="F1173" s="36" t="str">
        <f t="shared" si="72"/>
        <v>Dia útil</v>
      </c>
      <c r="G1173" s="36" t="str">
        <f t="shared" si="71"/>
        <v>Dia útil</v>
      </c>
    </row>
    <row r="1174" spans="2:7" ht="12" customHeight="1">
      <c r="B1174" s="43">
        <v>1153</v>
      </c>
      <c r="C1174" s="44">
        <v>45714</v>
      </c>
      <c r="D1174" s="36">
        <f t="shared" si="70"/>
        <v>4</v>
      </c>
      <c r="E1174" s="36" t="str">
        <f t="shared" si="73"/>
        <v>Dia útil</v>
      </c>
      <c r="F1174" s="36" t="str">
        <f t="shared" si="72"/>
        <v>Dia útil</v>
      </c>
      <c r="G1174" s="36" t="str">
        <f t="shared" si="71"/>
        <v>Dia útil</v>
      </c>
    </row>
    <row r="1175" spans="2:7" ht="12" customHeight="1">
      <c r="B1175" s="43">
        <v>1154</v>
      </c>
      <c r="C1175" s="44">
        <v>45715</v>
      </c>
      <c r="D1175" s="36">
        <f t="shared" ref="D1175:D1238" si="74">WEEKDAY(C1175,1)</f>
        <v>5</v>
      </c>
      <c r="E1175" s="36" t="str">
        <f t="shared" si="73"/>
        <v>Dia útil</v>
      </c>
      <c r="F1175" s="36" t="str">
        <f t="shared" ref="F1175:F1237" si="75">E1175</f>
        <v>Dia útil</v>
      </c>
      <c r="G1175" s="36" t="str">
        <f t="shared" ref="G1175:G1238" si="76">IF(AND(F1175="Feriado",OR(E1175="Sáb",E1175="Dom")),E1175,IF(AND(F1175="Feriado",E1175="Dia útil"),"Feriado",E1175))</f>
        <v>Dia útil</v>
      </c>
    </row>
    <row r="1176" spans="2:7" ht="12" customHeight="1">
      <c r="B1176" s="43">
        <v>1155</v>
      </c>
      <c r="C1176" s="44">
        <v>45716</v>
      </c>
      <c r="D1176" s="36">
        <f t="shared" si="74"/>
        <v>6</v>
      </c>
      <c r="E1176" s="36" t="str">
        <f t="shared" si="73"/>
        <v>Dia útil</v>
      </c>
      <c r="F1176" s="36" t="str">
        <f t="shared" si="75"/>
        <v>Dia útil</v>
      </c>
      <c r="G1176" s="36" t="str">
        <f t="shared" si="76"/>
        <v>Dia útil</v>
      </c>
    </row>
    <row r="1177" spans="2:7" ht="12" customHeight="1">
      <c r="B1177" s="43">
        <v>1156</v>
      </c>
      <c r="C1177" s="44">
        <v>45717</v>
      </c>
      <c r="D1177" s="36">
        <f t="shared" si="74"/>
        <v>7</v>
      </c>
      <c r="E1177" s="36" t="str">
        <f t="shared" ref="E1177:E1240" si="77">IF(D1177=1,"Dom",IF(D1177=7,"Sáb","Dia útil"))</f>
        <v>Sáb</v>
      </c>
      <c r="F1177" s="36" t="str">
        <f t="shared" si="75"/>
        <v>Sáb</v>
      </c>
      <c r="G1177" s="36" t="str">
        <f t="shared" si="76"/>
        <v>Sáb</v>
      </c>
    </row>
    <row r="1178" spans="2:7" ht="12" customHeight="1">
      <c r="B1178" s="43">
        <v>1157</v>
      </c>
      <c r="C1178" s="44">
        <v>45718</v>
      </c>
      <c r="D1178" s="36">
        <f t="shared" si="74"/>
        <v>1</v>
      </c>
      <c r="E1178" s="36" t="str">
        <f t="shared" si="77"/>
        <v>Dom</v>
      </c>
      <c r="F1178" s="36" t="str">
        <f t="shared" si="75"/>
        <v>Dom</v>
      </c>
      <c r="G1178" s="36" t="str">
        <f t="shared" si="76"/>
        <v>Dom</v>
      </c>
    </row>
    <row r="1179" spans="2:7" ht="12" customHeight="1">
      <c r="B1179" s="43">
        <v>1158</v>
      </c>
      <c r="C1179" s="44">
        <v>45719</v>
      </c>
      <c r="D1179" s="36">
        <f t="shared" si="74"/>
        <v>2</v>
      </c>
      <c r="E1179" s="36" t="str">
        <f t="shared" si="77"/>
        <v>Dia útil</v>
      </c>
      <c r="F1179" s="36" t="str">
        <f t="shared" si="75"/>
        <v>Dia útil</v>
      </c>
      <c r="G1179" s="36" t="str">
        <f t="shared" si="76"/>
        <v>Dia útil</v>
      </c>
    </row>
    <row r="1180" spans="2:7" ht="12" customHeight="1">
      <c r="B1180" s="43">
        <v>1159</v>
      </c>
      <c r="C1180" s="44">
        <v>45720</v>
      </c>
      <c r="D1180" s="36">
        <f t="shared" si="74"/>
        <v>3</v>
      </c>
      <c r="E1180" s="36" t="str">
        <f t="shared" si="77"/>
        <v>Dia útil</v>
      </c>
      <c r="F1180" s="36" t="str">
        <f t="shared" si="75"/>
        <v>Dia útil</v>
      </c>
      <c r="G1180" s="36" t="str">
        <f t="shared" si="76"/>
        <v>Dia útil</v>
      </c>
    </row>
    <row r="1181" spans="2:7" ht="12" customHeight="1">
      <c r="B1181" s="43">
        <v>1160</v>
      </c>
      <c r="C1181" s="44">
        <v>45721</v>
      </c>
      <c r="D1181" s="36">
        <f t="shared" si="74"/>
        <v>4</v>
      </c>
      <c r="E1181" s="36" t="str">
        <f t="shared" si="77"/>
        <v>Dia útil</v>
      </c>
      <c r="F1181" s="36" t="str">
        <f t="shared" si="75"/>
        <v>Dia útil</v>
      </c>
      <c r="G1181" s="36" t="str">
        <f t="shared" si="76"/>
        <v>Dia útil</v>
      </c>
    </row>
    <row r="1182" spans="2:7" ht="12" customHeight="1">
      <c r="B1182" s="43">
        <v>1161</v>
      </c>
      <c r="C1182" s="44">
        <v>45722</v>
      </c>
      <c r="D1182" s="36">
        <f t="shared" si="74"/>
        <v>5</v>
      </c>
      <c r="E1182" s="36" t="str">
        <f t="shared" si="77"/>
        <v>Dia útil</v>
      </c>
      <c r="F1182" s="36" t="str">
        <f t="shared" si="75"/>
        <v>Dia útil</v>
      </c>
      <c r="G1182" s="36" t="str">
        <f t="shared" si="76"/>
        <v>Dia útil</v>
      </c>
    </row>
    <row r="1183" spans="2:7" ht="12" customHeight="1">
      <c r="B1183" s="43">
        <v>1162</v>
      </c>
      <c r="C1183" s="44">
        <v>45723</v>
      </c>
      <c r="D1183" s="36">
        <f t="shared" si="74"/>
        <v>6</v>
      </c>
      <c r="E1183" s="36" t="str">
        <f t="shared" si="77"/>
        <v>Dia útil</v>
      </c>
      <c r="F1183" s="36" t="str">
        <f t="shared" si="75"/>
        <v>Dia útil</v>
      </c>
      <c r="G1183" s="36" t="str">
        <f t="shared" si="76"/>
        <v>Dia útil</v>
      </c>
    </row>
    <row r="1184" spans="2:7" ht="12" customHeight="1">
      <c r="B1184" s="43">
        <v>1163</v>
      </c>
      <c r="C1184" s="44">
        <v>45724</v>
      </c>
      <c r="D1184" s="36">
        <f t="shared" si="74"/>
        <v>7</v>
      </c>
      <c r="E1184" s="36" t="str">
        <f t="shared" si="77"/>
        <v>Sáb</v>
      </c>
      <c r="F1184" s="36" t="str">
        <f t="shared" si="75"/>
        <v>Sáb</v>
      </c>
      <c r="G1184" s="36" t="str">
        <f t="shared" si="76"/>
        <v>Sáb</v>
      </c>
    </row>
    <row r="1185" spans="2:7" ht="12" customHeight="1">
      <c r="B1185" s="43">
        <v>1164</v>
      </c>
      <c r="C1185" s="44">
        <v>45725</v>
      </c>
      <c r="D1185" s="36">
        <f t="shared" si="74"/>
        <v>1</v>
      </c>
      <c r="E1185" s="36" t="str">
        <f t="shared" si="77"/>
        <v>Dom</v>
      </c>
      <c r="F1185" s="36" t="str">
        <f t="shared" si="75"/>
        <v>Dom</v>
      </c>
      <c r="G1185" s="36" t="str">
        <f t="shared" si="76"/>
        <v>Dom</v>
      </c>
    </row>
    <row r="1186" spans="2:7" ht="12" customHeight="1">
      <c r="B1186" s="43">
        <v>1165</v>
      </c>
      <c r="C1186" s="44">
        <v>45726</v>
      </c>
      <c r="D1186" s="36">
        <f t="shared" si="74"/>
        <v>2</v>
      </c>
      <c r="E1186" s="36" t="str">
        <f t="shared" si="77"/>
        <v>Dia útil</v>
      </c>
      <c r="F1186" s="36" t="str">
        <f t="shared" si="75"/>
        <v>Dia útil</v>
      </c>
      <c r="G1186" s="36" t="str">
        <f t="shared" si="76"/>
        <v>Dia útil</v>
      </c>
    </row>
    <row r="1187" spans="2:7" ht="12" customHeight="1">
      <c r="B1187" s="43">
        <v>1166</v>
      </c>
      <c r="C1187" s="44">
        <v>45727</v>
      </c>
      <c r="D1187" s="36">
        <f t="shared" si="74"/>
        <v>3</v>
      </c>
      <c r="E1187" s="36" t="str">
        <f t="shared" si="77"/>
        <v>Dia útil</v>
      </c>
      <c r="F1187" s="36" t="str">
        <f t="shared" si="75"/>
        <v>Dia útil</v>
      </c>
      <c r="G1187" s="36" t="str">
        <f t="shared" si="76"/>
        <v>Dia útil</v>
      </c>
    </row>
    <row r="1188" spans="2:7" ht="12" customHeight="1">
      <c r="B1188" s="43">
        <v>1167</v>
      </c>
      <c r="C1188" s="44">
        <v>45728</v>
      </c>
      <c r="D1188" s="36">
        <f t="shared" si="74"/>
        <v>4</v>
      </c>
      <c r="E1188" s="36" t="str">
        <f t="shared" si="77"/>
        <v>Dia útil</v>
      </c>
      <c r="F1188" s="36" t="str">
        <f t="shared" si="75"/>
        <v>Dia útil</v>
      </c>
      <c r="G1188" s="36" t="str">
        <f t="shared" si="76"/>
        <v>Dia útil</v>
      </c>
    </row>
    <row r="1189" spans="2:7" ht="12" customHeight="1">
      <c r="B1189" s="43">
        <v>1168</v>
      </c>
      <c r="C1189" s="44">
        <v>45729</v>
      </c>
      <c r="D1189" s="36">
        <f t="shared" si="74"/>
        <v>5</v>
      </c>
      <c r="E1189" s="36" t="str">
        <f t="shared" si="77"/>
        <v>Dia útil</v>
      </c>
      <c r="F1189" s="36" t="str">
        <f t="shared" si="75"/>
        <v>Dia útil</v>
      </c>
      <c r="G1189" s="36" t="str">
        <f t="shared" si="76"/>
        <v>Dia útil</v>
      </c>
    </row>
    <row r="1190" spans="2:7" ht="12" customHeight="1">
      <c r="B1190" s="43">
        <v>1169</v>
      </c>
      <c r="C1190" s="44">
        <v>45730</v>
      </c>
      <c r="D1190" s="36">
        <f t="shared" si="74"/>
        <v>6</v>
      </c>
      <c r="E1190" s="36" t="str">
        <f t="shared" si="77"/>
        <v>Dia útil</v>
      </c>
      <c r="F1190" s="36" t="str">
        <f t="shared" si="75"/>
        <v>Dia útil</v>
      </c>
      <c r="G1190" s="36" t="str">
        <f t="shared" si="76"/>
        <v>Dia útil</v>
      </c>
    </row>
    <row r="1191" spans="2:7" ht="12" customHeight="1">
      <c r="B1191" s="43">
        <v>1170</v>
      </c>
      <c r="C1191" s="44">
        <v>45731</v>
      </c>
      <c r="D1191" s="36">
        <f t="shared" si="74"/>
        <v>7</v>
      </c>
      <c r="E1191" s="36" t="str">
        <f t="shared" si="77"/>
        <v>Sáb</v>
      </c>
      <c r="F1191" s="36" t="str">
        <f t="shared" si="75"/>
        <v>Sáb</v>
      </c>
      <c r="G1191" s="36" t="str">
        <f t="shared" si="76"/>
        <v>Sáb</v>
      </c>
    </row>
    <row r="1192" spans="2:7" ht="12" customHeight="1">
      <c r="B1192" s="43">
        <v>1171</v>
      </c>
      <c r="C1192" s="44">
        <v>45732</v>
      </c>
      <c r="D1192" s="36">
        <f t="shared" si="74"/>
        <v>1</v>
      </c>
      <c r="E1192" s="36" t="str">
        <f t="shared" si="77"/>
        <v>Dom</v>
      </c>
      <c r="F1192" s="36" t="str">
        <f t="shared" si="75"/>
        <v>Dom</v>
      </c>
      <c r="G1192" s="36" t="str">
        <f t="shared" si="76"/>
        <v>Dom</v>
      </c>
    </row>
    <row r="1193" spans="2:7" ht="12" customHeight="1">
      <c r="B1193" s="43">
        <v>1172</v>
      </c>
      <c r="C1193" s="44">
        <v>45733</v>
      </c>
      <c r="D1193" s="36">
        <f t="shared" si="74"/>
        <v>2</v>
      </c>
      <c r="E1193" s="36" t="str">
        <f t="shared" si="77"/>
        <v>Dia útil</v>
      </c>
      <c r="F1193" s="36" t="str">
        <f t="shared" si="75"/>
        <v>Dia útil</v>
      </c>
      <c r="G1193" s="36" t="str">
        <f t="shared" si="76"/>
        <v>Dia útil</v>
      </c>
    </row>
    <row r="1194" spans="2:7" ht="12" customHeight="1">
      <c r="B1194" s="43">
        <v>1173</v>
      </c>
      <c r="C1194" s="44">
        <v>45734</v>
      </c>
      <c r="D1194" s="36">
        <f t="shared" si="74"/>
        <v>3</v>
      </c>
      <c r="E1194" s="36" t="str">
        <f t="shared" si="77"/>
        <v>Dia útil</v>
      </c>
      <c r="F1194" s="36" t="str">
        <f t="shared" si="75"/>
        <v>Dia útil</v>
      </c>
      <c r="G1194" s="36" t="str">
        <f t="shared" si="76"/>
        <v>Dia útil</v>
      </c>
    </row>
    <row r="1195" spans="2:7" ht="12" customHeight="1">
      <c r="B1195" s="43">
        <v>1174</v>
      </c>
      <c r="C1195" s="44">
        <v>45735</v>
      </c>
      <c r="D1195" s="36">
        <f t="shared" si="74"/>
        <v>4</v>
      </c>
      <c r="E1195" s="36" t="str">
        <f t="shared" si="77"/>
        <v>Dia útil</v>
      </c>
      <c r="F1195" s="36" t="str">
        <f t="shared" si="75"/>
        <v>Dia útil</v>
      </c>
      <c r="G1195" s="36" t="str">
        <f t="shared" si="76"/>
        <v>Dia útil</v>
      </c>
    </row>
    <row r="1196" spans="2:7" ht="12" customHeight="1">
      <c r="B1196" s="43">
        <v>1175</v>
      </c>
      <c r="C1196" s="44">
        <v>45736</v>
      </c>
      <c r="D1196" s="36">
        <f t="shared" si="74"/>
        <v>5</v>
      </c>
      <c r="E1196" s="36" t="str">
        <f t="shared" si="77"/>
        <v>Dia útil</v>
      </c>
      <c r="F1196" s="36" t="str">
        <f t="shared" si="75"/>
        <v>Dia útil</v>
      </c>
      <c r="G1196" s="36" t="str">
        <f t="shared" si="76"/>
        <v>Dia útil</v>
      </c>
    </row>
    <row r="1197" spans="2:7" ht="12" customHeight="1">
      <c r="B1197" s="43">
        <v>1176</v>
      </c>
      <c r="C1197" s="44">
        <v>45737</v>
      </c>
      <c r="D1197" s="36">
        <f t="shared" si="74"/>
        <v>6</v>
      </c>
      <c r="E1197" s="36" t="str">
        <f t="shared" si="77"/>
        <v>Dia útil</v>
      </c>
      <c r="F1197" s="36" t="str">
        <f t="shared" si="75"/>
        <v>Dia útil</v>
      </c>
      <c r="G1197" s="36" t="str">
        <f t="shared" si="76"/>
        <v>Dia útil</v>
      </c>
    </row>
    <row r="1198" spans="2:7" ht="12" customHeight="1">
      <c r="B1198" s="43">
        <v>1177</v>
      </c>
      <c r="C1198" s="44">
        <v>45738</v>
      </c>
      <c r="D1198" s="36">
        <f t="shared" si="74"/>
        <v>7</v>
      </c>
      <c r="E1198" s="36" t="str">
        <f t="shared" si="77"/>
        <v>Sáb</v>
      </c>
      <c r="F1198" s="36" t="str">
        <f t="shared" si="75"/>
        <v>Sáb</v>
      </c>
      <c r="G1198" s="36" t="str">
        <f t="shared" si="76"/>
        <v>Sáb</v>
      </c>
    </row>
    <row r="1199" spans="2:7" ht="12" customHeight="1">
      <c r="B1199" s="43">
        <v>1178</v>
      </c>
      <c r="C1199" s="44">
        <v>45739</v>
      </c>
      <c r="D1199" s="36">
        <f t="shared" si="74"/>
        <v>1</v>
      </c>
      <c r="E1199" s="36" t="str">
        <f t="shared" si="77"/>
        <v>Dom</v>
      </c>
      <c r="F1199" s="36" t="str">
        <f t="shared" si="75"/>
        <v>Dom</v>
      </c>
      <c r="G1199" s="36" t="str">
        <f t="shared" si="76"/>
        <v>Dom</v>
      </c>
    </row>
    <row r="1200" spans="2:7" ht="12" customHeight="1">
      <c r="B1200" s="43">
        <v>1179</v>
      </c>
      <c r="C1200" s="44">
        <v>45740</v>
      </c>
      <c r="D1200" s="36">
        <f t="shared" si="74"/>
        <v>2</v>
      </c>
      <c r="E1200" s="36" t="str">
        <f t="shared" si="77"/>
        <v>Dia útil</v>
      </c>
      <c r="F1200" s="36" t="str">
        <f t="shared" si="75"/>
        <v>Dia útil</v>
      </c>
      <c r="G1200" s="36" t="str">
        <f t="shared" si="76"/>
        <v>Dia útil</v>
      </c>
    </row>
    <row r="1201" spans="2:7" ht="12" customHeight="1">
      <c r="B1201" s="43">
        <v>1180</v>
      </c>
      <c r="C1201" s="44">
        <v>45741</v>
      </c>
      <c r="D1201" s="36">
        <f t="shared" si="74"/>
        <v>3</v>
      </c>
      <c r="E1201" s="36" t="str">
        <f t="shared" si="77"/>
        <v>Dia útil</v>
      </c>
      <c r="F1201" s="36" t="str">
        <f t="shared" si="75"/>
        <v>Dia útil</v>
      </c>
      <c r="G1201" s="36" t="str">
        <f t="shared" si="76"/>
        <v>Dia útil</v>
      </c>
    </row>
    <row r="1202" spans="2:7" ht="12" customHeight="1">
      <c r="B1202" s="43">
        <v>1181</v>
      </c>
      <c r="C1202" s="44">
        <v>45742</v>
      </c>
      <c r="D1202" s="36">
        <f t="shared" si="74"/>
        <v>4</v>
      </c>
      <c r="E1202" s="36" t="str">
        <f t="shared" si="77"/>
        <v>Dia útil</v>
      </c>
      <c r="F1202" s="36" t="str">
        <f t="shared" si="75"/>
        <v>Dia útil</v>
      </c>
      <c r="G1202" s="36" t="str">
        <f t="shared" si="76"/>
        <v>Dia útil</v>
      </c>
    </row>
    <row r="1203" spans="2:7" ht="12" customHeight="1">
      <c r="B1203" s="43">
        <v>1182</v>
      </c>
      <c r="C1203" s="44">
        <v>45743</v>
      </c>
      <c r="D1203" s="36">
        <f t="shared" si="74"/>
        <v>5</v>
      </c>
      <c r="E1203" s="36" t="str">
        <f t="shared" si="77"/>
        <v>Dia útil</v>
      </c>
      <c r="F1203" s="36" t="str">
        <f t="shared" si="75"/>
        <v>Dia útil</v>
      </c>
      <c r="G1203" s="36" t="str">
        <f t="shared" si="76"/>
        <v>Dia útil</v>
      </c>
    </row>
    <row r="1204" spans="2:7" ht="12" customHeight="1">
      <c r="B1204" s="43">
        <v>1183</v>
      </c>
      <c r="C1204" s="44">
        <v>45744</v>
      </c>
      <c r="D1204" s="36">
        <f t="shared" si="74"/>
        <v>6</v>
      </c>
      <c r="E1204" s="36" t="str">
        <f t="shared" si="77"/>
        <v>Dia útil</v>
      </c>
      <c r="F1204" s="36" t="str">
        <f t="shared" si="75"/>
        <v>Dia útil</v>
      </c>
      <c r="G1204" s="36" t="str">
        <f t="shared" si="76"/>
        <v>Dia útil</v>
      </c>
    </row>
    <row r="1205" spans="2:7" ht="12" customHeight="1">
      <c r="B1205" s="43">
        <v>1184</v>
      </c>
      <c r="C1205" s="44">
        <v>45745</v>
      </c>
      <c r="D1205" s="36">
        <f t="shared" si="74"/>
        <v>7</v>
      </c>
      <c r="E1205" s="36" t="str">
        <f t="shared" si="77"/>
        <v>Sáb</v>
      </c>
      <c r="F1205" s="36" t="str">
        <f t="shared" si="75"/>
        <v>Sáb</v>
      </c>
      <c r="G1205" s="36" t="str">
        <f t="shared" si="76"/>
        <v>Sáb</v>
      </c>
    </row>
    <row r="1206" spans="2:7" ht="12" customHeight="1">
      <c r="B1206" s="43">
        <v>1185</v>
      </c>
      <c r="C1206" s="44">
        <v>45746</v>
      </c>
      <c r="D1206" s="36">
        <f t="shared" si="74"/>
        <v>1</v>
      </c>
      <c r="E1206" s="36" t="str">
        <f t="shared" si="77"/>
        <v>Dom</v>
      </c>
      <c r="F1206" s="36" t="str">
        <f t="shared" si="75"/>
        <v>Dom</v>
      </c>
      <c r="G1206" s="36" t="str">
        <f t="shared" si="76"/>
        <v>Dom</v>
      </c>
    </row>
    <row r="1207" spans="2:7" ht="12" customHeight="1">
      <c r="B1207" s="43">
        <v>1186</v>
      </c>
      <c r="C1207" s="44">
        <v>45747</v>
      </c>
      <c r="D1207" s="36">
        <f t="shared" si="74"/>
        <v>2</v>
      </c>
      <c r="E1207" s="36" t="str">
        <f t="shared" si="77"/>
        <v>Dia útil</v>
      </c>
      <c r="F1207" s="36" t="str">
        <f t="shared" si="75"/>
        <v>Dia útil</v>
      </c>
      <c r="G1207" s="36" t="str">
        <f t="shared" si="76"/>
        <v>Dia útil</v>
      </c>
    </row>
    <row r="1208" spans="2:7" ht="12" customHeight="1">
      <c r="B1208" s="43">
        <v>1187</v>
      </c>
      <c r="C1208" s="44">
        <v>45748</v>
      </c>
      <c r="D1208" s="36">
        <f t="shared" si="74"/>
        <v>3</v>
      </c>
      <c r="E1208" s="36" t="str">
        <f t="shared" si="77"/>
        <v>Dia útil</v>
      </c>
      <c r="F1208" s="36" t="str">
        <f t="shared" si="75"/>
        <v>Dia útil</v>
      </c>
      <c r="G1208" s="36" t="str">
        <f t="shared" si="76"/>
        <v>Dia útil</v>
      </c>
    </row>
    <row r="1209" spans="2:7" ht="12" customHeight="1">
      <c r="B1209" s="43">
        <v>1188</v>
      </c>
      <c r="C1209" s="44">
        <v>45749</v>
      </c>
      <c r="D1209" s="36">
        <f t="shared" si="74"/>
        <v>4</v>
      </c>
      <c r="E1209" s="36" t="str">
        <f t="shared" si="77"/>
        <v>Dia útil</v>
      </c>
      <c r="F1209" s="36" t="str">
        <f t="shared" si="75"/>
        <v>Dia útil</v>
      </c>
      <c r="G1209" s="36" t="str">
        <f t="shared" si="76"/>
        <v>Dia útil</v>
      </c>
    </row>
    <row r="1210" spans="2:7" ht="12" customHeight="1">
      <c r="B1210" s="43">
        <v>1189</v>
      </c>
      <c r="C1210" s="44">
        <v>45750</v>
      </c>
      <c r="D1210" s="36">
        <f t="shared" si="74"/>
        <v>5</v>
      </c>
      <c r="E1210" s="36" t="str">
        <f t="shared" si="77"/>
        <v>Dia útil</v>
      </c>
      <c r="F1210" s="36" t="str">
        <f t="shared" si="75"/>
        <v>Dia útil</v>
      </c>
      <c r="G1210" s="36" t="str">
        <f t="shared" si="76"/>
        <v>Dia útil</v>
      </c>
    </row>
    <row r="1211" spans="2:7" ht="12" customHeight="1">
      <c r="B1211" s="43">
        <v>1190</v>
      </c>
      <c r="C1211" s="44">
        <v>45751</v>
      </c>
      <c r="D1211" s="36">
        <f t="shared" si="74"/>
        <v>6</v>
      </c>
      <c r="E1211" s="36" t="str">
        <f t="shared" si="77"/>
        <v>Dia útil</v>
      </c>
      <c r="F1211" s="36" t="str">
        <f t="shared" si="75"/>
        <v>Dia útil</v>
      </c>
      <c r="G1211" s="36" t="str">
        <f t="shared" si="76"/>
        <v>Dia útil</v>
      </c>
    </row>
    <row r="1212" spans="2:7" ht="12" customHeight="1">
      <c r="B1212" s="43">
        <v>1191</v>
      </c>
      <c r="C1212" s="44">
        <v>45752</v>
      </c>
      <c r="D1212" s="36">
        <f t="shared" si="74"/>
        <v>7</v>
      </c>
      <c r="E1212" s="36" t="str">
        <f t="shared" si="77"/>
        <v>Sáb</v>
      </c>
      <c r="F1212" s="36" t="str">
        <f t="shared" si="75"/>
        <v>Sáb</v>
      </c>
      <c r="G1212" s="36" t="str">
        <f t="shared" si="76"/>
        <v>Sáb</v>
      </c>
    </row>
    <row r="1213" spans="2:7" ht="12" customHeight="1">
      <c r="B1213" s="43">
        <v>1192</v>
      </c>
      <c r="C1213" s="44">
        <v>45753</v>
      </c>
      <c r="D1213" s="36">
        <f t="shared" si="74"/>
        <v>1</v>
      </c>
      <c r="E1213" s="36" t="str">
        <f t="shared" si="77"/>
        <v>Dom</v>
      </c>
      <c r="F1213" s="36" t="str">
        <f t="shared" si="75"/>
        <v>Dom</v>
      </c>
      <c r="G1213" s="36" t="str">
        <f t="shared" si="76"/>
        <v>Dom</v>
      </c>
    </row>
    <row r="1214" spans="2:7" ht="12" customHeight="1">
      <c r="B1214" s="43">
        <v>1193</v>
      </c>
      <c r="C1214" s="44">
        <v>45754</v>
      </c>
      <c r="D1214" s="36">
        <f t="shared" si="74"/>
        <v>2</v>
      </c>
      <c r="E1214" s="36" t="str">
        <f t="shared" si="77"/>
        <v>Dia útil</v>
      </c>
      <c r="F1214" s="36" t="str">
        <f t="shared" si="75"/>
        <v>Dia útil</v>
      </c>
      <c r="G1214" s="36" t="str">
        <f t="shared" si="76"/>
        <v>Dia útil</v>
      </c>
    </row>
    <row r="1215" spans="2:7" ht="12" customHeight="1">
      <c r="B1215" s="43">
        <v>1194</v>
      </c>
      <c r="C1215" s="44">
        <v>45755</v>
      </c>
      <c r="D1215" s="36">
        <f t="shared" si="74"/>
        <v>3</v>
      </c>
      <c r="E1215" s="36" t="str">
        <f t="shared" si="77"/>
        <v>Dia útil</v>
      </c>
      <c r="F1215" s="36" t="str">
        <f t="shared" si="75"/>
        <v>Dia útil</v>
      </c>
      <c r="G1215" s="36" t="str">
        <f t="shared" si="76"/>
        <v>Dia útil</v>
      </c>
    </row>
    <row r="1216" spans="2:7" ht="12" customHeight="1">
      <c r="B1216" s="43">
        <v>1195</v>
      </c>
      <c r="C1216" s="44">
        <v>45756</v>
      </c>
      <c r="D1216" s="36">
        <f t="shared" si="74"/>
        <v>4</v>
      </c>
      <c r="E1216" s="36" t="str">
        <f t="shared" si="77"/>
        <v>Dia útil</v>
      </c>
      <c r="F1216" s="36" t="str">
        <f t="shared" si="75"/>
        <v>Dia útil</v>
      </c>
      <c r="G1216" s="36" t="str">
        <f t="shared" si="76"/>
        <v>Dia útil</v>
      </c>
    </row>
    <row r="1217" spans="2:7" ht="12" customHeight="1">
      <c r="B1217" s="43">
        <v>1196</v>
      </c>
      <c r="C1217" s="44">
        <v>45757</v>
      </c>
      <c r="D1217" s="36">
        <f t="shared" si="74"/>
        <v>5</v>
      </c>
      <c r="E1217" s="36" t="str">
        <f t="shared" si="77"/>
        <v>Dia útil</v>
      </c>
      <c r="F1217" s="36" t="str">
        <f t="shared" si="75"/>
        <v>Dia útil</v>
      </c>
      <c r="G1217" s="36" t="str">
        <f t="shared" si="76"/>
        <v>Dia útil</v>
      </c>
    </row>
    <row r="1218" spans="2:7" ht="12" customHeight="1">
      <c r="B1218" s="43">
        <v>1197</v>
      </c>
      <c r="C1218" s="44">
        <v>45758</v>
      </c>
      <c r="D1218" s="36">
        <f t="shared" si="74"/>
        <v>6</v>
      </c>
      <c r="E1218" s="36" t="str">
        <f t="shared" si="77"/>
        <v>Dia útil</v>
      </c>
      <c r="F1218" s="36" t="str">
        <f t="shared" si="75"/>
        <v>Dia útil</v>
      </c>
      <c r="G1218" s="36" t="str">
        <f t="shared" si="76"/>
        <v>Dia útil</v>
      </c>
    </row>
    <row r="1219" spans="2:7" ht="12" customHeight="1">
      <c r="B1219" s="43">
        <v>1198</v>
      </c>
      <c r="C1219" s="44">
        <v>45759</v>
      </c>
      <c r="D1219" s="36">
        <f t="shared" si="74"/>
        <v>7</v>
      </c>
      <c r="E1219" s="36" t="str">
        <f t="shared" si="77"/>
        <v>Sáb</v>
      </c>
      <c r="F1219" s="36" t="str">
        <f t="shared" si="75"/>
        <v>Sáb</v>
      </c>
      <c r="G1219" s="36" t="str">
        <f t="shared" si="76"/>
        <v>Sáb</v>
      </c>
    </row>
    <row r="1220" spans="2:7" ht="12" customHeight="1">
      <c r="B1220" s="43">
        <v>1199</v>
      </c>
      <c r="C1220" s="44">
        <v>45760</v>
      </c>
      <c r="D1220" s="36">
        <f t="shared" si="74"/>
        <v>1</v>
      </c>
      <c r="E1220" s="36" t="str">
        <f t="shared" si="77"/>
        <v>Dom</v>
      </c>
      <c r="F1220" s="36" t="str">
        <f t="shared" si="75"/>
        <v>Dom</v>
      </c>
      <c r="G1220" s="36" t="str">
        <f t="shared" si="76"/>
        <v>Dom</v>
      </c>
    </row>
    <row r="1221" spans="2:7" ht="12" customHeight="1">
      <c r="B1221" s="43">
        <v>1200</v>
      </c>
      <c r="C1221" s="44">
        <v>45761</v>
      </c>
      <c r="D1221" s="36">
        <f t="shared" si="74"/>
        <v>2</v>
      </c>
      <c r="E1221" s="36" t="str">
        <f t="shared" si="77"/>
        <v>Dia útil</v>
      </c>
      <c r="F1221" s="36" t="str">
        <f t="shared" si="75"/>
        <v>Dia útil</v>
      </c>
      <c r="G1221" s="36" t="str">
        <f t="shared" si="76"/>
        <v>Dia útil</v>
      </c>
    </row>
    <row r="1222" spans="2:7" ht="12" customHeight="1">
      <c r="B1222" s="43">
        <v>1201</v>
      </c>
      <c r="C1222" s="44">
        <v>45762</v>
      </c>
      <c r="D1222" s="36">
        <f t="shared" si="74"/>
        <v>3</v>
      </c>
      <c r="E1222" s="36" t="str">
        <f t="shared" si="77"/>
        <v>Dia útil</v>
      </c>
      <c r="F1222" s="36" t="str">
        <f t="shared" si="75"/>
        <v>Dia útil</v>
      </c>
      <c r="G1222" s="36" t="str">
        <f t="shared" si="76"/>
        <v>Dia útil</v>
      </c>
    </row>
    <row r="1223" spans="2:7" ht="12" customHeight="1">
      <c r="B1223" s="43">
        <v>1202</v>
      </c>
      <c r="C1223" s="44">
        <v>45763</v>
      </c>
      <c r="D1223" s="36">
        <f t="shared" si="74"/>
        <v>4</v>
      </c>
      <c r="E1223" s="36" t="str">
        <f t="shared" si="77"/>
        <v>Dia útil</v>
      </c>
      <c r="F1223" s="36" t="str">
        <f t="shared" si="75"/>
        <v>Dia útil</v>
      </c>
      <c r="G1223" s="36" t="str">
        <f t="shared" si="76"/>
        <v>Dia útil</v>
      </c>
    </row>
    <row r="1224" spans="2:7" ht="12" customHeight="1">
      <c r="B1224" s="43">
        <v>1203</v>
      </c>
      <c r="C1224" s="44">
        <v>45764</v>
      </c>
      <c r="D1224" s="36">
        <f t="shared" si="74"/>
        <v>5</v>
      </c>
      <c r="E1224" s="36" t="str">
        <f t="shared" si="77"/>
        <v>Dia útil</v>
      </c>
      <c r="F1224" s="36" t="str">
        <f t="shared" si="75"/>
        <v>Dia útil</v>
      </c>
      <c r="G1224" s="36" t="str">
        <f t="shared" si="76"/>
        <v>Dia útil</v>
      </c>
    </row>
    <row r="1225" spans="2:7" ht="12" customHeight="1">
      <c r="B1225" s="43">
        <v>1204</v>
      </c>
      <c r="C1225" s="44">
        <v>45765</v>
      </c>
      <c r="D1225" s="36">
        <f t="shared" si="74"/>
        <v>6</v>
      </c>
      <c r="E1225" s="36" t="str">
        <f t="shared" si="77"/>
        <v>Dia útil</v>
      </c>
      <c r="F1225" s="46" t="s">
        <v>1725</v>
      </c>
      <c r="G1225" s="36" t="str">
        <f t="shared" si="76"/>
        <v>Feriado</v>
      </c>
    </row>
    <row r="1226" spans="2:7" ht="12" customHeight="1">
      <c r="B1226" s="43">
        <v>1205</v>
      </c>
      <c r="C1226" s="44">
        <v>45766</v>
      </c>
      <c r="D1226" s="36">
        <f t="shared" si="74"/>
        <v>7</v>
      </c>
      <c r="E1226" s="36" t="str">
        <f t="shared" si="77"/>
        <v>Sáb</v>
      </c>
      <c r="F1226" s="36" t="str">
        <f t="shared" si="75"/>
        <v>Sáb</v>
      </c>
      <c r="G1226" s="36" t="str">
        <f t="shared" si="76"/>
        <v>Sáb</v>
      </c>
    </row>
    <row r="1227" spans="2:7" ht="12" customHeight="1">
      <c r="B1227" s="43">
        <v>1206</v>
      </c>
      <c r="C1227" s="44">
        <v>45767</v>
      </c>
      <c r="D1227" s="36">
        <f t="shared" si="74"/>
        <v>1</v>
      </c>
      <c r="E1227" s="36" t="str">
        <f t="shared" si="77"/>
        <v>Dom</v>
      </c>
      <c r="F1227" s="46" t="s">
        <v>1725</v>
      </c>
      <c r="G1227" s="36" t="str">
        <f t="shared" si="76"/>
        <v>Dom</v>
      </c>
    </row>
    <row r="1228" spans="2:7" ht="12" customHeight="1">
      <c r="B1228" s="43">
        <v>1207</v>
      </c>
      <c r="C1228" s="44">
        <v>45768</v>
      </c>
      <c r="D1228" s="36">
        <f t="shared" si="74"/>
        <v>2</v>
      </c>
      <c r="E1228" s="36" t="str">
        <f t="shared" si="77"/>
        <v>Dia útil</v>
      </c>
      <c r="F1228" s="46" t="s">
        <v>1725</v>
      </c>
      <c r="G1228" s="36" t="str">
        <f t="shared" si="76"/>
        <v>Feriado</v>
      </c>
    </row>
    <row r="1229" spans="2:7" ht="12" customHeight="1">
      <c r="B1229" s="43">
        <v>1208</v>
      </c>
      <c r="C1229" s="44">
        <v>45769</v>
      </c>
      <c r="D1229" s="36">
        <f t="shared" si="74"/>
        <v>3</v>
      </c>
      <c r="E1229" s="36" t="str">
        <f t="shared" si="77"/>
        <v>Dia útil</v>
      </c>
      <c r="F1229" s="36" t="str">
        <f t="shared" si="75"/>
        <v>Dia útil</v>
      </c>
      <c r="G1229" s="36" t="str">
        <f t="shared" si="76"/>
        <v>Dia útil</v>
      </c>
    </row>
    <row r="1230" spans="2:7" ht="12" customHeight="1">
      <c r="B1230" s="43">
        <v>1209</v>
      </c>
      <c r="C1230" s="44">
        <v>45770</v>
      </c>
      <c r="D1230" s="36">
        <f t="shared" si="74"/>
        <v>4</v>
      </c>
      <c r="E1230" s="36" t="str">
        <f t="shared" si="77"/>
        <v>Dia útil</v>
      </c>
      <c r="F1230" s="36" t="str">
        <f t="shared" si="75"/>
        <v>Dia útil</v>
      </c>
      <c r="G1230" s="36" t="str">
        <f t="shared" si="76"/>
        <v>Dia útil</v>
      </c>
    </row>
    <row r="1231" spans="2:7" ht="12" customHeight="1">
      <c r="B1231" s="43">
        <v>1210</v>
      </c>
      <c r="C1231" s="44">
        <v>45771</v>
      </c>
      <c r="D1231" s="36">
        <f t="shared" si="74"/>
        <v>5</v>
      </c>
      <c r="E1231" s="36" t="str">
        <f t="shared" si="77"/>
        <v>Dia útil</v>
      </c>
      <c r="F1231" s="36" t="str">
        <f t="shared" si="75"/>
        <v>Dia útil</v>
      </c>
      <c r="G1231" s="36" t="str">
        <f t="shared" si="76"/>
        <v>Dia útil</v>
      </c>
    </row>
    <row r="1232" spans="2:7" ht="12" customHeight="1">
      <c r="B1232" s="43">
        <v>1211</v>
      </c>
      <c r="C1232" s="44">
        <v>45772</v>
      </c>
      <c r="D1232" s="36">
        <f t="shared" si="74"/>
        <v>6</v>
      </c>
      <c r="E1232" s="36" t="str">
        <f t="shared" si="77"/>
        <v>Dia útil</v>
      </c>
      <c r="F1232" s="36" t="str">
        <f t="shared" si="75"/>
        <v>Dia útil</v>
      </c>
      <c r="G1232" s="36" t="str">
        <f t="shared" si="76"/>
        <v>Dia útil</v>
      </c>
    </row>
    <row r="1233" spans="2:7" ht="12" customHeight="1">
      <c r="B1233" s="43">
        <v>1212</v>
      </c>
      <c r="C1233" s="44">
        <v>45773</v>
      </c>
      <c r="D1233" s="36">
        <f t="shared" si="74"/>
        <v>7</v>
      </c>
      <c r="E1233" s="36" t="str">
        <f t="shared" si="77"/>
        <v>Sáb</v>
      </c>
      <c r="F1233" s="36" t="str">
        <f t="shared" si="75"/>
        <v>Sáb</v>
      </c>
      <c r="G1233" s="36" t="str">
        <f t="shared" si="76"/>
        <v>Sáb</v>
      </c>
    </row>
    <row r="1234" spans="2:7" ht="12" customHeight="1">
      <c r="B1234" s="43">
        <v>1213</v>
      </c>
      <c r="C1234" s="44">
        <v>45774</v>
      </c>
      <c r="D1234" s="36">
        <f t="shared" si="74"/>
        <v>1</v>
      </c>
      <c r="E1234" s="36" t="str">
        <f t="shared" si="77"/>
        <v>Dom</v>
      </c>
      <c r="F1234" s="36" t="str">
        <f t="shared" si="75"/>
        <v>Dom</v>
      </c>
      <c r="G1234" s="36" t="str">
        <f t="shared" si="76"/>
        <v>Dom</v>
      </c>
    </row>
    <row r="1235" spans="2:7" ht="12" customHeight="1">
      <c r="B1235" s="43">
        <v>1214</v>
      </c>
      <c r="C1235" s="44">
        <v>45775</v>
      </c>
      <c r="D1235" s="36">
        <f t="shared" si="74"/>
        <v>2</v>
      </c>
      <c r="E1235" s="36" t="str">
        <f t="shared" si="77"/>
        <v>Dia útil</v>
      </c>
      <c r="F1235" s="36" t="str">
        <f t="shared" si="75"/>
        <v>Dia útil</v>
      </c>
      <c r="G1235" s="36" t="str">
        <f t="shared" si="76"/>
        <v>Dia útil</v>
      </c>
    </row>
    <row r="1236" spans="2:7" ht="12" customHeight="1">
      <c r="B1236" s="43">
        <v>1215</v>
      </c>
      <c r="C1236" s="44">
        <v>45776</v>
      </c>
      <c r="D1236" s="36">
        <f t="shared" si="74"/>
        <v>3</v>
      </c>
      <c r="E1236" s="36" t="str">
        <f t="shared" si="77"/>
        <v>Dia útil</v>
      </c>
      <c r="F1236" s="36" t="str">
        <f t="shared" si="75"/>
        <v>Dia útil</v>
      </c>
      <c r="G1236" s="36" t="str">
        <f t="shared" si="76"/>
        <v>Dia útil</v>
      </c>
    </row>
    <row r="1237" spans="2:7" ht="12" customHeight="1">
      <c r="B1237" s="43">
        <v>1216</v>
      </c>
      <c r="C1237" s="44">
        <v>45777</v>
      </c>
      <c r="D1237" s="36">
        <f t="shared" si="74"/>
        <v>4</v>
      </c>
      <c r="E1237" s="36" t="str">
        <f t="shared" si="77"/>
        <v>Dia útil</v>
      </c>
      <c r="F1237" s="36" t="str">
        <f t="shared" si="75"/>
        <v>Dia útil</v>
      </c>
      <c r="G1237" s="36" t="str">
        <f t="shared" si="76"/>
        <v>Dia útil</v>
      </c>
    </row>
    <row r="1238" spans="2:7" ht="12" customHeight="1">
      <c r="B1238" s="43">
        <v>1217</v>
      </c>
      <c r="C1238" s="44">
        <v>45778</v>
      </c>
      <c r="D1238" s="36">
        <f t="shared" si="74"/>
        <v>5</v>
      </c>
      <c r="E1238" s="36" t="str">
        <f t="shared" si="77"/>
        <v>Dia útil</v>
      </c>
      <c r="F1238" s="46" t="s">
        <v>1725</v>
      </c>
      <c r="G1238" s="36" t="str">
        <f t="shared" si="76"/>
        <v>Feriado</v>
      </c>
    </row>
    <row r="1239" spans="2:7" ht="12" customHeight="1">
      <c r="B1239" s="43">
        <v>1218</v>
      </c>
      <c r="C1239" s="44">
        <v>45779</v>
      </c>
      <c r="D1239" s="36">
        <f t="shared" ref="D1239:D1302" si="78">WEEKDAY(C1239,1)</f>
        <v>6</v>
      </c>
      <c r="E1239" s="36" t="str">
        <f t="shared" si="77"/>
        <v>Dia útil</v>
      </c>
      <c r="F1239" s="36" t="str">
        <f t="shared" ref="F1239:F1302" si="79">E1239</f>
        <v>Dia útil</v>
      </c>
      <c r="G1239" s="36" t="str">
        <f t="shared" ref="G1239:G1302" si="80">IF(AND(F1239="Feriado",OR(E1239="Sáb",E1239="Dom")),E1239,IF(AND(F1239="Feriado",E1239="Dia útil"),"Feriado",E1239))</f>
        <v>Dia útil</v>
      </c>
    </row>
    <row r="1240" spans="2:7" ht="12" customHeight="1">
      <c r="B1240" s="43">
        <v>1219</v>
      </c>
      <c r="C1240" s="44">
        <v>45780</v>
      </c>
      <c r="D1240" s="36">
        <f t="shared" si="78"/>
        <v>7</v>
      </c>
      <c r="E1240" s="36" t="str">
        <f t="shared" si="77"/>
        <v>Sáb</v>
      </c>
      <c r="F1240" s="36" t="str">
        <f t="shared" si="79"/>
        <v>Sáb</v>
      </c>
      <c r="G1240" s="36" t="str">
        <f t="shared" si="80"/>
        <v>Sáb</v>
      </c>
    </row>
    <row r="1241" spans="2:7" ht="12" customHeight="1">
      <c r="B1241" s="43">
        <v>1220</v>
      </c>
      <c r="C1241" s="44">
        <v>45781</v>
      </c>
      <c r="D1241" s="36">
        <f t="shared" si="78"/>
        <v>1</v>
      </c>
      <c r="E1241" s="36" t="str">
        <f t="shared" ref="E1241:E1304" si="81">IF(D1241=1,"Dom",IF(D1241=7,"Sáb","Dia útil"))</f>
        <v>Dom</v>
      </c>
      <c r="F1241" s="36" t="str">
        <f t="shared" si="79"/>
        <v>Dom</v>
      </c>
      <c r="G1241" s="36" t="str">
        <f t="shared" si="80"/>
        <v>Dom</v>
      </c>
    </row>
    <row r="1242" spans="2:7" ht="12" customHeight="1">
      <c r="B1242" s="43">
        <v>1221</v>
      </c>
      <c r="C1242" s="44">
        <v>45782</v>
      </c>
      <c r="D1242" s="36">
        <f t="shared" si="78"/>
        <v>2</v>
      </c>
      <c r="E1242" s="36" t="str">
        <f t="shared" si="81"/>
        <v>Dia útil</v>
      </c>
      <c r="F1242" s="36" t="str">
        <f t="shared" si="79"/>
        <v>Dia útil</v>
      </c>
      <c r="G1242" s="36" t="str">
        <f t="shared" si="80"/>
        <v>Dia útil</v>
      </c>
    </row>
    <row r="1243" spans="2:7" ht="12" customHeight="1">
      <c r="B1243" s="43">
        <v>1222</v>
      </c>
      <c r="C1243" s="44">
        <v>45783</v>
      </c>
      <c r="D1243" s="36">
        <f t="shared" si="78"/>
        <v>3</v>
      </c>
      <c r="E1243" s="36" t="str">
        <f t="shared" si="81"/>
        <v>Dia útil</v>
      </c>
      <c r="F1243" s="36" t="str">
        <f t="shared" si="79"/>
        <v>Dia útil</v>
      </c>
      <c r="G1243" s="36" t="str">
        <f t="shared" si="80"/>
        <v>Dia útil</v>
      </c>
    </row>
    <row r="1244" spans="2:7" ht="12" customHeight="1">
      <c r="B1244" s="43">
        <v>1223</v>
      </c>
      <c r="C1244" s="44">
        <v>45784</v>
      </c>
      <c r="D1244" s="36">
        <f t="shared" si="78"/>
        <v>4</v>
      </c>
      <c r="E1244" s="36" t="str">
        <f t="shared" si="81"/>
        <v>Dia útil</v>
      </c>
      <c r="F1244" s="36" t="str">
        <f t="shared" si="79"/>
        <v>Dia útil</v>
      </c>
      <c r="G1244" s="36" t="str">
        <f t="shared" si="80"/>
        <v>Dia útil</v>
      </c>
    </row>
    <row r="1245" spans="2:7" ht="12" customHeight="1">
      <c r="B1245" s="43">
        <v>1224</v>
      </c>
      <c r="C1245" s="44">
        <v>45785</v>
      </c>
      <c r="D1245" s="36">
        <f t="shared" si="78"/>
        <v>5</v>
      </c>
      <c r="E1245" s="36" t="str">
        <f t="shared" si="81"/>
        <v>Dia útil</v>
      </c>
      <c r="F1245" s="36" t="str">
        <f t="shared" si="79"/>
        <v>Dia útil</v>
      </c>
      <c r="G1245" s="36" t="str">
        <f t="shared" si="80"/>
        <v>Dia útil</v>
      </c>
    </row>
    <row r="1246" spans="2:7" ht="12" customHeight="1">
      <c r="B1246" s="43">
        <v>1225</v>
      </c>
      <c r="C1246" s="44">
        <v>45786</v>
      </c>
      <c r="D1246" s="36">
        <f t="shared" si="78"/>
        <v>6</v>
      </c>
      <c r="E1246" s="36" t="str">
        <f t="shared" si="81"/>
        <v>Dia útil</v>
      </c>
      <c r="F1246" s="36" t="str">
        <f t="shared" si="79"/>
        <v>Dia útil</v>
      </c>
      <c r="G1246" s="36" t="str">
        <f t="shared" si="80"/>
        <v>Dia útil</v>
      </c>
    </row>
    <row r="1247" spans="2:7" ht="12" customHeight="1">
      <c r="B1247" s="43">
        <v>1226</v>
      </c>
      <c r="C1247" s="44">
        <v>45787</v>
      </c>
      <c r="D1247" s="36">
        <f t="shared" si="78"/>
        <v>7</v>
      </c>
      <c r="E1247" s="36" t="str">
        <f t="shared" si="81"/>
        <v>Sáb</v>
      </c>
      <c r="F1247" s="36" t="str">
        <f t="shared" si="79"/>
        <v>Sáb</v>
      </c>
      <c r="G1247" s="36" t="str">
        <f t="shared" si="80"/>
        <v>Sáb</v>
      </c>
    </row>
    <row r="1248" spans="2:7" ht="12" customHeight="1">
      <c r="B1248" s="43">
        <v>1227</v>
      </c>
      <c r="C1248" s="44">
        <v>45788</v>
      </c>
      <c r="D1248" s="36">
        <f t="shared" si="78"/>
        <v>1</v>
      </c>
      <c r="E1248" s="36" t="str">
        <f t="shared" si="81"/>
        <v>Dom</v>
      </c>
      <c r="F1248" s="36" t="str">
        <f t="shared" si="79"/>
        <v>Dom</v>
      </c>
      <c r="G1248" s="36" t="str">
        <f t="shared" si="80"/>
        <v>Dom</v>
      </c>
    </row>
    <row r="1249" spans="2:7" ht="12" customHeight="1">
      <c r="B1249" s="43">
        <v>1228</v>
      </c>
      <c r="C1249" s="44">
        <v>45789</v>
      </c>
      <c r="D1249" s="36">
        <f t="shared" si="78"/>
        <v>2</v>
      </c>
      <c r="E1249" s="36" t="str">
        <f t="shared" si="81"/>
        <v>Dia útil</v>
      </c>
      <c r="F1249" s="36" t="str">
        <f t="shared" si="79"/>
        <v>Dia útil</v>
      </c>
      <c r="G1249" s="36" t="str">
        <f t="shared" si="80"/>
        <v>Dia útil</v>
      </c>
    </row>
    <row r="1250" spans="2:7" ht="12" customHeight="1">
      <c r="B1250" s="43">
        <v>1229</v>
      </c>
      <c r="C1250" s="44">
        <v>45790</v>
      </c>
      <c r="D1250" s="36">
        <f t="shared" si="78"/>
        <v>3</v>
      </c>
      <c r="E1250" s="36" t="str">
        <f t="shared" si="81"/>
        <v>Dia útil</v>
      </c>
      <c r="F1250" s="36" t="str">
        <f t="shared" si="79"/>
        <v>Dia útil</v>
      </c>
      <c r="G1250" s="36" t="str">
        <f t="shared" si="80"/>
        <v>Dia útil</v>
      </c>
    </row>
    <row r="1251" spans="2:7" ht="12" customHeight="1">
      <c r="B1251" s="43">
        <v>1230</v>
      </c>
      <c r="C1251" s="44">
        <v>45791</v>
      </c>
      <c r="D1251" s="36">
        <f t="shared" si="78"/>
        <v>4</v>
      </c>
      <c r="E1251" s="36" t="str">
        <f t="shared" si="81"/>
        <v>Dia útil</v>
      </c>
      <c r="F1251" s="36" t="str">
        <f t="shared" si="79"/>
        <v>Dia útil</v>
      </c>
      <c r="G1251" s="36" t="str">
        <f t="shared" si="80"/>
        <v>Dia útil</v>
      </c>
    </row>
    <row r="1252" spans="2:7" ht="12" customHeight="1">
      <c r="B1252" s="43">
        <v>1231</v>
      </c>
      <c r="C1252" s="44">
        <v>45792</v>
      </c>
      <c r="D1252" s="36">
        <f t="shared" si="78"/>
        <v>5</v>
      </c>
      <c r="E1252" s="36" t="str">
        <f t="shared" si="81"/>
        <v>Dia útil</v>
      </c>
      <c r="F1252" s="36" t="str">
        <f t="shared" si="79"/>
        <v>Dia útil</v>
      </c>
      <c r="G1252" s="36" t="str">
        <f t="shared" si="80"/>
        <v>Dia útil</v>
      </c>
    </row>
    <row r="1253" spans="2:7" ht="12" customHeight="1">
      <c r="B1253" s="43">
        <v>1232</v>
      </c>
      <c r="C1253" s="44">
        <v>45793</v>
      </c>
      <c r="D1253" s="36">
        <f t="shared" si="78"/>
        <v>6</v>
      </c>
      <c r="E1253" s="36" t="str">
        <f t="shared" si="81"/>
        <v>Dia útil</v>
      </c>
      <c r="F1253" s="36" t="str">
        <f t="shared" si="79"/>
        <v>Dia útil</v>
      </c>
      <c r="G1253" s="36" t="str">
        <f t="shared" si="80"/>
        <v>Dia útil</v>
      </c>
    </row>
    <row r="1254" spans="2:7" ht="12" customHeight="1">
      <c r="B1254" s="43">
        <v>1233</v>
      </c>
      <c r="C1254" s="44">
        <v>45794</v>
      </c>
      <c r="D1254" s="36">
        <f t="shared" si="78"/>
        <v>7</v>
      </c>
      <c r="E1254" s="36" t="str">
        <f t="shared" si="81"/>
        <v>Sáb</v>
      </c>
      <c r="F1254" s="36" t="str">
        <f t="shared" si="79"/>
        <v>Sáb</v>
      </c>
      <c r="G1254" s="36" t="str">
        <f t="shared" si="80"/>
        <v>Sáb</v>
      </c>
    </row>
    <row r="1255" spans="2:7" ht="12" customHeight="1">
      <c r="B1255" s="43">
        <v>1234</v>
      </c>
      <c r="C1255" s="44">
        <v>45795</v>
      </c>
      <c r="D1255" s="36">
        <f t="shared" si="78"/>
        <v>1</v>
      </c>
      <c r="E1255" s="36" t="str">
        <f t="shared" si="81"/>
        <v>Dom</v>
      </c>
      <c r="F1255" s="36" t="str">
        <f t="shared" si="79"/>
        <v>Dom</v>
      </c>
      <c r="G1255" s="36" t="str">
        <f t="shared" si="80"/>
        <v>Dom</v>
      </c>
    </row>
    <row r="1256" spans="2:7" ht="12" customHeight="1">
      <c r="B1256" s="43">
        <v>1235</v>
      </c>
      <c r="C1256" s="44">
        <v>45796</v>
      </c>
      <c r="D1256" s="36">
        <f t="shared" si="78"/>
        <v>2</v>
      </c>
      <c r="E1256" s="36" t="str">
        <f t="shared" si="81"/>
        <v>Dia útil</v>
      </c>
      <c r="F1256" s="36" t="str">
        <f t="shared" si="79"/>
        <v>Dia útil</v>
      </c>
      <c r="G1256" s="36" t="str">
        <f t="shared" si="80"/>
        <v>Dia útil</v>
      </c>
    </row>
    <row r="1257" spans="2:7" ht="12" customHeight="1">
      <c r="B1257" s="43">
        <v>1236</v>
      </c>
      <c r="C1257" s="44">
        <v>45797</v>
      </c>
      <c r="D1257" s="36">
        <f t="shared" si="78"/>
        <v>3</v>
      </c>
      <c r="E1257" s="36" t="str">
        <f t="shared" si="81"/>
        <v>Dia útil</v>
      </c>
      <c r="F1257" s="36" t="str">
        <f t="shared" si="79"/>
        <v>Dia útil</v>
      </c>
      <c r="G1257" s="36" t="str">
        <f t="shared" si="80"/>
        <v>Dia útil</v>
      </c>
    </row>
    <row r="1258" spans="2:7" ht="12" customHeight="1">
      <c r="B1258" s="43">
        <v>1237</v>
      </c>
      <c r="C1258" s="44">
        <v>45798</v>
      </c>
      <c r="D1258" s="36">
        <f t="shared" si="78"/>
        <v>4</v>
      </c>
      <c r="E1258" s="36" t="str">
        <f t="shared" si="81"/>
        <v>Dia útil</v>
      </c>
      <c r="F1258" s="36" t="str">
        <f t="shared" si="79"/>
        <v>Dia útil</v>
      </c>
      <c r="G1258" s="36" t="str">
        <f t="shared" si="80"/>
        <v>Dia útil</v>
      </c>
    </row>
    <row r="1259" spans="2:7" ht="12" customHeight="1">
      <c r="B1259" s="43">
        <v>1238</v>
      </c>
      <c r="C1259" s="44">
        <v>45799</v>
      </c>
      <c r="D1259" s="36">
        <f t="shared" si="78"/>
        <v>5</v>
      </c>
      <c r="E1259" s="36" t="str">
        <f t="shared" si="81"/>
        <v>Dia útil</v>
      </c>
      <c r="F1259" s="36" t="str">
        <f t="shared" si="79"/>
        <v>Dia útil</v>
      </c>
      <c r="G1259" s="36" t="str">
        <f t="shared" si="80"/>
        <v>Dia útil</v>
      </c>
    </row>
    <row r="1260" spans="2:7" ht="12" customHeight="1">
      <c r="B1260" s="43">
        <v>1239</v>
      </c>
      <c r="C1260" s="44">
        <v>45800</v>
      </c>
      <c r="D1260" s="36">
        <f t="shared" si="78"/>
        <v>6</v>
      </c>
      <c r="E1260" s="36" t="str">
        <f t="shared" si="81"/>
        <v>Dia útil</v>
      </c>
      <c r="F1260" s="36" t="str">
        <f t="shared" si="79"/>
        <v>Dia útil</v>
      </c>
      <c r="G1260" s="36" t="str">
        <f t="shared" si="80"/>
        <v>Dia útil</v>
      </c>
    </row>
    <row r="1261" spans="2:7" ht="12" customHeight="1">
      <c r="B1261" s="43">
        <v>1240</v>
      </c>
      <c r="C1261" s="44">
        <v>45801</v>
      </c>
      <c r="D1261" s="36">
        <f t="shared" si="78"/>
        <v>7</v>
      </c>
      <c r="E1261" s="36" t="str">
        <f t="shared" si="81"/>
        <v>Sáb</v>
      </c>
      <c r="F1261" s="36" t="str">
        <f t="shared" si="79"/>
        <v>Sáb</v>
      </c>
      <c r="G1261" s="36" t="str">
        <f t="shared" si="80"/>
        <v>Sáb</v>
      </c>
    </row>
    <row r="1262" spans="2:7" ht="12" customHeight="1">
      <c r="B1262" s="43">
        <v>1241</v>
      </c>
      <c r="C1262" s="44">
        <v>45802</v>
      </c>
      <c r="D1262" s="36">
        <f t="shared" si="78"/>
        <v>1</v>
      </c>
      <c r="E1262" s="36" t="str">
        <f t="shared" si="81"/>
        <v>Dom</v>
      </c>
      <c r="F1262" s="36" t="str">
        <f t="shared" si="79"/>
        <v>Dom</v>
      </c>
      <c r="G1262" s="36" t="str">
        <f t="shared" si="80"/>
        <v>Dom</v>
      </c>
    </row>
    <row r="1263" spans="2:7" ht="12" customHeight="1">
      <c r="B1263" s="43">
        <v>1242</v>
      </c>
      <c r="C1263" s="44">
        <v>45803</v>
      </c>
      <c r="D1263" s="36">
        <f t="shared" si="78"/>
        <v>2</v>
      </c>
      <c r="E1263" s="36" t="str">
        <f t="shared" si="81"/>
        <v>Dia útil</v>
      </c>
      <c r="F1263" s="36" t="str">
        <f t="shared" si="79"/>
        <v>Dia útil</v>
      </c>
      <c r="G1263" s="36" t="str">
        <f t="shared" si="80"/>
        <v>Dia útil</v>
      </c>
    </row>
    <row r="1264" spans="2:7" ht="12" customHeight="1">
      <c r="B1264" s="43">
        <v>1243</v>
      </c>
      <c r="C1264" s="44">
        <v>45804</v>
      </c>
      <c r="D1264" s="36">
        <f t="shared" si="78"/>
        <v>3</v>
      </c>
      <c r="E1264" s="36" t="str">
        <f t="shared" si="81"/>
        <v>Dia útil</v>
      </c>
      <c r="F1264" s="36" t="str">
        <f t="shared" si="79"/>
        <v>Dia útil</v>
      </c>
      <c r="G1264" s="36" t="str">
        <f t="shared" si="80"/>
        <v>Dia útil</v>
      </c>
    </row>
    <row r="1265" spans="2:7" ht="12" customHeight="1">
      <c r="B1265" s="43">
        <v>1244</v>
      </c>
      <c r="C1265" s="44">
        <v>45805</v>
      </c>
      <c r="D1265" s="36">
        <f t="shared" si="78"/>
        <v>4</v>
      </c>
      <c r="E1265" s="36" t="str">
        <f t="shared" si="81"/>
        <v>Dia útil</v>
      </c>
      <c r="F1265" s="36" t="str">
        <f t="shared" si="79"/>
        <v>Dia útil</v>
      </c>
      <c r="G1265" s="36" t="str">
        <f t="shared" si="80"/>
        <v>Dia útil</v>
      </c>
    </row>
    <row r="1266" spans="2:7" ht="12" customHeight="1">
      <c r="B1266" s="43">
        <v>1245</v>
      </c>
      <c r="C1266" s="44">
        <v>45806</v>
      </c>
      <c r="D1266" s="36">
        <f t="shared" si="78"/>
        <v>5</v>
      </c>
      <c r="E1266" s="36" t="str">
        <f t="shared" si="81"/>
        <v>Dia útil</v>
      </c>
      <c r="F1266" s="36" t="str">
        <f t="shared" si="79"/>
        <v>Dia útil</v>
      </c>
      <c r="G1266" s="36" t="str">
        <f t="shared" si="80"/>
        <v>Dia útil</v>
      </c>
    </row>
    <row r="1267" spans="2:7" ht="12" customHeight="1">
      <c r="B1267" s="43">
        <v>1246</v>
      </c>
      <c r="C1267" s="44">
        <v>45807</v>
      </c>
      <c r="D1267" s="36">
        <f t="shared" si="78"/>
        <v>6</v>
      </c>
      <c r="E1267" s="36" t="str">
        <f t="shared" si="81"/>
        <v>Dia útil</v>
      </c>
      <c r="F1267" s="36" t="str">
        <f t="shared" si="79"/>
        <v>Dia útil</v>
      </c>
      <c r="G1267" s="36" t="str">
        <f t="shared" si="80"/>
        <v>Dia útil</v>
      </c>
    </row>
    <row r="1268" spans="2:7" ht="12" customHeight="1">
      <c r="B1268" s="43">
        <v>1247</v>
      </c>
      <c r="C1268" s="44">
        <v>45808</v>
      </c>
      <c r="D1268" s="36">
        <f t="shared" si="78"/>
        <v>7</v>
      </c>
      <c r="E1268" s="36" t="str">
        <f t="shared" si="81"/>
        <v>Sáb</v>
      </c>
      <c r="F1268" s="36" t="str">
        <f t="shared" si="79"/>
        <v>Sáb</v>
      </c>
      <c r="G1268" s="36" t="str">
        <f t="shared" si="80"/>
        <v>Sáb</v>
      </c>
    </row>
    <row r="1269" spans="2:7" ht="12" customHeight="1">
      <c r="B1269" s="43">
        <v>1248</v>
      </c>
      <c r="C1269" s="44">
        <v>45809</v>
      </c>
      <c r="D1269" s="36">
        <f t="shared" si="78"/>
        <v>1</v>
      </c>
      <c r="E1269" s="36" t="str">
        <f t="shared" si="81"/>
        <v>Dom</v>
      </c>
      <c r="F1269" s="36" t="str">
        <f t="shared" si="79"/>
        <v>Dom</v>
      </c>
      <c r="G1269" s="36" t="str">
        <f t="shared" si="80"/>
        <v>Dom</v>
      </c>
    </row>
    <row r="1270" spans="2:7" ht="12" customHeight="1">
      <c r="B1270" s="43">
        <v>1249</v>
      </c>
      <c r="C1270" s="44">
        <v>45810</v>
      </c>
      <c r="D1270" s="36">
        <f t="shared" si="78"/>
        <v>2</v>
      </c>
      <c r="E1270" s="36" t="str">
        <f t="shared" si="81"/>
        <v>Dia útil</v>
      </c>
      <c r="F1270" s="36" t="str">
        <f t="shared" si="79"/>
        <v>Dia útil</v>
      </c>
      <c r="G1270" s="36" t="str">
        <f t="shared" si="80"/>
        <v>Dia útil</v>
      </c>
    </row>
    <row r="1271" spans="2:7" ht="12" customHeight="1">
      <c r="B1271" s="43">
        <v>1250</v>
      </c>
      <c r="C1271" s="44">
        <v>45811</v>
      </c>
      <c r="D1271" s="36">
        <f t="shared" si="78"/>
        <v>3</v>
      </c>
      <c r="E1271" s="36" t="str">
        <f t="shared" si="81"/>
        <v>Dia útil</v>
      </c>
      <c r="F1271" s="36" t="str">
        <f t="shared" si="79"/>
        <v>Dia útil</v>
      </c>
      <c r="G1271" s="36" t="str">
        <f t="shared" si="80"/>
        <v>Dia útil</v>
      </c>
    </row>
    <row r="1272" spans="2:7" ht="12" customHeight="1">
      <c r="B1272" s="43">
        <v>1251</v>
      </c>
      <c r="C1272" s="44">
        <v>45812</v>
      </c>
      <c r="D1272" s="36">
        <f t="shared" si="78"/>
        <v>4</v>
      </c>
      <c r="E1272" s="36" t="str">
        <f t="shared" si="81"/>
        <v>Dia útil</v>
      </c>
      <c r="F1272" s="36" t="str">
        <f t="shared" si="79"/>
        <v>Dia útil</v>
      </c>
      <c r="G1272" s="36" t="str">
        <f t="shared" si="80"/>
        <v>Dia útil</v>
      </c>
    </row>
    <row r="1273" spans="2:7" ht="12" customHeight="1">
      <c r="B1273" s="43">
        <v>1252</v>
      </c>
      <c r="C1273" s="44">
        <v>45813</v>
      </c>
      <c r="D1273" s="36">
        <f t="shared" si="78"/>
        <v>5</v>
      </c>
      <c r="E1273" s="36" t="str">
        <f t="shared" si="81"/>
        <v>Dia útil</v>
      </c>
      <c r="F1273" s="36" t="str">
        <f t="shared" si="79"/>
        <v>Dia útil</v>
      </c>
      <c r="G1273" s="36" t="str">
        <f t="shared" si="80"/>
        <v>Dia útil</v>
      </c>
    </row>
    <row r="1274" spans="2:7" ht="12" customHeight="1">
      <c r="B1274" s="43">
        <v>1253</v>
      </c>
      <c r="C1274" s="44">
        <v>45814</v>
      </c>
      <c r="D1274" s="36">
        <f t="shared" si="78"/>
        <v>6</v>
      </c>
      <c r="E1274" s="36" t="str">
        <f t="shared" si="81"/>
        <v>Dia útil</v>
      </c>
      <c r="F1274" s="36" t="str">
        <f t="shared" si="79"/>
        <v>Dia útil</v>
      </c>
      <c r="G1274" s="36" t="str">
        <f t="shared" si="80"/>
        <v>Dia útil</v>
      </c>
    </row>
    <row r="1275" spans="2:7" ht="12" customHeight="1">
      <c r="B1275" s="43">
        <v>1254</v>
      </c>
      <c r="C1275" s="44">
        <v>45815</v>
      </c>
      <c r="D1275" s="36">
        <f t="shared" si="78"/>
        <v>7</v>
      </c>
      <c r="E1275" s="36" t="str">
        <f t="shared" si="81"/>
        <v>Sáb</v>
      </c>
      <c r="F1275" s="36" t="str">
        <f t="shared" si="79"/>
        <v>Sáb</v>
      </c>
      <c r="G1275" s="36" t="str">
        <f t="shared" si="80"/>
        <v>Sáb</v>
      </c>
    </row>
    <row r="1276" spans="2:7" ht="12" customHeight="1">
      <c r="B1276" s="43">
        <v>1255</v>
      </c>
      <c r="C1276" s="44">
        <v>45816</v>
      </c>
      <c r="D1276" s="36">
        <f t="shared" si="78"/>
        <v>1</v>
      </c>
      <c r="E1276" s="36" t="str">
        <f t="shared" si="81"/>
        <v>Dom</v>
      </c>
      <c r="F1276" s="46" t="s">
        <v>1725</v>
      </c>
      <c r="G1276" s="36" t="str">
        <f t="shared" si="80"/>
        <v>Dom</v>
      </c>
    </row>
    <row r="1277" spans="2:7" ht="12" customHeight="1">
      <c r="B1277" s="43">
        <v>1256</v>
      </c>
      <c r="C1277" s="44">
        <v>45817</v>
      </c>
      <c r="D1277" s="36">
        <f t="shared" si="78"/>
        <v>2</v>
      </c>
      <c r="E1277" s="36" t="str">
        <f t="shared" si="81"/>
        <v>Dia útil</v>
      </c>
      <c r="F1277" s="36" t="str">
        <f t="shared" si="79"/>
        <v>Dia útil</v>
      </c>
      <c r="G1277" s="36" t="str">
        <f t="shared" si="80"/>
        <v>Dia útil</v>
      </c>
    </row>
    <row r="1278" spans="2:7" ht="12" customHeight="1">
      <c r="B1278" s="43">
        <v>1257</v>
      </c>
      <c r="C1278" s="44">
        <v>45818</v>
      </c>
      <c r="D1278" s="36">
        <f t="shared" si="78"/>
        <v>3</v>
      </c>
      <c r="E1278" s="36" t="str">
        <f t="shared" si="81"/>
        <v>Dia útil</v>
      </c>
      <c r="F1278" s="36" t="str">
        <f t="shared" si="79"/>
        <v>Dia útil</v>
      </c>
      <c r="G1278" s="36" t="str">
        <f t="shared" si="80"/>
        <v>Dia útil</v>
      </c>
    </row>
    <row r="1279" spans="2:7" ht="12" customHeight="1">
      <c r="B1279" s="43">
        <v>1258</v>
      </c>
      <c r="C1279" s="44">
        <v>45819</v>
      </c>
      <c r="D1279" s="36">
        <f t="shared" si="78"/>
        <v>4</v>
      </c>
      <c r="E1279" s="36" t="str">
        <f t="shared" si="81"/>
        <v>Dia útil</v>
      </c>
      <c r="F1279" s="36" t="str">
        <f t="shared" si="79"/>
        <v>Dia útil</v>
      </c>
      <c r="G1279" s="36" t="str">
        <f t="shared" si="80"/>
        <v>Dia útil</v>
      </c>
    </row>
    <row r="1280" spans="2:7" ht="12" customHeight="1">
      <c r="B1280" s="43">
        <v>1259</v>
      </c>
      <c r="C1280" s="44">
        <v>45820</v>
      </c>
      <c r="D1280" s="36">
        <f t="shared" si="78"/>
        <v>5</v>
      </c>
      <c r="E1280" s="36" t="str">
        <f t="shared" si="81"/>
        <v>Dia útil</v>
      </c>
      <c r="F1280" s="36" t="str">
        <f t="shared" si="79"/>
        <v>Dia útil</v>
      </c>
      <c r="G1280" s="36" t="str">
        <f t="shared" si="80"/>
        <v>Dia útil</v>
      </c>
    </row>
    <row r="1281" spans="2:7" ht="12" customHeight="1">
      <c r="B1281" s="43">
        <v>1260</v>
      </c>
      <c r="C1281" s="44">
        <v>45821</v>
      </c>
      <c r="D1281" s="36">
        <f t="shared" si="78"/>
        <v>6</v>
      </c>
      <c r="E1281" s="36" t="str">
        <f t="shared" si="81"/>
        <v>Dia útil</v>
      </c>
      <c r="F1281" s="36" t="str">
        <f t="shared" si="79"/>
        <v>Dia útil</v>
      </c>
      <c r="G1281" s="36" t="str">
        <f t="shared" si="80"/>
        <v>Dia útil</v>
      </c>
    </row>
    <row r="1282" spans="2:7" ht="12" customHeight="1">
      <c r="B1282" s="43">
        <v>1261</v>
      </c>
      <c r="C1282" s="44">
        <v>45822</v>
      </c>
      <c r="D1282" s="36">
        <f t="shared" si="78"/>
        <v>7</v>
      </c>
      <c r="E1282" s="36" t="str">
        <f t="shared" si="81"/>
        <v>Sáb</v>
      </c>
      <c r="F1282" s="36" t="str">
        <f t="shared" si="79"/>
        <v>Sáb</v>
      </c>
      <c r="G1282" s="36" t="str">
        <f t="shared" si="80"/>
        <v>Sáb</v>
      </c>
    </row>
    <row r="1283" spans="2:7" ht="12" customHeight="1">
      <c r="B1283" s="43">
        <v>1262</v>
      </c>
      <c r="C1283" s="44">
        <v>45823</v>
      </c>
      <c r="D1283" s="36">
        <f t="shared" si="78"/>
        <v>1</v>
      </c>
      <c r="E1283" s="36" t="str">
        <f t="shared" si="81"/>
        <v>Dom</v>
      </c>
      <c r="F1283" s="36" t="str">
        <f t="shared" si="79"/>
        <v>Dom</v>
      </c>
      <c r="G1283" s="36" t="str">
        <f t="shared" si="80"/>
        <v>Dom</v>
      </c>
    </row>
    <row r="1284" spans="2:7" ht="12" customHeight="1">
      <c r="B1284" s="43">
        <v>1263</v>
      </c>
      <c r="C1284" s="44">
        <v>45824</v>
      </c>
      <c r="D1284" s="36">
        <f t="shared" si="78"/>
        <v>2</v>
      </c>
      <c r="E1284" s="36" t="str">
        <f t="shared" si="81"/>
        <v>Dia útil</v>
      </c>
      <c r="F1284" s="36" t="str">
        <f t="shared" si="79"/>
        <v>Dia útil</v>
      </c>
      <c r="G1284" s="36" t="str">
        <f t="shared" si="80"/>
        <v>Dia útil</v>
      </c>
    </row>
    <row r="1285" spans="2:7" ht="12" customHeight="1">
      <c r="B1285" s="43">
        <v>1264</v>
      </c>
      <c r="C1285" s="44">
        <v>45825</v>
      </c>
      <c r="D1285" s="36">
        <f t="shared" si="78"/>
        <v>3</v>
      </c>
      <c r="E1285" s="36" t="str">
        <f t="shared" si="81"/>
        <v>Dia útil</v>
      </c>
      <c r="F1285" s="36" t="str">
        <f t="shared" si="79"/>
        <v>Dia útil</v>
      </c>
      <c r="G1285" s="36" t="str">
        <f t="shared" si="80"/>
        <v>Dia útil</v>
      </c>
    </row>
    <row r="1286" spans="2:7" ht="12" customHeight="1">
      <c r="B1286" s="43">
        <v>1265</v>
      </c>
      <c r="C1286" s="44">
        <v>45826</v>
      </c>
      <c r="D1286" s="36">
        <f t="shared" si="78"/>
        <v>4</v>
      </c>
      <c r="E1286" s="36" t="str">
        <f t="shared" si="81"/>
        <v>Dia útil</v>
      </c>
      <c r="F1286" s="36" t="str">
        <f t="shared" si="79"/>
        <v>Dia útil</v>
      </c>
      <c r="G1286" s="36" t="str">
        <f t="shared" si="80"/>
        <v>Dia útil</v>
      </c>
    </row>
    <row r="1287" spans="2:7" ht="12" customHeight="1">
      <c r="B1287" s="43">
        <v>1266</v>
      </c>
      <c r="C1287" s="44">
        <v>45827</v>
      </c>
      <c r="D1287" s="36">
        <f t="shared" si="78"/>
        <v>5</v>
      </c>
      <c r="E1287" s="36" t="str">
        <f t="shared" si="81"/>
        <v>Dia útil</v>
      </c>
      <c r="F1287" s="36" t="str">
        <f t="shared" si="79"/>
        <v>Dia útil</v>
      </c>
      <c r="G1287" s="36" t="str">
        <f t="shared" si="80"/>
        <v>Dia útil</v>
      </c>
    </row>
    <row r="1288" spans="2:7" ht="12" customHeight="1">
      <c r="B1288" s="43">
        <v>1267</v>
      </c>
      <c r="C1288" s="44">
        <v>45828</v>
      </c>
      <c r="D1288" s="36">
        <f t="shared" si="78"/>
        <v>6</v>
      </c>
      <c r="E1288" s="36" t="str">
        <f t="shared" si="81"/>
        <v>Dia útil</v>
      </c>
      <c r="F1288" s="36" t="str">
        <f t="shared" si="79"/>
        <v>Dia útil</v>
      </c>
      <c r="G1288" s="36" t="str">
        <f t="shared" si="80"/>
        <v>Dia útil</v>
      </c>
    </row>
    <row r="1289" spans="2:7" ht="12" customHeight="1">
      <c r="B1289" s="43">
        <v>1268</v>
      </c>
      <c r="C1289" s="44">
        <v>45829</v>
      </c>
      <c r="D1289" s="36">
        <f t="shared" si="78"/>
        <v>7</v>
      </c>
      <c r="E1289" s="36" t="str">
        <f t="shared" si="81"/>
        <v>Sáb</v>
      </c>
      <c r="F1289" s="36" t="str">
        <f t="shared" si="79"/>
        <v>Sáb</v>
      </c>
      <c r="G1289" s="36" t="str">
        <f t="shared" si="80"/>
        <v>Sáb</v>
      </c>
    </row>
    <row r="1290" spans="2:7" ht="12" customHeight="1">
      <c r="B1290" s="43">
        <v>1269</v>
      </c>
      <c r="C1290" s="44">
        <v>45830</v>
      </c>
      <c r="D1290" s="36">
        <f t="shared" si="78"/>
        <v>1</v>
      </c>
      <c r="E1290" s="36" t="str">
        <f t="shared" si="81"/>
        <v>Dom</v>
      </c>
      <c r="F1290" s="36" t="str">
        <f t="shared" si="79"/>
        <v>Dom</v>
      </c>
      <c r="G1290" s="36" t="str">
        <f t="shared" si="80"/>
        <v>Dom</v>
      </c>
    </row>
    <row r="1291" spans="2:7" ht="12" customHeight="1">
      <c r="B1291" s="43">
        <v>1270</v>
      </c>
      <c r="C1291" s="44">
        <v>45831</v>
      </c>
      <c r="D1291" s="36">
        <f t="shared" si="78"/>
        <v>2</v>
      </c>
      <c r="E1291" s="36" t="str">
        <f t="shared" si="81"/>
        <v>Dia útil</v>
      </c>
      <c r="F1291" s="36" t="str">
        <f t="shared" si="79"/>
        <v>Dia útil</v>
      </c>
      <c r="G1291" s="36" t="str">
        <f t="shared" si="80"/>
        <v>Dia útil</v>
      </c>
    </row>
    <row r="1292" spans="2:7" ht="12" customHeight="1">
      <c r="B1292" s="43">
        <v>1271</v>
      </c>
      <c r="C1292" s="44">
        <v>45832</v>
      </c>
      <c r="D1292" s="36">
        <f t="shared" si="78"/>
        <v>3</v>
      </c>
      <c r="E1292" s="36" t="str">
        <f t="shared" si="81"/>
        <v>Dia útil</v>
      </c>
      <c r="F1292" s="36" t="str">
        <f t="shared" si="79"/>
        <v>Dia útil</v>
      </c>
      <c r="G1292" s="36" t="str">
        <f t="shared" si="80"/>
        <v>Dia útil</v>
      </c>
    </row>
    <row r="1293" spans="2:7" ht="12" customHeight="1">
      <c r="B1293" s="43">
        <v>1272</v>
      </c>
      <c r="C1293" s="44">
        <v>45833</v>
      </c>
      <c r="D1293" s="36">
        <f t="shared" si="78"/>
        <v>4</v>
      </c>
      <c r="E1293" s="36" t="str">
        <f t="shared" si="81"/>
        <v>Dia útil</v>
      </c>
      <c r="F1293" s="36" t="str">
        <f t="shared" si="79"/>
        <v>Dia útil</v>
      </c>
      <c r="G1293" s="36" t="str">
        <f t="shared" si="80"/>
        <v>Dia útil</v>
      </c>
    </row>
    <row r="1294" spans="2:7" ht="12" customHeight="1">
      <c r="B1294" s="43">
        <v>1273</v>
      </c>
      <c r="C1294" s="44">
        <v>45834</v>
      </c>
      <c r="D1294" s="36">
        <f t="shared" si="78"/>
        <v>5</v>
      </c>
      <c r="E1294" s="36" t="str">
        <f t="shared" si="81"/>
        <v>Dia útil</v>
      </c>
      <c r="F1294" s="36" t="str">
        <f t="shared" si="79"/>
        <v>Dia útil</v>
      </c>
      <c r="G1294" s="36" t="str">
        <f t="shared" si="80"/>
        <v>Dia útil</v>
      </c>
    </row>
    <row r="1295" spans="2:7" ht="12" customHeight="1">
      <c r="B1295" s="43">
        <v>1274</v>
      </c>
      <c r="C1295" s="44">
        <v>45835</v>
      </c>
      <c r="D1295" s="36">
        <f t="shared" si="78"/>
        <v>6</v>
      </c>
      <c r="E1295" s="36" t="str">
        <f t="shared" si="81"/>
        <v>Dia útil</v>
      </c>
      <c r="F1295" s="36" t="str">
        <f t="shared" si="79"/>
        <v>Dia útil</v>
      </c>
      <c r="G1295" s="36" t="str">
        <f t="shared" si="80"/>
        <v>Dia útil</v>
      </c>
    </row>
    <row r="1296" spans="2:7" ht="12" customHeight="1">
      <c r="B1296" s="43">
        <v>1275</v>
      </c>
      <c r="C1296" s="44">
        <v>45836</v>
      </c>
      <c r="D1296" s="36">
        <f t="shared" si="78"/>
        <v>7</v>
      </c>
      <c r="E1296" s="36" t="str">
        <f t="shared" si="81"/>
        <v>Sáb</v>
      </c>
      <c r="F1296" s="36" t="str">
        <f t="shared" si="79"/>
        <v>Sáb</v>
      </c>
      <c r="G1296" s="36" t="str">
        <f t="shared" si="80"/>
        <v>Sáb</v>
      </c>
    </row>
    <row r="1297" spans="2:7" ht="12" customHeight="1">
      <c r="B1297" s="43">
        <v>1276</v>
      </c>
      <c r="C1297" s="44">
        <v>45837</v>
      </c>
      <c r="D1297" s="36">
        <f t="shared" si="78"/>
        <v>1</v>
      </c>
      <c r="E1297" s="36" t="str">
        <f t="shared" si="81"/>
        <v>Dom</v>
      </c>
      <c r="F1297" s="36" t="str">
        <f t="shared" si="79"/>
        <v>Dom</v>
      </c>
      <c r="G1297" s="36" t="str">
        <f t="shared" si="80"/>
        <v>Dom</v>
      </c>
    </row>
    <row r="1298" spans="2:7" ht="12" customHeight="1">
      <c r="B1298" s="43">
        <v>1277</v>
      </c>
      <c r="C1298" s="44">
        <v>45838</v>
      </c>
      <c r="D1298" s="36">
        <f t="shared" si="78"/>
        <v>2</v>
      </c>
      <c r="E1298" s="36" t="str">
        <f t="shared" si="81"/>
        <v>Dia útil</v>
      </c>
      <c r="F1298" s="36" t="str">
        <f t="shared" si="79"/>
        <v>Dia útil</v>
      </c>
      <c r="G1298" s="36" t="str">
        <f t="shared" si="80"/>
        <v>Dia útil</v>
      </c>
    </row>
    <row r="1299" spans="2:7" ht="12" customHeight="1">
      <c r="B1299" s="43">
        <v>1278</v>
      </c>
      <c r="C1299" s="44">
        <v>45839</v>
      </c>
      <c r="D1299" s="36">
        <f t="shared" si="78"/>
        <v>3</v>
      </c>
      <c r="E1299" s="36" t="str">
        <f t="shared" si="81"/>
        <v>Dia útil</v>
      </c>
      <c r="F1299" s="36" t="str">
        <f t="shared" si="79"/>
        <v>Dia útil</v>
      </c>
      <c r="G1299" s="36" t="str">
        <f t="shared" si="80"/>
        <v>Dia útil</v>
      </c>
    </row>
    <row r="1300" spans="2:7" ht="12" customHeight="1">
      <c r="B1300" s="43">
        <v>1279</v>
      </c>
      <c r="C1300" s="44">
        <v>45840</v>
      </c>
      <c r="D1300" s="36">
        <f t="shared" si="78"/>
        <v>4</v>
      </c>
      <c r="E1300" s="36" t="str">
        <f t="shared" si="81"/>
        <v>Dia útil</v>
      </c>
      <c r="F1300" s="36" t="str">
        <f t="shared" si="79"/>
        <v>Dia útil</v>
      </c>
      <c r="G1300" s="36" t="str">
        <f t="shared" si="80"/>
        <v>Dia útil</v>
      </c>
    </row>
    <row r="1301" spans="2:7" ht="12" customHeight="1">
      <c r="B1301" s="43">
        <v>1280</v>
      </c>
      <c r="C1301" s="44">
        <v>45841</v>
      </c>
      <c r="D1301" s="36">
        <f t="shared" si="78"/>
        <v>5</v>
      </c>
      <c r="E1301" s="36" t="str">
        <f t="shared" si="81"/>
        <v>Dia útil</v>
      </c>
      <c r="F1301" s="36" t="str">
        <f t="shared" si="79"/>
        <v>Dia útil</v>
      </c>
      <c r="G1301" s="36" t="str">
        <f t="shared" si="80"/>
        <v>Dia útil</v>
      </c>
    </row>
    <row r="1302" spans="2:7" ht="12" customHeight="1">
      <c r="B1302" s="43">
        <v>1281</v>
      </c>
      <c r="C1302" s="44">
        <v>45842</v>
      </c>
      <c r="D1302" s="36">
        <f t="shared" si="78"/>
        <v>6</v>
      </c>
      <c r="E1302" s="36" t="str">
        <f t="shared" si="81"/>
        <v>Dia útil</v>
      </c>
      <c r="F1302" s="36" t="str">
        <f t="shared" si="79"/>
        <v>Dia útil</v>
      </c>
      <c r="G1302" s="36" t="str">
        <f t="shared" si="80"/>
        <v>Dia útil</v>
      </c>
    </row>
    <row r="1303" spans="2:7" ht="12" customHeight="1">
      <c r="B1303" s="43">
        <v>1282</v>
      </c>
      <c r="C1303" s="44">
        <v>45843</v>
      </c>
      <c r="D1303" s="36">
        <f t="shared" ref="D1303:D1366" si="82">WEEKDAY(C1303,1)</f>
        <v>7</v>
      </c>
      <c r="E1303" s="36" t="str">
        <f t="shared" si="81"/>
        <v>Sáb</v>
      </c>
      <c r="F1303" s="36" t="str">
        <f t="shared" ref="F1303:F1366" si="83">E1303</f>
        <v>Sáb</v>
      </c>
      <c r="G1303" s="36" t="str">
        <f t="shared" ref="G1303:G1366" si="84">IF(AND(F1303="Feriado",OR(E1303="Sáb",E1303="Dom")),E1303,IF(AND(F1303="Feriado",E1303="Dia útil"),"Feriado",E1303))</f>
        <v>Sáb</v>
      </c>
    </row>
    <row r="1304" spans="2:7" ht="12" customHeight="1">
      <c r="B1304" s="43">
        <v>1283</v>
      </c>
      <c r="C1304" s="44">
        <v>45844</v>
      </c>
      <c r="D1304" s="36">
        <f t="shared" si="82"/>
        <v>1</v>
      </c>
      <c r="E1304" s="36" t="str">
        <f t="shared" si="81"/>
        <v>Dom</v>
      </c>
      <c r="F1304" s="36" t="str">
        <f t="shared" si="83"/>
        <v>Dom</v>
      </c>
      <c r="G1304" s="36" t="str">
        <f t="shared" si="84"/>
        <v>Dom</v>
      </c>
    </row>
    <row r="1305" spans="2:7" ht="12" customHeight="1">
      <c r="B1305" s="43">
        <v>1284</v>
      </c>
      <c r="C1305" s="44">
        <v>45845</v>
      </c>
      <c r="D1305" s="36">
        <f t="shared" si="82"/>
        <v>2</v>
      </c>
      <c r="E1305" s="36" t="str">
        <f t="shared" ref="E1305:E1368" si="85">IF(D1305=1,"Dom",IF(D1305=7,"Sáb","Dia útil"))</f>
        <v>Dia útil</v>
      </c>
      <c r="F1305" s="36" t="str">
        <f t="shared" si="83"/>
        <v>Dia útil</v>
      </c>
      <c r="G1305" s="36" t="str">
        <f t="shared" si="84"/>
        <v>Dia útil</v>
      </c>
    </row>
    <row r="1306" spans="2:7" ht="12" customHeight="1">
      <c r="B1306" s="43">
        <v>1285</v>
      </c>
      <c r="C1306" s="44">
        <v>45846</v>
      </c>
      <c r="D1306" s="36">
        <f t="shared" si="82"/>
        <v>3</v>
      </c>
      <c r="E1306" s="36" t="str">
        <f t="shared" si="85"/>
        <v>Dia útil</v>
      </c>
      <c r="F1306" s="36" t="str">
        <f t="shared" si="83"/>
        <v>Dia útil</v>
      </c>
      <c r="G1306" s="36" t="str">
        <f t="shared" si="84"/>
        <v>Dia útil</v>
      </c>
    </row>
    <row r="1307" spans="2:7" ht="12" customHeight="1">
      <c r="B1307" s="43">
        <v>1286</v>
      </c>
      <c r="C1307" s="44">
        <v>45847</v>
      </c>
      <c r="D1307" s="36">
        <f t="shared" si="82"/>
        <v>4</v>
      </c>
      <c r="E1307" s="36" t="str">
        <f t="shared" si="85"/>
        <v>Dia útil</v>
      </c>
      <c r="F1307" s="36" t="str">
        <f t="shared" si="83"/>
        <v>Dia útil</v>
      </c>
      <c r="G1307" s="36" t="str">
        <f t="shared" si="84"/>
        <v>Dia útil</v>
      </c>
    </row>
    <row r="1308" spans="2:7" ht="12" customHeight="1">
      <c r="B1308" s="43">
        <v>1287</v>
      </c>
      <c r="C1308" s="44">
        <v>45848</v>
      </c>
      <c r="D1308" s="36">
        <f t="shared" si="82"/>
        <v>5</v>
      </c>
      <c r="E1308" s="36" t="str">
        <f t="shared" si="85"/>
        <v>Dia útil</v>
      </c>
      <c r="F1308" s="36" t="str">
        <f t="shared" si="83"/>
        <v>Dia útil</v>
      </c>
      <c r="G1308" s="36" t="str">
        <f t="shared" si="84"/>
        <v>Dia útil</v>
      </c>
    </row>
    <row r="1309" spans="2:7" ht="12" customHeight="1">
      <c r="B1309" s="43">
        <v>1288</v>
      </c>
      <c r="C1309" s="44">
        <v>45849</v>
      </c>
      <c r="D1309" s="36">
        <f t="shared" si="82"/>
        <v>6</v>
      </c>
      <c r="E1309" s="36" t="str">
        <f t="shared" si="85"/>
        <v>Dia útil</v>
      </c>
      <c r="F1309" s="36" t="str">
        <f t="shared" si="83"/>
        <v>Dia útil</v>
      </c>
      <c r="G1309" s="36" t="str">
        <f t="shared" si="84"/>
        <v>Dia útil</v>
      </c>
    </row>
    <row r="1310" spans="2:7" ht="12" customHeight="1">
      <c r="B1310" s="43">
        <v>1289</v>
      </c>
      <c r="C1310" s="44">
        <v>45850</v>
      </c>
      <c r="D1310" s="36">
        <f t="shared" si="82"/>
        <v>7</v>
      </c>
      <c r="E1310" s="36" t="str">
        <f t="shared" si="85"/>
        <v>Sáb</v>
      </c>
      <c r="F1310" s="36" t="str">
        <f t="shared" si="83"/>
        <v>Sáb</v>
      </c>
      <c r="G1310" s="36" t="str">
        <f t="shared" si="84"/>
        <v>Sáb</v>
      </c>
    </row>
    <row r="1311" spans="2:7" ht="12" customHeight="1">
      <c r="B1311" s="43">
        <v>1290</v>
      </c>
      <c r="C1311" s="44">
        <v>45851</v>
      </c>
      <c r="D1311" s="36">
        <f t="shared" si="82"/>
        <v>1</v>
      </c>
      <c r="E1311" s="36" t="str">
        <f t="shared" si="85"/>
        <v>Dom</v>
      </c>
      <c r="F1311" s="36" t="str">
        <f t="shared" si="83"/>
        <v>Dom</v>
      </c>
      <c r="G1311" s="36" t="str">
        <f t="shared" si="84"/>
        <v>Dom</v>
      </c>
    </row>
    <row r="1312" spans="2:7" ht="12" customHeight="1">
      <c r="B1312" s="43">
        <v>1291</v>
      </c>
      <c r="C1312" s="44">
        <v>45852</v>
      </c>
      <c r="D1312" s="36">
        <f t="shared" si="82"/>
        <v>2</v>
      </c>
      <c r="E1312" s="36" t="str">
        <f t="shared" si="85"/>
        <v>Dia útil</v>
      </c>
      <c r="F1312" s="36" t="str">
        <f t="shared" si="83"/>
        <v>Dia útil</v>
      </c>
      <c r="G1312" s="36" t="str">
        <f t="shared" si="84"/>
        <v>Dia útil</v>
      </c>
    </row>
    <row r="1313" spans="2:7" ht="12" customHeight="1">
      <c r="B1313" s="43">
        <v>1292</v>
      </c>
      <c r="C1313" s="44">
        <v>45853</v>
      </c>
      <c r="D1313" s="36">
        <f t="shared" si="82"/>
        <v>3</v>
      </c>
      <c r="E1313" s="36" t="str">
        <f t="shared" si="85"/>
        <v>Dia útil</v>
      </c>
      <c r="F1313" s="36" t="str">
        <f t="shared" si="83"/>
        <v>Dia útil</v>
      </c>
      <c r="G1313" s="36" t="str">
        <f t="shared" si="84"/>
        <v>Dia útil</v>
      </c>
    </row>
    <row r="1314" spans="2:7" ht="12" customHeight="1">
      <c r="B1314" s="43">
        <v>1293</v>
      </c>
      <c r="C1314" s="44">
        <v>45854</v>
      </c>
      <c r="D1314" s="36">
        <f t="shared" si="82"/>
        <v>4</v>
      </c>
      <c r="E1314" s="36" t="str">
        <f t="shared" si="85"/>
        <v>Dia útil</v>
      </c>
      <c r="F1314" s="36" t="str">
        <f t="shared" si="83"/>
        <v>Dia útil</v>
      </c>
      <c r="G1314" s="36" t="str">
        <f t="shared" si="84"/>
        <v>Dia útil</v>
      </c>
    </row>
    <row r="1315" spans="2:7" ht="12" customHeight="1">
      <c r="B1315" s="43">
        <v>1294</v>
      </c>
      <c r="C1315" s="44">
        <v>45855</v>
      </c>
      <c r="D1315" s="36">
        <f t="shared" si="82"/>
        <v>5</v>
      </c>
      <c r="E1315" s="36" t="str">
        <f t="shared" si="85"/>
        <v>Dia útil</v>
      </c>
      <c r="F1315" s="36" t="str">
        <f t="shared" si="83"/>
        <v>Dia útil</v>
      </c>
      <c r="G1315" s="36" t="str">
        <f t="shared" si="84"/>
        <v>Dia útil</v>
      </c>
    </row>
    <row r="1316" spans="2:7" ht="12" customHeight="1">
      <c r="B1316" s="43">
        <v>1295</v>
      </c>
      <c r="C1316" s="44">
        <v>45856</v>
      </c>
      <c r="D1316" s="36">
        <f t="shared" si="82"/>
        <v>6</v>
      </c>
      <c r="E1316" s="36" t="str">
        <f t="shared" si="85"/>
        <v>Dia útil</v>
      </c>
      <c r="F1316" s="36" t="str">
        <f t="shared" si="83"/>
        <v>Dia útil</v>
      </c>
      <c r="G1316" s="36" t="str">
        <f t="shared" si="84"/>
        <v>Dia útil</v>
      </c>
    </row>
    <row r="1317" spans="2:7" ht="12" customHeight="1">
      <c r="B1317" s="43">
        <v>1296</v>
      </c>
      <c r="C1317" s="44">
        <v>45857</v>
      </c>
      <c r="D1317" s="36">
        <f t="shared" si="82"/>
        <v>7</v>
      </c>
      <c r="E1317" s="36" t="str">
        <f t="shared" si="85"/>
        <v>Sáb</v>
      </c>
      <c r="F1317" s="36" t="str">
        <f t="shared" si="83"/>
        <v>Sáb</v>
      </c>
      <c r="G1317" s="36" t="str">
        <f t="shared" si="84"/>
        <v>Sáb</v>
      </c>
    </row>
    <row r="1318" spans="2:7" ht="12" customHeight="1">
      <c r="B1318" s="43">
        <v>1297</v>
      </c>
      <c r="C1318" s="44">
        <v>45858</v>
      </c>
      <c r="D1318" s="36">
        <f t="shared" si="82"/>
        <v>1</v>
      </c>
      <c r="E1318" s="36" t="str">
        <f t="shared" si="85"/>
        <v>Dom</v>
      </c>
      <c r="F1318" s="36" t="str">
        <f t="shared" si="83"/>
        <v>Dom</v>
      </c>
      <c r="G1318" s="36" t="str">
        <f t="shared" si="84"/>
        <v>Dom</v>
      </c>
    </row>
    <row r="1319" spans="2:7" ht="12" customHeight="1">
      <c r="B1319" s="43">
        <v>1298</v>
      </c>
      <c r="C1319" s="44">
        <v>45859</v>
      </c>
      <c r="D1319" s="36">
        <f t="shared" si="82"/>
        <v>2</v>
      </c>
      <c r="E1319" s="36" t="str">
        <f t="shared" si="85"/>
        <v>Dia útil</v>
      </c>
      <c r="F1319" s="36" t="str">
        <f t="shared" si="83"/>
        <v>Dia útil</v>
      </c>
      <c r="G1319" s="36" t="str">
        <f t="shared" si="84"/>
        <v>Dia útil</v>
      </c>
    </row>
    <row r="1320" spans="2:7" ht="12" customHeight="1">
      <c r="B1320" s="43">
        <v>1299</v>
      </c>
      <c r="C1320" s="44">
        <v>45860</v>
      </c>
      <c r="D1320" s="36">
        <f t="shared" si="82"/>
        <v>3</v>
      </c>
      <c r="E1320" s="36" t="str">
        <f t="shared" si="85"/>
        <v>Dia útil</v>
      </c>
      <c r="F1320" s="36" t="str">
        <f t="shared" si="83"/>
        <v>Dia útil</v>
      </c>
      <c r="G1320" s="36" t="str">
        <f t="shared" si="84"/>
        <v>Dia útil</v>
      </c>
    </row>
    <row r="1321" spans="2:7" ht="12" customHeight="1">
      <c r="B1321" s="43">
        <v>1300</v>
      </c>
      <c r="C1321" s="44">
        <v>45861</v>
      </c>
      <c r="D1321" s="36">
        <f t="shared" si="82"/>
        <v>4</v>
      </c>
      <c r="E1321" s="36" t="str">
        <f t="shared" si="85"/>
        <v>Dia útil</v>
      </c>
      <c r="F1321" s="36" t="str">
        <f t="shared" si="83"/>
        <v>Dia útil</v>
      </c>
      <c r="G1321" s="36" t="str">
        <f t="shared" si="84"/>
        <v>Dia útil</v>
      </c>
    </row>
    <row r="1322" spans="2:7" ht="12" customHeight="1">
      <c r="B1322" s="43">
        <v>1301</v>
      </c>
      <c r="C1322" s="44">
        <v>45862</v>
      </c>
      <c r="D1322" s="36">
        <f t="shared" si="82"/>
        <v>5</v>
      </c>
      <c r="E1322" s="36" t="str">
        <f t="shared" si="85"/>
        <v>Dia útil</v>
      </c>
      <c r="F1322" s="36" t="str">
        <f t="shared" si="83"/>
        <v>Dia útil</v>
      </c>
      <c r="G1322" s="36" t="str">
        <f t="shared" si="84"/>
        <v>Dia útil</v>
      </c>
    </row>
    <row r="1323" spans="2:7" ht="12" customHeight="1">
      <c r="B1323" s="43">
        <v>1302</v>
      </c>
      <c r="C1323" s="44">
        <v>45863</v>
      </c>
      <c r="D1323" s="36">
        <f t="shared" si="82"/>
        <v>6</v>
      </c>
      <c r="E1323" s="36" t="str">
        <f t="shared" si="85"/>
        <v>Dia útil</v>
      </c>
      <c r="F1323" s="36" t="str">
        <f t="shared" si="83"/>
        <v>Dia útil</v>
      </c>
      <c r="G1323" s="36" t="str">
        <f t="shared" si="84"/>
        <v>Dia útil</v>
      </c>
    </row>
    <row r="1324" spans="2:7" ht="12" customHeight="1">
      <c r="B1324" s="43">
        <v>1303</v>
      </c>
      <c r="C1324" s="44">
        <v>45864</v>
      </c>
      <c r="D1324" s="36">
        <f t="shared" si="82"/>
        <v>7</v>
      </c>
      <c r="E1324" s="36" t="str">
        <f t="shared" si="85"/>
        <v>Sáb</v>
      </c>
      <c r="F1324" s="36" t="str">
        <f t="shared" si="83"/>
        <v>Sáb</v>
      </c>
      <c r="G1324" s="36" t="str">
        <f t="shared" si="84"/>
        <v>Sáb</v>
      </c>
    </row>
    <row r="1325" spans="2:7" ht="12" customHeight="1">
      <c r="B1325" s="43">
        <v>1304</v>
      </c>
      <c r="C1325" s="44">
        <v>45865</v>
      </c>
      <c r="D1325" s="36">
        <f t="shared" si="82"/>
        <v>1</v>
      </c>
      <c r="E1325" s="36" t="str">
        <f t="shared" si="85"/>
        <v>Dom</v>
      </c>
      <c r="F1325" s="36" t="str">
        <f t="shared" si="83"/>
        <v>Dom</v>
      </c>
      <c r="G1325" s="36" t="str">
        <f t="shared" si="84"/>
        <v>Dom</v>
      </c>
    </row>
    <row r="1326" spans="2:7" ht="12" customHeight="1">
      <c r="B1326" s="43">
        <v>1305</v>
      </c>
      <c r="C1326" s="44">
        <v>45866</v>
      </c>
      <c r="D1326" s="36">
        <f t="shared" si="82"/>
        <v>2</v>
      </c>
      <c r="E1326" s="36" t="str">
        <f t="shared" si="85"/>
        <v>Dia útil</v>
      </c>
      <c r="F1326" s="36" t="str">
        <f t="shared" si="83"/>
        <v>Dia útil</v>
      </c>
      <c r="G1326" s="36" t="str">
        <f t="shared" si="84"/>
        <v>Dia útil</v>
      </c>
    </row>
    <row r="1327" spans="2:7" ht="12" customHeight="1">
      <c r="B1327" s="43">
        <v>1306</v>
      </c>
      <c r="C1327" s="44">
        <v>45867</v>
      </c>
      <c r="D1327" s="36">
        <f t="shared" si="82"/>
        <v>3</v>
      </c>
      <c r="E1327" s="36" t="str">
        <f t="shared" si="85"/>
        <v>Dia útil</v>
      </c>
      <c r="F1327" s="36" t="str">
        <f t="shared" si="83"/>
        <v>Dia útil</v>
      </c>
      <c r="G1327" s="36" t="str">
        <f t="shared" si="84"/>
        <v>Dia útil</v>
      </c>
    </row>
    <row r="1328" spans="2:7" ht="12" customHeight="1">
      <c r="B1328" s="43">
        <v>1307</v>
      </c>
      <c r="C1328" s="44">
        <v>45868</v>
      </c>
      <c r="D1328" s="36">
        <f t="shared" si="82"/>
        <v>4</v>
      </c>
      <c r="E1328" s="36" t="str">
        <f t="shared" si="85"/>
        <v>Dia útil</v>
      </c>
      <c r="F1328" s="36" t="str">
        <f t="shared" si="83"/>
        <v>Dia útil</v>
      </c>
      <c r="G1328" s="36" t="str">
        <f t="shared" si="84"/>
        <v>Dia útil</v>
      </c>
    </row>
    <row r="1329" spans="2:7" ht="12" customHeight="1">
      <c r="B1329" s="43">
        <v>1308</v>
      </c>
      <c r="C1329" s="44">
        <v>45869</v>
      </c>
      <c r="D1329" s="36">
        <f t="shared" si="82"/>
        <v>5</v>
      </c>
      <c r="E1329" s="36" t="str">
        <f t="shared" si="85"/>
        <v>Dia útil</v>
      </c>
      <c r="F1329" s="36" t="str">
        <f t="shared" si="83"/>
        <v>Dia útil</v>
      </c>
      <c r="G1329" s="36" t="str">
        <f t="shared" si="84"/>
        <v>Dia útil</v>
      </c>
    </row>
    <row r="1330" spans="2:7" ht="12" customHeight="1">
      <c r="B1330" s="43">
        <v>1309</v>
      </c>
      <c r="C1330" s="44">
        <v>45870</v>
      </c>
      <c r="D1330" s="36">
        <f t="shared" si="82"/>
        <v>6</v>
      </c>
      <c r="E1330" s="36" t="str">
        <f t="shared" si="85"/>
        <v>Dia útil</v>
      </c>
      <c r="F1330" s="36" t="str">
        <f t="shared" si="83"/>
        <v>Dia útil</v>
      </c>
      <c r="G1330" s="36" t="str">
        <f t="shared" si="84"/>
        <v>Dia útil</v>
      </c>
    </row>
    <row r="1331" spans="2:7" ht="12" customHeight="1">
      <c r="B1331" s="43">
        <v>1310</v>
      </c>
      <c r="C1331" s="44">
        <v>45871</v>
      </c>
      <c r="D1331" s="36">
        <f t="shared" si="82"/>
        <v>7</v>
      </c>
      <c r="E1331" s="36" t="str">
        <f t="shared" si="85"/>
        <v>Sáb</v>
      </c>
      <c r="F1331" s="36" t="str">
        <f t="shared" si="83"/>
        <v>Sáb</v>
      </c>
      <c r="G1331" s="36" t="str">
        <f t="shared" si="84"/>
        <v>Sáb</v>
      </c>
    </row>
    <row r="1332" spans="2:7" ht="12" customHeight="1">
      <c r="B1332" s="43">
        <v>1311</v>
      </c>
      <c r="C1332" s="44">
        <v>45872</v>
      </c>
      <c r="D1332" s="36">
        <f t="shared" si="82"/>
        <v>1</v>
      </c>
      <c r="E1332" s="36" t="str">
        <f t="shared" si="85"/>
        <v>Dom</v>
      </c>
      <c r="F1332" s="36" t="str">
        <f t="shared" si="83"/>
        <v>Dom</v>
      </c>
      <c r="G1332" s="36" t="str">
        <f t="shared" si="84"/>
        <v>Dom</v>
      </c>
    </row>
    <row r="1333" spans="2:7" ht="12" customHeight="1">
      <c r="B1333" s="43">
        <v>1312</v>
      </c>
      <c r="C1333" s="44">
        <v>45873</v>
      </c>
      <c r="D1333" s="36">
        <f t="shared" si="82"/>
        <v>2</v>
      </c>
      <c r="E1333" s="36" t="str">
        <f t="shared" si="85"/>
        <v>Dia útil</v>
      </c>
      <c r="F1333" s="36" t="str">
        <f t="shared" si="83"/>
        <v>Dia útil</v>
      </c>
      <c r="G1333" s="36" t="str">
        <f t="shared" si="84"/>
        <v>Dia útil</v>
      </c>
    </row>
    <row r="1334" spans="2:7" ht="12" customHeight="1">
      <c r="B1334" s="43">
        <v>1313</v>
      </c>
      <c r="C1334" s="44">
        <v>45874</v>
      </c>
      <c r="D1334" s="36">
        <f t="shared" si="82"/>
        <v>3</v>
      </c>
      <c r="E1334" s="36" t="str">
        <f t="shared" si="85"/>
        <v>Dia útil</v>
      </c>
      <c r="F1334" s="36" t="str">
        <f t="shared" si="83"/>
        <v>Dia útil</v>
      </c>
      <c r="G1334" s="36" t="str">
        <f t="shared" si="84"/>
        <v>Dia útil</v>
      </c>
    </row>
    <row r="1335" spans="2:7" ht="12" customHeight="1">
      <c r="B1335" s="43">
        <v>1314</v>
      </c>
      <c r="C1335" s="44">
        <v>45875</v>
      </c>
      <c r="D1335" s="36">
        <f t="shared" si="82"/>
        <v>4</v>
      </c>
      <c r="E1335" s="36" t="str">
        <f t="shared" si="85"/>
        <v>Dia útil</v>
      </c>
      <c r="F1335" s="36" t="str">
        <f t="shared" si="83"/>
        <v>Dia útil</v>
      </c>
      <c r="G1335" s="36" t="str">
        <f t="shared" si="84"/>
        <v>Dia útil</v>
      </c>
    </row>
    <row r="1336" spans="2:7" ht="12" customHeight="1">
      <c r="B1336" s="43">
        <v>1315</v>
      </c>
      <c r="C1336" s="44">
        <v>45876</v>
      </c>
      <c r="D1336" s="36">
        <f t="shared" si="82"/>
        <v>5</v>
      </c>
      <c r="E1336" s="36" t="str">
        <f t="shared" si="85"/>
        <v>Dia útil</v>
      </c>
      <c r="F1336" s="36" t="str">
        <f t="shared" si="83"/>
        <v>Dia útil</v>
      </c>
      <c r="G1336" s="36" t="str">
        <f t="shared" si="84"/>
        <v>Dia útil</v>
      </c>
    </row>
    <row r="1337" spans="2:7" ht="12" customHeight="1">
      <c r="B1337" s="43">
        <v>1316</v>
      </c>
      <c r="C1337" s="44">
        <v>45877</v>
      </c>
      <c r="D1337" s="36">
        <f t="shared" si="82"/>
        <v>6</v>
      </c>
      <c r="E1337" s="36" t="str">
        <f t="shared" si="85"/>
        <v>Dia útil</v>
      </c>
      <c r="F1337" s="36" t="str">
        <f t="shared" si="83"/>
        <v>Dia útil</v>
      </c>
      <c r="G1337" s="36" t="str">
        <f t="shared" si="84"/>
        <v>Dia útil</v>
      </c>
    </row>
    <row r="1338" spans="2:7" ht="12" customHeight="1">
      <c r="B1338" s="43">
        <v>1317</v>
      </c>
      <c r="C1338" s="44">
        <v>45878</v>
      </c>
      <c r="D1338" s="36">
        <f t="shared" si="82"/>
        <v>7</v>
      </c>
      <c r="E1338" s="36" t="str">
        <f t="shared" si="85"/>
        <v>Sáb</v>
      </c>
      <c r="F1338" s="36" t="str">
        <f t="shared" si="83"/>
        <v>Sáb</v>
      </c>
      <c r="G1338" s="36" t="str">
        <f t="shared" si="84"/>
        <v>Sáb</v>
      </c>
    </row>
    <row r="1339" spans="2:7" ht="12" customHeight="1">
      <c r="B1339" s="43">
        <v>1318</v>
      </c>
      <c r="C1339" s="44">
        <v>45879</v>
      </c>
      <c r="D1339" s="36">
        <f t="shared" si="82"/>
        <v>1</v>
      </c>
      <c r="E1339" s="36" t="str">
        <f t="shared" si="85"/>
        <v>Dom</v>
      </c>
      <c r="F1339" s="36" t="str">
        <f t="shared" si="83"/>
        <v>Dom</v>
      </c>
      <c r="G1339" s="36" t="str">
        <f t="shared" si="84"/>
        <v>Dom</v>
      </c>
    </row>
    <row r="1340" spans="2:7" ht="12" customHeight="1">
      <c r="B1340" s="43">
        <v>1319</v>
      </c>
      <c r="C1340" s="44">
        <v>45880</v>
      </c>
      <c r="D1340" s="36">
        <f t="shared" si="82"/>
        <v>2</v>
      </c>
      <c r="E1340" s="36" t="str">
        <f t="shared" si="85"/>
        <v>Dia útil</v>
      </c>
      <c r="F1340" s="36" t="str">
        <f t="shared" si="83"/>
        <v>Dia útil</v>
      </c>
      <c r="G1340" s="36" t="str">
        <f t="shared" si="84"/>
        <v>Dia útil</v>
      </c>
    </row>
    <row r="1341" spans="2:7" ht="12" customHeight="1">
      <c r="B1341" s="43">
        <v>1320</v>
      </c>
      <c r="C1341" s="44">
        <v>45881</v>
      </c>
      <c r="D1341" s="36">
        <f t="shared" si="82"/>
        <v>3</v>
      </c>
      <c r="E1341" s="36" t="str">
        <f t="shared" si="85"/>
        <v>Dia útil</v>
      </c>
      <c r="F1341" s="36" t="str">
        <f t="shared" si="83"/>
        <v>Dia útil</v>
      </c>
      <c r="G1341" s="36" t="str">
        <f t="shared" si="84"/>
        <v>Dia útil</v>
      </c>
    </row>
    <row r="1342" spans="2:7" ht="12" customHeight="1">
      <c r="B1342" s="43">
        <v>1321</v>
      </c>
      <c r="C1342" s="44">
        <v>45882</v>
      </c>
      <c r="D1342" s="36">
        <f t="shared" si="82"/>
        <v>4</v>
      </c>
      <c r="E1342" s="36" t="str">
        <f t="shared" si="85"/>
        <v>Dia útil</v>
      </c>
      <c r="F1342" s="36" t="str">
        <f t="shared" si="83"/>
        <v>Dia útil</v>
      </c>
      <c r="G1342" s="36" t="str">
        <f t="shared" si="84"/>
        <v>Dia útil</v>
      </c>
    </row>
    <row r="1343" spans="2:7" ht="12" customHeight="1">
      <c r="B1343" s="43">
        <v>1322</v>
      </c>
      <c r="C1343" s="44">
        <v>45883</v>
      </c>
      <c r="D1343" s="36">
        <f t="shared" si="82"/>
        <v>5</v>
      </c>
      <c r="E1343" s="36" t="str">
        <f t="shared" si="85"/>
        <v>Dia útil</v>
      </c>
      <c r="F1343" s="36" t="str">
        <f t="shared" si="83"/>
        <v>Dia útil</v>
      </c>
      <c r="G1343" s="36" t="str">
        <f t="shared" si="84"/>
        <v>Dia útil</v>
      </c>
    </row>
    <row r="1344" spans="2:7" ht="12" customHeight="1">
      <c r="B1344" s="43">
        <v>1323</v>
      </c>
      <c r="C1344" s="44">
        <v>45884</v>
      </c>
      <c r="D1344" s="36">
        <f t="shared" si="82"/>
        <v>6</v>
      </c>
      <c r="E1344" s="36" t="str">
        <f t="shared" si="85"/>
        <v>Dia útil</v>
      </c>
      <c r="F1344" s="36" t="str">
        <f t="shared" si="83"/>
        <v>Dia útil</v>
      </c>
      <c r="G1344" s="36" t="str">
        <f t="shared" si="84"/>
        <v>Dia útil</v>
      </c>
    </row>
    <row r="1345" spans="2:7" ht="12" customHeight="1">
      <c r="B1345" s="43">
        <v>1324</v>
      </c>
      <c r="C1345" s="44">
        <v>45885</v>
      </c>
      <c r="D1345" s="36">
        <f t="shared" si="82"/>
        <v>7</v>
      </c>
      <c r="E1345" s="36" t="str">
        <f t="shared" si="85"/>
        <v>Sáb</v>
      </c>
      <c r="F1345" s="36" t="str">
        <f t="shared" si="83"/>
        <v>Sáb</v>
      </c>
      <c r="G1345" s="36" t="str">
        <f t="shared" si="84"/>
        <v>Sáb</v>
      </c>
    </row>
    <row r="1346" spans="2:7" ht="12" customHeight="1">
      <c r="B1346" s="43">
        <v>1325</v>
      </c>
      <c r="C1346" s="44">
        <v>45886</v>
      </c>
      <c r="D1346" s="36">
        <f t="shared" si="82"/>
        <v>1</v>
      </c>
      <c r="E1346" s="36" t="str">
        <f t="shared" si="85"/>
        <v>Dom</v>
      </c>
      <c r="F1346" s="36" t="str">
        <f t="shared" si="83"/>
        <v>Dom</v>
      </c>
      <c r="G1346" s="36" t="str">
        <f t="shared" si="84"/>
        <v>Dom</v>
      </c>
    </row>
    <row r="1347" spans="2:7" ht="12" customHeight="1">
      <c r="B1347" s="43">
        <v>1326</v>
      </c>
      <c r="C1347" s="44">
        <v>45887</v>
      </c>
      <c r="D1347" s="36">
        <f t="shared" si="82"/>
        <v>2</v>
      </c>
      <c r="E1347" s="36" t="str">
        <f t="shared" si="85"/>
        <v>Dia útil</v>
      </c>
      <c r="F1347" s="36" t="str">
        <f t="shared" si="83"/>
        <v>Dia útil</v>
      </c>
      <c r="G1347" s="36" t="str">
        <f t="shared" si="84"/>
        <v>Dia útil</v>
      </c>
    </row>
    <row r="1348" spans="2:7" ht="12" customHeight="1">
      <c r="B1348" s="43">
        <v>1327</v>
      </c>
      <c r="C1348" s="44">
        <v>45888</v>
      </c>
      <c r="D1348" s="36">
        <f t="shared" si="82"/>
        <v>3</v>
      </c>
      <c r="E1348" s="36" t="str">
        <f t="shared" si="85"/>
        <v>Dia útil</v>
      </c>
      <c r="F1348" s="36" t="str">
        <f t="shared" si="83"/>
        <v>Dia útil</v>
      </c>
      <c r="G1348" s="36" t="str">
        <f t="shared" si="84"/>
        <v>Dia útil</v>
      </c>
    </row>
    <row r="1349" spans="2:7" ht="12" customHeight="1">
      <c r="B1349" s="43">
        <v>1328</v>
      </c>
      <c r="C1349" s="44">
        <v>45889</v>
      </c>
      <c r="D1349" s="36">
        <f t="shared" si="82"/>
        <v>4</v>
      </c>
      <c r="E1349" s="36" t="str">
        <f t="shared" si="85"/>
        <v>Dia útil</v>
      </c>
      <c r="F1349" s="36" t="str">
        <f t="shared" si="83"/>
        <v>Dia útil</v>
      </c>
      <c r="G1349" s="36" t="str">
        <f t="shared" si="84"/>
        <v>Dia útil</v>
      </c>
    </row>
    <row r="1350" spans="2:7" ht="12" customHeight="1">
      <c r="B1350" s="43">
        <v>1329</v>
      </c>
      <c r="C1350" s="44">
        <v>45890</v>
      </c>
      <c r="D1350" s="36">
        <f t="shared" si="82"/>
        <v>5</v>
      </c>
      <c r="E1350" s="36" t="str">
        <f t="shared" si="85"/>
        <v>Dia útil</v>
      </c>
      <c r="F1350" s="36" t="str">
        <f t="shared" si="83"/>
        <v>Dia útil</v>
      </c>
      <c r="G1350" s="36" t="str">
        <f t="shared" si="84"/>
        <v>Dia útil</v>
      </c>
    </row>
    <row r="1351" spans="2:7" ht="12" customHeight="1">
      <c r="B1351" s="43">
        <v>1330</v>
      </c>
      <c r="C1351" s="44">
        <v>45891</v>
      </c>
      <c r="D1351" s="36">
        <f t="shared" si="82"/>
        <v>6</v>
      </c>
      <c r="E1351" s="36" t="str">
        <f t="shared" si="85"/>
        <v>Dia útil</v>
      </c>
      <c r="F1351" s="36" t="str">
        <f t="shared" si="83"/>
        <v>Dia útil</v>
      </c>
      <c r="G1351" s="36" t="str">
        <f t="shared" si="84"/>
        <v>Dia útil</v>
      </c>
    </row>
    <row r="1352" spans="2:7" ht="12" customHeight="1">
      <c r="B1352" s="43">
        <v>1331</v>
      </c>
      <c r="C1352" s="44">
        <v>45892</v>
      </c>
      <c r="D1352" s="36">
        <f t="shared" si="82"/>
        <v>7</v>
      </c>
      <c r="E1352" s="36" t="str">
        <f t="shared" si="85"/>
        <v>Sáb</v>
      </c>
      <c r="F1352" s="36" t="str">
        <f t="shared" si="83"/>
        <v>Sáb</v>
      </c>
      <c r="G1352" s="36" t="str">
        <f t="shared" si="84"/>
        <v>Sáb</v>
      </c>
    </row>
    <row r="1353" spans="2:7" ht="12" customHeight="1">
      <c r="B1353" s="43">
        <v>1332</v>
      </c>
      <c r="C1353" s="44">
        <v>45893</v>
      </c>
      <c r="D1353" s="36">
        <f t="shared" si="82"/>
        <v>1</v>
      </c>
      <c r="E1353" s="36" t="str">
        <f t="shared" si="85"/>
        <v>Dom</v>
      </c>
      <c r="F1353" s="36" t="str">
        <f t="shared" si="83"/>
        <v>Dom</v>
      </c>
      <c r="G1353" s="36" t="str">
        <f t="shared" si="84"/>
        <v>Dom</v>
      </c>
    </row>
    <row r="1354" spans="2:7" ht="12" customHeight="1">
      <c r="B1354" s="43">
        <v>1333</v>
      </c>
      <c r="C1354" s="44">
        <v>45894</v>
      </c>
      <c r="D1354" s="36">
        <f t="shared" si="82"/>
        <v>2</v>
      </c>
      <c r="E1354" s="36" t="str">
        <f t="shared" si="85"/>
        <v>Dia útil</v>
      </c>
      <c r="F1354" s="36" t="str">
        <f t="shared" si="83"/>
        <v>Dia útil</v>
      </c>
      <c r="G1354" s="36" t="str">
        <f t="shared" si="84"/>
        <v>Dia útil</v>
      </c>
    </row>
    <row r="1355" spans="2:7" ht="12" customHeight="1">
      <c r="B1355" s="43">
        <v>1334</v>
      </c>
      <c r="C1355" s="44">
        <v>45895</v>
      </c>
      <c r="D1355" s="36">
        <f t="shared" si="82"/>
        <v>3</v>
      </c>
      <c r="E1355" s="36" t="str">
        <f t="shared" si="85"/>
        <v>Dia útil</v>
      </c>
      <c r="F1355" s="36" t="str">
        <f t="shared" si="83"/>
        <v>Dia útil</v>
      </c>
      <c r="G1355" s="36" t="str">
        <f t="shared" si="84"/>
        <v>Dia útil</v>
      </c>
    </row>
    <row r="1356" spans="2:7" ht="12" customHeight="1">
      <c r="B1356" s="43">
        <v>1335</v>
      </c>
      <c r="C1356" s="44">
        <v>45896</v>
      </c>
      <c r="D1356" s="36">
        <f t="shared" si="82"/>
        <v>4</v>
      </c>
      <c r="E1356" s="36" t="str">
        <f t="shared" si="85"/>
        <v>Dia útil</v>
      </c>
      <c r="F1356" s="36" t="str">
        <f t="shared" si="83"/>
        <v>Dia útil</v>
      </c>
      <c r="G1356" s="36" t="str">
        <f t="shared" si="84"/>
        <v>Dia útil</v>
      </c>
    </row>
    <row r="1357" spans="2:7" ht="12" customHeight="1">
      <c r="B1357" s="43">
        <v>1336</v>
      </c>
      <c r="C1357" s="44">
        <v>45897</v>
      </c>
      <c r="D1357" s="36">
        <f t="shared" si="82"/>
        <v>5</v>
      </c>
      <c r="E1357" s="36" t="str">
        <f t="shared" si="85"/>
        <v>Dia útil</v>
      </c>
      <c r="F1357" s="36" t="str">
        <f t="shared" si="83"/>
        <v>Dia útil</v>
      </c>
      <c r="G1357" s="36" t="str">
        <f t="shared" si="84"/>
        <v>Dia útil</v>
      </c>
    </row>
    <row r="1358" spans="2:7" ht="12" customHeight="1">
      <c r="B1358" s="43">
        <v>1337</v>
      </c>
      <c r="C1358" s="44">
        <v>45898</v>
      </c>
      <c r="D1358" s="36">
        <f t="shared" si="82"/>
        <v>6</v>
      </c>
      <c r="E1358" s="36" t="str">
        <f t="shared" si="85"/>
        <v>Dia útil</v>
      </c>
      <c r="F1358" s="36" t="str">
        <f t="shared" si="83"/>
        <v>Dia útil</v>
      </c>
      <c r="G1358" s="36" t="str">
        <f t="shared" si="84"/>
        <v>Dia útil</v>
      </c>
    </row>
    <row r="1359" spans="2:7" ht="12" customHeight="1">
      <c r="B1359" s="43">
        <v>1338</v>
      </c>
      <c r="C1359" s="44">
        <v>45899</v>
      </c>
      <c r="D1359" s="36">
        <f t="shared" si="82"/>
        <v>7</v>
      </c>
      <c r="E1359" s="36" t="str">
        <f t="shared" si="85"/>
        <v>Sáb</v>
      </c>
      <c r="F1359" s="36" t="str">
        <f t="shared" si="83"/>
        <v>Sáb</v>
      </c>
      <c r="G1359" s="36" t="str">
        <f t="shared" si="84"/>
        <v>Sáb</v>
      </c>
    </row>
    <row r="1360" spans="2:7" ht="12" customHeight="1">
      <c r="B1360" s="43">
        <v>1339</v>
      </c>
      <c r="C1360" s="44">
        <v>45900</v>
      </c>
      <c r="D1360" s="36">
        <f t="shared" si="82"/>
        <v>1</v>
      </c>
      <c r="E1360" s="36" t="str">
        <f t="shared" si="85"/>
        <v>Dom</v>
      </c>
      <c r="F1360" s="36" t="str">
        <f t="shared" si="83"/>
        <v>Dom</v>
      </c>
      <c r="G1360" s="36" t="str">
        <f t="shared" si="84"/>
        <v>Dom</v>
      </c>
    </row>
    <row r="1361" spans="2:7" ht="12" customHeight="1">
      <c r="B1361" s="43">
        <v>1340</v>
      </c>
      <c r="C1361" s="44">
        <v>45901</v>
      </c>
      <c r="D1361" s="36">
        <f t="shared" si="82"/>
        <v>2</v>
      </c>
      <c r="E1361" s="36" t="str">
        <f t="shared" si="85"/>
        <v>Dia útil</v>
      </c>
      <c r="F1361" s="36" t="str">
        <f t="shared" si="83"/>
        <v>Dia útil</v>
      </c>
      <c r="G1361" s="36" t="str">
        <f t="shared" si="84"/>
        <v>Dia útil</v>
      </c>
    </row>
    <row r="1362" spans="2:7" ht="12" customHeight="1">
      <c r="B1362" s="43">
        <v>1341</v>
      </c>
      <c r="C1362" s="44">
        <v>45902</v>
      </c>
      <c r="D1362" s="36">
        <f t="shared" si="82"/>
        <v>3</v>
      </c>
      <c r="E1362" s="36" t="str">
        <f t="shared" si="85"/>
        <v>Dia útil</v>
      </c>
      <c r="F1362" s="36" t="str">
        <f t="shared" si="83"/>
        <v>Dia útil</v>
      </c>
      <c r="G1362" s="36" t="str">
        <f t="shared" si="84"/>
        <v>Dia útil</v>
      </c>
    </row>
    <row r="1363" spans="2:7" ht="12" customHeight="1">
      <c r="B1363" s="43">
        <v>1342</v>
      </c>
      <c r="C1363" s="44">
        <v>45903</v>
      </c>
      <c r="D1363" s="36">
        <f t="shared" si="82"/>
        <v>4</v>
      </c>
      <c r="E1363" s="36" t="str">
        <f t="shared" si="85"/>
        <v>Dia útil</v>
      </c>
      <c r="F1363" s="36" t="str">
        <f t="shared" si="83"/>
        <v>Dia útil</v>
      </c>
      <c r="G1363" s="36" t="str">
        <f t="shared" si="84"/>
        <v>Dia útil</v>
      </c>
    </row>
    <row r="1364" spans="2:7" ht="12" customHeight="1">
      <c r="B1364" s="43">
        <v>1343</v>
      </c>
      <c r="C1364" s="44">
        <v>45904</v>
      </c>
      <c r="D1364" s="36">
        <f t="shared" si="82"/>
        <v>5</v>
      </c>
      <c r="E1364" s="36" t="str">
        <f t="shared" si="85"/>
        <v>Dia útil</v>
      </c>
      <c r="F1364" s="36" t="str">
        <f t="shared" si="83"/>
        <v>Dia útil</v>
      </c>
      <c r="G1364" s="36" t="str">
        <f t="shared" si="84"/>
        <v>Dia útil</v>
      </c>
    </row>
    <row r="1365" spans="2:7" ht="12" customHeight="1">
      <c r="B1365" s="43">
        <v>1344</v>
      </c>
      <c r="C1365" s="44">
        <v>45905</v>
      </c>
      <c r="D1365" s="36">
        <f t="shared" si="82"/>
        <v>6</v>
      </c>
      <c r="E1365" s="36" t="str">
        <f t="shared" si="85"/>
        <v>Dia útil</v>
      </c>
      <c r="F1365" s="36" t="str">
        <f t="shared" si="83"/>
        <v>Dia útil</v>
      </c>
      <c r="G1365" s="36" t="str">
        <f t="shared" si="84"/>
        <v>Dia útil</v>
      </c>
    </row>
    <row r="1366" spans="2:7" ht="12" customHeight="1">
      <c r="B1366" s="43">
        <v>1345</v>
      </c>
      <c r="C1366" s="44">
        <v>45906</v>
      </c>
      <c r="D1366" s="36">
        <f t="shared" si="82"/>
        <v>7</v>
      </c>
      <c r="E1366" s="36" t="str">
        <f t="shared" si="85"/>
        <v>Sáb</v>
      </c>
      <c r="F1366" s="36" t="str">
        <f t="shared" si="83"/>
        <v>Sáb</v>
      </c>
      <c r="G1366" s="36" t="str">
        <f t="shared" si="84"/>
        <v>Sáb</v>
      </c>
    </row>
    <row r="1367" spans="2:7" ht="12" customHeight="1">
      <c r="B1367" s="43">
        <v>1346</v>
      </c>
      <c r="C1367" s="44">
        <v>45907</v>
      </c>
      <c r="D1367" s="36">
        <f t="shared" ref="D1367:D1430" si="86">WEEKDAY(C1367,1)</f>
        <v>1</v>
      </c>
      <c r="E1367" s="36" t="str">
        <f t="shared" si="85"/>
        <v>Dom</v>
      </c>
      <c r="F1367" s="46" t="s">
        <v>1725</v>
      </c>
      <c r="G1367" s="36" t="str">
        <f t="shared" ref="G1367:G1430" si="87">IF(AND(F1367="Feriado",OR(E1367="Sáb",E1367="Dom")),E1367,IF(AND(F1367="Feriado",E1367="Dia útil"),"Feriado",E1367))</f>
        <v>Dom</v>
      </c>
    </row>
    <row r="1368" spans="2:7" ht="12" customHeight="1">
      <c r="B1368" s="43">
        <v>1347</v>
      </c>
      <c r="C1368" s="44">
        <v>45908</v>
      </c>
      <c r="D1368" s="36">
        <f t="shared" si="86"/>
        <v>2</v>
      </c>
      <c r="E1368" s="36" t="str">
        <f t="shared" si="85"/>
        <v>Dia útil</v>
      </c>
      <c r="F1368" s="36" t="str">
        <f t="shared" ref="F1368:F1430" si="88">E1368</f>
        <v>Dia útil</v>
      </c>
      <c r="G1368" s="36" t="str">
        <f t="shared" si="87"/>
        <v>Dia útil</v>
      </c>
    </row>
    <row r="1369" spans="2:7" ht="12" customHeight="1">
      <c r="B1369" s="43">
        <v>1348</v>
      </c>
      <c r="C1369" s="44">
        <v>45909</v>
      </c>
      <c r="D1369" s="36">
        <f t="shared" si="86"/>
        <v>3</v>
      </c>
      <c r="E1369" s="36" t="str">
        <f t="shared" ref="E1369:E1432" si="89">IF(D1369=1,"Dom",IF(D1369=7,"Sáb","Dia útil"))</f>
        <v>Dia útil</v>
      </c>
      <c r="F1369" s="36" t="str">
        <f t="shared" si="88"/>
        <v>Dia útil</v>
      </c>
      <c r="G1369" s="36" t="str">
        <f t="shared" si="87"/>
        <v>Dia útil</v>
      </c>
    </row>
    <row r="1370" spans="2:7" ht="12" customHeight="1">
      <c r="B1370" s="43">
        <v>1349</v>
      </c>
      <c r="C1370" s="44">
        <v>45910</v>
      </c>
      <c r="D1370" s="36">
        <f t="shared" si="86"/>
        <v>4</v>
      </c>
      <c r="E1370" s="36" t="str">
        <f t="shared" si="89"/>
        <v>Dia útil</v>
      </c>
      <c r="F1370" s="36" t="str">
        <f t="shared" si="88"/>
        <v>Dia útil</v>
      </c>
      <c r="G1370" s="36" t="str">
        <f t="shared" si="87"/>
        <v>Dia útil</v>
      </c>
    </row>
    <row r="1371" spans="2:7" ht="12" customHeight="1">
      <c r="B1371" s="43">
        <v>1350</v>
      </c>
      <c r="C1371" s="44">
        <v>45911</v>
      </c>
      <c r="D1371" s="36">
        <f t="shared" si="86"/>
        <v>5</v>
      </c>
      <c r="E1371" s="36" t="str">
        <f t="shared" si="89"/>
        <v>Dia útil</v>
      </c>
      <c r="F1371" s="36" t="str">
        <f t="shared" si="88"/>
        <v>Dia útil</v>
      </c>
      <c r="G1371" s="36" t="str">
        <f t="shared" si="87"/>
        <v>Dia útil</v>
      </c>
    </row>
    <row r="1372" spans="2:7" ht="12" customHeight="1">
      <c r="B1372" s="43">
        <v>1351</v>
      </c>
      <c r="C1372" s="44">
        <v>45912</v>
      </c>
      <c r="D1372" s="36">
        <f t="shared" si="86"/>
        <v>6</v>
      </c>
      <c r="E1372" s="36" t="str">
        <f t="shared" si="89"/>
        <v>Dia útil</v>
      </c>
      <c r="F1372" s="36" t="str">
        <f t="shared" si="88"/>
        <v>Dia útil</v>
      </c>
      <c r="G1372" s="36" t="str">
        <f t="shared" si="87"/>
        <v>Dia útil</v>
      </c>
    </row>
    <row r="1373" spans="2:7" ht="12" customHeight="1">
      <c r="B1373" s="43">
        <v>1352</v>
      </c>
      <c r="C1373" s="44">
        <v>45913</v>
      </c>
      <c r="D1373" s="36">
        <f t="shared" si="86"/>
        <v>7</v>
      </c>
      <c r="E1373" s="36" t="str">
        <f t="shared" si="89"/>
        <v>Sáb</v>
      </c>
      <c r="F1373" s="36" t="str">
        <f t="shared" si="88"/>
        <v>Sáb</v>
      </c>
      <c r="G1373" s="36" t="str">
        <f t="shared" si="87"/>
        <v>Sáb</v>
      </c>
    </row>
    <row r="1374" spans="2:7" ht="12" customHeight="1">
      <c r="B1374" s="43">
        <v>1353</v>
      </c>
      <c r="C1374" s="44">
        <v>45914</v>
      </c>
      <c r="D1374" s="36">
        <f t="shared" si="86"/>
        <v>1</v>
      </c>
      <c r="E1374" s="36" t="str">
        <f t="shared" si="89"/>
        <v>Dom</v>
      </c>
      <c r="F1374" s="36" t="str">
        <f t="shared" si="88"/>
        <v>Dom</v>
      </c>
      <c r="G1374" s="36" t="str">
        <f t="shared" si="87"/>
        <v>Dom</v>
      </c>
    </row>
    <row r="1375" spans="2:7" ht="12" customHeight="1">
      <c r="B1375" s="43">
        <v>1354</v>
      </c>
      <c r="C1375" s="44">
        <v>45915</v>
      </c>
      <c r="D1375" s="36">
        <f t="shared" si="86"/>
        <v>2</v>
      </c>
      <c r="E1375" s="36" t="str">
        <f t="shared" si="89"/>
        <v>Dia útil</v>
      </c>
      <c r="F1375" s="36" t="str">
        <f t="shared" si="88"/>
        <v>Dia útil</v>
      </c>
      <c r="G1375" s="36" t="str">
        <f t="shared" si="87"/>
        <v>Dia útil</v>
      </c>
    </row>
    <row r="1376" spans="2:7" ht="12" customHeight="1">
      <c r="B1376" s="43">
        <v>1355</v>
      </c>
      <c r="C1376" s="44">
        <v>45916</v>
      </c>
      <c r="D1376" s="36">
        <f t="shared" si="86"/>
        <v>3</v>
      </c>
      <c r="E1376" s="36" t="str">
        <f t="shared" si="89"/>
        <v>Dia útil</v>
      </c>
      <c r="F1376" s="36" t="str">
        <f t="shared" si="88"/>
        <v>Dia útil</v>
      </c>
      <c r="G1376" s="36" t="str">
        <f t="shared" si="87"/>
        <v>Dia útil</v>
      </c>
    </row>
    <row r="1377" spans="2:7" ht="12" customHeight="1">
      <c r="B1377" s="43">
        <v>1356</v>
      </c>
      <c r="C1377" s="44">
        <v>45917</v>
      </c>
      <c r="D1377" s="36">
        <f t="shared" si="86"/>
        <v>4</v>
      </c>
      <c r="E1377" s="36" t="str">
        <f t="shared" si="89"/>
        <v>Dia útil</v>
      </c>
      <c r="F1377" s="36" t="str">
        <f t="shared" si="88"/>
        <v>Dia útil</v>
      </c>
      <c r="G1377" s="36" t="str">
        <f t="shared" si="87"/>
        <v>Dia útil</v>
      </c>
    </row>
    <row r="1378" spans="2:7" ht="12" customHeight="1">
      <c r="B1378" s="43">
        <v>1357</v>
      </c>
      <c r="C1378" s="44">
        <v>45918</v>
      </c>
      <c r="D1378" s="36">
        <f t="shared" si="86"/>
        <v>5</v>
      </c>
      <c r="E1378" s="36" t="str">
        <f t="shared" si="89"/>
        <v>Dia útil</v>
      </c>
      <c r="F1378" s="36" t="str">
        <f t="shared" si="88"/>
        <v>Dia útil</v>
      </c>
      <c r="G1378" s="36" t="str">
        <f t="shared" si="87"/>
        <v>Dia útil</v>
      </c>
    </row>
    <row r="1379" spans="2:7" ht="12" customHeight="1">
      <c r="B1379" s="43">
        <v>1358</v>
      </c>
      <c r="C1379" s="44">
        <v>45919</v>
      </c>
      <c r="D1379" s="36">
        <f t="shared" si="86"/>
        <v>6</v>
      </c>
      <c r="E1379" s="36" t="str">
        <f t="shared" si="89"/>
        <v>Dia útil</v>
      </c>
      <c r="F1379" s="36" t="str">
        <f t="shared" si="88"/>
        <v>Dia útil</v>
      </c>
      <c r="G1379" s="36" t="str">
        <f t="shared" si="87"/>
        <v>Dia útil</v>
      </c>
    </row>
    <row r="1380" spans="2:7" ht="12" customHeight="1">
      <c r="B1380" s="43">
        <v>1359</v>
      </c>
      <c r="C1380" s="44">
        <v>45920</v>
      </c>
      <c r="D1380" s="36">
        <f t="shared" si="86"/>
        <v>7</v>
      </c>
      <c r="E1380" s="36" t="str">
        <f t="shared" si="89"/>
        <v>Sáb</v>
      </c>
      <c r="F1380" s="36" t="str">
        <f t="shared" si="88"/>
        <v>Sáb</v>
      </c>
      <c r="G1380" s="36" t="str">
        <f t="shared" si="87"/>
        <v>Sáb</v>
      </c>
    </row>
    <row r="1381" spans="2:7" ht="12" customHeight="1">
      <c r="B1381" s="43">
        <v>1360</v>
      </c>
      <c r="C1381" s="44">
        <v>45921</v>
      </c>
      <c r="D1381" s="36">
        <f t="shared" si="86"/>
        <v>1</v>
      </c>
      <c r="E1381" s="36" t="str">
        <f t="shared" si="89"/>
        <v>Dom</v>
      </c>
      <c r="F1381" s="36" t="str">
        <f t="shared" si="88"/>
        <v>Dom</v>
      </c>
      <c r="G1381" s="36" t="str">
        <f t="shared" si="87"/>
        <v>Dom</v>
      </c>
    </row>
    <row r="1382" spans="2:7" ht="12" customHeight="1">
      <c r="B1382" s="43">
        <v>1361</v>
      </c>
      <c r="C1382" s="44">
        <v>45922</v>
      </c>
      <c r="D1382" s="36">
        <f t="shared" si="86"/>
        <v>2</v>
      </c>
      <c r="E1382" s="36" t="str">
        <f t="shared" si="89"/>
        <v>Dia útil</v>
      </c>
      <c r="F1382" s="36" t="str">
        <f t="shared" si="88"/>
        <v>Dia útil</v>
      </c>
      <c r="G1382" s="36" t="str">
        <f t="shared" si="87"/>
        <v>Dia útil</v>
      </c>
    </row>
    <row r="1383" spans="2:7" ht="12" customHeight="1">
      <c r="B1383" s="43">
        <v>1362</v>
      </c>
      <c r="C1383" s="44">
        <v>45923</v>
      </c>
      <c r="D1383" s="36">
        <f t="shared" si="86"/>
        <v>3</v>
      </c>
      <c r="E1383" s="36" t="str">
        <f t="shared" si="89"/>
        <v>Dia útil</v>
      </c>
      <c r="F1383" s="36" t="str">
        <f t="shared" si="88"/>
        <v>Dia útil</v>
      </c>
      <c r="G1383" s="36" t="str">
        <f t="shared" si="87"/>
        <v>Dia útil</v>
      </c>
    </row>
    <row r="1384" spans="2:7" ht="12" customHeight="1">
      <c r="B1384" s="43">
        <v>1363</v>
      </c>
      <c r="C1384" s="44">
        <v>45924</v>
      </c>
      <c r="D1384" s="36">
        <f t="shared" si="86"/>
        <v>4</v>
      </c>
      <c r="E1384" s="36" t="str">
        <f t="shared" si="89"/>
        <v>Dia útil</v>
      </c>
      <c r="F1384" s="36" t="str">
        <f t="shared" si="88"/>
        <v>Dia útil</v>
      </c>
      <c r="G1384" s="36" t="str">
        <f t="shared" si="87"/>
        <v>Dia útil</v>
      </c>
    </row>
    <row r="1385" spans="2:7" ht="12" customHeight="1">
      <c r="B1385" s="43">
        <v>1364</v>
      </c>
      <c r="C1385" s="44">
        <v>45925</v>
      </c>
      <c r="D1385" s="36">
        <f t="shared" si="86"/>
        <v>5</v>
      </c>
      <c r="E1385" s="36" t="str">
        <f t="shared" si="89"/>
        <v>Dia útil</v>
      </c>
      <c r="F1385" s="36" t="str">
        <f t="shared" si="88"/>
        <v>Dia útil</v>
      </c>
      <c r="G1385" s="36" t="str">
        <f t="shared" si="87"/>
        <v>Dia útil</v>
      </c>
    </row>
    <row r="1386" spans="2:7" ht="12" customHeight="1">
      <c r="B1386" s="43">
        <v>1365</v>
      </c>
      <c r="C1386" s="44">
        <v>45926</v>
      </c>
      <c r="D1386" s="36">
        <f t="shared" si="86"/>
        <v>6</v>
      </c>
      <c r="E1386" s="36" t="str">
        <f t="shared" si="89"/>
        <v>Dia útil</v>
      </c>
      <c r="F1386" s="36" t="str">
        <f t="shared" si="88"/>
        <v>Dia útil</v>
      </c>
      <c r="G1386" s="36" t="str">
        <f t="shared" si="87"/>
        <v>Dia útil</v>
      </c>
    </row>
    <row r="1387" spans="2:7" ht="12" customHeight="1">
      <c r="B1387" s="43">
        <v>1366</v>
      </c>
      <c r="C1387" s="44">
        <v>45927</v>
      </c>
      <c r="D1387" s="36">
        <f t="shared" si="86"/>
        <v>7</v>
      </c>
      <c r="E1387" s="36" t="str">
        <f t="shared" si="89"/>
        <v>Sáb</v>
      </c>
      <c r="F1387" s="36" t="str">
        <f t="shared" si="88"/>
        <v>Sáb</v>
      </c>
      <c r="G1387" s="36" t="str">
        <f t="shared" si="87"/>
        <v>Sáb</v>
      </c>
    </row>
    <row r="1388" spans="2:7" ht="12" customHeight="1">
      <c r="B1388" s="43">
        <v>1367</v>
      </c>
      <c r="C1388" s="44">
        <v>45928</v>
      </c>
      <c r="D1388" s="36">
        <f t="shared" si="86"/>
        <v>1</v>
      </c>
      <c r="E1388" s="36" t="str">
        <f t="shared" si="89"/>
        <v>Dom</v>
      </c>
      <c r="F1388" s="36" t="str">
        <f t="shared" si="88"/>
        <v>Dom</v>
      </c>
      <c r="G1388" s="36" t="str">
        <f t="shared" si="87"/>
        <v>Dom</v>
      </c>
    </row>
    <row r="1389" spans="2:7" ht="12" customHeight="1">
      <c r="B1389" s="43">
        <v>1368</v>
      </c>
      <c r="C1389" s="44">
        <v>45929</v>
      </c>
      <c r="D1389" s="36">
        <f t="shared" si="86"/>
        <v>2</v>
      </c>
      <c r="E1389" s="36" t="str">
        <f t="shared" si="89"/>
        <v>Dia útil</v>
      </c>
      <c r="F1389" s="36" t="str">
        <f t="shared" si="88"/>
        <v>Dia útil</v>
      </c>
      <c r="G1389" s="36" t="str">
        <f t="shared" si="87"/>
        <v>Dia útil</v>
      </c>
    </row>
    <row r="1390" spans="2:7" ht="12" customHeight="1">
      <c r="B1390" s="43">
        <v>1369</v>
      </c>
      <c r="C1390" s="44">
        <v>45930</v>
      </c>
      <c r="D1390" s="36">
        <f t="shared" si="86"/>
        <v>3</v>
      </c>
      <c r="E1390" s="36" t="str">
        <f t="shared" si="89"/>
        <v>Dia útil</v>
      </c>
      <c r="F1390" s="36" t="str">
        <f t="shared" si="88"/>
        <v>Dia útil</v>
      </c>
      <c r="G1390" s="36" t="str">
        <f t="shared" si="87"/>
        <v>Dia útil</v>
      </c>
    </row>
    <row r="1391" spans="2:7" ht="12" customHeight="1">
      <c r="B1391" s="43">
        <v>1370</v>
      </c>
      <c r="C1391" s="44">
        <v>45931</v>
      </c>
      <c r="D1391" s="36">
        <f t="shared" si="86"/>
        <v>4</v>
      </c>
      <c r="E1391" s="36" t="str">
        <f t="shared" si="89"/>
        <v>Dia útil</v>
      </c>
      <c r="F1391" s="36" t="str">
        <f t="shared" si="88"/>
        <v>Dia útil</v>
      </c>
      <c r="G1391" s="36" t="str">
        <f t="shared" si="87"/>
        <v>Dia útil</v>
      </c>
    </row>
    <row r="1392" spans="2:7" ht="12" customHeight="1">
      <c r="B1392" s="43">
        <v>1371</v>
      </c>
      <c r="C1392" s="44">
        <v>45932</v>
      </c>
      <c r="D1392" s="36">
        <f t="shared" si="86"/>
        <v>5</v>
      </c>
      <c r="E1392" s="36" t="str">
        <f t="shared" si="89"/>
        <v>Dia útil</v>
      </c>
      <c r="F1392" s="36" t="str">
        <f t="shared" si="88"/>
        <v>Dia útil</v>
      </c>
      <c r="G1392" s="36" t="str">
        <f t="shared" si="87"/>
        <v>Dia útil</v>
      </c>
    </row>
    <row r="1393" spans="2:7" ht="12" customHeight="1">
      <c r="B1393" s="43">
        <v>1372</v>
      </c>
      <c r="C1393" s="44">
        <v>45933</v>
      </c>
      <c r="D1393" s="36">
        <f t="shared" si="86"/>
        <v>6</v>
      </c>
      <c r="E1393" s="36" t="str">
        <f t="shared" si="89"/>
        <v>Dia útil</v>
      </c>
      <c r="F1393" s="36" t="str">
        <f t="shared" si="88"/>
        <v>Dia útil</v>
      </c>
      <c r="G1393" s="36" t="str">
        <f t="shared" si="87"/>
        <v>Dia útil</v>
      </c>
    </row>
    <row r="1394" spans="2:7" ht="12" customHeight="1">
      <c r="B1394" s="43">
        <v>1373</v>
      </c>
      <c r="C1394" s="44">
        <v>45934</v>
      </c>
      <c r="D1394" s="36">
        <f t="shared" si="86"/>
        <v>7</v>
      </c>
      <c r="E1394" s="36" t="str">
        <f t="shared" si="89"/>
        <v>Sáb</v>
      </c>
      <c r="F1394" s="36" t="str">
        <f t="shared" si="88"/>
        <v>Sáb</v>
      </c>
      <c r="G1394" s="36" t="str">
        <f t="shared" si="87"/>
        <v>Sáb</v>
      </c>
    </row>
    <row r="1395" spans="2:7" ht="12" customHeight="1">
      <c r="B1395" s="43">
        <v>1374</v>
      </c>
      <c r="C1395" s="44">
        <v>45935</v>
      </c>
      <c r="D1395" s="36">
        <f t="shared" si="86"/>
        <v>1</v>
      </c>
      <c r="E1395" s="36" t="str">
        <f t="shared" si="89"/>
        <v>Dom</v>
      </c>
      <c r="F1395" s="36" t="str">
        <f t="shared" si="88"/>
        <v>Dom</v>
      </c>
      <c r="G1395" s="36" t="str">
        <f t="shared" si="87"/>
        <v>Dom</v>
      </c>
    </row>
    <row r="1396" spans="2:7" ht="12" customHeight="1">
      <c r="B1396" s="43">
        <v>1375</v>
      </c>
      <c r="C1396" s="44">
        <v>45936</v>
      </c>
      <c r="D1396" s="36">
        <f t="shared" si="86"/>
        <v>2</v>
      </c>
      <c r="E1396" s="36" t="str">
        <f t="shared" si="89"/>
        <v>Dia útil</v>
      </c>
      <c r="F1396" s="36" t="str">
        <f t="shared" si="88"/>
        <v>Dia útil</v>
      </c>
      <c r="G1396" s="36" t="str">
        <f t="shared" si="87"/>
        <v>Dia útil</v>
      </c>
    </row>
    <row r="1397" spans="2:7" ht="12" customHeight="1">
      <c r="B1397" s="43">
        <v>1376</v>
      </c>
      <c r="C1397" s="44">
        <v>45937</v>
      </c>
      <c r="D1397" s="36">
        <f t="shared" si="86"/>
        <v>3</v>
      </c>
      <c r="E1397" s="36" t="str">
        <f t="shared" si="89"/>
        <v>Dia útil</v>
      </c>
      <c r="F1397" s="36" t="str">
        <f t="shared" si="88"/>
        <v>Dia útil</v>
      </c>
      <c r="G1397" s="36" t="str">
        <f t="shared" si="87"/>
        <v>Dia útil</v>
      </c>
    </row>
    <row r="1398" spans="2:7" ht="12" customHeight="1">
      <c r="B1398" s="43">
        <v>1377</v>
      </c>
      <c r="C1398" s="44">
        <v>45938</v>
      </c>
      <c r="D1398" s="36">
        <f t="shared" si="86"/>
        <v>4</v>
      </c>
      <c r="E1398" s="36" t="str">
        <f t="shared" si="89"/>
        <v>Dia útil</v>
      </c>
      <c r="F1398" s="36" t="str">
        <f t="shared" si="88"/>
        <v>Dia útil</v>
      </c>
      <c r="G1398" s="36" t="str">
        <f t="shared" si="87"/>
        <v>Dia útil</v>
      </c>
    </row>
    <row r="1399" spans="2:7" ht="12" customHeight="1">
      <c r="B1399" s="43">
        <v>1378</v>
      </c>
      <c r="C1399" s="44">
        <v>45939</v>
      </c>
      <c r="D1399" s="36">
        <f t="shared" si="86"/>
        <v>5</v>
      </c>
      <c r="E1399" s="36" t="str">
        <f t="shared" si="89"/>
        <v>Dia útil</v>
      </c>
      <c r="F1399" s="36" t="str">
        <f t="shared" si="88"/>
        <v>Dia útil</v>
      </c>
      <c r="G1399" s="36" t="str">
        <f t="shared" si="87"/>
        <v>Dia útil</v>
      </c>
    </row>
    <row r="1400" spans="2:7" ht="12" customHeight="1">
      <c r="B1400" s="43">
        <v>1379</v>
      </c>
      <c r="C1400" s="44">
        <v>45940</v>
      </c>
      <c r="D1400" s="36">
        <f t="shared" si="86"/>
        <v>6</v>
      </c>
      <c r="E1400" s="36" t="str">
        <f t="shared" si="89"/>
        <v>Dia útil</v>
      </c>
      <c r="F1400" s="36" t="str">
        <f t="shared" si="88"/>
        <v>Dia útil</v>
      </c>
      <c r="G1400" s="36" t="str">
        <f t="shared" si="87"/>
        <v>Dia útil</v>
      </c>
    </row>
    <row r="1401" spans="2:7" ht="12" customHeight="1">
      <c r="B1401" s="43">
        <v>1380</v>
      </c>
      <c r="C1401" s="44">
        <v>45941</v>
      </c>
      <c r="D1401" s="36">
        <f t="shared" si="86"/>
        <v>7</v>
      </c>
      <c r="E1401" s="36" t="str">
        <f t="shared" si="89"/>
        <v>Sáb</v>
      </c>
      <c r="F1401" s="36" t="str">
        <f t="shared" si="88"/>
        <v>Sáb</v>
      </c>
      <c r="G1401" s="36" t="str">
        <f t="shared" si="87"/>
        <v>Sáb</v>
      </c>
    </row>
    <row r="1402" spans="2:7" ht="12" customHeight="1">
      <c r="B1402" s="43">
        <v>1381</v>
      </c>
      <c r="C1402" s="44">
        <v>45942</v>
      </c>
      <c r="D1402" s="36">
        <f t="shared" si="86"/>
        <v>1</v>
      </c>
      <c r="E1402" s="36" t="str">
        <f t="shared" si="89"/>
        <v>Dom</v>
      </c>
      <c r="F1402" s="46" t="s">
        <v>1725</v>
      </c>
      <c r="G1402" s="36" t="str">
        <f t="shared" si="87"/>
        <v>Dom</v>
      </c>
    </row>
    <row r="1403" spans="2:7" ht="12" customHeight="1">
      <c r="B1403" s="43">
        <v>1382</v>
      </c>
      <c r="C1403" s="44">
        <v>45943</v>
      </c>
      <c r="D1403" s="36">
        <f t="shared" si="86"/>
        <v>2</v>
      </c>
      <c r="E1403" s="36" t="str">
        <f t="shared" si="89"/>
        <v>Dia útil</v>
      </c>
      <c r="F1403" s="36" t="str">
        <f t="shared" si="88"/>
        <v>Dia útil</v>
      </c>
      <c r="G1403" s="36" t="str">
        <f t="shared" si="87"/>
        <v>Dia útil</v>
      </c>
    </row>
    <row r="1404" spans="2:7" ht="12" customHeight="1">
      <c r="B1404" s="43">
        <v>1383</v>
      </c>
      <c r="C1404" s="44">
        <v>45944</v>
      </c>
      <c r="D1404" s="36">
        <f t="shared" si="86"/>
        <v>3</v>
      </c>
      <c r="E1404" s="36" t="str">
        <f t="shared" si="89"/>
        <v>Dia útil</v>
      </c>
      <c r="F1404" s="36" t="str">
        <f t="shared" si="88"/>
        <v>Dia útil</v>
      </c>
      <c r="G1404" s="36" t="str">
        <f t="shared" si="87"/>
        <v>Dia útil</v>
      </c>
    </row>
    <row r="1405" spans="2:7" ht="12" customHeight="1">
      <c r="B1405" s="43">
        <v>1384</v>
      </c>
      <c r="C1405" s="44">
        <v>45945</v>
      </c>
      <c r="D1405" s="36">
        <f t="shared" si="86"/>
        <v>4</v>
      </c>
      <c r="E1405" s="36" t="str">
        <f t="shared" si="89"/>
        <v>Dia útil</v>
      </c>
      <c r="F1405" s="36" t="str">
        <f t="shared" si="88"/>
        <v>Dia útil</v>
      </c>
      <c r="G1405" s="36" t="str">
        <f t="shared" si="87"/>
        <v>Dia útil</v>
      </c>
    </row>
    <row r="1406" spans="2:7" ht="12" customHeight="1">
      <c r="B1406" s="43">
        <v>1385</v>
      </c>
      <c r="C1406" s="44">
        <v>45946</v>
      </c>
      <c r="D1406" s="36">
        <f t="shared" si="86"/>
        <v>5</v>
      </c>
      <c r="E1406" s="36" t="str">
        <f t="shared" si="89"/>
        <v>Dia útil</v>
      </c>
      <c r="F1406" s="36" t="str">
        <f t="shared" si="88"/>
        <v>Dia útil</v>
      </c>
      <c r="G1406" s="36" t="str">
        <f t="shared" si="87"/>
        <v>Dia útil</v>
      </c>
    </row>
    <row r="1407" spans="2:7" ht="12" customHeight="1">
      <c r="B1407" s="43">
        <v>1386</v>
      </c>
      <c r="C1407" s="44">
        <v>45947</v>
      </c>
      <c r="D1407" s="36">
        <f t="shared" si="86"/>
        <v>6</v>
      </c>
      <c r="E1407" s="36" t="str">
        <f t="shared" si="89"/>
        <v>Dia útil</v>
      </c>
      <c r="F1407" s="36" t="str">
        <f t="shared" si="88"/>
        <v>Dia útil</v>
      </c>
      <c r="G1407" s="36" t="str">
        <f t="shared" si="87"/>
        <v>Dia útil</v>
      </c>
    </row>
    <row r="1408" spans="2:7" ht="12" customHeight="1">
      <c r="B1408" s="43">
        <v>1387</v>
      </c>
      <c r="C1408" s="44">
        <v>45948</v>
      </c>
      <c r="D1408" s="36">
        <f t="shared" si="86"/>
        <v>7</v>
      </c>
      <c r="E1408" s="36" t="str">
        <f t="shared" si="89"/>
        <v>Sáb</v>
      </c>
      <c r="F1408" s="36" t="str">
        <f t="shared" si="88"/>
        <v>Sáb</v>
      </c>
      <c r="G1408" s="36" t="str">
        <f t="shared" si="87"/>
        <v>Sáb</v>
      </c>
    </row>
    <row r="1409" spans="2:7" ht="12" customHeight="1">
      <c r="B1409" s="43">
        <v>1388</v>
      </c>
      <c r="C1409" s="44">
        <v>45949</v>
      </c>
      <c r="D1409" s="36">
        <f t="shared" si="86"/>
        <v>1</v>
      </c>
      <c r="E1409" s="36" t="str">
        <f t="shared" si="89"/>
        <v>Dom</v>
      </c>
      <c r="F1409" s="36" t="str">
        <f t="shared" si="88"/>
        <v>Dom</v>
      </c>
      <c r="G1409" s="36" t="str">
        <f t="shared" si="87"/>
        <v>Dom</v>
      </c>
    </row>
    <row r="1410" spans="2:7" ht="12" customHeight="1">
      <c r="B1410" s="43">
        <v>1389</v>
      </c>
      <c r="C1410" s="44">
        <v>45950</v>
      </c>
      <c r="D1410" s="36">
        <f t="shared" si="86"/>
        <v>2</v>
      </c>
      <c r="E1410" s="36" t="str">
        <f t="shared" si="89"/>
        <v>Dia útil</v>
      </c>
      <c r="F1410" s="36" t="str">
        <f t="shared" si="88"/>
        <v>Dia útil</v>
      </c>
      <c r="G1410" s="36" t="str">
        <f t="shared" si="87"/>
        <v>Dia útil</v>
      </c>
    </row>
    <row r="1411" spans="2:7" ht="12" customHeight="1">
      <c r="B1411" s="43">
        <v>1390</v>
      </c>
      <c r="C1411" s="44">
        <v>45951</v>
      </c>
      <c r="D1411" s="36">
        <f t="shared" si="86"/>
        <v>3</v>
      </c>
      <c r="E1411" s="36" t="str">
        <f t="shared" si="89"/>
        <v>Dia útil</v>
      </c>
      <c r="F1411" s="36" t="str">
        <f t="shared" si="88"/>
        <v>Dia útil</v>
      </c>
      <c r="G1411" s="36" t="str">
        <f t="shared" si="87"/>
        <v>Dia útil</v>
      </c>
    </row>
    <row r="1412" spans="2:7" ht="12" customHeight="1">
      <c r="B1412" s="43">
        <v>1391</v>
      </c>
      <c r="C1412" s="44">
        <v>45952</v>
      </c>
      <c r="D1412" s="36">
        <f t="shared" si="86"/>
        <v>4</v>
      </c>
      <c r="E1412" s="36" t="str">
        <f t="shared" si="89"/>
        <v>Dia útil</v>
      </c>
      <c r="F1412" s="36" t="str">
        <f t="shared" si="88"/>
        <v>Dia útil</v>
      </c>
      <c r="G1412" s="36" t="str">
        <f t="shared" si="87"/>
        <v>Dia útil</v>
      </c>
    </row>
    <row r="1413" spans="2:7" ht="12" customHeight="1">
      <c r="B1413" s="43">
        <v>1392</v>
      </c>
      <c r="C1413" s="44">
        <v>45953</v>
      </c>
      <c r="D1413" s="36">
        <f t="shared" si="86"/>
        <v>5</v>
      </c>
      <c r="E1413" s="36" t="str">
        <f t="shared" si="89"/>
        <v>Dia útil</v>
      </c>
      <c r="F1413" s="36" t="str">
        <f t="shared" si="88"/>
        <v>Dia útil</v>
      </c>
      <c r="G1413" s="36" t="str">
        <f t="shared" si="87"/>
        <v>Dia útil</v>
      </c>
    </row>
    <row r="1414" spans="2:7" ht="12" customHeight="1">
      <c r="B1414" s="43">
        <v>1393</v>
      </c>
      <c r="C1414" s="44">
        <v>45954</v>
      </c>
      <c r="D1414" s="36">
        <f t="shared" si="86"/>
        <v>6</v>
      </c>
      <c r="E1414" s="36" t="str">
        <f t="shared" si="89"/>
        <v>Dia útil</v>
      </c>
      <c r="F1414" s="36" t="str">
        <f t="shared" si="88"/>
        <v>Dia útil</v>
      </c>
      <c r="G1414" s="36" t="str">
        <f t="shared" si="87"/>
        <v>Dia útil</v>
      </c>
    </row>
    <row r="1415" spans="2:7" ht="12" customHeight="1">
      <c r="B1415" s="43">
        <v>1394</v>
      </c>
      <c r="C1415" s="44">
        <v>45955</v>
      </c>
      <c r="D1415" s="36">
        <f t="shared" si="86"/>
        <v>7</v>
      </c>
      <c r="E1415" s="36" t="str">
        <f t="shared" si="89"/>
        <v>Sáb</v>
      </c>
      <c r="F1415" s="36" t="str">
        <f t="shared" si="88"/>
        <v>Sáb</v>
      </c>
      <c r="G1415" s="36" t="str">
        <f t="shared" si="87"/>
        <v>Sáb</v>
      </c>
    </row>
    <row r="1416" spans="2:7" ht="12" customHeight="1">
      <c r="B1416" s="43">
        <v>1395</v>
      </c>
      <c r="C1416" s="44">
        <v>45956</v>
      </c>
      <c r="D1416" s="36">
        <f t="shared" si="86"/>
        <v>1</v>
      </c>
      <c r="E1416" s="36" t="str">
        <f t="shared" si="89"/>
        <v>Dom</v>
      </c>
      <c r="F1416" s="36" t="str">
        <f t="shared" si="88"/>
        <v>Dom</v>
      </c>
      <c r="G1416" s="36" t="str">
        <f t="shared" si="87"/>
        <v>Dom</v>
      </c>
    </row>
    <row r="1417" spans="2:7" ht="12" customHeight="1">
      <c r="B1417" s="43">
        <v>1396</v>
      </c>
      <c r="C1417" s="44">
        <v>45957</v>
      </c>
      <c r="D1417" s="36">
        <f t="shared" si="86"/>
        <v>2</v>
      </c>
      <c r="E1417" s="36" t="str">
        <f t="shared" si="89"/>
        <v>Dia útil</v>
      </c>
      <c r="F1417" s="36" t="str">
        <f t="shared" si="88"/>
        <v>Dia útil</v>
      </c>
      <c r="G1417" s="36" t="str">
        <f t="shared" si="87"/>
        <v>Dia útil</v>
      </c>
    </row>
    <row r="1418" spans="2:7" ht="12" customHeight="1">
      <c r="B1418" s="43">
        <v>1397</v>
      </c>
      <c r="C1418" s="44">
        <v>45958</v>
      </c>
      <c r="D1418" s="36">
        <f t="shared" si="86"/>
        <v>3</v>
      </c>
      <c r="E1418" s="36" t="str">
        <f t="shared" si="89"/>
        <v>Dia útil</v>
      </c>
      <c r="F1418" s="36" t="str">
        <f t="shared" si="88"/>
        <v>Dia útil</v>
      </c>
      <c r="G1418" s="36" t="str">
        <f t="shared" si="87"/>
        <v>Dia útil</v>
      </c>
    </row>
    <row r="1419" spans="2:7" ht="12" customHeight="1">
      <c r="B1419" s="43">
        <v>1398</v>
      </c>
      <c r="C1419" s="44">
        <v>45959</v>
      </c>
      <c r="D1419" s="36">
        <f t="shared" si="86"/>
        <v>4</v>
      </c>
      <c r="E1419" s="36" t="str">
        <f t="shared" si="89"/>
        <v>Dia útil</v>
      </c>
      <c r="F1419" s="36" t="str">
        <f t="shared" si="88"/>
        <v>Dia útil</v>
      </c>
      <c r="G1419" s="36" t="str">
        <f t="shared" si="87"/>
        <v>Dia útil</v>
      </c>
    </row>
    <row r="1420" spans="2:7" ht="12" customHeight="1">
      <c r="B1420" s="43">
        <v>1399</v>
      </c>
      <c r="C1420" s="44">
        <v>45960</v>
      </c>
      <c r="D1420" s="36">
        <f t="shared" si="86"/>
        <v>5</v>
      </c>
      <c r="E1420" s="36" t="str">
        <f t="shared" si="89"/>
        <v>Dia útil</v>
      </c>
      <c r="F1420" s="36" t="str">
        <f t="shared" si="88"/>
        <v>Dia útil</v>
      </c>
      <c r="G1420" s="36" t="str">
        <f t="shared" si="87"/>
        <v>Dia útil</v>
      </c>
    </row>
    <row r="1421" spans="2:7" ht="12" customHeight="1">
      <c r="B1421" s="43">
        <v>1400</v>
      </c>
      <c r="C1421" s="44">
        <v>45961</v>
      </c>
      <c r="D1421" s="36">
        <f t="shared" si="86"/>
        <v>6</v>
      </c>
      <c r="E1421" s="36" t="str">
        <f t="shared" si="89"/>
        <v>Dia útil</v>
      </c>
      <c r="F1421" s="36" t="str">
        <f t="shared" si="88"/>
        <v>Dia útil</v>
      </c>
      <c r="G1421" s="36" t="str">
        <f t="shared" si="87"/>
        <v>Dia útil</v>
      </c>
    </row>
    <row r="1422" spans="2:7" ht="12" customHeight="1">
      <c r="B1422" s="43">
        <v>1401</v>
      </c>
      <c r="C1422" s="44">
        <v>45962</v>
      </c>
      <c r="D1422" s="36">
        <f t="shared" si="86"/>
        <v>7</v>
      </c>
      <c r="E1422" s="36" t="str">
        <f t="shared" si="89"/>
        <v>Sáb</v>
      </c>
      <c r="F1422" s="36" t="str">
        <f t="shared" si="88"/>
        <v>Sáb</v>
      </c>
      <c r="G1422" s="36" t="str">
        <f t="shared" si="87"/>
        <v>Sáb</v>
      </c>
    </row>
    <row r="1423" spans="2:7" ht="12" customHeight="1">
      <c r="B1423" s="43">
        <v>1402</v>
      </c>
      <c r="C1423" s="44">
        <v>45963</v>
      </c>
      <c r="D1423" s="36">
        <f t="shared" si="86"/>
        <v>1</v>
      </c>
      <c r="E1423" s="36" t="str">
        <f t="shared" si="89"/>
        <v>Dom</v>
      </c>
      <c r="F1423" s="46" t="s">
        <v>1725</v>
      </c>
      <c r="G1423" s="36" t="str">
        <f t="shared" si="87"/>
        <v>Dom</v>
      </c>
    </row>
    <row r="1424" spans="2:7" ht="12" customHeight="1">
      <c r="B1424" s="43">
        <v>1403</v>
      </c>
      <c r="C1424" s="44">
        <v>45964</v>
      </c>
      <c r="D1424" s="36">
        <f t="shared" si="86"/>
        <v>2</v>
      </c>
      <c r="E1424" s="36" t="str">
        <f t="shared" si="89"/>
        <v>Dia útil</v>
      </c>
      <c r="F1424" s="36" t="str">
        <f t="shared" si="88"/>
        <v>Dia útil</v>
      </c>
      <c r="G1424" s="36" t="str">
        <f t="shared" si="87"/>
        <v>Dia útil</v>
      </c>
    </row>
    <row r="1425" spans="2:7" ht="12" customHeight="1">
      <c r="B1425" s="43">
        <v>1404</v>
      </c>
      <c r="C1425" s="44">
        <v>45965</v>
      </c>
      <c r="D1425" s="36">
        <f t="shared" si="86"/>
        <v>3</v>
      </c>
      <c r="E1425" s="36" t="str">
        <f t="shared" si="89"/>
        <v>Dia útil</v>
      </c>
      <c r="F1425" s="36" t="str">
        <f t="shared" si="88"/>
        <v>Dia útil</v>
      </c>
      <c r="G1425" s="36" t="str">
        <f t="shared" si="87"/>
        <v>Dia útil</v>
      </c>
    </row>
    <row r="1426" spans="2:7" ht="12" customHeight="1">
      <c r="B1426" s="43">
        <v>1405</v>
      </c>
      <c r="C1426" s="44">
        <v>45966</v>
      </c>
      <c r="D1426" s="36">
        <f t="shared" si="86"/>
        <v>4</v>
      </c>
      <c r="E1426" s="36" t="str">
        <f t="shared" si="89"/>
        <v>Dia útil</v>
      </c>
      <c r="F1426" s="36" t="str">
        <f t="shared" si="88"/>
        <v>Dia útil</v>
      </c>
      <c r="G1426" s="36" t="str">
        <f t="shared" si="87"/>
        <v>Dia útil</v>
      </c>
    </row>
    <row r="1427" spans="2:7" ht="12" customHeight="1">
      <c r="B1427" s="43">
        <v>1406</v>
      </c>
      <c r="C1427" s="44">
        <v>45967</v>
      </c>
      <c r="D1427" s="36">
        <f t="shared" si="86"/>
        <v>5</v>
      </c>
      <c r="E1427" s="36" t="str">
        <f t="shared" si="89"/>
        <v>Dia útil</v>
      </c>
      <c r="F1427" s="36" t="str">
        <f t="shared" si="88"/>
        <v>Dia útil</v>
      </c>
      <c r="G1427" s="36" t="str">
        <f t="shared" si="87"/>
        <v>Dia útil</v>
      </c>
    </row>
    <row r="1428" spans="2:7" ht="12" customHeight="1">
      <c r="B1428" s="43">
        <v>1407</v>
      </c>
      <c r="C1428" s="44">
        <v>45968</v>
      </c>
      <c r="D1428" s="36">
        <f t="shared" si="86"/>
        <v>6</v>
      </c>
      <c r="E1428" s="36" t="str">
        <f t="shared" si="89"/>
        <v>Dia útil</v>
      </c>
      <c r="F1428" s="36" t="str">
        <f t="shared" si="88"/>
        <v>Dia útil</v>
      </c>
      <c r="G1428" s="36" t="str">
        <f t="shared" si="87"/>
        <v>Dia útil</v>
      </c>
    </row>
    <row r="1429" spans="2:7" ht="12" customHeight="1">
      <c r="B1429" s="43">
        <v>1408</v>
      </c>
      <c r="C1429" s="44">
        <v>45969</v>
      </c>
      <c r="D1429" s="36">
        <f t="shared" si="86"/>
        <v>7</v>
      </c>
      <c r="E1429" s="36" t="str">
        <f t="shared" si="89"/>
        <v>Sáb</v>
      </c>
      <c r="F1429" s="36" t="str">
        <f t="shared" si="88"/>
        <v>Sáb</v>
      </c>
      <c r="G1429" s="36" t="str">
        <f t="shared" si="87"/>
        <v>Sáb</v>
      </c>
    </row>
    <row r="1430" spans="2:7" ht="12" customHeight="1">
      <c r="B1430" s="43">
        <v>1409</v>
      </c>
      <c r="C1430" s="44">
        <v>45970</v>
      </c>
      <c r="D1430" s="36">
        <f t="shared" si="86"/>
        <v>1</v>
      </c>
      <c r="E1430" s="36" t="str">
        <f t="shared" si="89"/>
        <v>Dom</v>
      </c>
      <c r="F1430" s="36" t="str">
        <f t="shared" si="88"/>
        <v>Dom</v>
      </c>
      <c r="G1430" s="36" t="str">
        <f t="shared" si="87"/>
        <v>Dom</v>
      </c>
    </row>
    <row r="1431" spans="2:7" ht="12" customHeight="1">
      <c r="B1431" s="43">
        <v>1410</v>
      </c>
      <c r="C1431" s="44">
        <v>45971</v>
      </c>
      <c r="D1431" s="36">
        <f t="shared" ref="D1431:D1494" si="90">WEEKDAY(C1431,1)</f>
        <v>2</v>
      </c>
      <c r="E1431" s="36" t="str">
        <f t="shared" si="89"/>
        <v>Dia útil</v>
      </c>
      <c r="F1431" s="36" t="str">
        <f t="shared" ref="F1431:F1494" si="91">E1431</f>
        <v>Dia útil</v>
      </c>
      <c r="G1431" s="36" t="str">
        <f t="shared" ref="G1431:G1494" si="92">IF(AND(F1431="Feriado",OR(E1431="Sáb",E1431="Dom")),E1431,IF(AND(F1431="Feriado",E1431="Dia útil"),"Feriado",E1431))</f>
        <v>Dia útil</v>
      </c>
    </row>
    <row r="1432" spans="2:7" ht="12" customHeight="1">
      <c r="B1432" s="43">
        <v>1411</v>
      </c>
      <c r="C1432" s="44">
        <v>45972</v>
      </c>
      <c r="D1432" s="36">
        <f t="shared" si="90"/>
        <v>3</v>
      </c>
      <c r="E1432" s="36" t="str">
        <f t="shared" si="89"/>
        <v>Dia útil</v>
      </c>
      <c r="F1432" s="36" t="str">
        <f t="shared" si="91"/>
        <v>Dia útil</v>
      </c>
      <c r="G1432" s="36" t="str">
        <f t="shared" si="92"/>
        <v>Dia útil</v>
      </c>
    </row>
    <row r="1433" spans="2:7" ht="12" customHeight="1">
      <c r="B1433" s="43">
        <v>1412</v>
      </c>
      <c r="C1433" s="44">
        <v>45973</v>
      </c>
      <c r="D1433" s="36">
        <f t="shared" si="90"/>
        <v>4</v>
      </c>
      <c r="E1433" s="36" t="str">
        <f t="shared" ref="E1433:E1496" si="93">IF(D1433=1,"Dom",IF(D1433=7,"Sáb","Dia útil"))</f>
        <v>Dia útil</v>
      </c>
      <c r="F1433" s="36" t="str">
        <f t="shared" si="91"/>
        <v>Dia útil</v>
      </c>
      <c r="G1433" s="36" t="str">
        <f t="shared" si="92"/>
        <v>Dia útil</v>
      </c>
    </row>
    <row r="1434" spans="2:7" ht="12" customHeight="1">
      <c r="B1434" s="43">
        <v>1413</v>
      </c>
      <c r="C1434" s="44">
        <v>45974</v>
      </c>
      <c r="D1434" s="36">
        <f t="shared" si="90"/>
        <v>5</v>
      </c>
      <c r="E1434" s="36" t="str">
        <f t="shared" si="93"/>
        <v>Dia útil</v>
      </c>
      <c r="F1434" s="36" t="str">
        <f t="shared" si="91"/>
        <v>Dia útil</v>
      </c>
      <c r="G1434" s="36" t="str">
        <f t="shared" si="92"/>
        <v>Dia útil</v>
      </c>
    </row>
    <row r="1435" spans="2:7" ht="12" customHeight="1">
      <c r="B1435" s="43">
        <v>1414</v>
      </c>
      <c r="C1435" s="44">
        <v>45975</v>
      </c>
      <c r="D1435" s="36">
        <f t="shared" si="90"/>
        <v>6</v>
      </c>
      <c r="E1435" s="36" t="str">
        <f t="shared" si="93"/>
        <v>Dia útil</v>
      </c>
      <c r="F1435" s="36" t="str">
        <f t="shared" si="91"/>
        <v>Dia útil</v>
      </c>
      <c r="G1435" s="36" t="str">
        <f t="shared" si="92"/>
        <v>Dia útil</v>
      </c>
    </row>
    <row r="1436" spans="2:7" ht="12" customHeight="1">
      <c r="B1436" s="43">
        <v>1415</v>
      </c>
      <c r="C1436" s="44">
        <v>45976</v>
      </c>
      <c r="D1436" s="36">
        <f t="shared" si="90"/>
        <v>7</v>
      </c>
      <c r="E1436" s="36" t="str">
        <f t="shared" si="93"/>
        <v>Sáb</v>
      </c>
      <c r="F1436" s="46" t="s">
        <v>1725</v>
      </c>
      <c r="G1436" s="36" t="str">
        <f t="shared" si="92"/>
        <v>Sáb</v>
      </c>
    </row>
    <row r="1437" spans="2:7" ht="12" customHeight="1">
      <c r="B1437" s="43">
        <v>1416</v>
      </c>
      <c r="C1437" s="44">
        <v>45977</v>
      </c>
      <c r="D1437" s="36">
        <f t="shared" si="90"/>
        <v>1</v>
      </c>
      <c r="E1437" s="36" t="str">
        <f t="shared" si="93"/>
        <v>Dom</v>
      </c>
      <c r="F1437" s="36" t="str">
        <f t="shared" si="91"/>
        <v>Dom</v>
      </c>
      <c r="G1437" s="36" t="str">
        <f t="shared" si="92"/>
        <v>Dom</v>
      </c>
    </row>
    <row r="1438" spans="2:7" ht="12" customHeight="1">
      <c r="B1438" s="43">
        <v>1417</v>
      </c>
      <c r="C1438" s="44">
        <v>45978</v>
      </c>
      <c r="D1438" s="36">
        <f t="shared" si="90"/>
        <v>2</v>
      </c>
      <c r="E1438" s="36" t="str">
        <f t="shared" si="93"/>
        <v>Dia útil</v>
      </c>
      <c r="F1438" s="36" t="str">
        <f t="shared" si="91"/>
        <v>Dia útil</v>
      </c>
      <c r="G1438" s="36" t="str">
        <f t="shared" si="92"/>
        <v>Dia útil</v>
      </c>
    </row>
    <row r="1439" spans="2:7" ht="12" customHeight="1">
      <c r="B1439" s="43">
        <v>1418</v>
      </c>
      <c r="C1439" s="44">
        <v>45979</v>
      </c>
      <c r="D1439" s="36">
        <f t="shared" si="90"/>
        <v>3</v>
      </c>
      <c r="E1439" s="36" t="str">
        <f t="shared" si="93"/>
        <v>Dia útil</v>
      </c>
      <c r="F1439" s="36" t="str">
        <f t="shared" si="91"/>
        <v>Dia útil</v>
      </c>
      <c r="G1439" s="36" t="str">
        <f t="shared" si="92"/>
        <v>Dia útil</v>
      </c>
    </row>
    <row r="1440" spans="2:7" ht="12" customHeight="1">
      <c r="B1440" s="43">
        <v>1419</v>
      </c>
      <c r="C1440" s="44">
        <v>45980</v>
      </c>
      <c r="D1440" s="36">
        <f t="shared" si="90"/>
        <v>4</v>
      </c>
      <c r="E1440" s="36" t="str">
        <f t="shared" si="93"/>
        <v>Dia útil</v>
      </c>
      <c r="F1440" s="36" t="str">
        <f t="shared" si="91"/>
        <v>Dia útil</v>
      </c>
      <c r="G1440" s="36" t="str">
        <f t="shared" si="92"/>
        <v>Dia útil</v>
      </c>
    </row>
    <row r="1441" spans="2:7" ht="12" customHeight="1">
      <c r="B1441" s="43">
        <v>1420</v>
      </c>
      <c r="C1441" s="44">
        <v>45981</v>
      </c>
      <c r="D1441" s="36">
        <f t="shared" si="90"/>
        <v>5</v>
      </c>
      <c r="E1441" s="36" t="str">
        <f t="shared" si="93"/>
        <v>Dia útil</v>
      </c>
      <c r="F1441" s="36" t="str">
        <f t="shared" si="91"/>
        <v>Dia útil</v>
      </c>
      <c r="G1441" s="36" t="str">
        <f t="shared" si="92"/>
        <v>Dia útil</v>
      </c>
    </row>
    <row r="1442" spans="2:7" ht="12" customHeight="1">
      <c r="B1442" s="43">
        <v>1421</v>
      </c>
      <c r="C1442" s="44">
        <v>45982</v>
      </c>
      <c r="D1442" s="36">
        <f t="shared" si="90"/>
        <v>6</v>
      </c>
      <c r="E1442" s="36" t="str">
        <f t="shared" si="93"/>
        <v>Dia útil</v>
      </c>
      <c r="F1442" s="36" t="str">
        <f t="shared" si="91"/>
        <v>Dia útil</v>
      </c>
      <c r="G1442" s="36" t="str">
        <f t="shared" si="92"/>
        <v>Dia útil</v>
      </c>
    </row>
    <row r="1443" spans="2:7" ht="12" customHeight="1">
      <c r="B1443" s="43">
        <v>1422</v>
      </c>
      <c r="C1443" s="44">
        <v>45983</v>
      </c>
      <c r="D1443" s="36">
        <f t="shared" si="90"/>
        <v>7</v>
      </c>
      <c r="E1443" s="36" t="str">
        <f t="shared" si="93"/>
        <v>Sáb</v>
      </c>
      <c r="F1443" s="36" t="str">
        <f t="shared" si="91"/>
        <v>Sáb</v>
      </c>
      <c r="G1443" s="36" t="str">
        <f t="shared" si="92"/>
        <v>Sáb</v>
      </c>
    </row>
    <row r="1444" spans="2:7" ht="12" customHeight="1">
      <c r="B1444" s="43">
        <v>1423</v>
      </c>
      <c r="C1444" s="44">
        <v>45984</v>
      </c>
      <c r="D1444" s="36">
        <f t="shared" si="90"/>
        <v>1</v>
      </c>
      <c r="E1444" s="36" t="str">
        <f t="shared" si="93"/>
        <v>Dom</v>
      </c>
      <c r="F1444" s="36" t="str">
        <f t="shared" si="91"/>
        <v>Dom</v>
      </c>
      <c r="G1444" s="36" t="str">
        <f t="shared" si="92"/>
        <v>Dom</v>
      </c>
    </row>
    <row r="1445" spans="2:7" ht="12" customHeight="1">
      <c r="B1445" s="43">
        <v>1424</v>
      </c>
      <c r="C1445" s="44">
        <v>45985</v>
      </c>
      <c r="D1445" s="36">
        <f t="shared" si="90"/>
        <v>2</v>
      </c>
      <c r="E1445" s="36" t="str">
        <f t="shared" si="93"/>
        <v>Dia útil</v>
      </c>
      <c r="F1445" s="36" t="str">
        <f t="shared" si="91"/>
        <v>Dia útil</v>
      </c>
      <c r="G1445" s="36" t="str">
        <f t="shared" si="92"/>
        <v>Dia útil</v>
      </c>
    </row>
    <row r="1446" spans="2:7" ht="12" customHeight="1">
      <c r="B1446" s="43">
        <v>1425</v>
      </c>
      <c r="C1446" s="44">
        <v>45986</v>
      </c>
      <c r="D1446" s="36">
        <f t="shared" si="90"/>
        <v>3</v>
      </c>
      <c r="E1446" s="36" t="str">
        <f t="shared" si="93"/>
        <v>Dia útil</v>
      </c>
      <c r="F1446" s="36" t="str">
        <f t="shared" si="91"/>
        <v>Dia útil</v>
      </c>
      <c r="G1446" s="36" t="str">
        <f t="shared" si="92"/>
        <v>Dia útil</v>
      </c>
    </row>
    <row r="1447" spans="2:7" ht="12" customHeight="1">
      <c r="B1447" s="43">
        <v>1426</v>
      </c>
      <c r="C1447" s="44">
        <v>45987</v>
      </c>
      <c r="D1447" s="36">
        <f t="shared" si="90"/>
        <v>4</v>
      </c>
      <c r="E1447" s="36" t="str">
        <f t="shared" si="93"/>
        <v>Dia útil</v>
      </c>
      <c r="F1447" s="36" t="str">
        <f t="shared" si="91"/>
        <v>Dia útil</v>
      </c>
      <c r="G1447" s="36" t="str">
        <f t="shared" si="92"/>
        <v>Dia útil</v>
      </c>
    </row>
    <row r="1448" spans="2:7" ht="12" customHeight="1">
      <c r="B1448" s="43">
        <v>1427</v>
      </c>
      <c r="C1448" s="44">
        <v>45988</v>
      </c>
      <c r="D1448" s="36">
        <f t="shared" si="90"/>
        <v>5</v>
      </c>
      <c r="E1448" s="36" t="str">
        <f t="shared" si="93"/>
        <v>Dia útil</v>
      </c>
      <c r="F1448" s="36" t="str">
        <f t="shared" si="91"/>
        <v>Dia útil</v>
      </c>
      <c r="G1448" s="36" t="str">
        <f t="shared" si="92"/>
        <v>Dia útil</v>
      </c>
    </row>
    <row r="1449" spans="2:7" ht="12" customHeight="1">
      <c r="B1449" s="43">
        <v>1428</v>
      </c>
      <c r="C1449" s="44">
        <v>45989</v>
      </c>
      <c r="D1449" s="36">
        <f t="shared" si="90"/>
        <v>6</v>
      </c>
      <c r="E1449" s="36" t="str">
        <f t="shared" si="93"/>
        <v>Dia útil</v>
      </c>
      <c r="F1449" s="36" t="str">
        <f t="shared" si="91"/>
        <v>Dia útil</v>
      </c>
      <c r="G1449" s="36" t="str">
        <f t="shared" si="92"/>
        <v>Dia útil</v>
      </c>
    </row>
    <row r="1450" spans="2:7" ht="12" customHeight="1">
      <c r="B1450" s="43">
        <v>1429</v>
      </c>
      <c r="C1450" s="44">
        <v>45990</v>
      </c>
      <c r="D1450" s="36">
        <f t="shared" si="90"/>
        <v>7</v>
      </c>
      <c r="E1450" s="36" t="str">
        <f t="shared" si="93"/>
        <v>Sáb</v>
      </c>
      <c r="F1450" s="36" t="str">
        <f t="shared" si="91"/>
        <v>Sáb</v>
      </c>
      <c r="G1450" s="36" t="str">
        <f t="shared" si="92"/>
        <v>Sáb</v>
      </c>
    </row>
    <row r="1451" spans="2:7" ht="12" customHeight="1">
      <c r="B1451" s="43">
        <v>1430</v>
      </c>
      <c r="C1451" s="44">
        <v>45991</v>
      </c>
      <c r="D1451" s="36">
        <f t="shared" si="90"/>
        <v>1</v>
      </c>
      <c r="E1451" s="36" t="str">
        <f t="shared" si="93"/>
        <v>Dom</v>
      </c>
      <c r="F1451" s="36" t="str">
        <f t="shared" si="91"/>
        <v>Dom</v>
      </c>
      <c r="G1451" s="36" t="str">
        <f t="shared" si="92"/>
        <v>Dom</v>
      </c>
    </row>
    <row r="1452" spans="2:7" ht="12" customHeight="1">
      <c r="B1452" s="43">
        <v>1431</v>
      </c>
      <c r="C1452" s="44">
        <v>45992</v>
      </c>
      <c r="D1452" s="36">
        <f t="shared" si="90"/>
        <v>2</v>
      </c>
      <c r="E1452" s="36" t="str">
        <f t="shared" si="93"/>
        <v>Dia útil</v>
      </c>
      <c r="F1452" s="36" t="str">
        <f t="shared" si="91"/>
        <v>Dia útil</v>
      </c>
      <c r="G1452" s="36" t="str">
        <f t="shared" si="92"/>
        <v>Dia útil</v>
      </c>
    </row>
    <row r="1453" spans="2:7" ht="12" customHeight="1">
      <c r="B1453" s="43">
        <v>1432</v>
      </c>
      <c r="C1453" s="44">
        <v>45993</v>
      </c>
      <c r="D1453" s="36">
        <f t="shared" si="90"/>
        <v>3</v>
      </c>
      <c r="E1453" s="36" t="str">
        <f t="shared" si="93"/>
        <v>Dia útil</v>
      </c>
      <c r="F1453" s="36" t="str">
        <f t="shared" si="91"/>
        <v>Dia útil</v>
      </c>
      <c r="G1453" s="36" t="str">
        <f t="shared" si="92"/>
        <v>Dia útil</v>
      </c>
    </row>
    <row r="1454" spans="2:7" ht="12" customHeight="1">
      <c r="B1454" s="43">
        <v>1433</v>
      </c>
      <c r="C1454" s="44">
        <v>45994</v>
      </c>
      <c r="D1454" s="36">
        <f t="shared" si="90"/>
        <v>4</v>
      </c>
      <c r="E1454" s="36" t="str">
        <f t="shared" si="93"/>
        <v>Dia útil</v>
      </c>
      <c r="F1454" s="36" t="str">
        <f t="shared" si="91"/>
        <v>Dia útil</v>
      </c>
      <c r="G1454" s="36" t="str">
        <f t="shared" si="92"/>
        <v>Dia útil</v>
      </c>
    </row>
    <row r="1455" spans="2:7" ht="12" customHeight="1">
      <c r="B1455" s="43">
        <v>1434</v>
      </c>
      <c r="C1455" s="44">
        <v>45995</v>
      </c>
      <c r="D1455" s="36">
        <f t="shared" si="90"/>
        <v>5</v>
      </c>
      <c r="E1455" s="36" t="str">
        <f t="shared" si="93"/>
        <v>Dia útil</v>
      </c>
      <c r="F1455" s="36" t="str">
        <f t="shared" si="91"/>
        <v>Dia útil</v>
      </c>
      <c r="G1455" s="36" t="str">
        <f t="shared" si="92"/>
        <v>Dia útil</v>
      </c>
    </row>
    <row r="1456" spans="2:7" ht="12" customHeight="1">
      <c r="B1456" s="43">
        <v>1435</v>
      </c>
      <c r="C1456" s="44">
        <v>45996</v>
      </c>
      <c r="D1456" s="36">
        <f t="shared" si="90"/>
        <v>6</v>
      </c>
      <c r="E1456" s="36" t="str">
        <f t="shared" si="93"/>
        <v>Dia útil</v>
      </c>
      <c r="F1456" s="36" t="str">
        <f t="shared" si="91"/>
        <v>Dia útil</v>
      </c>
      <c r="G1456" s="36" t="str">
        <f t="shared" si="92"/>
        <v>Dia útil</v>
      </c>
    </row>
    <row r="1457" spans="2:7" ht="12" customHeight="1">
      <c r="B1457" s="43">
        <v>1436</v>
      </c>
      <c r="C1457" s="44">
        <v>45997</v>
      </c>
      <c r="D1457" s="36">
        <f t="shared" si="90"/>
        <v>7</v>
      </c>
      <c r="E1457" s="36" t="str">
        <f t="shared" si="93"/>
        <v>Sáb</v>
      </c>
      <c r="F1457" s="36" t="str">
        <f t="shared" si="91"/>
        <v>Sáb</v>
      </c>
      <c r="G1457" s="36" t="str">
        <f t="shared" si="92"/>
        <v>Sáb</v>
      </c>
    </row>
    <row r="1458" spans="2:7" ht="12" customHeight="1">
      <c r="B1458" s="43">
        <v>1437</v>
      </c>
      <c r="C1458" s="44">
        <v>45998</v>
      </c>
      <c r="D1458" s="36">
        <f t="shared" si="90"/>
        <v>1</v>
      </c>
      <c r="E1458" s="36" t="str">
        <f t="shared" si="93"/>
        <v>Dom</v>
      </c>
      <c r="F1458" s="36" t="str">
        <f t="shared" si="91"/>
        <v>Dom</v>
      </c>
      <c r="G1458" s="36" t="str">
        <f t="shared" si="92"/>
        <v>Dom</v>
      </c>
    </row>
    <row r="1459" spans="2:7" ht="12" customHeight="1">
      <c r="B1459" s="43">
        <v>1438</v>
      </c>
      <c r="C1459" s="44">
        <v>45999</v>
      </c>
      <c r="D1459" s="36">
        <f t="shared" si="90"/>
        <v>2</v>
      </c>
      <c r="E1459" s="36" t="str">
        <f t="shared" si="93"/>
        <v>Dia útil</v>
      </c>
      <c r="F1459" s="36" t="str">
        <f t="shared" si="91"/>
        <v>Dia útil</v>
      </c>
      <c r="G1459" s="36" t="str">
        <f t="shared" si="92"/>
        <v>Dia útil</v>
      </c>
    </row>
    <row r="1460" spans="2:7" ht="12" customHeight="1">
      <c r="B1460" s="43">
        <v>1439</v>
      </c>
      <c r="C1460" s="44">
        <v>46000</v>
      </c>
      <c r="D1460" s="36">
        <f t="shared" si="90"/>
        <v>3</v>
      </c>
      <c r="E1460" s="36" t="str">
        <f t="shared" si="93"/>
        <v>Dia útil</v>
      </c>
      <c r="F1460" s="36" t="str">
        <f t="shared" si="91"/>
        <v>Dia útil</v>
      </c>
      <c r="G1460" s="36" t="str">
        <f t="shared" si="92"/>
        <v>Dia útil</v>
      </c>
    </row>
    <row r="1461" spans="2:7" ht="12" customHeight="1">
      <c r="B1461" s="43">
        <v>1440</v>
      </c>
      <c r="C1461" s="44">
        <v>46001</v>
      </c>
      <c r="D1461" s="36">
        <f t="shared" si="90"/>
        <v>4</v>
      </c>
      <c r="E1461" s="36" t="str">
        <f t="shared" si="93"/>
        <v>Dia útil</v>
      </c>
      <c r="F1461" s="36" t="str">
        <f t="shared" si="91"/>
        <v>Dia útil</v>
      </c>
      <c r="G1461" s="36" t="str">
        <f t="shared" si="92"/>
        <v>Dia útil</v>
      </c>
    </row>
    <row r="1462" spans="2:7" ht="12" customHeight="1">
      <c r="B1462" s="43">
        <v>1441</v>
      </c>
      <c r="C1462" s="44">
        <v>46002</v>
      </c>
      <c r="D1462" s="36">
        <f t="shared" si="90"/>
        <v>5</v>
      </c>
      <c r="E1462" s="36" t="str">
        <f t="shared" si="93"/>
        <v>Dia útil</v>
      </c>
      <c r="F1462" s="36" t="str">
        <f t="shared" si="91"/>
        <v>Dia útil</v>
      </c>
      <c r="G1462" s="36" t="str">
        <f t="shared" si="92"/>
        <v>Dia útil</v>
      </c>
    </row>
    <row r="1463" spans="2:7" ht="12" customHeight="1">
      <c r="B1463" s="43">
        <v>1442</v>
      </c>
      <c r="C1463" s="44">
        <v>46003</v>
      </c>
      <c r="D1463" s="36">
        <f t="shared" si="90"/>
        <v>6</v>
      </c>
      <c r="E1463" s="36" t="str">
        <f t="shared" si="93"/>
        <v>Dia útil</v>
      </c>
      <c r="F1463" s="36" t="str">
        <f t="shared" si="91"/>
        <v>Dia útil</v>
      </c>
      <c r="G1463" s="36" t="str">
        <f t="shared" si="92"/>
        <v>Dia útil</v>
      </c>
    </row>
    <row r="1464" spans="2:7" ht="12" customHeight="1">
      <c r="B1464" s="43">
        <v>1443</v>
      </c>
      <c r="C1464" s="44">
        <v>46004</v>
      </c>
      <c r="D1464" s="36">
        <f t="shared" si="90"/>
        <v>7</v>
      </c>
      <c r="E1464" s="36" t="str">
        <f t="shared" si="93"/>
        <v>Sáb</v>
      </c>
      <c r="F1464" s="36" t="str">
        <f t="shared" si="91"/>
        <v>Sáb</v>
      </c>
      <c r="G1464" s="36" t="str">
        <f t="shared" si="92"/>
        <v>Sáb</v>
      </c>
    </row>
    <row r="1465" spans="2:7" ht="12" customHeight="1">
      <c r="B1465" s="43">
        <v>1444</v>
      </c>
      <c r="C1465" s="44">
        <v>46005</v>
      </c>
      <c r="D1465" s="36">
        <f t="shared" si="90"/>
        <v>1</v>
      </c>
      <c r="E1465" s="36" t="str">
        <f t="shared" si="93"/>
        <v>Dom</v>
      </c>
      <c r="F1465" s="36" t="str">
        <f t="shared" si="91"/>
        <v>Dom</v>
      </c>
      <c r="G1465" s="36" t="str">
        <f t="shared" si="92"/>
        <v>Dom</v>
      </c>
    </row>
    <row r="1466" spans="2:7" ht="12" customHeight="1">
      <c r="B1466" s="43">
        <v>1445</v>
      </c>
      <c r="C1466" s="44">
        <v>46006</v>
      </c>
      <c r="D1466" s="36">
        <f t="shared" si="90"/>
        <v>2</v>
      </c>
      <c r="E1466" s="36" t="str">
        <f t="shared" si="93"/>
        <v>Dia útil</v>
      </c>
      <c r="F1466" s="36" t="str">
        <f t="shared" si="91"/>
        <v>Dia útil</v>
      </c>
      <c r="G1466" s="36" t="str">
        <f t="shared" si="92"/>
        <v>Dia útil</v>
      </c>
    </row>
    <row r="1467" spans="2:7" ht="12" customHeight="1">
      <c r="B1467" s="43">
        <v>1446</v>
      </c>
      <c r="C1467" s="44">
        <v>46007</v>
      </c>
      <c r="D1467" s="36">
        <f t="shared" si="90"/>
        <v>3</v>
      </c>
      <c r="E1467" s="36" t="str">
        <f t="shared" si="93"/>
        <v>Dia útil</v>
      </c>
      <c r="F1467" s="36" t="str">
        <f t="shared" si="91"/>
        <v>Dia útil</v>
      </c>
      <c r="G1467" s="36" t="str">
        <f t="shared" si="92"/>
        <v>Dia útil</v>
      </c>
    </row>
    <row r="1468" spans="2:7" ht="12" customHeight="1">
      <c r="B1468" s="43">
        <v>1447</v>
      </c>
      <c r="C1468" s="44">
        <v>46008</v>
      </c>
      <c r="D1468" s="36">
        <f t="shared" si="90"/>
        <v>4</v>
      </c>
      <c r="E1468" s="36" t="str">
        <f t="shared" si="93"/>
        <v>Dia útil</v>
      </c>
      <c r="F1468" s="36" t="str">
        <f t="shared" si="91"/>
        <v>Dia útil</v>
      </c>
      <c r="G1468" s="36" t="str">
        <f t="shared" si="92"/>
        <v>Dia útil</v>
      </c>
    </row>
    <row r="1469" spans="2:7" ht="12" customHeight="1">
      <c r="B1469" s="43">
        <v>1448</v>
      </c>
      <c r="C1469" s="44">
        <v>46009</v>
      </c>
      <c r="D1469" s="36">
        <f t="shared" si="90"/>
        <v>5</v>
      </c>
      <c r="E1469" s="36" t="str">
        <f t="shared" si="93"/>
        <v>Dia útil</v>
      </c>
      <c r="F1469" s="36" t="str">
        <f t="shared" si="91"/>
        <v>Dia útil</v>
      </c>
      <c r="G1469" s="36" t="str">
        <f t="shared" si="92"/>
        <v>Dia útil</v>
      </c>
    </row>
    <row r="1470" spans="2:7" ht="12" customHeight="1">
      <c r="B1470" s="43">
        <v>1449</v>
      </c>
      <c r="C1470" s="44">
        <v>46010</v>
      </c>
      <c r="D1470" s="36">
        <f t="shared" si="90"/>
        <v>6</v>
      </c>
      <c r="E1470" s="36" t="str">
        <f t="shared" si="93"/>
        <v>Dia útil</v>
      </c>
      <c r="F1470" s="36" t="str">
        <f t="shared" si="91"/>
        <v>Dia útil</v>
      </c>
      <c r="G1470" s="36" t="str">
        <f t="shared" si="92"/>
        <v>Dia útil</v>
      </c>
    </row>
    <row r="1471" spans="2:7" ht="12" customHeight="1">
      <c r="B1471" s="43">
        <v>1450</v>
      </c>
      <c r="C1471" s="44">
        <v>46011</v>
      </c>
      <c r="D1471" s="36">
        <f t="shared" si="90"/>
        <v>7</v>
      </c>
      <c r="E1471" s="36" t="str">
        <f t="shared" si="93"/>
        <v>Sáb</v>
      </c>
      <c r="F1471" s="36" t="str">
        <f t="shared" si="91"/>
        <v>Sáb</v>
      </c>
      <c r="G1471" s="36" t="str">
        <f t="shared" si="92"/>
        <v>Sáb</v>
      </c>
    </row>
    <row r="1472" spans="2:7" ht="12" customHeight="1">
      <c r="B1472" s="43">
        <v>1451</v>
      </c>
      <c r="C1472" s="44">
        <v>46012</v>
      </c>
      <c r="D1472" s="36">
        <f t="shared" si="90"/>
        <v>1</v>
      </c>
      <c r="E1472" s="36" t="str">
        <f t="shared" si="93"/>
        <v>Dom</v>
      </c>
      <c r="F1472" s="36" t="str">
        <f t="shared" si="91"/>
        <v>Dom</v>
      </c>
      <c r="G1472" s="36" t="str">
        <f t="shared" si="92"/>
        <v>Dom</v>
      </c>
    </row>
    <row r="1473" spans="2:7" ht="12" customHeight="1">
      <c r="B1473" s="43">
        <v>1452</v>
      </c>
      <c r="C1473" s="44">
        <v>46013</v>
      </c>
      <c r="D1473" s="36">
        <f t="shared" si="90"/>
        <v>2</v>
      </c>
      <c r="E1473" s="36" t="str">
        <f t="shared" si="93"/>
        <v>Dia útil</v>
      </c>
      <c r="F1473" s="36" t="str">
        <f t="shared" si="91"/>
        <v>Dia útil</v>
      </c>
      <c r="G1473" s="36" t="str">
        <f t="shared" si="92"/>
        <v>Dia útil</v>
      </c>
    </row>
    <row r="1474" spans="2:7" ht="12" customHeight="1">
      <c r="B1474" s="43">
        <v>1453</v>
      </c>
      <c r="C1474" s="44">
        <v>46014</v>
      </c>
      <c r="D1474" s="36">
        <f t="shared" si="90"/>
        <v>3</v>
      </c>
      <c r="E1474" s="36" t="str">
        <f t="shared" si="93"/>
        <v>Dia útil</v>
      </c>
      <c r="F1474" s="36" t="str">
        <f t="shared" si="91"/>
        <v>Dia útil</v>
      </c>
      <c r="G1474" s="36" t="str">
        <f t="shared" si="92"/>
        <v>Dia útil</v>
      </c>
    </row>
    <row r="1475" spans="2:7" ht="12" customHeight="1">
      <c r="B1475" s="43">
        <v>1454</v>
      </c>
      <c r="C1475" s="44">
        <v>46015</v>
      </c>
      <c r="D1475" s="36">
        <f t="shared" si="90"/>
        <v>4</v>
      </c>
      <c r="E1475" s="36" t="str">
        <f t="shared" si="93"/>
        <v>Dia útil</v>
      </c>
      <c r="F1475" s="36" t="str">
        <f t="shared" si="91"/>
        <v>Dia útil</v>
      </c>
      <c r="G1475" s="36" t="str">
        <f t="shared" si="92"/>
        <v>Dia útil</v>
      </c>
    </row>
    <row r="1476" spans="2:7" ht="12" customHeight="1">
      <c r="B1476" s="43">
        <v>1455</v>
      </c>
      <c r="C1476" s="44">
        <v>46016</v>
      </c>
      <c r="D1476" s="36">
        <f t="shared" si="90"/>
        <v>5</v>
      </c>
      <c r="E1476" s="36" t="str">
        <f t="shared" si="93"/>
        <v>Dia útil</v>
      </c>
      <c r="F1476" s="46" t="s">
        <v>1725</v>
      </c>
      <c r="G1476" s="36" t="str">
        <f t="shared" si="92"/>
        <v>Feriado</v>
      </c>
    </row>
    <row r="1477" spans="2:7" ht="12" customHeight="1">
      <c r="B1477" s="43">
        <v>1456</v>
      </c>
      <c r="C1477" s="44">
        <v>46017</v>
      </c>
      <c r="D1477" s="36">
        <f t="shared" si="90"/>
        <v>6</v>
      </c>
      <c r="E1477" s="36" t="str">
        <f t="shared" si="93"/>
        <v>Dia útil</v>
      </c>
      <c r="F1477" s="36" t="str">
        <f t="shared" si="91"/>
        <v>Dia útil</v>
      </c>
      <c r="G1477" s="36" t="str">
        <f t="shared" si="92"/>
        <v>Dia útil</v>
      </c>
    </row>
    <row r="1478" spans="2:7" ht="12" customHeight="1">
      <c r="B1478" s="43">
        <v>1457</v>
      </c>
      <c r="C1478" s="44">
        <v>46018</v>
      </c>
      <c r="D1478" s="36">
        <f t="shared" si="90"/>
        <v>7</v>
      </c>
      <c r="E1478" s="36" t="str">
        <f t="shared" si="93"/>
        <v>Sáb</v>
      </c>
      <c r="F1478" s="36" t="str">
        <f t="shared" si="91"/>
        <v>Sáb</v>
      </c>
      <c r="G1478" s="36" t="str">
        <f t="shared" si="92"/>
        <v>Sáb</v>
      </c>
    </row>
    <row r="1479" spans="2:7" ht="12" customHeight="1">
      <c r="B1479" s="43">
        <v>1458</v>
      </c>
      <c r="C1479" s="44">
        <v>46019</v>
      </c>
      <c r="D1479" s="36">
        <f t="shared" si="90"/>
        <v>1</v>
      </c>
      <c r="E1479" s="36" t="str">
        <f t="shared" si="93"/>
        <v>Dom</v>
      </c>
      <c r="F1479" s="36" t="str">
        <f t="shared" si="91"/>
        <v>Dom</v>
      </c>
      <c r="G1479" s="36" t="str">
        <f t="shared" si="92"/>
        <v>Dom</v>
      </c>
    </row>
    <row r="1480" spans="2:7" ht="12" customHeight="1">
      <c r="B1480" s="43">
        <v>1459</v>
      </c>
      <c r="C1480" s="44">
        <v>46020</v>
      </c>
      <c r="D1480" s="36">
        <f t="shared" si="90"/>
        <v>2</v>
      </c>
      <c r="E1480" s="36" t="str">
        <f t="shared" si="93"/>
        <v>Dia útil</v>
      </c>
      <c r="F1480" s="36" t="str">
        <f t="shared" si="91"/>
        <v>Dia útil</v>
      </c>
      <c r="G1480" s="36" t="str">
        <f t="shared" si="92"/>
        <v>Dia útil</v>
      </c>
    </row>
    <row r="1481" spans="2:7" ht="12" customHeight="1">
      <c r="B1481" s="43">
        <v>1460</v>
      </c>
      <c r="C1481" s="44">
        <v>46021</v>
      </c>
      <c r="D1481" s="36">
        <f t="shared" si="90"/>
        <v>3</v>
      </c>
      <c r="E1481" s="36" t="str">
        <f t="shared" si="93"/>
        <v>Dia útil</v>
      </c>
      <c r="F1481" s="36" t="str">
        <f t="shared" si="91"/>
        <v>Dia útil</v>
      </c>
      <c r="G1481" s="36" t="str">
        <f t="shared" si="92"/>
        <v>Dia útil</v>
      </c>
    </row>
    <row r="1482" spans="2:7" ht="12" customHeight="1">
      <c r="B1482" s="43">
        <v>1461</v>
      </c>
      <c r="C1482" s="44">
        <v>46022</v>
      </c>
      <c r="D1482" s="36">
        <f t="shared" si="90"/>
        <v>4</v>
      </c>
      <c r="E1482" s="36" t="str">
        <f t="shared" si="93"/>
        <v>Dia útil</v>
      </c>
      <c r="F1482" s="36" t="str">
        <f t="shared" si="91"/>
        <v>Dia útil</v>
      </c>
      <c r="G1482" s="36" t="str">
        <f t="shared" si="92"/>
        <v>Dia útil</v>
      </c>
    </row>
    <row r="1483" spans="2:7" ht="12" customHeight="1">
      <c r="B1483" s="43">
        <v>1462</v>
      </c>
      <c r="C1483" s="44">
        <v>46023</v>
      </c>
      <c r="D1483" s="36">
        <f t="shared" si="90"/>
        <v>5</v>
      </c>
      <c r="E1483" s="36" t="str">
        <f t="shared" si="93"/>
        <v>Dia útil</v>
      </c>
      <c r="F1483" s="36" t="str">
        <f t="shared" si="91"/>
        <v>Dia útil</v>
      </c>
      <c r="G1483" s="36" t="str">
        <f t="shared" si="92"/>
        <v>Dia útil</v>
      </c>
    </row>
    <row r="1484" spans="2:7" ht="12" customHeight="1">
      <c r="B1484" s="43">
        <v>1463</v>
      </c>
      <c r="C1484" s="44">
        <v>46024</v>
      </c>
      <c r="D1484" s="36">
        <f t="shared" si="90"/>
        <v>6</v>
      </c>
      <c r="E1484" s="36" t="str">
        <f t="shared" si="93"/>
        <v>Dia útil</v>
      </c>
      <c r="F1484" s="36" t="str">
        <f t="shared" si="91"/>
        <v>Dia útil</v>
      </c>
      <c r="G1484" s="36" t="str">
        <f t="shared" si="92"/>
        <v>Dia útil</v>
      </c>
    </row>
    <row r="1485" spans="2:7" ht="12" customHeight="1">
      <c r="B1485" s="43">
        <v>1464</v>
      </c>
      <c r="C1485" s="44">
        <v>46025</v>
      </c>
      <c r="D1485" s="36">
        <f t="shared" si="90"/>
        <v>7</v>
      </c>
      <c r="E1485" s="36" t="str">
        <f t="shared" si="93"/>
        <v>Sáb</v>
      </c>
      <c r="F1485" s="36" t="str">
        <f t="shared" si="91"/>
        <v>Sáb</v>
      </c>
      <c r="G1485" s="36" t="str">
        <f t="shared" si="92"/>
        <v>Sáb</v>
      </c>
    </row>
    <row r="1486" spans="2:7" ht="12" customHeight="1">
      <c r="B1486" s="43">
        <v>1465</v>
      </c>
      <c r="C1486" s="44">
        <v>46026</v>
      </c>
      <c r="D1486" s="36">
        <f t="shared" si="90"/>
        <v>1</v>
      </c>
      <c r="E1486" s="36" t="str">
        <f t="shared" si="93"/>
        <v>Dom</v>
      </c>
      <c r="F1486" s="36" t="str">
        <f t="shared" si="91"/>
        <v>Dom</v>
      </c>
      <c r="G1486" s="36" t="str">
        <f t="shared" si="92"/>
        <v>Dom</v>
      </c>
    </row>
    <row r="1487" spans="2:7" ht="12" customHeight="1">
      <c r="B1487" s="43">
        <v>1466</v>
      </c>
      <c r="C1487" s="44">
        <v>46027</v>
      </c>
      <c r="D1487" s="36">
        <f t="shared" si="90"/>
        <v>2</v>
      </c>
      <c r="E1487" s="36" t="str">
        <f t="shared" si="93"/>
        <v>Dia útil</v>
      </c>
      <c r="F1487" s="36" t="str">
        <f t="shared" si="91"/>
        <v>Dia útil</v>
      </c>
      <c r="G1487" s="36" t="str">
        <f t="shared" si="92"/>
        <v>Dia útil</v>
      </c>
    </row>
    <row r="1488" spans="2:7" ht="12" customHeight="1">
      <c r="B1488" s="43">
        <v>1467</v>
      </c>
      <c r="C1488" s="44">
        <v>46028</v>
      </c>
      <c r="D1488" s="36">
        <f t="shared" si="90"/>
        <v>3</v>
      </c>
      <c r="E1488" s="36" t="str">
        <f t="shared" si="93"/>
        <v>Dia útil</v>
      </c>
      <c r="F1488" s="36" t="str">
        <f t="shared" si="91"/>
        <v>Dia útil</v>
      </c>
      <c r="G1488" s="36" t="str">
        <f t="shared" si="92"/>
        <v>Dia útil</v>
      </c>
    </row>
    <row r="1489" spans="2:7" ht="12" customHeight="1">
      <c r="B1489" s="43">
        <v>1468</v>
      </c>
      <c r="C1489" s="44">
        <v>46029</v>
      </c>
      <c r="D1489" s="36">
        <f t="shared" si="90"/>
        <v>4</v>
      </c>
      <c r="E1489" s="36" t="str">
        <f t="shared" si="93"/>
        <v>Dia útil</v>
      </c>
      <c r="F1489" s="36" t="str">
        <f t="shared" si="91"/>
        <v>Dia útil</v>
      </c>
      <c r="G1489" s="36" t="str">
        <f t="shared" si="92"/>
        <v>Dia útil</v>
      </c>
    </row>
    <row r="1490" spans="2:7" ht="12" customHeight="1">
      <c r="B1490" s="43">
        <v>1469</v>
      </c>
      <c r="C1490" s="44">
        <v>46030</v>
      </c>
      <c r="D1490" s="36">
        <f t="shared" si="90"/>
        <v>5</v>
      </c>
      <c r="E1490" s="36" t="str">
        <f t="shared" si="93"/>
        <v>Dia útil</v>
      </c>
      <c r="F1490" s="36" t="str">
        <f t="shared" si="91"/>
        <v>Dia útil</v>
      </c>
      <c r="G1490" s="36" t="str">
        <f t="shared" si="92"/>
        <v>Dia útil</v>
      </c>
    </row>
    <row r="1491" spans="2:7" ht="12" customHeight="1">
      <c r="B1491" s="43">
        <v>1470</v>
      </c>
      <c r="C1491" s="44">
        <v>46031</v>
      </c>
      <c r="D1491" s="36">
        <f t="shared" si="90"/>
        <v>6</v>
      </c>
      <c r="E1491" s="36" t="str">
        <f t="shared" si="93"/>
        <v>Dia útil</v>
      </c>
      <c r="F1491" s="36" t="str">
        <f t="shared" si="91"/>
        <v>Dia útil</v>
      </c>
      <c r="G1491" s="36" t="str">
        <f t="shared" si="92"/>
        <v>Dia útil</v>
      </c>
    </row>
    <row r="1492" spans="2:7" ht="12" customHeight="1">
      <c r="B1492" s="43">
        <v>1471</v>
      </c>
      <c r="C1492" s="44">
        <v>46032</v>
      </c>
      <c r="D1492" s="36">
        <f t="shared" si="90"/>
        <v>7</v>
      </c>
      <c r="E1492" s="36" t="str">
        <f t="shared" si="93"/>
        <v>Sáb</v>
      </c>
      <c r="F1492" s="36" t="str">
        <f t="shared" si="91"/>
        <v>Sáb</v>
      </c>
      <c r="G1492" s="36" t="str">
        <f t="shared" si="92"/>
        <v>Sáb</v>
      </c>
    </row>
    <row r="1493" spans="2:7" ht="12" customHeight="1">
      <c r="B1493" s="43">
        <v>1472</v>
      </c>
      <c r="C1493" s="44">
        <v>46033</v>
      </c>
      <c r="D1493" s="36">
        <f t="shared" si="90"/>
        <v>1</v>
      </c>
      <c r="E1493" s="36" t="str">
        <f t="shared" si="93"/>
        <v>Dom</v>
      </c>
      <c r="F1493" s="36" t="str">
        <f t="shared" si="91"/>
        <v>Dom</v>
      </c>
      <c r="G1493" s="36" t="str">
        <f t="shared" si="92"/>
        <v>Dom</v>
      </c>
    </row>
    <row r="1494" spans="2:7" ht="12" customHeight="1">
      <c r="B1494" s="43">
        <v>1473</v>
      </c>
      <c r="C1494" s="44">
        <v>46034</v>
      </c>
      <c r="D1494" s="36">
        <f t="shared" si="90"/>
        <v>2</v>
      </c>
      <c r="E1494" s="36" t="str">
        <f t="shared" si="93"/>
        <v>Dia útil</v>
      </c>
      <c r="F1494" s="36" t="str">
        <f t="shared" si="91"/>
        <v>Dia útil</v>
      </c>
      <c r="G1494" s="36" t="str">
        <f t="shared" si="92"/>
        <v>Dia útil</v>
      </c>
    </row>
    <row r="1495" spans="2:7" ht="12" customHeight="1">
      <c r="B1495" s="43">
        <v>1474</v>
      </c>
      <c r="C1495" s="44">
        <v>46035</v>
      </c>
      <c r="D1495" s="36">
        <f t="shared" ref="D1495:D1558" si="94">WEEKDAY(C1495,1)</f>
        <v>3</v>
      </c>
      <c r="E1495" s="36" t="str">
        <f t="shared" si="93"/>
        <v>Dia útil</v>
      </c>
      <c r="F1495" s="36" t="str">
        <f t="shared" ref="F1495:F1558" si="95">E1495</f>
        <v>Dia útil</v>
      </c>
      <c r="G1495" s="36" t="str">
        <f t="shared" ref="G1495:G1558" si="96">IF(AND(F1495="Feriado",OR(E1495="Sáb",E1495="Dom")),E1495,IF(AND(F1495="Feriado",E1495="Dia útil"),"Feriado",E1495))</f>
        <v>Dia útil</v>
      </c>
    </row>
    <row r="1496" spans="2:7" ht="12" customHeight="1">
      <c r="B1496" s="43">
        <v>1475</v>
      </c>
      <c r="C1496" s="44">
        <v>46036</v>
      </c>
      <c r="D1496" s="36">
        <f t="shared" si="94"/>
        <v>4</v>
      </c>
      <c r="E1496" s="36" t="str">
        <f t="shared" si="93"/>
        <v>Dia útil</v>
      </c>
      <c r="F1496" s="36" t="str">
        <f t="shared" si="95"/>
        <v>Dia útil</v>
      </c>
      <c r="G1496" s="36" t="str">
        <f t="shared" si="96"/>
        <v>Dia útil</v>
      </c>
    </row>
    <row r="1497" spans="2:7" ht="12" customHeight="1">
      <c r="B1497" s="43">
        <v>1476</v>
      </c>
      <c r="C1497" s="44">
        <v>46037</v>
      </c>
      <c r="D1497" s="36">
        <f t="shared" si="94"/>
        <v>5</v>
      </c>
      <c r="E1497" s="36" t="str">
        <f t="shared" ref="E1497:E1560" si="97">IF(D1497=1,"Dom",IF(D1497=7,"Sáb","Dia útil"))</f>
        <v>Dia útil</v>
      </c>
      <c r="F1497" s="36" t="str">
        <f t="shared" si="95"/>
        <v>Dia útil</v>
      </c>
      <c r="G1497" s="36" t="str">
        <f t="shared" si="96"/>
        <v>Dia útil</v>
      </c>
    </row>
    <row r="1498" spans="2:7" ht="12" customHeight="1">
      <c r="B1498" s="43">
        <v>1477</v>
      </c>
      <c r="C1498" s="44">
        <v>46038</v>
      </c>
      <c r="D1498" s="36">
        <f t="shared" si="94"/>
        <v>6</v>
      </c>
      <c r="E1498" s="36" t="str">
        <f t="shared" si="97"/>
        <v>Dia útil</v>
      </c>
      <c r="F1498" s="36" t="str">
        <f t="shared" si="95"/>
        <v>Dia útil</v>
      </c>
      <c r="G1498" s="36" t="str">
        <f t="shared" si="96"/>
        <v>Dia útil</v>
      </c>
    </row>
    <row r="1499" spans="2:7" ht="12" customHeight="1">
      <c r="B1499" s="43">
        <v>1478</v>
      </c>
      <c r="C1499" s="44">
        <v>46039</v>
      </c>
      <c r="D1499" s="36">
        <f t="shared" si="94"/>
        <v>7</v>
      </c>
      <c r="E1499" s="36" t="str">
        <f t="shared" si="97"/>
        <v>Sáb</v>
      </c>
      <c r="F1499" s="36" t="str">
        <f t="shared" si="95"/>
        <v>Sáb</v>
      </c>
      <c r="G1499" s="36" t="str">
        <f t="shared" si="96"/>
        <v>Sáb</v>
      </c>
    </row>
    <row r="1500" spans="2:7" ht="12" customHeight="1">
      <c r="B1500" s="43">
        <v>1479</v>
      </c>
      <c r="C1500" s="44">
        <v>46040</v>
      </c>
      <c r="D1500" s="36">
        <f t="shared" si="94"/>
        <v>1</v>
      </c>
      <c r="E1500" s="36" t="str">
        <f t="shared" si="97"/>
        <v>Dom</v>
      </c>
      <c r="F1500" s="36" t="str">
        <f t="shared" si="95"/>
        <v>Dom</v>
      </c>
      <c r="G1500" s="36" t="str">
        <f t="shared" si="96"/>
        <v>Dom</v>
      </c>
    </row>
    <row r="1501" spans="2:7" ht="12" customHeight="1">
      <c r="B1501" s="43">
        <v>1480</v>
      </c>
      <c r="C1501" s="44">
        <v>46041</v>
      </c>
      <c r="D1501" s="36">
        <f t="shared" si="94"/>
        <v>2</v>
      </c>
      <c r="E1501" s="36" t="str">
        <f t="shared" si="97"/>
        <v>Dia útil</v>
      </c>
      <c r="F1501" s="36" t="str">
        <f t="shared" si="95"/>
        <v>Dia útil</v>
      </c>
      <c r="G1501" s="36" t="str">
        <f t="shared" si="96"/>
        <v>Dia útil</v>
      </c>
    </row>
    <row r="1502" spans="2:7" ht="12" customHeight="1">
      <c r="B1502" s="43">
        <v>1481</v>
      </c>
      <c r="C1502" s="44">
        <v>46042</v>
      </c>
      <c r="D1502" s="36">
        <f t="shared" si="94"/>
        <v>3</v>
      </c>
      <c r="E1502" s="36" t="str">
        <f t="shared" si="97"/>
        <v>Dia útil</v>
      </c>
      <c r="F1502" s="36" t="str">
        <f t="shared" si="95"/>
        <v>Dia útil</v>
      </c>
      <c r="G1502" s="36" t="str">
        <f t="shared" si="96"/>
        <v>Dia útil</v>
      </c>
    </row>
    <row r="1503" spans="2:7" ht="12" customHeight="1">
      <c r="B1503" s="43">
        <v>1482</v>
      </c>
      <c r="C1503" s="44">
        <v>46043</v>
      </c>
      <c r="D1503" s="36">
        <f t="shared" si="94"/>
        <v>4</v>
      </c>
      <c r="E1503" s="36" t="str">
        <f t="shared" si="97"/>
        <v>Dia útil</v>
      </c>
      <c r="F1503" s="36" t="str">
        <f t="shared" si="95"/>
        <v>Dia útil</v>
      </c>
      <c r="G1503" s="36" t="str">
        <f t="shared" si="96"/>
        <v>Dia útil</v>
      </c>
    </row>
    <row r="1504" spans="2:7" ht="12" customHeight="1">
      <c r="B1504" s="43">
        <v>1483</v>
      </c>
      <c r="C1504" s="44">
        <v>46044</v>
      </c>
      <c r="D1504" s="36">
        <f t="shared" si="94"/>
        <v>5</v>
      </c>
      <c r="E1504" s="36" t="str">
        <f t="shared" si="97"/>
        <v>Dia útil</v>
      </c>
      <c r="F1504" s="36" t="str">
        <f t="shared" si="95"/>
        <v>Dia útil</v>
      </c>
      <c r="G1504" s="36" t="str">
        <f t="shared" si="96"/>
        <v>Dia útil</v>
      </c>
    </row>
    <row r="1505" spans="2:7" ht="12" customHeight="1">
      <c r="B1505" s="43">
        <v>1484</v>
      </c>
      <c r="C1505" s="44">
        <v>46045</v>
      </c>
      <c r="D1505" s="36">
        <f t="shared" si="94"/>
        <v>6</v>
      </c>
      <c r="E1505" s="36" t="str">
        <f t="shared" si="97"/>
        <v>Dia útil</v>
      </c>
      <c r="F1505" s="36" t="str">
        <f t="shared" si="95"/>
        <v>Dia útil</v>
      </c>
      <c r="G1505" s="36" t="str">
        <f t="shared" si="96"/>
        <v>Dia útil</v>
      </c>
    </row>
    <row r="1506" spans="2:7" ht="12" customHeight="1">
      <c r="B1506" s="43">
        <v>1485</v>
      </c>
      <c r="C1506" s="44">
        <v>46046</v>
      </c>
      <c r="D1506" s="36">
        <f t="shared" si="94"/>
        <v>7</v>
      </c>
      <c r="E1506" s="36" t="str">
        <f t="shared" si="97"/>
        <v>Sáb</v>
      </c>
      <c r="F1506" s="36" t="str">
        <f t="shared" si="95"/>
        <v>Sáb</v>
      </c>
      <c r="G1506" s="36" t="str">
        <f t="shared" si="96"/>
        <v>Sáb</v>
      </c>
    </row>
    <row r="1507" spans="2:7" ht="12" customHeight="1">
      <c r="B1507" s="43">
        <v>1486</v>
      </c>
      <c r="C1507" s="44">
        <v>46047</v>
      </c>
      <c r="D1507" s="36">
        <f t="shared" si="94"/>
        <v>1</v>
      </c>
      <c r="E1507" s="36" t="str">
        <f t="shared" si="97"/>
        <v>Dom</v>
      </c>
      <c r="F1507" s="36" t="str">
        <f t="shared" si="95"/>
        <v>Dom</v>
      </c>
      <c r="G1507" s="36" t="str">
        <f t="shared" si="96"/>
        <v>Dom</v>
      </c>
    </row>
    <row r="1508" spans="2:7" ht="12" customHeight="1">
      <c r="B1508" s="43">
        <v>1487</v>
      </c>
      <c r="C1508" s="44">
        <v>46048</v>
      </c>
      <c r="D1508" s="36">
        <f t="shared" si="94"/>
        <v>2</v>
      </c>
      <c r="E1508" s="36" t="str">
        <f t="shared" si="97"/>
        <v>Dia útil</v>
      </c>
      <c r="F1508" s="36" t="str">
        <f t="shared" si="95"/>
        <v>Dia útil</v>
      </c>
      <c r="G1508" s="36" t="str">
        <f t="shared" si="96"/>
        <v>Dia útil</v>
      </c>
    </row>
    <row r="1509" spans="2:7" ht="12" customHeight="1">
      <c r="B1509" s="43">
        <v>1488</v>
      </c>
      <c r="C1509" s="44">
        <v>46049</v>
      </c>
      <c r="D1509" s="36">
        <f t="shared" si="94"/>
        <v>3</v>
      </c>
      <c r="E1509" s="36" t="str">
        <f t="shared" si="97"/>
        <v>Dia útil</v>
      </c>
      <c r="F1509" s="36" t="str">
        <f t="shared" si="95"/>
        <v>Dia útil</v>
      </c>
      <c r="G1509" s="36" t="str">
        <f t="shared" si="96"/>
        <v>Dia útil</v>
      </c>
    </row>
    <row r="1510" spans="2:7" ht="12" customHeight="1">
      <c r="B1510" s="43">
        <v>1489</v>
      </c>
      <c r="C1510" s="44">
        <v>46050</v>
      </c>
      <c r="D1510" s="36">
        <f t="shared" si="94"/>
        <v>4</v>
      </c>
      <c r="E1510" s="36" t="str">
        <f t="shared" si="97"/>
        <v>Dia útil</v>
      </c>
      <c r="F1510" s="36" t="str">
        <f t="shared" si="95"/>
        <v>Dia útil</v>
      </c>
      <c r="G1510" s="36" t="str">
        <f t="shared" si="96"/>
        <v>Dia útil</v>
      </c>
    </row>
    <row r="1511" spans="2:7" ht="12" customHeight="1">
      <c r="B1511" s="43">
        <v>1490</v>
      </c>
      <c r="C1511" s="44">
        <v>46051</v>
      </c>
      <c r="D1511" s="36">
        <f t="shared" si="94"/>
        <v>5</v>
      </c>
      <c r="E1511" s="36" t="str">
        <f t="shared" si="97"/>
        <v>Dia útil</v>
      </c>
      <c r="F1511" s="36" t="str">
        <f t="shared" si="95"/>
        <v>Dia útil</v>
      </c>
      <c r="G1511" s="36" t="str">
        <f t="shared" si="96"/>
        <v>Dia útil</v>
      </c>
    </row>
    <row r="1512" spans="2:7" ht="12" customHeight="1">
      <c r="B1512" s="43">
        <v>1491</v>
      </c>
      <c r="C1512" s="44">
        <v>46052</v>
      </c>
      <c r="D1512" s="36">
        <f t="shared" si="94"/>
        <v>6</v>
      </c>
      <c r="E1512" s="36" t="str">
        <f t="shared" si="97"/>
        <v>Dia útil</v>
      </c>
      <c r="F1512" s="36" t="str">
        <f t="shared" si="95"/>
        <v>Dia útil</v>
      </c>
      <c r="G1512" s="36" t="str">
        <f t="shared" si="96"/>
        <v>Dia útil</v>
      </c>
    </row>
    <row r="1513" spans="2:7" ht="12" customHeight="1">
      <c r="B1513" s="43">
        <v>1492</v>
      </c>
      <c r="C1513" s="44">
        <v>46053</v>
      </c>
      <c r="D1513" s="36">
        <f t="shared" si="94"/>
        <v>7</v>
      </c>
      <c r="E1513" s="36" t="str">
        <f t="shared" si="97"/>
        <v>Sáb</v>
      </c>
      <c r="F1513" s="36" t="str">
        <f t="shared" si="95"/>
        <v>Sáb</v>
      </c>
      <c r="G1513" s="36" t="str">
        <f t="shared" si="96"/>
        <v>Sáb</v>
      </c>
    </row>
    <row r="1514" spans="2:7" ht="12" customHeight="1">
      <c r="B1514" s="43">
        <v>1493</v>
      </c>
      <c r="C1514" s="44">
        <v>46054</v>
      </c>
      <c r="D1514" s="36">
        <f t="shared" si="94"/>
        <v>1</v>
      </c>
      <c r="E1514" s="36" t="str">
        <f t="shared" si="97"/>
        <v>Dom</v>
      </c>
      <c r="F1514" s="36" t="str">
        <f t="shared" si="95"/>
        <v>Dom</v>
      </c>
      <c r="G1514" s="36" t="str">
        <f t="shared" si="96"/>
        <v>Dom</v>
      </c>
    </row>
    <row r="1515" spans="2:7" ht="12" customHeight="1">
      <c r="B1515" s="43">
        <v>1494</v>
      </c>
      <c r="C1515" s="44">
        <v>46055</v>
      </c>
      <c r="D1515" s="36">
        <f t="shared" si="94"/>
        <v>2</v>
      </c>
      <c r="E1515" s="36" t="str">
        <f t="shared" si="97"/>
        <v>Dia útil</v>
      </c>
      <c r="F1515" s="36" t="str">
        <f t="shared" si="95"/>
        <v>Dia útil</v>
      </c>
      <c r="G1515" s="36" t="str">
        <f t="shared" si="96"/>
        <v>Dia útil</v>
      </c>
    </row>
    <row r="1516" spans="2:7" ht="12" customHeight="1">
      <c r="B1516" s="43">
        <v>1495</v>
      </c>
      <c r="C1516" s="44">
        <v>46056</v>
      </c>
      <c r="D1516" s="36">
        <f t="shared" si="94"/>
        <v>3</v>
      </c>
      <c r="E1516" s="36" t="str">
        <f t="shared" si="97"/>
        <v>Dia útil</v>
      </c>
      <c r="F1516" s="36" t="str">
        <f t="shared" si="95"/>
        <v>Dia útil</v>
      </c>
      <c r="G1516" s="36" t="str">
        <f t="shared" si="96"/>
        <v>Dia útil</v>
      </c>
    </row>
    <row r="1517" spans="2:7" ht="12" customHeight="1">
      <c r="B1517" s="43">
        <v>1496</v>
      </c>
      <c r="C1517" s="44">
        <v>46057</v>
      </c>
      <c r="D1517" s="36">
        <f t="shared" si="94"/>
        <v>4</v>
      </c>
      <c r="E1517" s="36" t="str">
        <f t="shared" si="97"/>
        <v>Dia útil</v>
      </c>
      <c r="F1517" s="36" t="str">
        <f t="shared" si="95"/>
        <v>Dia útil</v>
      </c>
      <c r="G1517" s="36" t="str">
        <f t="shared" si="96"/>
        <v>Dia útil</v>
      </c>
    </row>
    <row r="1518" spans="2:7" ht="12" customHeight="1">
      <c r="B1518" s="43">
        <v>1497</v>
      </c>
      <c r="C1518" s="44">
        <v>46058</v>
      </c>
      <c r="D1518" s="36">
        <f t="shared" si="94"/>
        <v>5</v>
      </c>
      <c r="E1518" s="36" t="str">
        <f t="shared" si="97"/>
        <v>Dia útil</v>
      </c>
      <c r="F1518" s="36" t="str">
        <f t="shared" si="95"/>
        <v>Dia útil</v>
      </c>
      <c r="G1518" s="36" t="str">
        <f t="shared" si="96"/>
        <v>Dia útil</v>
      </c>
    </row>
    <row r="1519" spans="2:7" ht="12" customHeight="1">
      <c r="B1519" s="43">
        <v>1498</v>
      </c>
      <c r="C1519" s="44">
        <v>46059</v>
      </c>
      <c r="D1519" s="36">
        <f t="shared" si="94"/>
        <v>6</v>
      </c>
      <c r="E1519" s="36" t="str">
        <f t="shared" si="97"/>
        <v>Dia útil</v>
      </c>
      <c r="F1519" s="36" t="str">
        <f t="shared" si="95"/>
        <v>Dia útil</v>
      </c>
      <c r="G1519" s="36" t="str">
        <f t="shared" si="96"/>
        <v>Dia útil</v>
      </c>
    </row>
    <row r="1520" spans="2:7" ht="12" customHeight="1">
      <c r="B1520" s="43">
        <v>1499</v>
      </c>
      <c r="C1520" s="44">
        <v>46060</v>
      </c>
      <c r="D1520" s="36">
        <f t="shared" si="94"/>
        <v>7</v>
      </c>
      <c r="E1520" s="36" t="str">
        <f t="shared" si="97"/>
        <v>Sáb</v>
      </c>
      <c r="F1520" s="36" t="str">
        <f t="shared" si="95"/>
        <v>Sáb</v>
      </c>
      <c r="G1520" s="36" t="str">
        <f t="shared" si="96"/>
        <v>Sáb</v>
      </c>
    </row>
    <row r="1521" spans="2:7" ht="12" customHeight="1">
      <c r="B1521" s="43">
        <v>1500</v>
      </c>
      <c r="C1521" s="44">
        <v>46061</v>
      </c>
      <c r="D1521" s="36">
        <f t="shared" si="94"/>
        <v>1</v>
      </c>
      <c r="E1521" s="36" t="str">
        <f t="shared" si="97"/>
        <v>Dom</v>
      </c>
      <c r="F1521" s="36" t="str">
        <f t="shared" si="95"/>
        <v>Dom</v>
      </c>
      <c r="G1521" s="36" t="str">
        <f t="shared" si="96"/>
        <v>Dom</v>
      </c>
    </row>
    <row r="1522" spans="2:7" ht="12" customHeight="1">
      <c r="B1522" s="43">
        <v>1501</v>
      </c>
      <c r="C1522" s="44">
        <v>46062</v>
      </c>
      <c r="D1522" s="36">
        <f t="shared" si="94"/>
        <v>2</v>
      </c>
      <c r="E1522" s="36" t="str">
        <f t="shared" si="97"/>
        <v>Dia útil</v>
      </c>
      <c r="F1522" s="36" t="str">
        <f t="shared" si="95"/>
        <v>Dia útil</v>
      </c>
      <c r="G1522" s="36" t="str">
        <f t="shared" si="96"/>
        <v>Dia útil</v>
      </c>
    </row>
    <row r="1523" spans="2:7" ht="12" customHeight="1">
      <c r="B1523" s="43">
        <v>1502</v>
      </c>
      <c r="C1523" s="44">
        <v>46063</v>
      </c>
      <c r="D1523" s="36">
        <f t="shared" si="94"/>
        <v>3</v>
      </c>
      <c r="E1523" s="36" t="str">
        <f t="shared" si="97"/>
        <v>Dia útil</v>
      </c>
      <c r="F1523" s="36" t="str">
        <f t="shared" si="95"/>
        <v>Dia útil</v>
      </c>
      <c r="G1523" s="36" t="str">
        <f t="shared" si="96"/>
        <v>Dia útil</v>
      </c>
    </row>
    <row r="1524" spans="2:7" ht="12" customHeight="1">
      <c r="B1524" s="43">
        <v>1503</v>
      </c>
      <c r="C1524" s="44">
        <v>46064</v>
      </c>
      <c r="D1524" s="36">
        <f t="shared" si="94"/>
        <v>4</v>
      </c>
      <c r="E1524" s="36" t="str">
        <f t="shared" si="97"/>
        <v>Dia útil</v>
      </c>
      <c r="F1524" s="36" t="str">
        <f t="shared" si="95"/>
        <v>Dia útil</v>
      </c>
      <c r="G1524" s="36" t="str">
        <f t="shared" si="96"/>
        <v>Dia útil</v>
      </c>
    </row>
    <row r="1525" spans="2:7" ht="12" customHeight="1">
      <c r="B1525" s="43">
        <v>1504</v>
      </c>
      <c r="C1525" s="44">
        <v>46065</v>
      </c>
      <c r="D1525" s="36">
        <f t="shared" si="94"/>
        <v>5</v>
      </c>
      <c r="E1525" s="36" t="str">
        <f t="shared" si="97"/>
        <v>Dia útil</v>
      </c>
      <c r="F1525" s="36" t="str">
        <f t="shared" si="95"/>
        <v>Dia útil</v>
      </c>
      <c r="G1525" s="36" t="str">
        <f t="shared" si="96"/>
        <v>Dia útil</v>
      </c>
    </row>
    <row r="1526" spans="2:7" ht="12" customHeight="1">
      <c r="B1526" s="43">
        <v>1505</v>
      </c>
      <c r="C1526" s="44">
        <v>46066</v>
      </c>
      <c r="D1526" s="36">
        <f t="shared" si="94"/>
        <v>6</v>
      </c>
      <c r="E1526" s="36" t="str">
        <f t="shared" si="97"/>
        <v>Dia útil</v>
      </c>
      <c r="F1526" s="36" t="str">
        <f t="shared" si="95"/>
        <v>Dia útil</v>
      </c>
      <c r="G1526" s="36" t="str">
        <f t="shared" si="96"/>
        <v>Dia útil</v>
      </c>
    </row>
    <row r="1527" spans="2:7" ht="12" customHeight="1">
      <c r="B1527" s="43">
        <v>1506</v>
      </c>
      <c r="C1527" s="44">
        <v>46067</v>
      </c>
      <c r="D1527" s="36">
        <f t="shared" si="94"/>
        <v>7</v>
      </c>
      <c r="E1527" s="36" t="str">
        <f t="shared" si="97"/>
        <v>Sáb</v>
      </c>
      <c r="F1527" s="36" t="str">
        <f t="shared" si="95"/>
        <v>Sáb</v>
      </c>
      <c r="G1527" s="36" t="str">
        <f t="shared" si="96"/>
        <v>Sáb</v>
      </c>
    </row>
    <row r="1528" spans="2:7" ht="12" customHeight="1">
      <c r="B1528" s="43">
        <v>1507</v>
      </c>
      <c r="C1528" s="44">
        <v>46068</v>
      </c>
      <c r="D1528" s="36">
        <f t="shared" si="94"/>
        <v>1</v>
      </c>
      <c r="E1528" s="36" t="str">
        <f t="shared" si="97"/>
        <v>Dom</v>
      </c>
      <c r="F1528" s="36" t="str">
        <f t="shared" si="95"/>
        <v>Dom</v>
      </c>
      <c r="G1528" s="36" t="str">
        <f t="shared" si="96"/>
        <v>Dom</v>
      </c>
    </row>
    <row r="1529" spans="2:7" ht="12" customHeight="1">
      <c r="B1529" s="43">
        <v>1508</v>
      </c>
      <c r="C1529" s="44">
        <v>46069</v>
      </c>
      <c r="D1529" s="36">
        <f t="shared" si="94"/>
        <v>2</v>
      </c>
      <c r="E1529" s="36" t="str">
        <f t="shared" si="97"/>
        <v>Dia útil</v>
      </c>
      <c r="F1529" s="36" t="str">
        <f t="shared" si="95"/>
        <v>Dia útil</v>
      </c>
      <c r="G1529" s="36" t="str">
        <f t="shared" si="96"/>
        <v>Dia útil</v>
      </c>
    </row>
    <row r="1530" spans="2:7" ht="12" customHeight="1">
      <c r="B1530" s="43">
        <v>1509</v>
      </c>
      <c r="C1530" s="44">
        <v>46070</v>
      </c>
      <c r="D1530" s="36">
        <f t="shared" si="94"/>
        <v>3</v>
      </c>
      <c r="E1530" s="36" t="str">
        <f t="shared" si="97"/>
        <v>Dia útil</v>
      </c>
      <c r="F1530" s="36" t="str">
        <f t="shared" si="95"/>
        <v>Dia útil</v>
      </c>
      <c r="G1530" s="36" t="str">
        <f t="shared" si="96"/>
        <v>Dia útil</v>
      </c>
    </row>
    <row r="1531" spans="2:7" ht="12" customHeight="1">
      <c r="B1531" s="43">
        <v>1510</v>
      </c>
      <c r="C1531" s="44">
        <v>46071</v>
      </c>
      <c r="D1531" s="36">
        <f t="shared" si="94"/>
        <v>4</v>
      </c>
      <c r="E1531" s="36" t="str">
        <f t="shared" si="97"/>
        <v>Dia útil</v>
      </c>
      <c r="F1531" s="36" t="str">
        <f t="shared" si="95"/>
        <v>Dia útil</v>
      </c>
      <c r="G1531" s="36" t="str">
        <f t="shared" si="96"/>
        <v>Dia útil</v>
      </c>
    </row>
    <row r="1532" spans="2:7" ht="12" customHeight="1">
      <c r="B1532" s="43">
        <v>1511</v>
      </c>
      <c r="C1532" s="44">
        <v>46072</v>
      </c>
      <c r="D1532" s="36">
        <f t="shared" si="94"/>
        <v>5</v>
      </c>
      <c r="E1532" s="36" t="str">
        <f t="shared" si="97"/>
        <v>Dia útil</v>
      </c>
      <c r="F1532" s="36" t="str">
        <f t="shared" si="95"/>
        <v>Dia útil</v>
      </c>
      <c r="G1532" s="36" t="str">
        <f t="shared" si="96"/>
        <v>Dia útil</v>
      </c>
    </row>
    <row r="1533" spans="2:7" ht="12" customHeight="1">
      <c r="B1533" s="43">
        <v>1512</v>
      </c>
      <c r="C1533" s="44">
        <v>46073</v>
      </c>
      <c r="D1533" s="36">
        <f t="shared" si="94"/>
        <v>6</v>
      </c>
      <c r="E1533" s="36" t="str">
        <f t="shared" si="97"/>
        <v>Dia útil</v>
      </c>
      <c r="F1533" s="36" t="str">
        <f t="shared" si="95"/>
        <v>Dia útil</v>
      </c>
      <c r="G1533" s="36" t="str">
        <f t="shared" si="96"/>
        <v>Dia útil</v>
      </c>
    </row>
    <row r="1534" spans="2:7" ht="12" customHeight="1">
      <c r="B1534" s="43">
        <v>1513</v>
      </c>
      <c r="C1534" s="44">
        <v>46074</v>
      </c>
      <c r="D1534" s="36">
        <f t="shared" si="94"/>
        <v>7</v>
      </c>
      <c r="E1534" s="36" t="str">
        <f t="shared" si="97"/>
        <v>Sáb</v>
      </c>
      <c r="F1534" s="36" t="str">
        <f t="shared" si="95"/>
        <v>Sáb</v>
      </c>
      <c r="G1534" s="36" t="str">
        <f t="shared" si="96"/>
        <v>Sáb</v>
      </c>
    </row>
    <row r="1535" spans="2:7" ht="12" customHeight="1">
      <c r="B1535" s="43">
        <v>1514</v>
      </c>
      <c r="C1535" s="44">
        <v>46075</v>
      </c>
      <c r="D1535" s="36">
        <f t="shared" si="94"/>
        <v>1</v>
      </c>
      <c r="E1535" s="36" t="str">
        <f t="shared" si="97"/>
        <v>Dom</v>
      </c>
      <c r="F1535" s="36" t="str">
        <f t="shared" si="95"/>
        <v>Dom</v>
      </c>
      <c r="G1535" s="36" t="str">
        <f t="shared" si="96"/>
        <v>Dom</v>
      </c>
    </row>
    <row r="1536" spans="2:7" ht="12" customHeight="1">
      <c r="B1536" s="43">
        <v>1515</v>
      </c>
      <c r="C1536" s="44">
        <v>46076</v>
      </c>
      <c r="D1536" s="36">
        <f t="shared" si="94"/>
        <v>2</v>
      </c>
      <c r="E1536" s="36" t="str">
        <f t="shared" si="97"/>
        <v>Dia útil</v>
      </c>
      <c r="F1536" s="36" t="str">
        <f t="shared" si="95"/>
        <v>Dia útil</v>
      </c>
      <c r="G1536" s="36" t="str">
        <f t="shared" si="96"/>
        <v>Dia útil</v>
      </c>
    </row>
    <row r="1537" spans="2:7" ht="12" customHeight="1">
      <c r="B1537" s="43">
        <v>1516</v>
      </c>
      <c r="C1537" s="44">
        <v>46077</v>
      </c>
      <c r="D1537" s="36">
        <f t="shared" si="94"/>
        <v>3</v>
      </c>
      <c r="E1537" s="36" t="str">
        <f t="shared" si="97"/>
        <v>Dia útil</v>
      </c>
      <c r="F1537" s="36" t="str">
        <f t="shared" si="95"/>
        <v>Dia útil</v>
      </c>
      <c r="G1537" s="36" t="str">
        <f t="shared" si="96"/>
        <v>Dia útil</v>
      </c>
    </row>
    <row r="1538" spans="2:7" ht="12" customHeight="1">
      <c r="B1538" s="43">
        <v>1517</v>
      </c>
      <c r="C1538" s="44">
        <v>46078</v>
      </c>
      <c r="D1538" s="36">
        <f t="shared" si="94"/>
        <v>4</v>
      </c>
      <c r="E1538" s="36" t="str">
        <f t="shared" si="97"/>
        <v>Dia útil</v>
      </c>
      <c r="F1538" s="36" t="str">
        <f t="shared" si="95"/>
        <v>Dia útil</v>
      </c>
      <c r="G1538" s="36" t="str">
        <f t="shared" si="96"/>
        <v>Dia útil</v>
      </c>
    </row>
    <row r="1539" spans="2:7" ht="12" customHeight="1">
      <c r="B1539" s="43">
        <v>1518</v>
      </c>
      <c r="C1539" s="44">
        <v>46079</v>
      </c>
      <c r="D1539" s="36">
        <f t="shared" si="94"/>
        <v>5</v>
      </c>
      <c r="E1539" s="36" t="str">
        <f t="shared" si="97"/>
        <v>Dia útil</v>
      </c>
      <c r="F1539" s="36" t="str">
        <f t="shared" si="95"/>
        <v>Dia útil</v>
      </c>
      <c r="G1539" s="36" t="str">
        <f t="shared" si="96"/>
        <v>Dia útil</v>
      </c>
    </row>
    <row r="1540" spans="2:7" ht="12" customHeight="1">
      <c r="B1540" s="43">
        <v>1519</v>
      </c>
      <c r="C1540" s="44">
        <v>46080</v>
      </c>
      <c r="D1540" s="36">
        <f t="shared" si="94"/>
        <v>6</v>
      </c>
      <c r="E1540" s="36" t="str">
        <f t="shared" si="97"/>
        <v>Dia útil</v>
      </c>
      <c r="F1540" s="36" t="str">
        <f t="shared" si="95"/>
        <v>Dia útil</v>
      </c>
      <c r="G1540" s="36" t="str">
        <f t="shared" si="96"/>
        <v>Dia útil</v>
      </c>
    </row>
    <row r="1541" spans="2:7" ht="12" customHeight="1">
      <c r="B1541" s="43">
        <v>1520</v>
      </c>
      <c r="C1541" s="44">
        <v>46081</v>
      </c>
      <c r="D1541" s="36">
        <f t="shared" si="94"/>
        <v>7</v>
      </c>
      <c r="E1541" s="36" t="str">
        <f t="shared" si="97"/>
        <v>Sáb</v>
      </c>
      <c r="F1541" s="36" t="str">
        <f t="shared" si="95"/>
        <v>Sáb</v>
      </c>
      <c r="G1541" s="36" t="str">
        <f t="shared" si="96"/>
        <v>Sáb</v>
      </c>
    </row>
    <row r="1542" spans="2:7" ht="12" customHeight="1">
      <c r="B1542" s="43">
        <v>1521</v>
      </c>
      <c r="C1542" s="44">
        <v>46082</v>
      </c>
      <c r="D1542" s="36">
        <f t="shared" si="94"/>
        <v>1</v>
      </c>
      <c r="E1542" s="36" t="str">
        <f t="shared" si="97"/>
        <v>Dom</v>
      </c>
      <c r="F1542" s="36" t="str">
        <f t="shared" si="95"/>
        <v>Dom</v>
      </c>
      <c r="G1542" s="36" t="str">
        <f t="shared" si="96"/>
        <v>Dom</v>
      </c>
    </row>
    <row r="1543" spans="2:7" ht="12" customHeight="1">
      <c r="B1543" s="43">
        <v>1522</v>
      </c>
      <c r="C1543" s="44">
        <v>46083</v>
      </c>
      <c r="D1543" s="36">
        <f t="shared" si="94"/>
        <v>2</v>
      </c>
      <c r="E1543" s="36" t="str">
        <f t="shared" si="97"/>
        <v>Dia útil</v>
      </c>
      <c r="F1543" s="36" t="str">
        <f t="shared" si="95"/>
        <v>Dia útil</v>
      </c>
      <c r="G1543" s="36" t="str">
        <f t="shared" si="96"/>
        <v>Dia útil</v>
      </c>
    </row>
    <row r="1544" spans="2:7" ht="12" customHeight="1">
      <c r="B1544" s="43">
        <v>1523</v>
      </c>
      <c r="C1544" s="44">
        <v>46084</v>
      </c>
      <c r="D1544" s="36">
        <f t="shared" si="94"/>
        <v>3</v>
      </c>
      <c r="E1544" s="36" t="str">
        <f t="shared" si="97"/>
        <v>Dia útil</v>
      </c>
      <c r="F1544" s="36" t="str">
        <f t="shared" si="95"/>
        <v>Dia útil</v>
      </c>
      <c r="G1544" s="36" t="str">
        <f t="shared" si="96"/>
        <v>Dia útil</v>
      </c>
    </row>
    <row r="1545" spans="2:7" ht="12" customHeight="1">
      <c r="B1545" s="43">
        <v>1524</v>
      </c>
      <c r="C1545" s="44">
        <v>46085</v>
      </c>
      <c r="D1545" s="36">
        <f t="shared" si="94"/>
        <v>4</v>
      </c>
      <c r="E1545" s="36" t="str">
        <f t="shared" si="97"/>
        <v>Dia útil</v>
      </c>
      <c r="F1545" s="36" t="str">
        <f t="shared" si="95"/>
        <v>Dia útil</v>
      </c>
      <c r="G1545" s="36" t="str">
        <f t="shared" si="96"/>
        <v>Dia útil</v>
      </c>
    </row>
    <row r="1546" spans="2:7" ht="12" customHeight="1">
      <c r="B1546" s="43">
        <v>1525</v>
      </c>
      <c r="C1546" s="44">
        <v>46086</v>
      </c>
      <c r="D1546" s="36">
        <f t="shared" si="94"/>
        <v>5</v>
      </c>
      <c r="E1546" s="36" t="str">
        <f t="shared" si="97"/>
        <v>Dia útil</v>
      </c>
      <c r="F1546" s="36" t="str">
        <f t="shared" si="95"/>
        <v>Dia útil</v>
      </c>
      <c r="G1546" s="36" t="str">
        <f t="shared" si="96"/>
        <v>Dia útil</v>
      </c>
    </row>
    <row r="1547" spans="2:7" ht="12" customHeight="1">
      <c r="B1547" s="43">
        <v>1526</v>
      </c>
      <c r="C1547" s="44">
        <v>46087</v>
      </c>
      <c r="D1547" s="36">
        <f t="shared" si="94"/>
        <v>6</v>
      </c>
      <c r="E1547" s="36" t="str">
        <f t="shared" si="97"/>
        <v>Dia útil</v>
      </c>
      <c r="F1547" s="36" t="str">
        <f t="shared" si="95"/>
        <v>Dia útil</v>
      </c>
      <c r="G1547" s="36" t="str">
        <f t="shared" si="96"/>
        <v>Dia útil</v>
      </c>
    </row>
    <row r="1548" spans="2:7" ht="12" customHeight="1">
      <c r="B1548" s="43">
        <v>1527</v>
      </c>
      <c r="C1548" s="44">
        <v>46088</v>
      </c>
      <c r="D1548" s="36">
        <f t="shared" si="94"/>
        <v>7</v>
      </c>
      <c r="E1548" s="36" t="str">
        <f t="shared" si="97"/>
        <v>Sáb</v>
      </c>
      <c r="F1548" s="36" t="str">
        <f t="shared" si="95"/>
        <v>Sáb</v>
      </c>
      <c r="G1548" s="36" t="str">
        <f t="shared" si="96"/>
        <v>Sáb</v>
      </c>
    </row>
    <row r="1549" spans="2:7" ht="12" customHeight="1">
      <c r="B1549" s="43">
        <v>1528</v>
      </c>
      <c r="C1549" s="44">
        <v>46089</v>
      </c>
      <c r="D1549" s="36">
        <f t="shared" si="94"/>
        <v>1</v>
      </c>
      <c r="E1549" s="36" t="str">
        <f t="shared" si="97"/>
        <v>Dom</v>
      </c>
      <c r="F1549" s="36" t="str">
        <f t="shared" si="95"/>
        <v>Dom</v>
      </c>
      <c r="G1549" s="36" t="str">
        <f t="shared" si="96"/>
        <v>Dom</v>
      </c>
    </row>
    <row r="1550" spans="2:7" ht="12" customHeight="1">
      <c r="B1550" s="43">
        <v>1529</v>
      </c>
      <c r="C1550" s="44">
        <v>46090</v>
      </c>
      <c r="D1550" s="36">
        <f t="shared" si="94"/>
        <v>2</v>
      </c>
      <c r="E1550" s="36" t="str">
        <f t="shared" si="97"/>
        <v>Dia útil</v>
      </c>
      <c r="F1550" s="36" t="str">
        <f t="shared" si="95"/>
        <v>Dia útil</v>
      </c>
      <c r="G1550" s="36" t="str">
        <f t="shared" si="96"/>
        <v>Dia útil</v>
      </c>
    </row>
    <row r="1551" spans="2:7" ht="12" customHeight="1">
      <c r="B1551" s="43">
        <v>1530</v>
      </c>
      <c r="C1551" s="44">
        <v>46091</v>
      </c>
      <c r="D1551" s="36">
        <f t="shared" si="94"/>
        <v>3</v>
      </c>
      <c r="E1551" s="36" t="str">
        <f t="shared" si="97"/>
        <v>Dia útil</v>
      </c>
      <c r="F1551" s="36" t="str">
        <f t="shared" si="95"/>
        <v>Dia útil</v>
      </c>
      <c r="G1551" s="36" t="str">
        <f t="shared" si="96"/>
        <v>Dia útil</v>
      </c>
    </row>
    <row r="1552" spans="2:7" ht="12" customHeight="1">
      <c r="B1552" s="43">
        <v>1531</v>
      </c>
      <c r="C1552" s="44">
        <v>46092</v>
      </c>
      <c r="D1552" s="36">
        <f t="shared" si="94"/>
        <v>4</v>
      </c>
      <c r="E1552" s="36" t="str">
        <f t="shared" si="97"/>
        <v>Dia útil</v>
      </c>
      <c r="F1552" s="36" t="str">
        <f t="shared" si="95"/>
        <v>Dia útil</v>
      </c>
      <c r="G1552" s="36" t="str">
        <f t="shared" si="96"/>
        <v>Dia útil</v>
      </c>
    </row>
    <row r="1553" spans="2:7" ht="12" customHeight="1">
      <c r="B1553" s="43">
        <v>1532</v>
      </c>
      <c r="C1553" s="44">
        <v>46093</v>
      </c>
      <c r="D1553" s="36">
        <f t="shared" si="94"/>
        <v>5</v>
      </c>
      <c r="E1553" s="36" t="str">
        <f t="shared" si="97"/>
        <v>Dia útil</v>
      </c>
      <c r="F1553" s="36" t="str">
        <f t="shared" si="95"/>
        <v>Dia útil</v>
      </c>
      <c r="G1553" s="36" t="str">
        <f t="shared" si="96"/>
        <v>Dia útil</v>
      </c>
    </row>
    <row r="1554" spans="2:7" ht="12" customHeight="1">
      <c r="B1554" s="43">
        <v>1533</v>
      </c>
      <c r="C1554" s="44">
        <v>46094</v>
      </c>
      <c r="D1554" s="36">
        <f t="shared" si="94"/>
        <v>6</v>
      </c>
      <c r="E1554" s="36" t="str">
        <f t="shared" si="97"/>
        <v>Dia útil</v>
      </c>
      <c r="F1554" s="36" t="str">
        <f t="shared" si="95"/>
        <v>Dia útil</v>
      </c>
      <c r="G1554" s="36" t="str">
        <f t="shared" si="96"/>
        <v>Dia útil</v>
      </c>
    </row>
    <row r="1555" spans="2:7" ht="12" customHeight="1">
      <c r="B1555" s="43">
        <v>1534</v>
      </c>
      <c r="C1555" s="44">
        <v>46095</v>
      </c>
      <c r="D1555" s="36">
        <f t="shared" si="94"/>
        <v>7</v>
      </c>
      <c r="E1555" s="36" t="str">
        <f t="shared" si="97"/>
        <v>Sáb</v>
      </c>
      <c r="F1555" s="36" t="str">
        <f t="shared" si="95"/>
        <v>Sáb</v>
      </c>
      <c r="G1555" s="36" t="str">
        <f t="shared" si="96"/>
        <v>Sáb</v>
      </c>
    </row>
    <row r="1556" spans="2:7" ht="12" customHeight="1">
      <c r="B1556" s="43">
        <v>1535</v>
      </c>
      <c r="C1556" s="44">
        <v>46096</v>
      </c>
      <c r="D1556" s="36">
        <f t="shared" si="94"/>
        <v>1</v>
      </c>
      <c r="E1556" s="36" t="str">
        <f t="shared" si="97"/>
        <v>Dom</v>
      </c>
      <c r="F1556" s="36" t="str">
        <f t="shared" si="95"/>
        <v>Dom</v>
      </c>
      <c r="G1556" s="36" t="str">
        <f t="shared" si="96"/>
        <v>Dom</v>
      </c>
    </row>
    <row r="1557" spans="2:7" ht="12" customHeight="1">
      <c r="B1557" s="43">
        <v>1536</v>
      </c>
      <c r="C1557" s="44">
        <v>46097</v>
      </c>
      <c r="D1557" s="36">
        <f t="shared" si="94"/>
        <v>2</v>
      </c>
      <c r="E1557" s="36" t="str">
        <f t="shared" si="97"/>
        <v>Dia útil</v>
      </c>
      <c r="F1557" s="36" t="str">
        <f t="shared" si="95"/>
        <v>Dia útil</v>
      </c>
      <c r="G1557" s="36" t="str">
        <f t="shared" si="96"/>
        <v>Dia útil</v>
      </c>
    </row>
    <row r="1558" spans="2:7" ht="12" customHeight="1">
      <c r="B1558" s="43">
        <v>1537</v>
      </c>
      <c r="C1558" s="44">
        <v>46098</v>
      </c>
      <c r="D1558" s="36">
        <f t="shared" si="94"/>
        <v>3</v>
      </c>
      <c r="E1558" s="36" t="str">
        <f t="shared" si="97"/>
        <v>Dia útil</v>
      </c>
      <c r="F1558" s="36" t="str">
        <f t="shared" si="95"/>
        <v>Dia útil</v>
      </c>
      <c r="G1558" s="36" t="str">
        <f t="shared" si="96"/>
        <v>Dia útil</v>
      </c>
    </row>
    <row r="1559" spans="2:7" ht="12" customHeight="1">
      <c r="B1559" s="43">
        <v>1538</v>
      </c>
      <c r="C1559" s="44">
        <v>46099</v>
      </c>
      <c r="D1559" s="36">
        <f t="shared" ref="D1559:D1622" si="98">WEEKDAY(C1559,1)</f>
        <v>4</v>
      </c>
      <c r="E1559" s="36" t="str">
        <f t="shared" si="97"/>
        <v>Dia útil</v>
      </c>
      <c r="F1559" s="36" t="str">
        <f t="shared" ref="F1559:F1622" si="99">E1559</f>
        <v>Dia útil</v>
      </c>
      <c r="G1559" s="36" t="str">
        <f t="shared" ref="G1559:G1622" si="100">IF(AND(F1559="Feriado",OR(E1559="Sáb",E1559="Dom")),E1559,IF(AND(F1559="Feriado",E1559="Dia útil"),"Feriado",E1559))</f>
        <v>Dia útil</v>
      </c>
    </row>
    <row r="1560" spans="2:7" ht="12" customHeight="1">
      <c r="B1560" s="43">
        <v>1539</v>
      </c>
      <c r="C1560" s="44">
        <v>46100</v>
      </c>
      <c r="D1560" s="36">
        <f t="shared" si="98"/>
        <v>5</v>
      </c>
      <c r="E1560" s="36" t="str">
        <f t="shared" si="97"/>
        <v>Dia útil</v>
      </c>
      <c r="F1560" s="36" t="str">
        <f t="shared" si="99"/>
        <v>Dia útil</v>
      </c>
      <c r="G1560" s="36" t="str">
        <f t="shared" si="100"/>
        <v>Dia útil</v>
      </c>
    </row>
    <row r="1561" spans="2:7" ht="12" customHeight="1">
      <c r="B1561" s="43">
        <v>1540</v>
      </c>
      <c r="C1561" s="44">
        <v>46101</v>
      </c>
      <c r="D1561" s="36">
        <f t="shared" si="98"/>
        <v>6</v>
      </c>
      <c r="E1561" s="36" t="str">
        <f t="shared" ref="E1561:E1624" si="101">IF(D1561=1,"Dom",IF(D1561=7,"Sáb","Dia útil"))</f>
        <v>Dia útil</v>
      </c>
      <c r="F1561" s="36" t="str">
        <f t="shared" si="99"/>
        <v>Dia útil</v>
      </c>
      <c r="G1561" s="36" t="str">
        <f t="shared" si="100"/>
        <v>Dia útil</v>
      </c>
    </row>
    <row r="1562" spans="2:7" ht="12" customHeight="1">
      <c r="B1562" s="43">
        <v>1541</v>
      </c>
      <c r="C1562" s="44">
        <v>46102</v>
      </c>
      <c r="D1562" s="36">
        <f t="shared" si="98"/>
        <v>7</v>
      </c>
      <c r="E1562" s="36" t="str">
        <f t="shared" si="101"/>
        <v>Sáb</v>
      </c>
      <c r="F1562" s="36" t="str">
        <f t="shared" si="99"/>
        <v>Sáb</v>
      </c>
      <c r="G1562" s="36" t="str">
        <f t="shared" si="100"/>
        <v>Sáb</v>
      </c>
    </row>
    <row r="1563" spans="2:7" ht="12" customHeight="1">
      <c r="B1563" s="43">
        <v>1542</v>
      </c>
      <c r="C1563" s="44">
        <v>46103</v>
      </c>
      <c r="D1563" s="36">
        <f t="shared" si="98"/>
        <v>1</v>
      </c>
      <c r="E1563" s="36" t="str">
        <f t="shared" si="101"/>
        <v>Dom</v>
      </c>
      <c r="F1563" s="36" t="str">
        <f t="shared" si="99"/>
        <v>Dom</v>
      </c>
      <c r="G1563" s="36" t="str">
        <f t="shared" si="100"/>
        <v>Dom</v>
      </c>
    </row>
    <row r="1564" spans="2:7" ht="12" customHeight="1">
      <c r="B1564" s="43">
        <v>1543</v>
      </c>
      <c r="C1564" s="44">
        <v>46104</v>
      </c>
      <c r="D1564" s="36">
        <f t="shared" si="98"/>
        <v>2</v>
      </c>
      <c r="E1564" s="36" t="str">
        <f t="shared" si="101"/>
        <v>Dia útil</v>
      </c>
      <c r="F1564" s="36" t="str">
        <f t="shared" si="99"/>
        <v>Dia útil</v>
      </c>
      <c r="G1564" s="36" t="str">
        <f t="shared" si="100"/>
        <v>Dia útil</v>
      </c>
    </row>
    <row r="1565" spans="2:7" ht="12" customHeight="1">
      <c r="B1565" s="43">
        <v>1544</v>
      </c>
      <c r="C1565" s="44">
        <v>46105</v>
      </c>
      <c r="D1565" s="36">
        <f t="shared" si="98"/>
        <v>3</v>
      </c>
      <c r="E1565" s="36" t="str">
        <f t="shared" si="101"/>
        <v>Dia útil</v>
      </c>
      <c r="F1565" s="36" t="str">
        <f t="shared" si="99"/>
        <v>Dia útil</v>
      </c>
      <c r="G1565" s="36" t="str">
        <f t="shared" si="100"/>
        <v>Dia útil</v>
      </c>
    </row>
    <row r="1566" spans="2:7" ht="12" customHeight="1">
      <c r="B1566" s="43">
        <v>1545</v>
      </c>
      <c r="C1566" s="44">
        <v>46106</v>
      </c>
      <c r="D1566" s="36">
        <f t="shared" si="98"/>
        <v>4</v>
      </c>
      <c r="E1566" s="36" t="str">
        <f t="shared" si="101"/>
        <v>Dia útil</v>
      </c>
      <c r="F1566" s="36" t="str">
        <f t="shared" si="99"/>
        <v>Dia útil</v>
      </c>
      <c r="G1566" s="36" t="str">
        <f t="shared" si="100"/>
        <v>Dia útil</v>
      </c>
    </row>
    <row r="1567" spans="2:7" ht="12" customHeight="1">
      <c r="B1567" s="43">
        <v>1546</v>
      </c>
      <c r="C1567" s="44">
        <v>46107</v>
      </c>
      <c r="D1567" s="36">
        <f t="shared" si="98"/>
        <v>5</v>
      </c>
      <c r="E1567" s="36" t="str">
        <f t="shared" si="101"/>
        <v>Dia útil</v>
      </c>
      <c r="F1567" s="36" t="str">
        <f t="shared" si="99"/>
        <v>Dia útil</v>
      </c>
      <c r="G1567" s="36" t="str">
        <f t="shared" si="100"/>
        <v>Dia útil</v>
      </c>
    </row>
    <row r="1568" spans="2:7" ht="12" customHeight="1">
      <c r="B1568" s="43">
        <v>1547</v>
      </c>
      <c r="C1568" s="44">
        <v>46108</v>
      </c>
      <c r="D1568" s="36">
        <f t="shared" si="98"/>
        <v>6</v>
      </c>
      <c r="E1568" s="36" t="str">
        <f t="shared" si="101"/>
        <v>Dia útil</v>
      </c>
      <c r="F1568" s="36" t="str">
        <f t="shared" si="99"/>
        <v>Dia útil</v>
      </c>
      <c r="G1568" s="36" t="str">
        <f t="shared" si="100"/>
        <v>Dia útil</v>
      </c>
    </row>
    <row r="1569" spans="2:7" ht="12" customHeight="1">
      <c r="B1569" s="43">
        <v>1548</v>
      </c>
      <c r="C1569" s="44">
        <v>46109</v>
      </c>
      <c r="D1569" s="36">
        <f t="shared" si="98"/>
        <v>7</v>
      </c>
      <c r="E1569" s="36" t="str">
        <f t="shared" si="101"/>
        <v>Sáb</v>
      </c>
      <c r="F1569" s="36" t="str">
        <f t="shared" si="99"/>
        <v>Sáb</v>
      </c>
      <c r="G1569" s="36" t="str">
        <f t="shared" si="100"/>
        <v>Sáb</v>
      </c>
    </row>
    <row r="1570" spans="2:7" ht="12" customHeight="1">
      <c r="B1570" s="43">
        <v>1549</v>
      </c>
      <c r="C1570" s="44">
        <v>46110</v>
      </c>
      <c r="D1570" s="36">
        <f t="shared" si="98"/>
        <v>1</v>
      </c>
      <c r="E1570" s="36" t="str">
        <f t="shared" si="101"/>
        <v>Dom</v>
      </c>
      <c r="F1570" s="36" t="str">
        <f t="shared" si="99"/>
        <v>Dom</v>
      </c>
      <c r="G1570" s="36" t="str">
        <f t="shared" si="100"/>
        <v>Dom</v>
      </c>
    </row>
    <row r="1571" spans="2:7" ht="12" customHeight="1">
      <c r="B1571" s="43">
        <v>1550</v>
      </c>
      <c r="C1571" s="44">
        <v>46111</v>
      </c>
      <c r="D1571" s="36">
        <f t="shared" si="98"/>
        <v>2</v>
      </c>
      <c r="E1571" s="36" t="str">
        <f t="shared" si="101"/>
        <v>Dia útil</v>
      </c>
      <c r="F1571" s="36" t="str">
        <f t="shared" si="99"/>
        <v>Dia útil</v>
      </c>
      <c r="G1571" s="36" t="str">
        <f t="shared" si="100"/>
        <v>Dia útil</v>
      </c>
    </row>
    <row r="1572" spans="2:7" ht="12" customHeight="1">
      <c r="B1572" s="43">
        <v>1551</v>
      </c>
      <c r="C1572" s="44">
        <v>46112</v>
      </c>
      <c r="D1572" s="36">
        <f t="shared" si="98"/>
        <v>3</v>
      </c>
      <c r="E1572" s="36" t="str">
        <f t="shared" si="101"/>
        <v>Dia útil</v>
      </c>
      <c r="F1572" s="36" t="str">
        <f t="shared" si="99"/>
        <v>Dia útil</v>
      </c>
      <c r="G1572" s="36" t="str">
        <f t="shared" si="100"/>
        <v>Dia útil</v>
      </c>
    </row>
    <row r="1573" spans="2:7" ht="12" customHeight="1">
      <c r="B1573" s="43">
        <v>1552</v>
      </c>
      <c r="C1573" s="44">
        <v>46113</v>
      </c>
      <c r="D1573" s="36">
        <f t="shared" si="98"/>
        <v>4</v>
      </c>
      <c r="E1573" s="36" t="str">
        <f t="shared" si="101"/>
        <v>Dia útil</v>
      </c>
      <c r="F1573" s="36" t="str">
        <f t="shared" si="99"/>
        <v>Dia útil</v>
      </c>
      <c r="G1573" s="36" t="str">
        <f t="shared" si="100"/>
        <v>Dia útil</v>
      </c>
    </row>
    <row r="1574" spans="2:7" ht="12" customHeight="1">
      <c r="B1574" s="43">
        <v>1553</v>
      </c>
      <c r="C1574" s="44">
        <v>46114</v>
      </c>
      <c r="D1574" s="36">
        <f t="shared" si="98"/>
        <v>5</v>
      </c>
      <c r="E1574" s="36" t="str">
        <f t="shared" si="101"/>
        <v>Dia útil</v>
      </c>
      <c r="F1574" s="36" t="str">
        <f t="shared" si="99"/>
        <v>Dia útil</v>
      </c>
      <c r="G1574" s="36" t="str">
        <f t="shared" si="100"/>
        <v>Dia útil</v>
      </c>
    </row>
    <row r="1575" spans="2:7" ht="12" customHeight="1">
      <c r="B1575" s="43">
        <v>1554</v>
      </c>
      <c r="C1575" s="44">
        <v>46115</v>
      </c>
      <c r="D1575" s="36">
        <f t="shared" si="98"/>
        <v>6</v>
      </c>
      <c r="E1575" s="36" t="str">
        <f t="shared" si="101"/>
        <v>Dia útil</v>
      </c>
      <c r="F1575" s="46" t="s">
        <v>1725</v>
      </c>
      <c r="G1575" s="36" t="str">
        <f t="shared" si="100"/>
        <v>Feriado</v>
      </c>
    </row>
    <row r="1576" spans="2:7" ht="12" customHeight="1">
      <c r="B1576" s="43">
        <v>1555</v>
      </c>
      <c r="C1576" s="44">
        <v>46116</v>
      </c>
      <c r="D1576" s="36">
        <f t="shared" si="98"/>
        <v>7</v>
      </c>
      <c r="E1576" s="36" t="str">
        <f t="shared" si="101"/>
        <v>Sáb</v>
      </c>
      <c r="F1576" s="36" t="str">
        <f t="shared" si="99"/>
        <v>Sáb</v>
      </c>
      <c r="G1576" s="36" t="str">
        <f t="shared" si="100"/>
        <v>Sáb</v>
      </c>
    </row>
    <row r="1577" spans="2:7" ht="12" customHeight="1">
      <c r="B1577" s="43">
        <v>1556</v>
      </c>
      <c r="C1577" s="44">
        <v>46117</v>
      </c>
      <c r="D1577" s="36">
        <f t="shared" si="98"/>
        <v>1</v>
      </c>
      <c r="E1577" s="36" t="str">
        <f t="shared" si="101"/>
        <v>Dom</v>
      </c>
      <c r="F1577" s="46" t="s">
        <v>1725</v>
      </c>
      <c r="G1577" s="36" t="str">
        <f t="shared" si="100"/>
        <v>Dom</v>
      </c>
    </row>
    <row r="1578" spans="2:7" ht="12" customHeight="1">
      <c r="B1578" s="43">
        <v>1557</v>
      </c>
      <c r="C1578" s="44">
        <v>46118</v>
      </c>
      <c r="D1578" s="36">
        <f t="shared" si="98"/>
        <v>2</v>
      </c>
      <c r="E1578" s="36" t="str">
        <f t="shared" si="101"/>
        <v>Dia útil</v>
      </c>
      <c r="F1578" s="36" t="str">
        <f t="shared" si="99"/>
        <v>Dia útil</v>
      </c>
      <c r="G1578" s="36" t="str">
        <f t="shared" si="100"/>
        <v>Dia útil</v>
      </c>
    </row>
    <row r="1579" spans="2:7" ht="12" customHeight="1">
      <c r="B1579" s="43">
        <v>1558</v>
      </c>
      <c r="C1579" s="44">
        <v>46119</v>
      </c>
      <c r="D1579" s="36">
        <f t="shared" si="98"/>
        <v>3</v>
      </c>
      <c r="E1579" s="36" t="str">
        <f t="shared" si="101"/>
        <v>Dia útil</v>
      </c>
      <c r="F1579" s="36" t="str">
        <f t="shared" si="99"/>
        <v>Dia útil</v>
      </c>
      <c r="G1579" s="36" t="str">
        <f t="shared" si="100"/>
        <v>Dia útil</v>
      </c>
    </row>
    <row r="1580" spans="2:7" ht="12" customHeight="1">
      <c r="B1580" s="43">
        <v>1559</v>
      </c>
      <c r="C1580" s="44">
        <v>46120</v>
      </c>
      <c r="D1580" s="36">
        <f t="shared" si="98"/>
        <v>4</v>
      </c>
      <c r="E1580" s="36" t="str">
        <f t="shared" si="101"/>
        <v>Dia útil</v>
      </c>
      <c r="F1580" s="36" t="str">
        <f t="shared" si="99"/>
        <v>Dia útil</v>
      </c>
      <c r="G1580" s="36" t="str">
        <f t="shared" si="100"/>
        <v>Dia útil</v>
      </c>
    </row>
    <row r="1581" spans="2:7" ht="12" customHeight="1">
      <c r="B1581" s="43">
        <v>1560</v>
      </c>
      <c r="C1581" s="44">
        <v>46121</v>
      </c>
      <c r="D1581" s="36">
        <f t="shared" si="98"/>
        <v>5</v>
      </c>
      <c r="E1581" s="36" t="str">
        <f t="shared" si="101"/>
        <v>Dia útil</v>
      </c>
      <c r="F1581" s="36" t="str">
        <f t="shared" si="99"/>
        <v>Dia útil</v>
      </c>
      <c r="G1581" s="36" t="str">
        <f t="shared" si="100"/>
        <v>Dia útil</v>
      </c>
    </row>
    <row r="1582" spans="2:7" ht="12" customHeight="1">
      <c r="B1582" s="43">
        <v>1561</v>
      </c>
      <c r="C1582" s="44">
        <v>46122</v>
      </c>
      <c r="D1582" s="36">
        <f t="shared" si="98"/>
        <v>6</v>
      </c>
      <c r="E1582" s="36" t="str">
        <f t="shared" si="101"/>
        <v>Dia útil</v>
      </c>
      <c r="F1582" s="36" t="str">
        <f t="shared" si="99"/>
        <v>Dia útil</v>
      </c>
      <c r="G1582" s="36" t="str">
        <f t="shared" si="100"/>
        <v>Dia útil</v>
      </c>
    </row>
    <row r="1583" spans="2:7" ht="12" customHeight="1">
      <c r="B1583" s="43">
        <v>1562</v>
      </c>
      <c r="C1583" s="44">
        <v>46123</v>
      </c>
      <c r="D1583" s="36">
        <f t="shared" si="98"/>
        <v>7</v>
      </c>
      <c r="E1583" s="36" t="str">
        <f t="shared" si="101"/>
        <v>Sáb</v>
      </c>
      <c r="F1583" s="36" t="str">
        <f t="shared" si="99"/>
        <v>Sáb</v>
      </c>
      <c r="G1583" s="36" t="str">
        <f t="shared" si="100"/>
        <v>Sáb</v>
      </c>
    </row>
    <row r="1584" spans="2:7" ht="12" customHeight="1">
      <c r="B1584" s="43">
        <v>1563</v>
      </c>
      <c r="C1584" s="44">
        <v>46124</v>
      </c>
      <c r="D1584" s="36">
        <f t="shared" si="98"/>
        <v>1</v>
      </c>
      <c r="E1584" s="36" t="str">
        <f t="shared" si="101"/>
        <v>Dom</v>
      </c>
      <c r="F1584" s="36" t="str">
        <f t="shared" si="99"/>
        <v>Dom</v>
      </c>
      <c r="G1584" s="36" t="str">
        <f t="shared" si="100"/>
        <v>Dom</v>
      </c>
    </row>
    <row r="1585" spans="2:7" ht="12" customHeight="1">
      <c r="B1585" s="43">
        <v>1564</v>
      </c>
      <c r="C1585" s="44">
        <v>46125</v>
      </c>
      <c r="D1585" s="36">
        <f t="shared" si="98"/>
        <v>2</v>
      </c>
      <c r="E1585" s="36" t="str">
        <f t="shared" si="101"/>
        <v>Dia útil</v>
      </c>
      <c r="F1585" s="36" t="str">
        <f t="shared" si="99"/>
        <v>Dia útil</v>
      </c>
      <c r="G1585" s="36" t="str">
        <f t="shared" si="100"/>
        <v>Dia útil</v>
      </c>
    </row>
    <row r="1586" spans="2:7" ht="12" customHeight="1">
      <c r="B1586" s="43">
        <v>1565</v>
      </c>
      <c r="C1586" s="44">
        <v>46126</v>
      </c>
      <c r="D1586" s="36">
        <f t="shared" si="98"/>
        <v>3</v>
      </c>
      <c r="E1586" s="36" t="str">
        <f t="shared" si="101"/>
        <v>Dia útil</v>
      </c>
      <c r="F1586" s="36" t="str">
        <f t="shared" si="99"/>
        <v>Dia útil</v>
      </c>
      <c r="G1586" s="36" t="str">
        <f t="shared" si="100"/>
        <v>Dia útil</v>
      </c>
    </row>
    <row r="1587" spans="2:7" ht="12" customHeight="1">
      <c r="B1587" s="43">
        <v>1566</v>
      </c>
      <c r="C1587" s="44">
        <v>46127</v>
      </c>
      <c r="D1587" s="36">
        <f t="shared" si="98"/>
        <v>4</v>
      </c>
      <c r="E1587" s="36" t="str">
        <f t="shared" si="101"/>
        <v>Dia útil</v>
      </c>
      <c r="F1587" s="36" t="str">
        <f t="shared" si="99"/>
        <v>Dia útil</v>
      </c>
      <c r="G1587" s="36" t="str">
        <f t="shared" si="100"/>
        <v>Dia útil</v>
      </c>
    </row>
    <row r="1588" spans="2:7" ht="12" customHeight="1">
      <c r="B1588" s="43">
        <v>1567</v>
      </c>
      <c r="C1588" s="44">
        <v>46128</v>
      </c>
      <c r="D1588" s="36">
        <f t="shared" si="98"/>
        <v>5</v>
      </c>
      <c r="E1588" s="36" t="str">
        <f t="shared" si="101"/>
        <v>Dia útil</v>
      </c>
      <c r="F1588" s="36" t="str">
        <f t="shared" si="99"/>
        <v>Dia útil</v>
      </c>
      <c r="G1588" s="36" t="str">
        <f t="shared" si="100"/>
        <v>Dia útil</v>
      </c>
    </row>
    <row r="1589" spans="2:7" ht="12" customHeight="1">
      <c r="B1589" s="43">
        <v>1568</v>
      </c>
      <c r="C1589" s="44">
        <v>46129</v>
      </c>
      <c r="D1589" s="36">
        <f t="shared" si="98"/>
        <v>6</v>
      </c>
      <c r="E1589" s="36" t="str">
        <f t="shared" si="101"/>
        <v>Dia útil</v>
      </c>
      <c r="F1589" s="36" t="str">
        <f t="shared" si="99"/>
        <v>Dia útil</v>
      </c>
      <c r="G1589" s="36" t="str">
        <f t="shared" si="100"/>
        <v>Dia útil</v>
      </c>
    </row>
    <row r="1590" spans="2:7" ht="12" customHeight="1">
      <c r="B1590" s="43">
        <v>1569</v>
      </c>
      <c r="C1590" s="44">
        <v>46130</v>
      </c>
      <c r="D1590" s="36">
        <f t="shared" si="98"/>
        <v>7</v>
      </c>
      <c r="E1590" s="36" t="str">
        <f t="shared" si="101"/>
        <v>Sáb</v>
      </c>
      <c r="F1590" s="36" t="str">
        <f t="shared" si="99"/>
        <v>Sáb</v>
      </c>
      <c r="G1590" s="36" t="str">
        <f t="shared" si="100"/>
        <v>Sáb</v>
      </c>
    </row>
    <row r="1591" spans="2:7" ht="12" customHeight="1">
      <c r="B1591" s="43">
        <v>1570</v>
      </c>
      <c r="C1591" s="44">
        <v>46131</v>
      </c>
      <c r="D1591" s="36">
        <f t="shared" si="98"/>
        <v>1</v>
      </c>
      <c r="E1591" s="36" t="str">
        <f t="shared" si="101"/>
        <v>Dom</v>
      </c>
      <c r="F1591" s="36" t="str">
        <f t="shared" si="99"/>
        <v>Dom</v>
      </c>
      <c r="G1591" s="36" t="str">
        <f t="shared" si="100"/>
        <v>Dom</v>
      </c>
    </row>
    <row r="1592" spans="2:7" ht="12" customHeight="1">
      <c r="B1592" s="43">
        <v>1571</v>
      </c>
      <c r="C1592" s="44">
        <v>46132</v>
      </c>
      <c r="D1592" s="36">
        <f t="shared" si="98"/>
        <v>2</v>
      </c>
      <c r="E1592" s="36" t="str">
        <f t="shared" si="101"/>
        <v>Dia útil</v>
      </c>
      <c r="F1592" s="36" t="str">
        <f t="shared" si="99"/>
        <v>Dia útil</v>
      </c>
      <c r="G1592" s="36" t="str">
        <f t="shared" si="100"/>
        <v>Dia útil</v>
      </c>
    </row>
    <row r="1593" spans="2:7" ht="12" customHeight="1">
      <c r="B1593" s="43">
        <v>1572</v>
      </c>
      <c r="C1593" s="44">
        <v>46133</v>
      </c>
      <c r="D1593" s="36">
        <f t="shared" si="98"/>
        <v>3</v>
      </c>
      <c r="E1593" s="36" t="str">
        <f t="shared" si="101"/>
        <v>Dia útil</v>
      </c>
      <c r="F1593" s="46" t="s">
        <v>1725</v>
      </c>
      <c r="G1593" s="36" t="str">
        <f t="shared" si="100"/>
        <v>Feriado</v>
      </c>
    </row>
    <row r="1594" spans="2:7" ht="12" customHeight="1">
      <c r="B1594" s="43">
        <v>1573</v>
      </c>
      <c r="C1594" s="44">
        <v>46134</v>
      </c>
      <c r="D1594" s="36">
        <f t="shared" si="98"/>
        <v>4</v>
      </c>
      <c r="E1594" s="36" t="str">
        <f t="shared" si="101"/>
        <v>Dia útil</v>
      </c>
      <c r="F1594" s="36" t="str">
        <f t="shared" si="99"/>
        <v>Dia útil</v>
      </c>
      <c r="G1594" s="36" t="str">
        <f t="shared" si="100"/>
        <v>Dia útil</v>
      </c>
    </row>
    <row r="1595" spans="2:7" ht="12" customHeight="1">
      <c r="B1595" s="43">
        <v>1574</v>
      </c>
      <c r="C1595" s="44">
        <v>46135</v>
      </c>
      <c r="D1595" s="36">
        <f t="shared" si="98"/>
        <v>5</v>
      </c>
      <c r="E1595" s="36" t="str">
        <f t="shared" si="101"/>
        <v>Dia útil</v>
      </c>
      <c r="F1595" s="36" t="str">
        <f t="shared" si="99"/>
        <v>Dia útil</v>
      </c>
      <c r="G1595" s="36" t="str">
        <f t="shared" si="100"/>
        <v>Dia útil</v>
      </c>
    </row>
    <row r="1596" spans="2:7" ht="12" customHeight="1">
      <c r="B1596" s="43">
        <v>1575</v>
      </c>
      <c r="C1596" s="44">
        <v>46136</v>
      </c>
      <c r="D1596" s="36">
        <f t="shared" si="98"/>
        <v>6</v>
      </c>
      <c r="E1596" s="36" t="str">
        <f t="shared" si="101"/>
        <v>Dia útil</v>
      </c>
      <c r="F1596" s="36" t="str">
        <f t="shared" si="99"/>
        <v>Dia útil</v>
      </c>
      <c r="G1596" s="36" t="str">
        <f t="shared" si="100"/>
        <v>Dia útil</v>
      </c>
    </row>
    <row r="1597" spans="2:7" ht="12" customHeight="1">
      <c r="B1597" s="43">
        <v>1576</v>
      </c>
      <c r="C1597" s="44">
        <v>46137</v>
      </c>
      <c r="D1597" s="36">
        <f t="shared" si="98"/>
        <v>7</v>
      </c>
      <c r="E1597" s="36" t="str">
        <f t="shared" si="101"/>
        <v>Sáb</v>
      </c>
      <c r="F1597" s="36" t="str">
        <f t="shared" si="99"/>
        <v>Sáb</v>
      </c>
      <c r="G1597" s="36" t="str">
        <f t="shared" si="100"/>
        <v>Sáb</v>
      </c>
    </row>
    <row r="1598" spans="2:7" ht="12" customHeight="1">
      <c r="B1598" s="43">
        <v>1577</v>
      </c>
      <c r="C1598" s="44">
        <v>46138</v>
      </c>
      <c r="D1598" s="36">
        <f t="shared" si="98"/>
        <v>1</v>
      </c>
      <c r="E1598" s="36" t="str">
        <f t="shared" si="101"/>
        <v>Dom</v>
      </c>
      <c r="F1598" s="36" t="str">
        <f t="shared" si="99"/>
        <v>Dom</v>
      </c>
      <c r="G1598" s="36" t="str">
        <f t="shared" si="100"/>
        <v>Dom</v>
      </c>
    </row>
    <row r="1599" spans="2:7" ht="12" customHeight="1">
      <c r="B1599" s="43">
        <v>1578</v>
      </c>
      <c r="C1599" s="44">
        <v>46139</v>
      </c>
      <c r="D1599" s="36">
        <f t="shared" si="98"/>
        <v>2</v>
      </c>
      <c r="E1599" s="36" t="str">
        <f t="shared" si="101"/>
        <v>Dia útil</v>
      </c>
      <c r="F1599" s="36" t="str">
        <f t="shared" si="99"/>
        <v>Dia útil</v>
      </c>
      <c r="G1599" s="36" t="str">
        <f t="shared" si="100"/>
        <v>Dia útil</v>
      </c>
    </row>
    <row r="1600" spans="2:7" ht="12" customHeight="1">
      <c r="B1600" s="43">
        <v>1579</v>
      </c>
      <c r="C1600" s="44">
        <v>46140</v>
      </c>
      <c r="D1600" s="36">
        <f t="shared" si="98"/>
        <v>3</v>
      </c>
      <c r="E1600" s="36" t="str">
        <f t="shared" si="101"/>
        <v>Dia útil</v>
      </c>
      <c r="F1600" s="36" t="str">
        <f t="shared" si="99"/>
        <v>Dia útil</v>
      </c>
      <c r="G1600" s="36" t="str">
        <f t="shared" si="100"/>
        <v>Dia útil</v>
      </c>
    </row>
    <row r="1601" spans="2:7" ht="12" customHeight="1">
      <c r="B1601" s="43">
        <v>1580</v>
      </c>
      <c r="C1601" s="44">
        <v>46141</v>
      </c>
      <c r="D1601" s="36">
        <f t="shared" si="98"/>
        <v>4</v>
      </c>
      <c r="E1601" s="36" t="str">
        <f t="shared" si="101"/>
        <v>Dia útil</v>
      </c>
      <c r="F1601" s="36" t="str">
        <f t="shared" si="99"/>
        <v>Dia útil</v>
      </c>
      <c r="G1601" s="36" t="str">
        <f t="shared" si="100"/>
        <v>Dia útil</v>
      </c>
    </row>
    <row r="1602" spans="2:7" ht="12" customHeight="1">
      <c r="B1602" s="43">
        <v>1581</v>
      </c>
      <c r="C1602" s="44">
        <v>46142</v>
      </c>
      <c r="D1602" s="36">
        <f t="shared" si="98"/>
        <v>5</v>
      </c>
      <c r="E1602" s="36" t="str">
        <f t="shared" si="101"/>
        <v>Dia útil</v>
      </c>
      <c r="F1602" s="36" t="str">
        <f t="shared" si="99"/>
        <v>Dia útil</v>
      </c>
      <c r="G1602" s="36" t="str">
        <f t="shared" si="100"/>
        <v>Dia útil</v>
      </c>
    </row>
    <row r="1603" spans="2:7" ht="12" customHeight="1">
      <c r="B1603" s="43">
        <v>1582</v>
      </c>
      <c r="C1603" s="44">
        <v>46143</v>
      </c>
      <c r="D1603" s="36">
        <f t="shared" si="98"/>
        <v>6</v>
      </c>
      <c r="E1603" s="36" t="str">
        <f t="shared" si="101"/>
        <v>Dia útil</v>
      </c>
      <c r="F1603" s="46" t="s">
        <v>1725</v>
      </c>
      <c r="G1603" s="36" t="str">
        <f t="shared" si="100"/>
        <v>Feriado</v>
      </c>
    </row>
    <row r="1604" spans="2:7" ht="12" customHeight="1">
      <c r="B1604" s="43">
        <v>1583</v>
      </c>
      <c r="C1604" s="44">
        <v>46144</v>
      </c>
      <c r="D1604" s="36">
        <f t="shared" si="98"/>
        <v>7</v>
      </c>
      <c r="E1604" s="36" t="str">
        <f t="shared" si="101"/>
        <v>Sáb</v>
      </c>
      <c r="F1604" s="36" t="str">
        <f t="shared" si="99"/>
        <v>Sáb</v>
      </c>
      <c r="G1604" s="36" t="str">
        <f t="shared" si="100"/>
        <v>Sáb</v>
      </c>
    </row>
    <row r="1605" spans="2:7" ht="12" customHeight="1">
      <c r="B1605" s="43">
        <v>1584</v>
      </c>
      <c r="C1605" s="44">
        <v>46145</v>
      </c>
      <c r="D1605" s="36">
        <f t="shared" si="98"/>
        <v>1</v>
      </c>
      <c r="E1605" s="36" t="str">
        <f t="shared" si="101"/>
        <v>Dom</v>
      </c>
      <c r="F1605" s="36" t="str">
        <f t="shared" si="99"/>
        <v>Dom</v>
      </c>
      <c r="G1605" s="36" t="str">
        <f t="shared" si="100"/>
        <v>Dom</v>
      </c>
    </row>
    <row r="1606" spans="2:7" ht="12" customHeight="1">
      <c r="B1606" s="43">
        <v>1585</v>
      </c>
      <c r="C1606" s="44">
        <v>46146</v>
      </c>
      <c r="D1606" s="36">
        <f t="shared" si="98"/>
        <v>2</v>
      </c>
      <c r="E1606" s="36" t="str">
        <f t="shared" si="101"/>
        <v>Dia útil</v>
      </c>
      <c r="F1606" s="36" t="str">
        <f t="shared" si="99"/>
        <v>Dia útil</v>
      </c>
      <c r="G1606" s="36" t="str">
        <f t="shared" si="100"/>
        <v>Dia útil</v>
      </c>
    </row>
    <row r="1607" spans="2:7" ht="12" customHeight="1">
      <c r="B1607" s="43">
        <v>1586</v>
      </c>
      <c r="C1607" s="44">
        <v>46147</v>
      </c>
      <c r="D1607" s="36">
        <f t="shared" si="98"/>
        <v>3</v>
      </c>
      <c r="E1607" s="36" t="str">
        <f t="shared" si="101"/>
        <v>Dia útil</v>
      </c>
      <c r="F1607" s="36" t="str">
        <f t="shared" si="99"/>
        <v>Dia útil</v>
      </c>
      <c r="G1607" s="36" t="str">
        <f t="shared" si="100"/>
        <v>Dia útil</v>
      </c>
    </row>
    <row r="1608" spans="2:7" ht="12" customHeight="1">
      <c r="B1608" s="43">
        <v>1587</v>
      </c>
      <c r="C1608" s="44">
        <v>46148</v>
      </c>
      <c r="D1608" s="36">
        <f t="shared" si="98"/>
        <v>4</v>
      </c>
      <c r="E1608" s="36" t="str">
        <f t="shared" si="101"/>
        <v>Dia útil</v>
      </c>
      <c r="F1608" s="36" t="str">
        <f t="shared" si="99"/>
        <v>Dia útil</v>
      </c>
      <c r="G1608" s="36" t="str">
        <f t="shared" si="100"/>
        <v>Dia útil</v>
      </c>
    </row>
    <row r="1609" spans="2:7" ht="12" customHeight="1">
      <c r="B1609" s="43">
        <v>1588</v>
      </c>
      <c r="C1609" s="44">
        <v>46149</v>
      </c>
      <c r="D1609" s="36">
        <f t="shared" si="98"/>
        <v>5</v>
      </c>
      <c r="E1609" s="36" t="str">
        <f t="shared" si="101"/>
        <v>Dia útil</v>
      </c>
      <c r="F1609" s="36" t="str">
        <f t="shared" si="99"/>
        <v>Dia útil</v>
      </c>
      <c r="G1609" s="36" t="str">
        <f t="shared" si="100"/>
        <v>Dia útil</v>
      </c>
    </row>
    <row r="1610" spans="2:7" ht="12" customHeight="1">
      <c r="B1610" s="43">
        <v>1589</v>
      </c>
      <c r="C1610" s="44">
        <v>46150</v>
      </c>
      <c r="D1610" s="36">
        <f t="shared" si="98"/>
        <v>6</v>
      </c>
      <c r="E1610" s="36" t="str">
        <f t="shared" si="101"/>
        <v>Dia útil</v>
      </c>
      <c r="F1610" s="36" t="str">
        <f t="shared" si="99"/>
        <v>Dia útil</v>
      </c>
      <c r="G1610" s="36" t="str">
        <f t="shared" si="100"/>
        <v>Dia útil</v>
      </c>
    </row>
    <row r="1611" spans="2:7" ht="12" customHeight="1">
      <c r="B1611" s="43">
        <v>1590</v>
      </c>
      <c r="C1611" s="44">
        <v>46151</v>
      </c>
      <c r="D1611" s="36">
        <f t="shared" si="98"/>
        <v>7</v>
      </c>
      <c r="E1611" s="36" t="str">
        <f t="shared" si="101"/>
        <v>Sáb</v>
      </c>
      <c r="F1611" s="36" t="str">
        <f t="shared" si="99"/>
        <v>Sáb</v>
      </c>
      <c r="G1611" s="36" t="str">
        <f t="shared" si="100"/>
        <v>Sáb</v>
      </c>
    </row>
    <row r="1612" spans="2:7" ht="12" customHeight="1">
      <c r="B1612" s="43">
        <v>1591</v>
      </c>
      <c r="C1612" s="44">
        <v>46152</v>
      </c>
      <c r="D1612" s="36">
        <f t="shared" si="98"/>
        <v>1</v>
      </c>
      <c r="E1612" s="36" t="str">
        <f t="shared" si="101"/>
        <v>Dom</v>
      </c>
      <c r="F1612" s="36" t="str">
        <f t="shared" si="99"/>
        <v>Dom</v>
      </c>
      <c r="G1612" s="36" t="str">
        <f t="shared" si="100"/>
        <v>Dom</v>
      </c>
    </row>
    <row r="1613" spans="2:7" ht="12" customHeight="1">
      <c r="B1613" s="43">
        <v>1592</v>
      </c>
      <c r="C1613" s="44">
        <v>46153</v>
      </c>
      <c r="D1613" s="36">
        <f t="shared" si="98"/>
        <v>2</v>
      </c>
      <c r="E1613" s="36" t="str">
        <f t="shared" si="101"/>
        <v>Dia útil</v>
      </c>
      <c r="F1613" s="36" t="str">
        <f t="shared" si="99"/>
        <v>Dia útil</v>
      </c>
      <c r="G1613" s="36" t="str">
        <f t="shared" si="100"/>
        <v>Dia útil</v>
      </c>
    </row>
    <row r="1614" spans="2:7" ht="12" customHeight="1">
      <c r="B1614" s="43">
        <v>1593</v>
      </c>
      <c r="C1614" s="44">
        <v>46154</v>
      </c>
      <c r="D1614" s="36">
        <f t="shared" si="98"/>
        <v>3</v>
      </c>
      <c r="E1614" s="36" t="str">
        <f t="shared" si="101"/>
        <v>Dia útil</v>
      </c>
      <c r="F1614" s="36" t="str">
        <f t="shared" si="99"/>
        <v>Dia útil</v>
      </c>
      <c r="G1614" s="36" t="str">
        <f t="shared" si="100"/>
        <v>Dia útil</v>
      </c>
    </row>
    <row r="1615" spans="2:7" ht="12" customHeight="1">
      <c r="B1615" s="43">
        <v>1594</v>
      </c>
      <c r="C1615" s="44">
        <v>46155</v>
      </c>
      <c r="D1615" s="36">
        <f t="shared" si="98"/>
        <v>4</v>
      </c>
      <c r="E1615" s="36" t="str">
        <f t="shared" si="101"/>
        <v>Dia útil</v>
      </c>
      <c r="F1615" s="36" t="str">
        <f t="shared" si="99"/>
        <v>Dia útil</v>
      </c>
      <c r="G1615" s="36" t="str">
        <f t="shared" si="100"/>
        <v>Dia útil</v>
      </c>
    </row>
    <row r="1616" spans="2:7" ht="12" customHeight="1">
      <c r="B1616" s="43">
        <v>1595</v>
      </c>
      <c r="C1616" s="44">
        <v>46156</v>
      </c>
      <c r="D1616" s="36">
        <f t="shared" si="98"/>
        <v>5</v>
      </c>
      <c r="E1616" s="36" t="str">
        <f t="shared" si="101"/>
        <v>Dia útil</v>
      </c>
      <c r="F1616" s="36" t="str">
        <f t="shared" si="99"/>
        <v>Dia útil</v>
      </c>
      <c r="G1616" s="36" t="str">
        <f t="shared" si="100"/>
        <v>Dia útil</v>
      </c>
    </row>
    <row r="1617" spans="2:7" ht="12" customHeight="1">
      <c r="B1617" s="43">
        <v>1596</v>
      </c>
      <c r="C1617" s="44">
        <v>46157</v>
      </c>
      <c r="D1617" s="36">
        <f t="shared" si="98"/>
        <v>6</v>
      </c>
      <c r="E1617" s="36" t="str">
        <f t="shared" si="101"/>
        <v>Dia útil</v>
      </c>
      <c r="F1617" s="36" t="str">
        <f t="shared" si="99"/>
        <v>Dia útil</v>
      </c>
      <c r="G1617" s="36" t="str">
        <f t="shared" si="100"/>
        <v>Dia útil</v>
      </c>
    </row>
    <row r="1618" spans="2:7" ht="12" customHeight="1">
      <c r="B1618" s="43">
        <v>1597</v>
      </c>
      <c r="C1618" s="44">
        <v>46158</v>
      </c>
      <c r="D1618" s="36">
        <f t="shared" si="98"/>
        <v>7</v>
      </c>
      <c r="E1618" s="36" t="str">
        <f t="shared" si="101"/>
        <v>Sáb</v>
      </c>
      <c r="F1618" s="36" t="str">
        <f t="shared" si="99"/>
        <v>Sáb</v>
      </c>
      <c r="G1618" s="36" t="str">
        <f t="shared" si="100"/>
        <v>Sáb</v>
      </c>
    </row>
    <row r="1619" spans="2:7" ht="12" customHeight="1">
      <c r="B1619" s="43">
        <v>1598</v>
      </c>
      <c r="C1619" s="44">
        <v>46159</v>
      </c>
      <c r="D1619" s="36">
        <f t="shared" si="98"/>
        <v>1</v>
      </c>
      <c r="E1619" s="36" t="str">
        <f t="shared" si="101"/>
        <v>Dom</v>
      </c>
      <c r="F1619" s="36" t="str">
        <f t="shared" si="99"/>
        <v>Dom</v>
      </c>
      <c r="G1619" s="36" t="str">
        <f t="shared" si="100"/>
        <v>Dom</v>
      </c>
    </row>
    <row r="1620" spans="2:7" ht="12" customHeight="1">
      <c r="B1620" s="43">
        <v>1599</v>
      </c>
      <c r="C1620" s="44">
        <v>46160</v>
      </c>
      <c r="D1620" s="36">
        <f t="shared" si="98"/>
        <v>2</v>
      </c>
      <c r="E1620" s="36" t="str">
        <f t="shared" si="101"/>
        <v>Dia útil</v>
      </c>
      <c r="F1620" s="36" t="str">
        <f t="shared" si="99"/>
        <v>Dia útil</v>
      </c>
      <c r="G1620" s="36" t="str">
        <f t="shared" si="100"/>
        <v>Dia útil</v>
      </c>
    </row>
    <row r="1621" spans="2:7" ht="12" customHeight="1">
      <c r="B1621" s="43">
        <v>1600</v>
      </c>
      <c r="C1621" s="44">
        <v>46161</v>
      </c>
      <c r="D1621" s="36">
        <f t="shared" si="98"/>
        <v>3</v>
      </c>
      <c r="E1621" s="36" t="str">
        <f t="shared" si="101"/>
        <v>Dia útil</v>
      </c>
      <c r="F1621" s="36" t="str">
        <f t="shared" si="99"/>
        <v>Dia útil</v>
      </c>
      <c r="G1621" s="36" t="str">
        <f t="shared" si="100"/>
        <v>Dia útil</v>
      </c>
    </row>
    <row r="1622" spans="2:7" ht="12" customHeight="1">
      <c r="B1622" s="43">
        <v>1601</v>
      </c>
      <c r="C1622" s="44">
        <v>46162</v>
      </c>
      <c r="D1622" s="36">
        <f t="shared" si="98"/>
        <v>4</v>
      </c>
      <c r="E1622" s="36" t="str">
        <f t="shared" si="101"/>
        <v>Dia útil</v>
      </c>
      <c r="F1622" s="36" t="str">
        <f t="shared" si="99"/>
        <v>Dia útil</v>
      </c>
      <c r="G1622" s="36" t="str">
        <f t="shared" si="100"/>
        <v>Dia útil</v>
      </c>
    </row>
    <row r="1623" spans="2:7" ht="12" customHeight="1">
      <c r="B1623" s="43">
        <v>1602</v>
      </c>
      <c r="C1623" s="44">
        <v>46163</v>
      </c>
      <c r="D1623" s="36">
        <f t="shared" ref="D1623:D1686" si="102">WEEKDAY(C1623,1)</f>
        <v>5</v>
      </c>
      <c r="E1623" s="36" t="str">
        <f t="shared" si="101"/>
        <v>Dia útil</v>
      </c>
      <c r="F1623" s="36" t="str">
        <f t="shared" ref="F1623:F1686" si="103">E1623</f>
        <v>Dia útil</v>
      </c>
      <c r="G1623" s="36" t="str">
        <f t="shared" ref="G1623:G1686" si="104">IF(AND(F1623="Feriado",OR(E1623="Sáb",E1623="Dom")),E1623,IF(AND(F1623="Feriado",E1623="Dia útil"),"Feriado",E1623))</f>
        <v>Dia útil</v>
      </c>
    </row>
    <row r="1624" spans="2:7" ht="12" customHeight="1">
      <c r="B1624" s="43">
        <v>1603</v>
      </c>
      <c r="C1624" s="44">
        <v>46164</v>
      </c>
      <c r="D1624" s="36">
        <f t="shared" si="102"/>
        <v>6</v>
      </c>
      <c r="E1624" s="36" t="str">
        <f t="shared" si="101"/>
        <v>Dia útil</v>
      </c>
      <c r="F1624" s="36" t="str">
        <f t="shared" si="103"/>
        <v>Dia útil</v>
      </c>
      <c r="G1624" s="36" t="str">
        <f t="shared" si="104"/>
        <v>Dia útil</v>
      </c>
    </row>
    <row r="1625" spans="2:7" ht="12" customHeight="1">
      <c r="B1625" s="43">
        <v>1604</v>
      </c>
      <c r="C1625" s="44">
        <v>46165</v>
      </c>
      <c r="D1625" s="36">
        <f t="shared" si="102"/>
        <v>7</v>
      </c>
      <c r="E1625" s="36" t="str">
        <f t="shared" ref="E1625:E1688" si="105">IF(D1625=1,"Dom",IF(D1625=7,"Sáb","Dia útil"))</f>
        <v>Sáb</v>
      </c>
      <c r="F1625" s="36" t="str">
        <f t="shared" si="103"/>
        <v>Sáb</v>
      </c>
      <c r="G1625" s="36" t="str">
        <f t="shared" si="104"/>
        <v>Sáb</v>
      </c>
    </row>
    <row r="1626" spans="2:7" ht="12" customHeight="1">
      <c r="B1626" s="43">
        <v>1605</v>
      </c>
      <c r="C1626" s="44">
        <v>46166</v>
      </c>
      <c r="D1626" s="36">
        <f t="shared" si="102"/>
        <v>1</v>
      </c>
      <c r="E1626" s="36" t="str">
        <f t="shared" si="105"/>
        <v>Dom</v>
      </c>
      <c r="F1626" s="36" t="str">
        <f t="shared" si="103"/>
        <v>Dom</v>
      </c>
      <c r="G1626" s="36" t="str">
        <f t="shared" si="104"/>
        <v>Dom</v>
      </c>
    </row>
    <row r="1627" spans="2:7" ht="12" customHeight="1">
      <c r="B1627" s="43">
        <v>1606</v>
      </c>
      <c r="C1627" s="44">
        <v>46167</v>
      </c>
      <c r="D1627" s="36">
        <f t="shared" si="102"/>
        <v>2</v>
      </c>
      <c r="E1627" s="36" t="str">
        <f t="shared" si="105"/>
        <v>Dia útil</v>
      </c>
      <c r="F1627" s="36" t="str">
        <f t="shared" si="103"/>
        <v>Dia útil</v>
      </c>
      <c r="G1627" s="36" t="str">
        <f t="shared" si="104"/>
        <v>Dia útil</v>
      </c>
    </row>
    <row r="1628" spans="2:7" ht="12" customHeight="1">
      <c r="B1628" s="43">
        <v>1607</v>
      </c>
      <c r="C1628" s="44">
        <v>46168</v>
      </c>
      <c r="D1628" s="36">
        <f t="shared" si="102"/>
        <v>3</v>
      </c>
      <c r="E1628" s="36" t="str">
        <f t="shared" si="105"/>
        <v>Dia útil</v>
      </c>
      <c r="F1628" s="36" t="str">
        <f t="shared" si="103"/>
        <v>Dia útil</v>
      </c>
      <c r="G1628" s="36" t="str">
        <f t="shared" si="104"/>
        <v>Dia útil</v>
      </c>
    </row>
    <row r="1629" spans="2:7" ht="12" customHeight="1">
      <c r="B1629" s="43">
        <v>1608</v>
      </c>
      <c r="C1629" s="44">
        <v>46169</v>
      </c>
      <c r="D1629" s="36">
        <f t="shared" si="102"/>
        <v>4</v>
      </c>
      <c r="E1629" s="36" t="str">
        <f t="shared" si="105"/>
        <v>Dia útil</v>
      </c>
      <c r="F1629" s="36" t="str">
        <f t="shared" si="103"/>
        <v>Dia útil</v>
      </c>
      <c r="G1629" s="36" t="str">
        <f t="shared" si="104"/>
        <v>Dia útil</v>
      </c>
    </row>
    <row r="1630" spans="2:7" ht="12" customHeight="1">
      <c r="B1630" s="43">
        <v>1609</v>
      </c>
      <c r="C1630" s="44">
        <v>46170</v>
      </c>
      <c r="D1630" s="36">
        <f t="shared" si="102"/>
        <v>5</v>
      </c>
      <c r="E1630" s="36" t="str">
        <f t="shared" si="105"/>
        <v>Dia útil</v>
      </c>
      <c r="F1630" s="36" t="str">
        <f t="shared" si="103"/>
        <v>Dia útil</v>
      </c>
      <c r="G1630" s="36" t="str">
        <f t="shared" si="104"/>
        <v>Dia útil</v>
      </c>
    </row>
    <row r="1631" spans="2:7" ht="12" customHeight="1">
      <c r="B1631" s="43">
        <v>1610</v>
      </c>
      <c r="C1631" s="44">
        <v>46171</v>
      </c>
      <c r="D1631" s="36">
        <f t="shared" si="102"/>
        <v>6</v>
      </c>
      <c r="E1631" s="36" t="str">
        <f t="shared" si="105"/>
        <v>Dia útil</v>
      </c>
      <c r="F1631" s="36" t="str">
        <f t="shared" si="103"/>
        <v>Dia útil</v>
      </c>
      <c r="G1631" s="36" t="str">
        <f t="shared" si="104"/>
        <v>Dia útil</v>
      </c>
    </row>
    <row r="1632" spans="2:7" ht="12" customHeight="1">
      <c r="B1632" s="43">
        <v>1611</v>
      </c>
      <c r="C1632" s="44">
        <v>46172</v>
      </c>
      <c r="D1632" s="36">
        <f t="shared" si="102"/>
        <v>7</v>
      </c>
      <c r="E1632" s="36" t="str">
        <f t="shared" si="105"/>
        <v>Sáb</v>
      </c>
      <c r="F1632" s="36" t="str">
        <f t="shared" si="103"/>
        <v>Sáb</v>
      </c>
      <c r="G1632" s="36" t="str">
        <f t="shared" si="104"/>
        <v>Sáb</v>
      </c>
    </row>
    <row r="1633" spans="2:7" ht="12" customHeight="1">
      <c r="B1633" s="43">
        <v>1612</v>
      </c>
      <c r="C1633" s="44">
        <v>46173</v>
      </c>
      <c r="D1633" s="36">
        <f t="shared" si="102"/>
        <v>1</v>
      </c>
      <c r="E1633" s="36" t="str">
        <f t="shared" si="105"/>
        <v>Dom</v>
      </c>
      <c r="F1633" s="36" t="str">
        <f t="shared" si="103"/>
        <v>Dom</v>
      </c>
      <c r="G1633" s="36" t="str">
        <f t="shared" si="104"/>
        <v>Dom</v>
      </c>
    </row>
    <row r="1634" spans="2:7" ht="12" customHeight="1">
      <c r="B1634" s="43">
        <v>1613</v>
      </c>
      <c r="C1634" s="44">
        <v>46174</v>
      </c>
      <c r="D1634" s="36">
        <f t="shared" si="102"/>
        <v>2</v>
      </c>
      <c r="E1634" s="36" t="str">
        <f t="shared" si="105"/>
        <v>Dia útil</v>
      </c>
      <c r="F1634" s="36" t="str">
        <f t="shared" si="103"/>
        <v>Dia útil</v>
      </c>
      <c r="G1634" s="36" t="str">
        <f t="shared" si="104"/>
        <v>Dia útil</v>
      </c>
    </row>
    <row r="1635" spans="2:7" ht="12" customHeight="1">
      <c r="B1635" s="43">
        <v>1614</v>
      </c>
      <c r="C1635" s="44">
        <v>46175</v>
      </c>
      <c r="D1635" s="36">
        <f t="shared" si="102"/>
        <v>3</v>
      </c>
      <c r="E1635" s="36" t="str">
        <f t="shared" si="105"/>
        <v>Dia útil</v>
      </c>
      <c r="F1635" s="36" t="str">
        <f t="shared" si="103"/>
        <v>Dia útil</v>
      </c>
      <c r="G1635" s="36" t="str">
        <f t="shared" si="104"/>
        <v>Dia útil</v>
      </c>
    </row>
    <row r="1636" spans="2:7" ht="12" customHeight="1">
      <c r="B1636" s="43">
        <v>1615</v>
      </c>
      <c r="C1636" s="44">
        <v>46176</v>
      </c>
      <c r="D1636" s="36">
        <f t="shared" si="102"/>
        <v>4</v>
      </c>
      <c r="E1636" s="36" t="str">
        <f t="shared" si="105"/>
        <v>Dia útil</v>
      </c>
      <c r="F1636" s="36" t="str">
        <f t="shared" si="103"/>
        <v>Dia útil</v>
      </c>
      <c r="G1636" s="36" t="str">
        <f t="shared" si="104"/>
        <v>Dia útil</v>
      </c>
    </row>
    <row r="1637" spans="2:7" ht="12" customHeight="1">
      <c r="B1637" s="43">
        <v>1616</v>
      </c>
      <c r="C1637" s="44">
        <v>46177</v>
      </c>
      <c r="D1637" s="36">
        <f t="shared" si="102"/>
        <v>5</v>
      </c>
      <c r="E1637" s="36" t="str">
        <f t="shared" si="105"/>
        <v>Dia útil</v>
      </c>
      <c r="F1637" s="36" t="str">
        <f t="shared" si="103"/>
        <v>Dia útil</v>
      </c>
      <c r="G1637" s="36" t="str">
        <f t="shared" si="104"/>
        <v>Dia útil</v>
      </c>
    </row>
    <row r="1638" spans="2:7" ht="12" customHeight="1">
      <c r="B1638" s="43">
        <v>1617</v>
      </c>
      <c r="C1638" s="44">
        <v>46178</v>
      </c>
      <c r="D1638" s="36">
        <f t="shared" si="102"/>
        <v>6</v>
      </c>
      <c r="E1638" s="36" t="str">
        <f t="shared" si="105"/>
        <v>Dia útil</v>
      </c>
      <c r="F1638" s="36" t="str">
        <f t="shared" si="103"/>
        <v>Dia útil</v>
      </c>
      <c r="G1638" s="36" t="str">
        <f t="shared" si="104"/>
        <v>Dia útil</v>
      </c>
    </row>
    <row r="1639" spans="2:7" ht="12" customHeight="1">
      <c r="B1639" s="43">
        <v>1618</v>
      </c>
      <c r="C1639" s="44">
        <v>46179</v>
      </c>
      <c r="D1639" s="36">
        <f t="shared" si="102"/>
        <v>7</v>
      </c>
      <c r="E1639" s="36" t="str">
        <f t="shared" si="105"/>
        <v>Sáb</v>
      </c>
      <c r="F1639" s="36" t="str">
        <f t="shared" si="103"/>
        <v>Sáb</v>
      </c>
      <c r="G1639" s="36" t="str">
        <f t="shared" si="104"/>
        <v>Sáb</v>
      </c>
    </row>
    <row r="1640" spans="2:7" ht="12" customHeight="1">
      <c r="B1640" s="43">
        <v>1619</v>
      </c>
      <c r="C1640" s="44">
        <v>46180</v>
      </c>
      <c r="D1640" s="36">
        <f t="shared" si="102"/>
        <v>1</v>
      </c>
      <c r="E1640" s="36" t="str">
        <f t="shared" si="105"/>
        <v>Dom</v>
      </c>
      <c r="F1640" s="36" t="str">
        <f t="shared" si="103"/>
        <v>Dom</v>
      </c>
      <c r="G1640" s="36" t="str">
        <f t="shared" si="104"/>
        <v>Dom</v>
      </c>
    </row>
    <row r="1641" spans="2:7" ht="12" customHeight="1">
      <c r="B1641" s="43">
        <v>1620</v>
      </c>
      <c r="C1641" s="44">
        <v>46181</v>
      </c>
      <c r="D1641" s="36">
        <f t="shared" si="102"/>
        <v>2</v>
      </c>
      <c r="E1641" s="36" t="str">
        <f t="shared" si="105"/>
        <v>Dia útil</v>
      </c>
      <c r="F1641" s="46" t="s">
        <v>1725</v>
      </c>
      <c r="G1641" s="36" t="str">
        <f t="shared" si="104"/>
        <v>Feriado</v>
      </c>
    </row>
    <row r="1642" spans="2:7" ht="12" customHeight="1">
      <c r="B1642" s="43">
        <v>1621</v>
      </c>
      <c r="C1642" s="44">
        <v>46182</v>
      </c>
      <c r="D1642" s="36">
        <f t="shared" si="102"/>
        <v>3</v>
      </c>
      <c r="E1642" s="36" t="str">
        <f t="shared" si="105"/>
        <v>Dia útil</v>
      </c>
      <c r="F1642" s="36" t="str">
        <f t="shared" si="103"/>
        <v>Dia útil</v>
      </c>
      <c r="G1642" s="36" t="str">
        <f t="shared" si="104"/>
        <v>Dia útil</v>
      </c>
    </row>
    <row r="1643" spans="2:7" ht="12" customHeight="1">
      <c r="B1643" s="43">
        <v>1622</v>
      </c>
      <c r="C1643" s="44">
        <v>46183</v>
      </c>
      <c r="D1643" s="36">
        <f t="shared" si="102"/>
        <v>4</v>
      </c>
      <c r="E1643" s="36" t="str">
        <f t="shared" si="105"/>
        <v>Dia útil</v>
      </c>
      <c r="F1643" s="36" t="str">
        <f t="shared" si="103"/>
        <v>Dia útil</v>
      </c>
      <c r="G1643" s="36" t="str">
        <f t="shared" si="104"/>
        <v>Dia útil</v>
      </c>
    </row>
    <row r="1644" spans="2:7" ht="12" customHeight="1">
      <c r="B1644" s="43">
        <v>1623</v>
      </c>
      <c r="C1644" s="44">
        <v>46184</v>
      </c>
      <c r="D1644" s="36">
        <f t="shared" si="102"/>
        <v>5</v>
      </c>
      <c r="E1644" s="36" t="str">
        <f t="shared" si="105"/>
        <v>Dia útil</v>
      </c>
      <c r="F1644" s="36" t="str">
        <f t="shared" si="103"/>
        <v>Dia útil</v>
      </c>
      <c r="G1644" s="36" t="str">
        <f t="shared" si="104"/>
        <v>Dia útil</v>
      </c>
    </row>
    <row r="1645" spans="2:7" ht="12" customHeight="1">
      <c r="B1645" s="43">
        <v>1624</v>
      </c>
      <c r="C1645" s="44">
        <v>46185</v>
      </c>
      <c r="D1645" s="36">
        <f t="shared" si="102"/>
        <v>6</v>
      </c>
      <c r="E1645" s="36" t="str">
        <f t="shared" si="105"/>
        <v>Dia útil</v>
      </c>
      <c r="F1645" s="36" t="str">
        <f t="shared" si="103"/>
        <v>Dia útil</v>
      </c>
      <c r="G1645" s="36" t="str">
        <f t="shared" si="104"/>
        <v>Dia útil</v>
      </c>
    </row>
    <row r="1646" spans="2:7" ht="12" customHeight="1">
      <c r="B1646" s="43">
        <v>1625</v>
      </c>
      <c r="C1646" s="44">
        <v>46186</v>
      </c>
      <c r="D1646" s="36">
        <f t="shared" si="102"/>
        <v>7</v>
      </c>
      <c r="E1646" s="36" t="str">
        <f t="shared" si="105"/>
        <v>Sáb</v>
      </c>
      <c r="F1646" s="36" t="str">
        <f t="shared" si="103"/>
        <v>Sáb</v>
      </c>
      <c r="G1646" s="36" t="str">
        <f t="shared" si="104"/>
        <v>Sáb</v>
      </c>
    </row>
    <row r="1647" spans="2:7" ht="12" customHeight="1">
      <c r="B1647" s="43">
        <v>1626</v>
      </c>
      <c r="C1647" s="44">
        <v>46187</v>
      </c>
      <c r="D1647" s="36">
        <f t="shared" si="102"/>
        <v>1</v>
      </c>
      <c r="E1647" s="36" t="str">
        <f t="shared" si="105"/>
        <v>Dom</v>
      </c>
      <c r="F1647" s="36" t="str">
        <f t="shared" si="103"/>
        <v>Dom</v>
      </c>
      <c r="G1647" s="36" t="str">
        <f t="shared" si="104"/>
        <v>Dom</v>
      </c>
    </row>
    <row r="1648" spans="2:7" ht="12" customHeight="1">
      <c r="B1648" s="43">
        <v>1627</v>
      </c>
      <c r="C1648" s="44">
        <v>46188</v>
      </c>
      <c r="D1648" s="36">
        <f t="shared" si="102"/>
        <v>2</v>
      </c>
      <c r="E1648" s="36" t="str">
        <f t="shared" si="105"/>
        <v>Dia útil</v>
      </c>
      <c r="F1648" s="36" t="str">
        <f t="shared" si="103"/>
        <v>Dia útil</v>
      </c>
      <c r="G1648" s="36" t="str">
        <f t="shared" si="104"/>
        <v>Dia útil</v>
      </c>
    </row>
    <row r="1649" spans="2:7" ht="12" customHeight="1">
      <c r="B1649" s="43">
        <v>1628</v>
      </c>
      <c r="C1649" s="44">
        <v>46189</v>
      </c>
      <c r="D1649" s="36">
        <f t="shared" si="102"/>
        <v>3</v>
      </c>
      <c r="E1649" s="36" t="str">
        <f t="shared" si="105"/>
        <v>Dia útil</v>
      </c>
      <c r="F1649" s="36" t="str">
        <f t="shared" si="103"/>
        <v>Dia útil</v>
      </c>
      <c r="G1649" s="36" t="str">
        <f t="shared" si="104"/>
        <v>Dia útil</v>
      </c>
    </row>
    <row r="1650" spans="2:7" ht="12" customHeight="1">
      <c r="B1650" s="43">
        <v>1629</v>
      </c>
      <c r="C1650" s="44">
        <v>46190</v>
      </c>
      <c r="D1650" s="36">
        <f t="shared" si="102"/>
        <v>4</v>
      </c>
      <c r="E1650" s="36" t="str">
        <f t="shared" si="105"/>
        <v>Dia útil</v>
      </c>
      <c r="F1650" s="36" t="str">
        <f t="shared" si="103"/>
        <v>Dia útil</v>
      </c>
      <c r="G1650" s="36" t="str">
        <f t="shared" si="104"/>
        <v>Dia útil</v>
      </c>
    </row>
    <row r="1651" spans="2:7" ht="12" customHeight="1">
      <c r="B1651" s="43">
        <v>1630</v>
      </c>
      <c r="C1651" s="44">
        <v>46191</v>
      </c>
      <c r="D1651" s="36">
        <f t="shared" si="102"/>
        <v>5</v>
      </c>
      <c r="E1651" s="36" t="str">
        <f t="shared" si="105"/>
        <v>Dia útil</v>
      </c>
      <c r="F1651" s="36" t="str">
        <f t="shared" si="103"/>
        <v>Dia útil</v>
      </c>
      <c r="G1651" s="36" t="str">
        <f t="shared" si="104"/>
        <v>Dia útil</v>
      </c>
    </row>
    <row r="1652" spans="2:7" ht="12" customHeight="1">
      <c r="B1652" s="43">
        <v>1631</v>
      </c>
      <c r="C1652" s="44">
        <v>46192</v>
      </c>
      <c r="D1652" s="36">
        <f t="shared" si="102"/>
        <v>6</v>
      </c>
      <c r="E1652" s="36" t="str">
        <f t="shared" si="105"/>
        <v>Dia útil</v>
      </c>
      <c r="F1652" s="36" t="str">
        <f t="shared" si="103"/>
        <v>Dia útil</v>
      </c>
      <c r="G1652" s="36" t="str">
        <f t="shared" si="104"/>
        <v>Dia útil</v>
      </c>
    </row>
    <row r="1653" spans="2:7" ht="12" customHeight="1">
      <c r="B1653" s="43">
        <v>1632</v>
      </c>
      <c r="C1653" s="44">
        <v>46193</v>
      </c>
      <c r="D1653" s="36">
        <f t="shared" si="102"/>
        <v>7</v>
      </c>
      <c r="E1653" s="36" t="str">
        <f t="shared" si="105"/>
        <v>Sáb</v>
      </c>
      <c r="F1653" s="36" t="str">
        <f t="shared" si="103"/>
        <v>Sáb</v>
      </c>
      <c r="G1653" s="36" t="str">
        <f t="shared" si="104"/>
        <v>Sáb</v>
      </c>
    </row>
    <row r="1654" spans="2:7" ht="12" customHeight="1">
      <c r="B1654" s="43">
        <v>1633</v>
      </c>
      <c r="C1654" s="44">
        <v>46194</v>
      </c>
      <c r="D1654" s="36">
        <f t="shared" si="102"/>
        <v>1</v>
      </c>
      <c r="E1654" s="36" t="str">
        <f t="shared" si="105"/>
        <v>Dom</v>
      </c>
      <c r="F1654" s="36" t="str">
        <f t="shared" si="103"/>
        <v>Dom</v>
      </c>
      <c r="G1654" s="36" t="str">
        <f t="shared" si="104"/>
        <v>Dom</v>
      </c>
    </row>
    <row r="1655" spans="2:7" ht="12" customHeight="1">
      <c r="B1655" s="43">
        <v>1634</v>
      </c>
      <c r="C1655" s="44">
        <v>46195</v>
      </c>
      <c r="D1655" s="36">
        <f t="shared" si="102"/>
        <v>2</v>
      </c>
      <c r="E1655" s="36" t="str">
        <f t="shared" si="105"/>
        <v>Dia útil</v>
      </c>
      <c r="F1655" s="36" t="str">
        <f t="shared" si="103"/>
        <v>Dia útil</v>
      </c>
      <c r="G1655" s="36" t="str">
        <f t="shared" si="104"/>
        <v>Dia útil</v>
      </c>
    </row>
    <row r="1656" spans="2:7" ht="12" customHeight="1">
      <c r="B1656" s="43">
        <v>1635</v>
      </c>
      <c r="C1656" s="44">
        <v>46196</v>
      </c>
      <c r="D1656" s="36">
        <f t="shared" si="102"/>
        <v>3</v>
      </c>
      <c r="E1656" s="36" t="str">
        <f t="shared" si="105"/>
        <v>Dia útil</v>
      </c>
      <c r="F1656" s="36" t="str">
        <f t="shared" si="103"/>
        <v>Dia útil</v>
      </c>
      <c r="G1656" s="36" t="str">
        <f t="shared" si="104"/>
        <v>Dia útil</v>
      </c>
    </row>
    <row r="1657" spans="2:7" ht="12" customHeight="1">
      <c r="B1657" s="43">
        <v>1636</v>
      </c>
      <c r="C1657" s="44">
        <v>46197</v>
      </c>
      <c r="D1657" s="36">
        <f t="shared" si="102"/>
        <v>4</v>
      </c>
      <c r="E1657" s="36" t="str">
        <f t="shared" si="105"/>
        <v>Dia útil</v>
      </c>
      <c r="F1657" s="36" t="str">
        <f t="shared" si="103"/>
        <v>Dia útil</v>
      </c>
      <c r="G1657" s="36" t="str">
        <f t="shared" si="104"/>
        <v>Dia útil</v>
      </c>
    </row>
    <row r="1658" spans="2:7" ht="12" customHeight="1">
      <c r="B1658" s="43">
        <v>1637</v>
      </c>
      <c r="C1658" s="44">
        <v>46198</v>
      </c>
      <c r="D1658" s="36">
        <f t="shared" si="102"/>
        <v>5</v>
      </c>
      <c r="E1658" s="36" t="str">
        <f t="shared" si="105"/>
        <v>Dia útil</v>
      </c>
      <c r="F1658" s="36" t="str">
        <f t="shared" si="103"/>
        <v>Dia útil</v>
      </c>
      <c r="G1658" s="36" t="str">
        <f t="shared" si="104"/>
        <v>Dia útil</v>
      </c>
    </row>
    <row r="1659" spans="2:7" ht="12" customHeight="1">
      <c r="B1659" s="43">
        <v>1638</v>
      </c>
      <c r="C1659" s="44">
        <v>46199</v>
      </c>
      <c r="D1659" s="36">
        <f t="shared" si="102"/>
        <v>6</v>
      </c>
      <c r="E1659" s="36" t="str">
        <f t="shared" si="105"/>
        <v>Dia útil</v>
      </c>
      <c r="F1659" s="36" t="str">
        <f t="shared" si="103"/>
        <v>Dia útil</v>
      </c>
      <c r="G1659" s="36" t="str">
        <f t="shared" si="104"/>
        <v>Dia útil</v>
      </c>
    </row>
    <row r="1660" spans="2:7" ht="12" customHeight="1">
      <c r="B1660" s="43">
        <v>1639</v>
      </c>
      <c r="C1660" s="44">
        <v>46200</v>
      </c>
      <c r="D1660" s="36">
        <f t="shared" si="102"/>
        <v>7</v>
      </c>
      <c r="E1660" s="36" t="str">
        <f t="shared" si="105"/>
        <v>Sáb</v>
      </c>
      <c r="F1660" s="36" t="str">
        <f t="shared" si="103"/>
        <v>Sáb</v>
      </c>
      <c r="G1660" s="36" t="str">
        <f t="shared" si="104"/>
        <v>Sáb</v>
      </c>
    </row>
    <row r="1661" spans="2:7" ht="12" customHeight="1">
      <c r="B1661" s="43">
        <v>1640</v>
      </c>
      <c r="C1661" s="44">
        <v>46201</v>
      </c>
      <c r="D1661" s="36">
        <f t="shared" si="102"/>
        <v>1</v>
      </c>
      <c r="E1661" s="36" t="str">
        <f t="shared" si="105"/>
        <v>Dom</v>
      </c>
      <c r="F1661" s="36" t="str">
        <f t="shared" si="103"/>
        <v>Dom</v>
      </c>
      <c r="G1661" s="36" t="str">
        <f t="shared" si="104"/>
        <v>Dom</v>
      </c>
    </row>
    <row r="1662" spans="2:7" ht="12" customHeight="1">
      <c r="B1662" s="43">
        <v>1641</v>
      </c>
      <c r="C1662" s="44">
        <v>46202</v>
      </c>
      <c r="D1662" s="36">
        <f t="shared" si="102"/>
        <v>2</v>
      </c>
      <c r="E1662" s="36" t="str">
        <f t="shared" si="105"/>
        <v>Dia útil</v>
      </c>
      <c r="F1662" s="36" t="str">
        <f t="shared" si="103"/>
        <v>Dia útil</v>
      </c>
      <c r="G1662" s="36" t="str">
        <f t="shared" si="104"/>
        <v>Dia útil</v>
      </c>
    </row>
    <row r="1663" spans="2:7" ht="12" customHeight="1">
      <c r="B1663" s="43">
        <v>1642</v>
      </c>
      <c r="C1663" s="44">
        <v>46203</v>
      </c>
      <c r="D1663" s="36">
        <f t="shared" si="102"/>
        <v>3</v>
      </c>
      <c r="E1663" s="36" t="str">
        <f t="shared" si="105"/>
        <v>Dia útil</v>
      </c>
      <c r="F1663" s="36" t="str">
        <f t="shared" si="103"/>
        <v>Dia útil</v>
      </c>
      <c r="G1663" s="36" t="str">
        <f t="shared" si="104"/>
        <v>Dia útil</v>
      </c>
    </row>
    <row r="1664" spans="2:7" ht="12" customHeight="1">
      <c r="B1664" s="43">
        <v>1643</v>
      </c>
      <c r="C1664" s="44">
        <v>46204</v>
      </c>
      <c r="D1664" s="36">
        <f t="shared" si="102"/>
        <v>4</v>
      </c>
      <c r="E1664" s="36" t="str">
        <f t="shared" si="105"/>
        <v>Dia útil</v>
      </c>
      <c r="F1664" s="36" t="str">
        <f t="shared" si="103"/>
        <v>Dia útil</v>
      </c>
      <c r="G1664" s="36" t="str">
        <f t="shared" si="104"/>
        <v>Dia útil</v>
      </c>
    </row>
    <row r="1665" spans="2:7" ht="12" customHeight="1">
      <c r="B1665" s="43">
        <v>1644</v>
      </c>
      <c r="C1665" s="44">
        <v>46205</v>
      </c>
      <c r="D1665" s="36">
        <f t="shared" si="102"/>
        <v>5</v>
      </c>
      <c r="E1665" s="36" t="str">
        <f t="shared" si="105"/>
        <v>Dia útil</v>
      </c>
      <c r="F1665" s="36" t="str">
        <f t="shared" si="103"/>
        <v>Dia útil</v>
      </c>
      <c r="G1665" s="36" t="str">
        <f t="shared" si="104"/>
        <v>Dia útil</v>
      </c>
    </row>
    <row r="1666" spans="2:7" ht="12" customHeight="1">
      <c r="B1666" s="43">
        <v>1645</v>
      </c>
      <c r="C1666" s="44">
        <v>46206</v>
      </c>
      <c r="D1666" s="36">
        <f t="shared" si="102"/>
        <v>6</v>
      </c>
      <c r="E1666" s="36" t="str">
        <f t="shared" si="105"/>
        <v>Dia útil</v>
      </c>
      <c r="F1666" s="36" t="str">
        <f t="shared" si="103"/>
        <v>Dia útil</v>
      </c>
      <c r="G1666" s="36" t="str">
        <f t="shared" si="104"/>
        <v>Dia útil</v>
      </c>
    </row>
    <row r="1667" spans="2:7" ht="12" customHeight="1">
      <c r="B1667" s="43">
        <v>1646</v>
      </c>
      <c r="C1667" s="44">
        <v>46207</v>
      </c>
      <c r="D1667" s="36">
        <f t="shared" si="102"/>
        <v>7</v>
      </c>
      <c r="E1667" s="36" t="str">
        <f t="shared" si="105"/>
        <v>Sáb</v>
      </c>
      <c r="F1667" s="36" t="str">
        <f t="shared" si="103"/>
        <v>Sáb</v>
      </c>
      <c r="G1667" s="36" t="str">
        <f t="shared" si="104"/>
        <v>Sáb</v>
      </c>
    </row>
    <row r="1668" spans="2:7" ht="12" customHeight="1">
      <c r="B1668" s="43">
        <v>1647</v>
      </c>
      <c r="C1668" s="44">
        <v>46208</v>
      </c>
      <c r="D1668" s="36">
        <f t="shared" si="102"/>
        <v>1</v>
      </c>
      <c r="E1668" s="36" t="str">
        <f t="shared" si="105"/>
        <v>Dom</v>
      </c>
      <c r="F1668" s="36" t="str">
        <f t="shared" si="103"/>
        <v>Dom</v>
      </c>
      <c r="G1668" s="36" t="str">
        <f t="shared" si="104"/>
        <v>Dom</v>
      </c>
    </row>
    <row r="1669" spans="2:7" ht="12" customHeight="1">
      <c r="B1669" s="43">
        <v>1648</v>
      </c>
      <c r="C1669" s="44">
        <v>46209</v>
      </c>
      <c r="D1669" s="36">
        <f t="shared" si="102"/>
        <v>2</v>
      </c>
      <c r="E1669" s="36" t="str">
        <f t="shared" si="105"/>
        <v>Dia útil</v>
      </c>
      <c r="F1669" s="36" t="str">
        <f t="shared" si="103"/>
        <v>Dia útil</v>
      </c>
      <c r="G1669" s="36" t="str">
        <f t="shared" si="104"/>
        <v>Dia útil</v>
      </c>
    </row>
    <row r="1670" spans="2:7" ht="12" customHeight="1">
      <c r="B1670" s="43">
        <v>1649</v>
      </c>
      <c r="C1670" s="44">
        <v>46210</v>
      </c>
      <c r="D1670" s="36">
        <f t="shared" si="102"/>
        <v>3</v>
      </c>
      <c r="E1670" s="36" t="str">
        <f t="shared" si="105"/>
        <v>Dia útil</v>
      </c>
      <c r="F1670" s="36" t="str">
        <f t="shared" si="103"/>
        <v>Dia útil</v>
      </c>
      <c r="G1670" s="36" t="str">
        <f t="shared" si="104"/>
        <v>Dia útil</v>
      </c>
    </row>
    <row r="1671" spans="2:7" ht="12" customHeight="1">
      <c r="B1671" s="43">
        <v>1650</v>
      </c>
      <c r="C1671" s="44">
        <v>46211</v>
      </c>
      <c r="D1671" s="36">
        <f t="shared" si="102"/>
        <v>4</v>
      </c>
      <c r="E1671" s="36" t="str">
        <f t="shared" si="105"/>
        <v>Dia útil</v>
      </c>
      <c r="F1671" s="36" t="str">
        <f t="shared" si="103"/>
        <v>Dia útil</v>
      </c>
      <c r="G1671" s="36" t="str">
        <f t="shared" si="104"/>
        <v>Dia útil</v>
      </c>
    </row>
    <row r="1672" spans="2:7" ht="12" customHeight="1">
      <c r="B1672" s="43">
        <v>1651</v>
      </c>
      <c r="C1672" s="44">
        <v>46212</v>
      </c>
      <c r="D1672" s="36">
        <f t="shared" si="102"/>
        <v>5</v>
      </c>
      <c r="E1672" s="36" t="str">
        <f t="shared" si="105"/>
        <v>Dia útil</v>
      </c>
      <c r="F1672" s="36" t="str">
        <f t="shared" si="103"/>
        <v>Dia útil</v>
      </c>
      <c r="G1672" s="36" t="str">
        <f t="shared" si="104"/>
        <v>Dia útil</v>
      </c>
    </row>
    <row r="1673" spans="2:7" ht="12" customHeight="1">
      <c r="B1673" s="43">
        <v>1652</v>
      </c>
      <c r="C1673" s="44">
        <v>46213</v>
      </c>
      <c r="D1673" s="36">
        <f t="shared" si="102"/>
        <v>6</v>
      </c>
      <c r="E1673" s="36" t="str">
        <f t="shared" si="105"/>
        <v>Dia útil</v>
      </c>
      <c r="F1673" s="36" t="str">
        <f t="shared" si="103"/>
        <v>Dia útil</v>
      </c>
      <c r="G1673" s="36" t="str">
        <f t="shared" si="104"/>
        <v>Dia útil</v>
      </c>
    </row>
    <row r="1674" spans="2:7" ht="12" customHeight="1">
      <c r="B1674" s="43">
        <v>1653</v>
      </c>
      <c r="C1674" s="44">
        <v>46214</v>
      </c>
      <c r="D1674" s="36">
        <f t="shared" si="102"/>
        <v>7</v>
      </c>
      <c r="E1674" s="36" t="str">
        <f t="shared" si="105"/>
        <v>Sáb</v>
      </c>
      <c r="F1674" s="36" t="str">
        <f t="shared" si="103"/>
        <v>Sáb</v>
      </c>
      <c r="G1674" s="36" t="str">
        <f t="shared" si="104"/>
        <v>Sáb</v>
      </c>
    </row>
    <row r="1675" spans="2:7" ht="12" customHeight="1">
      <c r="B1675" s="43">
        <v>1654</v>
      </c>
      <c r="C1675" s="44">
        <v>46215</v>
      </c>
      <c r="D1675" s="36">
        <f t="shared" si="102"/>
        <v>1</v>
      </c>
      <c r="E1675" s="36" t="str">
        <f t="shared" si="105"/>
        <v>Dom</v>
      </c>
      <c r="F1675" s="36" t="str">
        <f t="shared" si="103"/>
        <v>Dom</v>
      </c>
      <c r="G1675" s="36" t="str">
        <f t="shared" si="104"/>
        <v>Dom</v>
      </c>
    </row>
    <row r="1676" spans="2:7" ht="12" customHeight="1">
      <c r="B1676" s="43">
        <v>1655</v>
      </c>
      <c r="C1676" s="44">
        <v>46216</v>
      </c>
      <c r="D1676" s="36">
        <f t="shared" si="102"/>
        <v>2</v>
      </c>
      <c r="E1676" s="36" t="str">
        <f t="shared" si="105"/>
        <v>Dia útil</v>
      </c>
      <c r="F1676" s="36" t="str">
        <f t="shared" si="103"/>
        <v>Dia útil</v>
      </c>
      <c r="G1676" s="36" t="str">
        <f t="shared" si="104"/>
        <v>Dia útil</v>
      </c>
    </row>
    <row r="1677" spans="2:7" ht="12" customHeight="1">
      <c r="B1677" s="43">
        <v>1656</v>
      </c>
      <c r="C1677" s="44">
        <v>46217</v>
      </c>
      <c r="D1677" s="36">
        <f t="shared" si="102"/>
        <v>3</v>
      </c>
      <c r="E1677" s="36" t="str">
        <f t="shared" si="105"/>
        <v>Dia útil</v>
      </c>
      <c r="F1677" s="36" t="str">
        <f t="shared" si="103"/>
        <v>Dia útil</v>
      </c>
      <c r="G1677" s="36" t="str">
        <f t="shared" si="104"/>
        <v>Dia útil</v>
      </c>
    </row>
    <row r="1678" spans="2:7" ht="12" customHeight="1">
      <c r="B1678" s="43">
        <v>1657</v>
      </c>
      <c r="C1678" s="44">
        <v>46218</v>
      </c>
      <c r="D1678" s="36">
        <f t="shared" si="102"/>
        <v>4</v>
      </c>
      <c r="E1678" s="36" t="str">
        <f t="shared" si="105"/>
        <v>Dia útil</v>
      </c>
      <c r="F1678" s="36" t="str">
        <f t="shared" si="103"/>
        <v>Dia útil</v>
      </c>
      <c r="G1678" s="36" t="str">
        <f t="shared" si="104"/>
        <v>Dia útil</v>
      </c>
    </row>
    <row r="1679" spans="2:7" ht="12" customHeight="1">
      <c r="B1679" s="43">
        <v>1658</v>
      </c>
      <c r="C1679" s="44">
        <v>46219</v>
      </c>
      <c r="D1679" s="36">
        <f t="shared" si="102"/>
        <v>5</v>
      </c>
      <c r="E1679" s="36" t="str">
        <f t="shared" si="105"/>
        <v>Dia útil</v>
      </c>
      <c r="F1679" s="36" t="str">
        <f t="shared" si="103"/>
        <v>Dia útil</v>
      </c>
      <c r="G1679" s="36" t="str">
        <f t="shared" si="104"/>
        <v>Dia útil</v>
      </c>
    </row>
    <row r="1680" spans="2:7" ht="12" customHeight="1">
      <c r="B1680" s="43">
        <v>1659</v>
      </c>
      <c r="C1680" s="44">
        <v>46220</v>
      </c>
      <c r="D1680" s="36">
        <f t="shared" si="102"/>
        <v>6</v>
      </c>
      <c r="E1680" s="36" t="str">
        <f t="shared" si="105"/>
        <v>Dia útil</v>
      </c>
      <c r="F1680" s="36" t="str">
        <f t="shared" si="103"/>
        <v>Dia útil</v>
      </c>
      <c r="G1680" s="36" t="str">
        <f t="shared" si="104"/>
        <v>Dia útil</v>
      </c>
    </row>
    <row r="1681" spans="2:7" ht="12" customHeight="1">
      <c r="B1681" s="43">
        <v>1660</v>
      </c>
      <c r="C1681" s="44">
        <v>46221</v>
      </c>
      <c r="D1681" s="36">
        <f t="shared" si="102"/>
        <v>7</v>
      </c>
      <c r="E1681" s="36" t="str">
        <f t="shared" si="105"/>
        <v>Sáb</v>
      </c>
      <c r="F1681" s="36" t="str">
        <f t="shared" si="103"/>
        <v>Sáb</v>
      </c>
      <c r="G1681" s="36" t="str">
        <f t="shared" si="104"/>
        <v>Sáb</v>
      </c>
    </row>
    <row r="1682" spans="2:7" ht="12" customHeight="1">
      <c r="B1682" s="43">
        <v>1661</v>
      </c>
      <c r="C1682" s="44">
        <v>46222</v>
      </c>
      <c r="D1682" s="36">
        <f t="shared" si="102"/>
        <v>1</v>
      </c>
      <c r="E1682" s="36" t="str">
        <f t="shared" si="105"/>
        <v>Dom</v>
      </c>
      <c r="F1682" s="36" t="str">
        <f t="shared" si="103"/>
        <v>Dom</v>
      </c>
      <c r="G1682" s="36" t="str">
        <f t="shared" si="104"/>
        <v>Dom</v>
      </c>
    </row>
    <row r="1683" spans="2:7" ht="12" customHeight="1">
      <c r="B1683" s="43">
        <v>1662</v>
      </c>
      <c r="C1683" s="44">
        <v>46223</v>
      </c>
      <c r="D1683" s="36">
        <f t="shared" si="102"/>
        <v>2</v>
      </c>
      <c r="E1683" s="36" t="str">
        <f t="shared" si="105"/>
        <v>Dia útil</v>
      </c>
      <c r="F1683" s="36" t="str">
        <f t="shared" si="103"/>
        <v>Dia útil</v>
      </c>
      <c r="G1683" s="36" t="str">
        <f t="shared" si="104"/>
        <v>Dia útil</v>
      </c>
    </row>
    <row r="1684" spans="2:7" ht="12" customHeight="1">
      <c r="B1684" s="43">
        <v>1663</v>
      </c>
      <c r="C1684" s="44">
        <v>46224</v>
      </c>
      <c r="D1684" s="36">
        <f t="shared" si="102"/>
        <v>3</v>
      </c>
      <c r="E1684" s="36" t="str">
        <f t="shared" si="105"/>
        <v>Dia útil</v>
      </c>
      <c r="F1684" s="36" t="str">
        <f t="shared" si="103"/>
        <v>Dia útil</v>
      </c>
      <c r="G1684" s="36" t="str">
        <f t="shared" si="104"/>
        <v>Dia útil</v>
      </c>
    </row>
    <row r="1685" spans="2:7" ht="12" customHeight="1">
      <c r="B1685" s="43">
        <v>1664</v>
      </c>
      <c r="C1685" s="44">
        <v>46225</v>
      </c>
      <c r="D1685" s="36">
        <f t="shared" si="102"/>
        <v>4</v>
      </c>
      <c r="E1685" s="36" t="str">
        <f t="shared" si="105"/>
        <v>Dia útil</v>
      </c>
      <c r="F1685" s="36" t="str">
        <f t="shared" si="103"/>
        <v>Dia útil</v>
      </c>
      <c r="G1685" s="36" t="str">
        <f t="shared" si="104"/>
        <v>Dia útil</v>
      </c>
    </row>
    <row r="1686" spans="2:7" ht="12" customHeight="1">
      <c r="B1686" s="43">
        <v>1665</v>
      </c>
      <c r="C1686" s="44">
        <v>46226</v>
      </c>
      <c r="D1686" s="36">
        <f t="shared" si="102"/>
        <v>5</v>
      </c>
      <c r="E1686" s="36" t="str">
        <f t="shared" si="105"/>
        <v>Dia útil</v>
      </c>
      <c r="F1686" s="36" t="str">
        <f t="shared" si="103"/>
        <v>Dia útil</v>
      </c>
      <c r="G1686" s="36" t="str">
        <f t="shared" si="104"/>
        <v>Dia útil</v>
      </c>
    </row>
    <row r="1687" spans="2:7" ht="12" customHeight="1">
      <c r="B1687" s="43">
        <v>1666</v>
      </c>
      <c r="C1687" s="44">
        <v>46227</v>
      </c>
      <c r="D1687" s="36">
        <f t="shared" ref="D1687:D1750" si="106">WEEKDAY(C1687,1)</f>
        <v>6</v>
      </c>
      <c r="E1687" s="36" t="str">
        <f t="shared" si="105"/>
        <v>Dia útil</v>
      </c>
      <c r="F1687" s="36" t="str">
        <f t="shared" ref="F1687:F1750" si="107">E1687</f>
        <v>Dia útil</v>
      </c>
      <c r="G1687" s="36" t="str">
        <f t="shared" ref="G1687:G1750" si="108">IF(AND(F1687="Feriado",OR(E1687="Sáb",E1687="Dom")),E1687,IF(AND(F1687="Feriado",E1687="Dia útil"),"Feriado",E1687))</f>
        <v>Dia útil</v>
      </c>
    </row>
    <row r="1688" spans="2:7" ht="12" customHeight="1">
      <c r="B1688" s="43">
        <v>1667</v>
      </c>
      <c r="C1688" s="44">
        <v>46228</v>
      </c>
      <c r="D1688" s="36">
        <f t="shared" si="106"/>
        <v>7</v>
      </c>
      <c r="E1688" s="36" t="str">
        <f t="shared" si="105"/>
        <v>Sáb</v>
      </c>
      <c r="F1688" s="36" t="str">
        <f t="shared" si="107"/>
        <v>Sáb</v>
      </c>
      <c r="G1688" s="36" t="str">
        <f t="shared" si="108"/>
        <v>Sáb</v>
      </c>
    </row>
    <row r="1689" spans="2:7" ht="12" customHeight="1">
      <c r="B1689" s="43">
        <v>1668</v>
      </c>
      <c r="C1689" s="44">
        <v>46229</v>
      </c>
      <c r="D1689" s="36">
        <f t="shared" si="106"/>
        <v>1</v>
      </c>
      <c r="E1689" s="36" t="str">
        <f t="shared" ref="E1689:E1752" si="109">IF(D1689=1,"Dom",IF(D1689=7,"Sáb","Dia útil"))</f>
        <v>Dom</v>
      </c>
      <c r="F1689" s="36" t="str">
        <f t="shared" si="107"/>
        <v>Dom</v>
      </c>
      <c r="G1689" s="36" t="str">
        <f t="shared" si="108"/>
        <v>Dom</v>
      </c>
    </row>
    <row r="1690" spans="2:7" ht="12" customHeight="1">
      <c r="B1690" s="43">
        <v>1669</v>
      </c>
      <c r="C1690" s="44">
        <v>46230</v>
      </c>
      <c r="D1690" s="36">
        <f t="shared" si="106"/>
        <v>2</v>
      </c>
      <c r="E1690" s="36" t="str">
        <f t="shared" si="109"/>
        <v>Dia útil</v>
      </c>
      <c r="F1690" s="36" t="str">
        <f t="shared" si="107"/>
        <v>Dia útil</v>
      </c>
      <c r="G1690" s="36" t="str">
        <f t="shared" si="108"/>
        <v>Dia útil</v>
      </c>
    </row>
    <row r="1691" spans="2:7" ht="12" customHeight="1">
      <c r="B1691" s="43">
        <v>1670</v>
      </c>
      <c r="C1691" s="44">
        <v>46231</v>
      </c>
      <c r="D1691" s="36">
        <f t="shared" si="106"/>
        <v>3</v>
      </c>
      <c r="E1691" s="36" t="str">
        <f t="shared" si="109"/>
        <v>Dia útil</v>
      </c>
      <c r="F1691" s="36" t="str">
        <f t="shared" si="107"/>
        <v>Dia útil</v>
      </c>
      <c r="G1691" s="36" t="str">
        <f t="shared" si="108"/>
        <v>Dia útil</v>
      </c>
    </row>
    <row r="1692" spans="2:7" ht="12" customHeight="1">
      <c r="B1692" s="43">
        <v>1671</v>
      </c>
      <c r="C1692" s="44">
        <v>46232</v>
      </c>
      <c r="D1692" s="36">
        <f t="shared" si="106"/>
        <v>4</v>
      </c>
      <c r="E1692" s="36" t="str">
        <f t="shared" si="109"/>
        <v>Dia útil</v>
      </c>
      <c r="F1692" s="36" t="str">
        <f t="shared" si="107"/>
        <v>Dia útil</v>
      </c>
      <c r="G1692" s="36" t="str">
        <f t="shared" si="108"/>
        <v>Dia útil</v>
      </c>
    </row>
    <row r="1693" spans="2:7" ht="12" customHeight="1">
      <c r="B1693" s="43">
        <v>1672</v>
      </c>
      <c r="C1693" s="44">
        <v>46233</v>
      </c>
      <c r="D1693" s="36">
        <f t="shared" si="106"/>
        <v>5</v>
      </c>
      <c r="E1693" s="36" t="str">
        <f t="shared" si="109"/>
        <v>Dia útil</v>
      </c>
      <c r="F1693" s="36" t="str">
        <f t="shared" si="107"/>
        <v>Dia útil</v>
      </c>
      <c r="G1693" s="36" t="str">
        <f t="shared" si="108"/>
        <v>Dia útil</v>
      </c>
    </row>
    <row r="1694" spans="2:7" ht="12" customHeight="1">
      <c r="B1694" s="43">
        <v>1673</v>
      </c>
      <c r="C1694" s="44">
        <v>46234</v>
      </c>
      <c r="D1694" s="36">
        <f t="shared" si="106"/>
        <v>6</v>
      </c>
      <c r="E1694" s="36" t="str">
        <f t="shared" si="109"/>
        <v>Dia útil</v>
      </c>
      <c r="F1694" s="36" t="str">
        <f t="shared" si="107"/>
        <v>Dia útil</v>
      </c>
      <c r="G1694" s="36" t="str">
        <f t="shared" si="108"/>
        <v>Dia útil</v>
      </c>
    </row>
    <row r="1695" spans="2:7" ht="12" customHeight="1">
      <c r="B1695" s="43">
        <v>1674</v>
      </c>
      <c r="C1695" s="44">
        <v>46235</v>
      </c>
      <c r="D1695" s="36">
        <f t="shared" si="106"/>
        <v>7</v>
      </c>
      <c r="E1695" s="36" t="str">
        <f t="shared" si="109"/>
        <v>Sáb</v>
      </c>
      <c r="F1695" s="36" t="str">
        <f t="shared" si="107"/>
        <v>Sáb</v>
      </c>
      <c r="G1695" s="36" t="str">
        <f t="shared" si="108"/>
        <v>Sáb</v>
      </c>
    </row>
    <row r="1696" spans="2:7" ht="12" customHeight="1">
      <c r="B1696" s="43">
        <v>1675</v>
      </c>
      <c r="C1696" s="44">
        <v>46236</v>
      </c>
      <c r="D1696" s="36">
        <f t="shared" si="106"/>
        <v>1</v>
      </c>
      <c r="E1696" s="36" t="str">
        <f t="shared" si="109"/>
        <v>Dom</v>
      </c>
      <c r="F1696" s="36" t="str">
        <f t="shared" si="107"/>
        <v>Dom</v>
      </c>
      <c r="G1696" s="36" t="str">
        <f t="shared" si="108"/>
        <v>Dom</v>
      </c>
    </row>
    <row r="1697" spans="2:7" ht="12" customHeight="1">
      <c r="B1697" s="43">
        <v>1676</v>
      </c>
      <c r="C1697" s="44">
        <v>46237</v>
      </c>
      <c r="D1697" s="36">
        <f t="shared" si="106"/>
        <v>2</v>
      </c>
      <c r="E1697" s="36" t="str">
        <f t="shared" si="109"/>
        <v>Dia útil</v>
      </c>
      <c r="F1697" s="36" t="str">
        <f t="shared" si="107"/>
        <v>Dia útil</v>
      </c>
      <c r="G1697" s="36" t="str">
        <f t="shared" si="108"/>
        <v>Dia útil</v>
      </c>
    </row>
    <row r="1698" spans="2:7" ht="12" customHeight="1">
      <c r="B1698" s="43">
        <v>1677</v>
      </c>
      <c r="C1698" s="44">
        <v>46238</v>
      </c>
      <c r="D1698" s="36">
        <f t="shared" si="106"/>
        <v>3</v>
      </c>
      <c r="E1698" s="36" t="str">
        <f t="shared" si="109"/>
        <v>Dia útil</v>
      </c>
      <c r="F1698" s="36" t="str">
        <f t="shared" si="107"/>
        <v>Dia útil</v>
      </c>
      <c r="G1698" s="36" t="str">
        <f t="shared" si="108"/>
        <v>Dia útil</v>
      </c>
    </row>
    <row r="1699" spans="2:7" ht="12" customHeight="1">
      <c r="B1699" s="43">
        <v>1678</v>
      </c>
      <c r="C1699" s="44">
        <v>46239</v>
      </c>
      <c r="D1699" s="36">
        <f t="shared" si="106"/>
        <v>4</v>
      </c>
      <c r="E1699" s="36" t="str">
        <f t="shared" si="109"/>
        <v>Dia útil</v>
      </c>
      <c r="F1699" s="36" t="str">
        <f t="shared" si="107"/>
        <v>Dia útil</v>
      </c>
      <c r="G1699" s="36" t="str">
        <f t="shared" si="108"/>
        <v>Dia útil</v>
      </c>
    </row>
    <row r="1700" spans="2:7" ht="12" customHeight="1">
      <c r="B1700" s="43">
        <v>1679</v>
      </c>
      <c r="C1700" s="44">
        <v>46240</v>
      </c>
      <c r="D1700" s="36">
        <f t="shared" si="106"/>
        <v>5</v>
      </c>
      <c r="E1700" s="36" t="str">
        <f t="shared" si="109"/>
        <v>Dia útil</v>
      </c>
      <c r="F1700" s="36" t="str">
        <f t="shared" si="107"/>
        <v>Dia útil</v>
      </c>
      <c r="G1700" s="36" t="str">
        <f t="shared" si="108"/>
        <v>Dia útil</v>
      </c>
    </row>
    <row r="1701" spans="2:7" ht="12" customHeight="1">
      <c r="B1701" s="43">
        <v>1680</v>
      </c>
      <c r="C1701" s="44">
        <v>46241</v>
      </c>
      <c r="D1701" s="36">
        <f t="shared" si="106"/>
        <v>6</v>
      </c>
      <c r="E1701" s="36" t="str">
        <f t="shared" si="109"/>
        <v>Dia útil</v>
      </c>
      <c r="F1701" s="36" t="str">
        <f t="shared" si="107"/>
        <v>Dia útil</v>
      </c>
      <c r="G1701" s="36" t="str">
        <f t="shared" si="108"/>
        <v>Dia útil</v>
      </c>
    </row>
    <row r="1702" spans="2:7" ht="12" customHeight="1">
      <c r="B1702" s="43">
        <v>1681</v>
      </c>
      <c r="C1702" s="44">
        <v>46242</v>
      </c>
      <c r="D1702" s="36">
        <f t="shared" si="106"/>
        <v>7</v>
      </c>
      <c r="E1702" s="36" t="str">
        <f t="shared" si="109"/>
        <v>Sáb</v>
      </c>
      <c r="F1702" s="36" t="str">
        <f t="shared" si="107"/>
        <v>Sáb</v>
      </c>
      <c r="G1702" s="36" t="str">
        <f t="shared" si="108"/>
        <v>Sáb</v>
      </c>
    </row>
    <row r="1703" spans="2:7" ht="12" customHeight="1">
      <c r="B1703" s="43">
        <v>1682</v>
      </c>
      <c r="C1703" s="44">
        <v>46243</v>
      </c>
      <c r="D1703" s="36">
        <f t="shared" si="106"/>
        <v>1</v>
      </c>
      <c r="E1703" s="36" t="str">
        <f t="shared" si="109"/>
        <v>Dom</v>
      </c>
      <c r="F1703" s="36" t="str">
        <f t="shared" si="107"/>
        <v>Dom</v>
      </c>
      <c r="G1703" s="36" t="str">
        <f t="shared" si="108"/>
        <v>Dom</v>
      </c>
    </row>
    <row r="1704" spans="2:7" ht="12" customHeight="1">
      <c r="B1704" s="43">
        <v>1683</v>
      </c>
      <c r="C1704" s="44">
        <v>46244</v>
      </c>
      <c r="D1704" s="36">
        <f t="shared" si="106"/>
        <v>2</v>
      </c>
      <c r="E1704" s="36" t="str">
        <f t="shared" si="109"/>
        <v>Dia útil</v>
      </c>
      <c r="F1704" s="36" t="str">
        <f t="shared" si="107"/>
        <v>Dia útil</v>
      </c>
      <c r="G1704" s="36" t="str">
        <f t="shared" si="108"/>
        <v>Dia útil</v>
      </c>
    </row>
    <row r="1705" spans="2:7" ht="12" customHeight="1">
      <c r="B1705" s="43">
        <v>1684</v>
      </c>
      <c r="C1705" s="44">
        <v>46245</v>
      </c>
      <c r="D1705" s="36">
        <f t="shared" si="106"/>
        <v>3</v>
      </c>
      <c r="E1705" s="36" t="str">
        <f t="shared" si="109"/>
        <v>Dia útil</v>
      </c>
      <c r="F1705" s="36" t="str">
        <f t="shared" si="107"/>
        <v>Dia útil</v>
      </c>
      <c r="G1705" s="36" t="str">
        <f t="shared" si="108"/>
        <v>Dia útil</v>
      </c>
    </row>
    <row r="1706" spans="2:7" ht="12" customHeight="1">
      <c r="B1706" s="43">
        <v>1685</v>
      </c>
      <c r="C1706" s="44">
        <v>46246</v>
      </c>
      <c r="D1706" s="36">
        <f t="shared" si="106"/>
        <v>4</v>
      </c>
      <c r="E1706" s="36" t="str">
        <f t="shared" si="109"/>
        <v>Dia útil</v>
      </c>
      <c r="F1706" s="36" t="str">
        <f t="shared" si="107"/>
        <v>Dia útil</v>
      </c>
      <c r="G1706" s="36" t="str">
        <f t="shared" si="108"/>
        <v>Dia útil</v>
      </c>
    </row>
    <row r="1707" spans="2:7" ht="12" customHeight="1">
      <c r="B1707" s="43">
        <v>1686</v>
      </c>
      <c r="C1707" s="44">
        <v>46247</v>
      </c>
      <c r="D1707" s="36">
        <f t="shared" si="106"/>
        <v>5</v>
      </c>
      <c r="E1707" s="36" t="str">
        <f t="shared" si="109"/>
        <v>Dia útil</v>
      </c>
      <c r="F1707" s="36" t="str">
        <f t="shared" si="107"/>
        <v>Dia útil</v>
      </c>
      <c r="G1707" s="36" t="str">
        <f t="shared" si="108"/>
        <v>Dia útil</v>
      </c>
    </row>
    <row r="1708" spans="2:7" ht="12" customHeight="1">
      <c r="B1708" s="43">
        <v>1687</v>
      </c>
      <c r="C1708" s="44">
        <v>46248</v>
      </c>
      <c r="D1708" s="36">
        <f t="shared" si="106"/>
        <v>6</v>
      </c>
      <c r="E1708" s="36" t="str">
        <f t="shared" si="109"/>
        <v>Dia útil</v>
      </c>
      <c r="F1708" s="36" t="str">
        <f t="shared" si="107"/>
        <v>Dia útil</v>
      </c>
      <c r="G1708" s="36" t="str">
        <f t="shared" si="108"/>
        <v>Dia útil</v>
      </c>
    </row>
    <row r="1709" spans="2:7" ht="12" customHeight="1">
      <c r="B1709" s="43">
        <v>1688</v>
      </c>
      <c r="C1709" s="44">
        <v>46249</v>
      </c>
      <c r="D1709" s="36">
        <f t="shared" si="106"/>
        <v>7</v>
      </c>
      <c r="E1709" s="36" t="str">
        <f t="shared" si="109"/>
        <v>Sáb</v>
      </c>
      <c r="F1709" s="36" t="str">
        <f t="shared" si="107"/>
        <v>Sáb</v>
      </c>
      <c r="G1709" s="36" t="str">
        <f t="shared" si="108"/>
        <v>Sáb</v>
      </c>
    </row>
    <row r="1710" spans="2:7" ht="12" customHeight="1">
      <c r="B1710" s="43">
        <v>1689</v>
      </c>
      <c r="C1710" s="44">
        <v>46250</v>
      </c>
      <c r="D1710" s="36">
        <f t="shared" si="106"/>
        <v>1</v>
      </c>
      <c r="E1710" s="36" t="str">
        <f t="shared" si="109"/>
        <v>Dom</v>
      </c>
      <c r="F1710" s="36" t="str">
        <f t="shared" si="107"/>
        <v>Dom</v>
      </c>
      <c r="G1710" s="36" t="str">
        <f t="shared" si="108"/>
        <v>Dom</v>
      </c>
    </row>
    <row r="1711" spans="2:7" ht="12" customHeight="1">
      <c r="B1711" s="43">
        <v>1690</v>
      </c>
      <c r="C1711" s="44">
        <v>46251</v>
      </c>
      <c r="D1711" s="36">
        <f t="shared" si="106"/>
        <v>2</v>
      </c>
      <c r="E1711" s="36" t="str">
        <f t="shared" si="109"/>
        <v>Dia útil</v>
      </c>
      <c r="F1711" s="36" t="str">
        <f t="shared" si="107"/>
        <v>Dia útil</v>
      </c>
      <c r="G1711" s="36" t="str">
        <f t="shared" si="108"/>
        <v>Dia útil</v>
      </c>
    </row>
    <row r="1712" spans="2:7" ht="12" customHeight="1">
      <c r="B1712" s="43">
        <v>1691</v>
      </c>
      <c r="C1712" s="44">
        <v>46252</v>
      </c>
      <c r="D1712" s="36">
        <f t="shared" si="106"/>
        <v>3</v>
      </c>
      <c r="E1712" s="36" t="str">
        <f t="shared" si="109"/>
        <v>Dia útil</v>
      </c>
      <c r="F1712" s="36" t="str">
        <f t="shared" si="107"/>
        <v>Dia útil</v>
      </c>
      <c r="G1712" s="36" t="str">
        <f t="shared" si="108"/>
        <v>Dia útil</v>
      </c>
    </row>
    <row r="1713" spans="2:7" ht="12" customHeight="1">
      <c r="B1713" s="43">
        <v>1692</v>
      </c>
      <c r="C1713" s="44">
        <v>46253</v>
      </c>
      <c r="D1713" s="36">
        <f t="shared" si="106"/>
        <v>4</v>
      </c>
      <c r="E1713" s="36" t="str">
        <f t="shared" si="109"/>
        <v>Dia útil</v>
      </c>
      <c r="F1713" s="36" t="str">
        <f t="shared" si="107"/>
        <v>Dia útil</v>
      </c>
      <c r="G1713" s="36" t="str">
        <f t="shared" si="108"/>
        <v>Dia útil</v>
      </c>
    </row>
    <row r="1714" spans="2:7" ht="12" customHeight="1">
      <c r="B1714" s="43">
        <v>1693</v>
      </c>
      <c r="C1714" s="44">
        <v>46254</v>
      </c>
      <c r="D1714" s="36">
        <f t="shared" si="106"/>
        <v>5</v>
      </c>
      <c r="E1714" s="36" t="str">
        <f t="shared" si="109"/>
        <v>Dia útil</v>
      </c>
      <c r="F1714" s="36" t="str">
        <f t="shared" si="107"/>
        <v>Dia útil</v>
      </c>
      <c r="G1714" s="36" t="str">
        <f t="shared" si="108"/>
        <v>Dia útil</v>
      </c>
    </row>
    <row r="1715" spans="2:7" ht="12" customHeight="1">
      <c r="B1715" s="43">
        <v>1694</v>
      </c>
      <c r="C1715" s="44">
        <v>46255</v>
      </c>
      <c r="D1715" s="36">
        <f t="shared" si="106"/>
        <v>6</v>
      </c>
      <c r="E1715" s="36" t="str">
        <f t="shared" si="109"/>
        <v>Dia útil</v>
      </c>
      <c r="F1715" s="36" t="str">
        <f t="shared" si="107"/>
        <v>Dia útil</v>
      </c>
      <c r="G1715" s="36" t="str">
        <f t="shared" si="108"/>
        <v>Dia útil</v>
      </c>
    </row>
    <row r="1716" spans="2:7" ht="12" customHeight="1">
      <c r="B1716" s="43">
        <v>1695</v>
      </c>
      <c r="C1716" s="44">
        <v>46256</v>
      </c>
      <c r="D1716" s="36">
        <f t="shared" si="106"/>
        <v>7</v>
      </c>
      <c r="E1716" s="36" t="str">
        <f t="shared" si="109"/>
        <v>Sáb</v>
      </c>
      <c r="F1716" s="36" t="str">
        <f t="shared" si="107"/>
        <v>Sáb</v>
      </c>
      <c r="G1716" s="36" t="str">
        <f t="shared" si="108"/>
        <v>Sáb</v>
      </c>
    </row>
    <row r="1717" spans="2:7" ht="12" customHeight="1">
      <c r="B1717" s="43">
        <v>1696</v>
      </c>
      <c r="C1717" s="44">
        <v>46257</v>
      </c>
      <c r="D1717" s="36">
        <f t="shared" si="106"/>
        <v>1</v>
      </c>
      <c r="E1717" s="36" t="str">
        <f t="shared" si="109"/>
        <v>Dom</v>
      </c>
      <c r="F1717" s="36" t="str">
        <f t="shared" si="107"/>
        <v>Dom</v>
      </c>
      <c r="G1717" s="36" t="str">
        <f t="shared" si="108"/>
        <v>Dom</v>
      </c>
    </row>
    <row r="1718" spans="2:7" ht="12" customHeight="1">
      <c r="B1718" s="43">
        <v>1697</v>
      </c>
      <c r="C1718" s="44">
        <v>46258</v>
      </c>
      <c r="D1718" s="36">
        <f t="shared" si="106"/>
        <v>2</v>
      </c>
      <c r="E1718" s="36" t="str">
        <f t="shared" si="109"/>
        <v>Dia útil</v>
      </c>
      <c r="F1718" s="36" t="str">
        <f t="shared" si="107"/>
        <v>Dia útil</v>
      </c>
      <c r="G1718" s="36" t="str">
        <f t="shared" si="108"/>
        <v>Dia útil</v>
      </c>
    </row>
    <row r="1719" spans="2:7" ht="12" customHeight="1">
      <c r="B1719" s="43">
        <v>1698</v>
      </c>
      <c r="C1719" s="44">
        <v>46259</v>
      </c>
      <c r="D1719" s="36">
        <f t="shared" si="106"/>
        <v>3</v>
      </c>
      <c r="E1719" s="36" t="str">
        <f t="shared" si="109"/>
        <v>Dia útil</v>
      </c>
      <c r="F1719" s="36" t="str">
        <f t="shared" si="107"/>
        <v>Dia útil</v>
      </c>
      <c r="G1719" s="36" t="str">
        <f t="shared" si="108"/>
        <v>Dia útil</v>
      </c>
    </row>
    <row r="1720" spans="2:7" ht="12" customHeight="1">
      <c r="B1720" s="43">
        <v>1699</v>
      </c>
      <c r="C1720" s="44">
        <v>46260</v>
      </c>
      <c r="D1720" s="36">
        <f t="shared" si="106"/>
        <v>4</v>
      </c>
      <c r="E1720" s="36" t="str">
        <f t="shared" si="109"/>
        <v>Dia útil</v>
      </c>
      <c r="F1720" s="36" t="str">
        <f t="shared" si="107"/>
        <v>Dia útil</v>
      </c>
      <c r="G1720" s="36" t="str">
        <f t="shared" si="108"/>
        <v>Dia útil</v>
      </c>
    </row>
    <row r="1721" spans="2:7" ht="12" customHeight="1">
      <c r="B1721" s="43">
        <v>1700</v>
      </c>
      <c r="C1721" s="44">
        <v>46261</v>
      </c>
      <c r="D1721" s="36">
        <f t="shared" si="106"/>
        <v>5</v>
      </c>
      <c r="E1721" s="36" t="str">
        <f t="shared" si="109"/>
        <v>Dia útil</v>
      </c>
      <c r="F1721" s="36" t="str">
        <f t="shared" si="107"/>
        <v>Dia útil</v>
      </c>
      <c r="G1721" s="36" t="str">
        <f t="shared" si="108"/>
        <v>Dia útil</v>
      </c>
    </row>
    <row r="1722" spans="2:7" ht="12" customHeight="1">
      <c r="B1722" s="43">
        <v>1701</v>
      </c>
      <c r="C1722" s="44">
        <v>46262</v>
      </c>
      <c r="D1722" s="36">
        <f t="shared" si="106"/>
        <v>6</v>
      </c>
      <c r="E1722" s="36" t="str">
        <f t="shared" si="109"/>
        <v>Dia útil</v>
      </c>
      <c r="F1722" s="36" t="str">
        <f t="shared" si="107"/>
        <v>Dia útil</v>
      </c>
      <c r="G1722" s="36" t="str">
        <f t="shared" si="108"/>
        <v>Dia útil</v>
      </c>
    </row>
    <row r="1723" spans="2:7" ht="12" customHeight="1">
      <c r="B1723" s="43">
        <v>1702</v>
      </c>
      <c r="C1723" s="44">
        <v>46263</v>
      </c>
      <c r="D1723" s="36">
        <f t="shared" si="106"/>
        <v>7</v>
      </c>
      <c r="E1723" s="36" t="str">
        <f t="shared" si="109"/>
        <v>Sáb</v>
      </c>
      <c r="F1723" s="36" t="str">
        <f t="shared" si="107"/>
        <v>Sáb</v>
      </c>
      <c r="G1723" s="36" t="str">
        <f t="shared" si="108"/>
        <v>Sáb</v>
      </c>
    </row>
    <row r="1724" spans="2:7" ht="12" customHeight="1">
      <c r="B1724" s="43">
        <v>1703</v>
      </c>
      <c r="C1724" s="44">
        <v>46264</v>
      </c>
      <c r="D1724" s="36">
        <f t="shared" si="106"/>
        <v>1</v>
      </c>
      <c r="E1724" s="36" t="str">
        <f t="shared" si="109"/>
        <v>Dom</v>
      </c>
      <c r="F1724" s="36" t="str">
        <f t="shared" si="107"/>
        <v>Dom</v>
      </c>
      <c r="G1724" s="36" t="str">
        <f t="shared" si="108"/>
        <v>Dom</v>
      </c>
    </row>
    <row r="1725" spans="2:7" ht="12" customHeight="1">
      <c r="B1725" s="43">
        <v>1704</v>
      </c>
      <c r="C1725" s="44">
        <v>46265</v>
      </c>
      <c r="D1725" s="36">
        <f t="shared" si="106"/>
        <v>2</v>
      </c>
      <c r="E1725" s="36" t="str">
        <f t="shared" si="109"/>
        <v>Dia útil</v>
      </c>
      <c r="F1725" s="36" t="str">
        <f t="shared" si="107"/>
        <v>Dia útil</v>
      </c>
      <c r="G1725" s="36" t="str">
        <f t="shared" si="108"/>
        <v>Dia útil</v>
      </c>
    </row>
    <row r="1726" spans="2:7" ht="12" customHeight="1">
      <c r="B1726" s="43">
        <v>1705</v>
      </c>
      <c r="C1726" s="44">
        <v>46266</v>
      </c>
      <c r="D1726" s="36">
        <f t="shared" si="106"/>
        <v>3</v>
      </c>
      <c r="E1726" s="36" t="str">
        <f t="shared" si="109"/>
        <v>Dia útil</v>
      </c>
      <c r="F1726" s="36" t="str">
        <f t="shared" si="107"/>
        <v>Dia útil</v>
      </c>
      <c r="G1726" s="36" t="str">
        <f t="shared" si="108"/>
        <v>Dia útil</v>
      </c>
    </row>
    <row r="1727" spans="2:7" ht="12" customHeight="1">
      <c r="B1727" s="43">
        <v>1706</v>
      </c>
      <c r="C1727" s="44">
        <v>46267</v>
      </c>
      <c r="D1727" s="36">
        <f t="shared" si="106"/>
        <v>4</v>
      </c>
      <c r="E1727" s="36" t="str">
        <f t="shared" si="109"/>
        <v>Dia útil</v>
      </c>
      <c r="F1727" s="36" t="str">
        <f t="shared" si="107"/>
        <v>Dia útil</v>
      </c>
      <c r="G1727" s="36" t="str">
        <f t="shared" si="108"/>
        <v>Dia útil</v>
      </c>
    </row>
    <row r="1728" spans="2:7" ht="12" customHeight="1">
      <c r="B1728" s="43">
        <v>1707</v>
      </c>
      <c r="C1728" s="44">
        <v>46268</v>
      </c>
      <c r="D1728" s="36">
        <f t="shared" si="106"/>
        <v>5</v>
      </c>
      <c r="E1728" s="36" t="str">
        <f t="shared" si="109"/>
        <v>Dia útil</v>
      </c>
      <c r="F1728" s="36" t="str">
        <f t="shared" si="107"/>
        <v>Dia útil</v>
      </c>
      <c r="G1728" s="36" t="str">
        <f t="shared" si="108"/>
        <v>Dia útil</v>
      </c>
    </row>
    <row r="1729" spans="2:7" ht="12" customHeight="1">
      <c r="B1729" s="43">
        <v>1708</v>
      </c>
      <c r="C1729" s="44">
        <v>46269</v>
      </c>
      <c r="D1729" s="36">
        <f t="shared" si="106"/>
        <v>6</v>
      </c>
      <c r="E1729" s="36" t="str">
        <f t="shared" si="109"/>
        <v>Dia útil</v>
      </c>
      <c r="F1729" s="36" t="str">
        <f t="shared" si="107"/>
        <v>Dia útil</v>
      </c>
      <c r="G1729" s="36" t="str">
        <f t="shared" si="108"/>
        <v>Dia útil</v>
      </c>
    </row>
    <row r="1730" spans="2:7" ht="12" customHeight="1">
      <c r="B1730" s="43">
        <v>1709</v>
      </c>
      <c r="C1730" s="44">
        <v>46270</v>
      </c>
      <c r="D1730" s="36">
        <f t="shared" si="106"/>
        <v>7</v>
      </c>
      <c r="E1730" s="36" t="str">
        <f t="shared" si="109"/>
        <v>Sáb</v>
      </c>
      <c r="F1730" s="36" t="str">
        <f t="shared" si="107"/>
        <v>Sáb</v>
      </c>
      <c r="G1730" s="36" t="str">
        <f t="shared" si="108"/>
        <v>Sáb</v>
      </c>
    </row>
    <row r="1731" spans="2:7" ht="12" customHeight="1">
      <c r="B1731" s="43">
        <v>1710</v>
      </c>
      <c r="C1731" s="44">
        <v>46271</v>
      </c>
      <c r="D1731" s="36">
        <f t="shared" si="106"/>
        <v>1</v>
      </c>
      <c r="E1731" s="36" t="str">
        <f t="shared" si="109"/>
        <v>Dom</v>
      </c>
      <c r="F1731" s="36" t="str">
        <f t="shared" si="107"/>
        <v>Dom</v>
      </c>
      <c r="G1731" s="36" t="str">
        <f t="shared" si="108"/>
        <v>Dom</v>
      </c>
    </row>
    <row r="1732" spans="2:7" ht="12" customHeight="1">
      <c r="B1732" s="43">
        <v>1711</v>
      </c>
      <c r="C1732" s="44">
        <v>46272</v>
      </c>
      <c r="D1732" s="36">
        <f t="shared" si="106"/>
        <v>2</v>
      </c>
      <c r="E1732" s="36" t="str">
        <f t="shared" si="109"/>
        <v>Dia útil</v>
      </c>
      <c r="F1732" s="46" t="s">
        <v>1725</v>
      </c>
      <c r="G1732" s="36" t="str">
        <f t="shared" si="108"/>
        <v>Feriado</v>
      </c>
    </row>
    <row r="1733" spans="2:7" ht="12" customHeight="1">
      <c r="B1733" s="43">
        <v>1712</v>
      </c>
      <c r="C1733" s="44">
        <v>46273</v>
      </c>
      <c r="D1733" s="36">
        <f t="shared" si="106"/>
        <v>3</v>
      </c>
      <c r="E1733" s="36" t="str">
        <f t="shared" si="109"/>
        <v>Dia útil</v>
      </c>
      <c r="F1733" s="36" t="str">
        <f t="shared" si="107"/>
        <v>Dia útil</v>
      </c>
      <c r="G1733" s="36" t="str">
        <f t="shared" si="108"/>
        <v>Dia útil</v>
      </c>
    </row>
    <row r="1734" spans="2:7" ht="12" customHeight="1">
      <c r="B1734" s="43">
        <v>1713</v>
      </c>
      <c r="C1734" s="44">
        <v>46274</v>
      </c>
      <c r="D1734" s="36">
        <f t="shared" si="106"/>
        <v>4</v>
      </c>
      <c r="E1734" s="36" t="str">
        <f t="shared" si="109"/>
        <v>Dia útil</v>
      </c>
      <c r="F1734" s="36" t="str">
        <f t="shared" si="107"/>
        <v>Dia útil</v>
      </c>
      <c r="G1734" s="36" t="str">
        <f t="shared" si="108"/>
        <v>Dia útil</v>
      </c>
    </row>
    <row r="1735" spans="2:7" ht="12" customHeight="1">
      <c r="B1735" s="43">
        <v>1714</v>
      </c>
      <c r="C1735" s="44">
        <v>46275</v>
      </c>
      <c r="D1735" s="36">
        <f t="shared" si="106"/>
        <v>5</v>
      </c>
      <c r="E1735" s="36" t="str">
        <f t="shared" si="109"/>
        <v>Dia útil</v>
      </c>
      <c r="F1735" s="36" t="str">
        <f t="shared" si="107"/>
        <v>Dia útil</v>
      </c>
      <c r="G1735" s="36" t="str">
        <f t="shared" si="108"/>
        <v>Dia útil</v>
      </c>
    </row>
    <row r="1736" spans="2:7" ht="12" customHeight="1">
      <c r="B1736" s="43">
        <v>1715</v>
      </c>
      <c r="C1736" s="44">
        <v>46276</v>
      </c>
      <c r="D1736" s="36">
        <f t="shared" si="106"/>
        <v>6</v>
      </c>
      <c r="E1736" s="36" t="str">
        <f t="shared" si="109"/>
        <v>Dia útil</v>
      </c>
      <c r="F1736" s="36" t="str">
        <f t="shared" si="107"/>
        <v>Dia útil</v>
      </c>
      <c r="G1736" s="36" t="str">
        <f t="shared" si="108"/>
        <v>Dia útil</v>
      </c>
    </row>
    <row r="1737" spans="2:7" ht="12" customHeight="1">
      <c r="B1737" s="43">
        <v>1716</v>
      </c>
      <c r="C1737" s="44">
        <v>46277</v>
      </c>
      <c r="D1737" s="36">
        <f t="shared" si="106"/>
        <v>7</v>
      </c>
      <c r="E1737" s="36" t="str">
        <f t="shared" si="109"/>
        <v>Sáb</v>
      </c>
      <c r="F1737" s="36" t="str">
        <f t="shared" si="107"/>
        <v>Sáb</v>
      </c>
      <c r="G1737" s="36" t="str">
        <f t="shared" si="108"/>
        <v>Sáb</v>
      </c>
    </row>
    <row r="1738" spans="2:7" ht="12" customHeight="1">
      <c r="B1738" s="43">
        <v>1717</v>
      </c>
      <c r="C1738" s="44">
        <v>46278</v>
      </c>
      <c r="D1738" s="36">
        <f t="shared" si="106"/>
        <v>1</v>
      </c>
      <c r="E1738" s="36" t="str">
        <f t="shared" si="109"/>
        <v>Dom</v>
      </c>
      <c r="F1738" s="36" t="str">
        <f t="shared" si="107"/>
        <v>Dom</v>
      </c>
      <c r="G1738" s="36" t="str">
        <f t="shared" si="108"/>
        <v>Dom</v>
      </c>
    </row>
    <row r="1739" spans="2:7" ht="12" customHeight="1">
      <c r="B1739" s="43">
        <v>1718</v>
      </c>
      <c r="C1739" s="44">
        <v>46279</v>
      </c>
      <c r="D1739" s="36">
        <f t="shared" si="106"/>
        <v>2</v>
      </c>
      <c r="E1739" s="36" t="str">
        <f t="shared" si="109"/>
        <v>Dia útil</v>
      </c>
      <c r="F1739" s="36" t="str">
        <f t="shared" si="107"/>
        <v>Dia útil</v>
      </c>
      <c r="G1739" s="36" t="str">
        <f t="shared" si="108"/>
        <v>Dia útil</v>
      </c>
    </row>
    <row r="1740" spans="2:7" ht="12" customHeight="1">
      <c r="B1740" s="43">
        <v>1719</v>
      </c>
      <c r="C1740" s="44">
        <v>46280</v>
      </c>
      <c r="D1740" s="36">
        <f t="shared" si="106"/>
        <v>3</v>
      </c>
      <c r="E1740" s="36" t="str">
        <f t="shared" si="109"/>
        <v>Dia útil</v>
      </c>
      <c r="F1740" s="36" t="str">
        <f t="shared" si="107"/>
        <v>Dia útil</v>
      </c>
      <c r="G1740" s="36" t="str">
        <f t="shared" si="108"/>
        <v>Dia útil</v>
      </c>
    </row>
    <row r="1741" spans="2:7" ht="12" customHeight="1">
      <c r="B1741" s="43">
        <v>1720</v>
      </c>
      <c r="C1741" s="44">
        <v>46281</v>
      </c>
      <c r="D1741" s="36">
        <f t="shared" si="106"/>
        <v>4</v>
      </c>
      <c r="E1741" s="36" t="str">
        <f t="shared" si="109"/>
        <v>Dia útil</v>
      </c>
      <c r="F1741" s="36" t="str">
        <f t="shared" si="107"/>
        <v>Dia útil</v>
      </c>
      <c r="G1741" s="36" t="str">
        <f t="shared" si="108"/>
        <v>Dia útil</v>
      </c>
    </row>
    <row r="1742" spans="2:7" ht="12" customHeight="1">
      <c r="B1742" s="43">
        <v>1721</v>
      </c>
      <c r="C1742" s="44">
        <v>46282</v>
      </c>
      <c r="D1742" s="36">
        <f t="shared" si="106"/>
        <v>5</v>
      </c>
      <c r="E1742" s="36" t="str">
        <f t="shared" si="109"/>
        <v>Dia útil</v>
      </c>
      <c r="F1742" s="36" t="str">
        <f t="shared" si="107"/>
        <v>Dia útil</v>
      </c>
      <c r="G1742" s="36" t="str">
        <f t="shared" si="108"/>
        <v>Dia útil</v>
      </c>
    </row>
    <row r="1743" spans="2:7" ht="12" customHeight="1">
      <c r="B1743" s="43">
        <v>1722</v>
      </c>
      <c r="C1743" s="44">
        <v>46283</v>
      </c>
      <c r="D1743" s="36">
        <f t="shared" si="106"/>
        <v>6</v>
      </c>
      <c r="E1743" s="36" t="str">
        <f t="shared" si="109"/>
        <v>Dia útil</v>
      </c>
      <c r="F1743" s="36" t="str">
        <f t="shared" si="107"/>
        <v>Dia útil</v>
      </c>
      <c r="G1743" s="36" t="str">
        <f t="shared" si="108"/>
        <v>Dia útil</v>
      </c>
    </row>
    <row r="1744" spans="2:7" ht="12" customHeight="1">
      <c r="B1744" s="43">
        <v>1723</v>
      </c>
      <c r="C1744" s="44">
        <v>46284</v>
      </c>
      <c r="D1744" s="36">
        <f t="shared" si="106"/>
        <v>7</v>
      </c>
      <c r="E1744" s="36" t="str">
        <f t="shared" si="109"/>
        <v>Sáb</v>
      </c>
      <c r="F1744" s="36" t="str">
        <f t="shared" si="107"/>
        <v>Sáb</v>
      </c>
      <c r="G1744" s="36" t="str">
        <f t="shared" si="108"/>
        <v>Sáb</v>
      </c>
    </row>
    <row r="1745" spans="2:7" ht="12" customHeight="1">
      <c r="B1745" s="43">
        <v>1724</v>
      </c>
      <c r="C1745" s="44">
        <v>46285</v>
      </c>
      <c r="D1745" s="36">
        <f t="shared" si="106"/>
        <v>1</v>
      </c>
      <c r="E1745" s="36" t="str">
        <f t="shared" si="109"/>
        <v>Dom</v>
      </c>
      <c r="F1745" s="36" t="str">
        <f t="shared" si="107"/>
        <v>Dom</v>
      </c>
      <c r="G1745" s="36" t="str">
        <f t="shared" si="108"/>
        <v>Dom</v>
      </c>
    </row>
    <row r="1746" spans="2:7" ht="12" customHeight="1">
      <c r="B1746" s="43">
        <v>1725</v>
      </c>
      <c r="C1746" s="44">
        <v>46286</v>
      </c>
      <c r="D1746" s="36">
        <f t="shared" si="106"/>
        <v>2</v>
      </c>
      <c r="E1746" s="36" t="str">
        <f t="shared" si="109"/>
        <v>Dia útil</v>
      </c>
      <c r="F1746" s="36" t="str">
        <f t="shared" si="107"/>
        <v>Dia útil</v>
      </c>
      <c r="G1746" s="36" t="str">
        <f t="shared" si="108"/>
        <v>Dia útil</v>
      </c>
    </row>
    <row r="1747" spans="2:7" ht="12" customHeight="1">
      <c r="B1747" s="43">
        <v>1726</v>
      </c>
      <c r="C1747" s="44">
        <v>46287</v>
      </c>
      <c r="D1747" s="36">
        <f t="shared" si="106"/>
        <v>3</v>
      </c>
      <c r="E1747" s="36" t="str">
        <f t="shared" si="109"/>
        <v>Dia útil</v>
      </c>
      <c r="F1747" s="36" t="str">
        <f t="shared" si="107"/>
        <v>Dia útil</v>
      </c>
      <c r="G1747" s="36" t="str">
        <f t="shared" si="108"/>
        <v>Dia útil</v>
      </c>
    </row>
    <row r="1748" spans="2:7" ht="12" customHeight="1">
      <c r="B1748" s="43">
        <v>1727</v>
      </c>
      <c r="C1748" s="44">
        <v>46288</v>
      </c>
      <c r="D1748" s="36">
        <f t="shared" si="106"/>
        <v>4</v>
      </c>
      <c r="E1748" s="36" t="str">
        <f t="shared" si="109"/>
        <v>Dia útil</v>
      </c>
      <c r="F1748" s="36" t="str">
        <f t="shared" si="107"/>
        <v>Dia útil</v>
      </c>
      <c r="G1748" s="36" t="str">
        <f t="shared" si="108"/>
        <v>Dia útil</v>
      </c>
    </row>
    <row r="1749" spans="2:7" ht="12" customHeight="1">
      <c r="B1749" s="43">
        <v>1728</v>
      </c>
      <c r="C1749" s="44">
        <v>46289</v>
      </c>
      <c r="D1749" s="36">
        <f t="shared" si="106"/>
        <v>5</v>
      </c>
      <c r="E1749" s="36" t="str">
        <f t="shared" si="109"/>
        <v>Dia útil</v>
      </c>
      <c r="F1749" s="36" t="str">
        <f t="shared" si="107"/>
        <v>Dia útil</v>
      </c>
      <c r="G1749" s="36" t="str">
        <f t="shared" si="108"/>
        <v>Dia útil</v>
      </c>
    </row>
    <row r="1750" spans="2:7" ht="12" customHeight="1">
      <c r="B1750" s="43">
        <v>1729</v>
      </c>
      <c r="C1750" s="44">
        <v>46290</v>
      </c>
      <c r="D1750" s="36">
        <f t="shared" si="106"/>
        <v>6</v>
      </c>
      <c r="E1750" s="36" t="str">
        <f t="shared" si="109"/>
        <v>Dia útil</v>
      </c>
      <c r="F1750" s="36" t="str">
        <f t="shared" si="107"/>
        <v>Dia útil</v>
      </c>
      <c r="G1750" s="36" t="str">
        <f t="shared" si="108"/>
        <v>Dia útil</v>
      </c>
    </row>
    <row r="1751" spans="2:7" ht="12" customHeight="1">
      <c r="B1751" s="43">
        <v>1730</v>
      </c>
      <c r="C1751" s="44">
        <v>46291</v>
      </c>
      <c r="D1751" s="36">
        <f t="shared" ref="D1751:D1814" si="110">WEEKDAY(C1751,1)</f>
        <v>7</v>
      </c>
      <c r="E1751" s="36" t="str">
        <f t="shared" si="109"/>
        <v>Sáb</v>
      </c>
      <c r="F1751" s="36" t="str">
        <f t="shared" ref="F1751:F1814" si="111">E1751</f>
        <v>Sáb</v>
      </c>
      <c r="G1751" s="36" t="str">
        <f t="shared" ref="G1751:G1814" si="112">IF(AND(F1751="Feriado",OR(E1751="Sáb",E1751="Dom")),E1751,IF(AND(F1751="Feriado",E1751="Dia útil"),"Feriado",E1751))</f>
        <v>Sáb</v>
      </c>
    </row>
    <row r="1752" spans="2:7" ht="12" customHeight="1">
      <c r="B1752" s="43">
        <v>1731</v>
      </c>
      <c r="C1752" s="44">
        <v>46292</v>
      </c>
      <c r="D1752" s="36">
        <f t="shared" si="110"/>
        <v>1</v>
      </c>
      <c r="E1752" s="36" t="str">
        <f t="shared" si="109"/>
        <v>Dom</v>
      </c>
      <c r="F1752" s="36" t="str">
        <f t="shared" si="111"/>
        <v>Dom</v>
      </c>
      <c r="G1752" s="36" t="str">
        <f t="shared" si="112"/>
        <v>Dom</v>
      </c>
    </row>
    <row r="1753" spans="2:7" ht="12" customHeight="1">
      <c r="B1753" s="43">
        <v>1732</v>
      </c>
      <c r="C1753" s="44">
        <v>46293</v>
      </c>
      <c r="D1753" s="36">
        <f t="shared" si="110"/>
        <v>2</v>
      </c>
      <c r="E1753" s="36" t="str">
        <f t="shared" ref="E1753:E1816" si="113">IF(D1753=1,"Dom",IF(D1753=7,"Sáb","Dia útil"))</f>
        <v>Dia útil</v>
      </c>
      <c r="F1753" s="36" t="str">
        <f t="shared" si="111"/>
        <v>Dia útil</v>
      </c>
      <c r="G1753" s="36" t="str">
        <f t="shared" si="112"/>
        <v>Dia útil</v>
      </c>
    </row>
    <row r="1754" spans="2:7" ht="12" customHeight="1">
      <c r="B1754" s="43">
        <v>1733</v>
      </c>
      <c r="C1754" s="44">
        <v>46294</v>
      </c>
      <c r="D1754" s="36">
        <f t="shared" si="110"/>
        <v>3</v>
      </c>
      <c r="E1754" s="36" t="str">
        <f t="shared" si="113"/>
        <v>Dia útil</v>
      </c>
      <c r="F1754" s="36" t="str">
        <f t="shared" si="111"/>
        <v>Dia útil</v>
      </c>
      <c r="G1754" s="36" t="str">
        <f t="shared" si="112"/>
        <v>Dia útil</v>
      </c>
    </row>
    <row r="1755" spans="2:7" ht="12" customHeight="1">
      <c r="B1755" s="43">
        <v>1734</v>
      </c>
      <c r="C1755" s="44">
        <v>46295</v>
      </c>
      <c r="D1755" s="36">
        <f t="shared" si="110"/>
        <v>4</v>
      </c>
      <c r="E1755" s="36" t="str">
        <f t="shared" si="113"/>
        <v>Dia útil</v>
      </c>
      <c r="F1755" s="36" t="str">
        <f t="shared" si="111"/>
        <v>Dia útil</v>
      </c>
      <c r="G1755" s="36" t="str">
        <f t="shared" si="112"/>
        <v>Dia útil</v>
      </c>
    </row>
    <row r="1756" spans="2:7" ht="12" customHeight="1">
      <c r="B1756" s="43">
        <v>1735</v>
      </c>
      <c r="C1756" s="44">
        <v>46296</v>
      </c>
      <c r="D1756" s="36">
        <f t="shared" si="110"/>
        <v>5</v>
      </c>
      <c r="E1756" s="36" t="str">
        <f t="shared" si="113"/>
        <v>Dia útil</v>
      </c>
      <c r="F1756" s="36" t="str">
        <f t="shared" si="111"/>
        <v>Dia útil</v>
      </c>
      <c r="G1756" s="36" t="str">
        <f t="shared" si="112"/>
        <v>Dia útil</v>
      </c>
    </row>
    <row r="1757" spans="2:7" ht="12" customHeight="1">
      <c r="B1757" s="43">
        <v>1736</v>
      </c>
      <c r="C1757" s="44">
        <v>46297</v>
      </c>
      <c r="D1757" s="36">
        <f t="shared" si="110"/>
        <v>6</v>
      </c>
      <c r="E1757" s="36" t="str">
        <f t="shared" si="113"/>
        <v>Dia útil</v>
      </c>
      <c r="F1757" s="36" t="str">
        <f t="shared" si="111"/>
        <v>Dia útil</v>
      </c>
      <c r="G1757" s="36" t="str">
        <f t="shared" si="112"/>
        <v>Dia útil</v>
      </c>
    </row>
    <row r="1758" spans="2:7" ht="12" customHeight="1">
      <c r="B1758" s="43">
        <v>1737</v>
      </c>
      <c r="C1758" s="44">
        <v>46298</v>
      </c>
      <c r="D1758" s="36">
        <f t="shared" si="110"/>
        <v>7</v>
      </c>
      <c r="E1758" s="36" t="str">
        <f t="shared" si="113"/>
        <v>Sáb</v>
      </c>
      <c r="F1758" s="36" t="str">
        <f t="shared" si="111"/>
        <v>Sáb</v>
      </c>
      <c r="G1758" s="36" t="str">
        <f t="shared" si="112"/>
        <v>Sáb</v>
      </c>
    </row>
    <row r="1759" spans="2:7" ht="12" customHeight="1">
      <c r="B1759" s="43">
        <v>1738</v>
      </c>
      <c r="C1759" s="44">
        <v>46299</v>
      </c>
      <c r="D1759" s="36">
        <f t="shared" si="110"/>
        <v>1</v>
      </c>
      <c r="E1759" s="36" t="str">
        <f t="shared" si="113"/>
        <v>Dom</v>
      </c>
      <c r="F1759" s="36" t="str">
        <f t="shared" si="111"/>
        <v>Dom</v>
      </c>
      <c r="G1759" s="36" t="str">
        <f t="shared" si="112"/>
        <v>Dom</v>
      </c>
    </row>
    <row r="1760" spans="2:7" ht="12" customHeight="1">
      <c r="B1760" s="43">
        <v>1739</v>
      </c>
      <c r="C1760" s="44">
        <v>46300</v>
      </c>
      <c r="D1760" s="36">
        <f t="shared" si="110"/>
        <v>2</v>
      </c>
      <c r="E1760" s="36" t="str">
        <f t="shared" si="113"/>
        <v>Dia útil</v>
      </c>
      <c r="F1760" s="36" t="str">
        <f t="shared" si="111"/>
        <v>Dia útil</v>
      </c>
      <c r="G1760" s="36" t="str">
        <f t="shared" si="112"/>
        <v>Dia útil</v>
      </c>
    </row>
    <row r="1761" spans="2:7" ht="12" customHeight="1">
      <c r="B1761" s="43">
        <v>1740</v>
      </c>
      <c r="C1761" s="44">
        <v>46301</v>
      </c>
      <c r="D1761" s="36">
        <f t="shared" si="110"/>
        <v>3</v>
      </c>
      <c r="E1761" s="36" t="str">
        <f t="shared" si="113"/>
        <v>Dia útil</v>
      </c>
      <c r="F1761" s="36" t="str">
        <f t="shared" si="111"/>
        <v>Dia útil</v>
      </c>
      <c r="G1761" s="36" t="str">
        <f t="shared" si="112"/>
        <v>Dia útil</v>
      </c>
    </row>
    <row r="1762" spans="2:7" ht="12" customHeight="1">
      <c r="B1762" s="43">
        <v>1741</v>
      </c>
      <c r="C1762" s="44">
        <v>46302</v>
      </c>
      <c r="D1762" s="36">
        <f t="shared" si="110"/>
        <v>4</v>
      </c>
      <c r="E1762" s="36" t="str">
        <f t="shared" si="113"/>
        <v>Dia útil</v>
      </c>
      <c r="F1762" s="36" t="str">
        <f t="shared" si="111"/>
        <v>Dia útil</v>
      </c>
      <c r="G1762" s="36" t="str">
        <f t="shared" si="112"/>
        <v>Dia útil</v>
      </c>
    </row>
    <row r="1763" spans="2:7" ht="12" customHeight="1">
      <c r="B1763" s="43">
        <v>1742</v>
      </c>
      <c r="C1763" s="44">
        <v>46303</v>
      </c>
      <c r="D1763" s="36">
        <f t="shared" si="110"/>
        <v>5</v>
      </c>
      <c r="E1763" s="36" t="str">
        <f t="shared" si="113"/>
        <v>Dia útil</v>
      </c>
      <c r="F1763" s="36" t="str">
        <f t="shared" si="111"/>
        <v>Dia útil</v>
      </c>
      <c r="G1763" s="36" t="str">
        <f t="shared" si="112"/>
        <v>Dia útil</v>
      </c>
    </row>
    <row r="1764" spans="2:7" ht="12" customHeight="1">
      <c r="B1764" s="43">
        <v>1743</v>
      </c>
      <c r="C1764" s="44">
        <v>46304</v>
      </c>
      <c r="D1764" s="36">
        <f t="shared" si="110"/>
        <v>6</v>
      </c>
      <c r="E1764" s="36" t="str">
        <f t="shared" si="113"/>
        <v>Dia útil</v>
      </c>
      <c r="F1764" s="36" t="str">
        <f t="shared" si="111"/>
        <v>Dia útil</v>
      </c>
      <c r="G1764" s="36" t="str">
        <f t="shared" si="112"/>
        <v>Dia útil</v>
      </c>
    </row>
    <row r="1765" spans="2:7" ht="12" customHeight="1">
      <c r="B1765" s="43">
        <v>1744</v>
      </c>
      <c r="C1765" s="44">
        <v>46305</v>
      </c>
      <c r="D1765" s="36">
        <f t="shared" si="110"/>
        <v>7</v>
      </c>
      <c r="E1765" s="36" t="str">
        <f t="shared" si="113"/>
        <v>Sáb</v>
      </c>
      <c r="F1765" s="36" t="str">
        <f t="shared" si="111"/>
        <v>Sáb</v>
      </c>
      <c r="G1765" s="36" t="str">
        <f t="shared" si="112"/>
        <v>Sáb</v>
      </c>
    </row>
    <row r="1766" spans="2:7" ht="12" customHeight="1">
      <c r="B1766" s="43">
        <v>1745</v>
      </c>
      <c r="C1766" s="44">
        <v>46306</v>
      </c>
      <c r="D1766" s="36">
        <f t="shared" si="110"/>
        <v>1</v>
      </c>
      <c r="E1766" s="36" t="str">
        <f t="shared" si="113"/>
        <v>Dom</v>
      </c>
      <c r="F1766" s="36" t="str">
        <f t="shared" si="111"/>
        <v>Dom</v>
      </c>
      <c r="G1766" s="36" t="str">
        <f t="shared" si="112"/>
        <v>Dom</v>
      </c>
    </row>
    <row r="1767" spans="2:7" ht="12" customHeight="1">
      <c r="B1767" s="43">
        <v>1746</v>
      </c>
      <c r="C1767" s="44">
        <v>46307</v>
      </c>
      <c r="D1767" s="36">
        <f t="shared" si="110"/>
        <v>2</v>
      </c>
      <c r="E1767" s="36" t="str">
        <f t="shared" si="113"/>
        <v>Dia útil</v>
      </c>
      <c r="F1767" s="46" t="s">
        <v>1725</v>
      </c>
      <c r="G1767" s="36" t="str">
        <f t="shared" si="112"/>
        <v>Feriado</v>
      </c>
    </row>
    <row r="1768" spans="2:7" ht="12" customHeight="1">
      <c r="B1768" s="43">
        <v>1747</v>
      </c>
      <c r="C1768" s="44">
        <v>46308</v>
      </c>
      <c r="D1768" s="36">
        <f t="shared" si="110"/>
        <v>3</v>
      </c>
      <c r="E1768" s="36" t="str">
        <f t="shared" si="113"/>
        <v>Dia útil</v>
      </c>
      <c r="F1768" s="36" t="str">
        <f t="shared" si="111"/>
        <v>Dia útil</v>
      </c>
      <c r="G1768" s="36" t="str">
        <f t="shared" si="112"/>
        <v>Dia útil</v>
      </c>
    </row>
    <row r="1769" spans="2:7" ht="12" customHeight="1">
      <c r="B1769" s="43">
        <v>1748</v>
      </c>
      <c r="C1769" s="44">
        <v>46309</v>
      </c>
      <c r="D1769" s="36">
        <f t="shared" si="110"/>
        <v>4</v>
      </c>
      <c r="E1769" s="36" t="str">
        <f t="shared" si="113"/>
        <v>Dia útil</v>
      </c>
      <c r="F1769" s="36" t="str">
        <f t="shared" si="111"/>
        <v>Dia útil</v>
      </c>
      <c r="G1769" s="36" t="str">
        <f t="shared" si="112"/>
        <v>Dia útil</v>
      </c>
    </row>
    <row r="1770" spans="2:7" ht="12" customHeight="1">
      <c r="B1770" s="43">
        <v>1749</v>
      </c>
      <c r="C1770" s="44">
        <v>46310</v>
      </c>
      <c r="D1770" s="36">
        <f t="shared" si="110"/>
        <v>5</v>
      </c>
      <c r="E1770" s="36" t="str">
        <f t="shared" si="113"/>
        <v>Dia útil</v>
      </c>
      <c r="F1770" s="36" t="str">
        <f t="shared" si="111"/>
        <v>Dia útil</v>
      </c>
      <c r="G1770" s="36" t="str">
        <f t="shared" si="112"/>
        <v>Dia útil</v>
      </c>
    </row>
    <row r="1771" spans="2:7" ht="12" customHeight="1">
      <c r="B1771" s="43">
        <v>1750</v>
      </c>
      <c r="C1771" s="44">
        <v>46311</v>
      </c>
      <c r="D1771" s="36">
        <f t="shared" si="110"/>
        <v>6</v>
      </c>
      <c r="E1771" s="36" t="str">
        <f t="shared" si="113"/>
        <v>Dia útil</v>
      </c>
      <c r="F1771" s="36" t="str">
        <f t="shared" si="111"/>
        <v>Dia útil</v>
      </c>
      <c r="G1771" s="36" t="str">
        <f t="shared" si="112"/>
        <v>Dia útil</v>
      </c>
    </row>
    <row r="1772" spans="2:7" ht="12" customHeight="1">
      <c r="B1772" s="43">
        <v>1751</v>
      </c>
      <c r="C1772" s="44">
        <v>46312</v>
      </c>
      <c r="D1772" s="36">
        <f t="shared" si="110"/>
        <v>7</v>
      </c>
      <c r="E1772" s="36" t="str">
        <f t="shared" si="113"/>
        <v>Sáb</v>
      </c>
      <c r="F1772" s="36" t="str">
        <f t="shared" si="111"/>
        <v>Sáb</v>
      </c>
      <c r="G1772" s="36" t="str">
        <f t="shared" si="112"/>
        <v>Sáb</v>
      </c>
    </row>
    <row r="1773" spans="2:7" ht="12" customHeight="1">
      <c r="B1773" s="43">
        <v>1752</v>
      </c>
      <c r="C1773" s="44">
        <v>46313</v>
      </c>
      <c r="D1773" s="36">
        <f t="shared" si="110"/>
        <v>1</v>
      </c>
      <c r="E1773" s="36" t="str">
        <f t="shared" si="113"/>
        <v>Dom</v>
      </c>
      <c r="F1773" s="36" t="str">
        <f t="shared" si="111"/>
        <v>Dom</v>
      </c>
      <c r="G1773" s="36" t="str">
        <f t="shared" si="112"/>
        <v>Dom</v>
      </c>
    </row>
    <row r="1774" spans="2:7" ht="12" customHeight="1">
      <c r="B1774" s="43">
        <v>1753</v>
      </c>
      <c r="C1774" s="44">
        <v>46314</v>
      </c>
      <c r="D1774" s="36">
        <f t="shared" si="110"/>
        <v>2</v>
      </c>
      <c r="E1774" s="36" t="str">
        <f t="shared" si="113"/>
        <v>Dia útil</v>
      </c>
      <c r="F1774" s="36" t="str">
        <f t="shared" si="111"/>
        <v>Dia útil</v>
      </c>
      <c r="G1774" s="36" t="str">
        <f t="shared" si="112"/>
        <v>Dia útil</v>
      </c>
    </row>
    <row r="1775" spans="2:7" ht="12" customHeight="1">
      <c r="B1775" s="43">
        <v>1754</v>
      </c>
      <c r="C1775" s="44">
        <v>46315</v>
      </c>
      <c r="D1775" s="36">
        <f t="shared" si="110"/>
        <v>3</v>
      </c>
      <c r="E1775" s="36" t="str">
        <f t="shared" si="113"/>
        <v>Dia útil</v>
      </c>
      <c r="F1775" s="36" t="str">
        <f t="shared" si="111"/>
        <v>Dia útil</v>
      </c>
      <c r="G1775" s="36" t="str">
        <f t="shared" si="112"/>
        <v>Dia útil</v>
      </c>
    </row>
    <row r="1776" spans="2:7" ht="12" customHeight="1">
      <c r="B1776" s="43">
        <v>1755</v>
      </c>
      <c r="C1776" s="44">
        <v>46316</v>
      </c>
      <c r="D1776" s="36">
        <f t="shared" si="110"/>
        <v>4</v>
      </c>
      <c r="E1776" s="36" t="str">
        <f t="shared" si="113"/>
        <v>Dia útil</v>
      </c>
      <c r="F1776" s="36" t="str">
        <f t="shared" si="111"/>
        <v>Dia útil</v>
      </c>
      <c r="G1776" s="36" t="str">
        <f t="shared" si="112"/>
        <v>Dia útil</v>
      </c>
    </row>
    <row r="1777" spans="2:7" ht="12" customHeight="1">
      <c r="B1777" s="43">
        <v>1756</v>
      </c>
      <c r="C1777" s="44">
        <v>46317</v>
      </c>
      <c r="D1777" s="36">
        <f t="shared" si="110"/>
        <v>5</v>
      </c>
      <c r="E1777" s="36" t="str">
        <f t="shared" si="113"/>
        <v>Dia útil</v>
      </c>
      <c r="F1777" s="36" t="str">
        <f t="shared" si="111"/>
        <v>Dia útil</v>
      </c>
      <c r="G1777" s="36" t="str">
        <f t="shared" si="112"/>
        <v>Dia útil</v>
      </c>
    </row>
    <row r="1778" spans="2:7" ht="12" customHeight="1">
      <c r="B1778" s="43">
        <v>1757</v>
      </c>
      <c r="C1778" s="44">
        <v>46318</v>
      </c>
      <c r="D1778" s="36">
        <f t="shared" si="110"/>
        <v>6</v>
      </c>
      <c r="E1778" s="36" t="str">
        <f t="shared" si="113"/>
        <v>Dia útil</v>
      </c>
      <c r="F1778" s="36" t="str">
        <f t="shared" si="111"/>
        <v>Dia útil</v>
      </c>
      <c r="G1778" s="36" t="str">
        <f t="shared" si="112"/>
        <v>Dia útil</v>
      </c>
    </row>
    <row r="1779" spans="2:7" ht="12" customHeight="1">
      <c r="B1779" s="43">
        <v>1758</v>
      </c>
      <c r="C1779" s="44">
        <v>46319</v>
      </c>
      <c r="D1779" s="36">
        <f t="shared" si="110"/>
        <v>7</v>
      </c>
      <c r="E1779" s="36" t="str">
        <f t="shared" si="113"/>
        <v>Sáb</v>
      </c>
      <c r="F1779" s="36" t="str">
        <f t="shared" si="111"/>
        <v>Sáb</v>
      </c>
      <c r="G1779" s="36" t="str">
        <f t="shared" si="112"/>
        <v>Sáb</v>
      </c>
    </row>
    <row r="1780" spans="2:7" ht="12" customHeight="1">
      <c r="B1780" s="43">
        <v>1759</v>
      </c>
      <c r="C1780" s="44">
        <v>46320</v>
      </c>
      <c r="D1780" s="36">
        <f t="shared" si="110"/>
        <v>1</v>
      </c>
      <c r="E1780" s="36" t="str">
        <f t="shared" si="113"/>
        <v>Dom</v>
      </c>
      <c r="F1780" s="36" t="str">
        <f t="shared" si="111"/>
        <v>Dom</v>
      </c>
      <c r="G1780" s="36" t="str">
        <f t="shared" si="112"/>
        <v>Dom</v>
      </c>
    </row>
    <row r="1781" spans="2:7" ht="12" customHeight="1">
      <c r="B1781" s="43">
        <v>1760</v>
      </c>
      <c r="C1781" s="44">
        <v>46321</v>
      </c>
      <c r="D1781" s="36">
        <f t="shared" si="110"/>
        <v>2</v>
      </c>
      <c r="E1781" s="36" t="str">
        <f t="shared" si="113"/>
        <v>Dia útil</v>
      </c>
      <c r="F1781" s="36" t="str">
        <f t="shared" si="111"/>
        <v>Dia útil</v>
      </c>
      <c r="G1781" s="36" t="str">
        <f t="shared" si="112"/>
        <v>Dia útil</v>
      </c>
    </row>
    <row r="1782" spans="2:7" ht="12" customHeight="1">
      <c r="B1782" s="43">
        <v>1761</v>
      </c>
      <c r="C1782" s="44">
        <v>46322</v>
      </c>
      <c r="D1782" s="36">
        <f t="shared" si="110"/>
        <v>3</v>
      </c>
      <c r="E1782" s="36" t="str">
        <f t="shared" si="113"/>
        <v>Dia útil</v>
      </c>
      <c r="F1782" s="36" t="str">
        <f t="shared" si="111"/>
        <v>Dia útil</v>
      </c>
      <c r="G1782" s="36" t="str">
        <f t="shared" si="112"/>
        <v>Dia útil</v>
      </c>
    </row>
    <row r="1783" spans="2:7" ht="12" customHeight="1">
      <c r="B1783" s="43">
        <v>1762</v>
      </c>
      <c r="C1783" s="44">
        <v>46323</v>
      </c>
      <c r="D1783" s="36">
        <f t="shared" si="110"/>
        <v>4</v>
      </c>
      <c r="E1783" s="36" t="str">
        <f t="shared" si="113"/>
        <v>Dia útil</v>
      </c>
      <c r="F1783" s="36" t="str">
        <f t="shared" si="111"/>
        <v>Dia útil</v>
      </c>
      <c r="G1783" s="36" t="str">
        <f t="shared" si="112"/>
        <v>Dia útil</v>
      </c>
    </row>
    <row r="1784" spans="2:7" ht="12" customHeight="1">
      <c r="B1784" s="43">
        <v>1763</v>
      </c>
      <c r="C1784" s="44">
        <v>46324</v>
      </c>
      <c r="D1784" s="36">
        <f t="shared" si="110"/>
        <v>5</v>
      </c>
      <c r="E1784" s="36" t="str">
        <f t="shared" si="113"/>
        <v>Dia útil</v>
      </c>
      <c r="F1784" s="36" t="str">
        <f t="shared" si="111"/>
        <v>Dia útil</v>
      </c>
      <c r="G1784" s="36" t="str">
        <f t="shared" si="112"/>
        <v>Dia útil</v>
      </c>
    </row>
    <row r="1785" spans="2:7" ht="12" customHeight="1">
      <c r="B1785" s="43">
        <v>1764</v>
      </c>
      <c r="C1785" s="44">
        <v>46325</v>
      </c>
      <c r="D1785" s="36">
        <f t="shared" si="110"/>
        <v>6</v>
      </c>
      <c r="E1785" s="36" t="str">
        <f t="shared" si="113"/>
        <v>Dia útil</v>
      </c>
      <c r="F1785" s="36" t="str">
        <f t="shared" si="111"/>
        <v>Dia útil</v>
      </c>
      <c r="G1785" s="36" t="str">
        <f t="shared" si="112"/>
        <v>Dia útil</v>
      </c>
    </row>
    <row r="1786" spans="2:7" ht="12" customHeight="1">
      <c r="B1786" s="43">
        <v>1765</v>
      </c>
      <c r="C1786" s="44">
        <v>46326</v>
      </c>
      <c r="D1786" s="36">
        <f t="shared" si="110"/>
        <v>7</v>
      </c>
      <c r="E1786" s="36" t="str">
        <f t="shared" si="113"/>
        <v>Sáb</v>
      </c>
      <c r="F1786" s="36" t="str">
        <f t="shared" si="111"/>
        <v>Sáb</v>
      </c>
      <c r="G1786" s="36" t="str">
        <f t="shared" si="112"/>
        <v>Sáb</v>
      </c>
    </row>
    <row r="1787" spans="2:7" ht="12" customHeight="1">
      <c r="B1787" s="43">
        <v>1766</v>
      </c>
      <c r="C1787" s="44">
        <v>46327</v>
      </c>
      <c r="D1787" s="36">
        <f t="shared" si="110"/>
        <v>1</v>
      </c>
      <c r="E1787" s="36" t="str">
        <f t="shared" si="113"/>
        <v>Dom</v>
      </c>
      <c r="F1787" s="36" t="str">
        <f t="shared" si="111"/>
        <v>Dom</v>
      </c>
      <c r="G1787" s="36" t="str">
        <f t="shared" si="112"/>
        <v>Dom</v>
      </c>
    </row>
    <row r="1788" spans="2:7" ht="12" customHeight="1">
      <c r="B1788" s="43">
        <v>1767</v>
      </c>
      <c r="C1788" s="44">
        <v>46328</v>
      </c>
      <c r="D1788" s="36">
        <f t="shared" si="110"/>
        <v>2</v>
      </c>
      <c r="E1788" s="36" t="str">
        <f t="shared" si="113"/>
        <v>Dia útil</v>
      </c>
      <c r="F1788" s="46" t="s">
        <v>1725</v>
      </c>
      <c r="G1788" s="36" t="str">
        <f t="shared" si="112"/>
        <v>Feriado</v>
      </c>
    </row>
    <row r="1789" spans="2:7" ht="12" customHeight="1">
      <c r="B1789" s="43">
        <v>1768</v>
      </c>
      <c r="C1789" s="44">
        <v>46329</v>
      </c>
      <c r="D1789" s="36">
        <f t="shared" si="110"/>
        <v>3</v>
      </c>
      <c r="E1789" s="36" t="str">
        <f t="shared" si="113"/>
        <v>Dia útil</v>
      </c>
      <c r="F1789" s="36" t="str">
        <f t="shared" si="111"/>
        <v>Dia útil</v>
      </c>
      <c r="G1789" s="36" t="str">
        <f t="shared" si="112"/>
        <v>Dia útil</v>
      </c>
    </row>
    <row r="1790" spans="2:7" ht="12" customHeight="1">
      <c r="B1790" s="43">
        <v>1769</v>
      </c>
      <c r="C1790" s="44">
        <v>46330</v>
      </c>
      <c r="D1790" s="36">
        <f t="shared" si="110"/>
        <v>4</v>
      </c>
      <c r="E1790" s="36" t="str">
        <f t="shared" si="113"/>
        <v>Dia útil</v>
      </c>
      <c r="F1790" s="36" t="str">
        <f t="shared" si="111"/>
        <v>Dia útil</v>
      </c>
      <c r="G1790" s="36" t="str">
        <f t="shared" si="112"/>
        <v>Dia útil</v>
      </c>
    </row>
    <row r="1791" spans="2:7" ht="12" customHeight="1">
      <c r="B1791" s="43">
        <v>1770</v>
      </c>
      <c r="C1791" s="44">
        <v>46331</v>
      </c>
      <c r="D1791" s="36">
        <f t="shared" si="110"/>
        <v>5</v>
      </c>
      <c r="E1791" s="36" t="str">
        <f t="shared" si="113"/>
        <v>Dia útil</v>
      </c>
      <c r="F1791" s="36" t="str">
        <f t="shared" si="111"/>
        <v>Dia útil</v>
      </c>
      <c r="G1791" s="36" t="str">
        <f t="shared" si="112"/>
        <v>Dia útil</v>
      </c>
    </row>
    <row r="1792" spans="2:7" ht="12" customHeight="1">
      <c r="B1792" s="43">
        <v>1771</v>
      </c>
      <c r="C1792" s="44">
        <v>46332</v>
      </c>
      <c r="D1792" s="36">
        <f t="shared" si="110"/>
        <v>6</v>
      </c>
      <c r="E1792" s="36" t="str">
        <f t="shared" si="113"/>
        <v>Dia útil</v>
      </c>
      <c r="F1792" s="36" t="str">
        <f t="shared" si="111"/>
        <v>Dia útil</v>
      </c>
      <c r="G1792" s="36" t="str">
        <f t="shared" si="112"/>
        <v>Dia útil</v>
      </c>
    </row>
    <row r="1793" spans="2:7" ht="12" customHeight="1">
      <c r="B1793" s="43">
        <v>1772</v>
      </c>
      <c r="C1793" s="44">
        <v>46333</v>
      </c>
      <c r="D1793" s="36">
        <f t="shared" si="110"/>
        <v>7</v>
      </c>
      <c r="E1793" s="36" t="str">
        <f t="shared" si="113"/>
        <v>Sáb</v>
      </c>
      <c r="F1793" s="36" t="str">
        <f t="shared" si="111"/>
        <v>Sáb</v>
      </c>
      <c r="G1793" s="36" t="str">
        <f t="shared" si="112"/>
        <v>Sáb</v>
      </c>
    </row>
    <row r="1794" spans="2:7" ht="12" customHeight="1">
      <c r="B1794" s="43">
        <v>1773</v>
      </c>
      <c r="C1794" s="44">
        <v>46334</v>
      </c>
      <c r="D1794" s="36">
        <f t="shared" si="110"/>
        <v>1</v>
      </c>
      <c r="E1794" s="36" t="str">
        <f t="shared" si="113"/>
        <v>Dom</v>
      </c>
      <c r="F1794" s="36" t="str">
        <f t="shared" si="111"/>
        <v>Dom</v>
      </c>
      <c r="G1794" s="36" t="str">
        <f t="shared" si="112"/>
        <v>Dom</v>
      </c>
    </row>
    <row r="1795" spans="2:7" ht="12" customHeight="1">
      <c r="B1795" s="43">
        <v>1774</v>
      </c>
      <c r="C1795" s="44">
        <v>46335</v>
      </c>
      <c r="D1795" s="36">
        <f t="shared" si="110"/>
        <v>2</v>
      </c>
      <c r="E1795" s="36" t="str">
        <f t="shared" si="113"/>
        <v>Dia útil</v>
      </c>
      <c r="F1795" s="36" t="str">
        <f t="shared" si="111"/>
        <v>Dia útil</v>
      </c>
      <c r="G1795" s="36" t="str">
        <f t="shared" si="112"/>
        <v>Dia útil</v>
      </c>
    </row>
    <row r="1796" spans="2:7" ht="12" customHeight="1">
      <c r="B1796" s="43">
        <v>1775</v>
      </c>
      <c r="C1796" s="44">
        <v>46336</v>
      </c>
      <c r="D1796" s="36">
        <f t="shared" si="110"/>
        <v>3</v>
      </c>
      <c r="E1796" s="36" t="str">
        <f t="shared" si="113"/>
        <v>Dia útil</v>
      </c>
      <c r="F1796" s="36" t="str">
        <f t="shared" si="111"/>
        <v>Dia útil</v>
      </c>
      <c r="G1796" s="36" t="str">
        <f t="shared" si="112"/>
        <v>Dia útil</v>
      </c>
    </row>
    <row r="1797" spans="2:7" ht="12" customHeight="1">
      <c r="B1797" s="43">
        <v>1776</v>
      </c>
      <c r="C1797" s="44">
        <v>46337</v>
      </c>
      <c r="D1797" s="36">
        <f t="shared" si="110"/>
        <v>4</v>
      </c>
      <c r="E1797" s="36" t="str">
        <f t="shared" si="113"/>
        <v>Dia útil</v>
      </c>
      <c r="F1797" s="36" t="str">
        <f t="shared" si="111"/>
        <v>Dia útil</v>
      </c>
      <c r="G1797" s="36" t="str">
        <f t="shared" si="112"/>
        <v>Dia útil</v>
      </c>
    </row>
    <row r="1798" spans="2:7" ht="12" customHeight="1">
      <c r="B1798" s="43">
        <v>1777</v>
      </c>
      <c r="C1798" s="44">
        <v>46338</v>
      </c>
      <c r="D1798" s="36">
        <f t="shared" si="110"/>
        <v>5</v>
      </c>
      <c r="E1798" s="36" t="str">
        <f t="shared" si="113"/>
        <v>Dia útil</v>
      </c>
      <c r="F1798" s="36" t="str">
        <f t="shared" si="111"/>
        <v>Dia útil</v>
      </c>
      <c r="G1798" s="36" t="str">
        <f t="shared" si="112"/>
        <v>Dia útil</v>
      </c>
    </row>
    <row r="1799" spans="2:7" ht="12" customHeight="1">
      <c r="B1799" s="43">
        <v>1778</v>
      </c>
      <c r="C1799" s="44">
        <v>46339</v>
      </c>
      <c r="D1799" s="36">
        <f t="shared" si="110"/>
        <v>6</v>
      </c>
      <c r="E1799" s="36" t="str">
        <f t="shared" si="113"/>
        <v>Dia útil</v>
      </c>
      <c r="F1799" s="36" t="str">
        <f t="shared" si="111"/>
        <v>Dia útil</v>
      </c>
      <c r="G1799" s="36" t="str">
        <f t="shared" si="112"/>
        <v>Dia útil</v>
      </c>
    </row>
    <row r="1800" spans="2:7" ht="12" customHeight="1">
      <c r="B1800" s="43">
        <v>1779</v>
      </c>
      <c r="C1800" s="44">
        <v>46340</v>
      </c>
      <c r="D1800" s="36">
        <f t="shared" si="110"/>
        <v>7</v>
      </c>
      <c r="E1800" s="36" t="str">
        <f t="shared" si="113"/>
        <v>Sáb</v>
      </c>
      <c r="F1800" s="36" t="str">
        <f t="shared" si="111"/>
        <v>Sáb</v>
      </c>
      <c r="G1800" s="36" t="str">
        <f t="shared" si="112"/>
        <v>Sáb</v>
      </c>
    </row>
    <row r="1801" spans="2:7" ht="12" customHeight="1">
      <c r="B1801" s="43">
        <v>1780</v>
      </c>
      <c r="C1801" s="44">
        <v>46341</v>
      </c>
      <c r="D1801" s="36">
        <f t="shared" si="110"/>
        <v>1</v>
      </c>
      <c r="E1801" s="36" t="str">
        <f t="shared" si="113"/>
        <v>Dom</v>
      </c>
      <c r="F1801" s="46" t="s">
        <v>1725</v>
      </c>
      <c r="G1801" s="36" t="str">
        <f t="shared" si="112"/>
        <v>Dom</v>
      </c>
    </row>
    <row r="1802" spans="2:7" ht="12" customHeight="1">
      <c r="B1802" s="43">
        <v>1781</v>
      </c>
      <c r="C1802" s="44">
        <v>46342</v>
      </c>
      <c r="D1802" s="36">
        <f t="shared" si="110"/>
        <v>2</v>
      </c>
      <c r="E1802" s="36" t="str">
        <f t="shared" si="113"/>
        <v>Dia útil</v>
      </c>
      <c r="F1802" s="36" t="str">
        <f t="shared" si="111"/>
        <v>Dia útil</v>
      </c>
      <c r="G1802" s="36" t="str">
        <f t="shared" si="112"/>
        <v>Dia útil</v>
      </c>
    </row>
    <row r="1803" spans="2:7" ht="12" customHeight="1">
      <c r="B1803" s="43">
        <v>1782</v>
      </c>
      <c r="C1803" s="44">
        <v>46343</v>
      </c>
      <c r="D1803" s="36">
        <f t="shared" si="110"/>
        <v>3</v>
      </c>
      <c r="E1803" s="36" t="str">
        <f t="shared" si="113"/>
        <v>Dia útil</v>
      </c>
      <c r="F1803" s="36" t="str">
        <f t="shared" si="111"/>
        <v>Dia útil</v>
      </c>
      <c r="G1803" s="36" t="str">
        <f t="shared" si="112"/>
        <v>Dia útil</v>
      </c>
    </row>
    <row r="1804" spans="2:7" ht="12" customHeight="1">
      <c r="B1804" s="43">
        <v>1783</v>
      </c>
      <c r="C1804" s="44">
        <v>46344</v>
      </c>
      <c r="D1804" s="36">
        <f t="shared" si="110"/>
        <v>4</v>
      </c>
      <c r="E1804" s="36" t="str">
        <f t="shared" si="113"/>
        <v>Dia útil</v>
      </c>
      <c r="F1804" s="36" t="str">
        <f t="shared" si="111"/>
        <v>Dia útil</v>
      </c>
      <c r="G1804" s="36" t="str">
        <f t="shared" si="112"/>
        <v>Dia útil</v>
      </c>
    </row>
    <row r="1805" spans="2:7" ht="12" customHeight="1">
      <c r="B1805" s="43">
        <v>1784</v>
      </c>
      <c r="C1805" s="44">
        <v>46345</v>
      </c>
      <c r="D1805" s="36">
        <f t="shared" si="110"/>
        <v>5</v>
      </c>
      <c r="E1805" s="36" t="str">
        <f t="shared" si="113"/>
        <v>Dia útil</v>
      </c>
      <c r="F1805" s="36" t="str">
        <f t="shared" si="111"/>
        <v>Dia útil</v>
      </c>
      <c r="G1805" s="36" t="str">
        <f t="shared" si="112"/>
        <v>Dia útil</v>
      </c>
    </row>
    <row r="1806" spans="2:7" ht="12" customHeight="1">
      <c r="B1806" s="43">
        <v>1785</v>
      </c>
      <c r="C1806" s="44">
        <v>46346</v>
      </c>
      <c r="D1806" s="36">
        <f t="shared" si="110"/>
        <v>6</v>
      </c>
      <c r="E1806" s="36" t="str">
        <f t="shared" si="113"/>
        <v>Dia útil</v>
      </c>
      <c r="F1806" s="36" t="str">
        <f t="shared" si="111"/>
        <v>Dia útil</v>
      </c>
      <c r="G1806" s="36" t="str">
        <f t="shared" si="112"/>
        <v>Dia útil</v>
      </c>
    </row>
    <row r="1807" spans="2:7" ht="12" customHeight="1">
      <c r="B1807" s="43">
        <v>1786</v>
      </c>
      <c r="C1807" s="44">
        <v>46347</v>
      </c>
      <c r="D1807" s="36">
        <f t="shared" si="110"/>
        <v>7</v>
      </c>
      <c r="E1807" s="36" t="str">
        <f t="shared" si="113"/>
        <v>Sáb</v>
      </c>
      <c r="F1807" s="36" t="str">
        <f t="shared" si="111"/>
        <v>Sáb</v>
      </c>
      <c r="G1807" s="36" t="str">
        <f t="shared" si="112"/>
        <v>Sáb</v>
      </c>
    </row>
    <row r="1808" spans="2:7" ht="12" customHeight="1">
      <c r="B1808" s="43">
        <v>1787</v>
      </c>
      <c r="C1808" s="44">
        <v>46348</v>
      </c>
      <c r="D1808" s="36">
        <f t="shared" si="110"/>
        <v>1</v>
      </c>
      <c r="E1808" s="36" t="str">
        <f t="shared" si="113"/>
        <v>Dom</v>
      </c>
      <c r="F1808" s="36" t="str">
        <f t="shared" si="111"/>
        <v>Dom</v>
      </c>
      <c r="G1808" s="36" t="str">
        <f t="shared" si="112"/>
        <v>Dom</v>
      </c>
    </row>
    <row r="1809" spans="2:7" ht="12" customHeight="1">
      <c r="B1809" s="43">
        <v>1788</v>
      </c>
      <c r="C1809" s="44">
        <v>46349</v>
      </c>
      <c r="D1809" s="36">
        <f t="shared" si="110"/>
        <v>2</v>
      </c>
      <c r="E1809" s="36" t="str">
        <f t="shared" si="113"/>
        <v>Dia útil</v>
      </c>
      <c r="F1809" s="36" t="str">
        <f t="shared" si="111"/>
        <v>Dia útil</v>
      </c>
      <c r="G1809" s="36" t="str">
        <f t="shared" si="112"/>
        <v>Dia útil</v>
      </c>
    </row>
    <row r="1810" spans="2:7" ht="12" customHeight="1">
      <c r="B1810" s="43">
        <v>1789</v>
      </c>
      <c r="C1810" s="44">
        <v>46350</v>
      </c>
      <c r="D1810" s="36">
        <f t="shared" si="110"/>
        <v>3</v>
      </c>
      <c r="E1810" s="36" t="str">
        <f t="shared" si="113"/>
        <v>Dia útil</v>
      </c>
      <c r="F1810" s="36" t="str">
        <f t="shared" si="111"/>
        <v>Dia útil</v>
      </c>
      <c r="G1810" s="36" t="str">
        <f t="shared" si="112"/>
        <v>Dia útil</v>
      </c>
    </row>
    <row r="1811" spans="2:7" ht="12" customHeight="1">
      <c r="B1811" s="43">
        <v>1790</v>
      </c>
      <c r="C1811" s="44">
        <v>46351</v>
      </c>
      <c r="D1811" s="36">
        <f t="shared" si="110"/>
        <v>4</v>
      </c>
      <c r="E1811" s="36" t="str">
        <f t="shared" si="113"/>
        <v>Dia útil</v>
      </c>
      <c r="F1811" s="36" t="str">
        <f t="shared" si="111"/>
        <v>Dia útil</v>
      </c>
      <c r="G1811" s="36" t="str">
        <f t="shared" si="112"/>
        <v>Dia útil</v>
      </c>
    </row>
    <row r="1812" spans="2:7" ht="12" customHeight="1">
      <c r="B1812" s="43">
        <v>1791</v>
      </c>
      <c r="C1812" s="44">
        <v>46352</v>
      </c>
      <c r="D1812" s="36">
        <f t="shared" si="110"/>
        <v>5</v>
      </c>
      <c r="E1812" s="36" t="str">
        <f t="shared" si="113"/>
        <v>Dia útil</v>
      </c>
      <c r="F1812" s="36" t="str">
        <f t="shared" si="111"/>
        <v>Dia útil</v>
      </c>
      <c r="G1812" s="36" t="str">
        <f t="shared" si="112"/>
        <v>Dia útil</v>
      </c>
    </row>
    <row r="1813" spans="2:7" ht="12" customHeight="1">
      <c r="B1813" s="43">
        <v>1792</v>
      </c>
      <c r="C1813" s="44">
        <v>46353</v>
      </c>
      <c r="D1813" s="36">
        <f t="shared" si="110"/>
        <v>6</v>
      </c>
      <c r="E1813" s="36" t="str">
        <f t="shared" si="113"/>
        <v>Dia útil</v>
      </c>
      <c r="F1813" s="36" t="str">
        <f t="shared" si="111"/>
        <v>Dia útil</v>
      </c>
      <c r="G1813" s="36" t="str">
        <f t="shared" si="112"/>
        <v>Dia útil</v>
      </c>
    </row>
    <row r="1814" spans="2:7" ht="12" customHeight="1">
      <c r="B1814" s="43">
        <v>1793</v>
      </c>
      <c r="C1814" s="44">
        <v>46354</v>
      </c>
      <c r="D1814" s="36">
        <f t="shared" si="110"/>
        <v>7</v>
      </c>
      <c r="E1814" s="36" t="str">
        <f t="shared" si="113"/>
        <v>Sáb</v>
      </c>
      <c r="F1814" s="36" t="str">
        <f t="shared" si="111"/>
        <v>Sáb</v>
      </c>
      <c r="G1814" s="36" t="str">
        <f t="shared" si="112"/>
        <v>Sáb</v>
      </c>
    </row>
    <row r="1815" spans="2:7" ht="12" customHeight="1">
      <c r="B1815" s="43">
        <v>1794</v>
      </c>
      <c r="C1815" s="44">
        <v>46355</v>
      </c>
      <c r="D1815" s="36">
        <f t="shared" ref="D1815:D1847" si="114">WEEKDAY(C1815,1)</f>
        <v>1</v>
      </c>
      <c r="E1815" s="36" t="str">
        <f t="shared" si="113"/>
        <v>Dom</v>
      </c>
      <c r="F1815" s="36" t="str">
        <f t="shared" ref="F1815:F1847" si="115">E1815</f>
        <v>Dom</v>
      </c>
      <c r="G1815" s="36" t="str">
        <f t="shared" ref="G1815:G1847" si="116">IF(AND(F1815="Feriado",OR(E1815="Sáb",E1815="Dom")),E1815,IF(AND(F1815="Feriado",E1815="Dia útil"),"Feriado",E1815))</f>
        <v>Dom</v>
      </c>
    </row>
    <row r="1816" spans="2:7" ht="12" customHeight="1">
      <c r="B1816" s="43">
        <v>1795</v>
      </c>
      <c r="C1816" s="44">
        <v>46356</v>
      </c>
      <c r="D1816" s="36">
        <f t="shared" si="114"/>
        <v>2</v>
      </c>
      <c r="E1816" s="36" t="str">
        <f t="shared" si="113"/>
        <v>Dia útil</v>
      </c>
      <c r="F1816" s="36" t="str">
        <f t="shared" si="115"/>
        <v>Dia útil</v>
      </c>
      <c r="G1816" s="36" t="str">
        <f t="shared" si="116"/>
        <v>Dia útil</v>
      </c>
    </row>
    <row r="1817" spans="2:7" ht="12" customHeight="1">
      <c r="B1817" s="43">
        <v>1796</v>
      </c>
      <c r="C1817" s="44">
        <v>46357</v>
      </c>
      <c r="D1817" s="36">
        <f t="shared" si="114"/>
        <v>3</v>
      </c>
      <c r="E1817" s="36" t="str">
        <f t="shared" ref="E1817:E1847" si="117">IF(D1817=1,"Dom",IF(D1817=7,"Sáb","Dia útil"))</f>
        <v>Dia útil</v>
      </c>
      <c r="F1817" s="36" t="str">
        <f t="shared" si="115"/>
        <v>Dia útil</v>
      </c>
      <c r="G1817" s="36" t="str">
        <f t="shared" si="116"/>
        <v>Dia útil</v>
      </c>
    </row>
    <row r="1818" spans="2:7" ht="12" customHeight="1">
      <c r="B1818" s="43">
        <v>1797</v>
      </c>
      <c r="C1818" s="44">
        <v>46358</v>
      </c>
      <c r="D1818" s="36">
        <f t="shared" si="114"/>
        <v>4</v>
      </c>
      <c r="E1818" s="36" t="str">
        <f t="shared" si="117"/>
        <v>Dia útil</v>
      </c>
      <c r="F1818" s="36" t="str">
        <f t="shared" si="115"/>
        <v>Dia útil</v>
      </c>
      <c r="G1818" s="36" t="str">
        <f t="shared" si="116"/>
        <v>Dia útil</v>
      </c>
    </row>
    <row r="1819" spans="2:7" ht="12" customHeight="1">
      <c r="B1819" s="43">
        <v>1798</v>
      </c>
      <c r="C1819" s="44">
        <v>46359</v>
      </c>
      <c r="D1819" s="36">
        <f t="shared" si="114"/>
        <v>5</v>
      </c>
      <c r="E1819" s="36" t="str">
        <f t="shared" si="117"/>
        <v>Dia útil</v>
      </c>
      <c r="F1819" s="36" t="str">
        <f t="shared" si="115"/>
        <v>Dia útil</v>
      </c>
      <c r="G1819" s="36" t="str">
        <f t="shared" si="116"/>
        <v>Dia útil</v>
      </c>
    </row>
    <row r="1820" spans="2:7" ht="12" customHeight="1">
      <c r="B1820" s="43">
        <v>1799</v>
      </c>
      <c r="C1820" s="44">
        <v>46360</v>
      </c>
      <c r="D1820" s="36">
        <f t="shared" si="114"/>
        <v>6</v>
      </c>
      <c r="E1820" s="36" t="str">
        <f t="shared" si="117"/>
        <v>Dia útil</v>
      </c>
      <c r="F1820" s="36" t="str">
        <f t="shared" si="115"/>
        <v>Dia útil</v>
      </c>
      <c r="G1820" s="36" t="str">
        <f t="shared" si="116"/>
        <v>Dia útil</v>
      </c>
    </row>
    <row r="1821" spans="2:7" ht="12" customHeight="1">
      <c r="B1821" s="43">
        <v>1800</v>
      </c>
      <c r="C1821" s="44">
        <v>46361</v>
      </c>
      <c r="D1821" s="36">
        <f t="shared" si="114"/>
        <v>7</v>
      </c>
      <c r="E1821" s="36" t="str">
        <f t="shared" si="117"/>
        <v>Sáb</v>
      </c>
      <c r="F1821" s="36" t="str">
        <f t="shared" si="115"/>
        <v>Sáb</v>
      </c>
      <c r="G1821" s="36" t="str">
        <f t="shared" si="116"/>
        <v>Sáb</v>
      </c>
    </row>
    <row r="1822" spans="2:7" ht="12" customHeight="1">
      <c r="B1822" s="43">
        <v>1801</v>
      </c>
      <c r="C1822" s="44">
        <v>46362</v>
      </c>
      <c r="D1822" s="36">
        <f t="shared" si="114"/>
        <v>1</v>
      </c>
      <c r="E1822" s="36" t="str">
        <f t="shared" si="117"/>
        <v>Dom</v>
      </c>
      <c r="F1822" s="36" t="str">
        <f t="shared" si="115"/>
        <v>Dom</v>
      </c>
      <c r="G1822" s="36" t="str">
        <f t="shared" si="116"/>
        <v>Dom</v>
      </c>
    </row>
    <row r="1823" spans="2:7" ht="12" customHeight="1">
      <c r="B1823" s="43">
        <v>1802</v>
      </c>
      <c r="C1823" s="44">
        <v>46363</v>
      </c>
      <c r="D1823" s="36">
        <f t="shared" si="114"/>
        <v>2</v>
      </c>
      <c r="E1823" s="36" t="str">
        <f t="shared" si="117"/>
        <v>Dia útil</v>
      </c>
      <c r="F1823" s="36" t="str">
        <f t="shared" si="115"/>
        <v>Dia útil</v>
      </c>
      <c r="G1823" s="36" t="str">
        <f t="shared" si="116"/>
        <v>Dia útil</v>
      </c>
    </row>
    <row r="1824" spans="2:7" ht="12" customHeight="1">
      <c r="B1824" s="43">
        <v>1803</v>
      </c>
      <c r="C1824" s="44">
        <v>46364</v>
      </c>
      <c r="D1824" s="36">
        <f t="shared" si="114"/>
        <v>3</v>
      </c>
      <c r="E1824" s="36" t="str">
        <f t="shared" si="117"/>
        <v>Dia útil</v>
      </c>
      <c r="F1824" s="36" t="str">
        <f t="shared" si="115"/>
        <v>Dia útil</v>
      </c>
      <c r="G1824" s="36" t="str">
        <f t="shared" si="116"/>
        <v>Dia útil</v>
      </c>
    </row>
    <row r="1825" spans="2:7" ht="12" customHeight="1">
      <c r="B1825" s="43">
        <v>1804</v>
      </c>
      <c r="C1825" s="44">
        <v>46365</v>
      </c>
      <c r="D1825" s="36">
        <f t="shared" si="114"/>
        <v>4</v>
      </c>
      <c r="E1825" s="36" t="str">
        <f t="shared" si="117"/>
        <v>Dia útil</v>
      </c>
      <c r="F1825" s="36" t="str">
        <f t="shared" si="115"/>
        <v>Dia útil</v>
      </c>
      <c r="G1825" s="36" t="str">
        <f t="shared" si="116"/>
        <v>Dia útil</v>
      </c>
    </row>
    <row r="1826" spans="2:7" ht="12" customHeight="1">
      <c r="B1826" s="43">
        <v>1805</v>
      </c>
      <c r="C1826" s="44">
        <v>46366</v>
      </c>
      <c r="D1826" s="36">
        <f t="shared" si="114"/>
        <v>5</v>
      </c>
      <c r="E1826" s="36" t="str">
        <f t="shared" si="117"/>
        <v>Dia útil</v>
      </c>
      <c r="F1826" s="36" t="str">
        <f t="shared" si="115"/>
        <v>Dia útil</v>
      </c>
      <c r="G1826" s="36" t="str">
        <f t="shared" si="116"/>
        <v>Dia útil</v>
      </c>
    </row>
    <row r="1827" spans="2:7" ht="12" customHeight="1">
      <c r="B1827" s="43">
        <v>1806</v>
      </c>
      <c r="C1827" s="44">
        <v>46367</v>
      </c>
      <c r="D1827" s="36">
        <f t="shared" si="114"/>
        <v>6</v>
      </c>
      <c r="E1827" s="36" t="str">
        <f t="shared" si="117"/>
        <v>Dia útil</v>
      </c>
      <c r="F1827" s="36" t="str">
        <f t="shared" si="115"/>
        <v>Dia útil</v>
      </c>
      <c r="G1827" s="36" t="str">
        <f t="shared" si="116"/>
        <v>Dia útil</v>
      </c>
    </row>
    <row r="1828" spans="2:7" ht="12" customHeight="1">
      <c r="B1828" s="43">
        <v>1807</v>
      </c>
      <c r="C1828" s="44">
        <v>46368</v>
      </c>
      <c r="D1828" s="36">
        <f t="shared" si="114"/>
        <v>7</v>
      </c>
      <c r="E1828" s="36" t="str">
        <f t="shared" si="117"/>
        <v>Sáb</v>
      </c>
      <c r="F1828" s="36" t="str">
        <f t="shared" si="115"/>
        <v>Sáb</v>
      </c>
      <c r="G1828" s="36" t="str">
        <f t="shared" si="116"/>
        <v>Sáb</v>
      </c>
    </row>
    <row r="1829" spans="2:7" ht="12" customHeight="1">
      <c r="B1829" s="43">
        <v>1808</v>
      </c>
      <c r="C1829" s="44">
        <v>46369</v>
      </c>
      <c r="D1829" s="36">
        <f t="shared" si="114"/>
        <v>1</v>
      </c>
      <c r="E1829" s="36" t="str">
        <f t="shared" si="117"/>
        <v>Dom</v>
      </c>
      <c r="F1829" s="36" t="str">
        <f t="shared" si="115"/>
        <v>Dom</v>
      </c>
      <c r="G1829" s="36" t="str">
        <f t="shared" si="116"/>
        <v>Dom</v>
      </c>
    </row>
    <row r="1830" spans="2:7" ht="12" customHeight="1">
      <c r="B1830" s="43">
        <v>1809</v>
      </c>
      <c r="C1830" s="44">
        <v>46370</v>
      </c>
      <c r="D1830" s="36">
        <f t="shared" si="114"/>
        <v>2</v>
      </c>
      <c r="E1830" s="36" t="str">
        <f t="shared" si="117"/>
        <v>Dia útil</v>
      </c>
      <c r="F1830" s="36" t="str">
        <f t="shared" si="115"/>
        <v>Dia útil</v>
      </c>
      <c r="G1830" s="36" t="str">
        <f t="shared" si="116"/>
        <v>Dia útil</v>
      </c>
    </row>
    <row r="1831" spans="2:7" ht="12" customHeight="1">
      <c r="B1831" s="43">
        <v>1810</v>
      </c>
      <c r="C1831" s="44">
        <v>46371</v>
      </c>
      <c r="D1831" s="36">
        <f t="shared" si="114"/>
        <v>3</v>
      </c>
      <c r="E1831" s="36" t="str">
        <f t="shared" si="117"/>
        <v>Dia útil</v>
      </c>
      <c r="F1831" s="36" t="str">
        <f t="shared" si="115"/>
        <v>Dia útil</v>
      </c>
      <c r="G1831" s="36" t="str">
        <f t="shared" si="116"/>
        <v>Dia útil</v>
      </c>
    </row>
    <row r="1832" spans="2:7" ht="12" customHeight="1">
      <c r="B1832" s="43">
        <v>1811</v>
      </c>
      <c r="C1832" s="44">
        <v>46372</v>
      </c>
      <c r="D1832" s="36">
        <f t="shared" si="114"/>
        <v>4</v>
      </c>
      <c r="E1832" s="36" t="str">
        <f t="shared" si="117"/>
        <v>Dia útil</v>
      </c>
      <c r="F1832" s="36" t="str">
        <f t="shared" si="115"/>
        <v>Dia útil</v>
      </c>
      <c r="G1832" s="36" t="str">
        <f t="shared" si="116"/>
        <v>Dia útil</v>
      </c>
    </row>
    <row r="1833" spans="2:7" ht="12" customHeight="1">
      <c r="B1833" s="43">
        <v>1812</v>
      </c>
      <c r="C1833" s="44">
        <v>46373</v>
      </c>
      <c r="D1833" s="36">
        <f t="shared" si="114"/>
        <v>5</v>
      </c>
      <c r="E1833" s="36" t="str">
        <f t="shared" si="117"/>
        <v>Dia útil</v>
      </c>
      <c r="F1833" s="36" t="str">
        <f t="shared" si="115"/>
        <v>Dia útil</v>
      </c>
      <c r="G1833" s="36" t="str">
        <f t="shared" si="116"/>
        <v>Dia útil</v>
      </c>
    </row>
    <row r="1834" spans="2:7" ht="12" customHeight="1">
      <c r="B1834" s="43">
        <v>1813</v>
      </c>
      <c r="C1834" s="44">
        <v>46374</v>
      </c>
      <c r="D1834" s="36">
        <f t="shared" si="114"/>
        <v>6</v>
      </c>
      <c r="E1834" s="36" t="str">
        <f t="shared" si="117"/>
        <v>Dia útil</v>
      </c>
      <c r="F1834" s="36" t="str">
        <f t="shared" si="115"/>
        <v>Dia útil</v>
      </c>
      <c r="G1834" s="36" t="str">
        <f t="shared" si="116"/>
        <v>Dia útil</v>
      </c>
    </row>
    <row r="1835" spans="2:7" ht="12" customHeight="1">
      <c r="B1835" s="43">
        <v>1814</v>
      </c>
      <c r="C1835" s="44">
        <v>46375</v>
      </c>
      <c r="D1835" s="36">
        <f t="shared" si="114"/>
        <v>7</v>
      </c>
      <c r="E1835" s="36" t="str">
        <f t="shared" si="117"/>
        <v>Sáb</v>
      </c>
      <c r="F1835" s="36" t="str">
        <f t="shared" si="115"/>
        <v>Sáb</v>
      </c>
      <c r="G1835" s="36" t="str">
        <f t="shared" si="116"/>
        <v>Sáb</v>
      </c>
    </row>
    <row r="1836" spans="2:7" ht="12" customHeight="1">
      <c r="B1836" s="43">
        <v>1815</v>
      </c>
      <c r="C1836" s="44">
        <v>46376</v>
      </c>
      <c r="D1836" s="36">
        <f t="shared" si="114"/>
        <v>1</v>
      </c>
      <c r="E1836" s="36" t="str">
        <f t="shared" si="117"/>
        <v>Dom</v>
      </c>
      <c r="F1836" s="36" t="str">
        <f t="shared" si="115"/>
        <v>Dom</v>
      </c>
      <c r="G1836" s="36" t="str">
        <f t="shared" si="116"/>
        <v>Dom</v>
      </c>
    </row>
    <row r="1837" spans="2:7" ht="12" customHeight="1">
      <c r="B1837" s="43">
        <v>1816</v>
      </c>
      <c r="C1837" s="44">
        <v>46377</v>
      </c>
      <c r="D1837" s="36">
        <f t="shared" si="114"/>
        <v>2</v>
      </c>
      <c r="E1837" s="36" t="str">
        <f t="shared" si="117"/>
        <v>Dia útil</v>
      </c>
      <c r="F1837" s="36" t="str">
        <f t="shared" si="115"/>
        <v>Dia útil</v>
      </c>
      <c r="G1837" s="36" t="str">
        <f t="shared" si="116"/>
        <v>Dia útil</v>
      </c>
    </row>
    <row r="1838" spans="2:7" ht="12" customHeight="1">
      <c r="B1838" s="43">
        <v>1817</v>
      </c>
      <c r="C1838" s="44">
        <v>46378</v>
      </c>
      <c r="D1838" s="36">
        <f t="shared" si="114"/>
        <v>3</v>
      </c>
      <c r="E1838" s="36" t="str">
        <f t="shared" si="117"/>
        <v>Dia útil</v>
      </c>
      <c r="F1838" s="36" t="str">
        <f t="shared" si="115"/>
        <v>Dia útil</v>
      </c>
      <c r="G1838" s="36" t="str">
        <f t="shared" si="116"/>
        <v>Dia útil</v>
      </c>
    </row>
    <row r="1839" spans="2:7" ht="12" customHeight="1">
      <c r="B1839" s="43">
        <v>1818</v>
      </c>
      <c r="C1839" s="44">
        <v>46379</v>
      </c>
      <c r="D1839" s="36">
        <f t="shared" si="114"/>
        <v>4</v>
      </c>
      <c r="E1839" s="36" t="str">
        <f t="shared" si="117"/>
        <v>Dia útil</v>
      </c>
      <c r="F1839" s="36" t="str">
        <f t="shared" si="115"/>
        <v>Dia útil</v>
      </c>
      <c r="G1839" s="36" t="str">
        <f t="shared" si="116"/>
        <v>Dia útil</v>
      </c>
    </row>
    <row r="1840" spans="2:7" ht="12" customHeight="1">
      <c r="B1840" s="43">
        <v>1819</v>
      </c>
      <c r="C1840" s="44">
        <v>46380</v>
      </c>
      <c r="D1840" s="36">
        <f t="shared" si="114"/>
        <v>5</v>
      </c>
      <c r="E1840" s="36" t="str">
        <f t="shared" si="117"/>
        <v>Dia útil</v>
      </c>
      <c r="F1840" s="36" t="str">
        <f t="shared" si="115"/>
        <v>Dia útil</v>
      </c>
      <c r="G1840" s="36" t="str">
        <f t="shared" si="116"/>
        <v>Dia útil</v>
      </c>
    </row>
    <row r="1841" spans="2:7" ht="12" customHeight="1">
      <c r="B1841" s="43">
        <v>1820</v>
      </c>
      <c r="C1841" s="44">
        <v>46381</v>
      </c>
      <c r="D1841" s="36">
        <f t="shared" si="114"/>
        <v>6</v>
      </c>
      <c r="E1841" s="36" t="str">
        <f t="shared" si="117"/>
        <v>Dia útil</v>
      </c>
      <c r="F1841" s="46" t="s">
        <v>1725</v>
      </c>
      <c r="G1841" s="36" t="str">
        <f t="shared" si="116"/>
        <v>Feriado</v>
      </c>
    </row>
    <row r="1842" spans="2:7" ht="12" customHeight="1">
      <c r="B1842" s="43">
        <v>1821</v>
      </c>
      <c r="C1842" s="44">
        <v>46382</v>
      </c>
      <c r="D1842" s="36">
        <f t="shared" si="114"/>
        <v>7</v>
      </c>
      <c r="E1842" s="36" t="str">
        <f t="shared" si="117"/>
        <v>Sáb</v>
      </c>
      <c r="F1842" s="36" t="str">
        <f t="shared" si="115"/>
        <v>Sáb</v>
      </c>
      <c r="G1842" s="36" t="str">
        <f t="shared" si="116"/>
        <v>Sáb</v>
      </c>
    </row>
    <row r="1843" spans="2:7" ht="12" customHeight="1">
      <c r="B1843" s="43">
        <v>1822</v>
      </c>
      <c r="C1843" s="44">
        <v>46383</v>
      </c>
      <c r="D1843" s="36">
        <f t="shared" si="114"/>
        <v>1</v>
      </c>
      <c r="E1843" s="36" t="str">
        <f t="shared" si="117"/>
        <v>Dom</v>
      </c>
      <c r="F1843" s="36" t="str">
        <f t="shared" si="115"/>
        <v>Dom</v>
      </c>
      <c r="G1843" s="36" t="str">
        <f t="shared" si="116"/>
        <v>Dom</v>
      </c>
    </row>
    <row r="1844" spans="2:7" ht="12" customHeight="1">
      <c r="B1844" s="43">
        <v>1823</v>
      </c>
      <c r="C1844" s="44">
        <v>46384</v>
      </c>
      <c r="D1844" s="36">
        <f t="shared" si="114"/>
        <v>2</v>
      </c>
      <c r="E1844" s="36" t="str">
        <f t="shared" si="117"/>
        <v>Dia útil</v>
      </c>
      <c r="F1844" s="36" t="str">
        <f t="shared" si="115"/>
        <v>Dia útil</v>
      </c>
      <c r="G1844" s="36" t="str">
        <f t="shared" si="116"/>
        <v>Dia útil</v>
      </c>
    </row>
    <row r="1845" spans="2:7" ht="12" customHeight="1">
      <c r="B1845" s="43">
        <v>1824</v>
      </c>
      <c r="C1845" s="44">
        <v>46385</v>
      </c>
      <c r="D1845" s="36">
        <f t="shared" si="114"/>
        <v>3</v>
      </c>
      <c r="E1845" s="36" t="str">
        <f t="shared" si="117"/>
        <v>Dia útil</v>
      </c>
      <c r="F1845" s="36" t="str">
        <f t="shared" si="115"/>
        <v>Dia útil</v>
      </c>
      <c r="G1845" s="36" t="str">
        <f t="shared" si="116"/>
        <v>Dia útil</v>
      </c>
    </row>
    <row r="1846" spans="2:7" ht="12" customHeight="1">
      <c r="B1846" s="43">
        <v>1825</v>
      </c>
      <c r="C1846" s="44">
        <v>46386</v>
      </c>
      <c r="D1846" s="36">
        <f t="shared" si="114"/>
        <v>4</v>
      </c>
      <c r="E1846" s="36" t="str">
        <f t="shared" si="117"/>
        <v>Dia útil</v>
      </c>
      <c r="F1846" s="36" t="str">
        <f t="shared" si="115"/>
        <v>Dia útil</v>
      </c>
      <c r="G1846" s="36" t="str">
        <f t="shared" si="116"/>
        <v>Dia útil</v>
      </c>
    </row>
    <row r="1847" spans="2:7" ht="12" customHeight="1">
      <c r="B1847" s="43">
        <v>1826</v>
      </c>
      <c r="C1847" s="44">
        <v>46387</v>
      </c>
      <c r="D1847" s="36">
        <f t="shared" si="114"/>
        <v>5</v>
      </c>
      <c r="E1847" s="36" t="str">
        <f t="shared" si="117"/>
        <v>Dia útil</v>
      </c>
      <c r="F1847" s="36" t="str">
        <f t="shared" si="115"/>
        <v>Dia útil</v>
      </c>
      <c r="G1847" s="36" t="str">
        <f t="shared" si="116"/>
        <v>Dia útil</v>
      </c>
    </row>
  </sheetData>
  <mergeCells count="20">
    <mergeCell ref="C8:E8"/>
    <mergeCell ref="C18:E18"/>
    <mergeCell ref="B20:B21"/>
    <mergeCell ref="C20:C21"/>
    <mergeCell ref="D20:G20"/>
    <mergeCell ref="D21:E21"/>
    <mergeCell ref="C14:E14"/>
    <mergeCell ref="C15:E15"/>
    <mergeCell ref="C9:E9"/>
    <mergeCell ref="C10:E10"/>
    <mergeCell ref="C11:E11"/>
    <mergeCell ref="C12:E12"/>
    <mergeCell ref="C13:E13"/>
    <mergeCell ref="C16:E16"/>
    <mergeCell ref="C7:E7"/>
    <mergeCell ref="C1:E1"/>
    <mergeCell ref="C2:E2"/>
    <mergeCell ref="C3:E3"/>
    <mergeCell ref="C4:E4"/>
    <mergeCell ref="C5:E5"/>
  </mergeCells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A4E9-C523-4B6E-B433-1FE51E008F56}">
  <sheetPr codeName="Planilha14">
    <tabColor rgb="FFFF0000"/>
  </sheetPr>
  <dimension ref="B2:AF32"/>
  <sheetViews>
    <sheetView showGridLines="0" zoomScale="70" zoomScaleNormal="70" workbookViewId="0">
      <selection activeCell="F6" sqref="F6"/>
    </sheetView>
  </sheetViews>
  <sheetFormatPr defaultColWidth="8.85546875" defaultRowHeight="12" customHeight="1"/>
  <cols>
    <col min="1" max="1" width="0.85546875" style="4" customWidth="1"/>
    <col min="2" max="2" width="5.85546875" style="4" customWidth="1"/>
    <col min="3" max="3" width="4.85546875" style="4" customWidth="1"/>
    <col min="4" max="4" width="2.85546875" style="4" customWidth="1"/>
    <col min="5" max="32" width="4.85546875" style="4" customWidth="1"/>
    <col min="33" max="16384" width="8.85546875" style="4"/>
  </cols>
  <sheetData>
    <row r="2" spans="2:32" ht="24" customHeight="1">
      <c r="B2" s="655" t="s">
        <v>276</v>
      </c>
      <c r="C2" s="655"/>
      <c r="D2" s="655"/>
      <c r="E2" s="654" t="s">
        <v>1726</v>
      </c>
      <c r="F2" s="654"/>
      <c r="G2" s="654"/>
      <c r="H2" s="654"/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654"/>
      <c r="Z2" s="654"/>
      <c r="AA2" s="654"/>
      <c r="AB2" s="654"/>
      <c r="AC2" s="654"/>
      <c r="AD2" s="654"/>
      <c r="AE2" s="654"/>
      <c r="AF2" s="654"/>
    </row>
    <row r="3" spans="2:32" ht="12" customHeight="1">
      <c r="B3" s="655"/>
      <c r="C3" s="655"/>
      <c r="D3" s="655"/>
      <c r="E3" s="7" t="s">
        <v>1727</v>
      </c>
      <c r="F3" s="8" t="s">
        <v>1728</v>
      </c>
      <c r="G3" s="7" t="s">
        <v>1729</v>
      </c>
      <c r="H3" s="8" t="s">
        <v>1730</v>
      </c>
      <c r="I3" s="7" t="s">
        <v>1731</v>
      </c>
      <c r="J3" s="8" t="s">
        <v>1732</v>
      </c>
      <c r="K3" s="7" t="s">
        <v>1733</v>
      </c>
      <c r="L3" s="8" t="s">
        <v>1734</v>
      </c>
      <c r="M3" s="7" t="s">
        <v>1735</v>
      </c>
      <c r="N3" s="8" t="s">
        <v>1736</v>
      </c>
      <c r="O3" s="7" t="s">
        <v>1737</v>
      </c>
      <c r="P3" s="8" t="s">
        <v>1738</v>
      </c>
      <c r="Q3" s="7" t="s">
        <v>1739</v>
      </c>
      <c r="R3" s="8" t="s">
        <v>1740</v>
      </c>
      <c r="S3" s="7" t="s">
        <v>1741</v>
      </c>
      <c r="T3" s="8" t="s">
        <v>1742</v>
      </c>
      <c r="U3" s="7" t="s">
        <v>1743</v>
      </c>
      <c r="V3" s="8" t="s">
        <v>1744</v>
      </c>
      <c r="W3" s="7" t="s">
        <v>1745</v>
      </c>
      <c r="X3" s="8" t="s">
        <v>1746</v>
      </c>
      <c r="Y3" s="7" t="s">
        <v>1747</v>
      </c>
      <c r="Z3" s="8" t="s">
        <v>1748</v>
      </c>
      <c r="AA3" s="7" t="s">
        <v>1749</v>
      </c>
      <c r="AB3" s="8" t="s">
        <v>1750</v>
      </c>
      <c r="AC3" s="7" t="s">
        <v>35</v>
      </c>
      <c r="AD3" s="8" t="s">
        <v>1751</v>
      </c>
      <c r="AE3" s="7" t="s">
        <v>1752</v>
      </c>
      <c r="AF3" s="8" t="s">
        <v>1753</v>
      </c>
    </row>
    <row r="4" spans="2:32" ht="12" customHeight="1">
      <c r="B4" s="655"/>
      <c r="C4" s="655"/>
      <c r="D4" s="655"/>
      <c r="E4" s="11">
        <v>1</v>
      </c>
      <c r="F4" s="11">
        <v>2</v>
      </c>
      <c r="G4" s="11">
        <v>3</v>
      </c>
      <c r="H4" s="11">
        <v>4</v>
      </c>
      <c r="I4" s="11">
        <v>5</v>
      </c>
      <c r="J4" s="11">
        <v>6</v>
      </c>
      <c r="K4" s="11">
        <v>7</v>
      </c>
      <c r="L4" s="11">
        <v>8</v>
      </c>
      <c r="M4" s="11">
        <v>9</v>
      </c>
      <c r="N4" s="11">
        <v>10</v>
      </c>
      <c r="O4" s="11">
        <v>11</v>
      </c>
      <c r="P4" s="11">
        <v>12</v>
      </c>
      <c r="Q4" s="11">
        <v>13</v>
      </c>
      <c r="R4" s="11">
        <v>14</v>
      </c>
      <c r="S4" s="11">
        <v>15</v>
      </c>
      <c r="T4" s="11">
        <v>16</v>
      </c>
      <c r="U4" s="11">
        <v>17</v>
      </c>
      <c r="V4" s="11">
        <v>18</v>
      </c>
      <c r="W4" s="11">
        <v>19</v>
      </c>
      <c r="X4" s="11">
        <v>20</v>
      </c>
      <c r="Y4" s="11">
        <v>21</v>
      </c>
      <c r="Z4" s="11">
        <v>22</v>
      </c>
      <c r="AA4" s="11">
        <v>23</v>
      </c>
      <c r="AB4" s="11">
        <v>24</v>
      </c>
      <c r="AC4" s="11">
        <v>25</v>
      </c>
      <c r="AD4" s="11">
        <v>26</v>
      </c>
      <c r="AE4" s="11">
        <v>27</v>
      </c>
      <c r="AF4" s="11">
        <v>28</v>
      </c>
    </row>
    <row r="5" spans="2:32" ht="12" customHeight="1">
      <c r="B5" s="653" t="s">
        <v>1754</v>
      </c>
      <c r="C5" s="13" t="s">
        <v>1727</v>
      </c>
      <c r="D5" s="11">
        <v>1</v>
      </c>
      <c r="E5" s="5">
        <v>0.17</v>
      </c>
      <c r="F5" s="6">
        <v>0.12</v>
      </c>
      <c r="G5" s="6">
        <v>0.12</v>
      </c>
      <c r="H5" s="6">
        <v>0.12</v>
      </c>
      <c r="I5" s="6">
        <v>0.12</v>
      </c>
      <c r="J5" s="6">
        <v>0.12</v>
      </c>
      <c r="K5" s="6">
        <v>0.12</v>
      </c>
      <c r="L5" s="6">
        <v>0.12</v>
      </c>
      <c r="M5" s="6">
        <v>0.12</v>
      </c>
      <c r="N5" s="6">
        <v>0.12</v>
      </c>
      <c r="O5" s="6">
        <v>0.12</v>
      </c>
      <c r="P5" s="6">
        <v>0.12</v>
      </c>
      <c r="Q5" s="6">
        <v>0.12</v>
      </c>
      <c r="R5" s="6">
        <v>0.12</v>
      </c>
      <c r="S5" s="6">
        <v>0.12</v>
      </c>
      <c r="T5" s="6">
        <v>0.12</v>
      </c>
      <c r="U5" s="6">
        <v>0.12</v>
      </c>
      <c r="V5" s="6">
        <v>0.12</v>
      </c>
      <c r="W5" s="6">
        <v>0.12</v>
      </c>
      <c r="X5" s="6">
        <v>0.12</v>
      </c>
      <c r="Y5" s="6">
        <v>0.12</v>
      </c>
      <c r="Z5" s="6">
        <v>0.12</v>
      </c>
      <c r="AA5" s="6">
        <v>0.12</v>
      </c>
      <c r="AB5" s="6">
        <v>0.12</v>
      </c>
      <c r="AC5" s="6">
        <v>0.12</v>
      </c>
      <c r="AD5" s="6">
        <v>0.12</v>
      </c>
      <c r="AE5" s="6">
        <v>0.12</v>
      </c>
      <c r="AF5" s="6">
        <v>0.04</v>
      </c>
    </row>
    <row r="6" spans="2:32" ht="12" customHeight="1">
      <c r="B6" s="653"/>
      <c r="C6" s="12" t="s">
        <v>1728</v>
      </c>
      <c r="D6" s="11">
        <v>2</v>
      </c>
      <c r="E6" s="6">
        <v>0.12</v>
      </c>
      <c r="F6" s="5">
        <v>0.12</v>
      </c>
      <c r="G6" s="6">
        <v>0.12</v>
      </c>
      <c r="H6" s="6">
        <v>0.12</v>
      </c>
      <c r="I6" s="6">
        <v>0.12</v>
      </c>
      <c r="J6" s="6">
        <v>0.12</v>
      </c>
      <c r="K6" s="6">
        <v>0.12</v>
      </c>
      <c r="L6" s="6">
        <v>0.12</v>
      </c>
      <c r="M6" s="6">
        <v>0.12</v>
      </c>
      <c r="N6" s="6">
        <v>0.12</v>
      </c>
      <c r="O6" s="6">
        <v>0.12</v>
      </c>
      <c r="P6" s="6">
        <v>0.12</v>
      </c>
      <c r="Q6" s="6">
        <v>0.12</v>
      </c>
      <c r="R6" s="6">
        <v>0.12</v>
      </c>
      <c r="S6" s="6">
        <v>0.12</v>
      </c>
      <c r="T6" s="6">
        <v>0.12</v>
      </c>
      <c r="U6" s="6">
        <v>0.12</v>
      </c>
      <c r="V6" s="6">
        <v>0.12</v>
      </c>
      <c r="W6" s="6">
        <v>0.12</v>
      </c>
      <c r="X6" s="6">
        <v>0.12</v>
      </c>
      <c r="Y6" s="6">
        <v>0.12</v>
      </c>
      <c r="Z6" s="6">
        <v>0.12</v>
      </c>
      <c r="AA6" s="6">
        <v>0.12</v>
      </c>
      <c r="AB6" s="6">
        <v>0.12</v>
      </c>
      <c r="AC6" s="6">
        <v>0.12</v>
      </c>
      <c r="AD6" s="6">
        <v>0.12</v>
      </c>
      <c r="AE6" s="6">
        <v>0.12</v>
      </c>
      <c r="AF6" s="6">
        <v>0.04</v>
      </c>
    </row>
    <row r="7" spans="2:32" ht="12" customHeight="1">
      <c r="B7" s="653"/>
      <c r="C7" s="13" t="s">
        <v>1729</v>
      </c>
      <c r="D7" s="11">
        <v>3</v>
      </c>
      <c r="E7" s="6">
        <v>0.12</v>
      </c>
      <c r="F7" s="6">
        <v>0.12</v>
      </c>
      <c r="G7" s="5">
        <v>0.18</v>
      </c>
      <c r="H7" s="6">
        <v>0.12</v>
      </c>
      <c r="I7" s="6">
        <v>0.12</v>
      </c>
      <c r="J7" s="6">
        <v>0.12</v>
      </c>
      <c r="K7" s="6">
        <v>0.12</v>
      </c>
      <c r="L7" s="6">
        <v>0.12</v>
      </c>
      <c r="M7" s="6">
        <v>0.12</v>
      </c>
      <c r="N7" s="6">
        <v>0.12</v>
      </c>
      <c r="O7" s="6">
        <v>0.12</v>
      </c>
      <c r="P7" s="6">
        <v>0.12</v>
      </c>
      <c r="Q7" s="6">
        <v>0.12</v>
      </c>
      <c r="R7" s="6">
        <v>0.12</v>
      </c>
      <c r="S7" s="6">
        <v>0.12</v>
      </c>
      <c r="T7" s="6">
        <v>0.12</v>
      </c>
      <c r="U7" s="6">
        <v>0.12</v>
      </c>
      <c r="V7" s="6">
        <v>0.12</v>
      </c>
      <c r="W7" s="6">
        <v>0.12</v>
      </c>
      <c r="X7" s="6">
        <v>0.12</v>
      </c>
      <c r="Y7" s="6">
        <v>0.12</v>
      </c>
      <c r="Z7" s="6">
        <v>0.12</v>
      </c>
      <c r="AA7" s="6">
        <v>0.12</v>
      </c>
      <c r="AB7" s="6">
        <v>0.12</v>
      </c>
      <c r="AC7" s="6">
        <v>0.12</v>
      </c>
      <c r="AD7" s="6">
        <v>0.12</v>
      </c>
      <c r="AE7" s="6">
        <v>0.12</v>
      </c>
      <c r="AF7" s="6">
        <v>0.04</v>
      </c>
    </row>
    <row r="8" spans="2:32" ht="12" customHeight="1">
      <c r="B8" s="653"/>
      <c r="C8" s="12" t="s">
        <v>1730</v>
      </c>
      <c r="D8" s="11">
        <v>4</v>
      </c>
      <c r="E8" s="6">
        <v>0.12</v>
      </c>
      <c r="F8" s="6">
        <v>0.12</v>
      </c>
      <c r="G8" s="6">
        <v>0.12</v>
      </c>
      <c r="H8" s="5">
        <v>0.18</v>
      </c>
      <c r="I8" s="6">
        <v>0.12</v>
      </c>
      <c r="J8" s="6">
        <v>0.12</v>
      </c>
      <c r="K8" s="6">
        <v>0.12</v>
      </c>
      <c r="L8" s="6">
        <v>0.12</v>
      </c>
      <c r="M8" s="6">
        <v>0.12</v>
      </c>
      <c r="N8" s="6">
        <v>0.12</v>
      </c>
      <c r="O8" s="6">
        <v>0.12</v>
      </c>
      <c r="P8" s="6">
        <v>0.12</v>
      </c>
      <c r="Q8" s="6">
        <v>0.12</v>
      </c>
      <c r="R8" s="6">
        <v>0.12</v>
      </c>
      <c r="S8" s="6">
        <v>0.12</v>
      </c>
      <c r="T8" s="6">
        <v>0.12</v>
      </c>
      <c r="U8" s="6">
        <v>0.12</v>
      </c>
      <c r="V8" s="6">
        <v>0.12</v>
      </c>
      <c r="W8" s="6">
        <v>0.12</v>
      </c>
      <c r="X8" s="6">
        <v>0.12</v>
      </c>
      <c r="Y8" s="6">
        <v>0.12</v>
      </c>
      <c r="Z8" s="6">
        <v>0.12</v>
      </c>
      <c r="AA8" s="6">
        <v>0.12</v>
      </c>
      <c r="AB8" s="6">
        <v>0.12</v>
      </c>
      <c r="AC8" s="6">
        <v>0.12</v>
      </c>
      <c r="AD8" s="6">
        <v>0.12</v>
      </c>
      <c r="AE8" s="6">
        <v>0.12</v>
      </c>
      <c r="AF8" s="6">
        <v>0.04</v>
      </c>
    </row>
    <row r="9" spans="2:32" ht="12" customHeight="1">
      <c r="B9" s="653"/>
      <c r="C9" s="13" t="s">
        <v>1731</v>
      </c>
      <c r="D9" s="11">
        <v>5</v>
      </c>
      <c r="E9" s="6">
        <v>0.12</v>
      </c>
      <c r="F9" s="6">
        <v>0.12</v>
      </c>
      <c r="G9" s="6">
        <v>0.12</v>
      </c>
      <c r="H9" s="6">
        <v>0.12</v>
      </c>
      <c r="I9" s="5">
        <v>0.18</v>
      </c>
      <c r="J9" s="6">
        <v>0.12</v>
      </c>
      <c r="K9" s="6">
        <v>0.12</v>
      </c>
      <c r="L9" s="6">
        <v>0.12</v>
      </c>
      <c r="M9" s="6">
        <v>0.12</v>
      </c>
      <c r="N9" s="6">
        <v>0.12</v>
      </c>
      <c r="O9" s="6">
        <v>0.12</v>
      </c>
      <c r="P9" s="6">
        <v>0.12</v>
      </c>
      <c r="Q9" s="6">
        <v>0.12</v>
      </c>
      <c r="R9" s="6">
        <v>0.12</v>
      </c>
      <c r="S9" s="6">
        <v>0.12</v>
      </c>
      <c r="T9" s="6">
        <v>0.12</v>
      </c>
      <c r="U9" s="6">
        <v>0.12</v>
      </c>
      <c r="V9" s="6">
        <v>0.12</v>
      </c>
      <c r="W9" s="6">
        <v>0.12</v>
      </c>
      <c r="X9" s="6">
        <v>0.12</v>
      </c>
      <c r="Y9" s="6">
        <v>0.12</v>
      </c>
      <c r="Z9" s="6">
        <v>0.12</v>
      </c>
      <c r="AA9" s="6">
        <v>0.12</v>
      </c>
      <c r="AB9" s="6">
        <v>0.12</v>
      </c>
      <c r="AC9" s="6">
        <v>0.12</v>
      </c>
      <c r="AD9" s="6">
        <v>0.12</v>
      </c>
      <c r="AE9" s="6">
        <v>0.12</v>
      </c>
      <c r="AF9" s="6">
        <v>0.04</v>
      </c>
    </row>
    <row r="10" spans="2:32" ht="12" customHeight="1">
      <c r="B10" s="653"/>
      <c r="C10" s="12" t="s">
        <v>1732</v>
      </c>
      <c r="D10" s="11">
        <v>6</v>
      </c>
      <c r="E10" s="6">
        <v>0.12</v>
      </c>
      <c r="F10" s="6">
        <v>0.12</v>
      </c>
      <c r="G10" s="6">
        <v>0.12</v>
      </c>
      <c r="H10" s="6">
        <v>0.12</v>
      </c>
      <c r="I10" s="6">
        <v>0.12</v>
      </c>
      <c r="J10" s="5">
        <v>0.18</v>
      </c>
      <c r="K10" s="6">
        <v>0.12</v>
      </c>
      <c r="L10" s="6">
        <v>0.12</v>
      </c>
      <c r="M10" s="6">
        <v>0.12</v>
      </c>
      <c r="N10" s="6">
        <v>0.12</v>
      </c>
      <c r="O10" s="6">
        <v>0.12</v>
      </c>
      <c r="P10" s="6">
        <v>0.12</v>
      </c>
      <c r="Q10" s="6">
        <v>0.12</v>
      </c>
      <c r="R10" s="6">
        <v>0.12</v>
      </c>
      <c r="S10" s="6">
        <v>0.12</v>
      </c>
      <c r="T10" s="6">
        <v>0.12</v>
      </c>
      <c r="U10" s="6">
        <v>0.12</v>
      </c>
      <c r="V10" s="6">
        <v>0.12</v>
      </c>
      <c r="W10" s="6">
        <v>0.12</v>
      </c>
      <c r="X10" s="6">
        <v>0.12</v>
      </c>
      <c r="Y10" s="6">
        <v>0.12</v>
      </c>
      <c r="Z10" s="6">
        <v>0.12</v>
      </c>
      <c r="AA10" s="6">
        <v>0.12</v>
      </c>
      <c r="AB10" s="6">
        <v>0.12</v>
      </c>
      <c r="AC10" s="6">
        <v>0.12</v>
      </c>
      <c r="AD10" s="6">
        <v>0.12</v>
      </c>
      <c r="AE10" s="6">
        <v>0.12</v>
      </c>
      <c r="AF10" s="6">
        <v>0.04</v>
      </c>
    </row>
    <row r="11" spans="2:32" ht="12" customHeight="1">
      <c r="B11" s="653"/>
      <c r="C11" s="13" t="s">
        <v>1733</v>
      </c>
      <c r="D11" s="11">
        <v>7</v>
      </c>
      <c r="E11" s="6">
        <v>0.12</v>
      </c>
      <c r="F11" s="6">
        <v>0.12</v>
      </c>
      <c r="G11" s="6">
        <v>0.12</v>
      </c>
      <c r="H11" s="6">
        <v>0.12</v>
      </c>
      <c r="I11" s="6">
        <v>0.12</v>
      </c>
      <c r="J11" s="6">
        <v>0.12</v>
      </c>
      <c r="K11" s="5">
        <v>0.18</v>
      </c>
      <c r="L11" s="6">
        <v>0.12</v>
      </c>
      <c r="M11" s="6">
        <v>0.12</v>
      </c>
      <c r="N11" s="6">
        <v>0.12</v>
      </c>
      <c r="O11" s="6">
        <v>0.12</v>
      </c>
      <c r="P11" s="6">
        <v>0.12</v>
      </c>
      <c r="Q11" s="6">
        <v>0.12</v>
      </c>
      <c r="R11" s="6">
        <v>0.12</v>
      </c>
      <c r="S11" s="6">
        <v>0.12</v>
      </c>
      <c r="T11" s="6">
        <v>0.12</v>
      </c>
      <c r="U11" s="6">
        <v>0.12</v>
      </c>
      <c r="V11" s="6">
        <v>0.12</v>
      </c>
      <c r="W11" s="6">
        <v>0.12</v>
      </c>
      <c r="X11" s="6">
        <v>0.12</v>
      </c>
      <c r="Y11" s="6">
        <v>0.12</v>
      </c>
      <c r="Z11" s="6">
        <v>0.12</v>
      </c>
      <c r="AA11" s="6">
        <v>0.12</v>
      </c>
      <c r="AB11" s="6">
        <v>0.12</v>
      </c>
      <c r="AC11" s="6">
        <v>0.12</v>
      </c>
      <c r="AD11" s="6">
        <v>0.12</v>
      </c>
      <c r="AE11" s="6">
        <v>0.12</v>
      </c>
      <c r="AF11" s="6">
        <v>0.04</v>
      </c>
    </row>
    <row r="12" spans="2:32" ht="12" customHeight="1">
      <c r="B12" s="653"/>
      <c r="C12" s="12" t="s">
        <v>1734</v>
      </c>
      <c r="D12" s="11">
        <v>8</v>
      </c>
      <c r="E12" s="6">
        <v>0.12</v>
      </c>
      <c r="F12" s="6">
        <v>0.12</v>
      </c>
      <c r="G12" s="6">
        <v>0.12</v>
      </c>
      <c r="H12" s="6">
        <v>0.12</v>
      </c>
      <c r="I12" s="6">
        <v>0.12</v>
      </c>
      <c r="J12" s="6">
        <v>0.12</v>
      </c>
      <c r="K12" s="6">
        <v>0.12</v>
      </c>
      <c r="L12" s="5">
        <v>0.17</v>
      </c>
      <c r="M12" s="6">
        <v>0.12</v>
      </c>
      <c r="N12" s="6">
        <v>0.12</v>
      </c>
      <c r="O12" s="6">
        <v>0.12</v>
      </c>
      <c r="P12" s="6">
        <v>0.12</v>
      </c>
      <c r="Q12" s="6">
        <v>0.12</v>
      </c>
      <c r="R12" s="6">
        <v>0.12</v>
      </c>
      <c r="S12" s="6">
        <v>0.12</v>
      </c>
      <c r="T12" s="6">
        <v>0.12</v>
      </c>
      <c r="U12" s="6">
        <v>0.12</v>
      </c>
      <c r="V12" s="6">
        <v>0.12</v>
      </c>
      <c r="W12" s="6">
        <v>0.12</v>
      </c>
      <c r="X12" s="6">
        <v>0.12</v>
      </c>
      <c r="Y12" s="6">
        <v>0.12</v>
      </c>
      <c r="Z12" s="6">
        <v>0.12</v>
      </c>
      <c r="AA12" s="6">
        <v>0.12</v>
      </c>
      <c r="AB12" s="6">
        <v>0.12</v>
      </c>
      <c r="AC12" s="6">
        <v>0.12</v>
      </c>
      <c r="AD12" s="6">
        <v>0.12</v>
      </c>
      <c r="AE12" s="6">
        <v>0.12</v>
      </c>
      <c r="AF12" s="6">
        <v>0.04</v>
      </c>
    </row>
    <row r="13" spans="2:32" ht="12" customHeight="1">
      <c r="B13" s="653"/>
      <c r="C13" s="13" t="s">
        <v>1735</v>
      </c>
      <c r="D13" s="11">
        <v>9</v>
      </c>
      <c r="E13" s="6">
        <v>0.12</v>
      </c>
      <c r="F13" s="6">
        <v>0.12</v>
      </c>
      <c r="G13" s="6">
        <v>0.12</v>
      </c>
      <c r="H13" s="6">
        <v>0.12</v>
      </c>
      <c r="I13" s="6">
        <v>0.12</v>
      </c>
      <c r="J13" s="6">
        <v>0.12</v>
      </c>
      <c r="K13" s="6">
        <v>0.12</v>
      </c>
      <c r="L13" s="6">
        <v>0.12</v>
      </c>
      <c r="M13" s="5">
        <v>0.17</v>
      </c>
      <c r="N13" s="6">
        <v>0.12</v>
      </c>
      <c r="O13" s="6">
        <v>0.12</v>
      </c>
      <c r="P13" s="6">
        <v>0.12</v>
      </c>
      <c r="Q13" s="6">
        <v>0.12</v>
      </c>
      <c r="R13" s="6">
        <v>0.12</v>
      </c>
      <c r="S13" s="6">
        <v>0.12</v>
      </c>
      <c r="T13" s="6">
        <v>0.12</v>
      </c>
      <c r="U13" s="6">
        <v>0.12</v>
      </c>
      <c r="V13" s="6">
        <v>0.12</v>
      </c>
      <c r="W13" s="6">
        <v>0.12</v>
      </c>
      <c r="X13" s="6">
        <v>0.12</v>
      </c>
      <c r="Y13" s="6">
        <v>0.12</v>
      </c>
      <c r="Z13" s="6">
        <v>0.12</v>
      </c>
      <c r="AA13" s="6">
        <v>0.12</v>
      </c>
      <c r="AB13" s="6">
        <v>0.12</v>
      </c>
      <c r="AC13" s="6">
        <v>0.12</v>
      </c>
      <c r="AD13" s="6">
        <v>0.12</v>
      </c>
      <c r="AE13" s="6">
        <v>0.12</v>
      </c>
      <c r="AF13" s="6">
        <v>0.04</v>
      </c>
    </row>
    <row r="14" spans="2:32" ht="12" customHeight="1">
      <c r="B14" s="653"/>
      <c r="C14" s="12" t="s">
        <v>1736</v>
      </c>
      <c r="D14" s="11">
        <v>10</v>
      </c>
      <c r="E14" s="6">
        <v>0.12</v>
      </c>
      <c r="F14" s="6">
        <v>0.12</v>
      </c>
      <c r="G14" s="6">
        <v>0.12</v>
      </c>
      <c r="H14" s="6">
        <v>0.12</v>
      </c>
      <c r="I14" s="6">
        <v>0.12</v>
      </c>
      <c r="J14" s="6">
        <v>0.12</v>
      </c>
      <c r="K14" s="6">
        <v>0.12</v>
      </c>
      <c r="L14" s="6">
        <v>0.12</v>
      </c>
      <c r="M14" s="6">
        <v>0.12</v>
      </c>
      <c r="N14" s="5">
        <v>0.18</v>
      </c>
      <c r="O14" s="6">
        <v>0.12</v>
      </c>
      <c r="P14" s="6">
        <v>0.12</v>
      </c>
      <c r="Q14" s="6">
        <v>0.12</v>
      </c>
      <c r="R14" s="6">
        <v>0.12</v>
      </c>
      <c r="S14" s="6">
        <v>0.12</v>
      </c>
      <c r="T14" s="6">
        <v>0.12</v>
      </c>
      <c r="U14" s="6">
        <v>0.12</v>
      </c>
      <c r="V14" s="6">
        <v>0.12</v>
      </c>
      <c r="W14" s="6">
        <v>0.12</v>
      </c>
      <c r="X14" s="6">
        <v>0.12</v>
      </c>
      <c r="Y14" s="6">
        <v>0.12</v>
      </c>
      <c r="Z14" s="6">
        <v>0.12</v>
      </c>
      <c r="AA14" s="6">
        <v>0.12</v>
      </c>
      <c r="AB14" s="6">
        <v>0.12</v>
      </c>
      <c r="AC14" s="6">
        <v>0.12</v>
      </c>
      <c r="AD14" s="6">
        <v>0.12</v>
      </c>
      <c r="AE14" s="6">
        <v>0.12</v>
      </c>
      <c r="AF14" s="6">
        <v>0.04</v>
      </c>
    </row>
    <row r="15" spans="2:32" ht="12" customHeight="1">
      <c r="B15" s="653"/>
      <c r="C15" s="13" t="s">
        <v>1737</v>
      </c>
      <c r="D15" s="11">
        <v>11</v>
      </c>
      <c r="E15" s="6">
        <v>0.12</v>
      </c>
      <c r="F15" s="6">
        <v>0.12</v>
      </c>
      <c r="G15" s="6">
        <v>0.12</v>
      </c>
      <c r="H15" s="6">
        <v>0.12</v>
      </c>
      <c r="I15" s="6">
        <v>0.12</v>
      </c>
      <c r="J15" s="6">
        <v>0.12</v>
      </c>
      <c r="K15" s="6">
        <v>0.12</v>
      </c>
      <c r="L15" s="6">
        <v>0.12</v>
      </c>
      <c r="M15" s="6">
        <v>0.12</v>
      </c>
      <c r="N15" s="6">
        <v>0.12</v>
      </c>
      <c r="O15" s="5">
        <v>0.17</v>
      </c>
      <c r="P15" s="6">
        <v>0.12</v>
      </c>
      <c r="Q15" s="6">
        <v>0.12</v>
      </c>
      <c r="R15" s="6">
        <v>0.12</v>
      </c>
      <c r="S15" s="6">
        <v>0.12</v>
      </c>
      <c r="T15" s="6">
        <v>0.12</v>
      </c>
      <c r="U15" s="6">
        <v>0.12</v>
      </c>
      <c r="V15" s="6">
        <v>0.12</v>
      </c>
      <c r="W15" s="6">
        <v>0.12</v>
      </c>
      <c r="X15" s="6">
        <v>0.12</v>
      </c>
      <c r="Y15" s="6">
        <v>0.12</v>
      </c>
      <c r="Z15" s="6">
        <v>0.12</v>
      </c>
      <c r="AA15" s="6">
        <v>0.12</v>
      </c>
      <c r="AB15" s="6">
        <v>0.12</v>
      </c>
      <c r="AC15" s="6">
        <v>0.12</v>
      </c>
      <c r="AD15" s="6">
        <v>0.12</v>
      </c>
      <c r="AE15" s="6">
        <v>0.12</v>
      </c>
      <c r="AF15" s="6">
        <v>0.04</v>
      </c>
    </row>
    <row r="16" spans="2:32" ht="12" customHeight="1">
      <c r="B16" s="653"/>
      <c r="C16" s="12" t="s">
        <v>1738</v>
      </c>
      <c r="D16" s="11">
        <v>12</v>
      </c>
      <c r="E16" s="6">
        <v>0.12</v>
      </c>
      <c r="F16" s="6">
        <v>0.12</v>
      </c>
      <c r="G16" s="6">
        <v>0.12</v>
      </c>
      <c r="H16" s="6">
        <v>0.12</v>
      </c>
      <c r="I16" s="6">
        <v>0.12</v>
      </c>
      <c r="J16" s="6">
        <v>0.12</v>
      </c>
      <c r="K16" s="6">
        <v>0.12</v>
      </c>
      <c r="L16" s="6">
        <v>0.12</v>
      </c>
      <c r="M16" s="6">
        <v>0.12</v>
      </c>
      <c r="N16" s="6">
        <v>0.12</v>
      </c>
      <c r="O16" s="6">
        <v>0.12</v>
      </c>
      <c r="P16" s="5">
        <v>0.17</v>
      </c>
      <c r="Q16" s="6">
        <v>0.12</v>
      </c>
      <c r="R16" s="6">
        <v>0.12</v>
      </c>
      <c r="S16" s="6">
        <v>0.12</v>
      </c>
      <c r="T16" s="6">
        <v>0.12</v>
      </c>
      <c r="U16" s="6">
        <v>0.12</v>
      </c>
      <c r="V16" s="6">
        <v>0.12</v>
      </c>
      <c r="W16" s="6">
        <v>0.12</v>
      </c>
      <c r="X16" s="6">
        <v>0.12</v>
      </c>
      <c r="Y16" s="6">
        <v>0.12</v>
      </c>
      <c r="Z16" s="6">
        <v>0.12</v>
      </c>
      <c r="AA16" s="6">
        <v>0.12</v>
      </c>
      <c r="AB16" s="6">
        <v>0.12</v>
      </c>
      <c r="AC16" s="6">
        <v>0.12</v>
      </c>
      <c r="AD16" s="6">
        <v>0.12</v>
      </c>
      <c r="AE16" s="6">
        <v>0.12</v>
      </c>
      <c r="AF16" s="6">
        <v>0.04</v>
      </c>
    </row>
    <row r="17" spans="2:32" ht="12" customHeight="1">
      <c r="B17" s="653"/>
      <c r="C17" s="13" t="s">
        <v>1739</v>
      </c>
      <c r="D17" s="11">
        <v>13</v>
      </c>
      <c r="E17" s="6">
        <v>7.0000000000000007E-2</v>
      </c>
      <c r="F17" s="6">
        <v>7.0000000000000007E-2</v>
      </c>
      <c r="G17" s="6">
        <v>7.0000000000000007E-2</v>
      </c>
      <c r="H17" s="6">
        <v>7.0000000000000007E-2</v>
      </c>
      <c r="I17" s="6">
        <v>7.0000000000000007E-2</v>
      </c>
      <c r="J17" s="6">
        <v>7.0000000000000007E-2</v>
      </c>
      <c r="K17" s="6">
        <v>7.0000000000000007E-2</v>
      </c>
      <c r="L17" s="6">
        <v>7.0000000000000007E-2</v>
      </c>
      <c r="M17" s="6">
        <v>7.0000000000000007E-2</v>
      </c>
      <c r="N17" s="6">
        <v>7.0000000000000007E-2</v>
      </c>
      <c r="O17" s="6">
        <v>7.0000000000000007E-2</v>
      </c>
      <c r="P17" s="6">
        <v>7.0000000000000007E-2</v>
      </c>
      <c r="Q17" s="5">
        <v>0.18</v>
      </c>
      <c r="R17" s="6">
        <v>7.0000000000000007E-2</v>
      </c>
      <c r="S17" s="6">
        <v>7.0000000000000007E-2</v>
      </c>
      <c r="T17" s="6">
        <v>0.12</v>
      </c>
      <c r="U17" s="6">
        <v>7.0000000000000007E-2</v>
      </c>
      <c r="V17" s="6">
        <v>7.0000000000000007E-2</v>
      </c>
      <c r="W17" s="6">
        <v>7.0000000000000007E-2</v>
      </c>
      <c r="X17" s="6">
        <v>0.12</v>
      </c>
      <c r="Y17" s="6">
        <v>0.12</v>
      </c>
      <c r="Z17" s="6">
        <v>7.0000000000000007E-2</v>
      </c>
      <c r="AA17" s="6">
        <v>7.0000000000000007E-2</v>
      </c>
      <c r="AB17" s="6">
        <v>0.12</v>
      </c>
      <c r="AC17" s="6">
        <v>0.12</v>
      </c>
      <c r="AD17" s="6">
        <v>7.0000000000000007E-2</v>
      </c>
      <c r="AE17" s="6">
        <v>7.0000000000000007E-2</v>
      </c>
      <c r="AF17" s="6">
        <v>0.04</v>
      </c>
    </row>
    <row r="18" spans="2:32" ht="12" customHeight="1">
      <c r="B18" s="653"/>
      <c r="C18" s="12" t="s">
        <v>1740</v>
      </c>
      <c r="D18" s="11">
        <v>14</v>
      </c>
      <c r="E18" s="6">
        <v>0.12</v>
      </c>
      <c r="F18" s="6">
        <v>0.12</v>
      </c>
      <c r="G18" s="6">
        <v>0.12</v>
      </c>
      <c r="H18" s="6">
        <v>0.12</v>
      </c>
      <c r="I18" s="6">
        <v>0.12</v>
      </c>
      <c r="J18" s="6">
        <v>0.12</v>
      </c>
      <c r="K18" s="6">
        <v>0.12</v>
      </c>
      <c r="L18" s="6">
        <v>0.12</v>
      </c>
      <c r="M18" s="6">
        <v>0.12</v>
      </c>
      <c r="N18" s="6">
        <v>0.12</v>
      </c>
      <c r="O18" s="6">
        <v>0.12</v>
      </c>
      <c r="P18" s="6">
        <v>0.12</v>
      </c>
      <c r="Q18" s="6">
        <v>0.12</v>
      </c>
      <c r="R18" s="5">
        <v>0.17</v>
      </c>
      <c r="S18" s="6">
        <v>0.12</v>
      </c>
      <c r="T18" s="6">
        <v>0.12</v>
      </c>
      <c r="U18" s="6">
        <v>0.12</v>
      </c>
      <c r="V18" s="6">
        <v>0.12</v>
      </c>
      <c r="W18" s="6">
        <v>0.12</v>
      </c>
      <c r="X18" s="6">
        <v>0.12</v>
      </c>
      <c r="Y18" s="6">
        <v>0.12</v>
      </c>
      <c r="Z18" s="6">
        <v>0.12</v>
      </c>
      <c r="AA18" s="6">
        <v>0.12</v>
      </c>
      <c r="AB18" s="6">
        <v>0.12</v>
      </c>
      <c r="AC18" s="6">
        <v>0.12</v>
      </c>
      <c r="AD18" s="6">
        <v>0.12</v>
      </c>
      <c r="AE18" s="6">
        <v>0.12</v>
      </c>
      <c r="AF18" s="6">
        <v>0.04</v>
      </c>
    </row>
    <row r="19" spans="2:32" ht="12" customHeight="1">
      <c r="B19" s="653"/>
      <c r="C19" s="13" t="s">
        <v>1741</v>
      </c>
      <c r="D19" s="11">
        <v>15</v>
      </c>
      <c r="E19" s="6">
        <v>0.12</v>
      </c>
      <c r="F19" s="6">
        <v>0.12</v>
      </c>
      <c r="G19" s="6">
        <v>0.12</v>
      </c>
      <c r="H19" s="6">
        <v>0.12</v>
      </c>
      <c r="I19" s="6">
        <v>0.12</v>
      </c>
      <c r="J19" s="6">
        <v>0.12</v>
      </c>
      <c r="K19" s="6">
        <v>0.12</v>
      </c>
      <c r="L19" s="6">
        <v>0.12</v>
      </c>
      <c r="M19" s="6">
        <v>0.12</v>
      </c>
      <c r="N19" s="6">
        <v>0.12</v>
      </c>
      <c r="O19" s="6">
        <v>0.12</v>
      </c>
      <c r="P19" s="6">
        <v>0.12</v>
      </c>
      <c r="Q19" s="6">
        <v>0.12</v>
      </c>
      <c r="R19" s="6">
        <v>0.12</v>
      </c>
      <c r="S19" s="5">
        <v>0.18</v>
      </c>
      <c r="T19" s="6">
        <v>0.12</v>
      </c>
      <c r="U19" s="6">
        <v>0.12</v>
      </c>
      <c r="V19" s="6">
        <v>0.12</v>
      </c>
      <c r="W19" s="6">
        <v>0.12</v>
      </c>
      <c r="X19" s="6">
        <v>0.12</v>
      </c>
      <c r="Y19" s="6">
        <v>0.12</v>
      </c>
      <c r="Z19" s="6">
        <v>0.12</v>
      </c>
      <c r="AA19" s="6">
        <v>0.12</v>
      </c>
      <c r="AB19" s="6">
        <v>0.12</v>
      </c>
      <c r="AC19" s="6">
        <v>0.12</v>
      </c>
      <c r="AD19" s="6">
        <v>0.12</v>
      </c>
      <c r="AE19" s="6">
        <v>0.12</v>
      </c>
      <c r="AF19" s="6">
        <v>0.04</v>
      </c>
    </row>
    <row r="20" spans="2:32" ht="12" customHeight="1">
      <c r="B20" s="653"/>
      <c r="C20" s="12" t="s">
        <v>1742</v>
      </c>
      <c r="D20" s="11">
        <v>16</v>
      </c>
      <c r="E20" s="6">
        <v>7.0000000000000007E-2</v>
      </c>
      <c r="F20" s="6">
        <v>7.0000000000000007E-2</v>
      </c>
      <c r="G20" s="6">
        <v>7.0000000000000007E-2</v>
      </c>
      <c r="H20" s="6">
        <v>7.0000000000000007E-2</v>
      </c>
      <c r="I20" s="6">
        <v>7.0000000000000007E-2</v>
      </c>
      <c r="J20" s="6">
        <v>7.0000000000000007E-2</v>
      </c>
      <c r="K20" s="6">
        <v>7.0000000000000007E-2</v>
      </c>
      <c r="L20" s="6">
        <v>7.0000000000000007E-2</v>
      </c>
      <c r="M20" s="6">
        <v>7.0000000000000007E-2</v>
      </c>
      <c r="N20" s="6">
        <v>7.0000000000000007E-2</v>
      </c>
      <c r="O20" s="6">
        <v>7.0000000000000007E-2</v>
      </c>
      <c r="P20" s="6">
        <v>7.0000000000000007E-2</v>
      </c>
      <c r="Q20" s="6">
        <v>7.0000000000000007E-2</v>
      </c>
      <c r="R20" s="6">
        <v>7.0000000000000007E-2</v>
      </c>
      <c r="S20" s="6">
        <v>7.0000000000000007E-2</v>
      </c>
      <c r="T20" s="5">
        <v>0.18</v>
      </c>
      <c r="U20" s="6">
        <v>7.0000000000000007E-2</v>
      </c>
      <c r="V20" s="6">
        <v>7.0000000000000007E-2</v>
      </c>
      <c r="W20" s="6">
        <v>7.0000000000000007E-2</v>
      </c>
      <c r="X20" s="6">
        <v>0.12</v>
      </c>
      <c r="Y20" s="6">
        <v>0.12</v>
      </c>
      <c r="Z20" s="6">
        <v>7.0000000000000007E-2</v>
      </c>
      <c r="AA20" s="6">
        <v>7.0000000000000007E-2</v>
      </c>
      <c r="AB20" s="6">
        <v>0.12</v>
      </c>
      <c r="AC20" s="6">
        <v>0.12</v>
      </c>
      <c r="AD20" s="6">
        <v>7.0000000000000007E-2</v>
      </c>
      <c r="AE20" s="6">
        <v>7.0000000000000007E-2</v>
      </c>
      <c r="AF20" s="6">
        <v>0.04</v>
      </c>
    </row>
    <row r="21" spans="2:32" ht="12" customHeight="1">
      <c r="B21" s="653"/>
      <c r="C21" s="13" t="s">
        <v>1743</v>
      </c>
      <c r="D21" s="11">
        <v>17</v>
      </c>
      <c r="E21" s="6">
        <v>0.12</v>
      </c>
      <c r="F21" s="6">
        <v>0.12</v>
      </c>
      <c r="G21" s="6">
        <v>0.12</v>
      </c>
      <c r="H21" s="6">
        <v>0.12</v>
      </c>
      <c r="I21" s="6">
        <v>0.12</v>
      </c>
      <c r="J21" s="6">
        <v>0.12</v>
      </c>
      <c r="K21" s="6">
        <v>0.12</v>
      </c>
      <c r="L21" s="6">
        <v>0.12</v>
      </c>
      <c r="M21" s="6">
        <v>0.12</v>
      </c>
      <c r="N21" s="6">
        <v>0.12</v>
      </c>
      <c r="O21" s="6">
        <v>0.12</v>
      </c>
      <c r="P21" s="6">
        <v>0.12</v>
      </c>
      <c r="Q21" s="6">
        <v>0.12</v>
      </c>
      <c r="R21" s="6">
        <v>0.12</v>
      </c>
      <c r="S21" s="6">
        <v>0.12</v>
      </c>
      <c r="T21" s="6">
        <v>0.12</v>
      </c>
      <c r="U21" s="5">
        <v>0.18</v>
      </c>
      <c r="V21" s="6">
        <v>0.12</v>
      </c>
      <c r="W21" s="6">
        <v>0.12</v>
      </c>
      <c r="X21" s="6">
        <v>0.12</v>
      </c>
      <c r="Y21" s="6">
        <v>0.12</v>
      </c>
      <c r="Z21" s="6">
        <v>0.12</v>
      </c>
      <c r="AA21" s="6">
        <v>0.12</v>
      </c>
      <c r="AB21" s="6">
        <v>0.12</v>
      </c>
      <c r="AC21" s="6">
        <v>0.12</v>
      </c>
      <c r="AD21" s="6">
        <v>0.12</v>
      </c>
      <c r="AE21" s="6">
        <v>0.12</v>
      </c>
      <c r="AF21" s="6">
        <v>0.04</v>
      </c>
    </row>
    <row r="22" spans="2:32" ht="12" customHeight="1">
      <c r="B22" s="653"/>
      <c r="C22" s="12" t="s">
        <v>1744</v>
      </c>
      <c r="D22" s="11">
        <v>18</v>
      </c>
      <c r="E22" s="6">
        <v>0.12</v>
      </c>
      <c r="F22" s="6">
        <v>0.12</v>
      </c>
      <c r="G22" s="6">
        <v>0.12</v>
      </c>
      <c r="H22" s="6">
        <v>0.12</v>
      </c>
      <c r="I22" s="6">
        <v>0.12</v>
      </c>
      <c r="J22" s="6">
        <v>0.12</v>
      </c>
      <c r="K22" s="6">
        <v>0.12</v>
      </c>
      <c r="L22" s="6">
        <v>0.12</v>
      </c>
      <c r="M22" s="6">
        <v>0.12</v>
      </c>
      <c r="N22" s="6">
        <v>0.12</v>
      </c>
      <c r="O22" s="6">
        <v>0.12</v>
      </c>
      <c r="P22" s="6">
        <v>0.12</v>
      </c>
      <c r="Q22" s="6">
        <v>0.12</v>
      </c>
      <c r="R22" s="6">
        <v>0.12</v>
      </c>
      <c r="S22" s="6">
        <v>0.12</v>
      </c>
      <c r="T22" s="6">
        <v>0.12</v>
      </c>
      <c r="U22" s="6">
        <v>0.12</v>
      </c>
      <c r="V22" s="5">
        <v>0.18</v>
      </c>
      <c r="W22" s="6">
        <v>0.12</v>
      </c>
      <c r="X22" s="6">
        <v>0.12</v>
      </c>
      <c r="Y22" s="6">
        <v>0.12</v>
      </c>
      <c r="Z22" s="6">
        <v>0.12</v>
      </c>
      <c r="AA22" s="6">
        <v>0.12</v>
      </c>
      <c r="AB22" s="6">
        <v>0.12</v>
      </c>
      <c r="AC22" s="6">
        <v>0.12</v>
      </c>
      <c r="AD22" s="6">
        <v>0.12</v>
      </c>
      <c r="AE22" s="6">
        <v>0.12</v>
      </c>
      <c r="AF22" s="6">
        <v>0.04</v>
      </c>
    </row>
    <row r="23" spans="2:32" ht="12" customHeight="1">
      <c r="B23" s="653"/>
      <c r="C23" s="13" t="s">
        <v>1745</v>
      </c>
      <c r="D23" s="11">
        <v>19</v>
      </c>
      <c r="E23" s="6">
        <v>0.12</v>
      </c>
      <c r="F23" s="6">
        <v>0.12</v>
      </c>
      <c r="G23" s="6">
        <v>0.12</v>
      </c>
      <c r="H23" s="6">
        <v>0.12</v>
      </c>
      <c r="I23" s="6">
        <v>0.12</v>
      </c>
      <c r="J23" s="6">
        <v>0.12</v>
      </c>
      <c r="K23" s="6">
        <v>0.12</v>
      </c>
      <c r="L23" s="6">
        <v>0.12</v>
      </c>
      <c r="M23" s="6">
        <v>0.12</v>
      </c>
      <c r="N23" s="6">
        <v>0.12</v>
      </c>
      <c r="O23" s="6">
        <v>0.12</v>
      </c>
      <c r="P23" s="6">
        <v>0.12</v>
      </c>
      <c r="Q23" s="6">
        <v>0.12</v>
      </c>
      <c r="R23" s="6">
        <v>0.12</v>
      </c>
      <c r="S23" s="6">
        <v>0.12</v>
      </c>
      <c r="T23" s="6">
        <v>0.12</v>
      </c>
      <c r="U23" s="6">
        <v>0.12</v>
      </c>
      <c r="V23" s="6">
        <v>0.12</v>
      </c>
      <c r="W23" s="5">
        <v>0.18</v>
      </c>
      <c r="X23" s="6">
        <v>0.12</v>
      </c>
      <c r="Y23" s="6">
        <v>0.12</v>
      </c>
      <c r="Z23" s="6">
        <v>0.12</v>
      </c>
      <c r="AA23" s="6">
        <v>0.12</v>
      </c>
      <c r="AB23" s="6">
        <v>0.12</v>
      </c>
      <c r="AC23" s="6">
        <v>0.12</v>
      </c>
      <c r="AD23" s="6">
        <v>0.12</v>
      </c>
      <c r="AE23" s="6">
        <v>0.12</v>
      </c>
      <c r="AF23" s="6">
        <v>0.04</v>
      </c>
    </row>
    <row r="24" spans="2:32" ht="12" customHeight="1">
      <c r="B24" s="653"/>
      <c r="C24" s="12" t="s">
        <v>1746</v>
      </c>
      <c r="D24" s="11">
        <v>20</v>
      </c>
      <c r="E24" s="6">
        <v>7.0000000000000007E-2</v>
      </c>
      <c r="F24" s="6">
        <v>7.0000000000000007E-2</v>
      </c>
      <c r="G24" s="6">
        <v>7.0000000000000007E-2</v>
      </c>
      <c r="H24" s="6">
        <v>7.0000000000000007E-2</v>
      </c>
      <c r="I24" s="6">
        <v>7.0000000000000007E-2</v>
      </c>
      <c r="J24" s="6">
        <v>7.0000000000000007E-2</v>
      </c>
      <c r="K24" s="6">
        <v>7.0000000000000007E-2</v>
      </c>
      <c r="L24" s="6">
        <v>7.0000000000000007E-2</v>
      </c>
      <c r="M24" s="6">
        <v>7.0000000000000007E-2</v>
      </c>
      <c r="N24" s="6">
        <v>7.0000000000000007E-2</v>
      </c>
      <c r="O24" s="6">
        <v>7.0000000000000007E-2</v>
      </c>
      <c r="P24" s="6">
        <v>7.0000000000000007E-2</v>
      </c>
      <c r="Q24" s="6">
        <v>0.12</v>
      </c>
      <c r="R24" s="6">
        <v>7.0000000000000007E-2</v>
      </c>
      <c r="S24" s="6">
        <v>7.0000000000000007E-2</v>
      </c>
      <c r="T24" s="6">
        <v>0.12</v>
      </c>
      <c r="U24" s="6">
        <v>7.0000000000000007E-2</v>
      </c>
      <c r="V24" s="6">
        <v>7.0000000000000007E-2</v>
      </c>
      <c r="W24" s="6">
        <v>7.0000000000000007E-2</v>
      </c>
      <c r="X24" s="5">
        <v>0.18</v>
      </c>
      <c r="Y24" s="6">
        <v>0.12</v>
      </c>
      <c r="Z24" s="6">
        <v>7.0000000000000007E-2</v>
      </c>
      <c r="AA24" s="6">
        <v>7.0000000000000007E-2</v>
      </c>
      <c r="AB24" s="6">
        <v>0.12</v>
      </c>
      <c r="AC24" s="6">
        <v>0.12</v>
      </c>
      <c r="AD24" s="6">
        <v>7.0000000000000007E-2</v>
      </c>
      <c r="AE24" s="6">
        <v>7.0000000000000007E-2</v>
      </c>
      <c r="AF24" s="6">
        <v>0.04</v>
      </c>
    </row>
    <row r="25" spans="2:32" ht="12" customHeight="1">
      <c r="B25" s="653"/>
      <c r="C25" s="13" t="s">
        <v>1747</v>
      </c>
      <c r="D25" s="11">
        <v>21</v>
      </c>
      <c r="E25" s="6">
        <v>7.0000000000000007E-2</v>
      </c>
      <c r="F25" s="6">
        <v>7.0000000000000007E-2</v>
      </c>
      <c r="G25" s="6">
        <v>7.0000000000000007E-2</v>
      </c>
      <c r="H25" s="6">
        <v>7.0000000000000007E-2</v>
      </c>
      <c r="I25" s="6">
        <v>7.0000000000000007E-2</v>
      </c>
      <c r="J25" s="6">
        <v>7.0000000000000007E-2</v>
      </c>
      <c r="K25" s="6">
        <v>7.0000000000000007E-2</v>
      </c>
      <c r="L25" s="6">
        <v>7.0000000000000007E-2</v>
      </c>
      <c r="M25" s="6">
        <v>7.0000000000000007E-2</v>
      </c>
      <c r="N25" s="6">
        <v>7.0000000000000007E-2</v>
      </c>
      <c r="O25" s="6">
        <v>7.0000000000000007E-2</v>
      </c>
      <c r="P25" s="6">
        <v>7.0000000000000007E-2</v>
      </c>
      <c r="Q25" s="6">
        <v>0.12</v>
      </c>
      <c r="R25" s="6">
        <v>7.0000000000000007E-2</v>
      </c>
      <c r="S25" s="6">
        <v>7.0000000000000007E-2</v>
      </c>
      <c r="T25" s="6">
        <v>0.12</v>
      </c>
      <c r="U25" s="6">
        <v>7.0000000000000007E-2</v>
      </c>
      <c r="V25" s="6">
        <v>7.0000000000000007E-2</v>
      </c>
      <c r="W25" s="6">
        <v>7.0000000000000007E-2</v>
      </c>
      <c r="X25" s="6">
        <v>7.0000000000000007E-2</v>
      </c>
      <c r="Y25" s="5">
        <v>0.2</v>
      </c>
      <c r="Z25" s="6">
        <v>7.0000000000000007E-2</v>
      </c>
      <c r="AA25" s="6">
        <v>7.0000000000000007E-2</v>
      </c>
      <c r="AB25" s="6">
        <v>0.12</v>
      </c>
      <c r="AC25" s="6">
        <v>0.12</v>
      </c>
      <c r="AD25" s="6">
        <v>7.0000000000000007E-2</v>
      </c>
      <c r="AE25" s="6">
        <v>7.0000000000000007E-2</v>
      </c>
      <c r="AF25" s="6">
        <v>0.04</v>
      </c>
    </row>
    <row r="26" spans="2:32" ht="12" customHeight="1">
      <c r="B26" s="653"/>
      <c r="C26" s="12" t="s">
        <v>1748</v>
      </c>
      <c r="D26" s="11">
        <v>22</v>
      </c>
      <c r="E26" s="6">
        <v>0.12</v>
      </c>
      <c r="F26" s="6">
        <v>0.12</v>
      </c>
      <c r="G26" s="6">
        <v>0.12</v>
      </c>
      <c r="H26" s="6">
        <v>0.12</v>
      </c>
      <c r="I26" s="6">
        <v>0.12</v>
      </c>
      <c r="J26" s="6">
        <v>0.12</v>
      </c>
      <c r="K26" s="6">
        <v>0.12</v>
      </c>
      <c r="L26" s="6">
        <v>0.12</v>
      </c>
      <c r="M26" s="6">
        <v>0.12</v>
      </c>
      <c r="N26" s="6">
        <v>0.12</v>
      </c>
      <c r="O26" s="6">
        <v>0.12</v>
      </c>
      <c r="P26" s="6">
        <v>0.12</v>
      </c>
      <c r="Q26" s="6">
        <v>0.12</v>
      </c>
      <c r="R26" s="6">
        <v>0.12</v>
      </c>
      <c r="S26" s="6">
        <v>0.12</v>
      </c>
      <c r="T26" s="6">
        <v>0.12</v>
      </c>
      <c r="U26" s="6">
        <v>0.12</v>
      </c>
      <c r="V26" s="6">
        <v>0.12</v>
      </c>
      <c r="W26" s="6">
        <v>0.12</v>
      </c>
      <c r="X26" s="6">
        <v>0.12</v>
      </c>
      <c r="Y26" s="6">
        <v>0.12</v>
      </c>
      <c r="Z26" s="9">
        <v>0.17499999999999999</v>
      </c>
      <c r="AA26" s="6">
        <v>0.12</v>
      </c>
      <c r="AB26" s="6">
        <v>0.12</v>
      </c>
      <c r="AC26" s="6">
        <v>0.12</v>
      </c>
      <c r="AD26" s="6">
        <v>0.12</v>
      </c>
      <c r="AE26" s="6">
        <v>0.12</v>
      </c>
      <c r="AF26" s="6">
        <v>0.04</v>
      </c>
    </row>
    <row r="27" spans="2:32" ht="12" customHeight="1">
      <c r="B27" s="653"/>
      <c r="C27" s="13" t="s">
        <v>1749</v>
      </c>
      <c r="D27" s="11">
        <v>23</v>
      </c>
      <c r="E27" s="6">
        <v>0.12</v>
      </c>
      <c r="F27" s="6">
        <v>0.12</v>
      </c>
      <c r="G27" s="6">
        <v>0.12</v>
      </c>
      <c r="H27" s="6">
        <v>0.12</v>
      </c>
      <c r="I27" s="6">
        <v>0.12</v>
      </c>
      <c r="J27" s="6">
        <v>0.12</v>
      </c>
      <c r="K27" s="6">
        <v>0.12</v>
      </c>
      <c r="L27" s="6">
        <v>0.12</v>
      </c>
      <c r="M27" s="6">
        <v>0.12</v>
      </c>
      <c r="N27" s="6">
        <v>0.12</v>
      </c>
      <c r="O27" s="6">
        <v>0.12</v>
      </c>
      <c r="P27" s="6">
        <v>0.12</v>
      </c>
      <c r="Q27" s="6">
        <v>0.12</v>
      </c>
      <c r="R27" s="6">
        <v>0.12</v>
      </c>
      <c r="S27" s="6">
        <v>0.12</v>
      </c>
      <c r="T27" s="6">
        <v>0.12</v>
      </c>
      <c r="U27" s="6">
        <v>0.12</v>
      </c>
      <c r="V27" s="6">
        <v>0.12</v>
      </c>
      <c r="W27" s="6">
        <v>0.12</v>
      </c>
      <c r="X27" s="6">
        <v>0.12</v>
      </c>
      <c r="Y27" s="6">
        <v>0.12</v>
      </c>
      <c r="Z27" s="6">
        <v>0.12</v>
      </c>
      <c r="AA27" s="5">
        <v>0.17</v>
      </c>
      <c r="AB27" s="6">
        <v>0.12</v>
      </c>
      <c r="AC27" s="6">
        <v>0.12</v>
      </c>
      <c r="AD27" s="6">
        <v>0.12</v>
      </c>
      <c r="AE27" s="6">
        <v>0.12</v>
      </c>
      <c r="AF27" s="6">
        <v>0.04</v>
      </c>
    </row>
    <row r="28" spans="2:32" ht="12" customHeight="1">
      <c r="B28" s="653"/>
      <c r="C28" s="12" t="s">
        <v>1750</v>
      </c>
      <c r="D28" s="11">
        <v>24</v>
      </c>
      <c r="E28" s="6">
        <v>7.0000000000000007E-2</v>
      </c>
      <c r="F28" s="6">
        <v>7.0000000000000007E-2</v>
      </c>
      <c r="G28" s="6">
        <v>7.0000000000000007E-2</v>
      </c>
      <c r="H28" s="6">
        <v>7.0000000000000007E-2</v>
      </c>
      <c r="I28" s="6">
        <v>7.0000000000000007E-2</v>
      </c>
      <c r="J28" s="6">
        <v>7.0000000000000007E-2</v>
      </c>
      <c r="K28" s="6">
        <v>7.0000000000000007E-2</v>
      </c>
      <c r="L28" s="6">
        <v>7.0000000000000007E-2</v>
      </c>
      <c r="M28" s="6">
        <v>7.0000000000000007E-2</v>
      </c>
      <c r="N28" s="6">
        <v>7.0000000000000007E-2</v>
      </c>
      <c r="O28" s="6">
        <v>7.0000000000000007E-2</v>
      </c>
      <c r="P28" s="6">
        <v>7.0000000000000007E-2</v>
      </c>
      <c r="Q28" s="6">
        <v>0.12</v>
      </c>
      <c r="R28" s="6">
        <v>7.0000000000000007E-2</v>
      </c>
      <c r="S28" s="6">
        <v>7.0000000000000007E-2</v>
      </c>
      <c r="T28" s="6">
        <v>0.12</v>
      </c>
      <c r="U28" s="6">
        <v>7.0000000000000007E-2</v>
      </c>
      <c r="V28" s="6">
        <v>7.0000000000000007E-2</v>
      </c>
      <c r="W28" s="6">
        <v>7.0000000000000007E-2</v>
      </c>
      <c r="X28" s="6">
        <v>0.12</v>
      </c>
      <c r="Y28" s="6">
        <v>0.12</v>
      </c>
      <c r="Z28" s="6">
        <v>7.0000000000000007E-2</v>
      </c>
      <c r="AA28" s="6">
        <v>7.0000000000000007E-2</v>
      </c>
      <c r="AB28" s="5">
        <v>0.17</v>
      </c>
      <c r="AC28" s="6">
        <v>0.12</v>
      </c>
      <c r="AD28" s="6">
        <v>7.0000000000000007E-2</v>
      </c>
      <c r="AE28" s="6">
        <v>7.0000000000000007E-2</v>
      </c>
      <c r="AF28" s="6">
        <v>0.04</v>
      </c>
    </row>
    <row r="29" spans="2:32" ht="12" customHeight="1">
      <c r="B29" s="653"/>
      <c r="C29" s="13" t="s">
        <v>35</v>
      </c>
      <c r="D29" s="11">
        <v>25</v>
      </c>
      <c r="E29" s="6">
        <v>7.0000000000000007E-2</v>
      </c>
      <c r="F29" s="6">
        <v>7.0000000000000007E-2</v>
      </c>
      <c r="G29" s="6">
        <v>7.0000000000000007E-2</v>
      </c>
      <c r="H29" s="6">
        <v>7.0000000000000007E-2</v>
      </c>
      <c r="I29" s="6">
        <v>7.0000000000000007E-2</v>
      </c>
      <c r="J29" s="6">
        <v>7.0000000000000007E-2</v>
      </c>
      <c r="K29" s="6">
        <v>7.0000000000000007E-2</v>
      </c>
      <c r="L29" s="6">
        <v>7.0000000000000007E-2</v>
      </c>
      <c r="M29" s="6">
        <v>7.0000000000000007E-2</v>
      </c>
      <c r="N29" s="6">
        <v>7.0000000000000007E-2</v>
      </c>
      <c r="O29" s="6">
        <v>7.0000000000000007E-2</v>
      </c>
      <c r="P29" s="6">
        <v>7.0000000000000007E-2</v>
      </c>
      <c r="Q29" s="6">
        <v>0.12</v>
      </c>
      <c r="R29" s="6">
        <v>7.0000000000000007E-2</v>
      </c>
      <c r="S29" s="6">
        <v>7.0000000000000007E-2</v>
      </c>
      <c r="T29" s="6">
        <v>0.12</v>
      </c>
      <c r="U29" s="6">
        <v>7.0000000000000007E-2</v>
      </c>
      <c r="V29" s="6">
        <v>7.0000000000000007E-2</v>
      </c>
      <c r="W29" s="6">
        <v>7.0000000000000007E-2</v>
      </c>
      <c r="X29" s="6">
        <v>0.12</v>
      </c>
      <c r="Y29" s="6">
        <v>0.12</v>
      </c>
      <c r="Z29" s="6">
        <v>7.0000000000000007E-2</v>
      </c>
      <c r="AA29" s="6">
        <v>7.0000000000000007E-2</v>
      </c>
      <c r="AB29" s="6">
        <v>0.12</v>
      </c>
      <c r="AC29" s="5">
        <v>0.18</v>
      </c>
      <c r="AD29" s="6">
        <v>7.0000000000000007E-2</v>
      </c>
      <c r="AE29" s="6">
        <v>7.0000000000000007E-2</v>
      </c>
      <c r="AF29" s="6">
        <v>0.04</v>
      </c>
    </row>
    <row r="30" spans="2:32" ht="12" customHeight="1">
      <c r="B30" s="653"/>
      <c r="C30" s="12" t="s">
        <v>1751</v>
      </c>
      <c r="D30" s="11">
        <v>26</v>
      </c>
      <c r="E30" s="6">
        <v>0.12</v>
      </c>
      <c r="F30" s="6">
        <v>0.12</v>
      </c>
      <c r="G30" s="6">
        <v>0.12</v>
      </c>
      <c r="H30" s="6">
        <v>0.12</v>
      </c>
      <c r="I30" s="6">
        <v>0.12</v>
      </c>
      <c r="J30" s="6">
        <v>0.12</v>
      </c>
      <c r="K30" s="6">
        <v>0.12</v>
      </c>
      <c r="L30" s="6">
        <v>0.12</v>
      </c>
      <c r="M30" s="6">
        <v>0.12</v>
      </c>
      <c r="N30" s="6">
        <v>0.12</v>
      </c>
      <c r="O30" s="6">
        <v>0.12</v>
      </c>
      <c r="P30" s="6">
        <v>0.12</v>
      </c>
      <c r="Q30" s="6">
        <v>0.12</v>
      </c>
      <c r="R30" s="6">
        <v>0.12</v>
      </c>
      <c r="S30" s="6">
        <v>0.12</v>
      </c>
      <c r="T30" s="6">
        <v>0.12</v>
      </c>
      <c r="U30" s="6">
        <v>0.12</v>
      </c>
      <c r="V30" s="6">
        <v>0.12</v>
      </c>
      <c r="W30" s="6">
        <v>0.12</v>
      </c>
      <c r="X30" s="6">
        <v>0.12</v>
      </c>
      <c r="Y30" s="6">
        <v>0.12</v>
      </c>
      <c r="Z30" s="6">
        <v>0.12</v>
      </c>
      <c r="AA30" s="6">
        <v>0.12</v>
      </c>
      <c r="AB30" s="6">
        <v>0.12</v>
      </c>
      <c r="AC30" s="6">
        <v>0.12</v>
      </c>
      <c r="AD30" s="5">
        <v>0.18</v>
      </c>
      <c r="AE30" s="6">
        <v>0.12</v>
      </c>
      <c r="AF30" s="6">
        <v>0.04</v>
      </c>
    </row>
    <row r="31" spans="2:32" ht="12" customHeight="1">
      <c r="B31" s="653"/>
      <c r="C31" s="13" t="s">
        <v>1752</v>
      </c>
      <c r="D31" s="11">
        <v>27</v>
      </c>
      <c r="E31" s="6">
        <v>0.12</v>
      </c>
      <c r="F31" s="6">
        <v>0.12</v>
      </c>
      <c r="G31" s="6">
        <v>0.12</v>
      </c>
      <c r="H31" s="6">
        <v>0.12</v>
      </c>
      <c r="I31" s="6">
        <v>0.12</v>
      </c>
      <c r="J31" s="6">
        <v>0.12</v>
      </c>
      <c r="K31" s="6">
        <v>0.12</v>
      </c>
      <c r="L31" s="6">
        <v>0.12</v>
      </c>
      <c r="M31" s="6">
        <v>0.12</v>
      </c>
      <c r="N31" s="6">
        <v>0.12</v>
      </c>
      <c r="O31" s="6">
        <v>0.12</v>
      </c>
      <c r="P31" s="6">
        <v>0.12</v>
      </c>
      <c r="Q31" s="6">
        <v>0.12</v>
      </c>
      <c r="R31" s="6">
        <v>0.12</v>
      </c>
      <c r="S31" s="6">
        <v>0.12</v>
      </c>
      <c r="T31" s="6">
        <v>0.12</v>
      </c>
      <c r="U31" s="6">
        <v>0.12</v>
      </c>
      <c r="V31" s="6">
        <v>0.12</v>
      </c>
      <c r="W31" s="6">
        <v>0.12</v>
      </c>
      <c r="X31" s="6">
        <v>0.12</v>
      </c>
      <c r="Y31" s="6">
        <v>0.12</v>
      </c>
      <c r="Z31" s="6">
        <v>0.12</v>
      </c>
      <c r="AA31" s="6">
        <v>0.12</v>
      </c>
      <c r="AB31" s="6">
        <v>0.12</v>
      </c>
      <c r="AC31" s="6">
        <v>0.12</v>
      </c>
      <c r="AD31" s="6">
        <v>0.12</v>
      </c>
      <c r="AE31" s="5">
        <v>0.18</v>
      </c>
      <c r="AF31" s="6">
        <v>0.04</v>
      </c>
    </row>
    <row r="32" spans="2:32" ht="12" customHeight="1">
      <c r="B32" s="653"/>
      <c r="C32" s="12" t="s">
        <v>1753</v>
      </c>
      <c r="D32" s="11">
        <v>28</v>
      </c>
      <c r="E32" s="6">
        <v>0.04</v>
      </c>
      <c r="F32" s="6">
        <v>0.04</v>
      </c>
      <c r="G32" s="6">
        <v>0.04</v>
      </c>
      <c r="H32" s="6">
        <v>0.04</v>
      </c>
      <c r="I32" s="6">
        <v>0.04</v>
      </c>
      <c r="J32" s="6">
        <v>0.04</v>
      </c>
      <c r="K32" s="6">
        <v>0.04</v>
      </c>
      <c r="L32" s="6">
        <v>0.04</v>
      </c>
      <c r="M32" s="6">
        <v>0.04</v>
      </c>
      <c r="N32" s="6">
        <v>0.04</v>
      </c>
      <c r="O32" s="6">
        <v>0.04</v>
      </c>
      <c r="P32" s="6">
        <v>0.04</v>
      </c>
      <c r="Q32" s="6">
        <v>0.04</v>
      </c>
      <c r="R32" s="6">
        <v>0.04</v>
      </c>
      <c r="S32" s="6">
        <v>0.04</v>
      </c>
      <c r="T32" s="6">
        <v>0.04</v>
      </c>
      <c r="U32" s="6">
        <v>0.04</v>
      </c>
      <c r="V32" s="6">
        <v>0.04</v>
      </c>
      <c r="W32" s="6">
        <v>0.04</v>
      </c>
      <c r="X32" s="6">
        <v>0.04</v>
      </c>
      <c r="Y32" s="6">
        <v>0.04</v>
      </c>
      <c r="Z32" s="6">
        <v>0.04</v>
      </c>
      <c r="AA32" s="6">
        <v>0.04</v>
      </c>
      <c r="AB32" s="6">
        <v>0.04</v>
      </c>
      <c r="AC32" s="6">
        <v>0.04</v>
      </c>
      <c r="AD32" s="6">
        <v>0.04</v>
      </c>
      <c r="AE32" s="6">
        <v>0.04</v>
      </c>
      <c r="AF32" s="10"/>
    </row>
  </sheetData>
  <mergeCells count="3">
    <mergeCell ref="B5:B32"/>
    <mergeCell ref="E2:AF2"/>
    <mergeCell ref="B2:D4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7629-E5C9-4E48-BF8C-F2EF7CD5A661}">
  <sheetPr codeName="Planilha15"/>
  <dimension ref="A1:S67"/>
  <sheetViews>
    <sheetView showGridLines="0" workbookViewId="0">
      <pane xSplit="3" ySplit="4" topLeftCell="D5" activePane="bottomRight" state="frozen"/>
      <selection pane="bottomRight"/>
      <selection pane="bottomLeft" activeCell="A5" sqref="A5"/>
      <selection pane="topRight" activeCell="D1" sqref="D1"/>
    </sheetView>
  </sheetViews>
  <sheetFormatPr defaultColWidth="8.85546875" defaultRowHeight="12" customHeight="1"/>
  <cols>
    <col min="1" max="1" width="50.85546875" style="38" customWidth="1"/>
    <col min="2" max="2" width="14.85546875" style="17" customWidth="1"/>
    <col min="3" max="3" width="16.85546875" style="17" customWidth="1"/>
    <col min="4" max="4" width="12.85546875" style="4" customWidth="1"/>
    <col min="5" max="5" width="0.85546875" style="4" customWidth="1"/>
    <col min="6" max="6" width="12.85546875" style="4" customWidth="1"/>
    <col min="7" max="7" width="10.85546875" style="50" customWidth="1"/>
    <col min="8" max="8" width="0.85546875" style="4" customWidth="1"/>
    <col min="9" max="9" width="12.85546875" style="4" customWidth="1"/>
    <col min="10" max="10" width="10.85546875" style="50" customWidth="1"/>
    <col min="11" max="11" width="0.85546875" style="4" customWidth="1"/>
    <col min="12" max="12" width="50.85546875" style="38" customWidth="1"/>
    <col min="13" max="13" width="0.85546875" style="4" customWidth="1"/>
    <col min="14" max="15" width="16.85546875" style="58" hidden="1" customWidth="1"/>
    <col min="16" max="19" width="16.85546875" style="4" hidden="1" customWidth="1"/>
    <col min="20" max="16384" width="8.85546875" style="4"/>
  </cols>
  <sheetData>
    <row r="1" spans="1:19" s="48" customFormat="1" ht="24" customHeight="1">
      <c r="B1" s="49"/>
      <c r="C1" s="35" t="s">
        <v>1755</v>
      </c>
      <c r="E1" s="4"/>
      <c r="F1" s="4"/>
      <c r="G1" s="4"/>
      <c r="H1" s="4"/>
      <c r="I1" s="4"/>
      <c r="J1" s="4"/>
      <c r="K1" s="4"/>
      <c r="L1" s="4"/>
      <c r="M1" s="4"/>
      <c r="N1" s="56" t="s">
        <v>1756</v>
      </c>
      <c r="O1" s="56" t="s">
        <v>1757</v>
      </c>
      <c r="P1" s="54" t="s">
        <v>1758</v>
      </c>
      <c r="Q1" s="54" t="s">
        <v>1759</v>
      </c>
      <c r="R1" s="54" t="s">
        <v>1760</v>
      </c>
      <c r="S1" s="54" t="s">
        <v>1761</v>
      </c>
    </row>
    <row r="2" spans="1:19" ht="12" customHeight="1">
      <c r="C2" s="53">
        <f>S2</f>
        <v>0</v>
      </c>
      <c r="N2" s="57">
        <f>SUM(N5:N67)</f>
        <v>468</v>
      </c>
      <c r="O2" s="57">
        <f>SUM(O5:O67)</f>
        <v>0</v>
      </c>
      <c r="P2" s="55" t="e">
        <f>SUM(P5:P67)</f>
        <v>#DIV/0!</v>
      </c>
      <c r="Q2" s="61">
        <f t="shared" ref="Q2:R2" si="0">SUM(Q5:Q67)</f>
        <v>0</v>
      </c>
      <c r="R2" s="61">
        <f t="shared" si="0"/>
        <v>0</v>
      </c>
      <c r="S2" s="61">
        <f>SUM(S5:S67)</f>
        <v>0</v>
      </c>
    </row>
    <row r="4" spans="1:19" s="48" customFormat="1" ht="24" customHeight="1">
      <c r="A4" s="35" t="s">
        <v>1269</v>
      </c>
      <c r="B4" s="35" t="s">
        <v>1762</v>
      </c>
      <c r="C4" s="35" t="s">
        <v>1763</v>
      </c>
      <c r="D4" s="35" t="s">
        <v>1764</v>
      </c>
      <c r="F4" s="35" t="s">
        <v>1765</v>
      </c>
      <c r="G4" s="35" t="s">
        <v>1766</v>
      </c>
      <c r="I4" s="35" t="s">
        <v>1767</v>
      </c>
      <c r="J4" s="35" t="s">
        <v>1768</v>
      </c>
      <c r="L4" s="35" t="s">
        <v>1769</v>
      </c>
      <c r="N4" s="56" t="s">
        <v>1770</v>
      </c>
      <c r="O4" s="56" t="s">
        <v>1770</v>
      </c>
      <c r="P4" s="54" t="s">
        <v>1771</v>
      </c>
      <c r="Q4" s="54" t="s">
        <v>1759</v>
      </c>
      <c r="R4" s="54" t="s">
        <v>1760</v>
      </c>
      <c r="S4" s="54" t="s">
        <v>1761</v>
      </c>
    </row>
    <row r="5" spans="1:19" ht="12" customHeight="1">
      <c r="A5" s="51" t="s">
        <v>1772</v>
      </c>
      <c r="B5" s="52" t="s">
        <v>1773</v>
      </c>
      <c r="C5" s="52" t="s">
        <v>1774</v>
      </c>
      <c r="D5" s="36"/>
      <c r="F5" s="36"/>
      <c r="G5" s="44"/>
      <c r="I5" s="36"/>
      <c r="J5" s="44"/>
      <c r="L5" s="37"/>
      <c r="N5" s="59">
        <v>1</v>
      </c>
      <c r="O5" s="59">
        <f>IF(D5="Aplicável",N5,0)</f>
        <v>0</v>
      </c>
      <c r="P5" s="60" t="e">
        <f>O5/$O$2</f>
        <v>#DIV/0!</v>
      </c>
      <c r="Q5" s="60">
        <f>IF(OR(F5="Solicitado",F5="Concluído"),P5*0.3,0)</f>
        <v>0</v>
      </c>
      <c r="R5" s="60">
        <f>IF(I5="Concluído",P5*0.7,0)</f>
        <v>0</v>
      </c>
      <c r="S5" s="60">
        <f>Q5+R5</f>
        <v>0</v>
      </c>
    </row>
    <row r="6" spans="1:19" ht="12" customHeight="1">
      <c r="A6" s="51" t="s">
        <v>1775</v>
      </c>
      <c r="B6" s="52" t="s">
        <v>1773</v>
      </c>
      <c r="C6" s="52" t="s">
        <v>1774</v>
      </c>
      <c r="D6" s="36"/>
      <c r="F6" s="36"/>
      <c r="G6" s="44"/>
      <c r="I6" s="36"/>
      <c r="J6" s="44"/>
      <c r="L6" s="37"/>
      <c r="N6" s="59">
        <v>1</v>
      </c>
      <c r="O6" s="59">
        <f t="shared" ref="O6:O67" si="1">IF(D6="Aplicável",N6,0)</f>
        <v>0</v>
      </c>
      <c r="P6" s="60" t="e">
        <f t="shared" ref="P6:P67" si="2">O6/$O$2</f>
        <v>#DIV/0!</v>
      </c>
      <c r="Q6" s="60">
        <f>IF(OR(F6="Solicitado",F6="Concluído"),P6*0.3,0)</f>
        <v>0</v>
      </c>
      <c r="R6" s="60">
        <f>IF(I6="Concluído",P6*0.7,0)</f>
        <v>0</v>
      </c>
      <c r="S6" s="60">
        <f t="shared" ref="S6:S67" si="3">Q6+R6</f>
        <v>0</v>
      </c>
    </row>
    <row r="7" spans="1:19" ht="12" customHeight="1">
      <c r="A7" s="51" t="s">
        <v>1776</v>
      </c>
      <c r="B7" s="52" t="s">
        <v>1677</v>
      </c>
      <c r="C7" s="52" t="s">
        <v>1774</v>
      </c>
      <c r="D7" s="36"/>
      <c r="F7" s="36"/>
      <c r="G7" s="44"/>
      <c r="I7" s="36"/>
      <c r="J7" s="44"/>
      <c r="L7" s="37"/>
      <c r="N7" s="59">
        <v>8</v>
      </c>
      <c r="O7" s="59">
        <f t="shared" si="1"/>
        <v>0</v>
      </c>
      <c r="P7" s="60" t="e">
        <f t="shared" si="2"/>
        <v>#DIV/0!</v>
      </c>
      <c r="Q7" s="60">
        <f t="shared" ref="Q7:Q67" si="4">IF(OR(F7="Solicitado",F7="Concluído"),P7*0.3,0)</f>
        <v>0</v>
      </c>
      <c r="R7" s="60">
        <f t="shared" ref="R7:R67" si="5">IF(I7="Concluído",P7*0.7,0)</f>
        <v>0</v>
      </c>
      <c r="S7" s="60">
        <f t="shared" si="3"/>
        <v>0</v>
      </c>
    </row>
    <row r="8" spans="1:19" ht="12" customHeight="1">
      <c r="A8" s="51" t="s">
        <v>1777</v>
      </c>
      <c r="B8" s="52" t="s">
        <v>1677</v>
      </c>
      <c r="C8" s="52" t="s">
        <v>1778</v>
      </c>
      <c r="D8" s="36"/>
      <c r="F8" s="36"/>
      <c r="G8" s="44"/>
      <c r="I8" s="36"/>
      <c r="J8" s="44"/>
      <c r="L8" s="37"/>
      <c r="N8" s="59">
        <v>5</v>
      </c>
      <c r="O8" s="59">
        <f t="shared" si="1"/>
        <v>0</v>
      </c>
      <c r="P8" s="60" t="e">
        <f t="shared" si="2"/>
        <v>#DIV/0!</v>
      </c>
      <c r="Q8" s="60">
        <f t="shared" si="4"/>
        <v>0</v>
      </c>
      <c r="R8" s="60">
        <f t="shared" si="5"/>
        <v>0</v>
      </c>
      <c r="S8" s="60">
        <f t="shared" si="3"/>
        <v>0</v>
      </c>
    </row>
    <row r="9" spans="1:19" ht="12" customHeight="1">
      <c r="A9" s="51" t="s">
        <v>1779</v>
      </c>
      <c r="B9" s="52" t="s">
        <v>1677</v>
      </c>
      <c r="C9" s="52" t="s">
        <v>1778</v>
      </c>
      <c r="D9" s="36"/>
      <c r="F9" s="36"/>
      <c r="G9" s="44"/>
      <c r="I9" s="36"/>
      <c r="J9" s="44"/>
      <c r="L9" s="37"/>
      <c r="N9" s="59">
        <v>10</v>
      </c>
      <c r="O9" s="59">
        <f t="shared" si="1"/>
        <v>0</v>
      </c>
      <c r="P9" s="60" t="e">
        <f t="shared" si="2"/>
        <v>#DIV/0!</v>
      </c>
      <c r="Q9" s="60">
        <f t="shared" si="4"/>
        <v>0</v>
      </c>
      <c r="R9" s="60">
        <f t="shared" si="5"/>
        <v>0</v>
      </c>
      <c r="S9" s="60">
        <f t="shared" si="3"/>
        <v>0</v>
      </c>
    </row>
    <row r="10" spans="1:19" ht="12" customHeight="1">
      <c r="A10" s="51" t="s">
        <v>1780</v>
      </c>
      <c r="B10" s="52" t="s">
        <v>1677</v>
      </c>
      <c r="C10" s="52" t="s">
        <v>1781</v>
      </c>
      <c r="D10" s="36"/>
      <c r="F10" s="36"/>
      <c r="G10" s="44"/>
      <c r="I10" s="36"/>
      <c r="J10" s="44"/>
      <c r="L10" s="37"/>
      <c r="N10" s="59">
        <v>8</v>
      </c>
      <c r="O10" s="59">
        <f t="shared" si="1"/>
        <v>0</v>
      </c>
      <c r="P10" s="60" t="e">
        <f t="shared" si="2"/>
        <v>#DIV/0!</v>
      </c>
      <c r="Q10" s="60">
        <f t="shared" si="4"/>
        <v>0</v>
      </c>
      <c r="R10" s="60">
        <f t="shared" si="5"/>
        <v>0</v>
      </c>
      <c r="S10" s="60">
        <f t="shared" si="3"/>
        <v>0</v>
      </c>
    </row>
    <row r="11" spans="1:19" ht="12" customHeight="1">
      <c r="A11" s="51" t="s">
        <v>1782</v>
      </c>
      <c r="B11" s="52" t="s">
        <v>1677</v>
      </c>
      <c r="C11" s="52" t="s">
        <v>1783</v>
      </c>
      <c r="D11" s="36"/>
      <c r="F11" s="36"/>
      <c r="G11" s="44"/>
      <c r="I11" s="36"/>
      <c r="J11" s="44"/>
      <c r="L11" s="37"/>
      <c r="N11" s="59">
        <v>10</v>
      </c>
      <c r="O11" s="59">
        <f t="shared" si="1"/>
        <v>0</v>
      </c>
      <c r="P11" s="60" t="e">
        <f t="shared" si="2"/>
        <v>#DIV/0!</v>
      </c>
      <c r="Q11" s="60">
        <f t="shared" si="4"/>
        <v>0</v>
      </c>
      <c r="R11" s="60">
        <f t="shared" si="5"/>
        <v>0</v>
      </c>
      <c r="S11" s="60">
        <f t="shared" si="3"/>
        <v>0</v>
      </c>
    </row>
    <row r="12" spans="1:19" ht="12" customHeight="1">
      <c r="A12" s="51" t="s">
        <v>1784</v>
      </c>
      <c r="B12" s="52" t="s">
        <v>1677</v>
      </c>
      <c r="C12" s="52" t="s">
        <v>1785</v>
      </c>
      <c r="D12" s="36"/>
      <c r="F12" s="36"/>
      <c r="G12" s="44"/>
      <c r="I12" s="36"/>
      <c r="J12" s="44"/>
      <c r="L12" s="37"/>
      <c r="N12" s="59">
        <v>10</v>
      </c>
      <c r="O12" s="59">
        <f t="shared" si="1"/>
        <v>0</v>
      </c>
      <c r="P12" s="60" t="e">
        <f t="shared" si="2"/>
        <v>#DIV/0!</v>
      </c>
      <c r="Q12" s="60">
        <f t="shared" si="4"/>
        <v>0</v>
      </c>
      <c r="R12" s="60">
        <f t="shared" si="5"/>
        <v>0</v>
      </c>
      <c r="S12" s="60">
        <f t="shared" si="3"/>
        <v>0</v>
      </c>
    </row>
    <row r="13" spans="1:19" ht="12" customHeight="1">
      <c r="A13" s="51" t="s">
        <v>1786</v>
      </c>
      <c r="B13" s="52" t="s">
        <v>1787</v>
      </c>
      <c r="C13" s="52" t="s">
        <v>1774</v>
      </c>
      <c r="D13" s="36"/>
      <c r="F13" s="36"/>
      <c r="G13" s="44"/>
      <c r="I13" s="36"/>
      <c r="J13" s="44"/>
      <c r="L13" s="37"/>
      <c r="N13" s="59">
        <v>6</v>
      </c>
      <c r="O13" s="59">
        <f t="shared" si="1"/>
        <v>0</v>
      </c>
      <c r="P13" s="60" t="e">
        <f t="shared" si="2"/>
        <v>#DIV/0!</v>
      </c>
      <c r="Q13" s="60">
        <f t="shared" si="4"/>
        <v>0</v>
      </c>
      <c r="R13" s="60">
        <f t="shared" si="5"/>
        <v>0</v>
      </c>
      <c r="S13" s="60">
        <f t="shared" si="3"/>
        <v>0</v>
      </c>
    </row>
    <row r="14" spans="1:19" ht="12" customHeight="1">
      <c r="A14" s="51" t="s">
        <v>1788</v>
      </c>
      <c r="B14" s="52" t="s">
        <v>1787</v>
      </c>
      <c r="C14" s="52" t="s">
        <v>1774</v>
      </c>
      <c r="D14" s="36"/>
      <c r="F14" s="36"/>
      <c r="G14" s="44"/>
      <c r="I14" s="36"/>
      <c r="J14" s="44"/>
      <c r="L14" s="37"/>
      <c r="N14" s="59">
        <v>10</v>
      </c>
      <c r="O14" s="59">
        <f t="shared" si="1"/>
        <v>0</v>
      </c>
      <c r="P14" s="60" t="e">
        <f t="shared" si="2"/>
        <v>#DIV/0!</v>
      </c>
      <c r="Q14" s="60">
        <f t="shared" si="4"/>
        <v>0</v>
      </c>
      <c r="R14" s="60">
        <f t="shared" si="5"/>
        <v>0</v>
      </c>
      <c r="S14" s="60">
        <f t="shared" si="3"/>
        <v>0</v>
      </c>
    </row>
    <row r="15" spans="1:19" ht="12" customHeight="1">
      <c r="A15" s="51" t="s">
        <v>1789</v>
      </c>
      <c r="B15" s="52" t="s">
        <v>1583</v>
      </c>
      <c r="C15" s="52" t="s">
        <v>1774</v>
      </c>
      <c r="D15" s="36"/>
      <c r="F15" s="36"/>
      <c r="G15" s="44"/>
      <c r="I15" s="36"/>
      <c r="J15" s="44"/>
      <c r="L15" s="37"/>
      <c r="N15" s="59">
        <v>4</v>
      </c>
      <c r="O15" s="59">
        <f t="shared" si="1"/>
        <v>0</v>
      </c>
      <c r="P15" s="60" t="e">
        <f t="shared" si="2"/>
        <v>#DIV/0!</v>
      </c>
      <c r="Q15" s="60">
        <f t="shared" si="4"/>
        <v>0</v>
      </c>
      <c r="R15" s="60">
        <f t="shared" si="5"/>
        <v>0</v>
      </c>
      <c r="S15" s="60">
        <f t="shared" si="3"/>
        <v>0</v>
      </c>
    </row>
    <row r="16" spans="1:19" ht="12" customHeight="1">
      <c r="A16" s="51" t="s">
        <v>1790</v>
      </c>
      <c r="B16" s="52" t="s">
        <v>1791</v>
      </c>
      <c r="C16" s="52" t="s">
        <v>1774</v>
      </c>
      <c r="D16" s="36"/>
      <c r="F16" s="36"/>
      <c r="G16" s="44"/>
      <c r="I16" s="36"/>
      <c r="J16" s="44"/>
      <c r="L16" s="37"/>
      <c r="N16" s="59">
        <v>7</v>
      </c>
      <c r="O16" s="59">
        <f t="shared" si="1"/>
        <v>0</v>
      </c>
      <c r="P16" s="60" t="e">
        <f t="shared" si="2"/>
        <v>#DIV/0!</v>
      </c>
      <c r="Q16" s="60">
        <f t="shared" si="4"/>
        <v>0</v>
      </c>
      <c r="R16" s="60">
        <f t="shared" si="5"/>
        <v>0</v>
      </c>
      <c r="S16" s="60">
        <f t="shared" si="3"/>
        <v>0</v>
      </c>
    </row>
    <row r="17" spans="1:19" ht="12" customHeight="1">
      <c r="A17" s="51" t="s">
        <v>1792</v>
      </c>
      <c r="B17" s="52" t="s">
        <v>1791</v>
      </c>
      <c r="C17" s="52" t="s">
        <v>1774</v>
      </c>
      <c r="D17" s="36"/>
      <c r="F17" s="36"/>
      <c r="G17" s="44"/>
      <c r="I17" s="36"/>
      <c r="J17" s="44"/>
      <c r="L17" s="37"/>
      <c r="N17" s="59">
        <v>4</v>
      </c>
      <c r="O17" s="59">
        <f t="shared" si="1"/>
        <v>0</v>
      </c>
      <c r="P17" s="60" t="e">
        <f t="shared" si="2"/>
        <v>#DIV/0!</v>
      </c>
      <c r="Q17" s="60">
        <f t="shared" si="4"/>
        <v>0</v>
      </c>
      <c r="R17" s="60">
        <f t="shared" si="5"/>
        <v>0</v>
      </c>
      <c r="S17" s="60">
        <f t="shared" si="3"/>
        <v>0</v>
      </c>
    </row>
    <row r="18" spans="1:19" ht="12" customHeight="1">
      <c r="A18" s="51" t="s">
        <v>1793</v>
      </c>
      <c r="B18" s="52" t="s">
        <v>1791</v>
      </c>
      <c r="C18" s="52" t="s">
        <v>1774</v>
      </c>
      <c r="D18" s="36"/>
      <c r="F18" s="36"/>
      <c r="G18" s="44"/>
      <c r="I18" s="36"/>
      <c r="J18" s="44"/>
      <c r="L18" s="37"/>
      <c r="N18" s="59">
        <v>6</v>
      </c>
      <c r="O18" s="59">
        <f t="shared" si="1"/>
        <v>0</v>
      </c>
      <c r="P18" s="60" t="e">
        <f t="shared" si="2"/>
        <v>#DIV/0!</v>
      </c>
      <c r="Q18" s="60">
        <f t="shared" si="4"/>
        <v>0</v>
      </c>
      <c r="R18" s="60">
        <f t="shared" si="5"/>
        <v>0</v>
      </c>
      <c r="S18" s="60">
        <f t="shared" si="3"/>
        <v>0</v>
      </c>
    </row>
    <row r="19" spans="1:19" ht="12" customHeight="1">
      <c r="A19" s="51" t="s">
        <v>1794</v>
      </c>
      <c r="B19" s="52" t="s">
        <v>1791</v>
      </c>
      <c r="C19" s="52" t="s">
        <v>1774</v>
      </c>
      <c r="D19" s="36"/>
      <c r="F19" s="36"/>
      <c r="G19" s="44"/>
      <c r="I19" s="36"/>
      <c r="J19" s="44"/>
      <c r="L19" s="37"/>
      <c r="N19" s="59">
        <v>6</v>
      </c>
      <c r="O19" s="59">
        <f t="shared" si="1"/>
        <v>0</v>
      </c>
      <c r="P19" s="60" t="e">
        <f t="shared" si="2"/>
        <v>#DIV/0!</v>
      </c>
      <c r="Q19" s="60">
        <f t="shared" si="4"/>
        <v>0</v>
      </c>
      <c r="R19" s="60">
        <f t="shared" si="5"/>
        <v>0</v>
      </c>
      <c r="S19" s="60">
        <f t="shared" si="3"/>
        <v>0</v>
      </c>
    </row>
    <row r="20" spans="1:19" ht="12" customHeight="1">
      <c r="A20" s="51" t="s">
        <v>1795</v>
      </c>
      <c r="B20" s="52" t="s">
        <v>1791</v>
      </c>
      <c r="C20" s="52" t="s">
        <v>1774</v>
      </c>
      <c r="D20" s="36"/>
      <c r="F20" s="36"/>
      <c r="G20" s="44"/>
      <c r="I20" s="36"/>
      <c r="J20" s="44"/>
      <c r="L20" s="37"/>
      <c r="N20" s="59">
        <v>6</v>
      </c>
      <c r="O20" s="59">
        <f t="shared" si="1"/>
        <v>0</v>
      </c>
      <c r="P20" s="60" t="e">
        <f t="shared" si="2"/>
        <v>#DIV/0!</v>
      </c>
      <c r="Q20" s="60">
        <f t="shared" si="4"/>
        <v>0</v>
      </c>
      <c r="R20" s="60">
        <f t="shared" si="5"/>
        <v>0</v>
      </c>
      <c r="S20" s="60">
        <f t="shared" si="3"/>
        <v>0</v>
      </c>
    </row>
    <row r="21" spans="1:19" ht="12" customHeight="1">
      <c r="A21" s="51" t="s">
        <v>1796</v>
      </c>
      <c r="B21" s="52" t="s">
        <v>848</v>
      </c>
      <c r="C21" s="52" t="s">
        <v>1774</v>
      </c>
      <c r="D21" s="36"/>
      <c r="F21" s="36"/>
      <c r="G21" s="44"/>
      <c r="I21" s="36"/>
      <c r="J21" s="44"/>
      <c r="L21" s="37"/>
      <c r="N21" s="59">
        <v>4</v>
      </c>
      <c r="O21" s="59">
        <f t="shared" si="1"/>
        <v>0</v>
      </c>
      <c r="P21" s="60" t="e">
        <f t="shared" si="2"/>
        <v>#DIV/0!</v>
      </c>
      <c r="Q21" s="60">
        <f t="shared" si="4"/>
        <v>0</v>
      </c>
      <c r="R21" s="60">
        <f t="shared" si="5"/>
        <v>0</v>
      </c>
      <c r="S21" s="60">
        <f t="shared" si="3"/>
        <v>0</v>
      </c>
    </row>
    <row r="22" spans="1:19" ht="12" customHeight="1">
      <c r="A22" s="51" t="s">
        <v>1797</v>
      </c>
      <c r="B22" s="52" t="s">
        <v>848</v>
      </c>
      <c r="C22" s="52" t="s">
        <v>1774</v>
      </c>
      <c r="D22" s="36"/>
      <c r="F22" s="36"/>
      <c r="G22" s="44"/>
      <c r="I22" s="36"/>
      <c r="J22" s="44"/>
      <c r="L22" s="37"/>
      <c r="N22" s="59">
        <v>7</v>
      </c>
      <c r="O22" s="59">
        <f t="shared" si="1"/>
        <v>0</v>
      </c>
      <c r="P22" s="60" t="e">
        <f t="shared" si="2"/>
        <v>#DIV/0!</v>
      </c>
      <c r="Q22" s="60">
        <f t="shared" si="4"/>
        <v>0</v>
      </c>
      <c r="R22" s="60">
        <f t="shared" si="5"/>
        <v>0</v>
      </c>
      <c r="S22" s="60">
        <f t="shared" si="3"/>
        <v>0</v>
      </c>
    </row>
    <row r="23" spans="1:19" ht="12" customHeight="1">
      <c r="A23" s="51" t="s">
        <v>1798</v>
      </c>
      <c r="B23" s="52" t="s">
        <v>848</v>
      </c>
      <c r="C23" s="52" t="s">
        <v>1774</v>
      </c>
      <c r="D23" s="36"/>
      <c r="F23" s="36"/>
      <c r="G23" s="44"/>
      <c r="I23" s="36"/>
      <c r="J23" s="44"/>
      <c r="L23" s="37"/>
      <c r="N23" s="59">
        <v>7</v>
      </c>
      <c r="O23" s="59">
        <f t="shared" si="1"/>
        <v>0</v>
      </c>
      <c r="P23" s="60" t="e">
        <f t="shared" si="2"/>
        <v>#DIV/0!</v>
      </c>
      <c r="Q23" s="60">
        <f t="shared" si="4"/>
        <v>0</v>
      </c>
      <c r="R23" s="60">
        <f t="shared" si="5"/>
        <v>0</v>
      </c>
      <c r="S23" s="60">
        <f t="shared" si="3"/>
        <v>0</v>
      </c>
    </row>
    <row r="24" spans="1:19" ht="12" customHeight="1">
      <c r="A24" s="51" t="s">
        <v>1799</v>
      </c>
      <c r="B24" s="52" t="s">
        <v>1098</v>
      </c>
      <c r="C24" s="52" t="s">
        <v>1774</v>
      </c>
      <c r="D24" s="36"/>
      <c r="F24" s="36"/>
      <c r="G24" s="44"/>
      <c r="I24" s="36"/>
      <c r="J24" s="44"/>
      <c r="L24" s="37"/>
      <c r="N24" s="59">
        <v>10</v>
      </c>
      <c r="O24" s="59">
        <f t="shared" si="1"/>
        <v>0</v>
      </c>
      <c r="P24" s="60" t="e">
        <f t="shared" si="2"/>
        <v>#DIV/0!</v>
      </c>
      <c r="Q24" s="60">
        <f t="shared" si="4"/>
        <v>0</v>
      </c>
      <c r="R24" s="60">
        <f t="shared" si="5"/>
        <v>0</v>
      </c>
      <c r="S24" s="60">
        <f t="shared" si="3"/>
        <v>0</v>
      </c>
    </row>
    <row r="25" spans="1:19" ht="12" customHeight="1">
      <c r="A25" s="51" t="s">
        <v>1800</v>
      </c>
      <c r="B25" s="52" t="s">
        <v>1677</v>
      </c>
      <c r="C25" s="52" t="s">
        <v>233</v>
      </c>
      <c r="D25" s="36"/>
      <c r="F25" s="36"/>
      <c r="G25" s="44"/>
      <c r="I25" s="36"/>
      <c r="J25" s="44"/>
      <c r="L25" s="37"/>
      <c r="N25" s="59">
        <v>7</v>
      </c>
      <c r="O25" s="59">
        <f t="shared" si="1"/>
        <v>0</v>
      </c>
      <c r="P25" s="60" t="e">
        <f t="shared" si="2"/>
        <v>#DIV/0!</v>
      </c>
      <c r="Q25" s="60">
        <f t="shared" si="4"/>
        <v>0</v>
      </c>
      <c r="R25" s="60">
        <f t="shared" si="5"/>
        <v>0</v>
      </c>
      <c r="S25" s="60">
        <f t="shared" si="3"/>
        <v>0</v>
      </c>
    </row>
    <row r="26" spans="1:19" ht="12" customHeight="1">
      <c r="A26" s="51" t="s">
        <v>1801</v>
      </c>
      <c r="B26" s="52" t="s">
        <v>1677</v>
      </c>
      <c r="C26" s="52" t="s">
        <v>233</v>
      </c>
      <c r="D26" s="36"/>
      <c r="F26" s="36"/>
      <c r="G26" s="44"/>
      <c r="I26" s="36"/>
      <c r="J26" s="44"/>
      <c r="L26" s="37"/>
      <c r="N26" s="59">
        <v>7</v>
      </c>
      <c r="O26" s="59">
        <f t="shared" si="1"/>
        <v>0</v>
      </c>
      <c r="P26" s="60" t="e">
        <f t="shared" si="2"/>
        <v>#DIV/0!</v>
      </c>
      <c r="Q26" s="60">
        <f t="shared" si="4"/>
        <v>0</v>
      </c>
      <c r="R26" s="60">
        <f t="shared" si="5"/>
        <v>0</v>
      </c>
      <c r="S26" s="60">
        <f t="shared" si="3"/>
        <v>0</v>
      </c>
    </row>
    <row r="27" spans="1:19" ht="12" customHeight="1">
      <c r="A27" s="51" t="s">
        <v>1802</v>
      </c>
      <c r="B27" s="52" t="s">
        <v>1677</v>
      </c>
      <c r="C27" s="52" t="s">
        <v>233</v>
      </c>
      <c r="D27" s="36"/>
      <c r="F27" s="36"/>
      <c r="G27" s="44"/>
      <c r="I27" s="36"/>
      <c r="J27" s="44"/>
      <c r="L27" s="37"/>
      <c r="N27" s="59">
        <v>7</v>
      </c>
      <c r="O27" s="59">
        <f t="shared" si="1"/>
        <v>0</v>
      </c>
      <c r="P27" s="60" t="e">
        <f t="shared" si="2"/>
        <v>#DIV/0!</v>
      </c>
      <c r="Q27" s="60">
        <f t="shared" si="4"/>
        <v>0</v>
      </c>
      <c r="R27" s="60">
        <f t="shared" si="5"/>
        <v>0</v>
      </c>
      <c r="S27" s="60">
        <f t="shared" si="3"/>
        <v>0</v>
      </c>
    </row>
    <row r="28" spans="1:19" ht="12" customHeight="1">
      <c r="A28" s="51" t="s">
        <v>1803</v>
      </c>
      <c r="B28" s="52" t="s">
        <v>1677</v>
      </c>
      <c r="C28" s="52" t="s">
        <v>233</v>
      </c>
      <c r="D28" s="36"/>
      <c r="F28" s="36"/>
      <c r="G28" s="44"/>
      <c r="I28" s="36"/>
      <c r="J28" s="44"/>
      <c r="L28" s="37"/>
      <c r="N28" s="59">
        <v>4</v>
      </c>
      <c r="O28" s="59">
        <f t="shared" si="1"/>
        <v>0</v>
      </c>
      <c r="P28" s="60" t="e">
        <f t="shared" si="2"/>
        <v>#DIV/0!</v>
      </c>
      <c r="Q28" s="60">
        <f t="shared" si="4"/>
        <v>0</v>
      </c>
      <c r="R28" s="60">
        <f t="shared" si="5"/>
        <v>0</v>
      </c>
      <c r="S28" s="60">
        <f t="shared" si="3"/>
        <v>0</v>
      </c>
    </row>
    <row r="29" spans="1:19" ht="12" customHeight="1">
      <c r="A29" s="51" t="s">
        <v>1804</v>
      </c>
      <c r="B29" s="52" t="s">
        <v>1805</v>
      </c>
      <c r="C29" s="52" t="s">
        <v>1774</v>
      </c>
      <c r="D29" s="36"/>
      <c r="F29" s="36"/>
      <c r="G29" s="44"/>
      <c r="I29" s="36"/>
      <c r="J29" s="44"/>
      <c r="L29" s="37"/>
      <c r="N29" s="59">
        <v>10</v>
      </c>
      <c r="O29" s="59">
        <f t="shared" ref="O29:O30" si="6">IF(D29="Aplicável",N29,0)</f>
        <v>0</v>
      </c>
      <c r="P29" s="60" t="e">
        <f t="shared" si="2"/>
        <v>#DIV/0!</v>
      </c>
      <c r="Q29" s="60">
        <f t="shared" si="4"/>
        <v>0</v>
      </c>
      <c r="R29" s="60">
        <f t="shared" si="5"/>
        <v>0</v>
      </c>
      <c r="S29" s="60">
        <f t="shared" si="3"/>
        <v>0</v>
      </c>
    </row>
    <row r="30" spans="1:19" ht="12" customHeight="1">
      <c r="A30" s="51" t="s">
        <v>1806</v>
      </c>
      <c r="B30" s="52" t="s">
        <v>1805</v>
      </c>
      <c r="C30" s="52" t="s">
        <v>1774</v>
      </c>
      <c r="D30" s="36"/>
      <c r="F30" s="36"/>
      <c r="G30" s="44"/>
      <c r="I30" s="36"/>
      <c r="J30" s="44"/>
      <c r="L30" s="37"/>
      <c r="N30" s="59">
        <v>10</v>
      </c>
      <c r="O30" s="59">
        <f t="shared" si="6"/>
        <v>0</v>
      </c>
      <c r="P30" s="60" t="e">
        <f t="shared" si="2"/>
        <v>#DIV/0!</v>
      </c>
      <c r="Q30" s="60">
        <f t="shared" si="4"/>
        <v>0</v>
      </c>
      <c r="R30" s="60">
        <f t="shared" si="5"/>
        <v>0</v>
      </c>
      <c r="S30" s="60">
        <f t="shared" si="3"/>
        <v>0</v>
      </c>
    </row>
    <row r="31" spans="1:19" ht="12" customHeight="1">
      <c r="A31" s="51" t="s">
        <v>1678</v>
      </c>
      <c r="B31" s="52" t="s">
        <v>1805</v>
      </c>
      <c r="C31" s="52" t="s">
        <v>1774</v>
      </c>
      <c r="D31" s="36"/>
      <c r="F31" s="36"/>
      <c r="G31" s="44"/>
      <c r="I31" s="36"/>
      <c r="J31" s="44"/>
      <c r="L31" s="37"/>
      <c r="N31" s="59">
        <v>8</v>
      </c>
      <c r="O31" s="59">
        <f t="shared" si="1"/>
        <v>0</v>
      </c>
      <c r="P31" s="60" t="e">
        <f t="shared" si="2"/>
        <v>#DIV/0!</v>
      </c>
      <c r="Q31" s="60">
        <f t="shared" si="4"/>
        <v>0</v>
      </c>
      <c r="R31" s="60">
        <f t="shared" si="5"/>
        <v>0</v>
      </c>
      <c r="S31" s="60">
        <f t="shared" si="3"/>
        <v>0</v>
      </c>
    </row>
    <row r="32" spans="1:19" ht="12" customHeight="1">
      <c r="A32" s="51" t="s">
        <v>1807</v>
      </c>
      <c r="B32" s="52" t="s">
        <v>1805</v>
      </c>
      <c r="C32" s="52" t="s">
        <v>1774</v>
      </c>
      <c r="D32" s="36"/>
      <c r="F32" s="36"/>
      <c r="G32" s="44"/>
      <c r="I32" s="36"/>
      <c r="J32" s="44"/>
      <c r="L32" s="37"/>
      <c r="N32" s="59">
        <v>10</v>
      </c>
      <c r="O32" s="59">
        <f t="shared" si="1"/>
        <v>0</v>
      </c>
      <c r="P32" s="60" t="e">
        <f t="shared" si="2"/>
        <v>#DIV/0!</v>
      </c>
      <c r="Q32" s="60">
        <f t="shared" si="4"/>
        <v>0</v>
      </c>
      <c r="R32" s="60">
        <f t="shared" si="5"/>
        <v>0</v>
      </c>
      <c r="S32" s="60">
        <f t="shared" si="3"/>
        <v>0</v>
      </c>
    </row>
    <row r="33" spans="1:19" ht="12" customHeight="1">
      <c r="A33" s="51" t="s">
        <v>1808</v>
      </c>
      <c r="B33" s="52" t="s">
        <v>1805</v>
      </c>
      <c r="C33" s="52" t="s">
        <v>1774</v>
      </c>
      <c r="D33" s="36"/>
      <c r="F33" s="36"/>
      <c r="G33" s="44"/>
      <c r="I33" s="36"/>
      <c r="J33" s="44"/>
      <c r="L33" s="37"/>
      <c r="N33" s="59">
        <v>10</v>
      </c>
      <c r="O33" s="59">
        <f t="shared" ref="O33:O53" si="7">IF(D33="Aplicável",N33,0)</f>
        <v>0</v>
      </c>
      <c r="P33" s="60" t="e">
        <f t="shared" si="2"/>
        <v>#DIV/0!</v>
      </c>
      <c r="Q33" s="60">
        <f t="shared" si="4"/>
        <v>0</v>
      </c>
      <c r="R33" s="60">
        <f t="shared" si="5"/>
        <v>0</v>
      </c>
      <c r="S33" s="60">
        <f t="shared" si="3"/>
        <v>0</v>
      </c>
    </row>
    <row r="34" spans="1:19" ht="12" customHeight="1">
      <c r="A34" s="51" t="s">
        <v>1809</v>
      </c>
      <c r="B34" s="52" t="s">
        <v>1805</v>
      </c>
      <c r="C34" s="52" t="s">
        <v>1774</v>
      </c>
      <c r="D34" s="36"/>
      <c r="F34" s="36"/>
      <c r="G34" s="44"/>
      <c r="I34" s="36"/>
      <c r="J34" s="44"/>
      <c r="L34" s="37"/>
      <c r="N34" s="59">
        <v>8</v>
      </c>
      <c r="O34" s="59">
        <f t="shared" si="7"/>
        <v>0</v>
      </c>
      <c r="P34" s="60" t="e">
        <f t="shared" si="2"/>
        <v>#DIV/0!</v>
      </c>
      <c r="Q34" s="60">
        <f t="shared" si="4"/>
        <v>0</v>
      </c>
      <c r="R34" s="60">
        <f t="shared" si="5"/>
        <v>0</v>
      </c>
      <c r="S34" s="60">
        <f t="shared" si="3"/>
        <v>0</v>
      </c>
    </row>
    <row r="35" spans="1:19" ht="12" customHeight="1">
      <c r="A35" s="51" t="s">
        <v>1810</v>
      </c>
      <c r="B35" s="52" t="s">
        <v>1805</v>
      </c>
      <c r="C35" s="52" t="s">
        <v>1774</v>
      </c>
      <c r="D35" s="36"/>
      <c r="F35" s="36"/>
      <c r="G35" s="44"/>
      <c r="I35" s="36"/>
      <c r="J35" s="44"/>
      <c r="L35" s="37"/>
      <c r="N35" s="59">
        <v>7</v>
      </c>
      <c r="O35" s="59">
        <f t="shared" si="7"/>
        <v>0</v>
      </c>
      <c r="P35" s="60" t="e">
        <f t="shared" si="2"/>
        <v>#DIV/0!</v>
      </c>
      <c r="Q35" s="60">
        <f t="shared" si="4"/>
        <v>0</v>
      </c>
      <c r="R35" s="60">
        <f t="shared" si="5"/>
        <v>0</v>
      </c>
      <c r="S35" s="60">
        <f t="shared" si="3"/>
        <v>0</v>
      </c>
    </row>
    <row r="36" spans="1:19" ht="12" customHeight="1">
      <c r="A36" s="51" t="s">
        <v>1811</v>
      </c>
      <c r="B36" s="52" t="s">
        <v>1805</v>
      </c>
      <c r="C36" s="52" t="s">
        <v>1774</v>
      </c>
      <c r="D36" s="36"/>
      <c r="F36" s="36"/>
      <c r="G36" s="44"/>
      <c r="I36" s="36"/>
      <c r="J36" s="44"/>
      <c r="L36" s="37"/>
      <c r="N36" s="59">
        <v>7</v>
      </c>
      <c r="O36" s="59">
        <f t="shared" si="7"/>
        <v>0</v>
      </c>
      <c r="P36" s="60" t="e">
        <f t="shared" si="2"/>
        <v>#DIV/0!</v>
      </c>
      <c r="Q36" s="60">
        <f t="shared" si="4"/>
        <v>0</v>
      </c>
      <c r="R36" s="60">
        <f t="shared" si="5"/>
        <v>0</v>
      </c>
      <c r="S36" s="60">
        <f t="shared" si="3"/>
        <v>0</v>
      </c>
    </row>
    <row r="37" spans="1:19" ht="12" customHeight="1">
      <c r="A37" s="51" t="s">
        <v>1812</v>
      </c>
      <c r="B37" s="52" t="s">
        <v>1805</v>
      </c>
      <c r="C37" s="52" t="s">
        <v>1774</v>
      </c>
      <c r="D37" s="36"/>
      <c r="F37" s="36"/>
      <c r="G37" s="44"/>
      <c r="I37" s="36"/>
      <c r="J37" s="44"/>
      <c r="L37" s="37"/>
      <c r="N37" s="59">
        <v>10</v>
      </c>
      <c r="O37" s="59">
        <f t="shared" si="7"/>
        <v>0</v>
      </c>
      <c r="P37" s="60" t="e">
        <f t="shared" si="2"/>
        <v>#DIV/0!</v>
      </c>
      <c r="Q37" s="60">
        <f t="shared" si="4"/>
        <v>0</v>
      </c>
      <c r="R37" s="60">
        <f t="shared" si="5"/>
        <v>0</v>
      </c>
      <c r="S37" s="60">
        <f t="shared" si="3"/>
        <v>0</v>
      </c>
    </row>
    <row r="38" spans="1:19" ht="12" customHeight="1">
      <c r="A38" s="51" t="s">
        <v>1813</v>
      </c>
      <c r="B38" s="52" t="s">
        <v>1805</v>
      </c>
      <c r="C38" s="52" t="s">
        <v>1774</v>
      </c>
      <c r="D38" s="36"/>
      <c r="F38" s="36"/>
      <c r="G38" s="44"/>
      <c r="I38" s="36"/>
      <c r="J38" s="44"/>
      <c r="L38" s="37"/>
      <c r="N38" s="59">
        <v>10</v>
      </c>
      <c r="O38" s="59">
        <f t="shared" si="7"/>
        <v>0</v>
      </c>
      <c r="P38" s="60" t="e">
        <f t="shared" si="2"/>
        <v>#DIV/0!</v>
      </c>
      <c r="Q38" s="60">
        <f t="shared" si="4"/>
        <v>0</v>
      </c>
      <c r="R38" s="60">
        <f t="shared" si="5"/>
        <v>0</v>
      </c>
      <c r="S38" s="60">
        <f t="shared" si="3"/>
        <v>0</v>
      </c>
    </row>
    <row r="39" spans="1:19" ht="12" customHeight="1">
      <c r="A39" s="51" t="s">
        <v>1814</v>
      </c>
      <c r="B39" s="52" t="s">
        <v>1805</v>
      </c>
      <c r="C39" s="52" t="s">
        <v>1774</v>
      </c>
      <c r="D39" s="36"/>
      <c r="F39" s="36"/>
      <c r="G39" s="44"/>
      <c r="I39" s="36"/>
      <c r="J39" s="44"/>
      <c r="L39" s="37"/>
      <c r="N39" s="59">
        <v>7</v>
      </c>
      <c r="O39" s="59">
        <f t="shared" si="7"/>
        <v>0</v>
      </c>
      <c r="P39" s="60" t="e">
        <f t="shared" si="2"/>
        <v>#DIV/0!</v>
      </c>
      <c r="Q39" s="60">
        <f t="shared" si="4"/>
        <v>0</v>
      </c>
      <c r="R39" s="60">
        <f t="shared" si="5"/>
        <v>0</v>
      </c>
      <c r="S39" s="60">
        <f t="shared" si="3"/>
        <v>0</v>
      </c>
    </row>
    <row r="40" spans="1:19" ht="12" customHeight="1">
      <c r="A40" s="51" t="s">
        <v>1815</v>
      </c>
      <c r="B40" s="52" t="s">
        <v>1805</v>
      </c>
      <c r="C40" s="52" t="s">
        <v>1774</v>
      </c>
      <c r="D40" s="36"/>
      <c r="F40" s="36"/>
      <c r="G40" s="44"/>
      <c r="I40" s="36"/>
      <c r="J40" s="44"/>
      <c r="L40" s="37"/>
      <c r="N40" s="59">
        <v>7</v>
      </c>
      <c r="O40" s="59">
        <f t="shared" si="7"/>
        <v>0</v>
      </c>
      <c r="P40" s="60" t="e">
        <f t="shared" si="2"/>
        <v>#DIV/0!</v>
      </c>
      <c r="Q40" s="60">
        <f t="shared" si="4"/>
        <v>0</v>
      </c>
      <c r="R40" s="60">
        <f t="shared" si="5"/>
        <v>0</v>
      </c>
      <c r="S40" s="60">
        <f t="shared" si="3"/>
        <v>0</v>
      </c>
    </row>
    <row r="41" spans="1:19" ht="12" customHeight="1">
      <c r="A41" s="51" t="s">
        <v>1816</v>
      </c>
      <c r="B41" s="52" t="s">
        <v>1805</v>
      </c>
      <c r="C41" s="52" t="s">
        <v>1774</v>
      </c>
      <c r="D41" s="36"/>
      <c r="F41" s="36"/>
      <c r="G41" s="44"/>
      <c r="I41" s="36"/>
      <c r="J41" s="44"/>
      <c r="L41" s="37"/>
      <c r="N41" s="59">
        <v>7</v>
      </c>
      <c r="O41" s="59">
        <f t="shared" si="7"/>
        <v>0</v>
      </c>
      <c r="P41" s="60" t="e">
        <f t="shared" si="2"/>
        <v>#DIV/0!</v>
      </c>
      <c r="Q41" s="60">
        <f t="shared" si="4"/>
        <v>0</v>
      </c>
      <c r="R41" s="60">
        <f t="shared" si="5"/>
        <v>0</v>
      </c>
      <c r="S41" s="60">
        <f t="shared" si="3"/>
        <v>0</v>
      </c>
    </row>
    <row r="42" spans="1:19" ht="12" customHeight="1">
      <c r="A42" s="51" t="s">
        <v>1817</v>
      </c>
      <c r="B42" s="52" t="s">
        <v>1805</v>
      </c>
      <c r="C42" s="52" t="s">
        <v>1774</v>
      </c>
      <c r="D42" s="36"/>
      <c r="F42" s="36"/>
      <c r="G42" s="44"/>
      <c r="I42" s="36"/>
      <c r="J42" s="44"/>
      <c r="L42" s="37"/>
      <c r="N42" s="59">
        <v>7</v>
      </c>
      <c r="O42" s="59">
        <f t="shared" si="7"/>
        <v>0</v>
      </c>
      <c r="P42" s="60" t="e">
        <f t="shared" si="2"/>
        <v>#DIV/0!</v>
      </c>
      <c r="Q42" s="60">
        <f t="shared" si="4"/>
        <v>0</v>
      </c>
      <c r="R42" s="60">
        <f t="shared" si="5"/>
        <v>0</v>
      </c>
      <c r="S42" s="60">
        <f t="shared" si="3"/>
        <v>0</v>
      </c>
    </row>
    <row r="43" spans="1:19" ht="12" customHeight="1">
      <c r="A43" s="51" t="s">
        <v>1818</v>
      </c>
      <c r="B43" s="52" t="s">
        <v>1805</v>
      </c>
      <c r="C43" s="52" t="s">
        <v>1774</v>
      </c>
      <c r="D43" s="36"/>
      <c r="F43" s="36"/>
      <c r="G43" s="44"/>
      <c r="I43" s="36"/>
      <c r="J43" s="44"/>
      <c r="L43" s="37"/>
      <c r="N43" s="59">
        <v>8</v>
      </c>
      <c r="O43" s="59">
        <f t="shared" si="7"/>
        <v>0</v>
      </c>
      <c r="P43" s="60" t="e">
        <f t="shared" si="2"/>
        <v>#DIV/0!</v>
      </c>
      <c r="Q43" s="60">
        <f t="shared" si="4"/>
        <v>0</v>
      </c>
      <c r="R43" s="60">
        <f t="shared" si="5"/>
        <v>0</v>
      </c>
      <c r="S43" s="60">
        <f t="shared" si="3"/>
        <v>0</v>
      </c>
    </row>
    <row r="44" spans="1:19" ht="12" customHeight="1">
      <c r="A44" s="51" t="s">
        <v>1819</v>
      </c>
      <c r="B44" s="52" t="s">
        <v>1805</v>
      </c>
      <c r="C44" s="52" t="s">
        <v>1774</v>
      </c>
      <c r="D44" s="36"/>
      <c r="F44" s="36"/>
      <c r="G44" s="44"/>
      <c r="I44" s="36"/>
      <c r="J44" s="44"/>
      <c r="L44" s="37"/>
      <c r="N44" s="59">
        <v>8</v>
      </c>
      <c r="O44" s="59">
        <f t="shared" si="7"/>
        <v>0</v>
      </c>
      <c r="P44" s="60" t="e">
        <f t="shared" si="2"/>
        <v>#DIV/0!</v>
      </c>
      <c r="Q44" s="60">
        <f t="shared" si="4"/>
        <v>0</v>
      </c>
      <c r="R44" s="60">
        <f t="shared" si="5"/>
        <v>0</v>
      </c>
      <c r="S44" s="60">
        <f t="shared" si="3"/>
        <v>0</v>
      </c>
    </row>
    <row r="45" spans="1:19" ht="12" customHeight="1">
      <c r="A45" s="51" t="s">
        <v>1820</v>
      </c>
      <c r="B45" s="52" t="s">
        <v>1805</v>
      </c>
      <c r="C45" s="52" t="s">
        <v>1774</v>
      </c>
      <c r="D45" s="36"/>
      <c r="F45" s="36"/>
      <c r="G45" s="44"/>
      <c r="I45" s="36"/>
      <c r="J45" s="44"/>
      <c r="L45" s="37"/>
      <c r="N45" s="59">
        <v>6</v>
      </c>
      <c r="O45" s="59">
        <f t="shared" si="7"/>
        <v>0</v>
      </c>
      <c r="P45" s="60" t="e">
        <f t="shared" si="2"/>
        <v>#DIV/0!</v>
      </c>
      <c r="Q45" s="60">
        <f t="shared" si="4"/>
        <v>0</v>
      </c>
      <c r="R45" s="60">
        <f t="shared" si="5"/>
        <v>0</v>
      </c>
      <c r="S45" s="60">
        <f t="shared" si="3"/>
        <v>0</v>
      </c>
    </row>
    <row r="46" spans="1:19" ht="12" customHeight="1">
      <c r="A46" s="51" t="s">
        <v>1821</v>
      </c>
      <c r="B46" s="52" t="s">
        <v>1805</v>
      </c>
      <c r="C46" s="52" t="s">
        <v>1774</v>
      </c>
      <c r="D46" s="36"/>
      <c r="F46" s="36"/>
      <c r="G46" s="44"/>
      <c r="I46" s="36"/>
      <c r="J46" s="44"/>
      <c r="L46" s="37"/>
      <c r="N46" s="59">
        <v>10</v>
      </c>
      <c r="O46" s="59">
        <f t="shared" si="7"/>
        <v>0</v>
      </c>
      <c r="P46" s="60" t="e">
        <f t="shared" si="2"/>
        <v>#DIV/0!</v>
      </c>
      <c r="Q46" s="60">
        <f t="shared" si="4"/>
        <v>0</v>
      </c>
      <c r="R46" s="60">
        <f t="shared" si="5"/>
        <v>0</v>
      </c>
      <c r="S46" s="60">
        <f t="shared" si="3"/>
        <v>0</v>
      </c>
    </row>
    <row r="47" spans="1:19" ht="12" customHeight="1">
      <c r="A47" s="51" t="s">
        <v>1822</v>
      </c>
      <c r="B47" s="52" t="s">
        <v>1805</v>
      </c>
      <c r="C47" s="52" t="s">
        <v>1774</v>
      </c>
      <c r="D47" s="36"/>
      <c r="F47" s="36"/>
      <c r="G47" s="44"/>
      <c r="I47" s="36"/>
      <c r="J47" s="44"/>
      <c r="L47" s="37"/>
      <c r="N47" s="59">
        <v>10</v>
      </c>
      <c r="O47" s="59">
        <f t="shared" si="7"/>
        <v>0</v>
      </c>
      <c r="P47" s="60" t="e">
        <f t="shared" si="2"/>
        <v>#DIV/0!</v>
      </c>
      <c r="Q47" s="60">
        <f t="shared" si="4"/>
        <v>0</v>
      </c>
      <c r="R47" s="60">
        <f t="shared" si="5"/>
        <v>0</v>
      </c>
      <c r="S47" s="60">
        <f t="shared" si="3"/>
        <v>0</v>
      </c>
    </row>
    <row r="48" spans="1:19" ht="12" customHeight="1">
      <c r="A48" s="51" t="s">
        <v>1823</v>
      </c>
      <c r="B48" s="52" t="s">
        <v>1805</v>
      </c>
      <c r="C48" s="52" t="s">
        <v>1774</v>
      </c>
      <c r="D48" s="36"/>
      <c r="F48" s="36"/>
      <c r="G48" s="44"/>
      <c r="I48" s="36"/>
      <c r="J48" s="44"/>
      <c r="L48" s="37"/>
      <c r="N48" s="59">
        <v>8</v>
      </c>
      <c r="O48" s="59">
        <f t="shared" si="7"/>
        <v>0</v>
      </c>
      <c r="P48" s="60" t="e">
        <f t="shared" si="2"/>
        <v>#DIV/0!</v>
      </c>
      <c r="Q48" s="60">
        <f t="shared" si="4"/>
        <v>0</v>
      </c>
      <c r="R48" s="60">
        <f t="shared" si="5"/>
        <v>0</v>
      </c>
      <c r="S48" s="60">
        <f t="shared" si="3"/>
        <v>0</v>
      </c>
    </row>
    <row r="49" spans="1:19" ht="12" customHeight="1">
      <c r="A49" s="51" t="s">
        <v>1824</v>
      </c>
      <c r="B49" s="52" t="s">
        <v>1805</v>
      </c>
      <c r="C49" s="52" t="s">
        <v>1774</v>
      </c>
      <c r="D49" s="36"/>
      <c r="F49" s="36"/>
      <c r="G49" s="44"/>
      <c r="I49" s="36"/>
      <c r="J49" s="44"/>
      <c r="L49" s="37"/>
      <c r="N49" s="59">
        <v>8</v>
      </c>
      <c r="O49" s="59">
        <f t="shared" si="7"/>
        <v>0</v>
      </c>
      <c r="P49" s="60" t="e">
        <f t="shared" si="2"/>
        <v>#DIV/0!</v>
      </c>
      <c r="Q49" s="60">
        <f t="shared" si="4"/>
        <v>0</v>
      </c>
      <c r="R49" s="60">
        <f t="shared" si="5"/>
        <v>0</v>
      </c>
      <c r="S49" s="60">
        <f t="shared" si="3"/>
        <v>0</v>
      </c>
    </row>
    <row r="50" spans="1:19" ht="12" customHeight="1">
      <c r="A50" s="51" t="s">
        <v>1825</v>
      </c>
      <c r="B50" s="52" t="s">
        <v>1805</v>
      </c>
      <c r="C50" s="52" t="s">
        <v>1774</v>
      </c>
      <c r="D50" s="36"/>
      <c r="F50" s="36"/>
      <c r="G50" s="44"/>
      <c r="I50" s="36"/>
      <c r="J50" s="44"/>
      <c r="L50" s="37"/>
      <c r="N50" s="59">
        <v>7</v>
      </c>
      <c r="O50" s="59">
        <f t="shared" si="7"/>
        <v>0</v>
      </c>
      <c r="P50" s="60" t="e">
        <f t="shared" si="2"/>
        <v>#DIV/0!</v>
      </c>
      <c r="Q50" s="60">
        <f t="shared" si="4"/>
        <v>0</v>
      </c>
      <c r="R50" s="60">
        <f t="shared" si="5"/>
        <v>0</v>
      </c>
      <c r="S50" s="60">
        <f t="shared" si="3"/>
        <v>0</v>
      </c>
    </row>
    <row r="51" spans="1:19" ht="12" customHeight="1">
      <c r="A51" s="51" t="s">
        <v>1826</v>
      </c>
      <c r="B51" s="52" t="s">
        <v>1805</v>
      </c>
      <c r="C51" s="52" t="s">
        <v>1774</v>
      </c>
      <c r="D51" s="36"/>
      <c r="F51" s="36"/>
      <c r="G51" s="44"/>
      <c r="I51" s="36"/>
      <c r="J51" s="44"/>
      <c r="L51" s="37"/>
      <c r="N51" s="59">
        <v>7</v>
      </c>
      <c r="O51" s="59">
        <f t="shared" si="7"/>
        <v>0</v>
      </c>
      <c r="P51" s="60" t="e">
        <f t="shared" si="2"/>
        <v>#DIV/0!</v>
      </c>
      <c r="Q51" s="60">
        <f t="shared" si="4"/>
        <v>0</v>
      </c>
      <c r="R51" s="60">
        <f t="shared" si="5"/>
        <v>0</v>
      </c>
      <c r="S51" s="60">
        <f t="shared" si="3"/>
        <v>0</v>
      </c>
    </row>
    <row r="52" spans="1:19" ht="12" customHeight="1">
      <c r="A52" s="51" t="s">
        <v>1827</v>
      </c>
      <c r="B52" s="52" t="s">
        <v>1805</v>
      </c>
      <c r="C52" s="52" t="s">
        <v>1774</v>
      </c>
      <c r="D52" s="36"/>
      <c r="F52" s="36"/>
      <c r="G52" s="44"/>
      <c r="I52" s="36"/>
      <c r="J52" s="44"/>
      <c r="L52" s="37"/>
      <c r="N52" s="59">
        <v>7</v>
      </c>
      <c r="O52" s="59">
        <f t="shared" si="7"/>
        <v>0</v>
      </c>
      <c r="P52" s="60" t="e">
        <f t="shared" si="2"/>
        <v>#DIV/0!</v>
      </c>
      <c r="Q52" s="60">
        <f t="shared" si="4"/>
        <v>0</v>
      </c>
      <c r="R52" s="60">
        <f t="shared" si="5"/>
        <v>0</v>
      </c>
      <c r="S52" s="60">
        <f t="shared" si="3"/>
        <v>0</v>
      </c>
    </row>
    <row r="53" spans="1:19" ht="12" customHeight="1">
      <c r="A53" s="51" t="s">
        <v>1828</v>
      </c>
      <c r="B53" s="52" t="s">
        <v>1805</v>
      </c>
      <c r="C53" s="52" t="s">
        <v>1774</v>
      </c>
      <c r="D53" s="36"/>
      <c r="F53" s="36"/>
      <c r="G53" s="44"/>
      <c r="I53" s="36"/>
      <c r="J53" s="44"/>
      <c r="L53" s="37"/>
      <c r="N53" s="59">
        <v>5</v>
      </c>
      <c r="O53" s="59">
        <f t="shared" si="7"/>
        <v>0</v>
      </c>
      <c r="P53" s="60" t="e">
        <f t="shared" si="2"/>
        <v>#DIV/0!</v>
      </c>
      <c r="Q53" s="60">
        <f t="shared" si="4"/>
        <v>0</v>
      </c>
      <c r="R53" s="60">
        <f t="shared" si="5"/>
        <v>0</v>
      </c>
      <c r="S53" s="60">
        <f t="shared" si="3"/>
        <v>0</v>
      </c>
    </row>
    <row r="54" spans="1:19" ht="12" customHeight="1">
      <c r="A54" s="51" t="s">
        <v>1829</v>
      </c>
      <c r="B54" s="52" t="s">
        <v>1573</v>
      </c>
      <c r="C54" s="52" t="s">
        <v>1774</v>
      </c>
      <c r="D54" s="36"/>
      <c r="F54" s="36"/>
      <c r="G54" s="44"/>
      <c r="I54" s="36"/>
      <c r="J54" s="44"/>
      <c r="L54" s="37"/>
      <c r="N54" s="59">
        <v>9</v>
      </c>
      <c r="O54" s="59">
        <f>IF(D54="Aplicável",N54,0)</f>
        <v>0</v>
      </c>
      <c r="P54" s="60" t="e">
        <f>O54/$O$2</f>
        <v>#DIV/0!</v>
      </c>
      <c r="Q54" s="60">
        <f t="shared" si="4"/>
        <v>0</v>
      </c>
      <c r="R54" s="60">
        <f t="shared" si="5"/>
        <v>0</v>
      </c>
      <c r="S54" s="60">
        <f t="shared" si="3"/>
        <v>0</v>
      </c>
    </row>
    <row r="55" spans="1:19" ht="12" customHeight="1">
      <c r="A55" s="51" t="s">
        <v>1830</v>
      </c>
      <c r="B55" s="52" t="s">
        <v>1660</v>
      </c>
      <c r="C55" s="52" t="s">
        <v>1774</v>
      </c>
      <c r="D55" s="36"/>
      <c r="F55" s="36"/>
      <c r="G55" s="44"/>
      <c r="I55" s="36"/>
      <c r="J55" s="44"/>
      <c r="L55" s="37"/>
      <c r="N55" s="59">
        <v>10</v>
      </c>
      <c r="O55" s="59">
        <f>IF(D55="Aplicável",N55,0)</f>
        <v>0</v>
      </c>
      <c r="P55" s="60" t="e">
        <f>O55/$O$2</f>
        <v>#DIV/0!</v>
      </c>
      <c r="Q55" s="60">
        <f t="shared" si="4"/>
        <v>0</v>
      </c>
      <c r="R55" s="60">
        <f t="shared" si="5"/>
        <v>0</v>
      </c>
      <c r="S55" s="60">
        <f t="shared" si="3"/>
        <v>0</v>
      </c>
    </row>
    <row r="56" spans="1:19" ht="12" customHeight="1">
      <c r="A56" s="51" t="s">
        <v>1831</v>
      </c>
      <c r="B56" s="52" t="s">
        <v>1773</v>
      </c>
      <c r="C56" s="52" t="s">
        <v>1774</v>
      </c>
      <c r="D56" s="36"/>
      <c r="F56" s="36"/>
      <c r="G56" s="44"/>
      <c r="I56" s="36"/>
      <c r="J56" s="44"/>
      <c r="L56" s="37"/>
      <c r="N56" s="59">
        <v>7</v>
      </c>
      <c r="O56" s="59">
        <f t="shared" si="1"/>
        <v>0</v>
      </c>
      <c r="P56" s="60" t="e">
        <f t="shared" si="2"/>
        <v>#DIV/0!</v>
      </c>
      <c r="Q56" s="60">
        <f t="shared" si="4"/>
        <v>0</v>
      </c>
      <c r="R56" s="60">
        <f t="shared" si="5"/>
        <v>0</v>
      </c>
      <c r="S56" s="60">
        <f t="shared" si="3"/>
        <v>0</v>
      </c>
    </row>
    <row r="57" spans="1:19" ht="12" customHeight="1">
      <c r="A57" s="51" t="s">
        <v>1831</v>
      </c>
      <c r="B57" s="52" t="s">
        <v>1791</v>
      </c>
      <c r="C57" s="52" t="s">
        <v>1774</v>
      </c>
      <c r="D57" s="36"/>
      <c r="F57" s="36"/>
      <c r="G57" s="44"/>
      <c r="I57" s="36"/>
      <c r="J57" s="44"/>
      <c r="L57" s="37"/>
      <c r="N57" s="59">
        <v>7</v>
      </c>
      <c r="O57" s="59">
        <f t="shared" si="1"/>
        <v>0</v>
      </c>
      <c r="P57" s="60" t="e">
        <f t="shared" si="2"/>
        <v>#DIV/0!</v>
      </c>
      <c r="Q57" s="60">
        <f t="shared" si="4"/>
        <v>0</v>
      </c>
      <c r="R57" s="60">
        <f t="shared" si="5"/>
        <v>0</v>
      </c>
      <c r="S57" s="60">
        <f t="shared" si="3"/>
        <v>0</v>
      </c>
    </row>
    <row r="58" spans="1:19" ht="12" customHeight="1">
      <c r="A58" s="51" t="s">
        <v>1831</v>
      </c>
      <c r="B58" s="52" t="s">
        <v>848</v>
      </c>
      <c r="C58" s="52" t="s">
        <v>1774</v>
      </c>
      <c r="D58" s="36"/>
      <c r="F58" s="36"/>
      <c r="G58" s="44"/>
      <c r="I58" s="36"/>
      <c r="J58" s="44"/>
      <c r="L58" s="37"/>
      <c r="N58" s="59">
        <v>7</v>
      </c>
      <c r="O58" s="59">
        <f t="shared" si="1"/>
        <v>0</v>
      </c>
      <c r="P58" s="60" t="e">
        <f t="shared" si="2"/>
        <v>#DIV/0!</v>
      </c>
      <c r="Q58" s="60">
        <f t="shared" si="4"/>
        <v>0</v>
      </c>
      <c r="R58" s="60">
        <f t="shared" si="5"/>
        <v>0</v>
      </c>
      <c r="S58" s="60">
        <f t="shared" si="3"/>
        <v>0</v>
      </c>
    </row>
    <row r="59" spans="1:19" ht="12" customHeight="1">
      <c r="A59" s="51" t="s">
        <v>1831</v>
      </c>
      <c r="B59" s="52" t="s">
        <v>1098</v>
      </c>
      <c r="C59" s="52" t="s">
        <v>1774</v>
      </c>
      <c r="D59" s="36"/>
      <c r="F59" s="36"/>
      <c r="G59" s="44"/>
      <c r="I59" s="36"/>
      <c r="J59" s="44"/>
      <c r="L59" s="37"/>
      <c r="N59" s="59">
        <v>7</v>
      </c>
      <c r="O59" s="59">
        <f t="shared" si="1"/>
        <v>0</v>
      </c>
      <c r="P59" s="60" t="e">
        <f t="shared" si="2"/>
        <v>#DIV/0!</v>
      </c>
      <c r="Q59" s="60">
        <f t="shared" si="4"/>
        <v>0</v>
      </c>
      <c r="R59" s="60">
        <f t="shared" si="5"/>
        <v>0</v>
      </c>
      <c r="S59" s="60">
        <f t="shared" si="3"/>
        <v>0</v>
      </c>
    </row>
    <row r="60" spans="1:19" ht="12" customHeight="1">
      <c r="A60" s="51" t="s">
        <v>1831</v>
      </c>
      <c r="B60" s="52" t="s">
        <v>1805</v>
      </c>
      <c r="C60" s="52" t="s">
        <v>1774</v>
      </c>
      <c r="D60" s="36"/>
      <c r="F60" s="36"/>
      <c r="G60" s="44"/>
      <c r="I60" s="36"/>
      <c r="J60" s="44"/>
      <c r="L60" s="37"/>
      <c r="N60" s="59">
        <v>7</v>
      </c>
      <c r="O60" s="59">
        <f t="shared" si="1"/>
        <v>0</v>
      </c>
      <c r="P60" s="60" t="e">
        <f t="shared" si="2"/>
        <v>#DIV/0!</v>
      </c>
      <c r="Q60" s="60">
        <f t="shared" si="4"/>
        <v>0</v>
      </c>
      <c r="R60" s="60">
        <f t="shared" si="5"/>
        <v>0</v>
      </c>
      <c r="S60" s="60">
        <f t="shared" si="3"/>
        <v>0</v>
      </c>
    </row>
    <row r="61" spans="1:19" ht="12" customHeight="1">
      <c r="A61" s="51" t="s">
        <v>1831</v>
      </c>
      <c r="B61" s="52" t="s">
        <v>1573</v>
      </c>
      <c r="C61" s="52" t="s">
        <v>1774</v>
      </c>
      <c r="D61" s="36"/>
      <c r="F61" s="36"/>
      <c r="G61" s="44"/>
      <c r="I61" s="36"/>
      <c r="J61" s="44"/>
      <c r="L61" s="37"/>
      <c r="N61" s="59">
        <v>7</v>
      </c>
      <c r="O61" s="59">
        <f t="shared" ref="O61:O62" si="8">IF(D61="Aplicável",N61,0)</f>
        <v>0</v>
      </c>
      <c r="P61" s="60" t="e">
        <f t="shared" si="2"/>
        <v>#DIV/0!</v>
      </c>
      <c r="Q61" s="60">
        <f t="shared" si="4"/>
        <v>0</v>
      </c>
      <c r="R61" s="60">
        <f t="shared" si="5"/>
        <v>0</v>
      </c>
      <c r="S61" s="60">
        <f t="shared" si="3"/>
        <v>0</v>
      </c>
    </row>
    <row r="62" spans="1:19" ht="12" customHeight="1">
      <c r="A62" s="51" t="s">
        <v>1831</v>
      </c>
      <c r="B62" s="52" t="s">
        <v>1660</v>
      </c>
      <c r="C62" s="52" t="s">
        <v>1774</v>
      </c>
      <c r="D62" s="36"/>
      <c r="F62" s="36"/>
      <c r="G62" s="44"/>
      <c r="I62" s="36"/>
      <c r="J62" s="44"/>
      <c r="L62" s="37"/>
      <c r="N62" s="59">
        <v>7</v>
      </c>
      <c r="O62" s="59">
        <f t="shared" si="8"/>
        <v>0</v>
      </c>
      <c r="P62" s="60" t="e">
        <f t="shared" si="2"/>
        <v>#DIV/0!</v>
      </c>
      <c r="Q62" s="60">
        <f t="shared" si="4"/>
        <v>0</v>
      </c>
      <c r="R62" s="60">
        <f t="shared" si="5"/>
        <v>0</v>
      </c>
      <c r="S62" s="60">
        <f t="shared" si="3"/>
        <v>0</v>
      </c>
    </row>
    <row r="63" spans="1:19" ht="12" customHeight="1">
      <c r="A63" s="51" t="s">
        <v>1832</v>
      </c>
      <c r="B63" s="52" t="s">
        <v>1677</v>
      </c>
      <c r="C63" s="52" t="s">
        <v>1774</v>
      </c>
      <c r="D63" s="36"/>
      <c r="F63" s="36"/>
      <c r="G63" s="44"/>
      <c r="I63" s="36"/>
      <c r="J63" s="44"/>
      <c r="L63" s="37"/>
      <c r="N63" s="59">
        <v>10</v>
      </c>
      <c r="O63" s="59">
        <f t="shared" si="1"/>
        <v>0</v>
      </c>
      <c r="P63" s="60" t="e">
        <f t="shared" si="2"/>
        <v>#DIV/0!</v>
      </c>
      <c r="Q63" s="60">
        <f t="shared" si="4"/>
        <v>0</v>
      </c>
      <c r="R63" s="60">
        <f t="shared" si="5"/>
        <v>0</v>
      </c>
      <c r="S63" s="60">
        <f t="shared" si="3"/>
        <v>0</v>
      </c>
    </row>
    <row r="64" spans="1:19" ht="12" customHeight="1">
      <c r="A64" s="51" t="s">
        <v>1833</v>
      </c>
      <c r="B64" s="52" t="s">
        <v>1677</v>
      </c>
      <c r="C64" s="52" t="s">
        <v>1774</v>
      </c>
      <c r="D64" s="36"/>
      <c r="F64" s="36"/>
      <c r="G64" s="44"/>
      <c r="I64" s="36"/>
      <c r="J64" s="44"/>
      <c r="L64" s="37"/>
      <c r="N64" s="59">
        <v>10</v>
      </c>
      <c r="O64" s="59">
        <f t="shared" si="1"/>
        <v>0</v>
      </c>
      <c r="P64" s="60" t="e">
        <f t="shared" si="2"/>
        <v>#DIV/0!</v>
      </c>
      <c r="Q64" s="60">
        <f t="shared" si="4"/>
        <v>0</v>
      </c>
      <c r="R64" s="60">
        <f t="shared" si="5"/>
        <v>0</v>
      </c>
      <c r="S64" s="60">
        <f t="shared" si="3"/>
        <v>0</v>
      </c>
    </row>
    <row r="65" spans="1:19" ht="12" customHeight="1">
      <c r="A65" s="51" t="s">
        <v>1834</v>
      </c>
      <c r="B65" s="52" t="s">
        <v>1677</v>
      </c>
      <c r="C65" s="52" t="s">
        <v>1774</v>
      </c>
      <c r="D65" s="36"/>
      <c r="F65" s="36"/>
      <c r="G65" s="44"/>
      <c r="I65" s="36"/>
      <c r="J65" s="44"/>
      <c r="L65" s="37"/>
      <c r="N65" s="59">
        <v>10</v>
      </c>
      <c r="O65" s="59">
        <f t="shared" si="1"/>
        <v>0</v>
      </c>
      <c r="P65" s="60" t="e">
        <f t="shared" si="2"/>
        <v>#DIV/0!</v>
      </c>
      <c r="Q65" s="60">
        <f t="shared" si="4"/>
        <v>0</v>
      </c>
      <c r="R65" s="60">
        <f t="shared" si="5"/>
        <v>0</v>
      </c>
      <c r="S65" s="60">
        <f t="shared" si="3"/>
        <v>0</v>
      </c>
    </row>
    <row r="66" spans="1:19" ht="12" customHeight="1">
      <c r="A66" s="51" t="s">
        <v>1835</v>
      </c>
      <c r="B66" s="52" t="s">
        <v>1677</v>
      </c>
      <c r="C66" s="52" t="s">
        <v>1774</v>
      </c>
      <c r="D66" s="36"/>
      <c r="F66" s="36"/>
      <c r="G66" s="44"/>
      <c r="I66" s="36"/>
      <c r="J66" s="44"/>
      <c r="L66" s="37"/>
      <c r="N66" s="59">
        <v>3</v>
      </c>
      <c r="O66" s="59">
        <f t="shared" si="1"/>
        <v>0</v>
      </c>
      <c r="P66" s="60" t="e">
        <f t="shared" si="2"/>
        <v>#DIV/0!</v>
      </c>
      <c r="Q66" s="60">
        <f t="shared" si="4"/>
        <v>0</v>
      </c>
      <c r="R66" s="60">
        <f t="shared" si="5"/>
        <v>0</v>
      </c>
      <c r="S66" s="60">
        <f t="shared" si="3"/>
        <v>0</v>
      </c>
    </row>
    <row r="67" spans="1:19" ht="12" customHeight="1">
      <c r="A67" s="51" t="s">
        <v>1836</v>
      </c>
      <c r="B67" s="52" t="s">
        <v>1677</v>
      </c>
      <c r="C67" s="52" t="s">
        <v>1837</v>
      </c>
      <c r="D67" s="36"/>
      <c r="F67" s="36"/>
      <c r="G67" s="44"/>
      <c r="I67" s="36"/>
      <c r="J67" s="44"/>
      <c r="L67" s="37"/>
      <c r="N67" s="59">
        <v>10</v>
      </c>
      <c r="O67" s="59">
        <f t="shared" si="1"/>
        <v>0</v>
      </c>
      <c r="P67" s="60" t="e">
        <f t="shared" si="2"/>
        <v>#DIV/0!</v>
      </c>
      <c r="Q67" s="60">
        <f t="shared" si="4"/>
        <v>0</v>
      </c>
      <c r="R67" s="60">
        <f t="shared" si="5"/>
        <v>0</v>
      </c>
      <c r="S67" s="60">
        <f t="shared" si="3"/>
        <v>0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F09F16C2-FEAC-4A66-A949-83C2EEDC1A3A}">
            <xm:f>'Listas de apoio'!$W$3</xm:f>
            <x14:dxf>
              <fill>
                <patternFill>
                  <bgColor theme="2" tint="-9.9948118533890809E-2"/>
                </patternFill>
              </fill>
            </x14:dxf>
          </x14:cfRule>
          <x14:cfRule type="cellIs" priority="2" operator="equal" id="{74DFAC14-0FA9-470E-9EEC-209B7779EABD}">
            <xm:f>'Listas de apoio'!$W$2</xm:f>
            <x14:dxf>
              <fill>
                <patternFill>
                  <bgColor theme="8" tint="0.79998168889431442"/>
                </patternFill>
              </fill>
            </x14:dxf>
          </x14:cfRule>
          <xm:sqref>D5:D67</xm:sqref>
        </x14:conditionalFormatting>
        <x14:conditionalFormatting xmlns:xm="http://schemas.microsoft.com/office/excel/2006/main">
          <x14:cfRule type="cellIs" priority="9" operator="equal" id="{B7B8E6A8-BFB1-4C55-A0B2-5F9B7FF2150B}">
            <xm:f>'Listas de apoio'!$X$7</xm:f>
            <x14:dxf>
              <fill>
                <patternFill>
                  <bgColor theme="2" tint="-9.9948118533890809E-2"/>
                </patternFill>
              </fill>
            </x14:dxf>
          </x14:cfRule>
          <x14:cfRule type="cellIs" priority="10" operator="equal" id="{DD10FAA0-36B4-4A5C-9C20-DAF56BBB3D7F}">
            <xm:f>'Listas de apoio'!$X$6</xm:f>
            <x14:dxf>
              <fill>
                <patternFill>
                  <bgColor rgb="FF92D050"/>
                </patternFill>
              </fill>
            </x14:dxf>
          </x14:cfRule>
          <x14:cfRule type="cellIs" priority="11" operator="equal" id="{43F2137B-FCF3-47D5-9627-CD9826E2D653}">
            <xm:f>'Listas de apoio'!$X$5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2" operator="equal" id="{6C572928-92D8-47AA-A2D0-E5DEC9400E2E}">
            <xm:f>'Listas de apoio'!$X$4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13" operator="equal" id="{2140BFC2-F15F-4AE1-BBFA-24F6E0FF632C}">
            <xm:f>'Listas de apoio'!$X$3</xm:f>
            <x14:dxf>
              <fill>
                <patternFill>
                  <bgColor rgb="FFFFA7A7"/>
                </patternFill>
              </fill>
            </x14:dxf>
          </x14:cfRule>
          <x14:cfRule type="cellIs" priority="14" operator="equal" id="{371E4C2B-A065-4F38-B6CA-915596F29BFF}">
            <xm:f>'Listas de apoio'!$X$2</xm:f>
            <x14:dxf>
              <fill>
                <patternFill>
                  <bgColor theme="8" tint="0.79998168889431442"/>
                </patternFill>
              </fill>
            </x14:dxf>
          </x14:cfRule>
          <xm:sqref>F5:F67</xm:sqref>
        </x14:conditionalFormatting>
        <x14:conditionalFormatting xmlns:xm="http://schemas.microsoft.com/office/excel/2006/main">
          <x14:cfRule type="cellIs" priority="3" operator="equal" id="{86C9E01E-1C74-4AAC-A841-B5F6A56C4462}">
            <xm:f>'Listas de apoio'!$Y$6</xm:f>
            <x14:dxf>
              <fill>
                <patternFill>
                  <bgColor theme="2" tint="-9.9948118533890809E-2"/>
                </patternFill>
              </fill>
            </x14:dxf>
          </x14:cfRule>
          <x14:cfRule type="cellIs" priority="4" operator="equal" id="{E125E767-7A52-4469-A75A-D86EDCA02D43}">
            <xm:f>'Listas de apoio'!$Y$5</xm:f>
            <x14:dxf>
              <fill>
                <patternFill>
                  <bgColor rgb="FF92D050"/>
                </patternFill>
              </fill>
            </x14:dxf>
          </x14:cfRule>
          <x14:cfRule type="cellIs" priority="6" operator="equal" id="{DD348C5B-B361-4FAD-B11C-BDC49789A6B6}">
            <xm:f>'Listas de apoio'!$Y$4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7" operator="equal" id="{0002D754-B6C5-498C-84D5-2BE22C6B8868}">
            <xm:f>'Listas de apoio'!$Y$3</xm:f>
            <x14:dxf>
              <fill>
                <patternFill>
                  <bgColor rgb="FFFFA7A7"/>
                </patternFill>
              </fill>
            </x14:dxf>
          </x14:cfRule>
          <x14:cfRule type="cellIs" priority="8" operator="equal" id="{DC3E6738-5C85-4006-A1F4-0ACDA26B2A93}">
            <xm:f>'Listas de apoio'!$Y$2</xm:f>
            <x14:dxf>
              <fill>
                <patternFill>
                  <bgColor theme="8" tint="0.79998168889431442"/>
                </patternFill>
              </fill>
            </x14:dxf>
          </x14:cfRule>
          <xm:sqref>I5:I67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9CF97283-62B7-45D7-A0DB-F7DD062360BC}">
          <x14:formula1>
            <xm:f>'Listas de apoio'!$W$2:$W$3</xm:f>
          </x14:formula1>
          <xm:sqref>D5:D67</xm:sqref>
        </x14:dataValidation>
        <x14:dataValidation type="list" allowBlank="1" xr:uid="{AA6EFA52-E315-4255-B6CE-56F408566058}">
          <x14:formula1>
            <xm:f>'Listas de apoio'!$X$2:$X$8</xm:f>
          </x14:formula1>
          <xm:sqref>F5:F67</xm:sqref>
        </x14:dataValidation>
        <x14:dataValidation type="list" allowBlank="1" xr:uid="{6750764E-5A56-452C-9E66-66B9F359A895}">
          <x14:formula1>
            <xm:f>'Listas de apoio'!$Y$2:$Y$8</xm:f>
          </x14:formula1>
          <xm:sqref>I5:I67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460F-B1D4-46C3-A3E7-B663B21B7A65}">
  <dimension ref="A1:D41"/>
  <sheetViews>
    <sheetView showGridLines="0" topLeftCell="A19" workbookViewId="0">
      <selection activeCell="C15" sqref="C15"/>
    </sheetView>
  </sheetViews>
  <sheetFormatPr defaultColWidth="8.85546875" defaultRowHeight="12" customHeight="1"/>
  <cols>
    <col min="1" max="1" width="4.85546875" style="210" customWidth="1"/>
    <col min="2" max="3" width="20.85546875" style="210" customWidth="1"/>
    <col min="4" max="4" width="30.85546875" style="210" customWidth="1"/>
    <col min="5" max="16384" width="8.85546875" style="210"/>
  </cols>
  <sheetData>
    <row r="1" spans="1:4" ht="12" customHeight="1">
      <c r="A1" s="72" t="s">
        <v>196</v>
      </c>
      <c r="B1" s="72" t="s">
        <v>1838</v>
      </c>
      <c r="C1" s="72" t="s">
        <v>199</v>
      </c>
      <c r="D1" s="72" t="s">
        <v>253</v>
      </c>
    </row>
    <row r="2" spans="1:4" ht="12" customHeight="1">
      <c r="A2" s="305">
        <v>1</v>
      </c>
      <c r="B2" s="218" t="s">
        <v>1839</v>
      </c>
      <c r="C2" s="218" t="s">
        <v>1840</v>
      </c>
      <c r="D2" s="218" t="s">
        <v>1841</v>
      </c>
    </row>
    <row r="3" spans="1:4" ht="12" customHeight="1">
      <c r="A3" s="305">
        <v>2</v>
      </c>
      <c r="B3" s="218" t="s">
        <v>1842</v>
      </c>
      <c r="C3" s="218" t="s">
        <v>1843</v>
      </c>
      <c r="D3" s="218" t="s">
        <v>1844</v>
      </c>
    </row>
    <row r="4" spans="1:4" ht="12" customHeight="1">
      <c r="A4" s="305">
        <v>3</v>
      </c>
      <c r="B4" s="218" t="s">
        <v>1845</v>
      </c>
      <c r="C4" s="218" t="s">
        <v>1846</v>
      </c>
      <c r="D4" s="218" t="s">
        <v>1844</v>
      </c>
    </row>
    <row r="5" spans="1:4" ht="12" customHeight="1">
      <c r="A5" s="305">
        <v>4</v>
      </c>
      <c r="B5" s="218" t="s">
        <v>1847</v>
      </c>
      <c r="C5" s="218" t="s">
        <v>1848</v>
      </c>
      <c r="D5" s="218" t="s">
        <v>1844</v>
      </c>
    </row>
    <row r="6" spans="1:4" ht="12" customHeight="1">
      <c r="A6" s="305">
        <v>5</v>
      </c>
      <c r="B6" s="218" t="s">
        <v>1849</v>
      </c>
      <c r="C6" s="218" t="s">
        <v>1850</v>
      </c>
      <c r="D6" s="218" t="s">
        <v>1844</v>
      </c>
    </row>
    <row r="7" spans="1:4" ht="12" customHeight="1">
      <c r="A7" s="305">
        <v>6</v>
      </c>
      <c r="B7" s="218" t="s">
        <v>1851</v>
      </c>
      <c r="C7" s="218" t="s">
        <v>1843</v>
      </c>
      <c r="D7" s="218" t="s">
        <v>1852</v>
      </c>
    </row>
    <row r="8" spans="1:4" ht="12" customHeight="1">
      <c r="A8" s="305">
        <v>7</v>
      </c>
      <c r="B8" s="218" t="s">
        <v>1853</v>
      </c>
      <c r="C8" s="218" t="s">
        <v>1846</v>
      </c>
      <c r="D8" s="218" t="s">
        <v>1852</v>
      </c>
    </row>
    <row r="9" spans="1:4" ht="12" customHeight="1">
      <c r="A9" s="305">
        <v>8</v>
      </c>
      <c r="B9" s="218" t="s">
        <v>1854</v>
      </c>
      <c r="C9" s="218" t="s">
        <v>1848</v>
      </c>
      <c r="D9" s="218" t="s">
        <v>1852</v>
      </c>
    </row>
    <row r="10" spans="1:4" ht="12" customHeight="1">
      <c r="A10" s="305">
        <v>9</v>
      </c>
      <c r="B10" s="218" t="s">
        <v>1855</v>
      </c>
      <c r="C10" s="218" t="s">
        <v>1850</v>
      </c>
      <c r="D10" s="218" t="s">
        <v>1852</v>
      </c>
    </row>
    <row r="11" spans="1:4" ht="12" customHeight="1">
      <c r="A11" s="305">
        <v>10</v>
      </c>
      <c r="B11" s="218" t="s">
        <v>1856</v>
      </c>
      <c r="C11" s="218" t="s">
        <v>1843</v>
      </c>
      <c r="D11" s="218" t="s">
        <v>1857</v>
      </c>
    </row>
    <row r="12" spans="1:4" ht="12" customHeight="1">
      <c r="A12" s="305">
        <v>11</v>
      </c>
      <c r="B12" s="218" t="s">
        <v>1858</v>
      </c>
      <c r="C12" s="218" t="s">
        <v>1846</v>
      </c>
      <c r="D12" s="218" t="s">
        <v>1857</v>
      </c>
    </row>
    <row r="13" spans="1:4" ht="12" customHeight="1">
      <c r="A13" s="305">
        <v>12</v>
      </c>
      <c r="B13" s="218" t="s">
        <v>1859</v>
      </c>
      <c r="C13" s="218" t="s">
        <v>1848</v>
      </c>
      <c r="D13" s="218" t="s">
        <v>1857</v>
      </c>
    </row>
    <row r="14" spans="1:4" ht="12" customHeight="1">
      <c r="A14" s="305">
        <v>13</v>
      </c>
      <c r="B14" s="218" t="s">
        <v>1860</v>
      </c>
      <c r="C14" s="218" t="s">
        <v>1850</v>
      </c>
      <c r="D14" s="218" t="s">
        <v>1857</v>
      </c>
    </row>
    <row r="15" spans="1:4" ht="12" customHeight="1">
      <c r="A15" s="305">
        <v>14</v>
      </c>
      <c r="B15" s="218" t="s">
        <v>1861</v>
      </c>
      <c r="C15" s="218" t="s">
        <v>1862</v>
      </c>
      <c r="D15" s="218" t="s">
        <v>1863</v>
      </c>
    </row>
    <row r="16" spans="1:4" ht="12" customHeight="1">
      <c r="A16" s="305">
        <v>15</v>
      </c>
      <c r="B16" s="218" t="s">
        <v>1864</v>
      </c>
      <c r="C16" s="218" t="s">
        <v>1865</v>
      </c>
      <c r="D16" s="218" t="s">
        <v>1844</v>
      </c>
    </row>
    <row r="17" spans="1:4" ht="12" customHeight="1">
      <c r="A17" s="305">
        <v>16</v>
      </c>
      <c r="B17" s="218" t="s">
        <v>1866</v>
      </c>
      <c r="C17" s="218" t="s">
        <v>1865</v>
      </c>
      <c r="D17" s="218" t="s">
        <v>1852</v>
      </c>
    </row>
    <row r="18" spans="1:4" ht="12" customHeight="1">
      <c r="A18" s="305">
        <v>17</v>
      </c>
      <c r="B18" s="218" t="s">
        <v>1867</v>
      </c>
      <c r="C18" s="218" t="s">
        <v>1865</v>
      </c>
      <c r="D18" s="218" t="s">
        <v>1857</v>
      </c>
    </row>
    <row r="19" spans="1:4" ht="12" customHeight="1">
      <c r="A19" s="305">
        <v>18</v>
      </c>
      <c r="B19" s="218" t="s">
        <v>1868</v>
      </c>
      <c r="C19" s="218" t="s">
        <v>1869</v>
      </c>
      <c r="D19" s="218" t="s">
        <v>1844</v>
      </c>
    </row>
    <row r="20" spans="1:4" ht="12" customHeight="1">
      <c r="A20" s="305">
        <v>19</v>
      </c>
      <c r="B20" s="218" t="s">
        <v>1870</v>
      </c>
      <c r="C20" s="218" t="s">
        <v>1869</v>
      </c>
      <c r="D20" s="218" t="s">
        <v>1852</v>
      </c>
    </row>
    <row r="21" spans="1:4" ht="12" customHeight="1">
      <c r="A21" s="305">
        <v>20</v>
      </c>
      <c r="B21" s="218" t="s">
        <v>1871</v>
      </c>
      <c r="C21" s="218" t="s">
        <v>1869</v>
      </c>
      <c r="D21" s="218" t="s">
        <v>1857</v>
      </c>
    </row>
    <row r="22" spans="1:4" ht="12" customHeight="1">
      <c r="A22" s="305">
        <v>21</v>
      </c>
      <c r="B22" s="218" t="s">
        <v>1872</v>
      </c>
      <c r="C22" s="218" t="s">
        <v>1873</v>
      </c>
      <c r="D22" s="218" t="s">
        <v>1852</v>
      </c>
    </row>
    <row r="23" spans="1:4" ht="12" customHeight="1">
      <c r="A23" s="305">
        <v>22</v>
      </c>
      <c r="B23" s="218" t="s">
        <v>1874</v>
      </c>
      <c r="C23" s="218" t="s">
        <v>1875</v>
      </c>
      <c r="D23" s="218" t="s">
        <v>1876</v>
      </c>
    </row>
    <row r="24" spans="1:4" ht="12" customHeight="1">
      <c r="A24" s="305">
        <v>23</v>
      </c>
      <c r="B24" s="218" t="s">
        <v>1877</v>
      </c>
      <c r="C24" s="218" t="s">
        <v>1875</v>
      </c>
      <c r="D24" s="218" t="s">
        <v>1878</v>
      </c>
    </row>
    <row r="25" spans="1:4" ht="12" customHeight="1">
      <c r="A25" s="305">
        <v>24</v>
      </c>
      <c r="B25" s="218" t="s">
        <v>1879</v>
      </c>
      <c r="C25" s="218" t="s">
        <v>1875</v>
      </c>
      <c r="D25" s="218" t="s">
        <v>1841</v>
      </c>
    </row>
    <row r="26" spans="1:4" ht="12" customHeight="1">
      <c r="A26" s="305">
        <v>25</v>
      </c>
      <c r="B26" s="218" t="s">
        <v>1880</v>
      </c>
      <c r="C26" s="218" t="s">
        <v>1881</v>
      </c>
      <c r="D26" s="218" t="s">
        <v>1882</v>
      </c>
    </row>
    <row r="27" spans="1:4" ht="12" customHeight="1">
      <c r="A27" s="305">
        <v>26</v>
      </c>
      <c r="B27" s="218" t="s">
        <v>1883</v>
      </c>
      <c r="C27" s="218" t="s">
        <v>1884</v>
      </c>
      <c r="D27" s="218" t="s">
        <v>1885</v>
      </c>
    </row>
    <row r="28" spans="1:4" ht="12" customHeight="1">
      <c r="A28" s="305">
        <v>27</v>
      </c>
      <c r="B28" s="218" t="s">
        <v>1886</v>
      </c>
      <c r="C28" s="218" t="s">
        <v>1884</v>
      </c>
      <c r="D28" s="218" t="s">
        <v>1887</v>
      </c>
    </row>
    <row r="29" spans="1:4" ht="12" customHeight="1">
      <c r="A29" s="305">
        <v>28</v>
      </c>
      <c r="B29" s="218" t="s">
        <v>1888</v>
      </c>
      <c r="C29" s="218" t="s">
        <v>1884</v>
      </c>
      <c r="D29" s="218" t="s">
        <v>1889</v>
      </c>
    </row>
    <row r="30" spans="1:4" ht="12" customHeight="1">
      <c r="A30" s="305">
        <v>29</v>
      </c>
      <c r="B30" s="218" t="s">
        <v>1890</v>
      </c>
      <c r="C30" s="218" t="s">
        <v>1884</v>
      </c>
      <c r="D30" s="218" t="s">
        <v>1891</v>
      </c>
    </row>
    <row r="31" spans="1:4" ht="12" customHeight="1">
      <c r="A31" s="305">
        <v>30</v>
      </c>
      <c r="B31" s="218" t="s">
        <v>1892</v>
      </c>
      <c r="C31" s="218" t="s">
        <v>1893</v>
      </c>
      <c r="D31" s="218" t="s">
        <v>1893</v>
      </c>
    </row>
    <row r="32" spans="1:4" ht="12" customHeight="1">
      <c r="A32" s="305">
        <v>31</v>
      </c>
      <c r="B32" s="218" t="s">
        <v>1894</v>
      </c>
      <c r="C32" s="218" t="s">
        <v>1895</v>
      </c>
      <c r="D32" s="218" t="s">
        <v>1895</v>
      </c>
    </row>
    <row r="33" spans="1:4" ht="12" customHeight="1">
      <c r="A33" s="305">
        <v>32</v>
      </c>
      <c r="B33" s="218"/>
      <c r="C33" s="218"/>
      <c r="D33" s="218"/>
    </row>
    <row r="34" spans="1:4" ht="12" customHeight="1">
      <c r="A34" s="305">
        <v>33</v>
      </c>
      <c r="B34" s="218"/>
      <c r="C34" s="218"/>
      <c r="D34" s="218"/>
    </row>
    <row r="35" spans="1:4" ht="12" customHeight="1">
      <c r="A35" s="305">
        <v>34</v>
      </c>
      <c r="B35" s="218"/>
      <c r="C35" s="218"/>
      <c r="D35" s="218"/>
    </row>
    <row r="36" spans="1:4" ht="12" customHeight="1">
      <c r="A36" s="305">
        <v>35</v>
      </c>
      <c r="B36" s="218"/>
      <c r="C36" s="218"/>
      <c r="D36" s="218"/>
    </row>
    <row r="37" spans="1:4" ht="12" customHeight="1">
      <c r="A37" s="305">
        <v>36</v>
      </c>
      <c r="B37" s="218"/>
      <c r="C37" s="218"/>
      <c r="D37" s="218"/>
    </row>
    <row r="38" spans="1:4" ht="12" customHeight="1">
      <c r="A38" s="305">
        <v>37</v>
      </c>
      <c r="B38" s="218"/>
      <c r="C38" s="218"/>
      <c r="D38" s="218"/>
    </row>
    <row r="39" spans="1:4" ht="12" customHeight="1">
      <c r="A39" s="305">
        <v>38</v>
      </c>
      <c r="B39" s="218"/>
      <c r="C39" s="218"/>
      <c r="D39" s="218"/>
    </row>
    <row r="40" spans="1:4" ht="12" customHeight="1">
      <c r="A40" s="305">
        <v>39</v>
      </c>
      <c r="B40" s="218"/>
      <c r="C40" s="218"/>
      <c r="D40" s="218"/>
    </row>
    <row r="41" spans="1:4" ht="12" customHeight="1">
      <c r="A41" s="305">
        <v>40</v>
      </c>
      <c r="B41" s="218"/>
      <c r="C41" s="218"/>
      <c r="D41" s="218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BA52-A788-4151-9CE8-2A7989CF01D8}">
  <dimension ref="A1"/>
  <sheetViews>
    <sheetView zoomScale="55" zoomScaleNormal="55" workbookViewId="0">
      <selection activeCell="B3" sqref="B3"/>
    </sheetView>
  </sheetViews>
  <sheetFormatPr defaultColWidth="8.85546875" defaultRowHeight="12" customHeight="1"/>
  <cols>
    <col min="1" max="16384" width="8.85546875" style="4"/>
  </cols>
  <sheetData/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5D02-C2B7-4DD2-A1C2-2EB3CFC648EA}">
  <sheetPr codeName="Planilha16">
    <tabColor rgb="FFFF0000"/>
  </sheetPr>
  <dimension ref="A1:Z15"/>
  <sheetViews>
    <sheetView topLeftCell="M1" workbookViewId="0">
      <selection activeCell="Z1" sqref="Z1:Z1048576"/>
    </sheetView>
  </sheetViews>
  <sheetFormatPr defaultColWidth="14.85546875" defaultRowHeight="12" customHeight="1"/>
  <cols>
    <col min="1" max="16384" width="14.85546875" style="210"/>
  </cols>
  <sheetData>
    <row r="1" spans="1:26" s="300" customFormat="1" ht="12" customHeight="1">
      <c r="A1" s="300" t="s">
        <v>1171</v>
      </c>
      <c r="B1" s="300" t="s">
        <v>1181</v>
      </c>
      <c r="C1" s="300" t="s">
        <v>264</v>
      </c>
      <c r="D1" s="306" t="s">
        <v>1896</v>
      </c>
      <c r="E1" s="306" t="s">
        <v>1897</v>
      </c>
      <c r="F1" s="306" t="s">
        <v>1762</v>
      </c>
      <c r="G1" s="306" t="s">
        <v>1107</v>
      </c>
      <c r="H1" s="306" t="s">
        <v>1624</v>
      </c>
      <c r="I1" s="306" t="s">
        <v>1898</v>
      </c>
      <c r="J1" s="306" t="s">
        <v>1899</v>
      </c>
      <c r="K1" s="656" t="s">
        <v>1630</v>
      </c>
      <c r="L1" s="656"/>
      <c r="M1" s="656"/>
      <c r="N1" s="656"/>
      <c r="O1" s="656" t="s">
        <v>1632</v>
      </c>
      <c r="P1" s="656"/>
      <c r="Q1" s="656"/>
      <c r="R1" s="656"/>
      <c r="S1" s="656" t="s">
        <v>1900</v>
      </c>
      <c r="T1" s="656"/>
      <c r="U1" s="656" t="s">
        <v>1640</v>
      </c>
      <c r="V1" s="656"/>
      <c r="W1" s="300" t="s">
        <v>1764</v>
      </c>
      <c r="X1" s="300" t="s">
        <v>1765</v>
      </c>
      <c r="Y1" s="300" t="s">
        <v>1767</v>
      </c>
      <c r="Z1" s="300" t="s">
        <v>1901</v>
      </c>
    </row>
    <row r="2" spans="1:26" ht="12" customHeight="1">
      <c r="A2" s="228">
        <v>0.1</v>
      </c>
      <c r="B2" s="210" t="s">
        <v>1094</v>
      </c>
      <c r="C2" s="210" t="s">
        <v>1902</v>
      </c>
      <c r="D2" s="307" t="s">
        <v>1903</v>
      </c>
      <c r="E2" s="210" t="s">
        <v>1904</v>
      </c>
      <c r="F2" s="210" t="s">
        <v>1773</v>
      </c>
      <c r="G2" s="210" t="s">
        <v>1130</v>
      </c>
      <c r="H2" s="210" t="s">
        <v>1647</v>
      </c>
      <c r="I2" s="210" t="s">
        <v>1905</v>
      </c>
      <c r="J2" s="210" t="s">
        <v>1649</v>
      </c>
      <c r="K2" s="210">
        <v>1</v>
      </c>
      <c r="L2" s="210">
        <v>0</v>
      </c>
      <c r="M2" s="210">
        <v>0.15</v>
      </c>
      <c r="N2" s="220" t="s">
        <v>1906</v>
      </c>
      <c r="O2" s="210">
        <v>1</v>
      </c>
      <c r="P2" s="229">
        <v>0</v>
      </c>
      <c r="Q2" s="229">
        <v>500000</v>
      </c>
      <c r="R2" s="220" t="s">
        <v>1907</v>
      </c>
      <c r="S2" s="210">
        <v>1</v>
      </c>
      <c r="T2" s="210" t="s">
        <v>1908</v>
      </c>
      <c r="U2" s="210" t="s">
        <v>1909</v>
      </c>
      <c r="V2" s="210" t="s">
        <v>1909</v>
      </c>
      <c r="W2" s="210" t="s">
        <v>1910</v>
      </c>
      <c r="X2" s="210" t="s">
        <v>1911</v>
      </c>
      <c r="Y2" s="210" t="s">
        <v>1911</v>
      </c>
      <c r="Z2" s="210" t="s">
        <v>83</v>
      </c>
    </row>
    <row r="3" spans="1:26" ht="12" customHeight="1">
      <c r="A3" s="228">
        <v>0.2</v>
      </c>
      <c r="B3" s="210" t="s">
        <v>1096</v>
      </c>
      <c r="C3" s="210" t="s">
        <v>1912</v>
      </c>
      <c r="D3" s="307" t="s">
        <v>1913</v>
      </c>
      <c r="E3" s="210" t="s">
        <v>1914</v>
      </c>
      <c r="F3" s="210" t="s">
        <v>1787</v>
      </c>
      <c r="G3" s="210" t="s">
        <v>250</v>
      </c>
      <c r="H3" s="210" t="s">
        <v>1915</v>
      </c>
      <c r="I3" s="210" t="s">
        <v>1916</v>
      </c>
      <c r="J3" s="210" t="s">
        <v>1917</v>
      </c>
      <c r="K3" s="210">
        <v>2</v>
      </c>
      <c r="L3" s="210">
        <v>0.15</v>
      </c>
      <c r="M3" s="210">
        <v>0.25</v>
      </c>
      <c r="N3" s="220" t="s">
        <v>1918</v>
      </c>
      <c r="O3" s="210">
        <v>2</v>
      </c>
      <c r="P3" s="229">
        <v>500000</v>
      </c>
      <c r="Q3" s="229">
        <v>1000000</v>
      </c>
      <c r="R3" s="220" t="s">
        <v>1919</v>
      </c>
      <c r="S3" s="210">
        <v>2</v>
      </c>
      <c r="T3" s="210" t="s">
        <v>1920</v>
      </c>
      <c r="U3" s="210" t="s">
        <v>1921</v>
      </c>
      <c r="V3" s="210" t="s">
        <v>1921</v>
      </c>
      <c r="W3" s="210" t="s">
        <v>1922</v>
      </c>
      <c r="X3" s="210" t="s">
        <v>1923</v>
      </c>
      <c r="Y3" s="210" t="s">
        <v>1923</v>
      </c>
      <c r="Z3" s="210" t="s">
        <v>1284</v>
      </c>
    </row>
    <row r="4" spans="1:26" ht="12" customHeight="1">
      <c r="A4" s="228">
        <v>0.4</v>
      </c>
      <c r="C4" s="210" t="s">
        <v>1924</v>
      </c>
      <c r="D4" s="307" t="s">
        <v>1925</v>
      </c>
      <c r="E4" s="210" t="s">
        <v>1926</v>
      </c>
      <c r="F4" s="210" t="s">
        <v>1791</v>
      </c>
      <c r="G4" s="210" t="s">
        <v>249</v>
      </c>
      <c r="I4" s="210" t="s">
        <v>1927</v>
      </c>
      <c r="J4" s="210" t="s">
        <v>1928</v>
      </c>
      <c r="K4" s="210">
        <v>3</v>
      </c>
      <c r="L4" s="210">
        <v>0.25</v>
      </c>
      <c r="M4" s="210">
        <v>0.5</v>
      </c>
      <c r="N4" s="220" t="s">
        <v>1929</v>
      </c>
      <c r="O4" s="210">
        <v>3</v>
      </c>
      <c r="P4" s="229">
        <v>1000000</v>
      </c>
      <c r="Q4" s="229">
        <v>5000000</v>
      </c>
      <c r="R4" s="220" t="s">
        <v>1930</v>
      </c>
      <c r="S4" s="210">
        <v>3</v>
      </c>
      <c r="T4" s="210" t="s">
        <v>1931</v>
      </c>
      <c r="U4" s="210" t="s">
        <v>1650</v>
      </c>
      <c r="V4" s="210" t="s">
        <v>1932</v>
      </c>
      <c r="X4" s="210" t="s">
        <v>1933</v>
      </c>
      <c r="Y4" s="210" t="s">
        <v>1934</v>
      </c>
    </row>
    <row r="5" spans="1:26" ht="12" customHeight="1">
      <c r="C5" s="210" t="s">
        <v>289</v>
      </c>
      <c r="D5" s="307" t="s">
        <v>1935</v>
      </c>
      <c r="F5" s="210" t="s">
        <v>848</v>
      </c>
      <c r="I5" s="210" t="s">
        <v>1648</v>
      </c>
      <c r="J5" s="210" t="s">
        <v>1936</v>
      </c>
      <c r="K5" s="210">
        <v>4</v>
      </c>
      <c r="L5" s="210">
        <v>0.5</v>
      </c>
      <c r="M5" s="210">
        <v>1</v>
      </c>
      <c r="N5" s="220" t="s">
        <v>1937</v>
      </c>
      <c r="O5" s="210">
        <v>4</v>
      </c>
      <c r="P5" s="229">
        <v>5000000</v>
      </c>
      <c r="Q5" s="229">
        <v>25000000</v>
      </c>
      <c r="R5" s="220" t="s">
        <v>1938</v>
      </c>
      <c r="S5" s="210">
        <v>4</v>
      </c>
      <c r="T5" s="210" t="s">
        <v>1939</v>
      </c>
      <c r="U5" s="210" t="s">
        <v>1940</v>
      </c>
      <c r="V5" s="210" t="s">
        <v>1941</v>
      </c>
      <c r="X5" s="210" t="s">
        <v>1934</v>
      </c>
      <c r="Y5" s="210" t="s">
        <v>1942</v>
      </c>
    </row>
    <row r="6" spans="1:26" ht="12" customHeight="1">
      <c r="D6" s="307" t="s">
        <v>1943</v>
      </c>
      <c r="F6" s="210" t="s">
        <v>1098</v>
      </c>
      <c r="I6" s="210" t="s">
        <v>1944</v>
      </c>
      <c r="J6" s="210" t="s">
        <v>1945</v>
      </c>
      <c r="S6" s="210">
        <v>6</v>
      </c>
      <c r="T6" s="210" t="s">
        <v>1946</v>
      </c>
      <c r="U6" s="210" t="s">
        <v>1947</v>
      </c>
      <c r="V6" s="210" t="s">
        <v>1948</v>
      </c>
      <c r="X6" s="210" t="s">
        <v>1942</v>
      </c>
      <c r="Y6" s="210" t="s">
        <v>1922</v>
      </c>
    </row>
    <row r="7" spans="1:26" ht="12" customHeight="1">
      <c r="D7" s="307" t="s">
        <v>1949</v>
      </c>
      <c r="F7" s="210" t="s">
        <v>1805</v>
      </c>
      <c r="I7" s="210" t="s">
        <v>1950</v>
      </c>
      <c r="J7" s="210" t="s">
        <v>1951</v>
      </c>
      <c r="S7" s="210">
        <v>8</v>
      </c>
      <c r="T7" s="210" t="s">
        <v>1952</v>
      </c>
      <c r="X7" s="210" t="s">
        <v>1922</v>
      </c>
      <c r="Y7" s="210" t="s">
        <v>1677</v>
      </c>
      <c r="Z7" s="210" t="s">
        <v>1677</v>
      </c>
    </row>
    <row r="8" spans="1:26" ht="12" customHeight="1">
      <c r="D8" s="307" t="s">
        <v>1953</v>
      </c>
      <c r="F8" s="210" t="s">
        <v>1660</v>
      </c>
      <c r="I8" s="210" t="s">
        <v>1954</v>
      </c>
      <c r="J8" s="210" t="s">
        <v>1955</v>
      </c>
      <c r="S8" s="210">
        <v>9</v>
      </c>
      <c r="T8" s="210" t="s">
        <v>1956</v>
      </c>
      <c r="X8" s="210" t="s">
        <v>1677</v>
      </c>
      <c r="Y8" s="210" t="s">
        <v>1677</v>
      </c>
      <c r="Z8" s="210" t="s">
        <v>1677</v>
      </c>
    </row>
    <row r="9" spans="1:26" ht="12" customHeight="1">
      <c r="D9" s="307" t="s">
        <v>1957</v>
      </c>
      <c r="I9" s="210" t="s">
        <v>1958</v>
      </c>
      <c r="S9" s="210">
        <v>12</v>
      </c>
      <c r="T9" s="210" t="s">
        <v>1959</v>
      </c>
    </row>
    <row r="10" spans="1:26" ht="12" customHeight="1">
      <c r="D10" s="307" t="s">
        <v>1960</v>
      </c>
      <c r="I10" s="210" t="s">
        <v>1961</v>
      </c>
      <c r="S10" s="210">
        <v>16</v>
      </c>
      <c r="T10" s="210" t="s">
        <v>1962</v>
      </c>
    </row>
    <row r="11" spans="1:26" ht="12" customHeight="1">
      <c r="D11" s="307" t="s">
        <v>1963</v>
      </c>
      <c r="I11" s="210" t="s">
        <v>1778</v>
      </c>
    </row>
    <row r="12" spans="1:26" ht="12" customHeight="1">
      <c r="D12" s="307" t="s">
        <v>1964</v>
      </c>
      <c r="I12" s="210" t="s">
        <v>1965</v>
      </c>
    </row>
    <row r="13" spans="1:26" ht="12" customHeight="1">
      <c r="I13" s="210" t="s">
        <v>1966</v>
      </c>
    </row>
    <row r="14" spans="1:26" ht="12" customHeight="1">
      <c r="I14" s="210" t="s">
        <v>1967</v>
      </c>
    </row>
    <row r="15" spans="1:26" ht="12" customHeight="1">
      <c r="I15" s="210" t="s">
        <v>1968</v>
      </c>
    </row>
  </sheetData>
  <mergeCells count="4">
    <mergeCell ref="K1:N1"/>
    <mergeCell ref="O1:R1"/>
    <mergeCell ref="S1:T1"/>
    <mergeCell ref="U1:V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1D77-D3DB-4A21-A864-D1A8AD6523F3}">
  <sheetPr>
    <tabColor rgb="FF93B7C0"/>
  </sheetPr>
  <dimension ref="B1:AD101"/>
  <sheetViews>
    <sheetView showGridLines="0" topLeftCell="A20" zoomScale="40" zoomScaleNormal="40" workbookViewId="0">
      <selection activeCell="N35" sqref="N35"/>
    </sheetView>
  </sheetViews>
  <sheetFormatPr defaultColWidth="9.140625" defaultRowHeight="15" customHeight="1"/>
  <cols>
    <col min="1" max="1" width="2.85546875" style="373" customWidth="1"/>
    <col min="2" max="2" width="24.140625" style="373" customWidth="1"/>
    <col min="3" max="4" width="14.140625" style="372" customWidth="1"/>
    <col min="5" max="10" width="25.85546875" style="373" customWidth="1"/>
    <col min="11" max="11" width="9.140625" style="373"/>
    <col min="12" max="12" width="23.42578125" style="373" bestFit="1" customWidth="1"/>
    <col min="13" max="14" width="17.85546875" style="373" customWidth="1"/>
    <col min="15" max="15" width="4.85546875" style="373" customWidth="1"/>
    <col min="16" max="16" width="40.42578125" style="373" customWidth="1"/>
    <col min="17" max="22" width="9.140625" style="373"/>
    <col min="23" max="24" width="9.140625" style="373" bestFit="1" customWidth="1"/>
    <col min="25" max="25" width="14" style="373" bestFit="1" customWidth="1"/>
    <col min="26" max="27" width="10.140625" style="373" bestFit="1" customWidth="1"/>
    <col min="28" max="28" width="12.140625" style="373" bestFit="1" customWidth="1"/>
    <col min="29" max="29" width="11" style="373" bestFit="1" customWidth="1"/>
    <col min="30" max="30" width="9.140625" style="373" bestFit="1" customWidth="1"/>
    <col min="31" max="16384" width="9.140625" style="373"/>
  </cols>
  <sheetData>
    <row r="1" spans="16:30" ht="15" hidden="1" customHeight="1">
      <c r="V1" s="374" t="s">
        <v>1969</v>
      </c>
      <c r="W1" s="375"/>
      <c r="X1" s="375"/>
      <c r="Y1" s="376" t="str">
        <f>INDEX('[42]BDI Etapa'!$D$1:$I$1,MATCH(Y2,'[42]BDI Etapa'!$D$2:$I$2,0))</f>
        <v>FAT DIRETO</v>
      </c>
      <c r="Z1" s="376" t="str">
        <f>INDEX('[42]BDI Etapa'!$D$1:$I$1,MATCH(Z2,'[42]BDI Etapa'!$D$2:$I$2,0))</f>
        <v>FAT INDIRETO</v>
      </c>
      <c r="AA1" s="376" t="str">
        <f>INDEX('[42]BDI Etapa'!$D$1:$I$1,MATCH(AA2,'[42]BDI Etapa'!$D$2:$I$2,0))</f>
        <v>FAT INDIRETO</v>
      </c>
      <c r="AB1" s="376" t="str">
        <f>INDEX('[42]BDI Etapa'!$D$1:$I$1,MATCH(AB2,'[42]BDI Etapa'!$D$2:$I$2,0))</f>
        <v>FAT INDIRETO</v>
      </c>
      <c r="AC1" s="376" t="str">
        <f>INDEX('[42]BDI Etapa'!$D$1:$I$1,MATCH(AC2,'[42]BDI Etapa'!$D$2:$I$2,0))</f>
        <v>FAT INDIRETO</v>
      </c>
      <c r="AD1" s="376" t="e">
        <f>INDEX('[42]BDI Etapa'!$D$1:$I$1,MATCH(AD2,'[42]BDI Etapa'!$D$2:$I$2,0))</f>
        <v>#N/A</v>
      </c>
    </row>
    <row r="2" spans="16:30" ht="15" hidden="1" customHeight="1">
      <c r="W2" s="372"/>
      <c r="X2" s="372"/>
      <c r="Y2" s="377" t="s">
        <v>1884</v>
      </c>
      <c r="Z2" s="377" t="s">
        <v>1970</v>
      </c>
      <c r="AA2" s="377" t="s">
        <v>1971</v>
      </c>
      <c r="AB2" s="377" t="s">
        <v>1972</v>
      </c>
      <c r="AC2" s="377" t="s">
        <v>1973</v>
      </c>
      <c r="AD2" s="377" t="s">
        <v>144</v>
      </c>
    </row>
    <row r="3" spans="16:30" ht="34.5" hidden="1">
      <c r="V3" s="378"/>
      <c r="W3" s="378"/>
      <c r="X3" s="378" t="s">
        <v>1974</v>
      </c>
      <c r="Y3" s="379">
        <f>IF(INDEX('[42]BDI Etapa'!$D$1:$I$1,MATCH(Y2,'[42]BDI Etapa'!$D$2:$I$2,0))=Y1,'[42]BDI Etapa'!D4,0)</f>
        <v>2847402.4100893908</v>
      </c>
      <c r="Z3" s="379">
        <f>IF(INDEX('[42]BDI Etapa'!$D$1:$I$1,MATCH(Z2,'[42]BDI Etapa'!$D$2:$I$2,0))=Z1,'[42]BDI Etapa'!E4,0)</f>
        <v>2750</v>
      </c>
      <c r="AA3" s="379">
        <f>IF(INDEX('[42]BDI Etapa'!$D$1:$I$1,MATCH(AA2,'[42]BDI Etapa'!$D$2:$I$2,0))=AA1,'[42]BDI Etapa'!F4,0)</f>
        <v>5500</v>
      </c>
      <c r="AB3" s="379">
        <f>IF(INDEX('[42]BDI Etapa'!$D$1:$I$1,MATCH(AB2,'[42]BDI Etapa'!$D$2:$I$2,0))=AB1,'[42]BDI Etapa'!G4,0)</f>
        <v>899091.28649666673</v>
      </c>
      <c r="AC3" s="379">
        <f>IF(INDEX('[42]BDI Etapa'!$D$1:$I$1,MATCH(AC2,'[42]BDI Etapa'!$D$2:$I$2,0))=AC1,'[42]BDI Etapa'!H4,0)</f>
        <v>24637.147650004354</v>
      </c>
      <c r="AD3" s="379" t="e">
        <f>IF(INDEX('[42]BDI Etapa'!$D$1:$I$1,MATCH(AD2,'[42]BDI Etapa'!$D$2:$I$2,0))=AD1,'[42]BDI Etapa'!I4,0)</f>
        <v>#N/A</v>
      </c>
    </row>
    <row r="4" spans="16:30" ht="34.700000000000003" hidden="1" customHeight="1">
      <c r="P4" s="380"/>
      <c r="V4" s="381"/>
      <c r="W4" s="381"/>
      <c r="X4" s="381" t="s">
        <v>1975</v>
      </c>
      <c r="Y4" s="382">
        <f>IF(INDEX('[42]BDI Etapa'!$D$1:$I$1,MATCH(Y2,'[42]BDI Etapa'!$D$2:$I$2,0))=Y1,'[42]BDI Etapa'!D5,0)</f>
        <v>2847402.4100893908</v>
      </c>
      <c r="Z4" s="382">
        <f>IF(INDEX('[42]BDI Etapa'!$D$1:$I$1,MATCH(Z2,'[42]BDI Etapa'!$D$2:$I$2,0))=Z1,'[42]BDI Etapa'!E5,0)</f>
        <v>2750</v>
      </c>
      <c r="AA4" s="382">
        <f>IF(INDEX('[42]BDI Etapa'!$D$1:$I$1,MATCH(AA2,'[42]BDI Etapa'!$D$2:$I$2,0))=AA1,'[42]BDI Etapa'!F5,0)</f>
        <v>5500</v>
      </c>
      <c r="AB4" s="382">
        <f>IF(INDEX('[42]BDI Etapa'!$D$1:$I$1,MATCH(AB2,'[42]BDI Etapa'!$D$2:$I$2,0))=AB1,'[42]BDI Etapa'!G5,0)</f>
        <v>899091.28649666673</v>
      </c>
      <c r="AC4" s="382">
        <f>IF(INDEX('[42]BDI Etapa'!$D$1:$I$1,MATCH(AC2,'[42]BDI Etapa'!$D$2:$I$2,0))=AC1,'[42]BDI Etapa'!H5,0)</f>
        <v>24637.147650004354</v>
      </c>
      <c r="AD4" s="382" t="e">
        <f>IF(INDEX('[42]BDI Etapa'!$D$1:$I$1,MATCH(AD2,'[42]BDI Etapa'!$D$2:$I$2,0))=AD1,'[42]BDI Etapa'!I5,0)</f>
        <v>#N/A</v>
      </c>
    </row>
    <row r="5" spans="16:30" ht="15" hidden="1" customHeight="1">
      <c r="P5" s="380"/>
      <c r="V5" s="381"/>
      <c r="W5" s="381"/>
      <c r="X5" s="381" t="s">
        <v>1976</v>
      </c>
      <c r="Y5" s="382">
        <f>'[42]BDI Etapa'!E7</f>
        <v>0</v>
      </c>
      <c r="Z5" s="382">
        <f>'[42]BDI Etapa'!E7</f>
        <v>0</v>
      </c>
      <c r="AA5" s="382">
        <f>'[42]BDI Etapa'!F7</f>
        <v>0</v>
      </c>
      <c r="AB5" s="382">
        <f>'[42]BDI Etapa'!H7</f>
        <v>0</v>
      </c>
      <c r="AC5" s="382">
        <f>'[42]BDI Etapa'!H7</f>
        <v>0</v>
      </c>
      <c r="AD5" s="382">
        <f>'[42]BDI Etapa'!I7</f>
        <v>0</v>
      </c>
    </row>
    <row r="6" spans="16:30" ht="15" hidden="1" customHeight="1">
      <c r="P6" s="380"/>
      <c r="V6" s="378"/>
      <c r="W6" s="378"/>
      <c r="X6" s="378" t="s">
        <v>1977</v>
      </c>
      <c r="Y6" s="383">
        <f>SUM(Y3:Y5)</f>
        <v>5694804.8201787816</v>
      </c>
      <c r="Z6" s="383">
        <f t="shared" ref="Z6:AD6" si="0">SUM(Z3:Z5)</f>
        <v>5500</v>
      </c>
      <c r="AA6" s="383">
        <f t="shared" si="0"/>
        <v>11000</v>
      </c>
      <c r="AB6" s="383">
        <f t="shared" si="0"/>
        <v>1798182.5729933335</v>
      </c>
      <c r="AC6" s="383">
        <f t="shared" si="0"/>
        <v>49274.295300008707</v>
      </c>
      <c r="AD6" s="383" t="e">
        <f t="shared" si="0"/>
        <v>#N/A</v>
      </c>
    </row>
    <row r="7" spans="16:30" ht="15" hidden="1" customHeight="1">
      <c r="P7" s="380"/>
      <c r="V7" s="378"/>
      <c r="W7" s="378"/>
      <c r="X7" s="378" t="s">
        <v>1978</v>
      </c>
      <c r="Y7" s="383" t="e">
        <f>Y6/(1-$W$16)</f>
        <v>#REF!</v>
      </c>
      <c r="Z7" s="383">
        <f>(Z6/(1-$C$22-$C$23))/(1-$C$24-$C$25)</f>
        <v>7301.9350127783864</v>
      </c>
      <c r="AA7" s="383" t="e">
        <f>AA6/(1-$W$16)</f>
        <v>#REF!</v>
      </c>
      <c r="AB7" s="383" t="e">
        <f>AB6/(1-$W$16)</f>
        <v>#REF!</v>
      </c>
      <c r="AC7" s="383" t="e">
        <f>AC6/(1-$W$16)</f>
        <v>#REF!</v>
      </c>
      <c r="AD7" s="383" t="e">
        <f>AD6/(1-$W$16)</f>
        <v>#N/A</v>
      </c>
    </row>
    <row r="8" spans="16:30" ht="15" hidden="1" customHeight="1">
      <c r="V8" s="384" t="s">
        <v>1979</v>
      </c>
      <c r="W8" s="376" t="s">
        <v>1980</v>
      </c>
      <c r="X8" s="385" t="s">
        <v>1981</v>
      </c>
      <c r="Y8" s="378"/>
      <c r="Z8" s="378"/>
      <c r="AA8" s="378"/>
      <c r="AB8" s="378"/>
      <c r="AC8" s="378"/>
      <c r="AD8" s="378"/>
    </row>
    <row r="9" spans="16:30" ht="24.6" hidden="1" customHeight="1">
      <c r="V9" s="383" t="s">
        <v>98</v>
      </c>
      <c r="W9" s="386">
        <v>6.4999999999999997E-3</v>
      </c>
      <c r="X9" s="386">
        <f>C22</f>
        <v>1.6500000000000001E-2</v>
      </c>
      <c r="Y9" s="385">
        <f t="shared" ref="Y9:AD9" si="1">IF(Y$1=$W$8,$W$9*Y7,0)</f>
        <v>0</v>
      </c>
      <c r="Z9" s="385">
        <f t="shared" si="1"/>
        <v>47.462577583059506</v>
      </c>
      <c r="AA9" s="385" t="e">
        <f t="shared" si="1"/>
        <v>#REF!</v>
      </c>
      <c r="AB9" s="385" t="e">
        <f t="shared" si="1"/>
        <v>#REF!</v>
      </c>
      <c r="AC9" s="385" t="e">
        <f t="shared" si="1"/>
        <v>#REF!</v>
      </c>
      <c r="AD9" s="385" t="e">
        <f t="shared" si="1"/>
        <v>#N/A</v>
      </c>
    </row>
    <row r="10" spans="16:30" ht="15" hidden="1" customHeight="1">
      <c r="V10" s="383" t="s">
        <v>100</v>
      </c>
      <c r="W10" s="386">
        <v>0.03</v>
      </c>
      <c r="X10" s="386">
        <f>C23</f>
        <v>7.5999999999999998E-2</v>
      </c>
      <c r="Y10" s="385">
        <f t="shared" ref="Y10:AD10" si="2">IF(Y$1=$W$8,$W$10*Y7,0)</f>
        <v>0</v>
      </c>
      <c r="Z10" s="385">
        <f t="shared" si="2"/>
        <v>219.05805038335157</v>
      </c>
      <c r="AA10" s="385" t="e">
        <f t="shared" si="2"/>
        <v>#REF!</v>
      </c>
      <c r="AB10" s="385" t="e">
        <f t="shared" si="2"/>
        <v>#REF!</v>
      </c>
      <c r="AC10" s="385" t="e">
        <f t="shared" si="2"/>
        <v>#REF!</v>
      </c>
      <c r="AD10" s="385" t="e">
        <f t="shared" si="2"/>
        <v>#N/A</v>
      </c>
    </row>
    <row r="11" spans="16:30" ht="15" hidden="1" customHeight="1">
      <c r="V11" s="383" t="s">
        <v>1982</v>
      </c>
      <c r="W11" s="387">
        <v>0</v>
      </c>
      <c r="X11" s="387">
        <v>0</v>
      </c>
      <c r="Y11" s="385" t="e">
        <f>Y$7*$W$11</f>
        <v>#REF!</v>
      </c>
      <c r="Z11" s="385">
        <v>0</v>
      </c>
      <c r="AA11" s="385" t="e">
        <f>AA$7*$W$11</f>
        <v>#REF!</v>
      </c>
      <c r="AB11" s="385" t="e">
        <f>AB$7*$W$11</f>
        <v>#REF!</v>
      </c>
      <c r="AC11" s="385" t="e">
        <f>AC$7*$W$11</f>
        <v>#REF!</v>
      </c>
      <c r="AD11" s="385" t="e">
        <f>AD$7*$W$11</f>
        <v>#N/A</v>
      </c>
    </row>
    <row r="12" spans="16:30" ht="15" hidden="1" customHeight="1">
      <c r="V12" s="383" t="s">
        <v>1983</v>
      </c>
      <c r="W12" s="387">
        <v>0</v>
      </c>
      <c r="X12" s="387">
        <v>0</v>
      </c>
      <c r="Y12" s="385" t="e">
        <f>Y$7*$W$12</f>
        <v>#REF!</v>
      </c>
      <c r="Z12" s="385">
        <v>0</v>
      </c>
      <c r="AA12" s="385" t="e">
        <f>AA$7*$W$12</f>
        <v>#REF!</v>
      </c>
      <c r="AB12" s="385" t="e">
        <f>AB$7*$W$12</f>
        <v>#REF!</v>
      </c>
      <c r="AC12" s="385" t="e">
        <f>AC$7*$W$12</f>
        <v>#REF!</v>
      </c>
      <c r="AD12" s="385" t="e">
        <f>AD$7*$W$12</f>
        <v>#N/A</v>
      </c>
    </row>
    <row r="13" spans="16:30" ht="15" hidden="1" customHeight="1">
      <c r="V13" s="383" t="s">
        <v>1984</v>
      </c>
      <c r="W13" s="386" t="e">
        <f>INDEX(M22:M101,MATCH(#REF!,L22:L101,0),)</f>
        <v>#REF!</v>
      </c>
      <c r="X13" s="386">
        <v>0</v>
      </c>
      <c r="Y13" s="385" t="e">
        <f>Y$7*$W$13</f>
        <v>#REF!</v>
      </c>
      <c r="Z13" s="385">
        <v>0</v>
      </c>
      <c r="AA13" s="385" t="e">
        <f>AA$7*$W$13</f>
        <v>#REF!</v>
      </c>
      <c r="AB13" s="385" t="e">
        <f>AB$7*$W$13</f>
        <v>#REF!</v>
      </c>
      <c r="AC13" s="385" t="e">
        <f>AC$7*$W$13</f>
        <v>#REF!</v>
      </c>
      <c r="AD13" s="385" t="e">
        <f>AD$7*$W$13</f>
        <v>#N/A</v>
      </c>
    </row>
    <row r="14" spans="16:30" ht="15" hidden="1" customHeight="1">
      <c r="V14" s="383" t="s">
        <v>1199</v>
      </c>
      <c r="W14" s="387">
        <v>0</v>
      </c>
      <c r="X14" s="387">
        <v>0</v>
      </c>
      <c r="Y14" s="385" t="e">
        <f>Y$7*$W$15</f>
        <v>#REF!</v>
      </c>
      <c r="Z14" s="385">
        <v>0</v>
      </c>
      <c r="AA14" s="385" t="e">
        <f t="shared" ref="AA14:AD15" si="3">AA$7*$W$15</f>
        <v>#REF!</v>
      </c>
      <c r="AB14" s="385" t="e">
        <f t="shared" si="3"/>
        <v>#REF!</v>
      </c>
      <c r="AC14" s="385" t="e">
        <f t="shared" si="3"/>
        <v>#REF!</v>
      </c>
      <c r="AD14" s="385" t="e">
        <f t="shared" si="3"/>
        <v>#N/A</v>
      </c>
    </row>
    <row r="15" spans="16:30" ht="15" hidden="1" customHeight="1">
      <c r="V15" s="383" t="s">
        <v>276</v>
      </c>
      <c r="W15" s="387">
        <v>0</v>
      </c>
      <c r="X15" s="387">
        <f>C24+C25</f>
        <v>0.17</v>
      </c>
      <c r="Y15" s="385" t="e">
        <f>Y$7*$W$15</f>
        <v>#REF!</v>
      </c>
      <c r="Z15" s="385">
        <f>((Z6/(1-$C$22-$C$23))/(1-$C$24-$C$25))*($C$24+$C$25)</f>
        <v>1241.3289521723257</v>
      </c>
      <c r="AA15" s="385" t="e">
        <f t="shared" si="3"/>
        <v>#REF!</v>
      </c>
      <c r="AB15" s="385" t="e">
        <f t="shared" si="3"/>
        <v>#REF!</v>
      </c>
      <c r="AC15" s="385" t="e">
        <f t="shared" si="3"/>
        <v>#REF!</v>
      </c>
      <c r="AD15" s="385" t="e">
        <f t="shared" si="3"/>
        <v>#N/A</v>
      </c>
    </row>
    <row r="16" spans="16:30" ht="15" hidden="1" customHeight="1">
      <c r="V16" s="388" t="s">
        <v>1985</v>
      </c>
      <c r="W16" s="389" t="e">
        <f>SUM(W7:W15)</f>
        <v>#REF!</v>
      </c>
      <c r="X16" s="389"/>
      <c r="Y16" s="383" t="e">
        <f t="shared" ref="Y16:AD16" si="4">SUM(Y9:Y15)</f>
        <v>#REF!</v>
      </c>
      <c r="Z16" s="383">
        <f>SUM(Z9:Z15)</f>
        <v>1507.8495801387367</v>
      </c>
      <c r="AA16" s="383" t="e">
        <f t="shared" si="4"/>
        <v>#REF!</v>
      </c>
      <c r="AB16" s="383" t="e">
        <f t="shared" si="4"/>
        <v>#REF!</v>
      </c>
      <c r="AC16" s="383" t="e">
        <f t="shared" si="4"/>
        <v>#REF!</v>
      </c>
      <c r="AD16" s="383" t="e">
        <f t="shared" si="4"/>
        <v>#N/A</v>
      </c>
    </row>
    <row r="17" spans="2:30" ht="15" hidden="1" customHeight="1">
      <c r="V17" s="390"/>
      <c r="W17" s="390"/>
      <c r="X17" s="390"/>
      <c r="Y17" s="383" t="e">
        <f>Y7/Y6</f>
        <v>#REF!</v>
      </c>
      <c r="Z17" s="383">
        <f t="shared" ref="Z17:AD17" si="5">Z7/Z6</f>
        <v>1.3276245477778885</v>
      </c>
      <c r="AA17" s="383" t="e">
        <f t="shared" si="5"/>
        <v>#REF!</v>
      </c>
      <c r="AB17" s="383" t="e">
        <f t="shared" si="5"/>
        <v>#REF!</v>
      </c>
      <c r="AC17" s="383" t="e">
        <f t="shared" si="5"/>
        <v>#REF!</v>
      </c>
      <c r="AD17" s="383" t="e">
        <f t="shared" si="5"/>
        <v>#N/A</v>
      </c>
    </row>
    <row r="18" spans="2:30" ht="15" hidden="1" customHeight="1"/>
    <row r="19" spans="2:30" ht="15" hidden="1" customHeight="1">
      <c r="C19" s="373"/>
      <c r="D19" s="373"/>
      <c r="E19" s="657"/>
      <c r="F19" s="658"/>
      <c r="G19" s="658"/>
    </row>
    <row r="20" spans="2:30" ht="15" customHeight="1">
      <c r="B20" s="659" t="s">
        <v>1986</v>
      </c>
      <c r="C20" s="660"/>
      <c r="D20" s="391"/>
      <c r="E20" s="657"/>
      <c r="F20" s="658"/>
      <c r="G20" s="658"/>
      <c r="L20" s="661" t="s">
        <v>1987</v>
      </c>
      <c r="M20" s="662"/>
      <c r="N20" s="662"/>
      <c r="O20" s="662"/>
    </row>
    <row r="21" spans="2:30" ht="15" customHeight="1">
      <c r="B21" s="663"/>
      <c r="C21" s="663"/>
      <c r="D21" s="380"/>
      <c r="E21" s="657"/>
      <c r="F21" s="658"/>
      <c r="G21" s="658"/>
      <c r="L21" s="392" t="s">
        <v>1988</v>
      </c>
      <c r="M21" s="393" t="s">
        <v>1989</v>
      </c>
      <c r="N21" s="393" t="s">
        <v>1990</v>
      </c>
      <c r="O21" s="394" t="s">
        <v>31</v>
      </c>
    </row>
    <row r="22" spans="2:30" ht="15" customHeight="1">
      <c r="B22" s="395" t="s">
        <v>98</v>
      </c>
      <c r="C22" s="396">
        <v>1.6500000000000001E-2</v>
      </c>
      <c r="D22" s="397"/>
      <c r="E22" s="657"/>
      <c r="F22" s="658"/>
      <c r="G22" s="658"/>
      <c r="L22" s="398" t="s">
        <v>1991</v>
      </c>
      <c r="M22" s="399">
        <v>0.05</v>
      </c>
      <c r="N22" s="399">
        <v>0.05</v>
      </c>
      <c r="O22" s="399" t="s">
        <v>1735</v>
      </c>
    </row>
    <row r="23" spans="2:30" ht="15" customHeight="1">
      <c r="B23" s="395" t="s">
        <v>100</v>
      </c>
      <c r="C23" s="396">
        <v>7.5999999999999998E-2</v>
      </c>
      <c r="D23" s="397"/>
      <c r="E23" s="657"/>
      <c r="F23" s="658"/>
      <c r="G23" s="658"/>
      <c r="L23" s="398" t="s">
        <v>1992</v>
      </c>
      <c r="M23" s="399">
        <v>0.03</v>
      </c>
      <c r="N23" s="399">
        <v>0.03</v>
      </c>
      <c r="O23" s="399" t="s">
        <v>35</v>
      </c>
    </row>
    <row r="24" spans="2:30" ht="15" customHeight="1">
      <c r="B24" s="395" t="s">
        <v>1993</v>
      </c>
      <c r="C24" s="400">
        <v>7.0000000000000007E-2</v>
      </c>
      <c r="D24" s="397"/>
      <c r="L24" s="398" t="s">
        <v>1994</v>
      </c>
      <c r="M24" s="399">
        <v>3.5000000000000003E-2</v>
      </c>
      <c r="N24" s="399">
        <v>3.5000000000000003E-2</v>
      </c>
      <c r="O24" s="399" t="s">
        <v>35</v>
      </c>
    </row>
    <row r="25" spans="2:30" ht="15" customHeight="1">
      <c r="B25" s="395" t="s">
        <v>1995</v>
      </c>
      <c r="C25" s="400">
        <f>C57-C24</f>
        <v>0.1</v>
      </c>
      <c r="D25" s="401"/>
      <c r="E25" s="402" t="s">
        <v>1996</v>
      </c>
      <c r="L25" s="398" t="s">
        <v>1997</v>
      </c>
      <c r="M25" s="399">
        <v>0.05</v>
      </c>
      <c r="N25" s="399">
        <v>0.05</v>
      </c>
      <c r="O25" s="399" t="s">
        <v>35</v>
      </c>
    </row>
    <row r="26" spans="2:30" ht="15" customHeight="1">
      <c r="B26" s="395" t="s">
        <v>1998</v>
      </c>
      <c r="C26" s="396">
        <f>(1/(1-C22-C23))/(1-C24-C25)-1</f>
        <v>0.3276245477778883</v>
      </c>
      <c r="D26" s="397"/>
      <c r="E26" s="403" t="s">
        <v>1999</v>
      </c>
      <c r="F26" s="404"/>
      <c r="G26" s="404"/>
      <c r="H26" s="404"/>
      <c r="I26" s="404"/>
      <c r="J26" s="404"/>
      <c r="L26" s="398" t="s">
        <v>2000</v>
      </c>
      <c r="M26" s="399">
        <v>2.5000000000000001E-2</v>
      </c>
      <c r="N26" s="399">
        <v>2.5000000000000001E-2</v>
      </c>
      <c r="O26" s="399" t="s">
        <v>1750</v>
      </c>
    </row>
    <row r="27" spans="2:30" ht="15" customHeight="1">
      <c r="C27" s="373"/>
      <c r="D27" s="373"/>
      <c r="L27" s="398" t="s">
        <v>2001</v>
      </c>
      <c r="M27" s="399">
        <v>0.02</v>
      </c>
      <c r="N27" s="399">
        <v>0.02</v>
      </c>
      <c r="O27" s="399" t="s">
        <v>35</v>
      </c>
    </row>
    <row r="28" spans="2:30" ht="15" customHeight="1">
      <c r="B28" s="405" t="s">
        <v>2002</v>
      </c>
      <c r="C28" s="404"/>
      <c r="D28" s="404"/>
      <c r="L28" s="398" t="s">
        <v>2003</v>
      </c>
      <c r="M28" s="399">
        <v>0.02</v>
      </c>
      <c r="N28" s="399">
        <v>0.02</v>
      </c>
      <c r="O28" s="399" t="s">
        <v>35</v>
      </c>
    </row>
    <row r="29" spans="2:30" ht="15" customHeight="1">
      <c r="C29" s="373"/>
      <c r="D29" s="373"/>
      <c r="L29" s="398" t="s">
        <v>2004</v>
      </c>
      <c r="M29" s="399">
        <v>0.03</v>
      </c>
      <c r="N29" s="399">
        <v>0.05</v>
      </c>
      <c r="O29" s="399" t="s">
        <v>1739</v>
      </c>
    </row>
    <row r="30" spans="2:30" ht="15" customHeight="1">
      <c r="B30" s="406" t="s">
        <v>2005</v>
      </c>
      <c r="C30" s="407"/>
      <c r="D30" s="407"/>
      <c r="E30" s="407"/>
      <c r="F30" s="407"/>
      <c r="G30" s="407"/>
      <c r="L30" s="398" t="s">
        <v>2006</v>
      </c>
      <c r="M30" s="399">
        <v>0.05</v>
      </c>
      <c r="N30" s="399">
        <v>0.05</v>
      </c>
      <c r="O30" s="399" t="s">
        <v>1739</v>
      </c>
    </row>
    <row r="31" spans="2:30" ht="15" customHeight="1">
      <c r="B31" s="406" t="s">
        <v>2007</v>
      </c>
      <c r="C31" s="407"/>
      <c r="D31" s="407"/>
      <c r="E31" s="407"/>
      <c r="F31" s="407"/>
      <c r="G31" s="407"/>
      <c r="L31" s="398" t="s">
        <v>2008</v>
      </c>
      <c r="M31" s="399">
        <v>0.03</v>
      </c>
      <c r="N31" s="399">
        <v>0.03</v>
      </c>
      <c r="O31" s="399" t="s">
        <v>35</v>
      </c>
    </row>
    <row r="32" spans="2:30" ht="15" customHeight="1">
      <c r="B32" s="407"/>
      <c r="C32" s="407"/>
      <c r="D32" s="407"/>
      <c r="E32" s="407"/>
      <c r="F32" s="407"/>
      <c r="G32" s="407"/>
      <c r="L32" s="398" t="s">
        <v>2009</v>
      </c>
      <c r="M32" s="399">
        <v>0.02</v>
      </c>
      <c r="N32" s="399">
        <v>0.02</v>
      </c>
      <c r="O32" s="399" t="s">
        <v>1733</v>
      </c>
    </row>
    <row r="33" spans="2:15" ht="15" customHeight="1">
      <c r="B33" s="408" t="s">
        <v>2010</v>
      </c>
      <c r="C33" s="408" t="s">
        <v>2011</v>
      </c>
      <c r="D33" s="408"/>
      <c r="E33" s="408"/>
      <c r="F33" s="408" t="s">
        <v>2012</v>
      </c>
      <c r="G33" s="408" t="s">
        <v>2013</v>
      </c>
      <c r="L33" s="398" t="s">
        <v>2014</v>
      </c>
      <c r="M33" s="399">
        <v>0.04</v>
      </c>
      <c r="N33" s="399">
        <v>0.04</v>
      </c>
      <c r="O33" s="399" t="s">
        <v>35</v>
      </c>
    </row>
    <row r="34" spans="2:15" ht="15" customHeight="1">
      <c r="B34" s="409" t="s">
        <v>2015</v>
      </c>
      <c r="C34" s="410">
        <v>0.19</v>
      </c>
      <c r="D34" s="410"/>
      <c r="E34" s="410"/>
      <c r="F34" s="410">
        <v>0.19</v>
      </c>
      <c r="G34" s="410">
        <v>0.19</v>
      </c>
      <c r="L34" s="398" t="s">
        <v>23</v>
      </c>
      <c r="M34" s="399">
        <v>0.05</v>
      </c>
      <c r="N34" s="399">
        <v>0.05</v>
      </c>
      <c r="O34" s="399" t="s">
        <v>35</v>
      </c>
    </row>
    <row r="35" spans="2:15" ht="15" customHeight="1">
      <c r="B35" s="409" t="s">
        <v>2016</v>
      </c>
      <c r="C35" s="410">
        <v>0.19</v>
      </c>
      <c r="D35" s="410"/>
      <c r="E35" s="410"/>
      <c r="F35" s="410">
        <v>0.19</v>
      </c>
      <c r="G35" s="410">
        <v>0.19</v>
      </c>
      <c r="L35" s="398" t="s">
        <v>2017</v>
      </c>
      <c r="M35" s="399">
        <v>0.05</v>
      </c>
      <c r="N35" s="399">
        <v>0.05</v>
      </c>
      <c r="O35" s="399" t="s">
        <v>35</v>
      </c>
    </row>
    <row r="36" spans="2:15" ht="15" customHeight="1">
      <c r="B36" s="409" t="s">
        <v>2018</v>
      </c>
      <c r="C36" s="410">
        <v>0.18</v>
      </c>
      <c r="D36" s="410"/>
      <c r="E36" s="410"/>
      <c r="F36" s="410">
        <v>0.18</v>
      </c>
      <c r="G36" s="410">
        <v>0.18</v>
      </c>
      <c r="L36" s="398" t="s">
        <v>2019</v>
      </c>
      <c r="M36" s="399">
        <v>0.05</v>
      </c>
      <c r="N36" s="399">
        <v>0.05</v>
      </c>
      <c r="O36" s="399" t="s">
        <v>1738</v>
      </c>
    </row>
    <row r="37" spans="2:15" ht="15" customHeight="1">
      <c r="B37" s="409" t="s">
        <v>2020</v>
      </c>
      <c r="C37" s="410">
        <v>0.2</v>
      </c>
      <c r="D37" s="410"/>
      <c r="E37" s="410"/>
      <c r="F37" s="410">
        <v>0.2</v>
      </c>
      <c r="G37" s="410">
        <v>0.2</v>
      </c>
      <c r="L37" s="398" t="s">
        <v>2021</v>
      </c>
      <c r="M37" s="399">
        <v>0.03</v>
      </c>
      <c r="N37" s="399">
        <v>0.03</v>
      </c>
      <c r="O37" s="399" t="s">
        <v>1742</v>
      </c>
    </row>
    <row r="38" spans="2:15" ht="15" customHeight="1">
      <c r="B38" s="409" t="s">
        <v>2022</v>
      </c>
      <c r="C38" s="411">
        <v>0.20499999999999999</v>
      </c>
      <c r="D38" s="411"/>
      <c r="E38" s="411"/>
      <c r="F38" s="411">
        <v>0.20499999999999999</v>
      </c>
      <c r="G38" s="411">
        <v>0.20499999999999999</v>
      </c>
      <c r="L38" s="398" t="s">
        <v>2023</v>
      </c>
      <c r="M38" s="399">
        <v>0.05</v>
      </c>
      <c r="N38" s="399">
        <v>0.05</v>
      </c>
      <c r="O38" s="399" t="s">
        <v>1739</v>
      </c>
    </row>
    <row r="39" spans="2:15" ht="15" customHeight="1">
      <c r="B39" s="409" t="s">
        <v>2024</v>
      </c>
      <c r="C39" s="410">
        <v>0.2</v>
      </c>
      <c r="D39" s="410"/>
      <c r="E39" s="410"/>
      <c r="F39" s="410">
        <v>0.2</v>
      </c>
      <c r="G39" s="410">
        <v>0.2</v>
      </c>
      <c r="L39" s="398" t="s">
        <v>2025</v>
      </c>
      <c r="M39" s="399">
        <v>0.05</v>
      </c>
      <c r="N39" s="399">
        <v>0.05</v>
      </c>
      <c r="O39" s="399" t="s">
        <v>35</v>
      </c>
    </row>
    <row r="40" spans="2:15" ht="15" customHeight="1">
      <c r="B40" s="409" t="s">
        <v>2026</v>
      </c>
      <c r="C40" s="410">
        <v>0.2</v>
      </c>
      <c r="D40" s="410"/>
      <c r="E40" s="410"/>
      <c r="F40" s="410">
        <v>0.2</v>
      </c>
      <c r="G40" s="410">
        <v>0.2</v>
      </c>
      <c r="L40" s="398" t="s">
        <v>2027</v>
      </c>
      <c r="M40" s="399">
        <v>0.05</v>
      </c>
      <c r="N40" s="399">
        <v>0.05</v>
      </c>
      <c r="O40" s="399" t="s">
        <v>1737</v>
      </c>
    </row>
    <row r="41" spans="2:15" ht="15" customHeight="1">
      <c r="B41" s="409" t="s">
        <v>2028</v>
      </c>
      <c r="C41" s="410">
        <v>0.17</v>
      </c>
      <c r="D41" s="410"/>
      <c r="E41" s="410"/>
      <c r="F41" s="410">
        <v>0.17</v>
      </c>
      <c r="G41" s="410">
        <v>0.17</v>
      </c>
      <c r="L41" s="398" t="s">
        <v>2029</v>
      </c>
      <c r="M41" s="399">
        <v>0.05</v>
      </c>
      <c r="N41" s="399">
        <v>0.05</v>
      </c>
      <c r="O41" s="399" t="s">
        <v>1742</v>
      </c>
    </row>
    <row r="42" spans="2:15" ht="15" customHeight="1">
      <c r="B42" s="409" t="s">
        <v>2030</v>
      </c>
      <c r="C42" s="410">
        <v>0.19</v>
      </c>
      <c r="D42" s="410"/>
      <c r="E42" s="410"/>
      <c r="F42" s="410">
        <v>0.19</v>
      </c>
      <c r="G42" s="410">
        <v>0.19</v>
      </c>
      <c r="L42" s="398" t="s">
        <v>2031</v>
      </c>
      <c r="M42" s="399">
        <v>0.05</v>
      </c>
      <c r="N42" s="399">
        <v>0.05</v>
      </c>
      <c r="O42" s="399" t="s">
        <v>1747</v>
      </c>
    </row>
    <row r="43" spans="2:15" ht="15" customHeight="1">
      <c r="B43" s="409" t="s">
        <v>2032</v>
      </c>
      <c r="C43" s="410">
        <v>0.22</v>
      </c>
      <c r="D43" s="410"/>
      <c r="E43" s="410"/>
      <c r="F43" s="410">
        <v>0.22</v>
      </c>
      <c r="G43" s="410">
        <v>0.22</v>
      </c>
      <c r="L43" s="398" t="s">
        <v>2031</v>
      </c>
      <c r="M43" s="399">
        <v>0.05</v>
      </c>
      <c r="N43" s="399">
        <v>0.05</v>
      </c>
      <c r="O43" s="399" t="s">
        <v>1747</v>
      </c>
    </row>
    <row r="44" spans="2:15" ht="15" customHeight="1">
      <c r="B44" s="409" t="s">
        <v>2033</v>
      </c>
      <c r="C44" s="410">
        <v>0.17</v>
      </c>
      <c r="D44" s="410"/>
      <c r="E44" s="410"/>
      <c r="F44" s="410">
        <v>0.17</v>
      </c>
      <c r="G44" s="410">
        <v>0.17</v>
      </c>
      <c r="L44" s="398" t="s">
        <v>2034</v>
      </c>
      <c r="M44" s="399">
        <v>0.02</v>
      </c>
      <c r="N44" s="399">
        <v>0.02</v>
      </c>
      <c r="O44" s="399" t="s">
        <v>1739</v>
      </c>
    </row>
    <row r="45" spans="2:15" ht="15" customHeight="1">
      <c r="B45" s="409" t="s">
        <v>2035</v>
      </c>
      <c r="C45" s="410">
        <v>0.17</v>
      </c>
      <c r="D45" s="410"/>
      <c r="E45" s="410"/>
      <c r="F45" s="410">
        <v>0.17</v>
      </c>
      <c r="G45" s="410">
        <v>0.17</v>
      </c>
      <c r="L45" s="398" t="s">
        <v>2036</v>
      </c>
      <c r="M45" s="399">
        <v>0.03</v>
      </c>
      <c r="N45" s="399">
        <v>0.03</v>
      </c>
      <c r="O45" s="399" t="s">
        <v>1750</v>
      </c>
    </row>
    <row r="46" spans="2:15" ht="15" customHeight="1">
      <c r="B46" s="409" t="s">
        <v>2037</v>
      </c>
      <c r="C46" s="410">
        <v>0.18</v>
      </c>
      <c r="D46" s="410"/>
      <c r="E46" s="410"/>
      <c r="F46" s="410">
        <v>0.18</v>
      </c>
      <c r="G46" s="410">
        <v>0.18</v>
      </c>
      <c r="L46" s="398" t="s">
        <v>2038</v>
      </c>
      <c r="M46" s="399">
        <v>0.04</v>
      </c>
      <c r="N46" s="399">
        <v>0.05</v>
      </c>
      <c r="O46" s="399" t="s">
        <v>1732</v>
      </c>
    </row>
    <row r="47" spans="2:15" ht="15" customHeight="1">
      <c r="B47" s="409" t="s">
        <v>2039</v>
      </c>
      <c r="C47" s="410">
        <v>0.19</v>
      </c>
      <c r="D47" s="410"/>
      <c r="E47" s="410"/>
      <c r="F47" s="410">
        <v>0.19</v>
      </c>
      <c r="G47" s="410">
        <v>0.19</v>
      </c>
      <c r="L47" s="398" t="s">
        <v>2040</v>
      </c>
      <c r="M47" s="399">
        <v>0.05</v>
      </c>
      <c r="N47" s="399">
        <v>0.05</v>
      </c>
      <c r="O47" s="399" t="s">
        <v>1735</v>
      </c>
    </row>
    <row r="48" spans="2:15" ht="15" customHeight="1">
      <c r="B48" s="409" t="s">
        <v>2041</v>
      </c>
      <c r="C48" s="410">
        <v>0.2</v>
      </c>
      <c r="D48" s="410"/>
      <c r="E48" s="410"/>
      <c r="F48" s="410">
        <v>0.2</v>
      </c>
      <c r="G48" s="410">
        <v>0.2</v>
      </c>
      <c r="L48" s="398" t="s">
        <v>2042</v>
      </c>
      <c r="M48" s="399">
        <v>0.03</v>
      </c>
      <c r="N48" s="399">
        <v>0.03</v>
      </c>
      <c r="O48" s="399" t="s">
        <v>35</v>
      </c>
    </row>
    <row r="49" spans="2:15" ht="15" customHeight="1">
      <c r="B49" s="409" t="s">
        <v>2043</v>
      </c>
      <c r="C49" s="411">
        <v>0.19500000000000001</v>
      </c>
      <c r="D49" s="411"/>
      <c r="E49" s="411"/>
      <c r="F49" s="411">
        <v>0.19500000000000001</v>
      </c>
      <c r="G49" s="411">
        <v>0.19500000000000001</v>
      </c>
      <c r="L49" s="398" t="s">
        <v>2044</v>
      </c>
      <c r="M49" s="399">
        <v>0.04</v>
      </c>
      <c r="N49" s="399">
        <v>0.04</v>
      </c>
      <c r="O49" s="399" t="s">
        <v>35</v>
      </c>
    </row>
    <row r="50" spans="2:15" ht="15" customHeight="1">
      <c r="B50" s="409" t="s">
        <v>2045</v>
      </c>
      <c r="C50" s="411">
        <v>0.20499999999999999</v>
      </c>
      <c r="D50" s="411"/>
      <c r="E50" s="411"/>
      <c r="F50" s="411">
        <v>0.20499999999999999</v>
      </c>
      <c r="G50" s="411">
        <v>0.20499999999999999</v>
      </c>
      <c r="L50" s="398" t="s">
        <v>2046</v>
      </c>
      <c r="M50" s="399">
        <v>0.03</v>
      </c>
      <c r="N50" s="399">
        <v>0.02</v>
      </c>
      <c r="O50" s="399" t="s">
        <v>35</v>
      </c>
    </row>
    <row r="51" spans="2:15" ht="15" customHeight="1">
      <c r="B51" s="409" t="s">
        <v>2047</v>
      </c>
      <c r="C51" s="410">
        <v>0.21</v>
      </c>
      <c r="D51" s="410"/>
      <c r="E51" s="410"/>
      <c r="F51" s="410">
        <v>0.21</v>
      </c>
      <c r="G51" s="410">
        <v>0.21</v>
      </c>
      <c r="L51" s="398" t="s">
        <v>2048</v>
      </c>
      <c r="M51" s="399">
        <v>2.5000000000000001E-2</v>
      </c>
      <c r="N51" s="399">
        <v>2.5000000000000001E-2</v>
      </c>
      <c r="O51" s="399" t="s">
        <v>35</v>
      </c>
    </row>
    <row r="52" spans="2:15" ht="15" customHeight="1">
      <c r="B52" s="409" t="s">
        <v>2049</v>
      </c>
      <c r="C52" s="410">
        <v>0.2</v>
      </c>
      <c r="D52" s="410"/>
      <c r="E52" s="410"/>
      <c r="F52" s="410">
        <v>0.2</v>
      </c>
      <c r="G52" s="410">
        <v>0.2</v>
      </c>
      <c r="L52" s="398" t="s">
        <v>2050</v>
      </c>
      <c r="M52" s="399">
        <v>0.05</v>
      </c>
      <c r="N52" s="399">
        <v>0.05</v>
      </c>
      <c r="O52" s="399" t="s">
        <v>1731</v>
      </c>
    </row>
    <row r="53" spans="2:15" ht="15" customHeight="1">
      <c r="B53" s="409" t="s">
        <v>2051</v>
      </c>
      <c r="C53" s="410">
        <v>0.18</v>
      </c>
      <c r="D53" s="410"/>
      <c r="E53" s="410"/>
      <c r="F53" s="410">
        <v>0.18</v>
      </c>
      <c r="G53" s="410">
        <v>0.18</v>
      </c>
      <c r="L53" s="398" t="s">
        <v>2052</v>
      </c>
      <c r="M53" s="399">
        <v>0.05</v>
      </c>
      <c r="N53" s="399">
        <v>0.05</v>
      </c>
      <c r="O53" s="399" t="s">
        <v>35</v>
      </c>
    </row>
    <row r="54" spans="2:15" ht="15" customHeight="1">
      <c r="B54" s="409" t="s">
        <v>2053</v>
      </c>
      <c r="C54" s="410">
        <v>0.17</v>
      </c>
      <c r="D54" s="410"/>
      <c r="E54" s="410"/>
      <c r="F54" s="410">
        <v>0.17</v>
      </c>
      <c r="G54" s="410">
        <v>0.17</v>
      </c>
      <c r="L54" s="398" t="s">
        <v>2054</v>
      </c>
      <c r="M54" s="399">
        <v>0.05</v>
      </c>
      <c r="N54" s="399">
        <v>0.05</v>
      </c>
      <c r="O54" s="399" t="s">
        <v>1750</v>
      </c>
    </row>
    <row r="55" spans="2:15" ht="15" customHeight="1">
      <c r="B55" s="409" t="s">
        <v>2055</v>
      </c>
      <c r="C55" s="411">
        <v>0.19500000000000001</v>
      </c>
      <c r="D55" s="411"/>
      <c r="E55" s="411"/>
      <c r="F55" s="411">
        <v>0.19500000000000001</v>
      </c>
      <c r="G55" s="411">
        <v>0.19500000000000001</v>
      </c>
      <c r="L55" s="398" t="s">
        <v>2056</v>
      </c>
      <c r="M55" s="399">
        <v>0.05</v>
      </c>
      <c r="N55" s="399">
        <v>0.05</v>
      </c>
      <c r="O55" s="399" t="s">
        <v>35</v>
      </c>
    </row>
    <row r="56" spans="2:15" ht="15" customHeight="1">
      <c r="B56" s="409" t="s">
        <v>2057</v>
      </c>
      <c r="C56" s="410">
        <v>0.2</v>
      </c>
      <c r="D56" s="410"/>
      <c r="E56" s="410"/>
      <c r="F56" s="410">
        <v>0.2</v>
      </c>
      <c r="G56" s="410">
        <v>0.2</v>
      </c>
      <c r="L56" s="398" t="s">
        <v>2058</v>
      </c>
      <c r="M56" s="399">
        <v>0.05</v>
      </c>
      <c r="N56" s="399">
        <v>0.02</v>
      </c>
      <c r="O56" s="399" t="s">
        <v>35</v>
      </c>
    </row>
    <row r="57" spans="2:15" ht="15" customHeight="1">
      <c r="B57" s="409" t="s">
        <v>2059</v>
      </c>
      <c r="C57" s="410">
        <v>0.17</v>
      </c>
      <c r="D57" s="410"/>
      <c r="E57" s="410"/>
      <c r="F57" s="410">
        <v>0.17</v>
      </c>
      <c r="G57" s="410">
        <v>0.17</v>
      </c>
      <c r="L57" s="398" t="s">
        <v>2060</v>
      </c>
      <c r="M57" s="399">
        <v>0.04</v>
      </c>
      <c r="N57" s="399">
        <v>0.04</v>
      </c>
      <c r="O57" s="399" t="s">
        <v>35</v>
      </c>
    </row>
    <row r="58" spans="2:15" ht="15" customHeight="1">
      <c r="B58" s="409" t="s">
        <v>2061</v>
      </c>
      <c r="C58" s="410">
        <v>0.12</v>
      </c>
      <c r="D58" s="410"/>
      <c r="E58" s="410"/>
      <c r="F58" s="410">
        <v>0.18</v>
      </c>
      <c r="G58" s="410">
        <v>0.12</v>
      </c>
      <c r="L58" s="398" t="s">
        <v>2062</v>
      </c>
      <c r="M58" s="399">
        <v>0.03</v>
      </c>
      <c r="N58" s="399">
        <v>0.03</v>
      </c>
      <c r="O58" s="399" t="s">
        <v>35</v>
      </c>
    </row>
    <row r="59" spans="2:15" ht="15" customHeight="1">
      <c r="B59" s="409" t="s">
        <v>2063</v>
      </c>
      <c r="C59" s="410">
        <v>0.19</v>
      </c>
      <c r="D59" s="410"/>
      <c r="E59" s="410"/>
      <c r="F59" s="410">
        <v>0.19</v>
      </c>
      <c r="G59" s="410">
        <v>0.19</v>
      </c>
      <c r="L59" s="398" t="s">
        <v>2064</v>
      </c>
      <c r="M59" s="399">
        <v>0.02</v>
      </c>
      <c r="N59" s="399">
        <v>0.02</v>
      </c>
      <c r="O59" s="399" t="s">
        <v>35</v>
      </c>
    </row>
    <row r="60" spans="2:15" ht="15" customHeight="1">
      <c r="B60" s="409" t="s">
        <v>2065</v>
      </c>
      <c r="C60" s="410">
        <v>0.2</v>
      </c>
      <c r="D60" s="410"/>
      <c r="E60" s="410"/>
      <c r="F60" s="410">
        <v>0.2</v>
      </c>
      <c r="G60" s="410">
        <v>0.2</v>
      </c>
      <c r="L60" s="398" t="s">
        <v>2066</v>
      </c>
      <c r="M60" s="399">
        <v>0.03</v>
      </c>
      <c r="N60" s="399">
        <v>0.03</v>
      </c>
      <c r="O60" s="399" t="s">
        <v>35</v>
      </c>
    </row>
    <row r="61" spans="2:15" ht="15" customHeight="1">
      <c r="L61" s="398" t="s">
        <v>2067</v>
      </c>
      <c r="M61" s="399">
        <v>0.03</v>
      </c>
      <c r="N61" s="399">
        <v>0.03</v>
      </c>
      <c r="O61" s="399" t="s">
        <v>35</v>
      </c>
    </row>
    <row r="62" spans="2:15" ht="15" customHeight="1">
      <c r="L62" s="398" t="s">
        <v>2068</v>
      </c>
      <c r="M62" s="399">
        <v>0.05</v>
      </c>
      <c r="N62" s="399">
        <v>0.05</v>
      </c>
      <c r="O62" s="399" t="s">
        <v>1739</v>
      </c>
    </row>
    <row r="63" spans="2:15" ht="15" customHeight="1">
      <c r="L63" s="398" t="s">
        <v>2069</v>
      </c>
      <c r="M63" s="399">
        <v>0.02</v>
      </c>
      <c r="N63" s="399">
        <v>0.02</v>
      </c>
      <c r="O63" s="399" t="s">
        <v>35</v>
      </c>
    </row>
    <row r="64" spans="2:15" ht="15" customHeight="1">
      <c r="L64" s="398" t="s">
        <v>2070</v>
      </c>
      <c r="M64" s="399">
        <v>0.03</v>
      </c>
      <c r="N64" s="399">
        <v>0.04</v>
      </c>
      <c r="O64" s="399" t="s">
        <v>1742</v>
      </c>
    </row>
    <row r="65" spans="12:15" ht="15" customHeight="1">
      <c r="L65" s="398" t="s">
        <v>2071</v>
      </c>
      <c r="M65" s="399">
        <v>0.02</v>
      </c>
      <c r="N65" s="399">
        <v>0.02</v>
      </c>
      <c r="O65" s="399" t="s">
        <v>1747</v>
      </c>
    </row>
    <row r="66" spans="12:15" ht="15" customHeight="1">
      <c r="L66" s="398" t="s">
        <v>2072</v>
      </c>
      <c r="M66" s="399">
        <v>0.05</v>
      </c>
      <c r="N66" s="399">
        <v>0.05</v>
      </c>
      <c r="O66" s="399" t="s">
        <v>1747</v>
      </c>
    </row>
    <row r="67" spans="12:15" ht="15" customHeight="1">
      <c r="L67" s="398" t="s">
        <v>2073</v>
      </c>
      <c r="M67" s="399">
        <v>0.03</v>
      </c>
      <c r="N67" s="399">
        <v>0.03</v>
      </c>
      <c r="O67" s="399" t="s">
        <v>35</v>
      </c>
    </row>
    <row r="68" spans="12:15" ht="15" customHeight="1">
      <c r="L68" s="398" t="s">
        <v>2074</v>
      </c>
      <c r="M68" s="399">
        <v>0.02</v>
      </c>
      <c r="N68" s="399">
        <v>0.02</v>
      </c>
      <c r="O68" s="399" t="s">
        <v>35</v>
      </c>
    </row>
    <row r="69" spans="12:15" ht="15" customHeight="1">
      <c r="L69" s="398" t="s">
        <v>2075</v>
      </c>
      <c r="M69" s="399">
        <v>0.05</v>
      </c>
      <c r="N69" s="399">
        <v>0.05</v>
      </c>
      <c r="O69" s="399" t="s">
        <v>1739</v>
      </c>
    </row>
    <row r="70" spans="12:15" ht="15" customHeight="1">
      <c r="L70" s="398" t="s">
        <v>2076</v>
      </c>
      <c r="M70" s="399">
        <v>0.02</v>
      </c>
      <c r="N70" s="399">
        <v>0.05</v>
      </c>
      <c r="O70" s="399" t="s">
        <v>35</v>
      </c>
    </row>
    <row r="71" spans="12:15" ht="15" customHeight="1">
      <c r="L71" s="398" t="s">
        <v>2077</v>
      </c>
      <c r="M71" s="399">
        <v>0.03</v>
      </c>
      <c r="N71" s="399">
        <v>0.02</v>
      </c>
      <c r="O71" s="399" t="s">
        <v>1747</v>
      </c>
    </row>
    <row r="72" spans="12:15" ht="15" customHeight="1">
      <c r="L72" s="398" t="s">
        <v>2078</v>
      </c>
      <c r="M72" s="399">
        <v>0.02</v>
      </c>
      <c r="N72" s="399">
        <v>0.02</v>
      </c>
      <c r="O72" s="399" t="s">
        <v>35</v>
      </c>
    </row>
    <row r="73" spans="12:15" ht="15" customHeight="1">
      <c r="L73" s="398" t="s">
        <v>2079</v>
      </c>
      <c r="M73" s="399">
        <v>0.05</v>
      </c>
      <c r="N73" s="399">
        <v>0.05</v>
      </c>
      <c r="O73" s="399" t="s">
        <v>35</v>
      </c>
    </row>
    <row r="74" spans="12:15" ht="15" customHeight="1">
      <c r="L74" s="398" t="s">
        <v>2080</v>
      </c>
      <c r="M74" s="399">
        <v>0.05</v>
      </c>
      <c r="N74" s="399">
        <v>0.05</v>
      </c>
      <c r="O74" s="399" t="s">
        <v>1745</v>
      </c>
    </row>
    <row r="75" spans="12:15" ht="15" customHeight="1">
      <c r="L75" s="398" t="s">
        <v>2081</v>
      </c>
      <c r="M75" s="399">
        <v>0.05</v>
      </c>
      <c r="N75" s="399">
        <v>0.05</v>
      </c>
      <c r="O75" s="399" t="s">
        <v>35</v>
      </c>
    </row>
    <row r="76" spans="12:15" ht="15" customHeight="1">
      <c r="L76" s="398" t="s">
        <v>2082</v>
      </c>
      <c r="M76" s="399">
        <v>0.03</v>
      </c>
      <c r="N76" s="399">
        <v>0.03</v>
      </c>
      <c r="O76" s="399" t="s">
        <v>1747</v>
      </c>
    </row>
    <row r="77" spans="12:15" ht="15" customHeight="1">
      <c r="L77" s="398" t="s">
        <v>2083</v>
      </c>
      <c r="M77" s="399">
        <v>0.02</v>
      </c>
      <c r="N77" s="399">
        <v>0.02</v>
      </c>
      <c r="O77" s="399" t="s">
        <v>35</v>
      </c>
    </row>
    <row r="78" spans="12:15" ht="15" customHeight="1">
      <c r="L78" s="398" t="s">
        <v>2084</v>
      </c>
      <c r="M78" s="399">
        <v>0.04</v>
      </c>
      <c r="N78" s="399">
        <v>0.04</v>
      </c>
      <c r="O78" s="399" t="s">
        <v>35</v>
      </c>
    </row>
    <row r="79" spans="12:15" ht="15" customHeight="1">
      <c r="L79" s="398" t="s">
        <v>2085</v>
      </c>
      <c r="M79" s="399">
        <v>0.05</v>
      </c>
      <c r="N79" s="399">
        <v>0.05</v>
      </c>
      <c r="O79" s="399" t="s">
        <v>35</v>
      </c>
    </row>
    <row r="80" spans="12:15" ht="15" customHeight="1">
      <c r="L80" s="398" t="s">
        <v>2086</v>
      </c>
      <c r="M80" s="399">
        <v>0.05</v>
      </c>
      <c r="N80" s="399">
        <v>0.05</v>
      </c>
      <c r="O80" s="399" t="s">
        <v>35</v>
      </c>
    </row>
    <row r="81" spans="3:15" ht="15" customHeight="1">
      <c r="L81" s="398" t="s">
        <v>2087</v>
      </c>
      <c r="M81" s="399">
        <v>0.04</v>
      </c>
      <c r="N81" s="399">
        <v>0.02</v>
      </c>
      <c r="O81" s="399" t="s">
        <v>1746</v>
      </c>
    </row>
    <row r="82" spans="3:15" ht="15" customHeight="1">
      <c r="L82" s="398" t="s">
        <v>2088</v>
      </c>
      <c r="M82" s="399">
        <v>0.05</v>
      </c>
      <c r="N82" s="399">
        <v>0.05</v>
      </c>
      <c r="O82" s="399" t="s">
        <v>1750</v>
      </c>
    </row>
    <row r="83" spans="3:15" ht="15" customHeight="1">
      <c r="L83" s="398" t="s">
        <v>2089</v>
      </c>
      <c r="M83" s="399">
        <v>0.03</v>
      </c>
      <c r="N83" s="399">
        <v>0.05</v>
      </c>
      <c r="O83" s="399" t="s">
        <v>35</v>
      </c>
    </row>
    <row r="84" spans="3:15" ht="15" customHeight="1">
      <c r="L84" s="398" t="s">
        <v>2090</v>
      </c>
      <c r="M84" s="399">
        <v>0.05</v>
      </c>
      <c r="N84" s="399">
        <v>0.05</v>
      </c>
      <c r="O84" s="399" t="s">
        <v>1731</v>
      </c>
    </row>
    <row r="85" spans="3:15" ht="15" customHeight="1">
      <c r="L85" s="398" t="s">
        <v>2091</v>
      </c>
      <c r="M85" s="399">
        <v>0.03</v>
      </c>
      <c r="N85" s="399">
        <v>0.02</v>
      </c>
      <c r="O85" s="399" t="s">
        <v>1739</v>
      </c>
    </row>
    <row r="86" spans="3:15" ht="15" customHeight="1">
      <c r="C86" s="373"/>
      <c r="D86" s="373"/>
      <c r="L86" s="398" t="s">
        <v>2092</v>
      </c>
      <c r="M86" s="399">
        <v>0.05</v>
      </c>
      <c r="N86" s="399">
        <v>0.05</v>
      </c>
      <c r="O86" s="399" t="s">
        <v>1743</v>
      </c>
    </row>
    <row r="87" spans="3:15" ht="15" customHeight="1">
      <c r="L87" s="398" t="s">
        <v>2093</v>
      </c>
      <c r="M87" s="399">
        <v>0.02</v>
      </c>
      <c r="N87" s="399">
        <v>0.02</v>
      </c>
      <c r="O87" s="399" t="s">
        <v>35</v>
      </c>
    </row>
    <row r="88" spans="3:15" ht="15" customHeight="1">
      <c r="L88" s="398" t="s">
        <v>2049</v>
      </c>
      <c r="M88" s="399">
        <v>0.03</v>
      </c>
      <c r="N88" s="399">
        <v>0.05</v>
      </c>
      <c r="O88" s="399" t="s">
        <v>1747</v>
      </c>
    </row>
    <row r="89" spans="3:15" ht="15" customHeight="1">
      <c r="L89" s="398" t="s">
        <v>2094</v>
      </c>
      <c r="M89" s="399">
        <v>0.05</v>
      </c>
      <c r="N89" s="399">
        <v>0.05</v>
      </c>
      <c r="O89" s="399" t="s">
        <v>1731</v>
      </c>
    </row>
    <row r="90" spans="3:15" ht="15" customHeight="1">
      <c r="L90" s="398" t="s">
        <v>2095</v>
      </c>
      <c r="M90" s="399">
        <v>0.02</v>
      </c>
      <c r="N90" s="399">
        <v>0.02</v>
      </c>
      <c r="O90" s="399" t="s">
        <v>35</v>
      </c>
    </row>
    <row r="91" spans="3:15" ht="15" customHeight="1">
      <c r="L91" s="398" t="s">
        <v>2096</v>
      </c>
      <c r="M91" s="399">
        <v>0.05</v>
      </c>
      <c r="N91" s="399">
        <v>0.05</v>
      </c>
      <c r="O91" s="399" t="s">
        <v>35</v>
      </c>
    </row>
    <row r="92" spans="3:15" ht="15" customHeight="1">
      <c r="L92" s="398" t="s">
        <v>2097</v>
      </c>
      <c r="M92" s="399">
        <v>0.02</v>
      </c>
      <c r="N92" s="399">
        <v>0.03</v>
      </c>
      <c r="O92" s="399" t="s">
        <v>35</v>
      </c>
    </row>
    <row r="93" spans="3:15" ht="15" customHeight="1">
      <c r="L93" s="398" t="s">
        <v>2098</v>
      </c>
      <c r="M93" s="399">
        <v>0.05</v>
      </c>
      <c r="N93" s="399">
        <v>0.05</v>
      </c>
      <c r="O93" s="399" t="s">
        <v>35</v>
      </c>
    </row>
    <row r="94" spans="3:15" ht="15" customHeight="1">
      <c r="L94" s="398" t="s">
        <v>2099</v>
      </c>
      <c r="M94" s="399">
        <v>0.03</v>
      </c>
      <c r="N94" s="399">
        <v>0.03</v>
      </c>
      <c r="O94" s="399" t="s">
        <v>35</v>
      </c>
    </row>
    <row r="95" spans="3:15" ht="15" customHeight="1">
      <c r="L95" s="398" t="s">
        <v>2061</v>
      </c>
      <c r="M95" s="399">
        <v>0.05</v>
      </c>
      <c r="N95" s="399">
        <v>0.05</v>
      </c>
      <c r="O95" s="399" t="s">
        <v>35</v>
      </c>
    </row>
    <row r="96" spans="3:15" ht="15" customHeight="1">
      <c r="L96" s="398" t="s">
        <v>2100</v>
      </c>
      <c r="M96" s="399">
        <v>0.04</v>
      </c>
      <c r="N96" s="399">
        <v>0.02</v>
      </c>
      <c r="O96" s="399" t="s">
        <v>35</v>
      </c>
    </row>
    <row r="97" spans="12:15" ht="15" customHeight="1">
      <c r="L97" s="398" t="s">
        <v>2101</v>
      </c>
      <c r="M97" s="399">
        <v>0.03</v>
      </c>
      <c r="N97" s="399">
        <v>0.03</v>
      </c>
      <c r="O97" s="399" t="s">
        <v>35</v>
      </c>
    </row>
    <row r="98" spans="12:15" ht="15" customHeight="1">
      <c r="L98" s="398" t="s">
        <v>2102</v>
      </c>
      <c r="M98" s="399">
        <v>0.04</v>
      </c>
      <c r="N98" s="399">
        <v>0.04</v>
      </c>
      <c r="O98" s="399" t="s">
        <v>35</v>
      </c>
    </row>
    <row r="99" spans="12:15" ht="15" customHeight="1">
      <c r="L99" s="398" t="s">
        <v>2103</v>
      </c>
      <c r="M99" s="399">
        <v>0.03</v>
      </c>
      <c r="N99" s="399">
        <v>0.03</v>
      </c>
      <c r="O99" s="399" t="s">
        <v>35</v>
      </c>
    </row>
    <row r="100" spans="12:15" ht="15" customHeight="1">
      <c r="L100" s="412" t="s">
        <v>2104</v>
      </c>
      <c r="M100" s="413">
        <v>0.03</v>
      </c>
      <c r="N100" s="413">
        <v>0.03</v>
      </c>
      <c r="O100" s="413" t="s">
        <v>1744</v>
      </c>
    </row>
    <row r="101" spans="12:15" ht="15" customHeight="1">
      <c r="L101" s="398" t="s">
        <v>2105</v>
      </c>
      <c r="M101" s="399">
        <v>0.05</v>
      </c>
      <c r="N101" s="399">
        <v>0.05</v>
      </c>
      <c r="O101" s="399" t="s">
        <v>1734</v>
      </c>
    </row>
  </sheetData>
  <mergeCells count="6">
    <mergeCell ref="E19:E23"/>
    <mergeCell ref="F19:F23"/>
    <mergeCell ref="G19:G23"/>
    <mergeCell ref="B20:C20"/>
    <mergeCell ref="L20:O20"/>
    <mergeCell ref="B21:C21"/>
  </mergeCells>
  <pageMargins left="0.75" right="0.75" top="1" bottom="1" header="0.49212598499999999" footer="0.49212598499999999"/>
  <pageSetup paperSize="9" scale="85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E9B0-520B-4370-B3B6-9BD83852B1DF}">
  <sheetPr>
    <tabColor rgb="FFFFFF99"/>
  </sheetPr>
  <dimension ref="A1:P17"/>
  <sheetViews>
    <sheetView zoomScale="40" zoomScaleNormal="40" workbookViewId="0">
      <pane ySplit="3" topLeftCell="A11" activePane="bottomLeft" state="frozen"/>
      <selection pane="bottomLeft" activeCell="A12" sqref="A12"/>
      <selection activeCell="M28" sqref="M28"/>
    </sheetView>
  </sheetViews>
  <sheetFormatPr defaultColWidth="8.85546875" defaultRowHeight="12.95"/>
  <cols>
    <col min="1" max="1" width="11.42578125" style="352" customWidth="1"/>
    <col min="2" max="2" width="11.140625" style="352" customWidth="1"/>
    <col min="3" max="3" width="55.5703125" style="352" customWidth="1"/>
    <col min="4" max="4" width="52.140625" style="352" customWidth="1"/>
    <col min="5" max="5" width="7.5703125" style="352" customWidth="1"/>
    <col min="6" max="9" width="8.85546875" style="352" customWidth="1"/>
    <col min="10" max="10" width="10" style="352" customWidth="1"/>
    <col min="11" max="11" width="11.5703125" style="352" customWidth="1"/>
    <col min="12" max="12" width="9.85546875" style="352" customWidth="1"/>
    <col min="13" max="14" width="10" style="352" customWidth="1"/>
    <col min="15" max="15" width="11.140625" style="352" customWidth="1"/>
    <col min="16" max="16" width="57.140625" style="352" customWidth="1"/>
    <col min="17" max="16384" width="8.85546875" style="352"/>
  </cols>
  <sheetData>
    <row r="1" spans="1:16" ht="13.5" thickBot="1"/>
    <row r="2" spans="1:16" ht="60.75" customHeight="1" thickBot="1">
      <c r="A2" s="666" t="s">
        <v>12</v>
      </c>
      <c r="B2" s="666" t="s">
        <v>2106</v>
      </c>
      <c r="C2" s="666" t="s">
        <v>2107</v>
      </c>
      <c r="D2" s="666" t="s">
        <v>2108</v>
      </c>
      <c r="E2" s="666" t="s">
        <v>2109</v>
      </c>
      <c r="F2" s="664" t="s">
        <v>2110</v>
      </c>
      <c r="G2" s="664"/>
      <c r="H2" s="664"/>
      <c r="I2" s="664" t="s">
        <v>2111</v>
      </c>
      <c r="J2" s="664"/>
      <c r="K2" s="665" t="s">
        <v>2112</v>
      </c>
      <c r="L2" s="354" t="s">
        <v>2113</v>
      </c>
      <c r="M2" s="664" t="s">
        <v>2114</v>
      </c>
      <c r="N2" s="664"/>
      <c r="O2" s="355" t="s">
        <v>2115</v>
      </c>
      <c r="P2" s="666" t="s">
        <v>2116</v>
      </c>
    </row>
    <row r="3" spans="1:16" ht="26.45" thickBot="1">
      <c r="A3" s="666"/>
      <c r="B3" s="666"/>
      <c r="C3" s="666"/>
      <c r="D3" s="666"/>
      <c r="E3" s="666"/>
      <c r="F3" s="353" t="s">
        <v>2117</v>
      </c>
      <c r="G3" s="353" t="s">
        <v>2118</v>
      </c>
      <c r="H3" s="353" t="s">
        <v>2119</v>
      </c>
      <c r="I3" s="353" t="s">
        <v>2120</v>
      </c>
      <c r="J3" s="353" t="s">
        <v>2121</v>
      </c>
      <c r="K3" s="665"/>
      <c r="L3" s="354" t="s">
        <v>2122</v>
      </c>
      <c r="M3" s="353" t="s">
        <v>2120</v>
      </c>
      <c r="N3" s="353" t="s">
        <v>2121</v>
      </c>
      <c r="O3" s="355" t="s">
        <v>1199</v>
      </c>
      <c r="P3" s="666"/>
    </row>
    <row r="4" spans="1:16" ht="26.1">
      <c r="A4" s="356" t="s">
        <v>2123</v>
      </c>
      <c r="B4" s="356" t="s">
        <v>289</v>
      </c>
      <c r="C4" s="357" t="s">
        <v>2124</v>
      </c>
      <c r="D4" s="357" t="s">
        <v>2125</v>
      </c>
      <c r="E4" s="358" t="s">
        <v>2126</v>
      </c>
      <c r="F4" s="359">
        <v>9.2499999999999999E-2</v>
      </c>
      <c r="G4" s="359">
        <v>0.02</v>
      </c>
      <c r="H4" s="359">
        <v>0.05</v>
      </c>
      <c r="I4" s="360">
        <f t="shared" ref="I4:I16" si="0">F4+G4</f>
        <v>0.1125</v>
      </c>
      <c r="J4" s="360">
        <f t="shared" ref="J4:J16" si="1">F4+H4</f>
        <v>0.14250000000000002</v>
      </c>
      <c r="K4" s="361">
        <v>0.2</v>
      </c>
      <c r="L4" s="362">
        <f>K4*34%</f>
        <v>6.8000000000000005E-2</v>
      </c>
      <c r="M4" s="360">
        <f>I4+L4</f>
        <v>0.18049999999999999</v>
      </c>
      <c r="N4" s="360">
        <f t="shared" ref="N4:N16" si="2">J4+L4</f>
        <v>0.21050000000000002</v>
      </c>
      <c r="O4" s="363">
        <v>0</v>
      </c>
      <c r="P4" s="364"/>
    </row>
    <row r="5" spans="1:16" ht="78">
      <c r="A5" s="365" t="s">
        <v>2127</v>
      </c>
      <c r="B5" s="365" t="s">
        <v>194</v>
      </c>
      <c r="C5" s="357" t="s">
        <v>2128</v>
      </c>
      <c r="D5" s="357" t="s">
        <v>2129</v>
      </c>
      <c r="E5" s="358" t="s">
        <v>2130</v>
      </c>
      <c r="F5" s="359">
        <v>3.6499999999999998E-2</v>
      </c>
      <c r="G5" s="359">
        <v>0.02</v>
      </c>
      <c r="H5" s="359">
        <v>0.05</v>
      </c>
      <c r="I5" s="360">
        <f t="shared" si="0"/>
        <v>5.6499999999999995E-2</v>
      </c>
      <c r="J5" s="360">
        <f t="shared" si="1"/>
        <v>8.6499999999999994E-2</v>
      </c>
      <c r="K5" s="361">
        <v>0.2</v>
      </c>
      <c r="L5" s="362">
        <f t="shared" ref="L5:L16" si="3">K5*34%</f>
        <v>6.8000000000000005E-2</v>
      </c>
      <c r="M5" s="360">
        <f t="shared" ref="M5:M16" si="4">I5+L5</f>
        <v>0.1245</v>
      </c>
      <c r="N5" s="360">
        <f t="shared" si="2"/>
        <v>0.1545</v>
      </c>
      <c r="O5" s="363">
        <v>0.11</v>
      </c>
      <c r="P5" s="357" t="s">
        <v>2131</v>
      </c>
    </row>
    <row r="6" spans="1:16" ht="78">
      <c r="A6" s="365" t="s">
        <v>2127</v>
      </c>
      <c r="B6" s="365" t="s">
        <v>194</v>
      </c>
      <c r="C6" s="357" t="s">
        <v>2128</v>
      </c>
      <c r="D6" s="357" t="s">
        <v>2132</v>
      </c>
      <c r="E6" s="358" t="s">
        <v>2130</v>
      </c>
      <c r="F6" s="359">
        <v>3.6499999999999998E-2</v>
      </c>
      <c r="G6" s="359">
        <v>0.02</v>
      </c>
      <c r="H6" s="359">
        <v>0.05</v>
      </c>
      <c r="I6" s="360">
        <f t="shared" si="0"/>
        <v>5.6499999999999995E-2</v>
      </c>
      <c r="J6" s="360">
        <f t="shared" si="1"/>
        <v>8.6499999999999994E-2</v>
      </c>
      <c r="K6" s="361">
        <v>0.2</v>
      </c>
      <c r="L6" s="362">
        <f t="shared" si="3"/>
        <v>6.8000000000000005E-2</v>
      </c>
      <c r="M6" s="360">
        <f t="shared" si="4"/>
        <v>0.1245</v>
      </c>
      <c r="N6" s="360">
        <f t="shared" si="2"/>
        <v>0.1545</v>
      </c>
      <c r="O6" s="363">
        <v>0.11</v>
      </c>
      <c r="P6" s="357" t="s">
        <v>2131</v>
      </c>
    </row>
    <row r="7" spans="1:16" ht="78">
      <c r="A7" s="365" t="s">
        <v>2127</v>
      </c>
      <c r="B7" s="365" t="s">
        <v>194</v>
      </c>
      <c r="C7" s="357" t="s">
        <v>2128</v>
      </c>
      <c r="D7" s="357" t="s">
        <v>2133</v>
      </c>
      <c r="E7" s="358" t="s">
        <v>2130</v>
      </c>
      <c r="F7" s="359">
        <v>3.6499999999999998E-2</v>
      </c>
      <c r="G7" s="359">
        <v>0.02</v>
      </c>
      <c r="H7" s="359">
        <v>0.05</v>
      </c>
      <c r="I7" s="360">
        <f t="shared" si="0"/>
        <v>5.6499999999999995E-2</v>
      </c>
      <c r="J7" s="360">
        <f t="shared" si="1"/>
        <v>8.6499999999999994E-2</v>
      </c>
      <c r="K7" s="361">
        <v>0.2</v>
      </c>
      <c r="L7" s="362">
        <f t="shared" si="3"/>
        <v>6.8000000000000005E-2</v>
      </c>
      <c r="M7" s="360">
        <f t="shared" si="4"/>
        <v>0.1245</v>
      </c>
      <c r="N7" s="360">
        <f t="shared" si="2"/>
        <v>0.1545</v>
      </c>
      <c r="O7" s="363">
        <v>0.11</v>
      </c>
      <c r="P7" s="357" t="s">
        <v>2131</v>
      </c>
    </row>
    <row r="8" spans="1:16" ht="78">
      <c r="A8" s="365" t="s">
        <v>2127</v>
      </c>
      <c r="B8" s="365" t="s">
        <v>194</v>
      </c>
      <c r="C8" s="357" t="s">
        <v>2128</v>
      </c>
      <c r="D8" s="357" t="s">
        <v>2134</v>
      </c>
      <c r="E8" s="358" t="s">
        <v>2130</v>
      </c>
      <c r="F8" s="359">
        <v>3.6499999999999998E-2</v>
      </c>
      <c r="G8" s="359">
        <v>0.02</v>
      </c>
      <c r="H8" s="359">
        <v>0.05</v>
      </c>
      <c r="I8" s="360">
        <f t="shared" si="0"/>
        <v>5.6499999999999995E-2</v>
      </c>
      <c r="J8" s="360">
        <f t="shared" si="1"/>
        <v>8.6499999999999994E-2</v>
      </c>
      <c r="K8" s="361">
        <v>0.2</v>
      </c>
      <c r="L8" s="362">
        <f t="shared" si="3"/>
        <v>6.8000000000000005E-2</v>
      </c>
      <c r="M8" s="360">
        <f t="shared" si="4"/>
        <v>0.1245</v>
      </c>
      <c r="N8" s="360">
        <f t="shared" si="2"/>
        <v>0.1545</v>
      </c>
      <c r="O8" s="363">
        <v>0.11</v>
      </c>
      <c r="P8" s="357" t="s">
        <v>2131</v>
      </c>
    </row>
    <row r="9" spans="1:16" ht="78">
      <c r="A9" s="365" t="s">
        <v>2127</v>
      </c>
      <c r="B9" s="365" t="s">
        <v>194</v>
      </c>
      <c r="C9" s="357" t="s">
        <v>2128</v>
      </c>
      <c r="D9" s="357" t="s">
        <v>2135</v>
      </c>
      <c r="E9" s="358" t="s">
        <v>2130</v>
      </c>
      <c r="F9" s="359">
        <v>3.6499999999999998E-2</v>
      </c>
      <c r="G9" s="359">
        <v>0.02</v>
      </c>
      <c r="H9" s="359">
        <v>0.05</v>
      </c>
      <c r="I9" s="360">
        <f t="shared" si="0"/>
        <v>5.6499999999999995E-2</v>
      </c>
      <c r="J9" s="360">
        <f t="shared" si="1"/>
        <v>8.6499999999999994E-2</v>
      </c>
      <c r="K9" s="361">
        <v>0.2</v>
      </c>
      <c r="L9" s="362">
        <f>K9*34%</f>
        <v>6.8000000000000005E-2</v>
      </c>
      <c r="M9" s="360">
        <f t="shared" si="4"/>
        <v>0.1245</v>
      </c>
      <c r="N9" s="360">
        <f t="shared" si="2"/>
        <v>0.1545</v>
      </c>
      <c r="O9" s="363">
        <v>0.11</v>
      </c>
      <c r="P9" s="357" t="s">
        <v>2131</v>
      </c>
    </row>
    <row r="10" spans="1:16" ht="26.1">
      <c r="A10" s="365" t="s">
        <v>2136</v>
      </c>
      <c r="B10" s="365" t="s">
        <v>2137</v>
      </c>
      <c r="C10" s="357" t="s">
        <v>2138</v>
      </c>
      <c r="D10" s="357" t="s">
        <v>2139</v>
      </c>
      <c r="E10" s="358" t="s">
        <v>2140</v>
      </c>
      <c r="F10" s="359">
        <v>9.2499999999999999E-2</v>
      </c>
      <c r="G10" s="359">
        <v>0.02</v>
      </c>
      <c r="H10" s="359">
        <v>0.05</v>
      </c>
      <c r="I10" s="360">
        <f t="shared" si="0"/>
        <v>0.1125</v>
      </c>
      <c r="J10" s="360">
        <f t="shared" si="1"/>
        <v>0.14250000000000002</v>
      </c>
      <c r="K10" s="361">
        <v>0.2</v>
      </c>
      <c r="L10" s="362">
        <f>K10*34%</f>
        <v>6.8000000000000005E-2</v>
      </c>
      <c r="M10" s="360">
        <f t="shared" si="4"/>
        <v>0.18049999999999999</v>
      </c>
      <c r="N10" s="360">
        <f t="shared" si="2"/>
        <v>0.21050000000000002</v>
      </c>
      <c r="O10" s="363">
        <v>0</v>
      </c>
      <c r="P10" s="357"/>
    </row>
    <row r="11" spans="1:16" ht="51.95">
      <c r="A11" s="365" t="s">
        <v>2136</v>
      </c>
      <c r="B11" s="365" t="s">
        <v>194</v>
      </c>
      <c r="C11" s="357" t="s">
        <v>2141</v>
      </c>
      <c r="D11" s="357" t="s">
        <v>2142</v>
      </c>
      <c r="E11" s="358" t="s">
        <v>2140</v>
      </c>
      <c r="F11" s="359">
        <v>3.6499999999999998E-2</v>
      </c>
      <c r="G11" s="359">
        <v>0.02</v>
      </c>
      <c r="H11" s="359">
        <v>0.05</v>
      </c>
      <c r="I11" s="360">
        <f t="shared" si="0"/>
        <v>5.6499999999999995E-2</v>
      </c>
      <c r="J11" s="360">
        <f t="shared" si="1"/>
        <v>8.6499999999999994E-2</v>
      </c>
      <c r="K11" s="361">
        <v>0.2</v>
      </c>
      <c r="L11" s="362">
        <f t="shared" si="3"/>
        <v>6.8000000000000005E-2</v>
      </c>
      <c r="M11" s="360">
        <f t="shared" si="4"/>
        <v>0.1245</v>
      </c>
      <c r="N11" s="360">
        <f t="shared" si="2"/>
        <v>0.1545</v>
      </c>
      <c r="O11" s="363">
        <v>0</v>
      </c>
      <c r="P11" s="357" t="s">
        <v>2143</v>
      </c>
    </row>
    <row r="12" spans="1:16" ht="26.1">
      <c r="A12" s="365" t="s">
        <v>1785</v>
      </c>
      <c r="B12" s="365" t="s">
        <v>2137</v>
      </c>
      <c r="C12" s="357" t="s">
        <v>2144</v>
      </c>
      <c r="D12" s="357" t="s">
        <v>2145</v>
      </c>
      <c r="E12" s="358" t="s">
        <v>2146</v>
      </c>
      <c r="F12" s="359">
        <v>9.2499999999999999E-2</v>
      </c>
      <c r="G12" s="359">
        <v>0.02</v>
      </c>
      <c r="H12" s="359">
        <v>0.05</v>
      </c>
      <c r="I12" s="360">
        <f t="shared" si="0"/>
        <v>0.1125</v>
      </c>
      <c r="J12" s="360">
        <f t="shared" si="1"/>
        <v>0.14250000000000002</v>
      </c>
      <c r="K12" s="361">
        <v>0.2</v>
      </c>
      <c r="L12" s="362">
        <f t="shared" si="3"/>
        <v>6.8000000000000005E-2</v>
      </c>
      <c r="M12" s="360">
        <f t="shared" si="4"/>
        <v>0.18049999999999999</v>
      </c>
      <c r="N12" s="360">
        <f t="shared" si="2"/>
        <v>0.21050000000000002</v>
      </c>
      <c r="O12" s="363">
        <v>0</v>
      </c>
      <c r="P12" s="357"/>
    </row>
    <row r="13" spans="1:16" ht="51.95">
      <c r="A13" s="365" t="s">
        <v>1785</v>
      </c>
      <c r="B13" s="365" t="s">
        <v>194</v>
      </c>
      <c r="C13" s="357" t="s">
        <v>2147</v>
      </c>
      <c r="D13" s="357" t="s">
        <v>2148</v>
      </c>
      <c r="E13" s="358" t="s">
        <v>2146</v>
      </c>
      <c r="F13" s="359">
        <v>3.6499999999999998E-2</v>
      </c>
      <c r="G13" s="359">
        <v>0.02</v>
      </c>
      <c r="H13" s="359">
        <v>0.05</v>
      </c>
      <c r="I13" s="360">
        <f t="shared" si="0"/>
        <v>5.6499999999999995E-2</v>
      </c>
      <c r="J13" s="360">
        <f t="shared" si="1"/>
        <v>8.6499999999999994E-2</v>
      </c>
      <c r="K13" s="361">
        <v>0.2</v>
      </c>
      <c r="L13" s="362">
        <f t="shared" si="3"/>
        <v>6.8000000000000005E-2</v>
      </c>
      <c r="M13" s="360">
        <f t="shared" si="4"/>
        <v>0.1245</v>
      </c>
      <c r="N13" s="360">
        <f t="shared" si="2"/>
        <v>0.1545</v>
      </c>
      <c r="O13" s="363">
        <v>0</v>
      </c>
      <c r="P13" s="357" t="s">
        <v>2143</v>
      </c>
    </row>
    <row r="14" spans="1:16" ht="51.95">
      <c r="A14" s="365" t="s">
        <v>2149</v>
      </c>
      <c r="B14" s="365" t="s">
        <v>194</v>
      </c>
      <c r="C14" s="357" t="s">
        <v>2150</v>
      </c>
      <c r="D14" s="357" t="s">
        <v>2151</v>
      </c>
      <c r="E14" s="358" t="s">
        <v>2152</v>
      </c>
      <c r="F14" s="359">
        <v>3.6499999999999998E-2</v>
      </c>
      <c r="G14" s="359">
        <v>0.02</v>
      </c>
      <c r="H14" s="359">
        <v>0.05</v>
      </c>
      <c r="I14" s="360">
        <f>F14+G14</f>
        <v>5.6499999999999995E-2</v>
      </c>
      <c r="J14" s="360">
        <f>F14+H14</f>
        <v>8.6499999999999994E-2</v>
      </c>
      <c r="K14" s="361">
        <v>0.2</v>
      </c>
      <c r="L14" s="362">
        <f>K14*34%</f>
        <v>6.8000000000000005E-2</v>
      </c>
      <c r="M14" s="360">
        <f>I14+L14</f>
        <v>0.1245</v>
      </c>
      <c r="N14" s="360">
        <f>J14+L14</f>
        <v>0.1545</v>
      </c>
      <c r="O14" s="363">
        <v>0</v>
      </c>
      <c r="P14" s="357" t="s">
        <v>2143</v>
      </c>
    </row>
    <row r="15" spans="1:16" ht="51.95">
      <c r="A15" s="365" t="s">
        <v>2153</v>
      </c>
      <c r="B15" s="365" t="s">
        <v>194</v>
      </c>
      <c r="C15" s="357" t="s">
        <v>2150</v>
      </c>
      <c r="D15" s="357" t="s">
        <v>2154</v>
      </c>
      <c r="E15" s="358" t="s">
        <v>2152</v>
      </c>
      <c r="F15" s="359">
        <v>3.6499999999999998E-2</v>
      </c>
      <c r="G15" s="359">
        <v>0.02</v>
      </c>
      <c r="H15" s="359">
        <v>0.05</v>
      </c>
      <c r="I15" s="360">
        <f>F15+G15</f>
        <v>5.6499999999999995E-2</v>
      </c>
      <c r="J15" s="360">
        <f>F15+H15</f>
        <v>8.6499999999999994E-2</v>
      </c>
      <c r="K15" s="361">
        <v>0.2</v>
      </c>
      <c r="L15" s="362">
        <f>K15*34%</f>
        <v>6.8000000000000005E-2</v>
      </c>
      <c r="M15" s="360">
        <f>I15+L15</f>
        <v>0.1245</v>
      </c>
      <c r="N15" s="360">
        <f>J15+L15</f>
        <v>0.1545</v>
      </c>
      <c r="O15" s="363">
        <v>0</v>
      </c>
      <c r="P15" s="357" t="s">
        <v>2143</v>
      </c>
    </row>
    <row r="16" spans="1:16" ht="39">
      <c r="A16" s="365" t="s">
        <v>2155</v>
      </c>
      <c r="B16" s="365" t="s">
        <v>289</v>
      </c>
      <c r="C16" s="366" t="s">
        <v>2156</v>
      </c>
      <c r="D16" s="366" t="s">
        <v>2157</v>
      </c>
      <c r="E16" s="356" t="s">
        <v>2158</v>
      </c>
      <c r="F16" s="367">
        <v>9.2499999999999999E-2</v>
      </c>
      <c r="G16" s="367">
        <v>0.02</v>
      </c>
      <c r="H16" s="367">
        <v>0.05</v>
      </c>
      <c r="I16" s="368">
        <f t="shared" si="0"/>
        <v>0.1125</v>
      </c>
      <c r="J16" s="368">
        <f t="shared" si="1"/>
        <v>0.14250000000000002</v>
      </c>
      <c r="K16" s="361">
        <v>0.2</v>
      </c>
      <c r="L16" s="369">
        <f t="shared" si="3"/>
        <v>6.8000000000000005E-2</v>
      </c>
      <c r="M16" s="368">
        <f t="shared" si="4"/>
        <v>0.18049999999999999</v>
      </c>
      <c r="N16" s="368">
        <f t="shared" si="2"/>
        <v>0.21050000000000002</v>
      </c>
      <c r="O16" s="370">
        <v>0</v>
      </c>
      <c r="P16" s="366"/>
    </row>
    <row r="17" spans="1:16">
      <c r="A17" s="371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</row>
  </sheetData>
  <autoFilter ref="A3:P16" xr:uid="{B6A11542-7C98-4B6C-9902-5CB09D98DD40}">
    <filterColumn colId="11" showButton="0"/>
  </autoFilter>
  <mergeCells count="10">
    <mergeCell ref="I2:J2"/>
    <mergeCell ref="K2:K3"/>
    <mergeCell ref="M2:N2"/>
    <mergeCell ref="P2:P3"/>
    <mergeCell ref="A2:A3"/>
    <mergeCell ref="B2:B3"/>
    <mergeCell ref="C2:C3"/>
    <mergeCell ref="D2:D3"/>
    <mergeCell ref="E2:E3"/>
    <mergeCell ref="F2:H2"/>
  </mergeCells>
  <pageMargins left="0.511811024" right="0.511811024" top="0.78740157499999996" bottom="0.78740157499999996" header="0.31496062000000002" footer="0.3149606200000000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ECE0-491C-4ED7-8EBB-3F0FD526EB9B}">
  <sheetPr codeName="Planilha12">
    <tabColor theme="0" tint="-0.249977111117893"/>
  </sheetPr>
  <dimension ref="A1:M46"/>
  <sheetViews>
    <sheetView showGridLines="0" zoomScale="55" zoomScaleNormal="55" workbookViewId="0">
      <pane ySplit="3" topLeftCell="A16" activePane="bottomLeft" state="frozen"/>
      <selection pane="bottomLeft" activeCell="F25" sqref="F25"/>
    </sheetView>
  </sheetViews>
  <sheetFormatPr defaultColWidth="8.85546875" defaultRowHeight="12" customHeight="1"/>
  <cols>
    <col min="1" max="1" width="3.85546875" style="210" customWidth="1"/>
    <col min="2" max="2" width="12.85546875" style="210" customWidth="1"/>
    <col min="3" max="3" width="35.85546875" style="227" customWidth="1"/>
    <col min="4" max="5" width="12.85546875" style="210" customWidth="1"/>
    <col min="6" max="7" width="12.85546875" style="229" customWidth="1"/>
    <col min="8" max="9" width="14.85546875" style="229" customWidth="1"/>
    <col min="10" max="10" width="10.85546875" style="304" customWidth="1"/>
    <col min="11" max="11" width="10.85546875" style="210" customWidth="1"/>
    <col min="12" max="12" width="14.85546875" style="210" customWidth="1"/>
    <col min="13" max="13" width="35.85546875" style="227" customWidth="1"/>
    <col min="14" max="16384" width="8.85546875" style="210"/>
  </cols>
  <sheetData>
    <row r="1" spans="1:13" ht="12" customHeight="1">
      <c r="A1" s="630" t="s">
        <v>2159</v>
      </c>
      <c r="B1" s="630" t="s">
        <v>1762</v>
      </c>
      <c r="C1" s="630" t="s">
        <v>2160</v>
      </c>
      <c r="D1" s="630" t="s">
        <v>2161</v>
      </c>
      <c r="E1" s="630"/>
      <c r="F1" s="630"/>
      <c r="G1" s="630"/>
      <c r="H1" s="72"/>
      <c r="I1" s="72"/>
      <c r="J1" s="669" t="s">
        <v>1721</v>
      </c>
      <c r="K1" s="630" t="s">
        <v>1897</v>
      </c>
      <c r="L1" s="630" t="s">
        <v>2162</v>
      </c>
      <c r="M1" s="630" t="s">
        <v>2163</v>
      </c>
    </row>
    <row r="2" spans="1:13" ht="12" customHeight="1">
      <c r="A2" s="630"/>
      <c r="B2" s="630"/>
      <c r="C2" s="630"/>
      <c r="D2" s="668" t="s">
        <v>2164</v>
      </c>
      <c r="E2" s="668"/>
      <c r="F2" s="667" t="s">
        <v>5</v>
      </c>
      <c r="G2" s="667"/>
      <c r="H2" s="667" t="s">
        <v>2165</v>
      </c>
      <c r="I2" s="667"/>
      <c r="J2" s="669"/>
      <c r="K2" s="630"/>
      <c r="L2" s="630"/>
      <c r="M2" s="630"/>
    </row>
    <row r="3" spans="1:13" s="300" customFormat="1" ht="12" customHeight="1">
      <c r="A3" s="630"/>
      <c r="B3" s="630"/>
      <c r="C3" s="630"/>
      <c r="D3" s="298" t="s">
        <v>251</v>
      </c>
      <c r="E3" s="298" t="s">
        <v>252</v>
      </c>
      <c r="F3" s="299" t="s">
        <v>251</v>
      </c>
      <c r="G3" s="299" t="s">
        <v>252</v>
      </c>
      <c r="H3" s="299" t="s">
        <v>251</v>
      </c>
      <c r="I3" s="299" t="s">
        <v>252</v>
      </c>
      <c r="J3" s="669"/>
      <c r="K3" s="630"/>
      <c r="L3" s="630"/>
      <c r="M3" s="630"/>
    </row>
    <row r="4" spans="1:13" ht="12" customHeight="1">
      <c r="A4" s="218"/>
      <c r="B4" s="218"/>
      <c r="C4" s="301"/>
      <c r="D4" s="218"/>
      <c r="E4" s="218"/>
      <c r="F4" s="302"/>
      <c r="G4" s="302"/>
      <c r="H4" s="302"/>
      <c r="I4" s="302"/>
      <c r="J4" s="303"/>
      <c r="K4" s="218"/>
      <c r="L4" s="218"/>
      <c r="M4" s="301"/>
    </row>
    <row r="5" spans="1:13" ht="12" customHeight="1">
      <c r="A5" s="218"/>
      <c r="B5" s="218"/>
      <c r="C5" s="301"/>
      <c r="D5" s="218"/>
      <c r="E5" s="218"/>
      <c r="F5" s="302"/>
      <c r="G5" s="302"/>
      <c r="H5" s="302"/>
      <c r="I5" s="302"/>
      <c r="J5" s="303"/>
      <c r="K5" s="218"/>
      <c r="L5" s="218"/>
      <c r="M5" s="301"/>
    </row>
    <row r="6" spans="1:13" ht="12" customHeight="1">
      <c r="A6" s="218"/>
      <c r="B6" s="218"/>
      <c r="C6" s="301"/>
      <c r="D6" s="218"/>
      <c r="E6" s="218"/>
      <c r="F6" s="302"/>
      <c r="G6" s="302"/>
      <c r="H6" s="302"/>
      <c r="I6" s="302"/>
      <c r="J6" s="303"/>
      <c r="K6" s="218"/>
      <c r="L6" s="218"/>
      <c r="M6" s="301"/>
    </row>
    <row r="7" spans="1:13" ht="12" customHeight="1">
      <c r="A7" s="218"/>
      <c r="B7" s="218"/>
      <c r="C7" s="301"/>
      <c r="D7" s="218"/>
      <c r="E7" s="218"/>
      <c r="F7" s="302"/>
      <c r="G7" s="302"/>
      <c r="H7" s="302"/>
      <c r="I7" s="302"/>
      <c r="J7" s="303"/>
      <c r="K7" s="218"/>
      <c r="L7" s="218"/>
      <c r="M7" s="301"/>
    </row>
    <row r="8" spans="1:13" ht="12" customHeight="1">
      <c r="A8" s="218"/>
      <c r="B8" s="218"/>
      <c r="C8" s="301"/>
      <c r="D8" s="218"/>
      <c r="E8" s="218"/>
      <c r="F8" s="302"/>
      <c r="G8" s="302"/>
      <c r="H8" s="302"/>
      <c r="I8" s="302"/>
      <c r="J8" s="303"/>
      <c r="K8" s="218"/>
      <c r="L8" s="218"/>
      <c r="M8" s="301"/>
    </row>
    <row r="9" spans="1:13" ht="12" customHeight="1">
      <c r="A9" s="218"/>
      <c r="B9" s="218"/>
      <c r="C9" s="301"/>
      <c r="D9" s="218"/>
      <c r="E9" s="218"/>
      <c r="F9" s="302"/>
      <c r="G9" s="302"/>
      <c r="H9" s="302"/>
      <c r="I9" s="302"/>
      <c r="J9" s="303"/>
      <c r="K9" s="218"/>
      <c r="L9" s="218"/>
      <c r="M9" s="301"/>
    </row>
    <row r="10" spans="1:13" ht="12" customHeight="1">
      <c r="A10" s="218"/>
      <c r="B10" s="218"/>
      <c r="C10" s="301"/>
      <c r="D10" s="218"/>
      <c r="E10" s="218"/>
      <c r="F10" s="302"/>
      <c r="G10" s="302"/>
      <c r="H10" s="302"/>
      <c r="I10" s="302"/>
      <c r="J10" s="303"/>
      <c r="K10" s="218"/>
      <c r="L10" s="218"/>
      <c r="M10" s="301"/>
    </row>
    <row r="11" spans="1:13" ht="12" customHeight="1">
      <c r="A11" s="218"/>
      <c r="B11" s="218"/>
      <c r="C11" s="301"/>
      <c r="D11" s="218"/>
      <c r="E11" s="218"/>
      <c r="F11" s="302"/>
      <c r="G11" s="302"/>
      <c r="H11" s="302"/>
      <c r="I11" s="302"/>
      <c r="J11" s="303"/>
      <c r="K11" s="218"/>
      <c r="L11" s="218"/>
      <c r="M11" s="301"/>
    </row>
    <row r="12" spans="1:13" ht="12" customHeight="1">
      <c r="A12" s="218"/>
      <c r="B12" s="218"/>
      <c r="C12" s="301"/>
      <c r="D12" s="218"/>
      <c r="E12" s="218"/>
      <c r="F12" s="302"/>
      <c r="G12" s="302"/>
      <c r="H12" s="302"/>
      <c r="I12" s="302"/>
      <c r="J12" s="303"/>
      <c r="K12" s="218"/>
      <c r="L12" s="218"/>
      <c r="M12" s="301"/>
    </row>
    <row r="13" spans="1:13" ht="12" customHeight="1">
      <c r="A13" s="218"/>
      <c r="B13" s="218"/>
      <c r="C13" s="301"/>
      <c r="D13" s="218"/>
      <c r="E13" s="218"/>
      <c r="F13" s="302"/>
      <c r="G13" s="302"/>
      <c r="H13" s="302"/>
      <c r="I13" s="302"/>
      <c r="J13" s="303"/>
      <c r="K13" s="218"/>
      <c r="L13" s="218"/>
      <c r="M13" s="301"/>
    </row>
    <row r="14" spans="1:13" ht="12" customHeight="1">
      <c r="A14" s="218"/>
      <c r="B14" s="218"/>
      <c r="C14" s="301"/>
      <c r="D14" s="218"/>
      <c r="E14" s="218"/>
      <c r="F14" s="302"/>
      <c r="G14" s="302"/>
      <c r="H14" s="302"/>
      <c r="I14" s="302"/>
      <c r="J14" s="303"/>
      <c r="K14" s="218"/>
      <c r="L14" s="218"/>
      <c r="M14" s="301"/>
    </row>
    <row r="15" spans="1:13" ht="12" customHeight="1">
      <c r="A15" s="218"/>
      <c r="B15" s="218"/>
      <c r="C15" s="301"/>
      <c r="D15" s="218"/>
      <c r="E15" s="218"/>
      <c r="F15" s="302"/>
      <c r="G15" s="302"/>
      <c r="H15" s="302"/>
      <c r="I15" s="302"/>
      <c r="J15" s="303"/>
      <c r="K15" s="218"/>
      <c r="L15" s="218"/>
      <c r="M15" s="301"/>
    </row>
    <row r="16" spans="1:13" ht="12" customHeight="1">
      <c r="A16" s="218"/>
      <c r="B16" s="218"/>
      <c r="C16" s="301"/>
      <c r="D16" s="218"/>
      <c r="E16" s="218"/>
      <c r="F16" s="302"/>
      <c r="G16" s="302"/>
      <c r="H16" s="302"/>
      <c r="I16" s="302"/>
      <c r="J16" s="303"/>
      <c r="K16" s="218"/>
      <c r="L16" s="218"/>
      <c r="M16" s="301"/>
    </row>
    <row r="17" spans="1:13" ht="12" customHeight="1">
      <c r="A17" s="218"/>
      <c r="B17" s="218"/>
      <c r="C17" s="301"/>
      <c r="D17" s="218"/>
      <c r="E17" s="218"/>
      <c r="F17" s="302"/>
      <c r="G17" s="302"/>
      <c r="H17" s="302"/>
      <c r="I17" s="302"/>
      <c r="J17" s="303"/>
      <c r="K17" s="218"/>
      <c r="L17" s="218"/>
      <c r="M17" s="301"/>
    </row>
    <row r="18" spans="1:13" ht="12" customHeight="1">
      <c r="A18" s="218"/>
      <c r="B18" s="218"/>
      <c r="C18" s="301"/>
      <c r="D18" s="218"/>
      <c r="E18" s="218"/>
      <c r="F18" s="302"/>
      <c r="G18" s="302"/>
      <c r="H18" s="302"/>
      <c r="I18" s="302"/>
      <c r="J18" s="303"/>
      <c r="K18" s="218"/>
      <c r="L18" s="218"/>
      <c r="M18" s="301"/>
    </row>
    <row r="19" spans="1:13" ht="12" customHeight="1">
      <c r="A19" s="218"/>
      <c r="B19" s="218"/>
      <c r="C19" s="301"/>
      <c r="D19" s="218"/>
      <c r="E19" s="218"/>
      <c r="F19" s="302"/>
      <c r="G19" s="302"/>
      <c r="H19" s="302"/>
      <c r="I19" s="302"/>
      <c r="J19" s="303"/>
      <c r="K19" s="218"/>
      <c r="L19" s="218"/>
      <c r="M19" s="301"/>
    </row>
    <row r="20" spans="1:13" ht="12" customHeight="1">
      <c r="A20" s="218"/>
      <c r="B20" s="218"/>
      <c r="C20" s="301"/>
      <c r="D20" s="218"/>
      <c r="E20" s="218"/>
      <c r="F20" s="302"/>
      <c r="G20" s="302"/>
      <c r="H20" s="302"/>
      <c r="I20" s="302"/>
      <c r="J20" s="303"/>
      <c r="K20" s="218"/>
      <c r="L20" s="218"/>
      <c r="M20" s="301"/>
    </row>
    <row r="21" spans="1:13" ht="12" customHeight="1">
      <c r="A21" s="218"/>
      <c r="B21" s="218"/>
      <c r="C21" s="301"/>
      <c r="D21" s="218"/>
      <c r="E21" s="218"/>
      <c r="F21" s="302"/>
      <c r="G21" s="302"/>
      <c r="H21" s="302"/>
      <c r="I21" s="302"/>
      <c r="J21" s="303"/>
      <c r="K21" s="218"/>
      <c r="L21" s="218"/>
      <c r="M21" s="301"/>
    </row>
    <row r="22" spans="1:13" ht="12" customHeight="1">
      <c r="A22" s="218"/>
      <c r="B22" s="218"/>
      <c r="C22" s="301"/>
      <c r="D22" s="218"/>
      <c r="E22" s="218"/>
      <c r="F22" s="302"/>
      <c r="G22" s="302"/>
      <c r="H22" s="302"/>
      <c r="I22" s="302"/>
      <c r="J22" s="303"/>
      <c r="K22" s="218"/>
      <c r="L22" s="218"/>
      <c r="M22" s="301"/>
    </row>
    <row r="23" spans="1:13" ht="12" customHeight="1">
      <c r="A23" s="218"/>
      <c r="B23" s="218"/>
      <c r="C23" s="301"/>
      <c r="D23" s="218"/>
      <c r="E23" s="218"/>
      <c r="F23" s="302"/>
      <c r="G23" s="302"/>
      <c r="H23" s="302"/>
      <c r="I23" s="302"/>
      <c r="J23" s="303"/>
      <c r="K23" s="218"/>
      <c r="L23" s="218"/>
      <c r="M23" s="301"/>
    </row>
    <row r="24" spans="1:13" ht="12" customHeight="1">
      <c r="A24" s="218"/>
      <c r="B24" s="218"/>
      <c r="C24" s="301"/>
      <c r="D24" s="218"/>
      <c r="E24" s="218"/>
      <c r="F24" s="302"/>
      <c r="G24" s="302"/>
      <c r="H24" s="302"/>
      <c r="I24" s="302"/>
      <c r="J24" s="303"/>
      <c r="K24" s="218"/>
      <c r="L24" s="218"/>
      <c r="M24" s="301"/>
    </row>
    <row r="25" spans="1:13" ht="12" customHeight="1">
      <c r="A25" s="218"/>
      <c r="B25" s="218"/>
      <c r="C25" s="301"/>
      <c r="D25" s="218"/>
      <c r="E25" s="218"/>
      <c r="F25" s="302"/>
      <c r="G25" s="302"/>
      <c r="H25" s="302"/>
      <c r="I25" s="302"/>
      <c r="J25" s="303"/>
      <c r="K25" s="218"/>
      <c r="L25" s="218"/>
      <c r="M25" s="301"/>
    </row>
    <row r="26" spans="1:13" ht="12" customHeight="1">
      <c r="A26" s="218"/>
      <c r="B26" s="218"/>
      <c r="C26" s="301"/>
      <c r="D26" s="218"/>
      <c r="E26" s="218"/>
      <c r="F26" s="302"/>
      <c r="G26" s="302"/>
      <c r="H26" s="302"/>
      <c r="I26" s="302"/>
      <c r="J26" s="303"/>
      <c r="K26" s="218"/>
      <c r="L26" s="218"/>
      <c r="M26" s="301"/>
    </row>
    <row r="27" spans="1:13" ht="12" customHeight="1">
      <c r="A27" s="218"/>
      <c r="B27" s="218"/>
      <c r="C27" s="301"/>
      <c r="D27" s="218"/>
      <c r="E27" s="218"/>
      <c r="F27" s="302"/>
      <c r="G27" s="302"/>
      <c r="H27" s="302"/>
      <c r="I27" s="302"/>
      <c r="J27" s="303"/>
      <c r="K27" s="218"/>
      <c r="L27" s="218"/>
      <c r="M27" s="301"/>
    </row>
    <row r="28" spans="1:13" ht="12" customHeight="1">
      <c r="A28" s="218"/>
      <c r="B28" s="218"/>
      <c r="C28" s="301"/>
      <c r="D28" s="218"/>
      <c r="E28" s="218"/>
      <c r="F28" s="302"/>
      <c r="G28" s="302"/>
      <c r="H28" s="302"/>
      <c r="I28" s="302"/>
      <c r="J28" s="303"/>
      <c r="K28" s="218"/>
      <c r="L28" s="218"/>
      <c r="M28" s="301"/>
    </row>
    <row r="29" spans="1:13" ht="12" customHeight="1">
      <c r="A29" s="218"/>
      <c r="B29" s="218"/>
      <c r="C29" s="301"/>
      <c r="D29" s="218"/>
      <c r="E29" s="218"/>
      <c r="F29" s="302"/>
      <c r="G29" s="302"/>
      <c r="H29" s="302"/>
      <c r="I29" s="302"/>
      <c r="J29" s="303"/>
      <c r="K29" s="218"/>
      <c r="L29" s="218"/>
      <c r="M29" s="301"/>
    </row>
    <row r="30" spans="1:13" ht="12" customHeight="1">
      <c r="A30" s="218"/>
      <c r="B30" s="218"/>
      <c r="C30" s="301"/>
      <c r="D30" s="218"/>
      <c r="E30" s="218"/>
      <c r="F30" s="302"/>
      <c r="G30" s="302"/>
      <c r="H30" s="302"/>
      <c r="I30" s="302"/>
      <c r="J30" s="303"/>
      <c r="K30" s="218"/>
      <c r="L30" s="218"/>
      <c r="M30" s="301"/>
    </row>
    <row r="31" spans="1:13" ht="12" customHeight="1">
      <c r="A31" s="218"/>
      <c r="B31" s="218"/>
      <c r="C31" s="301"/>
      <c r="D31" s="218"/>
      <c r="E31" s="218"/>
      <c r="F31" s="302"/>
      <c r="G31" s="302"/>
      <c r="H31" s="302"/>
      <c r="I31" s="302"/>
      <c r="J31" s="303"/>
      <c r="K31" s="218"/>
      <c r="L31" s="218"/>
      <c r="M31" s="301"/>
    </row>
    <row r="32" spans="1:13" ht="12" customHeight="1">
      <c r="A32" s="218"/>
      <c r="B32" s="218"/>
      <c r="C32" s="301"/>
      <c r="D32" s="218"/>
      <c r="E32" s="218"/>
      <c r="F32" s="302"/>
      <c r="G32" s="302"/>
      <c r="H32" s="302"/>
      <c r="I32" s="302"/>
      <c r="J32" s="303"/>
      <c r="K32" s="218"/>
      <c r="L32" s="218"/>
      <c r="M32" s="301"/>
    </row>
    <row r="33" spans="1:13" ht="12" customHeight="1">
      <c r="A33" s="218"/>
      <c r="B33" s="218"/>
      <c r="C33" s="301"/>
      <c r="D33" s="218"/>
      <c r="E33" s="218"/>
      <c r="F33" s="302"/>
      <c r="G33" s="302"/>
      <c r="H33" s="302"/>
      <c r="I33" s="302"/>
      <c r="J33" s="303"/>
      <c r="K33" s="218"/>
      <c r="L33" s="218"/>
      <c r="M33" s="301"/>
    </row>
    <row r="34" spans="1:13" ht="12" customHeight="1">
      <c r="A34" s="218"/>
      <c r="B34" s="218"/>
      <c r="C34" s="301"/>
      <c r="D34" s="218"/>
      <c r="E34" s="218"/>
      <c r="F34" s="302"/>
      <c r="G34" s="302"/>
      <c r="H34" s="302"/>
      <c r="I34" s="302"/>
      <c r="J34" s="303"/>
      <c r="K34" s="218"/>
      <c r="L34" s="218"/>
      <c r="M34" s="301"/>
    </row>
    <row r="35" spans="1:13" ht="12" customHeight="1">
      <c r="A35" s="218"/>
      <c r="B35" s="218"/>
      <c r="C35" s="301"/>
      <c r="D35" s="218"/>
      <c r="E35" s="218"/>
      <c r="F35" s="302"/>
      <c r="G35" s="302"/>
      <c r="H35" s="302"/>
      <c r="I35" s="302"/>
      <c r="J35" s="303"/>
      <c r="K35" s="218"/>
      <c r="L35" s="218"/>
      <c r="M35" s="301"/>
    </row>
    <row r="36" spans="1:13" ht="12" customHeight="1">
      <c r="A36" s="218"/>
      <c r="B36" s="218"/>
      <c r="C36" s="301"/>
      <c r="D36" s="218"/>
      <c r="E36" s="218"/>
      <c r="F36" s="302"/>
      <c r="G36" s="302"/>
      <c r="H36" s="302"/>
      <c r="I36" s="302"/>
      <c r="J36" s="303"/>
      <c r="K36" s="218"/>
      <c r="L36" s="218"/>
      <c r="M36" s="301"/>
    </row>
    <row r="37" spans="1:13" ht="12" customHeight="1">
      <c r="A37" s="218"/>
      <c r="B37" s="218"/>
      <c r="C37" s="301"/>
      <c r="D37" s="218"/>
      <c r="E37" s="218"/>
      <c r="F37" s="302"/>
      <c r="G37" s="302"/>
      <c r="H37" s="302"/>
      <c r="I37" s="302"/>
      <c r="J37" s="303"/>
      <c r="K37" s="218"/>
      <c r="L37" s="218"/>
      <c r="M37" s="301"/>
    </row>
    <row r="38" spans="1:13" ht="12" customHeight="1">
      <c r="A38" s="218"/>
      <c r="B38" s="218"/>
      <c r="C38" s="301"/>
      <c r="D38" s="218"/>
      <c r="E38" s="218"/>
      <c r="F38" s="302"/>
      <c r="G38" s="302"/>
      <c r="H38" s="302"/>
      <c r="I38" s="302"/>
      <c r="J38" s="303"/>
      <c r="K38" s="218"/>
      <c r="L38" s="218"/>
      <c r="M38" s="301"/>
    </row>
    <row r="39" spans="1:13" ht="12" customHeight="1">
      <c r="A39" s="218"/>
      <c r="B39" s="218"/>
      <c r="C39" s="301"/>
      <c r="D39" s="218"/>
      <c r="E39" s="218"/>
      <c r="F39" s="302"/>
      <c r="G39" s="302"/>
      <c r="H39" s="302"/>
      <c r="I39" s="302"/>
      <c r="J39" s="303"/>
      <c r="K39" s="218"/>
      <c r="L39" s="218"/>
      <c r="M39" s="301"/>
    </row>
    <row r="40" spans="1:13" ht="12" customHeight="1">
      <c r="A40" s="218"/>
      <c r="B40" s="218"/>
      <c r="C40" s="301"/>
      <c r="D40" s="218"/>
      <c r="E40" s="218"/>
      <c r="F40" s="302"/>
      <c r="G40" s="302"/>
      <c r="H40" s="302"/>
      <c r="I40" s="302"/>
      <c r="J40" s="303"/>
      <c r="K40" s="218"/>
      <c r="L40" s="218"/>
      <c r="M40" s="301"/>
    </row>
    <row r="41" spans="1:13" ht="12" customHeight="1">
      <c r="A41" s="218"/>
      <c r="B41" s="218"/>
      <c r="C41" s="301"/>
      <c r="D41" s="218"/>
      <c r="E41" s="218"/>
      <c r="F41" s="302"/>
      <c r="G41" s="302"/>
      <c r="H41" s="302"/>
      <c r="I41" s="302"/>
      <c r="J41" s="303"/>
      <c r="K41" s="218"/>
      <c r="L41" s="218"/>
      <c r="M41" s="301"/>
    </row>
    <row r="42" spans="1:13" ht="12" customHeight="1">
      <c r="A42" s="218"/>
      <c r="B42" s="218"/>
      <c r="C42" s="301"/>
      <c r="D42" s="218"/>
      <c r="E42" s="218"/>
      <c r="F42" s="302"/>
      <c r="G42" s="302"/>
      <c r="H42" s="302"/>
      <c r="I42" s="302"/>
      <c r="J42" s="303"/>
      <c r="K42" s="218"/>
      <c r="L42" s="218"/>
      <c r="M42" s="301"/>
    </row>
    <row r="43" spans="1:13" ht="12" customHeight="1">
      <c r="A43" s="218"/>
      <c r="B43" s="218"/>
      <c r="C43" s="301"/>
      <c r="D43" s="218"/>
      <c r="E43" s="218"/>
      <c r="F43" s="302"/>
      <c r="G43" s="302"/>
      <c r="H43" s="302"/>
      <c r="I43" s="302"/>
      <c r="J43" s="303"/>
      <c r="K43" s="218"/>
      <c r="L43" s="218"/>
      <c r="M43" s="301"/>
    </row>
    <row r="44" spans="1:13" ht="12" customHeight="1">
      <c r="A44" s="218"/>
      <c r="B44" s="218"/>
      <c r="C44" s="301"/>
      <c r="D44" s="218"/>
      <c r="E44" s="218"/>
      <c r="F44" s="302"/>
      <c r="G44" s="302"/>
      <c r="H44" s="302"/>
      <c r="I44" s="302"/>
      <c r="J44" s="303"/>
      <c r="K44" s="218"/>
      <c r="L44" s="218"/>
      <c r="M44" s="301"/>
    </row>
    <row r="45" spans="1:13" ht="12" customHeight="1">
      <c r="A45" s="218"/>
      <c r="B45" s="218"/>
      <c r="C45" s="301"/>
      <c r="D45" s="218"/>
      <c r="E45" s="218"/>
      <c r="F45" s="302"/>
      <c r="G45" s="302"/>
      <c r="H45" s="302"/>
      <c r="I45" s="302"/>
      <c r="J45" s="303"/>
      <c r="K45" s="218"/>
      <c r="L45" s="218"/>
      <c r="M45" s="301"/>
    </row>
    <row r="46" spans="1:13" ht="12" customHeight="1">
      <c r="A46" s="218"/>
      <c r="B46" s="218"/>
      <c r="C46" s="301"/>
      <c r="D46" s="218"/>
      <c r="E46" s="218"/>
      <c r="F46" s="302"/>
      <c r="G46" s="302"/>
      <c r="H46" s="302"/>
      <c r="I46" s="302"/>
      <c r="J46" s="303"/>
      <c r="K46" s="218"/>
      <c r="L46" s="218"/>
      <c r="M46" s="301"/>
    </row>
  </sheetData>
  <mergeCells count="11">
    <mergeCell ref="C1:C3"/>
    <mergeCell ref="B1:B3"/>
    <mergeCell ref="F2:G2"/>
    <mergeCell ref="A1:A3"/>
    <mergeCell ref="M1:M3"/>
    <mergeCell ref="D2:E2"/>
    <mergeCell ref="D1:G1"/>
    <mergeCell ref="J1:J3"/>
    <mergeCell ref="K1:K3"/>
    <mergeCell ref="L1:L3"/>
    <mergeCell ref="H2:I2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CA496FDB-1361-4965-B298-B7C042BD4768}">
          <x14:formula1>
            <xm:f>'Listas de apoio'!$D$2:$D$12</xm:f>
          </x14:formula1>
          <xm:sqref>A4:A152</xm:sqref>
        </x14:dataValidation>
        <x14:dataValidation type="list" allowBlank="1" xr:uid="{6316FBBC-0B02-471C-89F8-DD030F0BFF49}">
          <x14:formula1>
            <xm:f>'Listas de apoio'!$E$2:$E$4</xm:f>
          </x14:formula1>
          <xm:sqref>K4:K152</xm:sqref>
        </x14:dataValidation>
        <x14:dataValidation type="list" allowBlank="1" xr:uid="{C8D86C9C-E1F6-483D-8B8D-235D21880B9B}">
          <x14:formula1>
            <xm:f>'Listas de apoio'!$F$2:$F$8</xm:f>
          </x14:formula1>
          <xm:sqref>B4:B152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3C7FA26A0DEC4BB9340BCD00E554A6" ma:contentTypeVersion="13" ma:contentTypeDescription="Crie um novo documento." ma:contentTypeScope="" ma:versionID="f9c2f1d802bd3b0b9ec8d9c034f209d5">
  <xsd:schema xmlns:xsd="http://www.w3.org/2001/XMLSchema" xmlns:xs="http://www.w3.org/2001/XMLSchema" xmlns:p="http://schemas.microsoft.com/office/2006/metadata/properties" xmlns:ns2="b9d874d0-c552-4727-9c02-5b1c07c5b4b4" xmlns:ns3="36b8e68b-7554-409c-85a4-5772116ca008" targetNamespace="http://schemas.microsoft.com/office/2006/metadata/properties" ma:root="true" ma:fieldsID="87eb4ce78b83dca1a99c2080b0eb57a8" ns2:_="" ns3:_="">
    <xsd:import namespace="b9d874d0-c552-4727-9c02-5b1c07c5b4b4"/>
    <xsd:import namespace="36b8e68b-7554-409c-85a4-5772116ca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874d0-c552-4727-9c02-5b1c07c5b4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2007361-3871-486b-974f-54df117b5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8e68b-7554-409c-85a4-5772116ca0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86182e-1bce-44e6-a9f7-5dc816473d70}" ma:internalName="TaxCatchAll" ma:showField="CatchAllData" ma:web="36b8e68b-7554-409c-85a4-5772116ca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d874d0-c552-4727-9c02-5b1c07c5b4b4">
      <Terms xmlns="http://schemas.microsoft.com/office/infopath/2007/PartnerControls"/>
    </lcf76f155ced4ddcb4097134ff3c332f>
    <TaxCatchAll xmlns="36b8e68b-7554-409c-85a4-5772116ca008" xsi:nil="true"/>
  </documentManagement>
</p:properties>
</file>

<file path=customXml/itemProps1.xml><?xml version="1.0" encoding="utf-8"?>
<ds:datastoreItem xmlns:ds="http://schemas.openxmlformats.org/officeDocument/2006/customXml" ds:itemID="{A60B7C03-1E1C-4E24-8D57-37E28CF749E2}"/>
</file>

<file path=customXml/itemProps2.xml><?xml version="1.0" encoding="utf-8"?>
<ds:datastoreItem xmlns:ds="http://schemas.openxmlformats.org/officeDocument/2006/customXml" ds:itemID="{3542E564-6834-4342-A149-77B0DB44298B}"/>
</file>

<file path=customXml/itemProps3.xml><?xml version="1.0" encoding="utf-8"?>
<ds:datastoreItem xmlns:ds="http://schemas.openxmlformats.org/officeDocument/2006/customXml" ds:itemID="{51E48B60-0D4A-48A3-8256-CBB68ECA80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Vinicius Tanan Gregorio PRO-I</dc:creator>
  <cp:keywords/>
  <dc:description/>
  <cp:lastModifiedBy/>
  <cp:revision/>
  <dcterms:created xsi:type="dcterms:W3CDTF">2021-02-24T16:56:14Z</dcterms:created>
  <dcterms:modified xsi:type="dcterms:W3CDTF">2026-05-14T20:03:21Z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0x010100663C7FA26A0DEC4BB9340BCD00E554A6</vt:lpwstr>
  </property>
  <property fmtid="{D5CDD505-2E9C-101B-9397-08002B2CF9AE}" pid="3" name="MediaServiceImageTags">
    <vt:lpwstr/>
  </property>
</Properties>
</file>